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ocuments\Master data\GitHub__R-stat\AfricanBioServices-Vegetation-and-soils\Termites\"/>
    </mc:Choice>
  </mc:AlternateContent>
  <xr:revisionPtr revIDLastSave="0" documentId="10_ncr:100000_{993A36AD-A0B0-4B92-BA06-8A67273938EA}" xr6:coauthVersionLast="31" xr6:coauthVersionMax="33" xr10:uidLastSave="{00000000-0000-0000-0000-000000000000}"/>
  <bookViews>
    <workbookView xWindow="0" yWindow="0" windowWidth="28800" windowHeight="11628" activeTab="1" xr2:uid="{00000000-000D-0000-FFFF-FFFF00000000}"/>
  </bookViews>
  <sheets>
    <sheet name="Final data_for_R_analysis_Wetse" sheetId="25" r:id="rId1"/>
    <sheet name="Final data_for_R_analysis_Dryse" sheetId="31" r:id="rId2"/>
    <sheet name="TBIcalc" sheetId="34" r:id="rId3"/>
    <sheet name="50x50 Mound survey" sheetId="30" r:id="rId4"/>
    <sheet name="Coordinates" sheetId="29" r:id="rId5"/>
    <sheet name="Soil_texture" sheetId="26" r:id="rId6"/>
    <sheet name="Rainfall_Wet" sheetId="27" r:id="rId7"/>
    <sheet name="Teabags_used_in_wet" sheetId="22" r:id="rId8"/>
    <sheet name="Ashed_controlls" sheetId="41" r:id="rId9"/>
    <sheet name="Duplicate check" sheetId="32" r:id="rId10"/>
    <sheet name="Ashed teabags dry" sheetId="35" r:id="rId11"/>
    <sheet name="Dry_Litterbag Placem_Collection" sheetId="17" r:id="rId12"/>
    <sheet name="Both teabags AfterDry" sheetId="16" r:id="rId13"/>
    <sheet name="WetLitterbags placem_collection" sheetId="12" r:id="rId14"/>
    <sheet name="Ashed teabags wet" sheetId="23" r:id="rId15"/>
    <sheet name="Both teabags AfterWet" sheetId="11" r:id="rId16"/>
    <sheet name="Ash_Protocol" sheetId="24" r:id="rId17"/>
    <sheet name="Rainfall_Dry" sheetId="28" r:id="rId18"/>
    <sheet name="Green_rooibos initial weight" sheetId="10" r:id="rId19"/>
    <sheet name="Dry_season" sheetId="19" r:id="rId20"/>
    <sheet name="Wet_season" sheetId="18" r:id="rId21"/>
    <sheet name="TBImanual" sheetId="5" r:id="rId22"/>
    <sheet name="Bugs&amp;Issues" sheetId="4" r:id="rId23"/>
    <sheet name="Things" sheetId="14" r:id="rId24"/>
    <sheet name="TBIWetUnashed" sheetId="44" r:id="rId25"/>
    <sheet name="TBIWet" sheetId="37" r:id="rId26"/>
    <sheet name="TBIDryUnashed" sheetId="45" r:id="rId27"/>
    <sheet name="TBIDry" sheetId="40" r:id="rId28"/>
    <sheet name="Changelog" sheetId="3" state="hidden" r:id="rId29"/>
    <sheet name="DIAGNOSTICS" sheetId="7" state="hidden" r:id="rId30"/>
  </sheets>
  <definedNames>
    <definedName name="_xlnm._FilterDatabase" localSheetId="14" hidden="1">'Ashed teabags wet'!$C$1:$P$823</definedName>
  </definedNames>
  <calcPr calcId="179017" concurrentCalc="0"/>
</workbook>
</file>

<file path=xl/calcChain.xml><?xml version="1.0" encoding="utf-8"?>
<calcChain xmlns="http://schemas.openxmlformats.org/spreadsheetml/2006/main">
  <c r="T663" i="31" l="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 i="31"/>
  <c r="R3" i="31"/>
  <c r="R4" i="31"/>
  <c r="R5" i="31"/>
  <c r="R6" i="31"/>
  <c r="R7" i="31"/>
  <c r="R8" i="31"/>
  <c r="R9" i="31"/>
  <c r="R10" i="31"/>
  <c r="R11" i="31"/>
  <c r="R12" i="31"/>
  <c r="R13" i="31"/>
  <c r="R14" i="31"/>
  <c r="R15" i="31"/>
  <c r="R16" i="31"/>
  <c r="R17" i="31"/>
  <c r="R18" i="31"/>
  <c r="R19" i="31"/>
  <c r="R20" i="31"/>
  <c r="R21" i="31"/>
  <c r="R22" i="31"/>
  <c r="R23" i="31"/>
  <c r="R24" i="31"/>
  <c r="R25" i="31"/>
  <c r="R26" i="31"/>
  <c r="R27" i="31"/>
  <c r="R28" i="31"/>
  <c r="R29" i="31"/>
  <c r="R30" i="31"/>
  <c r="R31" i="31"/>
  <c r="R32" i="31"/>
  <c r="R33" i="31"/>
  <c r="R34" i="31"/>
  <c r="R35" i="31"/>
  <c r="R36" i="31"/>
  <c r="R37" i="31"/>
  <c r="R38" i="31"/>
  <c r="R39" i="31"/>
  <c r="R40" i="31"/>
  <c r="R41" i="31"/>
  <c r="R42" i="31"/>
  <c r="R43" i="31"/>
  <c r="R44" i="31"/>
  <c r="R45" i="31"/>
  <c r="R46" i="31"/>
  <c r="R47" i="31"/>
  <c r="R48" i="31"/>
  <c r="R49" i="31"/>
  <c r="R50" i="31"/>
  <c r="R51" i="31"/>
  <c r="R52" i="31"/>
  <c r="R53" i="31"/>
  <c r="R54" i="31"/>
  <c r="R55" i="31"/>
  <c r="R56" i="31"/>
  <c r="R57" i="31"/>
  <c r="R58" i="31"/>
  <c r="R59" i="31"/>
  <c r="R60" i="31"/>
  <c r="R61" i="31"/>
  <c r="R62" i="31"/>
  <c r="R63" i="31"/>
  <c r="R64" i="31"/>
  <c r="R65" i="31"/>
  <c r="R66" i="31"/>
  <c r="R67" i="31"/>
  <c r="R68" i="31"/>
  <c r="R69" i="31"/>
  <c r="R70" i="31"/>
  <c r="R71" i="31"/>
  <c r="R72" i="31"/>
  <c r="R73" i="31"/>
  <c r="R74" i="31"/>
  <c r="R75" i="31"/>
  <c r="R76" i="31"/>
  <c r="R77" i="31"/>
  <c r="R78" i="31"/>
  <c r="R79" i="31"/>
  <c r="R80" i="31"/>
  <c r="R81" i="31"/>
  <c r="R82" i="31"/>
  <c r="R83" i="31"/>
  <c r="R84" i="31"/>
  <c r="R85" i="31"/>
  <c r="R86" i="31"/>
  <c r="R87" i="31"/>
  <c r="R88" i="31"/>
  <c r="R89" i="31"/>
  <c r="R90" i="31"/>
  <c r="R91" i="31"/>
  <c r="R92" i="31"/>
  <c r="R93" i="31"/>
  <c r="R94" i="31"/>
  <c r="R95" i="31"/>
  <c r="R96" i="31"/>
  <c r="R97" i="31"/>
  <c r="R98" i="31"/>
  <c r="R99" i="31"/>
  <c r="R100" i="31"/>
  <c r="R101" i="31"/>
  <c r="R102" i="31"/>
  <c r="R103" i="31"/>
  <c r="R104" i="31"/>
  <c r="R105" i="31"/>
  <c r="R106" i="31"/>
  <c r="R107" i="31"/>
  <c r="R108" i="31"/>
  <c r="R109" i="31"/>
  <c r="R110" i="31"/>
  <c r="R111" i="31"/>
  <c r="R112" i="31"/>
  <c r="R113" i="31"/>
  <c r="R114" i="31"/>
  <c r="R115" i="31"/>
  <c r="R116" i="31"/>
  <c r="R117" i="31"/>
  <c r="R118" i="31"/>
  <c r="R119" i="31"/>
  <c r="R120" i="31"/>
  <c r="R121" i="31"/>
  <c r="R122" i="31"/>
  <c r="R123" i="31"/>
  <c r="R124" i="31"/>
  <c r="R125" i="31"/>
  <c r="R126" i="31"/>
  <c r="R127" i="31"/>
  <c r="R128" i="31"/>
  <c r="R129" i="31"/>
  <c r="R130" i="31"/>
  <c r="R131" i="31"/>
  <c r="R132" i="31"/>
  <c r="R133" i="31"/>
  <c r="R134" i="31"/>
  <c r="R135" i="31"/>
  <c r="R136" i="31"/>
  <c r="R137" i="31"/>
  <c r="R138" i="31"/>
  <c r="R139" i="31"/>
  <c r="R140" i="31"/>
  <c r="R141" i="31"/>
  <c r="R142" i="31"/>
  <c r="R143" i="31"/>
  <c r="R144" i="31"/>
  <c r="R145" i="31"/>
  <c r="R146" i="31"/>
  <c r="R147" i="31"/>
  <c r="R148" i="31"/>
  <c r="R149" i="31"/>
  <c r="R150" i="31"/>
  <c r="R151" i="31"/>
  <c r="R152" i="31"/>
  <c r="R153" i="31"/>
  <c r="R154" i="31"/>
  <c r="R155" i="31"/>
  <c r="R156" i="31"/>
  <c r="R157" i="31"/>
  <c r="R158" i="31"/>
  <c r="R159" i="31"/>
  <c r="R160" i="31"/>
  <c r="R161" i="31"/>
  <c r="R162" i="31"/>
  <c r="R163" i="31"/>
  <c r="R164" i="31"/>
  <c r="R165" i="31"/>
  <c r="R166" i="31"/>
  <c r="R167" i="31"/>
  <c r="R168" i="31"/>
  <c r="R169" i="31"/>
  <c r="R170" i="31"/>
  <c r="R171" i="31"/>
  <c r="R172" i="31"/>
  <c r="R173" i="31"/>
  <c r="R174" i="31"/>
  <c r="R175" i="31"/>
  <c r="R176" i="31"/>
  <c r="R177" i="31"/>
  <c r="R178" i="31"/>
  <c r="R179" i="31"/>
  <c r="R180" i="31"/>
  <c r="R181" i="31"/>
  <c r="R182" i="31"/>
  <c r="R183" i="31"/>
  <c r="R184" i="31"/>
  <c r="R185" i="31"/>
  <c r="R186" i="31"/>
  <c r="R187" i="31"/>
  <c r="R188" i="31"/>
  <c r="R189" i="31"/>
  <c r="R190" i="31"/>
  <c r="R191" i="31"/>
  <c r="R192" i="31"/>
  <c r="R193" i="31"/>
  <c r="R194" i="31"/>
  <c r="R195" i="31"/>
  <c r="R196" i="31"/>
  <c r="R197" i="31"/>
  <c r="R198" i="31"/>
  <c r="R199" i="31"/>
  <c r="R200" i="31"/>
  <c r="R201" i="31"/>
  <c r="R202" i="31"/>
  <c r="R203" i="31"/>
  <c r="R204" i="31"/>
  <c r="R205" i="31"/>
  <c r="R206" i="31"/>
  <c r="R207" i="31"/>
  <c r="R208" i="31"/>
  <c r="R209" i="31"/>
  <c r="R210" i="31"/>
  <c r="R211" i="31"/>
  <c r="R212" i="31"/>
  <c r="R213" i="31"/>
  <c r="R214" i="31"/>
  <c r="R215" i="31"/>
  <c r="R216" i="31"/>
  <c r="R217" i="31"/>
  <c r="R218" i="31"/>
  <c r="R219" i="31"/>
  <c r="R220" i="31"/>
  <c r="R221" i="31"/>
  <c r="R222" i="31"/>
  <c r="R223" i="31"/>
  <c r="R224" i="31"/>
  <c r="R225" i="31"/>
  <c r="R226" i="31"/>
  <c r="R227" i="31"/>
  <c r="R228" i="31"/>
  <c r="R229" i="31"/>
  <c r="R230" i="31"/>
  <c r="R231" i="31"/>
  <c r="R232" i="31"/>
  <c r="R233" i="31"/>
  <c r="R234" i="31"/>
  <c r="R235" i="31"/>
  <c r="R236" i="31"/>
  <c r="R237" i="31"/>
  <c r="R238" i="31"/>
  <c r="R239" i="31"/>
  <c r="R240" i="31"/>
  <c r="R241" i="31"/>
  <c r="R242" i="31"/>
  <c r="R243" i="31"/>
  <c r="R244" i="31"/>
  <c r="R245" i="31"/>
  <c r="R246" i="31"/>
  <c r="R247" i="31"/>
  <c r="R248" i="31"/>
  <c r="R249" i="31"/>
  <c r="R250" i="31"/>
  <c r="R251" i="31"/>
  <c r="R252" i="31"/>
  <c r="R253" i="31"/>
  <c r="R254" i="31"/>
  <c r="R255" i="31"/>
  <c r="R256" i="31"/>
  <c r="R257" i="31"/>
  <c r="R258" i="31"/>
  <c r="R259" i="31"/>
  <c r="R260" i="31"/>
  <c r="R261" i="31"/>
  <c r="R262" i="31"/>
  <c r="R263" i="31"/>
  <c r="R264" i="31"/>
  <c r="R265" i="31"/>
  <c r="R266" i="31"/>
  <c r="R267" i="31"/>
  <c r="R268" i="31"/>
  <c r="R269" i="31"/>
  <c r="R270" i="31"/>
  <c r="R271" i="31"/>
  <c r="R272" i="31"/>
  <c r="R273" i="31"/>
  <c r="R274" i="31"/>
  <c r="R275" i="31"/>
  <c r="R276" i="31"/>
  <c r="R277" i="31"/>
  <c r="R278" i="31"/>
  <c r="R279" i="31"/>
  <c r="R280" i="31"/>
  <c r="R281" i="31"/>
  <c r="R282" i="31"/>
  <c r="R283" i="31"/>
  <c r="R284" i="31"/>
  <c r="R285" i="31"/>
  <c r="R286" i="31"/>
  <c r="R287" i="31"/>
  <c r="R288" i="31"/>
  <c r="R289" i="31"/>
  <c r="R290" i="31"/>
  <c r="R291" i="31"/>
  <c r="R292" i="31"/>
  <c r="R293" i="31"/>
  <c r="R294" i="31"/>
  <c r="R295" i="31"/>
  <c r="R296" i="31"/>
  <c r="R297" i="31"/>
  <c r="R298" i="31"/>
  <c r="R299" i="31"/>
  <c r="R300" i="31"/>
  <c r="R301" i="31"/>
  <c r="R302" i="31"/>
  <c r="R303" i="31"/>
  <c r="R304" i="31"/>
  <c r="R305" i="31"/>
  <c r="R306" i="31"/>
  <c r="R307" i="31"/>
  <c r="R308" i="31"/>
  <c r="R309" i="31"/>
  <c r="R310" i="31"/>
  <c r="R311" i="31"/>
  <c r="R312" i="31"/>
  <c r="R313" i="31"/>
  <c r="R314" i="31"/>
  <c r="R315" i="31"/>
  <c r="R316" i="31"/>
  <c r="R317" i="31"/>
  <c r="R318" i="31"/>
  <c r="R319" i="31"/>
  <c r="R320" i="31"/>
  <c r="R321" i="31"/>
  <c r="R322" i="31"/>
  <c r="R323" i="31"/>
  <c r="R324" i="31"/>
  <c r="R325" i="31"/>
  <c r="R326" i="31"/>
  <c r="R327" i="31"/>
  <c r="R328" i="31"/>
  <c r="R329" i="31"/>
  <c r="R330" i="31"/>
  <c r="R331" i="31"/>
  <c r="R332" i="31"/>
  <c r="R333" i="31"/>
  <c r="R334" i="31"/>
  <c r="R335" i="31"/>
  <c r="R336" i="31"/>
  <c r="R337" i="31"/>
  <c r="R338" i="31"/>
  <c r="R339" i="31"/>
  <c r="R340" i="31"/>
  <c r="R341" i="31"/>
  <c r="R342" i="31"/>
  <c r="R343" i="31"/>
  <c r="R344" i="31"/>
  <c r="R345" i="31"/>
  <c r="R346" i="31"/>
  <c r="R347" i="31"/>
  <c r="R348" i="31"/>
  <c r="R349" i="31"/>
  <c r="R350" i="31"/>
  <c r="R351" i="31"/>
  <c r="R352" i="31"/>
  <c r="R353" i="31"/>
  <c r="R354" i="31"/>
  <c r="R355" i="31"/>
  <c r="R356" i="31"/>
  <c r="R357" i="31"/>
  <c r="R358" i="31"/>
  <c r="R359" i="31"/>
  <c r="R360" i="31"/>
  <c r="R361" i="31"/>
  <c r="R362" i="31"/>
  <c r="R363" i="31"/>
  <c r="R364" i="31"/>
  <c r="R365" i="31"/>
  <c r="R366" i="31"/>
  <c r="R367" i="31"/>
  <c r="R368" i="31"/>
  <c r="R369" i="31"/>
  <c r="R370" i="31"/>
  <c r="R371" i="31"/>
  <c r="R372" i="31"/>
  <c r="R373" i="31"/>
  <c r="R374" i="31"/>
  <c r="R375" i="31"/>
  <c r="R376" i="31"/>
  <c r="R377" i="31"/>
  <c r="R378" i="31"/>
  <c r="R379" i="31"/>
  <c r="R380" i="31"/>
  <c r="R381" i="31"/>
  <c r="R382" i="31"/>
  <c r="R383" i="31"/>
  <c r="R384" i="31"/>
  <c r="R385" i="31"/>
  <c r="R386" i="31"/>
  <c r="R387" i="31"/>
  <c r="R388" i="31"/>
  <c r="R389" i="31"/>
  <c r="R390" i="31"/>
  <c r="R391" i="31"/>
  <c r="R392" i="31"/>
  <c r="R393" i="31"/>
  <c r="R394" i="31"/>
  <c r="R395" i="31"/>
  <c r="R396" i="31"/>
  <c r="R397" i="31"/>
  <c r="R398" i="31"/>
  <c r="R399" i="31"/>
  <c r="R400" i="31"/>
  <c r="R401" i="31"/>
  <c r="R402" i="31"/>
  <c r="R403" i="31"/>
  <c r="R404" i="31"/>
  <c r="R405" i="31"/>
  <c r="R406" i="31"/>
  <c r="R407" i="31"/>
  <c r="R408" i="31"/>
  <c r="R409" i="31"/>
  <c r="R410" i="31"/>
  <c r="R411" i="31"/>
  <c r="R412" i="31"/>
  <c r="R413" i="31"/>
  <c r="R414" i="31"/>
  <c r="R415" i="31"/>
  <c r="R416" i="31"/>
  <c r="R417" i="31"/>
  <c r="R418" i="31"/>
  <c r="R419" i="31"/>
  <c r="R420" i="31"/>
  <c r="R421" i="31"/>
  <c r="R422" i="31"/>
  <c r="R423" i="31"/>
  <c r="R424" i="31"/>
  <c r="R425" i="31"/>
  <c r="R426" i="31"/>
  <c r="R427" i="31"/>
  <c r="R428" i="31"/>
  <c r="R429" i="31"/>
  <c r="R430" i="31"/>
  <c r="R431" i="31"/>
  <c r="R432" i="31"/>
  <c r="R433" i="31"/>
  <c r="R434" i="31"/>
  <c r="R435" i="31"/>
  <c r="R436" i="31"/>
  <c r="R437" i="31"/>
  <c r="R438" i="31"/>
  <c r="R439" i="31"/>
  <c r="R440" i="31"/>
  <c r="R441" i="31"/>
  <c r="R442" i="31"/>
  <c r="R443" i="31"/>
  <c r="R444" i="31"/>
  <c r="R445" i="31"/>
  <c r="R446" i="31"/>
  <c r="R447" i="31"/>
  <c r="R448" i="31"/>
  <c r="R449" i="31"/>
  <c r="R450" i="31"/>
  <c r="R451" i="31"/>
  <c r="R452" i="31"/>
  <c r="R453" i="31"/>
  <c r="R454" i="31"/>
  <c r="R455" i="31"/>
  <c r="R456" i="31"/>
  <c r="R457" i="31"/>
  <c r="R458" i="31"/>
  <c r="R459" i="31"/>
  <c r="R460" i="31"/>
  <c r="R461" i="31"/>
  <c r="R462" i="31"/>
  <c r="R463" i="31"/>
  <c r="R464" i="31"/>
  <c r="R465" i="31"/>
  <c r="R466" i="31"/>
  <c r="R467" i="31"/>
  <c r="R468" i="31"/>
  <c r="R469" i="31"/>
  <c r="R470" i="31"/>
  <c r="R471" i="31"/>
  <c r="R472" i="31"/>
  <c r="R473" i="31"/>
  <c r="R474" i="31"/>
  <c r="R475" i="31"/>
  <c r="R476" i="31"/>
  <c r="R477" i="31"/>
  <c r="R478" i="31"/>
  <c r="R479" i="31"/>
  <c r="R480" i="31"/>
  <c r="R481" i="31"/>
  <c r="R482" i="31"/>
  <c r="R483" i="31"/>
  <c r="R484" i="31"/>
  <c r="R485" i="31"/>
  <c r="R486" i="31"/>
  <c r="R487" i="31"/>
  <c r="R488" i="31"/>
  <c r="R489" i="31"/>
  <c r="R490" i="31"/>
  <c r="R491" i="31"/>
  <c r="R492" i="31"/>
  <c r="R493" i="31"/>
  <c r="R494" i="31"/>
  <c r="R495" i="31"/>
  <c r="R496" i="31"/>
  <c r="R497" i="31"/>
  <c r="R498" i="31"/>
  <c r="R499" i="31"/>
  <c r="R500" i="31"/>
  <c r="R501" i="31"/>
  <c r="R502" i="31"/>
  <c r="R503" i="31"/>
  <c r="R504" i="31"/>
  <c r="R505" i="31"/>
  <c r="R506" i="31"/>
  <c r="R507" i="31"/>
  <c r="R508" i="31"/>
  <c r="R509" i="31"/>
  <c r="R510" i="31"/>
  <c r="R511" i="31"/>
  <c r="R512" i="31"/>
  <c r="R513" i="31"/>
  <c r="R514" i="31"/>
  <c r="R515" i="31"/>
  <c r="R516" i="31"/>
  <c r="R517" i="31"/>
  <c r="R518" i="31"/>
  <c r="R519" i="31"/>
  <c r="R520" i="31"/>
  <c r="R521" i="31"/>
  <c r="R522" i="31"/>
  <c r="R523" i="31"/>
  <c r="R524" i="31"/>
  <c r="R525" i="31"/>
  <c r="R526" i="31"/>
  <c r="R527" i="31"/>
  <c r="R528" i="31"/>
  <c r="R529" i="31"/>
  <c r="R530" i="31"/>
  <c r="R531" i="31"/>
  <c r="R532" i="31"/>
  <c r="R533" i="31"/>
  <c r="R534" i="31"/>
  <c r="R535" i="31"/>
  <c r="R536" i="31"/>
  <c r="R537" i="31"/>
  <c r="R538" i="31"/>
  <c r="R539" i="31"/>
  <c r="R540" i="31"/>
  <c r="R541" i="31"/>
  <c r="R542" i="31"/>
  <c r="R543" i="31"/>
  <c r="R544" i="31"/>
  <c r="R545" i="31"/>
  <c r="R546" i="31"/>
  <c r="R547" i="31"/>
  <c r="R548" i="31"/>
  <c r="R549" i="31"/>
  <c r="R550" i="31"/>
  <c r="R551" i="31"/>
  <c r="R552" i="31"/>
  <c r="R553" i="31"/>
  <c r="R554" i="31"/>
  <c r="R555" i="31"/>
  <c r="R556" i="31"/>
  <c r="R557" i="31"/>
  <c r="R558" i="31"/>
  <c r="R559" i="31"/>
  <c r="R560" i="31"/>
  <c r="R561" i="31"/>
  <c r="R562" i="31"/>
  <c r="R563" i="31"/>
  <c r="R564" i="31"/>
  <c r="R565" i="31"/>
  <c r="R566" i="31"/>
  <c r="R567" i="31"/>
  <c r="R568" i="31"/>
  <c r="R569" i="31"/>
  <c r="R570" i="31"/>
  <c r="R571" i="31"/>
  <c r="R572" i="31"/>
  <c r="R573" i="31"/>
  <c r="R574" i="31"/>
  <c r="R575" i="31"/>
  <c r="R576" i="31"/>
  <c r="R577" i="31"/>
  <c r="R578" i="31"/>
  <c r="R579" i="31"/>
  <c r="R580" i="31"/>
  <c r="R581" i="31"/>
  <c r="R582" i="31"/>
  <c r="R583" i="31"/>
  <c r="R584" i="31"/>
  <c r="R585" i="31"/>
  <c r="R586" i="31"/>
  <c r="R587" i="31"/>
  <c r="R588" i="31"/>
  <c r="R589" i="31"/>
  <c r="R590" i="31"/>
  <c r="R591" i="31"/>
  <c r="R592" i="31"/>
  <c r="R593" i="31"/>
  <c r="R594" i="31"/>
  <c r="R595" i="31"/>
  <c r="R596" i="31"/>
  <c r="R597" i="31"/>
  <c r="R598" i="31"/>
  <c r="R599" i="31"/>
  <c r="R600" i="31"/>
  <c r="R601" i="31"/>
  <c r="R602" i="31"/>
  <c r="R603" i="31"/>
  <c r="R604" i="31"/>
  <c r="R605" i="31"/>
  <c r="R606" i="31"/>
  <c r="R607" i="31"/>
  <c r="R608" i="31"/>
  <c r="R609" i="31"/>
  <c r="R610" i="31"/>
  <c r="R611" i="31"/>
  <c r="R612" i="31"/>
  <c r="R613" i="31"/>
  <c r="R614" i="31"/>
  <c r="R615" i="31"/>
  <c r="R616" i="31"/>
  <c r="R617" i="31"/>
  <c r="R618" i="31"/>
  <c r="R619" i="31"/>
  <c r="R620" i="31"/>
  <c r="R621" i="31"/>
  <c r="R622" i="31"/>
  <c r="R623" i="31"/>
  <c r="R624" i="31"/>
  <c r="R625" i="31"/>
  <c r="R626" i="31"/>
  <c r="R627" i="31"/>
  <c r="R628" i="31"/>
  <c r="R629" i="31"/>
  <c r="R630" i="31"/>
  <c r="R631" i="31"/>
  <c r="R632" i="31"/>
  <c r="R633" i="31"/>
  <c r="R634" i="31"/>
  <c r="R635" i="31"/>
  <c r="R636" i="31"/>
  <c r="R637" i="31"/>
  <c r="R638" i="31"/>
  <c r="R639" i="31"/>
  <c r="R640" i="31"/>
  <c r="R641" i="31"/>
  <c r="R642" i="31"/>
  <c r="R643" i="31"/>
  <c r="R644" i="31"/>
  <c r="R645" i="31"/>
  <c r="R646" i="31"/>
  <c r="R647" i="31"/>
  <c r="R648" i="31"/>
  <c r="R649" i="31"/>
  <c r="R650" i="31"/>
  <c r="R651" i="31"/>
  <c r="R652" i="31"/>
  <c r="R653" i="31"/>
  <c r="R654" i="31"/>
  <c r="R655" i="31"/>
  <c r="R656" i="31"/>
  <c r="R657" i="31"/>
  <c r="R658" i="31"/>
  <c r="R659" i="31"/>
  <c r="R660" i="31"/>
  <c r="R661" i="31"/>
  <c r="R662" i="31"/>
  <c r="R663" i="31"/>
  <c r="R664" i="31"/>
  <c r="R665" i="31"/>
  <c r="R666" i="31"/>
  <c r="R667" i="31"/>
  <c r="R668" i="31"/>
  <c r="R669" i="31"/>
  <c r="R670" i="31"/>
  <c r="R671" i="31"/>
  <c r="R672" i="31"/>
  <c r="R673" i="31"/>
  <c r="R674" i="31"/>
  <c r="R675" i="31"/>
  <c r="R676" i="31"/>
  <c r="R677" i="31"/>
  <c r="R678" i="31"/>
  <c r="R679" i="31"/>
  <c r="R680" i="31"/>
  <c r="R681" i="31"/>
  <c r="R682" i="31"/>
  <c r="R683" i="31"/>
  <c r="R684" i="31"/>
  <c r="R685" i="31"/>
  <c r="R686" i="31"/>
  <c r="R687" i="31"/>
  <c r="R688" i="31"/>
  <c r="R689" i="31"/>
  <c r="R690" i="31"/>
  <c r="R691" i="31"/>
  <c r="R692" i="31"/>
  <c r="R693" i="31"/>
  <c r="R694" i="31"/>
  <c r="R695" i="31"/>
  <c r="R696" i="31"/>
  <c r="R697" i="31"/>
  <c r="R698" i="31"/>
  <c r="R699" i="31"/>
  <c r="R700" i="31"/>
  <c r="R701" i="31"/>
  <c r="R702" i="31"/>
  <c r="R703" i="31"/>
  <c r="R704" i="31"/>
  <c r="R705" i="31"/>
  <c r="R706" i="31"/>
  <c r="R707" i="31"/>
  <c r="R708" i="31"/>
  <c r="R709" i="31"/>
  <c r="R710" i="31"/>
  <c r="R711" i="31"/>
  <c r="R712" i="31"/>
  <c r="R713" i="31"/>
  <c r="R714" i="31"/>
  <c r="R715" i="31"/>
  <c r="R716" i="31"/>
  <c r="R717" i="31"/>
  <c r="R718" i="31"/>
  <c r="R719" i="31"/>
  <c r="R720" i="31"/>
  <c r="R721" i="31"/>
  <c r="R722" i="31"/>
  <c r="R723" i="31"/>
  <c r="R724" i="31"/>
  <c r="R725" i="31"/>
  <c r="R726" i="31"/>
  <c r="R727" i="31"/>
  <c r="R728" i="31"/>
  <c r="R729" i="31"/>
  <c r="R730" i="31"/>
  <c r="R731" i="31"/>
  <c r="R732" i="31"/>
  <c r="R733" i="31"/>
  <c r="R734" i="31"/>
  <c r="R735" i="31"/>
  <c r="R736" i="31"/>
  <c r="R737" i="31"/>
  <c r="R738" i="31"/>
  <c r="R739" i="31"/>
  <c r="R740" i="31"/>
  <c r="R741" i="31"/>
  <c r="R742" i="31"/>
  <c r="R743" i="31"/>
  <c r="R744" i="31"/>
  <c r="R745" i="31"/>
  <c r="R746" i="31"/>
  <c r="R747" i="31"/>
  <c r="R748" i="31"/>
  <c r="R749" i="31"/>
  <c r="R750" i="31"/>
  <c r="R751" i="31"/>
  <c r="R752" i="31"/>
  <c r="R753" i="31"/>
  <c r="R754" i="31"/>
  <c r="R755" i="31"/>
  <c r="R756" i="31"/>
  <c r="R757" i="31"/>
  <c r="R758" i="31"/>
  <c r="R759" i="31"/>
  <c r="R760" i="31"/>
  <c r="R761" i="31"/>
  <c r="R762" i="31"/>
  <c r="R763" i="31"/>
  <c r="R764" i="31"/>
  <c r="R765" i="31"/>
  <c r="R766" i="31"/>
  <c r="R767" i="31"/>
  <c r="R768" i="31"/>
  <c r="R769" i="31"/>
  <c r="R770" i="31"/>
  <c r="R771" i="31"/>
  <c r="R772" i="31"/>
  <c r="R773" i="31"/>
  <c r="R774" i="31"/>
  <c r="R775" i="31"/>
  <c r="R776" i="31"/>
  <c r="R777" i="31"/>
  <c r="R778" i="31"/>
  <c r="R779" i="31"/>
  <c r="R780" i="31"/>
  <c r="R781" i="31"/>
  <c r="R782" i="31"/>
  <c r="R783" i="31"/>
  <c r="R784" i="31"/>
  <c r="R785" i="31"/>
  <c r="R786" i="31"/>
  <c r="R787" i="31"/>
  <c r="R788" i="31"/>
  <c r="R789" i="31"/>
  <c r="R790" i="31"/>
  <c r="R791" i="31"/>
  <c r="R792" i="31"/>
  <c r="R793" i="31"/>
  <c r="R794" i="31"/>
  <c r="R795" i="31"/>
  <c r="R796" i="31"/>
  <c r="R797" i="31"/>
  <c r="R798" i="31"/>
  <c r="R799" i="31"/>
  <c r="R800" i="31"/>
  <c r="R801" i="31"/>
  <c r="R802" i="31"/>
  <c r="R803" i="31"/>
  <c r="R804" i="31"/>
  <c r="R805" i="31"/>
  <c r="R806" i="31"/>
  <c r="R807" i="31"/>
  <c r="R808" i="31"/>
  <c r="R809" i="31"/>
  <c r="R810" i="31"/>
  <c r="R811" i="31"/>
  <c r="R812" i="31"/>
  <c r="R813" i="31"/>
  <c r="R814" i="31"/>
  <c r="R815" i="31"/>
  <c r="R816" i="31"/>
  <c r="R817" i="31"/>
  <c r="R818" i="31"/>
  <c r="R819" i="31"/>
  <c r="R820" i="31"/>
  <c r="R821" i="31"/>
  <c r="R822" i="31"/>
  <c r="R823" i="31"/>
  <c r="R824" i="31"/>
  <c r="R825" i="31"/>
  <c r="R826" i="31"/>
  <c r="R827" i="31"/>
  <c r="R828" i="31"/>
  <c r="R829" i="31"/>
  <c r="R830" i="31"/>
  <c r="R831" i="31"/>
  <c r="R832" i="31"/>
  <c r="R833" i="31"/>
  <c r="R834" i="31"/>
  <c r="R835" i="31"/>
  <c r="R836" i="31"/>
  <c r="R837" i="31"/>
  <c r="R838" i="31"/>
  <c r="R839" i="31"/>
  <c r="R840" i="31"/>
  <c r="R841" i="31"/>
  <c r="R842" i="31"/>
  <c r="R843" i="31"/>
  <c r="R844" i="31"/>
  <c r="R845" i="31"/>
  <c r="R846" i="31"/>
  <c r="R847" i="31"/>
  <c r="R848" i="31"/>
  <c r="R849" i="31"/>
  <c r="R850" i="31"/>
  <c r="R851" i="31"/>
  <c r="R852" i="31"/>
  <c r="R853" i="31"/>
  <c r="R854" i="31"/>
  <c r="R855" i="31"/>
  <c r="R856" i="31"/>
  <c r="R857" i="31"/>
  <c r="R858" i="31"/>
  <c r="R859" i="31"/>
  <c r="R860" i="31"/>
  <c r="R861" i="31"/>
  <c r="R862" i="31"/>
  <c r="R863" i="31"/>
  <c r="R864" i="31"/>
  <c r="R865" i="31"/>
  <c r="R866" i="31"/>
  <c r="R867" i="31"/>
  <c r="R868" i="31"/>
  <c r="R869" i="31"/>
  <c r="R870" i="31"/>
  <c r="R871" i="31"/>
  <c r="R872" i="31"/>
  <c r="R873" i="31"/>
  <c r="R874" i="31"/>
  <c r="R875" i="31"/>
  <c r="R876" i="31"/>
  <c r="R877" i="31"/>
  <c r="R878" i="31"/>
  <c r="R879" i="31"/>
  <c r="R880" i="31"/>
  <c r="R881" i="31"/>
  <c r="R2" i="31"/>
  <c r="P3" i="31"/>
  <c r="P4" i="31"/>
  <c r="P5" i="31"/>
  <c r="P6" i="31"/>
  <c r="P7" i="31"/>
  <c r="P8" i="31"/>
  <c r="P9" i="31"/>
  <c r="P10" i="31"/>
  <c r="P11" i="31"/>
  <c r="P12" i="31"/>
  <c r="P13" i="31"/>
  <c r="P14" i="31"/>
  <c r="P15" i="31"/>
  <c r="P16" i="31"/>
  <c r="P17" i="31"/>
  <c r="P18" i="31"/>
  <c r="P19" i="31"/>
  <c r="P20" i="31"/>
  <c r="P21" i="31"/>
  <c r="P22" i="31"/>
  <c r="P23" i="31"/>
  <c r="P24" i="31"/>
  <c r="P25" i="31"/>
  <c r="P26" i="31"/>
  <c r="P27" i="31"/>
  <c r="P28" i="31"/>
  <c r="P29" i="31"/>
  <c r="P30" i="31"/>
  <c r="P31" i="31"/>
  <c r="P32" i="31"/>
  <c r="P33" i="31"/>
  <c r="P34" i="31"/>
  <c r="P35" i="31"/>
  <c r="P36" i="31"/>
  <c r="P37" i="31"/>
  <c r="P38" i="31"/>
  <c r="P39" i="31"/>
  <c r="P40" i="31"/>
  <c r="P41" i="31"/>
  <c r="P42" i="31"/>
  <c r="P43" i="31"/>
  <c r="P44" i="31"/>
  <c r="P45" i="31"/>
  <c r="P46" i="31"/>
  <c r="P47" i="31"/>
  <c r="P48" i="31"/>
  <c r="P49" i="31"/>
  <c r="P50" i="31"/>
  <c r="P51" i="31"/>
  <c r="P52" i="31"/>
  <c r="P53" i="31"/>
  <c r="P54" i="31"/>
  <c r="P55" i="31"/>
  <c r="P56" i="31"/>
  <c r="P57" i="31"/>
  <c r="P58" i="31"/>
  <c r="P59" i="31"/>
  <c r="P60" i="31"/>
  <c r="P61" i="31"/>
  <c r="P62" i="31"/>
  <c r="P63" i="31"/>
  <c r="P64" i="31"/>
  <c r="P65" i="31"/>
  <c r="P66" i="31"/>
  <c r="P67" i="31"/>
  <c r="P68" i="31"/>
  <c r="P69" i="31"/>
  <c r="P70" i="31"/>
  <c r="P71" i="31"/>
  <c r="P72" i="31"/>
  <c r="P73" i="31"/>
  <c r="P74" i="31"/>
  <c r="P75" i="31"/>
  <c r="P76" i="31"/>
  <c r="P77" i="31"/>
  <c r="P78" i="31"/>
  <c r="P79" i="31"/>
  <c r="P80" i="31"/>
  <c r="P81" i="31"/>
  <c r="P82" i="31"/>
  <c r="P83" i="31"/>
  <c r="P84" i="31"/>
  <c r="P85" i="31"/>
  <c r="P86" i="31"/>
  <c r="P87" i="31"/>
  <c r="P88" i="31"/>
  <c r="P89" i="31"/>
  <c r="P90" i="31"/>
  <c r="P91" i="31"/>
  <c r="P92" i="31"/>
  <c r="P93" i="31"/>
  <c r="P94" i="31"/>
  <c r="P95" i="31"/>
  <c r="P96" i="31"/>
  <c r="P97" i="31"/>
  <c r="P98" i="31"/>
  <c r="P99" i="31"/>
  <c r="P100" i="31"/>
  <c r="P101" i="31"/>
  <c r="P102" i="31"/>
  <c r="P103" i="31"/>
  <c r="P104" i="31"/>
  <c r="P105" i="31"/>
  <c r="P106" i="31"/>
  <c r="P107" i="31"/>
  <c r="P108" i="31"/>
  <c r="P109" i="31"/>
  <c r="P110" i="31"/>
  <c r="P111" i="31"/>
  <c r="P112" i="31"/>
  <c r="P113" i="31"/>
  <c r="P114" i="31"/>
  <c r="P115" i="31"/>
  <c r="P116" i="31"/>
  <c r="P117" i="31"/>
  <c r="P118" i="31"/>
  <c r="P119" i="31"/>
  <c r="P120" i="31"/>
  <c r="P121" i="31"/>
  <c r="P122" i="31"/>
  <c r="P123" i="31"/>
  <c r="P124" i="31"/>
  <c r="P125" i="31"/>
  <c r="P126" i="31"/>
  <c r="P127" i="31"/>
  <c r="P128" i="31"/>
  <c r="P129" i="31"/>
  <c r="P130" i="31"/>
  <c r="P131" i="31"/>
  <c r="P132" i="31"/>
  <c r="P133" i="31"/>
  <c r="P134" i="31"/>
  <c r="P135" i="31"/>
  <c r="P136" i="31"/>
  <c r="P137" i="31"/>
  <c r="P138" i="31"/>
  <c r="P139" i="31"/>
  <c r="P140" i="31"/>
  <c r="P141" i="31"/>
  <c r="P142" i="31"/>
  <c r="P143" i="31"/>
  <c r="P144" i="31"/>
  <c r="P145" i="31"/>
  <c r="P146" i="31"/>
  <c r="P147" i="31"/>
  <c r="P148" i="31"/>
  <c r="P149" i="31"/>
  <c r="P150" i="31"/>
  <c r="P151" i="31"/>
  <c r="P152" i="31"/>
  <c r="P153" i="31"/>
  <c r="P154" i="31"/>
  <c r="P155" i="31"/>
  <c r="P156" i="31"/>
  <c r="P157" i="31"/>
  <c r="P158" i="31"/>
  <c r="P159" i="31"/>
  <c r="P160" i="31"/>
  <c r="P161" i="31"/>
  <c r="P162" i="31"/>
  <c r="P163" i="31"/>
  <c r="P164" i="31"/>
  <c r="P165" i="31"/>
  <c r="P166" i="31"/>
  <c r="P167" i="31"/>
  <c r="P168" i="31"/>
  <c r="P169" i="31"/>
  <c r="P170" i="31"/>
  <c r="P171" i="31"/>
  <c r="P172" i="31"/>
  <c r="P173" i="31"/>
  <c r="P174" i="31"/>
  <c r="P175" i="31"/>
  <c r="P176" i="31"/>
  <c r="P177" i="31"/>
  <c r="P178" i="31"/>
  <c r="P179" i="31"/>
  <c r="P180" i="31"/>
  <c r="P181" i="31"/>
  <c r="P182" i="31"/>
  <c r="P183" i="31"/>
  <c r="P184" i="31"/>
  <c r="P185" i="31"/>
  <c r="P186" i="31"/>
  <c r="P187" i="31"/>
  <c r="P188" i="31"/>
  <c r="P189" i="31"/>
  <c r="P190" i="31"/>
  <c r="P191" i="31"/>
  <c r="P192" i="31"/>
  <c r="P193" i="31"/>
  <c r="P194" i="31"/>
  <c r="P195" i="31"/>
  <c r="P196" i="31"/>
  <c r="P197" i="31"/>
  <c r="P198" i="31"/>
  <c r="P199" i="31"/>
  <c r="P200" i="31"/>
  <c r="P201" i="31"/>
  <c r="P202" i="31"/>
  <c r="P203" i="31"/>
  <c r="P204" i="31"/>
  <c r="P205" i="31"/>
  <c r="P206" i="31"/>
  <c r="P207" i="31"/>
  <c r="P208" i="31"/>
  <c r="P209" i="31"/>
  <c r="P210" i="31"/>
  <c r="P211" i="31"/>
  <c r="P212" i="31"/>
  <c r="P213" i="31"/>
  <c r="P214" i="31"/>
  <c r="P215" i="31"/>
  <c r="P216" i="31"/>
  <c r="P217" i="31"/>
  <c r="P218" i="31"/>
  <c r="P219" i="31"/>
  <c r="P220" i="31"/>
  <c r="P221" i="31"/>
  <c r="P222" i="31"/>
  <c r="P223" i="31"/>
  <c r="P224" i="31"/>
  <c r="P225" i="31"/>
  <c r="P226" i="31"/>
  <c r="P227" i="31"/>
  <c r="P228" i="31"/>
  <c r="P229" i="31"/>
  <c r="P230" i="31"/>
  <c r="P231" i="31"/>
  <c r="P232" i="31"/>
  <c r="P233" i="31"/>
  <c r="P234" i="31"/>
  <c r="P235" i="31"/>
  <c r="P236" i="31"/>
  <c r="P237" i="31"/>
  <c r="P238" i="31"/>
  <c r="P239" i="31"/>
  <c r="P240" i="31"/>
  <c r="P241" i="31"/>
  <c r="P242" i="31"/>
  <c r="P243" i="31"/>
  <c r="P244" i="31"/>
  <c r="P245" i="31"/>
  <c r="P246" i="31"/>
  <c r="P247" i="31"/>
  <c r="P248" i="31"/>
  <c r="P249" i="31"/>
  <c r="P250" i="31"/>
  <c r="P251" i="31"/>
  <c r="P252" i="31"/>
  <c r="P253" i="31"/>
  <c r="P254" i="31"/>
  <c r="P255" i="31"/>
  <c r="P256" i="31"/>
  <c r="P257" i="31"/>
  <c r="P258" i="31"/>
  <c r="P259" i="31"/>
  <c r="P260" i="31"/>
  <c r="P261" i="31"/>
  <c r="P262" i="31"/>
  <c r="P263" i="31"/>
  <c r="P264" i="31"/>
  <c r="P265" i="31"/>
  <c r="P266" i="31"/>
  <c r="P267" i="31"/>
  <c r="P268" i="31"/>
  <c r="P269" i="31"/>
  <c r="P270" i="31"/>
  <c r="P271" i="31"/>
  <c r="P272" i="31"/>
  <c r="P273" i="31"/>
  <c r="P274" i="31"/>
  <c r="P275" i="31"/>
  <c r="P276" i="31"/>
  <c r="P277" i="31"/>
  <c r="P278" i="31"/>
  <c r="P279" i="31"/>
  <c r="P280" i="31"/>
  <c r="P281" i="31"/>
  <c r="P282" i="31"/>
  <c r="P283" i="31"/>
  <c r="P284" i="31"/>
  <c r="P285" i="31"/>
  <c r="P286" i="31"/>
  <c r="P287" i="31"/>
  <c r="P288" i="31"/>
  <c r="P289" i="31"/>
  <c r="P290" i="31"/>
  <c r="P291" i="31"/>
  <c r="P292" i="31"/>
  <c r="P293" i="31"/>
  <c r="P294" i="31"/>
  <c r="P295" i="31"/>
  <c r="P296" i="31"/>
  <c r="P297" i="31"/>
  <c r="P298" i="31"/>
  <c r="P299" i="31"/>
  <c r="P300" i="31"/>
  <c r="P301" i="31"/>
  <c r="P302" i="31"/>
  <c r="P303" i="31"/>
  <c r="P304" i="31"/>
  <c r="P305" i="31"/>
  <c r="P306" i="31"/>
  <c r="P307" i="31"/>
  <c r="P308" i="31"/>
  <c r="P309" i="31"/>
  <c r="P310" i="31"/>
  <c r="P311" i="31"/>
  <c r="P312" i="31"/>
  <c r="P313" i="31"/>
  <c r="P314" i="31"/>
  <c r="P315" i="31"/>
  <c r="P316" i="31"/>
  <c r="P317" i="31"/>
  <c r="P318" i="31"/>
  <c r="P319" i="31"/>
  <c r="P320" i="31"/>
  <c r="P321" i="31"/>
  <c r="P322" i="31"/>
  <c r="P323" i="31"/>
  <c r="P324" i="31"/>
  <c r="P325" i="31"/>
  <c r="P326" i="31"/>
  <c r="P327" i="31"/>
  <c r="P328" i="31"/>
  <c r="P329" i="31"/>
  <c r="P330" i="31"/>
  <c r="P331" i="31"/>
  <c r="P332" i="31"/>
  <c r="P333" i="31"/>
  <c r="P334" i="31"/>
  <c r="P335" i="31"/>
  <c r="P336" i="31"/>
  <c r="P337" i="31"/>
  <c r="P338" i="31"/>
  <c r="P339" i="31"/>
  <c r="P340" i="31"/>
  <c r="P341" i="31"/>
  <c r="P342" i="31"/>
  <c r="P343" i="31"/>
  <c r="P344" i="31"/>
  <c r="P345" i="31"/>
  <c r="P346" i="31"/>
  <c r="P347" i="31"/>
  <c r="P348" i="31"/>
  <c r="P349" i="31"/>
  <c r="P350" i="31"/>
  <c r="P351" i="31"/>
  <c r="P352" i="31"/>
  <c r="P353" i="31"/>
  <c r="P354" i="31"/>
  <c r="P355" i="31"/>
  <c r="P356" i="31"/>
  <c r="P357" i="31"/>
  <c r="P358" i="31"/>
  <c r="P359" i="31"/>
  <c r="P360" i="31"/>
  <c r="P361" i="31"/>
  <c r="P362" i="31"/>
  <c r="P363" i="31"/>
  <c r="P364" i="31"/>
  <c r="P365" i="31"/>
  <c r="P366" i="31"/>
  <c r="P367" i="31"/>
  <c r="P368" i="31"/>
  <c r="P369" i="31"/>
  <c r="P370" i="31"/>
  <c r="P371" i="31"/>
  <c r="P372" i="31"/>
  <c r="P373" i="31"/>
  <c r="P374" i="31"/>
  <c r="P375" i="31"/>
  <c r="P376" i="31"/>
  <c r="P377" i="31"/>
  <c r="P378" i="31"/>
  <c r="P379" i="31"/>
  <c r="P380" i="31"/>
  <c r="P381" i="31"/>
  <c r="P382" i="31"/>
  <c r="P383" i="31"/>
  <c r="P384" i="31"/>
  <c r="P385" i="31"/>
  <c r="P386" i="31"/>
  <c r="P387" i="31"/>
  <c r="P388" i="31"/>
  <c r="P389" i="31"/>
  <c r="P390" i="31"/>
  <c r="P391" i="31"/>
  <c r="P392" i="31"/>
  <c r="P393" i="31"/>
  <c r="P394" i="31"/>
  <c r="P395" i="31"/>
  <c r="P396" i="31"/>
  <c r="P397" i="31"/>
  <c r="P398" i="31"/>
  <c r="P399" i="31"/>
  <c r="P400" i="31"/>
  <c r="P401" i="31"/>
  <c r="P402" i="31"/>
  <c r="P403" i="31"/>
  <c r="P404" i="31"/>
  <c r="P405" i="31"/>
  <c r="P406" i="31"/>
  <c r="P407" i="31"/>
  <c r="P408" i="31"/>
  <c r="P409" i="31"/>
  <c r="P410" i="31"/>
  <c r="P411" i="31"/>
  <c r="P412" i="31"/>
  <c r="P413" i="31"/>
  <c r="P414" i="31"/>
  <c r="P415" i="31"/>
  <c r="P416" i="31"/>
  <c r="P417" i="31"/>
  <c r="P418" i="31"/>
  <c r="P419" i="31"/>
  <c r="P420" i="31"/>
  <c r="P421" i="31"/>
  <c r="P422" i="31"/>
  <c r="P423" i="31"/>
  <c r="P424" i="31"/>
  <c r="P425" i="31"/>
  <c r="P426" i="31"/>
  <c r="P427" i="31"/>
  <c r="P428" i="31"/>
  <c r="P429" i="31"/>
  <c r="P430" i="31"/>
  <c r="P431" i="31"/>
  <c r="P432" i="31"/>
  <c r="P433" i="31"/>
  <c r="P434" i="31"/>
  <c r="P435" i="31"/>
  <c r="P436" i="31"/>
  <c r="P437" i="31"/>
  <c r="P438" i="31"/>
  <c r="P439" i="31"/>
  <c r="P440" i="31"/>
  <c r="P441" i="31"/>
  <c r="P442" i="31"/>
  <c r="P443" i="31"/>
  <c r="P444" i="31"/>
  <c r="P445" i="31"/>
  <c r="P446" i="31"/>
  <c r="P447" i="31"/>
  <c r="P448" i="31"/>
  <c r="P449" i="31"/>
  <c r="P450" i="31"/>
  <c r="P451" i="31"/>
  <c r="P452" i="31"/>
  <c r="P453" i="31"/>
  <c r="P454" i="31"/>
  <c r="P455" i="31"/>
  <c r="P456" i="31"/>
  <c r="P457" i="31"/>
  <c r="P458" i="31"/>
  <c r="P459" i="31"/>
  <c r="P460" i="31"/>
  <c r="P461" i="31"/>
  <c r="P462" i="31"/>
  <c r="P463" i="31"/>
  <c r="P464" i="31"/>
  <c r="P465" i="31"/>
  <c r="P466" i="31"/>
  <c r="P467" i="31"/>
  <c r="P468" i="31"/>
  <c r="P469" i="31"/>
  <c r="P470" i="31"/>
  <c r="P471" i="31"/>
  <c r="P472" i="31"/>
  <c r="P473" i="31"/>
  <c r="P474" i="31"/>
  <c r="P475" i="31"/>
  <c r="P476" i="31"/>
  <c r="P477" i="31"/>
  <c r="P478" i="31"/>
  <c r="P479" i="31"/>
  <c r="P480" i="31"/>
  <c r="P481" i="31"/>
  <c r="P482" i="31"/>
  <c r="P483" i="31"/>
  <c r="P484" i="31"/>
  <c r="P485" i="31"/>
  <c r="P486" i="31"/>
  <c r="P487" i="31"/>
  <c r="P488" i="31"/>
  <c r="P489" i="31"/>
  <c r="P490" i="31"/>
  <c r="P491" i="31"/>
  <c r="P492" i="31"/>
  <c r="P493" i="31"/>
  <c r="P494" i="31"/>
  <c r="P495" i="31"/>
  <c r="P496" i="31"/>
  <c r="P497" i="31"/>
  <c r="P498" i="31"/>
  <c r="P499" i="31"/>
  <c r="P500" i="31"/>
  <c r="P501" i="31"/>
  <c r="P502" i="31"/>
  <c r="P503" i="31"/>
  <c r="P504" i="31"/>
  <c r="P505" i="31"/>
  <c r="P506" i="31"/>
  <c r="P507" i="31"/>
  <c r="P508" i="31"/>
  <c r="P509" i="31"/>
  <c r="P510" i="31"/>
  <c r="P511" i="31"/>
  <c r="P512" i="31"/>
  <c r="P513" i="31"/>
  <c r="P514" i="31"/>
  <c r="P515" i="31"/>
  <c r="P516" i="31"/>
  <c r="P517" i="31"/>
  <c r="P518" i="31"/>
  <c r="P519" i="31"/>
  <c r="P520" i="31"/>
  <c r="P521" i="31"/>
  <c r="P522" i="31"/>
  <c r="P523" i="31"/>
  <c r="P524" i="31"/>
  <c r="P525" i="31"/>
  <c r="P526" i="31"/>
  <c r="P527" i="31"/>
  <c r="P528" i="31"/>
  <c r="P529" i="31"/>
  <c r="P530" i="31"/>
  <c r="P531" i="31"/>
  <c r="P532" i="31"/>
  <c r="P533" i="31"/>
  <c r="P534" i="31"/>
  <c r="P535" i="31"/>
  <c r="P536" i="31"/>
  <c r="P537" i="31"/>
  <c r="P538" i="31"/>
  <c r="P539" i="31"/>
  <c r="P540" i="31"/>
  <c r="P541" i="31"/>
  <c r="P542" i="31"/>
  <c r="P543" i="31"/>
  <c r="P544" i="31"/>
  <c r="P545" i="31"/>
  <c r="P546" i="31"/>
  <c r="P547" i="31"/>
  <c r="P548" i="31"/>
  <c r="P549" i="31"/>
  <c r="P550" i="31"/>
  <c r="P551" i="31"/>
  <c r="P552" i="31"/>
  <c r="P553" i="31"/>
  <c r="P554" i="31"/>
  <c r="P555" i="31"/>
  <c r="P556" i="31"/>
  <c r="P557" i="31"/>
  <c r="P558" i="31"/>
  <c r="P559" i="31"/>
  <c r="P560" i="31"/>
  <c r="P561" i="31"/>
  <c r="P562" i="31"/>
  <c r="P563" i="31"/>
  <c r="P564" i="31"/>
  <c r="P565" i="31"/>
  <c r="P566" i="31"/>
  <c r="P567" i="31"/>
  <c r="P568" i="31"/>
  <c r="P569" i="31"/>
  <c r="P570" i="31"/>
  <c r="P571" i="31"/>
  <c r="P572" i="31"/>
  <c r="P573" i="31"/>
  <c r="P574" i="31"/>
  <c r="P575" i="31"/>
  <c r="P576" i="31"/>
  <c r="P577" i="31"/>
  <c r="P578" i="31"/>
  <c r="P579" i="31"/>
  <c r="P580" i="31"/>
  <c r="P581" i="31"/>
  <c r="P582" i="31"/>
  <c r="P583" i="31"/>
  <c r="P584" i="31"/>
  <c r="P585" i="31"/>
  <c r="P586" i="31"/>
  <c r="P587" i="31"/>
  <c r="P588" i="31"/>
  <c r="P589" i="31"/>
  <c r="P590" i="31"/>
  <c r="P591" i="31"/>
  <c r="P592" i="31"/>
  <c r="P593" i="31"/>
  <c r="P594" i="31"/>
  <c r="P595" i="31"/>
  <c r="P596" i="31"/>
  <c r="P597" i="31"/>
  <c r="P598" i="31"/>
  <c r="P599" i="31"/>
  <c r="P600" i="31"/>
  <c r="P601" i="31"/>
  <c r="P602" i="31"/>
  <c r="P603" i="31"/>
  <c r="P604" i="31"/>
  <c r="P605" i="31"/>
  <c r="P606" i="31"/>
  <c r="P607" i="31"/>
  <c r="P608" i="31"/>
  <c r="P609" i="31"/>
  <c r="P610" i="31"/>
  <c r="P611" i="31"/>
  <c r="P612" i="31"/>
  <c r="P613" i="31"/>
  <c r="P614" i="31"/>
  <c r="P615" i="31"/>
  <c r="P616" i="31"/>
  <c r="P617" i="31"/>
  <c r="P618" i="31"/>
  <c r="P619" i="31"/>
  <c r="P620" i="31"/>
  <c r="P621" i="31"/>
  <c r="P622" i="31"/>
  <c r="P623" i="31"/>
  <c r="P624" i="31"/>
  <c r="P625" i="31"/>
  <c r="P626" i="31"/>
  <c r="P627" i="31"/>
  <c r="P628" i="31"/>
  <c r="P629" i="31"/>
  <c r="P630" i="31"/>
  <c r="P631" i="31"/>
  <c r="P632" i="31"/>
  <c r="P633" i="31"/>
  <c r="P634" i="31"/>
  <c r="P635" i="31"/>
  <c r="P636" i="31"/>
  <c r="P637" i="31"/>
  <c r="P638" i="31"/>
  <c r="P639" i="31"/>
  <c r="P640" i="31"/>
  <c r="P641" i="31"/>
  <c r="P642" i="31"/>
  <c r="P643" i="31"/>
  <c r="P644" i="31"/>
  <c r="P645" i="31"/>
  <c r="P646" i="31"/>
  <c r="P647" i="31"/>
  <c r="P648" i="31"/>
  <c r="P649" i="31"/>
  <c r="P650" i="31"/>
  <c r="P651" i="31"/>
  <c r="P652" i="31"/>
  <c r="P653" i="31"/>
  <c r="P654" i="31"/>
  <c r="P655" i="31"/>
  <c r="P656" i="31"/>
  <c r="P657" i="31"/>
  <c r="P658" i="31"/>
  <c r="P659" i="31"/>
  <c r="P660" i="31"/>
  <c r="P661" i="31"/>
  <c r="P662" i="31"/>
  <c r="P663" i="31"/>
  <c r="P664" i="31"/>
  <c r="P665" i="31"/>
  <c r="P666" i="31"/>
  <c r="P667" i="31"/>
  <c r="P668" i="31"/>
  <c r="P669" i="31"/>
  <c r="P670" i="31"/>
  <c r="P671" i="31"/>
  <c r="P672" i="31"/>
  <c r="P673" i="31"/>
  <c r="P674" i="31"/>
  <c r="P675" i="31"/>
  <c r="P676" i="31"/>
  <c r="P677" i="31"/>
  <c r="P678" i="31"/>
  <c r="P679" i="31"/>
  <c r="P680" i="31"/>
  <c r="P681" i="31"/>
  <c r="P682" i="31"/>
  <c r="P683" i="31"/>
  <c r="P684" i="31"/>
  <c r="P685" i="31"/>
  <c r="P686" i="31"/>
  <c r="P687" i="31"/>
  <c r="P688" i="31"/>
  <c r="P689" i="31"/>
  <c r="P690" i="31"/>
  <c r="P691" i="31"/>
  <c r="P692" i="31"/>
  <c r="P693" i="31"/>
  <c r="P694" i="31"/>
  <c r="P695" i="31"/>
  <c r="P696" i="31"/>
  <c r="P697" i="31"/>
  <c r="P698" i="31"/>
  <c r="P699" i="31"/>
  <c r="P700" i="31"/>
  <c r="P701" i="31"/>
  <c r="P702" i="31"/>
  <c r="P703" i="31"/>
  <c r="P704" i="31"/>
  <c r="P705" i="31"/>
  <c r="P706" i="31"/>
  <c r="P707" i="31"/>
  <c r="P708" i="31"/>
  <c r="P709" i="31"/>
  <c r="P710" i="31"/>
  <c r="P711" i="31"/>
  <c r="P712" i="31"/>
  <c r="P713" i="31"/>
  <c r="P714" i="31"/>
  <c r="P715" i="31"/>
  <c r="P716" i="31"/>
  <c r="P717" i="31"/>
  <c r="P718" i="31"/>
  <c r="P719" i="31"/>
  <c r="P720" i="31"/>
  <c r="P721" i="31"/>
  <c r="P722" i="31"/>
  <c r="P723" i="31"/>
  <c r="P724" i="31"/>
  <c r="P725" i="31"/>
  <c r="P726" i="31"/>
  <c r="P727" i="31"/>
  <c r="P728" i="31"/>
  <c r="P729" i="31"/>
  <c r="P730" i="31"/>
  <c r="P731" i="31"/>
  <c r="P732" i="31"/>
  <c r="P733" i="31"/>
  <c r="P734" i="31"/>
  <c r="P735" i="31"/>
  <c r="P736" i="31"/>
  <c r="P737" i="31"/>
  <c r="P738" i="31"/>
  <c r="P739" i="31"/>
  <c r="P740" i="31"/>
  <c r="P741" i="31"/>
  <c r="P742" i="31"/>
  <c r="P743" i="31"/>
  <c r="P744" i="31"/>
  <c r="P745" i="31"/>
  <c r="P746" i="31"/>
  <c r="P747" i="31"/>
  <c r="P748" i="31"/>
  <c r="P749" i="31"/>
  <c r="P750" i="31"/>
  <c r="P751" i="31"/>
  <c r="P752" i="31"/>
  <c r="P753" i="31"/>
  <c r="P754" i="31"/>
  <c r="P755" i="31"/>
  <c r="P756" i="31"/>
  <c r="P757" i="31"/>
  <c r="P758" i="31"/>
  <c r="P759" i="31"/>
  <c r="P760" i="31"/>
  <c r="P761" i="31"/>
  <c r="P762" i="31"/>
  <c r="P763" i="31"/>
  <c r="P764" i="31"/>
  <c r="P765" i="31"/>
  <c r="P766" i="31"/>
  <c r="P767" i="31"/>
  <c r="P768" i="31"/>
  <c r="P769" i="31"/>
  <c r="P770" i="31"/>
  <c r="P771" i="31"/>
  <c r="P772" i="31"/>
  <c r="P773" i="31"/>
  <c r="P774" i="31"/>
  <c r="P775" i="31"/>
  <c r="P776" i="31"/>
  <c r="P777" i="31"/>
  <c r="P778" i="31"/>
  <c r="P779" i="31"/>
  <c r="P780" i="31"/>
  <c r="P781" i="31"/>
  <c r="P782" i="31"/>
  <c r="P783" i="31"/>
  <c r="P784" i="31"/>
  <c r="P785" i="31"/>
  <c r="P786" i="31"/>
  <c r="P787" i="31"/>
  <c r="P788" i="31"/>
  <c r="P789" i="31"/>
  <c r="P790" i="31"/>
  <c r="P791" i="31"/>
  <c r="P792" i="31"/>
  <c r="P793" i="31"/>
  <c r="P794" i="31"/>
  <c r="P795" i="31"/>
  <c r="P796" i="31"/>
  <c r="P797" i="31"/>
  <c r="P798" i="31"/>
  <c r="P799" i="31"/>
  <c r="P800" i="31"/>
  <c r="P801" i="31"/>
  <c r="P802" i="31"/>
  <c r="P803" i="31"/>
  <c r="P804" i="31"/>
  <c r="P805" i="31"/>
  <c r="P806" i="31"/>
  <c r="P807" i="31"/>
  <c r="P808" i="31"/>
  <c r="P809" i="31"/>
  <c r="P810" i="31"/>
  <c r="P811" i="31"/>
  <c r="P812" i="31"/>
  <c r="P813" i="31"/>
  <c r="P814" i="31"/>
  <c r="P815" i="31"/>
  <c r="P816" i="31"/>
  <c r="P817" i="31"/>
  <c r="P818" i="31"/>
  <c r="P819" i="31"/>
  <c r="P820" i="31"/>
  <c r="P821" i="31"/>
  <c r="P822" i="31"/>
  <c r="P823" i="31"/>
  <c r="P824" i="31"/>
  <c r="P825" i="31"/>
  <c r="P826" i="31"/>
  <c r="P827" i="31"/>
  <c r="P828" i="31"/>
  <c r="P829" i="31"/>
  <c r="P830" i="31"/>
  <c r="P831" i="31"/>
  <c r="P832" i="31"/>
  <c r="P833" i="31"/>
  <c r="P834" i="31"/>
  <c r="P835" i="31"/>
  <c r="P836" i="31"/>
  <c r="P837" i="31"/>
  <c r="P838" i="31"/>
  <c r="P839" i="31"/>
  <c r="P840" i="31"/>
  <c r="P841" i="31"/>
  <c r="P842" i="31"/>
  <c r="P843" i="31"/>
  <c r="P844" i="31"/>
  <c r="P845" i="31"/>
  <c r="P846" i="31"/>
  <c r="P847" i="31"/>
  <c r="P848" i="31"/>
  <c r="P849" i="31"/>
  <c r="P850" i="31"/>
  <c r="P851" i="31"/>
  <c r="P852" i="31"/>
  <c r="P853" i="31"/>
  <c r="P854" i="31"/>
  <c r="P855" i="31"/>
  <c r="P856" i="31"/>
  <c r="P857" i="31"/>
  <c r="P858" i="31"/>
  <c r="P859" i="31"/>
  <c r="P860" i="31"/>
  <c r="P861" i="31"/>
  <c r="P862" i="31"/>
  <c r="P863" i="31"/>
  <c r="P864" i="31"/>
  <c r="P865" i="31"/>
  <c r="P866" i="31"/>
  <c r="P867" i="31"/>
  <c r="P868" i="31"/>
  <c r="P869" i="31"/>
  <c r="P870" i="31"/>
  <c r="P871" i="31"/>
  <c r="P872" i="31"/>
  <c r="P873" i="31"/>
  <c r="P874" i="31"/>
  <c r="P875" i="31"/>
  <c r="P876" i="31"/>
  <c r="P877" i="31"/>
  <c r="P878" i="31"/>
  <c r="P879" i="31"/>
  <c r="P880" i="31"/>
  <c r="P881" i="31"/>
  <c r="P2" i="31"/>
  <c r="L3" i="31"/>
  <c r="L4"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L143" i="31"/>
  <c r="L144" i="31"/>
  <c r="L145" i="31"/>
  <c r="L146" i="31"/>
  <c r="L147" i="31"/>
  <c r="L148" i="31"/>
  <c r="L149" i="31"/>
  <c r="L150" i="31"/>
  <c r="L151" i="31"/>
  <c r="L152" i="31"/>
  <c r="L153" i="31"/>
  <c r="L154" i="31"/>
  <c r="L155" i="31"/>
  <c r="L156" i="31"/>
  <c r="L157" i="31"/>
  <c r="L158" i="31"/>
  <c r="L159" i="31"/>
  <c r="L160" i="31"/>
  <c r="L161" i="31"/>
  <c r="L162" i="31"/>
  <c r="L163" i="31"/>
  <c r="L164" i="31"/>
  <c r="L165" i="31"/>
  <c r="L166" i="31"/>
  <c r="L167" i="31"/>
  <c r="L168" i="31"/>
  <c r="L169" i="31"/>
  <c r="L170" i="31"/>
  <c r="L171" i="31"/>
  <c r="L172" i="31"/>
  <c r="L173" i="31"/>
  <c r="L174" i="31"/>
  <c r="L175" i="31"/>
  <c r="L176" i="31"/>
  <c r="L177" i="31"/>
  <c r="L178" i="31"/>
  <c r="L179" i="31"/>
  <c r="L180" i="31"/>
  <c r="L181" i="31"/>
  <c r="L182" i="31"/>
  <c r="L183" i="31"/>
  <c r="L184" i="31"/>
  <c r="L185" i="31"/>
  <c r="L186" i="31"/>
  <c r="L187" i="31"/>
  <c r="L188" i="31"/>
  <c r="L189" i="31"/>
  <c r="L190" i="3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222" i="31"/>
  <c r="L223"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3" i="31"/>
  <c r="L254" i="31"/>
  <c r="L255" i="31"/>
  <c r="L256" i="31"/>
  <c r="L257" i="31"/>
  <c r="L258" i="31"/>
  <c r="L259" i="31"/>
  <c r="L260" i="31"/>
  <c r="L261" i="31"/>
  <c r="L262" i="31"/>
  <c r="L263" i="31"/>
  <c r="L264" i="31"/>
  <c r="L265" i="31"/>
  <c r="L266" i="31"/>
  <c r="L267" i="31"/>
  <c r="L268"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L302" i="31"/>
  <c r="L303" i="31"/>
  <c r="L304" i="31"/>
  <c r="L305" i="31"/>
  <c r="L306" i="31"/>
  <c r="L307" i="31"/>
  <c r="L308" i="31"/>
  <c r="L309"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L355" i="31"/>
  <c r="L356" i="31"/>
  <c r="L357" i="31"/>
  <c r="L358" i="31"/>
  <c r="L359" i="31"/>
  <c r="L360" i="31"/>
  <c r="L361" i="31"/>
  <c r="L362" i="31"/>
  <c r="L363" i="31"/>
  <c r="L364" i="31"/>
  <c r="L365" i="31"/>
  <c r="L366" i="31"/>
  <c r="L367" i="31"/>
  <c r="L368" i="31"/>
  <c r="L369" i="31"/>
  <c r="L370" i="31"/>
  <c r="L371" i="31"/>
  <c r="L372" i="31"/>
  <c r="L373" i="31"/>
  <c r="L374" i="31"/>
  <c r="L375" i="31"/>
  <c r="L376" i="31"/>
  <c r="L377" i="31"/>
  <c r="L378" i="31"/>
  <c r="L379" i="31"/>
  <c r="L380" i="31"/>
  <c r="L381" i="31"/>
  <c r="L382" i="31"/>
  <c r="L383" i="31"/>
  <c r="L384" i="31"/>
  <c r="L385" i="31"/>
  <c r="L386" i="31"/>
  <c r="L387" i="31"/>
  <c r="L388" i="31"/>
  <c r="L389" i="31"/>
  <c r="L390" i="31"/>
  <c r="L391" i="31"/>
  <c r="L392" i="31"/>
  <c r="L393" i="31"/>
  <c r="L394" i="31"/>
  <c r="L395" i="31"/>
  <c r="L396" i="31"/>
  <c r="L397" i="31"/>
  <c r="L398" i="31"/>
  <c r="L399" i="31"/>
  <c r="L400" i="31"/>
  <c r="L401" i="31"/>
  <c r="L402" i="31"/>
  <c r="L403" i="31"/>
  <c r="L404" i="31"/>
  <c r="L405" i="31"/>
  <c r="L406" i="31"/>
  <c r="L407" i="31"/>
  <c r="L408" i="31"/>
  <c r="L409" i="31"/>
  <c r="L410" i="31"/>
  <c r="L411" i="31"/>
  <c r="L412" i="31"/>
  <c r="L413" i="31"/>
  <c r="L414" i="31"/>
  <c r="L415" i="31"/>
  <c r="L416" i="31"/>
  <c r="L417" i="31"/>
  <c r="L418" i="31"/>
  <c r="L419" i="31"/>
  <c r="L420" i="31"/>
  <c r="L421" i="31"/>
  <c r="L422" i="31"/>
  <c r="L423" i="31"/>
  <c r="L424" i="31"/>
  <c r="L425" i="31"/>
  <c r="L426" i="31"/>
  <c r="L427" i="31"/>
  <c r="L428" i="31"/>
  <c r="L429" i="31"/>
  <c r="L430" i="31"/>
  <c r="L431" i="31"/>
  <c r="L432" i="31"/>
  <c r="L433" i="31"/>
  <c r="L434" i="31"/>
  <c r="L435" i="31"/>
  <c r="L436" i="31"/>
  <c r="L437" i="31"/>
  <c r="L438" i="31"/>
  <c r="L439" i="31"/>
  <c r="L440" i="31"/>
  <c r="L441" i="31"/>
  <c r="L442" i="31"/>
  <c r="L443" i="31"/>
  <c r="L444" i="31"/>
  <c r="L445" i="31"/>
  <c r="L446" i="31"/>
  <c r="L447" i="31"/>
  <c r="L448" i="3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L472" i="31"/>
  <c r="L473" i="31"/>
  <c r="L474" i="31"/>
  <c r="L475" i="31"/>
  <c r="L476" i="31"/>
  <c r="L477" i="31"/>
  <c r="L478" i="31"/>
  <c r="L479" i="31"/>
  <c r="L480" i="31"/>
  <c r="L481" i="31"/>
  <c r="L482" i="31"/>
  <c r="L483" i="31"/>
  <c r="L484" i="31"/>
  <c r="L485" i="31"/>
  <c r="L486" i="31"/>
  <c r="L487" i="31"/>
  <c r="L488" i="31"/>
  <c r="L489" i="31"/>
  <c r="L490" i="31"/>
  <c r="L491" i="31"/>
  <c r="L492" i="31"/>
  <c r="L493" i="31"/>
  <c r="L494" i="31"/>
  <c r="L495" i="31"/>
  <c r="L496" i="31"/>
  <c r="L497" i="31"/>
  <c r="L498" i="31"/>
  <c r="L499" i="31"/>
  <c r="L500" i="31"/>
  <c r="L501" i="31"/>
  <c r="L502" i="31"/>
  <c r="L503" i="31"/>
  <c r="L504" i="31"/>
  <c r="L505" i="31"/>
  <c r="L506" i="31"/>
  <c r="L507" i="31"/>
  <c r="L508" i="31"/>
  <c r="L509" i="31"/>
  <c r="L510" i="31"/>
  <c r="L511" i="31"/>
  <c r="L512" i="31"/>
  <c r="L513" i="31"/>
  <c r="L514" i="31"/>
  <c r="L515" i="31"/>
  <c r="L516" i="31"/>
  <c r="L517" i="31"/>
  <c r="L518" i="31"/>
  <c r="L519" i="31"/>
  <c r="L520" i="31"/>
  <c r="L521" i="31"/>
  <c r="L522" i="31"/>
  <c r="L523" i="31"/>
  <c r="L524" i="31"/>
  <c r="L525" i="31"/>
  <c r="L526" i="31"/>
  <c r="L527" i="31"/>
  <c r="L528" i="31"/>
  <c r="L529" i="31"/>
  <c r="L530" i="31"/>
  <c r="L531" i="31"/>
  <c r="L532" i="31"/>
  <c r="L533" i="31"/>
  <c r="L534" i="31"/>
  <c r="L535" i="31"/>
  <c r="L536" i="31"/>
  <c r="L537" i="31"/>
  <c r="L538" i="31"/>
  <c r="L539" i="31"/>
  <c r="L540" i="31"/>
  <c r="L541" i="31"/>
  <c r="L542" i="31"/>
  <c r="L543" i="31"/>
  <c r="L544" i="31"/>
  <c r="L545" i="31"/>
  <c r="L546" i="31"/>
  <c r="L547" i="31"/>
  <c r="L548" i="31"/>
  <c r="L549" i="31"/>
  <c r="L550" i="31"/>
  <c r="L551" i="31"/>
  <c r="L552" i="31"/>
  <c r="L553" i="31"/>
  <c r="L554" i="31"/>
  <c r="L555" i="31"/>
  <c r="L556" i="31"/>
  <c r="L557" i="31"/>
  <c r="L558" i="31"/>
  <c r="L559" i="31"/>
  <c r="L560" i="31"/>
  <c r="L561" i="31"/>
  <c r="L562" i="31"/>
  <c r="L563" i="31"/>
  <c r="L564" i="31"/>
  <c r="L565" i="31"/>
  <c r="L566" i="31"/>
  <c r="L567" i="31"/>
  <c r="L568" i="31"/>
  <c r="L569" i="31"/>
  <c r="L570" i="31"/>
  <c r="L571" i="31"/>
  <c r="L572" i="31"/>
  <c r="L573" i="31"/>
  <c r="L574" i="31"/>
  <c r="L575" i="31"/>
  <c r="L576" i="31"/>
  <c r="L577" i="31"/>
  <c r="L578" i="31"/>
  <c r="L579" i="31"/>
  <c r="L580" i="31"/>
  <c r="L581" i="31"/>
  <c r="L582" i="31"/>
  <c r="L583" i="31"/>
  <c r="L584" i="31"/>
  <c r="L585" i="31"/>
  <c r="L586" i="31"/>
  <c r="L587" i="31"/>
  <c r="L588" i="31"/>
  <c r="L589" i="31"/>
  <c r="L590" i="31"/>
  <c r="L591" i="31"/>
  <c r="L592" i="31"/>
  <c r="L593" i="31"/>
  <c r="L594" i="31"/>
  <c r="L595" i="31"/>
  <c r="L596" i="31"/>
  <c r="L597" i="31"/>
  <c r="L598" i="31"/>
  <c r="L599" i="31"/>
  <c r="L600" i="31"/>
  <c r="L601" i="31"/>
  <c r="L602" i="31"/>
  <c r="L603" i="31"/>
  <c r="L604" i="31"/>
  <c r="L605" i="31"/>
  <c r="L606" i="31"/>
  <c r="L607" i="31"/>
  <c r="L608" i="31"/>
  <c r="L609" i="31"/>
  <c r="L610" i="31"/>
  <c r="L611" i="31"/>
  <c r="L612" i="31"/>
  <c r="L613" i="31"/>
  <c r="L614" i="31"/>
  <c r="L615" i="31"/>
  <c r="L616" i="31"/>
  <c r="L617" i="31"/>
  <c r="L618" i="31"/>
  <c r="L619" i="31"/>
  <c r="L620" i="31"/>
  <c r="L621" i="31"/>
  <c r="L622" i="31"/>
  <c r="L623" i="31"/>
  <c r="L624" i="31"/>
  <c r="L625" i="31"/>
  <c r="L626" i="31"/>
  <c r="L627" i="31"/>
  <c r="L628" i="31"/>
  <c r="L629" i="31"/>
  <c r="L630" i="31"/>
  <c r="L631" i="31"/>
  <c r="L632" i="31"/>
  <c r="L633" i="31"/>
  <c r="L634" i="31"/>
  <c r="L635" i="31"/>
  <c r="L636" i="31"/>
  <c r="L637" i="31"/>
  <c r="L638" i="31"/>
  <c r="L639" i="31"/>
  <c r="L640" i="31"/>
  <c r="L641" i="31"/>
  <c r="L642" i="31"/>
  <c r="L643" i="31"/>
  <c r="L644" i="31"/>
  <c r="L645" i="31"/>
  <c r="L646" i="31"/>
  <c r="L647" i="31"/>
  <c r="L648" i="31"/>
  <c r="L649" i="31"/>
  <c r="L650" i="31"/>
  <c r="L651" i="31"/>
  <c r="L652" i="31"/>
  <c r="L653" i="31"/>
  <c r="L654" i="31"/>
  <c r="L655" i="31"/>
  <c r="L656" i="31"/>
  <c r="L657" i="31"/>
  <c r="L658" i="31"/>
  <c r="L659" i="31"/>
  <c r="L660" i="31"/>
  <c r="L661" i="31"/>
  <c r="L662" i="31"/>
  <c r="L663" i="31"/>
  <c r="L664" i="31"/>
  <c r="L665" i="31"/>
  <c r="L666" i="31"/>
  <c r="L667" i="31"/>
  <c r="L668" i="31"/>
  <c r="L669" i="31"/>
  <c r="L670" i="31"/>
  <c r="L671" i="31"/>
  <c r="L672" i="31"/>
  <c r="L673" i="31"/>
  <c r="L674" i="31"/>
  <c r="L675" i="31"/>
  <c r="L676" i="31"/>
  <c r="L677" i="31"/>
  <c r="L678" i="31"/>
  <c r="L679" i="31"/>
  <c r="L680" i="31"/>
  <c r="L681" i="31"/>
  <c r="L682" i="31"/>
  <c r="L683" i="31"/>
  <c r="L684" i="31"/>
  <c r="L685" i="31"/>
  <c r="L686" i="31"/>
  <c r="L687" i="31"/>
  <c r="L688" i="31"/>
  <c r="L689" i="31"/>
  <c r="L690" i="31"/>
  <c r="L691" i="31"/>
  <c r="L692" i="31"/>
  <c r="L693" i="31"/>
  <c r="L694" i="31"/>
  <c r="L695" i="31"/>
  <c r="L696" i="31"/>
  <c r="L697" i="31"/>
  <c r="L698" i="31"/>
  <c r="L699" i="31"/>
  <c r="L700" i="31"/>
  <c r="L701" i="31"/>
  <c r="L702" i="31"/>
  <c r="L703" i="31"/>
  <c r="L704" i="31"/>
  <c r="L705" i="31"/>
  <c r="L706" i="31"/>
  <c r="L707" i="31"/>
  <c r="L708" i="31"/>
  <c r="L709" i="31"/>
  <c r="L710" i="31"/>
  <c r="L711" i="31"/>
  <c r="L712" i="31"/>
  <c r="L713" i="31"/>
  <c r="L714" i="31"/>
  <c r="L715" i="31"/>
  <c r="L716" i="31"/>
  <c r="L717" i="31"/>
  <c r="L718" i="31"/>
  <c r="L719" i="31"/>
  <c r="L720" i="31"/>
  <c r="L721" i="31"/>
  <c r="L722" i="31"/>
  <c r="L723" i="31"/>
  <c r="L724" i="31"/>
  <c r="L725" i="31"/>
  <c r="L726" i="31"/>
  <c r="L727" i="31"/>
  <c r="L728" i="31"/>
  <c r="L729" i="31"/>
  <c r="L730" i="31"/>
  <c r="L731" i="31"/>
  <c r="L732" i="31"/>
  <c r="L733" i="31"/>
  <c r="L734" i="31"/>
  <c r="L735" i="31"/>
  <c r="L736" i="31"/>
  <c r="L737" i="31"/>
  <c r="L738" i="31"/>
  <c r="L739" i="31"/>
  <c r="L740" i="31"/>
  <c r="L741" i="31"/>
  <c r="L742" i="31"/>
  <c r="L743" i="31"/>
  <c r="L744" i="31"/>
  <c r="L745" i="31"/>
  <c r="L746" i="31"/>
  <c r="L747" i="31"/>
  <c r="L748" i="31"/>
  <c r="L749" i="31"/>
  <c r="L750" i="31"/>
  <c r="L751" i="31"/>
  <c r="L752" i="31"/>
  <c r="L753" i="31"/>
  <c r="L754" i="31"/>
  <c r="L755" i="31"/>
  <c r="L756" i="31"/>
  <c r="L757" i="31"/>
  <c r="L758" i="31"/>
  <c r="L759" i="31"/>
  <c r="L760" i="31"/>
  <c r="L761" i="31"/>
  <c r="L762" i="31"/>
  <c r="L763" i="31"/>
  <c r="L764" i="31"/>
  <c r="L765" i="31"/>
  <c r="L766" i="31"/>
  <c r="L767" i="31"/>
  <c r="L768" i="31"/>
  <c r="L769" i="31"/>
  <c r="L770" i="31"/>
  <c r="L771" i="31"/>
  <c r="L772" i="31"/>
  <c r="L773" i="31"/>
  <c r="L774" i="31"/>
  <c r="L775" i="31"/>
  <c r="L776" i="31"/>
  <c r="L777" i="31"/>
  <c r="L778" i="31"/>
  <c r="L779" i="31"/>
  <c r="L780" i="31"/>
  <c r="L781" i="31"/>
  <c r="L782" i="31"/>
  <c r="L783" i="31"/>
  <c r="L784" i="31"/>
  <c r="L785" i="31"/>
  <c r="L786" i="31"/>
  <c r="L787" i="31"/>
  <c r="L788" i="31"/>
  <c r="L789" i="31"/>
  <c r="L790" i="31"/>
  <c r="L791" i="31"/>
  <c r="L792" i="31"/>
  <c r="L793" i="31"/>
  <c r="L794" i="31"/>
  <c r="L795" i="31"/>
  <c r="L796" i="31"/>
  <c r="L797" i="31"/>
  <c r="L798" i="31"/>
  <c r="L799" i="31"/>
  <c r="L800" i="31"/>
  <c r="L801" i="31"/>
  <c r="L802" i="31"/>
  <c r="L803" i="31"/>
  <c r="L804" i="31"/>
  <c r="L805" i="31"/>
  <c r="L806" i="31"/>
  <c r="L807" i="31"/>
  <c r="L808" i="31"/>
  <c r="L809" i="31"/>
  <c r="L810" i="31"/>
  <c r="L811" i="31"/>
  <c r="L812" i="31"/>
  <c r="L813" i="31"/>
  <c r="L814" i="31"/>
  <c r="L815" i="31"/>
  <c r="L816" i="31"/>
  <c r="L817" i="31"/>
  <c r="L818" i="31"/>
  <c r="L819" i="31"/>
  <c r="L820" i="31"/>
  <c r="L821" i="31"/>
  <c r="L822" i="31"/>
  <c r="L823" i="31"/>
  <c r="L824" i="31"/>
  <c r="L825" i="31"/>
  <c r="L826" i="31"/>
  <c r="L827" i="31"/>
  <c r="L828" i="31"/>
  <c r="L829" i="31"/>
  <c r="L830" i="31"/>
  <c r="L831" i="31"/>
  <c r="L832" i="31"/>
  <c r="L833" i="31"/>
  <c r="L834" i="31"/>
  <c r="L835" i="31"/>
  <c r="L836" i="31"/>
  <c r="L837" i="31"/>
  <c r="L838" i="31"/>
  <c r="L839" i="31"/>
  <c r="L840" i="31"/>
  <c r="L841" i="31"/>
  <c r="L842" i="31"/>
  <c r="L843" i="31"/>
  <c r="L844" i="31"/>
  <c r="L845" i="31"/>
  <c r="L846" i="31"/>
  <c r="L847" i="31"/>
  <c r="L848" i="31"/>
  <c r="L849" i="31"/>
  <c r="L850" i="31"/>
  <c r="L851" i="31"/>
  <c r="L852" i="31"/>
  <c r="L853" i="31"/>
  <c r="L854" i="31"/>
  <c r="L855" i="31"/>
  <c r="L856" i="31"/>
  <c r="L857" i="31"/>
  <c r="L858" i="31"/>
  <c r="L859" i="31"/>
  <c r="L860" i="31"/>
  <c r="L861" i="31"/>
  <c r="L862" i="31"/>
  <c r="L863" i="31"/>
  <c r="L864" i="31"/>
  <c r="L865" i="31"/>
  <c r="L866" i="31"/>
  <c r="L867" i="31"/>
  <c r="L868" i="31"/>
  <c r="L869" i="31"/>
  <c r="L870" i="31"/>
  <c r="L871" i="31"/>
  <c r="L872" i="31"/>
  <c r="L873" i="31"/>
  <c r="L874" i="31"/>
  <c r="L875" i="31"/>
  <c r="L876" i="31"/>
  <c r="L877" i="31"/>
  <c r="L878" i="31"/>
  <c r="L879" i="31"/>
  <c r="L880" i="31"/>
  <c r="L881" i="31"/>
  <c r="L2" i="31"/>
  <c r="AM663" i="25"/>
  <c r="AN663" i="25"/>
  <c r="AO663" i="25"/>
  <c r="AM664" i="25"/>
  <c r="AN664" i="25"/>
  <c r="AO664" i="25"/>
  <c r="AM665" i="25"/>
  <c r="AN665" i="25"/>
  <c r="AO665" i="25"/>
  <c r="AM666" i="25"/>
  <c r="AN666" i="25"/>
  <c r="AO666" i="25"/>
  <c r="AM667" i="25"/>
  <c r="AN667" i="25"/>
  <c r="AO667" i="25"/>
  <c r="AM668" i="25"/>
  <c r="AN668" i="25"/>
  <c r="AO668" i="25"/>
  <c r="AM669" i="25"/>
  <c r="AN669" i="25"/>
  <c r="AO669" i="25"/>
  <c r="AM670" i="25"/>
  <c r="AN670" i="25"/>
  <c r="AO670" i="25"/>
  <c r="AM671" i="25"/>
  <c r="AN671" i="25"/>
  <c r="AO671" i="25"/>
  <c r="AM672" i="25"/>
  <c r="AN672" i="25"/>
  <c r="AO672" i="25"/>
  <c r="AM673" i="25"/>
  <c r="AN673" i="25"/>
  <c r="AO673" i="25"/>
  <c r="AM674" i="25"/>
  <c r="AN674" i="25"/>
  <c r="AO674" i="25"/>
  <c r="AM675" i="25"/>
  <c r="AN675" i="25"/>
  <c r="AO675" i="25"/>
  <c r="AM676" i="25"/>
  <c r="AN676" i="25"/>
  <c r="AO676" i="25"/>
  <c r="AM677" i="25"/>
  <c r="AN677" i="25"/>
  <c r="AO677" i="25"/>
  <c r="AM678" i="25"/>
  <c r="AN678" i="25"/>
  <c r="AO678" i="25"/>
  <c r="AM679" i="25"/>
  <c r="AN679" i="25"/>
  <c r="AO679" i="25"/>
  <c r="AM680" i="25"/>
  <c r="AN680" i="25"/>
  <c r="AO680" i="25"/>
  <c r="AM681" i="25"/>
  <c r="AN681" i="25"/>
  <c r="AO681" i="25"/>
  <c r="AM682" i="25"/>
  <c r="AN682" i="25"/>
  <c r="AO682" i="25"/>
  <c r="AM683" i="25"/>
  <c r="AN683" i="25"/>
  <c r="AO683" i="25"/>
  <c r="AM684" i="25"/>
  <c r="AN684" i="25"/>
  <c r="AO684" i="25"/>
  <c r="AM685" i="25"/>
  <c r="AN685" i="25"/>
  <c r="AO685" i="25"/>
  <c r="AM686" i="25"/>
  <c r="AN686" i="25"/>
  <c r="AO686" i="25"/>
  <c r="AM687" i="25"/>
  <c r="AN687" i="25"/>
  <c r="AO687" i="25"/>
  <c r="AM688" i="25"/>
  <c r="AN688" i="25"/>
  <c r="AO688" i="25"/>
  <c r="AM689" i="25"/>
  <c r="AN689" i="25"/>
  <c r="AO689" i="25"/>
  <c r="AM690" i="25"/>
  <c r="AN690" i="25"/>
  <c r="AO690" i="25"/>
  <c r="AM691" i="25"/>
  <c r="AN691" i="25"/>
  <c r="AO691" i="25"/>
  <c r="AM692" i="25"/>
  <c r="AN692" i="25"/>
  <c r="AO692" i="25"/>
  <c r="AM693" i="25"/>
  <c r="AN693" i="25"/>
  <c r="AO693" i="25"/>
  <c r="AM694" i="25"/>
  <c r="AN694" i="25"/>
  <c r="AO694" i="25"/>
  <c r="AM695" i="25"/>
  <c r="AN695" i="25"/>
  <c r="AO695" i="25"/>
  <c r="AM696" i="25"/>
  <c r="AN696" i="25"/>
  <c r="AO696" i="25"/>
  <c r="AM697" i="25"/>
  <c r="AN697" i="25"/>
  <c r="AO697" i="25"/>
  <c r="AM698" i="25"/>
  <c r="AN698" i="25"/>
  <c r="AO698" i="25"/>
  <c r="AM699" i="25"/>
  <c r="AN699" i="25"/>
  <c r="AO699" i="25"/>
  <c r="AM700" i="25"/>
  <c r="AN700" i="25"/>
  <c r="AO700" i="25"/>
  <c r="AM701" i="25"/>
  <c r="AN701" i="25"/>
  <c r="AO701" i="25"/>
  <c r="AM702" i="25"/>
  <c r="AN702" i="25"/>
  <c r="AO702" i="25"/>
  <c r="AM703" i="25"/>
  <c r="AN703" i="25"/>
  <c r="AO703" i="25"/>
  <c r="AM704" i="25"/>
  <c r="AN704" i="25"/>
  <c r="AO704" i="25"/>
  <c r="AM705" i="25"/>
  <c r="AN705" i="25"/>
  <c r="AO705" i="25"/>
  <c r="AM706" i="25"/>
  <c r="AN706" i="25"/>
  <c r="AO706" i="25"/>
  <c r="AM707" i="25"/>
  <c r="AN707" i="25"/>
  <c r="AO707" i="25"/>
  <c r="AM708" i="25"/>
  <c r="AN708" i="25"/>
  <c r="AO708" i="25"/>
  <c r="AM709" i="25"/>
  <c r="AN709" i="25"/>
  <c r="AO709" i="25"/>
  <c r="AM710" i="25"/>
  <c r="AN710" i="25"/>
  <c r="AO710" i="25"/>
  <c r="AM711" i="25"/>
  <c r="AN711" i="25"/>
  <c r="AO711" i="25"/>
  <c r="AM712" i="25"/>
  <c r="AN712" i="25"/>
  <c r="AO712" i="25"/>
  <c r="AM713" i="25"/>
  <c r="AN713" i="25"/>
  <c r="AO713" i="25"/>
  <c r="AM714" i="25"/>
  <c r="AN714" i="25"/>
  <c r="AO714" i="25"/>
  <c r="AM715" i="25"/>
  <c r="AN715" i="25"/>
  <c r="AO715" i="25"/>
  <c r="AM716" i="25"/>
  <c r="AN716" i="25"/>
  <c r="AO716" i="25"/>
  <c r="AM717" i="25"/>
  <c r="AN717" i="25"/>
  <c r="AO717" i="25"/>
  <c r="AM718" i="25"/>
  <c r="AN718" i="25"/>
  <c r="AO718" i="25"/>
  <c r="AM719" i="25"/>
  <c r="AN719" i="25"/>
  <c r="AO719" i="25"/>
  <c r="AM720" i="25"/>
  <c r="AN720" i="25"/>
  <c r="AO720" i="25"/>
  <c r="AM721" i="25"/>
  <c r="AN721" i="25"/>
  <c r="AO721" i="25"/>
  <c r="AM722" i="25"/>
  <c r="AN722" i="25"/>
  <c r="AO722" i="25"/>
  <c r="AM723" i="25"/>
  <c r="AN723" i="25"/>
  <c r="AO723" i="25"/>
  <c r="AM724" i="25"/>
  <c r="AN724" i="25"/>
  <c r="AO724" i="25"/>
  <c r="AM725" i="25"/>
  <c r="AN725" i="25"/>
  <c r="AO725" i="25"/>
  <c r="AM726" i="25"/>
  <c r="AN726" i="25"/>
  <c r="AO726" i="25"/>
  <c r="AM727" i="25"/>
  <c r="AN727" i="25"/>
  <c r="AO727" i="25"/>
  <c r="AM728" i="25"/>
  <c r="AN728" i="25"/>
  <c r="AO728" i="25"/>
  <c r="AM729" i="25"/>
  <c r="AN729" i="25"/>
  <c r="AO729" i="25"/>
  <c r="AM730" i="25"/>
  <c r="AN730" i="25"/>
  <c r="AO730" i="25"/>
  <c r="AM731" i="25"/>
  <c r="AN731" i="25"/>
  <c r="AO731" i="25"/>
  <c r="AM732" i="25"/>
  <c r="AN732" i="25"/>
  <c r="AO732" i="25"/>
  <c r="AM733" i="25"/>
  <c r="AN733" i="25"/>
  <c r="AO733" i="25"/>
  <c r="AM734" i="25"/>
  <c r="AN734" i="25"/>
  <c r="AO734" i="25"/>
  <c r="AM735" i="25"/>
  <c r="AN735" i="25"/>
  <c r="AO735" i="25"/>
  <c r="AM736" i="25"/>
  <c r="AN736" i="25"/>
  <c r="AO736" i="25"/>
  <c r="AM737" i="25"/>
  <c r="AN737" i="25"/>
  <c r="AO737" i="25"/>
  <c r="AM738" i="25"/>
  <c r="AN738" i="25"/>
  <c r="AO738" i="25"/>
  <c r="AM739" i="25"/>
  <c r="AN739" i="25"/>
  <c r="AO739" i="25"/>
  <c r="AM740" i="25"/>
  <c r="AN740" i="25"/>
  <c r="AO740" i="25"/>
  <c r="AM741" i="25"/>
  <c r="AN741" i="25"/>
  <c r="AO741" i="25"/>
  <c r="AM742" i="25"/>
  <c r="AN742" i="25"/>
  <c r="AO742" i="25"/>
  <c r="AM743" i="25"/>
  <c r="AN743" i="25"/>
  <c r="AO743" i="25"/>
  <c r="AM744" i="25"/>
  <c r="AN744" i="25"/>
  <c r="AO744" i="25"/>
  <c r="AM745" i="25"/>
  <c r="AN745" i="25"/>
  <c r="AO745" i="25"/>
  <c r="AM746" i="25"/>
  <c r="AN746" i="25"/>
  <c r="AO746" i="25"/>
  <c r="AM747" i="25"/>
  <c r="AN747" i="25"/>
  <c r="AO747" i="25"/>
  <c r="AM748" i="25"/>
  <c r="AN748" i="25"/>
  <c r="AO748" i="25"/>
  <c r="AM749" i="25"/>
  <c r="AN749" i="25"/>
  <c r="AO749" i="25"/>
  <c r="AM750" i="25"/>
  <c r="AN750" i="25"/>
  <c r="AO750" i="25"/>
  <c r="AM751" i="25"/>
  <c r="AN751" i="25"/>
  <c r="AO751" i="25"/>
  <c r="AM752" i="25"/>
  <c r="AN752" i="25"/>
  <c r="AO752" i="25"/>
  <c r="AM753" i="25"/>
  <c r="AN753" i="25"/>
  <c r="AO753" i="25"/>
  <c r="AM754" i="25"/>
  <c r="AN754" i="25"/>
  <c r="AO754" i="25"/>
  <c r="AM755" i="25"/>
  <c r="AN755" i="25"/>
  <c r="AO755" i="25"/>
  <c r="AM756" i="25"/>
  <c r="AN756" i="25"/>
  <c r="AO756" i="25"/>
  <c r="AM757" i="25"/>
  <c r="AN757" i="25"/>
  <c r="AO757" i="25"/>
  <c r="AM758" i="25"/>
  <c r="AN758" i="25"/>
  <c r="AO758" i="25"/>
  <c r="AM759" i="25"/>
  <c r="AN759" i="25"/>
  <c r="AO759" i="25"/>
  <c r="AM760" i="25"/>
  <c r="AN760" i="25"/>
  <c r="AO760" i="25"/>
  <c r="AM761" i="25"/>
  <c r="AN761" i="25"/>
  <c r="AO761" i="25"/>
  <c r="AM762" i="25"/>
  <c r="AN762" i="25"/>
  <c r="AO762" i="25"/>
  <c r="AM763" i="25"/>
  <c r="AN763" i="25"/>
  <c r="AO763" i="25"/>
  <c r="AM764" i="25"/>
  <c r="AN764" i="25"/>
  <c r="AO764" i="25"/>
  <c r="AM765" i="25"/>
  <c r="AN765" i="25"/>
  <c r="AO765" i="25"/>
  <c r="AM766" i="25"/>
  <c r="AN766" i="25"/>
  <c r="AO766" i="25"/>
  <c r="AM767" i="25"/>
  <c r="AN767" i="25"/>
  <c r="AO767" i="25"/>
  <c r="AM768" i="25"/>
  <c r="AN768" i="25"/>
  <c r="AO768" i="25"/>
  <c r="AM769" i="25"/>
  <c r="AN769" i="25"/>
  <c r="AO769" i="25"/>
  <c r="AM770" i="25"/>
  <c r="AN770" i="25"/>
  <c r="AO770" i="25"/>
  <c r="AM771" i="25"/>
  <c r="AN771" i="25"/>
  <c r="AO771" i="25"/>
  <c r="AM772" i="25"/>
  <c r="AN772" i="25"/>
  <c r="AO772" i="25"/>
  <c r="AM773" i="25"/>
  <c r="AN773" i="25"/>
  <c r="AO773" i="25"/>
  <c r="AM774" i="25"/>
  <c r="AN774" i="25"/>
  <c r="AO774" i="25"/>
  <c r="AM775" i="25"/>
  <c r="AN775" i="25"/>
  <c r="AO775" i="25"/>
  <c r="AM776" i="25"/>
  <c r="AN776" i="25"/>
  <c r="AO776" i="25"/>
  <c r="AM777" i="25"/>
  <c r="AN777" i="25"/>
  <c r="AO777" i="25"/>
  <c r="AM778" i="25"/>
  <c r="AN778" i="25"/>
  <c r="AO778" i="25"/>
  <c r="AM779" i="25"/>
  <c r="AN779" i="25"/>
  <c r="AO779" i="25"/>
  <c r="AM780" i="25"/>
  <c r="AN780" i="25"/>
  <c r="AO780" i="25"/>
  <c r="AM781" i="25"/>
  <c r="AN781" i="25"/>
  <c r="AO781" i="25"/>
  <c r="AM782" i="25"/>
  <c r="AN782" i="25"/>
  <c r="AO782" i="25"/>
  <c r="AM783" i="25"/>
  <c r="AN783" i="25"/>
  <c r="AO783" i="25"/>
  <c r="AM784" i="25"/>
  <c r="AN784" i="25"/>
  <c r="AO784" i="25"/>
  <c r="AM785" i="25"/>
  <c r="AN785" i="25"/>
  <c r="AO785" i="25"/>
  <c r="AM786" i="25"/>
  <c r="AN786" i="25"/>
  <c r="AO786" i="25"/>
  <c r="AM787" i="25"/>
  <c r="AN787" i="25"/>
  <c r="AO787" i="25"/>
  <c r="AM788" i="25"/>
  <c r="AN788" i="25"/>
  <c r="AO788" i="25"/>
  <c r="AM789" i="25"/>
  <c r="AN789" i="25"/>
  <c r="AO789" i="25"/>
  <c r="AM790" i="25"/>
  <c r="AN790" i="25"/>
  <c r="AO790" i="25"/>
  <c r="AM791" i="25"/>
  <c r="AN791" i="25"/>
  <c r="AO791" i="25"/>
  <c r="AM792" i="25"/>
  <c r="AN792" i="25"/>
  <c r="AO792" i="25"/>
  <c r="AM793" i="25"/>
  <c r="AN793" i="25"/>
  <c r="AO793" i="25"/>
  <c r="AM794" i="25"/>
  <c r="AN794" i="25"/>
  <c r="AO794" i="25"/>
  <c r="AM795" i="25"/>
  <c r="AN795" i="25"/>
  <c r="AO795" i="25"/>
  <c r="AM796" i="25"/>
  <c r="AN796" i="25"/>
  <c r="AO796" i="25"/>
  <c r="AM797" i="25"/>
  <c r="AN797" i="25"/>
  <c r="AO797" i="25"/>
  <c r="AM798" i="25"/>
  <c r="AN798" i="25"/>
  <c r="AO798" i="25"/>
  <c r="AM799" i="25"/>
  <c r="AN799" i="25"/>
  <c r="AO799" i="25"/>
  <c r="AM800" i="25"/>
  <c r="AN800" i="25"/>
  <c r="AO800" i="25"/>
  <c r="AM801" i="25"/>
  <c r="AN801" i="25"/>
  <c r="AO801" i="25"/>
  <c r="AM802" i="25"/>
  <c r="AN802" i="25"/>
  <c r="AO802" i="25"/>
  <c r="AM803" i="25"/>
  <c r="AN803" i="25"/>
  <c r="AO803" i="25"/>
  <c r="AM804" i="25"/>
  <c r="AN804" i="25"/>
  <c r="AO804" i="25"/>
  <c r="AM805" i="25"/>
  <c r="AN805" i="25"/>
  <c r="AO805" i="25"/>
  <c r="AM806" i="25"/>
  <c r="AN806" i="25"/>
  <c r="AO806" i="25"/>
  <c r="AM807" i="25"/>
  <c r="AN807" i="25"/>
  <c r="AO807" i="25"/>
  <c r="AM808" i="25"/>
  <c r="AN808" i="25"/>
  <c r="AO808" i="25"/>
  <c r="AM809" i="25"/>
  <c r="AN809" i="25"/>
  <c r="AO809" i="25"/>
  <c r="AM810" i="25"/>
  <c r="AN810" i="25"/>
  <c r="AO810" i="25"/>
  <c r="AM811" i="25"/>
  <c r="AN811" i="25"/>
  <c r="AO811" i="25"/>
  <c r="AM812" i="25"/>
  <c r="AN812" i="25"/>
  <c r="AO812" i="25"/>
  <c r="AM813" i="25"/>
  <c r="AN813" i="25"/>
  <c r="AO813" i="25"/>
  <c r="AM814" i="25"/>
  <c r="AN814" i="25"/>
  <c r="AO814" i="25"/>
  <c r="AM815" i="25"/>
  <c r="AN815" i="25"/>
  <c r="AO815" i="25"/>
  <c r="AM816" i="25"/>
  <c r="AN816" i="25"/>
  <c r="AO816" i="25"/>
  <c r="AM817" i="25"/>
  <c r="AN817" i="25"/>
  <c r="AO817" i="25"/>
  <c r="AM818" i="25"/>
  <c r="AN818" i="25"/>
  <c r="AO818" i="25"/>
  <c r="AM819" i="25"/>
  <c r="AN819" i="25"/>
  <c r="AO819" i="25"/>
  <c r="AM820" i="25"/>
  <c r="AN820" i="25"/>
  <c r="AO820" i="25"/>
  <c r="AM821" i="25"/>
  <c r="AN821" i="25"/>
  <c r="AO821" i="25"/>
  <c r="AM822" i="25"/>
  <c r="AN822" i="25"/>
  <c r="AO822" i="25"/>
  <c r="AM823" i="25"/>
  <c r="AN823" i="25"/>
  <c r="AO823" i="25"/>
  <c r="AM824" i="25"/>
  <c r="AN824" i="25"/>
  <c r="AO824" i="25"/>
  <c r="AM825" i="25"/>
  <c r="AN825" i="25"/>
  <c r="AO825" i="25"/>
  <c r="AM826" i="25"/>
  <c r="AN826" i="25"/>
  <c r="AO826" i="25"/>
  <c r="AM827" i="25"/>
  <c r="AN827" i="25"/>
  <c r="AO827" i="25"/>
  <c r="AM828" i="25"/>
  <c r="AN828" i="25"/>
  <c r="AO828" i="25"/>
  <c r="AM829" i="25"/>
  <c r="AN829" i="25"/>
  <c r="AO829" i="25"/>
  <c r="AM830" i="25"/>
  <c r="AN830" i="25"/>
  <c r="AO830" i="25"/>
  <c r="AM831" i="25"/>
  <c r="AN831" i="25"/>
  <c r="AO831" i="25"/>
  <c r="AM832" i="25"/>
  <c r="AN832" i="25"/>
  <c r="AO832" i="25"/>
  <c r="AM833" i="25"/>
  <c r="AN833" i="25"/>
  <c r="AO833" i="25"/>
  <c r="AM834" i="25"/>
  <c r="AN834" i="25"/>
  <c r="AO834" i="25"/>
  <c r="AM835" i="25"/>
  <c r="AN835" i="25"/>
  <c r="AO835" i="25"/>
  <c r="AM836" i="25"/>
  <c r="AN836" i="25"/>
  <c r="AO836" i="25"/>
  <c r="AM837" i="25"/>
  <c r="AN837" i="25"/>
  <c r="AO837" i="25"/>
  <c r="AM838" i="25"/>
  <c r="AN838" i="25"/>
  <c r="AO838" i="25"/>
  <c r="AM839" i="25"/>
  <c r="AN839" i="25"/>
  <c r="AO839" i="25"/>
  <c r="AM840" i="25"/>
  <c r="AN840" i="25"/>
  <c r="AO840" i="25"/>
  <c r="AM841" i="25"/>
  <c r="AN841" i="25"/>
  <c r="AO841" i="25"/>
  <c r="AM842" i="25"/>
  <c r="AN842" i="25"/>
  <c r="AO842" i="25"/>
  <c r="AM843" i="25"/>
  <c r="AN843" i="25"/>
  <c r="AO843" i="25"/>
  <c r="AM844" i="25"/>
  <c r="AN844" i="25"/>
  <c r="AO844" i="25"/>
  <c r="AM845" i="25"/>
  <c r="AN845" i="25"/>
  <c r="AO845" i="25"/>
  <c r="AM846" i="25"/>
  <c r="AN846" i="25"/>
  <c r="AO846" i="25"/>
  <c r="AM847" i="25"/>
  <c r="AN847" i="25"/>
  <c r="AO847" i="25"/>
  <c r="AM848" i="25"/>
  <c r="AN848" i="25"/>
  <c r="AO848" i="25"/>
  <c r="AM849" i="25"/>
  <c r="AN849" i="25"/>
  <c r="AO849" i="25"/>
  <c r="AM850" i="25"/>
  <c r="AN850" i="25"/>
  <c r="AO850" i="25"/>
  <c r="AM851" i="25"/>
  <c r="AN851" i="25"/>
  <c r="AO851" i="25"/>
  <c r="AM852" i="25"/>
  <c r="AN852" i="25"/>
  <c r="AO852" i="25"/>
  <c r="AM853" i="25"/>
  <c r="AN853" i="25"/>
  <c r="AO853" i="25"/>
  <c r="AM854" i="25"/>
  <c r="AN854" i="25"/>
  <c r="AO854" i="25"/>
  <c r="AM855" i="25"/>
  <c r="AN855" i="25"/>
  <c r="AO855" i="25"/>
  <c r="AM856" i="25"/>
  <c r="AN856" i="25"/>
  <c r="AO856" i="25"/>
  <c r="AM857" i="25"/>
  <c r="AN857" i="25"/>
  <c r="AO857" i="25"/>
  <c r="AM858" i="25"/>
  <c r="AN858" i="25"/>
  <c r="AO858" i="25"/>
  <c r="AM859" i="25"/>
  <c r="AN859" i="25"/>
  <c r="AO859" i="25"/>
  <c r="AM860" i="25"/>
  <c r="AN860" i="25"/>
  <c r="AO860" i="25"/>
  <c r="AM861" i="25"/>
  <c r="AN861" i="25"/>
  <c r="AO861" i="25"/>
  <c r="AM862" i="25"/>
  <c r="AN862" i="25"/>
  <c r="AO862" i="25"/>
  <c r="AM863" i="25"/>
  <c r="AN863" i="25"/>
  <c r="AO863" i="25"/>
  <c r="AM864" i="25"/>
  <c r="AN864" i="25"/>
  <c r="AO864" i="25"/>
  <c r="AM865" i="25"/>
  <c r="AN865" i="25"/>
  <c r="AO865" i="25"/>
  <c r="AM866" i="25"/>
  <c r="AN866" i="25"/>
  <c r="AO866" i="25"/>
  <c r="AM867" i="25"/>
  <c r="AN867" i="25"/>
  <c r="AO867" i="25"/>
  <c r="AM868" i="25"/>
  <c r="AN868" i="25"/>
  <c r="AO868" i="25"/>
  <c r="AM869" i="25"/>
  <c r="AN869" i="25"/>
  <c r="AO869" i="25"/>
  <c r="AM870" i="25"/>
  <c r="AN870" i="25"/>
  <c r="AO870" i="25"/>
  <c r="AM871" i="25"/>
  <c r="AN871" i="25"/>
  <c r="AO871" i="25"/>
  <c r="AM872" i="25"/>
  <c r="AN872" i="25"/>
  <c r="AO872" i="25"/>
  <c r="AM873" i="25"/>
  <c r="AN873" i="25"/>
  <c r="AO873" i="25"/>
  <c r="AM874" i="25"/>
  <c r="AN874" i="25"/>
  <c r="AO874" i="25"/>
  <c r="AM875" i="25"/>
  <c r="AN875" i="25"/>
  <c r="AO875" i="25"/>
  <c r="AM876" i="25"/>
  <c r="AN876" i="25"/>
  <c r="AO876" i="25"/>
  <c r="AM877" i="25"/>
  <c r="AN877" i="25"/>
  <c r="AO877" i="25"/>
  <c r="AM878" i="25"/>
  <c r="AN878" i="25"/>
  <c r="AO878" i="25"/>
  <c r="AM879" i="25"/>
  <c r="AN879" i="25"/>
  <c r="AO879" i="25"/>
  <c r="AM880" i="25"/>
  <c r="AN880" i="25"/>
  <c r="AO880" i="25"/>
  <c r="AM881" i="25"/>
  <c r="AN881" i="25"/>
  <c r="AO881" i="25"/>
  <c r="AO662" i="25"/>
  <c r="AN662" i="25"/>
  <c r="AM662" i="25"/>
  <c r="AM443" i="25"/>
  <c r="AN443" i="25"/>
  <c r="AO443" i="25"/>
  <c r="AM444" i="25"/>
  <c r="AN444" i="25"/>
  <c r="AO444" i="25"/>
  <c r="AM445" i="25"/>
  <c r="AN445" i="25"/>
  <c r="AO445" i="25"/>
  <c r="AM446" i="25"/>
  <c r="AN446" i="25"/>
  <c r="AO446" i="25"/>
  <c r="AM447" i="25"/>
  <c r="AN447" i="25"/>
  <c r="AO447" i="25"/>
  <c r="AM448" i="25"/>
  <c r="AN448" i="25"/>
  <c r="AO448" i="25"/>
  <c r="AM449" i="25"/>
  <c r="AN449" i="25"/>
  <c r="AO449" i="25"/>
  <c r="AM450" i="25"/>
  <c r="AN450" i="25"/>
  <c r="AO450" i="25"/>
  <c r="AM451" i="25"/>
  <c r="AN451" i="25"/>
  <c r="AO451" i="25"/>
  <c r="AM452" i="25"/>
  <c r="AN452" i="25"/>
  <c r="AO452" i="25"/>
  <c r="AM453" i="25"/>
  <c r="AN453" i="25"/>
  <c r="AO453" i="25"/>
  <c r="AM454" i="25"/>
  <c r="AN454" i="25"/>
  <c r="AO454" i="25"/>
  <c r="AM455" i="25"/>
  <c r="AN455" i="25"/>
  <c r="AO455" i="25"/>
  <c r="AM456" i="25"/>
  <c r="AN456" i="25"/>
  <c r="AO456" i="25"/>
  <c r="AM457" i="25"/>
  <c r="AN457" i="25"/>
  <c r="AO457" i="25"/>
  <c r="AM458" i="25"/>
  <c r="AN458" i="25"/>
  <c r="AO458" i="25"/>
  <c r="AM459" i="25"/>
  <c r="AN459" i="25"/>
  <c r="AO459" i="25"/>
  <c r="AM460" i="25"/>
  <c r="AN460" i="25"/>
  <c r="AO460" i="25"/>
  <c r="AM461" i="25"/>
  <c r="AN461" i="25"/>
  <c r="AO461" i="25"/>
  <c r="AM462" i="25"/>
  <c r="AN462" i="25"/>
  <c r="AO462" i="25"/>
  <c r="AM463" i="25"/>
  <c r="AN463" i="25"/>
  <c r="AO463" i="25"/>
  <c r="AM464" i="25"/>
  <c r="AN464" i="25"/>
  <c r="AO464" i="25"/>
  <c r="AM465" i="25"/>
  <c r="AN465" i="25"/>
  <c r="AO465" i="25"/>
  <c r="AM466" i="25"/>
  <c r="AN466" i="25"/>
  <c r="AO466" i="25"/>
  <c r="AM467" i="25"/>
  <c r="AN467" i="25"/>
  <c r="AO467" i="25"/>
  <c r="AM468" i="25"/>
  <c r="AN468" i="25"/>
  <c r="AO468" i="25"/>
  <c r="AM469" i="25"/>
  <c r="AN469" i="25"/>
  <c r="AO469" i="25"/>
  <c r="AM470" i="25"/>
  <c r="AN470" i="25"/>
  <c r="AO470" i="25"/>
  <c r="AM471" i="25"/>
  <c r="AN471" i="25"/>
  <c r="AO471" i="25"/>
  <c r="AM472" i="25"/>
  <c r="AN472" i="25"/>
  <c r="AO472" i="25"/>
  <c r="AM473" i="25"/>
  <c r="AN473" i="25"/>
  <c r="AO473" i="25"/>
  <c r="AM474" i="25"/>
  <c r="AN474" i="25"/>
  <c r="AO474" i="25"/>
  <c r="AM475" i="25"/>
  <c r="AN475" i="25"/>
  <c r="AO475" i="25"/>
  <c r="AM476" i="25"/>
  <c r="AN476" i="25"/>
  <c r="AO476" i="25"/>
  <c r="AM477" i="25"/>
  <c r="AN477" i="25"/>
  <c r="AO477" i="25"/>
  <c r="AM478" i="25"/>
  <c r="AN478" i="25"/>
  <c r="AO478" i="25"/>
  <c r="AM479" i="25"/>
  <c r="AN479" i="25"/>
  <c r="AO479" i="25"/>
  <c r="AM480" i="25"/>
  <c r="AN480" i="25"/>
  <c r="AO480" i="25"/>
  <c r="AM481" i="25"/>
  <c r="AN481" i="25"/>
  <c r="AO481" i="25"/>
  <c r="AM482" i="25"/>
  <c r="AN482" i="25"/>
  <c r="AO482" i="25"/>
  <c r="AM483" i="25"/>
  <c r="AN483" i="25"/>
  <c r="AO483" i="25"/>
  <c r="AM484" i="25"/>
  <c r="AN484" i="25"/>
  <c r="AO484" i="25"/>
  <c r="AM485" i="25"/>
  <c r="AN485" i="25"/>
  <c r="AO485" i="25"/>
  <c r="AM486" i="25"/>
  <c r="AN486" i="25"/>
  <c r="AO486" i="25"/>
  <c r="AM487" i="25"/>
  <c r="AN487" i="25"/>
  <c r="AO487" i="25"/>
  <c r="AM488" i="25"/>
  <c r="AN488" i="25"/>
  <c r="AO488" i="25"/>
  <c r="AM489" i="25"/>
  <c r="AN489" i="25"/>
  <c r="AO489" i="25"/>
  <c r="AM490" i="25"/>
  <c r="AN490" i="25"/>
  <c r="AO490" i="25"/>
  <c r="AM491" i="25"/>
  <c r="AN491" i="25"/>
  <c r="AO491" i="25"/>
  <c r="AM492" i="25"/>
  <c r="AN492" i="25"/>
  <c r="AO492" i="25"/>
  <c r="AM493" i="25"/>
  <c r="AN493" i="25"/>
  <c r="AO493" i="25"/>
  <c r="AM494" i="25"/>
  <c r="AN494" i="25"/>
  <c r="AO494" i="25"/>
  <c r="AM495" i="25"/>
  <c r="AN495" i="25"/>
  <c r="AO495" i="25"/>
  <c r="AM496" i="25"/>
  <c r="AN496" i="25"/>
  <c r="AO496" i="25"/>
  <c r="AM497" i="25"/>
  <c r="AN497" i="25"/>
  <c r="AO497" i="25"/>
  <c r="AM498" i="25"/>
  <c r="AN498" i="25"/>
  <c r="AO498" i="25"/>
  <c r="AM499" i="25"/>
  <c r="AN499" i="25"/>
  <c r="AO499" i="25"/>
  <c r="AM500" i="25"/>
  <c r="AN500" i="25"/>
  <c r="AO500" i="25"/>
  <c r="AM501" i="25"/>
  <c r="AN501" i="25"/>
  <c r="AO501" i="25"/>
  <c r="AM502" i="25"/>
  <c r="AN502" i="25"/>
  <c r="AO502" i="25"/>
  <c r="AM503" i="25"/>
  <c r="AN503" i="25"/>
  <c r="AO503" i="25"/>
  <c r="AM504" i="25"/>
  <c r="AN504" i="25"/>
  <c r="AO504" i="25"/>
  <c r="AM505" i="25"/>
  <c r="AN505" i="25"/>
  <c r="AO505" i="25"/>
  <c r="AM506" i="25"/>
  <c r="AN506" i="25"/>
  <c r="AO506" i="25"/>
  <c r="AM507" i="25"/>
  <c r="AN507" i="25"/>
  <c r="AO507" i="25"/>
  <c r="AM508" i="25"/>
  <c r="AN508" i="25"/>
  <c r="AO508" i="25"/>
  <c r="AM509" i="25"/>
  <c r="AN509" i="25"/>
  <c r="AO509" i="25"/>
  <c r="AM510" i="25"/>
  <c r="AN510" i="25"/>
  <c r="AO510" i="25"/>
  <c r="AM511" i="25"/>
  <c r="AN511" i="25"/>
  <c r="AO511" i="25"/>
  <c r="AM512" i="25"/>
  <c r="AN512" i="25"/>
  <c r="AO512" i="25"/>
  <c r="AM513" i="25"/>
  <c r="AN513" i="25"/>
  <c r="AO513" i="25"/>
  <c r="AM514" i="25"/>
  <c r="AN514" i="25"/>
  <c r="AO514" i="25"/>
  <c r="AM515" i="25"/>
  <c r="AN515" i="25"/>
  <c r="AO515" i="25"/>
  <c r="AM516" i="25"/>
  <c r="AN516" i="25"/>
  <c r="AO516" i="25"/>
  <c r="AM517" i="25"/>
  <c r="AN517" i="25"/>
  <c r="AO517" i="25"/>
  <c r="AM518" i="25"/>
  <c r="AN518" i="25"/>
  <c r="AO518" i="25"/>
  <c r="AM519" i="25"/>
  <c r="AN519" i="25"/>
  <c r="AO519" i="25"/>
  <c r="AM520" i="25"/>
  <c r="AN520" i="25"/>
  <c r="AO520" i="25"/>
  <c r="AM521" i="25"/>
  <c r="AN521" i="25"/>
  <c r="AO521" i="25"/>
  <c r="AM522" i="25"/>
  <c r="AN522" i="25"/>
  <c r="AO522" i="25"/>
  <c r="AM523" i="25"/>
  <c r="AN523" i="25"/>
  <c r="AO523" i="25"/>
  <c r="AM524" i="25"/>
  <c r="AN524" i="25"/>
  <c r="AO524" i="25"/>
  <c r="AM525" i="25"/>
  <c r="AN525" i="25"/>
  <c r="AO525" i="25"/>
  <c r="AM526" i="25"/>
  <c r="AN526" i="25"/>
  <c r="AO526" i="25"/>
  <c r="AM527" i="25"/>
  <c r="AN527" i="25"/>
  <c r="AO527" i="25"/>
  <c r="AM528" i="25"/>
  <c r="AN528" i="25"/>
  <c r="AO528" i="25"/>
  <c r="AM529" i="25"/>
  <c r="AN529" i="25"/>
  <c r="AO529" i="25"/>
  <c r="AM530" i="25"/>
  <c r="AN530" i="25"/>
  <c r="AO530" i="25"/>
  <c r="AM531" i="25"/>
  <c r="AN531" i="25"/>
  <c r="AO531" i="25"/>
  <c r="AM532" i="25"/>
  <c r="AN532" i="25"/>
  <c r="AO532" i="25"/>
  <c r="AM533" i="25"/>
  <c r="AN533" i="25"/>
  <c r="AO533" i="25"/>
  <c r="AM534" i="25"/>
  <c r="AN534" i="25"/>
  <c r="AO534" i="25"/>
  <c r="AM535" i="25"/>
  <c r="AN535" i="25"/>
  <c r="AO535" i="25"/>
  <c r="AM536" i="25"/>
  <c r="AN536" i="25"/>
  <c r="AO536" i="25"/>
  <c r="AM537" i="25"/>
  <c r="AN537" i="25"/>
  <c r="AO537" i="25"/>
  <c r="AM538" i="25"/>
  <c r="AN538" i="25"/>
  <c r="AO538" i="25"/>
  <c r="AM539" i="25"/>
  <c r="AN539" i="25"/>
  <c r="AO539" i="25"/>
  <c r="AM540" i="25"/>
  <c r="AN540" i="25"/>
  <c r="AO540" i="25"/>
  <c r="AM541" i="25"/>
  <c r="AN541" i="25"/>
  <c r="AO541" i="25"/>
  <c r="AM542" i="25"/>
  <c r="AN542" i="25"/>
  <c r="AO542" i="25"/>
  <c r="AM543" i="25"/>
  <c r="AN543" i="25"/>
  <c r="AO543" i="25"/>
  <c r="AM544" i="25"/>
  <c r="AN544" i="25"/>
  <c r="AO544" i="25"/>
  <c r="AM545" i="25"/>
  <c r="AN545" i="25"/>
  <c r="AO545" i="25"/>
  <c r="AM546" i="25"/>
  <c r="AN546" i="25"/>
  <c r="AO546" i="25"/>
  <c r="AM547" i="25"/>
  <c r="AN547" i="25"/>
  <c r="AO547" i="25"/>
  <c r="AM548" i="25"/>
  <c r="AN548" i="25"/>
  <c r="AO548" i="25"/>
  <c r="AM549" i="25"/>
  <c r="AN549" i="25"/>
  <c r="AO549" i="25"/>
  <c r="AM550" i="25"/>
  <c r="AN550" i="25"/>
  <c r="AO550" i="25"/>
  <c r="AM551" i="25"/>
  <c r="AN551" i="25"/>
  <c r="AO551" i="25"/>
  <c r="AM552" i="25"/>
  <c r="AN552" i="25"/>
  <c r="AO552" i="25"/>
  <c r="AM553" i="25"/>
  <c r="AN553" i="25"/>
  <c r="AO553" i="25"/>
  <c r="AM554" i="25"/>
  <c r="AN554" i="25"/>
  <c r="AO554" i="25"/>
  <c r="AM555" i="25"/>
  <c r="AN555" i="25"/>
  <c r="AO555" i="25"/>
  <c r="AM556" i="25"/>
  <c r="AN556" i="25"/>
  <c r="AO556" i="25"/>
  <c r="AM557" i="25"/>
  <c r="AN557" i="25"/>
  <c r="AO557" i="25"/>
  <c r="AM558" i="25"/>
  <c r="AN558" i="25"/>
  <c r="AO558" i="25"/>
  <c r="AM559" i="25"/>
  <c r="AN559" i="25"/>
  <c r="AO559" i="25"/>
  <c r="AM560" i="25"/>
  <c r="AN560" i="25"/>
  <c r="AO560" i="25"/>
  <c r="AM561" i="25"/>
  <c r="AN561" i="25"/>
  <c r="AO561" i="25"/>
  <c r="AM562" i="25"/>
  <c r="AN562" i="25"/>
  <c r="AO562" i="25"/>
  <c r="AM563" i="25"/>
  <c r="AN563" i="25"/>
  <c r="AO563" i="25"/>
  <c r="AM564" i="25"/>
  <c r="AN564" i="25"/>
  <c r="AO564" i="25"/>
  <c r="AM565" i="25"/>
  <c r="AN565" i="25"/>
  <c r="AO565" i="25"/>
  <c r="AM566" i="25"/>
  <c r="AN566" i="25"/>
  <c r="AO566" i="25"/>
  <c r="AM567" i="25"/>
  <c r="AN567" i="25"/>
  <c r="AO567" i="25"/>
  <c r="AM568" i="25"/>
  <c r="AN568" i="25"/>
  <c r="AO568" i="25"/>
  <c r="AM569" i="25"/>
  <c r="AN569" i="25"/>
  <c r="AO569" i="25"/>
  <c r="AM570" i="25"/>
  <c r="AN570" i="25"/>
  <c r="AO570" i="25"/>
  <c r="AM571" i="25"/>
  <c r="AN571" i="25"/>
  <c r="AO571" i="25"/>
  <c r="AM572" i="25"/>
  <c r="AN572" i="25"/>
  <c r="AO572" i="25"/>
  <c r="AM573" i="25"/>
  <c r="AN573" i="25"/>
  <c r="AO573" i="25"/>
  <c r="AM574" i="25"/>
  <c r="AN574" i="25"/>
  <c r="AO574" i="25"/>
  <c r="AM575" i="25"/>
  <c r="AN575" i="25"/>
  <c r="AO575" i="25"/>
  <c r="AM576" i="25"/>
  <c r="AN576" i="25"/>
  <c r="AO576" i="25"/>
  <c r="AM577" i="25"/>
  <c r="AN577" i="25"/>
  <c r="AO577" i="25"/>
  <c r="AM578" i="25"/>
  <c r="AN578" i="25"/>
  <c r="AO578" i="25"/>
  <c r="AM579" i="25"/>
  <c r="AN579" i="25"/>
  <c r="AO579" i="25"/>
  <c r="AM580" i="25"/>
  <c r="AN580" i="25"/>
  <c r="AO580" i="25"/>
  <c r="AM581" i="25"/>
  <c r="AN581" i="25"/>
  <c r="AO581" i="25"/>
  <c r="AM582" i="25"/>
  <c r="AN582" i="25"/>
  <c r="AO582" i="25"/>
  <c r="AM583" i="25"/>
  <c r="AN583" i="25"/>
  <c r="AO583" i="25"/>
  <c r="AM584" i="25"/>
  <c r="AN584" i="25"/>
  <c r="AO584" i="25"/>
  <c r="AM585" i="25"/>
  <c r="AN585" i="25"/>
  <c r="AO585" i="25"/>
  <c r="AM586" i="25"/>
  <c r="AN586" i="25"/>
  <c r="AO586" i="25"/>
  <c r="AM587" i="25"/>
  <c r="AN587" i="25"/>
  <c r="AO587" i="25"/>
  <c r="AM588" i="25"/>
  <c r="AN588" i="25"/>
  <c r="AO588" i="25"/>
  <c r="AM589" i="25"/>
  <c r="AN589" i="25"/>
  <c r="AO589" i="25"/>
  <c r="AM590" i="25"/>
  <c r="AN590" i="25"/>
  <c r="AO590" i="25"/>
  <c r="AM591" i="25"/>
  <c r="AN591" i="25"/>
  <c r="AO591" i="25"/>
  <c r="AM592" i="25"/>
  <c r="AN592" i="25"/>
  <c r="AO592" i="25"/>
  <c r="AM593" i="25"/>
  <c r="AN593" i="25"/>
  <c r="AO593" i="25"/>
  <c r="AM594" i="25"/>
  <c r="AN594" i="25"/>
  <c r="AO594" i="25"/>
  <c r="AM595" i="25"/>
  <c r="AN595" i="25"/>
  <c r="AO595" i="25"/>
  <c r="AM596" i="25"/>
  <c r="AN596" i="25"/>
  <c r="AO596" i="25"/>
  <c r="AM597" i="25"/>
  <c r="AN597" i="25"/>
  <c r="AO597" i="25"/>
  <c r="AM598" i="25"/>
  <c r="AN598" i="25"/>
  <c r="AO598" i="25"/>
  <c r="AM599" i="25"/>
  <c r="AN599" i="25"/>
  <c r="AO599" i="25"/>
  <c r="AM600" i="25"/>
  <c r="AN600" i="25"/>
  <c r="AO600" i="25"/>
  <c r="AM601" i="25"/>
  <c r="AN601" i="25"/>
  <c r="AO601" i="25"/>
  <c r="AM602" i="25"/>
  <c r="AN602" i="25"/>
  <c r="AO602" i="25"/>
  <c r="AM603" i="25"/>
  <c r="AN603" i="25"/>
  <c r="AO603" i="25"/>
  <c r="AM604" i="25"/>
  <c r="AN604" i="25"/>
  <c r="AO604" i="25"/>
  <c r="AM605" i="25"/>
  <c r="AN605" i="25"/>
  <c r="AO605" i="25"/>
  <c r="AM606" i="25"/>
  <c r="AN606" i="25"/>
  <c r="AO606" i="25"/>
  <c r="AM607" i="25"/>
  <c r="AN607" i="25"/>
  <c r="AO607" i="25"/>
  <c r="AM608" i="25"/>
  <c r="AN608" i="25"/>
  <c r="AO608" i="25"/>
  <c r="AM609" i="25"/>
  <c r="AN609" i="25"/>
  <c r="AO609" i="25"/>
  <c r="AM610" i="25"/>
  <c r="AN610" i="25"/>
  <c r="AO610" i="25"/>
  <c r="AM611" i="25"/>
  <c r="AN611" i="25"/>
  <c r="AO611" i="25"/>
  <c r="AM612" i="25"/>
  <c r="AN612" i="25"/>
  <c r="AO612" i="25"/>
  <c r="AM613" i="25"/>
  <c r="AN613" i="25"/>
  <c r="AO613" i="25"/>
  <c r="AM614" i="25"/>
  <c r="AN614" i="25"/>
  <c r="AO614" i="25"/>
  <c r="AM615" i="25"/>
  <c r="AN615" i="25"/>
  <c r="AO615" i="25"/>
  <c r="AM616" i="25"/>
  <c r="AN616" i="25"/>
  <c r="AO616" i="25"/>
  <c r="AM617" i="25"/>
  <c r="AN617" i="25"/>
  <c r="AO617" i="25"/>
  <c r="AM618" i="25"/>
  <c r="AN618" i="25"/>
  <c r="AO618" i="25"/>
  <c r="AM619" i="25"/>
  <c r="AN619" i="25"/>
  <c r="AO619" i="25"/>
  <c r="AM620" i="25"/>
  <c r="AN620" i="25"/>
  <c r="AO620" i="25"/>
  <c r="AM621" i="25"/>
  <c r="AN621" i="25"/>
  <c r="AO621" i="25"/>
  <c r="AM622" i="25"/>
  <c r="AN622" i="25"/>
  <c r="AO622" i="25"/>
  <c r="AM623" i="25"/>
  <c r="AN623" i="25"/>
  <c r="AO623" i="25"/>
  <c r="AM624" i="25"/>
  <c r="AN624" i="25"/>
  <c r="AO624" i="25"/>
  <c r="AM625" i="25"/>
  <c r="AN625" i="25"/>
  <c r="AO625" i="25"/>
  <c r="AM626" i="25"/>
  <c r="AN626" i="25"/>
  <c r="AO626" i="25"/>
  <c r="AM627" i="25"/>
  <c r="AN627" i="25"/>
  <c r="AO627" i="25"/>
  <c r="AM628" i="25"/>
  <c r="AN628" i="25"/>
  <c r="AO628" i="25"/>
  <c r="AM629" i="25"/>
  <c r="AN629" i="25"/>
  <c r="AO629" i="25"/>
  <c r="AM630" i="25"/>
  <c r="AN630" i="25"/>
  <c r="AO630" i="25"/>
  <c r="AM631" i="25"/>
  <c r="AN631" i="25"/>
  <c r="AO631" i="25"/>
  <c r="AM632" i="25"/>
  <c r="AN632" i="25"/>
  <c r="AO632" i="25"/>
  <c r="AM633" i="25"/>
  <c r="AN633" i="25"/>
  <c r="AO633" i="25"/>
  <c r="AM634" i="25"/>
  <c r="AN634" i="25"/>
  <c r="AO634" i="25"/>
  <c r="AM635" i="25"/>
  <c r="AN635" i="25"/>
  <c r="AO635" i="25"/>
  <c r="AM636" i="25"/>
  <c r="AN636" i="25"/>
  <c r="AO636" i="25"/>
  <c r="AM637" i="25"/>
  <c r="AN637" i="25"/>
  <c r="AO637" i="25"/>
  <c r="AM638" i="25"/>
  <c r="AN638" i="25"/>
  <c r="AO638" i="25"/>
  <c r="AM639" i="25"/>
  <c r="AN639" i="25"/>
  <c r="AO639" i="25"/>
  <c r="AM640" i="25"/>
  <c r="AN640" i="25"/>
  <c r="AO640" i="25"/>
  <c r="AM641" i="25"/>
  <c r="AN641" i="25"/>
  <c r="AO641" i="25"/>
  <c r="AM642" i="25"/>
  <c r="AN642" i="25"/>
  <c r="AO642" i="25"/>
  <c r="AM643" i="25"/>
  <c r="AN643" i="25"/>
  <c r="AO643" i="25"/>
  <c r="AM644" i="25"/>
  <c r="AN644" i="25"/>
  <c r="AO644" i="25"/>
  <c r="AM645" i="25"/>
  <c r="AN645" i="25"/>
  <c r="AO645" i="25"/>
  <c r="AM646" i="25"/>
  <c r="AN646" i="25"/>
  <c r="AO646" i="25"/>
  <c r="AM647" i="25"/>
  <c r="AN647" i="25"/>
  <c r="AO647" i="25"/>
  <c r="AM648" i="25"/>
  <c r="AN648" i="25"/>
  <c r="AO648" i="25"/>
  <c r="AM649" i="25"/>
  <c r="AN649" i="25"/>
  <c r="AO649" i="25"/>
  <c r="AM650" i="25"/>
  <c r="AN650" i="25"/>
  <c r="AO650" i="25"/>
  <c r="AM651" i="25"/>
  <c r="AN651" i="25"/>
  <c r="AO651" i="25"/>
  <c r="AM652" i="25"/>
  <c r="AN652" i="25"/>
  <c r="AO652" i="25"/>
  <c r="AM653" i="25"/>
  <c r="AN653" i="25"/>
  <c r="AO653" i="25"/>
  <c r="AM654" i="25"/>
  <c r="AN654" i="25"/>
  <c r="AO654" i="25"/>
  <c r="AM655" i="25"/>
  <c r="AN655" i="25"/>
  <c r="AO655" i="25"/>
  <c r="AM656" i="25"/>
  <c r="AN656" i="25"/>
  <c r="AO656" i="25"/>
  <c r="AM657" i="25"/>
  <c r="AN657" i="25"/>
  <c r="AO657" i="25"/>
  <c r="AM658" i="25"/>
  <c r="AN658" i="25"/>
  <c r="AO658" i="25"/>
  <c r="AM659" i="25"/>
  <c r="AN659" i="25"/>
  <c r="AO659" i="25"/>
  <c r="AM660" i="25"/>
  <c r="AN660" i="25"/>
  <c r="AO660" i="25"/>
  <c r="AM661" i="25"/>
  <c r="AN661" i="25"/>
  <c r="AO661" i="25"/>
  <c r="AO442" i="25"/>
  <c r="AN442" i="25"/>
  <c r="AM442" i="25"/>
  <c r="AM223" i="25"/>
  <c r="AN223" i="25"/>
  <c r="AO223" i="25"/>
  <c r="AM224" i="25"/>
  <c r="AN224" i="25"/>
  <c r="AO224" i="25"/>
  <c r="AM225" i="25"/>
  <c r="AN225" i="25"/>
  <c r="AO225" i="25"/>
  <c r="AM226" i="25"/>
  <c r="AN226" i="25"/>
  <c r="AO226" i="25"/>
  <c r="AM227" i="25"/>
  <c r="AN227" i="25"/>
  <c r="AO227" i="25"/>
  <c r="AM228" i="25"/>
  <c r="AN228" i="25"/>
  <c r="AO228" i="25"/>
  <c r="AM229" i="25"/>
  <c r="AN229" i="25"/>
  <c r="AO229" i="25"/>
  <c r="AM230" i="25"/>
  <c r="AN230" i="25"/>
  <c r="AO230" i="25"/>
  <c r="AM231" i="25"/>
  <c r="AN231" i="25"/>
  <c r="AO231" i="25"/>
  <c r="AM232" i="25"/>
  <c r="AN232" i="25"/>
  <c r="AO232" i="25"/>
  <c r="AM233" i="25"/>
  <c r="AN233" i="25"/>
  <c r="AO233" i="25"/>
  <c r="AM234" i="25"/>
  <c r="AN234" i="25"/>
  <c r="AO234" i="25"/>
  <c r="AM235" i="25"/>
  <c r="AN235" i="25"/>
  <c r="AO235" i="25"/>
  <c r="AM236" i="25"/>
  <c r="AN236" i="25"/>
  <c r="AO236" i="25"/>
  <c r="AM237" i="25"/>
  <c r="AN237" i="25"/>
  <c r="AO237" i="25"/>
  <c r="AM238" i="25"/>
  <c r="AN238" i="25"/>
  <c r="AO238" i="25"/>
  <c r="AM239" i="25"/>
  <c r="AN239" i="25"/>
  <c r="AO239" i="25"/>
  <c r="AM240" i="25"/>
  <c r="AN240" i="25"/>
  <c r="AO240" i="25"/>
  <c r="AM241" i="25"/>
  <c r="AN241" i="25"/>
  <c r="AO241" i="25"/>
  <c r="AM242" i="25"/>
  <c r="AN242" i="25"/>
  <c r="AO242" i="25"/>
  <c r="AM243" i="25"/>
  <c r="AN243" i="25"/>
  <c r="AO243" i="25"/>
  <c r="AM244" i="25"/>
  <c r="AN244" i="25"/>
  <c r="AO244" i="25"/>
  <c r="AM245" i="25"/>
  <c r="AN245" i="25"/>
  <c r="AO245" i="25"/>
  <c r="AM246" i="25"/>
  <c r="AN246" i="25"/>
  <c r="AO246" i="25"/>
  <c r="AM247" i="25"/>
  <c r="AN247" i="25"/>
  <c r="AO247" i="25"/>
  <c r="AM248" i="25"/>
  <c r="AN248" i="25"/>
  <c r="AO248" i="25"/>
  <c r="AM249" i="25"/>
  <c r="AN249" i="25"/>
  <c r="AO249" i="25"/>
  <c r="AM250" i="25"/>
  <c r="AN250" i="25"/>
  <c r="AO250" i="25"/>
  <c r="AM251" i="25"/>
  <c r="AN251" i="25"/>
  <c r="AO251" i="25"/>
  <c r="AM252" i="25"/>
  <c r="AN252" i="25"/>
  <c r="AO252" i="25"/>
  <c r="AM253" i="25"/>
  <c r="AN253" i="25"/>
  <c r="AO253" i="25"/>
  <c r="AM254" i="25"/>
  <c r="AN254" i="25"/>
  <c r="AO254" i="25"/>
  <c r="AM255" i="25"/>
  <c r="AN255" i="25"/>
  <c r="AO255" i="25"/>
  <c r="AM256" i="25"/>
  <c r="AN256" i="25"/>
  <c r="AO256" i="25"/>
  <c r="AM257" i="25"/>
  <c r="AN257" i="25"/>
  <c r="AO257" i="25"/>
  <c r="AM258" i="25"/>
  <c r="AN258" i="25"/>
  <c r="AO258" i="25"/>
  <c r="AM259" i="25"/>
  <c r="AN259" i="25"/>
  <c r="AO259" i="25"/>
  <c r="AM260" i="25"/>
  <c r="AN260" i="25"/>
  <c r="AO260" i="25"/>
  <c r="AM261" i="25"/>
  <c r="AN261" i="25"/>
  <c r="AO261" i="25"/>
  <c r="AM262" i="25"/>
  <c r="AN262" i="25"/>
  <c r="AO262" i="25"/>
  <c r="AM263" i="25"/>
  <c r="AN263" i="25"/>
  <c r="AO263" i="25"/>
  <c r="AM264" i="25"/>
  <c r="AN264" i="25"/>
  <c r="AO264" i="25"/>
  <c r="AM265" i="25"/>
  <c r="AN265" i="25"/>
  <c r="AO265" i="25"/>
  <c r="AM266" i="25"/>
  <c r="AN266" i="25"/>
  <c r="AO266" i="25"/>
  <c r="AM267" i="25"/>
  <c r="AN267" i="25"/>
  <c r="AO267" i="25"/>
  <c r="AM268" i="25"/>
  <c r="AN268" i="25"/>
  <c r="AO268" i="25"/>
  <c r="AM269" i="25"/>
  <c r="AN269" i="25"/>
  <c r="AO269" i="25"/>
  <c r="AM270" i="25"/>
  <c r="AN270" i="25"/>
  <c r="AO270" i="25"/>
  <c r="AM271" i="25"/>
  <c r="AN271" i="25"/>
  <c r="AO271" i="25"/>
  <c r="AM272" i="25"/>
  <c r="AN272" i="25"/>
  <c r="AO272" i="25"/>
  <c r="AM273" i="25"/>
  <c r="AN273" i="25"/>
  <c r="AO273" i="25"/>
  <c r="AM274" i="25"/>
  <c r="AN274" i="25"/>
  <c r="AO274" i="25"/>
  <c r="AM275" i="25"/>
  <c r="AN275" i="25"/>
  <c r="AO275" i="25"/>
  <c r="AM276" i="25"/>
  <c r="AN276" i="25"/>
  <c r="AO276" i="25"/>
  <c r="AM277" i="25"/>
  <c r="AN277" i="25"/>
  <c r="AO277" i="25"/>
  <c r="AM278" i="25"/>
  <c r="AN278" i="25"/>
  <c r="AO278" i="25"/>
  <c r="AM279" i="25"/>
  <c r="AN279" i="25"/>
  <c r="AO279" i="25"/>
  <c r="AM280" i="25"/>
  <c r="AN280" i="25"/>
  <c r="AO280" i="25"/>
  <c r="AM281" i="25"/>
  <c r="AN281" i="25"/>
  <c r="AO281" i="25"/>
  <c r="AM282" i="25"/>
  <c r="AN282" i="25"/>
  <c r="AO282" i="25"/>
  <c r="AM283" i="25"/>
  <c r="AN283" i="25"/>
  <c r="AO283" i="25"/>
  <c r="AM284" i="25"/>
  <c r="AN284" i="25"/>
  <c r="AO284" i="25"/>
  <c r="AM285" i="25"/>
  <c r="AN285" i="25"/>
  <c r="AO285" i="25"/>
  <c r="AM286" i="25"/>
  <c r="AN286" i="25"/>
  <c r="AO286" i="25"/>
  <c r="AM287" i="25"/>
  <c r="AN287" i="25"/>
  <c r="AO287" i="25"/>
  <c r="AM288" i="25"/>
  <c r="AN288" i="25"/>
  <c r="AO288" i="25"/>
  <c r="AM289" i="25"/>
  <c r="AN289" i="25"/>
  <c r="AO289" i="25"/>
  <c r="AM290" i="25"/>
  <c r="AN290" i="25"/>
  <c r="AO290" i="25"/>
  <c r="AM291" i="25"/>
  <c r="AN291" i="25"/>
  <c r="AO291" i="25"/>
  <c r="AM292" i="25"/>
  <c r="AN292" i="25"/>
  <c r="AO292" i="25"/>
  <c r="AM293" i="25"/>
  <c r="AN293" i="25"/>
  <c r="AO293" i="25"/>
  <c r="AM294" i="25"/>
  <c r="AN294" i="25"/>
  <c r="AO294" i="25"/>
  <c r="AM295" i="25"/>
  <c r="AN295" i="25"/>
  <c r="AO295" i="25"/>
  <c r="AM296" i="25"/>
  <c r="AN296" i="25"/>
  <c r="AO296" i="25"/>
  <c r="AM297" i="25"/>
  <c r="AN297" i="25"/>
  <c r="AO297" i="25"/>
  <c r="AM298" i="25"/>
  <c r="AN298" i="25"/>
  <c r="AO298" i="25"/>
  <c r="AM299" i="25"/>
  <c r="AN299" i="25"/>
  <c r="AO299" i="25"/>
  <c r="AM300" i="25"/>
  <c r="AN300" i="25"/>
  <c r="AO300" i="25"/>
  <c r="AM301" i="25"/>
  <c r="AN301" i="25"/>
  <c r="AO301" i="25"/>
  <c r="AM302" i="25"/>
  <c r="AN302" i="25"/>
  <c r="AO302" i="25"/>
  <c r="AM303" i="25"/>
  <c r="AN303" i="25"/>
  <c r="AO303" i="25"/>
  <c r="AM304" i="25"/>
  <c r="AN304" i="25"/>
  <c r="AO304" i="25"/>
  <c r="AM305" i="25"/>
  <c r="AN305" i="25"/>
  <c r="AO305" i="25"/>
  <c r="AM306" i="25"/>
  <c r="AN306" i="25"/>
  <c r="AO306" i="25"/>
  <c r="AM307" i="25"/>
  <c r="AN307" i="25"/>
  <c r="AO307" i="25"/>
  <c r="AM308" i="25"/>
  <c r="AN308" i="25"/>
  <c r="AO308" i="25"/>
  <c r="AM309" i="25"/>
  <c r="AN309" i="25"/>
  <c r="AO309" i="25"/>
  <c r="AM310" i="25"/>
  <c r="AN310" i="25"/>
  <c r="AO310" i="25"/>
  <c r="AM311" i="25"/>
  <c r="AN311" i="25"/>
  <c r="AO311" i="25"/>
  <c r="AM312" i="25"/>
  <c r="AN312" i="25"/>
  <c r="AO312" i="25"/>
  <c r="AM313" i="25"/>
  <c r="AN313" i="25"/>
  <c r="AO313" i="25"/>
  <c r="AM314" i="25"/>
  <c r="AN314" i="25"/>
  <c r="AO314" i="25"/>
  <c r="AM315" i="25"/>
  <c r="AN315" i="25"/>
  <c r="AO315" i="25"/>
  <c r="AM316" i="25"/>
  <c r="AN316" i="25"/>
  <c r="AO316" i="25"/>
  <c r="AM317" i="25"/>
  <c r="AN317" i="25"/>
  <c r="AO317" i="25"/>
  <c r="AM318" i="25"/>
  <c r="AN318" i="25"/>
  <c r="AO318" i="25"/>
  <c r="AM319" i="25"/>
  <c r="AN319" i="25"/>
  <c r="AO319" i="25"/>
  <c r="AM320" i="25"/>
  <c r="AN320" i="25"/>
  <c r="AO320" i="25"/>
  <c r="AM321" i="25"/>
  <c r="AN321" i="25"/>
  <c r="AO321" i="25"/>
  <c r="AM322" i="25"/>
  <c r="AN322" i="25"/>
  <c r="AO322" i="25"/>
  <c r="AM323" i="25"/>
  <c r="AN323" i="25"/>
  <c r="AO323" i="25"/>
  <c r="AM324" i="25"/>
  <c r="AN324" i="25"/>
  <c r="AO324" i="25"/>
  <c r="AM325" i="25"/>
  <c r="AN325" i="25"/>
  <c r="AO325" i="25"/>
  <c r="AM326" i="25"/>
  <c r="AN326" i="25"/>
  <c r="AO326" i="25"/>
  <c r="AM327" i="25"/>
  <c r="AN327" i="25"/>
  <c r="AO327" i="25"/>
  <c r="AM328" i="25"/>
  <c r="AN328" i="25"/>
  <c r="AO328" i="25"/>
  <c r="AM329" i="25"/>
  <c r="AN329" i="25"/>
  <c r="AO329" i="25"/>
  <c r="AM330" i="25"/>
  <c r="AN330" i="25"/>
  <c r="AO330" i="25"/>
  <c r="AM331" i="25"/>
  <c r="AN331" i="25"/>
  <c r="AO331" i="25"/>
  <c r="AM332" i="25"/>
  <c r="AN332" i="25"/>
  <c r="AO332" i="25"/>
  <c r="AM333" i="25"/>
  <c r="AN333" i="25"/>
  <c r="AO333" i="25"/>
  <c r="AM334" i="25"/>
  <c r="AN334" i="25"/>
  <c r="AO334" i="25"/>
  <c r="AM335" i="25"/>
  <c r="AN335" i="25"/>
  <c r="AO335" i="25"/>
  <c r="AM336" i="25"/>
  <c r="AN336" i="25"/>
  <c r="AO336" i="25"/>
  <c r="AM337" i="25"/>
  <c r="AN337" i="25"/>
  <c r="AO337" i="25"/>
  <c r="AM338" i="25"/>
  <c r="AN338" i="25"/>
  <c r="AO338" i="25"/>
  <c r="AM339" i="25"/>
  <c r="AN339" i="25"/>
  <c r="AO339" i="25"/>
  <c r="AM340" i="25"/>
  <c r="AN340" i="25"/>
  <c r="AO340" i="25"/>
  <c r="AM341" i="25"/>
  <c r="AN341" i="25"/>
  <c r="AO341" i="25"/>
  <c r="AM342" i="25"/>
  <c r="AN342" i="25"/>
  <c r="AO342" i="25"/>
  <c r="AM343" i="25"/>
  <c r="AN343" i="25"/>
  <c r="AO343" i="25"/>
  <c r="AM344" i="25"/>
  <c r="AN344" i="25"/>
  <c r="AO344" i="25"/>
  <c r="AM345" i="25"/>
  <c r="AN345" i="25"/>
  <c r="AO345" i="25"/>
  <c r="AM346" i="25"/>
  <c r="AN346" i="25"/>
  <c r="AO346" i="25"/>
  <c r="AM347" i="25"/>
  <c r="AN347" i="25"/>
  <c r="AO347" i="25"/>
  <c r="AM348" i="25"/>
  <c r="AN348" i="25"/>
  <c r="AO348" i="25"/>
  <c r="AM349" i="25"/>
  <c r="AN349" i="25"/>
  <c r="AO349" i="25"/>
  <c r="AM350" i="25"/>
  <c r="AN350" i="25"/>
  <c r="AO350" i="25"/>
  <c r="AM351" i="25"/>
  <c r="AN351" i="25"/>
  <c r="AO351" i="25"/>
  <c r="AM352" i="25"/>
  <c r="AN352" i="25"/>
  <c r="AO352" i="25"/>
  <c r="AM353" i="25"/>
  <c r="AN353" i="25"/>
  <c r="AO353" i="25"/>
  <c r="AM354" i="25"/>
  <c r="AN354" i="25"/>
  <c r="AO354" i="25"/>
  <c r="AM355" i="25"/>
  <c r="AN355" i="25"/>
  <c r="AO355" i="25"/>
  <c r="AM356" i="25"/>
  <c r="AN356" i="25"/>
  <c r="AO356" i="25"/>
  <c r="AM357" i="25"/>
  <c r="AN357" i="25"/>
  <c r="AO357" i="25"/>
  <c r="AM358" i="25"/>
  <c r="AN358" i="25"/>
  <c r="AO358" i="25"/>
  <c r="AM359" i="25"/>
  <c r="AN359" i="25"/>
  <c r="AO359" i="25"/>
  <c r="AM360" i="25"/>
  <c r="AN360" i="25"/>
  <c r="AO360" i="25"/>
  <c r="AM361" i="25"/>
  <c r="AN361" i="25"/>
  <c r="AO361" i="25"/>
  <c r="AM362" i="25"/>
  <c r="AN362" i="25"/>
  <c r="AO362" i="25"/>
  <c r="AM363" i="25"/>
  <c r="AN363" i="25"/>
  <c r="AO363" i="25"/>
  <c r="AM364" i="25"/>
  <c r="AN364" i="25"/>
  <c r="AO364" i="25"/>
  <c r="AM365" i="25"/>
  <c r="AN365" i="25"/>
  <c r="AO365" i="25"/>
  <c r="AM366" i="25"/>
  <c r="AN366" i="25"/>
  <c r="AO366" i="25"/>
  <c r="AM367" i="25"/>
  <c r="AN367" i="25"/>
  <c r="AO367" i="25"/>
  <c r="AM368" i="25"/>
  <c r="AN368" i="25"/>
  <c r="AO368" i="25"/>
  <c r="AM369" i="25"/>
  <c r="AN369" i="25"/>
  <c r="AO369" i="25"/>
  <c r="AM370" i="25"/>
  <c r="AN370" i="25"/>
  <c r="AO370" i="25"/>
  <c r="AM371" i="25"/>
  <c r="AN371" i="25"/>
  <c r="AO371" i="25"/>
  <c r="AM372" i="25"/>
  <c r="AN372" i="25"/>
  <c r="AO372" i="25"/>
  <c r="AM373" i="25"/>
  <c r="AN373" i="25"/>
  <c r="AO373" i="25"/>
  <c r="AM374" i="25"/>
  <c r="AN374" i="25"/>
  <c r="AO374" i="25"/>
  <c r="AM375" i="25"/>
  <c r="AN375" i="25"/>
  <c r="AO375" i="25"/>
  <c r="AM376" i="25"/>
  <c r="AN376" i="25"/>
  <c r="AO376" i="25"/>
  <c r="AM377" i="25"/>
  <c r="AN377" i="25"/>
  <c r="AO377" i="25"/>
  <c r="AM378" i="25"/>
  <c r="AN378" i="25"/>
  <c r="AO378" i="25"/>
  <c r="AM379" i="25"/>
  <c r="AN379" i="25"/>
  <c r="AO379" i="25"/>
  <c r="AM380" i="25"/>
  <c r="AN380" i="25"/>
  <c r="AO380" i="25"/>
  <c r="AM381" i="25"/>
  <c r="AN381" i="25"/>
  <c r="AO381" i="25"/>
  <c r="AM382" i="25"/>
  <c r="AN382" i="25"/>
  <c r="AO382" i="25"/>
  <c r="AM383" i="25"/>
  <c r="AN383" i="25"/>
  <c r="AO383" i="25"/>
  <c r="AM384" i="25"/>
  <c r="AN384" i="25"/>
  <c r="AO384" i="25"/>
  <c r="AM385" i="25"/>
  <c r="AN385" i="25"/>
  <c r="AO385" i="25"/>
  <c r="AM386" i="25"/>
  <c r="AN386" i="25"/>
  <c r="AO386" i="25"/>
  <c r="AM387" i="25"/>
  <c r="AN387" i="25"/>
  <c r="AO387" i="25"/>
  <c r="AM388" i="25"/>
  <c r="AN388" i="25"/>
  <c r="AO388" i="25"/>
  <c r="AM389" i="25"/>
  <c r="AN389" i="25"/>
  <c r="AO389" i="25"/>
  <c r="AM390" i="25"/>
  <c r="AN390" i="25"/>
  <c r="AO390" i="25"/>
  <c r="AM391" i="25"/>
  <c r="AN391" i="25"/>
  <c r="AO391" i="25"/>
  <c r="AM392" i="25"/>
  <c r="AN392" i="25"/>
  <c r="AO392" i="25"/>
  <c r="AM393" i="25"/>
  <c r="AN393" i="25"/>
  <c r="AO393" i="25"/>
  <c r="AM394" i="25"/>
  <c r="AN394" i="25"/>
  <c r="AO394" i="25"/>
  <c r="AM395" i="25"/>
  <c r="AN395" i="25"/>
  <c r="AO395" i="25"/>
  <c r="AM396" i="25"/>
  <c r="AN396" i="25"/>
  <c r="AO396" i="25"/>
  <c r="AM397" i="25"/>
  <c r="AN397" i="25"/>
  <c r="AO397" i="25"/>
  <c r="AM398" i="25"/>
  <c r="AN398" i="25"/>
  <c r="AO398" i="25"/>
  <c r="AM399" i="25"/>
  <c r="AN399" i="25"/>
  <c r="AO399" i="25"/>
  <c r="AM400" i="25"/>
  <c r="AN400" i="25"/>
  <c r="AO400" i="25"/>
  <c r="AM401" i="25"/>
  <c r="AN401" i="25"/>
  <c r="AO401" i="25"/>
  <c r="AM402" i="25"/>
  <c r="AN402" i="25"/>
  <c r="AO402" i="25"/>
  <c r="AM403" i="25"/>
  <c r="AN403" i="25"/>
  <c r="AO403" i="25"/>
  <c r="AM404" i="25"/>
  <c r="AN404" i="25"/>
  <c r="AO404" i="25"/>
  <c r="AM405" i="25"/>
  <c r="AN405" i="25"/>
  <c r="AO405" i="25"/>
  <c r="AM406" i="25"/>
  <c r="AN406" i="25"/>
  <c r="AO406" i="25"/>
  <c r="AM407" i="25"/>
  <c r="AN407" i="25"/>
  <c r="AO407" i="25"/>
  <c r="AM408" i="25"/>
  <c r="AN408" i="25"/>
  <c r="AO408" i="25"/>
  <c r="AM409" i="25"/>
  <c r="AN409" i="25"/>
  <c r="AO409" i="25"/>
  <c r="AM410" i="25"/>
  <c r="AN410" i="25"/>
  <c r="AO410" i="25"/>
  <c r="AM411" i="25"/>
  <c r="AN411" i="25"/>
  <c r="AO411" i="25"/>
  <c r="AM412" i="25"/>
  <c r="AN412" i="25"/>
  <c r="AO412" i="25"/>
  <c r="AM413" i="25"/>
  <c r="AN413" i="25"/>
  <c r="AO413" i="25"/>
  <c r="AM414" i="25"/>
  <c r="AN414" i="25"/>
  <c r="AO414" i="25"/>
  <c r="AM415" i="25"/>
  <c r="AN415" i="25"/>
  <c r="AO415" i="25"/>
  <c r="AM416" i="25"/>
  <c r="AN416" i="25"/>
  <c r="AO416" i="25"/>
  <c r="AM417" i="25"/>
  <c r="AN417" i="25"/>
  <c r="AO417" i="25"/>
  <c r="AM418" i="25"/>
  <c r="AN418" i="25"/>
  <c r="AO418" i="25"/>
  <c r="AM419" i="25"/>
  <c r="AN419" i="25"/>
  <c r="AO419" i="25"/>
  <c r="AM420" i="25"/>
  <c r="AN420" i="25"/>
  <c r="AO420" i="25"/>
  <c r="AM421" i="25"/>
  <c r="AN421" i="25"/>
  <c r="AO421" i="25"/>
  <c r="AM422" i="25"/>
  <c r="AN422" i="25"/>
  <c r="AO422" i="25"/>
  <c r="AM423" i="25"/>
  <c r="AN423" i="25"/>
  <c r="AO423" i="25"/>
  <c r="AM424" i="25"/>
  <c r="AN424" i="25"/>
  <c r="AO424" i="25"/>
  <c r="AM425" i="25"/>
  <c r="AN425" i="25"/>
  <c r="AO425" i="25"/>
  <c r="AM426" i="25"/>
  <c r="AN426" i="25"/>
  <c r="AO426" i="25"/>
  <c r="AM427" i="25"/>
  <c r="AN427" i="25"/>
  <c r="AO427" i="25"/>
  <c r="AM428" i="25"/>
  <c r="AN428" i="25"/>
  <c r="AO428" i="25"/>
  <c r="AM429" i="25"/>
  <c r="AN429" i="25"/>
  <c r="AO429" i="25"/>
  <c r="AM430" i="25"/>
  <c r="AN430" i="25"/>
  <c r="AO430" i="25"/>
  <c r="AM431" i="25"/>
  <c r="AN431" i="25"/>
  <c r="AO431" i="25"/>
  <c r="AM432" i="25"/>
  <c r="AN432" i="25"/>
  <c r="AO432" i="25"/>
  <c r="AM433" i="25"/>
  <c r="AN433" i="25"/>
  <c r="AO433" i="25"/>
  <c r="AM434" i="25"/>
  <c r="AN434" i="25"/>
  <c r="AO434" i="25"/>
  <c r="AM435" i="25"/>
  <c r="AN435" i="25"/>
  <c r="AO435" i="25"/>
  <c r="AM436" i="25"/>
  <c r="AN436" i="25"/>
  <c r="AO436" i="25"/>
  <c r="AM437" i="25"/>
  <c r="AN437" i="25"/>
  <c r="AO437" i="25"/>
  <c r="AM438" i="25"/>
  <c r="AN438" i="25"/>
  <c r="AO438" i="25"/>
  <c r="AM439" i="25"/>
  <c r="AN439" i="25"/>
  <c r="AO439" i="25"/>
  <c r="AM440" i="25"/>
  <c r="AN440" i="25"/>
  <c r="AO440" i="25"/>
  <c r="AM441" i="25"/>
  <c r="AN441" i="25"/>
  <c r="AO441" i="25"/>
  <c r="AO222" i="25"/>
  <c r="AN222" i="25"/>
  <c r="AM222" i="25"/>
  <c r="AM3" i="25"/>
  <c r="AN3" i="25"/>
  <c r="AO3" i="25"/>
  <c r="AM4" i="25"/>
  <c r="AN4" i="25"/>
  <c r="AO4" i="25"/>
  <c r="AM5" i="25"/>
  <c r="AN5" i="25"/>
  <c r="AO5" i="25"/>
  <c r="AM6" i="25"/>
  <c r="AN6" i="25"/>
  <c r="AO6" i="25"/>
  <c r="AM7" i="25"/>
  <c r="AN7" i="25"/>
  <c r="AO7" i="25"/>
  <c r="AM8" i="25"/>
  <c r="AN8" i="25"/>
  <c r="AO8" i="25"/>
  <c r="AM9" i="25"/>
  <c r="AN9" i="25"/>
  <c r="AO9" i="25"/>
  <c r="AM10" i="25"/>
  <c r="AN10" i="25"/>
  <c r="AO10" i="25"/>
  <c r="AM11" i="25"/>
  <c r="AN11" i="25"/>
  <c r="AO11" i="25"/>
  <c r="AM12" i="25"/>
  <c r="AN12" i="25"/>
  <c r="AO12" i="25"/>
  <c r="AM13" i="25"/>
  <c r="AN13" i="25"/>
  <c r="AO13" i="25"/>
  <c r="AM14" i="25"/>
  <c r="AN14" i="25"/>
  <c r="AO14" i="25"/>
  <c r="AM15" i="25"/>
  <c r="AN15" i="25"/>
  <c r="AO15" i="25"/>
  <c r="AM16" i="25"/>
  <c r="AN16" i="25"/>
  <c r="AO16" i="25"/>
  <c r="AM17" i="25"/>
  <c r="AN17" i="25"/>
  <c r="AO17" i="25"/>
  <c r="AM18" i="25"/>
  <c r="AN18" i="25"/>
  <c r="AO18" i="25"/>
  <c r="AM19" i="25"/>
  <c r="AN19" i="25"/>
  <c r="AO19" i="25"/>
  <c r="AM20" i="25"/>
  <c r="AN20" i="25"/>
  <c r="AO20" i="25"/>
  <c r="AM21" i="25"/>
  <c r="AN21" i="25"/>
  <c r="AO21" i="25"/>
  <c r="AM22" i="25"/>
  <c r="AN22" i="25"/>
  <c r="AO22" i="25"/>
  <c r="AM23" i="25"/>
  <c r="AN23" i="25"/>
  <c r="AO23" i="25"/>
  <c r="AM24" i="25"/>
  <c r="AN24" i="25"/>
  <c r="AO24" i="25"/>
  <c r="AM25" i="25"/>
  <c r="AN25" i="25"/>
  <c r="AO25" i="25"/>
  <c r="AM26" i="25"/>
  <c r="AN26" i="25"/>
  <c r="AO26" i="25"/>
  <c r="AM27" i="25"/>
  <c r="AN27" i="25"/>
  <c r="AO27" i="25"/>
  <c r="AM28" i="25"/>
  <c r="AN28" i="25"/>
  <c r="AO28" i="25"/>
  <c r="AM29" i="25"/>
  <c r="AN29" i="25"/>
  <c r="AO29" i="25"/>
  <c r="AM30" i="25"/>
  <c r="AN30" i="25"/>
  <c r="AO30" i="25"/>
  <c r="AM31" i="25"/>
  <c r="AN31" i="25"/>
  <c r="AO31" i="25"/>
  <c r="AM32" i="25"/>
  <c r="AN32" i="25"/>
  <c r="AO32" i="25"/>
  <c r="AM33" i="25"/>
  <c r="AN33" i="25"/>
  <c r="AO33" i="25"/>
  <c r="AM34" i="25"/>
  <c r="AN34" i="25"/>
  <c r="AO34" i="25"/>
  <c r="AM35" i="25"/>
  <c r="AN35" i="25"/>
  <c r="AO35" i="25"/>
  <c r="AM36" i="25"/>
  <c r="AN36" i="25"/>
  <c r="AO36" i="25"/>
  <c r="AM37" i="25"/>
  <c r="AN37" i="25"/>
  <c r="AO37" i="25"/>
  <c r="AM38" i="25"/>
  <c r="AN38" i="25"/>
  <c r="AO38" i="25"/>
  <c r="AM39" i="25"/>
  <c r="AN39" i="25"/>
  <c r="AO39" i="25"/>
  <c r="AM40" i="25"/>
  <c r="AN40" i="25"/>
  <c r="AO40" i="25"/>
  <c r="AM41" i="25"/>
  <c r="AN41" i="25"/>
  <c r="AO41" i="25"/>
  <c r="AM42" i="25"/>
  <c r="AN42" i="25"/>
  <c r="AO42" i="25"/>
  <c r="AM43" i="25"/>
  <c r="AN43" i="25"/>
  <c r="AO43" i="25"/>
  <c r="AM44" i="25"/>
  <c r="AN44" i="25"/>
  <c r="AO44" i="25"/>
  <c r="AM45" i="25"/>
  <c r="AN45" i="25"/>
  <c r="AO45" i="25"/>
  <c r="AM46" i="25"/>
  <c r="AN46" i="25"/>
  <c r="AO46" i="25"/>
  <c r="AM47" i="25"/>
  <c r="AN47" i="25"/>
  <c r="AO47" i="25"/>
  <c r="AM48" i="25"/>
  <c r="AN48" i="25"/>
  <c r="AO48" i="25"/>
  <c r="AM49" i="25"/>
  <c r="AN49" i="25"/>
  <c r="AO49" i="25"/>
  <c r="AM50" i="25"/>
  <c r="AN50" i="25"/>
  <c r="AO50" i="25"/>
  <c r="AM51" i="25"/>
  <c r="AN51" i="25"/>
  <c r="AO51" i="25"/>
  <c r="AM52" i="25"/>
  <c r="AN52" i="25"/>
  <c r="AO52" i="25"/>
  <c r="AM53" i="25"/>
  <c r="AN53" i="25"/>
  <c r="AO53" i="25"/>
  <c r="AM54" i="25"/>
  <c r="AN54" i="25"/>
  <c r="AO54" i="25"/>
  <c r="AM55" i="25"/>
  <c r="AN55" i="25"/>
  <c r="AO55" i="25"/>
  <c r="AM56" i="25"/>
  <c r="AN56" i="25"/>
  <c r="AO56" i="25"/>
  <c r="AM57" i="25"/>
  <c r="AN57" i="25"/>
  <c r="AO57" i="25"/>
  <c r="AM58" i="25"/>
  <c r="AN58" i="25"/>
  <c r="AO58" i="25"/>
  <c r="AM59" i="25"/>
  <c r="AN59" i="25"/>
  <c r="AO59" i="25"/>
  <c r="AM60" i="25"/>
  <c r="AN60" i="25"/>
  <c r="AO60" i="25"/>
  <c r="AM61" i="25"/>
  <c r="AN61" i="25"/>
  <c r="AO61" i="25"/>
  <c r="AM62" i="25"/>
  <c r="AN62" i="25"/>
  <c r="AO62" i="25"/>
  <c r="AM63" i="25"/>
  <c r="AN63" i="25"/>
  <c r="AO63" i="25"/>
  <c r="AM64" i="25"/>
  <c r="AN64" i="25"/>
  <c r="AO64" i="25"/>
  <c r="AM65" i="25"/>
  <c r="AN65" i="25"/>
  <c r="AO65" i="25"/>
  <c r="AM66" i="25"/>
  <c r="AN66" i="25"/>
  <c r="AO66" i="25"/>
  <c r="AM67" i="25"/>
  <c r="AN67" i="25"/>
  <c r="AO67" i="25"/>
  <c r="AM68" i="25"/>
  <c r="AN68" i="25"/>
  <c r="AO68" i="25"/>
  <c r="AM69" i="25"/>
  <c r="AN69" i="25"/>
  <c r="AO69" i="25"/>
  <c r="AM70" i="25"/>
  <c r="AN70" i="25"/>
  <c r="AO70" i="25"/>
  <c r="AM71" i="25"/>
  <c r="AN71" i="25"/>
  <c r="AO71" i="25"/>
  <c r="AM72" i="25"/>
  <c r="AN72" i="25"/>
  <c r="AO72" i="25"/>
  <c r="AM73" i="25"/>
  <c r="AN73" i="25"/>
  <c r="AO73" i="25"/>
  <c r="AM74" i="25"/>
  <c r="AN74" i="25"/>
  <c r="AO74" i="25"/>
  <c r="AM75" i="25"/>
  <c r="AN75" i="25"/>
  <c r="AO75" i="25"/>
  <c r="AM76" i="25"/>
  <c r="AN76" i="25"/>
  <c r="AO76" i="25"/>
  <c r="AM77" i="25"/>
  <c r="AN77" i="25"/>
  <c r="AO77" i="25"/>
  <c r="AM78" i="25"/>
  <c r="AN78" i="25"/>
  <c r="AO78" i="25"/>
  <c r="AM79" i="25"/>
  <c r="AN79" i="25"/>
  <c r="AO79" i="25"/>
  <c r="AM80" i="25"/>
  <c r="AN80" i="25"/>
  <c r="AO80" i="25"/>
  <c r="AM81" i="25"/>
  <c r="AN81" i="25"/>
  <c r="AO81" i="25"/>
  <c r="AM82" i="25"/>
  <c r="AN82" i="25"/>
  <c r="AO82" i="25"/>
  <c r="AM83" i="25"/>
  <c r="AN83" i="25"/>
  <c r="AO83" i="25"/>
  <c r="AM84" i="25"/>
  <c r="AN84" i="25"/>
  <c r="AO84" i="25"/>
  <c r="AM85" i="25"/>
  <c r="AN85" i="25"/>
  <c r="AO85" i="25"/>
  <c r="AM86" i="25"/>
  <c r="AN86" i="25"/>
  <c r="AO86" i="25"/>
  <c r="AM87" i="25"/>
  <c r="AN87" i="25"/>
  <c r="AO87" i="25"/>
  <c r="AM88" i="25"/>
  <c r="AN88" i="25"/>
  <c r="AO88" i="25"/>
  <c r="AM89" i="25"/>
  <c r="AN89" i="25"/>
  <c r="AO89" i="25"/>
  <c r="AM90" i="25"/>
  <c r="AN90" i="25"/>
  <c r="AO90" i="25"/>
  <c r="AM91" i="25"/>
  <c r="AN91" i="25"/>
  <c r="AO91" i="25"/>
  <c r="AM92" i="25"/>
  <c r="AN92" i="25"/>
  <c r="AO92" i="25"/>
  <c r="AM93" i="25"/>
  <c r="AN93" i="25"/>
  <c r="AO93" i="25"/>
  <c r="AM94" i="25"/>
  <c r="AN94" i="25"/>
  <c r="AO94" i="25"/>
  <c r="AM95" i="25"/>
  <c r="AN95" i="25"/>
  <c r="AO95" i="25"/>
  <c r="AM96" i="25"/>
  <c r="AN96" i="25"/>
  <c r="AO96" i="25"/>
  <c r="AM97" i="25"/>
  <c r="AN97" i="25"/>
  <c r="AO97" i="25"/>
  <c r="AM98" i="25"/>
  <c r="AN98" i="25"/>
  <c r="AO98" i="25"/>
  <c r="AM99" i="25"/>
  <c r="AN99" i="25"/>
  <c r="AO99" i="25"/>
  <c r="AM100" i="25"/>
  <c r="AN100" i="25"/>
  <c r="AO100" i="25"/>
  <c r="AM101" i="25"/>
  <c r="AN101" i="25"/>
  <c r="AO101" i="25"/>
  <c r="AM102" i="25"/>
  <c r="AN102" i="25"/>
  <c r="AO102" i="25"/>
  <c r="AM103" i="25"/>
  <c r="AN103" i="25"/>
  <c r="AO103" i="25"/>
  <c r="AM104" i="25"/>
  <c r="AN104" i="25"/>
  <c r="AO104" i="25"/>
  <c r="AM105" i="25"/>
  <c r="AN105" i="25"/>
  <c r="AO105" i="25"/>
  <c r="AM106" i="25"/>
  <c r="AN106" i="25"/>
  <c r="AO106" i="25"/>
  <c r="AM107" i="25"/>
  <c r="AN107" i="25"/>
  <c r="AO107" i="25"/>
  <c r="AM108" i="25"/>
  <c r="AN108" i="25"/>
  <c r="AO108" i="25"/>
  <c r="AM109" i="25"/>
  <c r="AN109" i="25"/>
  <c r="AO109" i="25"/>
  <c r="AM110" i="25"/>
  <c r="AN110" i="25"/>
  <c r="AO110" i="25"/>
  <c r="AM111" i="25"/>
  <c r="AN111" i="25"/>
  <c r="AO111" i="25"/>
  <c r="AM112" i="25"/>
  <c r="AN112" i="25"/>
  <c r="AO112" i="25"/>
  <c r="AM113" i="25"/>
  <c r="AN113" i="25"/>
  <c r="AO113" i="25"/>
  <c r="AM114" i="25"/>
  <c r="AN114" i="25"/>
  <c r="AO114" i="25"/>
  <c r="AM115" i="25"/>
  <c r="AN115" i="25"/>
  <c r="AO115" i="25"/>
  <c r="AM116" i="25"/>
  <c r="AN116" i="25"/>
  <c r="AO116" i="25"/>
  <c r="AM117" i="25"/>
  <c r="AN117" i="25"/>
  <c r="AO117" i="25"/>
  <c r="AM118" i="25"/>
  <c r="AN118" i="25"/>
  <c r="AO118" i="25"/>
  <c r="AM119" i="25"/>
  <c r="AN119" i="25"/>
  <c r="AO119" i="25"/>
  <c r="AM120" i="25"/>
  <c r="AN120" i="25"/>
  <c r="AO120" i="25"/>
  <c r="AM121" i="25"/>
  <c r="AN121" i="25"/>
  <c r="AO121" i="25"/>
  <c r="AM122" i="25"/>
  <c r="AN122" i="25"/>
  <c r="AO122" i="25"/>
  <c r="AM123" i="25"/>
  <c r="AN123" i="25"/>
  <c r="AO123" i="25"/>
  <c r="AM124" i="25"/>
  <c r="AN124" i="25"/>
  <c r="AO124" i="25"/>
  <c r="AM125" i="25"/>
  <c r="AN125" i="25"/>
  <c r="AO125" i="25"/>
  <c r="AM126" i="25"/>
  <c r="AN126" i="25"/>
  <c r="AO126" i="25"/>
  <c r="AM127" i="25"/>
  <c r="AN127" i="25"/>
  <c r="AO127" i="25"/>
  <c r="AM128" i="25"/>
  <c r="AN128" i="25"/>
  <c r="AO128" i="25"/>
  <c r="AM129" i="25"/>
  <c r="AN129" i="25"/>
  <c r="AO129" i="25"/>
  <c r="AM130" i="25"/>
  <c r="AN130" i="25"/>
  <c r="AO130" i="25"/>
  <c r="AM131" i="25"/>
  <c r="AN131" i="25"/>
  <c r="AO131" i="25"/>
  <c r="AM132" i="25"/>
  <c r="AN132" i="25"/>
  <c r="AO132" i="25"/>
  <c r="AM133" i="25"/>
  <c r="AN133" i="25"/>
  <c r="AO133" i="25"/>
  <c r="AM134" i="25"/>
  <c r="AN134" i="25"/>
  <c r="AO134" i="25"/>
  <c r="AM135" i="25"/>
  <c r="AN135" i="25"/>
  <c r="AO135" i="25"/>
  <c r="AM136" i="25"/>
  <c r="AN136" i="25"/>
  <c r="AO136" i="25"/>
  <c r="AM137" i="25"/>
  <c r="AN137" i="25"/>
  <c r="AO137" i="25"/>
  <c r="AM138" i="25"/>
  <c r="AN138" i="25"/>
  <c r="AO138" i="25"/>
  <c r="AM139" i="25"/>
  <c r="AN139" i="25"/>
  <c r="AO139" i="25"/>
  <c r="AM140" i="25"/>
  <c r="AN140" i="25"/>
  <c r="AO140" i="25"/>
  <c r="AM141" i="25"/>
  <c r="AN141" i="25"/>
  <c r="AO141" i="25"/>
  <c r="AM142" i="25"/>
  <c r="AN142" i="25"/>
  <c r="AO142" i="25"/>
  <c r="AM143" i="25"/>
  <c r="AN143" i="25"/>
  <c r="AO143" i="25"/>
  <c r="AM144" i="25"/>
  <c r="AN144" i="25"/>
  <c r="AO144" i="25"/>
  <c r="AM145" i="25"/>
  <c r="AN145" i="25"/>
  <c r="AO145" i="25"/>
  <c r="AM146" i="25"/>
  <c r="AN146" i="25"/>
  <c r="AO146" i="25"/>
  <c r="AM147" i="25"/>
  <c r="AN147" i="25"/>
  <c r="AO147" i="25"/>
  <c r="AM148" i="25"/>
  <c r="AN148" i="25"/>
  <c r="AO148" i="25"/>
  <c r="AM149" i="25"/>
  <c r="AN149" i="25"/>
  <c r="AO149" i="25"/>
  <c r="AM150" i="25"/>
  <c r="AN150" i="25"/>
  <c r="AO150" i="25"/>
  <c r="AM151" i="25"/>
  <c r="AN151" i="25"/>
  <c r="AO151" i="25"/>
  <c r="AM152" i="25"/>
  <c r="AN152" i="25"/>
  <c r="AO152" i="25"/>
  <c r="AM153" i="25"/>
  <c r="AN153" i="25"/>
  <c r="AO153" i="25"/>
  <c r="AM154" i="25"/>
  <c r="AN154" i="25"/>
  <c r="AO154" i="25"/>
  <c r="AM155" i="25"/>
  <c r="AN155" i="25"/>
  <c r="AO155" i="25"/>
  <c r="AM156" i="25"/>
  <c r="AN156" i="25"/>
  <c r="AO156" i="25"/>
  <c r="AM157" i="25"/>
  <c r="AN157" i="25"/>
  <c r="AO157" i="25"/>
  <c r="AM158" i="25"/>
  <c r="AN158" i="25"/>
  <c r="AO158" i="25"/>
  <c r="AM159" i="25"/>
  <c r="AN159" i="25"/>
  <c r="AO159" i="25"/>
  <c r="AM160" i="25"/>
  <c r="AN160" i="25"/>
  <c r="AO160" i="25"/>
  <c r="AM161" i="25"/>
  <c r="AN161" i="25"/>
  <c r="AO161" i="25"/>
  <c r="AM162" i="25"/>
  <c r="AN162" i="25"/>
  <c r="AO162" i="25"/>
  <c r="AM163" i="25"/>
  <c r="AN163" i="25"/>
  <c r="AO163" i="25"/>
  <c r="AM164" i="25"/>
  <c r="AN164" i="25"/>
  <c r="AO164" i="25"/>
  <c r="AM165" i="25"/>
  <c r="AN165" i="25"/>
  <c r="AO165" i="25"/>
  <c r="AM166" i="25"/>
  <c r="AN166" i="25"/>
  <c r="AO166" i="25"/>
  <c r="AM167" i="25"/>
  <c r="AN167" i="25"/>
  <c r="AO167" i="25"/>
  <c r="AM168" i="25"/>
  <c r="AN168" i="25"/>
  <c r="AO168" i="25"/>
  <c r="AM169" i="25"/>
  <c r="AN169" i="25"/>
  <c r="AO169" i="25"/>
  <c r="AM170" i="25"/>
  <c r="AN170" i="25"/>
  <c r="AO170" i="25"/>
  <c r="AM171" i="25"/>
  <c r="AN171" i="25"/>
  <c r="AO171" i="25"/>
  <c r="AM172" i="25"/>
  <c r="AN172" i="25"/>
  <c r="AO172" i="25"/>
  <c r="AM173" i="25"/>
  <c r="AN173" i="25"/>
  <c r="AO173" i="25"/>
  <c r="AM174" i="25"/>
  <c r="AN174" i="25"/>
  <c r="AO174" i="25"/>
  <c r="AM175" i="25"/>
  <c r="AN175" i="25"/>
  <c r="AO175" i="25"/>
  <c r="AM176" i="25"/>
  <c r="AN176" i="25"/>
  <c r="AO176" i="25"/>
  <c r="AM177" i="25"/>
  <c r="AN177" i="25"/>
  <c r="AO177" i="25"/>
  <c r="AM178" i="25"/>
  <c r="AN178" i="25"/>
  <c r="AO178" i="25"/>
  <c r="AM179" i="25"/>
  <c r="AN179" i="25"/>
  <c r="AO179" i="25"/>
  <c r="AM180" i="25"/>
  <c r="AN180" i="25"/>
  <c r="AO180" i="25"/>
  <c r="AM181" i="25"/>
  <c r="AN181" i="25"/>
  <c r="AO181" i="25"/>
  <c r="AM182" i="25"/>
  <c r="AN182" i="25"/>
  <c r="AO182" i="25"/>
  <c r="AM183" i="25"/>
  <c r="AN183" i="25"/>
  <c r="AO183" i="25"/>
  <c r="AM184" i="25"/>
  <c r="AN184" i="25"/>
  <c r="AO184" i="25"/>
  <c r="AM185" i="25"/>
  <c r="AN185" i="25"/>
  <c r="AO185" i="25"/>
  <c r="AM186" i="25"/>
  <c r="AN186" i="25"/>
  <c r="AO186" i="25"/>
  <c r="AM187" i="25"/>
  <c r="AN187" i="25"/>
  <c r="AO187" i="25"/>
  <c r="AM188" i="25"/>
  <c r="AN188" i="25"/>
  <c r="AO188" i="25"/>
  <c r="AM189" i="25"/>
  <c r="AN189" i="25"/>
  <c r="AO189" i="25"/>
  <c r="AM190" i="25"/>
  <c r="AN190" i="25"/>
  <c r="AO190" i="25"/>
  <c r="AM191" i="25"/>
  <c r="AN191" i="25"/>
  <c r="AO191" i="25"/>
  <c r="AM192" i="25"/>
  <c r="AN192" i="25"/>
  <c r="AO192" i="25"/>
  <c r="AM193" i="25"/>
  <c r="AN193" i="25"/>
  <c r="AO193" i="25"/>
  <c r="AM194" i="25"/>
  <c r="AN194" i="25"/>
  <c r="AO194" i="25"/>
  <c r="AM195" i="25"/>
  <c r="AN195" i="25"/>
  <c r="AO195" i="25"/>
  <c r="AM196" i="25"/>
  <c r="AN196" i="25"/>
  <c r="AO196" i="25"/>
  <c r="AM197" i="25"/>
  <c r="AN197" i="25"/>
  <c r="AO197" i="25"/>
  <c r="AM198" i="25"/>
  <c r="AN198" i="25"/>
  <c r="AO198" i="25"/>
  <c r="AM199" i="25"/>
  <c r="AN199" i="25"/>
  <c r="AO199" i="25"/>
  <c r="AM200" i="25"/>
  <c r="AN200" i="25"/>
  <c r="AO200" i="25"/>
  <c r="AM201" i="25"/>
  <c r="AN201" i="25"/>
  <c r="AO201" i="25"/>
  <c r="AM202" i="25"/>
  <c r="AN202" i="25"/>
  <c r="AO202" i="25"/>
  <c r="AM203" i="25"/>
  <c r="AN203" i="25"/>
  <c r="AO203" i="25"/>
  <c r="AM204" i="25"/>
  <c r="AN204" i="25"/>
  <c r="AO204" i="25"/>
  <c r="AM205" i="25"/>
  <c r="AN205" i="25"/>
  <c r="AO205" i="25"/>
  <c r="AM206" i="25"/>
  <c r="AN206" i="25"/>
  <c r="AO206" i="25"/>
  <c r="AM207" i="25"/>
  <c r="AN207" i="25"/>
  <c r="AO207" i="25"/>
  <c r="AM208" i="25"/>
  <c r="AN208" i="25"/>
  <c r="AO208" i="25"/>
  <c r="AM209" i="25"/>
  <c r="AN209" i="25"/>
  <c r="AO209" i="25"/>
  <c r="AM210" i="25"/>
  <c r="AN210" i="25"/>
  <c r="AO210" i="25"/>
  <c r="AM211" i="25"/>
  <c r="AN211" i="25"/>
  <c r="AO211" i="25"/>
  <c r="AM212" i="25"/>
  <c r="AN212" i="25"/>
  <c r="AO212" i="25"/>
  <c r="AM213" i="25"/>
  <c r="AN213" i="25"/>
  <c r="AO213" i="25"/>
  <c r="AM214" i="25"/>
  <c r="AN214" i="25"/>
  <c r="AO214" i="25"/>
  <c r="AM215" i="25"/>
  <c r="AN215" i="25"/>
  <c r="AO215" i="25"/>
  <c r="AM216" i="25"/>
  <c r="AN216" i="25"/>
  <c r="AO216" i="25"/>
  <c r="AM217" i="25"/>
  <c r="AN217" i="25"/>
  <c r="AO217" i="25"/>
  <c r="AM218" i="25"/>
  <c r="AN218" i="25"/>
  <c r="AO218" i="25"/>
  <c r="AM219" i="25"/>
  <c r="AN219" i="25"/>
  <c r="AO219" i="25"/>
  <c r="AM220" i="25"/>
  <c r="AN220" i="25"/>
  <c r="AO220" i="25"/>
  <c r="AM221" i="25"/>
  <c r="AN221" i="25"/>
  <c r="AO221" i="25"/>
  <c r="AO2" i="25"/>
  <c r="AN2" i="25"/>
  <c r="AM2" i="25"/>
  <c r="W3" i="25"/>
  <c r="W4" i="25"/>
  <c r="W5" i="25"/>
  <c r="W6" i="25"/>
  <c r="W7" i="25"/>
  <c r="W8" i="25"/>
  <c r="W9" i="25"/>
  <c r="W10" i="25"/>
  <c r="W11" i="25"/>
  <c r="W12" i="25"/>
  <c r="W13" i="25"/>
  <c r="W14" i="25"/>
  <c r="W15" i="25"/>
  <c r="W16" i="25"/>
  <c r="W17" i="25"/>
  <c r="W18" i="25"/>
  <c r="W19" i="25"/>
  <c r="W20" i="25"/>
  <c r="W21" i="25"/>
  <c r="W22" i="25"/>
  <c r="W23" i="25"/>
  <c r="W24" i="25"/>
  <c r="W25" i="25"/>
  <c r="W26" i="25"/>
  <c r="W27" i="25"/>
  <c r="W28" i="25"/>
  <c r="W29" i="25"/>
  <c r="W30" i="25"/>
  <c r="W31" i="25"/>
  <c r="W32" i="25"/>
  <c r="W33" i="25"/>
  <c r="W34" i="25"/>
  <c r="W35" i="25"/>
  <c r="W36" i="25"/>
  <c r="W37" i="25"/>
  <c r="W38" i="25"/>
  <c r="W39" i="25"/>
  <c r="W40" i="25"/>
  <c r="W41" i="25"/>
  <c r="W42" i="25"/>
  <c r="W43" i="25"/>
  <c r="W44" i="25"/>
  <c r="W45" i="25"/>
  <c r="W46" i="25"/>
  <c r="W47" i="25"/>
  <c r="W48" i="25"/>
  <c r="W49" i="25"/>
  <c r="W50" i="25"/>
  <c r="W51" i="25"/>
  <c r="W52" i="25"/>
  <c r="W53" i="25"/>
  <c r="W54" i="25"/>
  <c r="W55" i="25"/>
  <c r="W56" i="25"/>
  <c r="W57" i="25"/>
  <c r="W58" i="25"/>
  <c r="W59" i="25"/>
  <c r="W60" i="25"/>
  <c r="W61" i="25"/>
  <c r="W62" i="25"/>
  <c r="W63" i="25"/>
  <c r="W64" i="25"/>
  <c r="W65" i="25"/>
  <c r="W66" i="25"/>
  <c r="W67" i="25"/>
  <c r="W68" i="25"/>
  <c r="W69" i="25"/>
  <c r="W70" i="25"/>
  <c r="W71" i="25"/>
  <c r="W72" i="25"/>
  <c r="W73" i="25"/>
  <c r="W74" i="25"/>
  <c r="W75" i="25"/>
  <c r="W76" i="25"/>
  <c r="W77" i="25"/>
  <c r="W78" i="25"/>
  <c r="W79" i="25"/>
  <c r="W80" i="25"/>
  <c r="W81" i="25"/>
  <c r="W82" i="25"/>
  <c r="W83" i="25"/>
  <c r="W84" i="25"/>
  <c r="W85" i="25"/>
  <c r="W86" i="25"/>
  <c r="W87" i="25"/>
  <c r="W88" i="25"/>
  <c r="W89" i="25"/>
  <c r="W90" i="25"/>
  <c r="W91" i="25"/>
  <c r="W92" i="25"/>
  <c r="W93" i="25"/>
  <c r="W94" i="25"/>
  <c r="W95" i="25"/>
  <c r="W96" i="25"/>
  <c r="W97" i="25"/>
  <c r="W98" i="25"/>
  <c r="W99" i="25"/>
  <c r="W100" i="25"/>
  <c r="W101" i="25"/>
  <c r="W102" i="25"/>
  <c r="W103" i="25"/>
  <c r="W104" i="25"/>
  <c r="W105" i="25"/>
  <c r="W106" i="25"/>
  <c r="W107" i="25"/>
  <c r="W108" i="25"/>
  <c r="W109" i="25"/>
  <c r="W110" i="25"/>
  <c r="W111" i="25"/>
  <c r="W112" i="25"/>
  <c r="W113" i="25"/>
  <c r="W114" i="25"/>
  <c r="W115" i="25"/>
  <c r="W116" i="25"/>
  <c r="W117" i="25"/>
  <c r="W118" i="25"/>
  <c r="W119" i="25"/>
  <c r="W120" i="25"/>
  <c r="W121" i="25"/>
  <c r="W122" i="25"/>
  <c r="W123" i="25"/>
  <c r="W124" i="25"/>
  <c r="W125" i="25"/>
  <c r="W126" i="25"/>
  <c r="W127" i="25"/>
  <c r="W128" i="25"/>
  <c r="W129" i="25"/>
  <c r="W130" i="25"/>
  <c r="W131" i="25"/>
  <c r="W132" i="25"/>
  <c r="W133" i="25"/>
  <c r="W134" i="25"/>
  <c r="W135" i="25"/>
  <c r="W136" i="25"/>
  <c r="W137" i="25"/>
  <c r="W138" i="25"/>
  <c r="W139" i="25"/>
  <c r="W140" i="25"/>
  <c r="W141" i="25"/>
  <c r="W142" i="25"/>
  <c r="W143" i="25"/>
  <c r="W144" i="25"/>
  <c r="W145" i="25"/>
  <c r="W146" i="25"/>
  <c r="W147" i="25"/>
  <c r="W148" i="25"/>
  <c r="W149" i="25"/>
  <c r="W150" i="25"/>
  <c r="W151" i="25"/>
  <c r="W152" i="25"/>
  <c r="W153" i="25"/>
  <c r="W154" i="25"/>
  <c r="W155" i="25"/>
  <c r="W156" i="25"/>
  <c r="W157" i="25"/>
  <c r="W158" i="25"/>
  <c r="W159" i="25"/>
  <c r="W160" i="25"/>
  <c r="W161" i="25"/>
  <c r="W162" i="25"/>
  <c r="W163" i="25"/>
  <c r="W164" i="25"/>
  <c r="W165" i="25"/>
  <c r="W166" i="25"/>
  <c r="W167" i="25"/>
  <c r="W168" i="25"/>
  <c r="W169" i="25"/>
  <c r="W170" i="25"/>
  <c r="W171" i="25"/>
  <c r="W172" i="25"/>
  <c r="W173" i="25"/>
  <c r="W174" i="25"/>
  <c r="W175" i="25"/>
  <c r="W176" i="25"/>
  <c r="W177" i="25"/>
  <c r="W178" i="25"/>
  <c r="W179" i="25"/>
  <c r="W180" i="25"/>
  <c r="W181" i="25"/>
  <c r="W182" i="25"/>
  <c r="W183" i="25"/>
  <c r="W184" i="25"/>
  <c r="W185" i="25"/>
  <c r="W186" i="25"/>
  <c r="W187" i="25"/>
  <c r="W188" i="25"/>
  <c r="W189" i="25"/>
  <c r="W190" i="25"/>
  <c r="W191" i="25"/>
  <c r="W192" i="25"/>
  <c r="W193" i="25"/>
  <c r="W194" i="25"/>
  <c r="W195" i="25"/>
  <c r="W196" i="25"/>
  <c r="W197" i="25"/>
  <c r="W198" i="25"/>
  <c r="W199" i="25"/>
  <c r="W200" i="25"/>
  <c r="W201" i="25"/>
  <c r="W202" i="25"/>
  <c r="W203" i="25"/>
  <c r="W204" i="25"/>
  <c r="W205" i="25"/>
  <c r="W206" i="25"/>
  <c r="W207" i="25"/>
  <c r="W208" i="25"/>
  <c r="W209" i="25"/>
  <c r="W210" i="25"/>
  <c r="W211" i="25"/>
  <c r="W212" i="25"/>
  <c r="W213" i="25"/>
  <c r="W214" i="25"/>
  <c r="W215" i="25"/>
  <c r="W216" i="25"/>
  <c r="W217" i="25"/>
  <c r="W218" i="25"/>
  <c r="W219" i="25"/>
  <c r="W220" i="25"/>
  <c r="W221" i="25"/>
  <c r="W222" i="25"/>
  <c r="W223" i="25"/>
  <c r="W224" i="25"/>
  <c r="W225" i="25"/>
  <c r="W226" i="25"/>
  <c r="W227" i="25"/>
  <c r="W228" i="25"/>
  <c r="W229" i="25"/>
  <c r="W230" i="25"/>
  <c r="W231" i="25"/>
  <c r="W232" i="25"/>
  <c r="W233" i="25"/>
  <c r="W234" i="25"/>
  <c r="W235" i="25"/>
  <c r="W236" i="25"/>
  <c r="W237" i="25"/>
  <c r="W238" i="25"/>
  <c r="W239" i="25"/>
  <c r="W240" i="25"/>
  <c r="W241" i="25"/>
  <c r="W242" i="25"/>
  <c r="W243" i="25"/>
  <c r="W244" i="25"/>
  <c r="W245" i="25"/>
  <c r="W246" i="25"/>
  <c r="W247" i="25"/>
  <c r="W248" i="25"/>
  <c r="W249" i="25"/>
  <c r="W250" i="25"/>
  <c r="W251" i="25"/>
  <c r="W252" i="25"/>
  <c r="W253" i="25"/>
  <c r="W254" i="25"/>
  <c r="W255" i="25"/>
  <c r="W256" i="25"/>
  <c r="W257" i="25"/>
  <c r="W258" i="25"/>
  <c r="W259" i="25"/>
  <c r="W260" i="25"/>
  <c r="W261" i="25"/>
  <c r="W262" i="25"/>
  <c r="W263" i="25"/>
  <c r="W264" i="25"/>
  <c r="W265" i="25"/>
  <c r="W266" i="25"/>
  <c r="W267" i="25"/>
  <c r="W268" i="25"/>
  <c r="W269" i="25"/>
  <c r="W270" i="25"/>
  <c r="W271" i="25"/>
  <c r="W272" i="25"/>
  <c r="W273" i="25"/>
  <c r="W274" i="25"/>
  <c r="W275" i="25"/>
  <c r="W276" i="25"/>
  <c r="W277" i="25"/>
  <c r="W278" i="25"/>
  <c r="W279" i="25"/>
  <c r="W280" i="25"/>
  <c r="W281" i="25"/>
  <c r="W282" i="25"/>
  <c r="W283" i="25"/>
  <c r="W284" i="25"/>
  <c r="W285" i="25"/>
  <c r="W286" i="25"/>
  <c r="W287" i="25"/>
  <c r="W288" i="25"/>
  <c r="W289" i="25"/>
  <c r="W290" i="25"/>
  <c r="W291" i="25"/>
  <c r="W292" i="25"/>
  <c r="W293" i="25"/>
  <c r="W294" i="25"/>
  <c r="W295" i="25"/>
  <c r="W296" i="25"/>
  <c r="W297" i="25"/>
  <c r="W298" i="25"/>
  <c r="W299" i="25"/>
  <c r="W300" i="25"/>
  <c r="W301" i="25"/>
  <c r="W302" i="25"/>
  <c r="W303" i="25"/>
  <c r="W304" i="25"/>
  <c r="W305" i="25"/>
  <c r="W306" i="25"/>
  <c r="W307" i="25"/>
  <c r="W308" i="25"/>
  <c r="W309" i="25"/>
  <c r="W310" i="25"/>
  <c r="W311" i="25"/>
  <c r="W312" i="25"/>
  <c r="W313" i="25"/>
  <c r="W314" i="25"/>
  <c r="W315" i="25"/>
  <c r="W316" i="25"/>
  <c r="W317" i="25"/>
  <c r="W318" i="25"/>
  <c r="W319" i="25"/>
  <c r="W320" i="25"/>
  <c r="W321" i="25"/>
  <c r="W322" i="25"/>
  <c r="W323" i="25"/>
  <c r="W324" i="25"/>
  <c r="W325" i="25"/>
  <c r="W326" i="25"/>
  <c r="W327" i="25"/>
  <c r="W328" i="25"/>
  <c r="W329" i="25"/>
  <c r="W330" i="25"/>
  <c r="W331" i="25"/>
  <c r="W332" i="25"/>
  <c r="W333" i="25"/>
  <c r="W334" i="25"/>
  <c r="W335" i="25"/>
  <c r="W336" i="25"/>
  <c r="W337" i="25"/>
  <c r="W338" i="25"/>
  <c r="W339" i="25"/>
  <c r="W340" i="25"/>
  <c r="W341" i="25"/>
  <c r="W342" i="25"/>
  <c r="W343" i="25"/>
  <c r="W344" i="25"/>
  <c r="W345" i="25"/>
  <c r="W346" i="25"/>
  <c r="W347" i="25"/>
  <c r="W348" i="25"/>
  <c r="W349" i="25"/>
  <c r="W350" i="25"/>
  <c r="W351" i="25"/>
  <c r="W352" i="25"/>
  <c r="W353" i="25"/>
  <c r="W354" i="25"/>
  <c r="W355" i="25"/>
  <c r="W356" i="25"/>
  <c r="W357" i="25"/>
  <c r="W358" i="25"/>
  <c r="W359" i="25"/>
  <c r="W360" i="25"/>
  <c r="W361" i="25"/>
  <c r="W362" i="25"/>
  <c r="W363" i="25"/>
  <c r="W364" i="25"/>
  <c r="W365" i="25"/>
  <c r="W366" i="25"/>
  <c r="W367" i="25"/>
  <c r="W368" i="25"/>
  <c r="W369" i="25"/>
  <c r="W370" i="25"/>
  <c r="W371" i="25"/>
  <c r="W372" i="25"/>
  <c r="W373" i="25"/>
  <c r="W374" i="25"/>
  <c r="W375" i="25"/>
  <c r="W376" i="25"/>
  <c r="W377" i="25"/>
  <c r="W378" i="25"/>
  <c r="W379" i="25"/>
  <c r="W380" i="25"/>
  <c r="W381" i="25"/>
  <c r="W382" i="25"/>
  <c r="W383" i="25"/>
  <c r="W384" i="25"/>
  <c r="W385" i="25"/>
  <c r="W386" i="25"/>
  <c r="W387" i="25"/>
  <c r="W388" i="25"/>
  <c r="W389" i="25"/>
  <c r="W390" i="25"/>
  <c r="W391" i="25"/>
  <c r="W392" i="25"/>
  <c r="W393" i="25"/>
  <c r="W394" i="25"/>
  <c r="W395" i="25"/>
  <c r="W396" i="25"/>
  <c r="W397" i="25"/>
  <c r="W398" i="25"/>
  <c r="W399" i="25"/>
  <c r="W400" i="25"/>
  <c r="W401" i="25"/>
  <c r="W402" i="25"/>
  <c r="W403" i="25"/>
  <c r="W404" i="25"/>
  <c r="W405" i="25"/>
  <c r="W406" i="25"/>
  <c r="W407" i="25"/>
  <c r="W408" i="25"/>
  <c r="W409" i="25"/>
  <c r="W410" i="25"/>
  <c r="W411" i="25"/>
  <c r="W412" i="25"/>
  <c r="W413" i="25"/>
  <c r="W414" i="25"/>
  <c r="W415" i="25"/>
  <c r="W416" i="25"/>
  <c r="W417" i="25"/>
  <c r="W418" i="25"/>
  <c r="W419" i="25"/>
  <c r="W420" i="25"/>
  <c r="W421" i="25"/>
  <c r="W422" i="25"/>
  <c r="W423" i="25"/>
  <c r="W424" i="25"/>
  <c r="W425" i="25"/>
  <c r="W426" i="25"/>
  <c r="W427" i="25"/>
  <c r="W428" i="25"/>
  <c r="W429" i="25"/>
  <c r="W430" i="25"/>
  <c r="W431" i="25"/>
  <c r="W432" i="25"/>
  <c r="W433" i="25"/>
  <c r="W434" i="25"/>
  <c r="W435" i="25"/>
  <c r="W436" i="25"/>
  <c r="W437" i="25"/>
  <c r="W438" i="25"/>
  <c r="W439" i="25"/>
  <c r="W440" i="25"/>
  <c r="W441" i="25"/>
  <c r="W442" i="25"/>
  <c r="W443" i="25"/>
  <c r="W444" i="25"/>
  <c r="W445" i="25"/>
  <c r="W446" i="25"/>
  <c r="W447" i="25"/>
  <c r="W448" i="25"/>
  <c r="W449" i="25"/>
  <c r="W450" i="25"/>
  <c r="W451" i="25"/>
  <c r="W452" i="25"/>
  <c r="W453" i="25"/>
  <c r="W454" i="25"/>
  <c r="W455" i="25"/>
  <c r="W456" i="25"/>
  <c r="W457" i="25"/>
  <c r="W458" i="25"/>
  <c r="W459" i="25"/>
  <c r="W460" i="25"/>
  <c r="W461" i="25"/>
  <c r="W462" i="25"/>
  <c r="W463" i="25"/>
  <c r="W464" i="25"/>
  <c r="W465" i="25"/>
  <c r="W466" i="25"/>
  <c r="W467" i="25"/>
  <c r="W468" i="25"/>
  <c r="W469" i="25"/>
  <c r="W470" i="25"/>
  <c r="W471" i="25"/>
  <c r="W472" i="25"/>
  <c r="W473" i="25"/>
  <c r="W474" i="25"/>
  <c r="W475" i="25"/>
  <c r="W476" i="25"/>
  <c r="W477" i="25"/>
  <c r="W478" i="25"/>
  <c r="W479" i="25"/>
  <c r="W480" i="25"/>
  <c r="W481" i="25"/>
  <c r="W482" i="25"/>
  <c r="W483" i="25"/>
  <c r="W484" i="25"/>
  <c r="W485" i="25"/>
  <c r="W486" i="25"/>
  <c r="W487" i="25"/>
  <c r="W488" i="25"/>
  <c r="W489" i="25"/>
  <c r="W490" i="25"/>
  <c r="W491" i="25"/>
  <c r="W492" i="25"/>
  <c r="W493" i="25"/>
  <c r="W494" i="25"/>
  <c r="W495" i="25"/>
  <c r="W496" i="25"/>
  <c r="W497" i="25"/>
  <c r="W498" i="25"/>
  <c r="W499" i="25"/>
  <c r="W500" i="25"/>
  <c r="W501" i="25"/>
  <c r="W502" i="25"/>
  <c r="W503" i="25"/>
  <c r="W504" i="25"/>
  <c r="W505" i="25"/>
  <c r="W506" i="25"/>
  <c r="W507" i="25"/>
  <c r="W508" i="25"/>
  <c r="W509" i="25"/>
  <c r="W510" i="25"/>
  <c r="W511" i="25"/>
  <c r="W512" i="25"/>
  <c r="W513" i="25"/>
  <c r="W514" i="25"/>
  <c r="W515" i="25"/>
  <c r="W516" i="25"/>
  <c r="W517" i="25"/>
  <c r="W518" i="25"/>
  <c r="W519" i="25"/>
  <c r="W520" i="25"/>
  <c r="W521" i="25"/>
  <c r="W522" i="25"/>
  <c r="W523" i="25"/>
  <c r="W524" i="25"/>
  <c r="W525" i="25"/>
  <c r="W526" i="25"/>
  <c r="W527" i="25"/>
  <c r="W528" i="25"/>
  <c r="W529" i="25"/>
  <c r="W530" i="25"/>
  <c r="W531" i="25"/>
  <c r="W532" i="25"/>
  <c r="W533" i="25"/>
  <c r="W534" i="25"/>
  <c r="W535" i="25"/>
  <c r="W536" i="25"/>
  <c r="W537" i="25"/>
  <c r="W538" i="25"/>
  <c r="W539" i="25"/>
  <c r="W540" i="25"/>
  <c r="W541" i="25"/>
  <c r="W542" i="25"/>
  <c r="W543" i="25"/>
  <c r="W544" i="25"/>
  <c r="W545" i="25"/>
  <c r="W546" i="25"/>
  <c r="W547" i="25"/>
  <c r="W548" i="25"/>
  <c r="W549" i="25"/>
  <c r="W550" i="25"/>
  <c r="W551" i="25"/>
  <c r="W552" i="25"/>
  <c r="W553" i="25"/>
  <c r="W554" i="25"/>
  <c r="W555" i="25"/>
  <c r="W556" i="25"/>
  <c r="W557" i="25"/>
  <c r="W558" i="25"/>
  <c r="W559" i="25"/>
  <c r="W560" i="25"/>
  <c r="W561" i="25"/>
  <c r="W562" i="25"/>
  <c r="W563" i="25"/>
  <c r="W564" i="25"/>
  <c r="W565" i="25"/>
  <c r="W566" i="25"/>
  <c r="W567" i="25"/>
  <c r="W568" i="25"/>
  <c r="W569" i="25"/>
  <c r="W570" i="25"/>
  <c r="W571" i="25"/>
  <c r="W572" i="25"/>
  <c r="W573" i="25"/>
  <c r="W574" i="25"/>
  <c r="W575" i="25"/>
  <c r="W576" i="25"/>
  <c r="W577" i="25"/>
  <c r="W578" i="25"/>
  <c r="W579" i="25"/>
  <c r="W580" i="25"/>
  <c r="W581" i="25"/>
  <c r="W582" i="25"/>
  <c r="W583" i="25"/>
  <c r="W584" i="25"/>
  <c r="W585" i="25"/>
  <c r="W586" i="25"/>
  <c r="W587" i="25"/>
  <c r="W588" i="25"/>
  <c r="W589" i="25"/>
  <c r="W590" i="25"/>
  <c r="W591" i="25"/>
  <c r="W592" i="25"/>
  <c r="W593" i="25"/>
  <c r="W594" i="25"/>
  <c r="W595" i="25"/>
  <c r="W596" i="25"/>
  <c r="W597" i="25"/>
  <c r="W598" i="25"/>
  <c r="W599" i="25"/>
  <c r="W600" i="25"/>
  <c r="W601" i="25"/>
  <c r="W602" i="25"/>
  <c r="W603" i="25"/>
  <c r="W604" i="25"/>
  <c r="W605" i="25"/>
  <c r="W606" i="25"/>
  <c r="W607" i="25"/>
  <c r="W608" i="25"/>
  <c r="W609" i="25"/>
  <c r="W610" i="25"/>
  <c r="W611" i="25"/>
  <c r="W612" i="25"/>
  <c r="W613" i="25"/>
  <c r="W614" i="25"/>
  <c r="W615" i="25"/>
  <c r="W616" i="25"/>
  <c r="W617" i="25"/>
  <c r="W618" i="25"/>
  <c r="W619" i="25"/>
  <c r="W620" i="25"/>
  <c r="W621" i="25"/>
  <c r="W622" i="25"/>
  <c r="W623" i="25"/>
  <c r="W624" i="25"/>
  <c r="W625" i="25"/>
  <c r="W626" i="25"/>
  <c r="W627" i="25"/>
  <c r="W628" i="25"/>
  <c r="W629" i="25"/>
  <c r="W630" i="25"/>
  <c r="W631" i="25"/>
  <c r="W632" i="25"/>
  <c r="W633" i="25"/>
  <c r="W634" i="25"/>
  <c r="W635" i="25"/>
  <c r="W636" i="25"/>
  <c r="W637" i="25"/>
  <c r="W638" i="25"/>
  <c r="W639" i="25"/>
  <c r="W640" i="25"/>
  <c r="W641" i="25"/>
  <c r="W642" i="25"/>
  <c r="W643" i="25"/>
  <c r="W644" i="25"/>
  <c r="W645" i="25"/>
  <c r="W646" i="25"/>
  <c r="W647" i="25"/>
  <c r="W648" i="25"/>
  <c r="W649" i="25"/>
  <c r="W650" i="25"/>
  <c r="W651" i="25"/>
  <c r="W652" i="25"/>
  <c r="W653" i="25"/>
  <c r="W654" i="25"/>
  <c r="W655" i="25"/>
  <c r="W656" i="25"/>
  <c r="W657" i="25"/>
  <c r="W658" i="25"/>
  <c r="W659" i="25"/>
  <c r="W660" i="25"/>
  <c r="W661" i="25"/>
  <c r="W662" i="25"/>
  <c r="W663" i="25"/>
  <c r="W664" i="25"/>
  <c r="W665" i="25"/>
  <c r="W666" i="25"/>
  <c r="W667" i="25"/>
  <c r="W668" i="25"/>
  <c r="W669" i="25"/>
  <c r="W670" i="25"/>
  <c r="W671" i="25"/>
  <c r="W672" i="25"/>
  <c r="W673" i="25"/>
  <c r="W674" i="25"/>
  <c r="W675" i="25"/>
  <c r="W676" i="25"/>
  <c r="W677" i="25"/>
  <c r="W678" i="25"/>
  <c r="W679" i="25"/>
  <c r="W680" i="25"/>
  <c r="W681" i="25"/>
  <c r="W682" i="25"/>
  <c r="W683" i="25"/>
  <c r="W684" i="25"/>
  <c r="W685" i="25"/>
  <c r="W686" i="25"/>
  <c r="W687" i="25"/>
  <c r="W688" i="25"/>
  <c r="W689" i="25"/>
  <c r="W690" i="25"/>
  <c r="W691" i="25"/>
  <c r="W692" i="25"/>
  <c r="W693" i="25"/>
  <c r="W694" i="25"/>
  <c r="W695" i="25"/>
  <c r="W696" i="25"/>
  <c r="W697" i="25"/>
  <c r="W698" i="25"/>
  <c r="W699" i="25"/>
  <c r="W700" i="25"/>
  <c r="W701" i="25"/>
  <c r="W702" i="25"/>
  <c r="W703" i="25"/>
  <c r="W704" i="25"/>
  <c r="W705" i="25"/>
  <c r="W706" i="25"/>
  <c r="W707" i="25"/>
  <c r="W708" i="25"/>
  <c r="W709" i="25"/>
  <c r="W710" i="25"/>
  <c r="W711" i="25"/>
  <c r="W712" i="25"/>
  <c r="W713" i="25"/>
  <c r="W714" i="25"/>
  <c r="W715" i="25"/>
  <c r="W716" i="25"/>
  <c r="W717" i="25"/>
  <c r="W718" i="25"/>
  <c r="W719" i="25"/>
  <c r="W720" i="25"/>
  <c r="W721" i="25"/>
  <c r="W722" i="25"/>
  <c r="W723" i="25"/>
  <c r="W724" i="25"/>
  <c r="W725" i="25"/>
  <c r="W726" i="25"/>
  <c r="W727" i="25"/>
  <c r="W728" i="25"/>
  <c r="W729" i="25"/>
  <c r="W730" i="25"/>
  <c r="W731" i="25"/>
  <c r="W732" i="25"/>
  <c r="W733" i="25"/>
  <c r="W734" i="25"/>
  <c r="W735" i="25"/>
  <c r="W736" i="25"/>
  <c r="W737" i="25"/>
  <c r="W738" i="25"/>
  <c r="W739" i="25"/>
  <c r="W740" i="25"/>
  <c r="W741" i="25"/>
  <c r="W742" i="25"/>
  <c r="W743" i="25"/>
  <c r="W744" i="25"/>
  <c r="W745" i="25"/>
  <c r="W746" i="25"/>
  <c r="W747" i="25"/>
  <c r="W748" i="25"/>
  <c r="W749" i="25"/>
  <c r="W750" i="25"/>
  <c r="W751" i="25"/>
  <c r="W752" i="25"/>
  <c r="W753" i="25"/>
  <c r="W754" i="25"/>
  <c r="W755" i="25"/>
  <c r="W756" i="25"/>
  <c r="W757" i="25"/>
  <c r="W758" i="25"/>
  <c r="W759" i="25"/>
  <c r="W760" i="25"/>
  <c r="W761" i="25"/>
  <c r="W762" i="25"/>
  <c r="W763" i="25"/>
  <c r="W764" i="25"/>
  <c r="W765" i="25"/>
  <c r="W766" i="25"/>
  <c r="W767" i="25"/>
  <c r="W768" i="25"/>
  <c r="W769" i="25"/>
  <c r="W770" i="25"/>
  <c r="W771" i="25"/>
  <c r="W772" i="25"/>
  <c r="W773" i="25"/>
  <c r="W774" i="25"/>
  <c r="W775" i="25"/>
  <c r="W776" i="25"/>
  <c r="W777" i="25"/>
  <c r="W778" i="25"/>
  <c r="W779" i="25"/>
  <c r="W780" i="25"/>
  <c r="W781" i="25"/>
  <c r="W782" i="25"/>
  <c r="W783" i="25"/>
  <c r="W784" i="25"/>
  <c r="W785" i="25"/>
  <c r="W786" i="25"/>
  <c r="W787" i="25"/>
  <c r="W788" i="25"/>
  <c r="W789" i="25"/>
  <c r="W790" i="25"/>
  <c r="W791" i="25"/>
  <c r="W792" i="25"/>
  <c r="W793" i="25"/>
  <c r="W794" i="25"/>
  <c r="W795" i="25"/>
  <c r="W796" i="25"/>
  <c r="W797" i="25"/>
  <c r="W798" i="25"/>
  <c r="W799" i="25"/>
  <c r="W800" i="25"/>
  <c r="W801" i="25"/>
  <c r="W802" i="25"/>
  <c r="W803" i="25"/>
  <c r="W804" i="25"/>
  <c r="W805" i="25"/>
  <c r="W806" i="25"/>
  <c r="W807" i="25"/>
  <c r="W808" i="25"/>
  <c r="W809" i="25"/>
  <c r="W810" i="25"/>
  <c r="W811" i="25"/>
  <c r="W812" i="25"/>
  <c r="W813" i="25"/>
  <c r="W814" i="25"/>
  <c r="W815" i="25"/>
  <c r="W816" i="25"/>
  <c r="W817" i="25"/>
  <c r="W818" i="25"/>
  <c r="W819" i="25"/>
  <c r="W820" i="25"/>
  <c r="W821" i="25"/>
  <c r="W822" i="25"/>
  <c r="W823" i="25"/>
  <c r="W824" i="25"/>
  <c r="W825" i="25"/>
  <c r="W826" i="25"/>
  <c r="W827" i="25"/>
  <c r="W828" i="25"/>
  <c r="W829" i="25"/>
  <c r="W830" i="25"/>
  <c r="W831" i="25"/>
  <c r="W832" i="25"/>
  <c r="W833" i="25"/>
  <c r="W834" i="25"/>
  <c r="W835" i="25"/>
  <c r="W836" i="25"/>
  <c r="W837" i="25"/>
  <c r="W838" i="25"/>
  <c r="W839" i="25"/>
  <c r="W840" i="25"/>
  <c r="W841" i="25"/>
  <c r="W842" i="25"/>
  <c r="W843" i="25"/>
  <c r="W844" i="25"/>
  <c r="W845" i="25"/>
  <c r="W846" i="25"/>
  <c r="W847" i="25"/>
  <c r="W848" i="25"/>
  <c r="W849" i="25"/>
  <c r="W850" i="25"/>
  <c r="W851" i="25"/>
  <c r="W852" i="25"/>
  <c r="W853" i="25"/>
  <c r="W854" i="25"/>
  <c r="W855" i="25"/>
  <c r="W856" i="25"/>
  <c r="W857" i="25"/>
  <c r="W858" i="25"/>
  <c r="W859" i="25"/>
  <c r="W860" i="25"/>
  <c r="W861" i="25"/>
  <c r="W862" i="25"/>
  <c r="W863" i="25"/>
  <c r="W864" i="25"/>
  <c r="W865" i="25"/>
  <c r="W866" i="25"/>
  <c r="W867" i="25"/>
  <c r="W868" i="25"/>
  <c r="W869" i="25"/>
  <c r="W870" i="25"/>
  <c r="W871" i="25"/>
  <c r="W872" i="25"/>
  <c r="W873" i="25"/>
  <c r="W874" i="25"/>
  <c r="W875" i="25"/>
  <c r="W876" i="25"/>
  <c r="W877" i="25"/>
  <c r="W878" i="25"/>
  <c r="W879" i="25"/>
  <c r="W880" i="25"/>
  <c r="W881" i="25"/>
  <c r="X3" i="25"/>
  <c r="X4"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T663" i="25"/>
  <c r="U663" i="25"/>
  <c r="T664" i="25"/>
  <c r="U664" i="25"/>
  <c r="T665" i="25"/>
  <c r="U665" i="25"/>
  <c r="T666" i="25"/>
  <c r="U666" i="25"/>
  <c r="T667" i="25"/>
  <c r="U667" i="25"/>
  <c r="T668" i="25"/>
  <c r="U668" i="25"/>
  <c r="T669" i="25"/>
  <c r="U669" i="25"/>
  <c r="T670" i="25"/>
  <c r="U670" i="25"/>
  <c r="T671" i="25"/>
  <c r="U671" i="25"/>
  <c r="T672" i="25"/>
  <c r="U672" i="25"/>
  <c r="T673" i="25"/>
  <c r="U673" i="25"/>
  <c r="T674" i="25"/>
  <c r="U674" i="25"/>
  <c r="T675" i="25"/>
  <c r="U675" i="25"/>
  <c r="T676" i="25"/>
  <c r="U676" i="25"/>
  <c r="T677" i="25"/>
  <c r="U677" i="25"/>
  <c r="T678" i="25"/>
  <c r="U678" i="25"/>
  <c r="T679" i="25"/>
  <c r="U679" i="25"/>
  <c r="T680" i="25"/>
  <c r="U680" i="25"/>
  <c r="T681" i="25"/>
  <c r="U681" i="25"/>
  <c r="T682" i="25"/>
  <c r="U682" i="25"/>
  <c r="T683" i="25"/>
  <c r="U683" i="25"/>
  <c r="T684" i="25"/>
  <c r="U684" i="25"/>
  <c r="T685" i="25"/>
  <c r="U685" i="25"/>
  <c r="T686" i="25"/>
  <c r="U686" i="25"/>
  <c r="T687" i="25"/>
  <c r="U687" i="25"/>
  <c r="T688" i="25"/>
  <c r="U688" i="25"/>
  <c r="T689" i="25"/>
  <c r="U689" i="25"/>
  <c r="T690" i="25"/>
  <c r="U690" i="25"/>
  <c r="T691" i="25"/>
  <c r="U691" i="25"/>
  <c r="T692" i="25"/>
  <c r="U692" i="25"/>
  <c r="T693" i="25"/>
  <c r="U693" i="25"/>
  <c r="T694" i="25"/>
  <c r="U694" i="25"/>
  <c r="T695" i="25"/>
  <c r="U695" i="25"/>
  <c r="T696" i="25"/>
  <c r="U696" i="25"/>
  <c r="T697" i="25"/>
  <c r="U697" i="25"/>
  <c r="T698" i="25"/>
  <c r="U698" i="25"/>
  <c r="T699" i="25"/>
  <c r="U699" i="25"/>
  <c r="T700" i="25"/>
  <c r="U700" i="25"/>
  <c r="T701" i="25"/>
  <c r="U701" i="25"/>
  <c r="T702" i="25"/>
  <c r="U702" i="25"/>
  <c r="T703" i="25"/>
  <c r="U703" i="25"/>
  <c r="T704" i="25"/>
  <c r="U704" i="25"/>
  <c r="T705" i="25"/>
  <c r="U705" i="25"/>
  <c r="T706" i="25"/>
  <c r="U706" i="25"/>
  <c r="T707" i="25"/>
  <c r="U707" i="25"/>
  <c r="T708" i="25"/>
  <c r="U708" i="25"/>
  <c r="T709" i="25"/>
  <c r="U709" i="25"/>
  <c r="T710" i="25"/>
  <c r="U710" i="25"/>
  <c r="T711" i="25"/>
  <c r="U711" i="25"/>
  <c r="T712" i="25"/>
  <c r="U712" i="25"/>
  <c r="T713" i="25"/>
  <c r="U713" i="25"/>
  <c r="T714" i="25"/>
  <c r="U714" i="25"/>
  <c r="T715" i="25"/>
  <c r="U715" i="25"/>
  <c r="T716" i="25"/>
  <c r="U716" i="25"/>
  <c r="T717" i="25"/>
  <c r="U717" i="25"/>
  <c r="T718" i="25"/>
  <c r="U718" i="25"/>
  <c r="T719" i="25"/>
  <c r="U719" i="25"/>
  <c r="T720" i="25"/>
  <c r="U720" i="25"/>
  <c r="T721" i="25"/>
  <c r="U721" i="25"/>
  <c r="T722" i="25"/>
  <c r="U722" i="25"/>
  <c r="T723" i="25"/>
  <c r="U723" i="25"/>
  <c r="T724" i="25"/>
  <c r="U724" i="25"/>
  <c r="T725" i="25"/>
  <c r="U725" i="25"/>
  <c r="T726" i="25"/>
  <c r="U726" i="25"/>
  <c r="T727" i="25"/>
  <c r="U727" i="25"/>
  <c r="T728" i="25"/>
  <c r="U728" i="25"/>
  <c r="T729" i="25"/>
  <c r="U729" i="25"/>
  <c r="T730" i="25"/>
  <c r="U730" i="25"/>
  <c r="T731" i="25"/>
  <c r="U731" i="25"/>
  <c r="T732" i="25"/>
  <c r="U732" i="25"/>
  <c r="T733" i="25"/>
  <c r="U733" i="25"/>
  <c r="T734" i="25"/>
  <c r="U734" i="25"/>
  <c r="T735" i="25"/>
  <c r="U735" i="25"/>
  <c r="T736" i="25"/>
  <c r="U736" i="25"/>
  <c r="T737" i="25"/>
  <c r="U737" i="25"/>
  <c r="T738" i="25"/>
  <c r="U738" i="25"/>
  <c r="T739" i="25"/>
  <c r="U739" i="25"/>
  <c r="T740" i="25"/>
  <c r="U740" i="25"/>
  <c r="T741" i="25"/>
  <c r="U741" i="25"/>
  <c r="T742" i="25"/>
  <c r="U742" i="25"/>
  <c r="T743" i="25"/>
  <c r="U743" i="25"/>
  <c r="T744" i="25"/>
  <c r="U744" i="25"/>
  <c r="T745" i="25"/>
  <c r="U745" i="25"/>
  <c r="T746" i="25"/>
  <c r="U746" i="25"/>
  <c r="T747" i="25"/>
  <c r="U747" i="25"/>
  <c r="T748" i="25"/>
  <c r="U748" i="25"/>
  <c r="T749" i="25"/>
  <c r="U749" i="25"/>
  <c r="T750" i="25"/>
  <c r="U750" i="25"/>
  <c r="T751" i="25"/>
  <c r="U751" i="25"/>
  <c r="T752" i="25"/>
  <c r="U752" i="25"/>
  <c r="T753" i="25"/>
  <c r="U753" i="25"/>
  <c r="T754" i="25"/>
  <c r="U754" i="25"/>
  <c r="T755" i="25"/>
  <c r="U755" i="25"/>
  <c r="T756" i="25"/>
  <c r="U756" i="25"/>
  <c r="T757" i="25"/>
  <c r="U757" i="25"/>
  <c r="T758" i="25"/>
  <c r="U758" i="25"/>
  <c r="T759" i="25"/>
  <c r="U759" i="25"/>
  <c r="T760" i="25"/>
  <c r="U760" i="25"/>
  <c r="T761" i="25"/>
  <c r="U761" i="25"/>
  <c r="T762" i="25"/>
  <c r="U762" i="25"/>
  <c r="T763" i="25"/>
  <c r="U763" i="25"/>
  <c r="T764" i="25"/>
  <c r="U764" i="25"/>
  <c r="T765" i="25"/>
  <c r="U765" i="25"/>
  <c r="T766" i="25"/>
  <c r="U766" i="25"/>
  <c r="T767" i="25"/>
  <c r="U767" i="25"/>
  <c r="T768" i="25"/>
  <c r="U768" i="25"/>
  <c r="T769" i="25"/>
  <c r="U769" i="25"/>
  <c r="T770" i="25"/>
  <c r="U770" i="25"/>
  <c r="T771" i="25"/>
  <c r="U771" i="25"/>
  <c r="T772" i="25"/>
  <c r="U772" i="25"/>
  <c r="T773" i="25"/>
  <c r="U773" i="25"/>
  <c r="T774" i="25"/>
  <c r="U774" i="25"/>
  <c r="T775" i="25"/>
  <c r="U775" i="25"/>
  <c r="T776" i="25"/>
  <c r="U776" i="25"/>
  <c r="T777" i="25"/>
  <c r="U777" i="25"/>
  <c r="T778" i="25"/>
  <c r="U778" i="25"/>
  <c r="T779" i="25"/>
  <c r="U779" i="25"/>
  <c r="T780" i="25"/>
  <c r="U780" i="25"/>
  <c r="T781" i="25"/>
  <c r="U781" i="25"/>
  <c r="T782" i="25"/>
  <c r="U782" i="25"/>
  <c r="T783" i="25"/>
  <c r="U783" i="25"/>
  <c r="T784" i="25"/>
  <c r="U784" i="25"/>
  <c r="T785" i="25"/>
  <c r="U785" i="25"/>
  <c r="T786" i="25"/>
  <c r="U786" i="25"/>
  <c r="T787" i="25"/>
  <c r="U787" i="25"/>
  <c r="T788" i="25"/>
  <c r="U788" i="25"/>
  <c r="T789" i="25"/>
  <c r="U789" i="25"/>
  <c r="T790" i="25"/>
  <c r="U790" i="25"/>
  <c r="T791" i="25"/>
  <c r="U791" i="25"/>
  <c r="T792" i="25"/>
  <c r="U792" i="25"/>
  <c r="T793" i="25"/>
  <c r="U793" i="25"/>
  <c r="T794" i="25"/>
  <c r="U794" i="25"/>
  <c r="T795" i="25"/>
  <c r="U795" i="25"/>
  <c r="T796" i="25"/>
  <c r="U796" i="25"/>
  <c r="T797" i="25"/>
  <c r="U797" i="25"/>
  <c r="T798" i="25"/>
  <c r="U798" i="25"/>
  <c r="T799" i="25"/>
  <c r="U799" i="25"/>
  <c r="T800" i="25"/>
  <c r="U800" i="25"/>
  <c r="T801" i="25"/>
  <c r="U801" i="25"/>
  <c r="T802" i="25"/>
  <c r="U802" i="25"/>
  <c r="T803" i="25"/>
  <c r="U803" i="25"/>
  <c r="T804" i="25"/>
  <c r="U804" i="25"/>
  <c r="T805" i="25"/>
  <c r="U805" i="25"/>
  <c r="T806" i="25"/>
  <c r="U806" i="25"/>
  <c r="T807" i="25"/>
  <c r="U807" i="25"/>
  <c r="T808" i="25"/>
  <c r="U808" i="25"/>
  <c r="T809" i="25"/>
  <c r="U809" i="25"/>
  <c r="T810" i="25"/>
  <c r="U810" i="25"/>
  <c r="T811" i="25"/>
  <c r="U811" i="25"/>
  <c r="T812" i="25"/>
  <c r="U812" i="25"/>
  <c r="T813" i="25"/>
  <c r="U813" i="25"/>
  <c r="T814" i="25"/>
  <c r="U814" i="25"/>
  <c r="T815" i="25"/>
  <c r="U815" i="25"/>
  <c r="T816" i="25"/>
  <c r="U816" i="25"/>
  <c r="T817" i="25"/>
  <c r="U817" i="25"/>
  <c r="T818" i="25"/>
  <c r="U818" i="25"/>
  <c r="T819" i="25"/>
  <c r="U819" i="25"/>
  <c r="T820" i="25"/>
  <c r="U820" i="25"/>
  <c r="T821" i="25"/>
  <c r="U821" i="25"/>
  <c r="T822" i="25"/>
  <c r="U822" i="25"/>
  <c r="T823" i="25"/>
  <c r="U823" i="25"/>
  <c r="T824" i="25"/>
  <c r="U824" i="25"/>
  <c r="T825" i="25"/>
  <c r="U825" i="25"/>
  <c r="T826" i="25"/>
  <c r="U826" i="25"/>
  <c r="T827" i="25"/>
  <c r="U827" i="25"/>
  <c r="T828" i="25"/>
  <c r="U828" i="25"/>
  <c r="T829" i="25"/>
  <c r="U829" i="25"/>
  <c r="T830" i="25"/>
  <c r="U830" i="25"/>
  <c r="T831" i="25"/>
  <c r="U831" i="25"/>
  <c r="T832" i="25"/>
  <c r="U832" i="25"/>
  <c r="T833" i="25"/>
  <c r="U833" i="25"/>
  <c r="T834" i="25"/>
  <c r="U834" i="25"/>
  <c r="T835" i="25"/>
  <c r="U835" i="25"/>
  <c r="T836" i="25"/>
  <c r="U836" i="25"/>
  <c r="T837" i="25"/>
  <c r="U837" i="25"/>
  <c r="T838" i="25"/>
  <c r="U838" i="25"/>
  <c r="T839" i="25"/>
  <c r="U839" i="25"/>
  <c r="T840" i="25"/>
  <c r="U840" i="25"/>
  <c r="T841" i="25"/>
  <c r="U841" i="25"/>
  <c r="T842" i="25"/>
  <c r="U842" i="25"/>
  <c r="T843" i="25"/>
  <c r="U843" i="25"/>
  <c r="T844" i="25"/>
  <c r="U844" i="25"/>
  <c r="T845" i="25"/>
  <c r="U845" i="25"/>
  <c r="T846" i="25"/>
  <c r="U846" i="25"/>
  <c r="T847" i="25"/>
  <c r="U847" i="25"/>
  <c r="T848" i="25"/>
  <c r="U848" i="25"/>
  <c r="T849" i="25"/>
  <c r="U849" i="25"/>
  <c r="T850" i="25"/>
  <c r="U850" i="25"/>
  <c r="T851" i="25"/>
  <c r="U851" i="25"/>
  <c r="T852" i="25"/>
  <c r="U852" i="25"/>
  <c r="T853" i="25"/>
  <c r="U853" i="25"/>
  <c r="T854" i="25"/>
  <c r="U854" i="25"/>
  <c r="T855" i="25"/>
  <c r="U855" i="25"/>
  <c r="T856" i="25"/>
  <c r="U856" i="25"/>
  <c r="T857" i="25"/>
  <c r="U857" i="25"/>
  <c r="T858" i="25"/>
  <c r="U858" i="25"/>
  <c r="T859" i="25"/>
  <c r="U859" i="25"/>
  <c r="T860" i="25"/>
  <c r="U860" i="25"/>
  <c r="T861" i="25"/>
  <c r="U861" i="25"/>
  <c r="T862" i="25"/>
  <c r="U862" i="25"/>
  <c r="T863" i="25"/>
  <c r="U863" i="25"/>
  <c r="T864" i="25"/>
  <c r="U864" i="25"/>
  <c r="T865" i="25"/>
  <c r="U865" i="25"/>
  <c r="T866" i="25"/>
  <c r="U866" i="25"/>
  <c r="T867" i="25"/>
  <c r="U867" i="25"/>
  <c r="T868" i="25"/>
  <c r="U868" i="25"/>
  <c r="T869" i="25"/>
  <c r="U869" i="25"/>
  <c r="T870" i="25"/>
  <c r="U870" i="25"/>
  <c r="T871" i="25"/>
  <c r="U871" i="25"/>
  <c r="T872" i="25"/>
  <c r="U872" i="25"/>
  <c r="T873" i="25"/>
  <c r="U873" i="25"/>
  <c r="T874" i="25"/>
  <c r="U874" i="25"/>
  <c r="T875" i="25"/>
  <c r="U875" i="25"/>
  <c r="T876" i="25"/>
  <c r="U876" i="25"/>
  <c r="T877" i="25"/>
  <c r="U877" i="25"/>
  <c r="T878" i="25"/>
  <c r="U878" i="25"/>
  <c r="T879" i="25"/>
  <c r="U879" i="25"/>
  <c r="T880" i="25"/>
  <c r="U880" i="25"/>
  <c r="T881" i="25"/>
  <c r="U881" i="25"/>
  <c r="T443" i="25"/>
  <c r="U443" i="25"/>
  <c r="T444" i="25"/>
  <c r="U444" i="25"/>
  <c r="T445" i="25"/>
  <c r="U445" i="25"/>
  <c r="T446" i="25"/>
  <c r="U446" i="25"/>
  <c r="T447" i="25"/>
  <c r="U447" i="25"/>
  <c r="T448" i="25"/>
  <c r="U448" i="25"/>
  <c r="T449" i="25"/>
  <c r="U449" i="25"/>
  <c r="T450" i="25"/>
  <c r="U450" i="25"/>
  <c r="T451" i="25"/>
  <c r="U451" i="25"/>
  <c r="T452" i="25"/>
  <c r="U452" i="25"/>
  <c r="T453" i="25"/>
  <c r="U453" i="25"/>
  <c r="T454" i="25"/>
  <c r="U454" i="25"/>
  <c r="T455" i="25"/>
  <c r="U455" i="25"/>
  <c r="T456" i="25"/>
  <c r="U456" i="25"/>
  <c r="T457" i="25"/>
  <c r="U457" i="25"/>
  <c r="T458" i="25"/>
  <c r="U458" i="25"/>
  <c r="T459" i="25"/>
  <c r="U459" i="25"/>
  <c r="T460" i="25"/>
  <c r="U460" i="25"/>
  <c r="T461" i="25"/>
  <c r="U461" i="25"/>
  <c r="T462" i="25"/>
  <c r="U462" i="25"/>
  <c r="T463" i="25"/>
  <c r="U463" i="25"/>
  <c r="T464" i="25"/>
  <c r="U464" i="25"/>
  <c r="T465" i="25"/>
  <c r="U465" i="25"/>
  <c r="T466" i="25"/>
  <c r="U466" i="25"/>
  <c r="T467" i="25"/>
  <c r="U467" i="25"/>
  <c r="T468" i="25"/>
  <c r="U468" i="25"/>
  <c r="T469" i="25"/>
  <c r="U469" i="25"/>
  <c r="T470" i="25"/>
  <c r="U470" i="25"/>
  <c r="T471" i="25"/>
  <c r="U471" i="25"/>
  <c r="T472" i="25"/>
  <c r="U472" i="25"/>
  <c r="T473" i="25"/>
  <c r="U473" i="25"/>
  <c r="T474" i="25"/>
  <c r="U474" i="25"/>
  <c r="T475" i="25"/>
  <c r="U475" i="25"/>
  <c r="T476" i="25"/>
  <c r="U476" i="25"/>
  <c r="T477" i="25"/>
  <c r="U477" i="25"/>
  <c r="T478" i="25"/>
  <c r="U478" i="25"/>
  <c r="T479" i="25"/>
  <c r="U479" i="25"/>
  <c r="T480" i="25"/>
  <c r="U480" i="25"/>
  <c r="T481" i="25"/>
  <c r="U481" i="25"/>
  <c r="T482" i="25"/>
  <c r="U482" i="25"/>
  <c r="T483" i="25"/>
  <c r="U483" i="25"/>
  <c r="T484" i="25"/>
  <c r="U484" i="25"/>
  <c r="T485" i="25"/>
  <c r="U485" i="25"/>
  <c r="T486" i="25"/>
  <c r="U486" i="25"/>
  <c r="T487" i="25"/>
  <c r="U487" i="25"/>
  <c r="T488" i="25"/>
  <c r="U488" i="25"/>
  <c r="T489" i="25"/>
  <c r="U489" i="25"/>
  <c r="T490" i="25"/>
  <c r="U490" i="25"/>
  <c r="T491" i="25"/>
  <c r="U491" i="25"/>
  <c r="T492" i="25"/>
  <c r="U492" i="25"/>
  <c r="T493" i="25"/>
  <c r="U493" i="25"/>
  <c r="T494" i="25"/>
  <c r="U494" i="25"/>
  <c r="T495" i="25"/>
  <c r="U495" i="25"/>
  <c r="T496" i="25"/>
  <c r="U496" i="25"/>
  <c r="T497" i="25"/>
  <c r="U497" i="25"/>
  <c r="T498" i="25"/>
  <c r="U498" i="25"/>
  <c r="T499" i="25"/>
  <c r="U499" i="25"/>
  <c r="T500" i="25"/>
  <c r="U500" i="25"/>
  <c r="T501" i="25"/>
  <c r="U501" i="25"/>
  <c r="T502" i="25"/>
  <c r="U502" i="25"/>
  <c r="T503" i="25"/>
  <c r="U503" i="25"/>
  <c r="T504" i="25"/>
  <c r="U504" i="25"/>
  <c r="T505" i="25"/>
  <c r="U505" i="25"/>
  <c r="T506" i="25"/>
  <c r="U506" i="25"/>
  <c r="T507" i="25"/>
  <c r="U507" i="25"/>
  <c r="T508" i="25"/>
  <c r="U508" i="25"/>
  <c r="T509" i="25"/>
  <c r="U509" i="25"/>
  <c r="T510" i="25"/>
  <c r="U510" i="25"/>
  <c r="T511" i="25"/>
  <c r="U511" i="25"/>
  <c r="T512" i="25"/>
  <c r="U512" i="25"/>
  <c r="T513" i="25"/>
  <c r="U513" i="25"/>
  <c r="T514" i="25"/>
  <c r="U514" i="25"/>
  <c r="T515" i="25"/>
  <c r="U515" i="25"/>
  <c r="T516" i="25"/>
  <c r="U516" i="25"/>
  <c r="T517" i="25"/>
  <c r="U517" i="25"/>
  <c r="T518" i="25"/>
  <c r="U518" i="25"/>
  <c r="T519" i="25"/>
  <c r="U519" i="25"/>
  <c r="T520" i="25"/>
  <c r="U520" i="25"/>
  <c r="T521" i="25"/>
  <c r="U521" i="25"/>
  <c r="T522" i="25"/>
  <c r="U522" i="25"/>
  <c r="T523" i="25"/>
  <c r="U523" i="25"/>
  <c r="T524" i="25"/>
  <c r="U524" i="25"/>
  <c r="T525" i="25"/>
  <c r="U525" i="25"/>
  <c r="T526" i="25"/>
  <c r="U526" i="25"/>
  <c r="T527" i="25"/>
  <c r="U527" i="25"/>
  <c r="T528" i="25"/>
  <c r="U528" i="25"/>
  <c r="T529" i="25"/>
  <c r="U529" i="25"/>
  <c r="T530" i="25"/>
  <c r="U530" i="25"/>
  <c r="T531" i="25"/>
  <c r="U531" i="25"/>
  <c r="T532" i="25"/>
  <c r="U532" i="25"/>
  <c r="T533" i="25"/>
  <c r="U533" i="25"/>
  <c r="T534" i="25"/>
  <c r="U534" i="25"/>
  <c r="T535" i="25"/>
  <c r="U535" i="25"/>
  <c r="T536" i="25"/>
  <c r="U536" i="25"/>
  <c r="T537" i="25"/>
  <c r="U537" i="25"/>
  <c r="T538" i="25"/>
  <c r="U538" i="25"/>
  <c r="T539" i="25"/>
  <c r="U539" i="25"/>
  <c r="T540" i="25"/>
  <c r="U540" i="25"/>
  <c r="T541" i="25"/>
  <c r="U541" i="25"/>
  <c r="T542" i="25"/>
  <c r="U542" i="25"/>
  <c r="T543" i="25"/>
  <c r="U543" i="25"/>
  <c r="T544" i="25"/>
  <c r="U544" i="25"/>
  <c r="T545" i="25"/>
  <c r="U545" i="25"/>
  <c r="T546" i="25"/>
  <c r="U546" i="25"/>
  <c r="T547" i="25"/>
  <c r="U547" i="25"/>
  <c r="T548" i="25"/>
  <c r="U548" i="25"/>
  <c r="T549" i="25"/>
  <c r="U549" i="25"/>
  <c r="T550" i="25"/>
  <c r="U550" i="25"/>
  <c r="T551" i="25"/>
  <c r="U551" i="25"/>
  <c r="T552" i="25"/>
  <c r="U552" i="25"/>
  <c r="T553" i="25"/>
  <c r="U553" i="25"/>
  <c r="T554" i="25"/>
  <c r="U554" i="25"/>
  <c r="T555" i="25"/>
  <c r="U555" i="25"/>
  <c r="T556" i="25"/>
  <c r="U556" i="25"/>
  <c r="T557" i="25"/>
  <c r="U557" i="25"/>
  <c r="T558" i="25"/>
  <c r="U558" i="25"/>
  <c r="T559" i="25"/>
  <c r="U559" i="25"/>
  <c r="T560" i="25"/>
  <c r="U560" i="25"/>
  <c r="T561" i="25"/>
  <c r="U561" i="25"/>
  <c r="T562" i="25"/>
  <c r="U562" i="25"/>
  <c r="T563" i="25"/>
  <c r="U563" i="25"/>
  <c r="T564" i="25"/>
  <c r="U564" i="25"/>
  <c r="T565" i="25"/>
  <c r="U565" i="25"/>
  <c r="T566" i="25"/>
  <c r="U566" i="25"/>
  <c r="T567" i="25"/>
  <c r="U567" i="25"/>
  <c r="T568" i="25"/>
  <c r="U568" i="25"/>
  <c r="T569" i="25"/>
  <c r="U569" i="25"/>
  <c r="T570" i="25"/>
  <c r="U570" i="25"/>
  <c r="T571" i="25"/>
  <c r="U571" i="25"/>
  <c r="T572" i="25"/>
  <c r="U572" i="25"/>
  <c r="T573" i="25"/>
  <c r="U573" i="25"/>
  <c r="T574" i="25"/>
  <c r="U574" i="25"/>
  <c r="T575" i="25"/>
  <c r="U575" i="25"/>
  <c r="T576" i="25"/>
  <c r="U576" i="25"/>
  <c r="T577" i="25"/>
  <c r="U577" i="25"/>
  <c r="T578" i="25"/>
  <c r="U578" i="25"/>
  <c r="T579" i="25"/>
  <c r="U579" i="25"/>
  <c r="T580" i="25"/>
  <c r="U580" i="25"/>
  <c r="T581" i="25"/>
  <c r="U581" i="25"/>
  <c r="T582" i="25"/>
  <c r="U582" i="25"/>
  <c r="T583" i="25"/>
  <c r="U583" i="25"/>
  <c r="T584" i="25"/>
  <c r="U584" i="25"/>
  <c r="T585" i="25"/>
  <c r="U585" i="25"/>
  <c r="T586" i="25"/>
  <c r="U586" i="25"/>
  <c r="T587" i="25"/>
  <c r="U587" i="25"/>
  <c r="T588" i="25"/>
  <c r="U588" i="25"/>
  <c r="T589" i="25"/>
  <c r="U589" i="25"/>
  <c r="T590" i="25"/>
  <c r="U590" i="25"/>
  <c r="T591" i="25"/>
  <c r="U591" i="25"/>
  <c r="T592" i="25"/>
  <c r="U592" i="25"/>
  <c r="T593" i="25"/>
  <c r="U593" i="25"/>
  <c r="T594" i="25"/>
  <c r="U594" i="25"/>
  <c r="T595" i="25"/>
  <c r="U595" i="25"/>
  <c r="T596" i="25"/>
  <c r="U596" i="25"/>
  <c r="T597" i="25"/>
  <c r="U597" i="25"/>
  <c r="T598" i="25"/>
  <c r="U598" i="25"/>
  <c r="T599" i="25"/>
  <c r="U599" i="25"/>
  <c r="T600" i="25"/>
  <c r="U600" i="25"/>
  <c r="T601" i="25"/>
  <c r="U601" i="25"/>
  <c r="T602" i="25"/>
  <c r="U602" i="25"/>
  <c r="T603" i="25"/>
  <c r="U603" i="25"/>
  <c r="T604" i="25"/>
  <c r="U604" i="25"/>
  <c r="T605" i="25"/>
  <c r="U605" i="25"/>
  <c r="T606" i="25"/>
  <c r="U606" i="25"/>
  <c r="T607" i="25"/>
  <c r="U607" i="25"/>
  <c r="T608" i="25"/>
  <c r="U608" i="25"/>
  <c r="T609" i="25"/>
  <c r="U609" i="25"/>
  <c r="T610" i="25"/>
  <c r="U610" i="25"/>
  <c r="T611" i="25"/>
  <c r="U611" i="25"/>
  <c r="T612" i="25"/>
  <c r="U612" i="25"/>
  <c r="T613" i="25"/>
  <c r="U613" i="25"/>
  <c r="T614" i="25"/>
  <c r="U614" i="25"/>
  <c r="T615" i="25"/>
  <c r="U615" i="25"/>
  <c r="T616" i="25"/>
  <c r="U616" i="25"/>
  <c r="T617" i="25"/>
  <c r="U617" i="25"/>
  <c r="T618" i="25"/>
  <c r="U618" i="25"/>
  <c r="T619" i="25"/>
  <c r="U619" i="25"/>
  <c r="T620" i="25"/>
  <c r="U620" i="25"/>
  <c r="T621" i="25"/>
  <c r="U621" i="25"/>
  <c r="T622" i="25"/>
  <c r="U622" i="25"/>
  <c r="T623" i="25"/>
  <c r="U623" i="25"/>
  <c r="T624" i="25"/>
  <c r="U624" i="25"/>
  <c r="T625" i="25"/>
  <c r="U625" i="25"/>
  <c r="T626" i="25"/>
  <c r="U626" i="25"/>
  <c r="T627" i="25"/>
  <c r="U627" i="25"/>
  <c r="T628" i="25"/>
  <c r="U628" i="25"/>
  <c r="T629" i="25"/>
  <c r="U629" i="25"/>
  <c r="T630" i="25"/>
  <c r="U630" i="25"/>
  <c r="T631" i="25"/>
  <c r="U631" i="25"/>
  <c r="T632" i="25"/>
  <c r="U632" i="25"/>
  <c r="T633" i="25"/>
  <c r="U633" i="25"/>
  <c r="T634" i="25"/>
  <c r="U634" i="25"/>
  <c r="T635" i="25"/>
  <c r="U635" i="25"/>
  <c r="T636" i="25"/>
  <c r="U636" i="25"/>
  <c r="T637" i="25"/>
  <c r="U637" i="25"/>
  <c r="T638" i="25"/>
  <c r="U638" i="25"/>
  <c r="T639" i="25"/>
  <c r="U639" i="25"/>
  <c r="T640" i="25"/>
  <c r="U640" i="25"/>
  <c r="T641" i="25"/>
  <c r="U641" i="25"/>
  <c r="T642" i="25"/>
  <c r="U642" i="25"/>
  <c r="T643" i="25"/>
  <c r="U643" i="25"/>
  <c r="T644" i="25"/>
  <c r="U644" i="25"/>
  <c r="T645" i="25"/>
  <c r="U645" i="25"/>
  <c r="T646" i="25"/>
  <c r="U646" i="25"/>
  <c r="T647" i="25"/>
  <c r="U647" i="25"/>
  <c r="T648" i="25"/>
  <c r="U648" i="25"/>
  <c r="T649" i="25"/>
  <c r="U649" i="25"/>
  <c r="T650" i="25"/>
  <c r="U650" i="25"/>
  <c r="T651" i="25"/>
  <c r="U651" i="25"/>
  <c r="T652" i="25"/>
  <c r="U652" i="25"/>
  <c r="T653" i="25"/>
  <c r="U653" i="25"/>
  <c r="T654" i="25"/>
  <c r="U654" i="25"/>
  <c r="T655" i="25"/>
  <c r="U655" i="25"/>
  <c r="T656" i="25"/>
  <c r="U656" i="25"/>
  <c r="T657" i="25"/>
  <c r="U657" i="25"/>
  <c r="T658" i="25"/>
  <c r="U658" i="25"/>
  <c r="T659" i="25"/>
  <c r="U659" i="25"/>
  <c r="T660" i="25"/>
  <c r="U660" i="25"/>
  <c r="T661" i="25"/>
  <c r="U661" i="25"/>
  <c r="T223" i="25"/>
  <c r="U223" i="25"/>
  <c r="T224" i="25"/>
  <c r="U224" i="25"/>
  <c r="T225" i="25"/>
  <c r="U225" i="25"/>
  <c r="T226" i="25"/>
  <c r="U226" i="25"/>
  <c r="T227" i="25"/>
  <c r="U227" i="25"/>
  <c r="T228" i="25"/>
  <c r="U228" i="25"/>
  <c r="T229" i="25"/>
  <c r="U229" i="25"/>
  <c r="T230" i="25"/>
  <c r="U230" i="25"/>
  <c r="T231" i="25"/>
  <c r="U231" i="25"/>
  <c r="T232" i="25"/>
  <c r="U232" i="25"/>
  <c r="T233" i="25"/>
  <c r="U233" i="25"/>
  <c r="T234" i="25"/>
  <c r="U234" i="25"/>
  <c r="T235" i="25"/>
  <c r="U235" i="25"/>
  <c r="T236" i="25"/>
  <c r="U236" i="25"/>
  <c r="T237" i="25"/>
  <c r="U237" i="25"/>
  <c r="T238" i="25"/>
  <c r="U238" i="25"/>
  <c r="T239" i="25"/>
  <c r="U239" i="25"/>
  <c r="T240" i="25"/>
  <c r="U240" i="25"/>
  <c r="T241" i="25"/>
  <c r="U241" i="25"/>
  <c r="T242" i="25"/>
  <c r="U242" i="25"/>
  <c r="T243" i="25"/>
  <c r="U243" i="25"/>
  <c r="T244" i="25"/>
  <c r="U244" i="25"/>
  <c r="T245" i="25"/>
  <c r="U245" i="25"/>
  <c r="T246" i="25"/>
  <c r="U246" i="25"/>
  <c r="T247" i="25"/>
  <c r="U247" i="25"/>
  <c r="T248" i="25"/>
  <c r="U248" i="25"/>
  <c r="T249" i="25"/>
  <c r="U249" i="25"/>
  <c r="T250" i="25"/>
  <c r="U250" i="25"/>
  <c r="T251" i="25"/>
  <c r="U251" i="25"/>
  <c r="T252" i="25"/>
  <c r="U252" i="25"/>
  <c r="T253" i="25"/>
  <c r="U253" i="25"/>
  <c r="T254" i="25"/>
  <c r="U254" i="25"/>
  <c r="T255" i="25"/>
  <c r="U255" i="25"/>
  <c r="T256" i="25"/>
  <c r="U256" i="25"/>
  <c r="T257" i="25"/>
  <c r="U257" i="25"/>
  <c r="T258" i="25"/>
  <c r="U258" i="25"/>
  <c r="T259" i="25"/>
  <c r="U259" i="25"/>
  <c r="T260" i="25"/>
  <c r="U260" i="25"/>
  <c r="T261" i="25"/>
  <c r="U261" i="25"/>
  <c r="T262" i="25"/>
  <c r="U262" i="25"/>
  <c r="T263" i="25"/>
  <c r="U263" i="25"/>
  <c r="T264" i="25"/>
  <c r="U264" i="25"/>
  <c r="T265" i="25"/>
  <c r="U265" i="25"/>
  <c r="T266" i="25"/>
  <c r="U266" i="25"/>
  <c r="T267" i="25"/>
  <c r="U267" i="25"/>
  <c r="T268" i="25"/>
  <c r="U268" i="25"/>
  <c r="T269" i="25"/>
  <c r="U269" i="25"/>
  <c r="T270" i="25"/>
  <c r="U270" i="25"/>
  <c r="T271" i="25"/>
  <c r="U271" i="25"/>
  <c r="T272" i="25"/>
  <c r="U272" i="25"/>
  <c r="T273" i="25"/>
  <c r="U273" i="25"/>
  <c r="T274" i="25"/>
  <c r="U274" i="25"/>
  <c r="T275" i="25"/>
  <c r="U275" i="25"/>
  <c r="T276" i="25"/>
  <c r="U276" i="25"/>
  <c r="T277" i="25"/>
  <c r="U277" i="25"/>
  <c r="T278" i="25"/>
  <c r="U278" i="25"/>
  <c r="T279" i="25"/>
  <c r="U279" i="25"/>
  <c r="T280" i="25"/>
  <c r="U280" i="25"/>
  <c r="T281" i="25"/>
  <c r="U281" i="25"/>
  <c r="T282" i="25"/>
  <c r="U282" i="25"/>
  <c r="T283" i="25"/>
  <c r="U283" i="25"/>
  <c r="T284" i="25"/>
  <c r="U284" i="25"/>
  <c r="T285" i="25"/>
  <c r="U285" i="25"/>
  <c r="T286" i="25"/>
  <c r="U286" i="25"/>
  <c r="T287" i="25"/>
  <c r="U287" i="25"/>
  <c r="T288" i="25"/>
  <c r="U288" i="25"/>
  <c r="T289" i="25"/>
  <c r="U289" i="25"/>
  <c r="T290" i="25"/>
  <c r="U290" i="25"/>
  <c r="T291" i="25"/>
  <c r="U291" i="25"/>
  <c r="T292" i="25"/>
  <c r="U292" i="25"/>
  <c r="T293" i="25"/>
  <c r="U293" i="25"/>
  <c r="T294" i="25"/>
  <c r="U294" i="25"/>
  <c r="T295" i="25"/>
  <c r="U295" i="25"/>
  <c r="T296" i="25"/>
  <c r="U296" i="25"/>
  <c r="T297" i="25"/>
  <c r="U297" i="25"/>
  <c r="T298" i="25"/>
  <c r="U298" i="25"/>
  <c r="T299" i="25"/>
  <c r="U299" i="25"/>
  <c r="T300" i="25"/>
  <c r="U300" i="25"/>
  <c r="T301" i="25"/>
  <c r="U301" i="25"/>
  <c r="T302" i="25"/>
  <c r="U302" i="25"/>
  <c r="T303" i="25"/>
  <c r="U303" i="25"/>
  <c r="T304" i="25"/>
  <c r="U304" i="25"/>
  <c r="T305" i="25"/>
  <c r="U305" i="25"/>
  <c r="T306" i="25"/>
  <c r="U306" i="25"/>
  <c r="T307" i="25"/>
  <c r="U307" i="25"/>
  <c r="T308" i="25"/>
  <c r="U308" i="25"/>
  <c r="T309" i="25"/>
  <c r="U309" i="25"/>
  <c r="T310" i="25"/>
  <c r="U310" i="25"/>
  <c r="T311" i="25"/>
  <c r="U311" i="25"/>
  <c r="T312" i="25"/>
  <c r="U312" i="25"/>
  <c r="T313" i="25"/>
  <c r="U313" i="25"/>
  <c r="T314" i="25"/>
  <c r="U314" i="25"/>
  <c r="T315" i="25"/>
  <c r="U315" i="25"/>
  <c r="T316" i="25"/>
  <c r="U316" i="25"/>
  <c r="T317" i="25"/>
  <c r="U317" i="25"/>
  <c r="T318" i="25"/>
  <c r="U318" i="25"/>
  <c r="T319" i="25"/>
  <c r="U319" i="25"/>
  <c r="T320" i="25"/>
  <c r="U320" i="25"/>
  <c r="T321" i="25"/>
  <c r="U321" i="25"/>
  <c r="T322" i="25"/>
  <c r="U322" i="25"/>
  <c r="T323" i="25"/>
  <c r="U323" i="25"/>
  <c r="T324" i="25"/>
  <c r="U324" i="25"/>
  <c r="T325" i="25"/>
  <c r="U325" i="25"/>
  <c r="T326" i="25"/>
  <c r="U326" i="25"/>
  <c r="T327" i="25"/>
  <c r="U327" i="25"/>
  <c r="T328" i="25"/>
  <c r="U328" i="25"/>
  <c r="T329" i="25"/>
  <c r="U329" i="25"/>
  <c r="T330" i="25"/>
  <c r="U330" i="25"/>
  <c r="T331" i="25"/>
  <c r="U331" i="25"/>
  <c r="T332" i="25"/>
  <c r="U332" i="25"/>
  <c r="T333" i="25"/>
  <c r="U333" i="25"/>
  <c r="T334" i="25"/>
  <c r="U334" i="25"/>
  <c r="T335" i="25"/>
  <c r="U335" i="25"/>
  <c r="T336" i="25"/>
  <c r="U336" i="25"/>
  <c r="T337" i="25"/>
  <c r="U337" i="25"/>
  <c r="T338" i="25"/>
  <c r="U338" i="25"/>
  <c r="T339" i="25"/>
  <c r="U339" i="25"/>
  <c r="T340" i="25"/>
  <c r="U340" i="25"/>
  <c r="T341" i="25"/>
  <c r="U341" i="25"/>
  <c r="T342" i="25"/>
  <c r="U342" i="25"/>
  <c r="T343" i="25"/>
  <c r="U343" i="25"/>
  <c r="T344" i="25"/>
  <c r="U344" i="25"/>
  <c r="T345" i="25"/>
  <c r="U345" i="25"/>
  <c r="T346" i="25"/>
  <c r="U346" i="25"/>
  <c r="T347" i="25"/>
  <c r="U347" i="25"/>
  <c r="T348" i="25"/>
  <c r="U348" i="25"/>
  <c r="T349" i="25"/>
  <c r="U349" i="25"/>
  <c r="T350" i="25"/>
  <c r="U350" i="25"/>
  <c r="T351" i="25"/>
  <c r="U351" i="25"/>
  <c r="T352" i="25"/>
  <c r="U352" i="25"/>
  <c r="T353" i="25"/>
  <c r="U353" i="25"/>
  <c r="T354" i="25"/>
  <c r="U354" i="25"/>
  <c r="T355" i="25"/>
  <c r="U355" i="25"/>
  <c r="T356" i="25"/>
  <c r="U356" i="25"/>
  <c r="T357" i="25"/>
  <c r="U357" i="25"/>
  <c r="T358" i="25"/>
  <c r="U358" i="25"/>
  <c r="T359" i="25"/>
  <c r="U359" i="25"/>
  <c r="T360" i="25"/>
  <c r="U360" i="25"/>
  <c r="T361" i="25"/>
  <c r="U361" i="25"/>
  <c r="T362" i="25"/>
  <c r="U362" i="25"/>
  <c r="T363" i="25"/>
  <c r="U363" i="25"/>
  <c r="T364" i="25"/>
  <c r="U364" i="25"/>
  <c r="T365" i="25"/>
  <c r="U365" i="25"/>
  <c r="T366" i="25"/>
  <c r="U366" i="25"/>
  <c r="T367" i="25"/>
  <c r="U367" i="25"/>
  <c r="T368" i="25"/>
  <c r="U368" i="25"/>
  <c r="T369" i="25"/>
  <c r="U369" i="25"/>
  <c r="T370" i="25"/>
  <c r="U370" i="25"/>
  <c r="T371" i="25"/>
  <c r="U371" i="25"/>
  <c r="T372" i="25"/>
  <c r="U372" i="25"/>
  <c r="T373" i="25"/>
  <c r="U373" i="25"/>
  <c r="T374" i="25"/>
  <c r="U374" i="25"/>
  <c r="T375" i="25"/>
  <c r="U375" i="25"/>
  <c r="T376" i="25"/>
  <c r="U376" i="25"/>
  <c r="T377" i="25"/>
  <c r="U377" i="25"/>
  <c r="T378" i="25"/>
  <c r="U378" i="25"/>
  <c r="T379" i="25"/>
  <c r="U379" i="25"/>
  <c r="T380" i="25"/>
  <c r="U380" i="25"/>
  <c r="T381" i="25"/>
  <c r="U381" i="25"/>
  <c r="T382" i="25"/>
  <c r="U382" i="25"/>
  <c r="T383" i="25"/>
  <c r="U383" i="25"/>
  <c r="T384" i="25"/>
  <c r="U384" i="25"/>
  <c r="T385" i="25"/>
  <c r="U385" i="25"/>
  <c r="T386" i="25"/>
  <c r="U386" i="25"/>
  <c r="T387" i="25"/>
  <c r="U387" i="25"/>
  <c r="T388" i="25"/>
  <c r="U388" i="25"/>
  <c r="T389" i="25"/>
  <c r="U389" i="25"/>
  <c r="T390" i="25"/>
  <c r="U390" i="25"/>
  <c r="T391" i="25"/>
  <c r="U391" i="25"/>
  <c r="T392" i="25"/>
  <c r="U392" i="25"/>
  <c r="T393" i="25"/>
  <c r="U393" i="25"/>
  <c r="T394" i="25"/>
  <c r="U394" i="25"/>
  <c r="T395" i="25"/>
  <c r="U395" i="25"/>
  <c r="T396" i="25"/>
  <c r="U396" i="25"/>
  <c r="T397" i="25"/>
  <c r="U397" i="25"/>
  <c r="T398" i="25"/>
  <c r="U398" i="25"/>
  <c r="T399" i="25"/>
  <c r="U399" i="25"/>
  <c r="T400" i="25"/>
  <c r="U400" i="25"/>
  <c r="T401" i="25"/>
  <c r="U401" i="25"/>
  <c r="T402" i="25"/>
  <c r="U402" i="25"/>
  <c r="T403" i="25"/>
  <c r="U403" i="25"/>
  <c r="T404" i="25"/>
  <c r="U404" i="25"/>
  <c r="T405" i="25"/>
  <c r="U405" i="25"/>
  <c r="T406" i="25"/>
  <c r="U406" i="25"/>
  <c r="T407" i="25"/>
  <c r="U407" i="25"/>
  <c r="T408" i="25"/>
  <c r="U408" i="25"/>
  <c r="T409" i="25"/>
  <c r="U409" i="25"/>
  <c r="T410" i="25"/>
  <c r="U410" i="25"/>
  <c r="T411" i="25"/>
  <c r="U411" i="25"/>
  <c r="T412" i="25"/>
  <c r="U412" i="25"/>
  <c r="T413" i="25"/>
  <c r="U413" i="25"/>
  <c r="T414" i="25"/>
  <c r="U414" i="25"/>
  <c r="T415" i="25"/>
  <c r="U415" i="25"/>
  <c r="T416" i="25"/>
  <c r="U416" i="25"/>
  <c r="T417" i="25"/>
  <c r="U417" i="25"/>
  <c r="T418" i="25"/>
  <c r="U418" i="25"/>
  <c r="T419" i="25"/>
  <c r="U419" i="25"/>
  <c r="T420" i="25"/>
  <c r="U420" i="25"/>
  <c r="T421" i="25"/>
  <c r="U421" i="25"/>
  <c r="T422" i="25"/>
  <c r="U422" i="25"/>
  <c r="T423" i="25"/>
  <c r="U423" i="25"/>
  <c r="T424" i="25"/>
  <c r="U424" i="25"/>
  <c r="T425" i="25"/>
  <c r="U425" i="25"/>
  <c r="T426" i="25"/>
  <c r="U426" i="25"/>
  <c r="T427" i="25"/>
  <c r="U427" i="25"/>
  <c r="T428" i="25"/>
  <c r="U428" i="25"/>
  <c r="T429" i="25"/>
  <c r="U429" i="25"/>
  <c r="T430" i="25"/>
  <c r="U430" i="25"/>
  <c r="T431" i="25"/>
  <c r="U431" i="25"/>
  <c r="T432" i="25"/>
  <c r="U432" i="25"/>
  <c r="T433" i="25"/>
  <c r="U433" i="25"/>
  <c r="T434" i="25"/>
  <c r="U434" i="25"/>
  <c r="T435" i="25"/>
  <c r="U435" i="25"/>
  <c r="T436" i="25"/>
  <c r="U436" i="25"/>
  <c r="T437" i="25"/>
  <c r="U437" i="25"/>
  <c r="T438" i="25"/>
  <c r="U438" i="25"/>
  <c r="T439" i="25"/>
  <c r="U439" i="25"/>
  <c r="T440" i="25"/>
  <c r="U440" i="25"/>
  <c r="T441" i="25"/>
  <c r="U441" i="25"/>
  <c r="U222" i="25"/>
  <c r="T222" i="25"/>
  <c r="T3" i="25"/>
  <c r="U3" i="25"/>
  <c r="T4" i="25"/>
  <c r="U4" i="25"/>
  <c r="T5" i="25"/>
  <c r="U5" i="25"/>
  <c r="T6" i="25"/>
  <c r="U6" i="25"/>
  <c r="T7" i="25"/>
  <c r="U7" i="25"/>
  <c r="T8" i="25"/>
  <c r="U8" i="25"/>
  <c r="T9" i="25"/>
  <c r="U9" i="25"/>
  <c r="T10" i="25"/>
  <c r="U10" i="25"/>
  <c r="T11" i="25"/>
  <c r="U11" i="25"/>
  <c r="T12" i="25"/>
  <c r="U12" i="25"/>
  <c r="T13" i="25"/>
  <c r="U13" i="25"/>
  <c r="T14" i="25"/>
  <c r="U14" i="25"/>
  <c r="T15" i="25"/>
  <c r="U15" i="25"/>
  <c r="T16" i="25"/>
  <c r="U16" i="25"/>
  <c r="T17" i="25"/>
  <c r="U17" i="25"/>
  <c r="T18" i="25"/>
  <c r="U18" i="25"/>
  <c r="T19" i="25"/>
  <c r="U19" i="25"/>
  <c r="T20" i="25"/>
  <c r="U20" i="25"/>
  <c r="T21" i="25"/>
  <c r="U21" i="25"/>
  <c r="T22" i="25"/>
  <c r="U22" i="25"/>
  <c r="T23" i="25"/>
  <c r="U23" i="25"/>
  <c r="T24" i="25"/>
  <c r="U24" i="25"/>
  <c r="T25" i="25"/>
  <c r="U25" i="25"/>
  <c r="T26" i="25"/>
  <c r="U26" i="25"/>
  <c r="T27" i="25"/>
  <c r="U27" i="25"/>
  <c r="T28" i="25"/>
  <c r="U28" i="25"/>
  <c r="T29" i="25"/>
  <c r="U29" i="25"/>
  <c r="T30" i="25"/>
  <c r="U30" i="25"/>
  <c r="T31" i="25"/>
  <c r="U31" i="25"/>
  <c r="T32" i="25"/>
  <c r="U32" i="25"/>
  <c r="T33" i="25"/>
  <c r="U33" i="25"/>
  <c r="T34" i="25"/>
  <c r="U34" i="25"/>
  <c r="T35" i="25"/>
  <c r="U35" i="25"/>
  <c r="T36" i="25"/>
  <c r="U36" i="25"/>
  <c r="T37" i="25"/>
  <c r="U37" i="25"/>
  <c r="T38" i="25"/>
  <c r="U38" i="25"/>
  <c r="T39" i="25"/>
  <c r="U39" i="25"/>
  <c r="T40" i="25"/>
  <c r="U40" i="25"/>
  <c r="T41" i="25"/>
  <c r="U41" i="25"/>
  <c r="T42" i="25"/>
  <c r="U42" i="25"/>
  <c r="T43" i="25"/>
  <c r="U43" i="25"/>
  <c r="T44" i="25"/>
  <c r="U44" i="25"/>
  <c r="T45" i="25"/>
  <c r="U45" i="25"/>
  <c r="T46" i="25"/>
  <c r="U46" i="25"/>
  <c r="T47" i="25"/>
  <c r="U47" i="25"/>
  <c r="T48" i="25"/>
  <c r="U48" i="25"/>
  <c r="T49" i="25"/>
  <c r="U49" i="25"/>
  <c r="T50" i="25"/>
  <c r="U50" i="25"/>
  <c r="T51" i="25"/>
  <c r="U51" i="25"/>
  <c r="T52" i="25"/>
  <c r="U52" i="25"/>
  <c r="T53" i="25"/>
  <c r="U53" i="25"/>
  <c r="T54" i="25"/>
  <c r="U54" i="25"/>
  <c r="T55" i="25"/>
  <c r="U55" i="25"/>
  <c r="T56" i="25"/>
  <c r="U56" i="25"/>
  <c r="T57" i="25"/>
  <c r="U57" i="25"/>
  <c r="T58" i="25"/>
  <c r="U58" i="25"/>
  <c r="T59" i="25"/>
  <c r="U59" i="25"/>
  <c r="T60" i="25"/>
  <c r="U60" i="25"/>
  <c r="T61" i="25"/>
  <c r="U61" i="25"/>
  <c r="T62" i="25"/>
  <c r="U62" i="25"/>
  <c r="T63" i="25"/>
  <c r="U63" i="25"/>
  <c r="T64" i="25"/>
  <c r="U64" i="25"/>
  <c r="T65" i="25"/>
  <c r="U65" i="25"/>
  <c r="T66" i="25"/>
  <c r="U66" i="25"/>
  <c r="T67" i="25"/>
  <c r="U67" i="25"/>
  <c r="T68" i="25"/>
  <c r="U68" i="25"/>
  <c r="T69" i="25"/>
  <c r="U69" i="25"/>
  <c r="T70" i="25"/>
  <c r="U70" i="25"/>
  <c r="T71" i="25"/>
  <c r="U71" i="25"/>
  <c r="T72" i="25"/>
  <c r="U72" i="25"/>
  <c r="T73" i="25"/>
  <c r="U73" i="25"/>
  <c r="T74" i="25"/>
  <c r="U74" i="25"/>
  <c r="T75" i="25"/>
  <c r="U75" i="25"/>
  <c r="T76" i="25"/>
  <c r="U76" i="25"/>
  <c r="T77" i="25"/>
  <c r="U77" i="25"/>
  <c r="T78" i="25"/>
  <c r="U78" i="25"/>
  <c r="T79" i="25"/>
  <c r="U79" i="25"/>
  <c r="T80" i="25"/>
  <c r="U80" i="25"/>
  <c r="T81" i="25"/>
  <c r="U81" i="25"/>
  <c r="T82" i="25"/>
  <c r="U82" i="25"/>
  <c r="T83" i="25"/>
  <c r="U83" i="25"/>
  <c r="T84" i="25"/>
  <c r="U84" i="25"/>
  <c r="T85" i="25"/>
  <c r="U85" i="25"/>
  <c r="T86" i="25"/>
  <c r="U86" i="25"/>
  <c r="T87" i="25"/>
  <c r="U87" i="25"/>
  <c r="T88" i="25"/>
  <c r="U88" i="25"/>
  <c r="T89" i="25"/>
  <c r="U89" i="25"/>
  <c r="T90" i="25"/>
  <c r="U90" i="25"/>
  <c r="T91" i="25"/>
  <c r="U91" i="25"/>
  <c r="T92" i="25"/>
  <c r="U92" i="25"/>
  <c r="T93" i="25"/>
  <c r="U93" i="25"/>
  <c r="T94" i="25"/>
  <c r="U94" i="25"/>
  <c r="T95" i="25"/>
  <c r="U95" i="25"/>
  <c r="T96" i="25"/>
  <c r="U96" i="25"/>
  <c r="T97" i="25"/>
  <c r="U97" i="25"/>
  <c r="T98" i="25"/>
  <c r="U98" i="25"/>
  <c r="T99" i="25"/>
  <c r="U99" i="25"/>
  <c r="T100" i="25"/>
  <c r="U100" i="25"/>
  <c r="T101" i="25"/>
  <c r="U101" i="25"/>
  <c r="T102" i="25"/>
  <c r="U102" i="25"/>
  <c r="T103" i="25"/>
  <c r="U103" i="25"/>
  <c r="T104" i="25"/>
  <c r="U104" i="25"/>
  <c r="T105" i="25"/>
  <c r="U105" i="25"/>
  <c r="T106" i="25"/>
  <c r="U106" i="25"/>
  <c r="T107" i="25"/>
  <c r="U107" i="25"/>
  <c r="T108" i="25"/>
  <c r="U108" i="25"/>
  <c r="T109" i="25"/>
  <c r="U109" i="25"/>
  <c r="T110" i="25"/>
  <c r="U110" i="25"/>
  <c r="T111" i="25"/>
  <c r="U111" i="25"/>
  <c r="T112" i="25"/>
  <c r="U112" i="25"/>
  <c r="T113" i="25"/>
  <c r="U113" i="25"/>
  <c r="T114" i="25"/>
  <c r="U114" i="25"/>
  <c r="T115" i="25"/>
  <c r="U115" i="25"/>
  <c r="T116" i="25"/>
  <c r="U116" i="25"/>
  <c r="T117" i="25"/>
  <c r="U117" i="25"/>
  <c r="T118" i="25"/>
  <c r="U118" i="25"/>
  <c r="T119" i="25"/>
  <c r="U119" i="25"/>
  <c r="T120" i="25"/>
  <c r="U120" i="25"/>
  <c r="T121" i="25"/>
  <c r="U121" i="25"/>
  <c r="T122" i="25"/>
  <c r="U122" i="25"/>
  <c r="T123" i="25"/>
  <c r="U123" i="25"/>
  <c r="T124" i="25"/>
  <c r="U124" i="25"/>
  <c r="T125" i="25"/>
  <c r="U125" i="25"/>
  <c r="T126" i="25"/>
  <c r="U126" i="25"/>
  <c r="T127" i="25"/>
  <c r="U127" i="25"/>
  <c r="T128" i="25"/>
  <c r="U128" i="25"/>
  <c r="T129" i="25"/>
  <c r="U129" i="25"/>
  <c r="T130" i="25"/>
  <c r="U130" i="25"/>
  <c r="T131" i="25"/>
  <c r="U131" i="25"/>
  <c r="T132" i="25"/>
  <c r="U132" i="25"/>
  <c r="T133" i="25"/>
  <c r="U133" i="25"/>
  <c r="T134" i="25"/>
  <c r="U134" i="25"/>
  <c r="T135" i="25"/>
  <c r="U135" i="25"/>
  <c r="T136" i="25"/>
  <c r="U136" i="25"/>
  <c r="T137" i="25"/>
  <c r="U137" i="25"/>
  <c r="T138" i="25"/>
  <c r="U138" i="25"/>
  <c r="T139" i="25"/>
  <c r="U139" i="25"/>
  <c r="T140" i="25"/>
  <c r="U140" i="25"/>
  <c r="T141" i="25"/>
  <c r="U141" i="25"/>
  <c r="T142" i="25"/>
  <c r="U142" i="25"/>
  <c r="T143" i="25"/>
  <c r="U143" i="25"/>
  <c r="T144" i="25"/>
  <c r="U144" i="25"/>
  <c r="T145" i="25"/>
  <c r="U145" i="25"/>
  <c r="T146" i="25"/>
  <c r="U146" i="25"/>
  <c r="T147" i="25"/>
  <c r="U147" i="25"/>
  <c r="T148" i="25"/>
  <c r="U148" i="25"/>
  <c r="T149" i="25"/>
  <c r="U149" i="25"/>
  <c r="T150" i="25"/>
  <c r="U150" i="25"/>
  <c r="T151" i="25"/>
  <c r="U151" i="25"/>
  <c r="T152" i="25"/>
  <c r="U152" i="25"/>
  <c r="T153" i="25"/>
  <c r="U153" i="25"/>
  <c r="T154" i="25"/>
  <c r="U154" i="25"/>
  <c r="T155" i="25"/>
  <c r="U155" i="25"/>
  <c r="T156" i="25"/>
  <c r="U156" i="25"/>
  <c r="T157" i="25"/>
  <c r="U157" i="25"/>
  <c r="T158" i="25"/>
  <c r="U158" i="25"/>
  <c r="T159" i="25"/>
  <c r="U159" i="25"/>
  <c r="T160" i="25"/>
  <c r="U160" i="25"/>
  <c r="T161" i="25"/>
  <c r="U161" i="25"/>
  <c r="T162" i="25"/>
  <c r="U162" i="25"/>
  <c r="T163" i="25"/>
  <c r="U163" i="25"/>
  <c r="T164" i="25"/>
  <c r="U164" i="25"/>
  <c r="T165" i="25"/>
  <c r="U165" i="25"/>
  <c r="T166" i="25"/>
  <c r="U166" i="25"/>
  <c r="T167" i="25"/>
  <c r="U167" i="25"/>
  <c r="T168" i="25"/>
  <c r="U168" i="25"/>
  <c r="T169" i="25"/>
  <c r="U169" i="25"/>
  <c r="T170" i="25"/>
  <c r="U170" i="25"/>
  <c r="T171" i="25"/>
  <c r="U171" i="25"/>
  <c r="T172" i="25"/>
  <c r="U172" i="25"/>
  <c r="T173" i="25"/>
  <c r="U173" i="25"/>
  <c r="T174" i="25"/>
  <c r="U174" i="25"/>
  <c r="T175" i="25"/>
  <c r="U175" i="25"/>
  <c r="T176" i="25"/>
  <c r="U176" i="25"/>
  <c r="T177" i="25"/>
  <c r="U177" i="25"/>
  <c r="T178" i="25"/>
  <c r="U178" i="25"/>
  <c r="T179" i="25"/>
  <c r="U179" i="25"/>
  <c r="T180" i="25"/>
  <c r="U180" i="25"/>
  <c r="T181" i="25"/>
  <c r="U181" i="25"/>
  <c r="T182" i="25"/>
  <c r="U182" i="25"/>
  <c r="T183" i="25"/>
  <c r="U183" i="25"/>
  <c r="T184" i="25"/>
  <c r="U184" i="25"/>
  <c r="T185" i="25"/>
  <c r="U185" i="25"/>
  <c r="T186" i="25"/>
  <c r="U186" i="25"/>
  <c r="T187" i="25"/>
  <c r="U187" i="25"/>
  <c r="T188" i="25"/>
  <c r="U188" i="25"/>
  <c r="T189" i="25"/>
  <c r="U189" i="25"/>
  <c r="T190" i="25"/>
  <c r="U190" i="25"/>
  <c r="T191" i="25"/>
  <c r="U191" i="25"/>
  <c r="T192" i="25"/>
  <c r="U192" i="25"/>
  <c r="T193" i="25"/>
  <c r="U193" i="25"/>
  <c r="T194" i="25"/>
  <c r="U194" i="25"/>
  <c r="T195" i="25"/>
  <c r="U195" i="25"/>
  <c r="T196" i="25"/>
  <c r="U196" i="25"/>
  <c r="T197" i="25"/>
  <c r="U197" i="25"/>
  <c r="T198" i="25"/>
  <c r="U198" i="25"/>
  <c r="T199" i="25"/>
  <c r="U199" i="25"/>
  <c r="T200" i="25"/>
  <c r="U200" i="25"/>
  <c r="T201" i="25"/>
  <c r="U201" i="25"/>
  <c r="T202" i="25"/>
  <c r="U202" i="25"/>
  <c r="T203" i="25"/>
  <c r="U203" i="25"/>
  <c r="T204" i="25"/>
  <c r="U204" i="25"/>
  <c r="T205" i="25"/>
  <c r="U205" i="25"/>
  <c r="T206" i="25"/>
  <c r="U206" i="25"/>
  <c r="T207" i="25"/>
  <c r="U207" i="25"/>
  <c r="T208" i="25"/>
  <c r="U208" i="25"/>
  <c r="T209" i="25"/>
  <c r="U209" i="25"/>
  <c r="T210" i="25"/>
  <c r="U210" i="25"/>
  <c r="T211" i="25"/>
  <c r="U211" i="25"/>
  <c r="T212" i="25"/>
  <c r="U212" i="25"/>
  <c r="T213" i="25"/>
  <c r="U213" i="25"/>
  <c r="T214" i="25"/>
  <c r="U214" i="25"/>
  <c r="T215" i="25"/>
  <c r="U215" i="25"/>
  <c r="T216" i="25"/>
  <c r="U216" i="25"/>
  <c r="T217" i="25"/>
  <c r="U217" i="25"/>
  <c r="T218" i="25"/>
  <c r="U218" i="25"/>
  <c r="T219" i="25"/>
  <c r="U219" i="25"/>
  <c r="T220" i="25"/>
  <c r="U220" i="25"/>
  <c r="T221" i="25"/>
  <c r="U221"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S45" i="25"/>
  <c r="S46" i="25"/>
  <c r="S47" i="25"/>
  <c r="S48" i="25"/>
  <c r="S49" i="25"/>
  <c r="S50" i="25"/>
  <c r="S51" i="25"/>
  <c r="S52" i="25"/>
  <c r="S53" i="25"/>
  <c r="S54" i="25"/>
  <c r="S55" i="25"/>
  <c r="S56" i="25"/>
  <c r="S57" i="25"/>
  <c r="S58" i="25"/>
  <c r="S59" i="25"/>
  <c r="S60" i="25"/>
  <c r="S61" i="25"/>
  <c r="S62" i="25"/>
  <c r="S63" i="25"/>
  <c r="S64" i="25"/>
  <c r="S65" i="25"/>
  <c r="S66" i="25"/>
  <c r="S67" i="25"/>
  <c r="S68" i="25"/>
  <c r="S69" i="25"/>
  <c r="S70" i="25"/>
  <c r="S71" i="25"/>
  <c r="S72" i="25"/>
  <c r="S73" i="25"/>
  <c r="S74" i="25"/>
  <c r="S75" i="25"/>
  <c r="S76" i="25"/>
  <c r="S77" i="25"/>
  <c r="S78" i="25"/>
  <c r="S79" i="25"/>
  <c r="S80" i="25"/>
  <c r="S81" i="25"/>
  <c r="S82" i="25"/>
  <c r="S83" i="25"/>
  <c r="S84" i="25"/>
  <c r="S85" i="25"/>
  <c r="S86" i="25"/>
  <c r="S87" i="25"/>
  <c r="S88" i="25"/>
  <c r="S89" i="25"/>
  <c r="S90" i="25"/>
  <c r="S91" i="25"/>
  <c r="S92" i="25"/>
  <c r="S93" i="25"/>
  <c r="S94" i="25"/>
  <c r="S95" i="25"/>
  <c r="S96" i="25"/>
  <c r="S97" i="25"/>
  <c r="S98" i="25"/>
  <c r="S99" i="25"/>
  <c r="S100" i="25"/>
  <c r="S101" i="25"/>
  <c r="S102" i="25"/>
  <c r="S103" i="25"/>
  <c r="S104" i="25"/>
  <c r="S105" i="25"/>
  <c r="S106" i="25"/>
  <c r="S107" i="25"/>
  <c r="S108" i="25"/>
  <c r="S109" i="25"/>
  <c r="S110" i="25"/>
  <c r="S111" i="25"/>
  <c r="S112" i="25"/>
  <c r="S113" i="25"/>
  <c r="S114" i="25"/>
  <c r="S115" i="25"/>
  <c r="S116" i="25"/>
  <c r="S117" i="25"/>
  <c r="S118" i="25"/>
  <c r="S119" i="25"/>
  <c r="S120" i="25"/>
  <c r="S121" i="25"/>
  <c r="S122" i="25"/>
  <c r="S123" i="25"/>
  <c r="S124" i="25"/>
  <c r="S125" i="25"/>
  <c r="S126" i="25"/>
  <c r="S127" i="25"/>
  <c r="S128" i="25"/>
  <c r="S129" i="25"/>
  <c r="S130" i="25"/>
  <c r="S131" i="25"/>
  <c r="S132" i="25"/>
  <c r="S133" i="25"/>
  <c r="S134" i="25"/>
  <c r="S135" i="25"/>
  <c r="S136" i="25"/>
  <c r="S137" i="25"/>
  <c r="S138" i="25"/>
  <c r="S139" i="25"/>
  <c r="S140" i="25"/>
  <c r="S141" i="25"/>
  <c r="S142" i="25"/>
  <c r="S143" i="25"/>
  <c r="S144" i="25"/>
  <c r="S145" i="25"/>
  <c r="S146" i="25"/>
  <c r="S147" i="25"/>
  <c r="S148" i="25"/>
  <c r="S149" i="25"/>
  <c r="S150" i="25"/>
  <c r="S151" i="25"/>
  <c r="S152" i="25"/>
  <c r="S153" i="25"/>
  <c r="S154" i="25"/>
  <c r="S155" i="25"/>
  <c r="S156" i="25"/>
  <c r="S157" i="25"/>
  <c r="S158" i="25"/>
  <c r="S159" i="25"/>
  <c r="S160" i="25"/>
  <c r="S161" i="25"/>
  <c r="S162" i="25"/>
  <c r="S163" i="25"/>
  <c r="S164" i="25"/>
  <c r="S165" i="25"/>
  <c r="S166" i="25"/>
  <c r="S167" i="25"/>
  <c r="S168" i="25"/>
  <c r="S169" i="25"/>
  <c r="S170" i="25"/>
  <c r="S171" i="25"/>
  <c r="S172" i="25"/>
  <c r="S173" i="25"/>
  <c r="S174" i="25"/>
  <c r="S175" i="25"/>
  <c r="S176" i="25"/>
  <c r="S177" i="25"/>
  <c r="S178" i="25"/>
  <c r="S179" i="25"/>
  <c r="S180" i="25"/>
  <c r="S181" i="25"/>
  <c r="S182" i="25"/>
  <c r="S183" i="25"/>
  <c r="S184" i="25"/>
  <c r="S185" i="25"/>
  <c r="S186" i="25"/>
  <c r="S187" i="25"/>
  <c r="S188" i="25"/>
  <c r="S189" i="25"/>
  <c r="S190" i="25"/>
  <c r="S191" i="25"/>
  <c r="S192" i="25"/>
  <c r="S193" i="25"/>
  <c r="S194" i="25"/>
  <c r="S195" i="25"/>
  <c r="S196" i="25"/>
  <c r="S197" i="25"/>
  <c r="S198" i="25"/>
  <c r="S199" i="25"/>
  <c r="S200" i="25"/>
  <c r="S201" i="25"/>
  <c r="S202" i="25"/>
  <c r="S203" i="25"/>
  <c r="S204" i="25"/>
  <c r="S205" i="25"/>
  <c r="S206" i="25"/>
  <c r="S207" i="25"/>
  <c r="S208" i="25"/>
  <c r="S209" i="25"/>
  <c r="S210" i="25"/>
  <c r="S211" i="25"/>
  <c r="S212" i="25"/>
  <c r="S213" i="25"/>
  <c r="S214" i="25"/>
  <c r="S215" i="25"/>
  <c r="S216" i="25"/>
  <c r="S217" i="25"/>
  <c r="S218" i="25"/>
  <c r="S219" i="25"/>
  <c r="S220" i="25"/>
  <c r="S221" i="25"/>
  <c r="S222" i="25"/>
  <c r="S223" i="25"/>
  <c r="S224" i="25"/>
  <c r="S225" i="25"/>
  <c r="S226" i="25"/>
  <c r="S227" i="25"/>
  <c r="S228" i="25"/>
  <c r="S229" i="25"/>
  <c r="S230" i="25"/>
  <c r="S231" i="25"/>
  <c r="S232" i="25"/>
  <c r="S233" i="25"/>
  <c r="S234" i="25"/>
  <c r="S235" i="25"/>
  <c r="S236" i="25"/>
  <c r="S237" i="25"/>
  <c r="S238" i="25"/>
  <c r="S239" i="25"/>
  <c r="S240" i="25"/>
  <c r="S241" i="25"/>
  <c r="S242" i="25"/>
  <c r="S243" i="25"/>
  <c r="S244" i="25"/>
  <c r="S245" i="25"/>
  <c r="S246" i="25"/>
  <c r="S247" i="25"/>
  <c r="S248" i="25"/>
  <c r="S249" i="25"/>
  <c r="S250" i="25"/>
  <c r="S251" i="25"/>
  <c r="S252" i="25"/>
  <c r="S253" i="25"/>
  <c r="S254" i="25"/>
  <c r="S255" i="25"/>
  <c r="S256" i="25"/>
  <c r="S257" i="25"/>
  <c r="S258" i="25"/>
  <c r="S259" i="25"/>
  <c r="S260" i="25"/>
  <c r="S261" i="25"/>
  <c r="S262" i="25"/>
  <c r="S263" i="25"/>
  <c r="S264" i="25"/>
  <c r="S265" i="25"/>
  <c r="S266" i="25"/>
  <c r="S267" i="25"/>
  <c r="S268" i="25"/>
  <c r="S269" i="25"/>
  <c r="S270" i="25"/>
  <c r="S271" i="25"/>
  <c r="S272" i="25"/>
  <c r="S273" i="25"/>
  <c r="S274" i="25"/>
  <c r="S275" i="25"/>
  <c r="S276" i="25"/>
  <c r="S277" i="25"/>
  <c r="S278" i="25"/>
  <c r="S279" i="25"/>
  <c r="S280" i="25"/>
  <c r="S281" i="25"/>
  <c r="S282" i="25"/>
  <c r="S283" i="25"/>
  <c r="S284" i="25"/>
  <c r="S285" i="25"/>
  <c r="S286" i="25"/>
  <c r="S287" i="25"/>
  <c r="S288" i="25"/>
  <c r="S289" i="25"/>
  <c r="S290" i="25"/>
  <c r="S291" i="25"/>
  <c r="S292" i="25"/>
  <c r="S293" i="25"/>
  <c r="S294" i="25"/>
  <c r="S295" i="25"/>
  <c r="S296" i="25"/>
  <c r="S297" i="25"/>
  <c r="S298" i="25"/>
  <c r="S299" i="25"/>
  <c r="S300" i="25"/>
  <c r="S301" i="25"/>
  <c r="S302" i="25"/>
  <c r="S303" i="25"/>
  <c r="S304" i="25"/>
  <c r="S305" i="25"/>
  <c r="S306" i="25"/>
  <c r="S307" i="25"/>
  <c r="S308" i="25"/>
  <c r="S309" i="25"/>
  <c r="S310" i="25"/>
  <c r="S311" i="25"/>
  <c r="S312" i="25"/>
  <c r="S313" i="25"/>
  <c r="S314" i="25"/>
  <c r="S315" i="25"/>
  <c r="S316" i="25"/>
  <c r="S317" i="25"/>
  <c r="S318" i="25"/>
  <c r="S319" i="25"/>
  <c r="S320" i="25"/>
  <c r="S321" i="25"/>
  <c r="S322" i="25"/>
  <c r="S323" i="25"/>
  <c r="S324" i="25"/>
  <c r="S325" i="25"/>
  <c r="S326" i="25"/>
  <c r="S327" i="25"/>
  <c r="S328" i="25"/>
  <c r="S329" i="25"/>
  <c r="S330" i="25"/>
  <c r="S331" i="25"/>
  <c r="S332" i="25"/>
  <c r="S333" i="25"/>
  <c r="S334" i="25"/>
  <c r="S335" i="25"/>
  <c r="S336" i="25"/>
  <c r="S337" i="25"/>
  <c r="S338" i="25"/>
  <c r="S339" i="25"/>
  <c r="S340" i="25"/>
  <c r="S341" i="25"/>
  <c r="S342" i="25"/>
  <c r="S343" i="25"/>
  <c r="S344" i="25"/>
  <c r="S345" i="25"/>
  <c r="S346" i="25"/>
  <c r="S347" i="25"/>
  <c r="S348" i="25"/>
  <c r="S349" i="25"/>
  <c r="S350" i="25"/>
  <c r="S351" i="25"/>
  <c r="S352" i="25"/>
  <c r="S353" i="25"/>
  <c r="S354" i="25"/>
  <c r="S355" i="25"/>
  <c r="S356" i="25"/>
  <c r="S357" i="25"/>
  <c r="S358" i="25"/>
  <c r="S359" i="25"/>
  <c r="S360" i="25"/>
  <c r="S361" i="25"/>
  <c r="S362" i="25"/>
  <c r="S363" i="25"/>
  <c r="S364" i="25"/>
  <c r="S365" i="25"/>
  <c r="S366" i="25"/>
  <c r="S367" i="25"/>
  <c r="S368" i="25"/>
  <c r="S369" i="25"/>
  <c r="S370" i="25"/>
  <c r="S371" i="25"/>
  <c r="S372" i="25"/>
  <c r="S373" i="25"/>
  <c r="S374" i="25"/>
  <c r="S375" i="25"/>
  <c r="S376" i="25"/>
  <c r="S377" i="25"/>
  <c r="S378" i="25"/>
  <c r="S379" i="25"/>
  <c r="S380" i="25"/>
  <c r="S381" i="25"/>
  <c r="S382" i="25"/>
  <c r="S383" i="25"/>
  <c r="S384" i="25"/>
  <c r="S385" i="25"/>
  <c r="S386" i="25"/>
  <c r="S387" i="25"/>
  <c r="S388" i="25"/>
  <c r="S389" i="25"/>
  <c r="S390" i="25"/>
  <c r="S391" i="25"/>
  <c r="S392" i="25"/>
  <c r="S393" i="25"/>
  <c r="S394" i="25"/>
  <c r="S395" i="25"/>
  <c r="S396" i="25"/>
  <c r="S397" i="25"/>
  <c r="S398" i="25"/>
  <c r="S399" i="25"/>
  <c r="S400" i="25"/>
  <c r="S401" i="25"/>
  <c r="S402" i="25"/>
  <c r="S403" i="25"/>
  <c r="S404" i="25"/>
  <c r="S405" i="25"/>
  <c r="S406" i="25"/>
  <c r="S407" i="25"/>
  <c r="S408" i="25"/>
  <c r="S409" i="25"/>
  <c r="S410" i="25"/>
  <c r="S411" i="25"/>
  <c r="S412" i="25"/>
  <c r="S413" i="25"/>
  <c r="S414" i="25"/>
  <c r="S415" i="25"/>
  <c r="S416" i="25"/>
  <c r="S417" i="25"/>
  <c r="S418" i="25"/>
  <c r="S419" i="25"/>
  <c r="S420" i="25"/>
  <c r="S421" i="25"/>
  <c r="S422" i="25"/>
  <c r="S423" i="25"/>
  <c r="S424" i="25"/>
  <c r="S425" i="25"/>
  <c r="S426" i="25"/>
  <c r="S427" i="25"/>
  <c r="S428" i="25"/>
  <c r="S429" i="25"/>
  <c r="S430" i="25"/>
  <c r="S431" i="25"/>
  <c r="S432" i="25"/>
  <c r="S433" i="25"/>
  <c r="S434" i="25"/>
  <c r="S435" i="25"/>
  <c r="S436" i="25"/>
  <c r="S437" i="25"/>
  <c r="S438" i="25"/>
  <c r="S439" i="25"/>
  <c r="S440" i="25"/>
  <c r="S441" i="25"/>
  <c r="S442" i="25"/>
  <c r="S443" i="25"/>
  <c r="S444" i="25"/>
  <c r="S445" i="25"/>
  <c r="S446" i="25"/>
  <c r="S447" i="25"/>
  <c r="S448" i="25"/>
  <c r="S449" i="25"/>
  <c r="S450" i="25"/>
  <c r="S451" i="25"/>
  <c r="S452" i="25"/>
  <c r="S453" i="25"/>
  <c r="S454" i="25"/>
  <c r="S455" i="25"/>
  <c r="S456" i="25"/>
  <c r="S457" i="25"/>
  <c r="S458" i="25"/>
  <c r="S459" i="25"/>
  <c r="S460" i="25"/>
  <c r="S461" i="25"/>
  <c r="S462" i="25"/>
  <c r="S463" i="25"/>
  <c r="S464" i="25"/>
  <c r="S465" i="25"/>
  <c r="S466" i="25"/>
  <c r="S467" i="25"/>
  <c r="S468" i="25"/>
  <c r="S469" i="25"/>
  <c r="S470" i="25"/>
  <c r="S471" i="25"/>
  <c r="S472" i="25"/>
  <c r="S473" i="25"/>
  <c r="S474" i="25"/>
  <c r="S475" i="25"/>
  <c r="S476" i="25"/>
  <c r="S477" i="25"/>
  <c r="S478" i="25"/>
  <c r="S479" i="25"/>
  <c r="S480" i="25"/>
  <c r="S481" i="25"/>
  <c r="S482" i="25"/>
  <c r="S483" i="25"/>
  <c r="S484" i="25"/>
  <c r="S485" i="25"/>
  <c r="S486" i="25"/>
  <c r="S487" i="25"/>
  <c r="S488" i="25"/>
  <c r="S489" i="25"/>
  <c r="S490" i="25"/>
  <c r="S491" i="25"/>
  <c r="S492" i="25"/>
  <c r="S493" i="25"/>
  <c r="S494" i="25"/>
  <c r="S495" i="25"/>
  <c r="S496" i="25"/>
  <c r="S497" i="25"/>
  <c r="S498" i="25"/>
  <c r="S499" i="25"/>
  <c r="S500" i="25"/>
  <c r="S501" i="25"/>
  <c r="S502" i="25"/>
  <c r="S503" i="25"/>
  <c r="S504" i="25"/>
  <c r="S505" i="25"/>
  <c r="S506" i="25"/>
  <c r="S507" i="25"/>
  <c r="S508" i="25"/>
  <c r="S509" i="25"/>
  <c r="S510" i="25"/>
  <c r="S511" i="25"/>
  <c r="S512" i="25"/>
  <c r="S513" i="25"/>
  <c r="S514" i="25"/>
  <c r="S515" i="25"/>
  <c r="S516" i="25"/>
  <c r="S517" i="25"/>
  <c r="S518" i="25"/>
  <c r="S519" i="25"/>
  <c r="S520" i="25"/>
  <c r="S521" i="25"/>
  <c r="S522" i="25"/>
  <c r="S523" i="25"/>
  <c r="S524" i="25"/>
  <c r="S525" i="25"/>
  <c r="S526" i="25"/>
  <c r="S527" i="25"/>
  <c r="S528" i="25"/>
  <c r="S529" i="25"/>
  <c r="S530" i="25"/>
  <c r="S531" i="25"/>
  <c r="S532" i="25"/>
  <c r="S533" i="25"/>
  <c r="S534" i="25"/>
  <c r="S535" i="25"/>
  <c r="S536" i="25"/>
  <c r="S537" i="25"/>
  <c r="S538" i="25"/>
  <c r="S539" i="25"/>
  <c r="S540" i="25"/>
  <c r="S541" i="25"/>
  <c r="S542" i="25"/>
  <c r="S543" i="25"/>
  <c r="S544" i="25"/>
  <c r="S545" i="25"/>
  <c r="S546" i="25"/>
  <c r="S547" i="25"/>
  <c r="S548" i="25"/>
  <c r="S549" i="25"/>
  <c r="S550" i="25"/>
  <c r="S551" i="25"/>
  <c r="S552" i="25"/>
  <c r="S553" i="25"/>
  <c r="S554" i="25"/>
  <c r="S555" i="25"/>
  <c r="S556" i="25"/>
  <c r="S557" i="25"/>
  <c r="S558" i="25"/>
  <c r="S559" i="25"/>
  <c r="S560" i="25"/>
  <c r="S561" i="25"/>
  <c r="S562" i="25"/>
  <c r="S563" i="25"/>
  <c r="S564" i="25"/>
  <c r="S565" i="25"/>
  <c r="S566" i="25"/>
  <c r="S567" i="25"/>
  <c r="S568" i="25"/>
  <c r="S569" i="25"/>
  <c r="S570" i="25"/>
  <c r="S571" i="25"/>
  <c r="S572" i="25"/>
  <c r="S573" i="25"/>
  <c r="S574" i="25"/>
  <c r="S575" i="25"/>
  <c r="S576" i="25"/>
  <c r="S577" i="25"/>
  <c r="S578" i="25"/>
  <c r="S579" i="25"/>
  <c r="S580" i="25"/>
  <c r="S581" i="25"/>
  <c r="S582" i="25"/>
  <c r="S583" i="25"/>
  <c r="S584" i="25"/>
  <c r="S585" i="25"/>
  <c r="S586" i="25"/>
  <c r="S587" i="25"/>
  <c r="S588" i="25"/>
  <c r="S589" i="25"/>
  <c r="S590" i="25"/>
  <c r="S591" i="25"/>
  <c r="S592" i="25"/>
  <c r="S593" i="25"/>
  <c r="S594" i="25"/>
  <c r="S595" i="25"/>
  <c r="S596" i="25"/>
  <c r="S597" i="25"/>
  <c r="S598" i="25"/>
  <c r="S599" i="25"/>
  <c r="S600" i="25"/>
  <c r="S601" i="25"/>
  <c r="S602" i="25"/>
  <c r="S603" i="25"/>
  <c r="S604" i="25"/>
  <c r="S605" i="25"/>
  <c r="S606" i="25"/>
  <c r="S607" i="25"/>
  <c r="S608" i="25"/>
  <c r="S609" i="25"/>
  <c r="S610" i="25"/>
  <c r="S611" i="25"/>
  <c r="S612" i="25"/>
  <c r="S613" i="25"/>
  <c r="S614" i="25"/>
  <c r="S615" i="25"/>
  <c r="S616" i="25"/>
  <c r="S617" i="25"/>
  <c r="S618" i="25"/>
  <c r="S619" i="25"/>
  <c r="S620" i="25"/>
  <c r="S621" i="25"/>
  <c r="S622" i="25"/>
  <c r="S623" i="25"/>
  <c r="S624" i="25"/>
  <c r="S625" i="25"/>
  <c r="S626" i="25"/>
  <c r="S627" i="25"/>
  <c r="S628" i="25"/>
  <c r="S629" i="25"/>
  <c r="S630" i="25"/>
  <c r="S631" i="25"/>
  <c r="S632" i="25"/>
  <c r="S633" i="25"/>
  <c r="S634" i="25"/>
  <c r="S635" i="25"/>
  <c r="S636" i="25"/>
  <c r="S637" i="25"/>
  <c r="S638" i="25"/>
  <c r="S639" i="25"/>
  <c r="S640" i="25"/>
  <c r="S641" i="25"/>
  <c r="S642" i="25"/>
  <c r="S643" i="25"/>
  <c r="S644" i="25"/>
  <c r="S645" i="25"/>
  <c r="S646" i="25"/>
  <c r="S647" i="25"/>
  <c r="S648" i="25"/>
  <c r="S649" i="25"/>
  <c r="S650" i="25"/>
  <c r="S651" i="25"/>
  <c r="S652" i="25"/>
  <c r="S653" i="25"/>
  <c r="S654" i="25"/>
  <c r="S655" i="25"/>
  <c r="S656" i="25"/>
  <c r="S657" i="25"/>
  <c r="S658" i="25"/>
  <c r="S659" i="25"/>
  <c r="S660" i="25"/>
  <c r="S661" i="25"/>
  <c r="S662" i="25"/>
  <c r="S663" i="25"/>
  <c r="S664" i="25"/>
  <c r="S665" i="25"/>
  <c r="S666" i="25"/>
  <c r="S667" i="25"/>
  <c r="S668" i="25"/>
  <c r="S669" i="25"/>
  <c r="S670" i="25"/>
  <c r="S671" i="25"/>
  <c r="S672" i="25"/>
  <c r="S673" i="25"/>
  <c r="S674" i="25"/>
  <c r="S675" i="25"/>
  <c r="S676" i="25"/>
  <c r="S677" i="25"/>
  <c r="S678" i="25"/>
  <c r="S679" i="25"/>
  <c r="S680" i="25"/>
  <c r="S681" i="25"/>
  <c r="S682" i="25"/>
  <c r="S683" i="25"/>
  <c r="S684" i="25"/>
  <c r="S685" i="25"/>
  <c r="S686" i="25"/>
  <c r="S687" i="25"/>
  <c r="S688" i="25"/>
  <c r="S689" i="25"/>
  <c r="S690" i="25"/>
  <c r="S691" i="25"/>
  <c r="S692" i="25"/>
  <c r="S693" i="25"/>
  <c r="S694" i="25"/>
  <c r="S695" i="25"/>
  <c r="S696" i="25"/>
  <c r="S697" i="25"/>
  <c r="S698" i="25"/>
  <c r="S699" i="25"/>
  <c r="S700" i="25"/>
  <c r="S701" i="25"/>
  <c r="S702" i="25"/>
  <c r="S703" i="25"/>
  <c r="S704" i="25"/>
  <c r="S705" i="25"/>
  <c r="S706" i="25"/>
  <c r="S707" i="25"/>
  <c r="S708" i="25"/>
  <c r="S709" i="25"/>
  <c r="S710" i="25"/>
  <c r="S711" i="25"/>
  <c r="S712" i="25"/>
  <c r="S713" i="25"/>
  <c r="S714" i="25"/>
  <c r="S715" i="25"/>
  <c r="S716" i="25"/>
  <c r="S717" i="25"/>
  <c r="S718" i="25"/>
  <c r="S719" i="25"/>
  <c r="S720" i="25"/>
  <c r="S721" i="25"/>
  <c r="S722" i="25"/>
  <c r="S723" i="25"/>
  <c r="S724" i="25"/>
  <c r="S725" i="25"/>
  <c r="S726" i="25"/>
  <c r="S727" i="25"/>
  <c r="S728" i="25"/>
  <c r="S729" i="25"/>
  <c r="S730" i="25"/>
  <c r="S731" i="25"/>
  <c r="S732" i="25"/>
  <c r="S733" i="25"/>
  <c r="S734" i="25"/>
  <c r="S735" i="25"/>
  <c r="S736" i="25"/>
  <c r="S737" i="25"/>
  <c r="S738" i="25"/>
  <c r="S739" i="25"/>
  <c r="S740" i="25"/>
  <c r="S741" i="25"/>
  <c r="S742" i="25"/>
  <c r="S743" i="25"/>
  <c r="S744" i="25"/>
  <c r="S745" i="25"/>
  <c r="S746" i="25"/>
  <c r="S747" i="25"/>
  <c r="S748" i="25"/>
  <c r="S749" i="25"/>
  <c r="S750" i="25"/>
  <c r="S751" i="25"/>
  <c r="S752" i="25"/>
  <c r="S753" i="25"/>
  <c r="S754" i="25"/>
  <c r="S755" i="25"/>
  <c r="S756" i="25"/>
  <c r="S757" i="25"/>
  <c r="S758" i="25"/>
  <c r="S759" i="25"/>
  <c r="S760" i="25"/>
  <c r="S761" i="25"/>
  <c r="S762" i="25"/>
  <c r="S763" i="25"/>
  <c r="S764" i="25"/>
  <c r="S765" i="25"/>
  <c r="S766" i="25"/>
  <c r="S767" i="25"/>
  <c r="S768" i="25"/>
  <c r="S769" i="25"/>
  <c r="S770" i="25"/>
  <c r="S771" i="25"/>
  <c r="S772" i="25"/>
  <c r="S773" i="25"/>
  <c r="S774" i="25"/>
  <c r="S775" i="25"/>
  <c r="S776" i="25"/>
  <c r="S777" i="25"/>
  <c r="S778" i="25"/>
  <c r="S779" i="25"/>
  <c r="S780" i="25"/>
  <c r="S781" i="25"/>
  <c r="S782" i="25"/>
  <c r="S783" i="25"/>
  <c r="S784" i="25"/>
  <c r="S785" i="25"/>
  <c r="S786" i="25"/>
  <c r="S787" i="25"/>
  <c r="S788" i="25"/>
  <c r="S789" i="25"/>
  <c r="S790" i="25"/>
  <c r="S791" i="25"/>
  <c r="S792" i="25"/>
  <c r="S793" i="25"/>
  <c r="S794" i="25"/>
  <c r="S795" i="25"/>
  <c r="S796" i="25"/>
  <c r="S797" i="25"/>
  <c r="S798" i="25"/>
  <c r="S799" i="25"/>
  <c r="S800" i="25"/>
  <c r="S801" i="25"/>
  <c r="S802" i="25"/>
  <c r="S803" i="25"/>
  <c r="S804" i="25"/>
  <c r="S805" i="25"/>
  <c r="S806" i="25"/>
  <c r="S807" i="25"/>
  <c r="S808" i="25"/>
  <c r="S809" i="25"/>
  <c r="S810" i="25"/>
  <c r="S811" i="25"/>
  <c r="S812" i="25"/>
  <c r="S813" i="25"/>
  <c r="S814" i="25"/>
  <c r="S815" i="25"/>
  <c r="S816" i="25"/>
  <c r="S817" i="25"/>
  <c r="S818" i="25"/>
  <c r="S819" i="25"/>
  <c r="S820" i="25"/>
  <c r="S821" i="25"/>
  <c r="S822" i="25"/>
  <c r="S823" i="25"/>
  <c r="S824" i="25"/>
  <c r="S825" i="25"/>
  <c r="S826" i="25"/>
  <c r="S827" i="25"/>
  <c r="S828" i="25"/>
  <c r="S829" i="25"/>
  <c r="S830" i="25"/>
  <c r="S831" i="25"/>
  <c r="S832" i="25"/>
  <c r="S833" i="25"/>
  <c r="S834" i="25"/>
  <c r="S835" i="25"/>
  <c r="S836" i="25"/>
  <c r="S837" i="25"/>
  <c r="S838" i="25"/>
  <c r="S839" i="25"/>
  <c r="S840" i="25"/>
  <c r="S841" i="25"/>
  <c r="S842" i="25"/>
  <c r="S843" i="25"/>
  <c r="S844" i="25"/>
  <c r="S845" i="25"/>
  <c r="S846" i="25"/>
  <c r="S847" i="25"/>
  <c r="S848" i="25"/>
  <c r="S849" i="25"/>
  <c r="S850" i="25"/>
  <c r="S851" i="25"/>
  <c r="S852" i="25"/>
  <c r="S853" i="25"/>
  <c r="S854" i="25"/>
  <c r="S855" i="25"/>
  <c r="S856" i="25"/>
  <c r="S857" i="25"/>
  <c r="S858" i="25"/>
  <c r="S859" i="25"/>
  <c r="S860" i="25"/>
  <c r="S861" i="25"/>
  <c r="S862" i="25"/>
  <c r="S863" i="25"/>
  <c r="S864" i="25"/>
  <c r="S865" i="25"/>
  <c r="S866" i="25"/>
  <c r="S867" i="25"/>
  <c r="S868" i="25"/>
  <c r="S869" i="25"/>
  <c r="S870" i="25"/>
  <c r="S871" i="25"/>
  <c r="S872" i="25"/>
  <c r="S873" i="25"/>
  <c r="S874" i="25"/>
  <c r="S875" i="25"/>
  <c r="S876" i="25"/>
  <c r="S877" i="25"/>
  <c r="S878" i="25"/>
  <c r="S879" i="25"/>
  <c r="S880" i="25"/>
  <c r="S881" i="25"/>
  <c r="R3" i="25"/>
  <c r="R4" i="25"/>
  <c r="R5" i="25"/>
  <c r="R6" i="25"/>
  <c r="R7" i="25"/>
  <c r="R8" i="25"/>
  <c r="R9" i="25"/>
  <c r="R10" i="25"/>
  <c r="R11" i="25"/>
  <c r="R12" i="25"/>
  <c r="R13" i="25"/>
  <c r="R14" i="25"/>
  <c r="R15" i="25"/>
  <c r="R16" i="25"/>
  <c r="R17" i="25"/>
  <c r="R18" i="25"/>
  <c r="R19" i="25"/>
  <c r="R20" i="25"/>
  <c r="R21" i="25"/>
  <c r="R22" i="25"/>
  <c r="R23" i="25"/>
  <c r="R24" i="25"/>
  <c r="R25" i="25"/>
  <c r="R26" i="25"/>
  <c r="R27" i="25"/>
  <c r="R28" i="25"/>
  <c r="R29" i="25"/>
  <c r="R30" i="25"/>
  <c r="R31" i="25"/>
  <c r="R32" i="25"/>
  <c r="R33" i="25"/>
  <c r="R34" i="25"/>
  <c r="R35" i="25"/>
  <c r="R36" i="25"/>
  <c r="R37" i="25"/>
  <c r="R38" i="25"/>
  <c r="R39" i="25"/>
  <c r="R40" i="25"/>
  <c r="R41" i="25"/>
  <c r="R42" i="25"/>
  <c r="R43" i="25"/>
  <c r="R44" i="25"/>
  <c r="R45" i="25"/>
  <c r="R46" i="25"/>
  <c r="R47" i="25"/>
  <c r="R48" i="25"/>
  <c r="R49" i="25"/>
  <c r="R50" i="25"/>
  <c r="R51" i="25"/>
  <c r="R52" i="25"/>
  <c r="R53" i="25"/>
  <c r="R54" i="25"/>
  <c r="R55" i="25"/>
  <c r="R56" i="25"/>
  <c r="R57" i="25"/>
  <c r="R58" i="25"/>
  <c r="R59" i="25"/>
  <c r="R60" i="25"/>
  <c r="R61" i="25"/>
  <c r="R62" i="25"/>
  <c r="R63" i="25"/>
  <c r="R64" i="25"/>
  <c r="R65" i="25"/>
  <c r="R66" i="25"/>
  <c r="R67" i="25"/>
  <c r="R68" i="25"/>
  <c r="R69" i="25"/>
  <c r="R70" i="25"/>
  <c r="R71" i="25"/>
  <c r="R72" i="25"/>
  <c r="R73" i="25"/>
  <c r="R74" i="25"/>
  <c r="R75" i="25"/>
  <c r="R76" i="25"/>
  <c r="R77" i="25"/>
  <c r="R78" i="25"/>
  <c r="R79" i="25"/>
  <c r="R80" i="25"/>
  <c r="R81" i="25"/>
  <c r="R82" i="25"/>
  <c r="R83" i="25"/>
  <c r="R84" i="25"/>
  <c r="R85" i="25"/>
  <c r="R86" i="25"/>
  <c r="R87" i="25"/>
  <c r="R88" i="25"/>
  <c r="R89" i="25"/>
  <c r="R90" i="25"/>
  <c r="R91" i="25"/>
  <c r="R92" i="25"/>
  <c r="R93" i="25"/>
  <c r="R94" i="25"/>
  <c r="R95" i="25"/>
  <c r="R96" i="25"/>
  <c r="R97" i="25"/>
  <c r="R98" i="25"/>
  <c r="R99" i="25"/>
  <c r="R100" i="25"/>
  <c r="R101" i="25"/>
  <c r="R102" i="25"/>
  <c r="R103" i="25"/>
  <c r="R104" i="25"/>
  <c r="R105" i="25"/>
  <c r="R106" i="25"/>
  <c r="R107" i="25"/>
  <c r="R108" i="25"/>
  <c r="R109" i="25"/>
  <c r="R110" i="25"/>
  <c r="R111" i="25"/>
  <c r="R112" i="25"/>
  <c r="R113" i="25"/>
  <c r="R114" i="25"/>
  <c r="R115" i="25"/>
  <c r="R116" i="25"/>
  <c r="R117" i="25"/>
  <c r="R118" i="25"/>
  <c r="R119" i="25"/>
  <c r="R120" i="25"/>
  <c r="R121" i="25"/>
  <c r="R122" i="25"/>
  <c r="R123" i="25"/>
  <c r="R124" i="25"/>
  <c r="R125" i="25"/>
  <c r="R126" i="25"/>
  <c r="R127" i="25"/>
  <c r="R128" i="25"/>
  <c r="R129" i="25"/>
  <c r="R130" i="25"/>
  <c r="R131" i="25"/>
  <c r="R132" i="25"/>
  <c r="R133" i="25"/>
  <c r="R134" i="25"/>
  <c r="R135" i="25"/>
  <c r="R136" i="25"/>
  <c r="R137" i="25"/>
  <c r="R138" i="25"/>
  <c r="R139" i="25"/>
  <c r="R140" i="25"/>
  <c r="R141" i="25"/>
  <c r="R142" i="25"/>
  <c r="R143" i="25"/>
  <c r="R144" i="25"/>
  <c r="R145" i="25"/>
  <c r="R146" i="25"/>
  <c r="R147" i="25"/>
  <c r="R148" i="25"/>
  <c r="R149" i="25"/>
  <c r="R150" i="25"/>
  <c r="R151" i="25"/>
  <c r="R152" i="25"/>
  <c r="R153" i="25"/>
  <c r="R154" i="25"/>
  <c r="R155" i="25"/>
  <c r="R156" i="25"/>
  <c r="R157" i="25"/>
  <c r="R158" i="25"/>
  <c r="R159" i="25"/>
  <c r="R160" i="25"/>
  <c r="R161" i="25"/>
  <c r="R162" i="25"/>
  <c r="R163" i="25"/>
  <c r="R164" i="25"/>
  <c r="R165" i="25"/>
  <c r="R166" i="25"/>
  <c r="R167" i="25"/>
  <c r="R168" i="25"/>
  <c r="R169" i="25"/>
  <c r="R170" i="25"/>
  <c r="R171" i="25"/>
  <c r="R172" i="25"/>
  <c r="R173" i="25"/>
  <c r="R174" i="25"/>
  <c r="R175" i="25"/>
  <c r="R176" i="25"/>
  <c r="R177" i="25"/>
  <c r="R178" i="25"/>
  <c r="R179" i="25"/>
  <c r="R180" i="25"/>
  <c r="R181" i="25"/>
  <c r="R182" i="25"/>
  <c r="R183" i="25"/>
  <c r="R184" i="25"/>
  <c r="R185" i="25"/>
  <c r="R186" i="25"/>
  <c r="R187" i="25"/>
  <c r="R188" i="25"/>
  <c r="R189" i="25"/>
  <c r="R190" i="25"/>
  <c r="R191" i="25"/>
  <c r="R192" i="25"/>
  <c r="R193" i="25"/>
  <c r="R194" i="25"/>
  <c r="R195" i="25"/>
  <c r="R196" i="25"/>
  <c r="R197" i="25"/>
  <c r="R198" i="25"/>
  <c r="R199" i="25"/>
  <c r="R200" i="25"/>
  <c r="R201" i="25"/>
  <c r="R202" i="25"/>
  <c r="R203" i="25"/>
  <c r="R204" i="25"/>
  <c r="R205" i="25"/>
  <c r="R206" i="25"/>
  <c r="R207" i="25"/>
  <c r="R208" i="25"/>
  <c r="R209" i="25"/>
  <c r="R210" i="25"/>
  <c r="R211" i="25"/>
  <c r="R212" i="25"/>
  <c r="R213" i="25"/>
  <c r="R214" i="25"/>
  <c r="R215" i="25"/>
  <c r="R216" i="25"/>
  <c r="R217" i="25"/>
  <c r="R218" i="25"/>
  <c r="R219" i="25"/>
  <c r="R220" i="25"/>
  <c r="R221" i="25"/>
  <c r="R222" i="25"/>
  <c r="R223" i="25"/>
  <c r="R224" i="25"/>
  <c r="R225" i="25"/>
  <c r="R226" i="25"/>
  <c r="R227" i="25"/>
  <c r="R228" i="25"/>
  <c r="R229" i="25"/>
  <c r="R230" i="25"/>
  <c r="R231" i="25"/>
  <c r="R232" i="25"/>
  <c r="R233" i="25"/>
  <c r="R234" i="25"/>
  <c r="R235" i="25"/>
  <c r="R236" i="25"/>
  <c r="R237" i="25"/>
  <c r="R238" i="25"/>
  <c r="R239" i="25"/>
  <c r="R240" i="25"/>
  <c r="R241" i="25"/>
  <c r="R242" i="25"/>
  <c r="R243" i="25"/>
  <c r="R244" i="25"/>
  <c r="R245" i="25"/>
  <c r="R246" i="25"/>
  <c r="R247" i="25"/>
  <c r="R248" i="25"/>
  <c r="R249" i="25"/>
  <c r="R250" i="25"/>
  <c r="R251" i="25"/>
  <c r="R252" i="25"/>
  <c r="R253" i="25"/>
  <c r="R254" i="25"/>
  <c r="R255" i="25"/>
  <c r="R256" i="25"/>
  <c r="R257" i="25"/>
  <c r="R258" i="25"/>
  <c r="R259" i="25"/>
  <c r="R260" i="25"/>
  <c r="R261" i="25"/>
  <c r="R262" i="25"/>
  <c r="R263" i="25"/>
  <c r="R264" i="25"/>
  <c r="R265" i="25"/>
  <c r="R266" i="25"/>
  <c r="R267" i="25"/>
  <c r="R268" i="25"/>
  <c r="R269" i="25"/>
  <c r="R270" i="25"/>
  <c r="R271" i="25"/>
  <c r="R272" i="25"/>
  <c r="R273" i="25"/>
  <c r="R274" i="25"/>
  <c r="R275" i="25"/>
  <c r="R276" i="25"/>
  <c r="R277" i="25"/>
  <c r="R278" i="25"/>
  <c r="R279" i="25"/>
  <c r="R280" i="25"/>
  <c r="R281" i="25"/>
  <c r="R282" i="25"/>
  <c r="R283" i="25"/>
  <c r="R284" i="25"/>
  <c r="R285" i="25"/>
  <c r="R286" i="25"/>
  <c r="R287" i="25"/>
  <c r="R288" i="25"/>
  <c r="R289" i="25"/>
  <c r="R290" i="25"/>
  <c r="R291" i="25"/>
  <c r="R292" i="25"/>
  <c r="R293" i="25"/>
  <c r="R294" i="25"/>
  <c r="R295" i="25"/>
  <c r="R296" i="25"/>
  <c r="R297" i="25"/>
  <c r="R298" i="25"/>
  <c r="R299" i="25"/>
  <c r="R300" i="25"/>
  <c r="R301" i="25"/>
  <c r="R302" i="25"/>
  <c r="R303" i="25"/>
  <c r="R304" i="25"/>
  <c r="R305" i="25"/>
  <c r="R306" i="25"/>
  <c r="R307" i="25"/>
  <c r="R308" i="25"/>
  <c r="R309" i="25"/>
  <c r="R310" i="25"/>
  <c r="R311" i="25"/>
  <c r="R312" i="25"/>
  <c r="R313" i="25"/>
  <c r="R314" i="25"/>
  <c r="R315" i="25"/>
  <c r="R316" i="25"/>
  <c r="R317" i="25"/>
  <c r="R318" i="25"/>
  <c r="R319" i="25"/>
  <c r="R320" i="25"/>
  <c r="R321" i="25"/>
  <c r="R322" i="25"/>
  <c r="R323" i="25"/>
  <c r="R324" i="25"/>
  <c r="R325" i="25"/>
  <c r="R326" i="25"/>
  <c r="R327" i="25"/>
  <c r="R328" i="25"/>
  <c r="R329" i="25"/>
  <c r="R330" i="25"/>
  <c r="R331" i="25"/>
  <c r="R332" i="25"/>
  <c r="R333" i="25"/>
  <c r="R334" i="25"/>
  <c r="R335" i="25"/>
  <c r="R336" i="25"/>
  <c r="R337" i="25"/>
  <c r="R338" i="25"/>
  <c r="R339" i="25"/>
  <c r="R340" i="25"/>
  <c r="R341" i="25"/>
  <c r="R342" i="25"/>
  <c r="R343" i="25"/>
  <c r="R344" i="25"/>
  <c r="R345" i="25"/>
  <c r="R346" i="25"/>
  <c r="R347" i="25"/>
  <c r="R348" i="25"/>
  <c r="R349" i="25"/>
  <c r="R350" i="25"/>
  <c r="R351" i="25"/>
  <c r="R352" i="25"/>
  <c r="R353" i="25"/>
  <c r="R354" i="25"/>
  <c r="R355" i="25"/>
  <c r="R356" i="25"/>
  <c r="R357" i="25"/>
  <c r="R358" i="25"/>
  <c r="R359" i="25"/>
  <c r="R360" i="25"/>
  <c r="R361" i="25"/>
  <c r="R362" i="25"/>
  <c r="R363" i="25"/>
  <c r="R364" i="25"/>
  <c r="R365" i="25"/>
  <c r="R366" i="25"/>
  <c r="R367" i="25"/>
  <c r="R368" i="25"/>
  <c r="R369" i="25"/>
  <c r="R370" i="25"/>
  <c r="R371" i="25"/>
  <c r="R372" i="25"/>
  <c r="R373" i="25"/>
  <c r="R374" i="25"/>
  <c r="R375" i="25"/>
  <c r="R376" i="25"/>
  <c r="R377" i="25"/>
  <c r="R378" i="25"/>
  <c r="R379" i="25"/>
  <c r="R380" i="25"/>
  <c r="R381" i="25"/>
  <c r="R382" i="25"/>
  <c r="R383" i="25"/>
  <c r="R384" i="25"/>
  <c r="R385" i="25"/>
  <c r="R386" i="25"/>
  <c r="R387" i="25"/>
  <c r="R388" i="25"/>
  <c r="R389" i="25"/>
  <c r="R390" i="25"/>
  <c r="R391" i="25"/>
  <c r="R392" i="25"/>
  <c r="R393" i="25"/>
  <c r="R394" i="25"/>
  <c r="R395" i="25"/>
  <c r="R396" i="25"/>
  <c r="R397" i="25"/>
  <c r="R398" i="25"/>
  <c r="R399" i="25"/>
  <c r="R400" i="25"/>
  <c r="R401" i="25"/>
  <c r="R402" i="25"/>
  <c r="R403" i="25"/>
  <c r="R404" i="25"/>
  <c r="R405" i="25"/>
  <c r="R406" i="25"/>
  <c r="R407" i="25"/>
  <c r="R408" i="25"/>
  <c r="R409" i="25"/>
  <c r="R410" i="25"/>
  <c r="R411" i="25"/>
  <c r="R412" i="25"/>
  <c r="R413" i="25"/>
  <c r="R414" i="25"/>
  <c r="R415" i="25"/>
  <c r="R416" i="25"/>
  <c r="R417" i="25"/>
  <c r="R418" i="25"/>
  <c r="R419" i="25"/>
  <c r="R420" i="25"/>
  <c r="R421" i="25"/>
  <c r="R422" i="25"/>
  <c r="R423" i="25"/>
  <c r="R424" i="25"/>
  <c r="R425" i="25"/>
  <c r="R426" i="25"/>
  <c r="R427" i="25"/>
  <c r="R428" i="25"/>
  <c r="R429" i="25"/>
  <c r="R430" i="25"/>
  <c r="R431" i="25"/>
  <c r="R432" i="25"/>
  <c r="R433" i="25"/>
  <c r="R434" i="25"/>
  <c r="R435" i="25"/>
  <c r="R436" i="25"/>
  <c r="R437" i="25"/>
  <c r="R438" i="25"/>
  <c r="R439" i="25"/>
  <c r="R440" i="25"/>
  <c r="R441" i="25"/>
  <c r="R442" i="25"/>
  <c r="R443" i="25"/>
  <c r="R444" i="25"/>
  <c r="R445" i="25"/>
  <c r="R446" i="25"/>
  <c r="R447" i="25"/>
  <c r="R448" i="25"/>
  <c r="R449" i="25"/>
  <c r="R450" i="25"/>
  <c r="R451" i="25"/>
  <c r="R452" i="25"/>
  <c r="R453" i="25"/>
  <c r="R454" i="25"/>
  <c r="R455" i="25"/>
  <c r="R456" i="25"/>
  <c r="R457" i="25"/>
  <c r="R458" i="25"/>
  <c r="R459" i="25"/>
  <c r="R460" i="25"/>
  <c r="R461" i="25"/>
  <c r="R462" i="25"/>
  <c r="R463" i="25"/>
  <c r="R464" i="25"/>
  <c r="R465" i="25"/>
  <c r="R466" i="25"/>
  <c r="R467" i="25"/>
  <c r="R468" i="25"/>
  <c r="R469" i="25"/>
  <c r="R470" i="25"/>
  <c r="R471" i="25"/>
  <c r="R472" i="25"/>
  <c r="R473" i="25"/>
  <c r="R474" i="25"/>
  <c r="R475" i="25"/>
  <c r="R476" i="25"/>
  <c r="R477" i="25"/>
  <c r="R478" i="25"/>
  <c r="R479" i="25"/>
  <c r="R480" i="25"/>
  <c r="R481" i="25"/>
  <c r="R482" i="25"/>
  <c r="R483" i="25"/>
  <c r="R484" i="25"/>
  <c r="R485" i="25"/>
  <c r="R486" i="25"/>
  <c r="R487" i="25"/>
  <c r="R488" i="25"/>
  <c r="R489" i="25"/>
  <c r="R490" i="25"/>
  <c r="R491" i="25"/>
  <c r="R492" i="25"/>
  <c r="R493" i="25"/>
  <c r="R494" i="25"/>
  <c r="R495" i="25"/>
  <c r="R496" i="25"/>
  <c r="R497" i="25"/>
  <c r="R498" i="25"/>
  <c r="R499" i="25"/>
  <c r="R500" i="25"/>
  <c r="R501" i="25"/>
  <c r="R502" i="25"/>
  <c r="R503" i="25"/>
  <c r="R504" i="25"/>
  <c r="R505" i="25"/>
  <c r="R506" i="25"/>
  <c r="R507" i="25"/>
  <c r="R508" i="25"/>
  <c r="R509" i="25"/>
  <c r="R510" i="25"/>
  <c r="R511" i="25"/>
  <c r="R512" i="25"/>
  <c r="R513" i="25"/>
  <c r="R514" i="25"/>
  <c r="R515" i="25"/>
  <c r="R516" i="25"/>
  <c r="R517" i="25"/>
  <c r="R518" i="25"/>
  <c r="R519" i="25"/>
  <c r="R520" i="25"/>
  <c r="R521" i="25"/>
  <c r="R522" i="25"/>
  <c r="R523" i="25"/>
  <c r="R524" i="25"/>
  <c r="R525" i="25"/>
  <c r="R526" i="25"/>
  <c r="R527" i="25"/>
  <c r="R528" i="25"/>
  <c r="R529" i="25"/>
  <c r="R530" i="25"/>
  <c r="R531" i="25"/>
  <c r="R532" i="25"/>
  <c r="R533" i="25"/>
  <c r="R534" i="25"/>
  <c r="R535" i="25"/>
  <c r="R536" i="25"/>
  <c r="R537" i="25"/>
  <c r="R538" i="25"/>
  <c r="R539" i="25"/>
  <c r="R540" i="25"/>
  <c r="R541" i="25"/>
  <c r="R542" i="25"/>
  <c r="R543" i="25"/>
  <c r="R544" i="25"/>
  <c r="R545" i="25"/>
  <c r="R546" i="25"/>
  <c r="R547" i="25"/>
  <c r="R548" i="25"/>
  <c r="R549" i="25"/>
  <c r="R550" i="25"/>
  <c r="R551" i="25"/>
  <c r="R552" i="25"/>
  <c r="R553" i="25"/>
  <c r="R554" i="25"/>
  <c r="R555" i="25"/>
  <c r="R556" i="25"/>
  <c r="R557" i="25"/>
  <c r="R558" i="25"/>
  <c r="R559" i="25"/>
  <c r="R560" i="25"/>
  <c r="R561" i="25"/>
  <c r="R562" i="25"/>
  <c r="R563" i="25"/>
  <c r="R564" i="25"/>
  <c r="R565" i="25"/>
  <c r="R566" i="25"/>
  <c r="R567" i="25"/>
  <c r="R568" i="25"/>
  <c r="R569" i="25"/>
  <c r="R570" i="25"/>
  <c r="R571" i="25"/>
  <c r="R572" i="25"/>
  <c r="R573" i="25"/>
  <c r="R574" i="25"/>
  <c r="R575" i="25"/>
  <c r="R576" i="25"/>
  <c r="R577" i="25"/>
  <c r="R578" i="25"/>
  <c r="R579" i="25"/>
  <c r="R580" i="25"/>
  <c r="R581" i="25"/>
  <c r="R582" i="25"/>
  <c r="R583" i="25"/>
  <c r="R584" i="25"/>
  <c r="R585" i="25"/>
  <c r="R586" i="25"/>
  <c r="R587" i="25"/>
  <c r="R588" i="25"/>
  <c r="R589" i="25"/>
  <c r="R590" i="25"/>
  <c r="R591" i="25"/>
  <c r="R592" i="25"/>
  <c r="R593" i="25"/>
  <c r="R594" i="25"/>
  <c r="R595" i="25"/>
  <c r="R596" i="25"/>
  <c r="R597" i="25"/>
  <c r="R598" i="25"/>
  <c r="R599" i="25"/>
  <c r="R600" i="25"/>
  <c r="R601" i="25"/>
  <c r="R602" i="25"/>
  <c r="R603" i="25"/>
  <c r="R604" i="25"/>
  <c r="R605" i="25"/>
  <c r="R606" i="25"/>
  <c r="R607" i="25"/>
  <c r="R608" i="25"/>
  <c r="R609" i="25"/>
  <c r="R610" i="25"/>
  <c r="R611" i="25"/>
  <c r="R612" i="25"/>
  <c r="R613" i="25"/>
  <c r="R614" i="25"/>
  <c r="R615" i="25"/>
  <c r="R616" i="25"/>
  <c r="R617" i="25"/>
  <c r="R618" i="25"/>
  <c r="R619" i="25"/>
  <c r="R620" i="25"/>
  <c r="R621" i="25"/>
  <c r="R622" i="25"/>
  <c r="R623" i="25"/>
  <c r="R624" i="25"/>
  <c r="R625" i="25"/>
  <c r="R626" i="25"/>
  <c r="R627" i="25"/>
  <c r="R628" i="25"/>
  <c r="R629" i="25"/>
  <c r="R630" i="25"/>
  <c r="R631" i="25"/>
  <c r="R632" i="25"/>
  <c r="R633" i="25"/>
  <c r="R634" i="25"/>
  <c r="R635" i="25"/>
  <c r="R636" i="25"/>
  <c r="R637" i="25"/>
  <c r="R638" i="25"/>
  <c r="R639" i="25"/>
  <c r="R640" i="25"/>
  <c r="R641" i="25"/>
  <c r="R642" i="25"/>
  <c r="R643" i="25"/>
  <c r="R644" i="25"/>
  <c r="R645" i="25"/>
  <c r="R646" i="25"/>
  <c r="R647" i="25"/>
  <c r="R648" i="25"/>
  <c r="R649" i="25"/>
  <c r="R650" i="25"/>
  <c r="R651" i="25"/>
  <c r="R652" i="25"/>
  <c r="R653" i="25"/>
  <c r="R654" i="25"/>
  <c r="R655" i="25"/>
  <c r="R656" i="25"/>
  <c r="R657" i="25"/>
  <c r="R658" i="25"/>
  <c r="R659" i="25"/>
  <c r="R660" i="25"/>
  <c r="R661" i="25"/>
  <c r="R662" i="25"/>
  <c r="R663" i="25"/>
  <c r="R664" i="25"/>
  <c r="R665" i="25"/>
  <c r="R666" i="25"/>
  <c r="R667" i="25"/>
  <c r="R668" i="25"/>
  <c r="R669" i="25"/>
  <c r="R670" i="25"/>
  <c r="R671" i="25"/>
  <c r="R672" i="25"/>
  <c r="R673" i="25"/>
  <c r="R674" i="25"/>
  <c r="R675" i="25"/>
  <c r="R676" i="25"/>
  <c r="R677" i="25"/>
  <c r="R678" i="25"/>
  <c r="R679" i="25"/>
  <c r="R680" i="25"/>
  <c r="R681" i="25"/>
  <c r="R682" i="25"/>
  <c r="R683" i="25"/>
  <c r="R684" i="25"/>
  <c r="R685" i="25"/>
  <c r="R686" i="25"/>
  <c r="R687" i="25"/>
  <c r="R688" i="25"/>
  <c r="R689" i="25"/>
  <c r="R690" i="25"/>
  <c r="R691" i="25"/>
  <c r="R692" i="25"/>
  <c r="R693" i="25"/>
  <c r="R694" i="25"/>
  <c r="R695" i="25"/>
  <c r="R696" i="25"/>
  <c r="R697" i="25"/>
  <c r="R698" i="25"/>
  <c r="R699" i="25"/>
  <c r="R700" i="25"/>
  <c r="R701" i="25"/>
  <c r="R702" i="25"/>
  <c r="R703" i="25"/>
  <c r="R704" i="25"/>
  <c r="R705" i="25"/>
  <c r="R706" i="25"/>
  <c r="R707" i="25"/>
  <c r="R708" i="25"/>
  <c r="R709" i="25"/>
  <c r="R710" i="25"/>
  <c r="R711" i="25"/>
  <c r="R712" i="25"/>
  <c r="R713" i="25"/>
  <c r="R714" i="25"/>
  <c r="R715" i="25"/>
  <c r="R716" i="25"/>
  <c r="R717" i="25"/>
  <c r="R718" i="25"/>
  <c r="R719" i="25"/>
  <c r="R720" i="25"/>
  <c r="R721" i="25"/>
  <c r="R722" i="25"/>
  <c r="R723" i="25"/>
  <c r="R724" i="25"/>
  <c r="R725" i="25"/>
  <c r="R726" i="25"/>
  <c r="R727" i="25"/>
  <c r="R728" i="25"/>
  <c r="R729" i="25"/>
  <c r="R730" i="25"/>
  <c r="R731" i="25"/>
  <c r="R732" i="25"/>
  <c r="R733" i="25"/>
  <c r="R734" i="25"/>
  <c r="R735" i="25"/>
  <c r="R736" i="25"/>
  <c r="R737" i="25"/>
  <c r="R738" i="25"/>
  <c r="R739" i="25"/>
  <c r="R740" i="25"/>
  <c r="R741" i="25"/>
  <c r="R742" i="25"/>
  <c r="R743" i="25"/>
  <c r="R744" i="25"/>
  <c r="R745" i="25"/>
  <c r="R746" i="25"/>
  <c r="R747" i="25"/>
  <c r="R748" i="25"/>
  <c r="R749" i="25"/>
  <c r="R750" i="25"/>
  <c r="R751" i="25"/>
  <c r="R752" i="25"/>
  <c r="R753" i="25"/>
  <c r="R754" i="25"/>
  <c r="R755" i="25"/>
  <c r="R756" i="25"/>
  <c r="R757" i="25"/>
  <c r="R758" i="25"/>
  <c r="R759" i="25"/>
  <c r="R760" i="25"/>
  <c r="R761" i="25"/>
  <c r="R762" i="25"/>
  <c r="R763" i="25"/>
  <c r="R764" i="25"/>
  <c r="R765" i="25"/>
  <c r="R766" i="25"/>
  <c r="R767" i="25"/>
  <c r="R768" i="25"/>
  <c r="R769" i="25"/>
  <c r="R770" i="25"/>
  <c r="R771" i="25"/>
  <c r="R772" i="25"/>
  <c r="R773" i="25"/>
  <c r="R774" i="25"/>
  <c r="R775" i="25"/>
  <c r="R776" i="25"/>
  <c r="R777" i="25"/>
  <c r="R778" i="25"/>
  <c r="R779" i="25"/>
  <c r="R780" i="25"/>
  <c r="R781" i="25"/>
  <c r="R782" i="25"/>
  <c r="R783" i="25"/>
  <c r="R784" i="25"/>
  <c r="R785" i="25"/>
  <c r="R786" i="25"/>
  <c r="R787" i="25"/>
  <c r="R788" i="25"/>
  <c r="R789" i="25"/>
  <c r="R790" i="25"/>
  <c r="R791" i="25"/>
  <c r="R792" i="25"/>
  <c r="R793" i="25"/>
  <c r="R794" i="25"/>
  <c r="R795" i="25"/>
  <c r="R796" i="25"/>
  <c r="R797" i="25"/>
  <c r="R798" i="25"/>
  <c r="R799" i="25"/>
  <c r="R800" i="25"/>
  <c r="R801" i="25"/>
  <c r="R802" i="25"/>
  <c r="R803" i="25"/>
  <c r="R804" i="25"/>
  <c r="R805" i="25"/>
  <c r="R806" i="25"/>
  <c r="R807" i="25"/>
  <c r="R808" i="25"/>
  <c r="R809" i="25"/>
  <c r="R810" i="25"/>
  <c r="R811" i="25"/>
  <c r="R812" i="25"/>
  <c r="R813" i="25"/>
  <c r="R814" i="25"/>
  <c r="R815" i="25"/>
  <c r="R816" i="25"/>
  <c r="R817" i="25"/>
  <c r="R818" i="25"/>
  <c r="R819" i="25"/>
  <c r="R820" i="25"/>
  <c r="R821" i="25"/>
  <c r="R822" i="25"/>
  <c r="R823" i="25"/>
  <c r="R824" i="25"/>
  <c r="R825" i="25"/>
  <c r="R826" i="25"/>
  <c r="R827" i="25"/>
  <c r="R828" i="25"/>
  <c r="R829" i="25"/>
  <c r="R830" i="25"/>
  <c r="R831" i="25"/>
  <c r="R832" i="25"/>
  <c r="R833" i="25"/>
  <c r="R834" i="25"/>
  <c r="R835" i="25"/>
  <c r="R836" i="25"/>
  <c r="R837" i="25"/>
  <c r="R838" i="25"/>
  <c r="R839" i="25"/>
  <c r="R840" i="25"/>
  <c r="R841" i="25"/>
  <c r="R842" i="25"/>
  <c r="R843" i="25"/>
  <c r="R844" i="25"/>
  <c r="R845" i="25"/>
  <c r="R846" i="25"/>
  <c r="R847" i="25"/>
  <c r="R848" i="25"/>
  <c r="R849" i="25"/>
  <c r="R850" i="25"/>
  <c r="R851" i="25"/>
  <c r="R852" i="25"/>
  <c r="R853" i="25"/>
  <c r="R854" i="25"/>
  <c r="R855" i="25"/>
  <c r="R856" i="25"/>
  <c r="R857" i="25"/>
  <c r="R858" i="25"/>
  <c r="R859" i="25"/>
  <c r="R860" i="25"/>
  <c r="R861" i="25"/>
  <c r="R862" i="25"/>
  <c r="R863" i="25"/>
  <c r="R864" i="25"/>
  <c r="R865" i="25"/>
  <c r="R866" i="25"/>
  <c r="R867" i="25"/>
  <c r="R868" i="25"/>
  <c r="R869" i="25"/>
  <c r="R870" i="25"/>
  <c r="R871" i="25"/>
  <c r="R872" i="25"/>
  <c r="R873" i="25"/>
  <c r="R874" i="25"/>
  <c r="R875" i="25"/>
  <c r="R876" i="25"/>
  <c r="R877" i="25"/>
  <c r="R878" i="25"/>
  <c r="R879" i="25"/>
  <c r="R880" i="25"/>
  <c r="R881" i="25"/>
  <c r="R2" i="25"/>
  <c r="Q3" i="25"/>
  <c r="Q4" i="25"/>
  <c r="Q5" i="25"/>
  <c r="Q6" i="25"/>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Q419" i="25"/>
  <c r="Q420" i="25"/>
  <c r="Q421" i="25"/>
  <c r="Q422" i="25"/>
  <c r="Q423" i="25"/>
  <c r="Q424" i="25"/>
  <c r="Q425" i="25"/>
  <c r="Q426" i="25"/>
  <c r="Q427" i="25"/>
  <c r="Q428" i="25"/>
  <c r="Q429" i="25"/>
  <c r="Q430" i="25"/>
  <c r="Q431" i="25"/>
  <c r="Q432" i="25"/>
  <c r="Q433" i="25"/>
  <c r="Q434" i="25"/>
  <c r="Q435" i="25"/>
  <c r="Q436" i="25"/>
  <c r="Q437" i="25"/>
  <c r="Q438" i="25"/>
  <c r="Q439" i="25"/>
  <c r="Q440" i="25"/>
  <c r="Q441" i="25"/>
  <c r="Q442" i="25"/>
  <c r="Q443" i="25"/>
  <c r="Q444" i="25"/>
  <c r="Q445" i="25"/>
  <c r="Q446" i="25"/>
  <c r="Q447" i="25"/>
  <c r="Q448" i="25"/>
  <c r="Q449" i="25"/>
  <c r="Q450" i="25"/>
  <c r="Q451" i="25"/>
  <c r="Q452" i="25"/>
  <c r="Q453" i="25"/>
  <c r="Q454" i="25"/>
  <c r="Q455" i="25"/>
  <c r="Q456" i="25"/>
  <c r="Q457" i="25"/>
  <c r="Q458" i="25"/>
  <c r="Q459" i="25"/>
  <c r="Q460" i="25"/>
  <c r="Q461" i="25"/>
  <c r="Q462" i="25"/>
  <c r="Q463" i="25"/>
  <c r="Q464" i="25"/>
  <c r="Q465" i="25"/>
  <c r="Q466" i="25"/>
  <c r="Q467" i="25"/>
  <c r="Q468" i="25"/>
  <c r="Q469" i="25"/>
  <c r="Q470" i="25"/>
  <c r="Q471" i="25"/>
  <c r="Q472" i="25"/>
  <c r="Q473" i="25"/>
  <c r="Q474" i="25"/>
  <c r="Q475" i="25"/>
  <c r="Q476" i="25"/>
  <c r="Q477" i="25"/>
  <c r="Q478" i="25"/>
  <c r="Q479" i="25"/>
  <c r="Q480" i="25"/>
  <c r="Q481" i="25"/>
  <c r="Q482" i="25"/>
  <c r="Q483" i="25"/>
  <c r="Q484" i="25"/>
  <c r="Q485" i="25"/>
  <c r="Q486" i="25"/>
  <c r="Q487" i="25"/>
  <c r="Q488" i="25"/>
  <c r="Q489" i="25"/>
  <c r="Q490" i="25"/>
  <c r="Q491" i="25"/>
  <c r="Q492" i="25"/>
  <c r="Q493" i="25"/>
  <c r="Q494" i="25"/>
  <c r="Q495" i="25"/>
  <c r="Q496" i="25"/>
  <c r="Q497" i="25"/>
  <c r="Q498" i="25"/>
  <c r="Q499" i="25"/>
  <c r="Q500" i="25"/>
  <c r="Q501" i="25"/>
  <c r="Q502" i="25"/>
  <c r="Q503" i="25"/>
  <c r="Q504" i="25"/>
  <c r="Q505" i="25"/>
  <c r="Q506" i="25"/>
  <c r="Q507" i="25"/>
  <c r="Q508" i="25"/>
  <c r="Q509" i="25"/>
  <c r="Q510" i="25"/>
  <c r="Q511" i="25"/>
  <c r="Q512" i="25"/>
  <c r="Q513" i="25"/>
  <c r="Q514" i="25"/>
  <c r="Q515" i="25"/>
  <c r="Q516" i="25"/>
  <c r="Q517" i="25"/>
  <c r="Q518" i="25"/>
  <c r="Q519" i="25"/>
  <c r="Q520" i="25"/>
  <c r="Q521" i="25"/>
  <c r="Q522" i="25"/>
  <c r="Q523" i="25"/>
  <c r="Q524" i="25"/>
  <c r="Q525" i="25"/>
  <c r="Q526" i="25"/>
  <c r="Q527" i="25"/>
  <c r="Q528" i="25"/>
  <c r="Q529" i="25"/>
  <c r="Q530" i="25"/>
  <c r="Q531" i="25"/>
  <c r="Q532" i="25"/>
  <c r="Q533" i="25"/>
  <c r="Q534" i="25"/>
  <c r="Q535" i="25"/>
  <c r="Q536" i="25"/>
  <c r="Q537" i="25"/>
  <c r="Q538" i="25"/>
  <c r="Q539" i="25"/>
  <c r="Q540" i="25"/>
  <c r="Q541" i="25"/>
  <c r="Q542" i="25"/>
  <c r="Q543" i="25"/>
  <c r="Q544" i="25"/>
  <c r="Q545" i="25"/>
  <c r="Q546" i="25"/>
  <c r="Q547" i="25"/>
  <c r="Q548" i="25"/>
  <c r="Q549" i="25"/>
  <c r="Q550" i="25"/>
  <c r="Q551" i="25"/>
  <c r="Q552" i="25"/>
  <c r="Q553" i="25"/>
  <c r="Q554" i="25"/>
  <c r="Q555" i="25"/>
  <c r="Q556" i="25"/>
  <c r="Q557" i="25"/>
  <c r="Q558" i="25"/>
  <c r="Q559" i="25"/>
  <c r="Q560" i="25"/>
  <c r="Q561" i="25"/>
  <c r="Q562" i="25"/>
  <c r="Q563" i="25"/>
  <c r="Q564" i="25"/>
  <c r="Q565" i="25"/>
  <c r="Q566" i="25"/>
  <c r="Q567" i="25"/>
  <c r="Q568" i="25"/>
  <c r="Q569" i="25"/>
  <c r="Q570" i="25"/>
  <c r="Q571" i="25"/>
  <c r="Q572" i="25"/>
  <c r="Q573" i="25"/>
  <c r="Q574" i="25"/>
  <c r="Q575" i="25"/>
  <c r="Q576" i="25"/>
  <c r="Q577" i="25"/>
  <c r="Q578" i="25"/>
  <c r="Q579" i="25"/>
  <c r="Q580" i="25"/>
  <c r="Q581" i="25"/>
  <c r="Q582" i="25"/>
  <c r="Q583" i="25"/>
  <c r="Q584" i="25"/>
  <c r="Q585" i="25"/>
  <c r="Q586" i="25"/>
  <c r="Q587" i="25"/>
  <c r="Q588" i="25"/>
  <c r="Q589" i="25"/>
  <c r="Q590" i="25"/>
  <c r="Q591" i="25"/>
  <c r="Q592" i="25"/>
  <c r="Q593" i="25"/>
  <c r="Q594" i="25"/>
  <c r="Q595" i="25"/>
  <c r="Q596" i="25"/>
  <c r="Q597" i="25"/>
  <c r="Q598" i="25"/>
  <c r="Q599" i="25"/>
  <c r="Q600" i="25"/>
  <c r="Q601" i="25"/>
  <c r="Q602" i="25"/>
  <c r="Q603" i="25"/>
  <c r="Q604" i="25"/>
  <c r="Q605" i="25"/>
  <c r="Q606" i="25"/>
  <c r="Q607" i="25"/>
  <c r="Q608" i="25"/>
  <c r="Q609" i="25"/>
  <c r="Q610" i="25"/>
  <c r="Q611" i="25"/>
  <c r="Q612" i="25"/>
  <c r="Q613" i="25"/>
  <c r="Q614" i="25"/>
  <c r="Q615" i="25"/>
  <c r="Q616" i="25"/>
  <c r="Q617" i="25"/>
  <c r="Q618" i="25"/>
  <c r="Q619" i="25"/>
  <c r="Q620" i="25"/>
  <c r="Q621" i="25"/>
  <c r="Q622" i="25"/>
  <c r="Q623" i="25"/>
  <c r="Q624" i="25"/>
  <c r="Q625" i="25"/>
  <c r="Q626" i="25"/>
  <c r="Q627" i="25"/>
  <c r="Q628" i="25"/>
  <c r="Q629" i="25"/>
  <c r="Q630" i="25"/>
  <c r="Q631" i="25"/>
  <c r="Q632" i="25"/>
  <c r="Q633" i="25"/>
  <c r="Q634" i="25"/>
  <c r="Q635" i="25"/>
  <c r="Q636" i="25"/>
  <c r="Q637" i="25"/>
  <c r="Q638" i="25"/>
  <c r="Q639" i="25"/>
  <c r="Q640" i="25"/>
  <c r="Q641" i="25"/>
  <c r="Q642" i="25"/>
  <c r="Q643" i="25"/>
  <c r="Q644" i="25"/>
  <c r="Q645" i="25"/>
  <c r="Q646" i="25"/>
  <c r="Q647" i="25"/>
  <c r="Q648" i="25"/>
  <c r="Q649" i="25"/>
  <c r="Q650" i="25"/>
  <c r="Q651" i="25"/>
  <c r="Q652" i="25"/>
  <c r="Q653" i="25"/>
  <c r="Q654" i="25"/>
  <c r="Q655" i="25"/>
  <c r="Q656" i="25"/>
  <c r="Q657" i="25"/>
  <c r="Q658" i="25"/>
  <c r="Q659" i="25"/>
  <c r="Q660" i="25"/>
  <c r="Q661" i="25"/>
  <c r="Q662" i="25"/>
  <c r="Q663" i="25"/>
  <c r="Q664" i="25"/>
  <c r="Q665" i="25"/>
  <c r="Q666" i="25"/>
  <c r="Q667" i="25"/>
  <c r="Q668" i="25"/>
  <c r="Q669" i="25"/>
  <c r="Q670" i="25"/>
  <c r="Q671" i="25"/>
  <c r="Q672" i="25"/>
  <c r="Q673" i="25"/>
  <c r="Q674" i="25"/>
  <c r="Q675" i="25"/>
  <c r="Q676" i="25"/>
  <c r="Q677" i="25"/>
  <c r="Q678" i="25"/>
  <c r="Q679" i="25"/>
  <c r="Q680" i="25"/>
  <c r="Q681" i="25"/>
  <c r="Q682" i="25"/>
  <c r="Q683" i="25"/>
  <c r="Q684" i="25"/>
  <c r="Q685" i="25"/>
  <c r="Q686" i="25"/>
  <c r="Q687" i="25"/>
  <c r="Q688" i="25"/>
  <c r="Q689" i="25"/>
  <c r="Q690" i="25"/>
  <c r="Q691" i="25"/>
  <c r="Q692" i="25"/>
  <c r="Q693" i="25"/>
  <c r="Q694" i="25"/>
  <c r="Q695" i="25"/>
  <c r="Q696" i="25"/>
  <c r="Q697" i="25"/>
  <c r="Q698" i="25"/>
  <c r="Q699" i="25"/>
  <c r="Q700" i="25"/>
  <c r="Q701" i="25"/>
  <c r="Q702" i="25"/>
  <c r="Q703" i="25"/>
  <c r="Q704" i="25"/>
  <c r="Q705" i="25"/>
  <c r="Q706" i="25"/>
  <c r="Q707" i="25"/>
  <c r="Q708" i="25"/>
  <c r="Q709" i="25"/>
  <c r="Q710" i="25"/>
  <c r="Q711" i="25"/>
  <c r="Q712" i="25"/>
  <c r="Q713" i="25"/>
  <c r="Q714" i="25"/>
  <c r="Q715" i="25"/>
  <c r="Q716" i="25"/>
  <c r="Q717" i="25"/>
  <c r="Q718" i="25"/>
  <c r="Q719" i="25"/>
  <c r="Q720" i="25"/>
  <c r="Q721" i="25"/>
  <c r="Q722" i="25"/>
  <c r="Q723" i="25"/>
  <c r="Q724" i="25"/>
  <c r="Q725" i="25"/>
  <c r="Q726" i="25"/>
  <c r="Q727" i="25"/>
  <c r="Q728" i="25"/>
  <c r="Q729" i="25"/>
  <c r="Q730" i="25"/>
  <c r="Q731" i="25"/>
  <c r="Q732" i="25"/>
  <c r="Q733" i="25"/>
  <c r="Q734" i="25"/>
  <c r="Q735" i="25"/>
  <c r="Q736" i="25"/>
  <c r="Q737" i="25"/>
  <c r="Q738" i="25"/>
  <c r="Q739" i="25"/>
  <c r="Q740" i="25"/>
  <c r="Q741" i="25"/>
  <c r="Q742" i="25"/>
  <c r="Q743" i="25"/>
  <c r="Q744" i="25"/>
  <c r="Q745" i="25"/>
  <c r="Q746" i="25"/>
  <c r="Q747" i="25"/>
  <c r="Q748" i="25"/>
  <c r="Q749" i="25"/>
  <c r="Q750" i="25"/>
  <c r="Q751" i="25"/>
  <c r="Q752" i="25"/>
  <c r="Q753" i="25"/>
  <c r="Q754" i="25"/>
  <c r="Q755" i="25"/>
  <c r="Q756" i="25"/>
  <c r="Q757" i="25"/>
  <c r="Q758" i="25"/>
  <c r="Q759" i="25"/>
  <c r="Q760" i="25"/>
  <c r="Q761" i="25"/>
  <c r="Q762" i="25"/>
  <c r="Q763" i="25"/>
  <c r="Q764" i="25"/>
  <c r="Q765" i="25"/>
  <c r="Q766" i="25"/>
  <c r="Q767" i="25"/>
  <c r="Q768" i="25"/>
  <c r="Q769" i="25"/>
  <c r="Q770" i="25"/>
  <c r="Q771" i="25"/>
  <c r="Q772" i="25"/>
  <c r="Q773" i="25"/>
  <c r="Q774" i="25"/>
  <c r="Q775" i="25"/>
  <c r="Q776" i="25"/>
  <c r="Q777" i="25"/>
  <c r="Q778" i="25"/>
  <c r="Q779" i="25"/>
  <c r="Q780" i="25"/>
  <c r="Q781" i="25"/>
  <c r="Q782" i="25"/>
  <c r="Q783" i="25"/>
  <c r="Q784" i="25"/>
  <c r="Q785" i="25"/>
  <c r="Q786" i="25"/>
  <c r="Q787" i="25"/>
  <c r="Q788" i="25"/>
  <c r="Q789" i="25"/>
  <c r="Q790" i="25"/>
  <c r="Q791" i="25"/>
  <c r="Q792" i="25"/>
  <c r="Q793" i="25"/>
  <c r="Q794" i="25"/>
  <c r="Q795" i="25"/>
  <c r="Q796" i="25"/>
  <c r="Q797" i="25"/>
  <c r="Q798" i="25"/>
  <c r="Q799" i="25"/>
  <c r="Q800" i="25"/>
  <c r="Q801" i="25"/>
  <c r="Q802" i="25"/>
  <c r="Q803" i="25"/>
  <c r="Q804" i="25"/>
  <c r="Q805" i="25"/>
  <c r="Q806" i="25"/>
  <c r="Q807" i="25"/>
  <c r="Q808" i="25"/>
  <c r="Q809" i="25"/>
  <c r="Q810" i="25"/>
  <c r="Q811" i="25"/>
  <c r="Q812" i="25"/>
  <c r="Q813" i="25"/>
  <c r="Q814" i="25"/>
  <c r="Q815" i="25"/>
  <c r="Q816" i="25"/>
  <c r="Q817" i="25"/>
  <c r="Q818" i="25"/>
  <c r="Q819" i="25"/>
  <c r="Q820" i="25"/>
  <c r="Q821" i="25"/>
  <c r="Q822" i="25"/>
  <c r="Q823" i="25"/>
  <c r="Q824" i="25"/>
  <c r="Q825" i="25"/>
  <c r="Q826" i="25"/>
  <c r="Q827" i="25"/>
  <c r="Q828" i="25"/>
  <c r="Q829" i="25"/>
  <c r="Q830" i="25"/>
  <c r="Q831" i="25"/>
  <c r="Q832" i="25"/>
  <c r="Q833" i="25"/>
  <c r="Q834" i="25"/>
  <c r="Q835" i="25"/>
  <c r="Q836" i="25"/>
  <c r="Q837" i="25"/>
  <c r="Q838" i="25"/>
  <c r="Q839" i="25"/>
  <c r="Q840" i="25"/>
  <c r="Q841" i="25"/>
  <c r="Q842" i="25"/>
  <c r="Q843" i="25"/>
  <c r="Q844" i="25"/>
  <c r="Q845" i="25"/>
  <c r="Q846" i="25"/>
  <c r="Q847" i="25"/>
  <c r="Q848" i="25"/>
  <c r="Q849" i="25"/>
  <c r="Q850" i="25"/>
  <c r="Q851" i="25"/>
  <c r="Q852" i="25"/>
  <c r="Q853" i="25"/>
  <c r="Q854" i="25"/>
  <c r="Q855" i="25"/>
  <c r="Q856" i="25"/>
  <c r="Q857" i="25"/>
  <c r="Q858" i="25"/>
  <c r="Q859" i="25"/>
  <c r="Q860" i="25"/>
  <c r="Q861" i="25"/>
  <c r="Q862" i="25"/>
  <c r="Q863" i="25"/>
  <c r="Q864" i="25"/>
  <c r="Q865" i="25"/>
  <c r="Q866" i="25"/>
  <c r="Q867" i="25"/>
  <c r="Q868" i="25"/>
  <c r="Q869" i="25"/>
  <c r="Q870" i="25"/>
  <c r="Q871" i="25"/>
  <c r="Q872" i="25"/>
  <c r="Q873" i="25"/>
  <c r="Q874" i="25"/>
  <c r="Q875" i="25"/>
  <c r="Q876" i="25"/>
  <c r="Q877" i="25"/>
  <c r="Q878" i="25"/>
  <c r="Q879" i="25"/>
  <c r="Q880" i="25"/>
  <c r="Q881" i="25"/>
  <c r="Q2" i="25"/>
  <c r="C352" i="11"/>
  <c r="F352" i="11"/>
  <c r="P3" i="25"/>
  <c r="P4" i="25"/>
  <c r="P5" i="25"/>
  <c r="P6" i="25"/>
  <c r="P7"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D537" i="11"/>
  <c r="C537" i="11"/>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C438" i="11"/>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C474" i="11"/>
  <c r="P393" i="25"/>
  <c r="P394" i="25"/>
  <c r="P395" i="25"/>
  <c r="P396" i="25"/>
  <c r="P397" i="25"/>
  <c r="P398" i="25"/>
  <c r="P399" i="25"/>
  <c r="P400" i="25"/>
  <c r="P401" i="25"/>
  <c r="P402" i="25"/>
  <c r="P403" i="25"/>
  <c r="P404" i="25"/>
  <c r="P405" i="25"/>
  <c r="P406" i="25"/>
  <c r="P407" i="25"/>
  <c r="P408" i="25"/>
  <c r="P409" i="25"/>
  <c r="P410" i="25"/>
  <c r="P411" i="25"/>
  <c r="P412" i="25"/>
  <c r="P413" i="25"/>
  <c r="P414" i="25"/>
  <c r="P415" i="25"/>
  <c r="P416" i="25"/>
  <c r="P417" i="25"/>
  <c r="P418" i="25"/>
  <c r="P419" i="25"/>
  <c r="P420" i="25"/>
  <c r="P421" i="25"/>
  <c r="P422" i="25"/>
  <c r="P423" i="25"/>
  <c r="P424" i="25"/>
  <c r="P425" i="25"/>
  <c r="P426" i="25"/>
  <c r="P427" i="25"/>
  <c r="P428" i="25"/>
  <c r="P429" i="25"/>
  <c r="P430" i="25"/>
  <c r="P431" i="25"/>
  <c r="P432" i="25"/>
  <c r="P433" i="25"/>
  <c r="P434" i="25"/>
  <c r="P435" i="25"/>
  <c r="P436" i="25"/>
  <c r="P437" i="25"/>
  <c r="P438" i="25"/>
  <c r="P439" i="25"/>
  <c r="P440" i="25"/>
  <c r="P441" i="25"/>
  <c r="P442" i="25"/>
  <c r="P443" i="25"/>
  <c r="P444" i="25"/>
  <c r="P445" i="25"/>
  <c r="P446" i="25"/>
  <c r="P447" i="25"/>
  <c r="P448" i="25"/>
  <c r="P449" i="25"/>
  <c r="P450" i="25"/>
  <c r="P451" i="25"/>
  <c r="P452" i="25"/>
  <c r="P453" i="25"/>
  <c r="P454" i="25"/>
  <c r="P455" i="25"/>
  <c r="P456" i="25"/>
  <c r="P457" i="25"/>
  <c r="P458" i="25"/>
  <c r="P459" i="25"/>
  <c r="P460" i="25"/>
  <c r="P461" i="25"/>
  <c r="P462" i="25"/>
  <c r="P463" i="25"/>
  <c r="P464" i="25"/>
  <c r="P465" i="25"/>
  <c r="P466" i="25"/>
  <c r="P467" i="25"/>
  <c r="P468" i="25"/>
  <c r="P469" i="25"/>
  <c r="P470" i="25"/>
  <c r="P471" i="25"/>
  <c r="P472" i="25"/>
  <c r="P473" i="25"/>
  <c r="P474" i="25"/>
  <c r="P475" i="25"/>
  <c r="P476" i="25"/>
  <c r="P477" i="25"/>
  <c r="P478" i="25"/>
  <c r="P479" i="25"/>
  <c r="P480" i="25"/>
  <c r="P481" i="25"/>
  <c r="P482" i="25"/>
  <c r="P483" i="25"/>
  <c r="P484" i="25"/>
  <c r="P485" i="25"/>
  <c r="P486" i="25"/>
  <c r="P487" i="25"/>
  <c r="P488" i="25"/>
  <c r="P489" i="25"/>
  <c r="P490" i="25"/>
  <c r="P491" i="25"/>
  <c r="P492" i="25"/>
  <c r="P493" i="25"/>
  <c r="P494" i="25"/>
  <c r="P495" i="25"/>
  <c r="P496" i="25"/>
  <c r="P497" i="25"/>
  <c r="P498" i="25"/>
  <c r="P499" i="25"/>
  <c r="P500" i="25"/>
  <c r="P501" i="25"/>
  <c r="P502" i="25"/>
  <c r="P503" i="25"/>
  <c r="P504" i="25"/>
  <c r="P505" i="25"/>
  <c r="P506" i="25"/>
  <c r="P507" i="25"/>
  <c r="P508" i="25"/>
  <c r="P509" i="25"/>
  <c r="P510" i="25"/>
  <c r="P511" i="25"/>
  <c r="P512" i="25"/>
  <c r="P513" i="25"/>
  <c r="P514" i="25"/>
  <c r="P515" i="25"/>
  <c r="P516" i="25"/>
  <c r="P517" i="25"/>
  <c r="P518" i="25"/>
  <c r="P519" i="25"/>
  <c r="P520" i="25"/>
  <c r="P521" i="25"/>
  <c r="P522" i="25"/>
  <c r="P523" i="25"/>
  <c r="P524" i="25"/>
  <c r="P525" i="25"/>
  <c r="P526" i="25"/>
  <c r="P527" i="25"/>
  <c r="P528" i="25"/>
  <c r="P529" i="25"/>
  <c r="P530" i="25"/>
  <c r="P531" i="25"/>
  <c r="P532" i="25"/>
  <c r="P533" i="25"/>
  <c r="P534" i="25"/>
  <c r="P535" i="25"/>
  <c r="P536" i="25"/>
  <c r="P537" i="25"/>
  <c r="P538" i="25"/>
  <c r="P539" i="25"/>
  <c r="P540" i="25"/>
  <c r="P541" i="25"/>
  <c r="P542" i="25"/>
  <c r="P543" i="25"/>
  <c r="P544" i="25"/>
  <c r="P545" i="25"/>
  <c r="P546" i="25"/>
  <c r="P547" i="25"/>
  <c r="P548" i="25"/>
  <c r="P549" i="25"/>
  <c r="P550" i="25"/>
  <c r="P551" i="25"/>
  <c r="P552" i="25"/>
  <c r="P553" i="25"/>
  <c r="P554" i="25"/>
  <c r="P555" i="25"/>
  <c r="P556" i="25"/>
  <c r="P557" i="25"/>
  <c r="P558" i="25"/>
  <c r="P559" i="25"/>
  <c r="P560" i="25"/>
  <c r="P561" i="25"/>
  <c r="P562" i="25"/>
  <c r="P563" i="25"/>
  <c r="P564" i="25"/>
  <c r="P565" i="25"/>
  <c r="P566" i="25"/>
  <c r="P567" i="25"/>
  <c r="P568" i="25"/>
  <c r="P569" i="25"/>
  <c r="P570" i="25"/>
  <c r="P571" i="25"/>
  <c r="P572" i="25"/>
  <c r="P573" i="25"/>
  <c r="P574" i="25"/>
  <c r="P575" i="25"/>
  <c r="P576" i="25"/>
  <c r="P577" i="25"/>
  <c r="P578" i="25"/>
  <c r="P579" i="25"/>
  <c r="P580" i="25"/>
  <c r="P581" i="25"/>
  <c r="P582" i="25"/>
  <c r="P583" i="25"/>
  <c r="P584" i="25"/>
  <c r="P585" i="25"/>
  <c r="P586" i="25"/>
  <c r="P587" i="25"/>
  <c r="P588" i="25"/>
  <c r="P589" i="25"/>
  <c r="P590" i="25"/>
  <c r="P591" i="25"/>
  <c r="P592" i="25"/>
  <c r="P593" i="25"/>
  <c r="P594" i="25"/>
  <c r="P595" i="25"/>
  <c r="P596" i="25"/>
  <c r="P597" i="25"/>
  <c r="P598" i="25"/>
  <c r="P599" i="25"/>
  <c r="P600" i="25"/>
  <c r="P601" i="25"/>
  <c r="P602" i="25"/>
  <c r="P603" i="25"/>
  <c r="P604" i="25"/>
  <c r="P605" i="25"/>
  <c r="P606" i="25"/>
  <c r="P607" i="25"/>
  <c r="P608" i="25"/>
  <c r="P609" i="25"/>
  <c r="P610" i="25"/>
  <c r="P611" i="25"/>
  <c r="P612" i="25"/>
  <c r="P613" i="25"/>
  <c r="P614" i="25"/>
  <c r="P615" i="25"/>
  <c r="P616" i="25"/>
  <c r="P617" i="25"/>
  <c r="P618" i="25"/>
  <c r="P619" i="25"/>
  <c r="P620" i="25"/>
  <c r="P621" i="25"/>
  <c r="P622" i="25"/>
  <c r="P623" i="25"/>
  <c r="P624" i="25"/>
  <c r="P625" i="25"/>
  <c r="P626" i="25"/>
  <c r="P627" i="25"/>
  <c r="P628" i="25"/>
  <c r="P629" i="25"/>
  <c r="P630" i="25"/>
  <c r="P631" i="25"/>
  <c r="P632" i="25"/>
  <c r="P633" i="25"/>
  <c r="P634" i="25"/>
  <c r="P635" i="25"/>
  <c r="P636" i="25"/>
  <c r="P637" i="25"/>
  <c r="P638" i="25"/>
  <c r="P639" i="25"/>
  <c r="P640" i="25"/>
  <c r="P641" i="25"/>
  <c r="P642" i="25"/>
  <c r="P643" i="25"/>
  <c r="P644" i="25"/>
  <c r="P645" i="25"/>
  <c r="P646" i="25"/>
  <c r="P647" i="25"/>
  <c r="P648" i="25"/>
  <c r="P649" i="25"/>
  <c r="P650" i="25"/>
  <c r="P651" i="25"/>
  <c r="P652" i="25"/>
  <c r="P653" i="25"/>
  <c r="P654" i="25"/>
  <c r="P655" i="25"/>
  <c r="P656" i="25"/>
  <c r="P657" i="25"/>
  <c r="P658" i="25"/>
  <c r="P659" i="25"/>
  <c r="P660" i="25"/>
  <c r="P661" i="25"/>
  <c r="P662" i="25"/>
  <c r="P663" i="25"/>
  <c r="P664" i="25"/>
  <c r="P665" i="25"/>
  <c r="P666" i="25"/>
  <c r="P667" i="25"/>
  <c r="P668" i="25"/>
  <c r="P669" i="25"/>
  <c r="P670" i="25"/>
  <c r="P671" i="25"/>
  <c r="P672" i="25"/>
  <c r="P673" i="25"/>
  <c r="P674" i="25"/>
  <c r="P675" i="25"/>
  <c r="P676" i="25"/>
  <c r="P677" i="25"/>
  <c r="P678" i="25"/>
  <c r="P679" i="25"/>
  <c r="P680" i="25"/>
  <c r="P681" i="25"/>
  <c r="P682" i="25"/>
  <c r="P683" i="25"/>
  <c r="P684" i="25"/>
  <c r="P685" i="25"/>
  <c r="P686" i="25"/>
  <c r="P687" i="25"/>
  <c r="P688" i="25"/>
  <c r="P689" i="25"/>
  <c r="D583" i="11"/>
  <c r="C583" i="11"/>
  <c r="P690" i="25"/>
  <c r="P691" i="25"/>
  <c r="P692" i="25"/>
  <c r="P693" i="25"/>
  <c r="P694" i="25"/>
  <c r="P695" i="25"/>
  <c r="P696" i="25"/>
  <c r="P697" i="25"/>
  <c r="P698" i="25"/>
  <c r="P699" i="25"/>
  <c r="P700" i="25"/>
  <c r="P701" i="25"/>
  <c r="P702" i="25"/>
  <c r="P703" i="25"/>
  <c r="P704" i="25"/>
  <c r="P705" i="25"/>
  <c r="P706" i="25"/>
  <c r="P707" i="25"/>
  <c r="P708" i="25"/>
  <c r="P709" i="25"/>
  <c r="P710" i="25"/>
  <c r="P711" i="25"/>
  <c r="P712" i="25"/>
  <c r="P713" i="25"/>
  <c r="P714" i="25"/>
  <c r="P715" i="25"/>
  <c r="P716" i="25"/>
  <c r="P717" i="25"/>
  <c r="P718" i="25"/>
  <c r="P719" i="25"/>
  <c r="P720" i="25"/>
  <c r="P721" i="25"/>
  <c r="P722" i="25"/>
  <c r="P723" i="25"/>
  <c r="P724" i="25"/>
  <c r="P725" i="25"/>
  <c r="P726" i="25"/>
  <c r="P727" i="25"/>
  <c r="P728" i="25"/>
  <c r="P729" i="25"/>
  <c r="P730" i="25"/>
  <c r="P731" i="25"/>
  <c r="P732" i="25"/>
  <c r="P733" i="25"/>
  <c r="P734" i="25"/>
  <c r="P735" i="25"/>
  <c r="P736" i="25"/>
  <c r="P737" i="25"/>
  <c r="P738" i="25"/>
  <c r="P739" i="25"/>
  <c r="P740" i="25"/>
  <c r="P741" i="25"/>
  <c r="P742" i="25"/>
  <c r="P743" i="25"/>
  <c r="P744" i="25"/>
  <c r="P745" i="25"/>
  <c r="P746" i="25"/>
  <c r="P747" i="25"/>
  <c r="P748" i="25"/>
  <c r="P749" i="25"/>
  <c r="P750" i="25"/>
  <c r="P751" i="25"/>
  <c r="P752" i="25"/>
  <c r="P753" i="25"/>
  <c r="P754" i="25"/>
  <c r="P755" i="25"/>
  <c r="P756" i="25"/>
  <c r="P757" i="25"/>
  <c r="P758" i="25"/>
  <c r="P759" i="25"/>
  <c r="P760" i="25"/>
  <c r="P761" i="25"/>
  <c r="C423" i="11"/>
  <c r="P762" i="25"/>
  <c r="P763" i="25"/>
  <c r="P764" i="25"/>
  <c r="P765" i="25"/>
  <c r="P766" i="25"/>
  <c r="P767" i="25"/>
  <c r="P768" i="25"/>
  <c r="P769" i="25"/>
  <c r="P770" i="25"/>
  <c r="P771" i="25"/>
  <c r="P772" i="25"/>
  <c r="P773" i="25"/>
  <c r="P774" i="25"/>
  <c r="P775" i="25"/>
  <c r="P776" i="25"/>
  <c r="P777" i="25"/>
  <c r="P778" i="25"/>
  <c r="P779" i="25"/>
  <c r="P780" i="25"/>
  <c r="P781" i="25"/>
  <c r="P782" i="25"/>
  <c r="P783" i="25"/>
  <c r="P784" i="25"/>
  <c r="P785" i="25"/>
  <c r="P786" i="25"/>
  <c r="P787" i="25"/>
  <c r="P788" i="25"/>
  <c r="P789" i="25"/>
  <c r="P790" i="25"/>
  <c r="P791" i="25"/>
  <c r="P792" i="25"/>
  <c r="P793" i="25"/>
  <c r="P794" i="25"/>
  <c r="P795" i="25"/>
  <c r="P796" i="25"/>
  <c r="P797" i="25"/>
  <c r="P798" i="25"/>
  <c r="P799" i="25"/>
  <c r="P800" i="25"/>
  <c r="P801" i="25"/>
  <c r="P802" i="25"/>
  <c r="P803" i="25"/>
  <c r="P804" i="25"/>
  <c r="P805" i="25"/>
  <c r="P806" i="25"/>
  <c r="P807" i="25"/>
  <c r="P808" i="25"/>
  <c r="P809" i="25"/>
  <c r="P810" i="25"/>
  <c r="P811" i="25"/>
  <c r="P812" i="25"/>
  <c r="P813" i="25"/>
  <c r="P814" i="25"/>
  <c r="P815" i="25"/>
  <c r="P816" i="25"/>
  <c r="P817" i="25"/>
  <c r="P818" i="25"/>
  <c r="P819" i="25"/>
  <c r="P820" i="25"/>
  <c r="P821" i="25"/>
  <c r="P822" i="25"/>
  <c r="P823" i="25"/>
  <c r="P824" i="25"/>
  <c r="P825" i="25"/>
  <c r="P826" i="25"/>
  <c r="P827" i="25"/>
  <c r="P828" i="25"/>
  <c r="P829" i="25"/>
  <c r="P830" i="25"/>
  <c r="P831" i="25"/>
  <c r="P832" i="25"/>
  <c r="P833" i="25"/>
  <c r="P834" i="25"/>
  <c r="P835" i="25"/>
  <c r="P836" i="25"/>
  <c r="P837" i="25"/>
  <c r="P838" i="25"/>
  <c r="P839" i="25"/>
  <c r="P840" i="25"/>
  <c r="P841" i="25"/>
  <c r="P842" i="25"/>
  <c r="P843" i="25"/>
  <c r="P844" i="25"/>
  <c r="P845" i="25"/>
  <c r="P846" i="25"/>
  <c r="P847" i="25"/>
  <c r="P848" i="25"/>
  <c r="P849" i="25"/>
  <c r="P850" i="25"/>
  <c r="P851" i="25"/>
  <c r="P852" i="25"/>
  <c r="P853" i="25"/>
  <c r="P854" i="25"/>
  <c r="P855" i="25"/>
  <c r="P856" i="25"/>
  <c r="P857" i="25"/>
  <c r="P858" i="25"/>
  <c r="P859" i="25"/>
  <c r="P860" i="25"/>
  <c r="P861" i="25"/>
  <c r="P862" i="25"/>
  <c r="P863" i="25"/>
  <c r="P864" i="25"/>
  <c r="P865" i="25"/>
  <c r="P866" i="25"/>
  <c r="P867" i="25"/>
  <c r="P868" i="25"/>
  <c r="P869" i="25"/>
  <c r="P870" i="25"/>
  <c r="P871" i="25"/>
  <c r="P872" i="25"/>
  <c r="P873" i="25"/>
  <c r="P874" i="25"/>
  <c r="P875" i="25"/>
  <c r="P876" i="25"/>
  <c r="P877" i="25"/>
  <c r="P878" i="25"/>
  <c r="P879" i="25"/>
  <c r="P880" i="25"/>
  <c r="P881" i="25"/>
  <c r="P2" i="25"/>
  <c r="O3" i="25"/>
  <c r="O4" i="25"/>
  <c r="O5" i="25"/>
  <c r="O6" i="25"/>
  <c r="O7" i="25"/>
  <c r="O8" i="25"/>
  <c r="O9" i="25"/>
  <c r="O10" i="25"/>
  <c r="O11" i="25"/>
  <c r="O12" i="25"/>
  <c r="O13" i="25"/>
  <c r="O14" i="25"/>
  <c r="O15" i="25"/>
  <c r="O16" i="25"/>
  <c r="O17" i="25"/>
  <c r="O18" i="25"/>
  <c r="O19" i="25"/>
  <c r="O20" i="25"/>
  <c r="O21" i="25"/>
  <c r="O22" i="25"/>
  <c r="O23" i="25"/>
  <c r="O24" i="25"/>
  <c r="O25" i="25"/>
  <c r="O26" i="25"/>
  <c r="O27" i="25"/>
  <c r="O28" i="25"/>
  <c r="O29" i="25"/>
  <c r="O30" i="25"/>
  <c r="O31" i="25"/>
  <c r="O32" i="25"/>
  <c r="O33" i="25"/>
  <c r="O34" i="25"/>
  <c r="O35" i="25"/>
  <c r="O36" i="25"/>
  <c r="O37" i="25"/>
  <c r="O38" i="25"/>
  <c r="O39" i="25"/>
  <c r="O40" i="25"/>
  <c r="O41" i="25"/>
  <c r="O42" i="25"/>
  <c r="O43" i="25"/>
  <c r="O44" i="25"/>
  <c r="O45" i="25"/>
  <c r="O46" i="25"/>
  <c r="O47" i="25"/>
  <c r="O48" i="25"/>
  <c r="O49" i="25"/>
  <c r="O50" i="25"/>
  <c r="O51" i="25"/>
  <c r="O52" i="25"/>
  <c r="O53" i="25"/>
  <c r="O54" i="25"/>
  <c r="O55" i="25"/>
  <c r="O56" i="25"/>
  <c r="O57" i="25"/>
  <c r="O58" i="25"/>
  <c r="O59" i="25"/>
  <c r="O60" i="25"/>
  <c r="O61" i="25"/>
  <c r="O62" i="25"/>
  <c r="O63" i="25"/>
  <c r="O64" i="25"/>
  <c r="O65" i="25"/>
  <c r="O66" i="25"/>
  <c r="O67" i="25"/>
  <c r="O68" i="25"/>
  <c r="O69" i="25"/>
  <c r="O70" i="25"/>
  <c r="O71" i="25"/>
  <c r="O72" i="25"/>
  <c r="O73" i="25"/>
  <c r="O74" i="25"/>
  <c r="O75" i="25"/>
  <c r="O76" i="25"/>
  <c r="O77" i="25"/>
  <c r="O78" i="25"/>
  <c r="O79" i="25"/>
  <c r="O80" i="25"/>
  <c r="O81" i="25"/>
  <c r="O82" i="25"/>
  <c r="O83" i="25"/>
  <c r="O84" i="25"/>
  <c r="O85" i="25"/>
  <c r="O86" i="25"/>
  <c r="O87" i="25"/>
  <c r="O88" i="25"/>
  <c r="O89" i="25"/>
  <c r="O90" i="25"/>
  <c r="O91" i="25"/>
  <c r="O92" i="25"/>
  <c r="O93" i="25"/>
  <c r="O94" i="25"/>
  <c r="O95" i="25"/>
  <c r="O96" i="25"/>
  <c r="O97" i="25"/>
  <c r="O98" i="25"/>
  <c r="O99" i="25"/>
  <c r="O100" i="25"/>
  <c r="O101" i="25"/>
  <c r="O102" i="25"/>
  <c r="O103" i="25"/>
  <c r="O104" i="25"/>
  <c r="O105" i="25"/>
  <c r="O106" i="25"/>
  <c r="O107" i="25"/>
  <c r="O108" i="25"/>
  <c r="O109" i="25"/>
  <c r="O110" i="25"/>
  <c r="O111" i="25"/>
  <c r="O112" i="25"/>
  <c r="O113" i="25"/>
  <c r="O114" i="25"/>
  <c r="O115" i="25"/>
  <c r="O116" i="25"/>
  <c r="O117" i="25"/>
  <c r="O118" i="25"/>
  <c r="O119" i="25"/>
  <c r="O120" i="25"/>
  <c r="O121" i="25"/>
  <c r="O122" i="25"/>
  <c r="O123" i="25"/>
  <c r="O124" i="25"/>
  <c r="O125" i="25"/>
  <c r="O126" i="25"/>
  <c r="O127" i="25"/>
  <c r="O128" i="25"/>
  <c r="O129" i="25"/>
  <c r="O130" i="25"/>
  <c r="O131" i="25"/>
  <c r="O132" i="25"/>
  <c r="O133" i="25"/>
  <c r="O134" i="25"/>
  <c r="O135" i="25"/>
  <c r="O136" i="25"/>
  <c r="O137" i="25"/>
  <c r="O138" i="25"/>
  <c r="O139" i="25"/>
  <c r="O140" i="25"/>
  <c r="O141" i="25"/>
  <c r="O142" i="25"/>
  <c r="O143" i="25"/>
  <c r="O144" i="25"/>
  <c r="O145" i="25"/>
  <c r="O146" i="25"/>
  <c r="O147" i="25"/>
  <c r="O148" i="25"/>
  <c r="O149" i="25"/>
  <c r="O150" i="25"/>
  <c r="O151" i="25"/>
  <c r="O152" i="25"/>
  <c r="O153" i="25"/>
  <c r="O154" i="25"/>
  <c r="O155" i="25"/>
  <c r="O156" i="25"/>
  <c r="O157" i="25"/>
  <c r="O158" i="25"/>
  <c r="O159" i="25"/>
  <c r="O160" i="25"/>
  <c r="O161" i="25"/>
  <c r="O162" i="25"/>
  <c r="O163" i="25"/>
  <c r="O164" i="25"/>
  <c r="O165" i="25"/>
  <c r="O166" i="25"/>
  <c r="O167" i="25"/>
  <c r="O168" i="25"/>
  <c r="O169" i="25"/>
  <c r="O170" i="25"/>
  <c r="O171" i="25"/>
  <c r="O172" i="25"/>
  <c r="O173" i="25"/>
  <c r="O174" i="25"/>
  <c r="O175" i="25"/>
  <c r="O176" i="25"/>
  <c r="O177" i="25"/>
  <c r="O178" i="25"/>
  <c r="O179" i="25"/>
  <c r="O180" i="25"/>
  <c r="O181" i="25"/>
  <c r="O182" i="25"/>
  <c r="O183" i="25"/>
  <c r="O184" i="25"/>
  <c r="O185" i="25"/>
  <c r="O186" i="25"/>
  <c r="O187" i="25"/>
  <c r="O188" i="25"/>
  <c r="O189" i="25"/>
  <c r="O190" i="25"/>
  <c r="O191" i="25"/>
  <c r="O192" i="25"/>
  <c r="O193" i="25"/>
  <c r="O194" i="25"/>
  <c r="O195" i="25"/>
  <c r="O196" i="25"/>
  <c r="O197" i="25"/>
  <c r="O198" i="25"/>
  <c r="O199" i="25"/>
  <c r="O200" i="25"/>
  <c r="O201" i="25"/>
  <c r="O202" i="25"/>
  <c r="O203" i="25"/>
  <c r="O204" i="25"/>
  <c r="O205" i="25"/>
  <c r="O206" i="25"/>
  <c r="O207" i="25"/>
  <c r="O208" i="25"/>
  <c r="O209" i="25"/>
  <c r="O210" i="25"/>
  <c r="O211" i="25"/>
  <c r="O212" i="25"/>
  <c r="O213" i="25"/>
  <c r="O214" i="25"/>
  <c r="O215" i="25"/>
  <c r="O216" i="25"/>
  <c r="O217" i="25"/>
  <c r="O218" i="25"/>
  <c r="O219" i="25"/>
  <c r="O220" i="25"/>
  <c r="O221" i="25"/>
  <c r="O222" i="25"/>
  <c r="O223" i="25"/>
  <c r="O224" i="25"/>
  <c r="O225" i="25"/>
  <c r="O226" i="25"/>
  <c r="O227" i="25"/>
  <c r="O228" i="25"/>
  <c r="O229" i="25"/>
  <c r="O230" i="25"/>
  <c r="O231" i="25"/>
  <c r="O232" i="25"/>
  <c r="O233" i="25"/>
  <c r="O234" i="25"/>
  <c r="O235" i="25"/>
  <c r="O236" i="25"/>
  <c r="O237" i="25"/>
  <c r="O238" i="25"/>
  <c r="O239" i="25"/>
  <c r="O240" i="25"/>
  <c r="O241" i="25"/>
  <c r="O242" i="25"/>
  <c r="O243" i="25"/>
  <c r="O244" i="25"/>
  <c r="O245" i="25"/>
  <c r="O246" i="25"/>
  <c r="O247" i="25"/>
  <c r="O248" i="25"/>
  <c r="O249" i="25"/>
  <c r="O250" i="25"/>
  <c r="O251" i="25"/>
  <c r="O252" i="25"/>
  <c r="O253" i="25"/>
  <c r="O254" i="25"/>
  <c r="O255" i="25"/>
  <c r="O256" i="25"/>
  <c r="O257" i="25"/>
  <c r="O258" i="25"/>
  <c r="O259" i="25"/>
  <c r="O260" i="25"/>
  <c r="O261" i="25"/>
  <c r="O262" i="25"/>
  <c r="O263" i="25"/>
  <c r="O264" i="25"/>
  <c r="O265" i="25"/>
  <c r="O266" i="25"/>
  <c r="O267" i="25"/>
  <c r="O268" i="25"/>
  <c r="O269" i="25"/>
  <c r="O270" i="25"/>
  <c r="O271" i="25"/>
  <c r="O272" i="25"/>
  <c r="O273" i="25"/>
  <c r="O274" i="25"/>
  <c r="O275" i="25"/>
  <c r="O276" i="25"/>
  <c r="O277" i="25"/>
  <c r="O278" i="25"/>
  <c r="O279" i="25"/>
  <c r="O280" i="25"/>
  <c r="O281" i="25"/>
  <c r="O282" i="25"/>
  <c r="O283" i="25"/>
  <c r="O284" i="25"/>
  <c r="O285" i="25"/>
  <c r="O286" i="25"/>
  <c r="O287" i="25"/>
  <c r="O288" i="25"/>
  <c r="O289" i="25"/>
  <c r="O290" i="25"/>
  <c r="O291" i="25"/>
  <c r="O292" i="25"/>
  <c r="O293" i="25"/>
  <c r="O294" i="25"/>
  <c r="O295" i="25"/>
  <c r="O296" i="25"/>
  <c r="O297" i="25"/>
  <c r="O298" i="25"/>
  <c r="O299" i="25"/>
  <c r="O300" i="25"/>
  <c r="O301" i="25"/>
  <c r="O302" i="25"/>
  <c r="O303" i="25"/>
  <c r="O304" i="25"/>
  <c r="O305" i="25"/>
  <c r="O306" i="25"/>
  <c r="O307" i="25"/>
  <c r="O308" i="25"/>
  <c r="O309" i="25"/>
  <c r="O310" i="25"/>
  <c r="O311" i="25"/>
  <c r="O312" i="25"/>
  <c r="O313" i="25"/>
  <c r="O314" i="25"/>
  <c r="O315" i="25"/>
  <c r="O316" i="25"/>
  <c r="O317" i="25"/>
  <c r="O318" i="25"/>
  <c r="O319" i="25"/>
  <c r="O320" i="25"/>
  <c r="O321" i="25"/>
  <c r="O322" i="25"/>
  <c r="O323" i="25"/>
  <c r="O324" i="25"/>
  <c r="O325" i="25"/>
  <c r="O326" i="25"/>
  <c r="O327" i="25"/>
  <c r="O328" i="25"/>
  <c r="O329" i="25"/>
  <c r="O330" i="25"/>
  <c r="O331" i="25"/>
  <c r="O332" i="25"/>
  <c r="O333" i="25"/>
  <c r="O334" i="25"/>
  <c r="O335" i="25"/>
  <c r="O336" i="25"/>
  <c r="O337" i="25"/>
  <c r="O338" i="25"/>
  <c r="O339" i="25"/>
  <c r="O340" i="25"/>
  <c r="O341" i="25"/>
  <c r="O342" i="25"/>
  <c r="O343" i="25"/>
  <c r="O344" i="25"/>
  <c r="O345" i="25"/>
  <c r="O346" i="25"/>
  <c r="O347" i="25"/>
  <c r="O348" i="25"/>
  <c r="O349" i="25"/>
  <c r="O350" i="25"/>
  <c r="O351" i="25"/>
  <c r="O352" i="25"/>
  <c r="O353" i="25"/>
  <c r="O354" i="25"/>
  <c r="O355" i="25"/>
  <c r="O356" i="25"/>
  <c r="O357" i="25"/>
  <c r="O358" i="25"/>
  <c r="O359" i="25"/>
  <c r="O360" i="25"/>
  <c r="O361" i="25"/>
  <c r="O362" i="25"/>
  <c r="O363" i="25"/>
  <c r="O364" i="25"/>
  <c r="O365" i="25"/>
  <c r="O366" i="25"/>
  <c r="O367" i="25"/>
  <c r="O368" i="25"/>
  <c r="O369" i="25"/>
  <c r="O370" i="25"/>
  <c r="O371" i="25"/>
  <c r="O372" i="25"/>
  <c r="O373" i="25"/>
  <c r="O374" i="25"/>
  <c r="O375" i="25"/>
  <c r="O376" i="25"/>
  <c r="O377" i="25"/>
  <c r="O378" i="25"/>
  <c r="O379" i="25"/>
  <c r="O380" i="25"/>
  <c r="O381" i="25"/>
  <c r="O382" i="25"/>
  <c r="O383" i="25"/>
  <c r="O384" i="25"/>
  <c r="O385" i="25"/>
  <c r="O386" i="25"/>
  <c r="O387" i="25"/>
  <c r="O388" i="25"/>
  <c r="O389" i="25"/>
  <c r="O390" i="25"/>
  <c r="O391" i="25"/>
  <c r="O392" i="25"/>
  <c r="O393" i="25"/>
  <c r="O394" i="25"/>
  <c r="O395" i="25"/>
  <c r="O396" i="25"/>
  <c r="O397" i="25"/>
  <c r="O398" i="25"/>
  <c r="O399" i="25"/>
  <c r="O400" i="25"/>
  <c r="O401" i="25"/>
  <c r="O402" i="25"/>
  <c r="O403" i="25"/>
  <c r="O404" i="25"/>
  <c r="O405" i="25"/>
  <c r="O406" i="25"/>
  <c r="O407" i="25"/>
  <c r="O408" i="25"/>
  <c r="O409" i="25"/>
  <c r="O410" i="25"/>
  <c r="O411" i="25"/>
  <c r="O412" i="25"/>
  <c r="O413" i="25"/>
  <c r="O414" i="25"/>
  <c r="O415" i="25"/>
  <c r="O416" i="25"/>
  <c r="O417" i="25"/>
  <c r="O418" i="25"/>
  <c r="O419" i="25"/>
  <c r="O420" i="25"/>
  <c r="O421" i="25"/>
  <c r="O422" i="25"/>
  <c r="O423" i="25"/>
  <c r="O424" i="25"/>
  <c r="O425" i="25"/>
  <c r="O426" i="25"/>
  <c r="O427" i="25"/>
  <c r="O428" i="25"/>
  <c r="O429" i="25"/>
  <c r="O430" i="25"/>
  <c r="O431" i="25"/>
  <c r="O432" i="25"/>
  <c r="O433" i="25"/>
  <c r="O434" i="25"/>
  <c r="O435" i="25"/>
  <c r="O436" i="25"/>
  <c r="O437" i="25"/>
  <c r="O438" i="25"/>
  <c r="O439" i="25"/>
  <c r="O440" i="25"/>
  <c r="O441" i="25"/>
  <c r="O442" i="25"/>
  <c r="O443" i="25"/>
  <c r="O444" i="25"/>
  <c r="O445" i="25"/>
  <c r="O446" i="25"/>
  <c r="O447" i="25"/>
  <c r="O448" i="25"/>
  <c r="O449" i="25"/>
  <c r="O450" i="25"/>
  <c r="O451" i="25"/>
  <c r="O452" i="25"/>
  <c r="O453" i="25"/>
  <c r="O454" i="25"/>
  <c r="O455" i="25"/>
  <c r="O456" i="25"/>
  <c r="O457" i="25"/>
  <c r="O458" i="25"/>
  <c r="O459" i="25"/>
  <c r="O460" i="25"/>
  <c r="O461" i="25"/>
  <c r="O462" i="25"/>
  <c r="O463" i="25"/>
  <c r="O464" i="25"/>
  <c r="O465" i="25"/>
  <c r="O466" i="25"/>
  <c r="O467" i="25"/>
  <c r="O468" i="25"/>
  <c r="O469" i="25"/>
  <c r="O470" i="25"/>
  <c r="O471" i="25"/>
  <c r="O472" i="25"/>
  <c r="O473" i="25"/>
  <c r="O474" i="25"/>
  <c r="O475" i="25"/>
  <c r="O476" i="25"/>
  <c r="O477" i="25"/>
  <c r="O478" i="25"/>
  <c r="O479" i="25"/>
  <c r="O480" i="25"/>
  <c r="O481" i="25"/>
  <c r="O482" i="25"/>
  <c r="O483" i="25"/>
  <c r="O484" i="25"/>
  <c r="O485" i="25"/>
  <c r="O486" i="25"/>
  <c r="O487" i="25"/>
  <c r="O488" i="25"/>
  <c r="O489" i="25"/>
  <c r="O490" i="25"/>
  <c r="O491" i="25"/>
  <c r="O492" i="25"/>
  <c r="O493" i="25"/>
  <c r="O494" i="25"/>
  <c r="O495" i="25"/>
  <c r="O496" i="25"/>
  <c r="O497" i="25"/>
  <c r="O498" i="25"/>
  <c r="O499" i="25"/>
  <c r="O500" i="25"/>
  <c r="O501" i="25"/>
  <c r="O502" i="25"/>
  <c r="O503" i="25"/>
  <c r="O504" i="25"/>
  <c r="O505" i="25"/>
  <c r="O506" i="25"/>
  <c r="O507" i="25"/>
  <c r="O508" i="25"/>
  <c r="O509" i="25"/>
  <c r="O510" i="25"/>
  <c r="O511" i="25"/>
  <c r="O512" i="25"/>
  <c r="O513" i="25"/>
  <c r="O514" i="25"/>
  <c r="O515" i="25"/>
  <c r="O516" i="25"/>
  <c r="O517" i="25"/>
  <c r="O518" i="25"/>
  <c r="O519" i="25"/>
  <c r="O520" i="25"/>
  <c r="O521" i="25"/>
  <c r="O522" i="25"/>
  <c r="O523" i="25"/>
  <c r="O524" i="25"/>
  <c r="O525" i="25"/>
  <c r="O526" i="25"/>
  <c r="O527" i="25"/>
  <c r="O528" i="25"/>
  <c r="O529" i="25"/>
  <c r="O530" i="25"/>
  <c r="O531" i="25"/>
  <c r="O532" i="25"/>
  <c r="O533" i="25"/>
  <c r="O534" i="25"/>
  <c r="O535" i="25"/>
  <c r="O536" i="25"/>
  <c r="O537" i="25"/>
  <c r="O538" i="25"/>
  <c r="O539" i="25"/>
  <c r="O540" i="25"/>
  <c r="O541" i="25"/>
  <c r="O542" i="25"/>
  <c r="O543" i="25"/>
  <c r="O544" i="25"/>
  <c r="O545" i="25"/>
  <c r="O546" i="25"/>
  <c r="O547" i="25"/>
  <c r="O548" i="25"/>
  <c r="O549" i="25"/>
  <c r="O550" i="25"/>
  <c r="O551" i="25"/>
  <c r="O552" i="25"/>
  <c r="O553" i="25"/>
  <c r="O554" i="25"/>
  <c r="O555" i="25"/>
  <c r="O556" i="25"/>
  <c r="O557" i="25"/>
  <c r="O558" i="25"/>
  <c r="O559" i="25"/>
  <c r="O560" i="25"/>
  <c r="O561" i="25"/>
  <c r="O562" i="25"/>
  <c r="O563" i="25"/>
  <c r="O564" i="25"/>
  <c r="O565" i="25"/>
  <c r="O566" i="25"/>
  <c r="O567" i="25"/>
  <c r="O568" i="25"/>
  <c r="O569" i="25"/>
  <c r="O570" i="25"/>
  <c r="O571" i="25"/>
  <c r="O572" i="25"/>
  <c r="O573" i="25"/>
  <c r="O574" i="25"/>
  <c r="O575" i="25"/>
  <c r="O576" i="25"/>
  <c r="O577" i="25"/>
  <c r="O578" i="25"/>
  <c r="O579" i="25"/>
  <c r="O580" i="25"/>
  <c r="O581" i="25"/>
  <c r="O582" i="25"/>
  <c r="O583" i="25"/>
  <c r="O584" i="25"/>
  <c r="O585" i="25"/>
  <c r="O586" i="25"/>
  <c r="O587" i="25"/>
  <c r="O588" i="25"/>
  <c r="O589" i="25"/>
  <c r="O590" i="25"/>
  <c r="O591" i="25"/>
  <c r="O592" i="25"/>
  <c r="O593" i="25"/>
  <c r="O594" i="25"/>
  <c r="O595" i="25"/>
  <c r="O596" i="25"/>
  <c r="O597" i="25"/>
  <c r="O598" i="25"/>
  <c r="O599" i="25"/>
  <c r="O600" i="25"/>
  <c r="O601" i="25"/>
  <c r="O602" i="25"/>
  <c r="O603" i="25"/>
  <c r="O604" i="25"/>
  <c r="O605" i="25"/>
  <c r="O606" i="25"/>
  <c r="O607" i="25"/>
  <c r="O608" i="25"/>
  <c r="O609" i="25"/>
  <c r="O610" i="25"/>
  <c r="O611" i="25"/>
  <c r="O612" i="25"/>
  <c r="O613" i="25"/>
  <c r="O614" i="25"/>
  <c r="O615" i="25"/>
  <c r="O616" i="25"/>
  <c r="O617" i="25"/>
  <c r="O618" i="25"/>
  <c r="O619" i="25"/>
  <c r="O620" i="25"/>
  <c r="O621" i="25"/>
  <c r="O622" i="25"/>
  <c r="O623" i="25"/>
  <c r="O624" i="25"/>
  <c r="O625" i="25"/>
  <c r="O626" i="25"/>
  <c r="O627" i="25"/>
  <c r="O628" i="25"/>
  <c r="O629" i="25"/>
  <c r="O630" i="25"/>
  <c r="O631" i="25"/>
  <c r="O632" i="25"/>
  <c r="O633" i="25"/>
  <c r="O634" i="25"/>
  <c r="O635" i="25"/>
  <c r="O636" i="25"/>
  <c r="O637" i="25"/>
  <c r="O638" i="25"/>
  <c r="O639" i="25"/>
  <c r="O640" i="25"/>
  <c r="O641" i="25"/>
  <c r="O642" i="25"/>
  <c r="O643" i="25"/>
  <c r="O644" i="25"/>
  <c r="O645" i="25"/>
  <c r="O646" i="25"/>
  <c r="O647" i="25"/>
  <c r="O648" i="25"/>
  <c r="O649" i="25"/>
  <c r="O650" i="25"/>
  <c r="O651" i="25"/>
  <c r="O652" i="25"/>
  <c r="O653" i="25"/>
  <c r="O654" i="25"/>
  <c r="O655" i="25"/>
  <c r="O656" i="25"/>
  <c r="O657" i="25"/>
  <c r="O658" i="25"/>
  <c r="O659" i="25"/>
  <c r="O660" i="25"/>
  <c r="O661" i="25"/>
  <c r="O662" i="25"/>
  <c r="O663" i="25"/>
  <c r="O664" i="25"/>
  <c r="O665" i="25"/>
  <c r="O666" i="25"/>
  <c r="O667" i="25"/>
  <c r="O668" i="25"/>
  <c r="O669" i="25"/>
  <c r="O670" i="25"/>
  <c r="O671" i="25"/>
  <c r="O672" i="25"/>
  <c r="O673" i="25"/>
  <c r="O674" i="25"/>
  <c r="O675" i="25"/>
  <c r="O676" i="25"/>
  <c r="O677" i="25"/>
  <c r="O678" i="25"/>
  <c r="O679" i="25"/>
  <c r="O680" i="25"/>
  <c r="O681" i="25"/>
  <c r="O682" i="25"/>
  <c r="O683" i="25"/>
  <c r="O684" i="25"/>
  <c r="O685" i="25"/>
  <c r="O686" i="25"/>
  <c r="O687" i="25"/>
  <c r="O688" i="25"/>
  <c r="O689" i="25"/>
  <c r="O690" i="25"/>
  <c r="O691" i="25"/>
  <c r="O692" i="25"/>
  <c r="O693" i="25"/>
  <c r="O694" i="25"/>
  <c r="O695" i="25"/>
  <c r="O696" i="25"/>
  <c r="O697" i="25"/>
  <c r="O698" i="25"/>
  <c r="O699" i="25"/>
  <c r="O700" i="25"/>
  <c r="O701" i="25"/>
  <c r="O702" i="25"/>
  <c r="O703" i="25"/>
  <c r="O704" i="25"/>
  <c r="O705" i="25"/>
  <c r="O706" i="25"/>
  <c r="O707" i="25"/>
  <c r="O708" i="25"/>
  <c r="O709" i="25"/>
  <c r="O710" i="25"/>
  <c r="O711" i="25"/>
  <c r="O712" i="25"/>
  <c r="O713" i="25"/>
  <c r="O714" i="25"/>
  <c r="O715" i="25"/>
  <c r="O716" i="25"/>
  <c r="O717" i="25"/>
  <c r="O718" i="25"/>
  <c r="O719" i="25"/>
  <c r="O720" i="25"/>
  <c r="O721" i="25"/>
  <c r="O722" i="25"/>
  <c r="O723" i="25"/>
  <c r="O724" i="25"/>
  <c r="O725" i="25"/>
  <c r="O726" i="25"/>
  <c r="O727" i="25"/>
  <c r="O728" i="25"/>
  <c r="O729" i="25"/>
  <c r="O730" i="25"/>
  <c r="O731" i="25"/>
  <c r="O732" i="25"/>
  <c r="O733" i="25"/>
  <c r="O734" i="25"/>
  <c r="O735" i="25"/>
  <c r="O736" i="25"/>
  <c r="O737" i="25"/>
  <c r="O738" i="25"/>
  <c r="O739" i="25"/>
  <c r="O740" i="25"/>
  <c r="O741" i="25"/>
  <c r="O742" i="25"/>
  <c r="O743" i="25"/>
  <c r="O744" i="25"/>
  <c r="O745" i="25"/>
  <c r="O746" i="25"/>
  <c r="O747" i="25"/>
  <c r="O748" i="25"/>
  <c r="O749" i="25"/>
  <c r="O750" i="25"/>
  <c r="O751" i="25"/>
  <c r="O752" i="25"/>
  <c r="O753" i="25"/>
  <c r="O754" i="25"/>
  <c r="O755" i="25"/>
  <c r="O756" i="25"/>
  <c r="O757" i="25"/>
  <c r="O758" i="25"/>
  <c r="O759" i="25"/>
  <c r="O760" i="25"/>
  <c r="O761" i="25"/>
  <c r="O762" i="25"/>
  <c r="O763" i="25"/>
  <c r="O764" i="25"/>
  <c r="O765" i="25"/>
  <c r="O766" i="25"/>
  <c r="O767" i="25"/>
  <c r="O768" i="25"/>
  <c r="O769" i="25"/>
  <c r="O770" i="25"/>
  <c r="O771" i="25"/>
  <c r="O772" i="25"/>
  <c r="O773" i="25"/>
  <c r="O774" i="25"/>
  <c r="O775" i="25"/>
  <c r="O776" i="25"/>
  <c r="O777" i="25"/>
  <c r="O778" i="25"/>
  <c r="O779" i="25"/>
  <c r="O780" i="25"/>
  <c r="O781" i="25"/>
  <c r="O782" i="25"/>
  <c r="O783" i="25"/>
  <c r="O784" i="25"/>
  <c r="O785" i="25"/>
  <c r="O786" i="25"/>
  <c r="O787" i="25"/>
  <c r="O788" i="25"/>
  <c r="O789" i="25"/>
  <c r="O790" i="25"/>
  <c r="O791" i="25"/>
  <c r="O792" i="25"/>
  <c r="O793" i="25"/>
  <c r="O794" i="25"/>
  <c r="O795" i="25"/>
  <c r="O796" i="25"/>
  <c r="O797" i="25"/>
  <c r="O798" i="25"/>
  <c r="O799" i="25"/>
  <c r="O800" i="25"/>
  <c r="O801" i="25"/>
  <c r="O802" i="25"/>
  <c r="O803" i="25"/>
  <c r="O804" i="25"/>
  <c r="O805" i="25"/>
  <c r="O806" i="25"/>
  <c r="O807" i="25"/>
  <c r="O808" i="25"/>
  <c r="O809" i="25"/>
  <c r="O810" i="25"/>
  <c r="O811" i="25"/>
  <c r="O812" i="25"/>
  <c r="O813" i="25"/>
  <c r="O814" i="25"/>
  <c r="O815" i="25"/>
  <c r="O816" i="25"/>
  <c r="O817" i="25"/>
  <c r="O818" i="25"/>
  <c r="O819" i="25"/>
  <c r="O820" i="25"/>
  <c r="O821" i="25"/>
  <c r="O822" i="25"/>
  <c r="O823" i="25"/>
  <c r="O824" i="25"/>
  <c r="O825" i="25"/>
  <c r="O826" i="25"/>
  <c r="O827" i="25"/>
  <c r="O828" i="25"/>
  <c r="O829" i="25"/>
  <c r="O830" i="25"/>
  <c r="O831" i="25"/>
  <c r="O832" i="25"/>
  <c r="O833" i="25"/>
  <c r="O834" i="25"/>
  <c r="O835" i="25"/>
  <c r="O836" i="25"/>
  <c r="O837" i="25"/>
  <c r="O838" i="25"/>
  <c r="O839" i="25"/>
  <c r="O840" i="25"/>
  <c r="O841" i="25"/>
  <c r="O842" i="25"/>
  <c r="O843" i="25"/>
  <c r="O844" i="25"/>
  <c r="O845" i="25"/>
  <c r="O846" i="25"/>
  <c r="O847" i="25"/>
  <c r="O848" i="25"/>
  <c r="O849" i="25"/>
  <c r="O850" i="25"/>
  <c r="O851" i="25"/>
  <c r="O852" i="25"/>
  <c r="O853" i="25"/>
  <c r="O854" i="25"/>
  <c r="O855" i="25"/>
  <c r="O856" i="25"/>
  <c r="O857" i="25"/>
  <c r="O858" i="25"/>
  <c r="O859" i="25"/>
  <c r="O860" i="25"/>
  <c r="O861" i="25"/>
  <c r="O862" i="25"/>
  <c r="O863" i="25"/>
  <c r="O864" i="25"/>
  <c r="O865" i="25"/>
  <c r="O866" i="25"/>
  <c r="O867" i="25"/>
  <c r="O868" i="25"/>
  <c r="O869" i="25"/>
  <c r="O870" i="25"/>
  <c r="O871" i="25"/>
  <c r="O872" i="25"/>
  <c r="O873" i="25"/>
  <c r="O874" i="25"/>
  <c r="O875" i="25"/>
  <c r="O876" i="25"/>
  <c r="O877" i="25"/>
  <c r="O878" i="25"/>
  <c r="O879" i="25"/>
  <c r="O880" i="25"/>
  <c r="O881" i="25"/>
  <c r="N3" i="25"/>
  <c r="N4" i="25"/>
  <c r="N5" i="25"/>
  <c r="N6" i="25"/>
  <c r="N7" i="25"/>
  <c r="N8" i="25"/>
  <c r="N9" i="25"/>
  <c r="N10" i="25"/>
  <c r="N11" i="25"/>
  <c r="N12" i="25"/>
  <c r="N13" i="25"/>
  <c r="N14" i="25"/>
  <c r="N15" i="25"/>
  <c r="N16" i="25"/>
  <c r="N17" i="25"/>
  <c r="N18" i="25"/>
  <c r="N19" i="25"/>
  <c r="N20" i="25"/>
  <c r="N21" i="25"/>
  <c r="N22" i="25"/>
  <c r="N23" i="25"/>
  <c r="N24" i="25"/>
  <c r="N25" i="25"/>
  <c r="N26" i="25"/>
  <c r="N27" i="25"/>
  <c r="N28" i="25"/>
  <c r="N29" i="25"/>
  <c r="N30" i="25"/>
  <c r="N31" i="25"/>
  <c r="N32" i="25"/>
  <c r="N33" i="25"/>
  <c r="N34" i="25"/>
  <c r="N35" i="25"/>
  <c r="N36" i="25"/>
  <c r="N37" i="25"/>
  <c r="N38" i="25"/>
  <c r="N39" i="25"/>
  <c r="N40" i="25"/>
  <c r="N41" i="25"/>
  <c r="N42" i="25"/>
  <c r="N43" i="25"/>
  <c r="N44" i="25"/>
  <c r="N45" i="25"/>
  <c r="N46" i="25"/>
  <c r="N47" i="25"/>
  <c r="N48" i="25"/>
  <c r="N49" i="25"/>
  <c r="N50" i="25"/>
  <c r="N51" i="25"/>
  <c r="N52" i="25"/>
  <c r="N53" i="25"/>
  <c r="N54" i="25"/>
  <c r="N55" i="25"/>
  <c r="N56" i="25"/>
  <c r="N57" i="25"/>
  <c r="N58" i="25"/>
  <c r="N59" i="25"/>
  <c r="N60" i="25"/>
  <c r="N61" i="25"/>
  <c r="N62" i="25"/>
  <c r="N63" i="25"/>
  <c r="N64" i="25"/>
  <c r="N65" i="25"/>
  <c r="N66" i="25"/>
  <c r="N67" i="25"/>
  <c r="N68" i="25"/>
  <c r="N69" i="25"/>
  <c r="N70" i="25"/>
  <c r="N71" i="25"/>
  <c r="N72" i="25"/>
  <c r="N73" i="25"/>
  <c r="N74" i="25"/>
  <c r="N75" i="25"/>
  <c r="N76" i="25"/>
  <c r="N77" i="25"/>
  <c r="N78" i="25"/>
  <c r="N79" i="25"/>
  <c r="N80" i="25"/>
  <c r="N81" i="25"/>
  <c r="N82" i="25"/>
  <c r="N83" i="25"/>
  <c r="N84" i="25"/>
  <c r="N85" i="25"/>
  <c r="N86" i="25"/>
  <c r="N87" i="25"/>
  <c r="N88" i="25"/>
  <c r="N89" i="25"/>
  <c r="N90" i="25"/>
  <c r="N91" i="25"/>
  <c r="N92" i="25"/>
  <c r="N93" i="25"/>
  <c r="N94" i="25"/>
  <c r="N95" i="25"/>
  <c r="N96" i="25"/>
  <c r="N97" i="25"/>
  <c r="N98" i="25"/>
  <c r="N99" i="25"/>
  <c r="N100" i="25"/>
  <c r="N101" i="25"/>
  <c r="N102" i="25"/>
  <c r="N103" i="25"/>
  <c r="N104" i="25"/>
  <c r="N105" i="25"/>
  <c r="N106" i="25"/>
  <c r="N107" i="25"/>
  <c r="N108" i="25"/>
  <c r="N109" i="25"/>
  <c r="N110" i="25"/>
  <c r="N111" i="25"/>
  <c r="N112" i="25"/>
  <c r="N113" i="25"/>
  <c r="N114" i="25"/>
  <c r="N115" i="25"/>
  <c r="N116" i="25"/>
  <c r="N117" i="25"/>
  <c r="N118" i="25"/>
  <c r="N119" i="25"/>
  <c r="N120" i="25"/>
  <c r="N121" i="25"/>
  <c r="N122" i="25"/>
  <c r="N123" i="25"/>
  <c r="N124" i="25"/>
  <c r="N125" i="25"/>
  <c r="N126" i="25"/>
  <c r="N127" i="25"/>
  <c r="N128" i="25"/>
  <c r="N129" i="25"/>
  <c r="N130" i="25"/>
  <c r="N131" i="25"/>
  <c r="N132" i="25"/>
  <c r="N133" i="25"/>
  <c r="N134" i="25"/>
  <c r="N135" i="25"/>
  <c r="N136" i="25"/>
  <c r="N137" i="25"/>
  <c r="N138" i="25"/>
  <c r="N139" i="25"/>
  <c r="N140" i="25"/>
  <c r="N141" i="25"/>
  <c r="N142" i="25"/>
  <c r="N143" i="25"/>
  <c r="N144" i="25"/>
  <c r="N145" i="25"/>
  <c r="N146" i="25"/>
  <c r="N147" i="25"/>
  <c r="N148" i="25"/>
  <c r="N149" i="25"/>
  <c r="N150" i="25"/>
  <c r="N151" i="25"/>
  <c r="N152" i="25"/>
  <c r="N153" i="25"/>
  <c r="N154" i="25"/>
  <c r="N155" i="25"/>
  <c r="N156" i="25"/>
  <c r="N157" i="25"/>
  <c r="N158" i="25"/>
  <c r="N159" i="25"/>
  <c r="N160" i="25"/>
  <c r="N161" i="25"/>
  <c r="N162" i="25"/>
  <c r="N163" i="25"/>
  <c r="N164" i="25"/>
  <c r="N165" i="25"/>
  <c r="N166" i="25"/>
  <c r="N167" i="25"/>
  <c r="N168" i="25"/>
  <c r="N169" i="25"/>
  <c r="N170" i="25"/>
  <c r="N171" i="25"/>
  <c r="N172" i="25"/>
  <c r="N173" i="25"/>
  <c r="N174" i="25"/>
  <c r="N175" i="25"/>
  <c r="N176" i="25"/>
  <c r="N177" i="25"/>
  <c r="N178" i="25"/>
  <c r="N179" i="25"/>
  <c r="N180" i="25"/>
  <c r="N181" i="25"/>
  <c r="N182" i="25"/>
  <c r="N183" i="25"/>
  <c r="N184" i="25"/>
  <c r="N185" i="25"/>
  <c r="N186" i="25"/>
  <c r="N187" i="25"/>
  <c r="N188" i="25"/>
  <c r="N189" i="25"/>
  <c r="N190" i="25"/>
  <c r="N191" i="25"/>
  <c r="N192" i="25"/>
  <c r="N193" i="25"/>
  <c r="N194" i="25"/>
  <c r="N195" i="25"/>
  <c r="N196" i="25"/>
  <c r="N197" i="25"/>
  <c r="N198" i="25"/>
  <c r="N199" i="25"/>
  <c r="N200" i="25"/>
  <c r="N201" i="25"/>
  <c r="N202" i="25"/>
  <c r="N203" i="25"/>
  <c r="N204" i="25"/>
  <c r="N205" i="25"/>
  <c r="N206" i="25"/>
  <c r="N207" i="25"/>
  <c r="N208" i="25"/>
  <c r="N209" i="25"/>
  <c r="N210" i="25"/>
  <c r="N211" i="25"/>
  <c r="N212" i="25"/>
  <c r="N213" i="25"/>
  <c r="N214" i="25"/>
  <c r="N215" i="25"/>
  <c r="N216" i="25"/>
  <c r="N217" i="25"/>
  <c r="N218" i="25"/>
  <c r="N219" i="25"/>
  <c r="N220" i="25"/>
  <c r="N221" i="25"/>
  <c r="N222" i="25"/>
  <c r="N223" i="25"/>
  <c r="N224" i="25"/>
  <c r="N225" i="25"/>
  <c r="N226" i="25"/>
  <c r="N227" i="25"/>
  <c r="N228" i="25"/>
  <c r="N229" i="25"/>
  <c r="N230" i="25"/>
  <c r="N231" i="25"/>
  <c r="N232" i="25"/>
  <c r="N233" i="25"/>
  <c r="N234" i="25"/>
  <c r="N235" i="25"/>
  <c r="N236" i="25"/>
  <c r="N237" i="25"/>
  <c r="N238" i="25"/>
  <c r="N239" i="25"/>
  <c r="N240" i="25"/>
  <c r="N241" i="25"/>
  <c r="N242" i="25"/>
  <c r="N243" i="25"/>
  <c r="N244" i="25"/>
  <c r="N245" i="25"/>
  <c r="N246" i="25"/>
  <c r="N247" i="25"/>
  <c r="N248" i="25"/>
  <c r="N249" i="25"/>
  <c r="N250" i="25"/>
  <c r="N251" i="25"/>
  <c r="N252" i="25"/>
  <c r="N253" i="25"/>
  <c r="N254" i="25"/>
  <c r="N255" i="25"/>
  <c r="N256" i="25"/>
  <c r="N257" i="25"/>
  <c r="N258" i="25"/>
  <c r="N259" i="25"/>
  <c r="N260" i="25"/>
  <c r="N261" i="25"/>
  <c r="N262" i="25"/>
  <c r="N263" i="25"/>
  <c r="N264" i="25"/>
  <c r="N265" i="25"/>
  <c r="N266" i="25"/>
  <c r="N267" i="25"/>
  <c r="N268" i="25"/>
  <c r="N269" i="25"/>
  <c r="N270" i="25"/>
  <c r="N271" i="25"/>
  <c r="N272" i="25"/>
  <c r="N273" i="25"/>
  <c r="N274" i="25"/>
  <c r="N275" i="25"/>
  <c r="N276" i="25"/>
  <c r="N277" i="25"/>
  <c r="N278" i="25"/>
  <c r="N279" i="25"/>
  <c r="N280" i="25"/>
  <c r="N281" i="25"/>
  <c r="N282" i="25"/>
  <c r="N283" i="25"/>
  <c r="N284" i="25"/>
  <c r="N285" i="25"/>
  <c r="N286" i="25"/>
  <c r="N287" i="25"/>
  <c r="N288" i="25"/>
  <c r="N289" i="25"/>
  <c r="N290" i="25"/>
  <c r="N291" i="25"/>
  <c r="N292" i="25"/>
  <c r="N293" i="25"/>
  <c r="N294" i="25"/>
  <c r="N295" i="25"/>
  <c r="N296" i="25"/>
  <c r="N297" i="25"/>
  <c r="N298" i="25"/>
  <c r="N299" i="25"/>
  <c r="N300" i="25"/>
  <c r="N301" i="25"/>
  <c r="N302" i="25"/>
  <c r="N303" i="25"/>
  <c r="N304" i="25"/>
  <c r="N305" i="25"/>
  <c r="N306" i="25"/>
  <c r="N307" i="25"/>
  <c r="N308" i="25"/>
  <c r="N309" i="25"/>
  <c r="N310" i="25"/>
  <c r="N311" i="25"/>
  <c r="N312" i="25"/>
  <c r="N313" i="25"/>
  <c r="N314" i="25"/>
  <c r="N315" i="25"/>
  <c r="N316" i="25"/>
  <c r="N317" i="25"/>
  <c r="N318" i="25"/>
  <c r="N319" i="25"/>
  <c r="N320" i="25"/>
  <c r="N321" i="25"/>
  <c r="N322" i="25"/>
  <c r="N323" i="25"/>
  <c r="N324" i="25"/>
  <c r="N325" i="25"/>
  <c r="N326" i="25"/>
  <c r="N327" i="25"/>
  <c r="N328" i="25"/>
  <c r="N329" i="25"/>
  <c r="N330" i="25"/>
  <c r="N331" i="25"/>
  <c r="N332" i="25"/>
  <c r="N333" i="25"/>
  <c r="N334" i="25"/>
  <c r="N335" i="25"/>
  <c r="N336" i="25"/>
  <c r="N337" i="25"/>
  <c r="N338" i="25"/>
  <c r="N339" i="25"/>
  <c r="N340" i="25"/>
  <c r="N341" i="25"/>
  <c r="N342" i="25"/>
  <c r="N343" i="25"/>
  <c r="N344" i="25"/>
  <c r="N345" i="25"/>
  <c r="N346" i="25"/>
  <c r="N347" i="25"/>
  <c r="N348" i="25"/>
  <c r="N349" i="25"/>
  <c r="N350" i="25"/>
  <c r="N351" i="25"/>
  <c r="N352" i="25"/>
  <c r="N353" i="25"/>
  <c r="N354" i="25"/>
  <c r="N355" i="25"/>
  <c r="N356" i="25"/>
  <c r="N357" i="25"/>
  <c r="N358" i="25"/>
  <c r="N359" i="25"/>
  <c r="N360" i="25"/>
  <c r="N361" i="25"/>
  <c r="N362" i="25"/>
  <c r="N363" i="25"/>
  <c r="N364" i="25"/>
  <c r="N365" i="25"/>
  <c r="N366" i="25"/>
  <c r="N367" i="25"/>
  <c r="N368" i="25"/>
  <c r="N369" i="25"/>
  <c r="N370" i="25"/>
  <c r="N371" i="25"/>
  <c r="N372" i="25"/>
  <c r="N373" i="25"/>
  <c r="N374" i="25"/>
  <c r="N375" i="25"/>
  <c r="N376" i="25"/>
  <c r="N377" i="25"/>
  <c r="N378" i="25"/>
  <c r="N379" i="25"/>
  <c r="N380" i="25"/>
  <c r="N381" i="25"/>
  <c r="N382" i="25"/>
  <c r="N383" i="25"/>
  <c r="N384" i="25"/>
  <c r="N385" i="25"/>
  <c r="N386" i="25"/>
  <c r="N387" i="25"/>
  <c r="N388" i="25"/>
  <c r="N389" i="25"/>
  <c r="N390" i="25"/>
  <c r="N391" i="25"/>
  <c r="N392" i="25"/>
  <c r="N393" i="25"/>
  <c r="N394" i="25"/>
  <c r="N395" i="25"/>
  <c r="N396" i="25"/>
  <c r="N397" i="25"/>
  <c r="N398" i="25"/>
  <c r="N399" i="25"/>
  <c r="N400" i="25"/>
  <c r="N401" i="25"/>
  <c r="N402" i="25"/>
  <c r="N403" i="25"/>
  <c r="N404" i="25"/>
  <c r="N405" i="25"/>
  <c r="N406" i="25"/>
  <c r="N407" i="25"/>
  <c r="N408" i="25"/>
  <c r="N409" i="25"/>
  <c r="N410" i="25"/>
  <c r="N411" i="25"/>
  <c r="N412" i="25"/>
  <c r="N413" i="25"/>
  <c r="N414" i="25"/>
  <c r="N415" i="25"/>
  <c r="N416" i="25"/>
  <c r="N417" i="25"/>
  <c r="N418" i="25"/>
  <c r="N419" i="25"/>
  <c r="N420" i="25"/>
  <c r="N421" i="25"/>
  <c r="N422" i="25"/>
  <c r="N423" i="25"/>
  <c r="N424" i="25"/>
  <c r="N425" i="25"/>
  <c r="N426" i="25"/>
  <c r="N427" i="25"/>
  <c r="N428" i="25"/>
  <c r="N429" i="25"/>
  <c r="N430" i="25"/>
  <c r="N431" i="25"/>
  <c r="N432" i="25"/>
  <c r="N433" i="25"/>
  <c r="N434" i="25"/>
  <c r="N435" i="25"/>
  <c r="N436" i="25"/>
  <c r="N437" i="25"/>
  <c r="N438" i="25"/>
  <c r="N439" i="25"/>
  <c r="N440" i="25"/>
  <c r="N441" i="25"/>
  <c r="N442" i="25"/>
  <c r="N443" i="25"/>
  <c r="N444" i="25"/>
  <c r="N445" i="25"/>
  <c r="N446" i="25"/>
  <c r="N447" i="25"/>
  <c r="N448" i="25"/>
  <c r="N449" i="25"/>
  <c r="N450" i="25"/>
  <c r="N451" i="25"/>
  <c r="N452" i="25"/>
  <c r="N453" i="25"/>
  <c r="N454" i="25"/>
  <c r="N455" i="25"/>
  <c r="N456" i="25"/>
  <c r="N457" i="25"/>
  <c r="N458" i="25"/>
  <c r="N459" i="25"/>
  <c r="N460" i="25"/>
  <c r="N461" i="25"/>
  <c r="N462" i="25"/>
  <c r="N463" i="25"/>
  <c r="N464" i="25"/>
  <c r="N465" i="25"/>
  <c r="N466" i="25"/>
  <c r="N467" i="25"/>
  <c r="N468" i="25"/>
  <c r="N469" i="25"/>
  <c r="N470" i="25"/>
  <c r="N471" i="25"/>
  <c r="N472" i="25"/>
  <c r="N473" i="25"/>
  <c r="N474" i="25"/>
  <c r="N475" i="25"/>
  <c r="N476" i="25"/>
  <c r="N477" i="25"/>
  <c r="N478" i="25"/>
  <c r="N479" i="25"/>
  <c r="N480" i="25"/>
  <c r="N481" i="25"/>
  <c r="N482" i="25"/>
  <c r="N483" i="25"/>
  <c r="N484" i="25"/>
  <c r="N485" i="25"/>
  <c r="N486" i="25"/>
  <c r="N487" i="25"/>
  <c r="N488" i="25"/>
  <c r="N489" i="25"/>
  <c r="N490" i="25"/>
  <c r="N491" i="25"/>
  <c r="N492" i="25"/>
  <c r="N493" i="25"/>
  <c r="N494" i="25"/>
  <c r="N495" i="25"/>
  <c r="N496" i="25"/>
  <c r="N497" i="25"/>
  <c r="N498" i="25"/>
  <c r="N499" i="25"/>
  <c r="N500" i="25"/>
  <c r="N501" i="25"/>
  <c r="N502" i="25"/>
  <c r="N503" i="25"/>
  <c r="N504" i="25"/>
  <c r="N505" i="25"/>
  <c r="N506" i="25"/>
  <c r="N507" i="25"/>
  <c r="N508" i="25"/>
  <c r="N509" i="25"/>
  <c r="N510" i="25"/>
  <c r="N511" i="25"/>
  <c r="N512" i="25"/>
  <c r="N513" i="25"/>
  <c r="N514" i="25"/>
  <c r="N515" i="25"/>
  <c r="N516" i="25"/>
  <c r="N517" i="25"/>
  <c r="N518" i="25"/>
  <c r="N519" i="25"/>
  <c r="N520" i="25"/>
  <c r="N521" i="25"/>
  <c r="N522" i="25"/>
  <c r="N523" i="25"/>
  <c r="N524" i="25"/>
  <c r="N525" i="25"/>
  <c r="N526" i="25"/>
  <c r="N527" i="25"/>
  <c r="N528" i="25"/>
  <c r="N529" i="25"/>
  <c r="N530" i="25"/>
  <c r="N531" i="25"/>
  <c r="N532" i="25"/>
  <c r="N533" i="25"/>
  <c r="N534" i="25"/>
  <c r="N535" i="25"/>
  <c r="N536" i="25"/>
  <c r="N537" i="25"/>
  <c r="N538" i="25"/>
  <c r="N539" i="25"/>
  <c r="N540" i="25"/>
  <c r="N541" i="25"/>
  <c r="N542" i="25"/>
  <c r="N543" i="25"/>
  <c r="N544" i="25"/>
  <c r="N545" i="25"/>
  <c r="N546" i="25"/>
  <c r="N547" i="25"/>
  <c r="N548" i="25"/>
  <c r="N549" i="25"/>
  <c r="N550" i="25"/>
  <c r="N551" i="25"/>
  <c r="N552" i="25"/>
  <c r="N553" i="25"/>
  <c r="N554" i="25"/>
  <c r="N555" i="25"/>
  <c r="N556" i="25"/>
  <c r="N557" i="25"/>
  <c r="N558" i="25"/>
  <c r="N559" i="25"/>
  <c r="N560" i="25"/>
  <c r="N561" i="25"/>
  <c r="N562" i="25"/>
  <c r="N563" i="25"/>
  <c r="N564" i="25"/>
  <c r="N565" i="25"/>
  <c r="N566" i="25"/>
  <c r="N567" i="25"/>
  <c r="N568" i="25"/>
  <c r="N569" i="25"/>
  <c r="N570" i="25"/>
  <c r="N571" i="25"/>
  <c r="N572" i="25"/>
  <c r="N573" i="25"/>
  <c r="N574" i="25"/>
  <c r="N575" i="25"/>
  <c r="N576" i="25"/>
  <c r="N577" i="25"/>
  <c r="N578" i="25"/>
  <c r="N579" i="25"/>
  <c r="N580" i="25"/>
  <c r="N581" i="25"/>
  <c r="N582" i="25"/>
  <c r="N583" i="25"/>
  <c r="N584" i="25"/>
  <c r="N585" i="25"/>
  <c r="N586" i="25"/>
  <c r="N587" i="25"/>
  <c r="N588" i="25"/>
  <c r="N589" i="25"/>
  <c r="N590" i="25"/>
  <c r="N591" i="25"/>
  <c r="N592" i="25"/>
  <c r="N593" i="25"/>
  <c r="N594" i="25"/>
  <c r="N595" i="25"/>
  <c r="N596" i="25"/>
  <c r="N597" i="25"/>
  <c r="N598" i="25"/>
  <c r="N599" i="25"/>
  <c r="N600" i="25"/>
  <c r="N601" i="25"/>
  <c r="N602" i="25"/>
  <c r="N603" i="25"/>
  <c r="N604" i="25"/>
  <c r="N605" i="25"/>
  <c r="N606" i="25"/>
  <c r="N607" i="25"/>
  <c r="N608" i="25"/>
  <c r="N609" i="25"/>
  <c r="N610" i="25"/>
  <c r="N611" i="25"/>
  <c r="N612" i="25"/>
  <c r="N613" i="25"/>
  <c r="N614" i="25"/>
  <c r="N615" i="25"/>
  <c r="N616" i="25"/>
  <c r="N617" i="25"/>
  <c r="N618" i="25"/>
  <c r="N619" i="25"/>
  <c r="N620" i="25"/>
  <c r="N621" i="25"/>
  <c r="N622" i="25"/>
  <c r="N623" i="25"/>
  <c r="N624" i="25"/>
  <c r="N625" i="25"/>
  <c r="N626" i="25"/>
  <c r="N627" i="25"/>
  <c r="N628" i="25"/>
  <c r="N629" i="25"/>
  <c r="N630" i="25"/>
  <c r="N631" i="25"/>
  <c r="N632" i="25"/>
  <c r="N633" i="25"/>
  <c r="N634" i="25"/>
  <c r="N635" i="25"/>
  <c r="N636" i="25"/>
  <c r="N637" i="25"/>
  <c r="N638" i="25"/>
  <c r="N639" i="25"/>
  <c r="N640" i="25"/>
  <c r="N641" i="25"/>
  <c r="N642" i="25"/>
  <c r="N643" i="25"/>
  <c r="N644" i="25"/>
  <c r="N645" i="25"/>
  <c r="N646" i="25"/>
  <c r="N647" i="25"/>
  <c r="N648" i="25"/>
  <c r="N649" i="25"/>
  <c r="N650" i="25"/>
  <c r="N651" i="25"/>
  <c r="N652" i="25"/>
  <c r="N653" i="25"/>
  <c r="N654" i="25"/>
  <c r="N655" i="25"/>
  <c r="N656" i="25"/>
  <c r="N657" i="25"/>
  <c r="N658" i="25"/>
  <c r="N659" i="25"/>
  <c r="N660" i="25"/>
  <c r="N661" i="25"/>
  <c r="N662" i="25"/>
  <c r="N663" i="25"/>
  <c r="N664" i="25"/>
  <c r="N665" i="25"/>
  <c r="N666" i="25"/>
  <c r="N667" i="25"/>
  <c r="N668" i="25"/>
  <c r="N669" i="25"/>
  <c r="N670" i="25"/>
  <c r="N671" i="25"/>
  <c r="N672" i="25"/>
  <c r="N673" i="25"/>
  <c r="N674" i="25"/>
  <c r="N675" i="25"/>
  <c r="N676" i="25"/>
  <c r="N677" i="25"/>
  <c r="N678" i="25"/>
  <c r="N679" i="25"/>
  <c r="N680" i="25"/>
  <c r="N681" i="25"/>
  <c r="N682" i="25"/>
  <c r="N683" i="25"/>
  <c r="N684" i="25"/>
  <c r="N685" i="25"/>
  <c r="N686" i="25"/>
  <c r="N687" i="25"/>
  <c r="N688" i="25"/>
  <c r="N689" i="25"/>
  <c r="N690" i="25"/>
  <c r="N691" i="25"/>
  <c r="N692" i="25"/>
  <c r="N693" i="25"/>
  <c r="N694" i="25"/>
  <c r="N695" i="25"/>
  <c r="N696" i="25"/>
  <c r="N697" i="25"/>
  <c r="N698" i="25"/>
  <c r="N699" i="25"/>
  <c r="N700" i="25"/>
  <c r="N701" i="25"/>
  <c r="N702" i="25"/>
  <c r="N703" i="25"/>
  <c r="N704" i="25"/>
  <c r="N705" i="25"/>
  <c r="N706" i="25"/>
  <c r="N707" i="25"/>
  <c r="N708" i="25"/>
  <c r="N709" i="25"/>
  <c r="N710" i="25"/>
  <c r="N711" i="25"/>
  <c r="N712" i="25"/>
  <c r="N713" i="25"/>
  <c r="N714" i="25"/>
  <c r="N715" i="25"/>
  <c r="N716" i="25"/>
  <c r="N717" i="25"/>
  <c r="N718" i="25"/>
  <c r="N719" i="25"/>
  <c r="N720" i="25"/>
  <c r="N721" i="25"/>
  <c r="N722" i="25"/>
  <c r="N723" i="25"/>
  <c r="N724" i="25"/>
  <c r="N725" i="25"/>
  <c r="N726" i="25"/>
  <c r="N727" i="25"/>
  <c r="N728" i="25"/>
  <c r="N729" i="25"/>
  <c r="N730" i="25"/>
  <c r="N731" i="25"/>
  <c r="N732" i="25"/>
  <c r="N733" i="25"/>
  <c r="N734" i="25"/>
  <c r="N735" i="25"/>
  <c r="N736" i="25"/>
  <c r="N737" i="25"/>
  <c r="N738" i="25"/>
  <c r="N739" i="25"/>
  <c r="N740" i="25"/>
  <c r="N741" i="25"/>
  <c r="N742" i="25"/>
  <c r="N743" i="25"/>
  <c r="N744" i="25"/>
  <c r="N745" i="25"/>
  <c r="N746" i="25"/>
  <c r="N747" i="25"/>
  <c r="N748" i="25"/>
  <c r="N749" i="25"/>
  <c r="N750" i="25"/>
  <c r="N751" i="25"/>
  <c r="N752" i="25"/>
  <c r="N753" i="25"/>
  <c r="N754" i="25"/>
  <c r="N755" i="25"/>
  <c r="N756" i="25"/>
  <c r="N757" i="25"/>
  <c r="N758" i="25"/>
  <c r="N759" i="25"/>
  <c r="N760" i="25"/>
  <c r="N761" i="25"/>
  <c r="N762" i="25"/>
  <c r="N763" i="25"/>
  <c r="N764" i="25"/>
  <c r="N765" i="25"/>
  <c r="N766" i="25"/>
  <c r="N767" i="25"/>
  <c r="N768" i="25"/>
  <c r="N769" i="25"/>
  <c r="N770" i="25"/>
  <c r="N771" i="25"/>
  <c r="N772" i="25"/>
  <c r="N773" i="25"/>
  <c r="N774" i="25"/>
  <c r="N775" i="25"/>
  <c r="N776" i="25"/>
  <c r="N777" i="25"/>
  <c r="N778" i="25"/>
  <c r="N779" i="25"/>
  <c r="N780" i="25"/>
  <c r="N781" i="25"/>
  <c r="N782" i="25"/>
  <c r="N783" i="25"/>
  <c r="N784" i="25"/>
  <c r="N785" i="25"/>
  <c r="N786" i="25"/>
  <c r="N787" i="25"/>
  <c r="N788" i="25"/>
  <c r="N789" i="25"/>
  <c r="N790" i="25"/>
  <c r="N791" i="25"/>
  <c r="N792" i="25"/>
  <c r="N793" i="25"/>
  <c r="N794" i="25"/>
  <c r="N795" i="25"/>
  <c r="N796" i="25"/>
  <c r="N797" i="25"/>
  <c r="N798" i="25"/>
  <c r="N799" i="25"/>
  <c r="N800" i="25"/>
  <c r="N801" i="25"/>
  <c r="N802" i="25"/>
  <c r="N803" i="25"/>
  <c r="N804" i="25"/>
  <c r="N805" i="25"/>
  <c r="N806" i="25"/>
  <c r="N807" i="25"/>
  <c r="N808" i="25"/>
  <c r="N809" i="25"/>
  <c r="N810" i="25"/>
  <c r="N811" i="25"/>
  <c r="N812" i="25"/>
  <c r="N813" i="25"/>
  <c r="N814" i="25"/>
  <c r="N815" i="25"/>
  <c r="N816" i="25"/>
  <c r="N817" i="25"/>
  <c r="N818" i="25"/>
  <c r="N819" i="25"/>
  <c r="N820" i="25"/>
  <c r="N821" i="25"/>
  <c r="N822" i="25"/>
  <c r="N823" i="25"/>
  <c r="N824" i="25"/>
  <c r="N825" i="25"/>
  <c r="N826" i="25"/>
  <c r="N827" i="25"/>
  <c r="N828" i="25"/>
  <c r="N829" i="25"/>
  <c r="N830" i="25"/>
  <c r="N831" i="25"/>
  <c r="N832" i="25"/>
  <c r="N833" i="25"/>
  <c r="N834" i="25"/>
  <c r="N835" i="25"/>
  <c r="N836" i="25"/>
  <c r="N837" i="25"/>
  <c r="N838" i="25"/>
  <c r="N839" i="25"/>
  <c r="N840" i="25"/>
  <c r="N841" i="25"/>
  <c r="N842" i="25"/>
  <c r="N843" i="25"/>
  <c r="N844" i="25"/>
  <c r="N845" i="25"/>
  <c r="N846" i="25"/>
  <c r="N847" i="25"/>
  <c r="N848" i="25"/>
  <c r="N849" i="25"/>
  <c r="N850" i="25"/>
  <c r="N851" i="25"/>
  <c r="N852" i="25"/>
  <c r="N853" i="25"/>
  <c r="N854" i="25"/>
  <c r="N855" i="25"/>
  <c r="N856" i="25"/>
  <c r="N857" i="25"/>
  <c r="N858" i="25"/>
  <c r="N859" i="25"/>
  <c r="N860" i="25"/>
  <c r="N861" i="25"/>
  <c r="N862" i="25"/>
  <c r="N863" i="25"/>
  <c r="N864" i="25"/>
  <c r="N865" i="25"/>
  <c r="N866" i="25"/>
  <c r="N867" i="25"/>
  <c r="N868" i="25"/>
  <c r="N869" i="25"/>
  <c r="N870" i="25"/>
  <c r="N871" i="25"/>
  <c r="N872" i="25"/>
  <c r="N873" i="25"/>
  <c r="N874" i="25"/>
  <c r="N875" i="25"/>
  <c r="N876" i="25"/>
  <c r="N877" i="25"/>
  <c r="N878" i="25"/>
  <c r="N879" i="25"/>
  <c r="N880" i="25"/>
  <c r="N881" i="25"/>
  <c r="M3" i="25"/>
  <c r="M4" i="25"/>
  <c r="M5" i="25"/>
  <c r="M6" i="25"/>
  <c r="M7" i="25"/>
  <c r="M8" i="25"/>
  <c r="M9" i="25"/>
  <c r="M10" i="25"/>
  <c r="M11" i="25"/>
  <c r="M12" i="25"/>
  <c r="M13" i="25"/>
  <c r="M14" i="25"/>
  <c r="M15" i="25"/>
  <c r="M16" i="25"/>
  <c r="M17" i="25"/>
  <c r="M18" i="25"/>
  <c r="M19" i="25"/>
  <c r="M20"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M57" i="25"/>
  <c r="M58" i="25"/>
  <c r="M59" i="25"/>
  <c r="M60" i="25"/>
  <c r="M61" i="25"/>
  <c r="M62" i="25"/>
  <c r="M63" i="25"/>
  <c r="M64" i="25"/>
  <c r="M65" i="25"/>
  <c r="M66" i="25"/>
  <c r="M67" i="25"/>
  <c r="M68" i="25"/>
  <c r="M69" i="25"/>
  <c r="M70" i="25"/>
  <c r="M71" i="25"/>
  <c r="M72" i="25"/>
  <c r="M73" i="25"/>
  <c r="M74" i="25"/>
  <c r="M75" i="25"/>
  <c r="M76" i="25"/>
  <c r="M77" i="25"/>
  <c r="M78" i="25"/>
  <c r="M79" i="25"/>
  <c r="M80" i="25"/>
  <c r="M81" i="25"/>
  <c r="M82" i="25"/>
  <c r="M83" i="25"/>
  <c r="M84" i="25"/>
  <c r="M85" i="25"/>
  <c r="M86" i="25"/>
  <c r="M87" i="25"/>
  <c r="M88" i="25"/>
  <c r="M89" i="25"/>
  <c r="M90" i="25"/>
  <c r="M91" i="25"/>
  <c r="M92" i="25"/>
  <c r="M93" i="25"/>
  <c r="M94" i="25"/>
  <c r="M95" i="25"/>
  <c r="M96" i="25"/>
  <c r="M97" i="25"/>
  <c r="M98" i="25"/>
  <c r="M99" i="25"/>
  <c r="M100" i="25"/>
  <c r="M101" i="25"/>
  <c r="M102" i="25"/>
  <c r="M103" i="25"/>
  <c r="M104" i="25"/>
  <c r="M105" i="25"/>
  <c r="M106" i="25"/>
  <c r="M107" i="25"/>
  <c r="M108" i="25"/>
  <c r="M109" i="25"/>
  <c r="M110" i="25"/>
  <c r="M111" i="25"/>
  <c r="M112" i="25"/>
  <c r="M113" i="25"/>
  <c r="M114" i="25"/>
  <c r="M115" i="25"/>
  <c r="M116" i="25"/>
  <c r="M117" i="25"/>
  <c r="M118" i="25"/>
  <c r="M119" i="25"/>
  <c r="M120" i="25"/>
  <c r="M121" i="25"/>
  <c r="M122" i="25"/>
  <c r="M123" i="25"/>
  <c r="M124" i="25"/>
  <c r="M125" i="25"/>
  <c r="M126" i="25"/>
  <c r="M127" i="25"/>
  <c r="M128" i="25"/>
  <c r="M129" i="25"/>
  <c r="M130" i="25"/>
  <c r="M131" i="25"/>
  <c r="M132" i="25"/>
  <c r="M133" i="25"/>
  <c r="M134" i="25"/>
  <c r="M135" i="25"/>
  <c r="M136" i="25"/>
  <c r="M137" i="25"/>
  <c r="M138" i="25"/>
  <c r="M139" i="25"/>
  <c r="M140" i="25"/>
  <c r="M141" i="25"/>
  <c r="M142" i="25"/>
  <c r="M143" i="25"/>
  <c r="M144" i="25"/>
  <c r="M145" i="25"/>
  <c r="M146" i="25"/>
  <c r="M147" i="25"/>
  <c r="M148" i="25"/>
  <c r="M149" i="25"/>
  <c r="M150" i="25"/>
  <c r="M151" i="25"/>
  <c r="M152" i="25"/>
  <c r="M153" i="25"/>
  <c r="M154" i="25"/>
  <c r="M155" i="25"/>
  <c r="M156" i="25"/>
  <c r="M157" i="25"/>
  <c r="M158" i="25"/>
  <c r="M159" i="25"/>
  <c r="M160" i="25"/>
  <c r="M161" i="25"/>
  <c r="M162" i="25"/>
  <c r="M163" i="25"/>
  <c r="M164" i="25"/>
  <c r="M165" i="25"/>
  <c r="M166" i="25"/>
  <c r="M167" i="25"/>
  <c r="M168" i="25"/>
  <c r="M169" i="25"/>
  <c r="M170" i="25"/>
  <c r="M171" i="25"/>
  <c r="M172" i="25"/>
  <c r="M173" i="25"/>
  <c r="M174" i="25"/>
  <c r="M175" i="25"/>
  <c r="M176" i="25"/>
  <c r="M177" i="25"/>
  <c r="M178" i="25"/>
  <c r="M179" i="25"/>
  <c r="M180" i="25"/>
  <c r="M181" i="25"/>
  <c r="M182" i="25"/>
  <c r="M183" i="25"/>
  <c r="M184" i="25"/>
  <c r="M185" i="25"/>
  <c r="M186" i="25"/>
  <c r="M187" i="25"/>
  <c r="M188" i="25"/>
  <c r="M189" i="25"/>
  <c r="M190" i="25"/>
  <c r="M191" i="25"/>
  <c r="M192" i="25"/>
  <c r="M193" i="25"/>
  <c r="M194" i="25"/>
  <c r="M195" i="25"/>
  <c r="M196" i="25"/>
  <c r="M197" i="25"/>
  <c r="M198" i="25"/>
  <c r="M199" i="25"/>
  <c r="M200" i="25"/>
  <c r="M201" i="25"/>
  <c r="M202" i="25"/>
  <c r="M203" i="25"/>
  <c r="M204" i="25"/>
  <c r="M205" i="25"/>
  <c r="M206" i="25"/>
  <c r="M207" i="25"/>
  <c r="M208" i="25"/>
  <c r="M209" i="25"/>
  <c r="M210" i="25"/>
  <c r="M211" i="25"/>
  <c r="M212" i="25"/>
  <c r="M213" i="25"/>
  <c r="M214" i="25"/>
  <c r="M215" i="25"/>
  <c r="M216" i="25"/>
  <c r="M217" i="25"/>
  <c r="M218" i="25"/>
  <c r="M219" i="25"/>
  <c r="M220" i="25"/>
  <c r="M221" i="25"/>
  <c r="M222" i="25"/>
  <c r="M223" i="25"/>
  <c r="M224" i="25"/>
  <c r="M225" i="25"/>
  <c r="M226" i="25"/>
  <c r="M227" i="25"/>
  <c r="M228" i="25"/>
  <c r="M229" i="25"/>
  <c r="M230" i="25"/>
  <c r="M231" i="25"/>
  <c r="M232" i="25"/>
  <c r="M233" i="25"/>
  <c r="M234" i="25"/>
  <c r="M235" i="25"/>
  <c r="M236" i="25"/>
  <c r="M237" i="25"/>
  <c r="M238" i="25"/>
  <c r="M239" i="25"/>
  <c r="M240" i="25"/>
  <c r="M241" i="25"/>
  <c r="M242" i="25"/>
  <c r="M243" i="25"/>
  <c r="M244" i="25"/>
  <c r="M245" i="25"/>
  <c r="M246" i="25"/>
  <c r="M247" i="25"/>
  <c r="M248" i="25"/>
  <c r="M249" i="25"/>
  <c r="M250" i="25"/>
  <c r="M251" i="25"/>
  <c r="M252" i="25"/>
  <c r="M253" i="25"/>
  <c r="M254" i="25"/>
  <c r="M255" i="25"/>
  <c r="M256" i="25"/>
  <c r="M257" i="25"/>
  <c r="M258" i="25"/>
  <c r="M259" i="25"/>
  <c r="M260" i="25"/>
  <c r="M261" i="25"/>
  <c r="M262" i="25"/>
  <c r="M263" i="25"/>
  <c r="M264" i="25"/>
  <c r="M265" i="25"/>
  <c r="M266" i="25"/>
  <c r="M267" i="25"/>
  <c r="M268" i="25"/>
  <c r="M269" i="25"/>
  <c r="M270" i="25"/>
  <c r="M271" i="25"/>
  <c r="M272" i="25"/>
  <c r="M273" i="25"/>
  <c r="M274" i="25"/>
  <c r="M275" i="25"/>
  <c r="M276" i="25"/>
  <c r="M277" i="25"/>
  <c r="M278" i="25"/>
  <c r="M279" i="25"/>
  <c r="M280" i="25"/>
  <c r="M281" i="25"/>
  <c r="M282" i="25"/>
  <c r="M283" i="25"/>
  <c r="M284" i="25"/>
  <c r="M285" i="25"/>
  <c r="M286" i="25"/>
  <c r="M287" i="25"/>
  <c r="M288" i="25"/>
  <c r="M289" i="25"/>
  <c r="M290" i="25"/>
  <c r="M291" i="25"/>
  <c r="M292" i="25"/>
  <c r="M293" i="25"/>
  <c r="M294" i="25"/>
  <c r="M295" i="25"/>
  <c r="M296" i="25"/>
  <c r="M297" i="25"/>
  <c r="M298" i="25"/>
  <c r="M299" i="25"/>
  <c r="M300" i="25"/>
  <c r="M301" i="25"/>
  <c r="M302" i="25"/>
  <c r="M303" i="25"/>
  <c r="M304" i="25"/>
  <c r="M305" i="25"/>
  <c r="M306" i="25"/>
  <c r="M307" i="25"/>
  <c r="M308" i="25"/>
  <c r="M309" i="25"/>
  <c r="M310" i="25"/>
  <c r="M311" i="25"/>
  <c r="M312" i="25"/>
  <c r="M313" i="25"/>
  <c r="M314" i="25"/>
  <c r="M315" i="25"/>
  <c r="M316" i="25"/>
  <c r="M317" i="25"/>
  <c r="M318" i="25"/>
  <c r="M319" i="25"/>
  <c r="M320" i="25"/>
  <c r="M321" i="25"/>
  <c r="M322" i="25"/>
  <c r="M323" i="25"/>
  <c r="M324" i="25"/>
  <c r="M325" i="25"/>
  <c r="M326" i="25"/>
  <c r="M327" i="25"/>
  <c r="M328" i="25"/>
  <c r="M329" i="25"/>
  <c r="M330" i="25"/>
  <c r="M331" i="25"/>
  <c r="M332" i="25"/>
  <c r="M333" i="25"/>
  <c r="M334" i="25"/>
  <c r="M335" i="25"/>
  <c r="M336" i="25"/>
  <c r="M337" i="25"/>
  <c r="M338" i="25"/>
  <c r="M339" i="25"/>
  <c r="M340" i="25"/>
  <c r="M341" i="25"/>
  <c r="M342" i="25"/>
  <c r="M343" i="25"/>
  <c r="M344" i="25"/>
  <c r="M345" i="25"/>
  <c r="M346" i="25"/>
  <c r="M347" i="25"/>
  <c r="M348" i="25"/>
  <c r="M349" i="25"/>
  <c r="M350" i="25"/>
  <c r="M351" i="25"/>
  <c r="M352" i="25"/>
  <c r="M353" i="25"/>
  <c r="M354" i="25"/>
  <c r="M355" i="25"/>
  <c r="M356" i="25"/>
  <c r="M357" i="25"/>
  <c r="M358" i="25"/>
  <c r="M359" i="25"/>
  <c r="M360" i="25"/>
  <c r="M361" i="25"/>
  <c r="M362" i="25"/>
  <c r="M363" i="25"/>
  <c r="M364" i="25"/>
  <c r="M365" i="25"/>
  <c r="M366" i="25"/>
  <c r="M367" i="25"/>
  <c r="M368" i="25"/>
  <c r="M369" i="25"/>
  <c r="M370" i="25"/>
  <c r="M371" i="25"/>
  <c r="M372" i="25"/>
  <c r="M373" i="25"/>
  <c r="M374" i="25"/>
  <c r="M375" i="25"/>
  <c r="M376" i="25"/>
  <c r="M377" i="25"/>
  <c r="M378" i="25"/>
  <c r="M379" i="25"/>
  <c r="M380" i="25"/>
  <c r="M381" i="25"/>
  <c r="M382" i="25"/>
  <c r="M383" i="25"/>
  <c r="M384" i="25"/>
  <c r="M385" i="25"/>
  <c r="M386" i="25"/>
  <c r="M387" i="25"/>
  <c r="M388" i="25"/>
  <c r="M389" i="25"/>
  <c r="M390" i="25"/>
  <c r="M391" i="25"/>
  <c r="M392" i="25"/>
  <c r="M393" i="25"/>
  <c r="M394" i="25"/>
  <c r="M395" i="25"/>
  <c r="M396" i="25"/>
  <c r="M397" i="25"/>
  <c r="M398" i="25"/>
  <c r="M399" i="25"/>
  <c r="M400" i="25"/>
  <c r="M401" i="25"/>
  <c r="M402" i="25"/>
  <c r="M403" i="25"/>
  <c r="M404" i="25"/>
  <c r="M405" i="25"/>
  <c r="M406" i="25"/>
  <c r="M407" i="25"/>
  <c r="M408" i="25"/>
  <c r="M409" i="25"/>
  <c r="M410" i="25"/>
  <c r="M411" i="25"/>
  <c r="M412" i="25"/>
  <c r="M413" i="25"/>
  <c r="M414" i="25"/>
  <c r="M415" i="25"/>
  <c r="M416" i="25"/>
  <c r="M417" i="25"/>
  <c r="M418" i="25"/>
  <c r="M419" i="25"/>
  <c r="M420" i="25"/>
  <c r="M421" i="25"/>
  <c r="M422" i="25"/>
  <c r="M423" i="25"/>
  <c r="M424" i="25"/>
  <c r="M425" i="25"/>
  <c r="M426" i="25"/>
  <c r="M427" i="25"/>
  <c r="M428" i="25"/>
  <c r="M429" i="25"/>
  <c r="M430" i="25"/>
  <c r="M431" i="25"/>
  <c r="M432" i="25"/>
  <c r="M433" i="25"/>
  <c r="M434" i="25"/>
  <c r="M435" i="25"/>
  <c r="M436" i="25"/>
  <c r="M437" i="25"/>
  <c r="M438" i="25"/>
  <c r="M439" i="25"/>
  <c r="M440" i="25"/>
  <c r="M441" i="25"/>
  <c r="M442" i="25"/>
  <c r="M443" i="25"/>
  <c r="M444" i="25"/>
  <c r="M445" i="25"/>
  <c r="M446" i="25"/>
  <c r="M447" i="25"/>
  <c r="M448" i="25"/>
  <c r="M449" i="25"/>
  <c r="M450" i="25"/>
  <c r="M451" i="25"/>
  <c r="M452" i="25"/>
  <c r="M453" i="25"/>
  <c r="M454" i="25"/>
  <c r="M455" i="25"/>
  <c r="M456" i="25"/>
  <c r="M457" i="25"/>
  <c r="M458" i="25"/>
  <c r="M459" i="25"/>
  <c r="M460" i="25"/>
  <c r="M461" i="25"/>
  <c r="M462" i="25"/>
  <c r="M463" i="25"/>
  <c r="M464" i="25"/>
  <c r="M465" i="25"/>
  <c r="M466" i="25"/>
  <c r="M467" i="25"/>
  <c r="M468" i="25"/>
  <c r="M469" i="25"/>
  <c r="M470" i="25"/>
  <c r="M471" i="25"/>
  <c r="M472" i="25"/>
  <c r="M473" i="25"/>
  <c r="M474" i="25"/>
  <c r="M475" i="25"/>
  <c r="M476" i="25"/>
  <c r="M477" i="25"/>
  <c r="M478" i="25"/>
  <c r="M479" i="25"/>
  <c r="M480" i="25"/>
  <c r="M481" i="25"/>
  <c r="M482" i="25"/>
  <c r="M483" i="25"/>
  <c r="M484" i="25"/>
  <c r="M485" i="25"/>
  <c r="M486" i="25"/>
  <c r="M487" i="25"/>
  <c r="M488" i="25"/>
  <c r="M489" i="25"/>
  <c r="M490" i="25"/>
  <c r="M491" i="25"/>
  <c r="M492" i="25"/>
  <c r="M493" i="25"/>
  <c r="M494" i="25"/>
  <c r="M495" i="25"/>
  <c r="M496" i="25"/>
  <c r="M497" i="25"/>
  <c r="M498" i="25"/>
  <c r="M499" i="25"/>
  <c r="M500" i="25"/>
  <c r="M501" i="25"/>
  <c r="M502" i="25"/>
  <c r="M503" i="25"/>
  <c r="M504" i="25"/>
  <c r="M505" i="25"/>
  <c r="M506" i="25"/>
  <c r="M507" i="25"/>
  <c r="M508" i="25"/>
  <c r="M509" i="25"/>
  <c r="M510" i="25"/>
  <c r="M511" i="25"/>
  <c r="M512" i="25"/>
  <c r="M513" i="25"/>
  <c r="M514" i="25"/>
  <c r="M515" i="25"/>
  <c r="M516" i="25"/>
  <c r="M517" i="25"/>
  <c r="M518" i="25"/>
  <c r="M519" i="25"/>
  <c r="M520" i="25"/>
  <c r="M521" i="25"/>
  <c r="M522" i="25"/>
  <c r="M523" i="25"/>
  <c r="M524" i="25"/>
  <c r="M525" i="25"/>
  <c r="M526" i="25"/>
  <c r="M527" i="25"/>
  <c r="M528" i="25"/>
  <c r="M529" i="25"/>
  <c r="M530" i="25"/>
  <c r="M531" i="25"/>
  <c r="M532" i="25"/>
  <c r="M533" i="25"/>
  <c r="M534" i="25"/>
  <c r="M535" i="25"/>
  <c r="M536" i="25"/>
  <c r="M537" i="25"/>
  <c r="M538" i="25"/>
  <c r="M539" i="25"/>
  <c r="M540" i="25"/>
  <c r="M541" i="25"/>
  <c r="M542" i="25"/>
  <c r="M543" i="25"/>
  <c r="M544" i="25"/>
  <c r="M545" i="25"/>
  <c r="M546" i="25"/>
  <c r="M547" i="25"/>
  <c r="M548" i="25"/>
  <c r="M549" i="25"/>
  <c r="M550" i="25"/>
  <c r="M551" i="25"/>
  <c r="M552" i="25"/>
  <c r="M553" i="25"/>
  <c r="M554" i="25"/>
  <c r="M555" i="25"/>
  <c r="M556" i="25"/>
  <c r="M557" i="25"/>
  <c r="M558" i="25"/>
  <c r="M559" i="25"/>
  <c r="M560" i="25"/>
  <c r="M561" i="25"/>
  <c r="M562" i="25"/>
  <c r="M563" i="25"/>
  <c r="M564" i="25"/>
  <c r="M565" i="25"/>
  <c r="M566" i="25"/>
  <c r="M567" i="25"/>
  <c r="M568" i="25"/>
  <c r="M569" i="25"/>
  <c r="M570" i="25"/>
  <c r="M571" i="25"/>
  <c r="M572" i="25"/>
  <c r="M573" i="25"/>
  <c r="M574" i="25"/>
  <c r="M575" i="25"/>
  <c r="M576" i="25"/>
  <c r="M577" i="25"/>
  <c r="M578" i="25"/>
  <c r="M579" i="25"/>
  <c r="M580" i="25"/>
  <c r="M581" i="25"/>
  <c r="M582" i="25"/>
  <c r="M583" i="25"/>
  <c r="M584" i="25"/>
  <c r="M585" i="25"/>
  <c r="M586" i="25"/>
  <c r="M587" i="25"/>
  <c r="M588" i="25"/>
  <c r="M589" i="25"/>
  <c r="M590" i="25"/>
  <c r="M591" i="25"/>
  <c r="M592" i="25"/>
  <c r="M593" i="25"/>
  <c r="M594" i="25"/>
  <c r="M595" i="25"/>
  <c r="M596" i="25"/>
  <c r="M597" i="25"/>
  <c r="M598" i="25"/>
  <c r="M599" i="25"/>
  <c r="M600" i="25"/>
  <c r="M601" i="25"/>
  <c r="M602" i="25"/>
  <c r="M603" i="25"/>
  <c r="M604" i="25"/>
  <c r="M605" i="25"/>
  <c r="M606" i="25"/>
  <c r="M607" i="25"/>
  <c r="M608" i="25"/>
  <c r="M609" i="25"/>
  <c r="M610" i="25"/>
  <c r="M611" i="25"/>
  <c r="M612" i="25"/>
  <c r="M613" i="25"/>
  <c r="M614" i="25"/>
  <c r="M615" i="25"/>
  <c r="M616" i="25"/>
  <c r="M617" i="25"/>
  <c r="M618" i="25"/>
  <c r="M619" i="25"/>
  <c r="M620" i="25"/>
  <c r="M621" i="25"/>
  <c r="M622" i="25"/>
  <c r="M623" i="25"/>
  <c r="M624" i="25"/>
  <c r="M625" i="25"/>
  <c r="M626" i="25"/>
  <c r="M627" i="25"/>
  <c r="M628" i="25"/>
  <c r="M629" i="25"/>
  <c r="M630" i="25"/>
  <c r="M631" i="25"/>
  <c r="M632" i="25"/>
  <c r="M633" i="25"/>
  <c r="M634" i="25"/>
  <c r="M635" i="25"/>
  <c r="M636" i="25"/>
  <c r="M637" i="25"/>
  <c r="M638" i="25"/>
  <c r="M639" i="25"/>
  <c r="M640" i="25"/>
  <c r="M641" i="25"/>
  <c r="M642" i="25"/>
  <c r="M643" i="25"/>
  <c r="M644" i="25"/>
  <c r="M645" i="25"/>
  <c r="M646" i="25"/>
  <c r="M647" i="25"/>
  <c r="M648" i="25"/>
  <c r="M649" i="25"/>
  <c r="M650" i="25"/>
  <c r="M651" i="25"/>
  <c r="M652" i="25"/>
  <c r="M653" i="25"/>
  <c r="M654" i="25"/>
  <c r="M655" i="25"/>
  <c r="M656" i="25"/>
  <c r="M657" i="25"/>
  <c r="M658" i="25"/>
  <c r="M659" i="25"/>
  <c r="M660" i="25"/>
  <c r="M661" i="25"/>
  <c r="M662" i="25"/>
  <c r="M663" i="25"/>
  <c r="M664" i="25"/>
  <c r="M665" i="25"/>
  <c r="M666" i="25"/>
  <c r="M667" i="25"/>
  <c r="M668" i="25"/>
  <c r="M669" i="25"/>
  <c r="M670" i="25"/>
  <c r="M671" i="25"/>
  <c r="M672" i="25"/>
  <c r="M673" i="25"/>
  <c r="M674" i="25"/>
  <c r="M675" i="25"/>
  <c r="M676" i="25"/>
  <c r="M677" i="25"/>
  <c r="M678" i="25"/>
  <c r="M679" i="25"/>
  <c r="M680" i="25"/>
  <c r="M681" i="25"/>
  <c r="M682" i="25"/>
  <c r="M683" i="25"/>
  <c r="M684" i="25"/>
  <c r="M685" i="25"/>
  <c r="M686" i="25"/>
  <c r="M687" i="25"/>
  <c r="M688" i="25"/>
  <c r="M689" i="25"/>
  <c r="M690" i="25"/>
  <c r="M691" i="25"/>
  <c r="M692" i="25"/>
  <c r="M693" i="25"/>
  <c r="M694" i="25"/>
  <c r="M695" i="25"/>
  <c r="M696" i="25"/>
  <c r="M697" i="25"/>
  <c r="M698" i="25"/>
  <c r="M699" i="25"/>
  <c r="M700" i="25"/>
  <c r="M701" i="25"/>
  <c r="M702" i="25"/>
  <c r="M703" i="25"/>
  <c r="M704" i="25"/>
  <c r="M705" i="25"/>
  <c r="M706" i="25"/>
  <c r="M707" i="25"/>
  <c r="M708" i="25"/>
  <c r="M709" i="25"/>
  <c r="M710" i="25"/>
  <c r="M711" i="25"/>
  <c r="M712" i="25"/>
  <c r="M713" i="25"/>
  <c r="M714" i="25"/>
  <c r="M715" i="25"/>
  <c r="M716" i="25"/>
  <c r="M717" i="25"/>
  <c r="M718" i="25"/>
  <c r="M719" i="25"/>
  <c r="M720" i="25"/>
  <c r="M721" i="25"/>
  <c r="M722" i="25"/>
  <c r="M723" i="25"/>
  <c r="M724" i="25"/>
  <c r="M725" i="25"/>
  <c r="M726" i="25"/>
  <c r="M727" i="25"/>
  <c r="M728" i="25"/>
  <c r="M729" i="25"/>
  <c r="M730" i="25"/>
  <c r="M731" i="25"/>
  <c r="M732" i="25"/>
  <c r="M733" i="25"/>
  <c r="M734" i="25"/>
  <c r="M735" i="25"/>
  <c r="M736" i="25"/>
  <c r="M737" i="25"/>
  <c r="M738" i="25"/>
  <c r="M739" i="25"/>
  <c r="M740" i="25"/>
  <c r="M741" i="25"/>
  <c r="M742" i="25"/>
  <c r="M743" i="25"/>
  <c r="M744" i="25"/>
  <c r="M745" i="25"/>
  <c r="M746" i="25"/>
  <c r="M747" i="25"/>
  <c r="M748" i="25"/>
  <c r="M749" i="25"/>
  <c r="M750" i="25"/>
  <c r="M751" i="25"/>
  <c r="M752" i="25"/>
  <c r="M753" i="25"/>
  <c r="M754" i="25"/>
  <c r="M755" i="25"/>
  <c r="M756" i="25"/>
  <c r="M757" i="25"/>
  <c r="M758" i="25"/>
  <c r="M759" i="25"/>
  <c r="M760" i="25"/>
  <c r="M761" i="25"/>
  <c r="M762" i="25"/>
  <c r="M763" i="25"/>
  <c r="M764" i="25"/>
  <c r="M765" i="25"/>
  <c r="M766" i="25"/>
  <c r="M767" i="25"/>
  <c r="M768" i="25"/>
  <c r="M769" i="25"/>
  <c r="M770" i="25"/>
  <c r="M771" i="25"/>
  <c r="M772" i="25"/>
  <c r="M773" i="25"/>
  <c r="M774" i="25"/>
  <c r="M775" i="25"/>
  <c r="M776" i="25"/>
  <c r="M777" i="25"/>
  <c r="M778" i="25"/>
  <c r="M779" i="25"/>
  <c r="M780" i="25"/>
  <c r="M781" i="25"/>
  <c r="M782" i="25"/>
  <c r="M783" i="25"/>
  <c r="M784" i="25"/>
  <c r="M785" i="25"/>
  <c r="M786" i="25"/>
  <c r="M787" i="25"/>
  <c r="M788" i="25"/>
  <c r="M789" i="25"/>
  <c r="M790" i="25"/>
  <c r="M791" i="25"/>
  <c r="M792" i="25"/>
  <c r="M793" i="25"/>
  <c r="M794" i="25"/>
  <c r="M795" i="25"/>
  <c r="M796" i="25"/>
  <c r="M797" i="25"/>
  <c r="M798" i="25"/>
  <c r="M799" i="25"/>
  <c r="M800" i="25"/>
  <c r="M801" i="25"/>
  <c r="M802" i="25"/>
  <c r="M803" i="25"/>
  <c r="M804" i="25"/>
  <c r="M805" i="25"/>
  <c r="M806" i="25"/>
  <c r="M807" i="25"/>
  <c r="M808" i="25"/>
  <c r="M809" i="25"/>
  <c r="M810" i="25"/>
  <c r="M811" i="25"/>
  <c r="M812" i="25"/>
  <c r="M813" i="25"/>
  <c r="M814" i="25"/>
  <c r="M815" i="25"/>
  <c r="M816" i="25"/>
  <c r="M817" i="25"/>
  <c r="M818" i="25"/>
  <c r="M819" i="25"/>
  <c r="M820" i="25"/>
  <c r="M821" i="25"/>
  <c r="M822" i="25"/>
  <c r="M823" i="25"/>
  <c r="M824" i="25"/>
  <c r="M825" i="25"/>
  <c r="M826" i="25"/>
  <c r="M827" i="25"/>
  <c r="M828" i="25"/>
  <c r="M829" i="25"/>
  <c r="M830" i="25"/>
  <c r="M831" i="25"/>
  <c r="M832" i="25"/>
  <c r="M833" i="25"/>
  <c r="M834" i="25"/>
  <c r="M835" i="25"/>
  <c r="M836" i="25"/>
  <c r="M837" i="25"/>
  <c r="M838" i="25"/>
  <c r="M839" i="25"/>
  <c r="M840" i="25"/>
  <c r="M841" i="25"/>
  <c r="M842" i="25"/>
  <c r="M843" i="25"/>
  <c r="M844" i="25"/>
  <c r="M845" i="25"/>
  <c r="M846" i="25"/>
  <c r="M847" i="25"/>
  <c r="M848" i="25"/>
  <c r="M849" i="25"/>
  <c r="M850" i="25"/>
  <c r="M851" i="25"/>
  <c r="M852" i="25"/>
  <c r="M853" i="25"/>
  <c r="M854" i="25"/>
  <c r="M855" i="25"/>
  <c r="M856" i="25"/>
  <c r="M857" i="25"/>
  <c r="M858" i="25"/>
  <c r="M859" i="25"/>
  <c r="M860" i="25"/>
  <c r="M861" i="25"/>
  <c r="M862" i="25"/>
  <c r="M863" i="25"/>
  <c r="M864" i="25"/>
  <c r="M865" i="25"/>
  <c r="M866" i="25"/>
  <c r="M867" i="25"/>
  <c r="M868" i="25"/>
  <c r="M869" i="25"/>
  <c r="M870" i="25"/>
  <c r="M871" i="25"/>
  <c r="M872" i="25"/>
  <c r="M873" i="25"/>
  <c r="M874" i="25"/>
  <c r="M875" i="25"/>
  <c r="M876" i="25"/>
  <c r="M877" i="25"/>
  <c r="M878" i="25"/>
  <c r="M879" i="25"/>
  <c r="M880" i="25"/>
  <c r="M881" i="25"/>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09"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L701" i="25"/>
  <c r="L702" i="25"/>
  <c r="L703" i="25"/>
  <c r="L704" i="25"/>
  <c r="L705" i="25"/>
  <c r="L706" i="25"/>
  <c r="L707" i="25"/>
  <c r="L708" i="25"/>
  <c r="L709" i="25"/>
  <c r="L710" i="25"/>
  <c r="L711" i="25"/>
  <c r="L712" i="25"/>
  <c r="L713" i="25"/>
  <c r="L714" i="25"/>
  <c r="L715" i="25"/>
  <c r="L716" i="25"/>
  <c r="L717" i="25"/>
  <c r="L718" i="25"/>
  <c r="L719" i="25"/>
  <c r="L720" i="25"/>
  <c r="L721" i="25"/>
  <c r="L722" i="25"/>
  <c r="L723" i="25"/>
  <c r="L724" i="25"/>
  <c r="L725" i="25"/>
  <c r="L726" i="25"/>
  <c r="L727" i="25"/>
  <c r="L728" i="25"/>
  <c r="L729" i="25"/>
  <c r="L730" i="25"/>
  <c r="L731" i="25"/>
  <c r="L732" i="25"/>
  <c r="L733" i="25"/>
  <c r="L734" i="25"/>
  <c r="L735" i="25"/>
  <c r="L736" i="25"/>
  <c r="L737" i="25"/>
  <c r="L738" i="25"/>
  <c r="L739" i="25"/>
  <c r="L740" i="25"/>
  <c r="L741" i="25"/>
  <c r="L742" i="25"/>
  <c r="L743" i="25"/>
  <c r="L744" i="25"/>
  <c r="L745" i="25"/>
  <c r="L746" i="25"/>
  <c r="L747" i="25"/>
  <c r="L748" i="25"/>
  <c r="L749" i="25"/>
  <c r="L750" i="25"/>
  <c r="L751" i="25"/>
  <c r="L752" i="25"/>
  <c r="L753" i="25"/>
  <c r="L754" i="25"/>
  <c r="L755" i="25"/>
  <c r="L756" i="25"/>
  <c r="L757" i="25"/>
  <c r="L758" i="25"/>
  <c r="L759" i="25"/>
  <c r="L760" i="25"/>
  <c r="L761" i="25"/>
  <c r="L762" i="25"/>
  <c r="L763" i="25"/>
  <c r="L764" i="25"/>
  <c r="L765" i="25"/>
  <c r="L766" i="25"/>
  <c r="L767" i="25"/>
  <c r="L768" i="25"/>
  <c r="L769" i="25"/>
  <c r="L770" i="25"/>
  <c r="L771" i="25"/>
  <c r="L772" i="25"/>
  <c r="L773" i="25"/>
  <c r="L774" i="25"/>
  <c r="L775" i="25"/>
  <c r="L776" i="25"/>
  <c r="L777" i="25"/>
  <c r="L778" i="25"/>
  <c r="L779" i="25"/>
  <c r="L780" i="25"/>
  <c r="L781" i="25"/>
  <c r="L782" i="25"/>
  <c r="L783" i="25"/>
  <c r="L784" i="25"/>
  <c r="L785" i="25"/>
  <c r="L786" i="25"/>
  <c r="L787" i="25"/>
  <c r="L788" i="25"/>
  <c r="L789" i="25"/>
  <c r="L790" i="25"/>
  <c r="L791" i="25"/>
  <c r="L792" i="25"/>
  <c r="L793" i="25"/>
  <c r="L794" i="25"/>
  <c r="L795" i="25"/>
  <c r="L796" i="25"/>
  <c r="L797" i="25"/>
  <c r="L798" i="25"/>
  <c r="L799" i="25"/>
  <c r="L800" i="25"/>
  <c r="L801" i="25"/>
  <c r="L802" i="25"/>
  <c r="L803" i="25"/>
  <c r="L804" i="25"/>
  <c r="L805" i="25"/>
  <c r="L806" i="25"/>
  <c r="L807" i="25"/>
  <c r="L808" i="25"/>
  <c r="L809" i="25"/>
  <c r="L810" i="25"/>
  <c r="L811" i="25"/>
  <c r="L812" i="25"/>
  <c r="L813" i="25"/>
  <c r="L814" i="25"/>
  <c r="L815" i="25"/>
  <c r="L816" i="25"/>
  <c r="L817" i="25"/>
  <c r="L818" i="25"/>
  <c r="L819" i="25"/>
  <c r="L820" i="25"/>
  <c r="L821" i="25"/>
  <c r="L822" i="25"/>
  <c r="L823" i="25"/>
  <c r="L824" i="25"/>
  <c r="L825" i="25"/>
  <c r="L826" i="25"/>
  <c r="L827" i="25"/>
  <c r="L828" i="25"/>
  <c r="L829" i="25"/>
  <c r="L830" i="25"/>
  <c r="L831" i="25"/>
  <c r="L832" i="25"/>
  <c r="L833" i="25"/>
  <c r="L834" i="25"/>
  <c r="L835" i="25"/>
  <c r="L836" i="25"/>
  <c r="L837" i="25"/>
  <c r="L838" i="25"/>
  <c r="L839" i="25"/>
  <c r="L840" i="25"/>
  <c r="L841" i="25"/>
  <c r="L842" i="25"/>
  <c r="L843" i="25"/>
  <c r="L844" i="25"/>
  <c r="L845" i="25"/>
  <c r="L846" i="25"/>
  <c r="L847" i="25"/>
  <c r="L848" i="25"/>
  <c r="L849" i="25"/>
  <c r="L850" i="25"/>
  <c r="L851" i="25"/>
  <c r="L852" i="25"/>
  <c r="L853" i="25"/>
  <c r="L854" i="25"/>
  <c r="L855" i="25"/>
  <c r="L856" i="25"/>
  <c r="L857" i="25"/>
  <c r="L858" i="25"/>
  <c r="L859" i="25"/>
  <c r="L860" i="25"/>
  <c r="L861" i="25"/>
  <c r="L862" i="25"/>
  <c r="L863" i="25"/>
  <c r="L864" i="25"/>
  <c r="L865" i="25"/>
  <c r="L866" i="25"/>
  <c r="L867" i="25"/>
  <c r="L868" i="25"/>
  <c r="L869" i="25"/>
  <c r="L870" i="25"/>
  <c r="L871" i="25"/>
  <c r="L872" i="25"/>
  <c r="L873" i="25"/>
  <c r="L874" i="25"/>
  <c r="L875" i="25"/>
  <c r="L876" i="25"/>
  <c r="L877" i="25"/>
  <c r="L878" i="25"/>
  <c r="L879" i="25"/>
  <c r="L880" i="25"/>
  <c r="L881" i="25"/>
  <c r="L2" i="25"/>
  <c r="T77" i="45"/>
  <c r="X77" i="45"/>
  <c r="U77" i="45"/>
  <c r="V77" i="45"/>
  <c r="W77" i="45"/>
  <c r="Y77" i="45"/>
  <c r="T78" i="45"/>
  <c r="X78" i="45"/>
  <c r="U78" i="45"/>
  <c r="V78" i="45"/>
  <c r="W78" i="45"/>
  <c r="Y78" i="45"/>
  <c r="T79" i="45"/>
  <c r="X79" i="45"/>
  <c r="U79" i="45"/>
  <c r="V79" i="45"/>
  <c r="W79" i="45"/>
  <c r="Y79" i="45"/>
  <c r="T80" i="45"/>
  <c r="X80" i="45"/>
  <c r="U80" i="45"/>
  <c r="V80" i="45"/>
  <c r="W80" i="45"/>
  <c r="Y80" i="45"/>
  <c r="T81" i="45"/>
  <c r="X81" i="45"/>
  <c r="U81" i="45"/>
  <c r="V81" i="45"/>
  <c r="W81" i="45"/>
  <c r="Y81" i="45"/>
  <c r="T82" i="45"/>
  <c r="X82" i="45"/>
  <c r="U82" i="45"/>
  <c r="V82" i="45"/>
  <c r="W82" i="45"/>
  <c r="Y82" i="45"/>
  <c r="T83" i="45"/>
  <c r="X83" i="45"/>
  <c r="U83" i="45"/>
  <c r="V83" i="45"/>
  <c r="W83" i="45"/>
  <c r="Y83" i="45"/>
  <c r="T84" i="45"/>
  <c r="X84" i="45"/>
  <c r="U84" i="45"/>
  <c r="V84" i="45"/>
  <c r="W84" i="45"/>
  <c r="Y84" i="45"/>
  <c r="T85" i="45"/>
  <c r="X85" i="45"/>
  <c r="U85" i="45"/>
  <c r="V85" i="45"/>
  <c r="W85" i="45"/>
  <c r="Y85" i="45"/>
  <c r="T86" i="45"/>
  <c r="X86" i="45"/>
  <c r="U86" i="45"/>
  <c r="V86" i="45"/>
  <c r="W86" i="45"/>
  <c r="Y86" i="45"/>
  <c r="T87" i="45"/>
  <c r="X87" i="45"/>
  <c r="U87" i="45"/>
  <c r="V87" i="45"/>
  <c r="W87" i="45"/>
  <c r="Y87" i="45"/>
  <c r="T88" i="45"/>
  <c r="X88" i="45"/>
  <c r="U88" i="45"/>
  <c r="V88" i="45"/>
  <c r="W88" i="45"/>
  <c r="Y88" i="45"/>
  <c r="T89" i="45"/>
  <c r="X89" i="45"/>
  <c r="U89" i="45"/>
  <c r="V89" i="45"/>
  <c r="W89" i="45"/>
  <c r="Y89" i="45"/>
  <c r="T90" i="45"/>
  <c r="X90" i="45"/>
  <c r="U90" i="45"/>
  <c r="V90" i="45"/>
  <c r="W90" i="45"/>
  <c r="Y90" i="45"/>
  <c r="T91" i="45"/>
  <c r="X91" i="45"/>
  <c r="U91" i="45"/>
  <c r="V91" i="45"/>
  <c r="W91" i="45"/>
  <c r="Y91" i="45"/>
  <c r="T92" i="45"/>
  <c r="X92" i="45"/>
  <c r="U92" i="45"/>
  <c r="V92" i="45"/>
  <c r="W92" i="45"/>
  <c r="Y92" i="45"/>
  <c r="T93" i="45"/>
  <c r="X93" i="45"/>
  <c r="U93" i="45"/>
  <c r="V93" i="45"/>
  <c r="W93" i="45"/>
  <c r="Y93" i="45"/>
  <c r="T94" i="45"/>
  <c r="X94" i="45"/>
  <c r="U94" i="45"/>
  <c r="V94" i="45"/>
  <c r="W94" i="45"/>
  <c r="Y94" i="45"/>
  <c r="T95" i="45"/>
  <c r="X95" i="45"/>
  <c r="U95" i="45"/>
  <c r="V95" i="45"/>
  <c r="W95" i="45"/>
  <c r="Y95" i="45"/>
  <c r="T96" i="45"/>
  <c r="X96" i="45"/>
  <c r="U96" i="45"/>
  <c r="V96" i="45"/>
  <c r="W96" i="45"/>
  <c r="Y96" i="45"/>
  <c r="T97" i="45"/>
  <c r="X97" i="45"/>
  <c r="U97" i="45"/>
  <c r="V97" i="45"/>
  <c r="W97" i="45"/>
  <c r="Y97" i="45"/>
  <c r="T98" i="45"/>
  <c r="X98" i="45"/>
  <c r="U98" i="45"/>
  <c r="V98" i="45"/>
  <c r="W98" i="45"/>
  <c r="Y98" i="45"/>
  <c r="T99" i="45"/>
  <c r="X99" i="45"/>
  <c r="U99" i="45"/>
  <c r="V99" i="45"/>
  <c r="W99" i="45"/>
  <c r="Y99" i="45"/>
  <c r="T100" i="45"/>
  <c r="X100" i="45"/>
  <c r="U100" i="45"/>
  <c r="V100" i="45"/>
  <c r="W100" i="45"/>
  <c r="Y100" i="45"/>
  <c r="T101" i="45"/>
  <c r="X101" i="45"/>
  <c r="U101" i="45"/>
  <c r="V101" i="45"/>
  <c r="W101" i="45"/>
  <c r="Y101" i="45"/>
  <c r="T102" i="45"/>
  <c r="X102" i="45"/>
  <c r="U102" i="45"/>
  <c r="V102" i="45"/>
  <c r="W102" i="45"/>
  <c r="Y102" i="45"/>
  <c r="T103" i="45"/>
  <c r="X103" i="45"/>
  <c r="U103" i="45"/>
  <c r="V103" i="45"/>
  <c r="W103" i="45"/>
  <c r="Y103" i="45"/>
  <c r="T104" i="45"/>
  <c r="X104" i="45"/>
  <c r="U104" i="45"/>
  <c r="V104" i="45"/>
  <c r="W104" i="45"/>
  <c r="Y104" i="45"/>
  <c r="T105" i="45"/>
  <c r="X105" i="45"/>
  <c r="U105" i="45"/>
  <c r="V105" i="45"/>
  <c r="W105" i="45"/>
  <c r="Y105" i="45"/>
  <c r="T106" i="45"/>
  <c r="X106" i="45"/>
  <c r="U106" i="45"/>
  <c r="V106" i="45"/>
  <c r="W106" i="45"/>
  <c r="Y106" i="45"/>
  <c r="T107" i="45"/>
  <c r="X107" i="45"/>
  <c r="U107" i="45"/>
  <c r="V107" i="45"/>
  <c r="W107" i="45"/>
  <c r="Y107" i="45"/>
  <c r="T108" i="45"/>
  <c r="X108" i="45"/>
  <c r="U108" i="45"/>
  <c r="V108" i="45"/>
  <c r="W108" i="45"/>
  <c r="Y108" i="45"/>
  <c r="T109" i="45"/>
  <c r="X109" i="45"/>
  <c r="U109" i="45"/>
  <c r="V109" i="45"/>
  <c r="W109" i="45"/>
  <c r="Y109" i="45"/>
  <c r="T110" i="45"/>
  <c r="X110" i="45"/>
  <c r="U110" i="45"/>
  <c r="V110" i="45"/>
  <c r="W110" i="45"/>
  <c r="Y110" i="45"/>
  <c r="T111" i="45"/>
  <c r="X111" i="45"/>
  <c r="U111" i="45"/>
  <c r="V111" i="45"/>
  <c r="W111" i="45"/>
  <c r="Y111" i="45"/>
  <c r="T112" i="45"/>
  <c r="X112" i="45"/>
  <c r="U112" i="45"/>
  <c r="V112" i="45"/>
  <c r="W112" i="45"/>
  <c r="Y112" i="45"/>
  <c r="T113" i="45"/>
  <c r="X113" i="45"/>
  <c r="U113" i="45"/>
  <c r="V113" i="45"/>
  <c r="W113" i="45"/>
  <c r="Y113" i="45"/>
  <c r="T114" i="45"/>
  <c r="X114" i="45"/>
  <c r="U114" i="45"/>
  <c r="V114" i="45"/>
  <c r="W114" i="45"/>
  <c r="Y114" i="45"/>
  <c r="T115" i="45"/>
  <c r="X115" i="45"/>
  <c r="U115" i="45"/>
  <c r="V115" i="45"/>
  <c r="W115" i="45"/>
  <c r="Y115" i="45"/>
  <c r="T116" i="45"/>
  <c r="X116" i="45"/>
  <c r="U116" i="45"/>
  <c r="V116" i="45"/>
  <c r="W116" i="45"/>
  <c r="Y116" i="45"/>
  <c r="T117" i="45"/>
  <c r="X117" i="45"/>
  <c r="U117" i="45"/>
  <c r="V117" i="45"/>
  <c r="W117" i="45"/>
  <c r="Y117" i="45"/>
  <c r="T118" i="45"/>
  <c r="X118" i="45"/>
  <c r="U118" i="45"/>
  <c r="V118" i="45"/>
  <c r="W118" i="45"/>
  <c r="Y118" i="45"/>
  <c r="T119" i="45"/>
  <c r="X119" i="45"/>
  <c r="U119" i="45"/>
  <c r="V119" i="45"/>
  <c r="W119" i="45"/>
  <c r="Y119" i="45"/>
  <c r="T120" i="45"/>
  <c r="X120" i="45"/>
  <c r="U120" i="45"/>
  <c r="V120" i="45"/>
  <c r="W120" i="45"/>
  <c r="Y120" i="45"/>
  <c r="T121" i="45"/>
  <c r="X121" i="45"/>
  <c r="U121" i="45"/>
  <c r="V121" i="45"/>
  <c r="W121" i="45"/>
  <c r="Y121" i="45"/>
  <c r="T122" i="45"/>
  <c r="X122" i="45"/>
  <c r="U122" i="45"/>
  <c r="V122" i="45"/>
  <c r="W122" i="45"/>
  <c r="Y122" i="45"/>
  <c r="T123" i="45"/>
  <c r="X123" i="45"/>
  <c r="U123" i="45"/>
  <c r="V123" i="45"/>
  <c r="W123" i="45"/>
  <c r="Y123" i="45"/>
  <c r="T124" i="45"/>
  <c r="X124" i="45"/>
  <c r="U124" i="45"/>
  <c r="V124" i="45"/>
  <c r="W124" i="45"/>
  <c r="Y124" i="45"/>
  <c r="T125" i="45"/>
  <c r="X125" i="45"/>
  <c r="U125" i="45"/>
  <c r="V125" i="45"/>
  <c r="W125" i="45"/>
  <c r="Y125" i="45"/>
  <c r="T126" i="45"/>
  <c r="X126" i="45"/>
  <c r="U126" i="45"/>
  <c r="V126" i="45"/>
  <c r="W126" i="45"/>
  <c r="Y126" i="45"/>
  <c r="T127" i="45"/>
  <c r="X127" i="45"/>
  <c r="U127" i="45"/>
  <c r="V127" i="45"/>
  <c r="W127" i="45"/>
  <c r="Y127" i="45"/>
  <c r="T128" i="45"/>
  <c r="X128" i="45"/>
  <c r="U128" i="45"/>
  <c r="V128" i="45"/>
  <c r="W128" i="45"/>
  <c r="Y128" i="45"/>
  <c r="T129" i="45"/>
  <c r="X129" i="45"/>
  <c r="U129" i="45"/>
  <c r="V129" i="45"/>
  <c r="W129" i="45"/>
  <c r="Y129" i="45"/>
  <c r="T130" i="45"/>
  <c r="X130" i="45"/>
  <c r="U130" i="45"/>
  <c r="V130" i="45"/>
  <c r="W130" i="45"/>
  <c r="Y130" i="45"/>
  <c r="T131" i="45"/>
  <c r="X131" i="45"/>
  <c r="U131" i="45"/>
  <c r="V131" i="45"/>
  <c r="W131" i="45"/>
  <c r="Y131" i="45"/>
  <c r="T132" i="45"/>
  <c r="X132" i="45"/>
  <c r="U132" i="45"/>
  <c r="V132" i="45"/>
  <c r="W132" i="45"/>
  <c r="Y132" i="45"/>
  <c r="T133" i="45"/>
  <c r="X133" i="45"/>
  <c r="U133" i="45"/>
  <c r="V133" i="45"/>
  <c r="W133" i="45"/>
  <c r="Y133" i="45"/>
  <c r="T134" i="45"/>
  <c r="X134" i="45"/>
  <c r="U134" i="45"/>
  <c r="V134" i="45"/>
  <c r="W134" i="45"/>
  <c r="Y134" i="45"/>
  <c r="T135" i="45"/>
  <c r="X135" i="45"/>
  <c r="U135" i="45"/>
  <c r="V135" i="45"/>
  <c r="W135" i="45"/>
  <c r="Y135" i="45"/>
  <c r="T136" i="45"/>
  <c r="X136" i="45"/>
  <c r="U136" i="45"/>
  <c r="V136" i="45"/>
  <c r="W136" i="45"/>
  <c r="Y136" i="45"/>
  <c r="T137" i="45"/>
  <c r="X137" i="45"/>
  <c r="U137" i="45"/>
  <c r="V137" i="45"/>
  <c r="W137" i="45"/>
  <c r="Y137" i="45"/>
  <c r="T138" i="45"/>
  <c r="X138" i="45"/>
  <c r="U138" i="45"/>
  <c r="V138" i="45"/>
  <c r="W138" i="45"/>
  <c r="Y138" i="45"/>
  <c r="T139" i="45"/>
  <c r="X139" i="45"/>
  <c r="U139" i="45"/>
  <c r="V139" i="45"/>
  <c r="W139" i="45"/>
  <c r="Y139" i="45"/>
  <c r="T140" i="45"/>
  <c r="X140" i="45"/>
  <c r="U140" i="45"/>
  <c r="V140" i="45"/>
  <c r="W140" i="45"/>
  <c r="Y140" i="45"/>
  <c r="T141" i="45"/>
  <c r="X141" i="45"/>
  <c r="U141" i="45"/>
  <c r="V141" i="45"/>
  <c r="W141" i="45"/>
  <c r="Y141" i="45"/>
  <c r="T142" i="45"/>
  <c r="X142" i="45"/>
  <c r="U142" i="45"/>
  <c r="V142" i="45"/>
  <c r="W142" i="45"/>
  <c r="Y142" i="45"/>
  <c r="T143" i="45"/>
  <c r="X143" i="45"/>
  <c r="U143" i="45"/>
  <c r="V143" i="45"/>
  <c r="W143" i="45"/>
  <c r="Y143" i="45"/>
  <c r="T144" i="45"/>
  <c r="X144" i="45"/>
  <c r="U144" i="45"/>
  <c r="V144" i="45"/>
  <c r="W144" i="45"/>
  <c r="Y144" i="45"/>
  <c r="T145" i="45"/>
  <c r="X145" i="45"/>
  <c r="U145" i="45"/>
  <c r="V145" i="45"/>
  <c r="W145" i="45"/>
  <c r="Y145" i="45"/>
  <c r="T146" i="45"/>
  <c r="X146" i="45"/>
  <c r="U146" i="45"/>
  <c r="V146" i="45"/>
  <c r="W146" i="45"/>
  <c r="Y146" i="45"/>
  <c r="T147" i="45"/>
  <c r="X147" i="45"/>
  <c r="U147" i="45"/>
  <c r="V147" i="45"/>
  <c r="W147" i="45"/>
  <c r="Y147" i="45"/>
  <c r="T148" i="45"/>
  <c r="X148" i="45"/>
  <c r="U148" i="45"/>
  <c r="V148" i="45"/>
  <c r="W148" i="45"/>
  <c r="Y148" i="45"/>
  <c r="T149" i="45"/>
  <c r="X149" i="45"/>
  <c r="U149" i="45"/>
  <c r="V149" i="45"/>
  <c r="W149" i="45"/>
  <c r="Y149" i="45"/>
  <c r="T150" i="45"/>
  <c r="X150" i="45"/>
  <c r="U150" i="45"/>
  <c r="V150" i="45"/>
  <c r="W150" i="45"/>
  <c r="Y150" i="45"/>
  <c r="T151" i="45"/>
  <c r="X151" i="45"/>
  <c r="U151" i="45"/>
  <c r="V151" i="45"/>
  <c r="W151" i="45"/>
  <c r="Y151" i="45"/>
  <c r="T152" i="45"/>
  <c r="X152" i="45"/>
  <c r="U152" i="45"/>
  <c r="V152" i="45"/>
  <c r="W152" i="45"/>
  <c r="Y152" i="45"/>
  <c r="T153" i="45"/>
  <c r="X153" i="45"/>
  <c r="U153" i="45"/>
  <c r="V153" i="45"/>
  <c r="W153" i="45"/>
  <c r="Y153" i="45"/>
  <c r="T154" i="45"/>
  <c r="X154" i="45"/>
  <c r="U154" i="45"/>
  <c r="V154" i="45"/>
  <c r="W154" i="45"/>
  <c r="Y154" i="45"/>
  <c r="T155" i="45"/>
  <c r="X155" i="45"/>
  <c r="U155" i="45"/>
  <c r="V155" i="45"/>
  <c r="W155" i="45"/>
  <c r="Y155" i="45"/>
  <c r="T156" i="45"/>
  <c r="X156" i="45"/>
  <c r="U156" i="45"/>
  <c r="V156" i="45"/>
  <c r="W156" i="45"/>
  <c r="Y156" i="45"/>
  <c r="T157" i="45"/>
  <c r="X157" i="45"/>
  <c r="U157" i="45"/>
  <c r="V157" i="45"/>
  <c r="W157" i="45"/>
  <c r="Y157" i="45"/>
  <c r="T158" i="45"/>
  <c r="X158" i="45"/>
  <c r="U158" i="45"/>
  <c r="V158" i="45"/>
  <c r="W158" i="45"/>
  <c r="Y158" i="45"/>
  <c r="T159" i="45"/>
  <c r="X159" i="45"/>
  <c r="U159" i="45"/>
  <c r="V159" i="45"/>
  <c r="W159" i="45"/>
  <c r="Y159" i="45"/>
  <c r="T160" i="45"/>
  <c r="X160" i="45"/>
  <c r="U160" i="45"/>
  <c r="V160" i="45"/>
  <c r="W160" i="45"/>
  <c r="Y160" i="45"/>
  <c r="T161" i="45"/>
  <c r="X161" i="45"/>
  <c r="U161" i="45"/>
  <c r="V161" i="45"/>
  <c r="W161" i="45"/>
  <c r="Y161" i="45"/>
  <c r="T162" i="45"/>
  <c r="X162" i="45"/>
  <c r="U162" i="45"/>
  <c r="V162" i="45"/>
  <c r="W162" i="45"/>
  <c r="Y162" i="45"/>
  <c r="T163" i="45"/>
  <c r="X163" i="45"/>
  <c r="U163" i="45"/>
  <c r="V163" i="45"/>
  <c r="W163" i="45"/>
  <c r="Y163" i="45"/>
  <c r="T164" i="45"/>
  <c r="X164" i="45"/>
  <c r="U164" i="45"/>
  <c r="V164" i="45"/>
  <c r="W164" i="45"/>
  <c r="Y164" i="45"/>
  <c r="T165" i="45"/>
  <c r="X165" i="45"/>
  <c r="U165" i="45"/>
  <c r="V165" i="45"/>
  <c r="W165" i="45"/>
  <c r="Y165" i="45"/>
  <c r="T166" i="45"/>
  <c r="X166" i="45"/>
  <c r="U166" i="45"/>
  <c r="V166" i="45"/>
  <c r="W166" i="45"/>
  <c r="Y166" i="45"/>
  <c r="T167" i="45"/>
  <c r="X167" i="45"/>
  <c r="U167" i="45"/>
  <c r="V167" i="45"/>
  <c r="W167" i="45"/>
  <c r="Y167" i="45"/>
  <c r="T168" i="45"/>
  <c r="X168" i="45"/>
  <c r="U168" i="45"/>
  <c r="V168" i="45"/>
  <c r="W168" i="45"/>
  <c r="Y168" i="45"/>
  <c r="T169" i="45"/>
  <c r="X169" i="45"/>
  <c r="U169" i="45"/>
  <c r="V169" i="45"/>
  <c r="W169" i="45"/>
  <c r="Y169" i="45"/>
  <c r="T170" i="45"/>
  <c r="X170" i="45"/>
  <c r="U170" i="45"/>
  <c r="V170" i="45"/>
  <c r="W170" i="45"/>
  <c r="Y170" i="45"/>
  <c r="T171" i="45"/>
  <c r="X171" i="45"/>
  <c r="U171" i="45"/>
  <c r="V171" i="45"/>
  <c r="W171" i="45"/>
  <c r="Y171" i="45"/>
  <c r="T172" i="45"/>
  <c r="X172" i="45"/>
  <c r="U172" i="45"/>
  <c r="V172" i="45"/>
  <c r="W172" i="45"/>
  <c r="Y172" i="45"/>
  <c r="T173" i="45"/>
  <c r="X173" i="45"/>
  <c r="U173" i="45"/>
  <c r="V173" i="45"/>
  <c r="W173" i="45"/>
  <c r="Y173" i="45"/>
  <c r="T174" i="45"/>
  <c r="X174" i="45"/>
  <c r="U174" i="45"/>
  <c r="V174" i="45"/>
  <c r="W174" i="45"/>
  <c r="Y174" i="45"/>
  <c r="T175" i="45"/>
  <c r="X175" i="45"/>
  <c r="U175" i="45"/>
  <c r="V175" i="45"/>
  <c r="W175" i="45"/>
  <c r="Y175" i="45"/>
  <c r="T176" i="45"/>
  <c r="X176" i="45"/>
  <c r="U176" i="45"/>
  <c r="V176" i="45"/>
  <c r="W176" i="45"/>
  <c r="Y176" i="45"/>
  <c r="T177" i="45"/>
  <c r="X177" i="45"/>
  <c r="U177" i="45"/>
  <c r="V177" i="45"/>
  <c r="W177" i="45"/>
  <c r="Y177" i="45"/>
  <c r="T178" i="45"/>
  <c r="X178" i="45"/>
  <c r="U178" i="45"/>
  <c r="V178" i="45"/>
  <c r="W178" i="45"/>
  <c r="Y178" i="45"/>
  <c r="T179" i="45"/>
  <c r="X179" i="45"/>
  <c r="U179" i="45"/>
  <c r="V179" i="45"/>
  <c r="W179" i="45"/>
  <c r="Y179" i="45"/>
  <c r="T180" i="45"/>
  <c r="X180" i="45"/>
  <c r="U180" i="45"/>
  <c r="V180" i="45"/>
  <c r="W180" i="45"/>
  <c r="Y180" i="45"/>
  <c r="T181" i="45"/>
  <c r="X181" i="45"/>
  <c r="U181" i="45"/>
  <c r="V181" i="45"/>
  <c r="W181" i="45"/>
  <c r="Y181" i="45"/>
  <c r="T182" i="45"/>
  <c r="X182" i="45"/>
  <c r="U182" i="45"/>
  <c r="V182" i="45"/>
  <c r="W182" i="45"/>
  <c r="Y182" i="45"/>
  <c r="T183" i="45"/>
  <c r="X183" i="45"/>
  <c r="U183" i="45"/>
  <c r="V183" i="45"/>
  <c r="W183" i="45"/>
  <c r="Y183" i="45"/>
  <c r="T184" i="45"/>
  <c r="X184" i="45"/>
  <c r="U184" i="45"/>
  <c r="V184" i="45"/>
  <c r="W184" i="45"/>
  <c r="Y184" i="45"/>
  <c r="T185" i="45"/>
  <c r="X185" i="45"/>
  <c r="U185" i="45"/>
  <c r="V185" i="45"/>
  <c r="W185" i="45"/>
  <c r="Y185" i="45"/>
  <c r="T186" i="45"/>
  <c r="X186" i="45"/>
  <c r="U186" i="45"/>
  <c r="V186" i="45"/>
  <c r="W186" i="45"/>
  <c r="Y186" i="45"/>
  <c r="T187" i="45"/>
  <c r="X187" i="45"/>
  <c r="U187" i="45"/>
  <c r="V187" i="45"/>
  <c r="W187" i="45"/>
  <c r="Y187" i="45"/>
  <c r="T188" i="45"/>
  <c r="X188" i="45"/>
  <c r="U188" i="45"/>
  <c r="V188" i="45"/>
  <c r="W188" i="45"/>
  <c r="Y188" i="45"/>
  <c r="T189" i="45"/>
  <c r="X189" i="45"/>
  <c r="U189" i="45"/>
  <c r="V189" i="45"/>
  <c r="W189" i="45"/>
  <c r="Y189" i="45"/>
  <c r="T190" i="45"/>
  <c r="X190" i="45"/>
  <c r="U190" i="45"/>
  <c r="V190" i="45"/>
  <c r="W190" i="45"/>
  <c r="Y190" i="45"/>
  <c r="T191" i="45"/>
  <c r="X191" i="45"/>
  <c r="U191" i="45"/>
  <c r="V191" i="45"/>
  <c r="W191" i="45"/>
  <c r="Y191" i="45"/>
  <c r="T192" i="45"/>
  <c r="X192" i="45"/>
  <c r="U192" i="45"/>
  <c r="V192" i="45"/>
  <c r="W192" i="45"/>
  <c r="Y192" i="45"/>
  <c r="T193" i="45"/>
  <c r="X193" i="45"/>
  <c r="U193" i="45"/>
  <c r="V193" i="45"/>
  <c r="W193" i="45"/>
  <c r="Y193" i="45"/>
  <c r="T194" i="45"/>
  <c r="X194" i="45"/>
  <c r="U194" i="45"/>
  <c r="V194" i="45"/>
  <c r="W194" i="45"/>
  <c r="Y194" i="45"/>
  <c r="T195" i="45"/>
  <c r="X195" i="45"/>
  <c r="U195" i="45"/>
  <c r="V195" i="45"/>
  <c r="W195" i="45"/>
  <c r="Y195" i="45"/>
  <c r="T196" i="45"/>
  <c r="X196" i="45"/>
  <c r="U196" i="45"/>
  <c r="V196" i="45"/>
  <c r="W196" i="45"/>
  <c r="Y196" i="45"/>
  <c r="T197" i="45"/>
  <c r="X197" i="45"/>
  <c r="U197" i="45"/>
  <c r="V197" i="45"/>
  <c r="W197" i="45"/>
  <c r="Y197" i="45"/>
  <c r="T198" i="45"/>
  <c r="X198" i="45"/>
  <c r="U198" i="45"/>
  <c r="V198" i="45"/>
  <c r="W198" i="45"/>
  <c r="Y198" i="45"/>
  <c r="T199" i="45"/>
  <c r="X199" i="45"/>
  <c r="U199" i="45"/>
  <c r="V199" i="45"/>
  <c r="W199" i="45"/>
  <c r="Y199" i="45"/>
  <c r="T200" i="45"/>
  <c r="X200" i="45"/>
  <c r="U200" i="45"/>
  <c r="V200" i="45"/>
  <c r="W200" i="45"/>
  <c r="Y200" i="45"/>
  <c r="T201" i="45"/>
  <c r="X201" i="45"/>
  <c r="U201" i="45"/>
  <c r="V201" i="45"/>
  <c r="W201" i="45"/>
  <c r="Y201" i="45"/>
  <c r="T202" i="45"/>
  <c r="X202" i="45"/>
  <c r="U202" i="45"/>
  <c r="V202" i="45"/>
  <c r="W202" i="45"/>
  <c r="Y202" i="45"/>
  <c r="T203" i="45"/>
  <c r="X203" i="45"/>
  <c r="U203" i="45"/>
  <c r="V203" i="45"/>
  <c r="W203" i="45"/>
  <c r="Y203" i="45"/>
  <c r="T204" i="45"/>
  <c r="X204" i="45"/>
  <c r="U204" i="45"/>
  <c r="V204" i="45"/>
  <c r="W204" i="45"/>
  <c r="Y204" i="45"/>
  <c r="T205" i="45"/>
  <c r="X205" i="45"/>
  <c r="U205" i="45"/>
  <c r="V205" i="45"/>
  <c r="W205" i="45"/>
  <c r="Y205" i="45"/>
  <c r="T206" i="45"/>
  <c r="X206" i="45"/>
  <c r="U206" i="45"/>
  <c r="V206" i="45"/>
  <c r="W206" i="45"/>
  <c r="Y206" i="45"/>
  <c r="T207" i="45"/>
  <c r="X207" i="45"/>
  <c r="U207" i="45"/>
  <c r="V207" i="45"/>
  <c r="W207" i="45"/>
  <c r="Y207" i="45"/>
  <c r="T208" i="45"/>
  <c r="X208" i="45"/>
  <c r="U208" i="45"/>
  <c r="V208" i="45"/>
  <c r="W208" i="45"/>
  <c r="Y208" i="45"/>
  <c r="T209" i="45"/>
  <c r="X209" i="45"/>
  <c r="U209" i="45"/>
  <c r="V209" i="45"/>
  <c r="W209" i="45"/>
  <c r="Y209" i="45"/>
  <c r="T210" i="45"/>
  <c r="X210" i="45"/>
  <c r="U210" i="45"/>
  <c r="V210" i="45"/>
  <c r="W210" i="45"/>
  <c r="Y210" i="45"/>
  <c r="T211" i="45"/>
  <c r="X211" i="45"/>
  <c r="U211" i="45"/>
  <c r="V211" i="45"/>
  <c r="W211" i="45"/>
  <c r="Y211" i="45"/>
  <c r="T212" i="45"/>
  <c r="X212" i="45"/>
  <c r="U212" i="45"/>
  <c r="V212" i="45"/>
  <c r="W212" i="45"/>
  <c r="Y212" i="45"/>
  <c r="T213" i="45"/>
  <c r="X213" i="45"/>
  <c r="U213" i="45"/>
  <c r="V213" i="45"/>
  <c r="W213" i="45"/>
  <c r="Y213" i="45"/>
  <c r="T214" i="45"/>
  <c r="X214" i="45"/>
  <c r="U214" i="45"/>
  <c r="V214" i="45"/>
  <c r="W214" i="45"/>
  <c r="Y214" i="45"/>
  <c r="T215" i="45"/>
  <c r="X215" i="45"/>
  <c r="U215" i="45"/>
  <c r="V215" i="45"/>
  <c r="W215" i="45"/>
  <c r="Y215" i="45"/>
  <c r="T216" i="45"/>
  <c r="X216" i="45"/>
  <c r="U216" i="45"/>
  <c r="V216" i="45"/>
  <c r="W216" i="45"/>
  <c r="Y216" i="45"/>
  <c r="T217" i="45"/>
  <c r="X217" i="45"/>
  <c r="U217" i="45"/>
  <c r="V217" i="45"/>
  <c r="W217" i="45"/>
  <c r="Y217" i="45"/>
  <c r="T218" i="45"/>
  <c r="X218" i="45"/>
  <c r="U218" i="45"/>
  <c r="V218" i="45"/>
  <c r="W218" i="45"/>
  <c r="Y218" i="45"/>
  <c r="T219" i="45"/>
  <c r="X219" i="45"/>
  <c r="U219" i="45"/>
  <c r="V219" i="45"/>
  <c r="W219" i="45"/>
  <c r="Y219" i="45"/>
  <c r="T220" i="45"/>
  <c r="X220" i="45"/>
  <c r="U220" i="45"/>
  <c r="V220" i="45"/>
  <c r="W220" i="45"/>
  <c r="Y220" i="45"/>
  <c r="T221" i="45"/>
  <c r="X221" i="45"/>
  <c r="U221" i="45"/>
  <c r="V221" i="45"/>
  <c r="W221" i="45"/>
  <c r="Y221" i="45"/>
  <c r="T222" i="45"/>
  <c r="X222" i="45"/>
  <c r="U222" i="45"/>
  <c r="V222" i="45"/>
  <c r="W222" i="45"/>
  <c r="Y222" i="45"/>
  <c r="T223" i="45"/>
  <c r="X223" i="45"/>
  <c r="U223" i="45"/>
  <c r="V223" i="45"/>
  <c r="W223" i="45"/>
  <c r="Y223" i="45"/>
  <c r="T224" i="45"/>
  <c r="X224" i="45"/>
  <c r="U224" i="45"/>
  <c r="V224" i="45"/>
  <c r="W224" i="45"/>
  <c r="Y224" i="45"/>
  <c r="T225" i="45"/>
  <c r="X225" i="45"/>
  <c r="U225" i="45"/>
  <c r="V225" i="45"/>
  <c r="W225" i="45"/>
  <c r="Y225" i="45"/>
  <c r="T226" i="45"/>
  <c r="X226" i="45"/>
  <c r="U226" i="45"/>
  <c r="V226" i="45"/>
  <c r="W226" i="45"/>
  <c r="Y226" i="45"/>
  <c r="T227" i="45"/>
  <c r="X227" i="45"/>
  <c r="U227" i="45"/>
  <c r="V227" i="45"/>
  <c r="W227" i="45"/>
  <c r="Y227" i="45"/>
  <c r="T228" i="45"/>
  <c r="X228" i="45"/>
  <c r="U228" i="45"/>
  <c r="V228" i="45"/>
  <c r="W228" i="45"/>
  <c r="Y228" i="45"/>
  <c r="T229" i="45"/>
  <c r="X229" i="45"/>
  <c r="U229" i="45"/>
  <c r="V229" i="45"/>
  <c r="W229" i="45"/>
  <c r="Y229" i="45"/>
  <c r="T230" i="45"/>
  <c r="X230" i="45"/>
  <c r="U230" i="45"/>
  <c r="V230" i="45"/>
  <c r="W230" i="45"/>
  <c r="Y230" i="45"/>
  <c r="T231" i="45"/>
  <c r="X231" i="45"/>
  <c r="U231" i="45"/>
  <c r="V231" i="45"/>
  <c r="W231" i="45"/>
  <c r="Y231" i="45"/>
  <c r="T232" i="45"/>
  <c r="X232" i="45"/>
  <c r="U232" i="45"/>
  <c r="V232" i="45"/>
  <c r="W232" i="45"/>
  <c r="Y232" i="45"/>
  <c r="T233" i="45"/>
  <c r="X233" i="45"/>
  <c r="U233" i="45"/>
  <c r="V233" i="45"/>
  <c r="W233" i="45"/>
  <c r="Y233" i="45"/>
  <c r="T234" i="45"/>
  <c r="X234" i="45"/>
  <c r="U234" i="45"/>
  <c r="V234" i="45"/>
  <c r="W234" i="45"/>
  <c r="Y234" i="45"/>
  <c r="T235" i="45"/>
  <c r="X235" i="45"/>
  <c r="U235" i="45"/>
  <c r="V235" i="45"/>
  <c r="W235" i="45"/>
  <c r="Y235" i="45"/>
  <c r="T236" i="45"/>
  <c r="X236" i="45"/>
  <c r="U236" i="45"/>
  <c r="V236" i="45"/>
  <c r="W236" i="45"/>
  <c r="Y236" i="45"/>
  <c r="T237" i="45"/>
  <c r="X237" i="45"/>
  <c r="U237" i="45"/>
  <c r="V237" i="45"/>
  <c r="W237" i="45"/>
  <c r="Y237" i="45"/>
  <c r="T238" i="45"/>
  <c r="X238" i="45"/>
  <c r="U238" i="45"/>
  <c r="V238" i="45"/>
  <c r="W238" i="45"/>
  <c r="Y238" i="45"/>
  <c r="T239" i="45"/>
  <c r="X239" i="45"/>
  <c r="U239" i="45"/>
  <c r="V239" i="45"/>
  <c r="W239" i="45"/>
  <c r="Y239" i="45"/>
  <c r="T240" i="45"/>
  <c r="X240" i="45"/>
  <c r="U240" i="45"/>
  <c r="V240" i="45"/>
  <c r="W240" i="45"/>
  <c r="Y240" i="45"/>
  <c r="T241" i="45"/>
  <c r="X241" i="45"/>
  <c r="U241" i="45"/>
  <c r="V241" i="45"/>
  <c r="W241" i="45"/>
  <c r="Y241" i="45"/>
  <c r="T242" i="45"/>
  <c r="X242" i="45"/>
  <c r="U242" i="45"/>
  <c r="V242" i="45"/>
  <c r="W242" i="45"/>
  <c r="Y242" i="45"/>
  <c r="T243" i="45"/>
  <c r="X243" i="45"/>
  <c r="U243" i="45"/>
  <c r="V243" i="45"/>
  <c r="W243" i="45"/>
  <c r="Y243" i="45"/>
  <c r="T244" i="45"/>
  <c r="X244" i="45"/>
  <c r="U244" i="45"/>
  <c r="V244" i="45"/>
  <c r="W244" i="45"/>
  <c r="Y244" i="45"/>
  <c r="T245" i="45"/>
  <c r="X245" i="45"/>
  <c r="U245" i="45"/>
  <c r="V245" i="45"/>
  <c r="W245" i="45"/>
  <c r="Y245" i="45"/>
  <c r="T246" i="45"/>
  <c r="X246" i="45"/>
  <c r="U246" i="45"/>
  <c r="V246" i="45"/>
  <c r="W246" i="45"/>
  <c r="Y246" i="45"/>
  <c r="T247" i="45"/>
  <c r="X247" i="45"/>
  <c r="U247" i="45"/>
  <c r="V247" i="45"/>
  <c r="W247" i="45"/>
  <c r="Y247" i="45"/>
  <c r="T248" i="45"/>
  <c r="X248" i="45"/>
  <c r="U248" i="45"/>
  <c r="V248" i="45"/>
  <c r="W248" i="45"/>
  <c r="Y248" i="45"/>
  <c r="T249" i="45"/>
  <c r="X249" i="45"/>
  <c r="U249" i="45"/>
  <c r="V249" i="45"/>
  <c r="W249" i="45"/>
  <c r="Y249" i="45"/>
  <c r="T250" i="45"/>
  <c r="X250" i="45"/>
  <c r="U250" i="45"/>
  <c r="V250" i="45"/>
  <c r="W250" i="45"/>
  <c r="Y250" i="45"/>
  <c r="T251" i="45"/>
  <c r="X251" i="45"/>
  <c r="U251" i="45"/>
  <c r="V251" i="45"/>
  <c r="W251" i="45"/>
  <c r="Y251" i="45"/>
  <c r="T252" i="45"/>
  <c r="X252" i="45"/>
  <c r="U252" i="45"/>
  <c r="V252" i="45"/>
  <c r="W252" i="45"/>
  <c r="Y252" i="45"/>
  <c r="T253" i="45"/>
  <c r="X253" i="45"/>
  <c r="U253" i="45"/>
  <c r="V253" i="45"/>
  <c r="W253" i="45"/>
  <c r="Y253" i="45"/>
  <c r="T254" i="45"/>
  <c r="X254" i="45"/>
  <c r="U254" i="45"/>
  <c r="V254" i="45"/>
  <c r="W254" i="45"/>
  <c r="Y254" i="45"/>
  <c r="T255" i="45"/>
  <c r="X255" i="45"/>
  <c r="U255" i="45"/>
  <c r="V255" i="45"/>
  <c r="W255" i="45"/>
  <c r="Y255" i="45"/>
  <c r="T256" i="45"/>
  <c r="X256" i="45"/>
  <c r="U256" i="45"/>
  <c r="V256" i="45"/>
  <c r="W256" i="45"/>
  <c r="Y256" i="45"/>
  <c r="T257" i="45"/>
  <c r="X257" i="45"/>
  <c r="U257" i="45"/>
  <c r="V257" i="45"/>
  <c r="W257" i="45"/>
  <c r="Y257" i="45"/>
  <c r="T258" i="45"/>
  <c r="X258" i="45"/>
  <c r="U258" i="45"/>
  <c r="V258" i="45"/>
  <c r="W258" i="45"/>
  <c r="Y258" i="45"/>
  <c r="T259" i="45"/>
  <c r="X259" i="45"/>
  <c r="U259" i="45"/>
  <c r="V259" i="45"/>
  <c r="W259" i="45"/>
  <c r="Y259" i="45"/>
  <c r="T260" i="45"/>
  <c r="X260" i="45"/>
  <c r="U260" i="45"/>
  <c r="V260" i="45"/>
  <c r="W260" i="45"/>
  <c r="Y260" i="45"/>
  <c r="T261" i="45"/>
  <c r="X261" i="45"/>
  <c r="U261" i="45"/>
  <c r="V261" i="45"/>
  <c r="W261" i="45"/>
  <c r="Y261" i="45"/>
  <c r="T262" i="45"/>
  <c r="X262" i="45"/>
  <c r="U262" i="45"/>
  <c r="V262" i="45"/>
  <c r="W262" i="45"/>
  <c r="Y262" i="45"/>
  <c r="T263" i="45"/>
  <c r="X263" i="45"/>
  <c r="U263" i="45"/>
  <c r="V263" i="45"/>
  <c r="W263" i="45"/>
  <c r="Y263" i="45"/>
  <c r="T264" i="45"/>
  <c r="X264" i="45"/>
  <c r="U264" i="45"/>
  <c r="V264" i="45"/>
  <c r="W264" i="45"/>
  <c r="Y264" i="45"/>
  <c r="T265" i="45"/>
  <c r="X265" i="45"/>
  <c r="U265" i="45"/>
  <c r="V265" i="45"/>
  <c r="W265" i="45"/>
  <c r="Y265" i="45"/>
  <c r="T266" i="45"/>
  <c r="X266" i="45"/>
  <c r="U266" i="45"/>
  <c r="V266" i="45"/>
  <c r="W266" i="45"/>
  <c r="Y266" i="45"/>
  <c r="T267" i="45"/>
  <c r="X267" i="45"/>
  <c r="U267" i="45"/>
  <c r="V267" i="45"/>
  <c r="W267" i="45"/>
  <c r="Y267" i="45"/>
  <c r="T268" i="45"/>
  <c r="X268" i="45"/>
  <c r="U268" i="45"/>
  <c r="V268" i="45"/>
  <c r="W268" i="45"/>
  <c r="Y268" i="45"/>
  <c r="T269" i="45"/>
  <c r="X269" i="45"/>
  <c r="U269" i="45"/>
  <c r="V269" i="45"/>
  <c r="W269" i="45"/>
  <c r="Y269" i="45"/>
  <c r="T270" i="45"/>
  <c r="X270" i="45"/>
  <c r="U270" i="45"/>
  <c r="V270" i="45"/>
  <c r="W270" i="45"/>
  <c r="Y270" i="45"/>
  <c r="T271" i="45"/>
  <c r="X271" i="45"/>
  <c r="U271" i="45"/>
  <c r="V271" i="45"/>
  <c r="W271" i="45"/>
  <c r="Y271" i="45"/>
  <c r="T272" i="45"/>
  <c r="X272" i="45"/>
  <c r="U272" i="45"/>
  <c r="V272" i="45"/>
  <c r="W272" i="45"/>
  <c r="Y272" i="45"/>
  <c r="T273" i="45"/>
  <c r="X273" i="45"/>
  <c r="U273" i="45"/>
  <c r="V273" i="45"/>
  <c r="W273" i="45"/>
  <c r="Y273" i="45"/>
  <c r="T274" i="45"/>
  <c r="X274" i="45"/>
  <c r="U274" i="45"/>
  <c r="V274" i="45"/>
  <c r="W274" i="45"/>
  <c r="Y274" i="45"/>
  <c r="T275" i="45"/>
  <c r="X275" i="45"/>
  <c r="U275" i="45"/>
  <c r="V275" i="45"/>
  <c r="W275" i="45"/>
  <c r="Y275" i="45"/>
  <c r="T276" i="45"/>
  <c r="X276" i="45"/>
  <c r="U276" i="45"/>
  <c r="V276" i="45"/>
  <c r="W276" i="45"/>
  <c r="Y276" i="45"/>
  <c r="T277" i="45"/>
  <c r="X277" i="45"/>
  <c r="U277" i="45"/>
  <c r="V277" i="45"/>
  <c r="W277" i="45"/>
  <c r="Y277" i="45"/>
  <c r="T278" i="45"/>
  <c r="X278" i="45"/>
  <c r="U278" i="45"/>
  <c r="V278" i="45"/>
  <c r="W278" i="45"/>
  <c r="Y278" i="45"/>
  <c r="T279" i="45"/>
  <c r="X279" i="45"/>
  <c r="U279" i="45"/>
  <c r="V279" i="45"/>
  <c r="W279" i="45"/>
  <c r="Y279" i="45"/>
  <c r="T280" i="45"/>
  <c r="X280" i="45"/>
  <c r="U280" i="45"/>
  <c r="V280" i="45"/>
  <c r="W280" i="45"/>
  <c r="Y280" i="45"/>
  <c r="T281" i="45"/>
  <c r="X281" i="45"/>
  <c r="U281" i="45"/>
  <c r="V281" i="45"/>
  <c r="W281" i="45"/>
  <c r="Y281" i="45"/>
  <c r="T282" i="45"/>
  <c r="X282" i="45"/>
  <c r="U282" i="45"/>
  <c r="V282" i="45"/>
  <c r="W282" i="45"/>
  <c r="Y282" i="45"/>
  <c r="T283" i="45"/>
  <c r="X283" i="45"/>
  <c r="U283" i="45"/>
  <c r="V283" i="45"/>
  <c r="W283" i="45"/>
  <c r="Y283" i="45"/>
  <c r="T284" i="45"/>
  <c r="X284" i="45"/>
  <c r="U284" i="45"/>
  <c r="V284" i="45"/>
  <c r="W284" i="45"/>
  <c r="Y284" i="45"/>
  <c r="T285" i="45"/>
  <c r="X285" i="45"/>
  <c r="U285" i="45"/>
  <c r="V285" i="45"/>
  <c r="W285" i="45"/>
  <c r="Y285" i="45"/>
  <c r="T286" i="45"/>
  <c r="X286" i="45"/>
  <c r="U286" i="45"/>
  <c r="V286" i="45"/>
  <c r="W286" i="45"/>
  <c r="Y286" i="45"/>
  <c r="T287" i="45"/>
  <c r="X287" i="45"/>
  <c r="U287" i="45"/>
  <c r="V287" i="45"/>
  <c r="W287" i="45"/>
  <c r="Y287" i="45"/>
  <c r="T288" i="45"/>
  <c r="X288" i="45"/>
  <c r="U288" i="45"/>
  <c r="V288" i="45"/>
  <c r="W288" i="45"/>
  <c r="Y288" i="45"/>
  <c r="T289" i="45"/>
  <c r="X289" i="45"/>
  <c r="U289" i="45"/>
  <c r="V289" i="45"/>
  <c r="W289" i="45"/>
  <c r="Y289" i="45"/>
  <c r="T290" i="45"/>
  <c r="X290" i="45"/>
  <c r="U290" i="45"/>
  <c r="V290" i="45"/>
  <c r="W290" i="45"/>
  <c r="Y290" i="45"/>
  <c r="T291" i="45"/>
  <c r="X291" i="45"/>
  <c r="U291" i="45"/>
  <c r="V291" i="45"/>
  <c r="W291" i="45"/>
  <c r="Y291" i="45"/>
  <c r="T292" i="45"/>
  <c r="X292" i="45"/>
  <c r="U292" i="45"/>
  <c r="V292" i="45"/>
  <c r="W292" i="45"/>
  <c r="Y292" i="45"/>
  <c r="T293" i="45"/>
  <c r="X293" i="45"/>
  <c r="U293" i="45"/>
  <c r="V293" i="45"/>
  <c r="W293" i="45"/>
  <c r="Y293" i="45"/>
  <c r="T294" i="45"/>
  <c r="X294" i="45"/>
  <c r="U294" i="45"/>
  <c r="V294" i="45"/>
  <c r="W294" i="45"/>
  <c r="Y294" i="45"/>
  <c r="T295" i="45"/>
  <c r="X295" i="45"/>
  <c r="U295" i="45"/>
  <c r="V295" i="45"/>
  <c r="W295" i="45"/>
  <c r="Y295" i="45"/>
  <c r="T296" i="45"/>
  <c r="X296" i="45"/>
  <c r="U296" i="45"/>
  <c r="V296" i="45"/>
  <c r="W296" i="45"/>
  <c r="Y296" i="45"/>
  <c r="T297" i="45"/>
  <c r="X297" i="45"/>
  <c r="U297" i="45"/>
  <c r="V297" i="45"/>
  <c r="W297" i="45"/>
  <c r="Y297" i="45"/>
  <c r="T298" i="45"/>
  <c r="X298" i="45"/>
  <c r="U298" i="45"/>
  <c r="V298" i="45"/>
  <c r="W298" i="45"/>
  <c r="Y298" i="45"/>
  <c r="T299" i="45"/>
  <c r="X299" i="45"/>
  <c r="U299" i="45"/>
  <c r="V299" i="45"/>
  <c r="W299" i="45"/>
  <c r="Y299" i="45"/>
  <c r="T300" i="45"/>
  <c r="X300" i="45"/>
  <c r="U300" i="45"/>
  <c r="V300" i="45"/>
  <c r="W300" i="45"/>
  <c r="Y300" i="45"/>
  <c r="T301" i="45"/>
  <c r="X301" i="45"/>
  <c r="U301" i="45"/>
  <c r="V301" i="45"/>
  <c r="W301" i="45"/>
  <c r="Y301" i="45"/>
  <c r="T302" i="45"/>
  <c r="X302" i="45"/>
  <c r="U302" i="45"/>
  <c r="V302" i="45"/>
  <c r="W302" i="45"/>
  <c r="Y302" i="45"/>
  <c r="T303" i="45"/>
  <c r="X303" i="45"/>
  <c r="U303" i="45"/>
  <c r="V303" i="45"/>
  <c r="W303" i="45"/>
  <c r="Y303" i="45"/>
  <c r="T304" i="45"/>
  <c r="X304" i="45"/>
  <c r="U304" i="45"/>
  <c r="V304" i="45"/>
  <c r="W304" i="45"/>
  <c r="Y304" i="45"/>
  <c r="T305" i="45"/>
  <c r="X305" i="45"/>
  <c r="U305" i="45"/>
  <c r="V305" i="45"/>
  <c r="W305" i="45"/>
  <c r="Y305" i="45"/>
  <c r="T306" i="45"/>
  <c r="X306" i="45"/>
  <c r="U306" i="45"/>
  <c r="V306" i="45"/>
  <c r="W306" i="45"/>
  <c r="Y306" i="45"/>
  <c r="T307" i="45"/>
  <c r="X307" i="45"/>
  <c r="U307" i="45"/>
  <c r="V307" i="45"/>
  <c r="W307" i="45"/>
  <c r="Y307" i="45"/>
  <c r="T308" i="45"/>
  <c r="X308" i="45"/>
  <c r="U308" i="45"/>
  <c r="V308" i="45"/>
  <c r="W308" i="45"/>
  <c r="Y308" i="45"/>
  <c r="T309" i="45"/>
  <c r="X309" i="45"/>
  <c r="U309" i="45"/>
  <c r="V309" i="45"/>
  <c r="W309" i="45"/>
  <c r="Y309" i="45"/>
  <c r="T310" i="45"/>
  <c r="X310" i="45"/>
  <c r="U310" i="45"/>
  <c r="V310" i="45"/>
  <c r="W310" i="45"/>
  <c r="Y310" i="45"/>
  <c r="T311" i="45"/>
  <c r="X311" i="45"/>
  <c r="U311" i="45"/>
  <c r="V311" i="45"/>
  <c r="W311" i="45"/>
  <c r="Y311" i="45"/>
  <c r="T312" i="45"/>
  <c r="X312" i="45"/>
  <c r="U312" i="45"/>
  <c r="V312" i="45"/>
  <c r="W312" i="45"/>
  <c r="Y312" i="45"/>
  <c r="T313" i="45"/>
  <c r="X313" i="45"/>
  <c r="U313" i="45"/>
  <c r="V313" i="45"/>
  <c r="W313" i="45"/>
  <c r="Y313" i="45"/>
  <c r="T314" i="45"/>
  <c r="X314" i="45"/>
  <c r="U314" i="45"/>
  <c r="V314" i="45"/>
  <c r="W314" i="45"/>
  <c r="Y314" i="45"/>
  <c r="T315" i="45"/>
  <c r="X315" i="45"/>
  <c r="U315" i="45"/>
  <c r="V315" i="45"/>
  <c r="W315" i="45"/>
  <c r="Y315" i="45"/>
  <c r="T316" i="45"/>
  <c r="X316" i="45"/>
  <c r="U316" i="45"/>
  <c r="V316" i="45"/>
  <c r="W316" i="45"/>
  <c r="Y316" i="45"/>
  <c r="T317" i="45"/>
  <c r="X317" i="45"/>
  <c r="U317" i="45"/>
  <c r="V317" i="45"/>
  <c r="W317" i="45"/>
  <c r="Y317" i="45"/>
  <c r="T318" i="45"/>
  <c r="X318" i="45"/>
  <c r="U318" i="45"/>
  <c r="V318" i="45"/>
  <c r="W318" i="45"/>
  <c r="Y318" i="45"/>
  <c r="T319" i="45"/>
  <c r="X319" i="45"/>
  <c r="U319" i="45"/>
  <c r="V319" i="45"/>
  <c r="W319" i="45"/>
  <c r="Y319" i="45"/>
  <c r="T320" i="45"/>
  <c r="X320" i="45"/>
  <c r="U320" i="45"/>
  <c r="V320" i="45"/>
  <c r="W320" i="45"/>
  <c r="Y320" i="45"/>
  <c r="T321" i="45"/>
  <c r="X321" i="45"/>
  <c r="U321" i="45"/>
  <c r="V321" i="45"/>
  <c r="W321" i="45"/>
  <c r="Y321" i="45"/>
  <c r="T322" i="45"/>
  <c r="X322" i="45"/>
  <c r="U322" i="45"/>
  <c r="V322" i="45"/>
  <c r="W322" i="45"/>
  <c r="Y322" i="45"/>
  <c r="T323" i="45"/>
  <c r="X323" i="45"/>
  <c r="U323" i="45"/>
  <c r="V323" i="45"/>
  <c r="W323" i="45"/>
  <c r="Y323" i="45"/>
  <c r="T324" i="45"/>
  <c r="X324" i="45"/>
  <c r="U324" i="45"/>
  <c r="V324" i="45"/>
  <c r="W324" i="45"/>
  <c r="Y324" i="45"/>
  <c r="T325" i="45"/>
  <c r="X325" i="45"/>
  <c r="U325" i="45"/>
  <c r="V325" i="45"/>
  <c r="W325" i="45"/>
  <c r="Y325" i="45"/>
  <c r="T326" i="45"/>
  <c r="X326" i="45"/>
  <c r="U326" i="45"/>
  <c r="V326" i="45"/>
  <c r="W326" i="45"/>
  <c r="Y326" i="45"/>
  <c r="T327" i="45"/>
  <c r="X327" i="45"/>
  <c r="U327" i="45"/>
  <c r="V327" i="45"/>
  <c r="W327" i="45"/>
  <c r="Y327" i="45"/>
  <c r="T328" i="45"/>
  <c r="X328" i="45"/>
  <c r="U328" i="45"/>
  <c r="V328" i="45"/>
  <c r="W328" i="45"/>
  <c r="Y328" i="45"/>
  <c r="T329" i="45"/>
  <c r="X329" i="45"/>
  <c r="U329" i="45"/>
  <c r="V329" i="45"/>
  <c r="W329" i="45"/>
  <c r="Y329" i="45"/>
  <c r="T330" i="45"/>
  <c r="X330" i="45"/>
  <c r="U330" i="45"/>
  <c r="V330" i="45"/>
  <c r="W330" i="45"/>
  <c r="Y330" i="45"/>
  <c r="T331" i="45"/>
  <c r="X331" i="45"/>
  <c r="U331" i="45"/>
  <c r="V331" i="45"/>
  <c r="W331" i="45"/>
  <c r="Y331" i="45"/>
  <c r="T332" i="45"/>
  <c r="X332" i="45"/>
  <c r="U332" i="45"/>
  <c r="V332" i="45"/>
  <c r="W332" i="45"/>
  <c r="Y332" i="45"/>
  <c r="T333" i="45"/>
  <c r="X333" i="45"/>
  <c r="U333" i="45"/>
  <c r="V333" i="45"/>
  <c r="W333" i="45"/>
  <c r="Y333" i="45"/>
  <c r="T334" i="45"/>
  <c r="X334" i="45"/>
  <c r="U334" i="45"/>
  <c r="V334" i="45"/>
  <c r="W334" i="45"/>
  <c r="Y334" i="45"/>
  <c r="T335" i="45"/>
  <c r="X335" i="45"/>
  <c r="U335" i="45"/>
  <c r="V335" i="45"/>
  <c r="W335" i="45"/>
  <c r="Y335" i="45"/>
  <c r="T336" i="45"/>
  <c r="X336" i="45"/>
  <c r="U336" i="45"/>
  <c r="V336" i="45"/>
  <c r="W336" i="45"/>
  <c r="Y336" i="45"/>
  <c r="T337" i="45"/>
  <c r="X337" i="45"/>
  <c r="U337" i="45"/>
  <c r="V337" i="45"/>
  <c r="W337" i="45"/>
  <c r="Y337" i="45"/>
  <c r="T338" i="45"/>
  <c r="X338" i="45"/>
  <c r="U338" i="45"/>
  <c r="V338" i="45"/>
  <c r="W338" i="45"/>
  <c r="Y338" i="45"/>
  <c r="T339" i="45"/>
  <c r="X339" i="45"/>
  <c r="U339" i="45"/>
  <c r="V339" i="45"/>
  <c r="W339" i="45"/>
  <c r="Y339" i="45"/>
  <c r="T340" i="45"/>
  <c r="X340" i="45"/>
  <c r="U340" i="45"/>
  <c r="V340" i="45"/>
  <c r="W340" i="45"/>
  <c r="Y340" i="45"/>
  <c r="T341" i="45"/>
  <c r="X341" i="45"/>
  <c r="U341" i="45"/>
  <c r="V341" i="45"/>
  <c r="W341" i="45"/>
  <c r="Y341" i="45"/>
  <c r="T342" i="45"/>
  <c r="X342" i="45"/>
  <c r="U342" i="45"/>
  <c r="V342" i="45"/>
  <c r="W342" i="45"/>
  <c r="Y342" i="45"/>
  <c r="T343" i="45"/>
  <c r="X343" i="45"/>
  <c r="U343" i="45"/>
  <c r="V343" i="45"/>
  <c r="W343" i="45"/>
  <c r="Y343" i="45"/>
  <c r="T344" i="45"/>
  <c r="X344" i="45"/>
  <c r="U344" i="45"/>
  <c r="V344" i="45"/>
  <c r="W344" i="45"/>
  <c r="Y344" i="45"/>
  <c r="T345" i="45"/>
  <c r="X345" i="45"/>
  <c r="U345" i="45"/>
  <c r="V345" i="45"/>
  <c r="W345" i="45"/>
  <c r="Y345" i="45"/>
  <c r="T346" i="45"/>
  <c r="X346" i="45"/>
  <c r="U346" i="45"/>
  <c r="V346" i="45"/>
  <c r="W346" i="45"/>
  <c r="Y346" i="45"/>
  <c r="T347" i="45"/>
  <c r="X347" i="45"/>
  <c r="U347" i="45"/>
  <c r="V347" i="45"/>
  <c r="W347" i="45"/>
  <c r="Y347" i="45"/>
  <c r="T348" i="45"/>
  <c r="X348" i="45"/>
  <c r="U348" i="45"/>
  <c r="V348" i="45"/>
  <c r="W348" i="45"/>
  <c r="Y348" i="45"/>
  <c r="T349" i="45"/>
  <c r="X349" i="45"/>
  <c r="U349" i="45"/>
  <c r="V349" i="45"/>
  <c r="W349" i="45"/>
  <c r="Y349" i="45"/>
  <c r="T350" i="45"/>
  <c r="X350" i="45"/>
  <c r="U350" i="45"/>
  <c r="V350" i="45"/>
  <c r="W350" i="45"/>
  <c r="Y350" i="45"/>
  <c r="T351" i="45"/>
  <c r="X351" i="45"/>
  <c r="U351" i="45"/>
  <c r="V351" i="45"/>
  <c r="W351" i="45"/>
  <c r="Y351" i="45"/>
  <c r="T352" i="45"/>
  <c r="X352" i="45"/>
  <c r="U352" i="45"/>
  <c r="V352" i="45"/>
  <c r="W352" i="45"/>
  <c r="Y352" i="45"/>
  <c r="T353" i="45"/>
  <c r="X353" i="45"/>
  <c r="U353" i="45"/>
  <c r="V353" i="45"/>
  <c r="W353" i="45"/>
  <c r="Y353" i="45"/>
  <c r="T354" i="45"/>
  <c r="X354" i="45"/>
  <c r="U354" i="45"/>
  <c r="V354" i="45"/>
  <c r="W354" i="45"/>
  <c r="Y354" i="45"/>
  <c r="T355" i="45"/>
  <c r="X355" i="45"/>
  <c r="U355" i="45"/>
  <c r="V355" i="45"/>
  <c r="W355" i="45"/>
  <c r="Y355" i="45"/>
  <c r="T356" i="45"/>
  <c r="X356" i="45"/>
  <c r="U356" i="45"/>
  <c r="V356" i="45"/>
  <c r="W356" i="45"/>
  <c r="Y356" i="45"/>
  <c r="T357" i="45"/>
  <c r="X357" i="45"/>
  <c r="U357" i="45"/>
  <c r="V357" i="45"/>
  <c r="W357" i="45"/>
  <c r="Y357" i="45"/>
  <c r="T358" i="45"/>
  <c r="X358" i="45"/>
  <c r="U358" i="45"/>
  <c r="V358" i="45"/>
  <c r="W358" i="45"/>
  <c r="Y358" i="45"/>
  <c r="T359" i="45"/>
  <c r="X359" i="45"/>
  <c r="U359" i="45"/>
  <c r="V359" i="45"/>
  <c r="W359" i="45"/>
  <c r="Y359" i="45"/>
  <c r="T360" i="45"/>
  <c r="X360" i="45"/>
  <c r="U360" i="45"/>
  <c r="V360" i="45"/>
  <c r="W360" i="45"/>
  <c r="Y360" i="45"/>
  <c r="T361" i="45"/>
  <c r="X361" i="45"/>
  <c r="U361" i="45"/>
  <c r="V361" i="45"/>
  <c r="W361" i="45"/>
  <c r="Y361" i="45"/>
  <c r="T362" i="45"/>
  <c r="X362" i="45"/>
  <c r="U362" i="45"/>
  <c r="V362" i="45"/>
  <c r="W362" i="45"/>
  <c r="Y362" i="45"/>
  <c r="T363" i="45"/>
  <c r="X363" i="45"/>
  <c r="U363" i="45"/>
  <c r="V363" i="45"/>
  <c r="W363" i="45"/>
  <c r="Y363" i="45"/>
  <c r="T364" i="45"/>
  <c r="X364" i="45"/>
  <c r="U364" i="45"/>
  <c r="V364" i="45"/>
  <c r="W364" i="45"/>
  <c r="Y364" i="45"/>
  <c r="T365" i="45"/>
  <c r="X365" i="45"/>
  <c r="U365" i="45"/>
  <c r="V365" i="45"/>
  <c r="W365" i="45"/>
  <c r="Y365" i="45"/>
  <c r="T366" i="45"/>
  <c r="X366" i="45"/>
  <c r="U366" i="45"/>
  <c r="V366" i="45"/>
  <c r="W366" i="45"/>
  <c r="Y366" i="45"/>
  <c r="T367" i="45"/>
  <c r="X367" i="45"/>
  <c r="U367" i="45"/>
  <c r="V367" i="45"/>
  <c r="W367" i="45"/>
  <c r="Y367" i="45"/>
  <c r="T368" i="45"/>
  <c r="X368" i="45"/>
  <c r="U368" i="45"/>
  <c r="V368" i="45"/>
  <c r="W368" i="45"/>
  <c r="Y368" i="45"/>
  <c r="T369" i="45"/>
  <c r="X369" i="45"/>
  <c r="U369" i="45"/>
  <c r="V369" i="45"/>
  <c r="W369" i="45"/>
  <c r="Y369" i="45"/>
  <c r="T370" i="45"/>
  <c r="X370" i="45"/>
  <c r="U370" i="45"/>
  <c r="V370" i="45"/>
  <c r="W370" i="45"/>
  <c r="Y370" i="45"/>
  <c r="T371" i="45"/>
  <c r="X371" i="45"/>
  <c r="U371" i="45"/>
  <c r="V371" i="45"/>
  <c r="W371" i="45"/>
  <c r="Y371" i="45"/>
  <c r="T372" i="45"/>
  <c r="X372" i="45"/>
  <c r="U372" i="45"/>
  <c r="V372" i="45"/>
  <c r="W372" i="45"/>
  <c r="Y372" i="45"/>
  <c r="T373" i="45"/>
  <c r="X373" i="45"/>
  <c r="U373" i="45"/>
  <c r="V373" i="45"/>
  <c r="W373" i="45"/>
  <c r="Y373" i="45"/>
  <c r="T374" i="45"/>
  <c r="X374" i="45"/>
  <c r="U374" i="45"/>
  <c r="V374" i="45"/>
  <c r="W374" i="45"/>
  <c r="Y374" i="45"/>
  <c r="T375" i="45"/>
  <c r="X375" i="45"/>
  <c r="U375" i="45"/>
  <c r="V375" i="45"/>
  <c r="W375" i="45"/>
  <c r="Y375" i="45"/>
  <c r="T376" i="45"/>
  <c r="X376" i="45"/>
  <c r="U376" i="45"/>
  <c r="V376" i="45"/>
  <c r="W376" i="45"/>
  <c r="Y376" i="45"/>
  <c r="T377" i="45"/>
  <c r="X377" i="45"/>
  <c r="U377" i="45"/>
  <c r="V377" i="45"/>
  <c r="W377" i="45"/>
  <c r="Y377" i="45"/>
  <c r="T378" i="45"/>
  <c r="X378" i="45"/>
  <c r="U378" i="45"/>
  <c r="V378" i="45"/>
  <c r="W378" i="45"/>
  <c r="Y378" i="45"/>
  <c r="T379" i="45"/>
  <c r="X379" i="45"/>
  <c r="U379" i="45"/>
  <c r="V379" i="45"/>
  <c r="W379" i="45"/>
  <c r="Y379" i="45"/>
  <c r="T380" i="45"/>
  <c r="X380" i="45"/>
  <c r="U380" i="45"/>
  <c r="V380" i="45"/>
  <c r="W380" i="45"/>
  <c r="Y380" i="45"/>
  <c r="T381" i="45"/>
  <c r="X381" i="45"/>
  <c r="U381" i="45"/>
  <c r="V381" i="45"/>
  <c r="W381" i="45"/>
  <c r="Y381" i="45"/>
  <c r="T382" i="45"/>
  <c r="X382" i="45"/>
  <c r="U382" i="45"/>
  <c r="V382" i="45"/>
  <c r="W382" i="45"/>
  <c r="Y382" i="45"/>
  <c r="T383" i="45"/>
  <c r="X383" i="45"/>
  <c r="U383" i="45"/>
  <c r="V383" i="45"/>
  <c r="W383" i="45"/>
  <c r="Y383" i="45"/>
  <c r="T384" i="45"/>
  <c r="X384" i="45"/>
  <c r="U384" i="45"/>
  <c r="V384" i="45"/>
  <c r="W384" i="45"/>
  <c r="Y384" i="45"/>
  <c r="T385" i="45"/>
  <c r="X385" i="45"/>
  <c r="U385" i="45"/>
  <c r="V385" i="45"/>
  <c r="W385" i="45"/>
  <c r="Y385" i="45"/>
  <c r="T386" i="45"/>
  <c r="X386" i="45"/>
  <c r="U386" i="45"/>
  <c r="V386" i="45"/>
  <c r="W386" i="45"/>
  <c r="Y386" i="45"/>
  <c r="T387" i="45"/>
  <c r="X387" i="45"/>
  <c r="U387" i="45"/>
  <c r="V387" i="45"/>
  <c r="W387" i="45"/>
  <c r="Y387" i="45"/>
  <c r="T388" i="45"/>
  <c r="X388" i="45"/>
  <c r="U388" i="45"/>
  <c r="V388" i="45"/>
  <c r="W388" i="45"/>
  <c r="Y388" i="45"/>
  <c r="T389" i="45"/>
  <c r="X389" i="45"/>
  <c r="U389" i="45"/>
  <c r="V389" i="45"/>
  <c r="W389" i="45"/>
  <c r="Y389" i="45"/>
  <c r="T390" i="45"/>
  <c r="X390" i="45"/>
  <c r="U390" i="45"/>
  <c r="V390" i="45"/>
  <c r="W390" i="45"/>
  <c r="Y390" i="45"/>
  <c r="T391" i="45"/>
  <c r="X391" i="45"/>
  <c r="U391" i="45"/>
  <c r="V391" i="45"/>
  <c r="W391" i="45"/>
  <c r="Y391" i="45"/>
  <c r="T392" i="45"/>
  <c r="X392" i="45"/>
  <c r="U392" i="45"/>
  <c r="V392" i="45"/>
  <c r="W392" i="45"/>
  <c r="Y392" i="45"/>
  <c r="T393" i="45"/>
  <c r="X393" i="45"/>
  <c r="U393" i="45"/>
  <c r="V393" i="45"/>
  <c r="W393" i="45"/>
  <c r="Y393" i="45"/>
  <c r="T394" i="45"/>
  <c r="X394" i="45"/>
  <c r="U394" i="45"/>
  <c r="V394" i="45"/>
  <c r="W394" i="45"/>
  <c r="Y394" i="45"/>
  <c r="T395" i="45"/>
  <c r="X395" i="45"/>
  <c r="U395" i="45"/>
  <c r="V395" i="45"/>
  <c r="W395" i="45"/>
  <c r="Y395" i="45"/>
  <c r="T396" i="45"/>
  <c r="X396" i="45"/>
  <c r="U396" i="45"/>
  <c r="V396" i="45"/>
  <c r="W396" i="45"/>
  <c r="Y396" i="45"/>
  <c r="T397" i="45"/>
  <c r="X397" i="45"/>
  <c r="U397" i="45"/>
  <c r="V397" i="45"/>
  <c r="W397" i="45"/>
  <c r="Y397" i="45"/>
  <c r="T398" i="45"/>
  <c r="X398" i="45"/>
  <c r="U398" i="45"/>
  <c r="V398" i="45"/>
  <c r="W398" i="45"/>
  <c r="Y398" i="45"/>
  <c r="T399" i="45"/>
  <c r="X399" i="45"/>
  <c r="U399" i="45"/>
  <c r="V399" i="45"/>
  <c r="W399" i="45"/>
  <c r="Y399" i="45"/>
  <c r="T400" i="45"/>
  <c r="X400" i="45"/>
  <c r="U400" i="45"/>
  <c r="V400" i="45"/>
  <c r="W400" i="45"/>
  <c r="Y400" i="45"/>
  <c r="T401" i="45"/>
  <c r="X401" i="45"/>
  <c r="U401" i="45"/>
  <c r="V401" i="45"/>
  <c r="W401" i="45"/>
  <c r="Y401" i="45"/>
  <c r="T402" i="45"/>
  <c r="X402" i="45"/>
  <c r="U402" i="45"/>
  <c r="V402" i="45"/>
  <c r="W402" i="45"/>
  <c r="Y402" i="45"/>
  <c r="T403" i="45"/>
  <c r="X403" i="45"/>
  <c r="U403" i="45"/>
  <c r="V403" i="45"/>
  <c r="W403" i="45"/>
  <c r="Y403" i="45"/>
  <c r="T404" i="45"/>
  <c r="X404" i="45"/>
  <c r="U404" i="45"/>
  <c r="V404" i="45"/>
  <c r="W404" i="45"/>
  <c r="Y404" i="45"/>
  <c r="T405" i="45"/>
  <c r="X405" i="45"/>
  <c r="U405" i="45"/>
  <c r="V405" i="45"/>
  <c r="W405" i="45"/>
  <c r="Y405" i="45"/>
  <c r="T406" i="45"/>
  <c r="X406" i="45"/>
  <c r="U406" i="45"/>
  <c r="V406" i="45"/>
  <c r="W406" i="45"/>
  <c r="Y406" i="45"/>
  <c r="T407" i="45"/>
  <c r="X407" i="45"/>
  <c r="U407" i="45"/>
  <c r="V407" i="45"/>
  <c r="W407" i="45"/>
  <c r="Y407" i="45"/>
  <c r="T408" i="45"/>
  <c r="X408" i="45"/>
  <c r="U408" i="45"/>
  <c r="V408" i="45"/>
  <c r="W408" i="45"/>
  <c r="Y408" i="45"/>
  <c r="T409" i="45"/>
  <c r="X409" i="45"/>
  <c r="U409" i="45"/>
  <c r="V409" i="45"/>
  <c r="W409" i="45"/>
  <c r="Y409" i="45"/>
  <c r="T410" i="45"/>
  <c r="X410" i="45"/>
  <c r="U410" i="45"/>
  <c r="V410" i="45"/>
  <c r="W410" i="45"/>
  <c r="Y410" i="45"/>
  <c r="T411" i="45"/>
  <c r="X411" i="45"/>
  <c r="U411" i="45"/>
  <c r="V411" i="45"/>
  <c r="W411" i="45"/>
  <c r="Y411" i="45"/>
  <c r="T412" i="45"/>
  <c r="X412" i="45"/>
  <c r="U412" i="45"/>
  <c r="V412" i="45"/>
  <c r="W412" i="45"/>
  <c r="Y412" i="45"/>
  <c r="T413" i="45"/>
  <c r="X413" i="45"/>
  <c r="U413" i="45"/>
  <c r="V413" i="45"/>
  <c r="W413" i="45"/>
  <c r="Y413" i="45"/>
  <c r="T414" i="45"/>
  <c r="X414" i="45"/>
  <c r="U414" i="45"/>
  <c r="V414" i="45"/>
  <c r="W414" i="45"/>
  <c r="Y414" i="45"/>
  <c r="T415" i="45"/>
  <c r="X415" i="45"/>
  <c r="U415" i="45"/>
  <c r="V415" i="45"/>
  <c r="W415" i="45"/>
  <c r="Y415" i="45"/>
  <c r="T416" i="45"/>
  <c r="X416" i="45"/>
  <c r="U416" i="45"/>
  <c r="V416" i="45"/>
  <c r="W416" i="45"/>
  <c r="Y416" i="45"/>
  <c r="T417" i="45"/>
  <c r="X417" i="45"/>
  <c r="U417" i="45"/>
  <c r="V417" i="45"/>
  <c r="W417" i="45"/>
  <c r="Y417" i="45"/>
  <c r="T418" i="45"/>
  <c r="X418" i="45"/>
  <c r="U418" i="45"/>
  <c r="V418" i="45"/>
  <c r="W418" i="45"/>
  <c r="Y418" i="45"/>
  <c r="T419" i="45"/>
  <c r="X419" i="45"/>
  <c r="U419" i="45"/>
  <c r="V419" i="45"/>
  <c r="W419" i="45"/>
  <c r="Y419" i="45"/>
  <c r="T420" i="45"/>
  <c r="X420" i="45"/>
  <c r="U420" i="45"/>
  <c r="V420" i="45"/>
  <c r="W420" i="45"/>
  <c r="Y420" i="45"/>
  <c r="T421" i="45"/>
  <c r="X421" i="45"/>
  <c r="U421" i="45"/>
  <c r="V421" i="45"/>
  <c r="W421" i="45"/>
  <c r="Y421" i="45"/>
  <c r="T422" i="45"/>
  <c r="X422" i="45"/>
  <c r="U422" i="45"/>
  <c r="V422" i="45"/>
  <c r="W422" i="45"/>
  <c r="Y422" i="45"/>
  <c r="T423" i="45"/>
  <c r="X423" i="45"/>
  <c r="U423" i="45"/>
  <c r="V423" i="45"/>
  <c r="W423" i="45"/>
  <c r="Y423" i="45"/>
  <c r="T424" i="45"/>
  <c r="X424" i="45"/>
  <c r="U424" i="45"/>
  <c r="V424" i="45"/>
  <c r="W424" i="45"/>
  <c r="Y424" i="45"/>
  <c r="T425" i="45"/>
  <c r="X425" i="45"/>
  <c r="U425" i="45"/>
  <c r="V425" i="45"/>
  <c r="W425" i="45"/>
  <c r="Y425" i="45"/>
  <c r="T426" i="45"/>
  <c r="X426" i="45"/>
  <c r="U426" i="45"/>
  <c r="V426" i="45"/>
  <c r="W426" i="45"/>
  <c r="Y426" i="45"/>
  <c r="T427" i="45"/>
  <c r="X427" i="45"/>
  <c r="U427" i="45"/>
  <c r="V427" i="45"/>
  <c r="W427" i="45"/>
  <c r="Y427" i="45"/>
  <c r="T428" i="45"/>
  <c r="X428" i="45"/>
  <c r="U428" i="45"/>
  <c r="V428" i="45"/>
  <c r="W428" i="45"/>
  <c r="Y428" i="45"/>
  <c r="T429" i="45"/>
  <c r="X429" i="45"/>
  <c r="U429" i="45"/>
  <c r="V429" i="45"/>
  <c r="W429" i="45"/>
  <c r="Y429" i="45"/>
  <c r="T430" i="45"/>
  <c r="X430" i="45"/>
  <c r="U430" i="45"/>
  <c r="V430" i="45"/>
  <c r="W430" i="45"/>
  <c r="Y430" i="45"/>
  <c r="T431" i="45"/>
  <c r="X431" i="45"/>
  <c r="U431" i="45"/>
  <c r="V431" i="45"/>
  <c r="W431" i="45"/>
  <c r="Y431" i="45"/>
  <c r="T432" i="45"/>
  <c r="X432" i="45"/>
  <c r="U432" i="45"/>
  <c r="V432" i="45"/>
  <c r="W432" i="45"/>
  <c r="Y432" i="45"/>
  <c r="T433" i="45"/>
  <c r="X433" i="45"/>
  <c r="U433" i="45"/>
  <c r="V433" i="45"/>
  <c r="W433" i="45"/>
  <c r="Y433" i="45"/>
  <c r="T434" i="45"/>
  <c r="X434" i="45"/>
  <c r="U434" i="45"/>
  <c r="V434" i="45"/>
  <c r="W434" i="45"/>
  <c r="Y434" i="45"/>
  <c r="T435" i="45"/>
  <c r="X435" i="45"/>
  <c r="U435" i="45"/>
  <c r="V435" i="45"/>
  <c r="W435" i="45"/>
  <c r="Y435" i="45"/>
  <c r="T436" i="45"/>
  <c r="X436" i="45"/>
  <c r="U436" i="45"/>
  <c r="V436" i="45"/>
  <c r="W436" i="45"/>
  <c r="Y436" i="45"/>
  <c r="T437" i="45"/>
  <c r="X437" i="45"/>
  <c r="U437" i="45"/>
  <c r="V437" i="45"/>
  <c r="W437" i="45"/>
  <c r="Y437" i="45"/>
  <c r="T438" i="45"/>
  <c r="X438" i="45"/>
  <c r="U438" i="45"/>
  <c r="V438" i="45"/>
  <c r="W438" i="45"/>
  <c r="Y438" i="45"/>
  <c r="T439" i="45"/>
  <c r="X439" i="45"/>
  <c r="U439" i="45"/>
  <c r="V439" i="45"/>
  <c r="W439" i="45"/>
  <c r="Y439" i="45"/>
  <c r="T440" i="45"/>
  <c r="X440" i="45"/>
  <c r="U440" i="45"/>
  <c r="V440" i="45"/>
  <c r="W440" i="45"/>
  <c r="Y440" i="45"/>
  <c r="T441" i="45"/>
  <c r="X441" i="45"/>
  <c r="U441" i="45"/>
  <c r="V441" i="45"/>
  <c r="W441" i="45"/>
  <c r="Y441" i="45"/>
  <c r="T442" i="45"/>
  <c r="X442" i="45"/>
  <c r="U442" i="45"/>
  <c r="V442" i="45"/>
  <c r="W442" i="45"/>
  <c r="Y442" i="45"/>
  <c r="T443" i="45"/>
  <c r="X443" i="45"/>
  <c r="U443" i="45"/>
  <c r="V443" i="45"/>
  <c r="W443" i="45"/>
  <c r="Y443" i="45"/>
  <c r="T444" i="45"/>
  <c r="X444" i="45"/>
  <c r="U444" i="45"/>
  <c r="V444" i="45"/>
  <c r="W444" i="45"/>
  <c r="Y444" i="45"/>
  <c r="T445" i="45"/>
  <c r="X445" i="45"/>
  <c r="U445" i="45"/>
  <c r="V445" i="45"/>
  <c r="W445" i="45"/>
  <c r="Y445" i="45"/>
  <c r="T446" i="45"/>
  <c r="X446" i="45"/>
  <c r="U446" i="45"/>
  <c r="V446" i="45"/>
  <c r="W446" i="45"/>
  <c r="Y446" i="45"/>
  <c r="T447" i="45"/>
  <c r="X447" i="45"/>
  <c r="U447" i="45"/>
  <c r="V447" i="45"/>
  <c r="W447" i="45"/>
  <c r="Y447" i="45"/>
  <c r="T448" i="45"/>
  <c r="X448" i="45"/>
  <c r="U448" i="45"/>
  <c r="V448" i="45"/>
  <c r="W448" i="45"/>
  <c r="Y448" i="45"/>
  <c r="T449" i="45"/>
  <c r="X449" i="45"/>
  <c r="U449" i="45"/>
  <c r="V449" i="45"/>
  <c r="W449" i="45"/>
  <c r="Y449" i="45"/>
  <c r="T450" i="45"/>
  <c r="X450" i="45"/>
  <c r="U450" i="45"/>
  <c r="V450" i="45"/>
  <c r="W450" i="45"/>
  <c r="Y450" i="45"/>
  <c r="T451" i="45"/>
  <c r="X451" i="45"/>
  <c r="U451" i="45"/>
  <c r="V451" i="45"/>
  <c r="W451" i="45"/>
  <c r="Y451" i="45"/>
  <c r="T452" i="45"/>
  <c r="X452" i="45"/>
  <c r="U452" i="45"/>
  <c r="V452" i="45"/>
  <c r="W452" i="45"/>
  <c r="Y452" i="45"/>
  <c r="T453" i="45"/>
  <c r="X453" i="45"/>
  <c r="U453" i="45"/>
  <c r="V453" i="45"/>
  <c r="W453" i="45"/>
  <c r="Y453" i="45"/>
  <c r="T454" i="45"/>
  <c r="X454" i="45"/>
  <c r="U454" i="45"/>
  <c r="V454" i="45"/>
  <c r="W454" i="45"/>
  <c r="Y454" i="45"/>
  <c r="T455" i="45"/>
  <c r="X455" i="45"/>
  <c r="U455" i="45"/>
  <c r="V455" i="45"/>
  <c r="W455" i="45"/>
  <c r="Y455" i="45"/>
  <c r="T456" i="45"/>
  <c r="X456" i="45"/>
  <c r="U456" i="45"/>
  <c r="V456" i="45"/>
  <c r="W456" i="45"/>
  <c r="Y456" i="45"/>
  <c r="T457" i="45"/>
  <c r="X457" i="45"/>
  <c r="U457" i="45"/>
  <c r="V457" i="45"/>
  <c r="W457" i="45"/>
  <c r="Y457" i="45"/>
  <c r="T458" i="45"/>
  <c r="X458" i="45"/>
  <c r="U458" i="45"/>
  <c r="V458" i="45"/>
  <c r="W458" i="45"/>
  <c r="Y458" i="45"/>
  <c r="T459" i="45"/>
  <c r="X459" i="45"/>
  <c r="U459" i="45"/>
  <c r="V459" i="45"/>
  <c r="W459" i="45"/>
  <c r="Y459" i="45"/>
  <c r="T460" i="45"/>
  <c r="X460" i="45"/>
  <c r="U460" i="45"/>
  <c r="V460" i="45"/>
  <c r="W460" i="45"/>
  <c r="Y460" i="45"/>
  <c r="T461" i="45"/>
  <c r="X461" i="45"/>
  <c r="U461" i="45"/>
  <c r="V461" i="45"/>
  <c r="W461" i="45"/>
  <c r="Y461" i="45"/>
  <c r="T462" i="45"/>
  <c r="X462" i="45"/>
  <c r="U462" i="45"/>
  <c r="V462" i="45"/>
  <c r="W462" i="45"/>
  <c r="Y462" i="45"/>
  <c r="T463" i="45"/>
  <c r="X463" i="45"/>
  <c r="U463" i="45"/>
  <c r="V463" i="45"/>
  <c r="W463" i="45"/>
  <c r="Y463" i="45"/>
  <c r="T464" i="45"/>
  <c r="X464" i="45"/>
  <c r="U464" i="45"/>
  <c r="V464" i="45"/>
  <c r="W464" i="45"/>
  <c r="Y464" i="45"/>
  <c r="T465" i="45"/>
  <c r="X465" i="45"/>
  <c r="U465" i="45"/>
  <c r="V465" i="45"/>
  <c r="W465" i="45"/>
  <c r="Y465" i="45"/>
  <c r="T466" i="45"/>
  <c r="X466" i="45"/>
  <c r="U466" i="45"/>
  <c r="V466" i="45"/>
  <c r="W466" i="45"/>
  <c r="Y466" i="45"/>
  <c r="T467" i="45"/>
  <c r="X467" i="45"/>
  <c r="U467" i="45"/>
  <c r="V467" i="45"/>
  <c r="W467" i="45"/>
  <c r="Y467" i="45"/>
  <c r="T468" i="45"/>
  <c r="X468" i="45"/>
  <c r="U468" i="45"/>
  <c r="V468" i="45"/>
  <c r="W468" i="45"/>
  <c r="Y468" i="45"/>
  <c r="T469" i="45"/>
  <c r="X469" i="45"/>
  <c r="U469" i="45"/>
  <c r="V469" i="45"/>
  <c r="W469" i="45"/>
  <c r="Y469" i="45"/>
  <c r="T470" i="45"/>
  <c r="X470" i="45"/>
  <c r="U470" i="45"/>
  <c r="V470" i="45"/>
  <c r="W470" i="45"/>
  <c r="Y470" i="45"/>
  <c r="T471" i="45"/>
  <c r="X471" i="45"/>
  <c r="U471" i="45"/>
  <c r="V471" i="45"/>
  <c r="W471" i="45"/>
  <c r="Y471" i="45"/>
  <c r="T472" i="45"/>
  <c r="X472" i="45"/>
  <c r="U472" i="45"/>
  <c r="V472" i="45"/>
  <c r="W472" i="45"/>
  <c r="Y472" i="45"/>
  <c r="T473" i="45"/>
  <c r="X473" i="45"/>
  <c r="U473" i="45"/>
  <c r="V473" i="45"/>
  <c r="W473" i="45"/>
  <c r="Y473" i="45"/>
  <c r="T474" i="45"/>
  <c r="X474" i="45"/>
  <c r="U474" i="45"/>
  <c r="V474" i="45"/>
  <c r="W474" i="45"/>
  <c r="Y474" i="45"/>
  <c r="T475" i="45"/>
  <c r="X475" i="45"/>
  <c r="U475" i="45"/>
  <c r="V475" i="45"/>
  <c r="W475" i="45"/>
  <c r="Y475" i="45"/>
  <c r="T476" i="45"/>
  <c r="X476" i="45"/>
  <c r="U476" i="45"/>
  <c r="V476" i="45"/>
  <c r="W476" i="45"/>
  <c r="Y476" i="45"/>
  <c r="T477" i="45"/>
  <c r="X477" i="45"/>
  <c r="U477" i="45"/>
  <c r="V477" i="45"/>
  <c r="W477" i="45"/>
  <c r="Y477" i="45"/>
  <c r="T478" i="45"/>
  <c r="X478" i="45"/>
  <c r="U478" i="45"/>
  <c r="V478" i="45"/>
  <c r="W478" i="45"/>
  <c r="Y478" i="45"/>
  <c r="T479" i="45"/>
  <c r="X479" i="45"/>
  <c r="U479" i="45"/>
  <c r="V479" i="45"/>
  <c r="W479" i="45"/>
  <c r="Y479" i="45"/>
  <c r="T480" i="45"/>
  <c r="X480" i="45"/>
  <c r="U480" i="45"/>
  <c r="V480" i="45"/>
  <c r="W480" i="45"/>
  <c r="Y480" i="45"/>
  <c r="T481" i="45"/>
  <c r="X481" i="45"/>
  <c r="U481" i="45"/>
  <c r="V481" i="45"/>
  <c r="W481" i="45"/>
  <c r="Y481" i="45"/>
  <c r="T482" i="45"/>
  <c r="X482" i="45"/>
  <c r="U482" i="45"/>
  <c r="V482" i="45"/>
  <c r="W482" i="45"/>
  <c r="Y482" i="45"/>
  <c r="T483" i="45"/>
  <c r="X483" i="45"/>
  <c r="U483" i="45"/>
  <c r="V483" i="45"/>
  <c r="W483" i="45"/>
  <c r="Y483" i="45"/>
  <c r="T484" i="45"/>
  <c r="X484" i="45"/>
  <c r="U484" i="45"/>
  <c r="V484" i="45"/>
  <c r="W484" i="45"/>
  <c r="Y484" i="45"/>
  <c r="T485" i="45"/>
  <c r="X485" i="45"/>
  <c r="U485" i="45"/>
  <c r="V485" i="45"/>
  <c r="W485" i="45"/>
  <c r="Y485" i="45"/>
  <c r="T486" i="45"/>
  <c r="X486" i="45"/>
  <c r="U486" i="45"/>
  <c r="V486" i="45"/>
  <c r="W486" i="45"/>
  <c r="Y486" i="45"/>
  <c r="T487" i="45"/>
  <c r="X487" i="45"/>
  <c r="U487" i="45"/>
  <c r="V487" i="45"/>
  <c r="W487" i="45"/>
  <c r="Y487" i="45"/>
  <c r="T488" i="45"/>
  <c r="X488" i="45"/>
  <c r="U488" i="45"/>
  <c r="V488" i="45"/>
  <c r="W488" i="45"/>
  <c r="Y488" i="45"/>
  <c r="T489" i="45"/>
  <c r="X489" i="45"/>
  <c r="U489" i="45"/>
  <c r="V489" i="45"/>
  <c r="W489" i="45"/>
  <c r="Y489" i="45"/>
  <c r="T490" i="45"/>
  <c r="X490" i="45"/>
  <c r="U490" i="45"/>
  <c r="V490" i="45"/>
  <c r="W490" i="45"/>
  <c r="Y490" i="45"/>
  <c r="T491" i="45"/>
  <c r="X491" i="45"/>
  <c r="U491" i="45"/>
  <c r="V491" i="45"/>
  <c r="W491" i="45"/>
  <c r="Y491" i="45"/>
  <c r="T492" i="45"/>
  <c r="X492" i="45"/>
  <c r="U492" i="45"/>
  <c r="V492" i="45"/>
  <c r="W492" i="45"/>
  <c r="Y492" i="45"/>
  <c r="T493" i="45"/>
  <c r="X493" i="45"/>
  <c r="U493" i="45"/>
  <c r="V493" i="45"/>
  <c r="W493" i="45"/>
  <c r="Y493" i="45"/>
  <c r="T494" i="45"/>
  <c r="X494" i="45"/>
  <c r="U494" i="45"/>
  <c r="V494" i="45"/>
  <c r="W494" i="45"/>
  <c r="Y494" i="45"/>
  <c r="T495" i="45"/>
  <c r="X495" i="45"/>
  <c r="U495" i="45"/>
  <c r="V495" i="45"/>
  <c r="W495" i="45"/>
  <c r="Y495" i="45"/>
  <c r="T496" i="45"/>
  <c r="X496" i="45"/>
  <c r="U496" i="45"/>
  <c r="V496" i="45"/>
  <c r="W496" i="45"/>
  <c r="Y496" i="45"/>
  <c r="T497" i="45"/>
  <c r="X497" i="45"/>
  <c r="U497" i="45"/>
  <c r="V497" i="45"/>
  <c r="W497" i="45"/>
  <c r="Y497" i="45"/>
  <c r="T498" i="45"/>
  <c r="X498" i="45"/>
  <c r="U498" i="45"/>
  <c r="V498" i="45"/>
  <c r="W498" i="45"/>
  <c r="Y498" i="45"/>
  <c r="T499" i="45"/>
  <c r="X499" i="45"/>
  <c r="U499" i="45"/>
  <c r="V499" i="45"/>
  <c r="W499" i="45"/>
  <c r="Y499" i="45"/>
  <c r="T500" i="45"/>
  <c r="X500" i="45"/>
  <c r="U500" i="45"/>
  <c r="V500" i="45"/>
  <c r="W500" i="45"/>
  <c r="Y500" i="45"/>
  <c r="T501" i="45"/>
  <c r="X501" i="45"/>
  <c r="U501" i="45"/>
  <c r="V501" i="45"/>
  <c r="W501" i="45"/>
  <c r="Y501" i="45"/>
  <c r="T502" i="45"/>
  <c r="X502" i="45"/>
  <c r="U502" i="45"/>
  <c r="V502" i="45"/>
  <c r="W502" i="45"/>
  <c r="Y502" i="45"/>
  <c r="T503" i="45"/>
  <c r="X503" i="45"/>
  <c r="U503" i="45"/>
  <c r="V503" i="45"/>
  <c r="W503" i="45"/>
  <c r="Y503" i="45"/>
  <c r="T504" i="45"/>
  <c r="X504" i="45"/>
  <c r="U504" i="45"/>
  <c r="V504" i="45"/>
  <c r="W504" i="45"/>
  <c r="Y504" i="45"/>
  <c r="T505" i="45"/>
  <c r="X505" i="45"/>
  <c r="U505" i="45"/>
  <c r="V505" i="45"/>
  <c r="W505" i="45"/>
  <c r="Y505" i="45"/>
  <c r="T506" i="45"/>
  <c r="X506" i="45"/>
  <c r="U506" i="45"/>
  <c r="V506" i="45"/>
  <c r="W506" i="45"/>
  <c r="Y506" i="45"/>
  <c r="T507" i="45"/>
  <c r="X507" i="45"/>
  <c r="U507" i="45"/>
  <c r="V507" i="45"/>
  <c r="W507" i="45"/>
  <c r="Y507" i="45"/>
  <c r="T508" i="45"/>
  <c r="X508" i="45"/>
  <c r="U508" i="45"/>
  <c r="V508" i="45"/>
  <c r="W508" i="45"/>
  <c r="Y508" i="45"/>
  <c r="T509" i="45"/>
  <c r="X509" i="45"/>
  <c r="U509" i="45"/>
  <c r="V509" i="45"/>
  <c r="W509" i="45"/>
  <c r="Y509" i="45"/>
  <c r="T510" i="45"/>
  <c r="X510" i="45"/>
  <c r="U510" i="45"/>
  <c r="V510" i="45"/>
  <c r="W510" i="45"/>
  <c r="Y510" i="45"/>
  <c r="T511" i="45"/>
  <c r="X511" i="45"/>
  <c r="U511" i="45"/>
  <c r="V511" i="45"/>
  <c r="W511" i="45"/>
  <c r="Y511" i="45"/>
  <c r="T512" i="45"/>
  <c r="X512" i="45"/>
  <c r="U512" i="45"/>
  <c r="V512" i="45"/>
  <c r="W512" i="45"/>
  <c r="Y512" i="45"/>
  <c r="T513" i="45"/>
  <c r="X513" i="45"/>
  <c r="U513" i="45"/>
  <c r="V513" i="45"/>
  <c r="W513" i="45"/>
  <c r="Y513" i="45"/>
  <c r="T514" i="45"/>
  <c r="X514" i="45"/>
  <c r="U514" i="45"/>
  <c r="V514" i="45"/>
  <c r="W514" i="45"/>
  <c r="Y514" i="45"/>
  <c r="T515" i="45"/>
  <c r="X515" i="45"/>
  <c r="U515" i="45"/>
  <c r="V515" i="45"/>
  <c r="W515" i="45"/>
  <c r="Y515" i="45"/>
  <c r="V76" i="45"/>
  <c r="U76" i="45"/>
  <c r="T76" i="45"/>
  <c r="H76" i="45"/>
  <c r="I76" i="45"/>
  <c r="H77" i="45"/>
  <c r="I77" i="45"/>
  <c r="H78" i="45"/>
  <c r="I78" i="45"/>
  <c r="H79" i="45"/>
  <c r="I79" i="45"/>
  <c r="H80" i="45"/>
  <c r="I80" i="45"/>
  <c r="H81" i="45"/>
  <c r="I81" i="45"/>
  <c r="H82" i="45"/>
  <c r="I82" i="45"/>
  <c r="H83" i="45"/>
  <c r="I83" i="45"/>
  <c r="H84" i="45"/>
  <c r="I84" i="45"/>
  <c r="H85" i="45"/>
  <c r="I85" i="45"/>
  <c r="H86" i="45"/>
  <c r="I86" i="45"/>
  <c r="H87" i="45"/>
  <c r="I87" i="45"/>
  <c r="H88" i="45"/>
  <c r="I88" i="45"/>
  <c r="H89" i="45"/>
  <c r="I89" i="45"/>
  <c r="H90" i="45"/>
  <c r="I90" i="45"/>
  <c r="H91" i="45"/>
  <c r="I91" i="45"/>
  <c r="H92" i="45"/>
  <c r="I92" i="45"/>
  <c r="H93" i="45"/>
  <c r="I93" i="45"/>
  <c r="H94" i="45"/>
  <c r="I94" i="45"/>
  <c r="H95" i="45"/>
  <c r="I95" i="45"/>
  <c r="H96" i="45"/>
  <c r="I96" i="45"/>
  <c r="H97" i="45"/>
  <c r="I97" i="45"/>
  <c r="H98" i="45"/>
  <c r="I98" i="45"/>
  <c r="H99" i="45"/>
  <c r="I99" i="45"/>
  <c r="H100" i="45"/>
  <c r="I100" i="45"/>
  <c r="H101" i="45"/>
  <c r="I101" i="45"/>
  <c r="H102" i="45"/>
  <c r="I102" i="45"/>
  <c r="H103" i="45"/>
  <c r="I103" i="45"/>
  <c r="H104" i="45"/>
  <c r="I104" i="45"/>
  <c r="H105" i="45"/>
  <c r="I105" i="45"/>
  <c r="H106" i="45"/>
  <c r="I106" i="45"/>
  <c r="H107" i="45"/>
  <c r="I107" i="45"/>
  <c r="H108" i="45"/>
  <c r="I108" i="45"/>
  <c r="H109" i="45"/>
  <c r="I109" i="45"/>
  <c r="H110" i="45"/>
  <c r="I110" i="45"/>
  <c r="H111" i="45"/>
  <c r="I111" i="45"/>
  <c r="H112" i="45"/>
  <c r="I112" i="45"/>
  <c r="H113" i="45"/>
  <c r="I113" i="45"/>
  <c r="H114" i="45"/>
  <c r="I114" i="45"/>
  <c r="H115" i="45"/>
  <c r="I115" i="45"/>
  <c r="H116" i="45"/>
  <c r="I116" i="45"/>
  <c r="H117" i="45"/>
  <c r="I117" i="45"/>
  <c r="H118" i="45"/>
  <c r="I118" i="45"/>
  <c r="H119" i="45"/>
  <c r="I119" i="45"/>
  <c r="H120" i="45"/>
  <c r="I120" i="45"/>
  <c r="H121" i="45"/>
  <c r="I121" i="45"/>
  <c r="H122" i="45"/>
  <c r="I122" i="45"/>
  <c r="H123" i="45"/>
  <c r="I123" i="45"/>
  <c r="H124" i="45"/>
  <c r="I124" i="45"/>
  <c r="H125" i="45"/>
  <c r="I125" i="45"/>
  <c r="H126" i="45"/>
  <c r="I126" i="45"/>
  <c r="H127" i="45"/>
  <c r="I127" i="45"/>
  <c r="H128" i="45"/>
  <c r="I128" i="45"/>
  <c r="H129" i="45"/>
  <c r="I129" i="45"/>
  <c r="H130" i="45"/>
  <c r="I130" i="45"/>
  <c r="H131" i="45"/>
  <c r="I131" i="45"/>
  <c r="H132" i="45"/>
  <c r="I132" i="45"/>
  <c r="H133" i="45"/>
  <c r="I133" i="45"/>
  <c r="H134" i="45"/>
  <c r="I134" i="45"/>
  <c r="H135" i="45"/>
  <c r="I135" i="45"/>
  <c r="H136" i="45"/>
  <c r="I136" i="45"/>
  <c r="H137" i="45"/>
  <c r="I137" i="45"/>
  <c r="H138" i="45"/>
  <c r="I138" i="45"/>
  <c r="H139" i="45"/>
  <c r="I139" i="45"/>
  <c r="H140" i="45"/>
  <c r="I140" i="45"/>
  <c r="H141" i="45"/>
  <c r="I141" i="45"/>
  <c r="H142" i="45"/>
  <c r="I142" i="45"/>
  <c r="H143" i="45"/>
  <c r="I143" i="45"/>
  <c r="H144" i="45"/>
  <c r="I144" i="45"/>
  <c r="H145" i="45"/>
  <c r="I145" i="45"/>
  <c r="H146" i="45"/>
  <c r="I146" i="45"/>
  <c r="H147" i="45"/>
  <c r="I147" i="45"/>
  <c r="H148" i="45"/>
  <c r="I148" i="45"/>
  <c r="H149" i="45"/>
  <c r="I149" i="45"/>
  <c r="H150" i="45"/>
  <c r="I150" i="45"/>
  <c r="H151" i="45"/>
  <c r="I151" i="45"/>
  <c r="H152" i="45"/>
  <c r="I152" i="45"/>
  <c r="H153" i="45"/>
  <c r="I153" i="45"/>
  <c r="H154" i="45"/>
  <c r="I154" i="45"/>
  <c r="H155" i="45"/>
  <c r="I155" i="45"/>
  <c r="H156" i="45"/>
  <c r="I156" i="45"/>
  <c r="H157" i="45"/>
  <c r="I157" i="45"/>
  <c r="H158" i="45"/>
  <c r="I158" i="45"/>
  <c r="H159" i="45"/>
  <c r="I159" i="45"/>
  <c r="H160" i="45"/>
  <c r="I160" i="45"/>
  <c r="H161" i="45"/>
  <c r="I161" i="45"/>
  <c r="H162" i="45"/>
  <c r="I162" i="45"/>
  <c r="H163" i="45"/>
  <c r="I163" i="45"/>
  <c r="H164" i="45"/>
  <c r="I164" i="45"/>
  <c r="H165" i="45"/>
  <c r="I165" i="45"/>
  <c r="H166" i="45"/>
  <c r="I166" i="45"/>
  <c r="H167" i="45"/>
  <c r="I167" i="45"/>
  <c r="H168" i="45"/>
  <c r="I168" i="45"/>
  <c r="H169" i="45"/>
  <c r="I169" i="45"/>
  <c r="H170" i="45"/>
  <c r="I170" i="45"/>
  <c r="H171" i="45"/>
  <c r="I171" i="45"/>
  <c r="H172" i="45"/>
  <c r="I172" i="45"/>
  <c r="H173" i="45"/>
  <c r="I173" i="45"/>
  <c r="H174" i="45"/>
  <c r="I174" i="45"/>
  <c r="H175" i="45"/>
  <c r="I175" i="45"/>
  <c r="H176" i="45"/>
  <c r="I176" i="45"/>
  <c r="H177" i="45"/>
  <c r="I177" i="45"/>
  <c r="H178" i="45"/>
  <c r="I178" i="45"/>
  <c r="H179" i="45"/>
  <c r="I179" i="45"/>
  <c r="H180" i="45"/>
  <c r="I180" i="45"/>
  <c r="H181" i="45"/>
  <c r="I181" i="45"/>
  <c r="H182" i="45"/>
  <c r="I182" i="45"/>
  <c r="H183" i="45"/>
  <c r="I183" i="45"/>
  <c r="H184" i="45"/>
  <c r="I184" i="45"/>
  <c r="H185" i="45"/>
  <c r="I185" i="45"/>
  <c r="H186" i="45"/>
  <c r="I186" i="45"/>
  <c r="H187" i="45"/>
  <c r="I187" i="45"/>
  <c r="H188" i="45"/>
  <c r="I188" i="45"/>
  <c r="H189" i="45"/>
  <c r="I189" i="45"/>
  <c r="H190" i="45"/>
  <c r="I190" i="45"/>
  <c r="H191" i="45"/>
  <c r="I191" i="45"/>
  <c r="H192" i="45"/>
  <c r="I192" i="45"/>
  <c r="H193" i="45"/>
  <c r="I193" i="45"/>
  <c r="H194" i="45"/>
  <c r="I194" i="45"/>
  <c r="H195" i="45"/>
  <c r="I195" i="45"/>
  <c r="H196" i="45"/>
  <c r="I196" i="45"/>
  <c r="H197" i="45"/>
  <c r="I197" i="45"/>
  <c r="H198" i="45"/>
  <c r="I198" i="45"/>
  <c r="H199" i="45"/>
  <c r="I199" i="45"/>
  <c r="H200" i="45"/>
  <c r="I200" i="45"/>
  <c r="H201" i="45"/>
  <c r="I201" i="45"/>
  <c r="H202" i="45"/>
  <c r="I202" i="45"/>
  <c r="H203" i="45"/>
  <c r="I203" i="45"/>
  <c r="H204" i="45"/>
  <c r="I204" i="45"/>
  <c r="H205" i="45"/>
  <c r="I205" i="45"/>
  <c r="H206" i="45"/>
  <c r="I206" i="45"/>
  <c r="H207" i="45"/>
  <c r="I207" i="45"/>
  <c r="H208" i="45"/>
  <c r="I208" i="45"/>
  <c r="H209" i="45"/>
  <c r="I209" i="45"/>
  <c r="H210" i="45"/>
  <c r="I210" i="45"/>
  <c r="H211" i="45"/>
  <c r="I211" i="45"/>
  <c r="H212" i="45"/>
  <c r="I212" i="45"/>
  <c r="H213" i="45"/>
  <c r="I213" i="45"/>
  <c r="H214" i="45"/>
  <c r="I214" i="45"/>
  <c r="H215" i="45"/>
  <c r="I215" i="45"/>
  <c r="H216" i="45"/>
  <c r="I216" i="45"/>
  <c r="H217" i="45"/>
  <c r="I217" i="45"/>
  <c r="H218" i="45"/>
  <c r="I218" i="45"/>
  <c r="H219" i="45"/>
  <c r="I219" i="45"/>
  <c r="H220" i="45"/>
  <c r="I220" i="45"/>
  <c r="H221" i="45"/>
  <c r="I221" i="45"/>
  <c r="H222" i="45"/>
  <c r="I222" i="45"/>
  <c r="H223" i="45"/>
  <c r="I223" i="45"/>
  <c r="H224" i="45"/>
  <c r="I224" i="45"/>
  <c r="H225" i="45"/>
  <c r="I225" i="45"/>
  <c r="H226" i="45"/>
  <c r="I226" i="45"/>
  <c r="H227" i="45"/>
  <c r="I227" i="45"/>
  <c r="H228" i="45"/>
  <c r="I228" i="45"/>
  <c r="H229" i="45"/>
  <c r="I229" i="45"/>
  <c r="H230" i="45"/>
  <c r="I230" i="45"/>
  <c r="H231" i="45"/>
  <c r="I231" i="45"/>
  <c r="H232" i="45"/>
  <c r="I232" i="45"/>
  <c r="H233" i="45"/>
  <c r="I233" i="45"/>
  <c r="H234" i="45"/>
  <c r="I234" i="45"/>
  <c r="H235" i="45"/>
  <c r="I235" i="45"/>
  <c r="H236" i="45"/>
  <c r="I236" i="45"/>
  <c r="H237" i="45"/>
  <c r="I237" i="45"/>
  <c r="H238" i="45"/>
  <c r="I238" i="45"/>
  <c r="H239" i="45"/>
  <c r="I239" i="45"/>
  <c r="H240" i="45"/>
  <c r="I240" i="45"/>
  <c r="H241" i="45"/>
  <c r="I241" i="45"/>
  <c r="H242" i="45"/>
  <c r="I242" i="45"/>
  <c r="H243" i="45"/>
  <c r="I243" i="45"/>
  <c r="H244" i="45"/>
  <c r="I244" i="45"/>
  <c r="H245" i="45"/>
  <c r="I245" i="45"/>
  <c r="H246" i="45"/>
  <c r="I246" i="45"/>
  <c r="H247" i="45"/>
  <c r="I247" i="45"/>
  <c r="H248" i="45"/>
  <c r="I248" i="45"/>
  <c r="H249" i="45"/>
  <c r="I249" i="45"/>
  <c r="H250" i="45"/>
  <c r="I250" i="45"/>
  <c r="H251" i="45"/>
  <c r="I251" i="45"/>
  <c r="H252" i="45"/>
  <c r="I252" i="45"/>
  <c r="H253" i="45"/>
  <c r="I253" i="45"/>
  <c r="H254" i="45"/>
  <c r="I254" i="45"/>
  <c r="H255" i="45"/>
  <c r="I255" i="45"/>
  <c r="H256" i="45"/>
  <c r="I256" i="45"/>
  <c r="H257" i="45"/>
  <c r="I257" i="45"/>
  <c r="H258" i="45"/>
  <c r="I258" i="45"/>
  <c r="H259" i="45"/>
  <c r="I259" i="45"/>
  <c r="H260" i="45"/>
  <c r="I260" i="45"/>
  <c r="H261" i="45"/>
  <c r="I261" i="45"/>
  <c r="H262" i="45"/>
  <c r="I262" i="45"/>
  <c r="H263" i="45"/>
  <c r="I263" i="45"/>
  <c r="H264" i="45"/>
  <c r="I264" i="45"/>
  <c r="H265" i="45"/>
  <c r="I265" i="45"/>
  <c r="H266" i="45"/>
  <c r="I266" i="45"/>
  <c r="H267" i="45"/>
  <c r="I267" i="45"/>
  <c r="H268" i="45"/>
  <c r="I268" i="45"/>
  <c r="H269" i="45"/>
  <c r="I269" i="45"/>
  <c r="H270" i="45"/>
  <c r="I270" i="45"/>
  <c r="H271" i="45"/>
  <c r="I271" i="45"/>
  <c r="H272" i="45"/>
  <c r="I272" i="45"/>
  <c r="H273" i="45"/>
  <c r="I273" i="45"/>
  <c r="H274" i="45"/>
  <c r="I274" i="45"/>
  <c r="H275" i="45"/>
  <c r="I275" i="45"/>
  <c r="H276" i="45"/>
  <c r="I276" i="45"/>
  <c r="H277" i="45"/>
  <c r="I277" i="45"/>
  <c r="H278" i="45"/>
  <c r="I278" i="45"/>
  <c r="H279" i="45"/>
  <c r="I279" i="45"/>
  <c r="H280" i="45"/>
  <c r="I280" i="45"/>
  <c r="H281" i="45"/>
  <c r="I281" i="45"/>
  <c r="H282" i="45"/>
  <c r="I282" i="45"/>
  <c r="H283" i="45"/>
  <c r="I283" i="45"/>
  <c r="H284" i="45"/>
  <c r="I284" i="45"/>
  <c r="H285" i="45"/>
  <c r="I285" i="45"/>
  <c r="H286" i="45"/>
  <c r="I286" i="45"/>
  <c r="H287" i="45"/>
  <c r="I287" i="45"/>
  <c r="H288" i="45"/>
  <c r="I288" i="45"/>
  <c r="H289" i="45"/>
  <c r="I289" i="45"/>
  <c r="H290" i="45"/>
  <c r="I290" i="45"/>
  <c r="H291" i="45"/>
  <c r="I291" i="45"/>
  <c r="H292" i="45"/>
  <c r="I292" i="45"/>
  <c r="H293" i="45"/>
  <c r="I293" i="45"/>
  <c r="H294" i="45"/>
  <c r="I294" i="45"/>
  <c r="H295" i="45"/>
  <c r="I295" i="45"/>
  <c r="H296" i="45"/>
  <c r="I296" i="45"/>
  <c r="H297" i="45"/>
  <c r="I297" i="45"/>
  <c r="H298" i="45"/>
  <c r="I298" i="45"/>
  <c r="H299" i="45"/>
  <c r="I299" i="45"/>
  <c r="H300" i="45"/>
  <c r="I300" i="45"/>
  <c r="H301" i="45"/>
  <c r="I301" i="45"/>
  <c r="H302" i="45"/>
  <c r="I302" i="45"/>
  <c r="H303" i="45"/>
  <c r="I303" i="45"/>
  <c r="H304" i="45"/>
  <c r="I304" i="45"/>
  <c r="H305" i="45"/>
  <c r="I305" i="45"/>
  <c r="H306" i="45"/>
  <c r="I306" i="45"/>
  <c r="H307" i="45"/>
  <c r="I307" i="45"/>
  <c r="H308" i="45"/>
  <c r="I308" i="45"/>
  <c r="H309" i="45"/>
  <c r="I309" i="45"/>
  <c r="H310" i="45"/>
  <c r="I310" i="45"/>
  <c r="H311" i="45"/>
  <c r="I311" i="45"/>
  <c r="H312" i="45"/>
  <c r="I312" i="45"/>
  <c r="H313" i="45"/>
  <c r="I313" i="45"/>
  <c r="H314" i="45"/>
  <c r="I314" i="45"/>
  <c r="H315" i="45"/>
  <c r="I315" i="45"/>
  <c r="H316" i="45"/>
  <c r="I316" i="45"/>
  <c r="H317" i="45"/>
  <c r="I317" i="45"/>
  <c r="H318" i="45"/>
  <c r="I318" i="45"/>
  <c r="H319" i="45"/>
  <c r="I319" i="45"/>
  <c r="H320" i="45"/>
  <c r="I320" i="45"/>
  <c r="H321" i="45"/>
  <c r="I321" i="45"/>
  <c r="H322" i="45"/>
  <c r="I322" i="45"/>
  <c r="H323" i="45"/>
  <c r="I323" i="45"/>
  <c r="H324" i="45"/>
  <c r="I324" i="45"/>
  <c r="H325" i="45"/>
  <c r="I325" i="45"/>
  <c r="H326" i="45"/>
  <c r="I326" i="45"/>
  <c r="H327" i="45"/>
  <c r="I327" i="45"/>
  <c r="H328" i="45"/>
  <c r="I328" i="45"/>
  <c r="H329" i="45"/>
  <c r="I329" i="45"/>
  <c r="H330" i="45"/>
  <c r="I330" i="45"/>
  <c r="H331" i="45"/>
  <c r="I331" i="45"/>
  <c r="H332" i="45"/>
  <c r="I332" i="45"/>
  <c r="H333" i="45"/>
  <c r="I333" i="45"/>
  <c r="H334" i="45"/>
  <c r="I334" i="45"/>
  <c r="H335" i="45"/>
  <c r="I335" i="45"/>
  <c r="H336" i="45"/>
  <c r="I336" i="45"/>
  <c r="H337" i="45"/>
  <c r="I337" i="45"/>
  <c r="H338" i="45"/>
  <c r="I338" i="45"/>
  <c r="H339" i="45"/>
  <c r="I339" i="45"/>
  <c r="H340" i="45"/>
  <c r="I340" i="45"/>
  <c r="H341" i="45"/>
  <c r="I341" i="45"/>
  <c r="H342" i="45"/>
  <c r="I342" i="45"/>
  <c r="H343" i="45"/>
  <c r="I343" i="45"/>
  <c r="H344" i="45"/>
  <c r="I344" i="45"/>
  <c r="H345" i="45"/>
  <c r="I345" i="45"/>
  <c r="H346" i="45"/>
  <c r="I346" i="45"/>
  <c r="H347" i="45"/>
  <c r="I347" i="45"/>
  <c r="H348" i="45"/>
  <c r="I348" i="45"/>
  <c r="H349" i="45"/>
  <c r="I349" i="45"/>
  <c r="H350" i="45"/>
  <c r="I350" i="45"/>
  <c r="H351" i="45"/>
  <c r="I351" i="45"/>
  <c r="H352" i="45"/>
  <c r="I352" i="45"/>
  <c r="H353" i="45"/>
  <c r="I353" i="45"/>
  <c r="H354" i="45"/>
  <c r="I354" i="45"/>
  <c r="H355" i="45"/>
  <c r="I355" i="45"/>
  <c r="H356" i="45"/>
  <c r="I356" i="45"/>
  <c r="H357" i="45"/>
  <c r="I357" i="45"/>
  <c r="H358" i="45"/>
  <c r="I358" i="45"/>
  <c r="H359" i="45"/>
  <c r="I359" i="45"/>
  <c r="H360" i="45"/>
  <c r="I360" i="45"/>
  <c r="H361" i="45"/>
  <c r="I361" i="45"/>
  <c r="H362" i="45"/>
  <c r="I362" i="45"/>
  <c r="H363" i="45"/>
  <c r="I363" i="45"/>
  <c r="H364" i="45"/>
  <c r="I364" i="45"/>
  <c r="H365" i="45"/>
  <c r="I365" i="45"/>
  <c r="H366" i="45"/>
  <c r="I366" i="45"/>
  <c r="H367" i="45"/>
  <c r="I367" i="45"/>
  <c r="H368" i="45"/>
  <c r="I368" i="45"/>
  <c r="H369" i="45"/>
  <c r="I369" i="45"/>
  <c r="H370" i="45"/>
  <c r="I370" i="45"/>
  <c r="H371" i="45"/>
  <c r="I371" i="45"/>
  <c r="H372" i="45"/>
  <c r="I372" i="45"/>
  <c r="H373" i="45"/>
  <c r="I373" i="45"/>
  <c r="H374" i="45"/>
  <c r="I374" i="45"/>
  <c r="H375" i="45"/>
  <c r="I375" i="45"/>
  <c r="H376" i="45"/>
  <c r="I376" i="45"/>
  <c r="H377" i="45"/>
  <c r="I377" i="45"/>
  <c r="H378" i="45"/>
  <c r="I378" i="45"/>
  <c r="H379" i="45"/>
  <c r="I379" i="45"/>
  <c r="H380" i="45"/>
  <c r="I380" i="45"/>
  <c r="H381" i="45"/>
  <c r="I381" i="45"/>
  <c r="H382" i="45"/>
  <c r="I382" i="45"/>
  <c r="H383" i="45"/>
  <c r="I383" i="45"/>
  <c r="H384" i="45"/>
  <c r="I384" i="45"/>
  <c r="H385" i="45"/>
  <c r="I385" i="45"/>
  <c r="H386" i="45"/>
  <c r="I386" i="45"/>
  <c r="H387" i="45"/>
  <c r="I387" i="45"/>
  <c r="H388" i="45"/>
  <c r="I388" i="45"/>
  <c r="H389" i="45"/>
  <c r="I389" i="45"/>
  <c r="H390" i="45"/>
  <c r="I390" i="45"/>
  <c r="H391" i="45"/>
  <c r="I391" i="45"/>
  <c r="H392" i="45"/>
  <c r="I392" i="45"/>
  <c r="H393" i="45"/>
  <c r="I393" i="45"/>
  <c r="H394" i="45"/>
  <c r="I394" i="45"/>
  <c r="H395" i="45"/>
  <c r="I395" i="45"/>
  <c r="H396" i="45"/>
  <c r="I396" i="45"/>
  <c r="H397" i="45"/>
  <c r="I397" i="45"/>
  <c r="H398" i="45"/>
  <c r="I398" i="45"/>
  <c r="H399" i="45"/>
  <c r="I399" i="45"/>
  <c r="H400" i="45"/>
  <c r="I400" i="45"/>
  <c r="H401" i="45"/>
  <c r="I401" i="45"/>
  <c r="H402" i="45"/>
  <c r="I402" i="45"/>
  <c r="H403" i="45"/>
  <c r="I403" i="45"/>
  <c r="H404" i="45"/>
  <c r="I404" i="45"/>
  <c r="H405" i="45"/>
  <c r="I405" i="45"/>
  <c r="H406" i="45"/>
  <c r="I406" i="45"/>
  <c r="H407" i="45"/>
  <c r="I407" i="45"/>
  <c r="H408" i="45"/>
  <c r="I408" i="45"/>
  <c r="H409" i="45"/>
  <c r="I409" i="45"/>
  <c r="H410" i="45"/>
  <c r="I410" i="45"/>
  <c r="H411" i="45"/>
  <c r="I411" i="45"/>
  <c r="H412" i="45"/>
  <c r="I412" i="45"/>
  <c r="H413" i="45"/>
  <c r="I413" i="45"/>
  <c r="H414" i="45"/>
  <c r="I414" i="45"/>
  <c r="H415" i="45"/>
  <c r="I415" i="45"/>
  <c r="H416" i="45"/>
  <c r="I416" i="45"/>
  <c r="H417" i="45"/>
  <c r="I417" i="45"/>
  <c r="H418" i="45"/>
  <c r="I418" i="45"/>
  <c r="H419" i="45"/>
  <c r="I419" i="45"/>
  <c r="H420" i="45"/>
  <c r="I420" i="45"/>
  <c r="H421" i="45"/>
  <c r="I421" i="45"/>
  <c r="H422" i="45"/>
  <c r="I422" i="45"/>
  <c r="H423" i="45"/>
  <c r="I423" i="45"/>
  <c r="H424" i="45"/>
  <c r="I424" i="45"/>
  <c r="H425" i="45"/>
  <c r="I425" i="45"/>
  <c r="H426" i="45"/>
  <c r="I426" i="45"/>
  <c r="H427" i="45"/>
  <c r="I427" i="45"/>
  <c r="H428" i="45"/>
  <c r="I428" i="45"/>
  <c r="H429" i="45"/>
  <c r="I429" i="45"/>
  <c r="H430" i="45"/>
  <c r="I430" i="45"/>
  <c r="H431" i="45"/>
  <c r="I431" i="45"/>
  <c r="H432" i="45"/>
  <c r="I432" i="45"/>
  <c r="H433" i="45"/>
  <c r="I433" i="45"/>
  <c r="H434" i="45"/>
  <c r="I434" i="45"/>
  <c r="H435" i="45"/>
  <c r="I435" i="45"/>
  <c r="H436" i="45"/>
  <c r="I436" i="45"/>
  <c r="H437" i="45"/>
  <c r="I437" i="45"/>
  <c r="H438" i="45"/>
  <c r="I438" i="45"/>
  <c r="H439" i="45"/>
  <c r="I439" i="45"/>
  <c r="H440" i="45"/>
  <c r="I440" i="45"/>
  <c r="H441" i="45"/>
  <c r="I441" i="45"/>
  <c r="H442" i="45"/>
  <c r="I442" i="45"/>
  <c r="H443" i="45"/>
  <c r="I443" i="45"/>
  <c r="H444" i="45"/>
  <c r="I444" i="45"/>
  <c r="H445" i="45"/>
  <c r="I445" i="45"/>
  <c r="H446" i="45"/>
  <c r="I446" i="45"/>
  <c r="H447" i="45"/>
  <c r="I447" i="45"/>
  <c r="H448" i="45"/>
  <c r="I448" i="45"/>
  <c r="H449" i="45"/>
  <c r="I449" i="45"/>
  <c r="H450" i="45"/>
  <c r="I450" i="45"/>
  <c r="H451" i="45"/>
  <c r="I451" i="45"/>
  <c r="H452" i="45"/>
  <c r="I452" i="45"/>
  <c r="H453" i="45"/>
  <c r="I453" i="45"/>
  <c r="H454" i="45"/>
  <c r="I454" i="45"/>
  <c r="H455" i="45"/>
  <c r="I455" i="45"/>
  <c r="H456" i="45"/>
  <c r="I456" i="45"/>
  <c r="H457" i="45"/>
  <c r="I457" i="45"/>
  <c r="H458" i="45"/>
  <c r="I458" i="45"/>
  <c r="H459" i="45"/>
  <c r="I459" i="45"/>
  <c r="H460" i="45"/>
  <c r="I460" i="45"/>
  <c r="H461" i="45"/>
  <c r="I461" i="45"/>
  <c r="H462" i="45"/>
  <c r="I462" i="45"/>
  <c r="H463" i="45"/>
  <c r="I463" i="45"/>
  <c r="H464" i="45"/>
  <c r="I464" i="45"/>
  <c r="H465" i="45"/>
  <c r="I465" i="45"/>
  <c r="H466" i="45"/>
  <c r="I466" i="45"/>
  <c r="H467" i="45"/>
  <c r="I467" i="45"/>
  <c r="H468" i="45"/>
  <c r="I468" i="45"/>
  <c r="H469" i="45"/>
  <c r="I469" i="45"/>
  <c r="H470" i="45"/>
  <c r="I470" i="45"/>
  <c r="H471" i="45"/>
  <c r="I471" i="45"/>
  <c r="H472" i="45"/>
  <c r="I472" i="45"/>
  <c r="H473" i="45"/>
  <c r="I473" i="45"/>
  <c r="H474" i="45"/>
  <c r="I474" i="45"/>
  <c r="H475" i="45"/>
  <c r="I475" i="45"/>
  <c r="H476" i="45"/>
  <c r="I476" i="45"/>
  <c r="H477" i="45"/>
  <c r="I477" i="45"/>
  <c r="H478" i="45"/>
  <c r="I478" i="45"/>
  <c r="H479" i="45"/>
  <c r="I479" i="45"/>
  <c r="H480" i="45"/>
  <c r="I480" i="45"/>
  <c r="H481" i="45"/>
  <c r="I481" i="45"/>
  <c r="H482" i="45"/>
  <c r="I482" i="45"/>
  <c r="H483" i="45"/>
  <c r="I483" i="45"/>
  <c r="H484" i="45"/>
  <c r="I484" i="45"/>
  <c r="H485" i="45"/>
  <c r="I485" i="45"/>
  <c r="H486" i="45"/>
  <c r="I486" i="45"/>
  <c r="H487" i="45"/>
  <c r="I487" i="45"/>
  <c r="H488" i="45"/>
  <c r="I488" i="45"/>
  <c r="H489" i="45"/>
  <c r="I489" i="45"/>
  <c r="H490" i="45"/>
  <c r="I490" i="45"/>
  <c r="H491" i="45"/>
  <c r="I491" i="45"/>
  <c r="H492" i="45"/>
  <c r="I492" i="45"/>
  <c r="H493" i="45"/>
  <c r="I493" i="45"/>
  <c r="H494" i="45"/>
  <c r="I494" i="45"/>
  <c r="H495" i="45"/>
  <c r="I495" i="45"/>
  <c r="H496" i="45"/>
  <c r="I496" i="45"/>
  <c r="H497" i="45"/>
  <c r="I497" i="45"/>
  <c r="H498" i="45"/>
  <c r="I498" i="45"/>
  <c r="H499" i="45"/>
  <c r="I499" i="45"/>
  <c r="H500" i="45"/>
  <c r="I500" i="45"/>
  <c r="H501" i="45"/>
  <c r="I501" i="45"/>
  <c r="H502" i="45"/>
  <c r="I502" i="45"/>
  <c r="H503" i="45"/>
  <c r="I503" i="45"/>
  <c r="H504" i="45"/>
  <c r="I504" i="45"/>
  <c r="H505" i="45"/>
  <c r="I505" i="45"/>
  <c r="H506" i="45"/>
  <c r="I506" i="45"/>
  <c r="H507" i="45"/>
  <c r="I507" i="45"/>
  <c r="H508" i="45"/>
  <c r="I508" i="45"/>
  <c r="H509" i="45"/>
  <c r="I509" i="45"/>
  <c r="H510" i="45"/>
  <c r="I510" i="45"/>
  <c r="H511" i="45"/>
  <c r="I511" i="45"/>
  <c r="H512" i="45"/>
  <c r="I512" i="45"/>
  <c r="H513" i="45"/>
  <c r="I513" i="45"/>
  <c r="H514" i="45"/>
  <c r="I514" i="45"/>
  <c r="H515" i="45"/>
  <c r="I515" i="45"/>
  <c r="AE515" i="45"/>
  <c r="AD515" i="45"/>
  <c r="AC515" i="45"/>
  <c r="AB515" i="45"/>
  <c r="AA515" i="45"/>
  <c r="Z515" i="45"/>
  <c r="P515" i="45"/>
  <c r="F29" i="45"/>
  <c r="R515" i="45"/>
  <c r="J515" i="45"/>
  <c r="L515" i="45"/>
  <c r="M515" i="45"/>
  <c r="Q515" i="45"/>
  <c r="S515" i="45"/>
  <c r="K515" i="45"/>
  <c r="N515" i="45"/>
  <c r="O515" i="45"/>
  <c r="G515" i="45"/>
  <c r="C515" i="45"/>
  <c r="B515" i="45"/>
  <c r="AE514" i="45"/>
  <c r="AD514" i="45"/>
  <c r="AC514" i="45"/>
  <c r="AB514" i="45"/>
  <c r="AA514" i="45"/>
  <c r="Z514" i="45"/>
  <c r="P514" i="45"/>
  <c r="R514" i="45"/>
  <c r="J514" i="45"/>
  <c r="L514" i="45"/>
  <c r="M514" i="45"/>
  <c r="Q514" i="45"/>
  <c r="S514" i="45"/>
  <c r="K514" i="45"/>
  <c r="N514" i="45"/>
  <c r="O514" i="45"/>
  <c r="G514" i="45"/>
  <c r="C514" i="45"/>
  <c r="B514" i="45"/>
  <c r="AE513" i="45"/>
  <c r="AD513" i="45"/>
  <c r="AC513" i="45"/>
  <c r="AB513" i="45"/>
  <c r="AA513" i="45"/>
  <c r="Z513" i="45"/>
  <c r="P513" i="45"/>
  <c r="R513" i="45"/>
  <c r="J513" i="45"/>
  <c r="L513" i="45"/>
  <c r="M513" i="45"/>
  <c r="Q513" i="45"/>
  <c r="S513" i="45"/>
  <c r="K513" i="45"/>
  <c r="N513" i="45"/>
  <c r="O513" i="45"/>
  <c r="G513" i="45"/>
  <c r="C513" i="45"/>
  <c r="B513" i="45"/>
  <c r="AE512" i="45"/>
  <c r="AD512" i="45"/>
  <c r="AC512" i="45"/>
  <c r="AB512" i="45"/>
  <c r="AA512" i="45"/>
  <c r="Z512" i="45"/>
  <c r="P512" i="45"/>
  <c r="R512" i="45"/>
  <c r="J512" i="45"/>
  <c r="L512" i="45"/>
  <c r="M512" i="45"/>
  <c r="Q512" i="45"/>
  <c r="S512" i="45"/>
  <c r="K512" i="45"/>
  <c r="N512" i="45"/>
  <c r="O512" i="45"/>
  <c r="G512" i="45"/>
  <c r="C512" i="45"/>
  <c r="B512" i="45"/>
  <c r="AE511" i="45"/>
  <c r="AD511" i="45"/>
  <c r="AC511" i="45"/>
  <c r="AB511" i="45"/>
  <c r="AA511" i="45"/>
  <c r="Z511" i="45"/>
  <c r="P511" i="45"/>
  <c r="R511" i="45"/>
  <c r="J511" i="45"/>
  <c r="L511" i="45"/>
  <c r="M511" i="45"/>
  <c r="Q511" i="45"/>
  <c r="S511" i="45"/>
  <c r="K511" i="45"/>
  <c r="N511" i="45"/>
  <c r="O511" i="45"/>
  <c r="G511" i="45"/>
  <c r="C511" i="45"/>
  <c r="B511" i="45"/>
  <c r="AE510" i="45"/>
  <c r="AD510" i="45"/>
  <c r="AC510" i="45"/>
  <c r="AB510" i="45"/>
  <c r="AA510" i="45"/>
  <c r="Z510" i="45"/>
  <c r="P510" i="45"/>
  <c r="R510" i="45"/>
  <c r="J510" i="45"/>
  <c r="L510" i="45"/>
  <c r="M510" i="45"/>
  <c r="Q510" i="45"/>
  <c r="S510" i="45"/>
  <c r="K510" i="45"/>
  <c r="N510" i="45"/>
  <c r="O510" i="45"/>
  <c r="G510" i="45"/>
  <c r="C510" i="45"/>
  <c r="B510" i="45"/>
  <c r="AE509" i="45"/>
  <c r="AD509" i="45"/>
  <c r="AC509" i="45"/>
  <c r="AB509" i="45"/>
  <c r="AA509" i="45"/>
  <c r="Z509" i="45"/>
  <c r="P509" i="45"/>
  <c r="R509" i="45"/>
  <c r="J509" i="45"/>
  <c r="L509" i="45"/>
  <c r="M509" i="45"/>
  <c r="Q509" i="45"/>
  <c r="S509" i="45"/>
  <c r="K509" i="45"/>
  <c r="N509" i="45"/>
  <c r="O509" i="45"/>
  <c r="G509" i="45"/>
  <c r="C509" i="45"/>
  <c r="B509" i="45"/>
  <c r="AE508" i="45"/>
  <c r="AD508" i="45"/>
  <c r="AC508" i="45"/>
  <c r="AB508" i="45"/>
  <c r="AA508" i="45"/>
  <c r="Z508" i="45"/>
  <c r="P508" i="45"/>
  <c r="R508" i="45"/>
  <c r="J508" i="45"/>
  <c r="L508" i="45"/>
  <c r="M508" i="45"/>
  <c r="Q508" i="45"/>
  <c r="S508" i="45"/>
  <c r="K508" i="45"/>
  <c r="N508" i="45"/>
  <c r="O508" i="45"/>
  <c r="G508" i="45"/>
  <c r="C508" i="45"/>
  <c r="B508" i="45"/>
  <c r="AE507" i="45"/>
  <c r="AD507" i="45"/>
  <c r="AC507" i="45"/>
  <c r="AB507" i="45"/>
  <c r="AA507" i="45"/>
  <c r="Z507" i="45"/>
  <c r="P507" i="45"/>
  <c r="R507" i="45"/>
  <c r="J507" i="45"/>
  <c r="L507" i="45"/>
  <c r="M507" i="45"/>
  <c r="Q507" i="45"/>
  <c r="S507" i="45"/>
  <c r="K507" i="45"/>
  <c r="N507" i="45"/>
  <c r="O507" i="45"/>
  <c r="G507" i="45"/>
  <c r="C507" i="45"/>
  <c r="B507" i="45"/>
  <c r="AE506" i="45"/>
  <c r="AD506" i="45"/>
  <c r="AC506" i="45"/>
  <c r="AB506" i="45"/>
  <c r="AA506" i="45"/>
  <c r="Z506" i="45"/>
  <c r="P506" i="45"/>
  <c r="R506" i="45"/>
  <c r="J506" i="45"/>
  <c r="L506" i="45"/>
  <c r="M506" i="45"/>
  <c r="Q506" i="45"/>
  <c r="S506" i="45"/>
  <c r="K506" i="45"/>
  <c r="N506" i="45"/>
  <c r="O506" i="45"/>
  <c r="G506" i="45"/>
  <c r="C506" i="45"/>
  <c r="B506" i="45"/>
  <c r="AE505" i="45"/>
  <c r="AD505" i="45"/>
  <c r="AC505" i="45"/>
  <c r="AB505" i="45"/>
  <c r="AA505" i="45"/>
  <c r="Z505" i="45"/>
  <c r="P505" i="45"/>
  <c r="R505" i="45"/>
  <c r="J505" i="45"/>
  <c r="L505" i="45"/>
  <c r="M505" i="45"/>
  <c r="Q505" i="45"/>
  <c r="S505" i="45"/>
  <c r="K505" i="45"/>
  <c r="N505" i="45"/>
  <c r="O505" i="45"/>
  <c r="G505" i="45"/>
  <c r="C505" i="45"/>
  <c r="B505" i="45"/>
  <c r="AE504" i="45"/>
  <c r="AD504" i="45"/>
  <c r="AC504" i="45"/>
  <c r="AB504" i="45"/>
  <c r="AA504" i="45"/>
  <c r="Z504" i="45"/>
  <c r="P504" i="45"/>
  <c r="R504" i="45"/>
  <c r="J504" i="45"/>
  <c r="L504" i="45"/>
  <c r="M504" i="45"/>
  <c r="Q504" i="45"/>
  <c r="S504" i="45"/>
  <c r="K504" i="45"/>
  <c r="N504" i="45"/>
  <c r="O504" i="45"/>
  <c r="G504" i="45"/>
  <c r="C504" i="45"/>
  <c r="B504" i="45"/>
  <c r="AE503" i="45"/>
  <c r="AD503" i="45"/>
  <c r="AC503" i="45"/>
  <c r="AB503" i="45"/>
  <c r="AA503" i="45"/>
  <c r="Z503" i="45"/>
  <c r="P503" i="45"/>
  <c r="R503" i="45"/>
  <c r="J503" i="45"/>
  <c r="L503" i="45"/>
  <c r="M503" i="45"/>
  <c r="Q503" i="45"/>
  <c r="S503" i="45"/>
  <c r="K503" i="45"/>
  <c r="N503" i="45"/>
  <c r="O503" i="45"/>
  <c r="G503" i="45"/>
  <c r="C503" i="45"/>
  <c r="B503" i="45"/>
  <c r="AE502" i="45"/>
  <c r="AD502" i="45"/>
  <c r="AC502" i="45"/>
  <c r="AB502" i="45"/>
  <c r="AA502" i="45"/>
  <c r="Z502" i="45"/>
  <c r="P502" i="45"/>
  <c r="R502" i="45"/>
  <c r="J502" i="45"/>
  <c r="L502" i="45"/>
  <c r="M502" i="45"/>
  <c r="Q502" i="45"/>
  <c r="S502" i="45"/>
  <c r="K502" i="45"/>
  <c r="N502" i="45"/>
  <c r="O502" i="45"/>
  <c r="G502" i="45"/>
  <c r="C502" i="45"/>
  <c r="B502" i="45"/>
  <c r="AE501" i="45"/>
  <c r="AD501" i="45"/>
  <c r="AC501" i="45"/>
  <c r="AB501" i="45"/>
  <c r="AA501" i="45"/>
  <c r="Z501" i="45"/>
  <c r="P501" i="45"/>
  <c r="R501" i="45"/>
  <c r="J501" i="45"/>
  <c r="L501" i="45"/>
  <c r="M501" i="45"/>
  <c r="Q501" i="45"/>
  <c r="S501" i="45"/>
  <c r="K501" i="45"/>
  <c r="N501" i="45"/>
  <c r="O501" i="45"/>
  <c r="G501" i="45"/>
  <c r="C501" i="45"/>
  <c r="B501" i="45"/>
  <c r="AE500" i="45"/>
  <c r="AD500" i="45"/>
  <c r="AC500" i="45"/>
  <c r="AB500" i="45"/>
  <c r="AA500" i="45"/>
  <c r="Z500" i="45"/>
  <c r="P500" i="45"/>
  <c r="R500" i="45"/>
  <c r="J500" i="45"/>
  <c r="L500" i="45"/>
  <c r="M500" i="45"/>
  <c r="Q500" i="45"/>
  <c r="S500" i="45"/>
  <c r="K500" i="45"/>
  <c r="N500" i="45"/>
  <c r="O500" i="45"/>
  <c r="G500" i="45"/>
  <c r="C500" i="45"/>
  <c r="B500" i="45"/>
  <c r="AE499" i="45"/>
  <c r="AD499" i="45"/>
  <c r="AC499" i="45"/>
  <c r="AB499" i="45"/>
  <c r="AA499" i="45"/>
  <c r="Z499" i="45"/>
  <c r="P499" i="45"/>
  <c r="R499" i="45"/>
  <c r="J499" i="45"/>
  <c r="L499" i="45"/>
  <c r="M499" i="45"/>
  <c r="Q499" i="45"/>
  <c r="S499" i="45"/>
  <c r="K499" i="45"/>
  <c r="N499" i="45"/>
  <c r="O499" i="45"/>
  <c r="G499" i="45"/>
  <c r="C499" i="45"/>
  <c r="B499" i="45"/>
  <c r="AE498" i="45"/>
  <c r="AD498" i="45"/>
  <c r="AC498" i="45"/>
  <c r="AB498" i="45"/>
  <c r="AA498" i="45"/>
  <c r="Z498" i="45"/>
  <c r="P498" i="45"/>
  <c r="R498" i="45"/>
  <c r="J498" i="45"/>
  <c r="L498" i="45"/>
  <c r="M498" i="45"/>
  <c r="Q498" i="45"/>
  <c r="S498" i="45"/>
  <c r="K498" i="45"/>
  <c r="N498" i="45"/>
  <c r="O498" i="45"/>
  <c r="G498" i="45"/>
  <c r="C498" i="45"/>
  <c r="B498" i="45"/>
  <c r="AE497" i="45"/>
  <c r="AD497" i="45"/>
  <c r="AC497" i="45"/>
  <c r="AB497" i="45"/>
  <c r="AA497" i="45"/>
  <c r="Z497" i="45"/>
  <c r="P497" i="45"/>
  <c r="R497" i="45"/>
  <c r="J497" i="45"/>
  <c r="L497" i="45"/>
  <c r="M497" i="45"/>
  <c r="Q497" i="45"/>
  <c r="S497" i="45"/>
  <c r="K497" i="45"/>
  <c r="N497" i="45"/>
  <c r="O497" i="45"/>
  <c r="G497" i="45"/>
  <c r="C497" i="45"/>
  <c r="B497" i="45"/>
  <c r="AE496" i="45"/>
  <c r="AD496" i="45"/>
  <c r="AC496" i="45"/>
  <c r="AB496" i="45"/>
  <c r="AA496" i="45"/>
  <c r="Z496" i="45"/>
  <c r="P496" i="45"/>
  <c r="R496" i="45"/>
  <c r="J496" i="45"/>
  <c r="L496" i="45"/>
  <c r="M496" i="45"/>
  <c r="Q496" i="45"/>
  <c r="S496" i="45"/>
  <c r="K496" i="45"/>
  <c r="N496" i="45"/>
  <c r="O496" i="45"/>
  <c r="G496" i="45"/>
  <c r="C496" i="45"/>
  <c r="B496" i="45"/>
  <c r="AE495" i="45"/>
  <c r="AD495" i="45"/>
  <c r="AC495" i="45"/>
  <c r="AB495" i="45"/>
  <c r="AA495" i="45"/>
  <c r="Z495" i="45"/>
  <c r="P495" i="45"/>
  <c r="R495" i="45"/>
  <c r="J495" i="45"/>
  <c r="L495" i="45"/>
  <c r="M495" i="45"/>
  <c r="Q495" i="45"/>
  <c r="S495" i="45"/>
  <c r="K495" i="45"/>
  <c r="N495" i="45"/>
  <c r="O495" i="45"/>
  <c r="G495" i="45"/>
  <c r="C495" i="45"/>
  <c r="B495" i="45"/>
  <c r="AE494" i="45"/>
  <c r="AD494" i="45"/>
  <c r="AC494" i="45"/>
  <c r="AB494" i="45"/>
  <c r="AA494" i="45"/>
  <c r="Z494" i="45"/>
  <c r="P494" i="45"/>
  <c r="R494" i="45"/>
  <c r="J494" i="45"/>
  <c r="L494" i="45"/>
  <c r="M494" i="45"/>
  <c r="Q494" i="45"/>
  <c r="S494" i="45"/>
  <c r="K494" i="45"/>
  <c r="N494" i="45"/>
  <c r="O494" i="45"/>
  <c r="G494" i="45"/>
  <c r="C494" i="45"/>
  <c r="B494" i="45"/>
  <c r="AE493" i="45"/>
  <c r="AD493" i="45"/>
  <c r="AC493" i="45"/>
  <c r="AB493" i="45"/>
  <c r="AA493" i="45"/>
  <c r="Z493" i="45"/>
  <c r="P493" i="45"/>
  <c r="R493" i="45"/>
  <c r="J493" i="45"/>
  <c r="L493" i="45"/>
  <c r="M493" i="45"/>
  <c r="Q493" i="45"/>
  <c r="S493" i="45"/>
  <c r="K493" i="45"/>
  <c r="N493" i="45"/>
  <c r="O493" i="45"/>
  <c r="G493" i="45"/>
  <c r="C493" i="45"/>
  <c r="B493" i="45"/>
  <c r="AE492" i="45"/>
  <c r="AD492" i="45"/>
  <c r="AC492" i="45"/>
  <c r="AB492" i="45"/>
  <c r="AA492" i="45"/>
  <c r="Z492" i="45"/>
  <c r="P492" i="45"/>
  <c r="R492" i="45"/>
  <c r="J492" i="45"/>
  <c r="L492" i="45"/>
  <c r="M492" i="45"/>
  <c r="Q492" i="45"/>
  <c r="S492" i="45"/>
  <c r="K492" i="45"/>
  <c r="N492" i="45"/>
  <c r="O492" i="45"/>
  <c r="G492" i="45"/>
  <c r="C492" i="45"/>
  <c r="B492" i="45"/>
  <c r="AE491" i="45"/>
  <c r="AD491" i="45"/>
  <c r="AC491" i="45"/>
  <c r="AB491" i="45"/>
  <c r="AA491" i="45"/>
  <c r="Z491" i="45"/>
  <c r="P491" i="45"/>
  <c r="R491" i="45"/>
  <c r="J491" i="45"/>
  <c r="L491" i="45"/>
  <c r="M491" i="45"/>
  <c r="Q491" i="45"/>
  <c r="S491" i="45"/>
  <c r="K491" i="45"/>
  <c r="N491" i="45"/>
  <c r="O491" i="45"/>
  <c r="G491" i="45"/>
  <c r="C491" i="45"/>
  <c r="B491" i="45"/>
  <c r="AE490" i="45"/>
  <c r="AD490" i="45"/>
  <c r="AC490" i="45"/>
  <c r="AB490" i="45"/>
  <c r="AA490" i="45"/>
  <c r="Z490" i="45"/>
  <c r="P490" i="45"/>
  <c r="R490" i="45"/>
  <c r="J490" i="45"/>
  <c r="L490" i="45"/>
  <c r="M490" i="45"/>
  <c r="Q490" i="45"/>
  <c r="S490" i="45"/>
  <c r="K490" i="45"/>
  <c r="N490" i="45"/>
  <c r="O490" i="45"/>
  <c r="G490" i="45"/>
  <c r="C490" i="45"/>
  <c r="B490" i="45"/>
  <c r="AE489" i="45"/>
  <c r="AD489" i="45"/>
  <c r="AC489" i="45"/>
  <c r="AB489" i="45"/>
  <c r="AA489" i="45"/>
  <c r="Z489" i="45"/>
  <c r="P489" i="45"/>
  <c r="R489" i="45"/>
  <c r="J489" i="45"/>
  <c r="L489" i="45"/>
  <c r="M489" i="45"/>
  <c r="Q489" i="45"/>
  <c r="S489" i="45"/>
  <c r="K489" i="45"/>
  <c r="N489" i="45"/>
  <c r="O489" i="45"/>
  <c r="G489" i="45"/>
  <c r="C489" i="45"/>
  <c r="B489" i="45"/>
  <c r="AE488" i="45"/>
  <c r="AD488" i="45"/>
  <c r="AC488" i="45"/>
  <c r="AB488" i="45"/>
  <c r="AA488" i="45"/>
  <c r="Z488" i="45"/>
  <c r="P488" i="45"/>
  <c r="R488" i="45"/>
  <c r="J488" i="45"/>
  <c r="L488" i="45"/>
  <c r="M488" i="45"/>
  <c r="Q488" i="45"/>
  <c r="S488" i="45"/>
  <c r="K488" i="45"/>
  <c r="N488" i="45"/>
  <c r="O488" i="45"/>
  <c r="G488" i="45"/>
  <c r="C488" i="45"/>
  <c r="B488" i="45"/>
  <c r="AE487" i="45"/>
  <c r="AD487" i="45"/>
  <c r="AC487" i="45"/>
  <c r="AB487" i="45"/>
  <c r="AA487" i="45"/>
  <c r="Z487" i="45"/>
  <c r="P487" i="45"/>
  <c r="R487" i="45"/>
  <c r="J487" i="45"/>
  <c r="L487" i="45"/>
  <c r="M487" i="45"/>
  <c r="Q487" i="45"/>
  <c r="S487" i="45"/>
  <c r="K487" i="45"/>
  <c r="N487" i="45"/>
  <c r="O487" i="45"/>
  <c r="G487" i="45"/>
  <c r="C487" i="45"/>
  <c r="B487" i="45"/>
  <c r="AE486" i="45"/>
  <c r="AD486" i="45"/>
  <c r="AC486" i="45"/>
  <c r="AB486" i="45"/>
  <c r="AA486" i="45"/>
  <c r="Z486" i="45"/>
  <c r="P486" i="45"/>
  <c r="R486" i="45"/>
  <c r="J486" i="45"/>
  <c r="L486" i="45"/>
  <c r="M486" i="45"/>
  <c r="Q486" i="45"/>
  <c r="S486" i="45"/>
  <c r="K486" i="45"/>
  <c r="N486" i="45"/>
  <c r="O486" i="45"/>
  <c r="G486" i="45"/>
  <c r="C486" i="45"/>
  <c r="B486" i="45"/>
  <c r="AE485" i="45"/>
  <c r="AD485" i="45"/>
  <c r="AC485" i="45"/>
  <c r="AB485" i="45"/>
  <c r="AA485" i="45"/>
  <c r="Z485" i="45"/>
  <c r="P485" i="45"/>
  <c r="R485" i="45"/>
  <c r="J485" i="45"/>
  <c r="L485" i="45"/>
  <c r="M485" i="45"/>
  <c r="Q485" i="45"/>
  <c r="S485" i="45"/>
  <c r="K485" i="45"/>
  <c r="N485" i="45"/>
  <c r="O485" i="45"/>
  <c r="G485" i="45"/>
  <c r="C485" i="45"/>
  <c r="B485" i="45"/>
  <c r="AE484" i="45"/>
  <c r="AD484" i="45"/>
  <c r="AC484" i="45"/>
  <c r="AB484" i="45"/>
  <c r="AA484" i="45"/>
  <c r="Z484" i="45"/>
  <c r="P484" i="45"/>
  <c r="R484" i="45"/>
  <c r="J484" i="45"/>
  <c r="L484" i="45"/>
  <c r="M484" i="45"/>
  <c r="Q484" i="45"/>
  <c r="S484" i="45"/>
  <c r="K484" i="45"/>
  <c r="N484" i="45"/>
  <c r="O484" i="45"/>
  <c r="G484" i="45"/>
  <c r="C484" i="45"/>
  <c r="B484" i="45"/>
  <c r="AE483" i="45"/>
  <c r="AD483" i="45"/>
  <c r="AC483" i="45"/>
  <c r="AB483" i="45"/>
  <c r="AA483" i="45"/>
  <c r="Z483" i="45"/>
  <c r="P483" i="45"/>
  <c r="R483" i="45"/>
  <c r="J483" i="45"/>
  <c r="L483" i="45"/>
  <c r="M483" i="45"/>
  <c r="Q483" i="45"/>
  <c r="S483" i="45"/>
  <c r="K483" i="45"/>
  <c r="N483" i="45"/>
  <c r="O483" i="45"/>
  <c r="G483" i="45"/>
  <c r="C483" i="45"/>
  <c r="B483" i="45"/>
  <c r="AE482" i="45"/>
  <c r="AD482" i="45"/>
  <c r="AC482" i="45"/>
  <c r="AB482" i="45"/>
  <c r="AA482" i="45"/>
  <c r="Z482" i="45"/>
  <c r="P482" i="45"/>
  <c r="R482" i="45"/>
  <c r="J482" i="45"/>
  <c r="L482" i="45"/>
  <c r="M482" i="45"/>
  <c r="Q482" i="45"/>
  <c r="S482" i="45"/>
  <c r="K482" i="45"/>
  <c r="N482" i="45"/>
  <c r="O482" i="45"/>
  <c r="G482" i="45"/>
  <c r="C482" i="45"/>
  <c r="B482" i="45"/>
  <c r="AE481" i="45"/>
  <c r="AD481" i="45"/>
  <c r="AC481" i="45"/>
  <c r="AB481" i="45"/>
  <c r="AA481" i="45"/>
  <c r="Z481" i="45"/>
  <c r="P481" i="45"/>
  <c r="R481" i="45"/>
  <c r="J481" i="45"/>
  <c r="L481" i="45"/>
  <c r="M481" i="45"/>
  <c r="Q481" i="45"/>
  <c r="S481" i="45"/>
  <c r="K481" i="45"/>
  <c r="N481" i="45"/>
  <c r="O481" i="45"/>
  <c r="G481" i="45"/>
  <c r="C481" i="45"/>
  <c r="B481" i="45"/>
  <c r="AE480" i="45"/>
  <c r="AD480" i="45"/>
  <c r="AC480" i="45"/>
  <c r="AB480" i="45"/>
  <c r="AA480" i="45"/>
  <c r="Z480" i="45"/>
  <c r="P480" i="45"/>
  <c r="R480" i="45"/>
  <c r="J480" i="45"/>
  <c r="L480" i="45"/>
  <c r="M480" i="45"/>
  <c r="Q480" i="45"/>
  <c r="S480" i="45"/>
  <c r="K480" i="45"/>
  <c r="N480" i="45"/>
  <c r="O480" i="45"/>
  <c r="G480" i="45"/>
  <c r="C480" i="45"/>
  <c r="B480" i="45"/>
  <c r="AE479" i="45"/>
  <c r="AD479" i="45"/>
  <c r="AC479" i="45"/>
  <c r="AB479" i="45"/>
  <c r="AA479" i="45"/>
  <c r="Z479" i="45"/>
  <c r="P479" i="45"/>
  <c r="R479" i="45"/>
  <c r="J479" i="45"/>
  <c r="L479" i="45"/>
  <c r="M479" i="45"/>
  <c r="Q479" i="45"/>
  <c r="S479" i="45"/>
  <c r="K479" i="45"/>
  <c r="N479" i="45"/>
  <c r="O479" i="45"/>
  <c r="G479" i="45"/>
  <c r="C479" i="45"/>
  <c r="B479" i="45"/>
  <c r="AE478" i="45"/>
  <c r="AD478" i="45"/>
  <c r="AC478" i="45"/>
  <c r="AB478" i="45"/>
  <c r="AA478" i="45"/>
  <c r="Z478" i="45"/>
  <c r="P478" i="45"/>
  <c r="R478" i="45"/>
  <c r="J478" i="45"/>
  <c r="L478" i="45"/>
  <c r="M478" i="45"/>
  <c r="Q478" i="45"/>
  <c r="S478" i="45"/>
  <c r="K478" i="45"/>
  <c r="N478" i="45"/>
  <c r="O478" i="45"/>
  <c r="G478" i="45"/>
  <c r="C478" i="45"/>
  <c r="B478" i="45"/>
  <c r="AE477" i="45"/>
  <c r="AD477" i="45"/>
  <c r="AC477" i="45"/>
  <c r="AB477" i="45"/>
  <c r="AA477" i="45"/>
  <c r="Z477" i="45"/>
  <c r="P477" i="45"/>
  <c r="R477" i="45"/>
  <c r="J477" i="45"/>
  <c r="L477" i="45"/>
  <c r="M477" i="45"/>
  <c r="Q477" i="45"/>
  <c r="S477" i="45"/>
  <c r="K477" i="45"/>
  <c r="N477" i="45"/>
  <c r="O477" i="45"/>
  <c r="G477" i="45"/>
  <c r="C477" i="45"/>
  <c r="B477" i="45"/>
  <c r="AE476" i="45"/>
  <c r="AD476" i="45"/>
  <c r="AC476" i="45"/>
  <c r="AB476" i="45"/>
  <c r="AA476" i="45"/>
  <c r="Z476" i="45"/>
  <c r="P476" i="45"/>
  <c r="R476" i="45"/>
  <c r="J476" i="45"/>
  <c r="L476" i="45"/>
  <c r="M476" i="45"/>
  <c r="Q476" i="45"/>
  <c r="S476" i="45"/>
  <c r="K476" i="45"/>
  <c r="N476" i="45"/>
  <c r="O476" i="45"/>
  <c r="G476" i="45"/>
  <c r="C476" i="45"/>
  <c r="B476" i="45"/>
  <c r="AE475" i="45"/>
  <c r="AD475" i="45"/>
  <c r="AC475" i="45"/>
  <c r="AB475" i="45"/>
  <c r="AA475" i="45"/>
  <c r="Z475" i="45"/>
  <c r="P475" i="45"/>
  <c r="R475" i="45"/>
  <c r="J475" i="45"/>
  <c r="L475" i="45"/>
  <c r="M475" i="45"/>
  <c r="Q475" i="45"/>
  <c r="S475" i="45"/>
  <c r="K475" i="45"/>
  <c r="N475" i="45"/>
  <c r="O475" i="45"/>
  <c r="G475" i="45"/>
  <c r="C475" i="45"/>
  <c r="B475" i="45"/>
  <c r="AE474" i="45"/>
  <c r="AD474" i="45"/>
  <c r="AC474" i="45"/>
  <c r="AB474" i="45"/>
  <c r="AA474" i="45"/>
  <c r="Z474" i="45"/>
  <c r="P474" i="45"/>
  <c r="R474" i="45"/>
  <c r="J474" i="45"/>
  <c r="L474" i="45"/>
  <c r="M474" i="45"/>
  <c r="Q474" i="45"/>
  <c r="S474" i="45"/>
  <c r="K474" i="45"/>
  <c r="N474" i="45"/>
  <c r="O474" i="45"/>
  <c r="G474" i="45"/>
  <c r="C474" i="45"/>
  <c r="B474" i="45"/>
  <c r="AE473" i="45"/>
  <c r="AD473" i="45"/>
  <c r="AC473" i="45"/>
  <c r="AB473" i="45"/>
  <c r="AA473" i="45"/>
  <c r="Z473" i="45"/>
  <c r="P473" i="45"/>
  <c r="R473" i="45"/>
  <c r="J473" i="45"/>
  <c r="L473" i="45"/>
  <c r="M473" i="45"/>
  <c r="Q473" i="45"/>
  <c r="S473" i="45"/>
  <c r="K473" i="45"/>
  <c r="N473" i="45"/>
  <c r="O473" i="45"/>
  <c r="G473" i="45"/>
  <c r="C473" i="45"/>
  <c r="B473" i="45"/>
  <c r="AE472" i="45"/>
  <c r="AD472" i="45"/>
  <c r="AC472" i="45"/>
  <c r="AB472" i="45"/>
  <c r="AA472" i="45"/>
  <c r="Z472" i="45"/>
  <c r="P472" i="45"/>
  <c r="R472" i="45"/>
  <c r="J472" i="45"/>
  <c r="L472" i="45"/>
  <c r="M472" i="45"/>
  <c r="Q472" i="45"/>
  <c r="S472" i="45"/>
  <c r="K472" i="45"/>
  <c r="N472" i="45"/>
  <c r="O472" i="45"/>
  <c r="G472" i="45"/>
  <c r="C472" i="45"/>
  <c r="B472" i="45"/>
  <c r="AE471" i="45"/>
  <c r="AD471" i="45"/>
  <c r="AC471" i="45"/>
  <c r="AB471" i="45"/>
  <c r="AA471" i="45"/>
  <c r="Z471" i="45"/>
  <c r="P471" i="45"/>
  <c r="R471" i="45"/>
  <c r="J471" i="45"/>
  <c r="L471" i="45"/>
  <c r="M471" i="45"/>
  <c r="Q471" i="45"/>
  <c r="S471" i="45"/>
  <c r="K471" i="45"/>
  <c r="N471" i="45"/>
  <c r="O471" i="45"/>
  <c r="G471" i="45"/>
  <c r="C471" i="45"/>
  <c r="B471" i="45"/>
  <c r="AE470" i="45"/>
  <c r="AD470" i="45"/>
  <c r="AC470" i="45"/>
  <c r="AB470" i="45"/>
  <c r="AA470" i="45"/>
  <c r="Z470" i="45"/>
  <c r="P470" i="45"/>
  <c r="R470" i="45"/>
  <c r="J470" i="45"/>
  <c r="L470" i="45"/>
  <c r="M470" i="45"/>
  <c r="Q470" i="45"/>
  <c r="S470" i="45"/>
  <c r="K470" i="45"/>
  <c r="N470" i="45"/>
  <c r="O470" i="45"/>
  <c r="G470" i="45"/>
  <c r="C470" i="45"/>
  <c r="B470" i="45"/>
  <c r="AE469" i="45"/>
  <c r="AD469" i="45"/>
  <c r="AC469" i="45"/>
  <c r="AB469" i="45"/>
  <c r="AA469" i="45"/>
  <c r="Z469" i="45"/>
  <c r="P469" i="45"/>
  <c r="R469" i="45"/>
  <c r="J469" i="45"/>
  <c r="L469" i="45"/>
  <c r="M469" i="45"/>
  <c r="Q469" i="45"/>
  <c r="S469" i="45"/>
  <c r="K469" i="45"/>
  <c r="N469" i="45"/>
  <c r="O469" i="45"/>
  <c r="G469" i="45"/>
  <c r="C469" i="45"/>
  <c r="B469" i="45"/>
  <c r="AE468" i="45"/>
  <c r="AD468" i="45"/>
  <c r="AC468" i="45"/>
  <c r="AB468" i="45"/>
  <c r="AA468" i="45"/>
  <c r="Z468" i="45"/>
  <c r="P468" i="45"/>
  <c r="R468" i="45"/>
  <c r="J468" i="45"/>
  <c r="L468" i="45"/>
  <c r="M468" i="45"/>
  <c r="Q468" i="45"/>
  <c r="S468" i="45"/>
  <c r="K468" i="45"/>
  <c r="N468" i="45"/>
  <c r="O468" i="45"/>
  <c r="G468" i="45"/>
  <c r="C468" i="45"/>
  <c r="B468" i="45"/>
  <c r="AE467" i="45"/>
  <c r="AD467" i="45"/>
  <c r="AC467" i="45"/>
  <c r="AB467" i="45"/>
  <c r="AA467" i="45"/>
  <c r="Z467" i="45"/>
  <c r="P467" i="45"/>
  <c r="R467" i="45"/>
  <c r="J467" i="45"/>
  <c r="L467" i="45"/>
  <c r="M467" i="45"/>
  <c r="Q467" i="45"/>
  <c r="S467" i="45"/>
  <c r="K467" i="45"/>
  <c r="N467" i="45"/>
  <c r="O467" i="45"/>
  <c r="G467" i="45"/>
  <c r="C467" i="45"/>
  <c r="B467" i="45"/>
  <c r="AE466" i="45"/>
  <c r="AD466" i="45"/>
  <c r="AC466" i="45"/>
  <c r="AB466" i="45"/>
  <c r="AA466" i="45"/>
  <c r="Z466" i="45"/>
  <c r="P466" i="45"/>
  <c r="R466" i="45"/>
  <c r="J466" i="45"/>
  <c r="L466" i="45"/>
  <c r="M466" i="45"/>
  <c r="Q466" i="45"/>
  <c r="S466" i="45"/>
  <c r="K466" i="45"/>
  <c r="N466" i="45"/>
  <c r="O466" i="45"/>
  <c r="G466" i="45"/>
  <c r="C466" i="45"/>
  <c r="B466" i="45"/>
  <c r="AE465" i="45"/>
  <c r="AD465" i="45"/>
  <c r="AC465" i="45"/>
  <c r="AB465" i="45"/>
  <c r="AA465" i="45"/>
  <c r="Z465" i="45"/>
  <c r="P465" i="45"/>
  <c r="R465" i="45"/>
  <c r="J465" i="45"/>
  <c r="L465" i="45"/>
  <c r="M465" i="45"/>
  <c r="Q465" i="45"/>
  <c r="S465" i="45"/>
  <c r="K465" i="45"/>
  <c r="N465" i="45"/>
  <c r="O465" i="45"/>
  <c r="G465" i="45"/>
  <c r="C465" i="45"/>
  <c r="B465" i="45"/>
  <c r="AE464" i="45"/>
  <c r="AD464" i="45"/>
  <c r="AC464" i="45"/>
  <c r="AB464" i="45"/>
  <c r="AA464" i="45"/>
  <c r="Z464" i="45"/>
  <c r="P464" i="45"/>
  <c r="R464" i="45"/>
  <c r="J464" i="45"/>
  <c r="L464" i="45"/>
  <c r="M464" i="45"/>
  <c r="Q464" i="45"/>
  <c r="S464" i="45"/>
  <c r="K464" i="45"/>
  <c r="N464" i="45"/>
  <c r="O464" i="45"/>
  <c r="G464" i="45"/>
  <c r="C464" i="45"/>
  <c r="B464" i="45"/>
  <c r="AE463" i="45"/>
  <c r="AD463" i="45"/>
  <c r="AC463" i="45"/>
  <c r="AB463" i="45"/>
  <c r="AA463" i="45"/>
  <c r="Z463" i="45"/>
  <c r="P463" i="45"/>
  <c r="R463" i="45"/>
  <c r="J463" i="45"/>
  <c r="L463" i="45"/>
  <c r="M463" i="45"/>
  <c r="Q463" i="45"/>
  <c r="S463" i="45"/>
  <c r="K463" i="45"/>
  <c r="N463" i="45"/>
  <c r="O463" i="45"/>
  <c r="G463" i="45"/>
  <c r="C463" i="45"/>
  <c r="B463" i="45"/>
  <c r="AE462" i="45"/>
  <c r="AD462" i="45"/>
  <c r="AC462" i="45"/>
  <c r="AB462" i="45"/>
  <c r="AA462" i="45"/>
  <c r="Z462" i="45"/>
  <c r="P462" i="45"/>
  <c r="R462" i="45"/>
  <c r="J462" i="45"/>
  <c r="L462" i="45"/>
  <c r="M462" i="45"/>
  <c r="Q462" i="45"/>
  <c r="S462" i="45"/>
  <c r="K462" i="45"/>
  <c r="N462" i="45"/>
  <c r="O462" i="45"/>
  <c r="G462" i="45"/>
  <c r="C462" i="45"/>
  <c r="B462" i="45"/>
  <c r="AE461" i="45"/>
  <c r="AD461" i="45"/>
  <c r="AC461" i="45"/>
  <c r="AB461" i="45"/>
  <c r="AA461" i="45"/>
  <c r="Z461" i="45"/>
  <c r="P461" i="45"/>
  <c r="R461" i="45"/>
  <c r="J461" i="45"/>
  <c r="L461" i="45"/>
  <c r="M461" i="45"/>
  <c r="Q461" i="45"/>
  <c r="S461" i="45"/>
  <c r="K461" i="45"/>
  <c r="N461" i="45"/>
  <c r="O461" i="45"/>
  <c r="G461" i="45"/>
  <c r="C461" i="45"/>
  <c r="B461" i="45"/>
  <c r="AE460" i="45"/>
  <c r="AD460" i="45"/>
  <c r="AC460" i="45"/>
  <c r="AB460" i="45"/>
  <c r="AA460" i="45"/>
  <c r="Z460" i="45"/>
  <c r="P460" i="45"/>
  <c r="R460" i="45"/>
  <c r="J460" i="45"/>
  <c r="L460" i="45"/>
  <c r="M460" i="45"/>
  <c r="Q460" i="45"/>
  <c r="S460" i="45"/>
  <c r="K460" i="45"/>
  <c r="N460" i="45"/>
  <c r="O460" i="45"/>
  <c r="G460" i="45"/>
  <c r="C460" i="45"/>
  <c r="B460" i="45"/>
  <c r="AE459" i="45"/>
  <c r="AD459" i="45"/>
  <c r="AC459" i="45"/>
  <c r="AB459" i="45"/>
  <c r="AA459" i="45"/>
  <c r="Z459" i="45"/>
  <c r="P459" i="45"/>
  <c r="R459" i="45"/>
  <c r="J459" i="45"/>
  <c r="L459" i="45"/>
  <c r="M459" i="45"/>
  <c r="Q459" i="45"/>
  <c r="S459" i="45"/>
  <c r="K459" i="45"/>
  <c r="N459" i="45"/>
  <c r="O459" i="45"/>
  <c r="G459" i="45"/>
  <c r="C459" i="45"/>
  <c r="B459" i="45"/>
  <c r="AE458" i="45"/>
  <c r="AD458" i="45"/>
  <c r="AC458" i="45"/>
  <c r="AB458" i="45"/>
  <c r="AA458" i="45"/>
  <c r="Z458" i="45"/>
  <c r="P458" i="45"/>
  <c r="R458" i="45"/>
  <c r="J458" i="45"/>
  <c r="L458" i="45"/>
  <c r="M458" i="45"/>
  <c r="Q458" i="45"/>
  <c r="S458" i="45"/>
  <c r="K458" i="45"/>
  <c r="N458" i="45"/>
  <c r="O458" i="45"/>
  <c r="G458" i="45"/>
  <c r="C458" i="45"/>
  <c r="B458" i="45"/>
  <c r="AE457" i="45"/>
  <c r="AD457" i="45"/>
  <c r="AC457" i="45"/>
  <c r="AB457" i="45"/>
  <c r="AA457" i="45"/>
  <c r="Z457" i="45"/>
  <c r="P457" i="45"/>
  <c r="R457" i="45"/>
  <c r="J457" i="45"/>
  <c r="L457" i="45"/>
  <c r="M457" i="45"/>
  <c r="Q457" i="45"/>
  <c r="S457" i="45"/>
  <c r="K457" i="45"/>
  <c r="N457" i="45"/>
  <c r="O457" i="45"/>
  <c r="G457" i="45"/>
  <c r="C457" i="45"/>
  <c r="B457" i="45"/>
  <c r="AE456" i="45"/>
  <c r="AD456" i="45"/>
  <c r="AC456" i="45"/>
  <c r="AB456" i="45"/>
  <c r="AA456" i="45"/>
  <c r="Z456" i="45"/>
  <c r="P456" i="45"/>
  <c r="R456" i="45"/>
  <c r="J456" i="45"/>
  <c r="L456" i="45"/>
  <c r="M456" i="45"/>
  <c r="Q456" i="45"/>
  <c r="S456" i="45"/>
  <c r="K456" i="45"/>
  <c r="N456" i="45"/>
  <c r="O456" i="45"/>
  <c r="G456" i="45"/>
  <c r="C456" i="45"/>
  <c r="B456" i="45"/>
  <c r="AE455" i="45"/>
  <c r="AD455" i="45"/>
  <c r="AC455" i="45"/>
  <c r="AB455" i="45"/>
  <c r="AA455" i="45"/>
  <c r="Z455" i="45"/>
  <c r="P455" i="45"/>
  <c r="R455" i="45"/>
  <c r="J455" i="45"/>
  <c r="L455" i="45"/>
  <c r="M455" i="45"/>
  <c r="Q455" i="45"/>
  <c r="S455" i="45"/>
  <c r="K455" i="45"/>
  <c r="N455" i="45"/>
  <c r="O455" i="45"/>
  <c r="G455" i="45"/>
  <c r="C455" i="45"/>
  <c r="B455" i="45"/>
  <c r="AE454" i="45"/>
  <c r="AD454" i="45"/>
  <c r="AC454" i="45"/>
  <c r="AB454" i="45"/>
  <c r="AA454" i="45"/>
  <c r="Z454" i="45"/>
  <c r="P454" i="45"/>
  <c r="R454" i="45"/>
  <c r="J454" i="45"/>
  <c r="L454" i="45"/>
  <c r="M454" i="45"/>
  <c r="Q454" i="45"/>
  <c r="S454" i="45"/>
  <c r="K454" i="45"/>
  <c r="N454" i="45"/>
  <c r="O454" i="45"/>
  <c r="G454" i="45"/>
  <c r="C454" i="45"/>
  <c r="B454" i="45"/>
  <c r="AE453" i="45"/>
  <c r="AD453" i="45"/>
  <c r="AC453" i="45"/>
  <c r="AB453" i="45"/>
  <c r="AA453" i="45"/>
  <c r="Z453" i="45"/>
  <c r="P453" i="45"/>
  <c r="R453" i="45"/>
  <c r="J453" i="45"/>
  <c r="L453" i="45"/>
  <c r="M453" i="45"/>
  <c r="Q453" i="45"/>
  <c r="S453" i="45"/>
  <c r="K453" i="45"/>
  <c r="N453" i="45"/>
  <c r="O453" i="45"/>
  <c r="G453" i="45"/>
  <c r="C453" i="45"/>
  <c r="B453" i="45"/>
  <c r="AE452" i="45"/>
  <c r="AD452" i="45"/>
  <c r="AC452" i="45"/>
  <c r="AB452" i="45"/>
  <c r="AA452" i="45"/>
  <c r="Z452" i="45"/>
  <c r="P452" i="45"/>
  <c r="R452" i="45"/>
  <c r="J452" i="45"/>
  <c r="L452" i="45"/>
  <c r="M452" i="45"/>
  <c r="Q452" i="45"/>
  <c r="S452" i="45"/>
  <c r="K452" i="45"/>
  <c r="N452" i="45"/>
  <c r="O452" i="45"/>
  <c r="G452" i="45"/>
  <c r="C452" i="45"/>
  <c r="B452" i="45"/>
  <c r="AE451" i="45"/>
  <c r="AD451" i="45"/>
  <c r="AC451" i="45"/>
  <c r="AB451" i="45"/>
  <c r="AA451" i="45"/>
  <c r="Z451" i="45"/>
  <c r="P451" i="45"/>
  <c r="R451" i="45"/>
  <c r="J451" i="45"/>
  <c r="L451" i="45"/>
  <c r="M451" i="45"/>
  <c r="Q451" i="45"/>
  <c r="S451" i="45"/>
  <c r="K451" i="45"/>
  <c r="N451" i="45"/>
  <c r="O451" i="45"/>
  <c r="G451" i="45"/>
  <c r="C451" i="45"/>
  <c r="B451" i="45"/>
  <c r="AE450" i="45"/>
  <c r="AD450" i="45"/>
  <c r="AC450" i="45"/>
  <c r="AB450" i="45"/>
  <c r="AA450" i="45"/>
  <c r="Z450" i="45"/>
  <c r="P450" i="45"/>
  <c r="R450" i="45"/>
  <c r="J450" i="45"/>
  <c r="L450" i="45"/>
  <c r="M450" i="45"/>
  <c r="Q450" i="45"/>
  <c r="S450" i="45"/>
  <c r="K450" i="45"/>
  <c r="N450" i="45"/>
  <c r="O450" i="45"/>
  <c r="G450" i="45"/>
  <c r="C450" i="45"/>
  <c r="B450" i="45"/>
  <c r="AE449" i="45"/>
  <c r="AD449" i="45"/>
  <c r="AC449" i="45"/>
  <c r="AB449" i="45"/>
  <c r="AA449" i="45"/>
  <c r="Z449" i="45"/>
  <c r="P449" i="45"/>
  <c r="R449" i="45"/>
  <c r="J449" i="45"/>
  <c r="L449" i="45"/>
  <c r="M449" i="45"/>
  <c r="Q449" i="45"/>
  <c r="S449" i="45"/>
  <c r="K449" i="45"/>
  <c r="N449" i="45"/>
  <c r="O449" i="45"/>
  <c r="G449" i="45"/>
  <c r="C449" i="45"/>
  <c r="B449" i="45"/>
  <c r="AE448" i="45"/>
  <c r="AD448" i="45"/>
  <c r="AC448" i="45"/>
  <c r="AB448" i="45"/>
  <c r="AA448" i="45"/>
  <c r="Z448" i="45"/>
  <c r="P448" i="45"/>
  <c r="R448" i="45"/>
  <c r="J448" i="45"/>
  <c r="L448" i="45"/>
  <c r="M448" i="45"/>
  <c r="Q448" i="45"/>
  <c r="S448" i="45"/>
  <c r="K448" i="45"/>
  <c r="N448" i="45"/>
  <c r="O448" i="45"/>
  <c r="G448" i="45"/>
  <c r="C448" i="45"/>
  <c r="B448" i="45"/>
  <c r="AE447" i="45"/>
  <c r="AD447" i="45"/>
  <c r="AC447" i="45"/>
  <c r="AB447" i="45"/>
  <c r="AA447" i="45"/>
  <c r="Z447" i="45"/>
  <c r="P447" i="45"/>
  <c r="R447" i="45"/>
  <c r="J447" i="45"/>
  <c r="L447" i="45"/>
  <c r="M447" i="45"/>
  <c r="Q447" i="45"/>
  <c r="S447" i="45"/>
  <c r="K447" i="45"/>
  <c r="N447" i="45"/>
  <c r="O447" i="45"/>
  <c r="G447" i="45"/>
  <c r="C447" i="45"/>
  <c r="B447" i="45"/>
  <c r="AE446" i="45"/>
  <c r="AD446" i="45"/>
  <c r="AC446" i="45"/>
  <c r="AB446" i="45"/>
  <c r="AA446" i="45"/>
  <c r="Z446" i="45"/>
  <c r="P446" i="45"/>
  <c r="R446" i="45"/>
  <c r="J446" i="45"/>
  <c r="L446" i="45"/>
  <c r="M446" i="45"/>
  <c r="Q446" i="45"/>
  <c r="S446" i="45"/>
  <c r="K446" i="45"/>
  <c r="N446" i="45"/>
  <c r="O446" i="45"/>
  <c r="G446" i="45"/>
  <c r="C446" i="45"/>
  <c r="B446" i="45"/>
  <c r="AE445" i="45"/>
  <c r="AD445" i="45"/>
  <c r="AC445" i="45"/>
  <c r="AB445" i="45"/>
  <c r="AA445" i="45"/>
  <c r="Z445" i="45"/>
  <c r="P445" i="45"/>
  <c r="R445" i="45"/>
  <c r="J445" i="45"/>
  <c r="L445" i="45"/>
  <c r="M445" i="45"/>
  <c r="Q445" i="45"/>
  <c r="S445" i="45"/>
  <c r="K445" i="45"/>
  <c r="N445" i="45"/>
  <c r="O445" i="45"/>
  <c r="G445" i="45"/>
  <c r="C445" i="45"/>
  <c r="B445" i="45"/>
  <c r="AE444" i="45"/>
  <c r="AD444" i="45"/>
  <c r="AC444" i="45"/>
  <c r="AB444" i="45"/>
  <c r="AA444" i="45"/>
  <c r="Z444" i="45"/>
  <c r="P444" i="45"/>
  <c r="R444" i="45"/>
  <c r="J444" i="45"/>
  <c r="L444" i="45"/>
  <c r="M444" i="45"/>
  <c r="Q444" i="45"/>
  <c r="S444" i="45"/>
  <c r="K444" i="45"/>
  <c r="N444" i="45"/>
  <c r="O444" i="45"/>
  <c r="G444" i="45"/>
  <c r="C444" i="45"/>
  <c r="B444" i="45"/>
  <c r="AE443" i="45"/>
  <c r="AD443" i="45"/>
  <c r="AC443" i="45"/>
  <c r="AB443" i="45"/>
  <c r="AA443" i="45"/>
  <c r="Z443" i="45"/>
  <c r="P443" i="45"/>
  <c r="R443" i="45"/>
  <c r="J443" i="45"/>
  <c r="L443" i="45"/>
  <c r="M443" i="45"/>
  <c r="Q443" i="45"/>
  <c r="S443" i="45"/>
  <c r="K443" i="45"/>
  <c r="N443" i="45"/>
  <c r="O443" i="45"/>
  <c r="G443" i="45"/>
  <c r="C443" i="45"/>
  <c r="B443" i="45"/>
  <c r="AE442" i="45"/>
  <c r="AD442" i="45"/>
  <c r="AC442" i="45"/>
  <c r="AB442" i="45"/>
  <c r="AA442" i="45"/>
  <c r="Z442" i="45"/>
  <c r="P442" i="45"/>
  <c r="R442" i="45"/>
  <c r="J442" i="45"/>
  <c r="L442" i="45"/>
  <c r="M442" i="45"/>
  <c r="Q442" i="45"/>
  <c r="S442" i="45"/>
  <c r="K442" i="45"/>
  <c r="N442" i="45"/>
  <c r="O442" i="45"/>
  <c r="G442" i="45"/>
  <c r="C442" i="45"/>
  <c r="B442" i="45"/>
  <c r="AE441" i="45"/>
  <c r="AD441" i="45"/>
  <c r="AC441" i="45"/>
  <c r="AB441" i="45"/>
  <c r="AA441" i="45"/>
  <c r="Z441" i="45"/>
  <c r="P441" i="45"/>
  <c r="R441" i="45"/>
  <c r="J441" i="45"/>
  <c r="L441" i="45"/>
  <c r="M441" i="45"/>
  <c r="Q441" i="45"/>
  <c r="S441" i="45"/>
  <c r="K441" i="45"/>
  <c r="N441" i="45"/>
  <c r="O441" i="45"/>
  <c r="G441" i="45"/>
  <c r="C441" i="45"/>
  <c r="B441" i="45"/>
  <c r="AE440" i="45"/>
  <c r="AD440" i="45"/>
  <c r="AC440" i="45"/>
  <c r="AB440" i="45"/>
  <c r="AA440" i="45"/>
  <c r="Z440" i="45"/>
  <c r="P440" i="45"/>
  <c r="R440" i="45"/>
  <c r="J440" i="45"/>
  <c r="L440" i="45"/>
  <c r="M440" i="45"/>
  <c r="Q440" i="45"/>
  <c r="S440" i="45"/>
  <c r="K440" i="45"/>
  <c r="N440" i="45"/>
  <c r="O440" i="45"/>
  <c r="G440" i="45"/>
  <c r="C440" i="45"/>
  <c r="B440" i="45"/>
  <c r="AE439" i="45"/>
  <c r="AD439" i="45"/>
  <c r="AC439" i="45"/>
  <c r="AB439" i="45"/>
  <c r="AA439" i="45"/>
  <c r="Z439" i="45"/>
  <c r="P439" i="45"/>
  <c r="R439" i="45"/>
  <c r="J439" i="45"/>
  <c r="L439" i="45"/>
  <c r="M439" i="45"/>
  <c r="Q439" i="45"/>
  <c r="S439" i="45"/>
  <c r="K439" i="45"/>
  <c r="N439" i="45"/>
  <c r="O439" i="45"/>
  <c r="G439" i="45"/>
  <c r="C439" i="45"/>
  <c r="B439" i="45"/>
  <c r="AE438" i="45"/>
  <c r="AD438" i="45"/>
  <c r="AC438" i="45"/>
  <c r="AB438" i="45"/>
  <c r="AA438" i="45"/>
  <c r="Z438" i="45"/>
  <c r="P438" i="45"/>
  <c r="R438" i="45"/>
  <c r="J438" i="45"/>
  <c r="L438" i="45"/>
  <c r="M438" i="45"/>
  <c r="Q438" i="45"/>
  <c r="S438" i="45"/>
  <c r="K438" i="45"/>
  <c r="N438" i="45"/>
  <c r="O438" i="45"/>
  <c r="G438" i="45"/>
  <c r="C438" i="45"/>
  <c r="B438" i="45"/>
  <c r="AE437" i="45"/>
  <c r="AD437" i="45"/>
  <c r="AC437" i="45"/>
  <c r="AB437" i="45"/>
  <c r="AA437" i="45"/>
  <c r="Z437" i="45"/>
  <c r="P437" i="45"/>
  <c r="R437" i="45"/>
  <c r="J437" i="45"/>
  <c r="L437" i="45"/>
  <c r="M437" i="45"/>
  <c r="Q437" i="45"/>
  <c r="S437" i="45"/>
  <c r="K437" i="45"/>
  <c r="N437" i="45"/>
  <c r="O437" i="45"/>
  <c r="G437" i="45"/>
  <c r="C437" i="45"/>
  <c r="B437" i="45"/>
  <c r="AE436" i="45"/>
  <c r="AD436" i="45"/>
  <c r="AC436" i="45"/>
  <c r="AB436" i="45"/>
  <c r="AA436" i="45"/>
  <c r="Z436" i="45"/>
  <c r="P436" i="45"/>
  <c r="R436" i="45"/>
  <c r="J436" i="45"/>
  <c r="L436" i="45"/>
  <c r="M436" i="45"/>
  <c r="Q436" i="45"/>
  <c r="S436" i="45"/>
  <c r="K436" i="45"/>
  <c r="N436" i="45"/>
  <c r="O436" i="45"/>
  <c r="G436" i="45"/>
  <c r="C436" i="45"/>
  <c r="B436" i="45"/>
  <c r="AE435" i="45"/>
  <c r="AD435" i="45"/>
  <c r="AC435" i="45"/>
  <c r="AB435" i="45"/>
  <c r="AA435" i="45"/>
  <c r="Z435" i="45"/>
  <c r="P435" i="45"/>
  <c r="R435" i="45"/>
  <c r="J435" i="45"/>
  <c r="L435" i="45"/>
  <c r="M435" i="45"/>
  <c r="Q435" i="45"/>
  <c r="S435" i="45"/>
  <c r="K435" i="45"/>
  <c r="N435" i="45"/>
  <c r="O435" i="45"/>
  <c r="G435" i="45"/>
  <c r="C435" i="45"/>
  <c r="B435" i="45"/>
  <c r="AE434" i="45"/>
  <c r="AD434" i="45"/>
  <c r="AC434" i="45"/>
  <c r="AB434" i="45"/>
  <c r="AA434" i="45"/>
  <c r="Z434" i="45"/>
  <c r="P434" i="45"/>
  <c r="R434" i="45"/>
  <c r="J434" i="45"/>
  <c r="L434" i="45"/>
  <c r="M434" i="45"/>
  <c r="Q434" i="45"/>
  <c r="S434" i="45"/>
  <c r="K434" i="45"/>
  <c r="N434" i="45"/>
  <c r="O434" i="45"/>
  <c r="G434" i="45"/>
  <c r="C434" i="45"/>
  <c r="B434" i="45"/>
  <c r="AE433" i="45"/>
  <c r="AD433" i="45"/>
  <c r="AC433" i="45"/>
  <c r="AB433" i="45"/>
  <c r="AA433" i="45"/>
  <c r="Z433" i="45"/>
  <c r="P433" i="45"/>
  <c r="R433" i="45"/>
  <c r="J433" i="45"/>
  <c r="L433" i="45"/>
  <c r="M433" i="45"/>
  <c r="Q433" i="45"/>
  <c r="S433" i="45"/>
  <c r="K433" i="45"/>
  <c r="N433" i="45"/>
  <c r="O433" i="45"/>
  <c r="G433" i="45"/>
  <c r="C433" i="45"/>
  <c r="B433" i="45"/>
  <c r="AE432" i="45"/>
  <c r="AD432" i="45"/>
  <c r="AC432" i="45"/>
  <c r="AB432" i="45"/>
  <c r="AA432" i="45"/>
  <c r="Z432" i="45"/>
  <c r="P432" i="45"/>
  <c r="R432" i="45"/>
  <c r="J432" i="45"/>
  <c r="L432" i="45"/>
  <c r="M432" i="45"/>
  <c r="Q432" i="45"/>
  <c r="S432" i="45"/>
  <c r="K432" i="45"/>
  <c r="N432" i="45"/>
  <c r="O432" i="45"/>
  <c r="G432" i="45"/>
  <c r="C432" i="45"/>
  <c r="B432" i="45"/>
  <c r="AE431" i="45"/>
  <c r="AD431" i="45"/>
  <c r="AC431" i="45"/>
  <c r="AB431" i="45"/>
  <c r="AA431" i="45"/>
  <c r="Z431" i="45"/>
  <c r="P431" i="45"/>
  <c r="R431" i="45"/>
  <c r="J431" i="45"/>
  <c r="L431" i="45"/>
  <c r="M431" i="45"/>
  <c r="Q431" i="45"/>
  <c r="S431" i="45"/>
  <c r="K431" i="45"/>
  <c r="N431" i="45"/>
  <c r="O431" i="45"/>
  <c r="G431" i="45"/>
  <c r="C431" i="45"/>
  <c r="B431" i="45"/>
  <c r="AE430" i="45"/>
  <c r="AD430" i="45"/>
  <c r="AC430" i="45"/>
  <c r="AB430" i="45"/>
  <c r="AA430" i="45"/>
  <c r="Z430" i="45"/>
  <c r="P430" i="45"/>
  <c r="R430" i="45"/>
  <c r="J430" i="45"/>
  <c r="L430" i="45"/>
  <c r="M430" i="45"/>
  <c r="Q430" i="45"/>
  <c r="S430" i="45"/>
  <c r="K430" i="45"/>
  <c r="N430" i="45"/>
  <c r="O430" i="45"/>
  <c r="G430" i="45"/>
  <c r="C430" i="45"/>
  <c r="B430" i="45"/>
  <c r="AE429" i="45"/>
  <c r="AD429" i="45"/>
  <c r="AC429" i="45"/>
  <c r="AB429" i="45"/>
  <c r="AA429" i="45"/>
  <c r="Z429" i="45"/>
  <c r="P429" i="45"/>
  <c r="R429" i="45"/>
  <c r="J429" i="45"/>
  <c r="L429" i="45"/>
  <c r="M429" i="45"/>
  <c r="Q429" i="45"/>
  <c r="S429" i="45"/>
  <c r="K429" i="45"/>
  <c r="N429" i="45"/>
  <c r="O429" i="45"/>
  <c r="G429" i="45"/>
  <c r="C429" i="45"/>
  <c r="B429" i="45"/>
  <c r="AE428" i="45"/>
  <c r="AD428" i="45"/>
  <c r="AC428" i="45"/>
  <c r="AB428" i="45"/>
  <c r="AA428" i="45"/>
  <c r="Z428" i="45"/>
  <c r="P428" i="45"/>
  <c r="R428" i="45"/>
  <c r="J428" i="45"/>
  <c r="L428" i="45"/>
  <c r="M428" i="45"/>
  <c r="Q428" i="45"/>
  <c r="S428" i="45"/>
  <c r="K428" i="45"/>
  <c r="N428" i="45"/>
  <c r="O428" i="45"/>
  <c r="G428" i="45"/>
  <c r="C428" i="45"/>
  <c r="B428" i="45"/>
  <c r="AE427" i="45"/>
  <c r="AD427" i="45"/>
  <c r="AC427" i="45"/>
  <c r="AB427" i="45"/>
  <c r="AA427" i="45"/>
  <c r="Z427" i="45"/>
  <c r="P427" i="45"/>
  <c r="R427" i="45"/>
  <c r="J427" i="45"/>
  <c r="L427" i="45"/>
  <c r="M427" i="45"/>
  <c r="Q427" i="45"/>
  <c r="S427" i="45"/>
  <c r="K427" i="45"/>
  <c r="N427" i="45"/>
  <c r="O427" i="45"/>
  <c r="G427" i="45"/>
  <c r="C427" i="45"/>
  <c r="B427" i="45"/>
  <c r="AE426" i="45"/>
  <c r="AD426" i="45"/>
  <c r="AC426" i="45"/>
  <c r="AB426" i="45"/>
  <c r="AA426" i="45"/>
  <c r="Z426" i="45"/>
  <c r="P426" i="45"/>
  <c r="R426" i="45"/>
  <c r="J426" i="45"/>
  <c r="L426" i="45"/>
  <c r="M426" i="45"/>
  <c r="Q426" i="45"/>
  <c r="S426" i="45"/>
  <c r="K426" i="45"/>
  <c r="N426" i="45"/>
  <c r="O426" i="45"/>
  <c r="G426" i="45"/>
  <c r="C426" i="45"/>
  <c r="B426" i="45"/>
  <c r="AE425" i="45"/>
  <c r="AD425" i="45"/>
  <c r="AC425" i="45"/>
  <c r="AB425" i="45"/>
  <c r="AA425" i="45"/>
  <c r="Z425" i="45"/>
  <c r="P425" i="45"/>
  <c r="R425" i="45"/>
  <c r="J425" i="45"/>
  <c r="L425" i="45"/>
  <c r="M425" i="45"/>
  <c r="Q425" i="45"/>
  <c r="S425" i="45"/>
  <c r="K425" i="45"/>
  <c r="N425" i="45"/>
  <c r="O425" i="45"/>
  <c r="G425" i="45"/>
  <c r="C425" i="45"/>
  <c r="B425" i="45"/>
  <c r="AE424" i="45"/>
  <c r="AD424" i="45"/>
  <c r="AC424" i="45"/>
  <c r="AB424" i="45"/>
  <c r="AA424" i="45"/>
  <c r="Z424" i="45"/>
  <c r="P424" i="45"/>
  <c r="R424" i="45"/>
  <c r="J424" i="45"/>
  <c r="L424" i="45"/>
  <c r="M424" i="45"/>
  <c r="Q424" i="45"/>
  <c r="S424" i="45"/>
  <c r="K424" i="45"/>
  <c r="N424" i="45"/>
  <c r="O424" i="45"/>
  <c r="G424" i="45"/>
  <c r="C424" i="45"/>
  <c r="B424" i="45"/>
  <c r="AE423" i="45"/>
  <c r="AD423" i="45"/>
  <c r="AC423" i="45"/>
  <c r="AB423" i="45"/>
  <c r="AA423" i="45"/>
  <c r="Z423" i="45"/>
  <c r="P423" i="45"/>
  <c r="R423" i="45"/>
  <c r="J423" i="45"/>
  <c r="L423" i="45"/>
  <c r="M423" i="45"/>
  <c r="Q423" i="45"/>
  <c r="S423" i="45"/>
  <c r="K423" i="45"/>
  <c r="N423" i="45"/>
  <c r="O423" i="45"/>
  <c r="G423" i="45"/>
  <c r="C423" i="45"/>
  <c r="B423" i="45"/>
  <c r="AE422" i="45"/>
  <c r="AD422" i="45"/>
  <c r="AC422" i="45"/>
  <c r="AB422" i="45"/>
  <c r="AA422" i="45"/>
  <c r="Z422" i="45"/>
  <c r="P422" i="45"/>
  <c r="R422" i="45"/>
  <c r="J422" i="45"/>
  <c r="L422" i="45"/>
  <c r="M422" i="45"/>
  <c r="Q422" i="45"/>
  <c r="S422" i="45"/>
  <c r="K422" i="45"/>
  <c r="N422" i="45"/>
  <c r="O422" i="45"/>
  <c r="G422" i="45"/>
  <c r="C422" i="45"/>
  <c r="B422" i="45"/>
  <c r="AE421" i="45"/>
  <c r="AD421" i="45"/>
  <c r="AC421" i="45"/>
  <c r="AB421" i="45"/>
  <c r="AA421" i="45"/>
  <c r="Z421" i="45"/>
  <c r="P421" i="45"/>
  <c r="R421" i="45"/>
  <c r="J421" i="45"/>
  <c r="L421" i="45"/>
  <c r="M421" i="45"/>
  <c r="Q421" i="45"/>
  <c r="S421" i="45"/>
  <c r="K421" i="45"/>
  <c r="N421" i="45"/>
  <c r="O421" i="45"/>
  <c r="G421" i="45"/>
  <c r="C421" i="45"/>
  <c r="B421" i="45"/>
  <c r="AE420" i="45"/>
  <c r="AD420" i="45"/>
  <c r="AC420" i="45"/>
  <c r="AB420" i="45"/>
  <c r="AA420" i="45"/>
  <c r="Z420" i="45"/>
  <c r="P420" i="45"/>
  <c r="R420" i="45"/>
  <c r="J420" i="45"/>
  <c r="L420" i="45"/>
  <c r="M420" i="45"/>
  <c r="Q420" i="45"/>
  <c r="S420" i="45"/>
  <c r="K420" i="45"/>
  <c r="N420" i="45"/>
  <c r="O420" i="45"/>
  <c r="G420" i="45"/>
  <c r="C420" i="45"/>
  <c r="B420" i="45"/>
  <c r="AE419" i="45"/>
  <c r="AD419" i="45"/>
  <c r="AC419" i="45"/>
  <c r="AB419" i="45"/>
  <c r="AA419" i="45"/>
  <c r="Z419" i="45"/>
  <c r="P419" i="45"/>
  <c r="R419" i="45"/>
  <c r="J419" i="45"/>
  <c r="L419" i="45"/>
  <c r="M419" i="45"/>
  <c r="Q419" i="45"/>
  <c r="S419" i="45"/>
  <c r="K419" i="45"/>
  <c r="N419" i="45"/>
  <c r="O419" i="45"/>
  <c r="G419" i="45"/>
  <c r="C419" i="45"/>
  <c r="B419" i="45"/>
  <c r="AE418" i="45"/>
  <c r="AD418" i="45"/>
  <c r="AC418" i="45"/>
  <c r="AB418" i="45"/>
  <c r="AA418" i="45"/>
  <c r="Z418" i="45"/>
  <c r="P418" i="45"/>
  <c r="R418" i="45"/>
  <c r="J418" i="45"/>
  <c r="L418" i="45"/>
  <c r="M418" i="45"/>
  <c r="Q418" i="45"/>
  <c r="S418" i="45"/>
  <c r="K418" i="45"/>
  <c r="N418" i="45"/>
  <c r="O418" i="45"/>
  <c r="G418" i="45"/>
  <c r="C418" i="45"/>
  <c r="B418" i="45"/>
  <c r="AE417" i="45"/>
  <c r="AD417" i="45"/>
  <c r="AC417" i="45"/>
  <c r="AB417" i="45"/>
  <c r="AA417" i="45"/>
  <c r="Z417" i="45"/>
  <c r="P417" i="45"/>
  <c r="R417" i="45"/>
  <c r="J417" i="45"/>
  <c r="L417" i="45"/>
  <c r="M417" i="45"/>
  <c r="Q417" i="45"/>
  <c r="S417" i="45"/>
  <c r="K417" i="45"/>
  <c r="N417" i="45"/>
  <c r="O417" i="45"/>
  <c r="G417" i="45"/>
  <c r="C417" i="45"/>
  <c r="B417" i="45"/>
  <c r="AE416" i="45"/>
  <c r="AD416" i="45"/>
  <c r="AC416" i="45"/>
  <c r="AB416" i="45"/>
  <c r="AA416" i="45"/>
  <c r="Z416" i="45"/>
  <c r="P416" i="45"/>
  <c r="R416" i="45"/>
  <c r="J416" i="45"/>
  <c r="L416" i="45"/>
  <c r="M416" i="45"/>
  <c r="Q416" i="45"/>
  <c r="S416" i="45"/>
  <c r="K416" i="45"/>
  <c r="N416" i="45"/>
  <c r="O416" i="45"/>
  <c r="G416" i="45"/>
  <c r="C416" i="45"/>
  <c r="B416" i="45"/>
  <c r="AE415" i="45"/>
  <c r="AD415" i="45"/>
  <c r="AC415" i="45"/>
  <c r="AB415" i="45"/>
  <c r="AA415" i="45"/>
  <c r="Z415" i="45"/>
  <c r="P415" i="45"/>
  <c r="R415" i="45"/>
  <c r="J415" i="45"/>
  <c r="L415" i="45"/>
  <c r="M415" i="45"/>
  <c r="Q415" i="45"/>
  <c r="S415" i="45"/>
  <c r="K415" i="45"/>
  <c r="N415" i="45"/>
  <c r="O415" i="45"/>
  <c r="G415" i="45"/>
  <c r="C415" i="45"/>
  <c r="B415" i="45"/>
  <c r="AE414" i="45"/>
  <c r="AD414" i="45"/>
  <c r="AC414" i="45"/>
  <c r="AB414" i="45"/>
  <c r="AA414" i="45"/>
  <c r="Z414" i="45"/>
  <c r="P414" i="45"/>
  <c r="R414" i="45"/>
  <c r="J414" i="45"/>
  <c r="L414" i="45"/>
  <c r="M414" i="45"/>
  <c r="Q414" i="45"/>
  <c r="S414" i="45"/>
  <c r="K414" i="45"/>
  <c r="N414" i="45"/>
  <c r="O414" i="45"/>
  <c r="G414" i="45"/>
  <c r="C414" i="45"/>
  <c r="B414" i="45"/>
  <c r="AE413" i="45"/>
  <c r="AD413" i="45"/>
  <c r="AC413" i="45"/>
  <c r="AB413" i="45"/>
  <c r="AA413" i="45"/>
  <c r="Z413" i="45"/>
  <c r="P413" i="45"/>
  <c r="R413" i="45"/>
  <c r="J413" i="45"/>
  <c r="L413" i="45"/>
  <c r="M413" i="45"/>
  <c r="Q413" i="45"/>
  <c r="S413" i="45"/>
  <c r="K413" i="45"/>
  <c r="N413" i="45"/>
  <c r="O413" i="45"/>
  <c r="G413" i="45"/>
  <c r="C413" i="45"/>
  <c r="B413" i="45"/>
  <c r="AE412" i="45"/>
  <c r="AD412" i="45"/>
  <c r="AC412" i="45"/>
  <c r="AB412" i="45"/>
  <c r="AA412" i="45"/>
  <c r="Z412" i="45"/>
  <c r="P412" i="45"/>
  <c r="R412" i="45"/>
  <c r="J412" i="45"/>
  <c r="L412" i="45"/>
  <c r="M412" i="45"/>
  <c r="Q412" i="45"/>
  <c r="S412" i="45"/>
  <c r="K412" i="45"/>
  <c r="N412" i="45"/>
  <c r="O412" i="45"/>
  <c r="G412" i="45"/>
  <c r="C412" i="45"/>
  <c r="B412" i="45"/>
  <c r="AE411" i="45"/>
  <c r="AD411" i="45"/>
  <c r="AC411" i="45"/>
  <c r="AB411" i="45"/>
  <c r="AA411" i="45"/>
  <c r="Z411" i="45"/>
  <c r="P411" i="45"/>
  <c r="R411" i="45"/>
  <c r="J411" i="45"/>
  <c r="L411" i="45"/>
  <c r="M411" i="45"/>
  <c r="Q411" i="45"/>
  <c r="S411" i="45"/>
  <c r="K411" i="45"/>
  <c r="N411" i="45"/>
  <c r="O411" i="45"/>
  <c r="G411" i="45"/>
  <c r="C411" i="45"/>
  <c r="B411" i="45"/>
  <c r="AE410" i="45"/>
  <c r="AD410" i="45"/>
  <c r="AC410" i="45"/>
  <c r="AB410" i="45"/>
  <c r="AA410" i="45"/>
  <c r="Z410" i="45"/>
  <c r="P410" i="45"/>
  <c r="R410" i="45"/>
  <c r="J410" i="45"/>
  <c r="L410" i="45"/>
  <c r="M410" i="45"/>
  <c r="Q410" i="45"/>
  <c r="S410" i="45"/>
  <c r="K410" i="45"/>
  <c r="N410" i="45"/>
  <c r="O410" i="45"/>
  <c r="G410" i="45"/>
  <c r="C410" i="45"/>
  <c r="B410" i="45"/>
  <c r="AE409" i="45"/>
  <c r="AD409" i="45"/>
  <c r="AC409" i="45"/>
  <c r="AB409" i="45"/>
  <c r="AA409" i="45"/>
  <c r="Z409" i="45"/>
  <c r="P409" i="45"/>
  <c r="R409" i="45"/>
  <c r="J409" i="45"/>
  <c r="L409" i="45"/>
  <c r="M409" i="45"/>
  <c r="Q409" i="45"/>
  <c r="S409" i="45"/>
  <c r="K409" i="45"/>
  <c r="N409" i="45"/>
  <c r="O409" i="45"/>
  <c r="G409" i="45"/>
  <c r="C409" i="45"/>
  <c r="B409" i="45"/>
  <c r="AE408" i="45"/>
  <c r="AD408" i="45"/>
  <c r="AC408" i="45"/>
  <c r="AB408" i="45"/>
  <c r="AA408" i="45"/>
  <c r="Z408" i="45"/>
  <c r="P408" i="45"/>
  <c r="R408" i="45"/>
  <c r="J408" i="45"/>
  <c r="L408" i="45"/>
  <c r="M408" i="45"/>
  <c r="Q408" i="45"/>
  <c r="S408" i="45"/>
  <c r="K408" i="45"/>
  <c r="N408" i="45"/>
  <c r="O408" i="45"/>
  <c r="G408" i="45"/>
  <c r="C408" i="45"/>
  <c r="B408" i="45"/>
  <c r="AE407" i="45"/>
  <c r="AD407" i="45"/>
  <c r="AC407" i="45"/>
  <c r="AB407" i="45"/>
  <c r="AA407" i="45"/>
  <c r="Z407" i="45"/>
  <c r="P407" i="45"/>
  <c r="R407" i="45"/>
  <c r="J407" i="45"/>
  <c r="L407" i="45"/>
  <c r="M407" i="45"/>
  <c r="Q407" i="45"/>
  <c r="S407" i="45"/>
  <c r="K407" i="45"/>
  <c r="N407" i="45"/>
  <c r="O407" i="45"/>
  <c r="G407" i="45"/>
  <c r="C407" i="45"/>
  <c r="B407" i="45"/>
  <c r="AE406" i="45"/>
  <c r="AD406" i="45"/>
  <c r="AC406" i="45"/>
  <c r="AB406" i="45"/>
  <c r="AA406" i="45"/>
  <c r="Z406" i="45"/>
  <c r="P406" i="45"/>
  <c r="R406" i="45"/>
  <c r="J406" i="45"/>
  <c r="L406" i="45"/>
  <c r="M406" i="45"/>
  <c r="Q406" i="45"/>
  <c r="S406" i="45"/>
  <c r="K406" i="45"/>
  <c r="N406" i="45"/>
  <c r="O406" i="45"/>
  <c r="G406" i="45"/>
  <c r="C406" i="45"/>
  <c r="B406" i="45"/>
  <c r="AE405" i="45"/>
  <c r="AD405" i="45"/>
  <c r="AC405" i="45"/>
  <c r="AB405" i="45"/>
  <c r="AA405" i="45"/>
  <c r="Z405" i="45"/>
  <c r="P405" i="45"/>
  <c r="R405" i="45"/>
  <c r="J405" i="45"/>
  <c r="L405" i="45"/>
  <c r="M405" i="45"/>
  <c r="Q405" i="45"/>
  <c r="S405" i="45"/>
  <c r="K405" i="45"/>
  <c r="N405" i="45"/>
  <c r="O405" i="45"/>
  <c r="G405" i="45"/>
  <c r="C405" i="45"/>
  <c r="B405" i="45"/>
  <c r="AE404" i="45"/>
  <c r="AD404" i="45"/>
  <c r="AC404" i="45"/>
  <c r="AB404" i="45"/>
  <c r="AA404" i="45"/>
  <c r="Z404" i="45"/>
  <c r="P404" i="45"/>
  <c r="R404" i="45"/>
  <c r="J404" i="45"/>
  <c r="L404" i="45"/>
  <c r="M404" i="45"/>
  <c r="Q404" i="45"/>
  <c r="S404" i="45"/>
  <c r="K404" i="45"/>
  <c r="N404" i="45"/>
  <c r="O404" i="45"/>
  <c r="G404" i="45"/>
  <c r="C404" i="45"/>
  <c r="B404" i="45"/>
  <c r="AE403" i="45"/>
  <c r="AD403" i="45"/>
  <c r="AC403" i="45"/>
  <c r="AB403" i="45"/>
  <c r="AA403" i="45"/>
  <c r="Z403" i="45"/>
  <c r="P403" i="45"/>
  <c r="R403" i="45"/>
  <c r="J403" i="45"/>
  <c r="L403" i="45"/>
  <c r="M403" i="45"/>
  <c r="Q403" i="45"/>
  <c r="S403" i="45"/>
  <c r="K403" i="45"/>
  <c r="N403" i="45"/>
  <c r="O403" i="45"/>
  <c r="G403" i="45"/>
  <c r="C403" i="45"/>
  <c r="B403" i="45"/>
  <c r="AE402" i="45"/>
  <c r="AD402" i="45"/>
  <c r="AC402" i="45"/>
  <c r="AB402" i="45"/>
  <c r="AA402" i="45"/>
  <c r="Z402" i="45"/>
  <c r="P402" i="45"/>
  <c r="R402" i="45"/>
  <c r="J402" i="45"/>
  <c r="L402" i="45"/>
  <c r="M402" i="45"/>
  <c r="Q402" i="45"/>
  <c r="S402" i="45"/>
  <c r="K402" i="45"/>
  <c r="N402" i="45"/>
  <c r="O402" i="45"/>
  <c r="G402" i="45"/>
  <c r="C402" i="45"/>
  <c r="B402" i="45"/>
  <c r="AE401" i="45"/>
  <c r="AD401" i="45"/>
  <c r="AC401" i="45"/>
  <c r="AB401" i="45"/>
  <c r="AA401" i="45"/>
  <c r="Z401" i="45"/>
  <c r="P401" i="45"/>
  <c r="R401" i="45"/>
  <c r="J401" i="45"/>
  <c r="L401" i="45"/>
  <c r="M401" i="45"/>
  <c r="Q401" i="45"/>
  <c r="S401" i="45"/>
  <c r="K401" i="45"/>
  <c r="N401" i="45"/>
  <c r="O401" i="45"/>
  <c r="G401" i="45"/>
  <c r="C401" i="45"/>
  <c r="B401" i="45"/>
  <c r="AE400" i="45"/>
  <c r="AD400" i="45"/>
  <c r="AC400" i="45"/>
  <c r="AB400" i="45"/>
  <c r="AA400" i="45"/>
  <c r="Z400" i="45"/>
  <c r="P400" i="45"/>
  <c r="R400" i="45"/>
  <c r="J400" i="45"/>
  <c r="L400" i="45"/>
  <c r="M400" i="45"/>
  <c r="Q400" i="45"/>
  <c r="S400" i="45"/>
  <c r="K400" i="45"/>
  <c r="N400" i="45"/>
  <c r="O400" i="45"/>
  <c r="G400" i="45"/>
  <c r="C400" i="45"/>
  <c r="B400" i="45"/>
  <c r="AE399" i="45"/>
  <c r="AD399" i="45"/>
  <c r="AC399" i="45"/>
  <c r="AB399" i="45"/>
  <c r="AA399" i="45"/>
  <c r="Z399" i="45"/>
  <c r="P399" i="45"/>
  <c r="R399" i="45"/>
  <c r="J399" i="45"/>
  <c r="L399" i="45"/>
  <c r="M399" i="45"/>
  <c r="Q399" i="45"/>
  <c r="S399" i="45"/>
  <c r="K399" i="45"/>
  <c r="N399" i="45"/>
  <c r="O399" i="45"/>
  <c r="G399" i="45"/>
  <c r="C399" i="45"/>
  <c r="B399" i="45"/>
  <c r="AE398" i="45"/>
  <c r="AD398" i="45"/>
  <c r="AC398" i="45"/>
  <c r="AB398" i="45"/>
  <c r="AA398" i="45"/>
  <c r="Z398" i="45"/>
  <c r="P398" i="45"/>
  <c r="R398" i="45"/>
  <c r="J398" i="45"/>
  <c r="L398" i="45"/>
  <c r="M398" i="45"/>
  <c r="Q398" i="45"/>
  <c r="S398" i="45"/>
  <c r="K398" i="45"/>
  <c r="N398" i="45"/>
  <c r="O398" i="45"/>
  <c r="G398" i="45"/>
  <c r="C398" i="45"/>
  <c r="B398" i="45"/>
  <c r="AE397" i="45"/>
  <c r="AD397" i="45"/>
  <c r="AC397" i="45"/>
  <c r="AB397" i="45"/>
  <c r="AA397" i="45"/>
  <c r="Z397" i="45"/>
  <c r="P397" i="45"/>
  <c r="R397" i="45"/>
  <c r="J397" i="45"/>
  <c r="L397" i="45"/>
  <c r="M397" i="45"/>
  <c r="Q397" i="45"/>
  <c r="S397" i="45"/>
  <c r="K397" i="45"/>
  <c r="N397" i="45"/>
  <c r="O397" i="45"/>
  <c r="G397" i="45"/>
  <c r="C397" i="45"/>
  <c r="B397" i="45"/>
  <c r="AE396" i="45"/>
  <c r="AD396" i="45"/>
  <c r="AC396" i="45"/>
  <c r="AB396" i="45"/>
  <c r="AA396" i="45"/>
  <c r="Z396" i="45"/>
  <c r="P396" i="45"/>
  <c r="R396" i="45"/>
  <c r="J396" i="45"/>
  <c r="L396" i="45"/>
  <c r="M396" i="45"/>
  <c r="Q396" i="45"/>
  <c r="S396" i="45"/>
  <c r="K396" i="45"/>
  <c r="N396" i="45"/>
  <c r="O396" i="45"/>
  <c r="G396" i="45"/>
  <c r="C396" i="45"/>
  <c r="B396" i="45"/>
  <c r="AE395" i="45"/>
  <c r="AD395" i="45"/>
  <c r="AC395" i="45"/>
  <c r="AB395" i="45"/>
  <c r="AA395" i="45"/>
  <c r="Z395" i="45"/>
  <c r="P395" i="45"/>
  <c r="R395" i="45"/>
  <c r="J395" i="45"/>
  <c r="L395" i="45"/>
  <c r="M395" i="45"/>
  <c r="Q395" i="45"/>
  <c r="S395" i="45"/>
  <c r="K395" i="45"/>
  <c r="N395" i="45"/>
  <c r="O395" i="45"/>
  <c r="G395" i="45"/>
  <c r="C395" i="45"/>
  <c r="B395" i="45"/>
  <c r="AE394" i="45"/>
  <c r="AD394" i="45"/>
  <c r="AC394" i="45"/>
  <c r="AB394" i="45"/>
  <c r="AA394" i="45"/>
  <c r="Z394" i="45"/>
  <c r="P394" i="45"/>
  <c r="R394" i="45"/>
  <c r="J394" i="45"/>
  <c r="L394" i="45"/>
  <c r="M394" i="45"/>
  <c r="Q394" i="45"/>
  <c r="S394" i="45"/>
  <c r="K394" i="45"/>
  <c r="N394" i="45"/>
  <c r="O394" i="45"/>
  <c r="G394" i="45"/>
  <c r="C394" i="45"/>
  <c r="B394" i="45"/>
  <c r="AE393" i="45"/>
  <c r="AD393" i="45"/>
  <c r="AC393" i="45"/>
  <c r="AB393" i="45"/>
  <c r="AA393" i="45"/>
  <c r="Z393" i="45"/>
  <c r="P393" i="45"/>
  <c r="R393" i="45"/>
  <c r="J393" i="45"/>
  <c r="L393" i="45"/>
  <c r="M393" i="45"/>
  <c r="Q393" i="45"/>
  <c r="S393" i="45"/>
  <c r="K393" i="45"/>
  <c r="N393" i="45"/>
  <c r="O393" i="45"/>
  <c r="G393" i="45"/>
  <c r="C393" i="45"/>
  <c r="B393" i="45"/>
  <c r="AE392" i="45"/>
  <c r="AD392" i="45"/>
  <c r="AC392" i="45"/>
  <c r="AB392" i="45"/>
  <c r="AA392" i="45"/>
  <c r="Z392" i="45"/>
  <c r="P392" i="45"/>
  <c r="R392" i="45"/>
  <c r="J392" i="45"/>
  <c r="L392" i="45"/>
  <c r="M392" i="45"/>
  <c r="Q392" i="45"/>
  <c r="S392" i="45"/>
  <c r="K392" i="45"/>
  <c r="N392" i="45"/>
  <c r="O392" i="45"/>
  <c r="G392" i="45"/>
  <c r="C392" i="45"/>
  <c r="B392" i="45"/>
  <c r="AE391" i="45"/>
  <c r="AD391" i="45"/>
  <c r="AC391" i="45"/>
  <c r="AB391" i="45"/>
  <c r="AA391" i="45"/>
  <c r="Z391" i="45"/>
  <c r="P391" i="45"/>
  <c r="R391" i="45"/>
  <c r="J391" i="45"/>
  <c r="L391" i="45"/>
  <c r="M391" i="45"/>
  <c r="Q391" i="45"/>
  <c r="S391" i="45"/>
  <c r="K391" i="45"/>
  <c r="N391" i="45"/>
  <c r="O391" i="45"/>
  <c r="G391" i="45"/>
  <c r="C391" i="45"/>
  <c r="B391" i="45"/>
  <c r="AE390" i="45"/>
  <c r="AD390" i="45"/>
  <c r="AC390" i="45"/>
  <c r="AB390" i="45"/>
  <c r="AA390" i="45"/>
  <c r="Z390" i="45"/>
  <c r="P390" i="45"/>
  <c r="R390" i="45"/>
  <c r="J390" i="45"/>
  <c r="L390" i="45"/>
  <c r="M390" i="45"/>
  <c r="Q390" i="45"/>
  <c r="S390" i="45"/>
  <c r="K390" i="45"/>
  <c r="N390" i="45"/>
  <c r="O390" i="45"/>
  <c r="G390" i="45"/>
  <c r="C390" i="45"/>
  <c r="B390" i="45"/>
  <c r="AE389" i="45"/>
  <c r="AD389" i="45"/>
  <c r="AC389" i="45"/>
  <c r="AB389" i="45"/>
  <c r="AA389" i="45"/>
  <c r="Z389" i="45"/>
  <c r="P389" i="45"/>
  <c r="R389" i="45"/>
  <c r="J389" i="45"/>
  <c r="L389" i="45"/>
  <c r="M389" i="45"/>
  <c r="Q389" i="45"/>
  <c r="S389" i="45"/>
  <c r="K389" i="45"/>
  <c r="N389" i="45"/>
  <c r="O389" i="45"/>
  <c r="G389" i="45"/>
  <c r="C389" i="45"/>
  <c r="B389" i="45"/>
  <c r="AE388" i="45"/>
  <c r="AD388" i="45"/>
  <c r="AC388" i="45"/>
  <c r="AB388" i="45"/>
  <c r="AA388" i="45"/>
  <c r="Z388" i="45"/>
  <c r="P388" i="45"/>
  <c r="R388" i="45"/>
  <c r="J388" i="45"/>
  <c r="L388" i="45"/>
  <c r="M388" i="45"/>
  <c r="Q388" i="45"/>
  <c r="S388" i="45"/>
  <c r="K388" i="45"/>
  <c r="N388" i="45"/>
  <c r="O388" i="45"/>
  <c r="G388" i="45"/>
  <c r="C388" i="45"/>
  <c r="B388" i="45"/>
  <c r="AE387" i="45"/>
  <c r="AD387" i="45"/>
  <c r="AC387" i="45"/>
  <c r="AB387" i="45"/>
  <c r="AA387" i="45"/>
  <c r="Z387" i="45"/>
  <c r="P387" i="45"/>
  <c r="R387" i="45"/>
  <c r="J387" i="45"/>
  <c r="L387" i="45"/>
  <c r="M387" i="45"/>
  <c r="Q387" i="45"/>
  <c r="S387" i="45"/>
  <c r="K387" i="45"/>
  <c r="N387" i="45"/>
  <c r="O387" i="45"/>
  <c r="G387" i="45"/>
  <c r="C387" i="45"/>
  <c r="B387" i="45"/>
  <c r="AE386" i="45"/>
  <c r="AD386" i="45"/>
  <c r="AC386" i="45"/>
  <c r="AB386" i="45"/>
  <c r="AA386" i="45"/>
  <c r="Z386" i="45"/>
  <c r="P386" i="45"/>
  <c r="R386" i="45"/>
  <c r="J386" i="45"/>
  <c r="L386" i="45"/>
  <c r="M386" i="45"/>
  <c r="Q386" i="45"/>
  <c r="S386" i="45"/>
  <c r="K386" i="45"/>
  <c r="N386" i="45"/>
  <c r="O386" i="45"/>
  <c r="G386" i="45"/>
  <c r="C386" i="45"/>
  <c r="B386" i="45"/>
  <c r="AE385" i="45"/>
  <c r="AD385" i="45"/>
  <c r="AC385" i="45"/>
  <c r="AB385" i="45"/>
  <c r="AA385" i="45"/>
  <c r="Z385" i="45"/>
  <c r="P385" i="45"/>
  <c r="R385" i="45"/>
  <c r="J385" i="45"/>
  <c r="L385" i="45"/>
  <c r="M385" i="45"/>
  <c r="Q385" i="45"/>
  <c r="S385" i="45"/>
  <c r="K385" i="45"/>
  <c r="N385" i="45"/>
  <c r="O385" i="45"/>
  <c r="G385" i="45"/>
  <c r="C385" i="45"/>
  <c r="B385" i="45"/>
  <c r="AE384" i="45"/>
  <c r="AD384" i="45"/>
  <c r="AC384" i="45"/>
  <c r="AB384" i="45"/>
  <c r="AA384" i="45"/>
  <c r="Z384" i="45"/>
  <c r="P384" i="45"/>
  <c r="R384" i="45"/>
  <c r="J384" i="45"/>
  <c r="L384" i="45"/>
  <c r="M384" i="45"/>
  <c r="Q384" i="45"/>
  <c r="S384" i="45"/>
  <c r="K384" i="45"/>
  <c r="N384" i="45"/>
  <c r="O384" i="45"/>
  <c r="G384" i="45"/>
  <c r="C384" i="45"/>
  <c r="B384" i="45"/>
  <c r="AE383" i="45"/>
  <c r="AD383" i="45"/>
  <c r="AC383" i="45"/>
  <c r="AB383" i="45"/>
  <c r="AA383" i="45"/>
  <c r="Z383" i="45"/>
  <c r="P383" i="45"/>
  <c r="R383" i="45"/>
  <c r="J383" i="45"/>
  <c r="L383" i="45"/>
  <c r="M383" i="45"/>
  <c r="Q383" i="45"/>
  <c r="S383" i="45"/>
  <c r="K383" i="45"/>
  <c r="N383" i="45"/>
  <c r="O383" i="45"/>
  <c r="G383" i="45"/>
  <c r="C383" i="45"/>
  <c r="B383" i="45"/>
  <c r="AE382" i="45"/>
  <c r="AD382" i="45"/>
  <c r="AC382" i="45"/>
  <c r="AB382" i="45"/>
  <c r="AA382" i="45"/>
  <c r="Z382" i="45"/>
  <c r="P382" i="45"/>
  <c r="R382" i="45"/>
  <c r="J382" i="45"/>
  <c r="L382" i="45"/>
  <c r="M382" i="45"/>
  <c r="Q382" i="45"/>
  <c r="S382" i="45"/>
  <c r="K382" i="45"/>
  <c r="N382" i="45"/>
  <c r="O382" i="45"/>
  <c r="G382" i="45"/>
  <c r="C382" i="45"/>
  <c r="B382" i="45"/>
  <c r="AE381" i="45"/>
  <c r="AD381" i="45"/>
  <c r="AC381" i="45"/>
  <c r="AB381" i="45"/>
  <c r="AA381" i="45"/>
  <c r="Z381" i="45"/>
  <c r="P381" i="45"/>
  <c r="R381" i="45"/>
  <c r="J381" i="45"/>
  <c r="L381" i="45"/>
  <c r="M381" i="45"/>
  <c r="Q381" i="45"/>
  <c r="S381" i="45"/>
  <c r="K381" i="45"/>
  <c r="N381" i="45"/>
  <c r="O381" i="45"/>
  <c r="G381" i="45"/>
  <c r="C381" i="45"/>
  <c r="B381" i="45"/>
  <c r="AE380" i="45"/>
  <c r="AD380" i="45"/>
  <c r="AC380" i="45"/>
  <c r="AB380" i="45"/>
  <c r="AA380" i="45"/>
  <c r="Z380" i="45"/>
  <c r="P380" i="45"/>
  <c r="R380" i="45"/>
  <c r="J380" i="45"/>
  <c r="L380" i="45"/>
  <c r="M380" i="45"/>
  <c r="Q380" i="45"/>
  <c r="S380" i="45"/>
  <c r="K380" i="45"/>
  <c r="N380" i="45"/>
  <c r="O380" i="45"/>
  <c r="G380" i="45"/>
  <c r="C380" i="45"/>
  <c r="B380" i="45"/>
  <c r="AE379" i="45"/>
  <c r="AD379" i="45"/>
  <c r="AC379" i="45"/>
  <c r="AB379" i="45"/>
  <c r="AA379" i="45"/>
  <c r="Z379" i="45"/>
  <c r="P379" i="45"/>
  <c r="R379" i="45"/>
  <c r="J379" i="45"/>
  <c r="L379" i="45"/>
  <c r="M379" i="45"/>
  <c r="Q379" i="45"/>
  <c r="S379" i="45"/>
  <c r="K379" i="45"/>
  <c r="N379" i="45"/>
  <c r="O379" i="45"/>
  <c r="G379" i="45"/>
  <c r="C379" i="45"/>
  <c r="B379" i="45"/>
  <c r="AE378" i="45"/>
  <c r="AD378" i="45"/>
  <c r="AC378" i="45"/>
  <c r="AB378" i="45"/>
  <c r="AA378" i="45"/>
  <c r="Z378" i="45"/>
  <c r="P378" i="45"/>
  <c r="R378" i="45"/>
  <c r="J378" i="45"/>
  <c r="L378" i="45"/>
  <c r="M378" i="45"/>
  <c r="Q378" i="45"/>
  <c r="S378" i="45"/>
  <c r="K378" i="45"/>
  <c r="N378" i="45"/>
  <c r="O378" i="45"/>
  <c r="G378" i="45"/>
  <c r="C378" i="45"/>
  <c r="B378" i="45"/>
  <c r="AE377" i="45"/>
  <c r="AD377" i="45"/>
  <c r="AC377" i="45"/>
  <c r="AB377" i="45"/>
  <c r="AA377" i="45"/>
  <c r="Z377" i="45"/>
  <c r="P377" i="45"/>
  <c r="R377" i="45"/>
  <c r="J377" i="45"/>
  <c r="L377" i="45"/>
  <c r="M377" i="45"/>
  <c r="Q377" i="45"/>
  <c r="S377" i="45"/>
  <c r="K377" i="45"/>
  <c r="N377" i="45"/>
  <c r="O377" i="45"/>
  <c r="G377" i="45"/>
  <c r="C377" i="45"/>
  <c r="B377" i="45"/>
  <c r="AE376" i="45"/>
  <c r="AD376" i="45"/>
  <c r="AC376" i="45"/>
  <c r="AB376" i="45"/>
  <c r="AA376" i="45"/>
  <c r="Z376" i="45"/>
  <c r="P376" i="45"/>
  <c r="R376" i="45"/>
  <c r="J376" i="45"/>
  <c r="L376" i="45"/>
  <c r="M376" i="45"/>
  <c r="Q376" i="45"/>
  <c r="S376" i="45"/>
  <c r="K376" i="45"/>
  <c r="N376" i="45"/>
  <c r="O376" i="45"/>
  <c r="G376" i="45"/>
  <c r="C376" i="45"/>
  <c r="B376" i="45"/>
  <c r="AE375" i="45"/>
  <c r="AD375" i="45"/>
  <c r="AC375" i="45"/>
  <c r="AB375" i="45"/>
  <c r="AA375" i="45"/>
  <c r="Z375" i="45"/>
  <c r="P375" i="45"/>
  <c r="R375" i="45"/>
  <c r="J375" i="45"/>
  <c r="L375" i="45"/>
  <c r="M375" i="45"/>
  <c r="Q375" i="45"/>
  <c r="S375" i="45"/>
  <c r="K375" i="45"/>
  <c r="N375" i="45"/>
  <c r="O375" i="45"/>
  <c r="G375" i="45"/>
  <c r="C375" i="45"/>
  <c r="B375" i="45"/>
  <c r="AE374" i="45"/>
  <c r="AD374" i="45"/>
  <c r="AC374" i="45"/>
  <c r="AB374" i="45"/>
  <c r="AA374" i="45"/>
  <c r="Z374" i="45"/>
  <c r="P374" i="45"/>
  <c r="R374" i="45"/>
  <c r="J374" i="45"/>
  <c r="L374" i="45"/>
  <c r="M374" i="45"/>
  <c r="Q374" i="45"/>
  <c r="S374" i="45"/>
  <c r="K374" i="45"/>
  <c r="N374" i="45"/>
  <c r="O374" i="45"/>
  <c r="G374" i="45"/>
  <c r="C374" i="45"/>
  <c r="B374" i="45"/>
  <c r="AE373" i="45"/>
  <c r="AD373" i="45"/>
  <c r="AC373" i="45"/>
  <c r="AB373" i="45"/>
  <c r="AA373" i="45"/>
  <c r="Z373" i="45"/>
  <c r="P373" i="45"/>
  <c r="R373" i="45"/>
  <c r="J373" i="45"/>
  <c r="L373" i="45"/>
  <c r="M373" i="45"/>
  <c r="Q373" i="45"/>
  <c r="S373" i="45"/>
  <c r="K373" i="45"/>
  <c r="N373" i="45"/>
  <c r="O373" i="45"/>
  <c r="G373" i="45"/>
  <c r="C373" i="45"/>
  <c r="B373" i="45"/>
  <c r="AE372" i="45"/>
  <c r="AD372" i="45"/>
  <c r="AC372" i="45"/>
  <c r="AB372" i="45"/>
  <c r="AA372" i="45"/>
  <c r="Z372" i="45"/>
  <c r="P372" i="45"/>
  <c r="R372" i="45"/>
  <c r="J372" i="45"/>
  <c r="L372" i="45"/>
  <c r="M372" i="45"/>
  <c r="Q372" i="45"/>
  <c r="S372" i="45"/>
  <c r="K372" i="45"/>
  <c r="N372" i="45"/>
  <c r="O372" i="45"/>
  <c r="G372" i="45"/>
  <c r="C372" i="45"/>
  <c r="B372" i="45"/>
  <c r="AE371" i="45"/>
  <c r="AD371" i="45"/>
  <c r="AC371" i="45"/>
  <c r="AB371" i="45"/>
  <c r="AA371" i="45"/>
  <c r="Z371" i="45"/>
  <c r="P371" i="45"/>
  <c r="R371" i="45"/>
  <c r="J371" i="45"/>
  <c r="L371" i="45"/>
  <c r="M371" i="45"/>
  <c r="Q371" i="45"/>
  <c r="S371" i="45"/>
  <c r="K371" i="45"/>
  <c r="N371" i="45"/>
  <c r="O371" i="45"/>
  <c r="G371" i="45"/>
  <c r="C371" i="45"/>
  <c r="B371" i="45"/>
  <c r="AE370" i="45"/>
  <c r="AD370" i="45"/>
  <c r="AC370" i="45"/>
  <c r="AB370" i="45"/>
  <c r="AA370" i="45"/>
  <c r="Z370" i="45"/>
  <c r="P370" i="45"/>
  <c r="R370" i="45"/>
  <c r="J370" i="45"/>
  <c r="L370" i="45"/>
  <c r="M370" i="45"/>
  <c r="Q370" i="45"/>
  <c r="S370" i="45"/>
  <c r="K370" i="45"/>
  <c r="N370" i="45"/>
  <c r="O370" i="45"/>
  <c r="G370" i="45"/>
  <c r="C370" i="45"/>
  <c r="B370" i="45"/>
  <c r="AE369" i="45"/>
  <c r="AD369" i="45"/>
  <c r="AC369" i="45"/>
  <c r="AB369" i="45"/>
  <c r="AA369" i="45"/>
  <c r="Z369" i="45"/>
  <c r="P369" i="45"/>
  <c r="R369" i="45"/>
  <c r="J369" i="45"/>
  <c r="L369" i="45"/>
  <c r="M369" i="45"/>
  <c r="Q369" i="45"/>
  <c r="S369" i="45"/>
  <c r="K369" i="45"/>
  <c r="N369" i="45"/>
  <c r="O369" i="45"/>
  <c r="G369" i="45"/>
  <c r="C369" i="45"/>
  <c r="B369" i="45"/>
  <c r="AE368" i="45"/>
  <c r="AD368" i="45"/>
  <c r="AC368" i="45"/>
  <c r="AB368" i="45"/>
  <c r="AA368" i="45"/>
  <c r="Z368" i="45"/>
  <c r="P368" i="45"/>
  <c r="R368" i="45"/>
  <c r="J368" i="45"/>
  <c r="L368" i="45"/>
  <c r="M368" i="45"/>
  <c r="Q368" i="45"/>
  <c r="S368" i="45"/>
  <c r="K368" i="45"/>
  <c r="N368" i="45"/>
  <c r="O368" i="45"/>
  <c r="G368" i="45"/>
  <c r="C368" i="45"/>
  <c r="B368" i="45"/>
  <c r="AE367" i="45"/>
  <c r="AD367" i="45"/>
  <c r="AC367" i="45"/>
  <c r="AB367" i="45"/>
  <c r="AA367" i="45"/>
  <c r="Z367" i="45"/>
  <c r="P367" i="45"/>
  <c r="R367" i="45"/>
  <c r="J367" i="45"/>
  <c r="L367" i="45"/>
  <c r="M367" i="45"/>
  <c r="Q367" i="45"/>
  <c r="S367" i="45"/>
  <c r="K367" i="45"/>
  <c r="N367" i="45"/>
  <c r="O367" i="45"/>
  <c r="G367" i="45"/>
  <c r="C367" i="45"/>
  <c r="B367" i="45"/>
  <c r="AE366" i="45"/>
  <c r="AD366" i="45"/>
  <c r="AC366" i="45"/>
  <c r="AB366" i="45"/>
  <c r="AA366" i="45"/>
  <c r="Z366" i="45"/>
  <c r="P366" i="45"/>
  <c r="R366" i="45"/>
  <c r="J366" i="45"/>
  <c r="L366" i="45"/>
  <c r="M366" i="45"/>
  <c r="Q366" i="45"/>
  <c r="S366" i="45"/>
  <c r="K366" i="45"/>
  <c r="N366" i="45"/>
  <c r="O366" i="45"/>
  <c r="G366" i="45"/>
  <c r="C366" i="45"/>
  <c r="B366" i="45"/>
  <c r="AE365" i="45"/>
  <c r="AD365" i="45"/>
  <c r="AC365" i="45"/>
  <c r="AB365" i="45"/>
  <c r="AA365" i="45"/>
  <c r="Z365" i="45"/>
  <c r="P365" i="45"/>
  <c r="R365" i="45"/>
  <c r="J365" i="45"/>
  <c r="L365" i="45"/>
  <c r="M365" i="45"/>
  <c r="Q365" i="45"/>
  <c r="S365" i="45"/>
  <c r="K365" i="45"/>
  <c r="N365" i="45"/>
  <c r="O365" i="45"/>
  <c r="G365" i="45"/>
  <c r="C365" i="45"/>
  <c r="B365" i="45"/>
  <c r="AE364" i="45"/>
  <c r="AD364" i="45"/>
  <c r="AC364" i="45"/>
  <c r="AB364" i="45"/>
  <c r="AA364" i="45"/>
  <c r="Z364" i="45"/>
  <c r="P364" i="45"/>
  <c r="R364" i="45"/>
  <c r="J364" i="45"/>
  <c r="L364" i="45"/>
  <c r="M364" i="45"/>
  <c r="Q364" i="45"/>
  <c r="S364" i="45"/>
  <c r="K364" i="45"/>
  <c r="N364" i="45"/>
  <c r="O364" i="45"/>
  <c r="G364" i="45"/>
  <c r="C364" i="45"/>
  <c r="B364" i="45"/>
  <c r="AE363" i="45"/>
  <c r="AD363" i="45"/>
  <c r="AC363" i="45"/>
  <c r="AB363" i="45"/>
  <c r="AA363" i="45"/>
  <c r="Z363" i="45"/>
  <c r="P363" i="45"/>
  <c r="R363" i="45"/>
  <c r="J363" i="45"/>
  <c r="L363" i="45"/>
  <c r="M363" i="45"/>
  <c r="Q363" i="45"/>
  <c r="S363" i="45"/>
  <c r="K363" i="45"/>
  <c r="N363" i="45"/>
  <c r="O363" i="45"/>
  <c r="G363" i="45"/>
  <c r="C363" i="45"/>
  <c r="B363" i="45"/>
  <c r="AE362" i="45"/>
  <c r="AD362" i="45"/>
  <c r="AC362" i="45"/>
  <c r="AB362" i="45"/>
  <c r="AA362" i="45"/>
  <c r="Z362" i="45"/>
  <c r="P362" i="45"/>
  <c r="R362" i="45"/>
  <c r="J362" i="45"/>
  <c r="L362" i="45"/>
  <c r="M362" i="45"/>
  <c r="Q362" i="45"/>
  <c r="S362" i="45"/>
  <c r="K362" i="45"/>
  <c r="N362" i="45"/>
  <c r="O362" i="45"/>
  <c r="G362" i="45"/>
  <c r="C362" i="45"/>
  <c r="B362" i="45"/>
  <c r="AE361" i="45"/>
  <c r="AD361" i="45"/>
  <c r="AC361" i="45"/>
  <c r="AB361" i="45"/>
  <c r="AA361" i="45"/>
  <c r="Z361" i="45"/>
  <c r="P361" i="45"/>
  <c r="R361" i="45"/>
  <c r="J361" i="45"/>
  <c r="L361" i="45"/>
  <c r="M361" i="45"/>
  <c r="Q361" i="45"/>
  <c r="S361" i="45"/>
  <c r="K361" i="45"/>
  <c r="N361" i="45"/>
  <c r="O361" i="45"/>
  <c r="G361" i="45"/>
  <c r="C361" i="45"/>
  <c r="B361" i="45"/>
  <c r="AE360" i="45"/>
  <c r="AD360" i="45"/>
  <c r="AC360" i="45"/>
  <c r="AB360" i="45"/>
  <c r="AA360" i="45"/>
  <c r="Z360" i="45"/>
  <c r="P360" i="45"/>
  <c r="R360" i="45"/>
  <c r="J360" i="45"/>
  <c r="L360" i="45"/>
  <c r="M360" i="45"/>
  <c r="Q360" i="45"/>
  <c r="S360" i="45"/>
  <c r="K360" i="45"/>
  <c r="N360" i="45"/>
  <c r="O360" i="45"/>
  <c r="G360" i="45"/>
  <c r="C360" i="45"/>
  <c r="B360" i="45"/>
  <c r="AE359" i="45"/>
  <c r="AD359" i="45"/>
  <c r="AC359" i="45"/>
  <c r="AB359" i="45"/>
  <c r="AA359" i="45"/>
  <c r="Z359" i="45"/>
  <c r="P359" i="45"/>
  <c r="R359" i="45"/>
  <c r="J359" i="45"/>
  <c r="L359" i="45"/>
  <c r="M359" i="45"/>
  <c r="Q359" i="45"/>
  <c r="S359" i="45"/>
  <c r="K359" i="45"/>
  <c r="N359" i="45"/>
  <c r="O359" i="45"/>
  <c r="G359" i="45"/>
  <c r="C359" i="45"/>
  <c r="B359" i="45"/>
  <c r="AE358" i="45"/>
  <c r="AD358" i="45"/>
  <c r="AC358" i="45"/>
  <c r="AB358" i="45"/>
  <c r="AA358" i="45"/>
  <c r="Z358" i="45"/>
  <c r="P358" i="45"/>
  <c r="R358" i="45"/>
  <c r="J358" i="45"/>
  <c r="L358" i="45"/>
  <c r="M358" i="45"/>
  <c r="Q358" i="45"/>
  <c r="S358" i="45"/>
  <c r="K358" i="45"/>
  <c r="N358" i="45"/>
  <c r="O358" i="45"/>
  <c r="G358" i="45"/>
  <c r="C358" i="45"/>
  <c r="B358" i="45"/>
  <c r="AE357" i="45"/>
  <c r="AD357" i="45"/>
  <c r="AC357" i="45"/>
  <c r="AB357" i="45"/>
  <c r="AA357" i="45"/>
  <c r="Z357" i="45"/>
  <c r="P357" i="45"/>
  <c r="R357" i="45"/>
  <c r="J357" i="45"/>
  <c r="L357" i="45"/>
  <c r="M357" i="45"/>
  <c r="Q357" i="45"/>
  <c r="S357" i="45"/>
  <c r="K357" i="45"/>
  <c r="N357" i="45"/>
  <c r="O357" i="45"/>
  <c r="G357" i="45"/>
  <c r="C357" i="45"/>
  <c r="B357" i="45"/>
  <c r="AE356" i="45"/>
  <c r="AD356" i="45"/>
  <c r="AC356" i="45"/>
  <c r="AB356" i="45"/>
  <c r="AA356" i="45"/>
  <c r="Z356" i="45"/>
  <c r="P356" i="45"/>
  <c r="R356" i="45"/>
  <c r="J356" i="45"/>
  <c r="L356" i="45"/>
  <c r="M356" i="45"/>
  <c r="Q356" i="45"/>
  <c r="S356" i="45"/>
  <c r="K356" i="45"/>
  <c r="N356" i="45"/>
  <c r="O356" i="45"/>
  <c r="G356" i="45"/>
  <c r="C356" i="45"/>
  <c r="B356" i="45"/>
  <c r="AE355" i="45"/>
  <c r="AD355" i="45"/>
  <c r="AC355" i="45"/>
  <c r="AB355" i="45"/>
  <c r="AA355" i="45"/>
  <c r="Z355" i="45"/>
  <c r="P355" i="45"/>
  <c r="R355" i="45"/>
  <c r="J355" i="45"/>
  <c r="L355" i="45"/>
  <c r="M355" i="45"/>
  <c r="Q355" i="45"/>
  <c r="S355" i="45"/>
  <c r="K355" i="45"/>
  <c r="N355" i="45"/>
  <c r="O355" i="45"/>
  <c r="G355" i="45"/>
  <c r="C355" i="45"/>
  <c r="B355" i="45"/>
  <c r="AE354" i="45"/>
  <c r="AD354" i="45"/>
  <c r="AC354" i="45"/>
  <c r="AB354" i="45"/>
  <c r="AA354" i="45"/>
  <c r="Z354" i="45"/>
  <c r="P354" i="45"/>
  <c r="R354" i="45"/>
  <c r="J354" i="45"/>
  <c r="L354" i="45"/>
  <c r="M354" i="45"/>
  <c r="Q354" i="45"/>
  <c r="S354" i="45"/>
  <c r="K354" i="45"/>
  <c r="N354" i="45"/>
  <c r="O354" i="45"/>
  <c r="G354" i="45"/>
  <c r="C354" i="45"/>
  <c r="B354" i="45"/>
  <c r="AE353" i="45"/>
  <c r="AD353" i="45"/>
  <c r="AC353" i="45"/>
  <c r="AB353" i="45"/>
  <c r="AA353" i="45"/>
  <c r="Z353" i="45"/>
  <c r="P353" i="45"/>
  <c r="R353" i="45"/>
  <c r="J353" i="45"/>
  <c r="L353" i="45"/>
  <c r="M353" i="45"/>
  <c r="Q353" i="45"/>
  <c r="S353" i="45"/>
  <c r="K353" i="45"/>
  <c r="N353" i="45"/>
  <c r="O353" i="45"/>
  <c r="G353" i="45"/>
  <c r="C353" i="45"/>
  <c r="B353" i="45"/>
  <c r="AE352" i="45"/>
  <c r="AD352" i="45"/>
  <c r="AC352" i="45"/>
  <c r="AB352" i="45"/>
  <c r="AA352" i="45"/>
  <c r="Z352" i="45"/>
  <c r="P352" i="45"/>
  <c r="R352" i="45"/>
  <c r="J352" i="45"/>
  <c r="L352" i="45"/>
  <c r="M352" i="45"/>
  <c r="Q352" i="45"/>
  <c r="S352" i="45"/>
  <c r="K352" i="45"/>
  <c r="N352" i="45"/>
  <c r="O352" i="45"/>
  <c r="G352" i="45"/>
  <c r="C352" i="45"/>
  <c r="B352" i="45"/>
  <c r="AE351" i="45"/>
  <c r="AD351" i="45"/>
  <c r="AC351" i="45"/>
  <c r="AB351" i="45"/>
  <c r="AA351" i="45"/>
  <c r="Z351" i="45"/>
  <c r="P351" i="45"/>
  <c r="R351" i="45"/>
  <c r="J351" i="45"/>
  <c r="L351" i="45"/>
  <c r="M351" i="45"/>
  <c r="Q351" i="45"/>
  <c r="S351" i="45"/>
  <c r="K351" i="45"/>
  <c r="N351" i="45"/>
  <c r="O351" i="45"/>
  <c r="G351" i="45"/>
  <c r="C351" i="45"/>
  <c r="B351" i="45"/>
  <c r="AE350" i="45"/>
  <c r="AD350" i="45"/>
  <c r="AC350" i="45"/>
  <c r="AB350" i="45"/>
  <c r="AA350" i="45"/>
  <c r="Z350" i="45"/>
  <c r="P350" i="45"/>
  <c r="R350" i="45"/>
  <c r="J350" i="45"/>
  <c r="L350" i="45"/>
  <c r="M350" i="45"/>
  <c r="Q350" i="45"/>
  <c r="S350" i="45"/>
  <c r="K350" i="45"/>
  <c r="N350" i="45"/>
  <c r="O350" i="45"/>
  <c r="G350" i="45"/>
  <c r="C350" i="45"/>
  <c r="B350" i="45"/>
  <c r="AE349" i="45"/>
  <c r="AD349" i="45"/>
  <c r="AC349" i="45"/>
  <c r="AB349" i="45"/>
  <c r="AA349" i="45"/>
  <c r="Z349" i="45"/>
  <c r="P349" i="45"/>
  <c r="R349" i="45"/>
  <c r="J349" i="45"/>
  <c r="L349" i="45"/>
  <c r="M349" i="45"/>
  <c r="Q349" i="45"/>
  <c r="S349" i="45"/>
  <c r="K349" i="45"/>
  <c r="N349" i="45"/>
  <c r="O349" i="45"/>
  <c r="G349" i="45"/>
  <c r="C349" i="45"/>
  <c r="B349" i="45"/>
  <c r="AE348" i="45"/>
  <c r="AD348" i="45"/>
  <c r="AC348" i="45"/>
  <c r="AB348" i="45"/>
  <c r="AA348" i="45"/>
  <c r="Z348" i="45"/>
  <c r="P348" i="45"/>
  <c r="R348" i="45"/>
  <c r="J348" i="45"/>
  <c r="L348" i="45"/>
  <c r="M348" i="45"/>
  <c r="Q348" i="45"/>
  <c r="S348" i="45"/>
  <c r="K348" i="45"/>
  <c r="N348" i="45"/>
  <c r="O348" i="45"/>
  <c r="G348" i="45"/>
  <c r="C348" i="45"/>
  <c r="B348" i="45"/>
  <c r="AE347" i="45"/>
  <c r="AD347" i="45"/>
  <c r="AC347" i="45"/>
  <c r="AB347" i="45"/>
  <c r="AA347" i="45"/>
  <c r="Z347" i="45"/>
  <c r="P347" i="45"/>
  <c r="R347" i="45"/>
  <c r="J347" i="45"/>
  <c r="L347" i="45"/>
  <c r="M347" i="45"/>
  <c r="Q347" i="45"/>
  <c r="S347" i="45"/>
  <c r="K347" i="45"/>
  <c r="N347" i="45"/>
  <c r="O347" i="45"/>
  <c r="G347" i="45"/>
  <c r="C347" i="45"/>
  <c r="B347" i="45"/>
  <c r="AE346" i="45"/>
  <c r="AD346" i="45"/>
  <c r="AC346" i="45"/>
  <c r="AB346" i="45"/>
  <c r="AA346" i="45"/>
  <c r="Z346" i="45"/>
  <c r="P346" i="45"/>
  <c r="R346" i="45"/>
  <c r="J346" i="45"/>
  <c r="L346" i="45"/>
  <c r="M346" i="45"/>
  <c r="Q346" i="45"/>
  <c r="S346" i="45"/>
  <c r="K346" i="45"/>
  <c r="N346" i="45"/>
  <c r="O346" i="45"/>
  <c r="G346" i="45"/>
  <c r="C346" i="45"/>
  <c r="B346" i="45"/>
  <c r="AE345" i="45"/>
  <c r="AD345" i="45"/>
  <c r="AC345" i="45"/>
  <c r="AB345" i="45"/>
  <c r="AA345" i="45"/>
  <c r="Z345" i="45"/>
  <c r="P345" i="45"/>
  <c r="R345" i="45"/>
  <c r="J345" i="45"/>
  <c r="L345" i="45"/>
  <c r="M345" i="45"/>
  <c r="Q345" i="45"/>
  <c r="S345" i="45"/>
  <c r="K345" i="45"/>
  <c r="N345" i="45"/>
  <c r="O345" i="45"/>
  <c r="G345" i="45"/>
  <c r="C345" i="45"/>
  <c r="B345" i="45"/>
  <c r="AE344" i="45"/>
  <c r="AD344" i="45"/>
  <c r="AC344" i="45"/>
  <c r="AB344" i="45"/>
  <c r="AA344" i="45"/>
  <c r="Z344" i="45"/>
  <c r="P344" i="45"/>
  <c r="R344" i="45"/>
  <c r="J344" i="45"/>
  <c r="L344" i="45"/>
  <c r="M344" i="45"/>
  <c r="Q344" i="45"/>
  <c r="S344" i="45"/>
  <c r="K344" i="45"/>
  <c r="N344" i="45"/>
  <c r="O344" i="45"/>
  <c r="G344" i="45"/>
  <c r="C344" i="45"/>
  <c r="B344" i="45"/>
  <c r="AE343" i="45"/>
  <c r="AD343" i="45"/>
  <c r="AC343" i="45"/>
  <c r="AB343" i="45"/>
  <c r="AA343" i="45"/>
  <c r="Z343" i="45"/>
  <c r="P343" i="45"/>
  <c r="R343" i="45"/>
  <c r="J343" i="45"/>
  <c r="L343" i="45"/>
  <c r="M343" i="45"/>
  <c r="Q343" i="45"/>
  <c r="S343" i="45"/>
  <c r="K343" i="45"/>
  <c r="N343" i="45"/>
  <c r="O343" i="45"/>
  <c r="G343" i="45"/>
  <c r="C343" i="45"/>
  <c r="B343" i="45"/>
  <c r="AE342" i="45"/>
  <c r="AD342" i="45"/>
  <c r="AC342" i="45"/>
  <c r="AB342" i="45"/>
  <c r="AA342" i="45"/>
  <c r="Z342" i="45"/>
  <c r="P342" i="45"/>
  <c r="R342" i="45"/>
  <c r="J342" i="45"/>
  <c r="L342" i="45"/>
  <c r="M342" i="45"/>
  <c r="Q342" i="45"/>
  <c r="S342" i="45"/>
  <c r="K342" i="45"/>
  <c r="N342" i="45"/>
  <c r="O342" i="45"/>
  <c r="G342" i="45"/>
  <c r="C342" i="45"/>
  <c r="B342" i="45"/>
  <c r="AE341" i="45"/>
  <c r="AD341" i="45"/>
  <c r="AC341" i="45"/>
  <c r="AB341" i="45"/>
  <c r="AA341" i="45"/>
  <c r="Z341" i="45"/>
  <c r="P341" i="45"/>
  <c r="R341" i="45"/>
  <c r="J341" i="45"/>
  <c r="L341" i="45"/>
  <c r="M341" i="45"/>
  <c r="Q341" i="45"/>
  <c r="S341" i="45"/>
  <c r="K341" i="45"/>
  <c r="N341" i="45"/>
  <c r="O341" i="45"/>
  <c r="G341" i="45"/>
  <c r="C341" i="45"/>
  <c r="B341" i="45"/>
  <c r="AE340" i="45"/>
  <c r="AD340" i="45"/>
  <c r="AC340" i="45"/>
  <c r="AB340" i="45"/>
  <c r="AA340" i="45"/>
  <c r="Z340" i="45"/>
  <c r="P340" i="45"/>
  <c r="R340" i="45"/>
  <c r="J340" i="45"/>
  <c r="L340" i="45"/>
  <c r="M340" i="45"/>
  <c r="Q340" i="45"/>
  <c r="S340" i="45"/>
  <c r="K340" i="45"/>
  <c r="N340" i="45"/>
  <c r="O340" i="45"/>
  <c r="G340" i="45"/>
  <c r="C340" i="45"/>
  <c r="B340" i="45"/>
  <c r="AE339" i="45"/>
  <c r="AD339" i="45"/>
  <c r="AC339" i="45"/>
  <c r="AB339" i="45"/>
  <c r="AA339" i="45"/>
  <c r="Z339" i="45"/>
  <c r="P339" i="45"/>
  <c r="R339" i="45"/>
  <c r="J339" i="45"/>
  <c r="L339" i="45"/>
  <c r="M339" i="45"/>
  <c r="Q339" i="45"/>
  <c r="S339" i="45"/>
  <c r="K339" i="45"/>
  <c r="N339" i="45"/>
  <c r="O339" i="45"/>
  <c r="G339" i="45"/>
  <c r="C339" i="45"/>
  <c r="B339" i="45"/>
  <c r="AE338" i="45"/>
  <c r="AD338" i="45"/>
  <c r="AC338" i="45"/>
  <c r="AB338" i="45"/>
  <c r="AA338" i="45"/>
  <c r="Z338" i="45"/>
  <c r="P338" i="45"/>
  <c r="R338" i="45"/>
  <c r="J338" i="45"/>
  <c r="L338" i="45"/>
  <c r="M338" i="45"/>
  <c r="Q338" i="45"/>
  <c r="S338" i="45"/>
  <c r="K338" i="45"/>
  <c r="N338" i="45"/>
  <c r="O338" i="45"/>
  <c r="G338" i="45"/>
  <c r="C338" i="45"/>
  <c r="B338" i="45"/>
  <c r="AE337" i="45"/>
  <c r="AD337" i="45"/>
  <c r="AC337" i="45"/>
  <c r="AB337" i="45"/>
  <c r="AA337" i="45"/>
  <c r="Z337" i="45"/>
  <c r="P337" i="45"/>
  <c r="R337" i="45"/>
  <c r="J337" i="45"/>
  <c r="L337" i="45"/>
  <c r="M337" i="45"/>
  <c r="Q337" i="45"/>
  <c r="S337" i="45"/>
  <c r="K337" i="45"/>
  <c r="N337" i="45"/>
  <c r="O337" i="45"/>
  <c r="G337" i="45"/>
  <c r="C337" i="45"/>
  <c r="B337" i="45"/>
  <c r="AE336" i="45"/>
  <c r="AD336" i="45"/>
  <c r="AC336" i="45"/>
  <c r="AB336" i="45"/>
  <c r="AA336" i="45"/>
  <c r="Z336" i="45"/>
  <c r="P336" i="45"/>
  <c r="R336" i="45"/>
  <c r="J336" i="45"/>
  <c r="L336" i="45"/>
  <c r="M336" i="45"/>
  <c r="Q336" i="45"/>
  <c r="S336" i="45"/>
  <c r="K336" i="45"/>
  <c r="N336" i="45"/>
  <c r="O336" i="45"/>
  <c r="G336" i="45"/>
  <c r="C336" i="45"/>
  <c r="B336" i="45"/>
  <c r="AE335" i="45"/>
  <c r="AD335" i="45"/>
  <c r="AC335" i="45"/>
  <c r="AB335" i="45"/>
  <c r="AA335" i="45"/>
  <c r="Z335" i="45"/>
  <c r="P335" i="45"/>
  <c r="R335" i="45"/>
  <c r="J335" i="45"/>
  <c r="L335" i="45"/>
  <c r="M335" i="45"/>
  <c r="Q335" i="45"/>
  <c r="S335" i="45"/>
  <c r="K335" i="45"/>
  <c r="N335" i="45"/>
  <c r="O335" i="45"/>
  <c r="G335" i="45"/>
  <c r="C335" i="45"/>
  <c r="B335" i="45"/>
  <c r="AE334" i="45"/>
  <c r="AD334" i="45"/>
  <c r="AC334" i="45"/>
  <c r="AB334" i="45"/>
  <c r="AA334" i="45"/>
  <c r="Z334" i="45"/>
  <c r="P334" i="45"/>
  <c r="R334" i="45"/>
  <c r="J334" i="45"/>
  <c r="L334" i="45"/>
  <c r="M334" i="45"/>
  <c r="Q334" i="45"/>
  <c r="S334" i="45"/>
  <c r="K334" i="45"/>
  <c r="N334" i="45"/>
  <c r="O334" i="45"/>
  <c r="G334" i="45"/>
  <c r="C334" i="45"/>
  <c r="B334" i="45"/>
  <c r="AE333" i="45"/>
  <c r="AD333" i="45"/>
  <c r="AC333" i="45"/>
  <c r="AB333" i="45"/>
  <c r="AA333" i="45"/>
  <c r="Z333" i="45"/>
  <c r="P333" i="45"/>
  <c r="R333" i="45"/>
  <c r="J333" i="45"/>
  <c r="L333" i="45"/>
  <c r="M333" i="45"/>
  <c r="Q333" i="45"/>
  <c r="S333" i="45"/>
  <c r="K333" i="45"/>
  <c r="N333" i="45"/>
  <c r="O333" i="45"/>
  <c r="G333" i="45"/>
  <c r="C333" i="45"/>
  <c r="B333" i="45"/>
  <c r="AE332" i="45"/>
  <c r="AD332" i="45"/>
  <c r="AC332" i="45"/>
  <c r="AB332" i="45"/>
  <c r="AA332" i="45"/>
  <c r="Z332" i="45"/>
  <c r="P332" i="45"/>
  <c r="R332" i="45"/>
  <c r="J332" i="45"/>
  <c r="L332" i="45"/>
  <c r="M332" i="45"/>
  <c r="Q332" i="45"/>
  <c r="S332" i="45"/>
  <c r="K332" i="45"/>
  <c r="N332" i="45"/>
  <c r="O332" i="45"/>
  <c r="G332" i="45"/>
  <c r="C332" i="45"/>
  <c r="B332" i="45"/>
  <c r="AE331" i="45"/>
  <c r="AD331" i="45"/>
  <c r="AC331" i="45"/>
  <c r="AB331" i="45"/>
  <c r="AA331" i="45"/>
  <c r="Z331" i="45"/>
  <c r="P331" i="45"/>
  <c r="R331" i="45"/>
  <c r="J331" i="45"/>
  <c r="L331" i="45"/>
  <c r="M331" i="45"/>
  <c r="Q331" i="45"/>
  <c r="S331" i="45"/>
  <c r="K331" i="45"/>
  <c r="N331" i="45"/>
  <c r="O331" i="45"/>
  <c r="G331" i="45"/>
  <c r="C331" i="45"/>
  <c r="B331" i="45"/>
  <c r="AE330" i="45"/>
  <c r="AD330" i="45"/>
  <c r="AC330" i="45"/>
  <c r="AB330" i="45"/>
  <c r="AA330" i="45"/>
  <c r="Z330" i="45"/>
  <c r="P330" i="45"/>
  <c r="R330" i="45"/>
  <c r="J330" i="45"/>
  <c r="L330" i="45"/>
  <c r="M330" i="45"/>
  <c r="Q330" i="45"/>
  <c r="S330" i="45"/>
  <c r="K330" i="45"/>
  <c r="N330" i="45"/>
  <c r="O330" i="45"/>
  <c r="G330" i="45"/>
  <c r="C330" i="45"/>
  <c r="B330" i="45"/>
  <c r="AE329" i="45"/>
  <c r="AD329" i="45"/>
  <c r="AC329" i="45"/>
  <c r="AB329" i="45"/>
  <c r="AA329" i="45"/>
  <c r="Z329" i="45"/>
  <c r="P329" i="45"/>
  <c r="R329" i="45"/>
  <c r="J329" i="45"/>
  <c r="L329" i="45"/>
  <c r="M329" i="45"/>
  <c r="Q329" i="45"/>
  <c r="S329" i="45"/>
  <c r="K329" i="45"/>
  <c r="N329" i="45"/>
  <c r="O329" i="45"/>
  <c r="G329" i="45"/>
  <c r="C329" i="45"/>
  <c r="B329" i="45"/>
  <c r="AE328" i="45"/>
  <c r="AD328" i="45"/>
  <c r="AC328" i="45"/>
  <c r="AB328" i="45"/>
  <c r="AA328" i="45"/>
  <c r="Z328" i="45"/>
  <c r="P328" i="45"/>
  <c r="R328" i="45"/>
  <c r="J328" i="45"/>
  <c r="L328" i="45"/>
  <c r="M328" i="45"/>
  <c r="Q328" i="45"/>
  <c r="S328" i="45"/>
  <c r="K328" i="45"/>
  <c r="N328" i="45"/>
  <c r="O328" i="45"/>
  <c r="G328" i="45"/>
  <c r="C328" i="45"/>
  <c r="B328" i="45"/>
  <c r="AE327" i="45"/>
  <c r="AD327" i="45"/>
  <c r="AC327" i="45"/>
  <c r="AB327" i="45"/>
  <c r="AA327" i="45"/>
  <c r="Z327" i="45"/>
  <c r="P327" i="45"/>
  <c r="R327" i="45"/>
  <c r="J327" i="45"/>
  <c r="L327" i="45"/>
  <c r="M327" i="45"/>
  <c r="Q327" i="45"/>
  <c r="S327" i="45"/>
  <c r="K327" i="45"/>
  <c r="N327" i="45"/>
  <c r="O327" i="45"/>
  <c r="G327" i="45"/>
  <c r="C327" i="45"/>
  <c r="B327" i="45"/>
  <c r="AE326" i="45"/>
  <c r="AD326" i="45"/>
  <c r="AC326" i="45"/>
  <c r="AB326" i="45"/>
  <c r="AA326" i="45"/>
  <c r="Z326" i="45"/>
  <c r="P326" i="45"/>
  <c r="R326" i="45"/>
  <c r="J326" i="45"/>
  <c r="L326" i="45"/>
  <c r="M326" i="45"/>
  <c r="Q326" i="45"/>
  <c r="S326" i="45"/>
  <c r="K326" i="45"/>
  <c r="N326" i="45"/>
  <c r="O326" i="45"/>
  <c r="G326" i="45"/>
  <c r="C326" i="45"/>
  <c r="B326" i="45"/>
  <c r="AE325" i="45"/>
  <c r="AD325" i="45"/>
  <c r="AC325" i="45"/>
  <c r="AB325" i="45"/>
  <c r="AA325" i="45"/>
  <c r="Z325" i="45"/>
  <c r="P325" i="45"/>
  <c r="R325" i="45"/>
  <c r="J325" i="45"/>
  <c r="L325" i="45"/>
  <c r="M325" i="45"/>
  <c r="Q325" i="45"/>
  <c r="S325" i="45"/>
  <c r="K325" i="45"/>
  <c r="N325" i="45"/>
  <c r="O325" i="45"/>
  <c r="G325" i="45"/>
  <c r="C325" i="45"/>
  <c r="B325" i="45"/>
  <c r="AE324" i="45"/>
  <c r="AD324" i="45"/>
  <c r="AC324" i="45"/>
  <c r="AB324" i="45"/>
  <c r="AA324" i="45"/>
  <c r="Z324" i="45"/>
  <c r="P324" i="45"/>
  <c r="R324" i="45"/>
  <c r="J324" i="45"/>
  <c r="L324" i="45"/>
  <c r="M324" i="45"/>
  <c r="Q324" i="45"/>
  <c r="S324" i="45"/>
  <c r="K324" i="45"/>
  <c r="N324" i="45"/>
  <c r="O324" i="45"/>
  <c r="G324" i="45"/>
  <c r="C324" i="45"/>
  <c r="B324" i="45"/>
  <c r="AE323" i="45"/>
  <c r="AD323" i="45"/>
  <c r="AC323" i="45"/>
  <c r="AB323" i="45"/>
  <c r="AA323" i="45"/>
  <c r="Z323" i="45"/>
  <c r="P323" i="45"/>
  <c r="R323" i="45"/>
  <c r="J323" i="45"/>
  <c r="L323" i="45"/>
  <c r="M323" i="45"/>
  <c r="Q323" i="45"/>
  <c r="S323" i="45"/>
  <c r="K323" i="45"/>
  <c r="N323" i="45"/>
  <c r="O323" i="45"/>
  <c r="G323" i="45"/>
  <c r="C323" i="45"/>
  <c r="B323" i="45"/>
  <c r="AE322" i="45"/>
  <c r="AD322" i="45"/>
  <c r="AC322" i="45"/>
  <c r="AB322" i="45"/>
  <c r="AA322" i="45"/>
  <c r="Z322" i="45"/>
  <c r="P322" i="45"/>
  <c r="R322" i="45"/>
  <c r="J322" i="45"/>
  <c r="L322" i="45"/>
  <c r="M322" i="45"/>
  <c r="Q322" i="45"/>
  <c r="S322" i="45"/>
  <c r="K322" i="45"/>
  <c r="N322" i="45"/>
  <c r="O322" i="45"/>
  <c r="G322" i="45"/>
  <c r="C322" i="45"/>
  <c r="B322" i="45"/>
  <c r="AE321" i="45"/>
  <c r="AD321" i="45"/>
  <c r="AC321" i="45"/>
  <c r="AB321" i="45"/>
  <c r="AA321" i="45"/>
  <c r="Z321" i="45"/>
  <c r="P321" i="45"/>
  <c r="R321" i="45"/>
  <c r="J321" i="45"/>
  <c r="L321" i="45"/>
  <c r="M321" i="45"/>
  <c r="Q321" i="45"/>
  <c r="S321" i="45"/>
  <c r="K321" i="45"/>
  <c r="N321" i="45"/>
  <c r="O321" i="45"/>
  <c r="G321" i="45"/>
  <c r="C321" i="45"/>
  <c r="B321" i="45"/>
  <c r="AE320" i="45"/>
  <c r="AD320" i="45"/>
  <c r="AC320" i="45"/>
  <c r="AB320" i="45"/>
  <c r="AA320" i="45"/>
  <c r="Z320" i="45"/>
  <c r="P320" i="45"/>
  <c r="R320" i="45"/>
  <c r="J320" i="45"/>
  <c r="L320" i="45"/>
  <c r="M320" i="45"/>
  <c r="Q320" i="45"/>
  <c r="S320" i="45"/>
  <c r="K320" i="45"/>
  <c r="N320" i="45"/>
  <c r="O320" i="45"/>
  <c r="G320" i="45"/>
  <c r="C320" i="45"/>
  <c r="B320" i="45"/>
  <c r="AE319" i="45"/>
  <c r="AD319" i="45"/>
  <c r="AC319" i="45"/>
  <c r="AB319" i="45"/>
  <c r="AA319" i="45"/>
  <c r="Z319" i="45"/>
  <c r="P319" i="45"/>
  <c r="R319" i="45"/>
  <c r="J319" i="45"/>
  <c r="L319" i="45"/>
  <c r="M319" i="45"/>
  <c r="Q319" i="45"/>
  <c r="S319" i="45"/>
  <c r="K319" i="45"/>
  <c r="N319" i="45"/>
  <c r="O319" i="45"/>
  <c r="G319" i="45"/>
  <c r="C319" i="45"/>
  <c r="B319" i="45"/>
  <c r="AE318" i="45"/>
  <c r="AD318" i="45"/>
  <c r="AC318" i="45"/>
  <c r="AB318" i="45"/>
  <c r="AA318" i="45"/>
  <c r="Z318" i="45"/>
  <c r="P318" i="45"/>
  <c r="R318" i="45"/>
  <c r="J318" i="45"/>
  <c r="L318" i="45"/>
  <c r="M318" i="45"/>
  <c r="Q318" i="45"/>
  <c r="S318" i="45"/>
  <c r="K318" i="45"/>
  <c r="N318" i="45"/>
  <c r="O318" i="45"/>
  <c r="G318" i="45"/>
  <c r="C318" i="45"/>
  <c r="B318" i="45"/>
  <c r="AE317" i="45"/>
  <c r="AD317" i="45"/>
  <c r="AC317" i="45"/>
  <c r="AB317" i="45"/>
  <c r="AA317" i="45"/>
  <c r="Z317" i="45"/>
  <c r="P317" i="45"/>
  <c r="R317" i="45"/>
  <c r="J317" i="45"/>
  <c r="L317" i="45"/>
  <c r="M317" i="45"/>
  <c r="Q317" i="45"/>
  <c r="S317" i="45"/>
  <c r="K317" i="45"/>
  <c r="N317" i="45"/>
  <c r="O317" i="45"/>
  <c r="G317" i="45"/>
  <c r="C317" i="45"/>
  <c r="B317" i="45"/>
  <c r="AE316" i="45"/>
  <c r="AD316" i="45"/>
  <c r="AC316" i="45"/>
  <c r="AB316" i="45"/>
  <c r="AA316" i="45"/>
  <c r="Z316" i="45"/>
  <c r="P316" i="45"/>
  <c r="R316" i="45"/>
  <c r="J316" i="45"/>
  <c r="L316" i="45"/>
  <c r="M316" i="45"/>
  <c r="Q316" i="45"/>
  <c r="S316" i="45"/>
  <c r="K316" i="45"/>
  <c r="N316" i="45"/>
  <c r="O316" i="45"/>
  <c r="G316" i="45"/>
  <c r="C316" i="45"/>
  <c r="B316" i="45"/>
  <c r="AE315" i="45"/>
  <c r="AD315" i="45"/>
  <c r="AC315" i="45"/>
  <c r="AB315" i="45"/>
  <c r="AA315" i="45"/>
  <c r="Z315" i="45"/>
  <c r="P315" i="45"/>
  <c r="R315" i="45"/>
  <c r="J315" i="45"/>
  <c r="L315" i="45"/>
  <c r="M315" i="45"/>
  <c r="Q315" i="45"/>
  <c r="S315" i="45"/>
  <c r="K315" i="45"/>
  <c r="N315" i="45"/>
  <c r="O315" i="45"/>
  <c r="G315" i="45"/>
  <c r="C315" i="45"/>
  <c r="B315" i="45"/>
  <c r="AE314" i="45"/>
  <c r="AD314" i="45"/>
  <c r="AC314" i="45"/>
  <c r="AB314" i="45"/>
  <c r="AA314" i="45"/>
  <c r="Z314" i="45"/>
  <c r="P314" i="45"/>
  <c r="R314" i="45"/>
  <c r="J314" i="45"/>
  <c r="L314" i="45"/>
  <c r="M314" i="45"/>
  <c r="Q314" i="45"/>
  <c r="S314" i="45"/>
  <c r="K314" i="45"/>
  <c r="N314" i="45"/>
  <c r="O314" i="45"/>
  <c r="G314" i="45"/>
  <c r="C314" i="45"/>
  <c r="B314" i="45"/>
  <c r="AE313" i="45"/>
  <c r="AD313" i="45"/>
  <c r="AC313" i="45"/>
  <c r="AB313" i="45"/>
  <c r="AA313" i="45"/>
  <c r="Z313" i="45"/>
  <c r="P313" i="45"/>
  <c r="R313" i="45"/>
  <c r="J313" i="45"/>
  <c r="L313" i="45"/>
  <c r="M313" i="45"/>
  <c r="Q313" i="45"/>
  <c r="S313" i="45"/>
  <c r="K313" i="45"/>
  <c r="N313" i="45"/>
  <c r="O313" i="45"/>
  <c r="G313" i="45"/>
  <c r="C313" i="45"/>
  <c r="B313" i="45"/>
  <c r="AE312" i="45"/>
  <c r="AD312" i="45"/>
  <c r="AC312" i="45"/>
  <c r="AB312" i="45"/>
  <c r="AA312" i="45"/>
  <c r="Z312" i="45"/>
  <c r="P312" i="45"/>
  <c r="R312" i="45"/>
  <c r="J312" i="45"/>
  <c r="L312" i="45"/>
  <c r="M312" i="45"/>
  <c r="Q312" i="45"/>
  <c r="S312" i="45"/>
  <c r="K312" i="45"/>
  <c r="N312" i="45"/>
  <c r="O312" i="45"/>
  <c r="G312" i="45"/>
  <c r="C312" i="45"/>
  <c r="B312" i="45"/>
  <c r="AE311" i="45"/>
  <c r="AD311" i="45"/>
  <c r="AC311" i="45"/>
  <c r="AB311" i="45"/>
  <c r="AA311" i="45"/>
  <c r="Z311" i="45"/>
  <c r="P311" i="45"/>
  <c r="R311" i="45"/>
  <c r="J311" i="45"/>
  <c r="L311" i="45"/>
  <c r="M311" i="45"/>
  <c r="Q311" i="45"/>
  <c r="S311" i="45"/>
  <c r="K311" i="45"/>
  <c r="N311" i="45"/>
  <c r="O311" i="45"/>
  <c r="G311" i="45"/>
  <c r="C311" i="45"/>
  <c r="B311" i="45"/>
  <c r="AE310" i="45"/>
  <c r="AD310" i="45"/>
  <c r="AC310" i="45"/>
  <c r="AB310" i="45"/>
  <c r="AA310" i="45"/>
  <c r="Z310" i="45"/>
  <c r="P310" i="45"/>
  <c r="R310" i="45"/>
  <c r="J310" i="45"/>
  <c r="L310" i="45"/>
  <c r="M310" i="45"/>
  <c r="Q310" i="45"/>
  <c r="S310" i="45"/>
  <c r="K310" i="45"/>
  <c r="N310" i="45"/>
  <c r="O310" i="45"/>
  <c r="G310" i="45"/>
  <c r="C310" i="45"/>
  <c r="B310" i="45"/>
  <c r="AE309" i="45"/>
  <c r="AD309" i="45"/>
  <c r="AC309" i="45"/>
  <c r="AB309" i="45"/>
  <c r="AA309" i="45"/>
  <c r="Z309" i="45"/>
  <c r="P309" i="45"/>
  <c r="R309" i="45"/>
  <c r="J309" i="45"/>
  <c r="L309" i="45"/>
  <c r="M309" i="45"/>
  <c r="Q309" i="45"/>
  <c r="S309" i="45"/>
  <c r="K309" i="45"/>
  <c r="N309" i="45"/>
  <c r="O309" i="45"/>
  <c r="G309" i="45"/>
  <c r="C309" i="45"/>
  <c r="B309" i="45"/>
  <c r="AE308" i="45"/>
  <c r="AD308" i="45"/>
  <c r="AC308" i="45"/>
  <c r="AB308" i="45"/>
  <c r="AA308" i="45"/>
  <c r="Z308" i="45"/>
  <c r="P308" i="45"/>
  <c r="R308" i="45"/>
  <c r="J308" i="45"/>
  <c r="L308" i="45"/>
  <c r="M308" i="45"/>
  <c r="Q308" i="45"/>
  <c r="S308" i="45"/>
  <c r="K308" i="45"/>
  <c r="N308" i="45"/>
  <c r="O308" i="45"/>
  <c r="G308" i="45"/>
  <c r="C308" i="45"/>
  <c r="B308" i="45"/>
  <c r="AE307" i="45"/>
  <c r="AD307" i="45"/>
  <c r="AC307" i="45"/>
  <c r="AB307" i="45"/>
  <c r="AA307" i="45"/>
  <c r="Z307" i="45"/>
  <c r="P307" i="45"/>
  <c r="R307" i="45"/>
  <c r="J307" i="45"/>
  <c r="L307" i="45"/>
  <c r="M307" i="45"/>
  <c r="Q307" i="45"/>
  <c r="S307" i="45"/>
  <c r="K307" i="45"/>
  <c r="N307" i="45"/>
  <c r="O307" i="45"/>
  <c r="G307" i="45"/>
  <c r="C307" i="45"/>
  <c r="B307" i="45"/>
  <c r="AE306" i="45"/>
  <c r="AD306" i="45"/>
  <c r="AC306" i="45"/>
  <c r="AB306" i="45"/>
  <c r="AA306" i="45"/>
  <c r="Z306" i="45"/>
  <c r="P306" i="45"/>
  <c r="R306" i="45"/>
  <c r="J306" i="45"/>
  <c r="L306" i="45"/>
  <c r="M306" i="45"/>
  <c r="Q306" i="45"/>
  <c r="S306" i="45"/>
  <c r="K306" i="45"/>
  <c r="N306" i="45"/>
  <c r="O306" i="45"/>
  <c r="G306" i="45"/>
  <c r="C306" i="45"/>
  <c r="B306" i="45"/>
  <c r="AE305" i="45"/>
  <c r="AD305" i="45"/>
  <c r="AC305" i="45"/>
  <c r="AB305" i="45"/>
  <c r="AA305" i="45"/>
  <c r="Z305" i="45"/>
  <c r="P305" i="45"/>
  <c r="R305" i="45"/>
  <c r="J305" i="45"/>
  <c r="L305" i="45"/>
  <c r="M305" i="45"/>
  <c r="Q305" i="45"/>
  <c r="S305" i="45"/>
  <c r="K305" i="45"/>
  <c r="N305" i="45"/>
  <c r="O305" i="45"/>
  <c r="G305" i="45"/>
  <c r="C305" i="45"/>
  <c r="B305" i="45"/>
  <c r="AE304" i="45"/>
  <c r="AD304" i="45"/>
  <c r="AC304" i="45"/>
  <c r="AB304" i="45"/>
  <c r="AA304" i="45"/>
  <c r="Z304" i="45"/>
  <c r="P304" i="45"/>
  <c r="R304" i="45"/>
  <c r="J304" i="45"/>
  <c r="L304" i="45"/>
  <c r="M304" i="45"/>
  <c r="Q304" i="45"/>
  <c r="S304" i="45"/>
  <c r="K304" i="45"/>
  <c r="N304" i="45"/>
  <c r="O304" i="45"/>
  <c r="G304" i="45"/>
  <c r="C304" i="45"/>
  <c r="B304" i="45"/>
  <c r="AE303" i="45"/>
  <c r="AD303" i="45"/>
  <c r="AC303" i="45"/>
  <c r="AB303" i="45"/>
  <c r="AA303" i="45"/>
  <c r="Z303" i="45"/>
  <c r="P303" i="45"/>
  <c r="R303" i="45"/>
  <c r="J303" i="45"/>
  <c r="L303" i="45"/>
  <c r="M303" i="45"/>
  <c r="Q303" i="45"/>
  <c r="S303" i="45"/>
  <c r="K303" i="45"/>
  <c r="N303" i="45"/>
  <c r="O303" i="45"/>
  <c r="G303" i="45"/>
  <c r="C303" i="45"/>
  <c r="B303" i="45"/>
  <c r="AE302" i="45"/>
  <c r="AD302" i="45"/>
  <c r="AC302" i="45"/>
  <c r="AB302" i="45"/>
  <c r="AA302" i="45"/>
  <c r="Z302" i="45"/>
  <c r="P302" i="45"/>
  <c r="R302" i="45"/>
  <c r="J302" i="45"/>
  <c r="L302" i="45"/>
  <c r="M302" i="45"/>
  <c r="Q302" i="45"/>
  <c r="S302" i="45"/>
  <c r="K302" i="45"/>
  <c r="N302" i="45"/>
  <c r="O302" i="45"/>
  <c r="G302" i="45"/>
  <c r="C302" i="45"/>
  <c r="B302" i="45"/>
  <c r="AE301" i="45"/>
  <c r="AD301" i="45"/>
  <c r="AC301" i="45"/>
  <c r="AB301" i="45"/>
  <c r="AA301" i="45"/>
  <c r="Z301" i="45"/>
  <c r="P301" i="45"/>
  <c r="R301" i="45"/>
  <c r="J301" i="45"/>
  <c r="L301" i="45"/>
  <c r="M301" i="45"/>
  <c r="Q301" i="45"/>
  <c r="S301" i="45"/>
  <c r="K301" i="45"/>
  <c r="N301" i="45"/>
  <c r="O301" i="45"/>
  <c r="G301" i="45"/>
  <c r="C301" i="45"/>
  <c r="B301" i="45"/>
  <c r="AE300" i="45"/>
  <c r="AD300" i="45"/>
  <c r="AC300" i="45"/>
  <c r="AB300" i="45"/>
  <c r="AA300" i="45"/>
  <c r="Z300" i="45"/>
  <c r="P300" i="45"/>
  <c r="R300" i="45"/>
  <c r="J300" i="45"/>
  <c r="L300" i="45"/>
  <c r="M300" i="45"/>
  <c r="Q300" i="45"/>
  <c r="S300" i="45"/>
  <c r="K300" i="45"/>
  <c r="N300" i="45"/>
  <c r="O300" i="45"/>
  <c r="G300" i="45"/>
  <c r="C300" i="45"/>
  <c r="B300" i="45"/>
  <c r="AE299" i="45"/>
  <c r="AD299" i="45"/>
  <c r="AC299" i="45"/>
  <c r="AB299" i="45"/>
  <c r="AA299" i="45"/>
  <c r="Z299" i="45"/>
  <c r="P299" i="45"/>
  <c r="R299" i="45"/>
  <c r="J299" i="45"/>
  <c r="L299" i="45"/>
  <c r="M299" i="45"/>
  <c r="Q299" i="45"/>
  <c r="S299" i="45"/>
  <c r="K299" i="45"/>
  <c r="N299" i="45"/>
  <c r="O299" i="45"/>
  <c r="G299" i="45"/>
  <c r="C299" i="45"/>
  <c r="B299" i="45"/>
  <c r="AE298" i="45"/>
  <c r="AD298" i="45"/>
  <c r="AC298" i="45"/>
  <c r="AB298" i="45"/>
  <c r="AA298" i="45"/>
  <c r="Z298" i="45"/>
  <c r="P298" i="45"/>
  <c r="R298" i="45"/>
  <c r="J298" i="45"/>
  <c r="L298" i="45"/>
  <c r="M298" i="45"/>
  <c r="Q298" i="45"/>
  <c r="S298" i="45"/>
  <c r="K298" i="45"/>
  <c r="N298" i="45"/>
  <c r="O298" i="45"/>
  <c r="G298" i="45"/>
  <c r="C298" i="45"/>
  <c r="B298" i="45"/>
  <c r="AE297" i="45"/>
  <c r="AD297" i="45"/>
  <c r="AC297" i="45"/>
  <c r="AB297" i="45"/>
  <c r="AA297" i="45"/>
  <c r="Z297" i="45"/>
  <c r="P297" i="45"/>
  <c r="R297" i="45"/>
  <c r="J297" i="45"/>
  <c r="L297" i="45"/>
  <c r="M297" i="45"/>
  <c r="Q297" i="45"/>
  <c r="S297" i="45"/>
  <c r="K297" i="45"/>
  <c r="N297" i="45"/>
  <c r="O297" i="45"/>
  <c r="G297" i="45"/>
  <c r="C297" i="45"/>
  <c r="B297" i="45"/>
  <c r="AE296" i="45"/>
  <c r="AD296" i="45"/>
  <c r="AC296" i="45"/>
  <c r="AB296" i="45"/>
  <c r="AA296" i="45"/>
  <c r="Z296" i="45"/>
  <c r="P296" i="45"/>
  <c r="R296" i="45"/>
  <c r="J296" i="45"/>
  <c r="L296" i="45"/>
  <c r="M296" i="45"/>
  <c r="Q296" i="45"/>
  <c r="S296" i="45"/>
  <c r="K296" i="45"/>
  <c r="N296" i="45"/>
  <c r="O296" i="45"/>
  <c r="G296" i="45"/>
  <c r="C296" i="45"/>
  <c r="B296" i="45"/>
  <c r="AE295" i="45"/>
  <c r="AD295" i="45"/>
  <c r="AC295" i="45"/>
  <c r="AB295" i="45"/>
  <c r="AA295" i="45"/>
  <c r="Z295" i="45"/>
  <c r="P295" i="45"/>
  <c r="R295" i="45"/>
  <c r="J295" i="45"/>
  <c r="L295" i="45"/>
  <c r="M295" i="45"/>
  <c r="Q295" i="45"/>
  <c r="S295" i="45"/>
  <c r="K295" i="45"/>
  <c r="N295" i="45"/>
  <c r="O295" i="45"/>
  <c r="G295" i="45"/>
  <c r="C295" i="45"/>
  <c r="B295" i="45"/>
  <c r="AE294" i="45"/>
  <c r="AD294" i="45"/>
  <c r="AC294" i="45"/>
  <c r="AB294" i="45"/>
  <c r="AA294" i="45"/>
  <c r="Z294" i="45"/>
  <c r="P294" i="45"/>
  <c r="R294" i="45"/>
  <c r="J294" i="45"/>
  <c r="L294" i="45"/>
  <c r="M294" i="45"/>
  <c r="Q294" i="45"/>
  <c r="S294" i="45"/>
  <c r="K294" i="45"/>
  <c r="N294" i="45"/>
  <c r="O294" i="45"/>
  <c r="G294" i="45"/>
  <c r="C294" i="45"/>
  <c r="B294" i="45"/>
  <c r="AE293" i="45"/>
  <c r="AD293" i="45"/>
  <c r="AC293" i="45"/>
  <c r="AB293" i="45"/>
  <c r="AA293" i="45"/>
  <c r="Z293" i="45"/>
  <c r="P293" i="45"/>
  <c r="R293" i="45"/>
  <c r="J293" i="45"/>
  <c r="L293" i="45"/>
  <c r="M293" i="45"/>
  <c r="Q293" i="45"/>
  <c r="S293" i="45"/>
  <c r="K293" i="45"/>
  <c r="N293" i="45"/>
  <c r="O293" i="45"/>
  <c r="G293" i="45"/>
  <c r="C293" i="45"/>
  <c r="B293" i="45"/>
  <c r="AE292" i="45"/>
  <c r="AD292" i="45"/>
  <c r="AC292" i="45"/>
  <c r="AB292" i="45"/>
  <c r="AA292" i="45"/>
  <c r="Z292" i="45"/>
  <c r="P292" i="45"/>
  <c r="R292" i="45"/>
  <c r="J292" i="45"/>
  <c r="L292" i="45"/>
  <c r="M292" i="45"/>
  <c r="Q292" i="45"/>
  <c r="S292" i="45"/>
  <c r="K292" i="45"/>
  <c r="N292" i="45"/>
  <c r="O292" i="45"/>
  <c r="G292" i="45"/>
  <c r="C292" i="45"/>
  <c r="B292" i="45"/>
  <c r="AE291" i="45"/>
  <c r="AD291" i="45"/>
  <c r="AC291" i="45"/>
  <c r="AB291" i="45"/>
  <c r="AA291" i="45"/>
  <c r="Z291" i="45"/>
  <c r="P291" i="45"/>
  <c r="R291" i="45"/>
  <c r="J291" i="45"/>
  <c r="L291" i="45"/>
  <c r="M291" i="45"/>
  <c r="Q291" i="45"/>
  <c r="S291" i="45"/>
  <c r="K291" i="45"/>
  <c r="N291" i="45"/>
  <c r="O291" i="45"/>
  <c r="G291" i="45"/>
  <c r="C291" i="45"/>
  <c r="B291" i="45"/>
  <c r="AE290" i="45"/>
  <c r="AD290" i="45"/>
  <c r="AC290" i="45"/>
  <c r="AB290" i="45"/>
  <c r="AA290" i="45"/>
  <c r="Z290" i="45"/>
  <c r="P290" i="45"/>
  <c r="R290" i="45"/>
  <c r="J290" i="45"/>
  <c r="L290" i="45"/>
  <c r="M290" i="45"/>
  <c r="Q290" i="45"/>
  <c r="S290" i="45"/>
  <c r="K290" i="45"/>
  <c r="N290" i="45"/>
  <c r="O290" i="45"/>
  <c r="G290" i="45"/>
  <c r="C290" i="45"/>
  <c r="B290" i="45"/>
  <c r="AE289" i="45"/>
  <c r="AD289" i="45"/>
  <c r="AC289" i="45"/>
  <c r="AB289" i="45"/>
  <c r="AA289" i="45"/>
  <c r="Z289" i="45"/>
  <c r="P289" i="45"/>
  <c r="R289" i="45"/>
  <c r="J289" i="45"/>
  <c r="L289" i="45"/>
  <c r="M289" i="45"/>
  <c r="Q289" i="45"/>
  <c r="S289" i="45"/>
  <c r="K289" i="45"/>
  <c r="N289" i="45"/>
  <c r="O289" i="45"/>
  <c r="G289" i="45"/>
  <c r="C289" i="45"/>
  <c r="B289" i="45"/>
  <c r="AE288" i="45"/>
  <c r="AD288" i="45"/>
  <c r="AC288" i="45"/>
  <c r="AB288" i="45"/>
  <c r="AA288" i="45"/>
  <c r="Z288" i="45"/>
  <c r="P288" i="45"/>
  <c r="R288" i="45"/>
  <c r="J288" i="45"/>
  <c r="L288" i="45"/>
  <c r="M288" i="45"/>
  <c r="Q288" i="45"/>
  <c r="S288" i="45"/>
  <c r="K288" i="45"/>
  <c r="N288" i="45"/>
  <c r="O288" i="45"/>
  <c r="G288" i="45"/>
  <c r="C288" i="45"/>
  <c r="B288" i="45"/>
  <c r="AE287" i="45"/>
  <c r="AD287" i="45"/>
  <c r="AC287" i="45"/>
  <c r="AB287" i="45"/>
  <c r="AA287" i="45"/>
  <c r="Z287" i="45"/>
  <c r="P287" i="45"/>
  <c r="R287" i="45"/>
  <c r="J287" i="45"/>
  <c r="L287" i="45"/>
  <c r="M287" i="45"/>
  <c r="Q287" i="45"/>
  <c r="S287" i="45"/>
  <c r="K287" i="45"/>
  <c r="N287" i="45"/>
  <c r="O287" i="45"/>
  <c r="G287" i="45"/>
  <c r="C287" i="45"/>
  <c r="B287" i="45"/>
  <c r="AE286" i="45"/>
  <c r="AD286" i="45"/>
  <c r="AC286" i="45"/>
  <c r="AB286" i="45"/>
  <c r="AA286" i="45"/>
  <c r="Z286" i="45"/>
  <c r="P286" i="45"/>
  <c r="R286" i="45"/>
  <c r="J286" i="45"/>
  <c r="L286" i="45"/>
  <c r="M286" i="45"/>
  <c r="Q286" i="45"/>
  <c r="S286" i="45"/>
  <c r="K286" i="45"/>
  <c r="N286" i="45"/>
  <c r="O286" i="45"/>
  <c r="G286" i="45"/>
  <c r="C286" i="45"/>
  <c r="B286" i="45"/>
  <c r="AE285" i="45"/>
  <c r="AD285" i="45"/>
  <c r="AC285" i="45"/>
  <c r="AB285" i="45"/>
  <c r="AA285" i="45"/>
  <c r="Z285" i="45"/>
  <c r="P285" i="45"/>
  <c r="R285" i="45"/>
  <c r="J285" i="45"/>
  <c r="L285" i="45"/>
  <c r="M285" i="45"/>
  <c r="Q285" i="45"/>
  <c r="S285" i="45"/>
  <c r="K285" i="45"/>
  <c r="N285" i="45"/>
  <c r="O285" i="45"/>
  <c r="G285" i="45"/>
  <c r="C285" i="45"/>
  <c r="B285" i="45"/>
  <c r="AE284" i="45"/>
  <c r="AD284" i="45"/>
  <c r="AC284" i="45"/>
  <c r="AB284" i="45"/>
  <c r="AA284" i="45"/>
  <c r="Z284" i="45"/>
  <c r="P284" i="45"/>
  <c r="R284" i="45"/>
  <c r="J284" i="45"/>
  <c r="L284" i="45"/>
  <c r="M284" i="45"/>
  <c r="Q284" i="45"/>
  <c r="S284" i="45"/>
  <c r="K284" i="45"/>
  <c r="N284" i="45"/>
  <c r="O284" i="45"/>
  <c r="G284" i="45"/>
  <c r="C284" i="45"/>
  <c r="B284" i="45"/>
  <c r="AE283" i="45"/>
  <c r="AD283" i="45"/>
  <c r="AC283" i="45"/>
  <c r="AB283" i="45"/>
  <c r="AA283" i="45"/>
  <c r="Z283" i="45"/>
  <c r="P283" i="45"/>
  <c r="R283" i="45"/>
  <c r="J283" i="45"/>
  <c r="L283" i="45"/>
  <c r="M283" i="45"/>
  <c r="Q283" i="45"/>
  <c r="S283" i="45"/>
  <c r="K283" i="45"/>
  <c r="N283" i="45"/>
  <c r="O283" i="45"/>
  <c r="G283" i="45"/>
  <c r="C283" i="45"/>
  <c r="B283" i="45"/>
  <c r="AE282" i="45"/>
  <c r="AD282" i="45"/>
  <c r="AC282" i="45"/>
  <c r="AB282" i="45"/>
  <c r="AA282" i="45"/>
  <c r="Z282" i="45"/>
  <c r="P282" i="45"/>
  <c r="R282" i="45"/>
  <c r="J282" i="45"/>
  <c r="L282" i="45"/>
  <c r="M282" i="45"/>
  <c r="Q282" i="45"/>
  <c r="S282" i="45"/>
  <c r="K282" i="45"/>
  <c r="N282" i="45"/>
  <c r="O282" i="45"/>
  <c r="G282" i="45"/>
  <c r="C282" i="45"/>
  <c r="B282" i="45"/>
  <c r="AE281" i="45"/>
  <c r="AD281" i="45"/>
  <c r="AC281" i="45"/>
  <c r="AB281" i="45"/>
  <c r="AA281" i="45"/>
  <c r="Z281" i="45"/>
  <c r="P281" i="45"/>
  <c r="R281" i="45"/>
  <c r="J281" i="45"/>
  <c r="L281" i="45"/>
  <c r="M281" i="45"/>
  <c r="Q281" i="45"/>
  <c r="S281" i="45"/>
  <c r="K281" i="45"/>
  <c r="N281" i="45"/>
  <c r="O281" i="45"/>
  <c r="G281" i="45"/>
  <c r="C281" i="45"/>
  <c r="B281" i="45"/>
  <c r="AE280" i="45"/>
  <c r="AD280" i="45"/>
  <c r="AC280" i="45"/>
  <c r="AB280" i="45"/>
  <c r="AA280" i="45"/>
  <c r="Z280" i="45"/>
  <c r="P280" i="45"/>
  <c r="R280" i="45"/>
  <c r="J280" i="45"/>
  <c r="L280" i="45"/>
  <c r="M280" i="45"/>
  <c r="Q280" i="45"/>
  <c r="S280" i="45"/>
  <c r="K280" i="45"/>
  <c r="N280" i="45"/>
  <c r="O280" i="45"/>
  <c r="G280" i="45"/>
  <c r="C280" i="45"/>
  <c r="B280" i="45"/>
  <c r="AE279" i="45"/>
  <c r="AD279" i="45"/>
  <c r="AC279" i="45"/>
  <c r="AB279" i="45"/>
  <c r="AA279" i="45"/>
  <c r="Z279" i="45"/>
  <c r="P279" i="45"/>
  <c r="R279" i="45"/>
  <c r="J279" i="45"/>
  <c r="L279" i="45"/>
  <c r="M279" i="45"/>
  <c r="Q279" i="45"/>
  <c r="S279" i="45"/>
  <c r="K279" i="45"/>
  <c r="N279" i="45"/>
  <c r="O279" i="45"/>
  <c r="G279" i="45"/>
  <c r="C279" i="45"/>
  <c r="B279" i="45"/>
  <c r="AE278" i="45"/>
  <c r="AD278" i="45"/>
  <c r="AC278" i="45"/>
  <c r="AB278" i="45"/>
  <c r="AA278" i="45"/>
  <c r="Z278" i="45"/>
  <c r="P278" i="45"/>
  <c r="R278" i="45"/>
  <c r="J278" i="45"/>
  <c r="L278" i="45"/>
  <c r="M278" i="45"/>
  <c r="Q278" i="45"/>
  <c r="S278" i="45"/>
  <c r="K278" i="45"/>
  <c r="N278" i="45"/>
  <c r="O278" i="45"/>
  <c r="G278" i="45"/>
  <c r="C278" i="45"/>
  <c r="B278" i="45"/>
  <c r="AE277" i="45"/>
  <c r="AD277" i="45"/>
  <c r="AC277" i="45"/>
  <c r="AB277" i="45"/>
  <c r="AA277" i="45"/>
  <c r="Z277" i="45"/>
  <c r="P277" i="45"/>
  <c r="R277" i="45"/>
  <c r="J277" i="45"/>
  <c r="L277" i="45"/>
  <c r="M277" i="45"/>
  <c r="Q277" i="45"/>
  <c r="S277" i="45"/>
  <c r="K277" i="45"/>
  <c r="N277" i="45"/>
  <c r="O277" i="45"/>
  <c r="G277" i="45"/>
  <c r="C277" i="45"/>
  <c r="B277" i="45"/>
  <c r="AE276" i="45"/>
  <c r="AD276" i="45"/>
  <c r="AC276" i="45"/>
  <c r="AB276" i="45"/>
  <c r="AA276" i="45"/>
  <c r="Z276" i="45"/>
  <c r="P276" i="45"/>
  <c r="R276" i="45"/>
  <c r="J276" i="45"/>
  <c r="L276" i="45"/>
  <c r="M276" i="45"/>
  <c r="Q276" i="45"/>
  <c r="S276" i="45"/>
  <c r="K276" i="45"/>
  <c r="N276" i="45"/>
  <c r="O276" i="45"/>
  <c r="G276" i="45"/>
  <c r="C276" i="45"/>
  <c r="B276" i="45"/>
  <c r="AE275" i="45"/>
  <c r="AD275" i="45"/>
  <c r="AC275" i="45"/>
  <c r="AB275" i="45"/>
  <c r="AA275" i="45"/>
  <c r="Z275" i="45"/>
  <c r="P275" i="45"/>
  <c r="R275" i="45"/>
  <c r="J275" i="45"/>
  <c r="L275" i="45"/>
  <c r="M275" i="45"/>
  <c r="Q275" i="45"/>
  <c r="S275" i="45"/>
  <c r="K275" i="45"/>
  <c r="N275" i="45"/>
  <c r="O275" i="45"/>
  <c r="G275" i="45"/>
  <c r="C275" i="45"/>
  <c r="B275" i="45"/>
  <c r="AE274" i="45"/>
  <c r="AD274" i="45"/>
  <c r="AC274" i="45"/>
  <c r="AB274" i="45"/>
  <c r="AA274" i="45"/>
  <c r="Z274" i="45"/>
  <c r="P274" i="45"/>
  <c r="R274" i="45"/>
  <c r="J274" i="45"/>
  <c r="L274" i="45"/>
  <c r="M274" i="45"/>
  <c r="Q274" i="45"/>
  <c r="S274" i="45"/>
  <c r="K274" i="45"/>
  <c r="N274" i="45"/>
  <c r="O274" i="45"/>
  <c r="G274" i="45"/>
  <c r="C274" i="45"/>
  <c r="B274" i="45"/>
  <c r="AE273" i="45"/>
  <c r="AD273" i="45"/>
  <c r="AC273" i="45"/>
  <c r="AB273" i="45"/>
  <c r="AA273" i="45"/>
  <c r="Z273" i="45"/>
  <c r="P273" i="45"/>
  <c r="R273" i="45"/>
  <c r="J273" i="45"/>
  <c r="L273" i="45"/>
  <c r="M273" i="45"/>
  <c r="Q273" i="45"/>
  <c r="S273" i="45"/>
  <c r="K273" i="45"/>
  <c r="N273" i="45"/>
  <c r="O273" i="45"/>
  <c r="G273" i="45"/>
  <c r="C273" i="45"/>
  <c r="B273" i="45"/>
  <c r="AE272" i="45"/>
  <c r="AD272" i="45"/>
  <c r="AC272" i="45"/>
  <c r="AB272" i="45"/>
  <c r="AA272" i="45"/>
  <c r="Z272" i="45"/>
  <c r="P272" i="45"/>
  <c r="R272" i="45"/>
  <c r="J272" i="45"/>
  <c r="L272" i="45"/>
  <c r="M272" i="45"/>
  <c r="Q272" i="45"/>
  <c r="S272" i="45"/>
  <c r="K272" i="45"/>
  <c r="N272" i="45"/>
  <c r="O272" i="45"/>
  <c r="G272" i="45"/>
  <c r="C272" i="45"/>
  <c r="B272" i="45"/>
  <c r="AE271" i="45"/>
  <c r="AD271" i="45"/>
  <c r="AC271" i="45"/>
  <c r="AB271" i="45"/>
  <c r="AA271" i="45"/>
  <c r="Z271" i="45"/>
  <c r="P271" i="45"/>
  <c r="R271" i="45"/>
  <c r="J271" i="45"/>
  <c r="L271" i="45"/>
  <c r="M271" i="45"/>
  <c r="Q271" i="45"/>
  <c r="S271" i="45"/>
  <c r="K271" i="45"/>
  <c r="N271" i="45"/>
  <c r="O271" i="45"/>
  <c r="G271" i="45"/>
  <c r="C271" i="45"/>
  <c r="B271" i="45"/>
  <c r="AE270" i="45"/>
  <c r="AD270" i="45"/>
  <c r="AC270" i="45"/>
  <c r="AB270" i="45"/>
  <c r="AA270" i="45"/>
  <c r="Z270" i="45"/>
  <c r="P270" i="45"/>
  <c r="R270" i="45"/>
  <c r="J270" i="45"/>
  <c r="L270" i="45"/>
  <c r="M270" i="45"/>
  <c r="Q270" i="45"/>
  <c r="S270" i="45"/>
  <c r="K270" i="45"/>
  <c r="N270" i="45"/>
  <c r="O270" i="45"/>
  <c r="G270" i="45"/>
  <c r="C270" i="45"/>
  <c r="B270" i="45"/>
  <c r="AE269" i="45"/>
  <c r="AD269" i="45"/>
  <c r="AC269" i="45"/>
  <c r="AB269" i="45"/>
  <c r="AA269" i="45"/>
  <c r="Z269" i="45"/>
  <c r="P269" i="45"/>
  <c r="R269" i="45"/>
  <c r="J269" i="45"/>
  <c r="L269" i="45"/>
  <c r="M269" i="45"/>
  <c r="Q269" i="45"/>
  <c r="S269" i="45"/>
  <c r="K269" i="45"/>
  <c r="N269" i="45"/>
  <c r="O269" i="45"/>
  <c r="G269" i="45"/>
  <c r="C269" i="45"/>
  <c r="B269" i="45"/>
  <c r="AE268" i="45"/>
  <c r="AD268" i="45"/>
  <c r="AC268" i="45"/>
  <c r="AB268" i="45"/>
  <c r="AA268" i="45"/>
  <c r="Z268" i="45"/>
  <c r="P268" i="45"/>
  <c r="R268" i="45"/>
  <c r="J268" i="45"/>
  <c r="L268" i="45"/>
  <c r="M268" i="45"/>
  <c r="Q268" i="45"/>
  <c r="S268" i="45"/>
  <c r="K268" i="45"/>
  <c r="N268" i="45"/>
  <c r="O268" i="45"/>
  <c r="G268" i="45"/>
  <c r="C268" i="45"/>
  <c r="B268" i="45"/>
  <c r="AE267" i="45"/>
  <c r="AD267" i="45"/>
  <c r="AC267" i="45"/>
  <c r="AB267" i="45"/>
  <c r="AA267" i="45"/>
  <c r="Z267" i="45"/>
  <c r="P267" i="45"/>
  <c r="R267" i="45"/>
  <c r="J267" i="45"/>
  <c r="L267" i="45"/>
  <c r="M267" i="45"/>
  <c r="Q267" i="45"/>
  <c r="S267" i="45"/>
  <c r="K267" i="45"/>
  <c r="N267" i="45"/>
  <c r="O267" i="45"/>
  <c r="G267" i="45"/>
  <c r="C267" i="45"/>
  <c r="B267" i="45"/>
  <c r="AE266" i="45"/>
  <c r="AD266" i="45"/>
  <c r="AC266" i="45"/>
  <c r="AB266" i="45"/>
  <c r="AA266" i="45"/>
  <c r="Z266" i="45"/>
  <c r="P266" i="45"/>
  <c r="R266" i="45"/>
  <c r="J266" i="45"/>
  <c r="L266" i="45"/>
  <c r="M266" i="45"/>
  <c r="Q266" i="45"/>
  <c r="S266" i="45"/>
  <c r="K266" i="45"/>
  <c r="N266" i="45"/>
  <c r="O266" i="45"/>
  <c r="G266" i="45"/>
  <c r="C266" i="45"/>
  <c r="B266" i="45"/>
  <c r="AE265" i="45"/>
  <c r="AD265" i="45"/>
  <c r="AC265" i="45"/>
  <c r="AB265" i="45"/>
  <c r="AA265" i="45"/>
  <c r="Z265" i="45"/>
  <c r="P265" i="45"/>
  <c r="R265" i="45"/>
  <c r="J265" i="45"/>
  <c r="L265" i="45"/>
  <c r="M265" i="45"/>
  <c r="Q265" i="45"/>
  <c r="S265" i="45"/>
  <c r="K265" i="45"/>
  <c r="N265" i="45"/>
  <c r="O265" i="45"/>
  <c r="G265" i="45"/>
  <c r="C265" i="45"/>
  <c r="B265" i="45"/>
  <c r="AE264" i="45"/>
  <c r="AD264" i="45"/>
  <c r="AC264" i="45"/>
  <c r="AB264" i="45"/>
  <c r="AA264" i="45"/>
  <c r="Z264" i="45"/>
  <c r="P264" i="45"/>
  <c r="R264" i="45"/>
  <c r="J264" i="45"/>
  <c r="L264" i="45"/>
  <c r="M264" i="45"/>
  <c r="Q264" i="45"/>
  <c r="S264" i="45"/>
  <c r="K264" i="45"/>
  <c r="N264" i="45"/>
  <c r="O264" i="45"/>
  <c r="G264" i="45"/>
  <c r="C264" i="45"/>
  <c r="B264" i="45"/>
  <c r="AE263" i="45"/>
  <c r="AD263" i="45"/>
  <c r="AC263" i="45"/>
  <c r="AB263" i="45"/>
  <c r="AA263" i="45"/>
  <c r="Z263" i="45"/>
  <c r="P263" i="45"/>
  <c r="R263" i="45"/>
  <c r="J263" i="45"/>
  <c r="L263" i="45"/>
  <c r="M263" i="45"/>
  <c r="Q263" i="45"/>
  <c r="S263" i="45"/>
  <c r="K263" i="45"/>
  <c r="N263" i="45"/>
  <c r="O263" i="45"/>
  <c r="G263" i="45"/>
  <c r="C263" i="45"/>
  <c r="B263" i="45"/>
  <c r="AE262" i="45"/>
  <c r="AD262" i="45"/>
  <c r="AC262" i="45"/>
  <c r="AB262" i="45"/>
  <c r="AA262" i="45"/>
  <c r="Z262" i="45"/>
  <c r="P262" i="45"/>
  <c r="R262" i="45"/>
  <c r="J262" i="45"/>
  <c r="L262" i="45"/>
  <c r="M262" i="45"/>
  <c r="Q262" i="45"/>
  <c r="S262" i="45"/>
  <c r="K262" i="45"/>
  <c r="N262" i="45"/>
  <c r="O262" i="45"/>
  <c r="G262" i="45"/>
  <c r="C262" i="45"/>
  <c r="B262" i="45"/>
  <c r="AE261" i="45"/>
  <c r="AD261" i="45"/>
  <c r="AC261" i="45"/>
  <c r="AB261" i="45"/>
  <c r="AA261" i="45"/>
  <c r="Z261" i="45"/>
  <c r="P261" i="45"/>
  <c r="R261" i="45"/>
  <c r="J261" i="45"/>
  <c r="L261" i="45"/>
  <c r="M261" i="45"/>
  <c r="Q261" i="45"/>
  <c r="S261" i="45"/>
  <c r="K261" i="45"/>
  <c r="N261" i="45"/>
  <c r="O261" i="45"/>
  <c r="G261" i="45"/>
  <c r="C261" i="45"/>
  <c r="B261" i="45"/>
  <c r="AE260" i="45"/>
  <c r="AD260" i="45"/>
  <c r="AC260" i="45"/>
  <c r="AB260" i="45"/>
  <c r="AA260" i="45"/>
  <c r="Z260" i="45"/>
  <c r="P260" i="45"/>
  <c r="R260" i="45"/>
  <c r="J260" i="45"/>
  <c r="L260" i="45"/>
  <c r="M260" i="45"/>
  <c r="Q260" i="45"/>
  <c r="S260" i="45"/>
  <c r="K260" i="45"/>
  <c r="N260" i="45"/>
  <c r="O260" i="45"/>
  <c r="G260" i="45"/>
  <c r="C260" i="45"/>
  <c r="B260" i="45"/>
  <c r="AE259" i="45"/>
  <c r="AD259" i="45"/>
  <c r="AC259" i="45"/>
  <c r="AB259" i="45"/>
  <c r="AA259" i="45"/>
  <c r="Z259" i="45"/>
  <c r="P259" i="45"/>
  <c r="R259" i="45"/>
  <c r="J259" i="45"/>
  <c r="L259" i="45"/>
  <c r="M259" i="45"/>
  <c r="Q259" i="45"/>
  <c r="S259" i="45"/>
  <c r="K259" i="45"/>
  <c r="N259" i="45"/>
  <c r="O259" i="45"/>
  <c r="G259" i="45"/>
  <c r="C259" i="45"/>
  <c r="B259" i="45"/>
  <c r="AE258" i="45"/>
  <c r="AD258" i="45"/>
  <c r="AC258" i="45"/>
  <c r="AB258" i="45"/>
  <c r="AA258" i="45"/>
  <c r="Z258" i="45"/>
  <c r="P258" i="45"/>
  <c r="R258" i="45"/>
  <c r="J258" i="45"/>
  <c r="L258" i="45"/>
  <c r="M258" i="45"/>
  <c r="Q258" i="45"/>
  <c r="S258" i="45"/>
  <c r="K258" i="45"/>
  <c r="N258" i="45"/>
  <c r="O258" i="45"/>
  <c r="G258" i="45"/>
  <c r="C258" i="45"/>
  <c r="B258" i="45"/>
  <c r="AE257" i="45"/>
  <c r="AD257" i="45"/>
  <c r="AC257" i="45"/>
  <c r="AB257" i="45"/>
  <c r="AA257" i="45"/>
  <c r="Z257" i="45"/>
  <c r="P257" i="45"/>
  <c r="R257" i="45"/>
  <c r="J257" i="45"/>
  <c r="L257" i="45"/>
  <c r="M257" i="45"/>
  <c r="Q257" i="45"/>
  <c r="S257" i="45"/>
  <c r="K257" i="45"/>
  <c r="N257" i="45"/>
  <c r="O257" i="45"/>
  <c r="G257" i="45"/>
  <c r="C257" i="45"/>
  <c r="B257" i="45"/>
  <c r="AE256" i="45"/>
  <c r="AD256" i="45"/>
  <c r="AC256" i="45"/>
  <c r="AB256" i="45"/>
  <c r="AA256" i="45"/>
  <c r="Z256" i="45"/>
  <c r="P256" i="45"/>
  <c r="R256" i="45"/>
  <c r="J256" i="45"/>
  <c r="L256" i="45"/>
  <c r="M256" i="45"/>
  <c r="Q256" i="45"/>
  <c r="S256" i="45"/>
  <c r="K256" i="45"/>
  <c r="N256" i="45"/>
  <c r="O256" i="45"/>
  <c r="G256" i="45"/>
  <c r="C256" i="45"/>
  <c r="B256" i="45"/>
  <c r="AE255" i="45"/>
  <c r="AD255" i="45"/>
  <c r="AC255" i="45"/>
  <c r="AB255" i="45"/>
  <c r="AA255" i="45"/>
  <c r="Z255" i="45"/>
  <c r="P255" i="45"/>
  <c r="R255" i="45"/>
  <c r="J255" i="45"/>
  <c r="L255" i="45"/>
  <c r="M255" i="45"/>
  <c r="Q255" i="45"/>
  <c r="S255" i="45"/>
  <c r="K255" i="45"/>
  <c r="N255" i="45"/>
  <c r="O255" i="45"/>
  <c r="G255" i="45"/>
  <c r="C255" i="45"/>
  <c r="B255" i="45"/>
  <c r="AE254" i="45"/>
  <c r="AD254" i="45"/>
  <c r="AC254" i="45"/>
  <c r="AB254" i="45"/>
  <c r="AA254" i="45"/>
  <c r="Z254" i="45"/>
  <c r="P254" i="45"/>
  <c r="R254" i="45"/>
  <c r="J254" i="45"/>
  <c r="L254" i="45"/>
  <c r="M254" i="45"/>
  <c r="Q254" i="45"/>
  <c r="S254" i="45"/>
  <c r="K254" i="45"/>
  <c r="N254" i="45"/>
  <c r="O254" i="45"/>
  <c r="G254" i="45"/>
  <c r="C254" i="45"/>
  <c r="B254" i="45"/>
  <c r="AE253" i="45"/>
  <c r="AD253" i="45"/>
  <c r="AC253" i="45"/>
  <c r="AB253" i="45"/>
  <c r="AA253" i="45"/>
  <c r="Z253" i="45"/>
  <c r="P253" i="45"/>
  <c r="R253" i="45"/>
  <c r="J253" i="45"/>
  <c r="L253" i="45"/>
  <c r="M253" i="45"/>
  <c r="Q253" i="45"/>
  <c r="S253" i="45"/>
  <c r="K253" i="45"/>
  <c r="N253" i="45"/>
  <c r="O253" i="45"/>
  <c r="G253" i="45"/>
  <c r="C253" i="45"/>
  <c r="B253" i="45"/>
  <c r="AE252" i="45"/>
  <c r="AD252" i="45"/>
  <c r="AC252" i="45"/>
  <c r="AB252" i="45"/>
  <c r="AA252" i="45"/>
  <c r="Z252" i="45"/>
  <c r="P252" i="45"/>
  <c r="R252" i="45"/>
  <c r="J252" i="45"/>
  <c r="L252" i="45"/>
  <c r="M252" i="45"/>
  <c r="Q252" i="45"/>
  <c r="S252" i="45"/>
  <c r="K252" i="45"/>
  <c r="N252" i="45"/>
  <c r="O252" i="45"/>
  <c r="G252" i="45"/>
  <c r="C252" i="45"/>
  <c r="B252" i="45"/>
  <c r="AE251" i="45"/>
  <c r="AD251" i="45"/>
  <c r="AC251" i="45"/>
  <c r="AB251" i="45"/>
  <c r="AA251" i="45"/>
  <c r="Z251" i="45"/>
  <c r="P251" i="45"/>
  <c r="R251" i="45"/>
  <c r="J251" i="45"/>
  <c r="L251" i="45"/>
  <c r="M251" i="45"/>
  <c r="Q251" i="45"/>
  <c r="S251" i="45"/>
  <c r="K251" i="45"/>
  <c r="N251" i="45"/>
  <c r="O251" i="45"/>
  <c r="G251" i="45"/>
  <c r="C251" i="45"/>
  <c r="B251" i="45"/>
  <c r="AE250" i="45"/>
  <c r="AD250" i="45"/>
  <c r="AC250" i="45"/>
  <c r="AB250" i="45"/>
  <c r="AA250" i="45"/>
  <c r="Z250" i="45"/>
  <c r="P250" i="45"/>
  <c r="R250" i="45"/>
  <c r="J250" i="45"/>
  <c r="L250" i="45"/>
  <c r="M250" i="45"/>
  <c r="Q250" i="45"/>
  <c r="S250" i="45"/>
  <c r="K250" i="45"/>
  <c r="N250" i="45"/>
  <c r="O250" i="45"/>
  <c r="G250" i="45"/>
  <c r="C250" i="45"/>
  <c r="B250" i="45"/>
  <c r="AE249" i="45"/>
  <c r="AD249" i="45"/>
  <c r="AC249" i="45"/>
  <c r="AB249" i="45"/>
  <c r="AA249" i="45"/>
  <c r="Z249" i="45"/>
  <c r="P249" i="45"/>
  <c r="R249" i="45"/>
  <c r="J249" i="45"/>
  <c r="L249" i="45"/>
  <c r="M249" i="45"/>
  <c r="Q249" i="45"/>
  <c r="S249" i="45"/>
  <c r="K249" i="45"/>
  <c r="N249" i="45"/>
  <c r="O249" i="45"/>
  <c r="G249" i="45"/>
  <c r="C249" i="45"/>
  <c r="B249" i="45"/>
  <c r="AE248" i="45"/>
  <c r="AD248" i="45"/>
  <c r="AC248" i="45"/>
  <c r="AB248" i="45"/>
  <c r="AA248" i="45"/>
  <c r="Z248" i="45"/>
  <c r="P248" i="45"/>
  <c r="R248" i="45"/>
  <c r="J248" i="45"/>
  <c r="L248" i="45"/>
  <c r="M248" i="45"/>
  <c r="Q248" i="45"/>
  <c r="S248" i="45"/>
  <c r="K248" i="45"/>
  <c r="N248" i="45"/>
  <c r="O248" i="45"/>
  <c r="G248" i="45"/>
  <c r="C248" i="45"/>
  <c r="B248" i="45"/>
  <c r="AE247" i="45"/>
  <c r="AD247" i="45"/>
  <c r="AC247" i="45"/>
  <c r="AB247" i="45"/>
  <c r="AA247" i="45"/>
  <c r="Z247" i="45"/>
  <c r="P247" i="45"/>
  <c r="R247" i="45"/>
  <c r="J247" i="45"/>
  <c r="L247" i="45"/>
  <c r="M247" i="45"/>
  <c r="Q247" i="45"/>
  <c r="S247" i="45"/>
  <c r="K247" i="45"/>
  <c r="N247" i="45"/>
  <c r="O247" i="45"/>
  <c r="G247" i="45"/>
  <c r="C247" i="45"/>
  <c r="B247" i="45"/>
  <c r="AE246" i="45"/>
  <c r="AD246" i="45"/>
  <c r="AC246" i="45"/>
  <c r="AB246" i="45"/>
  <c r="AA246" i="45"/>
  <c r="Z246" i="45"/>
  <c r="P246" i="45"/>
  <c r="R246" i="45"/>
  <c r="J246" i="45"/>
  <c r="L246" i="45"/>
  <c r="M246" i="45"/>
  <c r="Q246" i="45"/>
  <c r="S246" i="45"/>
  <c r="K246" i="45"/>
  <c r="N246" i="45"/>
  <c r="O246" i="45"/>
  <c r="G246" i="45"/>
  <c r="C246" i="45"/>
  <c r="B246" i="45"/>
  <c r="AE245" i="45"/>
  <c r="AD245" i="45"/>
  <c r="AC245" i="45"/>
  <c r="AB245" i="45"/>
  <c r="AA245" i="45"/>
  <c r="Z245" i="45"/>
  <c r="P245" i="45"/>
  <c r="R245" i="45"/>
  <c r="J245" i="45"/>
  <c r="L245" i="45"/>
  <c r="M245" i="45"/>
  <c r="Q245" i="45"/>
  <c r="S245" i="45"/>
  <c r="K245" i="45"/>
  <c r="N245" i="45"/>
  <c r="O245" i="45"/>
  <c r="G245" i="45"/>
  <c r="C245" i="45"/>
  <c r="B245" i="45"/>
  <c r="AE244" i="45"/>
  <c r="AD244" i="45"/>
  <c r="AC244" i="45"/>
  <c r="AB244" i="45"/>
  <c r="AA244" i="45"/>
  <c r="Z244" i="45"/>
  <c r="P244" i="45"/>
  <c r="R244" i="45"/>
  <c r="J244" i="45"/>
  <c r="L244" i="45"/>
  <c r="M244" i="45"/>
  <c r="Q244" i="45"/>
  <c r="S244" i="45"/>
  <c r="K244" i="45"/>
  <c r="N244" i="45"/>
  <c r="O244" i="45"/>
  <c r="G244" i="45"/>
  <c r="C244" i="45"/>
  <c r="B244" i="45"/>
  <c r="AE243" i="45"/>
  <c r="AD243" i="45"/>
  <c r="AC243" i="45"/>
  <c r="AB243" i="45"/>
  <c r="AA243" i="45"/>
  <c r="Z243" i="45"/>
  <c r="P243" i="45"/>
  <c r="R243" i="45"/>
  <c r="J243" i="45"/>
  <c r="L243" i="45"/>
  <c r="M243" i="45"/>
  <c r="Q243" i="45"/>
  <c r="S243" i="45"/>
  <c r="K243" i="45"/>
  <c r="N243" i="45"/>
  <c r="O243" i="45"/>
  <c r="G243" i="45"/>
  <c r="C243" i="45"/>
  <c r="B243" i="45"/>
  <c r="AE242" i="45"/>
  <c r="AD242" i="45"/>
  <c r="AC242" i="45"/>
  <c r="AB242" i="45"/>
  <c r="AA242" i="45"/>
  <c r="Z242" i="45"/>
  <c r="P242" i="45"/>
  <c r="R242" i="45"/>
  <c r="J242" i="45"/>
  <c r="L242" i="45"/>
  <c r="M242" i="45"/>
  <c r="Q242" i="45"/>
  <c r="S242" i="45"/>
  <c r="K242" i="45"/>
  <c r="N242" i="45"/>
  <c r="O242" i="45"/>
  <c r="G242" i="45"/>
  <c r="C242" i="45"/>
  <c r="B242" i="45"/>
  <c r="AE241" i="45"/>
  <c r="AD241" i="45"/>
  <c r="AC241" i="45"/>
  <c r="AB241" i="45"/>
  <c r="AA241" i="45"/>
  <c r="Z241" i="45"/>
  <c r="P241" i="45"/>
  <c r="R241" i="45"/>
  <c r="J241" i="45"/>
  <c r="L241" i="45"/>
  <c r="M241" i="45"/>
  <c r="Q241" i="45"/>
  <c r="S241" i="45"/>
  <c r="K241" i="45"/>
  <c r="N241" i="45"/>
  <c r="O241" i="45"/>
  <c r="G241" i="45"/>
  <c r="C241" i="45"/>
  <c r="B241" i="45"/>
  <c r="AE240" i="45"/>
  <c r="AD240" i="45"/>
  <c r="AC240" i="45"/>
  <c r="AB240" i="45"/>
  <c r="AA240" i="45"/>
  <c r="Z240" i="45"/>
  <c r="P240" i="45"/>
  <c r="R240" i="45"/>
  <c r="J240" i="45"/>
  <c r="L240" i="45"/>
  <c r="M240" i="45"/>
  <c r="Q240" i="45"/>
  <c r="S240" i="45"/>
  <c r="K240" i="45"/>
  <c r="N240" i="45"/>
  <c r="O240" i="45"/>
  <c r="G240" i="45"/>
  <c r="C240" i="45"/>
  <c r="B240" i="45"/>
  <c r="AE239" i="45"/>
  <c r="AD239" i="45"/>
  <c r="AC239" i="45"/>
  <c r="AB239" i="45"/>
  <c r="AA239" i="45"/>
  <c r="Z239" i="45"/>
  <c r="P239" i="45"/>
  <c r="R239" i="45"/>
  <c r="J239" i="45"/>
  <c r="L239" i="45"/>
  <c r="M239" i="45"/>
  <c r="Q239" i="45"/>
  <c r="S239" i="45"/>
  <c r="K239" i="45"/>
  <c r="N239" i="45"/>
  <c r="O239" i="45"/>
  <c r="G239" i="45"/>
  <c r="C239" i="45"/>
  <c r="B239" i="45"/>
  <c r="AE238" i="45"/>
  <c r="AD238" i="45"/>
  <c r="AC238" i="45"/>
  <c r="AB238" i="45"/>
  <c r="AA238" i="45"/>
  <c r="Z238" i="45"/>
  <c r="P238" i="45"/>
  <c r="R238" i="45"/>
  <c r="J238" i="45"/>
  <c r="L238" i="45"/>
  <c r="M238" i="45"/>
  <c r="Q238" i="45"/>
  <c r="S238" i="45"/>
  <c r="K238" i="45"/>
  <c r="N238" i="45"/>
  <c r="O238" i="45"/>
  <c r="G238" i="45"/>
  <c r="C238" i="45"/>
  <c r="B238" i="45"/>
  <c r="AE237" i="45"/>
  <c r="AD237" i="45"/>
  <c r="AC237" i="45"/>
  <c r="AB237" i="45"/>
  <c r="AA237" i="45"/>
  <c r="Z237" i="45"/>
  <c r="P237" i="45"/>
  <c r="R237" i="45"/>
  <c r="J237" i="45"/>
  <c r="L237" i="45"/>
  <c r="M237" i="45"/>
  <c r="Q237" i="45"/>
  <c r="S237" i="45"/>
  <c r="K237" i="45"/>
  <c r="N237" i="45"/>
  <c r="O237" i="45"/>
  <c r="G237" i="45"/>
  <c r="C237" i="45"/>
  <c r="B237" i="45"/>
  <c r="AE236" i="45"/>
  <c r="AD236" i="45"/>
  <c r="AC236" i="45"/>
  <c r="AB236" i="45"/>
  <c r="AA236" i="45"/>
  <c r="Z236" i="45"/>
  <c r="P236" i="45"/>
  <c r="R236" i="45"/>
  <c r="J236" i="45"/>
  <c r="L236" i="45"/>
  <c r="M236" i="45"/>
  <c r="Q236" i="45"/>
  <c r="S236" i="45"/>
  <c r="K236" i="45"/>
  <c r="N236" i="45"/>
  <c r="O236" i="45"/>
  <c r="G236" i="45"/>
  <c r="C236" i="45"/>
  <c r="B236" i="45"/>
  <c r="AE235" i="45"/>
  <c r="AD235" i="45"/>
  <c r="AC235" i="45"/>
  <c r="AB235" i="45"/>
  <c r="AA235" i="45"/>
  <c r="Z235" i="45"/>
  <c r="P235" i="45"/>
  <c r="R235" i="45"/>
  <c r="J235" i="45"/>
  <c r="L235" i="45"/>
  <c r="M235" i="45"/>
  <c r="Q235" i="45"/>
  <c r="S235" i="45"/>
  <c r="K235" i="45"/>
  <c r="N235" i="45"/>
  <c r="O235" i="45"/>
  <c r="G235" i="45"/>
  <c r="C235" i="45"/>
  <c r="B235" i="45"/>
  <c r="AE234" i="45"/>
  <c r="AD234" i="45"/>
  <c r="AC234" i="45"/>
  <c r="AB234" i="45"/>
  <c r="AA234" i="45"/>
  <c r="Z234" i="45"/>
  <c r="P234" i="45"/>
  <c r="R234" i="45"/>
  <c r="J234" i="45"/>
  <c r="L234" i="45"/>
  <c r="M234" i="45"/>
  <c r="Q234" i="45"/>
  <c r="S234" i="45"/>
  <c r="K234" i="45"/>
  <c r="N234" i="45"/>
  <c r="O234" i="45"/>
  <c r="G234" i="45"/>
  <c r="C234" i="45"/>
  <c r="B234" i="45"/>
  <c r="AE233" i="45"/>
  <c r="AD233" i="45"/>
  <c r="AC233" i="45"/>
  <c r="AB233" i="45"/>
  <c r="AA233" i="45"/>
  <c r="Z233" i="45"/>
  <c r="P233" i="45"/>
  <c r="R233" i="45"/>
  <c r="J233" i="45"/>
  <c r="L233" i="45"/>
  <c r="M233" i="45"/>
  <c r="Q233" i="45"/>
  <c r="S233" i="45"/>
  <c r="K233" i="45"/>
  <c r="N233" i="45"/>
  <c r="O233" i="45"/>
  <c r="G233" i="45"/>
  <c r="C233" i="45"/>
  <c r="B233" i="45"/>
  <c r="AE232" i="45"/>
  <c r="AD232" i="45"/>
  <c r="AC232" i="45"/>
  <c r="AB232" i="45"/>
  <c r="AA232" i="45"/>
  <c r="Z232" i="45"/>
  <c r="P232" i="45"/>
  <c r="R232" i="45"/>
  <c r="J232" i="45"/>
  <c r="L232" i="45"/>
  <c r="M232" i="45"/>
  <c r="Q232" i="45"/>
  <c r="S232" i="45"/>
  <c r="K232" i="45"/>
  <c r="N232" i="45"/>
  <c r="O232" i="45"/>
  <c r="G232" i="45"/>
  <c r="C232" i="45"/>
  <c r="B232" i="45"/>
  <c r="AE231" i="45"/>
  <c r="AD231" i="45"/>
  <c r="AC231" i="45"/>
  <c r="AB231" i="45"/>
  <c r="AA231" i="45"/>
  <c r="Z231" i="45"/>
  <c r="P231" i="45"/>
  <c r="R231" i="45"/>
  <c r="J231" i="45"/>
  <c r="L231" i="45"/>
  <c r="M231" i="45"/>
  <c r="Q231" i="45"/>
  <c r="S231" i="45"/>
  <c r="K231" i="45"/>
  <c r="N231" i="45"/>
  <c r="O231" i="45"/>
  <c r="G231" i="45"/>
  <c r="C231" i="45"/>
  <c r="B231" i="45"/>
  <c r="AE230" i="45"/>
  <c r="AD230" i="45"/>
  <c r="AC230" i="45"/>
  <c r="AB230" i="45"/>
  <c r="AA230" i="45"/>
  <c r="Z230" i="45"/>
  <c r="P230" i="45"/>
  <c r="R230" i="45"/>
  <c r="J230" i="45"/>
  <c r="L230" i="45"/>
  <c r="M230" i="45"/>
  <c r="Q230" i="45"/>
  <c r="S230" i="45"/>
  <c r="K230" i="45"/>
  <c r="N230" i="45"/>
  <c r="O230" i="45"/>
  <c r="G230" i="45"/>
  <c r="C230" i="45"/>
  <c r="B230" i="45"/>
  <c r="AE229" i="45"/>
  <c r="AD229" i="45"/>
  <c r="AC229" i="45"/>
  <c r="AB229" i="45"/>
  <c r="AA229" i="45"/>
  <c r="Z229" i="45"/>
  <c r="P229" i="45"/>
  <c r="R229" i="45"/>
  <c r="J229" i="45"/>
  <c r="L229" i="45"/>
  <c r="M229" i="45"/>
  <c r="Q229" i="45"/>
  <c r="S229" i="45"/>
  <c r="K229" i="45"/>
  <c r="N229" i="45"/>
  <c r="O229" i="45"/>
  <c r="G229" i="45"/>
  <c r="C229" i="45"/>
  <c r="B229" i="45"/>
  <c r="AE228" i="45"/>
  <c r="AD228" i="45"/>
  <c r="AC228" i="45"/>
  <c r="AB228" i="45"/>
  <c r="AA228" i="45"/>
  <c r="Z228" i="45"/>
  <c r="P228" i="45"/>
  <c r="R228" i="45"/>
  <c r="J228" i="45"/>
  <c r="L228" i="45"/>
  <c r="M228" i="45"/>
  <c r="Q228" i="45"/>
  <c r="S228" i="45"/>
  <c r="K228" i="45"/>
  <c r="N228" i="45"/>
  <c r="O228" i="45"/>
  <c r="G228" i="45"/>
  <c r="C228" i="45"/>
  <c r="B228" i="45"/>
  <c r="AE227" i="45"/>
  <c r="AD227" i="45"/>
  <c r="AC227" i="45"/>
  <c r="AB227" i="45"/>
  <c r="AA227" i="45"/>
  <c r="Z227" i="45"/>
  <c r="P227" i="45"/>
  <c r="R227" i="45"/>
  <c r="J227" i="45"/>
  <c r="L227" i="45"/>
  <c r="M227" i="45"/>
  <c r="Q227" i="45"/>
  <c r="S227" i="45"/>
  <c r="K227" i="45"/>
  <c r="N227" i="45"/>
  <c r="O227" i="45"/>
  <c r="G227" i="45"/>
  <c r="C227" i="45"/>
  <c r="B227" i="45"/>
  <c r="AE226" i="45"/>
  <c r="AD226" i="45"/>
  <c r="AC226" i="45"/>
  <c r="AB226" i="45"/>
  <c r="AA226" i="45"/>
  <c r="Z226" i="45"/>
  <c r="P226" i="45"/>
  <c r="R226" i="45"/>
  <c r="J226" i="45"/>
  <c r="L226" i="45"/>
  <c r="M226" i="45"/>
  <c r="Q226" i="45"/>
  <c r="S226" i="45"/>
  <c r="K226" i="45"/>
  <c r="N226" i="45"/>
  <c r="O226" i="45"/>
  <c r="G226" i="45"/>
  <c r="C226" i="45"/>
  <c r="B226" i="45"/>
  <c r="AE225" i="45"/>
  <c r="AD225" i="45"/>
  <c r="AC225" i="45"/>
  <c r="AB225" i="45"/>
  <c r="AA225" i="45"/>
  <c r="Z225" i="45"/>
  <c r="P225" i="45"/>
  <c r="R225" i="45"/>
  <c r="J225" i="45"/>
  <c r="L225" i="45"/>
  <c r="M225" i="45"/>
  <c r="Q225" i="45"/>
  <c r="S225" i="45"/>
  <c r="K225" i="45"/>
  <c r="N225" i="45"/>
  <c r="O225" i="45"/>
  <c r="G225" i="45"/>
  <c r="C225" i="45"/>
  <c r="B225" i="45"/>
  <c r="AE224" i="45"/>
  <c r="AD224" i="45"/>
  <c r="AC224" i="45"/>
  <c r="AB224" i="45"/>
  <c r="AA224" i="45"/>
  <c r="Z224" i="45"/>
  <c r="P224" i="45"/>
  <c r="R224" i="45"/>
  <c r="J224" i="45"/>
  <c r="L224" i="45"/>
  <c r="M224" i="45"/>
  <c r="Q224" i="45"/>
  <c r="S224" i="45"/>
  <c r="K224" i="45"/>
  <c r="N224" i="45"/>
  <c r="O224" i="45"/>
  <c r="G224" i="45"/>
  <c r="C224" i="45"/>
  <c r="B224" i="45"/>
  <c r="AE223" i="45"/>
  <c r="AD223" i="45"/>
  <c r="AC223" i="45"/>
  <c r="AB223" i="45"/>
  <c r="AA223" i="45"/>
  <c r="Z223" i="45"/>
  <c r="P223" i="45"/>
  <c r="R223" i="45"/>
  <c r="J223" i="45"/>
  <c r="L223" i="45"/>
  <c r="M223" i="45"/>
  <c r="Q223" i="45"/>
  <c r="S223" i="45"/>
  <c r="K223" i="45"/>
  <c r="N223" i="45"/>
  <c r="O223" i="45"/>
  <c r="G223" i="45"/>
  <c r="C223" i="45"/>
  <c r="B223" i="45"/>
  <c r="AE222" i="45"/>
  <c r="AD222" i="45"/>
  <c r="AC222" i="45"/>
  <c r="AB222" i="45"/>
  <c r="AA222" i="45"/>
  <c r="Z222" i="45"/>
  <c r="P222" i="45"/>
  <c r="R222" i="45"/>
  <c r="J222" i="45"/>
  <c r="L222" i="45"/>
  <c r="M222" i="45"/>
  <c r="Q222" i="45"/>
  <c r="S222" i="45"/>
  <c r="K222" i="45"/>
  <c r="N222" i="45"/>
  <c r="O222" i="45"/>
  <c r="G222" i="45"/>
  <c r="C222" i="45"/>
  <c r="B222" i="45"/>
  <c r="AE221" i="45"/>
  <c r="AD221" i="45"/>
  <c r="AC221" i="45"/>
  <c r="AB221" i="45"/>
  <c r="AA221" i="45"/>
  <c r="Z221" i="45"/>
  <c r="P221" i="45"/>
  <c r="R221" i="45"/>
  <c r="J221" i="45"/>
  <c r="L221" i="45"/>
  <c r="M221" i="45"/>
  <c r="Q221" i="45"/>
  <c r="S221" i="45"/>
  <c r="K221" i="45"/>
  <c r="N221" i="45"/>
  <c r="O221" i="45"/>
  <c r="G221" i="45"/>
  <c r="C221" i="45"/>
  <c r="B221" i="45"/>
  <c r="AE220" i="45"/>
  <c r="AD220" i="45"/>
  <c r="AC220" i="45"/>
  <c r="AB220" i="45"/>
  <c r="AA220" i="45"/>
  <c r="Z220" i="45"/>
  <c r="P220" i="45"/>
  <c r="R220" i="45"/>
  <c r="J220" i="45"/>
  <c r="L220" i="45"/>
  <c r="M220" i="45"/>
  <c r="Q220" i="45"/>
  <c r="S220" i="45"/>
  <c r="K220" i="45"/>
  <c r="N220" i="45"/>
  <c r="O220" i="45"/>
  <c r="G220" i="45"/>
  <c r="C220" i="45"/>
  <c r="B220" i="45"/>
  <c r="AE219" i="45"/>
  <c r="AD219" i="45"/>
  <c r="AC219" i="45"/>
  <c r="AB219" i="45"/>
  <c r="AA219" i="45"/>
  <c r="Z219" i="45"/>
  <c r="P219" i="45"/>
  <c r="R219" i="45"/>
  <c r="J219" i="45"/>
  <c r="L219" i="45"/>
  <c r="M219" i="45"/>
  <c r="Q219" i="45"/>
  <c r="S219" i="45"/>
  <c r="K219" i="45"/>
  <c r="N219" i="45"/>
  <c r="O219" i="45"/>
  <c r="G219" i="45"/>
  <c r="C219" i="45"/>
  <c r="B219" i="45"/>
  <c r="AE218" i="45"/>
  <c r="AD218" i="45"/>
  <c r="AC218" i="45"/>
  <c r="AB218" i="45"/>
  <c r="AA218" i="45"/>
  <c r="Z218" i="45"/>
  <c r="P218" i="45"/>
  <c r="R218" i="45"/>
  <c r="J218" i="45"/>
  <c r="L218" i="45"/>
  <c r="M218" i="45"/>
  <c r="Q218" i="45"/>
  <c r="S218" i="45"/>
  <c r="K218" i="45"/>
  <c r="N218" i="45"/>
  <c r="O218" i="45"/>
  <c r="G218" i="45"/>
  <c r="C218" i="45"/>
  <c r="B218" i="45"/>
  <c r="AE217" i="45"/>
  <c r="AD217" i="45"/>
  <c r="AC217" i="45"/>
  <c r="AB217" i="45"/>
  <c r="AA217" i="45"/>
  <c r="Z217" i="45"/>
  <c r="P217" i="45"/>
  <c r="R217" i="45"/>
  <c r="J217" i="45"/>
  <c r="L217" i="45"/>
  <c r="M217" i="45"/>
  <c r="Q217" i="45"/>
  <c r="S217" i="45"/>
  <c r="K217" i="45"/>
  <c r="N217" i="45"/>
  <c r="O217" i="45"/>
  <c r="G217" i="45"/>
  <c r="C217" i="45"/>
  <c r="B217" i="45"/>
  <c r="AE216" i="45"/>
  <c r="AD216" i="45"/>
  <c r="AC216" i="45"/>
  <c r="AB216" i="45"/>
  <c r="AA216" i="45"/>
  <c r="Z216" i="45"/>
  <c r="P216" i="45"/>
  <c r="R216" i="45"/>
  <c r="J216" i="45"/>
  <c r="L216" i="45"/>
  <c r="M216" i="45"/>
  <c r="Q216" i="45"/>
  <c r="S216" i="45"/>
  <c r="K216" i="45"/>
  <c r="N216" i="45"/>
  <c r="O216" i="45"/>
  <c r="G216" i="45"/>
  <c r="C216" i="45"/>
  <c r="B216" i="45"/>
  <c r="AE215" i="45"/>
  <c r="AD215" i="45"/>
  <c r="AC215" i="45"/>
  <c r="AB215" i="45"/>
  <c r="AA215" i="45"/>
  <c r="Z215" i="45"/>
  <c r="P215" i="45"/>
  <c r="R215" i="45"/>
  <c r="J215" i="45"/>
  <c r="L215" i="45"/>
  <c r="M215" i="45"/>
  <c r="Q215" i="45"/>
  <c r="S215" i="45"/>
  <c r="K215" i="45"/>
  <c r="N215" i="45"/>
  <c r="O215" i="45"/>
  <c r="G215" i="45"/>
  <c r="C215" i="45"/>
  <c r="B215" i="45"/>
  <c r="AE214" i="45"/>
  <c r="AD214" i="45"/>
  <c r="AC214" i="45"/>
  <c r="AB214" i="45"/>
  <c r="AA214" i="45"/>
  <c r="Z214" i="45"/>
  <c r="P214" i="45"/>
  <c r="R214" i="45"/>
  <c r="J214" i="45"/>
  <c r="L214" i="45"/>
  <c r="M214" i="45"/>
  <c r="Q214" i="45"/>
  <c r="S214" i="45"/>
  <c r="K214" i="45"/>
  <c r="N214" i="45"/>
  <c r="O214" i="45"/>
  <c r="G214" i="45"/>
  <c r="C214" i="45"/>
  <c r="B214" i="45"/>
  <c r="AE213" i="45"/>
  <c r="AD213" i="45"/>
  <c r="AC213" i="45"/>
  <c r="AB213" i="45"/>
  <c r="AA213" i="45"/>
  <c r="Z213" i="45"/>
  <c r="P213" i="45"/>
  <c r="R213" i="45"/>
  <c r="J213" i="45"/>
  <c r="L213" i="45"/>
  <c r="M213" i="45"/>
  <c r="Q213" i="45"/>
  <c r="S213" i="45"/>
  <c r="K213" i="45"/>
  <c r="N213" i="45"/>
  <c r="O213" i="45"/>
  <c r="G213" i="45"/>
  <c r="C213" i="45"/>
  <c r="B213" i="45"/>
  <c r="AE212" i="45"/>
  <c r="AD212" i="45"/>
  <c r="AC212" i="45"/>
  <c r="AB212" i="45"/>
  <c r="AA212" i="45"/>
  <c r="Z212" i="45"/>
  <c r="P212" i="45"/>
  <c r="R212" i="45"/>
  <c r="J212" i="45"/>
  <c r="L212" i="45"/>
  <c r="M212" i="45"/>
  <c r="Q212" i="45"/>
  <c r="S212" i="45"/>
  <c r="K212" i="45"/>
  <c r="N212" i="45"/>
  <c r="O212" i="45"/>
  <c r="G212" i="45"/>
  <c r="C212" i="45"/>
  <c r="B212" i="45"/>
  <c r="AE211" i="45"/>
  <c r="AD211" i="45"/>
  <c r="AC211" i="45"/>
  <c r="AB211" i="45"/>
  <c r="AA211" i="45"/>
  <c r="Z211" i="45"/>
  <c r="P211" i="45"/>
  <c r="R211" i="45"/>
  <c r="J211" i="45"/>
  <c r="L211" i="45"/>
  <c r="M211" i="45"/>
  <c r="Q211" i="45"/>
  <c r="S211" i="45"/>
  <c r="K211" i="45"/>
  <c r="N211" i="45"/>
  <c r="O211" i="45"/>
  <c r="G211" i="45"/>
  <c r="C211" i="45"/>
  <c r="B211" i="45"/>
  <c r="AE210" i="45"/>
  <c r="AD210" i="45"/>
  <c r="AC210" i="45"/>
  <c r="AB210" i="45"/>
  <c r="AA210" i="45"/>
  <c r="Z210" i="45"/>
  <c r="P210" i="45"/>
  <c r="R210" i="45"/>
  <c r="J210" i="45"/>
  <c r="L210" i="45"/>
  <c r="M210" i="45"/>
  <c r="Q210" i="45"/>
  <c r="S210" i="45"/>
  <c r="K210" i="45"/>
  <c r="N210" i="45"/>
  <c r="O210" i="45"/>
  <c r="G210" i="45"/>
  <c r="C210" i="45"/>
  <c r="B210" i="45"/>
  <c r="AE209" i="45"/>
  <c r="AD209" i="45"/>
  <c r="AC209" i="45"/>
  <c r="AB209" i="45"/>
  <c r="AA209" i="45"/>
  <c r="Z209" i="45"/>
  <c r="P209" i="45"/>
  <c r="R209" i="45"/>
  <c r="J209" i="45"/>
  <c r="L209" i="45"/>
  <c r="M209" i="45"/>
  <c r="Q209" i="45"/>
  <c r="S209" i="45"/>
  <c r="K209" i="45"/>
  <c r="N209" i="45"/>
  <c r="O209" i="45"/>
  <c r="G209" i="45"/>
  <c r="C209" i="45"/>
  <c r="B209" i="45"/>
  <c r="AE208" i="45"/>
  <c r="AD208" i="45"/>
  <c r="AC208" i="45"/>
  <c r="AB208" i="45"/>
  <c r="AA208" i="45"/>
  <c r="Z208" i="45"/>
  <c r="P208" i="45"/>
  <c r="R208" i="45"/>
  <c r="J208" i="45"/>
  <c r="L208" i="45"/>
  <c r="M208" i="45"/>
  <c r="Q208" i="45"/>
  <c r="S208" i="45"/>
  <c r="K208" i="45"/>
  <c r="N208" i="45"/>
  <c r="O208" i="45"/>
  <c r="G208" i="45"/>
  <c r="C208" i="45"/>
  <c r="B208" i="45"/>
  <c r="AE207" i="45"/>
  <c r="AD207" i="45"/>
  <c r="AC207" i="45"/>
  <c r="AB207" i="45"/>
  <c r="AA207" i="45"/>
  <c r="Z207" i="45"/>
  <c r="P207" i="45"/>
  <c r="R207" i="45"/>
  <c r="J207" i="45"/>
  <c r="L207" i="45"/>
  <c r="M207" i="45"/>
  <c r="Q207" i="45"/>
  <c r="S207" i="45"/>
  <c r="K207" i="45"/>
  <c r="N207" i="45"/>
  <c r="O207" i="45"/>
  <c r="G207" i="45"/>
  <c r="C207" i="45"/>
  <c r="B207" i="45"/>
  <c r="AE206" i="45"/>
  <c r="AD206" i="45"/>
  <c r="AC206" i="45"/>
  <c r="AB206" i="45"/>
  <c r="AA206" i="45"/>
  <c r="Z206" i="45"/>
  <c r="P206" i="45"/>
  <c r="R206" i="45"/>
  <c r="J206" i="45"/>
  <c r="L206" i="45"/>
  <c r="M206" i="45"/>
  <c r="Q206" i="45"/>
  <c r="S206" i="45"/>
  <c r="K206" i="45"/>
  <c r="N206" i="45"/>
  <c r="O206" i="45"/>
  <c r="G206" i="45"/>
  <c r="C206" i="45"/>
  <c r="B206" i="45"/>
  <c r="AE205" i="45"/>
  <c r="AD205" i="45"/>
  <c r="AC205" i="45"/>
  <c r="AB205" i="45"/>
  <c r="AA205" i="45"/>
  <c r="Z205" i="45"/>
  <c r="P205" i="45"/>
  <c r="R205" i="45"/>
  <c r="J205" i="45"/>
  <c r="L205" i="45"/>
  <c r="M205" i="45"/>
  <c r="Q205" i="45"/>
  <c r="S205" i="45"/>
  <c r="K205" i="45"/>
  <c r="N205" i="45"/>
  <c r="O205" i="45"/>
  <c r="G205" i="45"/>
  <c r="C205" i="45"/>
  <c r="B205" i="45"/>
  <c r="AE204" i="45"/>
  <c r="AD204" i="45"/>
  <c r="AC204" i="45"/>
  <c r="AB204" i="45"/>
  <c r="AA204" i="45"/>
  <c r="Z204" i="45"/>
  <c r="P204" i="45"/>
  <c r="R204" i="45"/>
  <c r="J204" i="45"/>
  <c r="L204" i="45"/>
  <c r="M204" i="45"/>
  <c r="Q204" i="45"/>
  <c r="S204" i="45"/>
  <c r="K204" i="45"/>
  <c r="N204" i="45"/>
  <c r="O204" i="45"/>
  <c r="G204" i="45"/>
  <c r="C204" i="45"/>
  <c r="B204" i="45"/>
  <c r="AE203" i="45"/>
  <c r="AD203" i="45"/>
  <c r="AC203" i="45"/>
  <c r="AB203" i="45"/>
  <c r="AA203" i="45"/>
  <c r="Z203" i="45"/>
  <c r="P203" i="45"/>
  <c r="R203" i="45"/>
  <c r="J203" i="45"/>
  <c r="L203" i="45"/>
  <c r="M203" i="45"/>
  <c r="Q203" i="45"/>
  <c r="S203" i="45"/>
  <c r="K203" i="45"/>
  <c r="N203" i="45"/>
  <c r="O203" i="45"/>
  <c r="G203" i="45"/>
  <c r="C203" i="45"/>
  <c r="B203" i="45"/>
  <c r="AE202" i="45"/>
  <c r="AD202" i="45"/>
  <c r="AC202" i="45"/>
  <c r="AB202" i="45"/>
  <c r="AA202" i="45"/>
  <c r="Z202" i="45"/>
  <c r="P202" i="45"/>
  <c r="R202" i="45"/>
  <c r="J202" i="45"/>
  <c r="L202" i="45"/>
  <c r="M202" i="45"/>
  <c r="Q202" i="45"/>
  <c r="S202" i="45"/>
  <c r="K202" i="45"/>
  <c r="N202" i="45"/>
  <c r="O202" i="45"/>
  <c r="G202" i="45"/>
  <c r="C202" i="45"/>
  <c r="B202" i="45"/>
  <c r="AE201" i="45"/>
  <c r="AD201" i="45"/>
  <c r="AC201" i="45"/>
  <c r="AB201" i="45"/>
  <c r="AA201" i="45"/>
  <c r="Z201" i="45"/>
  <c r="P201" i="45"/>
  <c r="R201" i="45"/>
  <c r="J201" i="45"/>
  <c r="L201" i="45"/>
  <c r="M201" i="45"/>
  <c r="Q201" i="45"/>
  <c r="S201" i="45"/>
  <c r="K201" i="45"/>
  <c r="N201" i="45"/>
  <c r="O201" i="45"/>
  <c r="G201" i="45"/>
  <c r="C201" i="45"/>
  <c r="B201" i="45"/>
  <c r="AE200" i="45"/>
  <c r="AD200" i="45"/>
  <c r="AC200" i="45"/>
  <c r="AB200" i="45"/>
  <c r="AA200" i="45"/>
  <c r="Z200" i="45"/>
  <c r="P200" i="45"/>
  <c r="R200" i="45"/>
  <c r="J200" i="45"/>
  <c r="L200" i="45"/>
  <c r="M200" i="45"/>
  <c r="Q200" i="45"/>
  <c r="S200" i="45"/>
  <c r="K200" i="45"/>
  <c r="N200" i="45"/>
  <c r="O200" i="45"/>
  <c r="G200" i="45"/>
  <c r="C200" i="45"/>
  <c r="B200" i="45"/>
  <c r="AE199" i="45"/>
  <c r="AD199" i="45"/>
  <c r="AC199" i="45"/>
  <c r="AB199" i="45"/>
  <c r="AA199" i="45"/>
  <c r="Z199" i="45"/>
  <c r="P199" i="45"/>
  <c r="R199" i="45"/>
  <c r="J199" i="45"/>
  <c r="L199" i="45"/>
  <c r="M199" i="45"/>
  <c r="Q199" i="45"/>
  <c r="S199" i="45"/>
  <c r="K199" i="45"/>
  <c r="N199" i="45"/>
  <c r="O199" i="45"/>
  <c r="G199" i="45"/>
  <c r="C199" i="45"/>
  <c r="B199" i="45"/>
  <c r="AE198" i="45"/>
  <c r="AD198" i="45"/>
  <c r="AC198" i="45"/>
  <c r="AB198" i="45"/>
  <c r="AA198" i="45"/>
  <c r="Z198" i="45"/>
  <c r="P198" i="45"/>
  <c r="R198" i="45"/>
  <c r="J198" i="45"/>
  <c r="L198" i="45"/>
  <c r="M198" i="45"/>
  <c r="Q198" i="45"/>
  <c r="S198" i="45"/>
  <c r="K198" i="45"/>
  <c r="N198" i="45"/>
  <c r="O198" i="45"/>
  <c r="G198" i="45"/>
  <c r="C198" i="45"/>
  <c r="B198" i="45"/>
  <c r="AE197" i="45"/>
  <c r="AD197" i="45"/>
  <c r="AC197" i="45"/>
  <c r="AB197" i="45"/>
  <c r="AA197" i="45"/>
  <c r="Z197" i="45"/>
  <c r="P197" i="45"/>
  <c r="R197" i="45"/>
  <c r="J197" i="45"/>
  <c r="L197" i="45"/>
  <c r="M197" i="45"/>
  <c r="Q197" i="45"/>
  <c r="S197" i="45"/>
  <c r="K197" i="45"/>
  <c r="N197" i="45"/>
  <c r="O197" i="45"/>
  <c r="G197" i="45"/>
  <c r="C197" i="45"/>
  <c r="B197" i="45"/>
  <c r="AE196" i="45"/>
  <c r="AD196" i="45"/>
  <c r="AC196" i="45"/>
  <c r="AB196" i="45"/>
  <c r="AA196" i="45"/>
  <c r="Z196" i="45"/>
  <c r="P196" i="45"/>
  <c r="R196" i="45"/>
  <c r="J196" i="45"/>
  <c r="L196" i="45"/>
  <c r="M196" i="45"/>
  <c r="Q196" i="45"/>
  <c r="S196" i="45"/>
  <c r="K196" i="45"/>
  <c r="N196" i="45"/>
  <c r="O196" i="45"/>
  <c r="G196" i="45"/>
  <c r="C196" i="45"/>
  <c r="B196" i="45"/>
  <c r="AE195" i="45"/>
  <c r="AD195" i="45"/>
  <c r="AC195" i="45"/>
  <c r="AB195" i="45"/>
  <c r="AA195" i="45"/>
  <c r="Z195" i="45"/>
  <c r="P195" i="45"/>
  <c r="R195" i="45"/>
  <c r="J195" i="45"/>
  <c r="L195" i="45"/>
  <c r="M195" i="45"/>
  <c r="Q195" i="45"/>
  <c r="S195" i="45"/>
  <c r="K195" i="45"/>
  <c r="N195" i="45"/>
  <c r="O195" i="45"/>
  <c r="G195" i="45"/>
  <c r="C195" i="45"/>
  <c r="B195" i="45"/>
  <c r="AE194" i="45"/>
  <c r="AD194" i="45"/>
  <c r="AC194" i="45"/>
  <c r="AB194" i="45"/>
  <c r="AA194" i="45"/>
  <c r="Z194" i="45"/>
  <c r="P194" i="45"/>
  <c r="R194" i="45"/>
  <c r="J194" i="45"/>
  <c r="L194" i="45"/>
  <c r="M194" i="45"/>
  <c r="Q194" i="45"/>
  <c r="S194" i="45"/>
  <c r="K194" i="45"/>
  <c r="N194" i="45"/>
  <c r="O194" i="45"/>
  <c r="G194" i="45"/>
  <c r="C194" i="45"/>
  <c r="B194" i="45"/>
  <c r="AE193" i="45"/>
  <c r="AD193" i="45"/>
  <c r="AC193" i="45"/>
  <c r="AB193" i="45"/>
  <c r="AA193" i="45"/>
  <c r="Z193" i="45"/>
  <c r="P193" i="45"/>
  <c r="R193" i="45"/>
  <c r="J193" i="45"/>
  <c r="L193" i="45"/>
  <c r="M193" i="45"/>
  <c r="Q193" i="45"/>
  <c r="S193" i="45"/>
  <c r="K193" i="45"/>
  <c r="N193" i="45"/>
  <c r="O193" i="45"/>
  <c r="G193" i="45"/>
  <c r="C193" i="45"/>
  <c r="B193" i="45"/>
  <c r="AE192" i="45"/>
  <c r="AD192" i="45"/>
  <c r="AC192" i="45"/>
  <c r="AB192" i="45"/>
  <c r="AA192" i="45"/>
  <c r="Z192" i="45"/>
  <c r="P192" i="45"/>
  <c r="R192" i="45"/>
  <c r="J192" i="45"/>
  <c r="L192" i="45"/>
  <c r="M192" i="45"/>
  <c r="Q192" i="45"/>
  <c r="S192" i="45"/>
  <c r="K192" i="45"/>
  <c r="N192" i="45"/>
  <c r="O192" i="45"/>
  <c r="G192" i="45"/>
  <c r="C192" i="45"/>
  <c r="B192" i="45"/>
  <c r="AE191" i="45"/>
  <c r="AD191" i="45"/>
  <c r="AC191" i="45"/>
  <c r="AB191" i="45"/>
  <c r="AA191" i="45"/>
  <c r="Z191" i="45"/>
  <c r="P191" i="45"/>
  <c r="R191" i="45"/>
  <c r="J191" i="45"/>
  <c r="L191" i="45"/>
  <c r="M191" i="45"/>
  <c r="Q191" i="45"/>
  <c r="S191" i="45"/>
  <c r="K191" i="45"/>
  <c r="N191" i="45"/>
  <c r="O191" i="45"/>
  <c r="G191" i="45"/>
  <c r="C191" i="45"/>
  <c r="B191" i="45"/>
  <c r="AE190" i="45"/>
  <c r="AD190" i="45"/>
  <c r="AC190" i="45"/>
  <c r="AB190" i="45"/>
  <c r="AA190" i="45"/>
  <c r="Z190" i="45"/>
  <c r="P190" i="45"/>
  <c r="R190" i="45"/>
  <c r="J190" i="45"/>
  <c r="L190" i="45"/>
  <c r="M190" i="45"/>
  <c r="Q190" i="45"/>
  <c r="S190" i="45"/>
  <c r="K190" i="45"/>
  <c r="N190" i="45"/>
  <c r="O190" i="45"/>
  <c r="G190" i="45"/>
  <c r="C190" i="45"/>
  <c r="B190" i="45"/>
  <c r="AE189" i="45"/>
  <c r="AD189" i="45"/>
  <c r="AC189" i="45"/>
  <c r="AB189" i="45"/>
  <c r="AA189" i="45"/>
  <c r="Z189" i="45"/>
  <c r="P189" i="45"/>
  <c r="R189" i="45"/>
  <c r="J189" i="45"/>
  <c r="L189" i="45"/>
  <c r="M189" i="45"/>
  <c r="Q189" i="45"/>
  <c r="S189" i="45"/>
  <c r="K189" i="45"/>
  <c r="N189" i="45"/>
  <c r="O189" i="45"/>
  <c r="G189" i="45"/>
  <c r="C189" i="45"/>
  <c r="B189" i="45"/>
  <c r="AE188" i="45"/>
  <c r="AD188" i="45"/>
  <c r="AC188" i="45"/>
  <c r="AB188" i="45"/>
  <c r="AA188" i="45"/>
  <c r="Z188" i="45"/>
  <c r="P188" i="45"/>
  <c r="R188" i="45"/>
  <c r="J188" i="45"/>
  <c r="L188" i="45"/>
  <c r="M188" i="45"/>
  <c r="Q188" i="45"/>
  <c r="S188" i="45"/>
  <c r="K188" i="45"/>
  <c r="N188" i="45"/>
  <c r="O188" i="45"/>
  <c r="G188" i="45"/>
  <c r="C188" i="45"/>
  <c r="B188" i="45"/>
  <c r="AE187" i="45"/>
  <c r="AD187" i="45"/>
  <c r="AC187" i="45"/>
  <c r="AB187" i="45"/>
  <c r="AA187" i="45"/>
  <c r="Z187" i="45"/>
  <c r="P187" i="45"/>
  <c r="R187" i="45"/>
  <c r="J187" i="45"/>
  <c r="L187" i="45"/>
  <c r="M187" i="45"/>
  <c r="Q187" i="45"/>
  <c r="S187" i="45"/>
  <c r="K187" i="45"/>
  <c r="N187" i="45"/>
  <c r="O187" i="45"/>
  <c r="G187" i="45"/>
  <c r="C187" i="45"/>
  <c r="B187" i="45"/>
  <c r="AE186" i="45"/>
  <c r="AD186" i="45"/>
  <c r="AC186" i="45"/>
  <c r="AB186" i="45"/>
  <c r="AA186" i="45"/>
  <c r="Z186" i="45"/>
  <c r="P186" i="45"/>
  <c r="R186" i="45"/>
  <c r="J186" i="45"/>
  <c r="L186" i="45"/>
  <c r="M186" i="45"/>
  <c r="Q186" i="45"/>
  <c r="S186" i="45"/>
  <c r="K186" i="45"/>
  <c r="N186" i="45"/>
  <c r="O186" i="45"/>
  <c r="G186" i="45"/>
  <c r="C186" i="45"/>
  <c r="B186" i="45"/>
  <c r="AE185" i="45"/>
  <c r="AD185" i="45"/>
  <c r="AC185" i="45"/>
  <c r="AB185" i="45"/>
  <c r="AA185" i="45"/>
  <c r="Z185" i="45"/>
  <c r="P185" i="45"/>
  <c r="R185" i="45"/>
  <c r="J185" i="45"/>
  <c r="L185" i="45"/>
  <c r="M185" i="45"/>
  <c r="Q185" i="45"/>
  <c r="S185" i="45"/>
  <c r="K185" i="45"/>
  <c r="N185" i="45"/>
  <c r="O185" i="45"/>
  <c r="G185" i="45"/>
  <c r="C185" i="45"/>
  <c r="B185" i="45"/>
  <c r="AE184" i="45"/>
  <c r="AD184" i="45"/>
  <c r="AC184" i="45"/>
  <c r="AB184" i="45"/>
  <c r="AA184" i="45"/>
  <c r="Z184" i="45"/>
  <c r="P184" i="45"/>
  <c r="R184" i="45"/>
  <c r="J184" i="45"/>
  <c r="L184" i="45"/>
  <c r="M184" i="45"/>
  <c r="Q184" i="45"/>
  <c r="S184" i="45"/>
  <c r="K184" i="45"/>
  <c r="N184" i="45"/>
  <c r="O184" i="45"/>
  <c r="G184" i="45"/>
  <c r="C184" i="45"/>
  <c r="B184" i="45"/>
  <c r="AE183" i="45"/>
  <c r="AD183" i="45"/>
  <c r="AC183" i="45"/>
  <c r="AB183" i="45"/>
  <c r="AA183" i="45"/>
  <c r="Z183" i="45"/>
  <c r="P183" i="45"/>
  <c r="R183" i="45"/>
  <c r="J183" i="45"/>
  <c r="L183" i="45"/>
  <c r="M183" i="45"/>
  <c r="Q183" i="45"/>
  <c r="S183" i="45"/>
  <c r="K183" i="45"/>
  <c r="N183" i="45"/>
  <c r="O183" i="45"/>
  <c r="G183" i="45"/>
  <c r="C183" i="45"/>
  <c r="B183" i="45"/>
  <c r="AE182" i="45"/>
  <c r="AD182" i="45"/>
  <c r="AC182" i="45"/>
  <c r="AB182" i="45"/>
  <c r="AA182" i="45"/>
  <c r="Z182" i="45"/>
  <c r="P182" i="45"/>
  <c r="R182" i="45"/>
  <c r="J182" i="45"/>
  <c r="L182" i="45"/>
  <c r="M182" i="45"/>
  <c r="Q182" i="45"/>
  <c r="S182" i="45"/>
  <c r="K182" i="45"/>
  <c r="N182" i="45"/>
  <c r="O182" i="45"/>
  <c r="G182" i="45"/>
  <c r="C182" i="45"/>
  <c r="B182" i="45"/>
  <c r="AE181" i="45"/>
  <c r="AD181" i="45"/>
  <c r="AC181" i="45"/>
  <c r="AB181" i="45"/>
  <c r="AA181" i="45"/>
  <c r="Z181" i="45"/>
  <c r="P181" i="45"/>
  <c r="R181" i="45"/>
  <c r="J181" i="45"/>
  <c r="L181" i="45"/>
  <c r="M181" i="45"/>
  <c r="Q181" i="45"/>
  <c r="S181" i="45"/>
  <c r="K181" i="45"/>
  <c r="N181" i="45"/>
  <c r="O181" i="45"/>
  <c r="G181" i="45"/>
  <c r="C181" i="45"/>
  <c r="B181" i="45"/>
  <c r="AE180" i="45"/>
  <c r="AD180" i="45"/>
  <c r="AC180" i="45"/>
  <c r="AB180" i="45"/>
  <c r="AA180" i="45"/>
  <c r="Z180" i="45"/>
  <c r="P180" i="45"/>
  <c r="R180" i="45"/>
  <c r="J180" i="45"/>
  <c r="L180" i="45"/>
  <c r="M180" i="45"/>
  <c r="Q180" i="45"/>
  <c r="S180" i="45"/>
  <c r="K180" i="45"/>
  <c r="N180" i="45"/>
  <c r="O180" i="45"/>
  <c r="G180" i="45"/>
  <c r="C180" i="45"/>
  <c r="B180" i="45"/>
  <c r="AE179" i="45"/>
  <c r="AD179" i="45"/>
  <c r="AC179" i="45"/>
  <c r="AB179" i="45"/>
  <c r="AA179" i="45"/>
  <c r="Z179" i="45"/>
  <c r="P179" i="45"/>
  <c r="R179" i="45"/>
  <c r="J179" i="45"/>
  <c r="L179" i="45"/>
  <c r="M179" i="45"/>
  <c r="Q179" i="45"/>
  <c r="S179" i="45"/>
  <c r="K179" i="45"/>
  <c r="N179" i="45"/>
  <c r="O179" i="45"/>
  <c r="G179" i="45"/>
  <c r="C179" i="45"/>
  <c r="B179" i="45"/>
  <c r="AE178" i="45"/>
  <c r="AD178" i="45"/>
  <c r="AC178" i="45"/>
  <c r="AB178" i="45"/>
  <c r="AA178" i="45"/>
  <c r="Z178" i="45"/>
  <c r="P178" i="45"/>
  <c r="R178" i="45"/>
  <c r="J178" i="45"/>
  <c r="L178" i="45"/>
  <c r="M178" i="45"/>
  <c r="Q178" i="45"/>
  <c r="S178" i="45"/>
  <c r="K178" i="45"/>
  <c r="N178" i="45"/>
  <c r="O178" i="45"/>
  <c r="G178" i="45"/>
  <c r="C178" i="45"/>
  <c r="B178" i="45"/>
  <c r="AE177" i="45"/>
  <c r="AD177" i="45"/>
  <c r="AC177" i="45"/>
  <c r="AB177" i="45"/>
  <c r="AA177" i="45"/>
  <c r="Z177" i="45"/>
  <c r="P177" i="45"/>
  <c r="R177" i="45"/>
  <c r="J177" i="45"/>
  <c r="L177" i="45"/>
  <c r="M177" i="45"/>
  <c r="Q177" i="45"/>
  <c r="S177" i="45"/>
  <c r="K177" i="45"/>
  <c r="N177" i="45"/>
  <c r="O177" i="45"/>
  <c r="G177" i="45"/>
  <c r="C177" i="45"/>
  <c r="B177" i="45"/>
  <c r="AE176" i="45"/>
  <c r="AD176" i="45"/>
  <c r="AC176" i="45"/>
  <c r="AB176" i="45"/>
  <c r="AA176" i="45"/>
  <c r="Z176" i="45"/>
  <c r="P176" i="45"/>
  <c r="R176" i="45"/>
  <c r="J176" i="45"/>
  <c r="L176" i="45"/>
  <c r="M176" i="45"/>
  <c r="Q176" i="45"/>
  <c r="S176" i="45"/>
  <c r="K176" i="45"/>
  <c r="N176" i="45"/>
  <c r="O176" i="45"/>
  <c r="G176" i="45"/>
  <c r="C176" i="45"/>
  <c r="B176" i="45"/>
  <c r="AE175" i="45"/>
  <c r="AD175" i="45"/>
  <c r="AC175" i="45"/>
  <c r="AB175" i="45"/>
  <c r="AA175" i="45"/>
  <c r="Z175" i="45"/>
  <c r="P175" i="45"/>
  <c r="R175" i="45"/>
  <c r="J175" i="45"/>
  <c r="L175" i="45"/>
  <c r="M175" i="45"/>
  <c r="Q175" i="45"/>
  <c r="S175" i="45"/>
  <c r="K175" i="45"/>
  <c r="N175" i="45"/>
  <c r="O175" i="45"/>
  <c r="G175" i="45"/>
  <c r="C175" i="45"/>
  <c r="B175" i="45"/>
  <c r="AE174" i="45"/>
  <c r="AD174" i="45"/>
  <c r="AC174" i="45"/>
  <c r="AB174" i="45"/>
  <c r="AA174" i="45"/>
  <c r="Z174" i="45"/>
  <c r="P174" i="45"/>
  <c r="R174" i="45"/>
  <c r="J174" i="45"/>
  <c r="L174" i="45"/>
  <c r="M174" i="45"/>
  <c r="Q174" i="45"/>
  <c r="S174" i="45"/>
  <c r="K174" i="45"/>
  <c r="N174" i="45"/>
  <c r="O174" i="45"/>
  <c r="G174" i="45"/>
  <c r="C174" i="45"/>
  <c r="B174" i="45"/>
  <c r="AE173" i="45"/>
  <c r="AD173" i="45"/>
  <c r="AC173" i="45"/>
  <c r="AB173" i="45"/>
  <c r="AA173" i="45"/>
  <c r="Z173" i="45"/>
  <c r="P173" i="45"/>
  <c r="R173" i="45"/>
  <c r="J173" i="45"/>
  <c r="L173" i="45"/>
  <c r="M173" i="45"/>
  <c r="Q173" i="45"/>
  <c r="S173" i="45"/>
  <c r="K173" i="45"/>
  <c r="N173" i="45"/>
  <c r="O173" i="45"/>
  <c r="G173" i="45"/>
  <c r="C173" i="45"/>
  <c r="B173" i="45"/>
  <c r="AE172" i="45"/>
  <c r="AD172" i="45"/>
  <c r="AC172" i="45"/>
  <c r="AB172" i="45"/>
  <c r="AA172" i="45"/>
  <c r="Z172" i="45"/>
  <c r="P172" i="45"/>
  <c r="R172" i="45"/>
  <c r="J172" i="45"/>
  <c r="L172" i="45"/>
  <c r="M172" i="45"/>
  <c r="Q172" i="45"/>
  <c r="S172" i="45"/>
  <c r="K172" i="45"/>
  <c r="N172" i="45"/>
  <c r="O172" i="45"/>
  <c r="G172" i="45"/>
  <c r="C172" i="45"/>
  <c r="B172" i="45"/>
  <c r="AE171" i="45"/>
  <c r="AD171" i="45"/>
  <c r="AC171" i="45"/>
  <c r="AB171" i="45"/>
  <c r="AA171" i="45"/>
  <c r="Z171" i="45"/>
  <c r="P171" i="45"/>
  <c r="R171" i="45"/>
  <c r="J171" i="45"/>
  <c r="L171" i="45"/>
  <c r="M171" i="45"/>
  <c r="Q171" i="45"/>
  <c r="S171" i="45"/>
  <c r="K171" i="45"/>
  <c r="N171" i="45"/>
  <c r="O171" i="45"/>
  <c r="G171" i="45"/>
  <c r="C171" i="45"/>
  <c r="B171" i="45"/>
  <c r="AE170" i="45"/>
  <c r="AD170" i="45"/>
  <c r="AC170" i="45"/>
  <c r="AB170" i="45"/>
  <c r="AA170" i="45"/>
  <c r="Z170" i="45"/>
  <c r="P170" i="45"/>
  <c r="R170" i="45"/>
  <c r="J170" i="45"/>
  <c r="L170" i="45"/>
  <c r="M170" i="45"/>
  <c r="Q170" i="45"/>
  <c r="S170" i="45"/>
  <c r="K170" i="45"/>
  <c r="N170" i="45"/>
  <c r="O170" i="45"/>
  <c r="G170" i="45"/>
  <c r="C170" i="45"/>
  <c r="B170" i="45"/>
  <c r="AE169" i="45"/>
  <c r="AD169" i="45"/>
  <c r="AC169" i="45"/>
  <c r="AB169" i="45"/>
  <c r="AA169" i="45"/>
  <c r="Z169" i="45"/>
  <c r="P169" i="45"/>
  <c r="R169" i="45"/>
  <c r="J169" i="45"/>
  <c r="L169" i="45"/>
  <c r="M169" i="45"/>
  <c r="Q169" i="45"/>
  <c r="S169" i="45"/>
  <c r="K169" i="45"/>
  <c r="N169" i="45"/>
  <c r="O169" i="45"/>
  <c r="G169" i="45"/>
  <c r="C169" i="45"/>
  <c r="B169" i="45"/>
  <c r="AE168" i="45"/>
  <c r="AD168" i="45"/>
  <c r="AC168" i="45"/>
  <c r="AB168" i="45"/>
  <c r="AA168" i="45"/>
  <c r="Z168" i="45"/>
  <c r="P168" i="45"/>
  <c r="R168" i="45"/>
  <c r="J168" i="45"/>
  <c r="L168" i="45"/>
  <c r="M168" i="45"/>
  <c r="Q168" i="45"/>
  <c r="S168" i="45"/>
  <c r="K168" i="45"/>
  <c r="N168" i="45"/>
  <c r="O168" i="45"/>
  <c r="G168" i="45"/>
  <c r="C168" i="45"/>
  <c r="B168" i="45"/>
  <c r="AE167" i="45"/>
  <c r="AD167" i="45"/>
  <c r="AC167" i="45"/>
  <c r="AB167" i="45"/>
  <c r="AA167" i="45"/>
  <c r="Z167" i="45"/>
  <c r="P167" i="45"/>
  <c r="R167" i="45"/>
  <c r="J167" i="45"/>
  <c r="L167" i="45"/>
  <c r="M167" i="45"/>
  <c r="Q167" i="45"/>
  <c r="S167" i="45"/>
  <c r="K167" i="45"/>
  <c r="N167" i="45"/>
  <c r="O167" i="45"/>
  <c r="G167" i="45"/>
  <c r="C167" i="45"/>
  <c r="B167" i="45"/>
  <c r="AE166" i="45"/>
  <c r="AD166" i="45"/>
  <c r="AC166" i="45"/>
  <c r="AB166" i="45"/>
  <c r="AA166" i="45"/>
  <c r="Z166" i="45"/>
  <c r="P166" i="45"/>
  <c r="R166" i="45"/>
  <c r="J166" i="45"/>
  <c r="L166" i="45"/>
  <c r="M166" i="45"/>
  <c r="Q166" i="45"/>
  <c r="S166" i="45"/>
  <c r="K166" i="45"/>
  <c r="N166" i="45"/>
  <c r="O166" i="45"/>
  <c r="G166" i="45"/>
  <c r="C166" i="45"/>
  <c r="B166" i="45"/>
  <c r="AE165" i="45"/>
  <c r="AD165" i="45"/>
  <c r="AC165" i="45"/>
  <c r="AB165" i="45"/>
  <c r="AA165" i="45"/>
  <c r="Z165" i="45"/>
  <c r="P165" i="45"/>
  <c r="R165" i="45"/>
  <c r="J165" i="45"/>
  <c r="L165" i="45"/>
  <c r="M165" i="45"/>
  <c r="Q165" i="45"/>
  <c r="S165" i="45"/>
  <c r="K165" i="45"/>
  <c r="N165" i="45"/>
  <c r="O165" i="45"/>
  <c r="G165" i="45"/>
  <c r="C165" i="45"/>
  <c r="B165" i="45"/>
  <c r="AE164" i="45"/>
  <c r="AD164" i="45"/>
  <c r="AC164" i="45"/>
  <c r="AB164" i="45"/>
  <c r="AA164" i="45"/>
  <c r="Z164" i="45"/>
  <c r="P164" i="45"/>
  <c r="R164" i="45"/>
  <c r="J164" i="45"/>
  <c r="L164" i="45"/>
  <c r="M164" i="45"/>
  <c r="Q164" i="45"/>
  <c r="S164" i="45"/>
  <c r="K164" i="45"/>
  <c r="N164" i="45"/>
  <c r="O164" i="45"/>
  <c r="G164" i="45"/>
  <c r="C164" i="45"/>
  <c r="B164" i="45"/>
  <c r="AE163" i="45"/>
  <c r="AD163" i="45"/>
  <c r="AC163" i="45"/>
  <c r="AB163" i="45"/>
  <c r="AA163" i="45"/>
  <c r="Z163" i="45"/>
  <c r="P163" i="45"/>
  <c r="R163" i="45"/>
  <c r="J163" i="45"/>
  <c r="L163" i="45"/>
  <c r="M163" i="45"/>
  <c r="Q163" i="45"/>
  <c r="S163" i="45"/>
  <c r="K163" i="45"/>
  <c r="N163" i="45"/>
  <c r="O163" i="45"/>
  <c r="G163" i="45"/>
  <c r="C163" i="45"/>
  <c r="B163" i="45"/>
  <c r="AE162" i="45"/>
  <c r="AD162" i="45"/>
  <c r="AC162" i="45"/>
  <c r="AB162" i="45"/>
  <c r="AA162" i="45"/>
  <c r="Z162" i="45"/>
  <c r="P162" i="45"/>
  <c r="R162" i="45"/>
  <c r="J162" i="45"/>
  <c r="L162" i="45"/>
  <c r="M162" i="45"/>
  <c r="Q162" i="45"/>
  <c r="S162" i="45"/>
  <c r="K162" i="45"/>
  <c r="N162" i="45"/>
  <c r="O162" i="45"/>
  <c r="G162" i="45"/>
  <c r="C162" i="45"/>
  <c r="B162" i="45"/>
  <c r="AE161" i="45"/>
  <c r="AD161" i="45"/>
  <c r="AC161" i="45"/>
  <c r="AB161" i="45"/>
  <c r="AA161" i="45"/>
  <c r="Z161" i="45"/>
  <c r="P161" i="45"/>
  <c r="R161" i="45"/>
  <c r="J161" i="45"/>
  <c r="L161" i="45"/>
  <c r="M161" i="45"/>
  <c r="Q161" i="45"/>
  <c r="S161" i="45"/>
  <c r="K161" i="45"/>
  <c r="N161" i="45"/>
  <c r="O161" i="45"/>
  <c r="G161" i="45"/>
  <c r="C161" i="45"/>
  <c r="B161" i="45"/>
  <c r="AE160" i="45"/>
  <c r="AD160" i="45"/>
  <c r="AC160" i="45"/>
  <c r="AB160" i="45"/>
  <c r="AA160" i="45"/>
  <c r="Z160" i="45"/>
  <c r="P160" i="45"/>
  <c r="R160" i="45"/>
  <c r="J160" i="45"/>
  <c r="L160" i="45"/>
  <c r="M160" i="45"/>
  <c r="Q160" i="45"/>
  <c r="S160" i="45"/>
  <c r="K160" i="45"/>
  <c r="N160" i="45"/>
  <c r="O160" i="45"/>
  <c r="G160" i="45"/>
  <c r="C160" i="45"/>
  <c r="B160" i="45"/>
  <c r="AE159" i="45"/>
  <c r="AD159" i="45"/>
  <c r="AC159" i="45"/>
  <c r="AB159" i="45"/>
  <c r="AA159" i="45"/>
  <c r="Z159" i="45"/>
  <c r="P159" i="45"/>
  <c r="R159" i="45"/>
  <c r="J159" i="45"/>
  <c r="L159" i="45"/>
  <c r="M159" i="45"/>
  <c r="Q159" i="45"/>
  <c r="S159" i="45"/>
  <c r="K159" i="45"/>
  <c r="N159" i="45"/>
  <c r="O159" i="45"/>
  <c r="G159" i="45"/>
  <c r="C159" i="45"/>
  <c r="B159" i="45"/>
  <c r="AE158" i="45"/>
  <c r="AD158" i="45"/>
  <c r="AC158" i="45"/>
  <c r="AB158" i="45"/>
  <c r="AA158" i="45"/>
  <c r="Z158" i="45"/>
  <c r="P158" i="45"/>
  <c r="R158" i="45"/>
  <c r="J158" i="45"/>
  <c r="L158" i="45"/>
  <c r="M158" i="45"/>
  <c r="Q158" i="45"/>
  <c r="S158" i="45"/>
  <c r="K158" i="45"/>
  <c r="N158" i="45"/>
  <c r="O158" i="45"/>
  <c r="G158" i="45"/>
  <c r="C158" i="45"/>
  <c r="B158" i="45"/>
  <c r="AE157" i="45"/>
  <c r="AD157" i="45"/>
  <c r="AC157" i="45"/>
  <c r="AB157" i="45"/>
  <c r="AA157" i="45"/>
  <c r="Z157" i="45"/>
  <c r="P157" i="45"/>
  <c r="R157" i="45"/>
  <c r="J157" i="45"/>
  <c r="L157" i="45"/>
  <c r="M157" i="45"/>
  <c r="Q157" i="45"/>
  <c r="S157" i="45"/>
  <c r="K157" i="45"/>
  <c r="N157" i="45"/>
  <c r="O157" i="45"/>
  <c r="G157" i="45"/>
  <c r="C157" i="45"/>
  <c r="B157" i="45"/>
  <c r="AE156" i="45"/>
  <c r="AD156" i="45"/>
  <c r="AC156" i="45"/>
  <c r="AB156" i="45"/>
  <c r="AA156" i="45"/>
  <c r="Z156" i="45"/>
  <c r="P156" i="45"/>
  <c r="R156" i="45"/>
  <c r="J156" i="45"/>
  <c r="L156" i="45"/>
  <c r="M156" i="45"/>
  <c r="Q156" i="45"/>
  <c r="S156" i="45"/>
  <c r="K156" i="45"/>
  <c r="N156" i="45"/>
  <c r="O156" i="45"/>
  <c r="G156" i="45"/>
  <c r="C156" i="45"/>
  <c r="B156" i="45"/>
  <c r="AE155" i="45"/>
  <c r="AD155" i="45"/>
  <c r="AC155" i="45"/>
  <c r="AB155" i="45"/>
  <c r="AA155" i="45"/>
  <c r="Z155" i="45"/>
  <c r="P155" i="45"/>
  <c r="R155" i="45"/>
  <c r="J155" i="45"/>
  <c r="L155" i="45"/>
  <c r="M155" i="45"/>
  <c r="Q155" i="45"/>
  <c r="S155" i="45"/>
  <c r="K155" i="45"/>
  <c r="N155" i="45"/>
  <c r="O155" i="45"/>
  <c r="G155" i="45"/>
  <c r="C155" i="45"/>
  <c r="B155" i="45"/>
  <c r="AE154" i="45"/>
  <c r="AD154" i="45"/>
  <c r="AC154" i="45"/>
  <c r="AB154" i="45"/>
  <c r="AA154" i="45"/>
  <c r="Z154" i="45"/>
  <c r="P154" i="45"/>
  <c r="R154" i="45"/>
  <c r="J154" i="45"/>
  <c r="L154" i="45"/>
  <c r="M154" i="45"/>
  <c r="Q154" i="45"/>
  <c r="S154" i="45"/>
  <c r="K154" i="45"/>
  <c r="N154" i="45"/>
  <c r="O154" i="45"/>
  <c r="G154" i="45"/>
  <c r="C154" i="45"/>
  <c r="B154" i="45"/>
  <c r="AE153" i="45"/>
  <c r="AD153" i="45"/>
  <c r="AC153" i="45"/>
  <c r="AB153" i="45"/>
  <c r="AA153" i="45"/>
  <c r="Z153" i="45"/>
  <c r="P153" i="45"/>
  <c r="R153" i="45"/>
  <c r="J153" i="45"/>
  <c r="L153" i="45"/>
  <c r="M153" i="45"/>
  <c r="Q153" i="45"/>
  <c r="S153" i="45"/>
  <c r="K153" i="45"/>
  <c r="N153" i="45"/>
  <c r="O153" i="45"/>
  <c r="G153" i="45"/>
  <c r="C153" i="45"/>
  <c r="B153" i="45"/>
  <c r="AE152" i="45"/>
  <c r="AD152" i="45"/>
  <c r="AC152" i="45"/>
  <c r="AB152" i="45"/>
  <c r="AA152" i="45"/>
  <c r="Z152" i="45"/>
  <c r="P152" i="45"/>
  <c r="R152" i="45"/>
  <c r="J152" i="45"/>
  <c r="L152" i="45"/>
  <c r="M152" i="45"/>
  <c r="Q152" i="45"/>
  <c r="S152" i="45"/>
  <c r="K152" i="45"/>
  <c r="N152" i="45"/>
  <c r="O152" i="45"/>
  <c r="G152" i="45"/>
  <c r="C152" i="45"/>
  <c r="B152" i="45"/>
  <c r="AE151" i="45"/>
  <c r="AD151" i="45"/>
  <c r="AC151" i="45"/>
  <c r="AB151" i="45"/>
  <c r="AA151" i="45"/>
  <c r="Z151" i="45"/>
  <c r="P151" i="45"/>
  <c r="R151" i="45"/>
  <c r="J151" i="45"/>
  <c r="L151" i="45"/>
  <c r="M151" i="45"/>
  <c r="Q151" i="45"/>
  <c r="S151" i="45"/>
  <c r="K151" i="45"/>
  <c r="N151" i="45"/>
  <c r="O151" i="45"/>
  <c r="G151" i="45"/>
  <c r="C151" i="45"/>
  <c r="B151" i="45"/>
  <c r="AE150" i="45"/>
  <c r="AD150" i="45"/>
  <c r="AC150" i="45"/>
  <c r="AB150" i="45"/>
  <c r="AA150" i="45"/>
  <c r="Z150" i="45"/>
  <c r="P150" i="45"/>
  <c r="R150" i="45"/>
  <c r="J150" i="45"/>
  <c r="L150" i="45"/>
  <c r="M150" i="45"/>
  <c r="Q150" i="45"/>
  <c r="S150" i="45"/>
  <c r="K150" i="45"/>
  <c r="N150" i="45"/>
  <c r="O150" i="45"/>
  <c r="G150" i="45"/>
  <c r="C150" i="45"/>
  <c r="B150" i="45"/>
  <c r="AE149" i="45"/>
  <c r="AD149" i="45"/>
  <c r="AC149" i="45"/>
  <c r="AB149" i="45"/>
  <c r="AA149" i="45"/>
  <c r="Z149" i="45"/>
  <c r="P149" i="45"/>
  <c r="R149" i="45"/>
  <c r="J149" i="45"/>
  <c r="L149" i="45"/>
  <c r="M149" i="45"/>
  <c r="Q149" i="45"/>
  <c r="S149" i="45"/>
  <c r="K149" i="45"/>
  <c r="N149" i="45"/>
  <c r="O149" i="45"/>
  <c r="G149" i="45"/>
  <c r="C149" i="45"/>
  <c r="B149" i="45"/>
  <c r="AE148" i="45"/>
  <c r="AD148" i="45"/>
  <c r="AC148" i="45"/>
  <c r="AB148" i="45"/>
  <c r="AA148" i="45"/>
  <c r="Z148" i="45"/>
  <c r="P148" i="45"/>
  <c r="R148" i="45"/>
  <c r="J148" i="45"/>
  <c r="L148" i="45"/>
  <c r="M148" i="45"/>
  <c r="Q148" i="45"/>
  <c r="S148" i="45"/>
  <c r="K148" i="45"/>
  <c r="N148" i="45"/>
  <c r="O148" i="45"/>
  <c r="G148" i="45"/>
  <c r="C148" i="45"/>
  <c r="B148" i="45"/>
  <c r="AE147" i="45"/>
  <c r="AD147" i="45"/>
  <c r="AC147" i="45"/>
  <c r="AB147" i="45"/>
  <c r="AA147" i="45"/>
  <c r="Z147" i="45"/>
  <c r="P147" i="45"/>
  <c r="R147" i="45"/>
  <c r="J147" i="45"/>
  <c r="L147" i="45"/>
  <c r="M147" i="45"/>
  <c r="Q147" i="45"/>
  <c r="S147" i="45"/>
  <c r="K147" i="45"/>
  <c r="N147" i="45"/>
  <c r="O147" i="45"/>
  <c r="G147" i="45"/>
  <c r="C147" i="45"/>
  <c r="B147" i="45"/>
  <c r="AE146" i="45"/>
  <c r="AD146" i="45"/>
  <c r="AC146" i="45"/>
  <c r="AB146" i="45"/>
  <c r="AA146" i="45"/>
  <c r="Z146" i="45"/>
  <c r="P146" i="45"/>
  <c r="R146" i="45"/>
  <c r="J146" i="45"/>
  <c r="L146" i="45"/>
  <c r="M146" i="45"/>
  <c r="Q146" i="45"/>
  <c r="S146" i="45"/>
  <c r="K146" i="45"/>
  <c r="N146" i="45"/>
  <c r="O146" i="45"/>
  <c r="G146" i="45"/>
  <c r="C146" i="45"/>
  <c r="B146" i="45"/>
  <c r="AE145" i="45"/>
  <c r="AD145" i="45"/>
  <c r="AC145" i="45"/>
  <c r="AB145" i="45"/>
  <c r="AA145" i="45"/>
  <c r="Z145" i="45"/>
  <c r="P145" i="45"/>
  <c r="R145" i="45"/>
  <c r="J145" i="45"/>
  <c r="L145" i="45"/>
  <c r="M145" i="45"/>
  <c r="Q145" i="45"/>
  <c r="S145" i="45"/>
  <c r="K145" i="45"/>
  <c r="N145" i="45"/>
  <c r="O145" i="45"/>
  <c r="G145" i="45"/>
  <c r="C145" i="45"/>
  <c r="B145" i="45"/>
  <c r="AE144" i="45"/>
  <c r="AD144" i="45"/>
  <c r="AC144" i="45"/>
  <c r="AB144" i="45"/>
  <c r="AA144" i="45"/>
  <c r="Z144" i="45"/>
  <c r="P144" i="45"/>
  <c r="R144" i="45"/>
  <c r="J144" i="45"/>
  <c r="L144" i="45"/>
  <c r="M144" i="45"/>
  <c r="Q144" i="45"/>
  <c r="S144" i="45"/>
  <c r="K144" i="45"/>
  <c r="N144" i="45"/>
  <c r="O144" i="45"/>
  <c r="G144" i="45"/>
  <c r="C144" i="45"/>
  <c r="B144" i="45"/>
  <c r="AE143" i="45"/>
  <c r="AD143" i="45"/>
  <c r="AC143" i="45"/>
  <c r="AB143" i="45"/>
  <c r="AA143" i="45"/>
  <c r="Z143" i="45"/>
  <c r="P143" i="45"/>
  <c r="R143" i="45"/>
  <c r="J143" i="45"/>
  <c r="L143" i="45"/>
  <c r="M143" i="45"/>
  <c r="Q143" i="45"/>
  <c r="S143" i="45"/>
  <c r="K143" i="45"/>
  <c r="N143" i="45"/>
  <c r="O143" i="45"/>
  <c r="G143" i="45"/>
  <c r="C143" i="45"/>
  <c r="B143" i="45"/>
  <c r="AE142" i="45"/>
  <c r="AD142" i="45"/>
  <c r="AC142" i="45"/>
  <c r="AB142" i="45"/>
  <c r="AA142" i="45"/>
  <c r="Z142" i="45"/>
  <c r="P142" i="45"/>
  <c r="R142" i="45"/>
  <c r="J142" i="45"/>
  <c r="L142" i="45"/>
  <c r="M142" i="45"/>
  <c r="Q142" i="45"/>
  <c r="S142" i="45"/>
  <c r="K142" i="45"/>
  <c r="N142" i="45"/>
  <c r="O142" i="45"/>
  <c r="G142" i="45"/>
  <c r="C142" i="45"/>
  <c r="B142" i="45"/>
  <c r="AE141" i="45"/>
  <c r="AD141" i="45"/>
  <c r="AC141" i="45"/>
  <c r="AB141" i="45"/>
  <c r="AA141" i="45"/>
  <c r="Z141" i="45"/>
  <c r="P141" i="45"/>
  <c r="R141" i="45"/>
  <c r="J141" i="45"/>
  <c r="L141" i="45"/>
  <c r="M141" i="45"/>
  <c r="Q141" i="45"/>
  <c r="S141" i="45"/>
  <c r="K141" i="45"/>
  <c r="N141" i="45"/>
  <c r="O141" i="45"/>
  <c r="G141" i="45"/>
  <c r="C141" i="45"/>
  <c r="B141" i="45"/>
  <c r="AE140" i="45"/>
  <c r="AD140" i="45"/>
  <c r="AC140" i="45"/>
  <c r="AB140" i="45"/>
  <c r="AA140" i="45"/>
  <c r="Z140" i="45"/>
  <c r="P140" i="45"/>
  <c r="R140" i="45"/>
  <c r="J140" i="45"/>
  <c r="L140" i="45"/>
  <c r="M140" i="45"/>
  <c r="Q140" i="45"/>
  <c r="S140" i="45"/>
  <c r="K140" i="45"/>
  <c r="N140" i="45"/>
  <c r="O140" i="45"/>
  <c r="G140" i="45"/>
  <c r="C140" i="45"/>
  <c r="B140" i="45"/>
  <c r="AE139" i="45"/>
  <c r="AD139" i="45"/>
  <c r="AC139" i="45"/>
  <c r="AB139" i="45"/>
  <c r="AA139" i="45"/>
  <c r="Z139" i="45"/>
  <c r="P139" i="45"/>
  <c r="R139" i="45"/>
  <c r="J139" i="45"/>
  <c r="L139" i="45"/>
  <c r="M139" i="45"/>
  <c r="Q139" i="45"/>
  <c r="S139" i="45"/>
  <c r="K139" i="45"/>
  <c r="N139" i="45"/>
  <c r="O139" i="45"/>
  <c r="G139" i="45"/>
  <c r="C139" i="45"/>
  <c r="B139" i="45"/>
  <c r="AE138" i="45"/>
  <c r="AD138" i="45"/>
  <c r="AC138" i="45"/>
  <c r="AB138" i="45"/>
  <c r="AA138" i="45"/>
  <c r="Z138" i="45"/>
  <c r="P138" i="45"/>
  <c r="R138" i="45"/>
  <c r="J138" i="45"/>
  <c r="L138" i="45"/>
  <c r="M138" i="45"/>
  <c r="Q138" i="45"/>
  <c r="S138" i="45"/>
  <c r="K138" i="45"/>
  <c r="N138" i="45"/>
  <c r="O138" i="45"/>
  <c r="G138" i="45"/>
  <c r="C138" i="45"/>
  <c r="B138" i="45"/>
  <c r="AE137" i="45"/>
  <c r="AD137" i="45"/>
  <c r="AC137" i="45"/>
  <c r="AB137" i="45"/>
  <c r="AA137" i="45"/>
  <c r="Z137" i="45"/>
  <c r="P137" i="45"/>
  <c r="R137" i="45"/>
  <c r="J137" i="45"/>
  <c r="L137" i="45"/>
  <c r="M137" i="45"/>
  <c r="Q137" i="45"/>
  <c r="S137" i="45"/>
  <c r="K137" i="45"/>
  <c r="N137" i="45"/>
  <c r="O137" i="45"/>
  <c r="G137" i="45"/>
  <c r="C137" i="45"/>
  <c r="B137" i="45"/>
  <c r="AE136" i="45"/>
  <c r="AD136" i="45"/>
  <c r="AC136" i="45"/>
  <c r="AB136" i="45"/>
  <c r="AA136" i="45"/>
  <c r="Z136" i="45"/>
  <c r="P136" i="45"/>
  <c r="R136" i="45"/>
  <c r="J136" i="45"/>
  <c r="L136" i="45"/>
  <c r="M136" i="45"/>
  <c r="Q136" i="45"/>
  <c r="S136" i="45"/>
  <c r="K136" i="45"/>
  <c r="N136" i="45"/>
  <c r="O136" i="45"/>
  <c r="G136" i="45"/>
  <c r="C136" i="45"/>
  <c r="B136" i="45"/>
  <c r="AE135" i="45"/>
  <c r="AD135" i="45"/>
  <c r="AC135" i="45"/>
  <c r="AB135" i="45"/>
  <c r="AA135" i="45"/>
  <c r="Z135" i="45"/>
  <c r="P135" i="45"/>
  <c r="R135" i="45"/>
  <c r="J135" i="45"/>
  <c r="L135" i="45"/>
  <c r="M135" i="45"/>
  <c r="Q135" i="45"/>
  <c r="S135" i="45"/>
  <c r="K135" i="45"/>
  <c r="N135" i="45"/>
  <c r="O135" i="45"/>
  <c r="G135" i="45"/>
  <c r="C135" i="45"/>
  <c r="B135" i="45"/>
  <c r="AE134" i="45"/>
  <c r="AD134" i="45"/>
  <c r="AC134" i="45"/>
  <c r="AB134" i="45"/>
  <c r="AA134" i="45"/>
  <c r="Z134" i="45"/>
  <c r="P134" i="45"/>
  <c r="R134" i="45"/>
  <c r="J134" i="45"/>
  <c r="L134" i="45"/>
  <c r="M134" i="45"/>
  <c r="Q134" i="45"/>
  <c r="S134" i="45"/>
  <c r="K134" i="45"/>
  <c r="N134" i="45"/>
  <c r="O134" i="45"/>
  <c r="G134" i="45"/>
  <c r="C134" i="45"/>
  <c r="B134" i="45"/>
  <c r="AE133" i="45"/>
  <c r="AD133" i="45"/>
  <c r="AC133" i="45"/>
  <c r="AB133" i="45"/>
  <c r="AA133" i="45"/>
  <c r="Z133" i="45"/>
  <c r="P133" i="45"/>
  <c r="R133" i="45"/>
  <c r="J133" i="45"/>
  <c r="L133" i="45"/>
  <c r="M133" i="45"/>
  <c r="Q133" i="45"/>
  <c r="S133" i="45"/>
  <c r="K133" i="45"/>
  <c r="N133" i="45"/>
  <c r="O133" i="45"/>
  <c r="G133" i="45"/>
  <c r="C133" i="45"/>
  <c r="B133" i="45"/>
  <c r="AE132" i="45"/>
  <c r="AD132" i="45"/>
  <c r="AC132" i="45"/>
  <c r="AB132" i="45"/>
  <c r="AA132" i="45"/>
  <c r="Z132" i="45"/>
  <c r="P132" i="45"/>
  <c r="R132" i="45"/>
  <c r="J132" i="45"/>
  <c r="L132" i="45"/>
  <c r="M132" i="45"/>
  <c r="Q132" i="45"/>
  <c r="S132" i="45"/>
  <c r="K132" i="45"/>
  <c r="N132" i="45"/>
  <c r="O132" i="45"/>
  <c r="G132" i="45"/>
  <c r="C132" i="45"/>
  <c r="B132" i="45"/>
  <c r="AE131" i="45"/>
  <c r="AD131" i="45"/>
  <c r="AC131" i="45"/>
  <c r="AB131" i="45"/>
  <c r="AA131" i="45"/>
  <c r="Z131" i="45"/>
  <c r="P131" i="45"/>
  <c r="R131" i="45"/>
  <c r="J131" i="45"/>
  <c r="L131" i="45"/>
  <c r="M131" i="45"/>
  <c r="Q131" i="45"/>
  <c r="S131" i="45"/>
  <c r="K131" i="45"/>
  <c r="N131" i="45"/>
  <c r="O131" i="45"/>
  <c r="G131" i="45"/>
  <c r="C131" i="45"/>
  <c r="B131" i="45"/>
  <c r="AE130" i="45"/>
  <c r="AD130" i="45"/>
  <c r="AC130" i="45"/>
  <c r="AB130" i="45"/>
  <c r="AA130" i="45"/>
  <c r="Z130" i="45"/>
  <c r="P130" i="45"/>
  <c r="R130" i="45"/>
  <c r="J130" i="45"/>
  <c r="L130" i="45"/>
  <c r="M130" i="45"/>
  <c r="Q130" i="45"/>
  <c r="S130" i="45"/>
  <c r="K130" i="45"/>
  <c r="N130" i="45"/>
  <c r="O130" i="45"/>
  <c r="G130" i="45"/>
  <c r="C130" i="45"/>
  <c r="B130" i="45"/>
  <c r="AE129" i="45"/>
  <c r="AD129" i="45"/>
  <c r="AC129" i="45"/>
  <c r="AB129" i="45"/>
  <c r="AA129" i="45"/>
  <c r="Z129" i="45"/>
  <c r="P129" i="45"/>
  <c r="R129" i="45"/>
  <c r="J129" i="45"/>
  <c r="L129" i="45"/>
  <c r="M129" i="45"/>
  <c r="Q129" i="45"/>
  <c r="S129" i="45"/>
  <c r="K129" i="45"/>
  <c r="N129" i="45"/>
  <c r="O129" i="45"/>
  <c r="G129" i="45"/>
  <c r="C129" i="45"/>
  <c r="B129" i="45"/>
  <c r="AE128" i="45"/>
  <c r="AD128" i="45"/>
  <c r="AC128" i="45"/>
  <c r="AB128" i="45"/>
  <c r="AA128" i="45"/>
  <c r="Z128" i="45"/>
  <c r="P128" i="45"/>
  <c r="R128" i="45"/>
  <c r="J128" i="45"/>
  <c r="L128" i="45"/>
  <c r="M128" i="45"/>
  <c r="Q128" i="45"/>
  <c r="S128" i="45"/>
  <c r="K128" i="45"/>
  <c r="N128" i="45"/>
  <c r="O128" i="45"/>
  <c r="G128" i="45"/>
  <c r="C128" i="45"/>
  <c r="B128" i="45"/>
  <c r="AE127" i="45"/>
  <c r="AD127" i="45"/>
  <c r="AC127" i="45"/>
  <c r="AB127" i="45"/>
  <c r="AA127" i="45"/>
  <c r="Z127" i="45"/>
  <c r="P127" i="45"/>
  <c r="R127" i="45"/>
  <c r="J127" i="45"/>
  <c r="L127" i="45"/>
  <c r="M127" i="45"/>
  <c r="Q127" i="45"/>
  <c r="S127" i="45"/>
  <c r="K127" i="45"/>
  <c r="N127" i="45"/>
  <c r="O127" i="45"/>
  <c r="G127" i="45"/>
  <c r="C127" i="45"/>
  <c r="B127" i="45"/>
  <c r="AE126" i="45"/>
  <c r="AD126" i="45"/>
  <c r="AC126" i="45"/>
  <c r="AB126" i="45"/>
  <c r="AA126" i="45"/>
  <c r="Z126" i="45"/>
  <c r="P126" i="45"/>
  <c r="R126" i="45"/>
  <c r="J126" i="45"/>
  <c r="L126" i="45"/>
  <c r="M126" i="45"/>
  <c r="Q126" i="45"/>
  <c r="S126" i="45"/>
  <c r="K126" i="45"/>
  <c r="N126" i="45"/>
  <c r="O126" i="45"/>
  <c r="G126" i="45"/>
  <c r="C126" i="45"/>
  <c r="B126" i="45"/>
  <c r="AE125" i="45"/>
  <c r="AD125" i="45"/>
  <c r="AC125" i="45"/>
  <c r="AB125" i="45"/>
  <c r="AA125" i="45"/>
  <c r="Z125" i="45"/>
  <c r="P125" i="45"/>
  <c r="R125" i="45"/>
  <c r="J125" i="45"/>
  <c r="L125" i="45"/>
  <c r="M125" i="45"/>
  <c r="Q125" i="45"/>
  <c r="S125" i="45"/>
  <c r="K125" i="45"/>
  <c r="N125" i="45"/>
  <c r="O125" i="45"/>
  <c r="G125" i="45"/>
  <c r="C125" i="45"/>
  <c r="B125" i="45"/>
  <c r="AE124" i="45"/>
  <c r="AD124" i="45"/>
  <c r="AC124" i="45"/>
  <c r="AB124" i="45"/>
  <c r="AA124" i="45"/>
  <c r="Z124" i="45"/>
  <c r="P124" i="45"/>
  <c r="R124" i="45"/>
  <c r="J124" i="45"/>
  <c r="L124" i="45"/>
  <c r="M124" i="45"/>
  <c r="Q124" i="45"/>
  <c r="S124" i="45"/>
  <c r="K124" i="45"/>
  <c r="N124" i="45"/>
  <c r="O124" i="45"/>
  <c r="G124" i="45"/>
  <c r="C124" i="45"/>
  <c r="B124" i="45"/>
  <c r="AE123" i="45"/>
  <c r="AD123" i="45"/>
  <c r="AC123" i="45"/>
  <c r="AB123" i="45"/>
  <c r="AA123" i="45"/>
  <c r="Z123" i="45"/>
  <c r="P123" i="45"/>
  <c r="R123" i="45"/>
  <c r="J123" i="45"/>
  <c r="L123" i="45"/>
  <c r="M123" i="45"/>
  <c r="Q123" i="45"/>
  <c r="S123" i="45"/>
  <c r="K123" i="45"/>
  <c r="N123" i="45"/>
  <c r="O123" i="45"/>
  <c r="G123" i="45"/>
  <c r="C123" i="45"/>
  <c r="B123" i="45"/>
  <c r="AE122" i="45"/>
  <c r="AD122" i="45"/>
  <c r="AC122" i="45"/>
  <c r="AB122" i="45"/>
  <c r="AA122" i="45"/>
  <c r="Z122" i="45"/>
  <c r="P122" i="45"/>
  <c r="R122" i="45"/>
  <c r="J122" i="45"/>
  <c r="L122" i="45"/>
  <c r="M122" i="45"/>
  <c r="Q122" i="45"/>
  <c r="S122" i="45"/>
  <c r="K122" i="45"/>
  <c r="N122" i="45"/>
  <c r="O122" i="45"/>
  <c r="G122" i="45"/>
  <c r="C122" i="45"/>
  <c r="B122" i="45"/>
  <c r="AE121" i="45"/>
  <c r="AD121" i="45"/>
  <c r="AC121" i="45"/>
  <c r="AB121" i="45"/>
  <c r="AA121" i="45"/>
  <c r="Z121" i="45"/>
  <c r="P121" i="45"/>
  <c r="R121" i="45"/>
  <c r="J121" i="45"/>
  <c r="L121" i="45"/>
  <c r="M121" i="45"/>
  <c r="Q121" i="45"/>
  <c r="S121" i="45"/>
  <c r="K121" i="45"/>
  <c r="N121" i="45"/>
  <c r="O121" i="45"/>
  <c r="G121" i="45"/>
  <c r="C121" i="45"/>
  <c r="B121" i="45"/>
  <c r="AE120" i="45"/>
  <c r="AD120" i="45"/>
  <c r="AC120" i="45"/>
  <c r="AB120" i="45"/>
  <c r="AA120" i="45"/>
  <c r="Z120" i="45"/>
  <c r="P120" i="45"/>
  <c r="R120" i="45"/>
  <c r="J120" i="45"/>
  <c r="L120" i="45"/>
  <c r="M120" i="45"/>
  <c r="Q120" i="45"/>
  <c r="S120" i="45"/>
  <c r="K120" i="45"/>
  <c r="N120" i="45"/>
  <c r="O120" i="45"/>
  <c r="G120" i="45"/>
  <c r="C120" i="45"/>
  <c r="B120" i="45"/>
  <c r="AE119" i="45"/>
  <c r="AD119" i="45"/>
  <c r="AC119" i="45"/>
  <c r="AB119" i="45"/>
  <c r="AA119" i="45"/>
  <c r="Z119" i="45"/>
  <c r="P119" i="45"/>
  <c r="R119" i="45"/>
  <c r="J119" i="45"/>
  <c r="L119" i="45"/>
  <c r="M119" i="45"/>
  <c r="Q119" i="45"/>
  <c r="S119" i="45"/>
  <c r="K119" i="45"/>
  <c r="N119" i="45"/>
  <c r="O119" i="45"/>
  <c r="G119" i="45"/>
  <c r="C119" i="45"/>
  <c r="B119" i="45"/>
  <c r="AE118" i="45"/>
  <c r="AD118" i="45"/>
  <c r="AC118" i="45"/>
  <c r="AB118" i="45"/>
  <c r="AA118" i="45"/>
  <c r="Z118" i="45"/>
  <c r="P118" i="45"/>
  <c r="R118" i="45"/>
  <c r="J118" i="45"/>
  <c r="L118" i="45"/>
  <c r="M118" i="45"/>
  <c r="Q118" i="45"/>
  <c r="S118" i="45"/>
  <c r="K118" i="45"/>
  <c r="N118" i="45"/>
  <c r="O118" i="45"/>
  <c r="G118" i="45"/>
  <c r="C118" i="45"/>
  <c r="B118" i="45"/>
  <c r="AE117" i="45"/>
  <c r="AD117" i="45"/>
  <c r="AC117" i="45"/>
  <c r="AB117" i="45"/>
  <c r="AA117" i="45"/>
  <c r="Z117" i="45"/>
  <c r="P117" i="45"/>
  <c r="R117" i="45"/>
  <c r="J117" i="45"/>
  <c r="L117" i="45"/>
  <c r="M117" i="45"/>
  <c r="Q117" i="45"/>
  <c r="S117" i="45"/>
  <c r="K117" i="45"/>
  <c r="N117" i="45"/>
  <c r="O117" i="45"/>
  <c r="G117" i="45"/>
  <c r="C117" i="45"/>
  <c r="B117" i="45"/>
  <c r="AE116" i="45"/>
  <c r="AD116" i="45"/>
  <c r="AC116" i="45"/>
  <c r="AB116" i="45"/>
  <c r="AA116" i="45"/>
  <c r="Z116" i="45"/>
  <c r="P116" i="45"/>
  <c r="R116" i="45"/>
  <c r="J116" i="45"/>
  <c r="L116" i="45"/>
  <c r="M116" i="45"/>
  <c r="Q116" i="45"/>
  <c r="S116" i="45"/>
  <c r="K116" i="45"/>
  <c r="N116" i="45"/>
  <c r="O116" i="45"/>
  <c r="G116" i="45"/>
  <c r="C116" i="45"/>
  <c r="B116" i="45"/>
  <c r="AE115" i="45"/>
  <c r="AD115" i="45"/>
  <c r="AC115" i="45"/>
  <c r="AB115" i="45"/>
  <c r="AA115" i="45"/>
  <c r="Z115" i="45"/>
  <c r="P115" i="45"/>
  <c r="R115" i="45"/>
  <c r="J115" i="45"/>
  <c r="L115" i="45"/>
  <c r="M115" i="45"/>
  <c r="Q115" i="45"/>
  <c r="S115" i="45"/>
  <c r="K115" i="45"/>
  <c r="N115" i="45"/>
  <c r="O115" i="45"/>
  <c r="G115" i="45"/>
  <c r="C115" i="45"/>
  <c r="B115" i="45"/>
  <c r="AE114" i="45"/>
  <c r="AD114" i="45"/>
  <c r="AC114" i="45"/>
  <c r="AB114" i="45"/>
  <c r="AA114" i="45"/>
  <c r="Z114" i="45"/>
  <c r="P114" i="45"/>
  <c r="R114" i="45"/>
  <c r="J114" i="45"/>
  <c r="L114" i="45"/>
  <c r="M114" i="45"/>
  <c r="Q114" i="45"/>
  <c r="S114" i="45"/>
  <c r="K114" i="45"/>
  <c r="N114" i="45"/>
  <c r="O114" i="45"/>
  <c r="G114" i="45"/>
  <c r="C114" i="45"/>
  <c r="B114" i="45"/>
  <c r="AE113" i="45"/>
  <c r="AD113" i="45"/>
  <c r="AC113" i="45"/>
  <c r="AB113" i="45"/>
  <c r="AA113" i="45"/>
  <c r="Z113" i="45"/>
  <c r="P113" i="45"/>
  <c r="R113" i="45"/>
  <c r="J113" i="45"/>
  <c r="L113" i="45"/>
  <c r="M113" i="45"/>
  <c r="Q113" i="45"/>
  <c r="S113" i="45"/>
  <c r="K113" i="45"/>
  <c r="N113" i="45"/>
  <c r="O113" i="45"/>
  <c r="G113" i="45"/>
  <c r="C113" i="45"/>
  <c r="B113" i="45"/>
  <c r="AE112" i="45"/>
  <c r="AD112" i="45"/>
  <c r="AC112" i="45"/>
  <c r="AB112" i="45"/>
  <c r="AA112" i="45"/>
  <c r="Z112" i="45"/>
  <c r="P112" i="45"/>
  <c r="R112" i="45"/>
  <c r="J112" i="45"/>
  <c r="L112" i="45"/>
  <c r="M112" i="45"/>
  <c r="Q112" i="45"/>
  <c r="S112" i="45"/>
  <c r="K112" i="45"/>
  <c r="N112" i="45"/>
  <c r="O112" i="45"/>
  <c r="G112" i="45"/>
  <c r="C112" i="45"/>
  <c r="B112" i="45"/>
  <c r="AE111" i="45"/>
  <c r="AD111" i="45"/>
  <c r="AC111" i="45"/>
  <c r="AB111" i="45"/>
  <c r="AA111" i="45"/>
  <c r="Z111" i="45"/>
  <c r="P111" i="45"/>
  <c r="R111" i="45"/>
  <c r="J111" i="45"/>
  <c r="L111" i="45"/>
  <c r="M111" i="45"/>
  <c r="Q111" i="45"/>
  <c r="S111" i="45"/>
  <c r="K111" i="45"/>
  <c r="N111" i="45"/>
  <c r="O111" i="45"/>
  <c r="G111" i="45"/>
  <c r="C111" i="45"/>
  <c r="B111" i="45"/>
  <c r="AE110" i="45"/>
  <c r="AD110" i="45"/>
  <c r="AC110" i="45"/>
  <c r="AB110" i="45"/>
  <c r="AA110" i="45"/>
  <c r="Z110" i="45"/>
  <c r="P110" i="45"/>
  <c r="R110" i="45"/>
  <c r="J110" i="45"/>
  <c r="L110" i="45"/>
  <c r="M110" i="45"/>
  <c r="Q110" i="45"/>
  <c r="S110" i="45"/>
  <c r="K110" i="45"/>
  <c r="N110" i="45"/>
  <c r="O110" i="45"/>
  <c r="G110" i="45"/>
  <c r="C110" i="45"/>
  <c r="B110" i="45"/>
  <c r="AE109" i="45"/>
  <c r="AD109" i="45"/>
  <c r="AC109" i="45"/>
  <c r="AB109" i="45"/>
  <c r="AA109" i="45"/>
  <c r="Z109" i="45"/>
  <c r="P109" i="45"/>
  <c r="R109" i="45"/>
  <c r="J109" i="45"/>
  <c r="L109" i="45"/>
  <c r="M109" i="45"/>
  <c r="Q109" i="45"/>
  <c r="S109" i="45"/>
  <c r="K109" i="45"/>
  <c r="N109" i="45"/>
  <c r="O109" i="45"/>
  <c r="G109" i="45"/>
  <c r="C109" i="45"/>
  <c r="B109" i="45"/>
  <c r="AE108" i="45"/>
  <c r="AD108" i="45"/>
  <c r="AC108" i="45"/>
  <c r="AB108" i="45"/>
  <c r="AA108" i="45"/>
  <c r="Z108" i="45"/>
  <c r="P108" i="45"/>
  <c r="R108" i="45"/>
  <c r="J108" i="45"/>
  <c r="L108" i="45"/>
  <c r="M108" i="45"/>
  <c r="Q108" i="45"/>
  <c r="S108" i="45"/>
  <c r="K108" i="45"/>
  <c r="N108" i="45"/>
  <c r="O108" i="45"/>
  <c r="G108" i="45"/>
  <c r="C108" i="45"/>
  <c r="B108" i="45"/>
  <c r="AE107" i="45"/>
  <c r="AD107" i="45"/>
  <c r="AC107" i="45"/>
  <c r="AB107" i="45"/>
  <c r="AA107" i="45"/>
  <c r="Z107" i="45"/>
  <c r="P107" i="45"/>
  <c r="R107" i="45"/>
  <c r="J107" i="45"/>
  <c r="L107" i="45"/>
  <c r="M107" i="45"/>
  <c r="Q107" i="45"/>
  <c r="S107" i="45"/>
  <c r="K107" i="45"/>
  <c r="N107" i="45"/>
  <c r="O107" i="45"/>
  <c r="G107" i="45"/>
  <c r="C107" i="45"/>
  <c r="B107" i="45"/>
  <c r="AE106" i="45"/>
  <c r="AD106" i="45"/>
  <c r="AC106" i="45"/>
  <c r="AB106" i="45"/>
  <c r="AA106" i="45"/>
  <c r="Z106" i="45"/>
  <c r="P106" i="45"/>
  <c r="R106" i="45"/>
  <c r="J106" i="45"/>
  <c r="L106" i="45"/>
  <c r="M106" i="45"/>
  <c r="Q106" i="45"/>
  <c r="S106" i="45"/>
  <c r="K106" i="45"/>
  <c r="N106" i="45"/>
  <c r="O106" i="45"/>
  <c r="G106" i="45"/>
  <c r="C106" i="45"/>
  <c r="B106" i="45"/>
  <c r="AE105" i="45"/>
  <c r="AD105" i="45"/>
  <c r="AC105" i="45"/>
  <c r="AB105" i="45"/>
  <c r="AA105" i="45"/>
  <c r="Z105" i="45"/>
  <c r="P105" i="45"/>
  <c r="R105" i="45"/>
  <c r="J105" i="45"/>
  <c r="L105" i="45"/>
  <c r="M105" i="45"/>
  <c r="Q105" i="45"/>
  <c r="S105" i="45"/>
  <c r="K105" i="45"/>
  <c r="N105" i="45"/>
  <c r="O105" i="45"/>
  <c r="G105" i="45"/>
  <c r="C105" i="45"/>
  <c r="B105" i="45"/>
  <c r="AE104" i="45"/>
  <c r="AD104" i="45"/>
  <c r="AC104" i="45"/>
  <c r="AB104" i="45"/>
  <c r="AA104" i="45"/>
  <c r="Z104" i="45"/>
  <c r="P104" i="45"/>
  <c r="R104" i="45"/>
  <c r="J104" i="45"/>
  <c r="L104" i="45"/>
  <c r="M104" i="45"/>
  <c r="Q104" i="45"/>
  <c r="S104" i="45"/>
  <c r="K104" i="45"/>
  <c r="N104" i="45"/>
  <c r="O104" i="45"/>
  <c r="G104" i="45"/>
  <c r="C104" i="45"/>
  <c r="B104" i="45"/>
  <c r="AE103" i="45"/>
  <c r="AD103" i="45"/>
  <c r="AC103" i="45"/>
  <c r="AB103" i="45"/>
  <c r="AA103" i="45"/>
  <c r="Z103" i="45"/>
  <c r="P103" i="45"/>
  <c r="R103" i="45"/>
  <c r="J103" i="45"/>
  <c r="L103" i="45"/>
  <c r="M103" i="45"/>
  <c r="Q103" i="45"/>
  <c r="S103" i="45"/>
  <c r="K103" i="45"/>
  <c r="N103" i="45"/>
  <c r="O103" i="45"/>
  <c r="G103" i="45"/>
  <c r="C103" i="45"/>
  <c r="B103" i="45"/>
  <c r="AE102" i="45"/>
  <c r="AD102" i="45"/>
  <c r="AC102" i="45"/>
  <c r="AB102" i="45"/>
  <c r="AA102" i="45"/>
  <c r="Z102" i="45"/>
  <c r="P102" i="45"/>
  <c r="R102" i="45"/>
  <c r="J102" i="45"/>
  <c r="L102" i="45"/>
  <c r="M102" i="45"/>
  <c r="Q102" i="45"/>
  <c r="S102" i="45"/>
  <c r="K102" i="45"/>
  <c r="N102" i="45"/>
  <c r="O102" i="45"/>
  <c r="G102" i="45"/>
  <c r="C102" i="45"/>
  <c r="B102" i="45"/>
  <c r="AE101" i="45"/>
  <c r="AD101" i="45"/>
  <c r="AC101" i="45"/>
  <c r="AB101" i="45"/>
  <c r="AA101" i="45"/>
  <c r="Z101" i="45"/>
  <c r="P101" i="45"/>
  <c r="R101" i="45"/>
  <c r="J101" i="45"/>
  <c r="L101" i="45"/>
  <c r="M101" i="45"/>
  <c r="Q101" i="45"/>
  <c r="S101" i="45"/>
  <c r="K101" i="45"/>
  <c r="N101" i="45"/>
  <c r="O101" i="45"/>
  <c r="G101" i="45"/>
  <c r="C101" i="45"/>
  <c r="B101" i="45"/>
  <c r="AE100" i="45"/>
  <c r="AD100" i="45"/>
  <c r="AC100" i="45"/>
  <c r="AB100" i="45"/>
  <c r="AA100" i="45"/>
  <c r="Z100" i="45"/>
  <c r="P100" i="45"/>
  <c r="R100" i="45"/>
  <c r="J100" i="45"/>
  <c r="L100" i="45"/>
  <c r="M100" i="45"/>
  <c r="Q100" i="45"/>
  <c r="S100" i="45"/>
  <c r="K100" i="45"/>
  <c r="N100" i="45"/>
  <c r="O100" i="45"/>
  <c r="G100" i="45"/>
  <c r="C100" i="45"/>
  <c r="B100" i="45"/>
  <c r="AE99" i="45"/>
  <c r="AD99" i="45"/>
  <c r="AC99" i="45"/>
  <c r="AB99" i="45"/>
  <c r="AA99" i="45"/>
  <c r="Z99" i="45"/>
  <c r="P99" i="45"/>
  <c r="R99" i="45"/>
  <c r="J99" i="45"/>
  <c r="L99" i="45"/>
  <c r="M99" i="45"/>
  <c r="Q99" i="45"/>
  <c r="S99" i="45"/>
  <c r="K99" i="45"/>
  <c r="N99" i="45"/>
  <c r="O99" i="45"/>
  <c r="G99" i="45"/>
  <c r="C99" i="45"/>
  <c r="B99" i="45"/>
  <c r="AE98" i="45"/>
  <c r="AD98" i="45"/>
  <c r="AC98" i="45"/>
  <c r="AB98" i="45"/>
  <c r="AA98" i="45"/>
  <c r="Z98" i="45"/>
  <c r="P98" i="45"/>
  <c r="R98" i="45"/>
  <c r="J98" i="45"/>
  <c r="L98" i="45"/>
  <c r="M98" i="45"/>
  <c r="Q98" i="45"/>
  <c r="S98" i="45"/>
  <c r="K98" i="45"/>
  <c r="N98" i="45"/>
  <c r="O98" i="45"/>
  <c r="G98" i="45"/>
  <c r="C98" i="45"/>
  <c r="B98" i="45"/>
  <c r="AE97" i="45"/>
  <c r="AD97" i="45"/>
  <c r="AC97" i="45"/>
  <c r="AB97" i="45"/>
  <c r="AA97" i="45"/>
  <c r="Z97" i="45"/>
  <c r="P97" i="45"/>
  <c r="R97" i="45"/>
  <c r="J97" i="45"/>
  <c r="L97" i="45"/>
  <c r="M97" i="45"/>
  <c r="Q97" i="45"/>
  <c r="S97" i="45"/>
  <c r="K97" i="45"/>
  <c r="N97" i="45"/>
  <c r="O97" i="45"/>
  <c r="G97" i="45"/>
  <c r="C97" i="45"/>
  <c r="B97" i="45"/>
  <c r="AE96" i="45"/>
  <c r="AD96" i="45"/>
  <c r="AC96" i="45"/>
  <c r="AB96" i="45"/>
  <c r="AA96" i="45"/>
  <c r="Z96" i="45"/>
  <c r="P96" i="45"/>
  <c r="R96" i="45"/>
  <c r="J96" i="45"/>
  <c r="L96" i="45"/>
  <c r="M96" i="45"/>
  <c r="Q96" i="45"/>
  <c r="S96" i="45"/>
  <c r="K96" i="45"/>
  <c r="N96" i="45"/>
  <c r="O96" i="45"/>
  <c r="G96" i="45"/>
  <c r="C96" i="45"/>
  <c r="B96" i="45"/>
  <c r="AE95" i="45"/>
  <c r="AD95" i="45"/>
  <c r="AC95" i="45"/>
  <c r="AB95" i="45"/>
  <c r="AA95" i="45"/>
  <c r="Z95" i="45"/>
  <c r="P95" i="45"/>
  <c r="R95" i="45"/>
  <c r="J95" i="45"/>
  <c r="L95" i="45"/>
  <c r="M95" i="45"/>
  <c r="Q95" i="45"/>
  <c r="S95" i="45"/>
  <c r="K95" i="45"/>
  <c r="N95" i="45"/>
  <c r="O95" i="45"/>
  <c r="G95" i="45"/>
  <c r="C95" i="45"/>
  <c r="B95" i="45"/>
  <c r="AE94" i="45"/>
  <c r="AD94" i="45"/>
  <c r="AC94" i="45"/>
  <c r="AB94" i="45"/>
  <c r="AA94" i="45"/>
  <c r="Z94" i="45"/>
  <c r="P94" i="45"/>
  <c r="R94" i="45"/>
  <c r="J94" i="45"/>
  <c r="L94" i="45"/>
  <c r="M94" i="45"/>
  <c r="Q94" i="45"/>
  <c r="S94" i="45"/>
  <c r="K94" i="45"/>
  <c r="N94" i="45"/>
  <c r="O94" i="45"/>
  <c r="G94" i="45"/>
  <c r="C94" i="45"/>
  <c r="B94" i="45"/>
  <c r="AE93" i="45"/>
  <c r="AD93" i="45"/>
  <c r="AC93" i="45"/>
  <c r="AB93" i="45"/>
  <c r="AA93" i="45"/>
  <c r="Z93" i="45"/>
  <c r="P93" i="45"/>
  <c r="R93" i="45"/>
  <c r="J93" i="45"/>
  <c r="L93" i="45"/>
  <c r="M93" i="45"/>
  <c r="Q93" i="45"/>
  <c r="S93" i="45"/>
  <c r="K93" i="45"/>
  <c r="N93" i="45"/>
  <c r="O93" i="45"/>
  <c r="G93" i="45"/>
  <c r="C93" i="45"/>
  <c r="B93" i="45"/>
  <c r="AE92" i="45"/>
  <c r="AD92" i="45"/>
  <c r="AC92" i="45"/>
  <c r="AB92" i="45"/>
  <c r="AA92" i="45"/>
  <c r="Z92" i="45"/>
  <c r="P92" i="45"/>
  <c r="R92" i="45"/>
  <c r="J92" i="45"/>
  <c r="L92" i="45"/>
  <c r="M92" i="45"/>
  <c r="Q92" i="45"/>
  <c r="S92" i="45"/>
  <c r="K92" i="45"/>
  <c r="N92" i="45"/>
  <c r="O92" i="45"/>
  <c r="G92" i="45"/>
  <c r="C92" i="45"/>
  <c r="B92" i="45"/>
  <c r="AE91" i="45"/>
  <c r="AD91" i="45"/>
  <c r="AC91" i="45"/>
  <c r="AB91" i="45"/>
  <c r="AA91" i="45"/>
  <c r="Z91" i="45"/>
  <c r="P91" i="45"/>
  <c r="R91" i="45"/>
  <c r="J91" i="45"/>
  <c r="L91" i="45"/>
  <c r="M91" i="45"/>
  <c r="Q91" i="45"/>
  <c r="S91" i="45"/>
  <c r="K91" i="45"/>
  <c r="N91" i="45"/>
  <c r="O91" i="45"/>
  <c r="G91" i="45"/>
  <c r="C91" i="45"/>
  <c r="B91" i="45"/>
  <c r="AE90" i="45"/>
  <c r="AD90" i="45"/>
  <c r="AC90" i="45"/>
  <c r="AB90" i="45"/>
  <c r="AA90" i="45"/>
  <c r="Z90" i="45"/>
  <c r="P90" i="45"/>
  <c r="R90" i="45"/>
  <c r="J90" i="45"/>
  <c r="L90" i="45"/>
  <c r="M90" i="45"/>
  <c r="Q90" i="45"/>
  <c r="S90" i="45"/>
  <c r="K90" i="45"/>
  <c r="N90" i="45"/>
  <c r="O90" i="45"/>
  <c r="G90" i="45"/>
  <c r="C90" i="45"/>
  <c r="B90" i="45"/>
  <c r="AE89" i="45"/>
  <c r="AD89" i="45"/>
  <c r="AC89" i="45"/>
  <c r="AB89" i="45"/>
  <c r="AA89" i="45"/>
  <c r="Z89" i="45"/>
  <c r="P89" i="45"/>
  <c r="R89" i="45"/>
  <c r="J89" i="45"/>
  <c r="L89" i="45"/>
  <c r="M89" i="45"/>
  <c r="Q89" i="45"/>
  <c r="S89" i="45"/>
  <c r="K89" i="45"/>
  <c r="N89" i="45"/>
  <c r="O89" i="45"/>
  <c r="G89" i="45"/>
  <c r="C89" i="45"/>
  <c r="B89" i="45"/>
  <c r="AE88" i="45"/>
  <c r="AD88" i="45"/>
  <c r="AC88" i="45"/>
  <c r="AB88" i="45"/>
  <c r="AA88" i="45"/>
  <c r="Z88" i="45"/>
  <c r="P88" i="45"/>
  <c r="R88" i="45"/>
  <c r="J88" i="45"/>
  <c r="L88" i="45"/>
  <c r="M88" i="45"/>
  <c r="Q88" i="45"/>
  <c r="S88" i="45"/>
  <c r="K88" i="45"/>
  <c r="N88" i="45"/>
  <c r="O88" i="45"/>
  <c r="G88" i="45"/>
  <c r="C88" i="45"/>
  <c r="B88" i="45"/>
  <c r="AE87" i="45"/>
  <c r="AD87" i="45"/>
  <c r="AC87" i="45"/>
  <c r="AB87" i="45"/>
  <c r="AA87" i="45"/>
  <c r="Z87" i="45"/>
  <c r="P87" i="45"/>
  <c r="R87" i="45"/>
  <c r="J87" i="45"/>
  <c r="L87" i="45"/>
  <c r="M87" i="45"/>
  <c r="Q87" i="45"/>
  <c r="S87" i="45"/>
  <c r="K87" i="45"/>
  <c r="N87" i="45"/>
  <c r="O87" i="45"/>
  <c r="G87" i="45"/>
  <c r="C87" i="45"/>
  <c r="B87" i="45"/>
  <c r="AE86" i="45"/>
  <c r="AD86" i="45"/>
  <c r="AC86" i="45"/>
  <c r="AB86" i="45"/>
  <c r="AA86" i="45"/>
  <c r="Z86" i="45"/>
  <c r="P86" i="45"/>
  <c r="R86" i="45"/>
  <c r="J86" i="45"/>
  <c r="L86" i="45"/>
  <c r="M86" i="45"/>
  <c r="Q86" i="45"/>
  <c r="S86" i="45"/>
  <c r="K86" i="45"/>
  <c r="N86" i="45"/>
  <c r="O86" i="45"/>
  <c r="G86" i="45"/>
  <c r="C86" i="45"/>
  <c r="B86" i="45"/>
  <c r="AE85" i="45"/>
  <c r="AD85" i="45"/>
  <c r="AC85" i="45"/>
  <c r="AB85" i="45"/>
  <c r="AA85" i="45"/>
  <c r="Z85" i="45"/>
  <c r="P85" i="45"/>
  <c r="R85" i="45"/>
  <c r="J85" i="45"/>
  <c r="L85" i="45"/>
  <c r="M85" i="45"/>
  <c r="Q85" i="45"/>
  <c r="S85" i="45"/>
  <c r="K85" i="45"/>
  <c r="N85" i="45"/>
  <c r="O85" i="45"/>
  <c r="G85" i="45"/>
  <c r="C85" i="45"/>
  <c r="B85" i="45"/>
  <c r="AE84" i="45"/>
  <c r="AD84" i="45"/>
  <c r="AC84" i="45"/>
  <c r="AB84" i="45"/>
  <c r="AA84" i="45"/>
  <c r="Z84" i="45"/>
  <c r="P84" i="45"/>
  <c r="R84" i="45"/>
  <c r="J84" i="45"/>
  <c r="L84" i="45"/>
  <c r="M84" i="45"/>
  <c r="Q84" i="45"/>
  <c r="S84" i="45"/>
  <c r="K84" i="45"/>
  <c r="N84" i="45"/>
  <c r="O84" i="45"/>
  <c r="G84" i="45"/>
  <c r="C84" i="45"/>
  <c r="B84" i="45"/>
  <c r="AE83" i="45"/>
  <c r="AD83" i="45"/>
  <c r="AC83" i="45"/>
  <c r="AB83" i="45"/>
  <c r="AA83" i="45"/>
  <c r="Z83" i="45"/>
  <c r="P83" i="45"/>
  <c r="R83" i="45"/>
  <c r="J83" i="45"/>
  <c r="L83" i="45"/>
  <c r="M83" i="45"/>
  <c r="Q83" i="45"/>
  <c r="S83" i="45"/>
  <c r="K83" i="45"/>
  <c r="N83" i="45"/>
  <c r="O83" i="45"/>
  <c r="G83" i="45"/>
  <c r="C83" i="45"/>
  <c r="B83" i="45"/>
  <c r="AE82" i="45"/>
  <c r="AD82" i="45"/>
  <c r="AC82" i="45"/>
  <c r="AB82" i="45"/>
  <c r="AA82" i="45"/>
  <c r="Z82" i="45"/>
  <c r="P82" i="45"/>
  <c r="R82" i="45"/>
  <c r="J82" i="45"/>
  <c r="L82" i="45"/>
  <c r="M82" i="45"/>
  <c r="Q82" i="45"/>
  <c r="S82" i="45"/>
  <c r="K82" i="45"/>
  <c r="N82" i="45"/>
  <c r="O82" i="45"/>
  <c r="G82" i="45"/>
  <c r="C82" i="45"/>
  <c r="B82" i="45"/>
  <c r="AE81" i="45"/>
  <c r="AD81" i="45"/>
  <c r="AC81" i="45"/>
  <c r="AB81" i="45"/>
  <c r="AA81" i="45"/>
  <c r="Z81" i="45"/>
  <c r="P81" i="45"/>
  <c r="R81" i="45"/>
  <c r="J81" i="45"/>
  <c r="L81" i="45"/>
  <c r="M81" i="45"/>
  <c r="Q81" i="45"/>
  <c r="S81" i="45"/>
  <c r="K81" i="45"/>
  <c r="N81" i="45"/>
  <c r="O81" i="45"/>
  <c r="G81" i="45"/>
  <c r="C81" i="45"/>
  <c r="B81" i="45"/>
  <c r="AE80" i="45"/>
  <c r="AD80" i="45"/>
  <c r="AC80" i="45"/>
  <c r="AB80" i="45"/>
  <c r="AA80" i="45"/>
  <c r="Z80" i="45"/>
  <c r="P80" i="45"/>
  <c r="R80" i="45"/>
  <c r="J80" i="45"/>
  <c r="L80" i="45"/>
  <c r="M80" i="45"/>
  <c r="Q80" i="45"/>
  <c r="S80" i="45"/>
  <c r="K80" i="45"/>
  <c r="N80" i="45"/>
  <c r="O80" i="45"/>
  <c r="G80" i="45"/>
  <c r="C80" i="45"/>
  <c r="B80" i="45"/>
  <c r="AE79" i="45"/>
  <c r="AD79" i="45"/>
  <c r="AC79" i="45"/>
  <c r="AB79" i="45"/>
  <c r="AA79" i="45"/>
  <c r="Z79" i="45"/>
  <c r="P79" i="45"/>
  <c r="R79" i="45"/>
  <c r="J79" i="45"/>
  <c r="L79" i="45"/>
  <c r="M79" i="45"/>
  <c r="Q79" i="45"/>
  <c r="S79" i="45"/>
  <c r="K79" i="45"/>
  <c r="N79" i="45"/>
  <c r="O79" i="45"/>
  <c r="G79" i="45"/>
  <c r="C79" i="45"/>
  <c r="B79" i="45"/>
  <c r="AE78" i="45"/>
  <c r="AD78" i="45"/>
  <c r="AC78" i="45"/>
  <c r="AB78" i="45"/>
  <c r="AA78" i="45"/>
  <c r="Z78" i="45"/>
  <c r="P78" i="45"/>
  <c r="R78" i="45"/>
  <c r="J78" i="45"/>
  <c r="L78" i="45"/>
  <c r="M78" i="45"/>
  <c r="Q78" i="45"/>
  <c r="S78" i="45"/>
  <c r="K78" i="45"/>
  <c r="N78" i="45"/>
  <c r="O78" i="45"/>
  <c r="G78" i="45"/>
  <c r="C78" i="45"/>
  <c r="B78" i="45"/>
  <c r="AE77" i="45"/>
  <c r="AD77" i="45"/>
  <c r="AC77" i="45"/>
  <c r="AB77" i="45"/>
  <c r="AA77" i="45"/>
  <c r="Z77" i="45"/>
  <c r="P77" i="45"/>
  <c r="R77" i="45"/>
  <c r="J77" i="45"/>
  <c r="L77" i="45"/>
  <c r="M77" i="45"/>
  <c r="Q77" i="45"/>
  <c r="S77" i="45"/>
  <c r="K77" i="45"/>
  <c r="N77" i="45"/>
  <c r="O77" i="45"/>
  <c r="G77" i="45"/>
  <c r="C77" i="45"/>
  <c r="B77" i="45"/>
  <c r="AE76" i="45"/>
  <c r="AD76" i="45"/>
  <c r="AC76" i="45"/>
  <c r="AB76" i="45"/>
  <c r="AA76" i="45"/>
  <c r="Z76" i="45"/>
  <c r="P76" i="45"/>
  <c r="R76" i="45"/>
  <c r="J76" i="45"/>
  <c r="L76" i="45"/>
  <c r="M76" i="45"/>
  <c r="X76" i="45"/>
  <c r="Q76" i="45"/>
  <c r="S76" i="45"/>
  <c r="K76" i="45"/>
  <c r="N76" i="45"/>
  <c r="O76" i="45"/>
  <c r="G76" i="45"/>
  <c r="W76" i="45"/>
  <c r="Y76" i="45"/>
  <c r="C76" i="45"/>
  <c r="B76" i="45"/>
  <c r="AD515" i="44"/>
  <c r="AC515" i="44"/>
  <c r="AB515" i="44"/>
  <c r="AA515" i="44"/>
  <c r="Z515" i="44"/>
  <c r="Y515" i="44"/>
  <c r="AD514" i="44"/>
  <c r="AC514" i="44"/>
  <c r="AB514" i="44"/>
  <c r="AA514" i="44"/>
  <c r="Z514" i="44"/>
  <c r="Y514" i="44"/>
  <c r="AD513" i="44"/>
  <c r="AC513" i="44"/>
  <c r="AB513" i="44"/>
  <c r="AA513" i="44"/>
  <c r="Z513" i="44"/>
  <c r="Y513" i="44"/>
  <c r="AD512" i="44"/>
  <c r="AC512" i="44"/>
  <c r="AB512" i="44"/>
  <c r="AA512" i="44"/>
  <c r="Z512" i="44"/>
  <c r="Y512" i="44"/>
  <c r="AD511" i="44"/>
  <c r="AC511" i="44"/>
  <c r="AB511" i="44"/>
  <c r="AA511" i="44"/>
  <c r="Z511" i="44"/>
  <c r="Y511" i="44"/>
  <c r="AD510" i="44"/>
  <c r="AC510" i="44"/>
  <c r="AB510" i="44"/>
  <c r="AA510" i="44"/>
  <c r="Z510" i="44"/>
  <c r="Y510" i="44"/>
  <c r="AD509" i="44"/>
  <c r="AC509" i="44"/>
  <c r="AB509" i="44"/>
  <c r="AA509" i="44"/>
  <c r="Z509" i="44"/>
  <c r="Y509" i="44"/>
  <c r="AD508" i="44"/>
  <c r="AC508" i="44"/>
  <c r="AB508" i="44"/>
  <c r="AA508" i="44"/>
  <c r="Z508" i="44"/>
  <c r="Y508" i="44"/>
  <c r="AD507" i="44"/>
  <c r="AC507" i="44"/>
  <c r="AB507" i="44"/>
  <c r="AA507" i="44"/>
  <c r="Z507" i="44"/>
  <c r="Y507" i="44"/>
  <c r="AD506" i="44"/>
  <c r="AC506" i="44"/>
  <c r="AB506" i="44"/>
  <c r="AA506" i="44"/>
  <c r="Z506" i="44"/>
  <c r="Y506" i="44"/>
  <c r="AD505" i="44"/>
  <c r="AC505" i="44"/>
  <c r="AB505" i="44"/>
  <c r="AA505" i="44"/>
  <c r="Z505" i="44"/>
  <c r="Y505" i="44"/>
  <c r="AD504" i="44"/>
  <c r="AC504" i="44"/>
  <c r="AB504" i="44"/>
  <c r="AA504" i="44"/>
  <c r="Z504" i="44"/>
  <c r="Y504" i="44"/>
  <c r="AD503" i="44"/>
  <c r="AC503" i="44"/>
  <c r="AB503" i="44"/>
  <c r="AA503" i="44"/>
  <c r="Z503" i="44"/>
  <c r="Y503" i="44"/>
  <c r="AD502" i="44"/>
  <c r="AC502" i="44"/>
  <c r="AB502" i="44"/>
  <c r="AA502" i="44"/>
  <c r="Z502" i="44"/>
  <c r="Y502" i="44"/>
  <c r="AD501" i="44"/>
  <c r="AC501" i="44"/>
  <c r="AB501" i="44"/>
  <c r="AA501" i="44"/>
  <c r="Z501" i="44"/>
  <c r="Y501" i="44"/>
  <c r="AD500" i="44"/>
  <c r="AC500" i="44"/>
  <c r="AB500" i="44"/>
  <c r="AA500" i="44"/>
  <c r="Z500" i="44"/>
  <c r="Y500" i="44"/>
  <c r="AD499" i="44"/>
  <c r="AC499" i="44"/>
  <c r="AB499" i="44"/>
  <c r="AA499" i="44"/>
  <c r="Z499" i="44"/>
  <c r="Y499" i="44"/>
  <c r="AD498" i="44"/>
  <c r="AC498" i="44"/>
  <c r="AB498" i="44"/>
  <c r="AA498" i="44"/>
  <c r="Z498" i="44"/>
  <c r="Y498" i="44"/>
  <c r="AD497" i="44"/>
  <c r="AC497" i="44"/>
  <c r="AB497" i="44"/>
  <c r="AA497" i="44"/>
  <c r="Z497" i="44"/>
  <c r="Y497" i="44"/>
  <c r="AD496" i="44"/>
  <c r="AC496" i="44"/>
  <c r="AB496" i="44"/>
  <c r="AA496" i="44"/>
  <c r="Z496" i="44"/>
  <c r="Y496" i="44"/>
  <c r="AD495" i="44"/>
  <c r="AC495" i="44"/>
  <c r="AB495" i="44"/>
  <c r="AA495" i="44"/>
  <c r="Z495" i="44"/>
  <c r="Y495" i="44"/>
  <c r="AD494" i="44"/>
  <c r="AC494" i="44"/>
  <c r="AB494" i="44"/>
  <c r="AA494" i="44"/>
  <c r="Z494" i="44"/>
  <c r="Y494" i="44"/>
  <c r="AD493" i="44"/>
  <c r="AC493" i="44"/>
  <c r="AB493" i="44"/>
  <c r="AA493" i="44"/>
  <c r="Z493" i="44"/>
  <c r="Y493" i="44"/>
  <c r="AD492" i="44"/>
  <c r="AC492" i="44"/>
  <c r="AB492" i="44"/>
  <c r="AA492" i="44"/>
  <c r="Z492" i="44"/>
  <c r="Y492" i="44"/>
  <c r="AD491" i="44"/>
  <c r="AC491" i="44"/>
  <c r="AB491" i="44"/>
  <c r="AA491" i="44"/>
  <c r="Z491" i="44"/>
  <c r="Y491" i="44"/>
  <c r="AD490" i="44"/>
  <c r="AC490" i="44"/>
  <c r="AB490" i="44"/>
  <c r="AA490" i="44"/>
  <c r="Z490" i="44"/>
  <c r="Y490" i="44"/>
  <c r="AD489" i="44"/>
  <c r="AC489" i="44"/>
  <c r="AB489" i="44"/>
  <c r="AA489" i="44"/>
  <c r="Z489" i="44"/>
  <c r="Y489" i="44"/>
  <c r="AD488" i="44"/>
  <c r="AC488" i="44"/>
  <c r="AB488" i="44"/>
  <c r="AA488" i="44"/>
  <c r="Z488" i="44"/>
  <c r="Y488" i="44"/>
  <c r="AD487" i="44"/>
  <c r="AC487" i="44"/>
  <c r="AB487" i="44"/>
  <c r="AA487" i="44"/>
  <c r="Z487" i="44"/>
  <c r="Y487" i="44"/>
  <c r="AD486" i="44"/>
  <c r="AC486" i="44"/>
  <c r="AB486" i="44"/>
  <c r="AA486" i="44"/>
  <c r="Z486" i="44"/>
  <c r="Y486" i="44"/>
  <c r="AD485" i="44"/>
  <c r="AC485" i="44"/>
  <c r="AB485" i="44"/>
  <c r="AA485" i="44"/>
  <c r="Z485" i="44"/>
  <c r="Y485" i="44"/>
  <c r="AD484" i="44"/>
  <c r="AC484" i="44"/>
  <c r="AB484" i="44"/>
  <c r="AA484" i="44"/>
  <c r="Z484" i="44"/>
  <c r="Y484" i="44"/>
  <c r="AD483" i="44"/>
  <c r="AC483" i="44"/>
  <c r="AB483" i="44"/>
  <c r="AA483" i="44"/>
  <c r="Z483" i="44"/>
  <c r="Y483" i="44"/>
  <c r="AD482" i="44"/>
  <c r="AC482" i="44"/>
  <c r="AB482" i="44"/>
  <c r="AA482" i="44"/>
  <c r="Z482" i="44"/>
  <c r="Y482" i="44"/>
  <c r="AD481" i="44"/>
  <c r="AC481" i="44"/>
  <c r="AB481" i="44"/>
  <c r="AA481" i="44"/>
  <c r="Z481" i="44"/>
  <c r="Y481" i="44"/>
  <c r="AD480" i="44"/>
  <c r="AC480" i="44"/>
  <c r="AB480" i="44"/>
  <c r="AA480" i="44"/>
  <c r="Z480" i="44"/>
  <c r="Y480" i="44"/>
  <c r="AD479" i="44"/>
  <c r="AC479" i="44"/>
  <c r="AB479" i="44"/>
  <c r="AA479" i="44"/>
  <c r="Z479" i="44"/>
  <c r="Y479" i="44"/>
  <c r="AD478" i="44"/>
  <c r="AC478" i="44"/>
  <c r="AB478" i="44"/>
  <c r="AA478" i="44"/>
  <c r="Z478" i="44"/>
  <c r="Y478" i="44"/>
  <c r="AD477" i="44"/>
  <c r="AC477" i="44"/>
  <c r="AB477" i="44"/>
  <c r="AA477" i="44"/>
  <c r="Z477" i="44"/>
  <c r="Y477" i="44"/>
  <c r="AD476" i="44"/>
  <c r="AC476" i="44"/>
  <c r="AB476" i="44"/>
  <c r="AA476" i="44"/>
  <c r="Z476" i="44"/>
  <c r="Y476" i="44"/>
  <c r="AD475" i="44"/>
  <c r="AC475" i="44"/>
  <c r="AB475" i="44"/>
  <c r="AA475" i="44"/>
  <c r="Z475" i="44"/>
  <c r="Y475" i="44"/>
  <c r="AD474" i="44"/>
  <c r="AC474" i="44"/>
  <c r="AB474" i="44"/>
  <c r="AA474" i="44"/>
  <c r="Z474" i="44"/>
  <c r="Y474" i="44"/>
  <c r="AD473" i="44"/>
  <c r="AC473" i="44"/>
  <c r="AB473" i="44"/>
  <c r="AA473" i="44"/>
  <c r="Z473" i="44"/>
  <c r="Y473" i="44"/>
  <c r="AD472" i="44"/>
  <c r="AC472" i="44"/>
  <c r="AB472" i="44"/>
  <c r="AA472" i="44"/>
  <c r="Z472" i="44"/>
  <c r="Y472" i="44"/>
  <c r="AD471" i="44"/>
  <c r="AC471" i="44"/>
  <c r="AB471" i="44"/>
  <c r="AA471" i="44"/>
  <c r="Z471" i="44"/>
  <c r="Y471" i="44"/>
  <c r="AD470" i="44"/>
  <c r="AC470" i="44"/>
  <c r="AB470" i="44"/>
  <c r="AA470" i="44"/>
  <c r="Z470" i="44"/>
  <c r="Y470" i="44"/>
  <c r="AD469" i="44"/>
  <c r="AC469" i="44"/>
  <c r="AB469" i="44"/>
  <c r="AA469" i="44"/>
  <c r="Z469" i="44"/>
  <c r="Y469" i="44"/>
  <c r="AD468" i="44"/>
  <c r="AC468" i="44"/>
  <c r="AB468" i="44"/>
  <c r="AA468" i="44"/>
  <c r="Z468" i="44"/>
  <c r="Y468" i="44"/>
  <c r="AD467" i="44"/>
  <c r="AC467" i="44"/>
  <c r="AB467" i="44"/>
  <c r="AA467" i="44"/>
  <c r="Z467" i="44"/>
  <c r="Y467" i="44"/>
  <c r="AD466" i="44"/>
  <c r="AC466" i="44"/>
  <c r="AB466" i="44"/>
  <c r="AA466" i="44"/>
  <c r="Z466" i="44"/>
  <c r="Y466" i="44"/>
  <c r="AD465" i="44"/>
  <c r="AC465" i="44"/>
  <c r="AB465" i="44"/>
  <c r="AA465" i="44"/>
  <c r="Z465" i="44"/>
  <c r="Y465" i="44"/>
  <c r="AD464" i="44"/>
  <c r="AC464" i="44"/>
  <c r="AB464" i="44"/>
  <c r="AA464" i="44"/>
  <c r="Z464" i="44"/>
  <c r="Y464" i="44"/>
  <c r="AD463" i="44"/>
  <c r="AC463" i="44"/>
  <c r="AB463" i="44"/>
  <c r="AA463" i="44"/>
  <c r="Z463" i="44"/>
  <c r="Y463" i="44"/>
  <c r="AD462" i="44"/>
  <c r="AC462" i="44"/>
  <c r="AB462" i="44"/>
  <c r="AA462" i="44"/>
  <c r="Z462" i="44"/>
  <c r="Y462" i="44"/>
  <c r="AD461" i="44"/>
  <c r="AC461" i="44"/>
  <c r="AB461" i="44"/>
  <c r="AA461" i="44"/>
  <c r="Z461" i="44"/>
  <c r="Y461" i="44"/>
  <c r="AD460" i="44"/>
  <c r="AC460" i="44"/>
  <c r="AB460" i="44"/>
  <c r="AA460" i="44"/>
  <c r="Z460" i="44"/>
  <c r="Y460" i="44"/>
  <c r="AD459" i="44"/>
  <c r="AC459" i="44"/>
  <c r="AB459" i="44"/>
  <c r="AA459" i="44"/>
  <c r="Z459" i="44"/>
  <c r="Y459" i="44"/>
  <c r="AD458" i="44"/>
  <c r="AC458" i="44"/>
  <c r="AB458" i="44"/>
  <c r="AA458" i="44"/>
  <c r="Z458" i="44"/>
  <c r="Y458" i="44"/>
  <c r="AD457" i="44"/>
  <c r="AC457" i="44"/>
  <c r="AB457" i="44"/>
  <c r="AA457" i="44"/>
  <c r="Z457" i="44"/>
  <c r="Y457" i="44"/>
  <c r="AD456" i="44"/>
  <c r="AC456" i="44"/>
  <c r="AB456" i="44"/>
  <c r="AA456" i="44"/>
  <c r="Z456" i="44"/>
  <c r="Y456" i="44"/>
  <c r="AD455" i="44"/>
  <c r="AC455" i="44"/>
  <c r="AB455" i="44"/>
  <c r="AA455" i="44"/>
  <c r="Z455" i="44"/>
  <c r="Y455" i="44"/>
  <c r="AD454" i="44"/>
  <c r="AC454" i="44"/>
  <c r="AB454" i="44"/>
  <c r="AA454" i="44"/>
  <c r="Z454" i="44"/>
  <c r="Y454" i="44"/>
  <c r="AD453" i="44"/>
  <c r="AC453" i="44"/>
  <c r="AB453" i="44"/>
  <c r="AA453" i="44"/>
  <c r="Z453" i="44"/>
  <c r="Y453" i="44"/>
  <c r="AD452" i="44"/>
  <c r="AC452" i="44"/>
  <c r="AB452" i="44"/>
  <c r="AA452" i="44"/>
  <c r="Z452" i="44"/>
  <c r="Y452" i="44"/>
  <c r="AD451" i="44"/>
  <c r="AC451" i="44"/>
  <c r="AB451" i="44"/>
  <c r="AA451" i="44"/>
  <c r="Z451" i="44"/>
  <c r="Y451" i="44"/>
  <c r="AD450" i="44"/>
  <c r="AC450" i="44"/>
  <c r="AB450" i="44"/>
  <c r="AA450" i="44"/>
  <c r="Z450" i="44"/>
  <c r="Y450" i="44"/>
  <c r="AD449" i="44"/>
  <c r="AC449" i="44"/>
  <c r="AB449" i="44"/>
  <c r="AA449" i="44"/>
  <c r="Z449" i="44"/>
  <c r="Y449" i="44"/>
  <c r="AD448" i="44"/>
  <c r="AC448" i="44"/>
  <c r="AB448" i="44"/>
  <c r="AA448" i="44"/>
  <c r="Z448" i="44"/>
  <c r="Y448" i="44"/>
  <c r="AD447" i="44"/>
  <c r="AC447" i="44"/>
  <c r="AB447" i="44"/>
  <c r="AA447" i="44"/>
  <c r="Z447" i="44"/>
  <c r="Y447" i="44"/>
  <c r="AD446" i="44"/>
  <c r="AC446" i="44"/>
  <c r="AB446" i="44"/>
  <c r="AA446" i="44"/>
  <c r="Z446" i="44"/>
  <c r="Y446" i="44"/>
  <c r="AD445" i="44"/>
  <c r="AC445" i="44"/>
  <c r="AB445" i="44"/>
  <c r="AA445" i="44"/>
  <c r="Z445" i="44"/>
  <c r="Y445" i="44"/>
  <c r="AD444" i="44"/>
  <c r="AC444" i="44"/>
  <c r="AB444" i="44"/>
  <c r="AA444" i="44"/>
  <c r="Z444" i="44"/>
  <c r="Y444" i="44"/>
  <c r="AD443" i="44"/>
  <c r="AC443" i="44"/>
  <c r="AB443" i="44"/>
  <c r="AA443" i="44"/>
  <c r="Z443" i="44"/>
  <c r="Y443" i="44"/>
  <c r="AD442" i="44"/>
  <c r="AC442" i="44"/>
  <c r="AB442" i="44"/>
  <c r="AA442" i="44"/>
  <c r="Z442" i="44"/>
  <c r="Y442" i="44"/>
  <c r="AD441" i="44"/>
  <c r="AC441" i="44"/>
  <c r="AB441" i="44"/>
  <c r="AA441" i="44"/>
  <c r="Z441" i="44"/>
  <c r="Y441" i="44"/>
  <c r="AD440" i="44"/>
  <c r="AC440" i="44"/>
  <c r="AB440" i="44"/>
  <c r="AA440" i="44"/>
  <c r="Z440" i="44"/>
  <c r="Y440" i="44"/>
  <c r="AD439" i="44"/>
  <c r="AC439" i="44"/>
  <c r="AB439" i="44"/>
  <c r="AA439" i="44"/>
  <c r="Z439" i="44"/>
  <c r="Y439" i="44"/>
  <c r="AD438" i="44"/>
  <c r="AC438" i="44"/>
  <c r="AB438" i="44"/>
  <c r="AA438" i="44"/>
  <c r="Z438" i="44"/>
  <c r="Y438" i="44"/>
  <c r="AD437" i="44"/>
  <c r="AC437" i="44"/>
  <c r="AB437" i="44"/>
  <c r="AA437" i="44"/>
  <c r="Z437" i="44"/>
  <c r="Y437" i="44"/>
  <c r="AD436" i="44"/>
  <c r="AC436" i="44"/>
  <c r="AB436" i="44"/>
  <c r="AA436" i="44"/>
  <c r="Z436" i="44"/>
  <c r="Y436" i="44"/>
  <c r="AD435" i="44"/>
  <c r="AC435" i="44"/>
  <c r="AB435" i="44"/>
  <c r="AA435" i="44"/>
  <c r="Z435" i="44"/>
  <c r="Y435" i="44"/>
  <c r="AD434" i="44"/>
  <c r="AC434" i="44"/>
  <c r="AB434" i="44"/>
  <c r="AA434" i="44"/>
  <c r="Z434" i="44"/>
  <c r="Y434" i="44"/>
  <c r="AD433" i="44"/>
  <c r="AC433" i="44"/>
  <c r="AB433" i="44"/>
  <c r="AA433" i="44"/>
  <c r="Z433" i="44"/>
  <c r="Y433" i="44"/>
  <c r="AD432" i="44"/>
  <c r="AC432" i="44"/>
  <c r="AB432" i="44"/>
  <c r="AA432" i="44"/>
  <c r="Z432" i="44"/>
  <c r="Y432" i="44"/>
  <c r="AD431" i="44"/>
  <c r="AC431" i="44"/>
  <c r="AB431" i="44"/>
  <c r="AA431" i="44"/>
  <c r="Z431" i="44"/>
  <c r="Y431" i="44"/>
  <c r="AD430" i="44"/>
  <c r="AC430" i="44"/>
  <c r="AB430" i="44"/>
  <c r="AA430" i="44"/>
  <c r="Z430" i="44"/>
  <c r="Y430" i="44"/>
  <c r="AD429" i="44"/>
  <c r="AC429" i="44"/>
  <c r="AB429" i="44"/>
  <c r="AA429" i="44"/>
  <c r="Z429" i="44"/>
  <c r="Y429" i="44"/>
  <c r="AD428" i="44"/>
  <c r="AC428" i="44"/>
  <c r="AB428" i="44"/>
  <c r="AA428" i="44"/>
  <c r="Z428" i="44"/>
  <c r="Y428" i="44"/>
  <c r="AD427" i="44"/>
  <c r="AC427" i="44"/>
  <c r="AB427" i="44"/>
  <c r="AA427" i="44"/>
  <c r="Z427" i="44"/>
  <c r="Y427" i="44"/>
  <c r="AD426" i="44"/>
  <c r="AC426" i="44"/>
  <c r="AB426" i="44"/>
  <c r="AA426" i="44"/>
  <c r="Z426" i="44"/>
  <c r="Y426" i="44"/>
  <c r="AD425" i="44"/>
  <c r="AC425" i="44"/>
  <c r="AB425" i="44"/>
  <c r="AA425" i="44"/>
  <c r="Z425" i="44"/>
  <c r="Y425" i="44"/>
  <c r="AD424" i="44"/>
  <c r="AC424" i="44"/>
  <c r="AB424" i="44"/>
  <c r="AA424" i="44"/>
  <c r="Z424" i="44"/>
  <c r="Y424" i="44"/>
  <c r="AD423" i="44"/>
  <c r="AC423" i="44"/>
  <c r="AB423" i="44"/>
  <c r="AA423" i="44"/>
  <c r="Z423" i="44"/>
  <c r="Y423" i="44"/>
  <c r="AD422" i="44"/>
  <c r="AC422" i="44"/>
  <c r="AB422" i="44"/>
  <c r="AA422" i="44"/>
  <c r="Z422" i="44"/>
  <c r="Y422" i="44"/>
  <c r="AD421" i="44"/>
  <c r="AC421" i="44"/>
  <c r="AB421" i="44"/>
  <c r="AA421" i="44"/>
  <c r="Z421" i="44"/>
  <c r="Y421" i="44"/>
  <c r="AD420" i="44"/>
  <c r="AC420" i="44"/>
  <c r="AB420" i="44"/>
  <c r="AA420" i="44"/>
  <c r="Z420" i="44"/>
  <c r="Y420" i="44"/>
  <c r="AD419" i="44"/>
  <c r="AC419" i="44"/>
  <c r="AB419" i="44"/>
  <c r="AA419" i="44"/>
  <c r="Z419" i="44"/>
  <c r="Y419" i="44"/>
  <c r="AD418" i="44"/>
  <c r="AC418" i="44"/>
  <c r="AB418" i="44"/>
  <c r="AA418" i="44"/>
  <c r="Z418" i="44"/>
  <c r="Y418" i="44"/>
  <c r="AD417" i="44"/>
  <c r="AC417" i="44"/>
  <c r="AB417" i="44"/>
  <c r="AA417" i="44"/>
  <c r="Z417" i="44"/>
  <c r="Y417" i="44"/>
  <c r="AD416" i="44"/>
  <c r="AC416" i="44"/>
  <c r="AB416" i="44"/>
  <c r="AA416" i="44"/>
  <c r="Z416" i="44"/>
  <c r="Y416" i="44"/>
  <c r="AD415" i="44"/>
  <c r="AC415" i="44"/>
  <c r="AB415" i="44"/>
  <c r="AA415" i="44"/>
  <c r="Z415" i="44"/>
  <c r="Y415" i="44"/>
  <c r="AD414" i="44"/>
  <c r="AC414" i="44"/>
  <c r="AB414" i="44"/>
  <c r="AA414" i="44"/>
  <c r="Z414" i="44"/>
  <c r="Y414" i="44"/>
  <c r="AD413" i="44"/>
  <c r="AC413" i="44"/>
  <c r="AB413" i="44"/>
  <c r="AA413" i="44"/>
  <c r="Z413" i="44"/>
  <c r="Y413" i="44"/>
  <c r="AD412" i="44"/>
  <c r="AC412" i="44"/>
  <c r="AB412" i="44"/>
  <c r="AA412" i="44"/>
  <c r="Z412" i="44"/>
  <c r="Y412" i="44"/>
  <c r="AD411" i="44"/>
  <c r="AC411" i="44"/>
  <c r="AB411" i="44"/>
  <c r="AA411" i="44"/>
  <c r="Z411" i="44"/>
  <c r="Y411" i="44"/>
  <c r="AD410" i="44"/>
  <c r="AC410" i="44"/>
  <c r="AB410" i="44"/>
  <c r="AA410" i="44"/>
  <c r="Z410" i="44"/>
  <c r="Y410" i="44"/>
  <c r="AD409" i="44"/>
  <c r="AC409" i="44"/>
  <c r="AB409" i="44"/>
  <c r="AA409" i="44"/>
  <c r="Z409" i="44"/>
  <c r="Y409" i="44"/>
  <c r="AD408" i="44"/>
  <c r="AC408" i="44"/>
  <c r="AB408" i="44"/>
  <c r="AA408" i="44"/>
  <c r="Z408" i="44"/>
  <c r="Y408" i="44"/>
  <c r="AD407" i="44"/>
  <c r="AC407" i="44"/>
  <c r="AB407" i="44"/>
  <c r="AA407" i="44"/>
  <c r="Z407" i="44"/>
  <c r="Y407" i="44"/>
  <c r="AD406" i="44"/>
  <c r="AC406" i="44"/>
  <c r="AB406" i="44"/>
  <c r="AA406" i="44"/>
  <c r="Z406" i="44"/>
  <c r="Y406" i="44"/>
  <c r="AD405" i="44"/>
  <c r="AC405" i="44"/>
  <c r="AB405" i="44"/>
  <c r="AA405" i="44"/>
  <c r="Z405" i="44"/>
  <c r="Y405" i="44"/>
  <c r="AD404" i="44"/>
  <c r="AC404" i="44"/>
  <c r="AB404" i="44"/>
  <c r="AA404" i="44"/>
  <c r="Z404" i="44"/>
  <c r="Y404" i="44"/>
  <c r="AD403" i="44"/>
  <c r="AC403" i="44"/>
  <c r="AB403" i="44"/>
  <c r="AA403" i="44"/>
  <c r="Z403" i="44"/>
  <c r="Y403" i="44"/>
  <c r="AD402" i="44"/>
  <c r="AC402" i="44"/>
  <c r="AB402" i="44"/>
  <c r="AA402" i="44"/>
  <c r="Z402" i="44"/>
  <c r="Y402" i="44"/>
  <c r="AD401" i="44"/>
  <c r="AC401" i="44"/>
  <c r="AB401" i="44"/>
  <c r="AA401" i="44"/>
  <c r="Z401" i="44"/>
  <c r="Y401" i="44"/>
  <c r="AD400" i="44"/>
  <c r="AC400" i="44"/>
  <c r="AB400" i="44"/>
  <c r="AA400" i="44"/>
  <c r="Z400" i="44"/>
  <c r="Y400" i="44"/>
  <c r="AD399" i="44"/>
  <c r="AC399" i="44"/>
  <c r="AB399" i="44"/>
  <c r="AA399" i="44"/>
  <c r="Z399" i="44"/>
  <c r="Y399" i="44"/>
  <c r="AD398" i="44"/>
  <c r="AC398" i="44"/>
  <c r="AB398" i="44"/>
  <c r="AA398" i="44"/>
  <c r="Z398" i="44"/>
  <c r="Y398" i="44"/>
  <c r="AD397" i="44"/>
  <c r="AC397" i="44"/>
  <c r="AB397" i="44"/>
  <c r="AA397" i="44"/>
  <c r="Z397" i="44"/>
  <c r="Y397" i="44"/>
  <c r="AD396" i="44"/>
  <c r="AC396" i="44"/>
  <c r="AB396" i="44"/>
  <c r="AA396" i="44"/>
  <c r="Z396" i="44"/>
  <c r="Y396" i="44"/>
  <c r="AD395" i="44"/>
  <c r="AC395" i="44"/>
  <c r="AB395" i="44"/>
  <c r="AA395" i="44"/>
  <c r="Z395" i="44"/>
  <c r="Y395" i="44"/>
  <c r="AD394" i="44"/>
  <c r="AC394" i="44"/>
  <c r="AB394" i="44"/>
  <c r="AA394" i="44"/>
  <c r="Z394" i="44"/>
  <c r="Y394" i="44"/>
  <c r="AD393" i="44"/>
  <c r="AC393" i="44"/>
  <c r="AB393" i="44"/>
  <c r="AA393" i="44"/>
  <c r="Z393" i="44"/>
  <c r="Y393" i="44"/>
  <c r="AD392" i="44"/>
  <c r="AC392" i="44"/>
  <c r="AB392" i="44"/>
  <c r="AA392" i="44"/>
  <c r="Z392" i="44"/>
  <c r="Y392" i="44"/>
  <c r="AD391" i="44"/>
  <c r="AC391" i="44"/>
  <c r="AB391" i="44"/>
  <c r="AA391" i="44"/>
  <c r="Z391" i="44"/>
  <c r="Y391" i="44"/>
  <c r="AD390" i="44"/>
  <c r="AC390" i="44"/>
  <c r="AB390" i="44"/>
  <c r="AA390" i="44"/>
  <c r="Z390" i="44"/>
  <c r="Y390" i="44"/>
  <c r="AD389" i="44"/>
  <c r="AC389" i="44"/>
  <c r="AB389" i="44"/>
  <c r="AA389" i="44"/>
  <c r="Z389" i="44"/>
  <c r="Y389" i="44"/>
  <c r="AD388" i="44"/>
  <c r="AC388" i="44"/>
  <c r="AB388" i="44"/>
  <c r="AA388" i="44"/>
  <c r="Z388" i="44"/>
  <c r="Y388" i="44"/>
  <c r="AD387" i="44"/>
  <c r="AC387" i="44"/>
  <c r="AB387" i="44"/>
  <c r="AA387" i="44"/>
  <c r="Z387" i="44"/>
  <c r="Y387" i="44"/>
  <c r="AD386" i="44"/>
  <c r="AC386" i="44"/>
  <c r="AB386" i="44"/>
  <c r="AA386" i="44"/>
  <c r="Z386" i="44"/>
  <c r="Y386" i="44"/>
  <c r="AD385" i="44"/>
  <c r="AC385" i="44"/>
  <c r="AB385" i="44"/>
  <c r="AA385" i="44"/>
  <c r="Z385" i="44"/>
  <c r="Y385" i="44"/>
  <c r="AD384" i="44"/>
  <c r="AC384" i="44"/>
  <c r="AB384" i="44"/>
  <c r="AA384" i="44"/>
  <c r="Z384" i="44"/>
  <c r="Y384" i="44"/>
  <c r="AD383" i="44"/>
  <c r="AC383" i="44"/>
  <c r="AB383" i="44"/>
  <c r="AA383" i="44"/>
  <c r="Z383" i="44"/>
  <c r="Y383" i="44"/>
  <c r="AD382" i="44"/>
  <c r="AC382" i="44"/>
  <c r="AB382" i="44"/>
  <c r="AA382" i="44"/>
  <c r="Z382" i="44"/>
  <c r="Y382" i="44"/>
  <c r="AD381" i="44"/>
  <c r="AC381" i="44"/>
  <c r="AB381" i="44"/>
  <c r="AA381" i="44"/>
  <c r="Z381" i="44"/>
  <c r="Y381" i="44"/>
  <c r="AD380" i="44"/>
  <c r="AC380" i="44"/>
  <c r="AB380" i="44"/>
  <c r="AA380" i="44"/>
  <c r="Z380" i="44"/>
  <c r="Y380" i="44"/>
  <c r="AD379" i="44"/>
  <c r="AC379" i="44"/>
  <c r="AB379" i="44"/>
  <c r="AA379" i="44"/>
  <c r="Z379" i="44"/>
  <c r="Y379" i="44"/>
  <c r="AD378" i="44"/>
  <c r="AC378" i="44"/>
  <c r="AB378" i="44"/>
  <c r="AA378" i="44"/>
  <c r="Z378" i="44"/>
  <c r="Y378" i="44"/>
  <c r="AD377" i="44"/>
  <c r="AC377" i="44"/>
  <c r="AB377" i="44"/>
  <c r="AA377" i="44"/>
  <c r="Z377" i="44"/>
  <c r="Y377" i="44"/>
  <c r="AD376" i="44"/>
  <c r="AC376" i="44"/>
  <c r="AB376" i="44"/>
  <c r="AA376" i="44"/>
  <c r="Z376" i="44"/>
  <c r="Y376" i="44"/>
  <c r="AD375" i="44"/>
  <c r="AC375" i="44"/>
  <c r="AB375" i="44"/>
  <c r="AA375" i="44"/>
  <c r="Z375" i="44"/>
  <c r="Y375" i="44"/>
  <c r="AD374" i="44"/>
  <c r="AC374" i="44"/>
  <c r="AB374" i="44"/>
  <c r="AA374" i="44"/>
  <c r="Z374" i="44"/>
  <c r="Y374" i="44"/>
  <c r="AD373" i="44"/>
  <c r="AC373" i="44"/>
  <c r="AB373" i="44"/>
  <c r="AA373" i="44"/>
  <c r="Z373" i="44"/>
  <c r="Y373" i="44"/>
  <c r="AD372" i="44"/>
  <c r="AC372" i="44"/>
  <c r="AB372" i="44"/>
  <c r="AA372" i="44"/>
  <c r="Z372" i="44"/>
  <c r="Y372" i="44"/>
  <c r="AD371" i="44"/>
  <c r="AC371" i="44"/>
  <c r="AB371" i="44"/>
  <c r="AA371" i="44"/>
  <c r="Z371" i="44"/>
  <c r="Y371" i="44"/>
  <c r="AD370" i="44"/>
  <c r="AC370" i="44"/>
  <c r="AB370" i="44"/>
  <c r="AA370" i="44"/>
  <c r="Z370" i="44"/>
  <c r="Y370" i="44"/>
  <c r="AD369" i="44"/>
  <c r="AC369" i="44"/>
  <c r="AB369" i="44"/>
  <c r="AA369" i="44"/>
  <c r="Z369" i="44"/>
  <c r="Y369" i="44"/>
  <c r="AD368" i="44"/>
  <c r="AC368" i="44"/>
  <c r="AB368" i="44"/>
  <c r="AA368" i="44"/>
  <c r="Z368" i="44"/>
  <c r="Y368" i="44"/>
  <c r="AD367" i="44"/>
  <c r="AC367" i="44"/>
  <c r="AB367" i="44"/>
  <c r="AA367" i="44"/>
  <c r="Z367" i="44"/>
  <c r="Y367" i="44"/>
  <c r="AD366" i="44"/>
  <c r="AC366" i="44"/>
  <c r="AB366" i="44"/>
  <c r="AA366" i="44"/>
  <c r="Z366" i="44"/>
  <c r="Y366" i="44"/>
  <c r="AD365" i="44"/>
  <c r="AC365" i="44"/>
  <c r="AB365" i="44"/>
  <c r="AA365" i="44"/>
  <c r="Z365" i="44"/>
  <c r="Y365" i="44"/>
  <c r="AD364" i="44"/>
  <c r="AC364" i="44"/>
  <c r="AB364" i="44"/>
  <c r="AA364" i="44"/>
  <c r="Z364" i="44"/>
  <c r="Y364" i="44"/>
  <c r="AD363" i="44"/>
  <c r="AC363" i="44"/>
  <c r="AB363" i="44"/>
  <c r="AA363" i="44"/>
  <c r="Z363" i="44"/>
  <c r="Y363" i="44"/>
  <c r="AD362" i="44"/>
  <c r="AC362" i="44"/>
  <c r="AB362" i="44"/>
  <c r="AA362" i="44"/>
  <c r="Z362" i="44"/>
  <c r="Y362" i="44"/>
  <c r="AD361" i="44"/>
  <c r="AC361" i="44"/>
  <c r="AB361" i="44"/>
  <c r="AA361" i="44"/>
  <c r="Z361" i="44"/>
  <c r="Y361" i="44"/>
  <c r="AD360" i="44"/>
  <c r="AC360" i="44"/>
  <c r="AB360" i="44"/>
  <c r="AA360" i="44"/>
  <c r="Z360" i="44"/>
  <c r="Y360" i="44"/>
  <c r="AD359" i="44"/>
  <c r="AC359" i="44"/>
  <c r="AB359" i="44"/>
  <c r="AA359" i="44"/>
  <c r="Z359" i="44"/>
  <c r="Y359" i="44"/>
  <c r="AD358" i="44"/>
  <c r="AC358" i="44"/>
  <c r="AB358" i="44"/>
  <c r="AA358" i="44"/>
  <c r="Z358" i="44"/>
  <c r="Y358" i="44"/>
  <c r="AD357" i="44"/>
  <c r="AC357" i="44"/>
  <c r="AB357" i="44"/>
  <c r="AA357" i="44"/>
  <c r="Z357" i="44"/>
  <c r="Y357" i="44"/>
  <c r="AD356" i="44"/>
  <c r="AC356" i="44"/>
  <c r="AB356" i="44"/>
  <c r="AA356" i="44"/>
  <c r="Z356" i="44"/>
  <c r="Y356" i="44"/>
  <c r="AD355" i="44"/>
  <c r="AC355" i="44"/>
  <c r="AB355" i="44"/>
  <c r="AA355" i="44"/>
  <c r="Z355" i="44"/>
  <c r="Y355" i="44"/>
  <c r="AD354" i="44"/>
  <c r="AC354" i="44"/>
  <c r="AB354" i="44"/>
  <c r="AA354" i="44"/>
  <c r="Z354" i="44"/>
  <c r="Y354" i="44"/>
  <c r="AD353" i="44"/>
  <c r="AC353" i="44"/>
  <c r="AB353" i="44"/>
  <c r="AA353" i="44"/>
  <c r="Z353" i="44"/>
  <c r="Y353" i="44"/>
  <c r="AD352" i="44"/>
  <c r="AC352" i="44"/>
  <c r="AB352" i="44"/>
  <c r="AA352" i="44"/>
  <c r="Z352" i="44"/>
  <c r="Y352" i="44"/>
  <c r="AD351" i="44"/>
  <c r="AC351" i="44"/>
  <c r="AB351" i="44"/>
  <c r="AA351" i="44"/>
  <c r="Z351" i="44"/>
  <c r="Y351" i="44"/>
  <c r="AD350" i="44"/>
  <c r="AC350" i="44"/>
  <c r="AB350" i="44"/>
  <c r="AA350" i="44"/>
  <c r="Z350" i="44"/>
  <c r="Y350" i="44"/>
  <c r="AD349" i="44"/>
  <c r="AC349" i="44"/>
  <c r="AB349" i="44"/>
  <c r="AA349" i="44"/>
  <c r="Z349" i="44"/>
  <c r="Y349" i="44"/>
  <c r="AD348" i="44"/>
  <c r="AC348" i="44"/>
  <c r="AB348" i="44"/>
  <c r="AA348" i="44"/>
  <c r="Z348" i="44"/>
  <c r="Y348" i="44"/>
  <c r="AD347" i="44"/>
  <c r="AC347" i="44"/>
  <c r="AB347" i="44"/>
  <c r="AA347" i="44"/>
  <c r="Z347" i="44"/>
  <c r="Y347" i="44"/>
  <c r="AD346" i="44"/>
  <c r="AC346" i="44"/>
  <c r="AB346" i="44"/>
  <c r="AA346" i="44"/>
  <c r="Z346" i="44"/>
  <c r="Y346" i="44"/>
  <c r="AD345" i="44"/>
  <c r="AC345" i="44"/>
  <c r="AB345" i="44"/>
  <c r="AA345" i="44"/>
  <c r="Z345" i="44"/>
  <c r="Y345" i="44"/>
  <c r="AD344" i="44"/>
  <c r="AC344" i="44"/>
  <c r="AB344" i="44"/>
  <c r="AA344" i="44"/>
  <c r="Z344" i="44"/>
  <c r="Y344" i="44"/>
  <c r="AD343" i="44"/>
  <c r="AC343" i="44"/>
  <c r="AB343" i="44"/>
  <c r="AA343" i="44"/>
  <c r="Z343" i="44"/>
  <c r="Y343" i="44"/>
  <c r="AD342" i="44"/>
  <c r="AC342" i="44"/>
  <c r="AB342" i="44"/>
  <c r="AA342" i="44"/>
  <c r="Z342" i="44"/>
  <c r="Y342" i="44"/>
  <c r="AD341" i="44"/>
  <c r="AC341" i="44"/>
  <c r="AB341" i="44"/>
  <c r="AA341" i="44"/>
  <c r="Z341" i="44"/>
  <c r="Y341" i="44"/>
  <c r="AD340" i="44"/>
  <c r="AC340" i="44"/>
  <c r="AB340" i="44"/>
  <c r="AA340" i="44"/>
  <c r="Z340" i="44"/>
  <c r="Y340" i="44"/>
  <c r="AD339" i="44"/>
  <c r="AC339" i="44"/>
  <c r="AB339" i="44"/>
  <c r="AA339" i="44"/>
  <c r="Z339" i="44"/>
  <c r="Y339" i="44"/>
  <c r="AD338" i="44"/>
  <c r="AC338" i="44"/>
  <c r="AB338" i="44"/>
  <c r="AA338" i="44"/>
  <c r="Z338" i="44"/>
  <c r="Y338" i="44"/>
  <c r="AD337" i="44"/>
  <c r="AC337" i="44"/>
  <c r="AB337" i="44"/>
  <c r="AA337" i="44"/>
  <c r="Z337" i="44"/>
  <c r="Y337" i="44"/>
  <c r="AD336" i="44"/>
  <c r="AC336" i="44"/>
  <c r="AB336" i="44"/>
  <c r="AA336" i="44"/>
  <c r="Z336" i="44"/>
  <c r="Y336" i="44"/>
  <c r="AD335" i="44"/>
  <c r="AC335" i="44"/>
  <c r="AB335" i="44"/>
  <c r="AA335" i="44"/>
  <c r="Z335" i="44"/>
  <c r="Y335" i="44"/>
  <c r="AD334" i="44"/>
  <c r="AC334" i="44"/>
  <c r="AB334" i="44"/>
  <c r="AA334" i="44"/>
  <c r="Z334" i="44"/>
  <c r="Y334" i="44"/>
  <c r="AD333" i="44"/>
  <c r="AC333" i="44"/>
  <c r="AB333" i="44"/>
  <c r="AA333" i="44"/>
  <c r="Z333" i="44"/>
  <c r="Y333" i="44"/>
  <c r="AD332" i="44"/>
  <c r="AC332" i="44"/>
  <c r="AB332" i="44"/>
  <c r="AA332" i="44"/>
  <c r="Z332" i="44"/>
  <c r="Y332" i="44"/>
  <c r="AD331" i="44"/>
  <c r="AC331" i="44"/>
  <c r="AB331" i="44"/>
  <c r="AA331" i="44"/>
  <c r="Z331" i="44"/>
  <c r="Y331" i="44"/>
  <c r="AD330" i="44"/>
  <c r="AC330" i="44"/>
  <c r="AB330" i="44"/>
  <c r="AA330" i="44"/>
  <c r="Z330" i="44"/>
  <c r="Y330" i="44"/>
  <c r="AD329" i="44"/>
  <c r="AC329" i="44"/>
  <c r="AB329" i="44"/>
  <c r="AA329" i="44"/>
  <c r="Z329" i="44"/>
  <c r="Y329" i="44"/>
  <c r="AD328" i="44"/>
  <c r="AC328" i="44"/>
  <c r="AB328" i="44"/>
  <c r="AA328" i="44"/>
  <c r="Z328" i="44"/>
  <c r="Y328" i="44"/>
  <c r="AD327" i="44"/>
  <c r="AC327" i="44"/>
  <c r="AB327" i="44"/>
  <c r="AA327" i="44"/>
  <c r="Z327" i="44"/>
  <c r="Y327" i="44"/>
  <c r="AD326" i="44"/>
  <c r="AC326" i="44"/>
  <c r="AB326" i="44"/>
  <c r="AA326" i="44"/>
  <c r="Z326" i="44"/>
  <c r="Y326" i="44"/>
  <c r="AD325" i="44"/>
  <c r="AC325" i="44"/>
  <c r="AB325" i="44"/>
  <c r="AA325" i="44"/>
  <c r="Z325" i="44"/>
  <c r="Y325" i="44"/>
  <c r="AD324" i="44"/>
  <c r="AC324" i="44"/>
  <c r="AB324" i="44"/>
  <c r="AA324" i="44"/>
  <c r="Z324" i="44"/>
  <c r="Y324" i="44"/>
  <c r="AD323" i="44"/>
  <c r="AC323" i="44"/>
  <c r="AB323" i="44"/>
  <c r="AA323" i="44"/>
  <c r="Z323" i="44"/>
  <c r="Y323" i="44"/>
  <c r="AD322" i="44"/>
  <c r="AC322" i="44"/>
  <c r="AB322" i="44"/>
  <c r="AA322" i="44"/>
  <c r="Z322" i="44"/>
  <c r="Y322" i="44"/>
  <c r="AD321" i="44"/>
  <c r="AC321" i="44"/>
  <c r="AB321" i="44"/>
  <c r="AA321" i="44"/>
  <c r="Z321" i="44"/>
  <c r="Y321" i="44"/>
  <c r="AD320" i="44"/>
  <c r="AC320" i="44"/>
  <c r="AB320" i="44"/>
  <c r="AA320" i="44"/>
  <c r="Z320" i="44"/>
  <c r="Y320" i="44"/>
  <c r="AD319" i="44"/>
  <c r="AC319" i="44"/>
  <c r="AB319" i="44"/>
  <c r="AA319" i="44"/>
  <c r="Z319" i="44"/>
  <c r="Y319" i="44"/>
  <c r="AD318" i="44"/>
  <c r="AC318" i="44"/>
  <c r="AB318" i="44"/>
  <c r="AA318" i="44"/>
  <c r="Z318" i="44"/>
  <c r="Y318" i="44"/>
  <c r="AD317" i="44"/>
  <c r="AC317" i="44"/>
  <c r="AB317" i="44"/>
  <c r="AA317" i="44"/>
  <c r="Z317" i="44"/>
  <c r="Y317" i="44"/>
  <c r="AD316" i="44"/>
  <c r="AC316" i="44"/>
  <c r="AB316" i="44"/>
  <c r="AA316" i="44"/>
  <c r="Z316" i="44"/>
  <c r="Y316" i="44"/>
  <c r="AD315" i="44"/>
  <c r="AC315" i="44"/>
  <c r="AB315" i="44"/>
  <c r="AA315" i="44"/>
  <c r="Z315" i="44"/>
  <c r="Y315" i="44"/>
  <c r="AD314" i="44"/>
  <c r="AC314" i="44"/>
  <c r="AB314" i="44"/>
  <c r="AA314" i="44"/>
  <c r="Z314" i="44"/>
  <c r="Y314" i="44"/>
  <c r="AD313" i="44"/>
  <c r="AC313" i="44"/>
  <c r="AB313" i="44"/>
  <c r="AA313" i="44"/>
  <c r="Z313" i="44"/>
  <c r="Y313" i="44"/>
  <c r="AD312" i="44"/>
  <c r="AC312" i="44"/>
  <c r="AB312" i="44"/>
  <c r="AA312" i="44"/>
  <c r="Z312" i="44"/>
  <c r="Y312" i="44"/>
  <c r="AD311" i="44"/>
  <c r="AC311" i="44"/>
  <c r="AB311" i="44"/>
  <c r="AA311" i="44"/>
  <c r="Z311" i="44"/>
  <c r="Y311" i="44"/>
  <c r="AD310" i="44"/>
  <c r="AC310" i="44"/>
  <c r="AB310" i="44"/>
  <c r="AA310" i="44"/>
  <c r="Z310" i="44"/>
  <c r="Y310" i="44"/>
  <c r="AD309" i="44"/>
  <c r="AC309" i="44"/>
  <c r="AB309" i="44"/>
  <c r="AA309" i="44"/>
  <c r="Z309" i="44"/>
  <c r="Y309" i="44"/>
  <c r="AD308" i="44"/>
  <c r="AC308" i="44"/>
  <c r="AB308" i="44"/>
  <c r="AA308" i="44"/>
  <c r="Z308" i="44"/>
  <c r="Y308" i="44"/>
  <c r="AD307" i="44"/>
  <c r="AC307" i="44"/>
  <c r="AB307" i="44"/>
  <c r="AA307" i="44"/>
  <c r="Z307" i="44"/>
  <c r="Y307" i="44"/>
  <c r="AD306" i="44"/>
  <c r="AC306" i="44"/>
  <c r="AB306" i="44"/>
  <c r="AA306" i="44"/>
  <c r="Z306" i="44"/>
  <c r="Y306" i="44"/>
  <c r="AD305" i="44"/>
  <c r="AC305" i="44"/>
  <c r="AB305" i="44"/>
  <c r="AA305" i="44"/>
  <c r="Z305" i="44"/>
  <c r="Y305" i="44"/>
  <c r="AD304" i="44"/>
  <c r="AC304" i="44"/>
  <c r="AB304" i="44"/>
  <c r="AA304" i="44"/>
  <c r="Z304" i="44"/>
  <c r="Y304" i="44"/>
  <c r="AD303" i="44"/>
  <c r="AC303" i="44"/>
  <c r="AB303" i="44"/>
  <c r="AA303" i="44"/>
  <c r="Z303" i="44"/>
  <c r="Y303" i="44"/>
  <c r="AD302" i="44"/>
  <c r="AC302" i="44"/>
  <c r="AB302" i="44"/>
  <c r="AA302" i="44"/>
  <c r="Z302" i="44"/>
  <c r="Y302" i="44"/>
  <c r="AD301" i="44"/>
  <c r="AC301" i="44"/>
  <c r="AB301" i="44"/>
  <c r="AA301" i="44"/>
  <c r="Z301" i="44"/>
  <c r="Y301" i="44"/>
  <c r="AD300" i="44"/>
  <c r="AC300" i="44"/>
  <c r="AB300" i="44"/>
  <c r="AA300" i="44"/>
  <c r="Z300" i="44"/>
  <c r="Y300" i="44"/>
  <c r="AD299" i="44"/>
  <c r="AC299" i="44"/>
  <c r="AB299" i="44"/>
  <c r="AA299" i="44"/>
  <c r="Z299" i="44"/>
  <c r="Y299" i="44"/>
  <c r="AD298" i="44"/>
  <c r="AC298" i="44"/>
  <c r="AB298" i="44"/>
  <c r="AA298" i="44"/>
  <c r="Z298" i="44"/>
  <c r="Y298" i="44"/>
  <c r="AD297" i="44"/>
  <c r="AC297" i="44"/>
  <c r="AB297" i="44"/>
  <c r="AA297" i="44"/>
  <c r="Z297" i="44"/>
  <c r="Y297" i="44"/>
  <c r="AD296" i="44"/>
  <c r="AC296" i="44"/>
  <c r="AB296" i="44"/>
  <c r="AA296" i="44"/>
  <c r="Z296" i="44"/>
  <c r="Y296" i="44"/>
  <c r="AD295" i="44"/>
  <c r="AC295" i="44"/>
  <c r="AB295" i="44"/>
  <c r="AA295" i="44"/>
  <c r="Z295" i="44"/>
  <c r="Y295" i="44"/>
  <c r="AD294" i="44"/>
  <c r="AC294" i="44"/>
  <c r="AB294" i="44"/>
  <c r="AA294" i="44"/>
  <c r="Z294" i="44"/>
  <c r="Y294" i="44"/>
  <c r="AD293" i="44"/>
  <c r="AC293" i="44"/>
  <c r="AB293" i="44"/>
  <c r="AA293" i="44"/>
  <c r="Z293" i="44"/>
  <c r="Y293" i="44"/>
  <c r="AD292" i="44"/>
  <c r="AC292" i="44"/>
  <c r="AB292" i="44"/>
  <c r="AA292" i="44"/>
  <c r="Z292" i="44"/>
  <c r="Y292" i="44"/>
  <c r="AD291" i="44"/>
  <c r="AC291" i="44"/>
  <c r="AB291" i="44"/>
  <c r="AA291" i="44"/>
  <c r="Z291" i="44"/>
  <c r="Y291" i="44"/>
  <c r="AD290" i="44"/>
  <c r="AC290" i="44"/>
  <c r="AB290" i="44"/>
  <c r="AA290" i="44"/>
  <c r="Z290" i="44"/>
  <c r="Y290" i="44"/>
  <c r="AD289" i="44"/>
  <c r="AC289" i="44"/>
  <c r="AB289" i="44"/>
  <c r="AA289" i="44"/>
  <c r="Z289" i="44"/>
  <c r="Y289" i="44"/>
  <c r="AD288" i="44"/>
  <c r="AC288" i="44"/>
  <c r="AB288" i="44"/>
  <c r="AA288" i="44"/>
  <c r="Z288" i="44"/>
  <c r="Y288" i="44"/>
  <c r="AD287" i="44"/>
  <c r="AC287" i="44"/>
  <c r="AB287" i="44"/>
  <c r="AA287" i="44"/>
  <c r="Z287" i="44"/>
  <c r="Y287" i="44"/>
  <c r="AD286" i="44"/>
  <c r="AC286" i="44"/>
  <c r="AB286" i="44"/>
  <c r="AA286" i="44"/>
  <c r="Z286" i="44"/>
  <c r="Y286" i="44"/>
  <c r="AD285" i="44"/>
  <c r="AC285" i="44"/>
  <c r="AB285" i="44"/>
  <c r="AA285" i="44"/>
  <c r="Z285" i="44"/>
  <c r="Y285" i="44"/>
  <c r="AD284" i="44"/>
  <c r="AC284" i="44"/>
  <c r="AB284" i="44"/>
  <c r="AA284" i="44"/>
  <c r="Z284" i="44"/>
  <c r="Y284" i="44"/>
  <c r="AD283" i="44"/>
  <c r="AC283" i="44"/>
  <c r="AB283" i="44"/>
  <c r="AA283" i="44"/>
  <c r="Z283" i="44"/>
  <c r="Y283" i="44"/>
  <c r="AD282" i="44"/>
  <c r="AC282" i="44"/>
  <c r="AB282" i="44"/>
  <c r="AA282" i="44"/>
  <c r="Z282" i="44"/>
  <c r="Y282" i="44"/>
  <c r="AD281" i="44"/>
  <c r="AC281" i="44"/>
  <c r="AB281" i="44"/>
  <c r="AA281" i="44"/>
  <c r="Z281" i="44"/>
  <c r="Y281" i="44"/>
  <c r="AD280" i="44"/>
  <c r="AC280" i="44"/>
  <c r="AB280" i="44"/>
  <c r="AA280" i="44"/>
  <c r="Z280" i="44"/>
  <c r="Y280" i="44"/>
  <c r="AD279" i="44"/>
  <c r="AC279" i="44"/>
  <c r="AB279" i="44"/>
  <c r="AA279" i="44"/>
  <c r="Z279" i="44"/>
  <c r="Y279" i="44"/>
  <c r="AD278" i="44"/>
  <c r="AC278" i="44"/>
  <c r="AB278" i="44"/>
  <c r="AA278" i="44"/>
  <c r="Z278" i="44"/>
  <c r="Y278" i="44"/>
  <c r="AD277" i="44"/>
  <c r="AC277" i="44"/>
  <c r="AB277" i="44"/>
  <c r="AA277" i="44"/>
  <c r="Z277" i="44"/>
  <c r="Y277" i="44"/>
  <c r="AD276" i="44"/>
  <c r="AC276" i="44"/>
  <c r="AB276" i="44"/>
  <c r="AA276" i="44"/>
  <c r="Z276" i="44"/>
  <c r="Y276" i="44"/>
  <c r="AD275" i="44"/>
  <c r="AC275" i="44"/>
  <c r="AB275" i="44"/>
  <c r="AA275" i="44"/>
  <c r="Z275" i="44"/>
  <c r="Y275" i="44"/>
  <c r="AD274" i="44"/>
  <c r="AC274" i="44"/>
  <c r="AB274" i="44"/>
  <c r="AA274" i="44"/>
  <c r="Z274" i="44"/>
  <c r="Y274" i="44"/>
  <c r="AD273" i="44"/>
  <c r="AC273" i="44"/>
  <c r="AB273" i="44"/>
  <c r="AA273" i="44"/>
  <c r="Z273" i="44"/>
  <c r="Y273" i="44"/>
  <c r="AD272" i="44"/>
  <c r="AC272" i="44"/>
  <c r="AB272" i="44"/>
  <c r="AA272" i="44"/>
  <c r="Z272" i="44"/>
  <c r="Y272" i="44"/>
  <c r="AD271" i="44"/>
  <c r="AC271" i="44"/>
  <c r="AB271" i="44"/>
  <c r="AA271" i="44"/>
  <c r="Z271" i="44"/>
  <c r="Y271" i="44"/>
  <c r="AD270" i="44"/>
  <c r="AC270" i="44"/>
  <c r="AB270" i="44"/>
  <c r="AA270" i="44"/>
  <c r="Z270" i="44"/>
  <c r="Y270" i="44"/>
  <c r="AD269" i="44"/>
  <c r="AC269" i="44"/>
  <c r="AB269" i="44"/>
  <c r="AA269" i="44"/>
  <c r="Z269" i="44"/>
  <c r="Y269" i="44"/>
  <c r="AD268" i="44"/>
  <c r="AC268" i="44"/>
  <c r="AB268" i="44"/>
  <c r="AA268" i="44"/>
  <c r="Z268" i="44"/>
  <c r="Y268" i="44"/>
  <c r="AD267" i="44"/>
  <c r="AC267" i="44"/>
  <c r="AB267" i="44"/>
  <c r="AA267" i="44"/>
  <c r="Z267" i="44"/>
  <c r="Y267" i="44"/>
  <c r="AD266" i="44"/>
  <c r="AC266" i="44"/>
  <c r="AB266" i="44"/>
  <c r="AA266" i="44"/>
  <c r="Z266" i="44"/>
  <c r="Y266" i="44"/>
  <c r="AD265" i="44"/>
  <c r="AC265" i="44"/>
  <c r="AB265" i="44"/>
  <c r="AA265" i="44"/>
  <c r="Z265" i="44"/>
  <c r="Y265" i="44"/>
  <c r="AD264" i="44"/>
  <c r="AC264" i="44"/>
  <c r="AB264" i="44"/>
  <c r="AA264" i="44"/>
  <c r="Z264" i="44"/>
  <c r="Y264" i="44"/>
  <c r="AD263" i="44"/>
  <c r="AC263" i="44"/>
  <c r="AB263" i="44"/>
  <c r="AA263" i="44"/>
  <c r="Z263" i="44"/>
  <c r="Y263" i="44"/>
  <c r="AD262" i="44"/>
  <c r="AC262" i="44"/>
  <c r="AB262" i="44"/>
  <c r="AA262" i="44"/>
  <c r="Z262" i="44"/>
  <c r="Y262" i="44"/>
  <c r="AD261" i="44"/>
  <c r="AC261" i="44"/>
  <c r="AB261" i="44"/>
  <c r="AA261" i="44"/>
  <c r="Z261" i="44"/>
  <c r="Y261" i="44"/>
  <c r="AD260" i="44"/>
  <c r="AC260" i="44"/>
  <c r="AB260" i="44"/>
  <c r="AA260" i="44"/>
  <c r="Z260" i="44"/>
  <c r="Y260" i="44"/>
  <c r="AD259" i="44"/>
  <c r="AC259" i="44"/>
  <c r="AB259" i="44"/>
  <c r="AA259" i="44"/>
  <c r="Z259" i="44"/>
  <c r="Y259" i="44"/>
  <c r="AD258" i="44"/>
  <c r="AC258" i="44"/>
  <c r="AB258" i="44"/>
  <c r="AA258" i="44"/>
  <c r="Z258" i="44"/>
  <c r="Y258" i="44"/>
  <c r="AD257" i="44"/>
  <c r="AC257" i="44"/>
  <c r="AB257" i="44"/>
  <c r="AA257" i="44"/>
  <c r="Z257" i="44"/>
  <c r="Y257" i="44"/>
  <c r="AD256" i="44"/>
  <c r="AC256" i="44"/>
  <c r="AB256" i="44"/>
  <c r="AA256" i="44"/>
  <c r="Z256" i="44"/>
  <c r="Y256" i="44"/>
  <c r="AD255" i="44"/>
  <c r="AC255" i="44"/>
  <c r="AB255" i="44"/>
  <c r="AA255" i="44"/>
  <c r="Z255" i="44"/>
  <c r="Y255" i="44"/>
  <c r="AD254" i="44"/>
  <c r="AC254" i="44"/>
  <c r="AB254" i="44"/>
  <c r="AA254" i="44"/>
  <c r="Z254" i="44"/>
  <c r="Y254" i="44"/>
  <c r="AD253" i="44"/>
  <c r="AC253" i="44"/>
  <c r="AB253" i="44"/>
  <c r="AA253" i="44"/>
  <c r="Z253" i="44"/>
  <c r="Y253" i="44"/>
  <c r="AD252" i="44"/>
  <c r="AC252" i="44"/>
  <c r="AB252" i="44"/>
  <c r="AA252" i="44"/>
  <c r="Z252" i="44"/>
  <c r="Y252" i="44"/>
  <c r="AD251" i="44"/>
  <c r="AC251" i="44"/>
  <c r="AB251" i="44"/>
  <c r="AA251" i="44"/>
  <c r="Z251" i="44"/>
  <c r="Y251" i="44"/>
  <c r="AD250" i="44"/>
  <c r="AC250" i="44"/>
  <c r="AB250" i="44"/>
  <c r="AA250" i="44"/>
  <c r="Z250" i="44"/>
  <c r="Y250" i="44"/>
  <c r="AD249" i="44"/>
  <c r="AC249" i="44"/>
  <c r="AB249" i="44"/>
  <c r="AA249" i="44"/>
  <c r="Z249" i="44"/>
  <c r="Y249" i="44"/>
  <c r="AD248" i="44"/>
  <c r="AC248" i="44"/>
  <c r="AB248" i="44"/>
  <c r="AA248" i="44"/>
  <c r="Z248" i="44"/>
  <c r="Y248" i="44"/>
  <c r="AD247" i="44"/>
  <c r="AC247" i="44"/>
  <c r="AB247" i="44"/>
  <c r="AA247" i="44"/>
  <c r="Z247" i="44"/>
  <c r="Y247" i="44"/>
  <c r="AD246" i="44"/>
  <c r="AC246" i="44"/>
  <c r="AB246" i="44"/>
  <c r="AA246" i="44"/>
  <c r="Z246" i="44"/>
  <c r="Y246" i="44"/>
  <c r="AD245" i="44"/>
  <c r="AC245" i="44"/>
  <c r="AB245" i="44"/>
  <c r="AA245" i="44"/>
  <c r="Z245" i="44"/>
  <c r="Y245" i="44"/>
  <c r="AD244" i="44"/>
  <c r="AC244" i="44"/>
  <c r="AB244" i="44"/>
  <c r="AA244" i="44"/>
  <c r="Z244" i="44"/>
  <c r="Y244" i="44"/>
  <c r="AD243" i="44"/>
  <c r="AC243" i="44"/>
  <c r="AB243" i="44"/>
  <c r="AA243" i="44"/>
  <c r="Z243" i="44"/>
  <c r="Y243" i="44"/>
  <c r="AD242" i="44"/>
  <c r="AC242" i="44"/>
  <c r="AB242" i="44"/>
  <c r="AA242" i="44"/>
  <c r="Z242" i="44"/>
  <c r="Y242" i="44"/>
  <c r="AD241" i="44"/>
  <c r="AC241" i="44"/>
  <c r="AB241" i="44"/>
  <c r="AA241" i="44"/>
  <c r="Z241" i="44"/>
  <c r="Y241" i="44"/>
  <c r="AD240" i="44"/>
  <c r="AC240" i="44"/>
  <c r="AB240" i="44"/>
  <c r="AA240" i="44"/>
  <c r="Z240" i="44"/>
  <c r="Y240" i="44"/>
  <c r="AD239" i="44"/>
  <c r="AC239" i="44"/>
  <c r="AB239" i="44"/>
  <c r="AA239" i="44"/>
  <c r="Z239" i="44"/>
  <c r="Y239" i="44"/>
  <c r="AD238" i="44"/>
  <c r="AC238" i="44"/>
  <c r="AB238" i="44"/>
  <c r="AA238" i="44"/>
  <c r="Z238" i="44"/>
  <c r="Y238" i="44"/>
  <c r="AD237" i="44"/>
  <c r="AC237" i="44"/>
  <c r="AB237" i="44"/>
  <c r="AA237" i="44"/>
  <c r="Z237" i="44"/>
  <c r="Y237" i="44"/>
  <c r="AD236" i="44"/>
  <c r="AC236" i="44"/>
  <c r="AB236" i="44"/>
  <c r="AA236" i="44"/>
  <c r="Z236" i="44"/>
  <c r="Y236" i="44"/>
  <c r="AD235" i="44"/>
  <c r="AC235" i="44"/>
  <c r="AB235" i="44"/>
  <c r="AA235" i="44"/>
  <c r="Z235" i="44"/>
  <c r="Y235" i="44"/>
  <c r="AD234" i="44"/>
  <c r="AC234" i="44"/>
  <c r="AB234" i="44"/>
  <c r="AA234" i="44"/>
  <c r="Z234" i="44"/>
  <c r="Y234" i="44"/>
  <c r="AD233" i="44"/>
  <c r="AC233" i="44"/>
  <c r="AB233" i="44"/>
  <c r="AA233" i="44"/>
  <c r="Z233" i="44"/>
  <c r="Y233" i="44"/>
  <c r="AD232" i="44"/>
  <c r="AC232" i="44"/>
  <c r="AB232" i="44"/>
  <c r="AA232" i="44"/>
  <c r="Z232" i="44"/>
  <c r="Y232" i="44"/>
  <c r="AD231" i="44"/>
  <c r="AC231" i="44"/>
  <c r="AB231" i="44"/>
  <c r="AA231" i="44"/>
  <c r="Z231" i="44"/>
  <c r="Y231" i="44"/>
  <c r="AD230" i="44"/>
  <c r="AC230" i="44"/>
  <c r="AB230" i="44"/>
  <c r="AA230" i="44"/>
  <c r="Z230" i="44"/>
  <c r="Y230" i="44"/>
  <c r="AD229" i="44"/>
  <c r="AC229" i="44"/>
  <c r="AB229" i="44"/>
  <c r="AA229" i="44"/>
  <c r="Z229" i="44"/>
  <c r="Y229" i="44"/>
  <c r="AD228" i="44"/>
  <c r="AC228" i="44"/>
  <c r="AB228" i="44"/>
  <c r="AA228" i="44"/>
  <c r="Z228" i="44"/>
  <c r="Y228" i="44"/>
  <c r="AD227" i="44"/>
  <c r="AC227" i="44"/>
  <c r="AB227" i="44"/>
  <c r="AA227" i="44"/>
  <c r="Z227" i="44"/>
  <c r="Y227" i="44"/>
  <c r="AD226" i="44"/>
  <c r="AC226" i="44"/>
  <c r="AB226" i="44"/>
  <c r="AA226" i="44"/>
  <c r="Z226" i="44"/>
  <c r="Y226" i="44"/>
  <c r="AD225" i="44"/>
  <c r="AC225" i="44"/>
  <c r="AB225" i="44"/>
  <c r="AA225" i="44"/>
  <c r="Z225" i="44"/>
  <c r="Y225" i="44"/>
  <c r="AD224" i="44"/>
  <c r="AC224" i="44"/>
  <c r="AB224" i="44"/>
  <c r="AA224" i="44"/>
  <c r="Z224" i="44"/>
  <c r="Y224" i="44"/>
  <c r="AD223" i="44"/>
  <c r="AC223" i="44"/>
  <c r="AB223" i="44"/>
  <c r="AA223" i="44"/>
  <c r="Z223" i="44"/>
  <c r="Y223" i="44"/>
  <c r="AD222" i="44"/>
  <c r="AC222" i="44"/>
  <c r="AB222" i="44"/>
  <c r="AA222" i="44"/>
  <c r="Z222" i="44"/>
  <c r="Y222" i="44"/>
  <c r="AD221" i="44"/>
  <c r="AC221" i="44"/>
  <c r="AB221" i="44"/>
  <c r="AA221" i="44"/>
  <c r="Z221" i="44"/>
  <c r="Y221" i="44"/>
  <c r="AD220" i="44"/>
  <c r="AC220" i="44"/>
  <c r="AB220" i="44"/>
  <c r="AA220" i="44"/>
  <c r="Z220" i="44"/>
  <c r="Y220" i="44"/>
  <c r="AD219" i="44"/>
  <c r="AC219" i="44"/>
  <c r="AB219" i="44"/>
  <c r="AA219" i="44"/>
  <c r="Z219" i="44"/>
  <c r="Y219" i="44"/>
  <c r="AD218" i="44"/>
  <c r="AC218" i="44"/>
  <c r="AB218" i="44"/>
  <c r="AA218" i="44"/>
  <c r="Z218" i="44"/>
  <c r="Y218" i="44"/>
  <c r="AD217" i="44"/>
  <c r="AC217" i="44"/>
  <c r="AB217" i="44"/>
  <c r="AA217" i="44"/>
  <c r="Z217" i="44"/>
  <c r="Y217" i="44"/>
  <c r="AD216" i="44"/>
  <c r="AC216" i="44"/>
  <c r="AB216" i="44"/>
  <c r="AA216" i="44"/>
  <c r="Z216" i="44"/>
  <c r="Y216" i="44"/>
  <c r="AD215" i="44"/>
  <c r="AC215" i="44"/>
  <c r="AB215" i="44"/>
  <c r="AA215" i="44"/>
  <c r="Z215" i="44"/>
  <c r="Y215" i="44"/>
  <c r="AD214" i="44"/>
  <c r="AC214" i="44"/>
  <c r="AB214" i="44"/>
  <c r="AA214" i="44"/>
  <c r="Z214" i="44"/>
  <c r="Y214" i="44"/>
  <c r="AD213" i="44"/>
  <c r="AC213" i="44"/>
  <c r="AB213" i="44"/>
  <c r="AA213" i="44"/>
  <c r="Z213" i="44"/>
  <c r="Y213" i="44"/>
  <c r="AD212" i="44"/>
  <c r="AC212" i="44"/>
  <c r="AB212" i="44"/>
  <c r="AA212" i="44"/>
  <c r="Z212" i="44"/>
  <c r="Y212" i="44"/>
  <c r="AD211" i="44"/>
  <c r="AC211" i="44"/>
  <c r="AB211" i="44"/>
  <c r="AA211" i="44"/>
  <c r="Z211" i="44"/>
  <c r="Y211" i="44"/>
  <c r="AD210" i="44"/>
  <c r="AC210" i="44"/>
  <c r="AB210" i="44"/>
  <c r="AA210" i="44"/>
  <c r="Z210" i="44"/>
  <c r="Y210" i="44"/>
  <c r="AD209" i="44"/>
  <c r="AC209" i="44"/>
  <c r="AB209" i="44"/>
  <c r="AA209" i="44"/>
  <c r="Z209" i="44"/>
  <c r="Y209" i="44"/>
  <c r="AD208" i="44"/>
  <c r="AC208" i="44"/>
  <c r="AB208" i="44"/>
  <c r="AA208" i="44"/>
  <c r="Z208" i="44"/>
  <c r="Y208" i="44"/>
  <c r="AD207" i="44"/>
  <c r="AC207" i="44"/>
  <c r="AB207" i="44"/>
  <c r="AA207" i="44"/>
  <c r="Z207" i="44"/>
  <c r="Y207" i="44"/>
  <c r="AD206" i="44"/>
  <c r="AC206" i="44"/>
  <c r="AB206" i="44"/>
  <c r="AA206" i="44"/>
  <c r="Z206" i="44"/>
  <c r="Y206" i="44"/>
  <c r="AD205" i="44"/>
  <c r="AC205" i="44"/>
  <c r="AB205" i="44"/>
  <c r="AA205" i="44"/>
  <c r="Z205" i="44"/>
  <c r="Y205" i="44"/>
  <c r="AD204" i="44"/>
  <c r="AC204" i="44"/>
  <c r="AB204" i="44"/>
  <c r="AA204" i="44"/>
  <c r="Z204" i="44"/>
  <c r="Y204" i="44"/>
  <c r="AD203" i="44"/>
  <c r="AC203" i="44"/>
  <c r="AB203" i="44"/>
  <c r="AA203" i="44"/>
  <c r="Z203" i="44"/>
  <c r="Y203" i="44"/>
  <c r="AD202" i="44"/>
  <c r="AC202" i="44"/>
  <c r="AB202" i="44"/>
  <c r="AA202" i="44"/>
  <c r="Z202" i="44"/>
  <c r="Y202" i="44"/>
  <c r="AD201" i="44"/>
  <c r="AC201" i="44"/>
  <c r="AB201" i="44"/>
  <c r="AA201" i="44"/>
  <c r="Z201" i="44"/>
  <c r="Y201" i="44"/>
  <c r="AD200" i="44"/>
  <c r="AC200" i="44"/>
  <c r="AB200" i="44"/>
  <c r="AA200" i="44"/>
  <c r="Z200" i="44"/>
  <c r="Y200" i="44"/>
  <c r="AD199" i="44"/>
  <c r="AC199" i="44"/>
  <c r="AB199" i="44"/>
  <c r="AA199" i="44"/>
  <c r="Z199" i="44"/>
  <c r="Y199" i="44"/>
  <c r="AD198" i="44"/>
  <c r="AC198" i="44"/>
  <c r="AB198" i="44"/>
  <c r="AA198" i="44"/>
  <c r="Z198" i="44"/>
  <c r="Y198" i="44"/>
  <c r="AD197" i="44"/>
  <c r="AC197" i="44"/>
  <c r="AB197" i="44"/>
  <c r="AA197" i="44"/>
  <c r="Z197" i="44"/>
  <c r="Y197" i="44"/>
  <c r="AD196" i="44"/>
  <c r="AC196" i="44"/>
  <c r="AB196" i="44"/>
  <c r="AA196" i="44"/>
  <c r="Z196" i="44"/>
  <c r="Y196" i="44"/>
  <c r="AD195" i="44"/>
  <c r="AC195" i="44"/>
  <c r="AB195" i="44"/>
  <c r="AA195" i="44"/>
  <c r="Z195" i="44"/>
  <c r="Y195" i="44"/>
  <c r="AD194" i="44"/>
  <c r="AC194" i="44"/>
  <c r="AB194" i="44"/>
  <c r="AA194" i="44"/>
  <c r="Z194" i="44"/>
  <c r="Y194" i="44"/>
  <c r="AD193" i="44"/>
  <c r="AC193" i="44"/>
  <c r="AB193" i="44"/>
  <c r="AA193" i="44"/>
  <c r="Z193" i="44"/>
  <c r="Y193" i="44"/>
  <c r="AD192" i="44"/>
  <c r="AC192" i="44"/>
  <c r="AB192" i="44"/>
  <c r="AA192" i="44"/>
  <c r="Z192" i="44"/>
  <c r="Y192" i="44"/>
  <c r="AD191" i="44"/>
  <c r="AC191" i="44"/>
  <c r="AB191" i="44"/>
  <c r="AA191" i="44"/>
  <c r="Z191" i="44"/>
  <c r="Y191" i="44"/>
  <c r="AD190" i="44"/>
  <c r="AC190" i="44"/>
  <c r="AB190" i="44"/>
  <c r="AA190" i="44"/>
  <c r="Z190" i="44"/>
  <c r="Y190" i="44"/>
  <c r="AD189" i="44"/>
  <c r="AC189" i="44"/>
  <c r="AB189" i="44"/>
  <c r="AA189" i="44"/>
  <c r="Z189" i="44"/>
  <c r="Y189" i="44"/>
  <c r="AD188" i="44"/>
  <c r="AC188" i="44"/>
  <c r="AB188" i="44"/>
  <c r="AA188" i="44"/>
  <c r="Z188" i="44"/>
  <c r="Y188" i="44"/>
  <c r="AD187" i="44"/>
  <c r="AC187" i="44"/>
  <c r="AB187" i="44"/>
  <c r="AA187" i="44"/>
  <c r="Z187" i="44"/>
  <c r="Y187" i="44"/>
  <c r="AD186" i="44"/>
  <c r="AC186" i="44"/>
  <c r="AB186" i="44"/>
  <c r="AA186" i="44"/>
  <c r="Z186" i="44"/>
  <c r="Y186" i="44"/>
  <c r="AD185" i="44"/>
  <c r="AC185" i="44"/>
  <c r="AB185" i="44"/>
  <c r="AA185" i="44"/>
  <c r="Z185" i="44"/>
  <c r="Y185" i="44"/>
  <c r="AD184" i="44"/>
  <c r="AC184" i="44"/>
  <c r="AB184" i="44"/>
  <c r="AA184" i="44"/>
  <c r="Z184" i="44"/>
  <c r="Y184" i="44"/>
  <c r="AD183" i="44"/>
  <c r="AC183" i="44"/>
  <c r="AB183" i="44"/>
  <c r="AA183" i="44"/>
  <c r="Z183" i="44"/>
  <c r="Y183" i="44"/>
  <c r="AD182" i="44"/>
  <c r="AC182" i="44"/>
  <c r="AB182" i="44"/>
  <c r="AA182" i="44"/>
  <c r="Z182" i="44"/>
  <c r="Y182" i="44"/>
  <c r="AD181" i="44"/>
  <c r="AC181" i="44"/>
  <c r="AB181" i="44"/>
  <c r="AA181" i="44"/>
  <c r="Z181" i="44"/>
  <c r="Y181" i="44"/>
  <c r="AD180" i="44"/>
  <c r="AC180" i="44"/>
  <c r="AB180" i="44"/>
  <c r="AA180" i="44"/>
  <c r="Z180" i="44"/>
  <c r="Y180" i="44"/>
  <c r="AD179" i="44"/>
  <c r="AC179" i="44"/>
  <c r="AB179" i="44"/>
  <c r="AA179" i="44"/>
  <c r="Z179" i="44"/>
  <c r="Y179" i="44"/>
  <c r="AD178" i="44"/>
  <c r="AC178" i="44"/>
  <c r="AB178" i="44"/>
  <c r="AA178" i="44"/>
  <c r="Z178" i="44"/>
  <c r="Y178" i="44"/>
  <c r="AD177" i="44"/>
  <c r="AC177" i="44"/>
  <c r="AB177" i="44"/>
  <c r="AA177" i="44"/>
  <c r="Z177" i="44"/>
  <c r="Y177" i="44"/>
  <c r="AD176" i="44"/>
  <c r="AC176" i="44"/>
  <c r="AB176" i="44"/>
  <c r="AA176" i="44"/>
  <c r="Z176" i="44"/>
  <c r="Y176" i="44"/>
  <c r="AD175" i="44"/>
  <c r="AC175" i="44"/>
  <c r="AB175" i="44"/>
  <c r="AA175" i="44"/>
  <c r="Z175" i="44"/>
  <c r="Y175" i="44"/>
  <c r="AD174" i="44"/>
  <c r="AC174" i="44"/>
  <c r="AB174" i="44"/>
  <c r="AA174" i="44"/>
  <c r="Z174" i="44"/>
  <c r="Y174" i="44"/>
  <c r="AD173" i="44"/>
  <c r="AC173" i="44"/>
  <c r="AB173" i="44"/>
  <c r="AA173" i="44"/>
  <c r="Z173" i="44"/>
  <c r="Y173" i="44"/>
  <c r="AD172" i="44"/>
  <c r="AC172" i="44"/>
  <c r="AB172" i="44"/>
  <c r="AA172" i="44"/>
  <c r="Z172" i="44"/>
  <c r="Y172" i="44"/>
  <c r="AD171" i="44"/>
  <c r="AC171" i="44"/>
  <c r="AB171" i="44"/>
  <c r="AA171" i="44"/>
  <c r="Z171" i="44"/>
  <c r="Y171" i="44"/>
  <c r="AD170" i="44"/>
  <c r="AC170" i="44"/>
  <c r="AB170" i="44"/>
  <c r="AA170" i="44"/>
  <c r="Z170" i="44"/>
  <c r="Y170" i="44"/>
  <c r="AD169" i="44"/>
  <c r="AC169" i="44"/>
  <c r="AB169" i="44"/>
  <c r="AA169" i="44"/>
  <c r="Z169" i="44"/>
  <c r="Y169" i="44"/>
  <c r="AD168" i="44"/>
  <c r="AC168" i="44"/>
  <c r="AB168" i="44"/>
  <c r="AA168" i="44"/>
  <c r="Z168" i="44"/>
  <c r="Y168" i="44"/>
  <c r="AD167" i="44"/>
  <c r="AC167" i="44"/>
  <c r="AB167" i="44"/>
  <c r="AA167" i="44"/>
  <c r="Z167" i="44"/>
  <c r="Y167" i="44"/>
  <c r="AD166" i="44"/>
  <c r="AC166" i="44"/>
  <c r="AB166" i="44"/>
  <c r="AA166" i="44"/>
  <c r="Z166" i="44"/>
  <c r="Y166" i="44"/>
  <c r="AD165" i="44"/>
  <c r="AC165" i="44"/>
  <c r="AB165" i="44"/>
  <c r="AA165" i="44"/>
  <c r="Z165" i="44"/>
  <c r="Y165" i="44"/>
  <c r="AD164" i="44"/>
  <c r="AC164" i="44"/>
  <c r="AB164" i="44"/>
  <c r="AA164" i="44"/>
  <c r="Z164" i="44"/>
  <c r="Y164" i="44"/>
  <c r="AD163" i="44"/>
  <c r="AC163" i="44"/>
  <c r="AB163" i="44"/>
  <c r="AA163" i="44"/>
  <c r="Z163" i="44"/>
  <c r="Y163" i="44"/>
  <c r="AD162" i="44"/>
  <c r="AC162" i="44"/>
  <c r="AB162" i="44"/>
  <c r="AA162" i="44"/>
  <c r="Z162" i="44"/>
  <c r="Y162" i="44"/>
  <c r="AD161" i="44"/>
  <c r="AC161" i="44"/>
  <c r="AB161" i="44"/>
  <c r="AA161" i="44"/>
  <c r="Z161" i="44"/>
  <c r="Y161" i="44"/>
  <c r="AD160" i="44"/>
  <c r="AC160" i="44"/>
  <c r="AB160" i="44"/>
  <c r="AA160" i="44"/>
  <c r="Z160" i="44"/>
  <c r="Y160" i="44"/>
  <c r="AD159" i="44"/>
  <c r="AC159" i="44"/>
  <c r="AB159" i="44"/>
  <c r="AA159" i="44"/>
  <c r="Z159" i="44"/>
  <c r="Y159" i="44"/>
  <c r="AD158" i="44"/>
  <c r="AC158" i="44"/>
  <c r="AB158" i="44"/>
  <c r="AA158" i="44"/>
  <c r="Z158" i="44"/>
  <c r="Y158" i="44"/>
  <c r="AD157" i="44"/>
  <c r="AC157" i="44"/>
  <c r="AB157" i="44"/>
  <c r="AA157" i="44"/>
  <c r="Z157" i="44"/>
  <c r="Y157" i="44"/>
  <c r="AD156" i="44"/>
  <c r="AC156" i="44"/>
  <c r="AB156" i="44"/>
  <c r="AA156" i="44"/>
  <c r="Z156" i="44"/>
  <c r="Y156" i="44"/>
  <c r="AD155" i="44"/>
  <c r="AC155" i="44"/>
  <c r="AB155" i="44"/>
  <c r="AA155" i="44"/>
  <c r="Z155" i="44"/>
  <c r="Y155" i="44"/>
  <c r="AD154" i="44"/>
  <c r="AC154" i="44"/>
  <c r="AB154" i="44"/>
  <c r="AA154" i="44"/>
  <c r="Z154" i="44"/>
  <c r="Y154" i="44"/>
  <c r="AD153" i="44"/>
  <c r="AC153" i="44"/>
  <c r="AB153" i="44"/>
  <c r="AA153" i="44"/>
  <c r="Z153" i="44"/>
  <c r="Y153" i="44"/>
  <c r="AD152" i="44"/>
  <c r="AC152" i="44"/>
  <c r="AB152" i="44"/>
  <c r="AA152" i="44"/>
  <c r="Z152" i="44"/>
  <c r="Y152" i="44"/>
  <c r="AD151" i="44"/>
  <c r="AC151" i="44"/>
  <c r="AB151" i="44"/>
  <c r="AA151" i="44"/>
  <c r="Z151" i="44"/>
  <c r="Y151" i="44"/>
  <c r="AD150" i="44"/>
  <c r="AC150" i="44"/>
  <c r="AB150" i="44"/>
  <c r="AA150" i="44"/>
  <c r="Z150" i="44"/>
  <c r="Y150" i="44"/>
  <c r="AD149" i="44"/>
  <c r="AC149" i="44"/>
  <c r="AB149" i="44"/>
  <c r="AA149" i="44"/>
  <c r="Z149" i="44"/>
  <c r="Y149" i="44"/>
  <c r="AD148" i="44"/>
  <c r="AC148" i="44"/>
  <c r="AB148" i="44"/>
  <c r="AA148" i="44"/>
  <c r="Z148" i="44"/>
  <c r="Y148" i="44"/>
  <c r="AD147" i="44"/>
  <c r="AC147" i="44"/>
  <c r="AB147" i="44"/>
  <c r="AA147" i="44"/>
  <c r="Z147" i="44"/>
  <c r="Y147" i="44"/>
  <c r="AD146" i="44"/>
  <c r="AC146" i="44"/>
  <c r="AB146" i="44"/>
  <c r="AA146" i="44"/>
  <c r="Z146" i="44"/>
  <c r="Y146" i="44"/>
  <c r="AD145" i="44"/>
  <c r="AC145" i="44"/>
  <c r="AB145" i="44"/>
  <c r="AA145" i="44"/>
  <c r="Z145" i="44"/>
  <c r="Y145" i="44"/>
  <c r="AD144" i="44"/>
  <c r="AC144" i="44"/>
  <c r="AB144" i="44"/>
  <c r="AA144" i="44"/>
  <c r="Z144" i="44"/>
  <c r="Y144" i="44"/>
  <c r="AD143" i="44"/>
  <c r="AC143" i="44"/>
  <c r="AB143" i="44"/>
  <c r="AA143" i="44"/>
  <c r="Z143" i="44"/>
  <c r="Y143" i="44"/>
  <c r="AD142" i="44"/>
  <c r="AC142" i="44"/>
  <c r="AB142" i="44"/>
  <c r="AA142" i="44"/>
  <c r="Z142" i="44"/>
  <c r="Y142" i="44"/>
  <c r="AD141" i="44"/>
  <c r="AC141" i="44"/>
  <c r="AB141" i="44"/>
  <c r="AA141" i="44"/>
  <c r="Z141" i="44"/>
  <c r="Y141" i="44"/>
  <c r="AD140" i="44"/>
  <c r="AC140" i="44"/>
  <c r="AB140" i="44"/>
  <c r="AA140" i="44"/>
  <c r="Z140" i="44"/>
  <c r="Y140" i="44"/>
  <c r="AD139" i="44"/>
  <c r="AC139" i="44"/>
  <c r="AB139" i="44"/>
  <c r="AA139" i="44"/>
  <c r="Z139" i="44"/>
  <c r="Y139" i="44"/>
  <c r="AD138" i="44"/>
  <c r="AC138" i="44"/>
  <c r="AB138" i="44"/>
  <c r="AA138" i="44"/>
  <c r="Z138" i="44"/>
  <c r="Y138" i="44"/>
  <c r="AD137" i="44"/>
  <c r="AC137" i="44"/>
  <c r="AB137" i="44"/>
  <c r="AA137" i="44"/>
  <c r="Z137" i="44"/>
  <c r="Y137" i="44"/>
  <c r="AD136" i="44"/>
  <c r="AC136" i="44"/>
  <c r="AB136" i="44"/>
  <c r="AA136" i="44"/>
  <c r="Z136" i="44"/>
  <c r="Y136" i="44"/>
  <c r="AD135" i="44"/>
  <c r="AC135" i="44"/>
  <c r="AB135" i="44"/>
  <c r="AA135" i="44"/>
  <c r="Z135" i="44"/>
  <c r="Y135" i="44"/>
  <c r="AD134" i="44"/>
  <c r="AC134" i="44"/>
  <c r="AB134" i="44"/>
  <c r="AA134" i="44"/>
  <c r="Z134" i="44"/>
  <c r="Y134" i="44"/>
  <c r="AD133" i="44"/>
  <c r="AC133" i="44"/>
  <c r="AB133" i="44"/>
  <c r="AA133" i="44"/>
  <c r="Z133" i="44"/>
  <c r="Y133" i="44"/>
  <c r="AD132" i="44"/>
  <c r="AC132" i="44"/>
  <c r="AB132" i="44"/>
  <c r="AA132" i="44"/>
  <c r="Z132" i="44"/>
  <c r="Y132" i="44"/>
  <c r="AD131" i="44"/>
  <c r="AC131" i="44"/>
  <c r="AB131" i="44"/>
  <c r="AA131" i="44"/>
  <c r="Z131" i="44"/>
  <c r="Y131" i="44"/>
  <c r="AD130" i="44"/>
  <c r="AC130" i="44"/>
  <c r="AB130" i="44"/>
  <c r="AA130" i="44"/>
  <c r="Z130" i="44"/>
  <c r="Y130" i="44"/>
  <c r="AD129" i="44"/>
  <c r="AC129" i="44"/>
  <c r="AB129" i="44"/>
  <c r="AA129" i="44"/>
  <c r="Z129" i="44"/>
  <c r="Y129" i="44"/>
  <c r="AD128" i="44"/>
  <c r="AC128" i="44"/>
  <c r="AB128" i="44"/>
  <c r="AA128" i="44"/>
  <c r="Z128" i="44"/>
  <c r="Y128" i="44"/>
  <c r="AD127" i="44"/>
  <c r="AC127" i="44"/>
  <c r="AB127" i="44"/>
  <c r="AA127" i="44"/>
  <c r="Z127" i="44"/>
  <c r="Y127" i="44"/>
  <c r="AD126" i="44"/>
  <c r="AC126" i="44"/>
  <c r="AB126" i="44"/>
  <c r="AA126" i="44"/>
  <c r="Z126" i="44"/>
  <c r="Y126" i="44"/>
  <c r="AD125" i="44"/>
  <c r="AC125" i="44"/>
  <c r="AB125" i="44"/>
  <c r="AA125" i="44"/>
  <c r="Z125" i="44"/>
  <c r="Y125" i="44"/>
  <c r="AD124" i="44"/>
  <c r="AC124" i="44"/>
  <c r="AB124" i="44"/>
  <c r="AA124" i="44"/>
  <c r="Z124" i="44"/>
  <c r="Y124" i="44"/>
  <c r="AD123" i="44"/>
  <c r="AC123" i="44"/>
  <c r="AB123" i="44"/>
  <c r="AA123" i="44"/>
  <c r="Z123" i="44"/>
  <c r="Y123" i="44"/>
  <c r="AD122" i="44"/>
  <c r="AC122" i="44"/>
  <c r="AB122" i="44"/>
  <c r="AA122" i="44"/>
  <c r="Z122" i="44"/>
  <c r="Y122" i="44"/>
  <c r="AD121" i="44"/>
  <c r="AC121" i="44"/>
  <c r="AB121" i="44"/>
  <c r="AA121" i="44"/>
  <c r="Z121" i="44"/>
  <c r="Y121" i="44"/>
  <c r="AD120" i="44"/>
  <c r="AC120" i="44"/>
  <c r="AB120" i="44"/>
  <c r="AA120" i="44"/>
  <c r="Z120" i="44"/>
  <c r="Y120" i="44"/>
  <c r="AD119" i="44"/>
  <c r="AC119" i="44"/>
  <c r="AB119" i="44"/>
  <c r="AA119" i="44"/>
  <c r="Z119" i="44"/>
  <c r="Y119" i="44"/>
  <c r="AD118" i="44"/>
  <c r="AC118" i="44"/>
  <c r="AB118" i="44"/>
  <c r="AA118" i="44"/>
  <c r="Z118" i="44"/>
  <c r="Y118" i="44"/>
  <c r="AD117" i="44"/>
  <c r="AC117" i="44"/>
  <c r="AB117" i="44"/>
  <c r="AA117" i="44"/>
  <c r="Z117" i="44"/>
  <c r="Y117" i="44"/>
  <c r="AD116" i="44"/>
  <c r="AC116" i="44"/>
  <c r="AB116" i="44"/>
  <c r="AA116" i="44"/>
  <c r="Z116" i="44"/>
  <c r="Y116" i="44"/>
  <c r="AD115" i="44"/>
  <c r="AC115" i="44"/>
  <c r="AB115" i="44"/>
  <c r="AA115" i="44"/>
  <c r="Z115" i="44"/>
  <c r="Y115" i="44"/>
  <c r="AD114" i="44"/>
  <c r="AC114" i="44"/>
  <c r="AB114" i="44"/>
  <c r="AA114" i="44"/>
  <c r="Z114" i="44"/>
  <c r="Y114" i="44"/>
  <c r="AD113" i="44"/>
  <c r="AC113" i="44"/>
  <c r="AB113" i="44"/>
  <c r="AA113" i="44"/>
  <c r="Z113" i="44"/>
  <c r="Y113" i="44"/>
  <c r="AD112" i="44"/>
  <c r="AC112" i="44"/>
  <c r="AB112" i="44"/>
  <c r="AA112" i="44"/>
  <c r="Z112" i="44"/>
  <c r="Y112" i="44"/>
  <c r="AD111" i="44"/>
  <c r="AC111" i="44"/>
  <c r="AB111" i="44"/>
  <c r="AA111" i="44"/>
  <c r="Z111" i="44"/>
  <c r="Y111" i="44"/>
  <c r="AD110" i="44"/>
  <c r="AC110" i="44"/>
  <c r="AB110" i="44"/>
  <c r="AA110" i="44"/>
  <c r="Z110" i="44"/>
  <c r="Y110" i="44"/>
  <c r="AD109" i="44"/>
  <c r="AC109" i="44"/>
  <c r="AB109" i="44"/>
  <c r="AA109" i="44"/>
  <c r="Z109" i="44"/>
  <c r="Y109" i="44"/>
  <c r="AD108" i="44"/>
  <c r="AC108" i="44"/>
  <c r="AB108" i="44"/>
  <c r="AA108" i="44"/>
  <c r="Z108" i="44"/>
  <c r="Y108" i="44"/>
  <c r="AD107" i="44"/>
  <c r="AC107" i="44"/>
  <c r="AB107" i="44"/>
  <c r="AA107" i="44"/>
  <c r="Z107" i="44"/>
  <c r="Y107" i="44"/>
  <c r="AD106" i="44"/>
  <c r="AC106" i="44"/>
  <c r="AB106" i="44"/>
  <c r="AA106" i="44"/>
  <c r="Z106" i="44"/>
  <c r="Y106" i="44"/>
  <c r="AD105" i="44"/>
  <c r="AC105" i="44"/>
  <c r="AB105" i="44"/>
  <c r="AA105" i="44"/>
  <c r="Z105" i="44"/>
  <c r="Y105" i="44"/>
  <c r="AD104" i="44"/>
  <c r="AC104" i="44"/>
  <c r="AB104" i="44"/>
  <c r="AA104" i="44"/>
  <c r="Z104" i="44"/>
  <c r="Y104" i="44"/>
  <c r="AD103" i="44"/>
  <c r="AC103" i="44"/>
  <c r="AB103" i="44"/>
  <c r="AA103" i="44"/>
  <c r="Z103" i="44"/>
  <c r="Y103" i="44"/>
  <c r="AD102" i="44"/>
  <c r="AC102" i="44"/>
  <c r="AB102" i="44"/>
  <c r="AA102" i="44"/>
  <c r="Z102" i="44"/>
  <c r="Y102" i="44"/>
  <c r="AD101" i="44"/>
  <c r="AC101" i="44"/>
  <c r="AB101" i="44"/>
  <c r="AA101" i="44"/>
  <c r="Z101" i="44"/>
  <c r="Y101" i="44"/>
  <c r="AD100" i="44"/>
  <c r="AC100" i="44"/>
  <c r="AB100" i="44"/>
  <c r="AA100" i="44"/>
  <c r="Z100" i="44"/>
  <c r="Y100" i="44"/>
  <c r="AD99" i="44"/>
  <c r="AC99" i="44"/>
  <c r="AB99" i="44"/>
  <c r="AA99" i="44"/>
  <c r="Z99" i="44"/>
  <c r="Y99" i="44"/>
  <c r="AD98" i="44"/>
  <c r="AC98" i="44"/>
  <c r="AB98" i="44"/>
  <c r="AA98" i="44"/>
  <c r="Z98" i="44"/>
  <c r="Y98" i="44"/>
  <c r="AD97" i="44"/>
  <c r="AC97" i="44"/>
  <c r="AB97" i="44"/>
  <c r="AA97" i="44"/>
  <c r="Z97" i="44"/>
  <c r="Y97" i="44"/>
  <c r="AD96" i="44"/>
  <c r="AC96" i="44"/>
  <c r="AB96" i="44"/>
  <c r="AA96" i="44"/>
  <c r="Z96" i="44"/>
  <c r="Y96" i="44"/>
  <c r="AD95" i="44"/>
  <c r="AC95" i="44"/>
  <c r="AB95" i="44"/>
  <c r="AA95" i="44"/>
  <c r="Z95" i="44"/>
  <c r="Y95" i="44"/>
  <c r="AD94" i="44"/>
  <c r="AC94" i="44"/>
  <c r="AB94" i="44"/>
  <c r="AA94" i="44"/>
  <c r="Z94" i="44"/>
  <c r="Y94" i="44"/>
  <c r="AD93" i="44"/>
  <c r="AC93" i="44"/>
  <c r="AB93" i="44"/>
  <c r="AA93" i="44"/>
  <c r="Z93" i="44"/>
  <c r="Y93" i="44"/>
  <c r="AD92" i="44"/>
  <c r="AC92" i="44"/>
  <c r="AB92" i="44"/>
  <c r="AA92" i="44"/>
  <c r="Z92" i="44"/>
  <c r="Y92" i="44"/>
  <c r="AD91" i="44"/>
  <c r="AC91" i="44"/>
  <c r="AB91" i="44"/>
  <c r="AA91" i="44"/>
  <c r="Z91" i="44"/>
  <c r="Y91" i="44"/>
  <c r="AD90" i="44"/>
  <c r="AC90" i="44"/>
  <c r="AB90" i="44"/>
  <c r="AA90" i="44"/>
  <c r="Z90" i="44"/>
  <c r="Y90" i="44"/>
  <c r="AD89" i="44"/>
  <c r="AC89" i="44"/>
  <c r="AB89" i="44"/>
  <c r="AA89" i="44"/>
  <c r="Z89" i="44"/>
  <c r="Y89" i="44"/>
  <c r="AD88" i="44"/>
  <c r="AC88" i="44"/>
  <c r="AB88" i="44"/>
  <c r="AA88" i="44"/>
  <c r="Z88" i="44"/>
  <c r="Y88" i="44"/>
  <c r="AD87" i="44"/>
  <c r="AC87" i="44"/>
  <c r="AB87" i="44"/>
  <c r="AA87" i="44"/>
  <c r="Z87" i="44"/>
  <c r="Y87" i="44"/>
  <c r="AD86" i="44"/>
  <c r="AC86" i="44"/>
  <c r="AB86" i="44"/>
  <c r="AA86" i="44"/>
  <c r="Z86" i="44"/>
  <c r="Y86" i="44"/>
  <c r="AD85" i="44"/>
  <c r="AC85" i="44"/>
  <c r="AB85" i="44"/>
  <c r="AA85" i="44"/>
  <c r="Z85" i="44"/>
  <c r="Y85" i="44"/>
  <c r="AD84" i="44"/>
  <c r="AC84" i="44"/>
  <c r="AB84" i="44"/>
  <c r="AA84" i="44"/>
  <c r="Z84" i="44"/>
  <c r="Y84" i="44"/>
  <c r="AD83" i="44"/>
  <c r="AC83" i="44"/>
  <c r="AB83" i="44"/>
  <c r="AA83" i="44"/>
  <c r="Z83" i="44"/>
  <c r="Y83" i="44"/>
  <c r="AD82" i="44"/>
  <c r="AC82" i="44"/>
  <c r="AB82" i="44"/>
  <c r="AA82" i="44"/>
  <c r="Z82" i="44"/>
  <c r="Y82" i="44"/>
  <c r="AD81" i="44"/>
  <c r="AC81" i="44"/>
  <c r="AB81" i="44"/>
  <c r="AA81" i="44"/>
  <c r="Z81" i="44"/>
  <c r="Y81" i="44"/>
  <c r="AD80" i="44"/>
  <c r="AC80" i="44"/>
  <c r="AB80" i="44"/>
  <c r="AA80" i="44"/>
  <c r="Z80" i="44"/>
  <c r="Y80" i="44"/>
  <c r="AD79" i="44"/>
  <c r="AC79" i="44"/>
  <c r="AB79" i="44"/>
  <c r="AA79" i="44"/>
  <c r="Z79" i="44"/>
  <c r="Y79" i="44"/>
  <c r="AD78" i="44"/>
  <c r="AC78" i="44"/>
  <c r="AB78" i="44"/>
  <c r="AA78" i="44"/>
  <c r="Z78" i="44"/>
  <c r="Y78" i="44"/>
  <c r="AD77" i="44"/>
  <c r="AC77" i="44"/>
  <c r="AB77" i="44"/>
  <c r="AA77" i="44"/>
  <c r="Z77" i="44"/>
  <c r="Y77" i="44"/>
  <c r="AD76" i="44"/>
  <c r="AC76" i="44"/>
  <c r="AB76" i="44"/>
  <c r="AA76" i="44"/>
  <c r="Z76" i="44"/>
  <c r="Y76" i="44"/>
  <c r="AG297" i="37"/>
  <c r="AH297" i="37"/>
  <c r="AI297" i="37"/>
  <c r="AJ297" i="37"/>
  <c r="AK297" i="37"/>
  <c r="AL297" i="37"/>
  <c r="AG298" i="37"/>
  <c r="AH298" i="37"/>
  <c r="AI298" i="37"/>
  <c r="AJ298" i="37"/>
  <c r="AK298" i="37"/>
  <c r="AL298" i="37"/>
  <c r="AG299" i="37"/>
  <c r="AH299" i="37"/>
  <c r="AI299" i="37"/>
  <c r="AJ299" i="37"/>
  <c r="AK299" i="37"/>
  <c r="AL299" i="37"/>
  <c r="AG300" i="37"/>
  <c r="AH300" i="37"/>
  <c r="AI300" i="37"/>
  <c r="AJ300" i="37"/>
  <c r="AK300" i="37"/>
  <c r="AL300" i="37"/>
  <c r="AG301" i="37"/>
  <c r="AH301" i="37"/>
  <c r="AI301" i="37"/>
  <c r="AJ301" i="37"/>
  <c r="AK301" i="37"/>
  <c r="AL301" i="37"/>
  <c r="AG302" i="37"/>
  <c r="AH302" i="37"/>
  <c r="AI302" i="37"/>
  <c r="AJ302" i="37"/>
  <c r="AK302" i="37"/>
  <c r="AL302" i="37"/>
  <c r="AG303" i="37"/>
  <c r="AH303" i="37"/>
  <c r="AI303" i="37"/>
  <c r="AJ303" i="37"/>
  <c r="AK303" i="37"/>
  <c r="AL303" i="37"/>
  <c r="AG304" i="37"/>
  <c r="AH304" i="37"/>
  <c r="AI304" i="37"/>
  <c r="AJ304" i="37"/>
  <c r="AK304" i="37"/>
  <c r="AL304" i="37"/>
  <c r="AG305" i="37"/>
  <c r="AH305" i="37"/>
  <c r="AI305" i="37"/>
  <c r="AJ305" i="37"/>
  <c r="AK305" i="37"/>
  <c r="AL305" i="37"/>
  <c r="AG306" i="37"/>
  <c r="AH306" i="37"/>
  <c r="AI306" i="37"/>
  <c r="AJ306" i="37"/>
  <c r="AK306" i="37"/>
  <c r="AL306" i="37"/>
  <c r="AG307" i="37"/>
  <c r="AH307" i="37"/>
  <c r="AI307" i="37"/>
  <c r="AJ307" i="37"/>
  <c r="AK307" i="37"/>
  <c r="AL307" i="37"/>
  <c r="AG308" i="37"/>
  <c r="AH308" i="37"/>
  <c r="AI308" i="37"/>
  <c r="AJ308" i="37"/>
  <c r="AK308" i="37"/>
  <c r="AL308" i="37"/>
  <c r="AG309" i="37"/>
  <c r="AH309" i="37"/>
  <c r="AI309" i="37"/>
  <c r="AJ309" i="37"/>
  <c r="AK309" i="37"/>
  <c r="AL309" i="37"/>
  <c r="AG310" i="37"/>
  <c r="AH310" i="37"/>
  <c r="AI310" i="37"/>
  <c r="AJ310" i="37"/>
  <c r="AK310" i="37"/>
  <c r="AL310" i="37"/>
  <c r="AG311" i="37"/>
  <c r="AH311" i="37"/>
  <c r="AI311" i="37"/>
  <c r="AJ311" i="37"/>
  <c r="AK311" i="37"/>
  <c r="AL311" i="37"/>
  <c r="AG312" i="37"/>
  <c r="AH312" i="37"/>
  <c r="AI312" i="37"/>
  <c r="AJ312" i="37"/>
  <c r="AK312" i="37"/>
  <c r="AL312" i="37"/>
  <c r="AG313" i="37"/>
  <c r="AH313" i="37"/>
  <c r="AI313" i="37"/>
  <c r="AJ313" i="37"/>
  <c r="AK313" i="37"/>
  <c r="AL313" i="37"/>
  <c r="AG314" i="37"/>
  <c r="AH314" i="37"/>
  <c r="AI314" i="37"/>
  <c r="AJ314" i="37"/>
  <c r="AK314" i="37"/>
  <c r="AL314" i="37"/>
  <c r="AG315" i="37"/>
  <c r="AH315" i="37"/>
  <c r="AI315" i="37"/>
  <c r="AJ315" i="37"/>
  <c r="AK315" i="37"/>
  <c r="AL315" i="37"/>
  <c r="AG316" i="37"/>
  <c r="AH316" i="37"/>
  <c r="AI316" i="37"/>
  <c r="AJ316" i="37"/>
  <c r="AK316" i="37"/>
  <c r="AL316" i="37"/>
  <c r="AG317" i="37"/>
  <c r="AH317" i="37"/>
  <c r="AI317" i="37"/>
  <c r="AJ317" i="37"/>
  <c r="AK317" i="37"/>
  <c r="AL317" i="37"/>
  <c r="AG318" i="37"/>
  <c r="AH318" i="37"/>
  <c r="AI318" i="37"/>
  <c r="AJ318" i="37"/>
  <c r="AK318" i="37"/>
  <c r="AL318" i="37"/>
  <c r="AG319" i="37"/>
  <c r="AH319" i="37"/>
  <c r="AI319" i="37"/>
  <c r="AJ319" i="37"/>
  <c r="AK319" i="37"/>
  <c r="AL319" i="37"/>
  <c r="AG320" i="37"/>
  <c r="AH320" i="37"/>
  <c r="AI320" i="37"/>
  <c r="AJ320" i="37"/>
  <c r="AK320" i="37"/>
  <c r="AL320" i="37"/>
  <c r="AG321" i="37"/>
  <c r="AH321" i="37"/>
  <c r="AI321" i="37"/>
  <c r="AJ321" i="37"/>
  <c r="AK321" i="37"/>
  <c r="AL321" i="37"/>
  <c r="AG322" i="37"/>
  <c r="AH322" i="37"/>
  <c r="AI322" i="37"/>
  <c r="AJ322" i="37"/>
  <c r="AK322" i="37"/>
  <c r="AL322" i="37"/>
  <c r="AG323" i="37"/>
  <c r="AH323" i="37"/>
  <c r="AI323" i="37"/>
  <c r="AJ323" i="37"/>
  <c r="AK323" i="37"/>
  <c r="AL323" i="37"/>
  <c r="AG324" i="37"/>
  <c r="AH324" i="37"/>
  <c r="AI324" i="37"/>
  <c r="AJ324" i="37"/>
  <c r="AK324" i="37"/>
  <c r="AL324" i="37"/>
  <c r="AG325" i="37"/>
  <c r="AH325" i="37"/>
  <c r="AI325" i="37"/>
  <c r="AJ325" i="37"/>
  <c r="AK325" i="37"/>
  <c r="AL325" i="37"/>
  <c r="AG326" i="37"/>
  <c r="AH326" i="37"/>
  <c r="AI326" i="37"/>
  <c r="AJ326" i="37"/>
  <c r="AK326" i="37"/>
  <c r="AL326" i="37"/>
  <c r="AG327" i="37"/>
  <c r="AH327" i="37"/>
  <c r="AI327" i="37"/>
  <c r="AJ327" i="37"/>
  <c r="AK327" i="37"/>
  <c r="AL327" i="37"/>
  <c r="AG328" i="37"/>
  <c r="AH328" i="37"/>
  <c r="AI328" i="37"/>
  <c r="AJ328" i="37"/>
  <c r="AK328" i="37"/>
  <c r="AL328" i="37"/>
  <c r="AG329" i="37"/>
  <c r="AH329" i="37"/>
  <c r="AI329" i="37"/>
  <c r="AJ329" i="37"/>
  <c r="AK329" i="37"/>
  <c r="AL329" i="37"/>
  <c r="AG330" i="37"/>
  <c r="AH330" i="37"/>
  <c r="AI330" i="37"/>
  <c r="AJ330" i="37"/>
  <c r="AK330" i="37"/>
  <c r="AL330" i="37"/>
  <c r="AG331" i="37"/>
  <c r="AH331" i="37"/>
  <c r="AI331" i="37"/>
  <c r="AJ331" i="37"/>
  <c r="AK331" i="37"/>
  <c r="AL331" i="37"/>
  <c r="AG332" i="37"/>
  <c r="AH332" i="37"/>
  <c r="AI332" i="37"/>
  <c r="AJ332" i="37"/>
  <c r="AK332" i="37"/>
  <c r="AL332" i="37"/>
  <c r="AG333" i="37"/>
  <c r="AH333" i="37"/>
  <c r="AI333" i="37"/>
  <c r="AJ333" i="37"/>
  <c r="AK333" i="37"/>
  <c r="AL333" i="37"/>
  <c r="AG334" i="37"/>
  <c r="AH334" i="37"/>
  <c r="AI334" i="37"/>
  <c r="AJ334" i="37"/>
  <c r="AK334" i="37"/>
  <c r="AL334" i="37"/>
  <c r="AG335" i="37"/>
  <c r="AH335" i="37"/>
  <c r="AI335" i="37"/>
  <c r="AJ335" i="37"/>
  <c r="AK335" i="37"/>
  <c r="AL335" i="37"/>
  <c r="AG336" i="37"/>
  <c r="AH336" i="37"/>
  <c r="AI336" i="37"/>
  <c r="AJ336" i="37"/>
  <c r="AK336" i="37"/>
  <c r="AL336" i="37"/>
  <c r="AG337" i="37"/>
  <c r="AH337" i="37"/>
  <c r="AI337" i="37"/>
  <c r="AJ337" i="37"/>
  <c r="AK337" i="37"/>
  <c r="AL337" i="37"/>
  <c r="AG338" i="37"/>
  <c r="AH338" i="37"/>
  <c r="AI338" i="37"/>
  <c r="AJ338" i="37"/>
  <c r="AK338" i="37"/>
  <c r="AL338" i="37"/>
  <c r="AG339" i="37"/>
  <c r="AH339" i="37"/>
  <c r="AI339" i="37"/>
  <c r="AJ339" i="37"/>
  <c r="AK339" i="37"/>
  <c r="AL339" i="37"/>
  <c r="AG340" i="37"/>
  <c r="AH340" i="37"/>
  <c r="AI340" i="37"/>
  <c r="AJ340" i="37"/>
  <c r="AK340" i="37"/>
  <c r="AL340" i="37"/>
  <c r="AG341" i="37"/>
  <c r="AH341" i="37"/>
  <c r="AI341" i="37"/>
  <c r="AJ341" i="37"/>
  <c r="AK341" i="37"/>
  <c r="AL341" i="37"/>
  <c r="AG342" i="37"/>
  <c r="AH342" i="37"/>
  <c r="AI342" i="37"/>
  <c r="AJ342" i="37"/>
  <c r="AK342" i="37"/>
  <c r="AL342" i="37"/>
  <c r="AG343" i="37"/>
  <c r="AH343" i="37"/>
  <c r="AI343" i="37"/>
  <c r="AJ343" i="37"/>
  <c r="AK343" i="37"/>
  <c r="AL343" i="37"/>
  <c r="AG344" i="37"/>
  <c r="AH344" i="37"/>
  <c r="AI344" i="37"/>
  <c r="AJ344" i="37"/>
  <c r="AK344" i="37"/>
  <c r="AL344" i="37"/>
  <c r="AG345" i="37"/>
  <c r="AH345" i="37"/>
  <c r="AI345" i="37"/>
  <c r="AJ345" i="37"/>
  <c r="AK345" i="37"/>
  <c r="AL345" i="37"/>
  <c r="AG346" i="37"/>
  <c r="AH346" i="37"/>
  <c r="AI346" i="37"/>
  <c r="AJ346" i="37"/>
  <c r="AK346" i="37"/>
  <c r="AL346" i="37"/>
  <c r="AG347" i="37"/>
  <c r="AH347" i="37"/>
  <c r="AI347" i="37"/>
  <c r="AJ347" i="37"/>
  <c r="AK347" i="37"/>
  <c r="AL347" i="37"/>
  <c r="AG348" i="37"/>
  <c r="AH348" i="37"/>
  <c r="AI348" i="37"/>
  <c r="AJ348" i="37"/>
  <c r="AK348" i="37"/>
  <c r="AL348" i="37"/>
  <c r="AG349" i="37"/>
  <c r="AH349" i="37"/>
  <c r="AI349" i="37"/>
  <c r="AJ349" i="37"/>
  <c r="AK349" i="37"/>
  <c r="AL349" i="37"/>
  <c r="AG350" i="37"/>
  <c r="AH350" i="37"/>
  <c r="AI350" i="37"/>
  <c r="AJ350" i="37"/>
  <c r="AK350" i="37"/>
  <c r="AL350" i="37"/>
  <c r="AG351" i="37"/>
  <c r="AH351" i="37"/>
  <c r="AI351" i="37"/>
  <c r="AJ351" i="37"/>
  <c r="AK351" i="37"/>
  <c r="AL351" i="37"/>
  <c r="AG352" i="37"/>
  <c r="AH352" i="37"/>
  <c r="AI352" i="37"/>
  <c r="AJ352" i="37"/>
  <c r="AK352" i="37"/>
  <c r="AL352" i="37"/>
  <c r="AG353" i="37"/>
  <c r="AH353" i="37"/>
  <c r="AI353" i="37"/>
  <c r="AJ353" i="37"/>
  <c r="AK353" i="37"/>
  <c r="AL353" i="37"/>
  <c r="AG354" i="37"/>
  <c r="AH354" i="37"/>
  <c r="AI354" i="37"/>
  <c r="AJ354" i="37"/>
  <c r="AK354" i="37"/>
  <c r="AL354" i="37"/>
  <c r="AG355" i="37"/>
  <c r="AH355" i="37"/>
  <c r="AI355" i="37"/>
  <c r="AJ355" i="37"/>
  <c r="AK355" i="37"/>
  <c r="AL355" i="37"/>
  <c r="AG356" i="37"/>
  <c r="AH356" i="37"/>
  <c r="AI356" i="37"/>
  <c r="AJ356" i="37"/>
  <c r="AK356" i="37"/>
  <c r="AL356" i="37"/>
  <c r="AG357" i="37"/>
  <c r="AH357" i="37"/>
  <c r="AI357" i="37"/>
  <c r="AJ357" i="37"/>
  <c r="AK357" i="37"/>
  <c r="AL357" i="37"/>
  <c r="AG358" i="37"/>
  <c r="AH358" i="37"/>
  <c r="AI358" i="37"/>
  <c r="AJ358" i="37"/>
  <c r="AK358" i="37"/>
  <c r="AL358" i="37"/>
  <c r="AG359" i="37"/>
  <c r="AH359" i="37"/>
  <c r="AI359" i="37"/>
  <c r="AJ359" i="37"/>
  <c r="AK359" i="37"/>
  <c r="AL359" i="37"/>
  <c r="AG360" i="37"/>
  <c r="AH360" i="37"/>
  <c r="AI360" i="37"/>
  <c r="AJ360" i="37"/>
  <c r="AK360" i="37"/>
  <c r="AL360" i="37"/>
  <c r="AG361" i="37"/>
  <c r="AH361" i="37"/>
  <c r="AI361" i="37"/>
  <c r="AJ361" i="37"/>
  <c r="AK361" i="37"/>
  <c r="AL361" i="37"/>
  <c r="AG362" i="37"/>
  <c r="AH362" i="37"/>
  <c r="AI362" i="37"/>
  <c r="AJ362" i="37"/>
  <c r="AK362" i="37"/>
  <c r="AL362" i="37"/>
  <c r="AG363" i="37"/>
  <c r="AH363" i="37"/>
  <c r="AI363" i="37"/>
  <c r="AJ363" i="37"/>
  <c r="AK363" i="37"/>
  <c r="AL363" i="37"/>
  <c r="AG364" i="37"/>
  <c r="AH364" i="37"/>
  <c r="AI364" i="37"/>
  <c r="AJ364" i="37"/>
  <c r="AK364" i="37"/>
  <c r="AL364" i="37"/>
  <c r="AG365" i="37"/>
  <c r="AH365" i="37"/>
  <c r="AI365" i="37"/>
  <c r="AJ365" i="37"/>
  <c r="AK365" i="37"/>
  <c r="AL365" i="37"/>
  <c r="AG366" i="37"/>
  <c r="AH366" i="37"/>
  <c r="AI366" i="37"/>
  <c r="AJ366" i="37"/>
  <c r="AK366" i="37"/>
  <c r="AL366" i="37"/>
  <c r="AG367" i="37"/>
  <c r="AH367" i="37"/>
  <c r="AI367" i="37"/>
  <c r="AJ367" i="37"/>
  <c r="AK367" i="37"/>
  <c r="AL367" i="37"/>
  <c r="AG368" i="37"/>
  <c r="AH368" i="37"/>
  <c r="AI368" i="37"/>
  <c r="AJ368" i="37"/>
  <c r="AK368" i="37"/>
  <c r="AL368" i="37"/>
  <c r="AG369" i="37"/>
  <c r="AH369" i="37"/>
  <c r="AI369" i="37"/>
  <c r="AJ369" i="37"/>
  <c r="AK369" i="37"/>
  <c r="AL369" i="37"/>
  <c r="AG370" i="37"/>
  <c r="AH370" i="37"/>
  <c r="AI370" i="37"/>
  <c r="AJ370" i="37"/>
  <c r="AK370" i="37"/>
  <c r="AL370" i="37"/>
  <c r="AG371" i="37"/>
  <c r="AH371" i="37"/>
  <c r="AI371" i="37"/>
  <c r="AJ371" i="37"/>
  <c r="AK371" i="37"/>
  <c r="AL371" i="37"/>
  <c r="AG372" i="37"/>
  <c r="AH372" i="37"/>
  <c r="AI372" i="37"/>
  <c r="AJ372" i="37"/>
  <c r="AK372" i="37"/>
  <c r="AL372" i="37"/>
  <c r="AG373" i="37"/>
  <c r="AH373" i="37"/>
  <c r="AI373" i="37"/>
  <c r="AJ373" i="37"/>
  <c r="AK373" i="37"/>
  <c r="AL373" i="37"/>
  <c r="AG374" i="37"/>
  <c r="AH374" i="37"/>
  <c r="AI374" i="37"/>
  <c r="AJ374" i="37"/>
  <c r="AK374" i="37"/>
  <c r="AL374" i="37"/>
  <c r="AG375" i="37"/>
  <c r="AH375" i="37"/>
  <c r="AI375" i="37"/>
  <c r="AJ375" i="37"/>
  <c r="AK375" i="37"/>
  <c r="AL375" i="37"/>
  <c r="AG376" i="37"/>
  <c r="AH376" i="37"/>
  <c r="AI376" i="37"/>
  <c r="AJ376" i="37"/>
  <c r="AK376" i="37"/>
  <c r="AL376" i="37"/>
  <c r="AG377" i="37"/>
  <c r="AH377" i="37"/>
  <c r="AI377" i="37"/>
  <c r="AJ377" i="37"/>
  <c r="AK377" i="37"/>
  <c r="AL377" i="37"/>
  <c r="AG378" i="37"/>
  <c r="AH378" i="37"/>
  <c r="AI378" i="37"/>
  <c r="AJ378" i="37"/>
  <c r="AK378" i="37"/>
  <c r="AL378" i="37"/>
  <c r="AG379" i="37"/>
  <c r="AH379" i="37"/>
  <c r="AI379" i="37"/>
  <c r="AJ379" i="37"/>
  <c r="AK379" i="37"/>
  <c r="AL379" i="37"/>
  <c r="AG380" i="37"/>
  <c r="AH380" i="37"/>
  <c r="AI380" i="37"/>
  <c r="AJ380" i="37"/>
  <c r="AK380" i="37"/>
  <c r="AL380" i="37"/>
  <c r="AG381" i="37"/>
  <c r="AH381" i="37"/>
  <c r="AI381" i="37"/>
  <c r="AJ381" i="37"/>
  <c r="AK381" i="37"/>
  <c r="AL381" i="37"/>
  <c r="AG382" i="37"/>
  <c r="AH382" i="37"/>
  <c r="AI382" i="37"/>
  <c r="AJ382" i="37"/>
  <c r="AK382" i="37"/>
  <c r="AL382" i="37"/>
  <c r="AG383" i="37"/>
  <c r="AH383" i="37"/>
  <c r="AI383" i="37"/>
  <c r="AJ383" i="37"/>
  <c r="AK383" i="37"/>
  <c r="AL383" i="37"/>
  <c r="AG384" i="37"/>
  <c r="AH384" i="37"/>
  <c r="AI384" i="37"/>
  <c r="AJ384" i="37"/>
  <c r="AK384" i="37"/>
  <c r="AL384" i="37"/>
  <c r="AG385" i="37"/>
  <c r="AH385" i="37"/>
  <c r="AI385" i="37"/>
  <c r="AJ385" i="37"/>
  <c r="AK385" i="37"/>
  <c r="AL385" i="37"/>
  <c r="AG386" i="37"/>
  <c r="AH386" i="37"/>
  <c r="AI386" i="37"/>
  <c r="AJ386" i="37"/>
  <c r="AK386" i="37"/>
  <c r="AL386" i="37"/>
  <c r="AG387" i="37"/>
  <c r="AH387" i="37"/>
  <c r="AI387" i="37"/>
  <c r="AJ387" i="37"/>
  <c r="AK387" i="37"/>
  <c r="AL387" i="37"/>
  <c r="AG388" i="37"/>
  <c r="AH388" i="37"/>
  <c r="AI388" i="37"/>
  <c r="AJ388" i="37"/>
  <c r="AK388" i="37"/>
  <c r="AL388" i="37"/>
  <c r="AG389" i="37"/>
  <c r="AH389" i="37"/>
  <c r="AI389" i="37"/>
  <c r="AJ389" i="37"/>
  <c r="AK389" i="37"/>
  <c r="AL389" i="37"/>
  <c r="AG390" i="37"/>
  <c r="AH390" i="37"/>
  <c r="AI390" i="37"/>
  <c r="AJ390" i="37"/>
  <c r="AK390" i="37"/>
  <c r="AL390" i="37"/>
  <c r="AG391" i="37"/>
  <c r="AH391" i="37"/>
  <c r="AI391" i="37"/>
  <c r="AJ391" i="37"/>
  <c r="AK391" i="37"/>
  <c r="AL391" i="37"/>
  <c r="AG392" i="37"/>
  <c r="AH392" i="37"/>
  <c r="AI392" i="37"/>
  <c r="AJ392" i="37"/>
  <c r="AK392" i="37"/>
  <c r="AL392" i="37"/>
  <c r="AG393" i="37"/>
  <c r="AH393" i="37"/>
  <c r="AI393" i="37"/>
  <c r="AJ393" i="37"/>
  <c r="AK393" i="37"/>
  <c r="AL393" i="37"/>
  <c r="AG394" i="37"/>
  <c r="AH394" i="37"/>
  <c r="AI394" i="37"/>
  <c r="AJ394" i="37"/>
  <c r="AK394" i="37"/>
  <c r="AL394" i="37"/>
  <c r="AG395" i="37"/>
  <c r="AH395" i="37"/>
  <c r="AI395" i="37"/>
  <c r="AJ395" i="37"/>
  <c r="AK395" i="37"/>
  <c r="AL395" i="37"/>
  <c r="AG396" i="37"/>
  <c r="AH396" i="37"/>
  <c r="AI396" i="37"/>
  <c r="AJ396" i="37"/>
  <c r="AK396" i="37"/>
  <c r="AL396" i="37"/>
  <c r="AG397" i="37"/>
  <c r="AH397" i="37"/>
  <c r="AI397" i="37"/>
  <c r="AJ397" i="37"/>
  <c r="AK397" i="37"/>
  <c r="AL397" i="37"/>
  <c r="AG398" i="37"/>
  <c r="AH398" i="37"/>
  <c r="AI398" i="37"/>
  <c r="AJ398" i="37"/>
  <c r="AK398" i="37"/>
  <c r="AL398" i="37"/>
  <c r="AG399" i="37"/>
  <c r="AH399" i="37"/>
  <c r="AI399" i="37"/>
  <c r="AJ399" i="37"/>
  <c r="AK399" i="37"/>
  <c r="AL399" i="37"/>
  <c r="AG400" i="37"/>
  <c r="AH400" i="37"/>
  <c r="AI400" i="37"/>
  <c r="AJ400" i="37"/>
  <c r="AK400" i="37"/>
  <c r="AL400" i="37"/>
  <c r="AG401" i="37"/>
  <c r="AH401" i="37"/>
  <c r="AI401" i="37"/>
  <c r="AJ401" i="37"/>
  <c r="AK401" i="37"/>
  <c r="AL401" i="37"/>
  <c r="AG402" i="37"/>
  <c r="AH402" i="37"/>
  <c r="AI402" i="37"/>
  <c r="AJ402" i="37"/>
  <c r="AK402" i="37"/>
  <c r="AL402" i="37"/>
  <c r="AG403" i="37"/>
  <c r="AH403" i="37"/>
  <c r="AI403" i="37"/>
  <c r="AJ403" i="37"/>
  <c r="AK403" i="37"/>
  <c r="AL403" i="37"/>
  <c r="AG404" i="37"/>
  <c r="AH404" i="37"/>
  <c r="AI404" i="37"/>
  <c r="AJ404" i="37"/>
  <c r="AK404" i="37"/>
  <c r="AL404" i="37"/>
  <c r="AG405" i="37"/>
  <c r="AH405" i="37"/>
  <c r="AI405" i="37"/>
  <c r="AJ405" i="37"/>
  <c r="AK405" i="37"/>
  <c r="AL405" i="37"/>
  <c r="AG406" i="37"/>
  <c r="AH406" i="37"/>
  <c r="AI406" i="37"/>
  <c r="AJ406" i="37"/>
  <c r="AK406" i="37"/>
  <c r="AL406" i="37"/>
  <c r="AG407" i="37"/>
  <c r="AH407" i="37"/>
  <c r="AI407" i="37"/>
  <c r="AJ407" i="37"/>
  <c r="AK407" i="37"/>
  <c r="AL407" i="37"/>
  <c r="AG408" i="37"/>
  <c r="AH408" i="37"/>
  <c r="AI408" i="37"/>
  <c r="AJ408" i="37"/>
  <c r="AK408" i="37"/>
  <c r="AL408" i="37"/>
  <c r="AG409" i="37"/>
  <c r="AH409" i="37"/>
  <c r="AI409" i="37"/>
  <c r="AJ409" i="37"/>
  <c r="AK409" i="37"/>
  <c r="AL409" i="37"/>
  <c r="AG410" i="37"/>
  <c r="AH410" i="37"/>
  <c r="AI410" i="37"/>
  <c r="AJ410" i="37"/>
  <c r="AK410" i="37"/>
  <c r="AL410" i="37"/>
  <c r="AG411" i="37"/>
  <c r="AH411" i="37"/>
  <c r="AI411" i="37"/>
  <c r="AJ411" i="37"/>
  <c r="AK411" i="37"/>
  <c r="AL411" i="37"/>
  <c r="AG412" i="37"/>
  <c r="AH412" i="37"/>
  <c r="AI412" i="37"/>
  <c r="AJ412" i="37"/>
  <c r="AK412" i="37"/>
  <c r="AL412" i="37"/>
  <c r="AG413" i="37"/>
  <c r="AH413" i="37"/>
  <c r="AI413" i="37"/>
  <c r="AJ413" i="37"/>
  <c r="AK413" i="37"/>
  <c r="AL413" i="37"/>
  <c r="AG414" i="37"/>
  <c r="AH414" i="37"/>
  <c r="AI414" i="37"/>
  <c r="AJ414" i="37"/>
  <c r="AK414" i="37"/>
  <c r="AL414" i="37"/>
  <c r="AG415" i="37"/>
  <c r="AH415" i="37"/>
  <c r="AI415" i="37"/>
  <c r="AJ415" i="37"/>
  <c r="AK415" i="37"/>
  <c r="AL415" i="37"/>
  <c r="AG416" i="37"/>
  <c r="AH416" i="37"/>
  <c r="AI416" i="37"/>
  <c r="AJ416" i="37"/>
  <c r="AK416" i="37"/>
  <c r="AL416" i="37"/>
  <c r="AG417" i="37"/>
  <c r="AH417" i="37"/>
  <c r="AI417" i="37"/>
  <c r="AJ417" i="37"/>
  <c r="AK417" i="37"/>
  <c r="AL417" i="37"/>
  <c r="AG418" i="37"/>
  <c r="AH418" i="37"/>
  <c r="AI418" i="37"/>
  <c r="AJ418" i="37"/>
  <c r="AK418" i="37"/>
  <c r="AL418" i="37"/>
  <c r="AG419" i="37"/>
  <c r="AH419" i="37"/>
  <c r="AI419" i="37"/>
  <c r="AJ419" i="37"/>
  <c r="AK419" i="37"/>
  <c r="AL419" i="37"/>
  <c r="AG420" i="37"/>
  <c r="AH420" i="37"/>
  <c r="AI420" i="37"/>
  <c r="AJ420" i="37"/>
  <c r="AK420" i="37"/>
  <c r="AL420" i="37"/>
  <c r="AG421" i="37"/>
  <c r="AH421" i="37"/>
  <c r="AI421" i="37"/>
  <c r="AJ421" i="37"/>
  <c r="AK421" i="37"/>
  <c r="AL421" i="37"/>
  <c r="AG422" i="37"/>
  <c r="AH422" i="37"/>
  <c r="AI422" i="37"/>
  <c r="AJ422" i="37"/>
  <c r="AK422" i="37"/>
  <c r="AL422" i="37"/>
  <c r="AG423" i="37"/>
  <c r="AH423" i="37"/>
  <c r="AI423" i="37"/>
  <c r="AJ423" i="37"/>
  <c r="AK423" i="37"/>
  <c r="AL423" i="37"/>
  <c r="AG424" i="37"/>
  <c r="AH424" i="37"/>
  <c r="AI424" i="37"/>
  <c r="AJ424" i="37"/>
  <c r="AK424" i="37"/>
  <c r="AL424" i="37"/>
  <c r="AG425" i="37"/>
  <c r="AH425" i="37"/>
  <c r="AI425" i="37"/>
  <c r="AJ425" i="37"/>
  <c r="AK425" i="37"/>
  <c r="AL425" i="37"/>
  <c r="AG426" i="37"/>
  <c r="AH426" i="37"/>
  <c r="AI426" i="37"/>
  <c r="AJ426" i="37"/>
  <c r="AK426" i="37"/>
  <c r="AL426" i="37"/>
  <c r="AG427" i="37"/>
  <c r="AH427" i="37"/>
  <c r="AI427" i="37"/>
  <c r="AJ427" i="37"/>
  <c r="AK427" i="37"/>
  <c r="AL427" i="37"/>
  <c r="AG428" i="37"/>
  <c r="AH428" i="37"/>
  <c r="AI428" i="37"/>
  <c r="AJ428" i="37"/>
  <c r="AK428" i="37"/>
  <c r="AL428" i="37"/>
  <c r="AG429" i="37"/>
  <c r="AH429" i="37"/>
  <c r="AI429" i="37"/>
  <c r="AJ429" i="37"/>
  <c r="AK429" i="37"/>
  <c r="AL429" i="37"/>
  <c r="AG430" i="37"/>
  <c r="AH430" i="37"/>
  <c r="AI430" i="37"/>
  <c r="AJ430" i="37"/>
  <c r="AK430" i="37"/>
  <c r="AL430" i="37"/>
  <c r="AG431" i="37"/>
  <c r="AH431" i="37"/>
  <c r="AI431" i="37"/>
  <c r="AJ431" i="37"/>
  <c r="AK431" i="37"/>
  <c r="AL431" i="37"/>
  <c r="AG432" i="37"/>
  <c r="AH432" i="37"/>
  <c r="AI432" i="37"/>
  <c r="AJ432" i="37"/>
  <c r="AK432" i="37"/>
  <c r="AL432" i="37"/>
  <c r="AG433" i="37"/>
  <c r="AH433" i="37"/>
  <c r="AI433" i="37"/>
  <c r="AJ433" i="37"/>
  <c r="AK433" i="37"/>
  <c r="AL433" i="37"/>
  <c r="AG434" i="37"/>
  <c r="AH434" i="37"/>
  <c r="AI434" i="37"/>
  <c r="AJ434" i="37"/>
  <c r="AK434" i="37"/>
  <c r="AL434" i="37"/>
  <c r="AG435" i="37"/>
  <c r="AH435" i="37"/>
  <c r="AI435" i="37"/>
  <c r="AJ435" i="37"/>
  <c r="AK435" i="37"/>
  <c r="AL435" i="37"/>
  <c r="AG436" i="37"/>
  <c r="AH436" i="37"/>
  <c r="AI436" i="37"/>
  <c r="AJ436" i="37"/>
  <c r="AK436" i="37"/>
  <c r="AL436" i="37"/>
  <c r="AG437" i="37"/>
  <c r="AH437" i="37"/>
  <c r="AI437" i="37"/>
  <c r="AJ437" i="37"/>
  <c r="AK437" i="37"/>
  <c r="AL437" i="37"/>
  <c r="AG438" i="37"/>
  <c r="AH438" i="37"/>
  <c r="AI438" i="37"/>
  <c r="AJ438" i="37"/>
  <c r="AK438" i="37"/>
  <c r="AL438" i="37"/>
  <c r="AG439" i="37"/>
  <c r="AH439" i="37"/>
  <c r="AI439" i="37"/>
  <c r="AJ439" i="37"/>
  <c r="AK439" i="37"/>
  <c r="AL439" i="37"/>
  <c r="AG440" i="37"/>
  <c r="AH440" i="37"/>
  <c r="AI440" i="37"/>
  <c r="AJ440" i="37"/>
  <c r="AK440" i="37"/>
  <c r="AL440" i="37"/>
  <c r="AG441" i="37"/>
  <c r="AH441" i="37"/>
  <c r="AI441" i="37"/>
  <c r="AJ441" i="37"/>
  <c r="AK441" i="37"/>
  <c r="AL441" i="37"/>
  <c r="AG442" i="37"/>
  <c r="AH442" i="37"/>
  <c r="AI442" i="37"/>
  <c r="AJ442" i="37"/>
  <c r="AK442" i="37"/>
  <c r="AL442" i="37"/>
  <c r="AG443" i="37"/>
  <c r="AH443" i="37"/>
  <c r="AI443" i="37"/>
  <c r="AJ443" i="37"/>
  <c r="AK443" i="37"/>
  <c r="AL443" i="37"/>
  <c r="AG444" i="37"/>
  <c r="AH444" i="37"/>
  <c r="AI444" i="37"/>
  <c r="AJ444" i="37"/>
  <c r="AK444" i="37"/>
  <c r="AL444" i="37"/>
  <c r="AG445" i="37"/>
  <c r="AH445" i="37"/>
  <c r="AI445" i="37"/>
  <c r="AJ445" i="37"/>
  <c r="AK445" i="37"/>
  <c r="AL445" i="37"/>
  <c r="AG446" i="37"/>
  <c r="AH446" i="37"/>
  <c r="AI446" i="37"/>
  <c r="AJ446" i="37"/>
  <c r="AK446" i="37"/>
  <c r="AL446" i="37"/>
  <c r="AG447" i="37"/>
  <c r="AH447" i="37"/>
  <c r="AI447" i="37"/>
  <c r="AJ447" i="37"/>
  <c r="AK447" i="37"/>
  <c r="AL447" i="37"/>
  <c r="AG448" i="37"/>
  <c r="AH448" i="37"/>
  <c r="AI448" i="37"/>
  <c r="AJ448" i="37"/>
  <c r="AK448" i="37"/>
  <c r="AL448" i="37"/>
  <c r="AG449" i="37"/>
  <c r="AH449" i="37"/>
  <c r="AI449" i="37"/>
  <c r="AJ449" i="37"/>
  <c r="AK449" i="37"/>
  <c r="AL449" i="37"/>
  <c r="AG450" i="37"/>
  <c r="AH450" i="37"/>
  <c r="AI450" i="37"/>
  <c r="AJ450" i="37"/>
  <c r="AK450" i="37"/>
  <c r="AL450" i="37"/>
  <c r="AG451" i="37"/>
  <c r="AH451" i="37"/>
  <c r="AI451" i="37"/>
  <c r="AJ451" i="37"/>
  <c r="AK451" i="37"/>
  <c r="AL451" i="37"/>
  <c r="AG452" i="37"/>
  <c r="AH452" i="37"/>
  <c r="AI452" i="37"/>
  <c r="AJ452" i="37"/>
  <c r="AK452" i="37"/>
  <c r="AL452" i="37"/>
  <c r="AG453" i="37"/>
  <c r="AH453" i="37"/>
  <c r="AI453" i="37"/>
  <c r="AJ453" i="37"/>
  <c r="AK453" i="37"/>
  <c r="AL453" i="37"/>
  <c r="AG454" i="37"/>
  <c r="AH454" i="37"/>
  <c r="AI454" i="37"/>
  <c r="AJ454" i="37"/>
  <c r="AK454" i="37"/>
  <c r="AL454" i="37"/>
  <c r="AG455" i="37"/>
  <c r="AH455" i="37"/>
  <c r="AI455" i="37"/>
  <c r="AJ455" i="37"/>
  <c r="AK455" i="37"/>
  <c r="AL455" i="37"/>
  <c r="AG456" i="37"/>
  <c r="AH456" i="37"/>
  <c r="AI456" i="37"/>
  <c r="AJ456" i="37"/>
  <c r="AK456" i="37"/>
  <c r="AL456" i="37"/>
  <c r="AG457" i="37"/>
  <c r="AH457" i="37"/>
  <c r="AI457" i="37"/>
  <c r="AJ457" i="37"/>
  <c r="AK457" i="37"/>
  <c r="AL457" i="37"/>
  <c r="AG458" i="37"/>
  <c r="AH458" i="37"/>
  <c r="AI458" i="37"/>
  <c r="AJ458" i="37"/>
  <c r="AK458" i="37"/>
  <c r="AL458" i="37"/>
  <c r="AG459" i="37"/>
  <c r="AH459" i="37"/>
  <c r="AI459" i="37"/>
  <c r="AJ459" i="37"/>
  <c r="AK459" i="37"/>
  <c r="AL459" i="37"/>
  <c r="AG460" i="37"/>
  <c r="AH460" i="37"/>
  <c r="AI460" i="37"/>
  <c r="AJ460" i="37"/>
  <c r="AK460" i="37"/>
  <c r="AL460" i="37"/>
  <c r="AG461" i="37"/>
  <c r="AH461" i="37"/>
  <c r="AI461" i="37"/>
  <c r="AJ461" i="37"/>
  <c r="AK461" i="37"/>
  <c r="AL461" i="37"/>
  <c r="AG462" i="37"/>
  <c r="AH462" i="37"/>
  <c r="AI462" i="37"/>
  <c r="AJ462" i="37"/>
  <c r="AK462" i="37"/>
  <c r="AL462" i="37"/>
  <c r="AG463" i="37"/>
  <c r="AH463" i="37"/>
  <c r="AI463" i="37"/>
  <c r="AJ463" i="37"/>
  <c r="AK463" i="37"/>
  <c r="AL463" i="37"/>
  <c r="AG464" i="37"/>
  <c r="AH464" i="37"/>
  <c r="AI464" i="37"/>
  <c r="AJ464" i="37"/>
  <c r="AK464" i="37"/>
  <c r="AL464" i="37"/>
  <c r="AG465" i="37"/>
  <c r="AH465" i="37"/>
  <c r="AI465" i="37"/>
  <c r="AJ465" i="37"/>
  <c r="AK465" i="37"/>
  <c r="AL465" i="37"/>
  <c r="AG466" i="37"/>
  <c r="AH466" i="37"/>
  <c r="AI466" i="37"/>
  <c r="AJ466" i="37"/>
  <c r="AK466" i="37"/>
  <c r="AL466" i="37"/>
  <c r="AG467" i="37"/>
  <c r="AH467" i="37"/>
  <c r="AI467" i="37"/>
  <c r="AJ467" i="37"/>
  <c r="AK467" i="37"/>
  <c r="AL467" i="37"/>
  <c r="AG468" i="37"/>
  <c r="AH468" i="37"/>
  <c r="AI468" i="37"/>
  <c r="AJ468" i="37"/>
  <c r="AK468" i="37"/>
  <c r="AL468" i="37"/>
  <c r="AG469" i="37"/>
  <c r="AH469" i="37"/>
  <c r="AI469" i="37"/>
  <c r="AJ469" i="37"/>
  <c r="AK469" i="37"/>
  <c r="AL469" i="37"/>
  <c r="AG470" i="37"/>
  <c r="AH470" i="37"/>
  <c r="AI470" i="37"/>
  <c r="AJ470" i="37"/>
  <c r="AK470" i="37"/>
  <c r="AL470" i="37"/>
  <c r="AG471" i="37"/>
  <c r="AH471" i="37"/>
  <c r="AI471" i="37"/>
  <c r="AJ471" i="37"/>
  <c r="AK471" i="37"/>
  <c r="AL471" i="37"/>
  <c r="AG472" i="37"/>
  <c r="AH472" i="37"/>
  <c r="AI472" i="37"/>
  <c r="AJ472" i="37"/>
  <c r="AK472" i="37"/>
  <c r="AL472" i="37"/>
  <c r="AG473" i="37"/>
  <c r="AH473" i="37"/>
  <c r="AI473" i="37"/>
  <c r="AJ473" i="37"/>
  <c r="AK473" i="37"/>
  <c r="AL473" i="37"/>
  <c r="AG474" i="37"/>
  <c r="AH474" i="37"/>
  <c r="AI474" i="37"/>
  <c r="AJ474" i="37"/>
  <c r="AK474" i="37"/>
  <c r="AL474" i="37"/>
  <c r="AG475" i="37"/>
  <c r="AH475" i="37"/>
  <c r="AI475" i="37"/>
  <c r="AJ475" i="37"/>
  <c r="AK475" i="37"/>
  <c r="AL475" i="37"/>
  <c r="AG476" i="37"/>
  <c r="AH476" i="37"/>
  <c r="AI476" i="37"/>
  <c r="AJ476" i="37"/>
  <c r="AK476" i="37"/>
  <c r="AL476" i="37"/>
  <c r="AG477" i="37"/>
  <c r="AH477" i="37"/>
  <c r="AI477" i="37"/>
  <c r="AJ477" i="37"/>
  <c r="AK477" i="37"/>
  <c r="AL477" i="37"/>
  <c r="AG478" i="37"/>
  <c r="AH478" i="37"/>
  <c r="AI478" i="37"/>
  <c r="AJ478" i="37"/>
  <c r="AK478" i="37"/>
  <c r="AL478" i="37"/>
  <c r="AG479" i="37"/>
  <c r="AH479" i="37"/>
  <c r="AI479" i="37"/>
  <c r="AJ479" i="37"/>
  <c r="AK479" i="37"/>
  <c r="AL479" i="37"/>
  <c r="AG480" i="37"/>
  <c r="AH480" i="37"/>
  <c r="AI480" i="37"/>
  <c r="AJ480" i="37"/>
  <c r="AK480" i="37"/>
  <c r="AL480" i="37"/>
  <c r="AG481" i="37"/>
  <c r="AH481" i="37"/>
  <c r="AI481" i="37"/>
  <c r="AJ481" i="37"/>
  <c r="AK481" i="37"/>
  <c r="AL481" i="37"/>
  <c r="AG482" i="37"/>
  <c r="AH482" i="37"/>
  <c r="AI482" i="37"/>
  <c r="AJ482" i="37"/>
  <c r="AK482" i="37"/>
  <c r="AL482" i="37"/>
  <c r="AG483" i="37"/>
  <c r="AH483" i="37"/>
  <c r="AI483" i="37"/>
  <c r="AJ483" i="37"/>
  <c r="AK483" i="37"/>
  <c r="AL483" i="37"/>
  <c r="AG484" i="37"/>
  <c r="AH484" i="37"/>
  <c r="AI484" i="37"/>
  <c r="AJ484" i="37"/>
  <c r="AK484" i="37"/>
  <c r="AL484" i="37"/>
  <c r="AG485" i="37"/>
  <c r="AH485" i="37"/>
  <c r="AI485" i="37"/>
  <c r="AJ485" i="37"/>
  <c r="AK485" i="37"/>
  <c r="AL485" i="37"/>
  <c r="AG486" i="37"/>
  <c r="AH486" i="37"/>
  <c r="AI486" i="37"/>
  <c r="AJ486" i="37"/>
  <c r="AK486" i="37"/>
  <c r="AL486" i="37"/>
  <c r="AG487" i="37"/>
  <c r="AH487" i="37"/>
  <c r="AI487" i="37"/>
  <c r="AJ487" i="37"/>
  <c r="AK487" i="37"/>
  <c r="AL487" i="37"/>
  <c r="AG488" i="37"/>
  <c r="AH488" i="37"/>
  <c r="AI488" i="37"/>
  <c r="AJ488" i="37"/>
  <c r="AK488" i="37"/>
  <c r="AL488" i="37"/>
  <c r="AG489" i="37"/>
  <c r="AH489" i="37"/>
  <c r="AI489" i="37"/>
  <c r="AJ489" i="37"/>
  <c r="AK489" i="37"/>
  <c r="AL489" i="37"/>
  <c r="AG490" i="37"/>
  <c r="AH490" i="37"/>
  <c r="AI490" i="37"/>
  <c r="AJ490" i="37"/>
  <c r="AK490" i="37"/>
  <c r="AL490" i="37"/>
  <c r="AG491" i="37"/>
  <c r="AH491" i="37"/>
  <c r="AI491" i="37"/>
  <c r="AJ491" i="37"/>
  <c r="AK491" i="37"/>
  <c r="AL491" i="37"/>
  <c r="AG492" i="37"/>
  <c r="AH492" i="37"/>
  <c r="AI492" i="37"/>
  <c r="AJ492" i="37"/>
  <c r="AK492" i="37"/>
  <c r="AL492" i="37"/>
  <c r="AG493" i="37"/>
  <c r="AH493" i="37"/>
  <c r="AI493" i="37"/>
  <c r="AJ493" i="37"/>
  <c r="AK493" i="37"/>
  <c r="AL493" i="37"/>
  <c r="AG494" i="37"/>
  <c r="AH494" i="37"/>
  <c r="AI494" i="37"/>
  <c r="AJ494" i="37"/>
  <c r="AK494" i="37"/>
  <c r="AL494" i="37"/>
  <c r="AG495" i="37"/>
  <c r="AH495" i="37"/>
  <c r="AI495" i="37"/>
  <c r="AJ495" i="37"/>
  <c r="AK495" i="37"/>
  <c r="AL495" i="37"/>
  <c r="AG496" i="37"/>
  <c r="AH496" i="37"/>
  <c r="AI496" i="37"/>
  <c r="AJ496" i="37"/>
  <c r="AK496" i="37"/>
  <c r="AL496" i="37"/>
  <c r="AG497" i="37"/>
  <c r="AH497" i="37"/>
  <c r="AI497" i="37"/>
  <c r="AJ497" i="37"/>
  <c r="AK497" i="37"/>
  <c r="AL497" i="37"/>
  <c r="AG498" i="37"/>
  <c r="AH498" i="37"/>
  <c r="AI498" i="37"/>
  <c r="AJ498" i="37"/>
  <c r="AK498" i="37"/>
  <c r="AL498" i="37"/>
  <c r="AG499" i="37"/>
  <c r="AH499" i="37"/>
  <c r="AI499" i="37"/>
  <c r="AJ499" i="37"/>
  <c r="AK499" i="37"/>
  <c r="AL499" i="37"/>
  <c r="AG500" i="37"/>
  <c r="AH500" i="37"/>
  <c r="AI500" i="37"/>
  <c r="AJ500" i="37"/>
  <c r="AK500" i="37"/>
  <c r="AL500" i="37"/>
  <c r="AG501" i="37"/>
  <c r="AH501" i="37"/>
  <c r="AI501" i="37"/>
  <c r="AJ501" i="37"/>
  <c r="AK501" i="37"/>
  <c r="AL501" i="37"/>
  <c r="AG502" i="37"/>
  <c r="AH502" i="37"/>
  <c r="AI502" i="37"/>
  <c r="AJ502" i="37"/>
  <c r="AK502" i="37"/>
  <c r="AL502" i="37"/>
  <c r="AG503" i="37"/>
  <c r="AH503" i="37"/>
  <c r="AI503" i="37"/>
  <c r="AJ503" i="37"/>
  <c r="AK503" i="37"/>
  <c r="AL503" i="37"/>
  <c r="AG504" i="37"/>
  <c r="AH504" i="37"/>
  <c r="AI504" i="37"/>
  <c r="AJ504" i="37"/>
  <c r="AK504" i="37"/>
  <c r="AL504" i="37"/>
  <c r="AG505" i="37"/>
  <c r="AH505" i="37"/>
  <c r="AI505" i="37"/>
  <c r="AJ505" i="37"/>
  <c r="AK505" i="37"/>
  <c r="AL505" i="37"/>
  <c r="AG506" i="37"/>
  <c r="AH506" i="37"/>
  <c r="AI506" i="37"/>
  <c r="AJ506" i="37"/>
  <c r="AK506" i="37"/>
  <c r="AL506" i="37"/>
  <c r="AG507" i="37"/>
  <c r="AH507" i="37"/>
  <c r="AI507" i="37"/>
  <c r="AJ507" i="37"/>
  <c r="AK507" i="37"/>
  <c r="AL507" i="37"/>
  <c r="AG508" i="37"/>
  <c r="AH508" i="37"/>
  <c r="AI508" i="37"/>
  <c r="AJ508" i="37"/>
  <c r="AK508" i="37"/>
  <c r="AL508" i="37"/>
  <c r="AG509" i="37"/>
  <c r="AH509" i="37"/>
  <c r="AI509" i="37"/>
  <c r="AJ509" i="37"/>
  <c r="AK509" i="37"/>
  <c r="AL509" i="37"/>
  <c r="AG510" i="37"/>
  <c r="AH510" i="37"/>
  <c r="AI510" i="37"/>
  <c r="AJ510" i="37"/>
  <c r="AK510" i="37"/>
  <c r="AL510" i="37"/>
  <c r="AG511" i="37"/>
  <c r="AH511" i="37"/>
  <c r="AI511" i="37"/>
  <c r="AJ511" i="37"/>
  <c r="AK511" i="37"/>
  <c r="AL511" i="37"/>
  <c r="AG512" i="37"/>
  <c r="AH512" i="37"/>
  <c r="AI512" i="37"/>
  <c r="AJ512" i="37"/>
  <c r="AK512" i="37"/>
  <c r="AL512" i="37"/>
  <c r="AG513" i="37"/>
  <c r="AH513" i="37"/>
  <c r="AI513" i="37"/>
  <c r="AJ513" i="37"/>
  <c r="AK513" i="37"/>
  <c r="AL513" i="37"/>
  <c r="AG514" i="37"/>
  <c r="AH514" i="37"/>
  <c r="AI514" i="37"/>
  <c r="AJ514" i="37"/>
  <c r="AK514" i="37"/>
  <c r="AL514" i="37"/>
  <c r="AG515" i="37"/>
  <c r="AH515" i="37"/>
  <c r="AI515" i="37"/>
  <c r="AJ515" i="37"/>
  <c r="AK515" i="37"/>
  <c r="AL515" i="37"/>
  <c r="AL296" i="37"/>
  <c r="AK296" i="37"/>
  <c r="AJ296" i="37"/>
  <c r="AI296" i="37"/>
  <c r="AH296" i="37"/>
  <c r="AG296" i="37"/>
  <c r="AG77" i="37"/>
  <c r="AH77" i="37"/>
  <c r="AI77" i="37"/>
  <c r="AJ77" i="37"/>
  <c r="AK77" i="37"/>
  <c r="AL77" i="37"/>
  <c r="AG78" i="37"/>
  <c r="AH78" i="37"/>
  <c r="AI78" i="37"/>
  <c r="AJ78" i="37"/>
  <c r="AK78" i="37"/>
  <c r="AL78" i="37"/>
  <c r="AG79" i="37"/>
  <c r="AH79" i="37"/>
  <c r="AI79" i="37"/>
  <c r="AJ79" i="37"/>
  <c r="AK79" i="37"/>
  <c r="AL79" i="37"/>
  <c r="AG80" i="37"/>
  <c r="AH80" i="37"/>
  <c r="AI80" i="37"/>
  <c r="AJ80" i="37"/>
  <c r="AK80" i="37"/>
  <c r="AL80" i="37"/>
  <c r="AG81" i="37"/>
  <c r="AH81" i="37"/>
  <c r="AI81" i="37"/>
  <c r="AJ81" i="37"/>
  <c r="AK81" i="37"/>
  <c r="AL81" i="37"/>
  <c r="AG82" i="37"/>
  <c r="AH82" i="37"/>
  <c r="AI82" i="37"/>
  <c r="AJ82" i="37"/>
  <c r="AK82" i="37"/>
  <c r="AL82" i="37"/>
  <c r="AG83" i="37"/>
  <c r="AH83" i="37"/>
  <c r="AI83" i="37"/>
  <c r="AJ83" i="37"/>
  <c r="AK83" i="37"/>
  <c r="AL83" i="37"/>
  <c r="AG84" i="37"/>
  <c r="AH84" i="37"/>
  <c r="AI84" i="37"/>
  <c r="AJ84" i="37"/>
  <c r="AK84" i="37"/>
  <c r="AL84" i="37"/>
  <c r="AG85" i="37"/>
  <c r="AH85" i="37"/>
  <c r="AI85" i="37"/>
  <c r="AJ85" i="37"/>
  <c r="AK85" i="37"/>
  <c r="AL85" i="37"/>
  <c r="AG86" i="37"/>
  <c r="AH86" i="37"/>
  <c r="AI86" i="37"/>
  <c r="AJ86" i="37"/>
  <c r="AK86" i="37"/>
  <c r="AL86" i="37"/>
  <c r="AG87" i="37"/>
  <c r="AH87" i="37"/>
  <c r="AI87" i="37"/>
  <c r="AJ87" i="37"/>
  <c r="AK87" i="37"/>
  <c r="AL87" i="37"/>
  <c r="AG88" i="37"/>
  <c r="AH88" i="37"/>
  <c r="AI88" i="37"/>
  <c r="AJ88" i="37"/>
  <c r="AK88" i="37"/>
  <c r="AL88" i="37"/>
  <c r="AG89" i="37"/>
  <c r="AH89" i="37"/>
  <c r="AI89" i="37"/>
  <c r="AJ89" i="37"/>
  <c r="AK89" i="37"/>
  <c r="AL89" i="37"/>
  <c r="AG90" i="37"/>
  <c r="AH90" i="37"/>
  <c r="AI90" i="37"/>
  <c r="AJ90" i="37"/>
  <c r="AK90" i="37"/>
  <c r="AL90" i="37"/>
  <c r="AG91" i="37"/>
  <c r="AH91" i="37"/>
  <c r="AI91" i="37"/>
  <c r="AJ91" i="37"/>
  <c r="AK91" i="37"/>
  <c r="AL91" i="37"/>
  <c r="AG92" i="37"/>
  <c r="AH92" i="37"/>
  <c r="AI92" i="37"/>
  <c r="AJ92" i="37"/>
  <c r="AK92" i="37"/>
  <c r="AL92" i="37"/>
  <c r="AG93" i="37"/>
  <c r="AH93" i="37"/>
  <c r="AI93" i="37"/>
  <c r="AJ93" i="37"/>
  <c r="AK93" i="37"/>
  <c r="AL93" i="37"/>
  <c r="AG94" i="37"/>
  <c r="AH94" i="37"/>
  <c r="AI94" i="37"/>
  <c r="AJ94" i="37"/>
  <c r="AK94" i="37"/>
  <c r="AL94" i="37"/>
  <c r="AG95" i="37"/>
  <c r="AH95" i="37"/>
  <c r="AI95" i="37"/>
  <c r="AJ95" i="37"/>
  <c r="AK95" i="37"/>
  <c r="AL95" i="37"/>
  <c r="AG96" i="37"/>
  <c r="AH96" i="37"/>
  <c r="AI96" i="37"/>
  <c r="AJ96" i="37"/>
  <c r="AK96" i="37"/>
  <c r="AL96" i="37"/>
  <c r="AG97" i="37"/>
  <c r="AH97" i="37"/>
  <c r="AI97" i="37"/>
  <c r="AJ97" i="37"/>
  <c r="AK97" i="37"/>
  <c r="AL97" i="37"/>
  <c r="AG98" i="37"/>
  <c r="AH98" i="37"/>
  <c r="AI98" i="37"/>
  <c r="AJ98" i="37"/>
  <c r="AK98" i="37"/>
  <c r="AL98" i="37"/>
  <c r="AG99" i="37"/>
  <c r="AH99" i="37"/>
  <c r="AI99" i="37"/>
  <c r="AJ99" i="37"/>
  <c r="AK99" i="37"/>
  <c r="AL99" i="37"/>
  <c r="AG100" i="37"/>
  <c r="AH100" i="37"/>
  <c r="AI100" i="37"/>
  <c r="AJ100" i="37"/>
  <c r="AK100" i="37"/>
  <c r="AL100" i="37"/>
  <c r="AG101" i="37"/>
  <c r="AH101" i="37"/>
  <c r="AI101" i="37"/>
  <c r="AJ101" i="37"/>
  <c r="AK101" i="37"/>
  <c r="AL101" i="37"/>
  <c r="AG102" i="37"/>
  <c r="AH102" i="37"/>
  <c r="AI102" i="37"/>
  <c r="AJ102" i="37"/>
  <c r="AK102" i="37"/>
  <c r="AL102" i="37"/>
  <c r="AG103" i="37"/>
  <c r="AH103" i="37"/>
  <c r="AI103" i="37"/>
  <c r="AJ103" i="37"/>
  <c r="AK103" i="37"/>
  <c r="AL103" i="37"/>
  <c r="AG104" i="37"/>
  <c r="AH104" i="37"/>
  <c r="AI104" i="37"/>
  <c r="AJ104" i="37"/>
  <c r="AK104" i="37"/>
  <c r="AL104" i="37"/>
  <c r="AG105" i="37"/>
  <c r="AH105" i="37"/>
  <c r="AI105" i="37"/>
  <c r="AJ105" i="37"/>
  <c r="AK105" i="37"/>
  <c r="AL105" i="37"/>
  <c r="AG106" i="37"/>
  <c r="AH106" i="37"/>
  <c r="AI106" i="37"/>
  <c r="AJ106" i="37"/>
  <c r="AK106" i="37"/>
  <c r="AL106" i="37"/>
  <c r="AG107" i="37"/>
  <c r="AH107" i="37"/>
  <c r="AI107" i="37"/>
  <c r="AJ107" i="37"/>
  <c r="AK107" i="37"/>
  <c r="AL107" i="37"/>
  <c r="AG108" i="37"/>
  <c r="AH108" i="37"/>
  <c r="AI108" i="37"/>
  <c r="AJ108" i="37"/>
  <c r="AK108" i="37"/>
  <c r="AL108" i="37"/>
  <c r="AG109" i="37"/>
  <c r="AH109" i="37"/>
  <c r="AI109" i="37"/>
  <c r="AJ109" i="37"/>
  <c r="AK109" i="37"/>
  <c r="AL109" i="37"/>
  <c r="AG110" i="37"/>
  <c r="AH110" i="37"/>
  <c r="AI110" i="37"/>
  <c r="AJ110" i="37"/>
  <c r="AK110" i="37"/>
  <c r="AL110" i="37"/>
  <c r="AG111" i="37"/>
  <c r="AH111" i="37"/>
  <c r="AI111" i="37"/>
  <c r="AJ111" i="37"/>
  <c r="AK111" i="37"/>
  <c r="AL111" i="37"/>
  <c r="AG112" i="37"/>
  <c r="AH112" i="37"/>
  <c r="AI112" i="37"/>
  <c r="AJ112" i="37"/>
  <c r="AK112" i="37"/>
  <c r="AL112" i="37"/>
  <c r="AG113" i="37"/>
  <c r="AH113" i="37"/>
  <c r="AI113" i="37"/>
  <c r="AJ113" i="37"/>
  <c r="AK113" i="37"/>
  <c r="AL113" i="37"/>
  <c r="AG114" i="37"/>
  <c r="AH114" i="37"/>
  <c r="AI114" i="37"/>
  <c r="AJ114" i="37"/>
  <c r="AK114" i="37"/>
  <c r="AL114" i="37"/>
  <c r="AG115" i="37"/>
  <c r="AH115" i="37"/>
  <c r="AI115" i="37"/>
  <c r="AJ115" i="37"/>
  <c r="AK115" i="37"/>
  <c r="AL115" i="37"/>
  <c r="AG116" i="37"/>
  <c r="AH116" i="37"/>
  <c r="AI116" i="37"/>
  <c r="AJ116" i="37"/>
  <c r="AK116" i="37"/>
  <c r="AL116" i="37"/>
  <c r="AG117" i="37"/>
  <c r="AH117" i="37"/>
  <c r="AI117" i="37"/>
  <c r="AJ117" i="37"/>
  <c r="AK117" i="37"/>
  <c r="AL117" i="37"/>
  <c r="AG118" i="37"/>
  <c r="AH118" i="37"/>
  <c r="AI118" i="37"/>
  <c r="AJ118" i="37"/>
  <c r="AK118" i="37"/>
  <c r="AL118" i="37"/>
  <c r="AG119" i="37"/>
  <c r="AH119" i="37"/>
  <c r="AI119" i="37"/>
  <c r="AJ119" i="37"/>
  <c r="AK119" i="37"/>
  <c r="AL119" i="37"/>
  <c r="AG120" i="37"/>
  <c r="AH120" i="37"/>
  <c r="AI120" i="37"/>
  <c r="AJ120" i="37"/>
  <c r="AK120" i="37"/>
  <c r="AL120" i="37"/>
  <c r="AG121" i="37"/>
  <c r="AH121" i="37"/>
  <c r="AI121" i="37"/>
  <c r="AJ121" i="37"/>
  <c r="AK121" i="37"/>
  <c r="AL121" i="37"/>
  <c r="AG122" i="37"/>
  <c r="AH122" i="37"/>
  <c r="AI122" i="37"/>
  <c r="AJ122" i="37"/>
  <c r="AK122" i="37"/>
  <c r="AL122" i="37"/>
  <c r="AG123" i="37"/>
  <c r="AH123" i="37"/>
  <c r="AI123" i="37"/>
  <c r="AJ123" i="37"/>
  <c r="AK123" i="37"/>
  <c r="AL123" i="37"/>
  <c r="AG124" i="37"/>
  <c r="AH124" i="37"/>
  <c r="AI124" i="37"/>
  <c r="AJ124" i="37"/>
  <c r="AK124" i="37"/>
  <c r="AL124" i="37"/>
  <c r="AG125" i="37"/>
  <c r="AH125" i="37"/>
  <c r="AI125" i="37"/>
  <c r="AJ125" i="37"/>
  <c r="AK125" i="37"/>
  <c r="AL125" i="37"/>
  <c r="AG126" i="37"/>
  <c r="AH126" i="37"/>
  <c r="AI126" i="37"/>
  <c r="AJ126" i="37"/>
  <c r="AK126" i="37"/>
  <c r="AL126" i="37"/>
  <c r="AG127" i="37"/>
  <c r="AH127" i="37"/>
  <c r="AI127" i="37"/>
  <c r="AJ127" i="37"/>
  <c r="AK127" i="37"/>
  <c r="AL127" i="37"/>
  <c r="AG128" i="37"/>
  <c r="AH128" i="37"/>
  <c r="AI128" i="37"/>
  <c r="AJ128" i="37"/>
  <c r="AK128" i="37"/>
  <c r="AL128" i="37"/>
  <c r="AG129" i="37"/>
  <c r="AH129" i="37"/>
  <c r="AI129" i="37"/>
  <c r="AJ129" i="37"/>
  <c r="AK129" i="37"/>
  <c r="AL129" i="37"/>
  <c r="AG130" i="37"/>
  <c r="AH130" i="37"/>
  <c r="AI130" i="37"/>
  <c r="AJ130" i="37"/>
  <c r="AK130" i="37"/>
  <c r="AL130" i="37"/>
  <c r="AG131" i="37"/>
  <c r="AH131" i="37"/>
  <c r="AI131" i="37"/>
  <c r="AJ131" i="37"/>
  <c r="AK131" i="37"/>
  <c r="AL131" i="37"/>
  <c r="AG132" i="37"/>
  <c r="AH132" i="37"/>
  <c r="AI132" i="37"/>
  <c r="AJ132" i="37"/>
  <c r="AK132" i="37"/>
  <c r="AL132" i="37"/>
  <c r="AG133" i="37"/>
  <c r="AH133" i="37"/>
  <c r="AI133" i="37"/>
  <c r="AJ133" i="37"/>
  <c r="AK133" i="37"/>
  <c r="AL133" i="37"/>
  <c r="AG134" i="37"/>
  <c r="AH134" i="37"/>
  <c r="AI134" i="37"/>
  <c r="AJ134" i="37"/>
  <c r="AK134" i="37"/>
  <c r="AL134" i="37"/>
  <c r="AG135" i="37"/>
  <c r="AH135" i="37"/>
  <c r="AI135" i="37"/>
  <c r="AJ135" i="37"/>
  <c r="AK135" i="37"/>
  <c r="AL135" i="37"/>
  <c r="AG136" i="37"/>
  <c r="AH136" i="37"/>
  <c r="AI136" i="37"/>
  <c r="AJ136" i="37"/>
  <c r="AK136" i="37"/>
  <c r="AL136" i="37"/>
  <c r="AG137" i="37"/>
  <c r="AH137" i="37"/>
  <c r="AI137" i="37"/>
  <c r="AJ137" i="37"/>
  <c r="AK137" i="37"/>
  <c r="AL137" i="37"/>
  <c r="AG138" i="37"/>
  <c r="AH138" i="37"/>
  <c r="AI138" i="37"/>
  <c r="AJ138" i="37"/>
  <c r="AK138" i="37"/>
  <c r="AL138" i="37"/>
  <c r="AG139" i="37"/>
  <c r="AH139" i="37"/>
  <c r="AI139" i="37"/>
  <c r="AJ139" i="37"/>
  <c r="AK139" i="37"/>
  <c r="AL139" i="37"/>
  <c r="AG140" i="37"/>
  <c r="AH140" i="37"/>
  <c r="AI140" i="37"/>
  <c r="AJ140" i="37"/>
  <c r="AK140" i="37"/>
  <c r="AL140" i="37"/>
  <c r="AG141" i="37"/>
  <c r="AH141" i="37"/>
  <c r="AI141" i="37"/>
  <c r="AJ141" i="37"/>
  <c r="AK141" i="37"/>
  <c r="AL141" i="37"/>
  <c r="AG142" i="37"/>
  <c r="AH142" i="37"/>
  <c r="AI142" i="37"/>
  <c r="AJ142" i="37"/>
  <c r="AK142" i="37"/>
  <c r="AL142" i="37"/>
  <c r="AG143" i="37"/>
  <c r="AH143" i="37"/>
  <c r="AI143" i="37"/>
  <c r="AJ143" i="37"/>
  <c r="AK143" i="37"/>
  <c r="AL143" i="37"/>
  <c r="AG144" i="37"/>
  <c r="AH144" i="37"/>
  <c r="AI144" i="37"/>
  <c r="AJ144" i="37"/>
  <c r="AK144" i="37"/>
  <c r="AL144" i="37"/>
  <c r="AG145" i="37"/>
  <c r="AH145" i="37"/>
  <c r="AI145" i="37"/>
  <c r="AJ145" i="37"/>
  <c r="AK145" i="37"/>
  <c r="AL145" i="37"/>
  <c r="AG146" i="37"/>
  <c r="AH146" i="37"/>
  <c r="AI146" i="37"/>
  <c r="AJ146" i="37"/>
  <c r="AK146" i="37"/>
  <c r="AL146" i="37"/>
  <c r="AG147" i="37"/>
  <c r="AH147" i="37"/>
  <c r="AI147" i="37"/>
  <c r="AJ147" i="37"/>
  <c r="AK147" i="37"/>
  <c r="AL147" i="37"/>
  <c r="AG148" i="37"/>
  <c r="AH148" i="37"/>
  <c r="AI148" i="37"/>
  <c r="AJ148" i="37"/>
  <c r="AK148" i="37"/>
  <c r="AL148" i="37"/>
  <c r="AG149" i="37"/>
  <c r="AH149" i="37"/>
  <c r="AI149" i="37"/>
  <c r="AJ149" i="37"/>
  <c r="AK149" i="37"/>
  <c r="AL149" i="37"/>
  <c r="AG150" i="37"/>
  <c r="AH150" i="37"/>
  <c r="AI150" i="37"/>
  <c r="AJ150" i="37"/>
  <c r="AK150" i="37"/>
  <c r="AL150" i="37"/>
  <c r="AG151" i="37"/>
  <c r="AH151" i="37"/>
  <c r="AI151" i="37"/>
  <c r="AJ151" i="37"/>
  <c r="AK151" i="37"/>
  <c r="AL151" i="37"/>
  <c r="AG152" i="37"/>
  <c r="AH152" i="37"/>
  <c r="AI152" i="37"/>
  <c r="AJ152" i="37"/>
  <c r="AK152" i="37"/>
  <c r="AL152" i="37"/>
  <c r="AG153" i="37"/>
  <c r="AH153" i="37"/>
  <c r="AI153" i="37"/>
  <c r="AJ153" i="37"/>
  <c r="AK153" i="37"/>
  <c r="AL153" i="37"/>
  <c r="AG154" i="37"/>
  <c r="AH154" i="37"/>
  <c r="AI154" i="37"/>
  <c r="AJ154" i="37"/>
  <c r="AK154" i="37"/>
  <c r="AL154" i="37"/>
  <c r="AG155" i="37"/>
  <c r="AH155" i="37"/>
  <c r="AI155" i="37"/>
  <c r="AJ155" i="37"/>
  <c r="AK155" i="37"/>
  <c r="AL155" i="37"/>
  <c r="AG156" i="37"/>
  <c r="AH156" i="37"/>
  <c r="AI156" i="37"/>
  <c r="AJ156" i="37"/>
  <c r="AK156" i="37"/>
  <c r="AL156" i="37"/>
  <c r="AG157" i="37"/>
  <c r="AH157" i="37"/>
  <c r="AI157" i="37"/>
  <c r="AJ157" i="37"/>
  <c r="AK157" i="37"/>
  <c r="AL157" i="37"/>
  <c r="AG158" i="37"/>
  <c r="AH158" i="37"/>
  <c r="AI158" i="37"/>
  <c r="AJ158" i="37"/>
  <c r="AK158" i="37"/>
  <c r="AL158" i="37"/>
  <c r="AG159" i="37"/>
  <c r="AH159" i="37"/>
  <c r="AI159" i="37"/>
  <c r="AJ159" i="37"/>
  <c r="AK159" i="37"/>
  <c r="AL159" i="37"/>
  <c r="AG160" i="37"/>
  <c r="AH160" i="37"/>
  <c r="AI160" i="37"/>
  <c r="AJ160" i="37"/>
  <c r="AK160" i="37"/>
  <c r="AL160" i="37"/>
  <c r="AG161" i="37"/>
  <c r="AH161" i="37"/>
  <c r="AI161" i="37"/>
  <c r="AJ161" i="37"/>
  <c r="AK161" i="37"/>
  <c r="AL161" i="37"/>
  <c r="AG162" i="37"/>
  <c r="AH162" i="37"/>
  <c r="AI162" i="37"/>
  <c r="AJ162" i="37"/>
  <c r="AK162" i="37"/>
  <c r="AL162" i="37"/>
  <c r="AG163" i="37"/>
  <c r="AH163" i="37"/>
  <c r="AI163" i="37"/>
  <c r="AJ163" i="37"/>
  <c r="AK163" i="37"/>
  <c r="AL163" i="37"/>
  <c r="AG164" i="37"/>
  <c r="AH164" i="37"/>
  <c r="AI164" i="37"/>
  <c r="AJ164" i="37"/>
  <c r="AK164" i="37"/>
  <c r="AL164" i="37"/>
  <c r="AG165" i="37"/>
  <c r="AH165" i="37"/>
  <c r="AI165" i="37"/>
  <c r="AJ165" i="37"/>
  <c r="AK165" i="37"/>
  <c r="AL165" i="37"/>
  <c r="AG166" i="37"/>
  <c r="AH166" i="37"/>
  <c r="AI166" i="37"/>
  <c r="AJ166" i="37"/>
  <c r="AK166" i="37"/>
  <c r="AL166" i="37"/>
  <c r="AG167" i="37"/>
  <c r="AH167" i="37"/>
  <c r="AI167" i="37"/>
  <c r="AJ167" i="37"/>
  <c r="AK167" i="37"/>
  <c r="AL167" i="37"/>
  <c r="AG168" i="37"/>
  <c r="AH168" i="37"/>
  <c r="AI168" i="37"/>
  <c r="AJ168" i="37"/>
  <c r="AK168" i="37"/>
  <c r="AL168" i="37"/>
  <c r="AG169" i="37"/>
  <c r="AH169" i="37"/>
  <c r="AI169" i="37"/>
  <c r="AJ169" i="37"/>
  <c r="AK169" i="37"/>
  <c r="AL169" i="37"/>
  <c r="AG170" i="37"/>
  <c r="AH170" i="37"/>
  <c r="AI170" i="37"/>
  <c r="AJ170" i="37"/>
  <c r="AK170" i="37"/>
  <c r="AL170" i="37"/>
  <c r="AG171" i="37"/>
  <c r="AH171" i="37"/>
  <c r="AI171" i="37"/>
  <c r="AJ171" i="37"/>
  <c r="AK171" i="37"/>
  <c r="AL171" i="37"/>
  <c r="AG172" i="37"/>
  <c r="AH172" i="37"/>
  <c r="AI172" i="37"/>
  <c r="AJ172" i="37"/>
  <c r="AK172" i="37"/>
  <c r="AL172" i="37"/>
  <c r="AG173" i="37"/>
  <c r="AH173" i="37"/>
  <c r="AI173" i="37"/>
  <c r="AJ173" i="37"/>
  <c r="AK173" i="37"/>
  <c r="AL173" i="37"/>
  <c r="AG174" i="37"/>
  <c r="AH174" i="37"/>
  <c r="AI174" i="37"/>
  <c r="AJ174" i="37"/>
  <c r="AK174" i="37"/>
  <c r="AL174" i="37"/>
  <c r="AG175" i="37"/>
  <c r="AH175" i="37"/>
  <c r="AI175" i="37"/>
  <c r="AJ175" i="37"/>
  <c r="AK175" i="37"/>
  <c r="AL175" i="37"/>
  <c r="AG176" i="37"/>
  <c r="AH176" i="37"/>
  <c r="AI176" i="37"/>
  <c r="AJ176" i="37"/>
  <c r="AK176" i="37"/>
  <c r="AL176" i="37"/>
  <c r="AG177" i="37"/>
  <c r="AH177" i="37"/>
  <c r="AI177" i="37"/>
  <c r="AJ177" i="37"/>
  <c r="AK177" i="37"/>
  <c r="AL177" i="37"/>
  <c r="AG178" i="37"/>
  <c r="AH178" i="37"/>
  <c r="AI178" i="37"/>
  <c r="AJ178" i="37"/>
  <c r="AK178" i="37"/>
  <c r="AL178" i="37"/>
  <c r="AG179" i="37"/>
  <c r="AH179" i="37"/>
  <c r="AI179" i="37"/>
  <c r="AJ179" i="37"/>
  <c r="AK179" i="37"/>
  <c r="AL179" i="37"/>
  <c r="AG180" i="37"/>
  <c r="AH180" i="37"/>
  <c r="AI180" i="37"/>
  <c r="AJ180" i="37"/>
  <c r="AK180" i="37"/>
  <c r="AL180" i="37"/>
  <c r="AG181" i="37"/>
  <c r="AH181" i="37"/>
  <c r="AI181" i="37"/>
  <c r="AJ181" i="37"/>
  <c r="AK181" i="37"/>
  <c r="AL181" i="37"/>
  <c r="AG182" i="37"/>
  <c r="AH182" i="37"/>
  <c r="AI182" i="37"/>
  <c r="AJ182" i="37"/>
  <c r="AK182" i="37"/>
  <c r="AL182" i="37"/>
  <c r="AG183" i="37"/>
  <c r="AH183" i="37"/>
  <c r="AI183" i="37"/>
  <c r="AJ183" i="37"/>
  <c r="AK183" i="37"/>
  <c r="AL183" i="37"/>
  <c r="AG184" i="37"/>
  <c r="AH184" i="37"/>
  <c r="AI184" i="37"/>
  <c r="AJ184" i="37"/>
  <c r="AK184" i="37"/>
  <c r="AL184" i="37"/>
  <c r="AG185" i="37"/>
  <c r="AH185" i="37"/>
  <c r="AI185" i="37"/>
  <c r="AJ185" i="37"/>
  <c r="AK185" i="37"/>
  <c r="AL185" i="37"/>
  <c r="AG186" i="37"/>
  <c r="AH186" i="37"/>
  <c r="AI186" i="37"/>
  <c r="AJ186" i="37"/>
  <c r="AK186" i="37"/>
  <c r="AL186" i="37"/>
  <c r="AG187" i="37"/>
  <c r="AH187" i="37"/>
  <c r="AI187" i="37"/>
  <c r="AJ187" i="37"/>
  <c r="AK187" i="37"/>
  <c r="AL187" i="37"/>
  <c r="AG188" i="37"/>
  <c r="AH188" i="37"/>
  <c r="AI188" i="37"/>
  <c r="AJ188" i="37"/>
  <c r="AK188" i="37"/>
  <c r="AL188" i="37"/>
  <c r="AG189" i="37"/>
  <c r="AH189" i="37"/>
  <c r="AI189" i="37"/>
  <c r="AJ189" i="37"/>
  <c r="AK189" i="37"/>
  <c r="AL189" i="37"/>
  <c r="AG190" i="37"/>
  <c r="AH190" i="37"/>
  <c r="AI190" i="37"/>
  <c r="AJ190" i="37"/>
  <c r="AK190" i="37"/>
  <c r="AL190" i="37"/>
  <c r="AG191" i="37"/>
  <c r="AH191" i="37"/>
  <c r="AI191" i="37"/>
  <c r="AJ191" i="37"/>
  <c r="AK191" i="37"/>
  <c r="AL191" i="37"/>
  <c r="AG192" i="37"/>
  <c r="AH192" i="37"/>
  <c r="AI192" i="37"/>
  <c r="AJ192" i="37"/>
  <c r="AK192" i="37"/>
  <c r="AL192" i="37"/>
  <c r="AG193" i="37"/>
  <c r="AH193" i="37"/>
  <c r="AI193" i="37"/>
  <c r="AJ193" i="37"/>
  <c r="AK193" i="37"/>
  <c r="AL193" i="37"/>
  <c r="AG194" i="37"/>
  <c r="AH194" i="37"/>
  <c r="AI194" i="37"/>
  <c r="AJ194" i="37"/>
  <c r="AK194" i="37"/>
  <c r="AL194" i="37"/>
  <c r="AG195" i="37"/>
  <c r="AH195" i="37"/>
  <c r="AI195" i="37"/>
  <c r="AJ195" i="37"/>
  <c r="AK195" i="37"/>
  <c r="AL195" i="37"/>
  <c r="AG196" i="37"/>
  <c r="AH196" i="37"/>
  <c r="AI196" i="37"/>
  <c r="AJ196" i="37"/>
  <c r="AK196" i="37"/>
  <c r="AL196" i="37"/>
  <c r="AG197" i="37"/>
  <c r="AH197" i="37"/>
  <c r="AI197" i="37"/>
  <c r="AJ197" i="37"/>
  <c r="AK197" i="37"/>
  <c r="AL197" i="37"/>
  <c r="AG198" i="37"/>
  <c r="AH198" i="37"/>
  <c r="AI198" i="37"/>
  <c r="AJ198" i="37"/>
  <c r="AK198" i="37"/>
  <c r="AL198" i="37"/>
  <c r="AG199" i="37"/>
  <c r="AH199" i="37"/>
  <c r="AI199" i="37"/>
  <c r="AJ199" i="37"/>
  <c r="AK199" i="37"/>
  <c r="AL199" i="37"/>
  <c r="AG200" i="37"/>
  <c r="AH200" i="37"/>
  <c r="AI200" i="37"/>
  <c r="AJ200" i="37"/>
  <c r="AK200" i="37"/>
  <c r="AL200" i="37"/>
  <c r="AG201" i="37"/>
  <c r="AH201" i="37"/>
  <c r="AI201" i="37"/>
  <c r="AJ201" i="37"/>
  <c r="AK201" i="37"/>
  <c r="AL201" i="37"/>
  <c r="AG202" i="37"/>
  <c r="AH202" i="37"/>
  <c r="AI202" i="37"/>
  <c r="AJ202" i="37"/>
  <c r="AK202" i="37"/>
  <c r="AL202" i="37"/>
  <c r="AG203" i="37"/>
  <c r="AH203" i="37"/>
  <c r="AI203" i="37"/>
  <c r="AJ203" i="37"/>
  <c r="AK203" i="37"/>
  <c r="AL203" i="37"/>
  <c r="AG204" i="37"/>
  <c r="AH204" i="37"/>
  <c r="AI204" i="37"/>
  <c r="AJ204" i="37"/>
  <c r="AK204" i="37"/>
  <c r="AL204" i="37"/>
  <c r="AG205" i="37"/>
  <c r="AH205" i="37"/>
  <c r="AI205" i="37"/>
  <c r="AJ205" i="37"/>
  <c r="AK205" i="37"/>
  <c r="AL205" i="37"/>
  <c r="AG206" i="37"/>
  <c r="AH206" i="37"/>
  <c r="AI206" i="37"/>
  <c r="AJ206" i="37"/>
  <c r="AK206" i="37"/>
  <c r="AL206" i="37"/>
  <c r="AG207" i="37"/>
  <c r="AH207" i="37"/>
  <c r="AI207" i="37"/>
  <c r="AJ207" i="37"/>
  <c r="AK207" i="37"/>
  <c r="AL207" i="37"/>
  <c r="AG208" i="37"/>
  <c r="AH208" i="37"/>
  <c r="AI208" i="37"/>
  <c r="AJ208" i="37"/>
  <c r="AK208" i="37"/>
  <c r="AL208" i="37"/>
  <c r="AG209" i="37"/>
  <c r="AH209" i="37"/>
  <c r="AI209" i="37"/>
  <c r="AJ209" i="37"/>
  <c r="AK209" i="37"/>
  <c r="AL209" i="37"/>
  <c r="AG210" i="37"/>
  <c r="AH210" i="37"/>
  <c r="AI210" i="37"/>
  <c r="AJ210" i="37"/>
  <c r="AK210" i="37"/>
  <c r="AL210" i="37"/>
  <c r="AG211" i="37"/>
  <c r="AH211" i="37"/>
  <c r="AI211" i="37"/>
  <c r="AJ211" i="37"/>
  <c r="AK211" i="37"/>
  <c r="AL211" i="37"/>
  <c r="AG212" i="37"/>
  <c r="AH212" i="37"/>
  <c r="AI212" i="37"/>
  <c r="AJ212" i="37"/>
  <c r="AK212" i="37"/>
  <c r="AL212" i="37"/>
  <c r="AG213" i="37"/>
  <c r="AH213" i="37"/>
  <c r="AI213" i="37"/>
  <c r="AJ213" i="37"/>
  <c r="AK213" i="37"/>
  <c r="AL213" i="37"/>
  <c r="AG214" i="37"/>
  <c r="AH214" i="37"/>
  <c r="AI214" i="37"/>
  <c r="AJ214" i="37"/>
  <c r="AK214" i="37"/>
  <c r="AL214" i="37"/>
  <c r="AG215" i="37"/>
  <c r="AH215" i="37"/>
  <c r="AI215" i="37"/>
  <c r="AJ215" i="37"/>
  <c r="AK215" i="37"/>
  <c r="AL215" i="37"/>
  <c r="AG216" i="37"/>
  <c r="AH216" i="37"/>
  <c r="AI216" i="37"/>
  <c r="AJ216" i="37"/>
  <c r="AK216" i="37"/>
  <c r="AL216" i="37"/>
  <c r="AG217" i="37"/>
  <c r="AH217" i="37"/>
  <c r="AI217" i="37"/>
  <c r="AJ217" i="37"/>
  <c r="AK217" i="37"/>
  <c r="AL217" i="37"/>
  <c r="AG218" i="37"/>
  <c r="AH218" i="37"/>
  <c r="AI218" i="37"/>
  <c r="AJ218" i="37"/>
  <c r="AK218" i="37"/>
  <c r="AL218" i="37"/>
  <c r="AG219" i="37"/>
  <c r="AH219" i="37"/>
  <c r="AI219" i="37"/>
  <c r="AJ219" i="37"/>
  <c r="AK219" i="37"/>
  <c r="AL219" i="37"/>
  <c r="AG220" i="37"/>
  <c r="AH220" i="37"/>
  <c r="AI220" i="37"/>
  <c r="AJ220" i="37"/>
  <c r="AK220" i="37"/>
  <c r="AL220" i="37"/>
  <c r="AG221" i="37"/>
  <c r="AH221" i="37"/>
  <c r="AI221" i="37"/>
  <c r="AJ221" i="37"/>
  <c r="AK221" i="37"/>
  <c r="AL221" i="37"/>
  <c r="AG222" i="37"/>
  <c r="AH222" i="37"/>
  <c r="AI222" i="37"/>
  <c r="AJ222" i="37"/>
  <c r="AK222" i="37"/>
  <c r="AL222" i="37"/>
  <c r="AG223" i="37"/>
  <c r="AH223" i="37"/>
  <c r="AI223" i="37"/>
  <c r="AJ223" i="37"/>
  <c r="AK223" i="37"/>
  <c r="AL223" i="37"/>
  <c r="AG224" i="37"/>
  <c r="AH224" i="37"/>
  <c r="AI224" i="37"/>
  <c r="AJ224" i="37"/>
  <c r="AK224" i="37"/>
  <c r="AL224" i="37"/>
  <c r="AG225" i="37"/>
  <c r="AH225" i="37"/>
  <c r="AI225" i="37"/>
  <c r="AJ225" i="37"/>
  <c r="AK225" i="37"/>
  <c r="AL225" i="37"/>
  <c r="AG226" i="37"/>
  <c r="AH226" i="37"/>
  <c r="AI226" i="37"/>
  <c r="AJ226" i="37"/>
  <c r="AK226" i="37"/>
  <c r="AL226" i="37"/>
  <c r="AG227" i="37"/>
  <c r="AH227" i="37"/>
  <c r="AI227" i="37"/>
  <c r="AJ227" i="37"/>
  <c r="AK227" i="37"/>
  <c r="AL227" i="37"/>
  <c r="AG228" i="37"/>
  <c r="AH228" i="37"/>
  <c r="AI228" i="37"/>
  <c r="AJ228" i="37"/>
  <c r="AK228" i="37"/>
  <c r="AL228" i="37"/>
  <c r="AG229" i="37"/>
  <c r="AH229" i="37"/>
  <c r="AI229" i="37"/>
  <c r="AJ229" i="37"/>
  <c r="AK229" i="37"/>
  <c r="AL229" i="37"/>
  <c r="AG230" i="37"/>
  <c r="AH230" i="37"/>
  <c r="AI230" i="37"/>
  <c r="AJ230" i="37"/>
  <c r="AK230" i="37"/>
  <c r="AL230" i="37"/>
  <c r="AG231" i="37"/>
  <c r="AH231" i="37"/>
  <c r="AI231" i="37"/>
  <c r="AJ231" i="37"/>
  <c r="AK231" i="37"/>
  <c r="AL231" i="37"/>
  <c r="AG232" i="37"/>
  <c r="AH232" i="37"/>
  <c r="AI232" i="37"/>
  <c r="AJ232" i="37"/>
  <c r="AK232" i="37"/>
  <c r="AL232" i="37"/>
  <c r="AG233" i="37"/>
  <c r="AH233" i="37"/>
  <c r="AI233" i="37"/>
  <c r="AJ233" i="37"/>
  <c r="AK233" i="37"/>
  <c r="AL233" i="37"/>
  <c r="AG234" i="37"/>
  <c r="AH234" i="37"/>
  <c r="AI234" i="37"/>
  <c r="AJ234" i="37"/>
  <c r="AK234" i="37"/>
  <c r="AL234" i="37"/>
  <c r="AG235" i="37"/>
  <c r="AH235" i="37"/>
  <c r="AI235" i="37"/>
  <c r="AJ235" i="37"/>
  <c r="AK235" i="37"/>
  <c r="AL235" i="37"/>
  <c r="AG236" i="37"/>
  <c r="AH236" i="37"/>
  <c r="AI236" i="37"/>
  <c r="AJ236" i="37"/>
  <c r="AK236" i="37"/>
  <c r="AL236" i="37"/>
  <c r="AG237" i="37"/>
  <c r="AH237" i="37"/>
  <c r="AI237" i="37"/>
  <c r="AJ237" i="37"/>
  <c r="AK237" i="37"/>
  <c r="AL237" i="37"/>
  <c r="AG238" i="37"/>
  <c r="AH238" i="37"/>
  <c r="AI238" i="37"/>
  <c r="AJ238" i="37"/>
  <c r="AK238" i="37"/>
  <c r="AL238" i="37"/>
  <c r="AG239" i="37"/>
  <c r="AH239" i="37"/>
  <c r="AI239" i="37"/>
  <c r="AJ239" i="37"/>
  <c r="AK239" i="37"/>
  <c r="AL239" i="37"/>
  <c r="AG240" i="37"/>
  <c r="AH240" i="37"/>
  <c r="AI240" i="37"/>
  <c r="AJ240" i="37"/>
  <c r="AK240" i="37"/>
  <c r="AL240" i="37"/>
  <c r="AG241" i="37"/>
  <c r="AH241" i="37"/>
  <c r="AI241" i="37"/>
  <c r="AJ241" i="37"/>
  <c r="AK241" i="37"/>
  <c r="AL241" i="37"/>
  <c r="AG242" i="37"/>
  <c r="AH242" i="37"/>
  <c r="AI242" i="37"/>
  <c r="AJ242" i="37"/>
  <c r="AK242" i="37"/>
  <c r="AL242" i="37"/>
  <c r="AG243" i="37"/>
  <c r="AH243" i="37"/>
  <c r="AI243" i="37"/>
  <c r="AJ243" i="37"/>
  <c r="AK243" i="37"/>
  <c r="AL243" i="37"/>
  <c r="AG244" i="37"/>
  <c r="AH244" i="37"/>
  <c r="AI244" i="37"/>
  <c r="AJ244" i="37"/>
  <c r="AK244" i="37"/>
  <c r="AL244" i="37"/>
  <c r="AG245" i="37"/>
  <c r="AH245" i="37"/>
  <c r="AI245" i="37"/>
  <c r="AJ245" i="37"/>
  <c r="AK245" i="37"/>
  <c r="AL245" i="37"/>
  <c r="AG246" i="37"/>
  <c r="AH246" i="37"/>
  <c r="AI246" i="37"/>
  <c r="AJ246" i="37"/>
  <c r="AK246" i="37"/>
  <c r="AL246" i="37"/>
  <c r="AG247" i="37"/>
  <c r="AH247" i="37"/>
  <c r="AI247" i="37"/>
  <c r="AJ247" i="37"/>
  <c r="AK247" i="37"/>
  <c r="AL247" i="37"/>
  <c r="AG248" i="37"/>
  <c r="AH248" i="37"/>
  <c r="AI248" i="37"/>
  <c r="AJ248" i="37"/>
  <c r="AK248" i="37"/>
  <c r="AL248" i="37"/>
  <c r="AG249" i="37"/>
  <c r="AH249" i="37"/>
  <c r="AI249" i="37"/>
  <c r="AJ249" i="37"/>
  <c r="AK249" i="37"/>
  <c r="AL249" i="37"/>
  <c r="AG250" i="37"/>
  <c r="AH250" i="37"/>
  <c r="AI250" i="37"/>
  <c r="AJ250" i="37"/>
  <c r="AK250" i="37"/>
  <c r="AL250" i="37"/>
  <c r="AG251" i="37"/>
  <c r="AH251" i="37"/>
  <c r="AI251" i="37"/>
  <c r="AJ251" i="37"/>
  <c r="AK251" i="37"/>
  <c r="AL251" i="37"/>
  <c r="AG252" i="37"/>
  <c r="AH252" i="37"/>
  <c r="AI252" i="37"/>
  <c r="AJ252" i="37"/>
  <c r="AK252" i="37"/>
  <c r="AL252" i="37"/>
  <c r="AG253" i="37"/>
  <c r="AH253" i="37"/>
  <c r="AI253" i="37"/>
  <c r="AJ253" i="37"/>
  <c r="AK253" i="37"/>
  <c r="AL253" i="37"/>
  <c r="AG254" i="37"/>
  <c r="AH254" i="37"/>
  <c r="AI254" i="37"/>
  <c r="AJ254" i="37"/>
  <c r="AK254" i="37"/>
  <c r="AL254" i="37"/>
  <c r="AG255" i="37"/>
  <c r="AH255" i="37"/>
  <c r="AI255" i="37"/>
  <c r="AJ255" i="37"/>
  <c r="AK255" i="37"/>
  <c r="AL255" i="37"/>
  <c r="AG256" i="37"/>
  <c r="AH256" i="37"/>
  <c r="AI256" i="37"/>
  <c r="AJ256" i="37"/>
  <c r="AK256" i="37"/>
  <c r="AL256" i="37"/>
  <c r="AG257" i="37"/>
  <c r="AH257" i="37"/>
  <c r="AI257" i="37"/>
  <c r="AJ257" i="37"/>
  <c r="AK257" i="37"/>
  <c r="AL257" i="37"/>
  <c r="AG258" i="37"/>
  <c r="AH258" i="37"/>
  <c r="AI258" i="37"/>
  <c r="AJ258" i="37"/>
  <c r="AK258" i="37"/>
  <c r="AL258" i="37"/>
  <c r="AG259" i="37"/>
  <c r="AH259" i="37"/>
  <c r="AI259" i="37"/>
  <c r="AJ259" i="37"/>
  <c r="AK259" i="37"/>
  <c r="AL259" i="37"/>
  <c r="AG260" i="37"/>
  <c r="AH260" i="37"/>
  <c r="AI260" i="37"/>
  <c r="AJ260" i="37"/>
  <c r="AK260" i="37"/>
  <c r="AL260" i="37"/>
  <c r="AG261" i="37"/>
  <c r="AH261" i="37"/>
  <c r="AI261" i="37"/>
  <c r="AJ261" i="37"/>
  <c r="AK261" i="37"/>
  <c r="AL261" i="37"/>
  <c r="AG262" i="37"/>
  <c r="AH262" i="37"/>
  <c r="AI262" i="37"/>
  <c r="AJ262" i="37"/>
  <c r="AK262" i="37"/>
  <c r="AL262" i="37"/>
  <c r="AG263" i="37"/>
  <c r="AH263" i="37"/>
  <c r="AI263" i="37"/>
  <c r="AJ263" i="37"/>
  <c r="AK263" i="37"/>
  <c r="AL263" i="37"/>
  <c r="AG264" i="37"/>
  <c r="AH264" i="37"/>
  <c r="AI264" i="37"/>
  <c r="AJ264" i="37"/>
  <c r="AK264" i="37"/>
  <c r="AL264" i="37"/>
  <c r="AG265" i="37"/>
  <c r="AH265" i="37"/>
  <c r="AI265" i="37"/>
  <c r="AJ265" i="37"/>
  <c r="AK265" i="37"/>
  <c r="AL265" i="37"/>
  <c r="AG266" i="37"/>
  <c r="AH266" i="37"/>
  <c r="AI266" i="37"/>
  <c r="AJ266" i="37"/>
  <c r="AK266" i="37"/>
  <c r="AL266" i="37"/>
  <c r="AG267" i="37"/>
  <c r="AH267" i="37"/>
  <c r="AI267" i="37"/>
  <c r="AJ267" i="37"/>
  <c r="AK267" i="37"/>
  <c r="AL267" i="37"/>
  <c r="AG268" i="37"/>
  <c r="AH268" i="37"/>
  <c r="AI268" i="37"/>
  <c r="AJ268" i="37"/>
  <c r="AK268" i="37"/>
  <c r="AL268" i="37"/>
  <c r="AG269" i="37"/>
  <c r="AH269" i="37"/>
  <c r="AI269" i="37"/>
  <c r="AJ269" i="37"/>
  <c r="AK269" i="37"/>
  <c r="AL269" i="37"/>
  <c r="AG270" i="37"/>
  <c r="AH270" i="37"/>
  <c r="AI270" i="37"/>
  <c r="AJ270" i="37"/>
  <c r="AK270" i="37"/>
  <c r="AL270" i="37"/>
  <c r="AG271" i="37"/>
  <c r="AH271" i="37"/>
  <c r="AI271" i="37"/>
  <c r="AJ271" i="37"/>
  <c r="AK271" i="37"/>
  <c r="AL271" i="37"/>
  <c r="AG272" i="37"/>
  <c r="AH272" i="37"/>
  <c r="AI272" i="37"/>
  <c r="AJ272" i="37"/>
  <c r="AK272" i="37"/>
  <c r="AL272" i="37"/>
  <c r="AG273" i="37"/>
  <c r="AH273" i="37"/>
  <c r="AI273" i="37"/>
  <c r="AJ273" i="37"/>
  <c r="AK273" i="37"/>
  <c r="AL273" i="37"/>
  <c r="AG274" i="37"/>
  <c r="AH274" i="37"/>
  <c r="AI274" i="37"/>
  <c r="AJ274" i="37"/>
  <c r="AK274" i="37"/>
  <c r="AL274" i="37"/>
  <c r="AG275" i="37"/>
  <c r="AH275" i="37"/>
  <c r="AI275" i="37"/>
  <c r="AJ275" i="37"/>
  <c r="AK275" i="37"/>
  <c r="AL275" i="37"/>
  <c r="AG276" i="37"/>
  <c r="AH276" i="37"/>
  <c r="AI276" i="37"/>
  <c r="AJ276" i="37"/>
  <c r="AK276" i="37"/>
  <c r="AL276" i="37"/>
  <c r="AG277" i="37"/>
  <c r="AH277" i="37"/>
  <c r="AI277" i="37"/>
  <c r="AJ277" i="37"/>
  <c r="AK277" i="37"/>
  <c r="AL277" i="37"/>
  <c r="AG278" i="37"/>
  <c r="AH278" i="37"/>
  <c r="AI278" i="37"/>
  <c r="AJ278" i="37"/>
  <c r="AK278" i="37"/>
  <c r="AL278" i="37"/>
  <c r="AG279" i="37"/>
  <c r="AH279" i="37"/>
  <c r="AI279" i="37"/>
  <c r="AJ279" i="37"/>
  <c r="AK279" i="37"/>
  <c r="AL279" i="37"/>
  <c r="AG280" i="37"/>
  <c r="AH280" i="37"/>
  <c r="AI280" i="37"/>
  <c r="AJ280" i="37"/>
  <c r="AK280" i="37"/>
  <c r="AL280" i="37"/>
  <c r="AG281" i="37"/>
  <c r="AH281" i="37"/>
  <c r="AI281" i="37"/>
  <c r="AJ281" i="37"/>
  <c r="AK281" i="37"/>
  <c r="AL281" i="37"/>
  <c r="AG282" i="37"/>
  <c r="AH282" i="37"/>
  <c r="AI282" i="37"/>
  <c r="AJ282" i="37"/>
  <c r="AK282" i="37"/>
  <c r="AL282" i="37"/>
  <c r="AG283" i="37"/>
  <c r="AH283" i="37"/>
  <c r="AI283" i="37"/>
  <c r="AJ283" i="37"/>
  <c r="AK283" i="37"/>
  <c r="AL283" i="37"/>
  <c r="AG284" i="37"/>
  <c r="AH284" i="37"/>
  <c r="AI284" i="37"/>
  <c r="AJ284" i="37"/>
  <c r="AK284" i="37"/>
  <c r="AL284" i="37"/>
  <c r="AG285" i="37"/>
  <c r="AH285" i="37"/>
  <c r="AI285" i="37"/>
  <c r="AJ285" i="37"/>
  <c r="AK285" i="37"/>
  <c r="AL285" i="37"/>
  <c r="AG286" i="37"/>
  <c r="AH286" i="37"/>
  <c r="AI286" i="37"/>
  <c r="AJ286" i="37"/>
  <c r="AK286" i="37"/>
  <c r="AL286" i="37"/>
  <c r="AG287" i="37"/>
  <c r="AH287" i="37"/>
  <c r="AI287" i="37"/>
  <c r="AJ287" i="37"/>
  <c r="AK287" i="37"/>
  <c r="AL287" i="37"/>
  <c r="AG288" i="37"/>
  <c r="AH288" i="37"/>
  <c r="AI288" i="37"/>
  <c r="AJ288" i="37"/>
  <c r="AK288" i="37"/>
  <c r="AL288" i="37"/>
  <c r="AG289" i="37"/>
  <c r="AH289" i="37"/>
  <c r="AI289" i="37"/>
  <c r="AJ289" i="37"/>
  <c r="AK289" i="37"/>
  <c r="AL289" i="37"/>
  <c r="AG290" i="37"/>
  <c r="AH290" i="37"/>
  <c r="AI290" i="37"/>
  <c r="AJ290" i="37"/>
  <c r="AK290" i="37"/>
  <c r="AL290" i="37"/>
  <c r="AG291" i="37"/>
  <c r="AH291" i="37"/>
  <c r="AI291" i="37"/>
  <c r="AJ291" i="37"/>
  <c r="AK291" i="37"/>
  <c r="AL291" i="37"/>
  <c r="AG292" i="37"/>
  <c r="AH292" i="37"/>
  <c r="AI292" i="37"/>
  <c r="AJ292" i="37"/>
  <c r="AK292" i="37"/>
  <c r="AL292" i="37"/>
  <c r="AG293" i="37"/>
  <c r="AH293" i="37"/>
  <c r="AI293" i="37"/>
  <c r="AJ293" i="37"/>
  <c r="AK293" i="37"/>
  <c r="AL293" i="37"/>
  <c r="AG294" i="37"/>
  <c r="AH294" i="37"/>
  <c r="AI294" i="37"/>
  <c r="AJ294" i="37"/>
  <c r="AK294" i="37"/>
  <c r="AL294" i="37"/>
  <c r="AG295" i="37"/>
  <c r="AH295" i="37"/>
  <c r="AI295" i="37"/>
  <c r="AJ295" i="37"/>
  <c r="AK295" i="37"/>
  <c r="AL295" i="37"/>
  <c r="AL76" i="37"/>
  <c r="AK76" i="37"/>
  <c r="AJ76" i="37"/>
  <c r="AI76" i="37"/>
  <c r="AH76" i="37"/>
  <c r="AG76" i="37"/>
  <c r="AL515" i="40"/>
  <c r="AK515" i="40"/>
  <c r="AJ515" i="40"/>
  <c r="AI515" i="40"/>
  <c r="AH515" i="40"/>
  <c r="AG515" i="40"/>
  <c r="AL514" i="40"/>
  <c r="AK514" i="40"/>
  <c r="AJ514" i="40"/>
  <c r="AI514" i="40"/>
  <c r="AH514" i="40"/>
  <c r="AG514" i="40"/>
  <c r="AL513" i="40"/>
  <c r="AK513" i="40"/>
  <c r="AJ513" i="40"/>
  <c r="AI513" i="40"/>
  <c r="AH513" i="40"/>
  <c r="AG513" i="40"/>
  <c r="AL512" i="40"/>
  <c r="AK512" i="40"/>
  <c r="AJ512" i="40"/>
  <c r="AI512" i="40"/>
  <c r="AH512" i="40"/>
  <c r="AG512" i="40"/>
  <c r="AL511" i="40"/>
  <c r="AK511" i="40"/>
  <c r="AJ511" i="40"/>
  <c r="AI511" i="40"/>
  <c r="AH511" i="40"/>
  <c r="AG511" i="40"/>
  <c r="AL510" i="40"/>
  <c r="AK510" i="40"/>
  <c r="AJ510" i="40"/>
  <c r="AI510" i="40"/>
  <c r="AH510" i="40"/>
  <c r="AG510" i="40"/>
  <c r="AL509" i="40"/>
  <c r="AK509" i="40"/>
  <c r="AJ509" i="40"/>
  <c r="AI509" i="40"/>
  <c r="AH509" i="40"/>
  <c r="AG509" i="40"/>
  <c r="AL508" i="40"/>
  <c r="AK508" i="40"/>
  <c r="AJ508" i="40"/>
  <c r="AI508" i="40"/>
  <c r="AH508" i="40"/>
  <c r="AG508" i="40"/>
  <c r="AL507" i="40"/>
  <c r="AK507" i="40"/>
  <c r="AJ507" i="40"/>
  <c r="AI507" i="40"/>
  <c r="AH507" i="40"/>
  <c r="AG507" i="40"/>
  <c r="AL506" i="40"/>
  <c r="AK506" i="40"/>
  <c r="AJ506" i="40"/>
  <c r="AI506" i="40"/>
  <c r="AH506" i="40"/>
  <c r="AG506" i="40"/>
  <c r="AL505" i="40"/>
  <c r="AK505" i="40"/>
  <c r="AJ505" i="40"/>
  <c r="AI505" i="40"/>
  <c r="AH505" i="40"/>
  <c r="AG505" i="40"/>
  <c r="AL504" i="40"/>
  <c r="AK504" i="40"/>
  <c r="AJ504" i="40"/>
  <c r="AI504" i="40"/>
  <c r="AH504" i="40"/>
  <c r="AG504" i="40"/>
  <c r="AL503" i="40"/>
  <c r="AK503" i="40"/>
  <c r="AJ503" i="40"/>
  <c r="AI503" i="40"/>
  <c r="AH503" i="40"/>
  <c r="AG503" i="40"/>
  <c r="AL502" i="40"/>
  <c r="AK502" i="40"/>
  <c r="AJ502" i="40"/>
  <c r="AI502" i="40"/>
  <c r="AH502" i="40"/>
  <c r="AG502" i="40"/>
  <c r="AL501" i="40"/>
  <c r="AK501" i="40"/>
  <c r="AJ501" i="40"/>
  <c r="AI501" i="40"/>
  <c r="AH501" i="40"/>
  <c r="AG501" i="40"/>
  <c r="AL500" i="40"/>
  <c r="AK500" i="40"/>
  <c r="AJ500" i="40"/>
  <c r="AI500" i="40"/>
  <c r="AH500" i="40"/>
  <c r="AG500" i="40"/>
  <c r="AL499" i="40"/>
  <c r="AK499" i="40"/>
  <c r="AJ499" i="40"/>
  <c r="AI499" i="40"/>
  <c r="AH499" i="40"/>
  <c r="AG499" i="40"/>
  <c r="AL498" i="40"/>
  <c r="AK498" i="40"/>
  <c r="AJ498" i="40"/>
  <c r="AI498" i="40"/>
  <c r="AH498" i="40"/>
  <c r="AG498" i="40"/>
  <c r="AL497" i="40"/>
  <c r="AK497" i="40"/>
  <c r="AJ497" i="40"/>
  <c r="AI497" i="40"/>
  <c r="AH497" i="40"/>
  <c r="AG497" i="40"/>
  <c r="AL496" i="40"/>
  <c r="AK496" i="40"/>
  <c r="AJ496" i="40"/>
  <c r="AI496" i="40"/>
  <c r="AH496" i="40"/>
  <c r="AG496" i="40"/>
  <c r="AL495" i="40"/>
  <c r="AK495" i="40"/>
  <c r="AJ495" i="40"/>
  <c r="AI495" i="40"/>
  <c r="AH495" i="40"/>
  <c r="AG495" i="40"/>
  <c r="AL494" i="40"/>
  <c r="AK494" i="40"/>
  <c r="AJ494" i="40"/>
  <c r="AI494" i="40"/>
  <c r="AH494" i="40"/>
  <c r="AG494" i="40"/>
  <c r="AL493" i="40"/>
  <c r="AK493" i="40"/>
  <c r="AJ493" i="40"/>
  <c r="AI493" i="40"/>
  <c r="AH493" i="40"/>
  <c r="AG493" i="40"/>
  <c r="AL492" i="40"/>
  <c r="AK492" i="40"/>
  <c r="AJ492" i="40"/>
  <c r="AI492" i="40"/>
  <c r="AH492" i="40"/>
  <c r="AG492" i="40"/>
  <c r="AL491" i="40"/>
  <c r="AK491" i="40"/>
  <c r="AJ491" i="40"/>
  <c r="AI491" i="40"/>
  <c r="AH491" i="40"/>
  <c r="AG491" i="40"/>
  <c r="AL490" i="40"/>
  <c r="AK490" i="40"/>
  <c r="AJ490" i="40"/>
  <c r="AI490" i="40"/>
  <c r="AH490" i="40"/>
  <c r="AG490" i="40"/>
  <c r="AL489" i="40"/>
  <c r="AK489" i="40"/>
  <c r="AJ489" i="40"/>
  <c r="AI489" i="40"/>
  <c r="AH489" i="40"/>
  <c r="AG489" i="40"/>
  <c r="AL488" i="40"/>
  <c r="AK488" i="40"/>
  <c r="AJ488" i="40"/>
  <c r="AI488" i="40"/>
  <c r="AH488" i="40"/>
  <c r="AG488" i="40"/>
  <c r="AL487" i="40"/>
  <c r="AK487" i="40"/>
  <c r="AJ487" i="40"/>
  <c r="AI487" i="40"/>
  <c r="AH487" i="40"/>
  <c r="AG487" i="40"/>
  <c r="AL486" i="40"/>
  <c r="AK486" i="40"/>
  <c r="AJ486" i="40"/>
  <c r="AI486" i="40"/>
  <c r="AH486" i="40"/>
  <c r="AG486" i="40"/>
  <c r="AL485" i="40"/>
  <c r="AK485" i="40"/>
  <c r="AJ485" i="40"/>
  <c r="AI485" i="40"/>
  <c r="AH485" i="40"/>
  <c r="AG485" i="40"/>
  <c r="AL484" i="40"/>
  <c r="AK484" i="40"/>
  <c r="AJ484" i="40"/>
  <c r="AI484" i="40"/>
  <c r="AH484" i="40"/>
  <c r="AG484" i="40"/>
  <c r="AL483" i="40"/>
  <c r="AK483" i="40"/>
  <c r="AJ483" i="40"/>
  <c r="AI483" i="40"/>
  <c r="AH483" i="40"/>
  <c r="AG483" i="40"/>
  <c r="AL482" i="40"/>
  <c r="AK482" i="40"/>
  <c r="AJ482" i="40"/>
  <c r="AI482" i="40"/>
  <c r="AH482" i="40"/>
  <c r="AG482" i="40"/>
  <c r="AL481" i="40"/>
  <c r="AK481" i="40"/>
  <c r="AJ481" i="40"/>
  <c r="AI481" i="40"/>
  <c r="AH481" i="40"/>
  <c r="AG481" i="40"/>
  <c r="AL480" i="40"/>
  <c r="AK480" i="40"/>
  <c r="AJ480" i="40"/>
  <c r="AI480" i="40"/>
  <c r="AH480" i="40"/>
  <c r="AG480" i="40"/>
  <c r="AL479" i="40"/>
  <c r="AK479" i="40"/>
  <c r="AJ479" i="40"/>
  <c r="AI479" i="40"/>
  <c r="AH479" i="40"/>
  <c r="AG479" i="40"/>
  <c r="AL478" i="40"/>
  <c r="AK478" i="40"/>
  <c r="AJ478" i="40"/>
  <c r="AI478" i="40"/>
  <c r="AH478" i="40"/>
  <c r="AG478" i="40"/>
  <c r="AL477" i="40"/>
  <c r="AK477" i="40"/>
  <c r="AJ477" i="40"/>
  <c r="AI477" i="40"/>
  <c r="AH477" i="40"/>
  <c r="AG477" i="40"/>
  <c r="AL476" i="40"/>
  <c r="AK476" i="40"/>
  <c r="AJ476" i="40"/>
  <c r="AI476" i="40"/>
  <c r="AH476" i="40"/>
  <c r="AG476" i="40"/>
  <c r="AL475" i="40"/>
  <c r="AK475" i="40"/>
  <c r="AJ475" i="40"/>
  <c r="AI475" i="40"/>
  <c r="AH475" i="40"/>
  <c r="AG475" i="40"/>
  <c r="AL474" i="40"/>
  <c r="AK474" i="40"/>
  <c r="AJ474" i="40"/>
  <c r="AI474" i="40"/>
  <c r="AH474" i="40"/>
  <c r="AG474" i="40"/>
  <c r="AL473" i="40"/>
  <c r="AK473" i="40"/>
  <c r="AJ473" i="40"/>
  <c r="AI473" i="40"/>
  <c r="AH473" i="40"/>
  <c r="AG473" i="40"/>
  <c r="AL472" i="40"/>
  <c r="AK472" i="40"/>
  <c r="AJ472" i="40"/>
  <c r="AI472" i="40"/>
  <c r="AH472" i="40"/>
  <c r="AG472" i="40"/>
  <c r="AL471" i="40"/>
  <c r="AK471" i="40"/>
  <c r="AJ471" i="40"/>
  <c r="AI471" i="40"/>
  <c r="AH471" i="40"/>
  <c r="AG471" i="40"/>
  <c r="AL470" i="40"/>
  <c r="AK470" i="40"/>
  <c r="AJ470" i="40"/>
  <c r="AI470" i="40"/>
  <c r="AH470" i="40"/>
  <c r="AG470" i="40"/>
  <c r="AL469" i="40"/>
  <c r="AK469" i="40"/>
  <c r="AJ469" i="40"/>
  <c r="AI469" i="40"/>
  <c r="AH469" i="40"/>
  <c r="AG469" i="40"/>
  <c r="AL468" i="40"/>
  <c r="AK468" i="40"/>
  <c r="AJ468" i="40"/>
  <c r="AI468" i="40"/>
  <c r="AH468" i="40"/>
  <c r="AG468" i="40"/>
  <c r="AL467" i="40"/>
  <c r="AK467" i="40"/>
  <c r="AJ467" i="40"/>
  <c r="AI467" i="40"/>
  <c r="AH467" i="40"/>
  <c r="AG467" i="40"/>
  <c r="AL466" i="40"/>
  <c r="AK466" i="40"/>
  <c r="AJ466" i="40"/>
  <c r="AI466" i="40"/>
  <c r="AH466" i="40"/>
  <c r="AG466" i="40"/>
  <c r="AL465" i="40"/>
  <c r="AK465" i="40"/>
  <c r="AJ465" i="40"/>
  <c r="AI465" i="40"/>
  <c r="AH465" i="40"/>
  <c r="AG465" i="40"/>
  <c r="AL464" i="40"/>
  <c r="AK464" i="40"/>
  <c r="AJ464" i="40"/>
  <c r="AI464" i="40"/>
  <c r="AH464" i="40"/>
  <c r="AG464" i="40"/>
  <c r="AL463" i="40"/>
  <c r="AK463" i="40"/>
  <c r="AJ463" i="40"/>
  <c r="AI463" i="40"/>
  <c r="AH463" i="40"/>
  <c r="AG463" i="40"/>
  <c r="AL462" i="40"/>
  <c r="AK462" i="40"/>
  <c r="AJ462" i="40"/>
  <c r="AI462" i="40"/>
  <c r="AH462" i="40"/>
  <c r="AG462" i="40"/>
  <c r="AL461" i="40"/>
  <c r="AK461" i="40"/>
  <c r="AJ461" i="40"/>
  <c r="AI461" i="40"/>
  <c r="AH461" i="40"/>
  <c r="AG461" i="40"/>
  <c r="AL460" i="40"/>
  <c r="AK460" i="40"/>
  <c r="AJ460" i="40"/>
  <c r="AI460" i="40"/>
  <c r="AH460" i="40"/>
  <c r="AG460" i="40"/>
  <c r="AL459" i="40"/>
  <c r="AK459" i="40"/>
  <c r="AJ459" i="40"/>
  <c r="AI459" i="40"/>
  <c r="AH459" i="40"/>
  <c r="AG459" i="40"/>
  <c r="AL458" i="40"/>
  <c r="AK458" i="40"/>
  <c r="AJ458" i="40"/>
  <c r="AI458" i="40"/>
  <c r="AH458" i="40"/>
  <c r="AG458" i="40"/>
  <c r="AL457" i="40"/>
  <c r="AK457" i="40"/>
  <c r="AJ457" i="40"/>
  <c r="AI457" i="40"/>
  <c r="AH457" i="40"/>
  <c r="AG457" i="40"/>
  <c r="AL456" i="40"/>
  <c r="AK456" i="40"/>
  <c r="AJ456" i="40"/>
  <c r="AI456" i="40"/>
  <c r="AH456" i="40"/>
  <c r="AG456" i="40"/>
  <c r="AL455" i="40"/>
  <c r="AK455" i="40"/>
  <c r="AJ455" i="40"/>
  <c r="AI455" i="40"/>
  <c r="AH455" i="40"/>
  <c r="AG455" i="40"/>
  <c r="AL454" i="40"/>
  <c r="AK454" i="40"/>
  <c r="AJ454" i="40"/>
  <c r="AI454" i="40"/>
  <c r="AH454" i="40"/>
  <c r="AG454" i="40"/>
  <c r="AL453" i="40"/>
  <c r="AK453" i="40"/>
  <c r="AJ453" i="40"/>
  <c r="AI453" i="40"/>
  <c r="AH453" i="40"/>
  <c r="AG453" i="40"/>
  <c r="AL452" i="40"/>
  <c r="AK452" i="40"/>
  <c r="AJ452" i="40"/>
  <c r="AI452" i="40"/>
  <c r="AH452" i="40"/>
  <c r="AG452" i="40"/>
  <c r="AL451" i="40"/>
  <c r="AK451" i="40"/>
  <c r="AJ451" i="40"/>
  <c r="AI451" i="40"/>
  <c r="AH451" i="40"/>
  <c r="AG451" i="40"/>
  <c r="AL450" i="40"/>
  <c r="AK450" i="40"/>
  <c r="AJ450" i="40"/>
  <c r="AI450" i="40"/>
  <c r="AH450" i="40"/>
  <c r="AG450" i="40"/>
  <c r="AL449" i="40"/>
  <c r="AK449" i="40"/>
  <c r="AJ449" i="40"/>
  <c r="AI449" i="40"/>
  <c r="AH449" i="40"/>
  <c r="AG449" i="40"/>
  <c r="AL448" i="40"/>
  <c r="AK448" i="40"/>
  <c r="AJ448" i="40"/>
  <c r="AI448" i="40"/>
  <c r="AH448" i="40"/>
  <c r="AG448" i="40"/>
  <c r="AL447" i="40"/>
  <c r="AK447" i="40"/>
  <c r="AJ447" i="40"/>
  <c r="AI447" i="40"/>
  <c r="AH447" i="40"/>
  <c r="AG447" i="40"/>
  <c r="AL446" i="40"/>
  <c r="AK446" i="40"/>
  <c r="AJ446" i="40"/>
  <c r="AI446" i="40"/>
  <c r="AH446" i="40"/>
  <c r="AG446" i="40"/>
  <c r="AL445" i="40"/>
  <c r="AK445" i="40"/>
  <c r="AJ445" i="40"/>
  <c r="AI445" i="40"/>
  <c r="AH445" i="40"/>
  <c r="AG445" i="40"/>
  <c r="AL444" i="40"/>
  <c r="AK444" i="40"/>
  <c r="AJ444" i="40"/>
  <c r="AI444" i="40"/>
  <c r="AH444" i="40"/>
  <c r="AG444" i="40"/>
  <c r="AL443" i="40"/>
  <c r="AK443" i="40"/>
  <c r="AJ443" i="40"/>
  <c r="AI443" i="40"/>
  <c r="AH443" i="40"/>
  <c r="AG443" i="40"/>
  <c r="AL442" i="40"/>
  <c r="AK442" i="40"/>
  <c r="AJ442" i="40"/>
  <c r="AI442" i="40"/>
  <c r="AH442" i="40"/>
  <c r="AG442" i="40"/>
  <c r="AL441" i="40"/>
  <c r="AK441" i="40"/>
  <c r="AJ441" i="40"/>
  <c r="AI441" i="40"/>
  <c r="AH441" i="40"/>
  <c r="AG441" i="40"/>
  <c r="AL440" i="40"/>
  <c r="AK440" i="40"/>
  <c r="AJ440" i="40"/>
  <c r="AI440" i="40"/>
  <c r="AH440" i="40"/>
  <c r="AG440" i="40"/>
  <c r="AL439" i="40"/>
  <c r="AK439" i="40"/>
  <c r="AJ439" i="40"/>
  <c r="AI439" i="40"/>
  <c r="AH439" i="40"/>
  <c r="AG439" i="40"/>
  <c r="AL438" i="40"/>
  <c r="AK438" i="40"/>
  <c r="AJ438" i="40"/>
  <c r="AI438" i="40"/>
  <c r="AH438" i="40"/>
  <c r="AG438" i="40"/>
  <c r="AL437" i="40"/>
  <c r="AK437" i="40"/>
  <c r="AJ437" i="40"/>
  <c r="AI437" i="40"/>
  <c r="AH437" i="40"/>
  <c r="AG437" i="40"/>
  <c r="AL436" i="40"/>
  <c r="AK436" i="40"/>
  <c r="AJ436" i="40"/>
  <c r="AI436" i="40"/>
  <c r="AH436" i="40"/>
  <c r="AG436" i="40"/>
  <c r="AL435" i="40"/>
  <c r="AK435" i="40"/>
  <c r="AJ435" i="40"/>
  <c r="AI435" i="40"/>
  <c r="AH435" i="40"/>
  <c r="AG435" i="40"/>
  <c r="AL434" i="40"/>
  <c r="AK434" i="40"/>
  <c r="AJ434" i="40"/>
  <c r="AI434" i="40"/>
  <c r="AH434" i="40"/>
  <c r="AG434" i="40"/>
  <c r="AL433" i="40"/>
  <c r="AK433" i="40"/>
  <c r="AJ433" i="40"/>
  <c r="AI433" i="40"/>
  <c r="AH433" i="40"/>
  <c r="AG433" i="40"/>
  <c r="AL432" i="40"/>
  <c r="AK432" i="40"/>
  <c r="AJ432" i="40"/>
  <c r="AI432" i="40"/>
  <c r="AH432" i="40"/>
  <c r="AG432" i="40"/>
  <c r="AL431" i="40"/>
  <c r="AK431" i="40"/>
  <c r="AJ431" i="40"/>
  <c r="AI431" i="40"/>
  <c r="AH431" i="40"/>
  <c r="AG431" i="40"/>
  <c r="AL430" i="40"/>
  <c r="AK430" i="40"/>
  <c r="AJ430" i="40"/>
  <c r="AI430" i="40"/>
  <c r="AH430" i="40"/>
  <c r="AG430" i="40"/>
  <c r="AL429" i="40"/>
  <c r="AK429" i="40"/>
  <c r="AJ429" i="40"/>
  <c r="AI429" i="40"/>
  <c r="AH429" i="40"/>
  <c r="AG429" i="40"/>
  <c r="AL428" i="40"/>
  <c r="AK428" i="40"/>
  <c r="AJ428" i="40"/>
  <c r="AI428" i="40"/>
  <c r="AH428" i="40"/>
  <c r="AG428" i="40"/>
  <c r="AL427" i="40"/>
  <c r="AK427" i="40"/>
  <c r="AJ427" i="40"/>
  <c r="AI427" i="40"/>
  <c r="AH427" i="40"/>
  <c r="AG427" i="40"/>
  <c r="AL426" i="40"/>
  <c r="AK426" i="40"/>
  <c r="AJ426" i="40"/>
  <c r="AI426" i="40"/>
  <c r="AH426" i="40"/>
  <c r="AG426" i="40"/>
  <c r="AL425" i="40"/>
  <c r="AK425" i="40"/>
  <c r="AJ425" i="40"/>
  <c r="AI425" i="40"/>
  <c r="AH425" i="40"/>
  <c r="AG425" i="40"/>
  <c r="AL424" i="40"/>
  <c r="AK424" i="40"/>
  <c r="AJ424" i="40"/>
  <c r="AI424" i="40"/>
  <c r="AH424" i="40"/>
  <c r="AG424" i="40"/>
  <c r="AL423" i="40"/>
  <c r="AK423" i="40"/>
  <c r="AJ423" i="40"/>
  <c r="AI423" i="40"/>
  <c r="AH423" i="40"/>
  <c r="AG423" i="40"/>
  <c r="AL422" i="40"/>
  <c r="AK422" i="40"/>
  <c r="AJ422" i="40"/>
  <c r="AI422" i="40"/>
  <c r="AH422" i="40"/>
  <c r="AG422" i="40"/>
  <c r="AL421" i="40"/>
  <c r="AK421" i="40"/>
  <c r="AJ421" i="40"/>
  <c r="AI421" i="40"/>
  <c r="AH421" i="40"/>
  <c r="AG421" i="40"/>
  <c r="AL420" i="40"/>
  <c r="AK420" i="40"/>
  <c r="AJ420" i="40"/>
  <c r="AI420" i="40"/>
  <c r="AH420" i="40"/>
  <c r="AG420" i="40"/>
  <c r="AL419" i="40"/>
  <c r="AK419" i="40"/>
  <c r="AJ419" i="40"/>
  <c r="AI419" i="40"/>
  <c r="AH419" i="40"/>
  <c r="AG419" i="40"/>
  <c r="AL418" i="40"/>
  <c r="AK418" i="40"/>
  <c r="AJ418" i="40"/>
  <c r="AI418" i="40"/>
  <c r="AH418" i="40"/>
  <c r="AG418" i="40"/>
  <c r="AL417" i="40"/>
  <c r="AK417" i="40"/>
  <c r="AJ417" i="40"/>
  <c r="AI417" i="40"/>
  <c r="AH417" i="40"/>
  <c r="AG417" i="40"/>
  <c r="AL416" i="40"/>
  <c r="AK416" i="40"/>
  <c r="AJ416" i="40"/>
  <c r="AI416" i="40"/>
  <c r="AH416" i="40"/>
  <c r="AG416" i="40"/>
  <c r="AL415" i="40"/>
  <c r="AK415" i="40"/>
  <c r="AJ415" i="40"/>
  <c r="AI415" i="40"/>
  <c r="AH415" i="40"/>
  <c r="AG415" i="40"/>
  <c r="AL414" i="40"/>
  <c r="AK414" i="40"/>
  <c r="AJ414" i="40"/>
  <c r="AI414" i="40"/>
  <c r="AH414" i="40"/>
  <c r="AG414" i="40"/>
  <c r="AL413" i="40"/>
  <c r="AK413" i="40"/>
  <c r="AJ413" i="40"/>
  <c r="AI413" i="40"/>
  <c r="AH413" i="40"/>
  <c r="AG413" i="40"/>
  <c r="AL412" i="40"/>
  <c r="AK412" i="40"/>
  <c r="AJ412" i="40"/>
  <c r="AI412" i="40"/>
  <c r="AH412" i="40"/>
  <c r="AG412" i="40"/>
  <c r="AL411" i="40"/>
  <c r="AK411" i="40"/>
  <c r="AJ411" i="40"/>
  <c r="AI411" i="40"/>
  <c r="AH411" i="40"/>
  <c r="AG411" i="40"/>
  <c r="AL410" i="40"/>
  <c r="AK410" i="40"/>
  <c r="AJ410" i="40"/>
  <c r="AI410" i="40"/>
  <c r="AH410" i="40"/>
  <c r="AG410" i="40"/>
  <c r="AL409" i="40"/>
  <c r="AK409" i="40"/>
  <c r="AJ409" i="40"/>
  <c r="AI409" i="40"/>
  <c r="AH409" i="40"/>
  <c r="AG409" i="40"/>
  <c r="AL408" i="40"/>
  <c r="AK408" i="40"/>
  <c r="AJ408" i="40"/>
  <c r="AI408" i="40"/>
  <c r="AH408" i="40"/>
  <c r="AG408" i="40"/>
  <c r="AL407" i="40"/>
  <c r="AK407" i="40"/>
  <c r="AJ407" i="40"/>
  <c r="AI407" i="40"/>
  <c r="AH407" i="40"/>
  <c r="AG407" i="40"/>
  <c r="AL406" i="40"/>
  <c r="AK406" i="40"/>
  <c r="AJ406" i="40"/>
  <c r="AI406" i="40"/>
  <c r="AH406" i="40"/>
  <c r="AG406" i="40"/>
  <c r="AL405" i="40"/>
  <c r="AK405" i="40"/>
  <c r="AJ405" i="40"/>
  <c r="AI405" i="40"/>
  <c r="AH405" i="40"/>
  <c r="AG405" i="40"/>
  <c r="AL404" i="40"/>
  <c r="AK404" i="40"/>
  <c r="AJ404" i="40"/>
  <c r="AI404" i="40"/>
  <c r="AH404" i="40"/>
  <c r="AG404" i="40"/>
  <c r="AL403" i="40"/>
  <c r="AK403" i="40"/>
  <c r="AJ403" i="40"/>
  <c r="AI403" i="40"/>
  <c r="AH403" i="40"/>
  <c r="AG403" i="40"/>
  <c r="AL402" i="40"/>
  <c r="AK402" i="40"/>
  <c r="AJ402" i="40"/>
  <c r="AI402" i="40"/>
  <c r="AH402" i="40"/>
  <c r="AG402" i="40"/>
  <c r="AL401" i="40"/>
  <c r="AK401" i="40"/>
  <c r="AJ401" i="40"/>
  <c r="AI401" i="40"/>
  <c r="AH401" i="40"/>
  <c r="AG401" i="40"/>
  <c r="AL400" i="40"/>
  <c r="AK400" i="40"/>
  <c r="AJ400" i="40"/>
  <c r="AI400" i="40"/>
  <c r="AH400" i="40"/>
  <c r="AG400" i="40"/>
  <c r="AL399" i="40"/>
  <c r="AK399" i="40"/>
  <c r="AJ399" i="40"/>
  <c r="AI399" i="40"/>
  <c r="AH399" i="40"/>
  <c r="AG399" i="40"/>
  <c r="AL398" i="40"/>
  <c r="AK398" i="40"/>
  <c r="AJ398" i="40"/>
  <c r="AI398" i="40"/>
  <c r="AH398" i="40"/>
  <c r="AG398" i="40"/>
  <c r="AL397" i="40"/>
  <c r="AK397" i="40"/>
  <c r="AJ397" i="40"/>
  <c r="AI397" i="40"/>
  <c r="AH397" i="40"/>
  <c r="AG397" i="40"/>
  <c r="AL396" i="40"/>
  <c r="AK396" i="40"/>
  <c r="AJ396" i="40"/>
  <c r="AI396" i="40"/>
  <c r="AH396" i="40"/>
  <c r="AG396" i="40"/>
  <c r="AL395" i="40"/>
  <c r="AK395" i="40"/>
  <c r="AJ395" i="40"/>
  <c r="AI395" i="40"/>
  <c r="AH395" i="40"/>
  <c r="AG395" i="40"/>
  <c r="AL394" i="40"/>
  <c r="AK394" i="40"/>
  <c r="AJ394" i="40"/>
  <c r="AI394" i="40"/>
  <c r="AH394" i="40"/>
  <c r="AG394" i="40"/>
  <c r="AL393" i="40"/>
  <c r="AK393" i="40"/>
  <c r="AJ393" i="40"/>
  <c r="AI393" i="40"/>
  <c r="AH393" i="40"/>
  <c r="AG393" i="40"/>
  <c r="AL392" i="40"/>
  <c r="AK392" i="40"/>
  <c r="AJ392" i="40"/>
  <c r="AI392" i="40"/>
  <c r="AH392" i="40"/>
  <c r="AG392" i="40"/>
  <c r="AL391" i="40"/>
  <c r="AK391" i="40"/>
  <c r="AJ391" i="40"/>
  <c r="AI391" i="40"/>
  <c r="AH391" i="40"/>
  <c r="AG391" i="40"/>
  <c r="AL390" i="40"/>
  <c r="AK390" i="40"/>
  <c r="AJ390" i="40"/>
  <c r="AI390" i="40"/>
  <c r="AH390" i="40"/>
  <c r="AG390" i="40"/>
  <c r="AL389" i="40"/>
  <c r="AK389" i="40"/>
  <c r="AJ389" i="40"/>
  <c r="AI389" i="40"/>
  <c r="AH389" i="40"/>
  <c r="AG389" i="40"/>
  <c r="AL388" i="40"/>
  <c r="AK388" i="40"/>
  <c r="AJ388" i="40"/>
  <c r="AI388" i="40"/>
  <c r="AH388" i="40"/>
  <c r="AG388" i="40"/>
  <c r="AL387" i="40"/>
  <c r="AK387" i="40"/>
  <c r="AJ387" i="40"/>
  <c r="AI387" i="40"/>
  <c r="AH387" i="40"/>
  <c r="AG387" i="40"/>
  <c r="AL386" i="40"/>
  <c r="AK386" i="40"/>
  <c r="AJ386" i="40"/>
  <c r="AI386" i="40"/>
  <c r="AH386" i="40"/>
  <c r="AG386" i="40"/>
  <c r="AL385" i="40"/>
  <c r="AK385" i="40"/>
  <c r="AJ385" i="40"/>
  <c r="AI385" i="40"/>
  <c r="AH385" i="40"/>
  <c r="AG385" i="40"/>
  <c r="AL384" i="40"/>
  <c r="AK384" i="40"/>
  <c r="AJ384" i="40"/>
  <c r="AI384" i="40"/>
  <c r="AH384" i="40"/>
  <c r="AG384" i="40"/>
  <c r="AL383" i="40"/>
  <c r="AK383" i="40"/>
  <c r="AJ383" i="40"/>
  <c r="AI383" i="40"/>
  <c r="AH383" i="40"/>
  <c r="AG383" i="40"/>
  <c r="AL382" i="40"/>
  <c r="AK382" i="40"/>
  <c r="AJ382" i="40"/>
  <c r="AI382" i="40"/>
  <c r="AH382" i="40"/>
  <c r="AG382" i="40"/>
  <c r="AL381" i="40"/>
  <c r="AK381" i="40"/>
  <c r="AJ381" i="40"/>
  <c r="AI381" i="40"/>
  <c r="AH381" i="40"/>
  <c r="AG381" i="40"/>
  <c r="AL380" i="40"/>
  <c r="AK380" i="40"/>
  <c r="AJ380" i="40"/>
  <c r="AI380" i="40"/>
  <c r="AH380" i="40"/>
  <c r="AG380" i="40"/>
  <c r="AL379" i="40"/>
  <c r="AK379" i="40"/>
  <c r="AJ379" i="40"/>
  <c r="AI379" i="40"/>
  <c r="AH379" i="40"/>
  <c r="AG379" i="40"/>
  <c r="AL378" i="40"/>
  <c r="AK378" i="40"/>
  <c r="AJ378" i="40"/>
  <c r="AI378" i="40"/>
  <c r="AH378" i="40"/>
  <c r="AG378" i="40"/>
  <c r="AL377" i="40"/>
  <c r="AK377" i="40"/>
  <c r="AJ377" i="40"/>
  <c r="AI377" i="40"/>
  <c r="AH377" i="40"/>
  <c r="AG377" i="40"/>
  <c r="AL376" i="40"/>
  <c r="AK376" i="40"/>
  <c r="AJ376" i="40"/>
  <c r="AI376" i="40"/>
  <c r="AH376" i="40"/>
  <c r="AG376" i="40"/>
  <c r="AL375" i="40"/>
  <c r="AK375" i="40"/>
  <c r="AJ375" i="40"/>
  <c r="AI375" i="40"/>
  <c r="AH375" i="40"/>
  <c r="AG375" i="40"/>
  <c r="AL374" i="40"/>
  <c r="AK374" i="40"/>
  <c r="AJ374" i="40"/>
  <c r="AI374" i="40"/>
  <c r="AH374" i="40"/>
  <c r="AG374" i="40"/>
  <c r="AL373" i="40"/>
  <c r="AK373" i="40"/>
  <c r="AJ373" i="40"/>
  <c r="AI373" i="40"/>
  <c r="AH373" i="40"/>
  <c r="AG373" i="40"/>
  <c r="AL372" i="40"/>
  <c r="AK372" i="40"/>
  <c r="AJ372" i="40"/>
  <c r="AI372" i="40"/>
  <c r="AH372" i="40"/>
  <c r="AG372" i="40"/>
  <c r="AL371" i="40"/>
  <c r="AK371" i="40"/>
  <c r="AJ371" i="40"/>
  <c r="AI371" i="40"/>
  <c r="AH371" i="40"/>
  <c r="AG371" i="40"/>
  <c r="AL370" i="40"/>
  <c r="AK370" i="40"/>
  <c r="AJ370" i="40"/>
  <c r="AI370" i="40"/>
  <c r="AH370" i="40"/>
  <c r="AG370" i="40"/>
  <c r="AL369" i="40"/>
  <c r="AK369" i="40"/>
  <c r="AJ369" i="40"/>
  <c r="AI369" i="40"/>
  <c r="AH369" i="40"/>
  <c r="AG369" i="40"/>
  <c r="AL368" i="40"/>
  <c r="AK368" i="40"/>
  <c r="AJ368" i="40"/>
  <c r="AI368" i="40"/>
  <c r="AH368" i="40"/>
  <c r="AG368" i="40"/>
  <c r="AL367" i="40"/>
  <c r="AK367" i="40"/>
  <c r="AJ367" i="40"/>
  <c r="AI367" i="40"/>
  <c r="AH367" i="40"/>
  <c r="AG367" i="40"/>
  <c r="AL366" i="40"/>
  <c r="AK366" i="40"/>
  <c r="AJ366" i="40"/>
  <c r="AI366" i="40"/>
  <c r="AH366" i="40"/>
  <c r="AG366" i="40"/>
  <c r="AL365" i="40"/>
  <c r="AK365" i="40"/>
  <c r="AJ365" i="40"/>
  <c r="AI365" i="40"/>
  <c r="AH365" i="40"/>
  <c r="AG365" i="40"/>
  <c r="AL364" i="40"/>
  <c r="AK364" i="40"/>
  <c r="AJ364" i="40"/>
  <c r="AI364" i="40"/>
  <c r="AH364" i="40"/>
  <c r="AG364" i="40"/>
  <c r="AL363" i="40"/>
  <c r="AK363" i="40"/>
  <c r="AJ363" i="40"/>
  <c r="AI363" i="40"/>
  <c r="AH363" i="40"/>
  <c r="AG363" i="40"/>
  <c r="AL362" i="40"/>
  <c r="AK362" i="40"/>
  <c r="AJ362" i="40"/>
  <c r="AI362" i="40"/>
  <c r="AH362" i="40"/>
  <c r="AG362" i="40"/>
  <c r="AL361" i="40"/>
  <c r="AK361" i="40"/>
  <c r="AJ361" i="40"/>
  <c r="AI361" i="40"/>
  <c r="AH361" i="40"/>
  <c r="AG361" i="40"/>
  <c r="AL360" i="40"/>
  <c r="AK360" i="40"/>
  <c r="AJ360" i="40"/>
  <c r="AI360" i="40"/>
  <c r="AH360" i="40"/>
  <c r="AG360" i="40"/>
  <c r="AL359" i="40"/>
  <c r="AK359" i="40"/>
  <c r="AJ359" i="40"/>
  <c r="AI359" i="40"/>
  <c r="AH359" i="40"/>
  <c r="AG359" i="40"/>
  <c r="AL358" i="40"/>
  <c r="AK358" i="40"/>
  <c r="AJ358" i="40"/>
  <c r="AI358" i="40"/>
  <c r="AH358" i="40"/>
  <c r="AG358" i="40"/>
  <c r="AL357" i="40"/>
  <c r="AK357" i="40"/>
  <c r="AJ357" i="40"/>
  <c r="AI357" i="40"/>
  <c r="AH357" i="40"/>
  <c r="AG357" i="40"/>
  <c r="AL356" i="40"/>
  <c r="AK356" i="40"/>
  <c r="AJ356" i="40"/>
  <c r="AI356" i="40"/>
  <c r="AH356" i="40"/>
  <c r="AG356" i="40"/>
  <c r="AL355" i="40"/>
  <c r="AK355" i="40"/>
  <c r="AJ355" i="40"/>
  <c r="AI355" i="40"/>
  <c r="AH355" i="40"/>
  <c r="AG355" i="40"/>
  <c r="AL354" i="40"/>
  <c r="AK354" i="40"/>
  <c r="AJ354" i="40"/>
  <c r="AI354" i="40"/>
  <c r="AH354" i="40"/>
  <c r="AG354" i="40"/>
  <c r="AL353" i="40"/>
  <c r="AK353" i="40"/>
  <c r="AJ353" i="40"/>
  <c r="AI353" i="40"/>
  <c r="AH353" i="40"/>
  <c r="AG353" i="40"/>
  <c r="AL352" i="40"/>
  <c r="AK352" i="40"/>
  <c r="AJ352" i="40"/>
  <c r="AI352" i="40"/>
  <c r="AH352" i="40"/>
  <c r="AG352" i="40"/>
  <c r="AL351" i="40"/>
  <c r="AK351" i="40"/>
  <c r="AJ351" i="40"/>
  <c r="AI351" i="40"/>
  <c r="AH351" i="40"/>
  <c r="AG351" i="40"/>
  <c r="AL350" i="40"/>
  <c r="AK350" i="40"/>
  <c r="AJ350" i="40"/>
  <c r="AI350" i="40"/>
  <c r="AH350" i="40"/>
  <c r="AG350" i="40"/>
  <c r="AL349" i="40"/>
  <c r="AK349" i="40"/>
  <c r="AJ349" i="40"/>
  <c r="AI349" i="40"/>
  <c r="AH349" i="40"/>
  <c r="AG349" i="40"/>
  <c r="AL348" i="40"/>
  <c r="AK348" i="40"/>
  <c r="AJ348" i="40"/>
  <c r="AI348" i="40"/>
  <c r="AH348" i="40"/>
  <c r="AG348" i="40"/>
  <c r="AL347" i="40"/>
  <c r="AK347" i="40"/>
  <c r="AJ347" i="40"/>
  <c r="AI347" i="40"/>
  <c r="AH347" i="40"/>
  <c r="AG347" i="40"/>
  <c r="AL346" i="40"/>
  <c r="AK346" i="40"/>
  <c r="AJ346" i="40"/>
  <c r="AI346" i="40"/>
  <c r="AH346" i="40"/>
  <c r="AG346" i="40"/>
  <c r="AL345" i="40"/>
  <c r="AK345" i="40"/>
  <c r="AJ345" i="40"/>
  <c r="AI345" i="40"/>
  <c r="AH345" i="40"/>
  <c r="AG345" i="40"/>
  <c r="AL344" i="40"/>
  <c r="AK344" i="40"/>
  <c r="AJ344" i="40"/>
  <c r="AI344" i="40"/>
  <c r="AH344" i="40"/>
  <c r="AG344" i="40"/>
  <c r="AL343" i="40"/>
  <c r="AK343" i="40"/>
  <c r="AJ343" i="40"/>
  <c r="AI343" i="40"/>
  <c r="AH343" i="40"/>
  <c r="AG343" i="40"/>
  <c r="AL342" i="40"/>
  <c r="AK342" i="40"/>
  <c r="AJ342" i="40"/>
  <c r="AI342" i="40"/>
  <c r="AH342" i="40"/>
  <c r="AG342" i="40"/>
  <c r="AL341" i="40"/>
  <c r="AK341" i="40"/>
  <c r="AJ341" i="40"/>
  <c r="AI341" i="40"/>
  <c r="AH341" i="40"/>
  <c r="AG341" i="40"/>
  <c r="AL340" i="40"/>
  <c r="AK340" i="40"/>
  <c r="AJ340" i="40"/>
  <c r="AI340" i="40"/>
  <c r="AH340" i="40"/>
  <c r="AG340" i="40"/>
  <c r="AL339" i="40"/>
  <c r="AK339" i="40"/>
  <c r="AJ339" i="40"/>
  <c r="AI339" i="40"/>
  <c r="AH339" i="40"/>
  <c r="AG339" i="40"/>
  <c r="AL338" i="40"/>
  <c r="AK338" i="40"/>
  <c r="AJ338" i="40"/>
  <c r="AI338" i="40"/>
  <c r="AH338" i="40"/>
  <c r="AG338" i="40"/>
  <c r="AL337" i="40"/>
  <c r="AK337" i="40"/>
  <c r="AJ337" i="40"/>
  <c r="AI337" i="40"/>
  <c r="AH337" i="40"/>
  <c r="AG337" i="40"/>
  <c r="AL336" i="40"/>
  <c r="AK336" i="40"/>
  <c r="AJ336" i="40"/>
  <c r="AI336" i="40"/>
  <c r="AH336" i="40"/>
  <c r="AG336" i="40"/>
  <c r="AL335" i="40"/>
  <c r="AK335" i="40"/>
  <c r="AJ335" i="40"/>
  <c r="AI335" i="40"/>
  <c r="AH335" i="40"/>
  <c r="AG335" i="40"/>
  <c r="AL334" i="40"/>
  <c r="AK334" i="40"/>
  <c r="AJ334" i="40"/>
  <c r="AI334" i="40"/>
  <c r="AH334" i="40"/>
  <c r="AG334" i="40"/>
  <c r="AL333" i="40"/>
  <c r="AK333" i="40"/>
  <c r="AJ333" i="40"/>
  <c r="AI333" i="40"/>
  <c r="AH333" i="40"/>
  <c r="AG333" i="40"/>
  <c r="AL332" i="40"/>
  <c r="AK332" i="40"/>
  <c r="AJ332" i="40"/>
  <c r="AI332" i="40"/>
  <c r="AH332" i="40"/>
  <c r="AG332" i="40"/>
  <c r="AL331" i="40"/>
  <c r="AK331" i="40"/>
  <c r="AJ331" i="40"/>
  <c r="AI331" i="40"/>
  <c r="AH331" i="40"/>
  <c r="AG331" i="40"/>
  <c r="AL330" i="40"/>
  <c r="AK330" i="40"/>
  <c r="AJ330" i="40"/>
  <c r="AI330" i="40"/>
  <c r="AH330" i="40"/>
  <c r="AG330" i="40"/>
  <c r="AL329" i="40"/>
  <c r="AK329" i="40"/>
  <c r="AJ329" i="40"/>
  <c r="AI329" i="40"/>
  <c r="AH329" i="40"/>
  <c r="AG329" i="40"/>
  <c r="AL328" i="40"/>
  <c r="AK328" i="40"/>
  <c r="AJ328" i="40"/>
  <c r="AI328" i="40"/>
  <c r="AH328" i="40"/>
  <c r="AG328" i="40"/>
  <c r="AL327" i="40"/>
  <c r="AK327" i="40"/>
  <c r="AJ327" i="40"/>
  <c r="AI327" i="40"/>
  <c r="AH327" i="40"/>
  <c r="AG327" i="40"/>
  <c r="AL326" i="40"/>
  <c r="AK326" i="40"/>
  <c r="AJ326" i="40"/>
  <c r="AI326" i="40"/>
  <c r="AH326" i="40"/>
  <c r="AG326" i="40"/>
  <c r="AL325" i="40"/>
  <c r="AK325" i="40"/>
  <c r="AJ325" i="40"/>
  <c r="AI325" i="40"/>
  <c r="AH325" i="40"/>
  <c r="AG325" i="40"/>
  <c r="AL324" i="40"/>
  <c r="AK324" i="40"/>
  <c r="AJ324" i="40"/>
  <c r="AI324" i="40"/>
  <c r="AH324" i="40"/>
  <c r="AG324" i="40"/>
  <c r="AL323" i="40"/>
  <c r="AK323" i="40"/>
  <c r="AJ323" i="40"/>
  <c r="AI323" i="40"/>
  <c r="AH323" i="40"/>
  <c r="AG323" i="40"/>
  <c r="AL322" i="40"/>
  <c r="AK322" i="40"/>
  <c r="AJ322" i="40"/>
  <c r="AI322" i="40"/>
  <c r="AH322" i="40"/>
  <c r="AG322" i="40"/>
  <c r="AL321" i="40"/>
  <c r="AK321" i="40"/>
  <c r="AJ321" i="40"/>
  <c r="AI321" i="40"/>
  <c r="AH321" i="40"/>
  <c r="AG321" i="40"/>
  <c r="AL320" i="40"/>
  <c r="AK320" i="40"/>
  <c r="AJ320" i="40"/>
  <c r="AI320" i="40"/>
  <c r="AH320" i="40"/>
  <c r="AG320" i="40"/>
  <c r="AL319" i="40"/>
  <c r="AK319" i="40"/>
  <c r="AJ319" i="40"/>
  <c r="AI319" i="40"/>
  <c r="AH319" i="40"/>
  <c r="AG319" i="40"/>
  <c r="AL318" i="40"/>
  <c r="AK318" i="40"/>
  <c r="AJ318" i="40"/>
  <c r="AI318" i="40"/>
  <c r="AH318" i="40"/>
  <c r="AG318" i="40"/>
  <c r="AL317" i="40"/>
  <c r="AK317" i="40"/>
  <c r="AJ317" i="40"/>
  <c r="AI317" i="40"/>
  <c r="AH317" i="40"/>
  <c r="AG317" i="40"/>
  <c r="AL316" i="40"/>
  <c r="AK316" i="40"/>
  <c r="AJ316" i="40"/>
  <c r="AI316" i="40"/>
  <c r="AH316" i="40"/>
  <c r="AG316" i="40"/>
  <c r="AL315" i="40"/>
  <c r="AK315" i="40"/>
  <c r="AJ315" i="40"/>
  <c r="AI315" i="40"/>
  <c r="AH315" i="40"/>
  <c r="AG315" i="40"/>
  <c r="AL314" i="40"/>
  <c r="AK314" i="40"/>
  <c r="AJ314" i="40"/>
  <c r="AI314" i="40"/>
  <c r="AH314" i="40"/>
  <c r="AG314" i="40"/>
  <c r="AL313" i="40"/>
  <c r="AK313" i="40"/>
  <c r="AJ313" i="40"/>
  <c r="AI313" i="40"/>
  <c r="AH313" i="40"/>
  <c r="AG313" i="40"/>
  <c r="AL312" i="40"/>
  <c r="AK312" i="40"/>
  <c r="AJ312" i="40"/>
  <c r="AI312" i="40"/>
  <c r="AH312" i="40"/>
  <c r="AG312" i="40"/>
  <c r="AL311" i="40"/>
  <c r="AK311" i="40"/>
  <c r="AJ311" i="40"/>
  <c r="AI311" i="40"/>
  <c r="AH311" i="40"/>
  <c r="AG311" i="40"/>
  <c r="AL310" i="40"/>
  <c r="AK310" i="40"/>
  <c r="AJ310" i="40"/>
  <c r="AI310" i="40"/>
  <c r="AH310" i="40"/>
  <c r="AG310" i="40"/>
  <c r="AL309" i="40"/>
  <c r="AK309" i="40"/>
  <c r="AJ309" i="40"/>
  <c r="AI309" i="40"/>
  <c r="AH309" i="40"/>
  <c r="AG309" i="40"/>
  <c r="AL308" i="40"/>
  <c r="AK308" i="40"/>
  <c r="AJ308" i="40"/>
  <c r="AI308" i="40"/>
  <c r="AH308" i="40"/>
  <c r="AG308" i="40"/>
  <c r="AL307" i="40"/>
  <c r="AK307" i="40"/>
  <c r="AJ307" i="40"/>
  <c r="AI307" i="40"/>
  <c r="AH307" i="40"/>
  <c r="AG307" i="40"/>
  <c r="AL306" i="40"/>
  <c r="AK306" i="40"/>
  <c r="AJ306" i="40"/>
  <c r="AI306" i="40"/>
  <c r="AH306" i="40"/>
  <c r="AG306" i="40"/>
  <c r="AL305" i="40"/>
  <c r="AK305" i="40"/>
  <c r="AJ305" i="40"/>
  <c r="AI305" i="40"/>
  <c r="AH305" i="40"/>
  <c r="AG305" i="40"/>
  <c r="AL304" i="40"/>
  <c r="AK304" i="40"/>
  <c r="AJ304" i="40"/>
  <c r="AI304" i="40"/>
  <c r="AH304" i="40"/>
  <c r="AG304" i="40"/>
  <c r="AL303" i="40"/>
  <c r="AK303" i="40"/>
  <c r="AJ303" i="40"/>
  <c r="AI303" i="40"/>
  <c r="AH303" i="40"/>
  <c r="AG303" i="40"/>
  <c r="AL302" i="40"/>
  <c r="AK302" i="40"/>
  <c r="AJ302" i="40"/>
  <c r="AI302" i="40"/>
  <c r="AH302" i="40"/>
  <c r="AG302" i="40"/>
  <c r="AL301" i="40"/>
  <c r="AK301" i="40"/>
  <c r="AJ301" i="40"/>
  <c r="AI301" i="40"/>
  <c r="AH301" i="40"/>
  <c r="AG301" i="40"/>
  <c r="AL300" i="40"/>
  <c r="AK300" i="40"/>
  <c r="AJ300" i="40"/>
  <c r="AI300" i="40"/>
  <c r="AH300" i="40"/>
  <c r="AG300" i="40"/>
  <c r="AL299" i="40"/>
  <c r="AK299" i="40"/>
  <c r="AJ299" i="40"/>
  <c r="AI299" i="40"/>
  <c r="AH299" i="40"/>
  <c r="AG299" i="40"/>
  <c r="AL298" i="40"/>
  <c r="AK298" i="40"/>
  <c r="AJ298" i="40"/>
  <c r="AI298" i="40"/>
  <c r="AH298" i="40"/>
  <c r="AG298" i="40"/>
  <c r="AL297" i="40"/>
  <c r="AK297" i="40"/>
  <c r="AJ297" i="40"/>
  <c r="AI297" i="40"/>
  <c r="AH297" i="40"/>
  <c r="AG297" i="40"/>
  <c r="AL296" i="40"/>
  <c r="AK296" i="40"/>
  <c r="AJ296" i="40"/>
  <c r="AI296" i="40"/>
  <c r="AH296" i="40"/>
  <c r="AG296" i="40"/>
  <c r="AL295" i="40"/>
  <c r="AK295" i="40"/>
  <c r="AJ295" i="40"/>
  <c r="AI295" i="40"/>
  <c r="AH295" i="40"/>
  <c r="AG295" i="40"/>
  <c r="AL294" i="40"/>
  <c r="AK294" i="40"/>
  <c r="AJ294" i="40"/>
  <c r="AI294" i="40"/>
  <c r="AH294" i="40"/>
  <c r="AG294" i="40"/>
  <c r="AL293" i="40"/>
  <c r="AK293" i="40"/>
  <c r="AJ293" i="40"/>
  <c r="AI293" i="40"/>
  <c r="AH293" i="40"/>
  <c r="AG293" i="40"/>
  <c r="AL292" i="40"/>
  <c r="AK292" i="40"/>
  <c r="AJ292" i="40"/>
  <c r="AI292" i="40"/>
  <c r="AH292" i="40"/>
  <c r="AG292" i="40"/>
  <c r="AL291" i="40"/>
  <c r="AK291" i="40"/>
  <c r="AJ291" i="40"/>
  <c r="AI291" i="40"/>
  <c r="AH291" i="40"/>
  <c r="AG291" i="40"/>
  <c r="AL290" i="40"/>
  <c r="AK290" i="40"/>
  <c r="AJ290" i="40"/>
  <c r="AI290" i="40"/>
  <c r="AH290" i="40"/>
  <c r="AG290" i="40"/>
  <c r="AL289" i="40"/>
  <c r="AK289" i="40"/>
  <c r="AJ289" i="40"/>
  <c r="AI289" i="40"/>
  <c r="AH289" i="40"/>
  <c r="AG289" i="40"/>
  <c r="AL288" i="40"/>
  <c r="AK288" i="40"/>
  <c r="AJ288" i="40"/>
  <c r="AI288" i="40"/>
  <c r="AH288" i="40"/>
  <c r="AG288" i="40"/>
  <c r="AL287" i="40"/>
  <c r="AK287" i="40"/>
  <c r="AJ287" i="40"/>
  <c r="AI287" i="40"/>
  <c r="AH287" i="40"/>
  <c r="AG287" i="40"/>
  <c r="AL286" i="40"/>
  <c r="AK286" i="40"/>
  <c r="AJ286" i="40"/>
  <c r="AI286" i="40"/>
  <c r="AH286" i="40"/>
  <c r="AG286" i="40"/>
  <c r="AL285" i="40"/>
  <c r="AK285" i="40"/>
  <c r="AJ285" i="40"/>
  <c r="AI285" i="40"/>
  <c r="AH285" i="40"/>
  <c r="AG285" i="40"/>
  <c r="AL284" i="40"/>
  <c r="AK284" i="40"/>
  <c r="AJ284" i="40"/>
  <c r="AI284" i="40"/>
  <c r="AH284" i="40"/>
  <c r="AG284" i="40"/>
  <c r="AL283" i="40"/>
  <c r="AK283" i="40"/>
  <c r="AJ283" i="40"/>
  <c r="AI283" i="40"/>
  <c r="AH283" i="40"/>
  <c r="AG283" i="40"/>
  <c r="AL282" i="40"/>
  <c r="AK282" i="40"/>
  <c r="AJ282" i="40"/>
  <c r="AI282" i="40"/>
  <c r="AH282" i="40"/>
  <c r="AG282" i="40"/>
  <c r="AL281" i="40"/>
  <c r="AK281" i="40"/>
  <c r="AJ281" i="40"/>
  <c r="AI281" i="40"/>
  <c r="AH281" i="40"/>
  <c r="AG281" i="40"/>
  <c r="AL280" i="40"/>
  <c r="AK280" i="40"/>
  <c r="AJ280" i="40"/>
  <c r="AI280" i="40"/>
  <c r="AH280" i="40"/>
  <c r="AG280" i="40"/>
  <c r="AL279" i="40"/>
  <c r="AK279" i="40"/>
  <c r="AJ279" i="40"/>
  <c r="AI279" i="40"/>
  <c r="AH279" i="40"/>
  <c r="AG279" i="40"/>
  <c r="AL278" i="40"/>
  <c r="AK278" i="40"/>
  <c r="AJ278" i="40"/>
  <c r="AI278" i="40"/>
  <c r="AH278" i="40"/>
  <c r="AG278" i="40"/>
  <c r="AL277" i="40"/>
  <c r="AK277" i="40"/>
  <c r="AJ277" i="40"/>
  <c r="AI277" i="40"/>
  <c r="AH277" i="40"/>
  <c r="AG277" i="40"/>
  <c r="AL276" i="40"/>
  <c r="AK276" i="40"/>
  <c r="AJ276" i="40"/>
  <c r="AI276" i="40"/>
  <c r="AH276" i="40"/>
  <c r="AG276" i="40"/>
  <c r="AL275" i="40"/>
  <c r="AK275" i="40"/>
  <c r="AJ275" i="40"/>
  <c r="AI275" i="40"/>
  <c r="AH275" i="40"/>
  <c r="AG275" i="40"/>
  <c r="AL274" i="40"/>
  <c r="AK274" i="40"/>
  <c r="AJ274" i="40"/>
  <c r="AI274" i="40"/>
  <c r="AH274" i="40"/>
  <c r="AG274" i="40"/>
  <c r="AL273" i="40"/>
  <c r="AK273" i="40"/>
  <c r="AJ273" i="40"/>
  <c r="AI273" i="40"/>
  <c r="AH273" i="40"/>
  <c r="AG273" i="40"/>
  <c r="AL272" i="40"/>
  <c r="AK272" i="40"/>
  <c r="AJ272" i="40"/>
  <c r="AI272" i="40"/>
  <c r="AH272" i="40"/>
  <c r="AG272" i="40"/>
  <c r="AL271" i="40"/>
  <c r="AK271" i="40"/>
  <c r="AJ271" i="40"/>
  <c r="AI271" i="40"/>
  <c r="AH271" i="40"/>
  <c r="AG271" i="40"/>
  <c r="AL270" i="40"/>
  <c r="AK270" i="40"/>
  <c r="AJ270" i="40"/>
  <c r="AI270" i="40"/>
  <c r="AH270" i="40"/>
  <c r="AG270" i="40"/>
  <c r="AL269" i="40"/>
  <c r="AK269" i="40"/>
  <c r="AJ269" i="40"/>
  <c r="AI269" i="40"/>
  <c r="AH269" i="40"/>
  <c r="AG269" i="40"/>
  <c r="AL268" i="40"/>
  <c r="AK268" i="40"/>
  <c r="AJ268" i="40"/>
  <c r="AI268" i="40"/>
  <c r="AH268" i="40"/>
  <c r="AG268" i="40"/>
  <c r="AL267" i="40"/>
  <c r="AK267" i="40"/>
  <c r="AJ267" i="40"/>
  <c r="AI267" i="40"/>
  <c r="AH267" i="40"/>
  <c r="AG267" i="40"/>
  <c r="AL266" i="40"/>
  <c r="AK266" i="40"/>
  <c r="AJ266" i="40"/>
  <c r="AI266" i="40"/>
  <c r="AH266" i="40"/>
  <c r="AG266" i="40"/>
  <c r="AL265" i="40"/>
  <c r="AK265" i="40"/>
  <c r="AJ265" i="40"/>
  <c r="AI265" i="40"/>
  <c r="AH265" i="40"/>
  <c r="AG265" i="40"/>
  <c r="AL264" i="40"/>
  <c r="AK264" i="40"/>
  <c r="AJ264" i="40"/>
  <c r="AI264" i="40"/>
  <c r="AH264" i="40"/>
  <c r="AG264" i="40"/>
  <c r="AL263" i="40"/>
  <c r="AK263" i="40"/>
  <c r="AJ263" i="40"/>
  <c r="AI263" i="40"/>
  <c r="AH263" i="40"/>
  <c r="AG263" i="40"/>
  <c r="AL262" i="40"/>
  <c r="AK262" i="40"/>
  <c r="AJ262" i="40"/>
  <c r="AI262" i="40"/>
  <c r="AH262" i="40"/>
  <c r="AG262" i="40"/>
  <c r="AL261" i="40"/>
  <c r="AK261" i="40"/>
  <c r="AJ261" i="40"/>
  <c r="AI261" i="40"/>
  <c r="AH261" i="40"/>
  <c r="AG261" i="40"/>
  <c r="AL260" i="40"/>
  <c r="AK260" i="40"/>
  <c r="AJ260" i="40"/>
  <c r="AI260" i="40"/>
  <c r="AH260" i="40"/>
  <c r="AG260" i="40"/>
  <c r="AL259" i="40"/>
  <c r="AK259" i="40"/>
  <c r="AJ259" i="40"/>
  <c r="AI259" i="40"/>
  <c r="AH259" i="40"/>
  <c r="AG259" i="40"/>
  <c r="AL258" i="40"/>
  <c r="AK258" i="40"/>
  <c r="AJ258" i="40"/>
  <c r="AI258" i="40"/>
  <c r="AH258" i="40"/>
  <c r="AG258" i="40"/>
  <c r="AL257" i="40"/>
  <c r="AK257" i="40"/>
  <c r="AJ257" i="40"/>
  <c r="AI257" i="40"/>
  <c r="AH257" i="40"/>
  <c r="AG257" i="40"/>
  <c r="AL256" i="40"/>
  <c r="AK256" i="40"/>
  <c r="AJ256" i="40"/>
  <c r="AI256" i="40"/>
  <c r="AH256" i="40"/>
  <c r="AG256" i="40"/>
  <c r="AL255" i="40"/>
  <c r="AK255" i="40"/>
  <c r="AJ255" i="40"/>
  <c r="AI255" i="40"/>
  <c r="AH255" i="40"/>
  <c r="AG255" i="40"/>
  <c r="AL254" i="40"/>
  <c r="AK254" i="40"/>
  <c r="AJ254" i="40"/>
  <c r="AI254" i="40"/>
  <c r="AH254" i="40"/>
  <c r="AG254" i="40"/>
  <c r="AL253" i="40"/>
  <c r="AK253" i="40"/>
  <c r="AJ253" i="40"/>
  <c r="AI253" i="40"/>
  <c r="AH253" i="40"/>
  <c r="AG253" i="40"/>
  <c r="AL252" i="40"/>
  <c r="AK252" i="40"/>
  <c r="AJ252" i="40"/>
  <c r="AI252" i="40"/>
  <c r="AH252" i="40"/>
  <c r="AG252" i="40"/>
  <c r="AL251" i="40"/>
  <c r="AK251" i="40"/>
  <c r="AJ251" i="40"/>
  <c r="AI251" i="40"/>
  <c r="AH251" i="40"/>
  <c r="AG251" i="40"/>
  <c r="AL250" i="40"/>
  <c r="AK250" i="40"/>
  <c r="AJ250" i="40"/>
  <c r="AI250" i="40"/>
  <c r="AH250" i="40"/>
  <c r="AG250" i="40"/>
  <c r="AL249" i="40"/>
  <c r="AK249" i="40"/>
  <c r="AJ249" i="40"/>
  <c r="AI249" i="40"/>
  <c r="AH249" i="40"/>
  <c r="AG249" i="40"/>
  <c r="AL248" i="40"/>
  <c r="AK248" i="40"/>
  <c r="AJ248" i="40"/>
  <c r="AI248" i="40"/>
  <c r="AH248" i="40"/>
  <c r="AG248" i="40"/>
  <c r="AL247" i="40"/>
  <c r="AK247" i="40"/>
  <c r="AJ247" i="40"/>
  <c r="AI247" i="40"/>
  <c r="AH247" i="40"/>
  <c r="AG247" i="40"/>
  <c r="AL246" i="40"/>
  <c r="AK246" i="40"/>
  <c r="AJ246" i="40"/>
  <c r="AI246" i="40"/>
  <c r="AH246" i="40"/>
  <c r="AG246" i="40"/>
  <c r="AL245" i="40"/>
  <c r="AK245" i="40"/>
  <c r="AJ245" i="40"/>
  <c r="AI245" i="40"/>
  <c r="AH245" i="40"/>
  <c r="AG245" i="40"/>
  <c r="AL244" i="40"/>
  <c r="AK244" i="40"/>
  <c r="AJ244" i="40"/>
  <c r="AI244" i="40"/>
  <c r="AH244" i="40"/>
  <c r="AG244" i="40"/>
  <c r="AL243" i="40"/>
  <c r="AK243" i="40"/>
  <c r="AJ243" i="40"/>
  <c r="AI243" i="40"/>
  <c r="AH243" i="40"/>
  <c r="AG243" i="40"/>
  <c r="AL242" i="40"/>
  <c r="AK242" i="40"/>
  <c r="AJ242" i="40"/>
  <c r="AI242" i="40"/>
  <c r="AH242" i="40"/>
  <c r="AG242" i="40"/>
  <c r="AL241" i="40"/>
  <c r="AK241" i="40"/>
  <c r="AJ241" i="40"/>
  <c r="AI241" i="40"/>
  <c r="AH241" i="40"/>
  <c r="AG241" i="40"/>
  <c r="AL240" i="40"/>
  <c r="AK240" i="40"/>
  <c r="AJ240" i="40"/>
  <c r="AI240" i="40"/>
  <c r="AH240" i="40"/>
  <c r="AG240" i="40"/>
  <c r="AL239" i="40"/>
  <c r="AK239" i="40"/>
  <c r="AJ239" i="40"/>
  <c r="AI239" i="40"/>
  <c r="AH239" i="40"/>
  <c r="AG239" i="40"/>
  <c r="AL238" i="40"/>
  <c r="AK238" i="40"/>
  <c r="AJ238" i="40"/>
  <c r="AI238" i="40"/>
  <c r="AH238" i="40"/>
  <c r="AG238" i="40"/>
  <c r="AL237" i="40"/>
  <c r="AK237" i="40"/>
  <c r="AJ237" i="40"/>
  <c r="AI237" i="40"/>
  <c r="AH237" i="40"/>
  <c r="AG237" i="40"/>
  <c r="AL236" i="40"/>
  <c r="AK236" i="40"/>
  <c r="AJ236" i="40"/>
  <c r="AI236" i="40"/>
  <c r="AH236" i="40"/>
  <c r="AG236" i="40"/>
  <c r="AL235" i="40"/>
  <c r="AK235" i="40"/>
  <c r="AJ235" i="40"/>
  <c r="AI235" i="40"/>
  <c r="AH235" i="40"/>
  <c r="AG235" i="40"/>
  <c r="AL234" i="40"/>
  <c r="AK234" i="40"/>
  <c r="AJ234" i="40"/>
  <c r="AI234" i="40"/>
  <c r="AH234" i="40"/>
  <c r="AG234" i="40"/>
  <c r="AL233" i="40"/>
  <c r="AK233" i="40"/>
  <c r="AJ233" i="40"/>
  <c r="AI233" i="40"/>
  <c r="AH233" i="40"/>
  <c r="AG233" i="40"/>
  <c r="AL232" i="40"/>
  <c r="AK232" i="40"/>
  <c r="AJ232" i="40"/>
  <c r="AI232" i="40"/>
  <c r="AH232" i="40"/>
  <c r="AG232" i="40"/>
  <c r="AL231" i="40"/>
  <c r="AK231" i="40"/>
  <c r="AJ231" i="40"/>
  <c r="AI231" i="40"/>
  <c r="AH231" i="40"/>
  <c r="AG231" i="40"/>
  <c r="AL230" i="40"/>
  <c r="AK230" i="40"/>
  <c r="AJ230" i="40"/>
  <c r="AI230" i="40"/>
  <c r="AH230" i="40"/>
  <c r="AG230" i="40"/>
  <c r="AL229" i="40"/>
  <c r="AK229" i="40"/>
  <c r="AJ229" i="40"/>
  <c r="AI229" i="40"/>
  <c r="AH229" i="40"/>
  <c r="AG229" i="40"/>
  <c r="AL228" i="40"/>
  <c r="AK228" i="40"/>
  <c r="AJ228" i="40"/>
  <c r="AI228" i="40"/>
  <c r="AH228" i="40"/>
  <c r="AG228" i="40"/>
  <c r="AL227" i="40"/>
  <c r="AK227" i="40"/>
  <c r="AJ227" i="40"/>
  <c r="AI227" i="40"/>
  <c r="AH227" i="40"/>
  <c r="AG227" i="40"/>
  <c r="AL226" i="40"/>
  <c r="AK226" i="40"/>
  <c r="AJ226" i="40"/>
  <c r="AI226" i="40"/>
  <c r="AH226" i="40"/>
  <c r="AG226" i="40"/>
  <c r="AL225" i="40"/>
  <c r="AK225" i="40"/>
  <c r="AJ225" i="40"/>
  <c r="AI225" i="40"/>
  <c r="AH225" i="40"/>
  <c r="AG225" i="40"/>
  <c r="AL224" i="40"/>
  <c r="AK224" i="40"/>
  <c r="AJ224" i="40"/>
  <c r="AI224" i="40"/>
  <c r="AH224" i="40"/>
  <c r="AG224" i="40"/>
  <c r="AL223" i="40"/>
  <c r="AK223" i="40"/>
  <c r="AJ223" i="40"/>
  <c r="AI223" i="40"/>
  <c r="AH223" i="40"/>
  <c r="AG223" i="40"/>
  <c r="AL222" i="40"/>
  <c r="AK222" i="40"/>
  <c r="AJ222" i="40"/>
  <c r="AI222" i="40"/>
  <c r="AH222" i="40"/>
  <c r="AG222" i="40"/>
  <c r="AL221" i="40"/>
  <c r="AK221" i="40"/>
  <c r="AJ221" i="40"/>
  <c r="AI221" i="40"/>
  <c r="AH221" i="40"/>
  <c r="AG221" i="40"/>
  <c r="AL220" i="40"/>
  <c r="AK220" i="40"/>
  <c r="AJ220" i="40"/>
  <c r="AI220" i="40"/>
  <c r="AH220" i="40"/>
  <c r="AG220" i="40"/>
  <c r="AL219" i="40"/>
  <c r="AK219" i="40"/>
  <c r="AJ219" i="40"/>
  <c r="AI219" i="40"/>
  <c r="AH219" i="40"/>
  <c r="AG219" i="40"/>
  <c r="AL218" i="40"/>
  <c r="AK218" i="40"/>
  <c r="AJ218" i="40"/>
  <c r="AI218" i="40"/>
  <c r="AH218" i="40"/>
  <c r="AG218" i="40"/>
  <c r="AL217" i="40"/>
  <c r="AK217" i="40"/>
  <c r="AJ217" i="40"/>
  <c r="AI217" i="40"/>
  <c r="AH217" i="40"/>
  <c r="AG217" i="40"/>
  <c r="AL216" i="40"/>
  <c r="AK216" i="40"/>
  <c r="AJ216" i="40"/>
  <c r="AI216" i="40"/>
  <c r="AH216" i="40"/>
  <c r="AG216" i="40"/>
  <c r="AL215" i="40"/>
  <c r="AK215" i="40"/>
  <c r="AJ215" i="40"/>
  <c r="AI215" i="40"/>
  <c r="AH215" i="40"/>
  <c r="AG215" i="40"/>
  <c r="AL214" i="40"/>
  <c r="AK214" i="40"/>
  <c r="AJ214" i="40"/>
  <c r="AI214" i="40"/>
  <c r="AH214" i="40"/>
  <c r="AG214" i="40"/>
  <c r="AL213" i="40"/>
  <c r="AK213" i="40"/>
  <c r="AJ213" i="40"/>
  <c r="AI213" i="40"/>
  <c r="AH213" i="40"/>
  <c r="AG213" i="40"/>
  <c r="AL212" i="40"/>
  <c r="AK212" i="40"/>
  <c r="AJ212" i="40"/>
  <c r="AI212" i="40"/>
  <c r="AH212" i="40"/>
  <c r="AG212" i="40"/>
  <c r="AL211" i="40"/>
  <c r="AK211" i="40"/>
  <c r="AJ211" i="40"/>
  <c r="AI211" i="40"/>
  <c r="AH211" i="40"/>
  <c r="AG211" i="40"/>
  <c r="AL210" i="40"/>
  <c r="AK210" i="40"/>
  <c r="AJ210" i="40"/>
  <c r="AI210" i="40"/>
  <c r="AH210" i="40"/>
  <c r="AG210" i="40"/>
  <c r="AL209" i="40"/>
  <c r="AK209" i="40"/>
  <c r="AJ209" i="40"/>
  <c r="AI209" i="40"/>
  <c r="AH209" i="40"/>
  <c r="AG209" i="40"/>
  <c r="AL208" i="40"/>
  <c r="AK208" i="40"/>
  <c r="AJ208" i="40"/>
  <c r="AI208" i="40"/>
  <c r="AH208" i="40"/>
  <c r="AG208" i="40"/>
  <c r="AL207" i="40"/>
  <c r="AK207" i="40"/>
  <c r="AJ207" i="40"/>
  <c r="AI207" i="40"/>
  <c r="AH207" i="40"/>
  <c r="AG207" i="40"/>
  <c r="AL206" i="40"/>
  <c r="AK206" i="40"/>
  <c r="AJ206" i="40"/>
  <c r="AI206" i="40"/>
  <c r="AH206" i="40"/>
  <c r="AG206" i="40"/>
  <c r="AL205" i="40"/>
  <c r="AK205" i="40"/>
  <c r="AJ205" i="40"/>
  <c r="AI205" i="40"/>
  <c r="AH205" i="40"/>
  <c r="AG205" i="40"/>
  <c r="AL204" i="40"/>
  <c r="AK204" i="40"/>
  <c r="AJ204" i="40"/>
  <c r="AI204" i="40"/>
  <c r="AH204" i="40"/>
  <c r="AG204" i="40"/>
  <c r="AL203" i="40"/>
  <c r="AK203" i="40"/>
  <c r="AJ203" i="40"/>
  <c r="AI203" i="40"/>
  <c r="AH203" i="40"/>
  <c r="AG203" i="40"/>
  <c r="AL202" i="40"/>
  <c r="AK202" i="40"/>
  <c r="AJ202" i="40"/>
  <c r="AI202" i="40"/>
  <c r="AH202" i="40"/>
  <c r="AG202" i="40"/>
  <c r="AL201" i="40"/>
  <c r="AK201" i="40"/>
  <c r="AJ201" i="40"/>
  <c r="AI201" i="40"/>
  <c r="AH201" i="40"/>
  <c r="AG201" i="40"/>
  <c r="AL200" i="40"/>
  <c r="AK200" i="40"/>
  <c r="AJ200" i="40"/>
  <c r="AI200" i="40"/>
  <c r="AH200" i="40"/>
  <c r="AG200" i="40"/>
  <c r="AL199" i="40"/>
  <c r="AK199" i="40"/>
  <c r="AJ199" i="40"/>
  <c r="AI199" i="40"/>
  <c r="AH199" i="40"/>
  <c r="AG199" i="40"/>
  <c r="AL198" i="40"/>
  <c r="AK198" i="40"/>
  <c r="AJ198" i="40"/>
  <c r="AI198" i="40"/>
  <c r="AH198" i="40"/>
  <c r="AG198" i="40"/>
  <c r="AL197" i="40"/>
  <c r="AK197" i="40"/>
  <c r="AJ197" i="40"/>
  <c r="AI197" i="40"/>
  <c r="AH197" i="40"/>
  <c r="AG197" i="40"/>
  <c r="AL196" i="40"/>
  <c r="AK196" i="40"/>
  <c r="AJ196" i="40"/>
  <c r="AI196" i="40"/>
  <c r="AH196" i="40"/>
  <c r="AG196" i="40"/>
  <c r="AL195" i="40"/>
  <c r="AK195" i="40"/>
  <c r="AJ195" i="40"/>
  <c r="AI195" i="40"/>
  <c r="AH195" i="40"/>
  <c r="AG195" i="40"/>
  <c r="AL194" i="40"/>
  <c r="AK194" i="40"/>
  <c r="AJ194" i="40"/>
  <c r="AI194" i="40"/>
  <c r="AH194" i="40"/>
  <c r="AG194" i="40"/>
  <c r="AL193" i="40"/>
  <c r="AK193" i="40"/>
  <c r="AJ193" i="40"/>
  <c r="AI193" i="40"/>
  <c r="AH193" i="40"/>
  <c r="AG193" i="40"/>
  <c r="AL192" i="40"/>
  <c r="AK192" i="40"/>
  <c r="AJ192" i="40"/>
  <c r="AI192" i="40"/>
  <c r="AH192" i="40"/>
  <c r="AG192" i="40"/>
  <c r="AL191" i="40"/>
  <c r="AK191" i="40"/>
  <c r="AJ191" i="40"/>
  <c r="AI191" i="40"/>
  <c r="AH191" i="40"/>
  <c r="AG191" i="40"/>
  <c r="AL190" i="40"/>
  <c r="AK190" i="40"/>
  <c r="AJ190" i="40"/>
  <c r="AI190" i="40"/>
  <c r="AH190" i="40"/>
  <c r="AG190" i="40"/>
  <c r="AL189" i="40"/>
  <c r="AK189" i="40"/>
  <c r="AJ189" i="40"/>
  <c r="AI189" i="40"/>
  <c r="AH189" i="40"/>
  <c r="AG189" i="40"/>
  <c r="AL188" i="40"/>
  <c r="AK188" i="40"/>
  <c r="AJ188" i="40"/>
  <c r="AI188" i="40"/>
  <c r="AH188" i="40"/>
  <c r="AG188" i="40"/>
  <c r="AL187" i="40"/>
  <c r="AK187" i="40"/>
  <c r="AJ187" i="40"/>
  <c r="AI187" i="40"/>
  <c r="AH187" i="40"/>
  <c r="AG187" i="40"/>
  <c r="AL186" i="40"/>
  <c r="AK186" i="40"/>
  <c r="AJ186" i="40"/>
  <c r="AI186" i="40"/>
  <c r="AH186" i="40"/>
  <c r="AG186" i="40"/>
  <c r="AL185" i="40"/>
  <c r="AK185" i="40"/>
  <c r="AJ185" i="40"/>
  <c r="AI185" i="40"/>
  <c r="AH185" i="40"/>
  <c r="AG185" i="40"/>
  <c r="AL184" i="40"/>
  <c r="AK184" i="40"/>
  <c r="AJ184" i="40"/>
  <c r="AI184" i="40"/>
  <c r="AH184" i="40"/>
  <c r="AG184" i="40"/>
  <c r="AL183" i="40"/>
  <c r="AK183" i="40"/>
  <c r="AJ183" i="40"/>
  <c r="AI183" i="40"/>
  <c r="AH183" i="40"/>
  <c r="AG183" i="40"/>
  <c r="AL182" i="40"/>
  <c r="AK182" i="40"/>
  <c r="AJ182" i="40"/>
  <c r="AI182" i="40"/>
  <c r="AH182" i="40"/>
  <c r="AG182" i="40"/>
  <c r="AL181" i="40"/>
  <c r="AK181" i="40"/>
  <c r="AJ181" i="40"/>
  <c r="AI181" i="40"/>
  <c r="AH181" i="40"/>
  <c r="AG181" i="40"/>
  <c r="AL180" i="40"/>
  <c r="AK180" i="40"/>
  <c r="AJ180" i="40"/>
  <c r="AI180" i="40"/>
  <c r="AH180" i="40"/>
  <c r="AG180" i="40"/>
  <c r="AL179" i="40"/>
  <c r="AK179" i="40"/>
  <c r="AJ179" i="40"/>
  <c r="AI179" i="40"/>
  <c r="AH179" i="40"/>
  <c r="AG179" i="40"/>
  <c r="AL178" i="40"/>
  <c r="AK178" i="40"/>
  <c r="AJ178" i="40"/>
  <c r="AI178" i="40"/>
  <c r="AH178" i="40"/>
  <c r="AG178" i="40"/>
  <c r="AL177" i="40"/>
  <c r="AK177" i="40"/>
  <c r="AJ177" i="40"/>
  <c r="AI177" i="40"/>
  <c r="AH177" i="40"/>
  <c r="AG177" i="40"/>
  <c r="AL176" i="40"/>
  <c r="AK176" i="40"/>
  <c r="AJ176" i="40"/>
  <c r="AI176" i="40"/>
  <c r="AH176" i="40"/>
  <c r="AG176" i="40"/>
  <c r="AL175" i="40"/>
  <c r="AK175" i="40"/>
  <c r="AJ175" i="40"/>
  <c r="AI175" i="40"/>
  <c r="AH175" i="40"/>
  <c r="AG175" i="40"/>
  <c r="AL174" i="40"/>
  <c r="AK174" i="40"/>
  <c r="AJ174" i="40"/>
  <c r="AI174" i="40"/>
  <c r="AH174" i="40"/>
  <c r="AG174" i="40"/>
  <c r="AL173" i="40"/>
  <c r="AK173" i="40"/>
  <c r="AJ173" i="40"/>
  <c r="AI173" i="40"/>
  <c r="AH173" i="40"/>
  <c r="AG173" i="40"/>
  <c r="AL172" i="40"/>
  <c r="AK172" i="40"/>
  <c r="AJ172" i="40"/>
  <c r="AI172" i="40"/>
  <c r="AH172" i="40"/>
  <c r="AG172" i="40"/>
  <c r="AL171" i="40"/>
  <c r="AK171" i="40"/>
  <c r="AJ171" i="40"/>
  <c r="AI171" i="40"/>
  <c r="AH171" i="40"/>
  <c r="AG171" i="40"/>
  <c r="AL170" i="40"/>
  <c r="AK170" i="40"/>
  <c r="AJ170" i="40"/>
  <c r="AI170" i="40"/>
  <c r="AH170" i="40"/>
  <c r="AG170" i="40"/>
  <c r="AL169" i="40"/>
  <c r="AK169" i="40"/>
  <c r="AJ169" i="40"/>
  <c r="AI169" i="40"/>
  <c r="AH169" i="40"/>
  <c r="AG169" i="40"/>
  <c r="AL168" i="40"/>
  <c r="AK168" i="40"/>
  <c r="AJ168" i="40"/>
  <c r="AI168" i="40"/>
  <c r="AH168" i="40"/>
  <c r="AG168" i="40"/>
  <c r="AL167" i="40"/>
  <c r="AK167" i="40"/>
  <c r="AJ167" i="40"/>
  <c r="AI167" i="40"/>
  <c r="AH167" i="40"/>
  <c r="AG167" i="40"/>
  <c r="AL166" i="40"/>
  <c r="AK166" i="40"/>
  <c r="AJ166" i="40"/>
  <c r="AI166" i="40"/>
  <c r="AH166" i="40"/>
  <c r="AG166" i="40"/>
  <c r="AL165" i="40"/>
  <c r="AK165" i="40"/>
  <c r="AJ165" i="40"/>
  <c r="AI165" i="40"/>
  <c r="AH165" i="40"/>
  <c r="AG165" i="40"/>
  <c r="AL164" i="40"/>
  <c r="AK164" i="40"/>
  <c r="AJ164" i="40"/>
  <c r="AI164" i="40"/>
  <c r="AH164" i="40"/>
  <c r="AG164" i="40"/>
  <c r="AL163" i="40"/>
  <c r="AK163" i="40"/>
  <c r="AJ163" i="40"/>
  <c r="AI163" i="40"/>
  <c r="AH163" i="40"/>
  <c r="AG163" i="40"/>
  <c r="AL162" i="40"/>
  <c r="AK162" i="40"/>
  <c r="AJ162" i="40"/>
  <c r="AI162" i="40"/>
  <c r="AH162" i="40"/>
  <c r="AG162" i="40"/>
  <c r="AL161" i="40"/>
  <c r="AK161" i="40"/>
  <c r="AJ161" i="40"/>
  <c r="AI161" i="40"/>
  <c r="AH161" i="40"/>
  <c r="AG161" i="40"/>
  <c r="AL160" i="40"/>
  <c r="AK160" i="40"/>
  <c r="AJ160" i="40"/>
  <c r="AI160" i="40"/>
  <c r="AH160" i="40"/>
  <c r="AG160" i="40"/>
  <c r="AL159" i="40"/>
  <c r="AK159" i="40"/>
  <c r="AJ159" i="40"/>
  <c r="AI159" i="40"/>
  <c r="AH159" i="40"/>
  <c r="AG159" i="40"/>
  <c r="AL158" i="40"/>
  <c r="AK158" i="40"/>
  <c r="AJ158" i="40"/>
  <c r="AI158" i="40"/>
  <c r="AH158" i="40"/>
  <c r="AG158" i="40"/>
  <c r="AL157" i="40"/>
  <c r="AK157" i="40"/>
  <c r="AJ157" i="40"/>
  <c r="AI157" i="40"/>
  <c r="AH157" i="40"/>
  <c r="AG157" i="40"/>
  <c r="AL156" i="40"/>
  <c r="AK156" i="40"/>
  <c r="AJ156" i="40"/>
  <c r="AI156" i="40"/>
  <c r="AH156" i="40"/>
  <c r="AG156" i="40"/>
  <c r="AL155" i="40"/>
  <c r="AK155" i="40"/>
  <c r="AJ155" i="40"/>
  <c r="AI155" i="40"/>
  <c r="AH155" i="40"/>
  <c r="AG155" i="40"/>
  <c r="AL154" i="40"/>
  <c r="AK154" i="40"/>
  <c r="AJ154" i="40"/>
  <c r="AI154" i="40"/>
  <c r="AH154" i="40"/>
  <c r="AG154" i="40"/>
  <c r="AL153" i="40"/>
  <c r="AK153" i="40"/>
  <c r="AJ153" i="40"/>
  <c r="AI153" i="40"/>
  <c r="AH153" i="40"/>
  <c r="AG153" i="40"/>
  <c r="AL152" i="40"/>
  <c r="AK152" i="40"/>
  <c r="AJ152" i="40"/>
  <c r="AI152" i="40"/>
  <c r="AH152" i="40"/>
  <c r="AG152" i="40"/>
  <c r="AL151" i="40"/>
  <c r="AK151" i="40"/>
  <c r="AJ151" i="40"/>
  <c r="AI151" i="40"/>
  <c r="AH151" i="40"/>
  <c r="AG151" i="40"/>
  <c r="AL150" i="40"/>
  <c r="AK150" i="40"/>
  <c r="AJ150" i="40"/>
  <c r="AI150" i="40"/>
  <c r="AH150" i="40"/>
  <c r="AG150" i="40"/>
  <c r="AL149" i="40"/>
  <c r="AK149" i="40"/>
  <c r="AJ149" i="40"/>
  <c r="AI149" i="40"/>
  <c r="AH149" i="40"/>
  <c r="AG149" i="40"/>
  <c r="AL148" i="40"/>
  <c r="AK148" i="40"/>
  <c r="AJ148" i="40"/>
  <c r="AI148" i="40"/>
  <c r="AH148" i="40"/>
  <c r="AG148" i="40"/>
  <c r="AL147" i="40"/>
  <c r="AK147" i="40"/>
  <c r="AJ147" i="40"/>
  <c r="AI147" i="40"/>
  <c r="AH147" i="40"/>
  <c r="AG147" i="40"/>
  <c r="AL146" i="40"/>
  <c r="AK146" i="40"/>
  <c r="AJ146" i="40"/>
  <c r="AI146" i="40"/>
  <c r="AH146" i="40"/>
  <c r="AG146" i="40"/>
  <c r="AL145" i="40"/>
  <c r="AK145" i="40"/>
  <c r="AJ145" i="40"/>
  <c r="AI145" i="40"/>
  <c r="AH145" i="40"/>
  <c r="AG145" i="40"/>
  <c r="AL144" i="40"/>
  <c r="AK144" i="40"/>
  <c r="AJ144" i="40"/>
  <c r="AI144" i="40"/>
  <c r="AH144" i="40"/>
  <c r="AG144" i="40"/>
  <c r="AL143" i="40"/>
  <c r="AK143" i="40"/>
  <c r="AJ143" i="40"/>
  <c r="AI143" i="40"/>
  <c r="AH143" i="40"/>
  <c r="AG143" i="40"/>
  <c r="AL142" i="40"/>
  <c r="AK142" i="40"/>
  <c r="AJ142" i="40"/>
  <c r="AI142" i="40"/>
  <c r="AH142" i="40"/>
  <c r="AG142" i="40"/>
  <c r="AL141" i="40"/>
  <c r="AK141" i="40"/>
  <c r="AJ141" i="40"/>
  <c r="AI141" i="40"/>
  <c r="AH141" i="40"/>
  <c r="AG141" i="40"/>
  <c r="AL140" i="40"/>
  <c r="AK140" i="40"/>
  <c r="AJ140" i="40"/>
  <c r="AI140" i="40"/>
  <c r="AH140" i="40"/>
  <c r="AG140" i="40"/>
  <c r="AL139" i="40"/>
  <c r="AK139" i="40"/>
  <c r="AJ139" i="40"/>
  <c r="AI139" i="40"/>
  <c r="AH139" i="40"/>
  <c r="AG139" i="40"/>
  <c r="AL138" i="40"/>
  <c r="AK138" i="40"/>
  <c r="AJ138" i="40"/>
  <c r="AI138" i="40"/>
  <c r="AH138" i="40"/>
  <c r="AG138" i="40"/>
  <c r="AL137" i="40"/>
  <c r="AK137" i="40"/>
  <c r="AJ137" i="40"/>
  <c r="AI137" i="40"/>
  <c r="AH137" i="40"/>
  <c r="AG137" i="40"/>
  <c r="AL136" i="40"/>
  <c r="AK136" i="40"/>
  <c r="AJ136" i="40"/>
  <c r="AI136" i="40"/>
  <c r="AH136" i="40"/>
  <c r="AG136" i="40"/>
  <c r="AL135" i="40"/>
  <c r="AK135" i="40"/>
  <c r="AJ135" i="40"/>
  <c r="AI135" i="40"/>
  <c r="AH135" i="40"/>
  <c r="AG135" i="40"/>
  <c r="AL134" i="40"/>
  <c r="AK134" i="40"/>
  <c r="AJ134" i="40"/>
  <c r="AI134" i="40"/>
  <c r="AH134" i="40"/>
  <c r="AG134" i="40"/>
  <c r="AL133" i="40"/>
  <c r="AK133" i="40"/>
  <c r="AJ133" i="40"/>
  <c r="AI133" i="40"/>
  <c r="AH133" i="40"/>
  <c r="AG133" i="40"/>
  <c r="AL132" i="40"/>
  <c r="AK132" i="40"/>
  <c r="AJ132" i="40"/>
  <c r="AI132" i="40"/>
  <c r="AH132" i="40"/>
  <c r="AG132" i="40"/>
  <c r="AL131" i="40"/>
  <c r="AK131" i="40"/>
  <c r="AJ131" i="40"/>
  <c r="AI131" i="40"/>
  <c r="AH131" i="40"/>
  <c r="AG131" i="40"/>
  <c r="AL130" i="40"/>
  <c r="AK130" i="40"/>
  <c r="AJ130" i="40"/>
  <c r="AI130" i="40"/>
  <c r="AH130" i="40"/>
  <c r="AG130" i="40"/>
  <c r="AL129" i="40"/>
  <c r="AK129" i="40"/>
  <c r="AJ129" i="40"/>
  <c r="AI129" i="40"/>
  <c r="AH129" i="40"/>
  <c r="AG129" i="40"/>
  <c r="AL128" i="40"/>
  <c r="AK128" i="40"/>
  <c r="AJ128" i="40"/>
  <c r="AI128" i="40"/>
  <c r="AH128" i="40"/>
  <c r="AG128" i="40"/>
  <c r="AL127" i="40"/>
  <c r="AK127" i="40"/>
  <c r="AJ127" i="40"/>
  <c r="AI127" i="40"/>
  <c r="AH127" i="40"/>
  <c r="AG127" i="40"/>
  <c r="AL126" i="40"/>
  <c r="AK126" i="40"/>
  <c r="AJ126" i="40"/>
  <c r="AI126" i="40"/>
  <c r="AH126" i="40"/>
  <c r="AG126" i="40"/>
  <c r="AL125" i="40"/>
  <c r="AK125" i="40"/>
  <c r="AJ125" i="40"/>
  <c r="AI125" i="40"/>
  <c r="AH125" i="40"/>
  <c r="AG125" i="40"/>
  <c r="AL124" i="40"/>
  <c r="AK124" i="40"/>
  <c r="AJ124" i="40"/>
  <c r="AI124" i="40"/>
  <c r="AH124" i="40"/>
  <c r="AG124" i="40"/>
  <c r="AL123" i="40"/>
  <c r="AK123" i="40"/>
  <c r="AJ123" i="40"/>
  <c r="AI123" i="40"/>
  <c r="AH123" i="40"/>
  <c r="AG123" i="40"/>
  <c r="AL122" i="40"/>
  <c r="AK122" i="40"/>
  <c r="AJ122" i="40"/>
  <c r="AI122" i="40"/>
  <c r="AH122" i="40"/>
  <c r="AG122" i="40"/>
  <c r="AL121" i="40"/>
  <c r="AK121" i="40"/>
  <c r="AJ121" i="40"/>
  <c r="AI121" i="40"/>
  <c r="AH121" i="40"/>
  <c r="AG121" i="40"/>
  <c r="AL120" i="40"/>
  <c r="AK120" i="40"/>
  <c r="AJ120" i="40"/>
  <c r="AI120" i="40"/>
  <c r="AH120" i="40"/>
  <c r="AG120" i="40"/>
  <c r="AL119" i="40"/>
  <c r="AK119" i="40"/>
  <c r="AJ119" i="40"/>
  <c r="AI119" i="40"/>
  <c r="AH119" i="40"/>
  <c r="AG119" i="40"/>
  <c r="AL118" i="40"/>
  <c r="AK118" i="40"/>
  <c r="AJ118" i="40"/>
  <c r="AI118" i="40"/>
  <c r="AH118" i="40"/>
  <c r="AG118" i="40"/>
  <c r="AL117" i="40"/>
  <c r="AK117" i="40"/>
  <c r="AJ117" i="40"/>
  <c r="AI117" i="40"/>
  <c r="AH117" i="40"/>
  <c r="AG117" i="40"/>
  <c r="AL116" i="40"/>
  <c r="AK116" i="40"/>
  <c r="AJ116" i="40"/>
  <c r="AI116" i="40"/>
  <c r="AH116" i="40"/>
  <c r="AG116" i="40"/>
  <c r="AL115" i="40"/>
  <c r="AK115" i="40"/>
  <c r="AJ115" i="40"/>
  <c r="AI115" i="40"/>
  <c r="AH115" i="40"/>
  <c r="AG115" i="40"/>
  <c r="AL114" i="40"/>
  <c r="AK114" i="40"/>
  <c r="AJ114" i="40"/>
  <c r="AI114" i="40"/>
  <c r="AH114" i="40"/>
  <c r="AG114" i="40"/>
  <c r="AL113" i="40"/>
  <c r="AK113" i="40"/>
  <c r="AJ113" i="40"/>
  <c r="AI113" i="40"/>
  <c r="AH113" i="40"/>
  <c r="AG113" i="40"/>
  <c r="AL112" i="40"/>
  <c r="AK112" i="40"/>
  <c r="AJ112" i="40"/>
  <c r="AI112" i="40"/>
  <c r="AH112" i="40"/>
  <c r="AG112" i="40"/>
  <c r="AL111" i="40"/>
  <c r="AK111" i="40"/>
  <c r="AJ111" i="40"/>
  <c r="AI111" i="40"/>
  <c r="AH111" i="40"/>
  <c r="AG111" i="40"/>
  <c r="AL110" i="40"/>
  <c r="AK110" i="40"/>
  <c r="AJ110" i="40"/>
  <c r="AI110" i="40"/>
  <c r="AH110" i="40"/>
  <c r="AG110" i="40"/>
  <c r="AL109" i="40"/>
  <c r="AK109" i="40"/>
  <c r="AJ109" i="40"/>
  <c r="AI109" i="40"/>
  <c r="AH109" i="40"/>
  <c r="AG109" i="40"/>
  <c r="AL108" i="40"/>
  <c r="AK108" i="40"/>
  <c r="AJ108" i="40"/>
  <c r="AI108" i="40"/>
  <c r="AH108" i="40"/>
  <c r="AG108" i="40"/>
  <c r="AL107" i="40"/>
  <c r="AK107" i="40"/>
  <c r="AJ107" i="40"/>
  <c r="AI107" i="40"/>
  <c r="AH107" i="40"/>
  <c r="AG107" i="40"/>
  <c r="AL106" i="40"/>
  <c r="AK106" i="40"/>
  <c r="AJ106" i="40"/>
  <c r="AI106" i="40"/>
  <c r="AH106" i="40"/>
  <c r="AG106" i="40"/>
  <c r="AL105" i="40"/>
  <c r="AK105" i="40"/>
  <c r="AJ105" i="40"/>
  <c r="AI105" i="40"/>
  <c r="AH105" i="40"/>
  <c r="AG105" i="40"/>
  <c r="AL104" i="40"/>
  <c r="AK104" i="40"/>
  <c r="AJ104" i="40"/>
  <c r="AI104" i="40"/>
  <c r="AH104" i="40"/>
  <c r="AG104" i="40"/>
  <c r="AL103" i="40"/>
  <c r="AK103" i="40"/>
  <c r="AJ103" i="40"/>
  <c r="AI103" i="40"/>
  <c r="AH103" i="40"/>
  <c r="AG103" i="40"/>
  <c r="AL102" i="40"/>
  <c r="AK102" i="40"/>
  <c r="AJ102" i="40"/>
  <c r="AI102" i="40"/>
  <c r="AH102" i="40"/>
  <c r="AG102" i="40"/>
  <c r="AL101" i="40"/>
  <c r="AK101" i="40"/>
  <c r="AJ101" i="40"/>
  <c r="AI101" i="40"/>
  <c r="AH101" i="40"/>
  <c r="AG101" i="40"/>
  <c r="AL100" i="40"/>
  <c r="AK100" i="40"/>
  <c r="AJ100" i="40"/>
  <c r="AI100" i="40"/>
  <c r="AH100" i="40"/>
  <c r="AG100" i="40"/>
  <c r="AL99" i="40"/>
  <c r="AK99" i="40"/>
  <c r="AJ99" i="40"/>
  <c r="AI99" i="40"/>
  <c r="AH99" i="40"/>
  <c r="AG99" i="40"/>
  <c r="AL98" i="40"/>
  <c r="AK98" i="40"/>
  <c r="AJ98" i="40"/>
  <c r="AI98" i="40"/>
  <c r="AH98" i="40"/>
  <c r="AG98" i="40"/>
  <c r="AL97" i="40"/>
  <c r="AK97" i="40"/>
  <c r="AJ97" i="40"/>
  <c r="AI97" i="40"/>
  <c r="AH97" i="40"/>
  <c r="AG97" i="40"/>
  <c r="AL96" i="40"/>
  <c r="AK96" i="40"/>
  <c r="AJ96" i="40"/>
  <c r="AI96" i="40"/>
  <c r="AH96" i="40"/>
  <c r="AG96" i="40"/>
  <c r="AL95" i="40"/>
  <c r="AK95" i="40"/>
  <c r="AJ95" i="40"/>
  <c r="AI95" i="40"/>
  <c r="AH95" i="40"/>
  <c r="AG95" i="40"/>
  <c r="AL94" i="40"/>
  <c r="AK94" i="40"/>
  <c r="AJ94" i="40"/>
  <c r="AI94" i="40"/>
  <c r="AH94" i="40"/>
  <c r="AG94" i="40"/>
  <c r="AL93" i="40"/>
  <c r="AK93" i="40"/>
  <c r="AJ93" i="40"/>
  <c r="AI93" i="40"/>
  <c r="AH93" i="40"/>
  <c r="AG93" i="40"/>
  <c r="AL92" i="40"/>
  <c r="AK92" i="40"/>
  <c r="AJ92" i="40"/>
  <c r="AI92" i="40"/>
  <c r="AH92" i="40"/>
  <c r="AG92" i="40"/>
  <c r="AL91" i="40"/>
  <c r="AK91" i="40"/>
  <c r="AJ91" i="40"/>
  <c r="AI91" i="40"/>
  <c r="AH91" i="40"/>
  <c r="AG91" i="40"/>
  <c r="AL90" i="40"/>
  <c r="AK90" i="40"/>
  <c r="AJ90" i="40"/>
  <c r="AI90" i="40"/>
  <c r="AH90" i="40"/>
  <c r="AG90" i="40"/>
  <c r="AL89" i="40"/>
  <c r="AK89" i="40"/>
  <c r="AJ89" i="40"/>
  <c r="AI89" i="40"/>
  <c r="AH89" i="40"/>
  <c r="AG89" i="40"/>
  <c r="AL88" i="40"/>
  <c r="AK88" i="40"/>
  <c r="AJ88" i="40"/>
  <c r="AI88" i="40"/>
  <c r="AH88" i="40"/>
  <c r="AG88" i="40"/>
  <c r="AL87" i="40"/>
  <c r="AK87" i="40"/>
  <c r="AJ87" i="40"/>
  <c r="AI87" i="40"/>
  <c r="AH87" i="40"/>
  <c r="AG87" i="40"/>
  <c r="AL86" i="40"/>
  <c r="AK86" i="40"/>
  <c r="AJ86" i="40"/>
  <c r="AI86" i="40"/>
  <c r="AH86" i="40"/>
  <c r="AG86" i="40"/>
  <c r="AL85" i="40"/>
  <c r="AK85" i="40"/>
  <c r="AJ85" i="40"/>
  <c r="AI85" i="40"/>
  <c r="AH85" i="40"/>
  <c r="AG85" i="40"/>
  <c r="AL84" i="40"/>
  <c r="AK84" i="40"/>
  <c r="AJ84" i="40"/>
  <c r="AI84" i="40"/>
  <c r="AH84" i="40"/>
  <c r="AG84" i="40"/>
  <c r="AL83" i="40"/>
  <c r="AK83" i="40"/>
  <c r="AJ83" i="40"/>
  <c r="AI83" i="40"/>
  <c r="AH83" i="40"/>
  <c r="AG83" i="40"/>
  <c r="AL82" i="40"/>
  <c r="AK82" i="40"/>
  <c r="AJ82" i="40"/>
  <c r="AI82" i="40"/>
  <c r="AH82" i="40"/>
  <c r="AG82" i="40"/>
  <c r="AL81" i="40"/>
  <c r="AK81" i="40"/>
  <c r="AJ81" i="40"/>
  <c r="AI81" i="40"/>
  <c r="AH81" i="40"/>
  <c r="AG81" i="40"/>
  <c r="AL80" i="40"/>
  <c r="AK80" i="40"/>
  <c r="AJ80" i="40"/>
  <c r="AI80" i="40"/>
  <c r="AH80" i="40"/>
  <c r="AG80" i="40"/>
  <c r="AL79" i="40"/>
  <c r="AK79" i="40"/>
  <c r="AJ79" i="40"/>
  <c r="AI79" i="40"/>
  <c r="AH79" i="40"/>
  <c r="AG79" i="40"/>
  <c r="AL78" i="40"/>
  <c r="AK78" i="40"/>
  <c r="AJ78" i="40"/>
  <c r="AI78" i="40"/>
  <c r="AH78" i="40"/>
  <c r="AG78" i="40"/>
  <c r="AL77" i="40"/>
  <c r="AK77" i="40"/>
  <c r="AJ77" i="40"/>
  <c r="AI77" i="40"/>
  <c r="AH77" i="40"/>
  <c r="AG77" i="40"/>
  <c r="AL76" i="40"/>
  <c r="AK76" i="40"/>
  <c r="AJ76" i="40"/>
  <c r="AI76" i="40"/>
  <c r="AH76" i="40"/>
  <c r="AG76" i="40"/>
  <c r="H76" i="40"/>
  <c r="S76" i="40"/>
  <c r="F29" i="40"/>
  <c r="U76" i="40"/>
  <c r="W76" i="40"/>
  <c r="Y76" i="40"/>
  <c r="J76" i="40"/>
  <c r="L76" i="40"/>
  <c r="M76" i="40"/>
  <c r="N76" i="40"/>
  <c r="AA76" i="40"/>
  <c r="AE76" i="40"/>
  <c r="AB76" i="40"/>
  <c r="I76" i="40"/>
  <c r="T76" i="40"/>
  <c r="V76" i="40"/>
  <c r="X76" i="40"/>
  <c r="Z76" i="40"/>
  <c r="K76" i="40"/>
  <c r="O76" i="40"/>
  <c r="P76" i="40"/>
  <c r="Q76" i="40"/>
  <c r="AC76" i="40"/>
  <c r="R76" i="40"/>
  <c r="G76" i="40"/>
  <c r="AD76" i="40"/>
  <c r="AF76" i="40"/>
  <c r="H77" i="40"/>
  <c r="S77" i="40"/>
  <c r="U77" i="40"/>
  <c r="W77" i="40"/>
  <c r="Y77" i="40"/>
  <c r="J77" i="40"/>
  <c r="L77" i="40"/>
  <c r="M77" i="40"/>
  <c r="N77" i="40"/>
  <c r="AA77" i="40"/>
  <c r="AE77" i="40"/>
  <c r="AB77" i="40"/>
  <c r="I77" i="40"/>
  <c r="T77" i="40"/>
  <c r="V77" i="40"/>
  <c r="X77" i="40"/>
  <c r="Z77" i="40"/>
  <c r="K77" i="40"/>
  <c r="O77" i="40"/>
  <c r="P77" i="40"/>
  <c r="Q77" i="40"/>
  <c r="AC77" i="40"/>
  <c r="R77" i="40"/>
  <c r="G77" i="40"/>
  <c r="AD77" i="40"/>
  <c r="AF77" i="40"/>
  <c r="H78" i="40"/>
  <c r="S78" i="40"/>
  <c r="U78" i="40"/>
  <c r="W78" i="40"/>
  <c r="Y78" i="40"/>
  <c r="J78" i="40"/>
  <c r="L78" i="40"/>
  <c r="M78" i="40"/>
  <c r="N78" i="40"/>
  <c r="AA78" i="40"/>
  <c r="AE78" i="40"/>
  <c r="AB78" i="40"/>
  <c r="I78" i="40"/>
  <c r="T78" i="40"/>
  <c r="V78" i="40"/>
  <c r="X78" i="40"/>
  <c r="Z78" i="40"/>
  <c r="K78" i="40"/>
  <c r="O78" i="40"/>
  <c r="P78" i="40"/>
  <c r="Q78" i="40"/>
  <c r="AC78" i="40"/>
  <c r="R78" i="40"/>
  <c r="G78" i="40"/>
  <c r="AD78" i="40"/>
  <c r="AF78" i="40"/>
  <c r="H79" i="40"/>
  <c r="S79" i="40"/>
  <c r="U79" i="40"/>
  <c r="W79" i="40"/>
  <c r="Y79" i="40"/>
  <c r="J79" i="40"/>
  <c r="L79" i="40"/>
  <c r="M79" i="40"/>
  <c r="N79" i="40"/>
  <c r="AA79" i="40"/>
  <c r="AE79" i="40"/>
  <c r="AB79" i="40"/>
  <c r="I79" i="40"/>
  <c r="T79" i="40"/>
  <c r="V79" i="40"/>
  <c r="X79" i="40"/>
  <c r="Z79" i="40"/>
  <c r="K79" i="40"/>
  <c r="O79" i="40"/>
  <c r="P79" i="40"/>
  <c r="Q79" i="40"/>
  <c r="AC79" i="40"/>
  <c r="R79" i="40"/>
  <c r="G79" i="40"/>
  <c r="AD79" i="40"/>
  <c r="AF79" i="40"/>
  <c r="H80" i="40"/>
  <c r="S80" i="40"/>
  <c r="U80" i="40"/>
  <c r="W80" i="40"/>
  <c r="Y80" i="40"/>
  <c r="J80" i="40"/>
  <c r="L80" i="40"/>
  <c r="M80" i="40"/>
  <c r="N80" i="40"/>
  <c r="AA80" i="40"/>
  <c r="AE80" i="40"/>
  <c r="AB80" i="40"/>
  <c r="I80" i="40"/>
  <c r="T80" i="40"/>
  <c r="V80" i="40"/>
  <c r="X80" i="40"/>
  <c r="Z80" i="40"/>
  <c r="K80" i="40"/>
  <c r="O80" i="40"/>
  <c r="P80" i="40"/>
  <c r="Q80" i="40"/>
  <c r="AC80" i="40"/>
  <c r="R80" i="40"/>
  <c r="G80" i="40"/>
  <c r="AD80" i="40"/>
  <c r="AF80" i="40"/>
  <c r="H81" i="40"/>
  <c r="S81" i="40"/>
  <c r="U81" i="40"/>
  <c r="W81" i="40"/>
  <c r="Y81" i="40"/>
  <c r="J81" i="40"/>
  <c r="L81" i="40"/>
  <c r="M81" i="40"/>
  <c r="N81" i="40"/>
  <c r="AA81" i="40"/>
  <c r="AE81" i="40"/>
  <c r="AB81" i="40"/>
  <c r="I81" i="40"/>
  <c r="T81" i="40"/>
  <c r="V81" i="40"/>
  <c r="X81" i="40"/>
  <c r="Z81" i="40"/>
  <c r="K81" i="40"/>
  <c r="O81" i="40"/>
  <c r="P81" i="40"/>
  <c r="Q81" i="40"/>
  <c r="AC81" i="40"/>
  <c r="R81" i="40"/>
  <c r="G81" i="40"/>
  <c r="AD81" i="40"/>
  <c r="AF81" i="40"/>
  <c r="H82" i="40"/>
  <c r="S82" i="40"/>
  <c r="U82" i="40"/>
  <c r="W82" i="40"/>
  <c r="Y82" i="40"/>
  <c r="J82" i="40"/>
  <c r="L82" i="40"/>
  <c r="M82" i="40"/>
  <c r="N82" i="40"/>
  <c r="AA82" i="40"/>
  <c r="AE82" i="40"/>
  <c r="AB82" i="40"/>
  <c r="I82" i="40"/>
  <c r="T82" i="40"/>
  <c r="V82" i="40"/>
  <c r="X82" i="40"/>
  <c r="Z82" i="40"/>
  <c r="K82" i="40"/>
  <c r="O82" i="40"/>
  <c r="P82" i="40"/>
  <c r="Q82" i="40"/>
  <c r="AC82" i="40"/>
  <c r="R82" i="40"/>
  <c r="G82" i="40"/>
  <c r="AD82" i="40"/>
  <c r="AF82" i="40"/>
  <c r="H83" i="40"/>
  <c r="S83" i="40"/>
  <c r="U83" i="40"/>
  <c r="W83" i="40"/>
  <c r="Y83" i="40"/>
  <c r="J83" i="40"/>
  <c r="L83" i="40"/>
  <c r="M83" i="40"/>
  <c r="N83" i="40"/>
  <c r="AA83" i="40"/>
  <c r="AE83" i="40"/>
  <c r="AB83" i="40"/>
  <c r="I83" i="40"/>
  <c r="T83" i="40"/>
  <c r="V83" i="40"/>
  <c r="X83" i="40"/>
  <c r="Z83" i="40"/>
  <c r="K83" i="40"/>
  <c r="O83" i="40"/>
  <c r="P83" i="40"/>
  <c r="Q83" i="40"/>
  <c r="AC83" i="40"/>
  <c r="R83" i="40"/>
  <c r="G83" i="40"/>
  <c r="AD83" i="40"/>
  <c r="AF83" i="40"/>
  <c r="H84" i="40"/>
  <c r="S84" i="40"/>
  <c r="U84" i="40"/>
  <c r="W84" i="40"/>
  <c r="Y84" i="40"/>
  <c r="J84" i="40"/>
  <c r="L84" i="40"/>
  <c r="M84" i="40"/>
  <c r="N84" i="40"/>
  <c r="AA84" i="40"/>
  <c r="AE84" i="40"/>
  <c r="AB84" i="40"/>
  <c r="I84" i="40"/>
  <c r="T84" i="40"/>
  <c r="V84" i="40"/>
  <c r="X84" i="40"/>
  <c r="Z84" i="40"/>
  <c r="K84" i="40"/>
  <c r="O84" i="40"/>
  <c r="P84" i="40"/>
  <c r="Q84" i="40"/>
  <c r="AC84" i="40"/>
  <c r="R84" i="40"/>
  <c r="G84" i="40"/>
  <c r="AD84" i="40"/>
  <c r="AF84" i="40"/>
  <c r="H85" i="40"/>
  <c r="S85" i="40"/>
  <c r="U85" i="40"/>
  <c r="W85" i="40"/>
  <c r="Y85" i="40"/>
  <c r="J85" i="40"/>
  <c r="L85" i="40"/>
  <c r="M85" i="40"/>
  <c r="N85" i="40"/>
  <c r="AA85" i="40"/>
  <c r="AE85" i="40"/>
  <c r="AB85" i="40"/>
  <c r="I85" i="40"/>
  <c r="T85" i="40"/>
  <c r="V85" i="40"/>
  <c r="X85" i="40"/>
  <c r="Z85" i="40"/>
  <c r="K85" i="40"/>
  <c r="O85" i="40"/>
  <c r="P85" i="40"/>
  <c r="Q85" i="40"/>
  <c r="AC85" i="40"/>
  <c r="R85" i="40"/>
  <c r="G85" i="40"/>
  <c r="AD85" i="40"/>
  <c r="AF85" i="40"/>
  <c r="H86" i="40"/>
  <c r="S86" i="40"/>
  <c r="U86" i="40"/>
  <c r="W86" i="40"/>
  <c r="Y86" i="40"/>
  <c r="J86" i="40"/>
  <c r="L86" i="40"/>
  <c r="M86" i="40"/>
  <c r="N86" i="40"/>
  <c r="AA86" i="40"/>
  <c r="AE86" i="40"/>
  <c r="AB86" i="40"/>
  <c r="I86" i="40"/>
  <c r="T86" i="40"/>
  <c r="V86" i="40"/>
  <c r="X86" i="40"/>
  <c r="Z86" i="40"/>
  <c r="K86" i="40"/>
  <c r="O86" i="40"/>
  <c r="P86" i="40"/>
  <c r="Q86" i="40"/>
  <c r="AC86" i="40"/>
  <c r="R86" i="40"/>
  <c r="G86" i="40"/>
  <c r="AD86" i="40"/>
  <c r="AF86" i="40"/>
  <c r="H87" i="40"/>
  <c r="S87" i="40"/>
  <c r="U87" i="40"/>
  <c r="W87" i="40"/>
  <c r="Y87" i="40"/>
  <c r="J87" i="40"/>
  <c r="L87" i="40"/>
  <c r="M87" i="40"/>
  <c r="N87" i="40"/>
  <c r="AA87" i="40"/>
  <c r="AE87" i="40"/>
  <c r="AB87" i="40"/>
  <c r="I87" i="40"/>
  <c r="T87" i="40"/>
  <c r="V87" i="40"/>
  <c r="X87" i="40"/>
  <c r="Z87" i="40"/>
  <c r="K87" i="40"/>
  <c r="O87" i="40"/>
  <c r="P87" i="40"/>
  <c r="Q87" i="40"/>
  <c r="AC87" i="40"/>
  <c r="R87" i="40"/>
  <c r="G87" i="40"/>
  <c r="AD87" i="40"/>
  <c r="AF87" i="40"/>
  <c r="H88" i="40"/>
  <c r="S88" i="40"/>
  <c r="U88" i="40"/>
  <c r="W88" i="40"/>
  <c r="Y88" i="40"/>
  <c r="J88" i="40"/>
  <c r="L88" i="40"/>
  <c r="M88" i="40"/>
  <c r="N88" i="40"/>
  <c r="AA88" i="40"/>
  <c r="AE88" i="40"/>
  <c r="AB88" i="40"/>
  <c r="I88" i="40"/>
  <c r="T88" i="40"/>
  <c r="V88" i="40"/>
  <c r="X88" i="40"/>
  <c r="Z88" i="40"/>
  <c r="K88" i="40"/>
  <c r="O88" i="40"/>
  <c r="P88" i="40"/>
  <c r="Q88" i="40"/>
  <c r="AC88" i="40"/>
  <c r="R88" i="40"/>
  <c r="G88" i="40"/>
  <c r="AD88" i="40"/>
  <c r="AF88" i="40"/>
  <c r="H89" i="40"/>
  <c r="S89" i="40"/>
  <c r="U89" i="40"/>
  <c r="W89" i="40"/>
  <c r="Y89" i="40"/>
  <c r="J89" i="40"/>
  <c r="L89" i="40"/>
  <c r="M89" i="40"/>
  <c r="N89" i="40"/>
  <c r="AA89" i="40"/>
  <c r="AE89" i="40"/>
  <c r="AB89" i="40"/>
  <c r="I89" i="40"/>
  <c r="T89" i="40"/>
  <c r="V89" i="40"/>
  <c r="X89" i="40"/>
  <c r="Z89" i="40"/>
  <c r="K89" i="40"/>
  <c r="O89" i="40"/>
  <c r="P89" i="40"/>
  <c r="Q89" i="40"/>
  <c r="AC89" i="40"/>
  <c r="R89" i="40"/>
  <c r="G89" i="40"/>
  <c r="AD89" i="40"/>
  <c r="AF89" i="40"/>
  <c r="H90" i="40"/>
  <c r="S90" i="40"/>
  <c r="U90" i="40"/>
  <c r="W90" i="40"/>
  <c r="Y90" i="40"/>
  <c r="J90" i="40"/>
  <c r="L90" i="40"/>
  <c r="M90" i="40"/>
  <c r="N90" i="40"/>
  <c r="AA90" i="40"/>
  <c r="AE90" i="40"/>
  <c r="AB90" i="40"/>
  <c r="I90" i="40"/>
  <c r="T90" i="40"/>
  <c r="V90" i="40"/>
  <c r="X90" i="40"/>
  <c r="Z90" i="40"/>
  <c r="K90" i="40"/>
  <c r="O90" i="40"/>
  <c r="P90" i="40"/>
  <c r="Q90" i="40"/>
  <c r="AC90" i="40"/>
  <c r="R90" i="40"/>
  <c r="G90" i="40"/>
  <c r="AD90" i="40"/>
  <c r="AF90" i="40"/>
  <c r="H91" i="40"/>
  <c r="S91" i="40"/>
  <c r="U91" i="40"/>
  <c r="W91" i="40"/>
  <c r="Y91" i="40"/>
  <c r="J91" i="40"/>
  <c r="L91" i="40"/>
  <c r="M91" i="40"/>
  <c r="N91" i="40"/>
  <c r="AA91" i="40"/>
  <c r="AE91" i="40"/>
  <c r="AB91" i="40"/>
  <c r="I91" i="40"/>
  <c r="T91" i="40"/>
  <c r="V91" i="40"/>
  <c r="X91" i="40"/>
  <c r="Z91" i="40"/>
  <c r="K91" i="40"/>
  <c r="O91" i="40"/>
  <c r="P91" i="40"/>
  <c r="Q91" i="40"/>
  <c r="AC91" i="40"/>
  <c r="R91" i="40"/>
  <c r="G91" i="40"/>
  <c r="AD91" i="40"/>
  <c r="AF91" i="40"/>
  <c r="H92" i="40"/>
  <c r="S92" i="40"/>
  <c r="U92" i="40"/>
  <c r="W92" i="40"/>
  <c r="Y92" i="40"/>
  <c r="J92" i="40"/>
  <c r="L92" i="40"/>
  <c r="M92" i="40"/>
  <c r="N92" i="40"/>
  <c r="AA92" i="40"/>
  <c r="AE92" i="40"/>
  <c r="AB92" i="40"/>
  <c r="I92" i="40"/>
  <c r="T92" i="40"/>
  <c r="V92" i="40"/>
  <c r="X92" i="40"/>
  <c r="Z92" i="40"/>
  <c r="K92" i="40"/>
  <c r="O92" i="40"/>
  <c r="P92" i="40"/>
  <c r="Q92" i="40"/>
  <c r="AC92" i="40"/>
  <c r="R92" i="40"/>
  <c r="G92" i="40"/>
  <c r="AD92" i="40"/>
  <c r="AF92" i="40"/>
  <c r="H93" i="40"/>
  <c r="S93" i="40"/>
  <c r="U93" i="40"/>
  <c r="W93" i="40"/>
  <c r="Y93" i="40"/>
  <c r="J93" i="40"/>
  <c r="L93" i="40"/>
  <c r="M93" i="40"/>
  <c r="N93" i="40"/>
  <c r="AA93" i="40"/>
  <c r="AE93" i="40"/>
  <c r="AB93" i="40"/>
  <c r="I93" i="40"/>
  <c r="T93" i="40"/>
  <c r="V93" i="40"/>
  <c r="X93" i="40"/>
  <c r="Z93" i="40"/>
  <c r="K93" i="40"/>
  <c r="O93" i="40"/>
  <c r="P93" i="40"/>
  <c r="Q93" i="40"/>
  <c r="AC93" i="40"/>
  <c r="R93" i="40"/>
  <c r="G93" i="40"/>
  <c r="AD93" i="40"/>
  <c r="AF93" i="40"/>
  <c r="H94" i="40"/>
  <c r="S94" i="40"/>
  <c r="U94" i="40"/>
  <c r="W94" i="40"/>
  <c r="Y94" i="40"/>
  <c r="J94" i="40"/>
  <c r="L94" i="40"/>
  <c r="M94" i="40"/>
  <c r="N94" i="40"/>
  <c r="AA94" i="40"/>
  <c r="AE94" i="40"/>
  <c r="AB94" i="40"/>
  <c r="I94" i="40"/>
  <c r="T94" i="40"/>
  <c r="V94" i="40"/>
  <c r="X94" i="40"/>
  <c r="Z94" i="40"/>
  <c r="K94" i="40"/>
  <c r="O94" i="40"/>
  <c r="P94" i="40"/>
  <c r="Q94" i="40"/>
  <c r="AC94" i="40"/>
  <c r="R94" i="40"/>
  <c r="G94" i="40"/>
  <c r="AD94" i="40"/>
  <c r="AF94" i="40"/>
  <c r="H95" i="40"/>
  <c r="S95" i="40"/>
  <c r="U95" i="40"/>
  <c r="W95" i="40"/>
  <c r="Y95" i="40"/>
  <c r="J95" i="40"/>
  <c r="L95" i="40"/>
  <c r="M95" i="40"/>
  <c r="N95" i="40"/>
  <c r="AA95" i="40"/>
  <c r="AE95" i="40"/>
  <c r="AB95" i="40"/>
  <c r="I95" i="40"/>
  <c r="T95" i="40"/>
  <c r="V95" i="40"/>
  <c r="X95" i="40"/>
  <c r="Z95" i="40"/>
  <c r="K95" i="40"/>
  <c r="O95" i="40"/>
  <c r="P95" i="40"/>
  <c r="Q95" i="40"/>
  <c r="AC95" i="40"/>
  <c r="R95" i="40"/>
  <c r="G95" i="40"/>
  <c r="AD95" i="40"/>
  <c r="AF95" i="40"/>
  <c r="H96" i="40"/>
  <c r="S96" i="40"/>
  <c r="U96" i="40"/>
  <c r="W96" i="40"/>
  <c r="Y96" i="40"/>
  <c r="J96" i="40"/>
  <c r="L96" i="40"/>
  <c r="M96" i="40"/>
  <c r="N96" i="40"/>
  <c r="AA96" i="40"/>
  <c r="AE96" i="40"/>
  <c r="AB96" i="40"/>
  <c r="I96" i="40"/>
  <c r="T96" i="40"/>
  <c r="V96" i="40"/>
  <c r="X96" i="40"/>
  <c r="Z96" i="40"/>
  <c r="K96" i="40"/>
  <c r="O96" i="40"/>
  <c r="P96" i="40"/>
  <c r="Q96" i="40"/>
  <c r="AC96" i="40"/>
  <c r="R96" i="40"/>
  <c r="G96" i="40"/>
  <c r="AD96" i="40"/>
  <c r="AF96" i="40"/>
  <c r="H97" i="40"/>
  <c r="S97" i="40"/>
  <c r="U97" i="40"/>
  <c r="W97" i="40"/>
  <c r="Y97" i="40"/>
  <c r="J97" i="40"/>
  <c r="L97" i="40"/>
  <c r="M97" i="40"/>
  <c r="N97" i="40"/>
  <c r="AA97" i="40"/>
  <c r="AE97" i="40"/>
  <c r="AB97" i="40"/>
  <c r="I97" i="40"/>
  <c r="T97" i="40"/>
  <c r="V97" i="40"/>
  <c r="X97" i="40"/>
  <c r="Z97" i="40"/>
  <c r="K97" i="40"/>
  <c r="O97" i="40"/>
  <c r="P97" i="40"/>
  <c r="Q97" i="40"/>
  <c r="AC97" i="40"/>
  <c r="R97" i="40"/>
  <c r="G97" i="40"/>
  <c r="AD97" i="40"/>
  <c r="AF97" i="40"/>
  <c r="H98" i="40"/>
  <c r="S98" i="40"/>
  <c r="U98" i="40"/>
  <c r="W98" i="40"/>
  <c r="Y98" i="40"/>
  <c r="J98" i="40"/>
  <c r="L98" i="40"/>
  <c r="M98" i="40"/>
  <c r="N98" i="40"/>
  <c r="AA98" i="40"/>
  <c r="AE98" i="40"/>
  <c r="AB98" i="40"/>
  <c r="I98" i="40"/>
  <c r="T98" i="40"/>
  <c r="V98" i="40"/>
  <c r="X98" i="40"/>
  <c r="Z98" i="40"/>
  <c r="K98" i="40"/>
  <c r="O98" i="40"/>
  <c r="P98" i="40"/>
  <c r="Q98" i="40"/>
  <c r="AC98" i="40"/>
  <c r="R98" i="40"/>
  <c r="G98" i="40"/>
  <c r="AD98" i="40"/>
  <c r="AF98" i="40"/>
  <c r="H99" i="40"/>
  <c r="S99" i="40"/>
  <c r="U99" i="40"/>
  <c r="W99" i="40"/>
  <c r="Y99" i="40"/>
  <c r="J99" i="40"/>
  <c r="L99" i="40"/>
  <c r="M99" i="40"/>
  <c r="N99" i="40"/>
  <c r="AA99" i="40"/>
  <c r="AE99" i="40"/>
  <c r="AB99" i="40"/>
  <c r="I99" i="40"/>
  <c r="T99" i="40"/>
  <c r="V99" i="40"/>
  <c r="X99" i="40"/>
  <c r="Z99" i="40"/>
  <c r="K99" i="40"/>
  <c r="O99" i="40"/>
  <c r="P99" i="40"/>
  <c r="Q99" i="40"/>
  <c r="AC99" i="40"/>
  <c r="R99" i="40"/>
  <c r="G99" i="40"/>
  <c r="AD99" i="40"/>
  <c r="AF99" i="40"/>
  <c r="H100" i="40"/>
  <c r="S100" i="40"/>
  <c r="U100" i="40"/>
  <c r="W100" i="40"/>
  <c r="Y100" i="40"/>
  <c r="J100" i="40"/>
  <c r="L100" i="40"/>
  <c r="M100" i="40"/>
  <c r="N100" i="40"/>
  <c r="AA100" i="40"/>
  <c r="AE100" i="40"/>
  <c r="AB100" i="40"/>
  <c r="I100" i="40"/>
  <c r="T100" i="40"/>
  <c r="V100" i="40"/>
  <c r="X100" i="40"/>
  <c r="Z100" i="40"/>
  <c r="K100" i="40"/>
  <c r="O100" i="40"/>
  <c r="P100" i="40"/>
  <c r="Q100" i="40"/>
  <c r="AC100" i="40"/>
  <c r="R100" i="40"/>
  <c r="G100" i="40"/>
  <c r="AD100" i="40"/>
  <c r="AF100" i="40"/>
  <c r="H101" i="40"/>
  <c r="S101" i="40"/>
  <c r="U101" i="40"/>
  <c r="W101" i="40"/>
  <c r="Y101" i="40"/>
  <c r="J101" i="40"/>
  <c r="L101" i="40"/>
  <c r="M101" i="40"/>
  <c r="N101" i="40"/>
  <c r="AA101" i="40"/>
  <c r="AE101" i="40"/>
  <c r="AB101" i="40"/>
  <c r="I101" i="40"/>
  <c r="T101" i="40"/>
  <c r="V101" i="40"/>
  <c r="X101" i="40"/>
  <c r="Z101" i="40"/>
  <c r="K101" i="40"/>
  <c r="O101" i="40"/>
  <c r="P101" i="40"/>
  <c r="Q101" i="40"/>
  <c r="AC101" i="40"/>
  <c r="R101" i="40"/>
  <c r="G101" i="40"/>
  <c r="AD101" i="40"/>
  <c r="AF101" i="40"/>
  <c r="H102" i="40"/>
  <c r="S102" i="40"/>
  <c r="U102" i="40"/>
  <c r="W102" i="40"/>
  <c r="Y102" i="40"/>
  <c r="J102" i="40"/>
  <c r="L102" i="40"/>
  <c r="M102" i="40"/>
  <c r="N102" i="40"/>
  <c r="AA102" i="40"/>
  <c r="AE102" i="40"/>
  <c r="AB102" i="40"/>
  <c r="I102" i="40"/>
  <c r="T102" i="40"/>
  <c r="V102" i="40"/>
  <c r="X102" i="40"/>
  <c r="Z102" i="40"/>
  <c r="K102" i="40"/>
  <c r="O102" i="40"/>
  <c r="P102" i="40"/>
  <c r="Q102" i="40"/>
  <c r="AC102" i="40"/>
  <c r="R102" i="40"/>
  <c r="G102" i="40"/>
  <c r="AD102" i="40"/>
  <c r="AF102" i="40"/>
  <c r="H103" i="40"/>
  <c r="S103" i="40"/>
  <c r="U103" i="40"/>
  <c r="W103" i="40"/>
  <c r="Y103" i="40"/>
  <c r="J103" i="40"/>
  <c r="L103" i="40"/>
  <c r="M103" i="40"/>
  <c r="N103" i="40"/>
  <c r="AA103" i="40"/>
  <c r="AE103" i="40"/>
  <c r="AB103" i="40"/>
  <c r="I103" i="40"/>
  <c r="T103" i="40"/>
  <c r="V103" i="40"/>
  <c r="X103" i="40"/>
  <c r="Z103" i="40"/>
  <c r="K103" i="40"/>
  <c r="O103" i="40"/>
  <c r="P103" i="40"/>
  <c r="Q103" i="40"/>
  <c r="AC103" i="40"/>
  <c r="R103" i="40"/>
  <c r="G103" i="40"/>
  <c r="AD103" i="40"/>
  <c r="AF103" i="40"/>
  <c r="H104" i="40"/>
  <c r="S104" i="40"/>
  <c r="U104" i="40"/>
  <c r="W104" i="40"/>
  <c r="Y104" i="40"/>
  <c r="J104" i="40"/>
  <c r="L104" i="40"/>
  <c r="M104" i="40"/>
  <c r="N104" i="40"/>
  <c r="AA104" i="40"/>
  <c r="AE104" i="40"/>
  <c r="AB104" i="40"/>
  <c r="I104" i="40"/>
  <c r="T104" i="40"/>
  <c r="V104" i="40"/>
  <c r="X104" i="40"/>
  <c r="Z104" i="40"/>
  <c r="K104" i="40"/>
  <c r="O104" i="40"/>
  <c r="P104" i="40"/>
  <c r="Q104" i="40"/>
  <c r="AC104" i="40"/>
  <c r="R104" i="40"/>
  <c r="G104" i="40"/>
  <c r="AD104" i="40"/>
  <c r="AF104" i="40"/>
  <c r="H105" i="40"/>
  <c r="S105" i="40"/>
  <c r="U105" i="40"/>
  <c r="W105" i="40"/>
  <c r="Y105" i="40"/>
  <c r="J105" i="40"/>
  <c r="L105" i="40"/>
  <c r="M105" i="40"/>
  <c r="N105" i="40"/>
  <c r="AA105" i="40"/>
  <c r="AE105" i="40"/>
  <c r="AB105" i="40"/>
  <c r="I105" i="40"/>
  <c r="T105" i="40"/>
  <c r="V105" i="40"/>
  <c r="X105" i="40"/>
  <c r="Z105" i="40"/>
  <c r="K105" i="40"/>
  <c r="O105" i="40"/>
  <c r="P105" i="40"/>
  <c r="Q105" i="40"/>
  <c r="AC105" i="40"/>
  <c r="R105" i="40"/>
  <c r="G105" i="40"/>
  <c r="AD105" i="40"/>
  <c r="AF105" i="40"/>
  <c r="H106" i="40"/>
  <c r="S106" i="40"/>
  <c r="U106" i="40"/>
  <c r="W106" i="40"/>
  <c r="Y106" i="40"/>
  <c r="J106" i="40"/>
  <c r="L106" i="40"/>
  <c r="M106" i="40"/>
  <c r="N106" i="40"/>
  <c r="AA106" i="40"/>
  <c r="AE106" i="40"/>
  <c r="AB106" i="40"/>
  <c r="I106" i="40"/>
  <c r="T106" i="40"/>
  <c r="V106" i="40"/>
  <c r="X106" i="40"/>
  <c r="Z106" i="40"/>
  <c r="K106" i="40"/>
  <c r="O106" i="40"/>
  <c r="P106" i="40"/>
  <c r="Q106" i="40"/>
  <c r="AC106" i="40"/>
  <c r="R106" i="40"/>
  <c r="G106" i="40"/>
  <c r="AD106" i="40"/>
  <c r="AF106" i="40"/>
  <c r="H107" i="40"/>
  <c r="S107" i="40"/>
  <c r="U107" i="40"/>
  <c r="W107" i="40"/>
  <c r="Y107" i="40"/>
  <c r="J107" i="40"/>
  <c r="L107" i="40"/>
  <c r="M107" i="40"/>
  <c r="N107" i="40"/>
  <c r="AA107" i="40"/>
  <c r="AE107" i="40"/>
  <c r="AB107" i="40"/>
  <c r="I107" i="40"/>
  <c r="T107" i="40"/>
  <c r="V107" i="40"/>
  <c r="X107" i="40"/>
  <c r="Z107" i="40"/>
  <c r="K107" i="40"/>
  <c r="O107" i="40"/>
  <c r="P107" i="40"/>
  <c r="Q107" i="40"/>
  <c r="AC107" i="40"/>
  <c r="R107" i="40"/>
  <c r="G107" i="40"/>
  <c r="AD107" i="40"/>
  <c r="AF107" i="40"/>
  <c r="H108" i="40"/>
  <c r="S108" i="40"/>
  <c r="U108" i="40"/>
  <c r="W108" i="40"/>
  <c r="Y108" i="40"/>
  <c r="J108" i="40"/>
  <c r="L108" i="40"/>
  <c r="M108" i="40"/>
  <c r="N108" i="40"/>
  <c r="AA108" i="40"/>
  <c r="AE108" i="40"/>
  <c r="AB108" i="40"/>
  <c r="I108" i="40"/>
  <c r="T108" i="40"/>
  <c r="V108" i="40"/>
  <c r="X108" i="40"/>
  <c r="Z108" i="40"/>
  <c r="K108" i="40"/>
  <c r="O108" i="40"/>
  <c r="P108" i="40"/>
  <c r="Q108" i="40"/>
  <c r="AC108" i="40"/>
  <c r="R108" i="40"/>
  <c r="G108" i="40"/>
  <c r="AD108" i="40"/>
  <c r="AF108" i="40"/>
  <c r="H109" i="40"/>
  <c r="S109" i="40"/>
  <c r="U109" i="40"/>
  <c r="W109" i="40"/>
  <c r="Y109" i="40"/>
  <c r="J109" i="40"/>
  <c r="L109" i="40"/>
  <c r="M109" i="40"/>
  <c r="N109" i="40"/>
  <c r="AA109" i="40"/>
  <c r="AE109" i="40"/>
  <c r="AB109" i="40"/>
  <c r="I109" i="40"/>
  <c r="T109" i="40"/>
  <c r="V109" i="40"/>
  <c r="X109" i="40"/>
  <c r="Z109" i="40"/>
  <c r="K109" i="40"/>
  <c r="O109" i="40"/>
  <c r="P109" i="40"/>
  <c r="Q109" i="40"/>
  <c r="AC109" i="40"/>
  <c r="R109" i="40"/>
  <c r="G109" i="40"/>
  <c r="AD109" i="40"/>
  <c r="AF109" i="40"/>
  <c r="H110" i="40"/>
  <c r="S110" i="40"/>
  <c r="U110" i="40"/>
  <c r="W110" i="40"/>
  <c r="Y110" i="40"/>
  <c r="J110" i="40"/>
  <c r="L110" i="40"/>
  <c r="M110" i="40"/>
  <c r="N110" i="40"/>
  <c r="AA110" i="40"/>
  <c r="AE110" i="40"/>
  <c r="AB110" i="40"/>
  <c r="I110" i="40"/>
  <c r="T110" i="40"/>
  <c r="V110" i="40"/>
  <c r="X110" i="40"/>
  <c r="Z110" i="40"/>
  <c r="K110" i="40"/>
  <c r="O110" i="40"/>
  <c r="P110" i="40"/>
  <c r="Q110" i="40"/>
  <c r="AC110" i="40"/>
  <c r="R110" i="40"/>
  <c r="G110" i="40"/>
  <c r="AD110" i="40"/>
  <c r="AF110" i="40"/>
  <c r="H111" i="40"/>
  <c r="S111" i="40"/>
  <c r="U111" i="40"/>
  <c r="W111" i="40"/>
  <c r="Y111" i="40"/>
  <c r="J111" i="40"/>
  <c r="L111" i="40"/>
  <c r="M111" i="40"/>
  <c r="N111" i="40"/>
  <c r="AA111" i="40"/>
  <c r="AE111" i="40"/>
  <c r="AB111" i="40"/>
  <c r="I111" i="40"/>
  <c r="T111" i="40"/>
  <c r="V111" i="40"/>
  <c r="X111" i="40"/>
  <c r="Z111" i="40"/>
  <c r="K111" i="40"/>
  <c r="O111" i="40"/>
  <c r="P111" i="40"/>
  <c r="Q111" i="40"/>
  <c r="AC111" i="40"/>
  <c r="R111" i="40"/>
  <c r="G111" i="40"/>
  <c r="AD111" i="40"/>
  <c r="AF111" i="40"/>
  <c r="H112" i="40"/>
  <c r="S112" i="40"/>
  <c r="U112" i="40"/>
  <c r="W112" i="40"/>
  <c r="Y112" i="40"/>
  <c r="J112" i="40"/>
  <c r="L112" i="40"/>
  <c r="M112" i="40"/>
  <c r="N112" i="40"/>
  <c r="AA112" i="40"/>
  <c r="AE112" i="40"/>
  <c r="AB112" i="40"/>
  <c r="I112" i="40"/>
  <c r="T112" i="40"/>
  <c r="V112" i="40"/>
  <c r="X112" i="40"/>
  <c r="Z112" i="40"/>
  <c r="K112" i="40"/>
  <c r="O112" i="40"/>
  <c r="P112" i="40"/>
  <c r="Q112" i="40"/>
  <c r="AC112" i="40"/>
  <c r="R112" i="40"/>
  <c r="G112" i="40"/>
  <c r="AD112" i="40"/>
  <c r="AF112" i="40"/>
  <c r="H113" i="40"/>
  <c r="S113" i="40"/>
  <c r="U113" i="40"/>
  <c r="W113" i="40"/>
  <c r="Y113" i="40"/>
  <c r="J113" i="40"/>
  <c r="L113" i="40"/>
  <c r="M113" i="40"/>
  <c r="N113" i="40"/>
  <c r="AA113" i="40"/>
  <c r="AE113" i="40"/>
  <c r="AB113" i="40"/>
  <c r="I113" i="40"/>
  <c r="T113" i="40"/>
  <c r="V113" i="40"/>
  <c r="X113" i="40"/>
  <c r="Z113" i="40"/>
  <c r="K113" i="40"/>
  <c r="O113" i="40"/>
  <c r="P113" i="40"/>
  <c r="Q113" i="40"/>
  <c r="AC113" i="40"/>
  <c r="R113" i="40"/>
  <c r="G113" i="40"/>
  <c r="AD113" i="40"/>
  <c r="AF113" i="40"/>
  <c r="H114" i="40"/>
  <c r="S114" i="40"/>
  <c r="U114" i="40"/>
  <c r="W114" i="40"/>
  <c r="Y114" i="40"/>
  <c r="J114" i="40"/>
  <c r="L114" i="40"/>
  <c r="M114" i="40"/>
  <c r="N114" i="40"/>
  <c r="AA114" i="40"/>
  <c r="AE114" i="40"/>
  <c r="AB114" i="40"/>
  <c r="I114" i="40"/>
  <c r="T114" i="40"/>
  <c r="V114" i="40"/>
  <c r="X114" i="40"/>
  <c r="Z114" i="40"/>
  <c r="K114" i="40"/>
  <c r="O114" i="40"/>
  <c r="P114" i="40"/>
  <c r="Q114" i="40"/>
  <c r="AC114" i="40"/>
  <c r="R114" i="40"/>
  <c r="G114" i="40"/>
  <c r="AD114" i="40"/>
  <c r="AF114" i="40"/>
  <c r="H115" i="40"/>
  <c r="S115" i="40"/>
  <c r="U115" i="40"/>
  <c r="W115" i="40"/>
  <c r="Y115" i="40"/>
  <c r="J115" i="40"/>
  <c r="L115" i="40"/>
  <c r="M115" i="40"/>
  <c r="N115" i="40"/>
  <c r="AA115" i="40"/>
  <c r="AE115" i="40"/>
  <c r="AB115" i="40"/>
  <c r="I115" i="40"/>
  <c r="T115" i="40"/>
  <c r="V115" i="40"/>
  <c r="X115" i="40"/>
  <c r="Z115" i="40"/>
  <c r="K115" i="40"/>
  <c r="O115" i="40"/>
  <c r="P115" i="40"/>
  <c r="Q115" i="40"/>
  <c r="AC115" i="40"/>
  <c r="R115" i="40"/>
  <c r="G115" i="40"/>
  <c r="AD115" i="40"/>
  <c r="AF115" i="40"/>
  <c r="H116" i="40"/>
  <c r="S116" i="40"/>
  <c r="U116" i="40"/>
  <c r="W116" i="40"/>
  <c r="Y116" i="40"/>
  <c r="J116" i="40"/>
  <c r="L116" i="40"/>
  <c r="M116" i="40"/>
  <c r="N116" i="40"/>
  <c r="AA116" i="40"/>
  <c r="AE116" i="40"/>
  <c r="AB116" i="40"/>
  <c r="I116" i="40"/>
  <c r="T116" i="40"/>
  <c r="V116" i="40"/>
  <c r="X116" i="40"/>
  <c r="Z116" i="40"/>
  <c r="K116" i="40"/>
  <c r="O116" i="40"/>
  <c r="P116" i="40"/>
  <c r="Q116" i="40"/>
  <c r="AC116" i="40"/>
  <c r="R116" i="40"/>
  <c r="G116" i="40"/>
  <c r="AD116" i="40"/>
  <c r="AF116" i="40"/>
  <c r="H117" i="40"/>
  <c r="S117" i="40"/>
  <c r="U117" i="40"/>
  <c r="W117" i="40"/>
  <c r="Y117" i="40"/>
  <c r="J117" i="40"/>
  <c r="L117" i="40"/>
  <c r="M117" i="40"/>
  <c r="N117" i="40"/>
  <c r="AA117" i="40"/>
  <c r="AE117" i="40"/>
  <c r="AB117" i="40"/>
  <c r="I117" i="40"/>
  <c r="T117" i="40"/>
  <c r="V117" i="40"/>
  <c r="X117" i="40"/>
  <c r="Z117" i="40"/>
  <c r="K117" i="40"/>
  <c r="O117" i="40"/>
  <c r="P117" i="40"/>
  <c r="Q117" i="40"/>
  <c r="AC117" i="40"/>
  <c r="R117" i="40"/>
  <c r="G117" i="40"/>
  <c r="AD117" i="40"/>
  <c r="AF117" i="40"/>
  <c r="H118" i="40"/>
  <c r="S118" i="40"/>
  <c r="U118" i="40"/>
  <c r="W118" i="40"/>
  <c r="Y118" i="40"/>
  <c r="J118" i="40"/>
  <c r="L118" i="40"/>
  <c r="M118" i="40"/>
  <c r="N118" i="40"/>
  <c r="AA118" i="40"/>
  <c r="AE118" i="40"/>
  <c r="AB118" i="40"/>
  <c r="I118" i="40"/>
  <c r="T118" i="40"/>
  <c r="V118" i="40"/>
  <c r="X118" i="40"/>
  <c r="Z118" i="40"/>
  <c r="K118" i="40"/>
  <c r="O118" i="40"/>
  <c r="P118" i="40"/>
  <c r="Q118" i="40"/>
  <c r="AC118" i="40"/>
  <c r="R118" i="40"/>
  <c r="G118" i="40"/>
  <c r="AD118" i="40"/>
  <c r="AF118" i="40"/>
  <c r="H119" i="40"/>
  <c r="S119" i="40"/>
  <c r="U119" i="40"/>
  <c r="W119" i="40"/>
  <c r="Y119" i="40"/>
  <c r="J119" i="40"/>
  <c r="L119" i="40"/>
  <c r="M119" i="40"/>
  <c r="N119" i="40"/>
  <c r="AA119" i="40"/>
  <c r="AE119" i="40"/>
  <c r="AB119" i="40"/>
  <c r="I119" i="40"/>
  <c r="T119" i="40"/>
  <c r="V119" i="40"/>
  <c r="X119" i="40"/>
  <c r="Z119" i="40"/>
  <c r="K119" i="40"/>
  <c r="O119" i="40"/>
  <c r="P119" i="40"/>
  <c r="Q119" i="40"/>
  <c r="AC119" i="40"/>
  <c r="R119" i="40"/>
  <c r="G119" i="40"/>
  <c r="AD119" i="40"/>
  <c r="AF119" i="40"/>
  <c r="H120" i="40"/>
  <c r="S120" i="40"/>
  <c r="U120" i="40"/>
  <c r="W120" i="40"/>
  <c r="Y120" i="40"/>
  <c r="J120" i="40"/>
  <c r="L120" i="40"/>
  <c r="M120" i="40"/>
  <c r="N120" i="40"/>
  <c r="AA120" i="40"/>
  <c r="AE120" i="40"/>
  <c r="AB120" i="40"/>
  <c r="I120" i="40"/>
  <c r="T120" i="40"/>
  <c r="V120" i="40"/>
  <c r="X120" i="40"/>
  <c r="Z120" i="40"/>
  <c r="K120" i="40"/>
  <c r="O120" i="40"/>
  <c r="P120" i="40"/>
  <c r="Q120" i="40"/>
  <c r="AC120" i="40"/>
  <c r="R120" i="40"/>
  <c r="G120" i="40"/>
  <c r="AD120" i="40"/>
  <c r="AF120" i="40"/>
  <c r="H121" i="40"/>
  <c r="S121" i="40"/>
  <c r="U121" i="40"/>
  <c r="W121" i="40"/>
  <c r="Y121" i="40"/>
  <c r="J121" i="40"/>
  <c r="L121" i="40"/>
  <c r="M121" i="40"/>
  <c r="N121" i="40"/>
  <c r="AA121" i="40"/>
  <c r="AE121" i="40"/>
  <c r="AB121" i="40"/>
  <c r="I121" i="40"/>
  <c r="T121" i="40"/>
  <c r="V121" i="40"/>
  <c r="X121" i="40"/>
  <c r="Z121" i="40"/>
  <c r="K121" i="40"/>
  <c r="O121" i="40"/>
  <c r="P121" i="40"/>
  <c r="Q121" i="40"/>
  <c r="AC121" i="40"/>
  <c r="R121" i="40"/>
  <c r="G121" i="40"/>
  <c r="AD121" i="40"/>
  <c r="AF121" i="40"/>
  <c r="H122" i="40"/>
  <c r="S122" i="40"/>
  <c r="U122" i="40"/>
  <c r="W122" i="40"/>
  <c r="Y122" i="40"/>
  <c r="J122" i="40"/>
  <c r="L122" i="40"/>
  <c r="M122" i="40"/>
  <c r="N122" i="40"/>
  <c r="AA122" i="40"/>
  <c r="AE122" i="40"/>
  <c r="AB122" i="40"/>
  <c r="I122" i="40"/>
  <c r="T122" i="40"/>
  <c r="V122" i="40"/>
  <c r="X122" i="40"/>
  <c r="Z122" i="40"/>
  <c r="K122" i="40"/>
  <c r="O122" i="40"/>
  <c r="P122" i="40"/>
  <c r="Q122" i="40"/>
  <c r="AC122" i="40"/>
  <c r="R122" i="40"/>
  <c r="G122" i="40"/>
  <c r="AD122" i="40"/>
  <c r="AF122" i="40"/>
  <c r="H123" i="40"/>
  <c r="S123" i="40"/>
  <c r="U123" i="40"/>
  <c r="W123" i="40"/>
  <c r="Y123" i="40"/>
  <c r="J123" i="40"/>
  <c r="L123" i="40"/>
  <c r="M123" i="40"/>
  <c r="N123" i="40"/>
  <c r="AA123" i="40"/>
  <c r="AE123" i="40"/>
  <c r="AB123" i="40"/>
  <c r="I123" i="40"/>
  <c r="T123" i="40"/>
  <c r="V123" i="40"/>
  <c r="X123" i="40"/>
  <c r="Z123" i="40"/>
  <c r="K123" i="40"/>
  <c r="O123" i="40"/>
  <c r="P123" i="40"/>
  <c r="Q123" i="40"/>
  <c r="AC123" i="40"/>
  <c r="R123" i="40"/>
  <c r="G123" i="40"/>
  <c r="AD123" i="40"/>
  <c r="AF123" i="40"/>
  <c r="H124" i="40"/>
  <c r="S124" i="40"/>
  <c r="U124" i="40"/>
  <c r="W124" i="40"/>
  <c r="Y124" i="40"/>
  <c r="J124" i="40"/>
  <c r="L124" i="40"/>
  <c r="M124" i="40"/>
  <c r="N124" i="40"/>
  <c r="AA124" i="40"/>
  <c r="AE124" i="40"/>
  <c r="AB124" i="40"/>
  <c r="I124" i="40"/>
  <c r="T124" i="40"/>
  <c r="V124" i="40"/>
  <c r="X124" i="40"/>
  <c r="Z124" i="40"/>
  <c r="K124" i="40"/>
  <c r="O124" i="40"/>
  <c r="P124" i="40"/>
  <c r="Q124" i="40"/>
  <c r="AC124" i="40"/>
  <c r="R124" i="40"/>
  <c r="G124" i="40"/>
  <c r="AD124" i="40"/>
  <c r="AF124" i="40"/>
  <c r="H125" i="40"/>
  <c r="S125" i="40"/>
  <c r="U125" i="40"/>
  <c r="W125" i="40"/>
  <c r="Y125" i="40"/>
  <c r="J125" i="40"/>
  <c r="L125" i="40"/>
  <c r="M125" i="40"/>
  <c r="N125" i="40"/>
  <c r="AA125" i="40"/>
  <c r="AE125" i="40"/>
  <c r="AB125" i="40"/>
  <c r="I125" i="40"/>
  <c r="T125" i="40"/>
  <c r="V125" i="40"/>
  <c r="X125" i="40"/>
  <c r="Z125" i="40"/>
  <c r="K125" i="40"/>
  <c r="O125" i="40"/>
  <c r="P125" i="40"/>
  <c r="Q125" i="40"/>
  <c r="AC125" i="40"/>
  <c r="R125" i="40"/>
  <c r="G125" i="40"/>
  <c r="AD125" i="40"/>
  <c r="AF125" i="40"/>
  <c r="H126" i="40"/>
  <c r="S126" i="40"/>
  <c r="U126" i="40"/>
  <c r="W126" i="40"/>
  <c r="Y126" i="40"/>
  <c r="J126" i="40"/>
  <c r="L126" i="40"/>
  <c r="M126" i="40"/>
  <c r="N126" i="40"/>
  <c r="AA126" i="40"/>
  <c r="AE126" i="40"/>
  <c r="AB126" i="40"/>
  <c r="I126" i="40"/>
  <c r="T126" i="40"/>
  <c r="V126" i="40"/>
  <c r="X126" i="40"/>
  <c r="Z126" i="40"/>
  <c r="K126" i="40"/>
  <c r="O126" i="40"/>
  <c r="P126" i="40"/>
  <c r="Q126" i="40"/>
  <c r="AC126" i="40"/>
  <c r="R126" i="40"/>
  <c r="G126" i="40"/>
  <c r="AD126" i="40"/>
  <c r="AF126" i="40"/>
  <c r="H127" i="40"/>
  <c r="S127" i="40"/>
  <c r="U127" i="40"/>
  <c r="W127" i="40"/>
  <c r="Y127" i="40"/>
  <c r="J127" i="40"/>
  <c r="L127" i="40"/>
  <c r="M127" i="40"/>
  <c r="N127" i="40"/>
  <c r="AA127" i="40"/>
  <c r="AE127" i="40"/>
  <c r="AB127" i="40"/>
  <c r="I127" i="40"/>
  <c r="T127" i="40"/>
  <c r="V127" i="40"/>
  <c r="X127" i="40"/>
  <c r="Z127" i="40"/>
  <c r="K127" i="40"/>
  <c r="O127" i="40"/>
  <c r="P127" i="40"/>
  <c r="Q127" i="40"/>
  <c r="AC127" i="40"/>
  <c r="R127" i="40"/>
  <c r="G127" i="40"/>
  <c r="AD127" i="40"/>
  <c r="AF127" i="40"/>
  <c r="H128" i="40"/>
  <c r="S128" i="40"/>
  <c r="U128" i="40"/>
  <c r="W128" i="40"/>
  <c r="Y128" i="40"/>
  <c r="J128" i="40"/>
  <c r="L128" i="40"/>
  <c r="M128" i="40"/>
  <c r="N128" i="40"/>
  <c r="AA128" i="40"/>
  <c r="AE128" i="40"/>
  <c r="AB128" i="40"/>
  <c r="I128" i="40"/>
  <c r="T128" i="40"/>
  <c r="V128" i="40"/>
  <c r="X128" i="40"/>
  <c r="Z128" i="40"/>
  <c r="K128" i="40"/>
  <c r="O128" i="40"/>
  <c r="P128" i="40"/>
  <c r="Q128" i="40"/>
  <c r="AC128" i="40"/>
  <c r="R128" i="40"/>
  <c r="G128" i="40"/>
  <c r="AD128" i="40"/>
  <c r="AF128" i="40"/>
  <c r="H129" i="40"/>
  <c r="S129" i="40"/>
  <c r="U129" i="40"/>
  <c r="W129" i="40"/>
  <c r="Y129" i="40"/>
  <c r="J129" i="40"/>
  <c r="L129" i="40"/>
  <c r="M129" i="40"/>
  <c r="N129" i="40"/>
  <c r="AA129" i="40"/>
  <c r="AE129" i="40"/>
  <c r="AB129" i="40"/>
  <c r="I129" i="40"/>
  <c r="T129" i="40"/>
  <c r="V129" i="40"/>
  <c r="X129" i="40"/>
  <c r="Z129" i="40"/>
  <c r="K129" i="40"/>
  <c r="O129" i="40"/>
  <c r="P129" i="40"/>
  <c r="Q129" i="40"/>
  <c r="AC129" i="40"/>
  <c r="R129" i="40"/>
  <c r="G129" i="40"/>
  <c r="AD129" i="40"/>
  <c r="AF129" i="40"/>
  <c r="H130" i="40"/>
  <c r="S130" i="40"/>
  <c r="U130" i="40"/>
  <c r="W130" i="40"/>
  <c r="Y130" i="40"/>
  <c r="J130" i="40"/>
  <c r="L130" i="40"/>
  <c r="M130" i="40"/>
  <c r="N130" i="40"/>
  <c r="AA130" i="40"/>
  <c r="AE130" i="40"/>
  <c r="AB130" i="40"/>
  <c r="I130" i="40"/>
  <c r="T130" i="40"/>
  <c r="V130" i="40"/>
  <c r="X130" i="40"/>
  <c r="Z130" i="40"/>
  <c r="K130" i="40"/>
  <c r="O130" i="40"/>
  <c r="P130" i="40"/>
  <c r="Q130" i="40"/>
  <c r="AC130" i="40"/>
  <c r="R130" i="40"/>
  <c r="G130" i="40"/>
  <c r="AD130" i="40"/>
  <c r="AF130" i="40"/>
  <c r="H131" i="40"/>
  <c r="S131" i="40"/>
  <c r="U131" i="40"/>
  <c r="W131" i="40"/>
  <c r="Y131" i="40"/>
  <c r="J131" i="40"/>
  <c r="L131" i="40"/>
  <c r="M131" i="40"/>
  <c r="N131" i="40"/>
  <c r="AA131" i="40"/>
  <c r="AE131" i="40"/>
  <c r="AB131" i="40"/>
  <c r="I131" i="40"/>
  <c r="T131" i="40"/>
  <c r="V131" i="40"/>
  <c r="X131" i="40"/>
  <c r="Z131" i="40"/>
  <c r="K131" i="40"/>
  <c r="O131" i="40"/>
  <c r="P131" i="40"/>
  <c r="Q131" i="40"/>
  <c r="AC131" i="40"/>
  <c r="R131" i="40"/>
  <c r="G131" i="40"/>
  <c r="AD131" i="40"/>
  <c r="AF131" i="40"/>
  <c r="H132" i="40"/>
  <c r="S132" i="40"/>
  <c r="U132" i="40"/>
  <c r="W132" i="40"/>
  <c r="Y132" i="40"/>
  <c r="J132" i="40"/>
  <c r="L132" i="40"/>
  <c r="M132" i="40"/>
  <c r="N132" i="40"/>
  <c r="AA132" i="40"/>
  <c r="AE132" i="40"/>
  <c r="AB132" i="40"/>
  <c r="I132" i="40"/>
  <c r="T132" i="40"/>
  <c r="V132" i="40"/>
  <c r="X132" i="40"/>
  <c r="Z132" i="40"/>
  <c r="K132" i="40"/>
  <c r="O132" i="40"/>
  <c r="P132" i="40"/>
  <c r="Q132" i="40"/>
  <c r="AC132" i="40"/>
  <c r="R132" i="40"/>
  <c r="G132" i="40"/>
  <c r="AD132" i="40"/>
  <c r="AF132" i="40"/>
  <c r="H133" i="40"/>
  <c r="S133" i="40"/>
  <c r="U133" i="40"/>
  <c r="W133" i="40"/>
  <c r="Y133" i="40"/>
  <c r="J133" i="40"/>
  <c r="L133" i="40"/>
  <c r="M133" i="40"/>
  <c r="N133" i="40"/>
  <c r="AA133" i="40"/>
  <c r="AE133" i="40"/>
  <c r="AB133" i="40"/>
  <c r="I133" i="40"/>
  <c r="T133" i="40"/>
  <c r="V133" i="40"/>
  <c r="X133" i="40"/>
  <c r="Z133" i="40"/>
  <c r="K133" i="40"/>
  <c r="O133" i="40"/>
  <c r="P133" i="40"/>
  <c r="Q133" i="40"/>
  <c r="AC133" i="40"/>
  <c r="R133" i="40"/>
  <c r="G133" i="40"/>
  <c r="AD133" i="40"/>
  <c r="AF133" i="40"/>
  <c r="H134" i="40"/>
  <c r="S134" i="40"/>
  <c r="U134" i="40"/>
  <c r="W134" i="40"/>
  <c r="Y134" i="40"/>
  <c r="J134" i="40"/>
  <c r="L134" i="40"/>
  <c r="M134" i="40"/>
  <c r="N134" i="40"/>
  <c r="AA134" i="40"/>
  <c r="AE134" i="40"/>
  <c r="AB134" i="40"/>
  <c r="I134" i="40"/>
  <c r="T134" i="40"/>
  <c r="V134" i="40"/>
  <c r="X134" i="40"/>
  <c r="Z134" i="40"/>
  <c r="K134" i="40"/>
  <c r="O134" i="40"/>
  <c r="P134" i="40"/>
  <c r="Q134" i="40"/>
  <c r="AC134" i="40"/>
  <c r="R134" i="40"/>
  <c r="G134" i="40"/>
  <c r="AD134" i="40"/>
  <c r="AF134" i="40"/>
  <c r="H135" i="40"/>
  <c r="S135" i="40"/>
  <c r="U135" i="40"/>
  <c r="W135" i="40"/>
  <c r="Y135" i="40"/>
  <c r="J135" i="40"/>
  <c r="L135" i="40"/>
  <c r="M135" i="40"/>
  <c r="N135" i="40"/>
  <c r="AA135" i="40"/>
  <c r="AE135" i="40"/>
  <c r="AB135" i="40"/>
  <c r="I135" i="40"/>
  <c r="T135" i="40"/>
  <c r="V135" i="40"/>
  <c r="X135" i="40"/>
  <c r="Z135" i="40"/>
  <c r="K135" i="40"/>
  <c r="O135" i="40"/>
  <c r="P135" i="40"/>
  <c r="Q135" i="40"/>
  <c r="AC135" i="40"/>
  <c r="R135" i="40"/>
  <c r="G135" i="40"/>
  <c r="AD135" i="40"/>
  <c r="AF135" i="40"/>
  <c r="H136" i="40"/>
  <c r="S136" i="40"/>
  <c r="U136" i="40"/>
  <c r="W136" i="40"/>
  <c r="Y136" i="40"/>
  <c r="J136" i="40"/>
  <c r="L136" i="40"/>
  <c r="M136" i="40"/>
  <c r="N136" i="40"/>
  <c r="AA136" i="40"/>
  <c r="AE136" i="40"/>
  <c r="AB136" i="40"/>
  <c r="I136" i="40"/>
  <c r="T136" i="40"/>
  <c r="V136" i="40"/>
  <c r="X136" i="40"/>
  <c r="Z136" i="40"/>
  <c r="K136" i="40"/>
  <c r="O136" i="40"/>
  <c r="P136" i="40"/>
  <c r="Q136" i="40"/>
  <c r="AC136" i="40"/>
  <c r="R136" i="40"/>
  <c r="G136" i="40"/>
  <c r="AD136" i="40"/>
  <c r="AF136" i="40"/>
  <c r="H137" i="40"/>
  <c r="S137" i="40"/>
  <c r="U137" i="40"/>
  <c r="W137" i="40"/>
  <c r="Y137" i="40"/>
  <c r="J137" i="40"/>
  <c r="L137" i="40"/>
  <c r="M137" i="40"/>
  <c r="N137" i="40"/>
  <c r="AA137" i="40"/>
  <c r="AE137" i="40"/>
  <c r="AB137" i="40"/>
  <c r="I137" i="40"/>
  <c r="T137" i="40"/>
  <c r="V137" i="40"/>
  <c r="X137" i="40"/>
  <c r="Z137" i="40"/>
  <c r="K137" i="40"/>
  <c r="O137" i="40"/>
  <c r="P137" i="40"/>
  <c r="Q137" i="40"/>
  <c r="AC137" i="40"/>
  <c r="R137" i="40"/>
  <c r="G137" i="40"/>
  <c r="AD137" i="40"/>
  <c r="AF137" i="40"/>
  <c r="H138" i="40"/>
  <c r="S138" i="40"/>
  <c r="U138" i="40"/>
  <c r="W138" i="40"/>
  <c r="Y138" i="40"/>
  <c r="J138" i="40"/>
  <c r="L138" i="40"/>
  <c r="M138" i="40"/>
  <c r="N138" i="40"/>
  <c r="AA138" i="40"/>
  <c r="AE138" i="40"/>
  <c r="AB138" i="40"/>
  <c r="I138" i="40"/>
  <c r="T138" i="40"/>
  <c r="V138" i="40"/>
  <c r="X138" i="40"/>
  <c r="Z138" i="40"/>
  <c r="K138" i="40"/>
  <c r="O138" i="40"/>
  <c r="P138" i="40"/>
  <c r="Q138" i="40"/>
  <c r="AC138" i="40"/>
  <c r="R138" i="40"/>
  <c r="G138" i="40"/>
  <c r="AD138" i="40"/>
  <c r="AF138" i="40"/>
  <c r="H139" i="40"/>
  <c r="S139" i="40"/>
  <c r="U139" i="40"/>
  <c r="W139" i="40"/>
  <c r="Y139" i="40"/>
  <c r="J139" i="40"/>
  <c r="L139" i="40"/>
  <c r="M139" i="40"/>
  <c r="N139" i="40"/>
  <c r="AA139" i="40"/>
  <c r="AE139" i="40"/>
  <c r="AB139" i="40"/>
  <c r="I139" i="40"/>
  <c r="T139" i="40"/>
  <c r="V139" i="40"/>
  <c r="X139" i="40"/>
  <c r="Z139" i="40"/>
  <c r="K139" i="40"/>
  <c r="O139" i="40"/>
  <c r="P139" i="40"/>
  <c r="Q139" i="40"/>
  <c r="AC139" i="40"/>
  <c r="R139" i="40"/>
  <c r="G139" i="40"/>
  <c r="AD139" i="40"/>
  <c r="AF139" i="40"/>
  <c r="H140" i="40"/>
  <c r="S140" i="40"/>
  <c r="U140" i="40"/>
  <c r="W140" i="40"/>
  <c r="Y140" i="40"/>
  <c r="J140" i="40"/>
  <c r="L140" i="40"/>
  <c r="M140" i="40"/>
  <c r="N140" i="40"/>
  <c r="AA140" i="40"/>
  <c r="AE140" i="40"/>
  <c r="AB140" i="40"/>
  <c r="I140" i="40"/>
  <c r="T140" i="40"/>
  <c r="V140" i="40"/>
  <c r="X140" i="40"/>
  <c r="Z140" i="40"/>
  <c r="K140" i="40"/>
  <c r="O140" i="40"/>
  <c r="P140" i="40"/>
  <c r="Q140" i="40"/>
  <c r="AC140" i="40"/>
  <c r="R140" i="40"/>
  <c r="G140" i="40"/>
  <c r="AD140" i="40"/>
  <c r="AF140" i="40"/>
  <c r="H141" i="40"/>
  <c r="S141" i="40"/>
  <c r="U141" i="40"/>
  <c r="W141" i="40"/>
  <c r="Y141" i="40"/>
  <c r="J141" i="40"/>
  <c r="L141" i="40"/>
  <c r="M141" i="40"/>
  <c r="N141" i="40"/>
  <c r="AA141" i="40"/>
  <c r="AE141" i="40"/>
  <c r="AB141" i="40"/>
  <c r="I141" i="40"/>
  <c r="T141" i="40"/>
  <c r="V141" i="40"/>
  <c r="X141" i="40"/>
  <c r="Z141" i="40"/>
  <c r="K141" i="40"/>
  <c r="O141" i="40"/>
  <c r="P141" i="40"/>
  <c r="Q141" i="40"/>
  <c r="AC141" i="40"/>
  <c r="R141" i="40"/>
  <c r="G141" i="40"/>
  <c r="AD141" i="40"/>
  <c r="AF141" i="40"/>
  <c r="H142" i="40"/>
  <c r="S142" i="40"/>
  <c r="U142" i="40"/>
  <c r="W142" i="40"/>
  <c r="Y142" i="40"/>
  <c r="J142" i="40"/>
  <c r="L142" i="40"/>
  <c r="M142" i="40"/>
  <c r="N142" i="40"/>
  <c r="AA142" i="40"/>
  <c r="AE142" i="40"/>
  <c r="AB142" i="40"/>
  <c r="I142" i="40"/>
  <c r="T142" i="40"/>
  <c r="V142" i="40"/>
  <c r="X142" i="40"/>
  <c r="Z142" i="40"/>
  <c r="K142" i="40"/>
  <c r="O142" i="40"/>
  <c r="P142" i="40"/>
  <c r="Q142" i="40"/>
  <c r="AC142" i="40"/>
  <c r="R142" i="40"/>
  <c r="G142" i="40"/>
  <c r="AD142" i="40"/>
  <c r="AF142" i="40"/>
  <c r="H143" i="40"/>
  <c r="S143" i="40"/>
  <c r="U143" i="40"/>
  <c r="W143" i="40"/>
  <c r="Y143" i="40"/>
  <c r="J143" i="40"/>
  <c r="L143" i="40"/>
  <c r="M143" i="40"/>
  <c r="N143" i="40"/>
  <c r="AA143" i="40"/>
  <c r="AE143" i="40"/>
  <c r="AB143" i="40"/>
  <c r="I143" i="40"/>
  <c r="T143" i="40"/>
  <c r="V143" i="40"/>
  <c r="X143" i="40"/>
  <c r="Z143" i="40"/>
  <c r="K143" i="40"/>
  <c r="O143" i="40"/>
  <c r="P143" i="40"/>
  <c r="Q143" i="40"/>
  <c r="AC143" i="40"/>
  <c r="R143" i="40"/>
  <c r="G143" i="40"/>
  <c r="AD143" i="40"/>
  <c r="AF143" i="40"/>
  <c r="H144" i="40"/>
  <c r="S144" i="40"/>
  <c r="U144" i="40"/>
  <c r="W144" i="40"/>
  <c r="Y144" i="40"/>
  <c r="J144" i="40"/>
  <c r="L144" i="40"/>
  <c r="M144" i="40"/>
  <c r="N144" i="40"/>
  <c r="AA144" i="40"/>
  <c r="AE144" i="40"/>
  <c r="AB144" i="40"/>
  <c r="I144" i="40"/>
  <c r="T144" i="40"/>
  <c r="V144" i="40"/>
  <c r="X144" i="40"/>
  <c r="Z144" i="40"/>
  <c r="K144" i="40"/>
  <c r="O144" i="40"/>
  <c r="P144" i="40"/>
  <c r="Q144" i="40"/>
  <c r="AC144" i="40"/>
  <c r="R144" i="40"/>
  <c r="G144" i="40"/>
  <c r="AD144" i="40"/>
  <c r="AF144" i="40"/>
  <c r="H145" i="40"/>
  <c r="S145" i="40"/>
  <c r="U145" i="40"/>
  <c r="W145" i="40"/>
  <c r="Y145" i="40"/>
  <c r="J145" i="40"/>
  <c r="L145" i="40"/>
  <c r="M145" i="40"/>
  <c r="N145" i="40"/>
  <c r="AA145" i="40"/>
  <c r="AE145" i="40"/>
  <c r="AB145" i="40"/>
  <c r="I145" i="40"/>
  <c r="T145" i="40"/>
  <c r="V145" i="40"/>
  <c r="X145" i="40"/>
  <c r="Z145" i="40"/>
  <c r="K145" i="40"/>
  <c r="O145" i="40"/>
  <c r="P145" i="40"/>
  <c r="Q145" i="40"/>
  <c r="AC145" i="40"/>
  <c r="R145" i="40"/>
  <c r="G145" i="40"/>
  <c r="AD145" i="40"/>
  <c r="AF145" i="40"/>
  <c r="H146" i="40"/>
  <c r="S146" i="40"/>
  <c r="U146" i="40"/>
  <c r="W146" i="40"/>
  <c r="Y146" i="40"/>
  <c r="J146" i="40"/>
  <c r="L146" i="40"/>
  <c r="M146" i="40"/>
  <c r="N146" i="40"/>
  <c r="AA146" i="40"/>
  <c r="AE146" i="40"/>
  <c r="AB146" i="40"/>
  <c r="I146" i="40"/>
  <c r="T146" i="40"/>
  <c r="V146" i="40"/>
  <c r="X146" i="40"/>
  <c r="Z146" i="40"/>
  <c r="K146" i="40"/>
  <c r="O146" i="40"/>
  <c r="P146" i="40"/>
  <c r="Q146" i="40"/>
  <c r="AC146" i="40"/>
  <c r="R146" i="40"/>
  <c r="G146" i="40"/>
  <c r="AD146" i="40"/>
  <c r="AF146" i="40"/>
  <c r="H147" i="40"/>
  <c r="S147" i="40"/>
  <c r="U147" i="40"/>
  <c r="W147" i="40"/>
  <c r="Y147" i="40"/>
  <c r="J147" i="40"/>
  <c r="L147" i="40"/>
  <c r="M147" i="40"/>
  <c r="N147" i="40"/>
  <c r="AA147" i="40"/>
  <c r="AE147" i="40"/>
  <c r="AB147" i="40"/>
  <c r="I147" i="40"/>
  <c r="T147" i="40"/>
  <c r="V147" i="40"/>
  <c r="X147" i="40"/>
  <c r="Z147" i="40"/>
  <c r="K147" i="40"/>
  <c r="O147" i="40"/>
  <c r="P147" i="40"/>
  <c r="Q147" i="40"/>
  <c r="AC147" i="40"/>
  <c r="R147" i="40"/>
  <c r="G147" i="40"/>
  <c r="AD147" i="40"/>
  <c r="AF147" i="40"/>
  <c r="H148" i="40"/>
  <c r="S148" i="40"/>
  <c r="U148" i="40"/>
  <c r="W148" i="40"/>
  <c r="Y148" i="40"/>
  <c r="J148" i="40"/>
  <c r="L148" i="40"/>
  <c r="M148" i="40"/>
  <c r="N148" i="40"/>
  <c r="AA148" i="40"/>
  <c r="AE148" i="40"/>
  <c r="AB148" i="40"/>
  <c r="I148" i="40"/>
  <c r="T148" i="40"/>
  <c r="V148" i="40"/>
  <c r="X148" i="40"/>
  <c r="Z148" i="40"/>
  <c r="K148" i="40"/>
  <c r="O148" i="40"/>
  <c r="P148" i="40"/>
  <c r="Q148" i="40"/>
  <c r="AC148" i="40"/>
  <c r="R148" i="40"/>
  <c r="G148" i="40"/>
  <c r="AD148" i="40"/>
  <c r="AF148" i="40"/>
  <c r="H149" i="40"/>
  <c r="S149" i="40"/>
  <c r="U149" i="40"/>
  <c r="W149" i="40"/>
  <c r="Y149" i="40"/>
  <c r="J149" i="40"/>
  <c r="L149" i="40"/>
  <c r="M149" i="40"/>
  <c r="N149" i="40"/>
  <c r="AA149" i="40"/>
  <c r="AE149" i="40"/>
  <c r="AB149" i="40"/>
  <c r="I149" i="40"/>
  <c r="T149" i="40"/>
  <c r="V149" i="40"/>
  <c r="X149" i="40"/>
  <c r="Z149" i="40"/>
  <c r="K149" i="40"/>
  <c r="O149" i="40"/>
  <c r="P149" i="40"/>
  <c r="Q149" i="40"/>
  <c r="AC149" i="40"/>
  <c r="R149" i="40"/>
  <c r="G149" i="40"/>
  <c r="AD149" i="40"/>
  <c r="AF149" i="40"/>
  <c r="H150" i="40"/>
  <c r="S150" i="40"/>
  <c r="U150" i="40"/>
  <c r="W150" i="40"/>
  <c r="Y150" i="40"/>
  <c r="J150" i="40"/>
  <c r="L150" i="40"/>
  <c r="M150" i="40"/>
  <c r="N150" i="40"/>
  <c r="AA150" i="40"/>
  <c r="AE150" i="40"/>
  <c r="AB150" i="40"/>
  <c r="I150" i="40"/>
  <c r="T150" i="40"/>
  <c r="V150" i="40"/>
  <c r="X150" i="40"/>
  <c r="Z150" i="40"/>
  <c r="K150" i="40"/>
  <c r="O150" i="40"/>
  <c r="P150" i="40"/>
  <c r="Q150" i="40"/>
  <c r="AC150" i="40"/>
  <c r="R150" i="40"/>
  <c r="G150" i="40"/>
  <c r="AD150" i="40"/>
  <c r="AF150" i="40"/>
  <c r="H151" i="40"/>
  <c r="S151" i="40"/>
  <c r="U151" i="40"/>
  <c r="W151" i="40"/>
  <c r="Y151" i="40"/>
  <c r="J151" i="40"/>
  <c r="L151" i="40"/>
  <c r="M151" i="40"/>
  <c r="N151" i="40"/>
  <c r="AA151" i="40"/>
  <c r="AE151" i="40"/>
  <c r="AB151" i="40"/>
  <c r="I151" i="40"/>
  <c r="T151" i="40"/>
  <c r="V151" i="40"/>
  <c r="X151" i="40"/>
  <c r="Z151" i="40"/>
  <c r="K151" i="40"/>
  <c r="O151" i="40"/>
  <c r="P151" i="40"/>
  <c r="Q151" i="40"/>
  <c r="AC151" i="40"/>
  <c r="R151" i="40"/>
  <c r="G151" i="40"/>
  <c r="AD151" i="40"/>
  <c r="AF151" i="40"/>
  <c r="H152" i="40"/>
  <c r="S152" i="40"/>
  <c r="U152" i="40"/>
  <c r="W152" i="40"/>
  <c r="Y152" i="40"/>
  <c r="J152" i="40"/>
  <c r="L152" i="40"/>
  <c r="M152" i="40"/>
  <c r="N152" i="40"/>
  <c r="AA152" i="40"/>
  <c r="AE152" i="40"/>
  <c r="AB152" i="40"/>
  <c r="I152" i="40"/>
  <c r="T152" i="40"/>
  <c r="V152" i="40"/>
  <c r="X152" i="40"/>
  <c r="Z152" i="40"/>
  <c r="K152" i="40"/>
  <c r="O152" i="40"/>
  <c r="P152" i="40"/>
  <c r="Q152" i="40"/>
  <c r="AC152" i="40"/>
  <c r="R152" i="40"/>
  <c r="G152" i="40"/>
  <c r="AD152" i="40"/>
  <c r="AF152" i="40"/>
  <c r="H153" i="40"/>
  <c r="S153" i="40"/>
  <c r="U153" i="40"/>
  <c r="W153" i="40"/>
  <c r="Y153" i="40"/>
  <c r="J153" i="40"/>
  <c r="L153" i="40"/>
  <c r="M153" i="40"/>
  <c r="N153" i="40"/>
  <c r="AA153" i="40"/>
  <c r="AE153" i="40"/>
  <c r="AB153" i="40"/>
  <c r="I153" i="40"/>
  <c r="T153" i="40"/>
  <c r="V153" i="40"/>
  <c r="X153" i="40"/>
  <c r="Z153" i="40"/>
  <c r="K153" i="40"/>
  <c r="O153" i="40"/>
  <c r="P153" i="40"/>
  <c r="Q153" i="40"/>
  <c r="AC153" i="40"/>
  <c r="R153" i="40"/>
  <c r="G153" i="40"/>
  <c r="AD153" i="40"/>
  <c r="AF153" i="40"/>
  <c r="H154" i="40"/>
  <c r="S154" i="40"/>
  <c r="U154" i="40"/>
  <c r="W154" i="40"/>
  <c r="Y154" i="40"/>
  <c r="J154" i="40"/>
  <c r="L154" i="40"/>
  <c r="M154" i="40"/>
  <c r="N154" i="40"/>
  <c r="AA154" i="40"/>
  <c r="AE154" i="40"/>
  <c r="AB154" i="40"/>
  <c r="I154" i="40"/>
  <c r="T154" i="40"/>
  <c r="V154" i="40"/>
  <c r="X154" i="40"/>
  <c r="Z154" i="40"/>
  <c r="K154" i="40"/>
  <c r="O154" i="40"/>
  <c r="P154" i="40"/>
  <c r="Q154" i="40"/>
  <c r="AC154" i="40"/>
  <c r="R154" i="40"/>
  <c r="G154" i="40"/>
  <c r="AD154" i="40"/>
  <c r="AF154" i="40"/>
  <c r="H155" i="40"/>
  <c r="S155" i="40"/>
  <c r="U155" i="40"/>
  <c r="W155" i="40"/>
  <c r="Y155" i="40"/>
  <c r="J155" i="40"/>
  <c r="L155" i="40"/>
  <c r="M155" i="40"/>
  <c r="N155" i="40"/>
  <c r="AA155" i="40"/>
  <c r="AE155" i="40"/>
  <c r="AB155" i="40"/>
  <c r="I155" i="40"/>
  <c r="T155" i="40"/>
  <c r="V155" i="40"/>
  <c r="X155" i="40"/>
  <c r="Z155" i="40"/>
  <c r="K155" i="40"/>
  <c r="O155" i="40"/>
  <c r="P155" i="40"/>
  <c r="Q155" i="40"/>
  <c r="AC155" i="40"/>
  <c r="R155" i="40"/>
  <c r="G155" i="40"/>
  <c r="AD155" i="40"/>
  <c r="AF155" i="40"/>
  <c r="H156" i="40"/>
  <c r="S156" i="40"/>
  <c r="U156" i="40"/>
  <c r="W156" i="40"/>
  <c r="Y156" i="40"/>
  <c r="J156" i="40"/>
  <c r="L156" i="40"/>
  <c r="M156" i="40"/>
  <c r="N156" i="40"/>
  <c r="AA156" i="40"/>
  <c r="AE156" i="40"/>
  <c r="AB156" i="40"/>
  <c r="I156" i="40"/>
  <c r="T156" i="40"/>
  <c r="V156" i="40"/>
  <c r="X156" i="40"/>
  <c r="Z156" i="40"/>
  <c r="K156" i="40"/>
  <c r="O156" i="40"/>
  <c r="P156" i="40"/>
  <c r="Q156" i="40"/>
  <c r="AC156" i="40"/>
  <c r="R156" i="40"/>
  <c r="G156" i="40"/>
  <c r="AD156" i="40"/>
  <c r="AF156" i="40"/>
  <c r="H157" i="40"/>
  <c r="S157" i="40"/>
  <c r="U157" i="40"/>
  <c r="W157" i="40"/>
  <c r="Y157" i="40"/>
  <c r="J157" i="40"/>
  <c r="L157" i="40"/>
  <c r="M157" i="40"/>
  <c r="N157" i="40"/>
  <c r="AA157" i="40"/>
  <c r="AE157" i="40"/>
  <c r="AB157" i="40"/>
  <c r="I157" i="40"/>
  <c r="T157" i="40"/>
  <c r="V157" i="40"/>
  <c r="X157" i="40"/>
  <c r="Z157" i="40"/>
  <c r="K157" i="40"/>
  <c r="O157" i="40"/>
  <c r="P157" i="40"/>
  <c r="Q157" i="40"/>
  <c r="AC157" i="40"/>
  <c r="R157" i="40"/>
  <c r="G157" i="40"/>
  <c r="AD157" i="40"/>
  <c r="AF157" i="40"/>
  <c r="H158" i="40"/>
  <c r="S158" i="40"/>
  <c r="U158" i="40"/>
  <c r="W158" i="40"/>
  <c r="Y158" i="40"/>
  <c r="J158" i="40"/>
  <c r="L158" i="40"/>
  <c r="M158" i="40"/>
  <c r="N158" i="40"/>
  <c r="AA158" i="40"/>
  <c r="AE158" i="40"/>
  <c r="AB158" i="40"/>
  <c r="I158" i="40"/>
  <c r="T158" i="40"/>
  <c r="V158" i="40"/>
  <c r="X158" i="40"/>
  <c r="Z158" i="40"/>
  <c r="K158" i="40"/>
  <c r="O158" i="40"/>
  <c r="P158" i="40"/>
  <c r="Q158" i="40"/>
  <c r="AC158" i="40"/>
  <c r="R158" i="40"/>
  <c r="G158" i="40"/>
  <c r="AD158" i="40"/>
  <c r="AF158" i="40"/>
  <c r="H159" i="40"/>
  <c r="S159" i="40"/>
  <c r="U159" i="40"/>
  <c r="W159" i="40"/>
  <c r="Y159" i="40"/>
  <c r="J159" i="40"/>
  <c r="L159" i="40"/>
  <c r="M159" i="40"/>
  <c r="N159" i="40"/>
  <c r="AA159" i="40"/>
  <c r="AE159" i="40"/>
  <c r="AB159" i="40"/>
  <c r="I159" i="40"/>
  <c r="T159" i="40"/>
  <c r="V159" i="40"/>
  <c r="X159" i="40"/>
  <c r="Z159" i="40"/>
  <c r="K159" i="40"/>
  <c r="O159" i="40"/>
  <c r="P159" i="40"/>
  <c r="Q159" i="40"/>
  <c r="AC159" i="40"/>
  <c r="R159" i="40"/>
  <c r="G159" i="40"/>
  <c r="AD159" i="40"/>
  <c r="AF159" i="40"/>
  <c r="H160" i="40"/>
  <c r="S160" i="40"/>
  <c r="U160" i="40"/>
  <c r="W160" i="40"/>
  <c r="Y160" i="40"/>
  <c r="J160" i="40"/>
  <c r="L160" i="40"/>
  <c r="M160" i="40"/>
  <c r="N160" i="40"/>
  <c r="AA160" i="40"/>
  <c r="AE160" i="40"/>
  <c r="AB160" i="40"/>
  <c r="I160" i="40"/>
  <c r="T160" i="40"/>
  <c r="V160" i="40"/>
  <c r="X160" i="40"/>
  <c r="Z160" i="40"/>
  <c r="K160" i="40"/>
  <c r="O160" i="40"/>
  <c r="P160" i="40"/>
  <c r="Q160" i="40"/>
  <c r="AC160" i="40"/>
  <c r="R160" i="40"/>
  <c r="G160" i="40"/>
  <c r="AD160" i="40"/>
  <c r="AF160" i="40"/>
  <c r="H161" i="40"/>
  <c r="S161" i="40"/>
  <c r="U161" i="40"/>
  <c r="W161" i="40"/>
  <c r="Y161" i="40"/>
  <c r="J161" i="40"/>
  <c r="L161" i="40"/>
  <c r="M161" i="40"/>
  <c r="N161" i="40"/>
  <c r="AA161" i="40"/>
  <c r="AE161" i="40"/>
  <c r="AB161" i="40"/>
  <c r="I161" i="40"/>
  <c r="T161" i="40"/>
  <c r="V161" i="40"/>
  <c r="X161" i="40"/>
  <c r="Z161" i="40"/>
  <c r="K161" i="40"/>
  <c r="O161" i="40"/>
  <c r="P161" i="40"/>
  <c r="Q161" i="40"/>
  <c r="AC161" i="40"/>
  <c r="R161" i="40"/>
  <c r="G161" i="40"/>
  <c r="AD161" i="40"/>
  <c r="AF161" i="40"/>
  <c r="H162" i="40"/>
  <c r="S162" i="40"/>
  <c r="U162" i="40"/>
  <c r="W162" i="40"/>
  <c r="Y162" i="40"/>
  <c r="J162" i="40"/>
  <c r="L162" i="40"/>
  <c r="M162" i="40"/>
  <c r="N162" i="40"/>
  <c r="AA162" i="40"/>
  <c r="AE162" i="40"/>
  <c r="AB162" i="40"/>
  <c r="I162" i="40"/>
  <c r="T162" i="40"/>
  <c r="V162" i="40"/>
  <c r="X162" i="40"/>
  <c r="Z162" i="40"/>
  <c r="K162" i="40"/>
  <c r="O162" i="40"/>
  <c r="P162" i="40"/>
  <c r="Q162" i="40"/>
  <c r="AC162" i="40"/>
  <c r="R162" i="40"/>
  <c r="G162" i="40"/>
  <c r="AD162" i="40"/>
  <c r="AF162" i="40"/>
  <c r="H163" i="40"/>
  <c r="S163" i="40"/>
  <c r="U163" i="40"/>
  <c r="W163" i="40"/>
  <c r="Y163" i="40"/>
  <c r="J163" i="40"/>
  <c r="L163" i="40"/>
  <c r="M163" i="40"/>
  <c r="N163" i="40"/>
  <c r="AA163" i="40"/>
  <c r="AE163" i="40"/>
  <c r="AB163" i="40"/>
  <c r="I163" i="40"/>
  <c r="T163" i="40"/>
  <c r="V163" i="40"/>
  <c r="X163" i="40"/>
  <c r="Z163" i="40"/>
  <c r="K163" i="40"/>
  <c r="O163" i="40"/>
  <c r="P163" i="40"/>
  <c r="Q163" i="40"/>
  <c r="AC163" i="40"/>
  <c r="R163" i="40"/>
  <c r="G163" i="40"/>
  <c r="AD163" i="40"/>
  <c r="AF163" i="40"/>
  <c r="H164" i="40"/>
  <c r="S164" i="40"/>
  <c r="U164" i="40"/>
  <c r="W164" i="40"/>
  <c r="Y164" i="40"/>
  <c r="J164" i="40"/>
  <c r="L164" i="40"/>
  <c r="M164" i="40"/>
  <c r="N164" i="40"/>
  <c r="AA164" i="40"/>
  <c r="AE164" i="40"/>
  <c r="AB164" i="40"/>
  <c r="I164" i="40"/>
  <c r="T164" i="40"/>
  <c r="V164" i="40"/>
  <c r="X164" i="40"/>
  <c r="Z164" i="40"/>
  <c r="K164" i="40"/>
  <c r="O164" i="40"/>
  <c r="P164" i="40"/>
  <c r="Q164" i="40"/>
  <c r="AC164" i="40"/>
  <c r="R164" i="40"/>
  <c r="G164" i="40"/>
  <c r="AD164" i="40"/>
  <c r="AF164" i="40"/>
  <c r="H165" i="40"/>
  <c r="S165" i="40"/>
  <c r="U165" i="40"/>
  <c r="W165" i="40"/>
  <c r="Y165" i="40"/>
  <c r="J165" i="40"/>
  <c r="L165" i="40"/>
  <c r="M165" i="40"/>
  <c r="N165" i="40"/>
  <c r="AA165" i="40"/>
  <c r="AE165" i="40"/>
  <c r="AB165" i="40"/>
  <c r="I165" i="40"/>
  <c r="T165" i="40"/>
  <c r="V165" i="40"/>
  <c r="X165" i="40"/>
  <c r="Z165" i="40"/>
  <c r="K165" i="40"/>
  <c r="O165" i="40"/>
  <c r="P165" i="40"/>
  <c r="Q165" i="40"/>
  <c r="AC165" i="40"/>
  <c r="R165" i="40"/>
  <c r="G165" i="40"/>
  <c r="AD165" i="40"/>
  <c r="AF165" i="40"/>
  <c r="H166" i="40"/>
  <c r="S166" i="40"/>
  <c r="U166" i="40"/>
  <c r="W166" i="40"/>
  <c r="Y166" i="40"/>
  <c r="J166" i="40"/>
  <c r="L166" i="40"/>
  <c r="M166" i="40"/>
  <c r="N166" i="40"/>
  <c r="AA166" i="40"/>
  <c r="AE166" i="40"/>
  <c r="AB166" i="40"/>
  <c r="I166" i="40"/>
  <c r="T166" i="40"/>
  <c r="V166" i="40"/>
  <c r="X166" i="40"/>
  <c r="Z166" i="40"/>
  <c r="K166" i="40"/>
  <c r="O166" i="40"/>
  <c r="P166" i="40"/>
  <c r="Q166" i="40"/>
  <c r="AC166" i="40"/>
  <c r="R166" i="40"/>
  <c r="G166" i="40"/>
  <c r="AD166" i="40"/>
  <c r="AF166" i="40"/>
  <c r="H167" i="40"/>
  <c r="S167" i="40"/>
  <c r="U167" i="40"/>
  <c r="W167" i="40"/>
  <c r="Y167" i="40"/>
  <c r="J167" i="40"/>
  <c r="L167" i="40"/>
  <c r="M167" i="40"/>
  <c r="N167" i="40"/>
  <c r="AA167" i="40"/>
  <c r="AE167" i="40"/>
  <c r="AB167" i="40"/>
  <c r="I167" i="40"/>
  <c r="T167" i="40"/>
  <c r="V167" i="40"/>
  <c r="X167" i="40"/>
  <c r="Z167" i="40"/>
  <c r="K167" i="40"/>
  <c r="O167" i="40"/>
  <c r="P167" i="40"/>
  <c r="Q167" i="40"/>
  <c r="AC167" i="40"/>
  <c r="R167" i="40"/>
  <c r="G167" i="40"/>
  <c r="AD167" i="40"/>
  <c r="AF167" i="40"/>
  <c r="H168" i="40"/>
  <c r="S168" i="40"/>
  <c r="U168" i="40"/>
  <c r="W168" i="40"/>
  <c r="Y168" i="40"/>
  <c r="J168" i="40"/>
  <c r="L168" i="40"/>
  <c r="M168" i="40"/>
  <c r="N168" i="40"/>
  <c r="AA168" i="40"/>
  <c r="AE168" i="40"/>
  <c r="AB168" i="40"/>
  <c r="I168" i="40"/>
  <c r="T168" i="40"/>
  <c r="V168" i="40"/>
  <c r="X168" i="40"/>
  <c r="Z168" i="40"/>
  <c r="K168" i="40"/>
  <c r="O168" i="40"/>
  <c r="P168" i="40"/>
  <c r="Q168" i="40"/>
  <c r="AC168" i="40"/>
  <c r="R168" i="40"/>
  <c r="G168" i="40"/>
  <c r="AD168" i="40"/>
  <c r="AF168" i="40"/>
  <c r="H169" i="40"/>
  <c r="S169" i="40"/>
  <c r="U169" i="40"/>
  <c r="W169" i="40"/>
  <c r="Y169" i="40"/>
  <c r="J169" i="40"/>
  <c r="L169" i="40"/>
  <c r="M169" i="40"/>
  <c r="N169" i="40"/>
  <c r="AA169" i="40"/>
  <c r="AE169" i="40"/>
  <c r="AB169" i="40"/>
  <c r="I169" i="40"/>
  <c r="T169" i="40"/>
  <c r="V169" i="40"/>
  <c r="X169" i="40"/>
  <c r="Z169" i="40"/>
  <c r="K169" i="40"/>
  <c r="O169" i="40"/>
  <c r="P169" i="40"/>
  <c r="Q169" i="40"/>
  <c r="AC169" i="40"/>
  <c r="R169" i="40"/>
  <c r="G169" i="40"/>
  <c r="AD169" i="40"/>
  <c r="AF169" i="40"/>
  <c r="H170" i="40"/>
  <c r="S170" i="40"/>
  <c r="U170" i="40"/>
  <c r="W170" i="40"/>
  <c r="Y170" i="40"/>
  <c r="J170" i="40"/>
  <c r="L170" i="40"/>
  <c r="M170" i="40"/>
  <c r="N170" i="40"/>
  <c r="AA170" i="40"/>
  <c r="AE170" i="40"/>
  <c r="AB170" i="40"/>
  <c r="I170" i="40"/>
  <c r="T170" i="40"/>
  <c r="V170" i="40"/>
  <c r="X170" i="40"/>
  <c r="Z170" i="40"/>
  <c r="K170" i="40"/>
  <c r="O170" i="40"/>
  <c r="P170" i="40"/>
  <c r="Q170" i="40"/>
  <c r="AC170" i="40"/>
  <c r="R170" i="40"/>
  <c r="G170" i="40"/>
  <c r="AD170" i="40"/>
  <c r="AF170" i="40"/>
  <c r="H171" i="40"/>
  <c r="S171" i="40"/>
  <c r="U171" i="40"/>
  <c r="W171" i="40"/>
  <c r="Y171" i="40"/>
  <c r="J171" i="40"/>
  <c r="L171" i="40"/>
  <c r="M171" i="40"/>
  <c r="N171" i="40"/>
  <c r="AA171" i="40"/>
  <c r="AE171" i="40"/>
  <c r="AB171" i="40"/>
  <c r="I171" i="40"/>
  <c r="T171" i="40"/>
  <c r="V171" i="40"/>
  <c r="X171" i="40"/>
  <c r="Z171" i="40"/>
  <c r="K171" i="40"/>
  <c r="O171" i="40"/>
  <c r="P171" i="40"/>
  <c r="Q171" i="40"/>
  <c r="AC171" i="40"/>
  <c r="R171" i="40"/>
  <c r="G171" i="40"/>
  <c r="AD171" i="40"/>
  <c r="AF171" i="40"/>
  <c r="H172" i="40"/>
  <c r="S172" i="40"/>
  <c r="U172" i="40"/>
  <c r="W172" i="40"/>
  <c r="Y172" i="40"/>
  <c r="J172" i="40"/>
  <c r="L172" i="40"/>
  <c r="M172" i="40"/>
  <c r="N172" i="40"/>
  <c r="AA172" i="40"/>
  <c r="AE172" i="40"/>
  <c r="AB172" i="40"/>
  <c r="I172" i="40"/>
  <c r="T172" i="40"/>
  <c r="V172" i="40"/>
  <c r="X172" i="40"/>
  <c r="Z172" i="40"/>
  <c r="K172" i="40"/>
  <c r="O172" i="40"/>
  <c r="P172" i="40"/>
  <c r="Q172" i="40"/>
  <c r="AC172" i="40"/>
  <c r="R172" i="40"/>
  <c r="G172" i="40"/>
  <c r="AD172" i="40"/>
  <c r="AF172" i="40"/>
  <c r="H173" i="40"/>
  <c r="S173" i="40"/>
  <c r="U173" i="40"/>
  <c r="W173" i="40"/>
  <c r="Y173" i="40"/>
  <c r="J173" i="40"/>
  <c r="L173" i="40"/>
  <c r="M173" i="40"/>
  <c r="N173" i="40"/>
  <c r="AA173" i="40"/>
  <c r="AE173" i="40"/>
  <c r="AB173" i="40"/>
  <c r="I173" i="40"/>
  <c r="T173" i="40"/>
  <c r="V173" i="40"/>
  <c r="X173" i="40"/>
  <c r="Z173" i="40"/>
  <c r="K173" i="40"/>
  <c r="O173" i="40"/>
  <c r="P173" i="40"/>
  <c r="Q173" i="40"/>
  <c r="AC173" i="40"/>
  <c r="R173" i="40"/>
  <c r="G173" i="40"/>
  <c r="AD173" i="40"/>
  <c r="AF173" i="40"/>
  <c r="H174" i="40"/>
  <c r="S174" i="40"/>
  <c r="U174" i="40"/>
  <c r="W174" i="40"/>
  <c r="Y174" i="40"/>
  <c r="J174" i="40"/>
  <c r="L174" i="40"/>
  <c r="M174" i="40"/>
  <c r="N174" i="40"/>
  <c r="AA174" i="40"/>
  <c r="AE174" i="40"/>
  <c r="AB174" i="40"/>
  <c r="I174" i="40"/>
  <c r="T174" i="40"/>
  <c r="V174" i="40"/>
  <c r="X174" i="40"/>
  <c r="Z174" i="40"/>
  <c r="K174" i="40"/>
  <c r="O174" i="40"/>
  <c r="P174" i="40"/>
  <c r="Q174" i="40"/>
  <c r="AC174" i="40"/>
  <c r="R174" i="40"/>
  <c r="G174" i="40"/>
  <c r="AD174" i="40"/>
  <c r="AF174" i="40"/>
  <c r="H175" i="40"/>
  <c r="S175" i="40"/>
  <c r="U175" i="40"/>
  <c r="W175" i="40"/>
  <c r="Y175" i="40"/>
  <c r="J175" i="40"/>
  <c r="L175" i="40"/>
  <c r="M175" i="40"/>
  <c r="N175" i="40"/>
  <c r="AA175" i="40"/>
  <c r="AE175" i="40"/>
  <c r="AB175" i="40"/>
  <c r="I175" i="40"/>
  <c r="T175" i="40"/>
  <c r="V175" i="40"/>
  <c r="X175" i="40"/>
  <c r="Z175" i="40"/>
  <c r="K175" i="40"/>
  <c r="O175" i="40"/>
  <c r="P175" i="40"/>
  <c r="Q175" i="40"/>
  <c r="AC175" i="40"/>
  <c r="R175" i="40"/>
  <c r="G175" i="40"/>
  <c r="AD175" i="40"/>
  <c r="AF175" i="40"/>
  <c r="H176" i="40"/>
  <c r="S176" i="40"/>
  <c r="U176" i="40"/>
  <c r="W176" i="40"/>
  <c r="Y176" i="40"/>
  <c r="J176" i="40"/>
  <c r="L176" i="40"/>
  <c r="M176" i="40"/>
  <c r="N176" i="40"/>
  <c r="AA176" i="40"/>
  <c r="AE176" i="40"/>
  <c r="AB176" i="40"/>
  <c r="I176" i="40"/>
  <c r="T176" i="40"/>
  <c r="V176" i="40"/>
  <c r="X176" i="40"/>
  <c r="Z176" i="40"/>
  <c r="K176" i="40"/>
  <c r="O176" i="40"/>
  <c r="P176" i="40"/>
  <c r="Q176" i="40"/>
  <c r="AC176" i="40"/>
  <c r="R176" i="40"/>
  <c r="G176" i="40"/>
  <c r="AD176" i="40"/>
  <c r="AF176" i="40"/>
  <c r="H177" i="40"/>
  <c r="S177" i="40"/>
  <c r="U177" i="40"/>
  <c r="W177" i="40"/>
  <c r="Y177" i="40"/>
  <c r="J177" i="40"/>
  <c r="L177" i="40"/>
  <c r="M177" i="40"/>
  <c r="N177" i="40"/>
  <c r="AA177" i="40"/>
  <c r="AE177" i="40"/>
  <c r="AB177" i="40"/>
  <c r="I177" i="40"/>
  <c r="T177" i="40"/>
  <c r="V177" i="40"/>
  <c r="X177" i="40"/>
  <c r="Z177" i="40"/>
  <c r="K177" i="40"/>
  <c r="O177" i="40"/>
  <c r="P177" i="40"/>
  <c r="Q177" i="40"/>
  <c r="AC177" i="40"/>
  <c r="R177" i="40"/>
  <c r="G177" i="40"/>
  <c r="AD177" i="40"/>
  <c r="AF177" i="40"/>
  <c r="H178" i="40"/>
  <c r="S178" i="40"/>
  <c r="U178" i="40"/>
  <c r="W178" i="40"/>
  <c r="Y178" i="40"/>
  <c r="J178" i="40"/>
  <c r="L178" i="40"/>
  <c r="M178" i="40"/>
  <c r="N178" i="40"/>
  <c r="AA178" i="40"/>
  <c r="AE178" i="40"/>
  <c r="AB178" i="40"/>
  <c r="I178" i="40"/>
  <c r="T178" i="40"/>
  <c r="V178" i="40"/>
  <c r="X178" i="40"/>
  <c r="Z178" i="40"/>
  <c r="K178" i="40"/>
  <c r="O178" i="40"/>
  <c r="P178" i="40"/>
  <c r="Q178" i="40"/>
  <c r="AC178" i="40"/>
  <c r="R178" i="40"/>
  <c r="G178" i="40"/>
  <c r="AD178" i="40"/>
  <c r="AF178" i="40"/>
  <c r="H179" i="40"/>
  <c r="S179" i="40"/>
  <c r="U179" i="40"/>
  <c r="W179" i="40"/>
  <c r="Y179" i="40"/>
  <c r="J179" i="40"/>
  <c r="L179" i="40"/>
  <c r="M179" i="40"/>
  <c r="N179" i="40"/>
  <c r="AA179" i="40"/>
  <c r="AE179" i="40"/>
  <c r="AB179" i="40"/>
  <c r="I179" i="40"/>
  <c r="T179" i="40"/>
  <c r="V179" i="40"/>
  <c r="X179" i="40"/>
  <c r="Z179" i="40"/>
  <c r="K179" i="40"/>
  <c r="O179" i="40"/>
  <c r="P179" i="40"/>
  <c r="Q179" i="40"/>
  <c r="AC179" i="40"/>
  <c r="R179" i="40"/>
  <c r="G179" i="40"/>
  <c r="AD179" i="40"/>
  <c r="AF179" i="40"/>
  <c r="H180" i="40"/>
  <c r="S180" i="40"/>
  <c r="U180" i="40"/>
  <c r="W180" i="40"/>
  <c r="Y180" i="40"/>
  <c r="J180" i="40"/>
  <c r="L180" i="40"/>
  <c r="M180" i="40"/>
  <c r="N180" i="40"/>
  <c r="AA180" i="40"/>
  <c r="AE180" i="40"/>
  <c r="AB180" i="40"/>
  <c r="I180" i="40"/>
  <c r="T180" i="40"/>
  <c r="V180" i="40"/>
  <c r="X180" i="40"/>
  <c r="Z180" i="40"/>
  <c r="K180" i="40"/>
  <c r="O180" i="40"/>
  <c r="P180" i="40"/>
  <c r="Q180" i="40"/>
  <c r="AC180" i="40"/>
  <c r="R180" i="40"/>
  <c r="G180" i="40"/>
  <c r="AD180" i="40"/>
  <c r="AF180" i="40"/>
  <c r="H181" i="40"/>
  <c r="S181" i="40"/>
  <c r="U181" i="40"/>
  <c r="W181" i="40"/>
  <c r="Y181" i="40"/>
  <c r="J181" i="40"/>
  <c r="L181" i="40"/>
  <c r="M181" i="40"/>
  <c r="N181" i="40"/>
  <c r="AA181" i="40"/>
  <c r="AE181" i="40"/>
  <c r="AB181" i="40"/>
  <c r="I181" i="40"/>
  <c r="T181" i="40"/>
  <c r="V181" i="40"/>
  <c r="X181" i="40"/>
  <c r="Z181" i="40"/>
  <c r="K181" i="40"/>
  <c r="O181" i="40"/>
  <c r="P181" i="40"/>
  <c r="Q181" i="40"/>
  <c r="AC181" i="40"/>
  <c r="R181" i="40"/>
  <c r="G181" i="40"/>
  <c r="AD181" i="40"/>
  <c r="AF181" i="40"/>
  <c r="H182" i="40"/>
  <c r="S182" i="40"/>
  <c r="U182" i="40"/>
  <c r="W182" i="40"/>
  <c r="Y182" i="40"/>
  <c r="J182" i="40"/>
  <c r="L182" i="40"/>
  <c r="M182" i="40"/>
  <c r="N182" i="40"/>
  <c r="AA182" i="40"/>
  <c r="AE182" i="40"/>
  <c r="AB182" i="40"/>
  <c r="I182" i="40"/>
  <c r="T182" i="40"/>
  <c r="V182" i="40"/>
  <c r="X182" i="40"/>
  <c r="Z182" i="40"/>
  <c r="K182" i="40"/>
  <c r="O182" i="40"/>
  <c r="P182" i="40"/>
  <c r="Q182" i="40"/>
  <c r="AC182" i="40"/>
  <c r="R182" i="40"/>
  <c r="G182" i="40"/>
  <c r="AD182" i="40"/>
  <c r="AF182" i="40"/>
  <c r="H183" i="40"/>
  <c r="S183" i="40"/>
  <c r="U183" i="40"/>
  <c r="W183" i="40"/>
  <c r="Y183" i="40"/>
  <c r="J183" i="40"/>
  <c r="L183" i="40"/>
  <c r="M183" i="40"/>
  <c r="N183" i="40"/>
  <c r="AA183" i="40"/>
  <c r="AE183" i="40"/>
  <c r="AB183" i="40"/>
  <c r="I183" i="40"/>
  <c r="T183" i="40"/>
  <c r="V183" i="40"/>
  <c r="X183" i="40"/>
  <c r="Z183" i="40"/>
  <c r="K183" i="40"/>
  <c r="O183" i="40"/>
  <c r="P183" i="40"/>
  <c r="Q183" i="40"/>
  <c r="AC183" i="40"/>
  <c r="R183" i="40"/>
  <c r="G183" i="40"/>
  <c r="AD183" i="40"/>
  <c r="AF183" i="40"/>
  <c r="H184" i="40"/>
  <c r="S184" i="40"/>
  <c r="U184" i="40"/>
  <c r="W184" i="40"/>
  <c r="Y184" i="40"/>
  <c r="J184" i="40"/>
  <c r="L184" i="40"/>
  <c r="M184" i="40"/>
  <c r="N184" i="40"/>
  <c r="AA184" i="40"/>
  <c r="AE184" i="40"/>
  <c r="AB184" i="40"/>
  <c r="I184" i="40"/>
  <c r="T184" i="40"/>
  <c r="V184" i="40"/>
  <c r="X184" i="40"/>
  <c r="Z184" i="40"/>
  <c r="K184" i="40"/>
  <c r="O184" i="40"/>
  <c r="P184" i="40"/>
  <c r="Q184" i="40"/>
  <c r="AC184" i="40"/>
  <c r="R184" i="40"/>
  <c r="G184" i="40"/>
  <c r="AD184" i="40"/>
  <c r="AF184" i="40"/>
  <c r="H185" i="40"/>
  <c r="S185" i="40"/>
  <c r="U185" i="40"/>
  <c r="W185" i="40"/>
  <c r="Y185" i="40"/>
  <c r="J185" i="40"/>
  <c r="L185" i="40"/>
  <c r="M185" i="40"/>
  <c r="N185" i="40"/>
  <c r="AA185" i="40"/>
  <c r="AE185" i="40"/>
  <c r="AB185" i="40"/>
  <c r="I185" i="40"/>
  <c r="T185" i="40"/>
  <c r="V185" i="40"/>
  <c r="X185" i="40"/>
  <c r="Z185" i="40"/>
  <c r="K185" i="40"/>
  <c r="O185" i="40"/>
  <c r="P185" i="40"/>
  <c r="Q185" i="40"/>
  <c r="AC185" i="40"/>
  <c r="R185" i="40"/>
  <c r="G185" i="40"/>
  <c r="AD185" i="40"/>
  <c r="AF185" i="40"/>
  <c r="H186" i="40"/>
  <c r="S186" i="40"/>
  <c r="U186" i="40"/>
  <c r="W186" i="40"/>
  <c r="Y186" i="40"/>
  <c r="J186" i="40"/>
  <c r="L186" i="40"/>
  <c r="M186" i="40"/>
  <c r="N186" i="40"/>
  <c r="AA186" i="40"/>
  <c r="AE186" i="40"/>
  <c r="AB186" i="40"/>
  <c r="I186" i="40"/>
  <c r="T186" i="40"/>
  <c r="V186" i="40"/>
  <c r="X186" i="40"/>
  <c r="Z186" i="40"/>
  <c r="K186" i="40"/>
  <c r="O186" i="40"/>
  <c r="P186" i="40"/>
  <c r="Q186" i="40"/>
  <c r="AC186" i="40"/>
  <c r="R186" i="40"/>
  <c r="G186" i="40"/>
  <c r="AD186" i="40"/>
  <c r="AF186" i="40"/>
  <c r="H187" i="40"/>
  <c r="S187" i="40"/>
  <c r="U187" i="40"/>
  <c r="W187" i="40"/>
  <c r="Y187" i="40"/>
  <c r="J187" i="40"/>
  <c r="L187" i="40"/>
  <c r="M187" i="40"/>
  <c r="N187" i="40"/>
  <c r="AA187" i="40"/>
  <c r="AE187" i="40"/>
  <c r="AB187" i="40"/>
  <c r="I187" i="40"/>
  <c r="T187" i="40"/>
  <c r="V187" i="40"/>
  <c r="X187" i="40"/>
  <c r="Z187" i="40"/>
  <c r="K187" i="40"/>
  <c r="O187" i="40"/>
  <c r="P187" i="40"/>
  <c r="Q187" i="40"/>
  <c r="AC187" i="40"/>
  <c r="R187" i="40"/>
  <c r="G187" i="40"/>
  <c r="AD187" i="40"/>
  <c r="AF187" i="40"/>
  <c r="H188" i="40"/>
  <c r="S188" i="40"/>
  <c r="U188" i="40"/>
  <c r="W188" i="40"/>
  <c r="Y188" i="40"/>
  <c r="J188" i="40"/>
  <c r="L188" i="40"/>
  <c r="M188" i="40"/>
  <c r="N188" i="40"/>
  <c r="AA188" i="40"/>
  <c r="AE188" i="40"/>
  <c r="AB188" i="40"/>
  <c r="I188" i="40"/>
  <c r="T188" i="40"/>
  <c r="V188" i="40"/>
  <c r="X188" i="40"/>
  <c r="Z188" i="40"/>
  <c r="K188" i="40"/>
  <c r="O188" i="40"/>
  <c r="P188" i="40"/>
  <c r="Q188" i="40"/>
  <c r="AC188" i="40"/>
  <c r="R188" i="40"/>
  <c r="G188" i="40"/>
  <c r="AD188" i="40"/>
  <c r="AF188" i="40"/>
  <c r="H189" i="40"/>
  <c r="S189" i="40"/>
  <c r="U189" i="40"/>
  <c r="W189" i="40"/>
  <c r="Y189" i="40"/>
  <c r="J189" i="40"/>
  <c r="L189" i="40"/>
  <c r="M189" i="40"/>
  <c r="N189" i="40"/>
  <c r="AA189" i="40"/>
  <c r="AE189" i="40"/>
  <c r="AB189" i="40"/>
  <c r="I189" i="40"/>
  <c r="T189" i="40"/>
  <c r="V189" i="40"/>
  <c r="X189" i="40"/>
  <c r="Z189" i="40"/>
  <c r="K189" i="40"/>
  <c r="O189" i="40"/>
  <c r="P189" i="40"/>
  <c r="Q189" i="40"/>
  <c r="AC189" i="40"/>
  <c r="R189" i="40"/>
  <c r="G189" i="40"/>
  <c r="AD189" i="40"/>
  <c r="AF189" i="40"/>
  <c r="H190" i="40"/>
  <c r="S190" i="40"/>
  <c r="U190" i="40"/>
  <c r="W190" i="40"/>
  <c r="Y190" i="40"/>
  <c r="J190" i="40"/>
  <c r="L190" i="40"/>
  <c r="M190" i="40"/>
  <c r="N190" i="40"/>
  <c r="AA190" i="40"/>
  <c r="AE190" i="40"/>
  <c r="AB190" i="40"/>
  <c r="I190" i="40"/>
  <c r="T190" i="40"/>
  <c r="V190" i="40"/>
  <c r="X190" i="40"/>
  <c r="Z190" i="40"/>
  <c r="K190" i="40"/>
  <c r="O190" i="40"/>
  <c r="P190" i="40"/>
  <c r="Q190" i="40"/>
  <c r="AC190" i="40"/>
  <c r="R190" i="40"/>
  <c r="G190" i="40"/>
  <c r="AD190" i="40"/>
  <c r="AF190" i="40"/>
  <c r="H191" i="40"/>
  <c r="S191" i="40"/>
  <c r="U191" i="40"/>
  <c r="W191" i="40"/>
  <c r="Y191" i="40"/>
  <c r="J191" i="40"/>
  <c r="L191" i="40"/>
  <c r="M191" i="40"/>
  <c r="N191" i="40"/>
  <c r="AA191" i="40"/>
  <c r="AE191" i="40"/>
  <c r="AB191" i="40"/>
  <c r="I191" i="40"/>
  <c r="T191" i="40"/>
  <c r="V191" i="40"/>
  <c r="X191" i="40"/>
  <c r="Z191" i="40"/>
  <c r="K191" i="40"/>
  <c r="O191" i="40"/>
  <c r="P191" i="40"/>
  <c r="Q191" i="40"/>
  <c r="AC191" i="40"/>
  <c r="R191" i="40"/>
  <c r="G191" i="40"/>
  <c r="AD191" i="40"/>
  <c r="AF191" i="40"/>
  <c r="H192" i="40"/>
  <c r="S192" i="40"/>
  <c r="U192" i="40"/>
  <c r="W192" i="40"/>
  <c r="Y192" i="40"/>
  <c r="J192" i="40"/>
  <c r="L192" i="40"/>
  <c r="M192" i="40"/>
  <c r="N192" i="40"/>
  <c r="AA192" i="40"/>
  <c r="AE192" i="40"/>
  <c r="AB192" i="40"/>
  <c r="I192" i="40"/>
  <c r="T192" i="40"/>
  <c r="V192" i="40"/>
  <c r="X192" i="40"/>
  <c r="Z192" i="40"/>
  <c r="K192" i="40"/>
  <c r="O192" i="40"/>
  <c r="P192" i="40"/>
  <c r="Q192" i="40"/>
  <c r="AC192" i="40"/>
  <c r="R192" i="40"/>
  <c r="G192" i="40"/>
  <c r="AD192" i="40"/>
  <c r="AF192" i="40"/>
  <c r="H193" i="40"/>
  <c r="S193" i="40"/>
  <c r="U193" i="40"/>
  <c r="W193" i="40"/>
  <c r="Y193" i="40"/>
  <c r="J193" i="40"/>
  <c r="L193" i="40"/>
  <c r="M193" i="40"/>
  <c r="N193" i="40"/>
  <c r="AA193" i="40"/>
  <c r="AE193" i="40"/>
  <c r="AB193" i="40"/>
  <c r="I193" i="40"/>
  <c r="T193" i="40"/>
  <c r="V193" i="40"/>
  <c r="X193" i="40"/>
  <c r="Z193" i="40"/>
  <c r="K193" i="40"/>
  <c r="O193" i="40"/>
  <c r="P193" i="40"/>
  <c r="Q193" i="40"/>
  <c r="AC193" i="40"/>
  <c r="R193" i="40"/>
  <c r="G193" i="40"/>
  <c r="AD193" i="40"/>
  <c r="AF193" i="40"/>
  <c r="H194" i="40"/>
  <c r="S194" i="40"/>
  <c r="U194" i="40"/>
  <c r="W194" i="40"/>
  <c r="Y194" i="40"/>
  <c r="J194" i="40"/>
  <c r="L194" i="40"/>
  <c r="M194" i="40"/>
  <c r="N194" i="40"/>
  <c r="AA194" i="40"/>
  <c r="AE194" i="40"/>
  <c r="AB194" i="40"/>
  <c r="I194" i="40"/>
  <c r="T194" i="40"/>
  <c r="V194" i="40"/>
  <c r="X194" i="40"/>
  <c r="Z194" i="40"/>
  <c r="K194" i="40"/>
  <c r="O194" i="40"/>
  <c r="P194" i="40"/>
  <c r="Q194" i="40"/>
  <c r="AC194" i="40"/>
  <c r="R194" i="40"/>
  <c r="G194" i="40"/>
  <c r="AD194" i="40"/>
  <c r="AF194" i="40"/>
  <c r="H195" i="40"/>
  <c r="S195" i="40"/>
  <c r="U195" i="40"/>
  <c r="W195" i="40"/>
  <c r="Y195" i="40"/>
  <c r="J195" i="40"/>
  <c r="L195" i="40"/>
  <c r="M195" i="40"/>
  <c r="N195" i="40"/>
  <c r="AA195" i="40"/>
  <c r="AE195" i="40"/>
  <c r="AB195" i="40"/>
  <c r="I195" i="40"/>
  <c r="T195" i="40"/>
  <c r="V195" i="40"/>
  <c r="X195" i="40"/>
  <c r="Z195" i="40"/>
  <c r="K195" i="40"/>
  <c r="O195" i="40"/>
  <c r="P195" i="40"/>
  <c r="Q195" i="40"/>
  <c r="AC195" i="40"/>
  <c r="R195" i="40"/>
  <c r="G195" i="40"/>
  <c r="AD195" i="40"/>
  <c r="AF195" i="40"/>
  <c r="H196" i="40"/>
  <c r="S196" i="40"/>
  <c r="U196" i="40"/>
  <c r="W196" i="40"/>
  <c r="Y196" i="40"/>
  <c r="J196" i="40"/>
  <c r="L196" i="40"/>
  <c r="M196" i="40"/>
  <c r="N196" i="40"/>
  <c r="AA196" i="40"/>
  <c r="AE196" i="40"/>
  <c r="AB196" i="40"/>
  <c r="I196" i="40"/>
  <c r="T196" i="40"/>
  <c r="V196" i="40"/>
  <c r="X196" i="40"/>
  <c r="Z196" i="40"/>
  <c r="K196" i="40"/>
  <c r="O196" i="40"/>
  <c r="P196" i="40"/>
  <c r="Q196" i="40"/>
  <c r="AC196" i="40"/>
  <c r="R196" i="40"/>
  <c r="G196" i="40"/>
  <c r="AD196" i="40"/>
  <c r="AF196" i="40"/>
  <c r="H197" i="40"/>
  <c r="S197" i="40"/>
  <c r="U197" i="40"/>
  <c r="W197" i="40"/>
  <c r="Y197" i="40"/>
  <c r="J197" i="40"/>
  <c r="L197" i="40"/>
  <c r="M197" i="40"/>
  <c r="N197" i="40"/>
  <c r="AA197" i="40"/>
  <c r="AE197" i="40"/>
  <c r="AB197" i="40"/>
  <c r="I197" i="40"/>
  <c r="T197" i="40"/>
  <c r="V197" i="40"/>
  <c r="X197" i="40"/>
  <c r="Z197" i="40"/>
  <c r="K197" i="40"/>
  <c r="O197" i="40"/>
  <c r="P197" i="40"/>
  <c r="Q197" i="40"/>
  <c r="AC197" i="40"/>
  <c r="R197" i="40"/>
  <c r="G197" i="40"/>
  <c r="AD197" i="40"/>
  <c r="AF197" i="40"/>
  <c r="H198" i="40"/>
  <c r="S198" i="40"/>
  <c r="U198" i="40"/>
  <c r="W198" i="40"/>
  <c r="Y198" i="40"/>
  <c r="J198" i="40"/>
  <c r="L198" i="40"/>
  <c r="M198" i="40"/>
  <c r="N198" i="40"/>
  <c r="AA198" i="40"/>
  <c r="AE198" i="40"/>
  <c r="AB198" i="40"/>
  <c r="I198" i="40"/>
  <c r="T198" i="40"/>
  <c r="V198" i="40"/>
  <c r="X198" i="40"/>
  <c r="Z198" i="40"/>
  <c r="K198" i="40"/>
  <c r="O198" i="40"/>
  <c r="P198" i="40"/>
  <c r="Q198" i="40"/>
  <c r="AC198" i="40"/>
  <c r="R198" i="40"/>
  <c r="G198" i="40"/>
  <c r="AD198" i="40"/>
  <c r="AF198" i="40"/>
  <c r="H199" i="40"/>
  <c r="S199" i="40"/>
  <c r="U199" i="40"/>
  <c r="W199" i="40"/>
  <c r="Y199" i="40"/>
  <c r="J199" i="40"/>
  <c r="L199" i="40"/>
  <c r="M199" i="40"/>
  <c r="N199" i="40"/>
  <c r="AA199" i="40"/>
  <c r="AE199" i="40"/>
  <c r="AB199" i="40"/>
  <c r="I199" i="40"/>
  <c r="T199" i="40"/>
  <c r="V199" i="40"/>
  <c r="X199" i="40"/>
  <c r="Z199" i="40"/>
  <c r="K199" i="40"/>
  <c r="O199" i="40"/>
  <c r="P199" i="40"/>
  <c r="Q199" i="40"/>
  <c r="AC199" i="40"/>
  <c r="R199" i="40"/>
  <c r="G199" i="40"/>
  <c r="AD199" i="40"/>
  <c r="AF199" i="40"/>
  <c r="H200" i="40"/>
  <c r="S200" i="40"/>
  <c r="U200" i="40"/>
  <c r="W200" i="40"/>
  <c r="Y200" i="40"/>
  <c r="J200" i="40"/>
  <c r="L200" i="40"/>
  <c r="M200" i="40"/>
  <c r="N200" i="40"/>
  <c r="AA200" i="40"/>
  <c r="AE200" i="40"/>
  <c r="AB200" i="40"/>
  <c r="I200" i="40"/>
  <c r="T200" i="40"/>
  <c r="V200" i="40"/>
  <c r="X200" i="40"/>
  <c r="Z200" i="40"/>
  <c r="K200" i="40"/>
  <c r="O200" i="40"/>
  <c r="P200" i="40"/>
  <c r="Q200" i="40"/>
  <c r="AC200" i="40"/>
  <c r="R200" i="40"/>
  <c r="G200" i="40"/>
  <c r="AD200" i="40"/>
  <c r="AF200" i="40"/>
  <c r="H201" i="40"/>
  <c r="S201" i="40"/>
  <c r="U201" i="40"/>
  <c r="W201" i="40"/>
  <c r="Y201" i="40"/>
  <c r="J201" i="40"/>
  <c r="L201" i="40"/>
  <c r="M201" i="40"/>
  <c r="N201" i="40"/>
  <c r="AA201" i="40"/>
  <c r="AE201" i="40"/>
  <c r="AB201" i="40"/>
  <c r="I201" i="40"/>
  <c r="T201" i="40"/>
  <c r="V201" i="40"/>
  <c r="X201" i="40"/>
  <c r="Z201" i="40"/>
  <c r="K201" i="40"/>
  <c r="O201" i="40"/>
  <c r="P201" i="40"/>
  <c r="Q201" i="40"/>
  <c r="AC201" i="40"/>
  <c r="R201" i="40"/>
  <c r="G201" i="40"/>
  <c r="AD201" i="40"/>
  <c r="AF201" i="40"/>
  <c r="H202" i="40"/>
  <c r="S202" i="40"/>
  <c r="U202" i="40"/>
  <c r="W202" i="40"/>
  <c r="Y202" i="40"/>
  <c r="J202" i="40"/>
  <c r="L202" i="40"/>
  <c r="M202" i="40"/>
  <c r="N202" i="40"/>
  <c r="AA202" i="40"/>
  <c r="AE202" i="40"/>
  <c r="AB202" i="40"/>
  <c r="I202" i="40"/>
  <c r="T202" i="40"/>
  <c r="V202" i="40"/>
  <c r="X202" i="40"/>
  <c r="Z202" i="40"/>
  <c r="K202" i="40"/>
  <c r="O202" i="40"/>
  <c r="P202" i="40"/>
  <c r="Q202" i="40"/>
  <c r="AC202" i="40"/>
  <c r="R202" i="40"/>
  <c r="G202" i="40"/>
  <c r="AD202" i="40"/>
  <c r="AF202" i="40"/>
  <c r="H203" i="40"/>
  <c r="S203" i="40"/>
  <c r="U203" i="40"/>
  <c r="W203" i="40"/>
  <c r="Y203" i="40"/>
  <c r="J203" i="40"/>
  <c r="L203" i="40"/>
  <c r="M203" i="40"/>
  <c r="N203" i="40"/>
  <c r="AA203" i="40"/>
  <c r="AE203" i="40"/>
  <c r="AB203" i="40"/>
  <c r="I203" i="40"/>
  <c r="T203" i="40"/>
  <c r="V203" i="40"/>
  <c r="X203" i="40"/>
  <c r="Z203" i="40"/>
  <c r="K203" i="40"/>
  <c r="O203" i="40"/>
  <c r="P203" i="40"/>
  <c r="Q203" i="40"/>
  <c r="AC203" i="40"/>
  <c r="R203" i="40"/>
  <c r="G203" i="40"/>
  <c r="AD203" i="40"/>
  <c r="AF203" i="40"/>
  <c r="H204" i="40"/>
  <c r="S204" i="40"/>
  <c r="U204" i="40"/>
  <c r="W204" i="40"/>
  <c r="Y204" i="40"/>
  <c r="J204" i="40"/>
  <c r="L204" i="40"/>
  <c r="M204" i="40"/>
  <c r="N204" i="40"/>
  <c r="AA204" i="40"/>
  <c r="AE204" i="40"/>
  <c r="AB204" i="40"/>
  <c r="I204" i="40"/>
  <c r="T204" i="40"/>
  <c r="V204" i="40"/>
  <c r="X204" i="40"/>
  <c r="Z204" i="40"/>
  <c r="K204" i="40"/>
  <c r="O204" i="40"/>
  <c r="P204" i="40"/>
  <c r="Q204" i="40"/>
  <c r="AC204" i="40"/>
  <c r="R204" i="40"/>
  <c r="G204" i="40"/>
  <c r="AD204" i="40"/>
  <c r="AF204" i="40"/>
  <c r="H205" i="40"/>
  <c r="S205" i="40"/>
  <c r="U205" i="40"/>
  <c r="W205" i="40"/>
  <c r="Y205" i="40"/>
  <c r="J205" i="40"/>
  <c r="L205" i="40"/>
  <c r="M205" i="40"/>
  <c r="N205" i="40"/>
  <c r="AA205" i="40"/>
  <c r="AE205" i="40"/>
  <c r="AB205" i="40"/>
  <c r="I205" i="40"/>
  <c r="T205" i="40"/>
  <c r="V205" i="40"/>
  <c r="X205" i="40"/>
  <c r="Z205" i="40"/>
  <c r="K205" i="40"/>
  <c r="O205" i="40"/>
  <c r="P205" i="40"/>
  <c r="Q205" i="40"/>
  <c r="AC205" i="40"/>
  <c r="R205" i="40"/>
  <c r="G205" i="40"/>
  <c r="AD205" i="40"/>
  <c r="AF205" i="40"/>
  <c r="H206" i="40"/>
  <c r="S206" i="40"/>
  <c r="U206" i="40"/>
  <c r="W206" i="40"/>
  <c r="Y206" i="40"/>
  <c r="J206" i="40"/>
  <c r="L206" i="40"/>
  <c r="M206" i="40"/>
  <c r="N206" i="40"/>
  <c r="AA206" i="40"/>
  <c r="AE206" i="40"/>
  <c r="AB206" i="40"/>
  <c r="I206" i="40"/>
  <c r="T206" i="40"/>
  <c r="V206" i="40"/>
  <c r="X206" i="40"/>
  <c r="Z206" i="40"/>
  <c r="K206" i="40"/>
  <c r="O206" i="40"/>
  <c r="P206" i="40"/>
  <c r="Q206" i="40"/>
  <c r="AC206" i="40"/>
  <c r="R206" i="40"/>
  <c r="G206" i="40"/>
  <c r="AD206" i="40"/>
  <c r="AF206" i="40"/>
  <c r="H207" i="40"/>
  <c r="S207" i="40"/>
  <c r="U207" i="40"/>
  <c r="W207" i="40"/>
  <c r="Y207" i="40"/>
  <c r="J207" i="40"/>
  <c r="L207" i="40"/>
  <c r="M207" i="40"/>
  <c r="N207" i="40"/>
  <c r="AA207" i="40"/>
  <c r="AE207" i="40"/>
  <c r="AB207" i="40"/>
  <c r="I207" i="40"/>
  <c r="T207" i="40"/>
  <c r="V207" i="40"/>
  <c r="X207" i="40"/>
  <c r="Z207" i="40"/>
  <c r="K207" i="40"/>
  <c r="O207" i="40"/>
  <c r="P207" i="40"/>
  <c r="Q207" i="40"/>
  <c r="AC207" i="40"/>
  <c r="R207" i="40"/>
  <c r="G207" i="40"/>
  <c r="AD207" i="40"/>
  <c r="AF207" i="40"/>
  <c r="H208" i="40"/>
  <c r="S208" i="40"/>
  <c r="U208" i="40"/>
  <c r="W208" i="40"/>
  <c r="Y208" i="40"/>
  <c r="J208" i="40"/>
  <c r="L208" i="40"/>
  <c r="M208" i="40"/>
  <c r="N208" i="40"/>
  <c r="AA208" i="40"/>
  <c r="AE208" i="40"/>
  <c r="AB208" i="40"/>
  <c r="I208" i="40"/>
  <c r="T208" i="40"/>
  <c r="V208" i="40"/>
  <c r="X208" i="40"/>
  <c r="Z208" i="40"/>
  <c r="K208" i="40"/>
  <c r="O208" i="40"/>
  <c r="P208" i="40"/>
  <c r="Q208" i="40"/>
  <c r="AC208" i="40"/>
  <c r="R208" i="40"/>
  <c r="G208" i="40"/>
  <c r="AD208" i="40"/>
  <c r="AF208" i="40"/>
  <c r="H209" i="40"/>
  <c r="S209" i="40"/>
  <c r="U209" i="40"/>
  <c r="W209" i="40"/>
  <c r="Y209" i="40"/>
  <c r="J209" i="40"/>
  <c r="L209" i="40"/>
  <c r="M209" i="40"/>
  <c r="N209" i="40"/>
  <c r="AA209" i="40"/>
  <c r="AE209" i="40"/>
  <c r="AB209" i="40"/>
  <c r="I209" i="40"/>
  <c r="T209" i="40"/>
  <c r="V209" i="40"/>
  <c r="X209" i="40"/>
  <c r="Z209" i="40"/>
  <c r="K209" i="40"/>
  <c r="O209" i="40"/>
  <c r="P209" i="40"/>
  <c r="Q209" i="40"/>
  <c r="AC209" i="40"/>
  <c r="R209" i="40"/>
  <c r="G209" i="40"/>
  <c r="AD209" i="40"/>
  <c r="AF209" i="40"/>
  <c r="H210" i="40"/>
  <c r="S210" i="40"/>
  <c r="U210" i="40"/>
  <c r="W210" i="40"/>
  <c r="Y210" i="40"/>
  <c r="J210" i="40"/>
  <c r="L210" i="40"/>
  <c r="M210" i="40"/>
  <c r="N210" i="40"/>
  <c r="AA210" i="40"/>
  <c r="AE210" i="40"/>
  <c r="AB210" i="40"/>
  <c r="I210" i="40"/>
  <c r="T210" i="40"/>
  <c r="V210" i="40"/>
  <c r="X210" i="40"/>
  <c r="Z210" i="40"/>
  <c r="K210" i="40"/>
  <c r="O210" i="40"/>
  <c r="P210" i="40"/>
  <c r="Q210" i="40"/>
  <c r="AC210" i="40"/>
  <c r="R210" i="40"/>
  <c r="G210" i="40"/>
  <c r="AD210" i="40"/>
  <c r="AF210" i="40"/>
  <c r="H211" i="40"/>
  <c r="S211" i="40"/>
  <c r="U211" i="40"/>
  <c r="W211" i="40"/>
  <c r="Y211" i="40"/>
  <c r="J211" i="40"/>
  <c r="L211" i="40"/>
  <c r="M211" i="40"/>
  <c r="N211" i="40"/>
  <c r="AA211" i="40"/>
  <c r="AE211" i="40"/>
  <c r="AB211" i="40"/>
  <c r="I211" i="40"/>
  <c r="T211" i="40"/>
  <c r="V211" i="40"/>
  <c r="X211" i="40"/>
  <c r="Z211" i="40"/>
  <c r="K211" i="40"/>
  <c r="O211" i="40"/>
  <c r="P211" i="40"/>
  <c r="Q211" i="40"/>
  <c r="AC211" i="40"/>
  <c r="R211" i="40"/>
  <c r="G211" i="40"/>
  <c r="AD211" i="40"/>
  <c r="AF211" i="40"/>
  <c r="H212" i="40"/>
  <c r="S212" i="40"/>
  <c r="U212" i="40"/>
  <c r="W212" i="40"/>
  <c r="Y212" i="40"/>
  <c r="J212" i="40"/>
  <c r="L212" i="40"/>
  <c r="M212" i="40"/>
  <c r="N212" i="40"/>
  <c r="AA212" i="40"/>
  <c r="AE212" i="40"/>
  <c r="AB212" i="40"/>
  <c r="I212" i="40"/>
  <c r="T212" i="40"/>
  <c r="V212" i="40"/>
  <c r="X212" i="40"/>
  <c r="Z212" i="40"/>
  <c r="K212" i="40"/>
  <c r="O212" i="40"/>
  <c r="P212" i="40"/>
  <c r="Q212" i="40"/>
  <c r="AC212" i="40"/>
  <c r="R212" i="40"/>
  <c r="G212" i="40"/>
  <c r="AD212" i="40"/>
  <c r="AF212" i="40"/>
  <c r="H213" i="40"/>
  <c r="S213" i="40"/>
  <c r="U213" i="40"/>
  <c r="W213" i="40"/>
  <c r="Y213" i="40"/>
  <c r="J213" i="40"/>
  <c r="L213" i="40"/>
  <c r="M213" i="40"/>
  <c r="N213" i="40"/>
  <c r="AA213" i="40"/>
  <c r="AE213" i="40"/>
  <c r="AB213" i="40"/>
  <c r="I213" i="40"/>
  <c r="T213" i="40"/>
  <c r="V213" i="40"/>
  <c r="X213" i="40"/>
  <c r="Z213" i="40"/>
  <c r="K213" i="40"/>
  <c r="O213" i="40"/>
  <c r="P213" i="40"/>
  <c r="Q213" i="40"/>
  <c r="AC213" i="40"/>
  <c r="R213" i="40"/>
  <c r="G213" i="40"/>
  <c r="AD213" i="40"/>
  <c r="AF213" i="40"/>
  <c r="H214" i="40"/>
  <c r="S214" i="40"/>
  <c r="U214" i="40"/>
  <c r="W214" i="40"/>
  <c r="Y214" i="40"/>
  <c r="J214" i="40"/>
  <c r="L214" i="40"/>
  <c r="M214" i="40"/>
  <c r="N214" i="40"/>
  <c r="AA214" i="40"/>
  <c r="AE214" i="40"/>
  <c r="AB214" i="40"/>
  <c r="I214" i="40"/>
  <c r="T214" i="40"/>
  <c r="V214" i="40"/>
  <c r="X214" i="40"/>
  <c r="Z214" i="40"/>
  <c r="K214" i="40"/>
  <c r="O214" i="40"/>
  <c r="P214" i="40"/>
  <c r="Q214" i="40"/>
  <c r="AC214" i="40"/>
  <c r="R214" i="40"/>
  <c r="G214" i="40"/>
  <c r="AD214" i="40"/>
  <c r="AF214" i="40"/>
  <c r="H215" i="40"/>
  <c r="S215" i="40"/>
  <c r="U215" i="40"/>
  <c r="W215" i="40"/>
  <c r="Y215" i="40"/>
  <c r="J215" i="40"/>
  <c r="L215" i="40"/>
  <c r="M215" i="40"/>
  <c r="N215" i="40"/>
  <c r="AA215" i="40"/>
  <c r="AE215" i="40"/>
  <c r="AB215" i="40"/>
  <c r="I215" i="40"/>
  <c r="T215" i="40"/>
  <c r="V215" i="40"/>
  <c r="X215" i="40"/>
  <c r="Z215" i="40"/>
  <c r="K215" i="40"/>
  <c r="O215" i="40"/>
  <c r="P215" i="40"/>
  <c r="Q215" i="40"/>
  <c r="AC215" i="40"/>
  <c r="R215" i="40"/>
  <c r="G215" i="40"/>
  <c r="AD215" i="40"/>
  <c r="AF215" i="40"/>
  <c r="H216" i="40"/>
  <c r="S216" i="40"/>
  <c r="U216" i="40"/>
  <c r="W216" i="40"/>
  <c r="Y216" i="40"/>
  <c r="J216" i="40"/>
  <c r="L216" i="40"/>
  <c r="M216" i="40"/>
  <c r="N216" i="40"/>
  <c r="AA216" i="40"/>
  <c r="AE216" i="40"/>
  <c r="AB216" i="40"/>
  <c r="I216" i="40"/>
  <c r="T216" i="40"/>
  <c r="V216" i="40"/>
  <c r="X216" i="40"/>
  <c r="Z216" i="40"/>
  <c r="K216" i="40"/>
  <c r="O216" i="40"/>
  <c r="P216" i="40"/>
  <c r="Q216" i="40"/>
  <c r="AC216" i="40"/>
  <c r="R216" i="40"/>
  <c r="G216" i="40"/>
  <c r="AD216" i="40"/>
  <c r="AF216" i="40"/>
  <c r="H217" i="40"/>
  <c r="S217" i="40"/>
  <c r="U217" i="40"/>
  <c r="W217" i="40"/>
  <c r="Y217" i="40"/>
  <c r="J217" i="40"/>
  <c r="L217" i="40"/>
  <c r="M217" i="40"/>
  <c r="N217" i="40"/>
  <c r="AA217" i="40"/>
  <c r="AE217" i="40"/>
  <c r="AB217" i="40"/>
  <c r="I217" i="40"/>
  <c r="T217" i="40"/>
  <c r="V217" i="40"/>
  <c r="X217" i="40"/>
  <c r="Z217" i="40"/>
  <c r="K217" i="40"/>
  <c r="O217" i="40"/>
  <c r="P217" i="40"/>
  <c r="Q217" i="40"/>
  <c r="AC217" i="40"/>
  <c r="R217" i="40"/>
  <c r="G217" i="40"/>
  <c r="AD217" i="40"/>
  <c r="AF217" i="40"/>
  <c r="H218" i="40"/>
  <c r="S218" i="40"/>
  <c r="U218" i="40"/>
  <c r="W218" i="40"/>
  <c r="Y218" i="40"/>
  <c r="J218" i="40"/>
  <c r="L218" i="40"/>
  <c r="M218" i="40"/>
  <c r="N218" i="40"/>
  <c r="AA218" i="40"/>
  <c r="AE218" i="40"/>
  <c r="AB218" i="40"/>
  <c r="I218" i="40"/>
  <c r="T218" i="40"/>
  <c r="V218" i="40"/>
  <c r="X218" i="40"/>
  <c r="Z218" i="40"/>
  <c r="K218" i="40"/>
  <c r="O218" i="40"/>
  <c r="P218" i="40"/>
  <c r="Q218" i="40"/>
  <c r="AC218" i="40"/>
  <c r="R218" i="40"/>
  <c r="G218" i="40"/>
  <c r="AD218" i="40"/>
  <c r="AF218" i="40"/>
  <c r="H219" i="40"/>
  <c r="S219" i="40"/>
  <c r="U219" i="40"/>
  <c r="W219" i="40"/>
  <c r="Y219" i="40"/>
  <c r="J219" i="40"/>
  <c r="L219" i="40"/>
  <c r="M219" i="40"/>
  <c r="N219" i="40"/>
  <c r="AA219" i="40"/>
  <c r="AE219" i="40"/>
  <c r="AB219" i="40"/>
  <c r="I219" i="40"/>
  <c r="T219" i="40"/>
  <c r="V219" i="40"/>
  <c r="X219" i="40"/>
  <c r="Z219" i="40"/>
  <c r="K219" i="40"/>
  <c r="O219" i="40"/>
  <c r="P219" i="40"/>
  <c r="Q219" i="40"/>
  <c r="AC219" i="40"/>
  <c r="R219" i="40"/>
  <c r="G219" i="40"/>
  <c r="AD219" i="40"/>
  <c r="AF219" i="40"/>
  <c r="H220" i="40"/>
  <c r="S220" i="40"/>
  <c r="U220" i="40"/>
  <c r="W220" i="40"/>
  <c r="Y220" i="40"/>
  <c r="J220" i="40"/>
  <c r="L220" i="40"/>
  <c r="M220" i="40"/>
  <c r="N220" i="40"/>
  <c r="AA220" i="40"/>
  <c r="AE220" i="40"/>
  <c r="AB220" i="40"/>
  <c r="I220" i="40"/>
  <c r="T220" i="40"/>
  <c r="V220" i="40"/>
  <c r="X220" i="40"/>
  <c r="Z220" i="40"/>
  <c r="K220" i="40"/>
  <c r="O220" i="40"/>
  <c r="P220" i="40"/>
  <c r="Q220" i="40"/>
  <c r="AC220" i="40"/>
  <c r="R220" i="40"/>
  <c r="G220" i="40"/>
  <c r="AD220" i="40"/>
  <c r="AF220" i="40"/>
  <c r="H221" i="40"/>
  <c r="S221" i="40"/>
  <c r="U221" i="40"/>
  <c r="W221" i="40"/>
  <c r="Y221" i="40"/>
  <c r="J221" i="40"/>
  <c r="L221" i="40"/>
  <c r="M221" i="40"/>
  <c r="N221" i="40"/>
  <c r="AA221" i="40"/>
  <c r="AE221" i="40"/>
  <c r="AB221" i="40"/>
  <c r="I221" i="40"/>
  <c r="T221" i="40"/>
  <c r="V221" i="40"/>
  <c r="X221" i="40"/>
  <c r="Z221" i="40"/>
  <c r="K221" i="40"/>
  <c r="O221" i="40"/>
  <c r="P221" i="40"/>
  <c r="Q221" i="40"/>
  <c r="AC221" i="40"/>
  <c r="R221" i="40"/>
  <c r="G221" i="40"/>
  <c r="AD221" i="40"/>
  <c r="AF221" i="40"/>
  <c r="H222" i="40"/>
  <c r="S222" i="40"/>
  <c r="U222" i="40"/>
  <c r="W222" i="40"/>
  <c r="Y222" i="40"/>
  <c r="J222" i="40"/>
  <c r="L222" i="40"/>
  <c r="M222" i="40"/>
  <c r="N222" i="40"/>
  <c r="AA222" i="40"/>
  <c r="AE222" i="40"/>
  <c r="AB222" i="40"/>
  <c r="I222" i="40"/>
  <c r="T222" i="40"/>
  <c r="V222" i="40"/>
  <c r="X222" i="40"/>
  <c r="Z222" i="40"/>
  <c r="K222" i="40"/>
  <c r="O222" i="40"/>
  <c r="P222" i="40"/>
  <c r="Q222" i="40"/>
  <c r="AC222" i="40"/>
  <c r="R222" i="40"/>
  <c r="G222" i="40"/>
  <c r="AD222" i="40"/>
  <c r="AF222" i="40"/>
  <c r="H223" i="40"/>
  <c r="S223" i="40"/>
  <c r="U223" i="40"/>
  <c r="W223" i="40"/>
  <c r="Y223" i="40"/>
  <c r="J223" i="40"/>
  <c r="L223" i="40"/>
  <c r="M223" i="40"/>
  <c r="N223" i="40"/>
  <c r="AA223" i="40"/>
  <c r="AE223" i="40"/>
  <c r="AB223" i="40"/>
  <c r="I223" i="40"/>
  <c r="T223" i="40"/>
  <c r="V223" i="40"/>
  <c r="X223" i="40"/>
  <c r="Z223" i="40"/>
  <c r="K223" i="40"/>
  <c r="O223" i="40"/>
  <c r="P223" i="40"/>
  <c r="Q223" i="40"/>
  <c r="AC223" i="40"/>
  <c r="R223" i="40"/>
  <c r="G223" i="40"/>
  <c r="AD223" i="40"/>
  <c r="AF223" i="40"/>
  <c r="H224" i="40"/>
  <c r="S224" i="40"/>
  <c r="U224" i="40"/>
  <c r="W224" i="40"/>
  <c r="Y224" i="40"/>
  <c r="J224" i="40"/>
  <c r="L224" i="40"/>
  <c r="M224" i="40"/>
  <c r="N224" i="40"/>
  <c r="AA224" i="40"/>
  <c r="AE224" i="40"/>
  <c r="AB224" i="40"/>
  <c r="I224" i="40"/>
  <c r="T224" i="40"/>
  <c r="V224" i="40"/>
  <c r="X224" i="40"/>
  <c r="Z224" i="40"/>
  <c r="K224" i="40"/>
  <c r="O224" i="40"/>
  <c r="P224" i="40"/>
  <c r="Q224" i="40"/>
  <c r="AC224" i="40"/>
  <c r="R224" i="40"/>
  <c r="G224" i="40"/>
  <c r="AD224" i="40"/>
  <c r="AF224" i="40"/>
  <c r="H225" i="40"/>
  <c r="S225" i="40"/>
  <c r="U225" i="40"/>
  <c r="W225" i="40"/>
  <c r="Y225" i="40"/>
  <c r="J225" i="40"/>
  <c r="L225" i="40"/>
  <c r="M225" i="40"/>
  <c r="N225" i="40"/>
  <c r="AA225" i="40"/>
  <c r="AE225" i="40"/>
  <c r="AB225" i="40"/>
  <c r="I225" i="40"/>
  <c r="T225" i="40"/>
  <c r="V225" i="40"/>
  <c r="X225" i="40"/>
  <c r="Z225" i="40"/>
  <c r="K225" i="40"/>
  <c r="O225" i="40"/>
  <c r="P225" i="40"/>
  <c r="Q225" i="40"/>
  <c r="AC225" i="40"/>
  <c r="R225" i="40"/>
  <c r="G225" i="40"/>
  <c r="AD225" i="40"/>
  <c r="AF225" i="40"/>
  <c r="H226" i="40"/>
  <c r="S226" i="40"/>
  <c r="U226" i="40"/>
  <c r="W226" i="40"/>
  <c r="Y226" i="40"/>
  <c r="J226" i="40"/>
  <c r="L226" i="40"/>
  <c r="M226" i="40"/>
  <c r="N226" i="40"/>
  <c r="AA226" i="40"/>
  <c r="AE226" i="40"/>
  <c r="AB226" i="40"/>
  <c r="I226" i="40"/>
  <c r="T226" i="40"/>
  <c r="V226" i="40"/>
  <c r="X226" i="40"/>
  <c r="Z226" i="40"/>
  <c r="K226" i="40"/>
  <c r="O226" i="40"/>
  <c r="P226" i="40"/>
  <c r="Q226" i="40"/>
  <c r="AC226" i="40"/>
  <c r="R226" i="40"/>
  <c r="G226" i="40"/>
  <c r="AD226" i="40"/>
  <c r="AF226" i="40"/>
  <c r="H227" i="40"/>
  <c r="S227" i="40"/>
  <c r="U227" i="40"/>
  <c r="W227" i="40"/>
  <c r="Y227" i="40"/>
  <c r="J227" i="40"/>
  <c r="L227" i="40"/>
  <c r="M227" i="40"/>
  <c r="N227" i="40"/>
  <c r="AA227" i="40"/>
  <c r="AE227" i="40"/>
  <c r="AB227" i="40"/>
  <c r="I227" i="40"/>
  <c r="T227" i="40"/>
  <c r="V227" i="40"/>
  <c r="X227" i="40"/>
  <c r="Z227" i="40"/>
  <c r="K227" i="40"/>
  <c r="O227" i="40"/>
  <c r="P227" i="40"/>
  <c r="Q227" i="40"/>
  <c r="AC227" i="40"/>
  <c r="R227" i="40"/>
  <c r="G227" i="40"/>
  <c r="AD227" i="40"/>
  <c r="AF227" i="40"/>
  <c r="H228" i="40"/>
  <c r="S228" i="40"/>
  <c r="U228" i="40"/>
  <c r="W228" i="40"/>
  <c r="Y228" i="40"/>
  <c r="J228" i="40"/>
  <c r="L228" i="40"/>
  <c r="M228" i="40"/>
  <c r="N228" i="40"/>
  <c r="AA228" i="40"/>
  <c r="AE228" i="40"/>
  <c r="AB228" i="40"/>
  <c r="I228" i="40"/>
  <c r="T228" i="40"/>
  <c r="V228" i="40"/>
  <c r="X228" i="40"/>
  <c r="Z228" i="40"/>
  <c r="K228" i="40"/>
  <c r="O228" i="40"/>
  <c r="P228" i="40"/>
  <c r="Q228" i="40"/>
  <c r="AC228" i="40"/>
  <c r="R228" i="40"/>
  <c r="G228" i="40"/>
  <c r="AD228" i="40"/>
  <c r="AF228" i="40"/>
  <c r="H229" i="40"/>
  <c r="S229" i="40"/>
  <c r="U229" i="40"/>
  <c r="W229" i="40"/>
  <c r="Y229" i="40"/>
  <c r="J229" i="40"/>
  <c r="L229" i="40"/>
  <c r="M229" i="40"/>
  <c r="N229" i="40"/>
  <c r="AA229" i="40"/>
  <c r="AE229" i="40"/>
  <c r="AB229" i="40"/>
  <c r="I229" i="40"/>
  <c r="T229" i="40"/>
  <c r="V229" i="40"/>
  <c r="X229" i="40"/>
  <c r="Z229" i="40"/>
  <c r="K229" i="40"/>
  <c r="O229" i="40"/>
  <c r="P229" i="40"/>
  <c r="Q229" i="40"/>
  <c r="AC229" i="40"/>
  <c r="R229" i="40"/>
  <c r="G229" i="40"/>
  <c r="AD229" i="40"/>
  <c r="AF229" i="40"/>
  <c r="H230" i="40"/>
  <c r="S230" i="40"/>
  <c r="U230" i="40"/>
  <c r="W230" i="40"/>
  <c r="Y230" i="40"/>
  <c r="J230" i="40"/>
  <c r="L230" i="40"/>
  <c r="M230" i="40"/>
  <c r="N230" i="40"/>
  <c r="AA230" i="40"/>
  <c r="AE230" i="40"/>
  <c r="AB230" i="40"/>
  <c r="I230" i="40"/>
  <c r="T230" i="40"/>
  <c r="V230" i="40"/>
  <c r="X230" i="40"/>
  <c r="Z230" i="40"/>
  <c r="K230" i="40"/>
  <c r="O230" i="40"/>
  <c r="P230" i="40"/>
  <c r="Q230" i="40"/>
  <c r="AC230" i="40"/>
  <c r="R230" i="40"/>
  <c r="G230" i="40"/>
  <c r="AD230" i="40"/>
  <c r="AF230" i="40"/>
  <c r="H231" i="40"/>
  <c r="S231" i="40"/>
  <c r="U231" i="40"/>
  <c r="W231" i="40"/>
  <c r="Y231" i="40"/>
  <c r="J231" i="40"/>
  <c r="L231" i="40"/>
  <c r="M231" i="40"/>
  <c r="N231" i="40"/>
  <c r="AA231" i="40"/>
  <c r="AE231" i="40"/>
  <c r="AB231" i="40"/>
  <c r="I231" i="40"/>
  <c r="T231" i="40"/>
  <c r="V231" i="40"/>
  <c r="X231" i="40"/>
  <c r="Z231" i="40"/>
  <c r="K231" i="40"/>
  <c r="O231" i="40"/>
  <c r="P231" i="40"/>
  <c r="Q231" i="40"/>
  <c r="AC231" i="40"/>
  <c r="R231" i="40"/>
  <c r="G231" i="40"/>
  <c r="AD231" i="40"/>
  <c r="AF231" i="40"/>
  <c r="H232" i="40"/>
  <c r="S232" i="40"/>
  <c r="U232" i="40"/>
  <c r="W232" i="40"/>
  <c r="Y232" i="40"/>
  <c r="J232" i="40"/>
  <c r="L232" i="40"/>
  <c r="M232" i="40"/>
  <c r="N232" i="40"/>
  <c r="AA232" i="40"/>
  <c r="AE232" i="40"/>
  <c r="AB232" i="40"/>
  <c r="I232" i="40"/>
  <c r="T232" i="40"/>
  <c r="V232" i="40"/>
  <c r="X232" i="40"/>
  <c r="Z232" i="40"/>
  <c r="K232" i="40"/>
  <c r="O232" i="40"/>
  <c r="P232" i="40"/>
  <c r="Q232" i="40"/>
  <c r="AC232" i="40"/>
  <c r="R232" i="40"/>
  <c r="G232" i="40"/>
  <c r="AD232" i="40"/>
  <c r="AF232" i="40"/>
  <c r="H233" i="40"/>
  <c r="S233" i="40"/>
  <c r="U233" i="40"/>
  <c r="W233" i="40"/>
  <c r="Y233" i="40"/>
  <c r="J233" i="40"/>
  <c r="L233" i="40"/>
  <c r="M233" i="40"/>
  <c r="N233" i="40"/>
  <c r="AA233" i="40"/>
  <c r="AE233" i="40"/>
  <c r="AB233" i="40"/>
  <c r="I233" i="40"/>
  <c r="T233" i="40"/>
  <c r="V233" i="40"/>
  <c r="X233" i="40"/>
  <c r="Z233" i="40"/>
  <c r="K233" i="40"/>
  <c r="O233" i="40"/>
  <c r="P233" i="40"/>
  <c r="Q233" i="40"/>
  <c r="AC233" i="40"/>
  <c r="R233" i="40"/>
  <c r="G233" i="40"/>
  <c r="AD233" i="40"/>
  <c r="AF233" i="40"/>
  <c r="H234" i="40"/>
  <c r="S234" i="40"/>
  <c r="U234" i="40"/>
  <c r="W234" i="40"/>
  <c r="Y234" i="40"/>
  <c r="J234" i="40"/>
  <c r="L234" i="40"/>
  <c r="M234" i="40"/>
  <c r="N234" i="40"/>
  <c r="AA234" i="40"/>
  <c r="AE234" i="40"/>
  <c r="AB234" i="40"/>
  <c r="I234" i="40"/>
  <c r="T234" i="40"/>
  <c r="V234" i="40"/>
  <c r="X234" i="40"/>
  <c r="Z234" i="40"/>
  <c r="K234" i="40"/>
  <c r="O234" i="40"/>
  <c r="P234" i="40"/>
  <c r="Q234" i="40"/>
  <c r="AC234" i="40"/>
  <c r="R234" i="40"/>
  <c r="G234" i="40"/>
  <c r="AD234" i="40"/>
  <c r="AF234" i="40"/>
  <c r="H235" i="40"/>
  <c r="S235" i="40"/>
  <c r="U235" i="40"/>
  <c r="W235" i="40"/>
  <c r="Y235" i="40"/>
  <c r="J235" i="40"/>
  <c r="L235" i="40"/>
  <c r="M235" i="40"/>
  <c r="N235" i="40"/>
  <c r="AA235" i="40"/>
  <c r="AE235" i="40"/>
  <c r="AB235" i="40"/>
  <c r="I235" i="40"/>
  <c r="T235" i="40"/>
  <c r="V235" i="40"/>
  <c r="X235" i="40"/>
  <c r="Z235" i="40"/>
  <c r="K235" i="40"/>
  <c r="O235" i="40"/>
  <c r="P235" i="40"/>
  <c r="Q235" i="40"/>
  <c r="AC235" i="40"/>
  <c r="R235" i="40"/>
  <c r="G235" i="40"/>
  <c r="AD235" i="40"/>
  <c r="AF235" i="40"/>
  <c r="H236" i="40"/>
  <c r="S236" i="40"/>
  <c r="U236" i="40"/>
  <c r="W236" i="40"/>
  <c r="Y236" i="40"/>
  <c r="J236" i="40"/>
  <c r="L236" i="40"/>
  <c r="M236" i="40"/>
  <c r="N236" i="40"/>
  <c r="AA236" i="40"/>
  <c r="AE236" i="40"/>
  <c r="AB236" i="40"/>
  <c r="I236" i="40"/>
  <c r="T236" i="40"/>
  <c r="V236" i="40"/>
  <c r="X236" i="40"/>
  <c r="Z236" i="40"/>
  <c r="K236" i="40"/>
  <c r="O236" i="40"/>
  <c r="P236" i="40"/>
  <c r="Q236" i="40"/>
  <c r="AC236" i="40"/>
  <c r="R236" i="40"/>
  <c r="G236" i="40"/>
  <c r="AD236" i="40"/>
  <c r="AF236" i="40"/>
  <c r="H237" i="40"/>
  <c r="S237" i="40"/>
  <c r="U237" i="40"/>
  <c r="W237" i="40"/>
  <c r="Y237" i="40"/>
  <c r="J237" i="40"/>
  <c r="L237" i="40"/>
  <c r="M237" i="40"/>
  <c r="N237" i="40"/>
  <c r="AA237" i="40"/>
  <c r="AE237" i="40"/>
  <c r="AB237" i="40"/>
  <c r="I237" i="40"/>
  <c r="T237" i="40"/>
  <c r="V237" i="40"/>
  <c r="X237" i="40"/>
  <c r="Z237" i="40"/>
  <c r="K237" i="40"/>
  <c r="O237" i="40"/>
  <c r="P237" i="40"/>
  <c r="Q237" i="40"/>
  <c r="AC237" i="40"/>
  <c r="R237" i="40"/>
  <c r="G237" i="40"/>
  <c r="AD237" i="40"/>
  <c r="AF237" i="40"/>
  <c r="H238" i="40"/>
  <c r="S238" i="40"/>
  <c r="U238" i="40"/>
  <c r="W238" i="40"/>
  <c r="Y238" i="40"/>
  <c r="J238" i="40"/>
  <c r="L238" i="40"/>
  <c r="M238" i="40"/>
  <c r="N238" i="40"/>
  <c r="AA238" i="40"/>
  <c r="AE238" i="40"/>
  <c r="AB238" i="40"/>
  <c r="I238" i="40"/>
  <c r="T238" i="40"/>
  <c r="V238" i="40"/>
  <c r="X238" i="40"/>
  <c r="Z238" i="40"/>
  <c r="K238" i="40"/>
  <c r="O238" i="40"/>
  <c r="P238" i="40"/>
  <c r="Q238" i="40"/>
  <c r="AC238" i="40"/>
  <c r="R238" i="40"/>
  <c r="G238" i="40"/>
  <c r="AD238" i="40"/>
  <c r="AF238" i="40"/>
  <c r="H239" i="40"/>
  <c r="S239" i="40"/>
  <c r="U239" i="40"/>
  <c r="W239" i="40"/>
  <c r="Y239" i="40"/>
  <c r="J239" i="40"/>
  <c r="L239" i="40"/>
  <c r="M239" i="40"/>
  <c r="N239" i="40"/>
  <c r="AA239" i="40"/>
  <c r="AE239" i="40"/>
  <c r="AB239" i="40"/>
  <c r="I239" i="40"/>
  <c r="T239" i="40"/>
  <c r="V239" i="40"/>
  <c r="X239" i="40"/>
  <c r="Z239" i="40"/>
  <c r="K239" i="40"/>
  <c r="O239" i="40"/>
  <c r="P239" i="40"/>
  <c r="Q239" i="40"/>
  <c r="AC239" i="40"/>
  <c r="R239" i="40"/>
  <c r="G239" i="40"/>
  <c r="AD239" i="40"/>
  <c r="AF239" i="40"/>
  <c r="H240" i="40"/>
  <c r="S240" i="40"/>
  <c r="U240" i="40"/>
  <c r="W240" i="40"/>
  <c r="Y240" i="40"/>
  <c r="J240" i="40"/>
  <c r="L240" i="40"/>
  <c r="M240" i="40"/>
  <c r="N240" i="40"/>
  <c r="AA240" i="40"/>
  <c r="AE240" i="40"/>
  <c r="AB240" i="40"/>
  <c r="I240" i="40"/>
  <c r="T240" i="40"/>
  <c r="V240" i="40"/>
  <c r="X240" i="40"/>
  <c r="Z240" i="40"/>
  <c r="K240" i="40"/>
  <c r="O240" i="40"/>
  <c r="P240" i="40"/>
  <c r="Q240" i="40"/>
  <c r="AC240" i="40"/>
  <c r="R240" i="40"/>
  <c r="G240" i="40"/>
  <c r="AD240" i="40"/>
  <c r="AF240" i="40"/>
  <c r="H241" i="40"/>
  <c r="S241" i="40"/>
  <c r="U241" i="40"/>
  <c r="W241" i="40"/>
  <c r="Y241" i="40"/>
  <c r="J241" i="40"/>
  <c r="L241" i="40"/>
  <c r="M241" i="40"/>
  <c r="N241" i="40"/>
  <c r="AA241" i="40"/>
  <c r="AE241" i="40"/>
  <c r="AB241" i="40"/>
  <c r="I241" i="40"/>
  <c r="T241" i="40"/>
  <c r="V241" i="40"/>
  <c r="X241" i="40"/>
  <c r="Z241" i="40"/>
  <c r="K241" i="40"/>
  <c r="O241" i="40"/>
  <c r="P241" i="40"/>
  <c r="Q241" i="40"/>
  <c r="AC241" i="40"/>
  <c r="R241" i="40"/>
  <c r="G241" i="40"/>
  <c r="AD241" i="40"/>
  <c r="AF241" i="40"/>
  <c r="H242" i="40"/>
  <c r="S242" i="40"/>
  <c r="U242" i="40"/>
  <c r="W242" i="40"/>
  <c r="Y242" i="40"/>
  <c r="J242" i="40"/>
  <c r="L242" i="40"/>
  <c r="M242" i="40"/>
  <c r="N242" i="40"/>
  <c r="AA242" i="40"/>
  <c r="AE242" i="40"/>
  <c r="AB242" i="40"/>
  <c r="I242" i="40"/>
  <c r="T242" i="40"/>
  <c r="V242" i="40"/>
  <c r="X242" i="40"/>
  <c r="Z242" i="40"/>
  <c r="K242" i="40"/>
  <c r="O242" i="40"/>
  <c r="P242" i="40"/>
  <c r="Q242" i="40"/>
  <c r="AC242" i="40"/>
  <c r="R242" i="40"/>
  <c r="G242" i="40"/>
  <c r="AD242" i="40"/>
  <c r="AF242" i="40"/>
  <c r="H243" i="40"/>
  <c r="S243" i="40"/>
  <c r="U243" i="40"/>
  <c r="W243" i="40"/>
  <c r="Y243" i="40"/>
  <c r="J243" i="40"/>
  <c r="L243" i="40"/>
  <c r="M243" i="40"/>
  <c r="N243" i="40"/>
  <c r="AA243" i="40"/>
  <c r="AE243" i="40"/>
  <c r="AB243" i="40"/>
  <c r="I243" i="40"/>
  <c r="T243" i="40"/>
  <c r="V243" i="40"/>
  <c r="X243" i="40"/>
  <c r="Z243" i="40"/>
  <c r="K243" i="40"/>
  <c r="O243" i="40"/>
  <c r="P243" i="40"/>
  <c r="Q243" i="40"/>
  <c r="AC243" i="40"/>
  <c r="R243" i="40"/>
  <c r="G243" i="40"/>
  <c r="AD243" i="40"/>
  <c r="AF243" i="40"/>
  <c r="H244" i="40"/>
  <c r="S244" i="40"/>
  <c r="U244" i="40"/>
  <c r="W244" i="40"/>
  <c r="Y244" i="40"/>
  <c r="J244" i="40"/>
  <c r="L244" i="40"/>
  <c r="M244" i="40"/>
  <c r="N244" i="40"/>
  <c r="AA244" i="40"/>
  <c r="AE244" i="40"/>
  <c r="AB244" i="40"/>
  <c r="I244" i="40"/>
  <c r="T244" i="40"/>
  <c r="V244" i="40"/>
  <c r="X244" i="40"/>
  <c r="Z244" i="40"/>
  <c r="K244" i="40"/>
  <c r="O244" i="40"/>
  <c r="P244" i="40"/>
  <c r="Q244" i="40"/>
  <c r="AC244" i="40"/>
  <c r="R244" i="40"/>
  <c r="G244" i="40"/>
  <c r="AD244" i="40"/>
  <c r="AF244" i="40"/>
  <c r="H245" i="40"/>
  <c r="S245" i="40"/>
  <c r="U245" i="40"/>
  <c r="W245" i="40"/>
  <c r="Y245" i="40"/>
  <c r="J245" i="40"/>
  <c r="L245" i="40"/>
  <c r="M245" i="40"/>
  <c r="N245" i="40"/>
  <c r="AA245" i="40"/>
  <c r="AE245" i="40"/>
  <c r="AB245" i="40"/>
  <c r="I245" i="40"/>
  <c r="T245" i="40"/>
  <c r="V245" i="40"/>
  <c r="X245" i="40"/>
  <c r="Z245" i="40"/>
  <c r="K245" i="40"/>
  <c r="O245" i="40"/>
  <c r="P245" i="40"/>
  <c r="Q245" i="40"/>
  <c r="AC245" i="40"/>
  <c r="R245" i="40"/>
  <c r="G245" i="40"/>
  <c r="AD245" i="40"/>
  <c r="AF245" i="40"/>
  <c r="H246" i="40"/>
  <c r="S246" i="40"/>
  <c r="U246" i="40"/>
  <c r="W246" i="40"/>
  <c r="Y246" i="40"/>
  <c r="J246" i="40"/>
  <c r="L246" i="40"/>
  <c r="M246" i="40"/>
  <c r="N246" i="40"/>
  <c r="AA246" i="40"/>
  <c r="AE246" i="40"/>
  <c r="AB246" i="40"/>
  <c r="I246" i="40"/>
  <c r="T246" i="40"/>
  <c r="V246" i="40"/>
  <c r="X246" i="40"/>
  <c r="Z246" i="40"/>
  <c r="K246" i="40"/>
  <c r="O246" i="40"/>
  <c r="P246" i="40"/>
  <c r="Q246" i="40"/>
  <c r="AC246" i="40"/>
  <c r="R246" i="40"/>
  <c r="G246" i="40"/>
  <c r="AD246" i="40"/>
  <c r="AF246" i="40"/>
  <c r="H247" i="40"/>
  <c r="S247" i="40"/>
  <c r="U247" i="40"/>
  <c r="W247" i="40"/>
  <c r="Y247" i="40"/>
  <c r="J247" i="40"/>
  <c r="L247" i="40"/>
  <c r="M247" i="40"/>
  <c r="N247" i="40"/>
  <c r="AA247" i="40"/>
  <c r="AE247" i="40"/>
  <c r="AB247" i="40"/>
  <c r="I247" i="40"/>
  <c r="T247" i="40"/>
  <c r="V247" i="40"/>
  <c r="X247" i="40"/>
  <c r="Z247" i="40"/>
  <c r="K247" i="40"/>
  <c r="O247" i="40"/>
  <c r="P247" i="40"/>
  <c r="Q247" i="40"/>
  <c r="AC247" i="40"/>
  <c r="R247" i="40"/>
  <c r="G247" i="40"/>
  <c r="AD247" i="40"/>
  <c r="AF247" i="40"/>
  <c r="H248" i="40"/>
  <c r="S248" i="40"/>
  <c r="U248" i="40"/>
  <c r="W248" i="40"/>
  <c r="Y248" i="40"/>
  <c r="J248" i="40"/>
  <c r="L248" i="40"/>
  <c r="M248" i="40"/>
  <c r="N248" i="40"/>
  <c r="AA248" i="40"/>
  <c r="AE248" i="40"/>
  <c r="AB248" i="40"/>
  <c r="I248" i="40"/>
  <c r="T248" i="40"/>
  <c r="V248" i="40"/>
  <c r="X248" i="40"/>
  <c r="Z248" i="40"/>
  <c r="K248" i="40"/>
  <c r="O248" i="40"/>
  <c r="P248" i="40"/>
  <c r="Q248" i="40"/>
  <c r="AC248" i="40"/>
  <c r="R248" i="40"/>
  <c r="G248" i="40"/>
  <c r="AD248" i="40"/>
  <c r="AF248" i="40"/>
  <c r="H249" i="40"/>
  <c r="S249" i="40"/>
  <c r="U249" i="40"/>
  <c r="W249" i="40"/>
  <c r="Y249" i="40"/>
  <c r="J249" i="40"/>
  <c r="L249" i="40"/>
  <c r="M249" i="40"/>
  <c r="N249" i="40"/>
  <c r="AA249" i="40"/>
  <c r="AE249" i="40"/>
  <c r="AB249" i="40"/>
  <c r="I249" i="40"/>
  <c r="T249" i="40"/>
  <c r="V249" i="40"/>
  <c r="X249" i="40"/>
  <c r="Z249" i="40"/>
  <c r="K249" i="40"/>
  <c r="O249" i="40"/>
  <c r="P249" i="40"/>
  <c r="Q249" i="40"/>
  <c r="AC249" i="40"/>
  <c r="R249" i="40"/>
  <c r="G249" i="40"/>
  <c r="AD249" i="40"/>
  <c r="AF249" i="40"/>
  <c r="H250" i="40"/>
  <c r="S250" i="40"/>
  <c r="U250" i="40"/>
  <c r="W250" i="40"/>
  <c r="Y250" i="40"/>
  <c r="J250" i="40"/>
  <c r="L250" i="40"/>
  <c r="M250" i="40"/>
  <c r="N250" i="40"/>
  <c r="AA250" i="40"/>
  <c r="AE250" i="40"/>
  <c r="AB250" i="40"/>
  <c r="I250" i="40"/>
  <c r="T250" i="40"/>
  <c r="V250" i="40"/>
  <c r="X250" i="40"/>
  <c r="Z250" i="40"/>
  <c r="K250" i="40"/>
  <c r="O250" i="40"/>
  <c r="P250" i="40"/>
  <c r="Q250" i="40"/>
  <c r="AC250" i="40"/>
  <c r="R250" i="40"/>
  <c r="G250" i="40"/>
  <c r="AD250" i="40"/>
  <c r="AF250" i="40"/>
  <c r="H251" i="40"/>
  <c r="S251" i="40"/>
  <c r="U251" i="40"/>
  <c r="W251" i="40"/>
  <c r="Y251" i="40"/>
  <c r="J251" i="40"/>
  <c r="L251" i="40"/>
  <c r="M251" i="40"/>
  <c r="N251" i="40"/>
  <c r="AA251" i="40"/>
  <c r="AE251" i="40"/>
  <c r="AB251" i="40"/>
  <c r="I251" i="40"/>
  <c r="T251" i="40"/>
  <c r="V251" i="40"/>
  <c r="X251" i="40"/>
  <c r="Z251" i="40"/>
  <c r="K251" i="40"/>
  <c r="O251" i="40"/>
  <c r="P251" i="40"/>
  <c r="Q251" i="40"/>
  <c r="AC251" i="40"/>
  <c r="R251" i="40"/>
  <c r="G251" i="40"/>
  <c r="AD251" i="40"/>
  <c r="AF251" i="40"/>
  <c r="H252" i="40"/>
  <c r="S252" i="40"/>
  <c r="U252" i="40"/>
  <c r="W252" i="40"/>
  <c r="Y252" i="40"/>
  <c r="J252" i="40"/>
  <c r="L252" i="40"/>
  <c r="M252" i="40"/>
  <c r="N252" i="40"/>
  <c r="AA252" i="40"/>
  <c r="AE252" i="40"/>
  <c r="AB252" i="40"/>
  <c r="I252" i="40"/>
  <c r="T252" i="40"/>
  <c r="V252" i="40"/>
  <c r="X252" i="40"/>
  <c r="Z252" i="40"/>
  <c r="K252" i="40"/>
  <c r="O252" i="40"/>
  <c r="P252" i="40"/>
  <c r="Q252" i="40"/>
  <c r="AC252" i="40"/>
  <c r="R252" i="40"/>
  <c r="G252" i="40"/>
  <c r="AD252" i="40"/>
  <c r="AF252" i="40"/>
  <c r="H253" i="40"/>
  <c r="S253" i="40"/>
  <c r="U253" i="40"/>
  <c r="W253" i="40"/>
  <c r="Y253" i="40"/>
  <c r="J253" i="40"/>
  <c r="L253" i="40"/>
  <c r="M253" i="40"/>
  <c r="N253" i="40"/>
  <c r="AA253" i="40"/>
  <c r="AE253" i="40"/>
  <c r="AB253" i="40"/>
  <c r="I253" i="40"/>
  <c r="T253" i="40"/>
  <c r="V253" i="40"/>
  <c r="X253" i="40"/>
  <c r="Z253" i="40"/>
  <c r="K253" i="40"/>
  <c r="O253" i="40"/>
  <c r="P253" i="40"/>
  <c r="Q253" i="40"/>
  <c r="AC253" i="40"/>
  <c r="R253" i="40"/>
  <c r="G253" i="40"/>
  <c r="AD253" i="40"/>
  <c r="AF253" i="40"/>
  <c r="H254" i="40"/>
  <c r="S254" i="40"/>
  <c r="U254" i="40"/>
  <c r="W254" i="40"/>
  <c r="Y254" i="40"/>
  <c r="J254" i="40"/>
  <c r="L254" i="40"/>
  <c r="M254" i="40"/>
  <c r="N254" i="40"/>
  <c r="AA254" i="40"/>
  <c r="AE254" i="40"/>
  <c r="AB254" i="40"/>
  <c r="I254" i="40"/>
  <c r="T254" i="40"/>
  <c r="V254" i="40"/>
  <c r="X254" i="40"/>
  <c r="Z254" i="40"/>
  <c r="K254" i="40"/>
  <c r="O254" i="40"/>
  <c r="P254" i="40"/>
  <c r="Q254" i="40"/>
  <c r="AC254" i="40"/>
  <c r="R254" i="40"/>
  <c r="G254" i="40"/>
  <c r="AD254" i="40"/>
  <c r="AF254" i="40"/>
  <c r="H255" i="40"/>
  <c r="S255" i="40"/>
  <c r="U255" i="40"/>
  <c r="W255" i="40"/>
  <c r="Y255" i="40"/>
  <c r="J255" i="40"/>
  <c r="L255" i="40"/>
  <c r="M255" i="40"/>
  <c r="N255" i="40"/>
  <c r="AA255" i="40"/>
  <c r="AE255" i="40"/>
  <c r="AB255" i="40"/>
  <c r="I255" i="40"/>
  <c r="T255" i="40"/>
  <c r="V255" i="40"/>
  <c r="X255" i="40"/>
  <c r="Z255" i="40"/>
  <c r="K255" i="40"/>
  <c r="O255" i="40"/>
  <c r="P255" i="40"/>
  <c r="Q255" i="40"/>
  <c r="AC255" i="40"/>
  <c r="R255" i="40"/>
  <c r="G255" i="40"/>
  <c r="AD255" i="40"/>
  <c r="AF255" i="40"/>
  <c r="H256" i="40"/>
  <c r="S256" i="40"/>
  <c r="U256" i="40"/>
  <c r="W256" i="40"/>
  <c r="Y256" i="40"/>
  <c r="J256" i="40"/>
  <c r="L256" i="40"/>
  <c r="M256" i="40"/>
  <c r="N256" i="40"/>
  <c r="AA256" i="40"/>
  <c r="AE256" i="40"/>
  <c r="AB256" i="40"/>
  <c r="I256" i="40"/>
  <c r="T256" i="40"/>
  <c r="V256" i="40"/>
  <c r="X256" i="40"/>
  <c r="Z256" i="40"/>
  <c r="K256" i="40"/>
  <c r="O256" i="40"/>
  <c r="P256" i="40"/>
  <c r="Q256" i="40"/>
  <c r="AC256" i="40"/>
  <c r="R256" i="40"/>
  <c r="G256" i="40"/>
  <c r="AD256" i="40"/>
  <c r="AF256" i="40"/>
  <c r="H257" i="40"/>
  <c r="S257" i="40"/>
  <c r="U257" i="40"/>
  <c r="W257" i="40"/>
  <c r="Y257" i="40"/>
  <c r="J257" i="40"/>
  <c r="L257" i="40"/>
  <c r="M257" i="40"/>
  <c r="N257" i="40"/>
  <c r="AA257" i="40"/>
  <c r="AE257" i="40"/>
  <c r="AB257" i="40"/>
  <c r="I257" i="40"/>
  <c r="T257" i="40"/>
  <c r="V257" i="40"/>
  <c r="X257" i="40"/>
  <c r="Z257" i="40"/>
  <c r="K257" i="40"/>
  <c r="O257" i="40"/>
  <c r="P257" i="40"/>
  <c r="Q257" i="40"/>
  <c r="AC257" i="40"/>
  <c r="R257" i="40"/>
  <c r="G257" i="40"/>
  <c r="AD257" i="40"/>
  <c r="AF257" i="40"/>
  <c r="H258" i="40"/>
  <c r="S258" i="40"/>
  <c r="U258" i="40"/>
  <c r="W258" i="40"/>
  <c r="Y258" i="40"/>
  <c r="J258" i="40"/>
  <c r="L258" i="40"/>
  <c r="M258" i="40"/>
  <c r="N258" i="40"/>
  <c r="AA258" i="40"/>
  <c r="AE258" i="40"/>
  <c r="AB258" i="40"/>
  <c r="I258" i="40"/>
  <c r="T258" i="40"/>
  <c r="V258" i="40"/>
  <c r="X258" i="40"/>
  <c r="Z258" i="40"/>
  <c r="K258" i="40"/>
  <c r="O258" i="40"/>
  <c r="P258" i="40"/>
  <c r="Q258" i="40"/>
  <c r="AC258" i="40"/>
  <c r="R258" i="40"/>
  <c r="G258" i="40"/>
  <c r="AD258" i="40"/>
  <c r="AF258" i="40"/>
  <c r="H259" i="40"/>
  <c r="S259" i="40"/>
  <c r="U259" i="40"/>
  <c r="W259" i="40"/>
  <c r="Y259" i="40"/>
  <c r="J259" i="40"/>
  <c r="L259" i="40"/>
  <c r="M259" i="40"/>
  <c r="N259" i="40"/>
  <c r="AA259" i="40"/>
  <c r="AE259" i="40"/>
  <c r="AB259" i="40"/>
  <c r="I259" i="40"/>
  <c r="T259" i="40"/>
  <c r="V259" i="40"/>
  <c r="X259" i="40"/>
  <c r="Z259" i="40"/>
  <c r="K259" i="40"/>
  <c r="O259" i="40"/>
  <c r="P259" i="40"/>
  <c r="Q259" i="40"/>
  <c r="AC259" i="40"/>
  <c r="R259" i="40"/>
  <c r="G259" i="40"/>
  <c r="AD259" i="40"/>
  <c r="AF259" i="40"/>
  <c r="H260" i="40"/>
  <c r="S260" i="40"/>
  <c r="U260" i="40"/>
  <c r="W260" i="40"/>
  <c r="Y260" i="40"/>
  <c r="J260" i="40"/>
  <c r="L260" i="40"/>
  <c r="M260" i="40"/>
  <c r="N260" i="40"/>
  <c r="AA260" i="40"/>
  <c r="AE260" i="40"/>
  <c r="AB260" i="40"/>
  <c r="I260" i="40"/>
  <c r="T260" i="40"/>
  <c r="V260" i="40"/>
  <c r="X260" i="40"/>
  <c r="Z260" i="40"/>
  <c r="K260" i="40"/>
  <c r="O260" i="40"/>
  <c r="P260" i="40"/>
  <c r="Q260" i="40"/>
  <c r="AC260" i="40"/>
  <c r="R260" i="40"/>
  <c r="G260" i="40"/>
  <c r="AD260" i="40"/>
  <c r="AF260" i="40"/>
  <c r="H261" i="40"/>
  <c r="S261" i="40"/>
  <c r="U261" i="40"/>
  <c r="W261" i="40"/>
  <c r="Y261" i="40"/>
  <c r="J261" i="40"/>
  <c r="L261" i="40"/>
  <c r="M261" i="40"/>
  <c r="N261" i="40"/>
  <c r="AA261" i="40"/>
  <c r="AE261" i="40"/>
  <c r="AB261" i="40"/>
  <c r="I261" i="40"/>
  <c r="T261" i="40"/>
  <c r="V261" i="40"/>
  <c r="X261" i="40"/>
  <c r="Z261" i="40"/>
  <c r="K261" i="40"/>
  <c r="O261" i="40"/>
  <c r="P261" i="40"/>
  <c r="Q261" i="40"/>
  <c r="AC261" i="40"/>
  <c r="R261" i="40"/>
  <c r="G261" i="40"/>
  <c r="AD261" i="40"/>
  <c r="AF261" i="40"/>
  <c r="H262" i="40"/>
  <c r="S262" i="40"/>
  <c r="U262" i="40"/>
  <c r="W262" i="40"/>
  <c r="Y262" i="40"/>
  <c r="J262" i="40"/>
  <c r="L262" i="40"/>
  <c r="M262" i="40"/>
  <c r="N262" i="40"/>
  <c r="AA262" i="40"/>
  <c r="AE262" i="40"/>
  <c r="AB262" i="40"/>
  <c r="I262" i="40"/>
  <c r="T262" i="40"/>
  <c r="V262" i="40"/>
  <c r="X262" i="40"/>
  <c r="Z262" i="40"/>
  <c r="K262" i="40"/>
  <c r="O262" i="40"/>
  <c r="P262" i="40"/>
  <c r="Q262" i="40"/>
  <c r="AC262" i="40"/>
  <c r="R262" i="40"/>
  <c r="G262" i="40"/>
  <c r="AD262" i="40"/>
  <c r="AF262" i="40"/>
  <c r="H263" i="40"/>
  <c r="S263" i="40"/>
  <c r="U263" i="40"/>
  <c r="W263" i="40"/>
  <c r="Y263" i="40"/>
  <c r="J263" i="40"/>
  <c r="L263" i="40"/>
  <c r="M263" i="40"/>
  <c r="N263" i="40"/>
  <c r="AA263" i="40"/>
  <c r="AE263" i="40"/>
  <c r="AB263" i="40"/>
  <c r="I263" i="40"/>
  <c r="T263" i="40"/>
  <c r="V263" i="40"/>
  <c r="X263" i="40"/>
  <c r="Z263" i="40"/>
  <c r="K263" i="40"/>
  <c r="O263" i="40"/>
  <c r="P263" i="40"/>
  <c r="Q263" i="40"/>
  <c r="AC263" i="40"/>
  <c r="R263" i="40"/>
  <c r="G263" i="40"/>
  <c r="AD263" i="40"/>
  <c r="AF263" i="40"/>
  <c r="H264" i="40"/>
  <c r="S264" i="40"/>
  <c r="U264" i="40"/>
  <c r="W264" i="40"/>
  <c r="Y264" i="40"/>
  <c r="J264" i="40"/>
  <c r="L264" i="40"/>
  <c r="M264" i="40"/>
  <c r="N264" i="40"/>
  <c r="AA264" i="40"/>
  <c r="AE264" i="40"/>
  <c r="AB264" i="40"/>
  <c r="I264" i="40"/>
  <c r="T264" i="40"/>
  <c r="V264" i="40"/>
  <c r="X264" i="40"/>
  <c r="Z264" i="40"/>
  <c r="K264" i="40"/>
  <c r="O264" i="40"/>
  <c r="P264" i="40"/>
  <c r="Q264" i="40"/>
  <c r="AC264" i="40"/>
  <c r="R264" i="40"/>
  <c r="G264" i="40"/>
  <c r="AD264" i="40"/>
  <c r="AF264" i="40"/>
  <c r="H265" i="40"/>
  <c r="S265" i="40"/>
  <c r="U265" i="40"/>
  <c r="W265" i="40"/>
  <c r="Y265" i="40"/>
  <c r="J265" i="40"/>
  <c r="L265" i="40"/>
  <c r="M265" i="40"/>
  <c r="N265" i="40"/>
  <c r="AA265" i="40"/>
  <c r="AE265" i="40"/>
  <c r="AB265" i="40"/>
  <c r="I265" i="40"/>
  <c r="T265" i="40"/>
  <c r="V265" i="40"/>
  <c r="X265" i="40"/>
  <c r="Z265" i="40"/>
  <c r="K265" i="40"/>
  <c r="O265" i="40"/>
  <c r="P265" i="40"/>
  <c r="Q265" i="40"/>
  <c r="AC265" i="40"/>
  <c r="R265" i="40"/>
  <c r="G265" i="40"/>
  <c r="AD265" i="40"/>
  <c r="AF265" i="40"/>
  <c r="H266" i="40"/>
  <c r="S266" i="40"/>
  <c r="U266" i="40"/>
  <c r="W266" i="40"/>
  <c r="Y266" i="40"/>
  <c r="J266" i="40"/>
  <c r="L266" i="40"/>
  <c r="M266" i="40"/>
  <c r="N266" i="40"/>
  <c r="AA266" i="40"/>
  <c r="AE266" i="40"/>
  <c r="AB266" i="40"/>
  <c r="I266" i="40"/>
  <c r="T266" i="40"/>
  <c r="V266" i="40"/>
  <c r="X266" i="40"/>
  <c r="Z266" i="40"/>
  <c r="K266" i="40"/>
  <c r="O266" i="40"/>
  <c r="P266" i="40"/>
  <c r="Q266" i="40"/>
  <c r="AC266" i="40"/>
  <c r="R266" i="40"/>
  <c r="G266" i="40"/>
  <c r="AD266" i="40"/>
  <c r="AF266" i="40"/>
  <c r="H267" i="40"/>
  <c r="S267" i="40"/>
  <c r="U267" i="40"/>
  <c r="W267" i="40"/>
  <c r="Y267" i="40"/>
  <c r="J267" i="40"/>
  <c r="L267" i="40"/>
  <c r="M267" i="40"/>
  <c r="N267" i="40"/>
  <c r="AA267" i="40"/>
  <c r="AE267" i="40"/>
  <c r="AB267" i="40"/>
  <c r="I267" i="40"/>
  <c r="T267" i="40"/>
  <c r="V267" i="40"/>
  <c r="X267" i="40"/>
  <c r="Z267" i="40"/>
  <c r="K267" i="40"/>
  <c r="O267" i="40"/>
  <c r="P267" i="40"/>
  <c r="Q267" i="40"/>
  <c r="AC267" i="40"/>
  <c r="R267" i="40"/>
  <c r="G267" i="40"/>
  <c r="AD267" i="40"/>
  <c r="AF267" i="40"/>
  <c r="H268" i="40"/>
  <c r="S268" i="40"/>
  <c r="U268" i="40"/>
  <c r="W268" i="40"/>
  <c r="Y268" i="40"/>
  <c r="J268" i="40"/>
  <c r="L268" i="40"/>
  <c r="M268" i="40"/>
  <c r="N268" i="40"/>
  <c r="AA268" i="40"/>
  <c r="AE268" i="40"/>
  <c r="AB268" i="40"/>
  <c r="I268" i="40"/>
  <c r="T268" i="40"/>
  <c r="V268" i="40"/>
  <c r="X268" i="40"/>
  <c r="Z268" i="40"/>
  <c r="K268" i="40"/>
  <c r="O268" i="40"/>
  <c r="P268" i="40"/>
  <c r="Q268" i="40"/>
  <c r="AC268" i="40"/>
  <c r="R268" i="40"/>
  <c r="G268" i="40"/>
  <c r="AD268" i="40"/>
  <c r="AF268" i="40"/>
  <c r="H269" i="40"/>
  <c r="S269" i="40"/>
  <c r="U269" i="40"/>
  <c r="W269" i="40"/>
  <c r="Y269" i="40"/>
  <c r="J269" i="40"/>
  <c r="L269" i="40"/>
  <c r="M269" i="40"/>
  <c r="N269" i="40"/>
  <c r="AA269" i="40"/>
  <c r="AE269" i="40"/>
  <c r="AB269" i="40"/>
  <c r="I269" i="40"/>
  <c r="T269" i="40"/>
  <c r="V269" i="40"/>
  <c r="X269" i="40"/>
  <c r="Z269" i="40"/>
  <c r="K269" i="40"/>
  <c r="O269" i="40"/>
  <c r="P269" i="40"/>
  <c r="Q269" i="40"/>
  <c r="AC269" i="40"/>
  <c r="R269" i="40"/>
  <c r="G269" i="40"/>
  <c r="AD269" i="40"/>
  <c r="AF269" i="40"/>
  <c r="H270" i="40"/>
  <c r="S270" i="40"/>
  <c r="U270" i="40"/>
  <c r="W270" i="40"/>
  <c r="Y270" i="40"/>
  <c r="J270" i="40"/>
  <c r="L270" i="40"/>
  <c r="M270" i="40"/>
  <c r="N270" i="40"/>
  <c r="AA270" i="40"/>
  <c r="AE270" i="40"/>
  <c r="AB270" i="40"/>
  <c r="I270" i="40"/>
  <c r="T270" i="40"/>
  <c r="V270" i="40"/>
  <c r="X270" i="40"/>
  <c r="Z270" i="40"/>
  <c r="K270" i="40"/>
  <c r="O270" i="40"/>
  <c r="P270" i="40"/>
  <c r="Q270" i="40"/>
  <c r="AC270" i="40"/>
  <c r="R270" i="40"/>
  <c r="G270" i="40"/>
  <c r="AD270" i="40"/>
  <c r="AF270" i="40"/>
  <c r="H271" i="40"/>
  <c r="S271" i="40"/>
  <c r="U271" i="40"/>
  <c r="W271" i="40"/>
  <c r="Y271" i="40"/>
  <c r="J271" i="40"/>
  <c r="L271" i="40"/>
  <c r="M271" i="40"/>
  <c r="N271" i="40"/>
  <c r="AA271" i="40"/>
  <c r="AE271" i="40"/>
  <c r="AB271" i="40"/>
  <c r="I271" i="40"/>
  <c r="T271" i="40"/>
  <c r="V271" i="40"/>
  <c r="X271" i="40"/>
  <c r="Z271" i="40"/>
  <c r="K271" i="40"/>
  <c r="O271" i="40"/>
  <c r="P271" i="40"/>
  <c r="Q271" i="40"/>
  <c r="AC271" i="40"/>
  <c r="R271" i="40"/>
  <c r="G271" i="40"/>
  <c r="AD271" i="40"/>
  <c r="AF271" i="40"/>
  <c r="H272" i="40"/>
  <c r="S272" i="40"/>
  <c r="U272" i="40"/>
  <c r="W272" i="40"/>
  <c r="Y272" i="40"/>
  <c r="J272" i="40"/>
  <c r="L272" i="40"/>
  <c r="M272" i="40"/>
  <c r="N272" i="40"/>
  <c r="AA272" i="40"/>
  <c r="AE272" i="40"/>
  <c r="AB272" i="40"/>
  <c r="I272" i="40"/>
  <c r="T272" i="40"/>
  <c r="V272" i="40"/>
  <c r="X272" i="40"/>
  <c r="Z272" i="40"/>
  <c r="K272" i="40"/>
  <c r="O272" i="40"/>
  <c r="P272" i="40"/>
  <c r="Q272" i="40"/>
  <c r="AC272" i="40"/>
  <c r="R272" i="40"/>
  <c r="G272" i="40"/>
  <c r="AD272" i="40"/>
  <c r="AF272" i="40"/>
  <c r="H273" i="40"/>
  <c r="S273" i="40"/>
  <c r="U273" i="40"/>
  <c r="W273" i="40"/>
  <c r="Y273" i="40"/>
  <c r="J273" i="40"/>
  <c r="L273" i="40"/>
  <c r="M273" i="40"/>
  <c r="N273" i="40"/>
  <c r="AA273" i="40"/>
  <c r="AE273" i="40"/>
  <c r="AB273" i="40"/>
  <c r="I273" i="40"/>
  <c r="T273" i="40"/>
  <c r="V273" i="40"/>
  <c r="X273" i="40"/>
  <c r="Z273" i="40"/>
  <c r="K273" i="40"/>
  <c r="O273" i="40"/>
  <c r="P273" i="40"/>
  <c r="Q273" i="40"/>
  <c r="AC273" i="40"/>
  <c r="R273" i="40"/>
  <c r="G273" i="40"/>
  <c r="AD273" i="40"/>
  <c r="AF273" i="40"/>
  <c r="H274" i="40"/>
  <c r="S274" i="40"/>
  <c r="U274" i="40"/>
  <c r="W274" i="40"/>
  <c r="Y274" i="40"/>
  <c r="J274" i="40"/>
  <c r="L274" i="40"/>
  <c r="M274" i="40"/>
  <c r="N274" i="40"/>
  <c r="AA274" i="40"/>
  <c r="AE274" i="40"/>
  <c r="AB274" i="40"/>
  <c r="I274" i="40"/>
  <c r="T274" i="40"/>
  <c r="V274" i="40"/>
  <c r="X274" i="40"/>
  <c r="Z274" i="40"/>
  <c r="K274" i="40"/>
  <c r="O274" i="40"/>
  <c r="P274" i="40"/>
  <c r="Q274" i="40"/>
  <c r="AC274" i="40"/>
  <c r="R274" i="40"/>
  <c r="G274" i="40"/>
  <c r="AD274" i="40"/>
  <c r="AF274" i="40"/>
  <c r="H275" i="40"/>
  <c r="S275" i="40"/>
  <c r="U275" i="40"/>
  <c r="W275" i="40"/>
  <c r="Y275" i="40"/>
  <c r="J275" i="40"/>
  <c r="L275" i="40"/>
  <c r="M275" i="40"/>
  <c r="N275" i="40"/>
  <c r="AA275" i="40"/>
  <c r="AE275" i="40"/>
  <c r="AB275" i="40"/>
  <c r="I275" i="40"/>
  <c r="T275" i="40"/>
  <c r="V275" i="40"/>
  <c r="X275" i="40"/>
  <c r="Z275" i="40"/>
  <c r="K275" i="40"/>
  <c r="O275" i="40"/>
  <c r="P275" i="40"/>
  <c r="Q275" i="40"/>
  <c r="AC275" i="40"/>
  <c r="R275" i="40"/>
  <c r="G275" i="40"/>
  <c r="AD275" i="40"/>
  <c r="AF275" i="40"/>
  <c r="H276" i="40"/>
  <c r="S276" i="40"/>
  <c r="U276" i="40"/>
  <c r="W276" i="40"/>
  <c r="Y276" i="40"/>
  <c r="J276" i="40"/>
  <c r="L276" i="40"/>
  <c r="M276" i="40"/>
  <c r="N276" i="40"/>
  <c r="AA276" i="40"/>
  <c r="AE276" i="40"/>
  <c r="AB276" i="40"/>
  <c r="I276" i="40"/>
  <c r="T276" i="40"/>
  <c r="V276" i="40"/>
  <c r="X276" i="40"/>
  <c r="Z276" i="40"/>
  <c r="K276" i="40"/>
  <c r="O276" i="40"/>
  <c r="P276" i="40"/>
  <c r="Q276" i="40"/>
  <c r="AC276" i="40"/>
  <c r="R276" i="40"/>
  <c r="G276" i="40"/>
  <c r="AD276" i="40"/>
  <c r="AF276" i="40"/>
  <c r="H277" i="40"/>
  <c r="S277" i="40"/>
  <c r="U277" i="40"/>
  <c r="W277" i="40"/>
  <c r="Y277" i="40"/>
  <c r="J277" i="40"/>
  <c r="L277" i="40"/>
  <c r="M277" i="40"/>
  <c r="N277" i="40"/>
  <c r="AA277" i="40"/>
  <c r="AE277" i="40"/>
  <c r="AB277" i="40"/>
  <c r="I277" i="40"/>
  <c r="T277" i="40"/>
  <c r="V277" i="40"/>
  <c r="X277" i="40"/>
  <c r="Z277" i="40"/>
  <c r="K277" i="40"/>
  <c r="O277" i="40"/>
  <c r="P277" i="40"/>
  <c r="Q277" i="40"/>
  <c r="AC277" i="40"/>
  <c r="R277" i="40"/>
  <c r="G277" i="40"/>
  <c r="AD277" i="40"/>
  <c r="AF277" i="40"/>
  <c r="H278" i="40"/>
  <c r="S278" i="40"/>
  <c r="U278" i="40"/>
  <c r="W278" i="40"/>
  <c r="Y278" i="40"/>
  <c r="J278" i="40"/>
  <c r="L278" i="40"/>
  <c r="M278" i="40"/>
  <c r="N278" i="40"/>
  <c r="AA278" i="40"/>
  <c r="AE278" i="40"/>
  <c r="AB278" i="40"/>
  <c r="I278" i="40"/>
  <c r="T278" i="40"/>
  <c r="V278" i="40"/>
  <c r="X278" i="40"/>
  <c r="Z278" i="40"/>
  <c r="K278" i="40"/>
  <c r="O278" i="40"/>
  <c r="P278" i="40"/>
  <c r="Q278" i="40"/>
  <c r="AC278" i="40"/>
  <c r="R278" i="40"/>
  <c r="G278" i="40"/>
  <c r="AD278" i="40"/>
  <c r="AF278" i="40"/>
  <c r="H279" i="40"/>
  <c r="S279" i="40"/>
  <c r="U279" i="40"/>
  <c r="W279" i="40"/>
  <c r="Y279" i="40"/>
  <c r="J279" i="40"/>
  <c r="L279" i="40"/>
  <c r="M279" i="40"/>
  <c r="N279" i="40"/>
  <c r="AA279" i="40"/>
  <c r="AE279" i="40"/>
  <c r="AB279" i="40"/>
  <c r="I279" i="40"/>
  <c r="T279" i="40"/>
  <c r="V279" i="40"/>
  <c r="X279" i="40"/>
  <c r="Z279" i="40"/>
  <c r="K279" i="40"/>
  <c r="O279" i="40"/>
  <c r="P279" i="40"/>
  <c r="Q279" i="40"/>
  <c r="AC279" i="40"/>
  <c r="R279" i="40"/>
  <c r="G279" i="40"/>
  <c r="AD279" i="40"/>
  <c r="AF279" i="40"/>
  <c r="H280" i="40"/>
  <c r="S280" i="40"/>
  <c r="U280" i="40"/>
  <c r="W280" i="40"/>
  <c r="Y280" i="40"/>
  <c r="J280" i="40"/>
  <c r="L280" i="40"/>
  <c r="M280" i="40"/>
  <c r="N280" i="40"/>
  <c r="AA280" i="40"/>
  <c r="AE280" i="40"/>
  <c r="AB280" i="40"/>
  <c r="I280" i="40"/>
  <c r="T280" i="40"/>
  <c r="V280" i="40"/>
  <c r="X280" i="40"/>
  <c r="Z280" i="40"/>
  <c r="K280" i="40"/>
  <c r="O280" i="40"/>
  <c r="P280" i="40"/>
  <c r="Q280" i="40"/>
  <c r="AC280" i="40"/>
  <c r="R280" i="40"/>
  <c r="G280" i="40"/>
  <c r="AD280" i="40"/>
  <c r="AF280" i="40"/>
  <c r="H281" i="40"/>
  <c r="S281" i="40"/>
  <c r="U281" i="40"/>
  <c r="W281" i="40"/>
  <c r="Y281" i="40"/>
  <c r="J281" i="40"/>
  <c r="L281" i="40"/>
  <c r="M281" i="40"/>
  <c r="N281" i="40"/>
  <c r="AA281" i="40"/>
  <c r="AE281" i="40"/>
  <c r="AB281" i="40"/>
  <c r="I281" i="40"/>
  <c r="T281" i="40"/>
  <c r="V281" i="40"/>
  <c r="X281" i="40"/>
  <c r="Z281" i="40"/>
  <c r="K281" i="40"/>
  <c r="O281" i="40"/>
  <c r="P281" i="40"/>
  <c r="Q281" i="40"/>
  <c r="AC281" i="40"/>
  <c r="R281" i="40"/>
  <c r="G281" i="40"/>
  <c r="AD281" i="40"/>
  <c r="AF281" i="40"/>
  <c r="H282" i="40"/>
  <c r="S282" i="40"/>
  <c r="U282" i="40"/>
  <c r="W282" i="40"/>
  <c r="Y282" i="40"/>
  <c r="J282" i="40"/>
  <c r="L282" i="40"/>
  <c r="M282" i="40"/>
  <c r="N282" i="40"/>
  <c r="AA282" i="40"/>
  <c r="AE282" i="40"/>
  <c r="AB282" i="40"/>
  <c r="I282" i="40"/>
  <c r="T282" i="40"/>
  <c r="V282" i="40"/>
  <c r="X282" i="40"/>
  <c r="Z282" i="40"/>
  <c r="K282" i="40"/>
  <c r="O282" i="40"/>
  <c r="P282" i="40"/>
  <c r="Q282" i="40"/>
  <c r="AC282" i="40"/>
  <c r="R282" i="40"/>
  <c r="G282" i="40"/>
  <c r="AD282" i="40"/>
  <c r="AF282" i="40"/>
  <c r="H283" i="40"/>
  <c r="S283" i="40"/>
  <c r="U283" i="40"/>
  <c r="W283" i="40"/>
  <c r="Y283" i="40"/>
  <c r="J283" i="40"/>
  <c r="L283" i="40"/>
  <c r="M283" i="40"/>
  <c r="N283" i="40"/>
  <c r="AA283" i="40"/>
  <c r="AE283" i="40"/>
  <c r="AB283" i="40"/>
  <c r="I283" i="40"/>
  <c r="T283" i="40"/>
  <c r="V283" i="40"/>
  <c r="X283" i="40"/>
  <c r="Z283" i="40"/>
  <c r="K283" i="40"/>
  <c r="O283" i="40"/>
  <c r="P283" i="40"/>
  <c r="Q283" i="40"/>
  <c r="AC283" i="40"/>
  <c r="R283" i="40"/>
  <c r="G283" i="40"/>
  <c r="AD283" i="40"/>
  <c r="AF283" i="40"/>
  <c r="H284" i="40"/>
  <c r="S284" i="40"/>
  <c r="U284" i="40"/>
  <c r="W284" i="40"/>
  <c r="Y284" i="40"/>
  <c r="J284" i="40"/>
  <c r="L284" i="40"/>
  <c r="M284" i="40"/>
  <c r="N284" i="40"/>
  <c r="AA284" i="40"/>
  <c r="AE284" i="40"/>
  <c r="AB284" i="40"/>
  <c r="I284" i="40"/>
  <c r="T284" i="40"/>
  <c r="V284" i="40"/>
  <c r="X284" i="40"/>
  <c r="Z284" i="40"/>
  <c r="K284" i="40"/>
  <c r="O284" i="40"/>
  <c r="P284" i="40"/>
  <c r="Q284" i="40"/>
  <c r="AC284" i="40"/>
  <c r="R284" i="40"/>
  <c r="G284" i="40"/>
  <c r="AD284" i="40"/>
  <c r="AF284" i="40"/>
  <c r="H285" i="40"/>
  <c r="S285" i="40"/>
  <c r="U285" i="40"/>
  <c r="W285" i="40"/>
  <c r="Y285" i="40"/>
  <c r="J285" i="40"/>
  <c r="L285" i="40"/>
  <c r="M285" i="40"/>
  <c r="N285" i="40"/>
  <c r="AA285" i="40"/>
  <c r="AE285" i="40"/>
  <c r="AB285" i="40"/>
  <c r="I285" i="40"/>
  <c r="T285" i="40"/>
  <c r="V285" i="40"/>
  <c r="X285" i="40"/>
  <c r="Z285" i="40"/>
  <c r="K285" i="40"/>
  <c r="O285" i="40"/>
  <c r="P285" i="40"/>
  <c r="Q285" i="40"/>
  <c r="AC285" i="40"/>
  <c r="R285" i="40"/>
  <c r="G285" i="40"/>
  <c r="AD285" i="40"/>
  <c r="AF285" i="40"/>
  <c r="H286" i="40"/>
  <c r="S286" i="40"/>
  <c r="U286" i="40"/>
  <c r="W286" i="40"/>
  <c r="Y286" i="40"/>
  <c r="J286" i="40"/>
  <c r="L286" i="40"/>
  <c r="M286" i="40"/>
  <c r="N286" i="40"/>
  <c r="AA286" i="40"/>
  <c r="AE286" i="40"/>
  <c r="AB286" i="40"/>
  <c r="I286" i="40"/>
  <c r="T286" i="40"/>
  <c r="V286" i="40"/>
  <c r="X286" i="40"/>
  <c r="Z286" i="40"/>
  <c r="K286" i="40"/>
  <c r="O286" i="40"/>
  <c r="P286" i="40"/>
  <c r="Q286" i="40"/>
  <c r="AC286" i="40"/>
  <c r="R286" i="40"/>
  <c r="G286" i="40"/>
  <c r="AD286" i="40"/>
  <c r="AF286" i="40"/>
  <c r="H287" i="40"/>
  <c r="S287" i="40"/>
  <c r="U287" i="40"/>
  <c r="W287" i="40"/>
  <c r="Y287" i="40"/>
  <c r="J287" i="40"/>
  <c r="L287" i="40"/>
  <c r="M287" i="40"/>
  <c r="N287" i="40"/>
  <c r="AA287" i="40"/>
  <c r="AE287" i="40"/>
  <c r="AB287" i="40"/>
  <c r="I287" i="40"/>
  <c r="T287" i="40"/>
  <c r="V287" i="40"/>
  <c r="X287" i="40"/>
  <c r="Z287" i="40"/>
  <c r="K287" i="40"/>
  <c r="O287" i="40"/>
  <c r="P287" i="40"/>
  <c r="Q287" i="40"/>
  <c r="AC287" i="40"/>
  <c r="R287" i="40"/>
  <c r="G287" i="40"/>
  <c r="AD287" i="40"/>
  <c r="AF287" i="40"/>
  <c r="H288" i="40"/>
  <c r="S288" i="40"/>
  <c r="U288" i="40"/>
  <c r="W288" i="40"/>
  <c r="Y288" i="40"/>
  <c r="J288" i="40"/>
  <c r="L288" i="40"/>
  <c r="M288" i="40"/>
  <c r="N288" i="40"/>
  <c r="AA288" i="40"/>
  <c r="AE288" i="40"/>
  <c r="AB288" i="40"/>
  <c r="I288" i="40"/>
  <c r="T288" i="40"/>
  <c r="V288" i="40"/>
  <c r="X288" i="40"/>
  <c r="Z288" i="40"/>
  <c r="K288" i="40"/>
  <c r="O288" i="40"/>
  <c r="P288" i="40"/>
  <c r="Q288" i="40"/>
  <c r="AC288" i="40"/>
  <c r="R288" i="40"/>
  <c r="G288" i="40"/>
  <c r="AD288" i="40"/>
  <c r="AF288" i="40"/>
  <c r="H289" i="40"/>
  <c r="S289" i="40"/>
  <c r="U289" i="40"/>
  <c r="W289" i="40"/>
  <c r="Y289" i="40"/>
  <c r="J289" i="40"/>
  <c r="L289" i="40"/>
  <c r="M289" i="40"/>
  <c r="N289" i="40"/>
  <c r="AA289" i="40"/>
  <c r="AE289" i="40"/>
  <c r="AB289" i="40"/>
  <c r="I289" i="40"/>
  <c r="T289" i="40"/>
  <c r="V289" i="40"/>
  <c r="X289" i="40"/>
  <c r="Z289" i="40"/>
  <c r="K289" i="40"/>
  <c r="O289" i="40"/>
  <c r="P289" i="40"/>
  <c r="Q289" i="40"/>
  <c r="AC289" i="40"/>
  <c r="R289" i="40"/>
  <c r="G289" i="40"/>
  <c r="AD289" i="40"/>
  <c r="AF289" i="40"/>
  <c r="H290" i="40"/>
  <c r="S290" i="40"/>
  <c r="U290" i="40"/>
  <c r="W290" i="40"/>
  <c r="Y290" i="40"/>
  <c r="J290" i="40"/>
  <c r="L290" i="40"/>
  <c r="M290" i="40"/>
  <c r="N290" i="40"/>
  <c r="AA290" i="40"/>
  <c r="AE290" i="40"/>
  <c r="AB290" i="40"/>
  <c r="I290" i="40"/>
  <c r="T290" i="40"/>
  <c r="V290" i="40"/>
  <c r="X290" i="40"/>
  <c r="Z290" i="40"/>
  <c r="K290" i="40"/>
  <c r="O290" i="40"/>
  <c r="P290" i="40"/>
  <c r="Q290" i="40"/>
  <c r="AC290" i="40"/>
  <c r="R290" i="40"/>
  <c r="G290" i="40"/>
  <c r="AD290" i="40"/>
  <c r="AF290" i="40"/>
  <c r="H291" i="40"/>
  <c r="S291" i="40"/>
  <c r="U291" i="40"/>
  <c r="W291" i="40"/>
  <c r="Y291" i="40"/>
  <c r="J291" i="40"/>
  <c r="L291" i="40"/>
  <c r="M291" i="40"/>
  <c r="N291" i="40"/>
  <c r="AA291" i="40"/>
  <c r="AE291" i="40"/>
  <c r="AB291" i="40"/>
  <c r="I291" i="40"/>
  <c r="T291" i="40"/>
  <c r="V291" i="40"/>
  <c r="X291" i="40"/>
  <c r="Z291" i="40"/>
  <c r="K291" i="40"/>
  <c r="O291" i="40"/>
  <c r="P291" i="40"/>
  <c r="Q291" i="40"/>
  <c r="AC291" i="40"/>
  <c r="R291" i="40"/>
  <c r="G291" i="40"/>
  <c r="AD291" i="40"/>
  <c r="AF291" i="40"/>
  <c r="H292" i="40"/>
  <c r="S292" i="40"/>
  <c r="U292" i="40"/>
  <c r="W292" i="40"/>
  <c r="Y292" i="40"/>
  <c r="J292" i="40"/>
  <c r="L292" i="40"/>
  <c r="M292" i="40"/>
  <c r="N292" i="40"/>
  <c r="AA292" i="40"/>
  <c r="AE292" i="40"/>
  <c r="AB292" i="40"/>
  <c r="I292" i="40"/>
  <c r="T292" i="40"/>
  <c r="V292" i="40"/>
  <c r="X292" i="40"/>
  <c r="Z292" i="40"/>
  <c r="K292" i="40"/>
  <c r="O292" i="40"/>
  <c r="P292" i="40"/>
  <c r="Q292" i="40"/>
  <c r="AC292" i="40"/>
  <c r="R292" i="40"/>
  <c r="G292" i="40"/>
  <c r="AD292" i="40"/>
  <c r="AF292" i="40"/>
  <c r="H293" i="40"/>
  <c r="S293" i="40"/>
  <c r="U293" i="40"/>
  <c r="W293" i="40"/>
  <c r="Y293" i="40"/>
  <c r="J293" i="40"/>
  <c r="L293" i="40"/>
  <c r="M293" i="40"/>
  <c r="N293" i="40"/>
  <c r="AA293" i="40"/>
  <c r="AE293" i="40"/>
  <c r="AB293" i="40"/>
  <c r="I293" i="40"/>
  <c r="T293" i="40"/>
  <c r="V293" i="40"/>
  <c r="X293" i="40"/>
  <c r="Z293" i="40"/>
  <c r="K293" i="40"/>
  <c r="O293" i="40"/>
  <c r="P293" i="40"/>
  <c r="Q293" i="40"/>
  <c r="AC293" i="40"/>
  <c r="R293" i="40"/>
  <c r="G293" i="40"/>
  <c r="AD293" i="40"/>
  <c r="AF293" i="40"/>
  <c r="H294" i="40"/>
  <c r="S294" i="40"/>
  <c r="U294" i="40"/>
  <c r="W294" i="40"/>
  <c r="Y294" i="40"/>
  <c r="J294" i="40"/>
  <c r="L294" i="40"/>
  <c r="M294" i="40"/>
  <c r="N294" i="40"/>
  <c r="AA294" i="40"/>
  <c r="AE294" i="40"/>
  <c r="AB294" i="40"/>
  <c r="I294" i="40"/>
  <c r="T294" i="40"/>
  <c r="V294" i="40"/>
  <c r="X294" i="40"/>
  <c r="Z294" i="40"/>
  <c r="K294" i="40"/>
  <c r="O294" i="40"/>
  <c r="P294" i="40"/>
  <c r="Q294" i="40"/>
  <c r="AC294" i="40"/>
  <c r="R294" i="40"/>
  <c r="G294" i="40"/>
  <c r="AD294" i="40"/>
  <c r="AF294" i="40"/>
  <c r="H295" i="40"/>
  <c r="S295" i="40"/>
  <c r="U295" i="40"/>
  <c r="W295" i="40"/>
  <c r="Y295" i="40"/>
  <c r="J295" i="40"/>
  <c r="L295" i="40"/>
  <c r="M295" i="40"/>
  <c r="N295" i="40"/>
  <c r="AA295" i="40"/>
  <c r="AE295" i="40"/>
  <c r="AB295" i="40"/>
  <c r="I295" i="40"/>
  <c r="T295" i="40"/>
  <c r="V295" i="40"/>
  <c r="X295" i="40"/>
  <c r="Z295" i="40"/>
  <c r="K295" i="40"/>
  <c r="O295" i="40"/>
  <c r="P295" i="40"/>
  <c r="Q295" i="40"/>
  <c r="AC295" i="40"/>
  <c r="R295" i="40"/>
  <c r="G295" i="40"/>
  <c r="AD295" i="40"/>
  <c r="AF295" i="40"/>
  <c r="H296" i="40"/>
  <c r="S296" i="40"/>
  <c r="U296" i="40"/>
  <c r="W296" i="40"/>
  <c r="Y296" i="40"/>
  <c r="J296" i="40"/>
  <c r="L296" i="40"/>
  <c r="M296" i="40"/>
  <c r="N296" i="40"/>
  <c r="AA296" i="40"/>
  <c r="AE296" i="40"/>
  <c r="AB296" i="40"/>
  <c r="I296" i="40"/>
  <c r="T296" i="40"/>
  <c r="V296" i="40"/>
  <c r="X296" i="40"/>
  <c r="Z296" i="40"/>
  <c r="K296" i="40"/>
  <c r="O296" i="40"/>
  <c r="P296" i="40"/>
  <c r="Q296" i="40"/>
  <c r="AC296" i="40"/>
  <c r="R296" i="40"/>
  <c r="G296" i="40"/>
  <c r="AD296" i="40"/>
  <c r="AF296" i="40"/>
  <c r="H297" i="40"/>
  <c r="S297" i="40"/>
  <c r="U297" i="40"/>
  <c r="W297" i="40"/>
  <c r="Y297" i="40"/>
  <c r="J297" i="40"/>
  <c r="L297" i="40"/>
  <c r="M297" i="40"/>
  <c r="N297" i="40"/>
  <c r="AA297" i="40"/>
  <c r="AE297" i="40"/>
  <c r="AB297" i="40"/>
  <c r="I297" i="40"/>
  <c r="T297" i="40"/>
  <c r="V297" i="40"/>
  <c r="X297" i="40"/>
  <c r="Z297" i="40"/>
  <c r="K297" i="40"/>
  <c r="O297" i="40"/>
  <c r="P297" i="40"/>
  <c r="Q297" i="40"/>
  <c r="AC297" i="40"/>
  <c r="R297" i="40"/>
  <c r="G297" i="40"/>
  <c r="AD297" i="40"/>
  <c r="AF297" i="40"/>
  <c r="H298" i="40"/>
  <c r="S298" i="40"/>
  <c r="U298" i="40"/>
  <c r="W298" i="40"/>
  <c r="Y298" i="40"/>
  <c r="J298" i="40"/>
  <c r="L298" i="40"/>
  <c r="M298" i="40"/>
  <c r="N298" i="40"/>
  <c r="AA298" i="40"/>
  <c r="AE298" i="40"/>
  <c r="AB298" i="40"/>
  <c r="I298" i="40"/>
  <c r="T298" i="40"/>
  <c r="V298" i="40"/>
  <c r="X298" i="40"/>
  <c r="Z298" i="40"/>
  <c r="K298" i="40"/>
  <c r="O298" i="40"/>
  <c r="P298" i="40"/>
  <c r="Q298" i="40"/>
  <c r="AC298" i="40"/>
  <c r="R298" i="40"/>
  <c r="G298" i="40"/>
  <c r="AD298" i="40"/>
  <c r="AF298" i="40"/>
  <c r="H299" i="40"/>
  <c r="S299" i="40"/>
  <c r="U299" i="40"/>
  <c r="W299" i="40"/>
  <c r="Y299" i="40"/>
  <c r="J299" i="40"/>
  <c r="L299" i="40"/>
  <c r="M299" i="40"/>
  <c r="N299" i="40"/>
  <c r="AA299" i="40"/>
  <c r="AE299" i="40"/>
  <c r="AB299" i="40"/>
  <c r="I299" i="40"/>
  <c r="T299" i="40"/>
  <c r="V299" i="40"/>
  <c r="X299" i="40"/>
  <c r="Z299" i="40"/>
  <c r="K299" i="40"/>
  <c r="O299" i="40"/>
  <c r="P299" i="40"/>
  <c r="Q299" i="40"/>
  <c r="AC299" i="40"/>
  <c r="R299" i="40"/>
  <c r="G299" i="40"/>
  <c r="AD299" i="40"/>
  <c r="AF299" i="40"/>
  <c r="H300" i="40"/>
  <c r="S300" i="40"/>
  <c r="U300" i="40"/>
  <c r="W300" i="40"/>
  <c r="Y300" i="40"/>
  <c r="J300" i="40"/>
  <c r="L300" i="40"/>
  <c r="M300" i="40"/>
  <c r="N300" i="40"/>
  <c r="AA300" i="40"/>
  <c r="AE300" i="40"/>
  <c r="AB300" i="40"/>
  <c r="I300" i="40"/>
  <c r="T300" i="40"/>
  <c r="V300" i="40"/>
  <c r="X300" i="40"/>
  <c r="Z300" i="40"/>
  <c r="K300" i="40"/>
  <c r="O300" i="40"/>
  <c r="P300" i="40"/>
  <c r="Q300" i="40"/>
  <c r="AC300" i="40"/>
  <c r="R300" i="40"/>
  <c r="G300" i="40"/>
  <c r="AD300" i="40"/>
  <c r="AF300" i="40"/>
  <c r="H301" i="40"/>
  <c r="S301" i="40"/>
  <c r="U301" i="40"/>
  <c r="W301" i="40"/>
  <c r="Y301" i="40"/>
  <c r="J301" i="40"/>
  <c r="L301" i="40"/>
  <c r="M301" i="40"/>
  <c r="N301" i="40"/>
  <c r="AA301" i="40"/>
  <c r="AE301" i="40"/>
  <c r="AB301" i="40"/>
  <c r="I301" i="40"/>
  <c r="T301" i="40"/>
  <c r="V301" i="40"/>
  <c r="X301" i="40"/>
  <c r="Z301" i="40"/>
  <c r="K301" i="40"/>
  <c r="O301" i="40"/>
  <c r="P301" i="40"/>
  <c r="Q301" i="40"/>
  <c r="AC301" i="40"/>
  <c r="R301" i="40"/>
  <c r="G301" i="40"/>
  <c r="AD301" i="40"/>
  <c r="AF301" i="40"/>
  <c r="H302" i="40"/>
  <c r="S302" i="40"/>
  <c r="U302" i="40"/>
  <c r="W302" i="40"/>
  <c r="Y302" i="40"/>
  <c r="J302" i="40"/>
  <c r="L302" i="40"/>
  <c r="M302" i="40"/>
  <c r="N302" i="40"/>
  <c r="AA302" i="40"/>
  <c r="AE302" i="40"/>
  <c r="AB302" i="40"/>
  <c r="I302" i="40"/>
  <c r="T302" i="40"/>
  <c r="V302" i="40"/>
  <c r="X302" i="40"/>
  <c r="Z302" i="40"/>
  <c r="K302" i="40"/>
  <c r="O302" i="40"/>
  <c r="P302" i="40"/>
  <c r="Q302" i="40"/>
  <c r="AC302" i="40"/>
  <c r="R302" i="40"/>
  <c r="G302" i="40"/>
  <c r="AD302" i="40"/>
  <c r="AF302" i="40"/>
  <c r="H303" i="40"/>
  <c r="S303" i="40"/>
  <c r="U303" i="40"/>
  <c r="W303" i="40"/>
  <c r="Y303" i="40"/>
  <c r="J303" i="40"/>
  <c r="L303" i="40"/>
  <c r="M303" i="40"/>
  <c r="N303" i="40"/>
  <c r="AA303" i="40"/>
  <c r="AE303" i="40"/>
  <c r="AB303" i="40"/>
  <c r="I303" i="40"/>
  <c r="T303" i="40"/>
  <c r="V303" i="40"/>
  <c r="X303" i="40"/>
  <c r="Z303" i="40"/>
  <c r="K303" i="40"/>
  <c r="O303" i="40"/>
  <c r="P303" i="40"/>
  <c r="Q303" i="40"/>
  <c r="AC303" i="40"/>
  <c r="R303" i="40"/>
  <c r="G303" i="40"/>
  <c r="AD303" i="40"/>
  <c r="AF303" i="40"/>
  <c r="H304" i="40"/>
  <c r="S304" i="40"/>
  <c r="U304" i="40"/>
  <c r="W304" i="40"/>
  <c r="Y304" i="40"/>
  <c r="J304" i="40"/>
  <c r="L304" i="40"/>
  <c r="M304" i="40"/>
  <c r="N304" i="40"/>
  <c r="AA304" i="40"/>
  <c r="AE304" i="40"/>
  <c r="AB304" i="40"/>
  <c r="I304" i="40"/>
  <c r="T304" i="40"/>
  <c r="V304" i="40"/>
  <c r="X304" i="40"/>
  <c r="Z304" i="40"/>
  <c r="K304" i="40"/>
  <c r="O304" i="40"/>
  <c r="P304" i="40"/>
  <c r="Q304" i="40"/>
  <c r="AC304" i="40"/>
  <c r="R304" i="40"/>
  <c r="G304" i="40"/>
  <c r="AD304" i="40"/>
  <c r="AF304" i="40"/>
  <c r="H305" i="40"/>
  <c r="S305" i="40"/>
  <c r="U305" i="40"/>
  <c r="W305" i="40"/>
  <c r="Y305" i="40"/>
  <c r="J305" i="40"/>
  <c r="L305" i="40"/>
  <c r="M305" i="40"/>
  <c r="N305" i="40"/>
  <c r="AA305" i="40"/>
  <c r="AE305" i="40"/>
  <c r="AB305" i="40"/>
  <c r="I305" i="40"/>
  <c r="T305" i="40"/>
  <c r="V305" i="40"/>
  <c r="X305" i="40"/>
  <c r="Z305" i="40"/>
  <c r="K305" i="40"/>
  <c r="O305" i="40"/>
  <c r="P305" i="40"/>
  <c r="Q305" i="40"/>
  <c r="AC305" i="40"/>
  <c r="R305" i="40"/>
  <c r="G305" i="40"/>
  <c r="AD305" i="40"/>
  <c r="AF305" i="40"/>
  <c r="H306" i="40"/>
  <c r="S306" i="40"/>
  <c r="U306" i="40"/>
  <c r="W306" i="40"/>
  <c r="Y306" i="40"/>
  <c r="J306" i="40"/>
  <c r="L306" i="40"/>
  <c r="M306" i="40"/>
  <c r="N306" i="40"/>
  <c r="AA306" i="40"/>
  <c r="AE306" i="40"/>
  <c r="AB306" i="40"/>
  <c r="I306" i="40"/>
  <c r="T306" i="40"/>
  <c r="V306" i="40"/>
  <c r="X306" i="40"/>
  <c r="Z306" i="40"/>
  <c r="K306" i="40"/>
  <c r="O306" i="40"/>
  <c r="P306" i="40"/>
  <c r="Q306" i="40"/>
  <c r="AC306" i="40"/>
  <c r="R306" i="40"/>
  <c r="G306" i="40"/>
  <c r="AD306" i="40"/>
  <c r="AF306" i="40"/>
  <c r="H307" i="40"/>
  <c r="S307" i="40"/>
  <c r="U307" i="40"/>
  <c r="W307" i="40"/>
  <c r="Y307" i="40"/>
  <c r="J307" i="40"/>
  <c r="L307" i="40"/>
  <c r="M307" i="40"/>
  <c r="N307" i="40"/>
  <c r="AA307" i="40"/>
  <c r="AE307" i="40"/>
  <c r="AB307" i="40"/>
  <c r="I307" i="40"/>
  <c r="T307" i="40"/>
  <c r="V307" i="40"/>
  <c r="X307" i="40"/>
  <c r="Z307" i="40"/>
  <c r="K307" i="40"/>
  <c r="O307" i="40"/>
  <c r="P307" i="40"/>
  <c r="Q307" i="40"/>
  <c r="AC307" i="40"/>
  <c r="R307" i="40"/>
  <c r="G307" i="40"/>
  <c r="AD307" i="40"/>
  <c r="AF307" i="40"/>
  <c r="H308" i="40"/>
  <c r="S308" i="40"/>
  <c r="U308" i="40"/>
  <c r="W308" i="40"/>
  <c r="Y308" i="40"/>
  <c r="J308" i="40"/>
  <c r="L308" i="40"/>
  <c r="M308" i="40"/>
  <c r="N308" i="40"/>
  <c r="AA308" i="40"/>
  <c r="AE308" i="40"/>
  <c r="AB308" i="40"/>
  <c r="I308" i="40"/>
  <c r="T308" i="40"/>
  <c r="V308" i="40"/>
  <c r="X308" i="40"/>
  <c r="Z308" i="40"/>
  <c r="K308" i="40"/>
  <c r="O308" i="40"/>
  <c r="P308" i="40"/>
  <c r="Q308" i="40"/>
  <c r="AC308" i="40"/>
  <c r="R308" i="40"/>
  <c r="G308" i="40"/>
  <c r="AD308" i="40"/>
  <c r="AF308" i="40"/>
  <c r="H309" i="40"/>
  <c r="S309" i="40"/>
  <c r="U309" i="40"/>
  <c r="W309" i="40"/>
  <c r="Y309" i="40"/>
  <c r="J309" i="40"/>
  <c r="L309" i="40"/>
  <c r="M309" i="40"/>
  <c r="N309" i="40"/>
  <c r="AA309" i="40"/>
  <c r="AE309" i="40"/>
  <c r="AB309" i="40"/>
  <c r="I309" i="40"/>
  <c r="T309" i="40"/>
  <c r="V309" i="40"/>
  <c r="X309" i="40"/>
  <c r="Z309" i="40"/>
  <c r="K309" i="40"/>
  <c r="O309" i="40"/>
  <c r="P309" i="40"/>
  <c r="Q309" i="40"/>
  <c r="AC309" i="40"/>
  <c r="R309" i="40"/>
  <c r="G309" i="40"/>
  <c r="AD309" i="40"/>
  <c r="AF309" i="40"/>
  <c r="H310" i="40"/>
  <c r="S310" i="40"/>
  <c r="U310" i="40"/>
  <c r="W310" i="40"/>
  <c r="Y310" i="40"/>
  <c r="J310" i="40"/>
  <c r="L310" i="40"/>
  <c r="M310" i="40"/>
  <c r="N310" i="40"/>
  <c r="AA310" i="40"/>
  <c r="AE310" i="40"/>
  <c r="AB310" i="40"/>
  <c r="I310" i="40"/>
  <c r="T310" i="40"/>
  <c r="V310" i="40"/>
  <c r="X310" i="40"/>
  <c r="Z310" i="40"/>
  <c r="K310" i="40"/>
  <c r="O310" i="40"/>
  <c r="P310" i="40"/>
  <c r="Q310" i="40"/>
  <c r="AC310" i="40"/>
  <c r="R310" i="40"/>
  <c r="G310" i="40"/>
  <c r="AD310" i="40"/>
  <c r="AF310" i="40"/>
  <c r="H311" i="40"/>
  <c r="S311" i="40"/>
  <c r="U311" i="40"/>
  <c r="W311" i="40"/>
  <c r="Y311" i="40"/>
  <c r="J311" i="40"/>
  <c r="L311" i="40"/>
  <c r="M311" i="40"/>
  <c r="N311" i="40"/>
  <c r="AA311" i="40"/>
  <c r="AE311" i="40"/>
  <c r="AB311" i="40"/>
  <c r="I311" i="40"/>
  <c r="T311" i="40"/>
  <c r="V311" i="40"/>
  <c r="X311" i="40"/>
  <c r="Z311" i="40"/>
  <c r="K311" i="40"/>
  <c r="O311" i="40"/>
  <c r="P311" i="40"/>
  <c r="Q311" i="40"/>
  <c r="AC311" i="40"/>
  <c r="R311" i="40"/>
  <c r="G311" i="40"/>
  <c r="AD311" i="40"/>
  <c r="AF311" i="40"/>
  <c r="H312" i="40"/>
  <c r="S312" i="40"/>
  <c r="U312" i="40"/>
  <c r="W312" i="40"/>
  <c r="Y312" i="40"/>
  <c r="J312" i="40"/>
  <c r="L312" i="40"/>
  <c r="M312" i="40"/>
  <c r="N312" i="40"/>
  <c r="AA312" i="40"/>
  <c r="AE312" i="40"/>
  <c r="AB312" i="40"/>
  <c r="I312" i="40"/>
  <c r="T312" i="40"/>
  <c r="V312" i="40"/>
  <c r="X312" i="40"/>
  <c r="Z312" i="40"/>
  <c r="K312" i="40"/>
  <c r="O312" i="40"/>
  <c r="P312" i="40"/>
  <c r="Q312" i="40"/>
  <c r="AC312" i="40"/>
  <c r="R312" i="40"/>
  <c r="G312" i="40"/>
  <c r="AD312" i="40"/>
  <c r="AF312" i="40"/>
  <c r="H313" i="40"/>
  <c r="S313" i="40"/>
  <c r="U313" i="40"/>
  <c r="W313" i="40"/>
  <c r="Y313" i="40"/>
  <c r="J313" i="40"/>
  <c r="L313" i="40"/>
  <c r="M313" i="40"/>
  <c r="N313" i="40"/>
  <c r="AA313" i="40"/>
  <c r="AE313" i="40"/>
  <c r="AB313" i="40"/>
  <c r="I313" i="40"/>
  <c r="T313" i="40"/>
  <c r="V313" i="40"/>
  <c r="X313" i="40"/>
  <c r="Z313" i="40"/>
  <c r="K313" i="40"/>
  <c r="O313" i="40"/>
  <c r="P313" i="40"/>
  <c r="Q313" i="40"/>
  <c r="AC313" i="40"/>
  <c r="R313" i="40"/>
  <c r="G313" i="40"/>
  <c r="AD313" i="40"/>
  <c r="AF313" i="40"/>
  <c r="H314" i="40"/>
  <c r="S314" i="40"/>
  <c r="U314" i="40"/>
  <c r="W314" i="40"/>
  <c r="Y314" i="40"/>
  <c r="J314" i="40"/>
  <c r="L314" i="40"/>
  <c r="M314" i="40"/>
  <c r="N314" i="40"/>
  <c r="AA314" i="40"/>
  <c r="AE314" i="40"/>
  <c r="AB314" i="40"/>
  <c r="I314" i="40"/>
  <c r="T314" i="40"/>
  <c r="V314" i="40"/>
  <c r="X314" i="40"/>
  <c r="Z314" i="40"/>
  <c r="K314" i="40"/>
  <c r="O314" i="40"/>
  <c r="P314" i="40"/>
  <c r="Q314" i="40"/>
  <c r="AC314" i="40"/>
  <c r="R314" i="40"/>
  <c r="G314" i="40"/>
  <c r="AD314" i="40"/>
  <c r="AF314" i="40"/>
  <c r="H315" i="40"/>
  <c r="S315" i="40"/>
  <c r="U315" i="40"/>
  <c r="W315" i="40"/>
  <c r="Y315" i="40"/>
  <c r="J315" i="40"/>
  <c r="L315" i="40"/>
  <c r="M315" i="40"/>
  <c r="N315" i="40"/>
  <c r="AA315" i="40"/>
  <c r="AE315" i="40"/>
  <c r="AB315" i="40"/>
  <c r="I315" i="40"/>
  <c r="T315" i="40"/>
  <c r="V315" i="40"/>
  <c r="X315" i="40"/>
  <c r="Z315" i="40"/>
  <c r="K315" i="40"/>
  <c r="O315" i="40"/>
  <c r="P315" i="40"/>
  <c r="Q315" i="40"/>
  <c r="AC315" i="40"/>
  <c r="R315" i="40"/>
  <c r="G315" i="40"/>
  <c r="AD315" i="40"/>
  <c r="AF315" i="40"/>
  <c r="H316" i="40"/>
  <c r="S316" i="40"/>
  <c r="U316" i="40"/>
  <c r="W316" i="40"/>
  <c r="Y316" i="40"/>
  <c r="J316" i="40"/>
  <c r="L316" i="40"/>
  <c r="M316" i="40"/>
  <c r="N316" i="40"/>
  <c r="AA316" i="40"/>
  <c r="AE316" i="40"/>
  <c r="AB316" i="40"/>
  <c r="I316" i="40"/>
  <c r="T316" i="40"/>
  <c r="V316" i="40"/>
  <c r="X316" i="40"/>
  <c r="Z316" i="40"/>
  <c r="K316" i="40"/>
  <c r="O316" i="40"/>
  <c r="P316" i="40"/>
  <c r="Q316" i="40"/>
  <c r="AC316" i="40"/>
  <c r="R316" i="40"/>
  <c r="G316" i="40"/>
  <c r="AD316" i="40"/>
  <c r="AF316" i="40"/>
  <c r="H317" i="40"/>
  <c r="S317" i="40"/>
  <c r="U317" i="40"/>
  <c r="W317" i="40"/>
  <c r="Y317" i="40"/>
  <c r="J317" i="40"/>
  <c r="L317" i="40"/>
  <c r="M317" i="40"/>
  <c r="N317" i="40"/>
  <c r="AA317" i="40"/>
  <c r="AE317" i="40"/>
  <c r="AB317" i="40"/>
  <c r="I317" i="40"/>
  <c r="T317" i="40"/>
  <c r="V317" i="40"/>
  <c r="X317" i="40"/>
  <c r="Z317" i="40"/>
  <c r="K317" i="40"/>
  <c r="O317" i="40"/>
  <c r="P317" i="40"/>
  <c r="Q317" i="40"/>
  <c r="AC317" i="40"/>
  <c r="R317" i="40"/>
  <c r="G317" i="40"/>
  <c r="AD317" i="40"/>
  <c r="AF317" i="40"/>
  <c r="H318" i="40"/>
  <c r="S318" i="40"/>
  <c r="U318" i="40"/>
  <c r="W318" i="40"/>
  <c r="Y318" i="40"/>
  <c r="J318" i="40"/>
  <c r="L318" i="40"/>
  <c r="M318" i="40"/>
  <c r="N318" i="40"/>
  <c r="AA318" i="40"/>
  <c r="AE318" i="40"/>
  <c r="AB318" i="40"/>
  <c r="I318" i="40"/>
  <c r="T318" i="40"/>
  <c r="V318" i="40"/>
  <c r="X318" i="40"/>
  <c r="Z318" i="40"/>
  <c r="K318" i="40"/>
  <c r="O318" i="40"/>
  <c r="P318" i="40"/>
  <c r="Q318" i="40"/>
  <c r="AC318" i="40"/>
  <c r="R318" i="40"/>
  <c r="G318" i="40"/>
  <c r="AD318" i="40"/>
  <c r="AF318" i="40"/>
  <c r="H319" i="40"/>
  <c r="S319" i="40"/>
  <c r="U319" i="40"/>
  <c r="W319" i="40"/>
  <c r="Y319" i="40"/>
  <c r="J319" i="40"/>
  <c r="L319" i="40"/>
  <c r="M319" i="40"/>
  <c r="N319" i="40"/>
  <c r="AA319" i="40"/>
  <c r="AE319" i="40"/>
  <c r="AB319" i="40"/>
  <c r="I319" i="40"/>
  <c r="T319" i="40"/>
  <c r="V319" i="40"/>
  <c r="X319" i="40"/>
  <c r="Z319" i="40"/>
  <c r="K319" i="40"/>
  <c r="O319" i="40"/>
  <c r="P319" i="40"/>
  <c r="Q319" i="40"/>
  <c r="AC319" i="40"/>
  <c r="R319" i="40"/>
  <c r="G319" i="40"/>
  <c r="AD319" i="40"/>
  <c r="AF319" i="40"/>
  <c r="H320" i="40"/>
  <c r="S320" i="40"/>
  <c r="U320" i="40"/>
  <c r="W320" i="40"/>
  <c r="Y320" i="40"/>
  <c r="J320" i="40"/>
  <c r="L320" i="40"/>
  <c r="M320" i="40"/>
  <c r="N320" i="40"/>
  <c r="AA320" i="40"/>
  <c r="AE320" i="40"/>
  <c r="AB320" i="40"/>
  <c r="I320" i="40"/>
  <c r="T320" i="40"/>
  <c r="V320" i="40"/>
  <c r="X320" i="40"/>
  <c r="Z320" i="40"/>
  <c r="K320" i="40"/>
  <c r="O320" i="40"/>
  <c r="P320" i="40"/>
  <c r="Q320" i="40"/>
  <c r="AC320" i="40"/>
  <c r="R320" i="40"/>
  <c r="G320" i="40"/>
  <c r="AD320" i="40"/>
  <c r="AF320" i="40"/>
  <c r="H321" i="40"/>
  <c r="S321" i="40"/>
  <c r="U321" i="40"/>
  <c r="W321" i="40"/>
  <c r="Y321" i="40"/>
  <c r="J321" i="40"/>
  <c r="L321" i="40"/>
  <c r="M321" i="40"/>
  <c r="N321" i="40"/>
  <c r="AA321" i="40"/>
  <c r="AE321" i="40"/>
  <c r="AB321" i="40"/>
  <c r="I321" i="40"/>
  <c r="T321" i="40"/>
  <c r="V321" i="40"/>
  <c r="X321" i="40"/>
  <c r="Z321" i="40"/>
  <c r="K321" i="40"/>
  <c r="O321" i="40"/>
  <c r="P321" i="40"/>
  <c r="Q321" i="40"/>
  <c r="AC321" i="40"/>
  <c r="R321" i="40"/>
  <c r="G321" i="40"/>
  <c r="AD321" i="40"/>
  <c r="AF321" i="40"/>
  <c r="H322" i="40"/>
  <c r="S322" i="40"/>
  <c r="U322" i="40"/>
  <c r="W322" i="40"/>
  <c r="Y322" i="40"/>
  <c r="J322" i="40"/>
  <c r="L322" i="40"/>
  <c r="M322" i="40"/>
  <c r="N322" i="40"/>
  <c r="AA322" i="40"/>
  <c r="AE322" i="40"/>
  <c r="AB322" i="40"/>
  <c r="I322" i="40"/>
  <c r="T322" i="40"/>
  <c r="V322" i="40"/>
  <c r="X322" i="40"/>
  <c r="Z322" i="40"/>
  <c r="K322" i="40"/>
  <c r="O322" i="40"/>
  <c r="P322" i="40"/>
  <c r="Q322" i="40"/>
  <c r="AC322" i="40"/>
  <c r="R322" i="40"/>
  <c r="G322" i="40"/>
  <c r="AD322" i="40"/>
  <c r="AF322" i="40"/>
  <c r="H323" i="40"/>
  <c r="S323" i="40"/>
  <c r="U323" i="40"/>
  <c r="W323" i="40"/>
  <c r="Y323" i="40"/>
  <c r="J323" i="40"/>
  <c r="L323" i="40"/>
  <c r="M323" i="40"/>
  <c r="N323" i="40"/>
  <c r="AA323" i="40"/>
  <c r="AE323" i="40"/>
  <c r="AB323" i="40"/>
  <c r="I323" i="40"/>
  <c r="T323" i="40"/>
  <c r="V323" i="40"/>
  <c r="X323" i="40"/>
  <c r="Z323" i="40"/>
  <c r="K323" i="40"/>
  <c r="O323" i="40"/>
  <c r="P323" i="40"/>
  <c r="Q323" i="40"/>
  <c r="AC323" i="40"/>
  <c r="R323" i="40"/>
  <c r="G323" i="40"/>
  <c r="AD323" i="40"/>
  <c r="AF323" i="40"/>
  <c r="H324" i="40"/>
  <c r="S324" i="40"/>
  <c r="U324" i="40"/>
  <c r="W324" i="40"/>
  <c r="Y324" i="40"/>
  <c r="J324" i="40"/>
  <c r="L324" i="40"/>
  <c r="M324" i="40"/>
  <c r="N324" i="40"/>
  <c r="AA324" i="40"/>
  <c r="AE324" i="40"/>
  <c r="AB324" i="40"/>
  <c r="I324" i="40"/>
  <c r="T324" i="40"/>
  <c r="V324" i="40"/>
  <c r="X324" i="40"/>
  <c r="Z324" i="40"/>
  <c r="K324" i="40"/>
  <c r="O324" i="40"/>
  <c r="P324" i="40"/>
  <c r="Q324" i="40"/>
  <c r="AC324" i="40"/>
  <c r="R324" i="40"/>
  <c r="G324" i="40"/>
  <c r="AD324" i="40"/>
  <c r="AF324" i="40"/>
  <c r="H325" i="40"/>
  <c r="S325" i="40"/>
  <c r="U325" i="40"/>
  <c r="W325" i="40"/>
  <c r="Y325" i="40"/>
  <c r="J325" i="40"/>
  <c r="L325" i="40"/>
  <c r="M325" i="40"/>
  <c r="N325" i="40"/>
  <c r="AA325" i="40"/>
  <c r="AE325" i="40"/>
  <c r="AB325" i="40"/>
  <c r="I325" i="40"/>
  <c r="T325" i="40"/>
  <c r="V325" i="40"/>
  <c r="X325" i="40"/>
  <c r="Z325" i="40"/>
  <c r="K325" i="40"/>
  <c r="O325" i="40"/>
  <c r="P325" i="40"/>
  <c r="Q325" i="40"/>
  <c r="AC325" i="40"/>
  <c r="R325" i="40"/>
  <c r="G325" i="40"/>
  <c r="AD325" i="40"/>
  <c r="AF325" i="40"/>
  <c r="H326" i="40"/>
  <c r="S326" i="40"/>
  <c r="U326" i="40"/>
  <c r="W326" i="40"/>
  <c r="Y326" i="40"/>
  <c r="J326" i="40"/>
  <c r="L326" i="40"/>
  <c r="M326" i="40"/>
  <c r="N326" i="40"/>
  <c r="AA326" i="40"/>
  <c r="AE326" i="40"/>
  <c r="AB326" i="40"/>
  <c r="I326" i="40"/>
  <c r="T326" i="40"/>
  <c r="V326" i="40"/>
  <c r="X326" i="40"/>
  <c r="Z326" i="40"/>
  <c r="K326" i="40"/>
  <c r="O326" i="40"/>
  <c r="P326" i="40"/>
  <c r="Q326" i="40"/>
  <c r="AC326" i="40"/>
  <c r="R326" i="40"/>
  <c r="G326" i="40"/>
  <c r="AD326" i="40"/>
  <c r="AF326" i="40"/>
  <c r="H327" i="40"/>
  <c r="S327" i="40"/>
  <c r="U327" i="40"/>
  <c r="W327" i="40"/>
  <c r="Y327" i="40"/>
  <c r="J327" i="40"/>
  <c r="L327" i="40"/>
  <c r="M327" i="40"/>
  <c r="N327" i="40"/>
  <c r="AA327" i="40"/>
  <c r="AE327" i="40"/>
  <c r="AB327" i="40"/>
  <c r="I327" i="40"/>
  <c r="T327" i="40"/>
  <c r="V327" i="40"/>
  <c r="X327" i="40"/>
  <c r="Z327" i="40"/>
  <c r="K327" i="40"/>
  <c r="O327" i="40"/>
  <c r="P327" i="40"/>
  <c r="Q327" i="40"/>
  <c r="AC327" i="40"/>
  <c r="R327" i="40"/>
  <c r="G327" i="40"/>
  <c r="AD327" i="40"/>
  <c r="AF327" i="40"/>
  <c r="H328" i="40"/>
  <c r="S328" i="40"/>
  <c r="U328" i="40"/>
  <c r="W328" i="40"/>
  <c r="Y328" i="40"/>
  <c r="J328" i="40"/>
  <c r="L328" i="40"/>
  <c r="M328" i="40"/>
  <c r="N328" i="40"/>
  <c r="AA328" i="40"/>
  <c r="AE328" i="40"/>
  <c r="AB328" i="40"/>
  <c r="I328" i="40"/>
  <c r="T328" i="40"/>
  <c r="V328" i="40"/>
  <c r="X328" i="40"/>
  <c r="Z328" i="40"/>
  <c r="K328" i="40"/>
  <c r="O328" i="40"/>
  <c r="P328" i="40"/>
  <c r="Q328" i="40"/>
  <c r="AC328" i="40"/>
  <c r="R328" i="40"/>
  <c r="G328" i="40"/>
  <c r="AD328" i="40"/>
  <c r="AF328" i="40"/>
  <c r="H329" i="40"/>
  <c r="S329" i="40"/>
  <c r="U329" i="40"/>
  <c r="W329" i="40"/>
  <c r="Y329" i="40"/>
  <c r="J329" i="40"/>
  <c r="L329" i="40"/>
  <c r="M329" i="40"/>
  <c r="N329" i="40"/>
  <c r="AA329" i="40"/>
  <c r="AE329" i="40"/>
  <c r="AB329" i="40"/>
  <c r="I329" i="40"/>
  <c r="T329" i="40"/>
  <c r="V329" i="40"/>
  <c r="X329" i="40"/>
  <c r="Z329" i="40"/>
  <c r="K329" i="40"/>
  <c r="O329" i="40"/>
  <c r="P329" i="40"/>
  <c r="Q329" i="40"/>
  <c r="AC329" i="40"/>
  <c r="R329" i="40"/>
  <c r="G329" i="40"/>
  <c r="AD329" i="40"/>
  <c r="AF329" i="40"/>
  <c r="H330" i="40"/>
  <c r="S330" i="40"/>
  <c r="U330" i="40"/>
  <c r="W330" i="40"/>
  <c r="Y330" i="40"/>
  <c r="J330" i="40"/>
  <c r="L330" i="40"/>
  <c r="M330" i="40"/>
  <c r="N330" i="40"/>
  <c r="AA330" i="40"/>
  <c r="AE330" i="40"/>
  <c r="AB330" i="40"/>
  <c r="I330" i="40"/>
  <c r="T330" i="40"/>
  <c r="V330" i="40"/>
  <c r="X330" i="40"/>
  <c r="Z330" i="40"/>
  <c r="K330" i="40"/>
  <c r="O330" i="40"/>
  <c r="P330" i="40"/>
  <c r="Q330" i="40"/>
  <c r="AC330" i="40"/>
  <c r="R330" i="40"/>
  <c r="G330" i="40"/>
  <c r="AD330" i="40"/>
  <c r="AF330" i="40"/>
  <c r="H331" i="40"/>
  <c r="S331" i="40"/>
  <c r="U331" i="40"/>
  <c r="W331" i="40"/>
  <c r="Y331" i="40"/>
  <c r="J331" i="40"/>
  <c r="L331" i="40"/>
  <c r="M331" i="40"/>
  <c r="N331" i="40"/>
  <c r="AA331" i="40"/>
  <c r="AE331" i="40"/>
  <c r="AB331" i="40"/>
  <c r="I331" i="40"/>
  <c r="T331" i="40"/>
  <c r="V331" i="40"/>
  <c r="X331" i="40"/>
  <c r="Z331" i="40"/>
  <c r="K331" i="40"/>
  <c r="O331" i="40"/>
  <c r="P331" i="40"/>
  <c r="Q331" i="40"/>
  <c r="AC331" i="40"/>
  <c r="R331" i="40"/>
  <c r="G331" i="40"/>
  <c r="AD331" i="40"/>
  <c r="AF331" i="40"/>
  <c r="H332" i="40"/>
  <c r="S332" i="40"/>
  <c r="U332" i="40"/>
  <c r="W332" i="40"/>
  <c r="Y332" i="40"/>
  <c r="J332" i="40"/>
  <c r="L332" i="40"/>
  <c r="M332" i="40"/>
  <c r="N332" i="40"/>
  <c r="AA332" i="40"/>
  <c r="AE332" i="40"/>
  <c r="AB332" i="40"/>
  <c r="I332" i="40"/>
  <c r="T332" i="40"/>
  <c r="V332" i="40"/>
  <c r="X332" i="40"/>
  <c r="Z332" i="40"/>
  <c r="K332" i="40"/>
  <c r="O332" i="40"/>
  <c r="P332" i="40"/>
  <c r="Q332" i="40"/>
  <c r="AC332" i="40"/>
  <c r="R332" i="40"/>
  <c r="G332" i="40"/>
  <c r="AD332" i="40"/>
  <c r="AF332" i="40"/>
  <c r="H333" i="40"/>
  <c r="S333" i="40"/>
  <c r="U333" i="40"/>
  <c r="W333" i="40"/>
  <c r="Y333" i="40"/>
  <c r="J333" i="40"/>
  <c r="L333" i="40"/>
  <c r="M333" i="40"/>
  <c r="N333" i="40"/>
  <c r="AA333" i="40"/>
  <c r="AE333" i="40"/>
  <c r="AB333" i="40"/>
  <c r="I333" i="40"/>
  <c r="T333" i="40"/>
  <c r="V333" i="40"/>
  <c r="X333" i="40"/>
  <c r="Z333" i="40"/>
  <c r="K333" i="40"/>
  <c r="O333" i="40"/>
  <c r="P333" i="40"/>
  <c r="Q333" i="40"/>
  <c r="AC333" i="40"/>
  <c r="R333" i="40"/>
  <c r="G333" i="40"/>
  <c r="AD333" i="40"/>
  <c r="AF333" i="40"/>
  <c r="H334" i="40"/>
  <c r="S334" i="40"/>
  <c r="U334" i="40"/>
  <c r="W334" i="40"/>
  <c r="Y334" i="40"/>
  <c r="J334" i="40"/>
  <c r="L334" i="40"/>
  <c r="M334" i="40"/>
  <c r="N334" i="40"/>
  <c r="AA334" i="40"/>
  <c r="AE334" i="40"/>
  <c r="AB334" i="40"/>
  <c r="I334" i="40"/>
  <c r="T334" i="40"/>
  <c r="V334" i="40"/>
  <c r="X334" i="40"/>
  <c r="Z334" i="40"/>
  <c r="K334" i="40"/>
  <c r="O334" i="40"/>
  <c r="P334" i="40"/>
  <c r="Q334" i="40"/>
  <c r="AC334" i="40"/>
  <c r="R334" i="40"/>
  <c r="G334" i="40"/>
  <c r="AD334" i="40"/>
  <c r="AF334" i="40"/>
  <c r="H335" i="40"/>
  <c r="S335" i="40"/>
  <c r="U335" i="40"/>
  <c r="W335" i="40"/>
  <c r="Y335" i="40"/>
  <c r="J335" i="40"/>
  <c r="L335" i="40"/>
  <c r="M335" i="40"/>
  <c r="N335" i="40"/>
  <c r="AA335" i="40"/>
  <c r="AE335" i="40"/>
  <c r="AB335" i="40"/>
  <c r="I335" i="40"/>
  <c r="T335" i="40"/>
  <c r="V335" i="40"/>
  <c r="X335" i="40"/>
  <c r="Z335" i="40"/>
  <c r="K335" i="40"/>
  <c r="O335" i="40"/>
  <c r="P335" i="40"/>
  <c r="Q335" i="40"/>
  <c r="AC335" i="40"/>
  <c r="R335" i="40"/>
  <c r="G335" i="40"/>
  <c r="AD335" i="40"/>
  <c r="AF335" i="40"/>
  <c r="H336" i="40"/>
  <c r="S336" i="40"/>
  <c r="U336" i="40"/>
  <c r="W336" i="40"/>
  <c r="Y336" i="40"/>
  <c r="J336" i="40"/>
  <c r="L336" i="40"/>
  <c r="M336" i="40"/>
  <c r="N336" i="40"/>
  <c r="AA336" i="40"/>
  <c r="AE336" i="40"/>
  <c r="AB336" i="40"/>
  <c r="I336" i="40"/>
  <c r="T336" i="40"/>
  <c r="V336" i="40"/>
  <c r="X336" i="40"/>
  <c r="Z336" i="40"/>
  <c r="K336" i="40"/>
  <c r="O336" i="40"/>
  <c r="P336" i="40"/>
  <c r="Q336" i="40"/>
  <c r="AC336" i="40"/>
  <c r="R336" i="40"/>
  <c r="G336" i="40"/>
  <c r="AD336" i="40"/>
  <c r="AF336" i="40"/>
  <c r="H337" i="40"/>
  <c r="S337" i="40"/>
  <c r="U337" i="40"/>
  <c r="W337" i="40"/>
  <c r="Y337" i="40"/>
  <c r="J337" i="40"/>
  <c r="L337" i="40"/>
  <c r="M337" i="40"/>
  <c r="N337" i="40"/>
  <c r="AA337" i="40"/>
  <c r="AE337" i="40"/>
  <c r="AB337" i="40"/>
  <c r="I337" i="40"/>
  <c r="T337" i="40"/>
  <c r="V337" i="40"/>
  <c r="X337" i="40"/>
  <c r="Z337" i="40"/>
  <c r="K337" i="40"/>
  <c r="O337" i="40"/>
  <c r="P337" i="40"/>
  <c r="Q337" i="40"/>
  <c r="AC337" i="40"/>
  <c r="R337" i="40"/>
  <c r="G337" i="40"/>
  <c r="AD337" i="40"/>
  <c r="AF337" i="40"/>
  <c r="H338" i="40"/>
  <c r="S338" i="40"/>
  <c r="U338" i="40"/>
  <c r="W338" i="40"/>
  <c r="Y338" i="40"/>
  <c r="J338" i="40"/>
  <c r="L338" i="40"/>
  <c r="M338" i="40"/>
  <c r="N338" i="40"/>
  <c r="AA338" i="40"/>
  <c r="AE338" i="40"/>
  <c r="AB338" i="40"/>
  <c r="I338" i="40"/>
  <c r="T338" i="40"/>
  <c r="V338" i="40"/>
  <c r="X338" i="40"/>
  <c r="Z338" i="40"/>
  <c r="K338" i="40"/>
  <c r="O338" i="40"/>
  <c r="P338" i="40"/>
  <c r="Q338" i="40"/>
  <c r="AC338" i="40"/>
  <c r="R338" i="40"/>
  <c r="G338" i="40"/>
  <c r="AD338" i="40"/>
  <c r="AF338" i="40"/>
  <c r="H339" i="40"/>
  <c r="S339" i="40"/>
  <c r="U339" i="40"/>
  <c r="W339" i="40"/>
  <c r="Y339" i="40"/>
  <c r="J339" i="40"/>
  <c r="L339" i="40"/>
  <c r="M339" i="40"/>
  <c r="N339" i="40"/>
  <c r="AA339" i="40"/>
  <c r="AE339" i="40"/>
  <c r="AB339" i="40"/>
  <c r="I339" i="40"/>
  <c r="T339" i="40"/>
  <c r="V339" i="40"/>
  <c r="X339" i="40"/>
  <c r="Z339" i="40"/>
  <c r="K339" i="40"/>
  <c r="O339" i="40"/>
  <c r="P339" i="40"/>
  <c r="Q339" i="40"/>
  <c r="AC339" i="40"/>
  <c r="R339" i="40"/>
  <c r="G339" i="40"/>
  <c r="AD339" i="40"/>
  <c r="AF339" i="40"/>
  <c r="H340" i="40"/>
  <c r="S340" i="40"/>
  <c r="U340" i="40"/>
  <c r="W340" i="40"/>
  <c r="Y340" i="40"/>
  <c r="J340" i="40"/>
  <c r="L340" i="40"/>
  <c r="M340" i="40"/>
  <c r="N340" i="40"/>
  <c r="AA340" i="40"/>
  <c r="AE340" i="40"/>
  <c r="AB340" i="40"/>
  <c r="I340" i="40"/>
  <c r="T340" i="40"/>
  <c r="V340" i="40"/>
  <c r="X340" i="40"/>
  <c r="Z340" i="40"/>
  <c r="K340" i="40"/>
  <c r="O340" i="40"/>
  <c r="P340" i="40"/>
  <c r="Q340" i="40"/>
  <c r="AC340" i="40"/>
  <c r="R340" i="40"/>
  <c r="G340" i="40"/>
  <c r="AD340" i="40"/>
  <c r="AF340" i="40"/>
  <c r="H341" i="40"/>
  <c r="S341" i="40"/>
  <c r="U341" i="40"/>
  <c r="W341" i="40"/>
  <c r="Y341" i="40"/>
  <c r="J341" i="40"/>
  <c r="L341" i="40"/>
  <c r="M341" i="40"/>
  <c r="N341" i="40"/>
  <c r="AA341" i="40"/>
  <c r="AE341" i="40"/>
  <c r="AB341" i="40"/>
  <c r="I341" i="40"/>
  <c r="T341" i="40"/>
  <c r="V341" i="40"/>
  <c r="X341" i="40"/>
  <c r="Z341" i="40"/>
  <c r="K341" i="40"/>
  <c r="O341" i="40"/>
  <c r="P341" i="40"/>
  <c r="Q341" i="40"/>
  <c r="AC341" i="40"/>
  <c r="R341" i="40"/>
  <c r="G341" i="40"/>
  <c r="AD341" i="40"/>
  <c r="AF341" i="40"/>
  <c r="H342" i="40"/>
  <c r="S342" i="40"/>
  <c r="U342" i="40"/>
  <c r="W342" i="40"/>
  <c r="Y342" i="40"/>
  <c r="J342" i="40"/>
  <c r="L342" i="40"/>
  <c r="M342" i="40"/>
  <c r="N342" i="40"/>
  <c r="AA342" i="40"/>
  <c r="AE342" i="40"/>
  <c r="AB342" i="40"/>
  <c r="I342" i="40"/>
  <c r="T342" i="40"/>
  <c r="V342" i="40"/>
  <c r="X342" i="40"/>
  <c r="Z342" i="40"/>
  <c r="K342" i="40"/>
  <c r="O342" i="40"/>
  <c r="P342" i="40"/>
  <c r="Q342" i="40"/>
  <c r="AC342" i="40"/>
  <c r="R342" i="40"/>
  <c r="G342" i="40"/>
  <c r="AD342" i="40"/>
  <c r="AF342" i="40"/>
  <c r="H343" i="40"/>
  <c r="S343" i="40"/>
  <c r="U343" i="40"/>
  <c r="W343" i="40"/>
  <c r="Y343" i="40"/>
  <c r="J343" i="40"/>
  <c r="L343" i="40"/>
  <c r="M343" i="40"/>
  <c r="N343" i="40"/>
  <c r="AA343" i="40"/>
  <c r="AE343" i="40"/>
  <c r="AB343" i="40"/>
  <c r="I343" i="40"/>
  <c r="T343" i="40"/>
  <c r="V343" i="40"/>
  <c r="X343" i="40"/>
  <c r="Z343" i="40"/>
  <c r="K343" i="40"/>
  <c r="O343" i="40"/>
  <c r="P343" i="40"/>
  <c r="Q343" i="40"/>
  <c r="AC343" i="40"/>
  <c r="R343" i="40"/>
  <c r="G343" i="40"/>
  <c r="AD343" i="40"/>
  <c r="AF343" i="40"/>
  <c r="H344" i="40"/>
  <c r="S344" i="40"/>
  <c r="U344" i="40"/>
  <c r="W344" i="40"/>
  <c r="Y344" i="40"/>
  <c r="J344" i="40"/>
  <c r="L344" i="40"/>
  <c r="M344" i="40"/>
  <c r="N344" i="40"/>
  <c r="AA344" i="40"/>
  <c r="AE344" i="40"/>
  <c r="AB344" i="40"/>
  <c r="I344" i="40"/>
  <c r="T344" i="40"/>
  <c r="V344" i="40"/>
  <c r="X344" i="40"/>
  <c r="Z344" i="40"/>
  <c r="K344" i="40"/>
  <c r="O344" i="40"/>
  <c r="P344" i="40"/>
  <c r="Q344" i="40"/>
  <c r="AC344" i="40"/>
  <c r="R344" i="40"/>
  <c r="G344" i="40"/>
  <c r="AD344" i="40"/>
  <c r="AF344" i="40"/>
  <c r="H345" i="40"/>
  <c r="S345" i="40"/>
  <c r="U345" i="40"/>
  <c r="W345" i="40"/>
  <c r="Y345" i="40"/>
  <c r="J345" i="40"/>
  <c r="L345" i="40"/>
  <c r="M345" i="40"/>
  <c r="N345" i="40"/>
  <c r="AA345" i="40"/>
  <c r="AE345" i="40"/>
  <c r="AB345" i="40"/>
  <c r="I345" i="40"/>
  <c r="T345" i="40"/>
  <c r="V345" i="40"/>
  <c r="X345" i="40"/>
  <c r="Z345" i="40"/>
  <c r="K345" i="40"/>
  <c r="O345" i="40"/>
  <c r="P345" i="40"/>
  <c r="Q345" i="40"/>
  <c r="AC345" i="40"/>
  <c r="R345" i="40"/>
  <c r="G345" i="40"/>
  <c r="AD345" i="40"/>
  <c r="AF345" i="40"/>
  <c r="H346" i="40"/>
  <c r="S346" i="40"/>
  <c r="U346" i="40"/>
  <c r="W346" i="40"/>
  <c r="Y346" i="40"/>
  <c r="J346" i="40"/>
  <c r="L346" i="40"/>
  <c r="M346" i="40"/>
  <c r="N346" i="40"/>
  <c r="AA346" i="40"/>
  <c r="AE346" i="40"/>
  <c r="AB346" i="40"/>
  <c r="I346" i="40"/>
  <c r="T346" i="40"/>
  <c r="V346" i="40"/>
  <c r="X346" i="40"/>
  <c r="Z346" i="40"/>
  <c r="K346" i="40"/>
  <c r="O346" i="40"/>
  <c r="P346" i="40"/>
  <c r="Q346" i="40"/>
  <c r="AC346" i="40"/>
  <c r="R346" i="40"/>
  <c r="G346" i="40"/>
  <c r="AD346" i="40"/>
  <c r="AF346" i="40"/>
  <c r="H347" i="40"/>
  <c r="S347" i="40"/>
  <c r="U347" i="40"/>
  <c r="W347" i="40"/>
  <c r="Y347" i="40"/>
  <c r="J347" i="40"/>
  <c r="L347" i="40"/>
  <c r="M347" i="40"/>
  <c r="N347" i="40"/>
  <c r="AA347" i="40"/>
  <c r="AE347" i="40"/>
  <c r="AB347" i="40"/>
  <c r="I347" i="40"/>
  <c r="T347" i="40"/>
  <c r="V347" i="40"/>
  <c r="X347" i="40"/>
  <c r="Z347" i="40"/>
  <c r="K347" i="40"/>
  <c r="O347" i="40"/>
  <c r="P347" i="40"/>
  <c r="Q347" i="40"/>
  <c r="AC347" i="40"/>
  <c r="R347" i="40"/>
  <c r="G347" i="40"/>
  <c r="AD347" i="40"/>
  <c r="AF347" i="40"/>
  <c r="H348" i="40"/>
  <c r="S348" i="40"/>
  <c r="U348" i="40"/>
  <c r="W348" i="40"/>
  <c r="Y348" i="40"/>
  <c r="J348" i="40"/>
  <c r="L348" i="40"/>
  <c r="M348" i="40"/>
  <c r="N348" i="40"/>
  <c r="AA348" i="40"/>
  <c r="AE348" i="40"/>
  <c r="AB348" i="40"/>
  <c r="I348" i="40"/>
  <c r="T348" i="40"/>
  <c r="V348" i="40"/>
  <c r="X348" i="40"/>
  <c r="Z348" i="40"/>
  <c r="K348" i="40"/>
  <c r="O348" i="40"/>
  <c r="P348" i="40"/>
  <c r="Q348" i="40"/>
  <c r="AC348" i="40"/>
  <c r="R348" i="40"/>
  <c r="G348" i="40"/>
  <c r="AD348" i="40"/>
  <c r="AF348" i="40"/>
  <c r="H349" i="40"/>
  <c r="S349" i="40"/>
  <c r="U349" i="40"/>
  <c r="W349" i="40"/>
  <c r="Y349" i="40"/>
  <c r="J349" i="40"/>
  <c r="L349" i="40"/>
  <c r="M349" i="40"/>
  <c r="N349" i="40"/>
  <c r="AA349" i="40"/>
  <c r="AE349" i="40"/>
  <c r="AB349" i="40"/>
  <c r="I349" i="40"/>
  <c r="T349" i="40"/>
  <c r="V349" i="40"/>
  <c r="X349" i="40"/>
  <c r="Z349" i="40"/>
  <c r="K349" i="40"/>
  <c r="O349" i="40"/>
  <c r="P349" i="40"/>
  <c r="Q349" i="40"/>
  <c r="AC349" i="40"/>
  <c r="R349" i="40"/>
  <c r="G349" i="40"/>
  <c r="AD349" i="40"/>
  <c r="AF349" i="40"/>
  <c r="H350" i="40"/>
  <c r="S350" i="40"/>
  <c r="U350" i="40"/>
  <c r="W350" i="40"/>
  <c r="Y350" i="40"/>
  <c r="J350" i="40"/>
  <c r="L350" i="40"/>
  <c r="M350" i="40"/>
  <c r="N350" i="40"/>
  <c r="AA350" i="40"/>
  <c r="AE350" i="40"/>
  <c r="AB350" i="40"/>
  <c r="I350" i="40"/>
  <c r="T350" i="40"/>
  <c r="V350" i="40"/>
  <c r="X350" i="40"/>
  <c r="Z350" i="40"/>
  <c r="K350" i="40"/>
  <c r="O350" i="40"/>
  <c r="P350" i="40"/>
  <c r="Q350" i="40"/>
  <c r="AC350" i="40"/>
  <c r="R350" i="40"/>
  <c r="G350" i="40"/>
  <c r="AD350" i="40"/>
  <c r="AF350" i="40"/>
  <c r="H351" i="40"/>
  <c r="S351" i="40"/>
  <c r="U351" i="40"/>
  <c r="W351" i="40"/>
  <c r="Y351" i="40"/>
  <c r="J351" i="40"/>
  <c r="L351" i="40"/>
  <c r="M351" i="40"/>
  <c r="N351" i="40"/>
  <c r="AA351" i="40"/>
  <c r="AE351" i="40"/>
  <c r="AB351" i="40"/>
  <c r="I351" i="40"/>
  <c r="T351" i="40"/>
  <c r="V351" i="40"/>
  <c r="X351" i="40"/>
  <c r="Z351" i="40"/>
  <c r="K351" i="40"/>
  <c r="O351" i="40"/>
  <c r="P351" i="40"/>
  <c r="Q351" i="40"/>
  <c r="AC351" i="40"/>
  <c r="R351" i="40"/>
  <c r="G351" i="40"/>
  <c r="AD351" i="40"/>
  <c r="AF351" i="40"/>
  <c r="H352" i="40"/>
  <c r="S352" i="40"/>
  <c r="U352" i="40"/>
  <c r="W352" i="40"/>
  <c r="Y352" i="40"/>
  <c r="J352" i="40"/>
  <c r="L352" i="40"/>
  <c r="M352" i="40"/>
  <c r="N352" i="40"/>
  <c r="AA352" i="40"/>
  <c r="AE352" i="40"/>
  <c r="AB352" i="40"/>
  <c r="I352" i="40"/>
  <c r="T352" i="40"/>
  <c r="V352" i="40"/>
  <c r="X352" i="40"/>
  <c r="Z352" i="40"/>
  <c r="K352" i="40"/>
  <c r="O352" i="40"/>
  <c r="P352" i="40"/>
  <c r="Q352" i="40"/>
  <c r="AC352" i="40"/>
  <c r="R352" i="40"/>
  <c r="G352" i="40"/>
  <c r="AD352" i="40"/>
  <c r="AF352" i="40"/>
  <c r="H353" i="40"/>
  <c r="S353" i="40"/>
  <c r="U353" i="40"/>
  <c r="W353" i="40"/>
  <c r="Y353" i="40"/>
  <c r="J353" i="40"/>
  <c r="L353" i="40"/>
  <c r="M353" i="40"/>
  <c r="N353" i="40"/>
  <c r="AA353" i="40"/>
  <c r="AE353" i="40"/>
  <c r="AB353" i="40"/>
  <c r="I353" i="40"/>
  <c r="T353" i="40"/>
  <c r="V353" i="40"/>
  <c r="X353" i="40"/>
  <c r="Z353" i="40"/>
  <c r="K353" i="40"/>
  <c r="O353" i="40"/>
  <c r="P353" i="40"/>
  <c r="Q353" i="40"/>
  <c r="AC353" i="40"/>
  <c r="R353" i="40"/>
  <c r="G353" i="40"/>
  <c r="AD353" i="40"/>
  <c r="AF353" i="40"/>
  <c r="H354" i="40"/>
  <c r="S354" i="40"/>
  <c r="U354" i="40"/>
  <c r="W354" i="40"/>
  <c r="Y354" i="40"/>
  <c r="J354" i="40"/>
  <c r="L354" i="40"/>
  <c r="M354" i="40"/>
  <c r="N354" i="40"/>
  <c r="AA354" i="40"/>
  <c r="AE354" i="40"/>
  <c r="AB354" i="40"/>
  <c r="I354" i="40"/>
  <c r="T354" i="40"/>
  <c r="V354" i="40"/>
  <c r="X354" i="40"/>
  <c r="Z354" i="40"/>
  <c r="K354" i="40"/>
  <c r="O354" i="40"/>
  <c r="P354" i="40"/>
  <c r="Q354" i="40"/>
  <c r="AC354" i="40"/>
  <c r="R354" i="40"/>
  <c r="G354" i="40"/>
  <c r="AD354" i="40"/>
  <c r="AF354" i="40"/>
  <c r="H355" i="40"/>
  <c r="S355" i="40"/>
  <c r="U355" i="40"/>
  <c r="W355" i="40"/>
  <c r="Y355" i="40"/>
  <c r="J355" i="40"/>
  <c r="L355" i="40"/>
  <c r="M355" i="40"/>
  <c r="N355" i="40"/>
  <c r="AA355" i="40"/>
  <c r="AE355" i="40"/>
  <c r="AB355" i="40"/>
  <c r="I355" i="40"/>
  <c r="T355" i="40"/>
  <c r="V355" i="40"/>
  <c r="X355" i="40"/>
  <c r="Z355" i="40"/>
  <c r="K355" i="40"/>
  <c r="O355" i="40"/>
  <c r="P355" i="40"/>
  <c r="Q355" i="40"/>
  <c r="AC355" i="40"/>
  <c r="R355" i="40"/>
  <c r="G355" i="40"/>
  <c r="AD355" i="40"/>
  <c r="AF355" i="40"/>
  <c r="H356" i="40"/>
  <c r="S356" i="40"/>
  <c r="U356" i="40"/>
  <c r="W356" i="40"/>
  <c r="Y356" i="40"/>
  <c r="J356" i="40"/>
  <c r="L356" i="40"/>
  <c r="M356" i="40"/>
  <c r="N356" i="40"/>
  <c r="AA356" i="40"/>
  <c r="AE356" i="40"/>
  <c r="AB356" i="40"/>
  <c r="I356" i="40"/>
  <c r="T356" i="40"/>
  <c r="V356" i="40"/>
  <c r="X356" i="40"/>
  <c r="Z356" i="40"/>
  <c r="K356" i="40"/>
  <c r="O356" i="40"/>
  <c r="P356" i="40"/>
  <c r="Q356" i="40"/>
  <c r="AC356" i="40"/>
  <c r="R356" i="40"/>
  <c r="G356" i="40"/>
  <c r="AD356" i="40"/>
  <c r="AF356" i="40"/>
  <c r="H357" i="40"/>
  <c r="S357" i="40"/>
  <c r="U357" i="40"/>
  <c r="W357" i="40"/>
  <c r="Y357" i="40"/>
  <c r="J357" i="40"/>
  <c r="L357" i="40"/>
  <c r="M357" i="40"/>
  <c r="N357" i="40"/>
  <c r="AA357" i="40"/>
  <c r="AE357" i="40"/>
  <c r="AB357" i="40"/>
  <c r="I357" i="40"/>
  <c r="T357" i="40"/>
  <c r="V357" i="40"/>
  <c r="X357" i="40"/>
  <c r="Z357" i="40"/>
  <c r="K357" i="40"/>
  <c r="O357" i="40"/>
  <c r="P357" i="40"/>
  <c r="Q357" i="40"/>
  <c r="AC357" i="40"/>
  <c r="R357" i="40"/>
  <c r="G357" i="40"/>
  <c r="AD357" i="40"/>
  <c r="AF357" i="40"/>
  <c r="H358" i="40"/>
  <c r="S358" i="40"/>
  <c r="U358" i="40"/>
  <c r="W358" i="40"/>
  <c r="Y358" i="40"/>
  <c r="J358" i="40"/>
  <c r="L358" i="40"/>
  <c r="M358" i="40"/>
  <c r="N358" i="40"/>
  <c r="AA358" i="40"/>
  <c r="AE358" i="40"/>
  <c r="AB358" i="40"/>
  <c r="I358" i="40"/>
  <c r="T358" i="40"/>
  <c r="V358" i="40"/>
  <c r="X358" i="40"/>
  <c r="Z358" i="40"/>
  <c r="K358" i="40"/>
  <c r="O358" i="40"/>
  <c r="P358" i="40"/>
  <c r="Q358" i="40"/>
  <c r="AC358" i="40"/>
  <c r="R358" i="40"/>
  <c r="G358" i="40"/>
  <c r="AD358" i="40"/>
  <c r="AF358" i="40"/>
  <c r="H359" i="40"/>
  <c r="S359" i="40"/>
  <c r="U359" i="40"/>
  <c r="W359" i="40"/>
  <c r="Y359" i="40"/>
  <c r="J359" i="40"/>
  <c r="L359" i="40"/>
  <c r="M359" i="40"/>
  <c r="N359" i="40"/>
  <c r="AA359" i="40"/>
  <c r="AE359" i="40"/>
  <c r="AB359" i="40"/>
  <c r="I359" i="40"/>
  <c r="T359" i="40"/>
  <c r="V359" i="40"/>
  <c r="X359" i="40"/>
  <c r="Z359" i="40"/>
  <c r="K359" i="40"/>
  <c r="O359" i="40"/>
  <c r="P359" i="40"/>
  <c r="Q359" i="40"/>
  <c r="AC359" i="40"/>
  <c r="R359" i="40"/>
  <c r="G359" i="40"/>
  <c r="AD359" i="40"/>
  <c r="AF359" i="40"/>
  <c r="H360" i="40"/>
  <c r="S360" i="40"/>
  <c r="U360" i="40"/>
  <c r="W360" i="40"/>
  <c r="Y360" i="40"/>
  <c r="J360" i="40"/>
  <c r="L360" i="40"/>
  <c r="M360" i="40"/>
  <c r="N360" i="40"/>
  <c r="AA360" i="40"/>
  <c r="AE360" i="40"/>
  <c r="AB360" i="40"/>
  <c r="I360" i="40"/>
  <c r="T360" i="40"/>
  <c r="V360" i="40"/>
  <c r="X360" i="40"/>
  <c r="Z360" i="40"/>
  <c r="K360" i="40"/>
  <c r="O360" i="40"/>
  <c r="P360" i="40"/>
  <c r="Q360" i="40"/>
  <c r="AC360" i="40"/>
  <c r="R360" i="40"/>
  <c r="G360" i="40"/>
  <c r="AD360" i="40"/>
  <c r="AF360" i="40"/>
  <c r="H361" i="40"/>
  <c r="S361" i="40"/>
  <c r="U361" i="40"/>
  <c r="W361" i="40"/>
  <c r="Y361" i="40"/>
  <c r="J361" i="40"/>
  <c r="L361" i="40"/>
  <c r="M361" i="40"/>
  <c r="N361" i="40"/>
  <c r="AA361" i="40"/>
  <c r="AE361" i="40"/>
  <c r="AB361" i="40"/>
  <c r="I361" i="40"/>
  <c r="T361" i="40"/>
  <c r="V361" i="40"/>
  <c r="X361" i="40"/>
  <c r="Z361" i="40"/>
  <c r="K361" i="40"/>
  <c r="O361" i="40"/>
  <c r="P361" i="40"/>
  <c r="Q361" i="40"/>
  <c r="AC361" i="40"/>
  <c r="R361" i="40"/>
  <c r="G361" i="40"/>
  <c r="AD361" i="40"/>
  <c r="AF361" i="40"/>
  <c r="H362" i="40"/>
  <c r="S362" i="40"/>
  <c r="U362" i="40"/>
  <c r="W362" i="40"/>
  <c r="Y362" i="40"/>
  <c r="J362" i="40"/>
  <c r="L362" i="40"/>
  <c r="M362" i="40"/>
  <c r="N362" i="40"/>
  <c r="AA362" i="40"/>
  <c r="AE362" i="40"/>
  <c r="AB362" i="40"/>
  <c r="I362" i="40"/>
  <c r="T362" i="40"/>
  <c r="V362" i="40"/>
  <c r="X362" i="40"/>
  <c r="Z362" i="40"/>
  <c r="K362" i="40"/>
  <c r="O362" i="40"/>
  <c r="P362" i="40"/>
  <c r="Q362" i="40"/>
  <c r="AC362" i="40"/>
  <c r="R362" i="40"/>
  <c r="G362" i="40"/>
  <c r="AD362" i="40"/>
  <c r="AF362" i="40"/>
  <c r="H363" i="40"/>
  <c r="S363" i="40"/>
  <c r="U363" i="40"/>
  <c r="W363" i="40"/>
  <c r="Y363" i="40"/>
  <c r="J363" i="40"/>
  <c r="L363" i="40"/>
  <c r="M363" i="40"/>
  <c r="N363" i="40"/>
  <c r="AA363" i="40"/>
  <c r="AE363" i="40"/>
  <c r="AB363" i="40"/>
  <c r="I363" i="40"/>
  <c r="T363" i="40"/>
  <c r="V363" i="40"/>
  <c r="X363" i="40"/>
  <c r="Z363" i="40"/>
  <c r="K363" i="40"/>
  <c r="O363" i="40"/>
  <c r="P363" i="40"/>
  <c r="Q363" i="40"/>
  <c r="AC363" i="40"/>
  <c r="R363" i="40"/>
  <c r="G363" i="40"/>
  <c r="AD363" i="40"/>
  <c r="AF363" i="40"/>
  <c r="H364" i="40"/>
  <c r="S364" i="40"/>
  <c r="U364" i="40"/>
  <c r="W364" i="40"/>
  <c r="Y364" i="40"/>
  <c r="J364" i="40"/>
  <c r="L364" i="40"/>
  <c r="M364" i="40"/>
  <c r="N364" i="40"/>
  <c r="AA364" i="40"/>
  <c r="AE364" i="40"/>
  <c r="AB364" i="40"/>
  <c r="I364" i="40"/>
  <c r="T364" i="40"/>
  <c r="V364" i="40"/>
  <c r="X364" i="40"/>
  <c r="Z364" i="40"/>
  <c r="K364" i="40"/>
  <c r="O364" i="40"/>
  <c r="P364" i="40"/>
  <c r="Q364" i="40"/>
  <c r="AC364" i="40"/>
  <c r="R364" i="40"/>
  <c r="G364" i="40"/>
  <c r="AD364" i="40"/>
  <c r="AF364" i="40"/>
  <c r="H365" i="40"/>
  <c r="S365" i="40"/>
  <c r="U365" i="40"/>
  <c r="W365" i="40"/>
  <c r="Y365" i="40"/>
  <c r="J365" i="40"/>
  <c r="L365" i="40"/>
  <c r="M365" i="40"/>
  <c r="N365" i="40"/>
  <c r="AA365" i="40"/>
  <c r="AE365" i="40"/>
  <c r="AB365" i="40"/>
  <c r="I365" i="40"/>
  <c r="T365" i="40"/>
  <c r="V365" i="40"/>
  <c r="X365" i="40"/>
  <c r="Z365" i="40"/>
  <c r="K365" i="40"/>
  <c r="O365" i="40"/>
  <c r="P365" i="40"/>
  <c r="Q365" i="40"/>
  <c r="AC365" i="40"/>
  <c r="R365" i="40"/>
  <c r="G365" i="40"/>
  <c r="AD365" i="40"/>
  <c r="AF365" i="40"/>
  <c r="H366" i="40"/>
  <c r="S366" i="40"/>
  <c r="U366" i="40"/>
  <c r="W366" i="40"/>
  <c r="Y366" i="40"/>
  <c r="J366" i="40"/>
  <c r="L366" i="40"/>
  <c r="M366" i="40"/>
  <c r="N366" i="40"/>
  <c r="AA366" i="40"/>
  <c r="AE366" i="40"/>
  <c r="AB366" i="40"/>
  <c r="I366" i="40"/>
  <c r="T366" i="40"/>
  <c r="V366" i="40"/>
  <c r="X366" i="40"/>
  <c r="Z366" i="40"/>
  <c r="K366" i="40"/>
  <c r="O366" i="40"/>
  <c r="P366" i="40"/>
  <c r="Q366" i="40"/>
  <c r="AC366" i="40"/>
  <c r="R366" i="40"/>
  <c r="G366" i="40"/>
  <c r="AD366" i="40"/>
  <c r="AF366" i="40"/>
  <c r="H367" i="40"/>
  <c r="S367" i="40"/>
  <c r="U367" i="40"/>
  <c r="W367" i="40"/>
  <c r="Y367" i="40"/>
  <c r="J367" i="40"/>
  <c r="L367" i="40"/>
  <c r="M367" i="40"/>
  <c r="N367" i="40"/>
  <c r="AA367" i="40"/>
  <c r="AE367" i="40"/>
  <c r="AB367" i="40"/>
  <c r="I367" i="40"/>
  <c r="T367" i="40"/>
  <c r="V367" i="40"/>
  <c r="X367" i="40"/>
  <c r="Z367" i="40"/>
  <c r="K367" i="40"/>
  <c r="O367" i="40"/>
  <c r="P367" i="40"/>
  <c r="Q367" i="40"/>
  <c r="AC367" i="40"/>
  <c r="R367" i="40"/>
  <c r="G367" i="40"/>
  <c r="AD367" i="40"/>
  <c r="AF367" i="40"/>
  <c r="H368" i="40"/>
  <c r="S368" i="40"/>
  <c r="U368" i="40"/>
  <c r="W368" i="40"/>
  <c r="Y368" i="40"/>
  <c r="J368" i="40"/>
  <c r="L368" i="40"/>
  <c r="M368" i="40"/>
  <c r="N368" i="40"/>
  <c r="AA368" i="40"/>
  <c r="AE368" i="40"/>
  <c r="AB368" i="40"/>
  <c r="I368" i="40"/>
  <c r="T368" i="40"/>
  <c r="V368" i="40"/>
  <c r="X368" i="40"/>
  <c r="Z368" i="40"/>
  <c r="K368" i="40"/>
  <c r="O368" i="40"/>
  <c r="P368" i="40"/>
  <c r="Q368" i="40"/>
  <c r="AC368" i="40"/>
  <c r="R368" i="40"/>
  <c r="G368" i="40"/>
  <c r="AD368" i="40"/>
  <c r="AF368" i="40"/>
  <c r="H369" i="40"/>
  <c r="S369" i="40"/>
  <c r="U369" i="40"/>
  <c r="W369" i="40"/>
  <c r="Y369" i="40"/>
  <c r="J369" i="40"/>
  <c r="L369" i="40"/>
  <c r="M369" i="40"/>
  <c r="N369" i="40"/>
  <c r="AA369" i="40"/>
  <c r="AE369" i="40"/>
  <c r="AB369" i="40"/>
  <c r="I369" i="40"/>
  <c r="T369" i="40"/>
  <c r="V369" i="40"/>
  <c r="X369" i="40"/>
  <c r="Z369" i="40"/>
  <c r="K369" i="40"/>
  <c r="O369" i="40"/>
  <c r="P369" i="40"/>
  <c r="Q369" i="40"/>
  <c r="AC369" i="40"/>
  <c r="R369" i="40"/>
  <c r="G369" i="40"/>
  <c r="AD369" i="40"/>
  <c r="AF369" i="40"/>
  <c r="H370" i="40"/>
  <c r="S370" i="40"/>
  <c r="U370" i="40"/>
  <c r="W370" i="40"/>
  <c r="Y370" i="40"/>
  <c r="J370" i="40"/>
  <c r="L370" i="40"/>
  <c r="M370" i="40"/>
  <c r="N370" i="40"/>
  <c r="AA370" i="40"/>
  <c r="AE370" i="40"/>
  <c r="AB370" i="40"/>
  <c r="I370" i="40"/>
  <c r="T370" i="40"/>
  <c r="V370" i="40"/>
  <c r="X370" i="40"/>
  <c r="Z370" i="40"/>
  <c r="K370" i="40"/>
  <c r="O370" i="40"/>
  <c r="P370" i="40"/>
  <c r="Q370" i="40"/>
  <c r="AC370" i="40"/>
  <c r="R370" i="40"/>
  <c r="G370" i="40"/>
  <c r="AD370" i="40"/>
  <c r="AF370" i="40"/>
  <c r="H371" i="40"/>
  <c r="S371" i="40"/>
  <c r="U371" i="40"/>
  <c r="W371" i="40"/>
  <c r="Y371" i="40"/>
  <c r="J371" i="40"/>
  <c r="L371" i="40"/>
  <c r="M371" i="40"/>
  <c r="N371" i="40"/>
  <c r="AA371" i="40"/>
  <c r="AE371" i="40"/>
  <c r="AB371" i="40"/>
  <c r="I371" i="40"/>
  <c r="T371" i="40"/>
  <c r="V371" i="40"/>
  <c r="X371" i="40"/>
  <c r="Z371" i="40"/>
  <c r="K371" i="40"/>
  <c r="O371" i="40"/>
  <c r="P371" i="40"/>
  <c r="Q371" i="40"/>
  <c r="AC371" i="40"/>
  <c r="R371" i="40"/>
  <c r="G371" i="40"/>
  <c r="AD371" i="40"/>
  <c r="AF371" i="40"/>
  <c r="H372" i="40"/>
  <c r="S372" i="40"/>
  <c r="U372" i="40"/>
  <c r="W372" i="40"/>
  <c r="Y372" i="40"/>
  <c r="J372" i="40"/>
  <c r="L372" i="40"/>
  <c r="M372" i="40"/>
  <c r="N372" i="40"/>
  <c r="AA372" i="40"/>
  <c r="AE372" i="40"/>
  <c r="AB372" i="40"/>
  <c r="I372" i="40"/>
  <c r="T372" i="40"/>
  <c r="V372" i="40"/>
  <c r="X372" i="40"/>
  <c r="Z372" i="40"/>
  <c r="K372" i="40"/>
  <c r="O372" i="40"/>
  <c r="P372" i="40"/>
  <c r="Q372" i="40"/>
  <c r="AC372" i="40"/>
  <c r="R372" i="40"/>
  <c r="G372" i="40"/>
  <c r="AD372" i="40"/>
  <c r="AF372" i="40"/>
  <c r="H373" i="40"/>
  <c r="S373" i="40"/>
  <c r="U373" i="40"/>
  <c r="W373" i="40"/>
  <c r="Y373" i="40"/>
  <c r="J373" i="40"/>
  <c r="L373" i="40"/>
  <c r="M373" i="40"/>
  <c r="N373" i="40"/>
  <c r="AA373" i="40"/>
  <c r="AE373" i="40"/>
  <c r="AB373" i="40"/>
  <c r="I373" i="40"/>
  <c r="T373" i="40"/>
  <c r="V373" i="40"/>
  <c r="X373" i="40"/>
  <c r="Z373" i="40"/>
  <c r="K373" i="40"/>
  <c r="O373" i="40"/>
  <c r="P373" i="40"/>
  <c r="Q373" i="40"/>
  <c r="AC373" i="40"/>
  <c r="R373" i="40"/>
  <c r="G373" i="40"/>
  <c r="AD373" i="40"/>
  <c r="AF373" i="40"/>
  <c r="H374" i="40"/>
  <c r="S374" i="40"/>
  <c r="U374" i="40"/>
  <c r="W374" i="40"/>
  <c r="Y374" i="40"/>
  <c r="J374" i="40"/>
  <c r="L374" i="40"/>
  <c r="M374" i="40"/>
  <c r="N374" i="40"/>
  <c r="AA374" i="40"/>
  <c r="AE374" i="40"/>
  <c r="AB374" i="40"/>
  <c r="I374" i="40"/>
  <c r="T374" i="40"/>
  <c r="V374" i="40"/>
  <c r="X374" i="40"/>
  <c r="Z374" i="40"/>
  <c r="K374" i="40"/>
  <c r="O374" i="40"/>
  <c r="P374" i="40"/>
  <c r="Q374" i="40"/>
  <c r="AC374" i="40"/>
  <c r="R374" i="40"/>
  <c r="G374" i="40"/>
  <c r="AD374" i="40"/>
  <c r="AF374" i="40"/>
  <c r="H375" i="40"/>
  <c r="S375" i="40"/>
  <c r="U375" i="40"/>
  <c r="W375" i="40"/>
  <c r="Y375" i="40"/>
  <c r="J375" i="40"/>
  <c r="L375" i="40"/>
  <c r="M375" i="40"/>
  <c r="N375" i="40"/>
  <c r="AA375" i="40"/>
  <c r="AE375" i="40"/>
  <c r="AB375" i="40"/>
  <c r="I375" i="40"/>
  <c r="T375" i="40"/>
  <c r="V375" i="40"/>
  <c r="X375" i="40"/>
  <c r="Z375" i="40"/>
  <c r="K375" i="40"/>
  <c r="O375" i="40"/>
  <c r="P375" i="40"/>
  <c r="Q375" i="40"/>
  <c r="AC375" i="40"/>
  <c r="R375" i="40"/>
  <c r="G375" i="40"/>
  <c r="AD375" i="40"/>
  <c r="AF375" i="40"/>
  <c r="H376" i="40"/>
  <c r="S376" i="40"/>
  <c r="U376" i="40"/>
  <c r="W376" i="40"/>
  <c r="Y376" i="40"/>
  <c r="J376" i="40"/>
  <c r="L376" i="40"/>
  <c r="M376" i="40"/>
  <c r="N376" i="40"/>
  <c r="AA376" i="40"/>
  <c r="AE376" i="40"/>
  <c r="AB376" i="40"/>
  <c r="I376" i="40"/>
  <c r="T376" i="40"/>
  <c r="V376" i="40"/>
  <c r="X376" i="40"/>
  <c r="Z376" i="40"/>
  <c r="K376" i="40"/>
  <c r="O376" i="40"/>
  <c r="P376" i="40"/>
  <c r="Q376" i="40"/>
  <c r="AC376" i="40"/>
  <c r="R376" i="40"/>
  <c r="G376" i="40"/>
  <c r="AD376" i="40"/>
  <c r="AF376" i="40"/>
  <c r="H377" i="40"/>
  <c r="S377" i="40"/>
  <c r="U377" i="40"/>
  <c r="W377" i="40"/>
  <c r="Y377" i="40"/>
  <c r="J377" i="40"/>
  <c r="L377" i="40"/>
  <c r="M377" i="40"/>
  <c r="N377" i="40"/>
  <c r="AA377" i="40"/>
  <c r="AE377" i="40"/>
  <c r="AB377" i="40"/>
  <c r="I377" i="40"/>
  <c r="T377" i="40"/>
  <c r="V377" i="40"/>
  <c r="X377" i="40"/>
  <c r="Z377" i="40"/>
  <c r="K377" i="40"/>
  <c r="O377" i="40"/>
  <c r="P377" i="40"/>
  <c r="Q377" i="40"/>
  <c r="AC377" i="40"/>
  <c r="R377" i="40"/>
  <c r="G377" i="40"/>
  <c r="AD377" i="40"/>
  <c r="AF377" i="40"/>
  <c r="H378" i="40"/>
  <c r="S378" i="40"/>
  <c r="U378" i="40"/>
  <c r="W378" i="40"/>
  <c r="Y378" i="40"/>
  <c r="J378" i="40"/>
  <c r="L378" i="40"/>
  <c r="M378" i="40"/>
  <c r="N378" i="40"/>
  <c r="AA378" i="40"/>
  <c r="AE378" i="40"/>
  <c r="AB378" i="40"/>
  <c r="I378" i="40"/>
  <c r="T378" i="40"/>
  <c r="V378" i="40"/>
  <c r="X378" i="40"/>
  <c r="Z378" i="40"/>
  <c r="K378" i="40"/>
  <c r="O378" i="40"/>
  <c r="P378" i="40"/>
  <c r="Q378" i="40"/>
  <c r="AC378" i="40"/>
  <c r="R378" i="40"/>
  <c r="G378" i="40"/>
  <c r="AD378" i="40"/>
  <c r="AF378" i="40"/>
  <c r="H379" i="40"/>
  <c r="S379" i="40"/>
  <c r="U379" i="40"/>
  <c r="W379" i="40"/>
  <c r="Y379" i="40"/>
  <c r="J379" i="40"/>
  <c r="L379" i="40"/>
  <c r="M379" i="40"/>
  <c r="N379" i="40"/>
  <c r="AA379" i="40"/>
  <c r="AE379" i="40"/>
  <c r="AB379" i="40"/>
  <c r="I379" i="40"/>
  <c r="T379" i="40"/>
  <c r="V379" i="40"/>
  <c r="X379" i="40"/>
  <c r="Z379" i="40"/>
  <c r="K379" i="40"/>
  <c r="O379" i="40"/>
  <c r="P379" i="40"/>
  <c r="Q379" i="40"/>
  <c r="AC379" i="40"/>
  <c r="R379" i="40"/>
  <c r="G379" i="40"/>
  <c r="AD379" i="40"/>
  <c r="AF379" i="40"/>
  <c r="H380" i="40"/>
  <c r="S380" i="40"/>
  <c r="U380" i="40"/>
  <c r="W380" i="40"/>
  <c r="Y380" i="40"/>
  <c r="J380" i="40"/>
  <c r="L380" i="40"/>
  <c r="M380" i="40"/>
  <c r="N380" i="40"/>
  <c r="AA380" i="40"/>
  <c r="AE380" i="40"/>
  <c r="AB380" i="40"/>
  <c r="I380" i="40"/>
  <c r="T380" i="40"/>
  <c r="V380" i="40"/>
  <c r="X380" i="40"/>
  <c r="Z380" i="40"/>
  <c r="K380" i="40"/>
  <c r="O380" i="40"/>
  <c r="P380" i="40"/>
  <c r="Q380" i="40"/>
  <c r="AC380" i="40"/>
  <c r="R380" i="40"/>
  <c r="G380" i="40"/>
  <c r="AD380" i="40"/>
  <c r="AF380" i="40"/>
  <c r="H381" i="40"/>
  <c r="S381" i="40"/>
  <c r="U381" i="40"/>
  <c r="W381" i="40"/>
  <c r="Y381" i="40"/>
  <c r="J381" i="40"/>
  <c r="L381" i="40"/>
  <c r="M381" i="40"/>
  <c r="N381" i="40"/>
  <c r="AA381" i="40"/>
  <c r="AE381" i="40"/>
  <c r="AB381" i="40"/>
  <c r="I381" i="40"/>
  <c r="T381" i="40"/>
  <c r="V381" i="40"/>
  <c r="X381" i="40"/>
  <c r="Z381" i="40"/>
  <c r="K381" i="40"/>
  <c r="O381" i="40"/>
  <c r="P381" i="40"/>
  <c r="Q381" i="40"/>
  <c r="AC381" i="40"/>
  <c r="R381" i="40"/>
  <c r="G381" i="40"/>
  <c r="AD381" i="40"/>
  <c r="AF381" i="40"/>
  <c r="H382" i="40"/>
  <c r="S382" i="40"/>
  <c r="U382" i="40"/>
  <c r="W382" i="40"/>
  <c r="Y382" i="40"/>
  <c r="J382" i="40"/>
  <c r="L382" i="40"/>
  <c r="M382" i="40"/>
  <c r="N382" i="40"/>
  <c r="AA382" i="40"/>
  <c r="AE382" i="40"/>
  <c r="AB382" i="40"/>
  <c r="I382" i="40"/>
  <c r="T382" i="40"/>
  <c r="V382" i="40"/>
  <c r="X382" i="40"/>
  <c r="Z382" i="40"/>
  <c r="K382" i="40"/>
  <c r="O382" i="40"/>
  <c r="P382" i="40"/>
  <c r="Q382" i="40"/>
  <c r="AC382" i="40"/>
  <c r="R382" i="40"/>
  <c r="G382" i="40"/>
  <c r="AD382" i="40"/>
  <c r="AF382" i="40"/>
  <c r="H383" i="40"/>
  <c r="S383" i="40"/>
  <c r="U383" i="40"/>
  <c r="W383" i="40"/>
  <c r="Y383" i="40"/>
  <c r="J383" i="40"/>
  <c r="L383" i="40"/>
  <c r="M383" i="40"/>
  <c r="N383" i="40"/>
  <c r="AA383" i="40"/>
  <c r="AE383" i="40"/>
  <c r="AB383" i="40"/>
  <c r="I383" i="40"/>
  <c r="T383" i="40"/>
  <c r="V383" i="40"/>
  <c r="X383" i="40"/>
  <c r="Z383" i="40"/>
  <c r="K383" i="40"/>
  <c r="O383" i="40"/>
  <c r="P383" i="40"/>
  <c r="Q383" i="40"/>
  <c r="AC383" i="40"/>
  <c r="R383" i="40"/>
  <c r="G383" i="40"/>
  <c r="AD383" i="40"/>
  <c r="AF383" i="40"/>
  <c r="H384" i="40"/>
  <c r="S384" i="40"/>
  <c r="U384" i="40"/>
  <c r="W384" i="40"/>
  <c r="Y384" i="40"/>
  <c r="J384" i="40"/>
  <c r="L384" i="40"/>
  <c r="M384" i="40"/>
  <c r="N384" i="40"/>
  <c r="AA384" i="40"/>
  <c r="AE384" i="40"/>
  <c r="AB384" i="40"/>
  <c r="I384" i="40"/>
  <c r="T384" i="40"/>
  <c r="V384" i="40"/>
  <c r="X384" i="40"/>
  <c r="Z384" i="40"/>
  <c r="K384" i="40"/>
  <c r="O384" i="40"/>
  <c r="P384" i="40"/>
  <c r="Q384" i="40"/>
  <c r="AC384" i="40"/>
  <c r="R384" i="40"/>
  <c r="G384" i="40"/>
  <c r="AD384" i="40"/>
  <c r="AF384" i="40"/>
  <c r="H385" i="40"/>
  <c r="S385" i="40"/>
  <c r="U385" i="40"/>
  <c r="W385" i="40"/>
  <c r="Y385" i="40"/>
  <c r="J385" i="40"/>
  <c r="L385" i="40"/>
  <c r="M385" i="40"/>
  <c r="N385" i="40"/>
  <c r="AA385" i="40"/>
  <c r="AE385" i="40"/>
  <c r="AB385" i="40"/>
  <c r="I385" i="40"/>
  <c r="T385" i="40"/>
  <c r="V385" i="40"/>
  <c r="X385" i="40"/>
  <c r="Z385" i="40"/>
  <c r="K385" i="40"/>
  <c r="O385" i="40"/>
  <c r="P385" i="40"/>
  <c r="Q385" i="40"/>
  <c r="AC385" i="40"/>
  <c r="R385" i="40"/>
  <c r="G385" i="40"/>
  <c r="AD385" i="40"/>
  <c r="AF385" i="40"/>
  <c r="H386" i="40"/>
  <c r="S386" i="40"/>
  <c r="U386" i="40"/>
  <c r="W386" i="40"/>
  <c r="Y386" i="40"/>
  <c r="J386" i="40"/>
  <c r="L386" i="40"/>
  <c r="M386" i="40"/>
  <c r="N386" i="40"/>
  <c r="AA386" i="40"/>
  <c r="AE386" i="40"/>
  <c r="AB386" i="40"/>
  <c r="I386" i="40"/>
  <c r="T386" i="40"/>
  <c r="V386" i="40"/>
  <c r="X386" i="40"/>
  <c r="Z386" i="40"/>
  <c r="K386" i="40"/>
  <c r="O386" i="40"/>
  <c r="P386" i="40"/>
  <c r="Q386" i="40"/>
  <c r="AC386" i="40"/>
  <c r="R386" i="40"/>
  <c r="G386" i="40"/>
  <c r="AD386" i="40"/>
  <c r="AF386" i="40"/>
  <c r="H387" i="40"/>
  <c r="S387" i="40"/>
  <c r="U387" i="40"/>
  <c r="W387" i="40"/>
  <c r="Y387" i="40"/>
  <c r="J387" i="40"/>
  <c r="L387" i="40"/>
  <c r="M387" i="40"/>
  <c r="N387" i="40"/>
  <c r="AA387" i="40"/>
  <c r="AE387" i="40"/>
  <c r="AB387" i="40"/>
  <c r="I387" i="40"/>
  <c r="T387" i="40"/>
  <c r="V387" i="40"/>
  <c r="X387" i="40"/>
  <c r="Z387" i="40"/>
  <c r="K387" i="40"/>
  <c r="O387" i="40"/>
  <c r="P387" i="40"/>
  <c r="Q387" i="40"/>
  <c r="AC387" i="40"/>
  <c r="R387" i="40"/>
  <c r="G387" i="40"/>
  <c r="AD387" i="40"/>
  <c r="AF387" i="40"/>
  <c r="H388" i="40"/>
  <c r="S388" i="40"/>
  <c r="U388" i="40"/>
  <c r="W388" i="40"/>
  <c r="Y388" i="40"/>
  <c r="J388" i="40"/>
  <c r="L388" i="40"/>
  <c r="M388" i="40"/>
  <c r="N388" i="40"/>
  <c r="AA388" i="40"/>
  <c r="AE388" i="40"/>
  <c r="AB388" i="40"/>
  <c r="I388" i="40"/>
  <c r="T388" i="40"/>
  <c r="V388" i="40"/>
  <c r="X388" i="40"/>
  <c r="Z388" i="40"/>
  <c r="K388" i="40"/>
  <c r="O388" i="40"/>
  <c r="P388" i="40"/>
  <c r="Q388" i="40"/>
  <c r="AC388" i="40"/>
  <c r="R388" i="40"/>
  <c r="G388" i="40"/>
  <c r="AD388" i="40"/>
  <c r="AF388" i="40"/>
  <c r="H389" i="40"/>
  <c r="S389" i="40"/>
  <c r="U389" i="40"/>
  <c r="W389" i="40"/>
  <c r="Y389" i="40"/>
  <c r="J389" i="40"/>
  <c r="L389" i="40"/>
  <c r="M389" i="40"/>
  <c r="N389" i="40"/>
  <c r="AA389" i="40"/>
  <c r="AE389" i="40"/>
  <c r="AB389" i="40"/>
  <c r="I389" i="40"/>
  <c r="T389" i="40"/>
  <c r="V389" i="40"/>
  <c r="X389" i="40"/>
  <c r="Z389" i="40"/>
  <c r="K389" i="40"/>
  <c r="O389" i="40"/>
  <c r="P389" i="40"/>
  <c r="Q389" i="40"/>
  <c r="AC389" i="40"/>
  <c r="R389" i="40"/>
  <c r="G389" i="40"/>
  <c r="AD389" i="40"/>
  <c r="AF389" i="40"/>
  <c r="H390" i="40"/>
  <c r="S390" i="40"/>
  <c r="U390" i="40"/>
  <c r="W390" i="40"/>
  <c r="Y390" i="40"/>
  <c r="J390" i="40"/>
  <c r="L390" i="40"/>
  <c r="M390" i="40"/>
  <c r="N390" i="40"/>
  <c r="AA390" i="40"/>
  <c r="AE390" i="40"/>
  <c r="AB390" i="40"/>
  <c r="I390" i="40"/>
  <c r="T390" i="40"/>
  <c r="V390" i="40"/>
  <c r="X390" i="40"/>
  <c r="Z390" i="40"/>
  <c r="K390" i="40"/>
  <c r="O390" i="40"/>
  <c r="P390" i="40"/>
  <c r="Q390" i="40"/>
  <c r="AC390" i="40"/>
  <c r="R390" i="40"/>
  <c r="G390" i="40"/>
  <c r="AD390" i="40"/>
  <c r="AF390" i="40"/>
  <c r="H391" i="40"/>
  <c r="S391" i="40"/>
  <c r="U391" i="40"/>
  <c r="W391" i="40"/>
  <c r="Y391" i="40"/>
  <c r="J391" i="40"/>
  <c r="L391" i="40"/>
  <c r="M391" i="40"/>
  <c r="N391" i="40"/>
  <c r="AA391" i="40"/>
  <c r="AE391" i="40"/>
  <c r="AB391" i="40"/>
  <c r="I391" i="40"/>
  <c r="T391" i="40"/>
  <c r="V391" i="40"/>
  <c r="X391" i="40"/>
  <c r="Z391" i="40"/>
  <c r="K391" i="40"/>
  <c r="O391" i="40"/>
  <c r="P391" i="40"/>
  <c r="Q391" i="40"/>
  <c r="AC391" i="40"/>
  <c r="R391" i="40"/>
  <c r="G391" i="40"/>
  <c r="AD391" i="40"/>
  <c r="AF391" i="40"/>
  <c r="H392" i="40"/>
  <c r="S392" i="40"/>
  <c r="U392" i="40"/>
  <c r="W392" i="40"/>
  <c r="Y392" i="40"/>
  <c r="J392" i="40"/>
  <c r="L392" i="40"/>
  <c r="M392" i="40"/>
  <c r="N392" i="40"/>
  <c r="AA392" i="40"/>
  <c r="AE392" i="40"/>
  <c r="AB392" i="40"/>
  <c r="I392" i="40"/>
  <c r="T392" i="40"/>
  <c r="V392" i="40"/>
  <c r="X392" i="40"/>
  <c r="Z392" i="40"/>
  <c r="K392" i="40"/>
  <c r="O392" i="40"/>
  <c r="P392" i="40"/>
  <c r="Q392" i="40"/>
  <c r="AC392" i="40"/>
  <c r="R392" i="40"/>
  <c r="G392" i="40"/>
  <c r="AD392" i="40"/>
  <c r="AF392" i="40"/>
  <c r="H393" i="40"/>
  <c r="S393" i="40"/>
  <c r="U393" i="40"/>
  <c r="W393" i="40"/>
  <c r="Y393" i="40"/>
  <c r="J393" i="40"/>
  <c r="L393" i="40"/>
  <c r="M393" i="40"/>
  <c r="N393" i="40"/>
  <c r="AA393" i="40"/>
  <c r="AE393" i="40"/>
  <c r="AB393" i="40"/>
  <c r="I393" i="40"/>
  <c r="T393" i="40"/>
  <c r="V393" i="40"/>
  <c r="X393" i="40"/>
  <c r="Z393" i="40"/>
  <c r="K393" i="40"/>
  <c r="O393" i="40"/>
  <c r="P393" i="40"/>
  <c r="Q393" i="40"/>
  <c r="AC393" i="40"/>
  <c r="R393" i="40"/>
  <c r="G393" i="40"/>
  <c r="AD393" i="40"/>
  <c r="AF393" i="40"/>
  <c r="H394" i="40"/>
  <c r="S394" i="40"/>
  <c r="U394" i="40"/>
  <c r="W394" i="40"/>
  <c r="Y394" i="40"/>
  <c r="J394" i="40"/>
  <c r="L394" i="40"/>
  <c r="M394" i="40"/>
  <c r="N394" i="40"/>
  <c r="AA394" i="40"/>
  <c r="AE394" i="40"/>
  <c r="AB394" i="40"/>
  <c r="I394" i="40"/>
  <c r="T394" i="40"/>
  <c r="V394" i="40"/>
  <c r="X394" i="40"/>
  <c r="Z394" i="40"/>
  <c r="K394" i="40"/>
  <c r="O394" i="40"/>
  <c r="P394" i="40"/>
  <c r="Q394" i="40"/>
  <c r="AC394" i="40"/>
  <c r="R394" i="40"/>
  <c r="G394" i="40"/>
  <c r="AD394" i="40"/>
  <c r="AF394" i="40"/>
  <c r="H395" i="40"/>
  <c r="S395" i="40"/>
  <c r="U395" i="40"/>
  <c r="W395" i="40"/>
  <c r="Y395" i="40"/>
  <c r="J395" i="40"/>
  <c r="L395" i="40"/>
  <c r="M395" i="40"/>
  <c r="N395" i="40"/>
  <c r="AA395" i="40"/>
  <c r="AE395" i="40"/>
  <c r="AB395" i="40"/>
  <c r="I395" i="40"/>
  <c r="T395" i="40"/>
  <c r="V395" i="40"/>
  <c r="X395" i="40"/>
  <c r="Z395" i="40"/>
  <c r="K395" i="40"/>
  <c r="O395" i="40"/>
  <c r="P395" i="40"/>
  <c r="Q395" i="40"/>
  <c r="AC395" i="40"/>
  <c r="R395" i="40"/>
  <c r="G395" i="40"/>
  <c r="AD395" i="40"/>
  <c r="AF395" i="40"/>
  <c r="H396" i="40"/>
  <c r="S396" i="40"/>
  <c r="U396" i="40"/>
  <c r="W396" i="40"/>
  <c r="Y396" i="40"/>
  <c r="J396" i="40"/>
  <c r="L396" i="40"/>
  <c r="M396" i="40"/>
  <c r="N396" i="40"/>
  <c r="AA396" i="40"/>
  <c r="AE396" i="40"/>
  <c r="AB396" i="40"/>
  <c r="I396" i="40"/>
  <c r="T396" i="40"/>
  <c r="V396" i="40"/>
  <c r="X396" i="40"/>
  <c r="Z396" i="40"/>
  <c r="K396" i="40"/>
  <c r="O396" i="40"/>
  <c r="P396" i="40"/>
  <c r="Q396" i="40"/>
  <c r="AC396" i="40"/>
  <c r="R396" i="40"/>
  <c r="G396" i="40"/>
  <c r="AD396" i="40"/>
  <c r="AF396" i="40"/>
  <c r="H397" i="40"/>
  <c r="S397" i="40"/>
  <c r="U397" i="40"/>
  <c r="W397" i="40"/>
  <c r="Y397" i="40"/>
  <c r="J397" i="40"/>
  <c r="L397" i="40"/>
  <c r="M397" i="40"/>
  <c r="N397" i="40"/>
  <c r="AA397" i="40"/>
  <c r="AE397" i="40"/>
  <c r="AB397" i="40"/>
  <c r="I397" i="40"/>
  <c r="T397" i="40"/>
  <c r="V397" i="40"/>
  <c r="X397" i="40"/>
  <c r="Z397" i="40"/>
  <c r="K397" i="40"/>
  <c r="O397" i="40"/>
  <c r="P397" i="40"/>
  <c r="Q397" i="40"/>
  <c r="AC397" i="40"/>
  <c r="R397" i="40"/>
  <c r="G397" i="40"/>
  <c r="AD397" i="40"/>
  <c r="AF397" i="40"/>
  <c r="H398" i="40"/>
  <c r="S398" i="40"/>
  <c r="U398" i="40"/>
  <c r="W398" i="40"/>
  <c r="Y398" i="40"/>
  <c r="J398" i="40"/>
  <c r="L398" i="40"/>
  <c r="M398" i="40"/>
  <c r="N398" i="40"/>
  <c r="AA398" i="40"/>
  <c r="AE398" i="40"/>
  <c r="AB398" i="40"/>
  <c r="I398" i="40"/>
  <c r="T398" i="40"/>
  <c r="V398" i="40"/>
  <c r="X398" i="40"/>
  <c r="Z398" i="40"/>
  <c r="K398" i="40"/>
  <c r="O398" i="40"/>
  <c r="P398" i="40"/>
  <c r="Q398" i="40"/>
  <c r="AC398" i="40"/>
  <c r="R398" i="40"/>
  <c r="G398" i="40"/>
  <c r="AD398" i="40"/>
  <c r="AF398" i="40"/>
  <c r="H399" i="40"/>
  <c r="S399" i="40"/>
  <c r="U399" i="40"/>
  <c r="W399" i="40"/>
  <c r="Y399" i="40"/>
  <c r="J399" i="40"/>
  <c r="L399" i="40"/>
  <c r="M399" i="40"/>
  <c r="N399" i="40"/>
  <c r="AA399" i="40"/>
  <c r="AE399" i="40"/>
  <c r="AB399" i="40"/>
  <c r="I399" i="40"/>
  <c r="T399" i="40"/>
  <c r="V399" i="40"/>
  <c r="X399" i="40"/>
  <c r="Z399" i="40"/>
  <c r="K399" i="40"/>
  <c r="O399" i="40"/>
  <c r="P399" i="40"/>
  <c r="Q399" i="40"/>
  <c r="AC399" i="40"/>
  <c r="R399" i="40"/>
  <c r="G399" i="40"/>
  <c r="AD399" i="40"/>
  <c r="AF399" i="40"/>
  <c r="H400" i="40"/>
  <c r="S400" i="40"/>
  <c r="U400" i="40"/>
  <c r="W400" i="40"/>
  <c r="Y400" i="40"/>
  <c r="J400" i="40"/>
  <c r="L400" i="40"/>
  <c r="M400" i="40"/>
  <c r="N400" i="40"/>
  <c r="AA400" i="40"/>
  <c r="AE400" i="40"/>
  <c r="AB400" i="40"/>
  <c r="I400" i="40"/>
  <c r="T400" i="40"/>
  <c r="V400" i="40"/>
  <c r="X400" i="40"/>
  <c r="Z400" i="40"/>
  <c r="K400" i="40"/>
  <c r="O400" i="40"/>
  <c r="P400" i="40"/>
  <c r="Q400" i="40"/>
  <c r="AC400" i="40"/>
  <c r="R400" i="40"/>
  <c r="G400" i="40"/>
  <c r="AD400" i="40"/>
  <c r="AF400" i="40"/>
  <c r="H401" i="40"/>
  <c r="S401" i="40"/>
  <c r="U401" i="40"/>
  <c r="W401" i="40"/>
  <c r="Y401" i="40"/>
  <c r="J401" i="40"/>
  <c r="L401" i="40"/>
  <c r="M401" i="40"/>
  <c r="N401" i="40"/>
  <c r="AA401" i="40"/>
  <c r="AE401" i="40"/>
  <c r="AB401" i="40"/>
  <c r="I401" i="40"/>
  <c r="T401" i="40"/>
  <c r="V401" i="40"/>
  <c r="X401" i="40"/>
  <c r="Z401" i="40"/>
  <c r="K401" i="40"/>
  <c r="O401" i="40"/>
  <c r="P401" i="40"/>
  <c r="Q401" i="40"/>
  <c r="AC401" i="40"/>
  <c r="R401" i="40"/>
  <c r="G401" i="40"/>
  <c r="AD401" i="40"/>
  <c r="AF401" i="40"/>
  <c r="H402" i="40"/>
  <c r="S402" i="40"/>
  <c r="U402" i="40"/>
  <c r="W402" i="40"/>
  <c r="Y402" i="40"/>
  <c r="J402" i="40"/>
  <c r="L402" i="40"/>
  <c r="M402" i="40"/>
  <c r="N402" i="40"/>
  <c r="AA402" i="40"/>
  <c r="AE402" i="40"/>
  <c r="AB402" i="40"/>
  <c r="I402" i="40"/>
  <c r="T402" i="40"/>
  <c r="V402" i="40"/>
  <c r="X402" i="40"/>
  <c r="Z402" i="40"/>
  <c r="K402" i="40"/>
  <c r="O402" i="40"/>
  <c r="P402" i="40"/>
  <c r="Q402" i="40"/>
  <c r="AC402" i="40"/>
  <c r="R402" i="40"/>
  <c r="G402" i="40"/>
  <c r="AD402" i="40"/>
  <c r="AF402" i="40"/>
  <c r="H403" i="40"/>
  <c r="S403" i="40"/>
  <c r="U403" i="40"/>
  <c r="W403" i="40"/>
  <c r="Y403" i="40"/>
  <c r="J403" i="40"/>
  <c r="L403" i="40"/>
  <c r="M403" i="40"/>
  <c r="N403" i="40"/>
  <c r="AA403" i="40"/>
  <c r="AE403" i="40"/>
  <c r="AB403" i="40"/>
  <c r="I403" i="40"/>
  <c r="T403" i="40"/>
  <c r="V403" i="40"/>
  <c r="X403" i="40"/>
  <c r="Z403" i="40"/>
  <c r="K403" i="40"/>
  <c r="O403" i="40"/>
  <c r="P403" i="40"/>
  <c r="Q403" i="40"/>
  <c r="AC403" i="40"/>
  <c r="R403" i="40"/>
  <c r="G403" i="40"/>
  <c r="AD403" i="40"/>
  <c r="AF403" i="40"/>
  <c r="H404" i="40"/>
  <c r="S404" i="40"/>
  <c r="U404" i="40"/>
  <c r="W404" i="40"/>
  <c r="Y404" i="40"/>
  <c r="J404" i="40"/>
  <c r="L404" i="40"/>
  <c r="M404" i="40"/>
  <c r="N404" i="40"/>
  <c r="AA404" i="40"/>
  <c r="AE404" i="40"/>
  <c r="AB404" i="40"/>
  <c r="I404" i="40"/>
  <c r="T404" i="40"/>
  <c r="V404" i="40"/>
  <c r="X404" i="40"/>
  <c r="Z404" i="40"/>
  <c r="K404" i="40"/>
  <c r="O404" i="40"/>
  <c r="P404" i="40"/>
  <c r="Q404" i="40"/>
  <c r="AC404" i="40"/>
  <c r="R404" i="40"/>
  <c r="G404" i="40"/>
  <c r="AD404" i="40"/>
  <c r="AF404" i="40"/>
  <c r="H405" i="40"/>
  <c r="S405" i="40"/>
  <c r="U405" i="40"/>
  <c r="W405" i="40"/>
  <c r="Y405" i="40"/>
  <c r="J405" i="40"/>
  <c r="L405" i="40"/>
  <c r="M405" i="40"/>
  <c r="N405" i="40"/>
  <c r="AA405" i="40"/>
  <c r="AE405" i="40"/>
  <c r="AB405" i="40"/>
  <c r="I405" i="40"/>
  <c r="T405" i="40"/>
  <c r="V405" i="40"/>
  <c r="X405" i="40"/>
  <c r="Z405" i="40"/>
  <c r="K405" i="40"/>
  <c r="O405" i="40"/>
  <c r="P405" i="40"/>
  <c r="Q405" i="40"/>
  <c r="AC405" i="40"/>
  <c r="R405" i="40"/>
  <c r="G405" i="40"/>
  <c r="AD405" i="40"/>
  <c r="AF405" i="40"/>
  <c r="H406" i="40"/>
  <c r="S406" i="40"/>
  <c r="U406" i="40"/>
  <c r="W406" i="40"/>
  <c r="Y406" i="40"/>
  <c r="J406" i="40"/>
  <c r="L406" i="40"/>
  <c r="M406" i="40"/>
  <c r="N406" i="40"/>
  <c r="AA406" i="40"/>
  <c r="AE406" i="40"/>
  <c r="AB406" i="40"/>
  <c r="I406" i="40"/>
  <c r="T406" i="40"/>
  <c r="V406" i="40"/>
  <c r="X406" i="40"/>
  <c r="Z406" i="40"/>
  <c r="K406" i="40"/>
  <c r="O406" i="40"/>
  <c r="P406" i="40"/>
  <c r="Q406" i="40"/>
  <c r="AC406" i="40"/>
  <c r="R406" i="40"/>
  <c r="G406" i="40"/>
  <c r="AD406" i="40"/>
  <c r="AF406" i="40"/>
  <c r="H407" i="40"/>
  <c r="S407" i="40"/>
  <c r="U407" i="40"/>
  <c r="W407" i="40"/>
  <c r="Y407" i="40"/>
  <c r="J407" i="40"/>
  <c r="L407" i="40"/>
  <c r="M407" i="40"/>
  <c r="N407" i="40"/>
  <c r="AA407" i="40"/>
  <c r="AE407" i="40"/>
  <c r="AB407" i="40"/>
  <c r="I407" i="40"/>
  <c r="T407" i="40"/>
  <c r="V407" i="40"/>
  <c r="X407" i="40"/>
  <c r="Z407" i="40"/>
  <c r="K407" i="40"/>
  <c r="O407" i="40"/>
  <c r="P407" i="40"/>
  <c r="Q407" i="40"/>
  <c r="AC407" i="40"/>
  <c r="R407" i="40"/>
  <c r="G407" i="40"/>
  <c r="AD407" i="40"/>
  <c r="AF407" i="40"/>
  <c r="H408" i="40"/>
  <c r="S408" i="40"/>
  <c r="U408" i="40"/>
  <c r="W408" i="40"/>
  <c r="Y408" i="40"/>
  <c r="J408" i="40"/>
  <c r="L408" i="40"/>
  <c r="M408" i="40"/>
  <c r="N408" i="40"/>
  <c r="AA408" i="40"/>
  <c r="AE408" i="40"/>
  <c r="AB408" i="40"/>
  <c r="I408" i="40"/>
  <c r="T408" i="40"/>
  <c r="V408" i="40"/>
  <c r="X408" i="40"/>
  <c r="Z408" i="40"/>
  <c r="K408" i="40"/>
  <c r="O408" i="40"/>
  <c r="P408" i="40"/>
  <c r="Q408" i="40"/>
  <c r="AC408" i="40"/>
  <c r="R408" i="40"/>
  <c r="G408" i="40"/>
  <c r="AD408" i="40"/>
  <c r="AF408" i="40"/>
  <c r="H409" i="40"/>
  <c r="S409" i="40"/>
  <c r="U409" i="40"/>
  <c r="W409" i="40"/>
  <c r="Y409" i="40"/>
  <c r="J409" i="40"/>
  <c r="L409" i="40"/>
  <c r="M409" i="40"/>
  <c r="N409" i="40"/>
  <c r="AA409" i="40"/>
  <c r="AE409" i="40"/>
  <c r="AB409" i="40"/>
  <c r="I409" i="40"/>
  <c r="T409" i="40"/>
  <c r="V409" i="40"/>
  <c r="X409" i="40"/>
  <c r="Z409" i="40"/>
  <c r="K409" i="40"/>
  <c r="O409" i="40"/>
  <c r="P409" i="40"/>
  <c r="Q409" i="40"/>
  <c r="AC409" i="40"/>
  <c r="R409" i="40"/>
  <c r="G409" i="40"/>
  <c r="AD409" i="40"/>
  <c r="AF409" i="40"/>
  <c r="H410" i="40"/>
  <c r="S410" i="40"/>
  <c r="U410" i="40"/>
  <c r="W410" i="40"/>
  <c r="Y410" i="40"/>
  <c r="J410" i="40"/>
  <c r="L410" i="40"/>
  <c r="M410" i="40"/>
  <c r="N410" i="40"/>
  <c r="AA410" i="40"/>
  <c r="AE410" i="40"/>
  <c r="AB410" i="40"/>
  <c r="I410" i="40"/>
  <c r="T410" i="40"/>
  <c r="V410" i="40"/>
  <c r="X410" i="40"/>
  <c r="Z410" i="40"/>
  <c r="K410" i="40"/>
  <c r="O410" i="40"/>
  <c r="P410" i="40"/>
  <c r="Q410" i="40"/>
  <c r="AC410" i="40"/>
  <c r="R410" i="40"/>
  <c r="G410" i="40"/>
  <c r="AD410" i="40"/>
  <c r="AF410" i="40"/>
  <c r="H411" i="40"/>
  <c r="S411" i="40"/>
  <c r="U411" i="40"/>
  <c r="W411" i="40"/>
  <c r="Y411" i="40"/>
  <c r="J411" i="40"/>
  <c r="L411" i="40"/>
  <c r="M411" i="40"/>
  <c r="N411" i="40"/>
  <c r="AA411" i="40"/>
  <c r="AE411" i="40"/>
  <c r="AB411" i="40"/>
  <c r="I411" i="40"/>
  <c r="T411" i="40"/>
  <c r="V411" i="40"/>
  <c r="X411" i="40"/>
  <c r="Z411" i="40"/>
  <c r="K411" i="40"/>
  <c r="O411" i="40"/>
  <c r="P411" i="40"/>
  <c r="Q411" i="40"/>
  <c r="AC411" i="40"/>
  <c r="R411" i="40"/>
  <c r="G411" i="40"/>
  <c r="AD411" i="40"/>
  <c r="AF411" i="40"/>
  <c r="H412" i="40"/>
  <c r="S412" i="40"/>
  <c r="U412" i="40"/>
  <c r="W412" i="40"/>
  <c r="Y412" i="40"/>
  <c r="J412" i="40"/>
  <c r="L412" i="40"/>
  <c r="M412" i="40"/>
  <c r="N412" i="40"/>
  <c r="AA412" i="40"/>
  <c r="AE412" i="40"/>
  <c r="AB412" i="40"/>
  <c r="I412" i="40"/>
  <c r="T412" i="40"/>
  <c r="V412" i="40"/>
  <c r="X412" i="40"/>
  <c r="Z412" i="40"/>
  <c r="K412" i="40"/>
  <c r="O412" i="40"/>
  <c r="P412" i="40"/>
  <c r="Q412" i="40"/>
  <c r="AC412" i="40"/>
  <c r="R412" i="40"/>
  <c r="G412" i="40"/>
  <c r="AD412" i="40"/>
  <c r="AF412" i="40"/>
  <c r="H413" i="40"/>
  <c r="S413" i="40"/>
  <c r="U413" i="40"/>
  <c r="W413" i="40"/>
  <c r="Y413" i="40"/>
  <c r="J413" i="40"/>
  <c r="L413" i="40"/>
  <c r="M413" i="40"/>
  <c r="N413" i="40"/>
  <c r="AA413" i="40"/>
  <c r="AE413" i="40"/>
  <c r="AB413" i="40"/>
  <c r="I413" i="40"/>
  <c r="T413" i="40"/>
  <c r="V413" i="40"/>
  <c r="X413" i="40"/>
  <c r="Z413" i="40"/>
  <c r="K413" i="40"/>
  <c r="O413" i="40"/>
  <c r="P413" i="40"/>
  <c r="Q413" i="40"/>
  <c r="AC413" i="40"/>
  <c r="R413" i="40"/>
  <c r="G413" i="40"/>
  <c r="AD413" i="40"/>
  <c r="AF413" i="40"/>
  <c r="H414" i="40"/>
  <c r="S414" i="40"/>
  <c r="U414" i="40"/>
  <c r="W414" i="40"/>
  <c r="Y414" i="40"/>
  <c r="J414" i="40"/>
  <c r="L414" i="40"/>
  <c r="M414" i="40"/>
  <c r="N414" i="40"/>
  <c r="AA414" i="40"/>
  <c r="AE414" i="40"/>
  <c r="AB414" i="40"/>
  <c r="I414" i="40"/>
  <c r="T414" i="40"/>
  <c r="V414" i="40"/>
  <c r="X414" i="40"/>
  <c r="Z414" i="40"/>
  <c r="K414" i="40"/>
  <c r="O414" i="40"/>
  <c r="P414" i="40"/>
  <c r="Q414" i="40"/>
  <c r="AC414" i="40"/>
  <c r="R414" i="40"/>
  <c r="G414" i="40"/>
  <c r="AD414" i="40"/>
  <c r="AF414" i="40"/>
  <c r="H415" i="40"/>
  <c r="S415" i="40"/>
  <c r="U415" i="40"/>
  <c r="W415" i="40"/>
  <c r="Y415" i="40"/>
  <c r="J415" i="40"/>
  <c r="L415" i="40"/>
  <c r="M415" i="40"/>
  <c r="N415" i="40"/>
  <c r="AA415" i="40"/>
  <c r="AE415" i="40"/>
  <c r="AB415" i="40"/>
  <c r="I415" i="40"/>
  <c r="T415" i="40"/>
  <c r="V415" i="40"/>
  <c r="X415" i="40"/>
  <c r="Z415" i="40"/>
  <c r="K415" i="40"/>
  <c r="O415" i="40"/>
  <c r="P415" i="40"/>
  <c r="Q415" i="40"/>
  <c r="AC415" i="40"/>
  <c r="R415" i="40"/>
  <c r="G415" i="40"/>
  <c r="AD415" i="40"/>
  <c r="AF415" i="40"/>
  <c r="H416" i="40"/>
  <c r="S416" i="40"/>
  <c r="U416" i="40"/>
  <c r="W416" i="40"/>
  <c r="Y416" i="40"/>
  <c r="J416" i="40"/>
  <c r="L416" i="40"/>
  <c r="M416" i="40"/>
  <c r="N416" i="40"/>
  <c r="AA416" i="40"/>
  <c r="AE416" i="40"/>
  <c r="AB416" i="40"/>
  <c r="I416" i="40"/>
  <c r="T416" i="40"/>
  <c r="V416" i="40"/>
  <c r="X416" i="40"/>
  <c r="Z416" i="40"/>
  <c r="K416" i="40"/>
  <c r="O416" i="40"/>
  <c r="P416" i="40"/>
  <c r="Q416" i="40"/>
  <c r="AC416" i="40"/>
  <c r="R416" i="40"/>
  <c r="G416" i="40"/>
  <c r="AD416" i="40"/>
  <c r="AF416" i="40"/>
  <c r="H417" i="40"/>
  <c r="S417" i="40"/>
  <c r="U417" i="40"/>
  <c r="W417" i="40"/>
  <c r="Y417" i="40"/>
  <c r="J417" i="40"/>
  <c r="L417" i="40"/>
  <c r="M417" i="40"/>
  <c r="N417" i="40"/>
  <c r="AA417" i="40"/>
  <c r="AE417" i="40"/>
  <c r="AB417" i="40"/>
  <c r="I417" i="40"/>
  <c r="T417" i="40"/>
  <c r="V417" i="40"/>
  <c r="X417" i="40"/>
  <c r="Z417" i="40"/>
  <c r="K417" i="40"/>
  <c r="O417" i="40"/>
  <c r="P417" i="40"/>
  <c r="Q417" i="40"/>
  <c r="AC417" i="40"/>
  <c r="R417" i="40"/>
  <c r="G417" i="40"/>
  <c r="AD417" i="40"/>
  <c r="AF417" i="40"/>
  <c r="H418" i="40"/>
  <c r="S418" i="40"/>
  <c r="U418" i="40"/>
  <c r="W418" i="40"/>
  <c r="Y418" i="40"/>
  <c r="J418" i="40"/>
  <c r="L418" i="40"/>
  <c r="M418" i="40"/>
  <c r="N418" i="40"/>
  <c r="AA418" i="40"/>
  <c r="AE418" i="40"/>
  <c r="AB418" i="40"/>
  <c r="I418" i="40"/>
  <c r="T418" i="40"/>
  <c r="V418" i="40"/>
  <c r="X418" i="40"/>
  <c r="Z418" i="40"/>
  <c r="K418" i="40"/>
  <c r="O418" i="40"/>
  <c r="P418" i="40"/>
  <c r="Q418" i="40"/>
  <c r="AC418" i="40"/>
  <c r="R418" i="40"/>
  <c r="G418" i="40"/>
  <c r="AD418" i="40"/>
  <c r="AF418" i="40"/>
  <c r="H419" i="40"/>
  <c r="S419" i="40"/>
  <c r="U419" i="40"/>
  <c r="W419" i="40"/>
  <c r="Y419" i="40"/>
  <c r="J419" i="40"/>
  <c r="L419" i="40"/>
  <c r="M419" i="40"/>
  <c r="N419" i="40"/>
  <c r="AA419" i="40"/>
  <c r="AE419" i="40"/>
  <c r="AB419" i="40"/>
  <c r="I419" i="40"/>
  <c r="T419" i="40"/>
  <c r="V419" i="40"/>
  <c r="X419" i="40"/>
  <c r="Z419" i="40"/>
  <c r="K419" i="40"/>
  <c r="O419" i="40"/>
  <c r="P419" i="40"/>
  <c r="Q419" i="40"/>
  <c r="AC419" i="40"/>
  <c r="R419" i="40"/>
  <c r="G419" i="40"/>
  <c r="AD419" i="40"/>
  <c r="AF419" i="40"/>
  <c r="H420" i="40"/>
  <c r="S420" i="40"/>
  <c r="U420" i="40"/>
  <c r="W420" i="40"/>
  <c r="Y420" i="40"/>
  <c r="J420" i="40"/>
  <c r="L420" i="40"/>
  <c r="M420" i="40"/>
  <c r="N420" i="40"/>
  <c r="AA420" i="40"/>
  <c r="AE420" i="40"/>
  <c r="AB420" i="40"/>
  <c r="I420" i="40"/>
  <c r="T420" i="40"/>
  <c r="V420" i="40"/>
  <c r="X420" i="40"/>
  <c r="Z420" i="40"/>
  <c r="K420" i="40"/>
  <c r="O420" i="40"/>
  <c r="P420" i="40"/>
  <c r="Q420" i="40"/>
  <c r="AC420" i="40"/>
  <c r="R420" i="40"/>
  <c r="G420" i="40"/>
  <c r="AD420" i="40"/>
  <c r="AF420" i="40"/>
  <c r="H421" i="40"/>
  <c r="S421" i="40"/>
  <c r="U421" i="40"/>
  <c r="W421" i="40"/>
  <c r="Y421" i="40"/>
  <c r="J421" i="40"/>
  <c r="L421" i="40"/>
  <c r="M421" i="40"/>
  <c r="N421" i="40"/>
  <c r="AA421" i="40"/>
  <c r="AE421" i="40"/>
  <c r="AB421" i="40"/>
  <c r="I421" i="40"/>
  <c r="T421" i="40"/>
  <c r="V421" i="40"/>
  <c r="X421" i="40"/>
  <c r="Z421" i="40"/>
  <c r="K421" i="40"/>
  <c r="O421" i="40"/>
  <c r="P421" i="40"/>
  <c r="Q421" i="40"/>
  <c r="AC421" i="40"/>
  <c r="R421" i="40"/>
  <c r="G421" i="40"/>
  <c r="AD421" i="40"/>
  <c r="AF421" i="40"/>
  <c r="H422" i="40"/>
  <c r="S422" i="40"/>
  <c r="U422" i="40"/>
  <c r="W422" i="40"/>
  <c r="Y422" i="40"/>
  <c r="J422" i="40"/>
  <c r="L422" i="40"/>
  <c r="M422" i="40"/>
  <c r="N422" i="40"/>
  <c r="AA422" i="40"/>
  <c r="AE422" i="40"/>
  <c r="AB422" i="40"/>
  <c r="I422" i="40"/>
  <c r="T422" i="40"/>
  <c r="V422" i="40"/>
  <c r="X422" i="40"/>
  <c r="Z422" i="40"/>
  <c r="K422" i="40"/>
  <c r="O422" i="40"/>
  <c r="P422" i="40"/>
  <c r="Q422" i="40"/>
  <c r="AC422" i="40"/>
  <c r="R422" i="40"/>
  <c r="G422" i="40"/>
  <c r="AD422" i="40"/>
  <c r="AF422" i="40"/>
  <c r="H423" i="40"/>
  <c r="S423" i="40"/>
  <c r="U423" i="40"/>
  <c r="W423" i="40"/>
  <c r="Y423" i="40"/>
  <c r="J423" i="40"/>
  <c r="L423" i="40"/>
  <c r="M423" i="40"/>
  <c r="N423" i="40"/>
  <c r="AA423" i="40"/>
  <c r="AE423" i="40"/>
  <c r="AB423" i="40"/>
  <c r="I423" i="40"/>
  <c r="T423" i="40"/>
  <c r="V423" i="40"/>
  <c r="X423" i="40"/>
  <c r="Z423" i="40"/>
  <c r="K423" i="40"/>
  <c r="O423" i="40"/>
  <c r="P423" i="40"/>
  <c r="Q423" i="40"/>
  <c r="AC423" i="40"/>
  <c r="R423" i="40"/>
  <c r="G423" i="40"/>
  <c r="AD423" i="40"/>
  <c r="AF423" i="40"/>
  <c r="H424" i="40"/>
  <c r="S424" i="40"/>
  <c r="U424" i="40"/>
  <c r="W424" i="40"/>
  <c r="Y424" i="40"/>
  <c r="J424" i="40"/>
  <c r="L424" i="40"/>
  <c r="M424" i="40"/>
  <c r="N424" i="40"/>
  <c r="AA424" i="40"/>
  <c r="AE424" i="40"/>
  <c r="AB424" i="40"/>
  <c r="I424" i="40"/>
  <c r="T424" i="40"/>
  <c r="V424" i="40"/>
  <c r="X424" i="40"/>
  <c r="Z424" i="40"/>
  <c r="K424" i="40"/>
  <c r="O424" i="40"/>
  <c r="P424" i="40"/>
  <c r="Q424" i="40"/>
  <c r="AC424" i="40"/>
  <c r="R424" i="40"/>
  <c r="G424" i="40"/>
  <c r="AD424" i="40"/>
  <c r="AF424" i="40"/>
  <c r="H425" i="40"/>
  <c r="S425" i="40"/>
  <c r="U425" i="40"/>
  <c r="W425" i="40"/>
  <c r="Y425" i="40"/>
  <c r="J425" i="40"/>
  <c r="L425" i="40"/>
  <c r="M425" i="40"/>
  <c r="N425" i="40"/>
  <c r="AA425" i="40"/>
  <c r="AE425" i="40"/>
  <c r="AB425" i="40"/>
  <c r="I425" i="40"/>
  <c r="T425" i="40"/>
  <c r="V425" i="40"/>
  <c r="X425" i="40"/>
  <c r="Z425" i="40"/>
  <c r="K425" i="40"/>
  <c r="O425" i="40"/>
  <c r="P425" i="40"/>
  <c r="Q425" i="40"/>
  <c r="AC425" i="40"/>
  <c r="R425" i="40"/>
  <c r="G425" i="40"/>
  <c r="AD425" i="40"/>
  <c r="AF425" i="40"/>
  <c r="H426" i="40"/>
  <c r="S426" i="40"/>
  <c r="U426" i="40"/>
  <c r="W426" i="40"/>
  <c r="Y426" i="40"/>
  <c r="J426" i="40"/>
  <c r="L426" i="40"/>
  <c r="M426" i="40"/>
  <c r="N426" i="40"/>
  <c r="AA426" i="40"/>
  <c r="AE426" i="40"/>
  <c r="AB426" i="40"/>
  <c r="I426" i="40"/>
  <c r="T426" i="40"/>
  <c r="V426" i="40"/>
  <c r="X426" i="40"/>
  <c r="Z426" i="40"/>
  <c r="K426" i="40"/>
  <c r="O426" i="40"/>
  <c r="P426" i="40"/>
  <c r="Q426" i="40"/>
  <c r="AC426" i="40"/>
  <c r="R426" i="40"/>
  <c r="G426" i="40"/>
  <c r="AD426" i="40"/>
  <c r="AF426" i="40"/>
  <c r="H427" i="40"/>
  <c r="S427" i="40"/>
  <c r="U427" i="40"/>
  <c r="W427" i="40"/>
  <c r="Y427" i="40"/>
  <c r="J427" i="40"/>
  <c r="L427" i="40"/>
  <c r="M427" i="40"/>
  <c r="N427" i="40"/>
  <c r="AA427" i="40"/>
  <c r="AE427" i="40"/>
  <c r="AB427" i="40"/>
  <c r="I427" i="40"/>
  <c r="T427" i="40"/>
  <c r="V427" i="40"/>
  <c r="X427" i="40"/>
  <c r="Z427" i="40"/>
  <c r="K427" i="40"/>
  <c r="O427" i="40"/>
  <c r="P427" i="40"/>
  <c r="Q427" i="40"/>
  <c r="AC427" i="40"/>
  <c r="R427" i="40"/>
  <c r="G427" i="40"/>
  <c r="AD427" i="40"/>
  <c r="AF427" i="40"/>
  <c r="H428" i="40"/>
  <c r="S428" i="40"/>
  <c r="U428" i="40"/>
  <c r="W428" i="40"/>
  <c r="Y428" i="40"/>
  <c r="J428" i="40"/>
  <c r="L428" i="40"/>
  <c r="M428" i="40"/>
  <c r="N428" i="40"/>
  <c r="AA428" i="40"/>
  <c r="AE428" i="40"/>
  <c r="AB428" i="40"/>
  <c r="I428" i="40"/>
  <c r="T428" i="40"/>
  <c r="V428" i="40"/>
  <c r="X428" i="40"/>
  <c r="Z428" i="40"/>
  <c r="K428" i="40"/>
  <c r="O428" i="40"/>
  <c r="P428" i="40"/>
  <c r="Q428" i="40"/>
  <c r="AC428" i="40"/>
  <c r="R428" i="40"/>
  <c r="G428" i="40"/>
  <c r="AD428" i="40"/>
  <c r="AF428" i="40"/>
  <c r="H429" i="40"/>
  <c r="S429" i="40"/>
  <c r="U429" i="40"/>
  <c r="W429" i="40"/>
  <c r="Y429" i="40"/>
  <c r="J429" i="40"/>
  <c r="L429" i="40"/>
  <c r="M429" i="40"/>
  <c r="N429" i="40"/>
  <c r="AA429" i="40"/>
  <c r="AE429" i="40"/>
  <c r="AB429" i="40"/>
  <c r="I429" i="40"/>
  <c r="T429" i="40"/>
  <c r="V429" i="40"/>
  <c r="X429" i="40"/>
  <c r="Z429" i="40"/>
  <c r="K429" i="40"/>
  <c r="O429" i="40"/>
  <c r="P429" i="40"/>
  <c r="Q429" i="40"/>
  <c r="AC429" i="40"/>
  <c r="R429" i="40"/>
  <c r="G429" i="40"/>
  <c r="AD429" i="40"/>
  <c r="AF429" i="40"/>
  <c r="H430" i="40"/>
  <c r="S430" i="40"/>
  <c r="U430" i="40"/>
  <c r="W430" i="40"/>
  <c r="Y430" i="40"/>
  <c r="J430" i="40"/>
  <c r="L430" i="40"/>
  <c r="M430" i="40"/>
  <c r="N430" i="40"/>
  <c r="AA430" i="40"/>
  <c r="AE430" i="40"/>
  <c r="AB430" i="40"/>
  <c r="I430" i="40"/>
  <c r="T430" i="40"/>
  <c r="V430" i="40"/>
  <c r="X430" i="40"/>
  <c r="Z430" i="40"/>
  <c r="K430" i="40"/>
  <c r="O430" i="40"/>
  <c r="P430" i="40"/>
  <c r="Q430" i="40"/>
  <c r="AC430" i="40"/>
  <c r="R430" i="40"/>
  <c r="G430" i="40"/>
  <c r="AD430" i="40"/>
  <c r="AF430" i="40"/>
  <c r="H431" i="40"/>
  <c r="S431" i="40"/>
  <c r="U431" i="40"/>
  <c r="W431" i="40"/>
  <c r="Y431" i="40"/>
  <c r="J431" i="40"/>
  <c r="L431" i="40"/>
  <c r="M431" i="40"/>
  <c r="N431" i="40"/>
  <c r="AA431" i="40"/>
  <c r="AE431" i="40"/>
  <c r="AB431" i="40"/>
  <c r="I431" i="40"/>
  <c r="T431" i="40"/>
  <c r="V431" i="40"/>
  <c r="X431" i="40"/>
  <c r="Z431" i="40"/>
  <c r="K431" i="40"/>
  <c r="O431" i="40"/>
  <c r="P431" i="40"/>
  <c r="Q431" i="40"/>
  <c r="AC431" i="40"/>
  <c r="R431" i="40"/>
  <c r="G431" i="40"/>
  <c r="AD431" i="40"/>
  <c r="AF431" i="40"/>
  <c r="H432" i="40"/>
  <c r="S432" i="40"/>
  <c r="U432" i="40"/>
  <c r="W432" i="40"/>
  <c r="Y432" i="40"/>
  <c r="J432" i="40"/>
  <c r="L432" i="40"/>
  <c r="M432" i="40"/>
  <c r="N432" i="40"/>
  <c r="AA432" i="40"/>
  <c r="AE432" i="40"/>
  <c r="AB432" i="40"/>
  <c r="I432" i="40"/>
  <c r="T432" i="40"/>
  <c r="V432" i="40"/>
  <c r="X432" i="40"/>
  <c r="Z432" i="40"/>
  <c r="K432" i="40"/>
  <c r="O432" i="40"/>
  <c r="P432" i="40"/>
  <c r="Q432" i="40"/>
  <c r="AC432" i="40"/>
  <c r="R432" i="40"/>
  <c r="G432" i="40"/>
  <c r="AD432" i="40"/>
  <c r="AF432" i="40"/>
  <c r="H433" i="40"/>
  <c r="S433" i="40"/>
  <c r="U433" i="40"/>
  <c r="W433" i="40"/>
  <c r="Y433" i="40"/>
  <c r="J433" i="40"/>
  <c r="L433" i="40"/>
  <c r="M433" i="40"/>
  <c r="N433" i="40"/>
  <c r="AA433" i="40"/>
  <c r="AE433" i="40"/>
  <c r="AB433" i="40"/>
  <c r="I433" i="40"/>
  <c r="T433" i="40"/>
  <c r="V433" i="40"/>
  <c r="X433" i="40"/>
  <c r="Z433" i="40"/>
  <c r="K433" i="40"/>
  <c r="O433" i="40"/>
  <c r="P433" i="40"/>
  <c r="Q433" i="40"/>
  <c r="AC433" i="40"/>
  <c r="R433" i="40"/>
  <c r="G433" i="40"/>
  <c r="AD433" i="40"/>
  <c r="AF433" i="40"/>
  <c r="H434" i="40"/>
  <c r="S434" i="40"/>
  <c r="U434" i="40"/>
  <c r="W434" i="40"/>
  <c r="Y434" i="40"/>
  <c r="J434" i="40"/>
  <c r="L434" i="40"/>
  <c r="M434" i="40"/>
  <c r="N434" i="40"/>
  <c r="AA434" i="40"/>
  <c r="AE434" i="40"/>
  <c r="AB434" i="40"/>
  <c r="I434" i="40"/>
  <c r="T434" i="40"/>
  <c r="V434" i="40"/>
  <c r="X434" i="40"/>
  <c r="Z434" i="40"/>
  <c r="K434" i="40"/>
  <c r="O434" i="40"/>
  <c r="P434" i="40"/>
  <c r="Q434" i="40"/>
  <c r="AC434" i="40"/>
  <c r="R434" i="40"/>
  <c r="G434" i="40"/>
  <c r="AD434" i="40"/>
  <c r="AF434" i="40"/>
  <c r="H435" i="40"/>
  <c r="S435" i="40"/>
  <c r="U435" i="40"/>
  <c r="W435" i="40"/>
  <c r="Y435" i="40"/>
  <c r="J435" i="40"/>
  <c r="L435" i="40"/>
  <c r="M435" i="40"/>
  <c r="N435" i="40"/>
  <c r="AA435" i="40"/>
  <c r="AE435" i="40"/>
  <c r="AB435" i="40"/>
  <c r="I435" i="40"/>
  <c r="T435" i="40"/>
  <c r="V435" i="40"/>
  <c r="X435" i="40"/>
  <c r="Z435" i="40"/>
  <c r="K435" i="40"/>
  <c r="O435" i="40"/>
  <c r="P435" i="40"/>
  <c r="Q435" i="40"/>
  <c r="AC435" i="40"/>
  <c r="R435" i="40"/>
  <c r="G435" i="40"/>
  <c r="AD435" i="40"/>
  <c r="AF435" i="40"/>
  <c r="H436" i="40"/>
  <c r="S436" i="40"/>
  <c r="U436" i="40"/>
  <c r="W436" i="40"/>
  <c r="Y436" i="40"/>
  <c r="J436" i="40"/>
  <c r="L436" i="40"/>
  <c r="M436" i="40"/>
  <c r="N436" i="40"/>
  <c r="AA436" i="40"/>
  <c r="AE436" i="40"/>
  <c r="AB436" i="40"/>
  <c r="I436" i="40"/>
  <c r="T436" i="40"/>
  <c r="V436" i="40"/>
  <c r="X436" i="40"/>
  <c r="Z436" i="40"/>
  <c r="K436" i="40"/>
  <c r="O436" i="40"/>
  <c r="P436" i="40"/>
  <c r="Q436" i="40"/>
  <c r="AC436" i="40"/>
  <c r="R436" i="40"/>
  <c r="G436" i="40"/>
  <c r="AD436" i="40"/>
  <c r="AF436" i="40"/>
  <c r="H437" i="40"/>
  <c r="S437" i="40"/>
  <c r="U437" i="40"/>
  <c r="W437" i="40"/>
  <c r="Y437" i="40"/>
  <c r="J437" i="40"/>
  <c r="L437" i="40"/>
  <c r="M437" i="40"/>
  <c r="N437" i="40"/>
  <c r="AA437" i="40"/>
  <c r="AE437" i="40"/>
  <c r="AB437" i="40"/>
  <c r="I437" i="40"/>
  <c r="T437" i="40"/>
  <c r="V437" i="40"/>
  <c r="X437" i="40"/>
  <c r="Z437" i="40"/>
  <c r="K437" i="40"/>
  <c r="O437" i="40"/>
  <c r="P437" i="40"/>
  <c r="Q437" i="40"/>
  <c r="AC437" i="40"/>
  <c r="R437" i="40"/>
  <c r="G437" i="40"/>
  <c r="AD437" i="40"/>
  <c r="AF437" i="40"/>
  <c r="H438" i="40"/>
  <c r="S438" i="40"/>
  <c r="U438" i="40"/>
  <c r="W438" i="40"/>
  <c r="Y438" i="40"/>
  <c r="J438" i="40"/>
  <c r="L438" i="40"/>
  <c r="M438" i="40"/>
  <c r="N438" i="40"/>
  <c r="AA438" i="40"/>
  <c r="AE438" i="40"/>
  <c r="AB438" i="40"/>
  <c r="I438" i="40"/>
  <c r="T438" i="40"/>
  <c r="V438" i="40"/>
  <c r="X438" i="40"/>
  <c r="Z438" i="40"/>
  <c r="K438" i="40"/>
  <c r="O438" i="40"/>
  <c r="P438" i="40"/>
  <c r="Q438" i="40"/>
  <c r="AC438" i="40"/>
  <c r="R438" i="40"/>
  <c r="G438" i="40"/>
  <c r="AD438" i="40"/>
  <c r="AF438" i="40"/>
  <c r="H439" i="40"/>
  <c r="S439" i="40"/>
  <c r="U439" i="40"/>
  <c r="W439" i="40"/>
  <c r="Y439" i="40"/>
  <c r="J439" i="40"/>
  <c r="L439" i="40"/>
  <c r="M439" i="40"/>
  <c r="N439" i="40"/>
  <c r="AA439" i="40"/>
  <c r="AE439" i="40"/>
  <c r="AB439" i="40"/>
  <c r="I439" i="40"/>
  <c r="T439" i="40"/>
  <c r="V439" i="40"/>
  <c r="X439" i="40"/>
  <c r="Z439" i="40"/>
  <c r="K439" i="40"/>
  <c r="O439" i="40"/>
  <c r="P439" i="40"/>
  <c r="Q439" i="40"/>
  <c r="AC439" i="40"/>
  <c r="R439" i="40"/>
  <c r="G439" i="40"/>
  <c r="AD439" i="40"/>
  <c r="AF439" i="40"/>
  <c r="H440" i="40"/>
  <c r="S440" i="40"/>
  <c r="U440" i="40"/>
  <c r="W440" i="40"/>
  <c r="Y440" i="40"/>
  <c r="J440" i="40"/>
  <c r="L440" i="40"/>
  <c r="M440" i="40"/>
  <c r="N440" i="40"/>
  <c r="AA440" i="40"/>
  <c r="AE440" i="40"/>
  <c r="AB440" i="40"/>
  <c r="I440" i="40"/>
  <c r="T440" i="40"/>
  <c r="V440" i="40"/>
  <c r="X440" i="40"/>
  <c r="Z440" i="40"/>
  <c r="K440" i="40"/>
  <c r="O440" i="40"/>
  <c r="P440" i="40"/>
  <c r="Q440" i="40"/>
  <c r="AC440" i="40"/>
  <c r="R440" i="40"/>
  <c r="G440" i="40"/>
  <c r="AD440" i="40"/>
  <c r="AF440" i="40"/>
  <c r="H441" i="40"/>
  <c r="S441" i="40"/>
  <c r="U441" i="40"/>
  <c r="W441" i="40"/>
  <c r="Y441" i="40"/>
  <c r="J441" i="40"/>
  <c r="L441" i="40"/>
  <c r="M441" i="40"/>
  <c r="N441" i="40"/>
  <c r="AA441" i="40"/>
  <c r="AE441" i="40"/>
  <c r="AB441" i="40"/>
  <c r="I441" i="40"/>
  <c r="T441" i="40"/>
  <c r="V441" i="40"/>
  <c r="X441" i="40"/>
  <c r="Z441" i="40"/>
  <c r="K441" i="40"/>
  <c r="O441" i="40"/>
  <c r="P441" i="40"/>
  <c r="Q441" i="40"/>
  <c r="AC441" i="40"/>
  <c r="R441" i="40"/>
  <c r="G441" i="40"/>
  <c r="AD441" i="40"/>
  <c r="AF441" i="40"/>
  <c r="H442" i="40"/>
  <c r="S442" i="40"/>
  <c r="U442" i="40"/>
  <c r="W442" i="40"/>
  <c r="Y442" i="40"/>
  <c r="J442" i="40"/>
  <c r="L442" i="40"/>
  <c r="M442" i="40"/>
  <c r="N442" i="40"/>
  <c r="AA442" i="40"/>
  <c r="AE442" i="40"/>
  <c r="AB442" i="40"/>
  <c r="I442" i="40"/>
  <c r="T442" i="40"/>
  <c r="V442" i="40"/>
  <c r="X442" i="40"/>
  <c r="Z442" i="40"/>
  <c r="K442" i="40"/>
  <c r="O442" i="40"/>
  <c r="P442" i="40"/>
  <c r="Q442" i="40"/>
  <c r="AC442" i="40"/>
  <c r="R442" i="40"/>
  <c r="G442" i="40"/>
  <c r="AD442" i="40"/>
  <c r="AF442" i="40"/>
  <c r="H443" i="40"/>
  <c r="S443" i="40"/>
  <c r="U443" i="40"/>
  <c r="W443" i="40"/>
  <c r="Y443" i="40"/>
  <c r="J443" i="40"/>
  <c r="L443" i="40"/>
  <c r="M443" i="40"/>
  <c r="N443" i="40"/>
  <c r="AA443" i="40"/>
  <c r="AE443" i="40"/>
  <c r="AB443" i="40"/>
  <c r="I443" i="40"/>
  <c r="T443" i="40"/>
  <c r="V443" i="40"/>
  <c r="X443" i="40"/>
  <c r="Z443" i="40"/>
  <c r="K443" i="40"/>
  <c r="O443" i="40"/>
  <c r="P443" i="40"/>
  <c r="Q443" i="40"/>
  <c r="AC443" i="40"/>
  <c r="R443" i="40"/>
  <c r="G443" i="40"/>
  <c r="AD443" i="40"/>
  <c r="AF443" i="40"/>
  <c r="H444" i="40"/>
  <c r="S444" i="40"/>
  <c r="U444" i="40"/>
  <c r="W444" i="40"/>
  <c r="Y444" i="40"/>
  <c r="J444" i="40"/>
  <c r="L444" i="40"/>
  <c r="M444" i="40"/>
  <c r="N444" i="40"/>
  <c r="AA444" i="40"/>
  <c r="AE444" i="40"/>
  <c r="AB444" i="40"/>
  <c r="I444" i="40"/>
  <c r="T444" i="40"/>
  <c r="V444" i="40"/>
  <c r="X444" i="40"/>
  <c r="Z444" i="40"/>
  <c r="K444" i="40"/>
  <c r="O444" i="40"/>
  <c r="P444" i="40"/>
  <c r="Q444" i="40"/>
  <c r="AC444" i="40"/>
  <c r="R444" i="40"/>
  <c r="G444" i="40"/>
  <c r="AD444" i="40"/>
  <c r="AF444" i="40"/>
  <c r="H445" i="40"/>
  <c r="S445" i="40"/>
  <c r="U445" i="40"/>
  <c r="W445" i="40"/>
  <c r="Y445" i="40"/>
  <c r="J445" i="40"/>
  <c r="L445" i="40"/>
  <c r="M445" i="40"/>
  <c r="N445" i="40"/>
  <c r="AA445" i="40"/>
  <c r="AE445" i="40"/>
  <c r="AB445" i="40"/>
  <c r="I445" i="40"/>
  <c r="T445" i="40"/>
  <c r="V445" i="40"/>
  <c r="X445" i="40"/>
  <c r="Z445" i="40"/>
  <c r="K445" i="40"/>
  <c r="O445" i="40"/>
  <c r="P445" i="40"/>
  <c r="Q445" i="40"/>
  <c r="AC445" i="40"/>
  <c r="R445" i="40"/>
  <c r="G445" i="40"/>
  <c r="AD445" i="40"/>
  <c r="AF445" i="40"/>
  <c r="H446" i="40"/>
  <c r="S446" i="40"/>
  <c r="U446" i="40"/>
  <c r="W446" i="40"/>
  <c r="Y446" i="40"/>
  <c r="J446" i="40"/>
  <c r="L446" i="40"/>
  <c r="M446" i="40"/>
  <c r="N446" i="40"/>
  <c r="AA446" i="40"/>
  <c r="AE446" i="40"/>
  <c r="AB446" i="40"/>
  <c r="I446" i="40"/>
  <c r="T446" i="40"/>
  <c r="V446" i="40"/>
  <c r="X446" i="40"/>
  <c r="Z446" i="40"/>
  <c r="K446" i="40"/>
  <c r="O446" i="40"/>
  <c r="P446" i="40"/>
  <c r="Q446" i="40"/>
  <c r="AC446" i="40"/>
  <c r="R446" i="40"/>
  <c r="G446" i="40"/>
  <c r="AD446" i="40"/>
  <c r="AF446" i="40"/>
  <c r="H447" i="40"/>
  <c r="S447" i="40"/>
  <c r="U447" i="40"/>
  <c r="W447" i="40"/>
  <c r="Y447" i="40"/>
  <c r="J447" i="40"/>
  <c r="L447" i="40"/>
  <c r="M447" i="40"/>
  <c r="N447" i="40"/>
  <c r="AA447" i="40"/>
  <c r="AE447" i="40"/>
  <c r="AB447" i="40"/>
  <c r="I447" i="40"/>
  <c r="T447" i="40"/>
  <c r="V447" i="40"/>
  <c r="X447" i="40"/>
  <c r="Z447" i="40"/>
  <c r="K447" i="40"/>
  <c r="O447" i="40"/>
  <c r="P447" i="40"/>
  <c r="Q447" i="40"/>
  <c r="AC447" i="40"/>
  <c r="R447" i="40"/>
  <c r="G447" i="40"/>
  <c r="AD447" i="40"/>
  <c r="AF447" i="40"/>
  <c r="H448" i="40"/>
  <c r="S448" i="40"/>
  <c r="U448" i="40"/>
  <c r="W448" i="40"/>
  <c r="Y448" i="40"/>
  <c r="J448" i="40"/>
  <c r="L448" i="40"/>
  <c r="M448" i="40"/>
  <c r="N448" i="40"/>
  <c r="AA448" i="40"/>
  <c r="AE448" i="40"/>
  <c r="AB448" i="40"/>
  <c r="I448" i="40"/>
  <c r="T448" i="40"/>
  <c r="V448" i="40"/>
  <c r="X448" i="40"/>
  <c r="Z448" i="40"/>
  <c r="K448" i="40"/>
  <c r="O448" i="40"/>
  <c r="P448" i="40"/>
  <c r="Q448" i="40"/>
  <c r="AC448" i="40"/>
  <c r="R448" i="40"/>
  <c r="G448" i="40"/>
  <c r="AD448" i="40"/>
  <c r="AF448" i="40"/>
  <c r="H449" i="40"/>
  <c r="S449" i="40"/>
  <c r="U449" i="40"/>
  <c r="W449" i="40"/>
  <c r="Y449" i="40"/>
  <c r="J449" i="40"/>
  <c r="L449" i="40"/>
  <c r="M449" i="40"/>
  <c r="N449" i="40"/>
  <c r="AA449" i="40"/>
  <c r="AE449" i="40"/>
  <c r="AB449" i="40"/>
  <c r="I449" i="40"/>
  <c r="T449" i="40"/>
  <c r="V449" i="40"/>
  <c r="X449" i="40"/>
  <c r="Z449" i="40"/>
  <c r="K449" i="40"/>
  <c r="O449" i="40"/>
  <c r="P449" i="40"/>
  <c r="Q449" i="40"/>
  <c r="AC449" i="40"/>
  <c r="R449" i="40"/>
  <c r="G449" i="40"/>
  <c r="AD449" i="40"/>
  <c r="AF449" i="40"/>
  <c r="H450" i="40"/>
  <c r="S450" i="40"/>
  <c r="U450" i="40"/>
  <c r="W450" i="40"/>
  <c r="Y450" i="40"/>
  <c r="J450" i="40"/>
  <c r="L450" i="40"/>
  <c r="M450" i="40"/>
  <c r="N450" i="40"/>
  <c r="AA450" i="40"/>
  <c r="AE450" i="40"/>
  <c r="AB450" i="40"/>
  <c r="I450" i="40"/>
  <c r="T450" i="40"/>
  <c r="V450" i="40"/>
  <c r="X450" i="40"/>
  <c r="Z450" i="40"/>
  <c r="K450" i="40"/>
  <c r="O450" i="40"/>
  <c r="P450" i="40"/>
  <c r="Q450" i="40"/>
  <c r="AC450" i="40"/>
  <c r="R450" i="40"/>
  <c r="G450" i="40"/>
  <c r="AD450" i="40"/>
  <c r="AF450" i="40"/>
  <c r="H451" i="40"/>
  <c r="S451" i="40"/>
  <c r="U451" i="40"/>
  <c r="W451" i="40"/>
  <c r="Y451" i="40"/>
  <c r="J451" i="40"/>
  <c r="L451" i="40"/>
  <c r="M451" i="40"/>
  <c r="N451" i="40"/>
  <c r="AA451" i="40"/>
  <c r="AE451" i="40"/>
  <c r="AB451" i="40"/>
  <c r="I451" i="40"/>
  <c r="T451" i="40"/>
  <c r="V451" i="40"/>
  <c r="X451" i="40"/>
  <c r="Z451" i="40"/>
  <c r="K451" i="40"/>
  <c r="O451" i="40"/>
  <c r="P451" i="40"/>
  <c r="Q451" i="40"/>
  <c r="AC451" i="40"/>
  <c r="R451" i="40"/>
  <c r="G451" i="40"/>
  <c r="AD451" i="40"/>
  <c r="AF451" i="40"/>
  <c r="H452" i="40"/>
  <c r="S452" i="40"/>
  <c r="U452" i="40"/>
  <c r="W452" i="40"/>
  <c r="Y452" i="40"/>
  <c r="J452" i="40"/>
  <c r="L452" i="40"/>
  <c r="M452" i="40"/>
  <c r="N452" i="40"/>
  <c r="AA452" i="40"/>
  <c r="AE452" i="40"/>
  <c r="AB452" i="40"/>
  <c r="I452" i="40"/>
  <c r="T452" i="40"/>
  <c r="V452" i="40"/>
  <c r="X452" i="40"/>
  <c r="Z452" i="40"/>
  <c r="K452" i="40"/>
  <c r="O452" i="40"/>
  <c r="P452" i="40"/>
  <c r="Q452" i="40"/>
  <c r="AC452" i="40"/>
  <c r="R452" i="40"/>
  <c r="G452" i="40"/>
  <c r="AD452" i="40"/>
  <c r="AF452" i="40"/>
  <c r="H453" i="40"/>
  <c r="S453" i="40"/>
  <c r="U453" i="40"/>
  <c r="W453" i="40"/>
  <c r="Y453" i="40"/>
  <c r="J453" i="40"/>
  <c r="L453" i="40"/>
  <c r="M453" i="40"/>
  <c r="N453" i="40"/>
  <c r="AA453" i="40"/>
  <c r="AE453" i="40"/>
  <c r="AB453" i="40"/>
  <c r="I453" i="40"/>
  <c r="T453" i="40"/>
  <c r="V453" i="40"/>
  <c r="X453" i="40"/>
  <c r="Z453" i="40"/>
  <c r="K453" i="40"/>
  <c r="O453" i="40"/>
  <c r="P453" i="40"/>
  <c r="Q453" i="40"/>
  <c r="AC453" i="40"/>
  <c r="R453" i="40"/>
  <c r="G453" i="40"/>
  <c r="AD453" i="40"/>
  <c r="AF453" i="40"/>
  <c r="H454" i="40"/>
  <c r="S454" i="40"/>
  <c r="U454" i="40"/>
  <c r="W454" i="40"/>
  <c r="Y454" i="40"/>
  <c r="J454" i="40"/>
  <c r="L454" i="40"/>
  <c r="M454" i="40"/>
  <c r="N454" i="40"/>
  <c r="AA454" i="40"/>
  <c r="AE454" i="40"/>
  <c r="AB454" i="40"/>
  <c r="I454" i="40"/>
  <c r="T454" i="40"/>
  <c r="V454" i="40"/>
  <c r="X454" i="40"/>
  <c r="Z454" i="40"/>
  <c r="K454" i="40"/>
  <c r="O454" i="40"/>
  <c r="P454" i="40"/>
  <c r="Q454" i="40"/>
  <c r="AC454" i="40"/>
  <c r="R454" i="40"/>
  <c r="G454" i="40"/>
  <c r="AD454" i="40"/>
  <c r="AF454" i="40"/>
  <c r="H455" i="40"/>
  <c r="S455" i="40"/>
  <c r="U455" i="40"/>
  <c r="W455" i="40"/>
  <c r="Y455" i="40"/>
  <c r="J455" i="40"/>
  <c r="L455" i="40"/>
  <c r="M455" i="40"/>
  <c r="N455" i="40"/>
  <c r="AA455" i="40"/>
  <c r="AE455" i="40"/>
  <c r="AB455" i="40"/>
  <c r="I455" i="40"/>
  <c r="T455" i="40"/>
  <c r="V455" i="40"/>
  <c r="X455" i="40"/>
  <c r="Z455" i="40"/>
  <c r="K455" i="40"/>
  <c r="O455" i="40"/>
  <c r="P455" i="40"/>
  <c r="Q455" i="40"/>
  <c r="AC455" i="40"/>
  <c r="R455" i="40"/>
  <c r="G455" i="40"/>
  <c r="AD455" i="40"/>
  <c r="AF455" i="40"/>
  <c r="H456" i="40"/>
  <c r="S456" i="40"/>
  <c r="U456" i="40"/>
  <c r="W456" i="40"/>
  <c r="Y456" i="40"/>
  <c r="J456" i="40"/>
  <c r="L456" i="40"/>
  <c r="M456" i="40"/>
  <c r="N456" i="40"/>
  <c r="AA456" i="40"/>
  <c r="AE456" i="40"/>
  <c r="AB456" i="40"/>
  <c r="I456" i="40"/>
  <c r="T456" i="40"/>
  <c r="V456" i="40"/>
  <c r="X456" i="40"/>
  <c r="Z456" i="40"/>
  <c r="K456" i="40"/>
  <c r="O456" i="40"/>
  <c r="P456" i="40"/>
  <c r="Q456" i="40"/>
  <c r="AC456" i="40"/>
  <c r="R456" i="40"/>
  <c r="G456" i="40"/>
  <c r="AD456" i="40"/>
  <c r="AF456" i="40"/>
  <c r="H457" i="40"/>
  <c r="S457" i="40"/>
  <c r="U457" i="40"/>
  <c r="W457" i="40"/>
  <c r="Y457" i="40"/>
  <c r="J457" i="40"/>
  <c r="L457" i="40"/>
  <c r="M457" i="40"/>
  <c r="N457" i="40"/>
  <c r="AA457" i="40"/>
  <c r="AE457" i="40"/>
  <c r="AB457" i="40"/>
  <c r="I457" i="40"/>
  <c r="T457" i="40"/>
  <c r="V457" i="40"/>
  <c r="X457" i="40"/>
  <c r="Z457" i="40"/>
  <c r="K457" i="40"/>
  <c r="O457" i="40"/>
  <c r="P457" i="40"/>
  <c r="Q457" i="40"/>
  <c r="AC457" i="40"/>
  <c r="R457" i="40"/>
  <c r="G457" i="40"/>
  <c r="AD457" i="40"/>
  <c r="AF457" i="40"/>
  <c r="H458" i="40"/>
  <c r="S458" i="40"/>
  <c r="U458" i="40"/>
  <c r="W458" i="40"/>
  <c r="Y458" i="40"/>
  <c r="J458" i="40"/>
  <c r="L458" i="40"/>
  <c r="M458" i="40"/>
  <c r="N458" i="40"/>
  <c r="AA458" i="40"/>
  <c r="AE458" i="40"/>
  <c r="AB458" i="40"/>
  <c r="I458" i="40"/>
  <c r="T458" i="40"/>
  <c r="V458" i="40"/>
  <c r="X458" i="40"/>
  <c r="Z458" i="40"/>
  <c r="K458" i="40"/>
  <c r="O458" i="40"/>
  <c r="P458" i="40"/>
  <c r="Q458" i="40"/>
  <c r="AC458" i="40"/>
  <c r="R458" i="40"/>
  <c r="G458" i="40"/>
  <c r="AD458" i="40"/>
  <c r="AF458" i="40"/>
  <c r="H459" i="40"/>
  <c r="S459" i="40"/>
  <c r="U459" i="40"/>
  <c r="W459" i="40"/>
  <c r="Y459" i="40"/>
  <c r="J459" i="40"/>
  <c r="L459" i="40"/>
  <c r="M459" i="40"/>
  <c r="N459" i="40"/>
  <c r="AA459" i="40"/>
  <c r="AE459" i="40"/>
  <c r="AB459" i="40"/>
  <c r="I459" i="40"/>
  <c r="T459" i="40"/>
  <c r="V459" i="40"/>
  <c r="X459" i="40"/>
  <c r="Z459" i="40"/>
  <c r="K459" i="40"/>
  <c r="O459" i="40"/>
  <c r="P459" i="40"/>
  <c r="Q459" i="40"/>
  <c r="AC459" i="40"/>
  <c r="R459" i="40"/>
  <c r="G459" i="40"/>
  <c r="AD459" i="40"/>
  <c r="AF459" i="40"/>
  <c r="H460" i="40"/>
  <c r="S460" i="40"/>
  <c r="U460" i="40"/>
  <c r="W460" i="40"/>
  <c r="Y460" i="40"/>
  <c r="J460" i="40"/>
  <c r="L460" i="40"/>
  <c r="M460" i="40"/>
  <c r="N460" i="40"/>
  <c r="AA460" i="40"/>
  <c r="AE460" i="40"/>
  <c r="AB460" i="40"/>
  <c r="I460" i="40"/>
  <c r="T460" i="40"/>
  <c r="V460" i="40"/>
  <c r="X460" i="40"/>
  <c r="Z460" i="40"/>
  <c r="K460" i="40"/>
  <c r="O460" i="40"/>
  <c r="P460" i="40"/>
  <c r="Q460" i="40"/>
  <c r="AC460" i="40"/>
  <c r="R460" i="40"/>
  <c r="G460" i="40"/>
  <c r="AD460" i="40"/>
  <c r="AF460" i="40"/>
  <c r="H461" i="40"/>
  <c r="S461" i="40"/>
  <c r="U461" i="40"/>
  <c r="W461" i="40"/>
  <c r="Y461" i="40"/>
  <c r="J461" i="40"/>
  <c r="L461" i="40"/>
  <c r="M461" i="40"/>
  <c r="N461" i="40"/>
  <c r="AA461" i="40"/>
  <c r="AE461" i="40"/>
  <c r="AB461" i="40"/>
  <c r="I461" i="40"/>
  <c r="T461" i="40"/>
  <c r="V461" i="40"/>
  <c r="X461" i="40"/>
  <c r="Z461" i="40"/>
  <c r="K461" i="40"/>
  <c r="O461" i="40"/>
  <c r="P461" i="40"/>
  <c r="Q461" i="40"/>
  <c r="AC461" i="40"/>
  <c r="R461" i="40"/>
  <c r="G461" i="40"/>
  <c r="AD461" i="40"/>
  <c r="AF461" i="40"/>
  <c r="H462" i="40"/>
  <c r="S462" i="40"/>
  <c r="U462" i="40"/>
  <c r="W462" i="40"/>
  <c r="Y462" i="40"/>
  <c r="J462" i="40"/>
  <c r="L462" i="40"/>
  <c r="M462" i="40"/>
  <c r="N462" i="40"/>
  <c r="AA462" i="40"/>
  <c r="AE462" i="40"/>
  <c r="AB462" i="40"/>
  <c r="I462" i="40"/>
  <c r="T462" i="40"/>
  <c r="V462" i="40"/>
  <c r="X462" i="40"/>
  <c r="Z462" i="40"/>
  <c r="K462" i="40"/>
  <c r="O462" i="40"/>
  <c r="P462" i="40"/>
  <c r="Q462" i="40"/>
  <c r="AC462" i="40"/>
  <c r="R462" i="40"/>
  <c r="G462" i="40"/>
  <c r="AD462" i="40"/>
  <c r="AF462" i="40"/>
  <c r="H463" i="40"/>
  <c r="S463" i="40"/>
  <c r="U463" i="40"/>
  <c r="W463" i="40"/>
  <c r="Y463" i="40"/>
  <c r="J463" i="40"/>
  <c r="L463" i="40"/>
  <c r="M463" i="40"/>
  <c r="N463" i="40"/>
  <c r="AA463" i="40"/>
  <c r="AE463" i="40"/>
  <c r="AB463" i="40"/>
  <c r="I463" i="40"/>
  <c r="T463" i="40"/>
  <c r="V463" i="40"/>
  <c r="X463" i="40"/>
  <c r="Z463" i="40"/>
  <c r="K463" i="40"/>
  <c r="O463" i="40"/>
  <c r="P463" i="40"/>
  <c r="Q463" i="40"/>
  <c r="AC463" i="40"/>
  <c r="R463" i="40"/>
  <c r="G463" i="40"/>
  <c r="AD463" i="40"/>
  <c r="AF463" i="40"/>
  <c r="H464" i="40"/>
  <c r="S464" i="40"/>
  <c r="U464" i="40"/>
  <c r="W464" i="40"/>
  <c r="Y464" i="40"/>
  <c r="J464" i="40"/>
  <c r="L464" i="40"/>
  <c r="M464" i="40"/>
  <c r="N464" i="40"/>
  <c r="AA464" i="40"/>
  <c r="AE464" i="40"/>
  <c r="AB464" i="40"/>
  <c r="I464" i="40"/>
  <c r="T464" i="40"/>
  <c r="V464" i="40"/>
  <c r="X464" i="40"/>
  <c r="Z464" i="40"/>
  <c r="K464" i="40"/>
  <c r="O464" i="40"/>
  <c r="P464" i="40"/>
  <c r="Q464" i="40"/>
  <c r="AC464" i="40"/>
  <c r="R464" i="40"/>
  <c r="G464" i="40"/>
  <c r="AD464" i="40"/>
  <c r="AF464" i="40"/>
  <c r="H465" i="40"/>
  <c r="S465" i="40"/>
  <c r="U465" i="40"/>
  <c r="W465" i="40"/>
  <c r="Y465" i="40"/>
  <c r="J465" i="40"/>
  <c r="L465" i="40"/>
  <c r="M465" i="40"/>
  <c r="N465" i="40"/>
  <c r="AA465" i="40"/>
  <c r="AE465" i="40"/>
  <c r="AB465" i="40"/>
  <c r="I465" i="40"/>
  <c r="T465" i="40"/>
  <c r="V465" i="40"/>
  <c r="X465" i="40"/>
  <c r="Z465" i="40"/>
  <c r="K465" i="40"/>
  <c r="O465" i="40"/>
  <c r="P465" i="40"/>
  <c r="Q465" i="40"/>
  <c r="AC465" i="40"/>
  <c r="R465" i="40"/>
  <c r="G465" i="40"/>
  <c r="AD465" i="40"/>
  <c r="AF465" i="40"/>
  <c r="H466" i="40"/>
  <c r="S466" i="40"/>
  <c r="U466" i="40"/>
  <c r="W466" i="40"/>
  <c r="Y466" i="40"/>
  <c r="J466" i="40"/>
  <c r="L466" i="40"/>
  <c r="M466" i="40"/>
  <c r="N466" i="40"/>
  <c r="AA466" i="40"/>
  <c r="AE466" i="40"/>
  <c r="AB466" i="40"/>
  <c r="I466" i="40"/>
  <c r="T466" i="40"/>
  <c r="V466" i="40"/>
  <c r="X466" i="40"/>
  <c r="Z466" i="40"/>
  <c r="K466" i="40"/>
  <c r="O466" i="40"/>
  <c r="P466" i="40"/>
  <c r="Q466" i="40"/>
  <c r="AC466" i="40"/>
  <c r="R466" i="40"/>
  <c r="G466" i="40"/>
  <c r="AD466" i="40"/>
  <c r="AF466" i="40"/>
  <c r="H467" i="40"/>
  <c r="S467" i="40"/>
  <c r="U467" i="40"/>
  <c r="W467" i="40"/>
  <c r="Y467" i="40"/>
  <c r="J467" i="40"/>
  <c r="L467" i="40"/>
  <c r="M467" i="40"/>
  <c r="N467" i="40"/>
  <c r="AA467" i="40"/>
  <c r="AE467" i="40"/>
  <c r="AB467" i="40"/>
  <c r="I467" i="40"/>
  <c r="T467" i="40"/>
  <c r="V467" i="40"/>
  <c r="X467" i="40"/>
  <c r="Z467" i="40"/>
  <c r="K467" i="40"/>
  <c r="O467" i="40"/>
  <c r="P467" i="40"/>
  <c r="Q467" i="40"/>
  <c r="AC467" i="40"/>
  <c r="R467" i="40"/>
  <c r="G467" i="40"/>
  <c r="AD467" i="40"/>
  <c r="AF467" i="40"/>
  <c r="H468" i="40"/>
  <c r="S468" i="40"/>
  <c r="U468" i="40"/>
  <c r="W468" i="40"/>
  <c r="Y468" i="40"/>
  <c r="J468" i="40"/>
  <c r="L468" i="40"/>
  <c r="M468" i="40"/>
  <c r="N468" i="40"/>
  <c r="AA468" i="40"/>
  <c r="AE468" i="40"/>
  <c r="AB468" i="40"/>
  <c r="I468" i="40"/>
  <c r="T468" i="40"/>
  <c r="V468" i="40"/>
  <c r="X468" i="40"/>
  <c r="Z468" i="40"/>
  <c r="K468" i="40"/>
  <c r="O468" i="40"/>
  <c r="P468" i="40"/>
  <c r="Q468" i="40"/>
  <c r="AC468" i="40"/>
  <c r="R468" i="40"/>
  <c r="G468" i="40"/>
  <c r="AD468" i="40"/>
  <c r="AF468" i="40"/>
  <c r="H469" i="40"/>
  <c r="S469" i="40"/>
  <c r="U469" i="40"/>
  <c r="W469" i="40"/>
  <c r="Y469" i="40"/>
  <c r="J469" i="40"/>
  <c r="L469" i="40"/>
  <c r="M469" i="40"/>
  <c r="N469" i="40"/>
  <c r="AA469" i="40"/>
  <c r="AE469" i="40"/>
  <c r="AB469" i="40"/>
  <c r="I469" i="40"/>
  <c r="T469" i="40"/>
  <c r="V469" i="40"/>
  <c r="X469" i="40"/>
  <c r="Z469" i="40"/>
  <c r="K469" i="40"/>
  <c r="O469" i="40"/>
  <c r="P469" i="40"/>
  <c r="Q469" i="40"/>
  <c r="AC469" i="40"/>
  <c r="R469" i="40"/>
  <c r="G469" i="40"/>
  <c r="AD469" i="40"/>
  <c r="AF469" i="40"/>
  <c r="H470" i="40"/>
  <c r="S470" i="40"/>
  <c r="U470" i="40"/>
  <c r="W470" i="40"/>
  <c r="Y470" i="40"/>
  <c r="J470" i="40"/>
  <c r="L470" i="40"/>
  <c r="M470" i="40"/>
  <c r="N470" i="40"/>
  <c r="AA470" i="40"/>
  <c r="AE470" i="40"/>
  <c r="AB470" i="40"/>
  <c r="I470" i="40"/>
  <c r="T470" i="40"/>
  <c r="V470" i="40"/>
  <c r="X470" i="40"/>
  <c r="Z470" i="40"/>
  <c r="K470" i="40"/>
  <c r="O470" i="40"/>
  <c r="P470" i="40"/>
  <c r="Q470" i="40"/>
  <c r="AC470" i="40"/>
  <c r="R470" i="40"/>
  <c r="G470" i="40"/>
  <c r="AD470" i="40"/>
  <c r="AF470" i="40"/>
  <c r="H471" i="40"/>
  <c r="S471" i="40"/>
  <c r="U471" i="40"/>
  <c r="W471" i="40"/>
  <c r="Y471" i="40"/>
  <c r="J471" i="40"/>
  <c r="L471" i="40"/>
  <c r="M471" i="40"/>
  <c r="N471" i="40"/>
  <c r="AA471" i="40"/>
  <c r="AE471" i="40"/>
  <c r="AB471" i="40"/>
  <c r="I471" i="40"/>
  <c r="T471" i="40"/>
  <c r="V471" i="40"/>
  <c r="X471" i="40"/>
  <c r="Z471" i="40"/>
  <c r="K471" i="40"/>
  <c r="O471" i="40"/>
  <c r="P471" i="40"/>
  <c r="Q471" i="40"/>
  <c r="AC471" i="40"/>
  <c r="R471" i="40"/>
  <c r="G471" i="40"/>
  <c r="AD471" i="40"/>
  <c r="AF471" i="40"/>
  <c r="H472" i="40"/>
  <c r="S472" i="40"/>
  <c r="U472" i="40"/>
  <c r="W472" i="40"/>
  <c r="Y472" i="40"/>
  <c r="J472" i="40"/>
  <c r="L472" i="40"/>
  <c r="M472" i="40"/>
  <c r="N472" i="40"/>
  <c r="AA472" i="40"/>
  <c r="AE472" i="40"/>
  <c r="AB472" i="40"/>
  <c r="I472" i="40"/>
  <c r="T472" i="40"/>
  <c r="V472" i="40"/>
  <c r="X472" i="40"/>
  <c r="Z472" i="40"/>
  <c r="K472" i="40"/>
  <c r="O472" i="40"/>
  <c r="P472" i="40"/>
  <c r="Q472" i="40"/>
  <c r="AC472" i="40"/>
  <c r="R472" i="40"/>
  <c r="G472" i="40"/>
  <c r="AD472" i="40"/>
  <c r="AF472" i="40"/>
  <c r="H473" i="40"/>
  <c r="S473" i="40"/>
  <c r="U473" i="40"/>
  <c r="W473" i="40"/>
  <c r="Y473" i="40"/>
  <c r="J473" i="40"/>
  <c r="L473" i="40"/>
  <c r="M473" i="40"/>
  <c r="N473" i="40"/>
  <c r="AA473" i="40"/>
  <c r="AE473" i="40"/>
  <c r="AB473" i="40"/>
  <c r="I473" i="40"/>
  <c r="T473" i="40"/>
  <c r="V473" i="40"/>
  <c r="X473" i="40"/>
  <c r="Z473" i="40"/>
  <c r="K473" i="40"/>
  <c r="O473" i="40"/>
  <c r="P473" i="40"/>
  <c r="Q473" i="40"/>
  <c r="AC473" i="40"/>
  <c r="R473" i="40"/>
  <c r="G473" i="40"/>
  <c r="AD473" i="40"/>
  <c r="AF473" i="40"/>
  <c r="H474" i="40"/>
  <c r="S474" i="40"/>
  <c r="U474" i="40"/>
  <c r="W474" i="40"/>
  <c r="Y474" i="40"/>
  <c r="J474" i="40"/>
  <c r="L474" i="40"/>
  <c r="M474" i="40"/>
  <c r="N474" i="40"/>
  <c r="AA474" i="40"/>
  <c r="AE474" i="40"/>
  <c r="AB474" i="40"/>
  <c r="I474" i="40"/>
  <c r="T474" i="40"/>
  <c r="V474" i="40"/>
  <c r="X474" i="40"/>
  <c r="Z474" i="40"/>
  <c r="K474" i="40"/>
  <c r="O474" i="40"/>
  <c r="P474" i="40"/>
  <c r="Q474" i="40"/>
  <c r="AC474" i="40"/>
  <c r="R474" i="40"/>
  <c r="G474" i="40"/>
  <c r="AD474" i="40"/>
  <c r="AF474" i="40"/>
  <c r="H475" i="40"/>
  <c r="S475" i="40"/>
  <c r="U475" i="40"/>
  <c r="W475" i="40"/>
  <c r="Y475" i="40"/>
  <c r="J475" i="40"/>
  <c r="L475" i="40"/>
  <c r="M475" i="40"/>
  <c r="N475" i="40"/>
  <c r="AA475" i="40"/>
  <c r="AE475" i="40"/>
  <c r="AB475" i="40"/>
  <c r="I475" i="40"/>
  <c r="T475" i="40"/>
  <c r="V475" i="40"/>
  <c r="X475" i="40"/>
  <c r="Z475" i="40"/>
  <c r="K475" i="40"/>
  <c r="O475" i="40"/>
  <c r="P475" i="40"/>
  <c r="Q475" i="40"/>
  <c r="AC475" i="40"/>
  <c r="R475" i="40"/>
  <c r="G475" i="40"/>
  <c r="AD475" i="40"/>
  <c r="AF475" i="40"/>
  <c r="H476" i="40"/>
  <c r="S476" i="40"/>
  <c r="U476" i="40"/>
  <c r="W476" i="40"/>
  <c r="Y476" i="40"/>
  <c r="J476" i="40"/>
  <c r="L476" i="40"/>
  <c r="M476" i="40"/>
  <c r="N476" i="40"/>
  <c r="AA476" i="40"/>
  <c r="AE476" i="40"/>
  <c r="AB476" i="40"/>
  <c r="I476" i="40"/>
  <c r="T476" i="40"/>
  <c r="V476" i="40"/>
  <c r="X476" i="40"/>
  <c r="Z476" i="40"/>
  <c r="K476" i="40"/>
  <c r="O476" i="40"/>
  <c r="P476" i="40"/>
  <c r="Q476" i="40"/>
  <c r="AC476" i="40"/>
  <c r="R476" i="40"/>
  <c r="G476" i="40"/>
  <c r="AD476" i="40"/>
  <c r="AF476" i="40"/>
  <c r="H477" i="40"/>
  <c r="S477" i="40"/>
  <c r="U477" i="40"/>
  <c r="W477" i="40"/>
  <c r="Y477" i="40"/>
  <c r="J477" i="40"/>
  <c r="L477" i="40"/>
  <c r="M477" i="40"/>
  <c r="N477" i="40"/>
  <c r="AA477" i="40"/>
  <c r="AE477" i="40"/>
  <c r="AB477" i="40"/>
  <c r="I477" i="40"/>
  <c r="T477" i="40"/>
  <c r="V477" i="40"/>
  <c r="X477" i="40"/>
  <c r="Z477" i="40"/>
  <c r="K477" i="40"/>
  <c r="O477" i="40"/>
  <c r="P477" i="40"/>
  <c r="Q477" i="40"/>
  <c r="AC477" i="40"/>
  <c r="R477" i="40"/>
  <c r="G477" i="40"/>
  <c r="AD477" i="40"/>
  <c r="AF477" i="40"/>
  <c r="H478" i="40"/>
  <c r="S478" i="40"/>
  <c r="U478" i="40"/>
  <c r="W478" i="40"/>
  <c r="Y478" i="40"/>
  <c r="J478" i="40"/>
  <c r="L478" i="40"/>
  <c r="M478" i="40"/>
  <c r="N478" i="40"/>
  <c r="AA478" i="40"/>
  <c r="AE478" i="40"/>
  <c r="AB478" i="40"/>
  <c r="I478" i="40"/>
  <c r="T478" i="40"/>
  <c r="V478" i="40"/>
  <c r="X478" i="40"/>
  <c r="Z478" i="40"/>
  <c r="K478" i="40"/>
  <c r="O478" i="40"/>
  <c r="P478" i="40"/>
  <c r="Q478" i="40"/>
  <c r="AC478" i="40"/>
  <c r="R478" i="40"/>
  <c r="G478" i="40"/>
  <c r="AD478" i="40"/>
  <c r="AF478" i="40"/>
  <c r="H479" i="40"/>
  <c r="S479" i="40"/>
  <c r="U479" i="40"/>
  <c r="W479" i="40"/>
  <c r="Y479" i="40"/>
  <c r="J479" i="40"/>
  <c r="L479" i="40"/>
  <c r="M479" i="40"/>
  <c r="N479" i="40"/>
  <c r="AA479" i="40"/>
  <c r="AE479" i="40"/>
  <c r="AB479" i="40"/>
  <c r="I479" i="40"/>
  <c r="T479" i="40"/>
  <c r="V479" i="40"/>
  <c r="X479" i="40"/>
  <c r="Z479" i="40"/>
  <c r="K479" i="40"/>
  <c r="O479" i="40"/>
  <c r="P479" i="40"/>
  <c r="Q479" i="40"/>
  <c r="AC479" i="40"/>
  <c r="R479" i="40"/>
  <c r="G479" i="40"/>
  <c r="AD479" i="40"/>
  <c r="AF479" i="40"/>
  <c r="H480" i="40"/>
  <c r="S480" i="40"/>
  <c r="U480" i="40"/>
  <c r="W480" i="40"/>
  <c r="Y480" i="40"/>
  <c r="J480" i="40"/>
  <c r="L480" i="40"/>
  <c r="M480" i="40"/>
  <c r="N480" i="40"/>
  <c r="AA480" i="40"/>
  <c r="AE480" i="40"/>
  <c r="AB480" i="40"/>
  <c r="I480" i="40"/>
  <c r="T480" i="40"/>
  <c r="V480" i="40"/>
  <c r="X480" i="40"/>
  <c r="Z480" i="40"/>
  <c r="K480" i="40"/>
  <c r="O480" i="40"/>
  <c r="P480" i="40"/>
  <c r="Q480" i="40"/>
  <c r="AC480" i="40"/>
  <c r="R480" i="40"/>
  <c r="G480" i="40"/>
  <c r="AD480" i="40"/>
  <c r="AF480" i="40"/>
  <c r="H481" i="40"/>
  <c r="S481" i="40"/>
  <c r="U481" i="40"/>
  <c r="W481" i="40"/>
  <c r="Y481" i="40"/>
  <c r="J481" i="40"/>
  <c r="L481" i="40"/>
  <c r="M481" i="40"/>
  <c r="N481" i="40"/>
  <c r="AA481" i="40"/>
  <c r="AE481" i="40"/>
  <c r="AB481" i="40"/>
  <c r="I481" i="40"/>
  <c r="T481" i="40"/>
  <c r="V481" i="40"/>
  <c r="X481" i="40"/>
  <c r="Z481" i="40"/>
  <c r="K481" i="40"/>
  <c r="O481" i="40"/>
  <c r="P481" i="40"/>
  <c r="Q481" i="40"/>
  <c r="AC481" i="40"/>
  <c r="R481" i="40"/>
  <c r="G481" i="40"/>
  <c r="AD481" i="40"/>
  <c r="AF481" i="40"/>
  <c r="H482" i="40"/>
  <c r="S482" i="40"/>
  <c r="U482" i="40"/>
  <c r="W482" i="40"/>
  <c r="Y482" i="40"/>
  <c r="J482" i="40"/>
  <c r="L482" i="40"/>
  <c r="M482" i="40"/>
  <c r="N482" i="40"/>
  <c r="AA482" i="40"/>
  <c r="AE482" i="40"/>
  <c r="AB482" i="40"/>
  <c r="I482" i="40"/>
  <c r="T482" i="40"/>
  <c r="V482" i="40"/>
  <c r="X482" i="40"/>
  <c r="Z482" i="40"/>
  <c r="K482" i="40"/>
  <c r="O482" i="40"/>
  <c r="P482" i="40"/>
  <c r="Q482" i="40"/>
  <c r="AC482" i="40"/>
  <c r="R482" i="40"/>
  <c r="G482" i="40"/>
  <c r="AD482" i="40"/>
  <c r="AF482" i="40"/>
  <c r="H483" i="40"/>
  <c r="S483" i="40"/>
  <c r="U483" i="40"/>
  <c r="W483" i="40"/>
  <c r="Y483" i="40"/>
  <c r="J483" i="40"/>
  <c r="L483" i="40"/>
  <c r="M483" i="40"/>
  <c r="N483" i="40"/>
  <c r="AA483" i="40"/>
  <c r="AE483" i="40"/>
  <c r="AB483" i="40"/>
  <c r="I483" i="40"/>
  <c r="T483" i="40"/>
  <c r="V483" i="40"/>
  <c r="X483" i="40"/>
  <c r="Z483" i="40"/>
  <c r="K483" i="40"/>
  <c r="O483" i="40"/>
  <c r="P483" i="40"/>
  <c r="Q483" i="40"/>
  <c r="AC483" i="40"/>
  <c r="R483" i="40"/>
  <c r="G483" i="40"/>
  <c r="AD483" i="40"/>
  <c r="AF483" i="40"/>
  <c r="H484" i="40"/>
  <c r="S484" i="40"/>
  <c r="U484" i="40"/>
  <c r="W484" i="40"/>
  <c r="Y484" i="40"/>
  <c r="J484" i="40"/>
  <c r="L484" i="40"/>
  <c r="M484" i="40"/>
  <c r="N484" i="40"/>
  <c r="AA484" i="40"/>
  <c r="AE484" i="40"/>
  <c r="AB484" i="40"/>
  <c r="I484" i="40"/>
  <c r="T484" i="40"/>
  <c r="V484" i="40"/>
  <c r="X484" i="40"/>
  <c r="Z484" i="40"/>
  <c r="K484" i="40"/>
  <c r="O484" i="40"/>
  <c r="P484" i="40"/>
  <c r="Q484" i="40"/>
  <c r="AC484" i="40"/>
  <c r="R484" i="40"/>
  <c r="G484" i="40"/>
  <c r="AD484" i="40"/>
  <c r="AF484" i="40"/>
  <c r="H485" i="40"/>
  <c r="S485" i="40"/>
  <c r="U485" i="40"/>
  <c r="W485" i="40"/>
  <c r="Y485" i="40"/>
  <c r="J485" i="40"/>
  <c r="L485" i="40"/>
  <c r="M485" i="40"/>
  <c r="N485" i="40"/>
  <c r="AA485" i="40"/>
  <c r="AE485" i="40"/>
  <c r="AB485" i="40"/>
  <c r="I485" i="40"/>
  <c r="T485" i="40"/>
  <c r="V485" i="40"/>
  <c r="X485" i="40"/>
  <c r="Z485" i="40"/>
  <c r="K485" i="40"/>
  <c r="O485" i="40"/>
  <c r="P485" i="40"/>
  <c r="Q485" i="40"/>
  <c r="AC485" i="40"/>
  <c r="R485" i="40"/>
  <c r="G485" i="40"/>
  <c r="AD485" i="40"/>
  <c r="AF485" i="40"/>
  <c r="H486" i="40"/>
  <c r="S486" i="40"/>
  <c r="U486" i="40"/>
  <c r="W486" i="40"/>
  <c r="Y486" i="40"/>
  <c r="J486" i="40"/>
  <c r="L486" i="40"/>
  <c r="M486" i="40"/>
  <c r="N486" i="40"/>
  <c r="AA486" i="40"/>
  <c r="AE486" i="40"/>
  <c r="AB486" i="40"/>
  <c r="I486" i="40"/>
  <c r="T486" i="40"/>
  <c r="V486" i="40"/>
  <c r="X486" i="40"/>
  <c r="Z486" i="40"/>
  <c r="K486" i="40"/>
  <c r="O486" i="40"/>
  <c r="P486" i="40"/>
  <c r="Q486" i="40"/>
  <c r="AC486" i="40"/>
  <c r="R486" i="40"/>
  <c r="G486" i="40"/>
  <c r="AD486" i="40"/>
  <c r="AF486" i="40"/>
  <c r="H487" i="40"/>
  <c r="S487" i="40"/>
  <c r="U487" i="40"/>
  <c r="W487" i="40"/>
  <c r="Y487" i="40"/>
  <c r="J487" i="40"/>
  <c r="L487" i="40"/>
  <c r="M487" i="40"/>
  <c r="N487" i="40"/>
  <c r="AA487" i="40"/>
  <c r="AE487" i="40"/>
  <c r="AB487" i="40"/>
  <c r="I487" i="40"/>
  <c r="T487" i="40"/>
  <c r="V487" i="40"/>
  <c r="X487" i="40"/>
  <c r="Z487" i="40"/>
  <c r="K487" i="40"/>
  <c r="O487" i="40"/>
  <c r="P487" i="40"/>
  <c r="Q487" i="40"/>
  <c r="AC487" i="40"/>
  <c r="R487" i="40"/>
  <c r="G487" i="40"/>
  <c r="AD487" i="40"/>
  <c r="AF487" i="40"/>
  <c r="H488" i="40"/>
  <c r="S488" i="40"/>
  <c r="U488" i="40"/>
  <c r="W488" i="40"/>
  <c r="Y488" i="40"/>
  <c r="J488" i="40"/>
  <c r="L488" i="40"/>
  <c r="M488" i="40"/>
  <c r="N488" i="40"/>
  <c r="AA488" i="40"/>
  <c r="AE488" i="40"/>
  <c r="AB488" i="40"/>
  <c r="I488" i="40"/>
  <c r="T488" i="40"/>
  <c r="V488" i="40"/>
  <c r="X488" i="40"/>
  <c r="Z488" i="40"/>
  <c r="K488" i="40"/>
  <c r="O488" i="40"/>
  <c r="P488" i="40"/>
  <c r="Q488" i="40"/>
  <c r="AC488" i="40"/>
  <c r="R488" i="40"/>
  <c r="G488" i="40"/>
  <c r="AD488" i="40"/>
  <c r="AF488" i="40"/>
  <c r="H489" i="40"/>
  <c r="S489" i="40"/>
  <c r="U489" i="40"/>
  <c r="W489" i="40"/>
  <c r="Y489" i="40"/>
  <c r="J489" i="40"/>
  <c r="L489" i="40"/>
  <c r="M489" i="40"/>
  <c r="N489" i="40"/>
  <c r="AA489" i="40"/>
  <c r="AE489" i="40"/>
  <c r="AB489" i="40"/>
  <c r="I489" i="40"/>
  <c r="T489" i="40"/>
  <c r="V489" i="40"/>
  <c r="X489" i="40"/>
  <c r="Z489" i="40"/>
  <c r="K489" i="40"/>
  <c r="O489" i="40"/>
  <c r="P489" i="40"/>
  <c r="Q489" i="40"/>
  <c r="AC489" i="40"/>
  <c r="R489" i="40"/>
  <c r="G489" i="40"/>
  <c r="AD489" i="40"/>
  <c r="AF489" i="40"/>
  <c r="H490" i="40"/>
  <c r="S490" i="40"/>
  <c r="U490" i="40"/>
  <c r="W490" i="40"/>
  <c r="Y490" i="40"/>
  <c r="J490" i="40"/>
  <c r="L490" i="40"/>
  <c r="M490" i="40"/>
  <c r="N490" i="40"/>
  <c r="AA490" i="40"/>
  <c r="AE490" i="40"/>
  <c r="AB490" i="40"/>
  <c r="I490" i="40"/>
  <c r="T490" i="40"/>
  <c r="V490" i="40"/>
  <c r="X490" i="40"/>
  <c r="Z490" i="40"/>
  <c r="K490" i="40"/>
  <c r="O490" i="40"/>
  <c r="P490" i="40"/>
  <c r="Q490" i="40"/>
  <c r="AC490" i="40"/>
  <c r="R490" i="40"/>
  <c r="G490" i="40"/>
  <c r="AD490" i="40"/>
  <c r="AF490" i="40"/>
  <c r="H491" i="40"/>
  <c r="S491" i="40"/>
  <c r="U491" i="40"/>
  <c r="W491" i="40"/>
  <c r="Y491" i="40"/>
  <c r="J491" i="40"/>
  <c r="L491" i="40"/>
  <c r="M491" i="40"/>
  <c r="N491" i="40"/>
  <c r="AA491" i="40"/>
  <c r="AE491" i="40"/>
  <c r="AB491" i="40"/>
  <c r="I491" i="40"/>
  <c r="T491" i="40"/>
  <c r="V491" i="40"/>
  <c r="X491" i="40"/>
  <c r="Z491" i="40"/>
  <c r="K491" i="40"/>
  <c r="O491" i="40"/>
  <c r="P491" i="40"/>
  <c r="Q491" i="40"/>
  <c r="AC491" i="40"/>
  <c r="R491" i="40"/>
  <c r="G491" i="40"/>
  <c r="AD491" i="40"/>
  <c r="AF491" i="40"/>
  <c r="H492" i="40"/>
  <c r="S492" i="40"/>
  <c r="U492" i="40"/>
  <c r="W492" i="40"/>
  <c r="Y492" i="40"/>
  <c r="J492" i="40"/>
  <c r="L492" i="40"/>
  <c r="M492" i="40"/>
  <c r="N492" i="40"/>
  <c r="AA492" i="40"/>
  <c r="AE492" i="40"/>
  <c r="AB492" i="40"/>
  <c r="I492" i="40"/>
  <c r="T492" i="40"/>
  <c r="V492" i="40"/>
  <c r="X492" i="40"/>
  <c r="Z492" i="40"/>
  <c r="K492" i="40"/>
  <c r="O492" i="40"/>
  <c r="P492" i="40"/>
  <c r="Q492" i="40"/>
  <c r="AC492" i="40"/>
  <c r="R492" i="40"/>
  <c r="G492" i="40"/>
  <c r="AD492" i="40"/>
  <c r="AF492" i="40"/>
  <c r="H493" i="40"/>
  <c r="S493" i="40"/>
  <c r="U493" i="40"/>
  <c r="W493" i="40"/>
  <c r="Y493" i="40"/>
  <c r="J493" i="40"/>
  <c r="L493" i="40"/>
  <c r="M493" i="40"/>
  <c r="N493" i="40"/>
  <c r="AA493" i="40"/>
  <c r="AE493" i="40"/>
  <c r="AB493" i="40"/>
  <c r="I493" i="40"/>
  <c r="T493" i="40"/>
  <c r="V493" i="40"/>
  <c r="X493" i="40"/>
  <c r="Z493" i="40"/>
  <c r="K493" i="40"/>
  <c r="O493" i="40"/>
  <c r="P493" i="40"/>
  <c r="Q493" i="40"/>
  <c r="AC493" i="40"/>
  <c r="R493" i="40"/>
  <c r="G493" i="40"/>
  <c r="AD493" i="40"/>
  <c r="AF493" i="40"/>
  <c r="H494" i="40"/>
  <c r="S494" i="40"/>
  <c r="U494" i="40"/>
  <c r="W494" i="40"/>
  <c r="Y494" i="40"/>
  <c r="J494" i="40"/>
  <c r="L494" i="40"/>
  <c r="M494" i="40"/>
  <c r="N494" i="40"/>
  <c r="AA494" i="40"/>
  <c r="AE494" i="40"/>
  <c r="AB494" i="40"/>
  <c r="I494" i="40"/>
  <c r="T494" i="40"/>
  <c r="V494" i="40"/>
  <c r="X494" i="40"/>
  <c r="Z494" i="40"/>
  <c r="K494" i="40"/>
  <c r="O494" i="40"/>
  <c r="P494" i="40"/>
  <c r="Q494" i="40"/>
  <c r="AC494" i="40"/>
  <c r="R494" i="40"/>
  <c r="G494" i="40"/>
  <c r="AD494" i="40"/>
  <c r="AF494" i="40"/>
  <c r="H495" i="40"/>
  <c r="S495" i="40"/>
  <c r="U495" i="40"/>
  <c r="W495" i="40"/>
  <c r="Y495" i="40"/>
  <c r="J495" i="40"/>
  <c r="L495" i="40"/>
  <c r="M495" i="40"/>
  <c r="N495" i="40"/>
  <c r="AA495" i="40"/>
  <c r="AE495" i="40"/>
  <c r="AB495" i="40"/>
  <c r="I495" i="40"/>
  <c r="T495" i="40"/>
  <c r="V495" i="40"/>
  <c r="X495" i="40"/>
  <c r="Z495" i="40"/>
  <c r="K495" i="40"/>
  <c r="O495" i="40"/>
  <c r="P495" i="40"/>
  <c r="Q495" i="40"/>
  <c r="AC495" i="40"/>
  <c r="R495" i="40"/>
  <c r="G495" i="40"/>
  <c r="AD495" i="40"/>
  <c r="AF495" i="40"/>
  <c r="H496" i="40"/>
  <c r="S496" i="40"/>
  <c r="U496" i="40"/>
  <c r="W496" i="40"/>
  <c r="Y496" i="40"/>
  <c r="J496" i="40"/>
  <c r="L496" i="40"/>
  <c r="M496" i="40"/>
  <c r="N496" i="40"/>
  <c r="AA496" i="40"/>
  <c r="AE496" i="40"/>
  <c r="AB496" i="40"/>
  <c r="I496" i="40"/>
  <c r="T496" i="40"/>
  <c r="V496" i="40"/>
  <c r="X496" i="40"/>
  <c r="Z496" i="40"/>
  <c r="K496" i="40"/>
  <c r="O496" i="40"/>
  <c r="P496" i="40"/>
  <c r="Q496" i="40"/>
  <c r="AC496" i="40"/>
  <c r="R496" i="40"/>
  <c r="G496" i="40"/>
  <c r="AD496" i="40"/>
  <c r="AF496" i="40"/>
  <c r="H497" i="40"/>
  <c r="S497" i="40"/>
  <c r="U497" i="40"/>
  <c r="W497" i="40"/>
  <c r="Y497" i="40"/>
  <c r="J497" i="40"/>
  <c r="L497" i="40"/>
  <c r="M497" i="40"/>
  <c r="N497" i="40"/>
  <c r="AA497" i="40"/>
  <c r="AE497" i="40"/>
  <c r="AB497" i="40"/>
  <c r="I497" i="40"/>
  <c r="T497" i="40"/>
  <c r="V497" i="40"/>
  <c r="X497" i="40"/>
  <c r="Z497" i="40"/>
  <c r="K497" i="40"/>
  <c r="O497" i="40"/>
  <c r="P497" i="40"/>
  <c r="Q497" i="40"/>
  <c r="AC497" i="40"/>
  <c r="R497" i="40"/>
  <c r="G497" i="40"/>
  <c r="AD497" i="40"/>
  <c r="AF497" i="40"/>
  <c r="H498" i="40"/>
  <c r="S498" i="40"/>
  <c r="U498" i="40"/>
  <c r="W498" i="40"/>
  <c r="Y498" i="40"/>
  <c r="J498" i="40"/>
  <c r="L498" i="40"/>
  <c r="M498" i="40"/>
  <c r="N498" i="40"/>
  <c r="AA498" i="40"/>
  <c r="AE498" i="40"/>
  <c r="AB498" i="40"/>
  <c r="I498" i="40"/>
  <c r="T498" i="40"/>
  <c r="V498" i="40"/>
  <c r="X498" i="40"/>
  <c r="Z498" i="40"/>
  <c r="K498" i="40"/>
  <c r="O498" i="40"/>
  <c r="P498" i="40"/>
  <c r="Q498" i="40"/>
  <c r="AC498" i="40"/>
  <c r="R498" i="40"/>
  <c r="G498" i="40"/>
  <c r="AD498" i="40"/>
  <c r="AF498" i="40"/>
  <c r="H499" i="40"/>
  <c r="S499" i="40"/>
  <c r="U499" i="40"/>
  <c r="W499" i="40"/>
  <c r="Y499" i="40"/>
  <c r="J499" i="40"/>
  <c r="L499" i="40"/>
  <c r="M499" i="40"/>
  <c r="N499" i="40"/>
  <c r="AA499" i="40"/>
  <c r="AE499" i="40"/>
  <c r="AB499" i="40"/>
  <c r="I499" i="40"/>
  <c r="T499" i="40"/>
  <c r="V499" i="40"/>
  <c r="X499" i="40"/>
  <c r="Z499" i="40"/>
  <c r="K499" i="40"/>
  <c r="O499" i="40"/>
  <c r="P499" i="40"/>
  <c r="Q499" i="40"/>
  <c r="AC499" i="40"/>
  <c r="R499" i="40"/>
  <c r="G499" i="40"/>
  <c r="AD499" i="40"/>
  <c r="AF499" i="40"/>
  <c r="H500" i="40"/>
  <c r="S500" i="40"/>
  <c r="U500" i="40"/>
  <c r="W500" i="40"/>
  <c r="Y500" i="40"/>
  <c r="J500" i="40"/>
  <c r="L500" i="40"/>
  <c r="M500" i="40"/>
  <c r="N500" i="40"/>
  <c r="AA500" i="40"/>
  <c r="AE500" i="40"/>
  <c r="AB500" i="40"/>
  <c r="I500" i="40"/>
  <c r="T500" i="40"/>
  <c r="V500" i="40"/>
  <c r="X500" i="40"/>
  <c r="Z500" i="40"/>
  <c r="K500" i="40"/>
  <c r="O500" i="40"/>
  <c r="P500" i="40"/>
  <c r="Q500" i="40"/>
  <c r="AC500" i="40"/>
  <c r="R500" i="40"/>
  <c r="G500" i="40"/>
  <c r="AD500" i="40"/>
  <c r="AF500" i="40"/>
  <c r="H501" i="40"/>
  <c r="S501" i="40"/>
  <c r="U501" i="40"/>
  <c r="W501" i="40"/>
  <c r="Y501" i="40"/>
  <c r="J501" i="40"/>
  <c r="L501" i="40"/>
  <c r="M501" i="40"/>
  <c r="N501" i="40"/>
  <c r="AA501" i="40"/>
  <c r="AE501" i="40"/>
  <c r="AB501" i="40"/>
  <c r="I501" i="40"/>
  <c r="T501" i="40"/>
  <c r="V501" i="40"/>
  <c r="X501" i="40"/>
  <c r="Z501" i="40"/>
  <c r="K501" i="40"/>
  <c r="O501" i="40"/>
  <c r="P501" i="40"/>
  <c r="Q501" i="40"/>
  <c r="AC501" i="40"/>
  <c r="R501" i="40"/>
  <c r="G501" i="40"/>
  <c r="AD501" i="40"/>
  <c r="AF501" i="40"/>
  <c r="H502" i="40"/>
  <c r="S502" i="40"/>
  <c r="U502" i="40"/>
  <c r="W502" i="40"/>
  <c r="Y502" i="40"/>
  <c r="J502" i="40"/>
  <c r="L502" i="40"/>
  <c r="M502" i="40"/>
  <c r="N502" i="40"/>
  <c r="AA502" i="40"/>
  <c r="AE502" i="40"/>
  <c r="AB502" i="40"/>
  <c r="I502" i="40"/>
  <c r="T502" i="40"/>
  <c r="V502" i="40"/>
  <c r="X502" i="40"/>
  <c r="Z502" i="40"/>
  <c r="K502" i="40"/>
  <c r="O502" i="40"/>
  <c r="P502" i="40"/>
  <c r="Q502" i="40"/>
  <c r="AC502" i="40"/>
  <c r="R502" i="40"/>
  <c r="G502" i="40"/>
  <c r="AD502" i="40"/>
  <c r="AF502" i="40"/>
  <c r="H503" i="40"/>
  <c r="S503" i="40"/>
  <c r="U503" i="40"/>
  <c r="W503" i="40"/>
  <c r="Y503" i="40"/>
  <c r="J503" i="40"/>
  <c r="L503" i="40"/>
  <c r="M503" i="40"/>
  <c r="N503" i="40"/>
  <c r="AA503" i="40"/>
  <c r="AE503" i="40"/>
  <c r="AB503" i="40"/>
  <c r="I503" i="40"/>
  <c r="T503" i="40"/>
  <c r="V503" i="40"/>
  <c r="X503" i="40"/>
  <c r="Z503" i="40"/>
  <c r="K503" i="40"/>
  <c r="O503" i="40"/>
  <c r="P503" i="40"/>
  <c r="Q503" i="40"/>
  <c r="AC503" i="40"/>
  <c r="R503" i="40"/>
  <c r="G503" i="40"/>
  <c r="AD503" i="40"/>
  <c r="AF503" i="40"/>
  <c r="H504" i="40"/>
  <c r="S504" i="40"/>
  <c r="U504" i="40"/>
  <c r="W504" i="40"/>
  <c r="Y504" i="40"/>
  <c r="J504" i="40"/>
  <c r="L504" i="40"/>
  <c r="M504" i="40"/>
  <c r="N504" i="40"/>
  <c r="AA504" i="40"/>
  <c r="AE504" i="40"/>
  <c r="AB504" i="40"/>
  <c r="I504" i="40"/>
  <c r="T504" i="40"/>
  <c r="V504" i="40"/>
  <c r="X504" i="40"/>
  <c r="Z504" i="40"/>
  <c r="K504" i="40"/>
  <c r="O504" i="40"/>
  <c r="P504" i="40"/>
  <c r="Q504" i="40"/>
  <c r="AC504" i="40"/>
  <c r="R504" i="40"/>
  <c r="G504" i="40"/>
  <c r="AD504" i="40"/>
  <c r="AF504" i="40"/>
  <c r="H505" i="40"/>
  <c r="S505" i="40"/>
  <c r="U505" i="40"/>
  <c r="W505" i="40"/>
  <c r="Y505" i="40"/>
  <c r="J505" i="40"/>
  <c r="L505" i="40"/>
  <c r="M505" i="40"/>
  <c r="N505" i="40"/>
  <c r="AA505" i="40"/>
  <c r="AE505" i="40"/>
  <c r="AB505" i="40"/>
  <c r="I505" i="40"/>
  <c r="T505" i="40"/>
  <c r="V505" i="40"/>
  <c r="X505" i="40"/>
  <c r="Z505" i="40"/>
  <c r="K505" i="40"/>
  <c r="O505" i="40"/>
  <c r="P505" i="40"/>
  <c r="Q505" i="40"/>
  <c r="AC505" i="40"/>
  <c r="R505" i="40"/>
  <c r="G505" i="40"/>
  <c r="AD505" i="40"/>
  <c r="AF505" i="40"/>
  <c r="H506" i="40"/>
  <c r="S506" i="40"/>
  <c r="U506" i="40"/>
  <c r="W506" i="40"/>
  <c r="Y506" i="40"/>
  <c r="J506" i="40"/>
  <c r="L506" i="40"/>
  <c r="M506" i="40"/>
  <c r="N506" i="40"/>
  <c r="AA506" i="40"/>
  <c r="AE506" i="40"/>
  <c r="AB506" i="40"/>
  <c r="I506" i="40"/>
  <c r="T506" i="40"/>
  <c r="V506" i="40"/>
  <c r="X506" i="40"/>
  <c r="Z506" i="40"/>
  <c r="K506" i="40"/>
  <c r="O506" i="40"/>
  <c r="P506" i="40"/>
  <c r="Q506" i="40"/>
  <c r="AC506" i="40"/>
  <c r="R506" i="40"/>
  <c r="G506" i="40"/>
  <c r="AD506" i="40"/>
  <c r="AF506" i="40"/>
  <c r="H507" i="40"/>
  <c r="S507" i="40"/>
  <c r="U507" i="40"/>
  <c r="W507" i="40"/>
  <c r="Y507" i="40"/>
  <c r="J507" i="40"/>
  <c r="L507" i="40"/>
  <c r="M507" i="40"/>
  <c r="N507" i="40"/>
  <c r="AA507" i="40"/>
  <c r="AE507" i="40"/>
  <c r="AB507" i="40"/>
  <c r="I507" i="40"/>
  <c r="T507" i="40"/>
  <c r="V507" i="40"/>
  <c r="X507" i="40"/>
  <c r="Z507" i="40"/>
  <c r="K507" i="40"/>
  <c r="O507" i="40"/>
  <c r="P507" i="40"/>
  <c r="Q507" i="40"/>
  <c r="AC507" i="40"/>
  <c r="R507" i="40"/>
  <c r="G507" i="40"/>
  <c r="AD507" i="40"/>
  <c r="AF507" i="40"/>
  <c r="H508" i="40"/>
  <c r="S508" i="40"/>
  <c r="U508" i="40"/>
  <c r="W508" i="40"/>
  <c r="Y508" i="40"/>
  <c r="J508" i="40"/>
  <c r="L508" i="40"/>
  <c r="M508" i="40"/>
  <c r="N508" i="40"/>
  <c r="AA508" i="40"/>
  <c r="AE508" i="40"/>
  <c r="AB508" i="40"/>
  <c r="I508" i="40"/>
  <c r="T508" i="40"/>
  <c r="V508" i="40"/>
  <c r="X508" i="40"/>
  <c r="Z508" i="40"/>
  <c r="K508" i="40"/>
  <c r="O508" i="40"/>
  <c r="P508" i="40"/>
  <c r="Q508" i="40"/>
  <c r="AC508" i="40"/>
  <c r="R508" i="40"/>
  <c r="G508" i="40"/>
  <c r="AD508" i="40"/>
  <c r="AF508" i="40"/>
  <c r="H509" i="40"/>
  <c r="S509" i="40"/>
  <c r="U509" i="40"/>
  <c r="W509" i="40"/>
  <c r="Y509" i="40"/>
  <c r="J509" i="40"/>
  <c r="L509" i="40"/>
  <c r="M509" i="40"/>
  <c r="N509" i="40"/>
  <c r="AA509" i="40"/>
  <c r="AE509" i="40"/>
  <c r="AB509" i="40"/>
  <c r="I509" i="40"/>
  <c r="T509" i="40"/>
  <c r="V509" i="40"/>
  <c r="X509" i="40"/>
  <c r="Z509" i="40"/>
  <c r="K509" i="40"/>
  <c r="O509" i="40"/>
  <c r="P509" i="40"/>
  <c r="Q509" i="40"/>
  <c r="AC509" i="40"/>
  <c r="R509" i="40"/>
  <c r="G509" i="40"/>
  <c r="AD509" i="40"/>
  <c r="AF509" i="40"/>
  <c r="H510" i="40"/>
  <c r="S510" i="40"/>
  <c r="U510" i="40"/>
  <c r="W510" i="40"/>
  <c r="Y510" i="40"/>
  <c r="J510" i="40"/>
  <c r="L510" i="40"/>
  <c r="M510" i="40"/>
  <c r="N510" i="40"/>
  <c r="AA510" i="40"/>
  <c r="AE510" i="40"/>
  <c r="AB510" i="40"/>
  <c r="I510" i="40"/>
  <c r="T510" i="40"/>
  <c r="V510" i="40"/>
  <c r="X510" i="40"/>
  <c r="Z510" i="40"/>
  <c r="K510" i="40"/>
  <c r="O510" i="40"/>
  <c r="P510" i="40"/>
  <c r="Q510" i="40"/>
  <c r="AC510" i="40"/>
  <c r="R510" i="40"/>
  <c r="G510" i="40"/>
  <c r="AD510" i="40"/>
  <c r="AF510" i="40"/>
  <c r="H511" i="40"/>
  <c r="S511" i="40"/>
  <c r="U511" i="40"/>
  <c r="W511" i="40"/>
  <c r="Y511" i="40"/>
  <c r="J511" i="40"/>
  <c r="L511" i="40"/>
  <c r="M511" i="40"/>
  <c r="N511" i="40"/>
  <c r="AA511" i="40"/>
  <c r="AE511" i="40"/>
  <c r="AB511" i="40"/>
  <c r="I511" i="40"/>
  <c r="T511" i="40"/>
  <c r="V511" i="40"/>
  <c r="X511" i="40"/>
  <c r="Z511" i="40"/>
  <c r="K511" i="40"/>
  <c r="O511" i="40"/>
  <c r="P511" i="40"/>
  <c r="Q511" i="40"/>
  <c r="AC511" i="40"/>
  <c r="R511" i="40"/>
  <c r="G511" i="40"/>
  <c r="AD511" i="40"/>
  <c r="AF511" i="40"/>
  <c r="H512" i="40"/>
  <c r="S512" i="40"/>
  <c r="U512" i="40"/>
  <c r="W512" i="40"/>
  <c r="Y512" i="40"/>
  <c r="J512" i="40"/>
  <c r="L512" i="40"/>
  <c r="M512" i="40"/>
  <c r="N512" i="40"/>
  <c r="AA512" i="40"/>
  <c r="AE512" i="40"/>
  <c r="AB512" i="40"/>
  <c r="I512" i="40"/>
  <c r="T512" i="40"/>
  <c r="V512" i="40"/>
  <c r="X512" i="40"/>
  <c r="Z512" i="40"/>
  <c r="K512" i="40"/>
  <c r="O512" i="40"/>
  <c r="P512" i="40"/>
  <c r="Q512" i="40"/>
  <c r="AC512" i="40"/>
  <c r="R512" i="40"/>
  <c r="G512" i="40"/>
  <c r="AD512" i="40"/>
  <c r="AF512" i="40"/>
  <c r="H513" i="40"/>
  <c r="S513" i="40"/>
  <c r="U513" i="40"/>
  <c r="W513" i="40"/>
  <c r="Y513" i="40"/>
  <c r="J513" i="40"/>
  <c r="L513" i="40"/>
  <c r="M513" i="40"/>
  <c r="N513" i="40"/>
  <c r="AA513" i="40"/>
  <c r="AE513" i="40"/>
  <c r="AB513" i="40"/>
  <c r="I513" i="40"/>
  <c r="T513" i="40"/>
  <c r="V513" i="40"/>
  <c r="X513" i="40"/>
  <c r="Z513" i="40"/>
  <c r="K513" i="40"/>
  <c r="O513" i="40"/>
  <c r="P513" i="40"/>
  <c r="Q513" i="40"/>
  <c r="AC513" i="40"/>
  <c r="R513" i="40"/>
  <c r="G513" i="40"/>
  <c r="AD513" i="40"/>
  <c r="AF513" i="40"/>
  <c r="H514" i="40"/>
  <c r="S514" i="40"/>
  <c r="U514" i="40"/>
  <c r="W514" i="40"/>
  <c r="Y514" i="40"/>
  <c r="J514" i="40"/>
  <c r="L514" i="40"/>
  <c r="M514" i="40"/>
  <c r="N514" i="40"/>
  <c r="AA514" i="40"/>
  <c r="AE514" i="40"/>
  <c r="AB514" i="40"/>
  <c r="I514" i="40"/>
  <c r="T514" i="40"/>
  <c r="V514" i="40"/>
  <c r="X514" i="40"/>
  <c r="Z514" i="40"/>
  <c r="K514" i="40"/>
  <c r="O514" i="40"/>
  <c r="P514" i="40"/>
  <c r="Q514" i="40"/>
  <c r="AC514" i="40"/>
  <c r="R514" i="40"/>
  <c r="G514" i="40"/>
  <c r="AD514" i="40"/>
  <c r="AF514" i="40"/>
  <c r="H515" i="40"/>
  <c r="S515" i="40"/>
  <c r="U515" i="40"/>
  <c r="W515" i="40"/>
  <c r="Y515" i="40"/>
  <c r="J515" i="40"/>
  <c r="L515" i="40"/>
  <c r="M515" i="40"/>
  <c r="N515" i="40"/>
  <c r="AA515" i="40"/>
  <c r="AE515" i="40"/>
  <c r="AB515" i="40"/>
  <c r="I515" i="40"/>
  <c r="T515" i="40"/>
  <c r="V515" i="40"/>
  <c r="X515" i="40"/>
  <c r="Z515" i="40"/>
  <c r="K515" i="40"/>
  <c r="O515" i="40"/>
  <c r="P515" i="40"/>
  <c r="Q515" i="40"/>
  <c r="AC515" i="40"/>
  <c r="R515" i="40"/>
  <c r="G515" i="40"/>
  <c r="AD515" i="40"/>
  <c r="AF515" i="40"/>
  <c r="O76" i="44"/>
  <c r="Q76" i="44"/>
  <c r="S76" i="44"/>
  <c r="W76" i="44"/>
  <c r="P76" i="44"/>
  <c r="R76" i="44"/>
  <c r="U76" i="44"/>
  <c r="P77" i="44"/>
  <c r="R77" i="44"/>
  <c r="U77" i="44"/>
  <c r="P78" i="44"/>
  <c r="R78" i="44"/>
  <c r="U78" i="44"/>
  <c r="P79" i="44"/>
  <c r="R79" i="44"/>
  <c r="U79" i="44"/>
  <c r="P80" i="44"/>
  <c r="R80" i="44"/>
  <c r="U80" i="44"/>
  <c r="P81" i="44"/>
  <c r="R81" i="44"/>
  <c r="U81" i="44"/>
  <c r="P82" i="44"/>
  <c r="R82" i="44"/>
  <c r="U82" i="44"/>
  <c r="P83" i="44"/>
  <c r="R83" i="44"/>
  <c r="U83" i="44"/>
  <c r="P84" i="44"/>
  <c r="R84" i="44"/>
  <c r="U84" i="44"/>
  <c r="P85" i="44"/>
  <c r="R85" i="44"/>
  <c r="U85" i="44"/>
  <c r="P86" i="44"/>
  <c r="R86" i="44"/>
  <c r="U86" i="44"/>
  <c r="P87" i="44"/>
  <c r="R87" i="44"/>
  <c r="U87" i="44"/>
  <c r="P88" i="44"/>
  <c r="R88" i="44"/>
  <c r="U88" i="44"/>
  <c r="P89" i="44"/>
  <c r="R89" i="44"/>
  <c r="U89" i="44"/>
  <c r="P90" i="44"/>
  <c r="R90" i="44"/>
  <c r="U90" i="44"/>
  <c r="P91" i="44"/>
  <c r="R91" i="44"/>
  <c r="U91" i="44"/>
  <c r="P92" i="44"/>
  <c r="R92" i="44"/>
  <c r="U92" i="44"/>
  <c r="P93" i="44"/>
  <c r="R93" i="44"/>
  <c r="U93" i="44"/>
  <c r="P94" i="44"/>
  <c r="R94" i="44"/>
  <c r="U94" i="44"/>
  <c r="P95" i="44"/>
  <c r="R95" i="44"/>
  <c r="U95" i="44"/>
  <c r="P96" i="44"/>
  <c r="R96" i="44"/>
  <c r="U96" i="44"/>
  <c r="P97" i="44"/>
  <c r="R97" i="44"/>
  <c r="U97" i="44"/>
  <c r="P98" i="44"/>
  <c r="R98" i="44"/>
  <c r="U98" i="44"/>
  <c r="P99" i="44"/>
  <c r="R99" i="44"/>
  <c r="U99" i="44"/>
  <c r="P100" i="44"/>
  <c r="R100" i="44"/>
  <c r="U100" i="44"/>
  <c r="P101" i="44"/>
  <c r="R101" i="44"/>
  <c r="U101" i="44"/>
  <c r="P102" i="44"/>
  <c r="R102" i="44"/>
  <c r="U102" i="44"/>
  <c r="P103" i="44"/>
  <c r="R103" i="44"/>
  <c r="U103" i="44"/>
  <c r="P104" i="44"/>
  <c r="R104" i="44"/>
  <c r="U104" i="44"/>
  <c r="P105" i="44"/>
  <c r="R105" i="44"/>
  <c r="U105" i="44"/>
  <c r="P106" i="44"/>
  <c r="R106" i="44"/>
  <c r="U106" i="44"/>
  <c r="P107" i="44"/>
  <c r="R107" i="44"/>
  <c r="U107" i="44"/>
  <c r="P108" i="44"/>
  <c r="R108" i="44"/>
  <c r="U108" i="44"/>
  <c r="P109" i="44"/>
  <c r="R109" i="44"/>
  <c r="U109" i="44"/>
  <c r="P110" i="44"/>
  <c r="R110" i="44"/>
  <c r="U110" i="44"/>
  <c r="P111" i="44"/>
  <c r="R111" i="44"/>
  <c r="U111" i="44"/>
  <c r="P112" i="44"/>
  <c r="R112" i="44"/>
  <c r="U112" i="44"/>
  <c r="P113" i="44"/>
  <c r="R113" i="44"/>
  <c r="U113" i="44"/>
  <c r="P114" i="44"/>
  <c r="R114" i="44"/>
  <c r="U114" i="44"/>
  <c r="P115" i="44"/>
  <c r="R115" i="44"/>
  <c r="U115" i="44"/>
  <c r="P116" i="44"/>
  <c r="R116" i="44"/>
  <c r="U116" i="44"/>
  <c r="P117" i="44"/>
  <c r="R117" i="44"/>
  <c r="U117" i="44"/>
  <c r="P118" i="44"/>
  <c r="R118" i="44"/>
  <c r="U118" i="44"/>
  <c r="P119" i="44"/>
  <c r="R119" i="44"/>
  <c r="U119" i="44"/>
  <c r="P120" i="44"/>
  <c r="R120" i="44"/>
  <c r="U120" i="44"/>
  <c r="P121" i="44"/>
  <c r="R121" i="44"/>
  <c r="U121" i="44"/>
  <c r="P122" i="44"/>
  <c r="R122" i="44"/>
  <c r="U122" i="44"/>
  <c r="P123" i="44"/>
  <c r="R123" i="44"/>
  <c r="U123" i="44"/>
  <c r="P124" i="44"/>
  <c r="R124" i="44"/>
  <c r="U124" i="44"/>
  <c r="P125" i="44"/>
  <c r="R125" i="44"/>
  <c r="U125" i="44"/>
  <c r="P126" i="44"/>
  <c r="R126" i="44"/>
  <c r="U126" i="44"/>
  <c r="P127" i="44"/>
  <c r="R127" i="44"/>
  <c r="U127" i="44"/>
  <c r="P128" i="44"/>
  <c r="R128" i="44"/>
  <c r="U128" i="44"/>
  <c r="P129" i="44"/>
  <c r="R129" i="44"/>
  <c r="U129" i="44"/>
  <c r="P130" i="44"/>
  <c r="R130" i="44"/>
  <c r="U130" i="44"/>
  <c r="P131" i="44"/>
  <c r="R131" i="44"/>
  <c r="U131" i="44"/>
  <c r="P132" i="44"/>
  <c r="R132" i="44"/>
  <c r="U132" i="44"/>
  <c r="P133" i="44"/>
  <c r="R133" i="44"/>
  <c r="U133" i="44"/>
  <c r="P134" i="44"/>
  <c r="R134" i="44"/>
  <c r="U134" i="44"/>
  <c r="P135" i="44"/>
  <c r="R135" i="44"/>
  <c r="U135" i="44"/>
  <c r="P136" i="44"/>
  <c r="R136" i="44"/>
  <c r="U136" i="44"/>
  <c r="P137" i="44"/>
  <c r="R137" i="44"/>
  <c r="U137" i="44"/>
  <c r="P138" i="44"/>
  <c r="R138" i="44"/>
  <c r="U138" i="44"/>
  <c r="P139" i="44"/>
  <c r="R139" i="44"/>
  <c r="U139" i="44"/>
  <c r="P140" i="44"/>
  <c r="R140" i="44"/>
  <c r="U140" i="44"/>
  <c r="P141" i="44"/>
  <c r="R141" i="44"/>
  <c r="U141" i="44"/>
  <c r="P142" i="44"/>
  <c r="R142" i="44"/>
  <c r="U142" i="44"/>
  <c r="P143" i="44"/>
  <c r="R143" i="44"/>
  <c r="U143" i="44"/>
  <c r="P144" i="44"/>
  <c r="R144" i="44"/>
  <c r="U144" i="44"/>
  <c r="P145" i="44"/>
  <c r="R145" i="44"/>
  <c r="U145" i="44"/>
  <c r="P146" i="44"/>
  <c r="R146" i="44"/>
  <c r="U146" i="44"/>
  <c r="P147" i="44"/>
  <c r="R147" i="44"/>
  <c r="U147" i="44"/>
  <c r="P148" i="44"/>
  <c r="R148" i="44"/>
  <c r="U148" i="44"/>
  <c r="P149" i="44"/>
  <c r="R149" i="44"/>
  <c r="U149" i="44"/>
  <c r="P150" i="44"/>
  <c r="R150" i="44"/>
  <c r="U150" i="44"/>
  <c r="P151" i="44"/>
  <c r="R151" i="44"/>
  <c r="U151" i="44"/>
  <c r="P152" i="44"/>
  <c r="R152" i="44"/>
  <c r="U152" i="44"/>
  <c r="P153" i="44"/>
  <c r="R153" i="44"/>
  <c r="U153" i="44"/>
  <c r="P154" i="44"/>
  <c r="R154" i="44"/>
  <c r="U154" i="44"/>
  <c r="P155" i="44"/>
  <c r="R155" i="44"/>
  <c r="U155" i="44"/>
  <c r="P156" i="44"/>
  <c r="R156" i="44"/>
  <c r="U156" i="44"/>
  <c r="P157" i="44"/>
  <c r="R157" i="44"/>
  <c r="U157" i="44"/>
  <c r="P158" i="44"/>
  <c r="R158" i="44"/>
  <c r="U158" i="44"/>
  <c r="P159" i="44"/>
  <c r="R159" i="44"/>
  <c r="U159" i="44"/>
  <c r="P160" i="44"/>
  <c r="R160" i="44"/>
  <c r="U160" i="44"/>
  <c r="P161" i="44"/>
  <c r="R161" i="44"/>
  <c r="U161" i="44"/>
  <c r="P162" i="44"/>
  <c r="R162" i="44"/>
  <c r="U162" i="44"/>
  <c r="P163" i="44"/>
  <c r="R163" i="44"/>
  <c r="U163" i="44"/>
  <c r="P164" i="44"/>
  <c r="R164" i="44"/>
  <c r="U164" i="44"/>
  <c r="P165" i="44"/>
  <c r="R165" i="44"/>
  <c r="U165" i="44"/>
  <c r="P166" i="44"/>
  <c r="R166" i="44"/>
  <c r="U166" i="44"/>
  <c r="P167" i="44"/>
  <c r="R167" i="44"/>
  <c r="U167" i="44"/>
  <c r="P168" i="44"/>
  <c r="R168" i="44"/>
  <c r="U168" i="44"/>
  <c r="P169" i="44"/>
  <c r="R169" i="44"/>
  <c r="U169" i="44"/>
  <c r="P170" i="44"/>
  <c r="R170" i="44"/>
  <c r="U170" i="44"/>
  <c r="P171" i="44"/>
  <c r="R171" i="44"/>
  <c r="U171" i="44"/>
  <c r="P172" i="44"/>
  <c r="R172" i="44"/>
  <c r="U172" i="44"/>
  <c r="P173" i="44"/>
  <c r="R173" i="44"/>
  <c r="U173" i="44"/>
  <c r="P174" i="44"/>
  <c r="R174" i="44"/>
  <c r="U174" i="44"/>
  <c r="P175" i="44"/>
  <c r="R175" i="44"/>
  <c r="U175" i="44"/>
  <c r="P176" i="44"/>
  <c r="R176" i="44"/>
  <c r="U176" i="44"/>
  <c r="P177" i="44"/>
  <c r="R177" i="44"/>
  <c r="U177" i="44"/>
  <c r="P178" i="44"/>
  <c r="R178" i="44"/>
  <c r="U178" i="44"/>
  <c r="P179" i="44"/>
  <c r="R179" i="44"/>
  <c r="U179" i="44"/>
  <c r="P180" i="44"/>
  <c r="R180" i="44"/>
  <c r="U180" i="44"/>
  <c r="P181" i="44"/>
  <c r="R181" i="44"/>
  <c r="U181" i="44"/>
  <c r="P182" i="44"/>
  <c r="R182" i="44"/>
  <c r="U182" i="44"/>
  <c r="P183" i="44"/>
  <c r="R183" i="44"/>
  <c r="U183" i="44"/>
  <c r="P184" i="44"/>
  <c r="R184" i="44"/>
  <c r="U184" i="44"/>
  <c r="P185" i="44"/>
  <c r="R185" i="44"/>
  <c r="U185" i="44"/>
  <c r="P186" i="44"/>
  <c r="R186" i="44"/>
  <c r="U186" i="44"/>
  <c r="P187" i="44"/>
  <c r="R187" i="44"/>
  <c r="U187" i="44"/>
  <c r="P188" i="44"/>
  <c r="R188" i="44"/>
  <c r="U188" i="44"/>
  <c r="P189" i="44"/>
  <c r="R189" i="44"/>
  <c r="U189" i="44"/>
  <c r="P190" i="44"/>
  <c r="R190" i="44"/>
  <c r="U190" i="44"/>
  <c r="P191" i="44"/>
  <c r="R191" i="44"/>
  <c r="U191" i="44"/>
  <c r="P192" i="44"/>
  <c r="R192" i="44"/>
  <c r="U192" i="44"/>
  <c r="P193" i="44"/>
  <c r="R193" i="44"/>
  <c r="U193" i="44"/>
  <c r="P194" i="44"/>
  <c r="R194" i="44"/>
  <c r="U194" i="44"/>
  <c r="P195" i="44"/>
  <c r="R195" i="44"/>
  <c r="U195" i="44"/>
  <c r="P196" i="44"/>
  <c r="R196" i="44"/>
  <c r="U196" i="44"/>
  <c r="P197" i="44"/>
  <c r="R197" i="44"/>
  <c r="U197" i="44"/>
  <c r="P198" i="44"/>
  <c r="R198" i="44"/>
  <c r="U198" i="44"/>
  <c r="P199" i="44"/>
  <c r="R199" i="44"/>
  <c r="U199" i="44"/>
  <c r="P200" i="44"/>
  <c r="R200" i="44"/>
  <c r="U200" i="44"/>
  <c r="P201" i="44"/>
  <c r="R201" i="44"/>
  <c r="U201" i="44"/>
  <c r="P202" i="44"/>
  <c r="R202" i="44"/>
  <c r="U202" i="44"/>
  <c r="P203" i="44"/>
  <c r="R203" i="44"/>
  <c r="U203" i="44"/>
  <c r="P204" i="44"/>
  <c r="R204" i="44"/>
  <c r="U204" i="44"/>
  <c r="P205" i="44"/>
  <c r="R205" i="44"/>
  <c r="U205" i="44"/>
  <c r="P206" i="44"/>
  <c r="R206" i="44"/>
  <c r="U206" i="44"/>
  <c r="P207" i="44"/>
  <c r="R207" i="44"/>
  <c r="U207" i="44"/>
  <c r="P208" i="44"/>
  <c r="R208" i="44"/>
  <c r="U208" i="44"/>
  <c r="P209" i="44"/>
  <c r="R209" i="44"/>
  <c r="U209" i="44"/>
  <c r="P210" i="44"/>
  <c r="R210" i="44"/>
  <c r="U210" i="44"/>
  <c r="P211" i="44"/>
  <c r="R211" i="44"/>
  <c r="U211" i="44"/>
  <c r="P212" i="44"/>
  <c r="R212" i="44"/>
  <c r="U212" i="44"/>
  <c r="P213" i="44"/>
  <c r="R213" i="44"/>
  <c r="U213" i="44"/>
  <c r="P214" i="44"/>
  <c r="R214" i="44"/>
  <c r="U214" i="44"/>
  <c r="P215" i="44"/>
  <c r="R215" i="44"/>
  <c r="U215" i="44"/>
  <c r="P216" i="44"/>
  <c r="R216" i="44"/>
  <c r="U216" i="44"/>
  <c r="P217" i="44"/>
  <c r="R217" i="44"/>
  <c r="U217" i="44"/>
  <c r="P218" i="44"/>
  <c r="R218" i="44"/>
  <c r="U218" i="44"/>
  <c r="P219" i="44"/>
  <c r="R219" i="44"/>
  <c r="U219" i="44"/>
  <c r="P220" i="44"/>
  <c r="R220" i="44"/>
  <c r="U220" i="44"/>
  <c r="P221" i="44"/>
  <c r="R221" i="44"/>
  <c r="U221" i="44"/>
  <c r="P222" i="44"/>
  <c r="R222" i="44"/>
  <c r="U222" i="44"/>
  <c r="P223" i="44"/>
  <c r="R223" i="44"/>
  <c r="U223" i="44"/>
  <c r="P224" i="44"/>
  <c r="R224" i="44"/>
  <c r="U224" i="44"/>
  <c r="P225" i="44"/>
  <c r="R225" i="44"/>
  <c r="U225" i="44"/>
  <c r="P226" i="44"/>
  <c r="R226" i="44"/>
  <c r="U226" i="44"/>
  <c r="P227" i="44"/>
  <c r="R227" i="44"/>
  <c r="U227" i="44"/>
  <c r="P228" i="44"/>
  <c r="R228" i="44"/>
  <c r="U228" i="44"/>
  <c r="P229" i="44"/>
  <c r="R229" i="44"/>
  <c r="U229" i="44"/>
  <c r="P230" i="44"/>
  <c r="R230" i="44"/>
  <c r="U230" i="44"/>
  <c r="P231" i="44"/>
  <c r="R231" i="44"/>
  <c r="U231" i="44"/>
  <c r="P232" i="44"/>
  <c r="R232" i="44"/>
  <c r="U232" i="44"/>
  <c r="P233" i="44"/>
  <c r="R233" i="44"/>
  <c r="U233" i="44"/>
  <c r="P234" i="44"/>
  <c r="R234" i="44"/>
  <c r="U234" i="44"/>
  <c r="P235" i="44"/>
  <c r="R235" i="44"/>
  <c r="U235" i="44"/>
  <c r="P236" i="44"/>
  <c r="R236" i="44"/>
  <c r="U236" i="44"/>
  <c r="P237" i="44"/>
  <c r="R237" i="44"/>
  <c r="U237" i="44"/>
  <c r="P238" i="44"/>
  <c r="R238" i="44"/>
  <c r="U238" i="44"/>
  <c r="P239" i="44"/>
  <c r="R239" i="44"/>
  <c r="U239" i="44"/>
  <c r="P240" i="44"/>
  <c r="R240" i="44"/>
  <c r="U240" i="44"/>
  <c r="P241" i="44"/>
  <c r="R241" i="44"/>
  <c r="U241" i="44"/>
  <c r="P242" i="44"/>
  <c r="R242" i="44"/>
  <c r="U242" i="44"/>
  <c r="P243" i="44"/>
  <c r="R243" i="44"/>
  <c r="U243" i="44"/>
  <c r="P244" i="44"/>
  <c r="R244" i="44"/>
  <c r="U244" i="44"/>
  <c r="P245" i="44"/>
  <c r="R245" i="44"/>
  <c r="U245" i="44"/>
  <c r="P246" i="44"/>
  <c r="R246" i="44"/>
  <c r="U246" i="44"/>
  <c r="P247" i="44"/>
  <c r="R247" i="44"/>
  <c r="U247" i="44"/>
  <c r="P248" i="44"/>
  <c r="R248" i="44"/>
  <c r="U248" i="44"/>
  <c r="P249" i="44"/>
  <c r="R249" i="44"/>
  <c r="U249" i="44"/>
  <c r="P250" i="44"/>
  <c r="R250" i="44"/>
  <c r="U250" i="44"/>
  <c r="P251" i="44"/>
  <c r="R251" i="44"/>
  <c r="U251" i="44"/>
  <c r="P252" i="44"/>
  <c r="R252" i="44"/>
  <c r="U252" i="44"/>
  <c r="P253" i="44"/>
  <c r="R253" i="44"/>
  <c r="U253" i="44"/>
  <c r="P254" i="44"/>
  <c r="R254" i="44"/>
  <c r="U254" i="44"/>
  <c r="P255" i="44"/>
  <c r="R255" i="44"/>
  <c r="U255" i="44"/>
  <c r="P256" i="44"/>
  <c r="R256" i="44"/>
  <c r="U256" i="44"/>
  <c r="P257" i="44"/>
  <c r="R257" i="44"/>
  <c r="U257" i="44"/>
  <c r="P258" i="44"/>
  <c r="R258" i="44"/>
  <c r="U258" i="44"/>
  <c r="P259" i="44"/>
  <c r="R259" i="44"/>
  <c r="U259" i="44"/>
  <c r="P260" i="44"/>
  <c r="R260" i="44"/>
  <c r="U260" i="44"/>
  <c r="P261" i="44"/>
  <c r="R261" i="44"/>
  <c r="U261" i="44"/>
  <c r="P262" i="44"/>
  <c r="R262" i="44"/>
  <c r="U262" i="44"/>
  <c r="P263" i="44"/>
  <c r="R263" i="44"/>
  <c r="U263" i="44"/>
  <c r="P264" i="44"/>
  <c r="R264" i="44"/>
  <c r="U264" i="44"/>
  <c r="P265" i="44"/>
  <c r="R265" i="44"/>
  <c r="U265" i="44"/>
  <c r="P266" i="44"/>
  <c r="R266" i="44"/>
  <c r="U266" i="44"/>
  <c r="P267" i="44"/>
  <c r="R267" i="44"/>
  <c r="U267" i="44"/>
  <c r="P268" i="44"/>
  <c r="R268" i="44"/>
  <c r="U268" i="44"/>
  <c r="P269" i="44"/>
  <c r="R269" i="44"/>
  <c r="U269" i="44"/>
  <c r="P270" i="44"/>
  <c r="R270" i="44"/>
  <c r="U270" i="44"/>
  <c r="P271" i="44"/>
  <c r="R271" i="44"/>
  <c r="U271" i="44"/>
  <c r="P272" i="44"/>
  <c r="R272" i="44"/>
  <c r="U272" i="44"/>
  <c r="P273" i="44"/>
  <c r="R273" i="44"/>
  <c r="U273" i="44"/>
  <c r="P274" i="44"/>
  <c r="R274" i="44"/>
  <c r="U274" i="44"/>
  <c r="P275" i="44"/>
  <c r="R275" i="44"/>
  <c r="U275" i="44"/>
  <c r="P276" i="44"/>
  <c r="R276" i="44"/>
  <c r="U276" i="44"/>
  <c r="P277" i="44"/>
  <c r="R277" i="44"/>
  <c r="U277" i="44"/>
  <c r="P278" i="44"/>
  <c r="R278" i="44"/>
  <c r="U278" i="44"/>
  <c r="P279" i="44"/>
  <c r="R279" i="44"/>
  <c r="U279" i="44"/>
  <c r="P280" i="44"/>
  <c r="R280" i="44"/>
  <c r="U280" i="44"/>
  <c r="P281" i="44"/>
  <c r="R281" i="44"/>
  <c r="U281" i="44"/>
  <c r="P282" i="44"/>
  <c r="R282" i="44"/>
  <c r="U282" i="44"/>
  <c r="P283" i="44"/>
  <c r="R283" i="44"/>
  <c r="U283" i="44"/>
  <c r="P284" i="44"/>
  <c r="R284" i="44"/>
  <c r="U284" i="44"/>
  <c r="P285" i="44"/>
  <c r="R285" i="44"/>
  <c r="U285" i="44"/>
  <c r="P286" i="44"/>
  <c r="R286" i="44"/>
  <c r="U286" i="44"/>
  <c r="P287" i="44"/>
  <c r="R287" i="44"/>
  <c r="U287" i="44"/>
  <c r="P288" i="44"/>
  <c r="R288" i="44"/>
  <c r="U288" i="44"/>
  <c r="P289" i="44"/>
  <c r="R289" i="44"/>
  <c r="U289" i="44"/>
  <c r="P290" i="44"/>
  <c r="R290" i="44"/>
  <c r="U290" i="44"/>
  <c r="P291" i="44"/>
  <c r="R291" i="44"/>
  <c r="U291" i="44"/>
  <c r="P292" i="44"/>
  <c r="R292" i="44"/>
  <c r="U292" i="44"/>
  <c r="P293" i="44"/>
  <c r="R293" i="44"/>
  <c r="U293" i="44"/>
  <c r="P294" i="44"/>
  <c r="R294" i="44"/>
  <c r="U294" i="44"/>
  <c r="P295" i="44"/>
  <c r="R295" i="44"/>
  <c r="U295" i="44"/>
  <c r="P296" i="44"/>
  <c r="R296" i="44"/>
  <c r="U296" i="44"/>
  <c r="P297" i="44"/>
  <c r="R297" i="44"/>
  <c r="U297" i="44"/>
  <c r="P298" i="44"/>
  <c r="R298" i="44"/>
  <c r="U298" i="44"/>
  <c r="P299" i="44"/>
  <c r="R299" i="44"/>
  <c r="U299" i="44"/>
  <c r="P300" i="44"/>
  <c r="R300" i="44"/>
  <c r="U300" i="44"/>
  <c r="P301" i="44"/>
  <c r="R301" i="44"/>
  <c r="U301" i="44"/>
  <c r="P302" i="44"/>
  <c r="R302" i="44"/>
  <c r="U302" i="44"/>
  <c r="P303" i="44"/>
  <c r="R303" i="44"/>
  <c r="U303" i="44"/>
  <c r="P304" i="44"/>
  <c r="R304" i="44"/>
  <c r="U304" i="44"/>
  <c r="P305" i="44"/>
  <c r="R305" i="44"/>
  <c r="U305" i="44"/>
  <c r="P306" i="44"/>
  <c r="R306" i="44"/>
  <c r="U306" i="44"/>
  <c r="P307" i="44"/>
  <c r="R307" i="44"/>
  <c r="U307" i="44"/>
  <c r="P308" i="44"/>
  <c r="R308" i="44"/>
  <c r="U308" i="44"/>
  <c r="P309" i="44"/>
  <c r="R309" i="44"/>
  <c r="U309" i="44"/>
  <c r="P310" i="44"/>
  <c r="R310" i="44"/>
  <c r="U310" i="44"/>
  <c r="P311" i="44"/>
  <c r="R311" i="44"/>
  <c r="U311" i="44"/>
  <c r="P312" i="44"/>
  <c r="R312" i="44"/>
  <c r="U312" i="44"/>
  <c r="P313" i="44"/>
  <c r="R313" i="44"/>
  <c r="U313" i="44"/>
  <c r="P314" i="44"/>
  <c r="R314" i="44"/>
  <c r="U314" i="44"/>
  <c r="P315" i="44"/>
  <c r="R315" i="44"/>
  <c r="U315" i="44"/>
  <c r="P316" i="44"/>
  <c r="R316" i="44"/>
  <c r="U316" i="44"/>
  <c r="P317" i="44"/>
  <c r="R317" i="44"/>
  <c r="U317" i="44"/>
  <c r="P318" i="44"/>
  <c r="R318" i="44"/>
  <c r="U318" i="44"/>
  <c r="P319" i="44"/>
  <c r="R319" i="44"/>
  <c r="U319" i="44"/>
  <c r="P320" i="44"/>
  <c r="R320" i="44"/>
  <c r="U320" i="44"/>
  <c r="P321" i="44"/>
  <c r="R321" i="44"/>
  <c r="U321" i="44"/>
  <c r="P322" i="44"/>
  <c r="R322" i="44"/>
  <c r="U322" i="44"/>
  <c r="P323" i="44"/>
  <c r="R323" i="44"/>
  <c r="U323" i="44"/>
  <c r="P324" i="44"/>
  <c r="R324" i="44"/>
  <c r="U324" i="44"/>
  <c r="P325" i="44"/>
  <c r="R325" i="44"/>
  <c r="U325" i="44"/>
  <c r="P326" i="44"/>
  <c r="R326" i="44"/>
  <c r="U326" i="44"/>
  <c r="P327" i="44"/>
  <c r="R327" i="44"/>
  <c r="U327" i="44"/>
  <c r="P328" i="44"/>
  <c r="R328" i="44"/>
  <c r="U328" i="44"/>
  <c r="P329" i="44"/>
  <c r="R329" i="44"/>
  <c r="U329" i="44"/>
  <c r="P330" i="44"/>
  <c r="R330" i="44"/>
  <c r="U330" i="44"/>
  <c r="P331" i="44"/>
  <c r="R331" i="44"/>
  <c r="U331" i="44"/>
  <c r="P332" i="44"/>
  <c r="R332" i="44"/>
  <c r="U332" i="44"/>
  <c r="P333" i="44"/>
  <c r="R333" i="44"/>
  <c r="U333" i="44"/>
  <c r="P334" i="44"/>
  <c r="R334" i="44"/>
  <c r="U334" i="44"/>
  <c r="P335" i="44"/>
  <c r="R335" i="44"/>
  <c r="U335" i="44"/>
  <c r="P336" i="44"/>
  <c r="R336" i="44"/>
  <c r="U336" i="44"/>
  <c r="P337" i="44"/>
  <c r="R337" i="44"/>
  <c r="U337" i="44"/>
  <c r="P338" i="44"/>
  <c r="R338" i="44"/>
  <c r="U338" i="44"/>
  <c r="P339" i="44"/>
  <c r="R339" i="44"/>
  <c r="U339" i="44"/>
  <c r="P340" i="44"/>
  <c r="R340" i="44"/>
  <c r="U340" i="44"/>
  <c r="P341" i="44"/>
  <c r="R341" i="44"/>
  <c r="U341" i="44"/>
  <c r="P342" i="44"/>
  <c r="R342" i="44"/>
  <c r="U342" i="44"/>
  <c r="P343" i="44"/>
  <c r="R343" i="44"/>
  <c r="U343" i="44"/>
  <c r="P344" i="44"/>
  <c r="R344" i="44"/>
  <c r="U344" i="44"/>
  <c r="P345" i="44"/>
  <c r="R345" i="44"/>
  <c r="U345" i="44"/>
  <c r="P346" i="44"/>
  <c r="R346" i="44"/>
  <c r="U346" i="44"/>
  <c r="P347" i="44"/>
  <c r="R347" i="44"/>
  <c r="U347" i="44"/>
  <c r="P348" i="44"/>
  <c r="R348" i="44"/>
  <c r="U348" i="44"/>
  <c r="P349" i="44"/>
  <c r="R349" i="44"/>
  <c r="U349" i="44"/>
  <c r="P350" i="44"/>
  <c r="R350" i="44"/>
  <c r="U350" i="44"/>
  <c r="P351" i="44"/>
  <c r="R351" i="44"/>
  <c r="U351" i="44"/>
  <c r="P352" i="44"/>
  <c r="R352" i="44"/>
  <c r="U352" i="44"/>
  <c r="P353" i="44"/>
  <c r="R353" i="44"/>
  <c r="U353" i="44"/>
  <c r="P354" i="44"/>
  <c r="R354" i="44"/>
  <c r="U354" i="44"/>
  <c r="P355" i="44"/>
  <c r="R355" i="44"/>
  <c r="U355" i="44"/>
  <c r="P356" i="44"/>
  <c r="R356" i="44"/>
  <c r="U356" i="44"/>
  <c r="P357" i="44"/>
  <c r="R357" i="44"/>
  <c r="U357" i="44"/>
  <c r="P358" i="44"/>
  <c r="R358" i="44"/>
  <c r="U358" i="44"/>
  <c r="P359" i="44"/>
  <c r="R359" i="44"/>
  <c r="U359" i="44"/>
  <c r="P360" i="44"/>
  <c r="R360" i="44"/>
  <c r="U360" i="44"/>
  <c r="P361" i="44"/>
  <c r="R361" i="44"/>
  <c r="U361" i="44"/>
  <c r="P362" i="44"/>
  <c r="R362" i="44"/>
  <c r="U362" i="44"/>
  <c r="P363" i="44"/>
  <c r="R363" i="44"/>
  <c r="U363" i="44"/>
  <c r="P364" i="44"/>
  <c r="R364" i="44"/>
  <c r="U364" i="44"/>
  <c r="P365" i="44"/>
  <c r="R365" i="44"/>
  <c r="U365" i="44"/>
  <c r="P366" i="44"/>
  <c r="R366" i="44"/>
  <c r="U366" i="44"/>
  <c r="P367" i="44"/>
  <c r="R367" i="44"/>
  <c r="U367" i="44"/>
  <c r="P368" i="44"/>
  <c r="R368" i="44"/>
  <c r="U368" i="44"/>
  <c r="P369" i="44"/>
  <c r="R369" i="44"/>
  <c r="U369" i="44"/>
  <c r="P370" i="44"/>
  <c r="R370" i="44"/>
  <c r="U370" i="44"/>
  <c r="P371" i="44"/>
  <c r="R371" i="44"/>
  <c r="U371" i="44"/>
  <c r="P372" i="44"/>
  <c r="R372" i="44"/>
  <c r="U372" i="44"/>
  <c r="P373" i="44"/>
  <c r="R373" i="44"/>
  <c r="U373" i="44"/>
  <c r="P374" i="44"/>
  <c r="R374" i="44"/>
  <c r="U374" i="44"/>
  <c r="P375" i="44"/>
  <c r="R375" i="44"/>
  <c r="U375" i="44"/>
  <c r="P376" i="44"/>
  <c r="R376" i="44"/>
  <c r="U376" i="44"/>
  <c r="P377" i="44"/>
  <c r="R377" i="44"/>
  <c r="U377" i="44"/>
  <c r="P378" i="44"/>
  <c r="R378" i="44"/>
  <c r="U378" i="44"/>
  <c r="P379" i="44"/>
  <c r="R379" i="44"/>
  <c r="U379" i="44"/>
  <c r="P380" i="44"/>
  <c r="R380" i="44"/>
  <c r="U380" i="44"/>
  <c r="P381" i="44"/>
  <c r="R381" i="44"/>
  <c r="U381" i="44"/>
  <c r="P382" i="44"/>
  <c r="R382" i="44"/>
  <c r="U382" i="44"/>
  <c r="P383" i="44"/>
  <c r="R383" i="44"/>
  <c r="U383" i="44"/>
  <c r="P384" i="44"/>
  <c r="R384" i="44"/>
  <c r="U384" i="44"/>
  <c r="P385" i="44"/>
  <c r="R385" i="44"/>
  <c r="U385" i="44"/>
  <c r="P386" i="44"/>
  <c r="R386" i="44"/>
  <c r="U386" i="44"/>
  <c r="P387" i="44"/>
  <c r="R387" i="44"/>
  <c r="U387" i="44"/>
  <c r="P388" i="44"/>
  <c r="R388" i="44"/>
  <c r="U388" i="44"/>
  <c r="P389" i="44"/>
  <c r="R389" i="44"/>
  <c r="U389" i="44"/>
  <c r="P390" i="44"/>
  <c r="R390" i="44"/>
  <c r="U390" i="44"/>
  <c r="P391" i="44"/>
  <c r="R391" i="44"/>
  <c r="U391" i="44"/>
  <c r="P392" i="44"/>
  <c r="R392" i="44"/>
  <c r="U392" i="44"/>
  <c r="P393" i="44"/>
  <c r="R393" i="44"/>
  <c r="U393" i="44"/>
  <c r="P394" i="44"/>
  <c r="R394" i="44"/>
  <c r="U394" i="44"/>
  <c r="P395" i="44"/>
  <c r="R395" i="44"/>
  <c r="U395" i="44"/>
  <c r="P396" i="44"/>
  <c r="R396" i="44"/>
  <c r="U396" i="44"/>
  <c r="P397" i="44"/>
  <c r="R397" i="44"/>
  <c r="U397" i="44"/>
  <c r="P398" i="44"/>
  <c r="R398" i="44"/>
  <c r="U398" i="44"/>
  <c r="P399" i="44"/>
  <c r="R399" i="44"/>
  <c r="U399" i="44"/>
  <c r="P400" i="44"/>
  <c r="R400" i="44"/>
  <c r="U400" i="44"/>
  <c r="P401" i="44"/>
  <c r="R401" i="44"/>
  <c r="U401" i="44"/>
  <c r="P402" i="44"/>
  <c r="R402" i="44"/>
  <c r="U402" i="44"/>
  <c r="P403" i="44"/>
  <c r="R403" i="44"/>
  <c r="U403" i="44"/>
  <c r="P404" i="44"/>
  <c r="R404" i="44"/>
  <c r="U404" i="44"/>
  <c r="P405" i="44"/>
  <c r="R405" i="44"/>
  <c r="U405" i="44"/>
  <c r="P406" i="44"/>
  <c r="R406" i="44"/>
  <c r="U406" i="44"/>
  <c r="P407" i="44"/>
  <c r="R407" i="44"/>
  <c r="U407" i="44"/>
  <c r="P408" i="44"/>
  <c r="R408" i="44"/>
  <c r="U408" i="44"/>
  <c r="P409" i="44"/>
  <c r="R409" i="44"/>
  <c r="U409" i="44"/>
  <c r="P410" i="44"/>
  <c r="R410" i="44"/>
  <c r="U410" i="44"/>
  <c r="P411" i="44"/>
  <c r="R411" i="44"/>
  <c r="U411" i="44"/>
  <c r="P412" i="44"/>
  <c r="R412" i="44"/>
  <c r="U412" i="44"/>
  <c r="P413" i="44"/>
  <c r="R413" i="44"/>
  <c r="U413" i="44"/>
  <c r="P414" i="44"/>
  <c r="R414" i="44"/>
  <c r="U414" i="44"/>
  <c r="P415" i="44"/>
  <c r="R415" i="44"/>
  <c r="U415" i="44"/>
  <c r="P416" i="44"/>
  <c r="R416" i="44"/>
  <c r="U416" i="44"/>
  <c r="P417" i="44"/>
  <c r="R417" i="44"/>
  <c r="U417" i="44"/>
  <c r="P418" i="44"/>
  <c r="R418" i="44"/>
  <c r="U418" i="44"/>
  <c r="P419" i="44"/>
  <c r="R419" i="44"/>
  <c r="U419" i="44"/>
  <c r="P420" i="44"/>
  <c r="R420" i="44"/>
  <c r="U420" i="44"/>
  <c r="P421" i="44"/>
  <c r="R421" i="44"/>
  <c r="U421" i="44"/>
  <c r="P422" i="44"/>
  <c r="R422" i="44"/>
  <c r="U422" i="44"/>
  <c r="P423" i="44"/>
  <c r="R423" i="44"/>
  <c r="U423" i="44"/>
  <c r="P424" i="44"/>
  <c r="R424" i="44"/>
  <c r="U424" i="44"/>
  <c r="P425" i="44"/>
  <c r="R425" i="44"/>
  <c r="U425" i="44"/>
  <c r="P426" i="44"/>
  <c r="R426" i="44"/>
  <c r="U426" i="44"/>
  <c r="P427" i="44"/>
  <c r="R427" i="44"/>
  <c r="U427" i="44"/>
  <c r="P428" i="44"/>
  <c r="R428" i="44"/>
  <c r="U428" i="44"/>
  <c r="P429" i="44"/>
  <c r="R429" i="44"/>
  <c r="U429" i="44"/>
  <c r="P430" i="44"/>
  <c r="R430" i="44"/>
  <c r="U430" i="44"/>
  <c r="P431" i="44"/>
  <c r="R431" i="44"/>
  <c r="U431" i="44"/>
  <c r="P432" i="44"/>
  <c r="R432" i="44"/>
  <c r="U432" i="44"/>
  <c r="P433" i="44"/>
  <c r="R433" i="44"/>
  <c r="U433" i="44"/>
  <c r="P434" i="44"/>
  <c r="R434" i="44"/>
  <c r="U434" i="44"/>
  <c r="P435" i="44"/>
  <c r="R435" i="44"/>
  <c r="U435" i="44"/>
  <c r="P436" i="44"/>
  <c r="R436" i="44"/>
  <c r="U436" i="44"/>
  <c r="P437" i="44"/>
  <c r="R437" i="44"/>
  <c r="U437" i="44"/>
  <c r="P438" i="44"/>
  <c r="R438" i="44"/>
  <c r="U438" i="44"/>
  <c r="P439" i="44"/>
  <c r="R439" i="44"/>
  <c r="U439" i="44"/>
  <c r="P440" i="44"/>
  <c r="R440" i="44"/>
  <c r="U440" i="44"/>
  <c r="P441" i="44"/>
  <c r="R441" i="44"/>
  <c r="U441" i="44"/>
  <c r="P442" i="44"/>
  <c r="R442" i="44"/>
  <c r="U442" i="44"/>
  <c r="P443" i="44"/>
  <c r="R443" i="44"/>
  <c r="U443" i="44"/>
  <c r="P444" i="44"/>
  <c r="R444" i="44"/>
  <c r="U444" i="44"/>
  <c r="P445" i="44"/>
  <c r="R445" i="44"/>
  <c r="U445" i="44"/>
  <c r="P446" i="44"/>
  <c r="R446" i="44"/>
  <c r="U446" i="44"/>
  <c r="P447" i="44"/>
  <c r="R447" i="44"/>
  <c r="U447" i="44"/>
  <c r="P448" i="44"/>
  <c r="R448" i="44"/>
  <c r="U448" i="44"/>
  <c r="P449" i="44"/>
  <c r="R449" i="44"/>
  <c r="U449" i="44"/>
  <c r="P450" i="44"/>
  <c r="R450" i="44"/>
  <c r="U450" i="44"/>
  <c r="P451" i="44"/>
  <c r="R451" i="44"/>
  <c r="U451" i="44"/>
  <c r="P452" i="44"/>
  <c r="R452" i="44"/>
  <c r="U452" i="44"/>
  <c r="P453" i="44"/>
  <c r="R453" i="44"/>
  <c r="U453" i="44"/>
  <c r="P454" i="44"/>
  <c r="R454" i="44"/>
  <c r="U454" i="44"/>
  <c r="P455" i="44"/>
  <c r="R455" i="44"/>
  <c r="U455" i="44"/>
  <c r="P456" i="44"/>
  <c r="R456" i="44"/>
  <c r="U456" i="44"/>
  <c r="P457" i="44"/>
  <c r="R457" i="44"/>
  <c r="U457" i="44"/>
  <c r="P458" i="44"/>
  <c r="R458" i="44"/>
  <c r="U458" i="44"/>
  <c r="P459" i="44"/>
  <c r="R459" i="44"/>
  <c r="U459" i="44"/>
  <c r="P460" i="44"/>
  <c r="R460" i="44"/>
  <c r="U460" i="44"/>
  <c r="P461" i="44"/>
  <c r="R461" i="44"/>
  <c r="U461" i="44"/>
  <c r="P462" i="44"/>
  <c r="R462" i="44"/>
  <c r="U462" i="44"/>
  <c r="P463" i="44"/>
  <c r="R463" i="44"/>
  <c r="U463" i="44"/>
  <c r="P464" i="44"/>
  <c r="R464" i="44"/>
  <c r="U464" i="44"/>
  <c r="P465" i="44"/>
  <c r="R465" i="44"/>
  <c r="U465" i="44"/>
  <c r="P466" i="44"/>
  <c r="R466" i="44"/>
  <c r="U466" i="44"/>
  <c r="P467" i="44"/>
  <c r="R467" i="44"/>
  <c r="U467" i="44"/>
  <c r="P468" i="44"/>
  <c r="R468" i="44"/>
  <c r="U468" i="44"/>
  <c r="P469" i="44"/>
  <c r="R469" i="44"/>
  <c r="U469" i="44"/>
  <c r="P470" i="44"/>
  <c r="R470" i="44"/>
  <c r="U470" i="44"/>
  <c r="P471" i="44"/>
  <c r="R471" i="44"/>
  <c r="U471" i="44"/>
  <c r="P472" i="44"/>
  <c r="R472" i="44"/>
  <c r="U472" i="44"/>
  <c r="P473" i="44"/>
  <c r="R473" i="44"/>
  <c r="U473" i="44"/>
  <c r="P474" i="44"/>
  <c r="R474" i="44"/>
  <c r="U474" i="44"/>
  <c r="P475" i="44"/>
  <c r="R475" i="44"/>
  <c r="U475" i="44"/>
  <c r="P476" i="44"/>
  <c r="R476" i="44"/>
  <c r="U476" i="44"/>
  <c r="P477" i="44"/>
  <c r="R477" i="44"/>
  <c r="U477" i="44"/>
  <c r="P478" i="44"/>
  <c r="R478" i="44"/>
  <c r="U478" i="44"/>
  <c r="P479" i="44"/>
  <c r="R479" i="44"/>
  <c r="U479" i="44"/>
  <c r="P480" i="44"/>
  <c r="R480" i="44"/>
  <c r="U480" i="44"/>
  <c r="P481" i="44"/>
  <c r="R481" i="44"/>
  <c r="U481" i="44"/>
  <c r="P482" i="44"/>
  <c r="R482" i="44"/>
  <c r="U482" i="44"/>
  <c r="P483" i="44"/>
  <c r="R483" i="44"/>
  <c r="U483" i="44"/>
  <c r="P484" i="44"/>
  <c r="R484" i="44"/>
  <c r="U484" i="44"/>
  <c r="P485" i="44"/>
  <c r="R485" i="44"/>
  <c r="U485" i="44"/>
  <c r="P486" i="44"/>
  <c r="R486" i="44"/>
  <c r="U486" i="44"/>
  <c r="P487" i="44"/>
  <c r="R487" i="44"/>
  <c r="U487" i="44"/>
  <c r="P488" i="44"/>
  <c r="R488" i="44"/>
  <c r="U488" i="44"/>
  <c r="P489" i="44"/>
  <c r="R489" i="44"/>
  <c r="U489" i="44"/>
  <c r="P490" i="44"/>
  <c r="R490" i="44"/>
  <c r="U490" i="44"/>
  <c r="P491" i="44"/>
  <c r="R491" i="44"/>
  <c r="U491" i="44"/>
  <c r="P492" i="44"/>
  <c r="R492" i="44"/>
  <c r="U492" i="44"/>
  <c r="P493" i="44"/>
  <c r="R493" i="44"/>
  <c r="U493" i="44"/>
  <c r="P494" i="44"/>
  <c r="R494" i="44"/>
  <c r="U494" i="44"/>
  <c r="P495" i="44"/>
  <c r="R495" i="44"/>
  <c r="U495" i="44"/>
  <c r="P496" i="44"/>
  <c r="R496" i="44"/>
  <c r="U496" i="44"/>
  <c r="P497" i="44"/>
  <c r="R497" i="44"/>
  <c r="U497" i="44"/>
  <c r="P498" i="44"/>
  <c r="R498" i="44"/>
  <c r="U498" i="44"/>
  <c r="P499" i="44"/>
  <c r="R499" i="44"/>
  <c r="U499" i="44"/>
  <c r="P500" i="44"/>
  <c r="R500" i="44"/>
  <c r="U500" i="44"/>
  <c r="P501" i="44"/>
  <c r="R501" i="44"/>
  <c r="U501" i="44"/>
  <c r="P502" i="44"/>
  <c r="R502" i="44"/>
  <c r="U502" i="44"/>
  <c r="P503" i="44"/>
  <c r="R503" i="44"/>
  <c r="U503" i="44"/>
  <c r="P504" i="44"/>
  <c r="R504" i="44"/>
  <c r="U504" i="44"/>
  <c r="P505" i="44"/>
  <c r="R505" i="44"/>
  <c r="U505" i="44"/>
  <c r="P506" i="44"/>
  <c r="R506" i="44"/>
  <c r="U506" i="44"/>
  <c r="P507" i="44"/>
  <c r="R507" i="44"/>
  <c r="U507" i="44"/>
  <c r="P508" i="44"/>
  <c r="R508" i="44"/>
  <c r="U508" i="44"/>
  <c r="P509" i="44"/>
  <c r="R509" i="44"/>
  <c r="U509" i="44"/>
  <c r="P510" i="44"/>
  <c r="R510" i="44"/>
  <c r="U510" i="44"/>
  <c r="P511" i="44"/>
  <c r="R511" i="44"/>
  <c r="U511" i="44"/>
  <c r="P512" i="44"/>
  <c r="R512" i="44"/>
  <c r="U512" i="44"/>
  <c r="P513" i="44"/>
  <c r="R513" i="44"/>
  <c r="U513" i="44"/>
  <c r="P514" i="44"/>
  <c r="R514" i="44"/>
  <c r="U514" i="44"/>
  <c r="P515" i="44"/>
  <c r="R515" i="44"/>
  <c r="U515" i="44"/>
  <c r="T76" i="44"/>
  <c r="X76" i="44"/>
  <c r="O77" i="44"/>
  <c r="Q77" i="44"/>
  <c r="S77" i="44"/>
  <c r="O78" i="44"/>
  <c r="Q78" i="44"/>
  <c r="S78" i="44"/>
  <c r="O79" i="44"/>
  <c r="Q79" i="44"/>
  <c r="S79" i="44"/>
  <c r="O80" i="44"/>
  <c r="Q80" i="44"/>
  <c r="S80" i="44"/>
  <c r="O81" i="44"/>
  <c r="Q81" i="44"/>
  <c r="S81" i="44"/>
  <c r="O82" i="44"/>
  <c r="Q82" i="44"/>
  <c r="S82" i="44"/>
  <c r="O83" i="44"/>
  <c r="Q83" i="44"/>
  <c r="S83" i="44"/>
  <c r="O84" i="44"/>
  <c r="Q84" i="44"/>
  <c r="S84" i="44"/>
  <c r="O85" i="44"/>
  <c r="Q85" i="44"/>
  <c r="S85" i="44"/>
  <c r="O86" i="44"/>
  <c r="Q86" i="44"/>
  <c r="S86" i="44"/>
  <c r="O87" i="44"/>
  <c r="Q87" i="44"/>
  <c r="S87" i="44"/>
  <c r="O88" i="44"/>
  <c r="Q88" i="44"/>
  <c r="S88" i="44"/>
  <c r="O89" i="44"/>
  <c r="Q89" i="44"/>
  <c r="S89" i="44"/>
  <c r="O90" i="44"/>
  <c r="Q90" i="44"/>
  <c r="S90" i="44"/>
  <c r="O91" i="44"/>
  <c r="Q91" i="44"/>
  <c r="S91" i="44"/>
  <c r="O92" i="44"/>
  <c r="Q92" i="44"/>
  <c r="S92" i="44"/>
  <c r="O93" i="44"/>
  <c r="Q93" i="44"/>
  <c r="S93" i="44"/>
  <c r="O94" i="44"/>
  <c r="Q94" i="44"/>
  <c r="S94" i="44"/>
  <c r="O95" i="44"/>
  <c r="Q95" i="44"/>
  <c r="S95" i="44"/>
  <c r="O96" i="44"/>
  <c r="Q96" i="44"/>
  <c r="S96" i="44"/>
  <c r="O97" i="44"/>
  <c r="Q97" i="44"/>
  <c r="S97" i="44"/>
  <c r="O98" i="44"/>
  <c r="Q98" i="44"/>
  <c r="S98" i="44"/>
  <c r="O99" i="44"/>
  <c r="Q99" i="44"/>
  <c r="S99" i="44"/>
  <c r="O100" i="44"/>
  <c r="Q100" i="44"/>
  <c r="S100" i="44"/>
  <c r="O101" i="44"/>
  <c r="Q101" i="44"/>
  <c r="S101" i="44"/>
  <c r="O102" i="44"/>
  <c r="Q102" i="44"/>
  <c r="S102" i="44"/>
  <c r="O103" i="44"/>
  <c r="Q103" i="44"/>
  <c r="S103" i="44"/>
  <c r="O104" i="44"/>
  <c r="Q104" i="44"/>
  <c r="S104" i="44"/>
  <c r="O105" i="44"/>
  <c r="Q105" i="44"/>
  <c r="S105" i="44"/>
  <c r="O106" i="44"/>
  <c r="Q106" i="44"/>
  <c r="S106" i="44"/>
  <c r="O107" i="44"/>
  <c r="Q107" i="44"/>
  <c r="S107" i="44"/>
  <c r="O108" i="44"/>
  <c r="Q108" i="44"/>
  <c r="S108" i="44"/>
  <c r="O109" i="44"/>
  <c r="Q109" i="44"/>
  <c r="S109" i="44"/>
  <c r="O110" i="44"/>
  <c r="Q110" i="44"/>
  <c r="S110" i="44"/>
  <c r="O111" i="44"/>
  <c r="Q111" i="44"/>
  <c r="S111" i="44"/>
  <c r="O112" i="44"/>
  <c r="Q112" i="44"/>
  <c r="S112" i="44"/>
  <c r="O113" i="44"/>
  <c r="Q113" i="44"/>
  <c r="S113" i="44"/>
  <c r="O114" i="44"/>
  <c r="Q114" i="44"/>
  <c r="S114" i="44"/>
  <c r="O115" i="44"/>
  <c r="Q115" i="44"/>
  <c r="S115" i="44"/>
  <c r="O116" i="44"/>
  <c r="Q116" i="44"/>
  <c r="S116" i="44"/>
  <c r="O117" i="44"/>
  <c r="Q117" i="44"/>
  <c r="S117" i="44"/>
  <c r="O118" i="44"/>
  <c r="Q118" i="44"/>
  <c r="S118" i="44"/>
  <c r="O119" i="44"/>
  <c r="Q119" i="44"/>
  <c r="S119" i="44"/>
  <c r="O120" i="44"/>
  <c r="Q120" i="44"/>
  <c r="S120" i="44"/>
  <c r="O121" i="44"/>
  <c r="Q121" i="44"/>
  <c r="S121" i="44"/>
  <c r="O122" i="44"/>
  <c r="Q122" i="44"/>
  <c r="S122" i="44"/>
  <c r="O123" i="44"/>
  <c r="Q123" i="44"/>
  <c r="S123" i="44"/>
  <c r="O124" i="44"/>
  <c r="Q124" i="44"/>
  <c r="S124" i="44"/>
  <c r="O125" i="44"/>
  <c r="Q125" i="44"/>
  <c r="S125" i="44"/>
  <c r="O126" i="44"/>
  <c r="Q126" i="44"/>
  <c r="S126" i="44"/>
  <c r="O127" i="44"/>
  <c r="Q127" i="44"/>
  <c r="S127" i="44"/>
  <c r="O128" i="44"/>
  <c r="Q128" i="44"/>
  <c r="S128" i="44"/>
  <c r="O129" i="44"/>
  <c r="Q129" i="44"/>
  <c r="S129" i="44"/>
  <c r="O130" i="44"/>
  <c r="Q130" i="44"/>
  <c r="S130" i="44"/>
  <c r="O131" i="44"/>
  <c r="Q131" i="44"/>
  <c r="S131" i="44"/>
  <c r="O132" i="44"/>
  <c r="Q132" i="44"/>
  <c r="S132" i="44"/>
  <c r="O133" i="44"/>
  <c r="Q133" i="44"/>
  <c r="S133" i="44"/>
  <c r="O134" i="44"/>
  <c r="Q134" i="44"/>
  <c r="S134" i="44"/>
  <c r="O135" i="44"/>
  <c r="Q135" i="44"/>
  <c r="S135" i="44"/>
  <c r="O136" i="44"/>
  <c r="Q136" i="44"/>
  <c r="S136" i="44"/>
  <c r="O137" i="44"/>
  <c r="Q137" i="44"/>
  <c r="S137" i="44"/>
  <c r="O138" i="44"/>
  <c r="Q138" i="44"/>
  <c r="S138" i="44"/>
  <c r="O139" i="44"/>
  <c r="Q139" i="44"/>
  <c r="S139" i="44"/>
  <c r="O140" i="44"/>
  <c r="Q140" i="44"/>
  <c r="S140" i="44"/>
  <c r="O141" i="44"/>
  <c r="Q141" i="44"/>
  <c r="S141" i="44"/>
  <c r="O142" i="44"/>
  <c r="Q142" i="44"/>
  <c r="S142" i="44"/>
  <c r="O143" i="44"/>
  <c r="Q143" i="44"/>
  <c r="S143" i="44"/>
  <c r="O144" i="44"/>
  <c r="Q144" i="44"/>
  <c r="S144" i="44"/>
  <c r="O145" i="44"/>
  <c r="Q145" i="44"/>
  <c r="S145" i="44"/>
  <c r="O146" i="44"/>
  <c r="Q146" i="44"/>
  <c r="S146" i="44"/>
  <c r="O147" i="44"/>
  <c r="Q147" i="44"/>
  <c r="S147" i="44"/>
  <c r="O148" i="44"/>
  <c r="Q148" i="44"/>
  <c r="S148" i="44"/>
  <c r="O149" i="44"/>
  <c r="Q149" i="44"/>
  <c r="S149" i="44"/>
  <c r="O150" i="44"/>
  <c r="Q150" i="44"/>
  <c r="S150" i="44"/>
  <c r="O151" i="44"/>
  <c r="Q151" i="44"/>
  <c r="S151" i="44"/>
  <c r="O152" i="44"/>
  <c r="Q152" i="44"/>
  <c r="S152" i="44"/>
  <c r="O153" i="44"/>
  <c r="Q153" i="44"/>
  <c r="S153" i="44"/>
  <c r="O154" i="44"/>
  <c r="Q154" i="44"/>
  <c r="S154" i="44"/>
  <c r="O155" i="44"/>
  <c r="Q155" i="44"/>
  <c r="S155" i="44"/>
  <c r="O156" i="44"/>
  <c r="Q156" i="44"/>
  <c r="S156" i="44"/>
  <c r="O157" i="44"/>
  <c r="Q157" i="44"/>
  <c r="S157" i="44"/>
  <c r="O158" i="44"/>
  <c r="Q158" i="44"/>
  <c r="S158" i="44"/>
  <c r="O159" i="44"/>
  <c r="Q159" i="44"/>
  <c r="S159" i="44"/>
  <c r="O160" i="44"/>
  <c r="Q160" i="44"/>
  <c r="S160" i="44"/>
  <c r="O161" i="44"/>
  <c r="Q161" i="44"/>
  <c r="S161" i="44"/>
  <c r="O162" i="44"/>
  <c r="Q162" i="44"/>
  <c r="S162" i="44"/>
  <c r="O163" i="44"/>
  <c r="Q163" i="44"/>
  <c r="S163" i="44"/>
  <c r="O164" i="44"/>
  <c r="Q164" i="44"/>
  <c r="S164" i="44"/>
  <c r="O165" i="44"/>
  <c r="Q165" i="44"/>
  <c r="S165" i="44"/>
  <c r="O166" i="44"/>
  <c r="Q166" i="44"/>
  <c r="S166" i="44"/>
  <c r="O167" i="44"/>
  <c r="Q167" i="44"/>
  <c r="S167" i="44"/>
  <c r="O168" i="44"/>
  <c r="Q168" i="44"/>
  <c r="S168" i="44"/>
  <c r="O169" i="44"/>
  <c r="Q169" i="44"/>
  <c r="S169" i="44"/>
  <c r="O170" i="44"/>
  <c r="Q170" i="44"/>
  <c r="S170" i="44"/>
  <c r="O171" i="44"/>
  <c r="Q171" i="44"/>
  <c r="S171" i="44"/>
  <c r="O172" i="44"/>
  <c r="Q172" i="44"/>
  <c r="S172" i="44"/>
  <c r="O173" i="44"/>
  <c r="Q173" i="44"/>
  <c r="S173" i="44"/>
  <c r="O174" i="44"/>
  <c r="Q174" i="44"/>
  <c r="S174" i="44"/>
  <c r="O175" i="44"/>
  <c r="Q175" i="44"/>
  <c r="S175" i="44"/>
  <c r="O176" i="44"/>
  <c r="Q176" i="44"/>
  <c r="S176" i="44"/>
  <c r="O177" i="44"/>
  <c r="Q177" i="44"/>
  <c r="S177" i="44"/>
  <c r="O178" i="44"/>
  <c r="Q178" i="44"/>
  <c r="S178" i="44"/>
  <c r="O179" i="44"/>
  <c r="Q179" i="44"/>
  <c r="S179" i="44"/>
  <c r="O180" i="44"/>
  <c r="Q180" i="44"/>
  <c r="S180" i="44"/>
  <c r="O181" i="44"/>
  <c r="Q181" i="44"/>
  <c r="S181" i="44"/>
  <c r="O182" i="44"/>
  <c r="Q182" i="44"/>
  <c r="S182" i="44"/>
  <c r="O183" i="44"/>
  <c r="Q183" i="44"/>
  <c r="S183" i="44"/>
  <c r="O184" i="44"/>
  <c r="Q184" i="44"/>
  <c r="S184" i="44"/>
  <c r="O185" i="44"/>
  <c r="Q185" i="44"/>
  <c r="S185" i="44"/>
  <c r="O186" i="44"/>
  <c r="Q186" i="44"/>
  <c r="S186" i="44"/>
  <c r="O187" i="44"/>
  <c r="Q187" i="44"/>
  <c r="S187" i="44"/>
  <c r="O188" i="44"/>
  <c r="Q188" i="44"/>
  <c r="S188" i="44"/>
  <c r="O189" i="44"/>
  <c r="Q189" i="44"/>
  <c r="S189" i="44"/>
  <c r="O190" i="44"/>
  <c r="Q190" i="44"/>
  <c r="S190" i="44"/>
  <c r="O191" i="44"/>
  <c r="Q191" i="44"/>
  <c r="S191" i="44"/>
  <c r="O192" i="44"/>
  <c r="Q192" i="44"/>
  <c r="S192" i="44"/>
  <c r="O193" i="44"/>
  <c r="Q193" i="44"/>
  <c r="S193" i="44"/>
  <c r="O194" i="44"/>
  <c r="Q194" i="44"/>
  <c r="S194" i="44"/>
  <c r="O195" i="44"/>
  <c r="Q195" i="44"/>
  <c r="S195" i="44"/>
  <c r="O196" i="44"/>
  <c r="Q196" i="44"/>
  <c r="S196" i="44"/>
  <c r="O197" i="44"/>
  <c r="Q197" i="44"/>
  <c r="S197" i="44"/>
  <c r="O198" i="44"/>
  <c r="Q198" i="44"/>
  <c r="S198" i="44"/>
  <c r="O199" i="44"/>
  <c r="Q199" i="44"/>
  <c r="S199" i="44"/>
  <c r="O200" i="44"/>
  <c r="Q200" i="44"/>
  <c r="S200" i="44"/>
  <c r="O201" i="44"/>
  <c r="Q201" i="44"/>
  <c r="S201" i="44"/>
  <c r="O202" i="44"/>
  <c r="Q202" i="44"/>
  <c r="S202" i="44"/>
  <c r="O203" i="44"/>
  <c r="Q203" i="44"/>
  <c r="S203" i="44"/>
  <c r="O204" i="44"/>
  <c r="Q204" i="44"/>
  <c r="S204" i="44"/>
  <c r="O205" i="44"/>
  <c r="Q205" i="44"/>
  <c r="S205" i="44"/>
  <c r="O206" i="44"/>
  <c r="Q206" i="44"/>
  <c r="S206" i="44"/>
  <c r="O207" i="44"/>
  <c r="Q207" i="44"/>
  <c r="S207" i="44"/>
  <c r="O208" i="44"/>
  <c r="Q208" i="44"/>
  <c r="S208" i="44"/>
  <c r="O209" i="44"/>
  <c r="Q209" i="44"/>
  <c r="S209" i="44"/>
  <c r="O210" i="44"/>
  <c r="Q210" i="44"/>
  <c r="S210" i="44"/>
  <c r="O211" i="44"/>
  <c r="Q211" i="44"/>
  <c r="S211" i="44"/>
  <c r="O212" i="44"/>
  <c r="Q212" i="44"/>
  <c r="S212" i="44"/>
  <c r="O213" i="44"/>
  <c r="Q213" i="44"/>
  <c r="S213" i="44"/>
  <c r="O214" i="44"/>
  <c r="Q214" i="44"/>
  <c r="S214" i="44"/>
  <c r="O215" i="44"/>
  <c r="Q215" i="44"/>
  <c r="S215" i="44"/>
  <c r="O216" i="44"/>
  <c r="Q216" i="44"/>
  <c r="S216" i="44"/>
  <c r="O217" i="44"/>
  <c r="Q217" i="44"/>
  <c r="S217" i="44"/>
  <c r="O218" i="44"/>
  <c r="Q218" i="44"/>
  <c r="S218" i="44"/>
  <c r="O219" i="44"/>
  <c r="Q219" i="44"/>
  <c r="S219" i="44"/>
  <c r="O220" i="44"/>
  <c r="Q220" i="44"/>
  <c r="S220" i="44"/>
  <c r="O221" i="44"/>
  <c r="Q221" i="44"/>
  <c r="S221" i="44"/>
  <c r="O222" i="44"/>
  <c r="Q222" i="44"/>
  <c r="S222" i="44"/>
  <c r="O223" i="44"/>
  <c r="Q223" i="44"/>
  <c r="S223" i="44"/>
  <c r="O224" i="44"/>
  <c r="Q224" i="44"/>
  <c r="S224" i="44"/>
  <c r="O225" i="44"/>
  <c r="Q225" i="44"/>
  <c r="S225" i="44"/>
  <c r="O226" i="44"/>
  <c r="Q226" i="44"/>
  <c r="S226" i="44"/>
  <c r="O227" i="44"/>
  <c r="Q227" i="44"/>
  <c r="S227" i="44"/>
  <c r="O228" i="44"/>
  <c r="Q228" i="44"/>
  <c r="S228" i="44"/>
  <c r="O229" i="44"/>
  <c r="Q229" i="44"/>
  <c r="S229" i="44"/>
  <c r="O230" i="44"/>
  <c r="Q230" i="44"/>
  <c r="S230" i="44"/>
  <c r="O231" i="44"/>
  <c r="Q231" i="44"/>
  <c r="S231" i="44"/>
  <c r="O232" i="44"/>
  <c r="Q232" i="44"/>
  <c r="S232" i="44"/>
  <c r="O233" i="44"/>
  <c r="Q233" i="44"/>
  <c r="S233" i="44"/>
  <c r="O234" i="44"/>
  <c r="Q234" i="44"/>
  <c r="S234" i="44"/>
  <c r="O235" i="44"/>
  <c r="Q235" i="44"/>
  <c r="S235" i="44"/>
  <c r="O236" i="44"/>
  <c r="Q236" i="44"/>
  <c r="S236" i="44"/>
  <c r="O237" i="44"/>
  <c r="Q237" i="44"/>
  <c r="S237" i="44"/>
  <c r="O238" i="44"/>
  <c r="Q238" i="44"/>
  <c r="S238" i="44"/>
  <c r="O239" i="44"/>
  <c r="Q239" i="44"/>
  <c r="S239" i="44"/>
  <c r="O240" i="44"/>
  <c r="Q240" i="44"/>
  <c r="S240" i="44"/>
  <c r="O241" i="44"/>
  <c r="Q241" i="44"/>
  <c r="S241" i="44"/>
  <c r="O242" i="44"/>
  <c r="Q242" i="44"/>
  <c r="S242" i="44"/>
  <c r="O243" i="44"/>
  <c r="Q243" i="44"/>
  <c r="S243" i="44"/>
  <c r="O244" i="44"/>
  <c r="Q244" i="44"/>
  <c r="S244" i="44"/>
  <c r="O245" i="44"/>
  <c r="Q245" i="44"/>
  <c r="S245" i="44"/>
  <c r="O246" i="44"/>
  <c r="Q246" i="44"/>
  <c r="S246" i="44"/>
  <c r="O247" i="44"/>
  <c r="Q247" i="44"/>
  <c r="S247" i="44"/>
  <c r="O248" i="44"/>
  <c r="Q248" i="44"/>
  <c r="S248" i="44"/>
  <c r="O249" i="44"/>
  <c r="Q249" i="44"/>
  <c r="S249" i="44"/>
  <c r="O250" i="44"/>
  <c r="Q250" i="44"/>
  <c r="S250" i="44"/>
  <c r="O251" i="44"/>
  <c r="Q251" i="44"/>
  <c r="S251" i="44"/>
  <c r="O252" i="44"/>
  <c r="Q252" i="44"/>
  <c r="S252" i="44"/>
  <c r="O253" i="44"/>
  <c r="Q253" i="44"/>
  <c r="S253" i="44"/>
  <c r="O254" i="44"/>
  <c r="Q254" i="44"/>
  <c r="S254" i="44"/>
  <c r="O255" i="44"/>
  <c r="Q255" i="44"/>
  <c r="S255" i="44"/>
  <c r="O256" i="44"/>
  <c r="Q256" i="44"/>
  <c r="S256" i="44"/>
  <c r="O257" i="44"/>
  <c r="Q257" i="44"/>
  <c r="S257" i="44"/>
  <c r="O258" i="44"/>
  <c r="Q258" i="44"/>
  <c r="S258" i="44"/>
  <c r="O259" i="44"/>
  <c r="Q259" i="44"/>
  <c r="S259" i="44"/>
  <c r="O260" i="44"/>
  <c r="Q260" i="44"/>
  <c r="S260" i="44"/>
  <c r="O261" i="44"/>
  <c r="Q261" i="44"/>
  <c r="S261" i="44"/>
  <c r="O262" i="44"/>
  <c r="Q262" i="44"/>
  <c r="S262" i="44"/>
  <c r="O263" i="44"/>
  <c r="Q263" i="44"/>
  <c r="S263" i="44"/>
  <c r="O264" i="44"/>
  <c r="Q264" i="44"/>
  <c r="S264" i="44"/>
  <c r="O265" i="44"/>
  <c r="Q265" i="44"/>
  <c r="S265" i="44"/>
  <c r="O266" i="44"/>
  <c r="Q266" i="44"/>
  <c r="S266" i="44"/>
  <c r="O267" i="44"/>
  <c r="Q267" i="44"/>
  <c r="S267" i="44"/>
  <c r="O268" i="44"/>
  <c r="Q268" i="44"/>
  <c r="S268" i="44"/>
  <c r="O269" i="44"/>
  <c r="Q269" i="44"/>
  <c r="S269" i="44"/>
  <c r="O270" i="44"/>
  <c r="Q270" i="44"/>
  <c r="S270" i="44"/>
  <c r="O271" i="44"/>
  <c r="Q271" i="44"/>
  <c r="S271" i="44"/>
  <c r="O272" i="44"/>
  <c r="Q272" i="44"/>
  <c r="S272" i="44"/>
  <c r="O273" i="44"/>
  <c r="Q273" i="44"/>
  <c r="S273" i="44"/>
  <c r="O274" i="44"/>
  <c r="Q274" i="44"/>
  <c r="S274" i="44"/>
  <c r="O275" i="44"/>
  <c r="Q275" i="44"/>
  <c r="S275" i="44"/>
  <c r="O276" i="44"/>
  <c r="Q276" i="44"/>
  <c r="S276" i="44"/>
  <c r="O277" i="44"/>
  <c r="Q277" i="44"/>
  <c r="S277" i="44"/>
  <c r="O278" i="44"/>
  <c r="Q278" i="44"/>
  <c r="S278" i="44"/>
  <c r="O279" i="44"/>
  <c r="Q279" i="44"/>
  <c r="S279" i="44"/>
  <c r="O280" i="44"/>
  <c r="Q280" i="44"/>
  <c r="S280" i="44"/>
  <c r="O281" i="44"/>
  <c r="Q281" i="44"/>
  <c r="S281" i="44"/>
  <c r="O282" i="44"/>
  <c r="Q282" i="44"/>
  <c r="S282" i="44"/>
  <c r="O283" i="44"/>
  <c r="Q283" i="44"/>
  <c r="S283" i="44"/>
  <c r="O284" i="44"/>
  <c r="Q284" i="44"/>
  <c r="S284" i="44"/>
  <c r="O285" i="44"/>
  <c r="Q285" i="44"/>
  <c r="S285" i="44"/>
  <c r="O286" i="44"/>
  <c r="Q286" i="44"/>
  <c r="S286" i="44"/>
  <c r="O287" i="44"/>
  <c r="Q287" i="44"/>
  <c r="S287" i="44"/>
  <c r="O288" i="44"/>
  <c r="Q288" i="44"/>
  <c r="S288" i="44"/>
  <c r="O289" i="44"/>
  <c r="Q289" i="44"/>
  <c r="S289" i="44"/>
  <c r="O290" i="44"/>
  <c r="Q290" i="44"/>
  <c r="S290" i="44"/>
  <c r="O291" i="44"/>
  <c r="Q291" i="44"/>
  <c r="S291" i="44"/>
  <c r="O292" i="44"/>
  <c r="Q292" i="44"/>
  <c r="S292" i="44"/>
  <c r="O293" i="44"/>
  <c r="Q293" i="44"/>
  <c r="S293" i="44"/>
  <c r="O294" i="44"/>
  <c r="Q294" i="44"/>
  <c r="S294" i="44"/>
  <c r="O295" i="44"/>
  <c r="Q295" i="44"/>
  <c r="S295" i="44"/>
  <c r="O296" i="44"/>
  <c r="Q296" i="44"/>
  <c r="S296" i="44"/>
  <c r="O297" i="44"/>
  <c r="Q297" i="44"/>
  <c r="S297" i="44"/>
  <c r="O298" i="44"/>
  <c r="Q298" i="44"/>
  <c r="S298" i="44"/>
  <c r="O299" i="44"/>
  <c r="Q299" i="44"/>
  <c r="S299" i="44"/>
  <c r="O300" i="44"/>
  <c r="Q300" i="44"/>
  <c r="S300" i="44"/>
  <c r="O301" i="44"/>
  <c r="Q301" i="44"/>
  <c r="S301" i="44"/>
  <c r="O302" i="44"/>
  <c r="Q302" i="44"/>
  <c r="S302" i="44"/>
  <c r="O303" i="44"/>
  <c r="Q303" i="44"/>
  <c r="S303" i="44"/>
  <c r="O304" i="44"/>
  <c r="Q304" i="44"/>
  <c r="S304" i="44"/>
  <c r="O305" i="44"/>
  <c r="Q305" i="44"/>
  <c r="S305" i="44"/>
  <c r="O306" i="44"/>
  <c r="Q306" i="44"/>
  <c r="S306" i="44"/>
  <c r="O307" i="44"/>
  <c r="Q307" i="44"/>
  <c r="S307" i="44"/>
  <c r="O308" i="44"/>
  <c r="Q308" i="44"/>
  <c r="S308" i="44"/>
  <c r="O309" i="44"/>
  <c r="Q309" i="44"/>
  <c r="S309" i="44"/>
  <c r="O310" i="44"/>
  <c r="Q310" i="44"/>
  <c r="S310" i="44"/>
  <c r="O311" i="44"/>
  <c r="Q311" i="44"/>
  <c r="S311" i="44"/>
  <c r="O312" i="44"/>
  <c r="Q312" i="44"/>
  <c r="S312" i="44"/>
  <c r="O313" i="44"/>
  <c r="Q313" i="44"/>
  <c r="S313" i="44"/>
  <c r="O314" i="44"/>
  <c r="Q314" i="44"/>
  <c r="S314" i="44"/>
  <c r="O315" i="44"/>
  <c r="Q315" i="44"/>
  <c r="S315" i="44"/>
  <c r="O316" i="44"/>
  <c r="Q316" i="44"/>
  <c r="S316" i="44"/>
  <c r="O317" i="44"/>
  <c r="Q317" i="44"/>
  <c r="S317" i="44"/>
  <c r="O318" i="44"/>
  <c r="Q318" i="44"/>
  <c r="S318" i="44"/>
  <c r="O319" i="44"/>
  <c r="Q319" i="44"/>
  <c r="S319" i="44"/>
  <c r="O320" i="44"/>
  <c r="Q320" i="44"/>
  <c r="S320" i="44"/>
  <c r="O321" i="44"/>
  <c r="Q321" i="44"/>
  <c r="S321" i="44"/>
  <c r="O322" i="44"/>
  <c r="Q322" i="44"/>
  <c r="S322" i="44"/>
  <c r="O323" i="44"/>
  <c r="Q323" i="44"/>
  <c r="S323" i="44"/>
  <c r="O324" i="44"/>
  <c r="Q324" i="44"/>
  <c r="S324" i="44"/>
  <c r="O325" i="44"/>
  <c r="Q325" i="44"/>
  <c r="S325" i="44"/>
  <c r="O326" i="44"/>
  <c r="Q326" i="44"/>
  <c r="S326" i="44"/>
  <c r="O327" i="44"/>
  <c r="Q327" i="44"/>
  <c r="S327" i="44"/>
  <c r="O328" i="44"/>
  <c r="Q328" i="44"/>
  <c r="S328" i="44"/>
  <c r="O329" i="44"/>
  <c r="Q329" i="44"/>
  <c r="S329" i="44"/>
  <c r="O330" i="44"/>
  <c r="Q330" i="44"/>
  <c r="S330" i="44"/>
  <c r="O331" i="44"/>
  <c r="Q331" i="44"/>
  <c r="S331" i="44"/>
  <c r="O332" i="44"/>
  <c r="Q332" i="44"/>
  <c r="S332" i="44"/>
  <c r="O333" i="44"/>
  <c r="Q333" i="44"/>
  <c r="S333" i="44"/>
  <c r="O334" i="44"/>
  <c r="Q334" i="44"/>
  <c r="S334" i="44"/>
  <c r="O335" i="44"/>
  <c r="Q335" i="44"/>
  <c r="S335" i="44"/>
  <c r="O336" i="44"/>
  <c r="Q336" i="44"/>
  <c r="S336" i="44"/>
  <c r="O337" i="44"/>
  <c r="Q337" i="44"/>
  <c r="S337" i="44"/>
  <c r="O338" i="44"/>
  <c r="Q338" i="44"/>
  <c r="S338" i="44"/>
  <c r="O339" i="44"/>
  <c r="Q339" i="44"/>
  <c r="S339" i="44"/>
  <c r="O340" i="44"/>
  <c r="Q340" i="44"/>
  <c r="S340" i="44"/>
  <c r="O341" i="44"/>
  <c r="Q341" i="44"/>
  <c r="S341" i="44"/>
  <c r="O342" i="44"/>
  <c r="Q342" i="44"/>
  <c r="S342" i="44"/>
  <c r="O343" i="44"/>
  <c r="Q343" i="44"/>
  <c r="S343" i="44"/>
  <c r="O344" i="44"/>
  <c r="Q344" i="44"/>
  <c r="S344" i="44"/>
  <c r="O345" i="44"/>
  <c r="Q345" i="44"/>
  <c r="S345" i="44"/>
  <c r="O346" i="44"/>
  <c r="Q346" i="44"/>
  <c r="S346" i="44"/>
  <c r="O347" i="44"/>
  <c r="Q347" i="44"/>
  <c r="S347" i="44"/>
  <c r="O348" i="44"/>
  <c r="Q348" i="44"/>
  <c r="S348" i="44"/>
  <c r="O349" i="44"/>
  <c r="Q349" i="44"/>
  <c r="S349" i="44"/>
  <c r="O350" i="44"/>
  <c r="Q350" i="44"/>
  <c r="S350" i="44"/>
  <c r="O351" i="44"/>
  <c r="Q351" i="44"/>
  <c r="S351" i="44"/>
  <c r="O352" i="44"/>
  <c r="Q352" i="44"/>
  <c r="S352" i="44"/>
  <c r="O353" i="44"/>
  <c r="Q353" i="44"/>
  <c r="S353" i="44"/>
  <c r="O354" i="44"/>
  <c r="Q354" i="44"/>
  <c r="S354" i="44"/>
  <c r="O355" i="44"/>
  <c r="Q355" i="44"/>
  <c r="S355" i="44"/>
  <c r="O356" i="44"/>
  <c r="Q356" i="44"/>
  <c r="S356" i="44"/>
  <c r="O357" i="44"/>
  <c r="Q357" i="44"/>
  <c r="S357" i="44"/>
  <c r="O358" i="44"/>
  <c r="Q358" i="44"/>
  <c r="S358" i="44"/>
  <c r="O359" i="44"/>
  <c r="Q359" i="44"/>
  <c r="S359" i="44"/>
  <c r="O360" i="44"/>
  <c r="Q360" i="44"/>
  <c r="S360" i="44"/>
  <c r="O361" i="44"/>
  <c r="Q361" i="44"/>
  <c r="S361" i="44"/>
  <c r="O362" i="44"/>
  <c r="Q362" i="44"/>
  <c r="S362" i="44"/>
  <c r="O363" i="44"/>
  <c r="Q363" i="44"/>
  <c r="S363" i="44"/>
  <c r="O364" i="44"/>
  <c r="Q364" i="44"/>
  <c r="S364" i="44"/>
  <c r="O365" i="44"/>
  <c r="Q365" i="44"/>
  <c r="S365" i="44"/>
  <c r="O366" i="44"/>
  <c r="Q366" i="44"/>
  <c r="S366" i="44"/>
  <c r="O367" i="44"/>
  <c r="Q367" i="44"/>
  <c r="S367" i="44"/>
  <c r="O368" i="44"/>
  <c r="Q368" i="44"/>
  <c r="S368" i="44"/>
  <c r="O369" i="44"/>
  <c r="Q369" i="44"/>
  <c r="S369" i="44"/>
  <c r="O370" i="44"/>
  <c r="Q370" i="44"/>
  <c r="S370" i="44"/>
  <c r="O371" i="44"/>
  <c r="Q371" i="44"/>
  <c r="S371" i="44"/>
  <c r="O372" i="44"/>
  <c r="Q372" i="44"/>
  <c r="S372" i="44"/>
  <c r="O373" i="44"/>
  <c r="Q373" i="44"/>
  <c r="S373" i="44"/>
  <c r="O374" i="44"/>
  <c r="Q374" i="44"/>
  <c r="S374" i="44"/>
  <c r="O375" i="44"/>
  <c r="Q375" i="44"/>
  <c r="S375" i="44"/>
  <c r="O376" i="44"/>
  <c r="Q376" i="44"/>
  <c r="S376" i="44"/>
  <c r="O377" i="44"/>
  <c r="Q377" i="44"/>
  <c r="S377" i="44"/>
  <c r="O378" i="44"/>
  <c r="Q378" i="44"/>
  <c r="S378" i="44"/>
  <c r="O379" i="44"/>
  <c r="Q379" i="44"/>
  <c r="S379" i="44"/>
  <c r="O380" i="44"/>
  <c r="Q380" i="44"/>
  <c r="S380" i="44"/>
  <c r="O381" i="44"/>
  <c r="Q381" i="44"/>
  <c r="S381" i="44"/>
  <c r="O382" i="44"/>
  <c r="Q382" i="44"/>
  <c r="S382" i="44"/>
  <c r="O383" i="44"/>
  <c r="Q383" i="44"/>
  <c r="S383" i="44"/>
  <c r="O384" i="44"/>
  <c r="Q384" i="44"/>
  <c r="S384" i="44"/>
  <c r="O385" i="44"/>
  <c r="Q385" i="44"/>
  <c r="S385" i="44"/>
  <c r="O386" i="44"/>
  <c r="Q386" i="44"/>
  <c r="S386" i="44"/>
  <c r="O387" i="44"/>
  <c r="Q387" i="44"/>
  <c r="S387" i="44"/>
  <c r="O388" i="44"/>
  <c r="Q388" i="44"/>
  <c r="S388" i="44"/>
  <c r="O389" i="44"/>
  <c r="Q389" i="44"/>
  <c r="S389" i="44"/>
  <c r="O390" i="44"/>
  <c r="Q390" i="44"/>
  <c r="S390" i="44"/>
  <c r="O391" i="44"/>
  <c r="Q391" i="44"/>
  <c r="S391" i="44"/>
  <c r="O392" i="44"/>
  <c r="Q392" i="44"/>
  <c r="S392" i="44"/>
  <c r="O393" i="44"/>
  <c r="Q393" i="44"/>
  <c r="S393" i="44"/>
  <c r="O394" i="44"/>
  <c r="Q394" i="44"/>
  <c r="S394" i="44"/>
  <c r="O395" i="44"/>
  <c r="Q395" i="44"/>
  <c r="S395" i="44"/>
  <c r="O396" i="44"/>
  <c r="Q396" i="44"/>
  <c r="S396" i="44"/>
  <c r="O397" i="44"/>
  <c r="Q397" i="44"/>
  <c r="S397" i="44"/>
  <c r="O398" i="44"/>
  <c r="Q398" i="44"/>
  <c r="S398" i="44"/>
  <c r="O399" i="44"/>
  <c r="Q399" i="44"/>
  <c r="S399" i="44"/>
  <c r="O400" i="44"/>
  <c r="Q400" i="44"/>
  <c r="S400" i="44"/>
  <c r="O401" i="44"/>
  <c r="Q401" i="44"/>
  <c r="S401" i="44"/>
  <c r="O402" i="44"/>
  <c r="Q402" i="44"/>
  <c r="S402" i="44"/>
  <c r="O403" i="44"/>
  <c r="Q403" i="44"/>
  <c r="S403" i="44"/>
  <c r="O404" i="44"/>
  <c r="Q404" i="44"/>
  <c r="S404" i="44"/>
  <c r="O405" i="44"/>
  <c r="Q405" i="44"/>
  <c r="S405" i="44"/>
  <c r="O406" i="44"/>
  <c r="Q406" i="44"/>
  <c r="S406" i="44"/>
  <c r="O407" i="44"/>
  <c r="Q407" i="44"/>
  <c r="S407" i="44"/>
  <c r="O408" i="44"/>
  <c r="Q408" i="44"/>
  <c r="S408" i="44"/>
  <c r="O409" i="44"/>
  <c r="Q409" i="44"/>
  <c r="S409" i="44"/>
  <c r="O410" i="44"/>
  <c r="Q410" i="44"/>
  <c r="S410" i="44"/>
  <c r="O411" i="44"/>
  <c r="Q411" i="44"/>
  <c r="S411" i="44"/>
  <c r="O412" i="44"/>
  <c r="Q412" i="44"/>
  <c r="S412" i="44"/>
  <c r="O413" i="44"/>
  <c r="Q413" i="44"/>
  <c r="S413" i="44"/>
  <c r="O414" i="44"/>
  <c r="Q414" i="44"/>
  <c r="S414" i="44"/>
  <c r="O415" i="44"/>
  <c r="Q415" i="44"/>
  <c r="S415" i="44"/>
  <c r="O416" i="44"/>
  <c r="Q416" i="44"/>
  <c r="S416" i="44"/>
  <c r="O417" i="44"/>
  <c r="Q417" i="44"/>
  <c r="S417" i="44"/>
  <c r="O418" i="44"/>
  <c r="Q418" i="44"/>
  <c r="S418" i="44"/>
  <c r="O419" i="44"/>
  <c r="Q419" i="44"/>
  <c r="S419" i="44"/>
  <c r="O420" i="44"/>
  <c r="Q420" i="44"/>
  <c r="S420" i="44"/>
  <c r="O421" i="44"/>
  <c r="Q421" i="44"/>
  <c r="S421" i="44"/>
  <c r="O422" i="44"/>
  <c r="Q422" i="44"/>
  <c r="S422" i="44"/>
  <c r="O423" i="44"/>
  <c r="Q423" i="44"/>
  <c r="S423" i="44"/>
  <c r="O424" i="44"/>
  <c r="Q424" i="44"/>
  <c r="S424" i="44"/>
  <c r="O425" i="44"/>
  <c r="Q425" i="44"/>
  <c r="S425" i="44"/>
  <c r="O426" i="44"/>
  <c r="Q426" i="44"/>
  <c r="S426" i="44"/>
  <c r="O427" i="44"/>
  <c r="Q427" i="44"/>
  <c r="S427" i="44"/>
  <c r="O428" i="44"/>
  <c r="Q428" i="44"/>
  <c r="S428" i="44"/>
  <c r="O429" i="44"/>
  <c r="Q429" i="44"/>
  <c r="S429" i="44"/>
  <c r="O430" i="44"/>
  <c r="Q430" i="44"/>
  <c r="S430" i="44"/>
  <c r="O431" i="44"/>
  <c r="Q431" i="44"/>
  <c r="S431" i="44"/>
  <c r="O432" i="44"/>
  <c r="Q432" i="44"/>
  <c r="S432" i="44"/>
  <c r="O433" i="44"/>
  <c r="Q433" i="44"/>
  <c r="S433" i="44"/>
  <c r="O434" i="44"/>
  <c r="Q434" i="44"/>
  <c r="S434" i="44"/>
  <c r="O435" i="44"/>
  <c r="Q435" i="44"/>
  <c r="S435" i="44"/>
  <c r="O436" i="44"/>
  <c r="Q436" i="44"/>
  <c r="S436" i="44"/>
  <c r="O437" i="44"/>
  <c r="Q437" i="44"/>
  <c r="S437" i="44"/>
  <c r="O438" i="44"/>
  <c r="Q438" i="44"/>
  <c r="S438" i="44"/>
  <c r="O439" i="44"/>
  <c r="Q439" i="44"/>
  <c r="S439" i="44"/>
  <c r="O440" i="44"/>
  <c r="Q440" i="44"/>
  <c r="S440" i="44"/>
  <c r="O441" i="44"/>
  <c r="Q441" i="44"/>
  <c r="S441" i="44"/>
  <c r="O442" i="44"/>
  <c r="Q442" i="44"/>
  <c r="S442" i="44"/>
  <c r="O443" i="44"/>
  <c r="Q443" i="44"/>
  <c r="S443" i="44"/>
  <c r="O444" i="44"/>
  <c r="Q444" i="44"/>
  <c r="S444" i="44"/>
  <c r="O445" i="44"/>
  <c r="Q445" i="44"/>
  <c r="S445" i="44"/>
  <c r="O446" i="44"/>
  <c r="Q446" i="44"/>
  <c r="S446" i="44"/>
  <c r="O447" i="44"/>
  <c r="Q447" i="44"/>
  <c r="S447" i="44"/>
  <c r="O448" i="44"/>
  <c r="Q448" i="44"/>
  <c r="S448" i="44"/>
  <c r="O449" i="44"/>
  <c r="Q449" i="44"/>
  <c r="S449" i="44"/>
  <c r="O450" i="44"/>
  <c r="Q450" i="44"/>
  <c r="S450" i="44"/>
  <c r="O451" i="44"/>
  <c r="Q451" i="44"/>
  <c r="S451" i="44"/>
  <c r="O452" i="44"/>
  <c r="Q452" i="44"/>
  <c r="S452" i="44"/>
  <c r="O453" i="44"/>
  <c r="Q453" i="44"/>
  <c r="S453" i="44"/>
  <c r="O454" i="44"/>
  <c r="Q454" i="44"/>
  <c r="S454" i="44"/>
  <c r="O455" i="44"/>
  <c r="Q455" i="44"/>
  <c r="S455" i="44"/>
  <c r="O456" i="44"/>
  <c r="Q456" i="44"/>
  <c r="S456" i="44"/>
  <c r="O457" i="44"/>
  <c r="Q457" i="44"/>
  <c r="S457" i="44"/>
  <c r="O458" i="44"/>
  <c r="Q458" i="44"/>
  <c r="S458" i="44"/>
  <c r="O459" i="44"/>
  <c r="Q459" i="44"/>
  <c r="S459" i="44"/>
  <c r="O460" i="44"/>
  <c r="Q460" i="44"/>
  <c r="S460" i="44"/>
  <c r="O461" i="44"/>
  <c r="Q461" i="44"/>
  <c r="S461" i="44"/>
  <c r="O462" i="44"/>
  <c r="Q462" i="44"/>
  <c r="S462" i="44"/>
  <c r="O463" i="44"/>
  <c r="Q463" i="44"/>
  <c r="S463" i="44"/>
  <c r="O464" i="44"/>
  <c r="Q464" i="44"/>
  <c r="S464" i="44"/>
  <c r="O465" i="44"/>
  <c r="Q465" i="44"/>
  <c r="S465" i="44"/>
  <c r="O466" i="44"/>
  <c r="Q466" i="44"/>
  <c r="S466" i="44"/>
  <c r="O467" i="44"/>
  <c r="Q467" i="44"/>
  <c r="S467" i="44"/>
  <c r="O468" i="44"/>
  <c r="Q468" i="44"/>
  <c r="S468" i="44"/>
  <c r="O469" i="44"/>
  <c r="Q469" i="44"/>
  <c r="S469" i="44"/>
  <c r="O470" i="44"/>
  <c r="Q470" i="44"/>
  <c r="S470" i="44"/>
  <c r="O471" i="44"/>
  <c r="Q471" i="44"/>
  <c r="S471" i="44"/>
  <c r="O472" i="44"/>
  <c r="Q472" i="44"/>
  <c r="S472" i="44"/>
  <c r="O473" i="44"/>
  <c r="Q473" i="44"/>
  <c r="S473" i="44"/>
  <c r="O474" i="44"/>
  <c r="Q474" i="44"/>
  <c r="S474" i="44"/>
  <c r="O475" i="44"/>
  <c r="Q475" i="44"/>
  <c r="S475" i="44"/>
  <c r="O476" i="44"/>
  <c r="Q476" i="44"/>
  <c r="S476" i="44"/>
  <c r="O477" i="44"/>
  <c r="Q477" i="44"/>
  <c r="S477" i="44"/>
  <c r="O478" i="44"/>
  <c r="Q478" i="44"/>
  <c r="S478" i="44"/>
  <c r="O479" i="44"/>
  <c r="Q479" i="44"/>
  <c r="S479" i="44"/>
  <c r="O480" i="44"/>
  <c r="Q480" i="44"/>
  <c r="S480" i="44"/>
  <c r="O481" i="44"/>
  <c r="Q481" i="44"/>
  <c r="S481" i="44"/>
  <c r="O482" i="44"/>
  <c r="Q482" i="44"/>
  <c r="S482" i="44"/>
  <c r="O483" i="44"/>
  <c r="Q483" i="44"/>
  <c r="S483" i="44"/>
  <c r="O484" i="44"/>
  <c r="Q484" i="44"/>
  <c r="S484" i="44"/>
  <c r="O485" i="44"/>
  <c r="Q485" i="44"/>
  <c r="S485" i="44"/>
  <c r="O486" i="44"/>
  <c r="Q486" i="44"/>
  <c r="S486" i="44"/>
  <c r="O487" i="44"/>
  <c r="Q487" i="44"/>
  <c r="S487" i="44"/>
  <c r="O488" i="44"/>
  <c r="Q488" i="44"/>
  <c r="S488" i="44"/>
  <c r="O489" i="44"/>
  <c r="Q489" i="44"/>
  <c r="S489" i="44"/>
  <c r="O490" i="44"/>
  <c r="Q490" i="44"/>
  <c r="S490" i="44"/>
  <c r="O491" i="44"/>
  <c r="Q491" i="44"/>
  <c r="S491" i="44"/>
  <c r="O492" i="44"/>
  <c r="Q492" i="44"/>
  <c r="S492" i="44"/>
  <c r="O493" i="44"/>
  <c r="Q493" i="44"/>
  <c r="S493" i="44"/>
  <c r="O494" i="44"/>
  <c r="Q494" i="44"/>
  <c r="S494" i="44"/>
  <c r="O495" i="44"/>
  <c r="Q495" i="44"/>
  <c r="S495" i="44"/>
  <c r="O496" i="44"/>
  <c r="Q496" i="44"/>
  <c r="S496" i="44"/>
  <c r="O497" i="44"/>
  <c r="Q497" i="44"/>
  <c r="S497" i="44"/>
  <c r="O498" i="44"/>
  <c r="Q498" i="44"/>
  <c r="S498" i="44"/>
  <c r="O499" i="44"/>
  <c r="Q499" i="44"/>
  <c r="S499" i="44"/>
  <c r="O500" i="44"/>
  <c r="Q500" i="44"/>
  <c r="S500" i="44"/>
  <c r="O501" i="44"/>
  <c r="Q501" i="44"/>
  <c r="S501" i="44"/>
  <c r="O502" i="44"/>
  <c r="Q502" i="44"/>
  <c r="S502" i="44"/>
  <c r="O503" i="44"/>
  <c r="Q503" i="44"/>
  <c r="S503" i="44"/>
  <c r="O504" i="44"/>
  <c r="Q504" i="44"/>
  <c r="S504" i="44"/>
  <c r="O505" i="44"/>
  <c r="Q505" i="44"/>
  <c r="S505" i="44"/>
  <c r="O506" i="44"/>
  <c r="Q506" i="44"/>
  <c r="S506" i="44"/>
  <c r="O507" i="44"/>
  <c r="Q507" i="44"/>
  <c r="S507" i="44"/>
  <c r="O508" i="44"/>
  <c r="Q508" i="44"/>
  <c r="S508" i="44"/>
  <c r="O509" i="44"/>
  <c r="Q509" i="44"/>
  <c r="S509" i="44"/>
  <c r="O510" i="44"/>
  <c r="Q510" i="44"/>
  <c r="S510" i="44"/>
  <c r="O511" i="44"/>
  <c r="Q511" i="44"/>
  <c r="S511" i="44"/>
  <c r="O512" i="44"/>
  <c r="Q512" i="44"/>
  <c r="S512" i="44"/>
  <c r="O513" i="44"/>
  <c r="Q513" i="44"/>
  <c r="S513" i="44"/>
  <c r="O514" i="44"/>
  <c r="Q514" i="44"/>
  <c r="S514" i="44"/>
  <c r="O515" i="44"/>
  <c r="Q515" i="44"/>
  <c r="S515" i="44"/>
  <c r="H515" i="44"/>
  <c r="F29" i="44"/>
  <c r="J515" i="44"/>
  <c r="L515" i="44"/>
  <c r="W515" i="44"/>
  <c r="T515" i="44"/>
  <c r="I515" i="44"/>
  <c r="K515" i="44"/>
  <c r="M515" i="44"/>
  <c r="N515" i="44"/>
  <c r="G515" i="44"/>
  <c r="V515" i="44"/>
  <c r="X515" i="44"/>
  <c r="C515" i="44"/>
  <c r="B515" i="44"/>
  <c r="H514" i="44"/>
  <c r="J514" i="44"/>
  <c r="L514" i="44"/>
  <c r="W514" i="44"/>
  <c r="T514" i="44"/>
  <c r="I514" i="44"/>
  <c r="K514" i="44"/>
  <c r="M514" i="44"/>
  <c r="N514" i="44"/>
  <c r="G514" i="44"/>
  <c r="V514" i="44"/>
  <c r="X514" i="44"/>
  <c r="C514" i="44"/>
  <c r="B514" i="44"/>
  <c r="H513" i="44"/>
  <c r="J513" i="44"/>
  <c r="L513" i="44"/>
  <c r="W513" i="44"/>
  <c r="T513" i="44"/>
  <c r="I513" i="44"/>
  <c r="K513" i="44"/>
  <c r="M513" i="44"/>
  <c r="N513" i="44"/>
  <c r="G513" i="44"/>
  <c r="V513" i="44"/>
  <c r="X513" i="44"/>
  <c r="C513" i="44"/>
  <c r="B513" i="44"/>
  <c r="H512" i="44"/>
  <c r="J512" i="44"/>
  <c r="L512" i="44"/>
  <c r="W512" i="44"/>
  <c r="T512" i="44"/>
  <c r="I512" i="44"/>
  <c r="K512" i="44"/>
  <c r="M512" i="44"/>
  <c r="N512" i="44"/>
  <c r="G512" i="44"/>
  <c r="V512" i="44"/>
  <c r="X512" i="44"/>
  <c r="C512" i="44"/>
  <c r="B512" i="44"/>
  <c r="H511" i="44"/>
  <c r="J511" i="44"/>
  <c r="L511" i="44"/>
  <c r="W511" i="44"/>
  <c r="T511" i="44"/>
  <c r="I511" i="44"/>
  <c r="K511" i="44"/>
  <c r="M511" i="44"/>
  <c r="N511" i="44"/>
  <c r="G511" i="44"/>
  <c r="V511" i="44"/>
  <c r="X511" i="44"/>
  <c r="C511" i="44"/>
  <c r="B511" i="44"/>
  <c r="H510" i="44"/>
  <c r="J510" i="44"/>
  <c r="L510" i="44"/>
  <c r="W510" i="44"/>
  <c r="T510" i="44"/>
  <c r="I510" i="44"/>
  <c r="K510" i="44"/>
  <c r="M510" i="44"/>
  <c r="N510" i="44"/>
  <c r="G510" i="44"/>
  <c r="V510" i="44"/>
  <c r="X510" i="44"/>
  <c r="C510" i="44"/>
  <c r="B510" i="44"/>
  <c r="H509" i="44"/>
  <c r="J509" i="44"/>
  <c r="L509" i="44"/>
  <c r="W509" i="44"/>
  <c r="T509" i="44"/>
  <c r="I509" i="44"/>
  <c r="K509" i="44"/>
  <c r="M509" i="44"/>
  <c r="N509" i="44"/>
  <c r="G509" i="44"/>
  <c r="V509" i="44"/>
  <c r="X509" i="44"/>
  <c r="C509" i="44"/>
  <c r="B509" i="44"/>
  <c r="H508" i="44"/>
  <c r="J508" i="44"/>
  <c r="L508" i="44"/>
  <c r="W508" i="44"/>
  <c r="T508" i="44"/>
  <c r="I508" i="44"/>
  <c r="K508" i="44"/>
  <c r="M508" i="44"/>
  <c r="N508" i="44"/>
  <c r="G508" i="44"/>
  <c r="V508" i="44"/>
  <c r="X508" i="44"/>
  <c r="C508" i="44"/>
  <c r="B508" i="44"/>
  <c r="H507" i="44"/>
  <c r="J507" i="44"/>
  <c r="L507" i="44"/>
  <c r="W507" i="44"/>
  <c r="T507" i="44"/>
  <c r="I507" i="44"/>
  <c r="K507" i="44"/>
  <c r="M507" i="44"/>
  <c r="N507" i="44"/>
  <c r="G507" i="44"/>
  <c r="V507" i="44"/>
  <c r="X507" i="44"/>
  <c r="C507" i="44"/>
  <c r="B507" i="44"/>
  <c r="H506" i="44"/>
  <c r="J506" i="44"/>
  <c r="L506" i="44"/>
  <c r="W506" i="44"/>
  <c r="T506" i="44"/>
  <c r="I506" i="44"/>
  <c r="K506" i="44"/>
  <c r="M506" i="44"/>
  <c r="N506" i="44"/>
  <c r="G506" i="44"/>
  <c r="V506" i="44"/>
  <c r="X506" i="44"/>
  <c r="C506" i="44"/>
  <c r="B506" i="44"/>
  <c r="H505" i="44"/>
  <c r="J505" i="44"/>
  <c r="L505" i="44"/>
  <c r="W505" i="44"/>
  <c r="T505" i="44"/>
  <c r="I505" i="44"/>
  <c r="K505" i="44"/>
  <c r="M505" i="44"/>
  <c r="N505" i="44"/>
  <c r="G505" i="44"/>
  <c r="V505" i="44"/>
  <c r="X505" i="44"/>
  <c r="C505" i="44"/>
  <c r="B505" i="44"/>
  <c r="H504" i="44"/>
  <c r="J504" i="44"/>
  <c r="L504" i="44"/>
  <c r="W504" i="44"/>
  <c r="T504" i="44"/>
  <c r="I504" i="44"/>
  <c r="K504" i="44"/>
  <c r="M504" i="44"/>
  <c r="N504" i="44"/>
  <c r="G504" i="44"/>
  <c r="V504" i="44"/>
  <c r="X504" i="44"/>
  <c r="C504" i="44"/>
  <c r="B504" i="44"/>
  <c r="H503" i="44"/>
  <c r="J503" i="44"/>
  <c r="L503" i="44"/>
  <c r="W503" i="44"/>
  <c r="T503" i="44"/>
  <c r="I503" i="44"/>
  <c r="K503" i="44"/>
  <c r="M503" i="44"/>
  <c r="N503" i="44"/>
  <c r="G503" i="44"/>
  <c r="V503" i="44"/>
  <c r="X503" i="44"/>
  <c r="C503" i="44"/>
  <c r="B503" i="44"/>
  <c r="H502" i="44"/>
  <c r="J502" i="44"/>
  <c r="L502" i="44"/>
  <c r="W502" i="44"/>
  <c r="T502" i="44"/>
  <c r="I502" i="44"/>
  <c r="K502" i="44"/>
  <c r="M502" i="44"/>
  <c r="N502" i="44"/>
  <c r="G502" i="44"/>
  <c r="V502" i="44"/>
  <c r="X502" i="44"/>
  <c r="C502" i="44"/>
  <c r="B502" i="44"/>
  <c r="H501" i="44"/>
  <c r="J501" i="44"/>
  <c r="L501" i="44"/>
  <c r="W501" i="44"/>
  <c r="T501" i="44"/>
  <c r="I501" i="44"/>
  <c r="K501" i="44"/>
  <c r="M501" i="44"/>
  <c r="N501" i="44"/>
  <c r="G501" i="44"/>
  <c r="V501" i="44"/>
  <c r="X501" i="44"/>
  <c r="C501" i="44"/>
  <c r="B501" i="44"/>
  <c r="H500" i="44"/>
  <c r="J500" i="44"/>
  <c r="L500" i="44"/>
  <c r="W500" i="44"/>
  <c r="T500" i="44"/>
  <c r="I500" i="44"/>
  <c r="K500" i="44"/>
  <c r="M500" i="44"/>
  <c r="N500" i="44"/>
  <c r="G500" i="44"/>
  <c r="V500" i="44"/>
  <c r="X500" i="44"/>
  <c r="C500" i="44"/>
  <c r="B500" i="44"/>
  <c r="H499" i="44"/>
  <c r="J499" i="44"/>
  <c r="L499" i="44"/>
  <c r="W499" i="44"/>
  <c r="T499" i="44"/>
  <c r="I499" i="44"/>
  <c r="K499" i="44"/>
  <c r="M499" i="44"/>
  <c r="N499" i="44"/>
  <c r="G499" i="44"/>
  <c r="V499" i="44"/>
  <c r="X499" i="44"/>
  <c r="C499" i="44"/>
  <c r="B499" i="44"/>
  <c r="H498" i="44"/>
  <c r="J498" i="44"/>
  <c r="L498" i="44"/>
  <c r="W498" i="44"/>
  <c r="T498" i="44"/>
  <c r="I498" i="44"/>
  <c r="K498" i="44"/>
  <c r="M498" i="44"/>
  <c r="N498" i="44"/>
  <c r="G498" i="44"/>
  <c r="V498" i="44"/>
  <c r="X498" i="44"/>
  <c r="C498" i="44"/>
  <c r="B498" i="44"/>
  <c r="H497" i="44"/>
  <c r="J497" i="44"/>
  <c r="L497" i="44"/>
  <c r="W497" i="44"/>
  <c r="T497" i="44"/>
  <c r="I497" i="44"/>
  <c r="K497" i="44"/>
  <c r="M497" i="44"/>
  <c r="N497" i="44"/>
  <c r="G497" i="44"/>
  <c r="V497" i="44"/>
  <c r="X497" i="44"/>
  <c r="C497" i="44"/>
  <c r="B497" i="44"/>
  <c r="H496" i="44"/>
  <c r="J496" i="44"/>
  <c r="L496" i="44"/>
  <c r="W496" i="44"/>
  <c r="T496" i="44"/>
  <c r="I496" i="44"/>
  <c r="K496" i="44"/>
  <c r="M496" i="44"/>
  <c r="N496" i="44"/>
  <c r="G496" i="44"/>
  <c r="V496" i="44"/>
  <c r="X496" i="44"/>
  <c r="C496" i="44"/>
  <c r="B496" i="44"/>
  <c r="H495" i="44"/>
  <c r="J495" i="44"/>
  <c r="L495" i="44"/>
  <c r="W495" i="44"/>
  <c r="T495" i="44"/>
  <c r="I495" i="44"/>
  <c r="K495" i="44"/>
  <c r="M495" i="44"/>
  <c r="N495" i="44"/>
  <c r="G495" i="44"/>
  <c r="V495" i="44"/>
  <c r="X495" i="44"/>
  <c r="C495" i="44"/>
  <c r="B495" i="44"/>
  <c r="H494" i="44"/>
  <c r="J494" i="44"/>
  <c r="L494" i="44"/>
  <c r="W494" i="44"/>
  <c r="T494" i="44"/>
  <c r="I494" i="44"/>
  <c r="K494" i="44"/>
  <c r="M494" i="44"/>
  <c r="N494" i="44"/>
  <c r="G494" i="44"/>
  <c r="V494" i="44"/>
  <c r="X494" i="44"/>
  <c r="C494" i="44"/>
  <c r="B494" i="44"/>
  <c r="H493" i="44"/>
  <c r="J493" i="44"/>
  <c r="L493" i="44"/>
  <c r="W493" i="44"/>
  <c r="T493" i="44"/>
  <c r="I493" i="44"/>
  <c r="K493" i="44"/>
  <c r="M493" i="44"/>
  <c r="N493" i="44"/>
  <c r="G493" i="44"/>
  <c r="V493" i="44"/>
  <c r="X493" i="44"/>
  <c r="C493" i="44"/>
  <c r="B493" i="44"/>
  <c r="H492" i="44"/>
  <c r="J492" i="44"/>
  <c r="L492" i="44"/>
  <c r="W492" i="44"/>
  <c r="T492" i="44"/>
  <c r="I492" i="44"/>
  <c r="K492" i="44"/>
  <c r="M492" i="44"/>
  <c r="N492" i="44"/>
  <c r="G492" i="44"/>
  <c r="V492" i="44"/>
  <c r="X492" i="44"/>
  <c r="C492" i="44"/>
  <c r="B492" i="44"/>
  <c r="H491" i="44"/>
  <c r="J491" i="44"/>
  <c r="L491" i="44"/>
  <c r="W491" i="44"/>
  <c r="T491" i="44"/>
  <c r="I491" i="44"/>
  <c r="K491" i="44"/>
  <c r="M491" i="44"/>
  <c r="N491" i="44"/>
  <c r="G491" i="44"/>
  <c r="V491" i="44"/>
  <c r="X491" i="44"/>
  <c r="C491" i="44"/>
  <c r="B491" i="44"/>
  <c r="H490" i="44"/>
  <c r="J490" i="44"/>
  <c r="L490" i="44"/>
  <c r="W490" i="44"/>
  <c r="T490" i="44"/>
  <c r="I490" i="44"/>
  <c r="K490" i="44"/>
  <c r="M490" i="44"/>
  <c r="N490" i="44"/>
  <c r="G490" i="44"/>
  <c r="V490" i="44"/>
  <c r="X490" i="44"/>
  <c r="C490" i="44"/>
  <c r="B490" i="44"/>
  <c r="H489" i="44"/>
  <c r="J489" i="44"/>
  <c r="L489" i="44"/>
  <c r="W489" i="44"/>
  <c r="T489" i="44"/>
  <c r="I489" i="44"/>
  <c r="K489" i="44"/>
  <c r="M489" i="44"/>
  <c r="N489" i="44"/>
  <c r="G489" i="44"/>
  <c r="V489" i="44"/>
  <c r="X489" i="44"/>
  <c r="C489" i="44"/>
  <c r="B489" i="44"/>
  <c r="H488" i="44"/>
  <c r="J488" i="44"/>
  <c r="L488" i="44"/>
  <c r="W488" i="44"/>
  <c r="T488" i="44"/>
  <c r="I488" i="44"/>
  <c r="K488" i="44"/>
  <c r="M488" i="44"/>
  <c r="N488" i="44"/>
  <c r="G488" i="44"/>
  <c r="V488" i="44"/>
  <c r="X488" i="44"/>
  <c r="C488" i="44"/>
  <c r="B488" i="44"/>
  <c r="H487" i="44"/>
  <c r="J487" i="44"/>
  <c r="L487" i="44"/>
  <c r="W487" i="44"/>
  <c r="T487" i="44"/>
  <c r="I487" i="44"/>
  <c r="K487" i="44"/>
  <c r="M487" i="44"/>
  <c r="N487" i="44"/>
  <c r="G487" i="44"/>
  <c r="V487" i="44"/>
  <c r="X487" i="44"/>
  <c r="C487" i="44"/>
  <c r="B487" i="44"/>
  <c r="H486" i="44"/>
  <c r="J486" i="44"/>
  <c r="L486" i="44"/>
  <c r="W486" i="44"/>
  <c r="T486" i="44"/>
  <c r="I486" i="44"/>
  <c r="K486" i="44"/>
  <c r="M486" i="44"/>
  <c r="N486" i="44"/>
  <c r="G486" i="44"/>
  <c r="V486" i="44"/>
  <c r="X486" i="44"/>
  <c r="C486" i="44"/>
  <c r="B486" i="44"/>
  <c r="H485" i="44"/>
  <c r="J485" i="44"/>
  <c r="L485" i="44"/>
  <c r="W485" i="44"/>
  <c r="T485" i="44"/>
  <c r="I485" i="44"/>
  <c r="K485" i="44"/>
  <c r="M485" i="44"/>
  <c r="N485" i="44"/>
  <c r="G485" i="44"/>
  <c r="V485" i="44"/>
  <c r="X485" i="44"/>
  <c r="C485" i="44"/>
  <c r="B485" i="44"/>
  <c r="H484" i="44"/>
  <c r="J484" i="44"/>
  <c r="L484" i="44"/>
  <c r="W484" i="44"/>
  <c r="T484" i="44"/>
  <c r="I484" i="44"/>
  <c r="K484" i="44"/>
  <c r="M484" i="44"/>
  <c r="N484" i="44"/>
  <c r="G484" i="44"/>
  <c r="V484" i="44"/>
  <c r="X484" i="44"/>
  <c r="C484" i="44"/>
  <c r="B484" i="44"/>
  <c r="H483" i="44"/>
  <c r="J483" i="44"/>
  <c r="L483" i="44"/>
  <c r="W483" i="44"/>
  <c r="T483" i="44"/>
  <c r="I483" i="44"/>
  <c r="K483" i="44"/>
  <c r="M483" i="44"/>
  <c r="N483" i="44"/>
  <c r="G483" i="44"/>
  <c r="V483" i="44"/>
  <c r="X483" i="44"/>
  <c r="C483" i="44"/>
  <c r="B483" i="44"/>
  <c r="H482" i="44"/>
  <c r="J482" i="44"/>
  <c r="L482" i="44"/>
  <c r="W482" i="44"/>
  <c r="T482" i="44"/>
  <c r="I482" i="44"/>
  <c r="K482" i="44"/>
  <c r="M482" i="44"/>
  <c r="N482" i="44"/>
  <c r="G482" i="44"/>
  <c r="V482" i="44"/>
  <c r="X482" i="44"/>
  <c r="C482" i="44"/>
  <c r="B482" i="44"/>
  <c r="H481" i="44"/>
  <c r="J481" i="44"/>
  <c r="L481" i="44"/>
  <c r="W481" i="44"/>
  <c r="T481" i="44"/>
  <c r="I481" i="44"/>
  <c r="K481" i="44"/>
  <c r="M481" i="44"/>
  <c r="N481" i="44"/>
  <c r="G481" i="44"/>
  <c r="V481" i="44"/>
  <c r="X481" i="44"/>
  <c r="C481" i="44"/>
  <c r="B481" i="44"/>
  <c r="H480" i="44"/>
  <c r="J480" i="44"/>
  <c r="L480" i="44"/>
  <c r="W480" i="44"/>
  <c r="T480" i="44"/>
  <c r="I480" i="44"/>
  <c r="K480" i="44"/>
  <c r="M480" i="44"/>
  <c r="N480" i="44"/>
  <c r="G480" i="44"/>
  <c r="V480" i="44"/>
  <c r="X480" i="44"/>
  <c r="C480" i="44"/>
  <c r="B480" i="44"/>
  <c r="H479" i="44"/>
  <c r="J479" i="44"/>
  <c r="L479" i="44"/>
  <c r="W479" i="44"/>
  <c r="T479" i="44"/>
  <c r="I479" i="44"/>
  <c r="K479" i="44"/>
  <c r="M479" i="44"/>
  <c r="N479" i="44"/>
  <c r="G479" i="44"/>
  <c r="V479" i="44"/>
  <c r="X479" i="44"/>
  <c r="C479" i="44"/>
  <c r="B479" i="44"/>
  <c r="H478" i="44"/>
  <c r="J478" i="44"/>
  <c r="L478" i="44"/>
  <c r="W478" i="44"/>
  <c r="T478" i="44"/>
  <c r="I478" i="44"/>
  <c r="K478" i="44"/>
  <c r="M478" i="44"/>
  <c r="N478" i="44"/>
  <c r="G478" i="44"/>
  <c r="V478" i="44"/>
  <c r="X478" i="44"/>
  <c r="C478" i="44"/>
  <c r="B478" i="44"/>
  <c r="H477" i="44"/>
  <c r="J477" i="44"/>
  <c r="L477" i="44"/>
  <c r="W477" i="44"/>
  <c r="T477" i="44"/>
  <c r="I477" i="44"/>
  <c r="K477" i="44"/>
  <c r="M477" i="44"/>
  <c r="N477" i="44"/>
  <c r="G477" i="44"/>
  <c r="V477" i="44"/>
  <c r="X477" i="44"/>
  <c r="C477" i="44"/>
  <c r="B477" i="44"/>
  <c r="H476" i="44"/>
  <c r="J476" i="44"/>
  <c r="L476" i="44"/>
  <c r="W476" i="44"/>
  <c r="T476" i="44"/>
  <c r="I476" i="44"/>
  <c r="K476" i="44"/>
  <c r="M476" i="44"/>
  <c r="N476" i="44"/>
  <c r="G476" i="44"/>
  <c r="V476" i="44"/>
  <c r="X476" i="44"/>
  <c r="C476" i="44"/>
  <c r="B476" i="44"/>
  <c r="H475" i="44"/>
  <c r="J475" i="44"/>
  <c r="L475" i="44"/>
  <c r="W475" i="44"/>
  <c r="T475" i="44"/>
  <c r="I475" i="44"/>
  <c r="K475" i="44"/>
  <c r="M475" i="44"/>
  <c r="N475" i="44"/>
  <c r="G475" i="44"/>
  <c r="V475" i="44"/>
  <c r="X475" i="44"/>
  <c r="C475" i="44"/>
  <c r="B475" i="44"/>
  <c r="H474" i="44"/>
  <c r="J474" i="44"/>
  <c r="L474" i="44"/>
  <c r="W474" i="44"/>
  <c r="T474" i="44"/>
  <c r="I474" i="44"/>
  <c r="K474" i="44"/>
  <c r="M474" i="44"/>
  <c r="N474" i="44"/>
  <c r="G474" i="44"/>
  <c r="V474" i="44"/>
  <c r="X474" i="44"/>
  <c r="C474" i="44"/>
  <c r="B474" i="44"/>
  <c r="H473" i="44"/>
  <c r="J473" i="44"/>
  <c r="L473" i="44"/>
  <c r="W473" i="44"/>
  <c r="T473" i="44"/>
  <c r="I473" i="44"/>
  <c r="K473" i="44"/>
  <c r="M473" i="44"/>
  <c r="N473" i="44"/>
  <c r="G473" i="44"/>
  <c r="V473" i="44"/>
  <c r="X473" i="44"/>
  <c r="C473" i="44"/>
  <c r="B473" i="44"/>
  <c r="H472" i="44"/>
  <c r="J472" i="44"/>
  <c r="L472" i="44"/>
  <c r="W472" i="44"/>
  <c r="T472" i="44"/>
  <c r="I472" i="44"/>
  <c r="K472" i="44"/>
  <c r="M472" i="44"/>
  <c r="N472" i="44"/>
  <c r="G472" i="44"/>
  <c r="V472" i="44"/>
  <c r="X472" i="44"/>
  <c r="C472" i="44"/>
  <c r="B472" i="44"/>
  <c r="H471" i="44"/>
  <c r="J471" i="44"/>
  <c r="L471" i="44"/>
  <c r="W471" i="44"/>
  <c r="T471" i="44"/>
  <c r="I471" i="44"/>
  <c r="K471" i="44"/>
  <c r="M471" i="44"/>
  <c r="N471" i="44"/>
  <c r="G471" i="44"/>
  <c r="V471" i="44"/>
  <c r="X471" i="44"/>
  <c r="C471" i="44"/>
  <c r="B471" i="44"/>
  <c r="H470" i="44"/>
  <c r="J470" i="44"/>
  <c r="L470" i="44"/>
  <c r="W470" i="44"/>
  <c r="T470" i="44"/>
  <c r="I470" i="44"/>
  <c r="K470" i="44"/>
  <c r="M470" i="44"/>
  <c r="N470" i="44"/>
  <c r="G470" i="44"/>
  <c r="V470" i="44"/>
  <c r="X470" i="44"/>
  <c r="C470" i="44"/>
  <c r="B470" i="44"/>
  <c r="H469" i="44"/>
  <c r="J469" i="44"/>
  <c r="L469" i="44"/>
  <c r="W469" i="44"/>
  <c r="T469" i="44"/>
  <c r="I469" i="44"/>
  <c r="K469" i="44"/>
  <c r="M469" i="44"/>
  <c r="N469" i="44"/>
  <c r="G469" i="44"/>
  <c r="V469" i="44"/>
  <c r="X469" i="44"/>
  <c r="C469" i="44"/>
  <c r="B469" i="44"/>
  <c r="H468" i="44"/>
  <c r="J468" i="44"/>
  <c r="L468" i="44"/>
  <c r="W468" i="44"/>
  <c r="T468" i="44"/>
  <c r="I468" i="44"/>
  <c r="K468" i="44"/>
  <c r="M468" i="44"/>
  <c r="N468" i="44"/>
  <c r="G468" i="44"/>
  <c r="V468" i="44"/>
  <c r="X468" i="44"/>
  <c r="C468" i="44"/>
  <c r="B468" i="44"/>
  <c r="H467" i="44"/>
  <c r="J467" i="44"/>
  <c r="L467" i="44"/>
  <c r="W467" i="44"/>
  <c r="T467" i="44"/>
  <c r="I467" i="44"/>
  <c r="K467" i="44"/>
  <c r="M467" i="44"/>
  <c r="N467" i="44"/>
  <c r="G467" i="44"/>
  <c r="V467" i="44"/>
  <c r="X467" i="44"/>
  <c r="C467" i="44"/>
  <c r="B467" i="44"/>
  <c r="H466" i="44"/>
  <c r="J466" i="44"/>
  <c r="L466" i="44"/>
  <c r="W466" i="44"/>
  <c r="T466" i="44"/>
  <c r="I466" i="44"/>
  <c r="K466" i="44"/>
  <c r="M466" i="44"/>
  <c r="N466" i="44"/>
  <c r="G466" i="44"/>
  <c r="V466" i="44"/>
  <c r="X466" i="44"/>
  <c r="C466" i="44"/>
  <c r="B466" i="44"/>
  <c r="H465" i="44"/>
  <c r="J465" i="44"/>
  <c r="L465" i="44"/>
  <c r="W465" i="44"/>
  <c r="T465" i="44"/>
  <c r="I465" i="44"/>
  <c r="K465" i="44"/>
  <c r="M465" i="44"/>
  <c r="N465" i="44"/>
  <c r="G465" i="44"/>
  <c r="V465" i="44"/>
  <c r="X465" i="44"/>
  <c r="C465" i="44"/>
  <c r="B465" i="44"/>
  <c r="H464" i="44"/>
  <c r="J464" i="44"/>
  <c r="L464" i="44"/>
  <c r="W464" i="44"/>
  <c r="T464" i="44"/>
  <c r="I464" i="44"/>
  <c r="K464" i="44"/>
  <c r="M464" i="44"/>
  <c r="N464" i="44"/>
  <c r="G464" i="44"/>
  <c r="V464" i="44"/>
  <c r="X464" i="44"/>
  <c r="C464" i="44"/>
  <c r="B464" i="44"/>
  <c r="H463" i="44"/>
  <c r="J463" i="44"/>
  <c r="L463" i="44"/>
  <c r="W463" i="44"/>
  <c r="T463" i="44"/>
  <c r="I463" i="44"/>
  <c r="K463" i="44"/>
  <c r="M463" i="44"/>
  <c r="N463" i="44"/>
  <c r="G463" i="44"/>
  <c r="V463" i="44"/>
  <c r="X463" i="44"/>
  <c r="C463" i="44"/>
  <c r="B463" i="44"/>
  <c r="H462" i="44"/>
  <c r="J462" i="44"/>
  <c r="L462" i="44"/>
  <c r="W462" i="44"/>
  <c r="T462" i="44"/>
  <c r="I462" i="44"/>
  <c r="K462" i="44"/>
  <c r="M462" i="44"/>
  <c r="N462" i="44"/>
  <c r="G462" i="44"/>
  <c r="V462" i="44"/>
  <c r="X462" i="44"/>
  <c r="C462" i="44"/>
  <c r="B462" i="44"/>
  <c r="H461" i="44"/>
  <c r="J461" i="44"/>
  <c r="L461" i="44"/>
  <c r="W461" i="44"/>
  <c r="T461" i="44"/>
  <c r="I461" i="44"/>
  <c r="K461" i="44"/>
  <c r="M461" i="44"/>
  <c r="N461" i="44"/>
  <c r="G461" i="44"/>
  <c r="V461" i="44"/>
  <c r="X461" i="44"/>
  <c r="C461" i="44"/>
  <c r="B461" i="44"/>
  <c r="H460" i="44"/>
  <c r="J460" i="44"/>
  <c r="L460" i="44"/>
  <c r="W460" i="44"/>
  <c r="T460" i="44"/>
  <c r="I460" i="44"/>
  <c r="K460" i="44"/>
  <c r="M460" i="44"/>
  <c r="N460" i="44"/>
  <c r="G460" i="44"/>
  <c r="V460" i="44"/>
  <c r="X460" i="44"/>
  <c r="C460" i="44"/>
  <c r="B460" i="44"/>
  <c r="H459" i="44"/>
  <c r="J459" i="44"/>
  <c r="L459" i="44"/>
  <c r="W459" i="44"/>
  <c r="T459" i="44"/>
  <c r="I459" i="44"/>
  <c r="K459" i="44"/>
  <c r="M459" i="44"/>
  <c r="N459" i="44"/>
  <c r="G459" i="44"/>
  <c r="V459" i="44"/>
  <c r="X459" i="44"/>
  <c r="C459" i="44"/>
  <c r="B459" i="44"/>
  <c r="H458" i="44"/>
  <c r="J458" i="44"/>
  <c r="L458" i="44"/>
  <c r="W458" i="44"/>
  <c r="T458" i="44"/>
  <c r="I458" i="44"/>
  <c r="K458" i="44"/>
  <c r="M458" i="44"/>
  <c r="N458" i="44"/>
  <c r="G458" i="44"/>
  <c r="V458" i="44"/>
  <c r="X458" i="44"/>
  <c r="C458" i="44"/>
  <c r="B458" i="44"/>
  <c r="H457" i="44"/>
  <c r="J457" i="44"/>
  <c r="L457" i="44"/>
  <c r="W457" i="44"/>
  <c r="T457" i="44"/>
  <c r="I457" i="44"/>
  <c r="K457" i="44"/>
  <c r="M457" i="44"/>
  <c r="N457" i="44"/>
  <c r="G457" i="44"/>
  <c r="V457" i="44"/>
  <c r="X457" i="44"/>
  <c r="C457" i="44"/>
  <c r="B457" i="44"/>
  <c r="H456" i="44"/>
  <c r="J456" i="44"/>
  <c r="L456" i="44"/>
  <c r="W456" i="44"/>
  <c r="T456" i="44"/>
  <c r="I456" i="44"/>
  <c r="K456" i="44"/>
  <c r="M456" i="44"/>
  <c r="N456" i="44"/>
  <c r="G456" i="44"/>
  <c r="V456" i="44"/>
  <c r="X456" i="44"/>
  <c r="C456" i="44"/>
  <c r="B456" i="44"/>
  <c r="H455" i="44"/>
  <c r="J455" i="44"/>
  <c r="L455" i="44"/>
  <c r="W455" i="44"/>
  <c r="T455" i="44"/>
  <c r="I455" i="44"/>
  <c r="K455" i="44"/>
  <c r="M455" i="44"/>
  <c r="N455" i="44"/>
  <c r="G455" i="44"/>
  <c r="V455" i="44"/>
  <c r="X455" i="44"/>
  <c r="C455" i="44"/>
  <c r="B455" i="44"/>
  <c r="H454" i="44"/>
  <c r="J454" i="44"/>
  <c r="L454" i="44"/>
  <c r="W454" i="44"/>
  <c r="T454" i="44"/>
  <c r="I454" i="44"/>
  <c r="K454" i="44"/>
  <c r="M454" i="44"/>
  <c r="N454" i="44"/>
  <c r="G454" i="44"/>
  <c r="V454" i="44"/>
  <c r="X454" i="44"/>
  <c r="C454" i="44"/>
  <c r="B454" i="44"/>
  <c r="H453" i="44"/>
  <c r="J453" i="44"/>
  <c r="L453" i="44"/>
  <c r="W453" i="44"/>
  <c r="T453" i="44"/>
  <c r="I453" i="44"/>
  <c r="K453" i="44"/>
  <c r="M453" i="44"/>
  <c r="N453" i="44"/>
  <c r="G453" i="44"/>
  <c r="V453" i="44"/>
  <c r="X453" i="44"/>
  <c r="C453" i="44"/>
  <c r="B453" i="44"/>
  <c r="H452" i="44"/>
  <c r="J452" i="44"/>
  <c r="L452" i="44"/>
  <c r="W452" i="44"/>
  <c r="T452" i="44"/>
  <c r="I452" i="44"/>
  <c r="K452" i="44"/>
  <c r="M452" i="44"/>
  <c r="N452" i="44"/>
  <c r="G452" i="44"/>
  <c r="V452" i="44"/>
  <c r="X452" i="44"/>
  <c r="C452" i="44"/>
  <c r="B452" i="44"/>
  <c r="H451" i="44"/>
  <c r="J451" i="44"/>
  <c r="L451" i="44"/>
  <c r="W451" i="44"/>
  <c r="T451" i="44"/>
  <c r="I451" i="44"/>
  <c r="K451" i="44"/>
  <c r="M451" i="44"/>
  <c r="N451" i="44"/>
  <c r="G451" i="44"/>
  <c r="V451" i="44"/>
  <c r="X451" i="44"/>
  <c r="C451" i="44"/>
  <c r="B451" i="44"/>
  <c r="H450" i="44"/>
  <c r="J450" i="44"/>
  <c r="L450" i="44"/>
  <c r="W450" i="44"/>
  <c r="T450" i="44"/>
  <c r="I450" i="44"/>
  <c r="K450" i="44"/>
  <c r="M450" i="44"/>
  <c r="N450" i="44"/>
  <c r="G450" i="44"/>
  <c r="V450" i="44"/>
  <c r="X450" i="44"/>
  <c r="C450" i="44"/>
  <c r="B450" i="44"/>
  <c r="H449" i="44"/>
  <c r="J449" i="44"/>
  <c r="L449" i="44"/>
  <c r="W449" i="44"/>
  <c r="T449" i="44"/>
  <c r="I449" i="44"/>
  <c r="K449" i="44"/>
  <c r="M449" i="44"/>
  <c r="N449" i="44"/>
  <c r="G449" i="44"/>
  <c r="V449" i="44"/>
  <c r="X449" i="44"/>
  <c r="C449" i="44"/>
  <c r="B449" i="44"/>
  <c r="H448" i="44"/>
  <c r="J448" i="44"/>
  <c r="L448" i="44"/>
  <c r="W448" i="44"/>
  <c r="T448" i="44"/>
  <c r="I448" i="44"/>
  <c r="K448" i="44"/>
  <c r="M448" i="44"/>
  <c r="N448" i="44"/>
  <c r="G448" i="44"/>
  <c r="V448" i="44"/>
  <c r="X448" i="44"/>
  <c r="C448" i="44"/>
  <c r="B448" i="44"/>
  <c r="H447" i="44"/>
  <c r="J447" i="44"/>
  <c r="L447" i="44"/>
  <c r="W447" i="44"/>
  <c r="T447" i="44"/>
  <c r="I447" i="44"/>
  <c r="K447" i="44"/>
  <c r="M447" i="44"/>
  <c r="N447" i="44"/>
  <c r="G447" i="44"/>
  <c r="V447" i="44"/>
  <c r="X447" i="44"/>
  <c r="C447" i="44"/>
  <c r="B447" i="44"/>
  <c r="H446" i="44"/>
  <c r="J446" i="44"/>
  <c r="L446" i="44"/>
  <c r="W446" i="44"/>
  <c r="T446" i="44"/>
  <c r="I446" i="44"/>
  <c r="K446" i="44"/>
  <c r="M446" i="44"/>
  <c r="N446" i="44"/>
  <c r="G446" i="44"/>
  <c r="V446" i="44"/>
  <c r="X446" i="44"/>
  <c r="C446" i="44"/>
  <c r="B446" i="44"/>
  <c r="H445" i="44"/>
  <c r="J445" i="44"/>
  <c r="L445" i="44"/>
  <c r="W445" i="44"/>
  <c r="T445" i="44"/>
  <c r="I445" i="44"/>
  <c r="K445" i="44"/>
  <c r="M445" i="44"/>
  <c r="N445" i="44"/>
  <c r="G445" i="44"/>
  <c r="V445" i="44"/>
  <c r="X445" i="44"/>
  <c r="C445" i="44"/>
  <c r="B445" i="44"/>
  <c r="H444" i="44"/>
  <c r="J444" i="44"/>
  <c r="L444" i="44"/>
  <c r="W444" i="44"/>
  <c r="T444" i="44"/>
  <c r="I444" i="44"/>
  <c r="K444" i="44"/>
  <c r="M444" i="44"/>
  <c r="N444" i="44"/>
  <c r="G444" i="44"/>
  <c r="V444" i="44"/>
  <c r="X444" i="44"/>
  <c r="C444" i="44"/>
  <c r="B444" i="44"/>
  <c r="H443" i="44"/>
  <c r="J443" i="44"/>
  <c r="L443" i="44"/>
  <c r="W443" i="44"/>
  <c r="T443" i="44"/>
  <c r="I443" i="44"/>
  <c r="K443" i="44"/>
  <c r="M443" i="44"/>
  <c r="N443" i="44"/>
  <c r="G443" i="44"/>
  <c r="V443" i="44"/>
  <c r="X443" i="44"/>
  <c r="C443" i="44"/>
  <c r="B443" i="44"/>
  <c r="H442" i="44"/>
  <c r="J442" i="44"/>
  <c r="L442" i="44"/>
  <c r="W442" i="44"/>
  <c r="T442" i="44"/>
  <c r="I442" i="44"/>
  <c r="K442" i="44"/>
  <c r="M442" i="44"/>
  <c r="N442" i="44"/>
  <c r="G442" i="44"/>
  <c r="V442" i="44"/>
  <c r="X442" i="44"/>
  <c r="C442" i="44"/>
  <c r="B442" i="44"/>
  <c r="H441" i="44"/>
  <c r="J441" i="44"/>
  <c r="L441" i="44"/>
  <c r="W441" i="44"/>
  <c r="T441" i="44"/>
  <c r="I441" i="44"/>
  <c r="K441" i="44"/>
  <c r="M441" i="44"/>
  <c r="N441" i="44"/>
  <c r="G441" i="44"/>
  <c r="V441" i="44"/>
  <c r="X441" i="44"/>
  <c r="C441" i="44"/>
  <c r="B441" i="44"/>
  <c r="H440" i="44"/>
  <c r="J440" i="44"/>
  <c r="L440" i="44"/>
  <c r="W440" i="44"/>
  <c r="T440" i="44"/>
  <c r="I440" i="44"/>
  <c r="K440" i="44"/>
  <c r="M440" i="44"/>
  <c r="N440" i="44"/>
  <c r="G440" i="44"/>
  <c r="V440" i="44"/>
  <c r="X440" i="44"/>
  <c r="C440" i="44"/>
  <c r="B440" i="44"/>
  <c r="H439" i="44"/>
  <c r="J439" i="44"/>
  <c r="L439" i="44"/>
  <c r="W439" i="44"/>
  <c r="T439" i="44"/>
  <c r="I439" i="44"/>
  <c r="K439" i="44"/>
  <c r="M439" i="44"/>
  <c r="N439" i="44"/>
  <c r="G439" i="44"/>
  <c r="V439" i="44"/>
  <c r="X439" i="44"/>
  <c r="C439" i="44"/>
  <c r="B439" i="44"/>
  <c r="H438" i="44"/>
  <c r="J438" i="44"/>
  <c r="L438" i="44"/>
  <c r="W438" i="44"/>
  <c r="T438" i="44"/>
  <c r="I438" i="44"/>
  <c r="K438" i="44"/>
  <c r="M438" i="44"/>
  <c r="N438" i="44"/>
  <c r="G438" i="44"/>
  <c r="V438" i="44"/>
  <c r="X438" i="44"/>
  <c r="C438" i="44"/>
  <c r="B438" i="44"/>
  <c r="H437" i="44"/>
  <c r="J437" i="44"/>
  <c r="L437" i="44"/>
  <c r="W437" i="44"/>
  <c r="T437" i="44"/>
  <c r="I437" i="44"/>
  <c r="K437" i="44"/>
  <c r="M437" i="44"/>
  <c r="N437" i="44"/>
  <c r="G437" i="44"/>
  <c r="V437" i="44"/>
  <c r="X437" i="44"/>
  <c r="C437" i="44"/>
  <c r="B437" i="44"/>
  <c r="H436" i="44"/>
  <c r="J436" i="44"/>
  <c r="L436" i="44"/>
  <c r="W436" i="44"/>
  <c r="T436" i="44"/>
  <c r="I436" i="44"/>
  <c r="K436" i="44"/>
  <c r="M436" i="44"/>
  <c r="N436" i="44"/>
  <c r="G436" i="44"/>
  <c r="V436" i="44"/>
  <c r="X436" i="44"/>
  <c r="C436" i="44"/>
  <c r="B436" i="44"/>
  <c r="H435" i="44"/>
  <c r="J435" i="44"/>
  <c r="L435" i="44"/>
  <c r="W435" i="44"/>
  <c r="T435" i="44"/>
  <c r="I435" i="44"/>
  <c r="K435" i="44"/>
  <c r="M435" i="44"/>
  <c r="N435" i="44"/>
  <c r="G435" i="44"/>
  <c r="V435" i="44"/>
  <c r="X435" i="44"/>
  <c r="C435" i="44"/>
  <c r="B435" i="44"/>
  <c r="H434" i="44"/>
  <c r="J434" i="44"/>
  <c r="L434" i="44"/>
  <c r="W434" i="44"/>
  <c r="T434" i="44"/>
  <c r="I434" i="44"/>
  <c r="K434" i="44"/>
  <c r="M434" i="44"/>
  <c r="N434" i="44"/>
  <c r="G434" i="44"/>
  <c r="V434" i="44"/>
  <c r="X434" i="44"/>
  <c r="C434" i="44"/>
  <c r="B434" i="44"/>
  <c r="H433" i="44"/>
  <c r="J433" i="44"/>
  <c r="L433" i="44"/>
  <c r="W433" i="44"/>
  <c r="T433" i="44"/>
  <c r="I433" i="44"/>
  <c r="K433" i="44"/>
  <c r="M433" i="44"/>
  <c r="N433" i="44"/>
  <c r="G433" i="44"/>
  <c r="V433" i="44"/>
  <c r="X433" i="44"/>
  <c r="C433" i="44"/>
  <c r="B433" i="44"/>
  <c r="H432" i="44"/>
  <c r="J432" i="44"/>
  <c r="L432" i="44"/>
  <c r="W432" i="44"/>
  <c r="T432" i="44"/>
  <c r="I432" i="44"/>
  <c r="K432" i="44"/>
  <c r="M432" i="44"/>
  <c r="N432" i="44"/>
  <c r="G432" i="44"/>
  <c r="V432" i="44"/>
  <c r="X432" i="44"/>
  <c r="C432" i="44"/>
  <c r="B432" i="44"/>
  <c r="H431" i="44"/>
  <c r="J431" i="44"/>
  <c r="L431" i="44"/>
  <c r="W431" i="44"/>
  <c r="T431" i="44"/>
  <c r="I431" i="44"/>
  <c r="K431" i="44"/>
  <c r="M431" i="44"/>
  <c r="N431" i="44"/>
  <c r="G431" i="44"/>
  <c r="V431" i="44"/>
  <c r="X431" i="44"/>
  <c r="C431" i="44"/>
  <c r="B431" i="44"/>
  <c r="H430" i="44"/>
  <c r="J430" i="44"/>
  <c r="L430" i="44"/>
  <c r="W430" i="44"/>
  <c r="T430" i="44"/>
  <c r="I430" i="44"/>
  <c r="K430" i="44"/>
  <c r="M430" i="44"/>
  <c r="N430" i="44"/>
  <c r="G430" i="44"/>
  <c r="V430" i="44"/>
  <c r="X430" i="44"/>
  <c r="C430" i="44"/>
  <c r="B430" i="44"/>
  <c r="H429" i="44"/>
  <c r="J429" i="44"/>
  <c r="L429" i="44"/>
  <c r="W429" i="44"/>
  <c r="T429" i="44"/>
  <c r="I429" i="44"/>
  <c r="K429" i="44"/>
  <c r="M429" i="44"/>
  <c r="N429" i="44"/>
  <c r="G429" i="44"/>
  <c r="V429" i="44"/>
  <c r="X429" i="44"/>
  <c r="C429" i="44"/>
  <c r="B429" i="44"/>
  <c r="H428" i="44"/>
  <c r="J428" i="44"/>
  <c r="L428" i="44"/>
  <c r="W428" i="44"/>
  <c r="T428" i="44"/>
  <c r="I428" i="44"/>
  <c r="K428" i="44"/>
  <c r="M428" i="44"/>
  <c r="N428" i="44"/>
  <c r="G428" i="44"/>
  <c r="V428" i="44"/>
  <c r="X428" i="44"/>
  <c r="C428" i="44"/>
  <c r="B428" i="44"/>
  <c r="H427" i="44"/>
  <c r="J427" i="44"/>
  <c r="L427" i="44"/>
  <c r="W427" i="44"/>
  <c r="T427" i="44"/>
  <c r="I427" i="44"/>
  <c r="K427" i="44"/>
  <c r="M427" i="44"/>
  <c r="N427" i="44"/>
  <c r="G427" i="44"/>
  <c r="V427" i="44"/>
  <c r="X427" i="44"/>
  <c r="C427" i="44"/>
  <c r="B427" i="44"/>
  <c r="H426" i="44"/>
  <c r="J426" i="44"/>
  <c r="L426" i="44"/>
  <c r="W426" i="44"/>
  <c r="T426" i="44"/>
  <c r="I426" i="44"/>
  <c r="K426" i="44"/>
  <c r="M426" i="44"/>
  <c r="N426" i="44"/>
  <c r="G426" i="44"/>
  <c r="V426" i="44"/>
  <c r="X426" i="44"/>
  <c r="C426" i="44"/>
  <c r="B426" i="44"/>
  <c r="H425" i="44"/>
  <c r="J425" i="44"/>
  <c r="L425" i="44"/>
  <c r="W425" i="44"/>
  <c r="T425" i="44"/>
  <c r="I425" i="44"/>
  <c r="K425" i="44"/>
  <c r="M425" i="44"/>
  <c r="N425" i="44"/>
  <c r="G425" i="44"/>
  <c r="V425" i="44"/>
  <c r="X425" i="44"/>
  <c r="C425" i="44"/>
  <c r="B425" i="44"/>
  <c r="H424" i="44"/>
  <c r="J424" i="44"/>
  <c r="L424" i="44"/>
  <c r="W424" i="44"/>
  <c r="T424" i="44"/>
  <c r="I424" i="44"/>
  <c r="K424" i="44"/>
  <c r="M424" i="44"/>
  <c r="N424" i="44"/>
  <c r="G424" i="44"/>
  <c r="V424" i="44"/>
  <c r="X424" i="44"/>
  <c r="C424" i="44"/>
  <c r="B424" i="44"/>
  <c r="H423" i="44"/>
  <c r="J423" i="44"/>
  <c r="L423" i="44"/>
  <c r="W423" i="44"/>
  <c r="T423" i="44"/>
  <c r="I423" i="44"/>
  <c r="K423" i="44"/>
  <c r="M423" i="44"/>
  <c r="N423" i="44"/>
  <c r="G423" i="44"/>
  <c r="V423" i="44"/>
  <c r="X423" i="44"/>
  <c r="C423" i="44"/>
  <c r="B423" i="44"/>
  <c r="H422" i="44"/>
  <c r="J422" i="44"/>
  <c r="L422" i="44"/>
  <c r="W422" i="44"/>
  <c r="T422" i="44"/>
  <c r="I422" i="44"/>
  <c r="K422" i="44"/>
  <c r="M422" i="44"/>
  <c r="N422" i="44"/>
  <c r="G422" i="44"/>
  <c r="V422" i="44"/>
  <c r="X422" i="44"/>
  <c r="C422" i="44"/>
  <c r="B422" i="44"/>
  <c r="H421" i="44"/>
  <c r="J421" i="44"/>
  <c r="L421" i="44"/>
  <c r="W421" i="44"/>
  <c r="T421" i="44"/>
  <c r="I421" i="44"/>
  <c r="K421" i="44"/>
  <c r="M421" i="44"/>
  <c r="N421" i="44"/>
  <c r="G421" i="44"/>
  <c r="V421" i="44"/>
  <c r="X421" i="44"/>
  <c r="C421" i="44"/>
  <c r="B421" i="44"/>
  <c r="H420" i="44"/>
  <c r="J420" i="44"/>
  <c r="L420" i="44"/>
  <c r="W420" i="44"/>
  <c r="T420" i="44"/>
  <c r="I420" i="44"/>
  <c r="K420" i="44"/>
  <c r="M420" i="44"/>
  <c r="N420" i="44"/>
  <c r="G420" i="44"/>
  <c r="V420" i="44"/>
  <c r="X420" i="44"/>
  <c r="C420" i="44"/>
  <c r="B420" i="44"/>
  <c r="H419" i="44"/>
  <c r="J419" i="44"/>
  <c r="L419" i="44"/>
  <c r="W419" i="44"/>
  <c r="T419" i="44"/>
  <c r="I419" i="44"/>
  <c r="K419" i="44"/>
  <c r="M419" i="44"/>
  <c r="N419" i="44"/>
  <c r="G419" i="44"/>
  <c r="V419" i="44"/>
  <c r="X419" i="44"/>
  <c r="C419" i="44"/>
  <c r="B419" i="44"/>
  <c r="H418" i="44"/>
  <c r="J418" i="44"/>
  <c r="L418" i="44"/>
  <c r="W418" i="44"/>
  <c r="T418" i="44"/>
  <c r="I418" i="44"/>
  <c r="K418" i="44"/>
  <c r="M418" i="44"/>
  <c r="N418" i="44"/>
  <c r="G418" i="44"/>
  <c r="V418" i="44"/>
  <c r="X418" i="44"/>
  <c r="C418" i="44"/>
  <c r="B418" i="44"/>
  <c r="H417" i="44"/>
  <c r="J417" i="44"/>
  <c r="L417" i="44"/>
  <c r="W417" i="44"/>
  <c r="T417" i="44"/>
  <c r="I417" i="44"/>
  <c r="K417" i="44"/>
  <c r="M417" i="44"/>
  <c r="N417" i="44"/>
  <c r="G417" i="44"/>
  <c r="V417" i="44"/>
  <c r="X417" i="44"/>
  <c r="C417" i="44"/>
  <c r="B417" i="44"/>
  <c r="H416" i="44"/>
  <c r="J416" i="44"/>
  <c r="L416" i="44"/>
  <c r="W416" i="44"/>
  <c r="T416" i="44"/>
  <c r="I416" i="44"/>
  <c r="K416" i="44"/>
  <c r="M416" i="44"/>
  <c r="N416" i="44"/>
  <c r="G416" i="44"/>
  <c r="V416" i="44"/>
  <c r="X416" i="44"/>
  <c r="C416" i="44"/>
  <c r="B416" i="44"/>
  <c r="H415" i="44"/>
  <c r="J415" i="44"/>
  <c r="L415" i="44"/>
  <c r="W415" i="44"/>
  <c r="T415" i="44"/>
  <c r="I415" i="44"/>
  <c r="K415" i="44"/>
  <c r="M415" i="44"/>
  <c r="N415" i="44"/>
  <c r="G415" i="44"/>
  <c r="V415" i="44"/>
  <c r="X415" i="44"/>
  <c r="C415" i="44"/>
  <c r="B415" i="44"/>
  <c r="H414" i="44"/>
  <c r="J414" i="44"/>
  <c r="L414" i="44"/>
  <c r="W414" i="44"/>
  <c r="T414" i="44"/>
  <c r="I414" i="44"/>
  <c r="K414" i="44"/>
  <c r="M414" i="44"/>
  <c r="N414" i="44"/>
  <c r="G414" i="44"/>
  <c r="V414" i="44"/>
  <c r="X414" i="44"/>
  <c r="C414" i="44"/>
  <c r="B414" i="44"/>
  <c r="H413" i="44"/>
  <c r="J413" i="44"/>
  <c r="L413" i="44"/>
  <c r="W413" i="44"/>
  <c r="T413" i="44"/>
  <c r="I413" i="44"/>
  <c r="K413" i="44"/>
  <c r="M413" i="44"/>
  <c r="N413" i="44"/>
  <c r="G413" i="44"/>
  <c r="V413" i="44"/>
  <c r="X413" i="44"/>
  <c r="C413" i="44"/>
  <c r="B413" i="44"/>
  <c r="H412" i="44"/>
  <c r="J412" i="44"/>
  <c r="L412" i="44"/>
  <c r="W412" i="44"/>
  <c r="T412" i="44"/>
  <c r="I412" i="44"/>
  <c r="K412" i="44"/>
  <c r="M412" i="44"/>
  <c r="N412" i="44"/>
  <c r="G412" i="44"/>
  <c r="V412" i="44"/>
  <c r="X412" i="44"/>
  <c r="C412" i="44"/>
  <c r="B412" i="44"/>
  <c r="H411" i="44"/>
  <c r="J411" i="44"/>
  <c r="L411" i="44"/>
  <c r="W411" i="44"/>
  <c r="T411" i="44"/>
  <c r="I411" i="44"/>
  <c r="K411" i="44"/>
  <c r="M411" i="44"/>
  <c r="N411" i="44"/>
  <c r="G411" i="44"/>
  <c r="V411" i="44"/>
  <c r="X411" i="44"/>
  <c r="C411" i="44"/>
  <c r="B411" i="44"/>
  <c r="H410" i="44"/>
  <c r="J410" i="44"/>
  <c r="L410" i="44"/>
  <c r="W410" i="44"/>
  <c r="T410" i="44"/>
  <c r="I410" i="44"/>
  <c r="K410" i="44"/>
  <c r="M410" i="44"/>
  <c r="N410" i="44"/>
  <c r="G410" i="44"/>
  <c r="V410" i="44"/>
  <c r="X410" i="44"/>
  <c r="C410" i="44"/>
  <c r="B410" i="44"/>
  <c r="H409" i="44"/>
  <c r="J409" i="44"/>
  <c r="L409" i="44"/>
  <c r="W409" i="44"/>
  <c r="T409" i="44"/>
  <c r="I409" i="44"/>
  <c r="K409" i="44"/>
  <c r="M409" i="44"/>
  <c r="N409" i="44"/>
  <c r="G409" i="44"/>
  <c r="V409" i="44"/>
  <c r="X409" i="44"/>
  <c r="C409" i="44"/>
  <c r="B409" i="44"/>
  <c r="H408" i="44"/>
  <c r="J408" i="44"/>
  <c r="L408" i="44"/>
  <c r="W408" i="44"/>
  <c r="T408" i="44"/>
  <c r="I408" i="44"/>
  <c r="K408" i="44"/>
  <c r="M408" i="44"/>
  <c r="N408" i="44"/>
  <c r="G408" i="44"/>
  <c r="V408" i="44"/>
  <c r="X408" i="44"/>
  <c r="C408" i="44"/>
  <c r="B408" i="44"/>
  <c r="H407" i="44"/>
  <c r="J407" i="44"/>
  <c r="L407" i="44"/>
  <c r="W407" i="44"/>
  <c r="T407" i="44"/>
  <c r="I407" i="44"/>
  <c r="K407" i="44"/>
  <c r="M407" i="44"/>
  <c r="N407" i="44"/>
  <c r="G407" i="44"/>
  <c r="V407" i="44"/>
  <c r="X407" i="44"/>
  <c r="C407" i="44"/>
  <c r="B407" i="44"/>
  <c r="H406" i="44"/>
  <c r="J406" i="44"/>
  <c r="L406" i="44"/>
  <c r="W406" i="44"/>
  <c r="T406" i="44"/>
  <c r="I406" i="44"/>
  <c r="K406" i="44"/>
  <c r="M406" i="44"/>
  <c r="N406" i="44"/>
  <c r="G406" i="44"/>
  <c r="V406" i="44"/>
  <c r="X406" i="44"/>
  <c r="C406" i="44"/>
  <c r="B406" i="44"/>
  <c r="H405" i="44"/>
  <c r="J405" i="44"/>
  <c r="L405" i="44"/>
  <c r="W405" i="44"/>
  <c r="T405" i="44"/>
  <c r="I405" i="44"/>
  <c r="K405" i="44"/>
  <c r="M405" i="44"/>
  <c r="N405" i="44"/>
  <c r="G405" i="44"/>
  <c r="V405" i="44"/>
  <c r="X405" i="44"/>
  <c r="C405" i="44"/>
  <c r="B405" i="44"/>
  <c r="H404" i="44"/>
  <c r="J404" i="44"/>
  <c r="L404" i="44"/>
  <c r="W404" i="44"/>
  <c r="T404" i="44"/>
  <c r="I404" i="44"/>
  <c r="K404" i="44"/>
  <c r="M404" i="44"/>
  <c r="N404" i="44"/>
  <c r="G404" i="44"/>
  <c r="V404" i="44"/>
  <c r="X404" i="44"/>
  <c r="C404" i="44"/>
  <c r="B404" i="44"/>
  <c r="H403" i="44"/>
  <c r="J403" i="44"/>
  <c r="L403" i="44"/>
  <c r="W403" i="44"/>
  <c r="T403" i="44"/>
  <c r="I403" i="44"/>
  <c r="K403" i="44"/>
  <c r="M403" i="44"/>
  <c r="N403" i="44"/>
  <c r="G403" i="44"/>
  <c r="V403" i="44"/>
  <c r="X403" i="44"/>
  <c r="C403" i="44"/>
  <c r="B403" i="44"/>
  <c r="H402" i="44"/>
  <c r="J402" i="44"/>
  <c r="L402" i="44"/>
  <c r="W402" i="44"/>
  <c r="T402" i="44"/>
  <c r="I402" i="44"/>
  <c r="K402" i="44"/>
  <c r="M402" i="44"/>
  <c r="N402" i="44"/>
  <c r="G402" i="44"/>
  <c r="V402" i="44"/>
  <c r="X402" i="44"/>
  <c r="C402" i="44"/>
  <c r="B402" i="44"/>
  <c r="H401" i="44"/>
  <c r="J401" i="44"/>
  <c r="L401" i="44"/>
  <c r="W401" i="44"/>
  <c r="T401" i="44"/>
  <c r="I401" i="44"/>
  <c r="K401" i="44"/>
  <c r="M401" i="44"/>
  <c r="N401" i="44"/>
  <c r="G401" i="44"/>
  <c r="V401" i="44"/>
  <c r="X401" i="44"/>
  <c r="C401" i="44"/>
  <c r="B401" i="44"/>
  <c r="H400" i="44"/>
  <c r="J400" i="44"/>
  <c r="L400" i="44"/>
  <c r="W400" i="44"/>
  <c r="T400" i="44"/>
  <c r="I400" i="44"/>
  <c r="K400" i="44"/>
  <c r="M400" i="44"/>
  <c r="N400" i="44"/>
  <c r="G400" i="44"/>
  <c r="V400" i="44"/>
  <c r="X400" i="44"/>
  <c r="C400" i="44"/>
  <c r="B400" i="44"/>
  <c r="H399" i="44"/>
  <c r="J399" i="44"/>
  <c r="L399" i="44"/>
  <c r="W399" i="44"/>
  <c r="T399" i="44"/>
  <c r="I399" i="44"/>
  <c r="K399" i="44"/>
  <c r="M399" i="44"/>
  <c r="N399" i="44"/>
  <c r="G399" i="44"/>
  <c r="V399" i="44"/>
  <c r="X399" i="44"/>
  <c r="C399" i="44"/>
  <c r="B399" i="44"/>
  <c r="H398" i="44"/>
  <c r="J398" i="44"/>
  <c r="L398" i="44"/>
  <c r="W398" i="44"/>
  <c r="T398" i="44"/>
  <c r="I398" i="44"/>
  <c r="K398" i="44"/>
  <c r="M398" i="44"/>
  <c r="N398" i="44"/>
  <c r="G398" i="44"/>
  <c r="V398" i="44"/>
  <c r="X398" i="44"/>
  <c r="C398" i="44"/>
  <c r="B398" i="44"/>
  <c r="H397" i="44"/>
  <c r="J397" i="44"/>
  <c r="L397" i="44"/>
  <c r="W397" i="44"/>
  <c r="T397" i="44"/>
  <c r="I397" i="44"/>
  <c r="K397" i="44"/>
  <c r="M397" i="44"/>
  <c r="N397" i="44"/>
  <c r="G397" i="44"/>
  <c r="V397" i="44"/>
  <c r="X397" i="44"/>
  <c r="C397" i="44"/>
  <c r="B397" i="44"/>
  <c r="H396" i="44"/>
  <c r="J396" i="44"/>
  <c r="L396" i="44"/>
  <c r="W396" i="44"/>
  <c r="T396" i="44"/>
  <c r="I396" i="44"/>
  <c r="K396" i="44"/>
  <c r="M396" i="44"/>
  <c r="N396" i="44"/>
  <c r="G396" i="44"/>
  <c r="V396" i="44"/>
  <c r="X396" i="44"/>
  <c r="C396" i="44"/>
  <c r="B396" i="44"/>
  <c r="H395" i="44"/>
  <c r="J395" i="44"/>
  <c r="L395" i="44"/>
  <c r="W395" i="44"/>
  <c r="T395" i="44"/>
  <c r="I395" i="44"/>
  <c r="K395" i="44"/>
  <c r="M395" i="44"/>
  <c r="N395" i="44"/>
  <c r="G395" i="44"/>
  <c r="V395" i="44"/>
  <c r="X395" i="44"/>
  <c r="C395" i="44"/>
  <c r="B395" i="44"/>
  <c r="H394" i="44"/>
  <c r="J394" i="44"/>
  <c r="L394" i="44"/>
  <c r="W394" i="44"/>
  <c r="T394" i="44"/>
  <c r="I394" i="44"/>
  <c r="K394" i="44"/>
  <c r="M394" i="44"/>
  <c r="N394" i="44"/>
  <c r="G394" i="44"/>
  <c r="V394" i="44"/>
  <c r="X394" i="44"/>
  <c r="C394" i="44"/>
  <c r="B394" i="44"/>
  <c r="H393" i="44"/>
  <c r="J393" i="44"/>
  <c r="L393" i="44"/>
  <c r="W393" i="44"/>
  <c r="T393" i="44"/>
  <c r="I393" i="44"/>
  <c r="K393" i="44"/>
  <c r="M393" i="44"/>
  <c r="N393" i="44"/>
  <c r="G393" i="44"/>
  <c r="V393" i="44"/>
  <c r="X393" i="44"/>
  <c r="C393" i="44"/>
  <c r="B393" i="44"/>
  <c r="H392" i="44"/>
  <c r="J392" i="44"/>
  <c r="L392" i="44"/>
  <c r="W392" i="44"/>
  <c r="T392" i="44"/>
  <c r="I392" i="44"/>
  <c r="K392" i="44"/>
  <c r="M392" i="44"/>
  <c r="N392" i="44"/>
  <c r="G392" i="44"/>
  <c r="V392" i="44"/>
  <c r="X392" i="44"/>
  <c r="C392" i="44"/>
  <c r="B392" i="44"/>
  <c r="H391" i="44"/>
  <c r="J391" i="44"/>
  <c r="L391" i="44"/>
  <c r="W391" i="44"/>
  <c r="T391" i="44"/>
  <c r="I391" i="44"/>
  <c r="K391" i="44"/>
  <c r="M391" i="44"/>
  <c r="N391" i="44"/>
  <c r="G391" i="44"/>
  <c r="V391" i="44"/>
  <c r="X391" i="44"/>
  <c r="C391" i="44"/>
  <c r="B391" i="44"/>
  <c r="H390" i="44"/>
  <c r="J390" i="44"/>
  <c r="L390" i="44"/>
  <c r="W390" i="44"/>
  <c r="T390" i="44"/>
  <c r="I390" i="44"/>
  <c r="K390" i="44"/>
  <c r="M390" i="44"/>
  <c r="N390" i="44"/>
  <c r="G390" i="44"/>
  <c r="V390" i="44"/>
  <c r="X390" i="44"/>
  <c r="C390" i="44"/>
  <c r="B390" i="44"/>
  <c r="H389" i="44"/>
  <c r="J389" i="44"/>
  <c r="L389" i="44"/>
  <c r="W389" i="44"/>
  <c r="T389" i="44"/>
  <c r="I389" i="44"/>
  <c r="K389" i="44"/>
  <c r="M389" i="44"/>
  <c r="N389" i="44"/>
  <c r="G389" i="44"/>
  <c r="V389" i="44"/>
  <c r="X389" i="44"/>
  <c r="C389" i="44"/>
  <c r="B389" i="44"/>
  <c r="H388" i="44"/>
  <c r="J388" i="44"/>
  <c r="L388" i="44"/>
  <c r="W388" i="44"/>
  <c r="T388" i="44"/>
  <c r="I388" i="44"/>
  <c r="K388" i="44"/>
  <c r="M388" i="44"/>
  <c r="N388" i="44"/>
  <c r="G388" i="44"/>
  <c r="V388" i="44"/>
  <c r="X388" i="44"/>
  <c r="C388" i="44"/>
  <c r="B388" i="44"/>
  <c r="H387" i="44"/>
  <c r="J387" i="44"/>
  <c r="L387" i="44"/>
  <c r="W387" i="44"/>
  <c r="T387" i="44"/>
  <c r="I387" i="44"/>
  <c r="K387" i="44"/>
  <c r="M387" i="44"/>
  <c r="N387" i="44"/>
  <c r="G387" i="44"/>
  <c r="V387" i="44"/>
  <c r="X387" i="44"/>
  <c r="C387" i="44"/>
  <c r="B387" i="44"/>
  <c r="H386" i="44"/>
  <c r="J386" i="44"/>
  <c r="L386" i="44"/>
  <c r="W386" i="44"/>
  <c r="T386" i="44"/>
  <c r="I386" i="44"/>
  <c r="K386" i="44"/>
  <c r="M386" i="44"/>
  <c r="N386" i="44"/>
  <c r="G386" i="44"/>
  <c r="V386" i="44"/>
  <c r="X386" i="44"/>
  <c r="C386" i="44"/>
  <c r="B386" i="44"/>
  <c r="H385" i="44"/>
  <c r="J385" i="44"/>
  <c r="L385" i="44"/>
  <c r="W385" i="44"/>
  <c r="T385" i="44"/>
  <c r="I385" i="44"/>
  <c r="K385" i="44"/>
  <c r="M385" i="44"/>
  <c r="N385" i="44"/>
  <c r="G385" i="44"/>
  <c r="V385" i="44"/>
  <c r="X385" i="44"/>
  <c r="C385" i="44"/>
  <c r="B385" i="44"/>
  <c r="H384" i="44"/>
  <c r="J384" i="44"/>
  <c r="L384" i="44"/>
  <c r="W384" i="44"/>
  <c r="T384" i="44"/>
  <c r="I384" i="44"/>
  <c r="K384" i="44"/>
  <c r="M384" i="44"/>
  <c r="N384" i="44"/>
  <c r="G384" i="44"/>
  <c r="V384" i="44"/>
  <c r="X384" i="44"/>
  <c r="C384" i="44"/>
  <c r="B384" i="44"/>
  <c r="H383" i="44"/>
  <c r="J383" i="44"/>
  <c r="L383" i="44"/>
  <c r="W383" i="44"/>
  <c r="T383" i="44"/>
  <c r="I383" i="44"/>
  <c r="K383" i="44"/>
  <c r="M383" i="44"/>
  <c r="N383" i="44"/>
  <c r="G383" i="44"/>
  <c r="V383" i="44"/>
  <c r="X383" i="44"/>
  <c r="C383" i="44"/>
  <c r="B383" i="44"/>
  <c r="H382" i="44"/>
  <c r="J382" i="44"/>
  <c r="L382" i="44"/>
  <c r="W382" i="44"/>
  <c r="T382" i="44"/>
  <c r="I382" i="44"/>
  <c r="K382" i="44"/>
  <c r="M382" i="44"/>
  <c r="N382" i="44"/>
  <c r="G382" i="44"/>
  <c r="V382" i="44"/>
  <c r="X382" i="44"/>
  <c r="C382" i="44"/>
  <c r="B382" i="44"/>
  <c r="H381" i="44"/>
  <c r="J381" i="44"/>
  <c r="L381" i="44"/>
  <c r="W381" i="44"/>
  <c r="T381" i="44"/>
  <c r="I381" i="44"/>
  <c r="K381" i="44"/>
  <c r="M381" i="44"/>
  <c r="N381" i="44"/>
  <c r="G381" i="44"/>
  <c r="V381" i="44"/>
  <c r="X381" i="44"/>
  <c r="C381" i="44"/>
  <c r="B381" i="44"/>
  <c r="H380" i="44"/>
  <c r="J380" i="44"/>
  <c r="L380" i="44"/>
  <c r="W380" i="44"/>
  <c r="T380" i="44"/>
  <c r="I380" i="44"/>
  <c r="K380" i="44"/>
  <c r="M380" i="44"/>
  <c r="N380" i="44"/>
  <c r="G380" i="44"/>
  <c r="V380" i="44"/>
  <c r="X380" i="44"/>
  <c r="C380" i="44"/>
  <c r="B380" i="44"/>
  <c r="H379" i="44"/>
  <c r="J379" i="44"/>
  <c r="L379" i="44"/>
  <c r="W379" i="44"/>
  <c r="T379" i="44"/>
  <c r="I379" i="44"/>
  <c r="K379" i="44"/>
  <c r="M379" i="44"/>
  <c r="N379" i="44"/>
  <c r="G379" i="44"/>
  <c r="V379" i="44"/>
  <c r="X379" i="44"/>
  <c r="C379" i="44"/>
  <c r="B379" i="44"/>
  <c r="H378" i="44"/>
  <c r="J378" i="44"/>
  <c r="L378" i="44"/>
  <c r="W378" i="44"/>
  <c r="T378" i="44"/>
  <c r="I378" i="44"/>
  <c r="K378" i="44"/>
  <c r="M378" i="44"/>
  <c r="N378" i="44"/>
  <c r="G378" i="44"/>
  <c r="V378" i="44"/>
  <c r="X378" i="44"/>
  <c r="C378" i="44"/>
  <c r="B378" i="44"/>
  <c r="H377" i="44"/>
  <c r="J377" i="44"/>
  <c r="L377" i="44"/>
  <c r="W377" i="44"/>
  <c r="T377" i="44"/>
  <c r="I377" i="44"/>
  <c r="K377" i="44"/>
  <c r="M377" i="44"/>
  <c r="N377" i="44"/>
  <c r="G377" i="44"/>
  <c r="V377" i="44"/>
  <c r="X377" i="44"/>
  <c r="C377" i="44"/>
  <c r="B377" i="44"/>
  <c r="H376" i="44"/>
  <c r="J376" i="44"/>
  <c r="L376" i="44"/>
  <c r="W376" i="44"/>
  <c r="T376" i="44"/>
  <c r="I376" i="44"/>
  <c r="K376" i="44"/>
  <c r="M376" i="44"/>
  <c r="N376" i="44"/>
  <c r="G376" i="44"/>
  <c r="V376" i="44"/>
  <c r="X376" i="44"/>
  <c r="C376" i="44"/>
  <c r="B376" i="44"/>
  <c r="H375" i="44"/>
  <c r="J375" i="44"/>
  <c r="L375" i="44"/>
  <c r="W375" i="44"/>
  <c r="T375" i="44"/>
  <c r="I375" i="44"/>
  <c r="K375" i="44"/>
  <c r="M375" i="44"/>
  <c r="N375" i="44"/>
  <c r="G375" i="44"/>
  <c r="V375" i="44"/>
  <c r="X375" i="44"/>
  <c r="C375" i="44"/>
  <c r="B375" i="44"/>
  <c r="H374" i="44"/>
  <c r="J374" i="44"/>
  <c r="L374" i="44"/>
  <c r="W374" i="44"/>
  <c r="T374" i="44"/>
  <c r="I374" i="44"/>
  <c r="K374" i="44"/>
  <c r="M374" i="44"/>
  <c r="N374" i="44"/>
  <c r="G374" i="44"/>
  <c r="V374" i="44"/>
  <c r="X374" i="44"/>
  <c r="C374" i="44"/>
  <c r="B374" i="44"/>
  <c r="H373" i="44"/>
  <c r="J373" i="44"/>
  <c r="L373" i="44"/>
  <c r="W373" i="44"/>
  <c r="T373" i="44"/>
  <c r="I373" i="44"/>
  <c r="K373" i="44"/>
  <c r="M373" i="44"/>
  <c r="N373" i="44"/>
  <c r="G373" i="44"/>
  <c r="V373" i="44"/>
  <c r="X373" i="44"/>
  <c r="C373" i="44"/>
  <c r="B373" i="44"/>
  <c r="H372" i="44"/>
  <c r="J372" i="44"/>
  <c r="L372" i="44"/>
  <c r="W372" i="44"/>
  <c r="T372" i="44"/>
  <c r="I372" i="44"/>
  <c r="K372" i="44"/>
  <c r="M372" i="44"/>
  <c r="N372" i="44"/>
  <c r="G372" i="44"/>
  <c r="V372" i="44"/>
  <c r="X372" i="44"/>
  <c r="C372" i="44"/>
  <c r="B372" i="44"/>
  <c r="H371" i="44"/>
  <c r="J371" i="44"/>
  <c r="L371" i="44"/>
  <c r="W371" i="44"/>
  <c r="T371" i="44"/>
  <c r="I371" i="44"/>
  <c r="K371" i="44"/>
  <c r="M371" i="44"/>
  <c r="N371" i="44"/>
  <c r="G371" i="44"/>
  <c r="V371" i="44"/>
  <c r="X371" i="44"/>
  <c r="C371" i="44"/>
  <c r="B371" i="44"/>
  <c r="H370" i="44"/>
  <c r="J370" i="44"/>
  <c r="L370" i="44"/>
  <c r="W370" i="44"/>
  <c r="T370" i="44"/>
  <c r="I370" i="44"/>
  <c r="K370" i="44"/>
  <c r="M370" i="44"/>
  <c r="N370" i="44"/>
  <c r="G370" i="44"/>
  <c r="V370" i="44"/>
  <c r="X370" i="44"/>
  <c r="C370" i="44"/>
  <c r="B370" i="44"/>
  <c r="H369" i="44"/>
  <c r="J369" i="44"/>
  <c r="L369" i="44"/>
  <c r="W369" i="44"/>
  <c r="T369" i="44"/>
  <c r="I369" i="44"/>
  <c r="K369" i="44"/>
  <c r="M369" i="44"/>
  <c r="N369" i="44"/>
  <c r="G369" i="44"/>
  <c r="V369" i="44"/>
  <c r="X369" i="44"/>
  <c r="C369" i="44"/>
  <c r="B369" i="44"/>
  <c r="H368" i="44"/>
  <c r="J368" i="44"/>
  <c r="L368" i="44"/>
  <c r="W368" i="44"/>
  <c r="T368" i="44"/>
  <c r="I368" i="44"/>
  <c r="K368" i="44"/>
  <c r="M368" i="44"/>
  <c r="N368" i="44"/>
  <c r="G368" i="44"/>
  <c r="V368" i="44"/>
  <c r="X368" i="44"/>
  <c r="C368" i="44"/>
  <c r="B368" i="44"/>
  <c r="H367" i="44"/>
  <c r="J367" i="44"/>
  <c r="L367" i="44"/>
  <c r="W367" i="44"/>
  <c r="T367" i="44"/>
  <c r="I367" i="44"/>
  <c r="K367" i="44"/>
  <c r="M367" i="44"/>
  <c r="N367" i="44"/>
  <c r="G367" i="44"/>
  <c r="V367" i="44"/>
  <c r="X367" i="44"/>
  <c r="C367" i="44"/>
  <c r="B367" i="44"/>
  <c r="H366" i="44"/>
  <c r="J366" i="44"/>
  <c r="L366" i="44"/>
  <c r="W366" i="44"/>
  <c r="T366" i="44"/>
  <c r="I366" i="44"/>
  <c r="K366" i="44"/>
  <c r="M366" i="44"/>
  <c r="N366" i="44"/>
  <c r="G366" i="44"/>
  <c r="V366" i="44"/>
  <c r="X366" i="44"/>
  <c r="C366" i="44"/>
  <c r="B366" i="44"/>
  <c r="H365" i="44"/>
  <c r="J365" i="44"/>
  <c r="L365" i="44"/>
  <c r="W365" i="44"/>
  <c r="T365" i="44"/>
  <c r="I365" i="44"/>
  <c r="K365" i="44"/>
  <c r="M365" i="44"/>
  <c r="N365" i="44"/>
  <c r="G365" i="44"/>
  <c r="V365" i="44"/>
  <c r="X365" i="44"/>
  <c r="C365" i="44"/>
  <c r="B365" i="44"/>
  <c r="H364" i="44"/>
  <c r="J364" i="44"/>
  <c r="L364" i="44"/>
  <c r="W364" i="44"/>
  <c r="T364" i="44"/>
  <c r="I364" i="44"/>
  <c r="K364" i="44"/>
  <c r="M364" i="44"/>
  <c r="N364" i="44"/>
  <c r="G364" i="44"/>
  <c r="V364" i="44"/>
  <c r="X364" i="44"/>
  <c r="C364" i="44"/>
  <c r="B364" i="44"/>
  <c r="H363" i="44"/>
  <c r="J363" i="44"/>
  <c r="L363" i="44"/>
  <c r="W363" i="44"/>
  <c r="T363" i="44"/>
  <c r="I363" i="44"/>
  <c r="K363" i="44"/>
  <c r="M363" i="44"/>
  <c r="N363" i="44"/>
  <c r="G363" i="44"/>
  <c r="V363" i="44"/>
  <c r="X363" i="44"/>
  <c r="C363" i="44"/>
  <c r="B363" i="44"/>
  <c r="H362" i="44"/>
  <c r="J362" i="44"/>
  <c r="L362" i="44"/>
  <c r="W362" i="44"/>
  <c r="T362" i="44"/>
  <c r="I362" i="44"/>
  <c r="K362" i="44"/>
  <c r="M362" i="44"/>
  <c r="N362" i="44"/>
  <c r="G362" i="44"/>
  <c r="V362" i="44"/>
  <c r="X362" i="44"/>
  <c r="C362" i="44"/>
  <c r="B362" i="44"/>
  <c r="H361" i="44"/>
  <c r="J361" i="44"/>
  <c r="L361" i="44"/>
  <c r="W361" i="44"/>
  <c r="T361" i="44"/>
  <c r="I361" i="44"/>
  <c r="K361" i="44"/>
  <c r="M361" i="44"/>
  <c r="N361" i="44"/>
  <c r="G361" i="44"/>
  <c r="V361" i="44"/>
  <c r="X361" i="44"/>
  <c r="C361" i="44"/>
  <c r="B361" i="44"/>
  <c r="H360" i="44"/>
  <c r="J360" i="44"/>
  <c r="L360" i="44"/>
  <c r="W360" i="44"/>
  <c r="T360" i="44"/>
  <c r="I360" i="44"/>
  <c r="K360" i="44"/>
  <c r="M360" i="44"/>
  <c r="N360" i="44"/>
  <c r="G360" i="44"/>
  <c r="V360" i="44"/>
  <c r="X360" i="44"/>
  <c r="C360" i="44"/>
  <c r="B360" i="44"/>
  <c r="H359" i="44"/>
  <c r="J359" i="44"/>
  <c r="L359" i="44"/>
  <c r="W359" i="44"/>
  <c r="T359" i="44"/>
  <c r="I359" i="44"/>
  <c r="K359" i="44"/>
  <c r="M359" i="44"/>
  <c r="N359" i="44"/>
  <c r="G359" i="44"/>
  <c r="V359" i="44"/>
  <c r="X359" i="44"/>
  <c r="C359" i="44"/>
  <c r="B359" i="44"/>
  <c r="H358" i="44"/>
  <c r="J358" i="44"/>
  <c r="L358" i="44"/>
  <c r="W358" i="44"/>
  <c r="T358" i="44"/>
  <c r="I358" i="44"/>
  <c r="K358" i="44"/>
  <c r="M358" i="44"/>
  <c r="N358" i="44"/>
  <c r="G358" i="44"/>
  <c r="V358" i="44"/>
  <c r="X358" i="44"/>
  <c r="C358" i="44"/>
  <c r="B358" i="44"/>
  <c r="H357" i="44"/>
  <c r="J357" i="44"/>
  <c r="L357" i="44"/>
  <c r="W357" i="44"/>
  <c r="T357" i="44"/>
  <c r="I357" i="44"/>
  <c r="K357" i="44"/>
  <c r="M357" i="44"/>
  <c r="N357" i="44"/>
  <c r="G357" i="44"/>
  <c r="V357" i="44"/>
  <c r="X357" i="44"/>
  <c r="C357" i="44"/>
  <c r="B357" i="44"/>
  <c r="H356" i="44"/>
  <c r="J356" i="44"/>
  <c r="L356" i="44"/>
  <c r="W356" i="44"/>
  <c r="T356" i="44"/>
  <c r="I356" i="44"/>
  <c r="K356" i="44"/>
  <c r="M356" i="44"/>
  <c r="N356" i="44"/>
  <c r="G356" i="44"/>
  <c r="V356" i="44"/>
  <c r="X356" i="44"/>
  <c r="C356" i="44"/>
  <c r="B356" i="44"/>
  <c r="H355" i="44"/>
  <c r="J355" i="44"/>
  <c r="L355" i="44"/>
  <c r="W355" i="44"/>
  <c r="T355" i="44"/>
  <c r="I355" i="44"/>
  <c r="K355" i="44"/>
  <c r="M355" i="44"/>
  <c r="N355" i="44"/>
  <c r="G355" i="44"/>
  <c r="V355" i="44"/>
  <c r="X355" i="44"/>
  <c r="C355" i="44"/>
  <c r="B355" i="44"/>
  <c r="H354" i="44"/>
  <c r="J354" i="44"/>
  <c r="L354" i="44"/>
  <c r="W354" i="44"/>
  <c r="T354" i="44"/>
  <c r="I354" i="44"/>
  <c r="K354" i="44"/>
  <c r="M354" i="44"/>
  <c r="N354" i="44"/>
  <c r="G354" i="44"/>
  <c r="V354" i="44"/>
  <c r="X354" i="44"/>
  <c r="C354" i="44"/>
  <c r="B354" i="44"/>
  <c r="H353" i="44"/>
  <c r="J353" i="44"/>
  <c r="L353" i="44"/>
  <c r="W353" i="44"/>
  <c r="T353" i="44"/>
  <c r="I353" i="44"/>
  <c r="K353" i="44"/>
  <c r="M353" i="44"/>
  <c r="N353" i="44"/>
  <c r="G353" i="44"/>
  <c r="V353" i="44"/>
  <c r="X353" i="44"/>
  <c r="C353" i="44"/>
  <c r="B353" i="44"/>
  <c r="H352" i="44"/>
  <c r="J352" i="44"/>
  <c r="L352" i="44"/>
  <c r="W352" i="44"/>
  <c r="T352" i="44"/>
  <c r="I352" i="44"/>
  <c r="K352" i="44"/>
  <c r="M352" i="44"/>
  <c r="N352" i="44"/>
  <c r="G352" i="44"/>
  <c r="V352" i="44"/>
  <c r="X352" i="44"/>
  <c r="C352" i="44"/>
  <c r="B352" i="44"/>
  <c r="H351" i="44"/>
  <c r="J351" i="44"/>
  <c r="L351" i="44"/>
  <c r="W351" i="44"/>
  <c r="T351" i="44"/>
  <c r="I351" i="44"/>
  <c r="K351" i="44"/>
  <c r="M351" i="44"/>
  <c r="N351" i="44"/>
  <c r="G351" i="44"/>
  <c r="V351" i="44"/>
  <c r="X351" i="44"/>
  <c r="C351" i="44"/>
  <c r="B351" i="44"/>
  <c r="H350" i="44"/>
  <c r="J350" i="44"/>
  <c r="L350" i="44"/>
  <c r="W350" i="44"/>
  <c r="T350" i="44"/>
  <c r="I350" i="44"/>
  <c r="K350" i="44"/>
  <c r="M350" i="44"/>
  <c r="N350" i="44"/>
  <c r="G350" i="44"/>
  <c r="V350" i="44"/>
  <c r="X350" i="44"/>
  <c r="C350" i="44"/>
  <c r="B350" i="44"/>
  <c r="H349" i="44"/>
  <c r="J349" i="44"/>
  <c r="L349" i="44"/>
  <c r="W349" i="44"/>
  <c r="T349" i="44"/>
  <c r="I349" i="44"/>
  <c r="K349" i="44"/>
  <c r="M349" i="44"/>
  <c r="N349" i="44"/>
  <c r="G349" i="44"/>
  <c r="V349" i="44"/>
  <c r="X349" i="44"/>
  <c r="C349" i="44"/>
  <c r="B349" i="44"/>
  <c r="H348" i="44"/>
  <c r="J348" i="44"/>
  <c r="L348" i="44"/>
  <c r="W348" i="44"/>
  <c r="T348" i="44"/>
  <c r="I348" i="44"/>
  <c r="K348" i="44"/>
  <c r="M348" i="44"/>
  <c r="N348" i="44"/>
  <c r="G348" i="44"/>
  <c r="V348" i="44"/>
  <c r="X348" i="44"/>
  <c r="C348" i="44"/>
  <c r="B348" i="44"/>
  <c r="H347" i="44"/>
  <c r="J347" i="44"/>
  <c r="L347" i="44"/>
  <c r="W347" i="44"/>
  <c r="T347" i="44"/>
  <c r="I347" i="44"/>
  <c r="K347" i="44"/>
  <c r="M347" i="44"/>
  <c r="N347" i="44"/>
  <c r="G347" i="44"/>
  <c r="V347" i="44"/>
  <c r="X347" i="44"/>
  <c r="C347" i="44"/>
  <c r="B347" i="44"/>
  <c r="H346" i="44"/>
  <c r="J346" i="44"/>
  <c r="L346" i="44"/>
  <c r="W346" i="44"/>
  <c r="T346" i="44"/>
  <c r="I346" i="44"/>
  <c r="K346" i="44"/>
  <c r="M346" i="44"/>
  <c r="N346" i="44"/>
  <c r="G346" i="44"/>
  <c r="V346" i="44"/>
  <c r="X346" i="44"/>
  <c r="C346" i="44"/>
  <c r="B346" i="44"/>
  <c r="H345" i="44"/>
  <c r="J345" i="44"/>
  <c r="L345" i="44"/>
  <c r="W345" i="44"/>
  <c r="T345" i="44"/>
  <c r="I345" i="44"/>
  <c r="K345" i="44"/>
  <c r="M345" i="44"/>
  <c r="N345" i="44"/>
  <c r="G345" i="44"/>
  <c r="V345" i="44"/>
  <c r="X345" i="44"/>
  <c r="C345" i="44"/>
  <c r="B345" i="44"/>
  <c r="H344" i="44"/>
  <c r="J344" i="44"/>
  <c r="L344" i="44"/>
  <c r="W344" i="44"/>
  <c r="T344" i="44"/>
  <c r="I344" i="44"/>
  <c r="K344" i="44"/>
  <c r="M344" i="44"/>
  <c r="N344" i="44"/>
  <c r="G344" i="44"/>
  <c r="V344" i="44"/>
  <c r="X344" i="44"/>
  <c r="C344" i="44"/>
  <c r="B344" i="44"/>
  <c r="H343" i="44"/>
  <c r="J343" i="44"/>
  <c r="L343" i="44"/>
  <c r="W343" i="44"/>
  <c r="T343" i="44"/>
  <c r="I343" i="44"/>
  <c r="K343" i="44"/>
  <c r="M343" i="44"/>
  <c r="N343" i="44"/>
  <c r="G343" i="44"/>
  <c r="V343" i="44"/>
  <c r="X343" i="44"/>
  <c r="C343" i="44"/>
  <c r="B343" i="44"/>
  <c r="H342" i="44"/>
  <c r="J342" i="44"/>
  <c r="L342" i="44"/>
  <c r="W342" i="44"/>
  <c r="T342" i="44"/>
  <c r="I342" i="44"/>
  <c r="K342" i="44"/>
  <c r="M342" i="44"/>
  <c r="N342" i="44"/>
  <c r="G342" i="44"/>
  <c r="V342" i="44"/>
  <c r="X342" i="44"/>
  <c r="C342" i="44"/>
  <c r="B342" i="44"/>
  <c r="H341" i="44"/>
  <c r="J341" i="44"/>
  <c r="L341" i="44"/>
  <c r="W341" i="44"/>
  <c r="T341" i="44"/>
  <c r="I341" i="44"/>
  <c r="K341" i="44"/>
  <c r="M341" i="44"/>
  <c r="N341" i="44"/>
  <c r="G341" i="44"/>
  <c r="V341" i="44"/>
  <c r="X341" i="44"/>
  <c r="C341" i="44"/>
  <c r="B341" i="44"/>
  <c r="H340" i="44"/>
  <c r="J340" i="44"/>
  <c r="L340" i="44"/>
  <c r="W340" i="44"/>
  <c r="T340" i="44"/>
  <c r="I340" i="44"/>
  <c r="K340" i="44"/>
  <c r="M340" i="44"/>
  <c r="N340" i="44"/>
  <c r="G340" i="44"/>
  <c r="V340" i="44"/>
  <c r="X340" i="44"/>
  <c r="C340" i="44"/>
  <c r="B340" i="44"/>
  <c r="H339" i="44"/>
  <c r="J339" i="44"/>
  <c r="L339" i="44"/>
  <c r="W339" i="44"/>
  <c r="T339" i="44"/>
  <c r="I339" i="44"/>
  <c r="K339" i="44"/>
  <c r="M339" i="44"/>
  <c r="N339" i="44"/>
  <c r="G339" i="44"/>
  <c r="V339" i="44"/>
  <c r="X339" i="44"/>
  <c r="C339" i="44"/>
  <c r="B339" i="44"/>
  <c r="H338" i="44"/>
  <c r="J338" i="44"/>
  <c r="L338" i="44"/>
  <c r="W338" i="44"/>
  <c r="T338" i="44"/>
  <c r="I338" i="44"/>
  <c r="K338" i="44"/>
  <c r="M338" i="44"/>
  <c r="N338" i="44"/>
  <c r="G338" i="44"/>
  <c r="V338" i="44"/>
  <c r="X338" i="44"/>
  <c r="C338" i="44"/>
  <c r="B338" i="44"/>
  <c r="H337" i="44"/>
  <c r="J337" i="44"/>
  <c r="L337" i="44"/>
  <c r="W337" i="44"/>
  <c r="T337" i="44"/>
  <c r="I337" i="44"/>
  <c r="K337" i="44"/>
  <c r="M337" i="44"/>
  <c r="N337" i="44"/>
  <c r="G337" i="44"/>
  <c r="V337" i="44"/>
  <c r="X337" i="44"/>
  <c r="C337" i="44"/>
  <c r="B337" i="44"/>
  <c r="H336" i="44"/>
  <c r="J336" i="44"/>
  <c r="L336" i="44"/>
  <c r="W336" i="44"/>
  <c r="T336" i="44"/>
  <c r="I336" i="44"/>
  <c r="K336" i="44"/>
  <c r="M336" i="44"/>
  <c r="N336" i="44"/>
  <c r="G336" i="44"/>
  <c r="V336" i="44"/>
  <c r="X336" i="44"/>
  <c r="C336" i="44"/>
  <c r="B336" i="44"/>
  <c r="H335" i="44"/>
  <c r="J335" i="44"/>
  <c r="L335" i="44"/>
  <c r="W335" i="44"/>
  <c r="T335" i="44"/>
  <c r="I335" i="44"/>
  <c r="K335" i="44"/>
  <c r="M335" i="44"/>
  <c r="N335" i="44"/>
  <c r="G335" i="44"/>
  <c r="V335" i="44"/>
  <c r="X335" i="44"/>
  <c r="C335" i="44"/>
  <c r="B335" i="44"/>
  <c r="H334" i="44"/>
  <c r="J334" i="44"/>
  <c r="L334" i="44"/>
  <c r="W334" i="44"/>
  <c r="T334" i="44"/>
  <c r="I334" i="44"/>
  <c r="K334" i="44"/>
  <c r="M334" i="44"/>
  <c r="N334" i="44"/>
  <c r="G334" i="44"/>
  <c r="V334" i="44"/>
  <c r="X334" i="44"/>
  <c r="C334" i="44"/>
  <c r="B334" i="44"/>
  <c r="H333" i="44"/>
  <c r="J333" i="44"/>
  <c r="L333" i="44"/>
  <c r="W333" i="44"/>
  <c r="T333" i="44"/>
  <c r="I333" i="44"/>
  <c r="K333" i="44"/>
  <c r="M333" i="44"/>
  <c r="N333" i="44"/>
  <c r="G333" i="44"/>
  <c r="V333" i="44"/>
  <c r="X333" i="44"/>
  <c r="C333" i="44"/>
  <c r="B333" i="44"/>
  <c r="H332" i="44"/>
  <c r="J332" i="44"/>
  <c r="L332" i="44"/>
  <c r="W332" i="44"/>
  <c r="T332" i="44"/>
  <c r="I332" i="44"/>
  <c r="K332" i="44"/>
  <c r="M332" i="44"/>
  <c r="N332" i="44"/>
  <c r="G332" i="44"/>
  <c r="V332" i="44"/>
  <c r="X332" i="44"/>
  <c r="C332" i="44"/>
  <c r="B332" i="44"/>
  <c r="H331" i="44"/>
  <c r="J331" i="44"/>
  <c r="L331" i="44"/>
  <c r="W331" i="44"/>
  <c r="T331" i="44"/>
  <c r="I331" i="44"/>
  <c r="K331" i="44"/>
  <c r="M331" i="44"/>
  <c r="N331" i="44"/>
  <c r="G331" i="44"/>
  <c r="V331" i="44"/>
  <c r="X331" i="44"/>
  <c r="C331" i="44"/>
  <c r="B331" i="44"/>
  <c r="H330" i="44"/>
  <c r="J330" i="44"/>
  <c r="L330" i="44"/>
  <c r="W330" i="44"/>
  <c r="T330" i="44"/>
  <c r="I330" i="44"/>
  <c r="K330" i="44"/>
  <c r="M330" i="44"/>
  <c r="N330" i="44"/>
  <c r="G330" i="44"/>
  <c r="V330" i="44"/>
  <c r="X330" i="44"/>
  <c r="C330" i="44"/>
  <c r="B330" i="44"/>
  <c r="H329" i="44"/>
  <c r="J329" i="44"/>
  <c r="L329" i="44"/>
  <c r="W329" i="44"/>
  <c r="T329" i="44"/>
  <c r="I329" i="44"/>
  <c r="K329" i="44"/>
  <c r="M329" i="44"/>
  <c r="N329" i="44"/>
  <c r="G329" i="44"/>
  <c r="V329" i="44"/>
  <c r="X329" i="44"/>
  <c r="C329" i="44"/>
  <c r="B329" i="44"/>
  <c r="H328" i="44"/>
  <c r="J328" i="44"/>
  <c r="L328" i="44"/>
  <c r="W328" i="44"/>
  <c r="T328" i="44"/>
  <c r="I328" i="44"/>
  <c r="K328" i="44"/>
  <c r="M328" i="44"/>
  <c r="N328" i="44"/>
  <c r="G328" i="44"/>
  <c r="V328" i="44"/>
  <c r="X328" i="44"/>
  <c r="C328" i="44"/>
  <c r="B328" i="44"/>
  <c r="H327" i="44"/>
  <c r="J327" i="44"/>
  <c r="L327" i="44"/>
  <c r="W327" i="44"/>
  <c r="T327" i="44"/>
  <c r="I327" i="44"/>
  <c r="K327" i="44"/>
  <c r="M327" i="44"/>
  <c r="N327" i="44"/>
  <c r="G327" i="44"/>
  <c r="V327" i="44"/>
  <c r="X327" i="44"/>
  <c r="C327" i="44"/>
  <c r="B327" i="44"/>
  <c r="H326" i="44"/>
  <c r="J326" i="44"/>
  <c r="L326" i="44"/>
  <c r="W326" i="44"/>
  <c r="T326" i="44"/>
  <c r="I326" i="44"/>
  <c r="K326" i="44"/>
  <c r="M326" i="44"/>
  <c r="N326" i="44"/>
  <c r="G326" i="44"/>
  <c r="V326" i="44"/>
  <c r="X326" i="44"/>
  <c r="C326" i="44"/>
  <c r="B326" i="44"/>
  <c r="H325" i="44"/>
  <c r="J325" i="44"/>
  <c r="L325" i="44"/>
  <c r="W325" i="44"/>
  <c r="T325" i="44"/>
  <c r="I325" i="44"/>
  <c r="K325" i="44"/>
  <c r="M325" i="44"/>
  <c r="N325" i="44"/>
  <c r="G325" i="44"/>
  <c r="V325" i="44"/>
  <c r="X325" i="44"/>
  <c r="C325" i="44"/>
  <c r="B325" i="44"/>
  <c r="H324" i="44"/>
  <c r="J324" i="44"/>
  <c r="L324" i="44"/>
  <c r="W324" i="44"/>
  <c r="T324" i="44"/>
  <c r="I324" i="44"/>
  <c r="K324" i="44"/>
  <c r="M324" i="44"/>
  <c r="N324" i="44"/>
  <c r="G324" i="44"/>
  <c r="V324" i="44"/>
  <c r="X324" i="44"/>
  <c r="C324" i="44"/>
  <c r="B324" i="44"/>
  <c r="H323" i="44"/>
  <c r="J323" i="44"/>
  <c r="L323" i="44"/>
  <c r="W323" i="44"/>
  <c r="T323" i="44"/>
  <c r="I323" i="44"/>
  <c r="K323" i="44"/>
  <c r="M323" i="44"/>
  <c r="N323" i="44"/>
  <c r="G323" i="44"/>
  <c r="V323" i="44"/>
  <c r="X323" i="44"/>
  <c r="C323" i="44"/>
  <c r="B323" i="44"/>
  <c r="H322" i="44"/>
  <c r="J322" i="44"/>
  <c r="L322" i="44"/>
  <c r="W322" i="44"/>
  <c r="T322" i="44"/>
  <c r="I322" i="44"/>
  <c r="K322" i="44"/>
  <c r="M322" i="44"/>
  <c r="N322" i="44"/>
  <c r="G322" i="44"/>
  <c r="V322" i="44"/>
  <c r="X322" i="44"/>
  <c r="C322" i="44"/>
  <c r="B322" i="44"/>
  <c r="H321" i="44"/>
  <c r="J321" i="44"/>
  <c r="L321" i="44"/>
  <c r="W321" i="44"/>
  <c r="T321" i="44"/>
  <c r="I321" i="44"/>
  <c r="K321" i="44"/>
  <c r="M321" i="44"/>
  <c r="N321" i="44"/>
  <c r="G321" i="44"/>
  <c r="V321" i="44"/>
  <c r="X321" i="44"/>
  <c r="C321" i="44"/>
  <c r="B321" i="44"/>
  <c r="H320" i="44"/>
  <c r="J320" i="44"/>
  <c r="L320" i="44"/>
  <c r="W320" i="44"/>
  <c r="T320" i="44"/>
  <c r="I320" i="44"/>
  <c r="K320" i="44"/>
  <c r="M320" i="44"/>
  <c r="N320" i="44"/>
  <c r="G320" i="44"/>
  <c r="V320" i="44"/>
  <c r="X320" i="44"/>
  <c r="C320" i="44"/>
  <c r="B320" i="44"/>
  <c r="H319" i="44"/>
  <c r="J319" i="44"/>
  <c r="L319" i="44"/>
  <c r="W319" i="44"/>
  <c r="T319" i="44"/>
  <c r="I319" i="44"/>
  <c r="K319" i="44"/>
  <c r="M319" i="44"/>
  <c r="N319" i="44"/>
  <c r="G319" i="44"/>
  <c r="V319" i="44"/>
  <c r="X319" i="44"/>
  <c r="C319" i="44"/>
  <c r="B319" i="44"/>
  <c r="H318" i="44"/>
  <c r="J318" i="44"/>
  <c r="L318" i="44"/>
  <c r="W318" i="44"/>
  <c r="T318" i="44"/>
  <c r="I318" i="44"/>
  <c r="K318" i="44"/>
  <c r="M318" i="44"/>
  <c r="N318" i="44"/>
  <c r="G318" i="44"/>
  <c r="V318" i="44"/>
  <c r="X318" i="44"/>
  <c r="C318" i="44"/>
  <c r="B318" i="44"/>
  <c r="H317" i="44"/>
  <c r="J317" i="44"/>
  <c r="L317" i="44"/>
  <c r="W317" i="44"/>
  <c r="T317" i="44"/>
  <c r="I317" i="44"/>
  <c r="K317" i="44"/>
  <c r="M317" i="44"/>
  <c r="N317" i="44"/>
  <c r="G317" i="44"/>
  <c r="V317" i="44"/>
  <c r="X317" i="44"/>
  <c r="C317" i="44"/>
  <c r="B317" i="44"/>
  <c r="H316" i="44"/>
  <c r="J316" i="44"/>
  <c r="L316" i="44"/>
  <c r="W316" i="44"/>
  <c r="T316" i="44"/>
  <c r="I316" i="44"/>
  <c r="K316" i="44"/>
  <c r="M316" i="44"/>
  <c r="N316" i="44"/>
  <c r="G316" i="44"/>
  <c r="V316" i="44"/>
  <c r="X316" i="44"/>
  <c r="C316" i="44"/>
  <c r="B316" i="44"/>
  <c r="H315" i="44"/>
  <c r="J315" i="44"/>
  <c r="L315" i="44"/>
  <c r="W315" i="44"/>
  <c r="T315" i="44"/>
  <c r="I315" i="44"/>
  <c r="K315" i="44"/>
  <c r="M315" i="44"/>
  <c r="N315" i="44"/>
  <c r="G315" i="44"/>
  <c r="V315" i="44"/>
  <c r="X315" i="44"/>
  <c r="C315" i="44"/>
  <c r="B315" i="44"/>
  <c r="H314" i="44"/>
  <c r="J314" i="44"/>
  <c r="L314" i="44"/>
  <c r="W314" i="44"/>
  <c r="T314" i="44"/>
  <c r="I314" i="44"/>
  <c r="K314" i="44"/>
  <c r="M314" i="44"/>
  <c r="N314" i="44"/>
  <c r="G314" i="44"/>
  <c r="V314" i="44"/>
  <c r="X314" i="44"/>
  <c r="C314" i="44"/>
  <c r="B314" i="44"/>
  <c r="H313" i="44"/>
  <c r="J313" i="44"/>
  <c r="L313" i="44"/>
  <c r="W313" i="44"/>
  <c r="T313" i="44"/>
  <c r="I313" i="44"/>
  <c r="K313" i="44"/>
  <c r="M313" i="44"/>
  <c r="N313" i="44"/>
  <c r="G313" i="44"/>
  <c r="V313" i="44"/>
  <c r="X313" i="44"/>
  <c r="C313" i="44"/>
  <c r="B313" i="44"/>
  <c r="H312" i="44"/>
  <c r="J312" i="44"/>
  <c r="L312" i="44"/>
  <c r="W312" i="44"/>
  <c r="T312" i="44"/>
  <c r="I312" i="44"/>
  <c r="K312" i="44"/>
  <c r="M312" i="44"/>
  <c r="N312" i="44"/>
  <c r="G312" i="44"/>
  <c r="V312" i="44"/>
  <c r="X312" i="44"/>
  <c r="C312" i="44"/>
  <c r="B312" i="44"/>
  <c r="H311" i="44"/>
  <c r="J311" i="44"/>
  <c r="L311" i="44"/>
  <c r="W311" i="44"/>
  <c r="T311" i="44"/>
  <c r="I311" i="44"/>
  <c r="K311" i="44"/>
  <c r="M311" i="44"/>
  <c r="N311" i="44"/>
  <c r="G311" i="44"/>
  <c r="V311" i="44"/>
  <c r="X311" i="44"/>
  <c r="C311" i="44"/>
  <c r="B311" i="44"/>
  <c r="H310" i="44"/>
  <c r="J310" i="44"/>
  <c r="L310" i="44"/>
  <c r="W310" i="44"/>
  <c r="T310" i="44"/>
  <c r="I310" i="44"/>
  <c r="K310" i="44"/>
  <c r="M310" i="44"/>
  <c r="N310" i="44"/>
  <c r="G310" i="44"/>
  <c r="V310" i="44"/>
  <c r="X310" i="44"/>
  <c r="C310" i="44"/>
  <c r="B310" i="44"/>
  <c r="H309" i="44"/>
  <c r="J309" i="44"/>
  <c r="L309" i="44"/>
  <c r="W309" i="44"/>
  <c r="T309" i="44"/>
  <c r="I309" i="44"/>
  <c r="K309" i="44"/>
  <c r="M309" i="44"/>
  <c r="N309" i="44"/>
  <c r="G309" i="44"/>
  <c r="V309" i="44"/>
  <c r="X309" i="44"/>
  <c r="C309" i="44"/>
  <c r="B309" i="44"/>
  <c r="H308" i="44"/>
  <c r="J308" i="44"/>
  <c r="L308" i="44"/>
  <c r="W308" i="44"/>
  <c r="T308" i="44"/>
  <c r="I308" i="44"/>
  <c r="K308" i="44"/>
  <c r="M308" i="44"/>
  <c r="N308" i="44"/>
  <c r="G308" i="44"/>
  <c r="V308" i="44"/>
  <c r="X308" i="44"/>
  <c r="C308" i="44"/>
  <c r="B308" i="44"/>
  <c r="H307" i="44"/>
  <c r="J307" i="44"/>
  <c r="L307" i="44"/>
  <c r="W307" i="44"/>
  <c r="T307" i="44"/>
  <c r="I307" i="44"/>
  <c r="K307" i="44"/>
  <c r="M307" i="44"/>
  <c r="N307" i="44"/>
  <c r="G307" i="44"/>
  <c r="V307" i="44"/>
  <c r="X307" i="44"/>
  <c r="C307" i="44"/>
  <c r="B307" i="44"/>
  <c r="H306" i="44"/>
  <c r="J306" i="44"/>
  <c r="L306" i="44"/>
  <c r="W306" i="44"/>
  <c r="T306" i="44"/>
  <c r="I306" i="44"/>
  <c r="K306" i="44"/>
  <c r="M306" i="44"/>
  <c r="N306" i="44"/>
  <c r="G306" i="44"/>
  <c r="V306" i="44"/>
  <c r="X306" i="44"/>
  <c r="C306" i="44"/>
  <c r="B306" i="44"/>
  <c r="H305" i="44"/>
  <c r="J305" i="44"/>
  <c r="L305" i="44"/>
  <c r="W305" i="44"/>
  <c r="T305" i="44"/>
  <c r="I305" i="44"/>
  <c r="K305" i="44"/>
  <c r="M305" i="44"/>
  <c r="N305" i="44"/>
  <c r="G305" i="44"/>
  <c r="V305" i="44"/>
  <c r="X305" i="44"/>
  <c r="C305" i="44"/>
  <c r="B305" i="44"/>
  <c r="H304" i="44"/>
  <c r="J304" i="44"/>
  <c r="L304" i="44"/>
  <c r="W304" i="44"/>
  <c r="T304" i="44"/>
  <c r="I304" i="44"/>
  <c r="K304" i="44"/>
  <c r="M304" i="44"/>
  <c r="N304" i="44"/>
  <c r="G304" i="44"/>
  <c r="V304" i="44"/>
  <c r="X304" i="44"/>
  <c r="C304" i="44"/>
  <c r="B304" i="44"/>
  <c r="H303" i="44"/>
  <c r="J303" i="44"/>
  <c r="L303" i="44"/>
  <c r="W303" i="44"/>
  <c r="T303" i="44"/>
  <c r="I303" i="44"/>
  <c r="K303" i="44"/>
  <c r="M303" i="44"/>
  <c r="N303" i="44"/>
  <c r="G303" i="44"/>
  <c r="V303" i="44"/>
  <c r="X303" i="44"/>
  <c r="C303" i="44"/>
  <c r="B303" i="44"/>
  <c r="H302" i="44"/>
  <c r="J302" i="44"/>
  <c r="L302" i="44"/>
  <c r="W302" i="44"/>
  <c r="T302" i="44"/>
  <c r="I302" i="44"/>
  <c r="K302" i="44"/>
  <c r="M302" i="44"/>
  <c r="N302" i="44"/>
  <c r="G302" i="44"/>
  <c r="V302" i="44"/>
  <c r="X302" i="44"/>
  <c r="C302" i="44"/>
  <c r="B302" i="44"/>
  <c r="H301" i="44"/>
  <c r="J301" i="44"/>
  <c r="L301" i="44"/>
  <c r="W301" i="44"/>
  <c r="T301" i="44"/>
  <c r="I301" i="44"/>
  <c r="K301" i="44"/>
  <c r="M301" i="44"/>
  <c r="N301" i="44"/>
  <c r="G301" i="44"/>
  <c r="V301" i="44"/>
  <c r="X301" i="44"/>
  <c r="C301" i="44"/>
  <c r="B301" i="44"/>
  <c r="H300" i="44"/>
  <c r="J300" i="44"/>
  <c r="L300" i="44"/>
  <c r="W300" i="44"/>
  <c r="T300" i="44"/>
  <c r="I300" i="44"/>
  <c r="K300" i="44"/>
  <c r="M300" i="44"/>
  <c r="N300" i="44"/>
  <c r="G300" i="44"/>
  <c r="V300" i="44"/>
  <c r="X300" i="44"/>
  <c r="C300" i="44"/>
  <c r="B300" i="44"/>
  <c r="H299" i="44"/>
  <c r="J299" i="44"/>
  <c r="L299" i="44"/>
  <c r="W299" i="44"/>
  <c r="T299" i="44"/>
  <c r="I299" i="44"/>
  <c r="K299" i="44"/>
  <c r="M299" i="44"/>
  <c r="N299" i="44"/>
  <c r="G299" i="44"/>
  <c r="V299" i="44"/>
  <c r="X299" i="44"/>
  <c r="C299" i="44"/>
  <c r="B299" i="44"/>
  <c r="H298" i="44"/>
  <c r="J298" i="44"/>
  <c r="L298" i="44"/>
  <c r="W298" i="44"/>
  <c r="T298" i="44"/>
  <c r="I298" i="44"/>
  <c r="K298" i="44"/>
  <c r="M298" i="44"/>
  <c r="N298" i="44"/>
  <c r="G298" i="44"/>
  <c r="V298" i="44"/>
  <c r="X298" i="44"/>
  <c r="C298" i="44"/>
  <c r="B298" i="44"/>
  <c r="H297" i="44"/>
  <c r="J297" i="44"/>
  <c r="L297" i="44"/>
  <c r="W297" i="44"/>
  <c r="T297" i="44"/>
  <c r="I297" i="44"/>
  <c r="K297" i="44"/>
  <c r="M297" i="44"/>
  <c r="N297" i="44"/>
  <c r="G297" i="44"/>
  <c r="V297" i="44"/>
  <c r="X297" i="44"/>
  <c r="C297" i="44"/>
  <c r="B297" i="44"/>
  <c r="H296" i="44"/>
  <c r="J296" i="44"/>
  <c r="L296" i="44"/>
  <c r="W296" i="44"/>
  <c r="T296" i="44"/>
  <c r="I296" i="44"/>
  <c r="K296" i="44"/>
  <c r="M296" i="44"/>
  <c r="N296" i="44"/>
  <c r="G296" i="44"/>
  <c r="V296" i="44"/>
  <c r="X296" i="44"/>
  <c r="C296" i="44"/>
  <c r="B296" i="44"/>
  <c r="H295" i="44"/>
  <c r="J295" i="44"/>
  <c r="L295" i="44"/>
  <c r="W295" i="44"/>
  <c r="T295" i="44"/>
  <c r="I295" i="44"/>
  <c r="K295" i="44"/>
  <c r="M295" i="44"/>
  <c r="N295" i="44"/>
  <c r="G295" i="44"/>
  <c r="V295" i="44"/>
  <c r="X295" i="44"/>
  <c r="C295" i="44"/>
  <c r="B295" i="44"/>
  <c r="H294" i="44"/>
  <c r="J294" i="44"/>
  <c r="L294" i="44"/>
  <c r="W294" i="44"/>
  <c r="T294" i="44"/>
  <c r="I294" i="44"/>
  <c r="K294" i="44"/>
  <c r="M294" i="44"/>
  <c r="N294" i="44"/>
  <c r="G294" i="44"/>
  <c r="V294" i="44"/>
  <c r="X294" i="44"/>
  <c r="C294" i="44"/>
  <c r="B294" i="44"/>
  <c r="H293" i="44"/>
  <c r="J293" i="44"/>
  <c r="L293" i="44"/>
  <c r="W293" i="44"/>
  <c r="T293" i="44"/>
  <c r="I293" i="44"/>
  <c r="K293" i="44"/>
  <c r="M293" i="44"/>
  <c r="N293" i="44"/>
  <c r="G293" i="44"/>
  <c r="V293" i="44"/>
  <c r="X293" i="44"/>
  <c r="C293" i="44"/>
  <c r="B293" i="44"/>
  <c r="H292" i="44"/>
  <c r="J292" i="44"/>
  <c r="L292" i="44"/>
  <c r="W292" i="44"/>
  <c r="T292" i="44"/>
  <c r="I292" i="44"/>
  <c r="K292" i="44"/>
  <c r="M292" i="44"/>
  <c r="N292" i="44"/>
  <c r="G292" i="44"/>
  <c r="V292" i="44"/>
  <c r="X292" i="44"/>
  <c r="C292" i="44"/>
  <c r="B292" i="44"/>
  <c r="H291" i="44"/>
  <c r="J291" i="44"/>
  <c r="L291" i="44"/>
  <c r="W291" i="44"/>
  <c r="T291" i="44"/>
  <c r="I291" i="44"/>
  <c r="K291" i="44"/>
  <c r="M291" i="44"/>
  <c r="N291" i="44"/>
  <c r="G291" i="44"/>
  <c r="V291" i="44"/>
  <c r="X291" i="44"/>
  <c r="C291" i="44"/>
  <c r="B291" i="44"/>
  <c r="H290" i="44"/>
  <c r="J290" i="44"/>
  <c r="L290" i="44"/>
  <c r="W290" i="44"/>
  <c r="T290" i="44"/>
  <c r="I290" i="44"/>
  <c r="K290" i="44"/>
  <c r="M290" i="44"/>
  <c r="N290" i="44"/>
  <c r="G290" i="44"/>
  <c r="V290" i="44"/>
  <c r="X290" i="44"/>
  <c r="C290" i="44"/>
  <c r="B290" i="44"/>
  <c r="H289" i="44"/>
  <c r="J289" i="44"/>
  <c r="L289" i="44"/>
  <c r="W289" i="44"/>
  <c r="T289" i="44"/>
  <c r="I289" i="44"/>
  <c r="K289" i="44"/>
  <c r="M289" i="44"/>
  <c r="N289" i="44"/>
  <c r="G289" i="44"/>
  <c r="V289" i="44"/>
  <c r="X289" i="44"/>
  <c r="C289" i="44"/>
  <c r="B289" i="44"/>
  <c r="H288" i="44"/>
  <c r="J288" i="44"/>
  <c r="L288" i="44"/>
  <c r="W288" i="44"/>
  <c r="T288" i="44"/>
  <c r="I288" i="44"/>
  <c r="K288" i="44"/>
  <c r="M288" i="44"/>
  <c r="N288" i="44"/>
  <c r="G288" i="44"/>
  <c r="V288" i="44"/>
  <c r="X288" i="44"/>
  <c r="C288" i="44"/>
  <c r="B288" i="44"/>
  <c r="H287" i="44"/>
  <c r="J287" i="44"/>
  <c r="L287" i="44"/>
  <c r="W287" i="44"/>
  <c r="T287" i="44"/>
  <c r="I287" i="44"/>
  <c r="K287" i="44"/>
  <c r="M287" i="44"/>
  <c r="N287" i="44"/>
  <c r="G287" i="44"/>
  <c r="V287" i="44"/>
  <c r="X287" i="44"/>
  <c r="C287" i="44"/>
  <c r="B287" i="44"/>
  <c r="H286" i="44"/>
  <c r="J286" i="44"/>
  <c r="L286" i="44"/>
  <c r="W286" i="44"/>
  <c r="T286" i="44"/>
  <c r="I286" i="44"/>
  <c r="K286" i="44"/>
  <c r="M286" i="44"/>
  <c r="N286" i="44"/>
  <c r="G286" i="44"/>
  <c r="V286" i="44"/>
  <c r="X286" i="44"/>
  <c r="C286" i="44"/>
  <c r="B286" i="44"/>
  <c r="H285" i="44"/>
  <c r="J285" i="44"/>
  <c r="L285" i="44"/>
  <c r="W285" i="44"/>
  <c r="T285" i="44"/>
  <c r="I285" i="44"/>
  <c r="K285" i="44"/>
  <c r="M285" i="44"/>
  <c r="N285" i="44"/>
  <c r="G285" i="44"/>
  <c r="V285" i="44"/>
  <c r="X285" i="44"/>
  <c r="C285" i="44"/>
  <c r="B285" i="44"/>
  <c r="H284" i="44"/>
  <c r="J284" i="44"/>
  <c r="L284" i="44"/>
  <c r="W284" i="44"/>
  <c r="T284" i="44"/>
  <c r="I284" i="44"/>
  <c r="K284" i="44"/>
  <c r="M284" i="44"/>
  <c r="N284" i="44"/>
  <c r="G284" i="44"/>
  <c r="V284" i="44"/>
  <c r="X284" i="44"/>
  <c r="C284" i="44"/>
  <c r="B284" i="44"/>
  <c r="H283" i="44"/>
  <c r="J283" i="44"/>
  <c r="L283" i="44"/>
  <c r="W283" i="44"/>
  <c r="T283" i="44"/>
  <c r="I283" i="44"/>
  <c r="K283" i="44"/>
  <c r="M283" i="44"/>
  <c r="N283" i="44"/>
  <c r="G283" i="44"/>
  <c r="V283" i="44"/>
  <c r="X283" i="44"/>
  <c r="C283" i="44"/>
  <c r="B283" i="44"/>
  <c r="H282" i="44"/>
  <c r="J282" i="44"/>
  <c r="L282" i="44"/>
  <c r="W282" i="44"/>
  <c r="T282" i="44"/>
  <c r="I282" i="44"/>
  <c r="K282" i="44"/>
  <c r="M282" i="44"/>
  <c r="N282" i="44"/>
  <c r="G282" i="44"/>
  <c r="V282" i="44"/>
  <c r="X282" i="44"/>
  <c r="C282" i="44"/>
  <c r="B282" i="44"/>
  <c r="H281" i="44"/>
  <c r="J281" i="44"/>
  <c r="L281" i="44"/>
  <c r="W281" i="44"/>
  <c r="T281" i="44"/>
  <c r="I281" i="44"/>
  <c r="K281" i="44"/>
  <c r="M281" i="44"/>
  <c r="N281" i="44"/>
  <c r="G281" i="44"/>
  <c r="V281" i="44"/>
  <c r="X281" i="44"/>
  <c r="C281" i="44"/>
  <c r="B281" i="44"/>
  <c r="H280" i="44"/>
  <c r="J280" i="44"/>
  <c r="L280" i="44"/>
  <c r="W280" i="44"/>
  <c r="T280" i="44"/>
  <c r="I280" i="44"/>
  <c r="K280" i="44"/>
  <c r="M280" i="44"/>
  <c r="N280" i="44"/>
  <c r="G280" i="44"/>
  <c r="V280" i="44"/>
  <c r="X280" i="44"/>
  <c r="C280" i="44"/>
  <c r="B280" i="44"/>
  <c r="H279" i="44"/>
  <c r="J279" i="44"/>
  <c r="L279" i="44"/>
  <c r="W279" i="44"/>
  <c r="T279" i="44"/>
  <c r="I279" i="44"/>
  <c r="K279" i="44"/>
  <c r="M279" i="44"/>
  <c r="N279" i="44"/>
  <c r="G279" i="44"/>
  <c r="V279" i="44"/>
  <c r="X279" i="44"/>
  <c r="C279" i="44"/>
  <c r="B279" i="44"/>
  <c r="H278" i="44"/>
  <c r="J278" i="44"/>
  <c r="L278" i="44"/>
  <c r="W278" i="44"/>
  <c r="T278" i="44"/>
  <c r="I278" i="44"/>
  <c r="K278" i="44"/>
  <c r="M278" i="44"/>
  <c r="N278" i="44"/>
  <c r="G278" i="44"/>
  <c r="V278" i="44"/>
  <c r="X278" i="44"/>
  <c r="C278" i="44"/>
  <c r="B278" i="44"/>
  <c r="H277" i="44"/>
  <c r="J277" i="44"/>
  <c r="L277" i="44"/>
  <c r="W277" i="44"/>
  <c r="T277" i="44"/>
  <c r="I277" i="44"/>
  <c r="K277" i="44"/>
  <c r="M277" i="44"/>
  <c r="N277" i="44"/>
  <c r="G277" i="44"/>
  <c r="V277" i="44"/>
  <c r="X277" i="44"/>
  <c r="C277" i="44"/>
  <c r="B277" i="44"/>
  <c r="H276" i="44"/>
  <c r="J276" i="44"/>
  <c r="L276" i="44"/>
  <c r="W276" i="44"/>
  <c r="T276" i="44"/>
  <c r="I276" i="44"/>
  <c r="K276" i="44"/>
  <c r="M276" i="44"/>
  <c r="N276" i="44"/>
  <c r="G276" i="44"/>
  <c r="V276" i="44"/>
  <c r="X276" i="44"/>
  <c r="C276" i="44"/>
  <c r="B276" i="44"/>
  <c r="H275" i="44"/>
  <c r="J275" i="44"/>
  <c r="L275" i="44"/>
  <c r="W275" i="44"/>
  <c r="T275" i="44"/>
  <c r="I275" i="44"/>
  <c r="K275" i="44"/>
  <c r="M275" i="44"/>
  <c r="N275" i="44"/>
  <c r="G275" i="44"/>
  <c r="V275" i="44"/>
  <c r="X275" i="44"/>
  <c r="C275" i="44"/>
  <c r="B275" i="44"/>
  <c r="H274" i="44"/>
  <c r="J274" i="44"/>
  <c r="L274" i="44"/>
  <c r="W274" i="44"/>
  <c r="T274" i="44"/>
  <c r="I274" i="44"/>
  <c r="K274" i="44"/>
  <c r="M274" i="44"/>
  <c r="N274" i="44"/>
  <c r="G274" i="44"/>
  <c r="V274" i="44"/>
  <c r="X274" i="44"/>
  <c r="C274" i="44"/>
  <c r="B274" i="44"/>
  <c r="H273" i="44"/>
  <c r="J273" i="44"/>
  <c r="L273" i="44"/>
  <c r="W273" i="44"/>
  <c r="T273" i="44"/>
  <c r="I273" i="44"/>
  <c r="K273" i="44"/>
  <c r="M273" i="44"/>
  <c r="N273" i="44"/>
  <c r="G273" i="44"/>
  <c r="V273" i="44"/>
  <c r="X273" i="44"/>
  <c r="C273" i="44"/>
  <c r="B273" i="44"/>
  <c r="H272" i="44"/>
  <c r="J272" i="44"/>
  <c r="L272" i="44"/>
  <c r="W272" i="44"/>
  <c r="T272" i="44"/>
  <c r="I272" i="44"/>
  <c r="K272" i="44"/>
  <c r="M272" i="44"/>
  <c r="N272" i="44"/>
  <c r="G272" i="44"/>
  <c r="V272" i="44"/>
  <c r="X272" i="44"/>
  <c r="C272" i="44"/>
  <c r="B272" i="44"/>
  <c r="H271" i="44"/>
  <c r="J271" i="44"/>
  <c r="L271" i="44"/>
  <c r="W271" i="44"/>
  <c r="T271" i="44"/>
  <c r="I271" i="44"/>
  <c r="K271" i="44"/>
  <c r="M271" i="44"/>
  <c r="N271" i="44"/>
  <c r="G271" i="44"/>
  <c r="V271" i="44"/>
  <c r="X271" i="44"/>
  <c r="C271" i="44"/>
  <c r="B271" i="44"/>
  <c r="H270" i="44"/>
  <c r="J270" i="44"/>
  <c r="L270" i="44"/>
  <c r="W270" i="44"/>
  <c r="T270" i="44"/>
  <c r="I270" i="44"/>
  <c r="K270" i="44"/>
  <c r="M270" i="44"/>
  <c r="N270" i="44"/>
  <c r="G270" i="44"/>
  <c r="V270" i="44"/>
  <c r="X270" i="44"/>
  <c r="C270" i="44"/>
  <c r="B270" i="44"/>
  <c r="H269" i="44"/>
  <c r="J269" i="44"/>
  <c r="L269" i="44"/>
  <c r="W269" i="44"/>
  <c r="T269" i="44"/>
  <c r="I269" i="44"/>
  <c r="K269" i="44"/>
  <c r="M269" i="44"/>
  <c r="N269" i="44"/>
  <c r="G269" i="44"/>
  <c r="V269" i="44"/>
  <c r="X269" i="44"/>
  <c r="C269" i="44"/>
  <c r="B269" i="44"/>
  <c r="H268" i="44"/>
  <c r="J268" i="44"/>
  <c r="L268" i="44"/>
  <c r="W268" i="44"/>
  <c r="T268" i="44"/>
  <c r="I268" i="44"/>
  <c r="K268" i="44"/>
  <c r="M268" i="44"/>
  <c r="N268" i="44"/>
  <c r="G268" i="44"/>
  <c r="V268" i="44"/>
  <c r="X268" i="44"/>
  <c r="C268" i="44"/>
  <c r="B268" i="44"/>
  <c r="H267" i="44"/>
  <c r="J267" i="44"/>
  <c r="L267" i="44"/>
  <c r="W267" i="44"/>
  <c r="T267" i="44"/>
  <c r="I267" i="44"/>
  <c r="K267" i="44"/>
  <c r="M267" i="44"/>
  <c r="N267" i="44"/>
  <c r="G267" i="44"/>
  <c r="V267" i="44"/>
  <c r="X267" i="44"/>
  <c r="C267" i="44"/>
  <c r="B267" i="44"/>
  <c r="H266" i="44"/>
  <c r="J266" i="44"/>
  <c r="L266" i="44"/>
  <c r="W266" i="44"/>
  <c r="T266" i="44"/>
  <c r="I266" i="44"/>
  <c r="K266" i="44"/>
  <c r="M266" i="44"/>
  <c r="N266" i="44"/>
  <c r="G266" i="44"/>
  <c r="V266" i="44"/>
  <c r="X266" i="44"/>
  <c r="C266" i="44"/>
  <c r="B266" i="44"/>
  <c r="H265" i="44"/>
  <c r="J265" i="44"/>
  <c r="L265" i="44"/>
  <c r="W265" i="44"/>
  <c r="T265" i="44"/>
  <c r="I265" i="44"/>
  <c r="K265" i="44"/>
  <c r="M265" i="44"/>
  <c r="N265" i="44"/>
  <c r="G265" i="44"/>
  <c r="V265" i="44"/>
  <c r="X265" i="44"/>
  <c r="C265" i="44"/>
  <c r="B265" i="44"/>
  <c r="H264" i="44"/>
  <c r="J264" i="44"/>
  <c r="L264" i="44"/>
  <c r="W264" i="44"/>
  <c r="T264" i="44"/>
  <c r="I264" i="44"/>
  <c r="K264" i="44"/>
  <c r="M264" i="44"/>
  <c r="N264" i="44"/>
  <c r="G264" i="44"/>
  <c r="V264" i="44"/>
  <c r="X264" i="44"/>
  <c r="C264" i="44"/>
  <c r="B264" i="44"/>
  <c r="H263" i="44"/>
  <c r="J263" i="44"/>
  <c r="L263" i="44"/>
  <c r="W263" i="44"/>
  <c r="T263" i="44"/>
  <c r="I263" i="44"/>
  <c r="K263" i="44"/>
  <c r="M263" i="44"/>
  <c r="N263" i="44"/>
  <c r="G263" i="44"/>
  <c r="V263" i="44"/>
  <c r="X263" i="44"/>
  <c r="C263" i="44"/>
  <c r="B263" i="44"/>
  <c r="H262" i="44"/>
  <c r="J262" i="44"/>
  <c r="L262" i="44"/>
  <c r="W262" i="44"/>
  <c r="T262" i="44"/>
  <c r="I262" i="44"/>
  <c r="K262" i="44"/>
  <c r="M262" i="44"/>
  <c r="N262" i="44"/>
  <c r="G262" i="44"/>
  <c r="V262" i="44"/>
  <c r="X262" i="44"/>
  <c r="C262" i="44"/>
  <c r="B262" i="44"/>
  <c r="H261" i="44"/>
  <c r="J261" i="44"/>
  <c r="L261" i="44"/>
  <c r="W261" i="44"/>
  <c r="T261" i="44"/>
  <c r="I261" i="44"/>
  <c r="K261" i="44"/>
  <c r="M261" i="44"/>
  <c r="N261" i="44"/>
  <c r="G261" i="44"/>
  <c r="V261" i="44"/>
  <c r="X261" i="44"/>
  <c r="C261" i="44"/>
  <c r="B261" i="44"/>
  <c r="H260" i="44"/>
  <c r="J260" i="44"/>
  <c r="L260" i="44"/>
  <c r="W260" i="44"/>
  <c r="T260" i="44"/>
  <c r="I260" i="44"/>
  <c r="K260" i="44"/>
  <c r="M260" i="44"/>
  <c r="N260" i="44"/>
  <c r="G260" i="44"/>
  <c r="V260" i="44"/>
  <c r="X260" i="44"/>
  <c r="C260" i="44"/>
  <c r="B260" i="44"/>
  <c r="H259" i="44"/>
  <c r="J259" i="44"/>
  <c r="L259" i="44"/>
  <c r="W259" i="44"/>
  <c r="T259" i="44"/>
  <c r="I259" i="44"/>
  <c r="K259" i="44"/>
  <c r="M259" i="44"/>
  <c r="N259" i="44"/>
  <c r="G259" i="44"/>
  <c r="V259" i="44"/>
  <c r="X259" i="44"/>
  <c r="C259" i="44"/>
  <c r="B259" i="44"/>
  <c r="H258" i="44"/>
  <c r="J258" i="44"/>
  <c r="L258" i="44"/>
  <c r="W258" i="44"/>
  <c r="T258" i="44"/>
  <c r="I258" i="44"/>
  <c r="K258" i="44"/>
  <c r="M258" i="44"/>
  <c r="N258" i="44"/>
  <c r="G258" i="44"/>
  <c r="V258" i="44"/>
  <c r="X258" i="44"/>
  <c r="C258" i="44"/>
  <c r="B258" i="44"/>
  <c r="H257" i="44"/>
  <c r="J257" i="44"/>
  <c r="L257" i="44"/>
  <c r="W257" i="44"/>
  <c r="T257" i="44"/>
  <c r="I257" i="44"/>
  <c r="K257" i="44"/>
  <c r="M257" i="44"/>
  <c r="N257" i="44"/>
  <c r="G257" i="44"/>
  <c r="V257" i="44"/>
  <c r="X257" i="44"/>
  <c r="C257" i="44"/>
  <c r="B257" i="44"/>
  <c r="H256" i="44"/>
  <c r="J256" i="44"/>
  <c r="L256" i="44"/>
  <c r="W256" i="44"/>
  <c r="T256" i="44"/>
  <c r="I256" i="44"/>
  <c r="K256" i="44"/>
  <c r="M256" i="44"/>
  <c r="N256" i="44"/>
  <c r="G256" i="44"/>
  <c r="V256" i="44"/>
  <c r="X256" i="44"/>
  <c r="C256" i="44"/>
  <c r="B256" i="44"/>
  <c r="H255" i="44"/>
  <c r="J255" i="44"/>
  <c r="L255" i="44"/>
  <c r="W255" i="44"/>
  <c r="T255" i="44"/>
  <c r="I255" i="44"/>
  <c r="K255" i="44"/>
  <c r="M255" i="44"/>
  <c r="N255" i="44"/>
  <c r="G255" i="44"/>
  <c r="V255" i="44"/>
  <c r="X255" i="44"/>
  <c r="C255" i="44"/>
  <c r="B255" i="44"/>
  <c r="H254" i="44"/>
  <c r="J254" i="44"/>
  <c r="L254" i="44"/>
  <c r="W254" i="44"/>
  <c r="T254" i="44"/>
  <c r="I254" i="44"/>
  <c r="K254" i="44"/>
  <c r="M254" i="44"/>
  <c r="N254" i="44"/>
  <c r="G254" i="44"/>
  <c r="V254" i="44"/>
  <c r="X254" i="44"/>
  <c r="C254" i="44"/>
  <c r="B254" i="44"/>
  <c r="H253" i="44"/>
  <c r="J253" i="44"/>
  <c r="L253" i="44"/>
  <c r="W253" i="44"/>
  <c r="T253" i="44"/>
  <c r="I253" i="44"/>
  <c r="K253" i="44"/>
  <c r="M253" i="44"/>
  <c r="N253" i="44"/>
  <c r="G253" i="44"/>
  <c r="V253" i="44"/>
  <c r="X253" i="44"/>
  <c r="C253" i="44"/>
  <c r="B253" i="44"/>
  <c r="H252" i="44"/>
  <c r="J252" i="44"/>
  <c r="L252" i="44"/>
  <c r="W252" i="44"/>
  <c r="T252" i="44"/>
  <c r="I252" i="44"/>
  <c r="K252" i="44"/>
  <c r="M252" i="44"/>
  <c r="N252" i="44"/>
  <c r="G252" i="44"/>
  <c r="V252" i="44"/>
  <c r="X252" i="44"/>
  <c r="C252" i="44"/>
  <c r="B252" i="44"/>
  <c r="H251" i="44"/>
  <c r="J251" i="44"/>
  <c r="L251" i="44"/>
  <c r="W251" i="44"/>
  <c r="T251" i="44"/>
  <c r="I251" i="44"/>
  <c r="K251" i="44"/>
  <c r="M251" i="44"/>
  <c r="N251" i="44"/>
  <c r="G251" i="44"/>
  <c r="V251" i="44"/>
  <c r="X251" i="44"/>
  <c r="C251" i="44"/>
  <c r="B251" i="44"/>
  <c r="H250" i="44"/>
  <c r="J250" i="44"/>
  <c r="L250" i="44"/>
  <c r="W250" i="44"/>
  <c r="T250" i="44"/>
  <c r="I250" i="44"/>
  <c r="K250" i="44"/>
  <c r="M250" i="44"/>
  <c r="N250" i="44"/>
  <c r="G250" i="44"/>
  <c r="V250" i="44"/>
  <c r="X250" i="44"/>
  <c r="C250" i="44"/>
  <c r="B250" i="44"/>
  <c r="H249" i="44"/>
  <c r="J249" i="44"/>
  <c r="L249" i="44"/>
  <c r="W249" i="44"/>
  <c r="T249" i="44"/>
  <c r="I249" i="44"/>
  <c r="K249" i="44"/>
  <c r="M249" i="44"/>
  <c r="N249" i="44"/>
  <c r="G249" i="44"/>
  <c r="V249" i="44"/>
  <c r="X249" i="44"/>
  <c r="C249" i="44"/>
  <c r="B249" i="44"/>
  <c r="H248" i="44"/>
  <c r="J248" i="44"/>
  <c r="L248" i="44"/>
  <c r="W248" i="44"/>
  <c r="T248" i="44"/>
  <c r="I248" i="44"/>
  <c r="K248" i="44"/>
  <c r="M248" i="44"/>
  <c r="N248" i="44"/>
  <c r="G248" i="44"/>
  <c r="V248" i="44"/>
  <c r="X248" i="44"/>
  <c r="C248" i="44"/>
  <c r="B248" i="44"/>
  <c r="H247" i="44"/>
  <c r="J247" i="44"/>
  <c r="L247" i="44"/>
  <c r="W247" i="44"/>
  <c r="T247" i="44"/>
  <c r="I247" i="44"/>
  <c r="K247" i="44"/>
  <c r="M247" i="44"/>
  <c r="N247" i="44"/>
  <c r="G247" i="44"/>
  <c r="V247" i="44"/>
  <c r="X247" i="44"/>
  <c r="C247" i="44"/>
  <c r="B247" i="44"/>
  <c r="H246" i="44"/>
  <c r="J246" i="44"/>
  <c r="L246" i="44"/>
  <c r="W246" i="44"/>
  <c r="T246" i="44"/>
  <c r="I246" i="44"/>
  <c r="K246" i="44"/>
  <c r="M246" i="44"/>
  <c r="N246" i="44"/>
  <c r="G246" i="44"/>
  <c r="V246" i="44"/>
  <c r="X246" i="44"/>
  <c r="C246" i="44"/>
  <c r="B246" i="44"/>
  <c r="H245" i="44"/>
  <c r="J245" i="44"/>
  <c r="L245" i="44"/>
  <c r="W245" i="44"/>
  <c r="T245" i="44"/>
  <c r="I245" i="44"/>
  <c r="K245" i="44"/>
  <c r="M245" i="44"/>
  <c r="N245" i="44"/>
  <c r="G245" i="44"/>
  <c r="V245" i="44"/>
  <c r="X245" i="44"/>
  <c r="C245" i="44"/>
  <c r="B245" i="44"/>
  <c r="H244" i="44"/>
  <c r="J244" i="44"/>
  <c r="L244" i="44"/>
  <c r="W244" i="44"/>
  <c r="T244" i="44"/>
  <c r="I244" i="44"/>
  <c r="K244" i="44"/>
  <c r="M244" i="44"/>
  <c r="N244" i="44"/>
  <c r="G244" i="44"/>
  <c r="V244" i="44"/>
  <c r="X244" i="44"/>
  <c r="C244" i="44"/>
  <c r="B244" i="44"/>
  <c r="H243" i="44"/>
  <c r="J243" i="44"/>
  <c r="L243" i="44"/>
  <c r="W243" i="44"/>
  <c r="T243" i="44"/>
  <c r="I243" i="44"/>
  <c r="K243" i="44"/>
  <c r="M243" i="44"/>
  <c r="N243" i="44"/>
  <c r="G243" i="44"/>
  <c r="V243" i="44"/>
  <c r="X243" i="44"/>
  <c r="C243" i="44"/>
  <c r="B243" i="44"/>
  <c r="H242" i="44"/>
  <c r="J242" i="44"/>
  <c r="L242" i="44"/>
  <c r="W242" i="44"/>
  <c r="T242" i="44"/>
  <c r="I242" i="44"/>
  <c r="K242" i="44"/>
  <c r="M242" i="44"/>
  <c r="N242" i="44"/>
  <c r="G242" i="44"/>
  <c r="V242" i="44"/>
  <c r="X242" i="44"/>
  <c r="C242" i="44"/>
  <c r="B242" i="44"/>
  <c r="H241" i="44"/>
  <c r="J241" i="44"/>
  <c r="L241" i="44"/>
  <c r="W241" i="44"/>
  <c r="T241" i="44"/>
  <c r="I241" i="44"/>
  <c r="K241" i="44"/>
  <c r="M241" i="44"/>
  <c r="N241" i="44"/>
  <c r="G241" i="44"/>
  <c r="V241" i="44"/>
  <c r="X241" i="44"/>
  <c r="C241" i="44"/>
  <c r="B241" i="44"/>
  <c r="H240" i="44"/>
  <c r="J240" i="44"/>
  <c r="L240" i="44"/>
  <c r="W240" i="44"/>
  <c r="T240" i="44"/>
  <c r="I240" i="44"/>
  <c r="K240" i="44"/>
  <c r="M240" i="44"/>
  <c r="N240" i="44"/>
  <c r="G240" i="44"/>
  <c r="V240" i="44"/>
  <c r="X240" i="44"/>
  <c r="C240" i="44"/>
  <c r="B240" i="44"/>
  <c r="H239" i="44"/>
  <c r="J239" i="44"/>
  <c r="L239" i="44"/>
  <c r="W239" i="44"/>
  <c r="T239" i="44"/>
  <c r="I239" i="44"/>
  <c r="K239" i="44"/>
  <c r="M239" i="44"/>
  <c r="N239" i="44"/>
  <c r="G239" i="44"/>
  <c r="V239" i="44"/>
  <c r="X239" i="44"/>
  <c r="C239" i="44"/>
  <c r="B239" i="44"/>
  <c r="H238" i="44"/>
  <c r="J238" i="44"/>
  <c r="L238" i="44"/>
  <c r="W238" i="44"/>
  <c r="T238" i="44"/>
  <c r="I238" i="44"/>
  <c r="K238" i="44"/>
  <c r="M238" i="44"/>
  <c r="N238" i="44"/>
  <c r="G238" i="44"/>
  <c r="V238" i="44"/>
  <c r="X238" i="44"/>
  <c r="C238" i="44"/>
  <c r="B238" i="44"/>
  <c r="H237" i="44"/>
  <c r="J237" i="44"/>
  <c r="L237" i="44"/>
  <c r="W237" i="44"/>
  <c r="T237" i="44"/>
  <c r="I237" i="44"/>
  <c r="K237" i="44"/>
  <c r="M237" i="44"/>
  <c r="N237" i="44"/>
  <c r="G237" i="44"/>
  <c r="V237" i="44"/>
  <c r="X237" i="44"/>
  <c r="C237" i="44"/>
  <c r="B237" i="44"/>
  <c r="H236" i="44"/>
  <c r="J236" i="44"/>
  <c r="L236" i="44"/>
  <c r="W236" i="44"/>
  <c r="T236" i="44"/>
  <c r="I236" i="44"/>
  <c r="K236" i="44"/>
  <c r="M236" i="44"/>
  <c r="N236" i="44"/>
  <c r="G236" i="44"/>
  <c r="V236" i="44"/>
  <c r="X236" i="44"/>
  <c r="C236" i="44"/>
  <c r="B236" i="44"/>
  <c r="H235" i="44"/>
  <c r="J235" i="44"/>
  <c r="L235" i="44"/>
  <c r="W235" i="44"/>
  <c r="T235" i="44"/>
  <c r="I235" i="44"/>
  <c r="K235" i="44"/>
  <c r="M235" i="44"/>
  <c r="N235" i="44"/>
  <c r="G235" i="44"/>
  <c r="V235" i="44"/>
  <c r="X235" i="44"/>
  <c r="C235" i="44"/>
  <c r="B235" i="44"/>
  <c r="H234" i="44"/>
  <c r="J234" i="44"/>
  <c r="L234" i="44"/>
  <c r="W234" i="44"/>
  <c r="T234" i="44"/>
  <c r="I234" i="44"/>
  <c r="K234" i="44"/>
  <c r="M234" i="44"/>
  <c r="N234" i="44"/>
  <c r="G234" i="44"/>
  <c r="V234" i="44"/>
  <c r="X234" i="44"/>
  <c r="C234" i="44"/>
  <c r="B234" i="44"/>
  <c r="H233" i="44"/>
  <c r="J233" i="44"/>
  <c r="L233" i="44"/>
  <c r="W233" i="44"/>
  <c r="T233" i="44"/>
  <c r="I233" i="44"/>
  <c r="K233" i="44"/>
  <c r="M233" i="44"/>
  <c r="N233" i="44"/>
  <c r="G233" i="44"/>
  <c r="V233" i="44"/>
  <c r="X233" i="44"/>
  <c r="C233" i="44"/>
  <c r="B233" i="44"/>
  <c r="H232" i="44"/>
  <c r="J232" i="44"/>
  <c r="L232" i="44"/>
  <c r="W232" i="44"/>
  <c r="T232" i="44"/>
  <c r="I232" i="44"/>
  <c r="K232" i="44"/>
  <c r="M232" i="44"/>
  <c r="N232" i="44"/>
  <c r="G232" i="44"/>
  <c r="V232" i="44"/>
  <c r="X232" i="44"/>
  <c r="C232" i="44"/>
  <c r="B232" i="44"/>
  <c r="H231" i="44"/>
  <c r="J231" i="44"/>
  <c r="L231" i="44"/>
  <c r="W231" i="44"/>
  <c r="T231" i="44"/>
  <c r="I231" i="44"/>
  <c r="K231" i="44"/>
  <c r="M231" i="44"/>
  <c r="N231" i="44"/>
  <c r="G231" i="44"/>
  <c r="V231" i="44"/>
  <c r="X231" i="44"/>
  <c r="C231" i="44"/>
  <c r="B231" i="44"/>
  <c r="H230" i="44"/>
  <c r="J230" i="44"/>
  <c r="L230" i="44"/>
  <c r="W230" i="44"/>
  <c r="T230" i="44"/>
  <c r="I230" i="44"/>
  <c r="K230" i="44"/>
  <c r="M230" i="44"/>
  <c r="N230" i="44"/>
  <c r="G230" i="44"/>
  <c r="V230" i="44"/>
  <c r="X230" i="44"/>
  <c r="C230" i="44"/>
  <c r="B230" i="44"/>
  <c r="H229" i="44"/>
  <c r="J229" i="44"/>
  <c r="L229" i="44"/>
  <c r="W229" i="44"/>
  <c r="T229" i="44"/>
  <c r="I229" i="44"/>
  <c r="K229" i="44"/>
  <c r="M229" i="44"/>
  <c r="N229" i="44"/>
  <c r="G229" i="44"/>
  <c r="V229" i="44"/>
  <c r="X229" i="44"/>
  <c r="C229" i="44"/>
  <c r="B229" i="44"/>
  <c r="H228" i="44"/>
  <c r="J228" i="44"/>
  <c r="L228" i="44"/>
  <c r="W228" i="44"/>
  <c r="T228" i="44"/>
  <c r="I228" i="44"/>
  <c r="K228" i="44"/>
  <c r="M228" i="44"/>
  <c r="N228" i="44"/>
  <c r="G228" i="44"/>
  <c r="V228" i="44"/>
  <c r="X228" i="44"/>
  <c r="C228" i="44"/>
  <c r="B228" i="44"/>
  <c r="H227" i="44"/>
  <c r="J227" i="44"/>
  <c r="L227" i="44"/>
  <c r="W227" i="44"/>
  <c r="T227" i="44"/>
  <c r="I227" i="44"/>
  <c r="K227" i="44"/>
  <c r="M227" i="44"/>
  <c r="N227" i="44"/>
  <c r="G227" i="44"/>
  <c r="V227" i="44"/>
  <c r="X227" i="44"/>
  <c r="C227" i="44"/>
  <c r="B227" i="44"/>
  <c r="H226" i="44"/>
  <c r="J226" i="44"/>
  <c r="L226" i="44"/>
  <c r="W226" i="44"/>
  <c r="T226" i="44"/>
  <c r="I226" i="44"/>
  <c r="K226" i="44"/>
  <c r="M226" i="44"/>
  <c r="N226" i="44"/>
  <c r="G226" i="44"/>
  <c r="V226" i="44"/>
  <c r="X226" i="44"/>
  <c r="C226" i="44"/>
  <c r="B226" i="44"/>
  <c r="H225" i="44"/>
  <c r="J225" i="44"/>
  <c r="L225" i="44"/>
  <c r="W225" i="44"/>
  <c r="T225" i="44"/>
  <c r="I225" i="44"/>
  <c r="K225" i="44"/>
  <c r="M225" i="44"/>
  <c r="N225" i="44"/>
  <c r="G225" i="44"/>
  <c r="V225" i="44"/>
  <c r="X225" i="44"/>
  <c r="C225" i="44"/>
  <c r="B225" i="44"/>
  <c r="H224" i="44"/>
  <c r="J224" i="44"/>
  <c r="L224" i="44"/>
  <c r="W224" i="44"/>
  <c r="T224" i="44"/>
  <c r="I224" i="44"/>
  <c r="K224" i="44"/>
  <c r="M224" i="44"/>
  <c r="N224" i="44"/>
  <c r="G224" i="44"/>
  <c r="V224" i="44"/>
  <c r="X224" i="44"/>
  <c r="C224" i="44"/>
  <c r="B224" i="44"/>
  <c r="H223" i="44"/>
  <c r="J223" i="44"/>
  <c r="L223" i="44"/>
  <c r="W223" i="44"/>
  <c r="T223" i="44"/>
  <c r="I223" i="44"/>
  <c r="K223" i="44"/>
  <c r="M223" i="44"/>
  <c r="N223" i="44"/>
  <c r="G223" i="44"/>
  <c r="V223" i="44"/>
  <c r="X223" i="44"/>
  <c r="C223" i="44"/>
  <c r="B223" i="44"/>
  <c r="H222" i="44"/>
  <c r="J222" i="44"/>
  <c r="L222" i="44"/>
  <c r="W222" i="44"/>
  <c r="T222" i="44"/>
  <c r="I222" i="44"/>
  <c r="K222" i="44"/>
  <c r="M222" i="44"/>
  <c r="N222" i="44"/>
  <c r="G222" i="44"/>
  <c r="V222" i="44"/>
  <c r="X222" i="44"/>
  <c r="C222" i="44"/>
  <c r="B222" i="44"/>
  <c r="H221" i="44"/>
  <c r="J221" i="44"/>
  <c r="L221" i="44"/>
  <c r="W221" i="44"/>
  <c r="T221" i="44"/>
  <c r="I221" i="44"/>
  <c r="K221" i="44"/>
  <c r="M221" i="44"/>
  <c r="N221" i="44"/>
  <c r="G221" i="44"/>
  <c r="V221" i="44"/>
  <c r="X221" i="44"/>
  <c r="C221" i="44"/>
  <c r="B221" i="44"/>
  <c r="H220" i="44"/>
  <c r="J220" i="44"/>
  <c r="L220" i="44"/>
  <c r="W220" i="44"/>
  <c r="T220" i="44"/>
  <c r="I220" i="44"/>
  <c r="K220" i="44"/>
  <c r="M220" i="44"/>
  <c r="N220" i="44"/>
  <c r="G220" i="44"/>
  <c r="V220" i="44"/>
  <c r="X220" i="44"/>
  <c r="C220" i="44"/>
  <c r="B220" i="44"/>
  <c r="H219" i="44"/>
  <c r="J219" i="44"/>
  <c r="L219" i="44"/>
  <c r="W219" i="44"/>
  <c r="T219" i="44"/>
  <c r="I219" i="44"/>
  <c r="K219" i="44"/>
  <c r="M219" i="44"/>
  <c r="N219" i="44"/>
  <c r="G219" i="44"/>
  <c r="V219" i="44"/>
  <c r="X219" i="44"/>
  <c r="C219" i="44"/>
  <c r="B219" i="44"/>
  <c r="H218" i="44"/>
  <c r="J218" i="44"/>
  <c r="L218" i="44"/>
  <c r="W218" i="44"/>
  <c r="T218" i="44"/>
  <c r="I218" i="44"/>
  <c r="K218" i="44"/>
  <c r="M218" i="44"/>
  <c r="N218" i="44"/>
  <c r="G218" i="44"/>
  <c r="V218" i="44"/>
  <c r="X218" i="44"/>
  <c r="C218" i="44"/>
  <c r="B218" i="44"/>
  <c r="H217" i="44"/>
  <c r="J217" i="44"/>
  <c r="L217" i="44"/>
  <c r="W217" i="44"/>
  <c r="T217" i="44"/>
  <c r="I217" i="44"/>
  <c r="K217" i="44"/>
  <c r="M217" i="44"/>
  <c r="N217" i="44"/>
  <c r="G217" i="44"/>
  <c r="V217" i="44"/>
  <c r="X217" i="44"/>
  <c r="C217" i="44"/>
  <c r="B217" i="44"/>
  <c r="H216" i="44"/>
  <c r="J216" i="44"/>
  <c r="L216" i="44"/>
  <c r="W216" i="44"/>
  <c r="T216" i="44"/>
  <c r="I216" i="44"/>
  <c r="K216" i="44"/>
  <c r="M216" i="44"/>
  <c r="N216" i="44"/>
  <c r="G216" i="44"/>
  <c r="V216" i="44"/>
  <c r="X216" i="44"/>
  <c r="C216" i="44"/>
  <c r="B216" i="44"/>
  <c r="H215" i="44"/>
  <c r="J215" i="44"/>
  <c r="L215" i="44"/>
  <c r="W215" i="44"/>
  <c r="T215" i="44"/>
  <c r="I215" i="44"/>
  <c r="K215" i="44"/>
  <c r="M215" i="44"/>
  <c r="N215" i="44"/>
  <c r="G215" i="44"/>
  <c r="V215" i="44"/>
  <c r="X215" i="44"/>
  <c r="C215" i="44"/>
  <c r="B215" i="44"/>
  <c r="H214" i="44"/>
  <c r="J214" i="44"/>
  <c r="L214" i="44"/>
  <c r="W214" i="44"/>
  <c r="T214" i="44"/>
  <c r="I214" i="44"/>
  <c r="K214" i="44"/>
  <c r="M214" i="44"/>
  <c r="N214" i="44"/>
  <c r="G214" i="44"/>
  <c r="V214" i="44"/>
  <c r="X214" i="44"/>
  <c r="C214" i="44"/>
  <c r="B214" i="44"/>
  <c r="H213" i="44"/>
  <c r="J213" i="44"/>
  <c r="L213" i="44"/>
  <c r="W213" i="44"/>
  <c r="T213" i="44"/>
  <c r="I213" i="44"/>
  <c r="K213" i="44"/>
  <c r="M213" i="44"/>
  <c r="N213" i="44"/>
  <c r="G213" i="44"/>
  <c r="V213" i="44"/>
  <c r="X213" i="44"/>
  <c r="C213" i="44"/>
  <c r="B213" i="44"/>
  <c r="H212" i="44"/>
  <c r="J212" i="44"/>
  <c r="L212" i="44"/>
  <c r="W212" i="44"/>
  <c r="T212" i="44"/>
  <c r="I212" i="44"/>
  <c r="K212" i="44"/>
  <c r="M212" i="44"/>
  <c r="N212" i="44"/>
  <c r="G212" i="44"/>
  <c r="V212" i="44"/>
  <c r="X212" i="44"/>
  <c r="C212" i="44"/>
  <c r="B212" i="44"/>
  <c r="H211" i="44"/>
  <c r="J211" i="44"/>
  <c r="L211" i="44"/>
  <c r="W211" i="44"/>
  <c r="T211" i="44"/>
  <c r="I211" i="44"/>
  <c r="K211" i="44"/>
  <c r="M211" i="44"/>
  <c r="N211" i="44"/>
  <c r="G211" i="44"/>
  <c r="V211" i="44"/>
  <c r="X211" i="44"/>
  <c r="C211" i="44"/>
  <c r="B211" i="44"/>
  <c r="H210" i="44"/>
  <c r="J210" i="44"/>
  <c r="L210" i="44"/>
  <c r="W210" i="44"/>
  <c r="T210" i="44"/>
  <c r="I210" i="44"/>
  <c r="K210" i="44"/>
  <c r="M210" i="44"/>
  <c r="N210" i="44"/>
  <c r="G210" i="44"/>
  <c r="V210" i="44"/>
  <c r="X210" i="44"/>
  <c r="C210" i="44"/>
  <c r="B210" i="44"/>
  <c r="H209" i="44"/>
  <c r="J209" i="44"/>
  <c r="L209" i="44"/>
  <c r="W209" i="44"/>
  <c r="T209" i="44"/>
  <c r="I209" i="44"/>
  <c r="K209" i="44"/>
  <c r="M209" i="44"/>
  <c r="N209" i="44"/>
  <c r="G209" i="44"/>
  <c r="V209" i="44"/>
  <c r="X209" i="44"/>
  <c r="C209" i="44"/>
  <c r="B209" i="44"/>
  <c r="H208" i="44"/>
  <c r="J208" i="44"/>
  <c r="L208" i="44"/>
  <c r="W208" i="44"/>
  <c r="T208" i="44"/>
  <c r="I208" i="44"/>
  <c r="K208" i="44"/>
  <c r="M208" i="44"/>
  <c r="N208" i="44"/>
  <c r="G208" i="44"/>
  <c r="V208" i="44"/>
  <c r="X208" i="44"/>
  <c r="C208" i="44"/>
  <c r="B208" i="44"/>
  <c r="H207" i="44"/>
  <c r="J207" i="44"/>
  <c r="L207" i="44"/>
  <c r="W207" i="44"/>
  <c r="T207" i="44"/>
  <c r="I207" i="44"/>
  <c r="K207" i="44"/>
  <c r="M207" i="44"/>
  <c r="N207" i="44"/>
  <c r="G207" i="44"/>
  <c r="V207" i="44"/>
  <c r="X207" i="44"/>
  <c r="C207" i="44"/>
  <c r="B207" i="44"/>
  <c r="H206" i="44"/>
  <c r="J206" i="44"/>
  <c r="L206" i="44"/>
  <c r="W206" i="44"/>
  <c r="T206" i="44"/>
  <c r="I206" i="44"/>
  <c r="K206" i="44"/>
  <c r="M206" i="44"/>
  <c r="N206" i="44"/>
  <c r="G206" i="44"/>
  <c r="V206" i="44"/>
  <c r="X206" i="44"/>
  <c r="C206" i="44"/>
  <c r="B206" i="44"/>
  <c r="H205" i="44"/>
  <c r="J205" i="44"/>
  <c r="L205" i="44"/>
  <c r="W205" i="44"/>
  <c r="T205" i="44"/>
  <c r="I205" i="44"/>
  <c r="K205" i="44"/>
  <c r="M205" i="44"/>
  <c r="N205" i="44"/>
  <c r="G205" i="44"/>
  <c r="V205" i="44"/>
  <c r="X205" i="44"/>
  <c r="C205" i="44"/>
  <c r="B205" i="44"/>
  <c r="H204" i="44"/>
  <c r="J204" i="44"/>
  <c r="L204" i="44"/>
  <c r="W204" i="44"/>
  <c r="T204" i="44"/>
  <c r="I204" i="44"/>
  <c r="K204" i="44"/>
  <c r="M204" i="44"/>
  <c r="N204" i="44"/>
  <c r="G204" i="44"/>
  <c r="V204" i="44"/>
  <c r="X204" i="44"/>
  <c r="C204" i="44"/>
  <c r="B204" i="44"/>
  <c r="H203" i="44"/>
  <c r="J203" i="44"/>
  <c r="L203" i="44"/>
  <c r="W203" i="44"/>
  <c r="T203" i="44"/>
  <c r="I203" i="44"/>
  <c r="K203" i="44"/>
  <c r="M203" i="44"/>
  <c r="N203" i="44"/>
  <c r="G203" i="44"/>
  <c r="V203" i="44"/>
  <c r="X203" i="44"/>
  <c r="C203" i="44"/>
  <c r="B203" i="44"/>
  <c r="H202" i="44"/>
  <c r="J202" i="44"/>
  <c r="L202" i="44"/>
  <c r="W202" i="44"/>
  <c r="T202" i="44"/>
  <c r="I202" i="44"/>
  <c r="K202" i="44"/>
  <c r="M202" i="44"/>
  <c r="N202" i="44"/>
  <c r="G202" i="44"/>
  <c r="V202" i="44"/>
  <c r="X202" i="44"/>
  <c r="C202" i="44"/>
  <c r="B202" i="44"/>
  <c r="H201" i="44"/>
  <c r="J201" i="44"/>
  <c r="L201" i="44"/>
  <c r="W201" i="44"/>
  <c r="T201" i="44"/>
  <c r="I201" i="44"/>
  <c r="K201" i="44"/>
  <c r="M201" i="44"/>
  <c r="N201" i="44"/>
  <c r="G201" i="44"/>
  <c r="V201" i="44"/>
  <c r="X201" i="44"/>
  <c r="C201" i="44"/>
  <c r="B201" i="44"/>
  <c r="H200" i="44"/>
  <c r="J200" i="44"/>
  <c r="L200" i="44"/>
  <c r="W200" i="44"/>
  <c r="T200" i="44"/>
  <c r="I200" i="44"/>
  <c r="K200" i="44"/>
  <c r="M200" i="44"/>
  <c r="N200" i="44"/>
  <c r="G200" i="44"/>
  <c r="V200" i="44"/>
  <c r="X200" i="44"/>
  <c r="C200" i="44"/>
  <c r="B200" i="44"/>
  <c r="H199" i="44"/>
  <c r="J199" i="44"/>
  <c r="L199" i="44"/>
  <c r="W199" i="44"/>
  <c r="T199" i="44"/>
  <c r="I199" i="44"/>
  <c r="K199" i="44"/>
  <c r="M199" i="44"/>
  <c r="N199" i="44"/>
  <c r="G199" i="44"/>
  <c r="V199" i="44"/>
  <c r="X199" i="44"/>
  <c r="C199" i="44"/>
  <c r="B199" i="44"/>
  <c r="H198" i="44"/>
  <c r="J198" i="44"/>
  <c r="L198" i="44"/>
  <c r="W198" i="44"/>
  <c r="T198" i="44"/>
  <c r="I198" i="44"/>
  <c r="K198" i="44"/>
  <c r="M198" i="44"/>
  <c r="N198" i="44"/>
  <c r="G198" i="44"/>
  <c r="V198" i="44"/>
  <c r="X198" i="44"/>
  <c r="C198" i="44"/>
  <c r="B198" i="44"/>
  <c r="H197" i="44"/>
  <c r="J197" i="44"/>
  <c r="L197" i="44"/>
  <c r="W197" i="44"/>
  <c r="T197" i="44"/>
  <c r="I197" i="44"/>
  <c r="K197" i="44"/>
  <c r="M197" i="44"/>
  <c r="N197" i="44"/>
  <c r="G197" i="44"/>
  <c r="V197" i="44"/>
  <c r="X197" i="44"/>
  <c r="C197" i="44"/>
  <c r="B197" i="44"/>
  <c r="H196" i="44"/>
  <c r="J196" i="44"/>
  <c r="L196" i="44"/>
  <c r="W196" i="44"/>
  <c r="T196" i="44"/>
  <c r="I196" i="44"/>
  <c r="K196" i="44"/>
  <c r="M196" i="44"/>
  <c r="N196" i="44"/>
  <c r="G196" i="44"/>
  <c r="V196" i="44"/>
  <c r="X196" i="44"/>
  <c r="C196" i="44"/>
  <c r="B196" i="44"/>
  <c r="H195" i="44"/>
  <c r="J195" i="44"/>
  <c r="L195" i="44"/>
  <c r="W195" i="44"/>
  <c r="T195" i="44"/>
  <c r="I195" i="44"/>
  <c r="K195" i="44"/>
  <c r="M195" i="44"/>
  <c r="N195" i="44"/>
  <c r="G195" i="44"/>
  <c r="V195" i="44"/>
  <c r="X195" i="44"/>
  <c r="C195" i="44"/>
  <c r="B195" i="44"/>
  <c r="H194" i="44"/>
  <c r="J194" i="44"/>
  <c r="L194" i="44"/>
  <c r="W194" i="44"/>
  <c r="T194" i="44"/>
  <c r="I194" i="44"/>
  <c r="K194" i="44"/>
  <c r="M194" i="44"/>
  <c r="N194" i="44"/>
  <c r="G194" i="44"/>
  <c r="V194" i="44"/>
  <c r="X194" i="44"/>
  <c r="C194" i="44"/>
  <c r="B194" i="44"/>
  <c r="H193" i="44"/>
  <c r="J193" i="44"/>
  <c r="L193" i="44"/>
  <c r="W193" i="44"/>
  <c r="T193" i="44"/>
  <c r="I193" i="44"/>
  <c r="K193" i="44"/>
  <c r="M193" i="44"/>
  <c r="N193" i="44"/>
  <c r="G193" i="44"/>
  <c r="V193" i="44"/>
  <c r="X193" i="44"/>
  <c r="C193" i="44"/>
  <c r="B193" i="44"/>
  <c r="H192" i="44"/>
  <c r="J192" i="44"/>
  <c r="L192" i="44"/>
  <c r="W192" i="44"/>
  <c r="T192" i="44"/>
  <c r="I192" i="44"/>
  <c r="K192" i="44"/>
  <c r="M192" i="44"/>
  <c r="N192" i="44"/>
  <c r="G192" i="44"/>
  <c r="V192" i="44"/>
  <c r="X192" i="44"/>
  <c r="C192" i="44"/>
  <c r="B192" i="44"/>
  <c r="H191" i="44"/>
  <c r="J191" i="44"/>
  <c r="L191" i="44"/>
  <c r="W191" i="44"/>
  <c r="T191" i="44"/>
  <c r="I191" i="44"/>
  <c r="K191" i="44"/>
  <c r="M191" i="44"/>
  <c r="N191" i="44"/>
  <c r="G191" i="44"/>
  <c r="V191" i="44"/>
  <c r="X191" i="44"/>
  <c r="C191" i="44"/>
  <c r="B191" i="44"/>
  <c r="H190" i="44"/>
  <c r="J190" i="44"/>
  <c r="L190" i="44"/>
  <c r="W190" i="44"/>
  <c r="T190" i="44"/>
  <c r="I190" i="44"/>
  <c r="K190" i="44"/>
  <c r="M190" i="44"/>
  <c r="N190" i="44"/>
  <c r="G190" i="44"/>
  <c r="V190" i="44"/>
  <c r="X190" i="44"/>
  <c r="C190" i="44"/>
  <c r="B190" i="44"/>
  <c r="H189" i="44"/>
  <c r="J189" i="44"/>
  <c r="L189" i="44"/>
  <c r="W189" i="44"/>
  <c r="T189" i="44"/>
  <c r="I189" i="44"/>
  <c r="K189" i="44"/>
  <c r="M189" i="44"/>
  <c r="N189" i="44"/>
  <c r="G189" i="44"/>
  <c r="V189" i="44"/>
  <c r="X189" i="44"/>
  <c r="C189" i="44"/>
  <c r="B189" i="44"/>
  <c r="H188" i="44"/>
  <c r="J188" i="44"/>
  <c r="L188" i="44"/>
  <c r="W188" i="44"/>
  <c r="T188" i="44"/>
  <c r="I188" i="44"/>
  <c r="K188" i="44"/>
  <c r="M188" i="44"/>
  <c r="N188" i="44"/>
  <c r="G188" i="44"/>
  <c r="V188" i="44"/>
  <c r="X188" i="44"/>
  <c r="C188" i="44"/>
  <c r="B188" i="44"/>
  <c r="H187" i="44"/>
  <c r="J187" i="44"/>
  <c r="L187" i="44"/>
  <c r="W187" i="44"/>
  <c r="T187" i="44"/>
  <c r="I187" i="44"/>
  <c r="K187" i="44"/>
  <c r="M187" i="44"/>
  <c r="N187" i="44"/>
  <c r="G187" i="44"/>
  <c r="V187" i="44"/>
  <c r="X187" i="44"/>
  <c r="C187" i="44"/>
  <c r="B187" i="44"/>
  <c r="H186" i="44"/>
  <c r="J186" i="44"/>
  <c r="L186" i="44"/>
  <c r="W186" i="44"/>
  <c r="T186" i="44"/>
  <c r="I186" i="44"/>
  <c r="K186" i="44"/>
  <c r="M186" i="44"/>
  <c r="N186" i="44"/>
  <c r="G186" i="44"/>
  <c r="V186" i="44"/>
  <c r="X186" i="44"/>
  <c r="C186" i="44"/>
  <c r="B186" i="44"/>
  <c r="H185" i="44"/>
  <c r="J185" i="44"/>
  <c r="L185" i="44"/>
  <c r="W185" i="44"/>
  <c r="T185" i="44"/>
  <c r="I185" i="44"/>
  <c r="K185" i="44"/>
  <c r="M185" i="44"/>
  <c r="N185" i="44"/>
  <c r="G185" i="44"/>
  <c r="V185" i="44"/>
  <c r="X185" i="44"/>
  <c r="C185" i="44"/>
  <c r="B185" i="44"/>
  <c r="H184" i="44"/>
  <c r="J184" i="44"/>
  <c r="L184" i="44"/>
  <c r="W184" i="44"/>
  <c r="T184" i="44"/>
  <c r="I184" i="44"/>
  <c r="K184" i="44"/>
  <c r="M184" i="44"/>
  <c r="N184" i="44"/>
  <c r="G184" i="44"/>
  <c r="V184" i="44"/>
  <c r="X184" i="44"/>
  <c r="C184" i="44"/>
  <c r="B184" i="44"/>
  <c r="H183" i="44"/>
  <c r="J183" i="44"/>
  <c r="L183" i="44"/>
  <c r="W183" i="44"/>
  <c r="T183" i="44"/>
  <c r="I183" i="44"/>
  <c r="K183" i="44"/>
  <c r="M183" i="44"/>
  <c r="N183" i="44"/>
  <c r="G183" i="44"/>
  <c r="V183" i="44"/>
  <c r="X183" i="44"/>
  <c r="C183" i="44"/>
  <c r="B183" i="44"/>
  <c r="H182" i="44"/>
  <c r="J182" i="44"/>
  <c r="L182" i="44"/>
  <c r="W182" i="44"/>
  <c r="T182" i="44"/>
  <c r="I182" i="44"/>
  <c r="K182" i="44"/>
  <c r="M182" i="44"/>
  <c r="N182" i="44"/>
  <c r="G182" i="44"/>
  <c r="V182" i="44"/>
  <c r="X182" i="44"/>
  <c r="C182" i="44"/>
  <c r="B182" i="44"/>
  <c r="H181" i="44"/>
  <c r="J181" i="44"/>
  <c r="L181" i="44"/>
  <c r="W181" i="44"/>
  <c r="T181" i="44"/>
  <c r="I181" i="44"/>
  <c r="K181" i="44"/>
  <c r="M181" i="44"/>
  <c r="N181" i="44"/>
  <c r="G181" i="44"/>
  <c r="V181" i="44"/>
  <c r="X181" i="44"/>
  <c r="C181" i="44"/>
  <c r="B181" i="44"/>
  <c r="H180" i="44"/>
  <c r="J180" i="44"/>
  <c r="L180" i="44"/>
  <c r="W180" i="44"/>
  <c r="T180" i="44"/>
  <c r="I180" i="44"/>
  <c r="K180" i="44"/>
  <c r="M180" i="44"/>
  <c r="N180" i="44"/>
  <c r="G180" i="44"/>
  <c r="V180" i="44"/>
  <c r="X180" i="44"/>
  <c r="C180" i="44"/>
  <c r="B180" i="44"/>
  <c r="H179" i="44"/>
  <c r="J179" i="44"/>
  <c r="L179" i="44"/>
  <c r="W179" i="44"/>
  <c r="T179" i="44"/>
  <c r="I179" i="44"/>
  <c r="K179" i="44"/>
  <c r="M179" i="44"/>
  <c r="N179" i="44"/>
  <c r="G179" i="44"/>
  <c r="V179" i="44"/>
  <c r="X179" i="44"/>
  <c r="C179" i="44"/>
  <c r="B179" i="44"/>
  <c r="H178" i="44"/>
  <c r="J178" i="44"/>
  <c r="L178" i="44"/>
  <c r="W178" i="44"/>
  <c r="T178" i="44"/>
  <c r="I178" i="44"/>
  <c r="K178" i="44"/>
  <c r="M178" i="44"/>
  <c r="N178" i="44"/>
  <c r="G178" i="44"/>
  <c r="V178" i="44"/>
  <c r="X178" i="44"/>
  <c r="C178" i="44"/>
  <c r="B178" i="44"/>
  <c r="H177" i="44"/>
  <c r="J177" i="44"/>
  <c r="L177" i="44"/>
  <c r="W177" i="44"/>
  <c r="T177" i="44"/>
  <c r="I177" i="44"/>
  <c r="K177" i="44"/>
  <c r="M177" i="44"/>
  <c r="N177" i="44"/>
  <c r="G177" i="44"/>
  <c r="V177" i="44"/>
  <c r="X177" i="44"/>
  <c r="C177" i="44"/>
  <c r="B177" i="44"/>
  <c r="H176" i="44"/>
  <c r="J176" i="44"/>
  <c r="L176" i="44"/>
  <c r="W176" i="44"/>
  <c r="T176" i="44"/>
  <c r="I176" i="44"/>
  <c r="K176" i="44"/>
  <c r="M176" i="44"/>
  <c r="N176" i="44"/>
  <c r="G176" i="44"/>
  <c r="V176" i="44"/>
  <c r="X176" i="44"/>
  <c r="C176" i="44"/>
  <c r="B176" i="44"/>
  <c r="H175" i="44"/>
  <c r="J175" i="44"/>
  <c r="L175" i="44"/>
  <c r="W175" i="44"/>
  <c r="T175" i="44"/>
  <c r="I175" i="44"/>
  <c r="K175" i="44"/>
  <c r="M175" i="44"/>
  <c r="N175" i="44"/>
  <c r="G175" i="44"/>
  <c r="V175" i="44"/>
  <c r="X175" i="44"/>
  <c r="C175" i="44"/>
  <c r="B175" i="44"/>
  <c r="H174" i="44"/>
  <c r="J174" i="44"/>
  <c r="L174" i="44"/>
  <c r="W174" i="44"/>
  <c r="T174" i="44"/>
  <c r="I174" i="44"/>
  <c r="K174" i="44"/>
  <c r="M174" i="44"/>
  <c r="N174" i="44"/>
  <c r="G174" i="44"/>
  <c r="V174" i="44"/>
  <c r="X174" i="44"/>
  <c r="C174" i="44"/>
  <c r="B174" i="44"/>
  <c r="H173" i="44"/>
  <c r="J173" i="44"/>
  <c r="L173" i="44"/>
  <c r="W173" i="44"/>
  <c r="T173" i="44"/>
  <c r="I173" i="44"/>
  <c r="K173" i="44"/>
  <c r="M173" i="44"/>
  <c r="N173" i="44"/>
  <c r="G173" i="44"/>
  <c r="V173" i="44"/>
  <c r="X173" i="44"/>
  <c r="C173" i="44"/>
  <c r="B173" i="44"/>
  <c r="H172" i="44"/>
  <c r="J172" i="44"/>
  <c r="L172" i="44"/>
  <c r="W172" i="44"/>
  <c r="T172" i="44"/>
  <c r="I172" i="44"/>
  <c r="K172" i="44"/>
  <c r="M172" i="44"/>
  <c r="N172" i="44"/>
  <c r="G172" i="44"/>
  <c r="V172" i="44"/>
  <c r="X172" i="44"/>
  <c r="C172" i="44"/>
  <c r="B172" i="44"/>
  <c r="H171" i="44"/>
  <c r="J171" i="44"/>
  <c r="L171" i="44"/>
  <c r="W171" i="44"/>
  <c r="T171" i="44"/>
  <c r="I171" i="44"/>
  <c r="K171" i="44"/>
  <c r="M171" i="44"/>
  <c r="N171" i="44"/>
  <c r="G171" i="44"/>
  <c r="V171" i="44"/>
  <c r="X171" i="44"/>
  <c r="C171" i="44"/>
  <c r="B171" i="44"/>
  <c r="H170" i="44"/>
  <c r="J170" i="44"/>
  <c r="L170" i="44"/>
  <c r="W170" i="44"/>
  <c r="T170" i="44"/>
  <c r="I170" i="44"/>
  <c r="K170" i="44"/>
  <c r="M170" i="44"/>
  <c r="N170" i="44"/>
  <c r="G170" i="44"/>
  <c r="V170" i="44"/>
  <c r="X170" i="44"/>
  <c r="C170" i="44"/>
  <c r="B170" i="44"/>
  <c r="H169" i="44"/>
  <c r="J169" i="44"/>
  <c r="L169" i="44"/>
  <c r="W169" i="44"/>
  <c r="T169" i="44"/>
  <c r="I169" i="44"/>
  <c r="K169" i="44"/>
  <c r="M169" i="44"/>
  <c r="N169" i="44"/>
  <c r="G169" i="44"/>
  <c r="V169" i="44"/>
  <c r="X169" i="44"/>
  <c r="C169" i="44"/>
  <c r="B169" i="44"/>
  <c r="H168" i="44"/>
  <c r="J168" i="44"/>
  <c r="L168" i="44"/>
  <c r="W168" i="44"/>
  <c r="T168" i="44"/>
  <c r="I168" i="44"/>
  <c r="K168" i="44"/>
  <c r="M168" i="44"/>
  <c r="N168" i="44"/>
  <c r="G168" i="44"/>
  <c r="V168" i="44"/>
  <c r="X168" i="44"/>
  <c r="C168" i="44"/>
  <c r="B168" i="44"/>
  <c r="H167" i="44"/>
  <c r="J167" i="44"/>
  <c r="L167" i="44"/>
  <c r="W167" i="44"/>
  <c r="T167" i="44"/>
  <c r="I167" i="44"/>
  <c r="K167" i="44"/>
  <c r="M167" i="44"/>
  <c r="N167" i="44"/>
  <c r="G167" i="44"/>
  <c r="V167" i="44"/>
  <c r="X167" i="44"/>
  <c r="C167" i="44"/>
  <c r="B167" i="44"/>
  <c r="H166" i="44"/>
  <c r="J166" i="44"/>
  <c r="L166" i="44"/>
  <c r="W166" i="44"/>
  <c r="T166" i="44"/>
  <c r="I166" i="44"/>
  <c r="K166" i="44"/>
  <c r="M166" i="44"/>
  <c r="N166" i="44"/>
  <c r="G166" i="44"/>
  <c r="V166" i="44"/>
  <c r="X166" i="44"/>
  <c r="C166" i="44"/>
  <c r="B166" i="44"/>
  <c r="H165" i="44"/>
  <c r="J165" i="44"/>
  <c r="L165" i="44"/>
  <c r="W165" i="44"/>
  <c r="T165" i="44"/>
  <c r="I165" i="44"/>
  <c r="K165" i="44"/>
  <c r="M165" i="44"/>
  <c r="N165" i="44"/>
  <c r="G165" i="44"/>
  <c r="V165" i="44"/>
  <c r="X165" i="44"/>
  <c r="C165" i="44"/>
  <c r="B165" i="44"/>
  <c r="H164" i="44"/>
  <c r="J164" i="44"/>
  <c r="L164" i="44"/>
  <c r="W164" i="44"/>
  <c r="T164" i="44"/>
  <c r="I164" i="44"/>
  <c r="K164" i="44"/>
  <c r="M164" i="44"/>
  <c r="N164" i="44"/>
  <c r="G164" i="44"/>
  <c r="V164" i="44"/>
  <c r="X164" i="44"/>
  <c r="C164" i="44"/>
  <c r="B164" i="44"/>
  <c r="H163" i="44"/>
  <c r="J163" i="44"/>
  <c r="L163" i="44"/>
  <c r="W163" i="44"/>
  <c r="T163" i="44"/>
  <c r="I163" i="44"/>
  <c r="K163" i="44"/>
  <c r="M163" i="44"/>
  <c r="N163" i="44"/>
  <c r="G163" i="44"/>
  <c r="V163" i="44"/>
  <c r="X163" i="44"/>
  <c r="C163" i="44"/>
  <c r="B163" i="44"/>
  <c r="H162" i="44"/>
  <c r="J162" i="44"/>
  <c r="L162" i="44"/>
  <c r="W162" i="44"/>
  <c r="T162" i="44"/>
  <c r="I162" i="44"/>
  <c r="K162" i="44"/>
  <c r="M162" i="44"/>
  <c r="N162" i="44"/>
  <c r="G162" i="44"/>
  <c r="V162" i="44"/>
  <c r="X162" i="44"/>
  <c r="C162" i="44"/>
  <c r="B162" i="44"/>
  <c r="H161" i="44"/>
  <c r="J161" i="44"/>
  <c r="L161" i="44"/>
  <c r="W161" i="44"/>
  <c r="T161" i="44"/>
  <c r="I161" i="44"/>
  <c r="K161" i="44"/>
  <c r="M161" i="44"/>
  <c r="N161" i="44"/>
  <c r="G161" i="44"/>
  <c r="V161" i="44"/>
  <c r="X161" i="44"/>
  <c r="C161" i="44"/>
  <c r="B161" i="44"/>
  <c r="H160" i="44"/>
  <c r="J160" i="44"/>
  <c r="L160" i="44"/>
  <c r="W160" i="44"/>
  <c r="T160" i="44"/>
  <c r="I160" i="44"/>
  <c r="K160" i="44"/>
  <c r="M160" i="44"/>
  <c r="N160" i="44"/>
  <c r="G160" i="44"/>
  <c r="V160" i="44"/>
  <c r="X160" i="44"/>
  <c r="C160" i="44"/>
  <c r="B160" i="44"/>
  <c r="H159" i="44"/>
  <c r="J159" i="44"/>
  <c r="L159" i="44"/>
  <c r="W159" i="44"/>
  <c r="T159" i="44"/>
  <c r="I159" i="44"/>
  <c r="K159" i="44"/>
  <c r="M159" i="44"/>
  <c r="N159" i="44"/>
  <c r="G159" i="44"/>
  <c r="V159" i="44"/>
  <c r="X159" i="44"/>
  <c r="C159" i="44"/>
  <c r="B159" i="44"/>
  <c r="H158" i="44"/>
  <c r="J158" i="44"/>
  <c r="L158" i="44"/>
  <c r="W158" i="44"/>
  <c r="T158" i="44"/>
  <c r="I158" i="44"/>
  <c r="K158" i="44"/>
  <c r="M158" i="44"/>
  <c r="N158" i="44"/>
  <c r="G158" i="44"/>
  <c r="V158" i="44"/>
  <c r="X158" i="44"/>
  <c r="C158" i="44"/>
  <c r="B158" i="44"/>
  <c r="H157" i="44"/>
  <c r="J157" i="44"/>
  <c r="L157" i="44"/>
  <c r="W157" i="44"/>
  <c r="T157" i="44"/>
  <c r="I157" i="44"/>
  <c r="K157" i="44"/>
  <c r="M157" i="44"/>
  <c r="N157" i="44"/>
  <c r="G157" i="44"/>
  <c r="V157" i="44"/>
  <c r="X157" i="44"/>
  <c r="C157" i="44"/>
  <c r="B157" i="44"/>
  <c r="H156" i="44"/>
  <c r="J156" i="44"/>
  <c r="L156" i="44"/>
  <c r="W156" i="44"/>
  <c r="T156" i="44"/>
  <c r="I156" i="44"/>
  <c r="K156" i="44"/>
  <c r="M156" i="44"/>
  <c r="N156" i="44"/>
  <c r="G156" i="44"/>
  <c r="V156" i="44"/>
  <c r="X156" i="44"/>
  <c r="C156" i="44"/>
  <c r="B156" i="44"/>
  <c r="H155" i="44"/>
  <c r="J155" i="44"/>
  <c r="L155" i="44"/>
  <c r="W155" i="44"/>
  <c r="T155" i="44"/>
  <c r="I155" i="44"/>
  <c r="K155" i="44"/>
  <c r="M155" i="44"/>
  <c r="N155" i="44"/>
  <c r="G155" i="44"/>
  <c r="V155" i="44"/>
  <c r="X155" i="44"/>
  <c r="C155" i="44"/>
  <c r="B155" i="44"/>
  <c r="H154" i="44"/>
  <c r="J154" i="44"/>
  <c r="L154" i="44"/>
  <c r="W154" i="44"/>
  <c r="T154" i="44"/>
  <c r="I154" i="44"/>
  <c r="K154" i="44"/>
  <c r="M154" i="44"/>
  <c r="N154" i="44"/>
  <c r="G154" i="44"/>
  <c r="V154" i="44"/>
  <c r="X154" i="44"/>
  <c r="C154" i="44"/>
  <c r="B154" i="44"/>
  <c r="H153" i="44"/>
  <c r="J153" i="44"/>
  <c r="L153" i="44"/>
  <c r="W153" i="44"/>
  <c r="T153" i="44"/>
  <c r="I153" i="44"/>
  <c r="K153" i="44"/>
  <c r="M153" i="44"/>
  <c r="N153" i="44"/>
  <c r="G153" i="44"/>
  <c r="V153" i="44"/>
  <c r="X153" i="44"/>
  <c r="C153" i="44"/>
  <c r="B153" i="44"/>
  <c r="H152" i="44"/>
  <c r="J152" i="44"/>
  <c r="L152" i="44"/>
  <c r="W152" i="44"/>
  <c r="T152" i="44"/>
  <c r="I152" i="44"/>
  <c r="K152" i="44"/>
  <c r="M152" i="44"/>
  <c r="N152" i="44"/>
  <c r="G152" i="44"/>
  <c r="V152" i="44"/>
  <c r="X152" i="44"/>
  <c r="C152" i="44"/>
  <c r="B152" i="44"/>
  <c r="H151" i="44"/>
  <c r="J151" i="44"/>
  <c r="L151" i="44"/>
  <c r="W151" i="44"/>
  <c r="T151" i="44"/>
  <c r="I151" i="44"/>
  <c r="K151" i="44"/>
  <c r="M151" i="44"/>
  <c r="N151" i="44"/>
  <c r="G151" i="44"/>
  <c r="V151" i="44"/>
  <c r="X151" i="44"/>
  <c r="C151" i="44"/>
  <c r="B151" i="44"/>
  <c r="H150" i="44"/>
  <c r="J150" i="44"/>
  <c r="L150" i="44"/>
  <c r="W150" i="44"/>
  <c r="T150" i="44"/>
  <c r="I150" i="44"/>
  <c r="K150" i="44"/>
  <c r="M150" i="44"/>
  <c r="N150" i="44"/>
  <c r="G150" i="44"/>
  <c r="V150" i="44"/>
  <c r="X150" i="44"/>
  <c r="C150" i="44"/>
  <c r="B150" i="44"/>
  <c r="H149" i="44"/>
  <c r="J149" i="44"/>
  <c r="L149" i="44"/>
  <c r="W149" i="44"/>
  <c r="T149" i="44"/>
  <c r="I149" i="44"/>
  <c r="K149" i="44"/>
  <c r="M149" i="44"/>
  <c r="N149" i="44"/>
  <c r="G149" i="44"/>
  <c r="V149" i="44"/>
  <c r="X149" i="44"/>
  <c r="C149" i="44"/>
  <c r="B149" i="44"/>
  <c r="H148" i="44"/>
  <c r="J148" i="44"/>
  <c r="L148" i="44"/>
  <c r="W148" i="44"/>
  <c r="T148" i="44"/>
  <c r="I148" i="44"/>
  <c r="K148" i="44"/>
  <c r="M148" i="44"/>
  <c r="N148" i="44"/>
  <c r="G148" i="44"/>
  <c r="V148" i="44"/>
  <c r="X148" i="44"/>
  <c r="C148" i="44"/>
  <c r="B148" i="44"/>
  <c r="H147" i="44"/>
  <c r="J147" i="44"/>
  <c r="L147" i="44"/>
  <c r="W147" i="44"/>
  <c r="T147" i="44"/>
  <c r="I147" i="44"/>
  <c r="K147" i="44"/>
  <c r="M147" i="44"/>
  <c r="N147" i="44"/>
  <c r="G147" i="44"/>
  <c r="V147" i="44"/>
  <c r="X147" i="44"/>
  <c r="C147" i="44"/>
  <c r="B147" i="44"/>
  <c r="H146" i="44"/>
  <c r="J146" i="44"/>
  <c r="L146" i="44"/>
  <c r="W146" i="44"/>
  <c r="T146" i="44"/>
  <c r="I146" i="44"/>
  <c r="K146" i="44"/>
  <c r="M146" i="44"/>
  <c r="N146" i="44"/>
  <c r="G146" i="44"/>
  <c r="V146" i="44"/>
  <c r="X146" i="44"/>
  <c r="C146" i="44"/>
  <c r="B146" i="44"/>
  <c r="H145" i="44"/>
  <c r="J145" i="44"/>
  <c r="L145" i="44"/>
  <c r="W145" i="44"/>
  <c r="T145" i="44"/>
  <c r="I145" i="44"/>
  <c r="K145" i="44"/>
  <c r="M145" i="44"/>
  <c r="N145" i="44"/>
  <c r="G145" i="44"/>
  <c r="V145" i="44"/>
  <c r="X145" i="44"/>
  <c r="C145" i="44"/>
  <c r="B145" i="44"/>
  <c r="H144" i="44"/>
  <c r="J144" i="44"/>
  <c r="L144" i="44"/>
  <c r="W144" i="44"/>
  <c r="T144" i="44"/>
  <c r="I144" i="44"/>
  <c r="K144" i="44"/>
  <c r="M144" i="44"/>
  <c r="N144" i="44"/>
  <c r="G144" i="44"/>
  <c r="V144" i="44"/>
  <c r="X144" i="44"/>
  <c r="C144" i="44"/>
  <c r="B144" i="44"/>
  <c r="H143" i="44"/>
  <c r="J143" i="44"/>
  <c r="L143" i="44"/>
  <c r="W143" i="44"/>
  <c r="T143" i="44"/>
  <c r="I143" i="44"/>
  <c r="K143" i="44"/>
  <c r="M143" i="44"/>
  <c r="N143" i="44"/>
  <c r="G143" i="44"/>
  <c r="V143" i="44"/>
  <c r="X143" i="44"/>
  <c r="C143" i="44"/>
  <c r="B143" i="44"/>
  <c r="H142" i="44"/>
  <c r="J142" i="44"/>
  <c r="L142" i="44"/>
  <c r="W142" i="44"/>
  <c r="T142" i="44"/>
  <c r="I142" i="44"/>
  <c r="K142" i="44"/>
  <c r="M142" i="44"/>
  <c r="N142" i="44"/>
  <c r="G142" i="44"/>
  <c r="V142" i="44"/>
  <c r="X142" i="44"/>
  <c r="C142" i="44"/>
  <c r="B142" i="44"/>
  <c r="H141" i="44"/>
  <c r="J141" i="44"/>
  <c r="L141" i="44"/>
  <c r="W141" i="44"/>
  <c r="T141" i="44"/>
  <c r="I141" i="44"/>
  <c r="K141" i="44"/>
  <c r="M141" i="44"/>
  <c r="N141" i="44"/>
  <c r="G141" i="44"/>
  <c r="V141" i="44"/>
  <c r="X141" i="44"/>
  <c r="C141" i="44"/>
  <c r="B141" i="44"/>
  <c r="H140" i="44"/>
  <c r="J140" i="44"/>
  <c r="L140" i="44"/>
  <c r="W140" i="44"/>
  <c r="T140" i="44"/>
  <c r="I140" i="44"/>
  <c r="K140" i="44"/>
  <c r="M140" i="44"/>
  <c r="N140" i="44"/>
  <c r="G140" i="44"/>
  <c r="V140" i="44"/>
  <c r="X140" i="44"/>
  <c r="C140" i="44"/>
  <c r="B140" i="44"/>
  <c r="H139" i="44"/>
  <c r="J139" i="44"/>
  <c r="L139" i="44"/>
  <c r="W139" i="44"/>
  <c r="T139" i="44"/>
  <c r="I139" i="44"/>
  <c r="K139" i="44"/>
  <c r="M139" i="44"/>
  <c r="N139" i="44"/>
  <c r="G139" i="44"/>
  <c r="V139" i="44"/>
  <c r="X139" i="44"/>
  <c r="C139" i="44"/>
  <c r="B139" i="44"/>
  <c r="H138" i="44"/>
  <c r="J138" i="44"/>
  <c r="L138" i="44"/>
  <c r="W138" i="44"/>
  <c r="T138" i="44"/>
  <c r="I138" i="44"/>
  <c r="K138" i="44"/>
  <c r="M138" i="44"/>
  <c r="N138" i="44"/>
  <c r="G138" i="44"/>
  <c r="V138" i="44"/>
  <c r="X138" i="44"/>
  <c r="C138" i="44"/>
  <c r="B138" i="44"/>
  <c r="H137" i="44"/>
  <c r="J137" i="44"/>
  <c r="L137" i="44"/>
  <c r="W137" i="44"/>
  <c r="T137" i="44"/>
  <c r="I137" i="44"/>
  <c r="K137" i="44"/>
  <c r="M137" i="44"/>
  <c r="N137" i="44"/>
  <c r="G137" i="44"/>
  <c r="V137" i="44"/>
  <c r="X137" i="44"/>
  <c r="C137" i="44"/>
  <c r="B137" i="44"/>
  <c r="H136" i="44"/>
  <c r="J136" i="44"/>
  <c r="L136" i="44"/>
  <c r="W136" i="44"/>
  <c r="T136" i="44"/>
  <c r="I136" i="44"/>
  <c r="K136" i="44"/>
  <c r="M136" i="44"/>
  <c r="N136" i="44"/>
  <c r="G136" i="44"/>
  <c r="V136" i="44"/>
  <c r="X136" i="44"/>
  <c r="C136" i="44"/>
  <c r="B136" i="44"/>
  <c r="H135" i="44"/>
  <c r="J135" i="44"/>
  <c r="L135" i="44"/>
  <c r="W135" i="44"/>
  <c r="T135" i="44"/>
  <c r="I135" i="44"/>
  <c r="K135" i="44"/>
  <c r="M135" i="44"/>
  <c r="N135" i="44"/>
  <c r="G135" i="44"/>
  <c r="V135" i="44"/>
  <c r="X135" i="44"/>
  <c r="C135" i="44"/>
  <c r="B135" i="44"/>
  <c r="H134" i="44"/>
  <c r="J134" i="44"/>
  <c r="L134" i="44"/>
  <c r="W134" i="44"/>
  <c r="T134" i="44"/>
  <c r="I134" i="44"/>
  <c r="K134" i="44"/>
  <c r="M134" i="44"/>
  <c r="N134" i="44"/>
  <c r="G134" i="44"/>
  <c r="V134" i="44"/>
  <c r="X134" i="44"/>
  <c r="C134" i="44"/>
  <c r="B134" i="44"/>
  <c r="H133" i="44"/>
  <c r="J133" i="44"/>
  <c r="L133" i="44"/>
  <c r="W133" i="44"/>
  <c r="T133" i="44"/>
  <c r="I133" i="44"/>
  <c r="K133" i="44"/>
  <c r="M133" i="44"/>
  <c r="N133" i="44"/>
  <c r="G133" i="44"/>
  <c r="V133" i="44"/>
  <c r="X133" i="44"/>
  <c r="C133" i="44"/>
  <c r="B133" i="44"/>
  <c r="H132" i="44"/>
  <c r="J132" i="44"/>
  <c r="L132" i="44"/>
  <c r="W132" i="44"/>
  <c r="T132" i="44"/>
  <c r="I132" i="44"/>
  <c r="K132" i="44"/>
  <c r="M132" i="44"/>
  <c r="N132" i="44"/>
  <c r="G132" i="44"/>
  <c r="V132" i="44"/>
  <c r="X132" i="44"/>
  <c r="C132" i="44"/>
  <c r="B132" i="44"/>
  <c r="H131" i="44"/>
  <c r="J131" i="44"/>
  <c r="L131" i="44"/>
  <c r="W131" i="44"/>
  <c r="T131" i="44"/>
  <c r="I131" i="44"/>
  <c r="K131" i="44"/>
  <c r="M131" i="44"/>
  <c r="N131" i="44"/>
  <c r="G131" i="44"/>
  <c r="V131" i="44"/>
  <c r="X131" i="44"/>
  <c r="C131" i="44"/>
  <c r="B131" i="44"/>
  <c r="H130" i="44"/>
  <c r="J130" i="44"/>
  <c r="L130" i="44"/>
  <c r="W130" i="44"/>
  <c r="T130" i="44"/>
  <c r="I130" i="44"/>
  <c r="K130" i="44"/>
  <c r="M130" i="44"/>
  <c r="N130" i="44"/>
  <c r="G130" i="44"/>
  <c r="V130" i="44"/>
  <c r="X130" i="44"/>
  <c r="C130" i="44"/>
  <c r="B130" i="44"/>
  <c r="H129" i="44"/>
  <c r="J129" i="44"/>
  <c r="L129" i="44"/>
  <c r="W129" i="44"/>
  <c r="T129" i="44"/>
  <c r="I129" i="44"/>
  <c r="K129" i="44"/>
  <c r="M129" i="44"/>
  <c r="N129" i="44"/>
  <c r="G129" i="44"/>
  <c r="V129" i="44"/>
  <c r="X129" i="44"/>
  <c r="C129" i="44"/>
  <c r="B129" i="44"/>
  <c r="H128" i="44"/>
  <c r="J128" i="44"/>
  <c r="L128" i="44"/>
  <c r="W128" i="44"/>
  <c r="T128" i="44"/>
  <c r="I128" i="44"/>
  <c r="K128" i="44"/>
  <c r="M128" i="44"/>
  <c r="N128" i="44"/>
  <c r="G128" i="44"/>
  <c r="V128" i="44"/>
  <c r="X128" i="44"/>
  <c r="C128" i="44"/>
  <c r="B128" i="44"/>
  <c r="H127" i="44"/>
  <c r="J127" i="44"/>
  <c r="L127" i="44"/>
  <c r="W127" i="44"/>
  <c r="T127" i="44"/>
  <c r="I127" i="44"/>
  <c r="K127" i="44"/>
  <c r="M127" i="44"/>
  <c r="N127" i="44"/>
  <c r="G127" i="44"/>
  <c r="V127" i="44"/>
  <c r="X127" i="44"/>
  <c r="C127" i="44"/>
  <c r="B127" i="44"/>
  <c r="H126" i="44"/>
  <c r="J126" i="44"/>
  <c r="L126" i="44"/>
  <c r="W126" i="44"/>
  <c r="T126" i="44"/>
  <c r="I126" i="44"/>
  <c r="K126" i="44"/>
  <c r="M126" i="44"/>
  <c r="N126" i="44"/>
  <c r="G126" i="44"/>
  <c r="V126" i="44"/>
  <c r="X126" i="44"/>
  <c r="C126" i="44"/>
  <c r="B126" i="44"/>
  <c r="H125" i="44"/>
  <c r="J125" i="44"/>
  <c r="L125" i="44"/>
  <c r="W125" i="44"/>
  <c r="T125" i="44"/>
  <c r="I125" i="44"/>
  <c r="K125" i="44"/>
  <c r="M125" i="44"/>
  <c r="N125" i="44"/>
  <c r="G125" i="44"/>
  <c r="V125" i="44"/>
  <c r="X125" i="44"/>
  <c r="C125" i="44"/>
  <c r="B125" i="44"/>
  <c r="H124" i="44"/>
  <c r="J124" i="44"/>
  <c r="L124" i="44"/>
  <c r="W124" i="44"/>
  <c r="T124" i="44"/>
  <c r="I124" i="44"/>
  <c r="K124" i="44"/>
  <c r="M124" i="44"/>
  <c r="N124" i="44"/>
  <c r="G124" i="44"/>
  <c r="V124" i="44"/>
  <c r="X124" i="44"/>
  <c r="C124" i="44"/>
  <c r="B124" i="44"/>
  <c r="H123" i="44"/>
  <c r="J123" i="44"/>
  <c r="L123" i="44"/>
  <c r="W123" i="44"/>
  <c r="T123" i="44"/>
  <c r="I123" i="44"/>
  <c r="K123" i="44"/>
  <c r="M123" i="44"/>
  <c r="N123" i="44"/>
  <c r="G123" i="44"/>
  <c r="V123" i="44"/>
  <c r="X123" i="44"/>
  <c r="C123" i="44"/>
  <c r="B123" i="44"/>
  <c r="H122" i="44"/>
  <c r="J122" i="44"/>
  <c r="L122" i="44"/>
  <c r="W122" i="44"/>
  <c r="T122" i="44"/>
  <c r="I122" i="44"/>
  <c r="K122" i="44"/>
  <c r="M122" i="44"/>
  <c r="N122" i="44"/>
  <c r="G122" i="44"/>
  <c r="V122" i="44"/>
  <c r="X122" i="44"/>
  <c r="C122" i="44"/>
  <c r="B122" i="44"/>
  <c r="H121" i="44"/>
  <c r="J121" i="44"/>
  <c r="L121" i="44"/>
  <c r="W121" i="44"/>
  <c r="T121" i="44"/>
  <c r="I121" i="44"/>
  <c r="K121" i="44"/>
  <c r="M121" i="44"/>
  <c r="N121" i="44"/>
  <c r="G121" i="44"/>
  <c r="V121" i="44"/>
  <c r="X121" i="44"/>
  <c r="C121" i="44"/>
  <c r="B121" i="44"/>
  <c r="H120" i="44"/>
  <c r="J120" i="44"/>
  <c r="L120" i="44"/>
  <c r="W120" i="44"/>
  <c r="T120" i="44"/>
  <c r="I120" i="44"/>
  <c r="K120" i="44"/>
  <c r="M120" i="44"/>
  <c r="N120" i="44"/>
  <c r="G120" i="44"/>
  <c r="V120" i="44"/>
  <c r="X120" i="44"/>
  <c r="C120" i="44"/>
  <c r="B120" i="44"/>
  <c r="H119" i="44"/>
  <c r="J119" i="44"/>
  <c r="L119" i="44"/>
  <c r="W119" i="44"/>
  <c r="T119" i="44"/>
  <c r="I119" i="44"/>
  <c r="K119" i="44"/>
  <c r="M119" i="44"/>
  <c r="N119" i="44"/>
  <c r="G119" i="44"/>
  <c r="V119" i="44"/>
  <c r="X119" i="44"/>
  <c r="C119" i="44"/>
  <c r="B119" i="44"/>
  <c r="H118" i="44"/>
  <c r="J118" i="44"/>
  <c r="L118" i="44"/>
  <c r="W118" i="44"/>
  <c r="T118" i="44"/>
  <c r="I118" i="44"/>
  <c r="K118" i="44"/>
  <c r="M118" i="44"/>
  <c r="N118" i="44"/>
  <c r="G118" i="44"/>
  <c r="V118" i="44"/>
  <c r="X118" i="44"/>
  <c r="C118" i="44"/>
  <c r="B118" i="44"/>
  <c r="H117" i="44"/>
  <c r="J117" i="44"/>
  <c r="L117" i="44"/>
  <c r="W117" i="44"/>
  <c r="T117" i="44"/>
  <c r="I117" i="44"/>
  <c r="K117" i="44"/>
  <c r="M117" i="44"/>
  <c r="N117" i="44"/>
  <c r="G117" i="44"/>
  <c r="V117" i="44"/>
  <c r="X117" i="44"/>
  <c r="C117" i="44"/>
  <c r="B117" i="44"/>
  <c r="H116" i="44"/>
  <c r="J116" i="44"/>
  <c r="L116" i="44"/>
  <c r="W116" i="44"/>
  <c r="T116" i="44"/>
  <c r="I116" i="44"/>
  <c r="K116" i="44"/>
  <c r="M116" i="44"/>
  <c r="N116" i="44"/>
  <c r="G116" i="44"/>
  <c r="V116" i="44"/>
  <c r="X116" i="44"/>
  <c r="C116" i="44"/>
  <c r="B116" i="44"/>
  <c r="H115" i="44"/>
  <c r="J115" i="44"/>
  <c r="L115" i="44"/>
  <c r="W115" i="44"/>
  <c r="T115" i="44"/>
  <c r="I115" i="44"/>
  <c r="K115" i="44"/>
  <c r="M115" i="44"/>
  <c r="N115" i="44"/>
  <c r="G115" i="44"/>
  <c r="V115" i="44"/>
  <c r="X115" i="44"/>
  <c r="C115" i="44"/>
  <c r="B115" i="44"/>
  <c r="H114" i="44"/>
  <c r="J114" i="44"/>
  <c r="L114" i="44"/>
  <c r="W114" i="44"/>
  <c r="T114" i="44"/>
  <c r="I114" i="44"/>
  <c r="K114" i="44"/>
  <c r="M114" i="44"/>
  <c r="N114" i="44"/>
  <c r="G114" i="44"/>
  <c r="V114" i="44"/>
  <c r="X114" i="44"/>
  <c r="C114" i="44"/>
  <c r="B114" i="44"/>
  <c r="H113" i="44"/>
  <c r="J113" i="44"/>
  <c r="L113" i="44"/>
  <c r="W113" i="44"/>
  <c r="T113" i="44"/>
  <c r="I113" i="44"/>
  <c r="K113" i="44"/>
  <c r="M113" i="44"/>
  <c r="N113" i="44"/>
  <c r="G113" i="44"/>
  <c r="V113" i="44"/>
  <c r="X113" i="44"/>
  <c r="C113" i="44"/>
  <c r="B113" i="44"/>
  <c r="H112" i="44"/>
  <c r="J112" i="44"/>
  <c r="L112" i="44"/>
  <c r="W112" i="44"/>
  <c r="T112" i="44"/>
  <c r="I112" i="44"/>
  <c r="K112" i="44"/>
  <c r="M112" i="44"/>
  <c r="N112" i="44"/>
  <c r="G112" i="44"/>
  <c r="V112" i="44"/>
  <c r="X112" i="44"/>
  <c r="C112" i="44"/>
  <c r="B112" i="44"/>
  <c r="H111" i="44"/>
  <c r="J111" i="44"/>
  <c r="L111" i="44"/>
  <c r="W111" i="44"/>
  <c r="T111" i="44"/>
  <c r="I111" i="44"/>
  <c r="K111" i="44"/>
  <c r="M111" i="44"/>
  <c r="N111" i="44"/>
  <c r="G111" i="44"/>
  <c r="V111" i="44"/>
  <c r="X111" i="44"/>
  <c r="C111" i="44"/>
  <c r="B111" i="44"/>
  <c r="H110" i="44"/>
  <c r="J110" i="44"/>
  <c r="L110" i="44"/>
  <c r="W110" i="44"/>
  <c r="T110" i="44"/>
  <c r="I110" i="44"/>
  <c r="K110" i="44"/>
  <c r="M110" i="44"/>
  <c r="N110" i="44"/>
  <c r="G110" i="44"/>
  <c r="V110" i="44"/>
  <c r="X110" i="44"/>
  <c r="C110" i="44"/>
  <c r="B110" i="44"/>
  <c r="H109" i="44"/>
  <c r="J109" i="44"/>
  <c r="L109" i="44"/>
  <c r="W109" i="44"/>
  <c r="T109" i="44"/>
  <c r="I109" i="44"/>
  <c r="K109" i="44"/>
  <c r="M109" i="44"/>
  <c r="N109" i="44"/>
  <c r="G109" i="44"/>
  <c r="V109" i="44"/>
  <c r="X109" i="44"/>
  <c r="C109" i="44"/>
  <c r="B109" i="44"/>
  <c r="H108" i="44"/>
  <c r="J108" i="44"/>
  <c r="L108" i="44"/>
  <c r="W108" i="44"/>
  <c r="T108" i="44"/>
  <c r="I108" i="44"/>
  <c r="K108" i="44"/>
  <c r="M108" i="44"/>
  <c r="N108" i="44"/>
  <c r="G108" i="44"/>
  <c r="V108" i="44"/>
  <c r="X108" i="44"/>
  <c r="C108" i="44"/>
  <c r="B108" i="44"/>
  <c r="H107" i="44"/>
  <c r="J107" i="44"/>
  <c r="L107" i="44"/>
  <c r="W107" i="44"/>
  <c r="T107" i="44"/>
  <c r="I107" i="44"/>
  <c r="K107" i="44"/>
  <c r="M107" i="44"/>
  <c r="N107" i="44"/>
  <c r="G107" i="44"/>
  <c r="V107" i="44"/>
  <c r="X107" i="44"/>
  <c r="C107" i="44"/>
  <c r="B107" i="44"/>
  <c r="H106" i="44"/>
  <c r="J106" i="44"/>
  <c r="L106" i="44"/>
  <c r="W106" i="44"/>
  <c r="T106" i="44"/>
  <c r="I106" i="44"/>
  <c r="K106" i="44"/>
  <c r="M106" i="44"/>
  <c r="N106" i="44"/>
  <c r="G106" i="44"/>
  <c r="V106" i="44"/>
  <c r="X106" i="44"/>
  <c r="C106" i="44"/>
  <c r="B106" i="44"/>
  <c r="H105" i="44"/>
  <c r="J105" i="44"/>
  <c r="L105" i="44"/>
  <c r="W105" i="44"/>
  <c r="T105" i="44"/>
  <c r="I105" i="44"/>
  <c r="K105" i="44"/>
  <c r="M105" i="44"/>
  <c r="N105" i="44"/>
  <c r="G105" i="44"/>
  <c r="V105" i="44"/>
  <c r="X105" i="44"/>
  <c r="C105" i="44"/>
  <c r="B105" i="44"/>
  <c r="H104" i="44"/>
  <c r="J104" i="44"/>
  <c r="L104" i="44"/>
  <c r="W104" i="44"/>
  <c r="T104" i="44"/>
  <c r="I104" i="44"/>
  <c r="K104" i="44"/>
  <c r="M104" i="44"/>
  <c r="N104" i="44"/>
  <c r="G104" i="44"/>
  <c r="V104" i="44"/>
  <c r="X104" i="44"/>
  <c r="C104" i="44"/>
  <c r="B104" i="44"/>
  <c r="H103" i="44"/>
  <c r="J103" i="44"/>
  <c r="L103" i="44"/>
  <c r="W103" i="44"/>
  <c r="T103" i="44"/>
  <c r="I103" i="44"/>
  <c r="K103" i="44"/>
  <c r="M103" i="44"/>
  <c r="N103" i="44"/>
  <c r="G103" i="44"/>
  <c r="V103" i="44"/>
  <c r="X103" i="44"/>
  <c r="C103" i="44"/>
  <c r="B103" i="44"/>
  <c r="H102" i="44"/>
  <c r="J102" i="44"/>
  <c r="L102" i="44"/>
  <c r="W102" i="44"/>
  <c r="T102" i="44"/>
  <c r="I102" i="44"/>
  <c r="K102" i="44"/>
  <c r="M102" i="44"/>
  <c r="N102" i="44"/>
  <c r="G102" i="44"/>
  <c r="V102" i="44"/>
  <c r="X102" i="44"/>
  <c r="C102" i="44"/>
  <c r="B102" i="44"/>
  <c r="H101" i="44"/>
  <c r="J101" i="44"/>
  <c r="L101" i="44"/>
  <c r="W101" i="44"/>
  <c r="T101" i="44"/>
  <c r="I101" i="44"/>
  <c r="K101" i="44"/>
  <c r="M101" i="44"/>
  <c r="N101" i="44"/>
  <c r="G101" i="44"/>
  <c r="V101" i="44"/>
  <c r="X101" i="44"/>
  <c r="C101" i="44"/>
  <c r="B101" i="44"/>
  <c r="H100" i="44"/>
  <c r="J100" i="44"/>
  <c r="L100" i="44"/>
  <c r="W100" i="44"/>
  <c r="T100" i="44"/>
  <c r="I100" i="44"/>
  <c r="K100" i="44"/>
  <c r="M100" i="44"/>
  <c r="N100" i="44"/>
  <c r="G100" i="44"/>
  <c r="V100" i="44"/>
  <c r="X100" i="44"/>
  <c r="C100" i="44"/>
  <c r="B100" i="44"/>
  <c r="H99" i="44"/>
  <c r="J99" i="44"/>
  <c r="L99" i="44"/>
  <c r="W99" i="44"/>
  <c r="T99" i="44"/>
  <c r="I99" i="44"/>
  <c r="K99" i="44"/>
  <c r="M99" i="44"/>
  <c r="N99" i="44"/>
  <c r="G99" i="44"/>
  <c r="V99" i="44"/>
  <c r="X99" i="44"/>
  <c r="C99" i="44"/>
  <c r="B99" i="44"/>
  <c r="H98" i="44"/>
  <c r="J98" i="44"/>
  <c r="L98" i="44"/>
  <c r="W98" i="44"/>
  <c r="T98" i="44"/>
  <c r="I98" i="44"/>
  <c r="K98" i="44"/>
  <c r="M98" i="44"/>
  <c r="N98" i="44"/>
  <c r="G98" i="44"/>
  <c r="V98" i="44"/>
  <c r="X98" i="44"/>
  <c r="C98" i="44"/>
  <c r="B98" i="44"/>
  <c r="H97" i="44"/>
  <c r="J97" i="44"/>
  <c r="L97" i="44"/>
  <c r="W97" i="44"/>
  <c r="T97" i="44"/>
  <c r="I97" i="44"/>
  <c r="K97" i="44"/>
  <c r="M97" i="44"/>
  <c r="N97" i="44"/>
  <c r="G97" i="44"/>
  <c r="V97" i="44"/>
  <c r="X97" i="44"/>
  <c r="C97" i="44"/>
  <c r="B97" i="44"/>
  <c r="H96" i="44"/>
  <c r="J96" i="44"/>
  <c r="L96" i="44"/>
  <c r="W96" i="44"/>
  <c r="T96" i="44"/>
  <c r="I96" i="44"/>
  <c r="K96" i="44"/>
  <c r="M96" i="44"/>
  <c r="N96" i="44"/>
  <c r="G96" i="44"/>
  <c r="V96" i="44"/>
  <c r="X96" i="44"/>
  <c r="C96" i="44"/>
  <c r="B96" i="44"/>
  <c r="H95" i="44"/>
  <c r="J95" i="44"/>
  <c r="L95" i="44"/>
  <c r="W95" i="44"/>
  <c r="T95" i="44"/>
  <c r="I95" i="44"/>
  <c r="K95" i="44"/>
  <c r="M95" i="44"/>
  <c r="N95" i="44"/>
  <c r="G95" i="44"/>
  <c r="V95" i="44"/>
  <c r="X95" i="44"/>
  <c r="C95" i="44"/>
  <c r="B95" i="44"/>
  <c r="H94" i="44"/>
  <c r="J94" i="44"/>
  <c r="L94" i="44"/>
  <c r="W94" i="44"/>
  <c r="T94" i="44"/>
  <c r="I94" i="44"/>
  <c r="K94" i="44"/>
  <c r="M94" i="44"/>
  <c r="N94" i="44"/>
  <c r="G94" i="44"/>
  <c r="V94" i="44"/>
  <c r="X94" i="44"/>
  <c r="C94" i="44"/>
  <c r="B94" i="44"/>
  <c r="H93" i="44"/>
  <c r="J93" i="44"/>
  <c r="L93" i="44"/>
  <c r="W93" i="44"/>
  <c r="T93" i="44"/>
  <c r="I93" i="44"/>
  <c r="K93" i="44"/>
  <c r="M93" i="44"/>
  <c r="N93" i="44"/>
  <c r="G93" i="44"/>
  <c r="V93" i="44"/>
  <c r="X93" i="44"/>
  <c r="C93" i="44"/>
  <c r="B93" i="44"/>
  <c r="H92" i="44"/>
  <c r="J92" i="44"/>
  <c r="L92" i="44"/>
  <c r="W92" i="44"/>
  <c r="T92" i="44"/>
  <c r="I92" i="44"/>
  <c r="K92" i="44"/>
  <c r="M92" i="44"/>
  <c r="N92" i="44"/>
  <c r="G92" i="44"/>
  <c r="V92" i="44"/>
  <c r="X92" i="44"/>
  <c r="C92" i="44"/>
  <c r="B92" i="44"/>
  <c r="H91" i="44"/>
  <c r="J91" i="44"/>
  <c r="L91" i="44"/>
  <c r="W91" i="44"/>
  <c r="T91" i="44"/>
  <c r="I91" i="44"/>
  <c r="K91" i="44"/>
  <c r="M91" i="44"/>
  <c r="N91" i="44"/>
  <c r="G91" i="44"/>
  <c r="V91" i="44"/>
  <c r="X91" i="44"/>
  <c r="C91" i="44"/>
  <c r="B91" i="44"/>
  <c r="H90" i="44"/>
  <c r="J90" i="44"/>
  <c r="L90" i="44"/>
  <c r="W90" i="44"/>
  <c r="T90" i="44"/>
  <c r="I90" i="44"/>
  <c r="K90" i="44"/>
  <c r="M90" i="44"/>
  <c r="N90" i="44"/>
  <c r="G90" i="44"/>
  <c r="V90" i="44"/>
  <c r="X90" i="44"/>
  <c r="C90" i="44"/>
  <c r="B90" i="44"/>
  <c r="H89" i="44"/>
  <c r="J89" i="44"/>
  <c r="L89" i="44"/>
  <c r="W89" i="44"/>
  <c r="T89" i="44"/>
  <c r="I89" i="44"/>
  <c r="K89" i="44"/>
  <c r="M89" i="44"/>
  <c r="N89" i="44"/>
  <c r="G89" i="44"/>
  <c r="V89" i="44"/>
  <c r="X89" i="44"/>
  <c r="C89" i="44"/>
  <c r="B89" i="44"/>
  <c r="H88" i="44"/>
  <c r="J88" i="44"/>
  <c r="L88" i="44"/>
  <c r="W88" i="44"/>
  <c r="T88" i="44"/>
  <c r="I88" i="44"/>
  <c r="K88" i="44"/>
  <c r="M88" i="44"/>
  <c r="N88" i="44"/>
  <c r="G88" i="44"/>
  <c r="V88" i="44"/>
  <c r="X88" i="44"/>
  <c r="C88" i="44"/>
  <c r="B88" i="44"/>
  <c r="H87" i="44"/>
  <c r="J87" i="44"/>
  <c r="L87" i="44"/>
  <c r="W87" i="44"/>
  <c r="T87" i="44"/>
  <c r="I87" i="44"/>
  <c r="K87" i="44"/>
  <c r="M87" i="44"/>
  <c r="N87" i="44"/>
  <c r="G87" i="44"/>
  <c r="V87" i="44"/>
  <c r="X87" i="44"/>
  <c r="C87" i="44"/>
  <c r="B87" i="44"/>
  <c r="H86" i="44"/>
  <c r="J86" i="44"/>
  <c r="L86" i="44"/>
  <c r="W86" i="44"/>
  <c r="T86" i="44"/>
  <c r="I86" i="44"/>
  <c r="K86" i="44"/>
  <c r="M86" i="44"/>
  <c r="N86" i="44"/>
  <c r="G86" i="44"/>
  <c r="V86" i="44"/>
  <c r="X86" i="44"/>
  <c r="C86" i="44"/>
  <c r="B86" i="44"/>
  <c r="H85" i="44"/>
  <c r="J85" i="44"/>
  <c r="L85" i="44"/>
  <c r="W85" i="44"/>
  <c r="T85" i="44"/>
  <c r="I85" i="44"/>
  <c r="K85" i="44"/>
  <c r="M85" i="44"/>
  <c r="N85" i="44"/>
  <c r="G85" i="44"/>
  <c r="V85" i="44"/>
  <c r="X85" i="44"/>
  <c r="C85" i="44"/>
  <c r="B85" i="44"/>
  <c r="H84" i="44"/>
  <c r="J84" i="44"/>
  <c r="L84" i="44"/>
  <c r="W84" i="44"/>
  <c r="T84" i="44"/>
  <c r="I84" i="44"/>
  <c r="K84" i="44"/>
  <c r="M84" i="44"/>
  <c r="N84" i="44"/>
  <c r="G84" i="44"/>
  <c r="V84" i="44"/>
  <c r="X84" i="44"/>
  <c r="C84" i="44"/>
  <c r="B84" i="44"/>
  <c r="H83" i="44"/>
  <c r="J83" i="44"/>
  <c r="L83" i="44"/>
  <c r="W83" i="44"/>
  <c r="T83" i="44"/>
  <c r="I83" i="44"/>
  <c r="K83" i="44"/>
  <c r="M83" i="44"/>
  <c r="N83" i="44"/>
  <c r="G83" i="44"/>
  <c r="V83" i="44"/>
  <c r="X83" i="44"/>
  <c r="C83" i="44"/>
  <c r="B83" i="44"/>
  <c r="H82" i="44"/>
  <c r="J82" i="44"/>
  <c r="L82" i="44"/>
  <c r="W82" i="44"/>
  <c r="T82" i="44"/>
  <c r="I82" i="44"/>
  <c r="K82" i="44"/>
  <c r="M82" i="44"/>
  <c r="N82" i="44"/>
  <c r="G82" i="44"/>
  <c r="V82" i="44"/>
  <c r="X82" i="44"/>
  <c r="C82" i="44"/>
  <c r="B82" i="44"/>
  <c r="H81" i="44"/>
  <c r="J81" i="44"/>
  <c r="L81" i="44"/>
  <c r="W81" i="44"/>
  <c r="T81" i="44"/>
  <c r="I81" i="44"/>
  <c r="K81" i="44"/>
  <c r="M81" i="44"/>
  <c r="N81" i="44"/>
  <c r="G81" i="44"/>
  <c r="V81" i="44"/>
  <c r="X81" i="44"/>
  <c r="C81" i="44"/>
  <c r="B81" i="44"/>
  <c r="H80" i="44"/>
  <c r="J80" i="44"/>
  <c r="L80" i="44"/>
  <c r="W80" i="44"/>
  <c r="T80" i="44"/>
  <c r="I80" i="44"/>
  <c r="K80" i="44"/>
  <c r="M80" i="44"/>
  <c r="N80" i="44"/>
  <c r="G80" i="44"/>
  <c r="V80" i="44"/>
  <c r="X80" i="44"/>
  <c r="C80" i="44"/>
  <c r="B80" i="44"/>
  <c r="H79" i="44"/>
  <c r="J79" i="44"/>
  <c r="L79" i="44"/>
  <c r="W79" i="44"/>
  <c r="T79" i="44"/>
  <c r="I79" i="44"/>
  <c r="K79" i="44"/>
  <c r="M79" i="44"/>
  <c r="N79" i="44"/>
  <c r="G79" i="44"/>
  <c r="V79" i="44"/>
  <c r="X79" i="44"/>
  <c r="C79" i="44"/>
  <c r="B79" i="44"/>
  <c r="H78" i="44"/>
  <c r="J78" i="44"/>
  <c r="L78" i="44"/>
  <c r="W78" i="44"/>
  <c r="T78" i="44"/>
  <c r="I78" i="44"/>
  <c r="K78" i="44"/>
  <c r="M78" i="44"/>
  <c r="N78" i="44"/>
  <c r="G78" i="44"/>
  <c r="V78" i="44"/>
  <c r="X78" i="44"/>
  <c r="C78" i="44"/>
  <c r="B78" i="44"/>
  <c r="H77" i="44"/>
  <c r="J77" i="44"/>
  <c r="L77" i="44"/>
  <c r="W77" i="44"/>
  <c r="T77" i="44"/>
  <c r="I77" i="44"/>
  <c r="K77" i="44"/>
  <c r="M77" i="44"/>
  <c r="N77" i="44"/>
  <c r="G77" i="44"/>
  <c r="V77" i="44"/>
  <c r="X77" i="44"/>
  <c r="C77" i="44"/>
  <c r="B77" i="44"/>
  <c r="H76" i="44"/>
  <c r="J76" i="44"/>
  <c r="L76" i="44"/>
  <c r="I76" i="44"/>
  <c r="K76" i="44"/>
  <c r="M76" i="44"/>
  <c r="N76" i="44"/>
  <c r="G76" i="44"/>
  <c r="V76" i="44"/>
  <c r="C76" i="44"/>
  <c r="B76" i="44"/>
  <c r="S77" i="37"/>
  <c r="U77" i="37"/>
  <c r="Y77" i="37"/>
  <c r="AA77" i="37"/>
  <c r="AE77" i="37"/>
  <c r="AB77" i="37"/>
  <c r="T77" i="37"/>
  <c r="V77" i="37"/>
  <c r="Z77" i="37"/>
  <c r="AC77" i="37"/>
  <c r="AF77" i="37"/>
  <c r="S78" i="37"/>
  <c r="U78" i="37"/>
  <c r="Y78" i="37"/>
  <c r="AA78" i="37"/>
  <c r="AE78" i="37"/>
  <c r="AB78" i="37"/>
  <c r="T78" i="37"/>
  <c r="V78" i="37"/>
  <c r="Z78" i="37"/>
  <c r="AC78" i="37"/>
  <c r="AF78" i="37"/>
  <c r="S79" i="37"/>
  <c r="U79" i="37"/>
  <c r="Y79" i="37"/>
  <c r="AA79" i="37"/>
  <c r="AE79" i="37"/>
  <c r="AB79" i="37"/>
  <c r="T79" i="37"/>
  <c r="V79" i="37"/>
  <c r="Z79" i="37"/>
  <c r="AC79" i="37"/>
  <c r="AF79" i="37"/>
  <c r="S80" i="37"/>
  <c r="U80" i="37"/>
  <c r="Y80" i="37"/>
  <c r="AA80" i="37"/>
  <c r="AE80" i="37"/>
  <c r="AB80" i="37"/>
  <c r="T80" i="37"/>
  <c r="V80" i="37"/>
  <c r="Z80" i="37"/>
  <c r="AC80" i="37"/>
  <c r="AF80" i="37"/>
  <c r="S81" i="37"/>
  <c r="U81" i="37"/>
  <c r="Y81" i="37"/>
  <c r="AA81" i="37"/>
  <c r="AE81" i="37"/>
  <c r="AB81" i="37"/>
  <c r="T81" i="37"/>
  <c r="V81" i="37"/>
  <c r="Z81" i="37"/>
  <c r="AC81" i="37"/>
  <c r="AF81" i="37"/>
  <c r="S82" i="37"/>
  <c r="U82" i="37"/>
  <c r="Y82" i="37"/>
  <c r="AA82" i="37"/>
  <c r="AE82" i="37"/>
  <c r="AB82" i="37"/>
  <c r="T82" i="37"/>
  <c r="V82" i="37"/>
  <c r="Z82" i="37"/>
  <c r="AC82" i="37"/>
  <c r="AF82" i="37"/>
  <c r="S83" i="37"/>
  <c r="U83" i="37"/>
  <c r="Y83" i="37"/>
  <c r="AA83" i="37"/>
  <c r="AE83" i="37"/>
  <c r="AB83" i="37"/>
  <c r="T83" i="37"/>
  <c r="V83" i="37"/>
  <c r="Z83" i="37"/>
  <c r="AC83" i="37"/>
  <c r="AF83" i="37"/>
  <c r="S84" i="37"/>
  <c r="U84" i="37"/>
  <c r="Y84" i="37"/>
  <c r="AA84" i="37"/>
  <c r="AE84" i="37"/>
  <c r="AB84" i="37"/>
  <c r="T84" i="37"/>
  <c r="V84" i="37"/>
  <c r="Z84" i="37"/>
  <c r="AC84" i="37"/>
  <c r="AF84" i="37"/>
  <c r="S85" i="37"/>
  <c r="U85" i="37"/>
  <c r="Y85" i="37"/>
  <c r="AA85" i="37"/>
  <c r="AE85" i="37"/>
  <c r="AB85" i="37"/>
  <c r="T85" i="37"/>
  <c r="V85" i="37"/>
  <c r="Z85" i="37"/>
  <c r="AC85" i="37"/>
  <c r="AF85" i="37"/>
  <c r="S86" i="37"/>
  <c r="U86" i="37"/>
  <c r="Y86" i="37"/>
  <c r="AA86" i="37"/>
  <c r="AE86" i="37"/>
  <c r="AB86" i="37"/>
  <c r="T86" i="37"/>
  <c r="V86" i="37"/>
  <c r="Z86" i="37"/>
  <c r="AC86" i="37"/>
  <c r="AF86" i="37"/>
  <c r="S87" i="37"/>
  <c r="U87" i="37"/>
  <c r="Y87" i="37"/>
  <c r="AA87" i="37"/>
  <c r="AE87" i="37"/>
  <c r="AB87" i="37"/>
  <c r="T87" i="37"/>
  <c r="V87" i="37"/>
  <c r="Z87" i="37"/>
  <c r="AC87" i="37"/>
  <c r="AF87" i="37"/>
  <c r="S88" i="37"/>
  <c r="U88" i="37"/>
  <c r="Y88" i="37"/>
  <c r="AA88" i="37"/>
  <c r="AE88" i="37"/>
  <c r="AB88" i="37"/>
  <c r="T88" i="37"/>
  <c r="V88" i="37"/>
  <c r="Z88" i="37"/>
  <c r="AC88" i="37"/>
  <c r="AF88" i="37"/>
  <c r="S89" i="37"/>
  <c r="U89" i="37"/>
  <c r="Y89" i="37"/>
  <c r="AA89" i="37"/>
  <c r="AE89" i="37"/>
  <c r="AB89" i="37"/>
  <c r="T89" i="37"/>
  <c r="V89" i="37"/>
  <c r="Z89" i="37"/>
  <c r="AC89" i="37"/>
  <c r="AF89" i="37"/>
  <c r="S90" i="37"/>
  <c r="U90" i="37"/>
  <c r="Y90" i="37"/>
  <c r="AA90" i="37"/>
  <c r="AE90" i="37"/>
  <c r="AB90" i="37"/>
  <c r="T90" i="37"/>
  <c r="V90" i="37"/>
  <c r="Z90" i="37"/>
  <c r="AC90" i="37"/>
  <c r="AF90" i="37"/>
  <c r="S91" i="37"/>
  <c r="U91" i="37"/>
  <c r="Y91" i="37"/>
  <c r="AA91" i="37"/>
  <c r="AE91" i="37"/>
  <c r="AB91" i="37"/>
  <c r="T91" i="37"/>
  <c r="V91" i="37"/>
  <c r="Z91" i="37"/>
  <c r="AC91" i="37"/>
  <c r="AF91" i="37"/>
  <c r="S92" i="37"/>
  <c r="U92" i="37"/>
  <c r="Y92" i="37"/>
  <c r="AA92" i="37"/>
  <c r="AE92" i="37"/>
  <c r="AB92" i="37"/>
  <c r="T92" i="37"/>
  <c r="V92" i="37"/>
  <c r="Z92" i="37"/>
  <c r="AC92" i="37"/>
  <c r="AF92" i="37"/>
  <c r="S93" i="37"/>
  <c r="U93" i="37"/>
  <c r="Y93" i="37"/>
  <c r="AA93" i="37"/>
  <c r="AE93" i="37"/>
  <c r="AB93" i="37"/>
  <c r="T93" i="37"/>
  <c r="V93" i="37"/>
  <c r="Z93" i="37"/>
  <c r="AC93" i="37"/>
  <c r="AF93" i="37"/>
  <c r="S94" i="37"/>
  <c r="U94" i="37"/>
  <c r="Y94" i="37"/>
  <c r="AA94" i="37"/>
  <c r="AE94" i="37"/>
  <c r="AB94" i="37"/>
  <c r="T94" i="37"/>
  <c r="V94" i="37"/>
  <c r="Z94" i="37"/>
  <c r="AC94" i="37"/>
  <c r="AF94" i="37"/>
  <c r="S95" i="37"/>
  <c r="U95" i="37"/>
  <c r="Y95" i="37"/>
  <c r="AA95" i="37"/>
  <c r="AE95" i="37"/>
  <c r="AB95" i="37"/>
  <c r="T95" i="37"/>
  <c r="V95" i="37"/>
  <c r="Z95" i="37"/>
  <c r="AC95" i="37"/>
  <c r="AF95" i="37"/>
  <c r="S96" i="37"/>
  <c r="U96" i="37"/>
  <c r="Y96" i="37"/>
  <c r="AA96" i="37"/>
  <c r="AE96" i="37"/>
  <c r="AB96" i="37"/>
  <c r="T96" i="37"/>
  <c r="V96" i="37"/>
  <c r="Z96" i="37"/>
  <c r="AC96" i="37"/>
  <c r="AF96" i="37"/>
  <c r="S97" i="37"/>
  <c r="U97" i="37"/>
  <c r="Y97" i="37"/>
  <c r="AA97" i="37"/>
  <c r="AE97" i="37"/>
  <c r="AB97" i="37"/>
  <c r="T97" i="37"/>
  <c r="V97" i="37"/>
  <c r="Z97" i="37"/>
  <c r="AC97" i="37"/>
  <c r="AF97" i="37"/>
  <c r="S98" i="37"/>
  <c r="U98" i="37"/>
  <c r="Y98" i="37"/>
  <c r="AA98" i="37"/>
  <c r="AE98" i="37"/>
  <c r="AB98" i="37"/>
  <c r="T98" i="37"/>
  <c r="V98" i="37"/>
  <c r="Z98" i="37"/>
  <c r="AC98" i="37"/>
  <c r="AF98" i="37"/>
  <c r="S99" i="37"/>
  <c r="U99" i="37"/>
  <c r="Y99" i="37"/>
  <c r="AA99" i="37"/>
  <c r="AE99" i="37"/>
  <c r="AB99" i="37"/>
  <c r="T99" i="37"/>
  <c r="V99" i="37"/>
  <c r="Z99" i="37"/>
  <c r="AC99" i="37"/>
  <c r="AF99" i="37"/>
  <c r="S100" i="37"/>
  <c r="U100" i="37"/>
  <c r="Y100" i="37"/>
  <c r="AA100" i="37"/>
  <c r="AE100" i="37"/>
  <c r="AB100" i="37"/>
  <c r="T100" i="37"/>
  <c r="V100" i="37"/>
  <c r="Z100" i="37"/>
  <c r="AC100" i="37"/>
  <c r="AF100" i="37"/>
  <c r="S101" i="37"/>
  <c r="U101" i="37"/>
  <c r="Y101" i="37"/>
  <c r="AA101" i="37"/>
  <c r="AE101" i="37"/>
  <c r="AB101" i="37"/>
  <c r="T101" i="37"/>
  <c r="V101" i="37"/>
  <c r="Z101" i="37"/>
  <c r="AC101" i="37"/>
  <c r="AF101" i="37"/>
  <c r="S102" i="37"/>
  <c r="U102" i="37"/>
  <c r="Y102" i="37"/>
  <c r="AA102" i="37"/>
  <c r="AE102" i="37"/>
  <c r="AB102" i="37"/>
  <c r="T102" i="37"/>
  <c r="V102" i="37"/>
  <c r="Z102" i="37"/>
  <c r="AC102" i="37"/>
  <c r="AF102" i="37"/>
  <c r="S103" i="37"/>
  <c r="U103" i="37"/>
  <c r="Y103" i="37"/>
  <c r="AA103" i="37"/>
  <c r="AE103" i="37"/>
  <c r="AB103" i="37"/>
  <c r="T103" i="37"/>
  <c r="V103" i="37"/>
  <c r="Z103" i="37"/>
  <c r="AC103" i="37"/>
  <c r="AF103" i="37"/>
  <c r="S104" i="37"/>
  <c r="U104" i="37"/>
  <c r="Y104" i="37"/>
  <c r="AA104" i="37"/>
  <c r="AE104" i="37"/>
  <c r="AB104" i="37"/>
  <c r="T104" i="37"/>
  <c r="V104" i="37"/>
  <c r="Z104" i="37"/>
  <c r="AC104" i="37"/>
  <c r="AF104" i="37"/>
  <c r="S105" i="37"/>
  <c r="U105" i="37"/>
  <c r="Y105" i="37"/>
  <c r="AA105" i="37"/>
  <c r="AE105" i="37"/>
  <c r="AB105" i="37"/>
  <c r="T105" i="37"/>
  <c r="V105" i="37"/>
  <c r="Z105" i="37"/>
  <c r="AC105" i="37"/>
  <c r="AF105" i="37"/>
  <c r="S106" i="37"/>
  <c r="U106" i="37"/>
  <c r="Y106" i="37"/>
  <c r="AA106" i="37"/>
  <c r="AE106" i="37"/>
  <c r="AB106" i="37"/>
  <c r="T106" i="37"/>
  <c r="V106" i="37"/>
  <c r="Z106" i="37"/>
  <c r="AC106" i="37"/>
  <c r="AF106" i="37"/>
  <c r="S107" i="37"/>
  <c r="U107" i="37"/>
  <c r="Y107" i="37"/>
  <c r="AA107" i="37"/>
  <c r="AE107" i="37"/>
  <c r="AB107" i="37"/>
  <c r="T107" i="37"/>
  <c r="V107" i="37"/>
  <c r="Z107" i="37"/>
  <c r="AC107" i="37"/>
  <c r="AF107" i="37"/>
  <c r="S108" i="37"/>
  <c r="U108" i="37"/>
  <c r="Y108" i="37"/>
  <c r="AA108" i="37"/>
  <c r="AE108" i="37"/>
  <c r="AB108" i="37"/>
  <c r="T108" i="37"/>
  <c r="V108" i="37"/>
  <c r="Z108" i="37"/>
  <c r="AC108" i="37"/>
  <c r="AF108" i="37"/>
  <c r="S109" i="37"/>
  <c r="U109" i="37"/>
  <c r="Y109" i="37"/>
  <c r="AA109" i="37"/>
  <c r="AE109" i="37"/>
  <c r="AB109" i="37"/>
  <c r="T109" i="37"/>
  <c r="V109" i="37"/>
  <c r="Z109" i="37"/>
  <c r="AC109" i="37"/>
  <c r="AF109" i="37"/>
  <c r="S110" i="37"/>
  <c r="U110" i="37"/>
  <c r="Y110" i="37"/>
  <c r="AA110" i="37"/>
  <c r="AE110" i="37"/>
  <c r="AB110" i="37"/>
  <c r="T110" i="37"/>
  <c r="V110" i="37"/>
  <c r="Z110" i="37"/>
  <c r="AC110" i="37"/>
  <c r="AF110" i="37"/>
  <c r="S111" i="37"/>
  <c r="U111" i="37"/>
  <c r="Y111" i="37"/>
  <c r="AA111" i="37"/>
  <c r="AE111" i="37"/>
  <c r="AB111" i="37"/>
  <c r="T111" i="37"/>
  <c r="V111" i="37"/>
  <c r="Z111" i="37"/>
  <c r="AC111" i="37"/>
  <c r="AF111" i="37"/>
  <c r="S112" i="37"/>
  <c r="U112" i="37"/>
  <c r="Y112" i="37"/>
  <c r="AA112" i="37"/>
  <c r="AE112" i="37"/>
  <c r="AB112" i="37"/>
  <c r="T112" i="37"/>
  <c r="V112" i="37"/>
  <c r="Z112" i="37"/>
  <c r="AC112" i="37"/>
  <c r="AF112" i="37"/>
  <c r="S113" i="37"/>
  <c r="U113" i="37"/>
  <c r="Y113" i="37"/>
  <c r="AA113" i="37"/>
  <c r="AE113" i="37"/>
  <c r="AB113" i="37"/>
  <c r="T113" i="37"/>
  <c r="V113" i="37"/>
  <c r="Z113" i="37"/>
  <c r="AC113" i="37"/>
  <c r="AF113" i="37"/>
  <c r="S114" i="37"/>
  <c r="U114" i="37"/>
  <c r="Y114" i="37"/>
  <c r="AA114" i="37"/>
  <c r="AE114" i="37"/>
  <c r="AB114" i="37"/>
  <c r="T114" i="37"/>
  <c r="V114" i="37"/>
  <c r="Z114" i="37"/>
  <c r="AC114" i="37"/>
  <c r="AF114" i="37"/>
  <c r="S115" i="37"/>
  <c r="U115" i="37"/>
  <c r="Y115" i="37"/>
  <c r="AA115" i="37"/>
  <c r="AE115" i="37"/>
  <c r="AB115" i="37"/>
  <c r="T115" i="37"/>
  <c r="V115" i="37"/>
  <c r="Z115" i="37"/>
  <c r="AC115" i="37"/>
  <c r="AF115" i="37"/>
  <c r="S116" i="37"/>
  <c r="U116" i="37"/>
  <c r="Y116" i="37"/>
  <c r="AA116" i="37"/>
  <c r="AE116" i="37"/>
  <c r="AB116" i="37"/>
  <c r="T116" i="37"/>
  <c r="V116" i="37"/>
  <c r="Z116" i="37"/>
  <c r="AC116" i="37"/>
  <c r="AF116" i="37"/>
  <c r="S117" i="37"/>
  <c r="U117" i="37"/>
  <c r="Y117" i="37"/>
  <c r="AA117" i="37"/>
  <c r="AE117" i="37"/>
  <c r="AB117" i="37"/>
  <c r="T117" i="37"/>
  <c r="V117" i="37"/>
  <c r="Z117" i="37"/>
  <c r="AC117" i="37"/>
  <c r="AF117" i="37"/>
  <c r="S118" i="37"/>
  <c r="U118" i="37"/>
  <c r="Y118" i="37"/>
  <c r="AA118" i="37"/>
  <c r="AE118" i="37"/>
  <c r="AB118" i="37"/>
  <c r="T118" i="37"/>
  <c r="V118" i="37"/>
  <c r="Z118" i="37"/>
  <c r="AC118" i="37"/>
  <c r="AF118" i="37"/>
  <c r="S119" i="37"/>
  <c r="U119" i="37"/>
  <c r="Y119" i="37"/>
  <c r="AA119" i="37"/>
  <c r="AE119" i="37"/>
  <c r="AB119" i="37"/>
  <c r="T119" i="37"/>
  <c r="V119" i="37"/>
  <c r="Z119" i="37"/>
  <c r="AC119" i="37"/>
  <c r="AF119" i="37"/>
  <c r="S120" i="37"/>
  <c r="U120" i="37"/>
  <c r="Y120" i="37"/>
  <c r="AA120" i="37"/>
  <c r="AE120" i="37"/>
  <c r="AB120" i="37"/>
  <c r="T120" i="37"/>
  <c r="V120" i="37"/>
  <c r="Z120" i="37"/>
  <c r="AC120" i="37"/>
  <c r="AF120" i="37"/>
  <c r="S121" i="37"/>
  <c r="U121" i="37"/>
  <c r="Y121" i="37"/>
  <c r="AA121" i="37"/>
  <c r="AE121" i="37"/>
  <c r="AB121" i="37"/>
  <c r="T121" i="37"/>
  <c r="V121" i="37"/>
  <c r="Z121" i="37"/>
  <c r="AC121" i="37"/>
  <c r="AF121" i="37"/>
  <c r="S122" i="37"/>
  <c r="U122" i="37"/>
  <c r="Y122" i="37"/>
  <c r="AA122" i="37"/>
  <c r="AE122" i="37"/>
  <c r="AB122" i="37"/>
  <c r="T122" i="37"/>
  <c r="V122" i="37"/>
  <c r="Z122" i="37"/>
  <c r="AC122" i="37"/>
  <c r="AF122" i="37"/>
  <c r="S123" i="37"/>
  <c r="U123" i="37"/>
  <c r="Y123" i="37"/>
  <c r="AA123" i="37"/>
  <c r="AE123" i="37"/>
  <c r="AB123" i="37"/>
  <c r="T123" i="37"/>
  <c r="V123" i="37"/>
  <c r="Z123" i="37"/>
  <c r="AC123" i="37"/>
  <c r="AF123" i="37"/>
  <c r="S124" i="37"/>
  <c r="U124" i="37"/>
  <c r="Y124" i="37"/>
  <c r="AA124" i="37"/>
  <c r="AE124" i="37"/>
  <c r="AB124" i="37"/>
  <c r="T124" i="37"/>
  <c r="V124" i="37"/>
  <c r="Z124" i="37"/>
  <c r="AC124" i="37"/>
  <c r="AF124" i="37"/>
  <c r="S125" i="37"/>
  <c r="U125" i="37"/>
  <c r="Y125" i="37"/>
  <c r="AA125" i="37"/>
  <c r="AE125" i="37"/>
  <c r="AB125" i="37"/>
  <c r="T125" i="37"/>
  <c r="V125" i="37"/>
  <c r="Z125" i="37"/>
  <c r="AC125" i="37"/>
  <c r="AF125" i="37"/>
  <c r="S126" i="37"/>
  <c r="U126" i="37"/>
  <c r="Y126" i="37"/>
  <c r="AA126" i="37"/>
  <c r="AE126" i="37"/>
  <c r="AB126" i="37"/>
  <c r="T126" i="37"/>
  <c r="V126" i="37"/>
  <c r="Z126" i="37"/>
  <c r="AC126" i="37"/>
  <c r="AF126" i="37"/>
  <c r="S127" i="37"/>
  <c r="U127" i="37"/>
  <c r="Y127" i="37"/>
  <c r="AA127" i="37"/>
  <c r="AE127" i="37"/>
  <c r="AB127" i="37"/>
  <c r="T127" i="37"/>
  <c r="V127" i="37"/>
  <c r="Z127" i="37"/>
  <c r="AC127" i="37"/>
  <c r="AF127" i="37"/>
  <c r="S128" i="37"/>
  <c r="U128" i="37"/>
  <c r="Y128" i="37"/>
  <c r="AA128" i="37"/>
  <c r="AE128" i="37"/>
  <c r="AB128" i="37"/>
  <c r="T128" i="37"/>
  <c r="V128" i="37"/>
  <c r="Z128" i="37"/>
  <c r="AC128" i="37"/>
  <c r="AF128" i="37"/>
  <c r="S129" i="37"/>
  <c r="U129" i="37"/>
  <c r="Y129" i="37"/>
  <c r="AA129" i="37"/>
  <c r="AE129" i="37"/>
  <c r="AB129" i="37"/>
  <c r="T129" i="37"/>
  <c r="V129" i="37"/>
  <c r="Z129" i="37"/>
  <c r="AC129" i="37"/>
  <c r="AF129" i="37"/>
  <c r="S130" i="37"/>
  <c r="U130" i="37"/>
  <c r="Y130" i="37"/>
  <c r="AA130" i="37"/>
  <c r="AE130" i="37"/>
  <c r="AB130" i="37"/>
  <c r="T130" i="37"/>
  <c r="V130" i="37"/>
  <c r="Z130" i="37"/>
  <c r="AC130" i="37"/>
  <c r="AF130" i="37"/>
  <c r="S131" i="37"/>
  <c r="U131" i="37"/>
  <c r="Y131" i="37"/>
  <c r="AA131" i="37"/>
  <c r="AE131" i="37"/>
  <c r="AB131" i="37"/>
  <c r="T131" i="37"/>
  <c r="V131" i="37"/>
  <c r="Z131" i="37"/>
  <c r="AC131" i="37"/>
  <c r="AF131" i="37"/>
  <c r="S132" i="37"/>
  <c r="U132" i="37"/>
  <c r="Y132" i="37"/>
  <c r="AA132" i="37"/>
  <c r="AE132" i="37"/>
  <c r="AB132" i="37"/>
  <c r="T132" i="37"/>
  <c r="V132" i="37"/>
  <c r="Z132" i="37"/>
  <c r="AC132" i="37"/>
  <c r="AF132" i="37"/>
  <c r="S133" i="37"/>
  <c r="U133" i="37"/>
  <c r="Y133" i="37"/>
  <c r="AA133" i="37"/>
  <c r="AE133" i="37"/>
  <c r="AB133" i="37"/>
  <c r="T133" i="37"/>
  <c r="V133" i="37"/>
  <c r="Z133" i="37"/>
  <c r="AC133" i="37"/>
  <c r="AF133" i="37"/>
  <c r="S134" i="37"/>
  <c r="U134" i="37"/>
  <c r="Y134" i="37"/>
  <c r="AA134" i="37"/>
  <c r="AE134" i="37"/>
  <c r="AB134" i="37"/>
  <c r="T134" i="37"/>
  <c r="V134" i="37"/>
  <c r="Z134" i="37"/>
  <c r="AC134" i="37"/>
  <c r="AF134" i="37"/>
  <c r="S135" i="37"/>
  <c r="U135" i="37"/>
  <c r="Y135" i="37"/>
  <c r="AA135" i="37"/>
  <c r="AE135" i="37"/>
  <c r="AB135" i="37"/>
  <c r="T135" i="37"/>
  <c r="V135" i="37"/>
  <c r="Z135" i="37"/>
  <c r="AC135" i="37"/>
  <c r="AF135" i="37"/>
  <c r="S136" i="37"/>
  <c r="U136" i="37"/>
  <c r="Y136" i="37"/>
  <c r="AA136" i="37"/>
  <c r="AE136" i="37"/>
  <c r="AB136" i="37"/>
  <c r="T136" i="37"/>
  <c r="V136" i="37"/>
  <c r="Z136" i="37"/>
  <c r="AC136" i="37"/>
  <c r="AF136" i="37"/>
  <c r="S137" i="37"/>
  <c r="U137" i="37"/>
  <c r="Y137" i="37"/>
  <c r="AA137" i="37"/>
  <c r="AE137" i="37"/>
  <c r="AB137" i="37"/>
  <c r="T137" i="37"/>
  <c r="V137" i="37"/>
  <c r="Z137" i="37"/>
  <c r="AC137" i="37"/>
  <c r="AF137" i="37"/>
  <c r="S138" i="37"/>
  <c r="U138" i="37"/>
  <c r="Y138" i="37"/>
  <c r="AA138" i="37"/>
  <c r="AE138" i="37"/>
  <c r="AB138" i="37"/>
  <c r="T138" i="37"/>
  <c r="V138" i="37"/>
  <c r="Z138" i="37"/>
  <c r="AC138" i="37"/>
  <c r="AF138" i="37"/>
  <c r="S139" i="37"/>
  <c r="U139" i="37"/>
  <c r="Y139" i="37"/>
  <c r="AA139" i="37"/>
  <c r="AE139" i="37"/>
  <c r="AB139" i="37"/>
  <c r="T139" i="37"/>
  <c r="V139" i="37"/>
  <c r="Z139" i="37"/>
  <c r="AC139" i="37"/>
  <c r="AF139" i="37"/>
  <c r="S140" i="37"/>
  <c r="U140" i="37"/>
  <c r="Y140" i="37"/>
  <c r="AA140" i="37"/>
  <c r="AE140" i="37"/>
  <c r="AB140" i="37"/>
  <c r="T140" i="37"/>
  <c r="V140" i="37"/>
  <c r="Z140" i="37"/>
  <c r="AC140" i="37"/>
  <c r="AF140" i="37"/>
  <c r="S141" i="37"/>
  <c r="U141" i="37"/>
  <c r="Y141" i="37"/>
  <c r="AA141" i="37"/>
  <c r="AE141" i="37"/>
  <c r="AB141" i="37"/>
  <c r="T141" i="37"/>
  <c r="V141" i="37"/>
  <c r="Z141" i="37"/>
  <c r="AC141" i="37"/>
  <c r="AF141" i="37"/>
  <c r="S142" i="37"/>
  <c r="U142" i="37"/>
  <c r="Y142" i="37"/>
  <c r="AA142" i="37"/>
  <c r="AE142" i="37"/>
  <c r="AB142" i="37"/>
  <c r="T142" i="37"/>
  <c r="V142" i="37"/>
  <c r="Z142" i="37"/>
  <c r="AC142" i="37"/>
  <c r="AF142" i="37"/>
  <c r="S143" i="37"/>
  <c r="U143" i="37"/>
  <c r="Y143" i="37"/>
  <c r="AA143" i="37"/>
  <c r="AE143" i="37"/>
  <c r="AB143" i="37"/>
  <c r="T143" i="37"/>
  <c r="V143" i="37"/>
  <c r="Z143" i="37"/>
  <c r="AC143" i="37"/>
  <c r="AF143" i="37"/>
  <c r="S144" i="37"/>
  <c r="U144" i="37"/>
  <c r="Y144" i="37"/>
  <c r="AA144" i="37"/>
  <c r="AE144" i="37"/>
  <c r="AB144" i="37"/>
  <c r="T144" i="37"/>
  <c r="V144" i="37"/>
  <c r="Z144" i="37"/>
  <c r="AC144" i="37"/>
  <c r="AF144" i="37"/>
  <c r="S145" i="37"/>
  <c r="U145" i="37"/>
  <c r="Y145" i="37"/>
  <c r="AA145" i="37"/>
  <c r="AE145" i="37"/>
  <c r="AB145" i="37"/>
  <c r="T145" i="37"/>
  <c r="V145" i="37"/>
  <c r="Z145" i="37"/>
  <c r="AC145" i="37"/>
  <c r="AF145" i="37"/>
  <c r="S146" i="37"/>
  <c r="U146" i="37"/>
  <c r="Y146" i="37"/>
  <c r="AA146" i="37"/>
  <c r="AE146" i="37"/>
  <c r="AB146" i="37"/>
  <c r="T146" i="37"/>
  <c r="V146" i="37"/>
  <c r="Z146" i="37"/>
  <c r="AC146" i="37"/>
  <c r="AF146" i="37"/>
  <c r="S147" i="37"/>
  <c r="U147" i="37"/>
  <c r="Y147" i="37"/>
  <c r="AA147" i="37"/>
  <c r="AE147" i="37"/>
  <c r="AB147" i="37"/>
  <c r="T147" i="37"/>
  <c r="V147" i="37"/>
  <c r="Z147" i="37"/>
  <c r="AC147" i="37"/>
  <c r="AF147" i="37"/>
  <c r="S148" i="37"/>
  <c r="U148" i="37"/>
  <c r="Y148" i="37"/>
  <c r="AA148" i="37"/>
  <c r="AE148" i="37"/>
  <c r="AB148" i="37"/>
  <c r="T148" i="37"/>
  <c r="V148" i="37"/>
  <c r="Z148" i="37"/>
  <c r="AC148" i="37"/>
  <c r="AF148" i="37"/>
  <c r="S149" i="37"/>
  <c r="U149" i="37"/>
  <c r="Y149" i="37"/>
  <c r="AA149" i="37"/>
  <c r="AE149" i="37"/>
  <c r="AB149" i="37"/>
  <c r="T149" i="37"/>
  <c r="V149" i="37"/>
  <c r="Z149" i="37"/>
  <c r="AC149" i="37"/>
  <c r="AF149" i="37"/>
  <c r="S150" i="37"/>
  <c r="U150" i="37"/>
  <c r="Y150" i="37"/>
  <c r="AA150" i="37"/>
  <c r="AE150" i="37"/>
  <c r="AB150" i="37"/>
  <c r="T150" i="37"/>
  <c r="V150" i="37"/>
  <c r="Z150" i="37"/>
  <c r="AC150" i="37"/>
  <c r="AF150" i="37"/>
  <c r="S151" i="37"/>
  <c r="U151" i="37"/>
  <c r="Y151" i="37"/>
  <c r="AA151" i="37"/>
  <c r="AE151" i="37"/>
  <c r="AB151" i="37"/>
  <c r="T151" i="37"/>
  <c r="V151" i="37"/>
  <c r="Z151" i="37"/>
  <c r="AC151" i="37"/>
  <c r="AF151" i="37"/>
  <c r="S152" i="37"/>
  <c r="U152" i="37"/>
  <c r="Y152" i="37"/>
  <c r="AA152" i="37"/>
  <c r="AE152" i="37"/>
  <c r="AB152" i="37"/>
  <c r="T152" i="37"/>
  <c r="V152" i="37"/>
  <c r="Z152" i="37"/>
  <c r="AC152" i="37"/>
  <c r="AF152" i="37"/>
  <c r="S153" i="37"/>
  <c r="U153" i="37"/>
  <c r="Y153" i="37"/>
  <c r="AA153" i="37"/>
  <c r="AE153" i="37"/>
  <c r="AB153" i="37"/>
  <c r="T153" i="37"/>
  <c r="V153" i="37"/>
  <c r="Z153" i="37"/>
  <c r="AC153" i="37"/>
  <c r="AF153" i="37"/>
  <c r="S154" i="37"/>
  <c r="U154" i="37"/>
  <c r="Y154" i="37"/>
  <c r="AA154" i="37"/>
  <c r="AE154" i="37"/>
  <c r="AB154" i="37"/>
  <c r="T154" i="37"/>
  <c r="V154" i="37"/>
  <c r="Z154" i="37"/>
  <c r="AC154" i="37"/>
  <c r="AF154" i="37"/>
  <c r="S155" i="37"/>
  <c r="U155" i="37"/>
  <c r="Y155" i="37"/>
  <c r="AA155" i="37"/>
  <c r="AE155" i="37"/>
  <c r="AB155" i="37"/>
  <c r="T155" i="37"/>
  <c r="V155" i="37"/>
  <c r="Z155" i="37"/>
  <c r="AC155" i="37"/>
  <c r="AF155" i="37"/>
  <c r="S156" i="37"/>
  <c r="U156" i="37"/>
  <c r="Y156" i="37"/>
  <c r="AA156" i="37"/>
  <c r="AE156" i="37"/>
  <c r="AB156" i="37"/>
  <c r="T156" i="37"/>
  <c r="V156" i="37"/>
  <c r="Z156" i="37"/>
  <c r="AC156" i="37"/>
  <c r="AF156" i="37"/>
  <c r="S157" i="37"/>
  <c r="U157" i="37"/>
  <c r="Y157" i="37"/>
  <c r="AA157" i="37"/>
  <c r="AE157" i="37"/>
  <c r="AB157" i="37"/>
  <c r="T157" i="37"/>
  <c r="V157" i="37"/>
  <c r="Z157" i="37"/>
  <c r="AC157" i="37"/>
  <c r="AF157" i="37"/>
  <c r="S158" i="37"/>
  <c r="U158" i="37"/>
  <c r="Y158" i="37"/>
  <c r="AA158" i="37"/>
  <c r="AE158" i="37"/>
  <c r="AB158" i="37"/>
  <c r="T158" i="37"/>
  <c r="V158" i="37"/>
  <c r="Z158" i="37"/>
  <c r="AC158" i="37"/>
  <c r="AF158" i="37"/>
  <c r="S159" i="37"/>
  <c r="U159" i="37"/>
  <c r="Y159" i="37"/>
  <c r="AA159" i="37"/>
  <c r="AE159" i="37"/>
  <c r="AB159" i="37"/>
  <c r="T159" i="37"/>
  <c r="V159" i="37"/>
  <c r="Z159" i="37"/>
  <c r="AC159" i="37"/>
  <c r="AF159" i="37"/>
  <c r="S160" i="37"/>
  <c r="U160" i="37"/>
  <c r="Y160" i="37"/>
  <c r="AA160" i="37"/>
  <c r="AE160" i="37"/>
  <c r="AB160" i="37"/>
  <c r="T160" i="37"/>
  <c r="V160" i="37"/>
  <c r="Z160" i="37"/>
  <c r="AC160" i="37"/>
  <c r="AF160" i="37"/>
  <c r="S161" i="37"/>
  <c r="U161" i="37"/>
  <c r="Y161" i="37"/>
  <c r="AA161" i="37"/>
  <c r="AE161" i="37"/>
  <c r="AB161" i="37"/>
  <c r="T161" i="37"/>
  <c r="V161" i="37"/>
  <c r="Z161" i="37"/>
  <c r="AC161" i="37"/>
  <c r="AF161" i="37"/>
  <c r="S162" i="37"/>
  <c r="U162" i="37"/>
  <c r="Y162" i="37"/>
  <c r="AA162" i="37"/>
  <c r="AE162" i="37"/>
  <c r="AB162" i="37"/>
  <c r="T162" i="37"/>
  <c r="V162" i="37"/>
  <c r="Z162" i="37"/>
  <c r="AC162" i="37"/>
  <c r="AF162" i="37"/>
  <c r="S163" i="37"/>
  <c r="U163" i="37"/>
  <c r="Y163" i="37"/>
  <c r="AA163" i="37"/>
  <c r="AE163" i="37"/>
  <c r="AB163" i="37"/>
  <c r="T163" i="37"/>
  <c r="V163" i="37"/>
  <c r="Z163" i="37"/>
  <c r="AC163" i="37"/>
  <c r="AF163" i="37"/>
  <c r="S164" i="37"/>
  <c r="U164" i="37"/>
  <c r="Y164" i="37"/>
  <c r="AA164" i="37"/>
  <c r="AE164" i="37"/>
  <c r="AB164" i="37"/>
  <c r="T164" i="37"/>
  <c r="V164" i="37"/>
  <c r="Z164" i="37"/>
  <c r="AC164" i="37"/>
  <c r="AF164" i="37"/>
  <c r="S165" i="37"/>
  <c r="U165" i="37"/>
  <c r="Y165" i="37"/>
  <c r="AA165" i="37"/>
  <c r="AE165" i="37"/>
  <c r="AB165" i="37"/>
  <c r="T165" i="37"/>
  <c r="V165" i="37"/>
  <c r="Z165" i="37"/>
  <c r="AC165" i="37"/>
  <c r="AF165" i="37"/>
  <c r="S166" i="37"/>
  <c r="U166" i="37"/>
  <c r="Y166" i="37"/>
  <c r="AA166" i="37"/>
  <c r="AE166" i="37"/>
  <c r="AB166" i="37"/>
  <c r="T166" i="37"/>
  <c r="V166" i="37"/>
  <c r="Z166" i="37"/>
  <c r="AC166" i="37"/>
  <c r="AF166" i="37"/>
  <c r="S167" i="37"/>
  <c r="U167" i="37"/>
  <c r="Y167" i="37"/>
  <c r="AA167" i="37"/>
  <c r="AE167" i="37"/>
  <c r="AB167" i="37"/>
  <c r="T167" i="37"/>
  <c r="V167" i="37"/>
  <c r="Z167" i="37"/>
  <c r="AC167" i="37"/>
  <c r="AF167" i="37"/>
  <c r="S168" i="37"/>
  <c r="U168" i="37"/>
  <c r="Y168" i="37"/>
  <c r="AA168" i="37"/>
  <c r="AE168" i="37"/>
  <c r="AB168" i="37"/>
  <c r="T168" i="37"/>
  <c r="V168" i="37"/>
  <c r="Z168" i="37"/>
  <c r="AC168" i="37"/>
  <c r="AF168" i="37"/>
  <c r="S169" i="37"/>
  <c r="U169" i="37"/>
  <c r="Y169" i="37"/>
  <c r="AA169" i="37"/>
  <c r="AE169" i="37"/>
  <c r="AB169" i="37"/>
  <c r="T169" i="37"/>
  <c r="V169" i="37"/>
  <c r="Z169" i="37"/>
  <c r="AC169" i="37"/>
  <c r="AF169" i="37"/>
  <c r="S170" i="37"/>
  <c r="U170" i="37"/>
  <c r="Y170" i="37"/>
  <c r="AA170" i="37"/>
  <c r="AE170" i="37"/>
  <c r="AB170" i="37"/>
  <c r="T170" i="37"/>
  <c r="V170" i="37"/>
  <c r="Z170" i="37"/>
  <c r="AC170" i="37"/>
  <c r="AF170" i="37"/>
  <c r="S171" i="37"/>
  <c r="U171" i="37"/>
  <c r="Y171" i="37"/>
  <c r="AA171" i="37"/>
  <c r="AE171" i="37"/>
  <c r="AB171" i="37"/>
  <c r="T171" i="37"/>
  <c r="V171" i="37"/>
  <c r="Z171" i="37"/>
  <c r="AC171" i="37"/>
  <c r="AF171" i="37"/>
  <c r="S172" i="37"/>
  <c r="U172" i="37"/>
  <c r="Y172" i="37"/>
  <c r="AA172" i="37"/>
  <c r="AE172" i="37"/>
  <c r="AB172" i="37"/>
  <c r="T172" i="37"/>
  <c r="V172" i="37"/>
  <c r="Z172" i="37"/>
  <c r="AC172" i="37"/>
  <c r="AF172" i="37"/>
  <c r="S173" i="37"/>
  <c r="U173" i="37"/>
  <c r="Y173" i="37"/>
  <c r="AA173" i="37"/>
  <c r="AE173" i="37"/>
  <c r="AB173" i="37"/>
  <c r="T173" i="37"/>
  <c r="V173" i="37"/>
  <c r="Z173" i="37"/>
  <c r="AC173" i="37"/>
  <c r="AF173" i="37"/>
  <c r="S174" i="37"/>
  <c r="U174" i="37"/>
  <c r="Y174" i="37"/>
  <c r="AA174" i="37"/>
  <c r="AE174" i="37"/>
  <c r="AB174" i="37"/>
  <c r="T174" i="37"/>
  <c r="V174" i="37"/>
  <c r="Z174" i="37"/>
  <c r="AC174" i="37"/>
  <c r="AF174" i="37"/>
  <c r="S175" i="37"/>
  <c r="U175" i="37"/>
  <c r="Y175" i="37"/>
  <c r="AA175" i="37"/>
  <c r="AE175" i="37"/>
  <c r="AB175" i="37"/>
  <c r="T175" i="37"/>
  <c r="V175" i="37"/>
  <c r="Z175" i="37"/>
  <c r="AC175" i="37"/>
  <c r="AF175" i="37"/>
  <c r="S176" i="37"/>
  <c r="U176" i="37"/>
  <c r="Y176" i="37"/>
  <c r="AA176" i="37"/>
  <c r="AE176" i="37"/>
  <c r="AB176" i="37"/>
  <c r="T176" i="37"/>
  <c r="V176" i="37"/>
  <c r="Z176" i="37"/>
  <c r="AC176" i="37"/>
  <c r="AF176" i="37"/>
  <c r="S177" i="37"/>
  <c r="U177" i="37"/>
  <c r="Y177" i="37"/>
  <c r="AA177" i="37"/>
  <c r="AE177" i="37"/>
  <c r="AB177" i="37"/>
  <c r="T177" i="37"/>
  <c r="V177" i="37"/>
  <c r="Z177" i="37"/>
  <c r="AC177" i="37"/>
  <c r="AF177" i="37"/>
  <c r="S178" i="37"/>
  <c r="U178" i="37"/>
  <c r="Y178" i="37"/>
  <c r="AA178" i="37"/>
  <c r="AE178" i="37"/>
  <c r="AB178" i="37"/>
  <c r="T178" i="37"/>
  <c r="V178" i="37"/>
  <c r="Z178" i="37"/>
  <c r="AC178" i="37"/>
  <c r="AF178" i="37"/>
  <c r="S179" i="37"/>
  <c r="U179" i="37"/>
  <c r="Y179" i="37"/>
  <c r="AA179" i="37"/>
  <c r="AE179" i="37"/>
  <c r="AB179" i="37"/>
  <c r="T179" i="37"/>
  <c r="V179" i="37"/>
  <c r="Z179" i="37"/>
  <c r="AC179" i="37"/>
  <c r="AF179" i="37"/>
  <c r="S180" i="37"/>
  <c r="U180" i="37"/>
  <c r="Y180" i="37"/>
  <c r="AA180" i="37"/>
  <c r="AE180" i="37"/>
  <c r="AB180" i="37"/>
  <c r="T180" i="37"/>
  <c r="V180" i="37"/>
  <c r="Z180" i="37"/>
  <c r="AC180" i="37"/>
  <c r="AF180" i="37"/>
  <c r="S181" i="37"/>
  <c r="U181" i="37"/>
  <c r="Y181" i="37"/>
  <c r="AA181" i="37"/>
  <c r="AE181" i="37"/>
  <c r="AB181" i="37"/>
  <c r="T181" i="37"/>
  <c r="V181" i="37"/>
  <c r="Z181" i="37"/>
  <c r="AC181" i="37"/>
  <c r="AF181" i="37"/>
  <c r="S182" i="37"/>
  <c r="U182" i="37"/>
  <c r="Y182" i="37"/>
  <c r="AA182" i="37"/>
  <c r="AE182" i="37"/>
  <c r="AB182" i="37"/>
  <c r="T182" i="37"/>
  <c r="V182" i="37"/>
  <c r="Z182" i="37"/>
  <c r="AC182" i="37"/>
  <c r="AF182" i="37"/>
  <c r="S183" i="37"/>
  <c r="U183" i="37"/>
  <c r="Y183" i="37"/>
  <c r="AA183" i="37"/>
  <c r="AE183" i="37"/>
  <c r="AB183" i="37"/>
  <c r="T183" i="37"/>
  <c r="V183" i="37"/>
  <c r="Z183" i="37"/>
  <c r="AC183" i="37"/>
  <c r="AF183" i="37"/>
  <c r="S184" i="37"/>
  <c r="U184" i="37"/>
  <c r="Y184" i="37"/>
  <c r="AA184" i="37"/>
  <c r="AE184" i="37"/>
  <c r="AB184" i="37"/>
  <c r="T184" i="37"/>
  <c r="V184" i="37"/>
  <c r="Z184" i="37"/>
  <c r="AC184" i="37"/>
  <c r="AF184" i="37"/>
  <c r="S185" i="37"/>
  <c r="U185" i="37"/>
  <c r="Y185" i="37"/>
  <c r="AA185" i="37"/>
  <c r="AE185" i="37"/>
  <c r="AB185" i="37"/>
  <c r="T185" i="37"/>
  <c r="V185" i="37"/>
  <c r="Z185" i="37"/>
  <c r="AC185" i="37"/>
  <c r="AF185" i="37"/>
  <c r="S186" i="37"/>
  <c r="U186" i="37"/>
  <c r="Y186" i="37"/>
  <c r="AA186" i="37"/>
  <c r="AE186" i="37"/>
  <c r="AB186" i="37"/>
  <c r="T186" i="37"/>
  <c r="V186" i="37"/>
  <c r="Z186" i="37"/>
  <c r="AC186" i="37"/>
  <c r="AF186" i="37"/>
  <c r="S187" i="37"/>
  <c r="U187" i="37"/>
  <c r="Y187" i="37"/>
  <c r="AA187" i="37"/>
  <c r="AE187" i="37"/>
  <c r="AB187" i="37"/>
  <c r="T187" i="37"/>
  <c r="V187" i="37"/>
  <c r="Z187" i="37"/>
  <c r="AC187" i="37"/>
  <c r="AF187" i="37"/>
  <c r="S188" i="37"/>
  <c r="U188" i="37"/>
  <c r="Y188" i="37"/>
  <c r="AA188" i="37"/>
  <c r="AE188" i="37"/>
  <c r="AB188" i="37"/>
  <c r="T188" i="37"/>
  <c r="V188" i="37"/>
  <c r="Z188" i="37"/>
  <c r="AC188" i="37"/>
  <c r="AF188" i="37"/>
  <c r="S189" i="37"/>
  <c r="U189" i="37"/>
  <c r="Y189" i="37"/>
  <c r="AA189" i="37"/>
  <c r="AE189" i="37"/>
  <c r="AB189" i="37"/>
  <c r="T189" i="37"/>
  <c r="V189" i="37"/>
  <c r="Z189" i="37"/>
  <c r="AC189" i="37"/>
  <c r="AF189" i="37"/>
  <c r="S190" i="37"/>
  <c r="U190" i="37"/>
  <c r="Y190" i="37"/>
  <c r="AA190" i="37"/>
  <c r="AE190" i="37"/>
  <c r="AB190" i="37"/>
  <c r="T190" i="37"/>
  <c r="V190" i="37"/>
  <c r="Z190" i="37"/>
  <c r="AC190" i="37"/>
  <c r="AF190" i="37"/>
  <c r="S191" i="37"/>
  <c r="U191" i="37"/>
  <c r="Y191" i="37"/>
  <c r="AA191" i="37"/>
  <c r="AE191" i="37"/>
  <c r="AB191" i="37"/>
  <c r="T191" i="37"/>
  <c r="V191" i="37"/>
  <c r="Z191" i="37"/>
  <c r="AC191" i="37"/>
  <c r="AF191" i="37"/>
  <c r="S192" i="37"/>
  <c r="U192" i="37"/>
  <c r="Y192" i="37"/>
  <c r="AA192" i="37"/>
  <c r="AE192" i="37"/>
  <c r="AB192" i="37"/>
  <c r="T192" i="37"/>
  <c r="V192" i="37"/>
  <c r="Z192" i="37"/>
  <c r="AC192" i="37"/>
  <c r="AF192" i="37"/>
  <c r="S193" i="37"/>
  <c r="U193" i="37"/>
  <c r="Y193" i="37"/>
  <c r="AA193" i="37"/>
  <c r="AE193" i="37"/>
  <c r="AB193" i="37"/>
  <c r="T193" i="37"/>
  <c r="V193" i="37"/>
  <c r="Z193" i="37"/>
  <c r="AC193" i="37"/>
  <c r="AF193" i="37"/>
  <c r="S194" i="37"/>
  <c r="U194" i="37"/>
  <c r="Y194" i="37"/>
  <c r="AA194" i="37"/>
  <c r="AE194" i="37"/>
  <c r="AB194" i="37"/>
  <c r="T194" i="37"/>
  <c r="V194" i="37"/>
  <c r="Z194" i="37"/>
  <c r="AC194" i="37"/>
  <c r="AF194" i="37"/>
  <c r="S195" i="37"/>
  <c r="U195" i="37"/>
  <c r="Y195" i="37"/>
  <c r="AA195" i="37"/>
  <c r="AE195" i="37"/>
  <c r="AB195" i="37"/>
  <c r="T195" i="37"/>
  <c r="V195" i="37"/>
  <c r="Z195" i="37"/>
  <c r="AC195" i="37"/>
  <c r="AF195" i="37"/>
  <c r="S196" i="37"/>
  <c r="U196" i="37"/>
  <c r="Y196" i="37"/>
  <c r="AA196" i="37"/>
  <c r="AE196" i="37"/>
  <c r="AB196" i="37"/>
  <c r="T196" i="37"/>
  <c r="V196" i="37"/>
  <c r="Z196" i="37"/>
  <c r="AC196" i="37"/>
  <c r="AF196" i="37"/>
  <c r="S197" i="37"/>
  <c r="U197" i="37"/>
  <c r="Y197" i="37"/>
  <c r="AA197" i="37"/>
  <c r="AE197" i="37"/>
  <c r="AB197" i="37"/>
  <c r="T197" i="37"/>
  <c r="V197" i="37"/>
  <c r="Z197" i="37"/>
  <c r="AC197" i="37"/>
  <c r="AF197" i="37"/>
  <c r="S198" i="37"/>
  <c r="U198" i="37"/>
  <c r="Y198" i="37"/>
  <c r="AA198" i="37"/>
  <c r="AE198" i="37"/>
  <c r="AB198" i="37"/>
  <c r="T198" i="37"/>
  <c r="V198" i="37"/>
  <c r="Z198" i="37"/>
  <c r="AC198" i="37"/>
  <c r="AF198" i="37"/>
  <c r="S199" i="37"/>
  <c r="U199" i="37"/>
  <c r="Y199" i="37"/>
  <c r="AA199" i="37"/>
  <c r="AE199" i="37"/>
  <c r="AB199" i="37"/>
  <c r="T199" i="37"/>
  <c r="V199" i="37"/>
  <c r="Z199" i="37"/>
  <c r="AC199" i="37"/>
  <c r="AF199" i="37"/>
  <c r="S200" i="37"/>
  <c r="U200" i="37"/>
  <c r="Y200" i="37"/>
  <c r="AA200" i="37"/>
  <c r="AE200" i="37"/>
  <c r="AB200" i="37"/>
  <c r="T200" i="37"/>
  <c r="V200" i="37"/>
  <c r="Z200" i="37"/>
  <c r="AC200" i="37"/>
  <c r="AF200" i="37"/>
  <c r="S201" i="37"/>
  <c r="U201" i="37"/>
  <c r="Y201" i="37"/>
  <c r="AA201" i="37"/>
  <c r="AE201" i="37"/>
  <c r="AB201" i="37"/>
  <c r="T201" i="37"/>
  <c r="V201" i="37"/>
  <c r="Z201" i="37"/>
  <c r="AC201" i="37"/>
  <c r="AF201" i="37"/>
  <c r="S202" i="37"/>
  <c r="U202" i="37"/>
  <c r="Y202" i="37"/>
  <c r="AA202" i="37"/>
  <c r="AE202" i="37"/>
  <c r="AB202" i="37"/>
  <c r="T202" i="37"/>
  <c r="V202" i="37"/>
  <c r="Z202" i="37"/>
  <c r="AC202" i="37"/>
  <c r="AF202" i="37"/>
  <c r="S203" i="37"/>
  <c r="U203" i="37"/>
  <c r="Y203" i="37"/>
  <c r="AA203" i="37"/>
  <c r="AE203" i="37"/>
  <c r="AB203" i="37"/>
  <c r="T203" i="37"/>
  <c r="V203" i="37"/>
  <c r="Z203" i="37"/>
  <c r="AC203" i="37"/>
  <c r="AF203" i="37"/>
  <c r="S204" i="37"/>
  <c r="U204" i="37"/>
  <c r="Y204" i="37"/>
  <c r="AA204" i="37"/>
  <c r="AE204" i="37"/>
  <c r="AB204" i="37"/>
  <c r="T204" i="37"/>
  <c r="V204" i="37"/>
  <c r="Z204" i="37"/>
  <c r="AC204" i="37"/>
  <c r="AF204" i="37"/>
  <c r="S205" i="37"/>
  <c r="U205" i="37"/>
  <c r="Y205" i="37"/>
  <c r="AA205" i="37"/>
  <c r="AE205" i="37"/>
  <c r="AB205" i="37"/>
  <c r="T205" i="37"/>
  <c r="V205" i="37"/>
  <c r="Z205" i="37"/>
  <c r="AC205" i="37"/>
  <c r="AF205" i="37"/>
  <c r="S206" i="37"/>
  <c r="U206" i="37"/>
  <c r="Y206" i="37"/>
  <c r="AA206" i="37"/>
  <c r="AE206" i="37"/>
  <c r="AB206" i="37"/>
  <c r="T206" i="37"/>
  <c r="V206" i="37"/>
  <c r="Z206" i="37"/>
  <c r="AC206" i="37"/>
  <c r="AF206" i="37"/>
  <c r="S207" i="37"/>
  <c r="U207" i="37"/>
  <c r="Y207" i="37"/>
  <c r="AA207" i="37"/>
  <c r="AE207" i="37"/>
  <c r="AB207" i="37"/>
  <c r="T207" i="37"/>
  <c r="V207" i="37"/>
  <c r="Z207" i="37"/>
  <c r="AC207" i="37"/>
  <c r="AF207" i="37"/>
  <c r="S208" i="37"/>
  <c r="U208" i="37"/>
  <c r="Y208" i="37"/>
  <c r="AA208" i="37"/>
  <c r="AE208" i="37"/>
  <c r="AB208" i="37"/>
  <c r="T208" i="37"/>
  <c r="V208" i="37"/>
  <c r="Z208" i="37"/>
  <c r="AC208" i="37"/>
  <c r="AF208" i="37"/>
  <c r="S209" i="37"/>
  <c r="U209" i="37"/>
  <c r="Y209" i="37"/>
  <c r="AA209" i="37"/>
  <c r="AE209" i="37"/>
  <c r="AB209" i="37"/>
  <c r="T209" i="37"/>
  <c r="V209" i="37"/>
  <c r="Z209" i="37"/>
  <c r="AC209" i="37"/>
  <c r="AF209" i="37"/>
  <c r="S210" i="37"/>
  <c r="U210" i="37"/>
  <c r="Y210" i="37"/>
  <c r="AA210" i="37"/>
  <c r="AE210" i="37"/>
  <c r="AB210" i="37"/>
  <c r="T210" i="37"/>
  <c r="V210" i="37"/>
  <c r="Z210" i="37"/>
  <c r="AC210" i="37"/>
  <c r="AF210" i="37"/>
  <c r="S211" i="37"/>
  <c r="U211" i="37"/>
  <c r="Y211" i="37"/>
  <c r="AA211" i="37"/>
  <c r="AE211" i="37"/>
  <c r="AB211" i="37"/>
  <c r="T211" i="37"/>
  <c r="V211" i="37"/>
  <c r="Z211" i="37"/>
  <c r="AC211" i="37"/>
  <c r="AF211" i="37"/>
  <c r="S212" i="37"/>
  <c r="U212" i="37"/>
  <c r="Y212" i="37"/>
  <c r="AA212" i="37"/>
  <c r="AE212" i="37"/>
  <c r="AB212" i="37"/>
  <c r="T212" i="37"/>
  <c r="V212" i="37"/>
  <c r="Z212" i="37"/>
  <c r="AC212" i="37"/>
  <c r="AF212" i="37"/>
  <c r="S213" i="37"/>
  <c r="U213" i="37"/>
  <c r="Y213" i="37"/>
  <c r="AA213" i="37"/>
  <c r="AE213" i="37"/>
  <c r="AB213" i="37"/>
  <c r="T213" i="37"/>
  <c r="V213" i="37"/>
  <c r="Z213" i="37"/>
  <c r="AC213" i="37"/>
  <c r="AF213" i="37"/>
  <c r="S214" i="37"/>
  <c r="U214" i="37"/>
  <c r="Y214" i="37"/>
  <c r="AA214" i="37"/>
  <c r="AE214" i="37"/>
  <c r="AB214" i="37"/>
  <c r="T214" i="37"/>
  <c r="V214" i="37"/>
  <c r="Z214" i="37"/>
  <c r="AC214" i="37"/>
  <c r="AF214" i="37"/>
  <c r="S215" i="37"/>
  <c r="U215" i="37"/>
  <c r="Y215" i="37"/>
  <c r="AA215" i="37"/>
  <c r="AE215" i="37"/>
  <c r="AB215" i="37"/>
  <c r="T215" i="37"/>
  <c r="V215" i="37"/>
  <c r="Z215" i="37"/>
  <c r="AC215" i="37"/>
  <c r="AF215" i="37"/>
  <c r="S216" i="37"/>
  <c r="U216" i="37"/>
  <c r="Y216" i="37"/>
  <c r="AA216" i="37"/>
  <c r="AE216" i="37"/>
  <c r="AB216" i="37"/>
  <c r="T216" i="37"/>
  <c r="V216" i="37"/>
  <c r="Z216" i="37"/>
  <c r="AC216" i="37"/>
  <c r="AF216" i="37"/>
  <c r="S217" i="37"/>
  <c r="U217" i="37"/>
  <c r="Y217" i="37"/>
  <c r="AA217" i="37"/>
  <c r="AE217" i="37"/>
  <c r="AB217" i="37"/>
  <c r="T217" i="37"/>
  <c r="V217" i="37"/>
  <c r="Z217" i="37"/>
  <c r="AC217" i="37"/>
  <c r="AF217" i="37"/>
  <c r="S218" i="37"/>
  <c r="U218" i="37"/>
  <c r="Y218" i="37"/>
  <c r="AA218" i="37"/>
  <c r="AE218" i="37"/>
  <c r="AB218" i="37"/>
  <c r="T218" i="37"/>
  <c r="V218" i="37"/>
  <c r="Z218" i="37"/>
  <c r="AC218" i="37"/>
  <c r="AF218" i="37"/>
  <c r="S219" i="37"/>
  <c r="U219" i="37"/>
  <c r="Y219" i="37"/>
  <c r="AA219" i="37"/>
  <c r="AE219" i="37"/>
  <c r="AB219" i="37"/>
  <c r="T219" i="37"/>
  <c r="V219" i="37"/>
  <c r="Z219" i="37"/>
  <c r="AC219" i="37"/>
  <c r="AF219" i="37"/>
  <c r="S220" i="37"/>
  <c r="U220" i="37"/>
  <c r="Y220" i="37"/>
  <c r="AA220" i="37"/>
  <c r="AE220" i="37"/>
  <c r="AB220" i="37"/>
  <c r="T220" i="37"/>
  <c r="V220" i="37"/>
  <c r="Z220" i="37"/>
  <c r="AC220" i="37"/>
  <c r="AF220" i="37"/>
  <c r="S221" i="37"/>
  <c r="U221" i="37"/>
  <c r="Y221" i="37"/>
  <c r="AA221" i="37"/>
  <c r="AE221" i="37"/>
  <c r="AB221" i="37"/>
  <c r="T221" i="37"/>
  <c r="V221" i="37"/>
  <c r="Z221" i="37"/>
  <c r="AC221" i="37"/>
  <c r="AF221" i="37"/>
  <c r="S222" i="37"/>
  <c r="U222" i="37"/>
  <c r="Y222" i="37"/>
  <c r="AA222" i="37"/>
  <c r="AE222" i="37"/>
  <c r="AB222" i="37"/>
  <c r="T222" i="37"/>
  <c r="V222" i="37"/>
  <c r="Z222" i="37"/>
  <c r="AC222" i="37"/>
  <c r="AF222" i="37"/>
  <c r="S223" i="37"/>
  <c r="U223" i="37"/>
  <c r="Y223" i="37"/>
  <c r="AA223" i="37"/>
  <c r="AE223" i="37"/>
  <c r="AB223" i="37"/>
  <c r="T223" i="37"/>
  <c r="V223" i="37"/>
  <c r="Z223" i="37"/>
  <c r="AC223" i="37"/>
  <c r="AF223" i="37"/>
  <c r="S224" i="37"/>
  <c r="U224" i="37"/>
  <c r="Y224" i="37"/>
  <c r="AA224" i="37"/>
  <c r="AE224" i="37"/>
  <c r="AB224" i="37"/>
  <c r="T224" i="37"/>
  <c r="V224" i="37"/>
  <c r="Z224" i="37"/>
  <c r="AC224" i="37"/>
  <c r="AF224" i="37"/>
  <c r="S225" i="37"/>
  <c r="U225" i="37"/>
  <c r="Y225" i="37"/>
  <c r="AA225" i="37"/>
  <c r="AE225" i="37"/>
  <c r="AB225" i="37"/>
  <c r="T225" i="37"/>
  <c r="V225" i="37"/>
  <c r="Z225" i="37"/>
  <c r="AC225" i="37"/>
  <c r="AF225" i="37"/>
  <c r="S226" i="37"/>
  <c r="U226" i="37"/>
  <c r="Y226" i="37"/>
  <c r="AA226" i="37"/>
  <c r="AE226" i="37"/>
  <c r="AB226" i="37"/>
  <c r="T226" i="37"/>
  <c r="V226" i="37"/>
  <c r="Z226" i="37"/>
  <c r="AC226" i="37"/>
  <c r="AF226" i="37"/>
  <c r="S227" i="37"/>
  <c r="U227" i="37"/>
  <c r="Y227" i="37"/>
  <c r="AA227" i="37"/>
  <c r="AE227" i="37"/>
  <c r="AB227" i="37"/>
  <c r="T227" i="37"/>
  <c r="V227" i="37"/>
  <c r="Z227" i="37"/>
  <c r="AC227" i="37"/>
  <c r="AF227" i="37"/>
  <c r="S228" i="37"/>
  <c r="U228" i="37"/>
  <c r="Y228" i="37"/>
  <c r="AA228" i="37"/>
  <c r="AE228" i="37"/>
  <c r="AB228" i="37"/>
  <c r="T228" i="37"/>
  <c r="V228" i="37"/>
  <c r="Z228" i="37"/>
  <c r="AC228" i="37"/>
  <c r="AF228" i="37"/>
  <c r="S229" i="37"/>
  <c r="U229" i="37"/>
  <c r="Y229" i="37"/>
  <c r="AA229" i="37"/>
  <c r="AE229" i="37"/>
  <c r="AB229" i="37"/>
  <c r="T229" i="37"/>
  <c r="V229" i="37"/>
  <c r="Z229" i="37"/>
  <c r="AC229" i="37"/>
  <c r="AF229" i="37"/>
  <c r="S230" i="37"/>
  <c r="U230" i="37"/>
  <c r="Y230" i="37"/>
  <c r="AA230" i="37"/>
  <c r="AE230" i="37"/>
  <c r="AB230" i="37"/>
  <c r="T230" i="37"/>
  <c r="V230" i="37"/>
  <c r="Z230" i="37"/>
  <c r="AC230" i="37"/>
  <c r="AF230" i="37"/>
  <c r="S231" i="37"/>
  <c r="U231" i="37"/>
  <c r="Y231" i="37"/>
  <c r="AA231" i="37"/>
  <c r="AE231" i="37"/>
  <c r="AB231" i="37"/>
  <c r="T231" i="37"/>
  <c r="V231" i="37"/>
  <c r="Z231" i="37"/>
  <c r="AC231" i="37"/>
  <c r="AF231" i="37"/>
  <c r="S232" i="37"/>
  <c r="U232" i="37"/>
  <c r="Y232" i="37"/>
  <c r="AA232" i="37"/>
  <c r="AE232" i="37"/>
  <c r="AB232" i="37"/>
  <c r="T232" i="37"/>
  <c r="V232" i="37"/>
  <c r="Z232" i="37"/>
  <c r="AC232" i="37"/>
  <c r="AF232" i="37"/>
  <c r="S233" i="37"/>
  <c r="U233" i="37"/>
  <c r="Y233" i="37"/>
  <c r="AA233" i="37"/>
  <c r="AE233" i="37"/>
  <c r="AB233" i="37"/>
  <c r="T233" i="37"/>
  <c r="V233" i="37"/>
  <c r="Z233" i="37"/>
  <c r="AC233" i="37"/>
  <c r="AF233" i="37"/>
  <c r="S234" i="37"/>
  <c r="U234" i="37"/>
  <c r="Y234" i="37"/>
  <c r="AA234" i="37"/>
  <c r="AE234" i="37"/>
  <c r="AB234" i="37"/>
  <c r="T234" i="37"/>
  <c r="V234" i="37"/>
  <c r="Z234" i="37"/>
  <c r="AC234" i="37"/>
  <c r="AF234" i="37"/>
  <c r="S235" i="37"/>
  <c r="U235" i="37"/>
  <c r="Y235" i="37"/>
  <c r="AA235" i="37"/>
  <c r="AE235" i="37"/>
  <c r="AB235" i="37"/>
  <c r="T235" i="37"/>
  <c r="V235" i="37"/>
  <c r="Z235" i="37"/>
  <c r="AC235" i="37"/>
  <c r="AF235" i="37"/>
  <c r="S236" i="37"/>
  <c r="U236" i="37"/>
  <c r="Y236" i="37"/>
  <c r="AA236" i="37"/>
  <c r="AE236" i="37"/>
  <c r="AB236" i="37"/>
  <c r="T236" i="37"/>
  <c r="V236" i="37"/>
  <c r="Z236" i="37"/>
  <c r="AC236" i="37"/>
  <c r="AF236" i="37"/>
  <c r="S237" i="37"/>
  <c r="U237" i="37"/>
  <c r="Y237" i="37"/>
  <c r="AA237" i="37"/>
  <c r="AE237" i="37"/>
  <c r="AB237" i="37"/>
  <c r="T237" i="37"/>
  <c r="V237" i="37"/>
  <c r="Z237" i="37"/>
  <c r="AC237" i="37"/>
  <c r="AF237" i="37"/>
  <c r="S238" i="37"/>
  <c r="U238" i="37"/>
  <c r="Y238" i="37"/>
  <c r="AA238" i="37"/>
  <c r="AE238" i="37"/>
  <c r="AB238" i="37"/>
  <c r="T238" i="37"/>
  <c r="V238" i="37"/>
  <c r="Z238" i="37"/>
  <c r="AC238" i="37"/>
  <c r="AF238" i="37"/>
  <c r="S239" i="37"/>
  <c r="U239" i="37"/>
  <c r="Y239" i="37"/>
  <c r="AA239" i="37"/>
  <c r="AE239" i="37"/>
  <c r="AB239" i="37"/>
  <c r="T239" i="37"/>
  <c r="V239" i="37"/>
  <c r="Z239" i="37"/>
  <c r="AC239" i="37"/>
  <c r="AF239" i="37"/>
  <c r="S240" i="37"/>
  <c r="U240" i="37"/>
  <c r="Y240" i="37"/>
  <c r="AA240" i="37"/>
  <c r="AE240" i="37"/>
  <c r="AB240" i="37"/>
  <c r="T240" i="37"/>
  <c r="V240" i="37"/>
  <c r="Z240" i="37"/>
  <c r="AC240" i="37"/>
  <c r="AF240" i="37"/>
  <c r="S241" i="37"/>
  <c r="U241" i="37"/>
  <c r="Y241" i="37"/>
  <c r="AA241" i="37"/>
  <c r="AE241" i="37"/>
  <c r="AB241" i="37"/>
  <c r="T241" i="37"/>
  <c r="V241" i="37"/>
  <c r="Z241" i="37"/>
  <c r="AC241" i="37"/>
  <c r="AF241" i="37"/>
  <c r="S242" i="37"/>
  <c r="U242" i="37"/>
  <c r="Y242" i="37"/>
  <c r="AA242" i="37"/>
  <c r="AE242" i="37"/>
  <c r="AB242" i="37"/>
  <c r="T242" i="37"/>
  <c r="V242" i="37"/>
  <c r="Z242" i="37"/>
  <c r="AC242" i="37"/>
  <c r="AF242" i="37"/>
  <c r="S243" i="37"/>
  <c r="U243" i="37"/>
  <c r="Y243" i="37"/>
  <c r="AA243" i="37"/>
  <c r="AE243" i="37"/>
  <c r="AB243" i="37"/>
  <c r="T243" i="37"/>
  <c r="V243" i="37"/>
  <c r="Z243" i="37"/>
  <c r="AC243" i="37"/>
  <c r="AF243" i="37"/>
  <c r="S244" i="37"/>
  <c r="U244" i="37"/>
  <c r="Y244" i="37"/>
  <c r="AA244" i="37"/>
  <c r="AE244" i="37"/>
  <c r="AB244" i="37"/>
  <c r="T244" i="37"/>
  <c r="V244" i="37"/>
  <c r="Z244" i="37"/>
  <c r="AC244" i="37"/>
  <c r="AF244" i="37"/>
  <c r="S245" i="37"/>
  <c r="U245" i="37"/>
  <c r="Y245" i="37"/>
  <c r="AA245" i="37"/>
  <c r="AE245" i="37"/>
  <c r="AB245" i="37"/>
  <c r="T245" i="37"/>
  <c r="V245" i="37"/>
  <c r="Z245" i="37"/>
  <c r="AC245" i="37"/>
  <c r="AF245" i="37"/>
  <c r="S246" i="37"/>
  <c r="U246" i="37"/>
  <c r="Y246" i="37"/>
  <c r="AA246" i="37"/>
  <c r="AE246" i="37"/>
  <c r="AB246" i="37"/>
  <c r="T246" i="37"/>
  <c r="V246" i="37"/>
  <c r="Z246" i="37"/>
  <c r="AC246" i="37"/>
  <c r="AF246" i="37"/>
  <c r="S247" i="37"/>
  <c r="U247" i="37"/>
  <c r="Y247" i="37"/>
  <c r="AA247" i="37"/>
  <c r="AE247" i="37"/>
  <c r="AB247" i="37"/>
  <c r="T247" i="37"/>
  <c r="V247" i="37"/>
  <c r="Z247" i="37"/>
  <c r="AC247" i="37"/>
  <c r="AF247" i="37"/>
  <c r="S248" i="37"/>
  <c r="U248" i="37"/>
  <c r="Y248" i="37"/>
  <c r="AA248" i="37"/>
  <c r="AE248" i="37"/>
  <c r="AB248" i="37"/>
  <c r="T248" i="37"/>
  <c r="V248" i="37"/>
  <c r="Z248" i="37"/>
  <c r="AC248" i="37"/>
  <c r="AF248" i="37"/>
  <c r="S249" i="37"/>
  <c r="U249" i="37"/>
  <c r="Y249" i="37"/>
  <c r="AA249" i="37"/>
  <c r="AE249" i="37"/>
  <c r="AB249" i="37"/>
  <c r="T249" i="37"/>
  <c r="V249" i="37"/>
  <c r="Z249" i="37"/>
  <c r="AC249" i="37"/>
  <c r="AF249" i="37"/>
  <c r="S250" i="37"/>
  <c r="U250" i="37"/>
  <c r="Y250" i="37"/>
  <c r="AA250" i="37"/>
  <c r="AE250" i="37"/>
  <c r="AB250" i="37"/>
  <c r="T250" i="37"/>
  <c r="V250" i="37"/>
  <c r="Z250" i="37"/>
  <c r="AC250" i="37"/>
  <c r="AF250" i="37"/>
  <c r="S251" i="37"/>
  <c r="U251" i="37"/>
  <c r="Y251" i="37"/>
  <c r="AA251" i="37"/>
  <c r="AE251" i="37"/>
  <c r="AB251" i="37"/>
  <c r="T251" i="37"/>
  <c r="V251" i="37"/>
  <c r="Z251" i="37"/>
  <c r="AC251" i="37"/>
  <c r="AF251" i="37"/>
  <c r="S252" i="37"/>
  <c r="U252" i="37"/>
  <c r="Y252" i="37"/>
  <c r="AA252" i="37"/>
  <c r="AE252" i="37"/>
  <c r="AB252" i="37"/>
  <c r="T252" i="37"/>
  <c r="V252" i="37"/>
  <c r="Z252" i="37"/>
  <c r="AC252" i="37"/>
  <c r="AF252" i="37"/>
  <c r="S253" i="37"/>
  <c r="U253" i="37"/>
  <c r="Y253" i="37"/>
  <c r="AA253" i="37"/>
  <c r="AE253" i="37"/>
  <c r="AB253" i="37"/>
  <c r="T253" i="37"/>
  <c r="V253" i="37"/>
  <c r="Z253" i="37"/>
  <c r="AC253" i="37"/>
  <c r="AF253" i="37"/>
  <c r="S254" i="37"/>
  <c r="U254" i="37"/>
  <c r="Y254" i="37"/>
  <c r="AA254" i="37"/>
  <c r="AE254" i="37"/>
  <c r="AB254" i="37"/>
  <c r="T254" i="37"/>
  <c r="V254" i="37"/>
  <c r="Z254" i="37"/>
  <c r="AC254" i="37"/>
  <c r="AF254" i="37"/>
  <c r="S255" i="37"/>
  <c r="U255" i="37"/>
  <c r="Y255" i="37"/>
  <c r="AA255" i="37"/>
  <c r="AE255" i="37"/>
  <c r="AB255" i="37"/>
  <c r="T255" i="37"/>
  <c r="V255" i="37"/>
  <c r="Z255" i="37"/>
  <c r="AC255" i="37"/>
  <c r="AF255" i="37"/>
  <c r="S256" i="37"/>
  <c r="U256" i="37"/>
  <c r="Y256" i="37"/>
  <c r="AA256" i="37"/>
  <c r="AE256" i="37"/>
  <c r="AB256" i="37"/>
  <c r="T256" i="37"/>
  <c r="V256" i="37"/>
  <c r="Z256" i="37"/>
  <c r="AC256" i="37"/>
  <c r="AF256" i="37"/>
  <c r="S257" i="37"/>
  <c r="U257" i="37"/>
  <c r="Y257" i="37"/>
  <c r="AA257" i="37"/>
  <c r="AE257" i="37"/>
  <c r="AB257" i="37"/>
  <c r="T257" i="37"/>
  <c r="V257" i="37"/>
  <c r="Z257" i="37"/>
  <c r="AC257" i="37"/>
  <c r="AF257" i="37"/>
  <c r="S258" i="37"/>
  <c r="U258" i="37"/>
  <c r="Y258" i="37"/>
  <c r="AA258" i="37"/>
  <c r="AE258" i="37"/>
  <c r="AB258" i="37"/>
  <c r="T258" i="37"/>
  <c r="V258" i="37"/>
  <c r="Z258" i="37"/>
  <c r="AC258" i="37"/>
  <c r="AF258" i="37"/>
  <c r="S259" i="37"/>
  <c r="U259" i="37"/>
  <c r="Y259" i="37"/>
  <c r="AA259" i="37"/>
  <c r="AE259" i="37"/>
  <c r="AB259" i="37"/>
  <c r="T259" i="37"/>
  <c r="V259" i="37"/>
  <c r="Z259" i="37"/>
  <c r="AC259" i="37"/>
  <c r="AF259" i="37"/>
  <c r="S260" i="37"/>
  <c r="U260" i="37"/>
  <c r="Y260" i="37"/>
  <c r="AA260" i="37"/>
  <c r="AE260" i="37"/>
  <c r="AB260" i="37"/>
  <c r="T260" i="37"/>
  <c r="V260" i="37"/>
  <c r="Z260" i="37"/>
  <c r="AC260" i="37"/>
  <c r="AF260" i="37"/>
  <c r="S261" i="37"/>
  <c r="U261" i="37"/>
  <c r="Y261" i="37"/>
  <c r="AA261" i="37"/>
  <c r="AE261" i="37"/>
  <c r="AB261" i="37"/>
  <c r="T261" i="37"/>
  <c r="V261" i="37"/>
  <c r="Z261" i="37"/>
  <c r="AC261" i="37"/>
  <c r="AF261" i="37"/>
  <c r="S262" i="37"/>
  <c r="U262" i="37"/>
  <c r="Y262" i="37"/>
  <c r="AA262" i="37"/>
  <c r="AE262" i="37"/>
  <c r="AB262" i="37"/>
  <c r="T262" i="37"/>
  <c r="V262" i="37"/>
  <c r="Z262" i="37"/>
  <c r="AC262" i="37"/>
  <c r="AF262" i="37"/>
  <c r="S263" i="37"/>
  <c r="U263" i="37"/>
  <c r="Y263" i="37"/>
  <c r="AA263" i="37"/>
  <c r="AE263" i="37"/>
  <c r="AB263" i="37"/>
  <c r="T263" i="37"/>
  <c r="V263" i="37"/>
  <c r="Z263" i="37"/>
  <c r="AC263" i="37"/>
  <c r="AF263" i="37"/>
  <c r="S264" i="37"/>
  <c r="U264" i="37"/>
  <c r="Y264" i="37"/>
  <c r="AA264" i="37"/>
  <c r="AE264" i="37"/>
  <c r="AB264" i="37"/>
  <c r="T264" i="37"/>
  <c r="V264" i="37"/>
  <c r="Z264" i="37"/>
  <c r="AC264" i="37"/>
  <c r="AF264" i="37"/>
  <c r="S265" i="37"/>
  <c r="U265" i="37"/>
  <c r="Y265" i="37"/>
  <c r="AA265" i="37"/>
  <c r="AE265" i="37"/>
  <c r="AB265" i="37"/>
  <c r="T265" i="37"/>
  <c r="V265" i="37"/>
  <c r="Z265" i="37"/>
  <c r="AC265" i="37"/>
  <c r="AF265" i="37"/>
  <c r="S266" i="37"/>
  <c r="U266" i="37"/>
  <c r="Y266" i="37"/>
  <c r="AA266" i="37"/>
  <c r="AE266" i="37"/>
  <c r="AB266" i="37"/>
  <c r="T266" i="37"/>
  <c r="V266" i="37"/>
  <c r="Z266" i="37"/>
  <c r="AC266" i="37"/>
  <c r="AF266" i="37"/>
  <c r="S267" i="37"/>
  <c r="U267" i="37"/>
  <c r="Y267" i="37"/>
  <c r="AA267" i="37"/>
  <c r="AE267" i="37"/>
  <c r="AB267" i="37"/>
  <c r="T267" i="37"/>
  <c r="V267" i="37"/>
  <c r="Z267" i="37"/>
  <c r="AC267" i="37"/>
  <c r="AF267" i="37"/>
  <c r="S268" i="37"/>
  <c r="U268" i="37"/>
  <c r="Y268" i="37"/>
  <c r="AA268" i="37"/>
  <c r="AE268" i="37"/>
  <c r="AB268" i="37"/>
  <c r="T268" i="37"/>
  <c r="V268" i="37"/>
  <c r="Z268" i="37"/>
  <c r="AC268" i="37"/>
  <c r="AF268" i="37"/>
  <c r="S269" i="37"/>
  <c r="U269" i="37"/>
  <c r="Y269" i="37"/>
  <c r="AA269" i="37"/>
  <c r="AE269" i="37"/>
  <c r="AB269" i="37"/>
  <c r="T269" i="37"/>
  <c r="V269" i="37"/>
  <c r="Z269" i="37"/>
  <c r="AC269" i="37"/>
  <c r="AF269" i="37"/>
  <c r="S270" i="37"/>
  <c r="U270" i="37"/>
  <c r="Y270" i="37"/>
  <c r="AA270" i="37"/>
  <c r="AE270" i="37"/>
  <c r="AB270" i="37"/>
  <c r="T270" i="37"/>
  <c r="V270" i="37"/>
  <c r="Z270" i="37"/>
  <c r="AC270" i="37"/>
  <c r="AF270" i="37"/>
  <c r="S271" i="37"/>
  <c r="U271" i="37"/>
  <c r="Y271" i="37"/>
  <c r="AA271" i="37"/>
  <c r="AE271" i="37"/>
  <c r="AB271" i="37"/>
  <c r="T271" i="37"/>
  <c r="V271" i="37"/>
  <c r="Z271" i="37"/>
  <c r="AC271" i="37"/>
  <c r="AF271" i="37"/>
  <c r="S272" i="37"/>
  <c r="U272" i="37"/>
  <c r="Y272" i="37"/>
  <c r="AA272" i="37"/>
  <c r="AE272" i="37"/>
  <c r="AB272" i="37"/>
  <c r="T272" i="37"/>
  <c r="V272" i="37"/>
  <c r="Z272" i="37"/>
  <c r="AC272" i="37"/>
  <c r="AF272" i="37"/>
  <c r="S273" i="37"/>
  <c r="U273" i="37"/>
  <c r="Y273" i="37"/>
  <c r="AA273" i="37"/>
  <c r="AE273" i="37"/>
  <c r="AB273" i="37"/>
  <c r="T273" i="37"/>
  <c r="V273" i="37"/>
  <c r="Z273" i="37"/>
  <c r="AC273" i="37"/>
  <c r="AF273" i="37"/>
  <c r="S274" i="37"/>
  <c r="U274" i="37"/>
  <c r="Y274" i="37"/>
  <c r="AA274" i="37"/>
  <c r="AE274" i="37"/>
  <c r="AB274" i="37"/>
  <c r="T274" i="37"/>
  <c r="V274" i="37"/>
  <c r="Z274" i="37"/>
  <c r="AC274" i="37"/>
  <c r="AF274" i="37"/>
  <c r="S275" i="37"/>
  <c r="U275" i="37"/>
  <c r="Y275" i="37"/>
  <c r="AA275" i="37"/>
  <c r="AE275" i="37"/>
  <c r="AB275" i="37"/>
  <c r="T275" i="37"/>
  <c r="V275" i="37"/>
  <c r="Z275" i="37"/>
  <c r="AC275" i="37"/>
  <c r="AF275" i="37"/>
  <c r="S276" i="37"/>
  <c r="U276" i="37"/>
  <c r="Y276" i="37"/>
  <c r="AA276" i="37"/>
  <c r="AE276" i="37"/>
  <c r="AB276" i="37"/>
  <c r="T276" i="37"/>
  <c r="V276" i="37"/>
  <c r="Z276" i="37"/>
  <c r="AC276" i="37"/>
  <c r="AF276" i="37"/>
  <c r="S277" i="37"/>
  <c r="U277" i="37"/>
  <c r="Y277" i="37"/>
  <c r="AA277" i="37"/>
  <c r="AE277" i="37"/>
  <c r="AB277" i="37"/>
  <c r="T277" i="37"/>
  <c r="V277" i="37"/>
  <c r="Z277" i="37"/>
  <c r="AC277" i="37"/>
  <c r="AF277" i="37"/>
  <c r="S278" i="37"/>
  <c r="U278" i="37"/>
  <c r="Y278" i="37"/>
  <c r="AA278" i="37"/>
  <c r="AE278" i="37"/>
  <c r="AB278" i="37"/>
  <c r="T278" i="37"/>
  <c r="V278" i="37"/>
  <c r="Z278" i="37"/>
  <c r="AC278" i="37"/>
  <c r="AF278" i="37"/>
  <c r="S279" i="37"/>
  <c r="U279" i="37"/>
  <c r="Y279" i="37"/>
  <c r="AA279" i="37"/>
  <c r="AE279" i="37"/>
  <c r="AB279" i="37"/>
  <c r="T279" i="37"/>
  <c r="V279" i="37"/>
  <c r="Z279" i="37"/>
  <c r="AC279" i="37"/>
  <c r="AF279" i="37"/>
  <c r="S280" i="37"/>
  <c r="U280" i="37"/>
  <c r="Y280" i="37"/>
  <c r="AA280" i="37"/>
  <c r="AE280" i="37"/>
  <c r="AB280" i="37"/>
  <c r="T280" i="37"/>
  <c r="V280" i="37"/>
  <c r="Z280" i="37"/>
  <c r="AC280" i="37"/>
  <c r="AF280" i="37"/>
  <c r="S281" i="37"/>
  <c r="U281" i="37"/>
  <c r="Y281" i="37"/>
  <c r="AA281" i="37"/>
  <c r="AE281" i="37"/>
  <c r="AB281" i="37"/>
  <c r="T281" i="37"/>
  <c r="V281" i="37"/>
  <c r="Z281" i="37"/>
  <c r="AC281" i="37"/>
  <c r="AF281" i="37"/>
  <c r="S282" i="37"/>
  <c r="U282" i="37"/>
  <c r="Y282" i="37"/>
  <c r="AA282" i="37"/>
  <c r="AE282" i="37"/>
  <c r="AB282" i="37"/>
  <c r="T282" i="37"/>
  <c r="V282" i="37"/>
  <c r="Z282" i="37"/>
  <c r="AC282" i="37"/>
  <c r="AF282" i="37"/>
  <c r="S283" i="37"/>
  <c r="U283" i="37"/>
  <c r="Y283" i="37"/>
  <c r="AA283" i="37"/>
  <c r="AE283" i="37"/>
  <c r="AB283" i="37"/>
  <c r="T283" i="37"/>
  <c r="V283" i="37"/>
  <c r="Z283" i="37"/>
  <c r="AC283" i="37"/>
  <c r="AF283" i="37"/>
  <c r="S284" i="37"/>
  <c r="U284" i="37"/>
  <c r="Y284" i="37"/>
  <c r="AA284" i="37"/>
  <c r="AE284" i="37"/>
  <c r="AB284" i="37"/>
  <c r="T284" i="37"/>
  <c r="V284" i="37"/>
  <c r="Z284" i="37"/>
  <c r="AC284" i="37"/>
  <c r="AF284" i="37"/>
  <c r="S285" i="37"/>
  <c r="U285" i="37"/>
  <c r="Y285" i="37"/>
  <c r="AA285" i="37"/>
  <c r="AE285" i="37"/>
  <c r="AB285" i="37"/>
  <c r="T285" i="37"/>
  <c r="V285" i="37"/>
  <c r="Z285" i="37"/>
  <c r="AC285" i="37"/>
  <c r="AF285" i="37"/>
  <c r="S286" i="37"/>
  <c r="U286" i="37"/>
  <c r="Y286" i="37"/>
  <c r="AA286" i="37"/>
  <c r="AE286" i="37"/>
  <c r="AB286" i="37"/>
  <c r="T286" i="37"/>
  <c r="V286" i="37"/>
  <c r="Z286" i="37"/>
  <c r="AC286" i="37"/>
  <c r="AF286" i="37"/>
  <c r="S287" i="37"/>
  <c r="U287" i="37"/>
  <c r="Y287" i="37"/>
  <c r="AA287" i="37"/>
  <c r="AE287" i="37"/>
  <c r="AB287" i="37"/>
  <c r="T287" i="37"/>
  <c r="V287" i="37"/>
  <c r="Z287" i="37"/>
  <c r="AC287" i="37"/>
  <c r="AF287" i="37"/>
  <c r="S288" i="37"/>
  <c r="U288" i="37"/>
  <c r="Y288" i="37"/>
  <c r="AA288" i="37"/>
  <c r="AE288" i="37"/>
  <c r="AB288" i="37"/>
  <c r="T288" i="37"/>
  <c r="V288" i="37"/>
  <c r="Z288" i="37"/>
  <c r="AC288" i="37"/>
  <c r="AF288" i="37"/>
  <c r="S289" i="37"/>
  <c r="U289" i="37"/>
  <c r="Y289" i="37"/>
  <c r="AA289" i="37"/>
  <c r="AE289" i="37"/>
  <c r="AB289" i="37"/>
  <c r="T289" i="37"/>
  <c r="V289" i="37"/>
  <c r="Z289" i="37"/>
  <c r="AC289" i="37"/>
  <c r="AF289" i="37"/>
  <c r="S290" i="37"/>
  <c r="U290" i="37"/>
  <c r="Y290" i="37"/>
  <c r="AA290" i="37"/>
  <c r="AE290" i="37"/>
  <c r="AB290" i="37"/>
  <c r="T290" i="37"/>
  <c r="V290" i="37"/>
  <c r="Z290" i="37"/>
  <c r="AC290" i="37"/>
  <c r="AF290" i="37"/>
  <c r="S291" i="37"/>
  <c r="U291" i="37"/>
  <c r="Y291" i="37"/>
  <c r="AA291" i="37"/>
  <c r="AE291" i="37"/>
  <c r="AB291" i="37"/>
  <c r="T291" i="37"/>
  <c r="V291" i="37"/>
  <c r="Z291" i="37"/>
  <c r="AC291" i="37"/>
  <c r="AF291" i="37"/>
  <c r="S292" i="37"/>
  <c r="U292" i="37"/>
  <c r="Y292" i="37"/>
  <c r="AA292" i="37"/>
  <c r="AE292" i="37"/>
  <c r="AB292" i="37"/>
  <c r="T292" i="37"/>
  <c r="V292" i="37"/>
  <c r="Z292" i="37"/>
  <c r="AC292" i="37"/>
  <c r="AF292" i="37"/>
  <c r="S293" i="37"/>
  <c r="U293" i="37"/>
  <c r="Y293" i="37"/>
  <c r="AA293" i="37"/>
  <c r="AE293" i="37"/>
  <c r="AB293" i="37"/>
  <c r="T293" i="37"/>
  <c r="V293" i="37"/>
  <c r="Z293" i="37"/>
  <c r="AC293" i="37"/>
  <c r="AF293" i="37"/>
  <c r="S294" i="37"/>
  <c r="U294" i="37"/>
  <c r="Y294" i="37"/>
  <c r="AA294" i="37"/>
  <c r="AE294" i="37"/>
  <c r="AB294" i="37"/>
  <c r="T294" i="37"/>
  <c r="V294" i="37"/>
  <c r="Z294" i="37"/>
  <c r="AC294" i="37"/>
  <c r="AF294" i="37"/>
  <c r="S295" i="37"/>
  <c r="U295" i="37"/>
  <c r="Y295" i="37"/>
  <c r="AA295" i="37"/>
  <c r="AE295" i="37"/>
  <c r="AB295" i="37"/>
  <c r="T295" i="37"/>
  <c r="V295" i="37"/>
  <c r="Z295" i="37"/>
  <c r="AC295" i="37"/>
  <c r="AF295" i="37"/>
  <c r="S296" i="37"/>
  <c r="U296" i="37"/>
  <c r="Y296" i="37"/>
  <c r="AA296" i="37"/>
  <c r="AE296" i="37"/>
  <c r="AB296" i="37"/>
  <c r="T296" i="37"/>
  <c r="V296" i="37"/>
  <c r="Z296" i="37"/>
  <c r="AC296" i="37"/>
  <c r="AF296" i="37"/>
  <c r="S297" i="37"/>
  <c r="U297" i="37"/>
  <c r="Y297" i="37"/>
  <c r="AA297" i="37"/>
  <c r="AE297" i="37"/>
  <c r="AB297" i="37"/>
  <c r="T297" i="37"/>
  <c r="V297" i="37"/>
  <c r="Z297" i="37"/>
  <c r="AC297" i="37"/>
  <c r="AF297" i="37"/>
  <c r="S298" i="37"/>
  <c r="U298" i="37"/>
  <c r="Y298" i="37"/>
  <c r="AA298" i="37"/>
  <c r="AE298" i="37"/>
  <c r="AB298" i="37"/>
  <c r="T298" i="37"/>
  <c r="V298" i="37"/>
  <c r="Z298" i="37"/>
  <c r="AC298" i="37"/>
  <c r="AF298" i="37"/>
  <c r="S299" i="37"/>
  <c r="U299" i="37"/>
  <c r="Y299" i="37"/>
  <c r="AA299" i="37"/>
  <c r="AE299" i="37"/>
  <c r="AB299" i="37"/>
  <c r="T299" i="37"/>
  <c r="V299" i="37"/>
  <c r="Z299" i="37"/>
  <c r="AC299" i="37"/>
  <c r="AF299" i="37"/>
  <c r="S300" i="37"/>
  <c r="U300" i="37"/>
  <c r="Y300" i="37"/>
  <c r="AA300" i="37"/>
  <c r="AE300" i="37"/>
  <c r="AB300" i="37"/>
  <c r="T300" i="37"/>
  <c r="V300" i="37"/>
  <c r="Z300" i="37"/>
  <c r="AC300" i="37"/>
  <c r="AF300" i="37"/>
  <c r="S301" i="37"/>
  <c r="U301" i="37"/>
  <c r="Y301" i="37"/>
  <c r="AA301" i="37"/>
  <c r="AE301" i="37"/>
  <c r="AB301" i="37"/>
  <c r="T301" i="37"/>
  <c r="V301" i="37"/>
  <c r="Z301" i="37"/>
  <c r="AC301" i="37"/>
  <c r="AF301" i="37"/>
  <c r="S302" i="37"/>
  <c r="U302" i="37"/>
  <c r="Y302" i="37"/>
  <c r="AA302" i="37"/>
  <c r="AE302" i="37"/>
  <c r="AB302" i="37"/>
  <c r="T302" i="37"/>
  <c r="V302" i="37"/>
  <c r="Z302" i="37"/>
  <c r="AC302" i="37"/>
  <c r="AF302" i="37"/>
  <c r="S303" i="37"/>
  <c r="U303" i="37"/>
  <c r="Y303" i="37"/>
  <c r="AA303" i="37"/>
  <c r="AE303" i="37"/>
  <c r="AB303" i="37"/>
  <c r="T303" i="37"/>
  <c r="V303" i="37"/>
  <c r="Z303" i="37"/>
  <c r="AC303" i="37"/>
  <c r="AF303" i="37"/>
  <c r="S304" i="37"/>
  <c r="U304" i="37"/>
  <c r="Y304" i="37"/>
  <c r="AA304" i="37"/>
  <c r="AE304" i="37"/>
  <c r="AB304" i="37"/>
  <c r="T304" i="37"/>
  <c r="V304" i="37"/>
  <c r="Z304" i="37"/>
  <c r="AC304" i="37"/>
  <c r="AF304" i="37"/>
  <c r="S305" i="37"/>
  <c r="U305" i="37"/>
  <c r="Y305" i="37"/>
  <c r="AA305" i="37"/>
  <c r="AE305" i="37"/>
  <c r="AB305" i="37"/>
  <c r="T305" i="37"/>
  <c r="V305" i="37"/>
  <c r="Z305" i="37"/>
  <c r="AC305" i="37"/>
  <c r="AF305" i="37"/>
  <c r="S306" i="37"/>
  <c r="U306" i="37"/>
  <c r="Y306" i="37"/>
  <c r="AA306" i="37"/>
  <c r="AE306" i="37"/>
  <c r="AB306" i="37"/>
  <c r="T306" i="37"/>
  <c r="V306" i="37"/>
  <c r="Z306" i="37"/>
  <c r="AC306" i="37"/>
  <c r="AF306" i="37"/>
  <c r="S307" i="37"/>
  <c r="U307" i="37"/>
  <c r="Y307" i="37"/>
  <c r="AA307" i="37"/>
  <c r="AE307" i="37"/>
  <c r="AB307" i="37"/>
  <c r="T307" i="37"/>
  <c r="V307" i="37"/>
  <c r="Z307" i="37"/>
  <c r="AC307" i="37"/>
  <c r="AF307" i="37"/>
  <c r="S308" i="37"/>
  <c r="U308" i="37"/>
  <c r="Y308" i="37"/>
  <c r="AA308" i="37"/>
  <c r="AE308" i="37"/>
  <c r="AB308" i="37"/>
  <c r="T308" i="37"/>
  <c r="V308" i="37"/>
  <c r="Z308" i="37"/>
  <c r="AC308" i="37"/>
  <c r="AF308" i="37"/>
  <c r="S309" i="37"/>
  <c r="U309" i="37"/>
  <c r="Y309" i="37"/>
  <c r="AA309" i="37"/>
  <c r="AE309" i="37"/>
  <c r="AB309" i="37"/>
  <c r="T309" i="37"/>
  <c r="V309" i="37"/>
  <c r="Z309" i="37"/>
  <c r="AC309" i="37"/>
  <c r="AF309" i="37"/>
  <c r="S310" i="37"/>
  <c r="U310" i="37"/>
  <c r="Y310" i="37"/>
  <c r="AA310" i="37"/>
  <c r="AE310" i="37"/>
  <c r="AB310" i="37"/>
  <c r="T310" i="37"/>
  <c r="V310" i="37"/>
  <c r="Z310" i="37"/>
  <c r="AC310" i="37"/>
  <c r="AF310" i="37"/>
  <c r="S311" i="37"/>
  <c r="U311" i="37"/>
  <c r="Y311" i="37"/>
  <c r="AA311" i="37"/>
  <c r="AE311" i="37"/>
  <c r="AB311" i="37"/>
  <c r="T311" i="37"/>
  <c r="V311" i="37"/>
  <c r="Z311" i="37"/>
  <c r="AC311" i="37"/>
  <c r="AF311" i="37"/>
  <c r="S312" i="37"/>
  <c r="U312" i="37"/>
  <c r="Y312" i="37"/>
  <c r="AA312" i="37"/>
  <c r="AE312" i="37"/>
  <c r="AB312" i="37"/>
  <c r="T312" i="37"/>
  <c r="V312" i="37"/>
  <c r="Z312" i="37"/>
  <c r="AC312" i="37"/>
  <c r="AF312" i="37"/>
  <c r="S313" i="37"/>
  <c r="U313" i="37"/>
  <c r="Y313" i="37"/>
  <c r="AA313" i="37"/>
  <c r="AE313" i="37"/>
  <c r="AB313" i="37"/>
  <c r="T313" i="37"/>
  <c r="V313" i="37"/>
  <c r="Z313" i="37"/>
  <c r="AC313" i="37"/>
  <c r="AF313" i="37"/>
  <c r="S314" i="37"/>
  <c r="U314" i="37"/>
  <c r="Y314" i="37"/>
  <c r="AA314" i="37"/>
  <c r="AE314" i="37"/>
  <c r="AB314" i="37"/>
  <c r="T314" i="37"/>
  <c r="V314" i="37"/>
  <c r="Z314" i="37"/>
  <c r="AC314" i="37"/>
  <c r="AF314" i="37"/>
  <c r="S315" i="37"/>
  <c r="U315" i="37"/>
  <c r="Y315" i="37"/>
  <c r="AA315" i="37"/>
  <c r="AE315" i="37"/>
  <c r="AB315" i="37"/>
  <c r="T315" i="37"/>
  <c r="V315" i="37"/>
  <c r="Z315" i="37"/>
  <c r="AC315" i="37"/>
  <c r="AF315" i="37"/>
  <c r="S316" i="37"/>
  <c r="U316" i="37"/>
  <c r="Y316" i="37"/>
  <c r="AA316" i="37"/>
  <c r="AE316" i="37"/>
  <c r="AB316" i="37"/>
  <c r="T316" i="37"/>
  <c r="V316" i="37"/>
  <c r="Z316" i="37"/>
  <c r="AC316" i="37"/>
  <c r="AF316" i="37"/>
  <c r="S317" i="37"/>
  <c r="U317" i="37"/>
  <c r="Y317" i="37"/>
  <c r="AA317" i="37"/>
  <c r="AE317" i="37"/>
  <c r="AB317" i="37"/>
  <c r="T317" i="37"/>
  <c r="V317" i="37"/>
  <c r="Z317" i="37"/>
  <c r="AC317" i="37"/>
  <c r="AF317" i="37"/>
  <c r="S318" i="37"/>
  <c r="U318" i="37"/>
  <c r="Y318" i="37"/>
  <c r="AA318" i="37"/>
  <c r="AE318" i="37"/>
  <c r="AB318" i="37"/>
  <c r="T318" i="37"/>
  <c r="V318" i="37"/>
  <c r="Z318" i="37"/>
  <c r="AC318" i="37"/>
  <c r="AF318" i="37"/>
  <c r="S319" i="37"/>
  <c r="U319" i="37"/>
  <c r="Y319" i="37"/>
  <c r="AA319" i="37"/>
  <c r="AE319" i="37"/>
  <c r="AB319" i="37"/>
  <c r="T319" i="37"/>
  <c r="V319" i="37"/>
  <c r="Z319" i="37"/>
  <c r="AC319" i="37"/>
  <c r="AF319" i="37"/>
  <c r="S320" i="37"/>
  <c r="U320" i="37"/>
  <c r="Y320" i="37"/>
  <c r="AA320" i="37"/>
  <c r="AE320" i="37"/>
  <c r="AB320" i="37"/>
  <c r="T320" i="37"/>
  <c r="V320" i="37"/>
  <c r="Z320" i="37"/>
  <c r="AC320" i="37"/>
  <c r="AF320" i="37"/>
  <c r="S321" i="37"/>
  <c r="U321" i="37"/>
  <c r="Y321" i="37"/>
  <c r="AA321" i="37"/>
  <c r="AE321" i="37"/>
  <c r="AB321" i="37"/>
  <c r="T321" i="37"/>
  <c r="V321" i="37"/>
  <c r="Z321" i="37"/>
  <c r="AC321" i="37"/>
  <c r="AF321" i="37"/>
  <c r="S322" i="37"/>
  <c r="U322" i="37"/>
  <c r="Y322" i="37"/>
  <c r="AA322" i="37"/>
  <c r="AE322" i="37"/>
  <c r="AB322" i="37"/>
  <c r="T322" i="37"/>
  <c r="V322" i="37"/>
  <c r="Z322" i="37"/>
  <c r="AC322" i="37"/>
  <c r="AF322" i="37"/>
  <c r="S323" i="37"/>
  <c r="U323" i="37"/>
  <c r="Y323" i="37"/>
  <c r="AA323" i="37"/>
  <c r="AE323" i="37"/>
  <c r="AB323" i="37"/>
  <c r="T323" i="37"/>
  <c r="V323" i="37"/>
  <c r="Z323" i="37"/>
  <c r="AC323" i="37"/>
  <c r="AF323" i="37"/>
  <c r="S324" i="37"/>
  <c r="U324" i="37"/>
  <c r="Y324" i="37"/>
  <c r="AA324" i="37"/>
  <c r="AE324" i="37"/>
  <c r="AB324" i="37"/>
  <c r="T324" i="37"/>
  <c r="V324" i="37"/>
  <c r="Z324" i="37"/>
  <c r="AC324" i="37"/>
  <c r="AF324" i="37"/>
  <c r="S325" i="37"/>
  <c r="U325" i="37"/>
  <c r="Y325" i="37"/>
  <c r="AA325" i="37"/>
  <c r="AE325" i="37"/>
  <c r="AB325" i="37"/>
  <c r="T325" i="37"/>
  <c r="V325" i="37"/>
  <c r="Z325" i="37"/>
  <c r="AC325" i="37"/>
  <c r="AF325" i="37"/>
  <c r="S326" i="37"/>
  <c r="U326" i="37"/>
  <c r="Y326" i="37"/>
  <c r="AA326" i="37"/>
  <c r="AE326" i="37"/>
  <c r="AB326" i="37"/>
  <c r="T326" i="37"/>
  <c r="V326" i="37"/>
  <c r="Z326" i="37"/>
  <c r="AC326" i="37"/>
  <c r="AF326" i="37"/>
  <c r="S327" i="37"/>
  <c r="U327" i="37"/>
  <c r="Y327" i="37"/>
  <c r="AA327" i="37"/>
  <c r="AE327" i="37"/>
  <c r="AB327" i="37"/>
  <c r="T327" i="37"/>
  <c r="V327" i="37"/>
  <c r="Z327" i="37"/>
  <c r="AC327" i="37"/>
  <c r="AF327" i="37"/>
  <c r="S328" i="37"/>
  <c r="U328" i="37"/>
  <c r="Y328" i="37"/>
  <c r="AA328" i="37"/>
  <c r="AE328" i="37"/>
  <c r="AB328" i="37"/>
  <c r="T328" i="37"/>
  <c r="V328" i="37"/>
  <c r="Z328" i="37"/>
  <c r="AC328" i="37"/>
  <c r="AF328" i="37"/>
  <c r="S329" i="37"/>
  <c r="U329" i="37"/>
  <c r="Y329" i="37"/>
  <c r="AA329" i="37"/>
  <c r="AE329" i="37"/>
  <c r="AB329" i="37"/>
  <c r="T329" i="37"/>
  <c r="V329" i="37"/>
  <c r="Z329" i="37"/>
  <c r="AC329" i="37"/>
  <c r="AF329" i="37"/>
  <c r="S330" i="37"/>
  <c r="U330" i="37"/>
  <c r="Y330" i="37"/>
  <c r="AA330" i="37"/>
  <c r="AE330" i="37"/>
  <c r="AB330" i="37"/>
  <c r="T330" i="37"/>
  <c r="V330" i="37"/>
  <c r="Z330" i="37"/>
  <c r="AC330" i="37"/>
  <c r="AF330" i="37"/>
  <c r="S331" i="37"/>
  <c r="U331" i="37"/>
  <c r="Y331" i="37"/>
  <c r="AA331" i="37"/>
  <c r="AE331" i="37"/>
  <c r="AB331" i="37"/>
  <c r="T331" i="37"/>
  <c r="V331" i="37"/>
  <c r="Z331" i="37"/>
  <c r="AC331" i="37"/>
  <c r="AF331" i="37"/>
  <c r="S332" i="37"/>
  <c r="U332" i="37"/>
  <c r="Y332" i="37"/>
  <c r="AA332" i="37"/>
  <c r="AE332" i="37"/>
  <c r="AB332" i="37"/>
  <c r="T332" i="37"/>
  <c r="V332" i="37"/>
  <c r="Z332" i="37"/>
  <c r="AC332" i="37"/>
  <c r="AF332" i="37"/>
  <c r="S333" i="37"/>
  <c r="U333" i="37"/>
  <c r="Y333" i="37"/>
  <c r="AA333" i="37"/>
  <c r="AE333" i="37"/>
  <c r="AB333" i="37"/>
  <c r="T333" i="37"/>
  <c r="V333" i="37"/>
  <c r="Z333" i="37"/>
  <c r="AC333" i="37"/>
  <c r="AF333" i="37"/>
  <c r="S334" i="37"/>
  <c r="U334" i="37"/>
  <c r="Y334" i="37"/>
  <c r="AA334" i="37"/>
  <c r="AE334" i="37"/>
  <c r="AB334" i="37"/>
  <c r="T334" i="37"/>
  <c r="V334" i="37"/>
  <c r="Z334" i="37"/>
  <c r="AC334" i="37"/>
  <c r="AF334" i="37"/>
  <c r="S335" i="37"/>
  <c r="U335" i="37"/>
  <c r="Y335" i="37"/>
  <c r="AA335" i="37"/>
  <c r="AE335" i="37"/>
  <c r="AB335" i="37"/>
  <c r="T335" i="37"/>
  <c r="V335" i="37"/>
  <c r="Z335" i="37"/>
  <c r="AC335" i="37"/>
  <c r="AF335" i="37"/>
  <c r="S336" i="37"/>
  <c r="U336" i="37"/>
  <c r="Y336" i="37"/>
  <c r="AA336" i="37"/>
  <c r="AE336" i="37"/>
  <c r="AB336" i="37"/>
  <c r="T336" i="37"/>
  <c r="V336" i="37"/>
  <c r="Z336" i="37"/>
  <c r="AC336" i="37"/>
  <c r="AF336" i="37"/>
  <c r="S337" i="37"/>
  <c r="U337" i="37"/>
  <c r="Y337" i="37"/>
  <c r="AA337" i="37"/>
  <c r="AE337" i="37"/>
  <c r="AB337" i="37"/>
  <c r="T337" i="37"/>
  <c r="V337" i="37"/>
  <c r="Z337" i="37"/>
  <c r="AC337" i="37"/>
  <c r="AF337" i="37"/>
  <c r="S338" i="37"/>
  <c r="U338" i="37"/>
  <c r="Y338" i="37"/>
  <c r="AA338" i="37"/>
  <c r="AE338" i="37"/>
  <c r="AB338" i="37"/>
  <c r="T338" i="37"/>
  <c r="V338" i="37"/>
  <c r="Z338" i="37"/>
  <c r="AC338" i="37"/>
  <c r="AF338" i="37"/>
  <c r="S339" i="37"/>
  <c r="U339" i="37"/>
  <c r="Y339" i="37"/>
  <c r="AA339" i="37"/>
  <c r="AE339" i="37"/>
  <c r="AB339" i="37"/>
  <c r="T339" i="37"/>
  <c r="V339" i="37"/>
  <c r="Z339" i="37"/>
  <c r="AC339" i="37"/>
  <c r="AF339" i="37"/>
  <c r="S340" i="37"/>
  <c r="U340" i="37"/>
  <c r="Y340" i="37"/>
  <c r="AA340" i="37"/>
  <c r="AE340" i="37"/>
  <c r="AB340" i="37"/>
  <c r="T340" i="37"/>
  <c r="V340" i="37"/>
  <c r="Z340" i="37"/>
  <c r="AC340" i="37"/>
  <c r="AF340" i="37"/>
  <c r="S341" i="37"/>
  <c r="U341" i="37"/>
  <c r="Y341" i="37"/>
  <c r="AA341" i="37"/>
  <c r="AE341" i="37"/>
  <c r="AB341" i="37"/>
  <c r="T341" i="37"/>
  <c r="V341" i="37"/>
  <c r="Z341" i="37"/>
  <c r="AC341" i="37"/>
  <c r="AF341" i="37"/>
  <c r="S342" i="37"/>
  <c r="U342" i="37"/>
  <c r="Y342" i="37"/>
  <c r="AA342" i="37"/>
  <c r="AE342" i="37"/>
  <c r="AB342" i="37"/>
  <c r="T342" i="37"/>
  <c r="V342" i="37"/>
  <c r="Z342" i="37"/>
  <c r="AC342" i="37"/>
  <c r="AF342" i="37"/>
  <c r="S343" i="37"/>
  <c r="U343" i="37"/>
  <c r="Y343" i="37"/>
  <c r="AA343" i="37"/>
  <c r="AE343" i="37"/>
  <c r="AB343" i="37"/>
  <c r="T343" i="37"/>
  <c r="V343" i="37"/>
  <c r="Z343" i="37"/>
  <c r="AC343" i="37"/>
  <c r="AF343" i="37"/>
  <c r="S344" i="37"/>
  <c r="U344" i="37"/>
  <c r="Y344" i="37"/>
  <c r="AA344" i="37"/>
  <c r="AE344" i="37"/>
  <c r="AB344" i="37"/>
  <c r="T344" i="37"/>
  <c r="V344" i="37"/>
  <c r="Z344" i="37"/>
  <c r="AC344" i="37"/>
  <c r="AF344" i="37"/>
  <c r="S345" i="37"/>
  <c r="U345" i="37"/>
  <c r="Y345" i="37"/>
  <c r="AA345" i="37"/>
  <c r="AE345" i="37"/>
  <c r="AB345" i="37"/>
  <c r="T345" i="37"/>
  <c r="V345" i="37"/>
  <c r="Z345" i="37"/>
  <c r="AC345" i="37"/>
  <c r="AF345" i="37"/>
  <c r="S346" i="37"/>
  <c r="U346" i="37"/>
  <c r="Y346" i="37"/>
  <c r="AA346" i="37"/>
  <c r="AE346" i="37"/>
  <c r="AB346" i="37"/>
  <c r="T346" i="37"/>
  <c r="V346" i="37"/>
  <c r="Z346" i="37"/>
  <c r="AC346" i="37"/>
  <c r="AF346" i="37"/>
  <c r="S347" i="37"/>
  <c r="U347" i="37"/>
  <c r="Y347" i="37"/>
  <c r="AA347" i="37"/>
  <c r="AE347" i="37"/>
  <c r="AB347" i="37"/>
  <c r="T347" i="37"/>
  <c r="V347" i="37"/>
  <c r="Z347" i="37"/>
  <c r="AC347" i="37"/>
  <c r="AF347" i="37"/>
  <c r="S348" i="37"/>
  <c r="U348" i="37"/>
  <c r="Y348" i="37"/>
  <c r="AA348" i="37"/>
  <c r="AE348" i="37"/>
  <c r="AB348" i="37"/>
  <c r="T348" i="37"/>
  <c r="V348" i="37"/>
  <c r="Z348" i="37"/>
  <c r="AC348" i="37"/>
  <c r="AF348" i="37"/>
  <c r="S349" i="37"/>
  <c r="U349" i="37"/>
  <c r="Y349" i="37"/>
  <c r="AA349" i="37"/>
  <c r="AE349" i="37"/>
  <c r="AB349" i="37"/>
  <c r="T349" i="37"/>
  <c r="V349" i="37"/>
  <c r="Z349" i="37"/>
  <c r="AC349" i="37"/>
  <c r="AF349" i="37"/>
  <c r="S350" i="37"/>
  <c r="U350" i="37"/>
  <c r="Y350" i="37"/>
  <c r="AA350" i="37"/>
  <c r="AE350" i="37"/>
  <c r="AB350" i="37"/>
  <c r="T350" i="37"/>
  <c r="V350" i="37"/>
  <c r="Z350" i="37"/>
  <c r="AC350" i="37"/>
  <c r="AF350" i="37"/>
  <c r="S351" i="37"/>
  <c r="U351" i="37"/>
  <c r="Y351" i="37"/>
  <c r="AA351" i="37"/>
  <c r="AE351" i="37"/>
  <c r="AB351" i="37"/>
  <c r="T351" i="37"/>
  <c r="V351" i="37"/>
  <c r="Z351" i="37"/>
  <c r="AC351" i="37"/>
  <c r="AF351" i="37"/>
  <c r="S352" i="37"/>
  <c r="U352" i="37"/>
  <c r="Y352" i="37"/>
  <c r="AA352" i="37"/>
  <c r="AE352" i="37"/>
  <c r="AB352" i="37"/>
  <c r="T352" i="37"/>
  <c r="V352" i="37"/>
  <c r="Z352" i="37"/>
  <c r="AC352" i="37"/>
  <c r="AF352" i="37"/>
  <c r="S353" i="37"/>
  <c r="U353" i="37"/>
  <c r="Y353" i="37"/>
  <c r="AA353" i="37"/>
  <c r="AE353" i="37"/>
  <c r="AB353" i="37"/>
  <c r="T353" i="37"/>
  <c r="V353" i="37"/>
  <c r="Z353" i="37"/>
  <c r="AC353" i="37"/>
  <c r="AF353" i="37"/>
  <c r="S354" i="37"/>
  <c r="U354" i="37"/>
  <c r="Y354" i="37"/>
  <c r="AA354" i="37"/>
  <c r="AE354" i="37"/>
  <c r="AB354" i="37"/>
  <c r="T354" i="37"/>
  <c r="V354" i="37"/>
  <c r="Z354" i="37"/>
  <c r="AC354" i="37"/>
  <c r="AF354" i="37"/>
  <c r="S355" i="37"/>
  <c r="U355" i="37"/>
  <c r="Y355" i="37"/>
  <c r="AA355" i="37"/>
  <c r="AE355" i="37"/>
  <c r="AB355" i="37"/>
  <c r="T355" i="37"/>
  <c r="V355" i="37"/>
  <c r="Z355" i="37"/>
  <c r="AC355" i="37"/>
  <c r="AF355" i="37"/>
  <c r="S356" i="37"/>
  <c r="U356" i="37"/>
  <c r="Y356" i="37"/>
  <c r="AA356" i="37"/>
  <c r="AE356" i="37"/>
  <c r="AB356" i="37"/>
  <c r="T356" i="37"/>
  <c r="V356" i="37"/>
  <c r="Z356" i="37"/>
  <c r="AC356" i="37"/>
  <c r="AF356" i="37"/>
  <c r="S357" i="37"/>
  <c r="U357" i="37"/>
  <c r="Y357" i="37"/>
  <c r="AA357" i="37"/>
  <c r="AE357" i="37"/>
  <c r="AB357" i="37"/>
  <c r="T357" i="37"/>
  <c r="V357" i="37"/>
  <c r="Z357" i="37"/>
  <c r="AC357" i="37"/>
  <c r="AF357" i="37"/>
  <c r="S358" i="37"/>
  <c r="U358" i="37"/>
  <c r="Y358" i="37"/>
  <c r="AA358" i="37"/>
  <c r="AE358" i="37"/>
  <c r="AB358" i="37"/>
  <c r="T358" i="37"/>
  <c r="V358" i="37"/>
  <c r="Z358" i="37"/>
  <c r="AC358" i="37"/>
  <c r="AF358" i="37"/>
  <c r="S359" i="37"/>
  <c r="U359" i="37"/>
  <c r="Y359" i="37"/>
  <c r="AA359" i="37"/>
  <c r="AE359" i="37"/>
  <c r="AB359" i="37"/>
  <c r="T359" i="37"/>
  <c r="V359" i="37"/>
  <c r="Z359" i="37"/>
  <c r="AC359" i="37"/>
  <c r="AF359" i="37"/>
  <c r="S360" i="37"/>
  <c r="U360" i="37"/>
  <c r="Y360" i="37"/>
  <c r="AA360" i="37"/>
  <c r="AE360" i="37"/>
  <c r="AB360" i="37"/>
  <c r="T360" i="37"/>
  <c r="V360" i="37"/>
  <c r="Z360" i="37"/>
  <c r="AC360" i="37"/>
  <c r="AF360" i="37"/>
  <c r="S361" i="37"/>
  <c r="U361" i="37"/>
  <c r="Y361" i="37"/>
  <c r="AA361" i="37"/>
  <c r="AE361" i="37"/>
  <c r="AB361" i="37"/>
  <c r="T361" i="37"/>
  <c r="V361" i="37"/>
  <c r="Z361" i="37"/>
  <c r="AC361" i="37"/>
  <c r="AF361" i="37"/>
  <c r="S362" i="37"/>
  <c r="U362" i="37"/>
  <c r="Y362" i="37"/>
  <c r="AA362" i="37"/>
  <c r="AE362" i="37"/>
  <c r="AB362" i="37"/>
  <c r="T362" i="37"/>
  <c r="V362" i="37"/>
  <c r="Z362" i="37"/>
  <c r="AC362" i="37"/>
  <c r="AF362" i="37"/>
  <c r="S363" i="37"/>
  <c r="U363" i="37"/>
  <c r="Y363" i="37"/>
  <c r="AA363" i="37"/>
  <c r="AE363" i="37"/>
  <c r="AB363" i="37"/>
  <c r="T363" i="37"/>
  <c r="V363" i="37"/>
  <c r="Z363" i="37"/>
  <c r="AC363" i="37"/>
  <c r="AF363" i="37"/>
  <c r="S364" i="37"/>
  <c r="U364" i="37"/>
  <c r="Y364" i="37"/>
  <c r="AA364" i="37"/>
  <c r="AE364" i="37"/>
  <c r="AB364" i="37"/>
  <c r="T364" i="37"/>
  <c r="V364" i="37"/>
  <c r="Z364" i="37"/>
  <c r="AC364" i="37"/>
  <c r="AF364" i="37"/>
  <c r="S365" i="37"/>
  <c r="U365" i="37"/>
  <c r="Y365" i="37"/>
  <c r="AA365" i="37"/>
  <c r="AE365" i="37"/>
  <c r="AB365" i="37"/>
  <c r="T365" i="37"/>
  <c r="V365" i="37"/>
  <c r="Z365" i="37"/>
  <c r="AC365" i="37"/>
  <c r="AF365" i="37"/>
  <c r="S366" i="37"/>
  <c r="U366" i="37"/>
  <c r="Y366" i="37"/>
  <c r="AA366" i="37"/>
  <c r="AE366" i="37"/>
  <c r="AB366" i="37"/>
  <c r="T366" i="37"/>
  <c r="V366" i="37"/>
  <c r="Z366" i="37"/>
  <c r="AC366" i="37"/>
  <c r="AF366" i="37"/>
  <c r="S367" i="37"/>
  <c r="U367" i="37"/>
  <c r="Y367" i="37"/>
  <c r="AA367" i="37"/>
  <c r="AE367" i="37"/>
  <c r="AB367" i="37"/>
  <c r="T367" i="37"/>
  <c r="V367" i="37"/>
  <c r="Z367" i="37"/>
  <c r="AC367" i="37"/>
  <c r="AF367" i="37"/>
  <c r="S368" i="37"/>
  <c r="U368" i="37"/>
  <c r="Y368" i="37"/>
  <c r="AA368" i="37"/>
  <c r="AE368" i="37"/>
  <c r="AB368" i="37"/>
  <c r="T368" i="37"/>
  <c r="V368" i="37"/>
  <c r="Z368" i="37"/>
  <c r="AC368" i="37"/>
  <c r="AF368" i="37"/>
  <c r="S369" i="37"/>
  <c r="U369" i="37"/>
  <c r="Y369" i="37"/>
  <c r="AA369" i="37"/>
  <c r="AE369" i="37"/>
  <c r="AB369" i="37"/>
  <c r="T369" i="37"/>
  <c r="V369" i="37"/>
  <c r="Z369" i="37"/>
  <c r="AC369" i="37"/>
  <c r="AF369" i="37"/>
  <c r="S370" i="37"/>
  <c r="U370" i="37"/>
  <c r="Y370" i="37"/>
  <c r="AA370" i="37"/>
  <c r="AE370" i="37"/>
  <c r="AB370" i="37"/>
  <c r="T370" i="37"/>
  <c r="V370" i="37"/>
  <c r="Z370" i="37"/>
  <c r="AC370" i="37"/>
  <c r="AF370" i="37"/>
  <c r="S371" i="37"/>
  <c r="U371" i="37"/>
  <c r="Y371" i="37"/>
  <c r="AA371" i="37"/>
  <c r="AE371" i="37"/>
  <c r="AB371" i="37"/>
  <c r="T371" i="37"/>
  <c r="V371" i="37"/>
  <c r="Z371" i="37"/>
  <c r="AC371" i="37"/>
  <c r="AF371" i="37"/>
  <c r="S372" i="37"/>
  <c r="U372" i="37"/>
  <c r="Y372" i="37"/>
  <c r="AA372" i="37"/>
  <c r="AE372" i="37"/>
  <c r="AB372" i="37"/>
  <c r="T372" i="37"/>
  <c r="V372" i="37"/>
  <c r="Z372" i="37"/>
  <c r="AC372" i="37"/>
  <c r="AF372" i="37"/>
  <c r="S373" i="37"/>
  <c r="U373" i="37"/>
  <c r="Y373" i="37"/>
  <c r="AA373" i="37"/>
  <c r="AE373" i="37"/>
  <c r="AB373" i="37"/>
  <c r="T373" i="37"/>
  <c r="V373" i="37"/>
  <c r="Z373" i="37"/>
  <c r="AC373" i="37"/>
  <c r="AF373" i="37"/>
  <c r="S374" i="37"/>
  <c r="U374" i="37"/>
  <c r="Y374" i="37"/>
  <c r="AA374" i="37"/>
  <c r="AE374" i="37"/>
  <c r="AB374" i="37"/>
  <c r="T374" i="37"/>
  <c r="V374" i="37"/>
  <c r="Z374" i="37"/>
  <c r="AC374" i="37"/>
  <c r="AF374" i="37"/>
  <c r="S375" i="37"/>
  <c r="U375" i="37"/>
  <c r="Y375" i="37"/>
  <c r="AA375" i="37"/>
  <c r="AE375" i="37"/>
  <c r="AB375" i="37"/>
  <c r="T375" i="37"/>
  <c r="V375" i="37"/>
  <c r="Z375" i="37"/>
  <c r="AC375" i="37"/>
  <c r="AF375" i="37"/>
  <c r="S376" i="37"/>
  <c r="U376" i="37"/>
  <c r="Y376" i="37"/>
  <c r="AA376" i="37"/>
  <c r="AE376" i="37"/>
  <c r="AB376" i="37"/>
  <c r="T376" i="37"/>
  <c r="V376" i="37"/>
  <c r="Z376" i="37"/>
  <c r="AC376" i="37"/>
  <c r="AF376" i="37"/>
  <c r="S377" i="37"/>
  <c r="U377" i="37"/>
  <c r="Y377" i="37"/>
  <c r="AA377" i="37"/>
  <c r="AE377" i="37"/>
  <c r="AB377" i="37"/>
  <c r="T377" i="37"/>
  <c r="V377" i="37"/>
  <c r="Z377" i="37"/>
  <c r="AC377" i="37"/>
  <c r="AF377" i="37"/>
  <c r="S378" i="37"/>
  <c r="U378" i="37"/>
  <c r="Y378" i="37"/>
  <c r="AA378" i="37"/>
  <c r="AE378" i="37"/>
  <c r="AB378" i="37"/>
  <c r="T378" i="37"/>
  <c r="V378" i="37"/>
  <c r="Z378" i="37"/>
  <c r="AC378" i="37"/>
  <c r="AF378" i="37"/>
  <c r="S379" i="37"/>
  <c r="U379" i="37"/>
  <c r="Y379" i="37"/>
  <c r="AA379" i="37"/>
  <c r="AE379" i="37"/>
  <c r="AB379" i="37"/>
  <c r="T379" i="37"/>
  <c r="V379" i="37"/>
  <c r="Z379" i="37"/>
  <c r="AC379" i="37"/>
  <c r="AF379" i="37"/>
  <c r="S380" i="37"/>
  <c r="U380" i="37"/>
  <c r="Y380" i="37"/>
  <c r="AA380" i="37"/>
  <c r="AE380" i="37"/>
  <c r="AB380" i="37"/>
  <c r="T380" i="37"/>
  <c r="V380" i="37"/>
  <c r="Z380" i="37"/>
  <c r="AC380" i="37"/>
  <c r="AF380" i="37"/>
  <c r="S381" i="37"/>
  <c r="U381" i="37"/>
  <c r="Y381" i="37"/>
  <c r="AA381" i="37"/>
  <c r="AE381" i="37"/>
  <c r="AB381" i="37"/>
  <c r="T381" i="37"/>
  <c r="V381" i="37"/>
  <c r="Z381" i="37"/>
  <c r="AC381" i="37"/>
  <c r="AF381" i="37"/>
  <c r="S382" i="37"/>
  <c r="U382" i="37"/>
  <c r="Y382" i="37"/>
  <c r="AA382" i="37"/>
  <c r="AE382" i="37"/>
  <c r="AB382" i="37"/>
  <c r="T382" i="37"/>
  <c r="V382" i="37"/>
  <c r="Z382" i="37"/>
  <c r="AC382" i="37"/>
  <c r="AF382" i="37"/>
  <c r="S383" i="37"/>
  <c r="U383" i="37"/>
  <c r="Y383" i="37"/>
  <c r="AA383" i="37"/>
  <c r="AE383" i="37"/>
  <c r="AB383" i="37"/>
  <c r="T383" i="37"/>
  <c r="V383" i="37"/>
  <c r="Z383" i="37"/>
  <c r="AC383" i="37"/>
  <c r="AF383" i="37"/>
  <c r="S384" i="37"/>
  <c r="U384" i="37"/>
  <c r="Y384" i="37"/>
  <c r="AA384" i="37"/>
  <c r="AE384" i="37"/>
  <c r="AB384" i="37"/>
  <c r="T384" i="37"/>
  <c r="V384" i="37"/>
  <c r="Z384" i="37"/>
  <c r="AC384" i="37"/>
  <c r="AF384" i="37"/>
  <c r="S385" i="37"/>
  <c r="U385" i="37"/>
  <c r="Y385" i="37"/>
  <c r="AA385" i="37"/>
  <c r="AE385" i="37"/>
  <c r="AB385" i="37"/>
  <c r="T385" i="37"/>
  <c r="V385" i="37"/>
  <c r="Z385" i="37"/>
  <c r="AC385" i="37"/>
  <c r="AF385" i="37"/>
  <c r="S386" i="37"/>
  <c r="U386" i="37"/>
  <c r="Y386" i="37"/>
  <c r="AA386" i="37"/>
  <c r="AE386" i="37"/>
  <c r="AB386" i="37"/>
  <c r="T386" i="37"/>
  <c r="V386" i="37"/>
  <c r="Z386" i="37"/>
  <c r="AC386" i="37"/>
  <c r="AF386" i="37"/>
  <c r="S387" i="37"/>
  <c r="U387" i="37"/>
  <c r="Y387" i="37"/>
  <c r="AA387" i="37"/>
  <c r="AE387" i="37"/>
  <c r="AB387" i="37"/>
  <c r="T387" i="37"/>
  <c r="V387" i="37"/>
  <c r="Z387" i="37"/>
  <c r="AC387" i="37"/>
  <c r="AF387" i="37"/>
  <c r="S388" i="37"/>
  <c r="U388" i="37"/>
  <c r="Y388" i="37"/>
  <c r="AA388" i="37"/>
  <c r="AE388" i="37"/>
  <c r="AB388" i="37"/>
  <c r="T388" i="37"/>
  <c r="V388" i="37"/>
  <c r="Z388" i="37"/>
  <c r="AC388" i="37"/>
  <c r="AF388" i="37"/>
  <c r="S389" i="37"/>
  <c r="U389" i="37"/>
  <c r="Y389" i="37"/>
  <c r="AA389" i="37"/>
  <c r="AE389" i="37"/>
  <c r="AB389" i="37"/>
  <c r="T389" i="37"/>
  <c r="V389" i="37"/>
  <c r="Z389" i="37"/>
  <c r="AC389" i="37"/>
  <c r="AF389" i="37"/>
  <c r="S390" i="37"/>
  <c r="U390" i="37"/>
  <c r="Y390" i="37"/>
  <c r="AA390" i="37"/>
  <c r="AE390" i="37"/>
  <c r="AB390" i="37"/>
  <c r="T390" i="37"/>
  <c r="V390" i="37"/>
  <c r="Z390" i="37"/>
  <c r="AC390" i="37"/>
  <c r="AF390" i="37"/>
  <c r="S391" i="37"/>
  <c r="U391" i="37"/>
  <c r="Y391" i="37"/>
  <c r="AA391" i="37"/>
  <c r="AE391" i="37"/>
  <c r="AB391" i="37"/>
  <c r="T391" i="37"/>
  <c r="V391" i="37"/>
  <c r="Z391" i="37"/>
  <c r="AC391" i="37"/>
  <c r="AF391" i="37"/>
  <c r="S392" i="37"/>
  <c r="U392" i="37"/>
  <c r="Y392" i="37"/>
  <c r="AA392" i="37"/>
  <c r="AE392" i="37"/>
  <c r="AB392" i="37"/>
  <c r="T392" i="37"/>
  <c r="V392" i="37"/>
  <c r="Z392" i="37"/>
  <c r="AC392" i="37"/>
  <c r="AF392" i="37"/>
  <c r="S393" i="37"/>
  <c r="U393" i="37"/>
  <c r="Y393" i="37"/>
  <c r="AA393" i="37"/>
  <c r="AE393" i="37"/>
  <c r="AB393" i="37"/>
  <c r="T393" i="37"/>
  <c r="V393" i="37"/>
  <c r="Z393" i="37"/>
  <c r="AC393" i="37"/>
  <c r="AF393" i="37"/>
  <c r="S394" i="37"/>
  <c r="U394" i="37"/>
  <c r="Y394" i="37"/>
  <c r="AA394" i="37"/>
  <c r="AE394" i="37"/>
  <c r="AB394" i="37"/>
  <c r="T394" i="37"/>
  <c r="V394" i="37"/>
  <c r="Z394" i="37"/>
  <c r="AC394" i="37"/>
  <c r="AF394" i="37"/>
  <c r="S395" i="37"/>
  <c r="U395" i="37"/>
  <c r="Y395" i="37"/>
  <c r="AA395" i="37"/>
  <c r="AE395" i="37"/>
  <c r="AB395" i="37"/>
  <c r="T395" i="37"/>
  <c r="V395" i="37"/>
  <c r="Z395" i="37"/>
  <c r="AC395" i="37"/>
  <c r="AF395" i="37"/>
  <c r="S396" i="37"/>
  <c r="U396" i="37"/>
  <c r="Y396" i="37"/>
  <c r="AA396" i="37"/>
  <c r="AE396" i="37"/>
  <c r="AB396" i="37"/>
  <c r="T396" i="37"/>
  <c r="V396" i="37"/>
  <c r="Z396" i="37"/>
  <c r="AC396" i="37"/>
  <c r="AF396" i="37"/>
  <c r="S397" i="37"/>
  <c r="U397" i="37"/>
  <c r="Y397" i="37"/>
  <c r="AA397" i="37"/>
  <c r="AE397" i="37"/>
  <c r="AB397" i="37"/>
  <c r="T397" i="37"/>
  <c r="V397" i="37"/>
  <c r="Z397" i="37"/>
  <c r="AC397" i="37"/>
  <c r="AF397" i="37"/>
  <c r="S398" i="37"/>
  <c r="U398" i="37"/>
  <c r="Y398" i="37"/>
  <c r="AA398" i="37"/>
  <c r="AE398" i="37"/>
  <c r="AB398" i="37"/>
  <c r="T398" i="37"/>
  <c r="V398" i="37"/>
  <c r="Z398" i="37"/>
  <c r="AC398" i="37"/>
  <c r="AF398" i="37"/>
  <c r="S399" i="37"/>
  <c r="U399" i="37"/>
  <c r="Y399" i="37"/>
  <c r="AA399" i="37"/>
  <c r="AE399" i="37"/>
  <c r="AB399" i="37"/>
  <c r="T399" i="37"/>
  <c r="V399" i="37"/>
  <c r="Z399" i="37"/>
  <c r="AC399" i="37"/>
  <c r="AF399" i="37"/>
  <c r="S400" i="37"/>
  <c r="U400" i="37"/>
  <c r="Y400" i="37"/>
  <c r="AA400" i="37"/>
  <c r="AE400" i="37"/>
  <c r="AB400" i="37"/>
  <c r="T400" i="37"/>
  <c r="V400" i="37"/>
  <c r="Z400" i="37"/>
  <c r="AC400" i="37"/>
  <c r="AF400" i="37"/>
  <c r="S401" i="37"/>
  <c r="U401" i="37"/>
  <c r="Y401" i="37"/>
  <c r="AA401" i="37"/>
  <c r="AE401" i="37"/>
  <c r="AB401" i="37"/>
  <c r="T401" i="37"/>
  <c r="V401" i="37"/>
  <c r="Z401" i="37"/>
  <c r="AC401" i="37"/>
  <c r="AF401" i="37"/>
  <c r="S402" i="37"/>
  <c r="U402" i="37"/>
  <c r="Y402" i="37"/>
  <c r="AA402" i="37"/>
  <c r="AE402" i="37"/>
  <c r="AB402" i="37"/>
  <c r="T402" i="37"/>
  <c r="V402" i="37"/>
  <c r="Z402" i="37"/>
  <c r="AC402" i="37"/>
  <c r="AF402" i="37"/>
  <c r="S403" i="37"/>
  <c r="U403" i="37"/>
  <c r="Y403" i="37"/>
  <c r="AA403" i="37"/>
  <c r="AE403" i="37"/>
  <c r="AB403" i="37"/>
  <c r="T403" i="37"/>
  <c r="V403" i="37"/>
  <c r="Z403" i="37"/>
  <c r="AC403" i="37"/>
  <c r="AF403" i="37"/>
  <c r="S404" i="37"/>
  <c r="U404" i="37"/>
  <c r="Y404" i="37"/>
  <c r="AA404" i="37"/>
  <c r="AE404" i="37"/>
  <c r="AB404" i="37"/>
  <c r="T404" i="37"/>
  <c r="V404" i="37"/>
  <c r="Z404" i="37"/>
  <c r="AC404" i="37"/>
  <c r="AF404" i="37"/>
  <c r="S405" i="37"/>
  <c r="U405" i="37"/>
  <c r="Y405" i="37"/>
  <c r="AA405" i="37"/>
  <c r="AE405" i="37"/>
  <c r="AB405" i="37"/>
  <c r="T405" i="37"/>
  <c r="V405" i="37"/>
  <c r="Z405" i="37"/>
  <c r="AC405" i="37"/>
  <c r="AF405" i="37"/>
  <c r="S406" i="37"/>
  <c r="U406" i="37"/>
  <c r="Y406" i="37"/>
  <c r="AA406" i="37"/>
  <c r="AE406" i="37"/>
  <c r="AB406" i="37"/>
  <c r="T406" i="37"/>
  <c r="V406" i="37"/>
  <c r="Z406" i="37"/>
  <c r="AC406" i="37"/>
  <c r="AF406" i="37"/>
  <c r="S407" i="37"/>
  <c r="U407" i="37"/>
  <c r="Y407" i="37"/>
  <c r="AA407" i="37"/>
  <c r="AE407" i="37"/>
  <c r="AB407" i="37"/>
  <c r="T407" i="37"/>
  <c r="V407" i="37"/>
  <c r="Z407" i="37"/>
  <c r="AC407" i="37"/>
  <c r="AF407" i="37"/>
  <c r="S408" i="37"/>
  <c r="U408" i="37"/>
  <c r="Y408" i="37"/>
  <c r="AA408" i="37"/>
  <c r="AE408" i="37"/>
  <c r="AB408" i="37"/>
  <c r="T408" i="37"/>
  <c r="V408" i="37"/>
  <c r="Z408" i="37"/>
  <c r="AC408" i="37"/>
  <c r="AF408" i="37"/>
  <c r="S409" i="37"/>
  <c r="U409" i="37"/>
  <c r="Y409" i="37"/>
  <c r="AA409" i="37"/>
  <c r="AE409" i="37"/>
  <c r="AB409" i="37"/>
  <c r="T409" i="37"/>
  <c r="V409" i="37"/>
  <c r="Z409" i="37"/>
  <c r="AC409" i="37"/>
  <c r="AF409" i="37"/>
  <c r="S410" i="37"/>
  <c r="U410" i="37"/>
  <c r="Y410" i="37"/>
  <c r="AA410" i="37"/>
  <c r="AE410" i="37"/>
  <c r="AB410" i="37"/>
  <c r="T410" i="37"/>
  <c r="V410" i="37"/>
  <c r="Z410" i="37"/>
  <c r="AC410" i="37"/>
  <c r="AF410" i="37"/>
  <c r="S411" i="37"/>
  <c r="U411" i="37"/>
  <c r="Y411" i="37"/>
  <c r="AA411" i="37"/>
  <c r="AE411" i="37"/>
  <c r="AB411" i="37"/>
  <c r="T411" i="37"/>
  <c r="V411" i="37"/>
  <c r="Z411" i="37"/>
  <c r="AC411" i="37"/>
  <c r="AF411" i="37"/>
  <c r="S412" i="37"/>
  <c r="U412" i="37"/>
  <c r="Y412" i="37"/>
  <c r="AA412" i="37"/>
  <c r="AE412" i="37"/>
  <c r="AB412" i="37"/>
  <c r="T412" i="37"/>
  <c r="V412" i="37"/>
  <c r="Z412" i="37"/>
  <c r="AC412" i="37"/>
  <c r="AF412" i="37"/>
  <c r="S413" i="37"/>
  <c r="U413" i="37"/>
  <c r="Y413" i="37"/>
  <c r="AA413" i="37"/>
  <c r="AE413" i="37"/>
  <c r="AB413" i="37"/>
  <c r="T413" i="37"/>
  <c r="V413" i="37"/>
  <c r="Z413" i="37"/>
  <c r="AC413" i="37"/>
  <c r="AF413" i="37"/>
  <c r="S414" i="37"/>
  <c r="U414" i="37"/>
  <c r="Y414" i="37"/>
  <c r="AA414" i="37"/>
  <c r="AE414" i="37"/>
  <c r="AB414" i="37"/>
  <c r="T414" i="37"/>
  <c r="V414" i="37"/>
  <c r="Z414" i="37"/>
  <c r="AC414" i="37"/>
  <c r="AF414" i="37"/>
  <c r="S415" i="37"/>
  <c r="U415" i="37"/>
  <c r="Y415" i="37"/>
  <c r="AA415" i="37"/>
  <c r="AE415" i="37"/>
  <c r="AB415" i="37"/>
  <c r="T415" i="37"/>
  <c r="V415" i="37"/>
  <c r="Z415" i="37"/>
  <c r="AC415" i="37"/>
  <c r="AF415" i="37"/>
  <c r="S416" i="37"/>
  <c r="U416" i="37"/>
  <c r="Y416" i="37"/>
  <c r="AA416" i="37"/>
  <c r="AE416" i="37"/>
  <c r="AB416" i="37"/>
  <c r="T416" i="37"/>
  <c r="V416" i="37"/>
  <c r="Z416" i="37"/>
  <c r="AC416" i="37"/>
  <c r="AF416" i="37"/>
  <c r="S417" i="37"/>
  <c r="U417" i="37"/>
  <c r="Y417" i="37"/>
  <c r="AA417" i="37"/>
  <c r="AE417" i="37"/>
  <c r="AB417" i="37"/>
  <c r="T417" i="37"/>
  <c r="V417" i="37"/>
  <c r="Z417" i="37"/>
  <c r="AC417" i="37"/>
  <c r="AF417" i="37"/>
  <c r="S418" i="37"/>
  <c r="U418" i="37"/>
  <c r="Y418" i="37"/>
  <c r="AA418" i="37"/>
  <c r="AE418" i="37"/>
  <c r="AB418" i="37"/>
  <c r="T418" i="37"/>
  <c r="V418" i="37"/>
  <c r="Z418" i="37"/>
  <c r="AC418" i="37"/>
  <c r="AF418" i="37"/>
  <c r="S419" i="37"/>
  <c r="U419" i="37"/>
  <c r="Y419" i="37"/>
  <c r="AA419" i="37"/>
  <c r="AE419" i="37"/>
  <c r="AB419" i="37"/>
  <c r="T419" i="37"/>
  <c r="V419" i="37"/>
  <c r="Z419" i="37"/>
  <c r="AC419" i="37"/>
  <c r="AF419" i="37"/>
  <c r="S420" i="37"/>
  <c r="U420" i="37"/>
  <c r="Y420" i="37"/>
  <c r="AA420" i="37"/>
  <c r="AE420" i="37"/>
  <c r="AB420" i="37"/>
  <c r="T420" i="37"/>
  <c r="V420" i="37"/>
  <c r="Z420" i="37"/>
  <c r="AC420" i="37"/>
  <c r="AF420" i="37"/>
  <c r="S421" i="37"/>
  <c r="U421" i="37"/>
  <c r="Y421" i="37"/>
  <c r="AA421" i="37"/>
  <c r="AE421" i="37"/>
  <c r="AB421" i="37"/>
  <c r="T421" i="37"/>
  <c r="V421" i="37"/>
  <c r="Z421" i="37"/>
  <c r="AC421" i="37"/>
  <c r="AF421" i="37"/>
  <c r="S422" i="37"/>
  <c r="U422" i="37"/>
  <c r="Y422" i="37"/>
  <c r="AA422" i="37"/>
  <c r="AE422" i="37"/>
  <c r="AB422" i="37"/>
  <c r="T422" i="37"/>
  <c r="V422" i="37"/>
  <c r="Z422" i="37"/>
  <c r="AC422" i="37"/>
  <c r="AF422" i="37"/>
  <c r="S423" i="37"/>
  <c r="U423" i="37"/>
  <c r="Y423" i="37"/>
  <c r="AA423" i="37"/>
  <c r="AE423" i="37"/>
  <c r="AB423" i="37"/>
  <c r="T423" i="37"/>
  <c r="V423" i="37"/>
  <c r="Z423" i="37"/>
  <c r="AC423" i="37"/>
  <c r="AF423" i="37"/>
  <c r="S424" i="37"/>
  <c r="U424" i="37"/>
  <c r="Y424" i="37"/>
  <c r="AA424" i="37"/>
  <c r="AE424" i="37"/>
  <c r="AB424" i="37"/>
  <c r="T424" i="37"/>
  <c r="V424" i="37"/>
  <c r="Z424" i="37"/>
  <c r="AC424" i="37"/>
  <c r="AF424" i="37"/>
  <c r="S425" i="37"/>
  <c r="U425" i="37"/>
  <c r="Y425" i="37"/>
  <c r="AA425" i="37"/>
  <c r="AE425" i="37"/>
  <c r="AB425" i="37"/>
  <c r="T425" i="37"/>
  <c r="V425" i="37"/>
  <c r="Z425" i="37"/>
  <c r="AC425" i="37"/>
  <c r="AF425" i="37"/>
  <c r="S426" i="37"/>
  <c r="U426" i="37"/>
  <c r="Y426" i="37"/>
  <c r="AA426" i="37"/>
  <c r="AE426" i="37"/>
  <c r="AB426" i="37"/>
  <c r="T426" i="37"/>
  <c r="V426" i="37"/>
  <c r="Z426" i="37"/>
  <c r="AC426" i="37"/>
  <c r="AF426" i="37"/>
  <c r="S427" i="37"/>
  <c r="U427" i="37"/>
  <c r="Y427" i="37"/>
  <c r="AA427" i="37"/>
  <c r="AE427" i="37"/>
  <c r="AB427" i="37"/>
  <c r="T427" i="37"/>
  <c r="V427" i="37"/>
  <c r="Z427" i="37"/>
  <c r="AC427" i="37"/>
  <c r="AF427" i="37"/>
  <c r="S428" i="37"/>
  <c r="U428" i="37"/>
  <c r="Y428" i="37"/>
  <c r="AA428" i="37"/>
  <c r="AE428" i="37"/>
  <c r="AB428" i="37"/>
  <c r="T428" i="37"/>
  <c r="V428" i="37"/>
  <c r="Z428" i="37"/>
  <c r="AC428" i="37"/>
  <c r="AF428" i="37"/>
  <c r="S429" i="37"/>
  <c r="U429" i="37"/>
  <c r="Y429" i="37"/>
  <c r="AA429" i="37"/>
  <c r="AE429" i="37"/>
  <c r="AB429" i="37"/>
  <c r="T429" i="37"/>
  <c r="V429" i="37"/>
  <c r="Z429" i="37"/>
  <c r="AC429" i="37"/>
  <c r="AF429" i="37"/>
  <c r="S430" i="37"/>
  <c r="U430" i="37"/>
  <c r="Y430" i="37"/>
  <c r="AA430" i="37"/>
  <c r="AE430" i="37"/>
  <c r="AB430" i="37"/>
  <c r="T430" i="37"/>
  <c r="V430" i="37"/>
  <c r="Z430" i="37"/>
  <c r="AC430" i="37"/>
  <c r="AF430" i="37"/>
  <c r="S431" i="37"/>
  <c r="U431" i="37"/>
  <c r="Y431" i="37"/>
  <c r="AA431" i="37"/>
  <c r="AE431" i="37"/>
  <c r="AB431" i="37"/>
  <c r="T431" i="37"/>
  <c r="V431" i="37"/>
  <c r="Z431" i="37"/>
  <c r="AC431" i="37"/>
  <c r="AF431" i="37"/>
  <c r="S432" i="37"/>
  <c r="U432" i="37"/>
  <c r="Y432" i="37"/>
  <c r="AA432" i="37"/>
  <c r="AE432" i="37"/>
  <c r="AB432" i="37"/>
  <c r="T432" i="37"/>
  <c r="V432" i="37"/>
  <c r="Z432" i="37"/>
  <c r="AC432" i="37"/>
  <c r="AF432" i="37"/>
  <c r="S433" i="37"/>
  <c r="U433" i="37"/>
  <c r="Y433" i="37"/>
  <c r="AA433" i="37"/>
  <c r="AE433" i="37"/>
  <c r="AB433" i="37"/>
  <c r="T433" i="37"/>
  <c r="V433" i="37"/>
  <c r="Z433" i="37"/>
  <c r="AC433" i="37"/>
  <c r="AF433" i="37"/>
  <c r="S434" i="37"/>
  <c r="U434" i="37"/>
  <c r="Y434" i="37"/>
  <c r="AA434" i="37"/>
  <c r="AE434" i="37"/>
  <c r="AB434" i="37"/>
  <c r="T434" i="37"/>
  <c r="V434" i="37"/>
  <c r="Z434" i="37"/>
  <c r="AC434" i="37"/>
  <c r="AF434" i="37"/>
  <c r="S435" i="37"/>
  <c r="U435" i="37"/>
  <c r="Y435" i="37"/>
  <c r="AA435" i="37"/>
  <c r="AE435" i="37"/>
  <c r="AB435" i="37"/>
  <c r="T435" i="37"/>
  <c r="V435" i="37"/>
  <c r="Z435" i="37"/>
  <c r="AC435" i="37"/>
  <c r="AF435" i="37"/>
  <c r="S436" i="37"/>
  <c r="U436" i="37"/>
  <c r="Y436" i="37"/>
  <c r="AA436" i="37"/>
  <c r="AE436" i="37"/>
  <c r="AB436" i="37"/>
  <c r="T436" i="37"/>
  <c r="V436" i="37"/>
  <c r="Z436" i="37"/>
  <c r="AC436" i="37"/>
  <c r="AF436" i="37"/>
  <c r="S437" i="37"/>
  <c r="U437" i="37"/>
  <c r="Y437" i="37"/>
  <c r="AA437" i="37"/>
  <c r="AE437" i="37"/>
  <c r="AB437" i="37"/>
  <c r="T437" i="37"/>
  <c r="V437" i="37"/>
  <c r="Z437" i="37"/>
  <c r="AC437" i="37"/>
  <c r="AF437" i="37"/>
  <c r="S438" i="37"/>
  <c r="U438" i="37"/>
  <c r="Y438" i="37"/>
  <c r="AA438" i="37"/>
  <c r="AE438" i="37"/>
  <c r="AB438" i="37"/>
  <c r="T438" i="37"/>
  <c r="V438" i="37"/>
  <c r="Z438" i="37"/>
  <c r="AC438" i="37"/>
  <c r="AF438" i="37"/>
  <c r="S439" i="37"/>
  <c r="U439" i="37"/>
  <c r="Y439" i="37"/>
  <c r="AA439" i="37"/>
  <c r="AE439" i="37"/>
  <c r="AB439" i="37"/>
  <c r="T439" i="37"/>
  <c r="V439" i="37"/>
  <c r="Z439" i="37"/>
  <c r="AC439" i="37"/>
  <c r="AF439" i="37"/>
  <c r="S440" i="37"/>
  <c r="U440" i="37"/>
  <c r="Y440" i="37"/>
  <c r="AA440" i="37"/>
  <c r="AE440" i="37"/>
  <c r="AB440" i="37"/>
  <c r="T440" i="37"/>
  <c r="V440" i="37"/>
  <c r="Z440" i="37"/>
  <c r="AC440" i="37"/>
  <c r="AF440" i="37"/>
  <c r="S441" i="37"/>
  <c r="U441" i="37"/>
  <c r="Y441" i="37"/>
  <c r="AA441" i="37"/>
  <c r="AE441" i="37"/>
  <c r="AB441" i="37"/>
  <c r="T441" i="37"/>
  <c r="V441" i="37"/>
  <c r="Z441" i="37"/>
  <c r="AC441" i="37"/>
  <c r="AF441" i="37"/>
  <c r="S442" i="37"/>
  <c r="U442" i="37"/>
  <c r="Y442" i="37"/>
  <c r="AA442" i="37"/>
  <c r="AE442" i="37"/>
  <c r="AB442" i="37"/>
  <c r="T442" i="37"/>
  <c r="V442" i="37"/>
  <c r="Z442" i="37"/>
  <c r="AC442" i="37"/>
  <c r="AF442" i="37"/>
  <c r="S443" i="37"/>
  <c r="U443" i="37"/>
  <c r="Y443" i="37"/>
  <c r="AA443" i="37"/>
  <c r="AE443" i="37"/>
  <c r="AB443" i="37"/>
  <c r="T443" i="37"/>
  <c r="V443" i="37"/>
  <c r="Z443" i="37"/>
  <c r="AC443" i="37"/>
  <c r="AF443" i="37"/>
  <c r="S444" i="37"/>
  <c r="U444" i="37"/>
  <c r="Y444" i="37"/>
  <c r="AA444" i="37"/>
  <c r="AE444" i="37"/>
  <c r="AB444" i="37"/>
  <c r="T444" i="37"/>
  <c r="V444" i="37"/>
  <c r="Z444" i="37"/>
  <c r="AC444" i="37"/>
  <c r="AF444" i="37"/>
  <c r="S445" i="37"/>
  <c r="U445" i="37"/>
  <c r="Y445" i="37"/>
  <c r="AA445" i="37"/>
  <c r="AE445" i="37"/>
  <c r="AB445" i="37"/>
  <c r="T445" i="37"/>
  <c r="V445" i="37"/>
  <c r="Z445" i="37"/>
  <c r="AC445" i="37"/>
  <c r="AF445" i="37"/>
  <c r="S446" i="37"/>
  <c r="U446" i="37"/>
  <c r="Y446" i="37"/>
  <c r="AA446" i="37"/>
  <c r="AE446" i="37"/>
  <c r="AB446" i="37"/>
  <c r="T446" i="37"/>
  <c r="V446" i="37"/>
  <c r="Z446" i="37"/>
  <c r="AC446" i="37"/>
  <c r="AF446" i="37"/>
  <c r="S447" i="37"/>
  <c r="U447" i="37"/>
  <c r="Y447" i="37"/>
  <c r="AA447" i="37"/>
  <c r="AE447" i="37"/>
  <c r="AB447" i="37"/>
  <c r="T447" i="37"/>
  <c r="V447" i="37"/>
  <c r="Z447" i="37"/>
  <c r="AC447" i="37"/>
  <c r="AF447" i="37"/>
  <c r="S448" i="37"/>
  <c r="U448" i="37"/>
  <c r="Y448" i="37"/>
  <c r="AA448" i="37"/>
  <c r="AE448" i="37"/>
  <c r="AB448" i="37"/>
  <c r="T448" i="37"/>
  <c r="V448" i="37"/>
  <c r="Z448" i="37"/>
  <c r="AC448" i="37"/>
  <c r="AF448" i="37"/>
  <c r="S449" i="37"/>
  <c r="U449" i="37"/>
  <c r="Y449" i="37"/>
  <c r="AA449" i="37"/>
  <c r="AE449" i="37"/>
  <c r="AB449" i="37"/>
  <c r="T449" i="37"/>
  <c r="V449" i="37"/>
  <c r="Z449" i="37"/>
  <c r="AC449" i="37"/>
  <c r="AF449" i="37"/>
  <c r="S450" i="37"/>
  <c r="U450" i="37"/>
  <c r="Y450" i="37"/>
  <c r="AA450" i="37"/>
  <c r="AE450" i="37"/>
  <c r="AB450" i="37"/>
  <c r="T450" i="37"/>
  <c r="V450" i="37"/>
  <c r="Z450" i="37"/>
  <c r="AC450" i="37"/>
  <c r="AF450" i="37"/>
  <c r="S451" i="37"/>
  <c r="U451" i="37"/>
  <c r="Y451" i="37"/>
  <c r="AA451" i="37"/>
  <c r="AE451" i="37"/>
  <c r="AB451" i="37"/>
  <c r="T451" i="37"/>
  <c r="V451" i="37"/>
  <c r="Z451" i="37"/>
  <c r="AC451" i="37"/>
  <c r="AF451" i="37"/>
  <c r="S452" i="37"/>
  <c r="U452" i="37"/>
  <c r="Y452" i="37"/>
  <c r="AA452" i="37"/>
  <c r="AE452" i="37"/>
  <c r="AB452" i="37"/>
  <c r="T452" i="37"/>
  <c r="V452" i="37"/>
  <c r="Z452" i="37"/>
  <c r="AC452" i="37"/>
  <c r="AF452" i="37"/>
  <c r="S453" i="37"/>
  <c r="U453" i="37"/>
  <c r="Y453" i="37"/>
  <c r="AA453" i="37"/>
  <c r="AE453" i="37"/>
  <c r="AB453" i="37"/>
  <c r="T453" i="37"/>
  <c r="V453" i="37"/>
  <c r="Z453" i="37"/>
  <c r="AC453" i="37"/>
  <c r="AF453" i="37"/>
  <c r="S454" i="37"/>
  <c r="U454" i="37"/>
  <c r="Y454" i="37"/>
  <c r="AA454" i="37"/>
  <c r="AE454" i="37"/>
  <c r="AB454" i="37"/>
  <c r="T454" i="37"/>
  <c r="V454" i="37"/>
  <c r="Z454" i="37"/>
  <c r="AC454" i="37"/>
  <c r="AF454" i="37"/>
  <c r="S455" i="37"/>
  <c r="U455" i="37"/>
  <c r="Y455" i="37"/>
  <c r="AA455" i="37"/>
  <c r="AE455" i="37"/>
  <c r="AB455" i="37"/>
  <c r="T455" i="37"/>
  <c r="V455" i="37"/>
  <c r="Z455" i="37"/>
  <c r="AC455" i="37"/>
  <c r="AF455" i="37"/>
  <c r="S456" i="37"/>
  <c r="U456" i="37"/>
  <c r="Y456" i="37"/>
  <c r="AA456" i="37"/>
  <c r="AE456" i="37"/>
  <c r="AB456" i="37"/>
  <c r="T456" i="37"/>
  <c r="V456" i="37"/>
  <c r="Z456" i="37"/>
  <c r="AC456" i="37"/>
  <c r="AF456" i="37"/>
  <c r="S457" i="37"/>
  <c r="U457" i="37"/>
  <c r="Y457" i="37"/>
  <c r="AA457" i="37"/>
  <c r="AE457" i="37"/>
  <c r="AB457" i="37"/>
  <c r="T457" i="37"/>
  <c r="V457" i="37"/>
  <c r="Z457" i="37"/>
  <c r="AC457" i="37"/>
  <c r="AF457" i="37"/>
  <c r="S458" i="37"/>
  <c r="U458" i="37"/>
  <c r="Y458" i="37"/>
  <c r="AA458" i="37"/>
  <c r="AE458" i="37"/>
  <c r="AB458" i="37"/>
  <c r="T458" i="37"/>
  <c r="V458" i="37"/>
  <c r="Z458" i="37"/>
  <c r="AC458" i="37"/>
  <c r="AF458" i="37"/>
  <c r="S459" i="37"/>
  <c r="U459" i="37"/>
  <c r="Y459" i="37"/>
  <c r="AA459" i="37"/>
  <c r="AE459" i="37"/>
  <c r="AB459" i="37"/>
  <c r="T459" i="37"/>
  <c r="V459" i="37"/>
  <c r="Z459" i="37"/>
  <c r="AC459" i="37"/>
  <c r="AF459" i="37"/>
  <c r="S460" i="37"/>
  <c r="U460" i="37"/>
  <c r="Y460" i="37"/>
  <c r="AA460" i="37"/>
  <c r="AE460" i="37"/>
  <c r="AB460" i="37"/>
  <c r="T460" i="37"/>
  <c r="V460" i="37"/>
  <c r="Z460" i="37"/>
  <c r="AC460" i="37"/>
  <c r="AF460" i="37"/>
  <c r="S461" i="37"/>
  <c r="U461" i="37"/>
  <c r="Y461" i="37"/>
  <c r="AA461" i="37"/>
  <c r="AE461" i="37"/>
  <c r="AB461" i="37"/>
  <c r="T461" i="37"/>
  <c r="V461" i="37"/>
  <c r="Z461" i="37"/>
  <c r="AC461" i="37"/>
  <c r="AF461" i="37"/>
  <c r="S462" i="37"/>
  <c r="U462" i="37"/>
  <c r="Y462" i="37"/>
  <c r="AA462" i="37"/>
  <c r="AE462" i="37"/>
  <c r="AB462" i="37"/>
  <c r="T462" i="37"/>
  <c r="V462" i="37"/>
  <c r="Z462" i="37"/>
  <c r="AC462" i="37"/>
  <c r="AF462" i="37"/>
  <c r="S463" i="37"/>
  <c r="U463" i="37"/>
  <c r="Y463" i="37"/>
  <c r="AA463" i="37"/>
  <c r="AE463" i="37"/>
  <c r="AB463" i="37"/>
  <c r="T463" i="37"/>
  <c r="V463" i="37"/>
  <c r="Z463" i="37"/>
  <c r="AC463" i="37"/>
  <c r="AF463" i="37"/>
  <c r="S464" i="37"/>
  <c r="U464" i="37"/>
  <c r="Y464" i="37"/>
  <c r="AA464" i="37"/>
  <c r="AE464" i="37"/>
  <c r="AB464" i="37"/>
  <c r="T464" i="37"/>
  <c r="V464" i="37"/>
  <c r="Z464" i="37"/>
  <c r="AC464" i="37"/>
  <c r="AF464" i="37"/>
  <c r="S465" i="37"/>
  <c r="U465" i="37"/>
  <c r="Y465" i="37"/>
  <c r="AA465" i="37"/>
  <c r="AE465" i="37"/>
  <c r="AB465" i="37"/>
  <c r="T465" i="37"/>
  <c r="V465" i="37"/>
  <c r="Z465" i="37"/>
  <c r="AC465" i="37"/>
  <c r="AF465" i="37"/>
  <c r="S466" i="37"/>
  <c r="U466" i="37"/>
  <c r="Y466" i="37"/>
  <c r="AA466" i="37"/>
  <c r="AE466" i="37"/>
  <c r="AB466" i="37"/>
  <c r="T466" i="37"/>
  <c r="V466" i="37"/>
  <c r="Z466" i="37"/>
  <c r="AC466" i="37"/>
  <c r="AF466" i="37"/>
  <c r="S467" i="37"/>
  <c r="U467" i="37"/>
  <c r="Y467" i="37"/>
  <c r="AA467" i="37"/>
  <c r="AE467" i="37"/>
  <c r="AB467" i="37"/>
  <c r="T467" i="37"/>
  <c r="V467" i="37"/>
  <c r="Z467" i="37"/>
  <c r="AC467" i="37"/>
  <c r="AF467" i="37"/>
  <c r="S468" i="37"/>
  <c r="U468" i="37"/>
  <c r="Y468" i="37"/>
  <c r="AA468" i="37"/>
  <c r="AE468" i="37"/>
  <c r="AB468" i="37"/>
  <c r="T468" i="37"/>
  <c r="V468" i="37"/>
  <c r="Z468" i="37"/>
  <c r="AC468" i="37"/>
  <c r="AF468" i="37"/>
  <c r="S469" i="37"/>
  <c r="U469" i="37"/>
  <c r="Y469" i="37"/>
  <c r="AA469" i="37"/>
  <c r="AE469" i="37"/>
  <c r="AB469" i="37"/>
  <c r="T469" i="37"/>
  <c r="V469" i="37"/>
  <c r="Z469" i="37"/>
  <c r="AC469" i="37"/>
  <c r="AF469" i="37"/>
  <c r="S470" i="37"/>
  <c r="U470" i="37"/>
  <c r="Y470" i="37"/>
  <c r="AA470" i="37"/>
  <c r="AE470" i="37"/>
  <c r="AB470" i="37"/>
  <c r="T470" i="37"/>
  <c r="V470" i="37"/>
  <c r="Z470" i="37"/>
  <c r="AC470" i="37"/>
  <c r="AF470" i="37"/>
  <c r="S471" i="37"/>
  <c r="U471" i="37"/>
  <c r="Y471" i="37"/>
  <c r="AA471" i="37"/>
  <c r="AE471" i="37"/>
  <c r="AB471" i="37"/>
  <c r="T471" i="37"/>
  <c r="V471" i="37"/>
  <c r="Z471" i="37"/>
  <c r="AC471" i="37"/>
  <c r="AF471" i="37"/>
  <c r="S472" i="37"/>
  <c r="U472" i="37"/>
  <c r="Y472" i="37"/>
  <c r="AA472" i="37"/>
  <c r="AE472" i="37"/>
  <c r="AB472" i="37"/>
  <c r="T472" i="37"/>
  <c r="V472" i="37"/>
  <c r="Z472" i="37"/>
  <c r="AC472" i="37"/>
  <c r="AF472" i="37"/>
  <c r="S473" i="37"/>
  <c r="U473" i="37"/>
  <c r="Y473" i="37"/>
  <c r="AA473" i="37"/>
  <c r="AE473" i="37"/>
  <c r="AB473" i="37"/>
  <c r="T473" i="37"/>
  <c r="V473" i="37"/>
  <c r="Z473" i="37"/>
  <c r="AC473" i="37"/>
  <c r="AF473" i="37"/>
  <c r="S474" i="37"/>
  <c r="U474" i="37"/>
  <c r="Y474" i="37"/>
  <c r="AA474" i="37"/>
  <c r="AE474" i="37"/>
  <c r="AB474" i="37"/>
  <c r="T474" i="37"/>
  <c r="V474" i="37"/>
  <c r="Z474" i="37"/>
  <c r="AC474" i="37"/>
  <c r="AF474" i="37"/>
  <c r="S475" i="37"/>
  <c r="U475" i="37"/>
  <c r="Y475" i="37"/>
  <c r="AA475" i="37"/>
  <c r="AE475" i="37"/>
  <c r="AB475" i="37"/>
  <c r="T475" i="37"/>
  <c r="V475" i="37"/>
  <c r="Z475" i="37"/>
  <c r="AC475" i="37"/>
  <c r="AF475" i="37"/>
  <c r="S476" i="37"/>
  <c r="U476" i="37"/>
  <c r="Y476" i="37"/>
  <c r="AA476" i="37"/>
  <c r="AE476" i="37"/>
  <c r="AB476" i="37"/>
  <c r="T476" i="37"/>
  <c r="V476" i="37"/>
  <c r="Z476" i="37"/>
  <c r="AC476" i="37"/>
  <c r="AF476" i="37"/>
  <c r="S477" i="37"/>
  <c r="U477" i="37"/>
  <c r="Y477" i="37"/>
  <c r="AA477" i="37"/>
  <c r="AE477" i="37"/>
  <c r="AB477" i="37"/>
  <c r="T477" i="37"/>
  <c r="V477" i="37"/>
  <c r="Z477" i="37"/>
  <c r="AC477" i="37"/>
  <c r="AF477" i="37"/>
  <c r="S478" i="37"/>
  <c r="U478" i="37"/>
  <c r="Y478" i="37"/>
  <c r="AA478" i="37"/>
  <c r="AE478" i="37"/>
  <c r="AB478" i="37"/>
  <c r="T478" i="37"/>
  <c r="V478" i="37"/>
  <c r="Z478" i="37"/>
  <c r="AC478" i="37"/>
  <c r="AF478" i="37"/>
  <c r="S479" i="37"/>
  <c r="U479" i="37"/>
  <c r="Y479" i="37"/>
  <c r="AA479" i="37"/>
  <c r="AE479" i="37"/>
  <c r="AB479" i="37"/>
  <c r="T479" i="37"/>
  <c r="V479" i="37"/>
  <c r="Z479" i="37"/>
  <c r="AC479" i="37"/>
  <c r="AF479" i="37"/>
  <c r="S480" i="37"/>
  <c r="U480" i="37"/>
  <c r="Y480" i="37"/>
  <c r="AA480" i="37"/>
  <c r="AE480" i="37"/>
  <c r="AB480" i="37"/>
  <c r="T480" i="37"/>
  <c r="V480" i="37"/>
  <c r="Z480" i="37"/>
  <c r="AC480" i="37"/>
  <c r="AF480" i="37"/>
  <c r="S481" i="37"/>
  <c r="U481" i="37"/>
  <c r="Y481" i="37"/>
  <c r="AA481" i="37"/>
  <c r="AE481" i="37"/>
  <c r="AB481" i="37"/>
  <c r="T481" i="37"/>
  <c r="V481" i="37"/>
  <c r="Z481" i="37"/>
  <c r="AC481" i="37"/>
  <c r="AF481" i="37"/>
  <c r="S482" i="37"/>
  <c r="U482" i="37"/>
  <c r="Y482" i="37"/>
  <c r="AA482" i="37"/>
  <c r="AE482" i="37"/>
  <c r="AB482" i="37"/>
  <c r="T482" i="37"/>
  <c r="V482" i="37"/>
  <c r="Z482" i="37"/>
  <c r="AC482" i="37"/>
  <c r="AF482" i="37"/>
  <c r="S483" i="37"/>
  <c r="U483" i="37"/>
  <c r="Y483" i="37"/>
  <c r="AA483" i="37"/>
  <c r="AE483" i="37"/>
  <c r="AB483" i="37"/>
  <c r="T483" i="37"/>
  <c r="V483" i="37"/>
  <c r="Z483" i="37"/>
  <c r="AC483" i="37"/>
  <c r="AF483" i="37"/>
  <c r="S484" i="37"/>
  <c r="U484" i="37"/>
  <c r="Y484" i="37"/>
  <c r="AA484" i="37"/>
  <c r="AE484" i="37"/>
  <c r="AB484" i="37"/>
  <c r="T484" i="37"/>
  <c r="V484" i="37"/>
  <c r="Z484" i="37"/>
  <c r="AC484" i="37"/>
  <c r="AF484" i="37"/>
  <c r="S485" i="37"/>
  <c r="U485" i="37"/>
  <c r="Y485" i="37"/>
  <c r="AA485" i="37"/>
  <c r="AE485" i="37"/>
  <c r="AB485" i="37"/>
  <c r="T485" i="37"/>
  <c r="V485" i="37"/>
  <c r="Z485" i="37"/>
  <c r="AC485" i="37"/>
  <c r="AF485" i="37"/>
  <c r="S486" i="37"/>
  <c r="U486" i="37"/>
  <c r="Y486" i="37"/>
  <c r="AA486" i="37"/>
  <c r="AE486" i="37"/>
  <c r="AB486" i="37"/>
  <c r="T486" i="37"/>
  <c r="V486" i="37"/>
  <c r="Z486" i="37"/>
  <c r="AC486" i="37"/>
  <c r="AF486" i="37"/>
  <c r="S487" i="37"/>
  <c r="U487" i="37"/>
  <c r="Y487" i="37"/>
  <c r="AA487" i="37"/>
  <c r="AE487" i="37"/>
  <c r="AB487" i="37"/>
  <c r="T487" i="37"/>
  <c r="V487" i="37"/>
  <c r="Z487" i="37"/>
  <c r="AC487" i="37"/>
  <c r="AF487" i="37"/>
  <c r="S488" i="37"/>
  <c r="U488" i="37"/>
  <c r="Y488" i="37"/>
  <c r="AA488" i="37"/>
  <c r="AE488" i="37"/>
  <c r="AB488" i="37"/>
  <c r="T488" i="37"/>
  <c r="V488" i="37"/>
  <c r="Z488" i="37"/>
  <c r="AC488" i="37"/>
  <c r="AF488" i="37"/>
  <c r="S489" i="37"/>
  <c r="U489" i="37"/>
  <c r="Y489" i="37"/>
  <c r="AA489" i="37"/>
  <c r="AE489" i="37"/>
  <c r="AB489" i="37"/>
  <c r="T489" i="37"/>
  <c r="V489" i="37"/>
  <c r="Z489" i="37"/>
  <c r="AC489" i="37"/>
  <c r="AF489" i="37"/>
  <c r="S490" i="37"/>
  <c r="U490" i="37"/>
  <c r="Y490" i="37"/>
  <c r="AA490" i="37"/>
  <c r="AE490" i="37"/>
  <c r="AB490" i="37"/>
  <c r="T490" i="37"/>
  <c r="V490" i="37"/>
  <c r="Z490" i="37"/>
  <c r="AC490" i="37"/>
  <c r="AF490" i="37"/>
  <c r="S491" i="37"/>
  <c r="U491" i="37"/>
  <c r="Y491" i="37"/>
  <c r="AA491" i="37"/>
  <c r="AE491" i="37"/>
  <c r="AB491" i="37"/>
  <c r="T491" i="37"/>
  <c r="V491" i="37"/>
  <c r="Z491" i="37"/>
  <c r="AC491" i="37"/>
  <c r="AF491" i="37"/>
  <c r="S492" i="37"/>
  <c r="U492" i="37"/>
  <c r="Y492" i="37"/>
  <c r="AA492" i="37"/>
  <c r="AE492" i="37"/>
  <c r="AB492" i="37"/>
  <c r="T492" i="37"/>
  <c r="V492" i="37"/>
  <c r="Z492" i="37"/>
  <c r="AC492" i="37"/>
  <c r="AF492" i="37"/>
  <c r="S493" i="37"/>
  <c r="U493" i="37"/>
  <c r="Y493" i="37"/>
  <c r="AA493" i="37"/>
  <c r="AE493" i="37"/>
  <c r="AB493" i="37"/>
  <c r="T493" i="37"/>
  <c r="V493" i="37"/>
  <c r="Z493" i="37"/>
  <c r="AC493" i="37"/>
  <c r="AF493" i="37"/>
  <c r="S494" i="37"/>
  <c r="U494" i="37"/>
  <c r="Y494" i="37"/>
  <c r="AA494" i="37"/>
  <c r="AE494" i="37"/>
  <c r="AB494" i="37"/>
  <c r="T494" i="37"/>
  <c r="V494" i="37"/>
  <c r="Z494" i="37"/>
  <c r="AC494" i="37"/>
  <c r="AF494" i="37"/>
  <c r="S495" i="37"/>
  <c r="U495" i="37"/>
  <c r="Y495" i="37"/>
  <c r="AA495" i="37"/>
  <c r="AE495" i="37"/>
  <c r="AB495" i="37"/>
  <c r="T495" i="37"/>
  <c r="V495" i="37"/>
  <c r="Z495" i="37"/>
  <c r="AC495" i="37"/>
  <c r="AF495" i="37"/>
  <c r="S496" i="37"/>
  <c r="U496" i="37"/>
  <c r="Y496" i="37"/>
  <c r="AA496" i="37"/>
  <c r="AE496" i="37"/>
  <c r="AB496" i="37"/>
  <c r="T496" i="37"/>
  <c r="V496" i="37"/>
  <c r="Z496" i="37"/>
  <c r="AC496" i="37"/>
  <c r="AF496" i="37"/>
  <c r="S497" i="37"/>
  <c r="U497" i="37"/>
  <c r="Y497" i="37"/>
  <c r="AA497" i="37"/>
  <c r="AE497" i="37"/>
  <c r="AB497" i="37"/>
  <c r="T497" i="37"/>
  <c r="V497" i="37"/>
  <c r="Z497" i="37"/>
  <c r="AC497" i="37"/>
  <c r="AF497" i="37"/>
  <c r="S498" i="37"/>
  <c r="U498" i="37"/>
  <c r="Y498" i="37"/>
  <c r="AA498" i="37"/>
  <c r="AE498" i="37"/>
  <c r="AB498" i="37"/>
  <c r="T498" i="37"/>
  <c r="V498" i="37"/>
  <c r="Z498" i="37"/>
  <c r="AC498" i="37"/>
  <c r="AF498" i="37"/>
  <c r="S499" i="37"/>
  <c r="U499" i="37"/>
  <c r="Y499" i="37"/>
  <c r="AA499" i="37"/>
  <c r="AE499" i="37"/>
  <c r="AB499" i="37"/>
  <c r="T499" i="37"/>
  <c r="V499" i="37"/>
  <c r="Z499" i="37"/>
  <c r="AC499" i="37"/>
  <c r="AF499" i="37"/>
  <c r="S500" i="37"/>
  <c r="U500" i="37"/>
  <c r="Y500" i="37"/>
  <c r="AA500" i="37"/>
  <c r="AE500" i="37"/>
  <c r="AB500" i="37"/>
  <c r="T500" i="37"/>
  <c r="V500" i="37"/>
  <c r="Z500" i="37"/>
  <c r="AC500" i="37"/>
  <c r="AF500" i="37"/>
  <c r="S501" i="37"/>
  <c r="U501" i="37"/>
  <c r="Y501" i="37"/>
  <c r="AA501" i="37"/>
  <c r="AE501" i="37"/>
  <c r="AB501" i="37"/>
  <c r="T501" i="37"/>
  <c r="V501" i="37"/>
  <c r="Z501" i="37"/>
  <c r="AC501" i="37"/>
  <c r="AF501" i="37"/>
  <c r="S502" i="37"/>
  <c r="U502" i="37"/>
  <c r="Y502" i="37"/>
  <c r="AA502" i="37"/>
  <c r="AE502" i="37"/>
  <c r="AB502" i="37"/>
  <c r="T502" i="37"/>
  <c r="V502" i="37"/>
  <c r="Z502" i="37"/>
  <c r="AC502" i="37"/>
  <c r="AF502" i="37"/>
  <c r="S503" i="37"/>
  <c r="U503" i="37"/>
  <c r="Y503" i="37"/>
  <c r="AA503" i="37"/>
  <c r="AE503" i="37"/>
  <c r="AB503" i="37"/>
  <c r="T503" i="37"/>
  <c r="V503" i="37"/>
  <c r="Z503" i="37"/>
  <c r="AC503" i="37"/>
  <c r="AF503" i="37"/>
  <c r="S504" i="37"/>
  <c r="U504" i="37"/>
  <c r="Y504" i="37"/>
  <c r="AA504" i="37"/>
  <c r="AE504" i="37"/>
  <c r="AB504" i="37"/>
  <c r="T504" i="37"/>
  <c r="V504" i="37"/>
  <c r="Z504" i="37"/>
  <c r="AC504" i="37"/>
  <c r="AF504" i="37"/>
  <c r="S505" i="37"/>
  <c r="U505" i="37"/>
  <c r="Y505" i="37"/>
  <c r="AA505" i="37"/>
  <c r="AE505" i="37"/>
  <c r="AB505" i="37"/>
  <c r="T505" i="37"/>
  <c r="V505" i="37"/>
  <c r="Z505" i="37"/>
  <c r="AC505" i="37"/>
  <c r="AF505" i="37"/>
  <c r="S506" i="37"/>
  <c r="U506" i="37"/>
  <c r="Y506" i="37"/>
  <c r="AA506" i="37"/>
  <c r="AE506" i="37"/>
  <c r="AB506" i="37"/>
  <c r="T506" i="37"/>
  <c r="V506" i="37"/>
  <c r="Z506" i="37"/>
  <c r="AC506" i="37"/>
  <c r="AF506" i="37"/>
  <c r="S507" i="37"/>
  <c r="U507" i="37"/>
  <c r="Y507" i="37"/>
  <c r="AA507" i="37"/>
  <c r="AE507" i="37"/>
  <c r="AB507" i="37"/>
  <c r="T507" i="37"/>
  <c r="V507" i="37"/>
  <c r="Z507" i="37"/>
  <c r="AC507" i="37"/>
  <c r="AF507" i="37"/>
  <c r="S508" i="37"/>
  <c r="U508" i="37"/>
  <c r="Y508" i="37"/>
  <c r="AA508" i="37"/>
  <c r="AE508" i="37"/>
  <c r="AB508" i="37"/>
  <c r="T508" i="37"/>
  <c r="V508" i="37"/>
  <c r="Z508" i="37"/>
  <c r="AC508" i="37"/>
  <c r="AF508" i="37"/>
  <c r="S509" i="37"/>
  <c r="U509" i="37"/>
  <c r="Y509" i="37"/>
  <c r="AA509" i="37"/>
  <c r="AE509" i="37"/>
  <c r="AB509" i="37"/>
  <c r="T509" i="37"/>
  <c r="V509" i="37"/>
  <c r="Z509" i="37"/>
  <c r="AC509" i="37"/>
  <c r="AF509" i="37"/>
  <c r="S510" i="37"/>
  <c r="U510" i="37"/>
  <c r="Y510" i="37"/>
  <c r="AA510" i="37"/>
  <c r="AE510" i="37"/>
  <c r="AB510" i="37"/>
  <c r="T510" i="37"/>
  <c r="V510" i="37"/>
  <c r="Z510" i="37"/>
  <c r="AC510" i="37"/>
  <c r="AF510" i="37"/>
  <c r="S511" i="37"/>
  <c r="U511" i="37"/>
  <c r="Y511" i="37"/>
  <c r="AA511" i="37"/>
  <c r="AE511" i="37"/>
  <c r="AB511" i="37"/>
  <c r="T511" i="37"/>
  <c r="V511" i="37"/>
  <c r="Z511" i="37"/>
  <c r="AC511" i="37"/>
  <c r="AF511" i="37"/>
  <c r="S512" i="37"/>
  <c r="U512" i="37"/>
  <c r="Y512" i="37"/>
  <c r="AA512" i="37"/>
  <c r="AE512" i="37"/>
  <c r="AB512" i="37"/>
  <c r="T512" i="37"/>
  <c r="V512" i="37"/>
  <c r="Z512" i="37"/>
  <c r="AC512" i="37"/>
  <c r="AF512" i="37"/>
  <c r="S513" i="37"/>
  <c r="U513" i="37"/>
  <c r="Y513" i="37"/>
  <c r="AA513" i="37"/>
  <c r="AE513" i="37"/>
  <c r="AB513" i="37"/>
  <c r="T513" i="37"/>
  <c r="V513" i="37"/>
  <c r="Z513" i="37"/>
  <c r="AC513" i="37"/>
  <c r="AF513" i="37"/>
  <c r="S514" i="37"/>
  <c r="U514" i="37"/>
  <c r="Y514" i="37"/>
  <c r="AA514" i="37"/>
  <c r="AE514" i="37"/>
  <c r="AB514" i="37"/>
  <c r="T514" i="37"/>
  <c r="V514" i="37"/>
  <c r="Z514" i="37"/>
  <c r="AC514" i="37"/>
  <c r="AF514" i="37"/>
  <c r="S515" i="37"/>
  <c r="U515" i="37"/>
  <c r="Y515" i="37"/>
  <c r="AA515" i="37"/>
  <c r="AE515" i="37"/>
  <c r="AB515" i="37"/>
  <c r="T515" i="37"/>
  <c r="V515" i="37"/>
  <c r="Z515" i="37"/>
  <c r="AC515" i="37"/>
  <c r="AF515" i="37"/>
  <c r="S76" i="37"/>
  <c r="U76" i="37"/>
  <c r="Y76" i="37"/>
  <c r="AA76" i="37"/>
  <c r="AE76" i="37"/>
  <c r="AB76" i="37"/>
  <c r="T76" i="37"/>
  <c r="V76" i="37"/>
  <c r="Z76" i="37"/>
  <c r="AC76" i="37"/>
  <c r="AF76" i="37"/>
  <c r="AD77" i="37"/>
  <c r="AD78" i="37"/>
  <c r="AD79" i="37"/>
  <c r="AD80" i="37"/>
  <c r="AD81" i="37"/>
  <c r="AD82" i="37"/>
  <c r="AD83" i="37"/>
  <c r="AD84" i="37"/>
  <c r="AD85" i="37"/>
  <c r="AD86" i="37"/>
  <c r="AD87" i="37"/>
  <c r="AD88" i="37"/>
  <c r="AD89" i="37"/>
  <c r="AD90" i="37"/>
  <c r="AD91" i="37"/>
  <c r="AD92" i="37"/>
  <c r="AD93" i="37"/>
  <c r="AD94" i="37"/>
  <c r="AD95" i="37"/>
  <c r="AD96" i="37"/>
  <c r="AD97" i="37"/>
  <c r="AD98" i="37"/>
  <c r="AD99" i="37"/>
  <c r="AD100" i="37"/>
  <c r="AD101" i="37"/>
  <c r="AD102" i="37"/>
  <c r="AD103" i="37"/>
  <c r="AD104" i="37"/>
  <c r="AD105" i="37"/>
  <c r="AD106" i="37"/>
  <c r="AD107" i="37"/>
  <c r="AD108" i="37"/>
  <c r="AD109" i="37"/>
  <c r="AD110" i="37"/>
  <c r="AD111" i="37"/>
  <c r="AD112" i="37"/>
  <c r="AD113" i="37"/>
  <c r="AD114" i="37"/>
  <c r="AD115" i="37"/>
  <c r="AD116" i="37"/>
  <c r="AD117" i="37"/>
  <c r="AD118" i="37"/>
  <c r="AD119" i="37"/>
  <c r="AD120" i="37"/>
  <c r="AD121" i="37"/>
  <c r="AD122" i="37"/>
  <c r="AD123" i="37"/>
  <c r="AD124" i="37"/>
  <c r="AD125" i="37"/>
  <c r="AD126" i="37"/>
  <c r="AD127" i="37"/>
  <c r="AD128" i="37"/>
  <c r="AD129" i="37"/>
  <c r="AD130" i="37"/>
  <c r="AD131" i="37"/>
  <c r="AD132" i="37"/>
  <c r="AD133" i="37"/>
  <c r="AD134" i="37"/>
  <c r="AD135" i="37"/>
  <c r="AD136" i="37"/>
  <c r="AD137" i="37"/>
  <c r="AD138" i="37"/>
  <c r="AD139" i="37"/>
  <c r="AD140" i="37"/>
  <c r="AD141" i="37"/>
  <c r="AD142" i="37"/>
  <c r="AD143" i="37"/>
  <c r="AD144" i="37"/>
  <c r="AD145" i="37"/>
  <c r="AD146" i="37"/>
  <c r="AD147" i="37"/>
  <c r="AD148" i="37"/>
  <c r="AD149" i="37"/>
  <c r="AD150" i="37"/>
  <c r="AD151" i="37"/>
  <c r="AD152" i="37"/>
  <c r="AD153" i="37"/>
  <c r="AD154" i="37"/>
  <c r="AD155" i="37"/>
  <c r="AD156" i="37"/>
  <c r="AD157" i="37"/>
  <c r="AD158" i="37"/>
  <c r="AD159" i="37"/>
  <c r="AD160" i="37"/>
  <c r="AD161" i="37"/>
  <c r="AD162" i="37"/>
  <c r="AD163" i="37"/>
  <c r="AD164" i="37"/>
  <c r="AD165" i="37"/>
  <c r="AD166" i="37"/>
  <c r="AD167" i="37"/>
  <c r="AD168" i="37"/>
  <c r="AD169" i="37"/>
  <c r="AD170" i="37"/>
  <c r="AD171" i="37"/>
  <c r="AD172" i="37"/>
  <c r="AD173" i="37"/>
  <c r="AD174" i="37"/>
  <c r="AD175" i="37"/>
  <c r="AD176" i="37"/>
  <c r="AD177" i="37"/>
  <c r="AD178" i="37"/>
  <c r="AD179" i="37"/>
  <c r="AD180" i="37"/>
  <c r="AD181" i="37"/>
  <c r="AD182" i="37"/>
  <c r="AD183" i="37"/>
  <c r="AD184" i="37"/>
  <c r="AD185" i="37"/>
  <c r="AD186" i="37"/>
  <c r="AD187" i="37"/>
  <c r="AD188" i="37"/>
  <c r="AD189" i="37"/>
  <c r="AD190" i="37"/>
  <c r="AD191" i="37"/>
  <c r="AD192" i="37"/>
  <c r="AD193" i="37"/>
  <c r="AD194" i="37"/>
  <c r="AD195" i="37"/>
  <c r="AD196" i="37"/>
  <c r="AD197" i="37"/>
  <c r="AD198" i="37"/>
  <c r="AD199" i="37"/>
  <c r="AD200" i="37"/>
  <c r="AD201" i="37"/>
  <c r="AD202" i="37"/>
  <c r="AD203" i="37"/>
  <c r="AD204" i="37"/>
  <c r="AD205" i="37"/>
  <c r="AD206" i="37"/>
  <c r="AD207" i="37"/>
  <c r="AD208" i="37"/>
  <c r="AD209" i="37"/>
  <c r="AD210" i="37"/>
  <c r="AD211" i="37"/>
  <c r="AD212" i="37"/>
  <c r="AD213" i="37"/>
  <c r="AD214" i="37"/>
  <c r="AD215" i="37"/>
  <c r="AD216" i="37"/>
  <c r="AD217" i="37"/>
  <c r="AD218" i="37"/>
  <c r="AD219" i="37"/>
  <c r="AD220" i="37"/>
  <c r="AD221" i="37"/>
  <c r="AD222" i="37"/>
  <c r="AD223" i="37"/>
  <c r="AD224" i="37"/>
  <c r="AD225" i="37"/>
  <c r="AD226" i="37"/>
  <c r="AD227" i="37"/>
  <c r="AD228" i="37"/>
  <c r="AD229" i="37"/>
  <c r="AD230" i="37"/>
  <c r="AD231" i="37"/>
  <c r="AD232" i="37"/>
  <c r="AD233" i="37"/>
  <c r="AD234" i="37"/>
  <c r="AD235" i="37"/>
  <c r="AD236" i="37"/>
  <c r="AD237" i="37"/>
  <c r="AD238" i="37"/>
  <c r="AD239" i="37"/>
  <c r="AD240" i="37"/>
  <c r="AD241" i="37"/>
  <c r="AD242" i="37"/>
  <c r="AD243" i="37"/>
  <c r="AD244" i="37"/>
  <c r="AD245" i="37"/>
  <c r="AD246" i="37"/>
  <c r="AD247" i="37"/>
  <c r="AD248" i="37"/>
  <c r="AD249" i="37"/>
  <c r="AD250" i="37"/>
  <c r="AD251" i="37"/>
  <c r="AD252" i="37"/>
  <c r="AD253" i="37"/>
  <c r="AD254" i="37"/>
  <c r="AD255" i="37"/>
  <c r="AD256" i="37"/>
  <c r="AD257" i="37"/>
  <c r="AD258" i="37"/>
  <c r="AD259" i="37"/>
  <c r="AD260" i="37"/>
  <c r="AD261" i="37"/>
  <c r="AD262" i="37"/>
  <c r="AD263" i="37"/>
  <c r="AD264" i="37"/>
  <c r="AD265" i="37"/>
  <c r="AD266" i="37"/>
  <c r="AD267" i="37"/>
  <c r="AD268" i="37"/>
  <c r="AD269" i="37"/>
  <c r="AD270" i="37"/>
  <c r="AD271" i="37"/>
  <c r="AD272" i="37"/>
  <c r="AD273" i="37"/>
  <c r="AD274" i="37"/>
  <c r="AD275" i="37"/>
  <c r="AD276" i="37"/>
  <c r="AD277" i="37"/>
  <c r="AD278" i="37"/>
  <c r="AD279" i="37"/>
  <c r="AD280" i="37"/>
  <c r="AD281" i="37"/>
  <c r="AD282" i="37"/>
  <c r="AD283" i="37"/>
  <c r="AD284" i="37"/>
  <c r="AD285" i="37"/>
  <c r="AD286" i="37"/>
  <c r="AD287" i="37"/>
  <c r="AD288" i="37"/>
  <c r="AD289" i="37"/>
  <c r="AD290" i="37"/>
  <c r="AD291" i="37"/>
  <c r="AD292" i="37"/>
  <c r="AD293" i="37"/>
  <c r="AD294" i="37"/>
  <c r="AD295" i="37"/>
  <c r="AD296" i="37"/>
  <c r="AD297" i="37"/>
  <c r="AD298" i="37"/>
  <c r="AD299" i="37"/>
  <c r="AD300" i="37"/>
  <c r="AD301" i="37"/>
  <c r="AD302" i="37"/>
  <c r="AD303" i="37"/>
  <c r="AD304" i="37"/>
  <c r="AD305" i="37"/>
  <c r="AD306" i="37"/>
  <c r="AD307" i="37"/>
  <c r="AD308" i="37"/>
  <c r="AD309" i="37"/>
  <c r="AD310" i="37"/>
  <c r="AD311" i="37"/>
  <c r="AD312" i="37"/>
  <c r="AD313" i="37"/>
  <c r="AD314" i="37"/>
  <c r="AD315" i="37"/>
  <c r="AD316" i="37"/>
  <c r="AD317" i="37"/>
  <c r="AD318" i="37"/>
  <c r="AD319" i="37"/>
  <c r="AD320" i="37"/>
  <c r="AD321" i="37"/>
  <c r="AD322" i="37"/>
  <c r="AD323" i="37"/>
  <c r="AD324" i="37"/>
  <c r="AD325" i="37"/>
  <c r="AD326" i="37"/>
  <c r="AD327" i="37"/>
  <c r="AD328" i="37"/>
  <c r="AD329" i="37"/>
  <c r="AD330" i="37"/>
  <c r="AD331" i="37"/>
  <c r="AD332" i="37"/>
  <c r="AD333" i="37"/>
  <c r="AD334" i="37"/>
  <c r="AD335" i="37"/>
  <c r="AD336" i="37"/>
  <c r="AD337" i="37"/>
  <c r="AD338" i="37"/>
  <c r="AD339" i="37"/>
  <c r="AD340" i="37"/>
  <c r="AD341" i="37"/>
  <c r="AD342" i="37"/>
  <c r="AD343" i="37"/>
  <c r="AD344" i="37"/>
  <c r="AD345" i="37"/>
  <c r="AD346" i="37"/>
  <c r="AD347" i="37"/>
  <c r="AD348" i="37"/>
  <c r="AD349" i="37"/>
  <c r="AD350" i="37"/>
  <c r="AD351" i="37"/>
  <c r="AD352" i="37"/>
  <c r="AD353" i="37"/>
  <c r="AD354" i="37"/>
  <c r="AD355" i="37"/>
  <c r="AD356" i="37"/>
  <c r="AD357" i="37"/>
  <c r="AD358" i="37"/>
  <c r="AD359" i="37"/>
  <c r="AD360" i="37"/>
  <c r="AD361" i="37"/>
  <c r="AD362" i="37"/>
  <c r="AD363" i="37"/>
  <c r="AD364" i="37"/>
  <c r="AD365" i="37"/>
  <c r="AD366" i="37"/>
  <c r="AD367" i="37"/>
  <c r="AD368" i="37"/>
  <c r="AD369" i="37"/>
  <c r="AD370" i="37"/>
  <c r="AD371" i="37"/>
  <c r="AD372" i="37"/>
  <c r="AD373" i="37"/>
  <c r="AD374" i="37"/>
  <c r="AD375" i="37"/>
  <c r="AD376" i="37"/>
  <c r="AD377" i="37"/>
  <c r="AD378" i="37"/>
  <c r="AD379" i="37"/>
  <c r="AD380" i="37"/>
  <c r="AD381" i="37"/>
  <c r="AD382" i="37"/>
  <c r="AD383" i="37"/>
  <c r="AD384" i="37"/>
  <c r="AD385" i="37"/>
  <c r="AD386" i="37"/>
  <c r="AD387" i="37"/>
  <c r="AD388" i="37"/>
  <c r="AD389" i="37"/>
  <c r="AD390" i="37"/>
  <c r="AD391" i="37"/>
  <c r="AD392" i="37"/>
  <c r="AD393" i="37"/>
  <c r="AD394" i="37"/>
  <c r="AD395" i="37"/>
  <c r="AD396" i="37"/>
  <c r="AD397" i="37"/>
  <c r="AD398" i="37"/>
  <c r="AD399" i="37"/>
  <c r="AD400" i="37"/>
  <c r="AD401" i="37"/>
  <c r="AD402" i="37"/>
  <c r="AD403" i="37"/>
  <c r="AD404" i="37"/>
  <c r="AD405" i="37"/>
  <c r="AD406" i="37"/>
  <c r="AD407" i="37"/>
  <c r="AD408" i="37"/>
  <c r="AD409" i="37"/>
  <c r="AD410" i="37"/>
  <c r="AD411" i="37"/>
  <c r="AD412" i="37"/>
  <c r="AD413" i="37"/>
  <c r="AD414" i="37"/>
  <c r="AD415" i="37"/>
  <c r="AD416" i="37"/>
  <c r="AD417" i="37"/>
  <c r="AD418" i="37"/>
  <c r="AD419" i="37"/>
  <c r="AD420" i="37"/>
  <c r="AD421" i="37"/>
  <c r="AD422" i="37"/>
  <c r="AD423" i="37"/>
  <c r="AD424" i="37"/>
  <c r="AD425" i="37"/>
  <c r="AD426" i="37"/>
  <c r="AD427" i="37"/>
  <c r="AD428" i="37"/>
  <c r="AD429" i="37"/>
  <c r="AD430" i="37"/>
  <c r="AD431" i="37"/>
  <c r="AD432" i="37"/>
  <c r="AD433" i="37"/>
  <c r="AD434" i="37"/>
  <c r="AD435" i="37"/>
  <c r="AD436" i="37"/>
  <c r="AD437" i="37"/>
  <c r="AD438" i="37"/>
  <c r="AD439" i="37"/>
  <c r="AD440" i="37"/>
  <c r="AD441" i="37"/>
  <c r="AD442" i="37"/>
  <c r="AD443" i="37"/>
  <c r="AD444" i="37"/>
  <c r="AD445" i="37"/>
  <c r="AD446" i="37"/>
  <c r="AD447" i="37"/>
  <c r="AD448" i="37"/>
  <c r="AD449" i="37"/>
  <c r="AD450" i="37"/>
  <c r="AD451" i="37"/>
  <c r="AD452" i="37"/>
  <c r="AD453" i="37"/>
  <c r="AD454" i="37"/>
  <c r="AD455" i="37"/>
  <c r="AD456" i="37"/>
  <c r="AD457" i="37"/>
  <c r="AD458" i="37"/>
  <c r="AD459" i="37"/>
  <c r="AD460" i="37"/>
  <c r="AD461" i="37"/>
  <c r="AD462" i="37"/>
  <c r="AD463" i="37"/>
  <c r="AD464" i="37"/>
  <c r="AD465" i="37"/>
  <c r="AD466" i="37"/>
  <c r="AD467" i="37"/>
  <c r="AD468" i="37"/>
  <c r="AD469" i="37"/>
  <c r="AD470" i="37"/>
  <c r="AD471" i="37"/>
  <c r="AD472" i="37"/>
  <c r="AD473" i="37"/>
  <c r="AD474" i="37"/>
  <c r="AD475" i="37"/>
  <c r="AD476" i="37"/>
  <c r="AD477" i="37"/>
  <c r="AD478" i="37"/>
  <c r="AD479" i="37"/>
  <c r="AD480" i="37"/>
  <c r="AD481" i="37"/>
  <c r="AD482" i="37"/>
  <c r="AD483" i="37"/>
  <c r="AD484" i="37"/>
  <c r="AD485" i="37"/>
  <c r="AD486" i="37"/>
  <c r="AD487" i="37"/>
  <c r="AD488" i="37"/>
  <c r="AD489" i="37"/>
  <c r="AD490" i="37"/>
  <c r="AD491" i="37"/>
  <c r="AD492" i="37"/>
  <c r="AD493" i="37"/>
  <c r="AD494" i="37"/>
  <c r="AD495" i="37"/>
  <c r="AD496" i="37"/>
  <c r="AD497" i="37"/>
  <c r="AD498" i="37"/>
  <c r="AD499" i="37"/>
  <c r="AD500" i="37"/>
  <c r="AD501" i="37"/>
  <c r="AD502" i="37"/>
  <c r="AD503" i="37"/>
  <c r="AD504" i="37"/>
  <c r="AD505" i="37"/>
  <c r="AD506" i="37"/>
  <c r="AD507" i="37"/>
  <c r="AD508" i="37"/>
  <c r="AD509" i="37"/>
  <c r="AD510" i="37"/>
  <c r="AD511" i="37"/>
  <c r="AD512" i="37"/>
  <c r="AD513" i="37"/>
  <c r="AD514" i="37"/>
  <c r="AD515" i="37"/>
  <c r="W77" i="37"/>
  <c r="X77" i="37"/>
  <c r="W78" i="37"/>
  <c r="X78" i="37"/>
  <c r="W79" i="37"/>
  <c r="X79" i="37"/>
  <c r="W80" i="37"/>
  <c r="X80" i="37"/>
  <c r="W81" i="37"/>
  <c r="X81" i="37"/>
  <c r="W82" i="37"/>
  <c r="X82" i="37"/>
  <c r="W83" i="37"/>
  <c r="X83" i="37"/>
  <c r="W84" i="37"/>
  <c r="X84" i="37"/>
  <c r="W85" i="37"/>
  <c r="X85" i="37"/>
  <c r="W86" i="37"/>
  <c r="X86" i="37"/>
  <c r="W87" i="37"/>
  <c r="X87" i="37"/>
  <c r="W88" i="37"/>
  <c r="X88" i="37"/>
  <c r="W89" i="37"/>
  <c r="X89" i="37"/>
  <c r="W90" i="37"/>
  <c r="X90" i="37"/>
  <c r="W91" i="37"/>
  <c r="X91" i="37"/>
  <c r="W92" i="37"/>
  <c r="X92" i="37"/>
  <c r="W93" i="37"/>
  <c r="X93" i="37"/>
  <c r="W94" i="37"/>
  <c r="X94" i="37"/>
  <c r="W95" i="37"/>
  <c r="X95" i="37"/>
  <c r="W96" i="37"/>
  <c r="X96" i="37"/>
  <c r="W97" i="37"/>
  <c r="X97" i="37"/>
  <c r="W98" i="37"/>
  <c r="X98" i="37"/>
  <c r="W99" i="37"/>
  <c r="X99" i="37"/>
  <c r="W100" i="37"/>
  <c r="X100" i="37"/>
  <c r="W101" i="37"/>
  <c r="X101" i="37"/>
  <c r="W102" i="37"/>
  <c r="X102" i="37"/>
  <c r="W103" i="37"/>
  <c r="X103" i="37"/>
  <c r="W104" i="37"/>
  <c r="X104" i="37"/>
  <c r="W105" i="37"/>
  <c r="X105" i="37"/>
  <c r="W106" i="37"/>
  <c r="X106" i="37"/>
  <c r="W107" i="37"/>
  <c r="X107" i="37"/>
  <c r="W108" i="37"/>
  <c r="X108" i="37"/>
  <c r="W109" i="37"/>
  <c r="X109" i="37"/>
  <c r="W110" i="37"/>
  <c r="X110" i="37"/>
  <c r="W111" i="37"/>
  <c r="X111" i="37"/>
  <c r="W112" i="37"/>
  <c r="X112" i="37"/>
  <c r="W113" i="37"/>
  <c r="X113" i="37"/>
  <c r="W114" i="37"/>
  <c r="X114" i="37"/>
  <c r="W115" i="37"/>
  <c r="X115" i="37"/>
  <c r="W116" i="37"/>
  <c r="X116" i="37"/>
  <c r="W117" i="37"/>
  <c r="X117" i="37"/>
  <c r="W118" i="37"/>
  <c r="X118" i="37"/>
  <c r="W119" i="37"/>
  <c r="X119" i="37"/>
  <c r="W120" i="37"/>
  <c r="X120" i="37"/>
  <c r="W121" i="37"/>
  <c r="X121" i="37"/>
  <c r="W122" i="37"/>
  <c r="X122" i="37"/>
  <c r="W123" i="37"/>
  <c r="X123" i="37"/>
  <c r="W124" i="37"/>
  <c r="X124" i="37"/>
  <c r="W125" i="37"/>
  <c r="X125" i="37"/>
  <c r="W126" i="37"/>
  <c r="X126" i="37"/>
  <c r="W127" i="37"/>
  <c r="X127" i="37"/>
  <c r="W128" i="37"/>
  <c r="X128" i="37"/>
  <c r="W129" i="37"/>
  <c r="X129" i="37"/>
  <c r="W130" i="37"/>
  <c r="X130" i="37"/>
  <c r="W131" i="37"/>
  <c r="X131" i="37"/>
  <c r="W132" i="37"/>
  <c r="X132" i="37"/>
  <c r="W133" i="37"/>
  <c r="X133" i="37"/>
  <c r="W134" i="37"/>
  <c r="X134" i="37"/>
  <c r="W135" i="37"/>
  <c r="X135" i="37"/>
  <c r="W136" i="37"/>
  <c r="X136" i="37"/>
  <c r="W137" i="37"/>
  <c r="X137" i="37"/>
  <c r="W138" i="37"/>
  <c r="X138" i="37"/>
  <c r="W139" i="37"/>
  <c r="X139" i="37"/>
  <c r="W140" i="37"/>
  <c r="X140" i="37"/>
  <c r="W141" i="37"/>
  <c r="X141" i="37"/>
  <c r="W142" i="37"/>
  <c r="X142" i="37"/>
  <c r="W143" i="37"/>
  <c r="X143" i="37"/>
  <c r="W144" i="37"/>
  <c r="X144" i="37"/>
  <c r="W145" i="37"/>
  <c r="X145" i="37"/>
  <c r="W146" i="37"/>
  <c r="X146" i="37"/>
  <c r="W147" i="37"/>
  <c r="X147" i="37"/>
  <c r="W148" i="37"/>
  <c r="X148" i="37"/>
  <c r="W149" i="37"/>
  <c r="X149" i="37"/>
  <c r="W150" i="37"/>
  <c r="X150" i="37"/>
  <c r="W151" i="37"/>
  <c r="X151" i="37"/>
  <c r="W152" i="37"/>
  <c r="X152" i="37"/>
  <c r="W153" i="37"/>
  <c r="X153" i="37"/>
  <c r="W154" i="37"/>
  <c r="X154" i="37"/>
  <c r="W155" i="37"/>
  <c r="X155" i="37"/>
  <c r="W156" i="37"/>
  <c r="X156" i="37"/>
  <c r="W157" i="37"/>
  <c r="X157" i="37"/>
  <c r="W158" i="37"/>
  <c r="X158" i="37"/>
  <c r="W159" i="37"/>
  <c r="X159" i="37"/>
  <c r="W160" i="37"/>
  <c r="X160" i="37"/>
  <c r="W161" i="37"/>
  <c r="X161" i="37"/>
  <c r="W162" i="37"/>
  <c r="X162" i="37"/>
  <c r="W163" i="37"/>
  <c r="X163" i="37"/>
  <c r="W164" i="37"/>
  <c r="X164" i="37"/>
  <c r="W165" i="37"/>
  <c r="X165" i="37"/>
  <c r="W166" i="37"/>
  <c r="X166" i="37"/>
  <c r="W167" i="37"/>
  <c r="X167" i="37"/>
  <c r="W168" i="37"/>
  <c r="X168" i="37"/>
  <c r="W169" i="37"/>
  <c r="X169" i="37"/>
  <c r="W170" i="37"/>
  <c r="X170" i="37"/>
  <c r="W171" i="37"/>
  <c r="X171" i="37"/>
  <c r="W172" i="37"/>
  <c r="X172" i="37"/>
  <c r="W173" i="37"/>
  <c r="X173" i="37"/>
  <c r="W174" i="37"/>
  <c r="X174" i="37"/>
  <c r="W175" i="37"/>
  <c r="X175" i="37"/>
  <c r="W176" i="37"/>
  <c r="X176" i="37"/>
  <c r="W177" i="37"/>
  <c r="X177" i="37"/>
  <c r="W178" i="37"/>
  <c r="X178" i="37"/>
  <c r="W179" i="37"/>
  <c r="X179" i="37"/>
  <c r="W180" i="37"/>
  <c r="X180" i="37"/>
  <c r="W181" i="37"/>
  <c r="X181" i="37"/>
  <c r="W182" i="37"/>
  <c r="X182" i="37"/>
  <c r="W183" i="37"/>
  <c r="X183" i="37"/>
  <c r="W184" i="37"/>
  <c r="X184" i="37"/>
  <c r="W185" i="37"/>
  <c r="X185" i="37"/>
  <c r="W186" i="37"/>
  <c r="X186" i="37"/>
  <c r="W187" i="37"/>
  <c r="X187" i="37"/>
  <c r="W188" i="37"/>
  <c r="X188" i="37"/>
  <c r="W189" i="37"/>
  <c r="X189" i="37"/>
  <c r="W190" i="37"/>
  <c r="X190" i="37"/>
  <c r="W191" i="37"/>
  <c r="X191" i="37"/>
  <c r="W192" i="37"/>
  <c r="X192" i="37"/>
  <c r="W193" i="37"/>
  <c r="X193" i="37"/>
  <c r="W194" i="37"/>
  <c r="X194" i="37"/>
  <c r="W195" i="37"/>
  <c r="X195" i="37"/>
  <c r="W196" i="37"/>
  <c r="X196" i="37"/>
  <c r="W197" i="37"/>
  <c r="X197" i="37"/>
  <c r="W198" i="37"/>
  <c r="X198" i="37"/>
  <c r="W199" i="37"/>
  <c r="X199" i="37"/>
  <c r="W200" i="37"/>
  <c r="X200" i="37"/>
  <c r="W201" i="37"/>
  <c r="X201" i="37"/>
  <c r="W202" i="37"/>
  <c r="X202" i="37"/>
  <c r="W203" i="37"/>
  <c r="X203" i="37"/>
  <c r="W204" i="37"/>
  <c r="X204" i="37"/>
  <c r="W205" i="37"/>
  <c r="X205" i="37"/>
  <c r="W206" i="37"/>
  <c r="X206" i="37"/>
  <c r="W207" i="37"/>
  <c r="X207" i="37"/>
  <c r="W208" i="37"/>
  <c r="X208" i="37"/>
  <c r="W209" i="37"/>
  <c r="X209" i="37"/>
  <c r="W210" i="37"/>
  <c r="X210" i="37"/>
  <c r="W211" i="37"/>
  <c r="X211" i="37"/>
  <c r="W212" i="37"/>
  <c r="X212" i="37"/>
  <c r="W213" i="37"/>
  <c r="X213" i="37"/>
  <c r="W214" i="37"/>
  <c r="X214" i="37"/>
  <c r="W215" i="37"/>
  <c r="X215" i="37"/>
  <c r="W216" i="37"/>
  <c r="X216" i="37"/>
  <c r="W217" i="37"/>
  <c r="X217" i="37"/>
  <c r="W218" i="37"/>
  <c r="X218" i="37"/>
  <c r="W219" i="37"/>
  <c r="X219" i="37"/>
  <c r="W220" i="37"/>
  <c r="X220" i="37"/>
  <c r="W221" i="37"/>
  <c r="X221" i="37"/>
  <c r="W222" i="37"/>
  <c r="X222" i="37"/>
  <c r="W223" i="37"/>
  <c r="X223" i="37"/>
  <c r="W224" i="37"/>
  <c r="X224" i="37"/>
  <c r="W225" i="37"/>
  <c r="X225" i="37"/>
  <c r="W226" i="37"/>
  <c r="X226" i="37"/>
  <c r="W227" i="37"/>
  <c r="X227" i="37"/>
  <c r="W228" i="37"/>
  <c r="X228" i="37"/>
  <c r="W229" i="37"/>
  <c r="X229" i="37"/>
  <c r="W230" i="37"/>
  <c r="X230" i="37"/>
  <c r="W231" i="37"/>
  <c r="X231" i="37"/>
  <c r="W232" i="37"/>
  <c r="X232" i="37"/>
  <c r="W233" i="37"/>
  <c r="X233" i="37"/>
  <c r="W234" i="37"/>
  <c r="X234" i="37"/>
  <c r="W235" i="37"/>
  <c r="X235" i="37"/>
  <c r="W236" i="37"/>
  <c r="X236" i="37"/>
  <c r="W237" i="37"/>
  <c r="X237" i="37"/>
  <c r="W238" i="37"/>
  <c r="X238" i="37"/>
  <c r="W239" i="37"/>
  <c r="X239" i="37"/>
  <c r="W240" i="37"/>
  <c r="X240" i="37"/>
  <c r="W241" i="37"/>
  <c r="X241" i="37"/>
  <c r="W242" i="37"/>
  <c r="X242" i="37"/>
  <c r="W243" i="37"/>
  <c r="X243" i="37"/>
  <c r="W244" i="37"/>
  <c r="X244" i="37"/>
  <c r="W245" i="37"/>
  <c r="X245" i="37"/>
  <c r="W246" i="37"/>
  <c r="X246" i="37"/>
  <c r="W247" i="37"/>
  <c r="X247" i="37"/>
  <c r="W248" i="37"/>
  <c r="X248" i="37"/>
  <c r="W249" i="37"/>
  <c r="X249" i="37"/>
  <c r="W250" i="37"/>
  <c r="X250" i="37"/>
  <c r="W251" i="37"/>
  <c r="X251" i="37"/>
  <c r="W252" i="37"/>
  <c r="X252" i="37"/>
  <c r="W253" i="37"/>
  <c r="X253" i="37"/>
  <c r="W254" i="37"/>
  <c r="X254" i="37"/>
  <c r="W255" i="37"/>
  <c r="X255" i="37"/>
  <c r="W256" i="37"/>
  <c r="X256" i="37"/>
  <c r="W257" i="37"/>
  <c r="X257" i="37"/>
  <c r="W258" i="37"/>
  <c r="X258" i="37"/>
  <c r="W259" i="37"/>
  <c r="X259" i="37"/>
  <c r="W260" i="37"/>
  <c r="X260" i="37"/>
  <c r="W261" i="37"/>
  <c r="X261" i="37"/>
  <c r="W262" i="37"/>
  <c r="X262" i="37"/>
  <c r="W263" i="37"/>
  <c r="X263" i="37"/>
  <c r="W264" i="37"/>
  <c r="X264" i="37"/>
  <c r="W265" i="37"/>
  <c r="X265" i="37"/>
  <c r="W266" i="37"/>
  <c r="X266" i="37"/>
  <c r="W267" i="37"/>
  <c r="X267" i="37"/>
  <c r="W268" i="37"/>
  <c r="X268" i="37"/>
  <c r="W269" i="37"/>
  <c r="X269" i="37"/>
  <c r="W270" i="37"/>
  <c r="X270" i="37"/>
  <c r="W271" i="37"/>
  <c r="X271" i="37"/>
  <c r="W272" i="37"/>
  <c r="X272" i="37"/>
  <c r="W273" i="37"/>
  <c r="X273" i="37"/>
  <c r="W274" i="37"/>
  <c r="X274" i="37"/>
  <c r="W275" i="37"/>
  <c r="X275" i="37"/>
  <c r="W276" i="37"/>
  <c r="X276" i="37"/>
  <c r="W277" i="37"/>
  <c r="X277" i="37"/>
  <c r="W278" i="37"/>
  <c r="X278" i="37"/>
  <c r="W279" i="37"/>
  <c r="X279" i="37"/>
  <c r="W280" i="37"/>
  <c r="X280" i="37"/>
  <c r="W281" i="37"/>
  <c r="X281" i="37"/>
  <c r="W282" i="37"/>
  <c r="X282" i="37"/>
  <c r="W283" i="37"/>
  <c r="X283" i="37"/>
  <c r="W284" i="37"/>
  <c r="X284" i="37"/>
  <c r="W285" i="37"/>
  <c r="X285" i="37"/>
  <c r="W286" i="37"/>
  <c r="X286" i="37"/>
  <c r="W287" i="37"/>
  <c r="X287" i="37"/>
  <c r="W288" i="37"/>
  <c r="X288" i="37"/>
  <c r="W289" i="37"/>
  <c r="X289" i="37"/>
  <c r="W290" i="37"/>
  <c r="X290" i="37"/>
  <c r="W291" i="37"/>
  <c r="X291" i="37"/>
  <c r="W292" i="37"/>
  <c r="X292" i="37"/>
  <c r="W293" i="37"/>
  <c r="X293" i="37"/>
  <c r="W294" i="37"/>
  <c r="X294" i="37"/>
  <c r="W295" i="37"/>
  <c r="X295" i="37"/>
  <c r="W296" i="37"/>
  <c r="X296" i="37"/>
  <c r="W297" i="37"/>
  <c r="X297" i="37"/>
  <c r="W298" i="37"/>
  <c r="X298" i="37"/>
  <c r="W299" i="37"/>
  <c r="X299" i="37"/>
  <c r="W300" i="37"/>
  <c r="X300" i="37"/>
  <c r="W301" i="37"/>
  <c r="X301" i="37"/>
  <c r="W302" i="37"/>
  <c r="X302" i="37"/>
  <c r="W303" i="37"/>
  <c r="X303" i="37"/>
  <c r="W304" i="37"/>
  <c r="X304" i="37"/>
  <c r="W305" i="37"/>
  <c r="X305" i="37"/>
  <c r="W306" i="37"/>
  <c r="X306" i="37"/>
  <c r="W307" i="37"/>
  <c r="X307" i="37"/>
  <c r="W308" i="37"/>
  <c r="X308" i="37"/>
  <c r="W309" i="37"/>
  <c r="X309" i="37"/>
  <c r="W310" i="37"/>
  <c r="X310" i="37"/>
  <c r="W311" i="37"/>
  <c r="X311" i="37"/>
  <c r="W312" i="37"/>
  <c r="X312" i="37"/>
  <c r="W313" i="37"/>
  <c r="X313" i="37"/>
  <c r="W314" i="37"/>
  <c r="X314" i="37"/>
  <c r="W315" i="37"/>
  <c r="X315" i="37"/>
  <c r="W316" i="37"/>
  <c r="X316" i="37"/>
  <c r="W317" i="37"/>
  <c r="X317" i="37"/>
  <c r="W318" i="37"/>
  <c r="X318" i="37"/>
  <c r="W319" i="37"/>
  <c r="X319" i="37"/>
  <c r="W320" i="37"/>
  <c r="X320" i="37"/>
  <c r="W321" i="37"/>
  <c r="X321" i="37"/>
  <c r="W322" i="37"/>
  <c r="X322" i="37"/>
  <c r="W323" i="37"/>
  <c r="X323" i="37"/>
  <c r="W324" i="37"/>
  <c r="X324" i="37"/>
  <c r="W325" i="37"/>
  <c r="X325" i="37"/>
  <c r="W326" i="37"/>
  <c r="X326" i="37"/>
  <c r="W327" i="37"/>
  <c r="X327" i="37"/>
  <c r="W328" i="37"/>
  <c r="X328" i="37"/>
  <c r="W329" i="37"/>
  <c r="X329" i="37"/>
  <c r="W330" i="37"/>
  <c r="X330" i="37"/>
  <c r="W331" i="37"/>
  <c r="X331" i="37"/>
  <c r="W332" i="37"/>
  <c r="X332" i="37"/>
  <c r="W333" i="37"/>
  <c r="X333" i="37"/>
  <c r="W334" i="37"/>
  <c r="X334" i="37"/>
  <c r="W335" i="37"/>
  <c r="X335" i="37"/>
  <c r="W336" i="37"/>
  <c r="X336" i="37"/>
  <c r="W337" i="37"/>
  <c r="X337" i="37"/>
  <c r="W338" i="37"/>
  <c r="X338" i="37"/>
  <c r="W339" i="37"/>
  <c r="X339" i="37"/>
  <c r="W340" i="37"/>
  <c r="X340" i="37"/>
  <c r="W341" i="37"/>
  <c r="X341" i="37"/>
  <c r="W342" i="37"/>
  <c r="X342" i="37"/>
  <c r="W343" i="37"/>
  <c r="X343" i="37"/>
  <c r="W344" i="37"/>
  <c r="X344" i="37"/>
  <c r="W345" i="37"/>
  <c r="X345" i="37"/>
  <c r="W346" i="37"/>
  <c r="X346" i="37"/>
  <c r="W347" i="37"/>
  <c r="X347" i="37"/>
  <c r="W348" i="37"/>
  <c r="X348" i="37"/>
  <c r="W349" i="37"/>
  <c r="X349" i="37"/>
  <c r="W350" i="37"/>
  <c r="X350" i="37"/>
  <c r="W351" i="37"/>
  <c r="X351" i="37"/>
  <c r="W352" i="37"/>
  <c r="X352" i="37"/>
  <c r="W353" i="37"/>
  <c r="X353" i="37"/>
  <c r="W354" i="37"/>
  <c r="X354" i="37"/>
  <c r="W355" i="37"/>
  <c r="X355" i="37"/>
  <c r="W356" i="37"/>
  <c r="X356" i="37"/>
  <c r="W357" i="37"/>
  <c r="X357" i="37"/>
  <c r="W358" i="37"/>
  <c r="X358" i="37"/>
  <c r="W359" i="37"/>
  <c r="X359" i="37"/>
  <c r="W360" i="37"/>
  <c r="X360" i="37"/>
  <c r="W361" i="37"/>
  <c r="X361" i="37"/>
  <c r="W362" i="37"/>
  <c r="X362" i="37"/>
  <c r="W363" i="37"/>
  <c r="X363" i="37"/>
  <c r="W364" i="37"/>
  <c r="X364" i="37"/>
  <c r="W365" i="37"/>
  <c r="X365" i="37"/>
  <c r="W366" i="37"/>
  <c r="X366" i="37"/>
  <c r="W367" i="37"/>
  <c r="X367" i="37"/>
  <c r="W368" i="37"/>
  <c r="X368" i="37"/>
  <c r="W369" i="37"/>
  <c r="X369" i="37"/>
  <c r="W370" i="37"/>
  <c r="X370" i="37"/>
  <c r="W371" i="37"/>
  <c r="X371" i="37"/>
  <c r="W372" i="37"/>
  <c r="X372" i="37"/>
  <c r="W373" i="37"/>
  <c r="X373" i="37"/>
  <c r="W374" i="37"/>
  <c r="X374" i="37"/>
  <c r="W375" i="37"/>
  <c r="X375" i="37"/>
  <c r="W376" i="37"/>
  <c r="X376" i="37"/>
  <c r="W377" i="37"/>
  <c r="X377" i="37"/>
  <c r="W378" i="37"/>
  <c r="X378" i="37"/>
  <c r="W379" i="37"/>
  <c r="X379" i="37"/>
  <c r="W380" i="37"/>
  <c r="X380" i="37"/>
  <c r="W381" i="37"/>
  <c r="X381" i="37"/>
  <c r="W382" i="37"/>
  <c r="X382" i="37"/>
  <c r="W383" i="37"/>
  <c r="X383" i="37"/>
  <c r="W384" i="37"/>
  <c r="X384" i="37"/>
  <c r="W385" i="37"/>
  <c r="X385" i="37"/>
  <c r="W386" i="37"/>
  <c r="X386" i="37"/>
  <c r="W387" i="37"/>
  <c r="X387" i="37"/>
  <c r="W388" i="37"/>
  <c r="X388" i="37"/>
  <c r="W389" i="37"/>
  <c r="X389" i="37"/>
  <c r="W390" i="37"/>
  <c r="X390" i="37"/>
  <c r="W391" i="37"/>
  <c r="X391" i="37"/>
  <c r="W392" i="37"/>
  <c r="X392" i="37"/>
  <c r="W393" i="37"/>
  <c r="X393" i="37"/>
  <c r="W394" i="37"/>
  <c r="X394" i="37"/>
  <c r="W395" i="37"/>
  <c r="X395" i="37"/>
  <c r="W396" i="37"/>
  <c r="X396" i="37"/>
  <c r="W397" i="37"/>
  <c r="X397" i="37"/>
  <c r="W398" i="37"/>
  <c r="X398" i="37"/>
  <c r="W399" i="37"/>
  <c r="X399" i="37"/>
  <c r="W400" i="37"/>
  <c r="X400" i="37"/>
  <c r="W401" i="37"/>
  <c r="X401" i="37"/>
  <c r="W402" i="37"/>
  <c r="X402" i="37"/>
  <c r="W403" i="37"/>
  <c r="X403" i="37"/>
  <c r="W404" i="37"/>
  <c r="X404" i="37"/>
  <c r="W405" i="37"/>
  <c r="X405" i="37"/>
  <c r="W406" i="37"/>
  <c r="X406" i="37"/>
  <c r="W407" i="37"/>
  <c r="X407" i="37"/>
  <c r="W408" i="37"/>
  <c r="X408" i="37"/>
  <c r="W409" i="37"/>
  <c r="X409" i="37"/>
  <c r="W410" i="37"/>
  <c r="X410" i="37"/>
  <c r="W411" i="37"/>
  <c r="X411" i="37"/>
  <c r="W412" i="37"/>
  <c r="X412" i="37"/>
  <c r="W413" i="37"/>
  <c r="X413" i="37"/>
  <c r="W414" i="37"/>
  <c r="X414" i="37"/>
  <c r="W415" i="37"/>
  <c r="X415" i="37"/>
  <c r="W416" i="37"/>
  <c r="X416" i="37"/>
  <c r="W417" i="37"/>
  <c r="X417" i="37"/>
  <c r="W418" i="37"/>
  <c r="X418" i="37"/>
  <c r="W419" i="37"/>
  <c r="X419" i="37"/>
  <c r="W420" i="37"/>
  <c r="X420" i="37"/>
  <c r="W421" i="37"/>
  <c r="X421" i="37"/>
  <c r="W422" i="37"/>
  <c r="X422" i="37"/>
  <c r="W423" i="37"/>
  <c r="X423" i="37"/>
  <c r="W424" i="37"/>
  <c r="X424" i="37"/>
  <c r="W425" i="37"/>
  <c r="X425" i="37"/>
  <c r="W426" i="37"/>
  <c r="X426" i="37"/>
  <c r="W427" i="37"/>
  <c r="X427" i="37"/>
  <c r="W428" i="37"/>
  <c r="X428" i="37"/>
  <c r="W429" i="37"/>
  <c r="X429" i="37"/>
  <c r="W430" i="37"/>
  <c r="X430" i="37"/>
  <c r="W431" i="37"/>
  <c r="X431" i="37"/>
  <c r="W432" i="37"/>
  <c r="X432" i="37"/>
  <c r="W433" i="37"/>
  <c r="X433" i="37"/>
  <c r="W434" i="37"/>
  <c r="X434" i="37"/>
  <c r="W435" i="37"/>
  <c r="X435" i="37"/>
  <c r="W436" i="37"/>
  <c r="X436" i="37"/>
  <c r="W437" i="37"/>
  <c r="X437" i="37"/>
  <c r="W438" i="37"/>
  <c r="X438" i="37"/>
  <c r="W439" i="37"/>
  <c r="X439" i="37"/>
  <c r="W440" i="37"/>
  <c r="X440" i="37"/>
  <c r="W441" i="37"/>
  <c r="X441" i="37"/>
  <c r="W442" i="37"/>
  <c r="X442" i="37"/>
  <c r="W443" i="37"/>
  <c r="X443" i="37"/>
  <c r="W444" i="37"/>
  <c r="X444" i="37"/>
  <c r="W445" i="37"/>
  <c r="X445" i="37"/>
  <c r="W446" i="37"/>
  <c r="X446" i="37"/>
  <c r="W447" i="37"/>
  <c r="X447" i="37"/>
  <c r="W448" i="37"/>
  <c r="X448" i="37"/>
  <c r="W449" i="37"/>
  <c r="X449" i="37"/>
  <c r="W450" i="37"/>
  <c r="X450" i="37"/>
  <c r="W451" i="37"/>
  <c r="X451" i="37"/>
  <c r="W452" i="37"/>
  <c r="X452" i="37"/>
  <c r="W453" i="37"/>
  <c r="X453" i="37"/>
  <c r="W454" i="37"/>
  <c r="X454" i="37"/>
  <c r="W455" i="37"/>
  <c r="X455" i="37"/>
  <c r="W456" i="37"/>
  <c r="X456" i="37"/>
  <c r="W457" i="37"/>
  <c r="X457" i="37"/>
  <c r="W458" i="37"/>
  <c r="X458" i="37"/>
  <c r="W459" i="37"/>
  <c r="X459" i="37"/>
  <c r="W460" i="37"/>
  <c r="X460" i="37"/>
  <c r="W461" i="37"/>
  <c r="X461" i="37"/>
  <c r="W462" i="37"/>
  <c r="X462" i="37"/>
  <c r="W463" i="37"/>
  <c r="X463" i="37"/>
  <c r="W464" i="37"/>
  <c r="X464" i="37"/>
  <c r="W465" i="37"/>
  <c r="X465" i="37"/>
  <c r="W466" i="37"/>
  <c r="X466" i="37"/>
  <c r="W467" i="37"/>
  <c r="X467" i="37"/>
  <c r="W468" i="37"/>
  <c r="X468" i="37"/>
  <c r="W469" i="37"/>
  <c r="X469" i="37"/>
  <c r="W470" i="37"/>
  <c r="X470" i="37"/>
  <c r="W471" i="37"/>
  <c r="X471" i="37"/>
  <c r="W472" i="37"/>
  <c r="X472" i="37"/>
  <c r="W473" i="37"/>
  <c r="X473" i="37"/>
  <c r="W474" i="37"/>
  <c r="X474" i="37"/>
  <c r="W475" i="37"/>
  <c r="X475" i="37"/>
  <c r="W476" i="37"/>
  <c r="X476" i="37"/>
  <c r="W477" i="37"/>
  <c r="X477" i="37"/>
  <c r="W478" i="37"/>
  <c r="X478" i="37"/>
  <c r="W479" i="37"/>
  <c r="X479" i="37"/>
  <c r="W480" i="37"/>
  <c r="X480" i="37"/>
  <c r="W481" i="37"/>
  <c r="X481" i="37"/>
  <c r="W482" i="37"/>
  <c r="X482" i="37"/>
  <c r="W483" i="37"/>
  <c r="X483" i="37"/>
  <c r="W484" i="37"/>
  <c r="X484" i="37"/>
  <c r="W485" i="37"/>
  <c r="X485" i="37"/>
  <c r="W486" i="37"/>
  <c r="X486" i="37"/>
  <c r="W487" i="37"/>
  <c r="X487" i="37"/>
  <c r="W488" i="37"/>
  <c r="X488" i="37"/>
  <c r="W489" i="37"/>
  <c r="X489" i="37"/>
  <c r="W490" i="37"/>
  <c r="X490" i="37"/>
  <c r="W491" i="37"/>
  <c r="X491" i="37"/>
  <c r="W492" i="37"/>
  <c r="X492" i="37"/>
  <c r="W493" i="37"/>
  <c r="X493" i="37"/>
  <c r="W494" i="37"/>
  <c r="X494" i="37"/>
  <c r="W495" i="37"/>
  <c r="X495" i="37"/>
  <c r="W496" i="37"/>
  <c r="X496" i="37"/>
  <c r="W497" i="37"/>
  <c r="X497" i="37"/>
  <c r="W498" i="37"/>
  <c r="X498" i="37"/>
  <c r="W499" i="37"/>
  <c r="X499" i="37"/>
  <c r="W500" i="37"/>
  <c r="X500" i="37"/>
  <c r="W501" i="37"/>
  <c r="X501" i="37"/>
  <c r="W502" i="37"/>
  <c r="X502" i="37"/>
  <c r="W503" i="37"/>
  <c r="X503" i="37"/>
  <c r="W504" i="37"/>
  <c r="X504" i="37"/>
  <c r="W505" i="37"/>
  <c r="X505" i="37"/>
  <c r="W506" i="37"/>
  <c r="X506" i="37"/>
  <c r="W507" i="37"/>
  <c r="X507" i="37"/>
  <c r="W508" i="37"/>
  <c r="X508" i="37"/>
  <c r="W509" i="37"/>
  <c r="X509" i="37"/>
  <c r="W510" i="37"/>
  <c r="X510" i="37"/>
  <c r="W511" i="37"/>
  <c r="X511" i="37"/>
  <c r="W512" i="37"/>
  <c r="X512" i="37"/>
  <c r="W513" i="37"/>
  <c r="X513" i="37"/>
  <c r="W514" i="37"/>
  <c r="X514" i="37"/>
  <c r="W515" i="37"/>
  <c r="X515" i="37"/>
  <c r="W76" i="37"/>
  <c r="J297" i="37"/>
  <c r="K297" i="37"/>
  <c r="J298" i="37"/>
  <c r="K298" i="37"/>
  <c r="J299" i="37"/>
  <c r="K299" i="37"/>
  <c r="J300" i="37"/>
  <c r="K300" i="37"/>
  <c r="J301" i="37"/>
  <c r="K301" i="37"/>
  <c r="J302" i="37"/>
  <c r="K302" i="37"/>
  <c r="J303" i="37"/>
  <c r="K303" i="37"/>
  <c r="J304" i="37"/>
  <c r="K304" i="37"/>
  <c r="J305" i="37"/>
  <c r="K305" i="37"/>
  <c r="J306" i="37"/>
  <c r="K306" i="37"/>
  <c r="J307" i="37"/>
  <c r="K307" i="37"/>
  <c r="J308" i="37"/>
  <c r="K308" i="37"/>
  <c r="J309" i="37"/>
  <c r="K309" i="37"/>
  <c r="J310" i="37"/>
  <c r="K310" i="37"/>
  <c r="J311" i="37"/>
  <c r="K311" i="37"/>
  <c r="J312" i="37"/>
  <c r="K312" i="37"/>
  <c r="J313" i="37"/>
  <c r="K313" i="37"/>
  <c r="J314" i="37"/>
  <c r="K314" i="37"/>
  <c r="J315" i="37"/>
  <c r="K315" i="37"/>
  <c r="J316" i="37"/>
  <c r="K316" i="37"/>
  <c r="J317" i="37"/>
  <c r="K317" i="37"/>
  <c r="J318" i="37"/>
  <c r="K318" i="37"/>
  <c r="J319" i="37"/>
  <c r="K319" i="37"/>
  <c r="J320" i="37"/>
  <c r="K320" i="37"/>
  <c r="J321" i="37"/>
  <c r="K321" i="37"/>
  <c r="J322" i="37"/>
  <c r="K322" i="37"/>
  <c r="J323" i="37"/>
  <c r="K323" i="37"/>
  <c r="J324" i="37"/>
  <c r="K324" i="37"/>
  <c r="J325" i="37"/>
  <c r="K325" i="37"/>
  <c r="J326" i="37"/>
  <c r="K326" i="37"/>
  <c r="J327" i="37"/>
  <c r="K327" i="37"/>
  <c r="J328" i="37"/>
  <c r="K328" i="37"/>
  <c r="J329" i="37"/>
  <c r="K329" i="37"/>
  <c r="J330" i="37"/>
  <c r="K330" i="37"/>
  <c r="J331" i="37"/>
  <c r="K331" i="37"/>
  <c r="J332" i="37"/>
  <c r="K332" i="37"/>
  <c r="J333" i="37"/>
  <c r="K333" i="37"/>
  <c r="J334" i="37"/>
  <c r="K334" i="37"/>
  <c r="J335" i="37"/>
  <c r="K335" i="37"/>
  <c r="J336" i="37"/>
  <c r="K336" i="37"/>
  <c r="J337" i="37"/>
  <c r="K337" i="37"/>
  <c r="J338" i="37"/>
  <c r="K338" i="37"/>
  <c r="J339" i="37"/>
  <c r="K339" i="37"/>
  <c r="J340" i="37"/>
  <c r="K340" i="37"/>
  <c r="J341" i="37"/>
  <c r="K341" i="37"/>
  <c r="J342" i="37"/>
  <c r="K342" i="37"/>
  <c r="J343" i="37"/>
  <c r="K343" i="37"/>
  <c r="J344" i="37"/>
  <c r="K344" i="37"/>
  <c r="J345" i="37"/>
  <c r="K345" i="37"/>
  <c r="J346" i="37"/>
  <c r="K346" i="37"/>
  <c r="J347" i="37"/>
  <c r="K347" i="37"/>
  <c r="J348" i="37"/>
  <c r="K348" i="37"/>
  <c r="J349" i="37"/>
  <c r="K349" i="37"/>
  <c r="J350" i="37"/>
  <c r="K350" i="37"/>
  <c r="J351" i="37"/>
  <c r="K351" i="37"/>
  <c r="J352" i="37"/>
  <c r="K352" i="37"/>
  <c r="J353" i="37"/>
  <c r="K353" i="37"/>
  <c r="J354" i="37"/>
  <c r="K354" i="37"/>
  <c r="J355" i="37"/>
  <c r="K355" i="37"/>
  <c r="J356" i="37"/>
  <c r="K356" i="37"/>
  <c r="J357" i="37"/>
  <c r="K357" i="37"/>
  <c r="J358" i="37"/>
  <c r="K358" i="37"/>
  <c r="J359" i="37"/>
  <c r="K359" i="37"/>
  <c r="J360" i="37"/>
  <c r="K360" i="37"/>
  <c r="J361" i="37"/>
  <c r="K361" i="37"/>
  <c r="J362" i="37"/>
  <c r="K362" i="37"/>
  <c r="J363" i="37"/>
  <c r="K363" i="37"/>
  <c r="J364" i="37"/>
  <c r="K364" i="37"/>
  <c r="J365" i="37"/>
  <c r="K365" i="37"/>
  <c r="J366" i="37"/>
  <c r="K366" i="37"/>
  <c r="J367" i="37"/>
  <c r="K367" i="37"/>
  <c r="J368" i="37"/>
  <c r="K368" i="37"/>
  <c r="J369" i="37"/>
  <c r="K369" i="37"/>
  <c r="J370" i="37"/>
  <c r="K370" i="37"/>
  <c r="J371" i="37"/>
  <c r="K371" i="37"/>
  <c r="J372" i="37"/>
  <c r="K372" i="37"/>
  <c r="J373" i="37"/>
  <c r="K373" i="37"/>
  <c r="J374" i="37"/>
  <c r="K374" i="37"/>
  <c r="J375" i="37"/>
  <c r="K375" i="37"/>
  <c r="J376" i="37"/>
  <c r="K376" i="37"/>
  <c r="J377" i="37"/>
  <c r="K377" i="37"/>
  <c r="J378" i="37"/>
  <c r="K378" i="37"/>
  <c r="J379" i="37"/>
  <c r="K379" i="37"/>
  <c r="J380" i="37"/>
  <c r="K380" i="37"/>
  <c r="J381" i="37"/>
  <c r="K381" i="37"/>
  <c r="J382" i="37"/>
  <c r="K382" i="37"/>
  <c r="J383" i="37"/>
  <c r="K383" i="37"/>
  <c r="J384" i="37"/>
  <c r="K384" i="37"/>
  <c r="J385" i="37"/>
  <c r="K385" i="37"/>
  <c r="J386" i="37"/>
  <c r="K386" i="37"/>
  <c r="J387" i="37"/>
  <c r="K387" i="37"/>
  <c r="J388" i="37"/>
  <c r="K388" i="37"/>
  <c r="J389" i="37"/>
  <c r="K389" i="37"/>
  <c r="J390" i="37"/>
  <c r="K390" i="37"/>
  <c r="J391" i="37"/>
  <c r="K391" i="37"/>
  <c r="J392" i="37"/>
  <c r="K392" i="37"/>
  <c r="J393" i="37"/>
  <c r="K393" i="37"/>
  <c r="J394" i="37"/>
  <c r="K394" i="37"/>
  <c r="J395" i="37"/>
  <c r="K395" i="37"/>
  <c r="J396" i="37"/>
  <c r="K396" i="37"/>
  <c r="J397" i="37"/>
  <c r="K397" i="37"/>
  <c r="J398" i="37"/>
  <c r="K398" i="37"/>
  <c r="J399" i="37"/>
  <c r="K399" i="37"/>
  <c r="J400" i="37"/>
  <c r="K400" i="37"/>
  <c r="J401" i="37"/>
  <c r="K401" i="37"/>
  <c r="J402" i="37"/>
  <c r="K402" i="37"/>
  <c r="J403" i="37"/>
  <c r="K403" i="37"/>
  <c r="J404" i="37"/>
  <c r="K404" i="37"/>
  <c r="J405" i="37"/>
  <c r="K405" i="37"/>
  <c r="J406" i="37"/>
  <c r="K406" i="37"/>
  <c r="J407" i="37"/>
  <c r="K407" i="37"/>
  <c r="J408" i="37"/>
  <c r="K408" i="37"/>
  <c r="J409" i="37"/>
  <c r="K409" i="37"/>
  <c r="J410" i="37"/>
  <c r="K410" i="37"/>
  <c r="J411" i="37"/>
  <c r="K411" i="37"/>
  <c r="J412" i="37"/>
  <c r="K412" i="37"/>
  <c r="J413" i="37"/>
  <c r="K413" i="37"/>
  <c r="J414" i="37"/>
  <c r="K414" i="37"/>
  <c r="J415" i="37"/>
  <c r="K415" i="37"/>
  <c r="J416" i="37"/>
  <c r="K416" i="37"/>
  <c r="J417" i="37"/>
  <c r="K417" i="37"/>
  <c r="J418" i="37"/>
  <c r="K418" i="37"/>
  <c r="J419" i="37"/>
  <c r="K419" i="37"/>
  <c r="J420" i="37"/>
  <c r="K420" i="37"/>
  <c r="J421" i="37"/>
  <c r="K421" i="37"/>
  <c r="J422" i="37"/>
  <c r="K422" i="37"/>
  <c r="J423" i="37"/>
  <c r="K423" i="37"/>
  <c r="J424" i="37"/>
  <c r="K424" i="37"/>
  <c r="J425" i="37"/>
  <c r="K425" i="37"/>
  <c r="J426" i="37"/>
  <c r="K426" i="37"/>
  <c r="J427" i="37"/>
  <c r="K427" i="37"/>
  <c r="J428" i="37"/>
  <c r="K428" i="37"/>
  <c r="J429" i="37"/>
  <c r="K429" i="37"/>
  <c r="J430" i="37"/>
  <c r="K430" i="37"/>
  <c r="J431" i="37"/>
  <c r="K431" i="37"/>
  <c r="J432" i="37"/>
  <c r="K432" i="37"/>
  <c r="J433" i="37"/>
  <c r="K433" i="37"/>
  <c r="J434" i="37"/>
  <c r="K434" i="37"/>
  <c r="J435" i="37"/>
  <c r="K435" i="37"/>
  <c r="J436" i="37"/>
  <c r="K436" i="37"/>
  <c r="J437" i="37"/>
  <c r="K437" i="37"/>
  <c r="J438" i="37"/>
  <c r="K438" i="37"/>
  <c r="J439" i="37"/>
  <c r="K439" i="37"/>
  <c r="J440" i="37"/>
  <c r="K440" i="37"/>
  <c r="J441" i="37"/>
  <c r="K441" i="37"/>
  <c r="J442" i="37"/>
  <c r="K442" i="37"/>
  <c r="J443" i="37"/>
  <c r="K443" i="37"/>
  <c r="J444" i="37"/>
  <c r="K444" i="37"/>
  <c r="J445" i="37"/>
  <c r="K445" i="37"/>
  <c r="J446" i="37"/>
  <c r="K446" i="37"/>
  <c r="J447" i="37"/>
  <c r="K447" i="37"/>
  <c r="J448" i="37"/>
  <c r="K448" i="37"/>
  <c r="J449" i="37"/>
  <c r="K449" i="37"/>
  <c r="J450" i="37"/>
  <c r="K450" i="37"/>
  <c r="J451" i="37"/>
  <c r="K451" i="37"/>
  <c r="J452" i="37"/>
  <c r="K452" i="37"/>
  <c r="J453" i="37"/>
  <c r="K453" i="37"/>
  <c r="J454" i="37"/>
  <c r="K454" i="37"/>
  <c r="J455" i="37"/>
  <c r="K455" i="37"/>
  <c r="J456" i="37"/>
  <c r="K456" i="37"/>
  <c r="J457" i="37"/>
  <c r="K457" i="37"/>
  <c r="J458" i="37"/>
  <c r="K458" i="37"/>
  <c r="J459" i="37"/>
  <c r="K459" i="37"/>
  <c r="J460" i="37"/>
  <c r="K460" i="37"/>
  <c r="J461" i="37"/>
  <c r="K461" i="37"/>
  <c r="J462" i="37"/>
  <c r="K462" i="37"/>
  <c r="J463" i="37"/>
  <c r="K463" i="37"/>
  <c r="J464" i="37"/>
  <c r="K464" i="37"/>
  <c r="J465" i="37"/>
  <c r="K465" i="37"/>
  <c r="J466" i="37"/>
  <c r="K466" i="37"/>
  <c r="J467" i="37"/>
  <c r="K467" i="37"/>
  <c r="J468" i="37"/>
  <c r="K468" i="37"/>
  <c r="J469" i="37"/>
  <c r="K469" i="37"/>
  <c r="J470" i="37"/>
  <c r="K470" i="37"/>
  <c r="J471" i="37"/>
  <c r="K471" i="37"/>
  <c r="J472" i="37"/>
  <c r="K472" i="37"/>
  <c r="J473" i="37"/>
  <c r="K473" i="37"/>
  <c r="J474" i="37"/>
  <c r="K474" i="37"/>
  <c r="J475" i="37"/>
  <c r="K475" i="37"/>
  <c r="J476" i="37"/>
  <c r="K476" i="37"/>
  <c r="J477" i="37"/>
  <c r="K477" i="37"/>
  <c r="J478" i="37"/>
  <c r="K478" i="37"/>
  <c r="J479" i="37"/>
  <c r="K479" i="37"/>
  <c r="J480" i="37"/>
  <c r="K480" i="37"/>
  <c r="J481" i="37"/>
  <c r="K481" i="37"/>
  <c r="J482" i="37"/>
  <c r="K482" i="37"/>
  <c r="J483" i="37"/>
  <c r="K483" i="37"/>
  <c r="J484" i="37"/>
  <c r="K484" i="37"/>
  <c r="J485" i="37"/>
  <c r="K485" i="37"/>
  <c r="J486" i="37"/>
  <c r="K486" i="37"/>
  <c r="J487" i="37"/>
  <c r="K487" i="37"/>
  <c r="J488" i="37"/>
  <c r="K488" i="37"/>
  <c r="J489" i="37"/>
  <c r="K489" i="37"/>
  <c r="J490" i="37"/>
  <c r="K490" i="37"/>
  <c r="J491" i="37"/>
  <c r="K491" i="37"/>
  <c r="J492" i="37"/>
  <c r="K492" i="37"/>
  <c r="J493" i="37"/>
  <c r="K493" i="37"/>
  <c r="J494" i="37"/>
  <c r="K494" i="37"/>
  <c r="J495" i="37"/>
  <c r="K495" i="37"/>
  <c r="J496" i="37"/>
  <c r="K496" i="37"/>
  <c r="J497" i="37"/>
  <c r="K497" i="37"/>
  <c r="J498" i="37"/>
  <c r="K498" i="37"/>
  <c r="J499" i="37"/>
  <c r="K499" i="37"/>
  <c r="J500" i="37"/>
  <c r="K500" i="37"/>
  <c r="J501" i="37"/>
  <c r="K501" i="37"/>
  <c r="J502" i="37"/>
  <c r="K502" i="37"/>
  <c r="J503" i="37"/>
  <c r="K503" i="37"/>
  <c r="J504" i="37"/>
  <c r="K504" i="37"/>
  <c r="J505" i="37"/>
  <c r="K505" i="37"/>
  <c r="J506" i="37"/>
  <c r="K506" i="37"/>
  <c r="J507" i="37"/>
  <c r="K507" i="37"/>
  <c r="J508" i="37"/>
  <c r="K508" i="37"/>
  <c r="J509" i="37"/>
  <c r="K509" i="37"/>
  <c r="J510" i="37"/>
  <c r="K510" i="37"/>
  <c r="J511" i="37"/>
  <c r="K511" i="37"/>
  <c r="J512" i="37"/>
  <c r="K512" i="37"/>
  <c r="J513" i="37"/>
  <c r="K513" i="37"/>
  <c r="J514" i="37"/>
  <c r="K514" i="37"/>
  <c r="J515" i="37"/>
  <c r="K515" i="37"/>
  <c r="J296" i="37"/>
  <c r="K296" i="37"/>
  <c r="J77" i="37"/>
  <c r="K77" i="37"/>
  <c r="J78" i="37"/>
  <c r="K78" i="37"/>
  <c r="J79" i="37"/>
  <c r="K79" i="37"/>
  <c r="J80" i="37"/>
  <c r="K80" i="37"/>
  <c r="J81" i="37"/>
  <c r="K81" i="37"/>
  <c r="J82" i="37"/>
  <c r="K82" i="37"/>
  <c r="J83" i="37"/>
  <c r="K83" i="37"/>
  <c r="J84" i="37"/>
  <c r="K84" i="37"/>
  <c r="J85" i="37"/>
  <c r="K85" i="37"/>
  <c r="J86" i="37"/>
  <c r="K86" i="37"/>
  <c r="J87" i="37"/>
  <c r="K87" i="37"/>
  <c r="J88" i="37"/>
  <c r="K88" i="37"/>
  <c r="J89" i="37"/>
  <c r="K89" i="37"/>
  <c r="J90" i="37"/>
  <c r="K90" i="37"/>
  <c r="J91" i="37"/>
  <c r="K91" i="37"/>
  <c r="J92" i="37"/>
  <c r="K92" i="37"/>
  <c r="J93" i="37"/>
  <c r="K93" i="37"/>
  <c r="J94" i="37"/>
  <c r="K94" i="37"/>
  <c r="J95" i="37"/>
  <c r="K95" i="37"/>
  <c r="J96" i="37"/>
  <c r="K96" i="37"/>
  <c r="J97" i="37"/>
  <c r="K97" i="37"/>
  <c r="J98" i="37"/>
  <c r="K98" i="37"/>
  <c r="J99" i="37"/>
  <c r="K99" i="37"/>
  <c r="J100" i="37"/>
  <c r="K100" i="37"/>
  <c r="J101" i="37"/>
  <c r="K101" i="37"/>
  <c r="J102" i="37"/>
  <c r="K102" i="37"/>
  <c r="J103" i="37"/>
  <c r="K103" i="37"/>
  <c r="J104" i="37"/>
  <c r="K104" i="37"/>
  <c r="J105" i="37"/>
  <c r="K105" i="37"/>
  <c r="J106" i="37"/>
  <c r="K106" i="37"/>
  <c r="J107" i="37"/>
  <c r="K107" i="37"/>
  <c r="J108" i="37"/>
  <c r="K108" i="37"/>
  <c r="J109" i="37"/>
  <c r="K109" i="37"/>
  <c r="J110" i="37"/>
  <c r="K110" i="37"/>
  <c r="J111" i="37"/>
  <c r="K111" i="37"/>
  <c r="J112" i="37"/>
  <c r="K112" i="37"/>
  <c r="J113" i="37"/>
  <c r="K113" i="37"/>
  <c r="J114" i="37"/>
  <c r="K114" i="37"/>
  <c r="J115" i="37"/>
  <c r="K115" i="37"/>
  <c r="J116" i="37"/>
  <c r="K116" i="37"/>
  <c r="J117" i="37"/>
  <c r="K117" i="37"/>
  <c r="J118" i="37"/>
  <c r="K118" i="37"/>
  <c r="J119" i="37"/>
  <c r="K119" i="37"/>
  <c r="J120" i="37"/>
  <c r="K120" i="37"/>
  <c r="J121" i="37"/>
  <c r="K121" i="37"/>
  <c r="J122" i="37"/>
  <c r="K122" i="37"/>
  <c r="J123" i="37"/>
  <c r="K123" i="37"/>
  <c r="J124" i="37"/>
  <c r="K124" i="37"/>
  <c r="J125" i="37"/>
  <c r="K125" i="37"/>
  <c r="J126" i="37"/>
  <c r="K126" i="37"/>
  <c r="J127" i="37"/>
  <c r="K127" i="37"/>
  <c r="J128" i="37"/>
  <c r="K128" i="37"/>
  <c r="J129" i="37"/>
  <c r="K129" i="37"/>
  <c r="J130" i="37"/>
  <c r="K130" i="37"/>
  <c r="J131" i="37"/>
  <c r="K131" i="37"/>
  <c r="J132" i="37"/>
  <c r="K132" i="37"/>
  <c r="J133" i="37"/>
  <c r="K133" i="37"/>
  <c r="J134" i="37"/>
  <c r="K134" i="37"/>
  <c r="J135" i="37"/>
  <c r="K135" i="37"/>
  <c r="J136" i="37"/>
  <c r="K136" i="37"/>
  <c r="J137" i="37"/>
  <c r="K137" i="37"/>
  <c r="J138" i="37"/>
  <c r="K138" i="37"/>
  <c r="J139" i="37"/>
  <c r="K139" i="37"/>
  <c r="J140" i="37"/>
  <c r="K140" i="37"/>
  <c r="J141" i="37"/>
  <c r="K141" i="37"/>
  <c r="J142" i="37"/>
  <c r="K142" i="37"/>
  <c r="J143" i="37"/>
  <c r="K143" i="37"/>
  <c r="J144" i="37"/>
  <c r="K144" i="37"/>
  <c r="J145" i="37"/>
  <c r="K145" i="37"/>
  <c r="J146" i="37"/>
  <c r="K146" i="37"/>
  <c r="J147" i="37"/>
  <c r="K147" i="37"/>
  <c r="J148" i="37"/>
  <c r="K148" i="37"/>
  <c r="J149" i="37"/>
  <c r="K149" i="37"/>
  <c r="J150" i="37"/>
  <c r="K150" i="37"/>
  <c r="J151" i="37"/>
  <c r="K151" i="37"/>
  <c r="J152" i="37"/>
  <c r="K152" i="37"/>
  <c r="J153" i="37"/>
  <c r="K153" i="37"/>
  <c r="J154" i="37"/>
  <c r="K154" i="37"/>
  <c r="J155" i="37"/>
  <c r="K155" i="37"/>
  <c r="J156" i="37"/>
  <c r="K156" i="37"/>
  <c r="J157" i="37"/>
  <c r="K157" i="37"/>
  <c r="J158" i="37"/>
  <c r="K158" i="37"/>
  <c r="J159" i="37"/>
  <c r="K159" i="37"/>
  <c r="J160" i="37"/>
  <c r="K160" i="37"/>
  <c r="J161" i="37"/>
  <c r="K161" i="37"/>
  <c r="J162" i="37"/>
  <c r="K162" i="37"/>
  <c r="J163" i="37"/>
  <c r="K163" i="37"/>
  <c r="J164" i="37"/>
  <c r="K164" i="37"/>
  <c r="J165" i="37"/>
  <c r="K165" i="37"/>
  <c r="J166" i="37"/>
  <c r="K166" i="37"/>
  <c r="J167" i="37"/>
  <c r="K167" i="37"/>
  <c r="J168" i="37"/>
  <c r="K168" i="37"/>
  <c r="J169" i="37"/>
  <c r="K169" i="37"/>
  <c r="J170" i="37"/>
  <c r="K170" i="37"/>
  <c r="J171" i="37"/>
  <c r="K171" i="37"/>
  <c r="J172" i="37"/>
  <c r="K172" i="37"/>
  <c r="J173" i="37"/>
  <c r="K173" i="37"/>
  <c r="J174" i="37"/>
  <c r="K174" i="37"/>
  <c r="J175" i="37"/>
  <c r="K175" i="37"/>
  <c r="J176" i="37"/>
  <c r="K176" i="37"/>
  <c r="J177" i="37"/>
  <c r="K177" i="37"/>
  <c r="J178" i="37"/>
  <c r="K178" i="37"/>
  <c r="J179" i="37"/>
  <c r="K179" i="37"/>
  <c r="J180" i="37"/>
  <c r="K180" i="37"/>
  <c r="J181" i="37"/>
  <c r="K181" i="37"/>
  <c r="J182" i="37"/>
  <c r="K182" i="37"/>
  <c r="J183" i="37"/>
  <c r="K183" i="37"/>
  <c r="J184" i="37"/>
  <c r="K184" i="37"/>
  <c r="J185" i="37"/>
  <c r="K185" i="37"/>
  <c r="J186" i="37"/>
  <c r="K186" i="37"/>
  <c r="J187" i="37"/>
  <c r="K187" i="37"/>
  <c r="J188" i="37"/>
  <c r="K188" i="37"/>
  <c r="J189" i="37"/>
  <c r="K189" i="37"/>
  <c r="J190" i="37"/>
  <c r="K190" i="37"/>
  <c r="J191" i="37"/>
  <c r="K191" i="37"/>
  <c r="J192" i="37"/>
  <c r="K192" i="37"/>
  <c r="J193" i="37"/>
  <c r="K193" i="37"/>
  <c r="J194" i="37"/>
  <c r="K194" i="37"/>
  <c r="J195" i="37"/>
  <c r="K195" i="37"/>
  <c r="J196" i="37"/>
  <c r="K196" i="37"/>
  <c r="J197" i="37"/>
  <c r="K197" i="37"/>
  <c r="J198" i="37"/>
  <c r="K198" i="37"/>
  <c r="J199" i="37"/>
  <c r="K199" i="37"/>
  <c r="J200" i="37"/>
  <c r="K200" i="37"/>
  <c r="J201" i="37"/>
  <c r="K201" i="37"/>
  <c r="J202" i="37"/>
  <c r="K202" i="37"/>
  <c r="J203" i="37"/>
  <c r="K203" i="37"/>
  <c r="J204" i="37"/>
  <c r="K204" i="37"/>
  <c r="J205" i="37"/>
  <c r="K205" i="37"/>
  <c r="J206" i="37"/>
  <c r="K206" i="37"/>
  <c r="J207" i="37"/>
  <c r="K207" i="37"/>
  <c r="J208" i="37"/>
  <c r="K208" i="37"/>
  <c r="J209" i="37"/>
  <c r="K209" i="37"/>
  <c r="J210" i="37"/>
  <c r="K210" i="37"/>
  <c r="J211" i="37"/>
  <c r="K211" i="37"/>
  <c r="J212" i="37"/>
  <c r="K212" i="37"/>
  <c r="J213" i="37"/>
  <c r="K213" i="37"/>
  <c r="J214" i="37"/>
  <c r="K214" i="37"/>
  <c r="J215" i="37"/>
  <c r="K215" i="37"/>
  <c r="J216" i="37"/>
  <c r="K216" i="37"/>
  <c r="J217" i="37"/>
  <c r="K217" i="37"/>
  <c r="J218" i="37"/>
  <c r="K218" i="37"/>
  <c r="J219" i="37"/>
  <c r="K219" i="37"/>
  <c r="J220" i="37"/>
  <c r="K220" i="37"/>
  <c r="J221" i="37"/>
  <c r="K221" i="37"/>
  <c r="J222" i="37"/>
  <c r="K222" i="37"/>
  <c r="J223" i="37"/>
  <c r="K223" i="37"/>
  <c r="J224" i="37"/>
  <c r="K224" i="37"/>
  <c r="J225" i="37"/>
  <c r="K225" i="37"/>
  <c r="J226" i="37"/>
  <c r="K226" i="37"/>
  <c r="J227" i="37"/>
  <c r="K227" i="37"/>
  <c r="J228" i="37"/>
  <c r="K228" i="37"/>
  <c r="J229" i="37"/>
  <c r="K229" i="37"/>
  <c r="J230" i="37"/>
  <c r="K230" i="37"/>
  <c r="J231" i="37"/>
  <c r="K231" i="37"/>
  <c r="J232" i="37"/>
  <c r="K232" i="37"/>
  <c r="J233" i="37"/>
  <c r="K233" i="37"/>
  <c r="J234" i="37"/>
  <c r="K234" i="37"/>
  <c r="J235" i="37"/>
  <c r="K235" i="37"/>
  <c r="J236" i="37"/>
  <c r="K236" i="37"/>
  <c r="J237" i="37"/>
  <c r="K237" i="37"/>
  <c r="J238" i="37"/>
  <c r="K238" i="37"/>
  <c r="J239" i="37"/>
  <c r="K239" i="37"/>
  <c r="J240" i="37"/>
  <c r="K240" i="37"/>
  <c r="J241" i="37"/>
  <c r="K241" i="37"/>
  <c r="J242" i="37"/>
  <c r="K242" i="37"/>
  <c r="J243" i="37"/>
  <c r="K243" i="37"/>
  <c r="J244" i="37"/>
  <c r="K244" i="37"/>
  <c r="J245" i="37"/>
  <c r="K245" i="37"/>
  <c r="J246" i="37"/>
  <c r="K246" i="37"/>
  <c r="J247" i="37"/>
  <c r="K247" i="37"/>
  <c r="J248" i="37"/>
  <c r="K248" i="37"/>
  <c r="J249" i="37"/>
  <c r="K249" i="37"/>
  <c r="J250" i="37"/>
  <c r="K250" i="37"/>
  <c r="J251" i="37"/>
  <c r="K251" i="37"/>
  <c r="J252" i="37"/>
  <c r="K252" i="37"/>
  <c r="J253" i="37"/>
  <c r="K253" i="37"/>
  <c r="J254" i="37"/>
  <c r="K254" i="37"/>
  <c r="J255" i="37"/>
  <c r="K255" i="37"/>
  <c r="J256" i="37"/>
  <c r="K256" i="37"/>
  <c r="J257" i="37"/>
  <c r="K257" i="37"/>
  <c r="J258" i="37"/>
  <c r="K258" i="37"/>
  <c r="J259" i="37"/>
  <c r="K259" i="37"/>
  <c r="J260" i="37"/>
  <c r="K260" i="37"/>
  <c r="J261" i="37"/>
  <c r="K261" i="37"/>
  <c r="J262" i="37"/>
  <c r="K262" i="37"/>
  <c r="J263" i="37"/>
  <c r="K263" i="37"/>
  <c r="J264" i="37"/>
  <c r="K264" i="37"/>
  <c r="J265" i="37"/>
  <c r="K265" i="37"/>
  <c r="J266" i="37"/>
  <c r="K266" i="37"/>
  <c r="J267" i="37"/>
  <c r="K267" i="37"/>
  <c r="J268" i="37"/>
  <c r="K268" i="37"/>
  <c r="J269" i="37"/>
  <c r="K269" i="37"/>
  <c r="J270" i="37"/>
  <c r="K270" i="37"/>
  <c r="J271" i="37"/>
  <c r="K271" i="37"/>
  <c r="J272" i="37"/>
  <c r="K272" i="37"/>
  <c r="J273" i="37"/>
  <c r="K273" i="37"/>
  <c r="J274" i="37"/>
  <c r="K274" i="37"/>
  <c r="J275" i="37"/>
  <c r="K275" i="37"/>
  <c r="J276" i="37"/>
  <c r="K276" i="37"/>
  <c r="J277" i="37"/>
  <c r="K277" i="37"/>
  <c r="J278" i="37"/>
  <c r="K278" i="37"/>
  <c r="J279" i="37"/>
  <c r="K279" i="37"/>
  <c r="J280" i="37"/>
  <c r="K280" i="37"/>
  <c r="J281" i="37"/>
  <c r="K281" i="37"/>
  <c r="J282" i="37"/>
  <c r="K282" i="37"/>
  <c r="J283" i="37"/>
  <c r="K283" i="37"/>
  <c r="J284" i="37"/>
  <c r="K284" i="37"/>
  <c r="J285" i="37"/>
  <c r="K285" i="37"/>
  <c r="J286" i="37"/>
  <c r="K286" i="37"/>
  <c r="J287" i="37"/>
  <c r="K287" i="37"/>
  <c r="J288" i="37"/>
  <c r="K288" i="37"/>
  <c r="J289" i="37"/>
  <c r="K289" i="37"/>
  <c r="J290" i="37"/>
  <c r="K290" i="37"/>
  <c r="J291" i="37"/>
  <c r="K291" i="37"/>
  <c r="J292" i="37"/>
  <c r="K292" i="37"/>
  <c r="J293" i="37"/>
  <c r="K293" i="37"/>
  <c r="J294" i="37"/>
  <c r="K294" i="37"/>
  <c r="J295" i="37"/>
  <c r="K295" i="37"/>
  <c r="J76" i="37"/>
  <c r="K76" i="37"/>
  <c r="L77" i="37"/>
  <c r="L78" i="37"/>
  <c r="L79" i="37"/>
  <c r="L80" i="37"/>
  <c r="L81" i="37"/>
  <c r="L82" i="37"/>
  <c r="L83" i="37"/>
  <c r="L84" i="37"/>
  <c r="L85" i="37"/>
  <c r="L86" i="37"/>
  <c r="L87" i="37"/>
  <c r="L88" i="37"/>
  <c r="L89" i="37"/>
  <c r="L90" i="37"/>
  <c r="L91" i="37"/>
  <c r="L92" i="37"/>
  <c r="L93" i="37"/>
  <c r="L94" i="37"/>
  <c r="L95" i="37"/>
  <c r="L96" i="37"/>
  <c r="L97" i="37"/>
  <c r="L98" i="37"/>
  <c r="L99" i="37"/>
  <c r="L100" i="37"/>
  <c r="L101" i="37"/>
  <c r="L102" i="37"/>
  <c r="L103" i="37"/>
  <c r="L104" i="37"/>
  <c r="L105" i="37"/>
  <c r="L106" i="37"/>
  <c r="L107" i="37"/>
  <c r="L108" i="37"/>
  <c r="L109" i="37"/>
  <c r="L110" i="37"/>
  <c r="L111" i="37"/>
  <c r="L112" i="37"/>
  <c r="L113" i="37"/>
  <c r="L114" i="37"/>
  <c r="L115" i="37"/>
  <c r="L116" i="37"/>
  <c r="L117" i="37"/>
  <c r="L118" i="37"/>
  <c r="L119" i="37"/>
  <c r="L120" i="37"/>
  <c r="L121" i="37"/>
  <c r="L122" i="37"/>
  <c r="L123" i="37"/>
  <c r="L124" i="37"/>
  <c r="L125" i="37"/>
  <c r="L126" i="37"/>
  <c r="L127" i="37"/>
  <c r="L128" i="37"/>
  <c r="L129" i="37"/>
  <c r="L130" i="37"/>
  <c r="L131" i="37"/>
  <c r="L132" i="37"/>
  <c r="L133" i="37"/>
  <c r="L134" i="37"/>
  <c r="L135" i="37"/>
  <c r="L136" i="37"/>
  <c r="L137" i="37"/>
  <c r="L138" i="37"/>
  <c r="L139" i="37"/>
  <c r="L140" i="37"/>
  <c r="L141" i="37"/>
  <c r="L142" i="37"/>
  <c r="L143" i="37"/>
  <c r="L144" i="37"/>
  <c r="L145" i="37"/>
  <c r="L146" i="37"/>
  <c r="L147" i="37"/>
  <c r="L148" i="37"/>
  <c r="L149" i="37"/>
  <c r="L150" i="37"/>
  <c r="L151" i="37"/>
  <c r="L152" i="37"/>
  <c r="L153" i="37"/>
  <c r="L154" i="37"/>
  <c r="L155" i="37"/>
  <c r="L156" i="37"/>
  <c r="L157" i="37"/>
  <c r="L158" i="37"/>
  <c r="L159" i="37"/>
  <c r="L160" i="37"/>
  <c r="L161" i="37"/>
  <c r="L162" i="37"/>
  <c r="L163" i="37"/>
  <c r="L164" i="37"/>
  <c r="L165" i="37"/>
  <c r="L166" i="37"/>
  <c r="L167" i="37"/>
  <c r="L168" i="37"/>
  <c r="L169" i="37"/>
  <c r="L170" i="37"/>
  <c r="L171" i="37"/>
  <c r="L172" i="37"/>
  <c r="L173" i="37"/>
  <c r="L174" i="37"/>
  <c r="L175" i="37"/>
  <c r="L176" i="37"/>
  <c r="L177" i="37"/>
  <c r="L178" i="37"/>
  <c r="L179" i="37"/>
  <c r="L180" i="37"/>
  <c r="L181" i="37"/>
  <c r="L182" i="37"/>
  <c r="L183" i="37"/>
  <c r="L184" i="37"/>
  <c r="L185" i="37"/>
  <c r="L186" i="37"/>
  <c r="L187" i="37"/>
  <c r="L188" i="37"/>
  <c r="L189" i="37"/>
  <c r="L190" i="37"/>
  <c r="L191" i="37"/>
  <c r="L192" i="37"/>
  <c r="L193" i="37"/>
  <c r="L194" i="37"/>
  <c r="L195" i="37"/>
  <c r="L196" i="37"/>
  <c r="L197" i="37"/>
  <c r="L198" i="37"/>
  <c r="L199" i="37"/>
  <c r="L200" i="37"/>
  <c r="L201" i="37"/>
  <c r="L202" i="37"/>
  <c r="L203" i="37"/>
  <c r="L204" i="37"/>
  <c r="L205" i="37"/>
  <c r="L206" i="37"/>
  <c r="L207" i="37"/>
  <c r="L208" i="37"/>
  <c r="L209" i="37"/>
  <c r="L210" i="37"/>
  <c r="L211" i="37"/>
  <c r="L212" i="37"/>
  <c r="L213" i="37"/>
  <c r="L214" i="37"/>
  <c r="L215" i="37"/>
  <c r="L216" i="37"/>
  <c r="L217" i="37"/>
  <c r="L218" i="37"/>
  <c r="L219" i="37"/>
  <c r="L220" i="37"/>
  <c r="L221" i="37"/>
  <c r="L222" i="37"/>
  <c r="L223" i="37"/>
  <c r="L224" i="37"/>
  <c r="L225" i="37"/>
  <c r="L226" i="37"/>
  <c r="L227" i="37"/>
  <c r="L228" i="37"/>
  <c r="L229" i="37"/>
  <c r="L230" i="37"/>
  <c r="L231" i="37"/>
  <c r="L232" i="37"/>
  <c r="L233" i="37"/>
  <c r="L234" i="37"/>
  <c r="L235" i="37"/>
  <c r="L236" i="37"/>
  <c r="L237" i="37"/>
  <c r="L238" i="37"/>
  <c r="L239" i="37"/>
  <c r="L240" i="37"/>
  <c r="L241" i="37"/>
  <c r="L242" i="37"/>
  <c r="L243" i="37"/>
  <c r="L244" i="37"/>
  <c r="L245" i="37"/>
  <c r="L246" i="37"/>
  <c r="L247" i="37"/>
  <c r="L248" i="37"/>
  <c r="L249" i="37"/>
  <c r="L250" i="37"/>
  <c r="L251" i="37"/>
  <c r="L252" i="37"/>
  <c r="L253" i="37"/>
  <c r="L254" i="37"/>
  <c r="L255" i="37"/>
  <c r="L256" i="37"/>
  <c r="L257" i="37"/>
  <c r="L258" i="37"/>
  <c r="L259" i="37"/>
  <c r="L260" i="37"/>
  <c r="L261" i="37"/>
  <c r="L262" i="37"/>
  <c r="L263" i="37"/>
  <c r="L264" i="37"/>
  <c r="L265" i="37"/>
  <c r="L266" i="37"/>
  <c r="L267" i="37"/>
  <c r="L268" i="37"/>
  <c r="L269" i="37"/>
  <c r="L270" i="37"/>
  <c r="L271" i="37"/>
  <c r="L272" i="37"/>
  <c r="L273" i="37"/>
  <c r="L274" i="37"/>
  <c r="L275" i="37"/>
  <c r="L276" i="37"/>
  <c r="L277" i="37"/>
  <c r="L278" i="37"/>
  <c r="L279" i="37"/>
  <c r="L280" i="37"/>
  <c r="L281" i="37"/>
  <c r="L282" i="37"/>
  <c r="L283" i="37"/>
  <c r="L284" i="37"/>
  <c r="L285" i="37"/>
  <c r="L286" i="37"/>
  <c r="L287" i="37"/>
  <c r="L288" i="37"/>
  <c r="L289" i="37"/>
  <c r="L290" i="37"/>
  <c r="L291" i="37"/>
  <c r="L292" i="37"/>
  <c r="L293" i="37"/>
  <c r="L294" i="37"/>
  <c r="L295" i="37"/>
  <c r="X76" i="37"/>
  <c r="AD76" i="37"/>
  <c r="R78" i="37"/>
  <c r="R87" i="37"/>
  <c r="R163" i="37"/>
  <c r="R169" i="37"/>
  <c r="R298" i="37"/>
  <c r="R307" i="37"/>
  <c r="R383" i="37"/>
  <c r="R389" i="37"/>
  <c r="R77" i="37"/>
  <c r="R79" i="37"/>
  <c r="R80" i="37"/>
  <c r="R81" i="37"/>
  <c r="R82" i="37"/>
  <c r="R83" i="37"/>
  <c r="R84" i="37"/>
  <c r="R85" i="37"/>
  <c r="R86"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116" i="37"/>
  <c r="R117" i="37"/>
  <c r="R118" i="37"/>
  <c r="R119" i="37"/>
  <c r="R120" i="37"/>
  <c r="R121" i="37"/>
  <c r="R122" i="37"/>
  <c r="R123" i="37"/>
  <c r="R124" i="37"/>
  <c r="R125" i="37"/>
  <c r="R126" i="37"/>
  <c r="R127" i="37"/>
  <c r="R128" i="37"/>
  <c r="R129" i="37"/>
  <c r="R130" i="37"/>
  <c r="R131" i="37"/>
  <c r="R132" i="37"/>
  <c r="R133" i="37"/>
  <c r="R134" i="37"/>
  <c r="R135" i="37"/>
  <c r="R136" i="37"/>
  <c r="R137" i="37"/>
  <c r="R138" i="37"/>
  <c r="R139" i="37"/>
  <c r="R140" i="37"/>
  <c r="R141" i="37"/>
  <c r="R142" i="37"/>
  <c r="R143" i="37"/>
  <c r="R144" i="37"/>
  <c r="R145" i="37"/>
  <c r="R146" i="37"/>
  <c r="R147" i="37"/>
  <c r="R148" i="37"/>
  <c r="R149" i="37"/>
  <c r="R150" i="37"/>
  <c r="R151" i="37"/>
  <c r="R152" i="37"/>
  <c r="R153" i="37"/>
  <c r="R154" i="37"/>
  <c r="R155" i="37"/>
  <c r="R156" i="37"/>
  <c r="R157" i="37"/>
  <c r="R158" i="37"/>
  <c r="R159" i="37"/>
  <c r="R160" i="37"/>
  <c r="R161" i="37"/>
  <c r="R162" i="37"/>
  <c r="R164" i="37"/>
  <c r="R165" i="37"/>
  <c r="R166" i="37"/>
  <c r="R167" i="37"/>
  <c r="R168" i="37"/>
  <c r="R170" i="37"/>
  <c r="R171" i="37"/>
  <c r="R172" i="37"/>
  <c r="R173" i="37"/>
  <c r="R174" i="37"/>
  <c r="R175" i="37"/>
  <c r="R176" i="37"/>
  <c r="R177" i="37"/>
  <c r="R178" i="37"/>
  <c r="R179" i="37"/>
  <c r="R180" i="37"/>
  <c r="R181" i="37"/>
  <c r="R182" i="37"/>
  <c r="R183" i="37"/>
  <c r="R184" i="37"/>
  <c r="R185" i="37"/>
  <c r="R186" i="37"/>
  <c r="R187" i="37"/>
  <c r="R188" i="37"/>
  <c r="R189" i="37"/>
  <c r="R190" i="37"/>
  <c r="R191" i="37"/>
  <c r="R192" i="37"/>
  <c r="R193" i="37"/>
  <c r="R194" i="37"/>
  <c r="R195" i="37"/>
  <c r="R196" i="37"/>
  <c r="R197" i="37"/>
  <c r="R198" i="37"/>
  <c r="R199" i="37"/>
  <c r="R200" i="37"/>
  <c r="R201" i="37"/>
  <c r="R202" i="37"/>
  <c r="R203" i="37"/>
  <c r="R204" i="37"/>
  <c r="R205" i="37"/>
  <c r="R206" i="37"/>
  <c r="R207" i="37"/>
  <c r="R208" i="37"/>
  <c r="R209" i="37"/>
  <c r="R210" i="37"/>
  <c r="R211" i="37"/>
  <c r="R212" i="37"/>
  <c r="R213" i="37"/>
  <c r="R214" i="37"/>
  <c r="R215" i="37"/>
  <c r="R216" i="37"/>
  <c r="R217" i="37"/>
  <c r="R218" i="37"/>
  <c r="R219" i="37"/>
  <c r="R220" i="37"/>
  <c r="R221" i="37"/>
  <c r="R222" i="37"/>
  <c r="R223" i="37"/>
  <c r="R224" i="37"/>
  <c r="R225" i="37"/>
  <c r="R226" i="37"/>
  <c r="R227" i="37"/>
  <c r="R228" i="37"/>
  <c r="R229" i="37"/>
  <c r="R230" i="37"/>
  <c r="R231" i="37"/>
  <c r="R232" i="37"/>
  <c r="R233" i="37"/>
  <c r="R234" i="37"/>
  <c r="R235" i="37"/>
  <c r="R236" i="37"/>
  <c r="R237" i="37"/>
  <c r="R238" i="37"/>
  <c r="R239" i="37"/>
  <c r="R240" i="37"/>
  <c r="R241" i="37"/>
  <c r="R242" i="37"/>
  <c r="R243" i="37"/>
  <c r="R244" i="37"/>
  <c r="R245" i="37"/>
  <c r="R246" i="37"/>
  <c r="R247" i="37"/>
  <c r="R248" i="37"/>
  <c r="R249" i="37"/>
  <c r="R250" i="37"/>
  <c r="R251" i="37"/>
  <c r="R252" i="37"/>
  <c r="R253" i="37"/>
  <c r="R254" i="37"/>
  <c r="R255" i="37"/>
  <c r="R256" i="37"/>
  <c r="R257" i="37"/>
  <c r="R258" i="37"/>
  <c r="R259" i="37"/>
  <c r="R260" i="37"/>
  <c r="R261" i="37"/>
  <c r="R262" i="37"/>
  <c r="R263" i="37"/>
  <c r="R264" i="37"/>
  <c r="R265" i="37"/>
  <c r="R266" i="37"/>
  <c r="R267" i="37"/>
  <c r="R268" i="37"/>
  <c r="R269" i="37"/>
  <c r="R270" i="37"/>
  <c r="R271" i="37"/>
  <c r="R272" i="37"/>
  <c r="R273" i="37"/>
  <c r="R274" i="37"/>
  <c r="R275" i="37"/>
  <c r="R276" i="37"/>
  <c r="R277" i="37"/>
  <c r="R278" i="37"/>
  <c r="R279" i="37"/>
  <c r="R280" i="37"/>
  <c r="R281" i="37"/>
  <c r="R282" i="37"/>
  <c r="R283" i="37"/>
  <c r="R284" i="37"/>
  <c r="R285" i="37"/>
  <c r="R286" i="37"/>
  <c r="R287" i="37"/>
  <c r="R288" i="37"/>
  <c r="R289" i="37"/>
  <c r="R290" i="37"/>
  <c r="R291" i="37"/>
  <c r="R292" i="37"/>
  <c r="R293" i="37"/>
  <c r="R294" i="37"/>
  <c r="R295" i="37"/>
  <c r="R76" i="37"/>
  <c r="R296" i="37"/>
  <c r="R297" i="37"/>
  <c r="R299" i="37"/>
  <c r="R300" i="37"/>
  <c r="R301" i="37"/>
  <c r="R302" i="37"/>
  <c r="R303" i="37"/>
  <c r="R304" i="37"/>
  <c r="R305" i="37"/>
  <c r="R306" i="37"/>
  <c r="R308" i="37"/>
  <c r="R309" i="37"/>
  <c r="R310" i="37"/>
  <c r="R311" i="37"/>
  <c r="R312" i="37"/>
  <c r="R313" i="37"/>
  <c r="R314" i="37"/>
  <c r="R315" i="37"/>
  <c r="R316" i="37"/>
  <c r="R317" i="37"/>
  <c r="R318" i="37"/>
  <c r="R319" i="37"/>
  <c r="R320" i="37"/>
  <c r="R321" i="37"/>
  <c r="R322" i="37"/>
  <c r="R323" i="37"/>
  <c r="R324" i="37"/>
  <c r="R325" i="37"/>
  <c r="R326" i="37"/>
  <c r="R327" i="37"/>
  <c r="R328" i="37"/>
  <c r="R329" i="37"/>
  <c r="R330" i="37"/>
  <c r="R331" i="37"/>
  <c r="R332" i="37"/>
  <c r="R333" i="37"/>
  <c r="R334" i="37"/>
  <c r="R335" i="37"/>
  <c r="R336" i="37"/>
  <c r="R337" i="37"/>
  <c r="R338" i="37"/>
  <c r="R339" i="37"/>
  <c r="R340" i="37"/>
  <c r="R341" i="37"/>
  <c r="R342" i="37"/>
  <c r="R343" i="37"/>
  <c r="R344" i="37"/>
  <c r="R345" i="37"/>
  <c r="R346" i="37"/>
  <c r="R347" i="37"/>
  <c r="R348" i="37"/>
  <c r="R349" i="37"/>
  <c r="R350" i="37"/>
  <c r="R351" i="37"/>
  <c r="R352" i="37"/>
  <c r="R353" i="37"/>
  <c r="R354" i="37"/>
  <c r="R355" i="37"/>
  <c r="R356" i="37"/>
  <c r="R357" i="37"/>
  <c r="R358" i="37"/>
  <c r="R359" i="37"/>
  <c r="R360" i="37"/>
  <c r="R361" i="37"/>
  <c r="R362" i="37"/>
  <c r="R363" i="37"/>
  <c r="R364" i="37"/>
  <c r="R365" i="37"/>
  <c r="R366" i="37"/>
  <c r="R367" i="37"/>
  <c r="R368" i="37"/>
  <c r="R369" i="37"/>
  <c r="R370" i="37"/>
  <c r="R371" i="37"/>
  <c r="R372" i="37"/>
  <c r="R373" i="37"/>
  <c r="R374" i="37"/>
  <c r="R375" i="37"/>
  <c r="R376" i="37"/>
  <c r="R377" i="37"/>
  <c r="R378" i="37"/>
  <c r="R379" i="37"/>
  <c r="R380" i="37"/>
  <c r="R381" i="37"/>
  <c r="R382" i="37"/>
  <c r="R384" i="37"/>
  <c r="R385" i="37"/>
  <c r="R386" i="37"/>
  <c r="R387" i="37"/>
  <c r="R388" i="37"/>
  <c r="R390" i="37"/>
  <c r="R391" i="37"/>
  <c r="R392" i="37"/>
  <c r="R393" i="37"/>
  <c r="R394" i="37"/>
  <c r="R395" i="37"/>
  <c r="R396" i="37"/>
  <c r="R397" i="37"/>
  <c r="R398" i="37"/>
  <c r="R399" i="37"/>
  <c r="R400" i="37"/>
  <c r="R401" i="37"/>
  <c r="R402" i="37"/>
  <c r="R403" i="37"/>
  <c r="R404" i="37"/>
  <c r="R405" i="37"/>
  <c r="R406" i="37"/>
  <c r="R407" i="37"/>
  <c r="R408" i="37"/>
  <c r="R409" i="37"/>
  <c r="R410" i="37"/>
  <c r="R411" i="37"/>
  <c r="R412" i="37"/>
  <c r="R413" i="37"/>
  <c r="R414" i="37"/>
  <c r="R415" i="37"/>
  <c r="R416" i="37"/>
  <c r="R417" i="37"/>
  <c r="R418" i="37"/>
  <c r="R419" i="37"/>
  <c r="R420" i="37"/>
  <c r="R421" i="37"/>
  <c r="R422" i="37"/>
  <c r="R423" i="37"/>
  <c r="R424" i="37"/>
  <c r="R425" i="37"/>
  <c r="R426" i="37"/>
  <c r="R427" i="37"/>
  <c r="R428" i="37"/>
  <c r="R429" i="37"/>
  <c r="R430" i="37"/>
  <c r="R431" i="37"/>
  <c r="R432" i="37"/>
  <c r="R433" i="37"/>
  <c r="R434" i="37"/>
  <c r="R435" i="37"/>
  <c r="R436" i="37"/>
  <c r="R437" i="37"/>
  <c r="R438" i="37"/>
  <c r="R439" i="37"/>
  <c r="R440" i="37"/>
  <c r="R441" i="37"/>
  <c r="R442" i="37"/>
  <c r="R443" i="37"/>
  <c r="R444" i="37"/>
  <c r="R445" i="37"/>
  <c r="R446" i="37"/>
  <c r="R447" i="37"/>
  <c r="R448" i="37"/>
  <c r="R449" i="37"/>
  <c r="R450" i="37"/>
  <c r="R451" i="37"/>
  <c r="R452" i="37"/>
  <c r="R453" i="37"/>
  <c r="R454" i="37"/>
  <c r="R455" i="37"/>
  <c r="R456" i="37"/>
  <c r="R457" i="37"/>
  <c r="R458" i="37"/>
  <c r="R459" i="37"/>
  <c r="R460" i="37"/>
  <c r="R461" i="37"/>
  <c r="R462" i="37"/>
  <c r="R463" i="37"/>
  <c r="R464" i="37"/>
  <c r="R465" i="37"/>
  <c r="R466" i="37"/>
  <c r="R467" i="37"/>
  <c r="R468" i="37"/>
  <c r="R469" i="37"/>
  <c r="R470" i="37"/>
  <c r="R471" i="37"/>
  <c r="R472" i="37"/>
  <c r="R473" i="37"/>
  <c r="R474" i="37"/>
  <c r="R475" i="37"/>
  <c r="R476" i="37"/>
  <c r="R477" i="37"/>
  <c r="R478" i="37"/>
  <c r="R479" i="37"/>
  <c r="R480" i="37"/>
  <c r="R481" i="37"/>
  <c r="R482" i="37"/>
  <c r="R483" i="37"/>
  <c r="R484" i="37"/>
  <c r="R485" i="37"/>
  <c r="R486" i="37"/>
  <c r="R487" i="37"/>
  <c r="R488" i="37"/>
  <c r="R489" i="37"/>
  <c r="R490" i="37"/>
  <c r="R491" i="37"/>
  <c r="R492" i="37"/>
  <c r="R493" i="37"/>
  <c r="R494" i="37"/>
  <c r="R495" i="37"/>
  <c r="R496" i="37"/>
  <c r="R497" i="37"/>
  <c r="R498" i="37"/>
  <c r="R499" i="37"/>
  <c r="R500" i="37"/>
  <c r="R501" i="37"/>
  <c r="R502" i="37"/>
  <c r="R503" i="37"/>
  <c r="R504" i="37"/>
  <c r="R505" i="37"/>
  <c r="R506" i="37"/>
  <c r="R507" i="37"/>
  <c r="R508" i="37"/>
  <c r="R509" i="37"/>
  <c r="R510" i="37"/>
  <c r="R511" i="37"/>
  <c r="R512" i="37"/>
  <c r="R513" i="37"/>
  <c r="R514" i="37"/>
  <c r="R515" i="37"/>
  <c r="N77" i="37"/>
  <c r="O77" i="37"/>
  <c r="Q77" i="37"/>
  <c r="N78" i="37"/>
  <c r="O78" i="37"/>
  <c r="Q78" i="37"/>
  <c r="N79" i="37"/>
  <c r="O79" i="37"/>
  <c r="Q79" i="37"/>
  <c r="N80" i="37"/>
  <c r="O80" i="37"/>
  <c r="Q80" i="37"/>
  <c r="N81" i="37"/>
  <c r="O81" i="37"/>
  <c r="Q81" i="37"/>
  <c r="N82" i="37"/>
  <c r="O82" i="37"/>
  <c r="Q82" i="37"/>
  <c r="N83" i="37"/>
  <c r="O83" i="37"/>
  <c r="Q83" i="37"/>
  <c r="N84" i="37"/>
  <c r="O84" i="37"/>
  <c r="Q84" i="37"/>
  <c r="N85" i="37"/>
  <c r="O85" i="37"/>
  <c r="Q85" i="37"/>
  <c r="N86" i="37"/>
  <c r="O86" i="37"/>
  <c r="Q86" i="37"/>
  <c r="N87" i="37"/>
  <c r="O87" i="37"/>
  <c r="Q87" i="37"/>
  <c r="N88" i="37"/>
  <c r="O88" i="37"/>
  <c r="Q88" i="37"/>
  <c r="N89" i="37"/>
  <c r="O89" i="37"/>
  <c r="Q89" i="37"/>
  <c r="N90" i="37"/>
  <c r="O90" i="37"/>
  <c r="Q90" i="37"/>
  <c r="N91" i="37"/>
  <c r="O91" i="37"/>
  <c r="Q91" i="37"/>
  <c r="N92" i="37"/>
  <c r="O92" i="37"/>
  <c r="Q92" i="37"/>
  <c r="N93" i="37"/>
  <c r="O93" i="37"/>
  <c r="Q93" i="37"/>
  <c r="N94" i="37"/>
  <c r="O94" i="37"/>
  <c r="Q94" i="37"/>
  <c r="N95" i="37"/>
  <c r="O95" i="37"/>
  <c r="Q95" i="37"/>
  <c r="N96" i="37"/>
  <c r="O96" i="37"/>
  <c r="Q96" i="37"/>
  <c r="N97" i="37"/>
  <c r="O97" i="37"/>
  <c r="Q97" i="37"/>
  <c r="N98" i="37"/>
  <c r="O98" i="37"/>
  <c r="Q98" i="37"/>
  <c r="N99" i="37"/>
  <c r="O99" i="37"/>
  <c r="Q99" i="37"/>
  <c r="N100" i="37"/>
  <c r="O100" i="37"/>
  <c r="Q100" i="37"/>
  <c r="N101" i="37"/>
  <c r="O101" i="37"/>
  <c r="Q101" i="37"/>
  <c r="N102" i="37"/>
  <c r="O102" i="37"/>
  <c r="Q102" i="37"/>
  <c r="N103" i="37"/>
  <c r="O103" i="37"/>
  <c r="Q103" i="37"/>
  <c r="N104" i="37"/>
  <c r="O104" i="37"/>
  <c r="Q104" i="37"/>
  <c r="N105" i="37"/>
  <c r="O105" i="37"/>
  <c r="Q105" i="37"/>
  <c r="N106" i="37"/>
  <c r="O106" i="37"/>
  <c r="Q106" i="37"/>
  <c r="N107" i="37"/>
  <c r="O107" i="37"/>
  <c r="Q107" i="37"/>
  <c r="N108" i="37"/>
  <c r="O108" i="37"/>
  <c r="Q108" i="37"/>
  <c r="N109" i="37"/>
  <c r="O109" i="37"/>
  <c r="Q109" i="37"/>
  <c r="N110" i="37"/>
  <c r="O110" i="37"/>
  <c r="Q110" i="37"/>
  <c r="N111" i="37"/>
  <c r="O111" i="37"/>
  <c r="Q111" i="37"/>
  <c r="N112" i="37"/>
  <c r="O112" i="37"/>
  <c r="Q112" i="37"/>
  <c r="N113" i="37"/>
  <c r="O113" i="37"/>
  <c r="Q113" i="37"/>
  <c r="N114" i="37"/>
  <c r="O114" i="37"/>
  <c r="Q114" i="37"/>
  <c r="N115" i="37"/>
  <c r="O115" i="37"/>
  <c r="Q115" i="37"/>
  <c r="N116" i="37"/>
  <c r="O116" i="37"/>
  <c r="Q116" i="37"/>
  <c r="N117" i="37"/>
  <c r="O117" i="37"/>
  <c r="Q117" i="37"/>
  <c r="N118" i="37"/>
  <c r="O118" i="37"/>
  <c r="Q118" i="37"/>
  <c r="N119" i="37"/>
  <c r="O119" i="37"/>
  <c r="Q119" i="37"/>
  <c r="N120" i="37"/>
  <c r="O120" i="37"/>
  <c r="Q120" i="37"/>
  <c r="N121" i="37"/>
  <c r="O121" i="37"/>
  <c r="Q121" i="37"/>
  <c r="N122" i="37"/>
  <c r="O122" i="37"/>
  <c r="Q122" i="37"/>
  <c r="N123" i="37"/>
  <c r="O123" i="37"/>
  <c r="Q123" i="37"/>
  <c r="N124" i="37"/>
  <c r="O124" i="37"/>
  <c r="Q124" i="37"/>
  <c r="N125" i="37"/>
  <c r="O125" i="37"/>
  <c r="Q125" i="37"/>
  <c r="N126" i="37"/>
  <c r="O126" i="37"/>
  <c r="Q126" i="37"/>
  <c r="N127" i="37"/>
  <c r="O127" i="37"/>
  <c r="Q127" i="37"/>
  <c r="N128" i="37"/>
  <c r="O128" i="37"/>
  <c r="Q128" i="37"/>
  <c r="N129" i="37"/>
  <c r="O129" i="37"/>
  <c r="Q129" i="37"/>
  <c r="N130" i="37"/>
  <c r="O130" i="37"/>
  <c r="Q130" i="37"/>
  <c r="N131" i="37"/>
  <c r="O131" i="37"/>
  <c r="Q131" i="37"/>
  <c r="N132" i="37"/>
  <c r="O132" i="37"/>
  <c r="Q132" i="37"/>
  <c r="N133" i="37"/>
  <c r="O133" i="37"/>
  <c r="Q133" i="37"/>
  <c r="N134" i="37"/>
  <c r="O134" i="37"/>
  <c r="Q134" i="37"/>
  <c r="N135" i="37"/>
  <c r="O135" i="37"/>
  <c r="Q135" i="37"/>
  <c r="N136" i="37"/>
  <c r="O136" i="37"/>
  <c r="Q136" i="37"/>
  <c r="N137" i="37"/>
  <c r="O137" i="37"/>
  <c r="Q137" i="37"/>
  <c r="N138" i="37"/>
  <c r="O138" i="37"/>
  <c r="Q138" i="37"/>
  <c r="N139" i="37"/>
  <c r="O139" i="37"/>
  <c r="Q139" i="37"/>
  <c r="N140" i="37"/>
  <c r="O140" i="37"/>
  <c r="Q140" i="37"/>
  <c r="N141" i="37"/>
  <c r="O141" i="37"/>
  <c r="Q141" i="37"/>
  <c r="N142" i="37"/>
  <c r="O142" i="37"/>
  <c r="Q142" i="37"/>
  <c r="N143" i="37"/>
  <c r="O143" i="37"/>
  <c r="Q143" i="37"/>
  <c r="N144" i="37"/>
  <c r="O144" i="37"/>
  <c r="Q144" i="37"/>
  <c r="N145" i="37"/>
  <c r="O145" i="37"/>
  <c r="Q145" i="37"/>
  <c r="N146" i="37"/>
  <c r="O146" i="37"/>
  <c r="Q146" i="37"/>
  <c r="N147" i="37"/>
  <c r="O147" i="37"/>
  <c r="Q147" i="37"/>
  <c r="N148" i="37"/>
  <c r="O148" i="37"/>
  <c r="Q148" i="37"/>
  <c r="N149" i="37"/>
  <c r="O149" i="37"/>
  <c r="Q149" i="37"/>
  <c r="N150" i="37"/>
  <c r="O150" i="37"/>
  <c r="Q150" i="37"/>
  <c r="N151" i="37"/>
  <c r="O151" i="37"/>
  <c r="Q151" i="37"/>
  <c r="N152" i="37"/>
  <c r="O152" i="37"/>
  <c r="Q152" i="37"/>
  <c r="N153" i="37"/>
  <c r="O153" i="37"/>
  <c r="Q153" i="37"/>
  <c r="N154" i="37"/>
  <c r="O154" i="37"/>
  <c r="Q154" i="37"/>
  <c r="N155" i="37"/>
  <c r="O155" i="37"/>
  <c r="Q155" i="37"/>
  <c r="N156" i="37"/>
  <c r="O156" i="37"/>
  <c r="Q156" i="37"/>
  <c r="N157" i="37"/>
  <c r="O157" i="37"/>
  <c r="Q157" i="37"/>
  <c r="N158" i="37"/>
  <c r="O158" i="37"/>
  <c r="Q158" i="37"/>
  <c r="N159" i="37"/>
  <c r="O159" i="37"/>
  <c r="Q159" i="37"/>
  <c r="N160" i="37"/>
  <c r="O160" i="37"/>
  <c r="Q160" i="37"/>
  <c r="N161" i="37"/>
  <c r="O161" i="37"/>
  <c r="Q161" i="37"/>
  <c r="N162" i="37"/>
  <c r="O162" i="37"/>
  <c r="Q162" i="37"/>
  <c r="N163" i="37"/>
  <c r="O163" i="37"/>
  <c r="Q163" i="37"/>
  <c r="N164" i="37"/>
  <c r="O164" i="37"/>
  <c r="Q164" i="37"/>
  <c r="N165" i="37"/>
  <c r="O165" i="37"/>
  <c r="Q165" i="37"/>
  <c r="N166" i="37"/>
  <c r="O166" i="37"/>
  <c r="Q166" i="37"/>
  <c r="N167" i="37"/>
  <c r="O167" i="37"/>
  <c r="Q167" i="37"/>
  <c r="N168" i="37"/>
  <c r="O168" i="37"/>
  <c r="Q168" i="37"/>
  <c r="N169" i="37"/>
  <c r="O169" i="37"/>
  <c r="Q169" i="37"/>
  <c r="N170" i="37"/>
  <c r="O170" i="37"/>
  <c r="Q170" i="37"/>
  <c r="N171" i="37"/>
  <c r="O171" i="37"/>
  <c r="Q171" i="37"/>
  <c r="N172" i="37"/>
  <c r="O172" i="37"/>
  <c r="Q172" i="37"/>
  <c r="N173" i="37"/>
  <c r="O173" i="37"/>
  <c r="Q173" i="37"/>
  <c r="N174" i="37"/>
  <c r="O174" i="37"/>
  <c r="Q174" i="37"/>
  <c r="N175" i="37"/>
  <c r="O175" i="37"/>
  <c r="Q175" i="37"/>
  <c r="N176" i="37"/>
  <c r="O176" i="37"/>
  <c r="Q176" i="37"/>
  <c r="N177" i="37"/>
  <c r="O177" i="37"/>
  <c r="Q177" i="37"/>
  <c r="N178" i="37"/>
  <c r="O178" i="37"/>
  <c r="Q178" i="37"/>
  <c r="N179" i="37"/>
  <c r="O179" i="37"/>
  <c r="Q179" i="37"/>
  <c r="N180" i="37"/>
  <c r="O180" i="37"/>
  <c r="Q180" i="37"/>
  <c r="N181" i="37"/>
  <c r="O181" i="37"/>
  <c r="Q181" i="37"/>
  <c r="N182" i="37"/>
  <c r="O182" i="37"/>
  <c r="Q182" i="37"/>
  <c r="N183" i="37"/>
  <c r="O183" i="37"/>
  <c r="Q183" i="37"/>
  <c r="N184" i="37"/>
  <c r="O184" i="37"/>
  <c r="Q184" i="37"/>
  <c r="N185" i="37"/>
  <c r="O185" i="37"/>
  <c r="Q185" i="37"/>
  <c r="N186" i="37"/>
  <c r="O186" i="37"/>
  <c r="Q186" i="37"/>
  <c r="N187" i="37"/>
  <c r="O187" i="37"/>
  <c r="Q187" i="37"/>
  <c r="N188" i="37"/>
  <c r="O188" i="37"/>
  <c r="Q188" i="37"/>
  <c r="N189" i="37"/>
  <c r="O189" i="37"/>
  <c r="Q189" i="37"/>
  <c r="N190" i="37"/>
  <c r="O190" i="37"/>
  <c r="Q190" i="37"/>
  <c r="N191" i="37"/>
  <c r="O191" i="37"/>
  <c r="Q191" i="37"/>
  <c r="N192" i="37"/>
  <c r="O192" i="37"/>
  <c r="Q192" i="37"/>
  <c r="N193" i="37"/>
  <c r="O193" i="37"/>
  <c r="Q193" i="37"/>
  <c r="N194" i="37"/>
  <c r="O194" i="37"/>
  <c r="Q194" i="37"/>
  <c r="N195" i="37"/>
  <c r="O195" i="37"/>
  <c r="Q195" i="37"/>
  <c r="N196" i="37"/>
  <c r="O196" i="37"/>
  <c r="Q196" i="37"/>
  <c r="N197" i="37"/>
  <c r="O197" i="37"/>
  <c r="Q197" i="37"/>
  <c r="N198" i="37"/>
  <c r="O198" i="37"/>
  <c r="Q198" i="37"/>
  <c r="N199" i="37"/>
  <c r="O199" i="37"/>
  <c r="Q199" i="37"/>
  <c r="N200" i="37"/>
  <c r="O200" i="37"/>
  <c r="Q200" i="37"/>
  <c r="N201" i="37"/>
  <c r="O201" i="37"/>
  <c r="Q201" i="37"/>
  <c r="N202" i="37"/>
  <c r="O202" i="37"/>
  <c r="Q202" i="37"/>
  <c r="N203" i="37"/>
  <c r="O203" i="37"/>
  <c r="Q203" i="37"/>
  <c r="N204" i="37"/>
  <c r="O204" i="37"/>
  <c r="Q204" i="37"/>
  <c r="N205" i="37"/>
  <c r="O205" i="37"/>
  <c r="Q205" i="37"/>
  <c r="N206" i="37"/>
  <c r="O206" i="37"/>
  <c r="Q206" i="37"/>
  <c r="N207" i="37"/>
  <c r="O207" i="37"/>
  <c r="Q207" i="37"/>
  <c r="N208" i="37"/>
  <c r="O208" i="37"/>
  <c r="Q208" i="37"/>
  <c r="N209" i="37"/>
  <c r="O209" i="37"/>
  <c r="Q209" i="37"/>
  <c r="N210" i="37"/>
  <c r="O210" i="37"/>
  <c r="Q210" i="37"/>
  <c r="N211" i="37"/>
  <c r="O211" i="37"/>
  <c r="Q211" i="37"/>
  <c r="N212" i="37"/>
  <c r="O212" i="37"/>
  <c r="Q212" i="37"/>
  <c r="N213" i="37"/>
  <c r="O213" i="37"/>
  <c r="Q213" i="37"/>
  <c r="N214" i="37"/>
  <c r="O214" i="37"/>
  <c r="Q214" i="37"/>
  <c r="N215" i="37"/>
  <c r="O215" i="37"/>
  <c r="Q215" i="37"/>
  <c r="N216" i="37"/>
  <c r="O216" i="37"/>
  <c r="Q216" i="37"/>
  <c r="N217" i="37"/>
  <c r="O217" i="37"/>
  <c r="Q217" i="37"/>
  <c r="N218" i="37"/>
  <c r="O218" i="37"/>
  <c r="Q218" i="37"/>
  <c r="N219" i="37"/>
  <c r="O219" i="37"/>
  <c r="Q219" i="37"/>
  <c r="N220" i="37"/>
  <c r="O220" i="37"/>
  <c r="Q220" i="37"/>
  <c r="N221" i="37"/>
  <c r="O221" i="37"/>
  <c r="Q221" i="37"/>
  <c r="N222" i="37"/>
  <c r="O222" i="37"/>
  <c r="Q222" i="37"/>
  <c r="N223" i="37"/>
  <c r="O223" i="37"/>
  <c r="Q223" i="37"/>
  <c r="N224" i="37"/>
  <c r="O224" i="37"/>
  <c r="Q224" i="37"/>
  <c r="N225" i="37"/>
  <c r="O225" i="37"/>
  <c r="Q225" i="37"/>
  <c r="N226" i="37"/>
  <c r="O226" i="37"/>
  <c r="Q226" i="37"/>
  <c r="N227" i="37"/>
  <c r="O227" i="37"/>
  <c r="Q227" i="37"/>
  <c r="N228" i="37"/>
  <c r="O228" i="37"/>
  <c r="Q228" i="37"/>
  <c r="N229" i="37"/>
  <c r="O229" i="37"/>
  <c r="Q229" i="37"/>
  <c r="N230" i="37"/>
  <c r="O230" i="37"/>
  <c r="Q230" i="37"/>
  <c r="N231" i="37"/>
  <c r="O231" i="37"/>
  <c r="Q231" i="37"/>
  <c r="N232" i="37"/>
  <c r="O232" i="37"/>
  <c r="Q232" i="37"/>
  <c r="N233" i="37"/>
  <c r="O233" i="37"/>
  <c r="Q233" i="37"/>
  <c r="N234" i="37"/>
  <c r="O234" i="37"/>
  <c r="Q234" i="37"/>
  <c r="N235" i="37"/>
  <c r="O235" i="37"/>
  <c r="Q235" i="37"/>
  <c r="N236" i="37"/>
  <c r="O236" i="37"/>
  <c r="Q236" i="37"/>
  <c r="N237" i="37"/>
  <c r="O237" i="37"/>
  <c r="Q237" i="37"/>
  <c r="N238" i="37"/>
  <c r="O238" i="37"/>
  <c r="Q238" i="37"/>
  <c r="N239" i="37"/>
  <c r="O239" i="37"/>
  <c r="Q239" i="37"/>
  <c r="N240" i="37"/>
  <c r="O240" i="37"/>
  <c r="Q240" i="37"/>
  <c r="N241" i="37"/>
  <c r="O241" i="37"/>
  <c r="Q241" i="37"/>
  <c r="N242" i="37"/>
  <c r="O242" i="37"/>
  <c r="Q242" i="37"/>
  <c r="N243" i="37"/>
  <c r="O243" i="37"/>
  <c r="Q243" i="37"/>
  <c r="N244" i="37"/>
  <c r="O244" i="37"/>
  <c r="Q244" i="37"/>
  <c r="N245" i="37"/>
  <c r="O245" i="37"/>
  <c r="Q245" i="37"/>
  <c r="N246" i="37"/>
  <c r="O246" i="37"/>
  <c r="Q246" i="37"/>
  <c r="N247" i="37"/>
  <c r="O247" i="37"/>
  <c r="Q247" i="37"/>
  <c r="N248" i="37"/>
  <c r="O248" i="37"/>
  <c r="Q248" i="37"/>
  <c r="N249" i="37"/>
  <c r="O249" i="37"/>
  <c r="Q249" i="37"/>
  <c r="N250" i="37"/>
  <c r="O250" i="37"/>
  <c r="Q250" i="37"/>
  <c r="N251" i="37"/>
  <c r="O251" i="37"/>
  <c r="Q251" i="37"/>
  <c r="N252" i="37"/>
  <c r="O252" i="37"/>
  <c r="Q252" i="37"/>
  <c r="N253" i="37"/>
  <c r="O253" i="37"/>
  <c r="Q253" i="37"/>
  <c r="N254" i="37"/>
  <c r="O254" i="37"/>
  <c r="Q254" i="37"/>
  <c r="N255" i="37"/>
  <c r="O255" i="37"/>
  <c r="Q255" i="37"/>
  <c r="N256" i="37"/>
  <c r="O256" i="37"/>
  <c r="Q256" i="37"/>
  <c r="N257" i="37"/>
  <c r="O257" i="37"/>
  <c r="Q257" i="37"/>
  <c r="N258" i="37"/>
  <c r="O258" i="37"/>
  <c r="Q258" i="37"/>
  <c r="N259" i="37"/>
  <c r="O259" i="37"/>
  <c r="Q259" i="37"/>
  <c r="N260" i="37"/>
  <c r="O260" i="37"/>
  <c r="Q260" i="37"/>
  <c r="N261" i="37"/>
  <c r="O261" i="37"/>
  <c r="Q261" i="37"/>
  <c r="N262" i="37"/>
  <c r="O262" i="37"/>
  <c r="Q262" i="37"/>
  <c r="N263" i="37"/>
  <c r="O263" i="37"/>
  <c r="Q263" i="37"/>
  <c r="N264" i="37"/>
  <c r="O264" i="37"/>
  <c r="Q264" i="37"/>
  <c r="N265" i="37"/>
  <c r="O265" i="37"/>
  <c r="Q265" i="37"/>
  <c r="N266" i="37"/>
  <c r="O266" i="37"/>
  <c r="Q266" i="37"/>
  <c r="N267" i="37"/>
  <c r="O267" i="37"/>
  <c r="Q267" i="37"/>
  <c r="N268" i="37"/>
  <c r="O268" i="37"/>
  <c r="Q268" i="37"/>
  <c r="N269" i="37"/>
  <c r="O269" i="37"/>
  <c r="Q269" i="37"/>
  <c r="N270" i="37"/>
  <c r="O270" i="37"/>
  <c r="Q270" i="37"/>
  <c r="N271" i="37"/>
  <c r="O271" i="37"/>
  <c r="Q271" i="37"/>
  <c r="N272" i="37"/>
  <c r="O272" i="37"/>
  <c r="Q272" i="37"/>
  <c r="N273" i="37"/>
  <c r="O273" i="37"/>
  <c r="Q273" i="37"/>
  <c r="N274" i="37"/>
  <c r="O274" i="37"/>
  <c r="Q274" i="37"/>
  <c r="N275" i="37"/>
  <c r="O275" i="37"/>
  <c r="Q275" i="37"/>
  <c r="N276" i="37"/>
  <c r="O276" i="37"/>
  <c r="Q276" i="37"/>
  <c r="N277" i="37"/>
  <c r="O277" i="37"/>
  <c r="Q277" i="37"/>
  <c r="N278" i="37"/>
  <c r="O278" i="37"/>
  <c r="Q278" i="37"/>
  <c r="N279" i="37"/>
  <c r="O279" i="37"/>
  <c r="Q279" i="37"/>
  <c r="N280" i="37"/>
  <c r="O280" i="37"/>
  <c r="Q280" i="37"/>
  <c r="N281" i="37"/>
  <c r="O281" i="37"/>
  <c r="Q281" i="37"/>
  <c r="N282" i="37"/>
  <c r="O282" i="37"/>
  <c r="Q282" i="37"/>
  <c r="N283" i="37"/>
  <c r="O283" i="37"/>
  <c r="Q283" i="37"/>
  <c r="N284" i="37"/>
  <c r="O284" i="37"/>
  <c r="Q284" i="37"/>
  <c r="N285" i="37"/>
  <c r="O285" i="37"/>
  <c r="Q285" i="37"/>
  <c r="N286" i="37"/>
  <c r="O286" i="37"/>
  <c r="Q286" i="37"/>
  <c r="N287" i="37"/>
  <c r="O287" i="37"/>
  <c r="Q287" i="37"/>
  <c r="N288" i="37"/>
  <c r="O288" i="37"/>
  <c r="Q288" i="37"/>
  <c r="N289" i="37"/>
  <c r="O289" i="37"/>
  <c r="Q289" i="37"/>
  <c r="N290" i="37"/>
  <c r="O290" i="37"/>
  <c r="Q290" i="37"/>
  <c r="N291" i="37"/>
  <c r="O291" i="37"/>
  <c r="Q291" i="37"/>
  <c r="N292" i="37"/>
  <c r="O292" i="37"/>
  <c r="Q292" i="37"/>
  <c r="N293" i="37"/>
  <c r="O293" i="37"/>
  <c r="Q293" i="37"/>
  <c r="N294" i="37"/>
  <c r="O294" i="37"/>
  <c r="Q294" i="37"/>
  <c r="N295" i="37"/>
  <c r="O295" i="37"/>
  <c r="Q295" i="37"/>
  <c r="L296" i="37"/>
  <c r="N296" i="37"/>
  <c r="O296" i="37"/>
  <c r="Q296" i="37"/>
  <c r="L297" i="37"/>
  <c r="N297" i="37"/>
  <c r="O297" i="37"/>
  <c r="Q297" i="37"/>
  <c r="L298" i="37"/>
  <c r="N298" i="37"/>
  <c r="O298" i="37"/>
  <c r="Q298" i="37"/>
  <c r="L299" i="37"/>
  <c r="N299" i="37"/>
  <c r="O299" i="37"/>
  <c r="Q299" i="37"/>
  <c r="L300" i="37"/>
  <c r="N300" i="37"/>
  <c r="O300" i="37"/>
  <c r="Q300" i="37"/>
  <c r="L301" i="37"/>
  <c r="N301" i="37"/>
  <c r="O301" i="37"/>
  <c r="Q301" i="37"/>
  <c r="L302" i="37"/>
  <c r="N302" i="37"/>
  <c r="O302" i="37"/>
  <c r="Q302" i="37"/>
  <c r="L303" i="37"/>
  <c r="N303" i="37"/>
  <c r="O303" i="37"/>
  <c r="Q303" i="37"/>
  <c r="L304" i="37"/>
  <c r="N304" i="37"/>
  <c r="O304" i="37"/>
  <c r="Q304" i="37"/>
  <c r="L305" i="37"/>
  <c r="N305" i="37"/>
  <c r="O305" i="37"/>
  <c r="Q305" i="37"/>
  <c r="L306" i="37"/>
  <c r="N306" i="37"/>
  <c r="O306" i="37"/>
  <c r="Q306" i="37"/>
  <c r="L307" i="37"/>
  <c r="N307" i="37"/>
  <c r="O307" i="37"/>
  <c r="Q307" i="37"/>
  <c r="L308" i="37"/>
  <c r="N308" i="37"/>
  <c r="O308" i="37"/>
  <c r="Q308" i="37"/>
  <c r="L309" i="37"/>
  <c r="N309" i="37"/>
  <c r="O309" i="37"/>
  <c r="Q309" i="37"/>
  <c r="L310" i="37"/>
  <c r="N310" i="37"/>
  <c r="O310" i="37"/>
  <c r="Q310" i="37"/>
  <c r="L311" i="37"/>
  <c r="N311" i="37"/>
  <c r="O311" i="37"/>
  <c r="Q311" i="37"/>
  <c r="L312" i="37"/>
  <c r="N312" i="37"/>
  <c r="O312" i="37"/>
  <c r="Q312" i="37"/>
  <c r="L313" i="37"/>
  <c r="N313" i="37"/>
  <c r="O313" i="37"/>
  <c r="Q313" i="37"/>
  <c r="L314" i="37"/>
  <c r="N314" i="37"/>
  <c r="O314" i="37"/>
  <c r="Q314" i="37"/>
  <c r="L315" i="37"/>
  <c r="N315" i="37"/>
  <c r="O315" i="37"/>
  <c r="Q315" i="37"/>
  <c r="L316" i="37"/>
  <c r="N316" i="37"/>
  <c r="O316" i="37"/>
  <c r="Q316" i="37"/>
  <c r="L317" i="37"/>
  <c r="N317" i="37"/>
  <c r="O317" i="37"/>
  <c r="Q317" i="37"/>
  <c r="L318" i="37"/>
  <c r="N318" i="37"/>
  <c r="O318" i="37"/>
  <c r="Q318" i="37"/>
  <c r="L319" i="37"/>
  <c r="N319" i="37"/>
  <c r="O319" i="37"/>
  <c r="Q319" i="37"/>
  <c r="L320" i="37"/>
  <c r="N320" i="37"/>
  <c r="O320" i="37"/>
  <c r="Q320" i="37"/>
  <c r="L321" i="37"/>
  <c r="N321" i="37"/>
  <c r="O321" i="37"/>
  <c r="Q321" i="37"/>
  <c r="L322" i="37"/>
  <c r="N322" i="37"/>
  <c r="O322" i="37"/>
  <c r="Q322" i="37"/>
  <c r="L323" i="37"/>
  <c r="N323" i="37"/>
  <c r="O323" i="37"/>
  <c r="Q323" i="37"/>
  <c r="L324" i="37"/>
  <c r="N324" i="37"/>
  <c r="O324" i="37"/>
  <c r="Q324" i="37"/>
  <c r="L325" i="37"/>
  <c r="N325" i="37"/>
  <c r="O325" i="37"/>
  <c r="Q325" i="37"/>
  <c r="L326" i="37"/>
  <c r="N326" i="37"/>
  <c r="O326" i="37"/>
  <c r="Q326" i="37"/>
  <c r="L327" i="37"/>
  <c r="N327" i="37"/>
  <c r="O327" i="37"/>
  <c r="Q327" i="37"/>
  <c r="L328" i="37"/>
  <c r="N328" i="37"/>
  <c r="O328" i="37"/>
  <c r="Q328" i="37"/>
  <c r="L329" i="37"/>
  <c r="N329" i="37"/>
  <c r="O329" i="37"/>
  <c r="Q329" i="37"/>
  <c r="L330" i="37"/>
  <c r="N330" i="37"/>
  <c r="O330" i="37"/>
  <c r="Q330" i="37"/>
  <c r="L331" i="37"/>
  <c r="N331" i="37"/>
  <c r="O331" i="37"/>
  <c r="Q331" i="37"/>
  <c r="L332" i="37"/>
  <c r="N332" i="37"/>
  <c r="O332" i="37"/>
  <c r="Q332" i="37"/>
  <c r="L333" i="37"/>
  <c r="N333" i="37"/>
  <c r="O333" i="37"/>
  <c r="Q333" i="37"/>
  <c r="L334" i="37"/>
  <c r="N334" i="37"/>
  <c r="O334" i="37"/>
  <c r="Q334" i="37"/>
  <c r="L335" i="37"/>
  <c r="N335" i="37"/>
  <c r="O335" i="37"/>
  <c r="Q335" i="37"/>
  <c r="L336" i="37"/>
  <c r="N336" i="37"/>
  <c r="O336" i="37"/>
  <c r="Q336" i="37"/>
  <c r="L337" i="37"/>
  <c r="N337" i="37"/>
  <c r="O337" i="37"/>
  <c r="Q337" i="37"/>
  <c r="L338" i="37"/>
  <c r="N338" i="37"/>
  <c r="O338" i="37"/>
  <c r="Q338" i="37"/>
  <c r="L339" i="37"/>
  <c r="N339" i="37"/>
  <c r="O339" i="37"/>
  <c r="Q339" i="37"/>
  <c r="L340" i="37"/>
  <c r="N340" i="37"/>
  <c r="O340" i="37"/>
  <c r="Q340" i="37"/>
  <c r="L341" i="37"/>
  <c r="N341" i="37"/>
  <c r="O341" i="37"/>
  <c r="Q341" i="37"/>
  <c r="L342" i="37"/>
  <c r="N342" i="37"/>
  <c r="O342" i="37"/>
  <c r="Q342" i="37"/>
  <c r="L343" i="37"/>
  <c r="N343" i="37"/>
  <c r="O343" i="37"/>
  <c r="Q343" i="37"/>
  <c r="L344" i="37"/>
  <c r="N344" i="37"/>
  <c r="O344" i="37"/>
  <c r="Q344" i="37"/>
  <c r="L345" i="37"/>
  <c r="N345" i="37"/>
  <c r="O345" i="37"/>
  <c r="Q345" i="37"/>
  <c r="L346" i="37"/>
  <c r="N346" i="37"/>
  <c r="O346" i="37"/>
  <c r="Q346" i="37"/>
  <c r="L347" i="37"/>
  <c r="N347" i="37"/>
  <c r="O347" i="37"/>
  <c r="Q347" i="37"/>
  <c r="L348" i="37"/>
  <c r="N348" i="37"/>
  <c r="O348" i="37"/>
  <c r="Q348" i="37"/>
  <c r="L349" i="37"/>
  <c r="N349" i="37"/>
  <c r="O349" i="37"/>
  <c r="Q349" i="37"/>
  <c r="L350" i="37"/>
  <c r="N350" i="37"/>
  <c r="O350" i="37"/>
  <c r="Q350" i="37"/>
  <c r="L351" i="37"/>
  <c r="N351" i="37"/>
  <c r="O351" i="37"/>
  <c r="Q351" i="37"/>
  <c r="L352" i="37"/>
  <c r="N352" i="37"/>
  <c r="O352" i="37"/>
  <c r="Q352" i="37"/>
  <c r="L353" i="37"/>
  <c r="N353" i="37"/>
  <c r="O353" i="37"/>
  <c r="Q353" i="37"/>
  <c r="L354" i="37"/>
  <c r="N354" i="37"/>
  <c r="O354" i="37"/>
  <c r="Q354" i="37"/>
  <c r="L355" i="37"/>
  <c r="N355" i="37"/>
  <c r="O355" i="37"/>
  <c r="Q355" i="37"/>
  <c r="L356" i="37"/>
  <c r="N356" i="37"/>
  <c r="O356" i="37"/>
  <c r="Q356" i="37"/>
  <c r="L357" i="37"/>
  <c r="N357" i="37"/>
  <c r="O357" i="37"/>
  <c r="Q357" i="37"/>
  <c r="L358" i="37"/>
  <c r="N358" i="37"/>
  <c r="O358" i="37"/>
  <c r="Q358" i="37"/>
  <c r="L359" i="37"/>
  <c r="N359" i="37"/>
  <c r="O359" i="37"/>
  <c r="Q359" i="37"/>
  <c r="L360" i="37"/>
  <c r="N360" i="37"/>
  <c r="O360" i="37"/>
  <c r="Q360" i="37"/>
  <c r="L361" i="37"/>
  <c r="N361" i="37"/>
  <c r="O361" i="37"/>
  <c r="Q361" i="37"/>
  <c r="L362" i="37"/>
  <c r="N362" i="37"/>
  <c r="O362" i="37"/>
  <c r="Q362" i="37"/>
  <c r="L363" i="37"/>
  <c r="N363" i="37"/>
  <c r="O363" i="37"/>
  <c r="Q363" i="37"/>
  <c r="L364" i="37"/>
  <c r="N364" i="37"/>
  <c r="O364" i="37"/>
  <c r="Q364" i="37"/>
  <c r="L365" i="37"/>
  <c r="N365" i="37"/>
  <c r="O365" i="37"/>
  <c r="Q365" i="37"/>
  <c r="L366" i="37"/>
  <c r="N366" i="37"/>
  <c r="O366" i="37"/>
  <c r="Q366" i="37"/>
  <c r="L367" i="37"/>
  <c r="N367" i="37"/>
  <c r="O367" i="37"/>
  <c r="Q367" i="37"/>
  <c r="L368" i="37"/>
  <c r="N368" i="37"/>
  <c r="O368" i="37"/>
  <c r="Q368" i="37"/>
  <c r="L369" i="37"/>
  <c r="N369" i="37"/>
  <c r="O369" i="37"/>
  <c r="Q369" i="37"/>
  <c r="L370" i="37"/>
  <c r="N370" i="37"/>
  <c r="O370" i="37"/>
  <c r="Q370" i="37"/>
  <c r="L371" i="37"/>
  <c r="N371" i="37"/>
  <c r="O371" i="37"/>
  <c r="Q371" i="37"/>
  <c r="L372" i="37"/>
  <c r="N372" i="37"/>
  <c r="O372" i="37"/>
  <c r="Q372" i="37"/>
  <c r="L373" i="37"/>
  <c r="N373" i="37"/>
  <c r="O373" i="37"/>
  <c r="Q373" i="37"/>
  <c r="L374" i="37"/>
  <c r="N374" i="37"/>
  <c r="O374" i="37"/>
  <c r="Q374" i="37"/>
  <c r="L375" i="37"/>
  <c r="N375" i="37"/>
  <c r="O375" i="37"/>
  <c r="Q375" i="37"/>
  <c r="L376" i="37"/>
  <c r="N376" i="37"/>
  <c r="O376" i="37"/>
  <c r="Q376" i="37"/>
  <c r="L377" i="37"/>
  <c r="N377" i="37"/>
  <c r="O377" i="37"/>
  <c r="Q377" i="37"/>
  <c r="L378" i="37"/>
  <c r="N378" i="37"/>
  <c r="O378" i="37"/>
  <c r="Q378" i="37"/>
  <c r="L379" i="37"/>
  <c r="N379" i="37"/>
  <c r="O379" i="37"/>
  <c r="Q379" i="37"/>
  <c r="L380" i="37"/>
  <c r="N380" i="37"/>
  <c r="O380" i="37"/>
  <c r="Q380" i="37"/>
  <c r="L381" i="37"/>
  <c r="N381" i="37"/>
  <c r="O381" i="37"/>
  <c r="Q381" i="37"/>
  <c r="L382" i="37"/>
  <c r="N382" i="37"/>
  <c r="O382" i="37"/>
  <c r="Q382" i="37"/>
  <c r="L383" i="37"/>
  <c r="N383" i="37"/>
  <c r="O383" i="37"/>
  <c r="Q383" i="37"/>
  <c r="L384" i="37"/>
  <c r="N384" i="37"/>
  <c r="O384" i="37"/>
  <c r="Q384" i="37"/>
  <c r="L385" i="37"/>
  <c r="N385" i="37"/>
  <c r="O385" i="37"/>
  <c r="Q385" i="37"/>
  <c r="L386" i="37"/>
  <c r="N386" i="37"/>
  <c r="O386" i="37"/>
  <c r="Q386" i="37"/>
  <c r="L387" i="37"/>
  <c r="N387" i="37"/>
  <c r="O387" i="37"/>
  <c r="Q387" i="37"/>
  <c r="L388" i="37"/>
  <c r="N388" i="37"/>
  <c r="O388" i="37"/>
  <c r="Q388" i="37"/>
  <c r="L389" i="37"/>
  <c r="N389" i="37"/>
  <c r="O389" i="37"/>
  <c r="Q389" i="37"/>
  <c r="L390" i="37"/>
  <c r="N390" i="37"/>
  <c r="O390" i="37"/>
  <c r="Q390" i="37"/>
  <c r="L391" i="37"/>
  <c r="N391" i="37"/>
  <c r="O391" i="37"/>
  <c r="Q391" i="37"/>
  <c r="L392" i="37"/>
  <c r="N392" i="37"/>
  <c r="O392" i="37"/>
  <c r="Q392" i="37"/>
  <c r="L393" i="37"/>
  <c r="N393" i="37"/>
  <c r="O393" i="37"/>
  <c r="Q393" i="37"/>
  <c r="L394" i="37"/>
  <c r="N394" i="37"/>
  <c r="O394" i="37"/>
  <c r="Q394" i="37"/>
  <c r="L395" i="37"/>
  <c r="N395" i="37"/>
  <c r="O395" i="37"/>
  <c r="Q395" i="37"/>
  <c r="L396" i="37"/>
  <c r="N396" i="37"/>
  <c r="O396" i="37"/>
  <c r="Q396" i="37"/>
  <c r="L397" i="37"/>
  <c r="N397" i="37"/>
  <c r="O397" i="37"/>
  <c r="Q397" i="37"/>
  <c r="L398" i="37"/>
  <c r="N398" i="37"/>
  <c r="O398" i="37"/>
  <c r="Q398" i="37"/>
  <c r="L399" i="37"/>
  <c r="N399" i="37"/>
  <c r="O399" i="37"/>
  <c r="Q399" i="37"/>
  <c r="L400" i="37"/>
  <c r="N400" i="37"/>
  <c r="O400" i="37"/>
  <c r="Q400" i="37"/>
  <c r="L401" i="37"/>
  <c r="N401" i="37"/>
  <c r="O401" i="37"/>
  <c r="Q401" i="37"/>
  <c r="L402" i="37"/>
  <c r="N402" i="37"/>
  <c r="O402" i="37"/>
  <c r="Q402" i="37"/>
  <c r="L403" i="37"/>
  <c r="N403" i="37"/>
  <c r="O403" i="37"/>
  <c r="Q403" i="37"/>
  <c r="L404" i="37"/>
  <c r="N404" i="37"/>
  <c r="O404" i="37"/>
  <c r="Q404" i="37"/>
  <c r="L405" i="37"/>
  <c r="N405" i="37"/>
  <c r="O405" i="37"/>
  <c r="Q405" i="37"/>
  <c r="L406" i="37"/>
  <c r="N406" i="37"/>
  <c r="O406" i="37"/>
  <c r="Q406" i="37"/>
  <c r="L407" i="37"/>
  <c r="N407" i="37"/>
  <c r="O407" i="37"/>
  <c r="Q407" i="37"/>
  <c r="L408" i="37"/>
  <c r="N408" i="37"/>
  <c r="O408" i="37"/>
  <c r="Q408" i="37"/>
  <c r="L409" i="37"/>
  <c r="N409" i="37"/>
  <c r="O409" i="37"/>
  <c r="Q409" i="37"/>
  <c r="L410" i="37"/>
  <c r="N410" i="37"/>
  <c r="O410" i="37"/>
  <c r="Q410" i="37"/>
  <c r="L411" i="37"/>
  <c r="N411" i="37"/>
  <c r="O411" i="37"/>
  <c r="Q411" i="37"/>
  <c r="L412" i="37"/>
  <c r="N412" i="37"/>
  <c r="O412" i="37"/>
  <c r="Q412" i="37"/>
  <c r="L413" i="37"/>
  <c r="N413" i="37"/>
  <c r="O413" i="37"/>
  <c r="Q413" i="37"/>
  <c r="L414" i="37"/>
  <c r="N414" i="37"/>
  <c r="O414" i="37"/>
  <c r="Q414" i="37"/>
  <c r="L415" i="37"/>
  <c r="N415" i="37"/>
  <c r="O415" i="37"/>
  <c r="Q415" i="37"/>
  <c r="L416" i="37"/>
  <c r="N416" i="37"/>
  <c r="O416" i="37"/>
  <c r="Q416" i="37"/>
  <c r="L417" i="37"/>
  <c r="N417" i="37"/>
  <c r="O417" i="37"/>
  <c r="Q417" i="37"/>
  <c r="L418" i="37"/>
  <c r="N418" i="37"/>
  <c r="O418" i="37"/>
  <c r="Q418" i="37"/>
  <c r="L419" i="37"/>
  <c r="N419" i="37"/>
  <c r="O419" i="37"/>
  <c r="Q419" i="37"/>
  <c r="L420" i="37"/>
  <c r="N420" i="37"/>
  <c r="O420" i="37"/>
  <c r="Q420" i="37"/>
  <c r="L421" i="37"/>
  <c r="N421" i="37"/>
  <c r="O421" i="37"/>
  <c r="Q421" i="37"/>
  <c r="L422" i="37"/>
  <c r="N422" i="37"/>
  <c r="O422" i="37"/>
  <c r="Q422" i="37"/>
  <c r="L423" i="37"/>
  <c r="N423" i="37"/>
  <c r="O423" i="37"/>
  <c r="Q423" i="37"/>
  <c r="L424" i="37"/>
  <c r="N424" i="37"/>
  <c r="O424" i="37"/>
  <c r="Q424" i="37"/>
  <c r="L425" i="37"/>
  <c r="N425" i="37"/>
  <c r="O425" i="37"/>
  <c r="Q425" i="37"/>
  <c r="L426" i="37"/>
  <c r="N426" i="37"/>
  <c r="O426" i="37"/>
  <c r="Q426" i="37"/>
  <c r="L427" i="37"/>
  <c r="N427" i="37"/>
  <c r="O427" i="37"/>
  <c r="Q427" i="37"/>
  <c r="L428" i="37"/>
  <c r="N428" i="37"/>
  <c r="O428" i="37"/>
  <c r="Q428" i="37"/>
  <c r="L429" i="37"/>
  <c r="N429" i="37"/>
  <c r="O429" i="37"/>
  <c r="Q429" i="37"/>
  <c r="L430" i="37"/>
  <c r="N430" i="37"/>
  <c r="O430" i="37"/>
  <c r="Q430" i="37"/>
  <c r="L431" i="37"/>
  <c r="N431" i="37"/>
  <c r="O431" i="37"/>
  <c r="Q431" i="37"/>
  <c r="L432" i="37"/>
  <c r="N432" i="37"/>
  <c r="O432" i="37"/>
  <c r="Q432" i="37"/>
  <c r="L433" i="37"/>
  <c r="N433" i="37"/>
  <c r="O433" i="37"/>
  <c r="Q433" i="37"/>
  <c r="L434" i="37"/>
  <c r="N434" i="37"/>
  <c r="O434" i="37"/>
  <c r="Q434" i="37"/>
  <c r="L435" i="37"/>
  <c r="N435" i="37"/>
  <c r="O435" i="37"/>
  <c r="Q435" i="37"/>
  <c r="L436" i="37"/>
  <c r="N436" i="37"/>
  <c r="O436" i="37"/>
  <c r="Q436" i="37"/>
  <c r="L437" i="37"/>
  <c r="N437" i="37"/>
  <c r="O437" i="37"/>
  <c r="Q437" i="37"/>
  <c r="L438" i="37"/>
  <c r="N438" i="37"/>
  <c r="O438" i="37"/>
  <c r="Q438" i="37"/>
  <c r="L439" i="37"/>
  <c r="N439" i="37"/>
  <c r="O439" i="37"/>
  <c r="Q439" i="37"/>
  <c r="L440" i="37"/>
  <c r="N440" i="37"/>
  <c r="O440" i="37"/>
  <c r="Q440" i="37"/>
  <c r="L441" i="37"/>
  <c r="N441" i="37"/>
  <c r="O441" i="37"/>
  <c r="Q441" i="37"/>
  <c r="L442" i="37"/>
  <c r="N442" i="37"/>
  <c r="O442" i="37"/>
  <c r="Q442" i="37"/>
  <c r="L443" i="37"/>
  <c r="N443" i="37"/>
  <c r="O443" i="37"/>
  <c r="Q443" i="37"/>
  <c r="L444" i="37"/>
  <c r="N444" i="37"/>
  <c r="O444" i="37"/>
  <c r="Q444" i="37"/>
  <c r="L445" i="37"/>
  <c r="N445" i="37"/>
  <c r="O445" i="37"/>
  <c r="Q445" i="37"/>
  <c r="L446" i="37"/>
  <c r="N446" i="37"/>
  <c r="O446" i="37"/>
  <c r="Q446" i="37"/>
  <c r="L447" i="37"/>
  <c r="N447" i="37"/>
  <c r="O447" i="37"/>
  <c r="Q447" i="37"/>
  <c r="L448" i="37"/>
  <c r="N448" i="37"/>
  <c r="O448" i="37"/>
  <c r="Q448" i="37"/>
  <c r="L449" i="37"/>
  <c r="N449" i="37"/>
  <c r="O449" i="37"/>
  <c r="Q449" i="37"/>
  <c r="L450" i="37"/>
  <c r="N450" i="37"/>
  <c r="O450" i="37"/>
  <c r="Q450" i="37"/>
  <c r="L451" i="37"/>
  <c r="N451" i="37"/>
  <c r="O451" i="37"/>
  <c r="Q451" i="37"/>
  <c r="L452" i="37"/>
  <c r="N452" i="37"/>
  <c r="O452" i="37"/>
  <c r="Q452" i="37"/>
  <c r="L453" i="37"/>
  <c r="N453" i="37"/>
  <c r="O453" i="37"/>
  <c r="Q453" i="37"/>
  <c r="L454" i="37"/>
  <c r="N454" i="37"/>
  <c r="O454" i="37"/>
  <c r="Q454" i="37"/>
  <c r="L455" i="37"/>
  <c r="N455" i="37"/>
  <c r="O455" i="37"/>
  <c r="Q455" i="37"/>
  <c r="L456" i="37"/>
  <c r="N456" i="37"/>
  <c r="O456" i="37"/>
  <c r="Q456" i="37"/>
  <c r="L457" i="37"/>
  <c r="N457" i="37"/>
  <c r="O457" i="37"/>
  <c r="Q457" i="37"/>
  <c r="L458" i="37"/>
  <c r="N458" i="37"/>
  <c r="O458" i="37"/>
  <c r="Q458" i="37"/>
  <c r="L459" i="37"/>
  <c r="N459" i="37"/>
  <c r="O459" i="37"/>
  <c r="Q459" i="37"/>
  <c r="L460" i="37"/>
  <c r="N460" i="37"/>
  <c r="O460" i="37"/>
  <c r="Q460" i="37"/>
  <c r="L461" i="37"/>
  <c r="N461" i="37"/>
  <c r="O461" i="37"/>
  <c r="Q461" i="37"/>
  <c r="L462" i="37"/>
  <c r="N462" i="37"/>
  <c r="O462" i="37"/>
  <c r="Q462" i="37"/>
  <c r="L463" i="37"/>
  <c r="N463" i="37"/>
  <c r="O463" i="37"/>
  <c r="Q463" i="37"/>
  <c r="L464" i="37"/>
  <c r="N464" i="37"/>
  <c r="O464" i="37"/>
  <c r="Q464" i="37"/>
  <c r="L465" i="37"/>
  <c r="N465" i="37"/>
  <c r="O465" i="37"/>
  <c r="Q465" i="37"/>
  <c r="L466" i="37"/>
  <c r="N466" i="37"/>
  <c r="O466" i="37"/>
  <c r="Q466" i="37"/>
  <c r="L467" i="37"/>
  <c r="N467" i="37"/>
  <c r="O467" i="37"/>
  <c r="Q467" i="37"/>
  <c r="L468" i="37"/>
  <c r="N468" i="37"/>
  <c r="O468" i="37"/>
  <c r="Q468" i="37"/>
  <c r="L469" i="37"/>
  <c r="N469" i="37"/>
  <c r="O469" i="37"/>
  <c r="Q469" i="37"/>
  <c r="L470" i="37"/>
  <c r="N470" i="37"/>
  <c r="O470" i="37"/>
  <c r="Q470" i="37"/>
  <c r="L471" i="37"/>
  <c r="N471" i="37"/>
  <c r="O471" i="37"/>
  <c r="Q471" i="37"/>
  <c r="L472" i="37"/>
  <c r="N472" i="37"/>
  <c r="O472" i="37"/>
  <c r="Q472" i="37"/>
  <c r="L473" i="37"/>
  <c r="N473" i="37"/>
  <c r="O473" i="37"/>
  <c r="Q473" i="37"/>
  <c r="L474" i="37"/>
  <c r="N474" i="37"/>
  <c r="O474" i="37"/>
  <c r="Q474" i="37"/>
  <c r="L475" i="37"/>
  <c r="N475" i="37"/>
  <c r="O475" i="37"/>
  <c r="Q475" i="37"/>
  <c r="L476" i="37"/>
  <c r="N476" i="37"/>
  <c r="O476" i="37"/>
  <c r="Q476" i="37"/>
  <c r="L477" i="37"/>
  <c r="N477" i="37"/>
  <c r="O477" i="37"/>
  <c r="Q477" i="37"/>
  <c r="L478" i="37"/>
  <c r="N478" i="37"/>
  <c r="O478" i="37"/>
  <c r="Q478" i="37"/>
  <c r="L479" i="37"/>
  <c r="N479" i="37"/>
  <c r="O479" i="37"/>
  <c r="Q479" i="37"/>
  <c r="L480" i="37"/>
  <c r="N480" i="37"/>
  <c r="O480" i="37"/>
  <c r="Q480" i="37"/>
  <c r="L481" i="37"/>
  <c r="N481" i="37"/>
  <c r="O481" i="37"/>
  <c r="Q481" i="37"/>
  <c r="L482" i="37"/>
  <c r="N482" i="37"/>
  <c r="O482" i="37"/>
  <c r="Q482" i="37"/>
  <c r="L483" i="37"/>
  <c r="N483" i="37"/>
  <c r="O483" i="37"/>
  <c r="Q483" i="37"/>
  <c r="L484" i="37"/>
  <c r="N484" i="37"/>
  <c r="O484" i="37"/>
  <c r="Q484" i="37"/>
  <c r="L485" i="37"/>
  <c r="N485" i="37"/>
  <c r="O485" i="37"/>
  <c r="Q485" i="37"/>
  <c r="L486" i="37"/>
  <c r="N486" i="37"/>
  <c r="O486" i="37"/>
  <c r="Q486" i="37"/>
  <c r="L487" i="37"/>
  <c r="N487" i="37"/>
  <c r="O487" i="37"/>
  <c r="Q487" i="37"/>
  <c r="L488" i="37"/>
  <c r="N488" i="37"/>
  <c r="O488" i="37"/>
  <c r="Q488" i="37"/>
  <c r="L489" i="37"/>
  <c r="N489" i="37"/>
  <c r="O489" i="37"/>
  <c r="Q489" i="37"/>
  <c r="L490" i="37"/>
  <c r="N490" i="37"/>
  <c r="O490" i="37"/>
  <c r="Q490" i="37"/>
  <c r="L491" i="37"/>
  <c r="N491" i="37"/>
  <c r="O491" i="37"/>
  <c r="Q491" i="37"/>
  <c r="L492" i="37"/>
  <c r="N492" i="37"/>
  <c r="O492" i="37"/>
  <c r="Q492" i="37"/>
  <c r="L493" i="37"/>
  <c r="N493" i="37"/>
  <c r="O493" i="37"/>
  <c r="Q493" i="37"/>
  <c r="L494" i="37"/>
  <c r="N494" i="37"/>
  <c r="O494" i="37"/>
  <c r="Q494" i="37"/>
  <c r="L495" i="37"/>
  <c r="N495" i="37"/>
  <c r="O495" i="37"/>
  <c r="Q495" i="37"/>
  <c r="L496" i="37"/>
  <c r="N496" i="37"/>
  <c r="O496" i="37"/>
  <c r="Q496" i="37"/>
  <c r="L497" i="37"/>
  <c r="N497" i="37"/>
  <c r="O497" i="37"/>
  <c r="Q497" i="37"/>
  <c r="L498" i="37"/>
  <c r="N498" i="37"/>
  <c r="O498" i="37"/>
  <c r="Q498" i="37"/>
  <c r="L499" i="37"/>
  <c r="N499" i="37"/>
  <c r="O499" i="37"/>
  <c r="Q499" i="37"/>
  <c r="L500" i="37"/>
  <c r="N500" i="37"/>
  <c r="O500" i="37"/>
  <c r="Q500" i="37"/>
  <c r="L501" i="37"/>
  <c r="N501" i="37"/>
  <c r="O501" i="37"/>
  <c r="Q501" i="37"/>
  <c r="L502" i="37"/>
  <c r="N502" i="37"/>
  <c r="O502" i="37"/>
  <c r="Q502" i="37"/>
  <c r="L503" i="37"/>
  <c r="N503" i="37"/>
  <c r="O503" i="37"/>
  <c r="Q503" i="37"/>
  <c r="L504" i="37"/>
  <c r="N504" i="37"/>
  <c r="O504" i="37"/>
  <c r="Q504" i="37"/>
  <c r="L505" i="37"/>
  <c r="N505" i="37"/>
  <c r="O505" i="37"/>
  <c r="Q505" i="37"/>
  <c r="L506" i="37"/>
  <c r="N506" i="37"/>
  <c r="O506" i="37"/>
  <c r="Q506" i="37"/>
  <c r="L507" i="37"/>
  <c r="N507" i="37"/>
  <c r="O507" i="37"/>
  <c r="Q507" i="37"/>
  <c r="L508" i="37"/>
  <c r="N508" i="37"/>
  <c r="O508" i="37"/>
  <c r="Q508" i="37"/>
  <c r="L509" i="37"/>
  <c r="N509" i="37"/>
  <c r="O509" i="37"/>
  <c r="Q509" i="37"/>
  <c r="L510" i="37"/>
  <c r="N510" i="37"/>
  <c r="O510" i="37"/>
  <c r="Q510" i="37"/>
  <c r="L511" i="37"/>
  <c r="N511" i="37"/>
  <c r="O511" i="37"/>
  <c r="Q511" i="37"/>
  <c r="L512" i="37"/>
  <c r="N512" i="37"/>
  <c r="O512" i="37"/>
  <c r="Q512" i="37"/>
  <c r="L513" i="37"/>
  <c r="N513" i="37"/>
  <c r="O513" i="37"/>
  <c r="Q513" i="37"/>
  <c r="L514" i="37"/>
  <c r="N514" i="37"/>
  <c r="O514" i="37"/>
  <c r="Q514" i="37"/>
  <c r="L515" i="37"/>
  <c r="N515" i="37"/>
  <c r="O515" i="37"/>
  <c r="Q515" i="37"/>
  <c r="CV6" i="32"/>
  <c r="CV7" i="32"/>
  <c r="CV8" i="32"/>
  <c r="CV9" i="32"/>
  <c r="CV10" i="32"/>
  <c r="CV11" i="32"/>
  <c r="CV12" i="32"/>
  <c r="CV13" i="32"/>
  <c r="CV14" i="32"/>
  <c r="CV15" i="32"/>
  <c r="CV16" i="32"/>
  <c r="CV17" i="32"/>
  <c r="CV18" i="32"/>
  <c r="CV19" i="32"/>
  <c r="CV20" i="32"/>
  <c r="CV21" i="32"/>
  <c r="CV22" i="32"/>
  <c r="CV23" i="32"/>
  <c r="CV24" i="32"/>
  <c r="CV25" i="32"/>
  <c r="CV26" i="32"/>
  <c r="CV27" i="32"/>
  <c r="CV28" i="32"/>
  <c r="CV29" i="32"/>
  <c r="CV30" i="32"/>
  <c r="CV31" i="32"/>
  <c r="CV32" i="32"/>
  <c r="CV33" i="32"/>
  <c r="CV34" i="32"/>
  <c r="CV35" i="32"/>
  <c r="CV36" i="32"/>
  <c r="CV37" i="32"/>
  <c r="CV38" i="32"/>
  <c r="CV39" i="32"/>
  <c r="CV40" i="32"/>
  <c r="CV41" i="32"/>
  <c r="CV42" i="32"/>
  <c r="CV43" i="32"/>
  <c r="CV44" i="32"/>
  <c r="CV45" i="32"/>
  <c r="CV46" i="32"/>
  <c r="CV47" i="32"/>
  <c r="CV48" i="32"/>
  <c r="CV49" i="32"/>
  <c r="CV50" i="32"/>
  <c r="CV51" i="32"/>
  <c r="CV52" i="32"/>
  <c r="CV53" i="32"/>
  <c r="CV54" i="32"/>
  <c r="CV55" i="32"/>
  <c r="CV56" i="32"/>
  <c r="CV57" i="32"/>
  <c r="CV58" i="32"/>
  <c r="CV59" i="32"/>
  <c r="CV60" i="32"/>
  <c r="CV61" i="32"/>
  <c r="CV62" i="32"/>
  <c r="CV63" i="32"/>
  <c r="CV64" i="32"/>
  <c r="CV65" i="32"/>
  <c r="CV66" i="32"/>
  <c r="CV67" i="32"/>
  <c r="CV68" i="32"/>
  <c r="CV69" i="32"/>
  <c r="CV70" i="32"/>
  <c r="CV71" i="32"/>
  <c r="CV72" i="32"/>
  <c r="CV73" i="32"/>
  <c r="CV74" i="32"/>
  <c r="CV75" i="32"/>
  <c r="CV76" i="32"/>
  <c r="CV77" i="32"/>
  <c r="CV78" i="32"/>
  <c r="CV79" i="32"/>
  <c r="CV80" i="32"/>
  <c r="CV81" i="32"/>
  <c r="CV82" i="32"/>
  <c r="CV83" i="32"/>
  <c r="CV84" i="32"/>
  <c r="CV85" i="32"/>
  <c r="CV86" i="32"/>
  <c r="CV87" i="32"/>
  <c r="CV88" i="32"/>
  <c r="CV89" i="32"/>
  <c r="CV90" i="32"/>
  <c r="CV91" i="32"/>
  <c r="CV92" i="32"/>
  <c r="CV93" i="32"/>
  <c r="CV94" i="32"/>
  <c r="CV95" i="32"/>
  <c r="CV96" i="32"/>
  <c r="CV97" i="32"/>
  <c r="CV98" i="32"/>
  <c r="CV99" i="32"/>
  <c r="CV100" i="32"/>
  <c r="CV101" i="32"/>
  <c r="CV102" i="32"/>
  <c r="CV103" i="32"/>
  <c r="CV104" i="32"/>
  <c r="CV105" i="32"/>
  <c r="CV106" i="32"/>
  <c r="CV107" i="32"/>
  <c r="CV108" i="32"/>
  <c r="CV109" i="32"/>
  <c r="CV110" i="32"/>
  <c r="CV111" i="32"/>
  <c r="CV112" i="32"/>
  <c r="CV113" i="32"/>
  <c r="CV114" i="32"/>
  <c r="CV115" i="32"/>
  <c r="CV116" i="32"/>
  <c r="CV117" i="32"/>
  <c r="CV118" i="32"/>
  <c r="CV119" i="32"/>
  <c r="CV120" i="32"/>
  <c r="CV121" i="32"/>
  <c r="CV122" i="32"/>
  <c r="CV123" i="32"/>
  <c r="CV124" i="32"/>
  <c r="CV125" i="32"/>
  <c r="CV126" i="32"/>
  <c r="CV127" i="32"/>
  <c r="CV128" i="32"/>
  <c r="CV129" i="32"/>
  <c r="CV130" i="32"/>
  <c r="CV131" i="32"/>
  <c r="CV132" i="32"/>
  <c r="CV133" i="32"/>
  <c r="CV134" i="32"/>
  <c r="CV135" i="32"/>
  <c r="CV136" i="32"/>
  <c r="CV137" i="32"/>
  <c r="CV138" i="32"/>
  <c r="CV139" i="32"/>
  <c r="CV140" i="32"/>
  <c r="CV141" i="32"/>
  <c r="CV142" i="32"/>
  <c r="CV143" i="32"/>
  <c r="CV144" i="32"/>
  <c r="CV145" i="32"/>
  <c r="CV146" i="32"/>
  <c r="CV147" i="32"/>
  <c r="CV148" i="32"/>
  <c r="CV149" i="32"/>
  <c r="CV150" i="32"/>
  <c r="CV151" i="32"/>
  <c r="CV152" i="32"/>
  <c r="CV153" i="32"/>
  <c r="CV154" i="32"/>
  <c r="CV155" i="32"/>
  <c r="CV156" i="32"/>
  <c r="CV157" i="32"/>
  <c r="CV158" i="32"/>
  <c r="CV159" i="32"/>
  <c r="CV160" i="32"/>
  <c r="CV161" i="32"/>
  <c r="CV162" i="32"/>
  <c r="CV163" i="32"/>
  <c r="CV164" i="32"/>
  <c r="CV165" i="32"/>
  <c r="CV166" i="32"/>
  <c r="CV167" i="32"/>
  <c r="CV168" i="32"/>
  <c r="CV169" i="32"/>
  <c r="CV170" i="32"/>
  <c r="CV171" i="32"/>
  <c r="CV172" i="32"/>
  <c r="CV173" i="32"/>
  <c r="CV174" i="32"/>
  <c r="CV175" i="32"/>
  <c r="CV176" i="32"/>
  <c r="CV177" i="32"/>
  <c r="CV178" i="32"/>
  <c r="CV179" i="32"/>
  <c r="CV180" i="32"/>
  <c r="CV181" i="32"/>
  <c r="CV182" i="32"/>
  <c r="CV183" i="32"/>
  <c r="CV184" i="32"/>
  <c r="CV185" i="32"/>
  <c r="CV186" i="32"/>
  <c r="CV187" i="32"/>
  <c r="CV188" i="32"/>
  <c r="CV189" i="32"/>
  <c r="CV190" i="32"/>
  <c r="CV191" i="32"/>
  <c r="CV192" i="32"/>
  <c r="CV193" i="32"/>
  <c r="CV194" i="32"/>
  <c r="CV195" i="32"/>
  <c r="CV196" i="32"/>
  <c r="CV197" i="32"/>
  <c r="CV198" i="32"/>
  <c r="CV199" i="32"/>
  <c r="CV200" i="32"/>
  <c r="CV201" i="32"/>
  <c r="CV202" i="32"/>
  <c r="CV203" i="32"/>
  <c r="CV204" i="32"/>
  <c r="CV205" i="32"/>
  <c r="CV206" i="32"/>
  <c r="CV207" i="32"/>
  <c r="CV208" i="32"/>
  <c r="CV209" i="32"/>
  <c r="CV210" i="32"/>
  <c r="CV211" i="32"/>
  <c r="CV212" i="32"/>
  <c r="CV213" i="32"/>
  <c r="CV214" i="32"/>
  <c r="CV215" i="32"/>
  <c r="CV216" i="32"/>
  <c r="CV217" i="32"/>
  <c r="CV218" i="32"/>
  <c r="CV219" i="32"/>
  <c r="CV220" i="32"/>
  <c r="CV221" i="32"/>
  <c r="CV222" i="32"/>
  <c r="CV223" i="32"/>
  <c r="CV224" i="32"/>
  <c r="CV225" i="32"/>
  <c r="CV226" i="32"/>
  <c r="CV227" i="32"/>
  <c r="CV228" i="32"/>
  <c r="CV229" i="32"/>
  <c r="CV230" i="32"/>
  <c r="CV231" i="32"/>
  <c r="CV232" i="32"/>
  <c r="CV233" i="32"/>
  <c r="CV234" i="32"/>
  <c r="CV235" i="32"/>
  <c r="CV236" i="32"/>
  <c r="CV237" i="32"/>
  <c r="CV238" i="32"/>
  <c r="CV239" i="32"/>
  <c r="CV240" i="32"/>
  <c r="CV241" i="32"/>
  <c r="CV242" i="32"/>
  <c r="CV243" i="32"/>
  <c r="CV244" i="32"/>
  <c r="CV245" i="32"/>
  <c r="CV246" i="32"/>
  <c r="CV247" i="32"/>
  <c r="CV248" i="32"/>
  <c r="CV249" i="32"/>
  <c r="CV250" i="32"/>
  <c r="CV251" i="32"/>
  <c r="CV252" i="32"/>
  <c r="CV253" i="32"/>
  <c r="CV254" i="32"/>
  <c r="CV255" i="32"/>
  <c r="CV256" i="32"/>
  <c r="CV257" i="32"/>
  <c r="CV258" i="32"/>
  <c r="CV259" i="32"/>
  <c r="CV260" i="32"/>
  <c r="CV261" i="32"/>
  <c r="CV262" i="32"/>
  <c r="CV263" i="32"/>
  <c r="CV264" i="32"/>
  <c r="CV265" i="32"/>
  <c r="CV266" i="32"/>
  <c r="CV267" i="32"/>
  <c r="CV268" i="32"/>
  <c r="CV269" i="32"/>
  <c r="CV270" i="32"/>
  <c r="CV271" i="32"/>
  <c r="CV272" i="32"/>
  <c r="CV273" i="32"/>
  <c r="CV274" i="32"/>
  <c r="CV275" i="32"/>
  <c r="CV276" i="32"/>
  <c r="CV277" i="32"/>
  <c r="CV278" i="32"/>
  <c r="CV279" i="32"/>
  <c r="CV280" i="32"/>
  <c r="CV281" i="32"/>
  <c r="CV282" i="32"/>
  <c r="CV283" i="32"/>
  <c r="CV284" i="32"/>
  <c r="CV285" i="32"/>
  <c r="CV286" i="32"/>
  <c r="CV287" i="32"/>
  <c r="CV288" i="32"/>
  <c r="CV289" i="32"/>
  <c r="CV290" i="32"/>
  <c r="CV291" i="32"/>
  <c r="CV292" i="32"/>
  <c r="CV293" i="32"/>
  <c r="CV294" i="32"/>
  <c r="CV295" i="32"/>
  <c r="CV296" i="32"/>
  <c r="CV297" i="32"/>
  <c r="CV298" i="32"/>
  <c r="CV299" i="32"/>
  <c r="CV300" i="32"/>
  <c r="CV301" i="32"/>
  <c r="CV302" i="32"/>
  <c r="CV303" i="32"/>
  <c r="CV304" i="32"/>
  <c r="CV305" i="32"/>
  <c r="CV306" i="32"/>
  <c r="CV307" i="32"/>
  <c r="CV308" i="32"/>
  <c r="CV309" i="32"/>
  <c r="CV310" i="32"/>
  <c r="CV311" i="32"/>
  <c r="CV312" i="32"/>
  <c r="CV313" i="32"/>
  <c r="CV314" i="32"/>
  <c r="CV315" i="32"/>
  <c r="CV316" i="32"/>
  <c r="CV317" i="32"/>
  <c r="CV318" i="32"/>
  <c r="CV319" i="32"/>
  <c r="CV320" i="32"/>
  <c r="CV321" i="32"/>
  <c r="CV322" i="32"/>
  <c r="CV323" i="32"/>
  <c r="CV324" i="32"/>
  <c r="CV325" i="32"/>
  <c r="CV326" i="32"/>
  <c r="CV327" i="32"/>
  <c r="CV328" i="32"/>
  <c r="CV329" i="32"/>
  <c r="CV330" i="32"/>
  <c r="CV331" i="32"/>
  <c r="CV332" i="32"/>
  <c r="CV333" i="32"/>
  <c r="CV334" i="32"/>
  <c r="CV335" i="32"/>
  <c r="CV336" i="32"/>
  <c r="CV337" i="32"/>
  <c r="CV338" i="32"/>
  <c r="CV339" i="32"/>
  <c r="CV340" i="32"/>
  <c r="CV341" i="32"/>
  <c r="CV342" i="32"/>
  <c r="CV343" i="32"/>
  <c r="CV344" i="32"/>
  <c r="CV345" i="32"/>
  <c r="CV346" i="32"/>
  <c r="CV347" i="32"/>
  <c r="CV348" i="32"/>
  <c r="CV349" i="32"/>
  <c r="CV350" i="32"/>
  <c r="CV351" i="32"/>
  <c r="CV352" i="32"/>
  <c r="CV353" i="32"/>
  <c r="CV354" i="32"/>
  <c r="CV355" i="32"/>
  <c r="CV356" i="32"/>
  <c r="CV357" i="32"/>
  <c r="CV358" i="32"/>
  <c r="CV359" i="32"/>
  <c r="CV360" i="32"/>
  <c r="CV361" i="32"/>
  <c r="CV362" i="32"/>
  <c r="CV363" i="32"/>
  <c r="CV364" i="32"/>
  <c r="CV365" i="32"/>
  <c r="CV366" i="32"/>
  <c r="CV367" i="32"/>
  <c r="CV368" i="32"/>
  <c r="CV369" i="32"/>
  <c r="CV370" i="32"/>
  <c r="CV371" i="32"/>
  <c r="CV372" i="32"/>
  <c r="CV373" i="32"/>
  <c r="CV374" i="32"/>
  <c r="CV375" i="32"/>
  <c r="CV376" i="32"/>
  <c r="CV377" i="32"/>
  <c r="CV378" i="32"/>
  <c r="CV379" i="32"/>
  <c r="CV380" i="32"/>
  <c r="CV381" i="32"/>
  <c r="CV382" i="32"/>
  <c r="CV383" i="32"/>
  <c r="CV384" i="32"/>
  <c r="CV385" i="32"/>
  <c r="CV386" i="32"/>
  <c r="CV387" i="32"/>
  <c r="CV388" i="32"/>
  <c r="CV389" i="32"/>
  <c r="CV390" i="32"/>
  <c r="CV391" i="32"/>
  <c r="CV392" i="32"/>
  <c r="CV393" i="32"/>
  <c r="CV394" i="32"/>
  <c r="CV395" i="32"/>
  <c r="CV396" i="32"/>
  <c r="CV397" i="32"/>
  <c r="CV398" i="32"/>
  <c r="CV399" i="32"/>
  <c r="CV400" i="32"/>
  <c r="CV401" i="32"/>
  <c r="CV402" i="32"/>
  <c r="CV403" i="32"/>
  <c r="CV404" i="32"/>
  <c r="CV405" i="32"/>
  <c r="CV406" i="32"/>
  <c r="CV407" i="32"/>
  <c r="CV408" i="32"/>
  <c r="CV409" i="32"/>
  <c r="CV410" i="32"/>
  <c r="CV411" i="32"/>
  <c r="CV412" i="32"/>
  <c r="CV413" i="32"/>
  <c r="CV414" i="32"/>
  <c r="CV415" i="32"/>
  <c r="CV416" i="32"/>
  <c r="CV417" i="32"/>
  <c r="CV418" i="32"/>
  <c r="CV419" i="32"/>
  <c r="CV420" i="32"/>
  <c r="CV421" i="32"/>
  <c r="CV422" i="32"/>
  <c r="CV423" i="32"/>
  <c r="CV424" i="32"/>
  <c r="CV425" i="32"/>
  <c r="CV426" i="32"/>
  <c r="CV427" i="32"/>
  <c r="CV428" i="32"/>
  <c r="CV5" i="32"/>
  <c r="M5" i="32"/>
  <c r="CP6" i="32"/>
  <c r="M6" i="32"/>
  <c r="CP7" i="32"/>
  <c r="M7" i="32"/>
  <c r="CP8" i="32"/>
  <c r="M8" i="32"/>
  <c r="CP9" i="32"/>
  <c r="M9" i="32"/>
  <c r="CP10" i="32"/>
  <c r="M10" i="32"/>
  <c r="CP11" i="32"/>
  <c r="M11" i="32"/>
  <c r="CP12" i="32"/>
  <c r="M12" i="32"/>
  <c r="CP13" i="32"/>
  <c r="M13" i="32"/>
  <c r="CP14" i="32"/>
  <c r="M14" i="32"/>
  <c r="CP15" i="32"/>
  <c r="M15" i="32"/>
  <c r="CP16" i="32"/>
  <c r="M16" i="32"/>
  <c r="CP17" i="32"/>
  <c r="M17" i="32"/>
  <c r="CP18" i="32"/>
  <c r="M18" i="32"/>
  <c r="CP19" i="32"/>
  <c r="M19" i="32"/>
  <c r="CP20" i="32"/>
  <c r="M20" i="32"/>
  <c r="CP21" i="32"/>
  <c r="M21" i="32"/>
  <c r="CP22" i="32"/>
  <c r="M22" i="32"/>
  <c r="CP23" i="32"/>
  <c r="M23" i="32"/>
  <c r="CP24" i="32"/>
  <c r="M24" i="32"/>
  <c r="CP25" i="32"/>
  <c r="M25" i="32"/>
  <c r="CP26" i="32"/>
  <c r="M26" i="32"/>
  <c r="CP27" i="32"/>
  <c r="M27" i="32"/>
  <c r="CP28" i="32"/>
  <c r="M28" i="32"/>
  <c r="CP29" i="32"/>
  <c r="M29" i="32"/>
  <c r="CP30" i="32"/>
  <c r="M30" i="32"/>
  <c r="CP31" i="32"/>
  <c r="M31" i="32"/>
  <c r="CP32" i="32"/>
  <c r="M32" i="32"/>
  <c r="CP33" i="32"/>
  <c r="M33" i="32"/>
  <c r="CP34" i="32"/>
  <c r="M34" i="32"/>
  <c r="CP35" i="32"/>
  <c r="M35" i="32"/>
  <c r="CP36" i="32"/>
  <c r="M36" i="32"/>
  <c r="CP37" i="32"/>
  <c r="M37" i="32"/>
  <c r="CP38" i="32"/>
  <c r="M38" i="32"/>
  <c r="CP39" i="32"/>
  <c r="M39" i="32"/>
  <c r="CP40" i="32"/>
  <c r="M40" i="32"/>
  <c r="CP41" i="32"/>
  <c r="M41" i="32"/>
  <c r="CP42" i="32"/>
  <c r="M42" i="32"/>
  <c r="CP43" i="32"/>
  <c r="M43" i="32"/>
  <c r="CP44" i="32"/>
  <c r="M44" i="32"/>
  <c r="CP45" i="32"/>
  <c r="M45" i="32"/>
  <c r="CP46" i="32"/>
  <c r="M46" i="32"/>
  <c r="CP47" i="32"/>
  <c r="M47" i="32"/>
  <c r="CP48" i="32"/>
  <c r="M48" i="32"/>
  <c r="CP49" i="32"/>
  <c r="M49" i="32"/>
  <c r="CP50" i="32"/>
  <c r="M50" i="32"/>
  <c r="CP51" i="32"/>
  <c r="M51" i="32"/>
  <c r="CP52" i="32"/>
  <c r="M52" i="32"/>
  <c r="CP53" i="32"/>
  <c r="M53" i="32"/>
  <c r="CP54" i="32"/>
  <c r="M54" i="32"/>
  <c r="CP55" i="32"/>
  <c r="M55" i="32"/>
  <c r="CP56" i="32"/>
  <c r="M56" i="32"/>
  <c r="CP57" i="32"/>
  <c r="M57" i="32"/>
  <c r="CP58" i="32"/>
  <c r="M58" i="32"/>
  <c r="CP59" i="32"/>
  <c r="M59" i="32"/>
  <c r="CP60" i="32"/>
  <c r="M60" i="32"/>
  <c r="CP61" i="32"/>
  <c r="M61" i="32"/>
  <c r="CP62" i="32"/>
  <c r="M62" i="32"/>
  <c r="CP63" i="32"/>
  <c r="M63" i="32"/>
  <c r="CP64" i="32"/>
  <c r="M64" i="32"/>
  <c r="CP65" i="32"/>
  <c r="M65" i="32"/>
  <c r="CP66" i="32"/>
  <c r="M66" i="32"/>
  <c r="CP67" i="32"/>
  <c r="M67" i="32"/>
  <c r="CP68" i="32"/>
  <c r="M68" i="32"/>
  <c r="CP69" i="32"/>
  <c r="M69" i="32"/>
  <c r="CP70" i="32"/>
  <c r="M70" i="32"/>
  <c r="CP71" i="32"/>
  <c r="M71" i="32"/>
  <c r="CP72" i="32"/>
  <c r="M72" i="32"/>
  <c r="CP73" i="32"/>
  <c r="M73" i="32"/>
  <c r="CP74" i="32"/>
  <c r="M74" i="32"/>
  <c r="CP75" i="32"/>
  <c r="M75" i="32"/>
  <c r="CP76" i="32"/>
  <c r="M76" i="32"/>
  <c r="CP77" i="32"/>
  <c r="M77" i="32"/>
  <c r="CP78" i="32"/>
  <c r="M78" i="32"/>
  <c r="CP79" i="32"/>
  <c r="M79" i="32"/>
  <c r="CP80" i="32"/>
  <c r="M80" i="32"/>
  <c r="CP81" i="32"/>
  <c r="M81" i="32"/>
  <c r="CP82" i="32"/>
  <c r="M82" i="32"/>
  <c r="CP83" i="32"/>
  <c r="M83" i="32"/>
  <c r="CP84" i="32"/>
  <c r="M84" i="32"/>
  <c r="CP85" i="32"/>
  <c r="M85" i="32"/>
  <c r="CP86" i="32"/>
  <c r="M86" i="32"/>
  <c r="CP87" i="32"/>
  <c r="M87" i="32"/>
  <c r="CP88" i="32"/>
  <c r="M88" i="32"/>
  <c r="CP89" i="32"/>
  <c r="M89" i="32"/>
  <c r="CP90" i="32"/>
  <c r="M90" i="32"/>
  <c r="CP91" i="32"/>
  <c r="M91" i="32"/>
  <c r="CP92" i="32"/>
  <c r="M92" i="32"/>
  <c r="CP93" i="32"/>
  <c r="M93" i="32"/>
  <c r="CP94" i="32"/>
  <c r="M94" i="32"/>
  <c r="CP95" i="32"/>
  <c r="M95" i="32"/>
  <c r="CP96" i="32"/>
  <c r="M96" i="32"/>
  <c r="CP97" i="32"/>
  <c r="M97" i="32"/>
  <c r="CP98" i="32"/>
  <c r="M98" i="32"/>
  <c r="CP99" i="32"/>
  <c r="M99" i="32"/>
  <c r="CP100" i="32"/>
  <c r="M100" i="32"/>
  <c r="CP101" i="32"/>
  <c r="M101" i="32"/>
  <c r="CP102" i="32"/>
  <c r="M102" i="32"/>
  <c r="CP103" i="32"/>
  <c r="M103" i="32"/>
  <c r="CP104" i="32"/>
  <c r="M104" i="32"/>
  <c r="CP105" i="32"/>
  <c r="M105" i="32"/>
  <c r="CP106" i="32"/>
  <c r="M106" i="32"/>
  <c r="CP107" i="32"/>
  <c r="M107" i="32"/>
  <c r="CP108" i="32"/>
  <c r="M108" i="32"/>
  <c r="CP109" i="32"/>
  <c r="M109" i="32"/>
  <c r="CP110" i="32"/>
  <c r="M110" i="32"/>
  <c r="CP111" i="32"/>
  <c r="M111" i="32"/>
  <c r="CP112" i="32"/>
  <c r="M112" i="32"/>
  <c r="CP113" i="32"/>
  <c r="M113" i="32"/>
  <c r="CP114" i="32"/>
  <c r="M114" i="32"/>
  <c r="CP115" i="32"/>
  <c r="M115" i="32"/>
  <c r="CP116" i="32"/>
  <c r="M116" i="32"/>
  <c r="CP117" i="32"/>
  <c r="M117" i="32"/>
  <c r="CP118" i="32"/>
  <c r="M118" i="32"/>
  <c r="CP119" i="32"/>
  <c r="M119" i="32"/>
  <c r="CP120" i="32"/>
  <c r="M120" i="32"/>
  <c r="CP121" i="32"/>
  <c r="M121" i="32"/>
  <c r="CP122" i="32"/>
  <c r="M122" i="32"/>
  <c r="CP123" i="32"/>
  <c r="M123" i="32"/>
  <c r="CP124" i="32"/>
  <c r="M124" i="32"/>
  <c r="CP125" i="32"/>
  <c r="M125" i="32"/>
  <c r="CP126" i="32"/>
  <c r="M126" i="32"/>
  <c r="CP127" i="32"/>
  <c r="M127" i="32"/>
  <c r="CP128" i="32"/>
  <c r="M128" i="32"/>
  <c r="CP129" i="32"/>
  <c r="M129" i="32"/>
  <c r="CP130" i="32"/>
  <c r="M130" i="32"/>
  <c r="CP131" i="32"/>
  <c r="M131" i="32"/>
  <c r="CP132" i="32"/>
  <c r="M132" i="32"/>
  <c r="CP133" i="32"/>
  <c r="M133" i="32"/>
  <c r="CP134" i="32"/>
  <c r="M134" i="32"/>
  <c r="CP135" i="32"/>
  <c r="M135" i="32"/>
  <c r="CP136" i="32"/>
  <c r="M136" i="32"/>
  <c r="CP137" i="32"/>
  <c r="M137" i="32"/>
  <c r="CP138" i="32"/>
  <c r="M138" i="32"/>
  <c r="CP139" i="32"/>
  <c r="M139" i="32"/>
  <c r="CP140" i="32"/>
  <c r="M140" i="32"/>
  <c r="CP141" i="32"/>
  <c r="M141" i="32"/>
  <c r="CP142" i="32"/>
  <c r="M142" i="32"/>
  <c r="CP143" i="32"/>
  <c r="M143" i="32"/>
  <c r="CP144" i="32"/>
  <c r="M144" i="32"/>
  <c r="CP145" i="32"/>
  <c r="M145" i="32"/>
  <c r="CP146" i="32"/>
  <c r="M146" i="32"/>
  <c r="CP147" i="32"/>
  <c r="M147" i="32"/>
  <c r="CP148" i="32"/>
  <c r="M148" i="32"/>
  <c r="CP149" i="32"/>
  <c r="M149" i="32"/>
  <c r="CP150" i="32"/>
  <c r="M150" i="32"/>
  <c r="CP151" i="32"/>
  <c r="M151" i="32"/>
  <c r="CP152" i="32"/>
  <c r="M152" i="32"/>
  <c r="CP153" i="32"/>
  <c r="M153" i="32"/>
  <c r="CP154" i="32"/>
  <c r="M154" i="32"/>
  <c r="CP155" i="32"/>
  <c r="M155" i="32"/>
  <c r="CP156" i="32"/>
  <c r="M156" i="32"/>
  <c r="CP157" i="32"/>
  <c r="M157" i="32"/>
  <c r="CP158" i="32"/>
  <c r="M158" i="32"/>
  <c r="CP159" i="32"/>
  <c r="M159" i="32"/>
  <c r="CP160" i="32"/>
  <c r="M160" i="32"/>
  <c r="CP161" i="32"/>
  <c r="M161" i="32"/>
  <c r="CP162" i="32"/>
  <c r="M162" i="32"/>
  <c r="CP163" i="32"/>
  <c r="M163" i="32"/>
  <c r="CP164" i="32"/>
  <c r="M164" i="32"/>
  <c r="CP165" i="32"/>
  <c r="M165" i="32"/>
  <c r="CP166" i="32"/>
  <c r="M166" i="32"/>
  <c r="CP167" i="32"/>
  <c r="M167" i="32"/>
  <c r="CP168" i="32"/>
  <c r="M168" i="32"/>
  <c r="CP169" i="32"/>
  <c r="M169" i="32"/>
  <c r="CP170" i="32"/>
  <c r="M170" i="32"/>
  <c r="CP171" i="32"/>
  <c r="M171" i="32"/>
  <c r="CP172" i="32"/>
  <c r="M172" i="32"/>
  <c r="CP173" i="32"/>
  <c r="M173" i="32"/>
  <c r="CP174" i="32"/>
  <c r="M174" i="32"/>
  <c r="CP175" i="32"/>
  <c r="M175" i="32"/>
  <c r="CP176" i="32"/>
  <c r="M176" i="32"/>
  <c r="CP177" i="32"/>
  <c r="M177" i="32"/>
  <c r="CP178" i="32"/>
  <c r="M178" i="32"/>
  <c r="CP179" i="32"/>
  <c r="M179" i="32"/>
  <c r="CP180" i="32"/>
  <c r="M180" i="32"/>
  <c r="CP181" i="32"/>
  <c r="M181" i="32"/>
  <c r="CP182" i="32"/>
  <c r="M182" i="32"/>
  <c r="CP183" i="32"/>
  <c r="M183" i="32"/>
  <c r="CP184" i="32"/>
  <c r="M184" i="32"/>
  <c r="CP185" i="32"/>
  <c r="M185" i="32"/>
  <c r="CP186" i="32"/>
  <c r="M186" i="32"/>
  <c r="CP187" i="32"/>
  <c r="M187" i="32"/>
  <c r="CP188" i="32"/>
  <c r="M188" i="32"/>
  <c r="CP189" i="32"/>
  <c r="M189" i="32"/>
  <c r="CP190" i="32"/>
  <c r="M190" i="32"/>
  <c r="CP191" i="32"/>
  <c r="M191" i="32"/>
  <c r="CP192" i="32"/>
  <c r="M192" i="32"/>
  <c r="CP193" i="32"/>
  <c r="M193" i="32"/>
  <c r="CP194" i="32"/>
  <c r="M194" i="32"/>
  <c r="CP195" i="32"/>
  <c r="M195" i="32"/>
  <c r="CP196" i="32"/>
  <c r="M196" i="32"/>
  <c r="CP197" i="32"/>
  <c r="M197" i="32"/>
  <c r="CP198" i="32"/>
  <c r="M198" i="32"/>
  <c r="CP199" i="32"/>
  <c r="M199" i="32"/>
  <c r="CP200" i="32"/>
  <c r="M200" i="32"/>
  <c r="CP201" i="32"/>
  <c r="M201" i="32"/>
  <c r="CP202" i="32"/>
  <c r="M202" i="32"/>
  <c r="CP203" i="32"/>
  <c r="M203" i="32"/>
  <c r="CP204" i="32"/>
  <c r="M204" i="32"/>
  <c r="CP205" i="32"/>
  <c r="M205" i="32"/>
  <c r="CP206" i="32"/>
  <c r="M206" i="32"/>
  <c r="CP207" i="32"/>
  <c r="M207" i="32"/>
  <c r="CP208" i="32"/>
  <c r="M208" i="32"/>
  <c r="CP209" i="32"/>
  <c r="M209" i="32"/>
  <c r="CP210" i="32"/>
  <c r="M210" i="32"/>
  <c r="CP211" i="32"/>
  <c r="M211" i="32"/>
  <c r="CP212" i="32"/>
  <c r="M212" i="32"/>
  <c r="CP213" i="32"/>
  <c r="M213" i="32"/>
  <c r="CP214" i="32"/>
  <c r="M214" i="32"/>
  <c r="CP215" i="32"/>
  <c r="M215" i="32"/>
  <c r="CP216" i="32"/>
  <c r="M216" i="32"/>
  <c r="CP217" i="32"/>
  <c r="M217" i="32"/>
  <c r="CP218" i="32"/>
  <c r="M218" i="32"/>
  <c r="CP219" i="32"/>
  <c r="M219" i="32"/>
  <c r="CP220" i="32"/>
  <c r="M220" i="32"/>
  <c r="CP221" i="32"/>
  <c r="M221" i="32"/>
  <c r="CP222" i="32"/>
  <c r="M222" i="32"/>
  <c r="CP223" i="32"/>
  <c r="M223" i="32"/>
  <c r="CP224" i="32"/>
  <c r="M224" i="32"/>
  <c r="CP225" i="32"/>
  <c r="M225" i="32"/>
  <c r="CP226" i="32"/>
  <c r="M226" i="32"/>
  <c r="CP227" i="32"/>
  <c r="M227" i="32"/>
  <c r="CP228" i="32"/>
  <c r="M228" i="32"/>
  <c r="CP229" i="32"/>
  <c r="M229" i="32"/>
  <c r="CP230" i="32"/>
  <c r="M230" i="32"/>
  <c r="CP231" i="32"/>
  <c r="M231" i="32"/>
  <c r="CP232" i="32"/>
  <c r="M232" i="32"/>
  <c r="CP233" i="32"/>
  <c r="M233" i="32"/>
  <c r="CP234" i="32"/>
  <c r="M234" i="32"/>
  <c r="CP235" i="32"/>
  <c r="M235" i="32"/>
  <c r="CP236" i="32"/>
  <c r="M236" i="32"/>
  <c r="CP237" i="32"/>
  <c r="M237" i="32"/>
  <c r="CP238" i="32"/>
  <c r="M238" i="32"/>
  <c r="CP239" i="32"/>
  <c r="M239" i="32"/>
  <c r="CP240" i="32"/>
  <c r="M240" i="32"/>
  <c r="CP241" i="32"/>
  <c r="M241" i="32"/>
  <c r="CP242" i="32"/>
  <c r="M242" i="32"/>
  <c r="CP243" i="32"/>
  <c r="M243" i="32"/>
  <c r="CP244" i="32"/>
  <c r="M244" i="32"/>
  <c r="CP245" i="32"/>
  <c r="M245" i="32"/>
  <c r="CP246" i="32"/>
  <c r="M246" i="32"/>
  <c r="CP247" i="32"/>
  <c r="M247" i="32"/>
  <c r="CP248" i="32"/>
  <c r="M248" i="32"/>
  <c r="CP249" i="32"/>
  <c r="M249" i="32"/>
  <c r="CP250" i="32"/>
  <c r="M250" i="32"/>
  <c r="CP251" i="32"/>
  <c r="M251" i="32"/>
  <c r="CP252" i="32"/>
  <c r="M252" i="32"/>
  <c r="CP253" i="32"/>
  <c r="M253" i="32"/>
  <c r="CP254" i="32"/>
  <c r="M254" i="32"/>
  <c r="CP255" i="32"/>
  <c r="M255" i="32"/>
  <c r="CP256" i="32"/>
  <c r="M256" i="32"/>
  <c r="CP257" i="32"/>
  <c r="M257" i="32"/>
  <c r="CP258" i="32"/>
  <c r="M258" i="32"/>
  <c r="CP259" i="32"/>
  <c r="M259" i="32"/>
  <c r="CP260" i="32"/>
  <c r="M260" i="32"/>
  <c r="CP261" i="32"/>
  <c r="M261" i="32"/>
  <c r="CP262" i="32"/>
  <c r="M262" i="32"/>
  <c r="CP263" i="32"/>
  <c r="M263" i="32"/>
  <c r="CP264" i="32"/>
  <c r="M264" i="32"/>
  <c r="CP265" i="32"/>
  <c r="M265" i="32"/>
  <c r="CP266" i="32"/>
  <c r="M266" i="32"/>
  <c r="CP267" i="32"/>
  <c r="M267" i="32"/>
  <c r="CP268" i="32"/>
  <c r="M268" i="32"/>
  <c r="CP269" i="32"/>
  <c r="M269" i="32"/>
  <c r="CP270" i="32"/>
  <c r="M270" i="32"/>
  <c r="CP271" i="32"/>
  <c r="M271" i="32"/>
  <c r="CP272" i="32"/>
  <c r="M272" i="32"/>
  <c r="CP273" i="32"/>
  <c r="M273" i="32"/>
  <c r="CP274" i="32"/>
  <c r="M274" i="32"/>
  <c r="CP275" i="32"/>
  <c r="M275" i="32"/>
  <c r="CP276" i="32"/>
  <c r="M276" i="32"/>
  <c r="CP277" i="32"/>
  <c r="M277" i="32"/>
  <c r="CP278" i="32"/>
  <c r="M278" i="32"/>
  <c r="CP279" i="32"/>
  <c r="M279" i="32"/>
  <c r="CP280" i="32"/>
  <c r="M280" i="32"/>
  <c r="CP281" i="32"/>
  <c r="M281" i="32"/>
  <c r="CP282" i="32"/>
  <c r="M282" i="32"/>
  <c r="CP283" i="32"/>
  <c r="M283" i="32"/>
  <c r="CP284" i="32"/>
  <c r="M284" i="32"/>
  <c r="CP285" i="32"/>
  <c r="M285" i="32"/>
  <c r="CP286" i="32"/>
  <c r="M286" i="32"/>
  <c r="CP287" i="32"/>
  <c r="M287" i="32"/>
  <c r="CP288" i="32"/>
  <c r="M288" i="32"/>
  <c r="CP289" i="32"/>
  <c r="M289" i="32"/>
  <c r="CP290" i="32"/>
  <c r="M290" i="32"/>
  <c r="CP291" i="32"/>
  <c r="M291" i="32"/>
  <c r="CP292" i="32"/>
  <c r="M292" i="32"/>
  <c r="CP293" i="32"/>
  <c r="M293" i="32"/>
  <c r="CP294" i="32"/>
  <c r="M294" i="32"/>
  <c r="CP295" i="32"/>
  <c r="M295" i="32"/>
  <c r="CP296" i="32"/>
  <c r="M296" i="32"/>
  <c r="CP297" i="32"/>
  <c r="M297" i="32"/>
  <c r="CP298" i="32"/>
  <c r="M298" i="32"/>
  <c r="CP299" i="32"/>
  <c r="M299" i="32"/>
  <c r="CP300" i="32"/>
  <c r="M300" i="32"/>
  <c r="CP301" i="32"/>
  <c r="M301" i="32"/>
  <c r="CP302" i="32"/>
  <c r="M302" i="32"/>
  <c r="CP303" i="32"/>
  <c r="M303" i="32"/>
  <c r="CP304" i="32"/>
  <c r="M304" i="32"/>
  <c r="CP305" i="32"/>
  <c r="M305" i="32"/>
  <c r="CP306" i="32"/>
  <c r="M306" i="32"/>
  <c r="CP307" i="32"/>
  <c r="M307" i="32"/>
  <c r="CP308" i="32"/>
  <c r="M308" i="32"/>
  <c r="CP309" i="32"/>
  <c r="M309" i="32"/>
  <c r="CP310" i="32"/>
  <c r="M310" i="32"/>
  <c r="CP311" i="32"/>
  <c r="M311" i="32"/>
  <c r="CP312" i="32"/>
  <c r="M312" i="32"/>
  <c r="CP313" i="32"/>
  <c r="M313" i="32"/>
  <c r="CP314" i="32"/>
  <c r="M314" i="32"/>
  <c r="CP315" i="32"/>
  <c r="M315" i="32"/>
  <c r="CP316" i="32"/>
  <c r="M316" i="32"/>
  <c r="CP317" i="32"/>
  <c r="M317" i="32"/>
  <c r="CP318" i="32"/>
  <c r="M318" i="32"/>
  <c r="CP319" i="32"/>
  <c r="M319" i="32"/>
  <c r="CP320" i="32"/>
  <c r="M320" i="32"/>
  <c r="CP321" i="32"/>
  <c r="M321" i="32"/>
  <c r="CP322" i="32"/>
  <c r="M322" i="32"/>
  <c r="CP323" i="32"/>
  <c r="M323" i="32"/>
  <c r="CP324" i="32"/>
  <c r="M324" i="32"/>
  <c r="CP325" i="32"/>
  <c r="M325" i="32"/>
  <c r="CP326" i="32"/>
  <c r="M326" i="32"/>
  <c r="CP327" i="32"/>
  <c r="M327" i="32"/>
  <c r="CP328" i="32"/>
  <c r="M328" i="32"/>
  <c r="CP329" i="32"/>
  <c r="M329" i="32"/>
  <c r="CP330" i="32"/>
  <c r="M330" i="32"/>
  <c r="CP331" i="32"/>
  <c r="M331" i="32"/>
  <c r="CP332" i="32"/>
  <c r="M332" i="32"/>
  <c r="CP333" i="32"/>
  <c r="M333" i="32"/>
  <c r="CP334" i="32"/>
  <c r="M334" i="32"/>
  <c r="CP335" i="32"/>
  <c r="M335" i="32"/>
  <c r="CP336" i="32"/>
  <c r="M336" i="32"/>
  <c r="CP337" i="32"/>
  <c r="M337" i="32"/>
  <c r="CP338" i="32"/>
  <c r="M338" i="32"/>
  <c r="CP339" i="32"/>
  <c r="M339" i="32"/>
  <c r="CP340" i="32"/>
  <c r="M340" i="32"/>
  <c r="CP341" i="32"/>
  <c r="M341" i="32"/>
  <c r="CP342" i="32"/>
  <c r="M342" i="32"/>
  <c r="CP343" i="32"/>
  <c r="M343" i="32"/>
  <c r="CP344" i="32"/>
  <c r="M344" i="32"/>
  <c r="CP345" i="32"/>
  <c r="M345" i="32"/>
  <c r="CP346" i="32"/>
  <c r="M346" i="32"/>
  <c r="CP347" i="32"/>
  <c r="M347" i="32"/>
  <c r="CP348" i="32"/>
  <c r="M348" i="32"/>
  <c r="CP349" i="32"/>
  <c r="M349" i="32"/>
  <c r="CP350" i="32"/>
  <c r="M350" i="32"/>
  <c r="CP351" i="32"/>
  <c r="M351" i="32"/>
  <c r="CP352" i="32"/>
  <c r="M352" i="32"/>
  <c r="CP353" i="32"/>
  <c r="M353" i="32"/>
  <c r="CP354" i="32"/>
  <c r="M354" i="32"/>
  <c r="CP355" i="32"/>
  <c r="M355" i="32"/>
  <c r="CP356" i="32"/>
  <c r="M356" i="32"/>
  <c r="CP357" i="32"/>
  <c r="M357" i="32"/>
  <c r="CP358" i="32"/>
  <c r="M358" i="32"/>
  <c r="CP359" i="32"/>
  <c r="M359" i="32"/>
  <c r="CP360" i="32"/>
  <c r="M360" i="32"/>
  <c r="CP361" i="32"/>
  <c r="M361" i="32"/>
  <c r="CP362" i="32"/>
  <c r="M362" i="32"/>
  <c r="CP363" i="32"/>
  <c r="M363" i="32"/>
  <c r="CP364" i="32"/>
  <c r="M364" i="32"/>
  <c r="CP365" i="32"/>
  <c r="M365" i="32"/>
  <c r="CP366" i="32"/>
  <c r="M366" i="32"/>
  <c r="CP367" i="32"/>
  <c r="M367" i="32"/>
  <c r="CP368" i="32"/>
  <c r="M368" i="32"/>
  <c r="CP369" i="32"/>
  <c r="M369" i="32"/>
  <c r="CP370" i="32"/>
  <c r="M370" i="32"/>
  <c r="CP371" i="32"/>
  <c r="M371" i="32"/>
  <c r="CP372" i="32"/>
  <c r="M372" i="32"/>
  <c r="CP373" i="32"/>
  <c r="M373" i="32"/>
  <c r="CP374" i="32"/>
  <c r="M374" i="32"/>
  <c r="CP375" i="32"/>
  <c r="M375" i="32"/>
  <c r="CP376" i="32"/>
  <c r="M376" i="32"/>
  <c r="CP377" i="32"/>
  <c r="M377" i="32"/>
  <c r="CP378" i="32"/>
  <c r="M378" i="32"/>
  <c r="CP379" i="32"/>
  <c r="M379" i="32"/>
  <c r="CP380" i="32"/>
  <c r="M380" i="32"/>
  <c r="CP381" i="32"/>
  <c r="M381" i="32"/>
  <c r="CP382" i="32"/>
  <c r="M382" i="32"/>
  <c r="CP383" i="32"/>
  <c r="M383" i="32"/>
  <c r="CP384" i="32"/>
  <c r="M384" i="32"/>
  <c r="CP385" i="32"/>
  <c r="M385" i="32"/>
  <c r="CP386" i="32"/>
  <c r="M386" i="32"/>
  <c r="CP387" i="32"/>
  <c r="M387" i="32"/>
  <c r="CP388" i="32"/>
  <c r="M388" i="32"/>
  <c r="CP389" i="32"/>
  <c r="M389" i="32"/>
  <c r="CP390" i="32"/>
  <c r="M390" i="32"/>
  <c r="CP391" i="32"/>
  <c r="M391" i="32"/>
  <c r="CP392" i="32"/>
  <c r="M392" i="32"/>
  <c r="CP393" i="32"/>
  <c r="M393" i="32"/>
  <c r="CP394" i="32"/>
  <c r="M394" i="32"/>
  <c r="CP395" i="32"/>
  <c r="M395" i="32"/>
  <c r="CP396" i="32"/>
  <c r="M396" i="32"/>
  <c r="CP397" i="32"/>
  <c r="M397" i="32"/>
  <c r="CP398" i="32"/>
  <c r="M398" i="32"/>
  <c r="CP399" i="32"/>
  <c r="M399" i="32"/>
  <c r="CP400" i="32"/>
  <c r="M400" i="32"/>
  <c r="CP401" i="32"/>
  <c r="M401" i="32"/>
  <c r="CP402" i="32"/>
  <c r="M402" i="32"/>
  <c r="CP403" i="32"/>
  <c r="M403" i="32"/>
  <c r="CP404" i="32"/>
  <c r="M404" i="32"/>
  <c r="CP405" i="32"/>
  <c r="M405" i="32"/>
  <c r="CP406" i="32"/>
  <c r="M406" i="32"/>
  <c r="CP407" i="32"/>
  <c r="M407" i="32"/>
  <c r="CP408" i="32"/>
  <c r="M408" i="32"/>
  <c r="CP409" i="32"/>
  <c r="M409" i="32"/>
  <c r="CP410" i="32"/>
  <c r="M410" i="32"/>
  <c r="CP411" i="32"/>
  <c r="M411" i="32"/>
  <c r="CP412" i="32"/>
  <c r="M412" i="32"/>
  <c r="CP413" i="32"/>
  <c r="M413" i="32"/>
  <c r="CP414" i="32"/>
  <c r="M414" i="32"/>
  <c r="CP415" i="32"/>
  <c r="M415" i="32"/>
  <c r="CP416" i="32"/>
  <c r="M416" i="32"/>
  <c r="CP417" i="32"/>
  <c r="M417" i="32"/>
  <c r="CP418" i="32"/>
  <c r="M418" i="32"/>
  <c r="CP419" i="32"/>
  <c r="M419" i="32"/>
  <c r="CP420" i="32"/>
  <c r="M420" i="32"/>
  <c r="CP421" i="32"/>
  <c r="M421" i="32"/>
  <c r="CP422" i="32"/>
  <c r="M422" i="32"/>
  <c r="CP423" i="32"/>
  <c r="M423" i="32"/>
  <c r="CP424" i="32"/>
  <c r="M424" i="32"/>
  <c r="CP425" i="32"/>
  <c r="M425" i="32"/>
  <c r="CP426" i="32"/>
  <c r="M426" i="32"/>
  <c r="CP427" i="32"/>
  <c r="M427" i="32"/>
  <c r="CP428" i="32"/>
  <c r="CO6" i="32"/>
  <c r="CO7" i="32"/>
  <c r="CO8" i="32"/>
  <c r="CO9" i="32"/>
  <c r="CO10" i="32"/>
  <c r="CO11" i="32"/>
  <c r="CO12" i="32"/>
  <c r="CO13" i="32"/>
  <c r="CO14" i="32"/>
  <c r="CO15" i="32"/>
  <c r="CO16" i="32"/>
  <c r="CO17" i="32"/>
  <c r="CO18" i="32"/>
  <c r="CO19" i="32"/>
  <c r="CO20" i="32"/>
  <c r="CO21" i="32"/>
  <c r="CO22" i="32"/>
  <c r="CO23" i="32"/>
  <c r="CO24" i="32"/>
  <c r="CO25" i="32"/>
  <c r="CO26" i="32"/>
  <c r="CO27" i="32"/>
  <c r="CO28" i="32"/>
  <c r="CO29" i="32"/>
  <c r="CO30" i="32"/>
  <c r="CO31" i="32"/>
  <c r="CO32" i="32"/>
  <c r="CO33" i="32"/>
  <c r="CO34" i="32"/>
  <c r="CO35" i="32"/>
  <c r="CO36" i="32"/>
  <c r="CO37" i="32"/>
  <c r="CO38" i="32"/>
  <c r="CO39" i="32"/>
  <c r="CO40" i="32"/>
  <c r="CO41" i="32"/>
  <c r="CO42" i="32"/>
  <c r="CO43" i="32"/>
  <c r="CO44" i="32"/>
  <c r="CO45" i="32"/>
  <c r="CO46" i="32"/>
  <c r="CO47" i="32"/>
  <c r="CO48" i="32"/>
  <c r="CO49" i="32"/>
  <c r="CO50" i="32"/>
  <c r="CO51" i="32"/>
  <c r="CO52" i="32"/>
  <c r="CO53" i="32"/>
  <c r="CO54" i="32"/>
  <c r="CO55" i="32"/>
  <c r="CO56" i="32"/>
  <c r="CO57" i="32"/>
  <c r="CO58" i="32"/>
  <c r="CO59" i="32"/>
  <c r="CO60" i="32"/>
  <c r="CO61" i="32"/>
  <c r="CO62" i="32"/>
  <c r="CO63" i="32"/>
  <c r="CO64" i="32"/>
  <c r="CO65" i="32"/>
  <c r="CO66" i="32"/>
  <c r="CO67" i="32"/>
  <c r="CO68" i="32"/>
  <c r="CO69" i="32"/>
  <c r="CO70" i="32"/>
  <c r="CO71" i="32"/>
  <c r="CO72" i="32"/>
  <c r="CO73" i="32"/>
  <c r="CO74" i="32"/>
  <c r="CO75" i="32"/>
  <c r="CO76" i="32"/>
  <c r="CO77" i="32"/>
  <c r="CO78" i="32"/>
  <c r="CO79" i="32"/>
  <c r="CO80" i="32"/>
  <c r="CO81" i="32"/>
  <c r="CO82" i="32"/>
  <c r="CO83" i="32"/>
  <c r="CO84" i="32"/>
  <c r="CO85" i="32"/>
  <c r="CO86" i="32"/>
  <c r="CO87" i="32"/>
  <c r="CO88" i="32"/>
  <c r="CO89" i="32"/>
  <c r="CO90" i="32"/>
  <c r="CO91" i="32"/>
  <c r="CO92" i="32"/>
  <c r="CO93" i="32"/>
  <c r="CO94" i="32"/>
  <c r="CO95" i="32"/>
  <c r="CO96" i="32"/>
  <c r="CO97" i="32"/>
  <c r="CO98" i="32"/>
  <c r="CO99" i="32"/>
  <c r="CO100" i="32"/>
  <c r="CO101" i="32"/>
  <c r="CO102" i="32"/>
  <c r="CO103" i="32"/>
  <c r="CO104" i="32"/>
  <c r="CO105" i="32"/>
  <c r="CO106" i="32"/>
  <c r="CO107" i="32"/>
  <c r="CO108" i="32"/>
  <c r="CO109" i="32"/>
  <c r="CO110" i="32"/>
  <c r="CO111" i="32"/>
  <c r="CO112" i="32"/>
  <c r="CO113" i="32"/>
  <c r="CO114" i="32"/>
  <c r="CO115" i="32"/>
  <c r="CO116" i="32"/>
  <c r="CO117" i="32"/>
  <c r="CO118" i="32"/>
  <c r="CO119" i="32"/>
  <c r="CO120" i="32"/>
  <c r="CO121" i="32"/>
  <c r="CO122" i="32"/>
  <c r="CO123" i="32"/>
  <c r="CO124" i="32"/>
  <c r="CO125" i="32"/>
  <c r="CO126" i="32"/>
  <c r="CO127" i="32"/>
  <c r="CO128" i="32"/>
  <c r="CO129" i="32"/>
  <c r="CO130" i="32"/>
  <c r="CO131" i="32"/>
  <c r="CO132" i="32"/>
  <c r="CO133" i="32"/>
  <c r="CO134" i="32"/>
  <c r="CO135" i="32"/>
  <c r="CO136" i="32"/>
  <c r="CO137" i="32"/>
  <c r="CO138" i="32"/>
  <c r="CO139" i="32"/>
  <c r="CO140" i="32"/>
  <c r="CO141" i="32"/>
  <c r="CO142" i="32"/>
  <c r="CO143" i="32"/>
  <c r="CO144" i="32"/>
  <c r="CO145" i="32"/>
  <c r="CO146" i="32"/>
  <c r="CO147" i="32"/>
  <c r="CO148" i="32"/>
  <c r="CO149" i="32"/>
  <c r="CO150" i="32"/>
  <c r="CO151" i="32"/>
  <c r="CO152" i="32"/>
  <c r="CO153" i="32"/>
  <c r="CO154" i="32"/>
  <c r="CO155" i="32"/>
  <c r="CO156" i="32"/>
  <c r="CO157" i="32"/>
  <c r="CO158" i="32"/>
  <c r="CO159" i="32"/>
  <c r="CO160" i="32"/>
  <c r="CO161" i="32"/>
  <c r="CO162" i="32"/>
  <c r="CO163" i="32"/>
  <c r="CO164" i="32"/>
  <c r="CO165" i="32"/>
  <c r="CO166" i="32"/>
  <c r="CO167" i="32"/>
  <c r="CO168" i="32"/>
  <c r="CO169" i="32"/>
  <c r="CO170" i="32"/>
  <c r="CO171" i="32"/>
  <c r="CO172" i="32"/>
  <c r="CO173" i="32"/>
  <c r="CO174" i="32"/>
  <c r="CO175" i="32"/>
  <c r="CO176" i="32"/>
  <c r="CO177" i="32"/>
  <c r="CO178" i="32"/>
  <c r="CO179" i="32"/>
  <c r="CO180" i="32"/>
  <c r="CO181" i="32"/>
  <c r="CO182" i="32"/>
  <c r="CO183" i="32"/>
  <c r="CO184" i="32"/>
  <c r="CO185" i="32"/>
  <c r="CO186" i="32"/>
  <c r="CO187" i="32"/>
  <c r="CO188" i="32"/>
  <c r="CO189" i="32"/>
  <c r="CO190" i="32"/>
  <c r="CO191" i="32"/>
  <c r="CO192" i="32"/>
  <c r="CO193" i="32"/>
  <c r="CO194" i="32"/>
  <c r="CO195" i="32"/>
  <c r="CO196" i="32"/>
  <c r="CO197" i="32"/>
  <c r="CO198" i="32"/>
  <c r="CO199" i="32"/>
  <c r="CO200" i="32"/>
  <c r="CO201" i="32"/>
  <c r="CO202" i="32"/>
  <c r="CO203" i="32"/>
  <c r="CO204" i="32"/>
  <c r="CO205" i="32"/>
  <c r="CO206" i="32"/>
  <c r="CO207" i="32"/>
  <c r="CO208" i="32"/>
  <c r="CO209" i="32"/>
  <c r="CO210" i="32"/>
  <c r="CO211" i="32"/>
  <c r="CO212" i="32"/>
  <c r="CO213" i="32"/>
  <c r="CO214" i="32"/>
  <c r="CO215" i="32"/>
  <c r="CO216" i="32"/>
  <c r="CO217" i="32"/>
  <c r="CO218" i="32"/>
  <c r="CO219" i="32"/>
  <c r="CO220" i="32"/>
  <c r="CO221" i="32"/>
  <c r="CO222" i="32"/>
  <c r="CO223" i="32"/>
  <c r="CO224" i="32"/>
  <c r="CO225" i="32"/>
  <c r="CO226" i="32"/>
  <c r="CO227" i="32"/>
  <c r="CO228" i="32"/>
  <c r="CO229" i="32"/>
  <c r="CO230" i="32"/>
  <c r="CO231" i="32"/>
  <c r="CO232" i="32"/>
  <c r="CO233" i="32"/>
  <c r="CO234" i="32"/>
  <c r="CO235" i="32"/>
  <c r="CO236" i="32"/>
  <c r="CO237" i="32"/>
  <c r="CO238" i="32"/>
  <c r="CO239" i="32"/>
  <c r="CO240" i="32"/>
  <c r="CO241" i="32"/>
  <c r="CO242" i="32"/>
  <c r="CO243" i="32"/>
  <c r="CO244" i="32"/>
  <c r="CO245" i="32"/>
  <c r="CO246" i="32"/>
  <c r="CO247" i="32"/>
  <c r="CO248" i="32"/>
  <c r="CO249" i="32"/>
  <c r="CO250" i="32"/>
  <c r="CO251" i="32"/>
  <c r="CO252" i="32"/>
  <c r="CO253" i="32"/>
  <c r="CO254" i="32"/>
  <c r="CO255" i="32"/>
  <c r="CO256" i="32"/>
  <c r="CO257" i="32"/>
  <c r="CO258" i="32"/>
  <c r="CO259" i="32"/>
  <c r="CO260" i="32"/>
  <c r="CO261" i="32"/>
  <c r="CO262" i="32"/>
  <c r="CO263" i="32"/>
  <c r="CO264" i="32"/>
  <c r="CO265" i="32"/>
  <c r="CO266" i="32"/>
  <c r="CO267" i="32"/>
  <c r="CO268" i="32"/>
  <c r="CO269" i="32"/>
  <c r="CO270" i="32"/>
  <c r="CO271" i="32"/>
  <c r="CO272" i="32"/>
  <c r="CO273" i="32"/>
  <c r="CO274" i="32"/>
  <c r="CO275" i="32"/>
  <c r="CO276" i="32"/>
  <c r="CO277" i="32"/>
  <c r="CO278" i="32"/>
  <c r="CO279" i="32"/>
  <c r="CO280" i="32"/>
  <c r="CO281" i="32"/>
  <c r="CO282" i="32"/>
  <c r="CO283" i="32"/>
  <c r="CO284" i="32"/>
  <c r="CO285" i="32"/>
  <c r="CO286" i="32"/>
  <c r="CO287" i="32"/>
  <c r="CO288" i="32"/>
  <c r="CO289" i="32"/>
  <c r="CO290" i="32"/>
  <c r="CO291" i="32"/>
  <c r="CO292" i="32"/>
  <c r="CO293" i="32"/>
  <c r="CO294" i="32"/>
  <c r="CO295" i="32"/>
  <c r="CO296" i="32"/>
  <c r="CO297" i="32"/>
  <c r="CO298" i="32"/>
  <c r="CO299" i="32"/>
  <c r="CO300" i="32"/>
  <c r="CO301" i="32"/>
  <c r="CO302" i="32"/>
  <c r="CO303" i="32"/>
  <c r="CO304" i="32"/>
  <c r="CO305" i="32"/>
  <c r="CO306" i="32"/>
  <c r="CO307" i="32"/>
  <c r="CO308" i="32"/>
  <c r="CO309" i="32"/>
  <c r="CO310" i="32"/>
  <c r="CO311" i="32"/>
  <c r="CO312" i="32"/>
  <c r="CO313" i="32"/>
  <c r="CO314" i="32"/>
  <c r="CO315" i="32"/>
  <c r="CO316" i="32"/>
  <c r="CO317" i="32"/>
  <c r="CO318" i="32"/>
  <c r="CO319" i="32"/>
  <c r="CO320" i="32"/>
  <c r="CO321" i="32"/>
  <c r="CO322" i="32"/>
  <c r="CO323" i="32"/>
  <c r="CO324" i="32"/>
  <c r="CO325" i="32"/>
  <c r="CO326" i="32"/>
  <c r="CO327" i="32"/>
  <c r="CO328" i="32"/>
  <c r="CO329" i="32"/>
  <c r="CO330" i="32"/>
  <c r="CO331" i="32"/>
  <c r="CO332" i="32"/>
  <c r="CO333" i="32"/>
  <c r="CO334" i="32"/>
  <c r="CO335" i="32"/>
  <c r="CO336" i="32"/>
  <c r="CO337" i="32"/>
  <c r="CO338" i="32"/>
  <c r="CO339" i="32"/>
  <c r="CO340" i="32"/>
  <c r="CO341" i="32"/>
  <c r="CO342" i="32"/>
  <c r="CO343" i="32"/>
  <c r="CO344" i="32"/>
  <c r="CO345" i="32"/>
  <c r="CO346" i="32"/>
  <c r="CO347" i="32"/>
  <c r="CO348" i="32"/>
  <c r="CO349" i="32"/>
  <c r="CO350" i="32"/>
  <c r="CO351" i="32"/>
  <c r="CO352" i="32"/>
  <c r="CO353" i="32"/>
  <c r="CO354" i="32"/>
  <c r="CO355" i="32"/>
  <c r="CO356" i="32"/>
  <c r="CO357" i="32"/>
  <c r="CO358" i="32"/>
  <c r="CO359" i="32"/>
  <c r="CO360" i="32"/>
  <c r="CO361" i="32"/>
  <c r="CO362" i="32"/>
  <c r="CO363" i="32"/>
  <c r="CO364" i="32"/>
  <c r="CO365" i="32"/>
  <c r="CO366" i="32"/>
  <c r="CO367" i="32"/>
  <c r="CO368" i="32"/>
  <c r="CO369" i="32"/>
  <c r="CO370" i="32"/>
  <c r="CO371" i="32"/>
  <c r="CO372" i="32"/>
  <c r="CO373" i="32"/>
  <c r="CO374" i="32"/>
  <c r="CO375" i="32"/>
  <c r="CO376" i="32"/>
  <c r="CO377" i="32"/>
  <c r="CO378" i="32"/>
  <c r="CO379" i="32"/>
  <c r="CO380" i="32"/>
  <c r="CO381" i="32"/>
  <c r="CO382" i="32"/>
  <c r="CO383" i="32"/>
  <c r="CO384" i="32"/>
  <c r="CO385" i="32"/>
  <c r="CO386" i="32"/>
  <c r="CO387" i="32"/>
  <c r="CO388" i="32"/>
  <c r="CO389" i="32"/>
  <c r="CO390" i="32"/>
  <c r="CO391" i="32"/>
  <c r="CO392" i="32"/>
  <c r="CO393" i="32"/>
  <c r="CO394" i="32"/>
  <c r="CO395" i="32"/>
  <c r="CO396" i="32"/>
  <c r="CO397" i="32"/>
  <c r="CO398" i="32"/>
  <c r="CO399" i="32"/>
  <c r="CO400" i="32"/>
  <c r="CO401" i="32"/>
  <c r="CO402" i="32"/>
  <c r="CO403" i="32"/>
  <c r="CO404" i="32"/>
  <c r="CO405" i="32"/>
  <c r="CO406" i="32"/>
  <c r="CO407" i="32"/>
  <c r="CO408" i="32"/>
  <c r="CO409" i="32"/>
  <c r="CO410" i="32"/>
  <c r="CO411" i="32"/>
  <c r="CO412" i="32"/>
  <c r="CO413" i="32"/>
  <c r="CO414" i="32"/>
  <c r="CO415" i="32"/>
  <c r="CO416" i="32"/>
  <c r="CO417" i="32"/>
  <c r="CO418" i="32"/>
  <c r="CO419" i="32"/>
  <c r="CO420" i="32"/>
  <c r="CO421" i="32"/>
  <c r="BB421" i="32"/>
  <c r="CO422" i="32"/>
  <c r="CO423" i="32"/>
  <c r="CO424" i="32"/>
  <c r="CO425" i="32"/>
  <c r="CO426" i="32"/>
  <c r="CO427" i="32"/>
  <c r="CO428" i="32"/>
  <c r="CN6" i="32"/>
  <c r="CN7" i="32"/>
  <c r="CN8" i="32"/>
  <c r="CN9" i="32"/>
  <c r="CN10" i="32"/>
  <c r="CN11" i="32"/>
  <c r="CN12" i="32"/>
  <c r="CN13" i="32"/>
  <c r="CN14" i="32"/>
  <c r="CN15" i="32"/>
  <c r="CN16" i="32"/>
  <c r="CN17" i="32"/>
  <c r="CN18" i="32"/>
  <c r="CN19" i="32"/>
  <c r="CN20" i="32"/>
  <c r="CN21" i="32"/>
  <c r="CN22" i="32"/>
  <c r="CN23" i="32"/>
  <c r="CN24" i="32"/>
  <c r="CN25" i="32"/>
  <c r="CN26" i="32"/>
  <c r="CN27" i="32"/>
  <c r="CN28" i="32"/>
  <c r="CN29" i="32"/>
  <c r="CN30" i="32"/>
  <c r="CN31" i="32"/>
  <c r="CN32" i="32"/>
  <c r="CN33" i="32"/>
  <c r="CN34" i="32"/>
  <c r="CN35" i="32"/>
  <c r="CN36" i="32"/>
  <c r="CN37" i="32"/>
  <c r="CN38" i="32"/>
  <c r="CN39" i="32"/>
  <c r="CN40" i="32"/>
  <c r="CN41" i="32"/>
  <c r="CN42" i="32"/>
  <c r="CN43" i="32"/>
  <c r="CN44" i="32"/>
  <c r="CN45" i="32"/>
  <c r="CN46" i="32"/>
  <c r="CN47" i="32"/>
  <c r="CN48" i="32"/>
  <c r="CN49" i="32"/>
  <c r="CN50" i="32"/>
  <c r="CN51" i="32"/>
  <c r="CN52" i="32"/>
  <c r="CN53" i="32"/>
  <c r="CN54" i="32"/>
  <c r="CN55" i="32"/>
  <c r="CN56" i="32"/>
  <c r="CN57" i="32"/>
  <c r="CN58" i="32"/>
  <c r="CN59" i="32"/>
  <c r="CN60" i="32"/>
  <c r="CN61" i="32"/>
  <c r="CN62" i="32"/>
  <c r="CN63" i="32"/>
  <c r="CN64" i="32"/>
  <c r="CN65" i="32"/>
  <c r="CN66" i="32"/>
  <c r="CN67" i="32"/>
  <c r="CN68" i="32"/>
  <c r="CN69" i="32"/>
  <c r="CN70" i="32"/>
  <c r="CN71" i="32"/>
  <c r="CN72" i="32"/>
  <c r="CN73" i="32"/>
  <c r="CN74" i="32"/>
  <c r="CN75" i="32"/>
  <c r="CN76" i="32"/>
  <c r="CN77" i="32"/>
  <c r="CN78" i="32"/>
  <c r="CN79" i="32"/>
  <c r="CN80" i="32"/>
  <c r="CN81" i="32"/>
  <c r="CN82" i="32"/>
  <c r="CN83" i="32"/>
  <c r="CN84" i="32"/>
  <c r="CN85" i="32"/>
  <c r="CN86" i="32"/>
  <c r="CN87" i="32"/>
  <c r="CN88" i="32"/>
  <c r="CN89" i="32"/>
  <c r="CN90" i="32"/>
  <c r="CN91" i="32"/>
  <c r="CN92" i="32"/>
  <c r="CN93" i="32"/>
  <c r="CN94" i="32"/>
  <c r="CN95" i="32"/>
  <c r="CN96" i="32"/>
  <c r="CN97" i="32"/>
  <c r="CN98" i="32"/>
  <c r="CN99" i="32"/>
  <c r="CN100" i="32"/>
  <c r="CN101" i="32"/>
  <c r="CN102" i="32"/>
  <c r="CN103" i="32"/>
  <c r="CN104" i="32"/>
  <c r="CN105" i="32"/>
  <c r="CN106" i="32"/>
  <c r="CN107" i="32"/>
  <c r="CN108" i="32"/>
  <c r="CN109" i="32"/>
  <c r="CN110" i="32"/>
  <c r="CN111" i="32"/>
  <c r="CN112" i="32"/>
  <c r="CN113" i="32"/>
  <c r="CN114" i="32"/>
  <c r="CN115" i="32"/>
  <c r="CN116" i="32"/>
  <c r="CN117" i="32"/>
  <c r="CN118" i="32"/>
  <c r="CN119" i="32"/>
  <c r="CN120" i="32"/>
  <c r="CN121" i="32"/>
  <c r="CN122" i="32"/>
  <c r="CN123" i="32"/>
  <c r="CN124" i="32"/>
  <c r="CN125" i="32"/>
  <c r="CN126" i="32"/>
  <c r="CN127" i="32"/>
  <c r="CN128" i="32"/>
  <c r="CN129" i="32"/>
  <c r="CN130" i="32"/>
  <c r="CN131" i="32"/>
  <c r="CN132" i="32"/>
  <c r="CN133" i="32"/>
  <c r="CN134" i="32"/>
  <c r="CN135" i="32"/>
  <c r="CN136" i="32"/>
  <c r="CN137" i="32"/>
  <c r="CN138" i="32"/>
  <c r="CN139" i="32"/>
  <c r="CN140" i="32"/>
  <c r="CN141" i="32"/>
  <c r="CN142" i="32"/>
  <c r="CN143" i="32"/>
  <c r="CN144" i="32"/>
  <c r="CN145" i="32"/>
  <c r="CN146" i="32"/>
  <c r="CN147" i="32"/>
  <c r="CN148" i="32"/>
  <c r="CN149" i="32"/>
  <c r="CN150" i="32"/>
  <c r="CN151" i="32"/>
  <c r="CN152" i="32"/>
  <c r="CN153" i="32"/>
  <c r="CN154" i="32"/>
  <c r="CN155" i="32"/>
  <c r="CN156" i="32"/>
  <c r="CN157" i="32"/>
  <c r="CN158" i="32"/>
  <c r="CN159" i="32"/>
  <c r="CN160" i="32"/>
  <c r="CN161" i="32"/>
  <c r="CN162" i="32"/>
  <c r="CN163" i="32"/>
  <c r="CN164" i="32"/>
  <c r="CN165" i="32"/>
  <c r="CN166" i="32"/>
  <c r="CN167" i="32"/>
  <c r="CN168" i="32"/>
  <c r="CN169" i="32"/>
  <c r="CN170" i="32"/>
  <c r="CN171" i="32"/>
  <c r="CN172" i="32"/>
  <c r="CN173" i="32"/>
  <c r="CN174" i="32"/>
  <c r="CN175" i="32"/>
  <c r="CN176" i="32"/>
  <c r="CN177" i="32"/>
  <c r="CN178" i="32"/>
  <c r="CN179" i="32"/>
  <c r="CN180" i="32"/>
  <c r="CN181" i="32"/>
  <c r="CN182" i="32"/>
  <c r="CN183" i="32"/>
  <c r="CN184" i="32"/>
  <c r="CN185" i="32"/>
  <c r="CN186" i="32"/>
  <c r="CN187" i="32"/>
  <c r="CN188" i="32"/>
  <c r="CN189" i="32"/>
  <c r="CN190" i="32"/>
  <c r="CN191" i="32"/>
  <c r="CN192" i="32"/>
  <c r="CN193" i="32"/>
  <c r="CN194" i="32"/>
  <c r="CN195" i="32"/>
  <c r="CN196" i="32"/>
  <c r="CN197" i="32"/>
  <c r="CN198" i="32"/>
  <c r="CN199" i="32"/>
  <c r="CN200" i="32"/>
  <c r="CN201" i="32"/>
  <c r="CN202" i="32"/>
  <c r="CN203" i="32"/>
  <c r="CN204" i="32"/>
  <c r="CN205" i="32"/>
  <c r="CN206" i="32"/>
  <c r="CN207" i="32"/>
  <c r="CN208" i="32"/>
  <c r="CN209" i="32"/>
  <c r="CN210" i="32"/>
  <c r="CN211" i="32"/>
  <c r="CN212" i="32"/>
  <c r="CN213" i="32"/>
  <c r="CN214" i="32"/>
  <c r="CN215" i="32"/>
  <c r="CN216" i="32"/>
  <c r="CN217" i="32"/>
  <c r="CN218" i="32"/>
  <c r="CN219" i="32"/>
  <c r="CN220" i="32"/>
  <c r="CN221" i="32"/>
  <c r="CN222" i="32"/>
  <c r="CN223" i="32"/>
  <c r="CN224" i="32"/>
  <c r="CN225" i="32"/>
  <c r="CN226" i="32"/>
  <c r="CN227" i="32"/>
  <c r="CN228" i="32"/>
  <c r="CN229" i="32"/>
  <c r="CN230" i="32"/>
  <c r="CN231" i="32"/>
  <c r="CN232" i="32"/>
  <c r="CN233" i="32"/>
  <c r="CN234" i="32"/>
  <c r="CN235" i="32"/>
  <c r="CN236" i="32"/>
  <c r="CN237" i="32"/>
  <c r="CN238" i="32"/>
  <c r="CN239" i="32"/>
  <c r="CN240" i="32"/>
  <c r="CN241" i="32"/>
  <c r="CN242" i="32"/>
  <c r="CN243" i="32"/>
  <c r="CN244" i="32"/>
  <c r="CN245" i="32"/>
  <c r="CN246" i="32"/>
  <c r="CN247" i="32"/>
  <c r="CN248" i="32"/>
  <c r="CN249" i="32"/>
  <c r="CN250" i="32"/>
  <c r="CN251" i="32"/>
  <c r="CN252" i="32"/>
  <c r="CN253" i="32"/>
  <c r="CN254" i="32"/>
  <c r="CN255" i="32"/>
  <c r="CN256" i="32"/>
  <c r="CN257" i="32"/>
  <c r="CN258" i="32"/>
  <c r="CN259" i="32"/>
  <c r="CN260" i="32"/>
  <c r="CN261" i="32"/>
  <c r="CN262" i="32"/>
  <c r="CN263" i="32"/>
  <c r="CN264" i="32"/>
  <c r="CN265" i="32"/>
  <c r="CN266" i="32"/>
  <c r="CN267" i="32"/>
  <c r="CN268" i="32"/>
  <c r="CN269" i="32"/>
  <c r="CN270" i="32"/>
  <c r="CN271" i="32"/>
  <c r="CN272" i="32"/>
  <c r="CN273" i="32"/>
  <c r="CN274" i="32"/>
  <c r="CN275" i="32"/>
  <c r="CN276" i="32"/>
  <c r="CN277" i="32"/>
  <c r="CN278" i="32"/>
  <c r="CN279" i="32"/>
  <c r="CN280" i="32"/>
  <c r="CN281" i="32"/>
  <c r="CN282" i="32"/>
  <c r="CN283" i="32"/>
  <c r="CN284" i="32"/>
  <c r="CN285" i="32"/>
  <c r="CN286" i="32"/>
  <c r="CN287" i="32"/>
  <c r="CN288" i="32"/>
  <c r="CN289" i="32"/>
  <c r="CN290" i="32"/>
  <c r="CN291" i="32"/>
  <c r="CN292" i="32"/>
  <c r="CN293" i="32"/>
  <c r="CN294" i="32"/>
  <c r="CN295" i="32"/>
  <c r="CN296" i="32"/>
  <c r="CN297" i="32"/>
  <c r="CN298" i="32"/>
  <c r="CN299" i="32"/>
  <c r="CN300" i="32"/>
  <c r="CN301" i="32"/>
  <c r="CN302" i="32"/>
  <c r="CN303" i="32"/>
  <c r="CN304" i="32"/>
  <c r="CN305" i="32"/>
  <c r="CN306" i="32"/>
  <c r="CN307" i="32"/>
  <c r="CN308" i="32"/>
  <c r="CN309" i="32"/>
  <c r="CN310" i="32"/>
  <c r="CN311" i="32"/>
  <c r="CN312" i="32"/>
  <c r="CN313" i="32"/>
  <c r="CN314" i="32"/>
  <c r="CN315" i="32"/>
  <c r="CN316" i="32"/>
  <c r="CN317" i="32"/>
  <c r="CN318" i="32"/>
  <c r="CN319" i="32"/>
  <c r="CN320" i="32"/>
  <c r="CN321" i="32"/>
  <c r="CN322" i="32"/>
  <c r="CN323" i="32"/>
  <c r="CN324" i="32"/>
  <c r="CN325" i="32"/>
  <c r="CN326" i="32"/>
  <c r="CN327" i="32"/>
  <c r="CN328" i="32"/>
  <c r="CN329" i="32"/>
  <c r="CN330" i="32"/>
  <c r="CN331" i="32"/>
  <c r="CN332" i="32"/>
  <c r="CN333" i="32"/>
  <c r="CN334" i="32"/>
  <c r="CN335" i="32"/>
  <c r="CN336" i="32"/>
  <c r="CN337" i="32"/>
  <c r="CN338" i="32"/>
  <c r="CN339" i="32"/>
  <c r="CN340" i="32"/>
  <c r="CN341" i="32"/>
  <c r="CN342" i="32"/>
  <c r="CN343" i="32"/>
  <c r="CN344" i="32"/>
  <c r="CN345" i="32"/>
  <c r="CN346" i="32"/>
  <c r="CN347" i="32"/>
  <c r="CN348" i="32"/>
  <c r="CN349" i="32"/>
  <c r="CN350" i="32"/>
  <c r="CN351" i="32"/>
  <c r="CN352" i="32"/>
  <c r="CN353" i="32"/>
  <c r="CN354" i="32"/>
  <c r="CN355" i="32"/>
  <c r="CN356" i="32"/>
  <c r="CN357" i="32"/>
  <c r="CN358" i="32"/>
  <c r="CN359" i="32"/>
  <c r="CN360" i="32"/>
  <c r="CN361" i="32"/>
  <c r="CN362" i="32"/>
  <c r="CN363" i="32"/>
  <c r="CN364" i="32"/>
  <c r="CN365" i="32"/>
  <c r="CN366" i="32"/>
  <c r="CN367" i="32"/>
  <c r="CN368" i="32"/>
  <c r="CN369" i="32"/>
  <c r="CN370" i="32"/>
  <c r="CN371" i="32"/>
  <c r="CN372" i="32"/>
  <c r="CN373" i="32"/>
  <c r="CN374" i="32"/>
  <c r="CN375" i="32"/>
  <c r="CN376" i="32"/>
  <c r="CN377" i="32"/>
  <c r="CN378" i="32"/>
  <c r="CN379" i="32"/>
  <c r="CN380" i="32"/>
  <c r="CN381" i="32"/>
  <c r="CN382" i="32"/>
  <c r="CN383" i="32"/>
  <c r="CN384" i="32"/>
  <c r="CN385" i="32"/>
  <c r="CN386" i="32"/>
  <c r="CN387" i="32"/>
  <c r="CN388" i="32"/>
  <c r="CN389" i="32"/>
  <c r="CN390" i="32"/>
  <c r="CN391" i="32"/>
  <c r="CN392" i="32"/>
  <c r="CN393" i="32"/>
  <c r="CN394" i="32"/>
  <c r="CN395" i="32"/>
  <c r="CN396" i="32"/>
  <c r="CN397" i="32"/>
  <c r="CN398" i="32"/>
  <c r="CN399" i="32"/>
  <c r="CN400" i="32"/>
  <c r="CN401" i="32"/>
  <c r="CN402" i="32"/>
  <c r="CN403" i="32"/>
  <c r="CN404" i="32"/>
  <c r="CN405" i="32"/>
  <c r="CN406" i="32"/>
  <c r="CN407" i="32"/>
  <c r="CN408" i="32"/>
  <c r="CN409" i="32"/>
  <c r="CN410" i="32"/>
  <c r="CN411" i="32"/>
  <c r="CN412" i="32"/>
  <c r="CN413" i="32"/>
  <c r="CN414" i="32"/>
  <c r="CN415" i="32"/>
  <c r="CN416" i="32"/>
  <c r="CN417" i="32"/>
  <c r="CN418" i="32"/>
  <c r="CN419" i="32"/>
  <c r="CN420" i="32"/>
  <c r="CN421" i="32"/>
  <c r="CN422" i="32"/>
  <c r="CN423" i="32"/>
  <c r="CN424" i="32"/>
  <c r="CN5" i="32"/>
  <c r="L5" i="32"/>
  <c r="CH6" i="32"/>
  <c r="L6" i="32"/>
  <c r="CH7" i="32"/>
  <c r="L7" i="32"/>
  <c r="CH8" i="32"/>
  <c r="L8" i="32"/>
  <c r="CH9" i="32"/>
  <c r="L9" i="32"/>
  <c r="CH10" i="32"/>
  <c r="L10" i="32"/>
  <c r="CH11" i="32"/>
  <c r="L11" i="32"/>
  <c r="CH12" i="32"/>
  <c r="L12" i="32"/>
  <c r="CH13" i="32"/>
  <c r="L13" i="32"/>
  <c r="CH14" i="32"/>
  <c r="L14" i="32"/>
  <c r="CH15" i="32"/>
  <c r="L15" i="32"/>
  <c r="CH16" i="32"/>
  <c r="L16" i="32"/>
  <c r="CH17" i="32"/>
  <c r="L17" i="32"/>
  <c r="CH18" i="32"/>
  <c r="L18" i="32"/>
  <c r="CH19" i="32"/>
  <c r="L19" i="32"/>
  <c r="CH20" i="32"/>
  <c r="L20" i="32"/>
  <c r="CH21" i="32"/>
  <c r="L21" i="32"/>
  <c r="CH22" i="32"/>
  <c r="L22" i="32"/>
  <c r="CH23" i="32"/>
  <c r="L23" i="32"/>
  <c r="CH24" i="32"/>
  <c r="L24" i="32"/>
  <c r="CH25" i="32"/>
  <c r="L25" i="32"/>
  <c r="CH26" i="32"/>
  <c r="L26" i="32"/>
  <c r="CH27" i="32"/>
  <c r="L27" i="32"/>
  <c r="CH28" i="32"/>
  <c r="L28" i="32"/>
  <c r="CH29" i="32"/>
  <c r="L29" i="32"/>
  <c r="CH30" i="32"/>
  <c r="L30" i="32"/>
  <c r="CH31" i="32"/>
  <c r="L31" i="32"/>
  <c r="CH32" i="32"/>
  <c r="L32" i="32"/>
  <c r="CH33" i="32"/>
  <c r="L33" i="32"/>
  <c r="CH34" i="32"/>
  <c r="L34" i="32"/>
  <c r="CH35" i="32"/>
  <c r="L35" i="32"/>
  <c r="CH36" i="32"/>
  <c r="L36" i="32"/>
  <c r="CH37" i="32"/>
  <c r="L37" i="32"/>
  <c r="CH38" i="32"/>
  <c r="L38" i="32"/>
  <c r="CH39" i="32"/>
  <c r="L39" i="32"/>
  <c r="CH40" i="32"/>
  <c r="L40" i="32"/>
  <c r="CH41" i="32"/>
  <c r="L41" i="32"/>
  <c r="CH42" i="32"/>
  <c r="L42" i="32"/>
  <c r="CH43" i="32"/>
  <c r="L43" i="32"/>
  <c r="CH44" i="32"/>
  <c r="L44" i="32"/>
  <c r="CH45" i="32"/>
  <c r="L45" i="32"/>
  <c r="CH46" i="32"/>
  <c r="L46" i="32"/>
  <c r="CH47" i="32"/>
  <c r="L47" i="32"/>
  <c r="CH48" i="32"/>
  <c r="L48" i="32"/>
  <c r="CH49" i="32"/>
  <c r="L49" i="32"/>
  <c r="CH50" i="32"/>
  <c r="L50" i="32"/>
  <c r="CH51" i="32"/>
  <c r="L51" i="32"/>
  <c r="CH52" i="32"/>
  <c r="L52" i="32"/>
  <c r="CH53" i="32"/>
  <c r="L53" i="32"/>
  <c r="CH54" i="32"/>
  <c r="L54" i="32"/>
  <c r="CH55" i="32"/>
  <c r="L55" i="32"/>
  <c r="CH56" i="32"/>
  <c r="L56" i="32"/>
  <c r="CH57" i="32"/>
  <c r="L57" i="32"/>
  <c r="CH58" i="32"/>
  <c r="L58" i="32"/>
  <c r="CH59" i="32"/>
  <c r="L59" i="32"/>
  <c r="CH60" i="32"/>
  <c r="L60" i="32"/>
  <c r="CH61" i="32"/>
  <c r="L61" i="32"/>
  <c r="CH62" i="32"/>
  <c r="L62" i="32"/>
  <c r="CH63" i="32"/>
  <c r="L63" i="32"/>
  <c r="CH64" i="32"/>
  <c r="L64" i="32"/>
  <c r="CH65" i="32"/>
  <c r="L65" i="32"/>
  <c r="CH66" i="32"/>
  <c r="L66" i="32"/>
  <c r="CH67" i="32"/>
  <c r="L67" i="32"/>
  <c r="CH68" i="32"/>
  <c r="L68" i="32"/>
  <c r="CH69" i="32"/>
  <c r="L69" i="32"/>
  <c r="CH70" i="32"/>
  <c r="L70" i="32"/>
  <c r="CH71" i="32"/>
  <c r="L71" i="32"/>
  <c r="CH72" i="32"/>
  <c r="L72" i="32"/>
  <c r="CH73" i="32"/>
  <c r="L73" i="32"/>
  <c r="CH74" i="32"/>
  <c r="L74" i="32"/>
  <c r="CH75" i="32"/>
  <c r="L75" i="32"/>
  <c r="CH76" i="32"/>
  <c r="L76" i="32"/>
  <c r="CH77" i="32"/>
  <c r="L77" i="32"/>
  <c r="CH78" i="32"/>
  <c r="L78" i="32"/>
  <c r="CH79" i="32"/>
  <c r="L79" i="32"/>
  <c r="CH80" i="32"/>
  <c r="L80" i="32"/>
  <c r="CH81" i="32"/>
  <c r="L81" i="32"/>
  <c r="CH82" i="32"/>
  <c r="L82" i="32"/>
  <c r="CH83" i="32"/>
  <c r="L83" i="32"/>
  <c r="CH84" i="32"/>
  <c r="L84" i="32"/>
  <c r="CH85" i="32"/>
  <c r="L85" i="32"/>
  <c r="CH86" i="32"/>
  <c r="L86" i="32"/>
  <c r="CH87" i="32"/>
  <c r="L87" i="32"/>
  <c r="CH88" i="32"/>
  <c r="L88" i="32"/>
  <c r="CH89" i="32"/>
  <c r="L89" i="32"/>
  <c r="CH90" i="32"/>
  <c r="L90" i="32"/>
  <c r="CH91" i="32"/>
  <c r="L91" i="32"/>
  <c r="CH92" i="32"/>
  <c r="L92" i="32"/>
  <c r="CH93" i="32"/>
  <c r="L93" i="32"/>
  <c r="CH94" i="32"/>
  <c r="L94" i="32"/>
  <c r="CH95" i="32"/>
  <c r="L95" i="32"/>
  <c r="CH96" i="32"/>
  <c r="L96" i="32"/>
  <c r="CH97" i="32"/>
  <c r="L97" i="32"/>
  <c r="CH98" i="32"/>
  <c r="L98" i="32"/>
  <c r="CH99" i="32"/>
  <c r="L99" i="32"/>
  <c r="CH100" i="32"/>
  <c r="L100" i="32"/>
  <c r="CH101" i="32"/>
  <c r="L101" i="32"/>
  <c r="CH102" i="32"/>
  <c r="L102" i="32"/>
  <c r="CH103" i="32"/>
  <c r="L103" i="32"/>
  <c r="CH104" i="32"/>
  <c r="L104" i="32"/>
  <c r="CH105" i="32"/>
  <c r="L105" i="32"/>
  <c r="CH106" i="32"/>
  <c r="L106" i="32"/>
  <c r="CH107" i="32"/>
  <c r="L107" i="32"/>
  <c r="CH108" i="32"/>
  <c r="L108" i="32"/>
  <c r="CH109" i="32"/>
  <c r="L109" i="32"/>
  <c r="CH110" i="32"/>
  <c r="L110" i="32"/>
  <c r="CH111" i="32"/>
  <c r="L111" i="32"/>
  <c r="CH112" i="32"/>
  <c r="L112" i="32"/>
  <c r="CH113" i="32"/>
  <c r="L113" i="32"/>
  <c r="CH114" i="32"/>
  <c r="L114" i="32"/>
  <c r="CH115" i="32"/>
  <c r="L115" i="32"/>
  <c r="CH116" i="32"/>
  <c r="L116" i="32"/>
  <c r="CH117" i="32"/>
  <c r="L117" i="32"/>
  <c r="CH118" i="32"/>
  <c r="L118" i="32"/>
  <c r="CH119" i="32"/>
  <c r="L119" i="32"/>
  <c r="CH120" i="32"/>
  <c r="L120" i="32"/>
  <c r="CH121" i="32"/>
  <c r="L121" i="32"/>
  <c r="CH122" i="32"/>
  <c r="L122" i="32"/>
  <c r="CH123" i="32"/>
  <c r="L123" i="32"/>
  <c r="CH124" i="32"/>
  <c r="L124" i="32"/>
  <c r="CH125" i="32"/>
  <c r="L125" i="32"/>
  <c r="CH126" i="32"/>
  <c r="L126" i="32"/>
  <c r="CH127" i="32"/>
  <c r="L127" i="32"/>
  <c r="CH128" i="32"/>
  <c r="L128" i="32"/>
  <c r="CH129" i="32"/>
  <c r="L129" i="32"/>
  <c r="CH130" i="32"/>
  <c r="L130" i="32"/>
  <c r="CH131" i="32"/>
  <c r="L131" i="32"/>
  <c r="CH132" i="32"/>
  <c r="L132" i="32"/>
  <c r="CH133" i="32"/>
  <c r="L133" i="32"/>
  <c r="CH134" i="32"/>
  <c r="L134" i="32"/>
  <c r="CH135" i="32"/>
  <c r="L135" i="32"/>
  <c r="CH136" i="32"/>
  <c r="L136" i="32"/>
  <c r="CH137" i="32"/>
  <c r="L137" i="32"/>
  <c r="CH138" i="32"/>
  <c r="L138" i="32"/>
  <c r="CH139" i="32"/>
  <c r="L139" i="32"/>
  <c r="CH140" i="32"/>
  <c r="L140" i="32"/>
  <c r="CH141" i="32"/>
  <c r="L141" i="32"/>
  <c r="CH142" i="32"/>
  <c r="L142" i="32"/>
  <c r="CH143" i="32"/>
  <c r="L143" i="32"/>
  <c r="CH144" i="32"/>
  <c r="L144" i="32"/>
  <c r="CH145" i="32"/>
  <c r="L145" i="32"/>
  <c r="CH146" i="32"/>
  <c r="L146" i="32"/>
  <c r="CH147" i="32"/>
  <c r="L147" i="32"/>
  <c r="CH148" i="32"/>
  <c r="L148" i="32"/>
  <c r="CH149" i="32"/>
  <c r="L149" i="32"/>
  <c r="CH150" i="32"/>
  <c r="L150" i="32"/>
  <c r="CH151" i="32"/>
  <c r="L151" i="32"/>
  <c r="CH152" i="32"/>
  <c r="L152" i="32"/>
  <c r="CH153" i="32"/>
  <c r="L153" i="32"/>
  <c r="CH154" i="32"/>
  <c r="L154" i="32"/>
  <c r="CH155" i="32"/>
  <c r="L155" i="32"/>
  <c r="CH156" i="32"/>
  <c r="L156" i="32"/>
  <c r="CH157" i="32"/>
  <c r="L157" i="32"/>
  <c r="CH158" i="32"/>
  <c r="L158" i="32"/>
  <c r="CH159" i="32"/>
  <c r="L159" i="32"/>
  <c r="CH160" i="32"/>
  <c r="L160" i="32"/>
  <c r="CH161" i="32"/>
  <c r="L161" i="32"/>
  <c r="CH162" i="32"/>
  <c r="L162" i="32"/>
  <c r="CH163" i="32"/>
  <c r="L163" i="32"/>
  <c r="CH164" i="32"/>
  <c r="L164" i="32"/>
  <c r="CH165" i="32"/>
  <c r="L165" i="32"/>
  <c r="CH166" i="32"/>
  <c r="L166" i="32"/>
  <c r="CH167" i="32"/>
  <c r="L167" i="32"/>
  <c r="CH168" i="32"/>
  <c r="L168" i="32"/>
  <c r="CH169" i="32"/>
  <c r="L169" i="32"/>
  <c r="CH170" i="32"/>
  <c r="L170" i="32"/>
  <c r="CH171" i="32"/>
  <c r="L171" i="32"/>
  <c r="CH172" i="32"/>
  <c r="L172" i="32"/>
  <c r="CH173" i="32"/>
  <c r="L173" i="32"/>
  <c r="CH174" i="32"/>
  <c r="L174" i="32"/>
  <c r="CH175" i="32"/>
  <c r="L175" i="32"/>
  <c r="CH176" i="32"/>
  <c r="L176" i="32"/>
  <c r="CH177" i="32"/>
  <c r="L177" i="32"/>
  <c r="CH178" i="32"/>
  <c r="L178" i="32"/>
  <c r="CH179" i="32"/>
  <c r="L179" i="32"/>
  <c r="CH180" i="32"/>
  <c r="L180" i="32"/>
  <c r="CH181" i="32"/>
  <c r="L181" i="32"/>
  <c r="CH182" i="32"/>
  <c r="L182" i="32"/>
  <c r="CH183" i="32"/>
  <c r="L183" i="32"/>
  <c r="CH184" i="32"/>
  <c r="L184" i="32"/>
  <c r="CH185" i="32"/>
  <c r="L185" i="32"/>
  <c r="CH186" i="32"/>
  <c r="L186" i="32"/>
  <c r="CH187" i="32"/>
  <c r="L187" i="32"/>
  <c r="CH188" i="32"/>
  <c r="L188" i="32"/>
  <c r="CH189" i="32"/>
  <c r="L189" i="32"/>
  <c r="CH190" i="32"/>
  <c r="L190" i="32"/>
  <c r="CH191" i="32"/>
  <c r="L191" i="32"/>
  <c r="CH192" i="32"/>
  <c r="L192" i="32"/>
  <c r="CH193" i="32"/>
  <c r="L193" i="32"/>
  <c r="CH194" i="32"/>
  <c r="L194" i="32"/>
  <c r="CH195" i="32"/>
  <c r="L195" i="32"/>
  <c r="CH196" i="32"/>
  <c r="L196" i="32"/>
  <c r="CH197" i="32"/>
  <c r="L197" i="32"/>
  <c r="CH198" i="32"/>
  <c r="L198" i="32"/>
  <c r="CH199" i="32"/>
  <c r="L199" i="32"/>
  <c r="CH200" i="32"/>
  <c r="L200" i="32"/>
  <c r="CH201" i="32"/>
  <c r="L201" i="32"/>
  <c r="CH202" i="32"/>
  <c r="L202" i="32"/>
  <c r="CH203" i="32"/>
  <c r="L203" i="32"/>
  <c r="CH204" i="32"/>
  <c r="L204" i="32"/>
  <c r="CH205" i="32"/>
  <c r="L205" i="32"/>
  <c r="CH206" i="32"/>
  <c r="L206" i="32"/>
  <c r="CH207" i="32"/>
  <c r="L207" i="32"/>
  <c r="CH208" i="32"/>
  <c r="L208" i="32"/>
  <c r="CH209" i="32"/>
  <c r="L209" i="32"/>
  <c r="CH210" i="32"/>
  <c r="L210" i="32"/>
  <c r="CH211" i="32"/>
  <c r="L211" i="32"/>
  <c r="CH212" i="32"/>
  <c r="L212" i="32"/>
  <c r="CH213" i="32"/>
  <c r="L213" i="32"/>
  <c r="CH214" i="32"/>
  <c r="L214" i="32"/>
  <c r="CH215" i="32"/>
  <c r="L215" i="32"/>
  <c r="CH216" i="32"/>
  <c r="L216" i="32"/>
  <c r="CH217" i="32"/>
  <c r="L217" i="32"/>
  <c r="CH218" i="32"/>
  <c r="L218" i="32"/>
  <c r="CH219" i="32"/>
  <c r="L219" i="32"/>
  <c r="CH220" i="32"/>
  <c r="L220" i="32"/>
  <c r="CH221" i="32"/>
  <c r="L221" i="32"/>
  <c r="CH222" i="32"/>
  <c r="L222" i="32"/>
  <c r="CH223" i="32"/>
  <c r="L223" i="32"/>
  <c r="CH224" i="32"/>
  <c r="L224" i="32"/>
  <c r="CH225" i="32"/>
  <c r="L225" i="32"/>
  <c r="CH226" i="32"/>
  <c r="L226" i="32"/>
  <c r="CH227" i="32"/>
  <c r="L227" i="32"/>
  <c r="CH228" i="32"/>
  <c r="L228" i="32"/>
  <c r="CH229" i="32"/>
  <c r="L229" i="32"/>
  <c r="CH230" i="32"/>
  <c r="L230" i="32"/>
  <c r="CH231" i="32"/>
  <c r="L231" i="32"/>
  <c r="CH232" i="32"/>
  <c r="L232" i="32"/>
  <c r="CH233" i="32"/>
  <c r="L233" i="32"/>
  <c r="CH234" i="32"/>
  <c r="L234" i="32"/>
  <c r="CH235" i="32"/>
  <c r="L235" i="32"/>
  <c r="CH236" i="32"/>
  <c r="L236" i="32"/>
  <c r="CH237" i="32"/>
  <c r="L237" i="32"/>
  <c r="CH238" i="32"/>
  <c r="L238" i="32"/>
  <c r="CH239" i="32"/>
  <c r="L239" i="32"/>
  <c r="CH240" i="32"/>
  <c r="L240" i="32"/>
  <c r="CH241" i="32"/>
  <c r="L241" i="32"/>
  <c r="CH242" i="32"/>
  <c r="L242" i="32"/>
  <c r="CH243" i="32"/>
  <c r="L243" i="32"/>
  <c r="CH244" i="32"/>
  <c r="L244" i="32"/>
  <c r="CH245" i="32"/>
  <c r="L245" i="32"/>
  <c r="CH246" i="32"/>
  <c r="L246" i="32"/>
  <c r="CH247" i="32"/>
  <c r="L247" i="32"/>
  <c r="CH248" i="32"/>
  <c r="L248" i="32"/>
  <c r="CH249" i="32"/>
  <c r="L249" i="32"/>
  <c r="CH250" i="32"/>
  <c r="L250" i="32"/>
  <c r="CH251" i="32"/>
  <c r="L251" i="32"/>
  <c r="CH252" i="32"/>
  <c r="L252" i="32"/>
  <c r="CH253" i="32"/>
  <c r="L253" i="32"/>
  <c r="CH254" i="32"/>
  <c r="L254" i="32"/>
  <c r="CH255" i="32"/>
  <c r="L255" i="32"/>
  <c r="CH256" i="32"/>
  <c r="L256" i="32"/>
  <c r="CH257" i="32"/>
  <c r="L257" i="32"/>
  <c r="CH258" i="32"/>
  <c r="L258" i="32"/>
  <c r="CH259" i="32"/>
  <c r="L259" i="32"/>
  <c r="CH260" i="32"/>
  <c r="L260" i="32"/>
  <c r="CH261" i="32"/>
  <c r="L261" i="32"/>
  <c r="CH262" i="32"/>
  <c r="L262" i="32"/>
  <c r="CH263" i="32"/>
  <c r="L263" i="32"/>
  <c r="CH264" i="32"/>
  <c r="L264" i="32"/>
  <c r="CH265" i="32"/>
  <c r="L265" i="32"/>
  <c r="CH266" i="32"/>
  <c r="L266" i="32"/>
  <c r="CH267" i="32"/>
  <c r="L267" i="32"/>
  <c r="CH268" i="32"/>
  <c r="L268" i="32"/>
  <c r="CH269" i="32"/>
  <c r="L269" i="32"/>
  <c r="CH270" i="32"/>
  <c r="L270" i="32"/>
  <c r="CH271" i="32"/>
  <c r="L271" i="32"/>
  <c r="CH272" i="32"/>
  <c r="L272" i="32"/>
  <c r="CH273" i="32"/>
  <c r="L273" i="32"/>
  <c r="CH274" i="32"/>
  <c r="L274" i="32"/>
  <c r="CH275" i="32"/>
  <c r="L275" i="32"/>
  <c r="CH276" i="32"/>
  <c r="L276" i="32"/>
  <c r="CH277" i="32"/>
  <c r="L277" i="32"/>
  <c r="CH278" i="32"/>
  <c r="L278" i="32"/>
  <c r="CH279" i="32"/>
  <c r="L279" i="32"/>
  <c r="CH280" i="32"/>
  <c r="L280" i="32"/>
  <c r="CH281" i="32"/>
  <c r="L281" i="32"/>
  <c r="CH282" i="32"/>
  <c r="L282" i="32"/>
  <c r="CH283" i="32"/>
  <c r="L283" i="32"/>
  <c r="CH284" i="32"/>
  <c r="L284" i="32"/>
  <c r="CH285" i="32"/>
  <c r="L285" i="32"/>
  <c r="CH286" i="32"/>
  <c r="L286" i="32"/>
  <c r="CH287" i="32"/>
  <c r="L287" i="32"/>
  <c r="CH288" i="32"/>
  <c r="L288" i="32"/>
  <c r="CH289" i="32"/>
  <c r="L289" i="32"/>
  <c r="CH290" i="32"/>
  <c r="L290" i="32"/>
  <c r="CH291" i="32"/>
  <c r="L291" i="32"/>
  <c r="CH292" i="32"/>
  <c r="L292" i="32"/>
  <c r="CH293" i="32"/>
  <c r="L293" i="32"/>
  <c r="CH294" i="32"/>
  <c r="L294" i="32"/>
  <c r="CH295" i="32"/>
  <c r="L295" i="32"/>
  <c r="CH296" i="32"/>
  <c r="L296" i="32"/>
  <c r="CH297" i="32"/>
  <c r="L297" i="32"/>
  <c r="CH298" i="32"/>
  <c r="L298" i="32"/>
  <c r="CH299" i="32"/>
  <c r="L299" i="32"/>
  <c r="CH300" i="32"/>
  <c r="L300" i="32"/>
  <c r="CH301" i="32"/>
  <c r="L301" i="32"/>
  <c r="CH302" i="32"/>
  <c r="L302" i="32"/>
  <c r="CH303" i="32"/>
  <c r="L303" i="32"/>
  <c r="CH304" i="32"/>
  <c r="L304" i="32"/>
  <c r="CH305" i="32"/>
  <c r="L305" i="32"/>
  <c r="CH306" i="32"/>
  <c r="L306" i="32"/>
  <c r="CH307" i="32"/>
  <c r="L307" i="32"/>
  <c r="CH308" i="32"/>
  <c r="L308" i="32"/>
  <c r="CH309" i="32"/>
  <c r="L309" i="32"/>
  <c r="CH310" i="32"/>
  <c r="L310" i="32"/>
  <c r="CH311" i="32"/>
  <c r="L311" i="32"/>
  <c r="CH312" i="32"/>
  <c r="L312" i="32"/>
  <c r="CH313" i="32"/>
  <c r="L313" i="32"/>
  <c r="CH314" i="32"/>
  <c r="L314" i="32"/>
  <c r="CH315" i="32"/>
  <c r="L315" i="32"/>
  <c r="CH316" i="32"/>
  <c r="L316" i="32"/>
  <c r="CH317" i="32"/>
  <c r="L317" i="32"/>
  <c r="CH318" i="32"/>
  <c r="L318" i="32"/>
  <c r="CH319" i="32"/>
  <c r="L319" i="32"/>
  <c r="CH320" i="32"/>
  <c r="L320" i="32"/>
  <c r="CH321" i="32"/>
  <c r="L321" i="32"/>
  <c r="CH322" i="32"/>
  <c r="L322" i="32"/>
  <c r="CH323" i="32"/>
  <c r="L323" i="32"/>
  <c r="CH324" i="32"/>
  <c r="L324" i="32"/>
  <c r="CH325" i="32"/>
  <c r="L325" i="32"/>
  <c r="CH326" i="32"/>
  <c r="L326" i="32"/>
  <c r="CH327" i="32"/>
  <c r="L327" i="32"/>
  <c r="CH328" i="32"/>
  <c r="L328" i="32"/>
  <c r="CH329" i="32"/>
  <c r="L329" i="32"/>
  <c r="CH330" i="32"/>
  <c r="L330" i="32"/>
  <c r="CH331" i="32"/>
  <c r="L331" i="32"/>
  <c r="CH332" i="32"/>
  <c r="L332" i="32"/>
  <c r="CH333" i="32"/>
  <c r="L333" i="32"/>
  <c r="CH334" i="32"/>
  <c r="L334" i="32"/>
  <c r="CH335" i="32"/>
  <c r="L335" i="32"/>
  <c r="CH336" i="32"/>
  <c r="L336" i="32"/>
  <c r="CH337" i="32"/>
  <c r="L337" i="32"/>
  <c r="CH338" i="32"/>
  <c r="L338" i="32"/>
  <c r="CH339" i="32"/>
  <c r="L339" i="32"/>
  <c r="CH340" i="32"/>
  <c r="L340" i="32"/>
  <c r="CH341" i="32"/>
  <c r="L341" i="32"/>
  <c r="CH342" i="32"/>
  <c r="L342" i="32"/>
  <c r="CH343" i="32"/>
  <c r="L343" i="32"/>
  <c r="CH344" i="32"/>
  <c r="L344" i="32"/>
  <c r="CH345" i="32"/>
  <c r="L345" i="32"/>
  <c r="CH346" i="32"/>
  <c r="L346" i="32"/>
  <c r="CH347" i="32"/>
  <c r="L347" i="32"/>
  <c r="CH348" i="32"/>
  <c r="L348" i="32"/>
  <c r="CH349" i="32"/>
  <c r="L349" i="32"/>
  <c r="CH350" i="32"/>
  <c r="L350" i="32"/>
  <c r="CH351" i="32"/>
  <c r="L351" i="32"/>
  <c r="CH352" i="32"/>
  <c r="L352" i="32"/>
  <c r="CH353" i="32"/>
  <c r="L353" i="32"/>
  <c r="CH354" i="32"/>
  <c r="L354" i="32"/>
  <c r="CH355" i="32"/>
  <c r="L355" i="32"/>
  <c r="CH356" i="32"/>
  <c r="L356" i="32"/>
  <c r="CH357" i="32"/>
  <c r="L357" i="32"/>
  <c r="CH358" i="32"/>
  <c r="L358" i="32"/>
  <c r="CH359" i="32"/>
  <c r="L359" i="32"/>
  <c r="CH360" i="32"/>
  <c r="L360" i="32"/>
  <c r="CH361" i="32"/>
  <c r="L361" i="32"/>
  <c r="CH362" i="32"/>
  <c r="L362" i="32"/>
  <c r="CH363" i="32"/>
  <c r="L363" i="32"/>
  <c r="CH364" i="32"/>
  <c r="L364" i="32"/>
  <c r="CH365" i="32"/>
  <c r="L365" i="32"/>
  <c r="CH366" i="32"/>
  <c r="L366" i="32"/>
  <c r="CH367" i="32"/>
  <c r="L367" i="32"/>
  <c r="CH368" i="32"/>
  <c r="L368" i="32"/>
  <c r="CH369" i="32"/>
  <c r="L369" i="32"/>
  <c r="CH370" i="32"/>
  <c r="L370" i="32"/>
  <c r="CH371" i="32"/>
  <c r="L371" i="32"/>
  <c r="CH372" i="32"/>
  <c r="L372" i="32"/>
  <c r="CH373" i="32"/>
  <c r="L373" i="32"/>
  <c r="CH374" i="32"/>
  <c r="L374" i="32"/>
  <c r="CH375" i="32"/>
  <c r="L375" i="32"/>
  <c r="CH376" i="32"/>
  <c r="L376" i="32"/>
  <c r="CH377" i="32"/>
  <c r="L377" i="32"/>
  <c r="CH378" i="32"/>
  <c r="L378" i="32"/>
  <c r="CH379" i="32"/>
  <c r="L379" i="32"/>
  <c r="CH380" i="32"/>
  <c r="L380" i="32"/>
  <c r="CH381" i="32"/>
  <c r="L381" i="32"/>
  <c r="CH382" i="32"/>
  <c r="L382" i="32"/>
  <c r="CH383" i="32"/>
  <c r="L383" i="32"/>
  <c r="CH384" i="32"/>
  <c r="L384" i="32"/>
  <c r="CH385" i="32"/>
  <c r="L385" i="32"/>
  <c r="CH386" i="32"/>
  <c r="L386" i="32"/>
  <c r="CH387" i="32"/>
  <c r="L387" i="32"/>
  <c r="CH388" i="32"/>
  <c r="L388" i="32"/>
  <c r="CH389" i="32"/>
  <c r="L389" i="32"/>
  <c r="CH390" i="32"/>
  <c r="L390" i="32"/>
  <c r="CH391" i="32"/>
  <c r="L391" i="32"/>
  <c r="CH392" i="32"/>
  <c r="L392" i="32"/>
  <c r="CH393" i="32"/>
  <c r="L393" i="32"/>
  <c r="CH394" i="32"/>
  <c r="L394" i="32"/>
  <c r="CH395" i="32"/>
  <c r="L395" i="32"/>
  <c r="CH396" i="32"/>
  <c r="L396" i="32"/>
  <c r="CH397" i="32"/>
  <c r="L397" i="32"/>
  <c r="CH398" i="32"/>
  <c r="L398" i="32"/>
  <c r="CH399" i="32"/>
  <c r="L399" i="32"/>
  <c r="CH400" i="32"/>
  <c r="L400" i="32"/>
  <c r="CH401" i="32"/>
  <c r="L401" i="32"/>
  <c r="CH402" i="32"/>
  <c r="L402" i="32"/>
  <c r="CH403" i="32"/>
  <c r="L403" i="32"/>
  <c r="CH404" i="32"/>
  <c r="L404" i="32"/>
  <c r="CH405" i="32"/>
  <c r="L405" i="32"/>
  <c r="CH406" i="32"/>
  <c r="L406" i="32"/>
  <c r="CH407" i="32"/>
  <c r="L407" i="32"/>
  <c r="CH408" i="32"/>
  <c r="L408" i="32"/>
  <c r="CH409" i="32"/>
  <c r="L409" i="32"/>
  <c r="CH410" i="32"/>
  <c r="L410" i="32"/>
  <c r="CH411" i="32"/>
  <c r="L411" i="32"/>
  <c r="CH412" i="32"/>
  <c r="L412" i="32"/>
  <c r="CH413" i="32"/>
  <c r="L413" i="32"/>
  <c r="CH414" i="32"/>
  <c r="L414" i="32"/>
  <c r="CH415" i="32"/>
  <c r="L415" i="32"/>
  <c r="CH416" i="32"/>
  <c r="L416" i="32"/>
  <c r="CH417" i="32"/>
  <c r="L417" i="32"/>
  <c r="CH418" i="32"/>
  <c r="L418" i="32"/>
  <c r="CH419" i="32"/>
  <c r="L419" i="32"/>
  <c r="CH420" i="32"/>
  <c r="L420" i="32"/>
  <c r="CH421" i="32"/>
  <c r="L421" i="32"/>
  <c r="CH422" i="32"/>
  <c r="L422" i="32"/>
  <c r="CH423" i="32"/>
  <c r="L423" i="32"/>
  <c r="CH424" i="32"/>
  <c r="CG6" i="32"/>
  <c r="CG7" i="32"/>
  <c r="CG8" i="32"/>
  <c r="CG9" i="32"/>
  <c r="CG10" i="32"/>
  <c r="CG11" i="32"/>
  <c r="CG12" i="32"/>
  <c r="CG13" i="32"/>
  <c r="CG14" i="32"/>
  <c r="CG15" i="32"/>
  <c r="CG16" i="32"/>
  <c r="CG17" i="32"/>
  <c r="CG18" i="32"/>
  <c r="CG19" i="32"/>
  <c r="CG20" i="32"/>
  <c r="CG21" i="32"/>
  <c r="CG22" i="32"/>
  <c r="CG23" i="32"/>
  <c r="CG24" i="32"/>
  <c r="CG25" i="32"/>
  <c r="CG26" i="32"/>
  <c r="CG27" i="32"/>
  <c r="CG28" i="32"/>
  <c r="CG29" i="32"/>
  <c r="CG30" i="32"/>
  <c r="CG31" i="32"/>
  <c r="CG32" i="32"/>
  <c r="CG33" i="32"/>
  <c r="CG34" i="32"/>
  <c r="CG35" i="32"/>
  <c r="CG36" i="32"/>
  <c r="CG37" i="32"/>
  <c r="CG38" i="32"/>
  <c r="CG39" i="32"/>
  <c r="CG40" i="32"/>
  <c r="CG41" i="32"/>
  <c r="CG42" i="32"/>
  <c r="CG43" i="32"/>
  <c r="CG44" i="32"/>
  <c r="CG45" i="32"/>
  <c r="CG46" i="32"/>
  <c r="CG47" i="32"/>
  <c r="CG48" i="32"/>
  <c r="CG49" i="32"/>
  <c r="CG50" i="32"/>
  <c r="CG51" i="32"/>
  <c r="CG52" i="32"/>
  <c r="CG53" i="32"/>
  <c r="CG54" i="32"/>
  <c r="CG55" i="32"/>
  <c r="CG56" i="32"/>
  <c r="CG57" i="32"/>
  <c r="CG58" i="32"/>
  <c r="CG59" i="32"/>
  <c r="CG60" i="32"/>
  <c r="CG61" i="32"/>
  <c r="CG62" i="32"/>
  <c r="CG63" i="32"/>
  <c r="CG64" i="32"/>
  <c r="CG65" i="32"/>
  <c r="CG66" i="32"/>
  <c r="CG67" i="32"/>
  <c r="CG68" i="32"/>
  <c r="CG69" i="32"/>
  <c r="CG70" i="32"/>
  <c r="CG71" i="32"/>
  <c r="CG72" i="32"/>
  <c r="CG73" i="32"/>
  <c r="CG74" i="32"/>
  <c r="CG75" i="32"/>
  <c r="CG76" i="32"/>
  <c r="CG77" i="32"/>
  <c r="CG78" i="32"/>
  <c r="CG79" i="32"/>
  <c r="CG80" i="32"/>
  <c r="CG81" i="32"/>
  <c r="CG82" i="32"/>
  <c r="CG83" i="32"/>
  <c r="CG84" i="32"/>
  <c r="CG85" i="32"/>
  <c r="CG86" i="32"/>
  <c r="CG87" i="32"/>
  <c r="CG88" i="32"/>
  <c r="CG89" i="32"/>
  <c r="CG90" i="32"/>
  <c r="CG91" i="32"/>
  <c r="CG92" i="32"/>
  <c r="CG93" i="32"/>
  <c r="CG94" i="32"/>
  <c r="CG95" i="32"/>
  <c r="CG96" i="32"/>
  <c r="CG97" i="32"/>
  <c r="CG98" i="32"/>
  <c r="CG99" i="32"/>
  <c r="CG100" i="32"/>
  <c r="CG101" i="32"/>
  <c r="CG102" i="32"/>
  <c r="CG103" i="32"/>
  <c r="CG104" i="32"/>
  <c r="CG105" i="32"/>
  <c r="CG106" i="32"/>
  <c r="CG107" i="32"/>
  <c r="CG108" i="32"/>
  <c r="CG109" i="32"/>
  <c r="CG110" i="32"/>
  <c r="CG111" i="32"/>
  <c r="CG112" i="32"/>
  <c r="CG113" i="32"/>
  <c r="CG114" i="32"/>
  <c r="CG115" i="32"/>
  <c r="CG116" i="32"/>
  <c r="CG117" i="32"/>
  <c r="CG118" i="32"/>
  <c r="CG119" i="32"/>
  <c r="CG120" i="32"/>
  <c r="CG121" i="32"/>
  <c r="CG122" i="32"/>
  <c r="CG123" i="32"/>
  <c r="CG124" i="32"/>
  <c r="CG125" i="32"/>
  <c r="CG126" i="32"/>
  <c r="CG127" i="32"/>
  <c r="CG128" i="32"/>
  <c r="CG129" i="32"/>
  <c r="CG130" i="32"/>
  <c r="CG131" i="32"/>
  <c r="CG132" i="32"/>
  <c r="CG133" i="32"/>
  <c r="CG134" i="32"/>
  <c r="CG135" i="32"/>
  <c r="CG136" i="32"/>
  <c r="CG137" i="32"/>
  <c r="CG138" i="32"/>
  <c r="CG139" i="32"/>
  <c r="CG140" i="32"/>
  <c r="CG141" i="32"/>
  <c r="CG142" i="32"/>
  <c r="CG143" i="32"/>
  <c r="CG144" i="32"/>
  <c r="CG145" i="32"/>
  <c r="CG146" i="32"/>
  <c r="CG147" i="32"/>
  <c r="CG148" i="32"/>
  <c r="CG149" i="32"/>
  <c r="CG150" i="32"/>
  <c r="CG151" i="32"/>
  <c r="CG152" i="32"/>
  <c r="CG153" i="32"/>
  <c r="CG154" i="32"/>
  <c r="CG155" i="32"/>
  <c r="CG156" i="32"/>
  <c r="CG157" i="32"/>
  <c r="CG158" i="32"/>
  <c r="CG159" i="32"/>
  <c r="CG160" i="32"/>
  <c r="CG161" i="32"/>
  <c r="CG162" i="32"/>
  <c r="CG163" i="32"/>
  <c r="CG164" i="32"/>
  <c r="CG165" i="32"/>
  <c r="CG166" i="32"/>
  <c r="CG167" i="32"/>
  <c r="CG168" i="32"/>
  <c r="CG169" i="32"/>
  <c r="CG170" i="32"/>
  <c r="CG171" i="32"/>
  <c r="CG172" i="32"/>
  <c r="CG173" i="32"/>
  <c r="CG174" i="32"/>
  <c r="CG175" i="32"/>
  <c r="CG176" i="32"/>
  <c r="CG177" i="32"/>
  <c r="CG178" i="32"/>
  <c r="CG179" i="32"/>
  <c r="CG180" i="32"/>
  <c r="CG181" i="32"/>
  <c r="CG182" i="32"/>
  <c r="CG183" i="32"/>
  <c r="CG184" i="32"/>
  <c r="CG185" i="32"/>
  <c r="CG186" i="32"/>
  <c r="CG187" i="32"/>
  <c r="CG188" i="32"/>
  <c r="CG189" i="32"/>
  <c r="CG190" i="32"/>
  <c r="CG191" i="32"/>
  <c r="CG192" i="32"/>
  <c r="CG193" i="32"/>
  <c r="CG194" i="32"/>
  <c r="CG195" i="32"/>
  <c r="CG196" i="32"/>
  <c r="CG197" i="32"/>
  <c r="CG198" i="32"/>
  <c r="CG199" i="32"/>
  <c r="CG200" i="32"/>
  <c r="CG201" i="32"/>
  <c r="CG202" i="32"/>
  <c r="CG203" i="32"/>
  <c r="CG204" i="32"/>
  <c r="CG205" i="32"/>
  <c r="CG206" i="32"/>
  <c r="CG207" i="32"/>
  <c r="CG208" i="32"/>
  <c r="CG209" i="32"/>
  <c r="CG210" i="32"/>
  <c r="CG211" i="32"/>
  <c r="CG212" i="32"/>
  <c r="CG213" i="32"/>
  <c r="CG214" i="32"/>
  <c r="CG215" i="32"/>
  <c r="CG216" i="32"/>
  <c r="CG217" i="32"/>
  <c r="CG218" i="32"/>
  <c r="CG219" i="32"/>
  <c r="CG220" i="32"/>
  <c r="CG221" i="32"/>
  <c r="CG222" i="32"/>
  <c r="CG223" i="32"/>
  <c r="CG224" i="32"/>
  <c r="CG225" i="32"/>
  <c r="CG226" i="32"/>
  <c r="CG227" i="32"/>
  <c r="CG228" i="32"/>
  <c r="CG229" i="32"/>
  <c r="CG230" i="32"/>
  <c r="CG231" i="32"/>
  <c r="CG232" i="32"/>
  <c r="CG233" i="32"/>
  <c r="CG234" i="32"/>
  <c r="CG235" i="32"/>
  <c r="CG236" i="32"/>
  <c r="CG237" i="32"/>
  <c r="CG238" i="32"/>
  <c r="CG239" i="32"/>
  <c r="CG240" i="32"/>
  <c r="CG241" i="32"/>
  <c r="CG242" i="32"/>
  <c r="CG243" i="32"/>
  <c r="CG244" i="32"/>
  <c r="CG245" i="32"/>
  <c r="CG246" i="32"/>
  <c r="CG247" i="32"/>
  <c r="CG248" i="32"/>
  <c r="CG249" i="32"/>
  <c r="CG250" i="32"/>
  <c r="CG251" i="32"/>
  <c r="CG252" i="32"/>
  <c r="CG253" i="32"/>
  <c r="CG254" i="32"/>
  <c r="CG255" i="32"/>
  <c r="CG256" i="32"/>
  <c r="CG257" i="32"/>
  <c r="CG258" i="32"/>
  <c r="CG259" i="32"/>
  <c r="CG260" i="32"/>
  <c r="CG261" i="32"/>
  <c r="CG262" i="32"/>
  <c r="CG263" i="32"/>
  <c r="CG264" i="32"/>
  <c r="CG265" i="32"/>
  <c r="CG266" i="32"/>
  <c r="CG267" i="32"/>
  <c r="CG268" i="32"/>
  <c r="CG269" i="32"/>
  <c r="CG270" i="32"/>
  <c r="CG271" i="32"/>
  <c r="CG272" i="32"/>
  <c r="CG273" i="32"/>
  <c r="CG274" i="32"/>
  <c r="CG275" i="32"/>
  <c r="CG276" i="32"/>
  <c r="CG277" i="32"/>
  <c r="CG278" i="32"/>
  <c r="CG279" i="32"/>
  <c r="CG280" i="32"/>
  <c r="CG281" i="32"/>
  <c r="CG282" i="32"/>
  <c r="CG283" i="32"/>
  <c r="CG284" i="32"/>
  <c r="CG285" i="32"/>
  <c r="CG286" i="32"/>
  <c r="CG287" i="32"/>
  <c r="CG288" i="32"/>
  <c r="CG289" i="32"/>
  <c r="CG290" i="32"/>
  <c r="CG291" i="32"/>
  <c r="CG292" i="32"/>
  <c r="CG293" i="32"/>
  <c r="CG294" i="32"/>
  <c r="CG295" i="32"/>
  <c r="CG296" i="32"/>
  <c r="CG297" i="32"/>
  <c r="CG298" i="32"/>
  <c r="CG299" i="32"/>
  <c r="CG300" i="32"/>
  <c r="CG301" i="32"/>
  <c r="CG302" i="32"/>
  <c r="CG303" i="32"/>
  <c r="CG304" i="32"/>
  <c r="CG305" i="32"/>
  <c r="CG306" i="32"/>
  <c r="CG307" i="32"/>
  <c r="CG308" i="32"/>
  <c r="CG309" i="32"/>
  <c r="CG310" i="32"/>
  <c r="CG311" i="32"/>
  <c r="CG312" i="32"/>
  <c r="CG313" i="32"/>
  <c r="CG314" i="32"/>
  <c r="CG315" i="32"/>
  <c r="CG316" i="32"/>
  <c r="CG317" i="32"/>
  <c r="CG318" i="32"/>
  <c r="CG319" i="32"/>
  <c r="CG320" i="32"/>
  <c r="CG321" i="32"/>
  <c r="CG322" i="32"/>
  <c r="CG323" i="32"/>
  <c r="CG324" i="32"/>
  <c r="CG325" i="32"/>
  <c r="CG326" i="32"/>
  <c r="CG327" i="32"/>
  <c r="CG328" i="32"/>
  <c r="CG329" i="32"/>
  <c r="CG330" i="32"/>
  <c r="CG331" i="32"/>
  <c r="CG332" i="32"/>
  <c r="CG333" i="32"/>
  <c r="CG334" i="32"/>
  <c r="CG335" i="32"/>
  <c r="CG336" i="32"/>
  <c r="CG337" i="32"/>
  <c r="CG338" i="32"/>
  <c r="CG339" i="32"/>
  <c r="CG340" i="32"/>
  <c r="CG341" i="32"/>
  <c r="CG342" i="32"/>
  <c r="CG343" i="32"/>
  <c r="CG344" i="32"/>
  <c r="CG345" i="32"/>
  <c r="CG346" i="32"/>
  <c r="CG347" i="32"/>
  <c r="CG348" i="32"/>
  <c r="CG349" i="32"/>
  <c r="CG350" i="32"/>
  <c r="CG351" i="32"/>
  <c r="CG352" i="32"/>
  <c r="CG353" i="32"/>
  <c r="CG354" i="32"/>
  <c r="CG355" i="32"/>
  <c r="CG356" i="32"/>
  <c r="CG357" i="32"/>
  <c r="CG358" i="32"/>
  <c r="CG359" i="32"/>
  <c r="CG360" i="32"/>
  <c r="CG361" i="32"/>
  <c r="CG362" i="32"/>
  <c r="CG363" i="32"/>
  <c r="CG364" i="32"/>
  <c r="CG365" i="32"/>
  <c r="CG366" i="32"/>
  <c r="CG367" i="32"/>
  <c r="CG368" i="32"/>
  <c r="CG369" i="32"/>
  <c r="CG370" i="32"/>
  <c r="CG371" i="32"/>
  <c r="CG372" i="32"/>
  <c r="CG373" i="32"/>
  <c r="CG374" i="32"/>
  <c r="CG375" i="32"/>
  <c r="CG376" i="32"/>
  <c r="CG377" i="32"/>
  <c r="CG378" i="32"/>
  <c r="CG379" i="32"/>
  <c r="CG380" i="32"/>
  <c r="CG381" i="32"/>
  <c r="CG382" i="32"/>
  <c r="CG383" i="32"/>
  <c r="CG384" i="32"/>
  <c r="CG385" i="32"/>
  <c r="CG386" i="32"/>
  <c r="CG387" i="32"/>
  <c r="CG388" i="32"/>
  <c r="CG389" i="32"/>
  <c r="CG390" i="32"/>
  <c r="CG391" i="32"/>
  <c r="CG392" i="32"/>
  <c r="CG393" i="32"/>
  <c r="CG394" i="32"/>
  <c r="CG395" i="32"/>
  <c r="CG396" i="32"/>
  <c r="CG397" i="32"/>
  <c r="CG398" i="32"/>
  <c r="CG399" i="32"/>
  <c r="CG400" i="32"/>
  <c r="CG401" i="32"/>
  <c r="CG402" i="32"/>
  <c r="CG403" i="32"/>
  <c r="CG404" i="32"/>
  <c r="CG405" i="32"/>
  <c r="CG406" i="32"/>
  <c r="CG407" i="32"/>
  <c r="CG408" i="32"/>
  <c r="CG409" i="32"/>
  <c r="CG410" i="32"/>
  <c r="CG411" i="32"/>
  <c r="CG412" i="32"/>
  <c r="CG413" i="32"/>
  <c r="CG414" i="32"/>
  <c r="CG415" i="32"/>
  <c r="CG416" i="32"/>
  <c r="CG417" i="32"/>
  <c r="CG418" i="32"/>
  <c r="CG419" i="32"/>
  <c r="CG420" i="32"/>
  <c r="CG421" i="32"/>
  <c r="CG422" i="32"/>
  <c r="CG423" i="32"/>
  <c r="CG424" i="32"/>
  <c r="BU338" i="32"/>
  <c r="BU6" i="32"/>
  <c r="BU7" i="32"/>
  <c r="BU8" i="32"/>
  <c r="BU9" i="32"/>
  <c r="BU10" i="32"/>
  <c r="BU11" i="32"/>
  <c r="BU12" i="32"/>
  <c r="BU13" i="32"/>
  <c r="BU14" i="32"/>
  <c r="BU15" i="32"/>
  <c r="BU16" i="32"/>
  <c r="BU17" i="32"/>
  <c r="BU18" i="32"/>
  <c r="BU19" i="32"/>
  <c r="BU20" i="32"/>
  <c r="BU21" i="32"/>
  <c r="BU22" i="32"/>
  <c r="BU23" i="32"/>
  <c r="BU24" i="32"/>
  <c r="BU25" i="32"/>
  <c r="BU26" i="32"/>
  <c r="BU27" i="32"/>
  <c r="BU28" i="32"/>
  <c r="BU29" i="32"/>
  <c r="BU30" i="32"/>
  <c r="BU31" i="32"/>
  <c r="BU32" i="32"/>
  <c r="BU33" i="32"/>
  <c r="BU34" i="32"/>
  <c r="BU35" i="32"/>
  <c r="BU36" i="32"/>
  <c r="BU37" i="32"/>
  <c r="BU38" i="32"/>
  <c r="BU39" i="32"/>
  <c r="BU40" i="32"/>
  <c r="BU41" i="32"/>
  <c r="BU42" i="32"/>
  <c r="BU43" i="32"/>
  <c r="BU44" i="32"/>
  <c r="BU45" i="32"/>
  <c r="BU46" i="32"/>
  <c r="BU47" i="32"/>
  <c r="BU48" i="32"/>
  <c r="BU49" i="32"/>
  <c r="BU50" i="32"/>
  <c r="BU51" i="32"/>
  <c r="BU52" i="32"/>
  <c r="BU53" i="32"/>
  <c r="BU54" i="32"/>
  <c r="BU55" i="32"/>
  <c r="BU56" i="32"/>
  <c r="BU57" i="32"/>
  <c r="BU58" i="32"/>
  <c r="BU59" i="32"/>
  <c r="BU60" i="32"/>
  <c r="BU61" i="32"/>
  <c r="BU62" i="32"/>
  <c r="BU63" i="32"/>
  <c r="BU64" i="32"/>
  <c r="BU65" i="32"/>
  <c r="BU66" i="32"/>
  <c r="BU67" i="32"/>
  <c r="BU68" i="32"/>
  <c r="BU69" i="32"/>
  <c r="BU70" i="32"/>
  <c r="BU71" i="32"/>
  <c r="BU72" i="32"/>
  <c r="BU73" i="32"/>
  <c r="BU74" i="32"/>
  <c r="BU75" i="32"/>
  <c r="BU76" i="32"/>
  <c r="BU77" i="32"/>
  <c r="BU78" i="32"/>
  <c r="BU79" i="32"/>
  <c r="BU80" i="32"/>
  <c r="BU81" i="32"/>
  <c r="BU82" i="32"/>
  <c r="BU83" i="32"/>
  <c r="BU84" i="32"/>
  <c r="BU85" i="32"/>
  <c r="BU86" i="32"/>
  <c r="BU87" i="32"/>
  <c r="BU88" i="32"/>
  <c r="BU89" i="32"/>
  <c r="BU90" i="32"/>
  <c r="BU91" i="32"/>
  <c r="BU92" i="32"/>
  <c r="BU93" i="32"/>
  <c r="BU94" i="32"/>
  <c r="BU95" i="32"/>
  <c r="BU96" i="32"/>
  <c r="BU97" i="32"/>
  <c r="BU98" i="32"/>
  <c r="BU99" i="32"/>
  <c r="BU100" i="32"/>
  <c r="BU101" i="32"/>
  <c r="BU102" i="32"/>
  <c r="BU103" i="32"/>
  <c r="BU104" i="32"/>
  <c r="BU105" i="32"/>
  <c r="BU106" i="32"/>
  <c r="BU107" i="32"/>
  <c r="BU108" i="32"/>
  <c r="BU109" i="32"/>
  <c r="BU110" i="32"/>
  <c r="BU111" i="32"/>
  <c r="BU112" i="32"/>
  <c r="BU113" i="32"/>
  <c r="BU114" i="32"/>
  <c r="BU115" i="32"/>
  <c r="BU116" i="32"/>
  <c r="BU117" i="32"/>
  <c r="BU118" i="32"/>
  <c r="BU119" i="32"/>
  <c r="BU120" i="32"/>
  <c r="BU121" i="32"/>
  <c r="BU122" i="32"/>
  <c r="BU123" i="32"/>
  <c r="BU124" i="32"/>
  <c r="BU125" i="32"/>
  <c r="BU126" i="32"/>
  <c r="BU127" i="32"/>
  <c r="BU128" i="32"/>
  <c r="BU129" i="32"/>
  <c r="BU130" i="32"/>
  <c r="BU131" i="32"/>
  <c r="BU132" i="32"/>
  <c r="BU133" i="32"/>
  <c r="BU134" i="32"/>
  <c r="BU135" i="32"/>
  <c r="BU136" i="32"/>
  <c r="BU137" i="32"/>
  <c r="BU138" i="32"/>
  <c r="BU139" i="32"/>
  <c r="BU140" i="32"/>
  <c r="BU141" i="32"/>
  <c r="BU142" i="32"/>
  <c r="BU143" i="32"/>
  <c r="BU144" i="32"/>
  <c r="BU145" i="32"/>
  <c r="BU146" i="32"/>
  <c r="BU147" i="32"/>
  <c r="BU148" i="32"/>
  <c r="BU149" i="32"/>
  <c r="BU150" i="32"/>
  <c r="BU151" i="32"/>
  <c r="BU152" i="32"/>
  <c r="BU153" i="32"/>
  <c r="BU154" i="32"/>
  <c r="BU155" i="32"/>
  <c r="BU156" i="32"/>
  <c r="BU157" i="32"/>
  <c r="BU158" i="32"/>
  <c r="BU159" i="32"/>
  <c r="BU160" i="32"/>
  <c r="BU161" i="32"/>
  <c r="BU162" i="32"/>
  <c r="BU163" i="32"/>
  <c r="BU164" i="32"/>
  <c r="BU165" i="32"/>
  <c r="BU166" i="32"/>
  <c r="BU167" i="32"/>
  <c r="BU168" i="32"/>
  <c r="BU169" i="32"/>
  <c r="BU170" i="32"/>
  <c r="BU171" i="32"/>
  <c r="BU172" i="32"/>
  <c r="BU173" i="32"/>
  <c r="BU174" i="32"/>
  <c r="BU175" i="32"/>
  <c r="BU176" i="32"/>
  <c r="BU177" i="32"/>
  <c r="BU178" i="32"/>
  <c r="BU179" i="32"/>
  <c r="BU180" i="32"/>
  <c r="BU181" i="32"/>
  <c r="BU182" i="32"/>
  <c r="BU183" i="32"/>
  <c r="BU184" i="32"/>
  <c r="BU185" i="32"/>
  <c r="BU186" i="32"/>
  <c r="BU187" i="32"/>
  <c r="BU188" i="32"/>
  <c r="BU189" i="32"/>
  <c r="BU190" i="32"/>
  <c r="BU191" i="32"/>
  <c r="BU192" i="32"/>
  <c r="BU193" i="32"/>
  <c r="BU194" i="32"/>
  <c r="BU195" i="32"/>
  <c r="BU196" i="32"/>
  <c r="BU197" i="32"/>
  <c r="BU198" i="32"/>
  <c r="BU199" i="32"/>
  <c r="BU200" i="32"/>
  <c r="BU201" i="32"/>
  <c r="BU202" i="32"/>
  <c r="BU203" i="32"/>
  <c r="BU204" i="32"/>
  <c r="BU205" i="32"/>
  <c r="BU206" i="32"/>
  <c r="BU207" i="32"/>
  <c r="BU208" i="32"/>
  <c r="BU209" i="32"/>
  <c r="BU210" i="32"/>
  <c r="BU211" i="32"/>
  <c r="BU212" i="32"/>
  <c r="BU213" i="32"/>
  <c r="BU214" i="32"/>
  <c r="BU215" i="32"/>
  <c r="BU216" i="32"/>
  <c r="BU217" i="32"/>
  <c r="BU218" i="32"/>
  <c r="BU219" i="32"/>
  <c r="BU220" i="32"/>
  <c r="BU221" i="32"/>
  <c r="BU222" i="32"/>
  <c r="BU223" i="32"/>
  <c r="BU224" i="32"/>
  <c r="BU225" i="32"/>
  <c r="BU226" i="32"/>
  <c r="BU227" i="32"/>
  <c r="BU228" i="32"/>
  <c r="BU229" i="32"/>
  <c r="BU230" i="32"/>
  <c r="BU231" i="32"/>
  <c r="BU232" i="32"/>
  <c r="BU233" i="32"/>
  <c r="BU234" i="32"/>
  <c r="BU235" i="32"/>
  <c r="BU236" i="32"/>
  <c r="BU237" i="32"/>
  <c r="BU238" i="32"/>
  <c r="BU239" i="32"/>
  <c r="BU240" i="32"/>
  <c r="BU241" i="32"/>
  <c r="BU242" i="32"/>
  <c r="BU243" i="32"/>
  <c r="BU244" i="32"/>
  <c r="BU245" i="32"/>
  <c r="BU246" i="32"/>
  <c r="BU247" i="32"/>
  <c r="BU248" i="32"/>
  <c r="BU249" i="32"/>
  <c r="BU250" i="32"/>
  <c r="BU251" i="32"/>
  <c r="BU252" i="32"/>
  <c r="BU253" i="32"/>
  <c r="BU254" i="32"/>
  <c r="BU255" i="32"/>
  <c r="BU256" i="32"/>
  <c r="BU257" i="32"/>
  <c r="BU258" i="32"/>
  <c r="BU259" i="32"/>
  <c r="BU260" i="32"/>
  <c r="BU261" i="32"/>
  <c r="BU262" i="32"/>
  <c r="BU263" i="32"/>
  <c r="BU264" i="32"/>
  <c r="BU265" i="32"/>
  <c r="BU266" i="32"/>
  <c r="BU267" i="32"/>
  <c r="BU268" i="32"/>
  <c r="BU269" i="32"/>
  <c r="BU270" i="32"/>
  <c r="BU271" i="32"/>
  <c r="BU272" i="32"/>
  <c r="BU273" i="32"/>
  <c r="BU274" i="32"/>
  <c r="BU275" i="32"/>
  <c r="BU276" i="32"/>
  <c r="BU277" i="32"/>
  <c r="BU278" i="32"/>
  <c r="BU279" i="32"/>
  <c r="BU280" i="32"/>
  <c r="BU281" i="32"/>
  <c r="BU282" i="32"/>
  <c r="BU283" i="32"/>
  <c r="BU284" i="32"/>
  <c r="BU285" i="32"/>
  <c r="BU286" i="32"/>
  <c r="BU287" i="32"/>
  <c r="BU288" i="32"/>
  <c r="BU289" i="32"/>
  <c r="BU290" i="32"/>
  <c r="BU291" i="32"/>
  <c r="BU292" i="32"/>
  <c r="BU293" i="32"/>
  <c r="BU294" i="32"/>
  <c r="BU295" i="32"/>
  <c r="BU296" i="32"/>
  <c r="BU297" i="32"/>
  <c r="BU298" i="32"/>
  <c r="BU299" i="32"/>
  <c r="BU300" i="32"/>
  <c r="BU301" i="32"/>
  <c r="BU302" i="32"/>
  <c r="BU303" i="32"/>
  <c r="BU304" i="32"/>
  <c r="BU305" i="32"/>
  <c r="BU306" i="32"/>
  <c r="BU307" i="32"/>
  <c r="BU308" i="32"/>
  <c r="BU309" i="32"/>
  <c r="BU310" i="32"/>
  <c r="BU311" i="32"/>
  <c r="BU312" i="32"/>
  <c r="BU313" i="32"/>
  <c r="BU314" i="32"/>
  <c r="BU315" i="32"/>
  <c r="BU316" i="32"/>
  <c r="BU317" i="32"/>
  <c r="BU318" i="32"/>
  <c r="BU319" i="32"/>
  <c r="BU320" i="32"/>
  <c r="BU321" i="32"/>
  <c r="BU322" i="32"/>
  <c r="BU323" i="32"/>
  <c r="BU324" i="32"/>
  <c r="BU325" i="32"/>
  <c r="BU326" i="32"/>
  <c r="BU327" i="32"/>
  <c r="BU328" i="32"/>
  <c r="BU329" i="32"/>
  <c r="BU330" i="32"/>
  <c r="BU331" i="32"/>
  <c r="BU332" i="32"/>
  <c r="BU333" i="32"/>
  <c r="BU334" i="32"/>
  <c r="BU335" i="32"/>
  <c r="BU336" i="32"/>
  <c r="BU337" i="32"/>
  <c r="BU339" i="32"/>
  <c r="BU5" i="32"/>
  <c r="BN6" i="32"/>
  <c r="BN7" i="32"/>
  <c r="BN8" i="32"/>
  <c r="BN9" i="32"/>
  <c r="BN10" i="32"/>
  <c r="BN11" i="32"/>
  <c r="BN12" i="32"/>
  <c r="BN13" i="32"/>
  <c r="BN14" i="32"/>
  <c r="BN15" i="32"/>
  <c r="BN16" i="32"/>
  <c r="BN17" i="32"/>
  <c r="BN18" i="32"/>
  <c r="BN19" i="32"/>
  <c r="BN20" i="32"/>
  <c r="BN21" i="32"/>
  <c r="BN22" i="32"/>
  <c r="BN23" i="32"/>
  <c r="BN24" i="32"/>
  <c r="BN25" i="32"/>
  <c r="BN26" i="32"/>
  <c r="BN27" i="32"/>
  <c r="BN28" i="32"/>
  <c r="BN29" i="32"/>
  <c r="BN30" i="32"/>
  <c r="BN31" i="32"/>
  <c r="BN32" i="32"/>
  <c r="BN33" i="32"/>
  <c r="BN34" i="32"/>
  <c r="BN35" i="32"/>
  <c r="BN36" i="32"/>
  <c r="BN37" i="32"/>
  <c r="BN38" i="32"/>
  <c r="BN39" i="32"/>
  <c r="BN40" i="32"/>
  <c r="BN41" i="32"/>
  <c r="BN42" i="32"/>
  <c r="BN43" i="32"/>
  <c r="BN44" i="32"/>
  <c r="BN45" i="32"/>
  <c r="BN46" i="32"/>
  <c r="BN47" i="32"/>
  <c r="BN48" i="32"/>
  <c r="BN49" i="32"/>
  <c r="BN50" i="32"/>
  <c r="BN51" i="32"/>
  <c r="BN52" i="32"/>
  <c r="BN53" i="32"/>
  <c r="BN54" i="32"/>
  <c r="BN55" i="32"/>
  <c r="BN56" i="32"/>
  <c r="BN57" i="32"/>
  <c r="BN58" i="32"/>
  <c r="BN59" i="32"/>
  <c r="BN60" i="32"/>
  <c r="BN61" i="32"/>
  <c r="BN62" i="32"/>
  <c r="BN63" i="32"/>
  <c r="BN64" i="32"/>
  <c r="BN65" i="32"/>
  <c r="BN66" i="32"/>
  <c r="BN67" i="32"/>
  <c r="BN68" i="32"/>
  <c r="BN69" i="32"/>
  <c r="BN70" i="32"/>
  <c r="BN71" i="32"/>
  <c r="BN72" i="32"/>
  <c r="BN73" i="32"/>
  <c r="BN74" i="32"/>
  <c r="BN75" i="32"/>
  <c r="BN76" i="32"/>
  <c r="BN77" i="32"/>
  <c r="BN78" i="32"/>
  <c r="BN79" i="32"/>
  <c r="BN80" i="32"/>
  <c r="BN81" i="32"/>
  <c r="BN82" i="32"/>
  <c r="BN83" i="32"/>
  <c r="BN84" i="32"/>
  <c r="BN85" i="32"/>
  <c r="BN86" i="32"/>
  <c r="BN87" i="32"/>
  <c r="BN88" i="32"/>
  <c r="BN89" i="32"/>
  <c r="BN90" i="32"/>
  <c r="BN91" i="32"/>
  <c r="BN92" i="32"/>
  <c r="BN93" i="32"/>
  <c r="BN94" i="32"/>
  <c r="BN95" i="32"/>
  <c r="BN96" i="32"/>
  <c r="BN97" i="32"/>
  <c r="BN98" i="32"/>
  <c r="BN99" i="32"/>
  <c r="BN100" i="32"/>
  <c r="BN101" i="32"/>
  <c r="BN102" i="32"/>
  <c r="BN103" i="32"/>
  <c r="BN104" i="32"/>
  <c r="BN105" i="32"/>
  <c r="BN106" i="32"/>
  <c r="BN107" i="32"/>
  <c r="BN108" i="32"/>
  <c r="BN109" i="32"/>
  <c r="BN110" i="32"/>
  <c r="BN111" i="32"/>
  <c r="BN112" i="32"/>
  <c r="BN113" i="32"/>
  <c r="BN114" i="32"/>
  <c r="BN115" i="32"/>
  <c r="BN116" i="32"/>
  <c r="BN117" i="32"/>
  <c r="BN118" i="32"/>
  <c r="BN119" i="32"/>
  <c r="BN120" i="32"/>
  <c r="BN121" i="32"/>
  <c r="BN122" i="32"/>
  <c r="BN123" i="32"/>
  <c r="BN124" i="32"/>
  <c r="BN125" i="32"/>
  <c r="BN126" i="32"/>
  <c r="BN127" i="32"/>
  <c r="BN128" i="32"/>
  <c r="BN129" i="32"/>
  <c r="BN130" i="32"/>
  <c r="BN131" i="32"/>
  <c r="BN132" i="32"/>
  <c r="BN133" i="32"/>
  <c r="BN134" i="32"/>
  <c r="BN135" i="32"/>
  <c r="BN136" i="32"/>
  <c r="BN137" i="32"/>
  <c r="BN138" i="32"/>
  <c r="BN139" i="32"/>
  <c r="BN140" i="32"/>
  <c r="BN141" i="32"/>
  <c r="BN142" i="32"/>
  <c r="BN143" i="32"/>
  <c r="BN144" i="32"/>
  <c r="BN145" i="32"/>
  <c r="BN146" i="32"/>
  <c r="BN147" i="32"/>
  <c r="BN148" i="32"/>
  <c r="BN149" i="32"/>
  <c r="BN150" i="32"/>
  <c r="BN151" i="32"/>
  <c r="BN152" i="32"/>
  <c r="BN153" i="32"/>
  <c r="BN154" i="32"/>
  <c r="BN155" i="32"/>
  <c r="BN156" i="32"/>
  <c r="BN157" i="32"/>
  <c r="BN158" i="32"/>
  <c r="BN159" i="32"/>
  <c r="BN160" i="32"/>
  <c r="BN161" i="32"/>
  <c r="BN162" i="32"/>
  <c r="BN163" i="32"/>
  <c r="BN164" i="32"/>
  <c r="BN165" i="32"/>
  <c r="BN166" i="32"/>
  <c r="BN167" i="32"/>
  <c r="BN168" i="32"/>
  <c r="BN169" i="32"/>
  <c r="BN170" i="32"/>
  <c r="BN171" i="32"/>
  <c r="BN172" i="32"/>
  <c r="BN173" i="32"/>
  <c r="BN174" i="32"/>
  <c r="BN175" i="32"/>
  <c r="BN176" i="32"/>
  <c r="BN177" i="32"/>
  <c r="BN178" i="32"/>
  <c r="BN179" i="32"/>
  <c r="BN180" i="32"/>
  <c r="BN181" i="32"/>
  <c r="BN182" i="32"/>
  <c r="BN183" i="32"/>
  <c r="BN184" i="32"/>
  <c r="BN185" i="32"/>
  <c r="BN186" i="32"/>
  <c r="BN187" i="32"/>
  <c r="BN188" i="32"/>
  <c r="BN189" i="32"/>
  <c r="BN190" i="32"/>
  <c r="BN191" i="32"/>
  <c r="BN192" i="32"/>
  <c r="BN193" i="32"/>
  <c r="BN194" i="32"/>
  <c r="BN195" i="32"/>
  <c r="BN196" i="32"/>
  <c r="BN197" i="32"/>
  <c r="BN198" i="32"/>
  <c r="BN199" i="32"/>
  <c r="BN200" i="32"/>
  <c r="BN201" i="32"/>
  <c r="BN202" i="32"/>
  <c r="BN203" i="32"/>
  <c r="BN204" i="32"/>
  <c r="BN205" i="32"/>
  <c r="BN206" i="32"/>
  <c r="BN207" i="32"/>
  <c r="BN208" i="32"/>
  <c r="BN209" i="32"/>
  <c r="BN210" i="32"/>
  <c r="BN211" i="32"/>
  <c r="BN212" i="32"/>
  <c r="BN213" i="32"/>
  <c r="BN214" i="32"/>
  <c r="BN215" i="32"/>
  <c r="BN216" i="32"/>
  <c r="BN217" i="32"/>
  <c r="BN218" i="32"/>
  <c r="BN219" i="32"/>
  <c r="BN220" i="32"/>
  <c r="BN221" i="32"/>
  <c r="BN222" i="32"/>
  <c r="BN223" i="32"/>
  <c r="BN224" i="32"/>
  <c r="BN225" i="32"/>
  <c r="BN226" i="32"/>
  <c r="BN227" i="32"/>
  <c r="BN228" i="32"/>
  <c r="BN229" i="32"/>
  <c r="BN230" i="32"/>
  <c r="BN231" i="32"/>
  <c r="BN232" i="32"/>
  <c r="BN233" i="32"/>
  <c r="BN234" i="32"/>
  <c r="BN235" i="32"/>
  <c r="BN236" i="32"/>
  <c r="BN237" i="32"/>
  <c r="BN238" i="32"/>
  <c r="BN239" i="32"/>
  <c r="BN240" i="32"/>
  <c r="BN241" i="32"/>
  <c r="BN242" i="32"/>
  <c r="BN243" i="32"/>
  <c r="BN244" i="32"/>
  <c r="BN245" i="32"/>
  <c r="BN246" i="32"/>
  <c r="BN247" i="32"/>
  <c r="BN248" i="32"/>
  <c r="BN249" i="32"/>
  <c r="BN250" i="32"/>
  <c r="BN251" i="32"/>
  <c r="BN252" i="32"/>
  <c r="BN253" i="32"/>
  <c r="BN254" i="32"/>
  <c r="BN255" i="32"/>
  <c r="BN256" i="32"/>
  <c r="BN257" i="32"/>
  <c r="BN258" i="32"/>
  <c r="BN259" i="32"/>
  <c r="BN260" i="32"/>
  <c r="BN261" i="32"/>
  <c r="BN262" i="32"/>
  <c r="BN263" i="32"/>
  <c r="BN264" i="32"/>
  <c r="BN265" i="32"/>
  <c r="BN266" i="32"/>
  <c r="BN267" i="32"/>
  <c r="BN268" i="32"/>
  <c r="BN269" i="32"/>
  <c r="BN270" i="32"/>
  <c r="BN271" i="32"/>
  <c r="BN272" i="32"/>
  <c r="BN273" i="32"/>
  <c r="BN274" i="32"/>
  <c r="BN275" i="32"/>
  <c r="BN276" i="32"/>
  <c r="BN277" i="32"/>
  <c r="BN278" i="32"/>
  <c r="BN279" i="32"/>
  <c r="BN280" i="32"/>
  <c r="BN281" i="32"/>
  <c r="BN282" i="32"/>
  <c r="BN283" i="32"/>
  <c r="BN284" i="32"/>
  <c r="BN285" i="32"/>
  <c r="BN286" i="32"/>
  <c r="BN287" i="32"/>
  <c r="BN288" i="32"/>
  <c r="BN289" i="32"/>
  <c r="BN290" i="32"/>
  <c r="BN291" i="32"/>
  <c r="BN292" i="32"/>
  <c r="BN293" i="32"/>
  <c r="BN294" i="32"/>
  <c r="BN295" i="32"/>
  <c r="BN296" i="32"/>
  <c r="BN297" i="32"/>
  <c r="BN298" i="32"/>
  <c r="BN299" i="32"/>
  <c r="BN300" i="32"/>
  <c r="BN301" i="32"/>
  <c r="BN302" i="32"/>
  <c r="BN303" i="32"/>
  <c r="BN304" i="32"/>
  <c r="BN305" i="32"/>
  <c r="BN306" i="32"/>
  <c r="BN307" i="32"/>
  <c r="BN308" i="32"/>
  <c r="BN309" i="32"/>
  <c r="BN310" i="32"/>
  <c r="BN311" i="32"/>
  <c r="BN312" i="32"/>
  <c r="BN313" i="32"/>
  <c r="BN314" i="32"/>
  <c r="BN315" i="32"/>
  <c r="BN316" i="32"/>
  <c r="BN317" i="32"/>
  <c r="BN318" i="32"/>
  <c r="BN319" i="32"/>
  <c r="BN320" i="32"/>
  <c r="BN321" i="32"/>
  <c r="BN322" i="32"/>
  <c r="BN323" i="32"/>
  <c r="BN324" i="32"/>
  <c r="BN325" i="32"/>
  <c r="BN326" i="32"/>
  <c r="BN327" i="32"/>
  <c r="BN328" i="32"/>
  <c r="BN329" i="32"/>
  <c r="BN330" i="32"/>
  <c r="BN331" i="32"/>
  <c r="BN332" i="32"/>
  <c r="BN333" i="32"/>
  <c r="BN334" i="32"/>
  <c r="BN335" i="32"/>
  <c r="BN336" i="32"/>
  <c r="BN337" i="32"/>
  <c r="BN338" i="32"/>
  <c r="BN339" i="32"/>
  <c r="BN5" i="32"/>
  <c r="BM6" i="32"/>
  <c r="BM7" i="32"/>
  <c r="BM8" i="32"/>
  <c r="BM9" i="32"/>
  <c r="BM10" i="32"/>
  <c r="BM11" i="32"/>
  <c r="BM12" i="32"/>
  <c r="BM13" i="32"/>
  <c r="BM14" i="32"/>
  <c r="BM15" i="32"/>
  <c r="BM16" i="32"/>
  <c r="BM17" i="32"/>
  <c r="BM18" i="32"/>
  <c r="BM19" i="32"/>
  <c r="BM20" i="32"/>
  <c r="BM21" i="32"/>
  <c r="BM22" i="32"/>
  <c r="BM23" i="32"/>
  <c r="BM24" i="32"/>
  <c r="BM25" i="32"/>
  <c r="BM26" i="32"/>
  <c r="BM27" i="32"/>
  <c r="BM28" i="32"/>
  <c r="BM29" i="32"/>
  <c r="BM30" i="32"/>
  <c r="BM31" i="32"/>
  <c r="BM32" i="32"/>
  <c r="BM33" i="32"/>
  <c r="BM34" i="32"/>
  <c r="BM35" i="32"/>
  <c r="BM36" i="32"/>
  <c r="BM37" i="32"/>
  <c r="BM38" i="32"/>
  <c r="BM39" i="32"/>
  <c r="BM40" i="32"/>
  <c r="BM41" i="32"/>
  <c r="BM42" i="32"/>
  <c r="BM43" i="32"/>
  <c r="BM44" i="32"/>
  <c r="BM45" i="32"/>
  <c r="BM46" i="32"/>
  <c r="BM47" i="32"/>
  <c r="BM48" i="32"/>
  <c r="BM49" i="32"/>
  <c r="BM50" i="32"/>
  <c r="BM51" i="32"/>
  <c r="BM52" i="32"/>
  <c r="BM53" i="32"/>
  <c r="BM54" i="32"/>
  <c r="BM55" i="32"/>
  <c r="BM56" i="32"/>
  <c r="BM57" i="32"/>
  <c r="BM58" i="32"/>
  <c r="BM59" i="32"/>
  <c r="BM60" i="32"/>
  <c r="BM61" i="32"/>
  <c r="BM62" i="32"/>
  <c r="BM63" i="32"/>
  <c r="BM64" i="32"/>
  <c r="BM65" i="32"/>
  <c r="BM66" i="32"/>
  <c r="BM67" i="32"/>
  <c r="BM68" i="32"/>
  <c r="BM69" i="32"/>
  <c r="BM70" i="32"/>
  <c r="BM71" i="32"/>
  <c r="BM72" i="32"/>
  <c r="BM73" i="32"/>
  <c r="BM74" i="32"/>
  <c r="BM75" i="32"/>
  <c r="BM76" i="32"/>
  <c r="BM77" i="32"/>
  <c r="BM78" i="32"/>
  <c r="BM79" i="32"/>
  <c r="BM80" i="32"/>
  <c r="BM81" i="32"/>
  <c r="BM82" i="32"/>
  <c r="BM83" i="32"/>
  <c r="BM84" i="32"/>
  <c r="BM85" i="32"/>
  <c r="BM86" i="32"/>
  <c r="BM87" i="32"/>
  <c r="BM88" i="32"/>
  <c r="BM89" i="32"/>
  <c r="BM90" i="32"/>
  <c r="BM91" i="32"/>
  <c r="BM92" i="32"/>
  <c r="BM93" i="32"/>
  <c r="BM94" i="32"/>
  <c r="BM95" i="32"/>
  <c r="BM96" i="32"/>
  <c r="BM97" i="32"/>
  <c r="BM98" i="32"/>
  <c r="BM99" i="32"/>
  <c r="BM100" i="32"/>
  <c r="BM101" i="32"/>
  <c r="BM102" i="32"/>
  <c r="BM103" i="32"/>
  <c r="BM104" i="32"/>
  <c r="BM105" i="32"/>
  <c r="BM106" i="32"/>
  <c r="BM107" i="32"/>
  <c r="BM108" i="32"/>
  <c r="BM109" i="32"/>
  <c r="BM110" i="32"/>
  <c r="BM111" i="32"/>
  <c r="BM112" i="32"/>
  <c r="BM113" i="32"/>
  <c r="BM114" i="32"/>
  <c r="BM115" i="32"/>
  <c r="BM116" i="32"/>
  <c r="BM117" i="32"/>
  <c r="BM118" i="32"/>
  <c r="BM119" i="32"/>
  <c r="BM120" i="32"/>
  <c r="BM121" i="32"/>
  <c r="BM122" i="32"/>
  <c r="BM123" i="32"/>
  <c r="BM124" i="32"/>
  <c r="BM125" i="32"/>
  <c r="BM126" i="32"/>
  <c r="BM127" i="32"/>
  <c r="BM128" i="32"/>
  <c r="BM129" i="32"/>
  <c r="BM130" i="32"/>
  <c r="BM131" i="32"/>
  <c r="BM132" i="32"/>
  <c r="BM133" i="32"/>
  <c r="BM134" i="32"/>
  <c r="BM135" i="32"/>
  <c r="BM136" i="32"/>
  <c r="BM137" i="32"/>
  <c r="BM138" i="32"/>
  <c r="BM139" i="32"/>
  <c r="BM140" i="32"/>
  <c r="BM141" i="32"/>
  <c r="BM142" i="32"/>
  <c r="BM143" i="32"/>
  <c r="BM144" i="32"/>
  <c r="BM145" i="32"/>
  <c r="BM146" i="32"/>
  <c r="BM147" i="32"/>
  <c r="BM148" i="32"/>
  <c r="BM149" i="32"/>
  <c r="BM150" i="32"/>
  <c r="BM151" i="32"/>
  <c r="BM152" i="32"/>
  <c r="BM153" i="32"/>
  <c r="BM154" i="32"/>
  <c r="BM155" i="32"/>
  <c r="BM156" i="32"/>
  <c r="BM157" i="32"/>
  <c r="BM158" i="32"/>
  <c r="BM159" i="32"/>
  <c r="BM160" i="32"/>
  <c r="BM161" i="32"/>
  <c r="BM162" i="32"/>
  <c r="BM163" i="32"/>
  <c r="BM164" i="32"/>
  <c r="BM165" i="32"/>
  <c r="BM166" i="32"/>
  <c r="BM167" i="32"/>
  <c r="BM168" i="32"/>
  <c r="BM169" i="32"/>
  <c r="BM170" i="32"/>
  <c r="BM171" i="32"/>
  <c r="BM172" i="32"/>
  <c r="BM173" i="32"/>
  <c r="BM174" i="32"/>
  <c r="BM175" i="32"/>
  <c r="BM176" i="32"/>
  <c r="BM177" i="32"/>
  <c r="BM178" i="32"/>
  <c r="BM179" i="32"/>
  <c r="BM180" i="32"/>
  <c r="BM181" i="32"/>
  <c r="BM182" i="32"/>
  <c r="BM183" i="32"/>
  <c r="BM184" i="32"/>
  <c r="BM185" i="32"/>
  <c r="BM186" i="32"/>
  <c r="BM187" i="32"/>
  <c r="BM188" i="32"/>
  <c r="BM189" i="32"/>
  <c r="BM190" i="32"/>
  <c r="BM191" i="32"/>
  <c r="BM192" i="32"/>
  <c r="BM193" i="32"/>
  <c r="BM194" i="32"/>
  <c r="BM195" i="32"/>
  <c r="BM196" i="32"/>
  <c r="BM197" i="32"/>
  <c r="BM198" i="32"/>
  <c r="BM199" i="32"/>
  <c r="BM200" i="32"/>
  <c r="BM201" i="32"/>
  <c r="BM202" i="32"/>
  <c r="BM203" i="32"/>
  <c r="BM204" i="32"/>
  <c r="BM205" i="32"/>
  <c r="BM206" i="32"/>
  <c r="BM207" i="32"/>
  <c r="BM208" i="32"/>
  <c r="BM209" i="32"/>
  <c r="BM210" i="32"/>
  <c r="BM211" i="32"/>
  <c r="BM212" i="32"/>
  <c r="BM213" i="32"/>
  <c r="BM214" i="32"/>
  <c r="BM215" i="32"/>
  <c r="BM216" i="32"/>
  <c r="BM217" i="32"/>
  <c r="BM218" i="32"/>
  <c r="BM219" i="32"/>
  <c r="BM220" i="32"/>
  <c r="BM221" i="32"/>
  <c r="BM222" i="32"/>
  <c r="BM223" i="32"/>
  <c r="BM224" i="32"/>
  <c r="BM225" i="32"/>
  <c r="BM226" i="32"/>
  <c r="BM227" i="32"/>
  <c r="BM228" i="32"/>
  <c r="BM229" i="32"/>
  <c r="BM230" i="32"/>
  <c r="BM231" i="32"/>
  <c r="BM232" i="32"/>
  <c r="BM233" i="32"/>
  <c r="BM234" i="32"/>
  <c r="BM235" i="32"/>
  <c r="BM236" i="32"/>
  <c r="BM237" i="32"/>
  <c r="BM238" i="32"/>
  <c r="BM239" i="32"/>
  <c r="BM240" i="32"/>
  <c r="BM241" i="32"/>
  <c r="BM242" i="32"/>
  <c r="BM243" i="32"/>
  <c r="BM244" i="32"/>
  <c r="BM245" i="32"/>
  <c r="BM246" i="32"/>
  <c r="BM247" i="32"/>
  <c r="BM248" i="32"/>
  <c r="BM249" i="32"/>
  <c r="BM250" i="32"/>
  <c r="BM251" i="32"/>
  <c r="BM252" i="32"/>
  <c r="BM253" i="32"/>
  <c r="BM254" i="32"/>
  <c r="BM255" i="32"/>
  <c r="BM256" i="32"/>
  <c r="BM257" i="32"/>
  <c r="BM258" i="32"/>
  <c r="BM259" i="32"/>
  <c r="BM260" i="32"/>
  <c r="BM261" i="32"/>
  <c r="BM262" i="32"/>
  <c r="BM263" i="32"/>
  <c r="BM264" i="32"/>
  <c r="BM265" i="32"/>
  <c r="BM266" i="32"/>
  <c r="BM267" i="32"/>
  <c r="BM268" i="32"/>
  <c r="BM269" i="32"/>
  <c r="BM270" i="32"/>
  <c r="BM271" i="32"/>
  <c r="BM272" i="32"/>
  <c r="BM273" i="32"/>
  <c r="BM274" i="32"/>
  <c r="BM275" i="32"/>
  <c r="BM276" i="32"/>
  <c r="BM277" i="32"/>
  <c r="BM278" i="32"/>
  <c r="BM279" i="32"/>
  <c r="BM280" i="32"/>
  <c r="BM281" i="32"/>
  <c r="BM282" i="32"/>
  <c r="BM283" i="32"/>
  <c r="BM284" i="32"/>
  <c r="BM285" i="32"/>
  <c r="BM286" i="32"/>
  <c r="BM287" i="32"/>
  <c r="BM288" i="32"/>
  <c r="BM289" i="32"/>
  <c r="BM290" i="32"/>
  <c r="BM291" i="32"/>
  <c r="BM292" i="32"/>
  <c r="BM293" i="32"/>
  <c r="BM294" i="32"/>
  <c r="BM295" i="32"/>
  <c r="BM296" i="32"/>
  <c r="BM297" i="32"/>
  <c r="BM298" i="32"/>
  <c r="BM299" i="32"/>
  <c r="BM300" i="32"/>
  <c r="BM301" i="32"/>
  <c r="BM302" i="32"/>
  <c r="BM303" i="32"/>
  <c r="BM304" i="32"/>
  <c r="BM305" i="32"/>
  <c r="BM306" i="32"/>
  <c r="BM307" i="32"/>
  <c r="BM308" i="32"/>
  <c r="BM309" i="32"/>
  <c r="BM310" i="32"/>
  <c r="BM311" i="32"/>
  <c r="BM312" i="32"/>
  <c r="BM313" i="32"/>
  <c r="BM314" i="32"/>
  <c r="BM315" i="32"/>
  <c r="BM316" i="32"/>
  <c r="BM317" i="32"/>
  <c r="BM318" i="32"/>
  <c r="BM319" i="32"/>
  <c r="BM320" i="32"/>
  <c r="BM321" i="32"/>
  <c r="BM322" i="32"/>
  <c r="BM323" i="32"/>
  <c r="BM324" i="32"/>
  <c r="BM325" i="32"/>
  <c r="BM326" i="32"/>
  <c r="BM327" i="32"/>
  <c r="BM328" i="32"/>
  <c r="BM329" i="32"/>
  <c r="BM330" i="32"/>
  <c r="BM331" i="32"/>
  <c r="BM332" i="32"/>
  <c r="BM333" i="32"/>
  <c r="BM334" i="32"/>
  <c r="BM335" i="32"/>
  <c r="BM336" i="32"/>
  <c r="BM337" i="32"/>
  <c r="BM338" i="32"/>
  <c r="BM339" i="32"/>
  <c r="BM5" i="32"/>
  <c r="AY5" i="32"/>
  <c r="AY6" i="32"/>
  <c r="AY7" i="32"/>
  <c r="AY8" i="32"/>
  <c r="AY9" i="32"/>
  <c r="AY10" i="32"/>
  <c r="AY11" i="32"/>
  <c r="AY12" i="32"/>
  <c r="AY13" i="32"/>
  <c r="AY14" i="32"/>
  <c r="AY15" i="32"/>
  <c r="AY16" i="32"/>
  <c r="AY17" i="32"/>
  <c r="AY18" i="32"/>
  <c r="AY19" i="32"/>
  <c r="AY20" i="32"/>
  <c r="AY21" i="32"/>
  <c r="AY22" i="32"/>
  <c r="AY23" i="32"/>
  <c r="AY24" i="32"/>
  <c r="AY25" i="32"/>
  <c r="AY26" i="32"/>
  <c r="AY27" i="32"/>
  <c r="AY28" i="32"/>
  <c r="AY29" i="32"/>
  <c r="AY30" i="32"/>
  <c r="AY31" i="32"/>
  <c r="AY32" i="32"/>
  <c r="AY33" i="32"/>
  <c r="AY34" i="32"/>
  <c r="AY35" i="32"/>
  <c r="AY36" i="32"/>
  <c r="AY37" i="32"/>
  <c r="AY38" i="32"/>
  <c r="AY39" i="32"/>
  <c r="AY40" i="32"/>
  <c r="AY41" i="32"/>
  <c r="AY42" i="32"/>
  <c r="AY43" i="32"/>
  <c r="AY44" i="32"/>
  <c r="AY45" i="32"/>
  <c r="AY46" i="32"/>
  <c r="AY47" i="32"/>
  <c r="AY48" i="32"/>
  <c r="AY49" i="32"/>
  <c r="AY50" i="32"/>
  <c r="AY51" i="32"/>
  <c r="AY52" i="32"/>
  <c r="AY53" i="32"/>
  <c r="AY54" i="32"/>
  <c r="AY55" i="32"/>
  <c r="AY56" i="32"/>
  <c r="AY57" i="32"/>
  <c r="AY58" i="32"/>
  <c r="AY59" i="32"/>
  <c r="AY60" i="32"/>
  <c r="AY61" i="32"/>
  <c r="AY62" i="32"/>
  <c r="AY63" i="32"/>
  <c r="AY64" i="32"/>
  <c r="AY65" i="32"/>
  <c r="AY66" i="32"/>
  <c r="AY67" i="32"/>
  <c r="AY68" i="32"/>
  <c r="AY69" i="32"/>
  <c r="AY70" i="32"/>
  <c r="AY71" i="32"/>
  <c r="AY72" i="32"/>
  <c r="AY73" i="32"/>
  <c r="AY74" i="32"/>
  <c r="AY75" i="32"/>
  <c r="AY76" i="32"/>
  <c r="AY77" i="32"/>
  <c r="AY78" i="32"/>
  <c r="AY79" i="32"/>
  <c r="AY80" i="32"/>
  <c r="AY81" i="32"/>
  <c r="AY82" i="32"/>
  <c r="AY83" i="32"/>
  <c r="AY84" i="32"/>
  <c r="AY85" i="32"/>
  <c r="AY86" i="32"/>
  <c r="AY87" i="32"/>
  <c r="AY88" i="32"/>
  <c r="AY89" i="32"/>
  <c r="AY90" i="32"/>
  <c r="AY91" i="32"/>
  <c r="AY92" i="32"/>
  <c r="AY93" i="32"/>
  <c r="AY94" i="32"/>
  <c r="AY95" i="32"/>
  <c r="AY96" i="32"/>
  <c r="AY97" i="32"/>
  <c r="AY98" i="32"/>
  <c r="AY99" i="32"/>
  <c r="AY100" i="32"/>
  <c r="AY101" i="32"/>
  <c r="AY102" i="32"/>
  <c r="AY103" i="32"/>
  <c r="AY104" i="32"/>
  <c r="AY105" i="32"/>
  <c r="AY106" i="32"/>
  <c r="AY107" i="32"/>
  <c r="AY108" i="32"/>
  <c r="AY109" i="32"/>
  <c r="AY110" i="32"/>
  <c r="AY111" i="32"/>
  <c r="AY112" i="32"/>
  <c r="AY113" i="32"/>
  <c r="AY114" i="32"/>
  <c r="AY115" i="32"/>
  <c r="AY116" i="32"/>
  <c r="AY117" i="32"/>
  <c r="AY118" i="32"/>
  <c r="AY119" i="32"/>
  <c r="AY120" i="32"/>
  <c r="AY121" i="32"/>
  <c r="AY122" i="32"/>
  <c r="AY123" i="32"/>
  <c r="AY124" i="32"/>
  <c r="AY125" i="32"/>
  <c r="AY126" i="32"/>
  <c r="AY127" i="32"/>
  <c r="AY128" i="32"/>
  <c r="AY129" i="32"/>
  <c r="AY130" i="32"/>
  <c r="AY131" i="32"/>
  <c r="AY132" i="32"/>
  <c r="AY133" i="32"/>
  <c r="AY134" i="32"/>
  <c r="AY135" i="32"/>
  <c r="AY136" i="32"/>
  <c r="AY137" i="32"/>
  <c r="AY138" i="32"/>
  <c r="AY139" i="32"/>
  <c r="AY140" i="32"/>
  <c r="AY141" i="32"/>
  <c r="AY142" i="32"/>
  <c r="AY143" i="32"/>
  <c r="AY144" i="32"/>
  <c r="AY145" i="32"/>
  <c r="AY146" i="32"/>
  <c r="AY147" i="32"/>
  <c r="AY148" i="32"/>
  <c r="AY149" i="32"/>
  <c r="AY150" i="32"/>
  <c r="AY151" i="32"/>
  <c r="AY152" i="32"/>
  <c r="AY153" i="32"/>
  <c r="AY154" i="32"/>
  <c r="AY155" i="32"/>
  <c r="AY156" i="32"/>
  <c r="AY157" i="32"/>
  <c r="AY158" i="32"/>
  <c r="AY159" i="32"/>
  <c r="AY160" i="32"/>
  <c r="AY161" i="32"/>
  <c r="AY162" i="32"/>
  <c r="AY163" i="32"/>
  <c r="AY164" i="32"/>
  <c r="AY165" i="32"/>
  <c r="AY166" i="32"/>
  <c r="AY167" i="32"/>
  <c r="AY168" i="32"/>
  <c r="AY169" i="32"/>
  <c r="AY170" i="32"/>
  <c r="AY171" i="32"/>
  <c r="AY172" i="32"/>
  <c r="AY173" i="32"/>
  <c r="AY174" i="32"/>
  <c r="AY175" i="32"/>
  <c r="AY176" i="32"/>
  <c r="AY177" i="32"/>
  <c r="AY178" i="32"/>
  <c r="AY179" i="32"/>
  <c r="AY180" i="32"/>
  <c r="AY181" i="32"/>
  <c r="AY182" i="32"/>
  <c r="AY183" i="32"/>
  <c r="AY184" i="32"/>
  <c r="AY185" i="32"/>
  <c r="AY186" i="32"/>
  <c r="AY187" i="32"/>
  <c r="AY188" i="32"/>
  <c r="AY189" i="32"/>
  <c r="AY190" i="32"/>
  <c r="AY191" i="32"/>
  <c r="AY192" i="32"/>
  <c r="AY193" i="32"/>
  <c r="AY194" i="32"/>
  <c r="AY195" i="32"/>
  <c r="AY196" i="32"/>
  <c r="AY197" i="32"/>
  <c r="AY198" i="32"/>
  <c r="AY199" i="32"/>
  <c r="AY200" i="32"/>
  <c r="AY201" i="32"/>
  <c r="AY202" i="32"/>
  <c r="AY203" i="32"/>
  <c r="AY204" i="32"/>
  <c r="AY205" i="32"/>
  <c r="AY206" i="32"/>
  <c r="AY207" i="32"/>
  <c r="AY208" i="32"/>
  <c r="AY209" i="32"/>
  <c r="AY210" i="32"/>
  <c r="AY211" i="32"/>
  <c r="AY212" i="32"/>
  <c r="AY213" i="32"/>
  <c r="AY214" i="32"/>
  <c r="AY215" i="32"/>
  <c r="AY216" i="32"/>
  <c r="AY217" i="32"/>
  <c r="AY218" i="32"/>
  <c r="AY219" i="32"/>
  <c r="AY220" i="32"/>
  <c r="AY221" i="32"/>
  <c r="AY222" i="32"/>
  <c r="AY223" i="32"/>
  <c r="AY224" i="32"/>
  <c r="AY225" i="32"/>
  <c r="AY226" i="32"/>
  <c r="AY227" i="32"/>
  <c r="AY228" i="32"/>
  <c r="AY229" i="32"/>
  <c r="AY230" i="32"/>
  <c r="AY231" i="32"/>
  <c r="AY232" i="32"/>
  <c r="AY233" i="32"/>
  <c r="AY234" i="32"/>
  <c r="AY235" i="32"/>
  <c r="AY236" i="32"/>
  <c r="AY237" i="32"/>
  <c r="AY238" i="32"/>
  <c r="AY239" i="32"/>
  <c r="AY240" i="32"/>
  <c r="AY241" i="32"/>
  <c r="AY242" i="32"/>
  <c r="AY243" i="32"/>
  <c r="AY244" i="32"/>
  <c r="AY245" i="32"/>
  <c r="AY246" i="32"/>
  <c r="AY247" i="32"/>
  <c r="AY248" i="32"/>
  <c r="AY249" i="32"/>
  <c r="AY250" i="32"/>
  <c r="AY251" i="32"/>
  <c r="AY252" i="32"/>
  <c r="AY253" i="32"/>
  <c r="AY254" i="32"/>
  <c r="AY255" i="32"/>
  <c r="AY256" i="32"/>
  <c r="AY257" i="32"/>
  <c r="AY258" i="32"/>
  <c r="AY259" i="32"/>
  <c r="AY260" i="32"/>
  <c r="AY261" i="32"/>
  <c r="AY262" i="32"/>
  <c r="AY263" i="32"/>
  <c r="AY264" i="32"/>
  <c r="AY265" i="32"/>
  <c r="AY266" i="32"/>
  <c r="AY267" i="32"/>
  <c r="AY268" i="32"/>
  <c r="AY269" i="32"/>
  <c r="AY270" i="32"/>
  <c r="AY271" i="32"/>
  <c r="AY272" i="32"/>
  <c r="AY273" i="32"/>
  <c r="AY274" i="32"/>
  <c r="AY275" i="32"/>
  <c r="AY276" i="32"/>
  <c r="AY277" i="32"/>
  <c r="AY278" i="32"/>
  <c r="AY279" i="32"/>
  <c r="AY280" i="32"/>
  <c r="AY281" i="32"/>
  <c r="AY282" i="32"/>
  <c r="AY283" i="32"/>
  <c r="AY284" i="32"/>
  <c r="AY285" i="32"/>
  <c r="AY286" i="32"/>
  <c r="AY287" i="32"/>
  <c r="AY288" i="32"/>
  <c r="AY289" i="32"/>
  <c r="AY290" i="32"/>
  <c r="AY291" i="32"/>
  <c r="AY292" i="32"/>
  <c r="AY293" i="32"/>
  <c r="AY294" i="32"/>
  <c r="AY295" i="32"/>
  <c r="AY296" i="32"/>
  <c r="AY297" i="32"/>
  <c r="AY298" i="32"/>
  <c r="AY299" i="32"/>
  <c r="AY300" i="32"/>
  <c r="AY301" i="32"/>
  <c r="AY302" i="32"/>
  <c r="AY303" i="32"/>
  <c r="AY304" i="32"/>
  <c r="AY305" i="32"/>
  <c r="AY306" i="32"/>
  <c r="AY307" i="32"/>
  <c r="AY308" i="32"/>
  <c r="AY309" i="32"/>
  <c r="AY310" i="32"/>
  <c r="AY311" i="32"/>
  <c r="AY312" i="32"/>
  <c r="AY313" i="32"/>
  <c r="AY314" i="32"/>
  <c r="AY315" i="32"/>
  <c r="AY316" i="32"/>
  <c r="AY317" i="32"/>
  <c r="AY318" i="32"/>
  <c r="AY319" i="32"/>
  <c r="AY320" i="32"/>
  <c r="AY321" i="32"/>
  <c r="AY322" i="32"/>
  <c r="AY323" i="32"/>
  <c r="AY324" i="32"/>
  <c r="AY325" i="32"/>
  <c r="AY326" i="32"/>
  <c r="AY327" i="32"/>
  <c r="AY328" i="32"/>
  <c r="AY329" i="32"/>
  <c r="AY330" i="32"/>
  <c r="AY331" i="32"/>
  <c r="AY332" i="32"/>
  <c r="AY333" i="32"/>
  <c r="AY334" i="32"/>
  <c r="AY335" i="32"/>
  <c r="AY336" i="32"/>
  <c r="AY337" i="32"/>
  <c r="AY338" i="32"/>
  <c r="AY339" i="32"/>
  <c r="AY340" i="32"/>
  <c r="AY341" i="32"/>
  <c r="AY342" i="32"/>
  <c r="AY343" i="32"/>
  <c r="AY344" i="32"/>
  <c r="AY345" i="32"/>
  <c r="AY346" i="32"/>
  <c r="AY347" i="32"/>
  <c r="AY348" i="32"/>
  <c r="AY349" i="32"/>
  <c r="AY350" i="32"/>
  <c r="AY351" i="32"/>
  <c r="AY352" i="32"/>
  <c r="AY353" i="32"/>
  <c r="AY354" i="32"/>
  <c r="AY355" i="32"/>
  <c r="AY356" i="32"/>
  <c r="AY357" i="32"/>
  <c r="AY358" i="32"/>
  <c r="AY359" i="32"/>
  <c r="AY360" i="32"/>
  <c r="AY361" i="32"/>
  <c r="AY362" i="32"/>
  <c r="AY363" i="32"/>
  <c r="AY364" i="32"/>
  <c r="AY365" i="32"/>
  <c r="AY366" i="32"/>
  <c r="AY367" i="32"/>
  <c r="AY368" i="32"/>
  <c r="AY369" i="32"/>
  <c r="AY370" i="32"/>
  <c r="AY371" i="32"/>
  <c r="AY372" i="32"/>
  <c r="AY373" i="32"/>
  <c r="AY374" i="32"/>
  <c r="AY375" i="32"/>
  <c r="AY376" i="32"/>
  <c r="AY377" i="32"/>
  <c r="AY378" i="32"/>
  <c r="AY379" i="32"/>
  <c r="AY380" i="32"/>
  <c r="AY381" i="32"/>
  <c r="AY382" i="32"/>
  <c r="AY383" i="32"/>
  <c r="AY384" i="32"/>
  <c r="AY385" i="32"/>
  <c r="AY386" i="32"/>
  <c r="AY387" i="32"/>
  <c r="AY388" i="32"/>
  <c r="AY389" i="32"/>
  <c r="AY390" i="32"/>
  <c r="AY391" i="32"/>
  <c r="AY392" i="32"/>
  <c r="AY393" i="32"/>
  <c r="AY394" i="32"/>
  <c r="AY395" i="32"/>
  <c r="AY396" i="32"/>
  <c r="AY397" i="32"/>
  <c r="AY398" i="32"/>
  <c r="AY399" i="32"/>
  <c r="AY400" i="32"/>
  <c r="AY401" i="32"/>
  <c r="AY402" i="32"/>
  <c r="AY403" i="32"/>
  <c r="AY404" i="32"/>
  <c r="AY405" i="32"/>
  <c r="AY406" i="32"/>
  <c r="AY407" i="32"/>
  <c r="AY408" i="32"/>
  <c r="AY409" i="32"/>
  <c r="AY410" i="32"/>
  <c r="AY411" i="32"/>
  <c r="AY412" i="32"/>
  <c r="AY413" i="32"/>
  <c r="AY414" i="32"/>
  <c r="AY415" i="32"/>
  <c r="AY416" i="32"/>
  <c r="AY417" i="32"/>
  <c r="AY418" i="32"/>
  <c r="AY419" i="32"/>
  <c r="AY420" i="32"/>
  <c r="AY421" i="32"/>
  <c r="AY422" i="32"/>
  <c r="AY423" i="32"/>
  <c r="AY424" i="32"/>
  <c r="AY425" i="32"/>
  <c r="AY426" i="32"/>
  <c r="AY427" i="32"/>
  <c r="AY428" i="32"/>
  <c r="AY429" i="32"/>
  <c r="AY430" i="32"/>
  <c r="AY431" i="32"/>
  <c r="AY432" i="32"/>
  <c r="AY433" i="32"/>
  <c r="AY434" i="32"/>
  <c r="AY435" i="32"/>
  <c r="AY436" i="32"/>
  <c r="AY437" i="32"/>
  <c r="AY438" i="32"/>
  <c r="AY439" i="32"/>
  <c r="AY440" i="32"/>
  <c r="AY441" i="32"/>
  <c r="AY442" i="32"/>
  <c r="AY443" i="32"/>
  <c r="AY444" i="32"/>
  <c r="AY445" i="32"/>
  <c r="AY446" i="32"/>
  <c r="AY447" i="32"/>
  <c r="AY448" i="32"/>
  <c r="AY449" i="32"/>
  <c r="AY450" i="32"/>
  <c r="AY451" i="32"/>
  <c r="AY452" i="32"/>
  <c r="AY453" i="32"/>
  <c r="AY454" i="32"/>
  <c r="AY455" i="32"/>
  <c r="AY456" i="32"/>
  <c r="AY457" i="32"/>
  <c r="AY458" i="32"/>
  <c r="AY459" i="32"/>
  <c r="AY460" i="32"/>
  <c r="AY461" i="32"/>
  <c r="AY462" i="32"/>
  <c r="AY463" i="32"/>
  <c r="AY464" i="32"/>
  <c r="AY465" i="32"/>
  <c r="AY466" i="32"/>
  <c r="AY467" i="32"/>
  <c r="AY468" i="32"/>
  <c r="AY469" i="32"/>
  <c r="AY470" i="32"/>
  <c r="AY471" i="32"/>
  <c r="AY472" i="32"/>
  <c r="AY473" i="32"/>
  <c r="AY474" i="32"/>
  <c r="AY475" i="32"/>
  <c r="AY476" i="32"/>
  <c r="AY477" i="32"/>
  <c r="AY478" i="32"/>
  <c r="AY479" i="32"/>
  <c r="AY480" i="32"/>
  <c r="AY481" i="32"/>
  <c r="AY482" i="32"/>
  <c r="AY483" i="32"/>
  <c r="AY484" i="32"/>
  <c r="AY485" i="32"/>
  <c r="AY486" i="32"/>
  <c r="AY487" i="32"/>
  <c r="AY488" i="32"/>
  <c r="AY489" i="32"/>
  <c r="AY490" i="32"/>
  <c r="AY491" i="32"/>
  <c r="AY492" i="32"/>
  <c r="AY493" i="32"/>
  <c r="AY494" i="32"/>
  <c r="AY495" i="32"/>
  <c r="AY496" i="32"/>
  <c r="AY497" i="32"/>
  <c r="AY498" i="32"/>
  <c r="AY499" i="32"/>
  <c r="AY500" i="32"/>
  <c r="AY501" i="32"/>
  <c r="AY502" i="32"/>
  <c r="AY503" i="32"/>
  <c r="AY504" i="32"/>
  <c r="AY505" i="32"/>
  <c r="AY506" i="32"/>
  <c r="AY507" i="32"/>
  <c r="AY508" i="32"/>
  <c r="AY509" i="32"/>
  <c r="AY510" i="32"/>
  <c r="AY511" i="32"/>
  <c r="AY512" i="32"/>
  <c r="AY513" i="32"/>
  <c r="AY514" i="32"/>
  <c r="AY515" i="32"/>
  <c r="AY516" i="32"/>
  <c r="AY517" i="32"/>
  <c r="AY518" i="32"/>
  <c r="AY519" i="32"/>
  <c r="AY520" i="32"/>
  <c r="AY521" i="32"/>
  <c r="AY522" i="32"/>
  <c r="AY523" i="32"/>
  <c r="AY524" i="32"/>
  <c r="AY525" i="32"/>
  <c r="AY4" i="32"/>
  <c r="AX5" i="32"/>
  <c r="AX6" i="32"/>
  <c r="AX7" i="32"/>
  <c r="AX8" i="32"/>
  <c r="AX9" i="32"/>
  <c r="AX10" i="32"/>
  <c r="AX11" i="32"/>
  <c r="AX12" i="32"/>
  <c r="AX13" i="32"/>
  <c r="AX14" i="32"/>
  <c r="AX15" i="32"/>
  <c r="AX16" i="32"/>
  <c r="AX17" i="32"/>
  <c r="AX18" i="32"/>
  <c r="AX19" i="32"/>
  <c r="AX20" i="32"/>
  <c r="AX21" i="32"/>
  <c r="AX22" i="32"/>
  <c r="AX23" i="32"/>
  <c r="AX24" i="32"/>
  <c r="AX25" i="32"/>
  <c r="AX26" i="32"/>
  <c r="AX27" i="32"/>
  <c r="AX28" i="32"/>
  <c r="AX29" i="32"/>
  <c r="AX30" i="32"/>
  <c r="AX31" i="32"/>
  <c r="AX32" i="32"/>
  <c r="AX33" i="32"/>
  <c r="AX34" i="32"/>
  <c r="AX35" i="32"/>
  <c r="AX36" i="32"/>
  <c r="AX37" i="32"/>
  <c r="AX38" i="32"/>
  <c r="AX39" i="32"/>
  <c r="AX40" i="32"/>
  <c r="AX41" i="32"/>
  <c r="AX42" i="32"/>
  <c r="AX43" i="32"/>
  <c r="AX44" i="32"/>
  <c r="AX45" i="32"/>
  <c r="AX46" i="32"/>
  <c r="AX47" i="32"/>
  <c r="AX48" i="32"/>
  <c r="AX49" i="32"/>
  <c r="AX50" i="32"/>
  <c r="AX51" i="32"/>
  <c r="AX52" i="32"/>
  <c r="AX53" i="32"/>
  <c r="AX54" i="32"/>
  <c r="AX55" i="32"/>
  <c r="AX56" i="32"/>
  <c r="AX57" i="32"/>
  <c r="AX58" i="32"/>
  <c r="AX59" i="32"/>
  <c r="AX60" i="32"/>
  <c r="AX61" i="32"/>
  <c r="AX62" i="32"/>
  <c r="AX63" i="32"/>
  <c r="AX64" i="32"/>
  <c r="AX65" i="32"/>
  <c r="AX66" i="32"/>
  <c r="AX67" i="32"/>
  <c r="AX68" i="32"/>
  <c r="AX69" i="32"/>
  <c r="AX70" i="32"/>
  <c r="AX71" i="32"/>
  <c r="AX72" i="32"/>
  <c r="AX73" i="32"/>
  <c r="AX74" i="32"/>
  <c r="AX75" i="32"/>
  <c r="AX76" i="32"/>
  <c r="AX77" i="32"/>
  <c r="AX78" i="32"/>
  <c r="AX79" i="32"/>
  <c r="AX80" i="32"/>
  <c r="AX81" i="32"/>
  <c r="AX82" i="32"/>
  <c r="AX83" i="32"/>
  <c r="AX84" i="32"/>
  <c r="AX85" i="32"/>
  <c r="AX86" i="32"/>
  <c r="AX87" i="32"/>
  <c r="AX88" i="32"/>
  <c r="AX89" i="32"/>
  <c r="AX90" i="32"/>
  <c r="AX91" i="32"/>
  <c r="AX92" i="32"/>
  <c r="AX93" i="32"/>
  <c r="AX94" i="32"/>
  <c r="AX95" i="32"/>
  <c r="AX96" i="32"/>
  <c r="AX97" i="32"/>
  <c r="AX98" i="32"/>
  <c r="AX99" i="32"/>
  <c r="AX100" i="32"/>
  <c r="AX101" i="32"/>
  <c r="AX102" i="32"/>
  <c r="AX103" i="32"/>
  <c r="AX104" i="32"/>
  <c r="AX105" i="32"/>
  <c r="AX106" i="32"/>
  <c r="AX107" i="32"/>
  <c r="AX108" i="32"/>
  <c r="AX109" i="32"/>
  <c r="AX110" i="32"/>
  <c r="AX111" i="32"/>
  <c r="AX112" i="32"/>
  <c r="AX113" i="32"/>
  <c r="AX114" i="32"/>
  <c r="AX115" i="32"/>
  <c r="AX116" i="32"/>
  <c r="AX117" i="32"/>
  <c r="AX118" i="32"/>
  <c r="AX119" i="32"/>
  <c r="AX120" i="32"/>
  <c r="AX121" i="32"/>
  <c r="AX122" i="32"/>
  <c r="AX123" i="32"/>
  <c r="AX124" i="32"/>
  <c r="AX125" i="32"/>
  <c r="AX126" i="32"/>
  <c r="AX127" i="32"/>
  <c r="AX128" i="32"/>
  <c r="AX129" i="32"/>
  <c r="AX130" i="32"/>
  <c r="AX131" i="32"/>
  <c r="AX132" i="32"/>
  <c r="AX133" i="32"/>
  <c r="AX134" i="32"/>
  <c r="AX135" i="32"/>
  <c r="AX136" i="32"/>
  <c r="AX137" i="32"/>
  <c r="AX138" i="32"/>
  <c r="AX139" i="32"/>
  <c r="AX140" i="32"/>
  <c r="AX141" i="32"/>
  <c r="AX142" i="32"/>
  <c r="AX143" i="32"/>
  <c r="AX144" i="32"/>
  <c r="AX145" i="32"/>
  <c r="AX146" i="32"/>
  <c r="AX147" i="32"/>
  <c r="AX148" i="32"/>
  <c r="AX149" i="32"/>
  <c r="AX150" i="32"/>
  <c r="AX151" i="32"/>
  <c r="AX152" i="32"/>
  <c r="AX153" i="32"/>
  <c r="AX154" i="32"/>
  <c r="AX155" i="32"/>
  <c r="AX156" i="32"/>
  <c r="AX157" i="32"/>
  <c r="AX158" i="32"/>
  <c r="AX159" i="32"/>
  <c r="AX160" i="32"/>
  <c r="AX161" i="32"/>
  <c r="AX162" i="32"/>
  <c r="AX163" i="32"/>
  <c r="AX164" i="32"/>
  <c r="AX165" i="32"/>
  <c r="AX166" i="32"/>
  <c r="AX167" i="32"/>
  <c r="AX168" i="32"/>
  <c r="AX169" i="32"/>
  <c r="AX170" i="32"/>
  <c r="AX171" i="32"/>
  <c r="AX172" i="32"/>
  <c r="AX173" i="32"/>
  <c r="AX174" i="32"/>
  <c r="AX175" i="32"/>
  <c r="AX176" i="32"/>
  <c r="AX177" i="32"/>
  <c r="AX178" i="32"/>
  <c r="AX179" i="32"/>
  <c r="AX180" i="32"/>
  <c r="AX181" i="32"/>
  <c r="AX182" i="32"/>
  <c r="AX183" i="32"/>
  <c r="AX184" i="32"/>
  <c r="AX185" i="32"/>
  <c r="AX186" i="32"/>
  <c r="AX187" i="32"/>
  <c r="AX188" i="32"/>
  <c r="AX189" i="32"/>
  <c r="AX190" i="32"/>
  <c r="AX191" i="32"/>
  <c r="AX192" i="32"/>
  <c r="AX193" i="32"/>
  <c r="AX194" i="32"/>
  <c r="AX195" i="32"/>
  <c r="AX196" i="32"/>
  <c r="AX197" i="32"/>
  <c r="AX198" i="32"/>
  <c r="AX199" i="32"/>
  <c r="AX200" i="32"/>
  <c r="AX201" i="32"/>
  <c r="AX202" i="32"/>
  <c r="AX203" i="32"/>
  <c r="AX204" i="32"/>
  <c r="AX205" i="32"/>
  <c r="AX206" i="32"/>
  <c r="AX207" i="32"/>
  <c r="AX208" i="32"/>
  <c r="AX209" i="32"/>
  <c r="AX210" i="32"/>
  <c r="AX211" i="32"/>
  <c r="AX212" i="32"/>
  <c r="AX213" i="32"/>
  <c r="AX214" i="32"/>
  <c r="AX215" i="32"/>
  <c r="AX216" i="32"/>
  <c r="AX217" i="32"/>
  <c r="AX218" i="32"/>
  <c r="AX219" i="32"/>
  <c r="AX220" i="32"/>
  <c r="AX221" i="32"/>
  <c r="AX222" i="32"/>
  <c r="AX223" i="32"/>
  <c r="AX224" i="32"/>
  <c r="AX225" i="32"/>
  <c r="AX226" i="32"/>
  <c r="AX227" i="32"/>
  <c r="AX228" i="32"/>
  <c r="AX229" i="32"/>
  <c r="AX230" i="32"/>
  <c r="AX231" i="32"/>
  <c r="AX232" i="32"/>
  <c r="AX233" i="32"/>
  <c r="AX234" i="32"/>
  <c r="AX235" i="32"/>
  <c r="AX236" i="32"/>
  <c r="AX237" i="32"/>
  <c r="AX238" i="32"/>
  <c r="AX239" i="32"/>
  <c r="AX240" i="32"/>
  <c r="AX241" i="32"/>
  <c r="AX242" i="32"/>
  <c r="AX243" i="32"/>
  <c r="AX244" i="32"/>
  <c r="AX245" i="32"/>
  <c r="AX246" i="32"/>
  <c r="AX247" i="32"/>
  <c r="AX248" i="32"/>
  <c r="AX249" i="32"/>
  <c r="AX250" i="32"/>
  <c r="AX251" i="32"/>
  <c r="AX252" i="32"/>
  <c r="AX253" i="32"/>
  <c r="AX254" i="32"/>
  <c r="AX255" i="32"/>
  <c r="AX256" i="32"/>
  <c r="AX257" i="32"/>
  <c r="AX258" i="32"/>
  <c r="AX259" i="32"/>
  <c r="AX260" i="32"/>
  <c r="AX261" i="32"/>
  <c r="AX262" i="32"/>
  <c r="AX263" i="32"/>
  <c r="AX264" i="32"/>
  <c r="AX265" i="32"/>
  <c r="AX266" i="32"/>
  <c r="AX267" i="32"/>
  <c r="AX268" i="32"/>
  <c r="AX269" i="32"/>
  <c r="AX270" i="32"/>
  <c r="AX271" i="32"/>
  <c r="AX272" i="32"/>
  <c r="AX273" i="32"/>
  <c r="AX274" i="32"/>
  <c r="AX275" i="32"/>
  <c r="AX276" i="32"/>
  <c r="AX277" i="32"/>
  <c r="AX278" i="32"/>
  <c r="AX279" i="32"/>
  <c r="AX280" i="32"/>
  <c r="AX281" i="32"/>
  <c r="AX282" i="32"/>
  <c r="AX283" i="32"/>
  <c r="AX284" i="32"/>
  <c r="AX285" i="32"/>
  <c r="AX286" i="32"/>
  <c r="AX287" i="32"/>
  <c r="AX288" i="32"/>
  <c r="AX289" i="32"/>
  <c r="AX290" i="32"/>
  <c r="AX291" i="32"/>
  <c r="AX292" i="32"/>
  <c r="AX293" i="32"/>
  <c r="AX294" i="32"/>
  <c r="AX295" i="32"/>
  <c r="AX296" i="32"/>
  <c r="AX297" i="32"/>
  <c r="AX298" i="32"/>
  <c r="AX299" i="32"/>
  <c r="AX300" i="32"/>
  <c r="AX301" i="32"/>
  <c r="AX302" i="32"/>
  <c r="AX303" i="32"/>
  <c r="AX304" i="32"/>
  <c r="AX305" i="32"/>
  <c r="AX306" i="32"/>
  <c r="AX307" i="32"/>
  <c r="AX308" i="32"/>
  <c r="AX309" i="32"/>
  <c r="AX310" i="32"/>
  <c r="AX311" i="32"/>
  <c r="AX312" i="32"/>
  <c r="AX313" i="32"/>
  <c r="AX314" i="32"/>
  <c r="AX315" i="32"/>
  <c r="AX316" i="32"/>
  <c r="AX317" i="32"/>
  <c r="AX318" i="32"/>
  <c r="AX319" i="32"/>
  <c r="AX320" i="32"/>
  <c r="AX321" i="32"/>
  <c r="AX322" i="32"/>
  <c r="AX323" i="32"/>
  <c r="AX324" i="32"/>
  <c r="AX325" i="32"/>
  <c r="AX326" i="32"/>
  <c r="AX327" i="32"/>
  <c r="AX328" i="32"/>
  <c r="AX329" i="32"/>
  <c r="AX330" i="32"/>
  <c r="AX331" i="32"/>
  <c r="AX332" i="32"/>
  <c r="AX333" i="32"/>
  <c r="AX334" i="32"/>
  <c r="AX335" i="32"/>
  <c r="AX336" i="32"/>
  <c r="AX337" i="32"/>
  <c r="AX338" i="32"/>
  <c r="AX339" i="32"/>
  <c r="AX340" i="32"/>
  <c r="AX341" i="32"/>
  <c r="AX342" i="32"/>
  <c r="AX343" i="32"/>
  <c r="AX344" i="32"/>
  <c r="AX345" i="32"/>
  <c r="AX346" i="32"/>
  <c r="AX347" i="32"/>
  <c r="AX348" i="32"/>
  <c r="AX349" i="32"/>
  <c r="AX350" i="32"/>
  <c r="AX351" i="32"/>
  <c r="AX352" i="32"/>
  <c r="AX353" i="32"/>
  <c r="AX354" i="32"/>
  <c r="AX355" i="32"/>
  <c r="AX356" i="32"/>
  <c r="AX357" i="32"/>
  <c r="AX358" i="32"/>
  <c r="AX359" i="32"/>
  <c r="AX360" i="32"/>
  <c r="AX361" i="32"/>
  <c r="AX362" i="32"/>
  <c r="AX363" i="32"/>
  <c r="AX364" i="32"/>
  <c r="AX365" i="32"/>
  <c r="AX366" i="32"/>
  <c r="AX367" i="32"/>
  <c r="AX368" i="32"/>
  <c r="AX369" i="32"/>
  <c r="AX370" i="32"/>
  <c r="AX371" i="32"/>
  <c r="AX372" i="32"/>
  <c r="AX373" i="32"/>
  <c r="AX374" i="32"/>
  <c r="AX375" i="32"/>
  <c r="AX376" i="32"/>
  <c r="AX377" i="32"/>
  <c r="AX378" i="32"/>
  <c r="AX379" i="32"/>
  <c r="AX380" i="32"/>
  <c r="AX381" i="32"/>
  <c r="AX382" i="32"/>
  <c r="AX383" i="32"/>
  <c r="AX384" i="32"/>
  <c r="AX385" i="32"/>
  <c r="AX386" i="32"/>
  <c r="AX387" i="32"/>
  <c r="AX388" i="32"/>
  <c r="AX389" i="32"/>
  <c r="AX390" i="32"/>
  <c r="AX391" i="32"/>
  <c r="AX392" i="32"/>
  <c r="AX393" i="32"/>
  <c r="AX394" i="32"/>
  <c r="AX395" i="32"/>
  <c r="AX396" i="32"/>
  <c r="AX397" i="32"/>
  <c r="AX398" i="32"/>
  <c r="AX399" i="32"/>
  <c r="AX400" i="32"/>
  <c r="AX401" i="32"/>
  <c r="AX402" i="32"/>
  <c r="AX403" i="32"/>
  <c r="AX404" i="32"/>
  <c r="AX405" i="32"/>
  <c r="AX406" i="32"/>
  <c r="AX407" i="32"/>
  <c r="AX408" i="32"/>
  <c r="AX409" i="32"/>
  <c r="AX410" i="32"/>
  <c r="AX411" i="32"/>
  <c r="AX412" i="32"/>
  <c r="AX413" i="32"/>
  <c r="AX414" i="32"/>
  <c r="AX415" i="32"/>
  <c r="AX416" i="32"/>
  <c r="AX417" i="32"/>
  <c r="AX418" i="32"/>
  <c r="AX419" i="32"/>
  <c r="AX420" i="32"/>
  <c r="AX421" i="32"/>
  <c r="AX422" i="32"/>
  <c r="AX423" i="32"/>
  <c r="AX424" i="32"/>
  <c r="AX425" i="32"/>
  <c r="AX426" i="32"/>
  <c r="AX427" i="32"/>
  <c r="AX428" i="32"/>
  <c r="AX429" i="32"/>
  <c r="AX430" i="32"/>
  <c r="AX431" i="32"/>
  <c r="AX432" i="32"/>
  <c r="AX433" i="32"/>
  <c r="AX434" i="32"/>
  <c r="AX435" i="32"/>
  <c r="AX436" i="32"/>
  <c r="AX437" i="32"/>
  <c r="AX438" i="32"/>
  <c r="AX439" i="32"/>
  <c r="AX440" i="32"/>
  <c r="AX441" i="32"/>
  <c r="AX442" i="32"/>
  <c r="AX443" i="32"/>
  <c r="AX444" i="32"/>
  <c r="AX445" i="32"/>
  <c r="AX446" i="32"/>
  <c r="AX447" i="32"/>
  <c r="AX448" i="32"/>
  <c r="AX449" i="32"/>
  <c r="AX450" i="32"/>
  <c r="AX451" i="32"/>
  <c r="AX452" i="32"/>
  <c r="AX453" i="32"/>
  <c r="AX454" i="32"/>
  <c r="AX455" i="32"/>
  <c r="AX456" i="32"/>
  <c r="AX457" i="32"/>
  <c r="AX458" i="32"/>
  <c r="AX459" i="32"/>
  <c r="AX460" i="32"/>
  <c r="AX461" i="32"/>
  <c r="AX462" i="32"/>
  <c r="AX463" i="32"/>
  <c r="AX464" i="32"/>
  <c r="AX465" i="32"/>
  <c r="AX466" i="32"/>
  <c r="AX467" i="32"/>
  <c r="AX468" i="32"/>
  <c r="AX469" i="32"/>
  <c r="AX470" i="32"/>
  <c r="AX471" i="32"/>
  <c r="AX472" i="32"/>
  <c r="AX473" i="32"/>
  <c r="AX474" i="32"/>
  <c r="AX475" i="32"/>
  <c r="AX476" i="32"/>
  <c r="AX477" i="32"/>
  <c r="AX478" i="32"/>
  <c r="AX479" i="32"/>
  <c r="AX480" i="32"/>
  <c r="AX481" i="32"/>
  <c r="AX482" i="32"/>
  <c r="AX483" i="32"/>
  <c r="AX484" i="32"/>
  <c r="AX485" i="32"/>
  <c r="AX486" i="32"/>
  <c r="AX487" i="32"/>
  <c r="AX488" i="32"/>
  <c r="AX489" i="32"/>
  <c r="AX490" i="32"/>
  <c r="AX491" i="32"/>
  <c r="AX492" i="32"/>
  <c r="AX493" i="32"/>
  <c r="AX494" i="32"/>
  <c r="AX495" i="32"/>
  <c r="AX496" i="32"/>
  <c r="AX497" i="32"/>
  <c r="AX498" i="32"/>
  <c r="AX499" i="32"/>
  <c r="AX500" i="32"/>
  <c r="AX501" i="32"/>
  <c r="AX502" i="32"/>
  <c r="AX503" i="32"/>
  <c r="AX504" i="32"/>
  <c r="AX505" i="32"/>
  <c r="AX506" i="32"/>
  <c r="AX507" i="32"/>
  <c r="AX508" i="32"/>
  <c r="AX509" i="32"/>
  <c r="AX510" i="32"/>
  <c r="AX511" i="32"/>
  <c r="AX512" i="32"/>
  <c r="AX513" i="32"/>
  <c r="AX514" i="32"/>
  <c r="AX515" i="32"/>
  <c r="AX516" i="32"/>
  <c r="AX517" i="32"/>
  <c r="AX518" i="32"/>
  <c r="AX519" i="32"/>
  <c r="AX520" i="32"/>
  <c r="AX521" i="32"/>
  <c r="AX522" i="32"/>
  <c r="AX523" i="32"/>
  <c r="AX524" i="32"/>
  <c r="AX525" i="32"/>
  <c r="AT5" i="32"/>
  <c r="AT6" i="32"/>
  <c r="AT7" i="32"/>
  <c r="AT8" i="32"/>
  <c r="AT9" i="32"/>
  <c r="AT10" i="32"/>
  <c r="AT11" i="32"/>
  <c r="AT12" i="32"/>
  <c r="AT13" i="32"/>
  <c r="AT14" i="32"/>
  <c r="AT15" i="32"/>
  <c r="AT16" i="32"/>
  <c r="AT17" i="32"/>
  <c r="AT18" i="32"/>
  <c r="AT19" i="32"/>
  <c r="AT20" i="32"/>
  <c r="AT21" i="32"/>
  <c r="AT22" i="32"/>
  <c r="AT23" i="32"/>
  <c r="AT24" i="32"/>
  <c r="AT25" i="32"/>
  <c r="AT26" i="32"/>
  <c r="AT27" i="32"/>
  <c r="AT28" i="32"/>
  <c r="AT29" i="32"/>
  <c r="AT30" i="32"/>
  <c r="AT31" i="32"/>
  <c r="AT32" i="32"/>
  <c r="AT33" i="32"/>
  <c r="AT34" i="32"/>
  <c r="AT35" i="32"/>
  <c r="AT36" i="32"/>
  <c r="AT37" i="32"/>
  <c r="AT38" i="32"/>
  <c r="AT39" i="32"/>
  <c r="AT40" i="32"/>
  <c r="AT41" i="32"/>
  <c r="AT42" i="32"/>
  <c r="AT43" i="32"/>
  <c r="AT44" i="32"/>
  <c r="AT45" i="32"/>
  <c r="AT46" i="32"/>
  <c r="AT47" i="32"/>
  <c r="AT48" i="32"/>
  <c r="AT49" i="32"/>
  <c r="AT50" i="32"/>
  <c r="AT51" i="32"/>
  <c r="AT52" i="32"/>
  <c r="AT53" i="32"/>
  <c r="AT54" i="32"/>
  <c r="AT55" i="32"/>
  <c r="AT56" i="32"/>
  <c r="AT57" i="32"/>
  <c r="AT58" i="32"/>
  <c r="AT59" i="32"/>
  <c r="AT60" i="32"/>
  <c r="AT61" i="32"/>
  <c r="AT62" i="32"/>
  <c r="AT63" i="32"/>
  <c r="AT64" i="32"/>
  <c r="AT65" i="32"/>
  <c r="AT66" i="32"/>
  <c r="AT67" i="32"/>
  <c r="AT68" i="32"/>
  <c r="AT69" i="32"/>
  <c r="AT70" i="32"/>
  <c r="AT71" i="32"/>
  <c r="AT72" i="32"/>
  <c r="AT73" i="32"/>
  <c r="AT74" i="32"/>
  <c r="AT75" i="32"/>
  <c r="AT76" i="32"/>
  <c r="AT77" i="32"/>
  <c r="AT78" i="32"/>
  <c r="AT79" i="32"/>
  <c r="AT80" i="32"/>
  <c r="AT81" i="32"/>
  <c r="AT82" i="32"/>
  <c r="AT83" i="32"/>
  <c r="AT84" i="32"/>
  <c r="AT85" i="32"/>
  <c r="AT86" i="32"/>
  <c r="AT87" i="32"/>
  <c r="AT88" i="32"/>
  <c r="AT89" i="32"/>
  <c r="AT90" i="32"/>
  <c r="AT91" i="32"/>
  <c r="AT92" i="32"/>
  <c r="AT93" i="32"/>
  <c r="AT94" i="32"/>
  <c r="AT95" i="32"/>
  <c r="AT96" i="32"/>
  <c r="AT97" i="32"/>
  <c r="AT98" i="32"/>
  <c r="AT99" i="32"/>
  <c r="AT100" i="32"/>
  <c r="AT101" i="32"/>
  <c r="AT102" i="32"/>
  <c r="AT103" i="32"/>
  <c r="AT104" i="32"/>
  <c r="AT105" i="32"/>
  <c r="AT106" i="32"/>
  <c r="AT107" i="32"/>
  <c r="AT108" i="32"/>
  <c r="AT109" i="32"/>
  <c r="AT110" i="32"/>
  <c r="AT111" i="32"/>
  <c r="AT112" i="32"/>
  <c r="AT113" i="32"/>
  <c r="AT114" i="32"/>
  <c r="AT115" i="32"/>
  <c r="AT116" i="32"/>
  <c r="AT117" i="32"/>
  <c r="AT118" i="32"/>
  <c r="AT119" i="32"/>
  <c r="AT120" i="32"/>
  <c r="AT121" i="32"/>
  <c r="AT122" i="32"/>
  <c r="AT123" i="32"/>
  <c r="AT124" i="32"/>
  <c r="AT125" i="32"/>
  <c r="AT126" i="32"/>
  <c r="AT127" i="32"/>
  <c r="AT128" i="32"/>
  <c r="AT129" i="32"/>
  <c r="AT130" i="32"/>
  <c r="AT131" i="32"/>
  <c r="AT132" i="32"/>
  <c r="AT133" i="32"/>
  <c r="AT134" i="32"/>
  <c r="AT135" i="32"/>
  <c r="AT136" i="32"/>
  <c r="AT137" i="32"/>
  <c r="AT138" i="32"/>
  <c r="AT139" i="32"/>
  <c r="AT140" i="32"/>
  <c r="AT141" i="32"/>
  <c r="AT142" i="32"/>
  <c r="AT143" i="32"/>
  <c r="AT144" i="32"/>
  <c r="AT145" i="32"/>
  <c r="AT146" i="32"/>
  <c r="AT147" i="32"/>
  <c r="AT148" i="32"/>
  <c r="AT149" i="32"/>
  <c r="AT150" i="32"/>
  <c r="AT151" i="32"/>
  <c r="AT152" i="32"/>
  <c r="AT153" i="32"/>
  <c r="AT154" i="32"/>
  <c r="AT155" i="32"/>
  <c r="AT156" i="32"/>
  <c r="AT157" i="32"/>
  <c r="AT158" i="32"/>
  <c r="AT159" i="32"/>
  <c r="AT160" i="32"/>
  <c r="AT161" i="32"/>
  <c r="AT162" i="32"/>
  <c r="AT163" i="32"/>
  <c r="AT164" i="32"/>
  <c r="AT165" i="32"/>
  <c r="AT166" i="32"/>
  <c r="AT167" i="32"/>
  <c r="AT168" i="32"/>
  <c r="AT169" i="32"/>
  <c r="AT170" i="32"/>
  <c r="AT171" i="32"/>
  <c r="AT172" i="32"/>
  <c r="AT173" i="32"/>
  <c r="AT174" i="32"/>
  <c r="AT175" i="32"/>
  <c r="AT176" i="32"/>
  <c r="AT177" i="32"/>
  <c r="AT178" i="32"/>
  <c r="AT179" i="32"/>
  <c r="AT180" i="32"/>
  <c r="AT181" i="32"/>
  <c r="AT182" i="32"/>
  <c r="AT183" i="32"/>
  <c r="AT184" i="32"/>
  <c r="AT185" i="32"/>
  <c r="AT186" i="32"/>
  <c r="AT187" i="32"/>
  <c r="AT188" i="32"/>
  <c r="AT189" i="32"/>
  <c r="AT190" i="32"/>
  <c r="AT191" i="32"/>
  <c r="AT192" i="32"/>
  <c r="AT193" i="32"/>
  <c r="AT194" i="32"/>
  <c r="AT195" i="32"/>
  <c r="AT196" i="32"/>
  <c r="AT197" i="32"/>
  <c r="AT198" i="32"/>
  <c r="AT199" i="32"/>
  <c r="AT200" i="32"/>
  <c r="AT201" i="32"/>
  <c r="AT202" i="32"/>
  <c r="AT203" i="32"/>
  <c r="AT204" i="32"/>
  <c r="AT205" i="32"/>
  <c r="AT206" i="32"/>
  <c r="AT207" i="32"/>
  <c r="AT208" i="32"/>
  <c r="AT209" i="32"/>
  <c r="AT210" i="32"/>
  <c r="AT211" i="32"/>
  <c r="AT212" i="32"/>
  <c r="AT213" i="32"/>
  <c r="AT214" i="32"/>
  <c r="AT215" i="32"/>
  <c r="AT216" i="32"/>
  <c r="AT217" i="32"/>
  <c r="AT218" i="32"/>
  <c r="AT219" i="32"/>
  <c r="AT220" i="32"/>
  <c r="AT221" i="32"/>
  <c r="AT222" i="32"/>
  <c r="AT223" i="32"/>
  <c r="AT224" i="32"/>
  <c r="AT225" i="32"/>
  <c r="AT226" i="32"/>
  <c r="AT227" i="32"/>
  <c r="AT228" i="32"/>
  <c r="AT229" i="32"/>
  <c r="AT230" i="32"/>
  <c r="AT231" i="32"/>
  <c r="AT232" i="32"/>
  <c r="AT233" i="32"/>
  <c r="AT234" i="32"/>
  <c r="AT235" i="32"/>
  <c r="AT236" i="32"/>
  <c r="AT237" i="32"/>
  <c r="AT238" i="32"/>
  <c r="AT239" i="32"/>
  <c r="AT240" i="32"/>
  <c r="AT241" i="32"/>
  <c r="AT242" i="32"/>
  <c r="AT243" i="32"/>
  <c r="AT244" i="32"/>
  <c r="AT245" i="32"/>
  <c r="AT246" i="32"/>
  <c r="AT247" i="32"/>
  <c r="AT248" i="32"/>
  <c r="AT249" i="32"/>
  <c r="AT250" i="32"/>
  <c r="AT251" i="32"/>
  <c r="AT252" i="32"/>
  <c r="AT253" i="32"/>
  <c r="AT254" i="32"/>
  <c r="AT255" i="32"/>
  <c r="AT256" i="32"/>
  <c r="AT257" i="32"/>
  <c r="AT258" i="32"/>
  <c r="AT259" i="32"/>
  <c r="AT260" i="32"/>
  <c r="AT261" i="32"/>
  <c r="AT262" i="32"/>
  <c r="AT263" i="32"/>
  <c r="AT264" i="32"/>
  <c r="AT265" i="32"/>
  <c r="AT266" i="32"/>
  <c r="AT267" i="32"/>
  <c r="AT268" i="32"/>
  <c r="AT269" i="32"/>
  <c r="AT270" i="32"/>
  <c r="AT271" i="32"/>
  <c r="AT272" i="32"/>
  <c r="AT273" i="32"/>
  <c r="AT274" i="32"/>
  <c r="AT275" i="32"/>
  <c r="AT276" i="32"/>
  <c r="AT277" i="32"/>
  <c r="AT278" i="32"/>
  <c r="AT279" i="32"/>
  <c r="AT280" i="32"/>
  <c r="AT281" i="32"/>
  <c r="AT282" i="32"/>
  <c r="AT283" i="32"/>
  <c r="AT284" i="32"/>
  <c r="AT285" i="32"/>
  <c r="AT286" i="32"/>
  <c r="AT287" i="32"/>
  <c r="AT288" i="32"/>
  <c r="AT289" i="32"/>
  <c r="AT290" i="32"/>
  <c r="AT291" i="32"/>
  <c r="AT292" i="32"/>
  <c r="AT293" i="32"/>
  <c r="AT294" i="32"/>
  <c r="AT295" i="32"/>
  <c r="AT296" i="32"/>
  <c r="AT297" i="32"/>
  <c r="AT298" i="32"/>
  <c r="AT299" i="32"/>
  <c r="AT300" i="32"/>
  <c r="AT301" i="32"/>
  <c r="AT302" i="32"/>
  <c r="AT303" i="32"/>
  <c r="AT304" i="32"/>
  <c r="AT305" i="32"/>
  <c r="AT306" i="32"/>
  <c r="AT307" i="32"/>
  <c r="AT308" i="32"/>
  <c r="AT309" i="32"/>
  <c r="AT310" i="32"/>
  <c r="AT311" i="32"/>
  <c r="AT312" i="32"/>
  <c r="AT313" i="32"/>
  <c r="AT314" i="32"/>
  <c r="AT315" i="32"/>
  <c r="AT316" i="32"/>
  <c r="AT317" i="32"/>
  <c r="AT318" i="32"/>
  <c r="AT319" i="32"/>
  <c r="AT320" i="32"/>
  <c r="AT321" i="32"/>
  <c r="AT322" i="32"/>
  <c r="AT323" i="32"/>
  <c r="AT324" i="32"/>
  <c r="AT325" i="32"/>
  <c r="AT326" i="32"/>
  <c r="AT327" i="32"/>
  <c r="AT328" i="32"/>
  <c r="AT329" i="32"/>
  <c r="AT330" i="32"/>
  <c r="AT331" i="32"/>
  <c r="AT332" i="32"/>
  <c r="AT333" i="32"/>
  <c r="AT334" i="32"/>
  <c r="AT335" i="32"/>
  <c r="AT336" i="32"/>
  <c r="AT337" i="32"/>
  <c r="AT338" i="32"/>
  <c r="AT339" i="32"/>
  <c r="AN225" i="32"/>
  <c r="AN226" i="32"/>
  <c r="AN227" i="32"/>
  <c r="AN228" i="32"/>
  <c r="AN229" i="32"/>
  <c r="AN230" i="32"/>
  <c r="AN231" i="32"/>
  <c r="AN232" i="32"/>
  <c r="AN233" i="32"/>
  <c r="AN234" i="32"/>
  <c r="AN235" i="32"/>
  <c r="AN236" i="32"/>
  <c r="AN237" i="32"/>
  <c r="AN238" i="32"/>
  <c r="AN239" i="32"/>
  <c r="AN240" i="32"/>
  <c r="AN241" i="32"/>
  <c r="AN242" i="32"/>
  <c r="AN243" i="32"/>
  <c r="AN244" i="32"/>
  <c r="AN245" i="32"/>
  <c r="AN246" i="32"/>
  <c r="AN247" i="32"/>
  <c r="AN248" i="32"/>
  <c r="AN249" i="32"/>
  <c r="AN250" i="32"/>
  <c r="AN251" i="32"/>
  <c r="AN252" i="32"/>
  <c r="AN253" i="32"/>
  <c r="AN254" i="32"/>
  <c r="AN255" i="32"/>
  <c r="AN256" i="32"/>
  <c r="AN257" i="32"/>
  <c r="AN258" i="32"/>
  <c r="AN259" i="32"/>
  <c r="AN260" i="32"/>
  <c r="AN261" i="32"/>
  <c r="AN262" i="32"/>
  <c r="AN263" i="32"/>
  <c r="AN264" i="32"/>
  <c r="AN265" i="32"/>
  <c r="AN266" i="32"/>
  <c r="AN267" i="32"/>
  <c r="AN268" i="32"/>
  <c r="AN269" i="32"/>
  <c r="AN270" i="32"/>
  <c r="AN271" i="32"/>
  <c r="AN272" i="32"/>
  <c r="AN273" i="32"/>
  <c r="AN274" i="32"/>
  <c r="AN275" i="32"/>
  <c r="AN276" i="32"/>
  <c r="AN277" i="32"/>
  <c r="AN278" i="32"/>
  <c r="AN279" i="32"/>
  <c r="AN280" i="32"/>
  <c r="AN281" i="32"/>
  <c r="AN282" i="32"/>
  <c r="AN283" i="32"/>
  <c r="AN284" i="32"/>
  <c r="AN285" i="32"/>
  <c r="AN286" i="32"/>
  <c r="AN287" i="32"/>
  <c r="AN288" i="32"/>
  <c r="AN289" i="32"/>
  <c r="AN290" i="32"/>
  <c r="AN291" i="32"/>
  <c r="AN292" i="32"/>
  <c r="AN293" i="32"/>
  <c r="AN294" i="32"/>
  <c r="AN295" i="32"/>
  <c r="AN296" i="32"/>
  <c r="AN297" i="32"/>
  <c r="AN298" i="32"/>
  <c r="AN299" i="32"/>
  <c r="AN300" i="32"/>
  <c r="AN301" i="32"/>
  <c r="AN302" i="32"/>
  <c r="AN303" i="32"/>
  <c r="AN304" i="32"/>
  <c r="AN305" i="32"/>
  <c r="AN306" i="32"/>
  <c r="AN307" i="32"/>
  <c r="AN308" i="32"/>
  <c r="AN309" i="32"/>
  <c r="AN310" i="32"/>
  <c r="AN311" i="32"/>
  <c r="AN312" i="32"/>
  <c r="AN313" i="32"/>
  <c r="AN314" i="32"/>
  <c r="AN315" i="32"/>
  <c r="AN316" i="32"/>
  <c r="AN317" i="32"/>
  <c r="AN318" i="32"/>
  <c r="AN319" i="32"/>
  <c r="AN320" i="32"/>
  <c r="AN321" i="32"/>
  <c r="AN322" i="32"/>
  <c r="AN323" i="32"/>
  <c r="AN324" i="32"/>
  <c r="AN325" i="32"/>
  <c r="AN326" i="32"/>
  <c r="AN327" i="32"/>
  <c r="AN328" i="32"/>
  <c r="AN329" i="32"/>
  <c r="AN330" i="32"/>
  <c r="AN331" i="32"/>
  <c r="AN332" i="32"/>
  <c r="AN333" i="32"/>
  <c r="AN334" i="32"/>
  <c r="AN335" i="32"/>
  <c r="AN336" i="32"/>
  <c r="AN337" i="32"/>
  <c r="AN338" i="32"/>
  <c r="AN339" i="32"/>
  <c r="AN340" i="32"/>
  <c r="AN341" i="32"/>
  <c r="AN342" i="32"/>
  <c r="AN343" i="32"/>
  <c r="AN344" i="32"/>
  <c r="AN345" i="32"/>
  <c r="AN346" i="32"/>
  <c r="AN347" i="32"/>
  <c r="AN348" i="32"/>
  <c r="AN349" i="32"/>
  <c r="AN350" i="32"/>
  <c r="AN351" i="32"/>
  <c r="AN352" i="32"/>
  <c r="AN353" i="32"/>
  <c r="AN354" i="32"/>
  <c r="AN355" i="32"/>
  <c r="AN356" i="32"/>
  <c r="AN357" i="32"/>
  <c r="AN358" i="32"/>
  <c r="AN359" i="32"/>
  <c r="AN360" i="32"/>
  <c r="AN361" i="32"/>
  <c r="AN362" i="32"/>
  <c r="AN363" i="32"/>
  <c r="AN364" i="32"/>
  <c r="AN365" i="32"/>
  <c r="AN366" i="32"/>
  <c r="AN367" i="32"/>
  <c r="AN368" i="32"/>
  <c r="AN369" i="32"/>
  <c r="AN370" i="32"/>
  <c r="AN371" i="32"/>
  <c r="AN372" i="32"/>
  <c r="AN373" i="32"/>
  <c r="AN374" i="32"/>
  <c r="AN375" i="32"/>
  <c r="AN376" i="32"/>
  <c r="AN377" i="32"/>
  <c r="AN378" i="32"/>
  <c r="AN379" i="32"/>
  <c r="AN380" i="32"/>
  <c r="AN381" i="32"/>
  <c r="AN382" i="32"/>
  <c r="AN383" i="32"/>
  <c r="AN384" i="32"/>
  <c r="AN385" i="32"/>
  <c r="AN386" i="32"/>
  <c r="AN387" i="32"/>
  <c r="AN388" i="32"/>
  <c r="AN389" i="32"/>
  <c r="AN390" i="32"/>
  <c r="AN391" i="32"/>
  <c r="AN392" i="32"/>
  <c r="AN393" i="32"/>
  <c r="AN394" i="32"/>
  <c r="AN395" i="32"/>
  <c r="AN396" i="32"/>
  <c r="AN397" i="32"/>
  <c r="AN398" i="32"/>
  <c r="AN399" i="32"/>
  <c r="AN400" i="32"/>
  <c r="AN401" i="32"/>
  <c r="AN402" i="32"/>
  <c r="AN403" i="32"/>
  <c r="AN404" i="32"/>
  <c r="AN405" i="32"/>
  <c r="AN406" i="32"/>
  <c r="AN407" i="32"/>
  <c r="AN408" i="32"/>
  <c r="AN409" i="32"/>
  <c r="AN410" i="32"/>
  <c r="AN411" i="32"/>
  <c r="AN412" i="32"/>
  <c r="AN413" i="32"/>
  <c r="AN414" i="32"/>
  <c r="AN415" i="32"/>
  <c r="AN416" i="32"/>
  <c r="AN417" i="32"/>
  <c r="AN418" i="32"/>
  <c r="AN419" i="32"/>
  <c r="AN420" i="32"/>
  <c r="AN421" i="32"/>
  <c r="AN422" i="32"/>
  <c r="AN423" i="32"/>
  <c r="AN424" i="32"/>
  <c r="AN425" i="32"/>
  <c r="AN426" i="32"/>
  <c r="AN427" i="32"/>
  <c r="AN428" i="32"/>
  <c r="AN429" i="32"/>
  <c r="AN430" i="32"/>
  <c r="AN431" i="32"/>
  <c r="AN432" i="32"/>
  <c r="AN433" i="32"/>
  <c r="AN434" i="32"/>
  <c r="AN435" i="32"/>
  <c r="AN436" i="32"/>
  <c r="AN437" i="32"/>
  <c r="AN438" i="32"/>
  <c r="AN439" i="32"/>
  <c r="AN440" i="32"/>
  <c r="AN441" i="32"/>
  <c r="AN442" i="32"/>
  <c r="AN443" i="32"/>
  <c r="AN444" i="32"/>
  <c r="AN224" i="32"/>
  <c r="AN5" i="32"/>
  <c r="AN6" i="32"/>
  <c r="AN7" i="32"/>
  <c r="AN8" i="32"/>
  <c r="AN9" i="32"/>
  <c r="AN10" i="32"/>
  <c r="AN11" i="32"/>
  <c r="AN12" i="32"/>
  <c r="AN13" i="32"/>
  <c r="AN14" i="32"/>
  <c r="AN15" i="32"/>
  <c r="AN16" i="32"/>
  <c r="AN17" i="32"/>
  <c r="AN18" i="32"/>
  <c r="AN19" i="32"/>
  <c r="AN20" i="32"/>
  <c r="AN21" i="32"/>
  <c r="AN22" i="32"/>
  <c r="AN23" i="32"/>
  <c r="AN24" i="32"/>
  <c r="AN25" i="32"/>
  <c r="AN26" i="32"/>
  <c r="AN27" i="32"/>
  <c r="AN28" i="32"/>
  <c r="AN29" i="32"/>
  <c r="AN30" i="32"/>
  <c r="AN31" i="32"/>
  <c r="AN32" i="32"/>
  <c r="AN33" i="32"/>
  <c r="AN34" i="32"/>
  <c r="AN35" i="32"/>
  <c r="AN36" i="32"/>
  <c r="AN37" i="32"/>
  <c r="AN38" i="32"/>
  <c r="AN39" i="32"/>
  <c r="AN40" i="32"/>
  <c r="AN41" i="32"/>
  <c r="AN42" i="32"/>
  <c r="AN43" i="32"/>
  <c r="AN44" i="32"/>
  <c r="AN45" i="32"/>
  <c r="AN46" i="32"/>
  <c r="AN47" i="32"/>
  <c r="AN48" i="32"/>
  <c r="AN49" i="32"/>
  <c r="AN50" i="32"/>
  <c r="AN51" i="32"/>
  <c r="AN52" i="32"/>
  <c r="AN53" i="32"/>
  <c r="AN54" i="32"/>
  <c r="AN55" i="32"/>
  <c r="AN56" i="32"/>
  <c r="AN57" i="32"/>
  <c r="AN58" i="32"/>
  <c r="AN59" i="32"/>
  <c r="AN60" i="32"/>
  <c r="AN61" i="32"/>
  <c r="AN62" i="32"/>
  <c r="AN63" i="32"/>
  <c r="AN64" i="32"/>
  <c r="AN65" i="32"/>
  <c r="AN66" i="32"/>
  <c r="AN67" i="32"/>
  <c r="AN68" i="32"/>
  <c r="AN69" i="32"/>
  <c r="AN70" i="32"/>
  <c r="AN71" i="32"/>
  <c r="AN72" i="32"/>
  <c r="AN73" i="32"/>
  <c r="AN74" i="32"/>
  <c r="AN75" i="32"/>
  <c r="AN76" i="32"/>
  <c r="AN77" i="32"/>
  <c r="AN78" i="32"/>
  <c r="AN79" i="32"/>
  <c r="AN80" i="32"/>
  <c r="AN81" i="32"/>
  <c r="AN82" i="32"/>
  <c r="AN83" i="32"/>
  <c r="AN84" i="32"/>
  <c r="AN85" i="32"/>
  <c r="AN86" i="32"/>
  <c r="AN87" i="32"/>
  <c r="AN88" i="32"/>
  <c r="AN89" i="32"/>
  <c r="AN90" i="32"/>
  <c r="AN91" i="32"/>
  <c r="AN92" i="32"/>
  <c r="AN93" i="32"/>
  <c r="AN94" i="32"/>
  <c r="AN95" i="32"/>
  <c r="AN96" i="32"/>
  <c r="AN97" i="32"/>
  <c r="AN98" i="32"/>
  <c r="AN99" i="32"/>
  <c r="AN100" i="32"/>
  <c r="AN101" i="32"/>
  <c r="AN102" i="32"/>
  <c r="AN103" i="32"/>
  <c r="AN104" i="32"/>
  <c r="AN105" i="32"/>
  <c r="AN106" i="32"/>
  <c r="AN107" i="32"/>
  <c r="AN108" i="32"/>
  <c r="AN109" i="32"/>
  <c r="AN110" i="32"/>
  <c r="AN111" i="32"/>
  <c r="AN112" i="32"/>
  <c r="AN113" i="32"/>
  <c r="AN114" i="32"/>
  <c r="AN115" i="32"/>
  <c r="AN116" i="32"/>
  <c r="AN117" i="32"/>
  <c r="AN118" i="32"/>
  <c r="AN119" i="32"/>
  <c r="AN120" i="32"/>
  <c r="AN121" i="32"/>
  <c r="AN122" i="32"/>
  <c r="AN123" i="32"/>
  <c r="AN124" i="32"/>
  <c r="AN125" i="32"/>
  <c r="AN126" i="32"/>
  <c r="AN127" i="32"/>
  <c r="AN128" i="32"/>
  <c r="AN129" i="32"/>
  <c r="AN130" i="32"/>
  <c r="AN131" i="32"/>
  <c r="AN132" i="32"/>
  <c r="AN133" i="32"/>
  <c r="AN134" i="32"/>
  <c r="AN135" i="32"/>
  <c r="AN136" i="32"/>
  <c r="AN137" i="32"/>
  <c r="AN138" i="32"/>
  <c r="AN139" i="32"/>
  <c r="AN140" i="32"/>
  <c r="AN141" i="32"/>
  <c r="AN142" i="32"/>
  <c r="AN143" i="32"/>
  <c r="AN144" i="32"/>
  <c r="AN145" i="32"/>
  <c r="AN146" i="32"/>
  <c r="AN147" i="32"/>
  <c r="AN148" i="32"/>
  <c r="AN149" i="32"/>
  <c r="AN150" i="32"/>
  <c r="AN151" i="32"/>
  <c r="AN152" i="32"/>
  <c r="AN153" i="32"/>
  <c r="AN154" i="32"/>
  <c r="AN155" i="32"/>
  <c r="AN156" i="32"/>
  <c r="AN157" i="32"/>
  <c r="AN158" i="32"/>
  <c r="AN159" i="32"/>
  <c r="AN160" i="32"/>
  <c r="AN161" i="32"/>
  <c r="AN162" i="32"/>
  <c r="AN163" i="32"/>
  <c r="AN164" i="32"/>
  <c r="AN165" i="32"/>
  <c r="AN166" i="32"/>
  <c r="AN167" i="32"/>
  <c r="AN168" i="32"/>
  <c r="AN169" i="32"/>
  <c r="AN170" i="32"/>
  <c r="AN171" i="32"/>
  <c r="AN172" i="32"/>
  <c r="AN173" i="32"/>
  <c r="AN174" i="32"/>
  <c r="AN175" i="32"/>
  <c r="AN176" i="32"/>
  <c r="AN177" i="32"/>
  <c r="AN178" i="32"/>
  <c r="AN179" i="32"/>
  <c r="AN180" i="32"/>
  <c r="AN181" i="32"/>
  <c r="AN182" i="32"/>
  <c r="AN183" i="32"/>
  <c r="AN184" i="32"/>
  <c r="AN185" i="32"/>
  <c r="AN186" i="32"/>
  <c r="AN187" i="32"/>
  <c r="AN188" i="32"/>
  <c r="AN189" i="32"/>
  <c r="AN190" i="32"/>
  <c r="AN191" i="32"/>
  <c r="AN192" i="32"/>
  <c r="AN193" i="32"/>
  <c r="AN194" i="32"/>
  <c r="AN195" i="32"/>
  <c r="AN196" i="32"/>
  <c r="AN197" i="32"/>
  <c r="AN198" i="32"/>
  <c r="AN199" i="32"/>
  <c r="AN200" i="32"/>
  <c r="AN201" i="32"/>
  <c r="AN202" i="32"/>
  <c r="AN203" i="32"/>
  <c r="AN204" i="32"/>
  <c r="AN205" i="32"/>
  <c r="AN206" i="32"/>
  <c r="AN207" i="32"/>
  <c r="AN208" i="32"/>
  <c r="AN209" i="32"/>
  <c r="AN210" i="32"/>
  <c r="AN211" i="32"/>
  <c r="AN212" i="32"/>
  <c r="AN213" i="32"/>
  <c r="AN214" i="32"/>
  <c r="AN215" i="32"/>
  <c r="AN216" i="32"/>
  <c r="AN217" i="32"/>
  <c r="AN218" i="32"/>
  <c r="AN219" i="32"/>
  <c r="AN220" i="32"/>
  <c r="AN221" i="32"/>
  <c r="AN222" i="32"/>
  <c r="AN223" i="32"/>
  <c r="AP4" i="32"/>
  <c r="AP224" i="32"/>
  <c r="AO4" i="32"/>
  <c r="AO5" i="32"/>
  <c r="AO6" i="32"/>
  <c r="AO7" i="32"/>
  <c r="AK5" i="32"/>
  <c r="AK6" i="32"/>
  <c r="AK7" i="32"/>
  <c r="AK8" i="32"/>
  <c r="AK9" i="32"/>
  <c r="AK10" i="32"/>
  <c r="AK11" i="32"/>
  <c r="AK12" i="32"/>
  <c r="AK13" i="32"/>
  <c r="AK14" i="32"/>
  <c r="AK15" i="32"/>
  <c r="AK16" i="32"/>
  <c r="AK17" i="32"/>
  <c r="AK18" i="32"/>
  <c r="AK19" i="32"/>
  <c r="AK20" i="32"/>
  <c r="AK21" i="32"/>
  <c r="AK22" i="32"/>
  <c r="AK23" i="32"/>
  <c r="AK24" i="32"/>
  <c r="AK25" i="32"/>
  <c r="AK26" i="32"/>
  <c r="AK27" i="32"/>
  <c r="AK28" i="32"/>
  <c r="AK29" i="32"/>
  <c r="AK30" i="32"/>
  <c r="AK31" i="32"/>
  <c r="AK32" i="32"/>
  <c r="AK33" i="32"/>
  <c r="AK34" i="32"/>
  <c r="AK35" i="32"/>
  <c r="AK36" i="32"/>
  <c r="AK37" i="32"/>
  <c r="AK38" i="32"/>
  <c r="AK39" i="32"/>
  <c r="AK40" i="32"/>
  <c r="AK41" i="32"/>
  <c r="AK42" i="32"/>
  <c r="AK43" i="32"/>
  <c r="AK44" i="32"/>
  <c r="AK45" i="32"/>
  <c r="AK46" i="32"/>
  <c r="AK47" i="32"/>
  <c r="AK48" i="32"/>
  <c r="AK49" i="32"/>
  <c r="AK50" i="32"/>
  <c r="AK51" i="32"/>
  <c r="AK52" i="32"/>
  <c r="AK53" i="32"/>
  <c r="AK54" i="32"/>
  <c r="AK55" i="32"/>
  <c r="AK56" i="32"/>
  <c r="AK57" i="32"/>
  <c r="AK58" i="32"/>
  <c r="AK59" i="32"/>
  <c r="AK60" i="32"/>
  <c r="AK61" i="32"/>
  <c r="AK62" i="32"/>
  <c r="AK63" i="32"/>
  <c r="AK64" i="32"/>
  <c r="AK65" i="32"/>
  <c r="AK66" i="32"/>
  <c r="AK67" i="32"/>
  <c r="AK68" i="32"/>
  <c r="AK69" i="32"/>
  <c r="AK70" i="32"/>
  <c r="AK71" i="32"/>
  <c r="AK72" i="32"/>
  <c r="AK73" i="32"/>
  <c r="AK74" i="32"/>
  <c r="AK75" i="32"/>
  <c r="AK76" i="32"/>
  <c r="AK77" i="32"/>
  <c r="AK78" i="32"/>
  <c r="AK79" i="32"/>
  <c r="AK80" i="32"/>
  <c r="AK81" i="32"/>
  <c r="AK82" i="32"/>
  <c r="AK83" i="32"/>
  <c r="AK84" i="32"/>
  <c r="AK85" i="32"/>
  <c r="AK86" i="32"/>
  <c r="AK87" i="32"/>
  <c r="AK88" i="32"/>
  <c r="AK89" i="32"/>
  <c r="AK90" i="32"/>
  <c r="AK91" i="32"/>
  <c r="AK92" i="32"/>
  <c r="AK93" i="32"/>
  <c r="AK94" i="32"/>
  <c r="AK95" i="32"/>
  <c r="AK96" i="32"/>
  <c r="AK97" i="32"/>
  <c r="AK98" i="32"/>
  <c r="AK99" i="32"/>
  <c r="AK100" i="32"/>
  <c r="AK101" i="32"/>
  <c r="AK102" i="32"/>
  <c r="AK103" i="32"/>
  <c r="AK104" i="32"/>
  <c r="AK105" i="32"/>
  <c r="AK106" i="32"/>
  <c r="AK107" i="32"/>
  <c r="AK108" i="32"/>
  <c r="AK109" i="32"/>
  <c r="AK110" i="32"/>
  <c r="AK111" i="32"/>
  <c r="AK112" i="32"/>
  <c r="AK113" i="32"/>
  <c r="AK114" i="32"/>
  <c r="AK115" i="32"/>
  <c r="AK116" i="32"/>
  <c r="AK117" i="32"/>
  <c r="AK118" i="32"/>
  <c r="AK119" i="32"/>
  <c r="AK120" i="32"/>
  <c r="AK121" i="32"/>
  <c r="AK122" i="32"/>
  <c r="AK123" i="32"/>
  <c r="AK124" i="32"/>
  <c r="AK125" i="32"/>
  <c r="AK126" i="32"/>
  <c r="AK127" i="32"/>
  <c r="AK128" i="32"/>
  <c r="AK129" i="32"/>
  <c r="AK130" i="32"/>
  <c r="AK131" i="32"/>
  <c r="AK132" i="32"/>
  <c r="AK133" i="32"/>
  <c r="AK134" i="32"/>
  <c r="AK135" i="32"/>
  <c r="AK136" i="32"/>
  <c r="AK137" i="32"/>
  <c r="AK138" i="32"/>
  <c r="AK139" i="32"/>
  <c r="AK140" i="32"/>
  <c r="AK141" i="32"/>
  <c r="AK142" i="32"/>
  <c r="AK143" i="32"/>
  <c r="AK144" i="32"/>
  <c r="AK145" i="32"/>
  <c r="AK146" i="32"/>
  <c r="AK147" i="32"/>
  <c r="AK148" i="32"/>
  <c r="AK149" i="32"/>
  <c r="AK150" i="32"/>
  <c r="AK151" i="32"/>
  <c r="AK152" i="32"/>
  <c r="AK153" i="32"/>
  <c r="AK154" i="32"/>
  <c r="AK155" i="32"/>
  <c r="AK156" i="32"/>
  <c r="AK157" i="32"/>
  <c r="AK158" i="32"/>
  <c r="AK159" i="32"/>
  <c r="AK160" i="32"/>
  <c r="AK161" i="32"/>
  <c r="AK162" i="32"/>
  <c r="AK163" i="32"/>
  <c r="AK164" i="32"/>
  <c r="AK165" i="32"/>
  <c r="AK166" i="32"/>
  <c r="AK167" i="32"/>
  <c r="AK168" i="32"/>
  <c r="AK169" i="32"/>
  <c r="AK170" i="32"/>
  <c r="AK171" i="32"/>
  <c r="AK172" i="32"/>
  <c r="AK173" i="32"/>
  <c r="AK174" i="32"/>
  <c r="AK175" i="32"/>
  <c r="AK176" i="32"/>
  <c r="AK177" i="32"/>
  <c r="AK178" i="32"/>
  <c r="AK179" i="32"/>
  <c r="AK180" i="32"/>
  <c r="AK181" i="32"/>
  <c r="AK182" i="32"/>
  <c r="AK183" i="32"/>
  <c r="AK184" i="32"/>
  <c r="AK185" i="32"/>
  <c r="AK186" i="32"/>
  <c r="AK187" i="32"/>
  <c r="AK188" i="32"/>
  <c r="AK189" i="32"/>
  <c r="AK190" i="32"/>
  <c r="AK191" i="32"/>
  <c r="AK192" i="32"/>
  <c r="AK193" i="32"/>
  <c r="AK194" i="32"/>
  <c r="AK195" i="32"/>
  <c r="AK196" i="32"/>
  <c r="AK197" i="32"/>
  <c r="AK198" i="32"/>
  <c r="AK199" i="32"/>
  <c r="AK200" i="32"/>
  <c r="AK201" i="32"/>
  <c r="AK202" i="32"/>
  <c r="AK203" i="32"/>
  <c r="AK204" i="32"/>
  <c r="AK205" i="32"/>
  <c r="AK206" i="32"/>
  <c r="AK207" i="32"/>
  <c r="AK208" i="32"/>
  <c r="AK209" i="32"/>
  <c r="AK210" i="32"/>
  <c r="AK211" i="32"/>
  <c r="AK212" i="32"/>
  <c r="AK213" i="32"/>
  <c r="AK214" i="32"/>
  <c r="AK215" i="32"/>
  <c r="AK216" i="32"/>
  <c r="AK217" i="32"/>
  <c r="AK218" i="32"/>
  <c r="AK219" i="32"/>
  <c r="AK220" i="32"/>
  <c r="AK221" i="32"/>
  <c r="AK222" i="32"/>
  <c r="AK223" i="32"/>
  <c r="AK224" i="32"/>
  <c r="AK225" i="32"/>
  <c r="AK226" i="32"/>
  <c r="AK227" i="32"/>
  <c r="AK228" i="32"/>
  <c r="AK229" i="32"/>
  <c r="AK230" i="32"/>
  <c r="AK231" i="32"/>
  <c r="AK232" i="32"/>
  <c r="AK233" i="32"/>
  <c r="AK234" i="32"/>
  <c r="AK235" i="32"/>
  <c r="AK236" i="32"/>
  <c r="AK237" i="32"/>
  <c r="AK238" i="32"/>
  <c r="AK239" i="32"/>
  <c r="AK240" i="32"/>
  <c r="AK241" i="32"/>
  <c r="AK242" i="32"/>
  <c r="AK243" i="32"/>
  <c r="AK244" i="32"/>
  <c r="AK245" i="32"/>
  <c r="AK246" i="32"/>
  <c r="AK247" i="32"/>
  <c r="AK248" i="32"/>
  <c r="AK249" i="32"/>
  <c r="AK250" i="32"/>
  <c r="AK251" i="32"/>
  <c r="AK252" i="32"/>
  <c r="AK253" i="32"/>
  <c r="AK254" i="32"/>
  <c r="AK255" i="32"/>
  <c r="AK256" i="32"/>
  <c r="AK257" i="32"/>
  <c r="AK258" i="32"/>
  <c r="AK259" i="32"/>
  <c r="AK260" i="32"/>
  <c r="AK261" i="32"/>
  <c r="AK262" i="32"/>
  <c r="AK263" i="32"/>
  <c r="AK264" i="32"/>
  <c r="AK265" i="32"/>
  <c r="AK266" i="32"/>
  <c r="AK267" i="32"/>
  <c r="AK268" i="32"/>
  <c r="AK269" i="32"/>
  <c r="AK270" i="32"/>
  <c r="AK271" i="32"/>
  <c r="AK272" i="32"/>
  <c r="AK273" i="32"/>
  <c r="AK274" i="32"/>
  <c r="AK275" i="32"/>
  <c r="AK276" i="32"/>
  <c r="AK277" i="32"/>
  <c r="AK278" i="32"/>
  <c r="AK279" i="32"/>
  <c r="AK280" i="32"/>
  <c r="AK281" i="32"/>
  <c r="AK282" i="32"/>
  <c r="AK283" i="32"/>
  <c r="AK284" i="32"/>
  <c r="AK285" i="32"/>
  <c r="AK286" i="32"/>
  <c r="AK287" i="32"/>
  <c r="AK288" i="32"/>
  <c r="AK289" i="32"/>
  <c r="AK290" i="32"/>
  <c r="AK291" i="32"/>
  <c r="AK292" i="32"/>
  <c r="AK293" i="32"/>
  <c r="AK294" i="32"/>
  <c r="AK295" i="32"/>
  <c r="AK296" i="32"/>
  <c r="AK297" i="32"/>
  <c r="AK298" i="32"/>
  <c r="AK299" i="32"/>
  <c r="AK300" i="32"/>
  <c r="AK301" i="32"/>
  <c r="AK302" i="32"/>
  <c r="AK303" i="32"/>
  <c r="AK304" i="32"/>
  <c r="AK305" i="32"/>
  <c r="AK306" i="32"/>
  <c r="AK307" i="32"/>
  <c r="AK308" i="32"/>
  <c r="AK309" i="32"/>
  <c r="AK310" i="32"/>
  <c r="AK311" i="32"/>
  <c r="AK312" i="32"/>
  <c r="AK313" i="32"/>
  <c r="AK314" i="32"/>
  <c r="AK315" i="32"/>
  <c r="AK316" i="32"/>
  <c r="AK317" i="32"/>
  <c r="AK318" i="32"/>
  <c r="AK319" i="32"/>
  <c r="AK320" i="32"/>
  <c r="AK321" i="32"/>
  <c r="AK322" i="32"/>
  <c r="AK323" i="32"/>
  <c r="AK324" i="32"/>
  <c r="AK325" i="32"/>
  <c r="AK326" i="32"/>
  <c r="AK327" i="32"/>
  <c r="AK328" i="32"/>
  <c r="AK329" i="32"/>
  <c r="AK330" i="32"/>
  <c r="AK331" i="32"/>
  <c r="AK332" i="32"/>
  <c r="AK333" i="32"/>
  <c r="AK334" i="32"/>
  <c r="AK335" i="32"/>
  <c r="AK336" i="32"/>
  <c r="AK337" i="32"/>
  <c r="AK338" i="32"/>
  <c r="AK339" i="32"/>
  <c r="AK340" i="32"/>
  <c r="AK341" i="32"/>
  <c r="AK342" i="32"/>
  <c r="AK343" i="32"/>
  <c r="AK344" i="32"/>
  <c r="AK345" i="32"/>
  <c r="AK346" i="32"/>
  <c r="AK347" i="32"/>
  <c r="AK348" i="32"/>
  <c r="AK349" i="32"/>
  <c r="AK350" i="32"/>
  <c r="AK351" i="32"/>
  <c r="AK352" i="32"/>
  <c r="AK353" i="32"/>
  <c r="AK354" i="32"/>
  <c r="AK355" i="32"/>
  <c r="AK356" i="32"/>
  <c r="AK357" i="32"/>
  <c r="AK358" i="32"/>
  <c r="AK359" i="32"/>
  <c r="AK360" i="32"/>
  <c r="AK361" i="32"/>
  <c r="AK362" i="32"/>
  <c r="AK363" i="32"/>
  <c r="AK364" i="32"/>
  <c r="AK365" i="32"/>
  <c r="AK366" i="32"/>
  <c r="AK367" i="32"/>
  <c r="AK368" i="32"/>
  <c r="AK369" i="32"/>
  <c r="AK370" i="32"/>
  <c r="AK371" i="32"/>
  <c r="AK372" i="32"/>
  <c r="AK373" i="32"/>
  <c r="AK374" i="32"/>
  <c r="AK375" i="32"/>
  <c r="AK376" i="32"/>
  <c r="AK377" i="32"/>
  <c r="AK378" i="32"/>
  <c r="AK379" i="32"/>
  <c r="AK380" i="32"/>
  <c r="AK381" i="32"/>
  <c r="AK382" i="32"/>
  <c r="AK383" i="32"/>
  <c r="AK384" i="32"/>
  <c r="AK385" i="32"/>
  <c r="AK386" i="32"/>
  <c r="AK387" i="32"/>
  <c r="AK388" i="32"/>
  <c r="AK389" i="32"/>
  <c r="AK390" i="32"/>
  <c r="AK391" i="32"/>
  <c r="AK392" i="32"/>
  <c r="AK393" i="32"/>
  <c r="AK394" i="32"/>
  <c r="AK395" i="32"/>
  <c r="AK396" i="32"/>
  <c r="AK397" i="32"/>
  <c r="AK398" i="32"/>
  <c r="AK399" i="32"/>
  <c r="AK400" i="32"/>
  <c r="AK401" i="32"/>
  <c r="AK402" i="32"/>
  <c r="AK403" i="32"/>
  <c r="AK404" i="32"/>
  <c r="AK405" i="32"/>
  <c r="AK406" i="32"/>
  <c r="AK407" i="32"/>
  <c r="AK408" i="32"/>
  <c r="AK409" i="32"/>
  <c r="AK410" i="32"/>
  <c r="AK411" i="32"/>
  <c r="AK412" i="32"/>
  <c r="AK413" i="32"/>
  <c r="AK414" i="32"/>
  <c r="AK415" i="32"/>
  <c r="AK416" i="32"/>
  <c r="AK417" i="32"/>
  <c r="AK418" i="32"/>
  <c r="AK419" i="32"/>
  <c r="AK420" i="32"/>
  <c r="AK421" i="32"/>
  <c r="AK422" i="32"/>
  <c r="AK423" i="32"/>
  <c r="AK424" i="32"/>
  <c r="AK425" i="32"/>
  <c r="AK426" i="32"/>
  <c r="AK427" i="32"/>
  <c r="AK428" i="32"/>
  <c r="AK429" i="32"/>
  <c r="AK430" i="32"/>
  <c r="AK431" i="32"/>
  <c r="AK432" i="32"/>
  <c r="AK433" i="32"/>
  <c r="AK434" i="32"/>
  <c r="AK435" i="32"/>
  <c r="AK436" i="32"/>
  <c r="AK437" i="32"/>
  <c r="AK438" i="32"/>
  <c r="AK439" i="32"/>
  <c r="AK440" i="32"/>
  <c r="AK441" i="32"/>
  <c r="AK442" i="32"/>
  <c r="AK443" i="32"/>
  <c r="AK444" i="32"/>
  <c r="AK445" i="32"/>
  <c r="AK446" i="32"/>
  <c r="AK447" i="32"/>
  <c r="AK448" i="32"/>
  <c r="AK449" i="32"/>
  <c r="AK450" i="32"/>
  <c r="AK451" i="32"/>
  <c r="AJ5" i="32"/>
  <c r="AJ6" i="32"/>
  <c r="AJ7" i="32"/>
  <c r="AJ8" i="32"/>
  <c r="AJ9" i="32"/>
  <c r="AJ10" i="32"/>
  <c r="AJ11" i="32"/>
  <c r="AJ12" i="32"/>
  <c r="AJ13" i="32"/>
  <c r="AJ14" i="32"/>
  <c r="AJ15" i="32"/>
  <c r="AJ16" i="32"/>
  <c r="AJ17" i="32"/>
  <c r="AJ18" i="32"/>
  <c r="AJ19" i="32"/>
  <c r="AJ20" i="32"/>
  <c r="AJ21" i="32"/>
  <c r="AJ22" i="32"/>
  <c r="AJ23" i="32"/>
  <c r="AJ24" i="32"/>
  <c r="AJ25" i="32"/>
  <c r="AJ26" i="32"/>
  <c r="AJ27" i="32"/>
  <c r="AJ28" i="32"/>
  <c r="AJ29" i="32"/>
  <c r="AJ30" i="32"/>
  <c r="AJ31" i="32"/>
  <c r="AJ32" i="32"/>
  <c r="AJ33" i="32"/>
  <c r="AJ34" i="32"/>
  <c r="AJ35" i="32"/>
  <c r="AJ36" i="32"/>
  <c r="AJ37" i="32"/>
  <c r="AJ38" i="32"/>
  <c r="AJ39" i="32"/>
  <c r="AJ40" i="32"/>
  <c r="AJ41" i="32"/>
  <c r="AJ42" i="32"/>
  <c r="AJ43" i="32"/>
  <c r="AJ44" i="32"/>
  <c r="AJ45" i="32"/>
  <c r="AJ46" i="32"/>
  <c r="AJ47" i="32"/>
  <c r="AJ48" i="32"/>
  <c r="AJ49" i="32"/>
  <c r="AJ50" i="32"/>
  <c r="AJ51" i="32"/>
  <c r="AJ52" i="32"/>
  <c r="AJ53" i="32"/>
  <c r="AJ54" i="32"/>
  <c r="AJ55" i="32"/>
  <c r="AJ56" i="32"/>
  <c r="AJ57" i="32"/>
  <c r="AJ58" i="32"/>
  <c r="AJ59" i="32"/>
  <c r="AJ60" i="32"/>
  <c r="AJ61" i="32"/>
  <c r="AJ62" i="32"/>
  <c r="AJ63" i="32"/>
  <c r="AJ64" i="32"/>
  <c r="AJ65" i="32"/>
  <c r="AJ66" i="32"/>
  <c r="AJ67" i="32"/>
  <c r="AJ68" i="32"/>
  <c r="AJ69" i="32"/>
  <c r="AJ70" i="32"/>
  <c r="AJ71" i="32"/>
  <c r="AJ72" i="32"/>
  <c r="AJ73" i="32"/>
  <c r="AJ74" i="32"/>
  <c r="AJ75" i="32"/>
  <c r="AJ76" i="32"/>
  <c r="AJ77" i="32"/>
  <c r="AJ78" i="32"/>
  <c r="AJ79" i="32"/>
  <c r="AJ80" i="32"/>
  <c r="AJ81" i="32"/>
  <c r="AJ82" i="32"/>
  <c r="AJ83" i="32"/>
  <c r="AJ84" i="32"/>
  <c r="AJ85" i="32"/>
  <c r="AJ86" i="32"/>
  <c r="AJ87" i="32"/>
  <c r="AJ88" i="32"/>
  <c r="AJ89" i="32"/>
  <c r="AJ90" i="32"/>
  <c r="AJ91" i="32"/>
  <c r="AJ92" i="32"/>
  <c r="AJ93" i="32"/>
  <c r="AJ94" i="32"/>
  <c r="AJ95" i="32"/>
  <c r="AJ96" i="32"/>
  <c r="AJ97" i="32"/>
  <c r="AJ98" i="32"/>
  <c r="AJ99" i="32"/>
  <c r="AJ100" i="32"/>
  <c r="AJ101" i="32"/>
  <c r="AJ102" i="32"/>
  <c r="AJ103" i="32"/>
  <c r="AJ104" i="32"/>
  <c r="AJ105" i="32"/>
  <c r="AJ106" i="32"/>
  <c r="AJ107" i="32"/>
  <c r="AJ108" i="32"/>
  <c r="AJ109" i="32"/>
  <c r="AJ110" i="32"/>
  <c r="AJ111" i="32"/>
  <c r="AJ112" i="32"/>
  <c r="AJ113" i="32"/>
  <c r="AJ114" i="32"/>
  <c r="AJ115" i="32"/>
  <c r="AJ116" i="32"/>
  <c r="AJ117" i="32"/>
  <c r="AJ118" i="32"/>
  <c r="AJ119" i="32"/>
  <c r="AJ120" i="32"/>
  <c r="AJ121" i="32"/>
  <c r="AJ122" i="32"/>
  <c r="AJ123" i="32"/>
  <c r="AJ124" i="32"/>
  <c r="AJ125" i="32"/>
  <c r="AJ126" i="32"/>
  <c r="AJ127" i="32"/>
  <c r="AJ128" i="32"/>
  <c r="AJ129" i="32"/>
  <c r="AJ130" i="32"/>
  <c r="AJ131" i="32"/>
  <c r="AJ132" i="32"/>
  <c r="AJ133" i="32"/>
  <c r="AJ134" i="32"/>
  <c r="AJ135" i="32"/>
  <c r="AJ136" i="32"/>
  <c r="AJ137" i="32"/>
  <c r="AJ138" i="32"/>
  <c r="AJ139" i="32"/>
  <c r="AJ140" i="32"/>
  <c r="AJ141" i="32"/>
  <c r="AJ142" i="32"/>
  <c r="AJ143" i="32"/>
  <c r="AJ144" i="32"/>
  <c r="AJ145" i="32"/>
  <c r="AJ146" i="32"/>
  <c r="AJ147" i="32"/>
  <c r="AJ148" i="32"/>
  <c r="AJ149" i="32"/>
  <c r="AJ150" i="32"/>
  <c r="AJ151" i="32"/>
  <c r="AJ152" i="32"/>
  <c r="AJ153" i="32"/>
  <c r="AJ154" i="32"/>
  <c r="AJ155" i="32"/>
  <c r="AJ156" i="32"/>
  <c r="AJ157" i="32"/>
  <c r="AJ158" i="32"/>
  <c r="AJ159" i="32"/>
  <c r="AJ160" i="32"/>
  <c r="AJ161" i="32"/>
  <c r="AJ162" i="32"/>
  <c r="AJ163" i="32"/>
  <c r="AJ164" i="32"/>
  <c r="AJ165" i="32"/>
  <c r="AJ166" i="32"/>
  <c r="AJ167" i="32"/>
  <c r="AJ168" i="32"/>
  <c r="AJ169" i="32"/>
  <c r="AJ170" i="32"/>
  <c r="AJ171" i="32"/>
  <c r="AJ172" i="32"/>
  <c r="AJ173" i="32"/>
  <c r="AJ174" i="32"/>
  <c r="AJ175" i="32"/>
  <c r="AJ176" i="32"/>
  <c r="AJ177" i="32"/>
  <c r="AJ178" i="32"/>
  <c r="AJ179" i="32"/>
  <c r="AJ180" i="32"/>
  <c r="AJ181" i="32"/>
  <c r="AJ182" i="32"/>
  <c r="AJ183" i="32"/>
  <c r="AJ184" i="32"/>
  <c r="AJ185" i="32"/>
  <c r="AJ186" i="32"/>
  <c r="AJ187" i="32"/>
  <c r="AJ188" i="32"/>
  <c r="AJ189" i="32"/>
  <c r="AJ190" i="32"/>
  <c r="AJ191" i="32"/>
  <c r="AJ192" i="32"/>
  <c r="AJ193" i="32"/>
  <c r="AJ194" i="32"/>
  <c r="AJ195" i="32"/>
  <c r="AJ196" i="32"/>
  <c r="AJ197" i="32"/>
  <c r="AJ198" i="32"/>
  <c r="AJ199" i="32"/>
  <c r="AJ200" i="32"/>
  <c r="AJ201" i="32"/>
  <c r="AJ202" i="32"/>
  <c r="AJ203" i="32"/>
  <c r="AJ204" i="32"/>
  <c r="AJ205" i="32"/>
  <c r="AJ206" i="32"/>
  <c r="AJ207" i="32"/>
  <c r="AJ208" i="32"/>
  <c r="AJ209" i="32"/>
  <c r="AJ210" i="32"/>
  <c r="AJ211" i="32"/>
  <c r="AJ212" i="32"/>
  <c r="AJ213" i="32"/>
  <c r="AJ214" i="32"/>
  <c r="AJ215" i="32"/>
  <c r="AJ216" i="32"/>
  <c r="AJ217" i="32"/>
  <c r="AJ218" i="32"/>
  <c r="AJ219" i="32"/>
  <c r="AJ220" i="32"/>
  <c r="AJ221" i="32"/>
  <c r="AJ222" i="32"/>
  <c r="AJ223" i="32"/>
  <c r="AJ224" i="32"/>
  <c r="AJ225" i="32"/>
  <c r="AJ226" i="32"/>
  <c r="AJ227" i="32"/>
  <c r="AJ228" i="32"/>
  <c r="AJ229" i="32"/>
  <c r="AJ230" i="32"/>
  <c r="AJ231" i="32"/>
  <c r="AJ232" i="32"/>
  <c r="AJ233" i="32"/>
  <c r="AJ234" i="32"/>
  <c r="AJ235" i="32"/>
  <c r="AJ236" i="32"/>
  <c r="AJ237" i="32"/>
  <c r="AJ238" i="32"/>
  <c r="AJ239" i="32"/>
  <c r="AJ240" i="32"/>
  <c r="AJ241" i="32"/>
  <c r="AJ242" i="32"/>
  <c r="AJ243" i="32"/>
  <c r="AJ244" i="32"/>
  <c r="AJ245" i="32"/>
  <c r="AJ246" i="32"/>
  <c r="AJ247" i="32"/>
  <c r="AJ248" i="32"/>
  <c r="AJ249" i="32"/>
  <c r="AJ250" i="32"/>
  <c r="AJ251" i="32"/>
  <c r="AJ252" i="32"/>
  <c r="AJ253" i="32"/>
  <c r="AJ254" i="32"/>
  <c r="AJ255" i="32"/>
  <c r="AJ256" i="32"/>
  <c r="AJ257" i="32"/>
  <c r="AJ258" i="32"/>
  <c r="AJ259" i="32"/>
  <c r="AJ260" i="32"/>
  <c r="AJ261" i="32"/>
  <c r="AJ262" i="32"/>
  <c r="AJ263" i="32"/>
  <c r="AJ264" i="32"/>
  <c r="AJ265" i="32"/>
  <c r="AJ266" i="32"/>
  <c r="AJ267" i="32"/>
  <c r="AJ268" i="32"/>
  <c r="AJ269" i="32"/>
  <c r="AJ270" i="32"/>
  <c r="AJ271" i="32"/>
  <c r="AJ272" i="32"/>
  <c r="AJ273" i="32"/>
  <c r="AJ274" i="32"/>
  <c r="AJ275" i="32"/>
  <c r="AJ276" i="32"/>
  <c r="AJ277" i="32"/>
  <c r="AJ278" i="32"/>
  <c r="AJ279" i="32"/>
  <c r="AJ280" i="32"/>
  <c r="AJ281" i="32"/>
  <c r="AJ282" i="32"/>
  <c r="AJ283" i="32"/>
  <c r="AJ284" i="32"/>
  <c r="AJ285" i="32"/>
  <c r="AJ286" i="32"/>
  <c r="AJ287" i="32"/>
  <c r="AJ288" i="32"/>
  <c r="AJ289" i="32"/>
  <c r="AJ290" i="32"/>
  <c r="AJ291" i="32"/>
  <c r="AJ292" i="32"/>
  <c r="AJ293" i="32"/>
  <c r="AJ294" i="32"/>
  <c r="AJ295" i="32"/>
  <c r="AJ296" i="32"/>
  <c r="AJ297" i="32"/>
  <c r="AJ298" i="32"/>
  <c r="AJ299" i="32"/>
  <c r="AJ300" i="32"/>
  <c r="AJ301" i="32"/>
  <c r="AJ302" i="32"/>
  <c r="AJ303" i="32"/>
  <c r="AJ304" i="32"/>
  <c r="AJ305" i="32"/>
  <c r="AJ306" i="32"/>
  <c r="AJ307" i="32"/>
  <c r="AJ308" i="32"/>
  <c r="AJ309" i="32"/>
  <c r="AJ310" i="32"/>
  <c r="AJ311" i="32"/>
  <c r="AJ312" i="32"/>
  <c r="AJ313" i="32"/>
  <c r="AJ314" i="32"/>
  <c r="AJ315" i="32"/>
  <c r="AJ316" i="32"/>
  <c r="AJ317" i="32"/>
  <c r="AJ318" i="32"/>
  <c r="AJ319" i="32"/>
  <c r="AJ320" i="32"/>
  <c r="AJ321" i="32"/>
  <c r="AJ322" i="32"/>
  <c r="AJ323" i="32"/>
  <c r="AJ324" i="32"/>
  <c r="AJ325" i="32"/>
  <c r="AJ326" i="32"/>
  <c r="AJ327" i="32"/>
  <c r="AJ328" i="32"/>
  <c r="AJ329" i="32"/>
  <c r="AJ330" i="32"/>
  <c r="AJ331" i="32"/>
  <c r="AJ332" i="32"/>
  <c r="AJ333" i="32"/>
  <c r="AJ334" i="32"/>
  <c r="AJ335" i="32"/>
  <c r="AJ336" i="32"/>
  <c r="AJ337" i="32"/>
  <c r="AJ338" i="32"/>
  <c r="AJ339" i="32"/>
  <c r="AJ340" i="32"/>
  <c r="AJ341" i="32"/>
  <c r="AJ342" i="32"/>
  <c r="AJ343" i="32"/>
  <c r="AJ344" i="32"/>
  <c r="AJ345" i="32"/>
  <c r="AJ346" i="32"/>
  <c r="AJ347" i="32"/>
  <c r="AJ348" i="32"/>
  <c r="AJ349" i="32"/>
  <c r="AJ350" i="32"/>
  <c r="AJ351" i="32"/>
  <c r="AJ352" i="32"/>
  <c r="AJ353" i="32"/>
  <c r="AJ354" i="32"/>
  <c r="AJ355" i="32"/>
  <c r="AJ356" i="32"/>
  <c r="AJ357" i="32"/>
  <c r="AJ358" i="32"/>
  <c r="AJ359" i="32"/>
  <c r="AJ360" i="32"/>
  <c r="AJ361" i="32"/>
  <c r="AJ362" i="32"/>
  <c r="AJ363" i="32"/>
  <c r="AJ364" i="32"/>
  <c r="AJ365" i="32"/>
  <c r="AJ366" i="32"/>
  <c r="AJ367" i="32"/>
  <c r="AJ368" i="32"/>
  <c r="AJ369" i="32"/>
  <c r="AJ370" i="32"/>
  <c r="AJ371" i="32"/>
  <c r="AJ372" i="32"/>
  <c r="AJ373" i="32"/>
  <c r="AJ374" i="32"/>
  <c r="AJ375" i="32"/>
  <c r="AJ376" i="32"/>
  <c r="AJ377" i="32"/>
  <c r="AJ378" i="32"/>
  <c r="AJ379" i="32"/>
  <c r="AJ380" i="32"/>
  <c r="AJ381" i="32"/>
  <c r="AJ382" i="32"/>
  <c r="AJ383" i="32"/>
  <c r="AJ384" i="32"/>
  <c r="AJ385" i="32"/>
  <c r="AJ386" i="32"/>
  <c r="AJ387" i="32"/>
  <c r="AJ388" i="32"/>
  <c r="AJ389" i="32"/>
  <c r="AJ390" i="32"/>
  <c r="AJ391" i="32"/>
  <c r="AJ392" i="32"/>
  <c r="AJ393" i="32"/>
  <c r="AJ394" i="32"/>
  <c r="AJ395" i="32"/>
  <c r="AJ396" i="32"/>
  <c r="AJ397" i="32"/>
  <c r="AJ398" i="32"/>
  <c r="AJ399" i="32"/>
  <c r="AJ400" i="32"/>
  <c r="AJ401" i="32"/>
  <c r="AJ402" i="32"/>
  <c r="AJ403" i="32"/>
  <c r="AJ404" i="32"/>
  <c r="AJ405" i="32"/>
  <c r="AJ406" i="32"/>
  <c r="AJ407" i="32"/>
  <c r="AJ408" i="32"/>
  <c r="AJ409" i="32"/>
  <c r="AJ410" i="32"/>
  <c r="AJ411" i="32"/>
  <c r="AJ412" i="32"/>
  <c r="AJ413" i="32"/>
  <c r="AJ414" i="32"/>
  <c r="AJ415" i="32"/>
  <c r="AJ416" i="32"/>
  <c r="AJ417" i="32"/>
  <c r="AJ418" i="32"/>
  <c r="AJ419" i="32"/>
  <c r="AJ420" i="32"/>
  <c r="AJ421" i="32"/>
  <c r="AJ422" i="32"/>
  <c r="AJ423" i="32"/>
  <c r="AJ424" i="32"/>
  <c r="AJ425" i="32"/>
  <c r="AJ426" i="32"/>
  <c r="AJ427" i="32"/>
  <c r="AJ428" i="32"/>
  <c r="AJ429" i="32"/>
  <c r="AJ430" i="32"/>
  <c r="AJ431" i="32"/>
  <c r="AJ432" i="32"/>
  <c r="AJ433" i="32"/>
  <c r="AJ434" i="32"/>
  <c r="AJ435" i="32"/>
  <c r="AJ436" i="32"/>
  <c r="AJ437" i="32"/>
  <c r="AJ438" i="32"/>
  <c r="AJ439" i="32"/>
  <c r="AJ440" i="32"/>
  <c r="AJ441" i="32"/>
  <c r="AJ442" i="32"/>
  <c r="AJ443" i="32"/>
  <c r="AJ444" i="32"/>
  <c r="AJ445" i="32"/>
  <c r="AJ446" i="32"/>
  <c r="AJ447" i="32"/>
  <c r="AJ448" i="32"/>
  <c r="AJ449" i="32"/>
  <c r="AJ450" i="32"/>
  <c r="AJ451" i="32"/>
  <c r="AJ4" i="32"/>
  <c r="T244" i="32"/>
  <c r="O14" i="12"/>
  <c r="K453" i="25"/>
  <c r="H307" i="37"/>
  <c r="G235" i="32"/>
  <c r="Q57" i="12"/>
  <c r="K716" i="25"/>
  <c r="I350" i="37"/>
  <c r="H278" i="32"/>
  <c r="Q112" i="12"/>
  <c r="K771" i="25"/>
  <c r="I405" i="37"/>
  <c r="H333" i="32"/>
  <c r="K838" i="31"/>
  <c r="C400"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E571" i="32"/>
  <c r="E572" i="32"/>
  <c r="E573" i="32"/>
  <c r="E574" i="32"/>
  <c r="E575" i="32"/>
  <c r="E576" i="32"/>
  <c r="E577" i="32"/>
  <c r="E578" i="32"/>
  <c r="E579" i="32"/>
  <c r="E580" i="32"/>
  <c r="E581" i="32"/>
  <c r="E582" i="32"/>
  <c r="E583" i="32"/>
  <c r="E584" i="32"/>
  <c r="E585" i="32"/>
  <c r="E586" i="32"/>
  <c r="E587" i="32"/>
  <c r="E588" i="32"/>
  <c r="E589" i="32"/>
  <c r="E590" i="32"/>
  <c r="E591" i="32"/>
  <c r="E592" i="32"/>
  <c r="E593" i="32"/>
  <c r="E594" i="32"/>
  <c r="E595" i="32"/>
  <c r="E596" i="32"/>
  <c r="E597" i="32"/>
  <c r="E598" i="32"/>
  <c r="E599" i="32"/>
  <c r="E600" i="32"/>
  <c r="E601" i="32"/>
  <c r="E602" i="32"/>
  <c r="E603" i="32"/>
  <c r="E604" i="32"/>
  <c r="E605" i="32"/>
  <c r="E606" i="32"/>
  <c r="E607" i="32"/>
  <c r="E608" i="32"/>
  <c r="E609" i="32"/>
  <c r="E610" i="32"/>
  <c r="E611" i="32"/>
  <c r="E612" i="32"/>
  <c r="E613" i="32"/>
  <c r="E614" i="32"/>
  <c r="E615" i="32"/>
  <c r="E616" i="32"/>
  <c r="E617" i="32"/>
  <c r="E618" i="32"/>
  <c r="E619" i="32"/>
  <c r="E620" i="32"/>
  <c r="E621" i="32"/>
  <c r="E622" i="32"/>
  <c r="E623" i="32"/>
  <c r="E624" i="32"/>
  <c r="E625" i="32"/>
  <c r="E626" i="32"/>
  <c r="E627" i="32"/>
  <c r="E628" i="32"/>
  <c r="E629" i="32"/>
  <c r="E630" i="32"/>
  <c r="E631" i="32"/>
  <c r="E632" i="32"/>
  <c r="E633" i="32"/>
  <c r="E634" i="32"/>
  <c r="E635" i="32"/>
  <c r="E636" i="32"/>
  <c r="E637" i="32"/>
  <c r="E638" i="32"/>
  <c r="E639" i="32"/>
  <c r="E640" i="32"/>
  <c r="E641" i="32"/>
  <c r="E642" i="32"/>
  <c r="E643" i="32"/>
  <c r="E644" i="32"/>
  <c r="E645" i="32"/>
  <c r="E646" i="32"/>
  <c r="E647" i="32"/>
  <c r="E648" i="32"/>
  <c r="E649" i="32"/>
  <c r="E650" i="32"/>
  <c r="E651" i="32"/>
  <c r="E652" i="32"/>
  <c r="E653" i="32"/>
  <c r="E654" i="32"/>
  <c r="E655" i="32"/>
  <c r="E656" i="32"/>
  <c r="E657" i="32"/>
  <c r="E658" i="32"/>
  <c r="E659" i="32"/>
  <c r="E660" i="32"/>
  <c r="E661" i="32"/>
  <c r="E662" i="32"/>
  <c r="M27" i="12"/>
  <c r="AF28" i="32"/>
  <c r="AN4" i="32"/>
  <c r="K4" i="12"/>
  <c r="AE5" i="32"/>
  <c r="AM4" i="32"/>
  <c r="AM5" i="32"/>
  <c r="AM6" i="32"/>
  <c r="AM7" i="32"/>
  <c r="AM8" i="32"/>
  <c r="AM9" i="32"/>
  <c r="AM10" i="32"/>
  <c r="AM11" i="32"/>
  <c r="AM12" i="32"/>
  <c r="AM13" i="32"/>
  <c r="AM14" i="32"/>
  <c r="AM15" i="32"/>
  <c r="AM16" i="32"/>
  <c r="AM17" i="32"/>
  <c r="AM18" i="32"/>
  <c r="AM19" i="32"/>
  <c r="AM20" i="32"/>
  <c r="AM21" i="32"/>
  <c r="AM22" i="32"/>
  <c r="AM23" i="32"/>
  <c r="AM24" i="32"/>
  <c r="AM25" i="32"/>
  <c r="AM26" i="32"/>
  <c r="AM27" i="32"/>
  <c r="AM28" i="32"/>
  <c r="AM29" i="32"/>
  <c r="AM30" i="32"/>
  <c r="AM31" i="32"/>
  <c r="AM32" i="32"/>
  <c r="AM33" i="32"/>
  <c r="AM34" i="32"/>
  <c r="AM35" i="32"/>
  <c r="AM36" i="32"/>
  <c r="AM37" i="32"/>
  <c r="AM38" i="32"/>
  <c r="AM39" i="32"/>
  <c r="AM40" i="32"/>
  <c r="AM41" i="32"/>
  <c r="AM42" i="32"/>
  <c r="AM43" i="32"/>
  <c r="AM44" i="32"/>
  <c r="AM45" i="32"/>
  <c r="AM46" i="32"/>
  <c r="AM47" i="32"/>
  <c r="AM48" i="32"/>
  <c r="AM49" i="32"/>
  <c r="AM50" i="32"/>
  <c r="AM51" i="32"/>
  <c r="AM52" i="32"/>
  <c r="AM53" i="32"/>
  <c r="AM54" i="32"/>
  <c r="AM55" i="32"/>
  <c r="AM56" i="32"/>
  <c r="AM57" i="32"/>
  <c r="AM58" i="32"/>
  <c r="AM59" i="32"/>
  <c r="AM60" i="32"/>
  <c r="AM61" i="32"/>
  <c r="AM62" i="32"/>
  <c r="AM63" i="32"/>
  <c r="AM64" i="32"/>
  <c r="AM65" i="32"/>
  <c r="AM66" i="32"/>
  <c r="AM67" i="32"/>
  <c r="AM68" i="32"/>
  <c r="AM69" i="32"/>
  <c r="AM70" i="32"/>
  <c r="AM71" i="32"/>
  <c r="AM72" i="32"/>
  <c r="AM73" i="32"/>
  <c r="AM74" i="32"/>
  <c r="AM75" i="32"/>
  <c r="AM76" i="32"/>
  <c r="AM77" i="32"/>
  <c r="AM78" i="32"/>
  <c r="AM79" i="32"/>
  <c r="AM80" i="32"/>
  <c r="AM81" i="32"/>
  <c r="AM82" i="32"/>
  <c r="AM83" i="32"/>
  <c r="AM84" i="32"/>
  <c r="AM85" i="32"/>
  <c r="AM86" i="32"/>
  <c r="AM87" i="32"/>
  <c r="AM88" i="32"/>
  <c r="AM89" i="32"/>
  <c r="AM90" i="32"/>
  <c r="AM91" i="32"/>
  <c r="AM92" i="32"/>
  <c r="AM93" i="32"/>
  <c r="AM94" i="32"/>
  <c r="AM95" i="32"/>
  <c r="AM96" i="32"/>
  <c r="AM97" i="32"/>
  <c r="AM98" i="32"/>
  <c r="AM99" i="32"/>
  <c r="AM100" i="32"/>
  <c r="AM101" i="32"/>
  <c r="AM102" i="32"/>
  <c r="AM103" i="32"/>
  <c r="AM104" i="32"/>
  <c r="AM105" i="32"/>
  <c r="AM106" i="32"/>
  <c r="AM107" i="32"/>
  <c r="AM108" i="32"/>
  <c r="AM109" i="32"/>
  <c r="AM110" i="32"/>
  <c r="AM111" i="32"/>
  <c r="AM112" i="32"/>
  <c r="AM113" i="32"/>
  <c r="AM114" i="32"/>
  <c r="AM115" i="32"/>
  <c r="AM116" i="32"/>
  <c r="AM117" i="32"/>
  <c r="AM118" i="32"/>
  <c r="AM119" i="32"/>
  <c r="AM120" i="32"/>
  <c r="AM121" i="32"/>
  <c r="AM122" i="32"/>
  <c r="AM123" i="32"/>
  <c r="AM124" i="32"/>
  <c r="AM125" i="32"/>
  <c r="AM126" i="32"/>
  <c r="AM127" i="32"/>
  <c r="AM128" i="32"/>
  <c r="AM129" i="32"/>
  <c r="AM130" i="32"/>
  <c r="AM131" i="32"/>
  <c r="AM132" i="32"/>
  <c r="AM133" i="32"/>
  <c r="AM134" i="32"/>
  <c r="AM135" i="32"/>
  <c r="AM136" i="32"/>
  <c r="AM137" i="32"/>
  <c r="AM138" i="32"/>
  <c r="AM139" i="32"/>
  <c r="AM140" i="32"/>
  <c r="AM141" i="32"/>
  <c r="AM142" i="32"/>
  <c r="AM143" i="32"/>
  <c r="AM144" i="32"/>
  <c r="AM145" i="32"/>
  <c r="AM146" i="32"/>
  <c r="AM147" i="32"/>
  <c r="AM148" i="32"/>
  <c r="AM149" i="32"/>
  <c r="AM150" i="32"/>
  <c r="AM151" i="32"/>
  <c r="AM152" i="32"/>
  <c r="AM153" i="32"/>
  <c r="AM154" i="32"/>
  <c r="AM155" i="32"/>
  <c r="AM156" i="32"/>
  <c r="AM157" i="32"/>
  <c r="AM158" i="32"/>
  <c r="AM159" i="32"/>
  <c r="AM160" i="32"/>
  <c r="AM161" i="32"/>
  <c r="AM162" i="32"/>
  <c r="AM163" i="32"/>
  <c r="AM164" i="32"/>
  <c r="AM165" i="32"/>
  <c r="AM166" i="32"/>
  <c r="AM167" i="32"/>
  <c r="AM168" i="32"/>
  <c r="AM169" i="32"/>
  <c r="AM170" i="32"/>
  <c r="AM171" i="32"/>
  <c r="AM172" i="32"/>
  <c r="AM173" i="32"/>
  <c r="AM174" i="32"/>
  <c r="AM175" i="32"/>
  <c r="AM176" i="32"/>
  <c r="AM177" i="32"/>
  <c r="AM178" i="32"/>
  <c r="AM179" i="32"/>
  <c r="AM180" i="32"/>
  <c r="AM181" i="32"/>
  <c r="AM182" i="32"/>
  <c r="AM183" i="32"/>
  <c r="AM184" i="32"/>
  <c r="AM185" i="32"/>
  <c r="AM186" i="32"/>
  <c r="AM187" i="32"/>
  <c r="AM188" i="32"/>
  <c r="AM189" i="32"/>
  <c r="AM190" i="32"/>
  <c r="AM191" i="32"/>
  <c r="AM192" i="32"/>
  <c r="AM193" i="32"/>
  <c r="AM194" i="32"/>
  <c r="AM195" i="32"/>
  <c r="AM196" i="32"/>
  <c r="AM197" i="32"/>
  <c r="AM198" i="32"/>
  <c r="AM199" i="32"/>
  <c r="AM200" i="32"/>
  <c r="AM201" i="32"/>
  <c r="AM202" i="32"/>
  <c r="AM203" i="32"/>
  <c r="AM204" i="32"/>
  <c r="AM205" i="32"/>
  <c r="AM206" i="32"/>
  <c r="AM207" i="32"/>
  <c r="AM208" i="32"/>
  <c r="AM209" i="32"/>
  <c r="AM210" i="32"/>
  <c r="AM211" i="32"/>
  <c r="AM212" i="32"/>
  <c r="AM213" i="32"/>
  <c r="AM214" i="32"/>
  <c r="AM215" i="32"/>
  <c r="AM216" i="32"/>
  <c r="AM217" i="32"/>
  <c r="AM218" i="32"/>
  <c r="AM219" i="32"/>
  <c r="AM220" i="32"/>
  <c r="AM221" i="32"/>
  <c r="AM222" i="32"/>
  <c r="AM223" i="32"/>
  <c r="AM224" i="32"/>
  <c r="AM225" i="32"/>
  <c r="AM226" i="32"/>
  <c r="AM227" i="32"/>
  <c r="AM228" i="32"/>
  <c r="AM229" i="32"/>
  <c r="AM230" i="32"/>
  <c r="AM231" i="32"/>
  <c r="AM232" i="32"/>
  <c r="AM233" i="32"/>
  <c r="AM234" i="32"/>
  <c r="AM235" i="32"/>
  <c r="AM236" i="32"/>
  <c r="AM237" i="32"/>
  <c r="AM238" i="32"/>
  <c r="AM239" i="32"/>
  <c r="AM240" i="32"/>
  <c r="AM241" i="32"/>
  <c r="AM242" i="32"/>
  <c r="AM243" i="32"/>
  <c r="AM244" i="32"/>
  <c r="AM245" i="32"/>
  <c r="AM246" i="32"/>
  <c r="AM247" i="32"/>
  <c r="AM248" i="32"/>
  <c r="AM249" i="32"/>
  <c r="AM250" i="32"/>
  <c r="AM251" i="32"/>
  <c r="AM252" i="32"/>
  <c r="AM253" i="32"/>
  <c r="AM254" i="32"/>
  <c r="AM255" i="32"/>
  <c r="AM256" i="32"/>
  <c r="AM257" i="32"/>
  <c r="AM258" i="32"/>
  <c r="AM259" i="32"/>
  <c r="AM260" i="32"/>
  <c r="AM261" i="32"/>
  <c r="AM262" i="32"/>
  <c r="AM263" i="32"/>
  <c r="AM264" i="32"/>
  <c r="AM265" i="32"/>
  <c r="AM266" i="32"/>
  <c r="AM267" i="32"/>
  <c r="AM268" i="32"/>
  <c r="AM269" i="32"/>
  <c r="AM270" i="32"/>
  <c r="AM271" i="32"/>
  <c r="AM272" i="32"/>
  <c r="AM273" i="32"/>
  <c r="AM274" i="32"/>
  <c r="AM275" i="32"/>
  <c r="AM276" i="32"/>
  <c r="AM277" i="32"/>
  <c r="AM278" i="32"/>
  <c r="AM279" i="32"/>
  <c r="AM280" i="32"/>
  <c r="AM281" i="32"/>
  <c r="AM282" i="32"/>
  <c r="AM283" i="32"/>
  <c r="AM284" i="32"/>
  <c r="AM285" i="32"/>
  <c r="AM286" i="32"/>
  <c r="AM287" i="32"/>
  <c r="AM288" i="32"/>
  <c r="AM289" i="32"/>
  <c r="AM290" i="32"/>
  <c r="AM291" i="32"/>
  <c r="AM292" i="32"/>
  <c r="AM293" i="32"/>
  <c r="AM294" i="32"/>
  <c r="AM295" i="32"/>
  <c r="AM296" i="32"/>
  <c r="AM297" i="32"/>
  <c r="AM298" i="32"/>
  <c r="AM299" i="32"/>
  <c r="AM300" i="32"/>
  <c r="AM301" i="32"/>
  <c r="AM302" i="32"/>
  <c r="AM303" i="32"/>
  <c r="AM304" i="32"/>
  <c r="AM305" i="32"/>
  <c r="AM306" i="32"/>
  <c r="AM307" i="32"/>
  <c r="AM308" i="32"/>
  <c r="AM309" i="32"/>
  <c r="AM310" i="32"/>
  <c r="AM311" i="32"/>
  <c r="AM312" i="32"/>
  <c r="AM313" i="32"/>
  <c r="AM314" i="32"/>
  <c r="AM315" i="32"/>
  <c r="AM316" i="32"/>
  <c r="AM317" i="32"/>
  <c r="AM318" i="32"/>
  <c r="AM319" i="32"/>
  <c r="AM320" i="32"/>
  <c r="AM321" i="32"/>
  <c r="AM322" i="32"/>
  <c r="AM323" i="32"/>
  <c r="AM324" i="32"/>
  <c r="AM325" i="32"/>
  <c r="AM326" i="32"/>
  <c r="AM327" i="32"/>
  <c r="AM328" i="32"/>
  <c r="AM329" i="32"/>
  <c r="AM330" i="32"/>
  <c r="AM331" i="32"/>
  <c r="AM332" i="32"/>
  <c r="AM333" i="32"/>
  <c r="AM334" i="32"/>
  <c r="AM335" i="32"/>
  <c r="AM336" i="32"/>
  <c r="AM337" i="32"/>
  <c r="AM338" i="32"/>
  <c r="AM339" i="32"/>
  <c r="AM340" i="32"/>
  <c r="AM341" i="32"/>
  <c r="AM342" i="32"/>
  <c r="AM343" i="32"/>
  <c r="AM344" i="32"/>
  <c r="AM345" i="32"/>
  <c r="AM346" i="32"/>
  <c r="AM347" i="32"/>
  <c r="AM348" i="32"/>
  <c r="AM349" i="32"/>
  <c r="AM350" i="32"/>
  <c r="AM351" i="32"/>
  <c r="AM352" i="32"/>
  <c r="AM353" i="32"/>
  <c r="AM354" i="32"/>
  <c r="AM355" i="32"/>
  <c r="AM356" i="32"/>
  <c r="AM357" i="32"/>
  <c r="AM358" i="32"/>
  <c r="AM359" i="32"/>
  <c r="AM360" i="32"/>
  <c r="AM361" i="32"/>
  <c r="AM362" i="32"/>
  <c r="AM363" i="32"/>
  <c r="AM364" i="32"/>
  <c r="AM365" i="32"/>
  <c r="AM366" i="32"/>
  <c r="AM367" i="32"/>
  <c r="AM368" i="32"/>
  <c r="AM369" i="32"/>
  <c r="AM370" i="32"/>
  <c r="AM371" i="32"/>
  <c r="AM372" i="32"/>
  <c r="AM373" i="32"/>
  <c r="AM374" i="32"/>
  <c r="AM375" i="32"/>
  <c r="AM376" i="32"/>
  <c r="AM377" i="32"/>
  <c r="AM378" i="32"/>
  <c r="AM379" i="32"/>
  <c r="AM380" i="32"/>
  <c r="AM381" i="32"/>
  <c r="AM382" i="32"/>
  <c r="AM383" i="32"/>
  <c r="AM384" i="32"/>
  <c r="AM385" i="32"/>
  <c r="AM386" i="32"/>
  <c r="AM387" i="32"/>
  <c r="AM388" i="32"/>
  <c r="AM389" i="32"/>
  <c r="AM390" i="32"/>
  <c r="AM391" i="32"/>
  <c r="AM392" i="32"/>
  <c r="AM393" i="32"/>
  <c r="AM394" i="32"/>
  <c r="AM395" i="32"/>
  <c r="AM396" i="32"/>
  <c r="AM397" i="32"/>
  <c r="AM398" i="32"/>
  <c r="AM399" i="32"/>
  <c r="AM400" i="32"/>
  <c r="AM401" i="32"/>
  <c r="AM402" i="32"/>
  <c r="AM403" i="32"/>
  <c r="AM404" i="32"/>
  <c r="AM405" i="32"/>
  <c r="AM406" i="32"/>
  <c r="AM407" i="32"/>
  <c r="AM408" i="32"/>
  <c r="AM409" i="32"/>
  <c r="AM410" i="32"/>
  <c r="AM411" i="32"/>
  <c r="AM412" i="32"/>
  <c r="AM413" i="32"/>
  <c r="AM414" i="32"/>
  <c r="AM415" i="32"/>
  <c r="AM416" i="32"/>
  <c r="AM417" i="32"/>
  <c r="AM418" i="32"/>
  <c r="AM419" i="32"/>
  <c r="AM420" i="32"/>
  <c r="AM421" i="32"/>
  <c r="AM422" i="32"/>
  <c r="AM423" i="32"/>
  <c r="AM424" i="32"/>
  <c r="AM425" i="32"/>
  <c r="AM426" i="32"/>
  <c r="AM427" i="32"/>
  <c r="AM428" i="32"/>
  <c r="AM429" i="32"/>
  <c r="AM430" i="32"/>
  <c r="AM431" i="32"/>
  <c r="AM432" i="32"/>
  <c r="AM433" i="32"/>
  <c r="AM434" i="32"/>
  <c r="AM435" i="32"/>
  <c r="AM436" i="32"/>
  <c r="AM437" i="32"/>
  <c r="AM438" i="32"/>
  <c r="AM439" i="32"/>
  <c r="AM440" i="32"/>
  <c r="AM441" i="32"/>
  <c r="AM442" i="32"/>
  <c r="AM443" i="32"/>
  <c r="AM444" i="32"/>
  <c r="AM445" i="32"/>
  <c r="AM446" i="32"/>
  <c r="AM447" i="32"/>
  <c r="K5" i="12"/>
  <c r="AE6" i="32"/>
  <c r="K6" i="12"/>
  <c r="AE7" i="32"/>
  <c r="K7" i="12"/>
  <c r="AE8" i="32"/>
  <c r="K8" i="12"/>
  <c r="AE9" i="32"/>
  <c r="K9" i="12"/>
  <c r="AE10" i="32"/>
  <c r="K10" i="12"/>
  <c r="AE11" i="32"/>
  <c r="K11" i="12"/>
  <c r="AE12" i="32"/>
  <c r="K12" i="12"/>
  <c r="AE13" i="32"/>
  <c r="K13" i="12"/>
  <c r="AE14" i="32"/>
  <c r="K14" i="12"/>
  <c r="AE15" i="32"/>
  <c r="K15" i="12"/>
  <c r="AE16" i="32"/>
  <c r="K16" i="12"/>
  <c r="AE17" i="32"/>
  <c r="K17" i="12"/>
  <c r="AE18" i="32"/>
  <c r="K18" i="12"/>
  <c r="AE19" i="32"/>
  <c r="K19" i="12"/>
  <c r="AE20" i="32"/>
  <c r="K20" i="12"/>
  <c r="AE21" i="32"/>
  <c r="K21" i="12"/>
  <c r="AE22" i="32"/>
  <c r="K22" i="12"/>
  <c r="AE23" i="32"/>
  <c r="K23" i="12"/>
  <c r="AE24" i="32"/>
  <c r="K24" i="12"/>
  <c r="AE25" i="32"/>
  <c r="K25" i="12"/>
  <c r="AE26" i="32"/>
  <c r="K26" i="12"/>
  <c r="AE27" i="32"/>
  <c r="K27" i="12"/>
  <c r="AE28" i="32"/>
  <c r="K28" i="12"/>
  <c r="AE29" i="32"/>
  <c r="K29" i="12"/>
  <c r="AE30" i="32"/>
  <c r="K30" i="12"/>
  <c r="AE31" i="32"/>
  <c r="K31" i="12"/>
  <c r="AE32" i="32"/>
  <c r="K32" i="12"/>
  <c r="AE33" i="32"/>
  <c r="K33" i="12"/>
  <c r="AE34" i="32"/>
  <c r="K34" i="12"/>
  <c r="AE35" i="32"/>
  <c r="K35" i="12"/>
  <c r="AE36" i="32"/>
  <c r="K36" i="12"/>
  <c r="AE37" i="32"/>
  <c r="K37" i="12"/>
  <c r="AE38" i="32"/>
  <c r="K38" i="12"/>
  <c r="AE39" i="32"/>
  <c r="K39" i="12"/>
  <c r="AE40" i="32"/>
  <c r="K40" i="12"/>
  <c r="AE41" i="32"/>
  <c r="K41" i="12"/>
  <c r="AE42" i="32"/>
  <c r="K42" i="12"/>
  <c r="AE43" i="32"/>
  <c r="K43" i="12"/>
  <c r="AE44" i="32"/>
  <c r="K44" i="12"/>
  <c r="AE45" i="32"/>
  <c r="K45" i="12"/>
  <c r="AE46" i="32"/>
  <c r="K46" i="12"/>
  <c r="AE47" i="32"/>
  <c r="K47" i="12"/>
  <c r="AE48" i="32"/>
  <c r="K48" i="12"/>
  <c r="AE49" i="32"/>
  <c r="K49" i="12"/>
  <c r="AE50" i="32"/>
  <c r="K50" i="12"/>
  <c r="AE51" i="32"/>
  <c r="K51" i="12"/>
  <c r="AE52" i="32"/>
  <c r="K52" i="12"/>
  <c r="AE53" i="32"/>
  <c r="K53" i="12"/>
  <c r="AE54" i="32"/>
  <c r="K54" i="12"/>
  <c r="AE55" i="32"/>
  <c r="K55" i="12"/>
  <c r="AE56" i="32"/>
  <c r="K56" i="12"/>
  <c r="AE57" i="32"/>
  <c r="K57" i="12"/>
  <c r="AE58" i="32"/>
  <c r="K58" i="12"/>
  <c r="AE59" i="32"/>
  <c r="K59" i="12"/>
  <c r="AE60" i="32"/>
  <c r="K60" i="12"/>
  <c r="AE61" i="32"/>
  <c r="K61" i="12"/>
  <c r="AE62" i="32"/>
  <c r="K62" i="12"/>
  <c r="AE63" i="32"/>
  <c r="K63" i="12"/>
  <c r="AE64" i="32"/>
  <c r="K64" i="12"/>
  <c r="AE65" i="32"/>
  <c r="K65" i="12"/>
  <c r="AE66" i="32"/>
  <c r="K66" i="12"/>
  <c r="AE67" i="32"/>
  <c r="K67" i="12"/>
  <c r="AE68" i="32"/>
  <c r="K68" i="12"/>
  <c r="AE69" i="32"/>
  <c r="K69" i="12"/>
  <c r="AE70" i="32"/>
  <c r="K70" i="12"/>
  <c r="AE71" i="32"/>
  <c r="K71" i="12"/>
  <c r="AE72" i="32"/>
  <c r="K72" i="12"/>
  <c r="AE73" i="32"/>
  <c r="K73" i="12"/>
  <c r="AE74" i="32"/>
  <c r="K74" i="12"/>
  <c r="AE75" i="32"/>
  <c r="K75" i="12"/>
  <c r="AE76" i="32"/>
  <c r="K76" i="12"/>
  <c r="AE77" i="32"/>
  <c r="K77" i="12"/>
  <c r="AE78" i="32"/>
  <c r="K78" i="12"/>
  <c r="AE79" i="32"/>
  <c r="K79" i="12"/>
  <c r="AE80" i="32"/>
  <c r="K80" i="12"/>
  <c r="AE81" i="32"/>
  <c r="K81" i="12"/>
  <c r="AE82" i="32"/>
  <c r="K82" i="12"/>
  <c r="AE83" i="32"/>
  <c r="K83" i="12"/>
  <c r="AE84" i="32"/>
  <c r="K84" i="12"/>
  <c r="AE85" i="32"/>
  <c r="K85" i="12"/>
  <c r="AE86" i="32"/>
  <c r="K86" i="12"/>
  <c r="AE87" i="32"/>
  <c r="K87" i="12"/>
  <c r="AE88" i="32"/>
  <c r="K88" i="12"/>
  <c r="AE89" i="32"/>
  <c r="K89" i="12"/>
  <c r="AE90" i="32"/>
  <c r="K90" i="12"/>
  <c r="AE91" i="32"/>
  <c r="K91" i="12"/>
  <c r="AE92" i="32"/>
  <c r="K92" i="12"/>
  <c r="AE93" i="32"/>
  <c r="K93" i="12"/>
  <c r="AE94" i="32"/>
  <c r="K94" i="12"/>
  <c r="AE95" i="32"/>
  <c r="K95" i="12"/>
  <c r="AE96" i="32"/>
  <c r="K96" i="12"/>
  <c r="AE97" i="32"/>
  <c r="K97" i="12"/>
  <c r="AE98" i="32"/>
  <c r="K98" i="12"/>
  <c r="AE99" i="32"/>
  <c r="K99" i="12"/>
  <c r="AE100" i="32"/>
  <c r="K100" i="12"/>
  <c r="AE101" i="32"/>
  <c r="K101" i="12"/>
  <c r="AE102" i="32"/>
  <c r="K102" i="12"/>
  <c r="AE103" i="32"/>
  <c r="K103" i="12"/>
  <c r="AE104" i="32"/>
  <c r="K104" i="12"/>
  <c r="AE105" i="32"/>
  <c r="K105" i="12"/>
  <c r="AE106" i="32"/>
  <c r="K106" i="12"/>
  <c r="AE107" i="32"/>
  <c r="K107" i="12"/>
  <c r="AE108" i="32"/>
  <c r="K108" i="12"/>
  <c r="AE109" i="32"/>
  <c r="K109" i="12"/>
  <c r="AE110" i="32"/>
  <c r="K110" i="12"/>
  <c r="AE111" i="32"/>
  <c r="K111" i="12"/>
  <c r="AE112" i="32"/>
  <c r="K112" i="12"/>
  <c r="AE113" i="32"/>
  <c r="K113" i="12"/>
  <c r="AE114" i="32"/>
  <c r="K114" i="12"/>
  <c r="AE115" i="32"/>
  <c r="K115" i="12"/>
  <c r="AE116" i="32"/>
  <c r="K116" i="12"/>
  <c r="AE117" i="32"/>
  <c r="K117" i="12"/>
  <c r="AE118" i="32"/>
  <c r="K118" i="12"/>
  <c r="AE119" i="32"/>
  <c r="K119" i="12"/>
  <c r="AE120" i="32"/>
  <c r="K120" i="12"/>
  <c r="AE121" i="32"/>
  <c r="K121" i="12"/>
  <c r="AE122" i="32"/>
  <c r="K122" i="12"/>
  <c r="AE123" i="32"/>
  <c r="K123" i="12"/>
  <c r="AE124" i="32"/>
  <c r="K124" i="12"/>
  <c r="AE125" i="32"/>
  <c r="K125" i="12"/>
  <c r="AE126" i="32"/>
  <c r="K126" i="12"/>
  <c r="AE127" i="32"/>
  <c r="K127" i="12"/>
  <c r="AE128" i="32"/>
  <c r="K128" i="12"/>
  <c r="AE129" i="32"/>
  <c r="K129" i="12"/>
  <c r="AE130" i="32"/>
  <c r="K130" i="12"/>
  <c r="AE131" i="32"/>
  <c r="K131" i="12"/>
  <c r="AE132" i="32"/>
  <c r="K132" i="12"/>
  <c r="AE133" i="32"/>
  <c r="K133" i="12"/>
  <c r="AE134" i="32"/>
  <c r="K134" i="12"/>
  <c r="AE135" i="32"/>
  <c r="K135" i="12"/>
  <c r="AE136" i="32"/>
  <c r="K136" i="12"/>
  <c r="AE137" i="32"/>
  <c r="K137" i="12"/>
  <c r="AE138" i="32"/>
  <c r="K138" i="12"/>
  <c r="AE139" i="32"/>
  <c r="K139" i="12"/>
  <c r="AE140" i="32"/>
  <c r="K140" i="12"/>
  <c r="AE141" i="32"/>
  <c r="K141" i="12"/>
  <c r="AE142" i="32"/>
  <c r="K142" i="12"/>
  <c r="AE143" i="32"/>
  <c r="K143" i="12"/>
  <c r="AE144" i="32"/>
  <c r="K144" i="12"/>
  <c r="AE145" i="32"/>
  <c r="K145" i="12"/>
  <c r="AE146" i="32"/>
  <c r="K146" i="12"/>
  <c r="AE147" i="32"/>
  <c r="K147" i="12"/>
  <c r="AE148" i="32"/>
  <c r="K148" i="12"/>
  <c r="AE149" i="32"/>
  <c r="K149" i="12"/>
  <c r="AE150" i="32"/>
  <c r="K150" i="12"/>
  <c r="AE151" i="32"/>
  <c r="K151" i="12"/>
  <c r="AE152" i="32"/>
  <c r="K152" i="12"/>
  <c r="AE153" i="32"/>
  <c r="K153" i="12"/>
  <c r="AE154" i="32"/>
  <c r="K154" i="12"/>
  <c r="AE155" i="32"/>
  <c r="K155" i="12"/>
  <c r="AE156" i="32"/>
  <c r="K156" i="12"/>
  <c r="AE157" i="32"/>
  <c r="K157" i="12"/>
  <c r="AE158" i="32"/>
  <c r="K158" i="12"/>
  <c r="AE159" i="32"/>
  <c r="K159" i="12"/>
  <c r="AE160" i="32"/>
  <c r="K160" i="12"/>
  <c r="AE161" i="32"/>
  <c r="K161" i="12"/>
  <c r="AE162" i="32"/>
  <c r="K162" i="12"/>
  <c r="AE163" i="32"/>
  <c r="K163" i="12"/>
  <c r="AE164" i="32"/>
  <c r="K164" i="12"/>
  <c r="AE165" i="32"/>
  <c r="K165" i="12"/>
  <c r="AE166" i="32"/>
  <c r="K166" i="12"/>
  <c r="AE167" i="32"/>
  <c r="K167" i="12"/>
  <c r="AE168" i="32"/>
  <c r="K168" i="12"/>
  <c r="AE169" i="32"/>
  <c r="K169" i="12"/>
  <c r="AE170" i="32"/>
  <c r="K170" i="12"/>
  <c r="AE171" i="32"/>
  <c r="K171" i="12"/>
  <c r="AE172" i="32"/>
  <c r="K172" i="12"/>
  <c r="AE173" i="32"/>
  <c r="K173" i="12"/>
  <c r="AE174" i="32"/>
  <c r="K174" i="12"/>
  <c r="AE175" i="32"/>
  <c r="K175" i="12"/>
  <c r="AE176" i="32"/>
  <c r="K176" i="12"/>
  <c r="AE177" i="32"/>
  <c r="K177" i="12"/>
  <c r="AE178" i="32"/>
  <c r="K178" i="12"/>
  <c r="AE179" i="32"/>
  <c r="K179" i="12"/>
  <c r="AE180" i="32"/>
  <c r="K180" i="12"/>
  <c r="AE181" i="32"/>
  <c r="K181" i="12"/>
  <c r="AE182" i="32"/>
  <c r="K182" i="12"/>
  <c r="AE183" i="32"/>
  <c r="K183" i="12"/>
  <c r="AE184" i="32"/>
  <c r="K184" i="12"/>
  <c r="AE185" i="32"/>
  <c r="K185" i="12"/>
  <c r="AE186" i="32"/>
  <c r="K186" i="12"/>
  <c r="AE187" i="32"/>
  <c r="K187" i="12"/>
  <c r="AE188" i="32"/>
  <c r="K188" i="12"/>
  <c r="AE189" i="32"/>
  <c r="K189" i="12"/>
  <c r="AE190" i="32"/>
  <c r="K190" i="12"/>
  <c r="AE191" i="32"/>
  <c r="K191" i="12"/>
  <c r="AE192" i="32"/>
  <c r="K192" i="12"/>
  <c r="AE193" i="32"/>
  <c r="K193" i="12"/>
  <c r="AE194" i="32"/>
  <c r="K194" i="12"/>
  <c r="AE195" i="32"/>
  <c r="K195" i="12"/>
  <c r="AE196" i="32"/>
  <c r="K196" i="12"/>
  <c r="AE197" i="32"/>
  <c r="K197" i="12"/>
  <c r="AE198" i="32"/>
  <c r="K198" i="12"/>
  <c r="AE199" i="32"/>
  <c r="K199" i="12"/>
  <c r="AE200" i="32"/>
  <c r="K200" i="12"/>
  <c r="AE201" i="32"/>
  <c r="K201" i="12"/>
  <c r="AE202" i="32"/>
  <c r="K202" i="12"/>
  <c r="AE203" i="32"/>
  <c r="K203" i="12"/>
  <c r="AE204" i="32"/>
  <c r="K204" i="12"/>
  <c r="AE205" i="32"/>
  <c r="K205" i="12"/>
  <c r="AE206" i="32"/>
  <c r="K206" i="12"/>
  <c r="AE207" i="32"/>
  <c r="K207" i="12"/>
  <c r="AE208" i="32"/>
  <c r="K208" i="12"/>
  <c r="AE209" i="32"/>
  <c r="K209" i="12"/>
  <c r="AE210" i="32"/>
  <c r="K210" i="12"/>
  <c r="AE211" i="32"/>
  <c r="K211" i="12"/>
  <c r="AE212" i="32"/>
  <c r="K212" i="12"/>
  <c r="AE213" i="32"/>
  <c r="K213" i="12"/>
  <c r="AE214" i="32"/>
  <c r="K214" i="12"/>
  <c r="AE215" i="32"/>
  <c r="K215" i="12"/>
  <c r="AE216" i="32"/>
  <c r="K216" i="12"/>
  <c r="AE217" i="32"/>
  <c r="K217" i="12"/>
  <c r="AE218" i="32"/>
  <c r="K218" i="12"/>
  <c r="AE219" i="32"/>
  <c r="K219" i="12"/>
  <c r="AE220" i="32"/>
  <c r="K220" i="12"/>
  <c r="AE221" i="32"/>
  <c r="K221" i="12"/>
  <c r="AE222" i="32"/>
  <c r="K222" i="12"/>
  <c r="AE223" i="32"/>
  <c r="O3" i="12"/>
  <c r="AE224" i="32"/>
  <c r="O4" i="12"/>
  <c r="AE225" i="32"/>
  <c r="O5" i="12"/>
  <c r="AE226" i="32"/>
  <c r="O6" i="12"/>
  <c r="AE227" i="32"/>
  <c r="O7" i="12"/>
  <c r="AE228" i="32"/>
  <c r="O8" i="12"/>
  <c r="AE229" i="32"/>
  <c r="O9" i="12"/>
  <c r="AE230" i="32"/>
  <c r="O10" i="12"/>
  <c r="AE231" i="32"/>
  <c r="O11" i="12"/>
  <c r="AE232" i="32"/>
  <c r="O12" i="12"/>
  <c r="AE233" i="32"/>
  <c r="O13" i="12"/>
  <c r="AE234" i="32"/>
  <c r="AE235" i="32"/>
  <c r="O15" i="12"/>
  <c r="AE236" i="32"/>
  <c r="O16" i="12"/>
  <c r="AE237" i="32"/>
  <c r="O17" i="12"/>
  <c r="AE238" i="32"/>
  <c r="O18" i="12"/>
  <c r="AE239" i="32"/>
  <c r="O19" i="12"/>
  <c r="AE240" i="32"/>
  <c r="O20" i="12"/>
  <c r="AE241" i="32"/>
  <c r="O21" i="12"/>
  <c r="AE242" i="32"/>
  <c r="O22" i="12"/>
  <c r="AE243" i="32"/>
  <c r="O23" i="12"/>
  <c r="AE244" i="32"/>
  <c r="O24" i="12"/>
  <c r="AE245" i="32"/>
  <c r="O25" i="12"/>
  <c r="AE246" i="32"/>
  <c r="O26" i="12"/>
  <c r="AE247" i="32"/>
  <c r="O27" i="12"/>
  <c r="AE248" i="32"/>
  <c r="O28" i="12"/>
  <c r="AE249" i="32"/>
  <c r="O29" i="12"/>
  <c r="AE250" i="32"/>
  <c r="O30" i="12"/>
  <c r="AE251" i="32"/>
  <c r="O31" i="12"/>
  <c r="AE252" i="32"/>
  <c r="O32" i="12"/>
  <c r="AE253" i="32"/>
  <c r="O33" i="12"/>
  <c r="AE254" i="32"/>
  <c r="O34" i="12"/>
  <c r="AE255" i="32"/>
  <c r="O35" i="12"/>
  <c r="AE256" i="32"/>
  <c r="O36" i="12"/>
  <c r="AE257" i="32"/>
  <c r="O37" i="12"/>
  <c r="AE258" i="32"/>
  <c r="O38" i="12"/>
  <c r="AE259" i="32"/>
  <c r="O39" i="12"/>
  <c r="AE260" i="32"/>
  <c r="O40" i="12"/>
  <c r="AE261" i="32"/>
  <c r="O41" i="12"/>
  <c r="AE262" i="32"/>
  <c r="O42" i="12"/>
  <c r="AE263" i="32"/>
  <c r="O43" i="12"/>
  <c r="AE264" i="32"/>
  <c r="O44" i="12"/>
  <c r="AE265" i="32"/>
  <c r="O45" i="12"/>
  <c r="AE266" i="32"/>
  <c r="O46" i="12"/>
  <c r="AE267" i="32"/>
  <c r="O47" i="12"/>
  <c r="AE268" i="32"/>
  <c r="O48" i="12"/>
  <c r="AE269" i="32"/>
  <c r="O49" i="12"/>
  <c r="AE270" i="32"/>
  <c r="O50" i="12"/>
  <c r="AE271" i="32"/>
  <c r="O51" i="12"/>
  <c r="AE272" i="32"/>
  <c r="O52" i="12"/>
  <c r="AE273" i="32"/>
  <c r="O53" i="12"/>
  <c r="AE274" i="32"/>
  <c r="O54" i="12"/>
  <c r="AE275" i="32"/>
  <c r="O55" i="12"/>
  <c r="AE276" i="32"/>
  <c r="O56" i="12"/>
  <c r="AE277" i="32"/>
  <c r="O57" i="12"/>
  <c r="AE278" i="32"/>
  <c r="O58" i="12"/>
  <c r="AE279" i="32"/>
  <c r="O59" i="12"/>
  <c r="AE280" i="32"/>
  <c r="O60" i="12"/>
  <c r="AE281" i="32"/>
  <c r="O61" i="12"/>
  <c r="AE282" i="32"/>
  <c r="O62" i="12"/>
  <c r="AE283" i="32"/>
  <c r="O63" i="12"/>
  <c r="AE284" i="32"/>
  <c r="O64" i="12"/>
  <c r="AE285" i="32"/>
  <c r="O65" i="12"/>
  <c r="AE286" i="32"/>
  <c r="O66" i="12"/>
  <c r="AE287" i="32"/>
  <c r="O67" i="12"/>
  <c r="AE288" i="32"/>
  <c r="O68" i="12"/>
  <c r="AE289" i="32"/>
  <c r="O69" i="12"/>
  <c r="AE290" i="32"/>
  <c r="O70" i="12"/>
  <c r="AE291" i="32"/>
  <c r="O71" i="12"/>
  <c r="AE292" i="32"/>
  <c r="O72" i="12"/>
  <c r="AE293" i="32"/>
  <c r="O73" i="12"/>
  <c r="AE294" i="32"/>
  <c r="O74" i="12"/>
  <c r="AE295" i="32"/>
  <c r="O75" i="12"/>
  <c r="AE296" i="32"/>
  <c r="O76" i="12"/>
  <c r="AE297" i="32"/>
  <c r="O77" i="12"/>
  <c r="AE298" i="32"/>
  <c r="O78" i="12"/>
  <c r="AE299" i="32"/>
  <c r="O79" i="12"/>
  <c r="AE300" i="32"/>
  <c r="O80" i="12"/>
  <c r="AE301" i="32"/>
  <c r="O81" i="12"/>
  <c r="AE302" i="32"/>
  <c r="O82" i="12"/>
  <c r="AE303" i="32"/>
  <c r="O83" i="12"/>
  <c r="AE304" i="32"/>
  <c r="O84" i="12"/>
  <c r="AE305" i="32"/>
  <c r="O85" i="12"/>
  <c r="AE306" i="32"/>
  <c r="O86" i="12"/>
  <c r="AE307" i="32"/>
  <c r="O87" i="12"/>
  <c r="AE308" i="32"/>
  <c r="O88" i="12"/>
  <c r="AE309" i="32"/>
  <c r="O89" i="12"/>
  <c r="AE310" i="32"/>
  <c r="O90" i="12"/>
  <c r="AE311" i="32"/>
  <c r="O91" i="12"/>
  <c r="AE312" i="32"/>
  <c r="O92" i="12"/>
  <c r="AE313" i="32"/>
  <c r="O93" i="12"/>
  <c r="AE314" i="32"/>
  <c r="O94" i="12"/>
  <c r="AE315" i="32"/>
  <c r="O95" i="12"/>
  <c r="AE316" i="32"/>
  <c r="O96" i="12"/>
  <c r="AE317" i="32"/>
  <c r="O97" i="12"/>
  <c r="AE318" i="32"/>
  <c r="O98" i="12"/>
  <c r="AE319" i="32"/>
  <c r="O99" i="12"/>
  <c r="AE320" i="32"/>
  <c r="O100" i="12"/>
  <c r="AE321" i="32"/>
  <c r="O101" i="12"/>
  <c r="AE322" i="32"/>
  <c r="O102" i="12"/>
  <c r="AE323" i="32"/>
  <c r="O103" i="12"/>
  <c r="AE324" i="32"/>
  <c r="O104" i="12"/>
  <c r="AE325" i="32"/>
  <c r="O105" i="12"/>
  <c r="AE326" i="32"/>
  <c r="O106" i="12"/>
  <c r="AE327" i="32"/>
  <c r="O107" i="12"/>
  <c r="AE328" i="32"/>
  <c r="O108" i="12"/>
  <c r="AE329" i="32"/>
  <c r="O109" i="12"/>
  <c r="AE330" i="32"/>
  <c r="O110" i="12"/>
  <c r="AE331" i="32"/>
  <c r="O111" i="12"/>
  <c r="AE332" i="32"/>
  <c r="O112" i="12"/>
  <c r="AE333" i="32"/>
  <c r="O113" i="12"/>
  <c r="AE334" i="32"/>
  <c r="O114" i="12"/>
  <c r="AE335" i="32"/>
  <c r="O115" i="12"/>
  <c r="AE336" i="32"/>
  <c r="O116" i="12"/>
  <c r="AE337" i="32"/>
  <c r="O117" i="12"/>
  <c r="AE338" i="32"/>
  <c r="O118" i="12"/>
  <c r="AE339" i="32"/>
  <c r="O119" i="12"/>
  <c r="AE340" i="32"/>
  <c r="O120" i="12"/>
  <c r="AE341" i="32"/>
  <c r="O121" i="12"/>
  <c r="AE342" i="32"/>
  <c r="O122" i="12"/>
  <c r="AE343" i="32"/>
  <c r="O123" i="12"/>
  <c r="AE344" i="32"/>
  <c r="O124" i="12"/>
  <c r="AE345" i="32"/>
  <c r="O125" i="12"/>
  <c r="AE346" i="32"/>
  <c r="O126" i="12"/>
  <c r="AE347" i="32"/>
  <c r="O127" i="12"/>
  <c r="AE348" i="32"/>
  <c r="O128" i="12"/>
  <c r="AE349" i="32"/>
  <c r="O129" i="12"/>
  <c r="AE350" i="32"/>
  <c r="O130" i="12"/>
  <c r="AE351" i="32"/>
  <c r="O131" i="12"/>
  <c r="AE352" i="32"/>
  <c r="O132" i="12"/>
  <c r="AE353" i="32"/>
  <c r="O133" i="12"/>
  <c r="AE354" i="32"/>
  <c r="O134" i="12"/>
  <c r="AE355" i="32"/>
  <c r="O135" i="12"/>
  <c r="AE356" i="32"/>
  <c r="O136" i="12"/>
  <c r="AE357" i="32"/>
  <c r="O137" i="12"/>
  <c r="AE358" i="32"/>
  <c r="O138" i="12"/>
  <c r="AE359" i="32"/>
  <c r="O139" i="12"/>
  <c r="AE360" i="32"/>
  <c r="O140" i="12"/>
  <c r="AE361" i="32"/>
  <c r="O141" i="12"/>
  <c r="AE362" i="32"/>
  <c r="O142" i="12"/>
  <c r="AE363" i="32"/>
  <c r="O143" i="12"/>
  <c r="AE364" i="32"/>
  <c r="O144" i="12"/>
  <c r="AE365" i="32"/>
  <c r="O145" i="12"/>
  <c r="AE366" i="32"/>
  <c r="O146" i="12"/>
  <c r="AE367" i="32"/>
  <c r="O147" i="12"/>
  <c r="AE368" i="32"/>
  <c r="O148" i="12"/>
  <c r="AE369" i="32"/>
  <c r="O149" i="12"/>
  <c r="AE370" i="32"/>
  <c r="O150" i="12"/>
  <c r="AE371" i="32"/>
  <c r="O151" i="12"/>
  <c r="AE372" i="32"/>
  <c r="O152" i="12"/>
  <c r="AE373" i="32"/>
  <c r="O153" i="12"/>
  <c r="AE374" i="32"/>
  <c r="O154" i="12"/>
  <c r="AE375" i="32"/>
  <c r="O155" i="12"/>
  <c r="AE376" i="32"/>
  <c r="O156" i="12"/>
  <c r="AE377" i="32"/>
  <c r="O157" i="12"/>
  <c r="AE378" i="32"/>
  <c r="O158" i="12"/>
  <c r="AE379" i="32"/>
  <c r="O159" i="12"/>
  <c r="AE380" i="32"/>
  <c r="O160" i="12"/>
  <c r="AE381" i="32"/>
  <c r="O161" i="12"/>
  <c r="AE382" i="32"/>
  <c r="O162" i="12"/>
  <c r="AE383" i="32"/>
  <c r="O163" i="12"/>
  <c r="AE384" i="32"/>
  <c r="O164" i="12"/>
  <c r="AE385" i="32"/>
  <c r="O165" i="12"/>
  <c r="AE386" i="32"/>
  <c r="O166" i="12"/>
  <c r="AE387" i="32"/>
  <c r="O167" i="12"/>
  <c r="AE388" i="32"/>
  <c r="O168" i="12"/>
  <c r="AE389" i="32"/>
  <c r="O169" i="12"/>
  <c r="AE390" i="32"/>
  <c r="O170" i="12"/>
  <c r="AE391" i="32"/>
  <c r="O171" i="12"/>
  <c r="AE392" i="32"/>
  <c r="O172" i="12"/>
  <c r="AE393" i="32"/>
  <c r="O173" i="12"/>
  <c r="AE394" i="32"/>
  <c r="O174" i="12"/>
  <c r="AE395" i="32"/>
  <c r="O175" i="12"/>
  <c r="AE396" i="32"/>
  <c r="O176" i="12"/>
  <c r="AE397" i="32"/>
  <c r="O177" i="12"/>
  <c r="AE398" i="32"/>
  <c r="O178" i="12"/>
  <c r="AE399" i="32"/>
  <c r="O179" i="12"/>
  <c r="AE400" i="32"/>
  <c r="O180" i="12"/>
  <c r="AE401" i="32"/>
  <c r="O181" i="12"/>
  <c r="AE402" i="32"/>
  <c r="O182" i="12"/>
  <c r="AE403" i="32"/>
  <c r="O183" i="12"/>
  <c r="AE404" i="32"/>
  <c r="O184" i="12"/>
  <c r="AE405" i="32"/>
  <c r="O185" i="12"/>
  <c r="AE406" i="32"/>
  <c r="O186" i="12"/>
  <c r="AE407" i="32"/>
  <c r="O187" i="12"/>
  <c r="AE408" i="32"/>
  <c r="O188" i="12"/>
  <c r="AE409" i="32"/>
  <c r="O189" i="12"/>
  <c r="AE410" i="32"/>
  <c r="O190" i="12"/>
  <c r="AE411" i="32"/>
  <c r="O191" i="12"/>
  <c r="AE412" i="32"/>
  <c r="O192" i="12"/>
  <c r="AE413" i="32"/>
  <c r="O193" i="12"/>
  <c r="AE414" i="32"/>
  <c r="O194" i="12"/>
  <c r="AE415" i="32"/>
  <c r="O195" i="12"/>
  <c r="AE416" i="32"/>
  <c r="O196" i="12"/>
  <c r="AE417" i="32"/>
  <c r="O197" i="12"/>
  <c r="AE418" i="32"/>
  <c r="O198" i="12"/>
  <c r="AE419" i="32"/>
  <c r="O199" i="12"/>
  <c r="AE420" i="32"/>
  <c r="O200" i="12"/>
  <c r="AE421" i="32"/>
  <c r="O201" i="12"/>
  <c r="AE422" i="32"/>
  <c r="O202" i="12"/>
  <c r="AE423" i="32"/>
  <c r="O203" i="12"/>
  <c r="AE424" i="32"/>
  <c r="O204" i="12"/>
  <c r="AE425" i="32"/>
  <c r="O205" i="12"/>
  <c r="AE426" i="32"/>
  <c r="O206" i="12"/>
  <c r="AE427" i="32"/>
  <c r="O207" i="12"/>
  <c r="AE428" i="32"/>
  <c r="O208" i="12"/>
  <c r="AE429" i="32"/>
  <c r="O209" i="12"/>
  <c r="AE430" i="32"/>
  <c r="O210" i="12"/>
  <c r="AE431" i="32"/>
  <c r="O211" i="12"/>
  <c r="AE432" i="32"/>
  <c r="O212" i="12"/>
  <c r="AE433" i="32"/>
  <c r="O213" i="12"/>
  <c r="AE434" i="32"/>
  <c r="O214" i="12"/>
  <c r="AE435" i="32"/>
  <c r="O215" i="12"/>
  <c r="AE436" i="32"/>
  <c r="O216" i="12"/>
  <c r="AE437" i="32"/>
  <c r="O217" i="12"/>
  <c r="AE438" i="32"/>
  <c r="O218" i="12"/>
  <c r="AE439" i="32"/>
  <c r="O219" i="12"/>
  <c r="AE440" i="32"/>
  <c r="O220" i="12"/>
  <c r="AE441" i="32"/>
  <c r="O221" i="12"/>
  <c r="AE442" i="32"/>
  <c r="O222" i="12"/>
  <c r="AE443" i="32"/>
  <c r="M4" i="12"/>
  <c r="AF5" i="32"/>
  <c r="M5" i="12"/>
  <c r="AF6" i="32"/>
  <c r="M6" i="12"/>
  <c r="AF7" i="32"/>
  <c r="M7" i="12"/>
  <c r="AF8" i="32"/>
  <c r="M8" i="12"/>
  <c r="AF9" i="32"/>
  <c r="M9" i="12"/>
  <c r="AF10" i="32"/>
  <c r="M10" i="12"/>
  <c r="AF11" i="32"/>
  <c r="M11" i="12"/>
  <c r="AF12" i="32"/>
  <c r="M12" i="12"/>
  <c r="AF13" i="32"/>
  <c r="M13" i="12"/>
  <c r="AF14" i="32"/>
  <c r="M14" i="12"/>
  <c r="AF15" i="32"/>
  <c r="M15" i="12"/>
  <c r="AF16" i="32"/>
  <c r="M16" i="12"/>
  <c r="AF17" i="32"/>
  <c r="M17" i="12"/>
  <c r="AF18" i="32"/>
  <c r="M18" i="12"/>
  <c r="AF19" i="32"/>
  <c r="M19" i="12"/>
  <c r="AF20" i="32"/>
  <c r="M20" i="12"/>
  <c r="AF21" i="32"/>
  <c r="M21" i="12"/>
  <c r="AF22" i="32"/>
  <c r="M22" i="12"/>
  <c r="AF23" i="32"/>
  <c r="M23" i="12"/>
  <c r="AF24" i="32"/>
  <c r="M24" i="12"/>
  <c r="AF25" i="32"/>
  <c r="M25" i="12"/>
  <c r="AF26" i="32"/>
  <c r="M26" i="12"/>
  <c r="AF27" i="32"/>
  <c r="M28" i="12"/>
  <c r="AF29" i="32"/>
  <c r="M29" i="12"/>
  <c r="AF30" i="32"/>
  <c r="M30" i="12"/>
  <c r="AF31" i="32"/>
  <c r="M31" i="12"/>
  <c r="AF32" i="32"/>
  <c r="M32" i="12"/>
  <c r="AF33" i="32"/>
  <c r="M33" i="12"/>
  <c r="AF34" i="32"/>
  <c r="M34" i="12"/>
  <c r="AF35" i="32"/>
  <c r="M35" i="12"/>
  <c r="AF36" i="32"/>
  <c r="M36" i="12"/>
  <c r="AF37" i="32"/>
  <c r="M37" i="12"/>
  <c r="AF38" i="32"/>
  <c r="M38" i="12"/>
  <c r="AF39" i="32"/>
  <c r="M39" i="12"/>
  <c r="AF40" i="32"/>
  <c r="M40" i="12"/>
  <c r="AF41" i="32"/>
  <c r="M41" i="12"/>
  <c r="AF42" i="32"/>
  <c r="M42" i="12"/>
  <c r="AF43" i="32"/>
  <c r="M43" i="12"/>
  <c r="AF44" i="32"/>
  <c r="M44" i="12"/>
  <c r="AF45" i="32"/>
  <c r="M45" i="12"/>
  <c r="AF46" i="32"/>
  <c r="M46" i="12"/>
  <c r="AF47" i="32"/>
  <c r="M47" i="12"/>
  <c r="AF48" i="32"/>
  <c r="M48" i="12"/>
  <c r="AF49" i="32"/>
  <c r="M49" i="12"/>
  <c r="AF50" i="32"/>
  <c r="M50" i="12"/>
  <c r="AF51" i="32"/>
  <c r="M51" i="12"/>
  <c r="AF52" i="32"/>
  <c r="M52" i="12"/>
  <c r="AF53" i="32"/>
  <c r="M53" i="12"/>
  <c r="AF54" i="32"/>
  <c r="M54" i="12"/>
  <c r="AF55" i="32"/>
  <c r="M55" i="12"/>
  <c r="AF56" i="32"/>
  <c r="M56" i="12"/>
  <c r="AF57" i="32"/>
  <c r="M57" i="12"/>
  <c r="AF58" i="32"/>
  <c r="M58" i="12"/>
  <c r="AF59" i="32"/>
  <c r="M59" i="12"/>
  <c r="AF60" i="32"/>
  <c r="M60" i="12"/>
  <c r="AF61" i="32"/>
  <c r="M61" i="12"/>
  <c r="AF62" i="32"/>
  <c r="M62" i="12"/>
  <c r="AF63" i="32"/>
  <c r="M63" i="12"/>
  <c r="AF64" i="32"/>
  <c r="M64" i="12"/>
  <c r="AF65" i="32"/>
  <c r="M65" i="12"/>
  <c r="AF66" i="32"/>
  <c r="M66" i="12"/>
  <c r="AF67" i="32"/>
  <c r="M67" i="12"/>
  <c r="AF68" i="32"/>
  <c r="M68" i="12"/>
  <c r="AF69" i="32"/>
  <c r="M69" i="12"/>
  <c r="AF70" i="32"/>
  <c r="M70" i="12"/>
  <c r="AF71" i="32"/>
  <c r="M71" i="12"/>
  <c r="AF72" i="32"/>
  <c r="M72" i="12"/>
  <c r="AF73" i="32"/>
  <c r="M73" i="12"/>
  <c r="AF74" i="32"/>
  <c r="M74" i="12"/>
  <c r="AF75" i="32"/>
  <c r="M75" i="12"/>
  <c r="AF76" i="32"/>
  <c r="M76" i="12"/>
  <c r="AF77" i="32"/>
  <c r="M77" i="12"/>
  <c r="AF78" i="32"/>
  <c r="M78" i="12"/>
  <c r="AF79" i="32"/>
  <c r="M79" i="12"/>
  <c r="AF80" i="32"/>
  <c r="M80" i="12"/>
  <c r="AF81" i="32"/>
  <c r="M81" i="12"/>
  <c r="AF82" i="32"/>
  <c r="M82" i="12"/>
  <c r="AF83" i="32"/>
  <c r="M83" i="12"/>
  <c r="AF84" i="32"/>
  <c r="M84" i="12"/>
  <c r="AF85" i="32"/>
  <c r="M85" i="12"/>
  <c r="AF86" i="32"/>
  <c r="M86" i="12"/>
  <c r="AF87" i="32"/>
  <c r="M87" i="12"/>
  <c r="AF88" i="32"/>
  <c r="M88" i="12"/>
  <c r="AF89" i="32"/>
  <c r="M89" i="12"/>
  <c r="AF90" i="32"/>
  <c r="M90" i="12"/>
  <c r="AF91" i="32"/>
  <c r="M91" i="12"/>
  <c r="AF92" i="32"/>
  <c r="M92" i="12"/>
  <c r="AF93" i="32"/>
  <c r="M93" i="12"/>
  <c r="AF94" i="32"/>
  <c r="M94" i="12"/>
  <c r="AF95" i="32"/>
  <c r="M95" i="12"/>
  <c r="AF96" i="32"/>
  <c r="M96" i="12"/>
  <c r="AF97" i="32"/>
  <c r="M97" i="12"/>
  <c r="AF98" i="32"/>
  <c r="M98" i="12"/>
  <c r="AF99" i="32"/>
  <c r="M99" i="12"/>
  <c r="AF100" i="32"/>
  <c r="M100" i="12"/>
  <c r="AF101" i="32"/>
  <c r="M101" i="12"/>
  <c r="AF102" i="32"/>
  <c r="M102" i="12"/>
  <c r="AF103" i="32"/>
  <c r="M103" i="12"/>
  <c r="AF104" i="32"/>
  <c r="M104" i="12"/>
  <c r="AF105" i="32"/>
  <c r="M105" i="12"/>
  <c r="AF106" i="32"/>
  <c r="M106" i="12"/>
  <c r="AF107" i="32"/>
  <c r="M107" i="12"/>
  <c r="AF108" i="32"/>
  <c r="M108" i="12"/>
  <c r="AF109" i="32"/>
  <c r="M109" i="12"/>
  <c r="AF110" i="32"/>
  <c r="M110" i="12"/>
  <c r="AF111" i="32"/>
  <c r="M111" i="12"/>
  <c r="AF112" i="32"/>
  <c r="M112" i="12"/>
  <c r="AF113" i="32"/>
  <c r="M113" i="12"/>
  <c r="AF114" i="32"/>
  <c r="M114" i="12"/>
  <c r="AF115" i="32"/>
  <c r="M115" i="12"/>
  <c r="AF116" i="32"/>
  <c r="M116" i="12"/>
  <c r="AF117" i="32"/>
  <c r="M117" i="12"/>
  <c r="AF118" i="32"/>
  <c r="M118" i="12"/>
  <c r="AF119" i="32"/>
  <c r="M119" i="12"/>
  <c r="AF120" i="32"/>
  <c r="M120" i="12"/>
  <c r="AF121" i="32"/>
  <c r="M121" i="12"/>
  <c r="AF122" i="32"/>
  <c r="M122" i="12"/>
  <c r="AF123" i="32"/>
  <c r="M123" i="12"/>
  <c r="AF124" i="32"/>
  <c r="M124" i="12"/>
  <c r="AF125" i="32"/>
  <c r="M125" i="12"/>
  <c r="AF126" i="32"/>
  <c r="M126" i="12"/>
  <c r="AF127" i="32"/>
  <c r="M127" i="12"/>
  <c r="AF128" i="32"/>
  <c r="M128" i="12"/>
  <c r="AF129" i="32"/>
  <c r="M129" i="12"/>
  <c r="AF130" i="32"/>
  <c r="M130" i="12"/>
  <c r="AF131" i="32"/>
  <c r="M131" i="12"/>
  <c r="AF132" i="32"/>
  <c r="M132" i="12"/>
  <c r="AF133" i="32"/>
  <c r="M133" i="12"/>
  <c r="AF134" i="32"/>
  <c r="M134" i="12"/>
  <c r="AF135" i="32"/>
  <c r="M135" i="12"/>
  <c r="AF136" i="32"/>
  <c r="M136" i="12"/>
  <c r="AF137" i="32"/>
  <c r="M137" i="12"/>
  <c r="AF138" i="32"/>
  <c r="M138" i="12"/>
  <c r="AF139" i="32"/>
  <c r="M139" i="12"/>
  <c r="AF140" i="32"/>
  <c r="M140" i="12"/>
  <c r="AF141" i="32"/>
  <c r="M141" i="12"/>
  <c r="AF142" i="32"/>
  <c r="M142" i="12"/>
  <c r="AF143" i="32"/>
  <c r="M143" i="12"/>
  <c r="AF144" i="32"/>
  <c r="M144" i="12"/>
  <c r="AF145" i="32"/>
  <c r="M145" i="12"/>
  <c r="AF146" i="32"/>
  <c r="M146" i="12"/>
  <c r="AF147" i="32"/>
  <c r="M147" i="12"/>
  <c r="AF148" i="32"/>
  <c r="M148" i="12"/>
  <c r="AF149" i="32"/>
  <c r="M149" i="12"/>
  <c r="AF150" i="32"/>
  <c r="M150" i="12"/>
  <c r="AF151" i="32"/>
  <c r="M151" i="12"/>
  <c r="AF152" i="32"/>
  <c r="M152" i="12"/>
  <c r="AF153" i="32"/>
  <c r="M153" i="12"/>
  <c r="AF154" i="32"/>
  <c r="M154" i="12"/>
  <c r="AF155" i="32"/>
  <c r="M155" i="12"/>
  <c r="AF156" i="32"/>
  <c r="M156" i="12"/>
  <c r="AF157" i="32"/>
  <c r="M157" i="12"/>
  <c r="AF158" i="32"/>
  <c r="M158" i="12"/>
  <c r="AF159" i="32"/>
  <c r="M159" i="12"/>
  <c r="AF160" i="32"/>
  <c r="M160" i="12"/>
  <c r="AF161" i="32"/>
  <c r="M161" i="12"/>
  <c r="AF162" i="32"/>
  <c r="M162" i="12"/>
  <c r="AF163" i="32"/>
  <c r="M163" i="12"/>
  <c r="AF164" i="32"/>
  <c r="M164" i="12"/>
  <c r="AF165" i="32"/>
  <c r="M165" i="12"/>
  <c r="AF166" i="32"/>
  <c r="M166" i="12"/>
  <c r="AF167" i="32"/>
  <c r="M167" i="12"/>
  <c r="AF168" i="32"/>
  <c r="M168" i="12"/>
  <c r="AF169" i="32"/>
  <c r="M169" i="12"/>
  <c r="AF170" i="32"/>
  <c r="M170" i="12"/>
  <c r="AF171" i="32"/>
  <c r="M171" i="12"/>
  <c r="AF172" i="32"/>
  <c r="M172" i="12"/>
  <c r="AF173" i="32"/>
  <c r="M173" i="12"/>
  <c r="AF174" i="32"/>
  <c r="M174" i="12"/>
  <c r="AF175" i="32"/>
  <c r="M175" i="12"/>
  <c r="AF176" i="32"/>
  <c r="M176" i="12"/>
  <c r="AF177" i="32"/>
  <c r="M177" i="12"/>
  <c r="AF178" i="32"/>
  <c r="M178" i="12"/>
  <c r="AF179" i="32"/>
  <c r="M179" i="12"/>
  <c r="AF180" i="32"/>
  <c r="M180" i="12"/>
  <c r="AF181" i="32"/>
  <c r="M181" i="12"/>
  <c r="AF182" i="32"/>
  <c r="M182" i="12"/>
  <c r="AF183" i="32"/>
  <c r="M183" i="12"/>
  <c r="AF184" i="32"/>
  <c r="M184" i="12"/>
  <c r="AF185" i="32"/>
  <c r="M185" i="12"/>
  <c r="AF186" i="32"/>
  <c r="M186" i="12"/>
  <c r="AF187" i="32"/>
  <c r="M187" i="12"/>
  <c r="AF188" i="32"/>
  <c r="M188" i="12"/>
  <c r="AF189" i="32"/>
  <c r="M189" i="12"/>
  <c r="AF190" i="32"/>
  <c r="M190" i="12"/>
  <c r="AF191" i="32"/>
  <c r="M191" i="12"/>
  <c r="AF192" i="32"/>
  <c r="M192" i="12"/>
  <c r="AF193" i="32"/>
  <c r="M193" i="12"/>
  <c r="AF194" i="32"/>
  <c r="M194" i="12"/>
  <c r="AF195" i="32"/>
  <c r="M195" i="12"/>
  <c r="AF196" i="32"/>
  <c r="M196" i="12"/>
  <c r="AF197" i="32"/>
  <c r="M197" i="12"/>
  <c r="AF198" i="32"/>
  <c r="M198" i="12"/>
  <c r="AF199" i="32"/>
  <c r="M199" i="12"/>
  <c r="AF200" i="32"/>
  <c r="M200" i="12"/>
  <c r="AF201" i="32"/>
  <c r="M201" i="12"/>
  <c r="AF202" i="32"/>
  <c r="M202" i="12"/>
  <c r="AF203" i="32"/>
  <c r="M203" i="12"/>
  <c r="AF204" i="32"/>
  <c r="M204" i="12"/>
  <c r="AF205" i="32"/>
  <c r="M205" i="12"/>
  <c r="AF206" i="32"/>
  <c r="M206" i="12"/>
  <c r="AF207" i="32"/>
  <c r="M207" i="12"/>
  <c r="AF208" i="32"/>
  <c r="M208" i="12"/>
  <c r="AF209" i="32"/>
  <c r="M209" i="12"/>
  <c r="AF210" i="32"/>
  <c r="M210" i="12"/>
  <c r="AF211" i="32"/>
  <c r="M211" i="12"/>
  <c r="AF212" i="32"/>
  <c r="M212" i="12"/>
  <c r="AF213" i="32"/>
  <c r="M213" i="12"/>
  <c r="AF214" i="32"/>
  <c r="M214" i="12"/>
  <c r="AF215" i="32"/>
  <c r="M215" i="12"/>
  <c r="AF216" i="32"/>
  <c r="M216" i="12"/>
  <c r="AF217" i="32"/>
  <c r="M217" i="12"/>
  <c r="AF218" i="32"/>
  <c r="M218" i="12"/>
  <c r="AF219" i="32"/>
  <c r="M219" i="12"/>
  <c r="AF220" i="32"/>
  <c r="M220" i="12"/>
  <c r="AF221" i="32"/>
  <c r="M221" i="12"/>
  <c r="AF222" i="32"/>
  <c r="M222" i="12"/>
  <c r="AF223" i="32"/>
  <c r="Q3" i="12"/>
  <c r="AF224" i="32"/>
  <c r="Q4" i="12"/>
  <c r="AF225" i="32"/>
  <c r="Q5" i="12"/>
  <c r="AF226" i="32"/>
  <c r="Q6" i="12"/>
  <c r="AF227" i="32"/>
  <c r="Q7" i="12"/>
  <c r="AF228" i="32"/>
  <c r="Q8" i="12"/>
  <c r="AF229" i="32"/>
  <c r="Q9" i="12"/>
  <c r="AF230" i="32"/>
  <c r="Q10" i="12"/>
  <c r="AF231" i="32"/>
  <c r="Q11" i="12"/>
  <c r="AF232" i="32"/>
  <c r="Q12" i="12"/>
  <c r="AF233" i="32"/>
  <c r="Q13" i="12"/>
  <c r="AF234" i="32"/>
  <c r="Q14" i="12"/>
  <c r="AF235" i="32"/>
  <c r="Q15" i="12"/>
  <c r="AF236" i="32"/>
  <c r="Q16" i="12"/>
  <c r="AF237" i="32"/>
  <c r="Q17" i="12"/>
  <c r="AF238" i="32"/>
  <c r="Q18" i="12"/>
  <c r="AF239" i="32"/>
  <c r="Q19" i="12"/>
  <c r="AF240" i="32"/>
  <c r="Q20" i="12"/>
  <c r="AF241" i="32"/>
  <c r="Q21" i="12"/>
  <c r="AF242" i="32"/>
  <c r="Q22" i="12"/>
  <c r="AF243" i="32"/>
  <c r="Q23" i="12"/>
  <c r="AF244" i="32"/>
  <c r="Q24" i="12"/>
  <c r="AF245" i="32"/>
  <c r="Q25" i="12"/>
  <c r="AF246" i="32"/>
  <c r="Q26" i="12"/>
  <c r="AF247" i="32"/>
  <c r="Q27" i="12"/>
  <c r="AF248" i="32"/>
  <c r="Q28" i="12"/>
  <c r="AF249" i="32"/>
  <c r="Q29" i="12"/>
  <c r="AF250" i="32"/>
  <c r="Q30" i="12"/>
  <c r="AF251" i="32"/>
  <c r="Q31" i="12"/>
  <c r="AF252" i="32"/>
  <c r="Q32" i="12"/>
  <c r="AF253" i="32"/>
  <c r="Q33" i="12"/>
  <c r="AF254" i="32"/>
  <c r="Q34" i="12"/>
  <c r="AF255" i="32"/>
  <c r="Q35" i="12"/>
  <c r="AF256" i="32"/>
  <c r="Q36" i="12"/>
  <c r="AF257" i="32"/>
  <c r="Q37" i="12"/>
  <c r="AF258" i="32"/>
  <c r="Q38" i="12"/>
  <c r="AF259" i="32"/>
  <c r="Q39" i="12"/>
  <c r="AF260" i="32"/>
  <c r="Q40" i="12"/>
  <c r="AF261" i="32"/>
  <c r="Q41" i="12"/>
  <c r="AF262" i="32"/>
  <c r="Q42" i="12"/>
  <c r="AF263" i="32"/>
  <c r="Q43" i="12"/>
  <c r="AF264" i="32"/>
  <c r="Q44" i="12"/>
  <c r="AF265" i="32"/>
  <c r="Q45" i="12"/>
  <c r="AF266" i="32"/>
  <c r="Q46" i="12"/>
  <c r="AF267" i="32"/>
  <c r="Q47" i="12"/>
  <c r="AF268" i="32"/>
  <c r="Q48" i="12"/>
  <c r="AF269" i="32"/>
  <c r="Q49" i="12"/>
  <c r="AF270" i="32"/>
  <c r="Q50" i="12"/>
  <c r="AF271" i="32"/>
  <c r="Q51" i="12"/>
  <c r="AF272" i="32"/>
  <c r="Q52" i="12"/>
  <c r="AF273" i="32"/>
  <c r="Q53" i="12"/>
  <c r="AF274" i="32"/>
  <c r="Q54" i="12"/>
  <c r="AF275" i="32"/>
  <c r="Q55" i="12"/>
  <c r="AF276" i="32"/>
  <c r="Q56" i="12"/>
  <c r="AF277" i="32"/>
  <c r="AF278" i="32"/>
  <c r="Q58" i="12"/>
  <c r="AF279" i="32"/>
  <c r="Q59" i="12"/>
  <c r="AF280" i="32"/>
  <c r="Q60" i="12"/>
  <c r="AF281" i="32"/>
  <c r="Q61" i="12"/>
  <c r="AF282" i="32"/>
  <c r="Q62" i="12"/>
  <c r="AF283" i="32"/>
  <c r="Q63" i="12"/>
  <c r="AF284" i="32"/>
  <c r="Q64" i="12"/>
  <c r="AF285" i="32"/>
  <c r="Q65" i="12"/>
  <c r="AF286" i="32"/>
  <c r="Q66" i="12"/>
  <c r="AF287" i="32"/>
  <c r="Q67" i="12"/>
  <c r="AF288" i="32"/>
  <c r="Q68" i="12"/>
  <c r="AF289" i="32"/>
  <c r="Q69" i="12"/>
  <c r="AF290" i="32"/>
  <c r="Q70" i="12"/>
  <c r="AF291" i="32"/>
  <c r="Q71" i="12"/>
  <c r="AF292" i="32"/>
  <c r="Q72" i="12"/>
  <c r="AF293" i="32"/>
  <c r="Q73" i="12"/>
  <c r="AF294" i="32"/>
  <c r="Q74" i="12"/>
  <c r="AF295" i="32"/>
  <c r="Q75" i="12"/>
  <c r="AF296" i="32"/>
  <c r="Q76" i="12"/>
  <c r="AF297" i="32"/>
  <c r="Q77" i="12"/>
  <c r="AF298" i="32"/>
  <c r="Q78" i="12"/>
  <c r="AF299" i="32"/>
  <c r="Q79" i="12"/>
  <c r="AF300" i="32"/>
  <c r="Q80" i="12"/>
  <c r="AF301" i="32"/>
  <c r="Q81" i="12"/>
  <c r="AF302" i="32"/>
  <c r="Q82" i="12"/>
  <c r="AF303" i="32"/>
  <c r="Q83" i="12"/>
  <c r="AF304" i="32"/>
  <c r="Q84" i="12"/>
  <c r="AF305" i="32"/>
  <c r="Q85" i="12"/>
  <c r="AF306" i="32"/>
  <c r="Q86" i="12"/>
  <c r="AF307" i="32"/>
  <c r="Q87" i="12"/>
  <c r="AF308" i="32"/>
  <c r="Q88" i="12"/>
  <c r="AF309" i="32"/>
  <c r="Q89" i="12"/>
  <c r="AF310" i="32"/>
  <c r="Q90" i="12"/>
  <c r="AF311" i="32"/>
  <c r="Q91" i="12"/>
  <c r="AF312" i="32"/>
  <c r="Q92" i="12"/>
  <c r="AF313" i="32"/>
  <c r="Q93" i="12"/>
  <c r="AF314" i="32"/>
  <c r="Q94" i="12"/>
  <c r="AF315" i="32"/>
  <c r="Q95" i="12"/>
  <c r="AF316" i="32"/>
  <c r="Q96" i="12"/>
  <c r="AF317" i="32"/>
  <c r="Q97" i="12"/>
  <c r="AF318" i="32"/>
  <c r="Q98" i="12"/>
  <c r="AF319" i="32"/>
  <c r="Q99" i="12"/>
  <c r="AF320" i="32"/>
  <c r="Q100" i="12"/>
  <c r="AF321" i="32"/>
  <c r="Q101" i="12"/>
  <c r="AF322" i="32"/>
  <c r="Q102" i="12"/>
  <c r="AF323" i="32"/>
  <c r="Q103" i="12"/>
  <c r="AF324" i="32"/>
  <c r="Q104" i="12"/>
  <c r="AF325" i="32"/>
  <c r="Q105" i="12"/>
  <c r="AF326" i="32"/>
  <c r="Q106" i="12"/>
  <c r="AF327" i="32"/>
  <c r="Q107" i="12"/>
  <c r="AF328" i="32"/>
  <c r="Q108" i="12"/>
  <c r="AF329" i="32"/>
  <c r="Q109" i="12"/>
  <c r="AF330" i="32"/>
  <c r="Q110" i="12"/>
  <c r="AF331" i="32"/>
  <c r="Q111" i="12"/>
  <c r="AF332" i="32"/>
  <c r="AF333" i="32"/>
  <c r="Q113" i="12"/>
  <c r="AF334" i="32"/>
  <c r="Q114" i="12"/>
  <c r="AF335" i="32"/>
  <c r="Q115" i="12"/>
  <c r="AF336" i="32"/>
  <c r="Q116" i="12"/>
  <c r="AF337" i="32"/>
  <c r="Q117" i="12"/>
  <c r="AF338" i="32"/>
  <c r="Q118" i="12"/>
  <c r="AF339" i="32"/>
  <c r="Q119" i="12"/>
  <c r="AF340" i="32"/>
  <c r="Q120" i="12"/>
  <c r="AF341" i="32"/>
  <c r="Q121" i="12"/>
  <c r="AF342" i="32"/>
  <c r="Q122" i="12"/>
  <c r="AF343" i="32"/>
  <c r="Q123" i="12"/>
  <c r="AF344" i="32"/>
  <c r="Q124" i="12"/>
  <c r="AF345" i="32"/>
  <c r="Q125" i="12"/>
  <c r="AF346" i="32"/>
  <c r="Q126" i="12"/>
  <c r="AF347" i="32"/>
  <c r="Q127" i="12"/>
  <c r="AF348" i="32"/>
  <c r="Q128" i="12"/>
  <c r="AF349" i="32"/>
  <c r="Q129" i="12"/>
  <c r="AF350" i="32"/>
  <c r="Q130" i="12"/>
  <c r="AF351" i="32"/>
  <c r="Q131" i="12"/>
  <c r="AF352" i="32"/>
  <c r="Q132" i="12"/>
  <c r="AF353" i="32"/>
  <c r="Q133" i="12"/>
  <c r="AF354" i="32"/>
  <c r="Q134" i="12"/>
  <c r="AF355" i="32"/>
  <c r="Q135" i="12"/>
  <c r="AF356" i="32"/>
  <c r="Q136" i="12"/>
  <c r="AF357" i="32"/>
  <c r="Q137" i="12"/>
  <c r="AF358" i="32"/>
  <c r="Q138" i="12"/>
  <c r="AF359" i="32"/>
  <c r="Q139" i="12"/>
  <c r="AF360" i="32"/>
  <c r="Q140" i="12"/>
  <c r="AF361" i="32"/>
  <c r="Q141" i="12"/>
  <c r="AF362" i="32"/>
  <c r="Q142" i="12"/>
  <c r="AF363" i="32"/>
  <c r="Q143" i="12"/>
  <c r="AF364" i="32"/>
  <c r="Q144" i="12"/>
  <c r="AF365" i="32"/>
  <c r="Q145" i="12"/>
  <c r="AF366" i="32"/>
  <c r="Q146" i="12"/>
  <c r="AF367" i="32"/>
  <c r="Q147" i="12"/>
  <c r="AF368" i="32"/>
  <c r="Q148" i="12"/>
  <c r="AF369" i="32"/>
  <c r="Q149" i="12"/>
  <c r="AF370" i="32"/>
  <c r="Q150" i="12"/>
  <c r="AF371" i="32"/>
  <c r="Q151" i="12"/>
  <c r="AF372" i="32"/>
  <c r="Q152" i="12"/>
  <c r="AF373" i="32"/>
  <c r="Q153" i="12"/>
  <c r="AF374" i="32"/>
  <c r="Q154" i="12"/>
  <c r="AF375" i="32"/>
  <c r="Q155" i="12"/>
  <c r="AF376" i="32"/>
  <c r="Q156" i="12"/>
  <c r="AF377" i="32"/>
  <c r="Q157" i="12"/>
  <c r="AF378" i="32"/>
  <c r="Q158" i="12"/>
  <c r="AF379" i="32"/>
  <c r="Q159" i="12"/>
  <c r="AF380" i="32"/>
  <c r="Q160" i="12"/>
  <c r="AF381" i="32"/>
  <c r="Q161" i="12"/>
  <c r="AF382" i="32"/>
  <c r="Q162" i="12"/>
  <c r="AF383" i="32"/>
  <c r="Q163" i="12"/>
  <c r="AF384" i="32"/>
  <c r="Q164" i="12"/>
  <c r="AF385" i="32"/>
  <c r="Q165" i="12"/>
  <c r="AF386" i="32"/>
  <c r="Q166" i="12"/>
  <c r="AF387" i="32"/>
  <c r="Q167" i="12"/>
  <c r="AF388" i="32"/>
  <c r="Q168" i="12"/>
  <c r="AF389" i="32"/>
  <c r="Q169" i="12"/>
  <c r="AF390" i="32"/>
  <c r="Q170" i="12"/>
  <c r="AF391" i="32"/>
  <c r="Q171" i="12"/>
  <c r="AF392" i="32"/>
  <c r="Q172" i="12"/>
  <c r="AF393" i="32"/>
  <c r="Q173" i="12"/>
  <c r="AF394" i="32"/>
  <c r="Q174" i="12"/>
  <c r="AF395" i="32"/>
  <c r="Q175" i="12"/>
  <c r="AF396" i="32"/>
  <c r="Q176" i="12"/>
  <c r="AF397" i="32"/>
  <c r="Q177" i="12"/>
  <c r="AF398" i="32"/>
  <c r="Q178" i="12"/>
  <c r="AF399" i="32"/>
  <c r="Q179" i="12"/>
  <c r="AF400" i="32"/>
  <c r="Q180" i="12"/>
  <c r="AF401" i="32"/>
  <c r="Q181" i="12"/>
  <c r="AF402" i="32"/>
  <c r="Q182" i="12"/>
  <c r="AF403" i="32"/>
  <c r="Q183" i="12"/>
  <c r="AF404" i="32"/>
  <c r="Q184" i="12"/>
  <c r="AF405" i="32"/>
  <c r="Q185" i="12"/>
  <c r="AF406" i="32"/>
  <c r="Q186" i="12"/>
  <c r="AF407" i="32"/>
  <c r="Q187" i="12"/>
  <c r="AF408" i="32"/>
  <c r="Q188" i="12"/>
  <c r="AF409" i="32"/>
  <c r="Q189" i="12"/>
  <c r="AF410" i="32"/>
  <c r="Q190" i="12"/>
  <c r="AF411" i="32"/>
  <c r="Q191" i="12"/>
  <c r="AF412" i="32"/>
  <c r="Q192" i="12"/>
  <c r="AF413" i="32"/>
  <c r="Q193" i="12"/>
  <c r="AF414" i="32"/>
  <c r="Q194" i="12"/>
  <c r="AF415" i="32"/>
  <c r="Q195" i="12"/>
  <c r="AF416" i="32"/>
  <c r="Q196" i="12"/>
  <c r="AF417" i="32"/>
  <c r="Q197" i="12"/>
  <c r="AF418" i="32"/>
  <c r="Q198" i="12"/>
  <c r="AF419" i="32"/>
  <c r="Q199" i="12"/>
  <c r="AF420" i="32"/>
  <c r="Q200" i="12"/>
  <c r="AF421" i="32"/>
  <c r="Q201" i="12"/>
  <c r="AF422" i="32"/>
  <c r="Q202" i="12"/>
  <c r="AF423" i="32"/>
  <c r="Q203" i="12"/>
  <c r="AF424" i="32"/>
  <c r="Q204" i="12"/>
  <c r="AF425" i="32"/>
  <c r="Q205" i="12"/>
  <c r="AF426" i="32"/>
  <c r="Q206" i="12"/>
  <c r="AF427" i="32"/>
  <c r="Q207" i="12"/>
  <c r="AF428" i="32"/>
  <c r="Q208" i="12"/>
  <c r="AF429" i="32"/>
  <c r="Q209" i="12"/>
  <c r="AF430" i="32"/>
  <c r="Q210" i="12"/>
  <c r="AF431" i="32"/>
  <c r="Q211" i="12"/>
  <c r="AF432" i="32"/>
  <c r="Q212" i="12"/>
  <c r="AF433" i="32"/>
  <c r="Q213" i="12"/>
  <c r="AF434" i="32"/>
  <c r="Q214" i="12"/>
  <c r="AF435" i="32"/>
  <c r="Q215" i="12"/>
  <c r="AF436" i="32"/>
  <c r="Q216" i="12"/>
  <c r="AF437" i="32"/>
  <c r="Q217" i="12"/>
  <c r="AF438" i="32"/>
  <c r="Q218" i="12"/>
  <c r="AF439" i="32"/>
  <c r="Q219" i="12"/>
  <c r="AF440" i="32"/>
  <c r="Q220" i="12"/>
  <c r="AF441" i="32"/>
  <c r="Q221" i="12"/>
  <c r="AF442" i="32"/>
  <c r="Q222" i="12"/>
  <c r="AF443" i="32"/>
  <c r="AS5" i="32"/>
  <c r="BA4" i="32"/>
  <c r="BA5" i="32"/>
  <c r="BA6" i="32"/>
  <c r="BA7" i="32"/>
  <c r="BA8" i="32"/>
  <c r="BA9" i="32"/>
  <c r="BA10" i="32"/>
  <c r="BA11" i="32"/>
  <c r="BA12" i="32"/>
  <c r="BA13" i="32"/>
  <c r="BA14" i="32"/>
  <c r="BA15" i="32"/>
  <c r="BA16" i="32"/>
  <c r="BA17" i="32"/>
  <c r="BA18" i="32"/>
  <c r="BA19" i="32"/>
  <c r="BA20" i="32"/>
  <c r="BA21" i="32"/>
  <c r="BA22" i="32"/>
  <c r="BA23" i="32"/>
  <c r="BA24" i="32"/>
  <c r="BA25" i="32"/>
  <c r="BA26" i="32"/>
  <c r="BA27" i="32"/>
  <c r="BA28" i="32"/>
  <c r="BA29" i="32"/>
  <c r="BA30" i="32"/>
  <c r="BA31" i="32"/>
  <c r="BA32" i="32"/>
  <c r="BA33" i="32"/>
  <c r="BA34" i="32"/>
  <c r="BA35" i="32"/>
  <c r="BA36" i="32"/>
  <c r="BA37" i="32"/>
  <c r="BA38" i="32"/>
  <c r="BA39" i="32"/>
  <c r="BA40" i="32"/>
  <c r="BA41" i="32"/>
  <c r="BA42" i="32"/>
  <c r="BA43" i="32"/>
  <c r="BA44" i="32"/>
  <c r="BA45" i="32"/>
  <c r="BA46" i="32"/>
  <c r="BA47" i="32"/>
  <c r="BA48" i="32"/>
  <c r="BA49" i="32"/>
  <c r="BA50" i="32"/>
  <c r="BA51" i="32"/>
  <c r="BA52" i="32"/>
  <c r="BA53" i="32"/>
  <c r="BA54" i="32"/>
  <c r="BA55" i="32"/>
  <c r="BA56" i="32"/>
  <c r="BA57" i="32"/>
  <c r="BA58" i="32"/>
  <c r="BA59" i="32"/>
  <c r="BA60" i="32"/>
  <c r="BA61" i="32"/>
  <c r="BA62" i="32"/>
  <c r="BA63" i="32"/>
  <c r="BA64" i="32"/>
  <c r="BA65" i="32"/>
  <c r="BA66" i="32"/>
  <c r="BA67" i="32"/>
  <c r="BA68" i="32"/>
  <c r="BA69" i="32"/>
  <c r="BA70" i="32"/>
  <c r="BA71" i="32"/>
  <c r="BA72" i="32"/>
  <c r="BA73" i="32"/>
  <c r="BA74" i="32"/>
  <c r="BA75" i="32"/>
  <c r="BA76" i="32"/>
  <c r="BA77" i="32"/>
  <c r="BA78" i="32"/>
  <c r="BA79" i="32"/>
  <c r="BA80" i="32"/>
  <c r="BA81" i="32"/>
  <c r="BA82" i="32"/>
  <c r="BA83" i="32"/>
  <c r="BA84" i="32"/>
  <c r="BA85" i="32"/>
  <c r="BA86" i="32"/>
  <c r="BA87" i="32"/>
  <c r="BA88" i="32"/>
  <c r="BA89" i="32"/>
  <c r="BA90" i="32"/>
  <c r="BA91" i="32"/>
  <c r="BA92" i="32"/>
  <c r="BA93" i="32"/>
  <c r="BA94" i="32"/>
  <c r="BA95" i="32"/>
  <c r="BA96" i="32"/>
  <c r="BA97" i="32"/>
  <c r="BA98" i="32"/>
  <c r="BA99" i="32"/>
  <c r="BA100" i="32"/>
  <c r="BA101" i="32"/>
  <c r="BA102" i="32"/>
  <c r="BA103" i="32"/>
  <c r="BA104" i="32"/>
  <c r="BA105" i="32"/>
  <c r="BA106" i="32"/>
  <c r="BA107" i="32"/>
  <c r="BA108" i="32"/>
  <c r="BA109" i="32"/>
  <c r="BA110" i="32"/>
  <c r="BA111" i="32"/>
  <c r="BA112" i="32"/>
  <c r="BA113" i="32"/>
  <c r="BA114" i="32"/>
  <c r="BA115" i="32"/>
  <c r="BA116" i="32"/>
  <c r="BA117" i="32"/>
  <c r="BA118" i="32"/>
  <c r="BA119" i="32"/>
  <c r="BA120" i="32"/>
  <c r="BA121" i="32"/>
  <c r="BA122" i="32"/>
  <c r="BA123" i="32"/>
  <c r="BA124" i="32"/>
  <c r="BA125" i="32"/>
  <c r="BA126" i="32"/>
  <c r="BA127" i="32"/>
  <c r="BA128" i="32"/>
  <c r="BA129" i="32"/>
  <c r="BA130" i="32"/>
  <c r="BA131" i="32"/>
  <c r="BA132" i="32"/>
  <c r="BA133" i="32"/>
  <c r="BA134" i="32"/>
  <c r="BA135" i="32"/>
  <c r="BA136" i="32"/>
  <c r="BA137" i="32"/>
  <c r="BA138" i="32"/>
  <c r="BA139" i="32"/>
  <c r="BA140" i="32"/>
  <c r="BA141" i="32"/>
  <c r="BA142" i="32"/>
  <c r="BA143" i="32"/>
  <c r="BA144" i="32"/>
  <c r="BA145" i="32"/>
  <c r="BA146" i="32"/>
  <c r="BA147" i="32"/>
  <c r="BA148" i="32"/>
  <c r="BA149" i="32"/>
  <c r="BA150" i="32"/>
  <c r="BA151" i="32"/>
  <c r="BA152" i="32"/>
  <c r="BA153" i="32"/>
  <c r="BA154" i="32"/>
  <c r="BA155" i="32"/>
  <c r="BA156" i="32"/>
  <c r="BA157" i="32"/>
  <c r="BA158" i="32"/>
  <c r="BA159" i="32"/>
  <c r="BA160" i="32"/>
  <c r="BA161" i="32"/>
  <c r="BA162" i="32"/>
  <c r="BA163" i="32"/>
  <c r="BA164" i="32"/>
  <c r="BA165" i="32"/>
  <c r="BA166" i="32"/>
  <c r="BA167" i="32"/>
  <c r="BA168" i="32"/>
  <c r="BA169" i="32"/>
  <c r="BA170" i="32"/>
  <c r="BA171" i="32"/>
  <c r="BA172" i="32"/>
  <c r="BA173" i="32"/>
  <c r="BA174" i="32"/>
  <c r="BA175" i="32"/>
  <c r="BA176" i="32"/>
  <c r="BA177" i="32"/>
  <c r="BA178" i="32"/>
  <c r="BA179" i="32"/>
  <c r="BA180" i="32"/>
  <c r="BA181" i="32"/>
  <c r="BA182" i="32"/>
  <c r="BA183" i="32"/>
  <c r="BA184" i="32"/>
  <c r="BA185" i="32"/>
  <c r="BA186" i="32"/>
  <c r="BA187" i="32"/>
  <c r="BA188" i="32"/>
  <c r="BA189" i="32"/>
  <c r="BA190" i="32"/>
  <c r="BA191" i="32"/>
  <c r="BA192" i="32"/>
  <c r="BA193" i="32"/>
  <c r="BA194" i="32"/>
  <c r="BA195" i="32"/>
  <c r="BA196" i="32"/>
  <c r="BA197" i="32"/>
  <c r="BA198" i="32"/>
  <c r="BA199" i="32"/>
  <c r="BA200" i="32"/>
  <c r="BA201" i="32"/>
  <c r="BA202" i="32"/>
  <c r="BA203" i="32"/>
  <c r="BA204" i="32"/>
  <c r="BA205" i="32"/>
  <c r="BA206" i="32"/>
  <c r="BA207" i="32"/>
  <c r="BA208" i="32"/>
  <c r="BA209" i="32"/>
  <c r="BA210" i="32"/>
  <c r="BA211" i="32"/>
  <c r="BA212" i="32"/>
  <c r="BA213" i="32"/>
  <c r="BA214" i="32"/>
  <c r="BA215" i="32"/>
  <c r="BA216" i="32"/>
  <c r="BA217" i="32"/>
  <c r="BA218" i="32"/>
  <c r="BA219" i="32"/>
  <c r="BA220" i="32"/>
  <c r="BA221" i="32"/>
  <c r="BA222" i="32"/>
  <c r="BA223" i="32"/>
  <c r="BA224" i="32"/>
  <c r="BA225" i="32"/>
  <c r="BA226" i="32"/>
  <c r="BA227" i="32"/>
  <c r="BA228" i="32"/>
  <c r="BA229" i="32"/>
  <c r="BA230" i="32"/>
  <c r="BA231" i="32"/>
  <c r="BA232" i="32"/>
  <c r="BA233" i="32"/>
  <c r="BA234" i="32"/>
  <c r="BA235" i="32"/>
  <c r="BA236" i="32"/>
  <c r="BA237" i="32"/>
  <c r="BA238" i="32"/>
  <c r="BA239" i="32"/>
  <c r="BA240" i="32"/>
  <c r="BA241" i="32"/>
  <c r="BA242" i="32"/>
  <c r="BA243" i="32"/>
  <c r="BA244" i="32"/>
  <c r="BA245" i="32"/>
  <c r="BA246" i="32"/>
  <c r="BA247" i="32"/>
  <c r="BA248" i="32"/>
  <c r="BA249" i="32"/>
  <c r="BA250" i="32"/>
  <c r="BA251" i="32"/>
  <c r="BA252" i="32"/>
  <c r="BA253" i="32"/>
  <c r="BA254" i="32"/>
  <c r="BA255" i="32"/>
  <c r="BA256" i="32"/>
  <c r="BA257" i="32"/>
  <c r="BA258" i="32"/>
  <c r="BA259" i="32"/>
  <c r="BA260" i="32"/>
  <c r="BA261" i="32"/>
  <c r="BA262" i="32"/>
  <c r="BA263" i="32"/>
  <c r="BA264" i="32"/>
  <c r="BA265" i="32"/>
  <c r="BA266" i="32"/>
  <c r="BA267" i="32"/>
  <c r="BA268" i="32"/>
  <c r="BA269" i="32"/>
  <c r="BA270" i="32"/>
  <c r="BA271" i="32"/>
  <c r="BA272" i="32"/>
  <c r="BA273" i="32"/>
  <c r="BA274" i="32"/>
  <c r="BA275" i="32"/>
  <c r="BA276" i="32"/>
  <c r="BA277" i="32"/>
  <c r="BA278" i="32"/>
  <c r="BA279" i="32"/>
  <c r="BA280" i="32"/>
  <c r="BA281" i="32"/>
  <c r="BA282" i="32"/>
  <c r="BA283" i="32"/>
  <c r="BA284" i="32"/>
  <c r="BA285" i="32"/>
  <c r="BA286" i="32"/>
  <c r="BA287" i="32"/>
  <c r="BA288" i="32"/>
  <c r="BA289" i="32"/>
  <c r="BA290" i="32"/>
  <c r="BA291" i="32"/>
  <c r="BA292" i="32"/>
  <c r="BA293" i="32"/>
  <c r="BA294" i="32"/>
  <c r="BA295" i="32"/>
  <c r="BA296" i="32"/>
  <c r="BA297" i="32"/>
  <c r="BA298" i="32"/>
  <c r="BA299" i="32"/>
  <c r="BA300" i="32"/>
  <c r="BA301" i="32"/>
  <c r="BA302" i="32"/>
  <c r="BA303" i="32"/>
  <c r="BA304" i="32"/>
  <c r="BA305" i="32"/>
  <c r="BA306" i="32"/>
  <c r="BA307" i="32"/>
  <c r="BA308" i="32"/>
  <c r="BA309" i="32"/>
  <c r="BA310" i="32"/>
  <c r="BA311" i="32"/>
  <c r="BA312" i="32"/>
  <c r="BA313" i="32"/>
  <c r="BA314" i="32"/>
  <c r="BA315" i="32"/>
  <c r="BA316" i="32"/>
  <c r="BA317" i="32"/>
  <c r="BA318" i="32"/>
  <c r="BA319" i="32"/>
  <c r="BA320" i="32"/>
  <c r="BA321" i="32"/>
  <c r="BA322" i="32"/>
  <c r="BA323" i="32"/>
  <c r="BA324" i="32"/>
  <c r="BA325" i="32"/>
  <c r="BA326" i="32"/>
  <c r="BA327" i="32"/>
  <c r="BA328" i="32"/>
  <c r="BA329" i="32"/>
  <c r="BA330" i="32"/>
  <c r="BA331" i="32"/>
  <c r="BA332" i="32"/>
  <c r="BA333" i="32"/>
  <c r="BA334" i="32"/>
  <c r="BA335" i="32"/>
  <c r="BA336" i="32"/>
  <c r="BA337" i="32"/>
  <c r="BA338" i="32"/>
  <c r="BA339" i="32"/>
  <c r="BA340" i="32"/>
  <c r="BA341" i="32"/>
  <c r="BA342" i="32"/>
  <c r="BA343" i="32"/>
  <c r="BA344" i="32"/>
  <c r="BA345" i="32"/>
  <c r="BA346" i="32"/>
  <c r="BA347" i="32"/>
  <c r="BA348" i="32"/>
  <c r="BA349" i="32"/>
  <c r="BA350" i="32"/>
  <c r="BA351" i="32"/>
  <c r="BA352" i="32"/>
  <c r="BA353" i="32"/>
  <c r="BA354" i="32"/>
  <c r="BA355" i="32"/>
  <c r="BA356" i="32"/>
  <c r="BA357" i="32"/>
  <c r="BA358" i="32"/>
  <c r="BA359" i="32"/>
  <c r="BA360" i="32"/>
  <c r="BA361" i="32"/>
  <c r="BA362" i="32"/>
  <c r="BA363" i="32"/>
  <c r="BA364" i="32"/>
  <c r="BA365" i="32"/>
  <c r="BA366" i="32"/>
  <c r="BA367" i="32"/>
  <c r="BA368" i="32"/>
  <c r="BA369" i="32"/>
  <c r="BA370" i="32"/>
  <c r="BA371" i="32"/>
  <c r="BA372" i="32"/>
  <c r="BA373" i="32"/>
  <c r="BA374" i="32"/>
  <c r="BA375" i="32"/>
  <c r="BA376" i="32"/>
  <c r="BA377" i="32"/>
  <c r="BA378" i="32"/>
  <c r="BA379" i="32"/>
  <c r="BA380" i="32"/>
  <c r="BA381" i="32"/>
  <c r="BA382" i="32"/>
  <c r="BA383" i="32"/>
  <c r="BA384" i="32"/>
  <c r="BA385" i="32"/>
  <c r="BA386" i="32"/>
  <c r="BA387" i="32"/>
  <c r="BA388" i="32"/>
  <c r="BA389" i="32"/>
  <c r="BA390" i="32"/>
  <c r="BA391" i="32"/>
  <c r="BA392" i="32"/>
  <c r="BA393" i="32"/>
  <c r="BA394" i="32"/>
  <c r="BA395" i="32"/>
  <c r="BA396" i="32"/>
  <c r="BA397" i="32"/>
  <c r="BA398" i="32"/>
  <c r="BA399" i="32"/>
  <c r="BA400" i="32"/>
  <c r="BA401" i="32"/>
  <c r="BA402" i="32"/>
  <c r="BA403" i="32"/>
  <c r="BA404" i="32"/>
  <c r="BA405" i="32"/>
  <c r="BA406" i="32"/>
  <c r="BA407" i="32"/>
  <c r="BA408" i="32"/>
  <c r="BA409" i="32"/>
  <c r="BA410" i="32"/>
  <c r="BA411" i="32"/>
  <c r="BA412" i="32"/>
  <c r="BA413" i="32"/>
  <c r="BA414" i="32"/>
  <c r="BA415" i="32"/>
  <c r="BA416" i="32"/>
  <c r="BA417" i="32"/>
  <c r="BA418" i="32"/>
  <c r="BA419" i="32"/>
  <c r="BA420" i="32"/>
  <c r="BA421" i="32"/>
  <c r="BA422" i="32"/>
  <c r="BA423" i="32"/>
  <c r="BB4" i="32"/>
  <c r="BB5" i="32"/>
  <c r="BB6" i="32"/>
  <c r="BB7" i="32"/>
  <c r="BB8" i="32"/>
  <c r="BB9" i="32"/>
  <c r="BB10" i="32"/>
  <c r="BB11" i="32"/>
  <c r="BB12" i="32"/>
  <c r="BB13" i="32"/>
  <c r="BB14" i="32"/>
  <c r="BB15" i="32"/>
  <c r="BB16" i="32"/>
  <c r="BB17" i="32"/>
  <c r="BB18" i="32"/>
  <c r="BB19" i="32"/>
  <c r="BB20" i="32"/>
  <c r="BB21" i="32"/>
  <c r="BB22" i="32"/>
  <c r="BB23" i="32"/>
  <c r="BB24" i="32"/>
  <c r="BB25" i="32"/>
  <c r="BB26" i="32"/>
  <c r="BB27" i="32"/>
  <c r="BB28" i="32"/>
  <c r="BB29" i="32"/>
  <c r="BB30" i="32"/>
  <c r="BB31" i="32"/>
  <c r="BB32" i="32"/>
  <c r="BB33" i="32"/>
  <c r="BB34" i="32"/>
  <c r="BB35" i="32"/>
  <c r="BB36" i="32"/>
  <c r="BB37" i="32"/>
  <c r="BB38" i="32"/>
  <c r="BB39" i="32"/>
  <c r="BB40" i="32"/>
  <c r="BB41" i="32"/>
  <c r="BB42" i="32"/>
  <c r="BB43" i="32"/>
  <c r="BB44" i="32"/>
  <c r="BB45" i="32"/>
  <c r="BB46" i="32"/>
  <c r="BB47" i="32"/>
  <c r="BB48" i="32"/>
  <c r="BB49" i="32"/>
  <c r="BB50" i="32"/>
  <c r="BB51" i="32"/>
  <c r="BB52" i="32"/>
  <c r="BB53" i="32"/>
  <c r="BB54" i="32"/>
  <c r="BB55" i="32"/>
  <c r="BB56" i="32"/>
  <c r="BB57" i="32"/>
  <c r="BB58" i="32"/>
  <c r="BB59" i="32"/>
  <c r="BB60" i="32"/>
  <c r="BB61" i="32"/>
  <c r="BB62" i="32"/>
  <c r="BB63" i="32"/>
  <c r="BB64" i="32"/>
  <c r="BB65" i="32"/>
  <c r="BB66" i="32"/>
  <c r="BB67" i="32"/>
  <c r="BB68" i="32"/>
  <c r="BB69" i="32"/>
  <c r="BB70" i="32"/>
  <c r="BB71" i="32"/>
  <c r="BB72" i="32"/>
  <c r="BB73" i="32"/>
  <c r="BB74" i="32"/>
  <c r="BB75" i="32"/>
  <c r="BB76" i="32"/>
  <c r="BB77" i="32"/>
  <c r="BB78" i="32"/>
  <c r="BB79" i="32"/>
  <c r="BB80" i="32"/>
  <c r="BB81" i="32"/>
  <c r="BB82" i="32"/>
  <c r="BB83" i="32"/>
  <c r="BB84" i="32"/>
  <c r="BB85" i="32"/>
  <c r="BB86" i="32"/>
  <c r="BB87" i="32"/>
  <c r="BB88" i="32"/>
  <c r="BB89" i="32"/>
  <c r="BB90" i="32"/>
  <c r="BB91" i="32"/>
  <c r="BB92" i="32"/>
  <c r="BB93" i="32"/>
  <c r="BB94" i="32"/>
  <c r="BB95" i="32"/>
  <c r="BB96" i="32"/>
  <c r="BB97" i="32"/>
  <c r="BB98" i="32"/>
  <c r="BB99" i="32"/>
  <c r="BB100" i="32"/>
  <c r="BB101" i="32"/>
  <c r="BB102" i="32"/>
  <c r="BB103" i="32"/>
  <c r="BB104" i="32"/>
  <c r="BB105" i="32"/>
  <c r="BB106" i="32"/>
  <c r="BB107" i="32"/>
  <c r="BB108" i="32"/>
  <c r="BB109" i="32"/>
  <c r="BB110" i="32"/>
  <c r="BB111" i="32"/>
  <c r="BB112" i="32"/>
  <c r="BB113" i="32"/>
  <c r="BB114" i="32"/>
  <c r="BB115" i="32"/>
  <c r="BB116" i="32"/>
  <c r="BB117" i="32"/>
  <c r="BB118" i="32"/>
  <c r="BB119" i="32"/>
  <c r="BB120" i="32"/>
  <c r="BB121" i="32"/>
  <c r="BB122" i="32"/>
  <c r="BB123" i="32"/>
  <c r="BB124" i="32"/>
  <c r="BB125" i="32"/>
  <c r="BB126" i="32"/>
  <c r="BB127" i="32"/>
  <c r="BB128" i="32"/>
  <c r="BB129" i="32"/>
  <c r="BB130" i="32"/>
  <c r="BB131" i="32"/>
  <c r="BB132" i="32"/>
  <c r="BB133" i="32"/>
  <c r="BB134" i="32"/>
  <c r="BB135" i="32"/>
  <c r="BB136" i="32"/>
  <c r="BB137" i="32"/>
  <c r="BB138" i="32"/>
  <c r="BB139" i="32"/>
  <c r="BB140" i="32"/>
  <c r="BB141" i="32"/>
  <c r="BB142" i="32"/>
  <c r="BB143" i="32"/>
  <c r="BB144" i="32"/>
  <c r="BB145" i="32"/>
  <c r="BB146" i="32"/>
  <c r="BB147" i="32"/>
  <c r="BB148" i="32"/>
  <c r="BB149" i="32"/>
  <c r="BB150" i="32"/>
  <c r="BB151" i="32"/>
  <c r="BB152" i="32"/>
  <c r="BB153" i="32"/>
  <c r="BB154" i="32"/>
  <c r="BB155" i="32"/>
  <c r="BB156" i="32"/>
  <c r="BB157" i="32"/>
  <c r="BB158" i="32"/>
  <c r="BB159" i="32"/>
  <c r="BB160" i="32"/>
  <c r="BB161" i="32"/>
  <c r="BB162" i="32"/>
  <c r="BB163" i="32"/>
  <c r="BB164" i="32"/>
  <c r="BB165" i="32"/>
  <c r="BB166" i="32"/>
  <c r="BB167" i="32"/>
  <c r="BB168" i="32"/>
  <c r="BB169" i="32"/>
  <c r="BB170" i="32"/>
  <c r="BB171" i="32"/>
  <c r="BB172" i="32"/>
  <c r="BB173" i="32"/>
  <c r="BB174" i="32"/>
  <c r="BB175" i="32"/>
  <c r="BB176" i="32"/>
  <c r="BB177" i="32"/>
  <c r="BB178" i="32"/>
  <c r="BB179" i="32"/>
  <c r="BB180" i="32"/>
  <c r="BB181" i="32"/>
  <c r="BB182" i="32"/>
  <c r="BB183" i="32"/>
  <c r="BB184" i="32"/>
  <c r="BB185" i="32"/>
  <c r="BB186" i="32"/>
  <c r="BB187" i="32"/>
  <c r="BB188" i="32"/>
  <c r="BB189" i="32"/>
  <c r="BB190" i="32"/>
  <c r="BB191" i="32"/>
  <c r="BB192" i="32"/>
  <c r="BB193" i="32"/>
  <c r="BB194" i="32"/>
  <c r="BB195" i="32"/>
  <c r="BB196" i="32"/>
  <c r="BB197" i="32"/>
  <c r="BB198" i="32"/>
  <c r="BB199" i="32"/>
  <c r="BB200" i="32"/>
  <c r="BB201" i="32"/>
  <c r="BB202" i="32"/>
  <c r="BB203" i="32"/>
  <c r="BB204" i="32"/>
  <c r="BB205" i="32"/>
  <c r="BB206" i="32"/>
  <c r="BB207" i="32"/>
  <c r="BB208" i="32"/>
  <c r="BB209" i="32"/>
  <c r="BB210" i="32"/>
  <c r="BB211" i="32"/>
  <c r="BB212" i="32"/>
  <c r="BB213" i="32"/>
  <c r="BB214" i="32"/>
  <c r="BB215" i="32"/>
  <c r="BB216" i="32"/>
  <c r="BB217" i="32"/>
  <c r="BB218" i="32"/>
  <c r="BB219" i="32"/>
  <c r="BB220" i="32"/>
  <c r="BB221" i="32"/>
  <c r="BB222" i="32"/>
  <c r="BB223" i="32"/>
  <c r="BB224" i="32"/>
  <c r="BB225" i="32"/>
  <c r="BB226" i="32"/>
  <c r="BB227" i="32"/>
  <c r="BB228" i="32"/>
  <c r="BB229" i="32"/>
  <c r="BB230" i="32"/>
  <c r="BB231" i="32"/>
  <c r="BB232" i="32"/>
  <c r="BB233" i="32"/>
  <c r="BB234" i="32"/>
  <c r="BB235" i="32"/>
  <c r="BB236" i="32"/>
  <c r="BB237" i="32"/>
  <c r="BB238" i="32"/>
  <c r="BB239" i="32"/>
  <c r="BB240" i="32"/>
  <c r="BB241" i="32"/>
  <c r="BB242" i="32"/>
  <c r="BB243" i="32"/>
  <c r="BB244" i="32"/>
  <c r="BB245" i="32"/>
  <c r="BB246" i="32"/>
  <c r="BB247" i="32"/>
  <c r="BB248" i="32"/>
  <c r="BB249" i="32"/>
  <c r="BB250" i="32"/>
  <c r="BB251" i="32"/>
  <c r="BB252" i="32"/>
  <c r="BB253" i="32"/>
  <c r="BB254" i="32"/>
  <c r="BB255" i="32"/>
  <c r="BB256" i="32"/>
  <c r="BB257" i="32"/>
  <c r="BB258" i="32"/>
  <c r="BB259" i="32"/>
  <c r="BB260" i="32"/>
  <c r="BB261" i="32"/>
  <c r="BB262" i="32"/>
  <c r="BB263" i="32"/>
  <c r="BB264" i="32"/>
  <c r="BB265" i="32"/>
  <c r="BB266" i="32"/>
  <c r="BB267" i="32"/>
  <c r="BB268" i="32"/>
  <c r="BB269" i="32"/>
  <c r="BB270" i="32"/>
  <c r="BB271" i="32"/>
  <c r="BB272" i="32"/>
  <c r="BB273" i="32"/>
  <c r="BB274" i="32"/>
  <c r="BB275" i="32"/>
  <c r="BB276" i="32"/>
  <c r="BB277" i="32"/>
  <c r="BB278" i="32"/>
  <c r="BB279" i="32"/>
  <c r="BB280" i="32"/>
  <c r="BB281" i="32"/>
  <c r="BB282" i="32"/>
  <c r="BB283" i="32"/>
  <c r="BB284" i="32"/>
  <c r="BB285" i="32"/>
  <c r="BB286" i="32"/>
  <c r="BB287" i="32"/>
  <c r="BB288" i="32"/>
  <c r="BB289" i="32"/>
  <c r="BB290" i="32"/>
  <c r="BB291" i="32"/>
  <c r="BB292" i="32"/>
  <c r="BB293" i="32"/>
  <c r="BB294" i="32"/>
  <c r="BB295" i="32"/>
  <c r="BB296" i="32"/>
  <c r="BB297" i="32"/>
  <c r="BB298" i="32"/>
  <c r="BB299" i="32"/>
  <c r="BB300" i="32"/>
  <c r="BB301" i="32"/>
  <c r="BB302" i="32"/>
  <c r="BB303" i="32"/>
  <c r="BB304" i="32"/>
  <c r="BB305" i="32"/>
  <c r="BB306" i="32"/>
  <c r="BB307" i="32"/>
  <c r="BB308" i="32"/>
  <c r="BB309" i="32"/>
  <c r="BB310" i="32"/>
  <c r="BB311" i="32"/>
  <c r="BB312" i="32"/>
  <c r="BB313" i="32"/>
  <c r="BB314" i="32"/>
  <c r="BB315" i="32"/>
  <c r="BB316" i="32"/>
  <c r="BB317" i="32"/>
  <c r="BB318" i="32"/>
  <c r="BB319" i="32"/>
  <c r="BB320" i="32"/>
  <c r="BB321" i="32"/>
  <c r="BB322" i="32"/>
  <c r="BB323" i="32"/>
  <c r="BB324" i="32"/>
  <c r="BB325" i="32"/>
  <c r="BB326" i="32"/>
  <c r="BB327" i="32"/>
  <c r="BB328" i="32"/>
  <c r="BB329" i="32"/>
  <c r="BB330" i="32"/>
  <c r="BB331" i="32"/>
  <c r="BB332" i="32"/>
  <c r="BB333" i="32"/>
  <c r="BB334" i="32"/>
  <c r="BB335" i="32"/>
  <c r="BB336" i="32"/>
  <c r="BB337" i="32"/>
  <c r="BB338" i="32"/>
  <c r="BB339" i="32"/>
  <c r="BB340" i="32"/>
  <c r="BB341" i="32"/>
  <c r="BB342" i="32"/>
  <c r="BB343" i="32"/>
  <c r="BB344" i="32"/>
  <c r="BB345" i="32"/>
  <c r="BB346" i="32"/>
  <c r="BB347" i="32"/>
  <c r="BB348" i="32"/>
  <c r="BB349" i="32"/>
  <c r="BB350" i="32"/>
  <c r="BB351" i="32"/>
  <c r="BB352" i="32"/>
  <c r="BB353" i="32"/>
  <c r="BB354" i="32"/>
  <c r="BB355" i="32"/>
  <c r="BB356" i="32"/>
  <c r="BB357" i="32"/>
  <c r="BB358" i="32"/>
  <c r="BB359" i="32"/>
  <c r="BB360" i="32"/>
  <c r="BB361" i="32"/>
  <c r="BB362" i="32"/>
  <c r="BB363" i="32"/>
  <c r="BB364" i="32"/>
  <c r="BB365" i="32"/>
  <c r="BB366" i="32"/>
  <c r="BB367" i="32"/>
  <c r="BB368" i="32"/>
  <c r="BB369" i="32"/>
  <c r="BB370" i="32"/>
  <c r="BB371" i="32"/>
  <c r="BB372" i="32"/>
  <c r="BB373" i="32"/>
  <c r="BB374" i="32"/>
  <c r="BB375" i="32"/>
  <c r="BB376" i="32"/>
  <c r="BB377" i="32"/>
  <c r="BB378" i="32"/>
  <c r="BB379" i="32"/>
  <c r="BB380" i="32"/>
  <c r="BB381" i="32"/>
  <c r="BB382" i="32"/>
  <c r="BB383" i="32"/>
  <c r="BB384" i="32"/>
  <c r="BB385" i="32"/>
  <c r="BB386" i="32"/>
  <c r="BB387" i="32"/>
  <c r="BB388" i="32"/>
  <c r="BB389" i="32"/>
  <c r="BB390" i="32"/>
  <c r="BB391" i="32"/>
  <c r="BB392" i="32"/>
  <c r="BB393" i="32"/>
  <c r="BB394" i="32"/>
  <c r="BB395" i="32"/>
  <c r="BB396" i="32"/>
  <c r="BB397" i="32"/>
  <c r="BB398" i="32"/>
  <c r="BB399" i="32"/>
  <c r="BB400" i="32"/>
  <c r="BB401" i="32"/>
  <c r="BB402" i="32"/>
  <c r="BB403" i="32"/>
  <c r="BB404" i="32"/>
  <c r="BB405" i="32"/>
  <c r="BB406" i="32"/>
  <c r="BB407" i="32"/>
  <c r="BB408" i="32"/>
  <c r="BB409" i="32"/>
  <c r="BB410" i="32"/>
  <c r="BB411" i="32"/>
  <c r="BB412" i="32"/>
  <c r="BB413" i="32"/>
  <c r="BB414" i="32"/>
  <c r="BB415" i="32"/>
  <c r="BB416" i="32"/>
  <c r="BB417" i="32"/>
  <c r="BB418" i="32"/>
  <c r="BB419" i="32"/>
  <c r="BB420" i="32"/>
  <c r="BB422" i="32"/>
  <c r="BB423" i="32"/>
  <c r="BB424" i="32"/>
  <c r="BB425" i="32"/>
  <c r="BB426" i="32"/>
  <c r="BB427" i="32"/>
  <c r="AS6" i="32"/>
  <c r="AS7" i="32"/>
  <c r="AS8" i="32"/>
  <c r="AS9" i="32"/>
  <c r="AS10" i="32"/>
  <c r="AS11" i="32"/>
  <c r="AS12" i="32"/>
  <c r="AS13" i="32"/>
  <c r="AS14" i="32"/>
  <c r="AS15" i="32"/>
  <c r="AS16" i="32"/>
  <c r="AS17" i="32"/>
  <c r="AS18" i="32"/>
  <c r="AS19" i="32"/>
  <c r="AS20" i="32"/>
  <c r="AS21" i="32"/>
  <c r="AS22" i="32"/>
  <c r="AS23" i="32"/>
  <c r="AS24" i="32"/>
  <c r="AS25" i="32"/>
  <c r="AS26" i="32"/>
  <c r="AS27" i="32"/>
  <c r="AS28" i="32"/>
  <c r="AS29" i="32"/>
  <c r="AS30" i="32"/>
  <c r="AS31" i="32"/>
  <c r="AS32" i="32"/>
  <c r="AS33" i="32"/>
  <c r="AS34" i="32"/>
  <c r="AS35" i="32"/>
  <c r="AS36" i="32"/>
  <c r="AS37" i="32"/>
  <c r="AS38" i="32"/>
  <c r="AS39" i="32"/>
  <c r="AS40" i="32"/>
  <c r="AS41" i="32"/>
  <c r="AS42" i="32"/>
  <c r="AS43" i="32"/>
  <c r="AS44" i="32"/>
  <c r="AS45" i="32"/>
  <c r="AS46" i="32"/>
  <c r="AS47" i="32"/>
  <c r="AS48" i="32"/>
  <c r="AS49" i="32"/>
  <c r="AS50" i="32"/>
  <c r="AS51" i="32"/>
  <c r="AS52" i="32"/>
  <c r="AS53" i="32"/>
  <c r="AS54" i="32"/>
  <c r="AS55" i="32"/>
  <c r="AS56" i="32"/>
  <c r="AS57" i="32"/>
  <c r="AS58" i="32"/>
  <c r="AS59" i="32"/>
  <c r="AS60" i="32"/>
  <c r="AS61" i="32"/>
  <c r="AS62" i="32"/>
  <c r="AS63" i="32"/>
  <c r="AS64" i="32"/>
  <c r="AS65" i="32"/>
  <c r="AS66" i="32"/>
  <c r="AS67" i="32"/>
  <c r="AS68" i="32"/>
  <c r="AS69" i="32"/>
  <c r="AS70" i="32"/>
  <c r="AS71" i="32"/>
  <c r="AS72" i="32"/>
  <c r="AS73" i="32"/>
  <c r="AS74" i="32"/>
  <c r="AS75" i="32"/>
  <c r="AS76" i="32"/>
  <c r="AS77" i="32"/>
  <c r="AS78" i="32"/>
  <c r="AS79" i="32"/>
  <c r="AS80" i="32"/>
  <c r="AS81" i="32"/>
  <c r="AS82" i="32"/>
  <c r="AS83" i="32"/>
  <c r="AS84" i="32"/>
  <c r="AS85" i="32"/>
  <c r="AS86" i="32"/>
  <c r="AS87" i="32"/>
  <c r="AS88" i="32"/>
  <c r="AS89" i="32"/>
  <c r="AS90" i="32"/>
  <c r="AS91" i="32"/>
  <c r="AS92" i="32"/>
  <c r="AS93" i="32"/>
  <c r="AS94" i="32"/>
  <c r="AS95" i="32"/>
  <c r="AS96" i="32"/>
  <c r="AS97" i="32"/>
  <c r="AS98" i="32"/>
  <c r="AS99" i="32"/>
  <c r="AS100" i="32"/>
  <c r="AS101" i="32"/>
  <c r="AS102" i="32"/>
  <c r="AS103" i="32"/>
  <c r="AS104" i="32"/>
  <c r="AS105" i="32"/>
  <c r="AS106" i="32"/>
  <c r="AS107" i="32"/>
  <c r="AS108" i="32"/>
  <c r="AS109" i="32"/>
  <c r="AS110" i="32"/>
  <c r="AS111" i="32"/>
  <c r="AS112" i="32"/>
  <c r="AS113" i="32"/>
  <c r="AS114" i="32"/>
  <c r="AS115" i="32"/>
  <c r="AS116" i="32"/>
  <c r="AS117" i="32"/>
  <c r="AS118" i="32"/>
  <c r="AS119" i="32"/>
  <c r="AS120" i="32"/>
  <c r="AS121" i="32"/>
  <c r="AS122" i="32"/>
  <c r="AS123" i="32"/>
  <c r="AS124" i="32"/>
  <c r="AS125" i="32"/>
  <c r="AS126" i="32"/>
  <c r="AS127" i="32"/>
  <c r="AS128" i="32"/>
  <c r="AS129" i="32"/>
  <c r="AS130" i="32"/>
  <c r="AS131" i="32"/>
  <c r="AS132" i="32"/>
  <c r="AS133" i="32"/>
  <c r="AS134" i="32"/>
  <c r="AS135" i="32"/>
  <c r="AS136" i="32"/>
  <c r="AS137" i="32"/>
  <c r="AS138" i="32"/>
  <c r="AS139" i="32"/>
  <c r="AS140" i="32"/>
  <c r="AS141" i="32"/>
  <c r="AS142" i="32"/>
  <c r="AS143" i="32"/>
  <c r="AS144" i="32"/>
  <c r="AS145" i="32"/>
  <c r="AS146" i="32"/>
  <c r="AS147" i="32"/>
  <c r="AS148" i="32"/>
  <c r="AS149" i="32"/>
  <c r="AS150" i="32"/>
  <c r="AS151" i="32"/>
  <c r="AS152" i="32"/>
  <c r="AS153" i="32"/>
  <c r="AS154" i="32"/>
  <c r="AS155" i="32"/>
  <c r="AS156" i="32"/>
  <c r="AS157" i="32"/>
  <c r="AS158" i="32"/>
  <c r="AS159" i="32"/>
  <c r="AS160" i="32"/>
  <c r="AS161" i="32"/>
  <c r="AS162" i="32"/>
  <c r="AS163" i="32"/>
  <c r="AS164" i="32"/>
  <c r="AS165" i="32"/>
  <c r="AS166" i="32"/>
  <c r="AS167" i="32"/>
  <c r="AS168" i="32"/>
  <c r="AS169" i="32"/>
  <c r="AS170" i="32"/>
  <c r="AS171" i="32"/>
  <c r="AS172" i="32"/>
  <c r="AS173" i="32"/>
  <c r="AS174" i="32"/>
  <c r="AS175" i="32"/>
  <c r="AS176" i="32"/>
  <c r="AS177" i="32"/>
  <c r="AS178" i="32"/>
  <c r="AS179" i="32"/>
  <c r="AS180" i="32"/>
  <c r="AS181" i="32"/>
  <c r="AS182" i="32"/>
  <c r="AS183" i="32"/>
  <c r="AS184" i="32"/>
  <c r="AS185" i="32"/>
  <c r="AS186" i="32"/>
  <c r="AS187" i="32"/>
  <c r="AS188" i="32"/>
  <c r="AS189" i="32"/>
  <c r="AS190" i="32"/>
  <c r="AS191" i="32"/>
  <c r="AS192" i="32"/>
  <c r="AS193" i="32"/>
  <c r="AS194" i="32"/>
  <c r="AS195" i="32"/>
  <c r="AS196" i="32"/>
  <c r="AS197" i="32"/>
  <c r="AS198" i="32"/>
  <c r="AS199" i="32"/>
  <c r="AS200" i="32"/>
  <c r="AS201" i="32"/>
  <c r="AS202" i="32"/>
  <c r="AS203" i="32"/>
  <c r="AS204" i="32"/>
  <c r="AS205" i="32"/>
  <c r="AS206" i="32"/>
  <c r="AS207" i="32"/>
  <c r="AS208" i="32"/>
  <c r="AS209" i="32"/>
  <c r="AS210" i="32"/>
  <c r="AS211" i="32"/>
  <c r="AS212" i="32"/>
  <c r="AS213" i="32"/>
  <c r="AS214" i="32"/>
  <c r="AS215" i="32"/>
  <c r="AS216" i="32"/>
  <c r="AS217" i="32"/>
  <c r="AS218" i="32"/>
  <c r="AS219" i="32"/>
  <c r="AS220" i="32"/>
  <c r="AS221" i="32"/>
  <c r="AS222" i="32"/>
  <c r="AS223" i="32"/>
  <c r="AS224" i="32"/>
  <c r="AS225" i="32"/>
  <c r="AS226" i="32"/>
  <c r="AS227" i="32"/>
  <c r="AS228" i="32"/>
  <c r="AS229" i="32"/>
  <c r="AS230" i="32"/>
  <c r="AS231" i="32"/>
  <c r="AS232" i="32"/>
  <c r="AS233" i="32"/>
  <c r="AS234" i="32"/>
  <c r="AS235" i="32"/>
  <c r="AS236" i="32"/>
  <c r="AS237" i="32"/>
  <c r="AS238" i="32"/>
  <c r="AS239" i="32"/>
  <c r="AS240" i="32"/>
  <c r="AS241" i="32"/>
  <c r="AS242" i="32"/>
  <c r="AS243" i="32"/>
  <c r="AS244" i="32"/>
  <c r="AS245" i="32"/>
  <c r="AS246" i="32"/>
  <c r="AS247" i="32"/>
  <c r="AS248" i="32"/>
  <c r="AS249" i="32"/>
  <c r="AS250" i="32"/>
  <c r="AS251" i="32"/>
  <c r="AS252" i="32"/>
  <c r="AS253" i="32"/>
  <c r="AS254" i="32"/>
  <c r="AS255" i="32"/>
  <c r="AS256" i="32"/>
  <c r="AS257" i="32"/>
  <c r="AS258" i="32"/>
  <c r="AS259" i="32"/>
  <c r="AS260" i="32"/>
  <c r="AS261" i="32"/>
  <c r="AS262" i="32"/>
  <c r="AS263" i="32"/>
  <c r="AS264" i="32"/>
  <c r="AS265" i="32"/>
  <c r="AS266" i="32"/>
  <c r="AS267" i="32"/>
  <c r="AS268" i="32"/>
  <c r="AS269" i="32"/>
  <c r="AS270" i="32"/>
  <c r="AS271" i="32"/>
  <c r="AS272" i="32"/>
  <c r="AS273" i="32"/>
  <c r="AS274" i="32"/>
  <c r="AS275" i="32"/>
  <c r="AS276" i="32"/>
  <c r="AS277" i="32"/>
  <c r="AS278" i="32"/>
  <c r="AS279" i="32"/>
  <c r="AS280" i="32"/>
  <c r="AS281" i="32"/>
  <c r="AS282" i="32"/>
  <c r="AS283" i="32"/>
  <c r="AS284" i="32"/>
  <c r="AS285" i="32"/>
  <c r="AS286" i="32"/>
  <c r="AS287" i="32"/>
  <c r="AS288" i="32"/>
  <c r="AS289" i="32"/>
  <c r="AS290" i="32"/>
  <c r="AS291" i="32"/>
  <c r="AS292" i="32"/>
  <c r="AS293" i="32"/>
  <c r="AS294" i="32"/>
  <c r="AS295" i="32"/>
  <c r="AS296" i="32"/>
  <c r="AS297" i="32"/>
  <c r="AS298" i="32"/>
  <c r="AS299" i="32"/>
  <c r="AS300" i="32"/>
  <c r="AS301" i="32"/>
  <c r="AS302" i="32"/>
  <c r="AS303" i="32"/>
  <c r="AS304" i="32"/>
  <c r="AS305" i="32"/>
  <c r="AS306" i="32"/>
  <c r="AS307" i="32"/>
  <c r="AS308" i="32"/>
  <c r="AS309" i="32"/>
  <c r="AS310" i="32"/>
  <c r="AS311" i="32"/>
  <c r="AS312" i="32"/>
  <c r="AS313" i="32"/>
  <c r="AS314" i="32"/>
  <c r="AS315" i="32"/>
  <c r="AS316" i="32"/>
  <c r="AS317" i="32"/>
  <c r="AS318" i="32"/>
  <c r="AS319" i="32"/>
  <c r="AS320" i="32"/>
  <c r="AS321" i="32"/>
  <c r="AS322" i="32"/>
  <c r="AS323" i="32"/>
  <c r="AS324" i="32"/>
  <c r="AS325" i="32"/>
  <c r="AS326" i="32"/>
  <c r="AS327" i="32"/>
  <c r="AS328" i="32"/>
  <c r="AS329" i="32"/>
  <c r="AS330" i="32"/>
  <c r="AS331" i="32"/>
  <c r="AS332" i="32"/>
  <c r="AS333" i="32"/>
  <c r="AS334" i="32"/>
  <c r="AS335" i="32"/>
  <c r="AS336" i="32"/>
  <c r="AS337" i="32"/>
  <c r="AS338" i="32"/>
  <c r="AT4" i="32"/>
  <c r="AS4" i="32"/>
  <c r="AX4" i="32"/>
  <c r="M3" i="12"/>
  <c r="AF4" i="32"/>
  <c r="AK4" i="32"/>
  <c r="K3" i="12"/>
  <c r="AE4" i="32"/>
  <c r="U131" i="32"/>
  <c r="U4" i="32"/>
  <c r="U5" i="32"/>
  <c r="U6" i="32"/>
  <c r="U7" i="32"/>
  <c r="U8" i="32"/>
  <c r="U9" i="32"/>
  <c r="U10" i="32"/>
  <c r="U11" i="32"/>
  <c r="U12" i="32"/>
  <c r="U13" i="32"/>
  <c r="U14" i="32"/>
  <c r="U15" i="32"/>
  <c r="U16" i="32"/>
  <c r="U17" i="32"/>
  <c r="U18" i="32"/>
  <c r="U19" i="32"/>
  <c r="U20" i="32"/>
  <c r="U21" i="32"/>
  <c r="U22" i="32"/>
  <c r="U23" i="32"/>
  <c r="U24" i="32"/>
  <c r="U25" i="32"/>
  <c r="U26" i="32"/>
  <c r="U27" i="32"/>
  <c r="U28" i="32"/>
  <c r="U29" i="32"/>
  <c r="U30" i="32"/>
  <c r="U31" i="32"/>
  <c r="U32" i="32"/>
  <c r="U33" i="32"/>
  <c r="U34" i="32"/>
  <c r="U35" i="32"/>
  <c r="U36" i="32"/>
  <c r="U37" i="32"/>
  <c r="U38" i="32"/>
  <c r="U39" i="32"/>
  <c r="U40" i="32"/>
  <c r="U41" i="32"/>
  <c r="U42" i="32"/>
  <c r="U43" i="32"/>
  <c r="U44" i="32"/>
  <c r="U45" i="32"/>
  <c r="U46" i="32"/>
  <c r="U47" i="32"/>
  <c r="U48" i="32"/>
  <c r="U49" i="32"/>
  <c r="U50" i="32"/>
  <c r="U51" i="32"/>
  <c r="U52" i="32"/>
  <c r="U53" i="32"/>
  <c r="U54" i="32"/>
  <c r="U55" i="32"/>
  <c r="U56" i="32"/>
  <c r="U57" i="32"/>
  <c r="U58" i="32"/>
  <c r="U59" i="32"/>
  <c r="U60" i="32"/>
  <c r="U61" i="32"/>
  <c r="U62" i="32"/>
  <c r="U63" i="32"/>
  <c r="U64" i="32"/>
  <c r="U65" i="32"/>
  <c r="U66" i="32"/>
  <c r="U67" i="32"/>
  <c r="U68" i="32"/>
  <c r="U69" i="32"/>
  <c r="U70" i="32"/>
  <c r="U71" i="32"/>
  <c r="U72" i="32"/>
  <c r="U73" i="32"/>
  <c r="U74" i="32"/>
  <c r="U75" i="32"/>
  <c r="U76" i="32"/>
  <c r="U77" i="32"/>
  <c r="U78" i="32"/>
  <c r="U79" i="32"/>
  <c r="U80" i="32"/>
  <c r="U81" i="32"/>
  <c r="U82" i="32"/>
  <c r="U83" i="32"/>
  <c r="U84" i="32"/>
  <c r="U85" i="32"/>
  <c r="U86" i="32"/>
  <c r="U87" i="32"/>
  <c r="U88" i="32"/>
  <c r="U89" i="32"/>
  <c r="U90" i="32"/>
  <c r="U91" i="32"/>
  <c r="U92" i="32"/>
  <c r="U93" i="32"/>
  <c r="U94" i="32"/>
  <c r="U95" i="32"/>
  <c r="U96" i="32"/>
  <c r="U97" i="32"/>
  <c r="U98" i="32"/>
  <c r="U99" i="32"/>
  <c r="U100" i="32"/>
  <c r="U101" i="32"/>
  <c r="U102" i="32"/>
  <c r="U103" i="32"/>
  <c r="U104" i="32"/>
  <c r="U105" i="32"/>
  <c r="U106" i="32"/>
  <c r="U107" i="32"/>
  <c r="U108" i="32"/>
  <c r="U109" i="32"/>
  <c r="U110" i="32"/>
  <c r="U111" i="32"/>
  <c r="U112" i="32"/>
  <c r="U113" i="32"/>
  <c r="U114" i="32"/>
  <c r="U115" i="32"/>
  <c r="U116" i="32"/>
  <c r="U117" i="32"/>
  <c r="U118" i="32"/>
  <c r="U119" i="32"/>
  <c r="U120" i="32"/>
  <c r="U121" i="32"/>
  <c r="U122" i="32"/>
  <c r="U123" i="32"/>
  <c r="U124" i="32"/>
  <c r="U125" i="32"/>
  <c r="U126" i="32"/>
  <c r="U127" i="32"/>
  <c r="U128" i="32"/>
  <c r="U129" i="32"/>
  <c r="U130" i="32"/>
  <c r="U132" i="32"/>
  <c r="U133" i="32"/>
  <c r="U134" i="32"/>
  <c r="U135" i="32"/>
  <c r="U136" i="32"/>
  <c r="U137" i="32"/>
  <c r="U138" i="32"/>
  <c r="U139" i="32"/>
  <c r="U140" i="32"/>
  <c r="U141" i="32"/>
  <c r="U142" i="32"/>
  <c r="U143" i="32"/>
  <c r="U144" i="32"/>
  <c r="U145" i="32"/>
  <c r="U146" i="32"/>
  <c r="U147" i="32"/>
  <c r="U148" i="32"/>
  <c r="U149" i="32"/>
  <c r="U150" i="32"/>
  <c r="U151" i="32"/>
  <c r="U152" i="32"/>
  <c r="U153" i="32"/>
  <c r="U154" i="32"/>
  <c r="U155" i="32"/>
  <c r="U156" i="32"/>
  <c r="U157" i="32"/>
  <c r="U158" i="32"/>
  <c r="U159" i="32"/>
  <c r="U160" i="32"/>
  <c r="U161" i="32"/>
  <c r="U162" i="32"/>
  <c r="U163" i="32"/>
  <c r="U164" i="32"/>
  <c r="U165" i="32"/>
  <c r="U166" i="32"/>
  <c r="U167" i="32"/>
  <c r="U168" i="32"/>
  <c r="U169" i="32"/>
  <c r="U170" i="32"/>
  <c r="U171" i="32"/>
  <c r="U172" i="32"/>
  <c r="U173" i="32"/>
  <c r="U174" i="32"/>
  <c r="U175" i="32"/>
  <c r="U176" i="32"/>
  <c r="U177" i="32"/>
  <c r="U178" i="32"/>
  <c r="U179" i="32"/>
  <c r="U180" i="32"/>
  <c r="U181" i="32"/>
  <c r="U182" i="32"/>
  <c r="U183" i="32"/>
  <c r="U184" i="32"/>
  <c r="U185" i="32"/>
  <c r="U186" i="32"/>
  <c r="U187" i="32"/>
  <c r="U188" i="32"/>
  <c r="U189" i="32"/>
  <c r="U190" i="32"/>
  <c r="U191" i="32"/>
  <c r="U192" i="32"/>
  <c r="U193" i="32"/>
  <c r="U194" i="32"/>
  <c r="U195" i="32"/>
  <c r="U196" i="32"/>
  <c r="U197" i="32"/>
  <c r="U198" i="32"/>
  <c r="U199" i="32"/>
  <c r="U200" i="32"/>
  <c r="U201" i="32"/>
  <c r="U202" i="32"/>
  <c r="U203" i="32"/>
  <c r="U204" i="32"/>
  <c r="U205" i="32"/>
  <c r="U206" i="32"/>
  <c r="U207" i="32"/>
  <c r="U208" i="32"/>
  <c r="U209" i="32"/>
  <c r="U210" i="32"/>
  <c r="U211" i="32"/>
  <c r="U212" i="32"/>
  <c r="U213" i="32"/>
  <c r="U214" i="32"/>
  <c r="U215" i="32"/>
  <c r="U216" i="32"/>
  <c r="U217" i="32"/>
  <c r="U218" i="32"/>
  <c r="U219" i="32"/>
  <c r="U220" i="32"/>
  <c r="U221" i="32"/>
  <c r="U222" i="32"/>
  <c r="U223" i="32"/>
  <c r="U224" i="32"/>
  <c r="U225" i="32"/>
  <c r="U226" i="32"/>
  <c r="U227" i="32"/>
  <c r="U228" i="32"/>
  <c r="U229" i="32"/>
  <c r="U230" i="32"/>
  <c r="U231" i="32"/>
  <c r="U232" i="32"/>
  <c r="U233" i="32"/>
  <c r="U234" i="32"/>
  <c r="U235" i="32"/>
  <c r="U236" i="32"/>
  <c r="U237" i="32"/>
  <c r="U238" i="32"/>
  <c r="U239" i="32"/>
  <c r="U240" i="32"/>
  <c r="U241" i="32"/>
  <c r="U242" i="32"/>
  <c r="U243" i="32"/>
  <c r="U244" i="32"/>
  <c r="U245" i="32"/>
  <c r="U246" i="32"/>
  <c r="U247" i="32"/>
  <c r="U248" i="32"/>
  <c r="U249" i="32"/>
  <c r="U250" i="32"/>
  <c r="U251" i="32"/>
  <c r="U252" i="32"/>
  <c r="U253" i="32"/>
  <c r="U254" i="32"/>
  <c r="U255" i="32"/>
  <c r="U256" i="32"/>
  <c r="U257" i="32"/>
  <c r="U258" i="32"/>
  <c r="U259" i="32"/>
  <c r="U260" i="32"/>
  <c r="U261" i="32"/>
  <c r="U262" i="32"/>
  <c r="U263" i="32"/>
  <c r="U264" i="32"/>
  <c r="U265" i="32"/>
  <c r="U266" i="32"/>
  <c r="U267" i="32"/>
  <c r="U268" i="32"/>
  <c r="U269" i="32"/>
  <c r="U270" i="32"/>
  <c r="U271" i="32"/>
  <c r="U272" i="32"/>
  <c r="U273" i="32"/>
  <c r="U274" i="32"/>
  <c r="U275" i="32"/>
  <c r="U276" i="32"/>
  <c r="U277" i="32"/>
  <c r="U278" i="32"/>
  <c r="U279" i="32"/>
  <c r="U280" i="32"/>
  <c r="U281" i="32"/>
  <c r="U282" i="32"/>
  <c r="U283" i="32"/>
  <c r="U284" i="32"/>
  <c r="U285" i="32"/>
  <c r="U286" i="32"/>
  <c r="U287" i="32"/>
  <c r="U288" i="32"/>
  <c r="U289" i="32"/>
  <c r="U290" i="32"/>
  <c r="U291" i="32"/>
  <c r="U292" i="32"/>
  <c r="U293" i="32"/>
  <c r="U294" i="32"/>
  <c r="U295" i="32"/>
  <c r="U296" i="32"/>
  <c r="U297" i="32"/>
  <c r="U298" i="32"/>
  <c r="U299" i="32"/>
  <c r="U300" i="32"/>
  <c r="U301" i="32"/>
  <c r="U302" i="32"/>
  <c r="U303" i="32"/>
  <c r="U304" i="32"/>
  <c r="U305" i="32"/>
  <c r="U306" i="32"/>
  <c r="U307" i="32"/>
  <c r="U308" i="32"/>
  <c r="U309" i="32"/>
  <c r="U310" i="32"/>
  <c r="U311" i="32"/>
  <c r="U312" i="32"/>
  <c r="U313" i="32"/>
  <c r="U314" i="32"/>
  <c r="U315" i="32"/>
  <c r="U316" i="32"/>
  <c r="U317" i="32"/>
  <c r="U318" i="32"/>
  <c r="U319" i="32"/>
  <c r="U320" i="32"/>
  <c r="U321" i="32"/>
  <c r="U322" i="32"/>
  <c r="U323" i="32"/>
  <c r="U324" i="32"/>
  <c r="U325" i="32"/>
  <c r="U326" i="32"/>
  <c r="U327" i="32"/>
  <c r="U328" i="32"/>
  <c r="U329" i="32"/>
  <c r="U330" i="32"/>
  <c r="U331" i="32"/>
  <c r="U332" i="32"/>
  <c r="U333" i="32"/>
  <c r="U334" i="32"/>
  <c r="U335" i="32"/>
  <c r="U336" i="32"/>
  <c r="U337" i="32"/>
  <c r="U338" i="32"/>
  <c r="R395" i="32"/>
  <c r="R5" i="32"/>
  <c r="R6" i="32"/>
  <c r="R7" i="32"/>
  <c r="R8" i="32"/>
  <c r="R9" i="32"/>
  <c r="R10" i="32"/>
  <c r="R11" i="32"/>
  <c r="R12" i="32"/>
  <c r="R13" i="32"/>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0" i="32"/>
  <c r="R521" i="32"/>
  <c r="R522" i="32"/>
  <c r="R523" i="32"/>
  <c r="R524" i="32"/>
  <c r="R525" i="32"/>
  <c r="M4" i="32"/>
  <c r="R4" i="32"/>
  <c r="T4" i="32"/>
  <c r="T5" i="32"/>
  <c r="T6" i="32"/>
  <c r="T7" i="32"/>
  <c r="T8" i="32"/>
  <c r="T9" i="32"/>
  <c r="T10" i="32"/>
  <c r="T11" i="32"/>
  <c r="T12" i="32"/>
  <c r="T13" i="32"/>
  <c r="T14" i="32"/>
  <c r="T15" i="32"/>
  <c r="T16" i="32"/>
  <c r="T17" i="32"/>
  <c r="T18" i="32"/>
  <c r="T19" i="32"/>
  <c r="T20" i="32"/>
  <c r="T21" i="32"/>
  <c r="T22" i="32"/>
  <c r="T23" i="32"/>
  <c r="T24" i="32"/>
  <c r="T25" i="32"/>
  <c r="T26" i="32"/>
  <c r="T27" i="32"/>
  <c r="T28" i="32"/>
  <c r="T29" i="32"/>
  <c r="T30" i="32"/>
  <c r="T31" i="32"/>
  <c r="T32" i="32"/>
  <c r="T33" i="32"/>
  <c r="T34" i="32"/>
  <c r="T35" i="32"/>
  <c r="T36" i="32"/>
  <c r="T37" i="32"/>
  <c r="T38" i="32"/>
  <c r="T39" i="32"/>
  <c r="T40" i="32"/>
  <c r="T41" i="32"/>
  <c r="T42" i="32"/>
  <c r="T43" i="32"/>
  <c r="T44" i="32"/>
  <c r="T45" i="32"/>
  <c r="T46" i="32"/>
  <c r="T47" i="32"/>
  <c r="T48" i="32"/>
  <c r="T49" i="32"/>
  <c r="T50" i="32"/>
  <c r="T51" i="32"/>
  <c r="T52" i="32"/>
  <c r="T53" i="32"/>
  <c r="T54" i="32"/>
  <c r="T55" i="32"/>
  <c r="T56" i="32"/>
  <c r="T57" i="32"/>
  <c r="T58" i="32"/>
  <c r="T59" i="32"/>
  <c r="T60" i="32"/>
  <c r="T61" i="32"/>
  <c r="T62" i="32"/>
  <c r="T63" i="32"/>
  <c r="T64" i="32"/>
  <c r="T65" i="32"/>
  <c r="T66" i="32"/>
  <c r="T67" i="32"/>
  <c r="T68" i="32"/>
  <c r="T69" i="32"/>
  <c r="T70" i="32"/>
  <c r="T71" i="32"/>
  <c r="T72" i="32"/>
  <c r="T73" i="32"/>
  <c r="T74" i="32"/>
  <c r="T75" i="32"/>
  <c r="T76" i="32"/>
  <c r="T77" i="32"/>
  <c r="T78" i="32"/>
  <c r="T79" i="32"/>
  <c r="T80" i="32"/>
  <c r="T81" i="32"/>
  <c r="T82" i="32"/>
  <c r="T83" i="32"/>
  <c r="T84" i="32"/>
  <c r="T85" i="32"/>
  <c r="T86" i="32"/>
  <c r="T87" i="32"/>
  <c r="T88" i="32"/>
  <c r="T89" i="32"/>
  <c r="T90" i="32"/>
  <c r="T91" i="32"/>
  <c r="T92" i="32"/>
  <c r="T93" i="32"/>
  <c r="T94" i="32"/>
  <c r="T95" i="32"/>
  <c r="T96" i="32"/>
  <c r="T97" i="32"/>
  <c r="T98" i="32"/>
  <c r="T99" i="32"/>
  <c r="T100" i="32"/>
  <c r="T101" i="32"/>
  <c r="T102" i="32"/>
  <c r="T103" i="32"/>
  <c r="T104" i="32"/>
  <c r="T105" i="32"/>
  <c r="T106" i="32"/>
  <c r="T107" i="32"/>
  <c r="T108" i="32"/>
  <c r="T109" i="32"/>
  <c r="T110" i="32"/>
  <c r="T111" i="32"/>
  <c r="T112" i="32"/>
  <c r="T113" i="32"/>
  <c r="T114" i="32"/>
  <c r="T115" i="32"/>
  <c r="T116" i="32"/>
  <c r="T117" i="32"/>
  <c r="T118" i="32"/>
  <c r="T119" i="32"/>
  <c r="T120" i="32"/>
  <c r="T121" i="32"/>
  <c r="T122" i="32"/>
  <c r="T123" i="32"/>
  <c r="T124" i="32"/>
  <c r="T125" i="32"/>
  <c r="T126" i="32"/>
  <c r="T127" i="32"/>
  <c r="T128" i="32"/>
  <c r="T129" i="32"/>
  <c r="T130" i="32"/>
  <c r="T131" i="32"/>
  <c r="T132" i="32"/>
  <c r="T133" i="32"/>
  <c r="T134" i="32"/>
  <c r="T135" i="32"/>
  <c r="T136" i="32"/>
  <c r="T137" i="32"/>
  <c r="T138" i="32"/>
  <c r="T139" i="32"/>
  <c r="T140" i="32"/>
  <c r="T141" i="32"/>
  <c r="T142" i="32"/>
  <c r="T143" i="32"/>
  <c r="T144" i="32"/>
  <c r="T145" i="32"/>
  <c r="T146" i="32"/>
  <c r="T147" i="32"/>
  <c r="T148" i="32"/>
  <c r="T149" i="32"/>
  <c r="T150" i="32"/>
  <c r="T151" i="32"/>
  <c r="T152" i="32"/>
  <c r="T153" i="32"/>
  <c r="T154" i="32"/>
  <c r="T155" i="32"/>
  <c r="T156" i="32"/>
  <c r="T157" i="32"/>
  <c r="T158" i="32"/>
  <c r="T159" i="32"/>
  <c r="T160" i="32"/>
  <c r="T161" i="32"/>
  <c r="T162" i="32"/>
  <c r="T163" i="32"/>
  <c r="T164" i="32"/>
  <c r="T165" i="32"/>
  <c r="T166" i="32"/>
  <c r="T167" i="32"/>
  <c r="T168" i="32"/>
  <c r="T169" i="32"/>
  <c r="T170" i="32"/>
  <c r="T171" i="32"/>
  <c r="T172" i="32"/>
  <c r="T173" i="32"/>
  <c r="T174" i="32"/>
  <c r="T175" i="32"/>
  <c r="T176" i="32"/>
  <c r="T177" i="32"/>
  <c r="T178" i="32"/>
  <c r="T179" i="32"/>
  <c r="T180" i="32"/>
  <c r="T181" i="32"/>
  <c r="T182" i="32"/>
  <c r="T183" i="32"/>
  <c r="T184" i="32"/>
  <c r="T185" i="32"/>
  <c r="T186" i="32"/>
  <c r="T187" i="32"/>
  <c r="T188" i="32"/>
  <c r="T189" i="32"/>
  <c r="T190" i="32"/>
  <c r="T191" i="32"/>
  <c r="T192" i="32"/>
  <c r="T193" i="32"/>
  <c r="T194" i="32"/>
  <c r="T195" i="32"/>
  <c r="T196" i="32"/>
  <c r="T197" i="32"/>
  <c r="T198" i="32"/>
  <c r="T199" i="32"/>
  <c r="T200" i="32"/>
  <c r="T201" i="32"/>
  <c r="T202" i="32"/>
  <c r="T203" i="32"/>
  <c r="T204" i="32"/>
  <c r="T205" i="32"/>
  <c r="T206" i="32"/>
  <c r="T207" i="32"/>
  <c r="T208" i="32"/>
  <c r="T209" i="32"/>
  <c r="T210" i="32"/>
  <c r="T211" i="32"/>
  <c r="T212" i="32"/>
  <c r="T213" i="32"/>
  <c r="T214" i="32"/>
  <c r="T215" i="32"/>
  <c r="T216" i="32"/>
  <c r="T217" i="32"/>
  <c r="T218" i="32"/>
  <c r="T219" i="32"/>
  <c r="T220" i="32"/>
  <c r="T221" i="32"/>
  <c r="T222" i="32"/>
  <c r="T223" i="32"/>
  <c r="T224" i="32"/>
  <c r="T225" i="32"/>
  <c r="T226" i="32"/>
  <c r="T227" i="32"/>
  <c r="T228" i="32"/>
  <c r="T229" i="32"/>
  <c r="T230" i="32"/>
  <c r="T231" i="32"/>
  <c r="T232" i="32"/>
  <c r="T233" i="32"/>
  <c r="T234" i="32"/>
  <c r="T235" i="32"/>
  <c r="T236" i="32"/>
  <c r="T237" i="32"/>
  <c r="T238" i="32"/>
  <c r="T239" i="32"/>
  <c r="T240" i="32"/>
  <c r="T241" i="32"/>
  <c r="T242" i="32"/>
  <c r="T243" i="32"/>
  <c r="T245" i="32"/>
  <c r="T246" i="32"/>
  <c r="T247" i="32"/>
  <c r="T248" i="32"/>
  <c r="T249" i="32"/>
  <c r="T250" i="32"/>
  <c r="T251" i="32"/>
  <c r="T252" i="32"/>
  <c r="T253" i="32"/>
  <c r="T254" i="32"/>
  <c r="T255" i="32"/>
  <c r="T256" i="32"/>
  <c r="T257" i="32"/>
  <c r="T258" i="32"/>
  <c r="T259" i="32"/>
  <c r="T260" i="32"/>
  <c r="T261" i="32"/>
  <c r="T262" i="32"/>
  <c r="T263" i="32"/>
  <c r="T264" i="32"/>
  <c r="T265" i="32"/>
  <c r="T266" i="32"/>
  <c r="T267" i="32"/>
  <c r="T268" i="32"/>
  <c r="T269" i="32"/>
  <c r="T270" i="32"/>
  <c r="T271" i="32"/>
  <c r="T272" i="32"/>
  <c r="T273" i="32"/>
  <c r="T274" i="32"/>
  <c r="T275" i="32"/>
  <c r="T276" i="32"/>
  <c r="T277" i="32"/>
  <c r="T278" i="32"/>
  <c r="T279" i="32"/>
  <c r="T280" i="32"/>
  <c r="T281" i="32"/>
  <c r="T282" i="32"/>
  <c r="T283" i="32"/>
  <c r="T284" i="32"/>
  <c r="T285" i="32"/>
  <c r="T286" i="32"/>
  <c r="T287" i="32"/>
  <c r="T288" i="32"/>
  <c r="T289" i="32"/>
  <c r="T290" i="32"/>
  <c r="T291" i="32"/>
  <c r="T292" i="32"/>
  <c r="T293" i="32"/>
  <c r="T294" i="32"/>
  <c r="T295" i="32"/>
  <c r="T296" i="32"/>
  <c r="T297" i="32"/>
  <c r="T298" i="32"/>
  <c r="T299" i="32"/>
  <c r="T300" i="32"/>
  <c r="T301" i="32"/>
  <c r="T302" i="32"/>
  <c r="T303" i="32"/>
  <c r="T304" i="32"/>
  <c r="T305" i="32"/>
  <c r="T306" i="32"/>
  <c r="T307" i="32"/>
  <c r="T308" i="32"/>
  <c r="T309" i="32"/>
  <c r="T310" i="32"/>
  <c r="T311" i="32"/>
  <c r="T312" i="32"/>
  <c r="T313" i="32"/>
  <c r="T314" i="32"/>
  <c r="T315" i="32"/>
  <c r="T316" i="32"/>
  <c r="T317" i="32"/>
  <c r="T318" i="32"/>
  <c r="T319" i="32"/>
  <c r="T320" i="32"/>
  <c r="T321" i="32"/>
  <c r="T322" i="32"/>
  <c r="T323" i="32"/>
  <c r="T324" i="32"/>
  <c r="T325" i="32"/>
  <c r="T326" i="32"/>
  <c r="T327" i="32"/>
  <c r="T328" i="32"/>
  <c r="T329" i="32"/>
  <c r="T330" i="32"/>
  <c r="T331" i="32"/>
  <c r="T332" i="32"/>
  <c r="T333" i="32"/>
  <c r="T334" i="32"/>
  <c r="T335" i="32"/>
  <c r="T336" i="32"/>
  <c r="T337" i="32"/>
  <c r="T338" i="32"/>
  <c r="T339" i="32"/>
  <c r="T340" i="32"/>
  <c r="Q5" i="32"/>
  <c r="Q6" i="32"/>
  <c r="Q7" i="32"/>
  <c r="Q8" i="32"/>
  <c r="Q9" i="32"/>
  <c r="Q10" i="32"/>
  <c r="Q11" i="32"/>
  <c r="Q12" i="32"/>
  <c r="Q13" i="32"/>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0" i="32"/>
  <c r="Q521" i="32"/>
  <c r="Q522" i="32"/>
  <c r="Q523" i="32"/>
  <c r="Q524" i="32"/>
  <c r="Q525" i="32"/>
  <c r="CQ6" i="32"/>
  <c r="CQ7" i="32"/>
  <c r="CQ8" i="32"/>
  <c r="CQ9" i="32"/>
  <c r="CQ10" i="32"/>
  <c r="CQ11" i="32"/>
  <c r="CQ12" i="32"/>
  <c r="CQ13" i="32"/>
  <c r="CQ14" i="32"/>
  <c r="CQ15" i="32"/>
  <c r="CQ16" i="32"/>
  <c r="CQ17" i="32"/>
  <c r="CQ18" i="32"/>
  <c r="CQ19" i="32"/>
  <c r="CQ20" i="32"/>
  <c r="CQ21" i="32"/>
  <c r="CQ22" i="32"/>
  <c r="CQ23" i="32"/>
  <c r="CQ24" i="32"/>
  <c r="CQ25" i="32"/>
  <c r="CQ26" i="32"/>
  <c r="CQ27" i="32"/>
  <c r="CQ28" i="32"/>
  <c r="CQ29" i="32"/>
  <c r="CQ30" i="32"/>
  <c r="CQ31" i="32"/>
  <c r="CQ32" i="32"/>
  <c r="CQ33" i="32"/>
  <c r="CQ34" i="32"/>
  <c r="CQ35" i="32"/>
  <c r="CQ36" i="32"/>
  <c r="CQ37" i="32"/>
  <c r="CQ38" i="32"/>
  <c r="CQ39" i="32"/>
  <c r="CQ40" i="32"/>
  <c r="CQ41" i="32"/>
  <c r="CQ42" i="32"/>
  <c r="CQ43" i="32"/>
  <c r="CQ44" i="32"/>
  <c r="CQ45" i="32"/>
  <c r="CQ46" i="32"/>
  <c r="CQ47" i="32"/>
  <c r="CQ48" i="32"/>
  <c r="CQ49" i="32"/>
  <c r="CQ50" i="32"/>
  <c r="CQ51" i="32"/>
  <c r="CQ52" i="32"/>
  <c r="CQ53" i="32"/>
  <c r="CQ54" i="32"/>
  <c r="CQ55" i="32"/>
  <c r="CQ56" i="32"/>
  <c r="CQ57" i="32"/>
  <c r="CQ58" i="32"/>
  <c r="CQ59" i="32"/>
  <c r="CQ60" i="32"/>
  <c r="CQ61" i="32"/>
  <c r="CQ62" i="32"/>
  <c r="CQ63" i="32"/>
  <c r="CQ64" i="32"/>
  <c r="CQ65" i="32"/>
  <c r="CQ66" i="32"/>
  <c r="CQ67" i="32"/>
  <c r="CQ68" i="32"/>
  <c r="CQ69" i="32"/>
  <c r="CQ70" i="32"/>
  <c r="CQ71" i="32"/>
  <c r="CQ72" i="32"/>
  <c r="CQ73" i="32"/>
  <c r="CQ74" i="32"/>
  <c r="CQ75" i="32"/>
  <c r="CQ76" i="32"/>
  <c r="CQ77" i="32"/>
  <c r="CQ78" i="32"/>
  <c r="CQ79" i="32"/>
  <c r="CQ80" i="32"/>
  <c r="CQ81" i="32"/>
  <c r="CQ82" i="32"/>
  <c r="CQ83" i="32"/>
  <c r="CQ84" i="32"/>
  <c r="CQ85" i="32"/>
  <c r="CQ86" i="32"/>
  <c r="CQ87" i="32"/>
  <c r="CQ88" i="32"/>
  <c r="CQ89" i="32"/>
  <c r="CQ90" i="32"/>
  <c r="CQ91" i="32"/>
  <c r="CQ92" i="32"/>
  <c r="CQ93" i="32"/>
  <c r="CQ94" i="32"/>
  <c r="CQ95" i="32"/>
  <c r="CQ96" i="32"/>
  <c r="CQ97" i="32"/>
  <c r="CQ98" i="32"/>
  <c r="CQ99" i="32"/>
  <c r="CQ100" i="32"/>
  <c r="CQ101" i="32"/>
  <c r="CQ102" i="32"/>
  <c r="CQ103" i="32"/>
  <c r="CQ104" i="32"/>
  <c r="CQ105" i="32"/>
  <c r="CQ106" i="32"/>
  <c r="CQ107" i="32"/>
  <c r="CQ108" i="32"/>
  <c r="CQ109" i="32"/>
  <c r="CQ110" i="32"/>
  <c r="CQ111" i="32"/>
  <c r="CQ112" i="32"/>
  <c r="CQ113" i="32"/>
  <c r="CQ114" i="32"/>
  <c r="CQ115" i="32"/>
  <c r="CQ116" i="32"/>
  <c r="CQ117" i="32"/>
  <c r="CQ118" i="32"/>
  <c r="CQ119" i="32"/>
  <c r="CQ120" i="32"/>
  <c r="CQ121" i="32"/>
  <c r="CQ122" i="32"/>
  <c r="CQ123" i="32"/>
  <c r="CQ124" i="32"/>
  <c r="CQ125" i="32"/>
  <c r="CQ126" i="32"/>
  <c r="CQ127" i="32"/>
  <c r="CQ128" i="32"/>
  <c r="CQ129" i="32"/>
  <c r="CQ130" i="32"/>
  <c r="CQ131" i="32"/>
  <c r="CQ132" i="32"/>
  <c r="CQ133" i="32"/>
  <c r="CQ134" i="32"/>
  <c r="CQ135" i="32"/>
  <c r="CQ136" i="32"/>
  <c r="CQ137" i="32"/>
  <c r="CQ138" i="32"/>
  <c r="CQ139" i="32"/>
  <c r="CQ140" i="32"/>
  <c r="CQ141" i="32"/>
  <c r="CQ142" i="32"/>
  <c r="CQ143" i="32"/>
  <c r="CQ144" i="32"/>
  <c r="CQ145" i="32"/>
  <c r="CQ146" i="32"/>
  <c r="CQ147" i="32"/>
  <c r="CQ148" i="32"/>
  <c r="CQ149" i="32"/>
  <c r="CQ150" i="32"/>
  <c r="CQ151" i="32"/>
  <c r="CQ152" i="32"/>
  <c r="CQ153" i="32"/>
  <c r="CQ154" i="32"/>
  <c r="CQ155" i="32"/>
  <c r="CQ156" i="32"/>
  <c r="CQ157" i="32"/>
  <c r="CQ158" i="32"/>
  <c r="CQ159" i="32"/>
  <c r="CQ160" i="32"/>
  <c r="CQ161" i="32"/>
  <c r="CQ162" i="32"/>
  <c r="CQ163" i="32"/>
  <c r="CQ164" i="32"/>
  <c r="CQ165" i="32"/>
  <c r="CQ166" i="32"/>
  <c r="CQ167" i="32"/>
  <c r="CQ168" i="32"/>
  <c r="CQ169" i="32"/>
  <c r="CQ170" i="32"/>
  <c r="CQ171" i="32"/>
  <c r="CQ172" i="32"/>
  <c r="CQ173" i="32"/>
  <c r="CQ174" i="32"/>
  <c r="CQ175" i="32"/>
  <c r="CQ176" i="32"/>
  <c r="CQ177" i="32"/>
  <c r="CQ178" i="32"/>
  <c r="CQ179" i="32"/>
  <c r="CQ180" i="32"/>
  <c r="CQ181" i="32"/>
  <c r="CQ182" i="32"/>
  <c r="CQ183" i="32"/>
  <c r="CQ184" i="32"/>
  <c r="CQ185" i="32"/>
  <c r="CQ186" i="32"/>
  <c r="CQ187" i="32"/>
  <c r="CQ188" i="32"/>
  <c r="CQ189" i="32"/>
  <c r="CQ190" i="32"/>
  <c r="CQ191" i="32"/>
  <c r="CQ192" i="32"/>
  <c r="CQ193" i="32"/>
  <c r="CQ194" i="32"/>
  <c r="CQ195" i="32"/>
  <c r="CQ196" i="32"/>
  <c r="CQ197" i="32"/>
  <c r="CQ198" i="32"/>
  <c r="CQ199" i="32"/>
  <c r="CQ200" i="32"/>
  <c r="CQ201" i="32"/>
  <c r="CQ202" i="32"/>
  <c r="CQ203" i="32"/>
  <c r="CQ204" i="32"/>
  <c r="CQ205" i="32"/>
  <c r="CQ206" i="32"/>
  <c r="CQ207" i="32"/>
  <c r="CQ208" i="32"/>
  <c r="CQ209" i="32"/>
  <c r="CQ210" i="32"/>
  <c r="CQ211" i="32"/>
  <c r="CQ212" i="32"/>
  <c r="CQ213" i="32"/>
  <c r="CQ214" i="32"/>
  <c r="CQ215" i="32"/>
  <c r="CQ216" i="32"/>
  <c r="CQ217" i="32"/>
  <c r="CQ218" i="32"/>
  <c r="CQ219" i="32"/>
  <c r="CQ220" i="32"/>
  <c r="CQ221" i="32"/>
  <c r="CQ222" i="32"/>
  <c r="CQ223" i="32"/>
  <c r="CQ224" i="32"/>
  <c r="CQ225" i="32"/>
  <c r="CQ226" i="32"/>
  <c r="CQ227" i="32"/>
  <c r="CQ228" i="32"/>
  <c r="CQ229" i="32"/>
  <c r="CQ230" i="32"/>
  <c r="CQ231" i="32"/>
  <c r="CQ232" i="32"/>
  <c r="CQ233" i="32"/>
  <c r="CQ234" i="32"/>
  <c r="CQ235" i="32"/>
  <c r="CQ236" i="32"/>
  <c r="CQ237" i="32"/>
  <c r="CQ238" i="32"/>
  <c r="CQ239" i="32"/>
  <c r="CQ240" i="32"/>
  <c r="CQ241" i="32"/>
  <c r="CQ242" i="32"/>
  <c r="CQ243" i="32"/>
  <c r="CQ244" i="32"/>
  <c r="CQ245" i="32"/>
  <c r="CQ246" i="32"/>
  <c r="CQ247" i="32"/>
  <c r="CQ248" i="32"/>
  <c r="CQ249" i="32"/>
  <c r="CQ250" i="32"/>
  <c r="CQ251" i="32"/>
  <c r="CQ252" i="32"/>
  <c r="CQ253" i="32"/>
  <c r="CQ254" i="32"/>
  <c r="CQ255" i="32"/>
  <c r="CQ256" i="32"/>
  <c r="CQ257" i="32"/>
  <c r="CQ258" i="32"/>
  <c r="CQ259" i="32"/>
  <c r="CQ260" i="32"/>
  <c r="CQ261" i="32"/>
  <c r="CQ262" i="32"/>
  <c r="CQ263" i="32"/>
  <c r="CQ264" i="32"/>
  <c r="CQ265" i="32"/>
  <c r="CQ266" i="32"/>
  <c r="CQ267" i="32"/>
  <c r="CQ268" i="32"/>
  <c r="CQ269" i="32"/>
  <c r="CQ270" i="32"/>
  <c r="CQ271" i="32"/>
  <c r="CQ272" i="32"/>
  <c r="CQ273" i="32"/>
  <c r="CQ274" i="32"/>
  <c r="CQ275" i="32"/>
  <c r="CQ276" i="32"/>
  <c r="CQ277" i="32"/>
  <c r="CQ278" i="32"/>
  <c r="CQ279" i="32"/>
  <c r="CQ280" i="32"/>
  <c r="CQ281" i="32"/>
  <c r="CQ282" i="32"/>
  <c r="CQ283" i="32"/>
  <c r="CQ284" i="32"/>
  <c r="CQ285" i="32"/>
  <c r="CQ286" i="32"/>
  <c r="CQ287" i="32"/>
  <c r="CQ288" i="32"/>
  <c r="CQ289" i="32"/>
  <c r="CQ290" i="32"/>
  <c r="CQ291" i="32"/>
  <c r="CQ292" i="32"/>
  <c r="CQ293" i="32"/>
  <c r="CQ294" i="32"/>
  <c r="CQ295" i="32"/>
  <c r="CQ296" i="32"/>
  <c r="CQ297" i="32"/>
  <c r="CQ298" i="32"/>
  <c r="CQ299" i="32"/>
  <c r="CQ300" i="32"/>
  <c r="CQ301" i="32"/>
  <c r="CQ302" i="32"/>
  <c r="CQ303" i="32"/>
  <c r="CQ304" i="32"/>
  <c r="CQ305" i="32"/>
  <c r="CQ306" i="32"/>
  <c r="CQ307" i="32"/>
  <c r="CQ308" i="32"/>
  <c r="CQ309" i="32"/>
  <c r="CQ310" i="32"/>
  <c r="CQ311" i="32"/>
  <c r="CQ312" i="32"/>
  <c r="CQ313" i="32"/>
  <c r="CQ314" i="32"/>
  <c r="CQ315" i="32"/>
  <c r="CQ316" i="32"/>
  <c r="CQ317" i="32"/>
  <c r="CQ318" i="32"/>
  <c r="CQ319" i="32"/>
  <c r="CQ320" i="32"/>
  <c r="CQ321" i="32"/>
  <c r="CQ322" i="32"/>
  <c r="CQ323" i="32"/>
  <c r="CQ324" i="32"/>
  <c r="CQ325" i="32"/>
  <c r="CQ326" i="32"/>
  <c r="CQ327" i="32"/>
  <c r="CQ328" i="32"/>
  <c r="CQ329" i="32"/>
  <c r="CQ330" i="32"/>
  <c r="CQ331" i="32"/>
  <c r="CQ332" i="32"/>
  <c r="CQ333" i="32"/>
  <c r="CQ334" i="32"/>
  <c r="CQ335" i="32"/>
  <c r="CQ336" i="32"/>
  <c r="CQ337" i="32"/>
  <c r="CQ338" i="32"/>
  <c r="CQ339" i="32"/>
  <c r="CQ340" i="32"/>
  <c r="CQ341" i="32"/>
  <c r="CQ342" i="32"/>
  <c r="CQ343" i="32"/>
  <c r="CQ344" i="32"/>
  <c r="CQ345" i="32"/>
  <c r="CQ346" i="32"/>
  <c r="CQ347" i="32"/>
  <c r="CQ348" i="32"/>
  <c r="CQ349" i="32"/>
  <c r="CQ350" i="32"/>
  <c r="CQ351" i="32"/>
  <c r="CQ352" i="32"/>
  <c r="CQ353" i="32"/>
  <c r="CQ354" i="32"/>
  <c r="CQ355" i="32"/>
  <c r="CQ356" i="32"/>
  <c r="CQ357" i="32"/>
  <c r="CQ358" i="32"/>
  <c r="CQ359" i="32"/>
  <c r="CQ360" i="32"/>
  <c r="CQ361" i="32"/>
  <c r="CQ362" i="32"/>
  <c r="CQ363" i="32"/>
  <c r="CQ364" i="32"/>
  <c r="CQ365" i="32"/>
  <c r="CQ366" i="32"/>
  <c r="CQ367" i="32"/>
  <c r="CQ368" i="32"/>
  <c r="CQ369" i="32"/>
  <c r="CQ370" i="32"/>
  <c r="CQ371" i="32"/>
  <c r="CQ372" i="32"/>
  <c r="CQ373" i="32"/>
  <c r="CQ374" i="32"/>
  <c r="CQ375" i="32"/>
  <c r="CQ376" i="32"/>
  <c r="CQ377" i="32"/>
  <c r="CQ378" i="32"/>
  <c r="CQ379" i="32"/>
  <c r="CQ380" i="32"/>
  <c r="CQ381" i="32"/>
  <c r="CQ382" i="32"/>
  <c r="CQ383" i="32"/>
  <c r="CQ384" i="32"/>
  <c r="CQ385" i="32"/>
  <c r="CQ386" i="32"/>
  <c r="CQ387" i="32"/>
  <c r="CQ388" i="32"/>
  <c r="CQ389" i="32"/>
  <c r="CQ390" i="32"/>
  <c r="CQ391" i="32"/>
  <c r="CQ392" i="32"/>
  <c r="CQ393" i="32"/>
  <c r="CQ394" i="32"/>
  <c r="CQ395" i="32"/>
  <c r="CQ396" i="32"/>
  <c r="CQ397" i="32"/>
  <c r="CQ398" i="32"/>
  <c r="CQ399" i="32"/>
  <c r="CQ400" i="32"/>
  <c r="CQ401" i="32"/>
  <c r="CQ402" i="32"/>
  <c r="CQ403" i="32"/>
  <c r="CQ404" i="32"/>
  <c r="CQ405" i="32"/>
  <c r="CQ406" i="32"/>
  <c r="CQ407" i="32"/>
  <c r="CQ408" i="32"/>
  <c r="CQ409" i="32"/>
  <c r="CQ410" i="32"/>
  <c r="CQ411" i="32"/>
  <c r="CQ412" i="32"/>
  <c r="CQ413" i="32"/>
  <c r="CQ414" i="32"/>
  <c r="CQ415" i="32"/>
  <c r="CQ416" i="32"/>
  <c r="CQ417" i="32"/>
  <c r="CQ418" i="32"/>
  <c r="CQ419" i="32"/>
  <c r="CQ420" i="32"/>
  <c r="CQ421" i="32"/>
  <c r="CQ422" i="32"/>
  <c r="CQ423" i="32"/>
  <c r="CQ424" i="32"/>
  <c r="CQ425" i="32"/>
  <c r="CQ426" i="32"/>
  <c r="CQ427" i="32"/>
  <c r="CQ428" i="32"/>
  <c r="CQ429" i="32"/>
  <c r="CQ430" i="32"/>
  <c r="CQ431" i="32"/>
  <c r="CQ432" i="32"/>
  <c r="CQ433" i="32"/>
  <c r="CQ434" i="32"/>
  <c r="CQ435" i="32"/>
  <c r="CQ436" i="32"/>
  <c r="CQ437" i="32"/>
  <c r="CQ438" i="32"/>
  <c r="CQ439" i="32"/>
  <c r="CQ440" i="32"/>
  <c r="CQ441" i="32"/>
  <c r="CQ442" i="32"/>
  <c r="CQ443" i="32"/>
  <c r="CQ444" i="32"/>
  <c r="CP5" i="32"/>
  <c r="CO5" i="32"/>
  <c r="D571" i="35"/>
  <c r="D571" i="16"/>
  <c r="BP6" i="32"/>
  <c r="CC6" i="32"/>
  <c r="CD6" i="32"/>
  <c r="CE6" i="32"/>
  <c r="BQ6" i="32"/>
  <c r="BP7" i="32"/>
  <c r="CC7" i="32"/>
  <c r="CD7" i="32"/>
  <c r="CE7" i="32"/>
  <c r="BQ7" i="32"/>
  <c r="BP8" i="32"/>
  <c r="CC8" i="32"/>
  <c r="CD8" i="32"/>
  <c r="CE8" i="32"/>
  <c r="BQ8" i="32"/>
  <c r="BP9" i="32"/>
  <c r="CC9" i="32"/>
  <c r="CD9" i="32"/>
  <c r="CE9" i="32"/>
  <c r="BQ9" i="32"/>
  <c r="BP10" i="32"/>
  <c r="CC10" i="32"/>
  <c r="CD10" i="32"/>
  <c r="CE10" i="32"/>
  <c r="BQ10" i="32"/>
  <c r="BP11" i="32"/>
  <c r="CC11" i="32"/>
  <c r="CD11" i="32"/>
  <c r="CE11" i="32"/>
  <c r="BQ11" i="32"/>
  <c r="BP12" i="32"/>
  <c r="CC12" i="32"/>
  <c r="CD12" i="32"/>
  <c r="CE12" i="32"/>
  <c r="BQ12" i="32"/>
  <c r="BP13" i="32"/>
  <c r="CC13" i="32"/>
  <c r="CD13" i="32"/>
  <c r="CE13" i="32"/>
  <c r="BQ13" i="32"/>
  <c r="BP14" i="32"/>
  <c r="CC14" i="32"/>
  <c r="CD14" i="32"/>
  <c r="CE14" i="32"/>
  <c r="BQ14" i="32"/>
  <c r="BP15" i="32"/>
  <c r="CC15" i="32"/>
  <c r="CD15" i="32"/>
  <c r="CE15" i="32"/>
  <c r="BQ15" i="32"/>
  <c r="BP16" i="32"/>
  <c r="CC16" i="32"/>
  <c r="CD16" i="32"/>
  <c r="CE16" i="32"/>
  <c r="BQ16" i="32"/>
  <c r="BP17" i="32"/>
  <c r="CC17" i="32"/>
  <c r="CD17" i="32"/>
  <c r="CE17" i="32"/>
  <c r="BQ17" i="32"/>
  <c r="BP18" i="32"/>
  <c r="CC18" i="32"/>
  <c r="CD18" i="32"/>
  <c r="CE18" i="32"/>
  <c r="BQ18" i="32"/>
  <c r="BP19" i="32"/>
  <c r="CC19" i="32"/>
  <c r="CD19" i="32"/>
  <c r="CE19" i="32"/>
  <c r="BQ19" i="32"/>
  <c r="BP20" i="32"/>
  <c r="CC20" i="32"/>
  <c r="CD20" i="32"/>
  <c r="CE20" i="32"/>
  <c r="BQ20" i="32"/>
  <c r="BP21" i="32"/>
  <c r="CC21" i="32"/>
  <c r="CD21" i="32"/>
  <c r="CE21" i="32"/>
  <c r="BQ21" i="32"/>
  <c r="BP22" i="32"/>
  <c r="CC22" i="32"/>
  <c r="CD22" i="32"/>
  <c r="CE22" i="32"/>
  <c r="BQ22" i="32"/>
  <c r="BP23" i="32"/>
  <c r="CC23" i="32"/>
  <c r="CD23" i="32"/>
  <c r="CE23" i="32"/>
  <c r="BQ23" i="32"/>
  <c r="BP24" i="32"/>
  <c r="CC24" i="32"/>
  <c r="CD24" i="32"/>
  <c r="CE24" i="32"/>
  <c r="BQ24" i="32"/>
  <c r="BP25" i="32"/>
  <c r="CC25" i="32"/>
  <c r="CD25" i="32"/>
  <c r="CE25" i="32"/>
  <c r="BQ25" i="32"/>
  <c r="BP26" i="32"/>
  <c r="CC26" i="32"/>
  <c r="CD26" i="32"/>
  <c r="CE26" i="32"/>
  <c r="BQ26" i="32"/>
  <c r="BP27" i="32"/>
  <c r="CC27" i="32"/>
  <c r="CD27" i="32"/>
  <c r="CE27" i="32"/>
  <c r="BQ27" i="32"/>
  <c r="BP28" i="32"/>
  <c r="CC28" i="32"/>
  <c r="CD28" i="32"/>
  <c r="CE28" i="32"/>
  <c r="BQ28" i="32"/>
  <c r="BP29" i="32"/>
  <c r="CC29" i="32"/>
  <c r="CD29" i="32"/>
  <c r="CE29" i="32"/>
  <c r="BQ29" i="32"/>
  <c r="BP30" i="32"/>
  <c r="CC30" i="32"/>
  <c r="CD30" i="32"/>
  <c r="CE30" i="32"/>
  <c r="BQ30" i="32"/>
  <c r="BP31" i="32"/>
  <c r="CC31" i="32"/>
  <c r="CD31" i="32"/>
  <c r="CE31" i="32"/>
  <c r="BQ31" i="32"/>
  <c r="BP32" i="32"/>
  <c r="CC32" i="32"/>
  <c r="CD32" i="32"/>
  <c r="CE32" i="32"/>
  <c r="BQ32" i="32"/>
  <c r="BP33" i="32"/>
  <c r="CC33" i="32"/>
  <c r="CD33" i="32"/>
  <c r="CE33" i="32"/>
  <c r="BQ33" i="32"/>
  <c r="BP34" i="32"/>
  <c r="CC34" i="32"/>
  <c r="CD34" i="32"/>
  <c r="CE34" i="32"/>
  <c r="BQ34" i="32"/>
  <c r="BP35" i="32"/>
  <c r="CC35" i="32"/>
  <c r="CD35" i="32"/>
  <c r="CE35" i="32"/>
  <c r="BQ35" i="32"/>
  <c r="BP36" i="32"/>
  <c r="CC36" i="32"/>
  <c r="CD36" i="32"/>
  <c r="CE36" i="32"/>
  <c r="BQ36" i="32"/>
  <c r="BP37" i="32"/>
  <c r="CC37" i="32"/>
  <c r="CD37" i="32"/>
  <c r="CE37" i="32"/>
  <c r="BQ37" i="32"/>
  <c r="BP38" i="32"/>
  <c r="CC38" i="32"/>
  <c r="CD38" i="32"/>
  <c r="CE38" i="32"/>
  <c r="BQ38" i="32"/>
  <c r="BP39" i="32"/>
  <c r="CC39" i="32"/>
  <c r="CD39" i="32"/>
  <c r="CE39" i="32"/>
  <c r="BQ39" i="32"/>
  <c r="BP40" i="32"/>
  <c r="CC40" i="32"/>
  <c r="CD40" i="32"/>
  <c r="CE40" i="32"/>
  <c r="BQ40" i="32"/>
  <c r="BP41" i="32"/>
  <c r="CC41" i="32"/>
  <c r="CD41" i="32"/>
  <c r="CE41" i="32"/>
  <c r="BQ41" i="32"/>
  <c r="BP42" i="32"/>
  <c r="CC42" i="32"/>
  <c r="CD42" i="32"/>
  <c r="CE42" i="32"/>
  <c r="BQ42" i="32"/>
  <c r="BP43" i="32"/>
  <c r="CC43" i="32"/>
  <c r="CD43" i="32"/>
  <c r="CE43" i="32"/>
  <c r="BQ43" i="32"/>
  <c r="BP44" i="32"/>
  <c r="CC44" i="32"/>
  <c r="CD44" i="32"/>
  <c r="CE44" i="32"/>
  <c r="BQ44" i="32"/>
  <c r="BP45" i="32"/>
  <c r="CC45" i="32"/>
  <c r="CD45" i="32"/>
  <c r="CE45" i="32"/>
  <c r="BQ45" i="32"/>
  <c r="BP46" i="32"/>
  <c r="CC46" i="32"/>
  <c r="CD46" i="32"/>
  <c r="CE46" i="32"/>
  <c r="BQ46" i="32"/>
  <c r="BP47" i="32"/>
  <c r="CC47" i="32"/>
  <c r="CD47" i="32"/>
  <c r="CE47" i="32"/>
  <c r="BQ47" i="32"/>
  <c r="BP48" i="32"/>
  <c r="CC48" i="32"/>
  <c r="CD48" i="32"/>
  <c r="CE48" i="32"/>
  <c r="BQ48" i="32"/>
  <c r="BP49" i="32"/>
  <c r="CC49" i="32"/>
  <c r="CD49" i="32"/>
  <c r="CE49" i="32"/>
  <c r="BQ49" i="32"/>
  <c r="BP50" i="32"/>
  <c r="CC50" i="32"/>
  <c r="CD50" i="32"/>
  <c r="CE50" i="32"/>
  <c r="BQ50" i="32"/>
  <c r="BP51" i="32"/>
  <c r="CC51" i="32"/>
  <c r="CD51" i="32"/>
  <c r="CE51" i="32"/>
  <c r="BQ51" i="32"/>
  <c r="BP52" i="32"/>
  <c r="CC52" i="32"/>
  <c r="CD52" i="32"/>
  <c r="CE52" i="32"/>
  <c r="BQ52" i="32"/>
  <c r="BP53" i="32"/>
  <c r="CC53" i="32"/>
  <c r="CD53" i="32"/>
  <c r="CE53" i="32"/>
  <c r="BQ53" i="32"/>
  <c r="BP54" i="32"/>
  <c r="CC54" i="32"/>
  <c r="CD54" i="32"/>
  <c r="CE54" i="32"/>
  <c r="BQ54" i="32"/>
  <c r="BP55" i="32"/>
  <c r="CC55" i="32"/>
  <c r="CD55" i="32"/>
  <c r="CE55" i="32"/>
  <c r="BQ55" i="32"/>
  <c r="BP56" i="32"/>
  <c r="CC56" i="32"/>
  <c r="CD56" i="32"/>
  <c r="CE56" i="32"/>
  <c r="BQ56" i="32"/>
  <c r="BP57" i="32"/>
  <c r="CC57" i="32"/>
  <c r="CD57" i="32"/>
  <c r="CE57" i="32"/>
  <c r="BQ57" i="32"/>
  <c r="BP58" i="32"/>
  <c r="CC58" i="32"/>
  <c r="CD58" i="32"/>
  <c r="CE58" i="32"/>
  <c r="BQ58" i="32"/>
  <c r="BP59" i="32"/>
  <c r="CC59" i="32"/>
  <c r="CD59" i="32"/>
  <c r="CE59" i="32"/>
  <c r="BQ59" i="32"/>
  <c r="BP60" i="32"/>
  <c r="CC60" i="32"/>
  <c r="CD60" i="32"/>
  <c r="CE60" i="32"/>
  <c r="BQ60" i="32"/>
  <c r="BP61" i="32"/>
  <c r="CC61" i="32"/>
  <c r="CD61" i="32"/>
  <c r="CE61" i="32"/>
  <c r="BQ61" i="32"/>
  <c r="BP62" i="32"/>
  <c r="CC62" i="32"/>
  <c r="CD62" i="32"/>
  <c r="CE62" i="32"/>
  <c r="BQ62" i="32"/>
  <c r="BP63" i="32"/>
  <c r="CC63" i="32"/>
  <c r="CD63" i="32"/>
  <c r="CE63" i="32"/>
  <c r="BQ63" i="32"/>
  <c r="BP64" i="32"/>
  <c r="CC64" i="32"/>
  <c r="CD64" i="32"/>
  <c r="CE64" i="32"/>
  <c r="BQ64" i="32"/>
  <c r="BP65" i="32"/>
  <c r="CC65" i="32"/>
  <c r="CD65" i="32"/>
  <c r="CE65" i="32"/>
  <c r="BQ65" i="32"/>
  <c r="BP66" i="32"/>
  <c r="CC66" i="32"/>
  <c r="CD66" i="32"/>
  <c r="CE66" i="32"/>
  <c r="BQ66" i="32"/>
  <c r="BP67" i="32"/>
  <c r="CC67" i="32"/>
  <c r="CD67" i="32"/>
  <c r="CE67" i="32"/>
  <c r="BQ67" i="32"/>
  <c r="BP68" i="32"/>
  <c r="CC68" i="32"/>
  <c r="CD68" i="32"/>
  <c r="CE68" i="32"/>
  <c r="BQ68" i="32"/>
  <c r="BP69" i="32"/>
  <c r="CC69" i="32"/>
  <c r="CD69" i="32"/>
  <c r="CE69" i="32"/>
  <c r="BQ69" i="32"/>
  <c r="BP70" i="32"/>
  <c r="CC70" i="32"/>
  <c r="CD70" i="32"/>
  <c r="CE70" i="32"/>
  <c r="BQ70" i="32"/>
  <c r="BP71" i="32"/>
  <c r="CC71" i="32"/>
  <c r="CD71" i="32"/>
  <c r="CE71" i="32"/>
  <c r="BQ71" i="32"/>
  <c r="BP72" i="32"/>
  <c r="CC72" i="32"/>
  <c r="CD72" i="32"/>
  <c r="CE72" i="32"/>
  <c r="BQ72" i="32"/>
  <c r="BP73" i="32"/>
  <c r="CC73" i="32"/>
  <c r="CD73" i="32"/>
  <c r="CE73" i="32"/>
  <c r="BQ73" i="32"/>
  <c r="BP74" i="32"/>
  <c r="CC74" i="32"/>
  <c r="CD74" i="32"/>
  <c r="CE74" i="32"/>
  <c r="BQ74" i="32"/>
  <c r="BP75" i="32"/>
  <c r="CC75" i="32"/>
  <c r="CD75" i="32"/>
  <c r="CE75" i="32"/>
  <c r="BQ75" i="32"/>
  <c r="BP76" i="32"/>
  <c r="CC76" i="32"/>
  <c r="CD76" i="32"/>
  <c r="CE76" i="32"/>
  <c r="BQ76" i="32"/>
  <c r="BP77" i="32"/>
  <c r="CC77" i="32"/>
  <c r="CD77" i="32"/>
  <c r="CE77" i="32"/>
  <c r="BQ77" i="32"/>
  <c r="BP78" i="32"/>
  <c r="CC78" i="32"/>
  <c r="CD78" i="32"/>
  <c r="CE78" i="32"/>
  <c r="BQ78" i="32"/>
  <c r="BP79" i="32"/>
  <c r="CC79" i="32"/>
  <c r="CD79" i="32"/>
  <c r="CE79" i="32"/>
  <c r="BQ79" i="32"/>
  <c r="BP80" i="32"/>
  <c r="CC80" i="32"/>
  <c r="CD80" i="32"/>
  <c r="CE80" i="32"/>
  <c r="BQ80" i="32"/>
  <c r="BP81" i="32"/>
  <c r="CC81" i="32"/>
  <c r="CD81" i="32"/>
  <c r="CE81" i="32"/>
  <c r="BQ81" i="32"/>
  <c r="BP82" i="32"/>
  <c r="CC82" i="32"/>
  <c r="CD82" i="32"/>
  <c r="CE82" i="32"/>
  <c r="BQ82" i="32"/>
  <c r="BP83" i="32"/>
  <c r="CC83" i="32"/>
  <c r="CD83" i="32"/>
  <c r="CE83" i="32"/>
  <c r="BQ83" i="32"/>
  <c r="BP84" i="32"/>
  <c r="CC84" i="32"/>
  <c r="CD84" i="32"/>
  <c r="CE84" i="32"/>
  <c r="BQ84" i="32"/>
  <c r="BP85" i="32"/>
  <c r="CC85" i="32"/>
  <c r="CD85" i="32"/>
  <c r="CE85" i="32"/>
  <c r="BQ85" i="32"/>
  <c r="BP86" i="32"/>
  <c r="CC86" i="32"/>
  <c r="CD86" i="32"/>
  <c r="CE86" i="32"/>
  <c r="BQ86" i="32"/>
  <c r="BP87" i="32"/>
  <c r="CC87" i="32"/>
  <c r="CD87" i="32"/>
  <c r="CE87" i="32"/>
  <c r="BQ87" i="32"/>
  <c r="BP88" i="32"/>
  <c r="CC88" i="32"/>
  <c r="CD88" i="32"/>
  <c r="CE88" i="32"/>
  <c r="BQ88" i="32"/>
  <c r="BP89" i="32"/>
  <c r="CC89" i="32"/>
  <c r="CD89" i="32"/>
  <c r="CE89" i="32"/>
  <c r="BQ89" i="32"/>
  <c r="BP90" i="32"/>
  <c r="CC90" i="32"/>
  <c r="CD90" i="32"/>
  <c r="CE90" i="32"/>
  <c r="BQ90" i="32"/>
  <c r="BP91" i="32"/>
  <c r="CC91" i="32"/>
  <c r="CD91" i="32"/>
  <c r="CE91" i="32"/>
  <c r="BQ91" i="32"/>
  <c r="BP92" i="32"/>
  <c r="CC92" i="32"/>
  <c r="CD92" i="32"/>
  <c r="CE92" i="32"/>
  <c r="BQ92" i="32"/>
  <c r="BP93" i="32"/>
  <c r="CC93" i="32"/>
  <c r="CD93" i="32"/>
  <c r="CE93" i="32"/>
  <c r="BQ93" i="32"/>
  <c r="BP94" i="32"/>
  <c r="CC94" i="32"/>
  <c r="CD94" i="32"/>
  <c r="CE94" i="32"/>
  <c r="BQ94" i="32"/>
  <c r="BP95" i="32"/>
  <c r="CC95" i="32"/>
  <c r="CD95" i="32"/>
  <c r="CE95" i="32"/>
  <c r="BQ95" i="32"/>
  <c r="BP96" i="32"/>
  <c r="CC96" i="32"/>
  <c r="CD96" i="32"/>
  <c r="CE96" i="32"/>
  <c r="BQ96" i="32"/>
  <c r="BP97" i="32"/>
  <c r="CC97" i="32"/>
  <c r="CD97" i="32"/>
  <c r="CE97" i="32"/>
  <c r="BQ97" i="32"/>
  <c r="BP98" i="32"/>
  <c r="CC98" i="32"/>
  <c r="CD98" i="32"/>
  <c r="CE98" i="32"/>
  <c r="BQ98" i="32"/>
  <c r="BP99" i="32"/>
  <c r="CC99" i="32"/>
  <c r="CD99" i="32"/>
  <c r="CE99" i="32"/>
  <c r="BQ99" i="32"/>
  <c r="BP100" i="32"/>
  <c r="CC100" i="32"/>
  <c r="CD100" i="32"/>
  <c r="CE100" i="32"/>
  <c r="BQ100" i="32"/>
  <c r="BP101" i="32"/>
  <c r="CC101" i="32"/>
  <c r="CD101" i="32"/>
  <c r="CE101" i="32"/>
  <c r="BQ101" i="32"/>
  <c r="BP102" i="32"/>
  <c r="CC102" i="32"/>
  <c r="CD102" i="32"/>
  <c r="CE102" i="32"/>
  <c r="BQ102" i="32"/>
  <c r="BP103" i="32"/>
  <c r="CC103" i="32"/>
  <c r="CD103" i="32"/>
  <c r="CE103" i="32"/>
  <c r="BQ103" i="32"/>
  <c r="BP104" i="32"/>
  <c r="CC104" i="32"/>
  <c r="CD104" i="32"/>
  <c r="CE104" i="32"/>
  <c r="BQ104" i="32"/>
  <c r="BP105" i="32"/>
  <c r="CC105" i="32"/>
  <c r="CD105" i="32"/>
  <c r="CE105" i="32"/>
  <c r="BQ105" i="32"/>
  <c r="BP106" i="32"/>
  <c r="CC106" i="32"/>
  <c r="CD106" i="32"/>
  <c r="CE106" i="32"/>
  <c r="BQ106" i="32"/>
  <c r="BP107" i="32"/>
  <c r="CC107" i="32"/>
  <c r="CD107" i="32"/>
  <c r="CE107" i="32"/>
  <c r="BQ107" i="32"/>
  <c r="BP108" i="32"/>
  <c r="CC108" i="32"/>
  <c r="CD108" i="32"/>
  <c r="CE108" i="32"/>
  <c r="BQ108" i="32"/>
  <c r="BP109" i="32"/>
  <c r="CC109" i="32"/>
  <c r="CD109" i="32"/>
  <c r="CE109" i="32"/>
  <c r="BQ109" i="32"/>
  <c r="BP110" i="32"/>
  <c r="CC110" i="32"/>
  <c r="CD110" i="32"/>
  <c r="CE110" i="32"/>
  <c r="BQ110" i="32"/>
  <c r="BP111" i="32"/>
  <c r="CC111" i="32"/>
  <c r="CD111" i="32"/>
  <c r="CE111" i="32"/>
  <c r="BQ111" i="32"/>
  <c r="BP112" i="32"/>
  <c r="CC112" i="32"/>
  <c r="CD112" i="32"/>
  <c r="CE112" i="32"/>
  <c r="BQ112" i="32"/>
  <c r="BP113" i="32"/>
  <c r="CC113" i="32"/>
  <c r="CD113" i="32"/>
  <c r="CE113" i="32"/>
  <c r="BQ113" i="32"/>
  <c r="BP114" i="32"/>
  <c r="CC114" i="32"/>
  <c r="CD114" i="32"/>
  <c r="CE114" i="32"/>
  <c r="BQ114" i="32"/>
  <c r="BP115" i="32"/>
  <c r="CC115" i="32"/>
  <c r="CD115" i="32"/>
  <c r="CE115" i="32"/>
  <c r="BQ115" i="32"/>
  <c r="BP116" i="32"/>
  <c r="CC116" i="32"/>
  <c r="CD116" i="32"/>
  <c r="CE116" i="32"/>
  <c r="BQ116" i="32"/>
  <c r="BP117" i="32"/>
  <c r="CC117" i="32"/>
  <c r="CD117" i="32"/>
  <c r="CE117" i="32"/>
  <c r="BQ117" i="32"/>
  <c r="BP118" i="32"/>
  <c r="CC118" i="32"/>
  <c r="CD118" i="32"/>
  <c r="CE118" i="32"/>
  <c r="BQ118" i="32"/>
  <c r="BP119" i="32"/>
  <c r="CC119" i="32"/>
  <c r="CD119" i="32"/>
  <c r="CE119" i="32"/>
  <c r="BQ119" i="32"/>
  <c r="BP120" i="32"/>
  <c r="CC120" i="32"/>
  <c r="CD120" i="32"/>
  <c r="CE120" i="32"/>
  <c r="BQ120" i="32"/>
  <c r="BP121" i="32"/>
  <c r="CC121" i="32"/>
  <c r="CD121" i="32"/>
  <c r="CE121" i="32"/>
  <c r="BQ121" i="32"/>
  <c r="BP122" i="32"/>
  <c r="CC122" i="32"/>
  <c r="CD122" i="32"/>
  <c r="CE122" i="32"/>
  <c r="BQ122" i="32"/>
  <c r="BP123" i="32"/>
  <c r="CC123" i="32"/>
  <c r="CD123" i="32"/>
  <c r="CE123" i="32"/>
  <c r="BQ123" i="32"/>
  <c r="BP124" i="32"/>
  <c r="CC124" i="32"/>
  <c r="CD124" i="32"/>
  <c r="CE124" i="32"/>
  <c r="BQ124" i="32"/>
  <c r="BP125" i="32"/>
  <c r="CC125" i="32"/>
  <c r="CD125" i="32"/>
  <c r="CE125" i="32"/>
  <c r="BQ125" i="32"/>
  <c r="BP126" i="32"/>
  <c r="CC126" i="32"/>
  <c r="CD126" i="32"/>
  <c r="CE126" i="32"/>
  <c r="BQ126" i="32"/>
  <c r="BP127" i="32"/>
  <c r="CC127" i="32"/>
  <c r="CD127" i="32"/>
  <c r="CE127" i="32"/>
  <c r="BQ127" i="32"/>
  <c r="BP128" i="32"/>
  <c r="CC128" i="32"/>
  <c r="CD128" i="32"/>
  <c r="CE128" i="32"/>
  <c r="BQ128" i="32"/>
  <c r="BP129" i="32"/>
  <c r="CC129" i="32"/>
  <c r="CD129" i="32"/>
  <c r="CE129" i="32"/>
  <c r="BQ129" i="32"/>
  <c r="BP130" i="32"/>
  <c r="CC130" i="32"/>
  <c r="CD130" i="32"/>
  <c r="CE130" i="32"/>
  <c r="BQ130" i="32"/>
  <c r="BP131" i="32"/>
  <c r="CC131" i="32"/>
  <c r="CD131" i="32"/>
  <c r="CE131" i="32"/>
  <c r="BQ131" i="32"/>
  <c r="BP132" i="32"/>
  <c r="CC132" i="32"/>
  <c r="CD132" i="32"/>
  <c r="CE132" i="32"/>
  <c r="BQ132" i="32"/>
  <c r="BP133" i="32"/>
  <c r="CC133" i="32"/>
  <c r="CD133" i="32"/>
  <c r="CE133" i="32"/>
  <c r="BQ133" i="32"/>
  <c r="BP134" i="32"/>
  <c r="CC134" i="32"/>
  <c r="CD134" i="32"/>
  <c r="CE134" i="32"/>
  <c r="BQ134" i="32"/>
  <c r="BP135" i="32"/>
  <c r="CC135" i="32"/>
  <c r="CD135" i="32"/>
  <c r="CE135" i="32"/>
  <c r="BQ135" i="32"/>
  <c r="BP136" i="32"/>
  <c r="CC136" i="32"/>
  <c r="CD136" i="32"/>
  <c r="CE136" i="32"/>
  <c r="BQ136" i="32"/>
  <c r="BP137" i="32"/>
  <c r="CC137" i="32"/>
  <c r="CD137" i="32"/>
  <c r="CE137" i="32"/>
  <c r="BQ137" i="32"/>
  <c r="BP138" i="32"/>
  <c r="CC138" i="32"/>
  <c r="CD138" i="32"/>
  <c r="CE138" i="32"/>
  <c r="BQ138" i="32"/>
  <c r="BP139" i="32"/>
  <c r="CC139" i="32"/>
  <c r="CD139" i="32"/>
  <c r="CE139" i="32"/>
  <c r="BQ139" i="32"/>
  <c r="BP140" i="32"/>
  <c r="CC140" i="32"/>
  <c r="CD140" i="32"/>
  <c r="CE140" i="32"/>
  <c r="BQ140" i="32"/>
  <c r="BP141" i="32"/>
  <c r="CC141" i="32"/>
  <c r="CD141" i="32"/>
  <c r="CE141" i="32"/>
  <c r="BQ141" i="32"/>
  <c r="BP142" i="32"/>
  <c r="CC142" i="32"/>
  <c r="CD142" i="32"/>
  <c r="CE142" i="32"/>
  <c r="BQ142" i="32"/>
  <c r="BP143" i="32"/>
  <c r="CC143" i="32"/>
  <c r="CD143" i="32"/>
  <c r="CE143" i="32"/>
  <c r="BQ143" i="32"/>
  <c r="BP144" i="32"/>
  <c r="CC144" i="32"/>
  <c r="CD144" i="32"/>
  <c r="CE144" i="32"/>
  <c r="BQ144" i="32"/>
  <c r="BP145" i="32"/>
  <c r="CC145" i="32"/>
  <c r="CD145" i="32"/>
  <c r="CE145" i="32"/>
  <c r="BQ145" i="32"/>
  <c r="BP146" i="32"/>
  <c r="CC146" i="32"/>
  <c r="CD146" i="32"/>
  <c r="CE146" i="32"/>
  <c r="BQ146" i="32"/>
  <c r="BP147" i="32"/>
  <c r="CC147" i="32"/>
  <c r="CD147" i="32"/>
  <c r="CE147" i="32"/>
  <c r="BQ147" i="32"/>
  <c r="BP148" i="32"/>
  <c r="CC148" i="32"/>
  <c r="CD148" i="32"/>
  <c r="CE148" i="32"/>
  <c r="BQ148" i="32"/>
  <c r="BP149" i="32"/>
  <c r="CC149" i="32"/>
  <c r="CD149" i="32"/>
  <c r="CE149" i="32"/>
  <c r="BQ149" i="32"/>
  <c r="BP150" i="32"/>
  <c r="CC150" i="32"/>
  <c r="CD150" i="32"/>
  <c r="CE150" i="32"/>
  <c r="BQ150" i="32"/>
  <c r="BP151" i="32"/>
  <c r="CC151" i="32"/>
  <c r="CD151" i="32"/>
  <c r="CE151" i="32"/>
  <c r="BQ151" i="32"/>
  <c r="BP152" i="32"/>
  <c r="CC152" i="32"/>
  <c r="CD152" i="32"/>
  <c r="CE152" i="32"/>
  <c r="BQ152" i="32"/>
  <c r="BP153" i="32"/>
  <c r="CC153" i="32"/>
  <c r="CD153" i="32"/>
  <c r="CE153" i="32"/>
  <c r="BQ153" i="32"/>
  <c r="BP154" i="32"/>
  <c r="CC154" i="32"/>
  <c r="CD154" i="32"/>
  <c r="CE154" i="32"/>
  <c r="BQ154" i="32"/>
  <c r="BP155" i="32"/>
  <c r="CC155" i="32"/>
  <c r="CD155" i="32"/>
  <c r="CE155" i="32"/>
  <c r="BQ155" i="32"/>
  <c r="BP156" i="32"/>
  <c r="CC156" i="32"/>
  <c r="CD156" i="32"/>
  <c r="CE156" i="32"/>
  <c r="BQ156" i="32"/>
  <c r="BP157" i="32"/>
  <c r="CC157" i="32"/>
  <c r="CD157" i="32"/>
  <c r="CE157" i="32"/>
  <c r="BQ157" i="32"/>
  <c r="BP158" i="32"/>
  <c r="CC158" i="32"/>
  <c r="CD158" i="32"/>
  <c r="CE158" i="32"/>
  <c r="BQ158" i="32"/>
  <c r="BP159" i="32"/>
  <c r="CC159" i="32"/>
  <c r="CD159" i="32"/>
  <c r="CE159" i="32"/>
  <c r="BQ159" i="32"/>
  <c r="BP160" i="32"/>
  <c r="CC160" i="32"/>
  <c r="CD160" i="32"/>
  <c r="CE160" i="32"/>
  <c r="BQ160" i="32"/>
  <c r="BP161" i="32"/>
  <c r="CC161" i="32"/>
  <c r="CD161" i="32"/>
  <c r="CE161" i="32"/>
  <c r="BQ161" i="32"/>
  <c r="BP162" i="32"/>
  <c r="CC162" i="32"/>
  <c r="CD162" i="32"/>
  <c r="CE162" i="32"/>
  <c r="BQ162" i="32"/>
  <c r="BP163" i="32"/>
  <c r="CC163" i="32"/>
  <c r="CD163" i="32"/>
  <c r="CE163" i="32"/>
  <c r="BQ163" i="32"/>
  <c r="BP164" i="32"/>
  <c r="CC164" i="32"/>
  <c r="CD164" i="32"/>
  <c r="CE164" i="32"/>
  <c r="BQ164" i="32"/>
  <c r="BP165" i="32"/>
  <c r="CC165" i="32"/>
  <c r="CD165" i="32"/>
  <c r="CE165" i="32"/>
  <c r="BQ165" i="32"/>
  <c r="BP166" i="32"/>
  <c r="CC166" i="32"/>
  <c r="CD166" i="32"/>
  <c r="CE166" i="32"/>
  <c r="BQ166" i="32"/>
  <c r="BP167" i="32"/>
  <c r="CC167" i="32"/>
  <c r="CD167" i="32"/>
  <c r="CE167" i="32"/>
  <c r="BQ167" i="32"/>
  <c r="BP168" i="32"/>
  <c r="CC168" i="32"/>
  <c r="CD168" i="32"/>
  <c r="CE168" i="32"/>
  <c r="BQ168" i="32"/>
  <c r="BP169" i="32"/>
  <c r="CC169" i="32"/>
  <c r="CD169" i="32"/>
  <c r="CE169" i="32"/>
  <c r="BQ169" i="32"/>
  <c r="BP170" i="32"/>
  <c r="CC170" i="32"/>
  <c r="CD170" i="32"/>
  <c r="CE170" i="32"/>
  <c r="BQ170" i="32"/>
  <c r="BP171" i="32"/>
  <c r="CC171" i="32"/>
  <c r="CD171" i="32"/>
  <c r="CE171" i="32"/>
  <c r="BQ171" i="32"/>
  <c r="BP172" i="32"/>
  <c r="CC172" i="32"/>
  <c r="CD172" i="32"/>
  <c r="CE172" i="32"/>
  <c r="BQ172" i="32"/>
  <c r="BP173" i="32"/>
  <c r="CC173" i="32"/>
  <c r="CD173" i="32"/>
  <c r="CE173" i="32"/>
  <c r="BQ173" i="32"/>
  <c r="BP174" i="32"/>
  <c r="CC174" i="32"/>
  <c r="CD174" i="32"/>
  <c r="CE174" i="32"/>
  <c r="BQ174" i="32"/>
  <c r="BP175" i="32"/>
  <c r="CC175" i="32"/>
  <c r="CD175" i="32"/>
  <c r="CE175" i="32"/>
  <c r="BQ175" i="32"/>
  <c r="BP176" i="32"/>
  <c r="CC176" i="32"/>
  <c r="CD176" i="32"/>
  <c r="CE176" i="32"/>
  <c r="BQ176" i="32"/>
  <c r="BP177" i="32"/>
  <c r="CC177" i="32"/>
  <c r="CD177" i="32"/>
  <c r="CE177" i="32"/>
  <c r="BQ177" i="32"/>
  <c r="BP178" i="32"/>
  <c r="CC178" i="32"/>
  <c r="CD178" i="32"/>
  <c r="CE178" i="32"/>
  <c r="BQ178" i="32"/>
  <c r="BP179" i="32"/>
  <c r="CC179" i="32"/>
  <c r="CD179" i="32"/>
  <c r="CE179" i="32"/>
  <c r="BQ179" i="32"/>
  <c r="BP180" i="32"/>
  <c r="CC180" i="32"/>
  <c r="CD180" i="32"/>
  <c r="CE180" i="32"/>
  <c r="BQ180" i="32"/>
  <c r="BP181" i="32"/>
  <c r="CC181" i="32"/>
  <c r="CD181" i="32"/>
  <c r="CE181" i="32"/>
  <c r="BQ181" i="32"/>
  <c r="BP182" i="32"/>
  <c r="CC182" i="32"/>
  <c r="CD182" i="32"/>
  <c r="CE182" i="32"/>
  <c r="BQ182" i="32"/>
  <c r="BP183" i="32"/>
  <c r="CC183" i="32"/>
  <c r="CD183" i="32"/>
  <c r="CE183" i="32"/>
  <c r="BQ183" i="32"/>
  <c r="BP184" i="32"/>
  <c r="CC184" i="32"/>
  <c r="CD184" i="32"/>
  <c r="CE184" i="32"/>
  <c r="BQ184" i="32"/>
  <c r="BP185" i="32"/>
  <c r="CC185" i="32"/>
  <c r="CD185" i="32"/>
  <c r="CE185" i="32"/>
  <c r="BQ185" i="32"/>
  <c r="BP186" i="32"/>
  <c r="CC186" i="32"/>
  <c r="CD186" i="32"/>
  <c r="CE186" i="32"/>
  <c r="BQ186" i="32"/>
  <c r="BP187" i="32"/>
  <c r="CC187" i="32"/>
  <c r="CD187" i="32"/>
  <c r="CE187" i="32"/>
  <c r="BQ187" i="32"/>
  <c r="BP188" i="32"/>
  <c r="CC188" i="32"/>
  <c r="CD188" i="32"/>
  <c r="CE188" i="32"/>
  <c r="BQ188" i="32"/>
  <c r="BP189" i="32"/>
  <c r="CC189" i="32"/>
  <c r="CD189" i="32"/>
  <c r="CE189" i="32"/>
  <c r="BQ189" i="32"/>
  <c r="BP190" i="32"/>
  <c r="CC190" i="32"/>
  <c r="CD190" i="32"/>
  <c r="CE190" i="32"/>
  <c r="BQ190" i="32"/>
  <c r="BP191" i="32"/>
  <c r="CC191" i="32"/>
  <c r="CD191" i="32"/>
  <c r="CE191" i="32"/>
  <c r="BQ191" i="32"/>
  <c r="BP192" i="32"/>
  <c r="CC192" i="32"/>
  <c r="CD192" i="32"/>
  <c r="CE192" i="32"/>
  <c r="BQ192" i="32"/>
  <c r="BP193" i="32"/>
  <c r="CC193" i="32"/>
  <c r="CD193" i="32"/>
  <c r="CE193" i="32"/>
  <c r="BQ193" i="32"/>
  <c r="BP194" i="32"/>
  <c r="CC194" i="32"/>
  <c r="CD194" i="32"/>
  <c r="CE194" i="32"/>
  <c r="BQ194" i="32"/>
  <c r="BP195" i="32"/>
  <c r="CC195" i="32"/>
  <c r="CD195" i="32"/>
  <c r="CE195" i="32"/>
  <c r="BQ195" i="32"/>
  <c r="BP196" i="32"/>
  <c r="CC196" i="32"/>
  <c r="CD196" i="32"/>
  <c r="CE196" i="32"/>
  <c r="BQ196" i="32"/>
  <c r="BP197" i="32"/>
  <c r="CC197" i="32"/>
  <c r="CD197" i="32"/>
  <c r="CE197" i="32"/>
  <c r="BQ197" i="32"/>
  <c r="BP198" i="32"/>
  <c r="CC198" i="32"/>
  <c r="CD198" i="32"/>
  <c r="CE198" i="32"/>
  <c r="BQ198" i="32"/>
  <c r="BP199" i="32"/>
  <c r="CC199" i="32"/>
  <c r="CD199" i="32"/>
  <c r="CE199" i="32"/>
  <c r="BQ199" i="32"/>
  <c r="BP200" i="32"/>
  <c r="CC200" i="32"/>
  <c r="CD200" i="32"/>
  <c r="CE200" i="32"/>
  <c r="BQ200" i="32"/>
  <c r="BP201" i="32"/>
  <c r="CC201" i="32"/>
  <c r="CD201" i="32"/>
  <c r="CE201" i="32"/>
  <c r="BQ201" i="32"/>
  <c r="BP202" i="32"/>
  <c r="CC202" i="32"/>
  <c r="CD202" i="32"/>
  <c r="CE202" i="32"/>
  <c r="BQ202" i="32"/>
  <c r="BP203" i="32"/>
  <c r="CC203" i="32"/>
  <c r="CD203" i="32"/>
  <c r="CE203" i="32"/>
  <c r="BQ203" i="32"/>
  <c r="BP204" i="32"/>
  <c r="CC204" i="32"/>
  <c r="CD204" i="32"/>
  <c r="CE204" i="32"/>
  <c r="BQ204" i="32"/>
  <c r="BP205" i="32"/>
  <c r="CC205" i="32"/>
  <c r="CD205" i="32"/>
  <c r="CE205" i="32"/>
  <c r="BQ205" i="32"/>
  <c r="BP206" i="32"/>
  <c r="CC206" i="32"/>
  <c r="CD206" i="32"/>
  <c r="CE206" i="32"/>
  <c r="BQ206" i="32"/>
  <c r="BP207" i="32"/>
  <c r="CC207" i="32"/>
  <c r="CD207" i="32"/>
  <c r="CE207" i="32"/>
  <c r="BQ207" i="32"/>
  <c r="BP208" i="32"/>
  <c r="CC208" i="32"/>
  <c r="CD208" i="32"/>
  <c r="CE208" i="32"/>
  <c r="BQ208" i="32"/>
  <c r="BP209" i="32"/>
  <c r="CC209" i="32"/>
  <c r="CD209" i="32"/>
  <c r="CE209" i="32"/>
  <c r="BQ209" i="32"/>
  <c r="BP210" i="32"/>
  <c r="CC210" i="32"/>
  <c r="CD210" i="32"/>
  <c r="CE210" i="32"/>
  <c r="BQ210" i="32"/>
  <c r="BP211" i="32"/>
  <c r="CC211" i="32"/>
  <c r="CD211" i="32"/>
  <c r="CE211" i="32"/>
  <c r="BQ211" i="32"/>
  <c r="BP212" i="32"/>
  <c r="CC212" i="32"/>
  <c r="CD212" i="32"/>
  <c r="CE212" i="32"/>
  <c r="BQ212" i="32"/>
  <c r="BP213" i="32"/>
  <c r="CC213" i="32"/>
  <c r="CD213" i="32"/>
  <c r="CE213" i="32"/>
  <c r="BQ213" i="32"/>
  <c r="BP214" i="32"/>
  <c r="CC214" i="32"/>
  <c r="CD214" i="32"/>
  <c r="CE214" i="32"/>
  <c r="BQ214" i="32"/>
  <c r="BP215" i="32"/>
  <c r="CC215" i="32"/>
  <c r="CD215" i="32"/>
  <c r="CE215" i="32"/>
  <c r="BQ215" i="32"/>
  <c r="BP216" i="32"/>
  <c r="CC216" i="32"/>
  <c r="CD216" i="32"/>
  <c r="CE216" i="32"/>
  <c r="BQ216" i="32"/>
  <c r="BP217" i="32"/>
  <c r="CC217" i="32"/>
  <c r="CD217" i="32"/>
  <c r="CE217" i="32"/>
  <c r="BQ217" i="32"/>
  <c r="BP218" i="32"/>
  <c r="CC218" i="32"/>
  <c r="CD218" i="32"/>
  <c r="CE218" i="32"/>
  <c r="BQ218" i="32"/>
  <c r="BP219" i="32"/>
  <c r="CC219" i="32"/>
  <c r="CD219" i="32"/>
  <c r="CE219" i="32"/>
  <c r="BQ219" i="32"/>
  <c r="BP220" i="32"/>
  <c r="CC220" i="32"/>
  <c r="CD220" i="32"/>
  <c r="CE220" i="32"/>
  <c r="BQ220" i="32"/>
  <c r="BP221" i="32"/>
  <c r="CC221" i="32"/>
  <c r="CD221" i="32"/>
  <c r="CE221" i="32"/>
  <c r="BQ221" i="32"/>
  <c r="BP222" i="32"/>
  <c r="CC222" i="32"/>
  <c r="CD222" i="32"/>
  <c r="CE222" i="32"/>
  <c r="BQ222" i="32"/>
  <c r="BP223" i="32"/>
  <c r="CC223" i="32"/>
  <c r="CD223" i="32"/>
  <c r="CE223" i="32"/>
  <c r="BQ223" i="32"/>
  <c r="BP224" i="32"/>
  <c r="CC224" i="32"/>
  <c r="CD224" i="32"/>
  <c r="CE224" i="32"/>
  <c r="BQ224" i="32"/>
  <c r="BP225" i="32"/>
  <c r="CC225" i="32"/>
  <c r="CD225" i="32"/>
  <c r="CE225" i="32"/>
  <c r="BQ225" i="32"/>
  <c r="BP226" i="32"/>
  <c r="CC226" i="32"/>
  <c r="CD226" i="32"/>
  <c r="CE226" i="32"/>
  <c r="BQ226" i="32"/>
  <c r="BP227" i="32"/>
  <c r="CC227" i="32"/>
  <c r="CD227" i="32"/>
  <c r="CE227" i="32"/>
  <c r="BQ227" i="32"/>
  <c r="BP228" i="32"/>
  <c r="CC228" i="32"/>
  <c r="CD228" i="32"/>
  <c r="CE228" i="32"/>
  <c r="BQ228" i="32"/>
  <c r="BP229" i="32"/>
  <c r="CC229" i="32"/>
  <c r="CD229" i="32"/>
  <c r="CE229" i="32"/>
  <c r="BQ229" i="32"/>
  <c r="BP230" i="32"/>
  <c r="CC230" i="32"/>
  <c r="CD230" i="32"/>
  <c r="CE230" i="32"/>
  <c r="BQ230" i="32"/>
  <c r="BP231" i="32"/>
  <c r="CC231" i="32"/>
  <c r="CD231" i="32"/>
  <c r="CE231" i="32"/>
  <c r="BQ231" i="32"/>
  <c r="BP232" i="32"/>
  <c r="CC232" i="32"/>
  <c r="CD232" i="32"/>
  <c r="CE232" i="32"/>
  <c r="BQ232" i="32"/>
  <c r="BP233" i="32"/>
  <c r="CC233" i="32"/>
  <c r="CD233" i="32"/>
  <c r="CE233" i="32"/>
  <c r="BQ233" i="32"/>
  <c r="BP234" i="32"/>
  <c r="CC234" i="32"/>
  <c r="CD234" i="32"/>
  <c r="CE234" i="32"/>
  <c r="BQ234" i="32"/>
  <c r="BP235" i="32"/>
  <c r="CC235" i="32"/>
  <c r="CD235" i="32"/>
  <c r="CE235" i="32"/>
  <c r="BQ235" i="32"/>
  <c r="BP236" i="32"/>
  <c r="CC236" i="32"/>
  <c r="CD236" i="32"/>
  <c r="CE236" i="32"/>
  <c r="BQ236" i="32"/>
  <c r="BP237" i="32"/>
  <c r="CC237" i="32"/>
  <c r="CD237" i="32"/>
  <c r="CE237" i="32"/>
  <c r="BQ237" i="32"/>
  <c r="BP238" i="32"/>
  <c r="CC238" i="32"/>
  <c r="CD238" i="32"/>
  <c r="CE238" i="32"/>
  <c r="BQ238" i="32"/>
  <c r="BP239" i="32"/>
  <c r="CC239" i="32"/>
  <c r="CD239" i="32"/>
  <c r="CE239" i="32"/>
  <c r="BQ239" i="32"/>
  <c r="BP240" i="32"/>
  <c r="CC240" i="32"/>
  <c r="CD240" i="32"/>
  <c r="CE240" i="32"/>
  <c r="BQ240" i="32"/>
  <c r="BP241" i="32"/>
  <c r="CC241" i="32"/>
  <c r="CD241" i="32"/>
  <c r="CE241" i="32"/>
  <c r="BQ241" i="32"/>
  <c r="BP242" i="32"/>
  <c r="CC242" i="32"/>
  <c r="CD242" i="32"/>
  <c r="CE242" i="32"/>
  <c r="BQ242" i="32"/>
  <c r="BP243" i="32"/>
  <c r="CC243" i="32"/>
  <c r="CD243" i="32"/>
  <c r="CE243" i="32"/>
  <c r="BQ243" i="32"/>
  <c r="BP244" i="32"/>
  <c r="CC244" i="32"/>
  <c r="CD244" i="32"/>
  <c r="CE244" i="32"/>
  <c r="BQ244" i="32"/>
  <c r="BP245" i="32"/>
  <c r="CC245" i="32"/>
  <c r="CD245" i="32"/>
  <c r="CE245" i="32"/>
  <c r="BQ245" i="32"/>
  <c r="BP246" i="32"/>
  <c r="CC246" i="32"/>
  <c r="CD246" i="32"/>
  <c r="CE246" i="32"/>
  <c r="BQ246" i="32"/>
  <c r="BP247" i="32"/>
  <c r="CC247" i="32"/>
  <c r="CD247" i="32"/>
  <c r="CE247" i="32"/>
  <c r="BQ247" i="32"/>
  <c r="BP248" i="32"/>
  <c r="CC248" i="32"/>
  <c r="CD248" i="32"/>
  <c r="CE248" i="32"/>
  <c r="BQ248" i="32"/>
  <c r="BP249" i="32"/>
  <c r="CC249" i="32"/>
  <c r="CD249" i="32"/>
  <c r="CE249" i="32"/>
  <c r="BQ249" i="32"/>
  <c r="BP250" i="32"/>
  <c r="CC250" i="32"/>
  <c r="CD250" i="32"/>
  <c r="CE250" i="32"/>
  <c r="BQ250" i="32"/>
  <c r="BP251" i="32"/>
  <c r="CC251" i="32"/>
  <c r="CD251" i="32"/>
  <c r="CE251" i="32"/>
  <c r="BQ251" i="32"/>
  <c r="BP252" i="32"/>
  <c r="CC252" i="32"/>
  <c r="CD252" i="32"/>
  <c r="CE252" i="32"/>
  <c r="BQ252" i="32"/>
  <c r="BP253" i="32"/>
  <c r="CC253" i="32"/>
  <c r="CD253" i="32"/>
  <c r="CE253" i="32"/>
  <c r="BQ253" i="32"/>
  <c r="BP254" i="32"/>
  <c r="CC254" i="32"/>
  <c r="CD254" i="32"/>
  <c r="CE254" i="32"/>
  <c r="BQ254" i="32"/>
  <c r="BP255" i="32"/>
  <c r="CC255" i="32"/>
  <c r="CD255" i="32"/>
  <c r="CE255" i="32"/>
  <c r="BQ255" i="32"/>
  <c r="BP256" i="32"/>
  <c r="CC256" i="32"/>
  <c r="CD256" i="32"/>
  <c r="CE256" i="32"/>
  <c r="BQ256" i="32"/>
  <c r="BP257" i="32"/>
  <c r="CC257" i="32"/>
  <c r="CD257" i="32"/>
  <c r="CE257" i="32"/>
  <c r="BQ257" i="32"/>
  <c r="BP258" i="32"/>
  <c r="CC258" i="32"/>
  <c r="CD258" i="32"/>
  <c r="CE258" i="32"/>
  <c r="BQ258" i="32"/>
  <c r="BP259" i="32"/>
  <c r="CC259" i="32"/>
  <c r="CD259" i="32"/>
  <c r="CE259" i="32"/>
  <c r="BQ259" i="32"/>
  <c r="BP260" i="32"/>
  <c r="CC260" i="32"/>
  <c r="CD260" i="32"/>
  <c r="CE260" i="32"/>
  <c r="BQ260" i="32"/>
  <c r="BP261" i="32"/>
  <c r="CC261" i="32"/>
  <c r="CD261" i="32"/>
  <c r="CE261" i="32"/>
  <c r="BQ261" i="32"/>
  <c r="BP262" i="32"/>
  <c r="CC262" i="32"/>
  <c r="CD262" i="32"/>
  <c r="CE262" i="32"/>
  <c r="BQ262" i="32"/>
  <c r="BP263" i="32"/>
  <c r="CC263" i="32"/>
  <c r="CD263" i="32"/>
  <c r="CE263" i="32"/>
  <c r="BQ263" i="32"/>
  <c r="BP264" i="32"/>
  <c r="CC264" i="32"/>
  <c r="CD264" i="32"/>
  <c r="CE264" i="32"/>
  <c r="BQ264" i="32"/>
  <c r="BP265" i="32"/>
  <c r="CC265" i="32"/>
  <c r="CD265" i="32"/>
  <c r="CE265" i="32"/>
  <c r="BQ265" i="32"/>
  <c r="BP266" i="32"/>
  <c r="CC266" i="32"/>
  <c r="CD266" i="32"/>
  <c r="CE266" i="32"/>
  <c r="BQ266" i="32"/>
  <c r="BP267" i="32"/>
  <c r="CC267" i="32"/>
  <c r="CD267" i="32"/>
  <c r="CE267" i="32"/>
  <c r="BQ267" i="32"/>
  <c r="BP268" i="32"/>
  <c r="CC268" i="32"/>
  <c r="CD268" i="32"/>
  <c r="CE268" i="32"/>
  <c r="BQ268" i="32"/>
  <c r="BP269" i="32"/>
  <c r="CC269" i="32"/>
  <c r="CD269" i="32"/>
  <c r="CE269" i="32"/>
  <c r="BQ269" i="32"/>
  <c r="BP270" i="32"/>
  <c r="CC270" i="32"/>
  <c r="CD270" i="32"/>
  <c r="CE270" i="32"/>
  <c r="BQ270" i="32"/>
  <c r="BP271" i="32"/>
  <c r="CC271" i="32"/>
  <c r="CD271" i="32"/>
  <c r="CE271" i="32"/>
  <c r="BQ271" i="32"/>
  <c r="BP272" i="32"/>
  <c r="CC272" i="32"/>
  <c r="CD272" i="32"/>
  <c r="CE272" i="32"/>
  <c r="BQ272" i="32"/>
  <c r="BP273" i="32"/>
  <c r="CC273" i="32"/>
  <c r="CD273" i="32"/>
  <c r="CE273" i="32"/>
  <c r="BQ273" i="32"/>
  <c r="BP274" i="32"/>
  <c r="CC274" i="32"/>
  <c r="CD274" i="32"/>
  <c r="CE274" i="32"/>
  <c r="BQ274" i="32"/>
  <c r="BP275" i="32"/>
  <c r="CC275" i="32"/>
  <c r="CD275" i="32"/>
  <c r="CE275" i="32"/>
  <c r="BQ275" i="32"/>
  <c r="BP276" i="32"/>
  <c r="CC276" i="32"/>
  <c r="CD276" i="32"/>
  <c r="CE276" i="32"/>
  <c r="BQ276" i="32"/>
  <c r="BP277" i="32"/>
  <c r="CC277" i="32"/>
  <c r="CD277" i="32"/>
  <c r="CE277" i="32"/>
  <c r="BQ277" i="32"/>
  <c r="BP278" i="32"/>
  <c r="CC278" i="32"/>
  <c r="CD278" i="32"/>
  <c r="CE278" i="32"/>
  <c r="BQ278" i="32"/>
  <c r="BP279" i="32"/>
  <c r="CC279" i="32"/>
  <c r="CD279" i="32"/>
  <c r="CE279" i="32"/>
  <c r="BQ279" i="32"/>
  <c r="BP280" i="32"/>
  <c r="CC280" i="32"/>
  <c r="CD280" i="32"/>
  <c r="CE280" i="32"/>
  <c r="BQ280" i="32"/>
  <c r="BP281" i="32"/>
  <c r="CC281" i="32"/>
  <c r="CD281" i="32"/>
  <c r="CE281" i="32"/>
  <c r="BQ281" i="32"/>
  <c r="BP282" i="32"/>
  <c r="CC282" i="32"/>
  <c r="CD282" i="32"/>
  <c r="CE282" i="32"/>
  <c r="BQ282" i="32"/>
  <c r="BP283" i="32"/>
  <c r="CC283" i="32"/>
  <c r="CD283" i="32"/>
  <c r="CE283" i="32"/>
  <c r="BQ283" i="32"/>
  <c r="BP284" i="32"/>
  <c r="CC284" i="32"/>
  <c r="CD284" i="32"/>
  <c r="CE284" i="32"/>
  <c r="BQ284" i="32"/>
  <c r="BP285" i="32"/>
  <c r="CC285" i="32"/>
  <c r="CD285" i="32"/>
  <c r="CE285" i="32"/>
  <c r="BQ285" i="32"/>
  <c r="BP286" i="32"/>
  <c r="CC286" i="32"/>
  <c r="CD286" i="32"/>
  <c r="CE286" i="32"/>
  <c r="BQ286" i="32"/>
  <c r="BP287" i="32"/>
  <c r="CC287" i="32"/>
  <c r="CD287" i="32"/>
  <c r="CE287" i="32"/>
  <c r="BQ287" i="32"/>
  <c r="BP288" i="32"/>
  <c r="CC288" i="32"/>
  <c r="CD288" i="32"/>
  <c r="CE288" i="32"/>
  <c r="BQ288" i="32"/>
  <c r="BP289" i="32"/>
  <c r="CC289" i="32"/>
  <c r="CD289" i="32"/>
  <c r="CE289" i="32"/>
  <c r="BQ289" i="32"/>
  <c r="BP290" i="32"/>
  <c r="CC290" i="32"/>
  <c r="CD290" i="32"/>
  <c r="CE290" i="32"/>
  <c r="BQ290" i="32"/>
  <c r="BP291" i="32"/>
  <c r="CC291" i="32"/>
  <c r="CD291" i="32"/>
  <c r="CE291" i="32"/>
  <c r="BQ291" i="32"/>
  <c r="BP292" i="32"/>
  <c r="CC292" i="32"/>
  <c r="CD292" i="32"/>
  <c r="CE292" i="32"/>
  <c r="BQ292" i="32"/>
  <c r="BP293" i="32"/>
  <c r="CC293" i="32"/>
  <c r="CD293" i="32"/>
  <c r="CE293" i="32"/>
  <c r="BQ293" i="32"/>
  <c r="BP294" i="32"/>
  <c r="CC294" i="32"/>
  <c r="CD294" i="32"/>
  <c r="CE294" i="32"/>
  <c r="BQ294" i="32"/>
  <c r="BP295" i="32"/>
  <c r="CC295" i="32"/>
  <c r="CD295" i="32"/>
  <c r="CE295" i="32"/>
  <c r="BQ295" i="32"/>
  <c r="BP296" i="32"/>
  <c r="CC296" i="32"/>
  <c r="CD296" i="32"/>
  <c r="CE296" i="32"/>
  <c r="BQ296" i="32"/>
  <c r="BP297" i="32"/>
  <c r="CC297" i="32"/>
  <c r="CD297" i="32"/>
  <c r="CE297" i="32"/>
  <c r="BQ297" i="32"/>
  <c r="BP298" i="32"/>
  <c r="CC298" i="32"/>
  <c r="CD298" i="32"/>
  <c r="CE298" i="32"/>
  <c r="BQ298" i="32"/>
  <c r="BP299" i="32"/>
  <c r="CC299" i="32"/>
  <c r="CD299" i="32"/>
  <c r="CE299" i="32"/>
  <c r="BQ299" i="32"/>
  <c r="BP300" i="32"/>
  <c r="CC300" i="32"/>
  <c r="CD300" i="32"/>
  <c r="CE300" i="32"/>
  <c r="BQ300" i="32"/>
  <c r="BP301" i="32"/>
  <c r="CC301" i="32"/>
  <c r="CD301" i="32"/>
  <c r="CE301" i="32"/>
  <c r="BQ301" i="32"/>
  <c r="BP302" i="32"/>
  <c r="CC302" i="32"/>
  <c r="CD302" i="32"/>
  <c r="CE302" i="32"/>
  <c r="BQ302" i="32"/>
  <c r="BP303" i="32"/>
  <c r="CC303" i="32"/>
  <c r="CD303" i="32"/>
  <c r="CE303" i="32"/>
  <c r="BQ303" i="32"/>
  <c r="BP304" i="32"/>
  <c r="CC304" i="32"/>
  <c r="CD304" i="32"/>
  <c r="CE304" i="32"/>
  <c r="BQ304" i="32"/>
  <c r="BP305" i="32"/>
  <c r="CC305" i="32"/>
  <c r="CD305" i="32"/>
  <c r="CE305" i="32"/>
  <c r="BQ305" i="32"/>
  <c r="BP306" i="32"/>
  <c r="CC306" i="32"/>
  <c r="CD306" i="32"/>
  <c r="CE306" i="32"/>
  <c r="BQ306" i="32"/>
  <c r="BP307" i="32"/>
  <c r="CC307" i="32"/>
  <c r="CD307" i="32"/>
  <c r="CE307" i="32"/>
  <c r="BQ307" i="32"/>
  <c r="BP308" i="32"/>
  <c r="CC308" i="32"/>
  <c r="CD308" i="32"/>
  <c r="CE308" i="32"/>
  <c r="BQ308" i="32"/>
  <c r="BP309" i="32"/>
  <c r="CC309" i="32"/>
  <c r="CD309" i="32"/>
  <c r="CE309" i="32"/>
  <c r="BQ309" i="32"/>
  <c r="BP310" i="32"/>
  <c r="CC310" i="32"/>
  <c r="CD310" i="32"/>
  <c r="CE310" i="32"/>
  <c r="BQ310" i="32"/>
  <c r="BP311" i="32"/>
  <c r="CC311" i="32"/>
  <c r="CD311" i="32"/>
  <c r="CE311" i="32"/>
  <c r="BQ311" i="32"/>
  <c r="BP312" i="32"/>
  <c r="CC312" i="32"/>
  <c r="CD312" i="32"/>
  <c r="CE312" i="32"/>
  <c r="BQ312" i="32"/>
  <c r="K750" i="31"/>
  <c r="BP313" i="32"/>
  <c r="CC313" i="32"/>
  <c r="CD313" i="32"/>
  <c r="CE313" i="32"/>
  <c r="BQ313" i="32"/>
  <c r="BP314" i="32"/>
  <c r="CC314" i="32"/>
  <c r="CD314" i="32"/>
  <c r="CE314" i="32"/>
  <c r="BQ314" i="32"/>
  <c r="BP315" i="32"/>
  <c r="CC315" i="32"/>
  <c r="CD315" i="32"/>
  <c r="CE315" i="32"/>
  <c r="BQ315" i="32"/>
  <c r="BP316" i="32"/>
  <c r="CC316" i="32"/>
  <c r="CD316" i="32"/>
  <c r="CE316" i="32"/>
  <c r="BQ316" i="32"/>
  <c r="BP317" i="32"/>
  <c r="CC317" i="32"/>
  <c r="CD317" i="32"/>
  <c r="CE317" i="32"/>
  <c r="BQ317" i="32"/>
  <c r="BP318" i="32"/>
  <c r="CC318" i="32"/>
  <c r="CD318" i="32"/>
  <c r="CE318" i="32"/>
  <c r="BQ318" i="32"/>
  <c r="BP319" i="32"/>
  <c r="CC319" i="32"/>
  <c r="CD319" i="32"/>
  <c r="CE319" i="32"/>
  <c r="BQ319" i="32"/>
  <c r="BP320" i="32"/>
  <c r="CC320" i="32"/>
  <c r="CD320" i="32"/>
  <c r="CE320" i="32"/>
  <c r="BQ320" i="32"/>
  <c r="BP321" i="32"/>
  <c r="CC321" i="32"/>
  <c r="CD321" i="32"/>
  <c r="CE321" i="32"/>
  <c r="BQ321" i="32"/>
  <c r="BP322" i="32"/>
  <c r="CC322" i="32"/>
  <c r="CD322" i="32"/>
  <c r="CE322" i="32"/>
  <c r="BQ322" i="32"/>
  <c r="BP323" i="32"/>
  <c r="CC323" i="32"/>
  <c r="CD323" i="32"/>
  <c r="CE323" i="32"/>
  <c r="BQ323" i="32"/>
  <c r="BP324" i="32"/>
  <c r="CC324" i="32"/>
  <c r="CD324" i="32"/>
  <c r="CE324" i="32"/>
  <c r="BQ324" i="32"/>
  <c r="BP325" i="32"/>
  <c r="CC325" i="32"/>
  <c r="CD325" i="32"/>
  <c r="CE325" i="32"/>
  <c r="BQ325" i="32"/>
  <c r="BP326" i="32"/>
  <c r="CC326" i="32"/>
  <c r="CD326" i="32"/>
  <c r="CE326" i="32"/>
  <c r="BQ326" i="32"/>
  <c r="BP327" i="32"/>
  <c r="CC327" i="32"/>
  <c r="CD327" i="32"/>
  <c r="CE327" i="32"/>
  <c r="BQ327" i="32"/>
  <c r="BP328" i="32"/>
  <c r="CC328" i="32"/>
  <c r="CD328" i="32"/>
  <c r="CE328" i="32"/>
  <c r="BQ328" i="32"/>
  <c r="BP329" i="32"/>
  <c r="CC329" i="32"/>
  <c r="CD329" i="32"/>
  <c r="CE329" i="32"/>
  <c r="BQ329" i="32"/>
  <c r="BP330" i="32"/>
  <c r="CC330" i="32"/>
  <c r="CD330" i="32"/>
  <c r="CE330" i="32"/>
  <c r="BQ330" i="32"/>
  <c r="BP331" i="32"/>
  <c r="CC331" i="32"/>
  <c r="CD331" i="32"/>
  <c r="CE331" i="32"/>
  <c r="BQ331" i="32"/>
  <c r="BP332" i="32"/>
  <c r="CC332" i="32"/>
  <c r="CD332" i="32"/>
  <c r="CE332" i="32"/>
  <c r="BQ332" i="32"/>
  <c r="BP333" i="32"/>
  <c r="CC333" i="32"/>
  <c r="CD333" i="32"/>
  <c r="CE333" i="32"/>
  <c r="BQ333" i="32"/>
  <c r="BP334" i="32"/>
  <c r="CC334" i="32"/>
  <c r="CD334" i="32"/>
  <c r="CE334" i="32"/>
  <c r="BQ334" i="32"/>
  <c r="BP335" i="32"/>
  <c r="CC335" i="32"/>
  <c r="CD335" i="32"/>
  <c r="CE335" i="32"/>
  <c r="BQ335" i="32"/>
  <c r="BP336" i="32"/>
  <c r="CC336" i="32"/>
  <c r="CD336" i="32"/>
  <c r="CE336" i="32"/>
  <c r="BQ336" i="32"/>
  <c r="BP337" i="32"/>
  <c r="CC337" i="32"/>
  <c r="CD337" i="32"/>
  <c r="CE337" i="32"/>
  <c r="BQ337" i="32"/>
  <c r="BP338" i="32"/>
  <c r="CC338" i="32"/>
  <c r="CD338" i="32"/>
  <c r="CE338" i="32"/>
  <c r="BQ338" i="32"/>
  <c r="BP339" i="32"/>
  <c r="CC339" i="32"/>
  <c r="CD339" i="32"/>
  <c r="CE339" i="32"/>
  <c r="BQ339" i="32"/>
  <c r="BP340" i="32"/>
  <c r="CC340" i="32"/>
  <c r="CD340" i="32"/>
  <c r="CE340" i="32"/>
  <c r="BQ340" i="32"/>
  <c r="BP341" i="32"/>
  <c r="CC341" i="32"/>
  <c r="CD341" i="32"/>
  <c r="CE341" i="32"/>
  <c r="BQ341" i="32"/>
  <c r="BP342" i="32"/>
  <c r="CC342" i="32"/>
  <c r="CD342" i="32"/>
  <c r="CE342" i="32"/>
  <c r="BQ342" i="32"/>
  <c r="BP343" i="32"/>
  <c r="CC343" i="32"/>
  <c r="CD343" i="32"/>
  <c r="CE343" i="32"/>
  <c r="BQ343" i="32"/>
  <c r="BP344" i="32"/>
  <c r="CC344" i="32"/>
  <c r="CD344" i="32"/>
  <c r="CE344" i="32"/>
  <c r="BQ344" i="32"/>
  <c r="BP345" i="32"/>
  <c r="CC345" i="32"/>
  <c r="CD345" i="32"/>
  <c r="CE345" i="32"/>
  <c r="BQ345" i="32"/>
  <c r="BP346" i="32"/>
  <c r="CC346" i="32"/>
  <c r="CD346" i="32"/>
  <c r="CE346" i="32"/>
  <c r="BQ346" i="32"/>
  <c r="BP347" i="32"/>
  <c r="CC347" i="32"/>
  <c r="CD347" i="32"/>
  <c r="CE347" i="32"/>
  <c r="BQ347" i="32"/>
  <c r="BP348" i="32"/>
  <c r="CC348" i="32"/>
  <c r="CD348" i="32"/>
  <c r="CE348" i="32"/>
  <c r="BQ348" i="32"/>
  <c r="BP349" i="32"/>
  <c r="CC349" i="32"/>
  <c r="CD349" i="32"/>
  <c r="CE349" i="32"/>
  <c r="BQ349" i="32"/>
  <c r="BP350" i="32"/>
  <c r="CC350" i="32"/>
  <c r="CD350" i="32"/>
  <c r="CE350" i="32"/>
  <c r="BQ350" i="32"/>
  <c r="BP351" i="32"/>
  <c r="CC351" i="32"/>
  <c r="CD351" i="32"/>
  <c r="CE351" i="32"/>
  <c r="BQ351" i="32"/>
  <c r="BP352" i="32"/>
  <c r="CC352" i="32"/>
  <c r="CD352" i="32"/>
  <c r="CE352" i="32"/>
  <c r="BQ352" i="32"/>
  <c r="BP353" i="32"/>
  <c r="CC353" i="32"/>
  <c r="CD353" i="32"/>
  <c r="CE353" i="32"/>
  <c r="BQ353" i="32"/>
  <c r="BP354" i="32"/>
  <c r="CC354" i="32"/>
  <c r="CD354" i="32"/>
  <c r="CE354" i="32"/>
  <c r="BQ354" i="32"/>
  <c r="BP355" i="32"/>
  <c r="CC355" i="32"/>
  <c r="CD355" i="32"/>
  <c r="CE355" i="32"/>
  <c r="BQ355" i="32"/>
  <c r="BP356" i="32"/>
  <c r="CC356" i="32"/>
  <c r="CD356" i="32"/>
  <c r="CE356" i="32"/>
  <c r="BQ356" i="32"/>
  <c r="BP357" i="32"/>
  <c r="CC357" i="32"/>
  <c r="CD357" i="32"/>
  <c r="CE357" i="32"/>
  <c r="BQ357" i="32"/>
  <c r="BP358" i="32"/>
  <c r="CC358" i="32"/>
  <c r="CD358" i="32"/>
  <c r="CE358" i="32"/>
  <c r="BQ358" i="32"/>
  <c r="BP359" i="32"/>
  <c r="CC359" i="32"/>
  <c r="CD359" i="32"/>
  <c r="CE359" i="32"/>
  <c r="BQ359" i="32"/>
  <c r="BP360" i="32"/>
  <c r="CC360" i="32"/>
  <c r="CD360" i="32"/>
  <c r="CE360" i="32"/>
  <c r="BQ360" i="32"/>
  <c r="BP361" i="32"/>
  <c r="CC361" i="32"/>
  <c r="CD361" i="32"/>
  <c r="CE361" i="32"/>
  <c r="BQ361" i="32"/>
  <c r="BP362" i="32"/>
  <c r="CC362" i="32"/>
  <c r="CD362" i="32"/>
  <c r="CE362" i="32"/>
  <c r="BQ362" i="32"/>
  <c r="BP363" i="32"/>
  <c r="CC363" i="32"/>
  <c r="CD363" i="32"/>
  <c r="CE363" i="32"/>
  <c r="BQ363" i="32"/>
  <c r="BP364" i="32"/>
  <c r="CC364" i="32"/>
  <c r="CD364" i="32"/>
  <c r="CE364" i="32"/>
  <c r="BQ364" i="32"/>
  <c r="BP365" i="32"/>
  <c r="CC365" i="32"/>
  <c r="CD365" i="32"/>
  <c r="CE365" i="32"/>
  <c r="BQ365" i="32"/>
  <c r="BP366" i="32"/>
  <c r="CC366" i="32"/>
  <c r="CD366" i="32"/>
  <c r="CE366" i="32"/>
  <c r="BQ366" i="32"/>
  <c r="BP367" i="32"/>
  <c r="CC367" i="32"/>
  <c r="CD367" i="32"/>
  <c r="CE367" i="32"/>
  <c r="BQ367" i="32"/>
  <c r="BP368" i="32"/>
  <c r="CC368" i="32"/>
  <c r="CD368" i="32"/>
  <c r="CE368" i="32"/>
  <c r="BQ368" i="32"/>
  <c r="BP369" i="32"/>
  <c r="CC369" i="32"/>
  <c r="CD369" i="32"/>
  <c r="CE369" i="32"/>
  <c r="BQ369" i="32"/>
  <c r="BP370" i="32"/>
  <c r="CC370" i="32"/>
  <c r="CD370" i="32"/>
  <c r="CE370" i="32"/>
  <c r="BQ370" i="32"/>
  <c r="BP371" i="32"/>
  <c r="CC371" i="32"/>
  <c r="CD371" i="32"/>
  <c r="CE371" i="32"/>
  <c r="BQ371" i="32"/>
  <c r="BP372" i="32"/>
  <c r="CC372" i="32"/>
  <c r="CD372" i="32"/>
  <c r="CE372" i="32"/>
  <c r="BQ372" i="32"/>
  <c r="BP373" i="32"/>
  <c r="CC373" i="32"/>
  <c r="CD373" i="32"/>
  <c r="CE373" i="32"/>
  <c r="BQ373" i="32"/>
  <c r="BP374" i="32"/>
  <c r="CC374" i="32"/>
  <c r="CD374" i="32"/>
  <c r="CE374" i="32"/>
  <c r="BQ374" i="32"/>
  <c r="BP375" i="32"/>
  <c r="CC375" i="32"/>
  <c r="CD375" i="32"/>
  <c r="CE375" i="32"/>
  <c r="BQ375" i="32"/>
  <c r="BP376" i="32"/>
  <c r="CC376" i="32"/>
  <c r="CD376" i="32"/>
  <c r="CE376" i="32"/>
  <c r="BQ376" i="32"/>
  <c r="BP377" i="32"/>
  <c r="CC377" i="32"/>
  <c r="CD377" i="32"/>
  <c r="CE377" i="32"/>
  <c r="BQ377" i="32"/>
  <c r="BP378" i="32"/>
  <c r="CC378" i="32"/>
  <c r="CD378" i="32"/>
  <c r="CE378" i="32"/>
  <c r="BQ378" i="32"/>
  <c r="BP379" i="32"/>
  <c r="CC379" i="32"/>
  <c r="CD379" i="32"/>
  <c r="CE379" i="32"/>
  <c r="BQ379" i="32"/>
  <c r="BP380" i="32"/>
  <c r="CC380" i="32"/>
  <c r="CD380" i="32"/>
  <c r="CE380" i="32"/>
  <c r="BQ380" i="32"/>
  <c r="BP381" i="32"/>
  <c r="CC381" i="32"/>
  <c r="CD381" i="32"/>
  <c r="CE381" i="32"/>
  <c r="BQ381" i="32"/>
  <c r="BP382" i="32"/>
  <c r="CC382" i="32"/>
  <c r="CD382" i="32"/>
  <c r="CE382" i="32"/>
  <c r="BQ382" i="32"/>
  <c r="BP383" i="32"/>
  <c r="CC383" i="32"/>
  <c r="CD383" i="32"/>
  <c r="CE383" i="32"/>
  <c r="BQ383" i="32"/>
  <c r="BP384" i="32"/>
  <c r="CC384" i="32"/>
  <c r="CD384" i="32"/>
  <c r="CE384" i="32"/>
  <c r="BQ384" i="32"/>
  <c r="BP385" i="32"/>
  <c r="CC385" i="32"/>
  <c r="CD385" i="32"/>
  <c r="CE385" i="32"/>
  <c r="BQ385" i="32"/>
  <c r="BP386" i="32"/>
  <c r="CC386" i="32"/>
  <c r="CD386" i="32"/>
  <c r="CE386" i="32"/>
  <c r="BQ386" i="32"/>
  <c r="BP387" i="32"/>
  <c r="CC387" i="32"/>
  <c r="CD387" i="32"/>
  <c r="CE387" i="32"/>
  <c r="BQ387" i="32"/>
  <c r="BP388" i="32"/>
  <c r="CC388" i="32"/>
  <c r="CD388" i="32"/>
  <c r="CE388" i="32"/>
  <c r="BQ388" i="32"/>
  <c r="BP389" i="32"/>
  <c r="CC389" i="32"/>
  <c r="CD389" i="32"/>
  <c r="CE389" i="32"/>
  <c r="BQ389" i="32"/>
  <c r="BP390" i="32"/>
  <c r="CC390" i="32"/>
  <c r="CD390" i="32"/>
  <c r="CE390" i="32"/>
  <c r="BQ390" i="32"/>
  <c r="BP391" i="32"/>
  <c r="CC391" i="32"/>
  <c r="CD391" i="32"/>
  <c r="CE391" i="32"/>
  <c r="BQ391" i="32"/>
  <c r="BP392" i="32"/>
  <c r="CC392" i="32"/>
  <c r="CD392" i="32"/>
  <c r="CE392" i="32"/>
  <c r="BQ392" i="32"/>
  <c r="BP393" i="32"/>
  <c r="CC393" i="32"/>
  <c r="CD393" i="32"/>
  <c r="CE393" i="32"/>
  <c r="BQ393" i="32"/>
  <c r="BP394" i="32"/>
  <c r="CC394" i="32"/>
  <c r="CD394" i="32"/>
  <c r="CE394" i="32"/>
  <c r="BQ394" i="32"/>
  <c r="BP395" i="32"/>
  <c r="CC395" i="32"/>
  <c r="CD395" i="32"/>
  <c r="CE395" i="32"/>
  <c r="BQ395" i="32"/>
  <c r="BP396" i="32"/>
  <c r="CC396" i="32"/>
  <c r="CD396" i="32"/>
  <c r="CE396" i="32"/>
  <c r="BQ396" i="32"/>
  <c r="BP397" i="32"/>
  <c r="CC397" i="32"/>
  <c r="CD397" i="32"/>
  <c r="CE397" i="32"/>
  <c r="BQ397" i="32"/>
  <c r="BP398" i="32"/>
  <c r="CC398" i="32"/>
  <c r="CD398" i="32"/>
  <c r="CE398" i="32"/>
  <c r="BQ398" i="32"/>
  <c r="BP399" i="32"/>
  <c r="CC399" i="32"/>
  <c r="CD399" i="32"/>
  <c r="CE399" i="32"/>
  <c r="BQ399" i="32"/>
  <c r="BP400" i="32"/>
  <c r="CC400" i="32"/>
  <c r="CD400" i="32"/>
  <c r="CE400" i="32"/>
  <c r="BQ400" i="32"/>
  <c r="BP401" i="32"/>
  <c r="CC401" i="32"/>
  <c r="CD401" i="32"/>
  <c r="CE401" i="32"/>
  <c r="BQ401" i="32"/>
  <c r="BP402" i="32"/>
  <c r="CC402" i="32"/>
  <c r="CD402" i="32"/>
  <c r="CE402" i="32"/>
  <c r="BQ402" i="32"/>
  <c r="BP403" i="32"/>
  <c r="CC403" i="32"/>
  <c r="CD403" i="32"/>
  <c r="CE403" i="32"/>
  <c r="BQ403" i="32"/>
  <c r="BP404" i="32"/>
  <c r="CC404" i="32"/>
  <c r="CD404" i="32"/>
  <c r="CE404" i="32"/>
  <c r="BQ404" i="32"/>
  <c r="BP405" i="32"/>
  <c r="CC405" i="32"/>
  <c r="CD405" i="32"/>
  <c r="CE405" i="32"/>
  <c r="BQ405" i="32"/>
  <c r="BP406" i="32"/>
  <c r="CC406" i="32"/>
  <c r="CD406" i="32"/>
  <c r="CE406" i="32"/>
  <c r="BQ406" i="32"/>
  <c r="BP407" i="32"/>
  <c r="CC407" i="32"/>
  <c r="CD407" i="32"/>
  <c r="CE407" i="32"/>
  <c r="BQ407" i="32"/>
  <c r="BP408" i="32"/>
  <c r="CC408" i="32"/>
  <c r="CD408" i="32"/>
  <c r="CE408" i="32"/>
  <c r="BQ408" i="32"/>
  <c r="BP409" i="32"/>
  <c r="CC409" i="32"/>
  <c r="CD409" i="32"/>
  <c r="CE409" i="32"/>
  <c r="BQ409" i="32"/>
  <c r="BP410" i="32"/>
  <c r="CC410" i="32"/>
  <c r="CD410" i="32"/>
  <c r="CE410" i="32"/>
  <c r="BQ410" i="32"/>
  <c r="BP411" i="32"/>
  <c r="CC411" i="32"/>
  <c r="CD411" i="32"/>
  <c r="CE411" i="32"/>
  <c r="BQ411" i="32"/>
  <c r="BP412" i="32"/>
  <c r="CC412" i="32"/>
  <c r="CD412" i="32"/>
  <c r="CE412" i="32"/>
  <c r="BQ412" i="32"/>
  <c r="BP413" i="32"/>
  <c r="CC413" i="32"/>
  <c r="CD413" i="32"/>
  <c r="CE413" i="32"/>
  <c r="BQ413" i="32"/>
  <c r="BP414" i="32"/>
  <c r="CC414" i="32"/>
  <c r="CD414" i="32"/>
  <c r="CE414" i="32"/>
  <c r="BQ414" i="32"/>
  <c r="BP415" i="32"/>
  <c r="CC415" i="32"/>
  <c r="CD415" i="32"/>
  <c r="CE415" i="32"/>
  <c r="BQ415" i="32"/>
  <c r="BP416" i="32"/>
  <c r="CC416" i="32"/>
  <c r="CD416" i="32"/>
  <c r="CE416" i="32"/>
  <c r="BQ416" i="32"/>
  <c r="BP417" i="32"/>
  <c r="CC417" i="32"/>
  <c r="CD417" i="32"/>
  <c r="CE417" i="32"/>
  <c r="BQ417" i="32"/>
  <c r="BP418" i="32"/>
  <c r="CC418" i="32"/>
  <c r="CD418" i="32"/>
  <c r="CE418" i="32"/>
  <c r="BQ418" i="32"/>
  <c r="BP419" i="32"/>
  <c r="CC419" i="32"/>
  <c r="CD419" i="32"/>
  <c r="CE419" i="32"/>
  <c r="BQ419" i="32"/>
  <c r="BP420" i="32"/>
  <c r="CC420" i="32"/>
  <c r="CD420" i="32"/>
  <c r="CE420" i="32"/>
  <c r="BQ420" i="32"/>
  <c r="BP421" i="32"/>
  <c r="CC421" i="32"/>
  <c r="CD421" i="32"/>
  <c r="CE421" i="32"/>
  <c r="BQ421" i="32"/>
  <c r="BP422" i="32"/>
  <c r="CC422" i="32"/>
  <c r="CD422" i="32"/>
  <c r="CE422" i="32"/>
  <c r="BQ422" i="32"/>
  <c r="BP423" i="32"/>
  <c r="CC423" i="32"/>
  <c r="CD423" i="32"/>
  <c r="CE423" i="32"/>
  <c r="BQ423" i="32"/>
  <c r="BP424" i="32"/>
  <c r="CC424" i="32"/>
  <c r="CD424" i="32"/>
  <c r="CE424" i="32"/>
  <c r="BQ424" i="32"/>
  <c r="BP425" i="32"/>
  <c r="CC425" i="32"/>
  <c r="CD425" i="32"/>
  <c r="CE425" i="32"/>
  <c r="BQ425" i="32"/>
  <c r="BP426" i="32"/>
  <c r="CC426" i="32"/>
  <c r="CD426" i="32"/>
  <c r="CE426" i="32"/>
  <c r="BQ426" i="32"/>
  <c r="BP427" i="32"/>
  <c r="CC427" i="32"/>
  <c r="CD427" i="32"/>
  <c r="CE427" i="32"/>
  <c r="BQ427" i="32"/>
  <c r="BP428" i="32"/>
  <c r="CC428" i="32"/>
  <c r="CD428" i="32"/>
  <c r="CE428" i="32"/>
  <c r="BQ428" i="32"/>
  <c r="BP429" i="32"/>
  <c r="CC429" i="32"/>
  <c r="CD429" i="32"/>
  <c r="CE429" i="32"/>
  <c r="BQ429" i="32"/>
  <c r="BP430" i="32"/>
  <c r="CC430" i="32"/>
  <c r="CD430" i="32"/>
  <c r="CE430" i="32"/>
  <c r="BQ430" i="32"/>
  <c r="BP431" i="32"/>
  <c r="CC431" i="32"/>
  <c r="CD431" i="32"/>
  <c r="CE431" i="32"/>
  <c r="BQ431" i="32"/>
  <c r="BP432" i="32"/>
  <c r="CC432" i="32"/>
  <c r="CD432" i="32"/>
  <c r="CE432" i="32"/>
  <c r="BQ432" i="32"/>
  <c r="BP433" i="32"/>
  <c r="CC433" i="32"/>
  <c r="CD433" i="32"/>
  <c r="CE433" i="32"/>
  <c r="BQ433" i="32"/>
  <c r="BP434" i="32"/>
  <c r="CC434" i="32"/>
  <c r="CD434" i="32"/>
  <c r="CE434" i="32"/>
  <c r="BQ434" i="32"/>
  <c r="BP435" i="32"/>
  <c r="CC435" i="32"/>
  <c r="CD435" i="32"/>
  <c r="CE435" i="32"/>
  <c r="BQ435" i="32"/>
  <c r="BP436" i="32"/>
  <c r="CC436" i="32"/>
  <c r="CD436" i="32"/>
  <c r="CE436" i="32"/>
  <c r="BQ436" i="32"/>
  <c r="BP437" i="32"/>
  <c r="CC437" i="32"/>
  <c r="CD437" i="32"/>
  <c r="CE437" i="32"/>
  <c r="BQ437" i="32"/>
  <c r="BP438" i="32"/>
  <c r="CC438" i="32"/>
  <c r="CD438" i="32"/>
  <c r="CE438" i="32"/>
  <c r="BQ438" i="32"/>
  <c r="BP439" i="32"/>
  <c r="CC439" i="32"/>
  <c r="CD439" i="32"/>
  <c r="CE439" i="32"/>
  <c r="BQ439" i="32"/>
  <c r="BP440" i="32"/>
  <c r="CC440" i="32"/>
  <c r="CD440" i="32"/>
  <c r="CE440" i="32"/>
  <c r="BQ440" i="32"/>
  <c r="BP441" i="32"/>
  <c r="CC441" i="32"/>
  <c r="CD441" i="32"/>
  <c r="CE441" i="32"/>
  <c r="BQ441" i="32"/>
  <c r="BP442" i="32"/>
  <c r="CC442" i="32"/>
  <c r="CD442" i="32"/>
  <c r="CE442" i="32"/>
  <c r="BQ442" i="32"/>
  <c r="BP443" i="32"/>
  <c r="CC443" i="32"/>
  <c r="CD443" i="32"/>
  <c r="CE443" i="32"/>
  <c r="BQ443" i="32"/>
  <c r="BP444" i="32"/>
  <c r="CC444" i="32"/>
  <c r="CD444" i="32"/>
  <c r="CE444" i="32"/>
  <c r="BQ444" i="32"/>
  <c r="B5" i="32"/>
  <c r="BH6" i="32"/>
  <c r="BZ6" i="32"/>
  <c r="CA6" i="32"/>
  <c r="CB6" i="32"/>
  <c r="BI6" i="32"/>
  <c r="B6" i="32"/>
  <c r="BH7" i="32"/>
  <c r="BZ7" i="32"/>
  <c r="CA7" i="32"/>
  <c r="CB7" i="32"/>
  <c r="BI7" i="32"/>
  <c r="B7" i="32"/>
  <c r="BH8" i="32"/>
  <c r="BZ8" i="32"/>
  <c r="CA8" i="32"/>
  <c r="CB8" i="32"/>
  <c r="BI8" i="32"/>
  <c r="B8" i="32"/>
  <c r="BH9" i="32"/>
  <c r="BZ9" i="32"/>
  <c r="CA9" i="32"/>
  <c r="CB9" i="32"/>
  <c r="BI9" i="32"/>
  <c r="B9" i="32"/>
  <c r="BH10" i="32"/>
  <c r="BZ10" i="32"/>
  <c r="CA10" i="32"/>
  <c r="CB10" i="32"/>
  <c r="BI10" i="32"/>
  <c r="B10" i="32"/>
  <c r="BH11" i="32"/>
  <c r="BZ11" i="32"/>
  <c r="CA11" i="32"/>
  <c r="CB11" i="32"/>
  <c r="BI11" i="32"/>
  <c r="B11" i="32"/>
  <c r="BH12" i="32"/>
  <c r="BZ12" i="32"/>
  <c r="CA12" i="32"/>
  <c r="CB12" i="32"/>
  <c r="BI12" i="32"/>
  <c r="B12" i="32"/>
  <c r="BH13" i="32"/>
  <c r="BZ13" i="32"/>
  <c r="CA13" i="32"/>
  <c r="CB13" i="32"/>
  <c r="BI13" i="32"/>
  <c r="B13" i="32"/>
  <c r="BH14" i="32"/>
  <c r="BZ14" i="32"/>
  <c r="CA14" i="32"/>
  <c r="CB14" i="32"/>
  <c r="BI14" i="32"/>
  <c r="B14" i="32"/>
  <c r="BH15" i="32"/>
  <c r="BZ15" i="32"/>
  <c r="CA15" i="32"/>
  <c r="CB15" i="32"/>
  <c r="BI15" i="32"/>
  <c r="B15" i="32"/>
  <c r="BH16" i="32"/>
  <c r="BZ16" i="32"/>
  <c r="CA16" i="32"/>
  <c r="CB16" i="32"/>
  <c r="BI16" i="32"/>
  <c r="B16" i="32"/>
  <c r="BH17" i="32"/>
  <c r="BZ17" i="32"/>
  <c r="CA17" i="32"/>
  <c r="CB17" i="32"/>
  <c r="BI17" i="32"/>
  <c r="B17" i="32"/>
  <c r="BH18" i="32"/>
  <c r="BZ18" i="32"/>
  <c r="CA18" i="32"/>
  <c r="CB18" i="32"/>
  <c r="BI18" i="32"/>
  <c r="B18" i="32"/>
  <c r="BH19" i="32"/>
  <c r="BZ19" i="32"/>
  <c r="CA19" i="32"/>
  <c r="CB19" i="32"/>
  <c r="BI19" i="32"/>
  <c r="B19" i="32"/>
  <c r="BH20" i="32"/>
  <c r="BZ20" i="32"/>
  <c r="CA20" i="32"/>
  <c r="CB20" i="32"/>
  <c r="BI20" i="32"/>
  <c r="B20" i="32"/>
  <c r="BH21" i="32"/>
  <c r="BZ21" i="32"/>
  <c r="CA21" i="32"/>
  <c r="CB21" i="32"/>
  <c r="BI21" i="32"/>
  <c r="B21" i="32"/>
  <c r="BH22" i="32"/>
  <c r="BZ22" i="32"/>
  <c r="CA22" i="32"/>
  <c r="CB22" i="32"/>
  <c r="BI22" i="32"/>
  <c r="B22" i="32"/>
  <c r="BH23" i="32"/>
  <c r="BZ23" i="32"/>
  <c r="CA23" i="32"/>
  <c r="CB23" i="32"/>
  <c r="BI23" i="32"/>
  <c r="B23" i="32"/>
  <c r="BH24" i="32"/>
  <c r="BZ24" i="32"/>
  <c r="CA24" i="32"/>
  <c r="CB24" i="32"/>
  <c r="BI24" i="32"/>
  <c r="B24" i="32"/>
  <c r="BH25" i="32"/>
  <c r="BZ25" i="32"/>
  <c r="CA25" i="32"/>
  <c r="CB25" i="32"/>
  <c r="BI25" i="32"/>
  <c r="B25" i="32"/>
  <c r="BH26" i="32"/>
  <c r="BZ26" i="32"/>
  <c r="CA26" i="32"/>
  <c r="CB26" i="32"/>
  <c r="BI26" i="32"/>
  <c r="B26" i="32"/>
  <c r="BH27" i="32"/>
  <c r="BZ27" i="32"/>
  <c r="CA27" i="32"/>
  <c r="CB27" i="32"/>
  <c r="BI27" i="32"/>
  <c r="B27" i="32"/>
  <c r="BH28" i="32"/>
  <c r="BZ28" i="32"/>
  <c r="CA28" i="32"/>
  <c r="CB28" i="32"/>
  <c r="BI28" i="32"/>
  <c r="B28" i="32"/>
  <c r="BH29" i="32"/>
  <c r="BZ29" i="32"/>
  <c r="CA29" i="32"/>
  <c r="CB29" i="32"/>
  <c r="BI29" i="32"/>
  <c r="B29" i="32"/>
  <c r="BH30" i="32"/>
  <c r="BZ30" i="32"/>
  <c r="CA30" i="32"/>
  <c r="CB30" i="32"/>
  <c r="BI30" i="32"/>
  <c r="B30" i="32"/>
  <c r="BH31" i="32"/>
  <c r="BZ31" i="32"/>
  <c r="CA31" i="32"/>
  <c r="CB31" i="32"/>
  <c r="BI31" i="32"/>
  <c r="B31" i="32"/>
  <c r="BH32" i="32"/>
  <c r="BZ32" i="32"/>
  <c r="CA32" i="32"/>
  <c r="CB32" i="32"/>
  <c r="BI32" i="32"/>
  <c r="B32" i="32"/>
  <c r="BH33" i="32"/>
  <c r="BZ33" i="32"/>
  <c r="CA33" i="32"/>
  <c r="CB33" i="32"/>
  <c r="BI33" i="32"/>
  <c r="B33" i="32"/>
  <c r="BH34" i="32"/>
  <c r="BZ34" i="32"/>
  <c r="CA34" i="32"/>
  <c r="CB34" i="32"/>
  <c r="BI34" i="32"/>
  <c r="B34" i="32"/>
  <c r="BH35" i="32"/>
  <c r="BZ35" i="32"/>
  <c r="CA35" i="32"/>
  <c r="CB35" i="32"/>
  <c r="BI35" i="32"/>
  <c r="B35" i="32"/>
  <c r="BH36" i="32"/>
  <c r="BZ36" i="32"/>
  <c r="CA36" i="32"/>
  <c r="CB36" i="32"/>
  <c r="BI36" i="32"/>
  <c r="B36" i="32"/>
  <c r="BH37" i="32"/>
  <c r="BZ37" i="32"/>
  <c r="CA37" i="32"/>
  <c r="CB37" i="32"/>
  <c r="BI37" i="32"/>
  <c r="B37" i="32"/>
  <c r="BH38" i="32"/>
  <c r="BZ38" i="32"/>
  <c r="CA38" i="32"/>
  <c r="CB38" i="32"/>
  <c r="BI38" i="32"/>
  <c r="B38" i="32"/>
  <c r="BH39" i="32"/>
  <c r="BZ39" i="32"/>
  <c r="CA39" i="32"/>
  <c r="CB39" i="32"/>
  <c r="BI39" i="32"/>
  <c r="B39" i="32"/>
  <c r="BH40" i="32"/>
  <c r="BZ40" i="32"/>
  <c r="CA40" i="32"/>
  <c r="CB40" i="32"/>
  <c r="BI40" i="32"/>
  <c r="B40" i="32"/>
  <c r="BH41" i="32"/>
  <c r="BZ41" i="32"/>
  <c r="CA41" i="32"/>
  <c r="CB41" i="32"/>
  <c r="BI41" i="32"/>
  <c r="B41" i="32"/>
  <c r="BH42" i="32"/>
  <c r="BZ42" i="32"/>
  <c r="CA42" i="32"/>
  <c r="CB42" i="32"/>
  <c r="BI42" i="32"/>
  <c r="B42" i="32"/>
  <c r="BH43" i="32"/>
  <c r="BZ43" i="32"/>
  <c r="CA43" i="32"/>
  <c r="CB43" i="32"/>
  <c r="BI43" i="32"/>
  <c r="B43" i="32"/>
  <c r="BH44" i="32"/>
  <c r="BZ44" i="32"/>
  <c r="CA44" i="32"/>
  <c r="CB44" i="32"/>
  <c r="BI44" i="32"/>
  <c r="B44" i="32"/>
  <c r="BH45" i="32"/>
  <c r="BZ45" i="32"/>
  <c r="CA45" i="32"/>
  <c r="CB45" i="32"/>
  <c r="BI45" i="32"/>
  <c r="B45" i="32"/>
  <c r="BH46" i="32"/>
  <c r="BZ46" i="32"/>
  <c r="CA46" i="32"/>
  <c r="CB46" i="32"/>
  <c r="BI46" i="32"/>
  <c r="B46" i="32"/>
  <c r="BH47" i="32"/>
  <c r="BZ47" i="32"/>
  <c r="CA47" i="32"/>
  <c r="CB47" i="32"/>
  <c r="BI47" i="32"/>
  <c r="B47" i="32"/>
  <c r="BH48" i="32"/>
  <c r="BZ48" i="32"/>
  <c r="CA48" i="32"/>
  <c r="CB48" i="32"/>
  <c r="BI48" i="32"/>
  <c r="B48" i="32"/>
  <c r="BH49" i="32"/>
  <c r="BZ49" i="32"/>
  <c r="CA49" i="32"/>
  <c r="CB49" i="32"/>
  <c r="BI49" i="32"/>
  <c r="B49" i="32"/>
  <c r="BH50" i="32"/>
  <c r="BZ50" i="32"/>
  <c r="CA50" i="32"/>
  <c r="CB50" i="32"/>
  <c r="BI50" i="32"/>
  <c r="B50" i="32"/>
  <c r="BH51" i="32"/>
  <c r="BZ51" i="32"/>
  <c r="CA51" i="32"/>
  <c r="CB51" i="32"/>
  <c r="BI51" i="32"/>
  <c r="B51" i="32"/>
  <c r="BH52" i="32"/>
  <c r="BZ52" i="32"/>
  <c r="CA52" i="32"/>
  <c r="CB52" i="32"/>
  <c r="BI52" i="32"/>
  <c r="B52" i="32"/>
  <c r="BH53" i="32"/>
  <c r="BZ53" i="32"/>
  <c r="CA53" i="32"/>
  <c r="CB53" i="32"/>
  <c r="BI53" i="32"/>
  <c r="B53" i="32"/>
  <c r="BH54" i="32"/>
  <c r="BZ54" i="32"/>
  <c r="CA54" i="32"/>
  <c r="CB54" i="32"/>
  <c r="BI54" i="32"/>
  <c r="B54" i="32"/>
  <c r="BH55" i="32"/>
  <c r="BZ55" i="32"/>
  <c r="CA55" i="32"/>
  <c r="CB55" i="32"/>
  <c r="BI55" i="32"/>
  <c r="B55" i="32"/>
  <c r="BH56" i="32"/>
  <c r="BZ56" i="32"/>
  <c r="CA56" i="32"/>
  <c r="CB56" i="32"/>
  <c r="BI56" i="32"/>
  <c r="B56" i="32"/>
  <c r="BH57" i="32"/>
  <c r="BZ57" i="32"/>
  <c r="CA57" i="32"/>
  <c r="CB57" i="32"/>
  <c r="BI57" i="32"/>
  <c r="B57" i="32"/>
  <c r="BH58" i="32"/>
  <c r="BZ58" i="32"/>
  <c r="CA58" i="32"/>
  <c r="CB58" i="32"/>
  <c r="BI58" i="32"/>
  <c r="B58" i="32"/>
  <c r="BH59" i="32"/>
  <c r="BZ59" i="32"/>
  <c r="CA59" i="32"/>
  <c r="CB59" i="32"/>
  <c r="BI59" i="32"/>
  <c r="B59" i="32"/>
  <c r="BH60" i="32"/>
  <c r="BZ60" i="32"/>
  <c r="CA60" i="32"/>
  <c r="CB60" i="32"/>
  <c r="BI60" i="32"/>
  <c r="B60" i="32"/>
  <c r="BH61" i="32"/>
  <c r="BZ61" i="32"/>
  <c r="CA61" i="32"/>
  <c r="CB61" i="32"/>
  <c r="BI61" i="32"/>
  <c r="B61" i="32"/>
  <c r="BH62" i="32"/>
  <c r="BZ62" i="32"/>
  <c r="CA62" i="32"/>
  <c r="CB62" i="32"/>
  <c r="BI62" i="32"/>
  <c r="B62" i="32"/>
  <c r="BH63" i="32"/>
  <c r="BZ63" i="32"/>
  <c r="CA63" i="32"/>
  <c r="CB63" i="32"/>
  <c r="BI63" i="32"/>
  <c r="B63" i="32"/>
  <c r="BH64" i="32"/>
  <c r="BZ64" i="32"/>
  <c r="CA64" i="32"/>
  <c r="CB64" i="32"/>
  <c r="BI64" i="32"/>
  <c r="B64" i="32"/>
  <c r="BH65" i="32"/>
  <c r="BZ65" i="32"/>
  <c r="CA65" i="32"/>
  <c r="CB65" i="32"/>
  <c r="BI65" i="32"/>
  <c r="B65" i="32"/>
  <c r="BH66" i="32"/>
  <c r="BZ66" i="32"/>
  <c r="CA66" i="32"/>
  <c r="CB66" i="32"/>
  <c r="BI66" i="32"/>
  <c r="B66" i="32"/>
  <c r="BH67" i="32"/>
  <c r="BZ67" i="32"/>
  <c r="CA67" i="32"/>
  <c r="CB67" i="32"/>
  <c r="BI67" i="32"/>
  <c r="B67" i="32"/>
  <c r="BH68" i="32"/>
  <c r="BZ68" i="32"/>
  <c r="CA68" i="32"/>
  <c r="CB68" i="32"/>
  <c r="BI68" i="32"/>
  <c r="B68" i="32"/>
  <c r="BH69" i="32"/>
  <c r="BZ69" i="32"/>
  <c r="CA69" i="32"/>
  <c r="CB69" i="32"/>
  <c r="BI69" i="32"/>
  <c r="B69" i="32"/>
  <c r="BH70" i="32"/>
  <c r="BZ70" i="32"/>
  <c r="CA70" i="32"/>
  <c r="CB70" i="32"/>
  <c r="BI70" i="32"/>
  <c r="B70" i="32"/>
  <c r="BH71" i="32"/>
  <c r="BZ71" i="32"/>
  <c r="CA71" i="32"/>
  <c r="CB71" i="32"/>
  <c r="BI71" i="32"/>
  <c r="B71" i="32"/>
  <c r="BH72" i="32"/>
  <c r="BZ72" i="32"/>
  <c r="CA72" i="32"/>
  <c r="CB72" i="32"/>
  <c r="BI72" i="32"/>
  <c r="B72" i="32"/>
  <c r="BH73" i="32"/>
  <c r="BZ73" i="32"/>
  <c r="CA73" i="32"/>
  <c r="CB73" i="32"/>
  <c r="BI73" i="32"/>
  <c r="B73" i="32"/>
  <c r="BH74" i="32"/>
  <c r="BZ74" i="32"/>
  <c r="CA74" i="32"/>
  <c r="CB74" i="32"/>
  <c r="BI74" i="32"/>
  <c r="B74" i="32"/>
  <c r="BH75" i="32"/>
  <c r="BZ75" i="32"/>
  <c r="CA75" i="32"/>
  <c r="CB75" i="32"/>
  <c r="BI75" i="32"/>
  <c r="B75" i="32"/>
  <c r="BH76" i="32"/>
  <c r="BZ76" i="32"/>
  <c r="CA76" i="32"/>
  <c r="CB76" i="32"/>
  <c r="BI76" i="32"/>
  <c r="B76" i="32"/>
  <c r="BH77" i="32"/>
  <c r="BZ77" i="32"/>
  <c r="CA77" i="32"/>
  <c r="CB77" i="32"/>
  <c r="BI77" i="32"/>
  <c r="B77" i="32"/>
  <c r="BH78" i="32"/>
  <c r="BZ78" i="32"/>
  <c r="CA78" i="32"/>
  <c r="CB78" i="32"/>
  <c r="BI78" i="32"/>
  <c r="B78" i="32"/>
  <c r="BH79" i="32"/>
  <c r="BZ79" i="32"/>
  <c r="CA79" i="32"/>
  <c r="CB79" i="32"/>
  <c r="BI79" i="32"/>
  <c r="B79" i="32"/>
  <c r="BH80" i="32"/>
  <c r="BZ80" i="32"/>
  <c r="CA80" i="32"/>
  <c r="CB80" i="32"/>
  <c r="BI80" i="32"/>
  <c r="B80" i="32"/>
  <c r="BH81" i="32"/>
  <c r="BZ81" i="32"/>
  <c r="CA81" i="32"/>
  <c r="CB81" i="32"/>
  <c r="BI81" i="32"/>
  <c r="B81" i="32"/>
  <c r="BH82" i="32"/>
  <c r="BZ82" i="32"/>
  <c r="CA82" i="32"/>
  <c r="CB82" i="32"/>
  <c r="BI82" i="32"/>
  <c r="B82" i="32"/>
  <c r="BH83" i="32"/>
  <c r="BZ83" i="32"/>
  <c r="CA83" i="32"/>
  <c r="CB83" i="32"/>
  <c r="BI83" i="32"/>
  <c r="B83" i="32"/>
  <c r="BH84" i="32"/>
  <c r="BZ84" i="32"/>
  <c r="CA84" i="32"/>
  <c r="CB84" i="32"/>
  <c r="BI84" i="32"/>
  <c r="B84" i="32"/>
  <c r="BH85" i="32"/>
  <c r="BZ85" i="32"/>
  <c r="CA85" i="32"/>
  <c r="CB85" i="32"/>
  <c r="BI85" i="32"/>
  <c r="B85" i="32"/>
  <c r="BH86" i="32"/>
  <c r="BZ86" i="32"/>
  <c r="CA86" i="32"/>
  <c r="CB86" i="32"/>
  <c r="BI86" i="32"/>
  <c r="B86" i="32"/>
  <c r="BH87" i="32"/>
  <c r="BZ87" i="32"/>
  <c r="CA87" i="32"/>
  <c r="CB87" i="32"/>
  <c r="BI87" i="32"/>
  <c r="B87" i="32"/>
  <c r="BH88" i="32"/>
  <c r="BZ88" i="32"/>
  <c r="CA88" i="32"/>
  <c r="CB88" i="32"/>
  <c r="BI88" i="32"/>
  <c r="B88" i="32"/>
  <c r="BH89" i="32"/>
  <c r="BZ89" i="32"/>
  <c r="CA89" i="32"/>
  <c r="CB89" i="32"/>
  <c r="BI89" i="32"/>
  <c r="B89" i="32"/>
  <c r="BH90" i="32"/>
  <c r="BZ90" i="32"/>
  <c r="CA90" i="32"/>
  <c r="CB90" i="32"/>
  <c r="BI90" i="32"/>
  <c r="B90" i="32"/>
  <c r="BH91" i="32"/>
  <c r="BZ91" i="32"/>
  <c r="CA91" i="32"/>
  <c r="CB91" i="32"/>
  <c r="BI91" i="32"/>
  <c r="B91" i="32"/>
  <c r="BH92" i="32"/>
  <c r="BZ92" i="32"/>
  <c r="CA92" i="32"/>
  <c r="CB92" i="32"/>
  <c r="BI92" i="32"/>
  <c r="B92" i="32"/>
  <c r="BH93" i="32"/>
  <c r="BZ93" i="32"/>
  <c r="CA93" i="32"/>
  <c r="CB93" i="32"/>
  <c r="BI93" i="32"/>
  <c r="B93" i="32"/>
  <c r="BH94" i="32"/>
  <c r="BZ94" i="32"/>
  <c r="CA94" i="32"/>
  <c r="CB94" i="32"/>
  <c r="BI94" i="32"/>
  <c r="B94" i="32"/>
  <c r="BH95" i="32"/>
  <c r="BZ95" i="32"/>
  <c r="CA95" i="32"/>
  <c r="CB95" i="32"/>
  <c r="BI95" i="32"/>
  <c r="B95" i="32"/>
  <c r="BH96" i="32"/>
  <c r="BZ96" i="32"/>
  <c r="CA96" i="32"/>
  <c r="CB96" i="32"/>
  <c r="BI96" i="32"/>
  <c r="B96" i="32"/>
  <c r="BH97" i="32"/>
  <c r="BZ97" i="32"/>
  <c r="CA97" i="32"/>
  <c r="CB97" i="32"/>
  <c r="BI97" i="32"/>
  <c r="B97" i="32"/>
  <c r="BH98" i="32"/>
  <c r="BZ98" i="32"/>
  <c r="CA98" i="32"/>
  <c r="CB98" i="32"/>
  <c r="BI98" i="32"/>
  <c r="B98" i="32"/>
  <c r="BH99" i="32"/>
  <c r="BZ99" i="32"/>
  <c r="CA99" i="32"/>
  <c r="CB99" i="32"/>
  <c r="BI99" i="32"/>
  <c r="B99" i="32"/>
  <c r="BH100" i="32"/>
  <c r="BZ100" i="32"/>
  <c r="CA100" i="32"/>
  <c r="CB100" i="32"/>
  <c r="BI100" i="32"/>
  <c r="B100" i="32"/>
  <c r="BH101" i="32"/>
  <c r="BZ101" i="32"/>
  <c r="CA101" i="32"/>
  <c r="CB101" i="32"/>
  <c r="BI101" i="32"/>
  <c r="B101" i="32"/>
  <c r="BH102" i="32"/>
  <c r="BZ102" i="32"/>
  <c r="CA102" i="32"/>
  <c r="CB102" i="32"/>
  <c r="BI102" i="32"/>
  <c r="B102" i="32"/>
  <c r="BH103" i="32"/>
  <c r="BZ103" i="32"/>
  <c r="CA103" i="32"/>
  <c r="CB103" i="32"/>
  <c r="BI103" i="32"/>
  <c r="B103" i="32"/>
  <c r="BH104" i="32"/>
  <c r="BZ104" i="32"/>
  <c r="CA104" i="32"/>
  <c r="CB104" i="32"/>
  <c r="BI104" i="32"/>
  <c r="B104" i="32"/>
  <c r="BH105" i="32"/>
  <c r="BZ105" i="32"/>
  <c r="CA105" i="32"/>
  <c r="CB105" i="32"/>
  <c r="BI105" i="32"/>
  <c r="B105" i="32"/>
  <c r="BH106" i="32"/>
  <c r="BZ106" i="32"/>
  <c r="CA106" i="32"/>
  <c r="CB106" i="32"/>
  <c r="BI106" i="32"/>
  <c r="B106" i="32"/>
  <c r="BH107" i="32"/>
  <c r="BZ107" i="32"/>
  <c r="CA107" i="32"/>
  <c r="CB107" i="32"/>
  <c r="BI107" i="32"/>
  <c r="B107" i="32"/>
  <c r="BH108" i="32"/>
  <c r="BZ108" i="32"/>
  <c r="CA108" i="32"/>
  <c r="CB108" i="32"/>
  <c r="BI108" i="32"/>
  <c r="B108" i="32"/>
  <c r="BH109" i="32"/>
  <c r="BZ109" i="32"/>
  <c r="CA109" i="32"/>
  <c r="CB109" i="32"/>
  <c r="BI109" i="32"/>
  <c r="B109" i="32"/>
  <c r="BH110" i="32"/>
  <c r="BZ110" i="32"/>
  <c r="CA110" i="32"/>
  <c r="CB110" i="32"/>
  <c r="BI110" i="32"/>
  <c r="B110" i="32"/>
  <c r="BH111" i="32"/>
  <c r="BZ111" i="32"/>
  <c r="CA111" i="32"/>
  <c r="CB111" i="32"/>
  <c r="BI111" i="32"/>
  <c r="B111" i="32"/>
  <c r="BH112" i="32"/>
  <c r="BZ112" i="32"/>
  <c r="CA112" i="32"/>
  <c r="CB112" i="32"/>
  <c r="BI112" i="32"/>
  <c r="B112" i="32"/>
  <c r="BH113" i="32"/>
  <c r="BZ113" i="32"/>
  <c r="CA113" i="32"/>
  <c r="CB113" i="32"/>
  <c r="BI113" i="32"/>
  <c r="B113" i="32"/>
  <c r="BH114" i="32"/>
  <c r="BZ114" i="32"/>
  <c r="CA114" i="32"/>
  <c r="CB114" i="32"/>
  <c r="BI114" i="32"/>
  <c r="B114" i="32"/>
  <c r="BH115" i="32"/>
  <c r="BZ115" i="32"/>
  <c r="CA115" i="32"/>
  <c r="CB115" i="32"/>
  <c r="BI115" i="32"/>
  <c r="B115" i="32"/>
  <c r="BH116" i="32"/>
  <c r="BZ116" i="32"/>
  <c r="CA116" i="32"/>
  <c r="CB116" i="32"/>
  <c r="BI116" i="32"/>
  <c r="B116" i="32"/>
  <c r="BH117" i="32"/>
  <c r="BZ117" i="32"/>
  <c r="CA117" i="32"/>
  <c r="CB117" i="32"/>
  <c r="BI117" i="32"/>
  <c r="B117" i="32"/>
  <c r="BH118" i="32"/>
  <c r="BZ118" i="32"/>
  <c r="CA118" i="32"/>
  <c r="CB118" i="32"/>
  <c r="BI118" i="32"/>
  <c r="B118" i="32"/>
  <c r="BH119" i="32"/>
  <c r="BZ119" i="32"/>
  <c r="CA119" i="32"/>
  <c r="CB119" i="32"/>
  <c r="BI119" i="32"/>
  <c r="B119" i="32"/>
  <c r="BH120" i="32"/>
  <c r="BZ120" i="32"/>
  <c r="CA120" i="32"/>
  <c r="CB120" i="32"/>
  <c r="BI120" i="32"/>
  <c r="B120" i="32"/>
  <c r="BH121" i="32"/>
  <c r="BZ121" i="32"/>
  <c r="CA121" i="32"/>
  <c r="CB121" i="32"/>
  <c r="BI121" i="32"/>
  <c r="B121" i="32"/>
  <c r="BH122" i="32"/>
  <c r="BZ122" i="32"/>
  <c r="CA122" i="32"/>
  <c r="CB122" i="32"/>
  <c r="BI122" i="32"/>
  <c r="B122" i="32"/>
  <c r="BH123" i="32"/>
  <c r="BZ123" i="32"/>
  <c r="CA123" i="32"/>
  <c r="CB123" i="32"/>
  <c r="BI123" i="32"/>
  <c r="B123" i="32"/>
  <c r="BH124" i="32"/>
  <c r="BZ124" i="32"/>
  <c r="CA124" i="32"/>
  <c r="CB124" i="32"/>
  <c r="BI124" i="32"/>
  <c r="B124" i="32"/>
  <c r="BH125" i="32"/>
  <c r="BZ125" i="32"/>
  <c r="CA125" i="32"/>
  <c r="CB125" i="32"/>
  <c r="BI125" i="32"/>
  <c r="B125" i="32"/>
  <c r="BH126" i="32"/>
  <c r="BZ126" i="32"/>
  <c r="CA126" i="32"/>
  <c r="CB126" i="32"/>
  <c r="BI126" i="32"/>
  <c r="B126" i="32"/>
  <c r="BH127" i="32"/>
  <c r="BZ127" i="32"/>
  <c r="CA127" i="32"/>
  <c r="CB127" i="32"/>
  <c r="BI127" i="32"/>
  <c r="B127" i="32"/>
  <c r="BH128" i="32"/>
  <c r="BZ128" i="32"/>
  <c r="CA128" i="32"/>
  <c r="CB128" i="32"/>
  <c r="BI128" i="32"/>
  <c r="B128" i="32"/>
  <c r="BH129" i="32"/>
  <c r="BZ129" i="32"/>
  <c r="CA129" i="32"/>
  <c r="CB129" i="32"/>
  <c r="BI129" i="32"/>
  <c r="B129" i="32"/>
  <c r="BH130" i="32"/>
  <c r="BZ130" i="32"/>
  <c r="CA130" i="32"/>
  <c r="CB130" i="32"/>
  <c r="BI130" i="32"/>
  <c r="B130" i="32"/>
  <c r="BH131" i="32"/>
  <c r="BZ131" i="32"/>
  <c r="CA131" i="32"/>
  <c r="CB131" i="32"/>
  <c r="BI131" i="32"/>
  <c r="B131" i="32"/>
  <c r="BH132" i="32"/>
  <c r="BZ132" i="32"/>
  <c r="CA132" i="32"/>
  <c r="CB132" i="32"/>
  <c r="BI132" i="32"/>
  <c r="B132" i="32"/>
  <c r="BH133" i="32"/>
  <c r="BZ133" i="32"/>
  <c r="CA133" i="32"/>
  <c r="CB133" i="32"/>
  <c r="BI133" i="32"/>
  <c r="B133" i="32"/>
  <c r="BH134" i="32"/>
  <c r="BZ134" i="32"/>
  <c r="CA134" i="32"/>
  <c r="CB134" i="32"/>
  <c r="BI134" i="32"/>
  <c r="B134" i="32"/>
  <c r="BH135" i="32"/>
  <c r="BZ135" i="32"/>
  <c r="CA135" i="32"/>
  <c r="CB135" i="32"/>
  <c r="BI135" i="32"/>
  <c r="B135" i="32"/>
  <c r="BH136" i="32"/>
  <c r="BZ136" i="32"/>
  <c r="CA136" i="32"/>
  <c r="CB136" i="32"/>
  <c r="BI136" i="32"/>
  <c r="B136" i="32"/>
  <c r="BH137" i="32"/>
  <c r="BZ137" i="32"/>
  <c r="CA137" i="32"/>
  <c r="CB137" i="32"/>
  <c r="BI137" i="32"/>
  <c r="B137" i="32"/>
  <c r="BH138" i="32"/>
  <c r="BZ138" i="32"/>
  <c r="CA138" i="32"/>
  <c r="CB138" i="32"/>
  <c r="BI138" i="32"/>
  <c r="B138" i="32"/>
  <c r="BH139" i="32"/>
  <c r="BZ139" i="32"/>
  <c r="CA139" i="32"/>
  <c r="CB139" i="32"/>
  <c r="BI139" i="32"/>
  <c r="B139" i="32"/>
  <c r="BH140" i="32"/>
  <c r="BZ140" i="32"/>
  <c r="CA140" i="32"/>
  <c r="CB140" i="32"/>
  <c r="BI140" i="32"/>
  <c r="B140" i="32"/>
  <c r="BH141" i="32"/>
  <c r="BZ141" i="32"/>
  <c r="CA141" i="32"/>
  <c r="CB141" i="32"/>
  <c r="BI141" i="32"/>
  <c r="B141" i="32"/>
  <c r="BH142" i="32"/>
  <c r="BZ142" i="32"/>
  <c r="CA142" i="32"/>
  <c r="CB142" i="32"/>
  <c r="BI142" i="32"/>
  <c r="B142" i="32"/>
  <c r="BH143" i="32"/>
  <c r="BZ143" i="32"/>
  <c r="CA143" i="32"/>
  <c r="CB143" i="32"/>
  <c r="BI143" i="32"/>
  <c r="B143" i="32"/>
  <c r="BH144" i="32"/>
  <c r="BZ144" i="32"/>
  <c r="CA144" i="32"/>
  <c r="CB144" i="32"/>
  <c r="BI144" i="32"/>
  <c r="B144" i="32"/>
  <c r="BH145" i="32"/>
  <c r="BZ145" i="32"/>
  <c r="CA145" i="32"/>
  <c r="CB145" i="32"/>
  <c r="BI145" i="32"/>
  <c r="B145" i="32"/>
  <c r="BH146" i="32"/>
  <c r="BZ146" i="32"/>
  <c r="CA146" i="32"/>
  <c r="CB146" i="32"/>
  <c r="BI146" i="32"/>
  <c r="B146" i="32"/>
  <c r="BH147" i="32"/>
  <c r="BZ147" i="32"/>
  <c r="CA147" i="32"/>
  <c r="CB147" i="32"/>
  <c r="BI147" i="32"/>
  <c r="B147" i="32"/>
  <c r="BH148" i="32"/>
  <c r="BZ148" i="32"/>
  <c r="CA148" i="32"/>
  <c r="CB148" i="32"/>
  <c r="BI148" i="32"/>
  <c r="B148" i="32"/>
  <c r="BH149" i="32"/>
  <c r="BZ149" i="32"/>
  <c r="CA149" i="32"/>
  <c r="CB149" i="32"/>
  <c r="BI149" i="32"/>
  <c r="B149" i="32"/>
  <c r="BH150" i="32"/>
  <c r="BZ150" i="32"/>
  <c r="CA150" i="32"/>
  <c r="CB150" i="32"/>
  <c r="BI150" i="32"/>
  <c r="B150" i="32"/>
  <c r="BH151" i="32"/>
  <c r="BZ151" i="32"/>
  <c r="CA151" i="32"/>
  <c r="CB151" i="32"/>
  <c r="BI151" i="32"/>
  <c r="B151" i="32"/>
  <c r="BH152" i="32"/>
  <c r="BZ152" i="32"/>
  <c r="CA152" i="32"/>
  <c r="CB152" i="32"/>
  <c r="BI152" i="32"/>
  <c r="B152" i="32"/>
  <c r="BH153" i="32"/>
  <c r="BZ153" i="32"/>
  <c r="CA153" i="32"/>
  <c r="CB153" i="32"/>
  <c r="BI153" i="32"/>
  <c r="B153" i="32"/>
  <c r="BH154" i="32"/>
  <c r="BZ154" i="32"/>
  <c r="CA154" i="32"/>
  <c r="CB154" i="32"/>
  <c r="BI154" i="32"/>
  <c r="B154" i="32"/>
  <c r="BH155" i="32"/>
  <c r="BZ155" i="32"/>
  <c r="CA155" i="32"/>
  <c r="CB155" i="32"/>
  <c r="BI155" i="32"/>
  <c r="B155" i="32"/>
  <c r="BH156" i="32"/>
  <c r="BZ156" i="32"/>
  <c r="CA156" i="32"/>
  <c r="CB156" i="32"/>
  <c r="BI156" i="32"/>
  <c r="B156" i="32"/>
  <c r="BH157" i="32"/>
  <c r="BZ157" i="32"/>
  <c r="CA157" i="32"/>
  <c r="CB157" i="32"/>
  <c r="BI157" i="32"/>
  <c r="B157" i="32"/>
  <c r="BH158" i="32"/>
  <c r="BZ158" i="32"/>
  <c r="CA158" i="32"/>
  <c r="CB158" i="32"/>
  <c r="BI158" i="32"/>
  <c r="B158" i="32"/>
  <c r="BH159" i="32"/>
  <c r="BZ159" i="32"/>
  <c r="CA159" i="32"/>
  <c r="CB159" i="32"/>
  <c r="BI159" i="32"/>
  <c r="B159" i="32"/>
  <c r="BH160" i="32"/>
  <c r="BZ160" i="32"/>
  <c r="CA160" i="32"/>
  <c r="CB160" i="32"/>
  <c r="BI160" i="32"/>
  <c r="B160" i="32"/>
  <c r="BH161" i="32"/>
  <c r="BZ161" i="32"/>
  <c r="CA161" i="32"/>
  <c r="CB161" i="32"/>
  <c r="BI161" i="32"/>
  <c r="B161" i="32"/>
  <c r="BH162" i="32"/>
  <c r="BZ162" i="32"/>
  <c r="CA162" i="32"/>
  <c r="CB162" i="32"/>
  <c r="BI162" i="32"/>
  <c r="B162" i="32"/>
  <c r="BH163" i="32"/>
  <c r="BZ163" i="32"/>
  <c r="CA163" i="32"/>
  <c r="CB163" i="32"/>
  <c r="BI163" i="32"/>
  <c r="B163" i="32"/>
  <c r="BH164" i="32"/>
  <c r="BZ164" i="32"/>
  <c r="CA164" i="32"/>
  <c r="CB164" i="32"/>
  <c r="BI164" i="32"/>
  <c r="B164" i="32"/>
  <c r="BH165" i="32"/>
  <c r="BZ165" i="32"/>
  <c r="CA165" i="32"/>
  <c r="CB165" i="32"/>
  <c r="BI165" i="32"/>
  <c r="B165" i="32"/>
  <c r="BH166" i="32"/>
  <c r="BZ166" i="32"/>
  <c r="CA166" i="32"/>
  <c r="CB166" i="32"/>
  <c r="BI166" i="32"/>
  <c r="B166" i="32"/>
  <c r="BH167" i="32"/>
  <c r="BZ167" i="32"/>
  <c r="CA167" i="32"/>
  <c r="CB167" i="32"/>
  <c r="BI167" i="32"/>
  <c r="B167" i="32"/>
  <c r="BH168" i="32"/>
  <c r="BZ168" i="32"/>
  <c r="CA168" i="32"/>
  <c r="CB168" i="32"/>
  <c r="BI168" i="32"/>
  <c r="B168" i="32"/>
  <c r="BH169" i="32"/>
  <c r="BZ169" i="32"/>
  <c r="CA169" i="32"/>
  <c r="CB169" i="32"/>
  <c r="BI169" i="32"/>
  <c r="B169" i="32"/>
  <c r="BH170" i="32"/>
  <c r="BZ170" i="32"/>
  <c r="CA170" i="32"/>
  <c r="CB170" i="32"/>
  <c r="BI170" i="32"/>
  <c r="B170" i="32"/>
  <c r="BH171" i="32"/>
  <c r="BZ171" i="32"/>
  <c r="CA171" i="32"/>
  <c r="CB171" i="32"/>
  <c r="BI171" i="32"/>
  <c r="B171" i="32"/>
  <c r="BH172" i="32"/>
  <c r="BZ172" i="32"/>
  <c r="CA172" i="32"/>
  <c r="CB172" i="32"/>
  <c r="BI172" i="32"/>
  <c r="B172" i="32"/>
  <c r="BH173" i="32"/>
  <c r="BZ173" i="32"/>
  <c r="CA173" i="32"/>
  <c r="CB173" i="32"/>
  <c r="BI173" i="32"/>
  <c r="B173" i="32"/>
  <c r="BH174" i="32"/>
  <c r="BZ174" i="32"/>
  <c r="CA174" i="32"/>
  <c r="CB174" i="32"/>
  <c r="BI174" i="32"/>
  <c r="B174" i="32"/>
  <c r="BH175" i="32"/>
  <c r="BZ175" i="32"/>
  <c r="CA175" i="32"/>
  <c r="CB175" i="32"/>
  <c r="BI175" i="32"/>
  <c r="B175" i="32"/>
  <c r="BH176" i="32"/>
  <c r="BZ176" i="32"/>
  <c r="CA176" i="32"/>
  <c r="CB176" i="32"/>
  <c r="BI176" i="32"/>
  <c r="B176" i="32"/>
  <c r="BH177" i="32"/>
  <c r="BZ177" i="32"/>
  <c r="CA177" i="32"/>
  <c r="CB177" i="32"/>
  <c r="BI177" i="32"/>
  <c r="B177" i="32"/>
  <c r="BH178" i="32"/>
  <c r="BZ178" i="32"/>
  <c r="CA178" i="32"/>
  <c r="CB178" i="32"/>
  <c r="BI178" i="32"/>
  <c r="B178" i="32"/>
  <c r="BH179" i="32"/>
  <c r="BZ179" i="32"/>
  <c r="CA179" i="32"/>
  <c r="CB179" i="32"/>
  <c r="BI179" i="32"/>
  <c r="B179" i="32"/>
  <c r="BH180" i="32"/>
  <c r="BZ180" i="32"/>
  <c r="CA180" i="32"/>
  <c r="CB180" i="32"/>
  <c r="BI180" i="32"/>
  <c r="B180" i="32"/>
  <c r="BH181" i="32"/>
  <c r="BZ181" i="32"/>
  <c r="CA181" i="32"/>
  <c r="CB181" i="32"/>
  <c r="BI181" i="32"/>
  <c r="B181" i="32"/>
  <c r="BH182" i="32"/>
  <c r="BZ182" i="32"/>
  <c r="CA182" i="32"/>
  <c r="CB182" i="32"/>
  <c r="BI182" i="32"/>
  <c r="B182" i="32"/>
  <c r="BH183" i="32"/>
  <c r="BZ183" i="32"/>
  <c r="CA183" i="32"/>
  <c r="CB183" i="32"/>
  <c r="BI183" i="32"/>
  <c r="B183" i="32"/>
  <c r="BH184" i="32"/>
  <c r="BZ184" i="32"/>
  <c r="CA184" i="32"/>
  <c r="CB184" i="32"/>
  <c r="BI184" i="32"/>
  <c r="B184" i="32"/>
  <c r="BH185" i="32"/>
  <c r="BZ185" i="32"/>
  <c r="CA185" i="32"/>
  <c r="CB185" i="32"/>
  <c r="BI185" i="32"/>
  <c r="B185" i="32"/>
  <c r="BH186" i="32"/>
  <c r="BZ186" i="32"/>
  <c r="CA186" i="32"/>
  <c r="CB186" i="32"/>
  <c r="BI186" i="32"/>
  <c r="B186" i="32"/>
  <c r="BH187" i="32"/>
  <c r="BZ187" i="32"/>
  <c r="CA187" i="32"/>
  <c r="CB187" i="32"/>
  <c r="BI187" i="32"/>
  <c r="B187" i="32"/>
  <c r="BH188" i="32"/>
  <c r="BZ188" i="32"/>
  <c r="CA188" i="32"/>
  <c r="CB188" i="32"/>
  <c r="BI188" i="32"/>
  <c r="B188" i="32"/>
  <c r="BH189" i="32"/>
  <c r="BZ189" i="32"/>
  <c r="CA189" i="32"/>
  <c r="CB189" i="32"/>
  <c r="BI189" i="32"/>
  <c r="B189" i="32"/>
  <c r="BH190" i="32"/>
  <c r="BZ190" i="32"/>
  <c r="CA190" i="32"/>
  <c r="CB190" i="32"/>
  <c r="BI190" i="32"/>
  <c r="B190" i="32"/>
  <c r="BH191" i="32"/>
  <c r="BZ191" i="32"/>
  <c r="CA191" i="32"/>
  <c r="CB191" i="32"/>
  <c r="BI191" i="32"/>
  <c r="B191" i="32"/>
  <c r="BH192" i="32"/>
  <c r="BZ192" i="32"/>
  <c r="CA192" i="32"/>
  <c r="CB192" i="32"/>
  <c r="BI192" i="32"/>
  <c r="B192" i="32"/>
  <c r="BH193" i="32"/>
  <c r="BZ193" i="32"/>
  <c r="CA193" i="32"/>
  <c r="CB193" i="32"/>
  <c r="BI193" i="32"/>
  <c r="B193" i="32"/>
  <c r="BH194" i="32"/>
  <c r="BZ194" i="32"/>
  <c r="CA194" i="32"/>
  <c r="CB194" i="32"/>
  <c r="BI194" i="32"/>
  <c r="B194" i="32"/>
  <c r="BH195" i="32"/>
  <c r="BZ195" i="32"/>
  <c r="CA195" i="32"/>
  <c r="CB195" i="32"/>
  <c r="BI195" i="32"/>
  <c r="B195" i="32"/>
  <c r="BH196" i="32"/>
  <c r="BZ196" i="32"/>
  <c r="CA196" i="32"/>
  <c r="CB196" i="32"/>
  <c r="BI196" i="32"/>
  <c r="B196" i="32"/>
  <c r="BH197" i="32"/>
  <c r="BZ197" i="32"/>
  <c r="CA197" i="32"/>
  <c r="CB197" i="32"/>
  <c r="BI197" i="32"/>
  <c r="B197" i="32"/>
  <c r="BH198" i="32"/>
  <c r="BZ198" i="32"/>
  <c r="CA198" i="32"/>
  <c r="CB198" i="32"/>
  <c r="BI198" i="32"/>
  <c r="B198" i="32"/>
  <c r="BH199" i="32"/>
  <c r="BZ199" i="32"/>
  <c r="CA199" i="32"/>
  <c r="CB199" i="32"/>
  <c r="BI199" i="32"/>
  <c r="B199" i="32"/>
  <c r="BH200" i="32"/>
  <c r="BZ200" i="32"/>
  <c r="CA200" i="32"/>
  <c r="CB200" i="32"/>
  <c r="BI200" i="32"/>
  <c r="B200" i="32"/>
  <c r="BH201" i="32"/>
  <c r="BZ201" i="32"/>
  <c r="CA201" i="32"/>
  <c r="CB201" i="32"/>
  <c r="BI201" i="32"/>
  <c r="B201" i="32"/>
  <c r="BH202" i="32"/>
  <c r="BZ202" i="32"/>
  <c r="CA202" i="32"/>
  <c r="CB202" i="32"/>
  <c r="BI202" i="32"/>
  <c r="B202" i="32"/>
  <c r="BH203" i="32"/>
  <c r="BZ203" i="32"/>
  <c r="CA203" i="32"/>
  <c r="CB203" i="32"/>
  <c r="BI203" i="32"/>
  <c r="B203" i="32"/>
  <c r="BH204" i="32"/>
  <c r="BZ204" i="32"/>
  <c r="CA204" i="32"/>
  <c r="CB204" i="32"/>
  <c r="BI204" i="32"/>
  <c r="B204" i="32"/>
  <c r="BH205" i="32"/>
  <c r="BZ205" i="32"/>
  <c r="CA205" i="32"/>
  <c r="CB205" i="32"/>
  <c r="BI205" i="32"/>
  <c r="B205" i="32"/>
  <c r="BH206" i="32"/>
  <c r="BZ206" i="32"/>
  <c r="CA206" i="32"/>
  <c r="CB206" i="32"/>
  <c r="BI206" i="32"/>
  <c r="B206" i="32"/>
  <c r="BH207" i="32"/>
  <c r="BZ207" i="32"/>
  <c r="CA207" i="32"/>
  <c r="CB207" i="32"/>
  <c r="BI207" i="32"/>
  <c r="B207" i="32"/>
  <c r="BH208" i="32"/>
  <c r="BZ208" i="32"/>
  <c r="CA208" i="32"/>
  <c r="CB208" i="32"/>
  <c r="BI208" i="32"/>
  <c r="B208" i="32"/>
  <c r="BH209" i="32"/>
  <c r="BZ209" i="32"/>
  <c r="CA209" i="32"/>
  <c r="CB209" i="32"/>
  <c r="BI209" i="32"/>
  <c r="B209" i="32"/>
  <c r="BH210" i="32"/>
  <c r="BZ210" i="32"/>
  <c r="CA210" i="32"/>
  <c r="CB210" i="32"/>
  <c r="BI210" i="32"/>
  <c r="B210" i="32"/>
  <c r="BH211" i="32"/>
  <c r="BZ211" i="32"/>
  <c r="CA211" i="32"/>
  <c r="CB211" i="32"/>
  <c r="BI211" i="32"/>
  <c r="B211" i="32"/>
  <c r="BH212" i="32"/>
  <c r="BZ212" i="32"/>
  <c r="CA212" i="32"/>
  <c r="CB212" i="32"/>
  <c r="BI212" i="32"/>
  <c r="B212" i="32"/>
  <c r="BH213" i="32"/>
  <c r="BZ213" i="32"/>
  <c r="CA213" i="32"/>
  <c r="CB213" i="32"/>
  <c r="BI213" i="32"/>
  <c r="B213" i="32"/>
  <c r="BH214" i="32"/>
  <c r="BZ214" i="32"/>
  <c r="CA214" i="32"/>
  <c r="CB214" i="32"/>
  <c r="BI214" i="32"/>
  <c r="B214" i="32"/>
  <c r="BH215" i="32"/>
  <c r="BZ215" i="32"/>
  <c r="CA215" i="32"/>
  <c r="CB215" i="32"/>
  <c r="BI215" i="32"/>
  <c r="B215" i="32"/>
  <c r="BH216" i="32"/>
  <c r="BZ216" i="32"/>
  <c r="CA216" i="32"/>
  <c r="CB216" i="32"/>
  <c r="BI216" i="32"/>
  <c r="B216" i="32"/>
  <c r="BH217" i="32"/>
  <c r="BZ217" i="32"/>
  <c r="CA217" i="32"/>
  <c r="CB217" i="32"/>
  <c r="BI217" i="32"/>
  <c r="B217" i="32"/>
  <c r="BH218" i="32"/>
  <c r="BZ218" i="32"/>
  <c r="CA218" i="32"/>
  <c r="CB218" i="32"/>
  <c r="BI218" i="32"/>
  <c r="B218" i="32"/>
  <c r="BH219" i="32"/>
  <c r="BZ219" i="32"/>
  <c r="CA219" i="32"/>
  <c r="CB219" i="32"/>
  <c r="BI219" i="32"/>
  <c r="B219" i="32"/>
  <c r="BH220" i="32"/>
  <c r="BZ220" i="32"/>
  <c r="CA220" i="32"/>
  <c r="CB220" i="32"/>
  <c r="BI220" i="32"/>
  <c r="B220" i="32"/>
  <c r="BH221" i="32"/>
  <c r="BZ221" i="32"/>
  <c r="CA221" i="32"/>
  <c r="CB221" i="32"/>
  <c r="BI221" i="32"/>
  <c r="B221" i="32"/>
  <c r="BH222" i="32"/>
  <c r="BZ222" i="32"/>
  <c r="CA222" i="32"/>
  <c r="CB222" i="32"/>
  <c r="BI222" i="32"/>
  <c r="B222" i="32"/>
  <c r="BH223" i="32"/>
  <c r="BZ223" i="32"/>
  <c r="CA223" i="32"/>
  <c r="CB223" i="32"/>
  <c r="BI223" i="32"/>
  <c r="B223" i="32"/>
  <c r="BH224" i="32"/>
  <c r="BZ224" i="32"/>
  <c r="CA224" i="32"/>
  <c r="CB224" i="32"/>
  <c r="BI224" i="32"/>
  <c r="B224" i="32"/>
  <c r="BH225" i="32"/>
  <c r="BZ225" i="32"/>
  <c r="CA225" i="32"/>
  <c r="CB225" i="32"/>
  <c r="BI225" i="32"/>
  <c r="B225" i="32"/>
  <c r="BH226" i="32"/>
  <c r="BZ226" i="32"/>
  <c r="CA226" i="32"/>
  <c r="CB226" i="32"/>
  <c r="BI226" i="32"/>
  <c r="B226" i="32"/>
  <c r="BH227" i="32"/>
  <c r="BZ227" i="32"/>
  <c r="CA227" i="32"/>
  <c r="CB227" i="32"/>
  <c r="BI227" i="32"/>
  <c r="B227" i="32"/>
  <c r="BH228" i="32"/>
  <c r="BZ228" i="32"/>
  <c r="CA228" i="32"/>
  <c r="CB228" i="32"/>
  <c r="BI228" i="32"/>
  <c r="B228" i="32"/>
  <c r="BH229" i="32"/>
  <c r="BZ229" i="32"/>
  <c r="CA229" i="32"/>
  <c r="CB229" i="32"/>
  <c r="BI229" i="32"/>
  <c r="B229" i="32"/>
  <c r="BH230" i="32"/>
  <c r="BZ230" i="32"/>
  <c r="CA230" i="32"/>
  <c r="CB230" i="32"/>
  <c r="BI230" i="32"/>
  <c r="B230" i="32"/>
  <c r="BH231" i="32"/>
  <c r="BZ231" i="32"/>
  <c r="CA231" i="32"/>
  <c r="CB231" i="32"/>
  <c r="BI231" i="32"/>
  <c r="B231" i="32"/>
  <c r="BH232" i="32"/>
  <c r="BZ232" i="32"/>
  <c r="CA232" i="32"/>
  <c r="CB232" i="32"/>
  <c r="BI232" i="32"/>
  <c r="B232" i="32"/>
  <c r="BH233" i="32"/>
  <c r="BZ233" i="32"/>
  <c r="CA233" i="32"/>
  <c r="CB233" i="32"/>
  <c r="BI233" i="32"/>
  <c r="B233" i="32"/>
  <c r="BH234" i="32"/>
  <c r="BZ234" i="32"/>
  <c r="CA234" i="32"/>
  <c r="CB234" i="32"/>
  <c r="BI234" i="32"/>
  <c r="B234" i="32"/>
  <c r="BH235" i="32"/>
  <c r="BZ235" i="32"/>
  <c r="CA235" i="32"/>
  <c r="CB235" i="32"/>
  <c r="BI235" i="32"/>
  <c r="B235" i="32"/>
  <c r="BH236" i="32"/>
  <c r="BZ236" i="32"/>
  <c r="CA236" i="32"/>
  <c r="CB236" i="32"/>
  <c r="BI236" i="32"/>
  <c r="B236" i="32"/>
  <c r="BH237" i="32"/>
  <c r="BZ237" i="32"/>
  <c r="CA237" i="32"/>
  <c r="CB237" i="32"/>
  <c r="BI237" i="32"/>
  <c r="B237" i="32"/>
  <c r="BH238" i="32"/>
  <c r="BZ238" i="32"/>
  <c r="CA238" i="32"/>
  <c r="CB238" i="32"/>
  <c r="BI238" i="32"/>
  <c r="B238" i="32"/>
  <c r="BH239" i="32"/>
  <c r="BZ239" i="32"/>
  <c r="CA239" i="32"/>
  <c r="CB239" i="32"/>
  <c r="BI239" i="32"/>
  <c r="B239" i="32"/>
  <c r="BH240" i="32"/>
  <c r="BZ240" i="32"/>
  <c r="CA240" i="32"/>
  <c r="CB240" i="32"/>
  <c r="BI240" i="32"/>
  <c r="B240" i="32"/>
  <c r="BH241" i="32"/>
  <c r="BZ241" i="32"/>
  <c r="CA241" i="32"/>
  <c r="CB241" i="32"/>
  <c r="BI241" i="32"/>
  <c r="B241" i="32"/>
  <c r="BH242" i="32"/>
  <c r="BZ242" i="32"/>
  <c r="CA242" i="32"/>
  <c r="CB242" i="32"/>
  <c r="BI242" i="32"/>
  <c r="B242" i="32"/>
  <c r="BH243" i="32"/>
  <c r="BZ243" i="32"/>
  <c r="CA243" i="32"/>
  <c r="CB243" i="32"/>
  <c r="BI243" i="32"/>
  <c r="B243" i="32"/>
  <c r="BH244" i="32"/>
  <c r="BZ244" i="32"/>
  <c r="CA244" i="32"/>
  <c r="CB244" i="32"/>
  <c r="BI244" i="32"/>
  <c r="B244" i="32"/>
  <c r="BH245" i="32"/>
  <c r="BZ245" i="32"/>
  <c r="CA245" i="32"/>
  <c r="CB245" i="32"/>
  <c r="BI245" i="32"/>
  <c r="B245" i="32"/>
  <c r="BH246" i="32"/>
  <c r="BZ246" i="32"/>
  <c r="CA246" i="32"/>
  <c r="CB246" i="32"/>
  <c r="BI246" i="32"/>
  <c r="B246" i="32"/>
  <c r="BH247" i="32"/>
  <c r="BZ247" i="32"/>
  <c r="CA247" i="32"/>
  <c r="CB247" i="32"/>
  <c r="BI247" i="32"/>
  <c r="B247" i="32"/>
  <c r="BH248" i="32"/>
  <c r="BZ248" i="32"/>
  <c r="CA248" i="32"/>
  <c r="CB248" i="32"/>
  <c r="BI248" i="32"/>
  <c r="B248" i="32"/>
  <c r="BH249" i="32"/>
  <c r="BZ249" i="32"/>
  <c r="CA249" i="32"/>
  <c r="CB249" i="32"/>
  <c r="BI249" i="32"/>
  <c r="B249" i="32"/>
  <c r="BH250" i="32"/>
  <c r="BZ250" i="32"/>
  <c r="CA250" i="32"/>
  <c r="CB250" i="32"/>
  <c r="BI250" i="32"/>
  <c r="B250" i="32"/>
  <c r="BH251" i="32"/>
  <c r="BZ251" i="32"/>
  <c r="CA251" i="32"/>
  <c r="CB251" i="32"/>
  <c r="BI251" i="32"/>
  <c r="B251" i="32"/>
  <c r="BH252" i="32"/>
  <c r="BZ252" i="32"/>
  <c r="CA252" i="32"/>
  <c r="CB252" i="32"/>
  <c r="BI252" i="32"/>
  <c r="B252" i="32"/>
  <c r="BH253" i="32"/>
  <c r="BZ253" i="32"/>
  <c r="CA253" i="32"/>
  <c r="CB253" i="32"/>
  <c r="BI253" i="32"/>
  <c r="B253" i="32"/>
  <c r="BH254" i="32"/>
  <c r="BZ254" i="32"/>
  <c r="CA254" i="32"/>
  <c r="CB254" i="32"/>
  <c r="BI254" i="32"/>
  <c r="B254" i="32"/>
  <c r="BH255" i="32"/>
  <c r="BZ255" i="32"/>
  <c r="CA255" i="32"/>
  <c r="CB255" i="32"/>
  <c r="BI255" i="32"/>
  <c r="B255" i="32"/>
  <c r="BH256" i="32"/>
  <c r="BZ256" i="32"/>
  <c r="CA256" i="32"/>
  <c r="CB256" i="32"/>
  <c r="BI256" i="32"/>
  <c r="B256" i="32"/>
  <c r="BH257" i="32"/>
  <c r="BZ257" i="32"/>
  <c r="CA257" i="32"/>
  <c r="CB257" i="32"/>
  <c r="BI257" i="32"/>
  <c r="B257" i="32"/>
  <c r="BH258" i="32"/>
  <c r="BZ258" i="32"/>
  <c r="CA258" i="32"/>
  <c r="CB258" i="32"/>
  <c r="BI258" i="32"/>
  <c r="B258" i="32"/>
  <c r="BH259" i="32"/>
  <c r="BZ259" i="32"/>
  <c r="CA259" i="32"/>
  <c r="CB259" i="32"/>
  <c r="BI259" i="32"/>
  <c r="B259" i="32"/>
  <c r="BH260" i="32"/>
  <c r="BZ260" i="32"/>
  <c r="CA260" i="32"/>
  <c r="CB260" i="32"/>
  <c r="BI260" i="32"/>
  <c r="B260" i="32"/>
  <c r="BH261" i="32"/>
  <c r="BZ261" i="32"/>
  <c r="CA261" i="32"/>
  <c r="CB261" i="32"/>
  <c r="BI261" i="32"/>
  <c r="B261" i="32"/>
  <c r="BH262" i="32"/>
  <c r="BZ262" i="32"/>
  <c r="CA262" i="32"/>
  <c r="CB262" i="32"/>
  <c r="BI262" i="32"/>
  <c r="B262" i="32"/>
  <c r="BH263" i="32"/>
  <c r="BZ263" i="32"/>
  <c r="CA263" i="32"/>
  <c r="CB263" i="32"/>
  <c r="BI263" i="32"/>
  <c r="B263" i="32"/>
  <c r="BH264" i="32"/>
  <c r="BZ264" i="32"/>
  <c r="CA264" i="32"/>
  <c r="CB264" i="32"/>
  <c r="BI264" i="32"/>
  <c r="B264" i="32"/>
  <c r="BH265" i="32"/>
  <c r="BZ265" i="32"/>
  <c r="CA265" i="32"/>
  <c r="CB265" i="32"/>
  <c r="BI265" i="32"/>
  <c r="B265" i="32"/>
  <c r="BH266" i="32"/>
  <c r="BZ266" i="32"/>
  <c r="CA266" i="32"/>
  <c r="CB266" i="32"/>
  <c r="BI266" i="32"/>
  <c r="B266" i="32"/>
  <c r="BH267" i="32"/>
  <c r="BZ267" i="32"/>
  <c r="CA267" i="32"/>
  <c r="CB267" i="32"/>
  <c r="BI267" i="32"/>
  <c r="B267" i="32"/>
  <c r="BH268" i="32"/>
  <c r="BZ268" i="32"/>
  <c r="CA268" i="32"/>
  <c r="CB268" i="32"/>
  <c r="BI268" i="32"/>
  <c r="B268" i="32"/>
  <c r="BH269" i="32"/>
  <c r="BZ269" i="32"/>
  <c r="CA269" i="32"/>
  <c r="CB269" i="32"/>
  <c r="BI269" i="32"/>
  <c r="B269" i="32"/>
  <c r="BH270" i="32"/>
  <c r="BZ270" i="32"/>
  <c r="CA270" i="32"/>
  <c r="CB270" i="32"/>
  <c r="BI270" i="32"/>
  <c r="B270" i="32"/>
  <c r="BH271" i="32"/>
  <c r="BZ271" i="32"/>
  <c r="CA271" i="32"/>
  <c r="CB271" i="32"/>
  <c r="BI271" i="32"/>
  <c r="B271" i="32"/>
  <c r="BH272" i="32"/>
  <c r="BZ272" i="32"/>
  <c r="CA272" i="32"/>
  <c r="CB272" i="32"/>
  <c r="BI272" i="32"/>
  <c r="B272" i="32"/>
  <c r="BH273" i="32"/>
  <c r="BZ273" i="32"/>
  <c r="CA273" i="32"/>
  <c r="CB273" i="32"/>
  <c r="BI273" i="32"/>
  <c r="B273" i="32"/>
  <c r="BH274" i="32"/>
  <c r="BZ274" i="32"/>
  <c r="CA274" i="32"/>
  <c r="CB274" i="32"/>
  <c r="BI274" i="32"/>
  <c r="B274" i="32"/>
  <c r="BH275" i="32"/>
  <c r="BZ275" i="32"/>
  <c r="CA275" i="32"/>
  <c r="CB275" i="32"/>
  <c r="BI275" i="32"/>
  <c r="B275" i="32"/>
  <c r="BH276" i="32"/>
  <c r="BZ276" i="32"/>
  <c r="CA276" i="32"/>
  <c r="CB276" i="32"/>
  <c r="BI276" i="32"/>
  <c r="B276" i="32"/>
  <c r="BH277" i="32"/>
  <c r="BZ277" i="32"/>
  <c r="CA277" i="32"/>
  <c r="CB277" i="32"/>
  <c r="BI277" i="32"/>
  <c r="B277" i="32"/>
  <c r="BH278" i="32"/>
  <c r="BZ278" i="32"/>
  <c r="CA278" i="32"/>
  <c r="CB278" i="32"/>
  <c r="BI278" i="32"/>
  <c r="B278" i="32"/>
  <c r="BH279" i="32"/>
  <c r="BZ279" i="32"/>
  <c r="CA279" i="32"/>
  <c r="CB279" i="32"/>
  <c r="BI279" i="32"/>
  <c r="B279" i="32"/>
  <c r="BH280" i="32"/>
  <c r="BZ280" i="32"/>
  <c r="CA280" i="32"/>
  <c r="CB280" i="32"/>
  <c r="BI280" i="32"/>
  <c r="B280" i="32"/>
  <c r="BH281" i="32"/>
  <c r="BZ281" i="32"/>
  <c r="CA281" i="32"/>
  <c r="CB281" i="32"/>
  <c r="BI281" i="32"/>
  <c r="B281" i="32"/>
  <c r="BH282" i="32"/>
  <c r="BZ282" i="32"/>
  <c r="CA282" i="32"/>
  <c r="CB282" i="32"/>
  <c r="BI282" i="32"/>
  <c r="B282" i="32"/>
  <c r="BH283" i="32"/>
  <c r="BZ283" i="32"/>
  <c r="CA283" i="32"/>
  <c r="CB283" i="32"/>
  <c r="BI283" i="32"/>
  <c r="B283" i="32"/>
  <c r="BH284" i="32"/>
  <c r="BZ284" i="32"/>
  <c r="CA284" i="32"/>
  <c r="CB284" i="32"/>
  <c r="BI284" i="32"/>
  <c r="B284" i="32"/>
  <c r="BH285" i="32"/>
  <c r="BZ285" i="32"/>
  <c r="CA285" i="32"/>
  <c r="CB285" i="32"/>
  <c r="BI285" i="32"/>
  <c r="B285" i="32"/>
  <c r="BH286" i="32"/>
  <c r="BZ286" i="32"/>
  <c r="CA286" i="32"/>
  <c r="CB286" i="32"/>
  <c r="BI286" i="32"/>
  <c r="B286" i="32"/>
  <c r="BH287" i="32"/>
  <c r="BZ287" i="32"/>
  <c r="CA287" i="32"/>
  <c r="CB287" i="32"/>
  <c r="BI287" i="32"/>
  <c r="B287" i="32"/>
  <c r="BH288" i="32"/>
  <c r="BZ288" i="32"/>
  <c r="CA288" i="32"/>
  <c r="CB288" i="32"/>
  <c r="BI288" i="32"/>
  <c r="B288" i="32"/>
  <c r="BH289" i="32"/>
  <c r="BZ289" i="32"/>
  <c r="CA289" i="32"/>
  <c r="CB289" i="32"/>
  <c r="BI289" i="32"/>
  <c r="B289" i="32"/>
  <c r="BH290" i="32"/>
  <c r="BZ290" i="32"/>
  <c r="CA290" i="32"/>
  <c r="CB290" i="32"/>
  <c r="BI290" i="32"/>
  <c r="B290" i="32"/>
  <c r="BH291" i="32"/>
  <c r="BZ291" i="32"/>
  <c r="CA291" i="32"/>
  <c r="CB291" i="32"/>
  <c r="BI291" i="32"/>
  <c r="B291" i="32"/>
  <c r="BH292" i="32"/>
  <c r="BZ292" i="32"/>
  <c r="CA292" i="32"/>
  <c r="CB292" i="32"/>
  <c r="BI292" i="32"/>
  <c r="B292" i="32"/>
  <c r="BH293" i="32"/>
  <c r="BZ293" i="32"/>
  <c r="CA293" i="32"/>
  <c r="CB293" i="32"/>
  <c r="BI293" i="32"/>
  <c r="B293" i="32"/>
  <c r="BH294" i="32"/>
  <c r="BZ294" i="32"/>
  <c r="CA294" i="32"/>
  <c r="CB294" i="32"/>
  <c r="BI294" i="32"/>
  <c r="B294" i="32"/>
  <c r="BH295" i="32"/>
  <c r="BZ295" i="32"/>
  <c r="CA295" i="32"/>
  <c r="CB295" i="32"/>
  <c r="BI295" i="32"/>
  <c r="B295" i="32"/>
  <c r="BH296" i="32"/>
  <c r="BZ296" i="32"/>
  <c r="CA296" i="32"/>
  <c r="CB296" i="32"/>
  <c r="BI296" i="32"/>
  <c r="B296" i="32"/>
  <c r="BH297" i="32"/>
  <c r="BZ297" i="32"/>
  <c r="CA297" i="32"/>
  <c r="CB297" i="32"/>
  <c r="BI297" i="32"/>
  <c r="B297" i="32"/>
  <c r="BH298" i="32"/>
  <c r="BZ298" i="32"/>
  <c r="CA298" i="32"/>
  <c r="CB298" i="32"/>
  <c r="BI298" i="32"/>
  <c r="B298" i="32"/>
  <c r="BH299" i="32"/>
  <c r="BZ299" i="32"/>
  <c r="CA299" i="32"/>
  <c r="CB299" i="32"/>
  <c r="BI299" i="32"/>
  <c r="B299" i="32"/>
  <c r="BH300" i="32"/>
  <c r="BZ300" i="32"/>
  <c r="CA300" i="32"/>
  <c r="CB300" i="32"/>
  <c r="BI300" i="32"/>
  <c r="B300" i="32"/>
  <c r="BH301" i="32"/>
  <c r="BZ301" i="32"/>
  <c r="CA301" i="32"/>
  <c r="CB301" i="32"/>
  <c r="BI301" i="32"/>
  <c r="B301" i="32"/>
  <c r="BH302" i="32"/>
  <c r="BZ302" i="32"/>
  <c r="CA302" i="32"/>
  <c r="CB302" i="32"/>
  <c r="BI302" i="32"/>
  <c r="B302" i="32"/>
  <c r="BH303" i="32"/>
  <c r="BZ303" i="32"/>
  <c r="CA303" i="32"/>
  <c r="CB303" i="32"/>
  <c r="BI303" i="32"/>
  <c r="B303" i="32"/>
  <c r="BH304" i="32"/>
  <c r="BZ304" i="32"/>
  <c r="CA304" i="32"/>
  <c r="CB304" i="32"/>
  <c r="BI304" i="32"/>
  <c r="B304" i="32"/>
  <c r="BH305" i="32"/>
  <c r="BZ305" i="32"/>
  <c r="CA305" i="32"/>
  <c r="CB305" i="32"/>
  <c r="BI305" i="32"/>
  <c r="B305" i="32"/>
  <c r="BH306" i="32"/>
  <c r="BZ306" i="32"/>
  <c r="CA306" i="32"/>
  <c r="CB306" i="32"/>
  <c r="BI306" i="32"/>
  <c r="B306" i="32"/>
  <c r="BH307" i="32"/>
  <c r="BZ307" i="32"/>
  <c r="CA307" i="32"/>
  <c r="CB307" i="32"/>
  <c r="BI307" i="32"/>
  <c r="B307" i="32"/>
  <c r="BH308" i="32"/>
  <c r="BZ308" i="32"/>
  <c r="CA308" i="32"/>
  <c r="CB308" i="32"/>
  <c r="BI308" i="32"/>
  <c r="B308" i="32"/>
  <c r="BH309" i="32"/>
  <c r="BZ309" i="32"/>
  <c r="CA309" i="32"/>
  <c r="CB309" i="32"/>
  <c r="BI309" i="32"/>
  <c r="B309" i="32"/>
  <c r="BH310" i="32"/>
  <c r="BZ310" i="32"/>
  <c r="CA310" i="32"/>
  <c r="CB310" i="32"/>
  <c r="BI310" i="32"/>
  <c r="B310" i="32"/>
  <c r="BH311" i="32"/>
  <c r="BZ311" i="32"/>
  <c r="CA311" i="32"/>
  <c r="CB311" i="32"/>
  <c r="BI311" i="32"/>
  <c r="B311" i="32"/>
  <c r="BH312" i="32"/>
  <c r="BZ312" i="32"/>
  <c r="CA312" i="32"/>
  <c r="CB312" i="32"/>
  <c r="BI312" i="32"/>
  <c r="B312" i="32"/>
  <c r="BH313" i="32"/>
  <c r="BZ313" i="32"/>
  <c r="CA313" i="32"/>
  <c r="CB313" i="32"/>
  <c r="BI313" i="32"/>
  <c r="B313" i="32"/>
  <c r="BH314" i="32"/>
  <c r="BZ314" i="32"/>
  <c r="CA314" i="32"/>
  <c r="CB314" i="32"/>
  <c r="BI314" i="32"/>
  <c r="B314" i="32"/>
  <c r="BH315" i="32"/>
  <c r="BZ315" i="32"/>
  <c r="CA315" i="32"/>
  <c r="CB315" i="32"/>
  <c r="BI315" i="32"/>
  <c r="B315" i="32"/>
  <c r="BH316" i="32"/>
  <c r="BZ316" i="32"/>
  <c r="CA316" i="32"/>
  <c r="CB316" i="32"/>
  <c r="BI316" i="32"/>
  <c r="B316" i="32"/>
  <c r="BH317" i="32"/>
  <c r="BZ317" i="32"/>
  <c r="CA317" i="32"/>
  <c r="CB317" i="32"/>
  <c r="BI317" i="32"/>
  <c r="B317" i="32"/>
  <c r="BH318" i="32"/>
  <c r="BZ318" i="32"/>
  <c r="CA318" i="32"/>
  <c r="CB318" i="32"/>
  <c r="BI318" i="32"/>
  <c r="B318" i="32"/>
  <c r="BH319" i="32"/>
  <c r="BZ319" i="32"/>
  <c r="CA319" i="32"/>
  <c r="CB319" i="32"/>
  <c r="BI319" i="32"/>
  <c r="B319" i="32"/>
  <c r="BH320" i="32"/>
  <c r="BZ320" i="32"/>
  <c r="CA320" i="32"/>
  <c r="CB320" i="32"/>
  <c r="BI320" i="32"/>
  <c r="B320" i="32"/>
  <c r="BH321" i="32"/>
  <c r="BZ321" i="32"/>
  <c r="CA321" i="32"/>
  <c r="CB321" i="32"/>
  <c r="BI321" i="32"/>
  <c r="B321" i="32"/>
  <c r="BH322" i="32"/>
  <c r="BZ322" i="32"/>
  <c r="CA322" i="32"/>
  <c r="CB322" i="32"/>
  <c r="BI322" i="32"/>
  <c r="B322" i="32"/>
  <c r="BH323" i="32"/>
  <c r="BZ323" i="32"/>
  <c r="CA323" i="32"/>
  <c r="CB323" i="32"/>
  <c r="BI323" i="32"/>
  <c r="B323" i="32"/>
  <c r="BH324" i="32"/>
  <c r="BZ324" i="32"/>
  <c r="CA324" i="32"/>
  <c r="CB324" i="32"/>
  <c r="BI324" i="32"/>
  <c r="B324" i="32"/>
  <c r="BH325" i="32"/>
  <c r="BZ325" i="32"/>
  <c r="CA325" i="32"/>
  <c r="CB325" i="32"/>
  <c r="BI325" i="32"/>
  <c r="B325" i="32"/>
  <c r="BH326" i="32"/>
  <c r="BZ326" i="32"/>
  <c r="CA326" i="32"/>
  <c r="CB326" i="32"/>
  <c r="BI326" i="32"/>
  <c r="B326" i="32"/>
  <c r="BH327" i="32"/>
  <c r="BZ327" i="32"/>
  <c r="CA327" i="32"/>
  <c r="CB327" i="32"/>
  <c r="BI327" i="32"/>
  <c r="B327" i="32"/>
  <c r="BH328" i="32"/>
  <c r="BZ328" i="32"/>
  <c r="CA328" i="32"/>
  <c r="CB328" i="32"/>
  <c r="BI328" i="32"/>
  <c r="B328" i="32"/>
  <c r="BH329" i="32"/>
  <c r="BZ329" i="32"/>
  <c r="CA329" i="32"/>
  <c r="CB329" i="32"/>
  <c r="BI329" i="32"/>
  <c r="B329" i="32"/>
  <c r="BH330" i="32"/>
  <c r="BZ330" i="32"/>
  <c r="CA330" i="32"/>
  <c r="CB330" i="32"/>
  <c r="BI330" i="32"/>
  <c r="B330" i="32"/>
  <c r="BH331" i="32"/>
  <c r="BZ331" i="32"/>
  <c r="CA331" i="32"/>
  <c r="CB331" i="32"/>
  <c r="BI331" i="32"/>
  <c r="B331" i="32"/>
  <c r="BH332" i="32"/>
  <c r="BZ332" i="32"/>
  <c r="CA332" i="32"/>
  <c r="CB332" i="32"/>
  <c r="BI332" i="32"/>
  <c r="B332" i="32"/>
  <c r="BH333" i="32"/>
  <c r="BZ333" i="32"/>
  <c r="CA333" i="32"/>
  <c r="CB333" i="32"/>
  <c r="BI333" i="32"/>
  <c r="B333" i="32"/>
  <c r="BH334" i="32"/>
  <c r="BZ334" i="32"/>
  <c r="CA334" i="32"/>
  <c r="CB334" i="32"/>
  <c r="BI334" i="32"/>
  <c r="B334" i="32"/>
  <c r="BH335" i="32"/>
  <c r="BZ335" i="32"/>
  <c r="CA335" i="32"/>
  <c r="CB335" i="32"/>
  <c r="BI335" i="32"/>
  <c r="B335" i="32"/>
  <c r="BH336" i="32"/>
  <c r="BZ336" i="32"/>
  <c r="CA336" i="32"/>
  <c r="CB336" i="32"/>
  <c r="BI336" i="32"/>
  <c r="B336" i="32"/>
  <c r="BH337" i="32"/>
  <c r="BZ337" i="32"/>
  <c r="CA337" i="32"/>
  <c r="CB337" i="32"/>
  <c r="BI337" i="32"/>
  <c r="B337" i="32"/>
  <c r="BH338" i="32"/>
  <c r="BZ338" i="32"/>
  <c r="CA338" i="32"/>
  <c r="CB338" i="32"/>
  <c r="BI338" i="32"/>
  <c r="B338" i="32"/>
  <c r="BH339" i="32"/>
  <c r="BZ339" i="32"/>
  <c r="CA339" i="32"/>
  <c r="CB339" i="32"/>
  <c r="BI339" i="32"/>
  <c r="B339" i="32"/>
  <c r="BH340" i="32"/>
  <c r="BZ340" i="32"/>
  <c r="CA340" i="32"/>
  <c r="CB340" i="32"/>
  <c r="BI340" i="32"/>
  <c r="B340" i="32"/>
  <c r="BH341" i="32"/>
  <c r="BZ341" i="32"/>
  <c r="CA341" i="32"/>
  <c r="CB341" i="32"/>
  <c r="BI341" i="32"/>
  <c r="B341" i="32"/>
  <c r="BH342" i="32"/>
  <c r="BZ342" i="32"/>
  <c r="CA342" i="32"/>
  <c r="CB342" i="32"/>
  <c r="BI342" i="32"/>
  <c r="B342" i="32"/>
  <c r="BH343" i="32"/>
  <c r="BZ343" i="32"/>
  <c r="CA343" i="32"/>
  <c r="CB343" i="32"/>
  <c r="BI343" i="32"/>
  <c r="B343" i="32"/>
  <c r="BH344" i="32"/>
  <c r="BZ344" i="32"/>
  <c r="CA344" i="32"/>
  <c r="CB344" i="32"/>
  <c r="BI344" i="32"/>
  <c r="B344" i="32"/>
  <c r="BH345" i="32"/>
  <c r="BZ345" i="32"/>
  <c r="CA345" i="32"/>
  <c r="CB345" i="32"/>
  <c r="BI345" i="32"/>
  <c r="B345" i="32"/>
  <c r="BH346" i="32"/>
  <c r="BZ346" i="32"/>
  <c r="CA346" i="32"/>
  <c r="CB346" i="32"/>
  <c r="BI346" i="32"/>
  <c r="B346" i="32"/>
  <c r="BH347" i="32"/>
  <c r="BZ347" i="32"/>
  <c r="CA347" i="32"/>
  <c r="CB347" i="32"/>
  <c r="BI347" i="32"/>
  <c r="B347" i="32"/>
  <c r="BH348" i="32"/>
  <c r="BZ348" i="32"/>
  <c r="CA348" i="32"/>
  <c r="CB348" i="32"/>
  <c r="BI348" i="32"/>
  <c r="B348" i="32"/>
  <c r="BH349" i="32"/>
  <c r="BZ349" i="32"/>
  <c r="CA349" i="32"/>
  <c r="CB349" i="32"/>
  <c r="BI349" i="32"/>
  <c r="B349" i="32"/>
  <c r="BH350" i="32"/>
  <c r="BZ350" i="32"/>
  <c r="CA350" i="32"/>
  <c r="CB350" i="32"/>
  <c r="BI350" i="32"/>
  <c r="B350" i="32"/>
  <c r="BH351" i="32"/>
  <c r="BZ351" i="32"/>
  <c r="CA351" i="32"/>
  <c r="CB351" i="32"/>
  <c r="BI351" i="32"/>
  <c r="B351" i="32"/>
  <c r="BH352" i="32"/>
  <c r="BZ352" i="32"/>
  <c r="CA352" i="32"/>
  <c r="CB352" i="32"/>
  <c r="BI352" i="32"/>
  <c r="B352" i="32"/>
  <c r="BH353" i="32"/>
  <c r="BZ353" i="32"/>
  <c r="CA353" i="32"/>
  <c r="CB353" i="32"/>
  <c r="BI353" i="32"/>
  <c r="B353" i="32"/>
  <c r="BH354" i="32"/>
  <c r="BZ354" i="32"/>
  <c r="CA354" i="32"/>
  <c r="CB354" i="32"/>
  <c r="BI354" i="32"/>
  <c r="B354" i="32"/>
  <c r="BH355" i="32"/>
  <c r="BZ355" i="32"/>
  <c r="CA355" i="32"/>
  <c r="CB355" i="32"/>
  <c r="BI355" i="32"/>
  <c r="B355" i="32"/>
  <c r="BH356" i="32"/>
  <c r="BZ356" i="32"/>
  <c r="CA356" i="32"/>
  <c r="CB356" i="32"/>
  <c r="BI356" i="32"/>
  <c r="B356" i="32"/>
  <c r="BH357" i="32"/>
  <c r="BZ357" i="32"/>
  <c r="CA357" i="32"/>
  <c r="CB357" i="32"/>
  <c r="BI357" i="32"/>
  <c r="B357" i="32"/>
  <c r="BH358" i="32"/>
  <c r="BZ358" i="32"/>
  <c r="CA358" i="32"/>
  <c r="CB358" i="32"/>
  <c r="BI358" i="32"/>
  <c r="B358" i="32"/>
  <c r="BH359" i="32"/>
  <c r="BZ359" i="32"/>
  <c r="CA359" i="32"/>
  <c r="CB359" i="32"/>
  <c r="BI359" i="32"/>
  <c r="B359" i="32"/>
  <c r="BH360" i="32"/>
  <c r="BZ360" i="32"/>
  <c r="CA360" i="32"/>
  <c r="CB360" i="32"/>
  <c r="BI360" i="32"/>
  <c r="B360" i="32"/>
  <c r="BH361" i="32"/>
  <c r="BZ361" i="32"/>
  <c r="CA361" i="32"/>
  <c r="CB361" i="32"/>
  <c r="BI361" i="32"/>
  <c r="B361" i="32"/>
  <c r="BH362" i="32"/>
  <c r="BZ362" i="32"/>
  <c r="CA362" i="32"/>
  <c r="CB362" i="32"/>
  <c r="BI362" i="32"/>
  <c r="B362" i="32"/>
  <c r="BH363" i="32"/>
  <c r="BZ363" i="32"/>
  <c r="CA363" i="32"/>
  <c r="CB363" i="32"/>
  <c r="BI363" i="32"/>
  <c r="B363" i="32"/>
  <c r="BH364" i="32"/>
  <c r="BZ364" i="32"/>
  <c r="CA364" i="32"/>
  <c r="CB364" i="32"/>
  <c r="BI364" i="32"/>
  <c r="B364" i="32"/>
  <c r="BH365" i="32"/>
  <c r="BZ365" i="32"/>
  <c r="CA365" i="32"/>
  <c r="CB365" i="32"/>
  <c r="BI365" i="32"/>
  <c r="B365" i="32"/>
  <c r="BH366" i="32"/>
  <c r="BZ366" i="32"/>
  <c r="CA366" i="32"/>
  <c r="CB366" i="32"/>
  <c r="BI366" i="32"/>
  <c r="B366" i="32"/>
  <c r="BH367" i="32"/>
  <c r="BZ367" i="32"/>
  <c r="CA367" i="32"/>
  <c r="CB367" i="32"/>
  <c r="BI367" i="32"/>
  <c r="B367" i="32"/>
  <c r="BH368" i="32"/>
  <c r="BZ368" i="32"/>
  <c r="CA368" i="32"/>
  <c r="CB368" i="32"/>
  <c r="BI368" i="32"/>
  <c r="B368" i="32"/>
  <c r="BH369" i="32"/>
  <c r="BZ369" i="32"/>
  <c r="CA369" i="32"/>
  <c r="CB369" i="32"/>
  <c r="BI369" i="32"/>
  <c r="B369" i="32"/>
  <c r="BH370" i="32"/>
  <c r="BZ370" i="32"/>
  <c r="CA370" i="32"/>
  <c r="CB370" i="32"/>
  <c r="BI370" i="32"/>
  <c r="B370" i="32"/>
  <c r="BH371" i="32"/>
  <c r="BZ371" i="32"/>
  <c r="CA371" i="32"/>
  <c r="CB371" i="32"/>
  <c r="BI371" i="32"/>
  <c r="B371" i="32"/>
  <c r="BH372" i="32"/>
  <c r="BZ372" i="32"/>
  <c r="CA372" i="32"/>
  <c r="CB372" i="32"/>
  <c r="BI372" i="32"/>
  <c r="B372" i="32"/>
  <c r="BH373" i="32"/>
  <c r="BZ373" i="32"/>
  <c r="CA373" i="32"/>
  <c r="CB373" i="32"/>
  <c r="BI373" i="32"/>
  <c r="B373" i="32"/>
  <c r="BH374" i="32"/>
  <c r="BZ374" i="32"/>
  <c r="CA374" i="32"/>
  <c r="CB374" i="32"/>
  <c r="BI374" i="32"/>
  <c r="B374" i="32"/>
  <c r="BH375" i="32"/>
  <c r="BZ375" i="32"/>
  <c r="CA375" i="32"/>
  <c r="CB375" i="32"/>
  <c r="BI375" i="32"/>
  <c r="B375" i="32"/>
  <c r="BH376" i="32"/>
  <c r="BZ376" i="32"/>
  <c r="CA376" i="32"/>
  <c r="CB376" i="32"/>
  <c r="BI376" i="32"/>
  <c r="B376" i="32"/>
  <c r="BH377" i="32"/>
  <c r="BZ377" i="32"/>
  <c r="CA377" i="32"/>
  <c r="CB377" i="32"/>
  <c r="BI377" i="32"/>
  <c r="B377" i="32"/>
  <c r="BH378" i="32"/>
  <c r="BZ378" i="32"/>
  <c r="CA378" i="32"/>
  <c r="CB378" i="32"/>
  <c r="BI378" i="32"/>
  <c r="B378" i="32"/>
  <c r="BH379" i="32"/>
  <c r="BZ379" i="32"/>
  <c r="CA379" i="32"/>
  <c r="CB379" i="32"/>
  <c r="BI379" i="32"/>
  <c r="B379" i="32"/>
  <c r="BH380" i="32"/>
  <c r="BZ380" i="32"/>
  <c r="CA380" i="32"/>
  <c r="CB380" i="32"/>
  <c r="BI380" i="32"/>
  <c r="B380" i="32"/>
  <c r="BH381" i="32"/>
  <c r="BZ381" i="32"/>
  <c r="CA381" i="32"/>
  <c r="CB381" i="32"/>
  <c r="BI381" i="32"/>
  <c r="B381" i="32"/>
  <c r="BH382" i="32"/>
  <c r="BZ382" i="32"/>
  <c r="CA382" i="32"/>
  <c r="CB382" i="32"/>
  <c r="BI382" i="32"/>
  <c r="B382" i="32"/>
  <c r="BH383" i="32"/>
  <c r="BZ383" i="32"/>
  <c r="CA383" i="32"/>
  <c r="CB383" i="32"/>
  <c r="BI383" i="32"/>
  <c r="B383" i="32"/>
  <c r="BH384" i="32"/>
  <c r="BZ384" i="32"/>
  <c r="CA384" i="32"/>
  <c r="CB384" i="32"/>
  <c r="BI384" i="32"/>
  <c r="B384" i="32"/>
  <c r="BH385" i="32"/>
  <c r="BZ385" i="32"/>
  <c r="CA385" i="32"/>
  <c r="CB385" i="32"/>
  <c r="BI385" i="32"/>
  <c r="B385" i="32"/>
  <c r="BH386" i="32"/>
  <c r="BZ386" i="32"/>
  <c r="CA386" i="32"/>
  <c r="CB386" i="32"/>
  <c r="BI386" i="32"/>
  <c r="B386" i="32"/>
  <c r="BH387" i="32"/>
  <c r="BZ387" i="32"/>
  <c r="CA387" i="32"/>
  <c r="CB387" i="32"/>
  <c r="BI387" i="32"/>
  <c r="B387" i="32"/>
  <c r="BH388" i="32"/>
  <c r="BZ388" i="32"/>
  <c r="CA388" i="32"/>
  <c r="CB388" i="32"/>
  <c r="BI388" i="32"/>
  <c r="B388" i="32"/>
  <c r="BH389" i="32"/>
  <c r="BZ389" i="32"/>
  <c r="CA389" i="32"/>
  <c r="CB389" i="32"/>
  <c r="BI389" i="32"/>
  <c r="B389" i="32"/>
  <c r="BH390" i="32"/>
  <c r="BZ390" i="32"/>
  <c r="CA390" i="32"/>
  <c r="CB390" i="32"/>
  <c r="BI390" i="32"/>
  <c r="B390" i="32"/>
  <c r="BH391" i="32"/>
  <c r="BZ391" i="32"/>
  <c r="CA391" i="32"/>
  <c r="CB391" i="32"/>
  <c r="BI391" i="32"/>
  <c r="B391" i="32"/>
  <c r="BH392" i="32"/>
  <c r="BZ392" i="32"/>
  <c r="CA392" i="32"/>
  <c r="CB392" i="32"/>
  <c r="BI392" i="32"/>
  <c r="B392" i="32"/>
  <c r="BH393" i="32"/>
  <c r="BZ393" i="32"/>
  <c r="CA393" i="32"/>
  <c r="CB393" i="32"/>
  <c r="BI393" i="32"/>
  <c r="B393" i="32"/>
  <c r="BH394" i="32"/>
  <c r="BZ394" i="32"/>
  <c r="CA394" i="32"/>
  <c r="CB394" i="32"/>
  <c r="BI394" i="32"/>
  <c r="B394" i="32"/>
  <c r="BH395" i="32"/>
  <c r="BZ395" i="32"/>
  <c r="CA395" i="32"/>
  <c r="CB395" i="32"/>
  <c r="BI395" i="32"/>
  <c r="B395" i="32"/>
  <c r="BH396" i="32"/>
  <c r="BZ396" i="32"/>
  <c r="CA396" i="32"/>
  <c r="CB396" i="32"/>
  <c r="BI396" i="32"/>
  <c r="B396" i="32"/>
  <c r="BH397" i="32"/>
  <c r="BZ397" i="32"/>
  <c r="CA397" i="32"/>
  <c r="CB397" i="32"/>
  <c r="BI397" i="32"/>
  <c r="B397" i="32"/>
  <c r="BH398" i="32"/>
  <c r="BZ398" i="32"/>
  <c r="CA398" i="32"/>
  <c r="CB398" i="32"/>
  <c r="BI398" i="32"/>
  <c r="B398" i="32"/>
  <c r="BH399" i="32"/>
  <c r="BZ399" i="32"/>
  <c r="CA399" i="32"/>
  <c r="CB399" i="32"/>
  <c r="BI399" i="32"/>
  <c r="B399" i="32"/>
  <c r="BH400" i="32"/>
  <c r="BZ400" i="32"/>
  <c r="CA400" i="32"/>
  <c r="CB400" i="32"/>
  <c r="BI400" i="32"/>
  <c r="B400" i="32"/>
  <c r="BH401" i="32"/>
  <c r="BZ401" i="32"/>
  <c r="CA401" i="32"/>
  <c r="CB401" i="32"/>
  <c r="BI401" i="32"/>
  <c r="B401" i="32"/>
  <c r="BH402" i="32"/>
  <c r="BZ402" i="32"/>
  <c r="CA402" i="32"/>
  <c r="CB402" i="32"/>
  <c r="BI402" i="32"/>
  <c r="B402" i="32"/>
  <c r="BH403" i="32"/>
  <c r="BZ403" i="32"/>
  <c r="CA403" i="32"/>
  <c r="CB403" i="32"/>
  <c r="BI403" i="32"/>
  <c r="B403" i="32"/>
  <c r="BH404" i="32"/>
  <c r="BZ404" i="32"/>
  <c r="CA404" i="32"/>
  <c r="CB404" i="32"/>
  <c r="BI404" i="32"/>
  <c r="B404" i="32"/>
  <c r="BH405" i="32"/>
  <c r="BZ405" i="32"/>
  <c r="CA405" i="32"/>
  <c r="CB405" i="32"/>
  <c r="BI405" i="32"/>
  <c r="B405" i="32"/>
  <c r="BH406" i="32"/>
  <c r="BZ406" i="32"/>
  <c r="CA406" i="32"/>
  <c r="CB406" i="32"/>
  <c r="BI406" i="32"/>
  <c r="B406" i="32"/>
  <c r="BH407" i="32"/>
  <c r="BZ407" i="32"/>
  <c r="CA407" i="32"/>
  <c r="CB407" i="32"/>
  <c r="BI407" i="32"/>
  <c r="B407" i="32"/>
  <c r="BH408" i="32"/>
  <c r="BZ408" i="32"/>
  <c r="CA408" i="32"/>
  <c r="CB408" i="32"/>
  <c r="BI408" i="32"/>
  <c r="B408" i="32"/>
  <c r="BH409" i="32"/>
  <c r="BZ409" i="32"/>
  <c r="CA409" i="32"/>
  <c r="CB409" i="32"/>
  <c r="BI409" i="32"/>
  <c r="B409" i="32"/>
  <c r="BH410" i="32"/>
  <c r="BZ410" i="32"/>
  <c r="CA410" i="32"/>
  <c r="CB410" i="32"/>
  <c r="BI410" i="32"/>
  <c r="B410" i="32"/>
  <c r="BH411" i="32"/>
  <c r="BZ411" i="32"/>
  <c r="CA411" i="32"/>
  <c r="CB411" i="32"/>
  <c r="BI411" i="32"/>
  <c r="B411" i="32"/>
  <c r="BH412" i="32"/>
  <c r="BZ412" i="32"/>
  <c r="CA412" i="32"/>
  <c r="CB412" i="32"/>
  <c r="BI412" i="32"/>
  <c r="B412" i="32"/>
  <c r="BH413" i="32"/>
  <c r="BZ413" i="32"/>
  <c r="CA413" i="32"/>
  <c r="CB413" i="32"/>
  <c r="BI413" i="32"/>
  <c r="B413" i="32"/>
  <c r="BH414" i="32"/>
  <c r="BZ414" i="32"/>
  <c r="CA414" i="32"/>
  <c r="CB414" i="32"/>
  <c r="BI414" i="32"/>
  <c r="B414" i="32"/>
  <c r="BH415" i="32"/>
  <c r="BZ415" i="32"/>
  <c r="CA415" i="32"/>
  <c r="CB415" i="32"/>
  <c r="BI415" i="32"/>
  <c r="B415" i="32"/>
  <c r="BH416" i="32"/>
  <c r="BZ416" i="32"/>
  <c r="CA416" i="32"/>
  <c r="CB416" i="32"/>
  <c r="BI416" i="32"/>
  <c r="B416" i="32"/>
  <c r="BH417" i="32"/>
  <c r="BZ417" i="32"/>
  <c r="CA417" i="32"/>
  <c r="CB417" i="32"/>
  <c r="BI417" i="32"/>
  <c r="B417" i="32"/>
  <c r="BH418" i="32"/>
  <c r="BZ418" i="32"/>
  <c r="CA418" i="32"/>
  <c r="CB418" i="32"/>
  <c r="BI418" i="32"/>
  <c r="B418" i="32"/>
  <c r="BH419" i="32"/>
  <c r="BZ419" i="32"/>
  <c r="CA419" i="32"/>
  <c r="CB419" i="32"/>
  <c r="BI419" i="32"/>
  <c r="B419" i="32"/>
  <c r="BH420" i="32"/>
  <c r="BZ420" i="32"/>
  <c r="CA420" i="32"/>
  <c r="CB420" i="32"/>
  <c r="BI420" i="32"/>
  <c r="B420" i="32"/>
  <c r="BH421" i="32"/>
  <c r="BZ421" i="32"/>
  <c r="CA421" i="32"/>
  <c r="CB421" i="32"/>
  <c r="BI421" i="32"/>
  <c r="B421" i="32"/>
  <c r="BH422" i="32"/>
  <c r="BZ422" i="32"/>
  <c r="CA422" i="32"/>
  <c r="CB422" i="32"/>
  <c r="BI422" i="32"/>
  <c r="B422" i="32"/>
  <c r="BH423" i="32"/>
  <c r="BZ423" i="32"/>
  <c r="CA423" i="32"/>
  <c r="CB423" i="32"/>
  <c r="BI423" i="32"/>
  <c r="B423" i="32"/>
  <c r="BH424" i="32"/>
  <c r="BZ424" i="32"/>
  <c r="CA424" i="32"/>
  <c r="CB424" i="32"/>
  <c r="BI424" i="32"/>
  <c r="B424" i="32"/>
  <c r="BH425" i="32"/>
  <c r="BZ425" i="32"/>
  <c r="CA425" i="32"/>
  <c r="CB425" i="32"/>
  <c r="BI425" i="32"/>
  <c r="B425" i="32"/>
  <c r="BH426" i="32"/>
  <c r="BZ426" i="32"/>
  <c r="CA426" i="32"/>
  <c r="CB426" i="32"/>
  <c r="BI426" i="32"/>
  <c r="B426" i="32"/>
  <c r="BH427" i="32"/>
  <c r="BZ427" i="32"/>
  <c r="CA427" i="32"/>
  <c r="CB427" i="32"/>
  <c r="BI427" i="32"/>
  <c r="B427" i="32"/>
  <c r="BH428" i="32"/>
  <c r="BZ428" i="32"/>
  <c r="CA428" i="32"/>
  <c r="CB428" i="32"/>
  <c r="BI428" i="32"/>
  <c r="B428" i="32"/>
  <c r="BH429" i="32"/>
  <c r="BZ429" i="32"/>
  <c r="CA429" i="32"/>
  <c r="CB429" i="32"/>
  <c r="BI429" i="32"/>
  <c r="B429" i="32"/>
  <c r="BH430" i="32"/>
  <c r="BZ430" i="32"/>
  <c r="CA430" i="32"/>
  <c r="CB430" i="32"/>
  <c r="BI430" i="32"/>
  <c r="B430" i="32"/>
  <c r="BH431" i="32"/>
  <c r="BZ431" i="32"/>
  <c r="CA431" i="32"/>
  <c r="CB431" i="32"/>
  <c r="BI431" i="32"/>
  <c r="B431" i="32"/>
  <c r="BH432" i="32"/>
  <c r="BZ432" i="32"/>
  <c r="CA432" i="32"/>
  <c r="CB432" i="32"/>
  <c r="BI432" i="32"/>
  <c r="B432" i="32"/>
  <c r="BH433" i="32"/>
  <c r="BZ433" i="32"/>
  <c r="CA433" i="32"/>
  <c r="CB433" i="32"/>
  <c r="BI433" i="32"/>
  <c r="B433" i="32"/>
  <c r="BH434" i="32"/>
  <c r="BZ434" i="32"/>
  <c r="CA434" i="32"/>
  <c r="CB434" i="32"/>
  <c r="BI434" i="32"/>
  <c r="B434" i="32"/>
  <c r="BH435" i="32"/>
  <c r="BZ435" i="32"/>
  <c r="CA435" i="32"/>
  <c r="CB435" i="32"/>
  <c r="BI435" i="32"/>
  <c r="B435" i="32"/>
  <c r="BH436" i="32"/>
  <c r="BZ436" i="32"/>
  <c r="CA436" i="32"/>
  <c r="CB436" i="32"/>
  <c r="BI436" i="32"/>
  <c r="B436" i="32"/>
  <c r="BH437" i="32"/>
  <c r="BZ437" i="32"/>
  <c r="CA437" i="32"/>
  <c r="CB437" i="32"/>
  <c r="BI437" i="32"/>
  <c r="B437" i="32"/>
  <c r="BH438" i="32"/>
  <c r="BZ438" i="32"/>
  <c r="CA438" i="32"/>
  <c r="CB438" i="32"/>
  <c r="BI438" i="32"/>
  <c r="B438" i="32"/>
  <c r="BH439" i="32"/>
  <c r="BZ439" i="32"/>
  <c r="CA439" i="32"/>
  <c r="CB439" i="32"/>
  <c r="BI439" i="32"/>
  <c r="B439" i="32"/>
  <c r="BH440" i="32"/>
  <c r="BZ440" i="32"/>
  <c r="CA440" i="32"/>
  <c r="CB440" i="32"/>
  <c r="BI440" i="32"/>
  <c r="B440" i="32"/>
  <c r="BH441" i="32"/>
  <c r="BZ441" i="32"/>
  <c r="CA441" i="32"/>
  <c r="CB441" i="32"/>
  <c r="BI441" i="32"/>
  <c r="B441" i="32"/>
  <c r="BH442" i="32"/>
  <c r="BZ442" i="32"/>
  <c r="CA442" i="32"/>
  <c r="CB442" i="32"/>
  <c r="BI442" i="32"/>
  <c r="B442" i="32"/>
  <c r="BH443" i="32"/>
  <c r="BZ443" i="32"/>
  <c r="CA443" i="32"/>
  <c r="CB443" i="32"/>
  <c r="BI443" i="32"/>
  <c r="B443" i="32"/>
  <c r="BH444" i="32"/>
  <c r="BZ444" i="32"/>
  <c r="CA444" i="32"/>
  <c r="CB444" i="32"/>
  <c r="BI444" i="32"/>
  <c r="BP5" i="32"/>
  <c r="CC5" i="32"/>
  <c r="CD5" i="32"/>
  <c r="CA445" i="32"/>
  <c r="BC5" i="32"/>
  <c r="BC6" i="32"/>
  <c r="BC7" i="32"/>
  <c r="BC8" i="32"/>
  <c r="BC9" i="32"/>
  <c r="BC10" i="32"/>
  <c r="BC11" i="32"/>
  <c r="BC12" i="32"/>
  <c r="BC13" i="32"/>
  <c r="BC14" i="32"/>
  <c r="BC15" i="32"/>
  <c r="BC16" i="32"/>
  <c r="BC17" i="32"/>
  <c r="BC18" i="32"/>
  <c r="BC19" i="32"/>
  <c r="BC20" i="32"/>
  <c r="BC21" i="32"/>
  <c r="BC22" i="32"/>
  <c r="BC23" i="32"/>
  <c r="BC24" i="32"/>
  <c r="BC25" i="32"/>
  <c r="BC26" i="32"/>
  <c r="BC27" i="32"/>
  <c r="BC28" i="32"/>
  <c r="BC29" i="32"/>
  <c r="BC30" i="32"/>
  <c r="BC31" i="32"/>
  <c r="BC32" i="32"/>
  <c r="BC33" i="32"/>
  <c r="BC34" i="32"/>
  <c r="BC35" i="32"/>
  <c r="BC36" i="32"/>
  <c r="BC37" i="32"/>
  <c r="BC38" i="32"/>
  <c r="BC39" i="32"/>
  <c r="BC40" i="32"/>
  <c r="BC41" i="32"/>
  <c r="BC42" i="32"/>
  <c r="BC43" i="32"/>
  <c r="BC44" i="32"/>
  <c r="BC45" i="32"/>
  <c r="BC46" i="32"/>
  <c r="BC47" i="32"/>
  <c r="BC48" i="32"/>
  <c r="BC49" i="32"/>
  <c r="BC50" i="32"/>
  <c r="BC51" i="32"/>
  <c r="BC52" i="32"/>
  <c r="BC53" i="32"/>
  <c r="BC54" i="32"/>
  <c r="BC55" i="32"/>
  <c r="BC56" i="32"/>
  <c r="BC57" i="32"/>
  <c r="BC58" i="32"/>
  <c r="BC59" i="32"/>
  <c r="BC60" i="32"/>
  <c r="BC61" i="32"/>
  <c r="BC62" i="32"/>
  <c r="BC63" i="32"/>
  <c r="BC64" i="32"/>
  <c r="BC65" i="32"/>
  <c r="BC66" i="32"/>
  <c r="BC67" i="32"/>
  <c r="BC68" i="32"/>
  <c r="BC69" i="32"/>
  <c r="BC70" i="32"/>
  <c r="BC71" i="32"/>
  <c r="BC72" i="32"/>
  <c r="BC73" i="32"/>
  <c r="BC74" i="32"/>
  <c r="BC75" i="32"/>
  <c r="BC76" i="32"/>
  <c r="BC77" i="32"/>
  <c r="BC78" i="32"/>
  <c r="BC79" i="32"/>
  <c r="BC80" i="32"/>
  <c r="BC81" i="32"/>
  <c r="BC82" i="32"/>
  <c r="BC83" i="32"/>
  <c r="BC84" i="32"/>
  <c r="BC85" i="32"/>
  <c r="BC86" i="32"/>
  <c r="BC87" i="32"/>
  <c r="BC88" i="32"/>
  <c r="BC89" i="32"/>
  <c r="BC90" i="32"/>
  <c r="BC91" i="32"/>
  <c r="BC92" i="32"/>
  <c r="BC93" i="32"/>
  <c r="BC94" i="32"/>
  <c r="BC95" i="32"/>
  <c r="BC96" i="32"/>
  <c r="BC97" i="32"/>
  <c r="BC98" i="32"/>
  <c r="BC99" i="32"/>
  <c r="BC100" i="32"/>
  <c r="BC101" i="32"/>
  <c r="BC102" i="32"/>
  <c r="BC103" i="32"/>
  <c r="BC104" i="32"/>
  <c r="BC105" i="32"/>
  <c r="BC106" i="32"/>
  <c r="BC107" i="32"/>
  <c r="BC108" i="32"/>
  <c r="BC109" i="32"/>
  <c r="BC110" i="32"/>
  <c r="BC111" i="32"/>
  <c r="BC112" i="32"/>
  <c r="BC113" i="32"/>
  <c r="BC114" i="32"/>
  <c r="BC115" i="32"/>
  <c r="BC116" i="32"/>
  <c r="BC117" i="32"/>
  <c r="BC118" i="32"/>
  <c r="BC119" i="32"/>
  <c r="BC120" i="32"/>
  <c r="BC121" i="32"/>
  <c r="BC122" i="32"/>
  <c r="BC123" i="32"/>
  <c r="BC124" i="32"/>
  <c r="BC125" i="32"/>
  <c r="BC126" i="32"/>
  <c r="BC127" i="32"/>
  <c r="BC128" i="32"/>
  <c r="BC129" i="32"/>
  <c r="BC130" i="32"/>
  <c r="BC131" i="32"/>
  <c r="BC132" i="32"/>
  <c r="BC133" i="32"/>
  <c r="BC134" i="32"/>
  <c r="BC135" i="32"/>
  <c r="BC136" i="32"/>
  <c r="BC137" i="32"/>
  <c r="BC138" i="32"/>
  <c r="BC139" i="32"/>
  <c r="BC140" i="32"/>
  <c r="BC141" i="32"/>
  <c r="BC142" i="32"/>
  <c r="BC143" i="32"/>
  <c r="BC144" i="32"/>
  <c r="BC145" i="32"/>
  <c r="BC146" i="32"/>
  <c r="BC147" i="32"/>
  <c r="BC148" i="32"/>
  <c r="BC149" i="32"/>
  <c r="BC150" i="32"/>
  <c r="BC151" i="32"/>
  <c r="BC152" i="32"/>
  <c r="BC153" i="32"/>
  <c r="BC154" i="32"/>
  <c r="BC155" i="32"/>
  <c r="BC156" i="32"/>
  <c r="BC157" i="32"/>
  <c r="BC158" i="32"/>
  <c r="BC159" i="32"/>
  <c r="BC160" i="32"/>
  <c r="BC161" i="32"/>
  <c r="BC162" i="32"/>
  <c r="BC163" i="32"/>
  <c r="BC164" i="32"/>
  <c r="BC165" i="32"/>
  <c r="BC166" i="32"/>
  <c r="BC167" i="32"/>
  <c r="BC168" i="32"/>
  <c r="BC169" i="32"/>
  <c r="BC170" i="32"/>
  <c r="BC171" i="32"/>
  <c r="BC172" i="32"/>
  <c r="BC173" i="32"/>
  <c r="BC174" i="32"/>
  <c r="BC175" i="32"/>
  <c r="BC176" i="32"/>
  <c r="BC177" i="32"/>
  <c r="BC178" i="32"/>
  <c r="BC179" i="32"/>
  <c r="BC180" i="32"/>
  <c r="BC181" i="32"/>
  <c r="BC182" i="32"/>
  <c r="BC183" i="32"/>
  <c r="BC184" i="32"/>
  <c r="BC185" i="32"/>
  <c r="BC186" i="32"/>
  <c r="BC187" i="32"/>
  <c r="BC188" i="32"/>
  <c r="BC189" i="32"/>
  <c r="BC190" i="32"/>
  <c r="BC191" i="32"/>
  <c r="BC192" i="32"/>
  <c r="BC193" i="32"/>
  <c r="BC194" i="32"/>
  <c r="BC195" i="32"/>
  <c r="BC196" i="32"/>
  <c r="BC197" i="32"/>
  <c r="BC198" i="32"/>
  <c r="BC199" i="32"/>
  <c r="BC200" i="32"/>
  <c r="BC201" i="32"/>
  <c r="BC202" i="32"/>
  <c r="BC203" i="32"/>
  <c r="BC204" i="32"/>
  <c r="BC205" i="32"/>
  <c r="BC206" i="32"/>
  <c r="BC207" i="32"/>
  <c r="BC208" i="32"/>
  <c r="BC209" i="32"/>
  <c r="BC210" i="32"/>
  <c r="BC211" i="32"/>
  <c r="BC212" i="32"/>
  <c r="BC213" i="32"/>
  <c r="BC214" i="32"/>
  <c r="BC215" i="32"/>
  <c r="BC216" i="32"/>
  <c r="BC217" i="32"/>
  <c r="BC218" i="32"/>
  <c r="BC219" i="32"/>
  <c r="BC220" i="32"/>
  <c r="BC221" i="32"/>
  <c r="BC222" i="32"/>
  <c r="BC223" i="32"/>
  <c r="BC224" i="32"/>
  <c r="BC225" i="32"/>
  <c r="BC226" i="32"/>
  <c r="BC227" i="32"/>
  <c r="BC228" i="32"/>
  <c r="BC229" i="32"/>
  <c r="BC230" i="32"/>
  <c r="BC231" i="32"/>
  <c r="BC232" i="32"/>
  <c r="BC233" i="32"/>
  <c r="BC234" i="32"/>
  <c r="BC235" i="32"/>
  <c r="BC236" i="32"/>
  <c r="BC237" i="32"/>
  <c r="BC238" i="32"/>
  <c r="BC239" i="32"/>
  <c r="BC240" i="32"/>
  <c r="BC241" i="32"/>
  <c r="BC242" i="32"/>
  <c r="BC243" i="32"/>
  <c r="BC244" i="32"/>
  <c r="BC245" i="32"/>
  <c r="BC246" i="32"/>
  <c r="BC247" i="32"/>
  <c r="BC248" i="32"/>
  <c r="BC249" i="32"/>
  <c r="BC250" i="32"/>
  <c r="BC251" i="32"/>
  <c r="BC252" i="32"/>
  <c r="BC253" i="32"/>
  <c r="BC254" i="32"/>
  <c r="BC255" i="32"/>
  <c r="BC256" i="32"/>
  <c r="BC257" i="32"/>
  <c r="BC258" i="32"/>
  <c r="BC259" i="32"/>
  <c r="BC260" i="32"/>
  <c r="BC261" i="32"/>
  <c r="BC262" i="32"/>
  <c r="BC263" i="32"/>
  <c r="BC264" i="32"/>
  <c r="BC265" i="32"/>
  <c r="BC266" i="32"/>
  <c r="BC267" i="32"/>
  <c r="BC268" i="32"/>
  <c r="BC269" i="32"/>
  <c r="BC270" i="32"/>
  <c r="BC271" i="32"/>
  <c r="BC272" i="32"/>
  <c r="BC273" i="32"/>
  <c r="BC274" i="32"/>
  <c r="BC275" i="32"/>
  <c r="BC276" i="32"/>
  <c r="BC277" i="32"/>
  <c r="BC278" i="32"/>
  <c r="BC279" i="32"/>
  <c r="BC280" i="32"/>
  <c r="BC281" i="32"/>
  <c r="BC282" i="32"/>
  <c r="BC283" i="32"/>
  <c r="BC284" i="32"/>
  <c r="BC285" i="32"/>
  <c r="BC286" i="32"/>
  <c r="BC287" i="32"/>
  <c r="BC288" i="32"/>
  <c r="BC289" i="32"/>
  <c r="BC290" i="32"/>
  <c r="BC291" i="32"/>
  <c r="BC292" i="32"/>
  <c r="BC293" i="32"/>
  <c r="BC294" i="32"/>
  <c r="BC295" i="32"/>
  <c r="BC296" i="32"/>
  <c r="BC297" i="32"/>
  <c r="BC298" i="32"/>
  <c r="BC299" i="32"/>
  <c r="BC300" i="32"/>
  <c r="BC301" i="32"/>
  <c r="BC302" i="32"/>
  <c r="BC303" i="32"/>
  <c r="BC304" i="32"/>
  <c r="BC305" i="32"/>
  <c r="BC306" i="32"/>
  <c r="BC307" i="32"/>
  <c r="BC308" i="32"/>
  <c r="BC309" i="32"/>
  <c r="BC310" i="32"/>
  <c r="BC311" i="32"/>
  <c r="BC312" i="32"/>
  <c r="BC313" i="32"/>
  <c r="BC314" i="32"/>
  <c r="BC315" i="32"/>
  <c r="BC316" i="32"/>
  <c r="BC317" i="32"/>
  <c r="BC318" i="32"/>
  <c r="BC319" i="32"/>
  <c r="BC320" i="32"/>
  <c r="BC321" i="32"/>
  <c r="BC322" i="32"/>
  <c r="BC323" i="32"/>
  <c r="BC324" i="32"/>
  <c r="BC325" i="32"/>
  <c r="BC326" i="32"/>
  <c r="BC327" i="32"/>
  <c r="BC328" i="32"/>
  <c r="BC329" i="32"/>
  <c r="BC330" i="32"/>
  <c r="BC331" i="32"/>
  <c r="BC332" i="32"/>
  <c r="BC333" i="32"/>
  <c r="BC334" i="32"/>
  <c r="BC335" i="32"/>
  <c r="BC336" i="32"/>
  <c r="BC337" i="32"/>
  <c r="BC338" i="32"/>
  <c r="BC339" i="32"/>
  <c r="BC340" i="32"/>
  <c r="BC341" i="32"/>
  <c r="BC342" i="32"/>
  <c r="BC343" i="32"/>
  <c r="BC344" i="32"/>
  <c r="BC345" i="32"/>
  <c r="BC346" i="32"/>
  <c r="BC347" i="32"/>
  <c r="BC348" i="32"/>
  <c r="BC349" i="32"/>
  <c r="BC350" i="32"/>
  <c r="BC351" i="32"/>
  <c r="BC352" i="32"/>
  <c r="BC353" i="32"/>
  <c r="BC354" i="32"/>
  <c r="BC355" i="32"/>
  <c r="BC356" i="32"/>
  <c r="BC357" i="32"/>
  <c r="BC358" i="32"/>
  <c r="BC359" i="32"/>
  <c r="BC360" i="32"/>
  <c r="BC361" i="32"/>
  <c r="BC362" i="32"/>
  <c r="BC363" i="32"/>
  <c r="BC364" i="32"/>
  <c r="BC365" i="32"/>
  <c r="BC366" i="32"/>
  <c r="BC367" i="32"/>
  <c r="BC368" i="32"/>
  <c r="BC369" i="32"/>
  <c r="BC370" i="32"/>
  <c r="BC371" i="32"/>
  <c r="BC372" i="32"/>
  <c r="BC373" i="32"/>
  <c r="BC374" i="32"/>
  <c r="BC375" i="32"/>
  <c r="BC376" i="32"/>
  <c r="BC377" i="32"/>
  <c r="BC378" i="32"/>
  <c r="BC379" i="32"/>
  <c r="BC380" i="32"/>
  <c r="BC381" i="32"/>
  <c r="BC382" i="32"/>
  <c r="BC383" i="32"/>
  <c r="BC384" i="32"/>
  <c r="BC385" i="32"/>
  <c r="BC386" i="32"/>
  <c r="BC387" i="32"/>
  <c r="BC388" i="32"/>
  <c r="BC389" i="32"/>
  <c r="BC390" i="32"/>
  <c r="BC391" i="32"/>
  <c r="BC392" i="32"/>
  <c r="BC393" i="32"/>
  <c r="BC394" i="32"/>
  <c r="BC395" i="32"/>
  <c r="BC396" i="32"/>
  <c r="BC397" i="32"/>
  <c r="BC398" i="32"/>
  <c r="BC399" i="32"/>
  <c r="BC400" i="32"/>
  <c r="BC401" i="32"/>
  <c r="BC402" i="32"/>
  <c r="BC403" i="32"/>
  <c r="BC404" i="32"/>
  <c r="BC405" i="32"/>
  <c r="BC406" i="32"/>
  <c r="BC407" i="32"/>
  <c r="BC408" i="32"/>
  <c r="BC409" i="32"/>
  <c r="BC410" i="32"/>
  <c r="BC411" i="32"/>
  <c r="BC412" i="32"/>
  <c r="BC413" i="32"/>
  <c r="BC414" i="32"/>
  <c r="BC415" i="32"/>
  <c r="BC416" i="32"/>
  <c r="BC417" i="32"/>
  <c r="BC418" i="32"/>
  <c r="BC419" i="32"/>
  <c r="BC420" i="32"/>
  <c r="BC4" i="32"/>
  <c r="BD5" i="32"/>
  <c r="BD6" i="32"/>
  <c r="BD7" i="32"/>
  <c r="BD8" i="32"/>
  <c r="BD9" i="32"/>
  <c r="BD10" i="32"/>
  <c r="BD11" i="32"/>
  <c r="BD12" i="32"/>
  <c r="BD13" i="32"/>
  <c r="BD14" i="32"/>
  <c r="BD15" i="32"/>
  <c r="BD16" i="32"/>
  <c r="BD17" i="32"/>
  <c r="BD18" i="32"/>
  <c r="BD19" i="32"/>
  <c r="BD20" i="32"/>
  <c r="BD21" i="32"/>
  <c r="BD22" i="32"/>
  <c r="BD23" i="32"/>
  <c r="BD24" i="32"/>
  <c r="BD25" i="32"/>
  <c r="BD26" i="32"/>
  <c r="BD27" i="32"/>
  <c r="BD28" i="32"/>
  <c r="BD29" i="32"/>
  <c r="BD30" i="32"/>
  <c r="BD31" i="32"/>
  <c r="BD32" i="32"/>
  <c r="BD33" i="32"/>
  <c r="BD34" i="32"/>
  <c r="BD35" i="32"/>
  <c r="BD36" i="32"/>
  <c r="BD37" i="32"/>
  <c r="BD38" i="32"/>
  <c r="BD39" i="32"/>
  <c r="BD40" i="32"/>
  <c r="BD41" i="32"/>
  <c r="BD42" i="32"/>
  <c r="BD43" i="32"/>
  <c r="BD44" i="32"/>
  <c r="BD45" i="32"/>
  <c r="BD46" i="32"/>
  <c r="BD47" i="32"/>
  <c r="BD48" i="32"/>
  <c r="BD49" i="32"/>
  <c r="BD50" i="32"/>
  <c r="BD51" i="32"/>
  <c r="BD52" i="32"/>
  <c r="BD53" i="32"/>
  <c r="BD54" i="32"/>
  <c r="BD55" i="32"/>
  <c r="BD56" i="32"/>
  <c r="BD57" i="32"/>
  <c r="BD58" i="32"/>
  <c r="BD59" i="32"/>
  <c r="BD60" i="32"/>
  <c r="BD61" i="32"/>
  <c r="BD62" i="32"/>
  <c r="BD63" i="32"/>
  <c r="BD64" i="32"/>
  <c r="BD65" i="32"/>
  <c r="BD66" i="32"/>
  <c r="BD67" i="32"/>
  <c r="BD68" i="32"/>
  <c r="BD69" i="32"/>
  <c r="BD70" i="32"/>
  <c r="BD71" i="32"/>
  <c r="BD72" i="32"/>
  <c r="BD73" i="32"/>
  <c r="BD74" i="32"/>
  <c r="BD75" i="32"/>
  <c r="BD76" i="32"/>
  <c r="BD77" i="32"/>
  <c r="BD78" i="32"/>
  <c r="BD79" i="32"/>
  <c r="BD80" i="32"/>
  <c r="BD81" i="32"/>
  <c r="BD82" i="32"/>
  <c r="BD83" i="32"/>
  <c r="BD84" i="32"/>
  <c r="BD85" i="32"/>
  <c r="BD86" i="32"/>
  <c r="BD87" i="32"/>
  <c r="BD88" i="32"/>
  <c r="BD89" i="32"/>
  <c r="BD90" i="32"/>
  <c r="BD91" i="32"/>
  <c r="BD92" i="32"/>
  <c r="BD93" i="32"/>
  <c r="BD94" i="32"/>
  <c r="BD95" i="32"/>
  <c r="BD96" i="32"/>
  <c r="BD97" i="32"/>
  <c r="BD98" i="32"/>
  <c r="BD99" i="32"/>
  <c r="BD100" i="32"/>
  <c r="BD101" i="32"/>
  <c r="BD102" i="32"/>
  <c r="BD103" i="32"/>
  <c r="BD104" i="32"/>
  <c r="BD105" i="32"/>
  <c r="BD106" i="32"/>
  <c r="BD107" i="32"/>
  <c r="BD108" i="32"/>
  <c r="BD109" i="32"/>
  <c r="BD110" i="32"/>
  <c r="BD111" i="32"/>
  <c r="BD112" i="32"/>
  <c r="BD113" i="32"/>
  <c r="BD114" i="32"/>
  <c r="BD115" i="32"/>
  <c r="BD116" i="32"/>
  <c r="BD117" i="32"/>
  <c r="BD118" i="32"/>
  <c r="BD119" i="32"/>
  <c r="BD120" i="32"/>
  <c r="BD121" i="32"/>
  <c r="BD122" i="32"/>
  <c r="BD123" i="32"/>
  <c r="BD124" i="32"/>
  <c r="BD125" i="32"/>
  <c r="BD126" i="32"/>
  <c r="BD127" i="32"/>
  <c r="BD128" i="32"/>
  <c r="BD129" i="32"/>
  <c r="BD130" i="32"/>
  <c r="BD131" i="32"/>
  <c r="BD132" i="32"/>
  <c r="BD133" i="32"/>
  <c r="BD134" i="32"/>
  <c r="BD135" i="32"/>
  <c r="BD136" i="32"/>
  <c r="BD137" i="32"/>
  <c r="BD138" i="32"/>
  <c r="BD139" i="32"/>
  <c r="BD140" i="32"/>
  <c r="BD141" i="32"/>
  <c r="BD142" i="32"/>
  <c r="BD143" i="32"/>
  <c r="BD144" i="32"/>
  <c r="BD145" i="32"/>
  <c r="BD146" i="32"/>
  <c r="BD147" i="32"/>
  <c r="BD148" i="32"/>
  <c r="BD149" i="32"/>
  <c r="BD150" i="32"/>
  <c r="BD151" i="32"/>
  <c r="BD152" i="32"/>
  <c r="BD153" i="32"/>
  <c r="BD154" i="32"/>
  <c r="BD155" i="32"/>
  <c r="BD156" i="32"/>
  <c r="BD157" i="32"/>
  <c r="BD158" i="32"/>
  <c r="BD159" i="32"/>
  <c r="BD160" i="32"/>
  <c r="BD161" i="32"/>
  <c r="BD162" i="32"/>
  <c r="BD163" i="32"/>
  <c r="BD164" i="32"/>
  <c r="BD165" i="32"/>
  <c r="BD166" i="32"/>
  <c r="BD167" i="32"/>
  <c r="BD168" i="32"/>
  <c r="BD169" i="32"/>
  <c r="BD170" i="32"/>
  <c r="BD171" i="32"/>
  <c r="BD172" i="32"/>
  <c r="BD173" i="32"/>
  <c r="BD174" i="32"/>
  <c r="BD175" i="32"/>
  <c r="BD176" i="32"/>
  <c r="BD177" i="32"/>
  <c r="BD178" i="32"/>
  <c r="BD179" i="32"/>
  <c r="BD180" i="32"/>
  <c r="BD181" i="32"/>
  <c r="BD182" i="32"/>
  <c r="BD183" i="32"/>
  <c r="BD184" i="32"/>
  <c r="BD185" i="32"/>
  <c r="BD186" i="32"/>
  <c r="BD187" i="32"/>
  <c r="BD188" i="32"/>
  <c r="BD189" i="32"/>
  <c r="BD190" i="32"/>
  <c r="BD191" i="32"/>
  <c r="BD192" i="32"/>
  <c r="BD193" i="32"/>
  <c r="BD194" i="32"/>
  <c r="BD195" i="32"/>
  <c r="BD196" i="32"/>
  <c r="BD197" i="32"/>
  <c r="BD198" i="32"/>
  <c r="BD199" i="32"/>
  <c r="BD200" i="32"/>
  <c r="BD201" i="32"/>
  <c r="BD202" i="32"/>
  <c r="BD203" i="32"/>
  <c r="BD204" i="32"/>
  <c r="BD205" i="32"/>
  <c r="BD206" i="32"/>
  <c r="BD207" i="32"/>
  <c r="BD208" i="32"/>
  <c r="BD209" i="32"/>
  <c r="BD210" i="32"/>
  <c r="BD211" i="32"/>
  <c r="BD212" i="32"/>
  <c r="BD213" i="32"/>
  <c r="BD214" i="32"/>
  <c r="BD215" i="32"/>
  <c r="BD216" i="32"/>
  <c r="BD217" i="32"/>
  <c r="BD218" i="32"/>
  <c r="BD219" i="32"/>
  <c r="BD220" i="32"/>
  <c r="BD221" i="32"/>
  <c r="BD222" i="32"/>
  <c r="BD223" i="32"/>
  <c r="BD224" i="32"/>
  <c r="BD225" i="32"/>
  <c r="BD226" i="32"/>
  <c r="BD227" i="32"/>
  <c r="BD228" i="32"/>
  <c r="BD229" i="32"/>
  <c r="BD230" i="32"/>
  <c r="BD231" i="32"/>
  <c r="BD232" i="32"/>
  <c r="BD233" i="32"/>
  <c r="BD234" i="32"/>
  <c r="BD235" i="32"/>
  <c r="BD236" i="32"/>
  <c r="BD237" i="32"/>
  <c r="BD238" i="32"/>
  <c r="BD239" i="32"/>
  <c r="BD240" i="32"/>
  <c r="BD241" i="32"/>
  <c r="BD242" i="32"/>
  <c r="BD243" i="32"/>
  <c r="BD244" i="32"/>
  <c r="BD245" i="32"/>
  <c r="BD246" i="32"/>
  <c r="BD247" i="32"/>
  <c r="BD248" i="32"/>
  <c r="BD249" i="32"/>
  <c r="BD250" i="32"/>
  <c r="BD251" i="32"/>
  <c r="BD252" i="32"/>
  <c r="BD253" i="32"/>
  <c r="BD254" i="32"/>
  <c r="BD255" i="32"/>
  <c r="BD256" i="32"/>
  <c r="BD257" i="32"/>
  <c r="BD258" i="32"/>
  <c r="BD259" i="32"/>
  <c r="BD260" i="32"/>
  <c r="BD261" i="32"/>
  <c r="BD262" i="32"/>
  <c r="BD263" i="32"/>
  <c r="BD264" i="32"/>
  <c r="BD265" i="32"/>
  <c r="BD266" i="32"/>
  <c r="BD267" i="32"/>
  <c r="BD268" i="32"/>
  <c r="BD269" i="32"/>
  <c r="BD270" i="32"/>
  <c r="BD271" i="32"/>
  <c r="BD272" i="32"/>
  <c r="BD273" i="32"/>
  <c r="BD274" i="32"/>
  <c r="BD275" i="32"/>
  <c r="BD276" i="32"/>
  <c r="BD277" i="32"/>
  <c r="BD278" i="32"/>
  <c r="BD279" i="32"/>
  <c r="BD280" i="32"/>
  <c r="BD281" i="32"/>
  <c r="BD282" i="32"/>
  <c r="BD283" i="32"/>
  <c r="BD284" i="32"/>
  <c r="BD285" i="32"/>
  <c r="BD286" i="32"/>
  <c r="BD287" i="32"/>
  <c r="BD288" i="32"/>
  <c r="BD289" i="32"/>
  <c r="BD290" i="32"/>
  <c r="BD291" i="32"/>
  <c r="BD292" i="32"/>
  <c r="BD293" i="32"/>
  <c r="BD294" i="32"/>
  <c r="BD295" i="32"/>
  <c r="BD296" i="32"/>
  <c r="BD297" i="32"/>
  <c r="BD298" i="32"/>
  <c r="BD299" i="32"/>
  <c r="BD300" i="32"/>
  <c r="BD301" i="32"/>
  <c r="BD302" i="32"/>
  <c r="BD303" i="32"/>
  <c r="BD304" i="32"/>
  <c r="BD305" i="32"/>
  <c r="BD306" i="32"/>
  <c r="BD307" i="32"/>
  <c r="BD308" i="32"/>
  <c r="BD309" i="32"/>
  <c r="BD310" i="32"/>
  <c r="BD311" i="32"/>
  <c r="BD312" i="32"/>
  <c r="BD313" i="32"/>
  <c r="BD314" i="32"/>
  <c r="BD315" i="32"/>
  <c r="BD316" i="32"/>
  <c r="BD317" i="32"/>
  <c r="BD318" i="32"/>
  <c r="BD319" i="32"/>
  <c r="BD320" i="32"/>
  <c r="BD321" i="32"/>
  <c r="BD322" i="32"/>
  <c r="BD323" i="32"/>
  <c r="BD324" i="32"/>
  <c r="BD325" i="32"/>
  <c r="BD326" i="32"/>
  <c r="BD327" i="32"/>
  <c r="BD328" i="32"/>
  <c r="BD329" i="32"/>
  <c r="BD330" i="32"/>
  <c r="BD331" i="32"/>
  <c r="BD332" i="32"/>
  <c r="BD333" i="32"/>
  <c r="BD334" i="32"/>
  <c r="BD335" i="32"/>
  <c r="BD336" i="32"/>
  <c r="BD337" i="32"/>
  <c r="BD338" i="32"/>
  <c r="BD339" i="32"/>
  <c r="BD340" i="32"/>
  <c r="BD341" i="32"/>
  <c r="BD342" i="32"/>
  <c r="BD343" i="32"/>
  <c r="BD344" i="32"/>
  <c r="BD345" i="32"/>
  <c r="BD346" i="32"/>
  <c r="BD347" i="32"/>
  <c r="BD348" i="32"/>
  <c r="BD349" i="32"/>
  <c r="BD350" i="32"/>
  <c r="BD351" i="32"/>
  <c r="BD352" i="32"/>
  <c r="BD353" i="32"/>
  <c r="BD354" i="32"/>
  <c r="BD355" i="32"/>
  <c r="BD356" i="32"/>
  <c r="BD357" i="32"/>
  <c r="BD358" i="32"/>
  <c r="BD359" i="32"/>
  <c r="BD360" i="32"/>
  <c r="BD361" i="32"/>
  <c r="BD362" i="32"/>
  <c r="BD363" i="32"/>
  <c r="BD364" i="32"/>
  <c r="BD365" i="32"/>
  <c r="BD366" i="32"/>
  <c r="BD367" i="32"/>
  <c r="BD368" i="32"/>
  <c r="BD369" i="32"/>
  <c r="BD370" i="32"/>
  <c r="BD371" i="32"/>
  <c r="BD372" i="32"/>
  <c r="BD373" i="32"/>
  <c r="BD374" i="32"/>
  <c r="BD375" i="32"/>
  <c r="BD376" i="32"/>
  <c r="BD377" i="32"/>
  <c r="BD378" i="32"/>
  <c r="BD379" i="32"/>
  <c r="BD380" i="32"/>
  <c r="BD381" i="32"/>
  <c r="BD382" i="32"/>
  <c r="BD383" i="32"/>
  <c r="BD384" i="32"/>
  <c r="BD385" i="32"/>
  <c r="BD386" i="32"/>
  <c r="BD387" i="32"/>
  <c r="BD388" i="32"/>
  <c r="BD389" i="32"/>
  <c r="BD390" i="32"/>
  <c r="BD391" i="32"/>
  <c r="BD392" i="32"/>
  <c r="BD393" i="32"/>
  <c r="BD394" i="32"/>
  <c r="BD395" i="32"/>
  <c r="BD396" i="32"/>
  <c r="BD397" i="32"/>
  <c r="BD398" i="32"/>
  <c r="BD399" i="32"/>
  <c r="BD400" i="32"/>
  <c r="BD401" i="32"/>
  <c r="BD402" i="32"/>
  <c r="BD403" i="32"/>
  <c r="BD404" i="32"/>
  <c r="BD405" i="32"/>
  <c r="BD406" i="32"/>
  <c r="BD407" i="32"/>
  <c r="BD408" i="32"/>
  <c r="BD409" i="32"/>
  <c r="BD410" i="32"/>
  <c r="BD411" i="32"/>
  <c r="BD412" i="32"/>
  <c r="BD413" i="32"/>
  <c r="BD414" i="32"/>
  <c r="BD415" i="32"/>
  <c r="BD416" i="32"/>
  <c r="BD417" i="32"/>
  <c r="BD418" i="32"/>
  <c r="BD419" i="32"/>
  <c r="BD420" i="32"/>
  <c r="BD4" i="32"/>
  <c r="G162" i="23"/>
  <c r="I162" i="23"/>
  <c r="J162" i="23"/>
  <c r="K162" i="23"/>
  <c r="G193" i="23"/>
  <c r="I193" i="23"/>
  <c r="J193" i="23"/>
  <c r="K193" i="23"/>
  <c r="G542" i="23"/>
  <c r="I542" i="23"/>
  <c r="J542" i="23"/>
  <c r="K542" i="23"/>
  <c r="BO5" i="32"/>
  <c r="BO6" i="32"/>
  <c r="B4" i="32"/>
  <c r="BH5" i="32"/>
  <c r="BZ5" i="32"/>
  <c r="CA5" i="32"/>
  <c r="CB5" i="32"/>
  <c r="BI5" i="32"/>
  <c r="BF5" i="32"/>
  <c r="BG5" i="32"/>
  <c r="BF6" i="32"/>
  <c r="BG6" i="32"/>
  <c r="BF7" i="32"/>
  <c r="BG7" i="32"/>
  <c r="BF8" i="32"/>
  <c r="BG8" i="32"/>
  <c r="BF9" i="32"/>
  <c r="BG9" i="32"/>
  <c r="BF10" i="32"/>
  <c r="BG10" i="32"/>
  <c r="BF11" i="32"/>
  <c r="BG11" i="32"/>
  <c r="BF12" i="32"/>
  <c r="BG12" i="32"/>
  <c r="BF13" i="32"/>
  <c r="BG13" i="32"/>
  <c r="BF14" i="32"/>
  <c r="BG14" i="32"/>
  <c r="BF15" i="32"/>
  <c r="BG15" i="32"/>
  <c r="BF16" i="32"/>
  <c r="BG16" i="32"/>
  <c r="BF17" i="32"/>
  <c r="BG17" i="32"/>
  <c r="BF18" i="32"/>
  <c r="BG18" i="32"/>
  <c r="BF19" i="32"/>
  <c r="BG19" i="32"/>
  <c r="BF20" i="32"/>
  <c r="BG20" i="32"/>
  <c r="BF21" i="32"/>
  <c r="BG21" i="32"/>
  <c r="BF22" i="32"/>
  <c r="BG22" i="32"/>
  <c r="BF23" i="32"/>
  <c r="BG23" i="32"/>
  <c r="BF24" i="32"/>
  <c r="BG24" i="32"/>
  <c r="BF25" i="32"/>
  <c r="BG25" i="32"/>
  <c r="BF26" i="32"/>
  <c r="BG26" i="32"/>
  <c r="BF27" i="32"/>
  <c r="BG27" i="32"/>
  <c r="BF28" i="32"/>
  <c r="BG28" i="32"/>
  <c r="BF29" i="32"/>
  <c r="BG29" i="32"/>
  <c r="BF30" i="32"/>
  <c r="BG30" i="32"/>
  <c r="BF31" i="32"/>
  <c r="BG31" i="32"/>
  <c r="BF32" i="32"/>
  <c r="BG32" i="32"/>
  <c r="BF33" i="32"/>
  <c r="BG33" i="32"/>
  <c r="BF34" i="32"/>
  <c r="BG34" i="32"/>
  <c r="BF35" i="32"/>
  <c r="BG35" i="32"/>
  <c r="BF36" i="32"/>
  <c r="BG36" i="32"/>
  <c r="BF37" i="32"/>
  <c r="BG37" i="32"/>
  <c r="BF38" i="32"/>
  <c r="BG38" i="32"/>
  <c r="BF39" i="32"/>
  <c r="BG39" i="32"/>
  <c r="BF40" i="32"/>
  <c r="BG40" i="32"/>
  <c r="BF41" i="32"/>
  <c r="BG41" i="32"/>
  <c r="BF42" i="32"/>
  <c r="BG42" i="32"/>
  <c r="BF43" i="32"/>
  <c r="BG43" i="32"/>
  <c r="BF44" i="32"/>
  <c r="BG44" i="32"/>
  <c r="BF45" i="32"/>
  <c r="BG45" i="32"/>
  <c r="BF46" i="32"/>
  <c r="BG46" i="32"/>
  <c r="BF47" i="32"/>
  <c r="BG47" i="32"/>
  <c r="BF48" i="32"/>
  <c r="BG48" i="32"/>
  <c r="BF49" i="32"/>
  <c r="BG49" i="32"/>
  <c r="BF50" i="32"/>
  <c r="BG50" i="32"/>
  <c r="BF51" i="32"/>
  <c r="BG51" i="32"/>
  <c r="BF52" i="32"/>
  <c r="BG52" i="32"/>
  <c r="BF53" i="32"/>
  <c r="BG53" i="32"/>
  <c r="BF54" i="32"/>
  <c r="BG54" i="32"/>
  <c r="BF55" i="32"/>
  <c r="BG55" i="32"/>
  <c r="BF56" i="32"/>
  <c r="BG56" i="32"/>
  <c r="BF57" i="32"/>
  <c r="BG57" i="32"/>
  <c r="BF58" i="32"/>
  <c r="BG58" i="32"/>
  <c r="BF59" i="32"/>
  <c r="BG59" i="32"/>
  <c r="BF60" i="32"/>
  <c r="BG60" i="32"/>
  <c r="BF61" i="32"/>
  <c r="BG61" i="32"/>
  <c r="BF62" i="32"/>
  <c r="BG62" i="32"/>
  <c r="BF63" i="32"/>
  <c r="BG63" i="32"/>
  <c r="BF64" i="32"/>
  <c r="BG64" i="32"/>
  <c r="BF65" i="32"/>
  <c r="BG65" i="32"/>
  <c r="BF66" i="32"/>
  <c r="BG66" i="32"/>
  <c r="BF67" i="32"/>
  <c r="BG67" i="32"/>
  <c r="BF68" i="32"/>
  <c r="BG68" i="32"/>
  <c r="BF69" i="32"/>
  <c r="BG69" i="32"/>
  <c r="BF70" i="32"/>
  <c r="BG70" i="32"/>
  <c r="BF71" i="32"/>
  <c r="BG71" i="32"/>
  <c r="BF72" i="32"/>
  <c r="BG72" i="32"/>
  <c r="BF73" i="32"/>
  <c r="BG73" i="32"/>
  <c r="BF74" i="32"/>
  <c r="BG74" i="32"/>
  <c r="BF75" i="32"/>
  <c r="BG75" i="32"/>
  <c r="BF76" i="32"/>
  <c r="BG76" i="32"/>
  <c r="BF77" i="32"/>
  <c r="BG77" i="32"/>
  <c r="BF78" i="32"/>
  <c r="BG78" i="32"/>
  <c r="BF79" i="32"/>
  <c r="BG79" i="32"/>
  <c r="BF80" i="32"/>
  <c r="BG80" i="32"/>
  <c r="BF81" i="32"/>
  <c r="BG81" i="32"/>
  <c r="BF82" i="32"/>
  <c r="BG82" i="32"/>
  <c r="BF83" i="32"/>
  <c r="BG83" i="32"/>
  <c r="BF84" i="32"/>
  <c r="BG84" i="32"/>
  <c r="BF85" i="32"/>
  <c r="BG85" i="32"/>
  <c r="BF86" i="32"/>
  <c r="BG86" i="32"/>
  <c r="BF87" i="32"/>
  <c r="BG87" i="32"/>
  <c r="BF88" i="32"/>
  <c r="BG88" i="32"/>
  <c r="BF89" i="32"/>
  <c r="BG89" i="32"/>
  <c r="BF90" i="32"/>
  <c r="BG90" i="32"/>
  <c r="BF91" i="32"/>
  <c r="BG91" i="32"/>
  <c r="BF92" i="32"/>
  <c r="BG92" i="32"/>
  <c r="BF93" i="32"/>
  <c r="BG93" i="32"/>
  <c r="BF94" i="32"/>
  <c r="BG94" i="32"/>
  <c r="BF95" i="32"/>
  <c r="BG95" i="32"/>
  <c r="BF96" i="32"/>
  <c r="BG96" i="32"/>
  <c r="BF97" i="32"/>
  <c r="BG97" i="32"/>
  <c r="BF98" i="32"/>
  <c r="BG98" i="32"/>
  <c r="BF99" i="32"/>
  <c r="BG99" i="32"/>
  <c r="BF100" i="32"/>
  <c r="BG100" i="32"/>
  <c r="BF101" i="32"/>
  <c r="BG101" i="32"/>
  <c r="BF102" i="32"/>
  <c r="BG102" i="32"/>
  <c r="BF103" i="32"/>
  <c r="BG103" i="32"/>
  <c r="BF104" i="32"/>
  <c r="BG104" i="32"/>
  <c r="BF105" i="32"/>
  <c r="BG105" i="32"/>
  <c r="BF106" i="32"/>
  <c r="BG106" i="32"/>
  <c r="BF107" i="32"/>
  <c r="BG107" i="32"/>
  <c r="BF108" i="32"/>
  <c r="BG108" i="32"/>
  <c r="BF109" i="32"/>
  <c r="BG109" i="32"/>
  <c r="BF110" i="32"/>
  <c r="BG110" i="32"/>
  <c r="BF111" i="32"/>
  <c r="BG111" i="32"/>
  <c r="BF112" i="32"/>
  <c r="BG112" i="32"/>
  <c r="BF113" i="32"/>
  <c r="BG113" i="32"/>
  <c r="BF114" i="32"/>
  <c r="BG114" i="32"/>
  <c r="BF115" i="32"/>
  <c r="BG115" i="32"/>
  <c r="BF116" i="32"/>
  <c r="BG116" i="32"/>
  <c r="BF117" i="32"/>
  <c r="BG117" i="32"/>
  <c r="BF118" i="32"/>
  <c r="BG118" i="32"/>
  <c r="BF119" i="32"/>
  <c r="BG119" i="32"/>
  <c r="BF120" i="32"/>
  <c r="BG120" i="32"/>
  <c r="BF121" i="32"/>
  <c r="BG121" i="32"/>
  <c r="BF122" i="32"/>
  <c r="BG122" i="32"/>
  <c r="BF123" i="32"/>
  <c r="BG123" i="32"/>
  <c r="BF124" i="32"/>
  <c r="BG124" i="32"/>
  <c r="BF125" i="32"/>
  <c r="BG125" i="32"/>
  <c r="BF126" i="32"/>
  <c r="BG126" i="32"/>
  <c r="BF127" i="32"/>
  <c r="BG127" i="32"/>
  <c r="BF128" i="32"/>
  <c r="BG128" i="32"/>
  <c r="BF129" i="32"/>
  <c r="BG129" i="32"/>
  <c r="BF130" i="32"/>
  <c r="BG130" i="32"/>
  <c r="BF131" i="32"/>
  <c r="BG131" i="32"/>
  <c r="BF132" i="32"/>
  <c r="BG132" i="32"/>
  <c r="BF133" i="32"/>
  <c r="BG133" i="32"/>
  <c r="BF134" i="32"/>
  <c r="BG134" i="32"/>
  <c r="BF135" i="32"/>
  <c r="BG135" i="32"/>
  <c r="BF136" i="32"/>
  <c r="BG136" i="32"/>
  <c r="BF137" i="32"/>
  <c r="BG137" i="32"/>
  <c r="BF138" i="32"/>
  <c r="BG138" i="32"/>
  <c r="BF139" i="32"/>
  <c r="BG139" i="32"/>
  <c r="BF140" i="32"/>
  <c r="BG140" i="32"/>
  <c r="BF141" i="32"/>
  <c r="BG141" i="32"/>
  <c r="BF142" i="32"/>
  <c r="BG142" i="32"/>
  <c r="BF143" i="32"/>
  <c r="BG143" i="32"/>
  <c r="BF144" i="32"/>
  <c r="BG144" i="32"/>
  <c r="BF145" i="32"/>
  <c r="BG145" i="32"/>
  <c r="BF146" i="32"/>
  <c r="BG146" i="32"/>
  <c r="BF147" i="32"/>
  <c r="BG147" i="32"/>
  <c r="BF148" i="32"/>
  <c r="BG148" i="32"/>
  <c r="BF149" i="32"/>
  <c r="BG149" i="32"/>
  <c r="BF150" i="32"/>
  <c r="BG150" i="32"/>
  <c r="BF151" i="32"/>
  <c r="BG151" i="32"/>
  <c r="BF152" i="32"/>
  <c r="BG152" i="32"/>
  <c r="BF153" i="32"/>
  <c r="BG153" i="32"/>
  <c r="BF154" i="32"/>
  <c r="BG154" i="32"/>
  <c r="BF155" i="32"/>
  <c r="BG155" i="32"/>
  <c r="BF156" i="32"/>
  <c r="BG156" i="32"/>
  <c r="BF157" i="32"/>
  <c r="BG157" i="32"/>
  <c r="BF158" i="32"/>
  <c r="BG158" i="32"/>
  <c r="BF159" i="32"/>
  <c r="BG159" i="32"/>
  <c r="BF160" i="32"/>
  <c r="BG160" i="32"/>
  <c r="BF161" i="32"/>
  <c r="BG161" i="32"/>
  <c r="BF162" i="32"/>
  <c r="BG162" i="32"/>
  <c r="BF163" i="32"/>
  <c r="BG163" i="32"/>
  <c r="BF164" i="32"/>
  <c r="BG164" i="32"/>
  <c r="BF165" i="32"/>
  <c r="BG165" i="32"/>
  <c r="BF166" i="32"/>
  <c r="BG166" i="32"/>
  <c r="BF167" i="32"/>
  <c r="BG167" i="32"/>
  <c r="BF168" i="32"/>
  <c r="BG168" i="32"/>
  <c r="BF169" i="32"/>
  <c r="BG169" i="32"/>
  <c r="BF170" i="32"/>
  <c r="BG170" i="32"/>
  <c r="BF171" i="32"/>
  <c r="BG171" i="32"/>
  <c r="BF172" i="32"/>
  <c r="BG172" i="32"/>
  <c r="BF173" i="32"/>
  <c r="BG173" i="32"/>
  <c r="BF174" i="32"/>
  <c r="BG174" i="32"/>
  <c r="BF175" i="32"/>
  <c r="BG175" i="32"/>
  <c r="BF176" i="32"/>
  <c r="BG176" i="32"/>
  <c r="BF177" i="32"/>
  <c r="BG177" i="32"/>
  <c r="BF178" i="32"/>
  <c r="BG178" i="32"/>
  <c r="BF179" i="32"/>
  <c r="BG179" i="32"/>
  <c r="BF180" i="32"/>
  <c r="BG180" i="32"/>
  <c r="BF181" i="32"/>
  <c r="BG181" i="32"/>
  <c r="BF182" i="32"/>
  <c r="BG182" i="32"/>
  <c r="BF183" i="32"/>
  <c r="BG183" i="32"/>
  <c r="BF184" i="32"/>
  <c r="BG184" i="32"/>
  <c r="BF185" i="32"/>
  <c r="BG185" i="32"/>
  <c r="BF186" i="32"/>
  <c r="BG186" i="32"/>
  <c r="BF187" i="32"/>
  <c r="BG187" i="32"/>
  <c r="BF188" i="32"/>
  <c r="BG188" i="32"/>
  <c r="BF189" i="32"/>
  <c r="BG189" i="32"/>
  <c r="BF190" i="32"/>
  <c r="BG190" i="32"/>
  <c r="BF191" i="32"/>
  <c r="BG191" i="32"/>
  <c r="BF192" i="32"/>
  <c r="BG192" i="32"/>
  <c r="BF193" i="32"/>
  <c r="BG193" i="32"/>
  <c r="BF194" i="32"/>
  <c r="BG194" i="32"/>
  <c r="BF195" i="32"/>
  <c r="BG195" i="32"/>
  <c r="BF196" i="32"/>
  <c r="BG196" i="32"/>
  <c r="BF197" i="32"/>
  <c r="BG197" i="32"/>
  <c r="BF198" i="32"/>
  <c r="BG198" i="32"/>
  <c r="BF199" i="32"/>
  <c r="BG199" i="32"/>
  <c r="BF200" i="32"/>
  <c r="BG200" i="32"/>
  <c r="BF201" i="32"/>
  <c r="BG201" i="32"/>
  <c r="BF202" i="32"/>
  <c r="BG202" i="32"/>
  <c r="BF203" i="32"/>
  <c r="BG203" i="32"/>
  <c r="BF204" i="32"/>
  <c r="BG204" i="32"/>
  <c r="BF205" i="32"/>
  <c r="BG205" i="32"/>
  <c r="BF206" i="32"/>
  <c r="BG206" i="32"/>
  <c r="BF207" i="32"/>
  <c r="BG207" i="32"/>
  <c r="BF208" i="32"/>
  <c r="BG208" i="32"/>
  <c r="BF209" i="32"/>
  <c r="BG209" i="32"/>
  <c r="BF210" i="32"/>
  <c r="BG210" i="32"/>
  <c r="BF211" i="32"/>
  <c r="BG211" i="32"/>
  <c r="BF212" i="32"/>
  <c r="BG212" i="32"/>
  <c r="BF213" i="32"/>
  <c r="BG213" i="32"/>
  <c r="BF214" i="32"/>
  <c r="BG214" i="32"/>
  <c r="BF215" i="32"/>
  <c r="BG215" i="32"/>
  <c r="BF216" i="32"/>
  <c r="BG216" i="32"/>
  <c r="BF217" i="32"/>
  <c r="BG217" i="32"/>
  <c r="BF218" i="32"/>
  <c r="BG218" i="32"/>
  <c r="BF219" i="32"/>
  <c r="BG219" i="32"/>
  <c r="BF220" i="32"/>
  <c r="BG220" i="32"/>
  <c r="BF221" i="32"/>
  <c r="BG221" i="32"/>
  <c r="BF222" i="32"/>
  <c r="BG222" i="32"/>
  <c r="BF223" i="32"/>
  <c r="BG223" i="32"/>
  <c r="BF224" i="32"/>
  <c r="BG224" i="32"/>
  <c r="BF225" i="32"/>
  <c r="BG225" i="32"/>
  <c r="BF226" i="32"/>
  <c r="BG226" i="32"/>
  <c r="BF227" i="32"/>
  <c r="BG227" i="32"/>
  <c r="BF228" i="32"/>
  <c r="BG228" i="32"/>
  <c r="BF229" i="32"/>
  <c r="BG229" i="32"/>
  <c r="BF230" i="32"/>
  <c r="BG230" i="32"/>
  <c r="BF231" i="32"/>
  <c r="BG231" i="32"/>
  <c r="BF232" i="32"/>
  <c r="BG232" i="32"/>
  <c r="BF233" i="32"/>
  <c r="BG233" i="32"/>
  <c r="BF234" i="32"/>
  <c r="BG234" i="32"/>
  <c r="BF235" i="32"/>
  <c r="BG235" i="32"/>
  <c r="BF236" i="32"/>
  <c r="BG236" i="32"/>
  <c r="BF237" i="32"/>
  <c r="BG237" i="32"/>
  <c r="BF238" i="32"/>
  <c r="BG238" i="32"/>
  <c r="BF239" i="32"/>
  <c r="BG239" i="32"/>
  <c r="BF240" i="32"/>
  <c r="BG240" i="32"/>
  <c r="BF241" i="32"/>
  <c r="BG241" i="32"/>
  <c r="BF242" i="32"/>
  <c r="BG242" i="32"/>
  <c r="BF243" i="32"/>
  <c r="BG243" i="32"/>
  <c r="BF244" i="32"/>
  <c r="BG244" i="32"/>
  <c r="BF245" i="32"/>
  <c r="BG245" i="32"/>
  <c r="BF246" i="32"/>
  <c r="BG246" i="32"/>
  <c r="BF247" i="32"/>
  <c r="BG247" i="32"/>
  <c r="BF248" i="32"/>
  <c r="BG248" i="32"/>
  <c r="BF249" i="32"/>
  <c r="BG249" i="32"/>
  <c r="BF250" i="32"/>
  <c r="BG250" i="32"/>
  <c r="BF251" i="32"/>
  <c r="BG251" i="32"/>
  <c r="BF252" i="32"/>
  <c r="BG252" i="32"/>
  <c r="BF253" i="32"/>
  <c r="BG253" i="32"/>
  <c r="BF254" i="32"/>
  <c r="BG254" i="32"/>
  <c r="BF255" i="32"/>
  <c r="BG255" i="32"/>
  <c r="BF256" i="32"/>
  <c r="BG256" i="32"/>
  <c r="BF257" i="32"/>
  <c r="BG257" i="32"/>
  <c r="BF258" i="32"/>
  <c r="BG258" i="32"/>
  <c r="BF259" i="32"/>
  <c r="BG259" i="32"/>
  <c r="BF260" i="32"/>
  <c r="BG260" i="32"/>
  <c r="BF261" i="32"/>
  <c r="BG261" i="32"/>
  <c r="BF262" i="32"/>
  <c r="BG262" i="32"/>
  <c r="BF263" i="32"/>
  <c r="BG263" i="32"/>
  <c r="BF264" i="32"/>
  <c r="BG264" i="32"/>
  <c r="BF265" i="32"/>
  <c r="BG265" i="32"/>
  <c r="BF266" i="32"/>
  <c r="BG266" i="32"/>
  <c r="BF267" i="32"/>
  <c r="BG267" i="32"/>
  <c r="BF268" i="32"/>
  <c r="BG268" i="32"/>
  <c r="BF269" i="32"/>
  <c r="BG269" i="32"/>
  <c r="BF270" i="32"/>
  <c r="BG270" i="32"/>
  <c r="BF271" i="32"/>
  <c r="BG271" i="32"/>
  <c r="BF272" i="32"/>
  <c r="BG272" i="32"/>
  <c r="BF273" i="32"/>
  <c r="BG273" i="32"/>
  <c r="BF274" i="32"/>
  <c r="BG274" i="32"/>
  <c r="BF275" i="32"/>
  <c r="BG275" i="32"/>
  <c r="BF276" i="32"/>
  <c r="BG276" i="32"/>
  <c r="BF277" i="32"/>
  <c r="BG277" i="32"/>
  <c r="BF278" i="32"/>
  <c r="BG278" i="32"/>
  <c r="BF279" i="32"/>
  <c r="BG279" i="32"/>
  <c r="BF280" i="32"/>
  <c r="BG280" i="32"/>
  <c r="BF281" i="32"/>
  <c r="BG281" i="32"/>
  <c r="BF282" i="32"/>
  <c r="BG282" i="32"/>
  <c r="BF283" i="32"/>
  <c r="BG283" i="32"/>
  <c r="BF284" i="32"/>
  <c r="BG284" i="32"/>
  <c r="BF285" i="32"/>
  <c r="BG285" i="32"/>
  <c r="BF286" i="32"/>
  <c r="BG286" i="32"/>
  <c r="BF287" i="32"/>
  <c r="BG287" i="32"/>
  <c r="BF288" i="32"/>
  <c r="BG288" i="32"/>
  <c r="BF289" i="32"/>
  <c r="BG289" i="32"/>
  <c r="BF290" i="32"/>
  <c r="BG290" i="32"/>
  <c r="BF291" i="32"/>
  <c r="BG291" i="32"/>
  <c r="BF292" i="32"/>
  <c r="BG292" i="32"/>
  <c r="BF293" i="32"/>
  <c r="BG293" i="32"/>
  <c r="BF294" i="32"/>
  <c r="BG294" i="32"/>
  <c r="BF295" i="32"/>
  <c r="BG295" i="32"/>
  <c r="BF296" i="32"/>
  <c r="BG296" i="32"/>
  <c r="BF297" i="32"/>
  <c r="BG297" i="32"/>
  <c r="BF298" i="32"/>
  <c r="BG298" i="32"/>
  <c r="BF299" i="32"/>
  <c r="BG299" i="32"/>
  <c r="BF300" i="32"/>
  <c r="BG300" i="32"/>
  <c r="BF301" i="32"/>
  <c r="BG301" i="32"/>
  <c r="BF302" i="32"/>
  <c r="BG302" i="32"/>
  <c r="BF303" i="32"/>
  <c r="BG303" i="32"/>
  <c r="BF304" i="32"/>
  <c r="BG304" i="32"/>
  <c r="BF305" i="32"/>
  <c r="BG305" i="32"/>
  <c r="BF306" i="32"/>
  <c r="BG306" i="32"/>
  <c r="BF307" i="32"/>
  <c r="BG307" i="32"/>
  <c r="BF308" i="32"/>
  <c r="BG308" i="32"/>
  <c r="BF309" i="32"/>
  <c r="BG309" i="32"/>
  <c r="BF310" i="32"/>
  <c r="BG310" i="32"/>
  <c r="BF311" i="32"/>
  <c r="BG311" i="32"/>
  <c r="BF312" i="32"/>
  <c r="BG312" i="32"/>
  <c r="BF313" i="32"/>
  <c r="BG313" i="32"/>
  <c r="BF314" i="32"/>
  <c r="BG314" i="32"/>
  <c r="BF315" i="32"/>
  <c r="BG315" i="32"/>
  <c r="BF316" i="32"/>
  <c r="BG316" i="32"/>
  <c r="BF317" i="32"/>
  <c r="BG317" i="32"/>
  <c r="BF318" i="32"/>
  <c r="BG318" i="32"/>
  <c r="BF319" i="32"/>
  <c r="BG319" i="32"/>
  <c r="BF320" i="32"/>
  <c r="BG320" i="32"/>
  <c r="BF321" i="32"/>
  <c r="BG321" i="32"/>
  <c r="BF322" i="32"/>
  <c r="BG322" i="32"/>
  <c r="BF323" i="32"/>
  <c r="BG323" i="32"/>
  <c r="BF324" i="32"/>
  <c r="BG324" i="32"/>
  <c r="BF325" i="32"/>
  <c r="BG325" i="32"/>
  <c r="BF326" i="32"/>
  <c r="BG326" i="32"/>
  <c r="BF327" i="32"/>
  <c r="BG327" i="32"/>
  <c r="BF328" i="32"/>
  <c r="BG328" i="32"/>
  <c r="BF329" i="32"/>
  <c r="BG329" i="32"/>
  <c r="BF330" i="32"/>
  <c r="BG330" i="32"/>
  <c r="BF331" i="32"/>
  <c r="BG331" i="32"/>
  <c r="BF332" i="32"/>
  <c r="BG332" i="32"/>
  <c r="BF333" i="32"/>
  <c r="BG333" i="32"/>
  <c r="BF334" i="32"/>
  <c r="BG334" i="32"/>
  <c r="BF335" i="32"/>
  <c r="BG335" i="32"/>
  <c r="BF336" i="32"/>
  <c r="BG336" i="32"/>
  <c r="BF337" i="32"/>
  <c r="BG337" i="32"/>
  <c r="BF338" i="32"/>
  <c r="BG338" i="32"/>
  <c r="BF339" i="32"/>
  <c r="BG339" i="32"/>
  <c r="B444" i="32"/>
  <c r="BH445" i="32"/>
  <c r="CB445" i="32"/>
  <c r="CB446" i="32"/>
  <c r="BI446" i="32"/>
  <c r="B445" i="32"/>
  <c r="BH446" i="32"/>
  <c r="B446" i="32"/>
  <c r="BH447" i="32"/>
  <c r="B447" i="32"/>
  <c r="BH448" i="32"/>
  <c r="B448" i="32"/>
  <c r="BH449" i="32"/>
  <c r="B449" i="32"/>
  <c r="BH450" i="32"/>
  <c r="B450" i="32"/>
  <c r="BH451" i="32"/>
  <c r="B451" i="32"/>
  <c r="BH452" i="32"/>
  <c r="B452" i="32"/>
  <c r="BH453" i="32"/>
  <c r="B453" i="32"/>
  <c r="BH454" i="32"/>
  <c r="B454" i="32"/>
  <c r="BH455" i="32"/>
  <c r="B455" i="32"/>
  <c r="BH456" i="32"/>
  <c r="B456" i="32"/>
  <c r="BH457" i="32"/>
  <c r="B457" i="32"/>
  <c r="BH458" i="32"/>
  <c r="B458" i="32"/>
  <c r="BH459" i="32"/>
  <c r="B459" i="32"/>
  <c r="BH460" i="32"/>
  <c r="B460" i="32"/>
  <c r="BH461" i="32"/>
  <c r="B461" i="32"/>
  <c r="BH462" i="32"/>
  <c r="B462" i="32"/>
  <c r="BH463" i="32"/>
  <c r="B463" i="32"/>
  <c r="BH464" i="32"/>
  <c r="B464" i="32"/>
  <c r="BH465" i="32"/>
  <c r="B465" i="32"/>
  <c r="BH466" i="32"/>
  <c r="B466" i="32"/>
  <c r="BH467" i="32"/>
  <c r="B467" i="32"/>
  <c r="BH468" i="32"/>
  <c r="B468" i="32"/>
  <c r="BH469" i="32"/>
  <c r="B469" i="32"/>
  <c r="BH470" i="32"/>
  <c r="B470" i="32"/>
  <c r="BH471" i="32"/>
  <c r="B471" i="32"/>
  <c r="BH472" i="32"/>
  <c r="B472" i="32"/>
  <c r="BH473" i="32"/>
  <c r="B473" i="32"/>
  <c r="BH474" i="32"/>
  <c r="B474" i="32"/>
  <c r="BH475" i="32"/>
  <c r="B475" i="32"/>
  <c r="BH476" i="32"/>
  <c r="B476" i="32"/>
  <c r="BH477" i="32"/>
  <c r="B477" i="32"/>
  <c r="BH478" i="32"/>
  <c r="B478" i="32"/>
  <c r="BH479" i="32"/>
  <c r="B479" i="32"/>
  <c r="BH480" i="32"/>
  <c r="B480" i="32"/>
  <c r="BH481" i="32"/>
  <c r="B481" i="32"/>
  <c r="BH482" i="32"/>
  <c r="B482" i="32"/>
  <c r="BH483" i="32"/>
  <c r="B483" i="32"/>
  <c r="BH484" i="32"/>
  <c r="B484" i="32"/>
  <c r="BH485" i="32"/>
  <c r="B485" i="32"/>
  <c r="BH486" i="32"/>
  <c r="B486" i="32"/>
  <c r="BH487" i="32"/>
  <c r="B487" i="32"/>
  <c r="BH488" i="32"/>
  <c r="B488" i="32"/>
  <c r="BH489" i="32"/>
  <c r="B489" i="32"/>
  <c r="BH490" i="32"/>
  <c r="B490" i="32"/>
  <c r="BH491" i="32"/>
  <c r="B491" i="32"/>
  <c r="BH492" i="32"/>
  <c r="B492" i="32"/>
  <c r="BH493" i="32"/>
  <c r="B493" i="32"/>
  <c r="BH494" i="32"/>
  <c r="B494" i="32"/>
  <c r="BH495" i="32"/>
  <c r="B495" i="32"/>
  <c r="BH496" i="32"/>
  <c r="B496" i="32"/>
  <c r="BH497" i="32"/>
  <c r="B497" i="32"/>
  <c r="BH498" i="32"/>
  <c r="B498" i="32"/>
  <c r="BH499" i="32"/>
  <c r="B499" i="32"/>
  <c r="BH500" i="32"/>
  <c r="B500" i="32"/>
  <c r="BH501" i="32"/>
  <c r="B501" i="32"/>
  <c r="BH502" i="32"/>
  <c r="B502" i="32"/>
  <c r="BH503" i="32"/>
  <c r="B503" i="32"/>
  <c r="BH504" i="32"/>
  <c r="B504" i="32"/>
  <c r="BH505" i="32"/>
  <c r="B505" i="32"/>
  <c r="BH506" i="32"/>
  <c r="B506" i="32"/>
  <c r="BH507" i="32"/>
  <c r="B507" i="32"/>
  <c r="BH508" i="32"/>
  <c r="B508" i="32"/>
  <c r="BH509" i="32"/>
  <c r="B509" i="32"/>
  <c r="BH510" i="32"/>
  <c r="B510" i="32"/>
  <c r="BH511" i="32"/>
  <c r="B511" i="32"/>
  <c r="BH512" i="32"/>
  <c r="B512" i="32"/>
  <c r="BH513" i="32"/>
  <c r="B513" i="32"/>
  <c r="BH514" i="32"/>
  <c r="B514" i="32"/>
  <c r="BH515" i="32"/>
  <c r="B515" i="32"/>
  <c r="BH516" i="32"/>
  <c r="B516" i="32"/>
  <c r="BH517" i="32"/>
  <c r="B517" i="32"/>
  <c r="BH518" i="32"/>
  <c r="B518" i="32"/>
  <c r="BH519" i="32"/>
  <c r="B519" i="32"/>
  <c r="BH520" i="32"/>
  <c r="B520" i="32"/>
  <c r="BH521" i="32"/>
  <c r="B521" i="32"/>
  <c r="BH522" i="32"/>
  <c r="B522" i="32"/>
  <c r="BH523" i="32"/>
  <c r="B523" i="32"/>
  <c r="BH524" i="32"/>
  <c r="B524" i="32"/>
  <c r="BH525" i="32"/>
  <c r="B525" i="32"/>
  <c r="BH526" i="32"/>
  <c r="B526" i="32"/>
  <c r="BH527" i="32"/>
  <c r="B527" i="32"/>
  <c r="BH528" i="32"/>
  <c r="B528" i="32"/>
  <c r="BH529" i="32"/>
  <c r="B529" i="32"/>
  <c r="BH530" i="32"/>
  <c r="B530" i="32"/>
  <c r="BH531" i="32"/>
  <c r="B531" i="32"/>
  <c r="BH532" i="32"/>
  <c r="B532" i="32"/>
  <c r="BH533" i="32"/>
  <c r="B533" i="32"/>
  <c r="BH534" i="32"/>
  <c r="B534" i="32"/>
  <c r="BH535" i="32"/>
  <c r="B535" i="32"/>
  <c r="BH536" i="32"/>
  <c r="B536" i="32"/>
  <c r="BH537" i="32"/>
  <c r="B537" i="32"/>
  <c r="BH538" i="32"/>
  <c r="B538" i="32"/>
  <c r="BH539" i="32"/>
  <c r="B539" i="32"/>
  <c r="BH540" i="32"/>
  <c r="B540" i="32"/>
  <c r="BH541" i="32"/>
  <c r="B541" i="32"/>
  <c r="BH542" i="32"/>
  <c r="B542" i="32"/>
  <c r="BH543" i="32"/>
  <c r="B543" i="32"/>
  <c r="BH544" i="32"/>
  <c r="B544" i="32"/>
  <c r="BH545" i="32"/>
  <c r="B545" i="32"/>
  <c r="BH546" i="32"/>
  <c r="B546" i="32"/>
  <c r="BH547" i="32"/>
  <c r="B547" i="32"/>
  <c r="BH548" i="32"/>
  <c r="B548" i="32"/>
  <c r="BH549" i="32"/>
  <c r="B549" i="32"/>
  <c r="BH550" i="32"/>
  <c r="B550" i="32"/>
  <c r="BH551" i="32"/>
  <c r="B551" i="32"/>
  <c r="BH552" i="32"/>
  <c r="B552" i="32"/>
  <c r="BH553" i="32"/>
  <c r="B553" i="32"/>
  <c r="BH554" i="32"/>
  <c r="B554" i="32"/>
  <c r="BH555" i="32"/>
  <c r="B555" i="32"/>
  <c r="BH556" i="32"/>
  <c r="B556" i="32"/>
  <c r="BH557" i="32"/>
  <c r="B557" i="32"/>
  <c r="BH558" i="32"/>
  <c r="B558" i="32"/>
  <c r="BH559" i="32"/>
  <c r="B559" i="32"/>
  <c r="BH560" i="32"/>
  <c r="B560" i="32"/>
  <c r="BH561" i="32"/>
  <c r="B561" i="32"/>
  <c r="BH562" i="32"/>
  <c r="B562" i="32"/>
  <c r="BH563" i="32"/>
  <c r="B563" i="32"/>
  <c r="BH564" i="32"/>
  <c r="B564" i="32"/>
  <c r="BH565" i="32"/>
  <c r="B565" i="32"/>
  <c r="BH566" i="32"/>
  <c r="B566" i="32"/>
  <c r="BH567" i="32"/>
  <c r="B567" i="32"/>
  <c r="BH568" i="32"/>
  <c r="B568" i="32"/>
  <c r="BH569" i="32"/>
  <c r="B569" i="32"/>
  <c r="BH570" i="32"/>
  <c r="B570" i="32"/>
  <c r="BH571" i="32"/>
  <c r="B571" i="32"/>
  <c r="BH572" i="32"/>
  <c r="B572" i="32"/>
  <c r="BH573" i="32"/>
  <c r="B573" i="32"/>
  <c r="BH574" i="32"/>
  <c r="B574" i="32"/>
  <c r="BH575" i="32"/>
  <c r="B575" i="32"/>
  <c r="BH576" i="32"/>
  <c r="B576" i="32"/>
  <c r="BH577" i="32"/>
  <c r="B577" i="32"/>
  <c r="BH578" i="32"/>
  <c r="B578" i="32"/>
  <c r="BH579" i="32"/>
  <c r="B579" i="32"/>
  <c r="BH580" i="32"/>
  <c r="B580" i="32"/>
  <c r="BH581" i="32"/>
  <c r="B581" i="32"/>
  <c r="BH582" i="32"/>
  <c r="B582" i="32"/>
  <c r="BH583" i="32"/>
  <c r="B583" i="32"/>
  <c r="BH584" i="32"/>
  <c r="B584" i="32"/>
  <c r="BH585" i="32"/>
  <c r="B585" i="32"/>
  <c r="BH586" i="32"/>
  <c r="B586" i="32"/>
  <c r="BH587" i="32"/>
  <c r="B587" i="32"/>
  <c r="BH588" i="32"/>
  <c r="B588" i="32"/>
  <c r="BH589" i="32"/>
  <c r="B589" i="32"/>
  <c r="BH590" i="32"/>
  <c r="B590" i="32"/>
  <c r="BH591" i="32"/>
  <c r="B591" i="32"/>
  <c r="BH592" i="32"/>
  <c r="B592" i="32"/>
  <c r="BH593" i="32"/>
  <c r="B593" i="32"/>
  <c r="BH594" i="32"/>
  <c r="B594" i="32"/>
  <c r="BH595" i="32"/>
  <c r="B595" i="32"/>
  <c r="BH596" i="32"/>
  <c r="B596" i="32"/>
  <c r="BH597" i="32"/>
  <c r="B597" i="32"/>
  <c r="BH598" i="32"/>
  <c r="B598" i="32"/>
  <c r="BH599" i="32"/>
  <c r="B599" i="32"/>
  <c r="BH600" i="32"/>
  <c r="B600" i="32"/>
  <c r="BH601" i="32"/>
  <c r="B601" i="32"/>
  <c r="BH602" i="32"/>
  <c r="B602" i="32"/>
  <c r="BH603" i="32"/>
  <c r="B603" i="32"/>
  <c r="BH604" i="32"/>
  <c r="B604" i="32"/>
  <c r="BH605" i="32"/>
  <c r="B605" i="32"/>
  <c r="BH606" i="32"/>
  <c r="B606" i="32"/>
  <c r="BH607" i="32"/>
  <c r="B607" i="32"/>
  <c r="BH608" i="32"/>
  <c r="B608" i="32"/>
  <c r="BH609" i="32"/>
  <c r="B609" i="32"/>
  <c r="BH610" i="32"/>
  <c r="B610" i="32"/>
  <c r="BH611" i="32"/>
  <c r="B611" i="32"/>
  <c r="BH612" i="32"/>
  <c r="B612" i="32"/>
  <c r="BH613" i="32"/>
  <c r="B613" i="32"/>
  <c r="BH614" i="32"/>
  <c r="B614" i="32"/>
  <c r="BH615" i="32"/>
  <c r="B615" i="32"/>
  <c r="BH616" i="32"/>
  <c r="B616" i="32"/>
  <c r="BH617" i="32"/>
  <c r="B617" i="32"/>
  <c r="BH618" i="32"/>
  <c r="B618" i="32"/>
  <c r="BH619" i="32"/>
  <c r="B619" i="32"/>
  <c r="BH620" i="32"/>
  <c r="B620" i="32"/>
  <c r="BH621" i="32"/>
  <c r="B621" i="32"/>
  <c r="BH622" i="32"/>
  <c r="B622" i="32"/>
  <c r="BH623" i="32"/>
  <c r="B623" i="32"/>
  <c r="BH624" i="32"/>
  <c r="B624" i="32"/>
  <c r="BH625" i="32"/>
  <c r="B625" i="32"/>
  <c r="BH626" i="32"/>
  <c r="B626" i="32"/>
  <c r="BH627" i="32"/>
  <c r="B627" i="32"/>
  <c r="BH628" i="32"/>
  <c r="B628" i="32"/>
  <c r="BH629" i="32"/>
  <c r="B629" i="32"/>
  <c r="BH630" i="32"/>
  <c r="B630" i="32"/>
  <c r="BH631" i="32"/>
  <c r="B631" i="32"/>
  <c r="BH632" i="32"/>
  <c r="B632" i="32"/>
  <c r="BH633" i="32"/>
  <c r="B633" i="32"/>
  <c r="BH634" i="32"/>
  <c r="B634" i="32"/>
  <c r="BH635" i="32"/>
  <c r="B635" i="32"/>
  <c r="BH636" i="32"/>
  <c r="B636" i="32"/>
  <c r="BH637" i="32"/>
  <c r="B637" i="32"/>
  <c r="BH638" i="32"/>
  <c r="B638" i="32"/>
  <c r="BH639" i="32"/>
  <c r="B639" i="32"/>
  <c r="BH640" i="32"/>
  <c r="B640" i="32"/>
  <c r="BH641" i="32"/>
  <c r="B641" i="32"/>
  <c r="BH642" i="32"/>
  <c r="B642" i="32"/>
  <c r="BH643" i="32"/>
  <c r="B643" i="32"/>
  <c r="BH644" i="32"/>
  <c r="B644" i="32"/>
  <c r="BH645" i="32"/>
  <c r="B645" i="32"/>
  <c r="BH646" i="32"/>
  <c r="B646" i="32"/>
  <c r="BH647" i="32"/>
  <c r="B647" i="32"/>
  <c r="BH648" i="32"/>
  <c r="B648" i="32"/>
  <c r="BH649" i="32"/>
  <c r="B649" i="32"/>
  <c r="BH650" i="32"/>
  <c r="B650" i="32"/>
  <c r="BH651" i="32"/>
  <c r="B651" i="32"/>
  <c r="BH652" i="32"/>
  <c r="B652" i="32"/>
  <c r="BH653" i="32"/>
  <c r="B653" i="32"/>
  <c r="BH654" i="32"/>
  <c r="B654" i="32"/>
  <c r="BH655" i="32"/>
  <c r="B655" i="32"/>
  <c r="BH656" i="32"/>
  <c r="B656" i="32"/>
  <c r="BH657" i="32"/>
  <c r="B657" i="32"/>
  <c r="BH658" i="32"/>
  <c r="B658" i="32"/>
  <c r="BH659" i="32"/>
  <c r="B659" i="32"/>
  <c r="BH660" i="32"/>
  <c r="B660" i="32"/>
  <c r="BH661" i="32"/>
  <c r="B661" i="32"/>
  <c r="BH662" i="32"/>
  <c r="B662" i="32"/>
  <c r="BH663" i="32"/>
  <c r="CE5" i="32"/>
  <c r="BQ5" i="32"/>
  <c r="K309" i="31"/>
  <c r="K713" i="31"/>
  <c r="CD445" i="32"/>
  <c r="CE445" i="32"/>
  <c r="CD446" i="32"/>
  <c r="CE446" i="32"/>
  <c r="BO7" i="32"/>
  <c r="BO8" i="32"/>
  <c r="BO9" i="32"/>
  <c r="BO10" i="32"/>
  <c r="BO11" i="32"/>
  <c r="BO12" i="32"/>
  <c r="BO13" i="32"/>
  <c r="BO14" i="32"/>
  <c r="BO15" i="32"/>
  <c r="BO16" i="32"/>
  <c r="BO17" i="32"/>
  <c r="BO18" i="32"/>
  <c r="BO19" i="32"/>
  <c r="BO20" i="32"/>
  <c r="BO21" i="32"/>
  <c r="BO22" i="32"/>
  <c r="BO23" i="32"/>
  <c r="BO24" i="32"/>
  <c r="BO25" i="32"/>
  <c r="BO26" i="32"/>
  <c r="BO27" i="32"/>
  <c r="BO28" i="32"/>
  <c r="BO29" i="32"/>
  <c r="BO30" i="32"/>
  <c r="BO31" i="32"/>
  <c r="BO32" i="32"/>
  <c r="BO33" i="32"/>
  <c r="BO34" i="32"/>
  <c r="BO35" i="32"/>
  <c r="BO36" i="32"/>
  <c r="BO37" i="32"/>
  <c r="BO38" i="32"/>
  <c r="BO39" i="32"/>
  <c r="BO40" i="32"/>
  <c r="BO41" i="32"/>
  <c r="BO42" i="32"/>
  <c r="BO43" i="32"/>
  <c r="BO44" i="32"/>
  <c r="BO45" i="32"/>
  <c r="BO46" i="32"/>
  <c r="BO47" i="32"/>
  <c r="BO48" i="32"/>
  <c r="BO49" i="32"/>
  <c r="BO50" i="32"/>
  <c r="BO51" i="32"/>
  <c r="BO52" i="32"/>
  <c r="BO53" i="32"/>
  <c r="BO54" i="32"/>
  <c r="BO55" i="32"/>
  <c r="BO56" i="32"/>
  <c r="BO57" i="32"/>
  <c r="BO58" i="32"/>
  <c r="BO59" i="32"/>
  <c r="BO60" i="32"/>
  <c r="BO61" i="32"/>
  <c r="BO62" i="32"/>
  <c r="BO63" i="32"/>
  <c r="BO64" i="32"/>
  <c r="BO65" i="32"/>
  <c r="BO66" i="32"/>
  <c r="BO67" i="32"/>
  <c r="BO68" i="32"/>
  <c r="BO69" i="32"/>
  <c r="BO70" i="32"/>
  <c r="BO71" i="32"/>
  <c r="BO72" i="32"/>
  <c r="BO73" i="32"/>
  <c r="BO74" i="32"/>
  <c r="BO75" i="32"/>
  <c r="BO76" i="32"/>
  <c r="BO77" i="32"/>
  <c r="BO78" i="32"/>
  <c r="BO79" i="32"/>
  <c r="BO80" i="32"/>
  <c r="BO81" i="32"/>
  <c r="BO82" i="32"/>
  <c r="BO83" i="32"/>
  <c r="BO84" i="32"/>
  <c r="BO85" i="32"/>
  <c r="BO86" i="32"/>
  <c r="BO87" i="32"/>
  <c r="BO88" i="32"/>
  <c r="BO89" i="32"/>
  <c r="BO90" i="32"/>
  <c r="BO91" i="32"/>
  <c r="BO92" i="32"/>
  <c r="BO93" i="32"/>
  <c r="BO94" i="32"/>
  <c r="BO95" i="32"/>
  <c r="BO96" i="32"/>
  <c r="BO97" i="32"/>
  <c r="BO98" i="32"/>
  <c r="BO99" i="32"/>
  <c r="BO100" i="32"/>
  <c r="BO101" i="32"/>
  <c r="BO102" i="32"/>
  <c r="BO103" i="32"/>
  <c r="BO104" i="32"/>
  <c r="BO105" i="32"/>
  <c r="BO106" i="32"/>
  <c r="BO107" i="32"/>
  <c r="BO108" i="32"/>
  <c r="BO109" i="32"/>
  <c r="BO110" i="32"/>
  <c r="BO111" i="32"/>
  <c r="BO112" i="32"/>
  <c r="BO113" i="32"/>
  <c r="BO114" i="32"/>
  <c r="BO115" i="32"/>
  <c r="BO116" i="32"/>
  <c r="BO117" i="32"/>
  <c r="BO118" i="32"/>
  <c r="BO119" i="32"/>
  <c r="BO120" i="32"/>
  <c r="BO121" i="32"/>
  <c r="BO122" i="32"/>
  <c r="BO123" i="32"/>
  <c r="BO124" i="32"/>
  <c r="BO125" i="32"/>
  <c r="BO126" i="32"/>
  <c r="BO127" i="32"/>
  <c r="BO128" i="32"/>
  <c r="BO129" i="32"/>
  <c r="BO130" i="32"/>
  <c r="BO131" i="32"/>
  <c r="BO132" i="32"/>
  <c r="BO133" i="32"/>
  <c r="BO134" i="32"/>
  <c r="BO135" i="32"/>
  <c r="BO136" i="32"/>
  <c r="BO137" i="32"/>
  <c r="BO138" i="32"/>
  <c r="BO139" i="32"/>
  <c r="BO140" i="32"/>
  <c r="BO141" i="32"/>
  <c r="BO142" i="32"/>
  <c r="BO143" i="32"/>
  <c r="BO144" i="32"/>
  <c r="BO145" i="32"/>
  <c r="BO146" i="32"/>
  <c r="BO147" i="32"/>
  <c r="BO148" i="32"/>
  <c r="BO149" i="32"/>
  <c r="BO150" i="32"/>
  <c r="BO151" i="32"/>
  <c r="BO152" i="32"/>
  <c r="BO153" i="32"/>
  <c r="BO154" i="32"/>
  <c r="BO155" i="32"/>
  <c r="BO156" i="32"/>
  <c r="BO157" i="32"/>
  <c r="BO158" i="32"/>
  <c r="BO159" i="32"/>
  <c r="BO160" i="32"/>
  <c r="BO161" i="32"/>
  <c r="BO162" i="32"/>
  <c r="BO163" i="32"/>
  <c r="BO164" i="32"/>
  <c r="BO165" i="32"/>
  <c r="BO166" i="32"/>
  <c r="BO167" i="32"/>
  <c r="BO168" i="32"/>
  <c r="BO169" i="32"/>
  <c r="BO170" i="32"/>
  <c r="BO171" i="32"/>
  <c r="BO172" i="32"/>
  <c r="BO173" i="32"/>
  <c r="BO174" i="32"/>
  <c r="BO175" i="32"/>
  <c r="BO176" i="32"/>
  <c r="BO177" i="32"/>
  <c r="BO178" i="32"/>
  <c r="BO179" i="32"/>
  <c r="BO180" i="32"/>
  <c r="BO181" i="32"/>
  <c r="BO182" i="32"/>
  <c r="BO183" i="32"/>
  <c r="BO184" i="32"/>
  <c r="BO185" i="32"/>
  <c r="BO186" i="32"/>
  <c r="BO187" i="32"/>
  <c r="BO188" i="32"/>
  <c r="BO189" i="32"/>
  <c r="BO190" i="32"/>
  <c r="BO191" i="32"/>
  <c r="BO192" i="32"/>
  <c r="BO193" i="32"/>
  <c r="BO194" i="32"/>
  <c r="BO195" i="32"/>
  <c r="BO196" i="32"/>
  <c r="BO197" i="32"/>
  <c r="BO198" i="32"/>
  <c r="BO199" i="32"/>
  <c r="BO200" i="32"/>
  <c r="BO201" i="32"/>
  <c r="BO202" i="32"/>
  <c r="BO203" i="32"/>
  <c r="BO204" i="32"/>
  <c r="BO205" i="32"/>
  <c r="BO206" i="32"/>
  <c r="BO207" i="32"/>
  <c r="BO208" i="32"/>
  <c r="BO209" i="32"/>
  <c r="BO210" i="32"/>
  <c r="BO211" i="32"/>
  <c r="BO212" i="32"/>
  <c r="BO213" i="32"/>
  <c r="BO214" i="32"/>
  <c r="BO215" i="32"/>
  <c r="BO216" i="32"/>
  <c r="BO217" i="32"/>
  <c r="BO218" i="32"/>
  <c r="BO219" i="32"/>
  <c r="BO220" i="32"/>
  <c r="BO221" i="32"/>
  <c r="BO222" i="32"/>
  <c r="BO223" i="32"/>
  <c r="BO224" i="32"/>
  <c r="BO225" i="32"/>
  <c r="BO226" i="32"/>
  <c r="BO227" i="32"/>
  <c r="BO228" i="32"/>
  <c r="BO229" i="32"/>
  <c r="BO230" i="32"/>
  <c r="BO231" i="32"/>
  <c r="BO232" i="32"/>
  <c r="BO233" i="32"/>
  <c r="BO234" i="32"/>
  <c r="BO235" i="32"/>
  <c r="BO236" i="32"/>
  <c r="BO237" i="32"/>
  <c r="BO238" i="32"/>
  <c r="BO239" i="32"/>
  <c r="BO240" i="32"/>
  <c r="BO241" i="32"/>
  <c r="BO242" i="32"/>
  <c r="BO243" i="32"/>
  <c r="BO244" i="32"/>
  <c r="BO245" i="32"/>
  <c r="BO246" i="32"/>
  <c r="BO247" i="32"/>
  <c r="BO248" i="32"/>
  <c r="BO249" i="32"/>
  <c r="BO250" i="32"/>
  <c r="BO251" i="32"/>
  <c r="BO252" i="32"/>
  <c r="BO253" i="32"/>
  <c r="BO254" i="32"/>
  <c r="BO255" i="32"/>
  <c r="BO256" i="32"/>
  <c r="BO257" i="32"/>
  <c r="BO258" i="32"/>
  <c r="BO259" i="32"/>
  <c r="BO260" i="32"/>
  <c r="BO261" i="32"/>
  <c r="BO262" i="32"/>
  <c r="BO263" i="32"/>
  <c r="BO264" i="32"/>
  <c r="BO265" i="32"/>
  <c r="BO266" i="32"/>
  <c r="BO267" i="32"/>
  <c r="BO268" i="32"/>
  <c r="BO269" i="32"/>
  <c r="BO270" i="32"/>
  <c r="BO271" i="32"/>
  <c r="BO272" i="32"/>
  <c r="BO273" i="32"/>
  <c r="BO274" i="32"/>
  <c r="BO275" i="32"/>
  <c r="BO276" i="32"/>
  <c r="BO277" i="32"/>
  <c r="BO278" i="32"/>
  <c r="BO279" i="32"/>
  <c r="BO280" i="32"/>
  <c r="BO281" i="32"/>
  <c r="BO282" i="32"/>
  <c r="BO283" i="32"/>
  <c r="BO284" i="32"/>
  <c r="BO285" i="32"/>
  <c r="BO286" i="32"/>
  <c r="BO287" i="32"/>
  <c r="BO288" i="32"/>
  <c r="BO289" i="32"/>
  <c r="BO290" i="32"/>
  <c r="BO291" i="32"/>
  <c r="BO292" i="32"/>
  <c r="BO293" i="32"/>
  <c r="BO294" i="32"/>
  <c r="BO295" i="32"/>
  <c r="BO296" i="32"/>
  <c r="BO297" i="32"/>
  <c r="BO298" i="32"/>
  <c r="BO299" i="32"/>
  <c r="BO300" i="32"/>
  <c r="BO301" i="32"/>
  <c r="BO302" i="32"/>
  <c r="BO303" i="32"/>
  <c r="BO304" i="32"/>
  <c r="BO305" i="32"/>
  <c r="BO306" i="32"/>
  <c r="BO307" i="32"/>
  <c r="BO308" i="32"/>
  <c r="BO309" i="32"/>
  <c r="BO310" i="32"/>
  <c r="BO311" i="32"/>
  <c r="BO312" i="32"/>
  <c r="BO313" i="32"/>
  <c r="BO314" i="32"/>
  <c r="BO315" i="32"/>
  <c r="BO316" i="32"/>
  <c r="BO317" i="32"/>
  <c r="BO318" i="32"/>
  <c r="BO319" i="32"/>
  <c r="BO320" i="32"/>
  <c r="BO321" i="32"/>
  <c r="BO322" i="32"/>
  <c r="BO323" i="32"/>
  <c r="BO324" i="32"/>
  <c r="BO325" i="32"/>
  <c r="BO326" i="32"/>
  <c r="BO327" i="32"/>
  <c r="BO328" i="32"/>
  <c r="BO329" i="32"/>
  <c r="BO330" i="32"/>
  <c r="BO331" i="32"/>
  <c r="BO332" i="32"/>
  <c r="BO333" i="32"/>
  <c r="BO334" i="32"/>
  <c r="BO335" i="32"/>
  <c r="BO336" i="32"/>
  <c r="BO337" i="32"/>
  <c r="BO338" i="32"/>
  <c r="BO339" i="32"/>
  <c r="CQ5" i="32"/>
  <c r="DF5" i="32"/>
  <c r="DG5" i="32"/>
  <c r="DH5" i="32"/>
  <c r="CR5" i="32"/>
  <c r="L4" i="32"/>
  <c r="CH5" i="32"/>
  <c r="CI5" i="32"/>
  <c r="DC5" i="32"/>
  <c r="CI6" i="32"/>
  <c r="DC6" i="32"/>
  <c r="CI7" i="32"/>
  <c r="DC7" i="32"/>
  <c r="CI8" i="32"/>
  <c r="DC8" i="32"/>
  <c r="CI9" i="32"/>
  <c r="DC9" i="32"/>
  <c r="CI10" i="32"/>
  <c r="DC10" i="32"/>
  <c r="CI11" i="32"/>
  <c r="DC11" i="32"/>
  <c r="CI12" i="32"/>
  <c r="DC12" i="32"/>
  <c r="CI13" i="32"/>
  <c r="DC13" i="32"/>
  <c r="CI14" i="32"/>
  <c r="DC14" i="32"/>
  <c r="CI15" i="32"/>
  <c r="DC15" i="32"/>
  <c r="CI16" i="32"/>
  <c r="DC16" i="32"/>
  <c r="CI17" i="32"/>
  <c r="DC17" i="32"/>
  <c r="CI18" i="32"/>
  <c r="DC18" i="32"/>
  <c r="CI19" i="32"/>
  <c r="DC19" i="32"/>
  <c r="CI20" i="32"/>
  <c r="DC20" i="32"/>
  <c r="CI21" i="32"/>
  <c r="DC21" i="32"/>
  <c r="CI22" i="32"/>
  <c r="DC22" i="32"/>
  <c r="CI23" i="32"/>
  <c r="DC23" i="32"/>
  <c r="CI24" i="32"/>
  <c r="DC24" i="32"/>
  <c r="CI25" i="32"/>
  <c r="DC25" i="32"/>
  <c r="CI26" i="32"/>
  <c r="DC26" i="32"/>
  <c r="CI27" i="32"/>
  <c r="DC27" i="32"/>
  <c r="CI28" i="32"/>
  <c r="DC28" i="32"/>
  <c r="CI29" i="32"/>
  <c r="DC29" i="32"/>
  <c r="CI30" i="32"/>
  <c r="DC30" i="32"/>
  <c r="CI31" i="32"/>
  <c r="DC31" i="32"/>
  <c r="CI32" i="32"/>
  <c r="DC32" i="32"/>
  <c r="CI33" i="32"/>
  <c r="DC33" i="32"/>
  <c r="CI34" i="32"/>
  <c r="DC34" i="32"/>
  <c r="CI35" i="32"/>
  <c r="DC35" i="32"/>
  <c r="CI36" i="32"/>
  <c r="DC36" i="32"/>
  <c r="CI37" i="32"/>
  <c r="DC37" i="32"/>
  <c r="CI38" i="32"/>
  <c r="DC38" i="32"/>
  <c r="CI39" i="32"/>
  <c r="DC39" i="32"/>
  <c r="CI40" i="32"/>
  <c r="DC40" i="32"/>
  <c r="CI41" i="32"/>
  <c r="DC41" i="32"/>
  <c r="CI42" i="32"/>
  <c r="DC42" i="32"/>
  <c r="CI43" i="32"/>
  <c r="DC43" i="32"/>
  <c r="CI44" i="32"/>
  <c r="DC44" i="32"/>
  <c r="CI45" i="32"/>
  <c r="DC45" i="32"/>
  <c r="CI46" i="32"/>
  <c r="DC46" i="32"/>
  <c r="CI47" i="32"/>
  <c r="DC47" i="32"/>
  <c r="CI48" i="32"/>
  <c r="DC48" i="32"/>
  <c r="CI49" i="32"/>
  <c r="DC49" i="32"/>
  <c r="CI50" i="32"/>
  <c r="DC50" i="32"/>
  <c r="CI51" i="32"/>
  <c r="DC51" i="32"/>
  <c r="CI52" i="32"/>
  <c r="DC52" i="32"/>
  <c r="CI53" i="32"/>
  <c r="DC53" i="32"/>
  <c r="CI54" i="32"/>
  <c r="DC54" i="32"/>
  <c r="CI55" i="32"/>
  <c r="DC55" i="32"/>
  <c r="CI56" i="32"/>
  <c r="DC56" i="32"/>
  <c r="CI57" i="32"/>
  <c r="DC57" i="32"/>
  <c r="CI58" i="32"/>
  <c r="DC58" i="32"/>
  <c r="CI59" i="32"/>
  <c r="DC59" i="32"/>
  <c r="CI60" i="32"/>
  <c r="DC60" i="32"/>
  <c r="CI61" i="32"/>
  <c r="DC61" i="32"/>
  <c r="CI62" i="32"/>
  <c r="DC62" i="32"/>
  <c r="CI63" i="32"/>
  <c r="DC63" i="32"/>
  <c r="CI64" i="32"/>
  <c r="DC64" i="32"/>
  <c r="CI65" i="32"/>
  <c r="DC65" i="32"/>
  <c r="CI66" i="32"/>
  <c r="DC66" i="32"/>
  <c r="CI67" i="32"/>
  <c r="DC67" i="32"/>
  <c r="CI68" i="32"/>
  <c r="DC68" i="32"/>
  <c r="CI69" i="32"/>
  <c r="DC69" i="32"/>
  <c r="CI70" i="32"/>
  <c r="DC70" i="32"/>
  <c r="CI71" i="32"/>
  <c r="DC71" i="32"/>
  <c r="CI72" i="32"/>
  <c r="DC72" i="32"/>
  <c r="CI73" i="32"/>
  <c r="DC73" i="32"/>
  <c r="CI74" i="32"/>
  <c r="DC74" i="32"/>
  <c r="CI75" i="32"/>
  <c r="DC75" i="32"/>
  <c r="CI76" i="32"/>
  <c r="DC76" i="32"/>
  <c r="CI77" i="32"/>
  <c r="DC77" i="32"/>
  <c r="CI78" i="32"/>
  <c r="DC78" i="32"/>
  <c r="CI79" i="32"/>
  <c r="DC79" i="32"/>
  <c r="CI80" i="32"/>
  <c r="DC80" i="32"/>
  <c r="CI81" i="32"/>
  <c r="DC81" i="32"/>
  <c r="CI82" i="32"/>
  <c r="DC82" i="32"/>
  <c r="CI83" i="32"/>
  <c r="DC83" i="32"/>
  <c r="CI84" i="32"/>
  <c r="DC84" i="32"/>
  <c r="CI85" i="32"/>
  <c r="DC85" i="32"/>
  <c r="CI86" i="32"/>
  <c r="DC86" i="32"/>
  <c r="CI87" i="32"/>
  <c r="DC87" i="32"/>
  <c r="CI88" i="32"/>
  <c r="DC88" i="32"/>
  <c r="CI89" i="32"/>
  <c r="DC89" i="32"/>
  <c r="CI90" i="32"/>
  <c r="DC90" i="32"/>
  <c r="CI91" i="32"/>
  <c r="DC91" i="32"/>
  <c r="CI92" i="32"/>
  <c r="DC92" i="32"/>
  <c r="CI93" i="32"/>
  <c r="DC93" i="32"/>
  <c r="CI94" i="32"/>
  <c r="DC94" i="32"/>
  <c r="CI95" i="32"/>
  <c r="DC95" i="32"/>
  <c r="CI96" i="32"/>
  <c r="DC96" i="32"/>
  <c r="CI97" i="32"/>
  <c r="DC97" i="32"/>
  <c r="CI98" i="32"/>
  <c r="DC98" i="32"/>
  <c r="CI99" i="32"/>
  <c r="DC99" i="32"/>
  <c r="CI100" i="32"/>
  <c r="DC100" i="32"/>
  <c r="CI101" i="32"/>
  <c r="DC101" i="32"/>
  <c r="CI102" i="32"/>
  <c r="DC102" i="32"/>
  <c r="CI103" i="32"/>
  <c r="DC103" i="32"/>
  <c r="CI104" i="32"/>
  <c r="DC104" i="32"/>
  <c r="CI105" i="32"/>
  <c r="DC105" i="32"/>
  <c r="CI106" i="32"/>
  <c r="DC106" i="32"/>
  <c r="CI107" i="32"/>
  <c r="DC107" i="32"/>
  <c r="CI108" i="32"/>
  <c r="DC108" i="32"/>
  <c r="CI109" i="32"/>
  <c r="DC109" i="32"/>
  <c r="CI110" i="32"/>
  <c r="DC110" i="32"/>
  <c r="CI111" i="32"/>
  <c r="DC111" i="32"/>
  <c r="CI112" i="32"/>
  <c r="DC112" i="32"/>
  <c r="CI113" i="32"/>
  <c r="DC113" i="32"/>
  <c r="CI114" i="32"/>
  <c r="DC114" i="32"/>
  <c r="CI115" i="32"/>
  <c r="DC115" i="32"/>
  <c r="CI116" i="32"/>
  <c r="DC116" i="32"/>
  <c r="CI117" i="32"/>
  <c r="DC117" i="32"/>
  <c r="CI118" i="32"/>
  <c r="DC118" i="32"/>
  <c r="CI119" i="32"/>
  <c r="DC119" i="32"/>
  <c r="CI120" i="32"/>
  <c r="DC120" i="32"/>
  <c r="CI121" i="32"/>
  <c r="DC121" i="32"/>
  <c r="CI122" i="32"/>
  <c r="DC122" i="32"/>
  <c r="CI123" i="32"/>
  <c r="DC123" i="32"/>
  <c r="CI124" i="32"/>
  <c r="DC124" i="32"/>
  <c r="CI125" i="32"/>
  <c r="DC125" i="32"/>
  <c r="CI126" i="32"/>
  <c r="DC126" i="32"/>
  <c r="CI127" i="32"/>
  <c r="DC127" i="32"/>
  <c r="CI128" i="32"/>
  <c r="DC128" i="32"/>
  <c r="CI129" i="32"/>
  <c r="DC129" i="32"/>
  <c r="CI130" i="32"/>
  <c r="DC130" i="32"/>
  <c r="CI131" i="32"/>
  <c r="DC131" i="32"/>
  <c r="CI132" i="32"/>
  <c r="DC132" i="32"/>
  <c r="CI133" i="32"/>
  <c r="DC133" i="32"/>
  <c r="CI134" i="32"/>
  <c r="DC134" i="32"/>
  <c r="CI135" i="32"/>
  <c r="DC135" i="32"/>
  <c r="CI136" i="32"/>
  <c r="DC136" i="32"/>
  <c r="CI137" i="32"/>
  <c r="DC137" i="32"/>
  <c r="CI138" i="32"/>
  <c r="DC138" i="32"/>
  <c r="CI139" i="32"/>
  <c r="DC139" i="32"/>
  <c r="CI140" i="32"/>
  <c r="DC140" i="32"/>
  <c r="CI141" i="32"/>
  <c r="DC141" i="32"/>
  <c r="CI142" i="32"/>
  <c r="DC142" i="32"/>
  <c r="CI143" i="32"/>
  <c r="DC143" i="32"/>
  <c r="CI144" i="32"/>
  <c r="DC144" i="32"/>
  <c r="CI145" i="32"/>
  <c r="DC145" i="32"/>
  <c r="CI146" i="32"/>
  <c r="DC146" i="32"/>
  <c r="CI147" i="32"/>
  <c r="DC147" i="32"/>
  <c r="CI148" i="32"/>
  <c r="DC148" i="32"/>
  <c r="CI149" i="32"/>
  <c r="DC149" i="32"/>
  <c r="CI150" i="32"/>
  <c r="DC150" i="32"/>
  <c r="CI151" i="32"/>
  <c r="DC151" i="32"/>
  <c r="CI152" i="32"/>
  <c r="DC152" i="32"/>
  <c r="CI153" i="32"/>
  <c r="DC153" i="32"/>
  <c r="CI154" i="32"/>
  <c r="DC154" i="32"/>
  <c r="CI155" i="32"/>
  <c r="DC155" i="32"/>
  <c r="CI156" i="32"/>
  <c r="DC156" i="32"/>
  <c r="CI157" i="32"/>
  <c r="DC157" i="32"/>
  <c r="CI158" i="32"/>
  <c r="DC158" i="32"/>
  <c r="CI159" i="32"/>
  <c r="DC159" i="32"/>
  <c r="CI160" i="32"/>
  <c r="DC160" i="32"/>
  <c r="CI161" i="32"/>
  <c r="DC161" i="32"/>
  <c r="CI162" i="32"/>
  <c r="DC162" i="32"/>
  <c r="CI163" i="32"/>
  <c r="DC163" i="32"/>
  <c r="CI164" i="32"/>
  <c r="DC164" i="32"/>
  <c r="CI165" i="32"/>
  <c r="DC165" i="32"/>
  <c r="CI166" i="32"/>
  <c r="DC166" i="32"/>
  <c r="CI167" i="32"/>
  <c r="DC167" i="32"/>
  <c r="CI168" i="32"/>
  <c r="DC168" i="32"/>
  <c r="CI169" i="32"/>
  <c r="DC169" i="32"/>
  <c r="CI170" i="32"/>
  <c r="DC170" i="32"/>
  <c r="CI171" i="32"/>
  <c r="DC171" i="32"/>
  <c r="CI172" i="32"/>
  <c r="DC172" i="32"/>
  <c r="CI173" i="32"/>
  <c r="DC173" i="32"/>
  <c r="CI174" i="32"/>
  <c r="DC174" i="32"/>
  <c r="CI175" i="32"/>
  <c r="DC175" i="32"/>
  <c r="CI176" i="32"/>
  <c r="DC176" i="32"/>
  <c r="CI177" i="32"/>
  <c r="DC177" i="32"/>
  <c r="CI178" i="32"/>
  <c r="DC178" i="32"/>
  <c r="CI179" i="32"/>
  <c r="DC179" i="32"/>
  <c r="CI180" i="32"/>
  <c r="DC180" i="32"/>
  <c r="CI181" i="32"/>
  <c r="DC181" i="32"/>
  <c r="CI182" i="32"/>
  <c r="DC182" i="32"/>
  <c r="CI183" i="32"/>
  <c r="DC183" i="32"/>
  <c r="CI184" i="32"/>
  <c r="DC184" i="32"/>
  <c r="CI185" i="32"/>
  <c r="DC185" i="32"/>
  <c r="CI186" i="32"/>
  <c r="DC186" i="32"/>
  <c r="CI187" i="32"/>
  <c r="DC187" i="32"/>
  <c r="CI188" i="32"/>
  <c r="DC188" i="32"/>
  <c r="CI189" i="32"/>
  <c r="DC189" i="32"/>
  <c r="CI190" i="32"/>
  <c r="DC190" i="32"/>
  <c r="CI191" i="32"/>
  <c r="DC191" i="32"/>
  <c r="CI192" i="32"/>
  <c r="DC192" i="32"/>
  <c r="CI193" i="32"/>
  <c r="DC193" i="32"/>
  <c r="CI194" i="32"/>
  <c r="DC194" i="32"/>
  <c r="CI195" i="32"/>
  <c r="DC195" i="32"/>
  <c r="CI196" i="32"/>
  <c r="DC196" i="32"/>
  <c r="CI197" i="32"/>
  <c r="DC197" i="32"/>
  <c r="CI198" i="32"/>
  <c r="DC198" i="32"/>
  <c r="CI199" i="32"/>
  <c r="DC199" i="32"/>
  <c r="CI200" i="32"/>
  <c r="DC200" i="32"/>
  <c r="CI201" i="32"/>
  <c r="DC201" i="32"/>
  <c r="CI202" i="32"/>
  <c r="DC202" i="32"/>
  <c r="CI203" i="32"/>
  <c r="DC203" i="32"/>
  <c r="CI204" i="32"/>
  <c r="DC204" i="32"/>
  <c r="CI205" i="32"/>
  <c r="DC205" i="32"/>
  <c r="CI206" i="32"/>
  <c r="DC206" i="32"/>
  <c r="CI207" i="32"/>
  <c r="DC207" i="32"/>
  <c r="CI208" i="32"/>
  <c r="DC208" i="32"/>
  <c r="CI209" i="32"/>
  <c r="DC209" i="32"/>
  <c r="CI210" i="32"/>
  <c r="DC210" i="32"/>
  <c r="CI211" i="32"/>
  <c r="DC211" i="32"/>
  <c r="CI212" i="32"/>
  <c r="DC212" i="32"/>
  <c r="CI213" i="32"/>
  <c r="DC213" i="32"/>
  <c r="CI214" i="32"/>
  <c r="DC214" i="32"/>
  <c r="CI215" i="32"/>
  <c r="DC215" i="32"/>
  <c r="CI216" i="32"/>
  <c r="DC216" i="32"/>
  <c r="CI217" i="32"/>
  <c r="DC217" i="32"/>
  <c r="CI218" i="32"/>
  <c r="DC218" i="32"/>
  <c r="CI219" i="32"/>
  <c r="DC219" i="32"/>
  <c r="CI220" i="32"/>
  <c r="DC220" i="32"/>
  <c r="CI221" i="32"/>
  <c r="DC221" i="32"/>
  <c r="CI222" i="32"/>
  <c r="DC222" i="32"/>
  <c r="CI223" i="32"/>
  <c r="DC223" i="32"/>
  <c r="CI224" i="32"/>
  <c r="DC224" i="32"/>
  <c r="CI225" i="32"/>
  <c r="DC225" i="32"/>
  <c r="CI226" i="32"/>
  <c r="DC226" i="32"/>
  <c r="CI227" i="32"/>
  <c r="DC227" i="32"/>
  <c r="CI228" i="32"/>
  <c r="DC228" i="32"/>
  <c r="CI229" i="32"/>
  <c r="DC229" i="32"/>
  <c r="CI230" i="32"/>
  <c r="DC230" i="32"/>
  <c r="CI231" i="32"/>
  <c r="DC231" i="32"/>
  <c r="CI232" i="32"/>
  <c r="DC232" i="32"/>
  <c r="CI233" i="32"/>
  <c r="DC233" i="32"/>
  <c r="CI234" i="32"/>
  <c r="DC234" i="32"/>
  <c r="CI235" i="32"/>
  <c r="DC235" i="32"/>
  <c r="CI236" i="32"/>
  <c r="DC236" i="32"/>
  <c r="CI237" i="32"/>
  <c r="DC237" i="32"/>
  <c r="CI238" i="32"/>
  <c r="DC238" i="32"/>
  <c r="CI239" i="32"/>
  <c r="DC239" i="32"/>
  <c r="CI240" i="32"/>
  <c r="DC240" i="32"/>
  <c r="CI241" i="32"/>
  <c r="DC241" i="32"/>
  <c r="CI242" i="32"/>
  <c r="DC242" i="32"/>
  <c r="CI243" i="32"/>
  <c r="DC243" i="32"/>
  <c r="CI244" i="32"/>
  <c r="DC244" i="32"/>
  <c r="CI245" i="32"/>
  <c r="DC245" i="32"/>
  <c r="CI246" i="32"/>
  <c r="DC246" i="32"/>
  <c r="CI247" i="32"/>
  <c r="DC247" i="32"/>
  <c r="CI248" i="32"/>
  <c r="DC248" i="32"/>
  <c r="CI249" i="32"/>
  <c r="DC249" i="32"/>
  <c r="CI250" i="32"/>
  <c r="DC250" i="32"/>
  <c r="CI251" i="32"/>
  <c r="DC251" i="32"/>
  <c r="CI252" i="32"/>
  <c r="DC252" i="32"/>
  <c r="CI253" i="32"/>
  <c r="DC253" i="32"/>
  <c r="CI254" i="32"/>
  <c r="DC254" i="32"/>
  <c r="CI255" i="32"/>
  <c r="DC255" i="32"/>
  <c r="CI256" i="32"/>
  <c r="DC256" i="32"/>
  <c r="CI257" i="32"/>
  <c r="DC257" i="32"/>
  <c r="CI258" i="32"/>
  <c r="DC258" i="32"/>
  <c r="CI259" i="32"/>
  <c r="DC259" i="32"/>
  <c r="CI260" i="32"/>
  <c r="DC260" i="32"/>
  <c r="CI261" i="32"/>
  <c r="DC261" i="32"/>
  <c r="CI262" i="32"/>
  <c r="DC262" i="32"/>
  <c r="CI263" i="32"/>
  <c r="DC263" i="32"/>
  <c r="CI264" i="32"/>
  <c r="DC264" i="32"/>
  <c r="CI265" i="32"/>
  <c r="DC265" i="32"/>
  <c r="CI266" i="32"/>
  <c r="DC266" i="32"/>
  <c r="CI267" i="32"/>
  <c r="DC267" i="32"/>
  <c r="CI268" i="32"/>
  <c r="DC268" i="32"/>
  <c r="CI269" i="32"/>
  <c r="DC269" i="32"/>
  <c r="CI270" i="32"/>
  <c r="DC270" i="32"/>
  <c r="CI271" i="32"/>
  <c r="DC271" i="32"/>
  <c r="CI272" i="32"/>
  <c r="DC272" i="32"/>
  <c r="CI273" i="32"/>
  <c r="DC273" i="32"/>
  <c r="CI274" i="32"/>
  <c r="DC274" i="32"/>
  <c r="CI275" i="32"/>
  <c r="DC275" i="32"/>
  <c r="CI276" i="32"/>
  <c r="DC276" i="32"/>
  <c r="CI277" i="32"/>
  <c r="DC277" i="32"/>
  <c r="CI278" i="32"/>
  <c r="DC278" i="32"/>
  <c r="CI279" i="32"/>
  <c r="DC279" i="32"/>
  <c r="CI280" i="32"/>
  <c r="DC280" i="32"/>
  <c r="CI281" i="32"/>
  <c r="DC281" i="32"/>
  <c r="CI282" i="32"/>
  <c r="DC282" i="32"/>
  <c r="CI283" i="32"/>
  <c r="DC283" i="32"/>
  <c r="CI284" i="32"/>
  <c r="DC284" i="32"/>
  <c r="CI285" i="32"/>
  <c r="DC285" i="32"/>
  <c r="CI286" i="32"/>
  <c r="DC286" i="32"/>
  <c r="CI287" i="32"/>
  <c r="DC287" i="32"/>
  <c r="CI288" i="32"/>
  <c r="DC288" i="32"/>
  <c r="CI289" i="32"/>
  <c r="DC289" i="32"/>
  <c r="CI290" i="32"/>
  <c r="DC290" i="32"/>
  <c r="CI291" i="32"/>
  <c r="DC291" i="32"/>
  <c r="CI292" i="32"/>
  <c r="DC292" i="32"/>
  <c r="CI293" i="32"/>
  <c r="DC293" i="32"/>
  <c r="CI294" i="32"/>
  <c r="DC294" i="32"/>
  <c r="CI295" i="32"/>
  <c r="DC295" i="32"/>
  <c r="CI296" i="32"/>
  <c r="DC296" i="32"/>
  <c r="CI297" i="32"/>
  <c r="DC297" i="32"/>
  <c r="CI298" i="32"/>
  <c r="DC298" i="32"/>
  <c r="CI299" i="32"/>
  <c r="DC299" i="32"/>
  <c r="CI300" i="32"/>
  <c r="DC300" i="32"/>
  <c r="CI301" i="32"/>
  <c r="DC301" i="32"/>
  <c r="CI302" i="32"/>
  <c r="DC302" i="32"/>
  <c r="CI303" i="32"/>
  <c r="DC303" i="32"/>
  <c r="CI304" i="32"/>
  <c r="DC304" i="32"/>
  <c r="CI305" i="32"/>
  <c r="DC305" i="32"/>
  <c r="CI306" i="32"/>
  <c r="DC306" i="32"/>
  <c r="CI307" i="32"/>
  <c r="DC307" i="32"/>
  <c r="CI308" i="32"/>
  <c r="DC308" i="32"/>
  <c r="CI309" i="32"/>
  <c r="DC309" i="32"/>
  <c r="CI310" i="32"/>
  <c r="DC310" i="32"/>
  <c r="CI311" i="32"/>
  <c r="DC311" i="32"/>
  <c r="CI312" i="32"/>
  <c r="DC312" i="32"/>
  <c r="CI313" i="32"/>
  <c r="DC313" i="32"/>
  <c r="CI314" i="32"/>
  <c r="DC314" i="32"/>
  <c r="CI315" i="32"/>
  <c r="DC315" i="32"/>
  <c r="CI316" i="32"/>
  <c r="DC316" i="32"/>
  <c r="CI317" i="32"/>
  <c r="DC317" i="32"/>
  <c r="CI318" i="32"/>
  <c r="DC318" i="32"/>
  <c r="CI319" i="32"/>
  <c r="DC319" i="32"/>
  <c r="CI320" i="32"/>
  <c r="DC320" i="32"/>
  <c r="CI321" i="32"/>
  <c r="DC321" i="32"/>
  <c r="CI322" i="32"/>
  <c r="DC322" i="32"/>
  <c r="CI323" i="32"/>
  <c r="DC323" i="32"/>
  <c r="CI324" i="32"/>
  <c r="DC324" i="32"/>
  <c r="CI325" i="32"/>
  <c r="DC325" i="32"/>
  <c r="CI326" i="32"/>
  <c r="DC326" i="32"/>
  <c r="CI327" i="32"/>
  <c r="DC327" i="32"/>
  <c r="CI328" i="32"/>
  <c r="DC328" i="32"/>
  <c r="CI329" i="32"/>
  <c r="DC329" i="32"/>
  <c r="CI330" i="32"/>
  <c r="DC330" i="32"/>
  <c r="CI331" i="32"/>
  <c r="DC331" i="32"/>
  <c r="CI332" i="32"/>
  <c r="DC332" i="32"/>
  <c r="CI333" i="32"/>
  <c r="DC333" i="32"/>
  <c r="CI334" i="32"/>
  <c r="DC334" i="32"/>
  <c r="CI335" i="32"/>
  <c r="DC335" i="32"/>
  <c r="CI336" i="32"/>
  <c r="DC336" i="32"/>
  <c r="CI337" i="32"/>
  <c r="DC337" i="32"/>
  <c r="CI338" i="32"/>
  <c r="DC338" i="32"/>
  <c r="CI339" i="32"/>
  <c r="DC339" i="32"/>
  <c r="CI340" i="32"/>
  <c r="DC340" i="32"/>
  <c r="CI341" i="32"/>
  <c r="DC341" i="32"/>
  <c r="CI342" i="32"/>
  <c r="DC342" i="32"/>
  <c r="CI343" i="32"/>
  <c r="DC343" i="32"/>
  <c r="CI344" i="32"/>
  <c r="DC344" i="32"/>
  <c r="CI345" i="32"/>
  <c r="DC345" i="32"/>
  <c r="CI346" i="32"/>
  <c r="DC346" i="32"/>
  <c r="CI347" i="32"/>
  <c r="DC347" i="32"/>
  <c r="CI348" i="32"/>
  <c r="DC348" i="32"/>
  <c r="CI349" i="32"/>
  <c r="DC349" i="32"/>
  <c r="CI350" i="32"/>
  <c r="DC350" i="32"/>
  <c r="CI351" i="32"/>
  <c r="DC351" i="32"/>
  <c r="CI352" i="32"/>
  <c r="DC352" i="32"/>
  <c r="CI353" i="32"/>
  <c r="DC353" i="32"/>
  <c r="CI354" i="32"/>
  <c r="DC354" i="32"/>
  <c r="CI355" i="32"/>
  <c r="DC355" i="32"/>
  <c r="CI356" i="32"/>
  <c r="DC356" i="32"/>
  <c r="CI357" i="32"/>
  <c r="DC357" i="32"/>
  <c r="CI358" i="32"/>
  <c r="DC358" i="32"/>
  <c r="CI359" i="32"/>
  <c r="DC359" i="32"/>
  <c r="CI360" i="32"/>
  <c r="DC360" i="32"/>
  <c r="CI361" i="32"/>
  <c r="DC361" i="32"/>
  <c r="CI362" i="32"/>
  <c r="DC362" i="32"/>
  <c r="CI363" i="32"/>
  <c r="DC363" i="32"/>
  <c r="CI364" i="32"/>
  <c r="DC364" i="32"/>
  <c r="CI365" i="32"/>
  <c r="DC365" i="32"/>
  <c r="CI366" i="32"/>
  <c r="DC366" i="32"/>
  <c r="CI367" i="32"/>
  <c r="DC367" i="32"/>
  <c r="CI368" i="32"/>
  <c r="DC368" i="32"/>
  <c r="CI369" i="32"/>
  <c r="DC369" i="32"/>
  <c r="CI370" i="32"/>
  <c r="DC370" i="32"/>
  <c r="CI371" i="32"/>
  <c r="DC371" i="32"/>
  <c r="CI372" i="32"/>
  <c r="DC372" i="32"/>
  <c r="CI373" i="32"/>
  <c r="DC373" i="32"/>
  <c r="CI374" i="32"/>
  <c r="DC374" i="32"/>
  <c r="CI375" i="32"/>
  <c r="DC375" i="32"/>
  <c r="CI376" i="32"/>
  <c r="DC376" i="32"/>
  <c r="CI377" i="32"/>
  <c r="DC377" i="32"/>
  <c r="CI378" i="32"/>
  <c r="DC378" i="32"/>
  <c r="CI379" i="32"/>
  <c r="DC379" i="32"/>
  <c r="CI380" i="32"/>
  <c r="DC380" i="32"/>
  <c r="CI381" i="32"/>
  <c r="DC381" i="32"/>
  <c r="CI382" i="32"/>
  <c r="DC382" i="32"/>
  <c r="CI383" i="32"/>
  <c r="DC383" i="32"/>
  <c r="CI384" i="32"/>
  <c r="DC384" i="32"/>
  <c r="CI385" i="32"/>
  <c r="DC385" i="32"/>
  <c r="CI386" i="32"/>
  <c r="DC386" i="32"/>
  <c r="CI387" i="32"/>
  <c r="DC387" i="32"/>
  <c r="CI388" i="32"/>
  <c r="DC388" i="32"/>
  <c r="CI389" i="32"/>
  <c r="DC389" i="32"/>
  <c r="CI390" i="32"/>
  <c r="DC390" i="32"/>
  <c r="CI391" i="32"/>
  <c r="DC391" i="32"/>
  <c r="CI392" i="32"/>
  <c r="DC392" i="32"/>
  <c r="CI393" i="32"/>
  <c r="DC393" i="32"/>
  <c r="CI394" i="32"/>
  <c r="DC394" i="32"/>
  <c r="CI395" i="32"/>
  <c r="DC395" i="32"/>
  <c r="CI396" i="32"/>
  <c r="DC396" i="32"/>
  <c r="CI397" i="32"/>
  <c r="DC397" i="32"/>
  <c r="CI398" i="32"/>
  <c r="DC398" i="32"/>
  <c r="CI399" i="32"/>
  <c r="DC399" i="32"/>
  <c r="CI400" i="32"/>
  <c r="DC400" i="32"/>
  <c r="CI401" i="32"/>
  <c r="DC401" i="32"/>
  <c r="CI402" i="32"/>
  <c r="DC402" i="32"/>
  <c r="CI403" i="32"/>
  <c r="DC403" i="32"/>
  <c r="CI404" i="32"/>
  <c r="DC404" i="32"/>
  <c r="CI405" i="32"/>
  <c r="DC405" i="32"/>
  <c r="CI406" i="32"/>
  <c r="DC406" i="32"/>
  <c r="CI407" i="32"/>
  <c r="DC407" i="32"/>
  <c r="CI408" i="32"/>
  <c r="DC408" i="32"/>
  <c r="CI409" i="32"/>
  <c r="DC409" i="32"/>
  <c r="CI410" i="32"/>
  <c r="DC410" i="32"/>
  <c r="CI411" i="32"/>
  <c r="DC411" i="32"/>
  <c r="CI412" i="32"/>
  <c r="DC412" i="32"/>
  <c r="CI413" i="32"/>
  <c r="DC413" i="32"/>
  <c r="CI414" i="32"/>
  <c r="DC414" i="32"/>
  <c r="CI415" i="32"/>
  <c r="DC415" i="32"/>
  <c r="CI416" i="32"/>
  <c r="DC416" i="32"/>
  <c r="CI417" i="32"/>
  <c r="DC417" i="32"/>
  <c r="CI418" i="32"/>
  <c r="DC418" i="32"/>
  <c r="CI419" i="32"/>
  <c r="DC419" i="32"/>
  <c r="CI420" i="32"/>
  <c r="DC420" i="32"/>
  <c r="CI421" i="32"/>
  <c r="DC421" i="32"/>
  <c r="CI422" i="32"/>
  <c r="DC422" i="32"/>
  <c r="CI423" i="32"/>
  <c r="DC423" i="32"/>
  <c r="CI424" i="32"/>
  <c r="DC424" i="32"/>
  <c r="CI425" i="32"/>
  <c r="DC425" i="32"/>
  <c r="CI426" i="32"/>
  <c r="DC426" i="32"/>
  <c r="CI427" i="32"/>
  <c r="DC427" i="32"/>
  <c r="CI428" i="32"/>
  <c r="DC428" i="32"/>
  <c r="CI429" i="32"/>
  <c r="DC429" i="32"/>
  <c r="CI430" i="32"/>
  <c r="DC430" i="32"/>
  <c r="CI431" i="32"/>
  <c r="DC431" i="32"/>
  <c r="CI432" i="32"/>
  <c r="DC432" i="32"/>
  <c r="CI433" i="32"/>
  <c r="DC433" i="32"/>
  <c r="CI434" i="32"/>
  <c r="DC434" i="32"/>
  <c r="CI435" i="32"/>
  <c r="DC435" i="32"/>
  <c r="CI436" i="32"/>
  <c r="DC436" i="32"/>
  <c r="CI437" i="32"/>
  <c r="DC437" i="32"/>
  <c r="CI438" i="32"/>
  <c r="DC438" i="32"/>
  <c r="CI439" i="32"/>
  <c r="DC439" i="32"/>
  <c r="CI440" i="32"/>
  <c r="DC440" i="32"/>
  <c r="CI441" i="32"/>
  <c r="DC441" i="32"/>
  <c r="CI442" i="32"/>
  <c r="DC442" i="32"/>
  <c r="CI443" i="32"/>
  <c r="DC443" i="32"/>
  <c r="CI444" i="32"/>
  <c r="DC444" i="32"/>
  <c r="DD5" i="32"/>
  <c r="DE5" i="32"/>
  <c r="CJ5" i="32"/>
  <c r="DD6" i="32"/>
  <c r="DE6" i="32"/>
  <c r="CJ6" i="32"/>
  <c r="DD7" i="32"/>
  <c r="DE7" i="32"/>
  <c r="CJ7" i="32"/>
  <c r="DD8" i="32"/>
  <c r="DE8" i="32"/>
  <c r="CJ8" i="32"/>
  <c r="DD9" i="32"/>
  <c r="DE9" i="32"/>
  <c r="CJ9" i="32"/>
  <c r="DD10" i="32"/>
  <c r="DE10" i="32"/>
  <c r="CJ10" i="32"/>
  <c r="DD11" i="32"/>
  <c r="DE11" i="32"/>
  <c r="CJ11" i="32"/>
  <c r="DD12" i="32"/>
  <c r="DE12" i="32"/>
  <c r="CJ12" i="32"/>
  <c r="DD13" i="32"/>
  <c r="DE13" i="32"/>
  <c r="CJ13" i="32"/>
  <c r="DD14" i="32"/>
  <c r="DE14" i="32"/>
  <c r="CJ14" i="32"/>
  <c r="DD15" i="32"/>
  <c r="DE15" i="32"/>
  <c r="CJ15" i="32"/>
  <c r="DD16" i="32"/>
  <c r="DE16" i="32"/>
  <c r="CJ16" i="32"/>
  <c r="DD17" i="32"/>
  <c r="DE17" i="32"/>
  <c r="CJ17" i="32"/>
  <c r="DD18" i="32"/>
  <c r="DE18" i="32"/>
  <c r="CJ18" i="32"/>
  <c r="DD19" i="32"/>
  <c r="DE19" i="32"/>
  <c r="CJ19" i="32"/>
  <c r="DD20" i="32"/>
  <c r="DE20" i="32"/>
  <c r="CJ20" i="32"/>
  <c r="DD21" i="32"/>
  <c r="DE21" i="32"/>
  <c r="CJ21" i="32"/>
  <c r="DD22" i="32"/>
  <c r="DE22" i="32"/>
  <c r="CJ22" i="32"/>
  <c r="DD23" i="32"/>
  <c r="DE23" i="32"/>
  <c r="CJ23" i="32"/>
  <c r="DD24" i="32"/>
  <c r="DE24" i="32"/>
  <c r="CJ24" i="32"/>
  <c r="DD25" i="32"/>
  <c r="DE25" i="32"/>
  <c r="CJ25" i="32"/>
  <c r="DD26" i="32"/>
  <c r="DE26" i="32"/>
  <c r="CJ26" i="32"/>
  <c r="DD27" i="32"/>
  <c r="DE27" i="32"/>
  <c r="CJ27" i="32"/>
  <c r="DD28" i="32"/>
  <c r="DE28" i="32"/>
  <c r="CJ28" i="32"/>
  <c r="DD29" i="32"/>
  <c r="DE29" i="32"/>
  <c r="CJ29" i="32"/>
  <c r="DD30" i="32"/>
  <c r="DE30" i="32"/>
  <c r="CJ30" i="32"/>
  <c r="DD31" i="32"/>
  <c r="DE31" i="32"/>
  <c r="CJ31" i="32"/>
  <c r="DD32" i="32"/>
  <c r="DE32" i="32"/>
  <c r="CJ32" i="32"/>
  <c r="DD33" i="32"/>
  <c r="DE33" i="32"/>
  <c r="CJ33" i="32"/>
  <c r="DD34" i="32"/>
  <c r="DE34" i="32"/>
  <c r="CJ34" i="32"/>
  <c r="DD35" i="32"/>
  <c r="DE35" i="32"/>
  <c r="CJ35" i="32"/>
  <c r="DD36" i="32"/>
  <c r="DE36" i="32"/>
  <c r="CJ36" i="32"/>
  <c r="DD37" i="32"/>
  <c r="DE37" i="32"/>
  <c r="CJ37" i="32"/>
  <c r="DD38" i="32"/>
  <c r="DE38" i="32"/>
  <c r="CJ38" i="32"/>
  <c r="DD39" i="32"/>
  <c r="DE39" i="32"/>
  <c r="CJ39" i="32"/>
  <c r="DD40" i="32"/>
  <c r="DE40" i="32"/>
  <c r="CJ40" i="32"/>
  <c r="DD41" i="32"/>
  <c r="DE41" i="32"/>
  <c r="CJ41" i="32"/>
  <c r="DD42" i="32"/>
  <c r="DE42" i="32"/>
  <c r="CJ42" i="32"/>
  <c r="DD43" i="32"/>
  <c r="DE43" i="32"/>
  <c r="CJ43" i="32"/>
  <c r="DD44" i="32"/>
  <c r="DE44" i="32"/>
  <c r="CJ44" i="32"/>
  <c r="DD45" i="32"/>
  <c r="DE45" i="32"/>
  <c r="CJ45" i="32"/>
  <c r="DD46" i="32"/>
  <c r="DE46" i="32"/>
  <c r="CJ46" i="32"/>
  <c r="DD47" i="32"/>
  <c r="DE47" i="32"/>
  <c r="CJ47" i="32"/>
  <c r="DD48" i="32"/>
  <c r="DE48" i="32"/>
  <c r="CJ48" i="32"/>
  <c r="DD49" i="32"/>
  <c r="DE49" i="32"/>
  <c r="CJ49" i="32"/>
  <c r="DD50" i="32"/>
  <c r="DE50" i="32"/>
  <c r="CJ50" i="32"/>
  <c r="DD51" i="32"/>
  <c r="DE51" i="32"/>
  <c r="CJ51" i="32"/>
  <c r="DD52" i="32"/>
  <c r="DE52" i="32"/>
  <c r="CJ52" i="32"/>
  <c r="DD53" i="32"/>
  <c r="DE53" i="32"/>
  <c r="CJ53" i="32"/>
  <c r="DD54" i="32"/>
  <c r="DE54" i="32"/>
  <c r="CJ54" i="32"/>
  <c r="DD55" i="32"/>
  <c r="DE55" i="32"/>
  <c r="CJ55" i="32"/>
  <c r="DD56" i="32"/>
  <c r="DE56" i="32"/>
  <c r="CJ56" i="32"/>
  <c r="DD57" i="32"/>
  <c r="DE57" i="32"/>
  <c r="CJ57" i="32"/>
  <c r="DD58" i="32"/>
  <c r="DE58" i="32"/>
  <c r="CJ58" i="32"/>
  <c r="DD59" i="32"/>
  <c r="DE59" i="32"/>
  <c r="CJ59" i="32"/>
  <c r="DD60" i="32"/>
  <c r="DE60" i="32"/>
  <c r="CJ60" i="32"/>
  <c r="DD61" i="32"/>
  <c r="DE61" i="32"/>
  <c r="CJ61" i="32"/>
  <c r="DD62" i="32"/>
  <c r="DE62" i="32"/>
  <c r="CJ62" i="32"/>
  <c r="DD63" i="32"/>
  <c r="DE63" i="32"/>
  <c r="CJ63" i="32"/>
  <c r="DD64" i="32"/>
  <c r="DE64" i="32"/>
  <c r="CJ64" i="32"/>
  <c r="DD65" i="32"/>
  <c r="DE65" i="32"/>
  <c r="CJ65" i="32"/>
  <c r="DD66" i="32"/>
  <c r="DE66" i="32"/>
  <c r="CJ66" i="32"/>
  <c r="DD67" i="32"/>
  <c r="DE67" i="32"/>
  <c r="CJ67" i="32"/>
  <c r="DD68" i="32"/>
  <c r="DE68" i="32"/>
  <c r="CJ68" i="32"/>
  <c r="DD69" i="32"/>
  <c r="DE69" i="32"/>
  <c r="CJ69" i="32"/>
  <c r="DD70" i="32"/>
  <c r="DE70" i="32"/>
  <c r="CJ70" i="32"/>
  <c r="DD71" i="32"/>
  <c r="DE71" i="32"/>
  <c r="CJ71" i="32"/>
  <c r="DD72" i="32"/>
  <c r="DE72" i="32"/>
  <c r="CJ72" i="32"/>
  <c r="DD73" i="32"/>
  <c r="DE73" i="32"/>
  <c r="CJ73" i="32"/>
  <c r="DD74" i="32"/>
  <c r="DE74" i="32"/>
  <c r="CJ74" i="32"/>
  <c r="DD75" i="32"/>
  <c r="DE75" i="32"/>
  <c r="CJ75" i="32"/>
  <c r="DD76" i="32"/>
  <c r="DE76" i="32"/>
  <c r="CJ76" i="32"/>
  <c r="DD77" i="32"/>
  <c r="DE77" i="32"/>
  <c r="CJ77" i="32"/>
  <c r="DD78" i="32"/>
  <c r="DE78" i="32"/>
  <c r="CJ78" i="32"/>
  <c r="DD79" i="32"/>
  <c r="DE79" i="32"/>
  <c r="CJ79" i="32"/>
  <c r="DD80" i="32"/>
  <c r="DE80" i="32"/>
  <c r="CJ80" i="32"/>
  <c r="DD81" i="32"/>
  <c r="DE81" i="32"/>
  <c r="CJ81" i="32"/>
  <c r="DD82" i="32"/>
  <c r="DE82" i="32"/>
  <c r="CJ82" i="32"/>
  <c r="DD83" i="32"/>
  <c r="DE83" i="32"/>
  <c r="CJ83" i="32"/>
  <c r="DD84" i="32"/>
  <c r="DE84" i="32"/>
  <c r="CJ84" i="32"/>
  <c r="DD85" i="32"/>
  <c r="DE85" i="32"/>
  <c r="CJ85" i="32"/>
  <c r="DD86" i="32"/>
  <c r="DE86" i="32"/>
  <c r="CJ86" i="32"/>
  <c r="DD87" i="32"/>
  <c r="DE87" i="32"/>
  <c r="CJ87" i="32"/>
  <c r="DD88" i="32"/>
  <c r="DE88" i="32"/>
  <c r="CJ88" i="32"/>
  <c r="DD89" i="32"/>
  <c r="DE89" i="32"/>
  <c r="CJ89" i="32"/>
  <c r="DD90" i="32"/>
  <c r="DE90" i="32"/>
  <c r="CJ90" i="32"/>
  <c r="DD91" i="32"/>
  <c r="DE91" i="32"/>
  <c r="CJ91" i="32"/>
  <c r="DD92" i="32"/>
  <c r="DE92" i="32"/>
  <c r="CJ92" i="32"/>
  <c r="DD93" i="32"/>
  <c r="DE93" i="32"/>
  <c r="CJ93" i="32"/>
  <c r="DD94" i="32"/>
  <c r="DE94" i="32"/>
  <c r="CJ94" i="32"/>
  <c r="DD95" i="32"/>
  <c r="DE95" i="32"/>
  <c r="CJ95" i="32"/>
  <c r="DD96" i="32"/>
  <c r="DE96" i="32"/>
  <c r="CJ96" i="32"/>
  <c r="DD97" i="32"/>
  <c r="DE97" i="32"/>
  <c r="CJ97" i="32"/>
  <c r="DD98" i="32"/>
  <c r="DE98" i="32"/>
  <c r="CJ98" i="32"/>
  <c r="DD99" i="32"/>
  <c r="DE99" i="32"/>
  <c r="CJ99" i="32"/>
  <c r="DD100" i="32"/>
  <c r="DE100" i="32"/>
  <c r="CJ100" i="32"/>
  <c r="DD101" i="32"/>
  <c r="DE101" i="32"/>
  <c r="CJ101" i="32"/>
  <c r="DD102" i="32"/>
  <c r="DE102" i="32"/>
  <c r="CJ102" i="32"/>
  <c r="DD103" i="32"/>
  <c r="DE103" i="32"/>
  <c r="CJ103" i="32"/>
  <c r="DD104" i="32"/>
  <c r="DE104" i="32"/>
  <c r="CJ104" i="32"/>
  <c r="DD105" i="32"/>
  <c r="DE105" i="32"/>
  <c r="CJ105" i="32"/>
  <c r="DD106" i="32"/>
  <c r="DE106" i="32"/>
  <c r="CJ106" i="32"/>
  <c r="DD107" i="32"/>
  <c r="DE107" i="32"/>
  <c r="CJ107" i="32"/>
  <c r="DD108" i="32"/>
  <c r="DE108" i="32"/>
  <c r="CJ108" i="32"/>
  <c r="DD109" i="32"/>
  <c r="DE109" i="32"/>
  <c r="CJ109" i="32"/>
  <c r="DD110" i="32"/>
  <c r="DE110" i="32"/>
  <c r="CJ110" i="32"/>
  <c r="DD111" i="32"/>
  <c r="DE111" i="32"/>
  <c r="CJ111" i="32"/>
  <c r="DD112" i="32"/>
  <c r="DE112" i="32"/>
  <c r="CJ112" i="32"/>
  <c r="DD113" i="32"/>
  <c r="DE113" i="32"/>
  <c r="CJ113" i="32"/>
  <c r="DD114" i="32"/>
  <c r="DE114" i="32"/>
  <c r="CJ114" i="32"/>
  <c r="DD115" i="32"/>
  <c r="DE115" i="32"/>
  <c r="CJ115" i="32"/>
  <c r="DD116" i="32"/>
  <c r="DE116" i="32"/>
  <c r="CJ116" i="32"/>
  <c r="DD117" i="32"/>
  <c r="DE117" i="32"/>
  <c r="CJ117" i="32"/>
  <c r="DD118" i="32"/>
  <c r="DE118" i="32"/>
  <c r="CJ118" i="32"/>
  <c r="DD119" i="32"/>
  <c r="DE119" i="32"/>
  <c r="CJ119" i="32"/>
  <c r="DD120" i="32"/>
  <c r="DE120" i="32"/>
  <c r="CJ120" i="32"/>
  <c r="DD121" i="32"/>
  <c r="DE121" i="32"/>
  <c r="CJ121" i="32"/>
  <c r="DD122" i="32"/>
  <c r="DE122" i="32"/>
  <c r="CJ122" i="32"/>
  <c r="DD123" i="32"/>
  <c r="DE123" i="32"/>
  <c r="CJ123" i="32"/>
  <c r="DD124" i="32"/>
  <c r="DE124" i="32"/>
  <c r="CJ124" i="32"/>
  <c r="DD125" i="32"/>
  <c r="DE125" i="32"/>
  <c r="CJ125" i="32"/>
  <c r="DD126" i="32"/>
  <c r="DE126" i="32"/>
  <c r="CJ126" i="32"/>
  <c r="DD127" i="32"/>
  <c r="DE127" i="32"/>
  <c r="CJ127" i="32"/>
  <c r="DD128" i="32"/>
  <c r="DE128" i="32"/>
  <c r="CJ128" i="32"/>
  <c r="DD129" i="32"/>
  <c r="DE129" i="32"/>
  <c r="CJ129" i="32"/>
  <c r="DD130" i="32"/>
  <c r="DE130" i="32"/>
  <c r="CJ130" i="32"/>
  <c r="DD131" i="32"/>
  <c r="DE131" i="32"/>
  <c r="CJ131" i="32"/>
  <c r="DD132" i="32"/>
  <c r="DE132" i="32"/>
  <c r="CJ132" i="32"/>
  <c r="DD133" i="32"/>
  <c r="DE133" i="32"/>
  <c r="CJ133" i="32"/>
  <c r="DD134" i="32"/>
  <c r="DE134" i="32"/>
  <c r="CJ134" i="32"/>
  <c r="DD135" i="32"/>
  <c r="DE135" i="32"/>
  <c r="CJ135" i="32"/>
  <c r="DD136" i="32"/>
  <c r="DE136" i="32"/>
  <c r="CJ136" i="32"/>
  <c r="DD137" i="32"/>
  <c r="DE137" i="32"/>
  <c r="CJ137" i="32"/>
  <c r="DD138" i="32"/>
  <c r="DE138" i="32"/>
  <c r="CJ138" i="32"/>
  <c r="DD139" i="32"/>
  <c r="DE139" i="32"/>
  <c r="CJ139" i="32"/>
  <c r="DD140" i="32"/>
  <c r="DE140" i="32"/>
  <c r="CJ140" i="32"/>
  <c r="DD141" i="32"/>
  <c r="DE141" i="32"/>
  <c r="CJ141" i="32"/>
  <c r="DD142" i="32"/>
  <c r="DE142" i="32"/>
  <c r="CJ142" i="32"/>
  <c r="DD143" i="32"/>
  <c r="DE143" i="32"/>
  <c r="CJ143" i="32"/>
  <c r="DD144" i="32"/>
  <c r="DE144" i="32"/>
  <c r="CJ144" i="32"/>
  <c r="DD145" i="32"/>
  <c r="DE145" i="32"/>
  <c r="CJ145" i="32"/>
  <c r="DD146" i="32"/>
  <c r="DE146" i="32"/>
  <c r="CJ146" i="32"/>
  <c r="DD147" i="32"/>
  <c r="DE147" i="32"/>
  <c r="CJ147" i="32"/>
  <c r="DD148" i="32"/>
  <c r="DE148" i="32"/>
  <c r="CJ148" i="32"/>
  <c r="DD149" i="32"/>
  <c r="DE149" i="32"/>
  <c r="CJ149" i="32"/>
  <c r="DD150" i="32"/>
  <c r="DE150" i="32"/>
  <c r="CJ150" i="32"/>
  <c r="DD151" i="32"/>
  <c r="DE151" i="32"/>
  <c r="CJ151" i="32"/>
  <c r="DD152" i="32"/>
  <c r="DE152" i="32"/>
  <c r="CJ152" i="32"/>
  <c r="DD153" i="32"/>
  <c r="DE153" i="32"/>
  <c r="CJ153" i="32"/>
  <c r="DD154" i="32"/>
  <c r="DE154" i="32"/>
  <c r="CJ154" i="32"/>
  <c r="DD155" i="32"/>
  <c r="DE155" i="32"/>
  <c r="CJ155" i="32"/>
  <c r="DD156" i="32"/>
  <c r="DE156" i="32"/>
  <c r="CJ156" i="32"/>
  <c r="DD157" i="32"/>
  <c r="DE157" i="32"/>
  <c r="CJ157" i="32"/>
  <c r="DD158" i="32"/>
  <c r="DE158" i="32"/>
  <c r="CJ158" i="32"/>
  <c r="DD159" i="32"/>
  <c r="DE159" i="32"/>
  <c r="CJ159" i="32"/>
  <c r="DD160" i="32"/>
  <c r="DE160" i="32"/>
  <c r="CJ160" i="32"/>
  <c r="DD161" i="32"/>
  <c r="DE161" i="32"/>
  <c r="CJ161" i="32"/>
  <c r="DD162" i="32"/>
  <c r="DE162" i="32"/>
  <c r="CJ162" i="32"/>
  <c r="DD163" i="32"/>
  <c r="DE163" i="32"/>
  <c r="CJ163" i="32"/>
  <c r="DD164" i="32"/>
  <c r="DE164" i="32"/>
  <c r="CJ164" i="32"/>
  <c r="DD165" i="32"/>
  <c r="DE165" i="32"/>
  <c r="CJ165" i="32"/>
  <c r="DD166" i="32"/>
  <c r="DE166" i="32"/>
  <c r="CJ166" i="32"/>
  <c r="DD167" i="32"/>
  <c r="DE167" i="32"/>
  <c r="CJ167" i="32"/>
  <c r="DD168" i="32"/>
  <c r="DE168" i="32"/>
  <c r="CJ168" i="32"/>
  <c r="DD169" i="32"/>
  <c r="DE169" i="32"/>
  <c r="CJ169" i="32"/>
  <c r="DD170" i="32"/>
  <c r="DE170" i="32"/>
  <c r="CJ170" i="32"/>
  <c r="DD171" i="32"/>
  <c r="DE171" i="32"/>
  <c r="CJ171" i="32"/>
  <c r="DD172" i="32"/>
  <c r="DE172" i="32"/>
  <c r="CJ172" i="32"/>
  <c r="DD173" i="32"/>
  <c r="DE173" i="32"/>
  <c r="CJ173" i="32"/>
  <c r="DD174" i="32"/>
  <c r="DE174" i="32"/>
  <c r="CJ174" i="32"/>
  <c r="DD175" i="32"/>
  <c r="DE175" i="32"/>
  <c r="CJ175" i="32"/>
  <c r="DD176" i="32"/>
  <c r="DE176" i="32"/>
  <c r="CJ176" i="32"/>
  <c r="DD177" i="32"/>
  <c r="DE177" i="32"/>
  <c r="CJ177" i="32"/>
  <c r="DD178" i="32"/>
  <c r="DE178" i="32"/>
  <c r="CJ178" i="32"/>
  <c r="DD179" i="32"/>
  <c r="DE179" i="32"/>
  <c r="CJ179" i="32"/>
  <c r="DD180" i="32"/>
  <c r="DE180" i="32"/>
  <c r="CJ180" i="32"/>
  <c r="DD181" i="32"/>
  <c r="DE181" i="32"/>
  <c r="CJ181" i="32"/>
  <c r="DD182" i="32"/>
  <c r="DE182" i="32"/>
  <c r="CJ182" i="32"/>
  <c r="DD183" i="32"/>
  <c r="DE183" i="32"/>
  <c r="CJ183" i="32"/>
  <c r="DD184" i="32"/>
  <c r="DE184" i="32"/>
  <c r="CJ184" i="32"/>
  <c r="DD185" i="32"/>
  <c r="DE185" i="32"/>
  <c r="CJ185" i="32"/>
  <c r="DD186" i="32"/>
  <c r="DE186" i="32"/>
  <c r="CJ186" i="32"/>
  <c r="DD187" i="32"/>
  <c r="DE187" i="32"/>
  <c r="CJ187" i="32"/>
  <c r="DD188" i="32"/>
  <c r="DE188" i="32"/>
  <c r="CJ188" i="32"/>
  <c r="DD189" i="32"/>
  <c r="DE189" i="32"/>
  <c r="CJ189" i="32"/>
  <c r="DD190" i="32"/>
  <c r="DE190" i="32"/>
  <c r="CJ190" i="32"/>
  <c r="DD191" i="32"/>
  <c r="DE191" i="32"/>
  <c r="CJ191" i="32"/>
  <c r="DD192" i="32"/>
  <c r="DE192" i="32"/>
  <c r="CJ192" i="32"/>
  <c r="DD193" i="32"/>
  <c r="DE193" i="32"/>
  <c r="CJ193" i="32"/>
  <c r="DD194" i="32"/>
  <c r="DE194" i="32"/>
  <c r="CJ194" i="32"/>
  <c r="DD195" i="32"/>
  <c r="DE195" i="32"/>
  <c r="CJ195" i="32"/>
  <c r="DD196" i="32"/>
  <c r="DE196" i="32"/>
  <c r="CJ196" i="32"/>
  <c r="DD197" i="32"/>
  <c r="DE197" i="32"/>
  <c r="CJ197" i="32"/>
  <c r="DD198" i="32"/>
  <c r="DE198" i="32"/>
  <c r="CJ198" i="32"/>
  <c r="DD199" i="32"/>
  <c r="DE199" i="32"/>
  <c r="CJ199" i="32"/>
  <c r="DD200" i="32"/>
  <c r="DE200" i="32"/>
  <c r="CJ200" i="32"/>
  <c r="DD201" i="32"/>
  <c r="DE201" i="32"/>
  <c r="CJ201" i="32"/>
  <c r="DD202" i="32"/>
  <c r="DE202" i="32"/>
  <c r="CJ202" i="32"/>
  <c r="DD203" i="32"/>
  <c r="DE203" i="32"/>
  <c r="CJ203" i="32"/>
  <c r="DD204" i="32"/>
  <c r="DE204" i="32"/>
  <c r="CJ204" i="32"/>
  <c r="DD205" i="32"/>
  <c r="DE205" i="32"/>
  <c r="CJ205" i="32"/>
  <c r="DD206" i="32"/>
  <c r="DE206" i="32"/>
  <c r="CJ206" i="32"/>
  <c r="DD207" i="32"/>
  <c r="DE207" i="32"/>
  <c r="CJ207" i="32"/>
  <c r="DD208" i="32"/>
  <c r="DE208" i="32"/>
  <c r="CJ208" i="32"/>
  <c r="DD209" i="32"/>
  <c r="DE209" i="32"/>
  <c r="CJ209" i="32"/>
  <c r="DD210" i="32"/>
  <c r="DE210" i="32"/>
  <c r="CJ210" i="32"/>
  <c r="DD211" i="32"/>
  <c r="DE211" i="32"/>
  <c r="CJ211" i="32"/>
  <c r="DD212" i="32"/>
  <c r="DE212" i="32"/>
  <c r="CJ212" i="32"/>
  <c r="DD213" i="32"/>
  <c r="DE213" i="32"/>
  <c r="CJ213" i="32"/>
  <c r="DD214" i="32"/>
  <c r="DE214" i="32"/>
  <c r="CJ214" i="32"/>
  <c r="DD215" i="32"/>
  <c r="DE215" i="32"/>
  <c r="CJ215" i="32"/>
  <c r="DD216" i="32"/>
  <c r="DE216" i="32"/>
  <c r="CJ216" i="32"/>
  <c r="DD217" i="32"/>
  <c r="DE217" i="32"/>
  <c r="CJ217" i="32"/>
  <c r="DD218" i="32"/>
  <c r="DE218" i="32"/>
  <c r="CJ218" i="32"/>
  <c r="DD219" i="32"/>
  <c r="DE219" i="32"/>
  <c r="CJ219" i="32"/>
  <c r="DD220" i="32"/>
  <c r="DE220" i="32"/>
  <c r="CJ220" i="32"/>
  <c r="DD221" i="32"/>
  <c r="DE221" i="32"/>
  <c r="CJ221" i="32"/>
  <c r="DD222" i="32"/>
  <c r="DE222" i="32"/>
  <c r="CJ222" i="32"/>
  <c r="DD223" i="32"/>
  <c r="DE223" i="32"/>
  <c r="CJ223" i="32"/>
  <c r="DD224" i="32"/>
  <c r="DE224" i="32"/>
  <c r="CJ224" i="32"/>
  <c r="DD225" i="32"/>
  <c r="DE225" i="32"/>
  <c r="CJ225" i="32"/>
  <c r="DD226" i="32"/>
  <c r="DE226" i="32"/>
  <c r="CJ226" i="32"/>
  <c r="DD227" i="32"/>
  <c r="DE227" i="32"/>
  <c r="CJ227" i="32"/>
  <c r="DD228" i="32"/>
  <c r="DE228" i="32"/>
  <c r="CJ228" i="32"/>
  <c r="DD229" i="32"/>
  <c r="DE229" i="32"/>
  <c r="CJ229" i="32"/>
  <c r="DD230" i="32"/>
  <c r="DE230" i="32"/>
  <c r="CJ230" i="32"/>
  <c r="DD231" i="32"/>
  <c r="DE231" i="32"/>
  <c r="CJ231" i="32"/>
  <c r="DD232" i="32"/>
  <c r="DE232" i="32"/>
  <c r="CJ232" i="32"/>
  <c r="DD233" i="32"/>
  <c r="DE233" i="32"/>
  <c r="CJ233" i="32"/>
  <c r="DD234" i="32"/>
  <c r="DE234" i="32"/>
  <c r="CJ234" i="32"/>
  <c r="DD235" i="32"/>
  <c r="DE235" i="32"/>
  <c r="CJ235" i="32"/>
  <c r="DD236" i="32"/>
  <c r="DE236" i="32"/>
  <c r="CJ236" i="32"/>
  <c r="DD237" i="32"/>
  <c r="DE237" i="32"/>
  <c r="CJ237" i="32"/>
  <c r="DD238" i="32"/>
  <c r="DE238" i="32"/>
  <c r="CJ238" i="32"/>
  <c r="DD239" i="32"/>
  <c r="DE239" i="32"/>
  <c r="CJ239" i="32"/>
  <c r="DD240" i="32"/>
  <c r="DE240" i="32"/>
  <c r="CJ240" i="32"/>
  <c r="DD241" i="32"/>
  <c r="DE241" i="32"/>
  <c r="CJ241" i="32"/>
  <c r="DD242" i="32"/>
  <c r="DE242" i="32"/>
  <c r="CJ242" i="32"/>
  <c r="DD243" i="32"/>
  <c r="DE243" i="32"/>
  <c r="CJ243" i="32"/>
  <c r="DD244" i="32"/>
  <c r="DE244" i="32"/>
  <c r="CJ244" i="32"/>
  <c r="DD245" i="32"/>
  <c r="DE245" i="32"/>
  <c r="CJ245" i="32"/>
  <c r="DD246" i="32"/>
  <c r="DE246" i="32"/>
  <c r="CJ246" i="32"/>
  <c r="DD247" i="32"/>
  <c r="DE247" i="32"/>
  <c r="CJ247" i="32"/>
  <c r="DD248" i="32"/>
  <c r="DE248" i="32"/>
  <c r="CJ248" i="32"/>
  <c r="DD249" i="32"/>
  <c r="DE249" i="32"/>
  <c r="CJ249" i="32"/>
  <c r="DD250" i="32"/>
  <c r="DE250" i="32"/>
  <c r="CJ250" i="32"/>
  <c r="DD251" i="32"/>
  <c r="DE251" i="32"/>
  <c r="CJ251" i="32"/>
  <c r="DD252" i="32"/>
  <c r="DE252" i="32"/>
  <c r="CJ252" i="32"/>
  <c r="DD253" i="32"/>
  <c r="DE253" i="32"/>
  <c r="CJ253" i="32"/>
  <c r="DD254" i="32"/>
  <c r="DE254" i="32"/>
  <c r="CJ254" i="32"/>
  <c r="DD255" i="32"/>
  <c r="DE255" i="32"/>
  <c r="CJ255" i="32"/>
  <c r="DD256" i="32"/>
  <c r="DE256" i="32"/>
  <c r="CJ256" i="32"/>
  <c r="DD257" i="32"/>
  <c r="DE257" i="32"/>
  <c r="CJ257" i="32"/>
  <c r="DD258" i="32"/>
  <c r="DE258" i="32"/>
  <c r="CJ258" i="32"/>
  <c r="DD259" i="32"/>
  <c r="DE259" i="32"/>
  <c r="CJ259" i="32"/>
  <c r="DD260" i="32"/>
  <c r="DE260" i="32"/>
  <c r="CJ260" i="32"/>
  <c r="DD261" i="32"/>
  <c r="DE261" i="32"/>
  <c r="CJ261" i="32"/>
  <c r="DD262" i="32"/>
  <c r="DE262" i="32"/>
  <c r="CJ262" i="32"/>
  <c r="DD263" i="32"/>
  <c r="DE263" i="32"/>
  <c r="CJ263" i="32"/>
  <c r="DD264" i="32"/>
  <c r="DE264" i="32"/>
  <c r="CJ264" i="32"/>
  <c r="DD265" i="32"/>
  <c r="DE265" i="32"/>
  <c r="CJ265" i="32"/>
  <c r="DD266" i="32"/>
  <c r="DE266" i="32"/>
  <c r="CJ266" i="32"/>
  <c r="DD267" i="32"/>
  <c r="DE267" i="32"/>
  <c r="CJ267" i="32"/>
  <c r="DD268" i="32"/>
  <c r="DE268" i="32"/>
  <c r="CJ268" i="32"/>
  <c r="DD269" i="32"/>
  <c r="DE269" i="32"/>
  <c r="CJ269" i="32"/>
  <c r="DD270" i="32"/>
  <c r="DE270" i="32"/>
  <c r="CJ270" i="32"/>
  <c r="DD271" i="32"/>
  <c r="DE271" i="32"/>
  <c r="CJ271" i="32"/>
  <c r="DD272" i="32"/>
  <c r="DE272" i="32"/>
  <c r="CJ272" i="32"/>
  <c r="DD273" i="32"/>
  <c r="DE273" i="32"/>
  <c r="CJ273" i="32"/>
  <c r="DD274" i="32"/>
  <c r="DE274" i="32"/>
  <c r="CJ274" i="32"/>
  <c r="DD275" i="32"/>
  <c r="DE275" i="32"/>
  <c r="CJ275" i="32"/>
  <c r="DD276" i="32"/>
  <c r="DE276" i="32"/>
  <c r="CJ276" i="32"/>
  <c r="DD277" i="32"/>
  <c r="DE277" i="32"/>
  <c r="CJ277" i="32"/>
  <c r="DD278" i="32"/>
  <c r="DE278" i="32"/>
  <c r="CJ278" i="32"/>
  <c r="DD279" i="32"/>
  <c r="DE279" i="32"/>
  <c r="CJ279" i="32"/>
  <c r="DD280" i="32"/>
  <c r="DE280" i="32"/>
  <c r="CJ280" i="32"/>
  <c r="DD281" i="32"/>
  <c r="DE281" i="32"/>
  <c r="CJ281" i="32"/>
  <c r="DD282" i="32"/>
  <c r="DE282" i="32"/>
  <c r="CJ282" i="32"/>
  <c r="DD283" i="32"/>
  <c r="DE283" i="32"/>
  <c r="CJ283" i="32"/>
  <c r="DD284" i="32"/>
  <c r="DE284" i="32"/>
  <c r="CJ284" i="32"/>
  <c r="DD285" i="32"/>
  <c r="DE285" i="32"/>
  <c r="CJ285" i="32"/>
  <c r="DD286" i="32"/>
  <c r="DE286" i="32"/>
  <c r="CJ286" i="32"/>
  <c r="DD287" i="32"/>
  <c r="DE287" i="32"/>
  <c r="CJ287" i="32"/>
  <c r="DD288" i="32"/>
  <c r="DE288" i="32"/>
  <c r="CJ288" i="32"/>
  <c r="DD289" i="32"/>
  <c r="DE289" i="32"/>
  <c r="CJ289" i="32"/>
  <c r="DD290" i="32"/>
  <c r="DE290" i="32"/>
  <c r="CJ290" i="32"/>
  <c r="DD291" i="32"/>
  <c r="DE291" i="32"/>
  <c r="CJ291" i="32"/>
  <c r="DD292" i="32"/>
  <c r="DE292" i="32"/>
  <c r="CJ292" i="32"/>
  <c r="DD293" i="32"/>
  <c r="DE293" i="32"/>
  <c r="CJ293" i="32"/>
  <c r="DD294" i="32"/>
  <c r="DE294" i="32"/>
  <c r="CJ294" i="32"/>
  <c r="DD295" i="32"/>
  <c r="DE295" i="32"/>
  <c r="CJ295" i="32"/>
  <c r="DD296" i="32"/>
  <c r="DE296" i="32"/>
  <c r="CJ296" i="32"/>
  <c r="DD297" i="32"/>
  <c r="DE297" i="32"/>
  <c r="CJ297" i="32"/>
  <c r="DD298" i="32"/>
  <c r="DE298" i="32"/>
  <c r="CJ298" i="32"/>
  <c r="DD299" i="32"/>
  <c r="DE299" i="32"/>
  <c r="CJ299" i="32"/>
  <c r="DD300" i="32"/>
  <c r="DE300" i="32"/>
  <c r="CJ300" i="32"/>
  <c r="DD301" i="32"/>
  <c r="DE301" i="32"/>
  <c r="CJ301" i="32"/>
  <c r="DD302" i="32"/>
  <c r="DE302" i="32"/>
  <c r="CJ302" i="32"/>
  <c r="DD303" i="32"/>
  <c r="DE303" i="32"/>
  <c r="CJ303" i="32"/>
  <c r="DD304" i="32"/>
  <c r="DE304" i="32"/>
  <c r="CJ304" i="32"/>
  <c r="DD305" i="32"/>
  <c r="DE305" i="32"/>
  <c r="CJ305" i="32"/>
  <c r="DD306" i="32"/>
  <c r="DE306" i="32"/>
  <c r="CJ306" i="32"/>
  <c r="DD307" i="32"/>
  <c r="DE307" i="32"/>
  <c r="CJ307" i="32"/>
  <c r="DD308" i="32"/>
  <c r="DE308" i="32"/>
  <c r="CJ308" i="32"/>
  <c r="DD309" i="32"/>
  <c r="DE309" i="32"/>
  <c r="CJ309" i="32"/>
  <c r="DD310" i="32"/>
  <c r="DE310" i="32"/>
  <c r="CJ310" i="32"/>
  <c r="DD311" i="32"/>
  <c r="DE311" i="32"/>
  <c r="CJ311" i="32"/>
  <c r="DD312" i="32"/>
  <c r="DE312" i="32"/>
  <c r="CJ312" i="32"/>
  <c r="DD313" i="32"/>
  <c r="DE313" i="32"/>
  <c r="CJ313" i="32"/>
  <c r="DD314" i="32"/>
  <c r="DE314" i="32"/>
  <c r="CJ314" i="32"/>
  <c r="DD315" i="32"/>
  <c r="DE315" i="32"/>
  <c r="CJ315" i="32"/>
  <c r="DD316" i="32"/>
  <c r="DE316" i="32"/>
  <c r="CJ316" i="32"/>
  <c r="DD317" i="32"/>
  <c r="DE317" i="32"/>
  <c r="CJ317" i="32"/>
  <c r="DD318" i="32"/>
  <c r="DE318" i="32"/>
  <c r="CJ318" i="32"/>
  <c r="DD319" i="32"/>
  <c r="DE319" i="32"/>
  <c r="CJ319" i="32"/>
  <c r="DD320" i="32"/>
  <c r="DE320" i="32"/>
  <c r="CJ320" i="32"/>
  <c r="DD321" i="32"/>
  <c r="DE321" i="32"/>
  <c r="CJ321" i="32"/>
  <c r="DD322" i="32"/>
  <c r="DE322" i="32"/>
  <c r="CJ322" i="32"/>
  <c r="DD323" i="32"/>
  <c r="DE323" i="32"/>
  <c r="CJ323" i="32"/>
  <c r="DD324" i="32"/>
  <c r="DE324" i="32"/>
  <c r="CJ324" i="32"/>
  <c r="DD325" i="32"/>
  <c r="DE325" i="32"/>
  <c r="CJ325" i="32"/>
  <c r="DD326" i="32"/>
  <c r="DE326" i="32"/>
  <c r="CJ326" i="32"/>
  <c r="DD327" i="32"/>
  <c r="DE327" i="32"/>
  <c r="CJ327" i="32"/>
  <c r="DD328" i="32"/>
  <c r="DE328" i="32"/>
  <c r="CJ328" i="32"/>
  <c r="DD329" i="32"/>
  <c r="DE329" i="32"/>
  <c r="CJ329" i="32"/>
  <c r="DD330" i="32"/>
  <c r="DE330" i="32"/>
  <c r="CJ330" i="32"/>
  <c r="DD331" i="32"/>
  <c r="DE331" i="32"/>
  <c r="CJ331" i="32"/>
  <c r="DD332" i="32"/>
  <c r="DE332" i="32"/>
  <c r="CJ332" i="32"/>
  <c r="DD333" i="32"/>
  <c r="DE333" i="32"/>
  <c r="CJ333" i="32"/>
  <c r="DD334" i="32"/>
  <c r="DE334" i="32"/>
  <c r="CJ334" i="32"/>
  <c r="DD335" i="32"/>
  <c r="DE335" i="32"/>
  <c r="CJ335" i="32"/>
  <c r="DD336" i="32"/>
  <c r="DE336" i="32"/>
  <c r="CJ336" i="32"/>
  <c r="DD337" i="32"/>
  <c r="DE337" i="32"/>
  <c r="CJ337" i="32"/>
  <c r="DD338" i="32"/>
  <c r="DE338" i="32"/>
  <c r="CJ338" i="32"/>
  <c r="DD339" i="32"/>
  <c r="DE339" i="32"/>
  <c r="CJ339" i="32"/>
  <c r="DD340" i="32"/>
  <c r="DE340" i="32"/>
  <c r="CJ340" i="32"/>
  <c r="DD341" i="32"/>
  <c r="DE341" i="32"/>
  <c r="CJ341" i="32"/>
  <c r="DD342" i="32"/>
  <c r="DE342" i="32"/>
  <c r="CJ342" i="32"/>
  <c r="DD343" i="32"/>
  <c r="DE343" i="32"/>
  <c r="CJ343" i="32"/>
  <c r="DD344" i="32"/>
  <c r="DE344" i="32"/>
  <c r="CJ344" i="32"/>
  <c r="DD345" i="32"/>
  <c r="DE345" i="32"/>
  <c r="CJ345" i="32"/>
  <c r="DD346" i="32"/>
  <c r="DE346" i="32"/>
  <c r="CJ346" i="32"/>
  <c r="DD347" i="32"/>
  <c r="DE347" i="32"/>
  <c r="CJ347" i="32"/>
  <c r="DD348" i="32"/>
  <c r="DE348" i="32"/>
  <c r="CJ348" i="32"/>
  <c r="DD349" i="32"/>
  <c r="DE349" i="32"/>
  <c r="CJ349" i="32"/>
  <c r="DD350" i="32"/>
  <c r="DE350" i="32"/>
  <c r="CJ350" i="32"/>
  <c r="DD351" i="32"/>
  <c r="DE351" i="32"/>
  <c r="CJ351" i="32"/>
  <c r="DD352" i="32"/>
  <c r="DE352" i="32"/>
  <c r="CJ352" i="32"/>
  <c r="DD353" i="32"/>
  <c r="DE353" i="32"/>
  <c r="CJ353" i="32"/>
  <c r="DD354" i="32"/>
  <c r="DE354" i="32"/>
  <c r="CJ354" i="32"/>
  <c r="DD355" i="32"/>
  <c r="DE355" i="32"/>
  <c r="CJ355" i="32"/>
  <c r="DD356" i="32"/>
  <c r="DE356" i="32"/>
  <c r="CJ356" i="32"/>
  <c r="DD357" i="32"/>
  <c r="DE357" i="32"/>
  <c r="CJ357" i="32"/>
  <c r="DD358" i="32"/>
  <c r="DE358" i="32"/>
  <c r="CJ358" i="32"/>
  <c r="DD359" i="32"/>
  <c r="DE359" i="32"/>
  <c r="CJ359" i="32"/>
  <c r="DD360" i="32"/>
  <c r="DE360" i="32"/>
  <c r="CJ360" i="32"/>
  <c r="DD361" i="32"/>
  <c r="DE361" i="32"/>
  <c r="CJ361" i="32"/>
  <c r="DD362" i="32"/>
  <c r="DE362" i="32"/>
  <c r="CJ362" i="32"/>
  <c r="DD363" i="32"/>
  <c r="DE363" i="32"/>
  <c r="CJ363" i="32"/>
  <c r="DD364" i="32"/>
  <c r="DE364" i="32"/>
  <c r="CJ364" i="32"/>
  <c r="DD365" i="32"/>
  <c r="DE365" i="32"/>
  <c r="CJ365" i="32"/>
  <c r="DD366" i="32"/>
  <c r="DE366" i="32"/>
  <c r="CJ366" i="32"/>
  <c r="DD367" i="32"/>
  <c r="DE367" i="32"/>
  <c r="CJ367" i="32"/>
  <c r="DD368" i="32"/>
  <c r="DE368" i="32"/>
  <c r="CJ368" i="32"/>
  <c r="DD369" i="32"/>
  <c r="DE369" i="32"/>
  <c r="CJ369" i="32"/>
  <c r="DD370" i="32"/>
  <c r="DE370" i="32"/>
  <c r="CJ370" i="32"/>
  <c r="DD371" i="32"/>
  <c r="DE371" i="32"/>
  <c r="CJ371" i="32"/>
  <c r="DD372" i="32"/>
  <c r="DE372" i="32"/>
  <c r="CJ372" i="32"/>
  <c r="DD373" i="32"/>
  <c r="DE373" i="32"/>
  <c r="CJ373" i="32"/>
  <c r="DD374" i="32"/>
  <c r="DE374" i="32"/>
  <c r="CJ374" i="32"/>
  <c r="DD375" i="32"/>
  <c r="DE375" i="32"/>
  <c r="CJ375" i="32"/>
  <c r="DD376" i="32"/>
  <c r="DE376" i="32"/>
  <c r="CJ376" i="32"/>
  <c r="DD377" i="32"/>
  <c r="DE377" i="32"/>
  <c r="CJ377" i="32"/>
  <c r="DD378" i="32"/>
  <c r="DE378" i="32"/>
  <c r="CJ378" i="32"/>
  <c r="DD379" i="32"/>
  <c r="DE379" i="32"/>
  <c r="CJ379" i="32"/>
  <c r="DD380" i="32"/>
  <c r="DE380" i="32"/>
  <c r="CJ380" i="32"/>
  <c r="DD381" i="32"/>
  <c r="DE381" i="32"/>
  <c r="CJ381" i="32"/>
  <c r="DD382" i="32"/>
  <c r="DE382" i="32"/>
  <c r="CJ382" i="32"/>
  <c r="DD383" i="32"/>
  <c r="DE383" i="32"/>
  <c r="CJ383" i="32"/>
  <c r="DD384" i="32"/>
  <c r="DE384" i="32"/>
  <c r="CJ384" i="32"/>
  <c r="DD385" i="32"/>
  <c r="DE385" i="32"/>
  <c r="CJ385" i="32"/>
  <c r="DD386" i="32"/>
  <c r="DE386" i="32"/>
  <c r="CJ386" i="32"/>
  <c r="DD387" i="32"/>
  <c r="DE387" i="32"/>
  <c r="CJ387" i="32"/>
  <c r="DD388" i="32"/>
  <c r="DE388" i="32"/>
  <c r="CJ388" i="32"/>
  <c r="DD389" i="32"/>
  <c r="DE389" i="32"/>
  <c r="CJ389" i="32"/>
  <c r="DD390" i="32"/>
  <c r="DE390" i="32"/>
  <c r="CJ390" i="32"/>
  <c r="DD391" i="32"/>
  <c r="DE391" i="32"/>
  <c r="CJ391" i="32"/>
  <c r="DD392" i="32"/>
  <c r="DE392" i="32"/>
  <c r="CJ392" i="32"/>
  <c r="DD393" i="32"/>
  <c r="DE393" i="32"/>
  <c r="CJ393" i="32"/>
  <c r="DD394" i="32"/>
  <c r="DE394" i="32"/>
  <c r="CJ394" i="32"/>
  <c r="DD395" i="32"/>
  <c r="DE395" i="32"/>
  <c r="CJ395" i="32"/>
  <c r="DD396" i="32"/>
  <c r="DE396" i="32"/>
  <c r="CJ396" i="32"/>
  <c r="DD397" i="32"/>
  <c r="DE397" i="32"/>
  <c r="CJ397" i="32"/>
  <c r="DD398" i="32"/>
  <c r="DE398" i="32"/>
  <c r="CJ398" i="32"/>
  <c r="DD399" i="32"/>
  <c r="DE399" i="32"/>
  <c r="CJ399" i="32"/>
  <c r="DD400" i="32"/>
  <c r="DE400" i="32"/>
  <c r="CJ400" i="32"/>
  <c r="DD401" i="32"/>
  <c r="DE401" i="32"/>
  <c r="CJ401" i="32"/>
  <c r="DD402" i="32"/>
  <c r="DE402" i="32"/>
  <c r="CJ402" i="32"/>
  <c r="DD403" i="32"/>
  <c r="DE403" i="32"/>
  <c r="CJ403" i="32"/>
  <c r="DD404" i="32"/>
  <c r="DE404" i="32"/>
  <c r="CJ404" i="32"/>
  <c r="DD405" i="32"/>
  <c r="DE405" i="32"/>
  <c r="CJ405" i="32"/>
  <c r="DD406" i="32"/>
  <c r="DE406" i="32"/>
  <c r="CJ406" i="32"/>
  <c r="DD407" i="32"/>
  <c r="DE407" i="32"/>
  <c r="CJ407" i="32"/>
  <c r="DD408" i="32"/>
  <c r="DE408" i="32"/>
  <c r="CJ408" i="32"/>
  <c r="DD409" i="32"/>
  <c r="DE409" i="32"/>
  <c r="CJ409" i="32"/>
  <c r="DD410" i="32"/>
  <c r="DE410" i="32"/>
  <c r="CJ410" i="32"/>
  <c r="DD411" i="32"/>
  <c r="DE411" i="32"/>
  <c r="CJ411" i="32"/>
  <c r="DD412" i="32"/>
  <c r="DE412" i="32"/>
  <c r="CJ412" i="32"/>
  <c r="DD413" i="32"/>
  <c r="DE413" i="32"/>
  <c r="CJ413" i="32"/>
  <c r="DD414" i="32"/>
  <c r="DE414" i="32"/>
  <c r="CJ414" i="32"/>
  <c r="DD415" i="32"/>
  <c r="DE415" i="32"/>
  <c r="CJ415" i="32"/>
  <c r="DD416" i="32"/>
  <c r="DE416" i="32"/>
  <c r="CJ416" i="32"/>
  <c r="DD417" i="32"/>
  <c r="DE417" i="32"/>
  <c r="CJ417" i="32"/>
  <c r="DD418" i="32"/>
  <c r="DE418" i="32"/>
  <c r="CJ418" i="32"/>
  <c r="DD419" i="32"/>
  <c r="DE419" i="32"/>
  <c r="CJ419" i="32"/>
  <c r="DD420" i="32"/>
  <c r="DE420" i="32"/>
  <c r="CJ420" i="32"/>
  <c r="DD421" i="32"/>
  <c r="DE421" i="32"/>
  <c r="CJ421" i="32"/>
  <c r="DD422" i="32"/>
  <c r="DE422" i="32"/>
  <c r="CJ422" i="32"/>
  <c r="DD423" i="32"/>
  <c r="DE423" i="32"/>
  <c r="CJ423" i="32"/>
  <c r="DD424" i="32"/>
  <c r="DE424" i="32"/>
  <c r="CJ424" i="32"/>
  <c r="DD425" i="32"/>
  <c r="DE425" i="32"/>
  <c r="CJ425" i="32"/>
  <c r="DD426" i="32"/>
  <c r="DE426" i="32"/>
  <c r="CJ426" i="32"/>
  <c r="DD427" i="32"/>
  <c r="DE427" i="32"/>
  <c r="CJ427" i="32"/>
  <c r="DD428" i="32"/>
  <c r="DE428" i="32"/>
  <c r="CJ428" i="32"/>
  <c r="DD429" i="32"/>
  <c r="DE429" i="32"/>
  <c r="CJ429" i="32"/>
  <c r="DD430" i="32"/>
  <c r="DE430" i="32"/>
  <c r="CJ430" i="32"/>
  <c r="DD431" i="32"/>
  <c r="DE431" i="32"/>
  <c r="CJ431" i="32"/>
  <c r="DD432" i="32"/>
  <c r="DE432" i="32"/>
  <c r="CJ432" i="32"/>
  <c r="DD433" i="32"/>
  <c r="DE433" i="32"/>
  <c r="CJ433" i="32"/>
  <c r="DD434" i="32"/>
  <c r="DE434" i="32"/>
  <c r="CJ434" i="32"/>
  <c r="DD435" i="32"/>
  <c r="DE435" i="32"/>
  <c r="CJ435" i="32"/>
  <c r="DD436" i="32"/>
  <c r="DE436" i="32"/>
  <c r="CJ436" i="32"/>
  <c r="DD437" i="32"/>
  <c r="DE437" i="32"/>
  <c r="CJ437" i="32"/>
  <c r="DD438" i="32"/>
  <c r="DE438" i="32"/>
  <c r="CJ438" i="32"/>
  <c r="DD439" i="32"/>
  <c r="DE439" i="32"/>
  <c r="CJ439" i="32"/>
  <c r="DD440" i="32"/>
  <c r="DE440" i="32"/>
  <c r="CJ440" i="32"/>
  <c r="DD441" i="32"/>
  <c r="DE441" i="32"/>
  <c r="CJ441" i="32"/>
  <c r="DD442" i="32"/>
  <c r="DE442" i="32"/>
  <c r="CJ442" i="32"/>
  <c r="DD443" i="32"/>
  <c r="DE443" i="32"/>
  <c r="CJ443" i="32"/>
  <c r="DD444" i="32"/>
  <c r="DE444" i="32"/>
  <c r="CJ444" i="32"/>
  <c r="DC445" i="32"/>
  <c r="DC446" i="32"/>
  <c r="DC447" i="32"/>
  <c r="DC448" i="32"/>
  <c r="DC449" i="32"/>
  <c r="DC450" i="32"/>
  <c r="DC451" i="32"/>
  <c r="DC452" i="32"/>
  <c r="DC453" i="32"/>
  <c r="DC454" i="32"/>
  <c r="DC455" i="32"/>
  <c r="DC456" i="32"/>
  <c r="DC457" i="32"/>
  <c r="DC458" i="32"/>
  <c r="DC459" i="32"/>
  <c r="DC460" i="32"/>
  <c r="DC461" i="32"/>
  <c r="DC462" i="32"/>
  <c r="DC463" i="32"/>
  <c r="DC464" i="32"/>
  <c r="DC465" i="32"/>
  <c r="DC466" i="32"/>
  <c r="DC467" i="32"/>
  <c r="DC468" i="32"/>
  <c r="DC469" i="32"/>
  <c r="DC470" i="32"/>
  <c r="DC471" i="32"/>
  <c r="DC472" i="32"/>
  <c r="DC473" i="32"/>
  <c r="DC474" i="32"/>
  <c r="DC475" i="32"/>
  <c r="DC476" i="32"/>
  <c r="DC477" i="32"/>
  <c r="DC478" i="32"/>
  <c r="CG5" i="32"/>
  <c r="CZ6" i="32"/>
  <c r="CZ7" i="32"/>
  <c r="CZ8" i="32"/>
  <c r="CZ9" i="32"/>
  <c r="CZ10" i="32"/>
  <c r="CZ11" i="32"/>
  <c r="CZ12" i="32"/>
  <c r="CZ13" i="32"/>
  <c r="CZ14" i="32"/>
  <c r="CZ15" i="32"/>
  <c r="CZ16" i="32"/>
  <c r="CZ17" i="32"/>
  <c r="CZ18" i="32"/>
  <c r="CZ19" i="32"/>
  <c r="CZ20" i="32"/>
  <c r="CZ5" i="32"/>
  <c r="CX6" i="32"/>
  <c r="CX5" i="32"/>
  <c r="DF6" i="32"/>
  <c r="DG6" i="32"/>
  <c r="DH6" i="32"/>
  <c r="CR6" i="32"/>
  <c r="DF7" i="32"/>
  <c r="DG7" i="32"/>
  <c r="DH7" i="32"/>
  <c r="CR7" i="32"/>
  <c r="DF8" i="32"/>
  <c r="DG8" i="32"/>
  <c r="DH8" i="32"/>
  <c r="CR8" i="32"/>
  <c r="DF9" i="32"/>
  <c r="DG9" i="32"/>
  <c r="DH9" i="32"/>
  <c r="CR9" i="32"/>
  <c r="DF10" i="32"/>
  <c r="DG10" i="32"/>
  <c r="DH10" i="32"/>
  <c r="CR10" i="32"/>
  <c r="DF11" i="32"/>
  <c r="DG11" i="32"/>
  <c r="DH11" i="32"/>
  <c r="CR11" i="32"/>
  <c r="DF12" i="32"/>
  <c r="DG12" i="32"/>
  <c r="DH12" i="32"/>
  <c r="CR12" i="32"/>
  <c r="DF13" i="32"/>
  <c r="DG13" i="32"/>
  <c r="DH13" i="32"/>
  <c r="CR13" i="32"/>
  <c r="DF14" i="32"/>
  <c r="DG14" i="32"/>
  <c r="DH14" i="32"/>
  <c r="CR14" i="32"/>
  <c r="DF15" i="32"/>
  <c r="DG15" i="32"/>
  <c r="DH15" i="32"/>
  <c r="CR15" i="32"/>
  <c r="DF16" i="32"/>
  <c r="DG16" i="32"/>
  <c r="DH16" i="32"/>
  <c r="CR16" i="32"/>
  <c r="DF17" i="32"/>
  <c r="DG17" i="32"/>
  <c r="DH17" i="32"/>
  <c r="CR17" i="32"/>
  <c r="DF18" i="32"/>
  <c r="DG18" i="32"/>
  <c r="DH18" i="32"/>
  <c r="CR18" i="32"/>
  <c r="DF19" i="32"/>
  <c r="DG19" i="32"/>
  <c r="DH19" i="32"/>
  <c r="CR19" i="32"/>
  <c r="DF20" i="32"/>
  <c r="DG20" i="32"/>
  <c r="DH20" i="32"/>
  <c r="CR20" i="32"/>
  <c r="DF21" i="32"/>
  <c r="DG21" i="32"/>
  <c r="DH21" i="32"/>
  <c r="CR21" i="32"/>
  <c r="DF22" i="32"/>
  <c r="DG22" i="32"/>
  <c r="DH22" i="32"/>
  <c r="CR22" i="32"/>
  <c r="DF23" i="32"/>
  <c r="DG23" i="32"/>
  <c r="DH23" i="32"/>
  <c r="CR23" i="32"/>
  <c r="DF24" i="32"/>
  <c r="DG24" i="32"/>
  <c r="DH24" i="32"/>
  <c r="CR24" i="32"/>
  <c r="DF25" i="32"/>
  <c r="DG25" i="32"/>
  <c r="DH25" i="32"/>
  <c r="CR25" i="32"/>
  <c r="DF26" i="32"/>
  <c r="DG26" i="32"/>
  <c r="DH26" i="32"/>
  <c r="CR26" i="32"/>
  <c r="DF27" i="32"/>
  <c r="DG27" i="32"/>
  <c r="DH27" i="32"/>
  <c r="CR27" i="32"/>
  <c r="DF28" i="32"/>
  <c r="DG28" i="32"/>
  <c r="DH28" i="32"/>
  <c r="CR28" i="32"/>
  <c r="DF29" i="32"/>
  <c r="DG29" i="32"/>
  <c r="DH29" i="32"/>
  <c r="CR29" i="32"/>
  <c r="DF30" i="32"/>
  <c r="DG30" i="32"/>
  <c r="DH30" i="32"/>
  <c r="CR30" i="32"/>
  <c r="DF31" i="32"/>
  <c r="DG31" i="32"/>
  <c r="DH31" i="32"/>
  <c r="CR31" i="32"/>
  <c r="DF32" i="32"/>
  <c r="DG32" i="32"/>
  <c r="DH32" i="32"/>
  <c r="CR32" i="32"/>
  <c r="DF33" i="32"/>
  <c r="DG33" i="32"/>
  <c r="DH33" i="32"/>
  <c r="CR33" i="32"/>
  <c r="DF34" i="32"/>
  <c r="DG34" i="32"/>
  <c r="DH34" i="32"/>
  <c r="CR34" i="32"/>
  <c r="DF35" i="32"/>
  <c r="DG35" i="32"/>
  <c r="DH35" i="32"/>
  <c r="CR35" i="32"/>
  <c r="DF36" i="32"/>
  <c r="DG36" i="32"/>
  <c r="DH36" i="32"/>
  <c r="CR36" i="32"/>
  <c r="DF37" i="32"/>
  <c r="DG37" i="32"/>
  <c r="DH37" i="32"/>
  <c r="CR37" i="32"/>
  <c r="DF38" i="32"/>
  <c r="DG38" i="32"/>
  <c r="DH38" i="32"/>
  <c r="CR38" i="32"/>
  <c r="DF39" i="32"/>
  <c r="DG39" i="32"/>
  <c r="DH39" i="32"/>
  <c r="CR39" i="32"/>
  <c r="DF40" i="32"/>
  <c r="DG40" i="32"/>
  <c r="DH40" i="32"/>
  <c r="CR40" i="32"/>
  <c r="DF41" i="32"/>
  <c r="DG41" i="32"/>
  <c r="DH41" i="32"/>
  <c r="CR41" i="32"/>
  <c r="DF42" i="32"/>
  <c r="DG42" i="32"/>
  <c r="DH42" i="32"/>
  <c r="CR42" i="32"/>
  <c r="DF43" i="32"/>
  <c r="DG43" i="32"/>
  <c r="DH43" i="32"/>
  <c r="CR43" i="32"/>
  <c r="DF44" i="32"/>
  <c r="DG44" i="32"/>
  <c r="DH44" i="32"/>
  <c r="CR44" i="32"/>
  <c r="DF45" i="32"/>
  <c r="DG45" i="32"/>
  <c r="DH45" i="32"/>
  <c r="CR45" i="32"/>
  <c r="DF46" i="32"/>
  <c r="DG46" i="32"/>
  <c r="DH46" i="32"/>
  <c r="CR46" i="32"/>
  <c r="DF47" i="32"/>
  <c r="DG47" i="32"/>
  <c r="DH47" i="32"/>
  <c r="CR47" i="32"/>
  <c r="DF48" i="32"/>
  <c r="DG48" i="32"/>
  <c r="DH48" i="32"/>
  <c r="CR48" i="32"/>
  <c r="DF49" i="32"/>
  <c r="DG49" i="32"/>
  <c r="DH49" i="32"/>
  <c r="CR49" i="32"/>
  <c r="DF50" i="32"/>
  <c r="DG50" i="32"/>
  <c r="DH50" i="32"/>
  <c r="CR50" i="32"/>
  <c r="DF51" i="32"/>
  <c r="DG51" i="32"/>
  <c r="DH51" i="32"/>
  <c r="CR51" i="32"/>
  <c r="DF52" i="32"/>
  <c r="DG52" i="32"/>
  <c r="DH52" i="32"/>
  <c r="CR52" i="32"/>
  <c r="DF53" i="32"/>
  <c r="DG53" i="32"/>
  <c r="DH53" i="32"/>
  <c r="CR53" i="32"/>
  <c r="DF54" i="32"/>
  <c r="DG54" i="32"/>
  <c r="DH54" i="32"/>
  <c r="CR54" i="32"/>
  <c r="DF55" i="32"/>
  <c r="DG55" i="32"/>
  <c r="DH55" i="32"/>
  <c r="CR55" i="32"/>
  <c r="DF56" i="32"/>
  <c r="DG56" i="32"/>
  <c r="DH56" i="32"/>
  <c r="CR56" i="32"/>
  <c r="DF57" i="32"/>
  <c r="DG57" i="32"/>
  <c r="DH57" i="32"/>
  <c r="CR57" i="32"/>
  <c r="DF58" i="32"/>
  <c r="DG58" i="32"/>
  <c r="DH58" i="32"/>
  <c r="CR58" i="32"/>
  <c r="DF59" i="32"/>
  <c r="DG59" i="32"/>
  <c r="DH59" i="32"/>
  <c r="CR59" i="32"/>
  <c r="DF60" i="32"/>
  <c r="DG60" i="32"/>
  <c r="DH60" i="32"/>
  <c r="CR60" i="32"/>
  <c r="DF61" i="32"/>
  <c r="DG61" i="32"/>
  <c r="DH61" i="32"/>
  <c r="CR61" i="32"/>
  <c r="DF62" i="32"/>
  <c r="DG62" i="32"/>
  <c r="DH62" i="32"/>
  <c r="CR62" i="32"/>
  <c r="DF63" i="32"/>
  <c r="DG63" i="32"/>
  <c r="DH63" i="32"/>
  <c r="CR63" i="32"/>
  <c r="DF64" i="32"/>
  <c r="DG64" i="32"/>
  <c r="DH64" i="32"/>
  <c r="CR64" i="32"/>
  <c r="DF65" i="32"/>
  <c r="DG65" i="32"/>
  <c r="DH65" i="32"/>
  <c r="CR65" i="32"/>
  <c r="DF66" i="32"/>
  <c r="DG66" i="32"/>
  <c r="DH66" i="32"/>
  <c r="CR66" i="32"/>
  <c r="DF67" i="32"/>
  <c r="DG67" i="32"/>
  <c r="DH67" i="32"/>
  <c r="CR67" i="32"/>
  <c r="DF68" i="32"/>
  <c r="DG68" i="32"/>
  <c r="DH68" i="32"/>
  <c r="CR68" i="32"/>
  <c r="DF69" i="32"/>
  <c r="DG69" i="32"/>
  <c r="DH69" i="32"/>
  <c r="CR69" i="32"/>
  <c r="DF70" i="32"/>
  <c r="DG70" i="32"/>
  <c r="DH70" i="32"/>
  <c r="CR70" i="32"/>
  <c r="DF71" i="32"/>
  <c r="DG71" i="32"/>
  <c r="DH71" i="32"/>
  <c r="CR71" i="32"/>
  <c r="DF72" i="32"/>
  <c r="DG72" i="32"/>
  <c r="DH72" i="32"/>
  <c r="CR72" i="32"/>
  <c r="DF73" i="32"/>
  <c r="DG73" i="32"/>
  <c r="DH73" i="32"/>
  <c r="CR73" i="32"/>
  <c r="DF74" i="32"/>
  <c r="DG74" i="32"/>
  <c r="DH74" i="32"/>
  <c r="CR74" i="32"/>
  <c r="DF75" i="32"/>
  <c r="DG75" i="32"/>
  <c r="DH75" i="32"/>
  <c r="CR75" i="32"/>
  <c r="DF76" i="32"/>
  <c r="DG76" i="32"/>
  <c r="DH76" i="32"/>
  <c r="CR76" i="32"/>
  <c r="DF77" i="32"/>
  <c r="DG77" i="32"/>
  <c r="DH77" i="32"/>
  <c r="CR77" i="32"/>
  <c r="DF78" i="32"/>
  <c r="DG78" i="32"/>
  <c r="DH78" i="32"/>
  <c r="CR78" i="32"/>
  <c r="DF79" i="32"/>
  <c r="DG79" i="32"/>
  <c r="DH79" i="32"/>
  <c r="CR79" i="32"/>
  <c r="DF80" i="32"/>
  <c r="DG80" i="32"/>
  <c r="DH80" i="32"/>
  <c r="CR80" i="32"/>
  <c r="DF81" i="32"/>
  <c r="DG81" i="32"/>
  <c r="DH81" i="32"/>
  <c r="CR81" i="32"/>
  <c r="DF82" i="32"/>
  <c r="DG82" i="32"/>
  <c r="DH82" i="32"/>
  <c r="CR82" i="32"/>
  <c r="DF83" i="32"/>
  <c r="DG83" i="32"/>
  <c r="DH83" i="32"/>
  <c r="CR83" i="32"/>
  <c r="DF84" i="32"/>
  <c r="DG84" i="32"/>
  <c r="DH84" i="32"/>
  <c r="CR84" i="32"/>
  <c r="DF85" i="32"/>
  <c r="DG85" i="32"/>
  <c r="DH85" i="32"/>
  <c r="CR85" i="32"/>
  <c r="DF86" i="32"/>
  <c r="DG86" i="32"/>
  <c r="DH86" i="32"/>
  <c r="CR86" i="32"/>
  <c r="DF87" i="32"/>
  <c r="DG87" i="32"/>
  <c r="DH87" i="32"/>
  <c r="CR87" i="32"/>
  <c r="DF88" i="32"/>
  <c r="DG88" i="32"/>
  <c r="DH88" i="32"/>
  <c r="CR88" i="32"/>
  <c r="DF89" i="32"/>
  <c r="DG89" i="32"/>
  <c r="DH89" i="32"/>
  <c r="CR89" i="32"/>
  <c r="DF90" i="32"/>
  <c r="DG90" i="32"/>
  <c r="DH90" i="32"/>
  <c r="CR90" i="32"/>
  <c r="DF91" i="32"/>
  <c r="DG91" i="32"/>
  <c r="DH91" i="32"/>
  <c r="CR91" i="32"/>
  <c r="DF92" i="32"/>
  <c r="DG92" i="32"/>
  <c r="DH92" i="32"/>
  <c r="CR92" i="32"/>
  <c r="DF93" i="32"/>
  <c r="DG93" i="32"/>
  <c r="DH93" i="32"/>
  <c r="CR93" i="32"/>
  <c r="DF94" i="32"/>
  <c r="DG94" i="32"/>
  <c r="DH94" i="32"/>
  <c r="CR94" i="32"/>
  <c r="DF95" i="32"/>
  <c r="DG95" i="32"/>
  <c r="DH95" i="32"/>
  <c r="CR95" i="32"/>
  <c r="DF96" i="32"/>
  <c r="DG96" i="32"/>
  <c r="DH96" i="32"/>
  <c r="CR96" i="32"/>
  <c r="DF97" i="32"/>
  <c r="DG97" i="32"/>
  <c r="DH97" i="32"/>
  <c r="CR97" i="32"/>
  <c r="DF98" i="32"/>
  <c r="DG98" i="32"/>
  <c r="DH98" i="32"/>
  <c r="CR98" i="32"/>
  <c r="DF99" i="32"/>
  <c r="DG99" i="32"/>
  <c r="DH99" i="32"/>
  <c r="CR99" i="32"/>
  <c r="DF100" i="32"/>
  <c r="DG100" i="32"/>
  <c r="DH100" i="32"/>
  <c r="CR100" i="32"/>
  <c r="DF101" i="32"/>
  <c r="DG101" i="32"/>
  <c r="DH101" i="32"/>
  <c r="CR101" i="32"/>
  <c r="DF102" i="32"/>
  <c r="DG102" i="32"/>
  <c r="DH102" i="32"/>
  <c r="CR102" i="32"/>
  <c r="DF103" i="32"/>
  <c r="DG103" i="32"/>
  <c r="DH103" i="32"/>
  <c r="CR103" i="32"/>
  <c r="DF104" i="32"/>
  <c r="DG104" i="32"/>
  <c r="DH104" i="32"/>
  <c r="CR104" i="32"/>
  <c r="DF105" i="32"/>
  <c r="DG105" i="32"/>
  <c r="DH105" i="32"/>
  <c r="CR105" i="32"/>
  <c r="DF106" i="32"/>
  <c r="DG106" i="32"/>
  <c r="DH106" i="32"/>
  <c r="CR106" i="32"/>
  <c r="DF107" i="32"/>
  <c r="DG107" i="32"/>
  <c r="DH107" i="32"/>
  <c r="CR107" i="32"/>
  <c r="DF108" i="32"/>
  <c r="DG108" i="32"/>
  <c r="DH108" i="32"/>
  <c r="CR108" i="32"/>
  <c r="DF109" i="32"/>
  <c r="DG109" i="32"/>
  <c r="DH109" i="32"/>
  <c r="CR109" i="32"/>
  <c r="DF110" i="32"/>
  <c r="DG110" i="32"/>
  <c r="DH110" i="32"/>
  <c r="CR110" i="32"/>
  <c r="DF111" i="32"/>
  <c r="DG111" i="32"/>
  <c r="DH111" i="32"/>
  <c r="CR111" i="32"/>
  <c r="DF112" i="32"/>
  <c r="DG112" i="32"/>
  <c r="DH112" i="32"/>
  <c r="CR112" i="32"/>
  <c r="DF113" i="32"/>
  <c r="DG113" i="32"/>
  <c r="DH113" i="32"/>
  <c r="CR113" i="32"/>
  <c r="DF114" i="32"/>
  <c r="DG114" i="32"/>
  <c r="DH114" i="32"/>
  <c r="CR114" i="32"/>
  <c r="DF115" i="32"/>
  <c r="DG115" i="32"/>
  <c r="DH115" i="32"/>
  <c r="CR115" i="32"/>
  <c r="DF116" i="32"/>
  <c r="DG116" i="32"/>
  <c r="DH116" i="32"/>
  <c r="CR116" i="32"/>
  <c r="DF117" i="32"/>
  <c r="DG117" i="32"/>
  <c r="DH117" i="32"/>
  <c r="CR117" i="32"/>
  <c r="DF118" i="32"/>
  <c r="DG118" i="32"/>
  <c r="DH118" i="32"/>
  <c r="CR118" i="32"/>
  <c r="DF119" i="32"/>
  <c r="DG119" i="32"/>
  <c r="DH119" i="32"/>
  <c r="CR119" i="32"/>
  <c r="DF120" i="32"/>
  <c r="DG120" i="32"/>
  <c r="DH120" i="32"/>
  <c r="CR120" i="32"/>
  <c r="DF121" i="32"/>
  <c r="DG121" i="32"/>
  <c r="DH121" i="32"/>
  <c r="CR121" i="32"/>
  <c r="DF122" i="32"/>
  <c r="DG122" i="32"/>
  <c r="DH122" i="32"/>
  <c r="CR122" i="32"/>
  <c r="DF123" i="32"/>
  <c r="DG123" i="32"/>
  <c r="DH123" i="32"/>
  <c r="CR123" i="32"/>
  <c r="DF124" i="32"/>
  <c r="DG124" i="32"/>
  <c r="DH124" i="32"/>
  <c r="CR124" i="32"/>
  <c r="DF125" i="32"/>
  <c r="DG125" i="32"/>
  <c r="DH125" i="32"/>
  <c r="CR125" i="32"/>
  <c r="DF126" i="32"/>
  <c r="DG126" i="32"/>
  <c r="DH126" i="32"/>
  <c r="CR126" i="32"/>
  <c r="DF127" i="32"/>
  <c r="DG127" i="32"/>
  <c r="DH127" i="32"/>
  <c r="CR127" i="32"/>
  <c r="DF128" i="32"/>
  <c r="DG128" i="32"/>
  <c r="DH128" i="32"/>
  <c r="CR128" i="32"/>
  <c r="DF129" i="32"/>
  <c r="DG129" i="32"/>
  <c r="DH129" i="32"/>
  <c r="CR129" i="32"/>
  <c r="DF130" i="32"/>
  <c r="DG130" i="32"/>
  <c r="DH130" i="32"/>
  <c r="CR130" i="32"/>
  <c r="DF131" i="32"/>
  <c r="DG131" i="32"/>
  <c r="DH131" i="32"/>
  <c r="CR131" i="32"/>
  <c r="DF132" i="32"/>
  <c r="DG132" i="32"/>
  <c r="DH132" i="32"/>
  <c r="CR132" i="32"/>
  <c r="DF133" i="32"/>
  <c r="DG133" i="32"/>
  <c r="DH133" i="32"/>
  <c r="CR133" i="32"/>
  <c r="DF134" i="32"/>
  <c r="DG134" i="32"/>
  <c r="DH134" i="32"/>
  <c r="CR134" i="32"/>
  <c r="DF135" i="32"/>
  <c r="DG135" i="32"/>
  <c r="DH135" i="32"/>
  <c r="CR135" i="32"/>
  <c r="DF136" i="32"/>
  <c r="DG136" i="32"/>
  <c r="DH136" i="32"/>
  <c r="CR136" i="32"/>
  <c r="DF137" i="32"/>
  <c r="DG137" i="32"/>
  <c r="DH137" i="32"/>
  <c r="CR137" i="32"/>
  <c r="DF138" i="32"/>
  <c r="DG138" i="32"/>
  <c r="DH138" i="32"/>
  <c r="CR138" i="32"/>
  <c r="DF139" i="32"/>
  <c r="DG139" i="32"/>
  <c r="DH139" i="32"/>
  <c r="CR139" i="32"/>
  <c r="DF140" i="32"/>
  <c r="DG140" i="32"/>
  <c r="DH140" i="32"/>
  <c r="CR140" i="32"/>
  <c r="DF141" i="32"/>
  <c r="DG141" i="32"/>
  <c r="DH141" i="32"/>
  <c r="CR141" i="32"/>
  <c r="DF142" i="32"/>
  <c r="DG142" i="32"/>
  <c r="DH142" i="32"/>
  <c r="CR142" i="32"/>
  <c r="DF143" i="32"/>
  <c r="DG143" i="32"/>
  <c r="DH143" i="32"/>
  <c r="CR143" i="32"/>
  <c r="DF144" i="32"/>
  <c r="DG144" i="32"/>
  <c r="DH144" i="32"/>
  <c r="CR144" i="32"/>
  <c r="DF145" i="32"/>
  <c r="DG145" i="32"/>
  <c r="DH145" i="32"/>
  <c r="CR145" i="32"/>
  <c r="DF146" i="32"/>
  <c r="DG146" i="32"/>
  <c r="DH146" i="32"/>
  <c r="CR146" i="32"/>
  <c r="DF147" i="32"/>
  <c r="DG147" i="32"/>
  <c r="DH147" i="32"/>
  <c r="CR147" i="32"/>
  <c r="DF148" i="32"/>
  <c r="DG148" i="32"/>
  <c r="DH148" i="32"/>
  <c r="CR148" i="32"/>
  <c r="DF149" i="32"/>
  <c r="DG149" i="32"/>
  <c r="DH149" i="32"/>
  <c r="CR149" i="32"/>
  <c r="DF150" i="32"/>
  <c r="DG150" i="32"/>
  <c r="DH150" i="32"/>
  <c r="CR150" i="32"/>
  <c r="DF151" i="32"/>
  <c r="DG151" i="32"/>
  <c r="DH151" i="32"/>
  <c r="CR151" i="32"/>
  <c r="DF152" i="32"/>
  <c r="DG152" i="32"/>
  <c r="DH152" i="32"/>
  <c r="CR152" i="32"/>
  <c r="DF153" i="32"/>
  <c r="DG153" i="32"/>
  <c r="DH153" i="32"/>
  <c r="CR153" i="32"/>
  <c r="DF154" i="32"/>
  <c r="DG154" i="32"/>
  <c r="DH154" i="32"/>
  <c r="CR154" i="32"/>
  <c r="DF155" i="32"/>
  <c r="DG155" i="32"/>
  <c r="DH155" i="32"/>
  <c r="CR155" i="32"/>
  <c r="DF156" i="32"/>
  <c r="DG156" i="32"/>
  <c r="DH156" i="32"/>
  <c r="CR156" i="32"/>
  <c r="DF157" i="32"/>
  <c r="DG157" i="32"/>
  <c r="DH157" i="32"/>
  <c r="CR157" i="32"/>
  <c r="DF158" i="32"/>
  <c r="DG158" i="32"/>
  <c r="DH158" i="32"/>
  <c r="CR158" i="32"/>
  <c r="DF159" i="32"/>
  <c r="DG159" i="32"/>
  <c r="DH159" i="32"/>
  <c r="CR159" i="32"/>
  <c r="DF160" i="32"/>
  <c r="DG160" i="32"/>
  <c r="DH160" i="32"/>
  <c r="CR160" i="32"/>
  <c r="DF161" i="32"/>
  <c r="DG161" i="32"/>
  <c r="DH161" i="32"/>
  <c r="CR161" i="32"/>
  <c r="DF162" i="32"/>
  <c r="DG162" i="32"/>
  <c r="DH162" i="32"/>
  <c r="CR162" i="32"/>
  <c r="DF163" i="32"/>
  <c r="DG163" i="32"/>
  <c r="DH163" i="32"/>
  <c r="CR163" i="32"/>
  <c r="DF164" i="32"/>
  <c r="DG164" i="32"/>
  <c r="DH164" i="32"/>
  <c r="CR164" i="32"/>
  <c r="DF165" i="32"/>
  <c r="DG165" i="32"/>
  <c r="DH165" i="32"/>
  <c r="CR165" i="32"/>
  <c r="DF166" i="32"/>
  <c r="DG166" i="32"/>
  <c r="DH166" i="32"/>
  <c r="CR166" i="32"/>
  <c r="DF167" i="32"/>
  <c r="DG167" i="32"/>
  <c r="DH167" i="32"/>
  <c r="CR167" i="32"/>
  <c r="DF168" i="32"/>
  <c r="DG168" i="32"/>
  <c r="DH168" i="32"/>
  <c r="CR168" i="32"/>
  <c r="DF169" i="32"/>
  <c r="DG169" i="32"/>
  <c r="DH169" i="32"/>
  <c r="CR169" i="32"/>
  <c r="DF170" i="32"/>
  <c r="DG170" i="32"/>
  <c r="DH170" i="32"/>
  <c r="CR170" i="32"/>
  <c r="DF171" i="32"/>
  <c r="DG171" i="32"/>
  <c r="DH171" i="32"/>
  <c r="CR171" i="32"/>
  <c r="DF172" i="32"/>
  <c r="DG172" i="32"/>
  <c r="DH172" i="32"/>
  <c r="CR172" i="32"/>
  <c r="DF173" i="32"/>
  <c r="DG173" i="32"/>
  <c r="DH173" i="32"/>
  <c r="CR173" i="32"/>
  <c r="DF174" i="32"/>
  <c r="DG174" i="32"/>
  <c r="DH174" i="32"/>
  <c r="CR174" i="32"/>
  <c r="DF175" i="32"/>
  <c r="DG175" i="32"/>
  <c r="DH175" i="32"/>
  <c r="CR175" i="32"/>
  <c r="DF176" i="32"/>
  <c r="DG176" i="32"/>
  <c r="DH176" i="32"/>
  <c r="CR176" i="32"/>
  <c r="DF177" i="32"/>
  <c r="DG177" i="32"/>
  <c r="DH177" i="32"/>
  <c r="CR177" i="32"/>
  <c r="DF178" i="32"/>
  <c r="DG178" i="32"/>
  <c r="DH178" i="32"/>
  <c r="CR178" i="32"/>
  <c r="DF179" i="32"/>
  <c r="DG179" i="32"/>
  <c r="DH179" i="32"/>
  <c r="CR179" i="32"/>
  <c r="DF180" i="32"/>
  <c r="DG180" i="32"/>
  <c r="DH180" i="32"/>
  <c r="CR180" i="32"/>
  <c r="DF181" i="32"/>
  <c r="DG181" i="32"/>
  <c r="DH181" i="32"/>
  <c r="CR181" i="32"/>
  <c r="DF182" i="32"/>
  <c r="DG182" i="32"/>
  <c r="DH182" i="32"/>
  <c r="CR182" i="32"/>
  <c r="DF183" i="32"/>
  <c r="DG183" i="32"/>
  <c r="DH183" i="32"/>
  <c r="CR183" i="32"/>
  <c r="DF184" i="32"/>
  <c r="DG184" i="32"/>
  <c r="DH184" i="32"/>
  <c r="CR184" i="32"/>
  <c r="DF185" i="32"/>
  <c r="DG185" i="32"/>
  <c r="DH185" i="32"/>
  <c r="CR185" i="32"/>
  <c r="DF186" i="32"/>
  <c r="DG186" i="32"/>
  <c r="DH186" i="32"/>
  <c r="CR186" i="32"/>
  <c r="DF187" i="32"/>
  <c r="DG187" i="32"/>
  <c r="DH187" i="32"/>
  <c r="CR187" i="32"/>
  <c r="DF188" i="32"/>
  <c r="DG188" i="32"/>
  <c r="DH188" i="32"/>
  <c r="CR188" i="32"/>
  <c r="DF189" i="32"/>
  <c r="DG189" i="32"/>
  <c r="DH189" i="32"/>
  <c r="CR189" i="32"/>
  <c r="DF190" i="32"/>
  <c r="DG190" i="32"/>
  <c r="DH190" i="32"/>
  <c r="CR190" i="32"/>
  <c r="DF191" i="32"/>
  <c r="DG191" i="32"/>
  <c r="DH191" i="32"/>
  <c r="CR191" i="32"/>
  <c r="DF192" i="32"/>
  <c r="DG192" i="32"/>
  <c r="DH192" i="32"/>
  <c r="CR192" i="32"/>
  <c r="DF193" i="32"/>
  <c r="DG193" i="32"/>
  <c r="DH193" i="32"/>
  <c r="CR193" i="32"/>
  <c r="DF194" i="32"/>
  <c r="DG194" i="32"/>
  <c r="DH194" i="32"/>
  <c r="CR194" i="32"/>
  <c r="DF195" i="32"/>
  <c r="DG195" i="32"/>
  <c r="DH195" i="32"/>
  <c r="CR195" i="32"/>
  <c r="DF196" i="32"/>
  <c r="DG196" i="32"/>
  <c r="DH196" i="32"/>
  <c r="CR196" i="32"/>
  <c r="DF197" i="32"/>
  <c r="DG197" i="32"/>
  <c r="DH197" i="32"/>
  <c r="CR197" i="32"/>
  <c r="DF198" i="32"/>
  <c r="DG198" i="32"/>
  <c r="DH198" i="32"/>
  <c r="CR198" i="32"/>
  <c r="DF199" i="32"/>
  <c r="DG199" i="32"/>
  <c r="DH199" i="32"/>
  <c r="CR199" i="32"/>
  <c r="DF200" i="32"/>
  <c r="DG200" i="32"/>
  <c r="DH200" i="32"/>
  <c r="CR200" i="32"/>
  <c r="DF201" i="32"/>
  <c r="DG201" i="32"/>
  <c r="DH201" i="32"/>
  <c r="CR201" i="32"/>
  <c r="DF202" i="32"/>
  <c r="DG202" i="32"/>
  <c r="DH202" i="32"/>
  <c r="CR202" i="32"/>
  <c r="DF203" i="32"/>
  <c r="DG203" i="32"/>
  <c r="DH203" i="32"/>
  <c r="CR203" i="32"/>
  <c r="DF204" i="32"/>
  <c r="DG204" i="32"/>
  <c r="DH204" i="32"/>
  <c r="CR204" i="32"/>
  <c r="DF205" i="32"/>
  <c r="DG205" i="32"/>
  <c r="DH205" i="32"/>
  <c r="CR205" i="32"/>
  <c r="DF206" i="32"/>
  <c r="DG206" i="32"/>
  <c r="DH206" i="32"/>
  <c r="CR206" i="32"/>
  <c r="DF207" i="32"/>
  <c r="DG207" i="32"/>
  <c r="DH207" i="32"/>
  <c r="CR207" i="32"/>
  <c r="DF208" i="32"/>
  <c r="DG208" i="32"/>
  <c r="DH208" i="32"/>
  <c r="CR208" i="32"/>
  <c r="DF209" i="32"/>
  <c r="DG209" i="32"/>
  <c r="DH209" i="32"/>
  <c r="CR209" i="32"/>
  <c r="DF210" i="32"/>
  <c r="DG210" i="32"/>
  <c r="DH210" i="32"/>
  <c r="CR210" i="32"/>
  <c r="DF211" i="32"/>
  <c r="DG211" i="32"/>
  <c r="DH211" i="32"/>
  <c r="CR211" i="32"/>
  <c r="DF212" i="32"/>
  <c r="DG212" i="32"/>
  <c r="DH212" i="32"/>
  <c r="CR212" i="32"/>
  <c r="DF213" i="32"/>
  <c r="DG213" i="32"/>
  <c r="DH213" i="32"/>
  <c r="CR213" i="32"/>
  <c r="DF214" i="32"/>
  <c r="DG214" i="32"/>
  <c r="DH214" i="32"/>
  <c r="CR214" i="32"/>
  <c r="DF215" i="32"/>
  <c r="DG215" i="32"/>
  <c r="DH215" i="32"/>
  <c r="CR215" i="32"/>
  <c r="DF216" i="32"/>
  <c r="DG216" i="32"/>
  <c r="DH216" i="32"/>
  <c r="CR216" i="32"/>
  <c r="DF217" i="32"/>
  <c r="DG217" i="32"/>
  <c r="DH217" i="32"/>
  <c r="CR217" i="32"/>
  <c r="DF218" i="32"/>
  <c r="DG218" i="32"/>
  <c r="DH218" i="32"/>
  <c r="CR218" i="32"/>
  <c r="DF219" i="32"/>
  <c r="DG219" i="32"/>
  <c r="DH219" i="32"/>
  <c r="CR219" i="32"/>
  <c r="DF220" i="32"/>
  <c r="DG220" i="32"/>
  <c r="DH220" i="32"/>
  <c r="CR220" i="32"/>
  <c r="DF221" i="32"/>
  <c r="DG221" i="32"/>
  <c r="DH221" i="32"/>
  <c r="CR221" i="32"/>
  <c r="DF222" i="32"/>
  <c r="DG222" i="32"/>
  <c r="DH222" i="32"/>
  <c r="CR222" i="32"/>
  <c r="DF223" i="32"/>
  <c r="DG223" i="32"/>
  <c r="DH223" i="32"/>
  <c r="CR223" i="32"/>
  <c r="DF224" i="32"/>
  <c r="DG224" i="32"/>
  <c r="DH224" i="32"/>
  <c r="CR224" i="32"/>
  <c r="DF225" i="32"/>
  <c r="DG225" i="32"/>
  <c r="DH225" i="32"/>
  <c r="CR225" i="32"/>
  <c r="DF226" i="32"/>
  <c r="DG226" i="32"/>
  <c r="DH226" i="32"/>
  <c r="CR226" i="32"/>
  <c r="DF227" i="32"/>
  <c r="DG227" i="32"/>
  <c r="DH227" i="32"/>
  <c r="CR227" i="32"/>
  <c r="DF228" i="32"/>
  <c r="DG228" i="32"/>
  <c r="DH228" i="32"/>
  <c r="CR228" i="32"/>
  <c r="DF229" i="32"/>
  <c r="DG229" i="32"/>
  <c r="DH229" i="32"/>
  <c r="CR229" i="32"/>
  <c r="DF230" i="32"/>
  <c r="DG230" i="32"/>
  <c r="DH230" i="32"/>
  <c r="CR230" i="32"/>
  <c r="DF231" i="32"/>
  <c r="DG231" i="32"/>
  <c r="DH231" i="32"/>
  <c r="CR231" i="32"/>
  <c r="DF232" i="32"/>
  <c r="DG232" i="32"/>
  <c r="DH232" i="32"/>
  <c r="CR232" i="32"/>
  <c r="DF233" i="32"/>
  <c r="DG233" i="32"/>
  <c r="DH233" i="32"/>
  <c r="CR233" i="32"/>
  <c r="DF234" i="32"/>
  <c r="DG234" i="32"/>
  <c r="DH234" i="32"/>
  <c r="CR234" i="32"/>
  <c r="DF235" i="32"/>
  <c r="DG235" i="32"/>
  <c r="DH235" i="32"/>
  <c r="CR235" i="32"/>
  <c r="DF236" i="32"/>
  <c r="DG236" i="32"/>
  <c r="DH236" i="32"/>
  <c r="CR236" i="32"/>
  <c r="DF237" i="32"/>
  <c r="DG237" i="32"/>
  <c r="DH237" i="32"/>
  <c r="CR237" i="32"/>
  <c r="DF238" i="32"/>
  <c r="DG238" i="32"/>
  <c r="DH238" i="32"/>
  <c r="CR238" i="32"/>
  <c r="DF239" i="32"/>
  <c r="DG239" i="32"/>
  <c r="DH239" i="32"/>
  <c r="CR239" i="32"/>
  <c r="DF240" i="32"/>
  <c r="DG240" i="32"/>
  <c r="DH240" i="32"/>
  <c r="CR240" i="32"/>
  <c r="DF241" i="32"/>
  <c r="DG241" i="32"/>
  <c r="DH241" i="32"/>
  <c r="CR241" i="32"/>
  <c r="DF242" i="32"/>
  <c r="DG242" i="32"/>
  <c r="DH242" i="32"/>
  <c r="CR242" i="32"/>
  <c r="DF243" i="32"/>
  <c r="DG243" i="32"/>
  <c r="DH243" i="32"/>
  <c r="CR243" i="32"/>
  <c r="DF244" i="32"/>
  <c r="DG244" i="32"/>
  <c r="DH244" i="32"/>
  <c r="CR244" i="32"/>
  <c r="DF245" i="32"/>
  <c r="DG245" i="32"/>
  <c r="DH245" i="32"/>
  <c r="CR245" i="32"/>
  <c r="DF246" i="32"/>
  <c r="DG246" i="32"/>
  <c r="DH246" i="32"/>
  <c r="CR246" i="32"/>
  <c r="DF247" i="32"/>
  <c r="DG247" i="32"/>
  <c r="DH247" i="32"/>
  <c r="CR247" i="32"/>
  <c r="DF248" i="32"/>
  <c r="DG248" i="32"/>
  <c r="DH248" i="32"/>
  <c r="CR248" i="32"/>
  <c r="DF249" i="32"/>
  <c r="DG249" i="32"/>
  <c r="DH249" i="32"/>
  <c r="CR249" i="32"/>
  <c r="DF250" i="32"/>
  <c r="DG250" i="32"/>
  <c r="DH250" i="32"/>
  <c r="CR250" i="32"/>
  <c r="DF251" i="32"/>
  <c r="DG251" i="32"/>
  <c r="DH251" i="32"/>
  <c r="CR251" i="32"/>
  <c r="DF252" i="32"/>
  <c r="DG252" i="32"/>
  <c r="DH252" i="32"/>
  <c r="CR252" i="32"/>
  <c r="DF253" i="32"/>
  <c r="DG253" i="32"/>
  <c r="DH253" i="32"/>
  <c r="CR253" i="32"/>
  <c r="DF254" i="32"/>
  <c r="DG254" i="32"/>
  <c r="DH254" i="32"/>
  <c r="CR254" i="32"/>
  <c r="DF255" i="32"/>
  <c r="DG255" i="32"/>
  <c r="DH255" i="32"/>
  <c r="CR255" i="32"/>
  <c r="DF256" i="32"/>
  <c r="DG256" i="32"/>
  <c r="DH256" i="32"/>
  <c r="CR256" i="32"/>
  <c r="DF257" i="32"/>
  <c r="DG257" i="32"/>
  <c r="DH257" i="32"/>
  <c r="CR257" i="32"/>
  <c r="DF258" i="32"/>
  <c r="DG258" i="32"/>
  <c r="DH258" i="32"/>
  <c r="CR258" i="32"/>
  <c r="DF259" i="32"/>
  <c r="DG259" i="32"/>
  <c r="DH259" i="32"/>
  <c r="CR259" i="32"/>
  <c r="DF260" i="32"/>
  <c r="DG260" i="32"/>
  <c r="DH260" i="32"/>
  <c r="CR260" i="32"/>
  <c r="DF261" i="32"/>
  <c r="DG261" i="32"/>
  <c r="DH261" i="32"/>
  <c r="CR261" i="32"/>
  <c r="DF262" i="32"/>
  <c r="DG262" i="32"/>
  <c r="DH262" i="32"/>
  <c r="CR262" i="32"/>
  <c r="DF263" i="32"/>
  <c r="DG263" i="32"/>
  <c r="DH263" i="32"/>
  <c r="CR263" i="32"/>
  <c r="DF264" i="32"/>
  <c r="DG264" i="32"/>
  <c r="DH264" i="32"/>
  <c r="CR264" i="32"/>
  <c r="DF265" i="32"/>
  <c r="DG265" i="32"/>
  <c r="DH265" i="32"/>
  <c r="CR265" i="32"/>
  <c r="DF266" i="32"/>
  <c r="DG266" i="32"/>
  <c r="DH266" i="32"/>
  <c r="CR266" i="32"/>
  <c r="DF267" i="32"/>
  <c r="DG267" i="32"/>
  <c r="DH267" i="32"/>
  <c r="CR267" i="32"/>
  <c r="DF268" i="32"/>
  <c r="DG268" i="32"/>
  <c r="DH268" i="32"/>
  <c r="CR268" i="32"/>
  <c r="DF269" i="32"/>
  <c r="DG269" i="32"/>
  <c r="DH269" i="32"/>
  <c r="CR269" i="32"/>
  <c r="DF270" i="32"/>
  <c r="DG270" i="32"/>
  <c r="DH270" i="32"/>
  <c r="CR270" i="32"/>
  <c r="DF271" i="32"/>
  <c r="DG271" i="32"/>
  <c r="DH271" i="32"/>
  <c r="CR271" i="32"/>
  <c r="DF272" i="32"/>
  <c r="DG272" i="32"/>
  <c r="DH272" i="32"/>
  <c r="CR272" i="32"/>
  <c r="DF273" i="32"/>
  <c r="DG273" i="32"/>
  <c r="DH273" i="32"/>
  <c r="CR273" i="32"/>
  <c r="DF274" i="32"/>
  <c r="DG274" i="32"/>
  <c r="DH274" i="32"/>
  <c r="CR274" i="32"/>
  <c r="DF275" i="32"/>
  <c r="DG275" i="32"/>
  <c r="DH275" i="32"/>
  <c r="CR275" i="32"/>
  <c r="DF276" i="32"/>
  <c r="DG276" i="32"/>
  <c r="DH276" i="32"/>
  <c r="CR276" i="32"/>
  <c r="DF277" i="32"/>
  <c r="DG277" i="32"/>
  <c r="DH277" i="32"/>
  <c r="CR277" i="32"/>
  <c r="DF278" i="32"/>
  <c r="DG278" i="32"/>
  <c r="DH278" i="32"/>
  <c r="CR278" i="32"/>
  <c r="DF279" i="32"/>
  <c r="DG279" i="32"/>
  <c r="DH279" i="32"/>
  <c r="CR279" i="32"/>
  <c r="DF280" i="32"/>
  <c r="DG280" i="32"/>
  <c r="DH280" i="32"/>
  <c r="CR280" i="32"/>
  <c r="DF281" i="32"/>
  <c r="DG281" i="32"/>
  <c r="DH281" i="32"/>
  <c r="CR281" i="32"/>
  <c r="DF282" i="32"/>
  <c r="DG282" i="32"/>
  <c r="DH282" i="32"/>
  <c r="CR282" i="32"/>
  <c r="DF283" i="32"/>
  <c r="DG283" i="32"/>
  <c r="DH283" i="32"/>
  <c r="CR283" i="32"/>
  <c r="DF284" i="32"/>
  <c r="DG284" i="32"/>
  <c r="DH284" i="32"/>
  <c r="CR284" i="32"/>
  <c r="DF285" i="32"/>
  <c r="DG285" i="32"/>
  <c r="DH285" i="32"/>
  <c r="CR285" i="32"/>
  <c r="DF286" i="32"/>
  <c r="DG286" i="32"/>
  <c r="DH286" i="32"/>
  <c r="CR286" i="32"/>
  <c r="DF287" i="32"/>
  <c r="DG287" i="32"/>
  <c r="DH287" i="32"/>
  <c r="CR287" i="32"/>
  <c r="DF288" i="32"/>
  <c r="DG288" i="32"/>
  <c r="DH288" i="32"/>
  <c r="CR288" i="32"/>
  <c r="DF289" i="32"/>
  <c r="DG289" i="32"/>
  <c r="DH289" i="32"/>
  <c r="CR289" i="32"/>
  <c r="DF290" i="32"/>
  <c r="DG290" i="32"/>
  <c r="DH290" i="32"/>
  <c r="CR290" i="32"/>
  <c r="DF291" i="32"/>
  <c r="DG291" i="32"/>
  <c r="DH291" i="32"/>
  <c r="CR291" i="32"/>
  <c r="DF292" i="32"/>
  <c r="DG292" i="32"/>
  <c r="DH292" i="32"/>
  <c r="CR292" i="32"/>
  <c r="DF293" i="32"/>
  <c r="DG293" i="32"/>
  <c r="DH293" i="32"/>
  <c r="CR293" i="32"/>
  <c r="DF294" i="32"/>
  <c r="DG294" i="32"/>
  <c r="DH294" i="32"/>
  <c r="CR294" i="32"/>
  <c r="DF295" i="32"/>
  <c r="DG295" i="32"/>
  <c r="DH295" i="32"/>
  <c r="CR295" i="32"/>
  <c r="DF296" i="32"/>
  <c r="DG296" i="32"/>
  <c r="DH296" i="32"/>
  <c r="CR296" i="32"/>
  <c r="DF297" i="32"/>
  <c r="DG297" i="32"/>
  <c r="DH297" i="32"/>
  <c r="CR297" i="32"/>
  <c r="DF298" i="32"/>
  <c r="DG298" i="32"/>
  <c r="DH298" i="32"/>
  <c r="CR298" i="32"/>
  <c r="DF299" i="32"/>
  <c r="DG299" i="32"/>
  <c r="DH299" i="32"/>
  <c r="CR299" i="32"/>
  <c r="DF300" i="32"/>
  <c r="DG300" i="32"/>
  <c r="DH300" i="32"/>
  <c r="CR300" i="32"/>
  <c r="DF301" i="32"/>
  <c r="DG301" i="32"/>
  <c r="DH301" i="32"/>
  <c r="CR301" i="32"/>
  <c r="DF302" i="32"/>
  <c r="DG302" i="32"/>
  <c r="DH302" i="32"/>
  <c r="CR302" i="32"/>
  <c r="DF303" i="32"/>
  <c r="DG303" i="32"/>
  <c r="DH303" i="32"/>
  <c r="CR303" i="32"/>
  <c r="DF304" i="32"/>
  <c r="DG304" i="32"/>
  <c r="DH304" i="32"/>
  <c r="CR304" i="32"/>
  <c r="DF305" i="32"/>
  <c r="DG305" i="32"/>
  <c r="DH305" i="32"/>
  <c r="CR305" i="32"/>
  <c r="DF306" i="32"/>
  <c r="DG306" i="32"/>
  <c r="DH306" i="32"/>
  <c r="CR306" i="32"/>
  <c r="DF307" i="32"/>
  <c r="DG307" i="32"/>
  <c r="DH307" i="32"/>
  <c r="CR307" i="32"/>
  <c r="DF308" i="32"/>
  <c r="DG308" i="32"/>
  <c r="DH308" i="32"/>
  <c r="CR308" i="32"/>
  <c r="DF309" i="32"/>
  <c r="DG309" i="32"/>
  <c r="DH309" i="32"/>
  <c r="CR309" i="32"/>
  <c r="DF310" i="32"/>
  <c r="DG310" i="32"/>
  <c r="DH310" i="32"/>
  <c r="CR310" i="32"/>
  <c r="DF311" i="32"/>
  <c r="DG311" i="32"/>
  <c r="DH311" i="32"/>
  <c r="CR311" i="32"/>
  <c r="DF312" i="32"/>
  <c r="DG312" i="32"/>
  <c r="DH312" i="32"/>
  <c r="CR312" i="32"/>
  <c r="DF313" i="32"/>
  <c r="DG313" i="32"/>
  <c r="DH313" i="32"/>
  <c r="CR313" i="32"/>
  <c r="DF314" i="32"/>
  <c r="DG314" i="32"/>
  <c r="DH314" i="32"/>
  <c r="CR314" i="32"/>
  <c r="DF315" i="32"/>
  <c r="DG315" i="32"/>
  <c r="DH315" i="32"/>
  <c r="CR315" i="32"/>
  <c r="DF316" i="32"/>
  <c r="DG316" i="32"/>
  <c r="DH316" i="32"/>
  <c r="CR316" i="32"/>
  <c r="DF317" i="32"/>
  <c r="DG317" i="32"/>
  <c r="DH317" i="32"/>
  <c r="CR317" i="32"/>
  <c r="DF318" i="32"/>
  <c r="DG318" i="32"/>
  <c r="DH318" i="32"/>
  <c r="CR318" i="32"/>
  <c r="DF319" i="32"/>
  <c r="DG319" i="32"/>
  <c r="DH319" i="32"/>
  <c r="CR319" i="32"/>
  <c r="DF320" i="32"/>
  <c r="DG320" i="32"/>
  <c r="DH320" i="32"/>
  <c r="CR320" i="32"/>
  <c r="DF321" i="32"/>
  <c r="DG321" i="32"/>
  <c r="DH321" i="32"/>
  <c r="CR321" i="32"/>
  <c r="DF322" i="32"/>
  <c r="DG322" i="32"/>
  <c r="DH322" i="32"/>
  <c r="CR322" i="32"/>
  <c r="DF323" i="32"/>
  <c r="DG323" i="32"/>
  <c r="DH323" i="32"/>
  <c r="CR323" i="32"/>
  <c r="DF324" i="32"/>
  <c r="DG324" i="32"/>
  <c r="DH324" i="32"/>
  <c r="CR324" i="32"/>
  <c r="DF325" i="32"/>
  <c r="DG325" i="32"/>
  <c r="DH325" i="32"/>
  <c r="CR325" i="32"/>
  <c r="DF326" i="32"/>
  <c r="DG326" i="32"/>
  <c r="DH326" i="32"/>
  <c r="CR326" i="32"/>
  <c r="DF327" i="32"/>
  <c r="DG327" i="32"/>
  <c r="DH327" i="32"/>
  <c r="CR327" i="32"/>
  <c r="DF328" i="32"/>
  <c r="DG328" i="32"/>
  <c r="DH328" i="32"/>
  <c r="CR328" i="32"/>
  <c r="DF329" i="32"/>
  <c r="DG329" i="32"/>
  <c r="DH329" i="32"/>
  <c r="CR329" i="32"/>
  <c r="DF330" i="32"/>
  <c r="DG330" i="32"/>
  <c r="DH330" i="32"/>
  <c r="CR330" i="32"/>
  <c r="DF331" i="32"/>
  <c r="DG331" i="32"/>
  <c r="DH331" i="32"/>
  <c r="CR331" i="32"/>
  <c r="DF332" i="32"/>
  <c r="DG332" i="32"/>
  <c r="DH332" i="32"/>
  <c r="CR332" i="32"/>
  <c r="DF333" i="32"/>
  <c r="DG333" i="32"/>
  <c r="DH333" i="32"/>
  <c r="CR333" i="32"/>
  <c r="DF334" i="32"/>
  <c r="DG334" i="32"/>
  <c r="DH334" i="32"/>
  <c r="CR334" i="32"/>
  <c r="DF335" i="32"/>
  <c r="DG335" i="32"/>
  <c r="DH335" i="32"/>
  <c r="CR335" i="32"/>
  <c r="DF336" i="32"/>
  <c r="DG336" i="32"/>
  <c r="DH336" i="32"/>
  <c r="CR336" i="32"/>
  <c r="DF337" i="32"/>
  <c r="DG337" i="32"/>
  <c r="DH337" i="32"/>
  <c r="CR337" i="32"/>
  <c r="DF338" i="32"/>
  <c r="DG338" i="32"/>
  <c r="DH338" i="32"/>
  <c r="CR338" i="32"/>
  <c r="DF339" i="32"/>
  <c r="DG339" i="32"/>
  <c r="DH339" i="32"/>
  <c r="CR339" i="32"/>
  <c r="DF340" i="32"/>
  <c r="DG340" i="32"/>
  <c r="DH340" i="32"/>
  <c r="CR340" i="32"/>
  <c r="DF341" i="32"/>
  <c r="DG341" i="32"/>
  <c r="DH341" i="32"/>
  <c r="CR341" i="32"/>
  <c r="DF342" i="32"/>
  <c r="DG342" i="32"/>
  <c r="DH342" i="32"/>
  <c r="CR342" i="32"/>
  <c r="DF343" i="32"/>
  <c r="DG343" i="32"/>
  <c r="DH343" i="32"/>
  <c r="CR343" i="32"/>
  <c r="DF344" i="32"/>
  <c r="DG344" i="32"/>
  <c r="DH344" i="32"/>
  <c r="CR344" i="32"/>
  <c r="DF345" i="32"/>
  <c r="DG345" i="32"/>
  <c r="DH345" i="32"/>
  <c r="CR345" i="32"/>
  <c r="DF346" i="32"/>
  <c r="DG346" i="32"/>
  <c r="DH346" i="32"/>
  <c r="CR346" i="32"/>
  <c r="DF347" i="32"/>
  <c r="DG347" i="32"/>
  <c r="DH347" i="32"/>
  <c r="CR347" i="32"/>
  <c r="DF348" i="32"/>
  <c r="DG348" i="32"/>
  <c r="DH348" i="32"/>
  <c r="CR348" i="32"/>
  <c r="DF349" i="32"/>
  <c r="DG349" i="32"/>
  <c r="DH349" i="32"/>
  <c r="CR349" i="32"/>
  <c r="DF350" i="32"/>
  <c r="DG350" i="32"/>
  <c r="DH350" i="32"/>
  <c r="CR350" i="32"/>
  <c r="DF351" i="32"/>
  <c r="DG351" i="32"/>
  <c r="DH351" i="32"/>
  <c r="CR351" i="32"/>
  <c r="DF352" i="32"/>
  <c r="DG352" i="32"/>
  <c r="DH352" i="32"/>
  <c r="CR352" i="32"/>
  <c r="DF353" i="32"/>
  <c r="DG353" i="32"/>
  <c r="DH353" i="32"/>
  <c r="CR353" i="32"/>
  <c r="DF354" i="32"/>
  <c r="DG354" i="32"/>
  <c r="DH354" i="32"/>
  <c r="CR354" i="32"/>
  <c r="DF355" i="32"/>
  <c r="DG355" i="32"/>
  <c r="DH355" i="32"/>
  <c r="CR355" i="32"/>
  <c r="DF356" i="32"/>
  <c r="DG356" i="32"/>
  <c r="DH356" i="32"/>
  <c r="CR356" i="32"/>
  <c r="DF357" i="32"/>
  <c r="DG357" i="32"/>
  <c r="DH357" i="32"/>
  <c r="CR357" i="32"/>
  <c r="DF358" i="32"/>
  <c r="DG358" i="32"/>
  <c r="DH358" i="32"/>
  <c r="CR358" i="32"/>
  <c r="DF359" i="32"/>
  <c r="DG359" i="32"/>
  <c r="DH359" i="32"/>
  <c r="CR359" i="32"/>
  <c r="DF360" i="32"/>
  <c r="DG360" i="32"/>
  <c r="DH360" i="32"/>
  <c r="CR360" i="32"/>
  <c r="DF361" i="32"/>
  <c r="DG361" i="32"/>
  <c r="DH361" i="32"/>
  <c r="CR361" i="32"/>
  <c r="DF362" i="32"/>
  <c r="DG362" i="32"/>
  <c r="DH362" i="32"/>
  <c r="CR362" i="32"/>
  <c r="DF363" i="32"/>
  <c r="DG363" i="32"/>
  <c r="DH363" i="32"/>
  <c r="CR363" i="32"/>
  <c r="DF364" i="32"/>
  <c r="DG364" i="32"/>
  <c r="DH364" i="32"/>
  <c r="CR364" i="32"/>
  <c r="DF365" i="32"/>
  <c r="DG365" i="32"/>
  <c r="DH365" i="32"/>
  <c r="CR365" i="32"/>
  <c r="DF366" i="32"/>
  <c r="DG366" i="32"/>
  <c r="DH366" i="32"/>
  <c r="CR366" i="32"/>
  <c r="DF367" i="32"/>
  <c r="DG367" i="32"/>
  <c r="DH367" i="32"/>
  <c r="CR367" i="32"/>
  <c r="DF368" i="32"/>
  <c r="DG368" i="32"/>
  <c r="DH368" i="32"/>
  <c r="CR368" i="32"/>
  <c r="DF369" i="32"/>
  <c r="DG369" i="32"/>
  <c r="DH369" i="32"/>
  <c r="CR369" i="32"/>
  <c r="DF370" i="32"/>
  <c r="DG370" i="32"/>
  <c r="DH370" i="32"/>
  <c r="CR370" i="32"/>
  <c r="DF371" i="32"/>
  <c r="DG371" i="32"/>
  <c r="DH371" i="32"/>
  <c r="CR371" i="32"/>
  <c r="DF372" i="32"/>
  <c r="DG372" i="32"/>
  <c r="DH372" i="32"/>
  <c r="CR372" i="32"/>
  <c r="DF373" i="32"/>
  <c r="DG373" i="32"/>
  <c r="DH373" i="32"/>
  <c r="CR373" i="32"/>
  <c r="DF374" i="32"/>
  <c r="DG374" i="32"/>
  <c r="DH374" i="32"/>
  <c r="CR374" i="32"/>
  <c r="DF375" i="32"/>
  <c r="DG375" i="32"/>
  <c r="DH375" i="32"/>
  <c r="CR375" i="32"/>
  <c r="DF376" i="32"/>
  <c r="DG376" i="32"/>
  <c r="DH376" i="32"/>
  <c r="CR376" i="32"/>
  <c r="DF377" i="32"/>
  <c r="DG377" i="32"/>
  <c r="DH377" i="32"/>
  <c r="CR377" i="32"/>
  <c r="DF378" i="32"/>
  <c r="DG378" i="32"/>
  <c r="DH378" i="32"/>
  <c r="CR378" i="32"/>
  <c r="DF379" i="32"/>
  <c r="DG379" i="32"/>
  <c r="DH379" i="32"/>
  <c r="CR379" i="32"/>
  <c r="DF380" i="32"/>
  <c r="DG380" i="32"/>
  <c r="DH380" i="32"/>
  <c r="CR380" i="32"/>
  <c r="DF381" i="32"/>
  <c r="DG381" i="32"/>
  <c r="DH381" i="32"/>
  <c r="CR381" i="32"/>
  <c r="DF382" i="32"/>
  <c r="DG382" i="32"/>
  <c r="DH382" i="32"/>
  <c r="CR382" i="32"/>
  <c r="DF383" i="32"/>
  <c r="DG383" i="32"/>
  <c r="DH383" i="32"/>
  <c r="CR383" i="32"/>
  <c r="DF384" i="32"/>
  <c r="DG384" i="32"/>
  <c r="DH384" i="32"/>
  <c r="CR384" i="32"/>
  <c r="DF385" i="32"/>
  <c r="DG385" i="32"/>
  <c r="DH385" i="32"/>
  <c r="CR385" i="32"/>
  <c r="DF386" i="32"/>
  <c r="DG386" i="32"/>
  <c r="DH386" i="32"/>
  <c r="CR386" i="32"/>
  <c r="DF387" i="32"/>
  <c r="DG387" i="32"/>
  <c r="DH387" i="32"/>
  <c r="CR387" i="32"/>
  <c r="DF388" i="32"/>
  <c r="DG388" i="32"/>
  <c r="DH388" i="32"/>
  <c r="CR388" i="32"/>
  <c r="DF389" i="32"/>
  <c r="DG389" i="32"/>
  <c r="DH389" i="32"/>
  <c r="CR389" i="32"/>
  <c r="DF390" i="32"/>
  <c r="DG390" i="32"/>
  <c r="DH390" i="32"/>
  <c r="CR390" i="32"/>
  <c r="DF391" i="32"/>
  <c r="DG391" i="32"/>
  <c r="DH391" i="32"/>
  <c r="CR391" i="32"/>
  <c r="DF392" i="32"/>
  <c r="DG392" i="32"/>
  <c r="DH392" i="32"/>
  <c r="CR392" i="32"/>
  <c r="DF393" i="32"/>
  <c r="DG393" i="32"/>
  <c r="DH393" i="32"/>
  <c r="CR393" i="32"/>
  <c r="DF394" i="32"/>
  <c r="DG394" i="32"/>
  <c r="DH394" i="32"/>
  <c r="CR394" i="32"/>
  <c r="DF395" i="32"/>
  <c r="DG395" i="32"/>
  <c r="DH395" i="32"/>
  <c r="CR395" i="32"/>
  <c r="DF396" i="32"/>
  <c r="DG396" i="32"/>
  <c r="DH396" i="32"/>
  <c r="CR396" i="32"/>
  <c r="DF397" i="32"/>
  <c r="DG397" i="32"/>
  <c r="DH397" i="32"/>
  <c r="CR397" i="32"/>
  <c r="DF398" i="32"/>
  <c r="DG398" i="32"/>
  <c r="DH398" i="32"/>
  <c r="CR398" i="32"/>
  <c r="DF399" i="32"/>
  <c r="DG399" i="32"/>
  <c r="DH399" i="32"/>
  <c r="CR399" i="32"/>
  <c r="DF400" i="32"/>
  <c r="DG400" i="32"/>
  <c r="DH400" i="32"/>
  <c r="CR400" i="32"/>
  <c r="DF401" i="32"/>
  <c r="DG401" i="32"/>
  <c r="DH401" i="32"/>
  <c r="CR401" i="32"/>
  <c r="DF402" i="32"/>
  <c r="DG402" i="32"/>
  <c r="DH402" i="32"/>
  <c r="CR402" i="32"/>
  <c r="DF403" i="32"/>
  <c r="DG403" i="32"/>
  <c r="DH403" i="32"/>
  <c r="CR403" i="32"/>
  <c r="DF404" i="32"/>
  <c r="DG404" i="32"/>
  <c r="DH404" i="32"/>
  <c r="CR404" i="32"/>
  <c r="DF405" i="32"/>
  <c r="DG405" i="32"/>
  <c r="DH405" i="32"/>
  <c r="CR405" i="32"/>
  <c r="DF406" i="32"/>
  <c r="DG406" i="32"/>
  <c r="DH406" i="32"/>
  <c r="CR406" i="32"/>
  <c r="DF407" i="32"/>
  <c r="DG407" i="32"/>
  <c r="DH407" i="32"/>
  <c r="CR407" i="32"/>
  <c r="DF408" i="32"/>
  <c r="DG408" i="32"/>
  <c r="DH408" i="32"/>
  <c r="CR408" i="32"/>
  <c r="DF409" i="32"/>
  <c r="DG409" i="32"/>
  <c r="DH409" i="32"/>
  <c r="CR409" i="32"/>
  <c r="DF410" i="32"/>
  <c r="DG410" i="32"/>
  <c r="DH410" i="32"/>
  <c r="CR410" i="32"/>
  <c r="DF411" i="32"/>
  <c r="DG411" i="32"/>
  <c r="DH411" i="32"/>
  <c r="CR411" i="32"/>
  <c r="DF412" i="32"/>
  <c r="DG412" i="32"/>
  <c r="DH412" i="32"/>
  <c r="CR412" i="32"/>
  <c r="DF413" i="32"/>
  <c r="DG413" i="32"/>
  <c r="DH413" i="32"/>
  <c r="CR413" i="32"/>
  <c r="DF414" i="32"/>
  <c r="DG414" i="32"/>
  <c r="DH414" i="32"/>
  <c r="CR414" i="32"/>
  <c r="DF415" i="32"/>
  <c r="DG415" i="32"/>
  <c r="DH415" i="32"/>
  <c r="CR415" i="32"/>
  <c r="DF416" i="32"/>
  <c r="DG416" i="32"/>
  <c r="DH416" i="32"/>
  <c r="CR416" i="32"/>
  <c r="DF417" i="32"/>
  <c r="DG417" i="32"/>
  <c r="DH417" i="32"/>
  <c r="CR417" i="32"/>
  <c r="DF418" i="32"/>
  <c r="DG418" i="32"/>
  <c r="DH418" i="32"/>
  <c r="CR418" i="32"/>
  <c r="DF419" i="32"/>
  <c r="DG419" i="32"/>
  <c r="DH419" i="32"/>
  <c r="CR419" i="32"/>
  <c r="DF420" i="32"/>
  <c r="DG420" i="32"/>
  <c r="DH420" i="32"/>
  <c r="CR420" i="32"/>
  <c r="DF421" i="32"/>
  <c r="DG421" i="32"/>
  <c r="DH421" i="32"/>
  <c r="CR421" i="32"/>
  <c r="DF422" i="32"/>
  <c r="DG422" i="32"/>
  <c r="DH422" i="32"/>
  <c r="CR422" i="32"/>
  <c r="DF423" i="32"/>
  <c r="DG423" i="32"/>
  <c r="DH423" i="32"/>
  <c r="CR423" i="32"/>
  <c r="DF424" i="32"/>
  <c r="DG424" i="32"/>
  <c r="DH424" i="32"/>
  <c r="CR424" i="32"/>
  <c r="DF425" i="32"/>
  <c r="DG425" i="32"/>
  <c r="DH425" i="32"/>
  <c r="CR425" i="32"/>
  <c r="DF426" i="32"/>
  <c r="DG426" i="32"/>
  <c r="DH426" i="32"/>
  <c r="CR426" i="32"/>
  <c r="DF427" i="32"/>
  <c r="DG427" i="32"/>
  <c r="DH427" i="32"/>
  <c r="CR427" i="32"/>
  <c r="DF428" i="32"/>
  <c r="DG428" i="32"/>
  <c r="DH428" i="32"/>
  <c r="CR428" i="32"/>
  <c r="DF429" i="32"/>
  <c r="DG429" i="32"/>
  <c r="DH429" i="32"/>
  <c r="CR429" i="32"/>
  <c r="DF430" i="32"/>
  <c r="DG430" i="32"/>
  <c r="DH430" i="32"/>
  <c r="CR430" i="32"/>
  <c r="DF431" i="32"/>
  <c r="DG431" i="32"/>
  <c r="DH431" i="32"/>
  <c r="CR431" i="32"/>
  <c r="DF432" i="32"/>
  <c r="DG432" i="32"/>
  <c r="DH432" i="32"/>
  <c r="CR432" i="32"/>
  <c r="DF433" i="32"/>
  <c r="DG433" i="32"/>
  <c r="DH433" i="32"/>
  <c r="CR433" i="32"/>
  <c r="DF434" i="32"/>
  <c r="DG434" i="32"/>
  <c r="DH434" i="32"/>
  <c r="CR434" i="32"/>
  <c r="DF435" i="32"/>
  <c r="DG435" i="32"/>
  <c r="DH435" i="32"/>
  <c r="CR435" i="32"/>
  <c r="DF436" i="32"/>
  <c r="DG436" i="32"/>
  <c r="DH436" i="32"/>
  <c r="CR436" i="32"/>
  <c r="DF437" i="32"/>
  <c r="DG437" i="32"/>
  <c r="DH437" i="32"/>
  <c r="CR437" i="32"/>
  <c r="DF438" i="32"/>
  <c r="DG438" i="32"/>
  <c r="DH438" i="32"/>
  <c r="CR438" i="32"/>
  <c r="DF439" i="32"/>
  <c r="DG439" i="32"/>
  <c r="DH439" i="32"/>
  <c r="CR439" i="32"/>
  <c r="DF440" i="32"/>
  <c r="DG440" i="32"/>
  <c r="DH440" i="32"/>
  <c r="CR440" i="32"/>
  <c r="DF441" i="32"/>
  <c r="DG441" i="32"/>
  <c r="DH441" i="32"/>
  <c r="CR441" i="32"/>
  <c r="DF442" i="32"/>
  <c r="DG442" i="32"/>
  <c r="DH442" i="32"/>
  <c r="CR442" i="32"/>
  <c r="DF443" i="32"/>
  <c r="DG443" i="32"/>
  <c r="DH443" i="32"/>
  <c r="CR443" i="32"/>
  <c r="DF444" i="32"/>
  <c r="DG444" i="32"/>
  <c r="DH444" i="32"/>
  <c r="CR444" i="32"/>
  <c r="CX24" i="32"/>
  <c r="CX21" i="32"/>
  <c r="CX22" i="32"/>
  <c r="CX23" i="32"/>
  <c r="CX7" i="32"/>
  <c r="CX8" i="32"/>
  <c r="CX9" i="32"/>
  <c r="CX10" i="32"/>
  <c r="CX11" i="32"/>
  <c r="CX12" i="32"/>
  <c r="CX13" i="32"/>
  <c r="CX14" i="32"/>
  <c r="CX15" i="32"/>
  <c r="CX16" i="32"/>
  <c r="CX17" i="32"/>
  <c r="CX18" i="32"/>
  <c r="CX19" i="32"/>
  <c r="CX20" i="32"/>
  <c r="Q4" i="32"/>
  <c r="AX4" i="23"/>
  <c r="T3" i="35"/>
  <c r="T4" i="35"/>
  <c r="T5" i="35"/>
  <c r="T6" i="35"/>
  <c r="T7" i="35"/>
  <c r="AU5" i="32"/>
  <c r="AV5" i="32"/>
  <c r="AU6" i="32"/>
  <c r="AV6" i="32"/>
  <c r="AU7" i="32"/>
  <c r="AV7" i="32"/>
  <c r="AU8" i="32"/>
  <c r="AV8" i="32"/>
  <c r="AU9" i="32"/>
  <c r="AV9" i="32"/>
  <c r="AU10" i="32"/>
  <c r="AV10" i="32"/>
  <c r="AU11" i="32"/>
  <c r="AV11" i="32"/>
  <c r="AU12" i="32"/>
  <c r="AV12" i="32"/>
  <c r="AU13" i="32"/>
  <c r="AV13" i="32"/>
  <c r="AU14" i="32"/>
  <c r="AV14" i="32"/>
  <c r="AU15" i="32"/>
  <c r="AV15" i="32"/>
  <c r="AU16" i="32"/>
  <c r="AV16" i="32"/>
  <c r="AU17" i="32"/>
  <c r="AV17" i="32"/>
  <c r="AU18" i="32"/>
  <c r="AV18" i="32"/>
  <c r="AU19" i="32"/>
  <c r="AV19" i="32"/>
  <c r="AU20" i="32"/>
  <c r="AV20" i="32"/>
  <c r="AU21" i="32"/>
  <c r="AV21" i="32"/>
  <c r="AU22" i="32"/>
  <c r="AV22" i="32"/>
  <c r="AU23" i="32"/>
  <c r="AV23" i="32"/>
  <c r="AU24" i="32"/>
  <c r="AV24" i="32"/>
  <c r="AU25" i="32"/>
  <c r="AV25" i="32"/>
  <c r="AU26" i="32"/>
  <c r="AV26" i="32"/>
  <c r="AU27" i="32"/>
  <c r="AV27" i="32"/>
  <c r="AU28" i="32"/>
  <c r="AV28" i="32"/>
  <c r="AU29" i="32"/>
  <c r="AV29" i="32"/>
  <c r="AU30" i="32"/>
  <c r="AV30" i="32"/>
  <c r="AU31" i="32"/>
  <c r="AV31" i="32"/>
  <c r="AU32" i="32"/>
  <c r="AV32" i="32"/>
  <c r="AU33" i="32"/>
  <c r="AV33" i="32"/>
  <c r="AU34" i="32"/>
  <c r="AV34" i="32"/>
  <c r="AU35" i="32"/>
  <c r="AV35" i="32"/>
  <c r="AU36" i="32"/>
  <c r="AV36" i="32"/>
  <c r="AU37" i="32"/>
  <c r="AV37" i="32"/>
  <c r="AU38" i="32"/>
  <c r="AV38" i="32"/>
  <c r="AU39" i="32"/>
  <c r="AV39" i="32"/>
  <c r="AU40" i="32"/>
  <c r="AV40" i="32"/>
  <c r="AU41" i="32"/>
  <c r="AV41" i="32"/>
  <c r="AU42" i="32"/>
  <c r="AV42" i="32"/>
  <c r="AU43" i="32"/>
  <c r="AV43" i="32"/>
  <c r="AU44" i="32"/>
  <c r="AV44" i="32"/>
  <c r="AU45" i="32"/>
  <c r="AV45" i="32"/>
  <c r="AU46" i="32"/>
  <c r="AV46" i="32"/>
  <c r="AU47" i="32"/>
  <c r="AV47" i="32"/>
  <c r="AU48" i="32"/>
  <c r="AV48" i="32"/>
  <c r="AU49" i="32"/>
  <c r="AV49" i="32"/>
  <c r="AU50" i="32"/>
  <c r="AV50" i="32"/>
  <c r="AU51" i="32"/>
  <c r="AV51" i="32"/>
  <c r="AU52" i="32"/>
  <c r="AV52" i="32"/>
  <c r="AU53" i="32"/>
  <c r="AV53" i="32"/>
  <c r="AU54" i="32"/>
  <c r="AV54" i="32"/>
  <c r="AU55" i="32"/>
  <c r="AV55" i="32"/>
  <c r="AU56" i="32"/>
  <c r="AV56" i="32"/>
  <c r="AU57" i="32"/>
  <c r="AV57" i="32"/>
  <c r="AU58" i="32"/>
  <c r="AV58" i="32"/>
  <c r="AU59" i="32"/>
  <c r="AV59" i="32"/>
  <c r="AU60" i="32"/>
  <c r="AV60" i="32"/>
  <c r="AU61" i="32"/>
  <c r="AV61" i="32"/>
  <c r="AU62" i="32"/>
  <c r="AV62" i="32"/>
  <c r="AU63" i="32"/>
  <c r="AV63" i="32"/>
  <c r="AU64" i="32"/>
  <c r="AV64" i="32"/>
  <c r="AU65" i="32"/>
  <c r="AV65" i="32"/>
  <c r="AU66" i="32"/>
  <c r="AV66" i="32"/>
  <c r="AU67" i="32"/>
  <c r="AV67" i="32"/>
  <c r="AU68" i="32"/>
  <c r="AV68" i="32"/>
  <c r="AU69" i="32"/>
  <c r="AV69" i="32"/>
  <c r="AU70" i="32"/>
  <c r="AV70" i="32"/>
  <c r="AU71" i="32"/>
  <c r="AV71" i="32"/>
  <c r="AU72" i="32"/>
  <c r="AV72" i="32"/>
  <c r="AU73" i="32"/>
  <c r="AV73" i="32"/>
  <c r="AU74" i="32"/>
  <c r="AV74" i="32"/>
  <c r="AU75" i="32"/>
  <c r="AV75" i="32"/>
  <c r="AU76" i="32"/>
  <c r="AV76" i="32"/>
  <c r="AU77" i="32"/>
  <c r="AV77" i="32"/>
  <c r="AU78" i="32"/>
  <c r="AV78" i="32"/>
  <c r="AU79" i="32"/>
  <c r="AV79" i="32"/>
  <c r="AU80" i="32"/>
  <c r="AV80" i="32"/>
  <c r="AU81" i="32"/>
  <c r="AV81" i="32"/>
  <c r="AU82" i="32"/>
  <c r="AV82" i="32"/>
  <c r="AU83" i="32"/>
  <c r="AV83" i="32"/>
  <c r="AU84" i="32"/>
  <c r="AV84" i="32"/>
  <c r="AU85" i="32"/>
  <c r="AV85" i="32"/>
  <c r="AU86" i="32"/>
  <c r="AV86" i="32"/>
  <c r="AU87" i="32"/>
  <c r="AV87" i="32"/>
  <c r="AU88" i="32"/>
  <c r="AV88" i="32"/>
  <c r="AU89" i="32"/>
  <c r="AV89" i="32"/>
  <c r="AU90" i="32"/>
  <c r="AV90" i="32"/>
  <c r="AU91" i="32"/>
  <c r="AV91" i="32"/>
  <c r="AU92" i="32"/>
  <c r="AV92" i="32"/>
  <c r="AU93" i="32"/>
  <c r="AV93" i="32"/>
  <c r="AU94" i="32"/>
  <c r="AV94" i="32"/>
  <c r="AU95" i="32"/>
  <c r="AV95" i="32"/>
  <c r="AU96" i="32"/>
  <c r="AV96" i="32"/>
  <c r="AU97" i="32"/>
  <c r="AV97" i="32"/>
  <c r="AU98" i="32"/>
  <c r="AV98" i="32"/>
  <c r="AU99" i="32"/>
  <c r="AV99" i="32"/>
  <c r="AU100" i="32"/>
  <c r="AV100" i="32"/>
  <c r="AU101" i="32"/>
  <c r="AV101" i="32"/>
  <c r="AU102" i="32"/>
  <c r="AV102" i="32"/>
  <c r="AU103" i="32"/>
  <c r="AV103" i="32"/>
  <c r="AU104" i="32"/>
  <c r="AV104" i="32"/>
  <c r="AU105" i="32"/>
  <c r="AV105" i="32"/>
  <c r="AU106" i="32"/>
  <c r="AV106" i="32"/>
  <c r="AU107" i="32"/>
  <c r="AV107" i="32"/>
  <c r="AU108" i="32"/>
  <c r="AV108" i="32"/>
  <c r="AU109" i="32"/>
  <c r="AV109" i="32"/>
  <c r="AU110" i="32"/>
  <c r="AV110" i="32"/>
  <c r="AU111" i="32"/>
  <c r="AV111" i="32"/>
  <c r="AU112" i="32"/>
  <c r="AV112" i="32"/>
  <c r="AU113" i="32"/>
  <c r="AV113" i="32"/>
  <c r="AU114" i="32"/>
  <c r="AV114" i="32"/>
  <c r="AU115" i="32"/>
  <c r="AV115" i="32"/>
  <c r="AU116" i="32"/>
  <c r="AV116" i="32"/>
  <c r="AU117" i="32"/>
  <c r="AV117" i="32"/>
  <c r="AU118" i="32"/>
  <c r="AV118" i="32"/>
  <c r="AU119" i="32"/>
  <c r="AV119" i="32"/>
  <c r="AU120" i="32"/>
  <c r="AV120" i="32"/>
  <c r="AU121" i="32"/>
  <c r="AV121" i="32"/>
  <c r="AU122" i="32"/>
  <c r="AV122" i="32"/>
  <c r="AU123" i="32"/>
  <c r="AV123" i="32"/>
  <c r="AU124" i="32"/>
  <c r="AV124" i="32"/>
  <c r="AU125" i="32"/>
  <c r="AV125" i="32"/>
  <c r="AU126" i="32"/>
  <c r="AV126" i="32"/>
  <c r="AU127" i="32"/>
  <c r="AV127" i="32"/>
  <c r="AU128" i="32"/>
  <c r="AV128" i="32"/>
  <c r="AU129" i="32"/>
  <c r="AV129" i="32"/>
  <c r="AU130" i="32"/>
  <c r="AV130" i="32"/>
  <c r="AU131" i="32"/>
  <c r="AV131" i="32"/>
  <c r="AU132" i="32"/>
  <c r="AV132" i="32"/>
  <c r="AU133" i="32"/>
  <c r="AV133" i="32"/>
  <c r="AU134" i="32"/>
  <c r="AV134" i="32"/>
  <c r="AU135" i="32"/>
  <c r="AV135" i="32"/>
  <c r="AU136" i="32"/>
  <c r="AV136" i="32"/>
  <c r="AU137" i="32"/>
  <c r="AV137" i="32"/>
  <c r="AU138" i="32"/>
  <c r="AV138" i="32"/>
  <c r="AU139" i="32"/>
  <c r="AV139" i="32"/>
  <c r="AU140" i="32"/>
  <c r="AV140" i="32"/>
  <c r="AU141" i="32"/>
  <c r="AV141" i="32"/>
  <c r="AU142" i="32"/>
  <c r="AV142" i="32"/>
  <c r="AU143" i="32"/>
  <c r="AV143" i="32"/>
  <c r="AU144" i="32"/>
  <c r="AV144" i="32"/>
  <c r="AU145" i="32"/>
  <c r="AV145" i="32"/>
  <c r="AU146" i="32"/>
  <c r="AV146" i="32"/>
  <c r="AU147" i="32"/>
  <c r="AV147" i="32"/>
  <c r="AU148" i="32"/>
  <c r="AV148" i="32"/>
  <c r="AU149" i="32"/>
  <c r="AV149" i="32"/>
  <c r="AU150" i="32"/>
  <c r="AV150" i="32"/>
  <c r="AU151" i="32"/>
  <c r="AV151" i="32"/>
  <c r="AU152" i="32"/>
  <c r="AV152" i="32"/>
  <c r="AU153" i="32"/>
  <c r="AV153" i="32"/>
  <c r="AU154" i="32"/>
  <c r="AV154" i="32"/>
  <c r="AU155" i="32"/>
  <c r="AV155" i="32"/>
  <c r="AU156" i="32"/>
  <c r="AV156" i="32"/>
  <c r="AU157" i="32"/>
  <c r="AV157" i="32"/>
  <c r="AU158" i="32"/>
  <c r="AV158" i="32"/>
  <c r="AU159" i="32"/>
  <c r="AV159" i="32"/>
  <c r="AU160" i="32"/>
  <c r="AV160" i="32"/>
  <c r="AU161" i="32"/>
  <c r="AV161" i="32"/>
  <c r="AU162" i="32"/>
  <c r="AV162" i="32"/>
  <c r="AU163" i="32"/>
  <c r="AV163" i="32"/>
  <c r="AU164" i="32"/>
  <c r="AV164" i="32"/>
  <c r="AU165" i="32"/>
  <c r="AV165" i="32"/>
  <c r="AU166" i="32"/>
  <c r="AV166" i="32"/>
  <c r="AU167" i="32"/>
  <c r="AV167" i="32"/>
  <c r="AU168" i="32"/>
  <c r="AV168" i="32"/>
  <c r="AU169" i="32"/>
  <c r="AV169" i="32"/>
  <c r="AU170" i="32"/>
  <c r="AV170" i="32"/>
  <c r="AU171" i="32"/>
  <c r="AV171" i="32"/>
  <c r="AU172" i="32"/>
  <c r="AV172" i="32"/>
  <c r="AU173" i="32"/>
  <c r="AV173" i="32"/>
  <c r="AU174" i="32"/>
  <c r="AV174" i="32"/>
  <c r="AU175" i="32"/>
  <c r="AV175" i="32"/>
  <c r="AU176" i="32"/>
  <c r="AV176" i="32"/>
  <c r="AU177" i="32"/>
  <c r="AV177" i="32"/>
  <c r="AU178" i="32"/>
  <c r="AV178" i="32"/>
  <c r="AU179" i="32"/>
  <c r="AV179" i="32"/>
  <c r="AU180" i="32"/>
  <c r="AV180" i="32"/>
  <c r="AU181" i="32"/>
  <c r="AV181" i="32"/>
  <c r="AU182" i="32"/>
  <c r="AV182" i="32"/>
  <c r="AU183" i="32"/>
  <c r="AV183" i="32"/>
  <c r="AU184" i="32"/>
  <c r="AV184" i="32"/>
  <c r="AU185" i="32"/>
  <c r="AV185" i="32"/>
  <c r="AU186" i="32"/>
  <c r="AV186" i="32"/>
  <c r="AU187" i="32"/>
  <c r="AV187" i="32"/>
  <c r="AU188" i="32"/>
  <c r="AV188" i="32"/>
  <c r="AU189" i="32"/>
  <c r="AV189" i="32"/>
  <c r="AU190" i="32"/>
  <c r="AV190" i="32"/>
  <c r="AU191" i="32"/>
  <c r="AV191" i="32"/>
  <c r="AU192" i="32"/>
  <c r="AV192" i="32"/>
  <c r="AU193" i="32"/>
  <c r="AV193" i="32"/>
  <c r="AU194" i="32"/>
  <c r="AV194" i="32"/>
  <c r="AU195" i="32"/>
  <c r="AV195" i="32"/>
  <c r="AU196" i="32"/>
  <c r="AV196" i="32"/>
  <c r="AU197" i="32"/>
  <c r="AV197" i="32"/>
  <c r="AU198" i="32"/>
  <c r="AV198" i="32"/>
  <c r="AU199" i="32"/>
  <c r="AV199" i="32"/>
  <c r="AU200" i="32"/>
  <c r="AV200" i="32"/>
  <c r="AU201" i="32"/>
  <c r="AV201" i="32"/>
  <c r="AU202" i="32"/>
  <c r="AV202" i="32"/>
  <c r="AU203" i="32"/>
  <c r="AV203" i="32"/>
  <c r="AU204" i="32"/>
  <c r="AV204" i="32"/>
  <c r="AU205" i="32"/>
  <c r="AV205" i="32"/>
  <c r="AU206" i="32"/>
  <c r="AV206" i="32"/>
  <c r="AU207" i="32"/>
  <c r="AV207" i="32"/>
  <c r="AU208" i="32"/>
  <c r="AV208" i="32"/>
  <c r="AU209" i="32"/>
  <c r="AV209" i="32"/>
  <c r="AU210" i="32"/>
  <c r="AV210" i="32"/>
  <c r="AU211" i="32"/>
  <c r="AV211" i="32"/>
  <c r="AU212" i="32"/>
  <c r="AV212" i="32"/>
  <c r="AU213" i="32"/>
  <c r="AV213" i="32"/>
  <c r="AU214" i="32"/>
  <c r="AV214" i="32"/>
  <c r="AU215" i="32"/>
  <c r="AV215" i="32"/>
  <c r="AU216" i="32"/>
  <c r="AV216" i="32"/>
  <c r="AU217" i="32"/>
  <c r="AV217" i="32"/>
  <c r="AU218" i="32"/>
  <c r="AV218" i="32"/>
  <c r="AU219" i="32"/>
  <c r="AV219" i="32"/>
  <c r="AU220" i="32"/>
  <c r="AV220" i="32"/>
  <c r="AU221" i="32"/>
  <c r="AV221" i="32"/>
  <c r="AU222" i="32"/>
  <c r="AV222" i="32"/>
  <c r="AU223" i="32"/>
  <c r="AV223" i="32"/>
  <c r="AU224" i="32"/>
  <c r="AV224" i="32"/>
  <c r="AU225" i="32"/>
  <c r="AV225" i="32"/>
  <c r="AU226" i="32"/>
  <c r="AV226" i="32"/>
  <c r="AU227" i="32"/>
  <c r="AV227" i="32"/>
  <c r="AU228" i="32"/>
  <c r="AV228" i="32"/>
  <c r="AU229" i="32"/>
  <c r="AV229" i="32"/>
  <c r="AU230" i="32"/>
  <c r="AV230" i="32"/>
  <c r="AU231" i="32"/>
  <c r="AV231" i="32"/>
  <c r="AU232" i="32"/>
  <c r="AV232" i="32"/>
  <c r="AU233" i="32"/>
  <c r="AV233" i="32"/>
  <c r="AU234" i="32"/>
  <c r="AV234" i="32"/>
  <c r="AU235" i="32"/>
  <c r="AV235" i="32"/>
  <c r="AU236" i="32"/>
  <c r="AV236" i="32"/>
  <c r="AU237" i="32"/>
  <c r="AV237" i="32"/>
  <c r="AU238" i="32"/>
  <c r="AV238" i="32"/>
  <c r="AU239" i="32"/>
  <c r="AV239" i="32"/>
  <c r="AU240" i="32"/>
  <c r="AV240" i="32"/>
  <c r="AU241" i="32"/>
  <c r="AV241" i="32"/>
  <c r="AU242" i="32"/>
  <c r="AV242" i="32"/>
  <c r="AU243" i="32"/>
  <c r="AV243" i="32"/>
  <c r="AU244" i="32"/>
  <c r="AV244" i="32"/>
  <c r="AU245" i="32"/>
  <c r="AV245" i="32"/>
  <c r="AU246" i="32"/>
  <c r="AV246" i="32"/>
  <c r="AU247" i="32"/>
  <c r="AV247" i="32"/>
  <c r="AU248" i="32"/>
  <c r="AV248" i="32"/>
  <c r="AU249" i="32"/>
  <c r="AV249" i="32"/>
  <c r="AU250" i="32"/>
  <c r="AV250" i="32"/>
  <c r="AU251" i="32"/>
  <c r="AV251" i="32"/>
  <c r="AU252" i="32"/>
  <c r="AV252" i="32"/>
  <c r="AU253" i="32"/>
  <c r="AV253" i="32"/>
  <c r="AU254" i="32"/>
  <c r="AV254" i="32"/>
  <c r="AU255" i="32"/>
  <c r="AV255" i="32"/>
  <c r="AU256" i="32"/>
  <c r="AV256" i="32"/>
  <c r="AU257" i="32"/>
  <c r="AV257" i="32"/>
  <c r="AU258" i="32"/>
  <c r="AV258" i="32"/>
  <c r="AU259" i="32"/>
  <c r="AV259" i="32"/>
  <c r="AU260" i="32"/>
  <c r="AV260" i="32"/>
  <c r="AU261" i="32"/>
  <c r="AV261" i="32"/>
  <c r="AU262" i="32"/>
  <c r="AV262" i="32"/>
  <c r="AU263" i="32"/>
  <c r="AV263" i="32"/>
  <c r="AU264" i="32"/>
  <c r="AV264" i="32"/>
  <c r="AU265" i="32"/>
  <c r="AV265" i="32"/>
  <c r="AU266" i="32"/>
  <c r="AV266" i="32"/>
  <c r="AU267" i="32"/>
  <c r="AV267" i="32"/>
  <c r="AU268" i="32"/>
  <c r="AV268" i="32"/>
  <c r="AU269" i="32"/>
  <c r="AV269" i="32"/>
  <c r="AU270" i="32"/>
  <c r="AV270" i="32"/>
  <c r="AU271" i="32"/>
  <c r="AV271" i="32"/>
  <c r="AU272" i="32"/>
  <c r="AV272" i="32"/>
  <c r="AU273" i="32"/>
  <c r="AV273" i="32"/>
  <c r="AU274" i="32"/>
  <c r="AV274" i="32"/>
  <c r="AU275" i="32"/>
  <c r="AV275" i="32"/>
  <c r="AU276" i="32"/>
  <c r="AV276" i="32"/>
  <c r="AU277" i="32"/>
  <c r="AV277" i="32"/>
  <c r="AU278" i="32"/>
  <c r="AV278" i="32"/>
  <c r="AU279" i="32"/>
  <c r="AV279" i="32"/>
  <c r="AU280" i="32"/>
  <c r="AV280" i="32"/>
  <c r="AU281" i="32"/>
  <c r="AV281" i="32"/>
  <c r="AU282" i="32"/>
  <c r="AV282" i="32"/>
  <c r="AU283" i="32"/>
  <c r="AV283" i="32"/>
  <c r="AU284" i="32"/>
  <c r="AV284" i="32"/>
  <c r="AU285" i="32"/>
  <c r="AV285" i="32"/>
  <c r="AU286" i="32"/>
  <c r="AV286" i="32"/>
  <c r="AU287" i="32"/>
  <c r="AV287" i="32"/>
  <c r="AU288" i="32"/>
  <c r="AV288" i="32"/>
  <c r="AU289" i="32"/>
  <c r="AV289" i="32"/>
  <c r="AU290" i="32"/>
  <c r="AV290" i="32"/>
  <c r="AU291" i="32"/>
  <c r="AV291" i="32"/>
  <c r="AU292" i="32"/>
  <c r="AV292" i="32"/>
  <c r="AU293" i="32"/>
  <c r="AV293" i="32"/>
  <c r="AU294" i="32"/>
  <c r="AV294" i="32"/>
  <c r="AU295" i="32"/>
  <c r="AV295" i="32"/>
  <c r="AU296" i="32"/>
  <c r="AV296" i="32"/>
  <c r="AU297" i="32"/>
  <c r="AV297" i="32"/>
  <c r="AU298" i="32"/>
  <c r="AV298" i="32"/>
  <c r="AU299" i="32"/>
  <c r="AV299" i="32"/>
  <c r="AU300" i="32"/>
  <c r="AV300" i="32"/>
  <c r="AU301" i="32"/>
  <c r="AV301" i="32"/>
  <c r="AU302" i="32"/>
  <c r="AV302" i="32"/>
  <c r="AU303" i="32"/>
  <c r="AV303" i="32"/>
  <c r="AU304" i="32"/>
  <c r="AV304" i="32"/>
  <c r="AU305" i="32"/>
  <c r="AV305" i="32"/>
  <c r="AU306" i="32"/>
  <c r="AV306" i="32"/>
  <c r="AU307" i="32"/>
  <c r="AV307" i="32"/>
  <c r="AU308" i="32"/>
  <c r="AV308" i="32"/>
  <c r="AU309" i="32"/>
  <c r="AV309" i="32"/>
  <c r="AU310" i="32"/>
  <c r="AV310" i="32"/>
  <c r="AU311" i="32"/>
  <c r="AV311" i="32"/>
  <c r="AU312" i="32"/>
  <c r="AV312" i="32"/>
  <c r="AU313" i="32"/>
  <c r="AV313" i="32"/>
  <c r="AU314" i="32"/>
  <c r="AV314" i="32"/>
  <c r="AU315" i="32"/>
  <c r="AV315" i="32"/>
  <c r="AU316" i="32"/>
  <c r="AV316" i="32"/>
  <c r="AU317" i="32"/>
  <c r="AV317" i="32"/>
  <c r="AU318" i="32"/>
  <c r="AV318" i="32"/>
  <c r="AU319" i="32"/>
  <c r="AV319" i="32"/>
  <c r="AU320" i="32"/>
  <c r="AV320" i="32"/>
  <c r="AU321" i="32"/>
  <c r="AV321" i="32"/>
  <c r="AU322" i="32"/>
  <c r="AV322" i="32"/>
  <c r="AU323" i="32"/>
  <c r="AV323" i="32"/>
  <c r="AU324" i="32"/>
  <c r="AV324" i="32"/>
  <c r="AU325" i="32"/>
  <c r="AV325" i="32"/>
  <c r="AU326" i="32"/>
  <c r="AV326" i="32"/>
  <c r="AU327" i="32"/>
  <c r="AV327" i="32"/>
  <c r="AU328" i="32"/>
  <c r="AV328" i="32"/>
  <c r="AU329" i="32"/>
  <c r="AV329" i="32"/>
  <c r="AU330" i="32"/>
  <c r="AV330" i="32"/>
  <c r="AU331" i="32"/>
  <c r="AV331" i="32"/>
  <c r="AU332" i="32"/>
  <c r="AV332" i="32"/>
  <c r="AU333" i="32"/>
  <c r="AV333" i="32"/>
  <c r="AU334" i="32"/>
  <c r="AV334" i="32"/>
  <c r="AU335" i="32"/>
  <c r="AV335" i="32"/>
  <c r="AU336" i="32"/>
  <c r="AV336" i="32"/>
  <c r="AU337" i="32"/>
  <c r="AV337" i="32"/>
  <c r="AU338" i="32"/>
  <c r="AV338" i="32"/>
  <c r="AU339" i="32"/>
  <c r="AV339" i="32"/>
  <c r="AU340" i="32"/>
  <c r="AV340" i="32"/>
  <c r="AV4" i="32"/>
  <c r="AU4" i="32"/>
  <c r="K223" i="31"/>
  <c r="K222" i="31"/>
  <c r="K224" i="31"/>
  <c r="K225" i="31"/>
  <c r="K226" i="31"/>
  <c r="K227" i="31"/>
  <c r="K228" i="31"/>
  <c r="K229" i="31"/>
  <c r="K230" i="31"/>
  <c r="K231" i="31"/>
  <c r="K232" i="31"/>
  <c r="K233" i="31"/>
  <c r="K234" i="31"/>
  <c r="K235" i="31"/>
  <c r="K236" i="31"/>
  <c r="K237" i="31"/>
  <c r="K238" i="31"/>
  <c r="K239" i="31"/>
  <c r="K240" i="31"/>
  <c r="K241" i="31"/>
  <c r="K242" i="31"/>
  <c r="K243" i="31"/>
  <c r="K244" i="31"/>
  <c r="K245" i="31"/>
  <c r="K246" i="31"/>
  <c r="K247" i="31"/>
  <c r="K248" i="31"/>
  <c r="K249" i="31"/>
  <c r="K250" i="31"/>
  <c r="K251" i="31"/>
  <c r="K252" i="31"/>
  <c r="K253" i="31"/>
  <c r="K254" i="31"/>
  <c r="K255" i="31"/>
  <c r="K256" i="31"/>
  <c r="K257" i="31"/>
  <c r="K258" i="31"/>
  <c r="K259" i="31"/>
  <c r="K260" i="31"/>
  <c r="K261" i="31"/>
  <c r="K262" i="31"/>
  <c r="K263" i="31"/>
  <c r="K264" i="31"/>
  <c r="K265" i="31"/>
  <c r="K266" i="31"/>
  <c r="K267" i="31"/>
  <c r="K268" i="31"/>
  <c r="K269" i="31"/>
  <c r="K270" i="31"/>
  <c r="K271" i="31"/>
  <c r="K272" i="31"/>
  <c r="K273" i="31"/>
  <c r="K274" i="31"/>
  <c r="K275" i="31"/>
  <c r="K276" i="31"/>
  <c r="K277" i="31"/>
  <c r="K278" i="31"/>
  <c r="K279" i="31"/>
  <c r="K280" i="31"/>
  <c r="K281" i="31"/>
  <c r="K282" i="31"/>
  <c r="K283" i="31"/>
  <c r="K284" i="31"/>
  <c r="K285" i="31"/>
  <c r="K286" i="31"/>
  <c r="K287" i="31"/>
  <c r="K288" i="31"/>
  <c r="K289" i="31"/>
  <c r="K290" i="31"/>
  <c r="K291" i="31"/>
  <c r="K292" i="31"/>
  <c r="K293" i="31"/>
  <c r="K294" i="31"/>
  <c r="K295" i="31"/>
  <c r="K296" i="31"/>
  <c r="K297" i="31"/>
  <c r="K298" i="31"/>
  <c r="K299" i="31"/>
  <c r="K300" i="31"/>
  <c r="K301" i="31"/>
  <c r="K302" i="31"/>
  <c r="K303" i="31"/>
  <c r="K304" i="31"/>
  <c r="K305" i="31"/>
  <c r="K306" i="31"/>
  <c r="K307" i="31"/>
  <c r="K308" i="31"/>
  <c r="K310" i="31"/>
  <c r="K311" i="31"/>
  <c r="K312" i="31"/>
  <c r="K313" i="31"/>
  <c r="K314" i="31"/>
  <c r="K315" i="31"/>
  <c r="K316" i="31"/>
  <c r="K317" i="31"/>
  <c r="K318" i="31"/>
  <c r="K319" i="31"/>
  <c r="K320" i="31"/>
  <c r="K321" i="31"/>
  <c r="K322" i="31"/>
  <c r="K323" i="31"/>
  <c r="K324" i="31"/>
  <c r="K325" i="31"/>
  <c r="K326" i="31"/>
  <c r="K327" i="31"/>
  <c r="K328" i="31"/>
  <c r="K329" i="31"/>
  <c r="K330" i="31"/>
  <c r="K331" i="31"/>
  <c r="K332" i="31"/>
  <c r="K333" i="31"/>
  <c r="K334" i="31"/>
  <c r="K335" i="31"/>
  <c r="K336" i="31"/>
  <c r="K337" i="31"/>
  <c r="K338" i="31"/>
  <c r="K339" i="31"/>
  <c r="K340" i="31"/>
  <c r="K341" i="31"/>
  <c r="K342" i="31"/>
  <c r="K343" i="31"/>
  <c r="K344" i="31"/>
  <c r="K345" i="31"/>
  <c r="K346" i="31"/>
  <c r="K347" i="31"/>
  <c r="K348" i="31"/>
  <c r="K349" i="31"/>
  <c r="K350" i="31"/>
  <c r="K351" i="31"/>
  <c r="K352" i="31"/>
  <c r="K353" i="31"/>
  <c r="K354" i="31"/>
  <c r="K355" i="31"/>
  <c r="K356" i="31"/>
  <c r="K357" i="31"/>
  <c r="K358" i="31"/>
  <c r="K359" i="31"/>
  <c r="K360" i="31"/>
  <c r="K361" i="31"/>
  <c r="K362" i="31"/>
  <c r="K363" i="31"/>
  <c r="K364" i="31"/>
  <c r="K365" i="31"/>
  <c r="K366" i="31"/>
  <c r="K367" i="31"/>
  <c r="K368" i="31"/>
  <c r="K369" i="31"/>
  <c r="K370" i="31"/>
  <c r="K371" i="31"/>
  <c r="K372" i="31"/>
  <c r="K373" i="31"/>
  <c r="K374" i="31"/>
  <c r="K375" i="31"/>
  <c r="K376" i="31"/>
  <c r="K377" i="31"/>
  <c r="K378" i="31"/>
  <c r="K379" i="31"/>
  <c r="K380" i="31"/>
  <c r="K381" i="31"/>
  <c r="K382" i="31"/>
  <c r="K383" i="31"/>
  <c r="K384" i="31"/>
  <c r="K385" i="31"/>
  <c r="K386" i="31"/>
  <c r="K387" i="31"/>
  <c r="K388" i="31"/>
  <c r="K389" i="31"/>
  <c r="K390" i="31"/>
  <c r="K391" i="31"/>
  <c r="K392" i="31"/>
  <c r="K393" i="31"/>
  <c r="K394" i="31"/>
  <c r="K395" i="31"/>
  <c r="K396" i="31"/>
  <c r="K397" i="31"/>
  <c r="K398" i="31"/>
  <c r="K399" i="31"/>
  <c r="K400" i="31"/>
  <c r="K401" i="31"/>
  <c r="K402" i="31"/>
  <c r="K403" i="31"/>
  <c r="K404" i="31"/>
  <c r="K405" i="31"/>
  <c r="K406" i="31"/>
  <c r="K407" i="31"/>
  <c r="K408" i="31"/>
  <c r="K409" i="31"/>
  <c r="K410" i="31"/>
  <c r="K411" i="31"/>
  <c r="K412" i="31"/>
  <c r="K413" i="31"/>
  <c r="K414" i="31"/>
  <c r="K415" i="31"/>
  <c r="K416" i="31"/>
  <c r="K417" i="31"/>
  <c r="K418" i="31"/>
  <c r="K419" i="31"/>
  <c r="K420" i="31"/>
  <c r="K421" i="31"/>
  <c r="K422" i="31"/>
  <c r="K423" i="31"/>
  <c r="K424" i="31"/>
  <c r="K425" i="31"/>
  <c r="K426" i="31"/>
  <c r="K427" i="31"/>
  <c r="K428" i="31"/>
  <c r="K429" i="31"/>
  <c r="K430" i="31"/>
  <c r="K431" i="31"/>
  <c r="K432" i="31"/>
  <c r="K433" i="31"/>
  <c r="K434" i="31"/>
  <c r="K435" i="31"/>
  <c r="K436" i="31"/>
  <c r="K437" i="31"/>
  <c r="K438" i="31"/>
  <c r="K439" i="31"/>
  <c r="K440" i="31"/>
  <c r="K441" i="31"/>
  <c r="K662" i="31"/>
  <c r="K663" i="31"/>
  <c r="K664" i="31"/>
  <c r="K665" i="31"/>
  <c r="K666" i="31"/>
  <c r="K667" i="31"/>
  <c r="K668" i="31"/>
  <c r="K669" i="31"/>
  <c r="K670" i="31"/>
  <c r="K671" i="31"/>
  <c r="K672" i="31"/>
  <c r="K673" i="31"/>
  <c r="K674" i="31"/>
  <c r="K675" i="31"/>
  <c r="K676" i="31"/>
  <c r="K677" i="31"/>
  <c r="K678" i="31"/>
  <c r="K679" i="31"/>
  <c r="K680" i="31"/>
  <c r="K681" i="31"/>
  <c r="K682" i="31"/>
  <c r="K683" i="31"/>
  <c r="K684" i="31"/>
  <c r="K685" i="31"/>
  <c r="K686" i="31"/>
  <c r="K687" i="31"/>
  <c r="K688" i="31"/>
  <c r="K689" i="31"/>
  <c r="K690" i="31"/>
  <c r="K691" i="31"/>
  <c r="K692" i="31"/>
  <c r="K693" i="31"/>
  <c r="K694" i="31"/>
  <c r="K695" i="31"/>
  <c r="K696" i="31"/>
  <c r="K697" i="31"/>
  <c r="K698" i="31"/>
  <c r="K699" i="31"/>
  <c r="K700" i="31"/>
  <c r="K701" i="31"/>
  <c r="K702" i="31"/>
  <c r="K703" i="31"/>
  <c r="K704" i="31"/>
  <c r="K705" i="31"/>
  <c r="K706" i="31"/>
  <c r="K707" i="31"/>
  <c r="K708" i="31"/>
  <c r="K709" i="31"/>
  <c r="K710" i="31"/>
  <c r="K711" i="31"/>
  <c r="K712" i="31"/>
  <c r="K714" i="31"/>
  <c r="K715" i="31"/>
  <c r="K716" i="31"/>
  <c r="K717" i="31"/>
  <c r="K718" i="31"/>
  <c r="K719" i="31"/>
  <c r="K720" i="31"/>
  <c r="K721" i="31"/>
  <c r="K722" i="31"/>
  <c r="K723" i="31"/>
  <c r="K724" i="31"/>
  <c r="K725" i="31"/>
  <c r="K726" i="31"/>
  <c r="K727" i="31"/>
  <c r="K728" i="31"/>
  <c r="K729" i="31"/>
  <c r="K730" i="31"/>
  <c r="K731" i="31"/>
  <c r="K732" i="31"/>
  <c r="K733" i="31"/>
  <c r="K734" i="31"/>
  <c r="K735" i="31"/>
  <c r="K736" i="31"/>
  <c r="K737" i="31"/>
  <c r="K738" i="31"/>
  <c r="K739" i="31"/>
  <c r="K740" i="31"/>
  <c r="K741" i="31"/>
  <c r="K742" i="31"/>
  <c r="K743" i="31"/>
  <c r="K744" i="31"/>
  <c r="K745" i="31"/>
  <c r="K746" i="31"/>
  <c r="K747" i="31"/>
  <c r="K748" i="31"/>
  <c r="K749" i="31"/>
  <c r="K751" i="31"/>
  <c r="K752" i="31"/>
  <c r="K753" i="31"/>
  <c r="K754" i="31"/>
  <c r="K755" i="31"/>
  <c r="K756" i="31"/>
  <c r="K757" i="31"/>
  <c r="K758" i="31"/>
  <c r="K759" i="31"/>
  <c r="K760" i="31"/>
  <c r="K761" i="31"/>
  <c r="K762" i="31"/>
  <c r="K763" i="31"/>
  <c r="K764" i="31"/>
  <c r="K765" i="31"/>
  <c r="K766" i="31"/>
  <c r="K767" i="31"/>
  <c r="K768" i="31"/>
  <c r="K769" i="31"/>
  <c r="K770" i="31"/>
  <c r="K771" i="31"/>
  <c r="K772" i="31"/>
  <c r="K773" i="31"/>
  <c r="K774" i="31"/>
  <c r="K775" i="31"/>
  <c r="K776" i="31"/>
  <c r="K777" i="31"/>
  <c r="K778" i="31"/>
  <c r="K779" i="31"/>
  <c r="K780" i="31"/>
  <c r="K781" i="31"/>
  <c r="K782" i="31"/>
  <c r="K783" i="31"/>
  <c r="K784" i="31"/>
  <c r="K785" i="31"/>
  <c r="K786" i="31"/>
  <c r="K787" i="31"/>
  <c r="K788" i="31"/>
  <c r="K789" i="31"/>
  <c r="K790" i="31"/>
  <c r="K791" i="31"/>
  <c r="K792" i="31"/>
  <c r="K793" i="31"/>
  <c r="K794" i="31"/>
  <c r="K795" i="31"/>
  <c r="K796" i="31"/>
  <c r="K797" i="31"/>
  <c r="K798" i="31"/>
  <c r="K799" i="31"/>
  <c r="K800" i="31"/>
  <c r="K801" i="31"/>
  <c r="K802" i="31"/>
  <c r="K803" i="31"/>
  <c r="K804" i="31"/>
  <c r="K805" i="31"/>
  <c r="K806" i="31"/>
  <c r="K807" i="31"/>
  <c r="K808" i="31"/>
  <c r="K809" i="31"/>
  <c r="K810" i="31"/>
  <c r="K811" i="31"/>
  <c r="K812" i="31"/>
  <c r="K813" i="31"/>
  <c r="K814" i="31"/>
  <c r="K815" i="31"/>
  <c r="K816" i="31"/>
  <c r="K817" i="31"/>
  <c r="K818" i="31"/>
  <c r="K819" i="31"/>
  <c r="K820" i="31"/>
  <c r="K821" i="31"/>
  <c r="K822" i="31"/>
  <c r="K823" i="31"/>
  <c r="K824" i="31"/>
  <c r="K825" i="31"/>
  <c r="K826" i="31"/>
  <c r="K827" i="31"/>
  <c r="K828" i="31"/>
  <c r="K829" i="31"/>
  <c r="K830" i="31"/>
  <c r="K831" i="31"/>
  <c r="K832" i="31"/>
  <c r="K833" i="31"/>
  <c r="K834" i="31"/>
  <c r="K835" i="31"/>
  <c r="K836" i="31"/>
  <c r="K837" i="31"/>
  <c r="K839" i="31"/>
  <c r="K840" i="31"/>
  <c r="K841" i="31"/>
  <c r="K842" i="31"/>
  <c r="K843" i="31"/>
  <c r="K844" i="31"/>
  <c r="K845" i="31"/>
  <c r="K846" i="31"/>
  <c r="K847" i="31"/>
  <c r="K848" i="31"/>
  <c r="K849" i="31"/>
  <c r="K850" i="31"/>
  <c r="K851" i="31"/>
  <c r="K852" i="31"/>
  <c r="K853" i="31"/>
  <c r="K854" i="31"/>
  <c r="K855" i="31"/>
  <c r="K856" i="31"/>
  <c r="K857" i="31"/>
  <c r="K858" i="31"/>
  <c r="K859" i="31"/>
  <c r="K860" i="31"/>
  <c r="K861" i="31"/>
  <c r="K862" i="31"/>
  <c r="K863" i="31"/>
  <c r="K864" i="31"/>
  <c r="K865" i="31"/>
  <c r="K866" i="31"/>
  <c r="K867" i="31"/>
  <c r="K868" i="31"/>
  <c r="K869" i="31"/>
  <c r="K870" i="31"/>
  <c r="K871" i="31"/>
  <c r="K872" i="31"/>
  <c r="K873" i="31"/>
  <c r="K874" i="31"/>
  <c r="K875" i="31"/>
  <c r="K876" i="31"/>
  <c r="K877" i="31"/>
  <c r="K878" i="31"/>
  <c r="K879" i="31"/>
  <c r="K880" i="31"/>
  <c r="K881" i="31"/>
  <c r="AP5" i="32"/>
  <c r="AP6" i="32"/>
  <c r="AP7" i="32"/>
  <c r="AO8" i="32"/>
  <c r="AP8" i="32"/>
  <c r="AO9" i="32"/>
  <c r="AP9" i="32"/>
  <c r="AO10" i="32"/>
  <c r="AP10" i="32"/>
  <c r="AO11" i="32"/>
  <c r="AP11" i="32"/>
  <c r="AO12" i="32"/>
  <c r="AP12" i="32"/>
  <c r="AO13" i="32"/>
  <c r="AP13" i="32"/>
  <c r="AO14" i="32"/>
  <c r="AP14" i="32"/>
  <c r="AO15" i="32"/>
  <c r="AP15" i="32"/>
  <c r="AO16" i="32"/>
  <c r="AP16" i="32"/>
  <c r="AO17" i="32"/>
  <c r="AP17" i="32"/>
  <c r="AO18" i="32"/>
  <c r="AP18" i="32"/>
  <c r="AO19" i="32"/>
  <c r="AP19" i="32"/>
  <c r="AO20" i="32"/>
  <c r="AP20" i="32"/>
  <c r="AO21" i="32"/>
  <c r="AP21" i="32"/>
  <c r="AO22" i="32"/>
  <c r="AP22" i="32"/>
  <c r="AO23" i="32"/>
  <c r="AP23" i="32"/>
  <c r="AO24" i="32"/>
  <c r="AP24" i="32"/>
  <c r="AO25" i="32"/>
  <c r="AP25" i="32"/>
  <c r="AO26" i="32"/>
  <c r="AP26" i="32"/>
  <c r="AO27" i="32"/>
  <c r="AP27" i="32"/>
  <c r="AO28" i="32"/>
  <c r="AP28" i="32"/>
  <c r="AO29" i="32"/>
  <c r="AP29" i="32"/>
  <c r="AO30" i="32"/>
  <c r="AP30" i="32"/>
  <c r="AO31" i="32"/>
  <c r="AP31" i="32"/>
  <c r="AO32" i="32"/>
  <c r="AP32" i="32"/>
  <c r="AO33" i="32"/>
  <c r="AP33" i="32"/>
  <c r="AO34" i="32"/>
  <c r="AP34" i="32"/>
  <c r="AO35" i="32"/>
  <c r="AP35" i="32"/>
  <c r="AO36" i="32"/>
  <c r="AP36" i="32"/>
  <c r="AO37" i="32"/>
  <c r="AP37" i="32"/>
  <c r="AO38" i="32"/>
  <c r="AP38" i="32"/>
  <c r="AO39" i="32"/>
  <c r="AP39" i="32"/>
  <c r="AO40" i="32"/>
  <c r="AP40" i="32"/>
  <c r="AO41" i="32"/>
  <c r="AP41" i="32"/>
  <c r="AO42" i="32"/>
  <c r="AP42" i="32"/>
  <c r="AO43" i="32"/>
  <c r="AP43" i="32"/>
  <c r="AO44" i="32"/>
  <c r="AP44" i="32"/>
  <c r="AO45" i="32"/>
  <c r="AP45" i="32"/>
  <c r="AO46" i="32"/>
  <c r="AP46" i="32"/>
  <c r="AO47" i="32"/>
  <c r="AP47" i="32"/>
  <c r="AO48" i="32"/>
  <c r="AP48" i="32"/>
  <c r="AO49" i="32"/>
  <c r="AP49" i="32"/>
  <c r="AO50" i="32"/>
  <c r="AP50" i="32"/>
  <c r="AO51" i="32"/>
  <c r="AP51" i="32"/>
  <c r="AO52" i="32"/>
  <c r="AP52" i="32"/>
  <c r="AO53" i="32"/>
  <c r="AP53" i="32"/>
  <c r="AO54" i="32"/>
  <c r="AP54" i="32"/>
  <c r="AO55" i="32"/>
  <c r="AP55" i="32"/>
  <c r="AO56" i="32"/>
  <c r="AP56" i="32"/>
  <c r="AO57" i="32"/>
  <c r="AP57" i="32"/>
  <c r="AO58" i="32"/>
  <c r="AP58" i="32"/>
  <c r="AO59" i="32"/>
  <c r="AP59" i="32"/>
  <c r="AO60" i="32"/>
  <c r="AP60" i="32"/>
  <c r="AO61" i="32"/>
  <c r="AP61" i="32"/>
  <c r="AO62" i="32"/>
  <c r="AP62" i="32"/>
  <c r="AO63" i="32"/>
  <c r="AP63" i="32"/>
  <c r="AO64" i="32"/>
  <c r="AP64" i="32"/>
  <c r="AO65" i="32"/>
  <c r="AP65" i="32"/>
  <c r="AO66" i="32"/>
  <c r="AP66" i="32"/>
  <c r="AO67" i="32"/>
  <c r="AP67" i="32"/>
  <c r="AO68" i="32"/>
  <c r="AP68" i="32"/>
  <c r="AO69" i="32"/>
  <c r="AP69" i="32"/>
  <c r="AO70" i="32"/>
  <c r="AP70" i="32"/>
  <c r="AO71" i="32"/>
  <c r="AP71" i="32"/>
  <c r="AO72" i="32"/>
  <c r="AP72" i="32"/>
  <c r="AO73" i="32"/>
  <c r="AP73" i="32"/>
  <c r="AO74" i="32"/>
  <c r="AP74" i="32"/>
  <c r="AO75" i="32"/>
  <c r="AP75" i="32"/>
  <c r="AO76" i="32"/>
  <c r="AP76" i="32"/>
  <c r="AO77" i="32"/>
  <c r="AP77" i="32"/>
  <c r="AO78" i="32"/>
  <c r="AP78" i="32"/>
  <c r="AO79" i="32"/>
  <c r="AP79" i="32"/>
  <c r="AO80" i="32"/>
  <c r="AP80" i="32"/>
  <c r="AO81" i="32"/>
  <c r="AP81" i="32"/>
  <c r="AO82" i="32"/>
  <c r="AP82" i="32"/>
  <c r="AO83" i="32"/>
  <c r="AP83" i="32"/>
  <c r="AO84" i="32"/>
  <c r="AP84" i="32"/>
  <c r="AO85" i="32"/>
  <c r="AP85" i="32"/>
  <c r="AO86" i="32"/>
  <c r="AP86" i="32"/>
  <c r="AO87" i="32"/>
  <c r="AP87" i="32"/>
  <c r="AO88" i="32"/>
  <c r="AP88" i="32"/>
  <c r="AO89" i="32"/>
  <c r="AP89" i="32"/>
  <c r="AO90" i="32"/>
  <c r="AP90" i="32"/>
  <c r="AO91" i="32"/>
  <c r="AP91" i="32"/>
  <c r="AO92" i="32"/>
  <c r="AP92" i="32"/>
  <c r="AO93" i="32"/>
  <c r="AP93" i="32"/>
  <c r="AO94" i="32"/>
  <c r="AP94" i="32"/>
  <c r="AO95" i="32"/>
  <c r="AP95" i="32"/>
  <c r="AO96" i="32"/>
  <c r="AP96" i="32"/>
  <c r="AO97" i="32"/>
  <c r="AP97" i="32"/>
  <c r="AO98" i="32"/>
  <c r="AP98" i="32"/>
  <c r="AO99" i="32"/>
  <c r="AP99" i="32"/>
  <c r="AO100" i="32"/>
  <c r="AP100" i="32"/>
  <c r="AO101" i="32"/>
  <c r="AP101" i="32"/>
  <c r="AO102" i="32"/>
  <c r="AP102" i="32"/>
  <c r="AO103" i="32"/>
  <c r="AP103" i="32"/>
  <c r="AO104" i="32"/>
  <c r="AP104" i="32"/>
  <c r="AO105" i="32"/>
  <c r="AP105" i="32"/>
  <c r="AO106" i="32"/>
  <c r="AP106" i="32"/>
  <c r="AO107" i="32"/>
  <c r="AP107" i="32"/>
  <c r="AO108" i="32"/>
  <c r="AP108" i="32"/>
  <c r="AO109" i="32"/>
  <c r="AP109" i="32"/>
  <c r="AO110" i="32"/>
  <c r="AP110" i="32"/>
  <c r="AO111" i="32"/>
  <c r="AP111" i="32"/>
  <c r="AO112" i="32"/>
  <c r="AP112" i="32"/>
  <c r="AO113" i="32"/>
  <c r="AP113" i="32"/>
  <c r="AO114" i="32"/>
  <c r="AP114" i="32"/>
  <c r="AO115" i="32"/>
  <c r="AP115" i="32"/>
  <c r="AO116" i="32"/>
  <c r="AP116" i="32"/>
  <c r="AO117" i="32"/>
  <c r="AP117" i="32"/>
  <c r="AO118" i="32"/>
  <c r="AP118" i="32"/>
  <c r="AO119" i="32"/>
  <c r="AP119" i="32"/>
  <c r="AO120" i="32"/>
  <c r="AP120" i="32"/>
  <c r="AO121" i="32"/>
  <c r="AP121" i="32"/>
  <c r="AO122" i="32"/>
  <c r="AP122" i="32"/>
  <c r="AO123" i="32"/>
  <c r="AP123" i="32"/>
  <c r="AO124" i="32"/>
  <c r="AP124" i="32"/>
  <c r="AO125" i="32"/>
  <c r="AP125" i="32"/>
  <c r="AO126" i="32"/>
  <c r="AP126" i="32"/>
  <c r="AO127" i="32"/>
  <c r="AP127" i="32"/>
  <c r="AO128" i="32"/>
  <c r="AP128" i="32"/>
  <c r="AO129" i="32"/>
  <c r="AP129" i="32"/>
  <c r="AO130" i="32"/>
  <c r="AP130" i="32"/>
  <c r="AO131" i="32"/>
  <c r="AP131" i="32"/>
  <c r="AO132" i="32"/>
  <c r="AP132" i="32"/>
  <c r="AO133" i="32"/>
  <c r="AP133" i="32"/>
  <c r="AO134" i="32"/>
  <c r="AP134" i="32"/>
  <c r="AO135" i="32"/>
  <c r="AP135" i="32"/>
  <c r="AO136" i="32"/>
  <c r="AP136" i="32"/>
  <c r="AO137" i="32"/>
  <c r="AP137" i="32"/>
  <c r="AO138" i="32"/>
  <c r="AP138" i="32"/>
  <c r="AO139" i="32"/>
  <c r="AP139" i="32"/>
  <c r="AO140" i="32"/>
  <c r="AP140" i="32"/>
  <c r="AO141" i="32"/>
  <c r="AP141" i="32"/>
  <c r="AO142" i="32"/>
  <c r="AP142" i="32"/>
  <c r="AO143" i="32"/>
  <c r="AP143" i="32"/>
  <c r="AO144" i="32"/>
  <c r="AP144" i="32"/>
  <c r="AO145" i="32"/>
  <c r="AP145" i="32"/>
  <c r="AO146" i="32"/>
  <c r="AP146" i="32"/>
  <c r="AO147" i="32"/>
  <c r="AP147" i="32"/>
  <c r="AO148" i="32"/>
  <c r="AP148" i="32"/>
  <c r="AO149" i="32"/>
  <c r="AP149" i="32"/>
  <c r="AO150" i="32"/>
  <c r="AP150" i="32"/>
  <c r="AO151" i="32"/>
  <c r="AP151" i="32"/>
  <c r="AO152" i="32"/>
  <c r="AP152" i="32"/>
  <c r="AO153" i="32"/>
  <c r="AP153" i="32"/>
  <c r="AO154" i="32"/>
  <c r="AP154" i="32"/>
  <c r="AO155" i="32"/>
  <c r="AP155" i="32"/>
  <c r="AO156" i="32"/>
  <c r="AP156" i="32"/>
  <c r="AO157" i="32"/>
  <c r="AP157" i="32"/>
  <c r="AO158" i="32"/>
  <c r="AP158" i="32"/>
  <c r="AO159" i="32"/>
  <c r="AP159" i="32"/>
  <c r="AO160" i="32"/>
  <c r="AP160" i="32"/>
  <c r="AO161" i="32"/>
  <c r="AP161" i="32"/>
  <c r="AO162" i="32"/>
  <c r="AP162" i="32"/>
  <c r="AO163" i="32"/>
  <c r="AP163" i="32"/>
  <c r="AO164" i="32"/>
  <c r="AP164" i="32"/>
  <c r="AO165" i="32"/>
  <c r="AP165" i="32"/>
  <c r="AO166" i="32"/>
  <c r="AP166" i="32"/>
  <c r="AO167" i="32"/>
  <c r="AP167" i="32"/>
  <c r="AO168" i="32"/>
  <c r="AP168" i="32"/>
  <c r="AO169" i="32"/>
  <c r="AP169" i="32"/>
  <c r="AO170" i="32"/>
  <c r="AP170" i="32"/>
  <c r="AO171" i="32"/>
  <c r="AP171" i="32"/>
  <c r="AO172" i="32"/>
  <c r="AP172" i="32"/>
  <c r="AO173" i="32"/>
  <c r="AP173" i="32"/>
  <c r="AO174" i="32"/>
  <c r="AP174" i="32"/>
  <c r="AO175" i="32"/>
  <c r="AP175" i="32"/>
  <c r="AO176" i="32"/>
  <c r="AP176" i="32"/>
  <c r="AO177" i="32"/>
  <c r="AP177" i="32"/>
  <c r="AO178" i="32"/>
  <c r="AP178" i="32"/>
  <c r="AO179" i="32"/>
  <c r="AP179" i="32"/>
  <c r="AO180" i="32"/>
  <c r="AP180" i="32"/>
  <c r="AO181" i="32"/>
  <c r="AP181" i="32"/>
  <c r="AO182" i="32"/>
  <c r="AP182" i="32"/>
  <c r="AO183" i="32"/>
  <c r="AP183" i="32"/>
  <c r="AO184" i="32"/>
  <c r="AP184" i="32"/>
  <c r="AO185" i="32"/>
  <c r="AP185" i="32"/>
  <c r="AO186" i="32"/>
  <c r="AP186" i="32"/>
  <c r="AO187" i="32"/>
  <c r="AP187" i="32"/>
  <c r="AO188" i="32"/>
  <c r="AP188" i="32"/>
  <c r="AO189" i="32"/>
  <c r="AP189" i="32"/>
  <c r="AO190" i="32"/>
  <c r="AP190" i="32"/>
  <c r="AO191" i="32"/>
  <c r="AP191" i="32"/>
  <c r="AO192" i="32"/>
  <c r="AP192" i="32"/>
  <c r="AO193" i="32"/>
  <c r="AP193" i="32"/>
  <c r="AO194" i="32"/>
  <c r="AP194" i="32"/>
  <c r="AO195" i="32"/>
  <c r="AP195" i="32"/>
  <c r="AO196" i="32"/>
  <c r="AP196" i="32"/>
  <c r="AO197" i="32"/>
  <c r="AP197" i="32"/>
  <c r="AO198" i="32"/>
  <c r="AP198" i="32"/>
  <c r="AO199" i="32"/>
  <c r="AP199" i="32"/>
  <c r="AO200" i="32"/>
  <c r="AP200" i="32"/>
  <c r="AO201" i="32"/>
  <c r="AP201" i="32"/>
  <c r="AO202" i="32"/>
  <c r="AP202" i="32"/>
  <c r="AO203" i="32"/>
  <c r="AP203" i="32"/>
  <c r="AO204" i="32"/>
  <c r="AP204" i="32"/>
  <c r="AO205" i="32"/>
  <c r="AP205" i="32"/>
  <c r="AO206" i="32"/>
  <c r="AP206" i="32"/>
  <c r="AO207" i="32"/>
  <c r="AP207" i="32"/>
  <c r="AO208" i="32"/>
  <c r="AP208" i="32"/>
  <c r="AO209" i="32"/>
  <c r="AP209" i="32"/>
  <c r="AO210" i="32"/>
  <c r="AP210" i="32"/>
  <c r="AO211" i="32"/>
  <c r="AP211" i="32"/>
  <c r="AO212" i="32"/>
  <c r="AP212" i="32"/>
  <c r="AO213" i="32"/>
  <c r="AP213" i="32"/>
  <c r="AO214" i="32"/>
  <c r="AP214" i="32"/>
  <c r="AO215" i="32"/>
  <c r="AP215" i="32"/>
  <c r="AO216" i="32"/>
  <c r="AP216" i="32"/>
  <c r="AO217" i="32"/>
  <c r="AP217" i="32"/>
  <c r="AO218" i="32"/>
  <c r="AP218" i="32"/>
  <c r="AO219" i="32"/>
  <c r="AP219" i="32"/>
  <c r="AO220" i="32"/>
  <c r="AP220" i="32"/>
  <c r="AO221" i="32"/>
  <c r="AP221" i="32"/>
  <c r="AO222" i="32"/>
  <c r="AP222" i="32"/>
  <c r="AO223" i="32"/>
  <c r="AP223" i="32"/>
  <c r="AO224" i="32"/>
  <c r="AO225" i="32"/>
  <c r="AP225" i="32"/>
  <c r="AO226" i="32"/>
  <c r="AP226" i="32"/>
  <c r="AO227" i="32"/>
  <c r="AP227" i="32"/>
  <c r="AO228" i="32"/>
  <c r="AP228" i="32"/>
  <c r="AO229" i="32"/>
  <c r="AP229" i="32"/>
  <c r="AO230" i="32"/>
  <c r="AP230" i="32"/>
  <c r="AO231" i="32"/>
  <c r="AP231" i="32"/>
  <c r="AO232" i="32"/>
  <c r="AP232" i="32"/>
  <c r="AO233" i="32"/>
  <c r="AP233" i="32"/>
  <c r="AO234" i="32"/>
  <c r="AP234" i="32"/>
  <c r="AO235" i="32"/>
  <c r="AP235" i="32"/>
  <c r="AO236" i="32"/>
  <c r="AP236" i="32"/>
  <c r="AO237" i="32"/>
  <c r="AP237" i="32"/>
  <c r="AO238" i="32"/>
  <c r="AP238" i="32"/>
  <c r="AO239" i="32"/>
  <c r="AP239" i="32"/>
  <c r="AO240" i="32"/>
  <c r="AP240" i="32"/>
  <c r="AO241" i="32"/>
  <c r="AP241" i="32"/>
  <c r="AO242" i="32"/>
  <c r="AP242" i="32"/>
  <c r="AO243" i="32"/>
  <c r="AP243" i="32"/>
  <c r="AO244" i="32"/>
  <c r="AP244" i="32"/>
  <c r="AO245" i="32"/>
  <c r="AP245" i="32"/>
  <c r="AO246" i="32"/>
  <c r="AP246" i="32"/>
  <c r="AO247" i="32"/>
  <c r="AP247" i="32"/>
  <c r="AO248" i="32"/>
  <c r="AP248" i="32"/>
  <c r="AO249" i="32"/>
  <c r="AP249" i="32"/>
  <c r="AO250" i="32"/>
  <c r="AP250" i="32"/>
  <c r="AO251" i="32"/>
  <c r="AP251" i="32"/>
  <c r="AO252" i="32"/>
  <c r="AP252" i="32"/>
  <c r="AO253" i="32"/>
  <c r="AP253" i="32"/>
  <c r="AO254" i="32"/>
  <c r="AP254" i="32"/>
  <c r="AO255" i="32"/>
  <c r="AP255" i="32"/>
  <c r="AO256" i="32"/>
  <c r="AP256" i="32"/>
  <c r="AO257" i="32"/>
  <c r="AP257" i="32"/>
  <c r="AO258" i="32"/>
  <c r="AP258" i="32"/>
  <c r="AO259" i="32"/>
  <c r="AP259" i="32"/>
  <c r="AO260" i="32"/>
  <c r="AP260" i="32"/>
  <c r="AO261" i="32"/>
  <c r="AP261" i="32"/>
  <c r="AO262" i="32"/>
  <c r="AP262" i="32"/>
  <c r="AO263" i="32"/>
  <c r="AP263" i="32"/>
  <c r="AO264" i="32"/>
  <c r="AP264" i="32"/>
  <c r="AO265" i="32"/>
  <c r="AP265" i="32"/>
  <c r="AO266" i="32"/>
  <c r="AP266" i="32"/>
  <c r="AO267" i="32"/>
  <c r="AP267" i="32"/>
  <c r="AO268" i="32"/>
  <c r="AP268" i="32"/>
  <c r="AO269" i="32"/>
  <c r="AP269" i="32"/>
  <c r="AO270" i="32"/>
  <c r="AP270" i="32"/>
  <c r="AO271" i="32"/>
  <c r="AP271" i="32"/>
  <c r="AO272" i="32"/>
  <c r="AP272" i="32"/>
  <c r="AO273" i="32"/>
  <c r="AP273" i="32"/>
  <c r="AO274" i="32"/>
  <c r="AP274" i="32"/>
  <c r="AO275" i="32"/>
  <c r="AP275" i="32"/>
  <c r="AO276" i="32"/>
  <c r="AP276" i="32"/>
  <c r="AO277" i="32"/>
  <c r="AP277" i="32"/>
  <c r="AO278" i="32"/>
  <c r="AP278" i="32"/>
  <c r="AO279" i="32"/>
  <c r="AP279" i="32"/>
  <c r="AO280" i="32"/>
  <c r="AP280" i="32"/>
  <c r="AO281" i="32"/>
  <c r="AP281" i="32"/>
  <c r="AO282" i="32"/>
  <c r="AP282" i="32"/>
  <c r="AO283" i="32"/>
  <c r="AP283" i="32"/>
  <c r="AO284" i="32"/>
  <c r="AP284" i="32"/>
  <c r="AO285" i="32"/>
  <c r="AP285" i="32"/>
  <c r="AO286" i="32"/>
  <c r="AP286" i="32"/>
  <c r="AO287" i="32"/>
  <c r="AP287" i="32"/>
  <c r="AO288" i="32"/>
  <c r="AP288" i="32"/>
  <c r="AO289" i="32"/>
  <c r="AP289" i="32"/>
  <c r="AO290" i="32"/>
  <c r="AP290" i="32"/>
  <c r="AO291" i="32"/>
  <c r="AP291" i="32"/>
  <c r="AO292" i="32"/>
  <c r="AP292" i="32"/>
  <c r="AO293" i="32"/>
  <c r="AP293" i="32"/>
  <c r="AO294" i="32"/>
  <c r="AP294" i="32"/>
  <c r="AO295" i="32"/>
  <c r="AP295" i="32"/>
  <c r="AO296" i="32"/>
  <c r="AP296" i="32"/>
  <c r="AO297" i="32"/>
  <c r="AP297" i="32"/>
  <c r="AO298" i="32"/>
  <c r="AP298" i="32"/>
  <c r="AO299" i="32"/>
  <c r="AP299" i="32"/>
  <c r="AO300" i="32"/>
  <c r="AP300" i="32"/>
  <c r="AO301" i="32"/>
  <c r="AP301" i="32"/>
  <c r="AO302" i="32"/>
  <c r="AP302" i="32"/>
  <c r="AO303" i="32"/>
  <c r="AP303" i="32"/>
  <c r="AO304" i="32"/>
  <c r="AP304" i="32"/>
  <c r="AO305" i="32"/>
  <c r="AP305" i="32"/>
  <c r="AO306" i="32"/>
  <c r="AP306" i="32"/>
  <c r="AO307" i="32"/>
  <c r="AP307" i="32"/>
  <c r="AO308" i="32"/>
  <c r="AP308" i="32"/>
  <c r="AO309" i="32"/>
  <c r="AP309" i="32"/>
  <c r="AO310" i="32"/>
  <c r="AP310" i="32"/>
  <c r="AO311" i="32"/>
  <c r="AP311" i="32"/>
  <c r="AO312" i="32"/>
  <c r="AP312" i="32"/>
  <c r="AO313" i="32"/>
  <c r="AP313" i="32"/>
  <c r="AO314" i="32"/>
  <c r="AP314" i="32"/>
  <c r="AO315" i="32"/>
  <c r="AP315" i="32"/>
  <c r="AO316" i="32"/>
  <c r="AP316" i="32"/>
  <c r="AO317" i="32"/>
  <c r="AP317" i="32"/>
  <c r="AO318" i="32"/>
  <c r="AP318" i="32"/>
  <c r="AO319" i="32"/>
  <c r="AP319" i="32"/>
  <c r="AO320" i="32"/>
  <c r="AP320" i="32"/>
  <c r="AO321" i="32"/>
  <c r="AP321" i="32"/>
  <c r="AO322" i="32"/>
  <c r="AP322" i="32"/>
  <c r="AO323" i="32"/>
  <c r="AP323" i="32"/>
  <c r="AO324" i="32"/>
  <c r="AP324" i="32"/>
  <c r="AO325" i="32"/>
  <c r="AP325" i="32"/>
  <c r="AO326" i="32"/>
  <c r="AP326" i="32"/>
  <c r="AO327" i="32"/>
  <c r="AP327" i="32"/>
  <c r="AO328" i="32"/>
  <c r="AP328" i="32"/>
  <c r="AO329" i="32"/>
  <c r="AP329" i="32"/>
  <c r="AO330" i="32"/>
  <c r="AP330" i="32"/>
  <c r="AO331" i="32"/>
  <c r="AP331" i="32"/>
  <c r="AO332" i="32"/>
  <c r="AP332" i="32"/>
  <c r="AO333" i="32"/>
  <c r="AP333" i="32"/>
  <c r="AO334" i="32"/>
  <c r="AP334" i="32"/>
  <c r="AO335" i="32"/>
  <c r="AP335" i="32"/>
  <c r="AO336" i="32"/>
  <c r="AP336" i="32"/>
  <c r="AO337" i="32"/>
  <c r="AP337" i="32"/>
  <c r="AO338" i="32"/>
  <c r="AP338" i="32"/>
  <c r="AO339" i="32"/>
  <c r="AP339" i="32"/>
  <c r="AO340" i="32"/>
  <c r="AP340" i="32"/>
  <c r="AO341" i="32"/>
  <c r="AP341" i="32"/>
  <c r="AO342" i="32"/>
  <c r="AP342" i="32"/>
  <c r="AO343" i="32"/>
  <c r="AP343" i="32"/>
  <c r="AO344" i="32"/>
  <c r="AP344" i="32"/>
  <c r="AO345" i="32"/>
  <c r="AP345" i="32"/>
  <c r="AO346" i="32"/>
  <c r="AP346" i="32"/>
  <c r="AO347" i="32"/>
  <c r="AP347" i="32"/>
  <c r="AO348" i="32"/>
  <c r="AP348" i="32"/>
  <c r="AO349" i="32"/>
  <c r="AP349" i="32"/>
  <c r="AO350" i="32"/>
  <c r="AP350" i="32"/>
  <c r="AO351" i="32"/>
  <c r="AP351" i="32"/>
  <c r="AO352" i="32"/>
  <c r="AP352" i="32"/>
  <c r="AO353" i="32"/>
  <c r="AP353" i="32"/>
  <c r="AO354" i="32"/>
  <c r="AP354" i="32"/>
  <c r="AO355" i="32"/>
  <c r="AP355" i="32"/>
  <c r="AO356" i="32"/>
  <c r="AP356" i="32"/>
  <c r="AO357" i="32"/>
  <c r="AP357" i="32"/>
  <c r="AO358" i="32"/>
  <c r="AP358" i="32"/>
  <c r="AO359" i="32"/>
  <c r="AP359" i="32"/>
  <c r="AO360" i="32"/>
  <c r="AP360" i="32"/>
  <c r="AO361" i="32"/>
  <c r="AP361" i="32"/>
  <c r="AO362" i="32"/>
  <c r="AP362" i="32"/>
  <c r="AO363" i="32"/>
  <c r="AP363" i="32"/>
  <c r="AO364" i="32"/>
  <c r="AP364" i="32"/>
  <c r="AO365" i="32"/>
  <c r="AP365" i="32"/>
  <c r="AO366" i="32"/>
  <c r="AP366" i="32"/>
  <c r="AO367" i="32"/>
  <c r="AP367" i="32"/>
  <c r="AO368" i="32"/>
  <c r="AP368" i="32"/>
  <c r="AO369" i="32"/>
  <c r="AP369" i="32"/>
  <c r="AO370" i="32"/>
  <c r="AP370" i="32"/>
  <c r="AO371" i="32"/>
  <c r="AP371" i="32"/>
  <c r="AO372" i="32"/>
  <c r="AP372" i="32"/>
  <c r="AO373" i="32"/>
  <c r="AP373" i="32"/>
  <c r="AO374" i="32"/>
  <c r="AP374" i="32"/>
  <c r="AO375" i="32"/>
  <c r="AP375" i="32"/>
  <c r="AO376" i="32"/>
  <c r="AP376" i="32"/>
  <c r="AO377" i="32"/>
  <c r="AP377" i="32"/>
  <c r="AO378" i="32"/>
  <c r="AP378" i="32"/>
  <c r="AO379" i="32"/>
  <c r="AP379" i="32"/>
  <c r="AO380" i="32"/>
  <c r="AP380" i="32"/>
  <c r="AO381" i="32"/>
  <c r="AP381" i="32"/>
  <c r="AO382" i="32"/>
  <c r="AP382" i="32"/>
  <c r="AO383" i="32"/>
  <c r="AP383" i="32"/>
  <c r="AO384" i="32"/>
  <c r="AP384" i="32"/>
  <c r="AO385" i="32"/>
  <c r="AP385" i="32"/>
  <c r="AO386" i="32"/>
  <c r="AP386" i="32"/>
  <c r="AO387" i="32"/>
  <c r="AP387" i="32"/>
  <c r="AO388" i="32"/>
  <c r="AP388" i="32"/>
  <c r="AO389" i="32"/>
  <c r="AP389" i="32"/>
  <c r="AO390" i="32"/>
  <c r="AP390" i="32"/>
  <c r="AO391" i="32"/>
  <c r="AP391" i="32"/>
  <c r="AO392" i="32"/>
  <c r="AP392" i="32"/>
  <c r="AO393" i="32"/>
  <c r="AP393" i="32"/>
  <c r="AO394" i="32"/>
  <c r="AP394" i="32"/>
  <c r="AO395" i="32"/>
  <c r="AP395" i="32"/>
  <c r="AO396" i="32"/>
  <c r="AP396" i="32"/>
  <c r="AO397" i="32"/>
  <c r="AP397" i="32"/>
  <c r="AO398" i="32"/>
  <c r="AP398" i="32"/>
  <c r="AO399" i="32"/>
  <c r="AP399" i="32"/>
  <c r="AO400" i="32"/>
  <c r="AP400" i="32"/>
  <c r="AO401" i="32"/>
  <c r="AP401" i="32"/>
  <c r="AO402" i="32"/>
  <c r="AP402" i="32"/>
  <c r="AO403" i="32"/>
  <c r="AP403" i="32"/>
  <c r="AO404" i="32"/>
  <c r="AP404" i="32"/>
  <c r="AO405" i="32"/>
  <c r="AP405" i="32"/>
  <c r="AO406" i="32"/>
  <c r="AP406" i="32"/>
  <c r="AO407" i="32"/>
  <c r="AP407" i="32"/>
  <c r="AO408" i="32"/>
  <c r="AP408" i="32"/>
  <c r="AO409" i="32"/>
  <c r="AP409" i="32"/>
  <c r="AO410" i="32"/>
  <c r="AP410" i="32"/>
  <c r="AO411" i="32"/>
  <c r="AP411" i="32"/>
  <c r="AO412" i="32"/>
  <c r="AP412" i="32"/>
  <c r="AO413" i="32"/>
  <c r="AP413" i="32"/>
  <c r="AO414" i="32"/>
  <c r="AP414" i="32"/>
  <c r="AO415" i="32"/>
  <c r="AP415" i="32"/>
  <c r="AO416" i="32"/>
  <c r="AP416" i="32"/>
  <c r="AO417" i="32"/>
  <c r="AP417" i="32"/>
  <c r="AO418" i="32"/>
  <c r="AP418" i="32"/>
  <c r="AO419" i="32"/>
  <c r="AP419" i="32"/>
  <c r="AO420" i="32"/>
  <c r="AP420" i="32"/>
  <c r="AO421" i="32"/>
  <c r="AP421" i="32"/>
  <c r="AO422" i="32"/>
  <c r="AP422" i="32"/>
  <c r="AO423" i="32"/>
  <c r="AP423" i="32"/>
  <c r="AO424" i="32"/>
  <c r="AP424" i="32"/>
  <c r="AO425" i="32"/>
  <c r="AP425" i="32"/>
  <c r="AO426" i="32"/>
  <c r="AP426" i="32"/>
  <c r="AO427" i="32"/>
  <c r="AP427" i="32"/>
  <c r="AO428" i="32"/>
  <c r="AP428" i="32"/>
  <c r="AO429" i="32"/>
  <c r="AP429" i="32"/>
  <c r="AO430" i="32"/>
  <c r="AP430" i="32"/>
  <c r="AO431" i="32"/>
  <c r="AP431" i="32"/>
  <c r="AO432" i="32"/>
  <c r="AP432" i="32"/>
  <c r="AO433" i="32"/>
  <c r="AP433" i="32"/>
  <c r="AO434" i="32"/>
  <c r="AP434" i="32"/>
  <c r="AO435" i="32"/>
  <c r="AP435" i="32"/>
  <c r="AO436" i="32"/>
  <c r="AP436" i="32"/>
  <c r="AO437" i="32"/>
  <c r="AP437" i="32"/>
  <c r="AO438" i="32"/>
  <c r="AP438" i="32"/>
  <c r="AO439" i="32"/>
  <c r="AP439" i="32"/>
  <c r="AO440" i="32"/>
  <c r="AP440" i="32"/>
  <c r="AO441" i="32"/>
  <c r="AP441" i="32"/>
  <c r="AO442" i="32"/>
  <c r="AP442" i="32"/>
  <c r="AO443" i="32"/>
  <c r="AP443" i="32"/>
  <c r="AH4" i="32"/>
  <c r="AG5" i="32"/>
  <c r="AH5" i="32"/>
  <c r="AG6" i="32"/>
  <c r="AH6" i="32"/>
  <c r="AG7" i="32"/>
  <c r="AH7" i="32"/>
  <c r="AG8" i="32"/>
  <c r="AH8" i="32"/>
  <c r="AG9" i="32"/>
  <c r="AH9" i="32"/>
  <c r="AG10" i="32"/>
  <c r="AH10" i="32"/>
  <c r="AG11" i="32"/>
  <c r="AH11" i="32"/>
  <c r="AG12" i="32"/>
  <c r="AH12" i="32"/>
  <c r="AG13" i="32"/>
  <c r="AH13" i="32"/>
  <c r="AG14" i="32"/>
  <c r="AH14" i="32"/>
  <c r="AG15" i="32"/>
  <c r="AH15" i="32"/>
  <c r="AG16" i="32"/>
  <c r="AH16" i="32"/>
  <c r="AG17" i="32"/>
  <c r="AH17" i="32"/>
  <c r="AG18" i="32"/>
  <c r="AH18" i="32"/>
  <c r="AG19" i="32"/>
  <c r="AH19" i="32"/>
  <c r="AG20" i="32"/>
  <c r="AH20" i="32"/>
  <c r="AG21" i="32"/>
  <c r="AH21" i="32"/>
  <c r="AG22" i="32"/>
  <c r="AH22" i="32"/>
  <c r="AG23" i="32"/>
  <c r="AH23" i="32"/>
  <c r="AG24" i="32"/>
  <c r="AH24" i="32"/>
  <c r="AG25" i="32"/>
  <c r="AH25" i="32"/>
  <c r="AG26" i="32"/>
  <c r="AH26" i="32"/>
  <c r="AG27" i="32"/>
  <c r="AH27" i="32"/>
  <c r="AG28" i="32"/>
  <c r="AH28" i="32"/>
  <c r="AG29" i="32"/>
  <c r="AH29" i="32"/>
  <c r="AG30" i="32"/>
  <c r="AH30" i="32"/>
  <c r="AG31" i="32"/>
  <c r="AH31" i="32"/>
  <c r="AG32" i="32"/>
  <c r="AH32" i="32"/>
  <c r="AG33" i="32"/>
  <c r="AH33" i="32"/>
  <c r="AG34" i="32"/>
  <c r="AH34" i="32"/>
  <c r="AG35" i="32"/>
  <c r="AH35" i="32"/>
  <c r="AG36" i="32"/>
  <c r="AH36" i="32"/>
  <c r="AG37" i="32"/>
  <c r="AH37" i="32"/>
  <c r="AG38" i="32"/>
  <c r="AH38" i="32"/>
  <c r="AG39" i="32"/>
  <c r="AH39" i="32"/>
  <c r="AG40" i="32"/>
  <c r="AH40" i="32"/>
  <c r="AG41" i="32"/>
  <c r="AH41" i="32"/>
  <c r="AG42" i="32"/>
  <c r="AH42" i="32"/>
  <c r="AG43" i="32"/>
  <c r="AH43" i="32"/>
  <c r="AG44" i="32"/>
  <c r="AH44" i="32"/>
  <c r="AG45" i="32"/>
  <c r="AH45" i="32"/>
  <c r="AG46" i="32"/>
  <c r="AH46" i="32"/>
  <c r="AG47" i="32"/>
  <c r="AH47" i="32"/>
  <c r="AG48" i="32"/>
  <c r="AH48" i="32"/>
  <c r="AG49" i="32"/>
  <c r="AH49" i="32"/>
  <c r="AG50" i="32"/>
  <c r="AH50" i="32"/>
  <c r="AG51" i="32"/>
  <c r="AH51" i="32"/>
  <c r="AG52" i="32"/>
  <c r="AH52" i="32"/>
  <c r="AG53" i="32"/>
  <c r="AH53" i="32"/>
  <c r="AG54" i="32"/>
  <c r="AH54" i="32"/>
  <c r="AG55" i="32"/>
  <c r="AH55" i="32"/>
  <c r="AG56" i="32"/>
  <c r="AH56" i="32"/>
  <c r="AG57" i="32"/>
  <c r="AH57" i="32"/>
  <c r="AG58" i="32"/>
  <c r="AH58" i="32"/>
  <c r="AG59" i="32"/>
  <c r="AH59" i="32"/>
  <c r="AG60" i="32"/>
  <c r="AH60" i="32"/>
  <c r="AG61" i="32"/>
  <c r="AH61" i="32"/>
  <c r="AG62" i="32"/>
  <c r="AH62" i="32"/>
  <c r="AG63" i="32"/>
  <c r="AH63" i="32"/>
  <c r="AG64" i="32"/>
  <c r="AH64" i="32"/>
  <c r="AG65" i="32"/>
  <c r="AH65" i="32"/>
  <c r="AG66" i="32"/>
  <c r="AH66" i="32"/>
  <c r="AG67" i="32"/>
  <c r="AH67" i="32"/>
  <c r="AG68" i="32"/>
  <c r="AH68" i="32"/>
  <c r="AG69" i="32"/>
  <c r="AH69" i="32"/>
  <c r="AG70" i="32"/>
  <c r="AH70" i="32"/>
  <c r="AG71" i="32"/>
  <c r="AH71" i="32"/>
  <c r="AG72" i="32"/>
  <c r="AH72" i="32"/>
  <c r="AG73" i="32"/>
  <c r="AH73" i="32"/>
  <c r="AG74" i="32"/>
  <c r="AH74" i="32"/>
  <c r="AG75" i="32"/>
  <c r="AH75" i="32"/>
  <c r="AG76" i="32"/>
  <c r="AH76" i="32"/>
  <c r="AG77" i="32"/>
  <c r="AH77" i="32"/>
  <c r="AG78" i="32"/>
  <c r="AH78" i="32"/>
  <c r="AG79" i="32"/>
  <c r="AH79" i="32"/>
  <c r="AG80" i="32"/>
  <c r="AH80" i="32"/>
  <c r="AG81" i="32"/>
  <c r="AH81" i="32"/>
  <c r="AG82" i="32"/>
  <c r="AH82" i="32"/>
  <c r="AG83" i="32"/>
  <c r="AH83" i="32"/>
  <c r="AG84" i="32"/>
  <c r="AH84" i="32"/>
  <c r="AG85" i="32"/>
  <c r="AH85" i="32"/>
  <c r="AG86" i="32"/>
  <c r="AH86" i="32"/>
  <c r="AG87" i="32"/>
  <c r="AH87" i="32"/>
  <c r="AG88" i="32"/>
  <c r="AH88" i="32"/>
  <c r="AG89" i="32"/>
  <c r="AH89" i="32"/>
  <c r="AG90" i="32"/>
  <c r="AH90" i="32"/>
  <c r="AG91" i="32"/>
  <c r="AH91" i="32"/>
  <c r="AG92" i="32"/>
  <c r="AH92" i="32"/>
  <c r="AG93" i="32"/>
  <c r="AH93" i="32"/>
  <c r="AG94" i="32"/>
  <c r="AH94" i="32"/>
  <c r="AG95" i="32"/>
  <c r="AH95" i="32"/>
  <c r="AG96" i="32"/>
  <c r="AH96" i="32"/>
  <c r="AG97" i="32"/>
  <c r="AH97" i="32"/>
  <c r="AG98" i="32"/>
  <c r="AH98" i="32"/>
  <c r="AG99" i="32"/>
  <c r="AH99" i="32"/>
  <c r="AG100" i="32"/>
  <c r="AH100" i="32"/>
  <c r="AG101" i="32"/>
  <c r="AH101" i="32"/>
  <c r="AG102" i="32"/>
  <c r="AH102" i="32"/>
  <c r="AG103" i="32"/>
  <c r="AH103" i="32"/>
  <c r="AG104" i="32"/>
  <c r="AH104" i="32"/>
  <c r="AG105" i="32"/>
  <c r="AH105" i="32"/>
  <c r="AG106" i="32"/>
  <c r="AH106" i="32"/>
  <c r="AG107" i="32"/>
  <c r="AH107" i="32"/>
  <c r="AG108" i="32"/>
  <c r="AH108" i="32"/>
  <c r="AG109" i="32"/>
  <c r="AH109" i="32"/>
  <c r="AG110" i="32"/>
  <c r="AH110" i="32"/>
  <c r="AG111" i="32"/>
  <c r="AH111" i="32"/>
  <c r="AG112" i="32"/>
  <c r="AH112" i="32"/>
  <c r="AG113" i="32"/>
  <c r="AH113" i="32"/>
  <c r="AG114" i="32"/>
  <c r="AH114" i="32"/>
  <c r="AG115" i="32"/>
  <c r="AH115" i="32"/>
  <c r="AG116" i="32"/>
  <c r="AH116" i="32"/>
  <c r="AG117" i="32"/>
  <c r="AH117" i="32"/>
  <c r="AG118" i="32"/>
  <c r="AH118" i="32"/>
  <c r="AG119" i="32"/>
  <c r="AH119" i="32"/>
  <c r="AG120" i="32"/>
  <c r="AH120" i="32"/>
  <c r="AG121" i="32"/>
  <c r="AH121" i="32"/>
  <c r="AG122" i="32"/>
  <c r="AH122" i="32"/>
  <c r="AG123" i="32"/>
  <c r="AH123" i="32"/>
  <c r="AG124" i="32"/>
  <c r="AH124" i="32"/>
  <c r="AG125" i="32"/>
  <c r="AH125" i="32"/>
  <c r="AG126" i="32"/>
  <c r="AH126" i="32"/>
  <c r="AG127" i="32"/>
  <c r="AH127" i="32"/>
  <c r="AG128" i="32"/>
  <c r="AH128" i="32"/>
  <c r="AG129" i="32"/>
  <c r="AH129" i="32"/>
  <c r="AG130" i="32"/>
  <c r="AH130" i="32"/>
  <c r="AG131" i="32"/>
  <c r="AH131" i="32"/>
  <c r="AG132" i="32"/>
  <c r="AH132" i="32"/>
  <c r="AG133" i="32"/>
  <c r="AH133" i="32"/>
  <c r="AG134" i="32"/>
  <c r="AH134" i="32"/>
  <c r="AG135" i="32"/>
  <c r="AH135" i="32"/>
  <c r="AG136" i="32"/>
  <c r="AH136" i="32"/>
  <c r="AG137" i="32"/>
  <c r="AH137" i="32"/>
  <c r="AG138" i="32"/>
  <c r="AH138" i="32"/>
  <c r="AG139" i="32"/>
  <c r="AH139" i="32"/>
  <c r="AG140" i="32"/>
  <c r="AH140" i="32"/>
  <c r="AG141" i="32"/>
  <c r="AH141" i="32"/>
  <c r="AG142" i="32"/>
  <c r="AH142" i="32"/>
  <c r="AG143" i="32"/>
  <c r="AH143" i="32"/>
  <c r="AG144" i="32"/>
  <c r="AH144" i="32"/>
  <c r="AG145" i="32"/>
  <c r="AH145" i="32"/>
  <c r="AG146" i="32"/>
  <c r="AH146" i="32"/>
  <c r="AG147" i="32"/>
  <c r="AH147" i="32"/>
  <c r="AG148" i="32"/>
  <c r="AH148" i="32"/>
  <c r="AG149" i="32"/>
  <c r="AH149" i="32"/>
  <c r="AG150" i="32"/>
  <c r="AH150" i="32"/>
  <c r="AG151" i="32"/>
  <c r="AH151" i="32"/>
  <c r="AG152" i="32"/>
  <c r="AH152" i="32"/>
  <c r="AG153" i="32"/>
  <c r="AH153" i="32"/>
  <c r="AG154" i="32"/>
  <c r="AH154" i="32"/>
  <c r="AG155" i="32"/>
  <c r="AH155" i="32"/>
  <c r="AG156" i="32"/>
  <c r="AH156" i="32"/>
  <c r="AG157" i="32"/>
  <c r="AH157" i="32"/>
  <c r="AG158" i="32"/>
  <c r="AH158" i="32"/>
  <c r="AG159" i="32"/>
  <c r="AH159" i="32"/>
  <c r="AG160" i="32"/>
  <c r="AH160" i="32"/>
  <c r="AG161" i="32"/>
  <c r="AH161" i="32"/>
  <c r="AG162" i="32"/>
  <c r="AH162" i="32"/>
  <c r="AG163" i="32"/>
  <c r="AH163" i="32"/>
  <c r="AG164" i="32"/>
  <c r="AH164" i="32"/>
  <c r="AG165" i="32"/>
  <c r="AH165" i="32"/>
  <c r="AG166" i="32"/>
  <c r="AH166" i="32"/>
  <c r="AG167" i="32"/>
  <c r="AH167" i="32"/>
  <c r="AG168" i="32"/>
  <c r="AH168" i="32"/>
  <c r="AG169" i="32"/>
  <c r="AH169" i="32"/>
  <c r="AG170" i="32"/>
  <c r="AH170" i="32"/>
  <c r="AG171" i="32"/>
  <c r="AH171" i="32"/>
  <c r="AG172" i="32"/>
  <c r="AH172" i="32"/>
  <c r="AG173" i="32"/>
  <c r="AH173" i="32"/>
  <c r="AG174" i="32"/>
  <c r="AH174" i="32"/>
  <c r="AG175" i="32"/>
  <c r="AH175" i="32"/>
  <c r="AG176" i="32"/>
  <c r="AH176" i="32"/>
  <c r="AG177" i="32"/>
  <c r="AH177" i="32"/>
  <c r="AG178" i="32"/>
  <c r="AH178" i="32"/>
  <c r="AG179" i="32"/>
  <c r="AH179" i="32"/>
  <c r="AG180" i="32"/>
  <c r="AH180" i="32"/>
  <c r="AG181" i="32"/>
  <c r="AH181" i="32"/>
  <c r="AG182" i="32"/>
  <c r="AH182" i="32"/>
  <c r="AG183" i="32"/>
  <c r="AH183" i="32"/>
  <c r="AG184" i="32"/>
  <c r="AH184" i="32"/>
  <c r="AG185" i="32"/>
  <c r="AH185" i="32"/>
  <c r="AG186" i="32"/>
  <c r="AH186" i="32"/>
  <c r="AG187" i="32"/>
  <c r="AH187" i="32"/>
  <c r="AG188" i="32"/>
  <c r="AH188" i="32"/>
  <c r="AG189" i="32"/>
  <c r="AH189" i="32"/>
  <c r="AG190" i="32"/>
  <c r="AH190" i="32"/>
  <c r="AG191" i="32"/>
  <c r="AH191" i="32"/>
  <c r="AG192" i="32"/>
  <c r="AH192" i="32"/>
  <c r="AG193" i="32"/>
  <c r="AH193" i="32"/>
  <c r="AG194" i="32"/>
  <c r="AH194" i="32"/>
  <c r="AG195" i="32"/>
  <c r="AH195" i="32"/>
  <c r="AG196" i="32"/>
  <c r="AH196" i="32"/>
  <c r="AG197" i="32"/>
  <c r="AH197" i="32"/>
  <c r="AG198" i="32"/>
  <c r="AH198" i="32"/>
  <c r="AG199" i="32"/>
  <c r="AH199" i="32"/>
  <c r="AG200" i="32"/>
  <c r="AH200" i="32"/>
  <c r="AG201" i="32"/>
  <c r="AH201" i="32"/>
  <c r="AG202" i="32"/>
  <c r="AH202" i="32"/>
  <c r="AG203" i="32"/>
  <c r="AH203" i="32"/>
  <c r="AG204" i="32"/>
  <c r="AH204" i="32"/>
  <c r="AG205" i="32"/>
  <c r="AH205" i="32"/>
  <c r="AG206" i="32"/>
  <c r="AH206" i="32"/>
  <c r="AG207" i="32"/>
  <c r="AH207" i="32"/>
  <c r="AG208" i="32"/>
  <c r="AH208" i="32"/>
  <c r="AG209" i="32"/>
  <c r="AH209" i="32"/>
  <c r="AG210" i="32"/>
  <c r="AH210" i="32"/>
  <c r="AG211" i="32"/>
  <c r="AH211" i="32"/>
  <c r="AG212" i="32"/>
  <c r="AH212" i="32"/>
  <c r="AG213" i="32"/>
  <c r="AH213" i="32"/>
  <c r="AG214" i="32"/>
  <c r="AH214" i="32"/>
  <c r="AG215" i="32"/>
  <c r="AH215" i="32"/>
  <c r="AG216" i="32"/>
  <c r="AH216" i="32"/>
  <c r="AG217" i="32"/>
  <c r="AH217" i="32"/>
  <c r="AG218" i="32"/>
  <c r="AH218" i="32"/>
  <c r="AG219" i="32"/>
  <c r="AH219" i="32"/>
  <c r="AG220" i="32"/>
  <c r="AH220" i="32"/>
  <c r="AG221" i="32"/>
  <c r="AH221" i="32"/>
  <c r="AG222" i="32"/>
  <c r="AH222" i="32"/>
  <c r="AG223" i="32"/>
  <c r="AH223" i="32"/>
  <c r="AG224" i="32"/>
  <c r="AH224" i="32"/>
  <c r="AG225" i="32"/>
  <c r="AH225" i="32"/>
  <c r="AG226" i="32"/>
  <c r="AH226" i="32"/>
  <c r="AG227" i="32"/>
  <c r="AH227" i="32"/>
  <c r="AG228" i="32"/>
  <c r="AH228" i="32"/>
  <c r="AG229" i="32"/>
  <c r="AH229" i="32"/>
  <c r="AG230" i="32"/>
  <c r="AH230" i="32"/>
  <c r="AG231" i="32"/>
  <c r="AH231" i="32"/>
  <c r="AG232" i="32"/>
  <c r="AH232" i="32"/>
  <c r="AG233" i="32"/>
  <c r="AH233" i="32"/>
  <c r="AG234" i="32"/>
  <c r="AH234" i="32"/>
  <c r="AG235" i="32"/>
  <c r="AH235" i="32"/>
  <c r="AG236" i="32"/>
  <c r="AH236" i="32"/>
  <c r="AG237" i="32"/>
  <c r="AH237" i="32"/>
  <c r="AG238" i="32"/>
  <c r="AH238" i="32"/>
  <c r="AG239" i="32"/>
  <c r="AH239" i="32"/>
  <c r="AG240" i="32"/>
  <c r="AH240" i="32"/>
  <c r="AG241" i="32"/>
  <c r="AH241" i="32"/>
  <c r="AG242" i="32"/>
  <c r="AH242" i="32"/>
  <c r="AG243" i="32"/>
  <c r="AH243" i="32"/>
  <c r="AG244" i="32"/>
  <c r="AH244" i="32"/>
  <c r="AG245" i="32"/>
  <c r="AH245" i="32"/>
  <c r="AG246" i="32"/>
  <c r="AH246" i="32"/>
  <c r="AG247" i="32"/>
  <c r="AH247" i="32"/>
  <c r="AG248" i="32"/>
  <c r="AH248" i="32"/>
  <c r="AG249" i="32"/>
  <c r="AH249" i="32"/>
  <c r="AG250" i="32"/>
  <c r="AH250" i="32"/>
  <c r="AG251" i="32"/>
  <c r="AH251" i="32"/>
  <c r="AG252" i="32"/>
  <c r="AH252" i="32"/>
  <c r="AG253" i="32"/>
  <c r="AH253" i="32"/>
  <c r="AG254" i="32"/>
  <c r="AH254" i="32"/>
  <c r="AG255" i="32"/>
  <c r="AH255" i="32"/>
  <c r="AG256" i="32"/>
  <c r="AH256" i="32"/>
  <c r="AG257" i="32"/>
  <c r="AH257" i="32"/>
  <c r="AG258" i="32"/>
  <c r="AH258" i="32"/>
  <c r="AG259" i="32"/>
  <c r="AH259" i="32"/>
  <c r="AG260" i="32"/>
  <c r="AH260" i="32"/>
  <c r="AG261" i="32"/>
  <c r="AH261" i="32"/>
  <c r="AG262" i="32"/>
  <c r="AH262" i="32"/>
  <c r="AG263" i="32"/>
  <c r="AH263" i="32"/>
  <c r="AG264" i="32"/>
  <c r="AH264" i="32"/>
  <c r="AG265" i="32"/>
  <c r="AH265" i="32"/>
  <c r="AG266" i="32"/>
  <c r="AH266" i="32"/>
  <c r="AG267" i="32"/>
  <c r="AH267" i="32"/>
  <c r="AG268" i="32"/>
  <c r="AH268" i="32"/>
  <c r="AG269" i="32"/>
  <c r="AH269" i="32"/>
  <c r="AG270" i="32"/>
  <c r="AH270" i="32"/>
  <c r="AG271" i="32"/>
  <c r="AH271" i="32"/>
  <c r="AG272" i="32"/>
  <c r="AH272" i="32"/>
  <c r="AG273" i="32"/>
  <c r="AH273" i="32"/>
  <c r="AG274" i="32"/>
  <c r="AH274" i="32"/>
  <c r="AG275" i="32"/>
  <c r="AH275" i="32"/>
  <c r="AG276" i="32"/>
  <c r="AH276" i="32"/>
  <c r="AG277" i="32"/>
  <c r="AH277" i="32"/>
  <c r="AG278" i="32"/>
  <c r="AH278" i="32"/>
  <c r="AG279" i="32"/>
  <c r="AH279" i="32"/>
  <c r="AG280" i="32"/>
  <c r="AH280" i="32"/>
  <c r="AG281" i="32"/>
  <c r="AH281" i="32"/>
  <c r="AG282" i="32"/>
  <c r="AH282" i="32"/>
  <c r="AG283" i="32"/>
  <c r="AH283" i="32"/>
  <c r="AG284" i="32"/>
  <c r="AH284" i="32"/>
  <c r="AG285" i="32"/>
  <c r="AH285" i="32"/>
  <c r="AG286" i="32"/>
  <c r="AH286" i="32"/>
  <c r="AG287" i="32"/>
  <c r="AH287" i="32"/>
  <c r="AG288" i="32"/>
  <c r="AH288" i="32"/>
  <c r="AG289" i="32"/>
  <c r="AH289" i="32"/>
  <c r="AG290" i="32"/>
  <c r="AH290" i="32"/>
  <c r="AG291" i="32"/>
  <c r="AH291" i="32"/>
  <c r="AG292" i="32"/>
  <c r="AH292" i="32"/>
  <c r="AG293" i="32"/>
  <c r="AH293" i="32"/>
  <c r="AG294" i="32"/>
  <c r="AH294" i="32"/>
  <c r="AG295" i="32"/>
  <c r="AH295" i="32"/>
  <c r="AG296" i="32"/>
  <c r="AH296" i="32"/>
  <c r="AG297" i="32"/>
  <c r="AH297" i="32"/>
  <c r="AG298" i="32"/>
  <c r="AH298" i="32"/>
  <c r="AG299" i="32"/>
  <c r="AH299" i="32"/>
  <c r="AG300" i="32"/>
  <c r="AH300" i="32"/>
  <c r="AG301" i="32"/>
  <c r="AH301" i="32"/>
  <c r="AG302" i="32"/>
  <c r="AH302" i="32"/>
  <c r="AG303" i="32"/>
  <c r="AH303" i="32"/>
  <c r="AG304" i="32"/>
  <c r="AH304" i="32"/>
  <c r="AG305" i="32"/>
  <c r="AH305" i="32"/>
  <c r="AG306" i="32"/>
  <c r="AH306" i="32"/>
  <c r="AG307" i="32"/>
  <c r="AH307" i="32"/>
  <c r="AG308" i="32"/>
  <c r="AH308" i="32"/>
  <c r="AG309" i="32"/>
  <c r="AH309" i="32"/>
  <c r="AG310" i="32"/>
  <c r="AH310" i="32"/>
  <c r="AG311" i="32"/>
  <c r="AH311" i="32"/>
  <c r="AG312" i="32"/>
  <c r="AH312" i="32"/>
  <c r="AG313" i="32"/>
  <c r="AH313" i="32"/>
  <c r="AG314" i="32"/>
  <c r="AH314" i="32"/>
  <c r="AG315" i="32"/>
  <c r="AH315" i="32"/>
  <c r="AG316" i="32"/>
  <c r="AH316" i="32"/>
  <c r="AG317" i="32"/>
  <c r="AH317" i="32"/>
  <c r="AG318" i="32"/>
  <c r="AH318" i="32"/>
  <c r="AG319" i="32"/>
  <c r="AH319" i="32"/>
  <c r="AG320" i="32"/>
  <c r="AH320" i="32"/>
  <c r="AG321" i="32"/>
  <c r="AH321" i="32"/>
  <c r="AG322" i="32"/>
  <c r="AH322" i="32"/>
  <c r="AG323" i="32"/>
  <c r="AH323" i="32"/>
  <c r="AG324" i="32"/>
  <c r="AH324" i="32"/>
  <c r="AG325" i="32"/>
  <c r="AH325" i="32"/>
  <c r="AG326" i="32"/>
  <c r="AH326" i="32"/>
  <c r="AG327" i="32"/>
  <c r="AH327" i="32"/>
  <c r="AG328" i="32"/>
  <c r="AH328" i="32"/>
  <c r="AG329" i="32"/>
  <c r="AH329" i="32"/>
  <c r="AG330" i="32"/>
  <c r="AH330" i="32"/>
  <c r="AG331" i="32"/>
  <c r="AH331" i="32"/>
  <c r="AG332" i="32"/>
  <c r="AH332" i="32"/>
  <c r="AG333" i="32"/>
  <c r="AH333" i="32"/>
  <c r="AG334" i="32"/>
  <c r="AH334" i="32"/>
  <c r="AG335" i="32"/>
  <c r="AH335" i="32"/>
  <c r="AG336" i="32"/>
  <c r="AH336" i="32"/>
  <c r="AG337" i="32"/>
  <c r="AH337" i="32"/>
  <c r="AG338" i="32"/>
  <c r="AH338" i="32"/>
  <c r="AG339" i="32"/>
  <c r="AH339" i="32"/>
  <c r="AG340" i="32"/>
  <c r="AH340" i="32"/>
  <c r="AG341" i="32"/>
  <c r="AH341" i="32"/>
  <c r="AG342" i="32"/>
  <c r="AH342" i="32"/>
  <c r="AG343" i="32"/>
  <c r="AH343" i="32"/>
  <c r="AG344" i="32"/>
  <c r="AH344" i="32"/>
  <c r="AG345" i="32"/>
  <c r="AH345" i="32"/>
  <c r="AG346" i="32"/>
  <c r="AH346" i="32"/>
  <c r="AG347" i="32"/>
  <c r="AH347" i="32"/>
  <c r="AG348" i="32"/>
  <c r="AH348" i="32"/>
  <c r="AG349" i="32"/>
  <c r="AH349" i="32"/>
  <c r="AG350" i="32"/>
  <c r="AH350" i="32"/>
  <c r="AG351" i="32"/>
  <c r="AH351" i="32"/>
  <c r="AG352" i="32"/>
  <c r="AH352" i="32"/>
  <c r="AG353" i="32"/>
  <c r="AH353" i="32"/>
  <c r="AG354" i="32"/>
  <c r="AH354" i="32"/>
  <c r="AG355" i="32"/>
  <c r="AH355" i="32"/>
  <c r="AG356" i="32"/>
  <c r="AH356" i="32"/>
  <c r="AG357" i="32"/>
  <c r="AH357" i="32"/>
  <c r="AG358" i="32"/>
  <c r="AH358" i="32"/>
  <c r="AG359" i="32"/>
  <c r="AH359" i="32"/>
  <c r="AG360" i="32"/>
  <c r="AH360" i="32"/>
  <c r="AG361" i="32"/>
  <c r="AH361" i="32"/>
  <c r="AG362" i="32"/>
  <c r="AH362" i="32"/>
  <c r="AG363" i="32"/>
  <c r="AH363" i="32"/>
  <c r="AG364" i="32"/>
  <c r="AH364" i="32"/>
  <c r="AG365" i="32"/>
  <c r="AH365" i="32"/>
  <c r="AG366" i="32"/>
  <c r="AH366" i="32"/>
  <c r="AG367" i="32"/>
  <c r="AH367" i="32"/>
  <c r="AG368" i="32"/>
  <c r="AH368" i="32"/>
  <c r="AG369" i="32"/>
  <c r="AH369" i="32"/>
  <c r="AG370" i="32"/>
  <c r="AH370" i="32"/>
  <c r="AG371" i="32"/>
  <c r="AH371" i="32"/>
  <c r="AG372" i="32"/>
  <c r="AH372" i="32"/>
  <c r="AG373" i="32"/>
  <c r="AH373" i="32"/>
  <c r="AG374" i="32"/>
  <c r="AH374" i="32"/>
  <c r="AG375" i="32"/>
  <c r="AH375" i="32"/>
  <c r="AG376" i="32"/>
  <c r="AH376" i="32"/>
  <c r="AG377" i="32"/>
  <c r="AH377" i="32"/>
  <c r="AG378" i="32"/>
  <c r="AH378" i="32"/>
  <c r="AG379" i="32"/>
  <c r="AH379" i="32"/>
  <c r="AG380" i="32"/>
  <c r="AH380" i="32"/>
  <c r="AG381" i="32"/>
  <c r="AH381" i="32"/>
  <c r="AG382" i="32"/>
  <c r="AH382" i="32"/>
  <c r="AG383" i="32"/>
  <c r="AH383" i="32"/>
  <c r="AG384" i="32"/>
  <c r="AH384" i="32"/>
  <c r="AG385" i="32"/>
  <c r="AH385" i="32"/>
  <c r="AG386" i="32"/>
  <c r="AH386" i="32"/>
  <c r="AG387" i="32"/>
  <c r="AH387" i="32"/>
  <c r="AG388" i="32"/>
  <c r="AH388" i="32"/>
  <c r="AG389" i="32"/>
  <c r="AH389" i="32"/>
  <c r="AG390" i="32"/>
  <c r="AH390" i="32"/>
  <c r="AG391" i="32"/>
  <c r="AH391" i="32"/>
  <c r="AG392" i="32"/>
  <c r="AH392" i="32"/>
  <c r="AG393" i="32"/>
  <c r="AH393" i="32"/>
  <c r="AG394" i="32"/>
  <c r="AH394" i="32"/>
  <c r="AG395" i="32"/>
  <c r="AH395" i="32"/>
  <c r="AG396" i="32"/>
  <c r="AH396" i="32"/>
  <c r="AG397" i="32"/>
  <c r="AH397" i="32"/>
  <c r="AG398" i="32"/>
  <c r="AH398" i="32"/>
  <c r="AG399" i="32"/>
  <c r="AH399" i="32"/>
  <c r="AG400" i="32"/>
  <c r="AH400" i="32"/>
  <c r="AG401" i="32"/>
  <c r="AH401" i="32"/>
  <c r="AG402" i="32"/>
  <c r="AH402" i="32"/>
  <c r="AG403" i="32"/>
  <c r="AH403" i="32"/>
  <c r="AG404" i="32"/>
  <c r="AH404" i="32"/>
  <c r="AG405" i="32"/>
  <c r="AH405" i="32"/>
  <c r="AG406" i="32"/>
  <c r="AH406" i="32"/>
  <c r="AG407" i="32"/>
  <c r="AH407" i="32"/>
  <c r="AG408" i="32"/>
  <c r="AH408" i="32"/>
  <c r="AG409" i="32"/>
  <c r="AH409" i="32"/>
  <c r="AG410" i="32"/>
  <c r="AH410" i="32"/>
  <c r="AG411" i="32"/>
  <c r="AH411" i="32"/>
  <c r="AG412" i="32"/>
  <c r="AH412" i="32"/>
  <c r="AG413" i="32"/>
  <c r="AH413" i="32"/>
  <c r="AG414" i="32"/>
  <c r="AH414" i="32"/>
  <c r="AG415" i="32"/>
  <c r="AH415" i="32"/>
  <c r="AG416" i="32"/>
  <c r="AH416" i="32"/>
  <c r="AG417" i="32"/>
  <c r="AH417" i="32"/>
  <c r="AG418" i="32"/>
  <c r="AH418" i="32"/>
  <c r="AG419" i="32"/>
  <c r="AH419" i="32"/>
  <c r="AG420" i="32"/>
  <c r="AH420" i="32"/>
  <c r="AG421" i="32"/>
  <c r="AH421" i="32"/>
  <c r="AG422" i="32"/>
  <c r="AH422" i="32"/>
  <c r="AG423" i="32"/>
  <c r="AH423" i="32"/>
  <c r="AG424" i="32"/>
  <c r="AH424" i="32"/>
  <c r="AG425" i="32"/>
  <c r="AH425" i="32"/>
  <c r="AG426" i="32"/>
  <c r="AH426" i="32"/>
  <c r="AG427" i="32"/>
  <c r="AH427" i="32"/>
  <c r="AG428" i="32"/>
  <c r="AH428" i="32"/>
  <c r="AG429" i="32"/>
  <c r="AH429" i="32"/>
  <c r="AG430" i="32"/>
  <c r="AH430" i="32"/>
  <c r="AG431" i="32"/>
  <c r="AH431" i="32"/>
  <c r="AG432" i="32"/>
  <c r="AH432" i="32"/>
  <c r="AG433" i="32"/>
  <c r="AH433" i="32"/>
  <c r="AG434" i="32"/>
  <c r="AH434" i="32"/>
  <c r="AG435" i="32"/>
  <c r="AH435" i="32"/>
  <c r="AG436" i="32"/>
  <c r="AH436" i="32"/>
  <c r="AG437" i="32"/>
  <c r="AH437" i="32"/>
  <c r="AG438" i="32"/>
  <c r="AH438" i="32"/>
  <c r="AG439" i="32"/>
  <c r="AH439" i="32"/>
  <c r="AG440" i="32"/>
  <c r="AH440" i="32"/>
  <c r="AG441" i="32"/>
  <c r="AH441" i="32"/>
  <c r="AG442" i="32"/>
  <c r="AH442" i="32"/>
  <c r="AG443" i="32"/>
  <c r="AH443" i="32"/>
  <c r="AG4" i="32"/>
  <c r="Y5" i="32"/>
  <c r="Y4"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52" i="32"/>
  <c r="Y53" i="32"/>
  <c r="Y54" i="32"/>
  <c r="Y55" i="32"/>
  <c r="Y56" i="32"/>
  <c r="Y57" i="32"/>
  <c r="Y58" i="32"/>
  <c r="Y59" i="32"/>
  <c r="Y60" i="32"/>
  <c r="Y61" i="32"/>
  <c r="Y62" i="32"/>
  <c r="Y63" i="32"/>
  <c r="Y64" i="32"/>
  <c r="Y65" i="32"/>
  <c r="Y66" i="32"/>
  <c r="Y67" i="32"/>
  <c r="Y68" i="32"/>
  <c r="Y69" i="32"/>
  <c r="Y70" i="32"/>
  <c r="Y71" i="32"/>
  <c r="Y72" i="32"/>
  <c r="Y73" i="32"/>
  <c r="Y74" i="32"/>
  <c r="Y75" i="32"/>
  <c r="Y76" i="32"/>
  <c r="Y77" i="32"/>
  <c r="Y78" i="32"/>
  <c r="Y79" i="32"/>
  <c r="Y80" i="32"/>
  <c r="Y81" i="32"/>
  <c r="Y82" i="32"/>
  <c r="Y83" i="32"/>
  <c r="Y84" i="32"/>
  <c r="Y85" i="32"/>
  <c r="Y86" i="32"/>
  <c r="Y87" i="32"/>
  <c r="Y88" i="32"/>
  <c r="Y89" i="32"/>
  <c r="Y90" i="32"/>
  <c r="Y91" i="32"/>
  <c r="Y92" i="32"/>
  <c r="Y93" i="32"/>
  <c r="Y94" i="32"/>
  <c r="Y95" i="32"/>
  <c r="Y96" i="32"/>
  <c r="Y97" i="32"/>
  <c r="Y98" i="32"/>
  <c r="Y99" i="32"/>
  <c r="Y100" i="32"/>
  <c r="Y101" i="32"/>
  <c r="Y102" i="32"/>
  <c r="Y103" i="32"/>
  <c r="Y104" i="32"/>
  <c r="Y105" i="32"/>
  <c r="Y106" i="32"/>
  <c r="Y107" i="32"/>
  <c r="Y108" i="32"/>
  <c r="Y109" i="32"/>
  <c r="Y110" i="32"/>
  <c r="Y111" i="32"/>
  <c r="Y112" i="32"/>
  <c r="Y113" i="32"/>
  <c r="Y114" i="32"/>
  <c r="Y115" i="32"/>
  <c r="Y116" i="32"/>
  <c r="Y117" i="32"/>
  <c r="Y118" i="32"/>
  <c r="Y119" i="32"/>
  <c r="Y120" i="32"/>
  <c r="Y121" i="32"/>
  <c r="Y122" i="32"/>
  <c r="Y123" i="32"/>
  <c r="Y124" i="32"/>
  <c r="Y125" i="32"/>
  <c r="Y126" i="32"/>
  <c r="Y127" i="32"/>
  <c r="Y128" i="32"/>
  <c r="Y129" i="32"/>
  <c r="Y130" i="32"/>
  <c r="Y131" i="32"/>
  <c r="Y132" i="32"/>
  <c r="Y133" i="32"/>
  <c r="Y134" i="32"/>
  <c r="Y135" i="32"/>
  <c r="Y136" i="32"/>
  <c r="Y137" i="32"/>
  <c r="Y138" i="32"/>
  <c r="Y139" i="32"/>
  <c r="Y140" i="32"/>
  <c r="Y141" i="32"/>
  <c r="Y142" i="32"/>
  <c r="Y143" i="32"/>
  <c r="Y144" i="32"/>
  <c r="Y145" i="32"/>
  <c r="Y146" i="32"/>
  <c r="Y147" i="32"/>
  <c r="Y148" i="32"/>
  <c r="Y149" i="32"/>
  <c r="Y150" i="32"/>
  <c r="Y151" i="32"/>
  <c r="Y152" i="32"/>
  <c r="Y153" i="32"/>
  <c r="Y154" i="32"/>
  <c r="Y155" i="32"/>
  <c r="Y156" i="32"/>
  <c r="Y157" i="32"/>
  <c r="Y158" i="32"/>
  <c r="Y159" i="32"/>
  <c r="Y160" i="32"/>
  <c r="Y161" i="32"/>
  <c r="Y162" i="32"/>
  <c r="Y163" i="32"/>
  <c r="Y164" i="32"/>
  <c r="Y165" i="32"/>
  <c r="Y166" i="32"/>
  <c r="Y167" i="32"/>
  <c r="Y168" i="32"/>
  <c r="Y169" i="32"/>
  <c r="Y170" i="32"/>
  <c r="Y171" i="32"/>
  <c r="Y172" i="32"/>
  <c r="Y173" i="32"/>
  <c r="Y174" i="32"/>
  <c r="Y175" i="32"/>
  <c r="Y176" i="32"/>
  <c r="Y177" i="32"/>
  <c r="Y178" i="32"/>
  <c r="Y179" i="32"/>
  <c r="Y180" i="32"/>
  <c r="Y181" i="32"/>
  <c r="Y182" i="32"/>
  <c r="Y183" i="32"/>
  <c r="Y184" i="32"/>
  <c r="Y185" i="32"/>
  <c r="Y186" i="32"/>
  <c r="Y187" i="32"/>
  <c r="Y188" i="32"/>
  <c r="Y189" i="32"/>
  <c r="Y190" i="32"/>
  <c r="Y191" i="32"/>
  <c r="Y192" i="32"/>
  <c r="Y193" i="32"/>
  <c r="Y194" i="32"/>
  <c r="Y195" i="32"/>
  <c r="Y196" i="32"/>
  <c r="Y197" i="32"/>
  <c r="Y198" i="32"/>
  <c r="Y199" i="32"/>
  <c r="Y200" i="32"/>
  <c r="Y201" i="32"/>
  <c r="Y202" i="32"/>
  <c r="Y203" i="32"/>
  <c r="Y204" i="32"/>
  <c r="Y205" i="32"/>
  <c r="Y206" i="32"/>
  <c r="Y207" i="32"/>
  <c r="Y208" i="32"/>
  <c r="Y209" i="32"/>
  <c r="Y210" i="32"/>
  <c r="Y211" i="32"/>
  <c r="Y212" i="32"/>
  <c r="Y213" i="32"/>
  <c r="Y214" i="32"/>
  <c r="Y215" i="32"/>
  <c r="Y216" i="32"/>
  <c r="Y217" i="32"/>
  <c r="Y218" i="32"/>
  <c r="Y219" i="32"/>
  <c r="Y220" i="32"/>
  <c r="Y221" i="32"/>
  <c r="Y222" i="32"/>
  <c r="Y223" i="32"/>
  <c r="Y224" i="32"/>
  <c r="Y225" i="32"/>
  <c r="Y226" i="32"/>
  <c r="Y227" i="32"/>
  <c r="Y228" i="32"/>
  <c r="Y229" i="32"/>
  <c r="Y230" i="32"/>
  <c r="Y231" i="32"/>
  <c r="Y232" i="32"/>
  <c r="Y233" i="32"/>
  <c r="Y234" i="32"/>
  <c r="Y235" i="32"/>
  <c r="Y236" i="32"/>
  <c r="Y237" i="32"/>
  <c r="Y238" i="32"/>
  <c r="Y239" i="32"/>
  <c r="Y240" i="32"/>
  <c r="Y241" i="32"/>
  <c r="Y242" i="32"/>
  <c r="Y243" i="32"/>
  <c r="Y244" i="32"/>
  <c r="Y245" i="32"/>
  <c r="Y246" i="32"/>
  <c r="Y247" i="32"/>
  <c r="Y248" i="32"/>
  <c r="Y249" i="32"/>
  <c r="Y250" i="32"/>
  <c r="Y251" i="32"/>
  <c r="Y252" i="32"/>
  <c r="Y253" i="32"/>
  <c r="Y254" i="32"/>
  <c r="Y255" i="32"/>
  <c r="Y256" i="32"/>
  <c r="Y257" i="32"/>
  <c r="Y258" i="32"/>
  <c r="Y259" i="32"/>
  <c r="Y260" i="32"/>
  <c r="Y261" i="32"/>
  <c r="Y262" i="32"/>
  <c r="Y263" i="32"/>
  <c r="Y264" i="32"/>
  <c r="Y265" i="32"/>
  <c r="Y266" i="32"/>
  <c r="Y267" i="32"/>
  <c r="Y268" i="32"/>
  <c r="Y269" i="32"/>
  <c r="Y270" i="32"/>
  <c r="Y271" i="32"/>
  <c r="Y272" i="32"/>
  <c r="Y273" i="32"/>
  <c r="Y274" i="32"/>
  <c r="Y275" i="32"/>
  <c r="Y276" i="32"/>
  <c r="Y277" i="32"/>
  <c r="Y278" i="32"/>
  <c r="Y279" i="32"/>
  <c r="Y280" i="32"/>
  <c r="Y281" i="32"/>
  <c r="Y282" i="32"/>
  <c r="Y283" i="32"/>
  <c r="Y284" i="32"/>
  <c r="Y285" i="32"/>
  <c r="Y286" i="32"/>
  <c r="Y287" i="32"/>
  <c r="Y288" i="32"/>
  <c r="Y289" i="32"/>
  <c r="Y290" i="32"/>
  <c r="Y291" i="32"/>
  <c r="Y292" i="32"/>
  <c r="Y293" i="32"/>
  <c r="Y294" i="32"/>
  <c r="Y295" i="32"/>
  <c r="Y296" i="32"/>
  <c r="Y297" i="32"/>
  <c r="Y298" i="32"/>
  <c r="Y299" i="32"/>
  <c r="Y300" i="32"/>
  <c r="Y301" i="32"/>
  <c r="Y302" i="32"/>
  <c r="Y303" i="32"/>
  <c r="Y304" i="32"/>
  <c r="Y305" i="32"/>
  <c r="Y306" i="32"/>
  <c r="Y307" i="32"/>
  <c r="Y308" i="32"/>
  <c r="Y309" i="32"/>
  <c r="Y310" i="32"/>
  <c r="Y311" i="32"/>
  <c r="Y312" i="32"/>
  <c r="Y313" i="32"/>
  <c r="Y314" i="32"/>
  <c r="Y315" i="32"/>
  <c r="Y316" i="32"/>
  <c r="Y317" i="32"/>
  <c r="Y318" i="32"/>
  <c r="Y319" i="32"/>
  <c r="Y320" i="32"/>
  <c r="Y321" i="32"/>
  <c r="Y322" i="32"/>
  <c r="Y323" i="32"/>
  <c r="Y324" i="32"/>
  <c r="Y325" i="32"/>
  <c r="Y326" i="32"/>
  <c r="Y327" i="32"/>
  <c r="Y328" i="32"/>
  <c r="Y329" i="32"/>
  <c r="Y330" i="32"/>
  <c r="Y331" i="32"/>
  <c r="Y332" i="32"/>
  <c r="Y333" i="32"/>
  <c r="Y334" i="32"/>
  <c r="Y335" i="32"/>
  <c r="Y336" i="32"/>
  <c r="Y337" i="32"/>
  <c r="Y338" i="32"/>
  <c r="Y339" i="32"/>
  <c r="Y340" i="32"/>
  <c r="Y341" i="32"/>
  <c r="Y342" i="32"/>
  <c r="Y343" i="32"/>
  <c r="Y344" i="32"/>
  <c r="Y345" i="32"/>
  <c r="Y346" i="32"/>
  <c r="Y347" i="32"/>
  <c r="Y348" i="32"/>
  <c r="Y349" i="32"/>
  <c r="Y350" i="32"/>
  <c r="Y351" i="32"/>
  <c r="Y352" i="32"/>
  <c r="Y353" i="32"/>
  <c r="Y354" i="32"/>
  <c r="Y355" i="32"/>
  <c r="Y356" i="32"/>
  <c r="Y357" i="32"/>
  <c r="Y358" i="32"/>
  <c r="Y359" i="32"/>
  <c r="Y360" i="32"/>
  <c r="Y361" i="32"/>
  <c r="Y362" i="32"/>
  <c r="Y363" i="32"/>
  <c r="Y364" i="32"/>
  <c r="Y365" i="32"/>
  <c r="Y366" i="32"/>
  <c r="Y367" i="32"/>
  <c r="Y368" i="32"/>
  <c r="Y369" i="32"/>
  <c r="Y370" i="32"/>
  <c r="Y371" i="32"/>
  <c r="Y372" i="32"/>
  <c r="Y373" i="32"/>
  <c r="Y374" i="32"/>
  <c r="Y375" i="32"/>
  <c r="Y376" i="32"/>
  <c r="Y377" i="32"/>
  <c r="Y378" i="32"/>
  <c r="Y379" i="32"/>
  <c r="Y380" i="32"/>
  <c r="Y381" i="32"/>
  <c r="Y382" i="32"/>
  <c r="Y383" i="32"/>
  <c r="Y384" i="32"/>
  <c r="Y385" i="32"/>
  <c r="Y386" i="32"/>
  <c r="Y387" i="32"/>
  <c r="Y388" i="32"/>
  <c r="Y389" i="32"/>
  <c r="Y390" i="32"/>
  <c r="Y391" i="32"/>
  <c r="Y392" i="32"/>
  <c r="Y393" i="32"/>
  <c r="Y394" i="32"/>
  <c r="Y395" i="32"/>
  <c r="Y396" i="32"/>
  <c r="Y397" i="32"/>
  <c r="Y398" i="32"/>
  <c r="Y399" i="32"/>
  <c r="Y400" i="32"/>
  <c r="Y401" i="32"/>
  <c r="Y402" i="32"/>
  <c r="Y403" i="32"/>
  <c r="Y404" i="32"/>
  <c r="Y405" i="32"/>
  <c r="Y406" i="32"/>
  <c r="Y407" i="32"/>
  <c r="Y408" i="32"/>
  <c r="Y409" i="32"/>
  <c r="Y410" i="32"/>
  <c r="Y411" i="32"/>
  <c r="Y412" i="32"/>
  <c r="Y413" i="32"/>
  <c r="Y414" i="32"/>
  <c r="Y415" i="32"/>
  <c r="Y416" i="32"/>
  <c r="Y417" i="32"/>
  <c r="Y418" i="32"/>
  <c r="Y419" i="32"/>
  <c r="Y420" i="32"/>
  <c r="Y421" i="32"/>
  <c r="Y422" i="32"/>
  <c r="Y423" i="32"/>
  <c r="Y424" i="32"/>
  <c r="Y425" i="32"/>
  <c r="Y426" i="32"/>
  <c r="Y427" i="32"/>
  <c r="Y428" i="32"/>
  <c r="Y429" i="32"/>
  <c r="Y430" i="32"/>
  <c r="Y431" i="32"/>
  <c r="Y432" i="32"/>
  <c r="Y433" i="32"/>
  <c r="Y434" i="32"/>
  <c r="Y435" i="32"/>
  <c r="Y436" i="32"/>
  <c r="Y437" i="32"/>
  <c r="Y438" i="32"/>
  <c r="Y439" i="32"/>
  <c r="Y440" i="32"/>
  <c r="Y441" i="32"/>
  <c r="Y442" i="32"/>
  <c r="Y443" i="32"/>
  <c r="Y444" i="32"/>
  <c r="Y445" i="32"/>
  <c r="Y446" i="32"/>
  <c r="Y447" i="32"/>
  <c r="Y448" i="32"/>
  <c r="Y449" i="32"/>
  <c r="Y450" i="32"/>
  <c r="Y451" i="32"/>
  <c r="Y452" i="32"/>
  <c r="Y453" i="32"/>
  <c r="Y454" i="32"/>
  <c r="Y455" i="32"/>
  <c r="Y456" i="32"/>
  <c r="Y457" i="32"/>
  <c r="Y458" i="32"/>
  <c r="Y459" i="32"/>
  <c r="Y460" i="32"/>
  <c r="Y461" i="32"/>
  <c r="Y462" i="32"/>
  <c r="Y463" i="32"/>
  <c r="Y464" i="32"/>
  <c r="Y465" i="32"/>
  <c r="Y466" i="32"/>
  <c r="Y467" i="32"/>
  <c r="Y468" i="32"/>
  <c r="Y469" i="32"/>
  <c r="Y470" i="32"/>
  <c r="Y471" i="32"/>
  <c r="Y472" i="32"/>
  <c r="Y473" i="32"/>
  <c r="Y474" i="32"/>
  <c r="Y475" i="32"/>
  <c r="Y476" i="32"/>
  <c r="Y477" i="32"/>
  <c r="Y478" i="32"/>
  <c r="Y479" i="32"/>
  <c r="Y480" i="32"/>
  <c r="Y481" i="32"/>
  <c r="Y482" i="32"/>
  <c r="Y483" i="32"/>
  <c r="Y484" i="32"/>
  <c r="Y485" i="32"/>
  <c r="Y486" i="32"/>
  <c r="Y487" i="32"/>
  <c r="Y488" i="32"/>
  <c r="Y489" i="32"/>
  <c r="Y490" i="32"/>
  <c r="Y491" i="32"/>
  <c r="Y492" i="32"/>
  <c r="Y493" i="32"/>
  <c r="Y494" i="32"/>
  <c r="Y495" i="32"/>
  <c r="Y496" i="32"/>
  <c r="Y497" i="32"/>
  <c r="Y498" i="32"/>
  <c r="Y499" i="32"/>
  <c r="Y500" i="32"/>
  <c r="Y501" i="32"/>
  <c r="Y502" i="32"/>
  <c r="Y503" i="32"/>
  <c r="Y504" i="32"/>
  <c r="Y505" i="32"/>
  <c r="Y506" i="32"/>
  <c r="Y507" i="32"/>
  <c r="Y508" i="32"/>
  <c r="Y509" i="32"/>
  <c r="Y510" i="32"/>
  <c r="Y511" i="32"/>
  <c r="Y512" i="32"/>
  <c r="Y513" i="32"/>
  <c r="Y514" i="32"/>
  <c r="Y515" i="32"/>
  <c r="Y516" i="32"/>
  <c r="Y517" i="32"/>
  <c r="Y518" i="32"/>
  <c r="Y519" i="32"/>
  <c r="Y520" i="32"/>
  <c r="Y521" i="32"/>
  <c r="Y522" i="32"/>
  <c r="Y523" i="32"/>
  <c r="Y524" i="32"/>
  <c r="Y525" i="32"/>
  <c r="Y526" i="32"/>
  <c r="Y527" i="32"/>
  <c r="Y528" i="32"/>
  <c r="Y529" i="32"/>
  <c r="Y530" i="32"/>
  <c r="Y531" i="32"/>
  <c r="Y532" i="32"/>
  <c r="Y533" i="32"/>
  <c r="Y534" i="32"/>
  <c r="Y535" i="32"/>
  <c r="Y536" i="32"/>
  <c r="Y537" i="32"/>
  <c r="Y538" i="32"/>
  <c r="Y539" i="32"/>
  <c r="Y540" i="32"/>
  <c r="Y541" i="32"/>
  <c r="Y542" i="32"/>
  <c r="Y543" i="32"/>
  <c r="Y544" i="32"/>
  <c r="Y545" i="32"/>
  <c r="Y546" i="32"/>
  <c r="Y547" i="32"/>
  <c r="Y548" i="32"/>
  <c r="Y549" i="32"/>
  <c r="Y550" i="32"/>
  <c r="Y551" i="32"/>
  <c r="Y552" i="32"/>
  <c r="Y553" i="32"/>
  <c r="Y554" i="32"/>
  <c r="Y555" i="32"/>
  <c r="Y556" i="32"/>
  <c r="Y557" i="32"/>
  <c r="Y558" i="32"/>
  <c r="Y559" i="32"/>
  <c r="Y560" i="32"/>
  <c r="Y561" i="32"/>
  <c r="Y562" i="32"/>
  <c r="Y563" i="32"/>
  <c r="Y564" i="32"/>
  <c r="Y565" i="32"/>
  <c r="Y566" i="32"/>
  <c r="Y567" i="32"/>
  <c r="Y568" i="32"/>
  <c r="Y569" i="32"/>
  <c r="Y570" i="32"/>
  <c r="Y571" i="32"/>
  <c r="Y572" i="32"/>
  <c r="Y573" i="32"/>
  <c r="Y574" i="32"/>
  <c r="Y575" i="32"/>
  <c r="Y576" i="32"/>
  <c r="Y577" i="32"/>
  <c r="Y578" i="32"/>
  <c r="Y579" i="32"/>
  <c r="Y580" i="32"/>
  <c r="Y581" i="32"/>
  <c r="Y582" i="32"/>
  <c r="Y583" i="32"/>
  <c r="Y584" i="32"/>
  <c r="Y585" i="32"/>
  <c r="Y586" i="32"/>
  <c r="Y587" i="32"/>
  <c r="Y588" i="32"/>
  <c r="Y589" i="32"/>
  <c r="Y590" i="32"/>
  <c r="Y591" i="32"/>
  <c r="Y592" i="32"/>
  <c r="Y593" i="32"/>
  <c r="Y594" i="32"/>
  <c r="Y595" i="32"/>
  <c r="Y596" i="32"/>
  <c r="Y597" i="32"/>
  <c r="Y598" i="32"/>
  <c r="Y599" i="32"/>
  <c r="Y600" i="32"/>
  <c r="Y601" i="32"/>
  <c r="Y602" i="32"/>
  <c r="Y603" i="32"/>
  <c r="Y604" i="32"/>
  <c r="Y605" i="32"/>
  <c r="Y606" i="32"/>
  <c r="Y607" i="32"/>
  <c r="Y608" i="32"/>
  <c r="Y609" i="32"/>
  <c r="Y610" i="32"/>
  <c r="Y611" i="32"/>
  <c r="Y612" i="32"/>
  <c r="Y613" i="32"/>
  <c r="Y614" i="32"/>
  <c r="Y615" i="32"/>
  <c r="Y616" i="32"/>
  <c r="Y617" i="32"/>
  <c r="Y618" i="32"/>
  <c r="Y619" i="32"/>
  <c r="Y620" i="32"/>
  <c r="Y621" i="32"/>
  <c r="Y622" i="32"/>
  <c r="Y623" i="32"/>
  <c r="Y624" i="32"/>
  <c r="Y625" i="32"/>
  <c r="Y626" i="32"/>
  <c r="Y627" i="32"/>
  <c r="Y628" i="32"/>
  <c r="Y629" i="32"/>
  <c r="Y630" i="32"/>
  <c r="Y631" i="32"/>
  <c r="Y632" i="32"/>
  <c r="Y633" i="32"/>
  <c r="Y634" i="32"/>
  <c r="Y635" i="32"/>
  <c r="Y636" i="32"/>
  <c r="Y637" i="32"/>
  <c r="Y638" i="32"/>
  <c r="Y639" i="32"/>
  <c r="Y640" i="32"/>
  <c r="Y641" i="32"/>
  <c r="Y642" i="32"/>
  <c r="Y643" i="32"/>
  <c r="Y644" i="32"/>
  <c r="Y645" i="32"/>
  <c r="Y646" i="32"/>
  <c r="Y647" i="32"/>
  <c r="Y648" i="32"/>
  <c r="Y649" i="32"/>
  <c r="Y650" i="32"/>
  <c r="Y651" i="32"/>
  <c r="Y652" i="32"/>
  <c r="Y653" i="32"/>
  <c r="Y654" i="32"/>
  <c r="Y655" i="32"/>
  <c r="Y656" i="32"/>
  <c r="Y657" i="32"/>
  <c r="Y658" i="32"/>
  <c r="Y659" i="32"/>
  <c r="Y660" i="32"/>
  <c r="Y661" i="32"/>
  <c r="Y662" i="32"/>
  <c r="Y663" i="32"/>
  <c r="Y664" i="32"/>
  <c r="Y665" i="32"/>
  <c r="Y666" i="32"/>
  <c r="Y667" i="32"/>
  <c r="Y668" i="32"/>
  <c r="Y669" i="32"/>
  <c r="Y670" i="32"/>
  <c r="Y671" i="32"/>
  <c r="Y672" i="32"/>
  <c r="Y673" i="32"/>
  <c r="Y674" i="32"/>
  <c r="Y675" i="32"/>
  <c r="Y676" i="32"/>
  <c r="Y677" i="32"/>
  <c r="Y678" i="32"/>
  <c r="Y679" i="32"/>
  <c r="Y680" i="32"/>
  <c r="Y681" i="32"/>
  <c r="Y682" i="32"/>
  <c r="Y683" i="32"/>
  <c r="Y684" i="32"/>
  <c r="Y685" i="32"/>
  <c r="Y686" i="32"/>
  <c r="Y687" i="32"/>
  <c r="Y688" i="32"/>
  <c r="Y689" i="32"/>
  <c r="Y690" i="32"/>
  <c r="Y691" i="32"/>
  <c r="Y692" i="32"/>
  <c r="Y693" i="32"/>
  <c r="Y694" i="32"/>
  <c r="Y695" i="32"/>
  <c r="Y696" i="32"/>
  <c r="Y697" i="32"/>
  <c r="Y698" i="32"/>
  <c r="Y699" i="32"/>
  <c r="Y700" i="32"/>
  <c r="Y701" i="32"/>
  <c r="Y702" i="32"/>
  <c r="Y703" i="32"/>
  <c r="Y704" i="32"/>
  <c r="Y705" i="32"/>
  <c r="Y706" i="32"/>
  <c r="Y707" i="32"/>
  <c r="Y708" i="32"/>
  <c r="Y709" i="32"/>
  <c r="Y710" i="32"/>
  <c r="Y711" i="32"/>
  <c r="Y712" i="32"/>
  <c r="Y713" i="32"/>
  <c r="Y714" i="32"/>
  <c r="Y715" i="32"/>
  <c r="Y716" i="32"/>
  <c r="Y717" i="32"/>
  <c r="Y718" i="32"/>
  <c r="Y719" i="32"/>
  <c r="Y720" i="32"/>
  <c r="Y721" i="32"/>
  <c r="Y722" i="32"/>
  <c r="Y723" i="32"/>
  <c r="Y724" i="32"/>
  <c r="Y725" i="32"/>
  <c r="Y726" i="32"/>
  <c r="Y727" i="32"/>
  <c r="Y728" i="32"/>
  <c r="Y729" i="32"/>
  <c r="Y730" i="32"/>
  <c r="Y731" i="32"/>
  <c r="Y732" i="32"/>
  <c r="Y733" i="32"/>
  <c r="Y734" i="32"/>
  <c r="Y735" i="32"/>
  <c r="Y736" i="32"/>
  <c r="Y737" i="32"/>
  <c r="Y738" i="32"/>
  <c r="Y739" i="32"/>
  <c r="Y740" i="32"/>
  <c r="Y741" i="32"/>
  <c r="Y742" i="32"/>
  <c r="Y743" i="32"/>
  <c r="Y744" i="32"/>
  <c r="Y745" i="32"/>
  <c r="Y746" i="32"/>
  <c r="Y747" i="32"/>
  <c r="Y748" i="32"/>
  <c r="Y749" i="32"/>
  <c r="Y750" i="32"/>
  <c r="Y751" i="32"/>
  <c r="Y752" i="32"/>
  <c r="Y753" i="32"/>
  <c r="Y754" i="32"/>
  <c r="Y755" i="32"/>
  <c r="Y756" i="32"/>
  <c r="Y757" i="32"/>
  <c r="Y758" i="32"/>
  <c r="Y759" i="32"/>
  <c r="Y760" i="32"/>
  <c r="Y761" i="32"/>
  <c r="Y762" i="32"/>
  <c r="Y763" i="32"/>
  <c r="Y764" i="32"/>
  <c r="Y765" i="32"/>
  <c r="Y766" i="32"/>
  <c r="Y767" i="32"/>
  <c r="Y768" i="32"/>
  <c r="Y769" i="32"/>
  <c r="Y770" i="32"/>
  <c r="Y771" i="32"/>
  <c r="Y772" i="32"/>
  <c r="Y773" i="32"/>
  <c r="Y774" i="32"/>
  <c r="Y775" i="32"/>
  <c r="Y776" i="32"/>
  <c r="Y777" i="32"/>
  <c r="Y778" i="32"/>
  <c r="Y779" i="32"/>
  <c r="Y780" i="32"/>
  <c r="Y781" i="32"/>
  <c r="Y782" i="32"/>
  <c r="Y783" i="32"/>
  <c r="Y784" i="32"/>
  <c r="Y785" i="32"/>
  <c r="Y786" i="32"/>
  <c r="Y787" i="32"/>
  <c r="Y788" i="32"/>
  <c r="Y789" i="32"/>
  <c r="Y790" i="32"/>
  <c r="Y791" i="32"/>
  <c r="Y792" i="32"/>
  <c r="Y793" i="32"/>
  <c r="Y794" i="32"/>
  <c r="Y795" i="32"/>
  <c r="Y796" i="32"/>
  <c r="Y797" i="32"/>
  <c r="Y798" i="32"/>
  <c r="Y799" i="32"/>
  <c r="Y800" i="32"/>
  <c r="Y801" i="32"/>
  <c r="Y802" i="32"/>
  <c r="Y803" i="32"/>
  <c r="Y804" i="32"/>
  <c r="Y805" i="32"/>
  <c r="Y806" i="32"/>
  <c r="Y807" i="32"/>
  <c r="Y808" i="32"/>
  <c r="Y809" i="32"/>
  <c r="Y810" i="32"/>
  <c r="Y811" i="32"/>
  <c r="Y812" i="32"/>
  <c r="Y813" i="32"/>
  <c r="Y814" i="32"/>
  <c r="Y815" i="32"/>
  <c r="Y816" i="32"/>
  <c r="Y817" i="32"/>
  <c r="Y818" i="32"/>
  <c r="Y819" i="32"/>
  <c r="Y820" i="32"/>
  <c r="Y821" i="32"/>
  <c r="Y822" i="32"/>
  <c r="Y823" i="32"/>
  <c r="Y824" i="32"/>
  <c r="Y825" i="32"/>
  <c r="Y826" i="32"/>
  <c r="Y827" i="32"/>
  <c r="Y828" i="32"/>
  <c r="Y829" i="32"/>
  <c r="Y830" i="32"/>
  <c r="Y831" i="32"/>
  <c r="Y832" i="32"/>
  <c r="Y833" i="32"/>
  <c r="Y834" i="32"/>
  <c r="Y835" i="32"/>
  <c r="Y836" i="32"/>
  <c r="Y837" i="32"/>
  <c r="Y838" i="32"/>
  <c r="Y839" i="32"/>
  <c r="Y840" i="32"/>
  <c r="Y841" i="32"/>
  <c r="Y842" i="32"/>
  <c r="Y843" i="32"/>
  <c r="Y844" i="32"/>
  <c r="Y845" i="32"/>
  <c r="Y846" i="32"/>
  <c r="Y847" i="32"/>
  <c r="Y848" i="32"/>
  <c r="Y849" i="32"/>
  <c r="Y850" i="32"/>
  <c r="Y851" i="32"/>
  <c r="Y852" i="32"/>
  <c r="Y853" i="32"/>
  <c r="Y854" i="32"/>
  <c r="Y855" i="32"/>
  <c r="Y856" i="32"/>
  <c r="Y857" i="32"/>
  <c r="Y858" i="32"/>
  <c r="Y859" i="32"/>
  <c r="Y860" i="32"/>
  <c r="Y861" i="32"/>
  <c r="Y862" i="32"/>
  <c r="Y863" i="32"/>
  <c r="Y864" i="32"/>
  <c r="Y865" i="32"/>
  <c r="Y866" i="32"/>
  <c r="Y867" i="32"/>
  <c r="Y868" i="32"/>
  <c r="Y869" i="32"/>
  <c r="Y870" i="32"/>
  <c r="Y871" i="32"/>
  <c r="Y872" i="32"/>
  <c r="Y873" i="32"/>
  <c r="Y874" i="32"/>
  <c r="Y875" i="32"/>
  <c r="Y876" i="32"/>
  <c r="Y877" i="32"/>
  <c r="Y878" i="32"/>
  <c r="Y879" i="32"/>
  <c r="Y880" i="32"/>
  <c r="Y881" i="32"/>
  <c r="Y882" i="32"/>
  <c r="Y883" i="32"/>
  <c r="Y884" i="32"/>
  <c r="Y885" i="32"/>
  <c r="Y886" i="32"/>
  <c r="Y887" i="32"/>
  <c r="Y888" i="32"/>
  <c r="Y889" i="32"/>
  <c r="Y890" i="32"/>
  <c r="Y891" i="32"/>
  <c r="Y892" i="32"/>
  <c r="Y893" i="32"/>
  <c r="Y894" i="32"/>
  <c r="Y895" i="32"/>
  <c r="Y896" i="32"/>
  <c r="Y897" i="32"/>
  <c r="Y898" i="32"/>
  <c r="Y899" i="32"/>
  <c r="Y900" i="32"/>
  <c r="Y901" i="32"/>
  <c r="Y902" i="32"/>
  <c r="Y903" i="32"/>
  <c r="Y904" i="32"/>
  <c r="Y905" i="32"/>
  <c r="Y906" i="32"/>
  <c r="Y907" i="32"/>
  <c r="AA5" i="32"/>
  <c r="Z605" i="32"/>
  <c r="Z5" i="32"/>
  <c r="Z4" i="32"/>
  <c r="Z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85" i="32"/>
  <c r="Z86" i="32"/>
  <c r="Z87" i="32"/>
  <c r="Z88" i="32"/>
  <c r="Z89" i="32"/>
  <c r="Z90" i="32"/>
  <c r="Z91" i="32"/>
  <c r="Z92" i="32"/>
  <c r="Z93" i="32"/>
  <c r="Z94" i="32"/>
  <c r="Z95" i="32"/>
  <c r="Z96" i="32"/>
  <c r="Z97" i="32"/>
  <c r="Z98" i="32"/>
  <c r="Z99" i="32"/>
  <c r="Z100" i="32"/>
  <c r="Z101" i="32"/>
  <c r="Z102" i="32"/>
  <c r="Z103" i="32"/>
  <c r="Z104" i="32"/>
  <c r="Z105" i="32"/>
  <c r="Z106" i="32"/>
  <c r="Z107" i="32"/>
  <c r="Z108" i="32"/>
  <c r="Z109" i="32"/>
  <c r="Z110" i="32"/>
  <c r="Z111" i="32"/>
  <c r="Z112" i="32"/>
  <c r="Z113" i="32"/>
  <c r="Z114" i="32"/>
  <c r="Z115" i="32"/>
  <c r="Z116" i="32"/>
  <c r="Z117" i="32"/>
  <c r="Z118" i="32"/>
  <c r="Z119" i="32"/>
  <c r="Z120" i="32"/>
  <c r="Z121" i="32"/>
  <c r="Z122" i="32"/>
  <c r="Z123" i="32"/>
  <c r="Z124" i="32"/>
  <c r="Z125" i="32"/>
  <c r="Z126" i="32"/>
  <c r="Z127" i="32"/>
  <c r="Z128" i="32"/>
  <c r="Z129" i="32"/>
  <c r="Z130" i="32"/>
  <c r="Z131" i="32"/>
  <c r="Z132" i="32"/>
  <c r="Z133" i="32"/>
  <c r="Z134" i="32"/>
  <c r="Z135" i="32"/>
  <c r="Z136" i="32"/>
  <c r="Z137" i="32"/>
  <c r="Z138" i="32"/>
  <c r="Z139" i="32"/>
  <c r="Z140" i="32"/>
  <c r="Z141" i="32"/>
  <c r="Z142" i="32"/>
  <c r="Z143" i="32"/>
  <c r="Z144" i="32"/>
  <c r="Z145" i="32"/>
  <c r="Z146" i="32"/>
  <c r="Z147" i="32"/>
  <c r="Z148" i="32"/>
  <c r="Z149" i="32"/>
  <c r="Z150" i="32"/>
  <c r="Z151" i="32"/>
  <c r="Z152" i="32"/>
  <c r="Z153" i="32"/>
  <c r="Z154" i="32"/>
  <c r="Z155" i="32"/>
  <c r="Z156" i="32"/>
  <c r="Z157" i="32"/>
  <c r="Z158" i="32"/>
  <c r="Z159" i="32"/>
  <c r="Z160" i="32"/>
  <c r="Z161" i="32"/>
  <c r="Z162" i="32"/>
  <c r="Z163" i="32"/>
  <c r="Z164" i="32"/>
  <c r="Z165" i="32"/>
  <c r="Z166" i="32"/>
  <c r="Z167" i="32"/>
  <c r="Z168" i="32"/>
  <c r="Z169" i="32"/>
  <c r="Z170" i="32"/>
  <c r="Z171" i="32"/>
  <c r="Z172" i="32"/>
  <c r="Z173" i="32"/>
  <c r="Z174" i="32"/>
  <c r="Z175" i="32"/>
  <c r="Z176" i="32"/>
  <c r="Z177" i="32"/>
  <c r="Z178" i="32"/>
  <c r="Z179" i="32"/>
  <c r="Z180" i="32"/>
  <c r="Z181" i="32"/>
  <c r="Z182" i="32"/>
  <c r="Z183" i="32"/>
  <c r="Z184" i="32"/>
  <c r="Z185" i="32"/>
  <c r="Z186" i="32"/>
  <c r="Z187" i="32"/>
  <c r="Z188" i="32"/>
  <c r="Z189" i="32"/>
  <c r="Z190" i="32"/>
  <c r="Z191" i="32"/>
  <c r="Z192" i="32"/>
  <c r="Z193" i="32"/>
  <c r="Z194" i="32"/>
  <c r="Z195" i="32"/>
  <c r="Z196" i="32"/>
  <c r="Z197" i="32"/>
  <c r="Z198" i="32"/>
  <c r="Z199" i="32"/>
  <c r="Z200" i="32"/>
  <c r="Z201" i="32"/>
  <c r="Z202" i="32"/>
  <c r="Z203" i="32"/>
  <c r="Z204" i="32"/>
  <c r="Z205" i="32"/>
  <c r="Z206" i="32"/>
  <c r="Z207" i="32"/>
  <c r="Z208" i="32"/>
  <c r="Z209" i="32"/>
  <c r="Z210" i="32"/>
  <c r="Z211" i="32"/>
  <c r="Z212" i="32"/>
  <c r="Z213" i="32"/>
  <c r="Z214" i="32"/>
  <c r="Z215" i="32"/>
  <c r="Z216" i="32"/>
  <c r="Z217" i="32"/>
  <c r="Z218" i="32"/>
  <c r="Z219" i="32"/>
  <c r="Z220" i="32"/>
  <c r="Z221" i="32"/>
  <c r="Z222" i="32"/>
  <c r="Z223" i="32"/>
  <c r="Z224" i="32"/>
  <c r="Z225" i="32"/>
  <c r="Z226" i="32"/>
  <c r="Z227" i="32"/>
  <c r="Z228" i="32"/>
  <c r="Z229" i="32"/>
  <c r="Z230" i="32"/>
  <c r="Z231" i="32"/>
  <c r="Z232" i="32"/>
  <c r="Z233" i="32"/>
  <c r="Z234" i="32"/>
  <c r="Z235" i="32"/>
  <c r="Z236" i="32"/>
  <c r="Z237" i="32"/>
  <c r="Z238" i="32"/>
  <c r="Z239" i="32"/>
  <c r="Z240" i="32"/>
  <c r="Z241" i="32"/>
  <c r="Z242" i="32"/>
  <c r="Z243" i="32"/>
  <c r="Z244" i="32"/>
  <c r="Z245" i="32"/>
  <c r="Z246" i="32"/>
  <c r="Z247" i="32"/>
  <c r="Z248" i="32"/>
  <c r="Z249" i="32"/>
  <c r="Z250" i="32"/>
  <c r="Z251" i="32"/>
  <c r="Z252" i="32"/>
  <c r="Z253" i="32"/>
  <c r="Z254" i="32"/>
  <c r="Z255" i="32"/>
  <c r="Z256" i="32"/>
  <c r="Z257" i="32"/>
  <c r="Z258" i="32"/>
  <c r="Z259" i="32"/>
  <c r="Z260" i="32"/>
  <c r="Z261" i="32"/>
  <c r="Z262" i="32"/>
  <c r="Z263" i="32"/>
  <c r="Z264" i="32"/>
  <c r="Z265" i="32"/>
  <c r="Z266" i="32"/>
  <c r="Z267" i="32"/>
  <c r="Z268" i="32"/>
  <c r="Z269" i="32"/>
  <c r="Z270" i="32"/>
  <c r="Z271" i="32"/>
  <c r="Z272" i="32"/>
  <c r="Z273" i="32"/>
  <c r="Z274" i="32"/>
  <c r="Z275" i="32"/>
  <c r="Z276" i="32"/>
  <c r="Z277" i="32"/>
  <c r="Z278" i="32"/>
  <c r="Z279" i="32"/>
  <c r="Z280" i="32"/>
  <c r="Z281" i="32"/>
  <c r="Z282" i="32"/>
  <c r="Z283" i="32"/>
  <c r="Z284" i="32"/>
  <c r="Z285" i="32"/>
  <c r="Z286" i="32"/>
  <c r="Z287" i="32"/>
  <c r="Z288" i="32"/>
  <c r="Z289" i="32"/>
  <c r="Z290" i="32"/>
  <c r="Z291" i="32"/>
  <c r="Z292" i="32"/>
  <c r="Z293" i="32"/>
  <c r="Z294" i="32"/>
  <c r="Z295" i="32"/>
  <c r="Z296" i="32"/>
  <c r="Z297" i="32"/>
  <c r="Z298" i="32"/>
  <c r="Z299" i="32"/>
  <c r="Z300" i="32"/>
  <c r="Z301" i="32"/>
  <c r="Z302" i="32"/>
  <c r="Z303" i="32"/>
  <c r="Z304" i="32"/>
  <c r="Z305" i="32"/>
  <c r="Z306" i="32"/>
  <c r="Z307" i="32"/>
  <c r="Z308" i="32"/>
  <c r="Z309" i="32"/>
  <c r="Z310" i="32"/>
  <c r="Z311" i="32"/>
  <c r="Z312" i="32"/>
  <c r="Z313" i="32"/>
  <c r="Z314" i="32"/>
  <c r="Z315" i="32"/>
  <c r="Z316" i="32"/>
  <c r="Z317" i="32"/>
  <c r="Z318" i="32"/>
  <c r="Z319" i="32"/>
  <c r="Z320" i="32"/>
  <c r="Z321" i="32"/>
  <c r="Z322" i="32"/>
  <c r="Z323" i="32"/>
  <c r="Z324" i="32"/>
  <c r="Z325" i="32"/>
  <c r="Z326" i="32"/>
  <c r="Z327" i="32"/>
  <c r="Z328" i="32"/>
  <c r="Z329" i="32"/>
  <c r="Z330" i="32"/>
  <c r="Z331" i="32"/>
  <c r="Z332" i="32"/>
  <c r="Z333" i="32"/>
  <c r="Z334" i="32"/>
  <c r="Z335" i="32"/>
  <c r="Z336" i="32"/>
  <c r="Z337" i="32"/>
  <c r="Z338" i="32"/>
  <c r="Z339" i="32"/>
  <c r="Z340" i="32"/>
  <c r="Z341" i="32"/>
  <c r="Z342" i="32"/>
  <c r="Z343" i="32"/>
  <c r="Z344" i="32"/>
  <c r="Z345" i="32"/>
  <c r="Z346" i="32"/>
  <c r="Z347" i="32"/>
  <c r="Z348" i="32"/>
  <c r="Z349" i="32"/>
  <c r="Z350" i="32"/>
  <c r="Z351" i="32"/>
  <c r="Z352" i="32"/>
  <c r="Z353" i="32"/>
  <c r="Z354" i="32"/>
  <c r="Z355" i="32"/>
  <c r="Z356" i="32"/>
  <c r="Z357" i="32"/>
  <c r="Z358" i="32"/>
  <c r="Z359" i="32"/>
  <c r="Z360" i="32"/>
  <c r="Z361" i="32"/>
  <c r="Z362" i="32"/>
  <c r="Z363" i="32"/>
  <c r="Z364" i="32"/>
  <c r="Z365" i="32"/>
  <c r="Z366" i="32"/>
  <c r="Z367" i="32"/>
  <c r="Z368" i="32"/>
  <c r="Z369" i="32"/>
  <c r="Z370" i="32"/>
  <c r="Z371" i="32"/>
  <c r="Z372" i="32"/>
  <c r="Z373" i="32"/>
  <c r="Z374" i="32"/>
  <c r="Z375" i="32"/>
  <c r="Z376" i="32"/>
  <c r="Z377" i="32"/>
  <c r="Z378" i="32"/>
  <c r="Z379" i="32"/>
  <c r="Z380" i="32"/>
  <c r="Z381" i="32"/>
  <c r="Z382" i="32"/>
  <c r="Z383" i="32"/>
  <c r="Z384" i="32"/>
  <c r="Z385" i="32"/>
  <c r="Z386" i="32"/>
  <c r="Z387" i="32"/>
  <c r="Z388" i="32"/>
  <c r="Z389" i="32"/>
  <c r="Z390" i="32"/>
  <c r="Z391" i="32"/>
  <c r="Z392" i="32"/>
  <c r="Z393" i="32"/>
  <c r="Z394" i="32"/>
  <c r="Z395" i="32"/>
  <c r="Z396" i="32"/>
  <c r="Z397" i="32"/>
  <c r="Z398" i="32"/>
  <c r="Z399" i="32"/>
  <c r="Z400" i="32"/>
  <c r="Z401" i="32"/>
  <c r="Z402" i="32"/>
  <c r="Z403" i="32"/>
  <c r="Z404" i="32"/>
  <c r="Z405" i="32"/>
  <c r="Z406" i="32"/>
  <c r="Z407" i="32"/>
  <c r="Z408" i="32"/>
  <c r="Z409" i="32"/>
  <c r="Z410" i="32"/>
  <c r="Z411" i="32"/>
  <c r="Z412" i="32"/>
  <c r="Z413" i="32"/>
  <c r="Z414" i="32"/>
  <c r="Z415" i="32"/>
  <c r="Z416" i="32"/>
  <c r="Z417" i="32"/>
  <c r="Z418" i="32"/>
  <c r="Z419" i="32"/>
  <c r="Z420" i="32"/>
  <c r="Z421" i="32"/>
  <c r="Z422" i="32"/>
  <c r="Z423" i="32"/>
  <c r="Z424" i="32"/>
  <c r="Z425" i="32"/>
  <c r="Z426" i="32"/>
  <c r="Z427" i="32"/>
  <c r="Z428" i="32"/>
  <c r="Z429" i="32"/>
  <c r="Z430" i="32"/>
  <c r="Z431" i="32"/>
  <c r="Z432" i="32"/>
  <c r="Z433" i="32"/>
  <c r="Z434" i="32"/>
  <c r="Z435" i="32"/>
  <c r="Z436" i="32"/>
  <c r="Z437" i="32"/>
  <c r="Z438" i="32"/>
  <c r="Z439" i="32"/>
  <c r="Z440" i="32"/>
  <c r="Z441" i="32"/>
  <c r="Z442" i="32"/>
  <c r="Z443" i="32"/>
  <c r="Z444" i="32"/>
  <c r="Z445" i="32"/>
  <c r="Z446" i="32"/>
  <c r="Z447" i="32"/>
  <c r="Z448" i="32"/>
  <c r="Z449" i="32"/>
  <c r="Z450" i="32"/>
  <c r="Z451" i="32"/>
  <c r="Z452" i="32"/>
  <c r="Z453" i="32"/>
  <c r="Z454" i="32"/>
  <c r="Z455" i="32"/>
  <c r="Z456" i="32"/>
  <c r="Z457" i="32"/>
  <c r="Z458" i="32"/>
  <c r="Z459" i="32"/>
  <c r="Z460" i="32"/>
  <c r="Z461" i="32"/>
  <c r="Z462" i="32"/>
  <c r="Z463" i="32"/>
  <c r="Z464" i="32"/>
  <c r="Z465" i="32"/>
  <c r="Z466" i="32"/>
  <c r="Z467" i="32"/>
  <c r="Z468" i="32"/>
  <c r="Z469" i="32"/>
  <c r="Z470" i="32"/>
  <c r="Z471" i="32"/>
  <c r="Z472" i="32"/>
  <c r="Z473" i="32"/>
  <c r="Z474" i="32"/>
  <c r="Z475" i="32"/>
  <c r="Z476" i="32"/>
  <c r="Z477" i="32"/>
  <c r="Z478" i="32"/>
  <c r="Z479" i="32"/>
  <c r="Z480" i="32"/>
  <c r="Z481" i="32"/>
  <c r="Z482" i="32"/>
  <c r="Z483" i="32"/>
  <c r="Z484" i="32"/>
  <c r="Z485" i="32"/>
  <c r="Z486" i="32"/>
  <c r="Z487" i="32"/>
  <c r="Z488" i="32"/>
  <c r="Z489" i="32"/>
  <c r="Z490" i="32"/>
  <c r="Z491" i="32"/>
  <c r="Z492" i="32"/>
  <c r="Z493" i="32"/>
  <c r="Z494" i="32"/>
  <c r="Z495" i="32"/>
  <c r="Z496" i="32"/>
  <c r="Z497" i="32"/>
  <c r="Z498" i="32"/>
  <c r="Z499" i="32"/>
  <c r="Z500" i="32"/>
  <c r="Z501" i="32"/>
  <c r="Z502" i="32"/>
  <c r="Z503" i="32"/>
  <c r="Z504" i="32"/>
  <c r="Z505" i="32"/>
  <c r="Z506" i="32"/>
  <c r="Z507" i="32"/>
  <c r="Z508" i="32"/>
  <c r="Z509" i="32"/>
  <c r="Z510" i="32"/>
  <c r="Z511" i="32"/>
  <c r="Z512" i="32"/>
  <c r="Z513" i="32"/>
  <c r="Z514" i="32"/>
  <c r="Z515" i="32"/>
  <c r="Z516" i="32"/>
  <c r="Z517" i="32"/>
  <c r="Z518" i="32"/>
  <c r="Z519" i="32"/>
  <c r="Z520" i="32"/>
  <c r="Z521" i="32"/>
  <c r="Z522" i="32"/>
  <c r="Z523" i="32"/>
  <c r="Z524" i="32"/>
  <c r="Z525" i="32"/>
  <c r="Z526" i="32"/>
  <c r="Z527" i="32"/>
  <c r="Z528" i="32"/>
  <c r="Z529" i="32"/>
  <c r="Z530" i="32"/>
  <c r="Z531" i="32"/>
  <c r="Z532" i="32"/>
  <c r="Z533" i="32"/>
  <c r="Z534" i="32"/>
  <c r="Z535" i="32"/>
  <c r="Z536" i="32"/>
  <c r="Z537" i="32"/>
  <c r="Z538" i="32"/>
  <c r="Z539" i="32"/>
  <c r="Z540" i="32"/>
  <c r="Z541" i="32"/>
  <c r="Z542" i="32"/>
  <c r="Z543" i="32"/>
  <c r="Z544" i="32"/>
  <c r="Z545" i="32"/>
  <c r="Z546" i="32"/>
  <c r="Z547" i="32"/>
  <c r="Z548" i="32"/>
  <c r="Z549" i="32"/>
  <c r="Z550" i="32"/>
  <c r="Z551" i="32"/>
  <c r="Z552" i="32"/>
  <c r="Z553" i="32"/>
  <c r="Z554" i="32"/>
  <c r="Z555" i="32"/>
  <c r="Z556" i="32"/>
  <c r="Z557" i="32"/>
  <c r="Z558" i="32"/>
  <c r="Z559" i="32"/>
  <c r="Z560" i="32"/>
  <c r="Z561" i="32"/>
  <c r="Z562" i="32"/>
  <c r="Z563" i="32"/>
  <c r="Z564" i="32"/>
  <c r="Z565" i="32"/>
  <c r="Z566" i="32"/>
  <c r="Z567" i="32"/>
  <c r="Z568" i="32"/>
  <c r="Z569" i="32"/>
  <c r="Z570" i="32"/>
  <c r="Z571" i="32"/>
  <c r="Z572" i="32"/>
  <c r="Z573" i="32"/>
  <c r="Z574" i="32"/>
  <c r="Z575" i="32"/>
  <c r="Z576" i="32"/>
  <c r="Z577" i="32"/>
  <c r="Z578" i="32"/>
  <c r="Z579" i="32"/>
  <c r="Z580" i="32"/>
  <c r="Z581" i="32"/>
  <c r="Z582" i="32"/>
  <c r="Z583" i="32"/>
  <c r="Z584" i="32"/>
  <c r="Z585" i="32"/>
  <c r="Z586" i="32"/>
  <c r="Z587" i="32"/>
  <c r="Z588" i="32"/>
  <c r="Z589" i="32"/>
  <c r="Z590" i="32"/>
  <c r="Z591" i="32"/>
  <c r="Z592" i="32"/>
  <c r="Z593" i="32"/>
  <c r="Z594" i="32"/>
  <c r="Z595" i="32"/>
  <c r="Z596" i="32"/>
  <c r="Z597" i="32"/>
  <c r="Z598" i="32"/>
  <c r="Z599" i="32"/>
  <c r="Z600" i="32"/>
  <c r="Z601" i="32"/>
  <c r="Z602" i="32"/>
  <c r="Z603" i="32"/>
  <c r="Z604"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AB5" i="32"/>
  <c r="AA6" i="32"/>
  <c r="AB6" i="32"/>
  <c r="AA7" i="32"/>
  <c r="AB7" i="32"/>
  <c r="AA8" i="32"/>
  <c r="AB8" i="32"/>
  <c r="AA9" i="32"/>
  <c r="AB9" i="32"/>
  <c r="AA10" i="32"/>
  <c r="AB10" i="32"/>
  <c r="AA11" i="32"/>
  <c r="AB11" i="32"/>
  <c r="AA12" i="32"/>
  <c r="AB12" i="32"/>
  <c r="AA13" i="32"/>
  <c r="AB13" i="32"/>
  <c r="AA14" i="32"/>
  <c r="AB14" i="32"/>
  <c r="AA15" i="32"/>
  <c r="AB15" i="32"/>
  <c r="AA16" i="32"/>
  <c r="AB16" i="32"/>
  <c r="AA17" i="32"/>
  <c r="AB17" i="32"/>
  <c r="AA18" i="32"/>
  <c r="AB18" i="32"/>
  <c r="AA19" i="32"/>
  <c r="AB19" i="32"/>
  <c r="AA20" i="32"/>
  <c r="AB20" i="32"/>
  <c r="AA21" i="32"/>
  <c r="AB21" i="32"/>
  <c r="AA22" i="32"/>
  <c r="AB22" i="32"/>
  <c r="AA23" i="32"/>
  <c r="AB23" i="32"/>
  <c r="AA24" i="32"/>
  <c r="AB24" i="32"/>
  <c r="AA25" i="32"/>
  <c r="AB25" i="32"/>
  <c r="AA26" i="32"/>
  <c r="AB26" i="32"/>
  <c r="AA27" i="32"/>
  <c r="AB27" i="32"/>
  <c r="AA28" i="32"/>
  <c r="AB28" i="32"/>
  <c r="AA29" i="32"/>
  <c r="AB29" i="32"/>
  <c r="AA30" i="32"/>
  <c r="AB30" i="32"/>
  <c r="AA31" i="32"/>
  <c r="AB31" i="32"/>
  <c r="AA32" i="32"/>
  <c r="AB32" i="32"/>
  <c r="AA33" i="32"/>
  <c r="AB33" i="32"/>
  <c r="AA34" i="32"/>
  <c r="AB34" i="32"/>
  <c r="AA35" i="32"/>
  <c r="AB35" i="32"/>
  <c r="AA36" i="32"/>
  <c r="AB36" i="32"/>
  <c r="AA37" i="32"/>
  <c r="AB37" i="32"/>
  <c r="AA38" i="32"/>
  <c r="AB38" i="32"/>
  <c r="AA39" i="32"/>
  <c r="AB39" i="32"/>
  <c r="AA40" i="32"/>
  <c r="AB40" i="32"/>
  <c r="AA41" i="32"/>
  <c r="AB41" i="32"/>
  <c r="AA42" i="32"/>
  <c r="AB42" i="32"/>
  <c r="AA43" i="32"/>
  <c r="AB43" i="32"/>
  <c r="AA44" i="32"/>
  <c r="AB44" i="32"/>
  <c r="AA45" i="32"/>
  <c r="AB45" i="32"/>
  <c r="AA46" i="32"/>
  <c r="AB46" i="32"/>
  <c r="AA47" i="32"/>
  <c r="AB47" i="32"/>
  <c r="AA48" i="32"/>
  <c r="AB48" i="32"/>
  <c r="AA49" i="32"/>
  <c r="AB49" i="32"/>
  <c r="AA50" i="32"/>
  <c r="AB50" i="32"/>
  <c r="AA51" i="32"/>
  <c r="AB51" i="32"/>
  <c r="AA52" i="32"/>
  <c r="AB52" i="32"/>
  <c r="AA53" i="32"/>
  <c r="AB53" i="32"/>
  <c r="AA54" i="32"/>
  <c r="AB54" i="32"/>
  <c r="AA55" i="32"/>
  <c r="AB55" i="32"/>
  <c r="AA56" i="32"/>
  <c r="AB56" i="32"/>
  <c r="AA57" i="32"/>
  <c r="AB57" i="32"/>
  <c r="AA58" i="32"/>
  <c r="AB58" i="32"/>
  <c r="AA59" i="32"/>
  <c r="AB59" i="32"/>
  <c r="AA60" i="32"/>
  <c r="AB60" i="32"/>
  <c r="AA61" i="32"/>
  <c r="AB61" i="32"/>
  <c r="AA62" i="32"/>
  <c r="AB62" i="32"/>
  <c r="AA63" i="32"/>
  <c r="AB63" i="32"/>
  <c r="AA64" i="32"/>
  <c r="AB64" i="32"/>
  <c r="AA65" i="32"/>
  <c r="AB65" i="32"/>
  <c r="AA66" i="32"/>
  <c r="AB66" i="32"/>
  <c r="AA67" i="32"/>
  <c r="AB67" i="32"/>
  <c r="AA68" i="32"/>
  <c r="AB68" i="32"/>
  <c r="AA69" i="32"/>
  <c r="AB69" i="32"/>
  <c r="AA70" i="32"/>
  <c r="AB70" i="32"/>
  <c r="AA71" i="32"/>
  <c r="AB71" i="32"/>
  <c r="AA72" i="32"/>
  <c r="AB72" i="32"/>
  <c r="AA73" i="32"/>
  <c r="AB73" i="32"/>
  <c r="AA74" i="32"/>
  <c r="AB74" i="32"/>
  <c r="AA75" i="32"/>
  <c r="AB75" i="32"/>
  <c r="AA76" i="32"/>
  <c r="AB76" i="32"/>
  <c r="AA77" i="32"/>
  <c r="AB77" i="32"/>
  <c r="AA78" i="32"/>
  <c r="AB78" i="32"/>
  <c r="AA79" i="32"/>
  <c r="AB79" i="32"/>
  <c r="AA80" i="32"/>
  <c r="AB80" i="32"/>
  <c r="AA81" i="32"/>
  <c r="AB81" i="32"/>
  <c r="AA82" i="32"/>
  <c r="AB82" i="32"/>
  <c r="AA83" i="32"/>
  <c r="AB83" i="32"/>
  <c r="AA84" i="32"/>
  <c r="AB84" i="32"/>
  <c r="AA85" i="32"/>
  <c r="AB85" i="32"/>
  <c r="AA86" i="32"/>
  <c r="AB86" i="32"/>
  <c r="AA87" i="32"/>
  <c r="AB87" i="32"/>
  <c r="AA88" i="32"/>
  <c r="AB88" i="32"/>
  <c r="AA89" i="32"/>
  <c r="AB89" i="32"/>
  <c r="AA90" i="32"/>
  <c r="AB90" i="32"/>
  <c r="AA91" i="32"/>
  <c r="AB91" i="32"/>
  <c r="AA92" i="32"/>
  <c r="AB92" i="32"/>
  <c r="AA93" i="32"/>
  <c r="AB93" i="32"/>
  <c r="AA94" i="32"/>
  <c r="AB94" i="32"/>
  <c r="AA95" i="32"/>
  <c r="AB95" i="32"/>
  <c r="AA96" i="32"/>
  <c r="AB96" i="32"/>
  <c r="AA97" i="32"/>
  <c r="AB97" i="32"/>
  <c r="AA98" i="32"/>
  <c r="AB98" i="32"/>
  <c r="AA99" i="32"/>
  <c r="AB99" i="32"/>
  <c r="AA100" i="32"/>
  <c r="AB100" i="32"/>
  <c r="AA101" i="32"/>
  <c r="AB101" i="32"/>
  <c r="AA102" i="32"/>
  <c r="AB102" i="32"/>
  <c r="AA103" i="32"/>
  <c r="AB103" i="32"/>
  <c r="AA104" i="32"/>
  <c r="AB104" i="32"/>
  <c r="AA105" i="32"/>
  <c r="AB105" i="32"/>
  <c r="AA106" i="32"/>
  <c r="AB106" i="32"/>
  <c r="AA107" i="32"/>
  <c r="AB107" i="32"/>
  <c r="AA108" i="32"/>
  <c r="AB108" i="32"/>
  <c r="AA109" i="32"/>
  <c r="AB109" i="32"/>
  <c r="AA110" i="32"/>
  <c r="AB110" i="32"/>
  <c r="AA111" i="32"/>
  <c r="AB111" i="32"/>
  <c r="AA112" i="32"/>
  <c r="AB112" i="32"/>
  <c r="AA113" i="32"/>
  <c r="AB113" i="32"/>
  <c r="AA114" i="32"/>
  <c r="AB114" i="32"/>
  <c r="AA115" i="32"/>
  <c r="AB115" i="32"/>
  <c r="AA116" i="32"/>
  <c r="AB116" i="32"/>
  <c r="AA117" i="32"/>
  <c r="AB117" i="32"/>
  <c r="AA118" i="32"/>
  <c r="AB118" i="32"/>
  <c r="AA119" i="32"/>
  <c r="AB119" i="32"/>
  <c r="AA120" i="32"/>
  <c r="AB120" i="32"/>
  <c r="AA121" i="32"/>
  <c r="AB121" i="32"/>
  <c r="AA122" i="32"/>
  <c r="AB122" i="32"/>
  <c r="AA123" i="32"/>
  <c r="AB123" i="32"/>
  <c r="AA124" i="32"/>
  <c r="AB124" i="32"/>
  <c r="AA125" i="32"/>
  <c r="AB125" i="32"/>
  <c r="AA126" i="32"/>
  <c r="AB126" i="32"/>
  <c r="AA127" i="32"/>
  <c r="AB127" i="32"/>
  <c r="AA128" i="32"/>
  <c r="AB128" i="32"/>
  <c r="AA129" i="32"/>
  <c r="AB129" i="32"/>
  <c r="AA130" i="32"/>
  <c r="AB130" i="32"/>
  <c r="AA131" i="32"/>
  <c r="AB131" i="32"/>
  <c r="AA132" i="32"/>
  <c r="AB132" i="32"/>
  <c r="AA133" i="32"/>
  <c r="AB133" i="32"/>
  <c r="AA134" i="32"/>
  <c r="AB134" i="32"/>
  <c r="AA135" i="32"/>
  <c r="AB135" i="32"/>
  <c r="AA136" i="32"/>
  <c r="AB136" i="32"/>
  <c r="AA137" i="32"/>
  <c r="AB137" i="32"/>
  <c r="AA138" i="32"/>
  <c r="AB138" i="32"/>
  <c r="AA139" i="32"/>
  <c r="AB139" i="32"/>
  <c r="AA140" i="32"/>
  <c r="AB140" i="32"/>
  <c r="AA141" i="32"/>
  <c r="AB141" i="32"/>
  <c r="AA142" i="32"/>
  <c r="AB142" i="32"/>
  <c r="AA143" i="32"/>
  <c r="AB143" i="32"/>
  <c r="AA144" i="32"/>
  <c r="AB144" i="32"/>
  <c r="AA145" i="32"/>
  <c r="AB145" i="32"/>
  <c r="AA146" i="32"/>
  <c r="AB146" i="32"/>
  <c r="AA147" i="32"/>
  <c r="AB147" i="32"/>
  <c r="AA148" i="32"/>
  <c r="AB148" i="32"/>
  <c r="AA149" i="32"/>
  <c r="AB149" i="32"/>
  <c r="AA150" i="32"/>
  <c r="AB150" i="32"/>
  <c r="AA151" i="32"/>
  <c r="AB151" i="32"/>
  <c r="AA152" i="32"/>
  <c r="AB152" i="32"/>
  <c r="AA153" i="32"/>
  <c r="AB153" i="32"/>
  <c r="AA154" i="32"/>
  <c r="AB154" i="32"/>
  <c r="AA155" i="32"/>
  <c r="AB155" i="32"/>
  <c r="AA156" i="32"/>
  <c r="AB156" i="32"/>
  <c r="AA157" i="32"/>
  <c r="AB157" i="32"/>
  <c r="AA158" i="32"/>
  <c r="AB158" i="32"/>
  <c r="AA159" i="32"/>
  <c r="AB159" i="32"/>
  <c r="AA160" i="32"/>
  <c r="AB160" i="32"/>
  <c r="AA161" i="32"/>
  <c r="AB161" i="32"/>
  <c r="AA162" i="32"/>
  <c r="AB162" i="32"/>
  <c r="AA163" i="32"/>
  <c r="AB163" i="32"/>
  <c r="AA164" i="32"/>
  <c r="AB164" i="32"/>
  <c r="AA165" i="32"/>
  <c r="AB165" i="32"/>
  <c r="AA166" i="32"/>
  <c r="AB166" i="32"/>
  <c r="AA167" i="32"/>
  <c r="AB167" i="32"/>
  <c r="AA168" i="32"/>
  <c r="AB168" i="32"/>
  <c r="AA169" i="32"/>
  <c r="AB169" i="32"/>
  <c r="AA170" i="32"/>
  <c r="AB170" i="32"/>
  <c r="AA171" i="32"/>
  <c r="AB171" i="32"/>
  <c r="AA172" i="32"/>
  <c r="AB172" i="32"/>
  <c r="AA173" i="32"/>
  <c r="AB173" i="32"/>
  <c r="AA174" i="32"/>
  <c r="AB174" i="32"/>
  <c r="AA175" i="32"/>
  <c r="AB175" i="32"/>
  <c r="AA176" i="32"/>
  <c r="AB176" i="32"/>
  <c r="AA177" i="32"/>
  <c r="AB177" i="32"/>
  <c r="AA178" i="32"/>
  <c r="AB178" i="32"/>
  <c r="AA179" i="32"/>
  <c r="AB179" i="32"/>
  <c r="AA180" i="32"/>
  <c r="AB180" i="32"/>
  <c r="AA181" i="32"/>
  <c r="AB181" i="32"/>
  <c r="AA182" i="32"/>
  <c r="AB182" i="32"/>
  <c r="AA183" i="32"/>
  <c r="AB183" i="32"/>
  <c r="AA184" i="32"/>
  <c r="AB184" i="32"/>
  <c r="AA185" i="32"/>
  <c r="AB185" i="32"/>
  <c r="AA186" i="32"/>
  <c r="AB186" i="32"/>
  <c r="AA187" i="32"/>
  <c r="AB187" i="32"/>
  <c r="AA188" i="32"/>
  <c r="AB188" i="32"/>
  <c r="AA189" i="32"/>
  <c r="AB189" i="32"/>
  <c r="AA190" i="32"/>
  <c r="AB190" i="32"/>
  <c r="AA191" i="32"/>
  <c r="AB191" i="32"/>
  <c r="AA192" i="32"/>
  <c r="AB192" i="32"/>
  <c r="AA193" i="32"/>
  <c r="AB193" i="32"/>
  <c r="AA194" i="32"/>
  <c r="AB194" i="32"/>
  <c r="AA195" i="32"/>
  <c r="AB195" i="32"/>
  <c r="AA196" i="32"/>
  <c r="AB196" i="32"/>
  <c r="AA197" i="32"/>
  <c r="AB197" i="32"/>
  <c r="AA198" i="32"/>
  <c r="AB198" i="32"/>
  <c r="AA199" i="32"/>
  <c r="AB199" i="32"/>
  <c r="AA200" i="32"/>
  <c r="AB200" i="32"/>
  <c r="AA201" i="32"/>
  <c r="AB201" i="32"/>
  <c r="AA202" i="32"/>
  <c r="AB202" i="32"/>
  <c r="AA203" i="32"/>
  <c r="AB203" i="32"/>
  <c r="AA204" i="32"/>
  <c r="AB204" i="32"/>
  <c r="AA205" i="32"/>
  <c r="AB205" i="32"/>
  <c r="AA206" i="32"/>
  <c r="AB206" i="32"/>
  <c r="AA207" i="32"/>
  <c r="AB207" i="32"/>
  <c r="AA208" i="32"/>
  <c r="AB208" i="32"/>
  <c r="AA209" i="32"/>
  <c r="AB209" i="32"/>
  <c r="AA210" i="32"/>
  <c r="AB210" i="32"/>
  <c r="AA211" i="32"/>
  <c r="AB211" i="32"/>
  <c r="AA212" i="32"/>
  <c r="AB212" i="32"/>
  <c r="AA213" i="32"/>
  <c r="AB213" i="32"/>
  <c r="AA214" i="32"/>
  <c r="AB214" i="32"/>
  <c r="AA215" i="32"/>
  <c r="AB215" i="32"/>
  <c r="AA216" i="32"/>
  <c r="AB216" i="32"/>
  <c r="AA217" i="32"/>
  <c r="AB217" i="32"/>
  <c r="AA218" i="32"/>
  <c r="AB218" i="32"/>
  <c r="AA219" i="32"/>
  <c r="AB219" i="32"/>
  <c r="AA220" i="32"/>
  <c r="AB220" i="32"/>
  <c r="AA221" i="32"/>
  <c r="AB221" i="32"/>
  <c r="AA222" i="32"/>
  <c r="AB222" i="32"/>
  <c r="AA223" i="32"/>
  <c r="AB223" i="32"/>
  <c r="AA224" i="32"/>
  <c r="AB224" i="32"/>
  <c r="AA225" i="32"/>
  <c r="AB225" i="32"/>
  <c r="AA226" i="32"/>
  <c r="AB226" i="32"/>
  <c r="AA227" i="32"/>
  <c r="AB227" i="32"/>
  <c r="AA228" i="32"/>
  <c r="AB228" i="32"/>
  <c r="AA229" i="32"/>
  <c r="AB229" i="32"/>
  <c r="AA230" i="32"/>
  <c r="AB230" i="32"/>
  <c r="AA231" i="32"/>
  <c r="AB231" i="32"/>
  <c r="AA232" i="32"/>
  <c r="AB232" i="32"/>
  <c r="AA233" i="32"/>
  <c r="AB233" i="32"/>
  <c r="AA234" i="32"/>
  <c r="AB234" i="32"/>
  <c r="AA235" i="32"/>
  <c r="AB235" i="32"/>
  <c r="AA236" i="32"/>
  <c r="AB236" i="32"/>
  <c r="AA237" i="32"/>
  <c r="AB237" i="32"/>
  <c r="AA238" i="32"/>
  <c r="AB238" i="32"/>
  <c r="AA239" i="32"/>
  <c r="AB239" i="32"/>
  <c r="AA240" i="32"/>
  <c r="AB240" i="32"/>
  <c r="AA241" i="32"/>
  <c r="AB241" i="32"/>
  <c r="AA242" i="32"/>
  <c r="AB242" i="32"/>
  <c r="AA243" i="32"/>
  <c r="AB243" i="32"/>
  <c r="AA244" i="32"/>
  <c r="AB244" i="32"/>
  <c r="AA245" i="32"/>
  <c r="AB245" i="32"/>
  <c r="AA246" i="32"/>
  <c r="AB246" i="32"/>
  <c r="AA247" i="32"/>
  <c r="AB247" i="32"/>
  <c r="AA248" i="32"/>
  <c r="AB248" i="32"/>
  <c r="AA249" i="32"/>
  <c r="AB249" i="32"/>
  <c r="AA250" i="32"/>
  <c r="AB250" i="32"/>
  <c r="AA251" i="32"/>
  <c r="AB251" i="32"/>
  <c r="AA252" i="32"/>
  <c r="AB252" i="32"/>
  <c r="AA253" i="32"/>
  <c r="AB253" i="32"/>
  <c r="AA254" i="32"/>
  <c r="AB254" i="32"/>
  <c r="AA255" i="32"/>
  <c r="AB255" i="32"/>
  <c r="AA256" i="32"/>
  <c r="AB256" i="32"/>
  <c r="AA257" i="32"/>
  <c r="AB257" i="32"/>
  <c r="AA258" i="32"/>
  <c r="AB258" i="32"/>
  <c r="AA259" i="32"/>
  <c r="AB259" i="32"/>
  <c r="AA260" i="32"/>
  <c r="AB260" i="32"/>
  <c r="AA261" i="32"/>
  <c r="AB261" i="32"/>
  <c r="AA262" i="32"/>
  <c r="AB262" i="32"/>
  <c r="AA263" i="32"/>
  <c r="AB263" i="32"/>
  <c r="AA264" i="32"/>
  <c r="AB264" i="32"/>
  <c r="AA265" i="32"/>
  <c r="AB265" i="32"/>
  <c r="AA266" i="32"/>
  <c r="AB266" i="32"/>
  <c r="AA267" i="32"/>
  <c r="AB267" i="32"/>
  <c r="AA268" i="32"/>
  <c r="AB268" i="32"/>
  <c r="AA269" i="32"/>
  <c r="AB269" i="32"/>
  <c r="AA270" i="32"/>
  <c r="AB270" i="32"/>
  <c r="AA271" i="32"/>
  <c r="AB271" i="32"/>
  <c r="AA272" i="32"/>
  <c r="AB272" i="32"/>
  <c r="AA273" i="32"/>
  <c r="AB273" i="32"/>
  <c r="AA274" i="32"/>
  <c r="AB274" i="32"/>
  <c r="AA275" i="32"/>
  <c r="AB275" i="32"/>
  <c r="AA276" i="32"/>
  <c r="AB276" i="32"/>
  <c r="AA277" i="32"/>
  <c r="AB277" i="32"/>
  <c r="AA278" i="32"/>
  <c r="AB278" i="32"/>
  <c r="AA279" i="32"/>
  <c r="AB279" i="32"/>
  <c r="AA280" i="32"/>
  <c r="AB280" i="32"/>
  <c r="AA281" i="32"/>
  <c r="AB281" i="32"/>
  <c r="AA282" i="32"/>
  <c r="AB282" i="32"/>
  <c r="AA283" i="32"/>
  <c r="AB283" i="32"/>
  <c r="AA284" i="32"/>
  <c r="AB284" i="32"/>
  <c r="AA285" i="32"/>
  <c r="AB285" i="32"/>
  <c r="AA286" i="32"/>
  <c r="AB286" i="32"/>
  <c r="AA287" i="32"/>
  <c r="AB287" i="32"/>
  <c r="AA288" i="32"/>
  <c r="AB288" i="32"/>
  <c r="AA289" i="32"/>
  <c r="AB289" i="32"/>
  <c r="AA290" i="32"/>
  <c r="AB290" i="32"/>
  <c r="AA291" i="32"/>
  <c r="AB291" i="32"/>
  <c r="AA292" i="32"/>
  <c r="AB292" i="32"/>
  <c r="AA293" i="32"/>
  <c r="AB293" i="32"/>
  <c r="AA294" i="32"/>
  <c r="AB294" i="32"/>
  <c r="AA295" i="32"/>
  <c r="AB295" i="32"/>
  <c r="AA296" i="32"/>
  <c r="AB296" i="32"/>
  <c r="AA297" i="32"/>
  <c r="AB297" i="32"/>
  <c r="AA298" i="32"/>
  <c r="AB298" i="32"/>
  <c r="AA299" i="32"/>
  <c r="AB299" i="32"/>
  <c r="AA300" i="32"/>
  <c r="AB300" i="32"/>
  <c r="AA301" i="32"/>
  <c r="AB301" i="32"/>
  <c r="AA302" i="32"/>
  <c r="AB302" i="32"/>
  <c r="AA303" i="32"/>
  <c r="AB303" i="32"/>
  <c r="AA304" i="32"/>
  <c r="AB304" i="32"/>
  <c r="AA305" i="32"/>
  <c r="AB305" i="32"/>
  <c r="AA306" i="32"/>
  <c r="AB306" i="32"/>
  <c r="AA307" i="32"/>
  <c r="AB307" i="32"/>
  <c r="AA308" i="32"/>
  <c r="AB308" i="32"/>
  <c r="AA309" i="32"/>
  <c r="AB309" i="32"/>
  <c r="AA310" i="32"/>
  <c r="AB310" i="32"/>
  <c r="AA311" i="32"/>
  <c r="AB311" i="32"/>
  <c r="AA312" i="32"/>
  <c r="AB312" i="32"/>
  <c r="AA313" i="32"/>
  <c r="AB313" i="32"/>
  <c r="AA314" i="32"/>
  <c r="AB314" i="32"/>
  <c r="AA315" i="32"/>
  <c r="AB315" i="32"/>
  <c r="AA316" i="32"/>
  <c r="AB316" i="32"/>
  <c r="AA317" i="32"/>
  <c r="AB317" i="32"/>
  <c r="AA318" i="32"/>
  <c r="AB318" i="32"/>
  <c r="AA319" i="32"/>
  <c r="AB319" i="32"/>
  <c r="AA320" i="32"/>
  <c r="AB320" i="32"/>
  <c r="AA321" i="32"/>
  <c r="AB321" i="32"/>
  <c r="AA322" i="32"/>
  <c r="AB322" i="32"/>
  <c r="AA323" i="32"/>
  <c r="AB323" i="32"/>
  <c r="AA324" i="32"/>
  <c r="AB324" i="32"/>
  <c r="AA325" i="32"/>
  <c r="AB325" i="32"/>
  <c r="AA326" i="32"/>
  <c r="AB326" i="32"/>
  <c r="AA327" i="32"/>
  <c r="AB327" i="32"/>
  <c r="AA328" i="32"/>
  <c r="AB328" i="32"/>
  <c r="AA329" i="32"/>
  <c r="AB329" i="32"/>
  <c r="AA330" i="32"/>
  <c r="AB330" i="32"/>
  <c r="AA331" i="32"/>
  <c r="AB331" i="32"/>
  <c r="AA332" i="32"/>
  <c r="AB332" i="32"/>
  <c r="AA333" i="32"/>
  <c r="AB333" i="32"/>
  <c r="AA334" i="32"/>
  <c r="AB334" i="32"/>
  <c r="AA335" i="32"/>
  <c r="AB335" i="32"/>
  <c r="AA336" i="32"/>
  <c r="AB336" i="32"/>
  <c r="AA337" i="32"/>
  <c r="AB337" i="32"/>
  <c r="AA338" i="32"/>
  <c r="AB338" i="32"/>
  <c r="AA339" i="32"/>
  <c r="AB339" i="32"/>
  <c r="AA340" i="32"/>
  <c r="AB340" i="32"/>
  <c r="AA341" i="32"/>
  <c r="AB341" i="32"/>
  <c r="AA342" i="32"/>
  <c r="AB342" i="32"/>
  <c r="AA343" i="32"/>
  <c r="AB343" i="32"/>
  <c r="AA344" i="32"/>
  <c r="AB344" i="32"/>
  <c r="AA345" i="32"/>
  <c r="AB345" i="32"/>
  <c r="AA346" i="32"/>
  <c r="AB346" i="32"/>
  <c r="AA347" i="32"/>
  <c r="AB347" i="32"/>
  <c r="AA348" i="32"/>
  <c r="AB348" i="32"/>
  <c r="AA349" i="32"/>
  <c r="AB349" i="32"/>
  <c r="AA350" i="32"/>
  <c r="AB350" i="32"/>
  <c r="AA351" i="32"/>
  <c r="AB351" i="32"/>
  <c r="AA352" i="32"/>
  <c r="AB352" i="32"/>
  <c r="AA353" i="32"/>
  <c r="AB353" i="32"/>
  <c r="AA354" i="32"/>
  <c r="AB354" i="32"/>
  <c r="AA355" i="32"/>
  <c r="AB355" i="32"/>
  <c r="AA356" i="32"/>
  <c r="AB356" i="32"/>
  <c r="AA357" i="32"/>
  <c r="AB357" i="32"/>
  <c r="AA358" i="32"/>
  <c r="AB358" i="32"/>
  <c r="AA359" i="32"/>
  <c r="AB359" i="32"/>
  <c r="AA360" i="32"/>
  <c r="AB360" i="32"/>
  <c r="AA361" i="32"/>
  <c r="AB361" i="32"/>
  <c r="AA362" i="32"/>
  <c r="AB362" i="32"/>
  <c r="AA363" i="32"/>
  <c r="AB363" i="32"/>
  <c r="AA364" i="32"/>
  <c r="AB364" i="32"/>
  <c r="AA365" i="32"/>
  <c r="AB365" i="32"/>
  <c r="AA366" i="32"/>
  <c r="AB366" i="32"/>
  <c r="AA367" i="32"/>
  <c r="AB367" i="32"/>
  <c r="AA368" i="32"/>
  <c r="AB368" i="32"/>
  <c r="AA369" i="32"/>
  <c r="AB369" i="32"/>
  <c r="AA370" i="32"/>
  <c r="AB370" i="32"/>
  <c r="AA371" i="32"/>
  <c r="AB371" i="32"/>
  <c r="AA372" i="32"/>
  <c r="AB372" i="32"/>
  <c r="AA373" i="32"/>
  <c r="AB373" i="32"/>
  <c r="AA374" i="32"/>
  <c r="AB374" i="32"/>
  <c r="AA375" i="32"/>
  <c r="AB375" i="32"/>
  <c r="AA376" i="32"/>
  <c r="AB376" i="32"/>
  <c r="AA377" i="32"/>
  <c r="AB377" i="32"/>
  <c r="AA378" i="32"/>
  <c r="AB378" i="32"/>
  <c r="AA379" i="32"/>
  <c r="AB379" i="32"/>
  <c r="AA380" i="32"/>
  <c r="AB380" i="32"/>
  <c r="AA381" i="32"/>
  <c r="AB381" i="32"/>
  <c r="AA382" i="32"/>
  <c r="AB382" i="32"/>
  <c r="AA383" i="32"/>
  <c r="AB383" i="32"/>
  <c r="AA384" i="32"/>
  <c r="AB384" i="32"/>
  <c r="AA385" i="32"/>
  <c r="AB385" i="32"/>
  <c r="AA386" i="32"/>
  <c r="AB386" i="32"/>
  <c r="AA387" i="32"/>
  <c r="AB387" i="32"/>
  <c r="AA388" i="32"/>
  <c r="AB388" i="32"/>
  <c r="AA389" i="32"/>
  <c r="AB389" i="32"/>
  <c r="AA390" i="32"/>
  <c r="AB390" i="32"/>
  <c r="AA391" i="32"/>
  <c r="AB391" i="32"/>
  <c r="AA392" i="32"/>
  <c r="AB392" i="32"/>
  <c r="AA393" i="32"/>
  <c r="AB393" i="32"/>
  <c r="AA394" i="32"/>
  <c r="AB394" i="32"/>
  <c r="AA395" i="32"/>
  <c r="AB395" i="32"/>
  <c r="AA396" i="32"/>
  <c r="AB396" i="32"/>
  <c r="AA397" i="32"/>
  <c r="AB397" i="32"/>
  <c r="AA398" i="32"/>
  <c r="AB398" i="32"/>
  <c r="AA399" i="32"/>
  <c r="AB399" i="32"/>
  <c r="AA400" i="32"/>
  <c r="AB400" i="32"/>
  <c r="AA401" i="32"/>
  <c r="AB401" i="32"/>
  <c r="AA402" i="32"/>
  <c r="AB402" i="32"/>
  <c r="AA403" i="32"/>
  <c r="AB403" i="32"/>
  <c r="AA404" i="32"/>
  <c r="AB404" i="32"/>
  <c r="AA405" i="32"/>
  <c r="AB405" i="32"/>
  <c r="AA406" i="32"/>
  <c r="AB406" i="32"/>
  <c r="AA407" i="32"/>
  <c r="AB407" i="32"/>
  <c r="AA408" i="32"/>
  <c r="AB408" i="32"/>
  <c r="AA409" i="32"/>
  <c r="AB409" i="32"/>
  <c r="AA410" i="32"/>
  <c r="AB410" i="32"/>
  <c r="AA411" i="32"/>
  <c r="AB411" i="32"/>
  <c r="AA412" i="32"/>
  <c r="AB412" i="32"/>
  <c r="AA413" i="32"/>
  <c r="AB413" i="32"/>
  <c r="AA414" i="32"/>
  <c r="AB414" i="32"/>
  <c r="AA415" i="32"/>
  <c r="AB415" i="32"/>
  <c r="AA416" i="32"/>
  <c r="AB416" i="32"/>
  <c r="AA417" i="32"/>
  <c r="AB417" i="32"/>
  <c r="AA418" i="32"/>
  <c r="AB418" i="32"/>
  <c r="AA419" i="32"/>
  <c r="AB419" i="32"/>
  <c r="AA420" i="32"/>
  <c r="AB420" i="32"/>
  <c r="AA421" i="32"/>
  <c r="AB421" i="32"/>
  <c r="AA422" i="32"/>
  <c r="AB422" i="32"/>
  <c r="AA423" i="32"/>
  <c r="AB423" i="32"/>
  <c r="AA424" i="32"/>
  <c r="AB424" i="32"/>
  <c r="AA425" i="32"/>
  <c r="AB425" i="32"/>
  <c r="AA426" i="32"/>
  <c r="AB426" i="32"/>
  <c r="AA427" i="32"/>
  <c r="AB427" i="32"/>
  <c r="AA428" i="32"/>
  <c r="AB428" i="32"/>
  <c r="AA429" i="32"/>
  <c r="AB429" i="32"/>
  <c r="AA430" i="32"/>
  <c r="AB430" i="32"/>
  <c r="AA431" i="32"/>
  <c r="AB431" i="32"/>
  <c r="AA432" i="32"/>
  <c r="AB432" i="32"/>
  <c r="AA433" i="32"/>
  <c r="AB433" i="32"/>
  <c r="AA434" i="32"/>
  <c r="AB434" i="32"/>
  <c r="AA435" i="32"/>
  <c r="AB435" i="32"/>
  <c r="AA436" i="32"/>
  <c r="AB436" i="32"/>
  <c r="AA437" i="32"/>
  <c r="AB437" i="32"/>
  <c r="AA438" i="32"/>
  <c r="AB438" i="32"/>
  <c r="AA439" i="32"/>
  <c r="AB439" i="32"/>
  <c r="AA440" i="32"/>
  <c r="AB440" i="32"/>
  <c r="AA441" i="32"/>
  <c r="AB441" i="32"/>
  <c r="AA442" i="32"/>
  <c r="AB442" i="32"/>
  <c r="AA443" i="32"/>
  <c r="AB443" i="32"/>
  <c r="AA444" i="32"/>
  <c r="AB444" i="32"/>
  <c r="AA445" i="32"/>
  <c r="AB445" i="32"/>
  <c r="AA446" i="32"/>
  <c r="AB446" i="32"/>
  <c r="AA447" i="32"/>
  <c r="AB447" i="32"/>
  <c r="AA448" i="32"/>
  <c r="AB448" i="32"/>
  <c r="AA449" i="32"/>
  <c r="AB449" i="32"/>
  <c r="AA450" i="32"/>
  <c r="AB450" i="32"/>
  <c r="AA451" i="32"/>
  <c r="AB451" i="32"/>
  <c r="AA452" i="32"/>
  <c r="AB452" i="32"/>
  <c r="AA453" i="32"/>
  <c r="AB453" i="32"/>
  <c r="AA454" i="32"/>
  <c r="AB454" i="32"/>
  <c r="AA455" i="32"/>
  <c r="AB455" i="32"/>
  <c r="AA456" i="32"/>
  <c r="AB456" i="32"/>
  <c r="AA457" i="32"/>
  <c r="AB457" i="32"/>
  <c r="AA458" i="32"/>
  <c r="AB458" i="32"/>
  <c r="AA459" i="32"/>
  <c r="AB459" i="32"/>
  <c r="AA460" i="32"/>
  <c r="AB460" i="32"/>
  <c r="AA461" i="32"/>
  <c r="AB461" i="32"/>
  <c r="AA462" i="32"/>
  <c r="AB462" i="32"/>
  <c r="AA463" i="32"/>
  <c r="AB463" i="32"/>
  <c r="AA464" i="32"/>
  <c r="AB464" i="32"/>
  <c r="AA465" i="32"/>
  <c r="AB465" i="32"/>
  <c r="AA466" i="32"/>
  <c r="AB466" i="32"/>
  <c r="AA467" i="32"/>
  <c r="AB467" i="32"/>
  <c r="AA468" i="32"/>
  <c r="AB468" i="32"/>
  <c r="AA469" i="32"/>
  <c r="AB469" i="32"/>
  <c r="AA470" i="32"/>
  <c r="AB470" i="32"/>
  <c r="AA471" i="32"/>
  <c r="AB471" i="32"/>
  <c r="AA472" i="32"/>
  <c r="AB472" i="32"/>
  <c r="AA473" i="32"/>
  <c r="AB473" i="32"/>
  <c r="AA474" i="32"/>
  <c r="AB474" i="32"/>
  <c r="AA475" i="32"/>
  <c r="AB475" i="32"/>
  <c r="AA476" i="32"/>
  <c r="AB476" i="32"/>
  <c r="AA477" i="32"/>
  <c r="AB477" i="32"/>
  <c r="AA478" i="32"/>
  <c r="AB478" i="32"/>
  <c r="AA479" i="32"/>
  <c r="AB479" i="32"/>
  <c r="AA480" i="32"/>
  <c r="AB480" i="32"/>
  <c r="AA481" i="32"/>
  <c r="AB481" i="32"/>
  <c r="AA482" i="32"/>
  <c r="AB482" i="32"/>
  <c r="AA483" i="32"/>
  <c r="AB483" i="32"/>
  <c r="AA484" i="32"/>
  <c r="AB484" i="32"/>
  <c r="AA485" i="32"/>
  <c r="AB485" i="32"/>
  <c r="AA486" i="32"/>
  <c r="AB486" i="32"/>
  <c r="AA487" i="32"/>
  <c r="AB487" i="32"/>
  <c r="AA488" i="32"/>
  <c r="AB488" i="32"/>
  <c r="AA489" i="32"/>
  <c r="AB489" i="32"/>
  <c r="AA490" i="32"/>
  <c r="AB490" i="32"/>
  <c r="AA491" i="32"/>
  <c r="AB491" i="32"/>
  <c r="AA492" i="32"/>
  <c r="AB492" i="32"/>
  <c r="AA493" i="32"/>
  <c r="AB493" i="32"/>
  <c r="AA494" i="32"/>
  <c r="AB494" i="32"/>
  <c r="AA495" i="32"/>
  <c r="AB495" i="32"/>
  <c r="AA496" i="32"/>
  <c r="AB496" i="32"/>
  <c r="AA497" i="32"/>
  <c r="AB497" i="32"/>
  <c r="AA498" i="32"/>
  <c r="AB498" i="32"/>
  <c r="AA499" i="32"/>
  <c r="AB499" i="32"/>
  <c r="AA500" i="32"/>
  <c r="AB500" i="32"/>
  <c r="AA501" i="32"/>
  <c r="AB501" i="32"/>
  <c r="AA502" i="32"/>
  <c r="AB502" i="32"/>
  <c r="AA503" i="32"/>
  <c r="AB503" i="32"/>
  <c r="AA504" i="32"/>
  <c r="AB504" i="32"/>
  <c r="AA505" i="32"/>
  <c r="AB505" i="32"/>
  <c r="AA506" i="32"/>
  <c r="AB506" i="32"/>
  <c r="AA507" i="32"/>
  <c r="AB507" i="32"/>
  <c r="AA508" i="32"/>
  <c r="AB508" i="32"/>
  <c r="AA509" i="32"/>
  <c r="AB509" i="32"/>
  <c r="AA510" i="32"/>
  <c r="AB510" i="32"/>
  <c r="AA511" i="32"/>
  <c r="AB511" i="32"/>
  <c r="AA512" i="32"/>
  <c r="AB512" i="32"/>
  <c r="AA513" i="32"/>
  <c r="AB513" i="32"/>
  <c r="AA514" i="32"/>
  <c r="AB514" i="32"/>
  <c r="AA515" i="32"/>
  <c r="AB515" i="32"/>
  <c r="AA516" i="32"/>
  <c r="AB516" i="32"/>
  <c r="AA517" i="32"/>
  <c r="AB517" i="32"/>
  <c r="AA518" i="32"/>
  <c r="AB518" i="32"/>
  <c r="AA519" i="32"/>
  <c r="AB519" i="32"/>
  <c r="AA520" i="32"/>
  <c r="AB520" i="32"/>
  <c r="AA521" i="32"/>
  <c r="AB521" i="32"/>
  <c r="AA522" i="32"/>
  <c r="AB522" i="32"/>
  <c r="AA523" i="32"/>
  <c r="AB523" i="32"/>
  <c r="AA524" i="32"/>
  <c r="AB524" i="32"/>
  <c r="AA525" i="32"/>
  <c r="AB525" i="32"/>
  <c r="AA526" i="32"/>
  <c r="AB526" i="32"/>
  <c r="AA527" i="32"/>
  <c r="AB527" i="32"/>
  <c r="AA528" i="32"/>
  <c r="AB528" i="32"/>
  <c r="AA529" i="32"/>
  <c r="AB529" i="32"/>
  <c r="AA530" i="32"/>
  <c r="AB530" i="32"/>
  <c r="AA531" i="32"/>
  <c r="AB531" i="32"/>
  <c r="AA532" i="32"/>
  <c r="AB532" i="32"/>
  <c r="AA533" i="32"/>
  <c r="AB533" i="32"/>
  <c r="AA534" i="32"/>
  <c r="AB534" i="32"/>
  <c r="AA535" i="32"/>
  <c r="AB535" i="32"/>
  <c r="AA536" i="32"/>
  <c r="AB536" i="32"/>
  <c r="AA537" i="32"/>
  <c r="AB537" i="32"/>
  <c r="AA538" i="32"/>
  <c r="AB538" i="32"/>
  <c r="AA539" i="32"/>
  <c r="AB539" i="32"/>
  <c r="AA540" i="32"/>
  <c r="AB540" i="32"/>
  <c r="AA541" i="32"/>
  <c r="AB541" i="32"/>
  <c r="AA542" i="32"/>
  <c r="AB542" i="32"/>
  <c r="AA543" i="32"/>
  <c r="AB543" i="32"/>
  <c r="AA544" i="32"/>
  <c r="AB544" i="32"/>
  <c r="AA545" i="32"/>
  <c r="AB545" i="32"/>
  <c r="AA546" i="32"/>
  <c r="AB546" i="32"/>
  <c r="AA547" i="32"/>
  <c r="AB547" i="32"/>
  <c r="AA548" i="32"/>
  <c r="AB548" i="32"/>
  <c r="AA549" i="32"/>
  <c r="AB549" i="32"/>
  <c r="AA550" i="32"/>
  <c r="AB550" i="32"/>
  <c r="AA551" i="32"/>
  <c r="AB551" i="32"/>
  <c r="AA552" i="32"/>
  <c r="AB552" i="32"/>
  <c r="AA553" i="32"/>
  <c r="AB553" i="32"/>
  <c r="AA554" i="32"/>
  <c r="AB554" i="32"/>
  <c r="AA555" i="32"/>
  <c r="AB555" i="32"/>
  <c r="AA556" i="32"/>
  <c r="AB556" i="32"/>
  <c r="AA557" i="32"/>
  <c r="AB557" i="32"/>
  <c r="AA558" i="32"/>
  <c r="AB558" i="32"/>
  <c r="AA559" i="32"/>
  <c r="AB559" i="32"/>
  <c r="AA560" i="32"/>
  <c r="AB560" i="32"/>
  <c r="AA561" i="32"/>
  <c r="AB561" i="32"/>
  <c r="AA562" i="32"/>
  <c r="AB562" i="32"/>
  <c r="AA563" i="32"/>
  <c r="AB563" i="32"/>
  <c r="AA564" i="32"/>
  <c r="AB564" i="32"/>
  <c r="AA565" i="32"/>
  <c r="AB565" i="32"/>
  <c r="AA566" i="32"/>
  <c r="AB566" i="32"/>
  <c r="AA567" i="32"/>
  <c r="AB567" i="32"/>
  <c r="AA568" i="32"/>
  <c r="AB568" i="32"/>
  <c r="AA569" i="32"/>
  <c r="AB569" i="32"/>
  <c r="AA570" i="32"/>
  <c r="AB570" i="32"/>
  <c r="AA571" i="32"/>
  <c r="AB571" i="32"/>
  <c r="AA572" i="32"/>
  <c r="AB572" i="32"/>
  <c r="AA573" i="32"/>
  <c r="AB573" i="32"/>
  <c r="AA574" i="32"/>
  <c r="AB574" i="32"/>
  <c r="AA575" i="32"/>
  <c r="AB575" i="32"/>
  <c r="AA576" i="32"/>
  <c r="AB576" i="32"/>
  <c r="AA577" i="32"/>
  <c r="AB577" i="32"/>
  <c r="AA578" i="32"/>
  <c r="AB578" i="32"/>
  <c r="AA579" i="32"/>
  <c r="AB579" i="32"/>
  <c r="AA580" i="32"/>
  <c r="AB580" i="32"/>
  <c r="AA581" i="32"/>
  <c r="AB581" i="32"/>
  <c r="AA582" i="32"/>
  <c r="AB582" i="32"/>
  <c r="AA583" i="32"/>
  <c r="AB583" i="32"/>
  <c r="AA584" i="32"/>
  <c r="AB584" i="32"/>
  <c r="AA585" i="32"/>
  <c r="AB585" i="32"/>
  <c r="AA586" i="32"/>
  <c r="AB586" i="32"/>
  <c r="AA587" i="32"/>
  <c r="AB587" i="32"/>
  <c r="AA588" i="32"/>
  <c r="AB588" i="32"/>
  <c r="AA589" i="32"/>
  <c r="AB589" i="32"/>
  <c r="AA590" i="32"/>
  <c r="AB590" i="32"/>
  <c r="AA591" i="32"/>
  <c r="AB591" i="32"/>
  <c r="AA592" i="32"/>
  <c r="AB592" i="32"/>
  <c r="AA593" i="32"/>
  <c r="AB593" i="32"/>
  <c r="AA594" i="32"/>
  <c r="AB594" i="32"/>
  <c r="AA595" i="32"/>
  <c r="AB595" i="32"/>
  <c r="AA596" i="32"/>
  <c r="AB596" i="32"/>
  <c r="AA597" i="32"/>
  <c r="AB597" i="32"/>
  <c r="AA598" i="32"/>
  <c r="AB598" i="32"/>
  <c r="AA599" i="32"/>
  <c r="AB599" i="32"/>
  <c r="AA600" i="32"/>
  <c r="AB600" i="32"/>
  <c r="AA601" i="32"/>
  <c r="AB601" i="32"/>
  <c r="AA602" i="32"/>
  <c r="AB602" i="32"/>
  <c r="AA603" i="32"/>
  <c r="AB603" i="32"/>
  <c r="AA604" i="32"/>
  <c r="AB604" i="32"/>
  <c r="AA605" i="32"/>
  <c r="AB605" i="32"/>
  <c r="AA606" i="32"/>
  <c r="AB606" i="32"/>
  <c r="AA607" i="32"/>
  <c r="AB607" i="32"/>
  <c r="AA608" i="32"/>
  <c r="AB608" i="32"/>
  <c r="AA609" i="32"/>
  <c r="AB609" i="32"/>
  <c r="AA610" i="32"/>
  <c r="AB610" i="32"/>
  <c r="AA611" i="32"/>
  <c r="AB611" i="32"/>
  <c r="AA612" i="32"/>
  <c r="AB612" i="32"/>
  <c r="AA613" i="32"/>
  <c r="AB613" i="32"/>
  <c r="AA614" i="32"/>
  <c r="AB614" i="32"/>
  <c r="AA615" i="32"/>
  <c r="AB615" i="32"/>
  <c r="AA616" i="32"/>
  <c r="AB616" i="32"/>
  <c r="AA617" i="32"/>
  <c r="AB617" i="32"/>
  <c r="AA618" i="32"/>
  <c r="AB618" i="32"/>
  <c r="AA619" i="32"/>
  <c r="AB619" i="32"/>
  <c r="AA620" i="32"/>
  <c r="AB620" i="32"/>
  <c r="AA621" i="32"/>
  <c r="AB621" i="32"/>
  <c r="AA622" i="32"/>
  <c r="AB622" i="32"/>
  <c r="AA623" i="32"/>
  <c r="AB623" i="32"/>
  <c r="AA624" i="32"/>
  <c r="AB624" i="32"/>
  <c r="AA625" i="32"/>
  <c r="AB625" i="32"/>
  <c r="AA626" i="32"/>
  <c r="AB626" i="32"/>
  <c r="AA627" i="32"/>
  <c r="AB627" i="32"/>
  <c r="AA628" i="32"/>
  <c r="AB628" i="32"/>
  <c r="AA629" i="32"/>
  <c r="AB629" i="32"/>
  <c r="AA630" i="32"/>
  <c r="AB630" i="32"/>
  <c r="AA631" i="32"/>
  <c r="AB631" i="32"/>
  <c r="AA632" i="32"/>
  <c r="AB632" i="32"/>
  <c r="AA633" i="32"/>
  <c r="AB633" i="32"/>
  <c r="AA634" i="32"/>
  <c r="AB634" i="32"/>
  <c r="AA635" i="32"/>
  <c r="AB635" i="32"/>
  <c r="AA636" i="32"/>
  <c r="AB636" i="32"/>
  <c r="AA637" i="32"/>
  <c r="AB637" i="32"/>
  <c r="AA638" i="32"/>
  <c r="AB638" i="32"/>
  <c r="AA639" i="32"/>
  <c r="AB639" i="32"/>
  <c r="AA640" i="32"/>
  <c r="AB640" i="32"/>
  <c r="AA641" i="32"/>
  <c r="AB641" i="32"/>
  <c r="AA642" i="32"/>
  <c r="AB642" i="32"/>
  <c r="AA643" i="32"/>
  <c r="AB643" i="32"/>
  <c r="AA644" i="32"/>
  <c r="AB644" i="32"/>
  <c r="AA645" i="32"/>
  <c r="AB645" i="32"/>
  <c r="AA646" i="32"/>
  <c r="AB646" i="32"/>
  <c r="AA647" i="32"/>
  <c r="AB647" i="32"/>
  <c r="AA648" i="32"/>
  <c r="AB648" i="32"/>
  <c r="AA649" i="32"/>
  <c r="AB649" i="32"/>
  <c r="AA650" i="32"/>
  <c r="AB650" i="32"/>
  <c r="AA651" i="32"/>
  <c r="AB651" i="32"/>
  <c r="AA652" i="32"/>
  <c r="AB652" i="32"/>
  <c r="AA653" i="32"/>
  <c r="AB653" i="32"/>
  <c r="AA654" i="32"/>
  <c r="AB654" i="32"/>
  <c r="AA655" i="32"/>
  <c r="AB655" i="32"/>
  <c r="AA656" i="32"/>
  <c r="AB656" i="32"/>
  <c r="AA657" i="32"/>
  <c r="AB657" i="32"/>
  <c r="AA658" i="32"/>
  <c r="AB658" i="32"/>
  <c r="AA659" i="32"/>
  <c r="AB659" i="32"/>
  <c r="AA660" i="32"/>
  <c r="AB660" i="32"/>
  <c r="AA661" i="32"/>
  <c r="AB661" i="32"/>
  <c r="AA662" i="32"/>
  <c r="AB662" i="32"/>
  <c r="AA663" i="32"/>
  <c r="AB663" i="32"/>
  <c r="AA664" i="32"/>
  <c r="AB664" i="32"/>
  <c r="AA665" i="32"/>
  <c r="AB665" i="32"/>
  <c r="AA666" i="32"/>
  <c r="AB666" i="32"/>
  <c r="AA667" i="32"/>
  <c r="AB667" i="32"/>
  <c r="AA668" i="32"/>
  <c r="AB668" i="32"/>
  <c r="AA669" i="32"/>
  <c r="AB669" i="32"/>
  <c r="AA670" i="32"/>
  <c r="AB670" i="32"/>
  <c r="AA671" i="32"/>
  <c r="AB671" i="32"/>
  <c r="AA672" i="32"/>
  <c r="AB672" i="32"/>
  <c r="AA673" i="32"/>
  <c r="AB673" i="32"/>
  <c r="AA674" i="32"/>
  <c r="AB674" i="32"/>
  <c r="AA675" i="32"/>
  <c r="AB675" i="32"/>
  <c r="AA676" i="32"/>
  <c r="AB676" i="32"/>
  <c r="AA677" i="32"/>
  <c r="AB677" i="32"/>
  <c r="AA678" i="32"/>
  <c r="AB678" i="32"/>
  <c r="AA679" i="32"/>
  <c r="AB679" i="32"/>
  <c r="AA680" i="32"/>
  <c r="AB680" i="32"/>
  <c r="AA681" i="32"/>
  <c r="AB681" i="32"/>
  <c r="AA682" i="32"/>
  <c r="AB682" i="32"/>
  <c r="AA683" i="32"/>
  <c r="AB683" i="32"/>
  <c r="AA684" i="32"/>
  <c r="AB684" i="32"/>
  <c r="AA685" i="32"/>
  <c r="AB685" i="32"/>
  <c r="AA686" i="32"/>
  <c r="AB686" i="32"/>
  <c r="AA687" i="32"/>
  <c r="AB687" i="32"/>
  <c r="AA688" i="32"/>
  <c r="AB688" i="32"/>
  <c r="AA689" i="32"/>
  <c r="AB689" i="32"/>
  <c r="AA690" i="32"/>
  <c r="AB690" i="32"/>
  <c r="AA691" i="32"/>
  <c r="AB691" i="32"/>
  <c r="AA692" i="32"/>
  <c r="AB692" i="32"/>
  <c r="AA693" i="32"/>
  <c r="AB693" i="32"/>
  <c r="AA694" i="32"/>
  <c r="AB694" i="32"/>
  <c r="AA695" i="32"/>
  <c r="AB695" i="32"/>
  <c r="AA696" i="32"/>
  <c r="AB696" i="32"/>
  <c r="AA697" i="32"/>
  <c r="AB697" i="32"/>
  <c r="AA698" i="32"/>
  <c r="AB698" i="32"/>
  <c r="AA699" i="32"/>
  <c r="AB699" i="32"/>
  <c r="AA700" i="32"/>
  <c r="AB700" i="32"/>
  <c r="AA701" i="32"/>
  <c r="AB701" i="32"/>
  <c r="AA702" i="32"/>
  <c r="AB702" i="32"/>
  <c r="AA703" i="32"/>
  <c r="AB703" i="32"/>
  <c r="AA704" i="32"/>
  <c r="AB704" i="32"/>
  <c r="AA705" i="32"/>
  <c r="AB705" i="32"/>
  <c r="AA706" i="32"/>
  <c r="AB706" i="32"/>
  <c r="AA707" i="32"/>
  <c r="AB707" i="32"/>
  <c r="AA708" i="32"/>
  <c r="AB708" i="32"/>
  <c r="AA709" i="32"/>
  <c r="AB709" i="32"/>
  <c r="AA710" i="32"/>
  <c r="AB710" i="32"/>
  <c r="AA711" i="32"/>
  <c r="AB711" i="32"/>
  <c r="AA712" i="32"/>
  <c r="AB712" i="32"/>
  <c r="AA713" i="32"/>
  <c r="AB713" i="32"/>
  <c r="AA714" i="32"/>
  <c r="AB714" i="32"/>
  <c r="AA715" i="32"/>
  <c r="AB715" i="32"/>
  <c r="AA716" i="32"/>
  <c r="AB716" i="32"/>
  <c r="AA717" i="32"/>
  <c r="AB717" i="32"/>
  <c r="AA718" i="32"/>
  <c r="AB718" i="32"/>
  <c r="AA719" i="32"/>
  <c r="AB719" i="32"/>
  <c r="AA720" i="32"/>
  <c r="AB720" i="32"/>
  <c r="AA721" i="32"/>
  <c r="AB721" i="32"/>
  <c r="AA722" i="32"/>
  <c r="AB722" i="32"/>
  <c r="AA723" i="32"/>
  <c r="AB723" i="32"/>
  <c r="AA724" i="32"/>
  <c r="AB724" i="32"/>
  <c r="AA725" i="32"/>
  <c r="AB725" i="32"/>
  <c r="AA726" i="32"/>
  <c r="AB726" i="32"/>
  <c r="AA727" i="32"/>
  <c r="AB727" i="32"/>
  <c r="AA728" i="32"/>
  <c r="AB728" i="32"/>
  <c r="AA729" i="32"/>
  <c r="AB729" i="32"/>
  <c r="AA730" i="32"/>
  <c r="AB730" i="32"/>
  <c r="AA731" i="32"/>
  <c r="AB731" i="32"/>
  <c r="AA732" i="32"/>
  <c r="AB732" i="32"/>
  <c r="AA733" i="32"/>
  <c r="AB733" i="32"/>
  <c r="AA734" i="32"/>
  <c r="AB734" i="32"/>
  <c r="AA735" i="32"/>
  <c r="AB735" i="32"/>
  <c r="AA736" i="32"/>
  <c r="AB736" i="32"/>
  <c r="AA737" i="32"/>
  <c r="AB737" i="32"/>
  <c r="AA738" i="32"/>
  <c r="AB738" i="32"/>
  <c r="AA739" i="32"/>
  <c r="AB739" i="32"/>
  <c r="AA740" i="32"/>
  <c r="AB740" i="32"/>
  <c r="AA741" i="32"/>
  <c r="AB741" i="32"/>
  <c r="AA742" i="32"/>
  <c r="AB742" i="32"/>
  <c r="AA743" i="32"/>
  <c r="AB743" i="32"/>
  <c r="AA744" i="32"/>
  <c r="AB744" i="32"/>
  <c r="AA745" i="32"/>
  <c r="AB745" i="32"/>
  <c r="AA746" i="32"/>
  <c r="AB746" i="32"/>
  <c r="AA747" i="32"/>
  <c r="AB747" i="32"/>
  <c r="AA748" i="32"/>
  <c r="AB748" i="32"/>
  <c r="AA749" i="32"/>
  <c r="AB749" i="32"/>
  <c r="AA750" i="32"/>
  <c r="AB750" i="32"/>
  <c r="AA751" i="32"/>
  <c r="AB751" i="32"/>
  <c r="AA752" i="32"/>
  <c r="AB752" i="32"/>
  <c r="AA753" i="32"/>
  <c r="AB753" i="32"/>
  <c r="AA754" i="32"/>
  <c r="AB754" i="32"/>
  <c r="AA755" i="32"/>
  <c r="AB755" i="32"/>
  <c r="AA756" i="32"/>
  <c r="AB756" i="32"/>
  <c r="AA757" i="32"/>
  <c r="AB757" i="32"/>
  <c r="AA758" i="32"/>
  <c r="AB758" i="32"/>
  <c r="AA759" i="32"/>
  <c r="AB759" i="32"/>
  <c r="AA760" i="32"/>
  <c r="AB760" i="32"/>
  <c r="AA761" i="32"/>
  <c r="AB761" i="32"/>
  <c r="AA762" i="32"/>
  <c r="AB762" i="32"/>
  <c r="AA763" i="32"/>
  <c r="AB763" i="32"/>
  <c r="AA764" i="32"/>
  <c r="AB764" i="32"/>
  <c r="AA765" i="32"/>
  <c r="AB765" i="32"/>
  <c r="AA766" i="32"/>
  <c r="AB766" i="32"/>
  <c r="AA767" i="32"/>
  <c r="AB767" i="32"/>
  <c r="AA768" i="32"/>
  <c r="AB768" i="32"/>
  <c r="AA769" i="32"/>
  <c r="AB769" i="32"/>
  <c r="AA770" i="32"/>
  <c r="AB770" i="32"/>
  <c r="AA771" i="32"/>
  <c r="AB771" i="32"/>
  <c r="AA772" i="32"/>
  <c r="AB772" i="32"/>
  <c r="AA773" i="32"/>
  <c r="AB773" i="32"/>
  <c r="AA774" i="32"/>
  <c r="AB774" i="32"/>
  <c r="AA775" i="32"/>
  <c r="AB775" i="32"/>
  <c r="AA776" i="32"/>
  <c r="AB776" i="32"/>
  <c r="AA777" i="32"/>
  <c r="AB777" i="32"/>
  <c r="AA778" i="32"/>
  <c r="AB778" i="32"/>
  <c r="AA779" i="32"/>
  <c r="AB779" i="32"/>
  <c r="AA780" i="32"/>
  <c r="AB780" i="32"/>
  <c r="AA781" i="32"/>
  <c r="AB781" i="32"/>
  <c r="AA782" i="32"/>
  <c r="AB782" i="32"/>
  <c r="AA783" i="32"/>
  <c r="AB783" i="32"/>
  <c r="AA784" i="32"/>
  <c r="AB784" i="32"/>
  <c r="AA785" i="32"/>
  <c r="AB785" i="32"/>
  <c r="AA786" i="32"/>
  <c r="AB786" i="32"/>
  <c r="AA787" i="32"/>
  <c r="AB787" i="32"/>
  <c r="AA788" i="32"/>
  <c r="AB788" i="32"/>
  <c r="AA789" i="32"/>
  <c r="AB789" i="32"/>
  <c r="AA790" i="32"/>
  <c r="AB790" i="32"/>
  <c r="AA791" i="32"/>
  <c r="AB791" i="32"/>
  <c r="AA792" i="32"/>
  <c r="AB792" i="32"/>
  <c r="AA793" i="32"/>
  <c r="AB793" i="32"/>
  <c r="AA794" i="32"/>
  <c r="AB794" i="32"/>
  <c r="AA795" i="32"/>
  <c r="AB795" i="32"/>
  <c r="AA796" i="32"/>
  <c r="AB796" i="32"/>
  <c r="AA797" i="32"/>
  <c r="AB797" i="32"/>
  <c r="AA798" i="32"/>
  <c r="AB798" i="32"/>
  <c r="AA799" i="32"/>
  <c r="AB799" i="32"/>
  <c r="AA800" i="32"/>
  <c r="AB800" i="32"/>
  <c r="AA801" i="32"/>
  <c r="AB801" i="32"/>
  <c r="AA802" i="32"/>
  <c r="AB802" i="32"/>
  <c r="AA803" i="32"/>
  <c r="AB803" i="32"/>
  <c r="AA804" i="32"/>
  <c r="AB804" i="32"/>
  <c r="AA805" i="32"/>
  <c r="AB805" i="32"/>
  <c r="AA806" i="32"/>
  <c r="AB806" i="32"/>
  <c r="AA807" i="32"/>
  <c r="AB807" i="32"/>
  <c r="AA808" i="32"/>
  <c r="AB808" i="32"/>
  <c r="AA809" i="32"/>
  <c r="AB809" i="32"/>
  <c r="AA810" i="32"/>
  <c r="AB810" i="32"/>
  <c r="AA811" i="32"/>
  <c r="AB811" i="32"/>
  <c r="AA812" i="32"/>
  <c r="AB812" i="32"/>
  <c r="AA813" i="32"/>
  <c r="AB813" i="32"/>
  <c r="AA814" i="32"/>
  <c r="AB814" i="32"/>
  <c r="AA815" i="32"/>
  <c r="AB815" i="32"/>
  <c r="AA816" i="32"/>
  <c r="AB816" i="32"/>
  <c r="AA817" i="32"/>
  <c r="AB817" i="32"/>
  <c r="AA818" i="32"/>
  <c r="AB818" i="32"/>
  <c r="AA819" i="32"/>
  <c r="AB819" i="32"/>
  <c r="AA820" i="32"/>
  <c r="AB820" i="32"/>
  <c r="AA821" i="32"/>
  <c r="AB821" i="32"/>
  <c r="AA822" i="32"/>
  <c r="AB822" i="32"/>
  <c r="AA823" i="32"/>
  <c r="AB823" i="32"/>
  <c r="AA824" i="32"/>
  <c r="AB824" i="32"/>
  <c r="AA825" i="32"/>
  <c r="AB825" i="32"/>
  <c r="AA826" i="32"/>
  <c r="AB826" i="32"/>
  <c r="AA827" i="32"/>
  <c r="AB827" i="32"/>
  <c r="AA828" i="32"/>
  <c r="AB828" i="32"/>
  <c r="AA829" i="32"/>
  <c r="AB829" i="32"/>
  <c r="AA830" i="32"/>
  <c r="AB830" i="32"/>
  <c r="AA831" i="32"/>
  <c r="AB831" i="32"/>
  <c r="AA832" i="32"/>
  <c r="AB832" i="32"/>
  <c r="AA833" i="32"/>
  <c r="AB833" i="32"/>
  <c r="AA834" i="32"/>
  <c r="AB834" i="32"/>
  <c r="AA835" i="32"/>
  <c r="AB835" i="32"/>
  <c r="AA836" i="32"/>
  <c r="AB836" i="32"/>
  <c r="AA837" i="32"/>
  <c r="AB837" i="32"/>
  <c r="AA838" i="32"/>
  <c r="AB838" i="32"/>
  <c r="AA839" i="32"/>
  <c r="AB839" i="32"/>
  <c r="AA840" i="32"/>
  <c r="AB840" i="32"/>
  <c r="AA841" i="32"/>
  <c r="AB841" i="32"/>
  <c r="AA842" i="32"/>
  <c r="AB842" i="32"/>
  <c r="AA843" i="32"/>
  <c r="AB843" i="32"/>
  <c r="AA844" i="32"/>
  <c r="AB844" i="32"/>
  <c r="AA845" i="32"/>
  <c r="AB845" i="32"/>
  <c r="AA846" i="32"/>
  <c r="AB846" i="32"/>
  <c r="AA847" i="32"/>
  <c r="AB847" i="32"/>
  <c r="AA848" i="32"/>
  <c r="AB848" i="32"/>
  <c r="AA849" i="32"/>
  <c r="AB849" i="32"/>
  <c r="AA850" i="32"/>
  <c r="AB850" i="32"/>
  <c r="AA851" i="32"/>
  <c r="AB851" i="32"/>
  <c r="AA852" i="32"/>
  <c r="AB852" i="32"/>
  <c r="AA853" i="32"/>
  <c r="AB853" i="32"/>
  <c r="AA854" i="32"/>
  <c r="AB854" i="32"/>
  <c r="AA855" i="32"/>
  <c r="AB855" i="32"/>
  <c r="AA856" i="32"/>
  <c r="AB856" i="32"/>
  <c r="AA857" i="32"/>
  <c r="AB857" i="32"/>
  <c r="AA858" i="32"/>
  <c r="AB858" i="32"/>
  <c r="AA859" i="32"/>
  <c r="AB859" i="32"/>
  <c r="AA860" i="32"/>
  <c r="AB860" i="32"/>
  <c r="AA861" i="32"/>
  <c r="AB861" i="32"/>
  <c r="AA862" i="32"/>
  <c r="AB862" i="32"/>
  <c r="AA863" i="32"/>
  <c r="AB863" i="32"/>
  <c r="AA864" i="32"/>
  <c r="AB864" i="32"/>
  <c r="AA865" i="32"/>
  <c r="AB865" i="32"/>
  <c r="AA866" i="32"/>
  <c r="AB866" i="32"/>
  <c r="AA867" i="32"/>
  <c r="AB867" i="32"/>
  <c r="AA868" i="32"/>
  <c r="AB868" i="32"/>
  <c r="AA869" i="32"/>
  <c r="AB869" i="32"/>
  <c r="AA870" i="32"/>
  <c r="AB870" i="32"/>
  <c r="AA871" i="32"/>
  <c r="AB871" i="32"/>
  <c r="AA872" i="32"/>
  <c r="AB872" i="32"/>
  <c r="AA873" i="32"/>
  <c r="AB873" i="32"/>
  <c r="AA874" i="32"/>
  <c r="AB874" i="32"/>
  <c r="AA875" i="32"/>
  <c r="AB875" i="32"/>
  <c r="AA876" i="32"/>
  <c r="AB876" i="32"/>
  <c r="AA877" i="32"/>
  <c r="AB877" i="32"/>
  <c r="AA878" i="32"/>
  <c r="AB878" i="32"/>
  <c r="AA879" i="32"/>
  <c r="AB879" i="32"/>
  <c r="AA880" i="32"/>
  <c r="AB880" i="32"/>
  <c r="AA881" i="32"/>
  <c r="AB881" i="32"/>
  <c r="AA882" i="32"/>
  <c r="AB882" i="32"/>
  <c r="AA883" i="32"/>
  <c r="AB883" i="32"/>
  <c r="AA884" i="32"/>
  <c r="AB884" i="32"/>
  <c r="AA885" i="32"/>
  <c r="AB885" i="32"/>
  <c r="AA886" i="32"/>
  <c r="AB886" i="32"/>
  <c r="AA887" i="32"/>
  <c r="AB887" i="32"/>
  <c r="AA888" i="32"/>
  <c r="AB888" i="32"/>
  <c r="AA889" i="32"/>
  <c r="AB889" i="32"/>
  <c r="AA890" i="32"/>
  <c r="AB890" i="32"/>
  <c r="AA891" i="32"/>
  <c r="AB891" i="32"/>
  <c r="AA892" i="32"/>
  <c r="AB892" i="32"/>
  <c r="AA893" i="32"/>
  <c r="AB893" i="32"/>
  <c r="AA894" i="32"/>
  <c r="AB894" i="32"/>
  <c r="AA895" i="32"/>
  <c r="AB895" i="32"/>
  <c r="AA896" i="32"/>
  <c r="AB896" i="32"/>
  <c r="AA897" i="32"/>
  <c r="AB897" i="32"/>
  <c r="AA898" i="32"/>
  <c r="AB898" i="32"/>
  <c r="AA899" i="32"/>
  <c r="AB899" i="32"/>
  <c r="AA900" i="32"/>
  <c r="AB900" i="32"/>
  <c r="AA901" i="32"/>
  <c r="AB901" i="32"/>
  <c r="AA902" i="32"/>
  <c r="AB902" i="32"/>
  <c r="AA903" i="32"/>
  <c r="AB903" i="32"/>
  <c r="AA904" i="32"/>
  <c r="AB904" i="32"/>
  <c r="AA905" i="32"/>
  <c r="AB905" i="32"/>
  <c r="AA906" i="32"/>
  <c r="AB906" i="32"/>
  <c r="AA907" i="32"/>
  <c r="AB907" i="32"/>
  <c r="AB4" i="32"/>
  <c r="AA4" i="32"/>
  <c r="V5" i="32"/>
  <c r="W5" i="32"/>
  <c r="V6" i="32"/>
  <c r="W6" i="32"/>
  <c r="V7" i="32"/>
  <c r="W7" i="32"/>
  <c r="V8" i="32"/>
  <c r="W8" i="32"/>
  <c r="V9" i="32"/>
  <c r="W9" i="32"/>
  <c r="V10" i="32"/>
  <c r="W10" i="32"/>
  <c r="V11" i="32"/>
  <c r="W11" i="32"/>
  <c r="V12" i="32"/>
  <c r="W12" i="32"/>
  <c r="V13" i="32"/>
  <c r="W13" i="32"/>
  <c r="V14" i="32"/>
  <c r="W14" i="32"/>
  <c r="V15" i="32"/>
  <c r="W15" i="32"/>
  <c r="V16" i="32"/>
  <c r="W16" i="32"/>
  <c r="V17" i="32"/>
  <c r="W17" i="32"/>
  <c r="V18" i="32"/>
  <c r="W18" i="32"/>
  <c r="V19" i="32"/>
  <c r="W19" i="32"/>
  <c r="V20" i="32"/>
  <c r="W20" i="32"/>
  <c r="V21" i="32"/>
  <c r="W21" i="32"/>
  <c r="V22" i="32"/>
  <c r="W22" i="32"/>
  <c r="V23" i="32"/>
  <c r="W23" i="32"/>
  <c r="V24" i="32"/>
  <c r="W24" i="32"/>
  <c r="V25" i="32"/>
  <c r="W25" i="32"/>
  <c r="V26" i="32"/>
  <c r="W26" i="32"/>
  <c r="V27" i="32"/>
  <c r="W27" i="32"/>
  <c r="V28" i="32"/>
  <c r="W28" i="32"/>
  <c r="V29" i="32"/>
  <c r="W29" i="32"/>
  <c r="V30" i="32"/>
  <c r="W30" i="32"/>
  <c r="V31" i="32"/>
  <c r="W31" i="32"/>
  <c r="V32" i="32"/>
  <c r="W32" i="32"/>
  <c r="V33" i="32"/>
  <c r="W33" i="32"/>
  <c r="V34" i="32"/>
  <c r="W34" i="32"/>
  <c r="V35" i="32"/>
  <c r="W35" i="32"/>
  <c r="V36" i="32"/>
  <c r="W36" i="32"/>
  <c r="V37" i="32"/>
  <c r="W37" i="32"/>
  <c r="V38" i="32"/>
  <c r="W38" i="32"/>
  <c r="V39" i="32"/>
  <c r="W39" i="32"/>
  <c r="V40" i="32"/>
  <c r="W40" i="32"/>
  <c r="V41" i="32"/>
  <c r="W41" i="32"/>
  <c r="V42" i="32"/>
  <c r="W42" i="32"/>
  <c r="V43" i="32"/>
  <c r="W43" i="32"/>
  <c r="V44" i="32"/>
  <c r="W44" i="32"/>
  <c r="V45" i="32"/>
  <c r="W45" i="32"/>
  <c r="V46" i="32"/>
  <c r="W46" i="32"/>
  <c r="V47" i="32"/>
  <c r="W47" i="32"/>
  <c r="V48" i="32"/>
  <c r="W48" i="32"/>
  <c r="V49" i="32"/>
  <c r="W49" i="32"/>
  <c r="V50" i="32"/>
  <c r="W50" i="32"/>
  <c r="V51" i="32"/>
  <c r="W51" i="32"/>
  <c r="V52" i="32"/>
  <c r="W52" i="32"/>
  <c r="V53" i="32"/>
  <c r="W53" i="32"/>
  <c r="V54" i="32"/>
  <c r="W54" i="32"/>
  <c r="V55" i="32"/>
  <c r="W55" i="32"/>
  <c r="V56" i="32"/>
  <c r="W56" i="32"/>
  <c r="V57" i="32"/>
  <c r="W57" i="32"/>
  <c r="V58" i="32"/>
  <c r="W58" i="32"/>
  <c r="V59" i="32"/>
  <c r="W59" i="32"/>
  <c r="V60" i="32"/>
  <c r="W60" i="32"/>
  <c r="V61" i="32"/>
  <c r="W61" i="32"/>
  <c r="V62" i="32"/>
  <c r="W62" i="32"/>
  <c r="V63" i="32"/>
  <c r="W63" i="32"/>
  <c r="V64" i="32"/>
  <c r="W64" i="32"/>
  <c r="V65" i="32"/>
  <c r="W65" i="32"/>
  <c r="V66" i="32"/>
  <c r="W66" i="32"/>
  <c r="V67" i="32"/>
  <c r="W67" i="32"/>
  <c r="V68" i="32"/>
  <c r="W68" i="32"/>
  <c r="V69" i="32"/>
  <c r="W69" i="32"/>
  <c r="V70" i="32"/>
  <c r="W70" i="32"/>
  <c r="V71" i="32"/>
  <c r="W71" i="32"/>
  <c r="V72" i="32"/>
  <c r="W72" i="32"/>
  <c r="V73" i="32"/>
  <c r="W73" i="32"/>
  <c r="V74" i="32"/>
  <c r="W74" i="32"/>
  <c r="V75" i="32"/>
  <c r="W75" i="32"/>
  <c r="V76" i="32"/>
  <c r="W76" i="32"/>
  <c r="V77" i="32"/>
  <c r="W77" i="32"/>
  <c r="V78" i="32"/>
  <c r="W78" i="32"/>
  <c r="V79" i="32"/>
  <c r="W79" i="32"/>
  <c r="V80" i="32"/>
  <c r="W80" i="32"/>
  <c r="V81" i="32"/>
  <c r="W81" i="32"/>
  <c r="V82" i="32"/>
  <c r="W82" i="32"/>
  <c r="V83" i="32"/>
  <c r="W83" i="32"/>
  <c r="V84" i="32"/>
  <c r="W84" i="32"/>
  <c r="V85" i="32"/>
  <c r="W85" i="32"/>
  <c r="V86" i="32"/>
  <c r="W86" i="32"/>
  <c r="V87" i="32"/>
  <c r="W87" i="32"/>
  <c r="V88" i="32"/>
  <c r="W88" i="32"/>
  <c r="V89" i="32"/>
  <c r="W89" i="32"/>
  <c r="V90" i="32"/>
  <c r="W90" i="32"/>
  <c r="V91" i="32"/>
  <c r="W91" i="32"/>
  <c r="V92" i="32"/>
  <c r="W92" i="32"/>
  <c r="V93" i="32"/>
  <c r="W93" i="32"/>
  <c r="V94" i="32"/>
  <c r="W94" i="32"/>
  <c r="V95" i="32"/>
  <c r="W95" i="32"/>
  <c r="V96" i="32"/>
  <c r="W96" i="32"/>
  <c r="V97" i="32"/>
  <c r="W97" i="32"/>
  <c r="V98" i="32"/>
  <c r="W98" i="32"/>
  <c r="V99" i="32"/>
  <c r="W99" i="32"/>
  <c r="V100" i="32"/>
  <c r="W100" i="32"/>
  <c r="V101" i="32"/>
  <c r="W101" i="32"/>
  <c r="V102" i="32"/>
  <c r="W102" i="32"/>
  <c r="V103" i="32"/>
  <c r="W103" i="32"/>
  <c r="V104" i="32"/>
  <c r="W104" i="32"/>
  <c r="V105" i="32"/>
  <c r="W105" i="32"/>
  <c r="V106" i="32"/>
  <c r="W106" i="32"/>
  <c r="V107" i="32"/>
  <c r="W107" i="32"/>
  <c r="V108" i="32"/>
  <c r="W108" i="32"/>
  <c r="V109" i="32"/>
  <c r="W109" i="32"/>
  <c r="V110" i="32"/>
  <c r="W110" i="32"/>
  <c r="V111" i="32"/>
  <c r="W111" i="32"/>
  <c r="V112" i="32"/>
  <c r="W112" i="32"/>
  <c r="V113" i="32"/>
  <c r="W113" i="32"/>
  <c r="V114" i="32"/>
  <c r="W114" i="32"/>
  <c r="V115" i="32"/>
  <c r="W115" i="32"/>
  <c r="V116" i="32"/>
  <c r="W116" i="32"/>
  <c r="V117" i="32"/>
  <c r="W117" i="32"/>
  <c r="V118" i="32"/>
  <c r="W118" i="32"/>
  <c r="V119" i="32"/>
  <c r="W119" i="32"/>
  <c r="V120" i="32"/>
  <c r="W120" i="32"/>
  <c r="V121" i="32"/>
  <c r="W121" i="32"/>
  <c r="V122" i="32"/>
  <c r="W122" i="32"/>
  <c r="V123" i="32"/>
  <c r="W123" i="32"/>
  <c r="V124" i="32"/>
  <c r="W124" i="32"/>
  <c r="V125" i="32"/>
  <c r="W125" i="32"/>
  <c r="V126" i="32"/>
  <c r="W126" i="32"/>
  <c r="V127" i="32"/>
  <c r="W127" i="32"/>
  <c r="V128" i="32"/>
  <c r="W128" i="32"/>
  <c r="V129" i="32"/>
  <c r="W129" i="32"/>
  <c r="V130" i="32"/>
  <c r="W130" i="32"/>
  <c r="V131" i="32"/>
  <c r="W131" i="32"/>
  <c r="V132" i="32"/>
  <c r="W132" i="32"/>
  <c r="V133" i="32"/>
  <c r="W133" i="32"/>
  <c r="V134" i="32"/>
  <c r="W134" i="32"/>
  <c r="V135" i="32"/>
  <c r="W135" i="32"/>
  <c r="V136" i="32"/>
  <c r="W136" i="32"/>
  <c r="V137" i="32"/>
  <c r="W137" i="32"/>
  <c r="V138" i="32"/>
  <c r="W138" i="32"/>
  <c r="V139" i="32"/>
  <c r="W139" i="32"/>
  <c r="V140" i="32"/>
  <c r="W140" i="32"/>
  <c r="V141" i="32"/>
  <c r="W141" i="32"/>
  <c r="V142" i="32"/>
  <c r="W142" i="32"/>
  <c r="V143" i="32"/>
  <c r="W143" i="32"/>
  <c r="V144" i="32"/>
  <c r="W144" i="32"/>
  <c r="V145" i="32"/>
  <c r="W145" i="32"/>
  <c r="V146" i="32"/>
  <c r="W146" i="32"/>
  <c r="V147" i="32"/>
  <c r="W147" i="32"/>
  <c r="V148" i="32"/>
  <c r="W148" i="32"/>
  <c r="V149" i="32"/>
  <c r="W149" i="32"/>
  <c r="V150" i="32"/>
  <c r="W150" i="32"/>
  <c r="V151" i="32"/>
  <c r="W151" i="32"/>
  <c r="V152" i="32"/>
  <c r="W152" i="32"/>
  <c r="V153" i="32"/>
  <c r="W153" i="32"/>
  <c r="V154" i="32"/>
  <c r="W154" i="32"/>
  <c r="V155" i="32"/>
  <c r="W155" i="32"/>
  <c r="V156" i="32"/>
  <c r="W156" i="32"/>
  <c r="V157" i="32"/>
  <c r="W157" i="32"/>
  <c r="V158" i="32"/>
  <c r="W158" i="32"/>
  <c r="V159" i="32"/>
  <c r="W159" i="32"/>
  <c r="V160" i="32"/>
  <c r="W160" i="32"/>
  <c r="V161" i="32"/>
  <c r="W161" i="32"/>
  <c r="V162" i="32"/>
  <c r="W162" i="32"/>
  <c r="V163" i="32"/>
  <c r="W163" i="32"/>
  <c r="V164" i="32"/>
  <c r="W164" i="32"/>
  <c r="V165" i="32"/>
  <c r="W165" i="32"/>
  <c r="V166" i="32"/>
  <c r="W166" i="32"/>
  <c r="V167" i="32"/>
  <c r="W167" i="32"/>
  <c r="V168" i="32"/>
  <c r="W168" i="32"/>
  <c r="V169" i="32"/>
  <c r="W169" i="32"/>
  <c r="V170" i="32"/>
  <c r="W170" i="32"/>
  <c r="V171" i="32"/>
  <c r="W171" i="32"/>
  <c r="V172" i="32"/>
  <c r="W172" i="32"/>
  <c r="V173" i="32"/>
  <c r="W173" i="32"/>
  <c r="V174" i="32"/>
  <c r="W174" i="32"/>
  <c r="V175" i="32"/>
  <c r="W175" i="32"/>
  <c r="V176" i="32"/>
  <c r="W176" i="32"/>
  <c r="V177" i="32"/>
  <c r="W177" i="32"/>
  <c r="V178" i="32"/>
  <c r="W178" i="32"/>
  <c r="V179" i="32"/>
  <c r="W179" i="32"/>
  <c r="V180" i="32"/>
  <c r="W180" i="32"/>
  <c r="V181" i="32"/>
  <c r="W181" i="32"/>
  <c r="V182" i="32"/>
  <c r="W182" i="32"/>
  <c r="V183" i="32"/>
  <c r="W183" i="32"/>
  <c r="V184" i="32"/>
  <c r="W184" i="32"/>
  <c r="V185" i="32"/>
  <c r="W185" i="32"/>
  <c r="V186" i="32"/>
  <c r="W186" i="32"/>
  <c r="V187" i="32"/>
  <c r="W187" i="32"/>
  <c r="V188" i="32"/>
  <c r="W188" i="32"/>
  <c r="V189" i="32"/>
  <c r="W189" i="32"/>
  <c r="V190" i="32"/>
  <c r="W190" i="32"/>
  <c r="V191" i="32"/>
  <c r="W191" i="32"/>
  <c r="V192" i="32"/>
  <c r="W192" i="32"/>
  <c r="V193" i="32"/>
  <c r="W193" i="32"/>
  <c r="V194" i="32"/>
  <c r="W194" i="32"/>
  <c r="V195" i="32"/>
  <c r="W195" i="32"/>
  <c r="V196" i="32"/>
  <c r="W196" i="32"/>
  <c r="V197" i="32"/>
  <c r="W197" i="32"/>
  <c r="V198" i="32"/>
  <c r="W198" i="32"/>
  <c r="V199" i="32"/>
  <c r="W199" i="32"/>
  <c r="V200" i="32"/>
  <c r="W200" i="32"/>
  <c r="V201" i="32"/>
  <c r="W201" i="32"/>
  <c r="V202" i="32"/>
  <c r="W202" i="32"/>
  <c r="V203" i="32"/>
  <c r="W203" i="32"/>
  <c r="V204" i="32"/>
  <c r="W204" i="32"/>
  <c r="V205" i="32"/>
  <c r="W205" i="32"/>
  <c r="V206" i="32"/>
  <c r="W206" i="32"/>
  <c r="V207" i="32"/>
  <c r="W207" i="32"/>
  <c r="V208" i="32"/>
  <c r="W208" i="32"/>
  <c r="V209" i="32"/>
  <c r="W209" i="32"/>
  <c r="V210" i="32"/>
  <c r="W210" i="32"/>
  <c r="V211" i="32"/>
  <c r="W211" i="32"/>
  <c r="V212" i="32"/>
  <c r="W212" i="32"/>
  <c r="V213" i="32"/>
  <c r="W213" i="32"/>
  <c r="V214" i="32"/>
  <c r="W214" i="32"/>
  <c r="V215" i="32"/>
  <c r="W215" i="32"/>
  <c r="V216" i="32"/>
  <c r="W216" i="32"/>
  <c r="V217" i="32"/>
  <c r="W217" i="32"/>
  <c r="V218" i="32"/>
  <c r="W218" i="32"/>
  <c r="V219" i="32"/>
  <c r="W219" i="32"/>
  <c r="V220" i="32"/>
  <c r="W220" i="32"/>
  <c r="V221" i="32"/>
  <c r="W221" i="32"/>
  <c r="V222" i="32"/>
  <c r="W222" i="32"/>
  <c r="V223" i="32"/>
  <c r="W223" i="32"/>
  <c r="V224" i="32"/>
  <c r="W224" i="32"/>
  <c r="V225" i="32"/>
  <c r="W225" i="32"/>
  <c r="V226" i="32"/>
  <c r="W226" i="32"/>
  <c r="V227" i="32"/>
  <c r="W227" i="32"/>
  <c r="V228" i="32"/>
  <c r="W228" i="32"/>
  <c r="V229" i="32"/>
  <c r="W229" i="32"/>
  <c r="V230" i="32"/>
  <c r="W230" i="32"/>
  <c r="V231" i="32"/>
  <c r="W231" i="32"/>
  <c r="V232" i="32"/>
  <c r="W232" i="32"/>
  <c r="V233" i="32"/>
  <c r="W233" i="32"/>
  <c r="V234" i="32"/>
  <c r="W234" i="32"/>
  <c r="V235" i="32"/>
  <c r="W235" i="32"/>
  <c r="V236" i="32"/>
  <c r="W236" i="32"/>
  <c r="V237" i="32"/>
  <c r="W237" i="32"/>
  <c r="V238" i="32"/>
  <c r="W238" i="32"/>
  <c r="V239" i="32"/>
  <c r="W239" i="32"/>
  <c r="V240" i="32"/>
  <c r="W240" i="32"/>
  <c r="V241" i="32"/>
  <c r="W241" i="32"/>
  <c r="V242" i="32"/>
  <c r="W242" i="32"/>
  <c r="V243" i="32"/>
  <c r="W243" i="32"/>
  <c r="V244" i="32"/>
  <c r="W244" i="32"/>
  <c r="V245" i="32"/>
  <c r="W245" i="32"/>
  <c r="V246" i="32"/>
  <c r="W246" i="32"/>
  <c r="V247" i="32"/>
  <c r="W247" i="32"/>
  <c r="V248" i="32"/>
  <c r="W248" i="32"/>
  <c r="V249" i="32"/>
  <c r="W249" i="32"/>
  <c r="V250" i="32"/>
  <c r="W250" i="32"/>
  <c r="V251" i="32"/>
  <c r="W251" i="32"/>
  <c r="V252" i="32"/>
  <c r="W252" i="32"/>
  <c r="V253" i="32"/>
  <c r="W253" i="32"/>
  <c r="V254" i="32"/>
  <c r="W254" i="32"/>
  <c r="V255" i="32"/>
  <c r="W255" i="32"/>
  <c r="V256" i="32"/>
  <c r="W256" i="32"/>
  <c r="V257" i="32"/>
  <c r="W257" i="32"/>
  <c r="V258" i="32"/>
  <c r="W258" i="32"/>
  <c r="V259" i="32"/>
  <c r="W259" i="32"/>
  <c r="V260" i="32"/>
  <c r="W260" i="32"/>
  <c r="V261" i="32"/>
  <c r="W261" i="32"/>
  <c r="V262" i="32"/>
  <c r="W262" i="32"/>
  <c r="V263" i="32"/>
  <c r="W263" i="32"/>
  <c r="V264" i="32"/>
  <c r="W264" i="32"/>
  <c r="V265" i="32"/>
  <c r="W265" i="32"/>
  <c r="V266" i="32"/>
  <c r="W266" i="32"/>
  <c r="V267" i="32"/>
  <c r="W267" i="32"/>
  <c r="V268" i="32"/>
  <c r="W268" i="32"/>
  <c r="V269" i="32"/>
  <c r="W269" i="32"/>
  <c r="V270" i="32"/>
  <c r="W270" i="32"/>
  <c r="V271" i="32"/>
  <c r="W271" i="32"/>
  <c r="V272" i="32"/>
  <c r="W272" i="32"/>
  <c r="V273" i="32"/>
  <c r="W273" i="32"/>
  <c r="V274" i="32"/>
  <c r="W274" i="32"/>
  <c r="V275" i="32"/>
  <c r="W275" i="32"/>
  <c r="V276" i="32"/>
  <c r="W276" i="32"/>
  <c r="V277" i="32"/>
  <c r="W277" i="32"/>
  <c r="V278" i="32"/>
  <c r="W278" i="32"/>
  <c r="V279" i="32"/>
  <c r="W279" i="32"/>
  <c r="V280" i="32"/>
  <c r="W280" i="32"/>
  <c r="V281" i="32"/>
  <c r="W281" i="32"/>
  <c r="V282" i="32"/>
  <c r="W282" i="32"/>
  <c r="V283" i="32"/>
  <c r="W283" i="32"/>
  <c r="V284" i="32"/>
  <c r="W284" i="32"/>
  <c r="V285" i="32"/>
  <c r="W285" i="32"/>
  <c r="V286" i="32"/>
  <c r="W286" i="32"/>
  <c r="V287" i="32"/>
  <c r="W287" i="32"/>
  <c r="V288" i="32"/>
  <c r="W288" i="32"/>
  <c r="V289" i="32"/>
  <c r="W289" i="32"/>
  <c r="V290" i="32"/>
  <c r="W290" i="32"/>
  <c r="V291" i="32"/>
  <c r="W291" i="32"/>
  <c r="V292" i="32"/>
  <c r="W292" i="32"/>
  <c r="V293" i="32"/>
  <c r="W293" i="32"/>
  <c r="V294" i="32"/>
  <c r="W294" i="32"/>
  <c r="V295" i="32"/>
  <c r="W295" i="32"/>
  <c r="V296" i="32"/>
  <c r="W296" i="32"/>
  <c r="V297" i="32"/>
  <c r="W297" i="32"/>
  <c r="V298" i="32"/>
  <c r="W298" i="32"/>
  <c r="V299" i="32"/>
  <c r="W299" i="32"/>
  <c r="V300" i="32"/>
  <c r="W300" i="32"/>
  <c r="V301" i="32"/>
  <c r="W301" i="32"/>
  <c r="V302" i="32"/>
  <c r="W302" i="32"/>
  <c r="V303" i="32"/>
  <c r="W303" i="32"/>
  <c r="V304" i="32"/>
  <c r="W304" i="32"/>
  <c r="V305" i="32"/>
  <c r="W305" i="32"/>
  <c r="V306" i="32"/>
  <c r="W306" i="32"/>
  <c r="V307" i="32"/>
  <c r="W307" i="32"/>
  <c r="V308" i="32"/>
  <c r="W308" i="32"/>
  <c r="V309" i="32"/>
  <c r="W309" i="32"/>
  <c r="V310" i="32"/>
  <c r="W310" i="32"/>
  <c r="V311" i="32"/>
  <c r="W311" i="32"/>
  <c r="V312" i="32"/>
  <c r="W312" i="32"/>
  <c r="V313" i="32"/>
  <c r="W313" i="32"/>
  <c r="V314" i="32"/>
  <c r="W314" i="32"/>
  <c r="V315" i="32"/>
  <c r="W315" i="32"/>
  <c r="V316" i="32"/>
  <c r="W316" i="32"/>
  <c r="V317" i="32"/>
  <c r="W317" i="32"/>
  <c r="V318" i="32"/>
  <c r="W318" i="32"/>
  <c r="V319" i="32"/>
  <c r="W319" i="32"/>
  <c r="V320" i="32"/>
  <c r="W320" i="32"/>
  <c r="V321" i="32"/>
  <c r="W321" i="32"/>
  <c r="V322" i="32"/>
  <c r="W322" i="32"/>
  <c r="V323" i="32"/>
  <c r="W323" i="32"/>
  <c r="V324" i="32"/>
  <c r="W324" i="32"/>
  <c r="V325" i="32"/>
  <c r="W325" i="32"/>
  <c r="V326" i="32"/>
  <c r="W326" i="32"/>
  <c r="V327" i="32"/>
  <c r="W327" i="32"/>
  <c r="V328" i="32"/>
  <c r="W328" i="32"/>
  <c r="V329" i="32"/>
  <c r="W329" i="32"/>
  <c r="V330" i="32"/>
  <c r="W330" i="32"/>
  <c r="V331" i="32"/>
  <c r="W331" i="32"/>
  <c r="V332" i="32"/>
  <c r="W332" i="32"/>
  <c r="V333" i="32"/>
  <c r="W333" i="32"/>
  <c r="V334" i="32"/>
  <c r="W334" i="32"/>
  <c r="V335" i="32"/>
  <c r="W335" i="32"/>
  <c r="V336" i="32"/>
  <c r="W336" i="32"/>
  <c r="V337" i="32"/>
  <c r="W337" i="32"/>
  <c r="V338" i="32"/>
  <c r="W338" i="32"/>
  <c r="V339" i="32"/>
  <c r="W339" i="32"/>
  <c r="V340" i="32"/>
  <c r="W340" i="32"/>
  <c r="V341" i="32"/>
  <c r="W341" i="32"/>
  <c r="V342" i="32"/>
  <c r="W342" i="32"/>
  <c r="V343" i="32"/>
  <c r="W343" i="32"/>
  <c r="V344" i="32"/>
  <c r="W344" i="32"/>
  <c r="V345" i="32"/>
  <c r="W345" i="32"/>
  <c r="V346" i="32"/>
  <c r="W346" i="32"/>
  <c r="W4" i="32"/>
  <c r="V4" i="32"/>
  <c r="N5" i="32"/>
  <c r="O5" i="32"/>
  <c r="N6" i="32"/>
  <c r="O6" i="32"/>
  <c r="N7" i="32"/>
  <c r="O7" i="32"/>
  <c r="N8" i="32"/>
  <c r="O8" i="32"/>
  <c r="N9" i="32"/>
  <c r="O9" i="32"/>
  <c r="N10" i="32"/>
  <c r="O10" i="32"/>
  <c r="N11" i="32"/>
  <c r="O11" i="32"/>
  <c r="N12" i="32"/>
  <c r="O12" i="32"/>
  <c r="N13" i="32"/>
  <c r="O13" i="32"/>
  <c r="N14" i="32"/>
  <c r="O14" i="32"/>
  <c r="N15" i="32"/>
  <c r="O15" i="32"/>
  <c r="N16" i="32"/>
  <c r="O16" i="32"/>
  <c r="N17" i="32"/>
  <c r="O17" i="32"/>
  <c r="N18" i="32"/>
  <c r="O18" i="32"/>
  <c r="N19" i="32"/>
  <c r="O19" i="32"/>
  <c r="N20" i="32"/>
  <c r="O20" i="32"/>
  <c r="N21" i="32"/>
  <c r="O21" i="32"/>
  <c r="N22" i="32"/>
  <c r="O22" i="32"/>
  <c r="N23" i="32"/>
  <c r="O23" i="32"/>
  <c r="N24" i="32"/>
  <c r="O24" i="32"/>
  <c r="N25" i="32"/>
  <c r="O25" i="32"/>
  <c r="N26" i="32"/>
  <c r="O26" i="32"/>
  <c r="N27" i="32"/>
  <c r="O27" i="32"/>
  <c r="N28" i="32"/>
  <c r="O28" i="32"/>
  <c r="N29" i="32"/>
  <c r="O29" i="32"/>
  <c r="N30" i="32"/>
  <c r="O30" i="32"/>
  <c r="N31" i="32"/>
  <c r="O31" i="32"/>
  <c r="N32" i="32"/>
  <c r="O32" i="32"/>
  <c r="N33" i="32"/>
  <c r="O33" i="32"/>
  <c r="N34" i="32"/>
  <c r="O34" i="32"/>
  <c r="N35" i="32"/>
  <c r="O35" i="32"/>
  <c r="N36" i="32"/>
  <c r="O36" i="32"/>
  <c r="N37" i="32"/>
  <c r="O37" i="32"/>
  <c r="N38" i="32"/>
  <c r="O38" i="32"/>
  <c r="N39" i="32"/>
  <c r="O39" i="32"/>
  <c r="N40" i="32"/>
  <c r="O40" i="32"/>
  <c r="N41" i="32"/>
  <c r="O41" i="32"/>
  <c r="N42" i="32"/>
  <c r="O42" i="32"/>
  <c r="N43" i="32"/>
  <c r="O43" i="32"/>
  <c r="N44" i="32"/>
  <c r="O44" i="32"/>
  <c r="N45" i="32"/>
  <c r="O45" i="32"/>
  <c r="N46" i="32"/>
  <c r="O46" i="32"/>
  <c r="N47" i="32"/>
  <c r="O47" i="32"/>
  <c r="N48" i="32"/>
  <c r="O48" i="32"/>
  <c r="N49" i="32"/>
  <c r="O49" i="32"/>
  <c r="N50" i="32"/>
  <c r="O50" i="32"/>
  <c r="N51" i="32"/>
  <c r="O51" i="32"/>
  <c r="N52" i="32"/>
  <c r="O52" i="32"/>
  <c r="N53" i="32"/>
  <c r="O53" i="32"/>
  <c r="N54" i="32"/>
  <c r="O54" i="32"/>
  <c r="N55" i="32"/>
  <c r="O55" i="32"/>
  <c r="N56" i="32"/>
  <c r="O56" i="32"/>
  <c r="N57" i="32"/>
  <c r="O57" i="32"/>
  <c r="N58" i="32"/>
  <c r="O58" i="32"/>
  <c r="N59" i="32"/>
  <c r="O59" i="32"/>
  <c r="N60" i="32"/>
  <c r="O60" i="32"/>
  <c r="N61" i="32"/>
  <c r="O61" i="32"/>
  <c r="N62" i="32"/>
  <c r="O62" i="32"/>
  <c r="N63" i="32"/>
  <c r="O63" i="32"/>
  <c r="N64" i="32"/>
  <c r="O64" i="32"/>
  <c r="N65" i="32"/>
  <c r="O65" i="32"/>
  <c r="N66" i="32"/>
  <c r="O66" i="32"/>
  <c r="N67" i="32"/>
  <c r="O67" i="32"/>
  <c r="N68" i="32"/>
  <c r="O68" i="32"/>
  <c r="N69" i="32"/>
  <c r="O69" i="32"/>
  <c r="N70" i="32"/>
  <c r="O70" i="32"/>
  <c r="N71" i="32"/>
  <c r="O71" i="32"/>
  <c r="N72" i="32"/>
  <c r="O72" i="32"/>
  <c r="N73" i="32"/>
  <c r="O73" i="32"/>
  <c r="N74" i="32"/>
  <c r="O74" i="32"/>
  <c r="N75" i="32"/>
  <c r="O75" i="32"/>
  <c r="N76" i="32"/>
  <c r="O76" i="32"/>
  <c r="N77" i="32"/>
  <c r="O77" i="32"/>
  <c r="N78" i="32"/>
  <c r="O78" i="32"/>
  <c r="N79" i="32"/>
  <c r="O79" i="32"/>
  <c r="N80" i="32"/>
  <c r="O80" i="32"/>
  <c r="N81" i="32"/>
  <c r="O81" i="32"/>
  <c r="N82" i="32"/>
  <c r="O82" i="32"/>
  <c r="N83" i="32"/>
  <c r="O83" i="32"/>
  <c r="N84" i="32"/>
  <c r="O84" i="32"/>
  <c r="N85" i="32"/>
  <c r="O85" i="32"/>
  <c r="N86" i="32"/>
  <c r="O86" i="32"/>
  <c r="N87" i="32"/>
  <c r="O87" i="32"/>
  <c r="N88" i="32"/>
  <c r="O88" i="32"/>
  <c r="N89" i="32"/>
  <c r="O89" i="32"/>
  <c r="N90" i="32"/>
  <c r="O90" i="32"/>
  <c r="N91" i="32"/>
  <c r="O91" i="32"/>
  <c r="N92" i="32"/>
  <c r="O92" i="32"/>
  <c r="N93" i="32"/>
  <c r="O93" i="32"/>
  <c r="N94" i="32"/>
  <c r="O94" i="32"/>
  <c r="N95" i="32"/>
  <c r="O95" i="32"/>
  <c r="N96" i="32"/>
  <c r="O96" i="32"/>
  <c r="N97" i="32"/>
  <c r="O97" i="32"/>
  <c r="N98" i="32"/>
  <c r="O98" i="32"/>
  <c r="N99" i="32"/>
  <c r="O99" i="32"/>
  <c r="N100" i="32"/>
  <c r="O100" i="32"/>
  <c r="N101" i="32"/>
  <c r="O101" i="32"/>
  <c r="N102" i="32"/>
  <c r="O102" i="32"/>
  <c r="N103" i="32"/>
  <c r="O103" i="32"/>
  <c r="N104" i="32"/>
  <c r="O104" i="32"/>
  <c r="N105" i="32"/>
  <c r="O105" i="32"/>
  <c r="N106" i="32"/>
  <c r="O106" i="32"/>
  <c r="N107" i="32"/>
  <c r="O107" i="32"/>
  <c r="N108" i="32"/>
  <c r="O108" i="32"/>
  <c r="N109" i="32"/>
  <c r="O109" i="32"/>
  <c r="N110" i="32"/>
  <c r="O110" i="32"/>
  <c r="N111" i="32"/>
  <c r="O111" i="32"/>
  <c r="N112" i="32"/>
  <c r="O112" i="32"/>
  <c r="N113" i="32"/>
  <c r="O113" i="32"/>
  <c r="N114" i="32"/>
  <c r="O114" i="32"/>
  <c r="N115" i="32"/>
  <c r="O115" i="32"/>
  <c r="N116" i="32"/>
  <c r="O116" i="32"/>
  <c r="N117" i="32"/>
  <c r="O117" i="32"/>
  <c r="N118" i="32"/>
  <c r="O118" i="32"/>
  <c r="N119" i="32"/>
  <c r="O119" i="32"/>
  <c r="N120" i="32"/>
  <c r="O120" i="32"/>
  <c r="N121" i="32"/>
  <c r="O121" i="32"/>
  <c r="N122" i="32"/>
  <c r="O122" i="32"/>
  <c r="N123" i="32"/>
  <c r="O123" i="32"/>
  <c r="N124" i="32"/>
  <c r="O124" i="32"/>
  <c r="N125" i="32"/>
  <c r="O125" i="32"/>
  <c r="N126" i="32"/>
  <c r="O126" i="32"/>
  <c r="N127" i="32"/>
  <c r="O127" i="32"/>
  <c r="N128" i="32"/>
  <c r="O128" i="32"/>
  <c r="N129" i="32"/>
  <c r="O129" i="32"/>
  <c r="N130" i="32"/>
  <c r="O130" i="32"/>
  <c r="N131" i="32"/>
  <c r="O131" i="32"/>
  <c r="N132" i="32"/>
  <c r="O132" i="32"/>
  <c r="N133" i="32"/>
  <c r="O133" i="32"/>
  <c r="N134" i="32"/>
  <c r="O134" i="32"/>
  <c r="N135" i="32"/>
  <c r="O135" i="32"/>
  <c r="N136" i="32"/>
  <c r="O136" i="32"/>
  <c r="N137" i="32"/>
  <c r="O137" i="32"/>
  <c r="N138" i="32"/>
  <c r="O138" i="32"/>
  <c r="N139" i="32"/>
  <c r="O139" i="32"/>
  <c r="N140" i="32"/>
  <c r="O140" i="32"/>
  <c r="N141" i="32"/>
  <c r="O141" i="32"/>
  <c r="N142" i="32"/>
  <c r="O142" i="32"/>
  <c r="N143" i="32"/>
  <c r="O143" i="32"/>
  <c r="N144" i="32"/>
  <c r="O144" i="32"/>
  <c r="N145" i="32"/>
  <c r="O145" i="32"/>
  <c r="N146" i="32"/>
  <c r="O146" i="32"/>
  <c r="N147" i="32"/>
  <c r="O147" i="32"/>
  <c r="N148" i="32"/>
  <c r="O148" i="32"/>
  <c r="N149" i="32"/>
  <c r="O149" i="32"/>
  <c r="N150" i="32"/>
  <c r="O150" i="32"/>
  <c r="N151" i="32"/>
  <c r="O151" i="32"/>
  <c r="N152" i="32"/>
  <c r="O152" i="32"/>
  <c r="N153" i="32"/>
  <c r="O153" i="32"/>
  <c r="N154" i="32"/>
  <c r="O154" i="32"/>
  <c r="N155" i="32"/>
  <c r="O155" i="32"/>
  <c r="N156" i="32"/>
  <c r="O156" i="32"/>
  <c r="N157" i="32"/>
  <c r="O157" i="32"/>
  <c r="N158" i="32"/>
  <c r="O158" i="32"/>
  <c r="N159" i="32"/>
  <c r="O159" i="32"/>
  <c r="N160" i="32"/>
  <c r="O160" i="32"/>
  <c r="N161" i="32"/>
  <c r="O161" i="32"/>
  <c r="N162" i="32"/>
  <c r="O162" i="32"/>
  <c r="N163" i="32"/>
  <c r="O163" i="32"/>
  <c r="N164" i="32"/>
  <c r="O164" i="32"/>
  <c r="N165" i="32"/>
  <c r="O165" i="32"/>
  <c r="N166" i="32"/>
  <c r="O166" i="32"/>
  <c r="N167" i="32"/>
  <c r="O167" i="32"/>
  <c r="N168" i="32"/>
  <c r="O168" i="32"/>
  <c r="N169" i="32"/>
  <c r="O169" i="32"/>
  <c r="N170" i="32"/>
  <c r="O170" i="32"/>
  <c r="N171" i="32"/>
  <c r="O171" i="32"/>
  <c r="N172" i="32"/>
  <c r="O172" i="32"/>
  <c r="N173" i="32"/>
  <c r="O173" i="32"/>
  <c r="N174" i="32"/>
  <c r="O174" i="32"/>
  <c r="N175" i="32"/>
  <c r="O175" i="32"/>
  <c r="N176" i="32"/>
  <c r="O176" i="32"/>
  <c r="N177" i="32"/>
  <c r="O177" i="32"/>
  <c r="N178" i="32"/>
  <c r="O178" i="32"/>
  <c r="N179" i="32"/>
  <c r="O179" i="32"/>
  <c r="N180" i="32"/>
  <c r="O180" i="32"/>
  <c r="N181" i="32"/>
  <c r="O181" i="32"/>
  <c r="N182" i="32"/>
  <c r="O182" i="32"/>
  <c r="N183" i="32"/>
  <c r="O183" i="32"/>
  <c r="N184" i="32"/>
  <c r="O184" i="32"/>
  <c r="N185" i="32"/>
  <c r="O185" i="32"/>
  <c r="N186" i="32"/>
  <c r="O186" i="32"/>
  <c r="N187" i="32"/>
  <c r="O187" i="32"/>
  <c r="N188" i="32"/>
  <c r="O188" i="32"/>
  <c r="N189" i="32"/>
  <c r="O189" i="32"/>
  <c r="N190" i="32"/>
  <c r="O190" i="32"/>
  <c r="N191" i="32"/>
  <c r="O191" i="32"/>
  <c r="N192" i="32"/>
  <c r="O192" i="32"/>
  <c r="N193" i="32"/>
  <c r="O193" i="32"/>
  <c r="N194" i="32"/>
  <c r="O194" i="32"/>
  <c r="N195" i="32"/>
  <c r="O195" i="32"/>
  <c r="N196" i="32"/>
  <c r="O196" i="32"/>
  <c r="N197" i="32"/>
  <c r="O197" i="32"/>
  <c r="N198" i="32"/>
  <c r="O198" i="32"/>
  <c r="N199" i="32"/>
  <c r="O199" i="32"/>
  <c r="N200" i="32"/>
  <c r="O200" i="32"/>
  <c r="N201" i="32"/>
  <c r="O201" i="32"/>
  <c r="N202" i="32"/>
  <c r="O202" i="32"/>
  <c r="N203" i="32"/>
  <c r="O203" i="32"/>
  <c r="N204" i="32"/>
  <c r="O204" i="32"/>
  <c r="N205" i="32"/>
  <c r="O205" i="32"/>
  <c r="N206" i="32"/>
  <c r="O206" i="32"/>
  <c r="N207" i="32"/>
  <c r="O207" i="32"/>
  <c r="N208" i="32"/>
  <c r="O208" i="32"/>
  <c r="N209" i="32"/>
  <c r="O209" i="32"/>
  <c r="N210" i="32"/>
  <c r="O210" i="32"/>
  <c r="N211" i="32"/>
  <c r="O211" i="32"/>
  <c r="N212" i="32"/>
  <c r="O212" i="32"/>
  <c r="N213" i="32"/>
  <c r="O213" i="32"/>
  <c r="N214" i="32"/>
  <c r="O214" i="32"/>
  <c r="N215" i="32"/>
  <c r="O215" i="32"/>
  <c r="N216" i="32"/>
  <c r="O216" i="32"/>
  <c r="N217" i="32"/>
  <c r="O217" i="32"/>
  <c r="N218" i="32"/>
  <c r="O218" i="32"/>
  <c r="N219" i="32"/>
  <c r="O219" i="32"/>
  <c r="N220" i="32"/>
  <c r="O220" i="32"/>
  <c r="N221" i="32"/>
  <c r="O221" i="32"/>
  <c r="N222" i="32"/>
  <c r="O222" i="32"/>
  <c r="N223" i="32"/>
  <c r="O223" i="32"/>
  <c r="N224" i="32"/>
  <c r="O224" i="32"/>
  <c r="N225" i="32"/>
  <c r="O225" i="32"/>
  <c r="N226" i="32"/>
  <c r="O226" i="32"/>
  <c r="N227" i="32"/>
  <c r="O227" i="32"/>
  <c r="N228" i="32"/>
  <c r="O228" i="32"/>
  <c r="N229" i="32"/>
  <c r="O229" i="32"/>
  <c r="N230" i="32"/>
  <c r="O230" i="32"/>
  <c r="N231" i="32"/>
  <c r="O231" i="32"/>
  <c r="N232" i="32"/>
  <c r="O232" i="32"/>
  <c r="N233" i="32"/>
  <c r="O233" i="32"/>
  <c r="N234" i="32"/>
  <c r="O234" i="32"/>
  <c r="N235" i="32"/>
  <c r="O235" i="32"/>
  <c r="N236" i="32"/>
  <c r="O236" i="32"/>
  <c r="N237" i="32"/>
  <c r="O237" i="32"/>
  <c r="N238" i="32"/>
  <c r="O238" i="32"/>
  <c r="N239" i="32"/>
  <c r="O239" i="32"/>
  <c r="N240" i="32"/>
  <c r="O240" i="32"/>
  <c r="N241" i="32"/>
  <c r="O241" i="32"/>
  <c r="N242" i="32"/>
  <c r="O242" i="32"/>
  <c r="N243" i="32"/>
  <c r="O243" i="32"/>
  <c r="N244" i="32"/>
  <c r="O244" i="32"/>
  <c r="N245" i="32"/>
  <c r="O245" i="32"/>
  <c r="N246" i="32"/>
  <c r="O246" i="32"/>
  <c r="N247" i="32"/>
  <c r="O247" i="32"/>
  <c r="N248" i="32"/>
  <c r="O248" i="32"/>
  <c r="N249" i="32"/>
  <c r="O249" i="32"/>
  <c r="N250" i="32"/>
  <c r="O250" i="32"/>
  <c r="N251" i="32"/>
  <c r="O251" i="32"/>
  <c r="N252" i="32"/>
  <c r="O252" i="32"/>
  <c r="N253" i="32"/>
  <c r="O253" i="32"/>
  <c r="N254" i="32"/>
  <c r="O254" i="32"/>
  <c r="N255" i="32"/>
  <c r="O255" i="32"/>
  <c r="N256" i="32"/>
  <c r="O256" i="32"/>
  <c r="N257" i="32"/>
  <c r="O257" i="32"/>
  <c r="N258" i="32"/>
  <c r="O258" i="32"/>
  <c r="N259" i="32"/>
  <c r="O259" i="32"/>
  <c r="N260" i="32"/>
  <c r="O260" i="32"/>
  <c r="N261" i="32"/>
  <c r="O261" i="32"/>
  <c r="N262" i="32"/>
  <c r="O262" i="32"/>
  <c r="N263" i="32"/>
  <c r="O263" i="32"/>
  <c r="N264" i="32"/>
  <c r="O264" i="32"/>
  <c r="N265" i="32"/>
  <c r="O265" i="32"/>
  <c r="N266" i="32"/>
  <c r="O266" i="32"/>
  <c r="N267" i="32"/>
  <c r="O267" i="32"/>
  <c r="N268" i="32"/>
  <c r="O268" i="32"/>
  <c r="N269" i="32"/>
  <c r="O269" i="32"/>
  <c r="N270" i="32"/>
  <c r="O270" i="32"/>
  <c r="N271" i="32"/>
  <c r="O271" i="32"/>
  <c r="N272" i="32"/>
  <c r="O272" i="32"/>
  <c r="N273" i="32"/>
  <c r="O273" i="32"/>
  <c r="N274" i="32"/>
  <c r="O274" i="32"/>
  <c r="N275" i="32"/>
  <c r="O275" i="32"/>
  <c r="N276" i="32"/>
  <c r="O276" i="32"/>
  <c r="N277" i="32"/>
  <c r="O277" i="32"/>
  <c r="N278" i="32"/>
  <c r="O278" i="32"/>
  <c r="N279" i="32"/>
  <c r="O279" i="32"/>
  <c r="N280" i="32"/>
  <c r="O280" i="32"/>
  <c r="N281" i="32"/>
  <c r="O281" i="32"/>
  <c r="N282" i="32"/>
  <c r="O282" i="32"/>
  <c r="N283" i="32"/>
  <c r="O283" i="32"/>
  <c r="N284" i="32"/>
  <c r="O284" i="32"/>
  <c r="N285" i="32"/>
  <c r="O285" i="32"/>
  <c r="N286" i="32"/>
  <c r="O286" i="32"/>
  <c r="N287" i="32"/>
  <c r="O287" i="32"/>
  <c r="N288" i="32"/>
  <c r="O288" i="32"/>
  <c r="N289" i="32"/>
  <c r="O289" i="32"/>
  <c r="N290" i="32"/>
  <c r="O290" i="32"/>
  <c r="N291" i="32"/>
  <c r="O291" i="32"/>
  <c r="N292" i="32"/>
  <c r="O292" i="32"/>
  <c r="N293" i="32"/>
  <c r="O293" i="32"/>
  <c r="N294" i="32"/>
  <c r="O294" i="32"/>
  <c r="N295" i="32"/>
  <c r="O295" i="32"/>
  <c r="N296" i="32"/>
  <c r="O296" i="32"/>
  <c r="N297" i="32"/>
  <c r="O297" i="32"/>
  <c r="N298" i="32"/>
  <c r="O298" i="32"/>
  <c r="N299" i="32"/>
  <c r="O299" i="32"/>
  <c r="N300" i="32"/>
  <c r="O300" i="32"/>
  <c r="N301" i="32"/>
  <c r="O301" i="32"/>
  <c r="N302" i="32"/>
  <c r="O302" i="32"/>
  <c r="N303" i="32"/>
  <c r="O303" i="32"/>
  <c r="N304" i="32"/>
  <c r="O304" i="32"/>
  <c r="N305" i="32"/>
  <c r="O305" i="32"/>
  <c r="N306" i="32"/>
  <c r="O306" i="32"/>
  <c r="N307" i="32"/>
  <c r="O307" i="32"/>
  <c r="N308" i="32"/>
  <c r="O308" i="32"/>
  <c r="N309" i="32"/>
  <c r="O309" i="32"/>
  <c r="N310" i="32"/>
  <c r="O310" i="32"/>
  <c r="N311" i="32"/>
  <c r="O311" i="32"/>
  <c r="N312" i="32"/>
  <c r="O312" i="32"/>
  <c r="N313" i="32"/>
  <c r="O313" i="32"/>
  <c r="N314" i="32"/>
  <c r="O314" i="32"/>
  <c r="N315" i="32"/>
  <c r="O315" i="32"/>
  <c r="N316" i="32"/>
  <c r="O316" i="32"/>
  <c r="N317" i="32"/>
  <c r="O317" i="32"/>
  <c r="N318" i="32"/>
  <c r="O318" i="32"/>
  <c r="N319" i="32"/>
  <c r="O319" i="32"/>
  <c r="N320" i="32"/>
  <c r="O320" i="32"/>
  <c r="N321" i="32"/>
  <c r="O321" i="32"/>
  <c r="N322" i="32"/>
  <c r="O322" i="32"/>
  <c r="N323" i="32"/>
  <c r="O323" i="32"/>
  <c r="N324" i="32"/>
  <c r="O324" i="32"/>
  <c r="N325" i="32"/>
  <c r="O325" i="32"/>
  <c r="N326" i="32"/>
  <c r="O326" i="32"/>
  <c r="N327" i="32"/>
  <c r="O327" i="32"/>
  <c r="N328" i="32"/>
  <c r="O328" i="32"/>
  <c r="N329" i="32"/>
  <c r="O329" i="32"/>
  <c r="N330" i="32"/>
  <c r="O330" i="32"/>
  <c r="N331" i="32"/>
  <c r="O331" i="32"/>
  <c r="N332" i="32"/>
  <c r="O332" i="32"/>
  <c r="N333" i="32"/>
  <c r="O333" i="32"/>
  <c r="N334" i="32"/>
  <c r="O334" i="32"/>
  <c r="N335" i="32"/>
  <c r="O335" i="32"/>
  <c r="N336" i="32"/>
  <c r="O336" i="32"/>
  <c r="N337" i="32"/>
  <c r="O337" i="32"/>
  <c r="N338" i="32"/>
  <c r="O338" i="32"/>
  <c r="N339" i="32"/>
  <c r="O339" i="32"/>
  <c r="N340" i="32"/>
  <c r="O340" i="32"/>
  <c r="N341" i="32"/>
  <c r="O341" i="32"/>
  <c r="N342" i="32"/>
  <c r="O342" i="32"/>
  <c r="N343" i="32"/>
  <c r="O343" i="32"/>
  <c r="N344" i="32"/>
  <c r="O344" i="32"/>
  <c r="N345" i="32"/>
  <c r="O345" i="32"/>
  <c r="N346" i="32"/>
  <c r="O346" i="32"/>
  <c r="N347" i="32"/>
  <c r="O347" i="32"/>
  <c r="N348" i="32"/>
  <c r="O348" i="32"/>
  <c r="N349" i="32"/>
  <c r="O349" i="32"/>
  <c r="N350" i="32"/>
  <c r="O350" i="32"/>
  <c r="N351" i="32"/>
  <c r="O351" i="32"/>
  <c r="N352" i="32"/>
  <c r="O352" i="32"/>
  <c r="N353" i="32"/>
  <c r="O353" i="32"/>
  <c r="N354" i="32"/>
  <c r="O354" i="32"/>
  <c r="N355" i="32"/>
  <c r="O355" i="32"/>
  <c r="N356" i="32"/>
  <c r="O356" i="32"/>
  <c r="N357" i="32"/>
  <c r="O357" i="32"/>
  <c r="N358" i="32"/>
  <c r="O358" i="32"/>
  <c r="N359" i="32"/>
  <c r="O359" i="32"/>
  <c r="N360" i="32"/>
  <c r="O360" i="32"/>
  <c r="N361" i="32"/>
  <c r="O361" i="32"/>
  <c r="N362" i="32"/>
  <c r="O362" i="32"/>
  <c r="N363" i="32"/>
  <c r="O363" i="32"/>
  <c r="N364" i="32"/>
  <c r="O364" i="32"/>
  <c r="N365" i="32"/>
  <c r="O365" i="32"/>
  <c r="N366" i="32"/>
  <c r="O366" i="32"/>
  <c r="N367" i="32"/>
  <c r="O367" i="32"/>
  <c r="N368" i="32"/>
  <c r="O368" i="32"/>
  <c r="N369" i="32"/>
  <c r="O369" i="32"/>
  <c r="N370" i="32"/>
  <c r="O370" i="32"/>
  <c r="N371" i="32"/>
  <c r="O371" i="32"/>
  <c r="N372" i="32"/>
  <c r="O372" i="32"/>
  <c r="N373" i="32"/>
  <c r="O373" i="32"/>
  <c r="N374" i="32"/>
  <c r="O374" i="32"/>
  <c r="N375" i="32"/>
  <c r="O375" i="32"/>
  <c r="N376" i="32"/>
  <c r="O376" i="32"/>
  <c r="N377" i="32"/>
  <c r="O377" i="32"/>
  <c r="N378" i="32"/>
  <c r="O378" i="32"/>
  <c r="N379" i="32"/>
  <c r="O379" i="32"/>
  <c r="N380" i="32"/>
  <c r="O380" i="32"/>
  <c r="N381" i="32"/>
  <c r="O381" i="32"/>
  <c r="N382" i="32"/>
  <c r="O382" i="32"/>
  <c r="N383" i="32"/>
  <c r="O383" i="32"/>
  <c r="N384" i="32"/>
  <c r="O384" i="32"/>
  <c r="N385" i="32"/>
  <c r="O385" i="32"/>
  <c r="N386" i="32"/>
  <c r="O386" i="32"/>
  <c r="N387" i="32"/>
  <c r="O387" i="32"/>
  <c r="N388" i="32"/>
  <c r="O388" i="32"/>
  <c r="N389" i="32"/>
  <c r="O389" i="32"/>
  <c r="N390" i="32"/>
  <c r="O390" i="32"/>
  <c r="N391" i="32"/>
  <c r="O391" i="32"/>
  <c r="N392" i="32"/>
  <c r="O392" i="32"/>
  <c r="N393" i="32"/>
  <c r="O393" i="32"/>
  <c r="N394" i="32"/>
  <c r="O394" i="32"/>
  <c r="N395" i="32"/>
  <c r="O395" i="32"/>
  <c r="N396" i="32"/>
  <c r="O396" i="32"/>
  <c r="N397" i="32"/>
  <c r="O397" i="32"/>
  <c r="N398" i="32"/>
  <c r="O398" i="32"/>
  <c r="N399" i="32"/>
  <c r="O399" i="32"/>
  <c r="N400" i="32"/>
  <c r="O400" i="32"/>
  <c r="N401" i="32"/>
  <c r="O401" i="32"/>
  <c r="N402" i="32"/>
  <c r="O402" i="32"/>
  <c r="N403" i="32"/>
  <c r="O403" i="32"/>
  <c r="N404" i="32"/>
  <c r="O404" i="32"/>
  <c r="N405" i="32"/>
  <c r="O405" i="32"/>
  <c r="N406" i="32"/>
  <c r="O406" i="32"/>
  <c r="N407" i="32"/>
  <c r="O407" i="32"/>
  <c r="N408" i="32"/>
  <c r="O408" i="32"/>
  <c r="N409" i="32"/>
  <c r="O409" i="32"/>
  <c r="N410" i="32"/>
  <c r="O410" i="32"/>
  <c r="N411" i="32"/>
  <c r="O411" i="32"/>
  <c r="N412" i="32"/>
  <c r="O412" i="32"/>
  <c r="N413" i="32"/>
  <c r="O413" i="32"/>
  <c r="N414" i="32"/>
  <c r="O414" i="32"/>
  <c r="N415" i="32"/>
  <c r="O415" i="32"/>
  <c r="N416" i="32"/>
  <c r="O416" i="32"/>
  <c r="N417" i="32"/>
  <c r="O417" i="32"/>
  <c r="N418" i="32"/>
  <c r="O418" i="32"/>
  <c r="N419" i="32"/>
  <c r="O419" i="32"/>
  <c r="N420" i="32"/>
  <c r="O420" i="32"/>
  <c r="N421" i="32"/>
  <c r="O421" i="32"/>
  <c r="N422" i="32"/>
  <c r="O422" i="32"/>
  <c r="N423" i="32"/>
  <c r="O423" i="32"/>
  <c r="N424" i="32"/>
  <c r="O424" i="32"/>
  <c r="N425" i="32"/>
  <c r="O425" i="32"/>
  <c r="N426" i="32"/>
  <c r="O426" i="32"/>
  <c r="N427" i="32"/>
  <c r="O427" i="32"/>
  <c r="O4" i="32"/>
  <c r="N4" i="32"/>
  <c r="K223" i="25"/>
  <c r="I77" i="37"/>
  <c r="H5" i="32"/>
  <c r="K222" i="25"/>
  <c r="I76" i="37"/>
  <c r="H4" i="32"/>
  <c r="K224" i="25"/>
  <c r="I78" i="37"/>
  <c r="H6" i="32"/>
  <c r="K225" i="25"/>
  <c r="I79" i="37"/>
  <c r="H7" i="32"/>
  <c r="K226" i="25"/>
  <c r="I80" i="37"/>
  <c r="H8" i="32"/>
  <c r="K227" i="25"/>
  <c r="I81" i="37"/>
  <c r="H9" i="32"/>
  <c r="K228" i="25"/>
  <c r="I82" i="37"/>
  <c r="H10" i="32"/>
  <c r="K229" i="25"/>
  <c r="I83" i="37"/>
  <c r="H11" i="32"/>
  <c r="K230" i="25"/>
  <c r="I84" i="37"/>
  <c r="H12" i="32"/>
  <c r="K231" i="25"/>
  <c r="I85" i="37"/>
  <c r="H13" i="32"/>
  <c r="K232" i="25"/>
  <c r="I86" i="37"/>
  <c r="H14" i="32"/>
  <c r="K233" i="25"/>
  <c r="I87" i="37"/>
  <c r="H15" i="32"/>
  <c r="K234" i="25"/>
  <c r="I88" i="37"/>
  <c r="H16" i="32"/>
  <c r="K235" i="25"/>
  <c r="I89" i="37"/>
  <c r="H17" i="32"/>
  <c r="K236" i="25"/>
  <c r="I90" i="37"/>
  <c r="H18" i="32"/>
  <c r="K237" i="25"/>
  <c r="I91" i="37"/>
  <c r="H19" i="32"/>
  <c r="K238" i="25"/>
  <c r="I92" i="37"/>
  <c r="H20" i="32"/>
  <c r="K239" i="25"/>
  <c r="I93" i="37"/>
  <c r="H21" i="32"/>
  <c r="K240" i="25"/>
  <c r="I94" i="37"/>
  <c r="H22" i="32"/>
  <c r="K241" i="25"/>
  <c r="I95" i="37"/>
  <c r="H23" i="32"/>
  <c r="K242" i="25"/>
  <c r="I96" i="37"/>
  <c r="H24" i="32"/>
  <c r="K243" i="25"/>
  <c r="I97" i="37"/>
  <c r="H25" i="32"/>
  <c r="K244" i="25"/>
  <c r="I98" i="37"/>
  <c r="H26" i="32"/>
  <c r="K245" i="25"/>
  <c r="I99" i="37"/>
  <c r="H27" i="32"/>
  <c r="K246" i="25"/>
  <c r="I100" i="37"/>
  <c r="H28" i="32"/>
  <c r="K247" i="25"/>
  <c r="I101" i="37"/>
  <c r="H29" i="32"/>
  <c r="K248" i="25"/>
  <c r="I102" i="37"/>
  <c r="H30" i="32"/>
  <c r="K249" i="25"/>
  <c r="I103" i="37"/>
  <c r="H31" i="32"/>
  <c r="K250" i="25"/>
  <c r="I104" i="37"/>
  <c r="H32" i="32"/>
  <c r="K251" i="25"/>
  <c r="I105" i="37"/>
  <c r="H33" i="32"/>
  <c r="K252" i="25"/>
  <c r="I106" i="37"/>
  <c r="H34" i="32"/>
  <c r="K253" i="25"/>
  <c r="I107" i="37"/>
  <c r="H35" i="32"/>
  <c r="K254" i="25"/>
  <c r="I108" i="37"/>
  <c r="H36" i="32"/>
  <c r="K255" i="25"/>
  <c r="I109" i="37"/>
  <c r="H37" i="32"/>
  <c r="K256" i="25"/>
  <c r="I110" i="37"/>
  <c r="H38" i="32"/>
  <c r="K257" i="25"/>
  <c r="I111" i="37"/>
  <c r="H39" i="32"/>
  <c r="K258" i="25"/>
  <c r="I112" i="37"/>
  <c r="H40" i="32"/>
  <c r="K259" i="25"/>
  <c r="I113" i="37"/>
  <c r="H41" i="32"/>
  <c r="K260" i="25"/>
  <c r="I114" i="37"/>
  <c r="H42" i="32"/>
  <c r="K261" i="25"/>
  <c r="I115" i="37"/>
  <c r="H43" i="32"/>
  <c r="K262" i="25"/>
  <c r="I116" i="37"/>
  <c r="H44" i="32"/>
  <c r="K263" i="25"/>
  <c r="I117" i="37"/>
  <c r="H45" i="32"/>
  <c r="K264" i="25"/>
  <c r="I118" i="37"/>
  <c r="H46" i="32"/>
  <c r="K265" i="25"/>
  <c r="I119" i="37"/>
  <c r="H47" i="32"/>
  <c r="K266" i="25"/>
  <c r="I120" i="37"/>
  <c r="H48" i="32"/>
  <c r="K267" i="25"/>
  <c r="I121" i="37"/>
  <c r="H49" i="32"/>
  <c r="K268" i="25"/>
  <c r="I122" i="37"/>
  <c r="H50" i="32"/>
  <c r="K269" i="25"/>
  <c r="I123" i="37"/>
  <c r="H51" i="32"/>
  <c r="K270" i="25"/>
  <c r="I124" i="37"/>
  <c r="H52" i="32"/>
  <c r="K271" i="25"/>
  <c r="I125" i="37"/>
  <c r="H53" i="32"/>
  <c r="K272" i="25"/>
  <c r="I126" i="37"/>
  <c r="H54" i="32"/>
  <c r="K273" i="25"/>
  <c r="I127" i="37"/>
  <c r="H55" i="32"/>
  <c r="K274" i="25"/>
  <c r="I128" i="37"/>
  <c r="H56" i="32"/>
  <c r="K275" i="25"/>
  <c r="I129" i="37"/>
  <c r="H57" i="32"/>
  <c r="K276" i="25"/>
  <c r="I130" i="37"/>
  <c r="H58" i="32"/>
  <c r="K277" i="25"/>
  <c r="I131" i="37"/>
  <c r="H59" i="32"/>
  <c r="K278" i="25"/>
  <c r="I132" i="37"/>
  <c r="H60" i="32"/>
  <c r="K279" i="25"/>
  <c r="I133" i="37"/>
  <c r="H61" i="32"/>
  <c r="K280" i="25"/>
  <c r="I134" i="37"/>
  <c r="H62" i="32"/>
  <c r="K281" i="25"/>
  <c r="I135" i="37"/>
  <c r="H63" i="32"/>
  <c r="K282" i="25"/>
  <c r="I136" i="37"/>
  <c r="H64" i="32"/>
  <c r="K283" i="25"/>
  <c r="I137" i="37"/>
  <c r="H65" i="32"/>
  <c r="K284" i="25"/>
  <c r="I138" i="37"/>
  <c r="H66" i="32"/>
  <c r="K285" i="25"/>
  <c r="I139" i="37"/>
  <c r="H67" i="32"/>
  <c r="K286" i="25"/>
  <c r="I140" i="37"/>
  <c r="H68" i="32"/>
  <c r="K287" i="25"/>
  <c r="I141" i="37"/>
  <c r="H69" i="32"/>
  <c r="K288" i="25"/>
  <c r="I142" i="37"/>
  <c r="H70" i="32"/>
  <c r="K289" i="25"/>
  <c r="I143" i="37"/>
  <c r="H71" i="32"/>
  <c r="K290" i="25"/>
  <c r="I144" i="37"/>
  <c r="H72" i="32"/>
  <c r="K291" i="25"/>
  <c r="I145" i="37"/>
  <c r="H73" i="32"/>
  <c r="K292" i="25"/>
  <c r="I146" i="37"/>
  <c r="H74" i="32"/>
  <c r="K293" i="25"/>
  <c r="I147" i="37"/>
  <c r="H75" i="32"/>
  <c r="K294" i="25"/>
  <c r="I148" i="37"/>
  <c r="H76" i="32"/>
  <c r="K295" i="25"/>
  <c r="I149" i="37"/>
  <c r="H77" i="32"/>
  <c r="K296" i="25"/>
  <c r="I150" i="37"/>
  <c r="H78" i="32"/>
  <c r="K297" i="25"/>
  <c r="I151" i="37"/>
  <c r="H79" i="32"/>
  <c r="K298" i="25"/>
  <c r="I152" i="37"/>
  <c r="H80" i="32"/>
  <c r="K299" i="25"/>
  <c r="I153" i="37"/>
  <c r="H81" i="32"/>
  <c r="K300" i="25"/>
  <c r="I154" i="37"/>
  <c r="H82" i="32"/>
  <c r="K301" i="25"/>
  <c r="I155" i="37"/>
  <c r="H83" i="32"/>
  <c r="K302" i="25"/>
  <c r="I156" i="37"/>
  <c r="H84" i="32"/>
  <c r="K303" i="25"/>
  <c r="I157" i="37"/>
  <c r="H85" i="32"/>
  <c r="K304" i="25"/>
  <c r="I158" i="37"/>
  <c r="H86" i="32"/>
  <c r="K305" i="25"/>
  <c r="I159" i="37"/>
  <c r="H87" i="32"/>
  <c r="K306" i="25"/>
  <c r="I160" i="37"/>
  <c r="H88" i="32"/>
  <c r="K307" i="25"/>
  <c r="I161" i="37"/>
  <c r="H89" i="32"/>
  <c r="K308" i="25"/>
  <c r="I162" i="37"/>
  <c r="H90" i="32"/>
  <c r="K309" i="25"/>
  <c r="I163" i="37"/>
  <c r="H91" i="32"/>
  <c r="K310" i="25"/>
  <c r="I164" i="37"/>
  <c r="H92" i="32"/>
  <c r="K311" i="25"/>
  <c r="I165" i="37"/>
  <c r="H93" i="32"/>
  <c r="K312" i="25"/>
  <c r="I166" i="37"/>
  <c r="H94" i="32"/>
  <c r="K313" i="25"/>
  <c r="I167" i="37"/>
  <c r="H95" i="32"/>
  <c r="K314" i="25"/>
  <c r="I168" i="37"/>
  <c r="H96" i="32"/>
  <c r="K315" i="25"/>
  <c r="I169" i="37"/>
  <c r="H97" i="32"/>
  <c r="K316" i="25"/>
  <c r="I170" i="37"/>
  <c r="H98" i="32"/>
  <c r="K317" i="25"/>
  <c r="I171" i="37"/>
  <c r="H99" i="32"/>
  <c r="K318" i="25"/>
  <c r="I172" i="37"/>
  <c r="H100" i="32"/>
  <c r="K319" i="25"/>
  <c r="I173" i="37"/>
  <c r="H101" i="32"/>
  <c r="K320" i="25"/>
  <c r="I174" i="37"/>
  <c r="H102" i="32"/>
  <c r="K321" i="25"/>
  <c r="I175" i="37"/>
  <c r="H103" i="32"/>
  <c r="K322" i="25"/>
  <c r="I176" i="37"/>
  <c r="H104" i="32"/>
  <c r="K323" i="25"/>
  <c r="I177" i="37"/>
  <c r="H105" i="32"/>
  <c r="K324" i="25"/>
  <c r="I178" i="37"/>
  <c r="H106" i="32"/>
  <c r="K325" i="25"/>
  <c r="I179" i="37"/>
  <c r="H107" i="32"/>
  <c r="K326" i="25"/>
  <c r="I180" i="37"/>
  <c r="H108" i="32"/>
  <c r="K327" i="25"/>
  <c r="I181" i="37"/>
  <c r="H109" i="32"/>
  <c r="K328" i="25"/>
  <c r="I182" i="37"/>
  <c r="H110" i="32"/>
  <c r="K329" i="25"/>
  <c r="I183" i="37"/>
  <c r="H111" i="32"/>
  <c r="K330" i="25"/>
  <c r="I184" i="37"/>
  <c r="H112" i="32"/>
  <c r="K331" i="25"/>
  <c r="I185" i="37"/>
  <c r="H113" i="32"/>
  <c r="K332" i="25"/>
  <c r="I186" i="37"/>
  <c r="H114" i="32"/>
  <c r="K333" i="25"/>
  <c r="I187" i="37"/>
  <c r="H115" i="32"/>
  <c r="K334" i="25"/>
  <c r="I188" i="37"/>
  <c r="H116" i="32"/>
  <c r="K335" i="25"/>
  <c r="I189" i="37"/>
  <c r="H117" i="32"/>
  <c r="K336" i="25"/>
  <c r="I190" i="37"/>
  <c r="H118" i="32"/>
  <c r="K337" i="25"/>
  <c r="I191" i="37"/>
  <c r="H119" i="32"/>
  <c r="K338" i="25"/>
  <c r="I192" i="37"/>
  <c r="H120" i="32"/>
  <c r="K339" i="25"/>
  <c r="I193" i="37"/>
  <c r="H121" i="32"/>
  <c r="K340" i="25"/>
  <c r="I194" i="37"/>
  <c r="H122" i="32"/>
  <c r="K341" i="25"/>
  <c r="I195" i="37"/>
  <c r="H123" i="32"/>
  <c r="K342" i="25"/>
  <c r="I196" i="37"/>
  <c r="H124" i="32"/>
  <c r="K343" i="25"/>
  <c r="I197" i="37"/>
  <c r="H125" i="32"/>
  <c r="K344" i="25"/>
  <c r="I198" i="37"/>
  <c r="H126" i="32"/>
  <c r="K345" i="25"/>
  <c r="I199" i="37"/>
  <c r="H127" i="32"/>
  <c r="K346" i="25"/>
  <c r="I200" i="37"/>
  <c r="H128" i="32"/>
  <c r="K347" i="25"/>
  <c r="I201" i="37"/>
  <c r="H129" i="32"/>
  <c r="K348" i="25"/>
  <c r="I202" i="37"/>
  <c r="H130" i="32"/>
  <c r="K349" i="25"/>
  <c r="I203" i="37"/>
  <c r="H131" i="32"/>
  <c r="K350" i="25"/>
  <c r="I204" i="37"/>
  <c r="H132" i="32"/>
  <c r="K351" i="25"/>
  <c r="I205" i="37"/>
  <c r="H133" i="32"/>
  <c r="K352" i="25"/>
  <c r="I206" i="37"/>
  <c r="H134" i="32"/>
  <c r="K353" i="25"/>
  <c r="I207" i="37"/>
  <c r="H135" i="32"/>
  <c r="K354" i="25"/>
  <c r="I208" i="37"/>
  <c r="H136" i="32"/>
  <c r="K355" i="25"/>
  <c r="I209" i="37"/>
  <c r="H137" i="32"/>
  <c r="K356" i="25"/>
  <c r="I210" i="37"/>
  <c r="H138" i="32"/>
  <c r="K357" i="25"/>
  <c r="I211" i="37"/>
  <c r="H139" i="32"/>
  <c r="K358" i="25"/>
  <c r="I212" i="37"/>
  <c r="H140" i="32"/>
  <c r="K359" i="25"/>
  <c r="I213" i="37"/>
  <c r="H141" i="32"/>
  <c r="K360" i="25"/>
  <c r="I214" i="37"/>
  <c r="H142" i="32"/>
  <c r="K361" i="25"/>
  <c r="I215" i="37"/>
  <c r="H143" i="32"/>
  <c r="K362" i="25"/>
  <c r="I216" i="37"/>
  <c r="H144" i="32"/>
  <c r="K363" i="25"/>
  <c r="I217" i="37"/>
  <c r="H145" i="32"/>
  <c r="K364" i="25"/>
  <c r="I218" i="37"/>
  <c r="H146" i="32"/>
  <c r="K365" i="25"/>
  <c r="I219" i="37"/>
  <c r="H147" i="32"/>
  <c r="K366" i="25"/>
  <c r="I220" i="37"/>
  <c r="H148" i="32"/>
  <c r="K367" i="25"/>
  <c r="I221" i="37"/>
  <c r="H149" i="32"/>
  <c r="K368" i="25"/>
  <c r="I222" i="37"/>
  <c r="H150" i="32"/>
  <c r="K369" i="25"/>
  <c r="I223" i="37"/>
  <c r="H151" i="32"/>
  <c r="K370" i="25"/>
  <c r="I224" i="37"/>
  <c r="H152" i="32"/>
  <c r="K371" i="25"/>
  <c r="I225" i="37"/>
  <c r="H153" i="32"/>
  <c r="K372" i="25"/>
  <c r="I226" i="37"/>
  <c r="H154" i="32"/>
  <c r="K373" i="25"/>
  <c r="I227" i="37"/>
  <c r="H155" i="32"/>
  <c r="K374" i="25"/>
  <c r="I228" i="37"/>
  <c r="H156" i="32"/>
  <c r="K375" i="25"/>
  <c r="I229" i="37"/>
  <c r="H157" i="32"/>
  <c r="K376" i="25"/>
  <c r="I230" i="37"/>
  <c r="H158" i="32"/>
  <c r="K377" i="25"/>
  <c r="I231" i="37"/>
  <c r="H159" i="32"/>
  <c r="K378" i="25"/>
  <c r="I232" i="37"/>
  <c r="H160" i="32"/>
  <c r="K379" i="25"/>
  <c r="I233" i="37"/>
  <c r="H161" i="32"/>
  <c r="K380" i="25"/>
  <c r="I234" i="37"/>
  <c r="H162" i="32"/>
  <c r="K381" i="25"/>
  <c r="I235" i="37"/>
  <c r="H163" i="32"/>
  <c r="K382" i="25"/>
  <c r="I236" i="37"/>
  <c r="H164" i="32"/>
  <c r="K383" i="25"/>
  <c r="I237" i="37"/>
  <c r="H165" i="32"/>
  <c r="K384" i="25"/>
  <c r="I238" i="37"/>
  <c r="H166" i="32"/>
  <c r="K385" i="25"/>
  <c r="I239" i="37"/>
  <c r="H167" i="32"/>
  <c r="K386" i="25"/>
  <c r="I240" i="37"/>
  <c r="H168" i="32"/>
  <c r="K387" i="25"/>
  <c r="I241" i="37"/>
  <c r="H169" i="32"/>
  <c r="K388" i="25"/>
  <c r="I242" i="37"/>
  <c r="H170" i="32"/>
  <c r="K389" i="25"/>
  <c r="I243" i="37"/>
  <c r="H171" i="32"/>
  <c r="K390" i="25"/>
  <c r="I244" i="37"/>
  <c r="H172" i="32"/>
  <c r="K391" i="25"/>
  <c r="I245" i="37"/>
  <c r="H173" i="32"/>
  <c r="K392" i="25"/>
  <c r="I246" i="37"/>
  <c r="H174" i="32"/>
  <c r="K393" i="25"/>
  <c r="I247" i="37"/>
  <c r="H175" i="32"/>
  <c r="K394" i="25"/>
  <c r="I248" i="37"/>
  <c r="H176" i="32"/>
  <c r="K395" i="25"/>
  <c r="I249" i="37"/>
  <c r="H177" i="32"/>
  <c r="K396" i="25"/>
  <c r="I250" i="37"/>
  <c r="H178" i="32"/>
  <c r="K397" i="25"/>
  <c r="I251" i="37"/>
  <c r="H179" i="32"/>
  <c r="K398" i="25"/>
  <c r="I252" i="37"/>
  <c r="H180" i="32"/>
  <c r="K399" i="25"/>
  <c r="I253" i="37"/>
  <c r="H181" i="32"/>
  <c r="K400" i="25"/>
  <c r="I254" i="37"/>
  <c r="H182" i="32"/>
  <c r="K401" i="25"/>
  <c r="I255" i="37"/>
  <c r="H183" i="32"/>
  <c r="K402" i="25"/>
  <c r="I256" i="37"/>
  <c r="H184" i="32"/>
  <c r="K403" i="25"/>
  <c r="I257" i="37"/>
  <c r="H185" i="32"/>
  <c r="K404" i="25"/>
  <c r="I258" i="37"/>
  <c r="H186" i="32"/>
  <c r="K405" i="25"/>
  <c r="I259" i="37"/>
  <c r="H187" i="32"/>
  <c r="K406" i="25"/>
  <c r="I260" i="37"/>
  <c r="H188" i="32"/>
  <c r="K407" i="25"/>
  <c r="I261" i="37"/>
  <c r="H189" i="32"/>
  <c r="K408" i="25"/>
  <c r="I262" i="37"/>
  <c r="H190" i="32"/>
  <c r="K409" i="25"/>
  <c r="I263" i="37"/>
  <c r="H191" i="32"/>
  <c r="K410" i="25"/>
  <c r="I264" i="37"/>
  <c r="H192" i="32"/>
  <c r="K411" i="25"/>
  <c r="I265" i="37"/>
  <c r="H193" i="32"/>
  <c r="K412" i="25"/>
  <c r="I266" i="37"/>
  <c r="H194" i="32"/>
  <c r="K413" i="25"/>
  <c r="I267" i="37"/>
  <c r="H195" i="32"/>
  <c r="K414" i="25"/>
  <c r="I268" i="37"/>
  <c r="H196" i="32"/>
  <c r="K415" i="25"/>
  <c r="I269" i="37"/>
  <c r="H197" i="32"/>
  <c r="K416" i="25"/>
  <c r="I270" i="37"/>
  <c r="H198" i="32"/>
  <c r="K417" i="25"/>
  <c r="I271" i="37"/>
  <c r="H199" i="32"/>
  <c r="K418" i="25"/>
  <c r="I272" i="37"/>
  <c r="H200" i="32"/>
  <c r="K419" i="25"/>
  <c r="I273" i="37"/>
  <c r="H201" i="32"/>
  <c r="K420" i="25"/>
  <c r="I274" i="37"/>
  <c r="H202" i="32"/>
  <c r="K421" i="25"/>
  <c r="I275" i="37"/>
  <c r="H203" i="32"/>
  <c r="K422" i="25"/>
  <c r="I276" i="37"/>
  <c r="H204" i="32"/>
  <c r="K423" i="25"/>
  <c r="I277" i="37"/>
  <c r="H205" i="32"/>
  <c r="K424" i="25"/>
  <c r="I278" i="37"/>
  <c r="H206" i="32"/>
  <c r="K425" i="25"/>
  <c r="I279" i="37"/>
  <c r="H207" i="32"/>
  <c r="K426" i="25"/>
  <c r="I280" i="37"/>
  <c r="H208" i="32"/>
  <c r="K427" i="25"/>
  <c r="I281" i="37"/>
  <c r="H209" i="32"/>
  <c r="K428" i="25"/>
  <c r="I282" i="37"/>
  <c r="H210" i="32"/>
  <c r="K429" i="25"/>
  <c r="I283" i="37"/>
  <c r="H211" i="32"/>
  <c r="K430" i="25"/>
  <c r="I284" i="37"/>
  <c r="H212" i="32"/>
  <c r="K431" i="25"/>
  <c r="I285" i="37"/>
  <c r="H213" i="32"/>
  <c r="K432" i="25"/>
  <c r="I286" i="37"/>
  <c r="H214" i="32"/>
  <c r="K433" i="25"/>
  <c r="I287" i="37"/>
  <c r="H215" i="32"/>
  <c r="K434" i="25"/>
  <c r="I288" i="37"/>
  <c r="H216" i="32"/>
  <c r="K435" i="25"/>
  <c r="I289" i="37"/>
  <c r="H217" i="32"/>
  <c r="K436" i="25"/>
  <c r="I290" i="37"/>
  <c r="H218" i="32"/>
  <c r="K437" i="25"/>
  <c r="I291" i="37"/>
  <c r="H219" i="32"/>
  <c r="K438" i="25"/>
  <c r="I292" i="37"/>
  <c r="H220" i="32"/>
  <c r="K439" i="25"/>
  <c r="I293" i="37"/>
  <c r="H221" i="32"/>
  <c r="K440" i="25"/>
  <c r="I294" i="37"/>
  <c r="H222" i="32"/>
  <c r="K441" i="25"/>
  <c r="I295" i="37"/>
  <c r="H223" i="32"/>
  <c r="K662" i="25"/>
  <c r="I296" i="37"/>
  <c r="H224" i="32"/>
  <c r="K663" i="25"/>
  <c r="I297" i="37"/>
  <c r="H225" i="32"/>
  <c r="K664" i="25"/>
  <c r="I298" i="37"/>
  <c r="H226" i="32"/>
  <c r="K665" i="25"/>
  <c r="I299" i="37"/>
  <c r="H227" i="32"/>
  <c r="K666" i="25"/>
  <c r="I300" i="37"/>
  <c r="H228" i="32"/>
  <c r="K667" i="25"/>
  <c r="I301" i="37"/>
  <c r="H229" i="32"/>
  <c r="K668" i="25"/>
  <c r="I302" i="37"/>
  <c r="H230" i="32"/>
  <c r="K669" i="25"/>
  <c r="I303" i="37"/>
  <c r="H231" i="32"/>
  <c r="K670" i="25"/>
  <c r="I304" i="37"/>
  <c r="H232" i="32"/>
  <c r="K671" i="25"/>
  <c r="I305" i="37"/>
  <c r="H233" i="32"/>
  <c r="K672" i="25"/>
  <c r="I306" i="37"/>
  <c r="H234" i="32"/>
  <c r="K673" i="25"/>
  <c r="I307" i="37"/>
  <c r="H235" i="32"/>
  <c r="K674" i="25"/>
  <c r="I308" i="37"/>
  <c r="H236" i="32"/>
  <c r="K675" i="25"/>
  <c r="I309" i="37"/>
  <c r="H237" i="32"/>
  <c r="K676" i="25"/>
  <c r="I310" i="37"/>
  <c r="H238" i="32"/>
  <c r="K677" i="25"/>
  <c r="I311" i="37"/>
  <c r="H239" i="32"/>
  <c r="K678" i="25"/>
  <c r="I312" i="37"/>
  <c r="H240" i="32"/>
  <c r="K679" i="25"/>
  <c r="I313" i="37"/>
  <c r="H241" i="32"/>
  <c r="K680" i="25"/>
  <c r="I314" i="37"/>
  <c r="H242" i="32"/>
  <c r="K681" i="25"/>
  <c r="I315" i="37"/>
  <c r="H243" i="32"/>
  <c r="K682" i="25"/>
  <c r="I316" i="37"/>
  <c r="H244" i="32"/>
  <c r="K683" i="25"/>
  <c r="I317" i="37"/>
  <c r="H245" i="32"/>
  <c r="K684" i="25"/>
  <c r="I318" i="37"/>
  <c r="H246" i="32"/>
  <c r="K685" i="25"/>
  <c r="I319" i="37"/>
  <c r="H247" i="32"/>
  <c r="K686" i="25"/>
  <c r="I320" i="37"/>
  <c r="H248" i="32"/>
  <c r="K687" i="25"/>
  <c r="I321" i="37"/>
  <c r="H249" i="32"/>
  <c r="K688" i="25"/>
  <c r="I322" i="37"/>
  <c r="H250" i="32"/>
  <c r="K689" i="25"/>
  <c r="I323" i="37"/>
  <c r="H251" i="32"/>
  <c r="K690" i="25"/>
  <c r="I324" i="37"/>
  <c r="H252" i="32"/>
  <c r="K691" i="25"/>
  <c r="I325" i="37"/>
  <c r="H253" i="32"/>
  <c r="K692" i="25"/>
  <c r="I326" i="37"/>
  <c r="H254" i="32"/>
  <c r="K693" i="25"/>
  <c r="I327" i="37"/>
  <c r="H255" i="32"/>
  <c r="K694" i="25"/>
  <c r="I328" i="37"/>
  <c r="H256" i="32"/>
  <c r="K695" i="25"/>
  <c r="I329" i="37"/>
  <c r="H257" i="32"/>
  <c r="K696" i="25"/>
  <c r="I330" i="37"/>
  <c r="H258" i="32"/>
  <c r="K697" i="25"/>
  <c r="I331" i="37"/>
  <c r="H259" i="32"/>
  <c r="K698" i="25"/>
  <c r="I332" i="37"/>
  <c r="H260" i="32"/>
  <c r="K699" i="25"/>
  <c r="I333" i="37"/>
  <c r="H261" i="32"/>
  <c r="K700" i="25"/>
  <c r="I334" i="37"/>
  <c r="H262" i="32"/>
  <c r="K701" i="25"/>
  <c r="I335" i="37"/>
  <c r="H263" i="32"/>
  <c r="K702" i="25"/>
  <c r="I336" i="37"/>
  <c r="H264" i="32"/>
  <c r="K703" i="25"/>
  <c r="I337" i="37"/>
  <c r="H265" i="32"/>
  <c r="K704" i="25"/>
  <c r="I338" i="37"/>
  <c r="H266" i="32"/>
  <c r="K705" i="25"/>
  <c r="I339" i="37"/>
  <c r="H267" i="32"/>
  <c r="K706" i="25"/>
  <c r="I340" i="37"/>
  <c r="H268" i="32"/>
  <c r="K707" i="25"/>
  <c r="I341" i="37"/>
  <c r="H269" i="32"/>
  <c r="K708" i="25"/>
  <c r="I342" i="37"/>
  <c r="H270" i="32"/>
  <c r="K709" i="25"/>
  <c r="I343" i="37"/>
  <c r="H271" i="32"/>
  <c r="K710" i="25"/>
  <c r="I344" i="37"/>
  <c r="H272" i="32"/>
  <c r="K711" i="25"/>
  <c r="I345" i="37"/>
  <c r="H273" i="32"/>
  <c r="K712" i="25"/>
  <c r="I346" i="37"/>
  <c r="H274" i="32"/>
  <c r="K713" i="25"/>
  <c r="I347" i="37"/>
  <c r="H275" i="32"/>
  <c r="K714" i="25"/>
  <c r="I348" i="37"/>
  <c r="H276" i="32"/>
  <c r="K715" i="25"/>
  <c r="I349" i="37"/>
  <c r="H277" i="32"/>
  <c r="K717" i="25"/>
  <c r="I351" i="37"/>
  <c r="H279" i="32"/>
  <c r="K718" i="25"/>
  <c r="I352" i="37"/>
  <c r="H280" i="32"/>
  <c r="K719" i="25"/>
  <c r="I353" i="37"/>
  <c r="H281" i="32"/>
  <c r="K720" i="25"/>
  <c r="I354" i="37"/>
  <c r="H282" i="32"/>
  <c r="K721" i="25"/>
  <c r="I355" i="37"/>
  <c r="H283" i="32"/>
  <c r="K722" i="25"/>
  <c r="I356" i="37"/>
  <c r="H284" i="32"/>
  <c r="K723" i="25"/>
  <c r="I357" i="37"/>
  <c r="H285" i="32"/>
  <c r="K724" i="25"/>
  <c r="I358" i="37"/>
  <c r="H286" i="32"/>
  <c r="K725" i="25"/>
  <c r="I359" i="37"/>
  <c r="H287" i="32"/>
  <c r="K726" i="25"/>
  <c r="I360" i="37"/>
  <c r="H288" i="32"/>
  <c r="K727" i="25"/>
  <c r="I361" i="37"/>
  <c r="H289" i="32"/>
  <c r="K728" i="25"/>
  <c r="I362" i="37"/>
  <c r="H290" i="32"/>
  <c r="K729" i="25"/>
  <c r="I363" i="37"/>
  <c r="H291" i="32"/>
  <c r="K730" i="25"/>
  <c r="I364" i="37"/>
  <c r="H292" i="32"/>
  <c r="K731" i="25"/>
  <c r="I365" i="37"/>
  <c r="H293" i="32"/>
  <c r="K732" i="25"/>
  <c r="I366" i="37"/>
  <c r="H294" i="32"/>
  <c r="K733" i="25"/>
  <c r="I367" i="37"/>
  <c r="H295" i="32"/>
  <c r="K734" i="25"/>
  <c r="I368" i="37"/>
  <c r="H296" i="32"/>
  <c r="K735" i="25"/>
  <c r="I369" i="37"/>
  <c r="H297" i="32"/>
  <c r="K736" i="25"/>
  <c r="I370" i="37"/>
  <c r="H298" i="32"/>
  <c r="K737" i="25"/>
  <c r="I371" i="37"/>
  <c r="H299" i="32"/>
  <c r="K738" i="25"/>
  <c r="I372" i="37"/>
  <c r="H300" i="32"/>
  <c r="K739" i="25"/>
  <c r="I373" i="37"/>
  <c r="H301" i="32"/>
  <c r="K740" i="25"/>
  <c r="I374" i="37"/>
  <c r="H302" i="32"/>
  <c r="K741" i="25"/>
  <c r="I375" i="37"/>
  <c r="H303" i="32"/>
  <c r="K742" i="25"/>
  <c r="I376" i="37"/>
  <c r="H304" i="32"/>
  <c r="K743" i="25"/>
  <c r="I377" i="37"/>
  <c r="H305" i="32"/>
  <c r="K744" i="25"/>
  <c r="I378" i="37"/>
  <c r="H306" i="32"/>
  <c r="K745" i="25"/>
  <c r="I379" i="37"/>
  <c r="H307" i="32"/>
  <c r="K746" i="25"/>
  <c r="I380" i="37"/>
  <c r="H308" i="32"/>
  <c r="K747" i="25"/>
  <c r="I381" i="37"/>
  <c r="H309" i="32"/>
  <c r="K748" i="25"/>
  <c r="I382" i="37"/>
  <c r="H310" i="32"/>
  <c r="K749" i="25"/>
  <c r="I383" i="37"/>
  <c r="H311" i="32"/>
  <c r="K750" i="25"/>
  <c r="I384" i="37"/>
  <c r="H312" i="32"/>
  <c r="K751" i="25"/>
  <c r="I385" i="37"/>
  <c r="H313" i="32"/>
  <c r="K752" i="25"/>
  <c r="I386" i="37"/>
  <c r="H314" i="32"/>
  <c r="K753" i="25"/>
  <c r="I387" i="37"/>
  <c r="H315" i="32"/>
  <c r="K754" i="25"/>
  <c r="I388" i="37"/>
  <c r="H316" i="32"/>
  <c r="K755" i="25"/>
  <c r="I389" i="37"/>
  <c r="H317" i="32"/>
  <c r="K756" i="25"/>
  <c r="I390" i="37"/>
  <c r="H318" i="32"/>
  <c r="K757" i="25"/>
  <c r="I391" i="37"/>
  <c r="H319" i="32"/>
  <c r="K758" i="25"/>
  <c r="I392" i="37"/>
  <c r="H320" i="32"/>
  <c r="K759" i="25"/>
  <c r="I393" i="37"/>
  <c r="H321" i="32"/>
  <c r="K760" i="25"/>
  <c r="I394" i="37"/>
  <c r="H322" i="32"/>
  <c r="K761" i="25"/>
  <c r="I395" i="37"/>
  <c r="H323" i="32"/>
  <c r="K762" i="25"/>
  <c r="I396" i="37"/>
  <c r="H324" i="32"/>
  <c r="K763" i="25"/>
  <c r="I397" i="37"/>
  <c r="H325" i="32"/>
  <c r="K764" i="25"/>
  <c r="I398" i="37"/>
  <c r="H326" i="32"/>
  <c r="K765" i="25"/>
  <c r="I399" i="37"/>
  <c r="H327" i="32"/>
  <c r="K766" i="25"/>
  <c r="I400" i="37"/>
  <c r="H328" i="32"/>
  <c r="K767" i="25"/>
  <c r="I401" i="37"/>
  <c r="H329" i="32"/>
  <c r="K768" i="25"/>
  <c r="I402" i="37"/>
  <c r="H330" i="32"/>
  <c r="K769" i="25"/>
  <c r="I403" i="37"/>
  <c r="H331" i="32"/>
  <c r="K770" i="25"/>
  <c r="I404" i="37"/>
  <c r="H332" i="32"/>
  <c r="K772" i="25"/>
  <c r="I406" i="37"/>
  <c r="H334" i="32"/>
  <c r="K773" i="25"/>
  <c r="I407" i="37"/>
  <c r="H335" i="32"/>
  <c r="K774" i="25"/>
  <c r="I408" i="37"/>
  <c r="H336" i="32"/>
  <c r="K775" i="25"/>
  <c r="I409" i="37"/>
  <c r="H337" i="32"/>
  <c r="K776" i="25"/>
  <c r="I410" i="37"/>
  <c r="H338" i="32"/>
  <c r="K777" i="25"/>
  <c r="I411" i="37"/>
  <c r="H339" i="32"/>
  <c r="K778" i="25"/>
  <c r="I412" i="37"/>
  <c r="H340" i="32"/>
  <c r="K779" i="25"/>
  <c r="I413" i="37"/>
  <c r="H341" i="32"/>
  <c r="K780" i="25"/>
  <c r="I414" i="37"/>
  <c r="H342" i="32"/>
  <c r="K781" i="25"/>
  <c r="I415" i="37"/>
  <c r="H343" i="32"/>
  <c r="K782" i="25"/>
  <c r="I416" i="37"/>
  <c r="H344" i="32"/>
  <c r="K783" i="25"/>
  <c r="I417" i="37"/>
  <c r="H345" i="32"/>
  <c r="K784" i="25"/>
  <c r="I418" i="37"/>
  <c r="H346" i="32"/>
  <c r="K785" i="25"/>
  <c r="I419" i="37"/>
  <c r="H347" i="32"/>
  <c r="K786" i="25"/>
  <c r="I420" i="37"/>
  <c r="H348" i="32"/>
  <c r="K787" i="25"/>
  <c r="I421" i="37"/>
  <c r="H349" i="32"/>
  <c r="K788" i="25"/>
  <c r="I422" i="37"/>
  <c r="H350" i="32"/>
  <c r="K789" i="25"/>
  <c r="I423" i="37"/>
  <c r="H351" i="32"/>
  <c r="K790" i="25"/>
  <c r="I424" i="37"/>
  <c r="H352" i="32"/>
  <c r="K791" i="25"/>
  <c r="I425" i="37"/>
  <c r="H353" i="32"/>
  <c r="K792" i="25"/>
  <c r="I426" i="37"/>
  <c r="H354" i="32"/>
  <c r="K793" i="25"/>
  <c r="I427" i="37"/>
  <c r="H355" i="32"/>
  <c r="K794" i="25"/>
  <c r="I428" i="37"/>
  <c r="H356" i="32"/>
  <c r="K795" i="25"/>
  <c r="I429" i="37"/>
  <c r="H357" i="32"/>
  <c r="K796" i="25"/>
  <c r="I430" i="37"/>
  <c r="H358" i="32"/>
  <c r="K797" i="25"/>
  <c r="I431" i="37"/>
  <c r="H359" i="32"/>
  <c r="K798" i="25"/>
  <c r="I432" i="37"/>
  <c r="H360" i="32"/>
  <c r="K799" i="25"/>
  <c r="I433" i="37"/>
  <c r="H361" i="32"/>
  <c r="K800" i="25"/>
  <c r="I434" i="37"/>
  <c r="H362" i="32"/>
  <c r="K801" i="25"/>
  <c r="I435" i="37"/>
  <c r="H363" i="32"/>
  <c r="K802" i="25"/>
  <c r="I436" i="37"/>
  <c r="H364" i="32"/>
  <c r="K803" i="25"/>
  <c r="I437" i="37"/>
  <c r="H365" i="32"/>
  <c r="K804" i="25"/>
  <c r="I438" i="37"/>
  <c r="H366" i="32"/>
  <c r="K805" i="25"/>
  <c r="I439" i="37"/>
  <c r="H367" i="32"/>
  <c r="K806" i="25"/>
  <c r="I440" i="37"/>
  <c r="H368" i="32"/>
  <c r="K807" i="25"/>
  <c r="I441" i="37"/>
  <c r="H369" i="32"/>
  <c r="K808" i="25"/>
  <c r="I442" i="37"/>
  <c r="H370" i="32"/>
  <c r="K809" i="25"/>
  <c r="I443" i="37"/>
  <c r="H371" i="32"/>
  <c r="K810" i="25"/>
  <c r="I444" i="37"/>
  <c r="H372" i="32"/>
  <c r="K811" i="25"/>
  <c r="I445" i="37"/>
  <c r="H373" i="32"/>
  <c r="K812" i="25"/>
  <c r="I446" i="37"/>
  <c r="H374" i="32"/>
  <c r="K813" i="25"/>
  <c r="I447" i="37"/>
  <c r="H375" i="32"/>
  <c r="K814" i="25"/>
  <c r="I448" i="37"/>
  <c r="H376" i="32"/>
  <c r="K815" i="25"/>
  <c r="I449" i="37"/>
  <c r="H377" i="32"/>
  <c r="K816" i="25"/>
  <c r="I450" i="37"/>
  <c r="H378" i="32"/>
  <c r="K817" i="25"/>
  <c r="I451" i="37"/>
  <c r="H379" i="32"/>
  <c r="K818" i="25"/>
  <c r="I452" i="37"/>
  <c r="H380" i="32"/>
  <c r="K819" i="25"/>
  <c r="I453" i="37"/>
  <c r="H381" i="32"/>
  <c r="K820" i="25"/>
  <c r="I454" i="37"/>
  <c r="H382" i="32"/>
  <c r="K821" i="25"/>
  <c r="I455" i="37"/>
  <c r="H383" i="32"/>
  <c r="K822" i="25"/>
  <c r="I456" i="37"/>
  <c r="H384" i="32"/>
  <c r="K823" i="25"/>
  <c r="I457" i="37"/>
  <c r="H385" i="32"/>
  <c r="K824" i="25"/>
  <c r="I458" i="37"/>
  <c r="H386" i="32"/>
  <c r="K825" i="25"/>
  <c r="I459" i="37"/>
  <c r="H387" i="32"/>
  <c r="K826" i="25"/>
  <c r="I460" i="37"/>
  <c r="H388" i="32"/>
  <c r="K827" i="25"/>
  <c r="I461" i="37"/>
  <c r="H389" i="32"/>
  <c r="K828" i="25"/>
  <c r="I462" i="37"/>
  <c r="H390" i="32"/>
  <c r="K829" i="25"/>
  <c r="I463" i="37"/>
  <c r="H391" i="32"/>
  <c r="K830" i="25"/>
  <c r="I464" i="37"/>
  <c r="H392" i="32"/>
  <c r="K831" i="25"/>
  <c r="I465" i="37"/>
  <c r="H393" i="32"/>
  <c r="K832" i="25"/>
  <c r="I466" i="37"/>
  <c r="H394" i="32"/>
  <c r="K833" i="25"/>
  <c r="I467" i="37"/>
  <c r="H395" i="32"/>
  <c r="K834" i="25"/>
  <c r="I468" i="37"/>
  <c r="H396" i="32"/>
  <c r="K835" i="25"/>
  <c r="I469" i="37"/>
  <c r="H397" i="32"/>
  <c r="K836" i="25"/>
  <c r="I470" i="37"/>
  <c r="H398" i="32"/>
  <c r="K837" i="25"/>
  <c r="I471" i="37"/>
  <c r="H399" i="32"/>
  <c r="K838" i="25"/>
  <c r="I472" i="37"/>
  <c r="H400" i="32"/>
  <c r="K839" i="25"/>
  <c r="I473" i="37"/>
  <c r="H401" i="32"/>
  <c r="K840" i="25"/>
  <c r="I474" i="37"/>
  <c r="H402" i="32"/>
  <c r="K841" i="25"/>
  <c r="I475" i="37"/>
  <c r="H403" i="32"/>
  <c r="K842" i="25"/>
  <c r="I476" i="37"/>
  <c r="H404" i="32"/>
  <c r="K843" i="25"/>
  <c r="I477" i="37"/>
  <c r="H405" i="32"/>
  <c r="K844" i="25"/>
  <c r="I478" i="37"/>
  <c r="H406" i="32"/>
  <c r="K845" i="25"/>
  <c r="I479" i="37"/>
  <c r="H407" i="32"/>
  <c r="K846" i="25"/>
  <c r="I480" i="37"/>
  <c r="H408" i="32"/>
  <c r="K847" i="25"/>
  <c r="I481" i="37"/>
  <c r="H409" i="32"/>
  <c r="K848" i="25"/>
  <c r="I482" i="37"/>
  <c r="H410" i="32"/>
  <c r="K849" i="25"/>
  <c r="I483" i="37"/>
  <c r="H411" i="32"/>
  <c r="K850" i="25"/>
  <c r="I484" i="37"/>
  <c r="H412" i="32"/>
  <c r="K851" i="25"/>
  <c r="I485" i="37"/>
  <c r="H413" i="32"/>
  <c r="K852" i="25"/>
  <c r="I486" i="37"/>
  <c r="H414" i="32"/>
  <c r="K853" i="25"/>
  <c r="I487" i="37"/>
  <c r="H415" i="32"/>
  <c r="K854" i="25"/>
  <c r="I488" i="37"/>
  <c r="H416" i="32"/>
  <c r="K855" i="25"/>
  <c r="I489" i="37"/>
  <c r="H417" i="32"/>
  <c r="K856" i="25"/>
  <c r="I490" i="37"/>
  <c r="H418" i="32"/>
  <c r="K857" i="25"/>
  <c r="I491" i="37"/>
  <c r="H419" i="32"/>
  <c r="K858" i="25"/>
  <c r="I492" i="37"/>
  <c r="H420" i="32"/>
  <c r="K859" i="25"/>
  <c r="I493" i="37"/>
  <c r="H421" i="32"/>
  <c r="K860" i="25"/>
  <c r="I494" i="37"/>
  <c r="H422" i="32"/>
  <c r="K861" i="25"/>
  <c r="I495" i="37"/>
  <c r="H423" i="32"/>
  <c r="K862" i="25"/>
  <c r="I496" i="37"/>
  <c r="H424" i="32"/>
  <c r="K863" i="25"/>
  <c r="I497" i="37"/>
  <c r="H425" i="32"/>
  <c r="K864" i="25"/>
  <c r="I498" i="37"/>
  <c r="H426" i="32"/>
  <c r="K865" i="25"/>
  <c r="I499" i="37"/>
  <c r="H427" i="32"/>
  <c r="K866" i="25"/>
  <c r="I500" i="37"/>
  <c r="H428" i="32"/>
  <c r="K867" i="25"/>
  <c r="I501" i="37"/>
  <c r="H429" i="32"/>
  <c r="K868" i="25"/>
  <c r="I502" i="37"/>
  <c r="H430" i="32"/>
  <c r="K869" i="25"/>
  <c r="I503" i="37"/>
  <c r="H431" i="32"/>
  <c r="K870" i="25"/>
  <c r="I504" i="37"/>
  <c r="H432" i="32"/>
  <c r="K871" i="25"/>
  <c r="I505" i="37"/>
  <c r="H433" i="32"/>
  <c r="K872" i="25"/>
  <c r="I506" i="37"/>
  <c r="H434" i="32"/>
  <c r="K873" i="25"/>
  <c r="I507" i="37"/>
  <c r="H435" i="32"/>
  <c r="K874" i="25"/>
  <c r="I508" i="37"/>
  <c r="H436" i="32"/>
  <c r="K875" i="25"/>
  <c r="I509" i="37"/>
  <c r="H437" i="32"/>
  <c r="K876" i="25"/>
  <c r="I510" i="37"/>
  <c r="H438" i="32"/>
  <c r="K877" i="25"/>
  <c r="I511" i="37"/>
  <c r="H439" i="32"/>
  <c r="K878" i="25"/>
  <c r="I512" i="37"/>
  <c r="H440" i="32"/>
  <c r="K879" i="25"/>
  <c r="I513" i="37"/>
  <c r="H441" i="32"/>
  <c r="K880" i="25"/>
  <c r="I514" i="37"/>
  <c r="H442" i="32"/>
  <c r="K881" i="25"/>
  <c r="I515" i="37"/>
  <c r="H443" i="32"/>
  <c r="H444" i="32"/>
  <c r="H445" i="32"/>
  <c r="H446" i="32"/>
  <c r="H447" i="32"/>
  <c r="H448" i="32"/>
  <c r="H449" i="32"/>
  <c r="H450" i="32"/>
  <c r="H451" i="32"/>
  <c r="H452" i="32"/>
  <c r="H453" i="32"/>
  <c r="H454" i="32"/>
  <c r="J5" i="32"/>
  <c r="J4" i="32"/>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K3" i="25"/>
  <c r="H77" i="37"/>
  <c r="G5" i="32"/>
  <c r="K2" i="25"/>
  <c r="H76" i="37"/>
  <c r="G4" i="32"/>
  <c r="K4" i="25"/>
  <c r="H78" i="37"/>
  <c r="G6" i="32"/>
  <c r="K5" i="25"/>
  <c r="H79" i="37"/>
  <c r="G7" i="32"/>
  <c r="K6" i="25"/>
  <c r="H80" i="37"/>
  <c r="G8" i="32"/>
  <c r="K7" i="25"/>
  <c r="H81" i="37"/>
  <c r="G9" i="32"/>
  <c r="K8" i="25"/>
  <c r="H82" i="37"/>
  <c r="G10" i="32"/>
  <c r="K9" i="25"/>
  <c r="H83" i="37"/>
  <c r="G11" i="32"/>
  <c r="K10" i="25"/>
  <c r="H84" i="37"/>
  <c r="G12" i="32"/>
  <c r="K11" i="25"/>
  <c r="H85" i="37"/>
  <c r="G13" i="32"/>
  <c r="K12" i="25"/>
  <c r="H86" i="37"/>
  <c r="G14" i="32"/>
  <c r="K13" i="25"/>
  <c r="H87" i="37"/>
  <c r="G15" i="32"/>
  <c r="K14" i="25"/>
  <c r="H88" i="37"/>
  <c r="G16" i="32"/>
  <c r="K15" i="25"/>
  <c r="H89" i="37"/>
  <c r="G17" i="32"/>
  <c r="K16" i="25"/>
  <c r="H90" i="37"/>
  <c r="G18" i="32"/>
  <c r="K17" i="25"/>
  <c r="H91" i="37"/>
  <c r="G19" i="32"/>
  <c r="K18" i="25"/>
  <c r="H92" i="37"/>
  <c r="G20" i="32"/>
  <c r="K19" i="25"/>
  <c r="H93" i="37"/>
  <c r="G21" i="32"/>
  <c r="K20" i="25"/>
  <c r="H94" i="37"/>
  <c r="G22" i="32"/>
  <c r="K21" i="25"/>
  <c r="H95" i="37"/>
  <c r="G23" i="32"/>
  <c r="K22" i="25"/>
  <c r="H96" i="37"/>
  <c r="G24" i="32"/>
  <c r="K23" i="25"/>
  <c r="H97" i="37"/>
  <c r="G25" i="32"/>
  <c r="K24" i="25"/>
  <c r="H98" i="37"/>
  <c r="G26" i="32"/>
  <c r="K25" i="25"/>
  <c r="H99" i="37"/>
  <c r="G27" i="32"/>
  <c r="K26" i="25"/>
  <c r="H100" i="37"/>
  <c r="G28" i="32"/>
  <c r="K27" i="25"/>
  <c r="H101" i="37"/>
  <c r="G29" i="32"/>
  <c r="K28" i="25"/>
  <c r="H102" i="37"/>
  <c r="G30" i="32"/>
  <c r="K29" i="25"/>
  <c r="H103" i="37"/>
  <c r="G31" i="32"/>
  <c r="K30" i="25"/>
  <c r="H104" i="37"/>
  <c r="G32" i="32"/>
  <c r="K31" i="25"/>
  <c r="H105" i="37"/>
  <c r="G33" i="32"/>
  <c r="K32" i="25"/>
  <c r="H106" i="37"/>
  <c r="G34" i="32"/>
  <c r="K33" i="25"/>
  <c r="H107" i="37"/>
  <c r="G35" i="32"/>
  <c r="K34" i="25"/>
  <c r="H108" i="37"/>
  <c r="G36" i="32"/>
  <c r="K35" i="25"/>
  <c r="H109" i="37"/>
  <c r="G37" i="32"/>
  <c r="K36" i="25"/>
  <c r="H110" i="37"/>
  <c r="G38" i="32"/>
  <c r="K37" i="25"/>
  <c r="H111" i="37"/>
  <c r="G39" i="32"/>
  <c r="K38" i="25"/>
  <c r="H112" i="37"/>
  <c r="G40" i="32"/>
  <c r="K39" i="25"/>
  <c r="H113" i="37"/>
  <c r="G41" i="32"/>
  <c r="K40" i="25"/>
  <c r="H114" i="37"/>
  <c r="G42" i="32"/>
  <c r="K41" i="25"/>
  <c r="H115" i="37"/>
  <c r="G43" i="32"/>
  <c r="K42" i="25"/>
  <c r="H116" i="37"/>
  <c r="G44" i="32"/>
  <c r="K43" i="25"/>
  <c r="H117" i="37"/>
  <c r="G45" i="32"/>
  <c r="K44" i="25"/>
  <c r="H118" i="37"/>
  <c r="G46" i="32"/>
  <c r="K45" i="25"/>
  <c r="H119" i="37"/>
  <c r="G47" i="32"/>
  <c r="K46" i="25"/>
  <c r="H120" i="37"/>
  <c r="G48" i="32"/>
  <c r="K47" i="25"/>
  <c r="H121" i="37"/>
  <c r="G49" i="32"/>
  <c r="K48" i="25"/>
  <c r="H122" i="37"/>
  <c r="G50" i="32"/>
  <c r="K49" i="25"/>
  <c r="H123" i="37"/>
  <c r="G51" i="32"/>
  <c r="K50" i="25"/>
  <c r="H124" i="37"/>
  <c r="G52" i="32"/>
  <c r="K51" i="25"/>
  <c r="H125" i="37"/>
  <c r="G53" i="32"/>
  <c r="K52" i="25"/>
  <c r="H126" i="37"/>
  <c r="G54" i="32"/>
  <c r="K53" i="25"/>
  <c r="H127" i="37"/>
  <c r="G55" i="32"/>
  <c r="K54" i="25"/>
  <c r="H128" i="37"/>
  <c r="G56" i="32"/>
  <c r="K55" i="25"/>
  <c r="H129" i="37"/>
  <c r="G57" i="32"/>
  <c r="K56" i="25"/>
  <c r="H130" i="37"/>
  <c r="G58" i="32"/>
  <c r="K57" i="25"/>
  <c r="H131" i="37"/>
  <c r="G59" i="32"/>
  <c r="K58" i="25"/>
  <c r="H132" i="37"/>
  <c r="G60" i="32"/>
  <c r="K59" i="25"/>
  <c r="H133" i="37"/>
  <c r="G61" i="32"/>
  <c r="K60" i="25"/>
  <c r="H134" i="37"/>
  <c r="G62" i="32"/>
  <c r="K61" i="25"/>
  <c r="H135" i="37"/>
  <c r="G63" i="32"/>
  <c r="K62" i="25"/>
  <c r="H136" i="37"/>
  <c r="G64" i="32"/>
  <c r="K63" i="25"/>
  <c r="H137" i="37"/>
  <c r="G65" i="32"/>
  <c r="K64" i="25"/>
  <c r="H138" i="37"/>
  <c r="G66" i="32"/>
  <c r="K65" i="25"/>
  <c r="H139" i="37"/>
  <c r="G67" i="32"/>
  <c r="K66" i="25"/>
  <c r="H140" i="37"/>
  <c r="G68" i="32"/>
  <c r="K67" i="25"/>
  <c r="H141" i="37"/>
  <c r="G69" i="32"/>
  <c r="K68" i="25"/>
  <c r="H142" i="37"/>
  <c r="G70" i="32"/>
  <c r="K69" i="25"/>
  <c r="H143" i="37"/>
  <c r="G71" i="32"/>
  <c r="K70" i="25"/>
  <c r="H144" i="37"/>
  <c r="G72" i="32"/>
  <c r="K71" i="25"/>
  <c r="H145" i="37"/>
  <c r="G73" i="32"/>
  <c r="K72" i="25"/>
  <c r="H146" i="37"/>
  <c r="G74" i="32"/>
  <c r="K73" i="25"/>
  <c r="H147" i="37"/>
  <c r="G75" i="32"/>
  <c r="K74" i="25"/>
  <c r="H148" i="37"/>
  <c r="G76" i="32"/>
  <c r="K75" i="25"/>
  <c r="H149" i="37"/>
  <c r="G77" i="32"/>
  <c r="K76" i="25"/>
  <c r="H150" i="37"/>
  <c r="G78" i="32"/>
  <c r="K77" i="25"/>
  <c r="H151" i="37"/>
  <c r="G79" i="32"/>
  <c r="K78" i="25"/>
  <c r="H152" i="37"/>
  <c r="G80" i="32"/>
  <c r="K79" i="25"/>
  <c r="H153" i="37"/>
  <c r="G81" i="32"/>
  <c r="K80" i="25"/>
  <c r="H154" i="37"/>
  <c r="G82" i="32"/>
  <c r="K81" i="25"/>
  <c r="H155" i="37"/>
  <c r="G83" i="32"/>
  <c r="K82" i="25"/>
  <c r="H156" i="37"/>
  <c r="G84" i="32"/>
  <c r="K83" i="25"/>
  <c r="H157" i="37"/>
  <c r="G85" i="32"/>
  <c r="K84" i="25"/>
  <c r="H158" i="37"/>
  <c r="G86" i="32"/>
  <c r="K85" i="25"/>
  <c r="H159" i="37"/>
  <c r="G87" i="32"/>
  <c r="K86" i="25"/>
  <c r="H160" i="37"/>
  <c r="G88" i="32"/>
  <c r="K87" i="25"/>
  <c r="H161" i="37"/>
  <c r="G89" i="32"/>
  <c r="K88" i="25"/>
  <c r="H162" i="37"/>
  <c r="G90" i="32"/>
  <c r="K89" i="25"/>
  <c r="H163" i="37"/>
  <c r="G91" i="32"/>
  <c r="K90" i="25"/>
  <c r="H164" i="37"/>
  <c r="G92" i="32"/>
  <c r="K91" i="25"/>
  <c r="H165" i="37"/>
  <c r="G93" i="32"/>
  <c r="K92" i="25"/>
  <c r="H166" i="37"/>
  <c r="G94" i="32"/>
  <c r="K93" i="25"/>
  <c r="H167" i="37"/>
  <c r="G95" i="32"/>
  <c r="K94" i="25"/>
  <c r="H168" i="37"/>
  <c r="G96" i="32"/>
  <c r="K95" i="25"/>
  <c r="H169" i="37"/>
  <c r="G97" i="32"/>
  <c r="K96" i="25"/>
  <c r="H170" i="37"/>
  <c r="G98" i="32"/>
  <c r="K97" i="25"/>
  <c r="H171" i="37"/>
  <c r="G99" i="32"/>
  <c r="K98" i="25"/>
  <c r="H172" i="37"/>
  <c r="G100" i="32"/>
  <c r="K99" i="25"/>
  <c r="H173" i="37"/>
  <c r="G101" i="32"/>
  <c r="K100" i="25"/>
  <c r="H174" i="37"/>
  <c r="G102" i="32"/>
  <c r="K101" i="25"/>
  <c r="H175" i="37"/>
  <c r="G103" i="32"/>
  <c r="K102" i="25"/>
  <c r="H176" i="37"/>
  <c r="G104" i="32"/>
  <c r="K103" i="25"/>
  <c r="H177" i="37"/>
  <c r="G105" i="32"/>
  <c r="K104" i="25"/>
  <c r="H178" i="37"/>
  <c r="G106" i="32"/>
  <c r="K105" i="25"/>
  <c r="H179" i="37"/>
  <c r="G107" i="32"/>
  <c r="K106" i="25"/>
  <c r="H180" i="37"/>
  <c r="G108" i="32"/>
  <c r="K107" i="25"/>
  <c r="H181" i="37"/>
  <c r="G109" i="32"/>
  <c r="K108" i="25"/>
  <c r="H182" i="37"/>
  <c r="G110" i="32"/>
  <c r="K109" i="25"/>
  <c r="H183" i="37"/>
  <c r="G111" i="32"/>
  <c r="K110" i="25"/>
  <c r="H184" i="37"/>
  <c r="G112" i="32"/>
  <c r="K111" i="25"/>
  <c r="H185" i="37"/>
  <c r="G113" i="32"/>
  <c r="K112" i="25"/>
  <c r="H186" i="37"/>
  <c r="G114" i="32"/>
  <c r="K113" i="25"/>
  <c r="H187" i="37"/>
  <c r="G115" i="32"/>
  <c r="K114" i="25"/>
  <c r="H188" i="37"/>
  <c r="G116" i="32"/>
  <c r="K115" i="25"/>
  <c r="H189" i="37"/>
  <c r="G117" i="32"/>
  <c r="K116" i="25"/>
  <c r="H190" i="37"/>
  <c r="G118" i="32"/>
  <c r="K117" i="25"/>
  <c r="H191" i="37"/>
  <c r="G119" i="32"/>
  <c r="K118" i="25"/>
  <c r="H192" i="37"/>
  <c r="G120" i="32"/>
  <c r="K119" i="25"/>
  <c r="H193" i="37"/>
  <c r="G121" i="32"/>
  <c r="K120" i="25"/>
  <c r="H194" i="37"/>
  <c r="G122" i="32"/>
  <c r="K121" i="25"/>
  <c r="H195" i="37"/>
  <c r="G123" i="32"/>
  <c r="K122" i="25"/>
  <c r="H196" i="37"/>
  <c r="G124" i="32"/>
  <c r="K123" i="25"/>
  <c r="H197" i="37"/>
  <c r="G125" i="32"/>
  <c r="K124" i="25"/>
  <c r="H198" i="37"/>
  <c r="G126" i="32"/>
  <c r="K125" i="25"/>
  <c r="H199" i="37"/>
  <c r="G127" i="32"/>
  <c r="K126" i="25"/>
  <c r="H200" i="37"/>
  <c r="G128" i="32"/>
  <c r="K127" i="25"/>
  <c r="H201" i="37"/>
  <c r="G129" i="32"/>
  <c r="K128" i="25"/>
  <c r="H202" i="37"/>
  <c r="G130" i="32"/>
  <c r="K129" i="25"/>
  <c r="H203" i="37"/>
  <c r="G131" i="32"/>
  <c r="K130" i="25"/>
  <c r="H204" i="37"/>
  <c r="G132" i="32"/>
  <c r="K131" i="25"/>
  <c r="H205" i="37"/>
  <c r="G133" i="32"/>
  <c r="K132" i="25"/>
  <c r="H206" i="37"/>
  <c r="G134" i="32"/>
  <c r="K133" i="25"/>
  <c r="H207" i="37"/>
  <c r="G135" i="32"/>
  <c r="K134" i="25"/>
  <c r="H208" i="37"/>
  <c r="G136" i="32"/>
  <c r="K135" i="25"/>
  <c r="H209" i="37"/>
  <c r="G137" i="32"/>
  <c r="K136" i="25"/>
  <c r="H210" i="37"/>
  <c r="G138" i="32"/>
  <c r="K137" i="25"/>
  <c r="H211" i="37"/>
  <c r="G139" i="32"/>
  <c r="K138" i="25"/>
  <c r="H212" i="37"/>
  <c r="G140" i="32"/>
  <c r="K139" i="25"/>
  <c r="H213" i="37"/>
  <c r="G141" i="32"/>
  <c r="K140" i="25"/>
  <c r="H214" i="37"/>
  <c r="G142" i="32"/>
  <c r="K141" i="25"/>
  <c r="H215" i="37"/>
  <c r="G143" i="32"/>
  <c r="K142" i="25"/>
  <c r="H216" i="37"/>
  <c r="G144" i="32"/>
  <c r="K143" i="25"/>
  <c r="H217" i="37"/>
  <c r="G145" i="32"/>
  <c r="K144" i="25"/>
  <c r="H218" i="37"/>
  <c r="G146" i="32"/>
  <c r="K145" i="25"/>
  <c r="H219" i="37"/>
  <c r="G147" i="32"/>
  <c r="K146" i="25"/>
  <c r="H220" i="37"/>
  <c r="G148" i="32"/>
  <c r="K147" i="25"/>
  <c r="H221" i="37"/>
  <c r="G149" i="32"/>
  <c r="K148" i="25"/>
  <c r="H222" i="37"/>
  <c r="G150" i="32"/>
  <c r="K149" i="25"/>
  <c r="H223" i="37"/>
  <c r="G151" i="32"/>
  <c r="K150" i="25"/>
  <c r="H224" i="37"/>
  <c r="G152" i="32"/>
  <c r="K151" i="25"/>
  <c r="H225" i="37"/>
  <c r="G153" i="32"/>
  <c r="K152" i="25"/>
  <c r="H226" i="37"/>
  <c r="G154" i="32"/>
  <c r="K153" i="25"/>
  <c r="H227" i="37"/>
  <c r="G155" i="32"/>
  <c r="K154" i="25"/>
  <c r="H228" i="37"/>
  <c r="G156" i="32"/>
  <c r="K155" i="25"/>
  <c r="H229" i="37"/>
  <c r="G157" i="32"/>
  <c r="K156" i="25"/>
  <c r="H230" i="37"/>
  <c r="G158" i="32"/>
  <c r="K157" i="25"/>
  <c r="H231" i="37"/>
  <c r="G159" i="32"/>
  <c r="K158" i="25"/>
  <c r="H232" i="37"/>
  <c r="G160" i="32"/>
  <c r="K159" i="25"/>
  <c r="H233" i="37"/>
  <c r="G161" i="32"/>
  <c r="K160" i="25"/>
  <c r="H234" i="37"/>
  <c r="G162" i="32"/>
  <c r="K161" i="25"/>
  <c r="H235" i="37"/>
  <c r="G163" i="32"/>
  <c r="K162" i="25"/>
  <c r="H236" i="37"/>
  <c r="G164" i="32"/>
  <c r="K163" i="25"/>
  <c r="H237" i="37"/>
  <c r="G165" i="32"/>
  <c r="K164" i="25"/>
  <c r="H238" i="37"/>
  <c r="G166" i="32"/>
  <c r="K165" i="25"/>
  <c r="H239" i="37"/>
  <c r="G167" i="32"/>
  <c r="K166" i="25"/>
  <c r="H240" i="37"/>
  <c r="G168" i="32"/>
  <c r="K167" i="25"/>
  <c r="H241" i="37"/>
  <c r="G169" i="32"/>
  <c r="K168" i="25"/>
  <c r="H242" i="37"/>
  <c r="G170" i="32"/>
  <c r="K169" i="25"/>
  <c r="H243" i="37"/>
  <c r="G171" i="32"/>
  <c r="K170" i="25"/>
  <c r="H244" i="37"/>
  <c r="G172" i="32"/>
  <c r="K171" i="25"/>
  <c r="H245" i="37"/>
  <c r="G173" i="32"/>
  <c r="K172" i="25"/>
  <c r="H246" i="37"/>
  <c r="G174" i="32"/>
  <c r="K173" i="25"/>
  <c r="H247" i="37"/>
  <c r="G175" i="32"/>
  <c r="K174" i="25"/>
  <c r="H248" i="37"/>
  <c r="G176" i="32"/>
  <c r="K175" i="25"/>
  <c r="H249" i="37"/>
  <c r="G177" i="32"/>
  <c r="K176" i="25"/>
  <c r="H250" i="37"/>
  <c r="G178" i="32"/>
  <c r="K177" i="25"/>
  <c r="H251" i="37"/>
  <c r="G179" i="32"/>
  <c r="K178" i="25"/>
  <c r="H252" i="37"/>
  <c r="G180" i="32"/>
  <c r="K179" i="25"/>
  <c r="H253" i="37"/>
  <c r="G181" i="32"/>
  <c r="K180" i="25"/>
  <c r="H254" i="37"/>
  <c r="G182" i="32"/>
  <c r="K181" i="25"/>
  <c r="H255" i="37"/>
  <c r="G183" i="32"/>
  <c r="K182" i="25"/>
  <c r="H256" i="37"/>
  <c r="G184" i="32"/>
  <c r="K183" i="25"/>
  <c r="H257" i="37"/>
  <c r="G185" i="32"/>
  <c r="K184" i="25"/>
  <c r="H258" i="37"/>
  <c r="G186" i="32"/>
  <c r="K185" i="25"/>
  <c r="H259" i="37"/>
  <c r="G187" i="32"/>
  <c r="K186" i="25"/>
  <c r="H260" i="37"/>
  <c r="G188" i="32"/>
  <c r="K187" i="25"/>
  <c r="H261" i="37"/>
  <c r="G189" i="32"/>
  <c r="K188" i="25"/>
  <c r="H262" i="37"/>
  <c r="G190" i="32"/>
  <c r="K189" i="25"/>
  <c r="H263" i="37"/>
  <c r="G191" i="32"/>
  <c r="K190" i="25"/>
  <c r="H264" i="37"/>
  <c r="G192" i="32"/>
  <c r="K191" i="25"/>
  <c r="H265" i="37"/>
  <c r="G193" i="32"/>
  <c r="K192" i="25"/>
  <c r="H266" i="37"/>
  <c r="G194" i="32"/>
  <c r="K193" i="25"/>
  <c r="H267" i="37"/>
  <c r="G195" i="32"/>
  <c r="K194" i="25"/>
  <c r="H268" i="37"/>
  <c r="G196" i="32"/>
  <c r="K195" i="25"/>
  <c r="H269" i="37"/>
  <c r="G197" i="32"/>
  <c r="K196" i="25"/>
  <c r="H270" i="37"/>
  <c r="G198" i="32"/>
  <c r="K197" i="25"/>
  <c r="H271" i="37"/>
  <c r="G199" i="32"/>
  <c r="K198" i="25"/>
  <c r="H272" i="37"/>
  <c r="G200" i="32"/>
  <c r="K199" i="25"/>
  <c r="H273" i="37"/>
  <c r="G201" i="32"/>
  <c r="K200" i="25"/>
  <c r="H274" i="37"/>
  <c r="G202" i="32"/>
  <c r="K201" i="25"/>
  <c r="H275" i="37"/>
  <c r="G203" i="32"/>
  <c r="K202" i="25"/>
  <c r="H276" i="37"/>
  <c r="G204" i="32"/>
  <c r="K203" i="25"/>
  <c r="H277" i="37"/>
  <c r="G205" i="32"/>
  <c r="K204" i="25"/>
  <c r="H278" i="37"/>
  <c r="G206" i="32"/>
  <c r="K205" i="25"/>
  <c r="H279" i="37"/>
  <c r="G207" i="32"/>
  <c r="K206" i="25"/>
  <c r="H280" i="37"/>
  <c r="G208" i="32"/>
  <c r="K207" i="25"/>
  <c r="H281" i="37"/>
  <c r="G209" i="32"/>
  <c r="K208" i="25"/>
  <c r="H282" i="37"/>
  <c r="G210" i="32"/>
  <c r="K209" i="25"/>
  <c r="H283" i="37"/>
  <c r="G211" i="32"/>
  <c r="K210" i="25"/>
  <c r="H284" i="37"/>
  <c r="G212" i="32"/>
  <c r="K211" i="25"/>
  <c r="H285" i="37"/>
  <c r="G213" i="32"/>
  <c r="K212" i="25"/>
  <c r="H286" i="37"/>
  <c r="G214" i="32"/>
  <c r="K213" i="25"/>
  <c r="H287" i="37"/>
  <c r="G215" i="32"/>
  <c r="K214" i="25"/>
  <c r="H288" i="37"/>
  <c r="G216" i="32"/>
  <c r="K215" i="25"/>
  <c r="H289" i="37"/>
  <c r="G217" i="32"/>
  <c r="K216" i="25"/>
  <c r="H290" i="37"/>
  <c r="G218" i="32"/>
  <c r="K217" i="25"/>
  <c r="H291" i="37"/>
  <c r="G219" i="32"/>
  <c r="K218" i="25"/>
  <c r="H292" i="37"/>
  <c r="G220" i="32"/>
  <c r="K219" i="25"/>
  <c r="H293" i="37"/>
  <c r="G221" i="32"/>
  <c r="K220" i="25"/>
  <c r="H294" i="37"/>
  <c r="G222" i="32"/>
  <c r="K221" i="25"/>
  <c r="H295" i="37"/>
  <c r="G223" i="32"/>
  <c r="K442" i="25"/>
  <c r="H296" i="37"/>
  <c r="G224" i="32"/>
  <c r="K443" i="25"/>
  <c r="H297" i="37"/>
  <c r="G225" i="32"/>
  <c r="K444" i="25"/>
  <c r="H298" i="37"/>
  <c r="G226" i="32"/>
  <c r="K445" i="25"/>
  <c r="H299" i="37"/>
  <c r="G227" i="32"/>
  <c r="K446" i="25"/>
  <c r="H300" i="37"/>
  <c r="G228" i="32"/>
  <c r="K447" i="25"/>
  <c r="H301" i="37"/>
  <c r="G229" i="32"/>
  <c r="K448" i="25"/>
  <c r="H302" i="37"/>
  <c r="G230" i="32"/>
  <c r="K449" i="25"/>
  <c r="H303" i="37"/>
  <c r="G231" i="32"/>
  <c r="K450" i="25"/>
  <c r="H304" i="37"/>
  <c r="G232" i="32"/>
  <c r="K451" i="25"/>
  <c r="H305" i="37"/>
  <c r="G233" i="32"/>
  <c r="K452" i="25"/>
  <c r="H306" i="37"/>
  <c r="G234" i="32"/>
  <c r="K454" i="25"/>
  <c r="H308" i="37"/>
  <c r="G236" i="32"/>
  <c r="K455" i="25"/>
  <c r="H309" i="37"/>
  <c r="G237" i="32"/>
  <c r="K456" i="25"/>
  <c r="H310" i="37"/>
  <c r="G238" i="32"/>
  <c r="K457" i="25"/>
  <c r="H311" i="37"/>
  <c r="G239" i="32"/>
  <c r="K458" i="25"/>
  <c r="H312" i="37"/>
  <c r="G240" i="32"/>
  <c r="K459" i="25"/>
  <c r="H313" i="37"/>
  <c r="G241" i="32"/>
  <c r="K460" i="25"/>
  <c r="H314" i="37"/>
  <c r="G242" i="32"/>
  <c r="K461" i="25"/>
  <c r="H315" i="37"/>
  <c r="G243" i="32"/>
  <c r="K462" i="25"/>
  <c r="H316" i="37"/>
  <c r="G244" i="32"/>
  <c r="K463" i="25"/>
  <c r="H317" i="37"/>
  <c r="G245" i="32"/>
  <c r="K464" i="25"/>
  <c r="H318" i="37"/>
  <c r="G246" i="32"/>
  <c r="K465" i="25"/>
  <c r="H319" i="37"/>
  <c r="G247" i="32"/>
  <c r="K466" i="25"/>
  <c r="H320" i="37"/>
  <c r="G248" i="32"/>
  <c r="K467" i="25"/>
  <c r="H321" i="37"/>
  <c r="G249" i="32"/>
  <c r="K468" i="25"/>
  <c r="H322" i="37"/>
  <c r="G250" i="32"/>
  <c r="K469" i="25"/>
  <c r="H323" i="37"/>
  <c r="G251" i="32"/>
  <c r="K470" i="25"/>
  <c r="H324" i="37"/>
  <c r="G252" i="32"/>
  <c r="K471" i="25"/>
  <c r="H325" i="37"/>
  <c r="G253" i="32"/>
  <c r="K472" i="25"/>
  <c r="H326" i="37"/>
  <c r="G254" i="32"/>
  <c r="K473" i="25"/>
  <c r="H327" i="37"/>
  <c r="G255" i="32"/>
  <c r="K474" i="25"/>
  <c r="H328" i="37"/>
  <c r="G256" i="32"/>
  <c r="K475" i="25"/>
  <c r="H329" i="37"/>
  <c r="G257" i="32"/>
  <c r="K476" i="25"/>
  <c r="H330" i="37"/>
  <c r="G258" i="32"/>
  <c r="K477" i="25"/>
  <c r="H331" i="37"/>
  <c r="G259" i="32"/>
  <c r="K478" i="25"/>
  <c r="H332" i="37"/>
  <c r="G260" i="32"/>
  <c r="K479" i="25"/>
  <c r="H333" i="37"/>
  <c r="G261" i="32"/>
  <c r="K480" i="25"/>
  <c r="H334" i="37"/>
  <c r="G262" i="32"/>
  <c r="K481" i="25"/>
  <c r="H335" i="37"/>
  <c r="G263" i="32"/>
  <c r="K482" i="25"/>
  <c r="H336" i="37"/>
  <c r="G264" i="32"/>
  <c r="K483" i="25"/>
  <c r="H337" i="37"/>
  <c r="G265" i="32"/>
  <c r="K484" i="25"/>
  <c r="H338" i="37"/>
  <c r="G266" i="32"/>
  <c r="K485" i="25"/>
  <c r="H339" i="37"/>
  <c r="G267" i="32"/>
  <c r="K486" i="25"/>
  <c r="H340" i="37"/>
  <c r="G268" i="32"/>
  <c r="K487" i="25"/>
  <c r="H341" i="37"/>
  <c r="G269" i="32"/>
  <c r="K488" i="25"/>
  <c r="H342" i="37"/>
  <c r="G270" i="32"/>
  <c r="K489" i="25"/>
  <c r="H343" i="37"/>
  <c r="G271" i="32"/>
  <c r="K490" i="25"/>
  <c r="H344" i="37"/>
  <c r="G272" i="32"/>
  <c r="K491" i="25"/>
  <c r="H345" i="37"/>
  <c r="G273" i="32"/>
  <c r="K492" i="25"/>
  <c r="H346" i="37"/>
  <c r="G274" i="32"/>
  <c r="K493" i="25"/>
  <c r="H347" i="37"/>
  <c r="G275" i="32"/>
  <c r="K494" i="25"/>
  <c r="H348" i="37"/>
  <c r="G276" i="32"/>
  <c r="K495" i="25"/>
  <c r="H349" i="37"/>
  <c r="G277" i="32"/>
  <c r="K496" i="25"/>
  <c r="H350" i="37"/>
  <c r="G278" i="32"/>
  <c r="K497" i="25"/>
  <c r="H351" i="37"/>
  <c r="G279" i="32"/>
  <c r="K498" i="25"/>
  <c r="H352" i="37"/>
  <c r="G280" i="32"/>
  <c r="K499" i="25"/>
  <c r="H353" i="37"/>
  <c r="G281" i="32"/>
  <c r="K500" i="25"/>
  <c r="H354" i="37"/>
  <c r="G282" i="32"/>
  <c r="K501" i="25"/>
  <c r="H355" i="37"/>
  <c r="G283" i="32"/>
  <c r="K502" i="25"/>
  <c r="H356" i="37"/>
  <c r="G284" i="32"/>
  <c r="K503" i="25"/>
  <c r="H357" i="37"/>
  <c r="G285" i="32"/>
  <c r="K504" i="25"/>
  <c r="H358" i="37"/>
  <c r="G286" i="32"/>
  <c r="K505" i="25"/>
  <c r="H359" i="37"/>
  <c r="G287" i="32"/>
  <c r="K506" i="25"/>
  <c r="H360" i="37"/>
  <c r="G288" i="32"/>
  <c r="K507" i="25"/>
  <c r="H361" i="37"/>
  <c r="G289" i="32"/>
  <c r="K508" i="25"/>
  <c r="H362" i="37"/>
  <c r="G290" i="32"/>
  <c r="K509" i="25"/>
  <c r="H363" i="37"/>
  <c r="G291" i="32"/>
  <c r="K510" i="25"/>
  <c r="H364" i="37"/>
  <c r="G292" i="32"/>
  <c r="K511" i="25"/>
  <c r="H365" i="37"/>
  <c r="G293" i="32"/>
  <c r="K512" i="25"/>
  <c r="H366" i="37"/>
  <c r="G294" i="32"/>
  <c r="K513" i="25"/>
  <c r="H367" i="37"/>
  <c r="G295" i="32"/>
  <c r="K514" i="25"/>
  <c r="H368" i="37"/>
  <c r="G296" i="32"/>
  <c r="K515" i="25"/>
  <c r="H369" i="37"/>
  <c r="G297" i="32"/>
  <c r="K516" i="25"/>
  <c r="H370" i="37"/>
  <c r="G298" i="32"/>
  <c r="K517" i="25"/>
  <c r="H371" i="37"/>
  <c r="G299" i="32"/>
  <c r="K518" i="25"/>
  <c r="H372" i="37"/>
  <c r="G300" i="32"/>
  <c r="K519" i="25"/>
  <c r="H373" i="37"/>
  <c r="G301" i="32"/>
  <c r="K520" i="25"/>
  <c r="H374" i="37"/>
  <c r="G302" i="32"/>
  <c r="K521" i="25"/>
  <c r="H375" i="37"/>
  <c r="G303" i="32"/>
  <c r="K522" i="25"/>
  <c r="H376" i="37"/>
  <c r="G304" i="32"/>
  <c r="K523" i="25"/>
  <c r="H377" i="37"/>
  <c r="G305" i="32"/>
  <c r="K524" i="25"/>
  <c r="H378" i="37"/>
  <c r="G306" i="32"/>
  <c r="K525" i="25"/>
  <c r="H379" i="37"/>
  <c r="G307" i="32"/>
  <c r="K526" i="25"/>
  <c r="H380" i="37"/>
  <c r="G308" i="32"/>
  <c r="K527" i="25"/>
  <c r="H381" i="37"/>
  <c r="G309" i="32"/>
  <c r="K528" i="25"/>
  <c r="H382" i="37"/>
  <c r="G310" i="32"/>
  <c r="K529" i="25"/>
  <c r="H383" i="37"/>
  <c r="G311" i="32"/>
  <c r="K530" i="25"/>
  <c r="H384" i="37"/>
  <c r="G312" i="32"/>
  <c r="K531" i="25"/>
  <c r="H385" i="37"/>
  <c r="G313" i="32"/>
  <c r="K532" i="25"/>
  <c r="H386" i="37"/>
  <c r="G314" i="32"/>
  <c r="K533" i="25"/>
  <c r="H387" i="37"/>
  <c r="G315" i="32"/>
  <c r="K534" i="25"/>
  <c r="H388" i="37"/>
  <c r="G316" i="32"/>
  <c r="K535" i="25"/>
  <c r="H389" i="37"/>
  <c r="G317" i="32"/>
  <c r="K536" i="25"/>
  <c r="H390" i="37"/>
  <c r="G318" i="32"/>
  <c r="K537" i="25"/>
  <c r="H391" i="37"/>
  <c r="G319" i="32"/>
  <c r="K538" i="25"/>
  <c r="H392" i="37"/>
  <c r="G320" i="32"/>
  <c r="K539" i="25"/>
  <c r="H393" i="37"/>
  <c r="G321" i="32"/>
  <c r="K540" i="25"/>
  <c r="H394" i="37"/>
  <c r="G322" i="32"/>
  <c r="K541" i="25"/>
  <c r="H395" i="37"/>
  <c r="G323" i="32"/>
  <c r="K542" i="25"/>
  <c r="H396" i="37"/>
  <c r="G324" i="32"/>
  <c r="K543" i="25"/>
  <c r="H397" i="37"/>
  <c r="G325" i="32"/>
  <c r="K544" i="25"/>
  <c r="H398" i="37"/>
  <c r="G326" i="32"/>
  <c r="K545" i="25"/>
  <c r="H399" i="37"/>
  <c r="G327" i="32"/>
  <c r="K546" i="25"/>
  <c r="H400" i="37"/>
  <c r="G328" i="32"/>
  <c r="K547" i="25"/>
  <c r="H401" i="37"/>
  <c r="G329" i="32"/>
  <c r="K548" i="25"/>
  <c r="H402" i="37"/>
  <c r="G330" i="32"/>
  <c r="K549" i="25"/>
  <c r="H403" i="37"/>
  <c r="G331" i="32"/>
  <c r="K550" i="25"/>
  <c r="H404" i="37"/>
  <c r="G332" i="32"/>
  <c r="K551" i="25"/>
  <c r="H405" i="37"/>
  <c r="G333" i="32"/>
  <c r="K552" i="25"/>
  <c r="H406" i="37"/>
  <c r="G334" i="32"/>
  <c r="K553" i="25"/>
  <c r="H407" i="37"/>
  <c r="G335" i="32"/>
  <c r="K554" i="25"/>
  <c r="H408" i="37"/>
  <c r="G336" i="32"/>
  <c r="K555" i="25"/>
  <c r="H409" i="37"/>
  <c r="G337" i="32"/>
  <c r="K556" i="25"/>
  <c r="H410" i="37"/>
  <c r="G338" i="32"/>
  <c r="K557" i="25"/>
  <c r="H411" i="37"/>
  <c r="G339" i="32"/>
  <c r="K558" i="25"/>
  <c r="H412" i="37"/>
  <c r="G340" i="32"/>
  <c r="K559" i="25"/>
  <c r="H413" i="37"/>
  <c r="G341" i="32"/>
  <c r="K560" i="25"/>
  <c r="H414" i="37"/>
  <c r="G342" i="32"/>
  <c r="K561" i="25"/>
  <c r="H415" i="37"/>
  <c r="G343" i="32"/>
  <c r="K562" i="25"/>
  <c r="H416" i="37"/>
  <c r="G344" i="32"/>
  <c r="K563" i="25"/>
  <c r="H417" i="37"/>
  <c r="G345" i="32"/>
  <c r="K564" i="25"/>
  <c r="H418" i="37"/>
  <c r="G346" i="32"/>
  <c r="K565" i="25"/>
  <c r="H419" i="37"/>
  <c r="G347" i="32"/>
  <c r="K566" i="25"/>
  <c r="H420" i="37"/>
  <c r="G348" i="32"/>
  <c r="K567" i="25"/>
  <c r="H421" i="37"/>
  <c r="G349" i="32"/>
  <c r="K568" i="25"/>
  <c r="H422" i="37"/>
  <c r="G350" i="32"/>
  <c r="K569" i="25"/>
  <c r="H423" i="37"/>
  <c r="G351" i="32"/>
  <c r="K570" i="25"/>
  <c r="H424" i="37"/>
  <c r="G352" i="32"/>
  <c r="K571" i="25"/>
  <c r="H425" i="37"/>
  <c r="G353" i="32"/>
  <c r="K572" i="25"/>
  <c r="H426" i="37"/>
  <c r="G354" i="32"/>
  <c r="K573" i="25"/>
  <c r="H427" i="37"/>
  <c r="G355" i="32"/>
  <c r="K574" i="25"/>
  <c r="H428" i="37"/>
  <c r="G356" i="32"/>
  <c r="K575" i="25"/>
  <c r="H429" i="37"/>
  <c r="G357" i="32"/>
  <c r="K576" i="25"/>
  <c r="H430" i="37"/>
  <c r="G358" i="32"/>
  <c r="K577" i="25"/>
  <c r="H431" i="37"/>
  <c r="G359" i="32"/>
  <c r="K578" i="25"/>
  <c r="H432" i="37"/>
  <c r="G360" i="32"/>
  <c r="K579" i="25"/>
  <c r="H433" i="37"/>
  <c r="G361" i="32"/>
  <c r="K580" i="25"/>
  <c r="H434" i="37"/>
  <c r="G362" i="32"/>
  <c r="K581" i="25"/>
  <c r="H435" i="37"/>
  <c r="G363" i="32"/>
  <c r="K582" i="25"/>
  <c r="H436" i="37"/>
  <c r="G364" i="32"/>
  <c r="K583" i="25"/>
  <c r="H437" i="37"/>
  <c r="G365" i="32"/>
  <c r="K584" i="25"/>
  <c r="H438" i="37"/>
  <c r="G366" i="32"/>
  <c r="K585" i="25"/>
  <c r="H439" i="37"/>
  <c r="G367" i="32"/>
  <c r="K586" i="25"/>
  <c r="H440" i="37"/>
  <c r="G368" i="32"/>
  <c r="K587" i="25"/>
  <c r="H441" i="37"/>
  <c r="G369" i="32"/>
  <c r="K588" i="25"/>
  <c r="H442" i="37"/>
  <c r="G370" i="32"/>
  <c r="K589" i="25"/>
  <c r="H443" i="37"/>
  <c r="G371" i="32"/>
  <c r="K590" i="25"/>
  <c r="H444" i="37"/>
  <c r="G372" i="32"/>
  <c r="K591" i="25"/>
  <c r="H445" i="37"/>
  <c r="G373" i="32"/>
  <c r="K592" i="25"/>
  <c r="H446" i="37"/>
  <c r="G374" i="32"/>
  <c r="K593" i="25"/>
  <c r="H447" i="37"/>
  <c r="G375" i="32"/>
  <c r="K594" i="25"/>
  <c r="H448" i="37"/>
  <c r="G376" i="32"/>
  <c r="K595" i="25"/>
  <c r="H449" i="37"/>
  <c r="G377" i="32"/>
  <c r="K596" i="25"/>
  <c r="H450" i="37"/>
  <c r="G378" i="32"/>
  <c r="K597" i="25"/>
  <c r="H451" i="37"/>
  <c r="G379" i="32"/>
  <c r="K598" i="25"/>
  <c r="H452" i="37"/>
  <c r="G380" i="32"/>
  <c r="K599" i="25"/>
  <c r="H453" i="37"/>
  <c r="G381" i="32"/>
  <c r="K600" i="25"/>
  <c r="H454" i="37"/>
  <c r="G382" i="32"/>
  <c r="K601" i="25"/>
  <c r="H455" i="37"/>
  <c r="G383" i="32"/>
  <c r="K602" i="25"/>
  <c r="H456" i="37"/>
  <c r="G384" i="32"/>
  <c r="K603" i="25"/>
  <c r="H457" i="37"/>
  <c r="G385" i="32"/>
  <c r="K604" i="25"/>
  <c r="H458" i="37"/>
  <c r="G386" i="32"/>
  <c r="K605" i="25"/>
  <c r="H459" i="37"/>
  <c r="G387" i="32"/>
  <c r="K606" i="25"/>
  <c r="H460" i="37"/>
  <c r="G388" i="32"/>
  <c r="K607" i="25"/>
  <c r="H461" i="37"/>
  <c r="G389" i="32"/>
  <c r="K608" i="25"/>
  <c r="H462" i="37"/>
  <c r="G390" i="32"/>
  <c r="K609" i="25"/>
  <c r="H463" i="37"/>
  <c r="G391" i="32"/>
  <c r="K610" i="25"/>
  <c r="H464" i="37"/>
  <c r="G392" i="32"/>
  <c r="K611" i="25"/>
  <c r="H465" i="37"/>
  <c r="G393" i="32"/>
  <c r="K612" i="25"/>
  <c r="H466" i="37"/>
  <c r="G394" i="32"/>
  <c r="K613" i="25"/>
  <c r="H467" i="37"/>
  <c r="G395" i="32"/>
  <c r="K614" i="25"/>
  <c r="H468" i="37"/>
  <c r="G396" i="32"/>
  <c r="K615" i="25"/>
  <c r="H469" i="37"/>
  <c r="G397" i="32"/>
  <c r="K616" i="25"/>
  <c r="H470" i="37"/>
  <c r="G398" i="32"/>
  <c r="K617" i="25"/>
  <c r="H471" i="37"/>
  <c r="G399" i="32"/>
  <c r="K618" i="25"/>
  <c r="H472" i="37"/>
  <c r="G400" i="32"/>
  <c r="K619" i="25"/>
  <c r="H473" i="37"/>
  <c r="G401" i="32"/>
  <c r="K620" i="25"/>
  <c r="H474" i="37"/>
  <c r="G402" i="32"/>
  <c r="K621" i="25"/>
  <c r="H475" i="37"/>
  <c r="G403" i="32"/>
  <c r="K622" i="25"/>
  <c r="H476" i="37"/>
  <c r="G404" i="32"/>
  <c r="K623" i="25"/>
  <c r="H477" i="37"/>
  <c r="G405" i="32"/>
  <c r="K624" i="25"/>
  <c r="H478" i="37"/>
  <c r="G406" i="32"/>
  <c r="K625" i="25"/>
  <c r="H479" i="37"/>
  <c r="G407" i="32"/>
  <c r="K626" i="25"/>
  <c r="H480" i="37"/>
  <c r="G408" i="32"/>
  <c r="K627" i="25"/>
  <c r="H481" i="37"/>
  <c r="G409" i="32"/>
  <c r="K628" i="25"/>
  <c r="H482" i="37"/>
  <c r="G410" i="32"/>
  <c r="K629" i="25"/>
  <c r="H483" i="37"/>
  <c r="G411" i="32"/>
  <c r="K630" i="25"/>
  <c r="H484" i="37"/>
  <c r="G412" i="32"/>
  <c r="K631" i="25"/>
  <c r="H485" i="37"/>
  <c r="G413" i="32"/>
  <c r="K632" i="25"/>
  <c r="H486" i="37"/>
  <c r="G414" i="32"/>
  <c r="K633" i="25"/>
  <c r="H487" i="37"/>
  <c r="G415" i="32"/>
  <c r="K634" i="25"/>
  <c r="H488" i="37"/>
  <c r="G416" i="32"/>
  <c r="K635" i="25"/>
  <c r="H489" i="37"/>
  <c r="G417" i="32"/>
  <c r="K636" i="25"/>
  <c r="H490" i="37"/>
  <c r="G418" i="32"/>
  <c r="K637" i="25"/>
  <c r="H491" i="37"/>
  <c r="G419" i="32"/>
  <c r="K638" i="25"/>
  <c r="H492" i="37"/>
  <c r="G420" i="32"/>
  <c r="K639" i="25"/>
  <c r="H493" i="37"/>
  <c r="G421" i="32"/>
  <c r="K640" i="25"/>
  <c r="H494" i="37"/>
  <c r="G422" i="32"/>
  <c r="K641" i="25"/>
  <c r="H495" i="37"/>
  <c r="G423" i="32"/>
  <c r="K642" i="25"/>
  <c r="H496" i="37"/>
  <c r="G424" i="32"/>
  <c r="K643" i="25"/>
  <c r="H497" i="37"/>
  <c r="G425" i="32"/>
  <c r="K644" i="25"/>
  <c r="H498" i="37"/>
  <c r="G426" i="32"/>
  <c r="K645" i="25"/>
  <c r="H499" i="37"/>
  <c r="G427" i="32"/>
  <c r="K646" i="25"/>
  <c r="H500" i="37"/>
  <c r="G428" i="32"/>
  <c r="K647" i="25"/>
  <c r="H501" i="37"/>
  <c r="G429" i="32"/>
  <c r="K648" i="25"/>
  <c r="H502" i="37"/>
  <c r="G430" i="32"/>
  <c r="K649" i="25"/>
  <c r="H503" i="37"/>
  <c r="G431" i="32"/>
  <c r="K650" i="25"/>
  <c r="H504" i="37"/>
  <c r="G432" i="32"/>
  <c r="K651" i="25"/>
  <c r="H505" i="37"/>
  <c r="G433" i="32"/>
  <c r="K652" i="25"/>
  <c r="H506" i="37"/>
  <c r="G434" i="32"/>
  <c r="K653" i="25"/>
  <c r="H507" i="37"/>
  <c r="G435" i="32"/>
  <c r="K654" i="25"/>
  <c r="H508" i="37"/>
  <c r="G436" i="32"/>
  <c r="K655" i="25"/>
  <c r="H509" i="37"/>
  <c r="G437" i="32"/>
  <c r="K656" i="25"/>
  <c r="H510" i="37"/>
  <c r="G438" i="32"/>
  <c r="K657" i="25"/>
  <c r="H511" i="37"/>
  <c r="G439" i="32"/>
  <c r="K658" i="25"/>
  <c r="H512" i="37"/>
  <c r="G440" i="32"/>
  <c r="K659" i="25"/>
  <c r="H513" i="37"/>
  <c r="G441" i="32"/>
  <c r="K660" i="25"/>
  <c r="H514" i="37"/>
  <c r="G442" i="32"/>
  <c r="K661" i="25"/>
  <c r="H515" i="37"/>
  <c r="G443" i="32"/>
  <c r="G444" i="32"/>
  <c r="G445" i="32"/>
  <c r="G446" i="32"/>
  <c r="G447" i="32"/>
  <c r="G448" i="32"/>
  <c r="G449" i="32"/>
  <c r="G450" i="32"/>
  <c r="G451" i="32"/>
  <c r="G452" i="32"/>
  <c r="G453" i="32"/>
  <c r="G454" i="32"/>
  <c r="I5" i="32"/>
  <c r="I6" i="32"/>
  <c r="I7" i="32"/>
  <c r="I8" i="32"/>
  <c r="I9" i="32"/>
  <c r="I10" i="32"/>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I38" i="32"/>
  <c r="I39" i="32"/>
  <c r="I40" i="32"/>
  <c r="I41" i="32"/>
  <c r="I42" i="32"/>
  <c r="I43" i="32"/>
  <c r="I44" i="32"/>
  <c r="I45" i="32"/>
  <c r="I46" i="32"/>
  <c r="I47" i="32"/>
  <c r="I48" i="32"/>
  <c r="I49" i="32"/>
  <c r="I50" i="32"/>
  <c r="I51" i="32"/>
  <c r="I52" i="32"/>
  <c r="I53" i="32"/>
  <c r="I54" i="32"/>
  <c r="I55" i="32"/>
  <c r="I56" i="32"/>
  <c r="I57" i="32"/>
  <c r="I58" i="32"/>
  <c r="I59" i="32"/>
  <c r="I60" i="32"/>
  <c r="I61" i="32"/>
  <c r="I62" i="32"/>
  <c r="I63" i="32"/>
  <c r="I64" i="32"/>
  <c r="I65" i="32"/>
  <c r="I66" i="32"/>
  <c r="I67" i="32"/>
  <c r="I68" i="32"/>
  <c r="I69" i="32"/>
  <c r="I70" i="32"/>
  <c r="I71" i="32"/>
  <c r="I72" i="32"/>
  <c r="I73" i="32"/>
  <c r="I74" i="32"/>
  <c r="I75" i="32"/>
  <c r="I76" i="32"/>
  <c r="I77" i="32"/>
  <c r="I78" i="32"/>
  <c r="I79" i="32"/>
  <c r="I80" i="32"/>
  <c r="I81" i="32"/>
  <c r="I82" i="32"/>
  <c r="I83" i="32"/>
  <c r="I84" i="32"/>
  <c r="I85" i="32"/>
  <c r="I86" i="32"/>
  <c r="I87" i="32"/>
  <c r="I88" i="32"/>
  <c r="I89" i="32"/>
  <c r="I90" i="32"/>
  <c r="I91" i="32"/>
  <c r="I92" i="32"/>
  <c r="I93" i="32"/>
  <c r="I94" i="32"/>
  <c r="I95" i="32"/>
  <c r="I96" i="32"/>
  <c r="I97" i="32"/>
  <c r="I98" i="32"/>
  <c r="I99" i="32"/>
  <c r="I100" i="32"/>
  <c r="I101" i="32"/>
  <c r="I102" i="32"/>
  <c r="I103" i="32"/>
  <c r="I104" i="32"/>
  <c r="I105" i="32"/>
  <c r="I106" i="32"/>
  <c r="I107" i="32"/>
  <c r="I108" i="32"/>
  <c r="I109" i="32"/>
  <c r="I110" i="32"/>
  <c r="I111" i="32"/>
  <c r="I112" i="32"/>
  <c r="I113" i="32"/>
  <c r="I114" i="32"/>
  <c r="I115" i="32"/>
  <c r="I116" i="32"/>
  <c r="I117" i="32"/>
  <c r="I118" i="32"/>
  <c r="I119" i="32"/>
  <c r="I120" i="32"/>
  <c r="I121" i="32"/>
  <c r="I122" i="32"/>
  <c r="I123" i="32"/>
  <c r="I124" i="32"/>
  <c r="I125" i="32"/>
  <c r="I126" i="32"/>
  <c r="I127" i="32"/>
  <c r="I128" i="32"/>
  <c r="I129" i="32"/>
  <c r="I130" i="32"/>
  <c r="I131" i="32"/>
  <c r="I132" i="32"/>
  <c r="I133" i="32"/>
  <c r="I134" i="32"/>
  <c r="I135" i="32"/>
  <c r="I136" i="32"/>
  <c r="I137" i="32"/>
  <c r="I138" i="32"/>
  <c r="I139" i="32"/>
  <c r="I140" i="32"/>
  <c r="I141" i="32"/>
  <c r="I142" i="32"/>
  <c r="I143" i="32"/>
  <c r="I144" i="32"/>
  <c r="I145" i="32"/>
  <c r="I146" i="32"/>
  <c r="I147" i="32"/>
  <c r="I148" i="32"/>
  <c r="I149" i="32"/>
  <c r="I150" i="32"/>
  <c r="I151" i="32"/>
  <c r="I152" i="32"/>
  <c r="I153" i="32"/>
  <c r="I154" i="32"/>
  <c r="I155" i="32"/>
  <c r="I156" i="32"/>
  <c r="I157" i="32"/>
  <c r="I158" i="32"/>
  <c r="I159" i="32"/>
  <c r="I160" i="32"/>
  <c r="I161" i="32"/>
  <c r="I162" i="32"/>
  <c r="I163" i="32"/>
  <c r="I164" i="32"/>
  <c r="I165" i="32"/>
  <c r="I166" i="32"/>
  <c r="I167" i="32"/>
  <c r="I168" i="32"/>
  <c r="I169" i="32"/>
  <c r="I170" i="32"/>
  <c r="I171" i="32"/>
  <c r="I172" i="32"/>
  <c r="I173" i="32"/>
  <c r="I174" i="32"/>
  <c r="I175" i="32"/>
  <c r="I176" i="32"/>
  <c r="I177" i="32"/>
  <c r="I178" i="32"/>
  <c r="I179" i="32"/>
  <c r="I180" i="32"/>
  <c r="I181" i="32"/>
  <c r="I182" i="32"/>
  <c r="I183" i="32"/>
  <c r="I184" i="32"/>
  <c r="I185" i="32"/>
  <c r="I186" i="32"/>
  <c r="I187" i="32"/>
  <c r="I188" i="32"/>
  <c r="I189" i="32"/>
  <c r="I190" i="32"/>
  <c r="I191" i="32"/>
  <c r="I192" i="32"/>
  <c r="I193" i="32"/>
  <c r="I194" i="32"/>
  <c r="I195" i="32"/>
  <c r="I196" i="32"/>
  <c r="I197" i="32"/>
  <c r="I198" i="32"/>
  <c r="I199" i="32"/>
  <c r="I200" i="32"/>
  <c r="I201" i="32"/>
  <c r="I202" i="32"/>
  <c r="I203" i="32"/>
  <c r="I204" i="32"/>
  <c r="I205" i="32"/>
  <c r="I206" i="32"/>
  <c r="I207" i="32"/>
  <c r="I208" i="32"/>
  <c r="I209" i="32"/>
  <c r="I210" i="32"/>
  <c r="I211" i="32"/>
  <c r="I212" i="32"/>
  <c r="I213" i="32"/>
  <c r="I214" i="32"/>
  <c r="I215" i="32"/>
  <c r="I216" i="32"/>
  <c r="I217" i="32"/>
  <c r="I218" i="32"/>
  <c r="I219" i="32"/>
  <c r="I220" i="32"/>
  <c r="I221" i="32"/>
  <c r="I222" i="32"/>
  <c r="I223" i="32"/>
  <c r="I224" i="32"/>
  <c r="I225" i="32"/>
  <c r="I226" i="32"/>
  <c r="I227" i="32"/>
  <c r="I228" i="32"/>
  <c r="I229" i="32"/>
  <c r="I230" i="32"/>
  <c r="I231" i="32"/>
  <c r="I232" i="32"/>
  <c r="I233" i="32"/>
  <c r="I234" i="32"/>
  <c r="I235" i="32"/>
  <c r="I236" i="32"/>
  <c r="I237" i="32"/>
  <c r="I238" i="32"/>
  <c r="I239" i="32"/>
  <c r="I240" i="32"/>
  <c r="I241" i="32"/>
  <c r="I242" i="32"/>
  <c r="I243" i="32"/>
  <c r="I244" i="32"/>
  <c r="I245" i="32"/>
  <c r="I246" i="32"/>
  <c r="I247" i="32"/>
  <c r="I248" i="32"/>
  <c r="I249" i="32"/>
  <c r="I250" i="32"/>
  <c r="I251" i="32"/>
  <c r="I252" i="32"/>
  <c r="I253" i="32"/>
  <c r="I254" i="32"/>
  <c r="I255" i="32"/>
  <c r="I256" i="32"/>
  <c r="I257" i="32"/>
  <c r="I258" i="32"/>
  <c r="I259" i="32"/>
  <c r="I260" i="32"/>
  <c r="I261" i="32"/>
  <c r="I262" i="32"/>
  <c r="I263" i="32"/>
  <c r="I264" i="32"/>
  <c r="I265" i="32"/>
  <c r="I266" i="32"/>
  <c r="I267" i="32"/>
  <c r="I268" i="32"/>
  <c r="I269" i="32"/>
  <c r="I270" i="32"/>
  <c r="I271" i="32"/>
  <c r="I272" i="32"/>
  <c r="I273" i="32"/>
  <c r="I274" i="32"/>
  <c r="I275" i="32"/>
  <c r="I276" i="32"/>
  <c r="I277" i="32"/>
  <c r="I278" i="32"/>
  <c r="I279" i="32"/>
  <c r="I280" i="32"/>
  <c r="I281" i="32"/>
  <c r="I282" i="32"/>
  <c r="I283" i="32"/>
  <c r="I284" i="32"/>
  <c r="I285" i="32"/>
  <c r="I286" i="32"/>
  <c r="I287" i="32"/>
  <c r="I288" i="32"/>
  <c r="I289" i="32"/>
  <c r="I290" i="32"/>
  <c r="I291" i="32"/>
  <c r="I292" i="32"/>
  <c r="I293" i="32"/>
  <c r="I294" i="32"/>
  <c r="I295" i="32"/>
  <c r="I296" i="32"/>
  <c r="I297" i="32"/>
  <c r="I298" i="32"/>
  <c r="I299" i="32"/>
  <c r="I300" i="32"/>
  <c r="I301" i="32"/>
  <c r="I302" i="32"/>
  <c r="I303" i="32"/>
  <c r="I304" i="32"/>
  <c r="I305" i="32"/>
  <c r="I306" i="32"/>
  <c r="I307" i="32"/>
  <c r="I308" i="32"/>
  <c r="I309" i="32"/>
  <c r="I310" i="32"/>
  <c r="I311" i="32"/>
  <c r="I312" i="32"/>
  <c r="I313" i="32"/>
  <c r="I314" i="32"/>
  <c r="I315" i="32"/>
  <c r="I316" i="32"/>
  <c r="I317" i="32"/>
  <c r="I318" i="32"/>
  <c r="I319" i="32"/>
  <c r="I320" i="32"/>
  <c r="I321" i="32"/>
  <c r="I322" i="32"/>
  <c r="I323" i="32"/>
  <c r="I324" i="32"/>
  <c r="I325" i="32"/>
  <c r="I326" i="32"/>
  <c r="I327" i="32"/>
  <c r="I328" i="32"/>
  <c r="I329" i="32"/>
  <c r="I330" i="32"/>
  <c r="I331" i="32"/>
  <c r="I332" i="32"/>
  <c r="I333" i="32"/>
  <c r="I334" i="32"/>
  <c r="I335" i="32"/>
  <c r="I336" i="32"/>
  <c r="I337" i="32"/>
  <c r="I338" i="32"/>
  <c r="I339" i="32"/>
  <c r="I340" i="32"/>
  <c r="I341" i="32"/>
  <c r="I342" i="32"/>
  <c r="I343" i="32"/>
  <c r="I344" i="32"/>
  <c r="I345" i="32"/>
  <c r="I346" i="32"/>
  <c r="I347" i="32"/>
  <c r="I348" i="32"/>
  <c r="I349" i="32"/>
  <c r="I350" i="32"/>
  <c r="I351" i="32"/>
  <c r="I352" i="32"/>
  <c r="I353" i="32"/>
  <c r="I354" i="32"/>
  <c r="I355" i="32"/>
  <c r="I356" i="32"/>
  <c r="I357" i="32"/>
  <c r="I358" i="32"/>
  <c r="I359" i="32"/>
  <c r="I360" i="32"/>
  <c r="I361" i="32"/>
  <c r="I362" i="32"/>
  <c r="I363" i="32"/>
  <c r="I364" i="32"/>
  <c r="I365" i="32"/>
  <c r="I366" i="32"/>
  <c r="I367" i="32"/>
  <c r="I368" i="32"/>
  <c r="I369" i="32"/>
  <c r="I370" i="32"/>
  <c r="I371" i="32"/>
  <c r="I372" i="32"/>
  <c r="I373" i="32"/>
  <c r="I374" i="32"/>
  <c r="I375" i="32"/>
  <c r="I376" i="32"/>
  <c r="I377" i="32"/>
  <c r="I378" i="32"/>
  <c r="I379" i="32"/>
  <c r="I380" i="32"/>
  <c r="I381" i="32"/>
  <c r="I382" i="32"/>
  <c r="I383" i="32"/>
  <c r="I384" i="32"/>
  <c r="I385" i="32"/>
  <c r="I386" i="32"/>
  <c r="I387" i="32"/>
  <c r="I388" i="32"/>
  <c r="I389" i="32"/>
  <c r="I390" i="32"/>
  <c r="I391" i="32"/>
  <c r="I392" i="32"/>
  <c r="I393" i="32"/>
  <c r="I394" i="32"/>
  <c r="I395" i="32"/>
  <c r="I396" i="32"/>
  <c r="I397" i="32"/>
  <c r="I398" i="32"/>
  <c r="I399" i="32"/>
  <c r="I400" i="32"/>
  <c r="I401" i="32"/>
  <c r="I402" i="32"/>
  <c r="I403" i="32"/>
  <c r="I404" i="32"/>
  <c r="I405" i="32"/>
  <c r="I406" i="32"/>
  <c r="I407" i="32"/>
  <c r="I408" i="32"/>
  <c r="I409" i="32"/>
  <c r="I410" i="32"/>
  <c r="I411" i="32"/>
  <c r="I412" i="32"/>
  <c r="I413" i="32"/>
  <c r="I414" i="32"/>
  <c r="I415" i="32"/>
  <c r="I416" i="32"/>
  <c r="I417" i="32"/>
  <c r="I418" i="32"/>
  <c r="I419" i="32"/>
  <c r="I420" i="32"/>
  <c r="I421" i="32"/>
  <c r="I422" i="32"/>
  <c r="I423" i="32"/>
  <c r="I424" i="32"/>
  <c r="I425" i="32"/>
  <c r="I426" i="32"/>
  <c r="I427" i="32"/>
  <c r="I428" i="32"/>
  <c r="I429" i="32"/>
  <c r="I430" i="32"/>
  <c r="I431" i="32"/>
  <c r="I432" i="32"/>
  <c r="I433" i="32"/>
  <c r="I434" i="32"/>
  <c r="I435" i="32"/>
  <c r="I436" i="32"/>
  <c r="I437" i="32"/>
  <c r="I438" i="32"/>
  <c r="I439" i="32"/>
  <c r="I440" i="32"/>
  <c r="I441" i="32"/>
  <c r="I442" i="32"/>
  <c r="I443" i="32"/>
  <c r="I444" i="32"/>
  <c r="I445" i="32"/>
  <c r="I446" i="32"/>
  <c r="I447" i="32"/>
  <c r="I448" i="32"/>
  <c r="I449" i="32"/>
  <c r="I450" i="32"/>
  <c r="I451" i="32"/>
  <c r="I452" i="32"/>
  <c r="I453" i="32"/>
  <c r="I454" i="32"/>
  <c r="I4" i="32"/>
  <c r="K3" i="31"/>
  <c r="K2" i="31"/>
  <c r="K4" i="31"/>
  <c r="K5" i="31"/>
  <c r="K6" i="31"/>
  <c r="K7" i="31"/>
  <c r="K8" i="31"/>
  <c r="K9" i="31"/>
  <c r="K10" i="31"/>
  <c r="K11" i="31"/>
  <c r="K12" i="31"/>
  <c r="K13" i="31"/>
  <c r="K14" i="31"/>
  <c r="K15" i="31"/>
  <c r="K16" i="31"/>
  <c r="K17" i="31"/>
  <c r="K18" i="31"/>
  <c r="K19" i="31"/>
  <c r="K20" i="31"/>
  <c r="K21" i="31"/>
  <c r="K22" i="31"/>
  <c r="K23" i="31"/>
  <c r="K24" i="31"/>
  <c r="K25" i="31"/>
  <c r="K26" i="31"/>
  <c r="K27" i="31"/>
  <c r="K28" i="31"/>
  <c r="K29" i="31"/>
  <c r="K30" i="31"/>
  <c r="K31" i="31"/>
  <c r="K32" i="31"/>
  <c r="K33" i="31"/>
  <c r="K34" i="31"/>
  <c r="K35" i="31"/>
  <c r="K36" i="31"/>
  <c r="K37" i="31"/>
  <c r="K38" i="31"/>
  <c r="K39" i="31"/>
  <c r="K40" i="31"/>
  <c r="K41" i="31"/>
  <c r="K42" i="31"/>
  <c r="K43" i="31"/>
  <c r="K44" i="31"/>
  <c r="K45" i="31"/>
  <c r="K46" i="31"/>
  <c r="K47" i="31"/>
  <c r="K48" i="31"/>
  <c r="K49" i="31"/>
  <c r="K50" i="31"/>
  <c r="K51" i="31"/>
  <c r="K52" i="31"/>
  <c r="K53" i="31"/>
  <c r="K54" i="31"/>
  <c r="K55" i="31"/>
  <c r="K56" i="31"/>
  <c r="K57" i="31"/>
  <c r="K58" i="31"/>
  <c r="K59" i="31"/>
  <c r="K60" i="31"/>
  <c r="K61" i="31"/>
  <c r="K62" i="31"/>
  <c r="K63" i="31"/>
  <c r="K64" i="31"/>
  <c r="K65" i="31"/>
  <c r="K66" i="31"/>
  <c r="K67" i="31"/>
  <c r="K68" i="31"/>
  <c r="K69" i="31"/>
  <c r="K70" i="31"/>
  <c r="K71" i="31"/>
  <c r="K72" i="31"/>
  <c r="K73" i="31"/>
  <c r="K74" i="31"/>
  <c r="K75" i="31"/>
  <c r="K76" i="31"/>
  <c r="K77" i="31"/>
  <c r="K78" i="31"/>
  <c r="K79" i="31"/>
  <c r="K80" i="31"/>
  <c r="K81" i="31"/>
  <c r="K82" i="31"/>
  <c r="K83" i="31"/>
  <c r="K84" i="31"/>
  <c r="K85" i="31"/>
  <c r="K86" i="31"/>
  <c r="K87" i="31"/>
  <c r="K88" i="31"/>
  <c r="K89" i="31"/>
  <c r="K90" i="31"/>
  <c r="K91" i="31"/>
  <c r="K92" i="31"/>
  <c r="K93" i="31"/>
  <c r="K94" i="31"/>
  <c r="K95" i="31"/>
  <c r="K96" i="31"/>
  <c r="K97" i="31"/>
  <c r="K98" i="31"/>
  <c r="K99" i="31"/>
  <c r="K100" i="31"/>
  <c r="K101" i="31"/>
  <c r="K102" i="31"/>
  <c r="K103" i="31"/>
  <c r="K104" i="31"/>
  <c r="K105" i="31"/>
  <c r="K106" i="31"/>
  <c r="K107" i="31"/>
  <c r="K108" i="31"/>
  <c r="K109" i="31"/>
  <c r="K110" i="31"/>
  <c r="K111" i="31"/>
  <c r="K112" i="31"/>
  <c r="K113" i="31"/>
  <c r="K114" i="31"/>
  <c r="K115" i="31"/>
  <c r="K116" i="31"/>
  <c r="K117" i="31"/>
  <c r="K118" i="31"/>
  <c r="K119" i="31"/>
  <c r="K120" i="31"/>
  <c r="K121" i="31"/>
  <c r="K122" i="31"/>
  <c r="K123" i="31"/>
  <c r="K124" i="31"/>
  <c r="K125" i="31"/>
  <c r="K126" i="31"/>
  <c r="K127" i="31"/>
  <c r="K128" i="31"/>
  <c r="K129" i="31"/>
  <c r="K130" i="31"/>
  <c r="K131" i="31"/>
  <c r="K132" i="31"/>
  <c r="K133" i="31"/>
  <c r="K134" i="31"/>
  <c r="K135" i="31"/>
  <c r="K136" i="31"/>
  <c r="K137" i="31"/>
  <c r="K138" i="31"/>
  <c r="K139" i="31"/>
  <c r="K140" i="31"/>
  <c r="K141" i="31"/>
  <c r="K142" i="31"/>
  <c r="K143" i="31"/>
  <c r="K144" i="31"/>
  <c r="K145" i="31"/>
  <c r="K146" i="31"/>
  <c r="K147" i="31"/>
  <c r="K148" i="31"/>
  <c r="K149" i="31"/>
  <c r="K150" i="31"/>
  <c r="K151" i="31"/>
  <c r="K152" i="31"/>
  <c r="K153" i="31"/>
  <c r="K154" i="31"/>
  <c r="K155" i="31"/>
  <c r="K156" i="31"/>
  <c r="K157" i="31"/>
  <c r="K158" i="31"/>
  <c r="K159" i="31"/>
  <c r="K160" i="31"/>
  <c r="K161" i="31"/>
  <c r="K162" i="31"/>
  <c r="K163" i="31"/>
  <c r="K164" i="31"/>
  <c r="K165" i="31"/>
  <c r="K166" i="31"/>
  <c r="K167" i="31"/>
  <c r="K168" i="31"/>
  <c r="K169" i="31"/>
  <c r="K170" i="31"/>
  <c r="K171" i="31"/>
  <c r="K172" i="31"/>
  <c r="K173" i="31"/>
  <c r="K174" i="31"/>
  <c r="K175" i="31"/>
  <c r="K176" i="31"/>
  <c r="K177" i="31"/>
  <c r="K178" i="31"/>
  <c r="K179" i="31"/>
  <c r="K180" i="31"/>
  <c r="K181" i="31"/>
  <c r="K182" i="31"/>
  <c r="K183" i="31"/>
  <c r="K184" i="31"/>
  <c r="K185" i="31"/>
  <c r="K186" i="31"/>
  <c r="K187" i="31"/>
  <c r="K188" i="31"/>
  <c r="K189" i="31"/>
  <c r="K190" i="31"/>
  <c r="K191" i="31"/>
  <c r="K192" i="31"/>
  <c r="K193" i="31"/>
  <c r="K194" i="31"/>
  <c r="K195" i="31"/>
  <c r="K196" i="31"/>
  <c r="K197" i="31"/>
  <c r="K198" i="31"/>
  <c r="K199" i="31"/>
  <c r="K200" i="31"/>
  <c r="K201" i="31"/>
  <c r="K202" i="31"/>
  <c r="K203" i="31"/>
  <c r="K204" i="31"/>
  <c r="K205" i="31"/>
  <c r="K206" i="31"/>
  <c r="K207" i="31"/>
  <c r="K208" i="31"/>
  <c r="K209" i="31"/>
  <c r="K210" i="31"/>
  <c r="K211" i="31"/>
  <c r="K212" i="31"/>
  <c r="K213" i="31"/>
  <c r="K214" i="31"/>
  <c r="K215" i="31"/>
  <c r="K216" i="31"/>
  <c r="K217" i="31"/>
  <c r="K218" i="31"/>
  <c r="K219" i="31"/>
  <c r="K220" i="31"/>
  <c r="K221" i="31"/>
  <c r="K442" i="31"/>
  <c r="K443" i="31"/>
  <c r="K444" i="31"/>
  <c r="K445" i="31"/>
  <c r="K446" i="31"/>
  <c r="K447" i="31"/>
  <c r="K448" i="31"/>
  <c r="K449" i="31"/>
  <c r="K450" i="31"/>
  <c r="K451" i="31"/>
  <c r="K452" i="31"/>
  <c r="K453" i="31"/>
  <c r="K454" i="31"/>
  <c r="K455" i="31"/>
  <c r="K456" i="31"/>
  <c r="K457" i="31"/>
  <c r="K458" i="31"/>
  <c r="K459" i="31"/>
  <c r="K460" i="31"/>
  <c r="K461" i="31"/>
  <c r="K462" i="31"/>
  <c r="K463" i="31"/>
  <c r="K464" i="31"/>
  <c r="K465" i="31"/>
  <c r="K466" i="31"/>
  <c r="K467" i="31"/>
  <c r="K468" i="31"/>
  <c r="K469" i="31"/>
  <c r="K470" i="31"/>
  <c r="K471" i="31"/>
  <c r="K472" i="31"/>
  <c r="K473" i="31"/>
  <c r="K474" i="31"/>
  <c r="K475" i="31"/>
  <c r="K476" i="31"/>
  <c r="K477" i="31"/>
  <c r="K478" i="31"/>
  <c r="K479" i="31"/>
  <c r="K480" i="31"/>
  <c r="K481" i="31"/>
  <c r="K482" i="31"/>
  <c r="K483" i="31"/>
  <c r="K484" i="31"/>
  <c r="K485" i="31"/>
  <c r="K486" i="31"/>
  <c r="K487" i="31"/>
  <c r="K488" i="31"/>
  <c r="K489" i="31"/>
  <c r="K490" i="31"/>
  <c r="K491" i="31"/>
  <c r="K492" i="31"/>
  <c r="K493" i="31"/>
  <c r="K494" i="31"/>
  <c r="K495" i="31"/>
  <c r="K496" i="31"/>
  <c r="K497" i="31"/>
  <c r="K498" i="31"/>
  <c r="K499" i="31"/>
  <c r="K500" i="31"/>
  <c r="K501" i="31"/>
  <c r="K502" i="31"/>
  <c r="K503" i="31"/>
  <c r="K504" i="31"/>
  <c r="K505" i="31"/>
  <c r="K506" i="31"/>
  <c r="K507" i="31"/>
  <c r="K508" i="31"/>
  <c r="K509" i="31"/>
  <c r="K510" i="31"/>
  <c r="K511" i="31"/>
  <c r="K512" i="31"/>
  <c r="K513" i="31"/>
  <c r="K514" i="31"/>
  <c r="K515" i="31"/>
  <c r="K516" i="31"/>
  <c r="K517" i="31"/>
  <c r="K518" i="31"/>
  <c r="K519" i="31"/>
  <c r="K520" i="31"/>
  <c r="K521" i="31"/>
  <c r="K522" i="31"/>
  <c r="K523" i="31"/>
  <c r="K524" i="31"/>
  <c r="K525" i="31"/>
  <c r="K526" i="31"/>
  <c r="K527" i="31"/>
  <c r="K528" i="31"/>
  <c r="K529" i="31"/>
  <c r="K530" i="31"/>
  <c r="K531" i="31"/>
  <c r="K532" i="31"/>
  <c r="K533" i="31"/>
  <c r="K534" i="31"/>
  <c r="K535" i="31"/>
  <c r="K536" i="31"/>
  <c r="K537" i="31"/>
  <c r="K538" i="31"/>
  <c r="K539" i="31"/>
  <c r="K540" i="31"/>
  <c r="K541" i="31"/>
  <c r="K542" i="31"/>
  <c r="K543" i="31"/>
  <c r="K544" i="31"/>
  <c r="K545" i="31"/>
  <c r="K546" i="31"/>
  <c r="K547" i="31"/>
  <c r="K548" i="31"/>
  <c r="K549" i="31"/>
  <c r="K550" i="31"/>
  <c r="K551" i="31"/>
  <c r="K552" i="31"/>
  <c r="K553" i="31"/>
  <c r="K554" i="31"/>
  <c r="K555" i="31"/>
  <c r="K556" i="31"/>
  <c r="K557" i="31"/>
  <c r="K558" i="31"/>
  <c r="K559" i="31"/>
  <c r="K560" i="31"/>
  <c r="K561" i="31"/>
  <c r="K562" i="31"/>
  <c r="K563" i="31"/>
  <c r="K564" i="31"/>
  <c r="K565" i="31"/>
  <c r="K566" i="31"/>
  <c r="K567" i="31"/>
  <c r="K568" i="31"/>
  <c r="K569" i="31"/>
  <c r="K570" i="31"/>
  <c r="K571" i="31"/>
  <c r="K572" i="31"/>
  <c r="K573" i="31"/>
  <c r="K574" i="31"/>
  <c r="K575" i="31"/>
  <c r="K576" i="31"/>
  <c r="K577" i="31"/>
  <c r="K578" i="31"/>
  <c r="K579" i="31"/>
  <c r="K580" i="31"/>
  <c r="K581" i="31"/>
  <c r="K582" i="31"/>
  <c r="K583" i="31"/>
  <c r="K584" i="31"/>
  <c r="K585" i="31"/>
  <c r="K586" i="31"/>
  <c r="K587" i="31"/>
  <c r="K588" i="31"/>
  <c r="K589" i="31"/>
  <c r="K590" i="31"/>
  <c r="K591" i="31"/>
  <c r="K592" i="31"/>
  <c r="K593" i="31"/>
  <c r="K594" i="31"/>
  <c r="K595" i="31"/>
  <c r="K596" i="31"/>
  <c r="K597" i="31"/>
  <c r="K598" i="31"/>
  <c r="K599" i="31"/>
  <c r="K600" i="31"/>
  <c r="K601" i="31"/>
  <c r="K602" i="31"/>
  <c r="K603" i="31"/>
  <c r="K604" i="31"/>
  <c r="K605" i="31"/>
  <c r="K606" i="31"/>
  <c r="K607" i="31"/>
  <c r="K608" i="31"/>
  <c r="K609" i="31"/>
  <c r="K610" i="31"/>
  <c r="K611" i="31"/>
  <c r="K612" i="31"/>
  <c r="K613" i="31"/>
  <c r="K614" i="31"/>
  <c r="K615" i="31"/>
  <c r="K616" i="31"/>
  <c r="K617" i="31"/>
  <c r="K618" i="31"/>
  <c r="K619" i="31"/>
  <c r="K620" i="31"/>
  <c r="K621" i="31"/>
  <c r="K622" i="31"/>
  <c r="K623" i="31"/>
  <c r="K624" i="31"/>
  <c r="K625" i="31"/>
  <c r="K626" i="31"/>
  <c r="K627" i="31"/>
  <c r="K628" i="31"/>
  <c r="K629" i="31"/>
  <c r="K630" i="31"/>
  <c r="K631" i="31"/>
  <c r="K632" i="31"/>
  <c r="K633" i="31"/>
  <c r="K634" i="31"/>
  <c r="K635" i="31"/>
  <c r="K636" i="31"/>
  <c r="K637" i="31"/>
  <c r="K638" i="31"/>
  <c r="K639" i="31"/>
  <c r="K640" i="31"/>
  <c r="K641" i="31"/>
  <c r="K642" i="31"/>
  <c r="K643" i="31"/>
  <c r="K644" i="31"/>
  <c r="K645" i="31"/>
  <c r="K646" i="31"/>
  <c r="K647" i="31"/>
  <c r="K648" i="31"/>
  <c r="K649" i="31"/>
  <c r="K650" i="31"/>
  <c r="K651" i="31"/>
  <c r="K652" i="31"/>
  <c r="K653" i="31"/>
  <c r="K654" i="31"/>
  <c r="K655" i="31"/>
  <c r="K656" i="31"/>
  <c r="K657" i="31"/>
  <c r="K658" i="31"/>
  <c r="K659" i="31"/>
  <c r="K660" i="31"/>
  <c r="K661" i="31"/>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572" i="32"/>
  <c r="D573" i="32"/>
  <c r="D574" i="32"/>
  <c r="D575" i="32"/>
  <c r="D576" i="32"/>
  <c r="D577" i="32"/>
  <c r="D578" i="32"/>
  <c r="D579" i="32"/>
  <c r="D580" i="32"/>
  <c r="D581" i="32"/>
  <c r="D582" i="32"/>
  <c r="D583" i="32"/>
  <c r="D584" i="32"/>
  <c r="D585" i="32"/>
  <c r="D586" i="32"/>
  <c r="D587" i="32"/>
  <c r="D588" i="32"/>
  <c r="D589" i="32"/>
  <c r="D590" i="32"/>
  <c r="D591" i="32"/>
  <c r="D592" i="32"/>
  <c r="D593" i="32"/>
  <c r="D594" i="32"/>
  <c r="D595" i="32"/>
  <c r="D596" i="32"/>
  <c r="D597" i="32"/>
  <c r="D598" i="32"/>
  <c r="D599" i="32"/>
  <c r="D600" i="32"/>
  <c r="D601" i="32"/>
  <c r="D602" i="32"/>
  <c r="D603" i="32"/>
  <c r="D604" i="32"/>
  <c r="D605" i="32"/>
  <c r="D606" i="32"/>
  <c r="D607" i="32"/>
  <c r="D608" i="32"/>
  <c r="D609" i="32"/>
  <c r="D610" i="32"/>
  <c r="D611" i="32"/>
  <c r="D612" i="32"/>
  <c r="D613" i="32"/>
  <c r="D614" i="32"/>
  <c r="D615" i="32"/>
  <c r="D616" i="32"/>
  <c r="D617" i="32"/>
  <c r="D618" i="32"/>
  <c r="D619" i="32"/>
  <c r="D620" i="32"/>
  <c r="D621" i="32"/>
  <c r="D622" i="32"/>
  <c r="D623" i="32"/>
  <c r="D624" i="32"/>
  <c r="D625" i="32"/>
  <c r="D626" i="32"/>
  <c r="D627" i="32"/>
  <c r="D628" i="32"/>
  <c r="D629" i="32"/>
  <c r="D630" i="32"/>
  <c r="D631" i="32"/>
  <c r="D632" i="32"/>
  <c r="D633" i="32"/>
  <c r="D634" i="32"/>
  <c r="D635" i="32"/>
  <c r="D636" i="32"/>
  <c r="D637" i="32"/>
  <c r="D638" i="32"/>
  <c r="D639" i="32"/>
  <c r="D640" i="32"/>
  <c r="D641" i="32"/>
  <c r="D642" i="32"/>
  <c r="D643" i="32"/>
  <c r="D644" i="32"/>
  <c r="D645" i="32"/>
  <c r="D646" i="32"/>
  <c r="D647" i="32"/>
  <c r="D648" i="32"/>
  <c r="D649" i="32"/>
  <c r="D650" i="32"/>
  <c r="D651" i="32"/>
  <c r="D652" i="32"/>
  <c r="D653" i="32"/>
  <c r="D654" i="32"/>
  <c r="D655" i="32"/>
  <c r="D656" i="32"/>
  <c r="D657" i="32"/>
  <c r="D658" i="32"/>
  <c r="D659" i="32"/>
  <c r="D660" i="32"/>
  <c r="D661" i="32"/>
  <c r="D662" i="32"/>
  <c r="D4" i="32"/>
  <c r="G403" i="35"/>
  <c r="I403" i="35"/>
  <c r="G114" i="35"/>
  <c r="I114" i="35"/>
  <c r="G327" i="35"/>
  <c r="I327" i="35"/>
  <c r="G571" i="23"/>
  <c r="I571" i="23"/>
  <c r="G606" i="23"/>
  <c r="I606" i="23"/>
  <c r="G737" i="23"/>
  <c r="I737" i="23"/>
  <c r="I114" i="23"/>
  <c r="K114" i="23"/>
  <c r="AM663" i="31"/>
  <c r="AN663" i="31"/>
  <c r="AO663" i="31"/>
  <c r="AM664" i="31"/>
  <c r="AN664" i="31"/>
  <c r="AO664" i="31"/>
  <c r="AM665" i="31"/>
  <c r="AN665" i="31"/>
  <c r="AO665" i="31"/>
  <c r="AM666" i="31"/>
  <c r="AN666" i="31"/>
  <c r="AO666" i="31"/>
  <c r="AM667" i="31"/>
  <c r="AN667" i="31"/>
  <c r="AO667" i="31"/>
  <c r="AM668" i="31"/>
  <c r="AN668" i="31"/>
  <c r="AO668" i="31"/>
  <c r="AM669" i="31"/>
  <c r="AN669" i="31"/>
  <c r="AO669" i="31"/>
  <c r="AM670" i="31"/>
  <c r="AN670" i="31"/>
  <c r="AO670" i="31"/>
  <c r="AM671" i="31"/>
  <c r="AN671" i="31"/>
  <c r="AO671" i="31"/>
  <c r="AM672" i="31"/>
  <c r="AN672" i="31"/>
  <c r="AO672" i="31"/>
  <c r="AM673" i="31"/>
  <c r="AN673" i="31"/>
  <c r="AO673" i="31"/>
  <c r="AM674" i="31"/>
  <c r="AN674" i="31"/>
  <c r="AO674" i="31"/>
  <c r="AM675" i="31"/>
  <c r="AN675" i="31"/>
  <c r="AO675" i="31"/>
  <c r="AM676" i="31"/>
  <c r="AN676" i="31"/>
  <c r="AO676" i="31"/>
  <c r="AM677" i="31"/>
  <c r="AN677" i="31"/>
  <c r="AO677" i="31"/>
  <c r="AM678" i="31"/>
  <c r="AN678" i="31"/>
  <c r="AO678" i="31"/>
  <c r="AM679" i="31"/>
  <c r="AN679" i="31"/>
  <c r="AO679" i="31"/>
  <c r="AM680" i="31"/>
  <c r="AN680" i="31"/>
  <c r="AO680" i="31"/>
  <c r="AM681" i="31"/>
  <c r="AN681" i="31"/>
  <c r="AO681" i="31"/>
  <c r="AM682" i="31"/>
  <c r="AN682" i="31"/>
  <c r="AO682" i="31"/>
  <c r="AM683" i="31"/>
  <c r="AN683" i="31"/>
  <c r="AO683" i="31"/>
  <c r="AM684" i="31"/>
  <c r="AN684" i="31"/>
  <c r="AO684" i="31"/>
  <c r="AM685" i="31"/>
  <c r="AN685" i="31"/>
  <c r="AO685" i="31"/>
  <c r="AM686" i="31"/>
  <c r="AN686" i="31"/>
  <c r="AO686" i="31"/>
  <c r="AM687" i="31"/>
  <c r="AN687" i="31"/>
  <c r="AO687" i="31"/>
  <c r="AM688" i="31"/>
  <c r="AN688" i="31"/>
  <c r="AO688" i="31"/>
  <c r="AM689" i="31"/>
  <c r="AN689" i="31"/>
  <c r="AO689" i="31"/>
  <c r="AM690" i="31"/>
  <c r="AN690" i="31"/>
  <c r="AO690" i="31"/>
  <c r="AM691" i="31"/>
  <c r="AN691" i="31"/>
  <c r="AO691" i="31"/>
  <c r="AM692" i="31"/>
  <c r="AN692" i="31"/>
  <c r="AO692" i="31"/>
  <c r="AM693" i="31"/>
  <c r="AN693" i="31"/>
  <c r="AO693" i="31"/>
  <c r="AM694" i="31"/>
  <c r="AN694" i="31"/>
  <c r="AO694" i="31"/>
  <c r="AM695" i="31"/>
  <c r="AN695" i="31"/>
  <c r="AO695" i="31"/>
  <c r="AM696" i="31"/>
  <c r="AN696" i="31"/>
  <c r="AO696" i="31"/>
  <c r="AM697" i="31"/>
  <c r="AN697" i="31"/>
  <c r="AO697" i="31"/>
  <c r="AM698" i="31"/>
  <c r="AN698" i="31"/>
  <c r="AO698" i="31"/>
  <c r="AM699" i="31"/>
  <c r="AN699" i="31"/>
  <c r="AO699" i="31"/>
  <c r="AM700" i="31"/>
  <c r="AN700" i="31"/>
  <c r="AO700" i="31"/>
  <c r="AM701" i="31"/>
  <c r="AN701" i="31"/>
  <c r="AO701" i="31"/>
  <c r="AM702" i="31"/>
  <c r="AN702" i="31"/>
  <c r="AO702" i="31"/>
  <c r="AM703" i="31"/>
  <c r="AN703" i="31"/>
  <c r="AO703" i="31"/>
  <c r="AM704" i="31"/>
  <c r="AN704" i="31"/>
  <c r="AO704" i="31"/>
  <c r="AM705" i="31"/>
  <c r="AN705" i="31"/>
  <c r="AO705" i="31"/>
  <c r="AM706" i="31"/>
  <c r="AN706" i="31"/>
  <c r="AO706" i="31"/>
  <c r="AM707" i="31"/>
  <c r="AN707" i="31"/>
  <c r="AO707" i="31"/>
  <c r="AM708" i="31"/>
  <c r="AN708" i="31"/>
  <c r="AO708" i="31"/>
  <c r="AM709" i="31"/>
  <c r="AN709" i="31"/>
  <c r="AO709" i="31"/>
  <c r="AM710" i="31"/>
  <c r="AN710" i="31"/>
  <c r="AO710" i="31"/>
  <c r="AM711" i="31"/>
  <c r="AN711" i="31"/>
  <c r="AO711" i="31"/>
  <c r="AM712" i="31"/>
  <c r="AN712" i="31"/>
  <c r="AO712" i="31"/>
  <c r="AM713" i="31"/>
  <c r="AN713" i="31"/>
  <c r="AO713" i="31"/>
  <c r="AM714" i="31"/>
  <c r="AN714" i="31"/>
  <c r="AO714" i="31"/>
  <c r="AM715" i="31"/>
  <c r="AN715" i="31"/>
  <c r="AO715" i="31"/>
  <c r="AM716" i="31"/>
  <c r="AN716" i="31"/>
  <c r="AO716" i="31"/>
  <c r="AM717" i="31"/>
  <c r="AN717" i="31"/>
  <c r="AO717" i="31"/>
  <c r="AM718" i="31"/>
  <c r="AN718" i="31"/>
  <c r="AO718" i="31"/>
  <c r="AM719" i="31"/>
  <c r="AN719" i="31"/>
  <c r="AO719" i="31"/>
  <c r="AM720" i="31"/>
  <c r="AN720" i="31"/>
  <c r="AO720" i="31"/>
  <c r="AM721" i="31"/>
  <c r="AN721" i="31"/>
  <c r="AO721" i="31"/>
  <c r="AM722" i="31"/>
  <c r="AN722" i="31"/>
  <c r="AO722" i="31"/>
  <c r="AM723" i="31"/>
  <c r="AN723" i="31"/>
  <c r="AO723" i="31"/>
  <c r="AM724" i="31"/>
  <c r="AN724" i="31"/>
  <c r="AO724" i="31"/>
  <c r="AM725" i="31"/>
  <c r="AN725" i="31"/>
  <c r="AO725" i="31"/>
  <c r="AM726" i="31"/>
  <c r="AN726" i="31"/>
  <c r="AO726" i="31"/>
  <c r="AM727" i="31"/>
  <c r="AN727" i="31"/>
  <c r="AO727" i="31"/>
  <c r="AM728" i="31"/>
  <c r="AN728" i="31"/>
  <c r="AO728" i="31"/>
  <c r="AM729" i="31"/>
  <c r="AN729" i="31"/>
  <c r="AO729" i="31"/>
  <c r="AM730" i="31"/>
  <c r="AN730" i="31"/>
  <c r="AO730" i="31"/>
  <c r="AM731" i="31"/>
  <c r="AN731" i="31"/>
  <c r="AO731" i="31"/>
  <c r="AM732" i="31"/>
  <c r="AN732" i="31"/>
  <c r="AO732" i="31"/>
  <c r="AM733" i="31"/>
  <c r="AN733" i="31"/>
  <c r="AO733" i="31"/>
  <c r="AM734" i="31"/>
  <c r="AN734" i="31"/>
  <c r="AO734" i="31"/>
  <c r="AM735" i="31"/>
  <c r="AN735" i="31"/>
  <c r="AO735" i="31"/>
  <c r="AM736" i="31"/>
  <c r="AN736" i="31"/>
  <c r="AO736" i="31"/>
  <c r="AM737" i="31"/>
  <c r="AN737" i="31"/>
  <c r="AO737" i="31"/>
  <c r="AM738" i="31"/>
  <c r="AN738" i="31"/>
  <c r="AO738" i="31"/>
  <c r="AM739" i="31"/>
  <c r="AN739" i="31"/>
  <c r="AO739" i="31"/>
  <c r="AM740" i="31"/>
  <c r="AN740" i="31"/>
  <c r="AO740" i="31"/>
  <c r="AM741" i="31"/>
  <c r="AN741" i="31"/>
  <c r="AO741" i="31"/>
  <c r="AM742" i="31"/>
  <c r="AN742" i="31"/>
  <c r="AO742" i="31"/>
  <c r="AM743" i="31"/>
  <c r="AN743" i="31"/>
  <c r="AO743" i="31"/>
  <c r="AM744" i="31"/>
  <c r="AN744" i="31"/>
  <c r="AO744" i="31"/>
  <c r="AM745" i="31"/>
  <c r="AN745" i="31"/>
  <c r="AO745" i="31"/>
  <c r="AM746" i="31"/>
  <c r="AN746" i="31"/>
  <c r="AO746" i="31"/>
  <c r="AM747" i="31"/>
  <c r="AN747" i="31"/>
  <c r="AO747" i="31"/>
  <c r="AM748" i="31"/>
  <c r="AN748" i="31"/>
  <c r="AO748" i="31"/>
  <c r="AM749" i="31"/>
  <c r="AN749" i="31"/>
  <c r="AO749" i="31"/>
  <c r="AM750" i="31"/>
  <c r="AN750" i="31"/>
  <c r="AO750" i="31"/>
  <c r="AM751" i="31"/>
  <c r="AN751" i="31"/>
  <c r="AO751" i="31"/>
  <c r="AM752" i="31"/>
  <c r="AN752" i="31"/>
  <c r="AO752" i="31"/>
  <c r="AM753" i="31"/>
  <c r="AN753" i="31"/>
  <c r="AO753" i="31"/>
  <c r="AM754" i="31"/>
  <c r="AN754" i="31"/>
  <c r="AO754" i="31"/>
  <c r="AM755" i="31"/>
  <c r="AN755" i="31"/>
  <c r="AO755" i="31"/>
  <c r="AM756" i="31"/>
  <c r="AN756" i="31"/>
  <c r="AO756" i="31"/>
  <c r="AM757" i="31"/>
  <c r="AN757" i="31"/>
  <c r="AO757" i="31"/>
  <c r="AM758" i="31"/>
  <c r="AN758" i="31"/>
  <c r="AO758" i="31"/>
  <c r="AM759" i="31"/>
  <c r="AN759" i="31"/>
  <c r="AO759" i="31"/>
  <c r="AM760" i="31"/>
  <c r="AN760" i="31"/>
  <c r="AO760" i="31"/>
  <c r="AM761" i="31"/>
  <c r="AN761" i="31"/>
  <c r="AO761" i="31"/>
  <c r="AM762" i="31"/>
  <c r="AN762" i="31"/>
  <c r="AO762" i="31"/>
  <c r="AM763" i="31"/>
  <c r="AN763" i="31"/>
  <c r="AO763" i="31"/>
  <c r="AM764" i="31"/>
  <c r="AN764" i="31"/>
  <c r="AO764" i="31"/>
  <c r="AM765" i="31"/>
  <c r="AN765" i="31"/>
  <c r="AO765" i="31"/>
  <c r="AM766" i="31"/>
  <c r="AN766" i="31"/>
  <c r="AO766" i="31"/>
  <c r="AM767" i="31"/>
  <c r="AN767" i="31"/>
  <c r="AO767" i="31"/>
  <c r="AM768" i="31"/>
  <c r="AN768" i="31"/>
  <c r="AO768" i="31"/>
  <c r="AM769" i="31"/>
  <c r="AN769" i="31"/>
  <c r="AO769" i="31"/>
  <c r="AM770" i="31"/>
  <c r="AN770" i="31"/>
  <c r="AO770" i="31"/>
  <c r="AM771" i="31"/>
  <c r="AN771" i="31"/>
  <c r="AO771" i="31"/>
  <c r="AM772" i="31"/>
  <c r="AN772" i="31"/>
  <c r="AO772" i="31"/>
  <c r="AM773" i="31"/>
  <c r="AN773" i="31"/>
  <c r="AO773" i="31"/>
  <c r="AM774" i="31"/>
  <c r="AN774" i="31"/>
  <c r="AO774" i="31"/>
  <c r="AM775" i="31"/>
  <c r="AN775" i="31"/>
  <c r="AO775" i="31"/>
  <c r="AM776" i="31"/>
  <c r="AN776" i="31"/>
  <c r="AO776" i="31"/>
  <c r="AM777" i="31"/>
  <c r="AN777" i="31"/>
  <c r="AO777" i="31"/>
  <c r="AM778" i="31"/>
  <c r="AN778" i="31"/>
  <c r="AO778" i="31"/>
  <c r="AM779" i="31"/>
  <c r="AN779" i="31"/>
  <c r="AO779" i="31"/>
  <c r="AM780" i="31"/>
  <c r="AN780" i="31"/>
  <c r="AO780" i="31"/>
  <c r="AM781" i="31"/>
  <c r="AN781" i="31"/>
  <c r="AO781" i="31"/>
  <c r="AM782" i="31"/>
  <c r="AN782" i="31"/>
  <c r="AO782" i="31"/>
  <c r="AM783" i="31"/>
  <c r="AN783" i="31"/>
  <c r="AO783" i="31"/>
  <c r="AM784" i="31"/>
  <c r="AN784" i="31"/>
  <c r="AO784" i="31"/>
  <c r="AM785" i="31"/>
  <c r="AN785" i="31"/>
  <c r="AO785" i="31"/>
  <c r="AM786" i="31"/>
  <c r="AN786" i="31"/>
  <c r="AO786" i="31"/>
  <c r="AM787" i="31"/>
  <c r="AN787" i="31"/>
  <c r="AO787" i="31"/>
  <c r="AM788" i="31"/>
  <c r="AN788" i="31"/>
  <c r="AO788" i="31"/>
  <c r="AM789" i="31"/>
  <c r="AN789" i="31"/>
  <c r="AO789" i="31"/>
  <c r="AM790" i="31"/>
  <c r="AN790" i="31"/>
  <c r="AO790" i="31"/>
  <c r="AM791" i="31"/>
  <c r="AN791" i="31"/>
  <c r="AO791" i="31"/>
  <c r="AM792" i="31"/>
  <c r="AN792" i="31"/>
  <c r="AO792" i="31"/>
  <c r="AM793" i="31"/>
  <c r="AN793" i="31"/>
  <c r="AO793" i="31"/>
  <c r="AM794" i="31"/>
  <c r="AN794" i="31"/>
  <c r="AO794" i="31"/>
  <c r="AM795" i="31"/>
  <c r="AN795" i="31"/>
  <c r="AO795" i="31"/>
  <c r="AM796" i="31"/>
  <c r="AN796" i="31"/>
  <c r="AO796" i="31"/>
  <c r="AM797" i="31"/>
  <c r="AN797" i="31"/>
  <c r="AO797" i="31"/>
  <c r="AM798" i="31"/>
  <c r="AN798" i="31"/>
  <c r="AO798" i="31"/>
  <c r="AM799" i="31"/>
  <c r="AN799" i="31"/>
  <c r="AO799" i="31"/>
  <c r="AM800" i="31"/>
  <c r="AN800" i="31"/>
  <c r="AO800" i="31"/>
  <c r="AM801" i="31"/>
  <c r="AN801" i="31"/>
  <c r="AO801" i="31"/>
  <c r="AM802" i="31"/>
  <c r="AN802" i="31"/>
  <c r="AO802" i="31"/>
  <c r="AM803" i="31"/>
  <c r="AN803" i="31"/>
  <c r="AO803" i="31"/>
  <c r="AM804" i="31"/>
  <c r="AN804" i="31"/>
  <c r="AO804" i="31"/>
  <c r="AM805" i="31"/>
  <c r="AN805" i="31"/>
  <c r="AO805" i="31"/>
  <c r="AM806" i="31"/>
  <c r="AN806" i="31"/>
  <c r="AO806" i="31"/>
  <c r="AM807" i="31"/>
  <c r="AN807" i="31"/>
  <c r="AO807" i="31"/>
  <c r="AM808" i="31"/>
  <c r="AN808" i="31"/>
  <c r="AO808" i="31"/>
  <c r="AM809" i="31"/>
  <c r="AN809" i="31"/>
  <c r="AO809" i="31"/>
  <c r="AM810" i="31"/>
  <c r="AN810" i="31"/>
  <c r="AO810" i="31"/>
  <c r="AM811" i="31"/>
  <c r="AN811" i="31"/>
  <c r="AO811" i="31"/>
  <c r="AM812" i="31"/>
  <c r="AN812" i="31"/>
  <c r="AO812" i="31"/>
  <c r="AM813" i="31"/>
  <c r="AN813" i="31"/>
  <c r="AO813" i="31"/>
  <c r="AM814" i="31"/>
  <c r="AN814" i="31"/>
  <c r="AO814" i="31"/>
  <c r="AM815" i="31"/>
  <c r="AN815" i="31"/>
  <c r="AO815" i="31"/>
  <c r="AM816" i="31"/>
  <c r="AN816" i="31"/>
  <c r="AO816" i="31"/>
  <c r="AM817" i="31"/>
  <c r="AN817" i="31"/>
  <c r="AO817" i="31"/>
  <c r="AM818" i="31"/>
  <c r="AN818" i="31"/>
  <c r="AO818" i="31"/>
  <c r="AM819" i="31"/>
  <c r="AN819" i="31"/>
  <c r="AO819" i="31"/>
  <c r="AM820" i="31"/>
  <c r="AN820" i="31"/>
  <c r="AO820" i="31"/>
  <c r="AM821" i="31"/>
  <c r="AN821" i="31"/>
  <c r="AO821" i="31"/>
  <c r="AM822" i="31"/>
  <c r="AN822" i="31"/>
  <c r="AO822" i="31"/>
  <c r="AM823" i="31"/>
  <c r="AN823" i="31"/>
  <c r="AO823" i="31"/>
  <c r="AM824" i="31"/>
  <c r="AN824" i="31"/>
  <c r="AO824" i="31"/>
  <c r="AM825" i="31"/>
  <c r="AN825" i="31"/>
  <c r="AO825" i="31"/>
  <c r="AM826" i="31"/>
  <c r="AN826" i="31"/>
  <c r="AO826" i="31"/>
  <c r="AM827" i="31"/>
  <c r="AN827" i="31"/>
  <c r="AO827" i="31"/>
  <c r="AM828" i="31"/>
  <c r="AN828" i="31"/>
  <c r="AO828" i="31"/>
  <c r="AM829" i="31"/>
  <c r="AN829" i="31"/>
  <c r="AO829" i="31"/>
  <c r="AM830" i="31"/>
  <c r="AN830" i="31"/>
  <c r="AO830" i="31"/>
  <c r="AM831" i="31"/>
  <c r="AN831" i="31"/>
  <c r="AO831" i="31"/>
  <c r="AM832" i="31"/>
  <c r="AN832" i="31"/>
  <c r="AO832" i="31"/>
  <c r="AM833" i="31"/>
  <c r="AN833" i="31"/>
  <c r="AO833" i="31"/>
  <c r="AM834" i="31"/>
  <c r="AN834" i="31"/>
  <c r="AO834" i="31"/>
  <c r="AM835" i="31"/>
  <c r="AN835" i="31"/>
  <c r="AO835" i="31"/>
  <c r="AM836" i="31"/>
  <c r="AN836" i="31"/>
  <c r="AO836" i="31"/>
  <c r="AM837" i="31"/>
  <c r="AN837" i="31"/>
  <c r="AO837" i="31"/>
  <c r="AM838" i="31"/>
  <c r="AN838" i="31"/>
  <c r="AO838" i="31"/>
  <c r="AM839" i="31"/>
  <c r="AN839" i="31"/>
  <c r="AO839" i="31"/>
  <c r="AM840" i="31"/>
  <c r="AN840" i="31"/>
  <c r="AO840" i="31"/>
  <c r="AM841" i="31"/>
  <c r="AN841" i="31"/>
  <c r="AO841" i="31"/>
  <c r="AM842" i="31"/>
  <c r="AN842" i="31"/>
  <c r="AO842" i="31"/>
  <c r="AM843" i="31"/>
  <c r="AN843" i="31"/>
  <c r="AO843" i="31"/>
  <c r="AM844" i="31"/>
  <c r="AN844" i="31"/>
  <c r="AO844" i="31"/>
  <c r="AM845" i="31"/>
  <c r="AN845" i="31"/>
  <c r="AO845" i="31"/>
  <c r="AM846" i="31"/>
  <c r="AN846" i="31"/>
  <c r="AO846" i="31"/>
  <c r="AM847" i="31"/>
  <c r="AN847" i="31"/>
  <c r="AO847" i="31"/>
  <c r="AM848" i="31"/>
  <c r="AN848" i="31"/>
  <c r="AO848" i="31"/>
  <c r="AM849" i="31"/>
  <c r="AN849" i="31"/>
  <c r="AO849" i="31"/>
  <c r="AM850" i="31"/>
  <c r="AN850" i="31"/>
  <c r="AO850" i="31"/>
  <c r="AM851" i="31"/>
  <c r="AN851" i="31"/>
  <c r="AO851" i="31"/>
  <c r="AM852" i="31"/>
  <c r="AN852" i="31"/>
  <c r="AO852" i="31"/>
  <c r="AM853" i="31"/>
  <c r="AN853" i="31"/>
  <c r="AO853" i="31"/>
  <c r="AM854" i="31"/>
  <c r="AN854" i="31"/>
  <c r="AO854" i="31"/>
  <c r="AM855" i="31"/>
  <c r="AN855" i="31"/>
  <c r="AO855" i="31"/>
  <c r="AM856" i="31"/>
  <c r="AN856" i="31"/>
  <c r="AO856" i="31"/>
  <c r="AM857" i="31"/>
  <c r="AN857" i="31"/>
  <c r="AO857" i="31"/>
  <c r="AM858" i="31"/>
  <c r="AN858" i="31"/>
  <c r="AO858" i="31"/>
  <c r="AM859" i="31"/>
  <c r="AN859" i="31"/>
  <c r="AO859" i="31"/>
  <c r="AM860" i="31"/>
  <c r="AN860" i="31"/>
  <c r="AO860" i="31"/>
  <c r="AM861" i="31"/>
  <c r="AN861" i="31"/>
  <c r="AO861" i="31"/>
  <c r="AM862" i="31"/>
  <c r="AN862" i="31"/>
  <c r="AO862" i="31"/>
  <c r="AM863" i="31"/>
  <c r="AN863" i="31"/>
  <c r="AO863" i="31"/>
  <c r="AM864" i="31"/>
  <c r="AN864" i="31"/>
  <c r="AO864" i="31"/>
  <c r="AM865" i="31"/>
  <c r="AN865" i="31"/>
  <c r="AO865" i="31"/>
  <c r="AM866" i="31"/>
  <c r="AN866" i="31"/>
  <c r="AO866" i="31"/>
  <c r="AM867" i="31"/>
  <c r="AN867" i="31"/>
  <c r="AO867" i="31"/>
  <c r="AM868" i="31"/>
  <c r="AN868" i="31"/>
  <c r="AO868" i="31"/>
  <c r="AM869" i="31"/>
  <c r="AN869" i="31"/>
  <c r="AO869" i="31"/>
  <c r="AM870" i="31"/>
  <c r="AN870" i="31"/>
  <c r="AO870" i="31"/>
  <c r="AM871" i="31"/>
  <c r="AN871" i="31"/>
  <c r="AO871" i="31"/>
  <c r="AM872" i="31"/>
  <c r="AN872" i="31"/>
  <c r="AO872" i="31"/>
  <c r="AM873" i="31"/>
  <c r="AN873" i="31"/>
  <c r="AO873" i="31"/>
  <c r="AM874" i="31"/>
  <c r="AN874" i="31"/>
  <c r="AO874" i="31"/>
  <c r="AM875" i="31"/>
  <c r="AN875" i="31"/>
  <c r="AO875" i="31"/>
  <c r="AM876" i="31"/>
  <c r="AN876" i="31"/>
  <c r="AO876" i="31"/>
  <c r="AM877" i="31"/>
  <c r="AN877" i="31"/>
  <c r="AO877" i="31"/>
  <c r="AM878" i="31"/>
  <c r="AN878" i="31"/>
  <c r="AO878" i="31"/>
  <c r="AM879" i="31"/>
  <c r="AN879" i="31"/>
  <c r="AO879" i="31"/>
  <c r="AM880" i="31"/>
  <c r="AN880" i="31"/>
  <c r="AO880" i="31"/>
  <c r="AM881" i="31"/>
  <c r="AN881" i="31"/>
  <c r="AO881" i="31"/>
  <c r="AO662" i="31"/>
  <c r="AN662" i="31"/>
  <c r="AM662" i="31"/>
  <c r="AM443" i="31"/>
  <c r="AN443" i="31"/>
  <c r="AO443" i="31"/>
  <c r="AM444" i="31"/>
  <c r="AN444" i="31"/>
  <c r="AO444" i="31"/>
  <c r="AM445" i="31"/>
  <c r="AN445" i="31"/>
  <c r="AO445" i="31"/>
  <c r="AM446" i="31"/>
  <c r="AN446" i="31"/>
  <c r="AO446" i="31"/>
  <c r="AM447" i="31"/>
  <c r="AN447" i="31"/>
  <c r="AO447" i="31"/>
  <c r="AM448" i="31"/>
  <c r="AN448" i="31"/>
  <c r="AO448" i="31"/>
  <c r="AM449" i="31"/>
  <c r="AN449" i="31"/>
  <c r="AO449" i="31"/>
  <c r="AM450" i="31"/>
  <c r="AN450" i="31"/>
  <c r="AO450" i="31"/>
  <c r="AM451" i="31"/>
  <c r="AN451" i="31"/>
  <c r="AO451" i="31"/>
  <c r="AM452" i="31"/>
  <c r="AN452" i="31"/>
  <c r="AO452" i="31"/>
  <c r="AM453" i="31"/>
  <c r="AN453" i="31"/>
  <c r="AO453" i="31"/>
  <c r="AM454" i="31"/>
  <c r="AN454" i="31"/>
  <c r="AO454" i="31"/>
  <c r="AM455" i="31"/>
  <c r="AN455" i="31"/>
  <c r="AO455" i="31"/>
  <c r="AM456" i="31"/>
  <c r="AN456" i="31"/>
  <c r="AO456" i="31"/>
  <c r="AM457" i="31"/>
  <c r="AN457" i="31"/>
  <c r="AO457" i="31"/>
  <c r="AM458" i="31"/>
  <c r="AN458" i="31"/>
  <c r="AO458" i="31"/>
  <c r="AM459" i="31"/>
  <c r="AN459" i="31"/>
  <c r="AO459" i="31"/>
  <c r="AM460" i="31"/>
  <c r="AN460" i="31"/>
  <c r="AO460" i="31"/>
  <c r="AM461" i="31"/>
  <c r="AN461" i="31"/>
  <c r="AO461" i="31"/>
  <c r="AM462" i="31"/>
  <c r="AN462" i="31"/>
  <c r="AO462" i="31"/>
  <c r="AM463" i="31"/>
  <c r="AN463" i="31"/>
  <c r="AO463" i="31"/>
  <c r="AM464" i="31"/>
  <c r="AN464" i="31"/>
  <c r="AO464" i="31"/>
  <c r="AM465" i="31"/>
  <c r="AN465" i="31"/>
  <c r="AO465" i="31"/>
  <c r="AM466" i="31"/>
  <c r="AN466" i="31"/>
  <c r="AO466" i="31"/>
  <c r="AM467" i="31"/>
  <c r="AN467" i="31"/>
  <c r="AO467" i="31"/>
  <c r="AM468" i="31"/>
  <c r="AN468" i="31"/>
  <c r="AO468" i="31"/>
  <c r="AM469" i="31"/>
  <c r="AN469" i="31"/>
  <c r="AO469" i="31"/>
  <c r="AM470" i="31"/>
  <c r="AN470" i="31"/>
  <c r="AO470" i="31"/>
  <c r="AM471" i="31"/>
  <c r="AN471" i="31"/>
  <c r="AO471" i="31"/>
  <c r="AM472" i="31"/>
  <c r="AN472" i="31"/>
  <c r="AO472" i="31"/>
  <c r="AM473" i="31"/>
  <c r="AN473" i="31"/>
  <c r="AO473" i="31"/>
  <c r="AM474" i="31"/>
  <c r="AN474" i="31"/>
  <c r="AO474" i="31"/>
  <c r="AM475" i="31"/>
  <c r="AN475" i="31"/>
  <c r="AO475" i="31"/>
  <c r="AM476" i="31"/>
  <c r="AN476" i="31"/>
  <c r="AO476" i="31"/>
  <c r="AM477" i="31"/>
  <c r="AN477" i="31"/>
  <c r="AO477" i="31"/>
  <c r="AM478" i="31"/>
  <c r="AN478" i="31"/>
  <c r="AO478" i="31"/>
  <c r="AM479" i="31"/>
  <c r="AN479" i="31"/>
  <c r="AO479" i="31"/>
  <c r="AM480" i="31"/>
  <c r="AN480" i="31"/>
  <c r="AO480" i="31"/>
  <c r="AM481" i="31"/>
  <c r="AN481" i="31"/>
  <c r="AO481" i="31"/>
  <c r="AM482" i="31"/>
  <c r="AN482" i="31"/>
  <c r="AO482" i="31"/>
  <c r="AM483" i="31"/>
  <c r="AN483" i="31"/>
  <c r="AO483" i="31"/>
  <c r="AM484" i="31"/>
  <c r="AN484" i="31"/>
  <c r="AO484" i="31"/>
  <c r="AM485" i="31"/>
  <c r="AN485" i="31"/>
  <c r="AO485" i="31"/>
  <c r="AM486" i="31"/>
  <c r="AN486" i="31"/>
  <c r="AO486" i="31"/>
  <c r="AM487" i="31"/>
  <c r="AN487" i="31"/>
  <c r="AO487" i="31"/>
  <c r="AM488" i="31"/>
  <c r="AN488" i="31"/>
  <c r="AO488" i="31"/>
  <c r="AM489" i="31"/>
  <c r="AN489" i="31"/>
  <c r="AO489" i="31"/>
  <c r="AM490" i="31"/>
  <c r="AN490" i="31"/>
  <c r="AO490" i="31"/>
  <c r="AM491" i="31"/>
  <c r="AN491" i="31"/>
  <c r="AO491" i="31"/>
  <c r="AM492" i="31"/>
  <c r="AN492" i="31"/>
  <c r="AO492" i="31"/>
  <c r="AM493" i="31"/>
  <c r="AN493" i="31"/>
  <c r="AO493" i="31"/>
  <c r="AM494" i="31"/>
  <c r="AN494" i="31"/>
  <c r="AO494" i="31"/>
  <c r="AM495" i="31"/>
  <c r="AN495" i="31"/>
  <c r="AO495" i="31"/>
  <c r="AM496" i="31"/>
  <c r="AN496" i="31"/>
  <c r="AO496" i="31"/>
  <c r="AM497" i="31"/>
  <c r="AN497" i="31"/>
  <c r="AO497" i="31"/>
  <c r="AM498" i="31"/>
  <c r="AN498" i="31"/>
  <c r="AO498" i="31"/>
  <c r="AM499" i="31"/>
  <c r="AN499" i="31"/>
  <c r="AO499" i="31"/>
  <c r="AM500" i="31"/>
  <c r="AN500" i="31"/>
  <c r="AO500" i="31"/>
  <c r="AM501" i="31"/>
  <c r="AN501" i="31"/>
  <c r="AO501" i="31"/>
  <c r="AM502" i="31"/>
  <c r="AN502" i="31"/>
  <c r="AO502" i="31"/>
  <c r="AM503" i="31"/>
  <c r="AN503" i="31"/>
  <c r="AO503" i="31"/>
  <c r="AM504" i="31"/>
  <c r="AN504" i="31"/>
  <c r="AO504" i="31"/>
  <c r="AM505" i="31"/>
  <c r="AN505" i="31"/>
  <c r="AO505" i="31"/>
  <c r="AM506" i="31"/>
  <c r="AN506" i="31"/>
  <c r="AO506" i="31"/>
  <c r="AM507" i="31"/>
  <c r="AN507" i="31"/>
  <c r="AO507" i="31"/>
  <c r="AM508" i="31"/>
  <c r="AN508" i="31"/>
  <c r="AO508" i="31"/>
  <c r="AM509" i="31"/>
  <c r="AN509" i="31"/>
  <c r="AO509" i="31"/>
  <c r="AM510" i="31"/>
  <c r="AN510" i="31"/>
  <c r="AO510" i="31"/>
  <c r="AM511" i="31"/>
  <c r="AN511" i="31"/>
  <c r="AO511" i="31"/>
  <c r="AM512" i="31"/>
  <c r="AN512" i="31"/>
  <c r="AO512" i="31"/>
  <c r="AM513" i="31"/>
  <c r="AN513" i="31"/>
  <c r="AO513" i="31"/>
  <c r="AM514" i="31"/>
  <c r="AN514" i="31"/>
  <c r="AO514" i="31"/>
  <c r="AM515" i="31"/>
  <c r="AN515" i="31"/>
  <c r="AO515" i="31"/>
  <c r="AM516" i="31"/>
  <c r="AN516" i="31"/>
  <c r="AO516" i="31"/>
  <c r="AM517" i="31"/>
  <c r="AN517" i="31"/>
  <c r="AO517" i="31"/>
  <c r="AM518" i="31"/>
  <c r="AN518" i="31"/>
  <c r="AO518" i="31"/>
  <c r="AM519" i="31"/>
  <c r="AN519" i="31"/>
  <c r="AO519" i="31"/>
  <c r="AM520" i="31"/>
  <c r="AN520" i="31"/>
  <c r="AO520" i="31"/>
  <c r="AM521" i="31"/>
  <c r="AN521" i="31"/>
  <c r="AO521" i="31"/>
  <c r="AM522" i="31"/>
  <c r="AN522" i="31"/>
  <c r="AO522" i="31"/>
  <c r="AM523" i="31"/>
  <c r="AN523" i="31"/>
  <c r="AO523" i="31"/>
  <c r="AM524" i="31"/>
  <c r="AN524" i="31"/>
  <c r="AO524" i="31"/>
  <c r="AM525" i="31"/>
  <c r="AN525" i="31"/>
  <c r="AO525" i="31"/>
  <c r="AM526" i="31"/>
  <c r="AN526" i="31"/>
  <c r="AO526" i="31"/>
  <c r="AM527" i="31"/>
  <c r="AN527" i="31"/>
  <c r="AO527" i="31"/>
  <c r="AM528" i="31"/>
  <c r="AN528" i="31"/>
  <c r="AO528" i="31"/>
  <c r="AM529" i="31"/>
  <c r="AN529" i="31"/>
  <c r="AO529" i="31"/>
  <c r="AM530" i="31"/>
  <c r="AN530" i="31"/>
  <c r="AO530" i="31"/>
  <c r="AM531" i="31"/>
  <c r="AN531" i="31"/>
  <c r="AO531" i="31"/>
  <c r="AM532" i="31"/>
  <c r="AN532" i="31"/>
  <c r="AO532" i="31"/>
  <c r="AM533" i="31"/>
  <c r="AN533" i="31"/>
  <c r="AO533" i="31"/>
  <c r="AM534" i="31"/>
  <c r="AN534" i="31"/>
  <c r="AO534" i="31"/>
  <c r="AM535" i="31"/>
  <c r="AN535" i="31"/>
  <c r="AO535" i="31"/>
  <c r="AM536" i="31"/>
  <c r="AN536" i="31"/>
  <c r="AO536" i="31"/>
  <c r="AM537" i="31"/>
  <c r="AN537" i="31"/>
  <c r="AO537" i="31"/>
  <c r="AM538" i="31"/>
  <c r="AN538" i="31"/>
  <c r="AO538" i="31"/>
  <c r="AM539" i="31"/>
  <c r="AN539" i="31"/>
  <c r="AO539" i="31"/>
  <c r="AM540" i="31"/>
  <c r="AN540" i="31"/>
  <c r="AO540" i="31"/>
  <c r="AM541" i="31"/>
  <c r="AN541" i="31"/>
  <c r="AO541" i="31"/>
  <c r="AM542" i="31"/>
  <c r="AN542" i="31"/>
  <c r="AO542" i="31"/>
  <c r="AM543" i="31"/>
  <c r="AN543" i="31"/>
  <c r="AO543" i="31"/>
  <c r="AM544" i="31"/>
  <c r="AN544" i="31"/>
  <c r="AO544" i="31"/>
  <c r="AM545" i="31"/>
  <c r="AN545" i="31"/>
  <c r="AO545" i="31"/>
  <c r="AM546" i="31"/>
  <c r="AN546" i="31"/>
  <c r="AO546" i="31"/>
  <c r="AM547" i="31"/>
  <c r="AN547" i="31"/>
  <c r="AO547" i="31"/>
  <c r="AM548" i="31"/>
  <c r="AN548" i="31"/>
  <c r="AO548" i="31"/>
  <c r="AM549" i="31"/>
  <c r="AN549" i="31"/>
  <c r="AO549" i="31"/>
  <c r="AM550" i="31"/>
  <c r="AN550" i="31"/>
  <c r="AO550" i="31"/>
  <c r="AM551" i="31"/>
  <c r="AN551" i="31"/>
  <c r="AO551" i="31"/>
  <c r="AM552" i="31"/>
  <c r="AN552" i="31"/>
  <c r="AO552" i="31"/>
  <c r="AM553" i="31"/>
  <c r="AN553" i="31"/>
  <c r="AO553" i="31"/>
  <c r="AM554" i="31"/>
  <c r="AN554" i="31"/>
  <c r="AO554" i="31"/>
  <c r="AM555" i="31"/>
  <c r="AN555" i="31"/>
  <c r="AO555" i="31"/>
  <c r="AM556" i="31"/>
  <c r="AN556" i="31"/>
  <c r="AO556" i="31"/>
  <c r="AM557" i="31"/>
  <c r="AN557" i="31"/>
  <c r="AO557" i="31"/>
  <c r="AM558" i="31"/>
  <c r="AN558" i="31"/>
  <c r="AO558" i="31"/>
  <c r="AM559" i="31"/>
  <c r="AN559" i="31"/>
  <c r="AO559" i="31"/>
  <c r="AM560" i="31"/>
  <c r="AN560" i="31"/>
  <c r="AO560" i="31"/>
  <c r="AM561" i="31"/>
  <c r="AN561" i="31"/>
  <c r="AO561" i="31"/>
  <c r="AM562" i="31"/>
  <c r="AN562" i="31"/>
  <c r="AO562" i="31"/>
  <c r="AM563" i="31"/>
  <c r="AN563" i="31"/>
  <c r="AO563" i="31"/>
  <c r="AM564" i="31"/>
  <c r="AN564" i="31"/>
  <c r="AO564" i="31"/>
  <c r="AM565" i="31"/>
  <c r="AN565" i="31"/>
  <c r="AO565" i="31"/>
  <c r="AM566" i="31"/>
  <c r="AN566" i="31"/>
  <c r="AO566" i="31"/>
  <c r="AM567" i="31"/>
  <c r="AN567" i="31"/>
  <c r="AO567" i="31"/>
  <c r="AM568" i="31"/>
  <c r="AN568" i="31"/>
  <c r="AO568" i="31"/>
  <c r="AM569" i="31"/>
  <c r="AN569" i="31"/>
  <c r="AO569" i="31"/>
  <c r="AM570" i="31"/>
  <c r="AN570" i="31"/>
  <c r="AO570" i="31"/>
  <c r="AM571" i="31"/>
  <c r="AN571" i="31"/>
  <c r="AO571" i="31"/>
  <c r="AM572" i="31"/>
  <c r="AN572" i="31"/>
  <c r="AO572" i="31"/>
  <c r="AM573" i="31"/>
  <c r="AN573" i="31"/>
  <c r="AO573" i="31"/>
  <c r="AM574" i="31"/>
  <c r="AN574" i="31"/>
  <c r="AO574" i="31"/>
  <c r="AM575" i="31"/>
  <c r="AN575" i="31"/>
  <c r="AO575" i="31"/>
  <c r="AM576" i="31"/>
  <c r="AN576" i="31"/>
  <c r="AO576" i="31"/>
  <c r="AM577" i="31"/>
  <c r="AN577" i="31"/>
  <c r="AO577" i="31"/>
  <c r="AM578" i="31"/>
  <c r="AN578" i="31"/>
  <c r="AO578" i="31"/>
  <c r="AM579" i="31"/>
  <c r="AN579" i="31"/>
  <c r="AO579" i="31"/>
  <c r="AM580" i="31"/>
  <c r="AN580" i="31"/>
  <c r="AO580" i="31"/>
  <c r="AM581" i="31"/>
  <c r="AN581" i="31"/>
  <c r="AO581" i="31"/>
  <c r="AM582" i="31"/>
  <c r="AN582" i="31"/>
  <c r="AO582" i="31"/>
  <c r="AM583" i="31"/>
  <c r="AN583" i="31"/>
  <c r="AO583" i="31"/>
  <c r="AM584" i="31"/>
  <c r="AN584" i="31"/>
  <c r="AO584" i="31"/>
  <c r="AM585" i="31"/>
  <c r="AN585" i="31"/>
  <c r="AO585" i="31"/>
  <c r="AM586" i="31"/>
  <c r="AN586" i="31"/>
  <c r="AO586" i="31"/>
  <c r="AM587" i="31"/>
  <c r="AN587" i="31"/>
  <c r="AO587" i="31"/>
  <c r="AM588" i="31"/>
  <c r="AN588" i="31"/>
  <c r="AO588" i="31"/>
  <c r="AM589" i="31"/>
  <c r="AN589" i="31"/>
  <c r="AO589" i="31"/>
  <c r="AM590" i="31"/>
  <c r="AN590" i="31"/>
  <c r="AO590" i="31"/>
  <c r="AM591" i="31"/>
  <c r="AN591" i="31"/>
  <c r="AO591" i="31"/>
  <c r="AM592" i="31"/>
  <c r="AN592" i="31"/>
  <c r="AO592" i="31"/>
  <c r="AM593" i="31"/>
  <c r="AN593" i="31"/>
  <c r="AO593" i="31"/>
  <c r="AM594" i="31"/>
  <c r="AN594" i="31"/>
  <c r="AO594" i="31"/>
  <c r="AM595" i="31"/>
  <c r="AN595" i="31"/>
  <c r="AO595" i="31"/>
  <c r="AM596" i="31"/>
  <c r="AN596" i="31"/>
  <c r="AO596" i="31"/>
  <c r="AM597" i="31"/>
  <c r="AN597" i="31"/>
  <c r="AO597" i="31"/>
  <c r="AM598" i="31"/>
  <c r="AN598" i="31"/>
  <c r="AO598" i="31"/>
  <c r="AM599" i="31"/>
  <c r="AN599" i="31"/>
  <c r="AO599" i="31"/>
  <c r="AM600" i="31"/>
  <c r="AN600" i="31"/>
  <c r="AO600" i="31"/>
  <c r="AM601" i="31"/>
  <c r="AN601" i="31"/>
  <c r="AO601" i="31"/>
  <c r="AM602" i="31"/>
  <c r="AN602" i="31"/>
  <c r="AO602" i="31"/>
  <c r="AM603" i="31"/>
  <c r="AN603" i="31"/>
  <c r="AO603" i="31"/>
  <c r="AM604" i="31"/>
  <c r="AN604" i="31"/>
  <c r="AO604" i="31"/>
  <c r="AM605" i="31"/>
  <c r="AN605" i="31"/>
  <c r="AO605" i="31"/>
  <c r="AM606" i="31"/>
  <c r="AN606" i="31"/>
  <c r="AO606" i="31"/>
  <c r="AM607" i="31"/>
  <c r="AN607" i="31"/>
  <c r="AO607" i="31"/>
  <c r="AM608" i="31"/>
  <c r="AN608" i="31"/>
  <c r="AO608" i="31"/>
  <c r="AM609" i="31"/>
  <c r="AN609" i="31"/>
  <c r="AO609" i="31"/>
  <c r="AM610" i="31"/>
  <c r="AN610" i="31"/>
  <c r="AO610" i="31"/>
  <c r="AM611" i="31"/>
  <c r="AN611" i="31"/>
  <c r="AO611" i="31"/>
  <c r="AM612" i="31"/>
  <c r="AN612" i="31"/>
  <c r="AO612" i="31"/>
  <c r="AM613" i="31"/>
  <c r="AN613" i="31"/>
  <c r="AO613" i="31"/>
  <c r="AM614" i="31"/>
  <c r="AN614" i="31"/>
  <c r="AO614" i="31"/>
  <c r="AM615" i="31"/>
  <c r="AN615" i="31"/>
  <c r="AO615" i="31"/>
  <c r="AM616" i="31"/>
  <c r="AN616" i="31"/>
  <c r="AO616" i="31"/>
  <c r="AM617" i="31"/>
  <c r="AN617" i="31"/>
  <c r="AO617" i="31"/>
  <c r="AM618" i="31"/>
  <c r="AN618" i="31"/>
  <c r="AO618" i="31"/>
  <c r="AM619" i="31"/>
  <c r="AN619" i="31"/>
  <c r="AO619" i="31"/>
  <c r="AM620" i="31"/>
  <c r="AN620" i="31"/>
  <c r="AO620" i="31"/>
  <c r="AM621" i="31"/>
  <c r="AN621" i="31"/>
  <c r="AO621" i="31"/>
  <c r="AM622" i="31"/>
  <c r="AN622" i="31"/>
  <c r="AO622" i="31"/>
  <c r="AM623" i="31"/>
  <c r="AN623" i="31"/>
  <c r="AO623" i="31"/>
  <c r="AM624" i="31"/>
  <c r="AN624" i="31"/>
  <c r="AO624" i="31"/>
  <c r="AM625" i="31"/>
  <c r="AN625" i="31"/>
  <c r="AO625" i="31"/>
  <c r="AM626" i="31"/>
  <c r="AN626" i="31"/>
  <c r="AO626" i="31"/>
  <c r="AM627" i="31"/>
  <c r="AN627" i="31"/>
  <c r="AO627" i="31"/>
  <c r="AM628" i="31"/>
  <c r="AN628" i="31"/>
  <c r="AO628" i="31"/>
  <c r="AM629" i="31"/>
  <c r="AN629" i="31"/>
  <c r="AO629" i="31"/>
  <c r="AM630" i="31"/>
  <c r="AN630" i="31"/>
  <c r="AO630" i="31"/>
  <c r="AM631" i="31"/>
  <c r="AN631" i="31"/>
  <c r="AO631" i="31"/>
  <c r="AM632" i="31"/>
  <c r="AN632" i="31"/>
  <c r="AO632" i="31"/>
  <c r="AM633" i="31"/>
  <c r="AN633" i="31"/>
  <c r="AO633" i="31"/>
  <c r="AM634" i="31"/>
  <c r="AN634" i="31"/>
  <c r="AO634" i="31"/>
  <c r="AM635" i="31"/>
  <c r="AN635" i="31"/>
  <c r="AO635" i="31"/>
  <c r="AM636" i="31"/>
  <c r="AN636" i="31"/>
  <c r="AO636" i="31"/>
  <c r="AM637" i="31"/>
  <c r="AN637" i="31"/>
  <c r="AO637" i="31"/>
  <c r="AM638" i="31"/>
  <c r="AN638" i="31"/>
  <c r="AO638" i="31"/>
  <c r="AM639" i="31"/>
  <c r="AN639" i="31"/>
  <c r="AO639" i="31"/>
  <c r="AM640" i="31"/>
  <c r="AN640" i="31"/>
  <c r="AO640" i="31"/>
  <c r="AM641" i="31"/>
  <c r="AN641" i="31"/>
  <c r="AO641" i="31"/>
  <c r="AM642" i="31"/>
  <c r="AN642" i="31"/>
  <c r="AO642" i="31"/>
  <c r="AM643" i="31"/>
  <c r="AN643" i="31"/>
  <c r="AO643" i="31"/>
  <c r="AM644" i="31"/>
  <c r="AN644" i="31"/>
  <c r="AO644" i="31"/>
  <c r="AM645" i="31"/>
  <c r="AN645" i="31"/>
  <c r="AO645" i="31"/>
  <c r="AM646" i="31"/>
  <c r="AN646" i="31"/>
  <c r="AO646" i="31"/>
  <c r="AM647" i="31"/>
  <c r="AN647" i="31"/>
  <c r="AO647" i="31"/>
  <c r="AM648" i="31"/>
  <c r="AN648" i="31"/>
  <c r="AO648" i="31"/>
  <c r="AM649" i="31"/>
  <c r="AN649" i="31"/>
  <c r="AO649" i="31"/>
  <c r="AM650" i="31"/>
  <c r="AN650" i="31"/>
  <c r="AO650" i="31"/>
  <c r="AM651" i="31"/>
  <c r="AN651" i="31"/>
  <c r="AO651" i="31"/>
  <c r="AM652" i="31"/>
  <c r="AN652" i="31"/>
  <c r="AO652" i="31"/>
  <c r="AM653" i="31"/>
  <c r="AN653" i="31"/>
  <c r="AO653" i="31"/>
  <c r="AM654" i="31"/>
  <c r="AN654" i="31"/>
  <c r="AO654" i="31"/>
  <c r="AM655" i="31"/>
  <c r="AN655" i="31"/>
  <c r="AO655" i="31"/>
  <c r="AM656" i="31"/>
  <c r="AN656" i="31"/>
  <c r="AO656" i="31"/>
  <c r="AM657" i="31"/>
  <c r="AN657" i="31"/>
  <c r="AO657" i="31"/>
  <c r="AM658" i="31"/>
  <c r="AN658" i="31"/>
  <c r="AO658" i="31"/>
  <c r="AM659" i="31"/>
  <c r="AN659" i="31"/>
  <c r="AO659" i="31"/>
  <c r="AM660" i="31"/>
  <c r="AN660" i="31"/>
  <c r="AO660" i="31"/>
  <c r="AM661" i="31"/>
  <c r="AN661" i="31"/>
  <c r="AO661" i="31"/>
  <c r="AO442" i="31"/>
  <c r="AN442" i="31"/>
  <c r="AM442" i="31"/>
  <c r="AM223" i="31"/>
  <c r="AN223" i="31"/>
  <c r="AO223" i="31"/>
  <c r="AM224" i="31"/>
  <c r="AN224" i="31"/>
  <c r="AO224" i="31"/>
  <c r="AM225" i="31"/>
  <c r="AN225" i="31"/>
  <c r="AO225" i="31"/>
  <c r="AM226" i="31"/>
  <c r="AN226" i="31"/>
  <c r="AO226" i="31"/>
  <c r="AM227" i="31"/>
  <c r="AN227" i="31"/>
  <c r="AO227" i="31"/>
  <c r="AM228" i="31"/>
  <c r="AN228" i="31"/>
  <c r="AO228" i="31"/>
  <c r="AM229" i="31"/>
  <c r="AN229" i="31"/>
  <c r="AO229" i="31"/>
  <c r="AM230" i="31"/>
  <c r="AN230" i="31"/>
  <c r="AO230" i="31"/>
  <c r="AM231" i="31"/>
  <c r="AN231" i="31"/>
  <c r="AO231" i="31"/>
  <c r="AM232" i="31"/>
  <c r="AN232" i="31"/>
  <c r="AO232" i="31"/>
  <c r="AM233" i="31"/>
  <c r="AN233" i="31"/>
  <c r="AO233" i="31"/>
  <c r="AM234" i="31"/>
  <c r="AN234" i="31"/>
  <c r="AO234" i="31"/>
  <c r="AM235" i="31"/>
  <c r="AN235" i="31"/>
  <c r="AO235" i="31"/>
  <c r="AM236" i="31"/>
  <c r="AN236" i="31"/>
  <c r="AO236" i="31"/>
  <c r="AM237" i="31"/>
  <c r="AN237" i="31"/>
  <c r="AO237" i="31"/>
  <c r="AM238" i="31"/>
  <c r="AN238" i="31"/>
  <c r="AO238" i="31"/>
  <c r="AM239" i="31"/>
  <c r="AN239" i="31"/>
  <c r="AO239" i="31"/>
  <c r="AM240" i="31"/>
  <c r="AN240" i="31"/>
  <c r="AO240" i="31"/>
  <c r="AM241" i="31"/>
  <c r="AN241" i="31"/>
  <c r="AO241" i="31"/>
  <c r="AM242" i="31"/>
  <c r="AN242" i="31"/>
  <c r="AO242" i="31"/>
  <c r="AM243" i="31"/>
  <c r="AN243" i="31"/>
  <c r="AO243" i="31"/>
  <c r="AM244" i="31"/>
  <c r="AN244" i="31"/>
  <c r="AO244" i="31"/>
  <c r="AM245" i="31"/>
  <c r="AN245" i="31"/>
  <c r="AO245" i="31"/>
  <c r="AM246" i="31"/>
  <c r="AN246" i="31"/>
  <c r="AO246" i="31"/>
  <c r="AM247" i="31"/>
  <c r="AN247" i="31"/>
  <c r="AO247" i="31"/>
  <c r="AM248" i="31"/>
  <c r="AN248" i="31"/>
  <c r="AO248" i="31"/>
  <c r="AM249" i="31"/>
  <c r="AN249" i="31"/>
  <c r="AO249" i="31"/>
  <c r="AM250" i="31"/>
  <c r="AN250" i="31"/>
  <c r="AO250" i="31"/>
  <c r="AM251" i="31"/>
  <c r="AN251" i="31"/>
  <c r="AO251" i="31"/>
  <c r="AM252" i="31"/>
  <c r="AN252" i="31"/>
  <c r="AO252" i="31"/>
  <c r="AM253" i="31"/>
  <c r="AN253" i="31"/>
  <c r="AO253" i="31"/>
  <c r="AM254" i="31"/>
  <c r="AN254" i="31"/>
  <c r="AO254" i="31"/>
  <c r="AM255" i="31"/>
  <c r="AN255" i="31"/>
  <c r="AO255" i="31"/>
  <c r="AM256" i="31"/>
  <c r="AN256" i="31"/>
  <c r="AO256" i="31"/>
  <c r="AM257" i="31"/>
  <c r="AN257" i="31"/>
  <c r="AO257" i="31"/>
  <c r="AM258" i="31"/>
  <c r="AN258" i="31"/>
  <c r="AO258" i="31"/>
  <c r="AM259" i="31"/>
  <c r="AN259" i="31"/>
  <c r="AO259" i="31"/>
  <c r="AM260" i="31"/>
  <c r="AN260" i="31"/>
  <c r="AO260" i="31"/>
  <c r="AM261" i="31"/>
  <c r="AN261" i="31"/>
  <c r="AO261" i="31"/>
  <c r="AM262" i="31"/>
  <c r="AN262" i="31"/>
  <c r="AO262" i="31"/>
  <c r="AM263" i="31"/>
  <c r="AN263" i="31"/>
  <c r="AO263" i="31"/>
  <c r="AM264" i="31"/>
  <c r="AN264" i="31"/>
  <c r="AO264" i="31"/>
  <c r="AM265" i="31"/>
  <c r="AN265" i="31"/>
  <c r="AO265" i="31"/>
  <c r="AM266" i="31"/>
  <c r="AN266" i="31"/>
  <c r="AO266" i="31"/>
  <c r="AM267" i="31"/>
  <c r="AN267" i="31"/>
  <c r="AO267" i="31"/>
  <c r="AM268" i="31"/>
  <c r="AN268" i="31"/>
  <c r="AO268" i="31"/>
  <c r="AM269" i="31"/>
  <c r="AN269" i="31"/>
  <c r="AO269" i="31"/>
  <c r="AM270" i="31"/>
  <c r="AN270" i="31"/>
  <c r="AO270" i="31"/>
  <c r="AM271" i="31"/>
  <c r="AN271" i="31"/>
  <c r="AO271" i="31"/>
  <c r="AM272" i="31"/>
  <c r="AN272" i="31"/>
  <c r="AO272" i="31"/>
  <c r="AM273" i="31"/>
  <c r="AN273" i="31"/>
  <c r="AO273" i="31"/>
  <c r="AM274" i="31"/>
  <c r="AN274" i="31"/>
  <c r="AO274" i="31"/>
  <c r="AM275" i="31"/>
  <c r="AN275" i="31"/>
  <c r="AO275" i="31"/>
  <c r="AM276" i="31"/>
  <c r="AN276" i="31"/>
  <c r="AO276" i="31"/>
  <c r="AM277" i="31"/>
  <c r="AN277" i="31"/>
  <c r="AO277" i="31"/>
  <c r="AM278" i="31"/>
  <c r="AN278" i="31"/>
  <c r="AO278" i="31"/>
  <c r="AM279" i="31"/>
  <c r="AN279" i="31"/>
  <c r="AO279" i="31"/>
  <c r="AM280" i="31"/>
  <c r="AN280" i="31"/>
  <c r="AO280" i="31"/>
  <c r="AM281" i="31"/>
  <c r="AN281" i="31"/>
  <c r="AO281" i="31"/>
  <c r="AM282" i="31"/>
  <c r="AN282" i="31"/>
  <c r="AO282" i="31"/>
  <c r="AM283" i="31"/>
  <c r="AN283" i="31"/>
  <c r="AO283" i="31"/>
  <c r="AM284" i="31"/>
  <c r="AN284" i="31"/>
  <c r="AO284" i="31"/>
  <c r="AM285" i="31"/>
  <c r="AN285" i="31"/>
  <c r="AO285" i="31"/>
  <c r="AM286" i="31"/>
  <c r="AN286" i="31"/>
  <c r="AO286" i="31"/>
  <c r="AM287" i="31"/>
  <c r="AN287" i="31"/>
  <c r="AO287" i="31"/>
  <c r="AM288" i="31"/>
  <c r="AN288" i="31"/>
  <c r="AO288" i="31"/>
  <c r="AM289" i="31"/>
  <c r="AN289" i="31"/>
  <c r="AO289" i="31"/>
  <c r="AM290" i="31"/>
  <c r="AN290" i="31"/>
  <c r="AO290" i="31"/>
  <c r="AM291" i="31"/>
  <c r="AN291" i="31"/>
  <c r="AO291" i="31"/>
  <c r="AM292" i="31"/>
  <c r="AN292" i="31"/>
  <c r="AO292" i="31"/>
  <c r="AM293" i="31"/>
  <c r="AN293" i="31"/>
  <c r="AO293" i="31"/>
  <c r="AM294" i="31"/>
  <c r="AN294" i="31"/>
  <c r="AO294" i="31"/>
  <c r="AM295" i="31"/>
  <c r="AN295" i="31"/>
  <c r="AO295" i="31"/>
  <c r="AM296" i="31"/>
  <c r="AN296" i="31"/>
  <c r="AO296" i="31"/>
  <c r="AM297" i="31"/>
  <c r="AN297" i="31"/>
  <c r="AO297" i="31"/>
  <c r="AM298" i="31"/>
  <c r="AN298" i="31"/>
  <c r="AO298" i="31"/>
  <c r="AM299" i="31"/>
  <c r="AN299" i="31"/>
  <c r="AO299" i="31"/>
  <c r="AM300" i="31"/>
  <c r="AN300" i="31"/>
  <c r="AO300" i="31"/>
  <c r="AM301" i="31"/>
  <c r="AN301" i="31"/>
  <c r="AO301" i="31"/>
  <c r="AM302" i="31"/>
  <c r="AN302" i="31"/>
  <c r="AO302" i="31"/>
  <c r="AM303" i="31"/>
  <c r="AN303" i="31"/>
  <c r="AO303" i="31"/>
  <c r="AM304" i="31"/>
  <c r="AN304" i="31"/>
  <c r="AO304" i="31"/>
  <c r="AM305" i="31"/>
  <c r="AN305" i="31"/>
  <c r="AO305" i="31"/>
  <c r="AM306" i="31"/>
  <c r="AN306" i="31"/>
  <c r="AO306" i="31"/>
  <c r="AM307" i="31"/>
  <c r="AN307" i="31"/>
  <c r="AO307" i="31"/>
  <c r="AM308" i="31"/>
  <c r="AN308" i="31"/>
  <c r="AO308" i="31"/>
  <c r="AM309" i="31"/>
  <c r="AN309" i="31"/>
  <c r="AO309" i="31"/>
  <c r="AM310" i="31"/>
  <c r="AN310" i="31"/>
  <c r="AO310" i="31"/>
  <c r="AM311" i="31"/>
  <c r="AN311" i="31"/>
  <c r="AO311" i="31"/>
  <c r="AM312" i="31"/>
  <c r="AN312" i="31"/>
  <c r="AO312" i="31"/>
  <c r="AM313" i="31"/>
  <c r="AN313" i="31"/>
  <c r="AO313" i="31"/>
  <c r="AM314" i="31"/>
  <c r="AN314" i="31"/>
  <c r="AO314" i="31"/>
  <c r="AM315" i="31"/>
  <c r="AN315" i="31"/>
  <c r="AO315" i="31"/>
  <c r="AM316" i="31"/>
  <c r="AN316" i="31"/>
  <c r="AO316" i="31"/>
  <c r="AM317" i="31"/>
  <c r="AN317" i="31"/>
  <c r="AO317" i="31"/>
  <c r="AM318" i="31"/>
  <c r="AN318" i="31"/>
  <c r="AO318" i="31"/>
  <c r="AM319" i="31"/>
  <c r="AN319" i="31"/>
  <c r="AO319" i="31"/>
  <c r="AM320" i="31"/>
  <c r="AN320" i="31"/>
  <c r="AO320" i="31"/>
  <c r="AM321" i="31"/>
  <c r="AN321" i="31"/>
  <c r="AO321" i="31"/>
  <c r="AM322" i="31"/>
  <c r="AN322" i="31"/>
  <c r="AO322" i="31"/>
  <c r="AM323" i="31"/>
  <c r="AN323" i="31"/>
  <c r="AO323" i="31"/>
  <c r="AM324" i="31"/>
  <c r="AN324" i="31"/>
  <c r="AO324" i="31"/>
  <c r="AM325" i="31"/>
  <c r="AN325" i="31"/>
  <c r="AO325" i="31"/>
  <c r="AM326" i="31"/>
  <c r="AN326" i="31"/>
  <c r="AO326" i="31"/>
  <c r="AM327" i="31"/>
  <c r="AN327" i="31"/>
  <c r="AO327" i="31"/>
  <c r="AM328" i="31"/>
  <c r="AN328" i="31"/>
  <c r="AO328" i="31"/>
  <c r="AM329" i="31"/>
  <c r="AN329" i="31"/>
  <c r="AO329" i="31"/>
  <c r="AM330" i="31"/>
  <c r="AN330" i="31"/>
  <c r="AO330" i="31"/>
  <c r="AM331" i="31"/>
  <c r="AN331" i="31"/>
  <c r="AO331" i="31"/>
  <c r="AM332" i="31"/>
  <c r="AN332" i="31"/>
  <c r="AO332" i="31"/>
  <c r="AM333" i="31"/>
  <c r="AN333" i="31"/>
  <c r="AO333" i="31"/>
  <c r="AM334" i="31"/>
  <c r="AN334" i="31"/>
  <c r="AO334" i="31"/>
  <c r="AM335" i="31"/>
  <c r="AN335" i="31"/>
  <c r="AO335" i="31"/>
  <c r="AM336" i="31"/>
  <c r="AN336" i="31"/>
  <c r="AO336" i="31"/>
  <c r="AM337" i="31"/>
  <c r="AN337" i="31"/>
  <c r="AO337" i="31"/>
  <c r="AM338" i="31"/>
  <c r="AN338" i="31"/>
  <c r="AO338" i="31"/>
  <c r="AM339" i="31"/>
  <c r="AN339" i="31"/>
  <c r="AO339" i="31"/>
  <c r="AM340" i="31"/>
  <c r="AN340" i="31"/>
  <c r="AO340" i="31"/>
  <c r="AM341" i="31"/>
  <c r="AN341" i="31"/>
  <c r="AO341" i="31"/>
  <c r="AM342" i="31"/>
  <c r="AN342" i="31"/>
  <c r="AO342" i="31"/>
  <c r="AM343" i="31"/>
  <c r="AN343" i="31"/>
  <c r="AO343" i="31"/>
  <c r="AM344" i="31"/>
  <c r="AN344" i="31"/>
  <c r="AO344" i="31"/>
  <c r="AM345" i="31"/>
  <c r="AN345" i="31"/>
  <c r="AO345" i="31"/>
  <c r="AM346" i="31"/>
  <c r="AN346" i="31"/>
  <c r="AO346" i="31"/>
  <c r="AM347" i="31"/>
  <c r="AN347" i="31"/>
  <c r="AO347" i="31"/>
  <c r="AM348" i="31"/>
  <c r="AN348" i="31"/>
  <c r="AO348" i="31"/>
  <c r="AM349" i="31"/>
  <c r="AN349" i="31"/>
  <c r="AO349" i="31"/>
  <c r="AM350" i="31"/>
  <c r="AN350" i="31"/>
  <c r="AO350" i="31"/>
  <c r="AM351" i="31"/>
  <c r="AN351" i="31"/>
  <c r="AO351" i="31"/>
  <c r="AM352" i="31"/>
  <c r="AN352" i="31"/>
  <c r="AO352" i="31"/>
  <c r="AM353" i="31"/>
  <c r="AN353" i="31"/>
  <c r="AO353" i="31"/>
  <c r="AM354" i="31"/>
  <c r="AN354" i="31"/>
  <c r="AO354" i="31"/>
  <c r="AM355" i="31"/>
  <c r="AN355" i="31"/>
  <c r="AO355" i="31"/>
  <c r="AM356" i="31"/>
  <c r="AN356" i="31"/>
  <c r="AO356" i="31"/>
  <c r="AM357" i="31"/>
  <c r="AN357" i="31"/>
  <c r="AO357" i="31"/>
  <c r="AM358" i="31"/>
  <c r="AN358" i="31"/>
  <c r="AO358" i="31"/>
  <c r="AM359" i="31"/>
  <c r="AN359" i="31"/>
  <c r="AO359" i="31"/>
  <c r="AM360" i="31"/>
  <c r="AN360" i="31"/>
  <c r="AO360" i="31"/>
  <c r="AM361" i="31"/>
  <c r="AN361" i="31"/>
  <c r="AO361" i="31"/>
  <c r="AM362" i="31"/>
  <c r="AN362" i="31"/>
  <c r="AO362" i="31"/>
  <c r="AM363" i="31"/>
  <c r="AN363" i="31"/>
  <c r="AO363" i="31"/>
  <c r="AM364" i="31"/>
  <c r="AN364" i="31"/>
  <c r="AO364" i="31"/>
  <c r="AM365" i="31"/>
  <c r="AN365" i="31"/>
  <c r="AO365" i="31"/>
  <c r="AM366" i="31"/>
  <c r="AN366" i="31"/>
  <c r="AO366" i="31"/>
  <c r="AM367" i="31"/>
  <c r="AN367" i="31"/>
  <c r="AO367" i="31"/>
  <c r="AM368" i="31"/>
  <c r="AN368" i="31"/>
  <c r="AO368" i="31"/>
  <c r="AM369" i="31"/>
  <c r="AN369" i="31"/>
  <c r="AO369" i="31"/>
  <c r="AM370" i="31"/>
  <c r="AN370" i="31"/>
  <c r="AO370" i="31"/>
  <c r="AM371" i="31"/>
  <c r="AN371" i="31"/>
  <c r="AO371" i="31"/>
  <c r="AM372" i="31"/>
  <c r="AN372" i="31"/>
  <c r="AO372" i="31"/>
  <c r="AM373" i="31"/>
  <c r="AN373" i="31"/>
  <c r="AO373" i="31"/>
  <c r="AM374" i="31"/>
  <c r="AN374" i="31"/>
  <c r="AO374" i="31"/>
  <c r="AM375" i="31"/>
  <c r="AN375" i="31"/>
  <c r="AO375" i="31"/>
  <c r="AM376" i="31"/>
  <c r="AN376" i="31"/>
  <c r="AO376" i="31"/>
  <c r="AM377" i="31"/>
  <c r="AN377" i="31"/>
  <c r="AO377" i="31"/>
  <c r="AM378" i="31"/>
  <c r="AN378" i="31"/>
  <c r="AO378" i="31"/>
  <c r="AM379" i="31"/>
  <c r="AN379" i="31"/>
  <c r="AO379" i="31"/>
  <c r="AM380" i="31"/>
  <c r="AN380" i="31"/>
  <c r="AO380" i="31"/>
  <c r="AM381" i="31"/>
  <c r="AN381" i="31"/>
  <c r="AO381" i="31"/>
  <c r="AM382" i="31"/>
  <c r="AN382" i="31"/>
  <c r="AO382" i="31"/>
  <c r="AM383" i="31"/>
  <c r="AN383" i="31"/>
  <c r="AO383" i="31"/>
  <c r="AM384" i="31"/>
  <c r="AN384" i="31"/>
  <c r="AO384" i="31"/>
  <c r="AM385" i="31"/>
  <c r="AN385" i="31"/>
  <c r="AO385" i="31"/>
  <c r="AM386" i="31"/>
  <c r="AN386" i="31"/>
  <c r="AO386" i="31"/>
  <c r="AM387" i="31"/>
  <c r="AN387" i="31"/>
  <c r="AO387" i="31"/>
  <c r="AM388" i="31"/>
  <c r="AN388" i="31"/>
  <c r="AO388" i="31"/>
  <c r="AM389" i="31"/>
  <c r="AN389" i="31"/>
  <c r="AO389" i="31"/>
  <c r="AM390" i="31"/>
  <c r="AN390" i="31"/>
  <c r="AO390" i="31"/>
  <c r="AM391" i="31"/>
  <c r="AN391" i="31"/>
  <c r="AO391" i="31"/>
  <c r="AM392" i="31"/>
  <c r="AN392" i="31"/>
  <c r="AO392" i="31"/>
  <c r="AM393" i="31"/>
  <c r="AN393" i="31"/>
  <c r="AO393" i="31"/>
  <c r="AM394" i="31"/>
  <c r="AN394" i="31"/>
  <c r="AO394" i="31"/>
  <c r="AM395" i="31"/>
  <c r="AN395" i="31"/>
  <c r="AO395" i="31"/>
  <c r="AM396" i="31"/>
  <c r="AN396" i="31"/>
  <c r="AO396" i="31"/>
  <c r="AM397" i="31"/>
  <c r="AN397" i="31"/>
  <c r="AO397" i="31"/>
  <c r="AM398" i="31"/>
  <c r="AN398" i="31"/>
  <c r="AO398" i="31"/>
  <c r="AM399" i="31"/>
  <c r="AN399" i="31"/>
  <c r="AO399" i="31"/>
  <c r="AM400" i="31"/>
  <c r="AN400" i="31"/>
  <c r="AO400" i="31"/>
  <c r="AM401" i="31"/>
  <c r="AN401" i="31"/>
  <c r="AO401" i="31"/>
  <c r="AM402" i="31"/>
  <c r="AN402" i="31"/>
  <c r="AO402" i="31"/>
  <c r="AM403" i="31"/>
  <c r="AN403" i="31"/>
  <c r="AO403" i="31"/>
  <c r="AM404" i="31"/>
  <c r="AN404" i="31"/>
  <c r="AO404" i="31"/>
  <c r="AM405" i="31"/>
  <c r="AN405" i="31"/>
  <c r="AO405" i="31"/>
  <c r="AM406" i="31"/>
  <c r="AN406" i="31"/>
  <c r="AO406" i="31"/>
  <c r="AM407" i="31"/>
  <c r="AN407" i="31"/>
  <c r="AO407" i="31"/>
  <c r="AM408" i="31"/>
  <c r="AN408" i="31"/>
  <c r="AO408" i="31"/>
  <c r="AM409" i="31"/>
  <c r="AN409" i="31"/>
  <c r="AO409" i="31"/>
  <c r="AM410" i="31"/>
  <c r="AN410" i="31"/>
  <c r="AO410" i="31"/>
  <c r="AM411" i="31"/>
  <c r="AN411" i="31"/>
  <c r="AO411" i="31"/>
  <c r="AM412" i="31"/>
  <c r="AN412" i="31"/>
  <c r="AO412" i="31"/>
  <c r="AM413" i="31"/>
  <c r="AN413" i="31"/>
  <c r="AO413" i="31"/>
  <c r="AM414" i="31"/>
  <c r="AN414" i="31"/>
  <c r="AO414" i="31"/>
  <c r="AM415" i="31"/>
  <c r="AN415" i="31"/>
  <c r="AO415" i="31"/>
  <c r="AM416" i="31"/>
  <c r="AN416" i="31"/>
  <c r="AO416" i="31"/>
  <c r="AM417" i="31"/>
  <c r="AN417" i="31"/>
  <c r="AO417" i="31"/>
  <c r="AM418" i="31"/>
  <c r="AN418" i="31"/>
  <c r="AO418" i="31"/>
  <c r="AM419" i="31"/>
  <c r="AN419" i="31"/>
  <c r="AO419" i="31"/>
  <c r="AM420" i="31"/>
  <c r="AN420" i="31"/>
  <c r="AO420" i="31"/>
  <c r="AM421" i="31"/>
  <c r="AN421" i="31"/>
  <c r="AO421" i="31"/>
  <c r="AM422" i="31"/>
  <c r="AN422" i="31"/>
  <c r="AO422" i="31"/>
  <c r="AM423" i="31"/>
  <c r="AN423" i="31"/>
  <c r="AO423" i="31"/>
  <c r="AM424" i="31"/>
  <c r="AN424" i="31"/>
  <c r="AO424" i="31"/>
  <c r="AM425" i="31"/>
  <c r="AN425" i="31"/>
  <c r="AO425" i="31"/>
  <c r="AM426" i="31"/>
  <c r="AN426" i="31"/>
  <c r="AO426" i="31"/>
  <c r="AM427" i="31"/>
  <c r="AN427" i="31"/>
  <c r="AO427" i="31"/>
  <c r="AM428" i="31"/>
  <c r="AN428" i="31"/>
  <c r="AO428" i="31"/>
  <c r="AM429" i="31"/>
  <c r="AN429" i="31"/>
  <c r="AO429" i="31"/>
  <c r="AM430" i="31"/>
  <c r="AN430" i="31"/>
  <c r="AO430" i="31"/>
  <c r="AM431" i="31"/>
  <c r="AN431" i="31"/>
  <c r="AO431" i="31"/>
  <c r="AM432" i="31"/>
  <c r="AN432" i="31"/>
  <c r="AO432" i="31"/>
  <c r="AM433" i="31"/>
  <c r="AN433" i="31"/>
  <c r="AO433" i="31"/>
  <c r="AM434" i="31"/>
  <c r="AN434" i="31"/>
  <c r="AO434" i="31"/>
  <c r="AM435" i="31"/>
  <c r="AN435" i="31"/>
  <c r="AO435" i="31"/>
  <c r="AM436" i="31"/>
  <c r="AN436" i="31"/>
  <c r="AO436" i="31"/>
  <c r="AM437" i="31"/>
  <c r="AN437" i="31"/>
  <c r="AO437" i="31"/>
  <c r="AM438" i="31"/>
  <c r="AN438" i="31"/>
  <c r="AO438" i="31"/>
  <c r="AM439" i="31"/>
  <c r="AN439" i="31"/>
  <c r="AO439" i="31"/>
  <c r="AM440" i="31"/>
  <c r="AN440" i="31"/>
  <c r="AO440" i="31"/>
  <c r="AM441" i="31"/>
  <c r="AN441" i="31"/>
  <c r="AO441" i="31"/>
  <c r="AO222" i="31"/>
  <c r="AN222" i="31"/>
  <c r="AM222" i="31"/>
  <c r="AM3" i="31"/>
  <c r="AN3" i="31"/>
  <c r="AO3" i="31"/>
  <c r="AM4" i="31"/>
  <c r="AN4" i="31"/>
  <c r="AO4" i="31"/>
  <c r="AM5" i="31"/>
  <c r="AN5" i="31"/>
  <c r="AO5" i="31"/>
  <c r="AM6" i="31"/>
  <c r="AN6" i="31"/>
  <c r="AO6" i="31"/>
  <c r="AM7" i="31"/>
  <c r="AN7" i="31"/>
  <c r="AO7" i="31"/>
  <c r="AM8" i="31"/>
  <c r="AN8" i="31"/>
  <c r="AO8" i="31"/>
  <c r="AM9" i="31"/>
  <c r="AN9" i="31"/>
  <c r="AO9" i="31"/>
  <c r="AM10" i="31"/>
  <c r="AN10" i="31"/>
  <c r="AO10" i="31"/>
  <c r="AM11" i="31"/>
  <c r="AN11" i="31"/>
  <c r="AO11" i="31"/>
  <c r="AM12" i="31"/>
  <c r="AN12" i="31"/>
  <c r="AO12" i="31"/>
  <c r="AM13" i="31"/>
  <c r="AN13" i="31"/>
  <c r="AO13" i="31"/>
  <c r="AM14" i="31"/>
  <c r="AN14" i="31"/>
  <c r="AO14" i="31"/>
  <c r="AM15" i="31"/>
  <c r="AN15" i="31"/>
  <c r="AO15" i="31"/>
  <c r="AM16" i="31"/>
  <c r="AN16" i="31"/>
  <c r="AO16" i="31"/>
  <c r="AM17" i="31"/>
  <c r="AN17" i="31"/>
  <c r="AO17" i="31"/>
  <c r="AM18" i="31"/>
  <c r="AN18" i="31"/>
  <c r="AO18" i="31"/>
  <c r="AM19" i="31"/>
  <c r="AN19" i="31"/>
  <c r="AO19" i="31"/>
  <c r="AM20" i="31"/>
  <c r="AN20" i="31"/>
  <c r="AO20" i="31"/>
  <c r="AM21" i="31"/>
  <c r="AN21" i="31"/>
  <c r="AO21" i="31"/>
  <c r="AM22" i="31"/>
  <c r="AN22" i="31"/>
  <c r="AO22" i="31"/>
  <c r="AM23" i="31"/>
  <c r="AN23" i="31"/>
  <c r="AO23" i="31"/>
  <c r="AM24" i="31"/>
  <c r="AN24" i="31"/>
  <c r="AO24" i="31"/>
  <c r="AM25" i="31"/>
  <c r="AN25" i="31"/>
  <c r="AO25" i="31"/>
  <c r="AM26" i="31"/>
  <c r="AN26" i="31"/>
  <c r="AO26" i="31"/>
  <c r="AM27" i="31"/>
  <c r="AN27" i="31"/>
  <c r="AO27" i="31"/>
  <c r="AM28" i="31"/>
  <c r="AN28" i="31"/>
  <c r="AO28" i="31"/>
  <c r="AM29" i="31"/>
  <c r="AN29" i="31"/>
  <c r="AO29" i="31"/>
  <c r="AM30" i="31"/>
  <c r="AN30" i="31"/>
  <c r="AO30" i="31"/>
  <c r="AM31" i="31"/>
  <c r="AN31" i="31"/>
  <c r="AO31" i="31"/>
  <c r="AM32" i="31"/>
  <c r="AN32" i="31"/>
  <c r="AO32" i="31"/>
  <c r="AM33" i="31"/>
  <c r="AN33" i="31"/>
  <c r="AO33" i="31"/>
  <c r="AM34" i="31"/>
  <c r="AN34" i="31"/>
  <c r="AO34" i="31"/>
  <c r="AM35" i="31"/>
  <c r="AN35" i="31"/>
  <c r="AO35" i="31"/>
  <c r="AM36" i="31"/>
  <c r="AN36" i="31"/>
  <c r="AO36" i="31"/>
  <c r="AM37" i="31"/>
  <c r="AN37" i="31"/>
  <c r="AO37" i="31"/>
  <c r="AM38" i="31"/>
  <c r="AN38" i="31"/>
  <c r="AO38" i="31"/>
  <c r="AM39" i="31"/>
  <c r="AN39" i="31"/>
  <c r="AO39" i="31"/>
  <c r="AM40" i="31"/>
  <c r="AN40" i="31"/>
  <c r="AO40" i="31"/>
  <c r="AM41" i="31"/>
  <c r="AN41" i="31"/>
  <c r="AO41" i="31"/>
  <c r="AM42" i="31"/>
  <c r="AN42" i="31"/>
  <c r="AO42" i="31"/>
  <c r="AM43" i="31"/>
  <c r="AN43" i="31"/>
  <c r="AO43" i="31"/>
  <c r="AM44" i="31"/>
  <c r="AN44" i="31"/>
  <c r="AO44" i="31"/>
  <c r="AM45" i="31"/>
  <c r="AN45" i="31"/>
  <c r="AO45" i="31"/>
  <c r="AM46" i="31"/>
  <c r="AN46" i="31"/>
  <c r="AO46" i="31"/>
  <c r="AM47" i="31"/>
  <c r="AN47" i="31"/>
  <c r="AO47" i="31"/>
  <c r="AM48" i="31"/>
  <c r="AN48" i="31"/>
  <c r="AO48" i="31"/>
  <c r="AM49" i="31"/>
  <c r="AN49" i="31"/>
  <c r="AO49" i="31"/>
  <c r="AM50" i="31"/>
  <c r="AN50" i="31"/>
  <c r="AO50" i="31"/>
  <c r="AM51" i="31"/>
  <c r="AN51" i="31"/>
  <c r="AO51" i="31"/>
  <c r="AM52" i="31"/>
  <c r="AN52" i="31"/>
  <c r="AO52" i="31"/>
  <c r="AM53" i="31"/>
  <c r="AN53" i="31"/>
  <c r="AO53" i="31"/>
  <c r="AM54" i="31"/>
  <c r="AN54" i="31"/>
  <c r="AO54" i="31"/>
  <c r="AM55" i="31"/>
  <c r="AN55" i="31"/>
  <c r="AO55" i="31"/>
  <c r="AM56" i="31"/>
  <c r="AN56" i="31"/>
  <c r="AO56" i="31"/>
  <c r="AM57" i="31"/>
  <c r="AN57" i="31"/>
  <c r="AO57" i="31"/>
  <c r="AM58" i="31"/>
  <c r="AN58" i="31"/>
  <c r="AO58" i="31"/>
  <c r="AM59" i="31"/>
  <c r="AN59" i="31"/>
  <c r="AO59" i="31"/>
  <c r="AM60" i="31"/>
  <c r="AN60" i="31"/>
  <c r="AO60" i="31"/>
  <c r="AM61" i="31"/>
  <c r="AN61" i="31"/>
  <c r="AO61" i="31"/>
  <c r="AM62" i="31"/>
  <c r="AN62" i="31"/>
  <c r="AO62" i="31"/>
  <c r="AM63" i="31"/>
  <c r="AN63" i="31"/>
  <c r="AO63" i="31"/>
  <c r="AM64" i="31"/>
  <c r="AN64" i="31"/>
  <c r="AO64" i="31"/>
  <c r="AM65" i="31"/>
  <c r="AN65" i="31"/>
  <c r="AO65" i="31"/>
  <c r="AM66" i="31"/>
  <c r="AN66" i="31"/>
  <c r="AO66" i="31"/>
  <c r="AM67" i="31"/>
  <c r="AN67" i="31"/>
  <c r="AO67" i="31"/>
  <c r="AM68" i="31"/>
  <c r="AN68" i="31"/>
  <c r="AO68" i="31"/>
  <c r="AM69" i="31"/>
  <c r="AN69" i="31"/>
  <c r="AO69" i="31"/>
  <c r="AM70" i="31"/>
  <c r="AN70" i="31"/>
  <c r="AO70" i="31"/>
  <c r="AM71" i="31"/>
  <c r="AN71" i="31"/>
  <c r="AO71" i="31"/>
  <c r="AM72" i="31"/>
  <c r="AN72" i="31"/>
  <c r="AO72" i="31"/>
  <c r="AM73" i="31"/>
  <c r="AN73" i="31"/>
  <c r="AO73" i="31"/>
  <c r="AM74" i="31"/>
  <c r="AN74" i="31"/>
  <c r="AO74" i="31"/>
  <c r="AM75" i="31"/>
  <c r="AN75" i="31"/>
  <c r="AO75" i="31"/>
  <c r="AM76" i="31"/>
  <c r="AN76" i="31"/>
  <c r="AO76" i="31"/>
  <c r="AM77" i="31"/>
  <c r="AN77" i="31"/>
  <c r="AO77" i="31"/>
  <c r="AM78" i="31"/>
  <c r="AN78" i="31"/>
  <c r="AO78" i="31"/>
  <c r="AM79" i="31"/>
  <c r="AN79" i="31"/>
  <c r="AO79" i="31"/>
  <c r="AM80" i="31"/>
  <c r="AN80" i="31"/>
  <c r="AO80" i="31"/>
  <c r="AM81" i="31"/>
  <c r="AN81" i="31"/>
  <c r="AO81" i="31"/>
  <c r="AM82" i="31"/>
  <c r="AN82" i="31"/>
  <c r="AO82" i="31"/>
  <c r="AM83" i="31"/>
  <c r="AN83" i="31"/>
  <c r="AO83" i="31"/>
  <c r="AM84" i="31"/>
  <c r="AN84" i="31"/>
  <c r="AO84" i="31"/>
  <c r="AM85" i="31"/>
  <c r="AN85" i="31"/>
  <c r="AO85" i="31"/>
  <c r="AM86" i="31"/>
  <c r="AN86" i="31"/>
  <c r="AO86" i="31"/>
  <c r="AM87" i="31"/>
  <c r="AN87" i="31"/>
  <c r="AO87" i="31"/>
  <c r="AM88" i="31"/>
  <c r="AN88" i="31"/>
  <c r="AO88" i="31"/>
  <c r="AM89" i="31"/>
  <c r="AN89" i="31"/>
  <c r="AO89" i="31"/>
  <c r="AM90" i="31"/>
  <c r="AN90" i="31"/>
  <c r="AO90" i="31"/>
  <c r="AM91" i="31"/>
  <c r="AN91" i="31"/>
  <c r="AO91" i="31"/>
  <c r="AM92" i="31"/>
  <c r="AN92" i="31"/>
  <c r="AO92" i="31"/>
  <c r="AM93" i="31"/>
  <c r="AN93" i="31"/>
  <c r="AO93" i="31"/>
  <c r="AM94" i="31"/>
  <c r="AN94" i="31"/>
  <c r="AO94" i="31"/>
  <c r="AM95" i="31"/>
  <c r="AN95" i="31"/>
  <c r="AO95" i="31"/>
  <c r="AM96" i="31"/>
  <c r="AN96" i="31"/>
  <c r="AO96" i="31"/>
  <c r="AM97" i="31"/>
  <c r="AN97" i="31"/>
  <c r="AO97" i="31"/>
  <c r="AM98" i="31"/>
  <c r="AN98" i="31"/>
  <c r="AO98" i="31"/>
  <c r="AM99" i="31"/>
  <c r="AN99" i="31"/>
  <c r="AO99" i="31"/>
  <c r="AM100" i="31"/>
  <c r="AN100" i="31"/>
  <c r="AO100" i="31"/>
  <c r="AM101" i="31"/>
  <c r="AN101" i="31"/>
  <c r="AO101" i="31"/>
  <c r="AM102" i="31"/>
  <c r="AN102" i="31"/>
  <c r="AO102" i="31"/>
  <c r="AM103" i="31"/>
  <c r="AN103" i="31"/>
  <c r="AO103" i="31"/>
  <c r="AM104" i="31"/>
  <c r="AN104" i="31"/>
  <c r="AO104" i="31"/>
  <c r="AM105" i="31"/>
  <c r="AN105" i="31"/>
  <c r="AO105" i="31"/>
  <c r="AM106" i="31"/>
  <c r="AN106" i="31"/>
  <c r="AO106" i="31"/>
  <c r="AM107" i="31"/>
  <c r="AN107" i="31"/>
  <c r="AO107" i="31"/>
  <c r="AM108" i="31"/>
  <c r="AN108" i="31"/>
  <c r="AO108" i="31"/>
  <c r="AM109" i="31"/>
  <c r="AN109" i="31"/>
  <c r="AO109" i="31"/>
  <c r="AM110" i="31"/>
  <c r="AN110" i="31"/>
  <c r="AO110" i="31"/>
  <c r="AM111" i="31"/>
  <c r="AN111" i="31"/>
  <c r="AO111" i="31"/>
  <c r="AM112" i="31"/>
  <c r="AN112" i="31"/>
  <c r="AO112" i="31"/>
  <c r="AM113" i="31"/>
  <c r="AN113" i="31"/>
  <c r="AO113" i="31"/>
  <c r="AM114" i="31"/>
  <c r="AN114" i="31"/>
  <c r="AO114" i="31"/>
  <c r="AM115" i="31"/>
  <c r="AN115" i="31"/>
  <c r="AO115" i="31"/>
  <c r="AM116" i="31"/>
  <c r="AN116" i="31"/>
  <c r="AO116" i="31"/>
  <c r="AM117" i="31"/>
  <c r="AN117" i="31"/>
  <c r="AO117" i="31"/>
  <c r="AM118" i="31"/>
  <c r="AN118" i="31"/>
  <c r="AO118" i="31"/>
  <c r="AM119" i="31"/>
  <c r="AN119" i="31"/>
  <c r="AO119" i="31"/>
  <c r="AM120" i="31"/>
  <c r="AN120" i="31"/>
  <c r="AO120" i="31"/>
  <c r="AM121" i="31"/>
  <c r="AN121" i="31"/>
  <c r="AO121" i="31"/>
  <c r="AM122" i="31"/>
  <c r="AN122" i="31"/>
  <c r="AO122" i="31"/>
  <c r="AM123" i="31"/>
  <c r="AN123" i="31"/>
  <c r="AO123" i="31"/>
  <c r="AM124" i="31"/>
  <c r="AN124" i="31"/>
  <c r="AO124" i="31"/>
  <c r="AM125" i="31"/>
  <c r="AN125" i="31"/>
  <c r="AO125" i="31"/>
  <c r="AM126" i="31"/>
  <c r="AN126" i="31"/>
  <c r="AO126" i="31"/>
  <c r="AM127" i="31"/>
  <c r="AN127" i="31"/>
  <c r="AO127" i="31"/>
  <c r="AM128" i="31"/>
  <c r="AN128" i="31"/>
  <c r="AO128" i="31"/>
  <c r="AM129" i="31"/>
  <c r="AN129" i="31"/>
  <c r="AO129" i="31"/>
  <c r="AM130" i="31"/>
  <c r="AN130" i="31"/>
  <c r="AO130" i="31"/>
  <c r="AM131" i="31"/>
  <c r="AN131" i="31"/>
  <c r="AO131" i="31"/>
  <c r="AM132" i="31"/>
  <c r="AN132" i="31"/>
  <c r="AO132" i="31"/>
  <c r="AM133" i="31"/>
  <c r="AN133" i="31"/>
  <c r="AO133" i="31"/>
  <c r="AM134" i="31"/>
  <c r="AN134" i="31"/>
  <c r="AO134" i="31"/>
  <c r="AM135" i="31"/>
  <c r="AN135" i="31"/>
  <c r="AO135" i="31"/>
  <c r="AM136" i="31"/>
  <c r="AN136" i="31"/>
  <c r="AO136" i="31"/>
  <c r="AM137" i="31"/>
  <c r="AN137" i="31"/>
  <c r="AO137" i="31"/>
  <c r="AM138" i="31"/>
  <c r="AN138" i="31"/>
  <c r="AO138" i="31"/>
  <c r="AM139" i="31"/>
  <c r="AN139" i="31"/>
  <c r="AO139" i="31"/>
  <c r="AM140" i="31"/>
  <c r="AN140" i="31"/>
  <c r="AO140" i="31"/>
  <c r="AM141" i="31"/>
  <c r="AN141" i="31"/>
  <c r="AO141" i="31"/>
  <c r="AM142" i="31"/>
  <c r="AN142" i="31"/>
  <c r="AO142" i="31"/>
  <c r="AM143" i="31"/>
  <c r="AN143" i="31"/>
  <c r="AO143" i="31"/>
  <c r="AM144" i="31"/>
  <c r="AN144" i="31"/>
  <c r="AO144" i="31"/>
  <c r="AM145" i="31"/>
  <c r="AN145" i="31"/>
  <c r="AO145" i="31"/>
  <c r="AM146" i="31"/>
  <c r="AN146" i="31"/>
  <c r="AO146" i="31"/>
  <c r="AM147" i="31"/>
  <c r="AN147" i="31"/>
  <c r="AO147" i="31"/>
  <c r="AM148" i="31"/>
  <c r="AN148" i="31"/>
  <c r="AO148" i="31"/>
  <c r="AM149" i="31"/>
  <c r="AN149" i="31"/>
  <c r="AO149" i="31"/>
  <c r="AM150" i="31"/>
  <c r="AN150" i="31"/>
  <c r="AO150" i="31"/>
  <c r="AM151" i="31"/>
  <c r="AN151" i="31"/>
  <c r="AO151" i="31"/>
  <c r="AM152" i="31"/>
  <c r="AN152" i="31"/>
  <c r="AO152" i="31"/>
  <c r="AM153" i="31"/>
  <c r="AN153" i="31"/>
  <c r="AO153" i="31"/>
  <c r="AM154" i="31"/>
  <c r="AN154" i="31"/>
  <c r="AO154" i="31"/>
  <c r="AM155" i="31"/>
  <c r="AN155" i="31"/>
  <c r="AO155" i="31"/>
  <c r="AM156" i="31"/>
  <c r="AN156" i="31"/>
  <c r="AO156" i="31"/>
  <c r="AM157" i="31"/>
  <c r="AN157" i="31"/>
  <c r="AO157" i="31"/>
  <c r="AM158" i="31"/>
  <c r="AN158" i="31"/>
  <c r="AO158" i="31"/>
  <c r="AM159" i="31"/>
  <c r="AN159" i="31"/>
  <c r="AO159" i="31"/>
  <c r="AM160" i="31"/>
  <c r="AN160" i="31"/>
  <c r="AO160" i="31"/>
  <c r="AM161" i="31"/>
  <c r="AN161" i="31"/>
  <c r="AO161" i="31"/>
  <c r="AM162" i="31"/>
  <c r="AN162" i="31"/>
  <c r="AO162" i="31"/>
  <c r="AM163" i="31"/>
  <c r="AN163" i="31"/>
  <c r="AO163" i="31"/>
  <c r="AM164" i="31"/>
  <c r="AN164" i="31"/>
  <c r="AO164" i="31"/>
  <c r="AM165" i="31"/>
  <c r="AN165" i="31"/>
  <c r="AO165" i="31"/>
  <c r="AM166" i="31"/>
  <c r="AN166" i="31"/>
  <c r="AO166" i="31"/>
  <c r="AM167" i="31"/>
  <c r="AN167" i="31"/>
  <c r="AO167" i="31"/>
  <c r="AM168" i="31"/>
  <c r="AN168" i="31"/>
  <c r="AO168" i="31"/>
  <c r="AM169" i="31"/>
  <c r="AN169" i="31"/>
  <c r="AO169" i="31"/>
  <c r="AM170" i="31"/>
  <c r="AN170" i="31"/>
  <c r="AO170" i="31"/>
  <c r="AM171" i="31"/>
  <c r="AN171" i="31"/>
  <c r="AO171" i="31"/>
  <c r="AM172" i="31"/>
  <c r="AN172" i="31"/>
  <c r="AO172" i="31"/>
  <c r="AM173" i="31"/>
  <c r="AN173" i="31"/>
  <c r="AO173" i="31"/>
  <c r="AM174" i="31"/>
  <c r="AN174" i="31"/>
  <c r="AO174" i="31"/>
  <c r="AM175" i="31"/>
  <c r="AN175" i="31"/>
  <c r="AO175" i="31"/>
  <c r="AM176" i="31"/>
  <c r="AN176" i="31"/>
  <c r="AO176" i="31"/>
  <c r="AM177" i="31"/>
  <c r="AN177" i="31"/>
  <c r="AO177" i="31"/>
  <c r="AM178" i="31"/>
  <c r="AN178" i="31"/>
  <c r="AO178" i="31"/>
  <c r="AM179" i="31"/>
  <c r="AN179" i="31"/>
  <c r="AO179" i="31"/>
  <c r="AM180" i="31"/>
  <c r="AN180" i="31"/>
  <c r="AO180" i="31"/>
  <c r="AM181" i="31"/>
  <c r="AN181" i="31"/>
  <c r="AO181" i="31"/>
  <c r="AM182" i="31"/>
  <c r="AN182" i="31"/>
  <c r="AO182" i="31"/>
  <c r="AM183" i="31"/>
  <c r="AN183" i="31"/>
  <c r="AO183" i="31"/>
  <c r="AM184" i="31"/>
  <c r="AN184" i="31"/>
  <c r="AO184" i="31"/>
  <c r="AM185" i="31"/>
  <c r="AN185" i="31"/>
  <c r="AO185" i="31"/>
  <c r="AM186" i="31"/>
  <c r="AN186" i="31"/>
  <c r="AO186" i="31"/>
  <c r="AM187" i="31"/>
  <c r="AN187" i="31"/>
  <c r="AO187" i="31"/>
  <c r="AM188" i="31"/>
  <c r="AN188" i="31"/>
  <c r="AO188" i="31"/>
  <c r="AM189" i="31"/>
  <c r="AN189" i="31"/>
  <c r="AO189" i="31"/>
  <c r="AM190" i="31"/>
  <c r="AN190" i="31"/>
  <c r="AO190" i="31"/>
  <c r="AM191" i="31"/>
  <c r="AN191" i="31"/>
  <c r="AO191" i="31"/>
  <c r="AM192" i="31"/>
  <c r="AN192" i="31"/>
  <c r="AO192" i="31"/>
  <c r="AM193" i="31"/>
  <c r="AN193" i="31"/>
  <c r="AO193" i="31"/>
  <c r="AM194" i="31"/>
  <c r="AN194" i="31"/>
  <c r="AO194" i="31"/>
  <c r="AM195" i="31"/>
  <c r="AN195" i="31"/>
  <c r="AO195" i="31"/>
  <c r="AM196" i="31"/>
  <c r="AN196" i="31"/>
  <c r="AO196" i="31"/>
  <c r="AM197" i="31"/>
  <c r="AN197" i="31"/>
  <c r="AO197" i="31"/>
  <c r="AM198" i="31"/>
  <c r="AN198" i="31"/>
  <c r="AO198" i="31"/>
  <c r="AM199" i="31"/>
  <c r="AN199" i="31"/>
  <c r="AO199" i="31"/>
  <c r="AM200" i="31"/>
  <c r="AN200" i="31"/>
  <c r="AO200" i="31"/>
  <c r="AM201" i="31"/>
  <c r="AN201" i="31"/>
  <c r="AO201" i="31"/>
  <c r="AM202" i="31"/>
  <c r="AN202" i="31"/>
  <c r="AO202" i="31"/>
  <c r="AM203" i="31"/>
  <c r="AN203" i="31"/>
  <c r="AO203" i="31"/>
  <c r="AM204" i="31"/>
  <c r="AN204" i="31"/>
  <c r="AO204" i="31"/>
  <c r="AM205" i="31"/>
  <c r="AN205" i="31"/>
  <c r="AO205" i="31"/>
  <c r="AM206" i="31"/>
  <c r="AN206" i="31"/>
  <c r="AO206" i="31"/>
  <c r="AM207" i="31"/>
  <c r="AN207" i="31"/>
  <c r="AO207" i="31"/>
  <c r="AM208" i="31"/>
  <c r="AN208" i="31"/>
  <c r="AO208" i="31"/>
  <c r="AM209" i="31"/>
  <c r="AN209" i="31"/>
  <c r="AO209" i="31"/>
  <c r="AM210" i="31"/>
  <c r="AN210" i="31"/>
  <c r="AO210" i="31"/>
  <c r="AM211" i="31"/>
  <c r="AN211" i="31"/>
  <c r="AO211" i="31"/>
  <c r="AM212" i="31"/>
  <c r="AN212" i="31"/>
  <c r="AO212" i="31"/>
  <c r="AM213" i="31"/>
  <c r="AN213" i="31"/>
  <c r="AO213" i="31"/>
  <c r="AM214" i="31"/>
  <c r="AN214" i="31"/>
  <c r="AO214" i="31"/>
  <c r="AM215" i="31"/>
  <c r="AN215" i="31"/>
  <c r="AO215" i="31"/>
  <c r="AM216" i="31"/>
  <c r="AN216" i="31"/>
  <c r="AO216" i="31"/>
  <c r="AM217" i="31"/>
  <c r="AN217" i="31"/>
  <c r="AO217" i="31"/>
  <c r="AM218" i="31"/>
  <c r="AN218" i="31"/>
  <c r="AO218" i="31"/>
  <c r="AM219" i="31"/>
  <c r="AN219" i="31"/>
  <c r="AO219" i="31"/>
  <c r="AM220" i="31"/>
  <c r="AN220" i="31"/>
  <c r="AO220" i="31"/>
  <c r="AM221" i="31"/>
  <c r="AN221" i="31"/>
  <c r="AO221" i="31"/>
  <c r="AO2" i="31"/>
  <c r="AN2" i="31"/>
  <c r="AM2" i="31"/>
  <c r="AJ881" i="25"/>
  <c r="AJ880" i="25"/>
  <c r="AJ879" i="25"/>
  <c r="AJ878" i="25"/>
  <c r="AJ877" i="25"/>
  <c r="AJ876" i="25"/>
  <c r="AJ875" i="25"/>
  <c r="AJ874" i="25"/>
  <c r="AJ873" i="25"/>
  <c r="AJ872" i="25"/>
  <c r="AJ871" i="25"/>
  <c r="AJ870" i="25"/>
  <c r="AJ869" i="25"/>
  <c r="AJ868" i="25"/>
  <c r="AJ867" i="25"/>
  <c r="AJ866" i="25"/>
  <c r="AJ865" i="25"/>
  <c r="AJ864" i="25"/>
  <c r="AJ863" i="25"/>
  <c r="AJ862" i="25"/>
  <c r="AJ861" i="25"/>
  <c r="AJ860" i="25"/>
  <c r="AJ859" i="25"/>
  <c r="AJ858" i="25"/>
  <c r="AJ857" i="25"/>
  <c r="AJ856" i="25"/>
  <c r="AJ855" i="25"/>
  <c r="AJ854" i="25"/>
  <c r="AJ853" i="25"/>
  <c r="AJ852" i="25"/>
  <c r="AJ851" i="25"/>
  <c r="AJ850" i="25"/>
  <c r="AJ849" i="25"/>
  <c r="AJ848" i="25"/>
  <c r="AJ847" i="25"/>
  <c r="AJ846" i="25"/>
  <c r="AJ845" i="25"/>
  <c r="AJ844" i="25"/>
  <c r="AJ843" i="25"/>
  <c r="AJ842" i="25"/>
  <c r="AJ841" i="25"/>
  <c r="AJ840" i="25"/>
  <c r="AJ839" i="25"/>
  <c r="AJ838" i="25"/>
  <c r="AJ837" i="25"/>
  <c r="AJ836" i="25"/>
  <c r="AJ835" i="25"/>
  <c r="AJ834" i="25"/>
  <c r="AJ833" i="25"/>
  <c r="AJ832" i="25"/>
  <c r="AJ831" i="25"/>
  <c r="AJ830" i="25"/>
  <c r="AJ829" i="25"/>
  <c r="AJ828" i="25"/>
  <c r="AJ827" i="25"/>
  <c r="AJ826" i="25"/>
  <c r="AJ825" i="25"/>
  <c r="AJ824" i="25"/>
  <c r="AJ823" i="25"/>
  <c r="AJ822" i="25"/>
  <c r="AJ821" i="25"/>
  <c r="AJ820" i="25"/>
  <c r="AJ819" i="25"/>
  <c r="AJ818" i="25"/>
  <c r="AJ817" i="25"/>
  <c r="AJ816" i="25"/>
  <c r="AJ815" i="25"/>
  <c r="AJ814" i="25"/>
  <c r="AJ813" i="25"/>
  <c r="AJ812" i="25"/>
  <c r="AJ811" i="25"/>
  <c r="AJ810" i="25"/>
  <c r="AJ809" i="25"/>
  <c r="AJ808" i="25"/>
  <c r="AJ807" i="25"/>
  <c r="AJ806" i="25"/>
  <c r="AJ805" i="25"/>
  <c r="AJ804" i="25"/>
  <c r="AJ803" i="25"/>
  <c r="AJ802" i="25"/>
  <c r="AJ801" i="25"/>
  <c r="AJ800" i="25"/>
  <c r="AJ799" i="25"/>
  <c r="AJ798" i="25"/>
  <c r="AJ797" i="25"/>
  <c r="AJ796" i="25"/>
  <c r="AJ795" i="25"/>
  <c r="AJ794" i="25"/>
  <c r="AJ793" i="25"/>
  <c r="AJ792" i="25"/>
  <c r="AJ791" i="25"/>
  <c r="AJ790" i="25"/>
  <c r="AJ789" i="25"/>
  <c r="AJ788" i="25"/>
  <c r="AJ787" i="25"/>
  <c r="AJ786" i="25"/>
  <c r="AJ785" i="25"/>
  <c r="AJ784" i="25"/>
  <c r="AJ783" i="25"/>
  <c r="AJ782" i="25"/>
  <c r="AJ781" i="25"/>
  <c r="AJ780" i="25"/>
  <c r="AJ779" i="25"/>
  <c r="AJ778" i="25"/>
  <c r="AJ777" i="25"/>
  <c r="AJ776" i="25"/>
  <c r="AJ775" i="25"/>
  <c r="AJ774" i="25"/>
  <c r="AJ773" i="25"/>
  <c r="AJ772" i="25"/>
  <c r="AJ771" i="25"/>
  <c r="AJ770" i="25"/>
  <c r="AJ769" i="25"/>
  <c r="AJ768" i="25"/>
  <c r="AJ767" i="25"/>
  <c r="AJ766" i="25"/>
  <c r="AJ765" i="25"/>
  <c r="AJ764" i="25"/>
  <c r="AJ763" i="25"/>
  <c r="AJ762" i="25"/>
  <c r="AJ761" i="25"/>
  <c r="AJ760" i="25"/>
  <c r="AJ759" i="25"/>
  <c r="AJ758" i="25"/>
  <c r="AJ757" i="25"/>
  <c r="AJ756" i="25"/>
  <c r="AJ755" i="25"/>
  <c r="AJ754" i="25"/>
  <c r="AJ753" i="25"/>
  <c r="AJ752" i="25"/>
  <c r="AJ751" i="25"/>
  <c r="AJ750" i="25"/>
  <c r="AJ749" i="25"/>
  <c r="AJ748" i="25"/>
  <c r="AJ747" i="25"/>
  <c r="AJ746" i="25"/>
  <c r="AJ745" i="25"/>
  <c r="AJ744" i="25"/>
  <c r="AJ743" i="25"/>
  <c r="AJ742" i="25"/>
  <c r="AJ741" i="25"/>
  <c r="AJ740" i="25"/>
  <c r="AJ739" i="25"/>
  <c r="AJ738" i="25"/>
  <c r="AJ737" i="25"/>
  <c r="AJ736" i="25"/>
  <c r="AJ735" i="25"/>
  <c r="AJ734" i="25"/>
  <c r="AJ733" i="25"/>
  <c r="AJ732" i="25"/>
  <c r="AJ731" i="25"/>
  <c r="AJ730" i="25"/>
  <c r="AJ729" i="25"/>
  <c r="AJ728" i="25"/>
  <c r="AJ727" i="25"/>
  <c r="AJ726" i="25"/>
  <c r="AJ725" i="25"/>
  <c r="AJ724" i="25"/>
  <c r="AJ723" i="25"/>
  <c r="AJ722" i="25"/>
  <c r="AJ721" i="25"/>
  <c r="AJ720" i="25"/>
  <c r="AJ719" i="25"/>
  <c r="AJ718" i="25"/>
  <c r="AJ717" i="25"/>
  <c r="AJ716" i="25"/>
  <c r="AJ715" i="25"/>
  <c r="AJ714" i="25"/>
  <c r="AJ713" i="25"/>
  <c r="AJ712" i="25"/>
  <c r="AJ711" i="25"/>
  <c r="AJ710" i="25"/>
  <c r="AJ709" i="25"/>
  <c r="AJ708" i="25"/>
  <c r="AJ707" i="25"/>
  <c r="AJ706" i="25"/>
  <c r="AJ705" i="25"/>
  <c r="AJ704" i="25"/>
  <c r="AJ703" i="25"/>
  <c r="AJ702" i="25"/>
  <c r="AJ701" i="25"/>
  <c r="AJ700" i="25"/>
  <c r="AJ699" i="25"/>
  <c r="AJ698" i="25"/>
  <c r="AJ697" i="25"/>
  <c r="AJ696" i="25"/>
  <c r="AJ695" i="25"/>
  <c r="AJ694" i="25"/>
  <c r="AJ693" i="25"/>
  <c r="AJ692" i="25"/>
  <c r="AJ691" i="25"/>
  <c r="AJ690" i="25"/>
  <c r="AJ689" i="25"/>
  <c r="AJ688" i="25"/>
  <c r="AJ687" i="25"/>
  <c r="AJ686" i="25"/>
  <c r="AJ685" i="25"/>
  <c r="AJ684" i="25"/>
  <c r="AJ683" i="25"/>
  <c r="AJ682" i="25"/>
  <c r="AJ681" i="25"/>
  <c r="AJ680" i="25"/>
  <c r="AJ679" i="25"/>
  <c r="AJ678" i="25"/>
  <c r="AJ677" i="25"/>
  <c r="AJ676" i="25"/>
  <c r="AJ675" i="25"/>
  <c r="AJ674" i="25"/>
  <c r="AJ673" i="25"/>
  <c r="AJ672" i="25"/>
  <c r="AJ671" i="25"/>
  <c r="AJ670" i="25"/>
  <c r="AJ669" i="25"/>
  <c r="AJ668" i="25"/>
  <c r="AJ667" i="25"/>
  <c r="AJ666" i="25"/>
  <c r="AJ665" i="25"/>
  <c r="AJ664" i="25"/>
  <c r="AJ663" i="25"/>
  <c r="AJ662" i="25"/>
  <c r="AJ661" i="25"/>
  <c r="AJ660" i="25"/>
  <c r="AJ659" i="25"/>
  <c r="AJ658" i="25"/>
  <c r="AJ657" i="25"/>
  <c r="AJ656" i="25"/>
  <c r="AJ655" i="25"/>
  <c r="AJ654" i="25"/>
  <c r="AJ653" i="25"/>
  <c r="AJ652" i="25"/>
  <c r="AJ651" i="25"/>
  <c r="AJ650" i="25"/>
  <c r="AJ649" i="25"/>
  <c r="AJ648" i="25"/>
  <c r="AJ647" i="25"/>
  <c r="AJ646" i="25"/>
  <c r="AJ645" i="25"/>
  <c r="AJ644" i="25"/>
  <c r="AJ643" i="25"/>
  <c r="AJ642" i="25"/>
  <c r="AJ641" i="25"/>
  <c r="AJ640" i="25"/>
  <c r="AJ639" i="25"/>
  <c r="AJ638" i="25"/>
  <c r="AJ637" i="25"/>
  <c r="AJ636" i="25"/>
  <c r="AJ635" i="25"/>
  <c r="AJ634" i="25"/>
  <c r="AJ633" i="25"/>
  <c r="AJ632" i="25"/>
  <c r="AJ631" i="25"/>
  <c r="AJ630" i="25"/>
  <c r="AJ629" i="25"/>
  <c r="AJ628" i="25"/>
  <c r="AJ627" i="25"/>
  <c r="AJ626" i="25"/>
  <c r="AJ625" i="25"/>
  <c r="AJ624" i="25"/>
  <c r="AJ623" i="25"/>
  <c r="AJ622" i="25"/>
  <c r="AJ621" i="25"/>
  <c r="AJ620" i="25"/>
  <c r="AJ619" i="25"/>
  <c r="AJ618" i="25"/>
  <c r="AJ617" i="25"/>
  <c r="AJ616" i="25"/>
  <c r="AJ615" i="25"/>
  <c r="AJ614" i="25"/>
  <c r="AJ613" i="25"/>
  <c r="AJ612" i="25"/>
  <c r="AJ611" i="25"/>
  <c r="AJ610" i="25"/>
  <c r="AJ609" i="25"/>
  <c r="AJ608" i="25"/>
  <c r="AJ607" i="25"/>
  <c r="AJ606" i="25"/>
  <c r="AJ605" i="25"/>
  <c r="AJ604" i="25"/>
  <c r="AJ603" i="25"/>
  <c r="AJ602" i="25"/>
  <c r="AJ601" i="25"/>
  <c r="AJ600" i="25"/>
  <c r="AJ599" i="25"/>
  <c r="AJ598" i="25"/>
  <c r="AJ597" i="25"/>
  <c r="AJ596" i="25"/>
  <c r="AJ595" i="25"/>
  <c r="AJ594" i="25"/>
  <c r="AJ593" i="25"/>
  <c r="AJ592" i="25"/>
  <c r="AJ591" i="25"/>
  <c r="AJ590" i="25"/>
  <c r="AJ589" i="25"/>
  <c r="AJ588" i="25"/>
  <c r="AJ587" i="25"/>
  <c r="AJ586" i="25"/>
  <c r="AJ585" i="25"/>
  <c r="AJ584" i="25"/>
  <c r="AJ583" i="25"/>
  <c r="AJ582" i="25"/>
  <c r="AJ581" i="25"/>
  <c r="AJ580" i="25"/>
  <c r="AJ579" i="25"/>
  <c r="AJ578" i="25"/>
  <c r="AJ577" i="25"/>
  <c r="AJ576" i="25"/>
  <c r="AJ575" i="25"/>
  <c r="AJ574" i="25"/>
  <c r="AJ573" i="25"/>
  <c r="AJ572" i="25"/>
  <c r="AJ571" i="25"/>
  <c r="AJ570" i="25"/>
  <c r="AJ569" i="25"/>
  <c r="AJ568" i="25"/>
  <c r="AJ567" i="25"/>
  <c r="AJ566" i="25"/>
  <c r="AJ565" i="25"/>
  <c r="AJ564" i="25"/>
  <c r="AJ563" i="25"/>
  <c r="AJ562" i="25"/>
  <c r="AJ561" i="25"/>
  <c r="AJ560" i="25"/>
  <c r="AJ559" i="25"/>
  <c r="AJ558" i="25"/>
  <c r="AJ557" i="25"/>
  <c r="AJ556" i="25"/>
  <c r="AJ555" i="25"/>
  <c r="AJ554" i="25"/>
  <c r="AJ553" i="25"/>
  <c r="AJ552" i="25"/>
  <c r="AJ551" i="25"/>
  <c r="AJ550" i="25"/>
  <c r="AJ549" i="25"/>
  <c r="AJ548" i="25"/>
  <c r="AJ547" i="25"/>
  <c r="AJ546" i="25"/>
  <c r="AJ545" i="25"/>
  <c r="AJ544" i="25"/>
  <c r="AJ543" i="25"/>
  <c r="AJ542" i="25"/>
  <c r="AJ541" i="25"/>
  <c r="AJ540" i="25"/>
  <c r="AJ539" i="25"/>
  <c r="AJ538" i="25"/>
  <c r="AJ537" i="25"/>
  <c r="AJ536" i="25"/>
  <c r="AJ535" i="25"/>
  <c r="AJ534" i="25"/>
  <c r="AJ533" i="25"/>
  <c r="AJ532" i="25"/>
  <c r="AJ531" i="25"/>
  <c r="AJ530" i="25"/>
  <c r="AJ529" i="25"/>
  <c r="AJ528" i="25"/>
  <c r="AJ527" i="25"/>
  <c r="AJ526" i="25"/>
  <c r="AJ525" i="25"/>
  <c r="AJ524" i="25"/>
  <c r="AJ523" i="25"/>
  <c r="AJ522" i="25"/>
  <c r="AJ521" i="25"/>
  <c r="AJ520" i="25"/>
  <c r="AJ519" i="25"/>
  <c r="AJ518" i="25"/>
  <c r="AJ517" i="25"/>
  <c r="AJ516" i="25"/>
  <c r="AJ515" i="25"/>
  <c r="AJ514" i="25"/>
  <c r="AJ513" i="25"/>
  <c r="AJ512" i="25"/>
  <c r="AJ511" i="25"/>
  <c r="AJ510" i="25"/>
  <c r="AJ509" i="25"/>
  <c r="AJ508" i="25"/>
  <c r="AJ507" i="25"/>
  <c r="AJ506" i="25"/>
  <c r="AJ505" i="25"/>
  <c r="AJ504" i="25"/>
  <c r="AJ503" i="25"/>
  <c r="AJ502" i="25"/>
  <c r="AJ501" i="25"/>
  <c r="AJ500" i="25"/>
  <c r="AJ499" i="25"/>
  <c r="AJ498" i="25"/>
  <c r="AJ497" i="25"/>
  <c r="AJ496" i="25"/>
  <c r="AJ495" i="25"/>
  <c r="AJ494" i="25"/>
  <c r="AJ493" i="25"/>
  <c r="AJ492" i="25"/>
  <c r="AJ491" i="25"/>
  <c r="AJ490" i="25"/>
  <c r="AJ489" i="25"/>
  <c r="AJ488" i="25"/>
  <c r="AJ487" i="25"/>
  <c r="AJ486" i="25"/>
  <c r="AJ485" i="25"/>
  <c r="AJ484" i="25"/>
  <c r="AJ483" i="25"/>
  <c r="AJ482" i="25"/>
  <c r="AJ481" i="25"/>
  <c r="AJ480" i="25"/>
  <c r="AJ479" i="25"/>
  <c r="AJ478" i="25"/>
  <c r="AJ477" i="25"/>
  <c r="AJ476" i="25"/>
  <c r="AJ475" i="25"/>
  <c r="AJ474" i="25"/>
  <c r="AJ473" i="25"/>
  <c r="AJ472" i="25"/>
  <c r="AJ471" i="25"/>
  <c r="AJ470" i="25"/>
  <c r="AJ469" i="25"/>
  <c r="AJ468" i="25"/>
  <c r="AJ467" i="25"/>
  <c r="AJ466" i="25"/>
  <c r="AJ465" i="25"/>
  <c r="AJ464" i="25"/>
  <c r="AJ463" i="25"/>
  <c r="AJ462" i="25"/>
  <c r="AJ461" i="25"/>
  <c r="AJ460" i="25"/>
  <c r="AJ459" i="25"/>
  <c r="AJ458" i="25"/>
  <c r="AJ457" i="25"/>
  <c r="AJ456" i="25"/>
  <c r="AJ455" i="25"/>
  <c r="AJ454" i="25"/>
  <c r="AJ453" i="25"/>
  <c r="AJ452" i="25"/>
  <c r="AJ451" i="25"/>
  <c r="AJ450" i="25"/>
  <c r="AJ449" i="25"/>
  <c r="AJ448" i="25"/>
  <c r="AJ447" i="25"/>
  <c r="AJ446" i="25"/>
  <c r="AJ445" i="25"/>
  <c r="AJ444" i="25"/>
  <c r="AJ443" i="25"/>
  <c r="AJ442" i="25"/>
  <c r="AJ441" i="25"/>
  <c r="AJ440" i="25"/>
  <c r="AJ439" i="25"/>
  <c r="AJ438" i="25"/>
  <c r="AJ437" i="25"/>
  <c r="AJ436" i="25"/>
  <c r="AJ435" i="25"/>
  <c r="AJ434" i="25"/>
  <c r="AJ433" i="25"/>
  <c r="AJ432" i="25"/>
  <c r="AJ431" i="25"/>
  <c r="AJ430" i="25"/>
  <c r="AJ429" i="25"/>
  <c r="AJ428" i="25"/>
  <c r="AJ427" i="25"/>
  <c r="AJ426" i="25"/>
  <c r="AJ425" i="25"/>
  <c r="AJ424" i="25"/>
  <c r="AJ423" i="25"/>
  <c r="AJ422" i="25"/>
  <c r="AJ421" i="25"/>
  <c r="AJ420" i="25"/>
  <c r="AJ419" i="25"/>
  <c r="AJ418" i="25"/>
  <c r="AJ417" i="25"/>
  <c r="AJ416" i="25"/>
  <c r="AJ415" i="25"/>
  <c r="AJ414" i="25"/>
  <c r="AJ413" i="25"/>
  <c r="AJ412" i="25"/>
  <c r="AJ411" i="25"/>
  <c r="AJ410" i="25"/>
  <c r="AJ409" i="25"/>
  <c r="AJ408" i="25"/>
  <c r="AJ407" i="25"/>
  <c r="AJ406" i="25"/>
  <c r="AJ405" i="25"/>
  <c r="AJ404" i="25"/>
  <c r="AJ403" i="25"/>
  <c r="AJ402" i="25"/>
  <c r="AJ401" i="25"/>
  <c r="AJ400" i="25"/>
  <c r="AJ399" i="25"/>
  <c r="AJ398" i="25"/>
  <c r="AJ397" i="25"/>
  <c r="AJ396" i="25"/>
  <c r="AJ395" i="25"/>
  <c r="AJ394" i="25"/>
  <c r="AJ393" i="25"/>
  <c r="AJ392" i="25"/>
  <c r="AJ391" i="25"/>
  <c r="AJ390" i="25"/>
  <c r="AJ389" i="25"/>
  <c r="AJ388" i="25"/>
  <c r="AJ387" i="25"/>
  <c r="AJ386" i="25"/>
  <c r="AJ385" i="25"/>
  <c r="AJ384" i="25"/>
  <c r="AJ383" i="25"/>
  <c r="AJ382" i="25"/>
  <c r="AJ381" i="25"/>
  <c r="AJ380" i="25"/>
  <c r="AJ379" i="25"/>
  <c r="AJ378" i="25"/>
  <c r="AJ377" i="25"/>
  <c r="AJ376" i="25"/>
  <c r="AJ375" i="25"/>
  <c r="AJ374" i="25"/>
  <c r="AJ373" i="25"/>
  <c r="AJ372" i="25"/>
  <c r="AJ371" i="25"/>
  <c r="AJ370" i="25"/>
  <c r="AJ369" i="25"/>
  <c r="AJ368" i="25"/>
  <c r="AJ367" i="25"/>
  <c r="AJ366" i="25"/>
  <c r="AJ365" i="25"/>
  <c r="AJ364" i="25"/>
  <c r="AJ363" i="25"/>
  <c r="AJ362" i="25"/>
  <c r="AJ361" i="25"/>
  <c r="AJ360" i="25"/>
  <c r="AJ359" i="25"/>
  <c r="AJ358" i="25"/>
  <c r="AJ357" i="25"/>
  <c r="AJ356" i="25"/>
  <c r="AJ355" i="25"/>
  <c r="AJ354" i="25"/>
  <c r="AJ353" i="25"/>
  <c r="AJ352" i="25"/>
  <c r="AJ351" i="25"/>
  <c r="AJ350" i="25"/>
  <c r="AJ349" i="25"/>
  <c r="AJ348" i="25"/>
  <c r="AJ347" i="25"/>
  <c r="AJ346" i="25"/>
  <c r="AJ345" i="25"/>
  <c r="AJ344" i="25"/>
  <c r="AJ343" i="25"/>
  <c r="AJ342" i="25"/>
  <c r="AJ341" i="25"/>
  <c r="AJ340" i="25"/>
  <c r="AJ339" i="25"/>
  <c r="AJ338" i="25"/>
  <c r="AJ337" i="25"/>
  <c r="AJ336" i="25"/>
  <c r="AJ335" i="25"/>
  <c r="AJ334" i="25"/>
  <c r="AJ333" i="25"/>
  <c r="AJ332" i="25"/>
  <c r="AJ331" i="25"/>
  <c r="AJ330" i="25"/>
  <c r="AJ329" i="25"/>
  <c r="AJ328" i="25"/>
  <c r="AJ327" i="25"/>
  <c r="AJ326" i="25"/>
  <c r="AJ325" i="25"/>
  <c r="AJ324" i="25"/>
  <c r="AJ323" i="25"/>
  <c r="AJ322" i="25"/>
  <c r="AJ321" i="25"/>
  <c r="AJ320" i="25"/>
  <c r="AJ319" i="25"/>
  <c r="AJ318" i="25"/>
  <c r="AJ317" i="25"/>
  <c r="AJ316" i="25"/>
  <c r="AJ315" i="25"/>
  <c r="AJ314" i="25"/>
  <c r="AJ313" i="25"/>
  <c r="AJ312" i="25"/>
  <c r="AJ311" i="25"/>
  <c r="AJ310" i="25"/>
  <c r="AJ309" i="25"/>
  <c r="AJ308" i="25"/>
  <c r="AJ307" i="25"/>
  <c r="AJ306" i="25"/>
  <c r="AJ305" i="25"/>
  <c r="AJ304" i="25"/>
  <c r="AJ303" i="25"/>
  <c r="AJ302" i="25"/>
  <c r="AJ301" i="25"/>
  <c r="AJ300" i="25"/>
  <c r="AJ299" i="25"/>
  <c r="AJ298" i="25"/>
  <c r="AJ297" i="25"/>
  <c r="AJ296" i="25"/>
  <c r="AJ295" i="25"/>
  <c r="AJ294" i="25"/>
  <c r="AJ293" i="25"/>
  <c r="AJ292" i="25"/>
  <c r="AJ291" i="25"/>
  <c r="AJ290" i="25"/>
  <c r="AJ289" i="25"/>
  <c r="AJ288" i="25"/>
  <c r="AJ287" i="25"/>
  <c r="AJ286" i="25"/>
  <c r="AJ285" i="25"/>
  <c r="AJ284" i="25"/>
  <c r="AJ283" i="25"/>
  <c r="AJ282" i="25"/>
  <c r="AJ281" i="25"/>
  <c r="AJ280" i="25"/>
  <c r="AJ279" i="25"/>
  <c r="AJ278" i="25"/>
  <c r="AJ277" i="25"/>
  <c r="AJ276" i="25"/>
  <c r="AJ275" i="25"/>
  <c r="AJ274" i="25"/>
  <c r="AJ273" i="25"/>
  <c r="AJ272" i="25"/>
  <c r="AJ271" i="25"/>
  <c r="AJ270" i="25"/>
  <c r="AJ269" i="25"/>
  <c r="AJ268" i="25"/>
  <c r="AJ267" i="25"/>
  <c r="AJ266" i="25"/>
  <c r="AJ265" i="25"/>
  <c r="AJ264" i="25"/>
  <c r="AJ263" i="25"/>
  <c r="AJ262" i="25"/>
  <c r="AJ261" i="25"/>
  <c r="AJ260" i="25"/>
  <c r="AJ259" i="25"/>
  <c r="AJ258" i="25"/>
  <c r="AJ257" i="25"/>
  <c r="AJ256" i="25"/>
  <c r="AJ255" i="25"/>
  <c r="AJ254" i="25"/>
  <c r="AJ253" i="25"/>
  <c r="AJ252" i="25"/>
  <c r="AJ251" i="25"/>
  <c r="AJ250" i="25"/>
  <c r="AJ249" i="25"/>
  <c r="AJ248" i="25"/>
  <c r="AJ247" i="25"/>
  <c r="AJ246" i="25"/>
  <c r="AJ245" i="25"/>
  <c r="AJ244" i="25"/>
  <c r="AJ243" i="25"/>
  <c r="AJ242" i="25"/>
  <c r="AJ241" i="25"/>
  <c r="AJ240" i="25"/>
  <c r="AJ239" i="25"/>
  <c r="AJ238" i="25"/>
  <c r="AJ237" i="25"/>
  <c r="AJ236" i="25"/>
  <c r="AJ235" i="25"/>
  <c r="AJ234" i="25"/>
  <c r="AJ233" i="25"/>
  <c r="AJ232" i="25"/>
  <c r="AJ231" i="25"/>
  <c r="AJ230" i="25"/>
  <c r="AJ229" i="25"/>
  <c r="AJ228" i="25"/>
  <c r="AJ227" i="25"/>
  <c r="AJ226" i="25"/>
  <c r="AJ225" i="25"/>
  <c r="AJ224" i="25"/>
  <c r="AJ223" i="25"/>
  <c r="AJ222" i="25"/>
  <c r="AJ221" i="25"/>
  <c r="AJ220" i="25"/>
  <c r="AJ219" i="25"/>
  <c r="AJ218" i="25"/>
  <c r="AJ217" i="25"/>
  <c r="AJ216" i="25"/>
  <c r="AJ215" i="25"/>
  <c r="AJ214" i="25"/>
  <c r="AJ213" i="25"/>
  <c r="AJ212" i="25"/>
  <c r="AJ211" i="25"/>
  <c r="AJ210" i="25"/>
  <c r="AJ209" i="25"/>
  <c r="AJ208" i="25"/>
  <c r="AJ207" i="25"/>
  <c r="AJ206" i="25"/>
  <c r="AJ205" i="25"/>
  <c r="AJ204" i="25"/>
  <c r="AJ203" i="25"/>
  <c r="AJ202" i="25"/>
  <c r="AJ201" i="25"/>
  <c r="AJ200" i="25"/>
  <c r="AJ199" i="25"/>
  <c r="AJ198" i="25"/>
  <c r="AJ197" i="25"/>
  <c r="AJ196" i="25"/>
  <c r="AJ195" i="25"/>
  <c r="AJ194" i="25"/>
  <c r="AJ193" i="25"/>
  <c r="AJ192" i="25"/>
  <c r="AJ191" i="25"/>
  <c r="AJ190" i="25"/>
  <c r="AJ189" i="25"/>
  <c r="AJ188" i="25"/>
  <c r="AJ187" i="25"/>
  <c r="AJ186" i="25"/>
  <c r="AJ185" i="25"/>
  <c r="AJ184" i="25"/>
  <c r="AJ183" i="25"/>
  <c r="AJ182" i="25"/>
  <c r="AJ181" i="25"/>
  <c r="AJ180" i="25"/>
  <c r="AJ179" i="25"/>
  <c r="AJ178" i="25"/>
  <c r="AJ177" i="25"/>
  <c r="AJ176" i="25"/>
  <c r="AJ175" i="25"/>
  <c r="AJ174" i="25"/>
  <c r="AJ173" i="25"/>
  <c r="AJ172" i="25"/>
  <c r="AJ171" i="25"/>
  <c r="AJ170" i="25"/>
  <c r="AJ169" i="25"/>
  <c r="AJ168" i="25"/>
  <c r="AJ167" i="25"/>
  <c r="AJ166" i="25"/>
  <c r="AJ165" i="25"/>
  <c r="AJ164" i="25"/>
  <c r="AJ163" i="25"/>
  <c r="AJ162" i="25"/>
  <c r="AJ161" i="25"/>
  <c r="AJ160" i="25"/>
  <c r="AJ159" i="25"/>
  <c r="AJ158" i="25"/>
  <c r="AJ157" i="25"/>
  <c r="AJ156" i="25"/>
  <c r="AJ155" i="25"/>
  <c r="AJ154" i="25"/>
  <c r="AJ153" i="25"/>
  <c r="AJ152" i="25"/>
  <c r="AJ151" i="25"/>
  <c r="AJ150" i="25"/>
  <c r="AJ149" i="25"/>
  <c r="AJ148" i="25"/>
  <c r="AJ147" i="25"/>
  <c r="AJ146" i="25"/>
  <c r="AJ145" i="25"/>
  <c r="AJ144" i="25"/>
  <c r="AJ143" i="25"/>
  <c r="AJ142" i="25"/>
  <c r="AJ141" i="25"/>
  <c r="AJ140" i="25"/>
  <c r="AJ139" i="25"/>
  <c r="AJ138" i="25"/>
  <c r="AJ137" i="25"/>
  <c r="AJ136" i="25"/>
  <c r="AJ135" i="25"/>
  <c r="AJ134" i="25"/>
  <c r="AJ133" i="25"/>
  <c r="AJ132" i="25"/>
  <c r="AJ131" i="25"/>
  <c r="AJ130" i="25"/>
  <c r="AJ129" i="25"/>
  <c r="AJ128" i="25"/>
  <c r="AJ127" i="25"/>
  <c r="AJ126" i="25"/>
  <c r="AJ125" i="25"/>
  <c r="AJ124" i="25"/>
  <c r="AJ123" i="25"/>
  <c r="AJ122" i="25"/>
  <c r="AJ121" i="25"/>
  <c r="AJ120" i="25"/>
  <c r="AJ119" i="25"/>
  <c r="AJ118" i="25"/>
  <c r="AJ117" i="25"/>
  <c r="AJ116" i="25"/>
  <c r="AJ115" i="25"/>
  <c r="AJ114" i="25"/>
  <c r="AJ113" i="25"/>
  <c r="AJ112" i="25"/>
  <c r="AJ111" i="25"/>
  <c r="AJ110" i="25"/>
  <c r="AJ109" i="25"/>
  <c r="AJ108" i="25"/>
  <c r="AJ107" i="25"/>
  <c r="AJ106" i="25"/>
  <c r="AJ105" i="25"/>
  <c r="AJ104" i="25"/>
  <c r="AJ103" i="25"/>
  <c r="AJ102" i="25"/>
  <c r="AJ101" i="25"/>
  <c r="AJ100" i="25"/>
  <c r="AJ99" i="25"/>
  <c r="AJ98" i="25"/>
  <c r="AJ97" i="25"/>
  <c r="AJ96" i="25"/>
  <c r="AJ95" i="25"/>
  <c r="AJ94" i="25"/>
  <c r="AJ93" i="25"/>
  <c r="AJ92" i="25"/>
  <c r="AJ91" i="25"/>
  <c r="AJ90" i="25"/>
  <c r="AJ89" i="25"/>
  <c r="AJ88" i="25"/>
  <c r="AJ87" i="25"/>
  <c r="AJ86" i="25"/>
  <c r="AJ85" i="25"/>
  <c r="AJ84" i="25"/>
  <c r="AJ83" i="25"/>
  <c r="AJ82" i="25"/>
  <c r="AJ81" i="25"/>
  <c r="AJ80" i="25"/>
  <c r="AJ79" i="25"/>
  <c r="AJ78" i="25"/>
  <c r="AJ77" i="25"/>
  <c r="AJ76" i="25"/>
  <c r="AJ75" i="25"/>
  <c r="AJ74" i="25"/>
  <c r="AJ73" i="25"/>
  <c r="AJ72" i="25"/>
  <c r="AJ71" i="25"/>
  <c r="AJ70" i="25"/>
  <c r="AJ69" i="25"/>
  <c r="AJ68" i="25"/>
  <c r="AJ67" i="25"/>
  <c r="AJ66" i="25"/>
  <c r="AJ65" i="25"/>
  <c r="AJ64" i="25"/>
  <c r="AJ63" i="25"/>
  <c r="AJ62" i="25"/>
  <c r="AJ61" i="25"/>
  <c r="AJ60" i="25"/>
  <c r="AJ59" i="25"/>
  <c r="AJ58" i="25"/>
  <c r="AJ57" i="25"/>
  <c r="AJ56" i="25"/>
  <c r="AJ55" i="25"/>
  <c r="AJ54" i="25"/>
  <c r="AJ53" i="25"/>
  <c r="AJ52" i="25"/>
  <c r="AJ51" i="25"/>
  <c r="AJ50" i="25"/>
  <c r="AJ49" i="25"/>
  <c r="AJ48" i="25"/>
  <c r="AJ47" i="25"/>
  <c r="AJ46" i="25"/>
  <c r="AJ45" i="25"/>
  <c r="AJ44" i="25"/>
  <c r="AJ43" i="25"/>
  <c r="AJ42" i="25"/>
  <c r="AJ41" i="25"/>
  <c r="AJ40" i="25"/>
  <c r="AJ39" i="25"/>
  <c r="AJ38" i="25"/>
  <c r="AJ37" i="25"/>
  <c r="AJ36" i="25"/>
  <c r="AJ35" i="25"/>
  <c r="AJ34" i="25"/>
  <c r="AJ33" i="25"/>
  <c r="AJ32" i="25"/>
  <c r="AJ31" i="25"/>
  <c r="AJ30" i="25"/>
  <c r="AJ29" i="25"/>
  <c r="AJ28" i="25"/>
  <c r="AJ27" i="25"/>
  <c r="AJ26" i="25"/>
  <c r="AJ25" i="25"/>
  <c r="AJ24" i="25"/>
  <c r="AJ23" i="25"/>
  <c r="AJ22" i="25"/>
  <c r="AJ21" i="25"/>
  <c r="AJ20" i="25"/>
  <c r="AJ19" i="25"/>
  <c r="AJ18" i="25"/>
  <c r="AJ17" i="25"/>
  <c r="AJ16" i="25"/>
  <c r="AJ15" i="25"/>
  <c r="AJ14" i="25"/>
  <c r="AJ13" i="25"/>
  <c r="AJ12" i="25"/>
  <c r="AJ11" i="25"/>
  <c r="AJ10" i="25"/>
  <c r="AJ9" i="25"/>
  <c r="AJ8" i="25"/>
  <c r="AJ7" i="25"/>
  <c r="AJ6" i="25"/>
  <c r="AJ5" i="25"/>
  <c r="AJ4" i="25"/>
  <c r="AJ3" i="25"/>
  <c r="AJ2" i="25"/>
  <c r="AI881" i="25"/>
  <c r="AI880" i="25"/>
  <c r="AI879" i="25"/>
  <c r="AI878" i="25"/>
  <c r="AI877" i="25"/>
  <c r="AI876" i="25"/>
  <c r="AI875" i="25"/>
  <c r="AI874" i="25"/>
  <c r="AI873" i="25"/>
  <c r="AI872" i="25"/>
  <c r="AI871" i="25"/>
  <c r="AI870" i="25"/>
  <c r="AI869" i="25"/>
  <c r="AI868" i="25"/>
  <c r="AI867" i="25"/>
  <c r="AI866" i="25"/>
  <c r="AI865" i="25"/>
  <c r="AI864" i="25"/>
  <c r="AI863" i="25"/>
  <c r="AI862" i="25"/>
  <c r="AI861" i="25"/>
  <c r="AI860" i="25"/>
  <c r="AI859" i="25"/>
  <c r="AI858" i="25"/>
  <c r="AI857" i="25"/>
  <c r="AI856" i="25"/>
  <c r="AI855" i="25"/>
  <c r="AI854" i="25"/>
  <c r="AI853" i="25"/>
  <c r="AI852" i="25"/>
  <c r="AI851" i="25"/>
  <c r="AI850" i="25"/>
  <c r="AI849" i="25"/>
  <c r="AI848" i="25"/>
  <c r="AI847" i="25"/>
  <c r="AI846" i="25"/>
  <c r="AI845" i="25"/>
  <c r="AI844" i="25"/>
  <c r="AI843" i="25"/>
  <c r="AI842" i="25"/>
  <c r="AI841" i="25"/>
  <c r="AI840" i="25"/>
  <c r="AI839" i="25"/>
  <c r="AI838" i="25"/>
  <c r="AI837" i="25"/>
  <c r="AI836" i="25"/>
  <c r="AI835" i="25"/>
  <c r="AI834" i="25"/>
  <c r="AI833" i="25"/>
  <c r="AI832" i="25"/>
  <c r="AI831" i="25"/>
  <c r="AI830" i="25"/>
  <c r="AI829" i="25"/>
  <c r="AI828" i="25"/>
  <c r="AI827" i="25"/>
  <c r="AI826" i="25"/>
  <c r="AI825" i="25"/>
  <c r="AI824" i="25"/>
  <c r="AI823" i="25"/>
  <c r="AI822" i="25"/>
  <c r="AI821" i="25"/>
  <c r="AI820" i="25"/>
  <c r="AI819" i="25"/>
  <c r="AI818" i="25"/>
  <c r="AI817" i="25"/>
  <c r="AI816" i="25"/>
  <c r="AI815" i="25"/>
  <c r="AI814" i="25"/>
  <c r="AI813" i="25"/>
  <c r="AI812" i="25"/>
  <c r="AI811" i="25"/>
  <c r="AI810" i="25"/>
  <c r="AI809" i="25"/>
  <c r="AI808" i="25"/>
  <c r="AI807" i="25"/>
  <c r="AI806" i="25"/>
  <c r="AI805" i="25"/>
  <c r="AI804" i="25"/>
  <c r="AI803" i="25"/>
  <c r="AI802" i="25"/>
  <c r="AI801" i="25"/>
  <c r="AI800" i="25"/>
  <c r="AI799" i="25"/>
  <c r="AI798" i="25"/>
  <c r="AI797" i="25"/>
  <c r="AI796" i="25"/>
  <c r="AI795" i="25"/>
  <c r="AI794" i="25"/>
  <c r="AI793" i="25"/>
  <c r="AI792" i="25"/>
  <c r="AI791" i="25"/>
  <c r="AI790" i="25"/>
  <c r="AI789" i="25"/>
  <c r="AI788" i="25"/>
  <c r="AI787" i="25"/>
  <c r="AI786" i="25"/>
  <c r="AI785" i="25"/>
  <c r="AI784" i="25"/>
  <c r="AI783" i="25"/>
  <c r="AI782" i="25"/>
  <c r="AI781" i="25"/>
  <c r="AI780" i="25"/>
  <c r="AI779" i="25"/>
  <c r="AI778" i="25"/>
  <c r="AI777" i="25"/>
  <c r="AI776" i="25"/>
  <c r="AI775" i="25"/>
  <c r="AI774" i="25"/>
  <c r="AI773" i="25"/>
  <c r="AI772" i="25"/>
  <c r="AI771" i="25"/>
  <c r="AI770" i="25"/>
  <c r="AI769" i="25"/>
  <c r="AI768" i="25"/>
  <c r="AI767" i="25"/>
  <c r="AI766" i="25"/>
  <c r="AI765" i="25"/>
  <c r="AI764" i="25"/>
  <c r="AI763" i="25"/>
  <c r="AI762" i="25"/>
  <c r="AI761" i="25"/>
  <c r="AI760" i="25"/>
  <c r="AI759" i="25"/>
  <c r="AI758" i="25"/>
  <c r="AI757" i="25"/>
  <c r="AI756" i="25"/>
  <c r="AI755" i="25"/>
  <c r="AI754" i="25"/>
  <c r="AI753" i="25"/>
  <c r="AI752" i="25"/>
  <c r="AI751" i="25"/>
  <c r="AI750" i="25"/>
  <c r="AI749" i="25"/>
  <c r="AI748" i="25"/>
  <c r="AI747" i="25"/>
  <c r="AI746" i="25"/>
  <c r="AI745" i="25"/>
  <c r="AI744" i="25"/>
  <c r="AI743" i="25"/>
  <c r="AI742" i="25"/>
  <c r="AI741" i="25"/>
  <c r="AI740" i="25"/>
  <c r="AI739" i="25"/>
  <c r="AI738" i="25"/>
  <c r="AI737" i="25"/>
  <c r="AI736" i="25"/>
  <c r="AI735" i="25"/>
  <c r="AI734" i="25"/>
  <c r="AI733" i="25"/>
  <c r="AI732" i="25"/>
  <c r="AI731" i="25"/>
  <c r="AI730" i="25"/>
  <c r="AI729" i="25"/>
  <c r="AI728" i="25"/>
  <c r="AI727" i="25"/>
  <c r="AI726" i="25"/>
  <c r="AI725" i="25"/>
  <c r="AI724" i="25"/>
  <c r="AI723" i="25"/>
  <c r="AI722" i="25"/>
  <c r="AI721" i="25"/>
  <c r="AI720" i="25"/>
  <c r="AI719" i="25"/>
  <c r="AI718" i="25"/>
  <c r="AI717" i="25"/>
  <c r="AI716" i="25"/>
  <c r="AI715" i="25"/>
  <c r="AI714" i="25"/>
  <c r="AI713" i="25"/>
  <c r="AI712" i="25"/>
  <c r="AI711" i="25"/>
  <c r="AI710" i="25"/>
  <c r="AI709" i="25"/>
  <c r="AI708" i="25"/>
  <c r="AI707" i="25"/>
  <c r="AI706" i="25"/>
  <c r="AI705" i="25"/>
  <c r="AI704" i="25"/>
  <c r="AI703" i="25"/>
  <c r="AI702" i="25"/>
  <c r="AI701" i="25"/>
  <c r="AI700" i="25"/>
  <c r="AI699" i="25"/>
  <c r="AI698" i="25"/>
  <c r="AI697" i="25"/>
  <c r="AI696" i="25"/>
  <c r="AI695" i="25"/>
  <c r="AI694" i="25"/>
  <c r="AI693" i="25"/>
  <c r="AI692" i="25"/>
  <c r="AI691" i="25"/>
  <c r="AI690" i="25"/>
  <c r="AI689" i="25"/>
  <c r="AI688" i="25"/>
  <c r="AI687" i="25"/>
  <c r="AI686" i="25"/>
  <c r="AI685" i="25"/>
  <c r="AI684" i="25"/>
  <c r="AI683" i="25"/>
  <c r="AI682" i="25"/>
  <c r="AI681" i="25"/>
  <c r="AI680" i="25"/>
  <c r="AI679" i="25"/>
  <c r="AI678" i="25"/>
  <c r="AI677" i="25"/>
  <c r="AI676" i="25"/>
  <c r="AI675" i="25"/>
  <c r="AI674" i="25"/>
  <c r="AI673" i="25"/>
  <c r="AI672" i="25"/>
  <c r="AI671" i="25"/>
  <c r="AI670" i="25"/>
  <c r="AI669" i="25"/>
  <c r="AI668" i="25"/>
  <c r="AI667" i="25"/>
  <c r="AI666" i="25"/>
  <c r="AI665" i="25"/>
  <c r="AI664" i="25"/>
  <c r="AI663" i="25"/>
  <c r="AI662" i="25"/>
  <c r="AI661" i="25"/>
  <c r="AI660" i="25"/>
  <c r="AI659" i="25"/>
  <c r="AI658" i="25"/>
  <c r="AI657" i="25"/>
  <c r="AI656" i="25"/>
  <c r="AI655" i="25"/>
  <c r="AI654" i="25"/>
  <c r="AI653" i="25"/>
  <c r="AI652" i="25"/>
  <c r="AI651" i="25"/>
  <c r="AI650" i="25"/>
  <c r="AI649" i="25"/>
  <c r="AI648" i="25"/>
  <c r="AI647" i="25"/>
  <c r="AI646" i="25"/>
  <c r="AI645" i="25"/>
  <c r="AI644" i="25"/>
  <c r="AI643" i="25"/>
  <c r="AI642" i="25"/>
  <c r="AI641" i="25"/>
  <c r="AI640" i="25"/>
  <c r="AI639" i="25"/>
  <c r="AI638" i="25"/>
  <c r="AI637" i="25"/>
  <c r="AI636" i="25"/>
  <c r="AI635" i="25"/>
  <c r="AI634" i="25"/>
  <c r="AI633" i="25"/>
  <c r="AI632" i="25"/>
  <c r="AI631" i="25"/>
  <c r="AI630" i="25"/>
  <c r="AI629" i="25"/>
  <c r="AI628" i="25"/>
  <c r="AI627" i="25"/>
  <c r="AI626" i="25"/>
  <c r="AI625" i="25"/>
  <c r="AI624" i="25"/>
  <c r="AI623" i="25"/>
  <c r="AI622" i="25"/>
  <c r="AI621" i="25"/>
  <c r="AI620" i="25"/>
  <c r="AI619" i="25"/>
  <c r="AI618" i="25"/>
  <c r="AI617" i="25"/>
  <c r="AI616" i="25"/>
  <c r="AI615" i="25"/>
  <c r="AI614" i="25"/>
  <c r="AI613" i="25"/>
  <c r="AI612" i="25"/>
  <c r="AI611" i="25"/>
  <c r="AI610" i="25"/>
  <c r="AI609" i="25"/>
  <c r="AI608" i="25"/>
  <c r="AI607" i="25"/>
  <c r="AI606" i="25"/>
  <c r="AI605" i="25"/>
  <c r="AI604" i="25"/>
  <c r="AI603" i="25"/>
  <c r="AI602" i="25"/>
  <c r="AI601" i="25"/>
  <c r="AI600" i="25"/>
  <c r="AI599" i="25"/>
  <c r="AI598" i="25"/>
  <c r="AI597" i="25"/>
  <c r="AI596" i="25"/>
  <c r="AI595" i="25"/>
  <c r="AI594" i="25"/>
  <c r="AI593" i="25"/>
  <c r="AI592" i="25"/>
  <c r="AI591" i="25"/>
  <c r="AI590" i="25"/>
  <c r="AI589" i="25"/>
  <c r="AI588" i="25"/>
  <c r="AI587" i="25"/>
  <c r="AI586" i="25"/>
  <c r="AI585" i="25"/>
  <c r="AI584" i="25"/>
  <c r="AI583" i="25"/>
  <c r="AI582" i="25"/>
  <c r="AI581" i="25"/>
  <c r="AI580" i="25"/>
  <c r="AI579" i="25"/>
  <c r="AI578" i="25"/>
  <c r="AI577" i="25"/>
  <c r="AI576" i="25"/>
  <c r="AI575" i="25"/>
  <c r="AI574" i="25"/>
  <c r="AI573" i="25"/>
  <c r="AI572" i="25"/>
  <c r="AI571" i="25"/>
  <c r="AI570" i="25"/>
  <c r="AI569" i="25"/>
  <c r="AI568" i="25"/>
  <c r="AI567" i="25"/>
  <c r="AI566" i="25"/>
  <c r="AI565" i="25"/>
  <c r="AI564" i="25"/>
  <c r="AI563" i="25"/>
  <c r="AI562" i="25"/>
  <c r="AI561" i="25"/>
  <c r="AI560" i="25"/>
  <c r="AI559" i="25"/>
  <c r="AI558" i="25"/>
  <c r="AI557" i="25"/>
  <c r="AI556" i="25"/>
  <c r="AI555" i="25"/>
  <c r="AI554" i="25"/>
  <c r="AI553" i="25"/>
  <c r="AI552" i="25"/>
  <c r="AI551" i="25"/>
  <c r="AI550" i="25"/>
  <c r="AI549" i="25"/>
  <c r="AI548" i="25"/>
  <c r="AI547" i="25"/>
  <c r="AI546" i="25"/>
  <c r="AI545" i="25"/>
  <c r="AI544" i="25"/>
  <c r="AI543" i="25"/>
  <c r="AI542" i="25"/>
  <c r="AI541" i="25"/>
  <c r="AI540" i="25"/>
  <c r="AI539" i="25"/>
  <c r="AI538" i="25"/>
  <c r="AI537" i="25"/>
  <c r="AI536" i="25"/>
  <c r="AI535" i="25"/>
  <c r="AI534" i="25"/>
  <c r="AI533" i="25"/>
  <c r="AI532" i="25"/>
  <c r="AI531" i="25"/>
  <c r="AI530" i="25"/>
  <c r="AI529" i="25"/>
  <c r="AI528" i="25"/>
  <c r="AI527" i="25"/>
  <c r="AI526" i="25"/>
  <c r="AI525" i="25"/>
  <c r="AI524" i="25"/>
  <c r="AI523" i="25"/>
  <c r="AI522" i="25"/>
  <c r="AI521" i="25"/>
  <c r="AI520" i="25"/>
  <c r="AI519" i="25"/>
  <c r="AI518" i="25"/>
  <c r="AI517" i="25"/>
  <c r="AI516" i="25"/>
  <c r="AI515" i="25"/>
  <c r="AI514" i="25"/>
  <c r="AI513" i="25"/>
  <c r="AI512" i="25"/>
  <c r="AI511" i="25"/>
  <c r="AI510" i="25"/>
  <c r="AI509" i="25"/>
  <c r="AI508" i="25"/>
  <c r="AI507" i="25"/>
  <c r="AI506" i="25"/>
  <c r="AI505" i="25"/>
  <c r="AI504" i="25"/>
  <c r="AI503" i="25"/>
  <c r="AI502" i="25"/>
  <c r="AI501" i="25"/>
  <c r="AI500" i="25"/>
  <c r="AI499" i="25"/>
  <c r="AI498" i="25"/>
  <c r="AI497" i="25"/>
  <c r="AI496" i="25"/>
  <c r="AI495" i="25"/>
  <c r="AI494" i="25"/>
  <c r="AI493" i="25"/>
  <c r="AI492" i="25"/>
  <c r="AI491" i="25"/>
  <c r="AI490" i="25"/>
  <c r="AI489" i="25"/>
  <c r="AI488" i="25"/>
  <c r="AI487" i="25"/>
  <c r="AI486" i="25"/>
  <c r="AI485" i="25"/>
  <c r="AI484" i="25"/>
  <c r="AI483" i="25"/>
  <c r="AI482" i="25"/>
  <c r="AI481" i="25"/>
  <c r="AI480" i="25"/>
  <c r="AI479" i="25"/>
  <c r="AI478" i="25"/>
  <c r="AI477" i="25"/>
  <c r="AI476" i="25"/>
  <c r="AI475" i="25"/>
  <c r="AI474" i="25"/>
  <c r="AI473" i="25"/>
  <c r="AI472" i="25"/>
  <c r="AI471" i="25"/>
  <c r="AI470" i="25"/>
  <c r="AI469" i="25"/>
  <c r="AI468" i="25"/>
  <c r="AI467" i="25"/>
  <c r="AI466" i="25"/>
  <c r="AI465" i="25"/>
  <c r="AI464" i="25"/>
  <c r="AI463" i="25"/>
  <c r="AI462" i="25"/>
  <c r="AI461" i="25"/>
  <c r="AI460" i="25"/>
  <c r="AI459" i="25"/>
  <c r="AI458" i="25"/>
  <c r="AI457" i="25"/>
  <c r="AI456" i="25"/>
  <c r="AI455" i="25"/>
  <c r="AI454" i="25"/>
  <c r="AI453" i="25"/>
  <c r="AI452" i="25"/>
  <c r="AI451" i="25"/>
  <c r="AI450" i="25"/>
  <c r="AI449" i="25"/>
  <c r="AI448" i="25"/>
  <c r="AI447" i="25"/>
  <c r="AI446" i="25"/>
  <c r="AI445" i="25"/>
  <c r="AI444" i="25"/>
  <c r="AI443" i="25"/>
  <c r="AI442" i="25"/>
  <c r="AI441" i="25"/>
  <c r="AI440" i="25"/>
  <c r="AI439" i="25"/>
  <c r="AI438" i="25"/>
  <c r="AI437" i="25"/>
  <c r="AI436" i="25"/>
  <c r="AI435" i="25"/>
  <c r="AI434" i="25"/>
  <c r="AI433" i="25"/>
  <c r="AI432" i="25"/>
  <c r="AI431" i="25"/>
  <c r="AI430" i="25"/>
  <c r="AI429" i="25"/>
  <c r="AI428" i="25"/>
  <c r="AI427" i="25"/>
  <c r="AI426" i="25"/>
  <c r="AI425" i="25"/>
  <c r="AI424" i="25"/>
  <c r="AI423" i="25"/>
  <c r="AI422" i="25"/>
  <c r="AI421" i="25"/>
  <c r="AI420" i="25"/>
  <c r="AI419" i="25"/>
  <c r="AI418" i="25"/>
  <c r="AI417" i="25"/>
  <c r="AI416" i="25"/>
  <c r="AI415" i="25"/>
  <c r="AI414" i="25"/>
  <c r="AI413" i="25"/>
  <c r="AI412" i="25"/>
  <c r="AI411" i="25"/>
  <c r="AI410" i="25"/>
  <c r="AI409" i="25"/>
  <c r="AI408" i="25"/>
  <c r="AI407" i="25"/>
  <c r="AI406" i="25"/>
  <c r="AI405" i="25"/>
  <c r="AI404" i="25"/>
  <c r="AI403" i="25"/>
  <c r="AI402" i="25"/>
  <c r="AI401" i="25"/>
  <c r="AI400" i="25"/>
  <c r="AI399" i="25"/>
  <c r="AI398" i="25"/>
  <c r="AI397" i="25"/>
  <c r="AI396" i="25"/>
  <c r="AI395" i="25"/>
  <c r="AI394" i="25"/>
  <c r="AI393" i="25"/>
  <c r="AI392" i="25"/>
  <c r="AI391" i="25"/>
  <c r="AI390" i="25"/>
  <c r="AI389" i="25"/>
  <c r="AI388" i="25"/>
  <c r="AI387" i="25"/>
  <c r="AI386" i="25"/>
  <c r="AI385" i="25"/>
  <c r="AI384" i="25"/>
  <c r="AI383" i="25"/>
  <c r="AI382" i="25"/>
  <c r="AI381" i="25"/>
  <c r="AI380" i="25"/>
  <c r="AI379" i="25"/>
  <c r="AI378" i="25"/>
  <c r="AI377" i="25"/>
  <c r="AI376" i="25"/>
  <c r="AI375" i="25"/>
  <c r="AI374" i="25"/>
  <c r="AI373" i="25"/>
  <c r="AI372" i="25"/>
  <c r="AI371" i="25"/>
  <c r="AI370" i="25"/>
  <c r="AI369" i="25"/>
  <c r="AI368" i="25"/>
  <c r="AI367" i="25"/>
  <c r="AI366" i="25"/>
  <c r="AI365" i="25"/>
  <c r="AI364" i="25"/>
  <c r="AI363" i="25"/>
  <c r="AI362" i="25"/>
  <c r="AI361" i="25"/>
  <c r="AI360" i="25"/>
  <c r="AI359" i="25"/>
  <c r="AI358" i="25"/>
  <c r="AI357" i="25"/>
  <c r="AI356" i="25"/>
  <c r="AI355" i="25"/>
  <c r="AI354" i="25"/>
  <c r="AI353" i="25"/>
  <c r="AI352" i="25"/>
  <c r="AI351" i="25"/>
  <c r="AI350" i="25"/>
  <c r="AI349" i="25"/>
  <c r="AI348" i="25"/>
  <c r="AI347" i="25"/>
  <c r="AI346" i="25"/>
  <c r="AI345" i="25"/>
  <c r="AI344" i="25"/>
  <c r="AI343" i="25"/>
  <c r="AI342" i="25"/>
  <c r="AI341" i="25"/>
  <c r="AI340" i="25"/>
  <c r="AI339" i="25"/>
  <c r="AI338" i="25"/>
  <c r="AI337" i="25"/>
  <c r="AI336" i="25"/>
  <c r="AI335" i="25"/>
  <c r="AI334" i="25"/>
  <c r="AI333" i="25"/>
  <c r="AI332" i="25"/>
  <c r="AI331" i="25"/>
  <c r="AI330" i="25"/>
  <c r="AI329" i="25"/>
  <c r="AI328" i="25"/>
  <c r="AI327" i="25"/>
  <c r="AI326" i="25"/>
  <c r="AI325" i="25"/>
  <c r="AI324" i="25"/>
  <c r="AI323" i="25"/>
  <c r="AI322" i="25"/>
  <c r="AI321" i="25"/>
  <c r="AI320" i="25"/>
  <c r="AI319" i="25"/>
  <c r="AI318" i="25"/>
  <c r="AI317" i="25"/>
  <c r="AI316" i="25"/>
  <c r="AI315" i="25"/>
  <c r="AI314" i="25"/>
  <c r="AI313" i="25"/>
  <c r="AI312" i="25"/>
  <c r="AI311" i="25"/>
  <c r="AI310" i="25"/>
  <c r="AI309" i="25"/>
  <c r="AI308" i="25"/>
  <c r="AI307" i="25"/>
  <c r="AI306" i="25"/>
  <c r="AI305" i="25"/>
  <c r="AI304" i="25"/>
  <c r="AI303" i="25"/>
  <c r="AI302" i="25"/>
  <c r="AI301" i="25"/>
  <c r="AI300" i="25"/>
  <c r="AI299" i="25"/>
  <c r="AI298" i="25"/>
  <c r="AI297" i="25"/>
  <c r="AI296" i="25"/>
  <c r="AI295" i="25"/>
  <c r="AI294" i="25"/>
  <c r="AI293" i="25"/>
  <c r="AI292" i="25"/>
  <c r="AI291" i="25"/>
  <c r="AI290" i="25"/>
  <c r="AI289" i="25"/>
  <c r="AI288" i="25"/>
  <c r="AI287" i="25"/>
  <c r="AI286" i="25"/>
  <c r="AI285" i="25"/>
  <c r="AI284" i="25"/>
  <c r="AI283" i="25"/>
  <c r="AI282" i="25"/>
  <c r="AI281" i="25"/>
  <c r="AI280" i="25"/>
  <c r="AI279" i="25"/>
  <c r="AI278" i="25"/>
  <c r="AI277" i="25"/>
  <c r="AI276" i="25"/>
  <c r="AI275" i="25"/>
  <c r="AI274" i="25"/>
  <c r="AI273" i="25"/>
  <c r="AI272" i="25"/>
  <c r="AI271" i="25"/>
  <c r="AI270" i="25"/>
  <c r="AI269" i="25"/>
  <c r="AI268" i="25"/>
  <c r="AI267" i="25"/>
  <c r="AI266" i="25"/>
  <c r="AI265" i="25"/>
  <c r="AI264" i="25"/>
  <c r="AI263" i="25"/>
  <c r="AI262" i="25"/>
  <c r="AI261" i="25"/>
  <c r="AI260" i="25"/>
  <c r="AI259" i="25"/>
  <c r="AI258" i="25"/>
  <c r="AI257" i="25"/>
  <c r="AI256" i="25"/>
  <c r="AI255" i="25"/>
  <c r="AI254" i="25"/>
  <c r="AI253" i="25"/>
  <c r="AI252" i="25"/>
  <c r="AI251" i="25"/>
  <c r="AI250" i="25"/>
  <c r="AI249" i="25"/>
  <c r="AI248" i="25"/>
  <c r="AI247" i="25"/>
  <c r="AI246" i="25"/>
  <c r="AI245" i="25"/>
  <c r="AI244" i="25"/>
  <c r="AI243" i="25"/>
  <c r="AI242" i="25"/>
  <c r="AI241" i="25"/>
  <c r="AI240" i="25"/>
  <c r="AI239" i="25"/>
  <c r="AI238" i="25"/>
  <c r="AI237" i="25"/>
  <c r="AI236" i="25"/>
  <c r="AI235" i="25"/>
  <c r="AI234" i="25"/>
  <c r="AI233" i="25"/>
  <c r="AI232" i="25"/>
  <c r="AI231" i="25"/>
  <c r="AI230" i="25"/>
  <c r="AI229" i="25"/>
  <c r="AI228" i="25"/>
  <c r="AI227" i="25"/>
  <c r="AI226" i="25"/>
  <c r="AI225" i="25"/>
  <c r="AI224" i="25"/>
  <c r="AI223" i="25"/>
  <c r="AI222" i="25"/>
  <c r="AI221" i="25"/>
  <c r="AI220" i="25"/>
  <c r="AI219" i="25"/>
  <c r="AI218" i="25"/>
  <c r="AI217" i="25"/>
  <c r="AI216" i="25"/>
  <c r="AI215" i="25"/>
  <c r="AI214" i="25"/>
  <c r="AI213" i="25"/>
  <c r="AI212" i="25"/>
  <c r="AI211" i="25"/>
  <c r="AI210" i="25"/>
  <c r="AI209" i="25"/>
  <c r="AI208" i="25"/>
  <c r="AI207" i="25"/>
  <c r="AI206" i="25"/>
  <c r="AI205" i="25"/>
  <c r="AI204" i="25"/>
  <c r="AI203" i="25"/>
  <c r="AI202" i="25"/>
  <c r="AI201" i="25"/>
  <c r="AI200" i="25"/>
  <c r="AI199" i="25"/>
  <c r="AI198" i="25"/>
  <c r="AI197" i="25"/>
  <c r="AI196" i="25"/>
  <c r="AI195" i="25"/>
  <c r="AI194" i="25"/>
  <c r="AI193" i="25"/>
  <c r="AI192" i="25"/>
  <c r="AI191" i="25"/>
  <c r="AI190" i="25"/>
  <c r="AI189" i="25"/>
  <c r="AI188" i="25"/>
  <c r="AI187" i="25"/>
  <c r="AI186" i="25"/>
  <c r="AI185" i="25"/>
  <c r="AI184" i="25"/>
  <c r="AI183" i="25"/>
  <c r="AI182" i="25"/>
  <c r="AI181" i="25"/>
  <c r="AI180" i="25"/>
  <c r="AI179" i="25"/>
  <c r="AI178" i="25"/>
  <c r="AI177" i="25"/>
  <c r="AI176" i="25"/>
  <c r="AI175" i="25"/>
  <c r="AI174" i="25"/>
  <c r="AI173" i="25"/>
  <c r="AI172" i="25"/>
  <c r="AI171" i="25"/>
  <c r="AI170" i="25"/>
  <c r="AI169" i="25"/>
  <c r="AI168" i="25"/>
  <c r="AI167" i="25"/>
  <c r="AI166" i="25"/>
  <c r="AI165" i="25"/>
  <c r="AI164" i="25"/>
  <c r="AI163" i="25"/>
  <c r="AI162" i="25"/>
  <c r="AI161" i="25"/>
  <c r="AI160" i="25"/>
  <c r="AI159" i="25"/>
  <c r="AI158" i="25"/>
  <c r="AI157" i="25"/>
  <c r="AI156" i="25"/>
  <c r="AI155" i="25"/>
  <c r="AI154" i="25"/>
  <c r="AI153" i="25"/>
  <c r="AI152" i="25"/>
  <c r="AI151" i="25"/>
  <c r="AI150" i="25"/>
  <c r="AI149" i="25"/>
  <c r="AI148" i="25"/>
  <c r="AI147" i="25"/>
  <c r="AI146" i="25"/>
  <c r="AI145" i="25"/>
  <c r="AI144" i="25"/>
  <c r="AI143" i="25"/>
  <c r="AI142" i="25"/>
  <c r="AI141" i="25"/>
  <c r="AI140" i="25"/>
  <c r="AI139" i="25"/>
  <c r="AI138" i="25"/>
  <c r="AI137" i="25"/>
  <c r="AI136" i="25"/>
  <c r="AI135" i="25"/>
  <c r="AI134" i="25"/>
  <c r="AI133" i="25"/>
  <c r="AI132" i="25"/>
  <c r="AI131" i="25"/>
  <c r="AI130" i="25"/>
  <c r="AI129" i="25"/>
  <c r="AI128" i="25"/>
  <c r="AI127" i="25"/>
  <c r="AI126" i="25"/>
  <c r="AI125" i="25"/>
  <c r="AI124" i="25"/>
  <c r="AI123" i="25"/>
  <c r="AI122" i="25"/>
  <c r="AI121" i="25"/>
  <c r="AI120" i="25"/>
  <c r="AI119" i="25"/>
  <c r="AI118" i="25"/>
  <c r="AI117" i="25"/>
  <c r="AI116" i="25"/>
  <c r="AI115" i="25"/>
  <c r="AI114" i="25"/>
  <c r="AI113" i="25"/>
  <c r="AI112" i="25"/>
  <c r="AI111" i="25"/>
  <c r="AI110" i="25"/>
  <c r="AI109" i="25"/>
  <c r="AI108" i="25"/>
  <c r="AI107" i="25"/>
  <c r="AI106" i="25"/>
  <c r="AI105" i="25"/>
  <c r="AI104" i="25"/>
  <c r="AI103" i="25"/>
  <c r="AI102" i="25"/>
  <c r="AI101" i="25"/>
  <c r="AI100" i="25"/>
  <c r="AI99" i="25"/>
  <c r="AI98" i="25"/>
  <c r="AI97" i="25"/>
  <c r="AI96" i="25"/>
  <c r="AI95" i="25"/>
  <c r="AI94" i="25"/>
  <c r="AI93" i="25"/>
  <c r="AI92" i="25"/>
  <c r="AI91" i="25"/>
  <c r="AI90" i="25"/>
  <c r="AI89" i="25"/>
  <c r="AI88" i="25"/>
  <c r="AI87" i="25"/>
  <c r="AI86" i="25"/>
  <c r="AI85" i="25"/>
  <c r="AI84" i="25"/>
  <c r="AI83" i="25"/>
  <c r="AI82" i="25"/>
  <c r="AI81" i="25"/>
  <c r="AI80" i="25"/>
  <c r="AI79" i="25"/>
  <c r="AI78" i="25"/>
  <c r="AI77" i="25"/>
  <c r="AI76" i="25"/>
  <c r="AI75" i="25"/>
  <c r="AI74" i="25"/>
  <c r="AI73" i="25"/>
  <c r="AI72" i="25"/>
  <c r="AI71" i="25"/>
  <c r="AI70" i="25"/>
  <c r="AI69" i="25"/>
  <c r="AI68" i="25"/>
  <c r="AI67" i="25"/>
  <c r="AI66" i="25"/>
  <c r="AI65" i="25"/>
  <c r="AI64" i="25"/>
  <c r="AI63" i="25"/>
  <c r="AI62" i="25"/>
  <c r="AI61" i="25"/>
  <c r="AI60" i="25"/>
  <c r="AI59" i="25"/>
  <c r="AI58" i="25"/>
  <c r="AI57" i="25"/>
  <c r="AI56" i="25"/>
  <c r="AI55" i="25"/>
  <c r="AI54" i="25"/>
  <c r="AI53" i="25"/>
  <c r="AI52" i="25"/>
  <c r="AI51" i="25"/>
  <c r="AI50" i="25"/>
  <c r="AI49" i="25"/>
  <c r="AI48" i="25"/>
  <c r="AI47" i="25"/>
  <c r="AI46" i="25"/>
  <c r="AI45" i="25"/>
  <c r="AI44" i="25"/>
  <c r="AI43" i="25"/>
  <c r="AI42" i="25"/>
  <c r="AI41" i="25"/>
  <c r="AI40" i="25"/>
  <c r="AI39" i="25"/>
  <c r="AI38" i="25"/>
  <c r="AI37" i="25"/>
  <c r="AI36" i="25"/>
  <c r="AI35" i="25"/>
  <c r="AI34" i="25"/>
  <c r="AI33" i="25"/>
  <c r="AI32" i="25"/>
  <c r="AI31" i="25"/>
  <c r="AI30" i="25"/>
  <c r="AI29" i="25"/>
  <c r="AI28" i="25"/>
  <c r="AI27" i="25"/>
  <c r="AI26" i="25"/>
  <c r="AI25" i="25"/>
  <c r="AI24" i="25"/>
  <c r="AI23" i="25"/>
  <c r="AI22" i="25"/>
  <c r="AI21" i="25"/>
  <c r="AI20" i="25"/>
  <c r="AI19" i="25"/>
  <c r="AI18" i="25"/>
  <c r="AI17" i="25"/>
  <c r="AI16" i="25"/>
  <c r="AI15" i="25"/>
  <c r="AI14" i="25"/>
  <c r="AI13" i="25"/>
  <c r="AI12" i="25"/>
  <c r="AI11" i="25"/>
  <c r="AI10" i="25"/>
  <c r="AI9" i="25"/>
  <c r="AI8" i="25"/>
  <c r="AI7" i="25"/>
  <c r="AI6" i="25"/>
  <c r="AI5" i="25"/>
  <c r="AI4" i="25"/>
  <c r="AI3" i="25"/>
  <c r="AI2" i="25"/>
  <c r="N2" i="25"/>
  <c r="N881" i="31"/>
  <c r="N880" i="31"/>
  <c r="N879" i="31"/>
  <c r="N878" i="31"/>
  <c r="N877" i="31"/>
  <c r="N876" i="31"/>
  <c r="N875" i="31"/>
  <c r="N874" i="31"/>
  <c r="N873" i="31"/>
  <c r="N872" i="31"/>
  <c r="N871" i="31"/>
  <c r="N870" i="31"/>
  <c r="N869" i="31"/>
  <c r="N868" i="31"/>
  <c r="N867" i="31"/>
  <c r="N866" i="31"/>
  <c r="N865" i="31"/>
  <c r="N864" i="31"/>
  <c r="N863" i="31"/>
  <c r="N862" i="31"/>
  <c r="N861" i="31"/>
  <c r="N860" i="31"/>
  <c r="N859" i="31"/>
  <c r="N858" i="31"/>
  <c r="N857" i="31"/>
  <c r="N856" i="31"/>
  <c r="N855" i="31"/>
  <c r="N854" i="31"/>
  <c r="N853" i="31"/>
  <c r="N852" i="31"/>
  <c r="N851" i="31"/>
  <c r="N850" i="31"/>
  <c r="N849" i="31"/>
  <c r="N848" i="31"/>
  <c r="N847" i="31"/>
  <c r="N846" i="31"/>
  <c r="N845" i="31"/>
  <c r="N844" i="31"/>
  <c r="N843" i="31"/>
  <c r="N842" i="31"/>
  <c r="N841" i="31"/>
  <c r="N840" i="31"/>
  <c r="N839" i="31"/>
  <c r="N838" i="31"/>
  <c r="N837" i="31"/>
  <c r="N836" i="31"/>
  <c r="N835" i="31"/>
  <c r="N834" i="31"/>
  <c r="N833" i="31"/>
  <c r="N832" i="31"/>
  <c r="N831" i="31"/>
  <c r="N830" i="31"/>
  <c r="N829" i="31"/>
  <c r="N828" i="31"/>
  <c r="N827" i="31"/>
  <c r="N826" i="31"/>
  <c r="N825" i="31"/>
  <c r="N824" i="31"/>
  <c r="N823" i="31"/>
  <c r="N822" i="31"/>
  <c r="N821" i="31"/>
  <c r="N820" i="31"/>
  <c r="N819" i="31"/>
  <c r="N818" i="31"/>
  <c r="N817" i="31"/>
  <c r="N816" i="31"/>
  <c r="N815" i="31"/>
  <c r="N814" i="31"/>
  <c r="N813" i="31"/>
  <c r="N812" i="31"/>
  <c r="N811" i="31"/>
  <c r="N810" i="31"/>
  <c r="N809" i="31"/>
  <c r="N808" i="31"/>
  <c r="N807" i="31"/>
  <c r="N806" i="31"/>
  <c r="N805" i="31"/>
  <c r="N804" i="31"/>
  <c r="N803" i="31"/>
  <c r="N802" i="31"/>
  <c r="N801" i="31"/>
  <c r="N800" i="31"/>
  <c r="N799" i="31"/>
  <c r="N798" i="31"/>
  <c r="N797" i="31"/>
  <c r="N796" i="31"/>
  <c r="N795" i="31"/>
  <c r="N794" i="31"/>
  <c r="N793" i="31"/>
  <c r="N792" i="31"/>
  <c r="N791" i="31"/>
  <c r="N790" i="31"/>
  <c r="N789" i="31"/>
  <c r="N788" i="31"/>
  <c r="N787" i="31"/>
  <c r="N786" i="31"/>
  <c r="N785" i="31"/>
  <c r="N784" i="31"/>
  <c r="N783" i="31"/>
  <c r="N782" i="31"/>
  <c r="N781" i="31"/>
  <c r="N780" i="31"/>
  <c r="N779" i="31"/>
  <c r="N778" i="31"/>
  <c r="N777" i="31"/>
  <c r="N776" i="31"/>
  <c r="N775" i="31"/>
  <c r="N774" i="31"/>
  <c r="N773" i="31"/>
  <c r="N772" i="31"/>
  <c r="N771" i="31"/>
  <c r="N770" i="31"/>
  <c r="N769" i="31"/>
  <c r="N768" i="31"/>
  <c r="N767" i="31"/>
  <c r="N766" i="31"/>
  <c r="N765" i="31"/>
  <c r="N764" i="31"/>
  <c r="N763" i="31"/>
  <c r="N762" i="31"/>
  <c r="N761" i="31"/>
  <c r="N760" i="31"/>
  <c r="N759" i="31"/>
  <c r="N758" i="31"/>
  <c r="N757" i="31"/>
  <c r="N756" i="31"/>
  <c r="N755" i="31"/>
  <c r="N754" i="31"/>
  <c r="N753" i="31"/>
  <c r="N752" i="31"/>
  <c r="N751" i="31"/>
  <c r="N750" i="31"/>
  <c r="N749" i="31"/>
  <c r="N748" i="31"/>
  <c r="N747" i="31"/>
  <c r="N746" i="31"/>
  <c r="N745" i="31"/>
  <c r="N744" i="31"/>
  <c r="N743" i="31"/>
  <c r="N742" i="31"/>
  <c r="N741" i="31"/>
  <c r="N740" i="31"/>
  <c r="N739" i="31"/>
  <c r="N738" i="31"/>
  <c r="N737" i="31"/>
  <c r="N736" i="31"/>
  <c r="N735" i="31"/>
  <c r="N734" i="31"/>
  <c r="N733" i="31"/>
  <c r="N732" i="31"/>
  <c r="N731" i="31"/>
  <c r="N730" i="31"/>
  <c r="N729" i="31"/>
  <c r="N728" i="31"/>
  <c r="N727" i="31"/>
  <c r="N726" i="31"/>
  <c r="N725" i="31"/>
  <c r="N724" i="31"/>
  <c r="N723" i="31"/>
  <c r="N722" i="31"/>
  <c r="N721" i="31"/>
  <c r="N720" i="31"/>
  <c r="N719" i="31"/>
  <c r="N718" i="31"/>
  <c r="N717" i="31"/>
  <c r="N716" i="31"/>
  <c r="N715" i="31"/>
  <c r="N714" i="31"/>
  <c r="N713" i="31"/>
  <c r="N712" i="31"/>
  <c r="N711" i="31"/>
  <c r="N710" i="31"/>
  <c r="N709" i="31"/>
  <c r="N708" i="31"/>
  <c r="N707" i="31"/>
  <c r="N706" i="31"/>
  <c r="N705" i="31"/>
  <c r="N704" i="31"/>
  <c r="N703" i="31"/>
  <c r="N702" i="31"/>
  <c r="N701" i="31"/>
  <c r="N700" i="31"/>
  <c r="N699" i="31"/>
  <c r="N698" i="31"/>
  <c r="N697" i="31"/>
  <c r="N696" i="31"/>
  <c r="N695" i="31"/>
  <c r="N694" i="31"/>
  <c r="N693" i="31"/>
  <c r="N692" i="31"/>
  <c r="N691" i="31"/>
  <c r="N690" i="31"/>
  <c r="N689" i="31"/>
  <c r="N688" i="31"/>
  <c r="N687" i="31"/>
  <c r="N686" i="31"/>
  <c r="N685" i="31"/>
  <c r="N684" i="31"/>
  <c r="N683" i="31"/>
  <c r="N682" i="31"/>
  <c r="N681" i="31"/>
  <c r="N680" i="31"/>
  <c r="N679" i="31"/>
  <c r="N678" i="31"/>
  <c r="N677" i="31"/>
  <c r="N676" i="31"/>
  <c r="N675" i="31"/>
  <c r="N674" i="31"/>
  <c r="N673" i="31"/>
  <c r="N672" i="31"/>
  <c r="N671" i="31"/>
  <c r="N670" i="31"/>
  <c r="N669" i="31"/>
  <c r="N668" i="31"/>
  <c r="N667" i="31"/>
  <c r="N666" i="31"/>
  <c r="N665" i="31"/>
  <c r="N664" i="31"/>
  <c r="N663" i="31"/>
  <c r="N662" i="31"/>
  <c r="N661" i="31"/>
  <c r="N660" i="31"/>
  <c r="N659" i="31"/>
  <c r="N658" i="31"/>
  <c r="N657" i="31"/>
  <c r="N656" i="31"/>
  <c r="N655" i="31"/>
  <c r="N654" i="31"/>
  <c r="N653" i="31"/>
  <c r="N652" i="31"/>
  <c r="N651" i="31"/>
  <c r="N650" i="31"/>
  <c r="N649" i="31"/>
  <c r="N648" i="31"/>
  <c r="N647" i="31"/>
  <c r="N646" i="31"/>
  <c r="N645" i="31"/>
  <c r="N644" i="31"/>
  <c r="N643" i="31"/>
  <c r="N642" i="31"/>
  <c r="N641" i="31"/>
  <c r="N640" i="31"/>
  <c r="N639" i="31"/>
  <c r="N638" i="31"/>
  <c r="N637" i="31"/>
  <c r="N636" i="31"/>
  <c r="N635" i="31"/>
  <c r="N634" i="31"/>
  <c r="N633" i="31"/>
  <c r="N632" i="31"/>
  <c r="N631" i="31"/>
  <c r="N630" i="31"/>
  <c r="N629" i="31"/>
  <c r="N628" i="31"/>
  <c r="N627" i="31"/>
  <c r="N626" i="31"/>
  <c r="N625" i="31"/>
  <c r="N624" i="31"/>
  <c r="N623" i="31"/>
  <c r="N622" i="31"/>
  <c r="N621" i="31"/>
  <c r="N620" i="31"/>
  <c r="N619" i="31"/>
  <c r="N618" i="31"/>
  <c r="N617" i="31"/>
  <c r="N616" i="31"/>
  <c r="N615" i="31"/>
  <c r="N614" i="31"/>
  <c r="N613" i="31"/>
  <c r="N612" i="31"/>
  <c r="N611" i="31"/>
  <c r="N610" i="31"/>
  <c r="N609" i="31"/>
  <c r="N608" i="31"/>
  <c r="N607" i="31"/>
  <c r="N606" i="31"/>
  <c r="N605" i="31"/>
  <c r="N604" i="31"/>
  <c r="N603" i="31"/>
  <c r="N602" i="31"/>
  <c r="N601" i="31"/>
  <c r="N600" i="31"/>
  <c r="N599" i="31"/>
  <c r="N598" i="31"/>
  <c r="N597" i="31"/>
  <c r="N596" i="31"/>
  <c r="N595" i="31"/>
  <c r="N594" i="31"/>
  <c r="N593" i="31"/>
  <c r="N592" i="31"/>
  <c r="N591" i="31"/>
  <c r="N590" i="31"/>
  <c r="N589" i="31"/>
  <c r="N588" i="31"/>
  <c r="N587" i="31"/>
  <c r="N586" i="31"/>
  <c r="N585" i="31"/>
  <c r="N584" i="31"/>
  <c r="N583" i="31"/>
  <c r="N582" i="31"/>
  <c r="N581" i="31"/>
  <c r="N580" i="31"/>
  <c r="N579" i="31"/>
  <c r="N578" i="31"/>
  <c r="N577" i="31"/>
  <c r="N576" i="31"/>
  <c r="N575" i="31"/>
  <c r="N574" i="31"/>
  <c r="N573" i="31"/>
  <c r="N572" i="31"/>
  <c r="N571" i="31"/>
  <c r="N570" i="31"/>
  <c r="N569" i="31"/>
  <c r="N568" i="31"/>
  <c r="N567" i="31"/>
  <c r="N566" i="31"/>
  <c r="N565" i="31"/>
  <c r="N564" i="31"/>
  <c r="N563" i="31"/>
  <c r="N562" i="31"/>
  <c r="N561" i="31"/>
  <c r="N560" i="31"/>
  <c r="N559" i="31"/>
  <c r="N558" i="31"/>
  <c r="N557" i="31"/>
  <c r="N556" i="31"/>
  <c r="N555" i="31"/>
  <c r="N554" i="31"/>
  <c r="N553" i="31"/>
  <c r="N552" i="31"/>
  <c r="N551" i="31"/>
  <c r="N550" i="31"/>
  <c r="N549" i="31"/>
  <c r="N548" i="31"/>
  <c r="N547" i="31"/>
  <c r="N546" i="31"/>
  <c r="N545" i="31"/>
  <c r="N544" i="31"/>
  <c r="N543" i="31"/>
  <c r="N542" i="31"/>
  <c r="N541" i="31"/>
  <c r="N540" i="31"/>
  <c r="N539" i="31"/>
  <c r="N538" i="31"/>
  <c r="N537" i="31"/>
  <c r="N536" i="31"/>
  <c r="N535" i="31"/>
  <c r="N534" i="31"/>
  <c r="N533" i="31"/>
  <c r="N532" i="31"/>
  <c r="N531" i="31"/>
  <c r="N530" i="31"/>
  <c r="N529" i="31"/>
  <c r="N528" i="31"/>
  <c r="N527" i="31"/>
  <c r="N526" i="31"/>
  <c r="N525" i="31"/>
  <c r="N524" i="31"/>
  <c r="N523" i="31"/>
  <c r="N522" i="31"/>
  <c r="N521" i="31"/>
  <c r="N520" i="31"/>
  <c r="N519" i="31"/>
  <c r="N518" i="31"/>
  <c r="N517" i="31"/>
  <c r="N516" i="31"/>
  <c r="N515" i="31"/>
  <c r="N514" i="31"/>
  <c r="N513" i="31"/>
  <c r="N512" i="31"/>
  <c r="N511" i="31"/>
  <c r="N510" i="31"/>
  <c r="N509" i="31"/>
  <c r="N508" i="31"/>
  <c r="N507" i="31"/>
  <c r="N506" i="31"/>
  <c r="N505" i="31"/>
  <c r="N504" i="31"/>
  <c r="N503" i="31"/>
  <c r="N502" i="31"/>
  <c r="N501" i="31"/>
  <c r="N500" i="31"/>
  <c r="N499" i="31"/>
  <c r="N498" i="31"/>
  <c r="N497" i="31"/>
  <c r="N496" i="31"/>
  <c r="N495" i="31"/>
  <c r="N494" i="31"/>
  <c r="N493" i="31"/>
  <c r="N492" i="31"/>
  <c r="N491" i="31"/>
  <c r="N490" i="31"/>
  <c r="N489" i="31"/>
  <c r="N488" i="31"/>
  <c r="N487" i="31"/>
  <c r="N486" i="31"/>
  <c r="N485" i="31"/>
  <c r="N484" i="31"/>
  <c r="N483" i="31"/>
  <c r="N482" i="31"/>
  <c r="N481" i="31"/>
  <c r="N480" i="31"/>
  <c r="N479" i="31"/>
  <c r="N478" i="31"/>
  <c r="N477" i="31"/>
  <c r="N476" i="31"/>
  <c r="N475" i="31"/>
  <c r="N474" i="31"/>
  <c r="N473" i="31"/>
  <c r="N472" i="31"/>
  <c r="N471" i="31"/>
  <c r="N470" i="31"/>
  <c r="N469" i="31"/>
  <c r="N468" i="31"/>
  <c r="N467" i="31"/>
  <c r="N466" i="31"/>
  <c r="N465" i="31"/>
  <c r="N464" i="31"/>
  <c r="N463" i="31"/>
  <c r="N462" i="31"/>
  <c r="N461" i="31"/>
  <c r="N460" i="31"/>
  <c r="N459" i="31"/>
  <c r="N458" i="31"/>
  <c r="N457" i="31"/>
  <c r="N456" i="31"/>
  <c r="N455" i="31"/>
  <c r="N454" i="31"/>
  <c r="N453" i="31"/>
  <c r="N452" i="31"/>
  <c r="N451" i="31"/>
  <c r="N450" i="31"/>
  <c r="N449" i="31"/>
  <c r="N448" i="31"/>
  <c r="N447" i="31"/>
  <c r="N446" i="31"/>
  <c r="N445" i="31"/>
  <c r="N444" i="31"/>
  <c r="N443" i="31"/>
  <c r="N442" i="31"/>
  <c r="N441" i="31"/>
  <c r="N440" i="31"/>
  <c r="N439" i="31"/>
  <c r="N438" i="31"/>
  <c r="N437" i="31"/>
  <c r="N436" i="31"/>
  <c r="N435" i="31"/>
  <c r="N434" i="31"/>
  <c r="N433" i="31"/>
  <c r="N432" i="31"/>
  <c r="N431" i="31"/>
  <c r="N430" i="31"/>
  <c r="N429" i="31"/>
  <c r="N428" i="31"/>
  <c r="N427" i="31"/>
  <c r="N426" i="31"/>
  <c r="N425" i="31"/>
  <c r="N424" i="31"/>
  <c r="N423" i="31"/>
  <c r="N422" i="31"/>
  <c r="N421" i="31"/>
  <c r="N420" i="31"/>
  <c r="N419" i="31"/>
  <c r="N418" i="31"/>
  <c r="N417" i="31"/>
  <c r="N416" i="31"/>
  <c r="N415" i="31"/>
  <c r="N414" i="31"/>
  <c r="N413" i="31"/>
  <c r="N412" i="31"/>
  <c r="N411" i="31"/>
  <c r="N410" i="31"/>
  <c r="N409" i="31"/>
  <c r="N408" i="31"/>
  <c r="N407" i="31"/>
  <c r="N406" i="31"/>
  <c r="N405" i="31"/>
  <c r="N404" i="31"/>
  <c r="N403" i="31"/>
  <c r="N402" i="31"/>
  <c r="N401" i="31"/>
  <c r="N400" i="31"/>
  <c r="N399" i="31"/>
  <c r="N398" i="31"/>
  <c r="N397" i="31"/>
  <c r="N396" i="31"/>
  <c r="N395" i="31"/>
  <c r="N394" i="31"/>
  <c r="N393" i="31"/>
  <c r="N392" i="31"/>
  <c r="N391" i="31"/>
  <c r="N390" i="31"/>
  <c r="N389" i="31"/>
  <c r="N388" i="31"/>
  <c r="N387" i="31"/>
  <c r="N386" i="31"/>
  <c r="N385" i="31"/>
  <c r="N384" i="31"/>
  <c r="N383" i="31"/>
  <c r="N382" i="31"/>
  <c r="N381" i="31"/>
  <c r="N380" i="31"/>
  <c r="N379" i="31"/>
  <c r="N378" i="31"/>
  <c r="N377" i="31"/>
  <c r="N376" i="31"/>
  <c r="N375" i="31"/>
  <c r="N374" i="31"/>
  <c r="N373" i="31"/>
  <c r="N372" i="31"/>
  <c r="N371" i="31"/>
  <c r="N370" i="31"/>
  <c r="N369" i="31"/>
  <c r="N368" i="31"/>
  <c r="N367" i="31"/>
  <c r="N366" i="31"/>
  <c r="N365" i="31"/>
  <c r="N364" i="31"/>
  <c r="N363" i="31"/>
  <c r="N362" i="31"/>
  <c r="N361" i="31"/>
  <c r="N360" i="31"/>
  <c r="N359" i="31"/>
  <c r="N358" i="31"/>
  <c r="N357" i="31"/>
  <c r="N356" i="31"/>
  <c r="N355" i="31"/>
  <c r="N354" i="31"/>
  <c r="N353" i="31"/>
  <c r="N352" i="31"/>
  <c r="N351" i="31"/>
  <c r="N350" i="31"/>
  <c r="N349" i="31"/>
  <c r="N348" i="31"/>
  <c r="N347" i="31"/>
  <c r="N346" i="31"/>
  <c r="N345" i="31"/>
  <c r="N344" i="31"/>
  <c r="N343" i="31"/>
  <c r="N342" i="31"/>
  <c r="N341" i="31"/>
  <c r="N340" i="31"/>
  <c r="N339" i="31"/>
  <c r="N338" i="31"/>
  <c r="N337" i="31"/>
  <c r="N336" i="31"/>
  <c r="N335" i="31"/>
  <c r="N334" i="31"/>
  <c r="N333" i="31"/>
  <c r="N332" i="31"/>
  <c r="N331" i="31"/>
  <c r="N330" i="31"/>
  <c r="N329" i="31"/>
  <c r="N328" i="31"/>
  <c r="N327" i="31"/>
  <c r="N326" i="31"/>
  <c r="N325" i="31"/>
  <c r="N324" i="31"/>
  <c r="N323" i="31"/>
  <c r="N322" i="31"/>
  <c r="N321" i="31"/>
  <c r="N320" i="31"/>
  <c r="N319" i="31"/>
  <c r="N318" i="31"/>
  <c r="N317" i="31"/>
  <c r="N316" i="31"/>
  <c r="N315" i="31"/>
  <c r="N314" i="31"/>
  <c r="N313" i="31"/>
  <c r="N312" i="31"/>
  <c r="N311" i="31"/>
  <c r="N310" i="31"/>
  <c r="N309" i="31"/>
  <c r="N308" i="31"/>
  <c r="N307" i="31"/>
  <c r="N306" i="31"/>
  <c r="N305" i="31"/>
  <c r="N304" i="31"/>
  <c r="N303" i="31"/>
  <c r="N302" i="31"/>
  <c r="N301" i="31"/>
  <c r="N300" i="31"/>
  <c r="N299" i="31"/>
  <c r="N298" i="31"/>
  <c r="N297" i="31"/>
  <c r="N296" i="31"/>
  <c r="N295" i="31"/>
  <c r="N294" i="31"/>
  <c r="N293" i="31"/>
  <c r="N292" i="31"/>
  <c r="N291" i="31"/>
  <c r="N290" i="31"/>
  <c r="N289" i="31"/>
  <c r="N288" i="31"/>
  <c r="N287" i="31"/>
  <c r="N286" i="31"/>
  <c r="N285" i="31"/>
  <c r="N284" i="31"/>
  <c r="N283" i="31"/>
  <c r="N282" i="31"/>
  <c r="N281" i="31"/>
  <c r="N280" i="31"/>
  <c r="N279" i="31"/>
  <c r="N278" i="31"/>
  <c r="N277" i="31"/>
  <c r="N276" i="31"/>
  <c r="N275" i="31"/>
  <c r="N274" i="31"/>
  <c r="N273" i="31"/>
  <c r="N272" i="31"/>
  <c r="N271" i="31"/>
  <c r="N270" i="31"/>
  <c r="N269" i="31"/>
  <c r="N268" i="31"/>
  <c r="N267" i="31"/>
  <c r="N266" i="31"/>
  <c r="N265" i="31"/>
  <c r="N264" i="31"/>
  <c r="N263" i="31"/>
  <c r="N262" i="31"/>
  <c r="N261" i="31"/>
  <c r="N260" i="31"/>
  <c r="N259" i="31"/>
  <c r="N258" i="31"/>
  <c r="N257" i="31"/>
  <c r="N256" i="31"/>
  <c r="N255" i="31"/>
  <c r="N254" i="31"/>
  <c r="N253" i="31"/>
  <c r="N252" i="31"/>
  <c r="N251" i="31"/>
  <c r="N250" i="31"/>
  <c r="N249" i="31"/>
  <c r="N248" i="31"/>
  <c r="N247" i="31"/>
  <c r="N246" i="31"/>
  <c r="N245" i="31"/>
  <c r="N244" i="31"/>
  <c r="N243" i="31"/>
  <c r="N242" i="31"/>
  <c r="N241" i="31"/>
  <c r="N240" i="31"/>
  <c r="N239" i="31"/>
  <c r="N238" i="31"/>
  <c r="N237" i="31"/>
  <c r="N236" i="31"/>
  <c r="N235" i="31"/>
  <c r="N234" i="31"/>
  <c r="N233" i="31"/>
  <c r="N232" i="31"/>
  <c r="N231" i="31"/>
  <c r="N230" i="31"/>
  <c r="N229" i="31"/>
  <c r="N228" i="31"/>
  <c r="N227" i="31"/>
  <c r="N226" i="31"/>
  <c r="N225" i="31"/>
  <c r="N224" i="31"/>
  <c r="N223" i="31"/>
  <c r="N222" i="31"/>
  <c r="N221" i="31"/>
  <c r="N220" i="31"/>
  <c r="N219" i="31"/>
  <c r="N218" i="31"/>
  <c r="N217" i="31"/>
  <c r="N216" i="31"/>
  <c r="N215" i="31"/>
  <c r="N214" i="31"/>
  <c r="N213" i="31"/>
  <c r="N212" i="31"/>
  <c r="N211" i="31"/>
  <c r="N210" i="31"/>
  <c r="N209" i="31"/>
  <c r="N208" i="31"/>
  <c r="N207" i="31"/>
  <c r="N206" i="31"/>
  <c r="N205" i="31"/>
  <c r="N204" i="31"/>
  <c r="N203" i="31"/>
  <c r="N202" i="31"/>
  <c r="N201" i="31"/>
  <c r="N200" i="31"/>
  <c r="N199" i="31"/>
  <c r="N198" i="31"/>
  <c r="N197" i="31"/>
  <c r="N196" i="31"/>
  <c r="N195" i="31"/>
  <c r="N194" i="31"/>
  <c r="N193" i="31"/>
  <c r="N192" i="31"/>
  <c r="N191" i="31"/>
  <c r="N190" i="31"/>
  <c r="N189" i="31"/>
  <c r="N188" i="31"/>
  <c r="N187" i="31"/>
  <c r="N186" i="31"/>
  <c r="N185" i="31"/>
  <c r="N184" i="31"/>
  <c r="N183" i="31"/>
  <c r="N182" i="31"/>
  <c r="N181" i="31"/>
  <c r="N180" i="31"/>
  <c r="N179" i="31"/>
  <c r="N178" i="31"/>
  <c r="N177" i="31"/>
  <c r="N176" i="31"/>
  <c r="N175" i="31"/>
  <c r="N174" i="31"/>
  <c r="N173" i="31"/>
  <c r="N172" i="31"/>
  <c r="N171" i="31"/>
  <c r="N170" i="31"/>
  <c r="N169" i="31"/>
  <c r="N168" i="31"/>
  <c r="N167" i="31"/>
  <c r="N166" i="31"/>
  <c r="N165" i="31"/>
  <c r="N164" i="31"/>
  <c r="N163" i="31"/>
  <c r="N162" i="31"/>
  <c r="N161" i="31"/>
  <c r="N160" i="31"/>
  <c r="N159" i="31"/>
  <c r="N158" i="31"/>
  <c r="N157" i="31"/>
  <c r="N156" i="31"/>
  <c r="N155" i="31"/>
  <c r="N154" i="31"/>
  <c r="N153" i="31"/>
  <c r="N152" i="31"/>
  <c r="N151" i="31"/>
  <c r="N150" i="31"/>
  <c r="N149" i="31"/>
  <c r="N148" i="31"/>
  <c r="N147" i="31"/>
  <c r="N146" i="31"/>
  <c r="N145" i="31"/>
  <c r="N144" i="31"/>
  <c r="N143" i="31"/>
  <c r="N142" i="31"/>
  <c r="N141" i="31"/>
  <c r="N140" i="31"/>
  <c r="N139" i="31"/>
  <c r="N138" i="31"/>
  <c r="N137" i="31"/>
  <c r="N136" i="31"/>
  <c r="N135" i="31"/>
  <c r="N134" i="31"/>
  <c r="N133" i="31"/>
  <c r="N132" i="31"/>
  <c r="N131" i="31"/>
  <c r="N130" i="31"/>
  <c r="N129" i="31"/>
  <c r="N128" i="31"/>
  <c r="N127" i="31"/>
  <c r="N126" i="31"/>
  <c r="N125" i="31"/>
  <c r="N124" i="31"/>
  <c r="N123" i="31"/>
  <c r="N122" i="31"/>
  <c r="N121" i="31"/>
  <c r="N120" i="31"/>
  <c r="N119" i="31"/>
  <c r="N118" i="31"/>
  <c r="N117" i="31"/>
  <c r="N116" i="31"/>
  <c r="N115" i="31"/>
  <c r="N114" i="31"/>
  <c r="N113" i="31"/>
  <c r="N112" i="31"/>
  <c r="N111" i="31"/>
  <c r="N110" i="31"/>
  <c r="N109" i="31"/>
  <c r="N108" i="31"/>
  <c r="N107" i="31"/>
  <c r="N106" i="31"/>
  <c r="N105" i="31"/>
  <c r="N104" i="31"/>
  <c r="N103" i="31"/>
  <c r="N102" i="31"/>
  <c r="N101" i="31"/>
  <c r="N100" i="31"/>
  <c r="N99" i="31"/>
  <c r="N98" i="31"/>
  <c r="N97" i="31"/>
  <c r="N96" i="31"/>
  <c r="N95" i="31"/>
  <c r="N94" i="31"/>
  <c r="N93" i="31"/>
  <c r="N92" i="31"/>
  <c r="N91" i="31"/>
  <c r="N90" i="31"/>
  <c r="N89" i="31"/>
  <c r="N88" i="31"/>
  <c r="N87" i="31"/>
  <c r="N86" i="31"/>
  <c r="N85" i="31"/>
  <c r="N84" i="31"/>
  <c r="N83" i="31"/>
  <c r="N82" i="31"/>
  <c r="N81" i="31"/>
  <c r="N80" i="31"/>
  <c r="N79" i="31"/>
  <c r="N78" i="31"/>
  <c r="N77" i="31"/>
  <c r="N76" i="31"/>
  <c r="N75" i="31"/>
  <c r="N74" i="31"/>
  <c r="N73" i="31"/>
  <c r="N72" i="31"/>
  <c r="N71" i="31"/>
  <c r="N70" i="31"/>
  <c r="N69" i="31"/>
  <c r="N68" i="31"/>
  <c r="N67" i="31"/>
  <c r="N66" i="31"/>
  <c r="N65" i="31"/>
  <c r="N64" i="31"/>
  <c r="N63" i="31"/>
  <c r="N62" i="31"/>
  <c r="N61" i="31"/>
  <c r="N60" i="31"/>
  <c r="N59" i="31"/>
  <c r="N58" i="31"/>
  <c r="N57" i="31"/>
  <c r="N56" i="31"/>
  <c r="N55" i="31"/>
  <c r="N54" i="31"/>
  <c r="N53" i="31"/>
  <c r="N52" i="31"/>
  <c r="N51" i="31"/>
  <c r="N50" i="31"/>
  <c r="N49" i="31"/>
  <c r="N48" i="31"/>
  <c r="N47" i="31"/>
  <c r="N46" i="31"/>
  <c r="N45" i="31"/>
  <c r="N44" i="31"/>
  <c r="N43" i="31"/>
  <c r="N42" i="31"/>
  <c r="N41" i="31"/>
  <c r="N40" i="31"/>
  <c r="N39" i="31"/>
  <c r="N38" i="31"/>
  <c r="N37" i="31"/>
  <c r="N36" i="31"/>
  <c r="N35" i="31"/>
  <c r="N34" i="31"/>
  <c r="N33" i="31"/>
  <c r="N32" i="31"/>
  <c r="N31" i="31"/>
  <c r="N30" i="31"/>
  <c r="N29" i="31"/>
  <c r="N28" i="31"/>
  <c r="N27" i="31"/>
  <c r="N26" i="31"/>
  <c r="N25" i="31"/>
  <c r="N24" i="31"/>
  <c r="N23" i="31"/>
  <c r="N22" i="31"/>
  <c r="N21" i="31"/>
  <c r="N20" i="31"/>
  <c r="N19" i="31"/>
  <c r="N18" i="31"/>
  <c r="N17" i="31"/>
  <c r="N16" i="31"/>
  <c r="N15" i="31"/>
  <c r="N14" i="31"/>
  <c r="N13" i="31"/>
  <c r="N12" i="31"/>
  <c r="N11" i="31"/>
  <c r="N10" i="31"/>
  <c r="N9" i="31"/>
  <c r="N8" i="31"/>
  <c r="N7" i="31"/>
  <c r="N6" i="31"/>
  <c r="N5" i="31"/>
  <c r="N4" i="31"/>
  <c r="N3" i="31"/>
  <c r="N2" i="31"/>
  <c r="B661" i="25"/>
  <c r="B660" i="25"/>
  <c r="B659" i="25"/>
  <c r="B658" i="25"/>
  <c r="B657" i="25"/>
  <c r="B656" i="25"/>
  <c r="B655" i="25"/>
  <c r="B654" i="25"/>
  <c r="B653" i="25"/>
  <c r="B652" i="25"/>
  <c r="B651" i="25"/>
  <c r="B650" i="25"/>
  <c r="B649" i="25"/>
  <c r="B648" i="25"/>
  <c r="B647" i="25"/>
  <c r="B646" i="25"/>
  <c r="B645" i="25"/>
  <c r="B644" i="25"/>
  <c r="B643" i="25"/>
  <c r="B642" i="25"/>
  <c r="B641" i="25"/>
  <c r="B640" i="25"/>
  <c r="B639" i="25"/>
  <c r="B638" i="25"/>
  <c r="B637" i="25"/>
  <c r="B636" i="25"/>
  <c r="B635" i="25"/>
  <c r="B634" i="25"/>
  <c r="B633" i="25"/>
  <c r="B632" i="25"/>
  <c r="B631" i="25"/>
  <c r="B630" i="25"/>
  <c r="B629" i="25"/>
  <c r="B628" i="25"/>
  <c r="B627" i="25"/>
  <c r="B626" i="25"/>
  <c r="B625" i="25"/>
  <c r="B624" i="25"/>
  <c r="B623" i="25"/>
  <c r="B622" i="25"/>
  <c r="B621" i="25"/>
  <c r="B620" i="25"/>
  <c r="B619" i="25"/>
  <c r="B618" i="25"/>
  <c r="B617" i="25"/>
  <c r="B616" i="25"/>
  <c r="B615" i="25"/>
  <c r="B614" i="25"/>
  <c r="B613" i="25"/>
  <c r="B612" i="25"/>
  <c r="B611" i="25"/>
  <c r="B610" i="25"/>
  <c r="B609" i="25"/>
  <c r="B608" i="25"/>
  <c r="B607" i="25"/>
  <c r="B606" i="25"/>
  <c r="B605" i="25"/>
  <c r="B604" i="25"/>
  <c r="B603" i="25"/>
  <c r="B602" i="25"/>
  <c r="B601" i="25"/>
  <c r="B600" i="25"/>
  <c r="B599" i="25"/>
  <c r="B598" i="25"/>
  <c r="B597" i="25"/>
  <c r="B596" i="25"/>
  <c r="B595" i="25"/>
  <c r="B594" i="25"/>
  <c r="B593" i="25"/>
  <c r="B592" i="25"/>
  <c r="B591" i="25"/>
  <c r="B590" i="25"/>
  <c r="B589" i="25"/>
  <c r="B588" i="25"/>
  <c r="B587" i="25"/>
  <c r="B586" i="25"/>
  <c r="B585" i="25"/>
  <c r="B584" i="25"/>
  <c r="B583" i="25"/>
  <c r="B582" i="25"/>
  <c r="B581" i="25"/>
  <c r="B580" i="25"/>
  <c r="B579" i="25"/>
  <c r="B578" i="25"/>
  <c r="B577" i="25"/>
  <c r="B576" i="25"/>
  <c r="B575" i="25"/>
  <c r="B574" i="25"/>
  <c r="B573" i="25"/>
  <c r="B572" i="25"/>
  <c r="B571" i="25"/>
  <c r="B570" i="25"/>
  <c r="B569" i="25"/>
  <c r="B568" i="25"/>
  <c r="B567" i="25"/>
  <c r="B566" i="25"/>
  <c r="B565" i="25"/>
  <c r="B564" i="25"/>
  <c r="B563" i="25"/>
  <c r="B562" i="25"/>
  <c r="B561" i="25"/>
  <c r="B560" i="25"/>
  <c r="B559" i="25"/>
  <c r="B558" i="25"/>
  <c r="B557" i="25"/>
  <c r="B556" i="25"/>
  <c r="B555" i="25"/>
  <c r="B554" i="25"/>
  <c r="B553" i="25"/>
  <c r="B552" i="25"/>
  <c r="B551" i="25"/>
  <c r="B550" i="25"/>
  <c r="B549" i="25"/>
  <c r="B548" i="25"/>
  <c r="B547" i="25"/>
  <c r="B546" i="25"/>
  <c r="B545" i="25"/>
  <c r="B544" i="25"/>
  <c r="B543" i="25"/>
  <c r="B542" i="25"/>
  <c r="B541" i="25"/>
  <c r="B540" i="25"/>
  <c r="B539" i="25"/>
  <c r="B538" i="25"/>
  <c r="B537" i="25"/>
  <c r="B536" i="25"/>
  <c r="B535" i="25"/>
  <c r="B534" i="25"/>
  <c r="B533" i="25"/>
  <c r="B532" i="25"/>
  <c r="B531" i="25"/>
  <c r="B530" i="25"/>
  <c r="B529" i="25"/>
  <c r="B528" i="25"/>
  <c r="B527" i="25"/>
  <c r="B526" i="25"/>
  <c r="B525" i="25"/>
  <c r="B524" i="25"/>
  <c r="B523" i="25"/>
  <c r="B522" i="25"/>
  <c r="B521" i="25"/>
  <c r="B520" i="25"/>
  <c r="B519" i="25"/>
  <c r="B518" i="25"/>
  <c r="B517" i="25"/>
  <c r="B516" i="25"/>
  <c r="B515" i="25"/>
  <c r="B514" i="25"/>
  <c r="B513" i="25"/>
  <c r="B512" i="25"/>
  <c r="B511" i="25"/>
  <c r="B510" i="25"/>
  <c r="B509" i="25"/>
  <c r="B508" i="25"/>
  <c r="B507" i="25"/>
  <c r="B506" i="25"/>
  <c r="B505" i="25"/>
  <c r="B504" i="25"/>
  <c r="B503" i="25"/>
  <c r="B502" i="25"/>
  <c r="B501" i="25"/>
  <c r="B500" i="25"/>
  <c r="B499" i="25"/>
  <c r="B498" i="25"/>
  <c r="B497" i="25"/>
  <c r="B496" i="25"/>
  <c r="B495" i="25"/>
  <c r="B494" i="25"/>
  <c r="B493" i="25"/>
  <c r="B492" i="25"/>
  <c r="B491" i="25"/>
  <c r="B490" i="25"/>
  <c r="B489" i="25"/>
  <c r="B488" i="25"/>
  <c r="B487" i="25"/>
  <c r="B486" i="25"/>
  <c r="B485" i="25"/>
  <c r="B484" i="25"/>
  <c r="B483" i="25"/>
  <c r="B482" i="25"/>
  <c r="B481" i="25"/>
  <c r="B480" i="25"/>
  <c r="B479" i="25"/>
  <c r="B478" i="25"/>
  <c r="B477" i="25"/>
  <c r="B476" i="25"/>
  <c r="B475" i="25"/>
  <c r="B474" i="25"/>
  <c r="B473" i="25"/>
  <c r="B472" i="25"/>
  <c r="B471" i="25"/>
  <c r="B470" i="25"/>
  <c r="B469" i="25"/>
  <c r="B468" i="25"/>
  <c r="B467" i="25"/>
  <c r="B466" i="25"/>
  <c r="B465" i="25"/>
  <c r="B464" i="25"/>
  <c r="B463" i="25"/>
  <c r="B462" i="25"/>
  <c r="B461" i="25"/>
  <c r="B460" i="25"/>
  <c r="B459" i="25"/>
  <c r="B458" i="25"/>
  <c r="B457" i="25"/>
  <c r="B456" i="25"/>
  <c r="B455" i="25"/>
  <c r="B454" i="25"/>
  <c r="B453" i="25"/>
  <c r="B452" i="25"/>
  <c r="B451" i="25"/>
  <c r="B450" i="25"/>
  <c r="B449" i="25"/>
  <c r="B448" i="25"/>
  <c r="B447" i="25"/>
  <c r="B446" i="25"/>
  <c r="B445" i="25"/>
  <c r="B444" i="25"/>
  <c r="B443" i="25"/>
  <c r="B44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B5" i="25"/>
  <c r="B4" i="25"/>
  <c r="B3" i="25"/>
  <c r="B2" i="25"/>
  <c r="P77" i="37"/>
  <c r="P78" i="37"/>
  <c r="P79" i="37"/>
  <c r="P80" i="37"/>
  <c r="P81" i="37"/>
  <c r="P82" i="37"/>
  <c r="P83" i="37"/>
  <c r="P84" i="37"/>
  <c r="P85" i="37"/>
  <c r="P86" i="37"/>
  <c r="P87" i="37"/>
  <c r="P88" i="37"/>
  <c r="P89" i="37"/>
  <c r="P90" i="37"/>
  <c r="P91" i="37"/>
  <c r="P92" i="37"/>
  <c r="P93" i="37"/>
  <c r="P94" i="37"/>
  <c r="P95" i="37"/>
  <c r="P96" i="37"/>
  <c r="P97" i="37"/>
  <c r="P98" i="37"/>
  <c r="P99" i="37"/>
  <c r="P100" i="37"/>
  <c r="P101" i="37"/>
  <c r="P102" i="37"/>
  <c r="P103" i="37"/>
  <c r="P104" i="37"/>
  <c r="P105" i="37"/>
  <c r="P106" i="37"/>
  <c r="P107" i="37"/>
  <c r="P108" i="37"/>
  <c r="P109" i="37"/>
  <c r="P110" i="37"/>
  <c r="P111" i="37"/>
  <c r="P112" i="37"/>
  <c r="P113" i="37"/>
  <c r="P114" i="37"/>
  <c r="P115" i="37"/>
  <c r="P116" i="37"/>
  <c r="P117" i="37"/>
  <c r="P118" i="37"/>
  <c r="P119" i="37"/>
  <c r="P120" i="37"/>
  <c r="P121" i="37"/>
  <c r="P122" i="37"/>
  <c r="P123" i="37"/>
  <c r="P124" i="37"/>
  <c r="P125" i="37"/>
  <c r="P126" i="37"/>
  <c r="P127" i="37"/>
  <c r="P128" i="37"/>
  <c r="P129" i="37"/>
  <c r="P130" i="37"/>
  <c r="P131" i="37"/>
  <c r="P132" i="37"/>
  <c r="P133" i="37"/>
  <c r="P134" i="37"/>
  <c r="P135" i="37"/>
  <c r="P136" i="37"/>
  <c r="P137" i="37"/>
  <c r="P138" i="37"/>
  <c r="P139" i="37"/>
  <c r="P140" i="37"/>
  <c r="P141" i="37"/>
  <c r="P142" i="37"/>
  <c r="P143" i="37"/>
  <c r="P144" i="37"/>
  <c r="P145" i="37"/>
  <c r="P146" i="37"/>
  <c r="P147" i="37"/>
  <c r="P148" i="37"/>
  <c r="P149" i="37"/>
  <c r="P150" i="37"/>
  <c r="P151" i="37"/>
  <c r="P152" i="37"/>
  <c r="P153" i="37"/>
  <c r="P154" i="37"/>
  <c r="P155" i="37"/>
  <c r="P156" i="37"/>
  <c r="P157" i="37"/>
  <c r="P158" i="37"/>
  <c r="P159" i="37"/>
  <c r="P160" i="37"/>
  <c r="P161" i="37"/>
  <c r="P162" i="37"/>
  <c r="P163" i="37"/>
  <c r="P164" i="37"/>
  <c r="P165" i="37"/>
  <c r="P166" i="37"/>
  <c r="P167" i="37"/>
  <c r="P168" i="37"/>
  <c r="P169" i="37"/>
  <c r="P170" i="37"/>
  <c r="P171" i="37"/>
  <c r="P172" i="37"/>
  <c r="P173" i="37"/>
  <c r="P174" i="37"/>
  <c r="P175" i="37"/>
  <c r="P176" i="37"/>
  <c r="P177" i="37"/>
  <c r="P178" i="37"/>
  <c r="P179" i="37"/>
  <c r="P180" i="37"/>
  <c r="P181" i="37"/>
  <c r="P182" i="37"/>
  <c r="P183" i="37"/>
  <c r="P184" i="37"/>
  <c r="P185" i="37"/>
  <c r="P186" i="37"/>
  <c r="P187" i="37"/>
  <c r="P188" i="37"/>
  <c r="P189" i="37"/>
  <c r="P190" i="37"/>
  <c r="P191" i="37"/>
  <c r="P192" i="37"/>
  <c r="P193" i="37"/>
  <c r="P194" i="37"/>
  <c r="P195" i="37"/>
  <c r="P196" i="37"/>
  <c r="P197" i="37"/>
  <c r="P198" i="37"/>
  <c r="P199" i="37"/>
  <c r="P200" i="37"/>
  <c r="P201" i="37"/>
  <c r="P202" i="37"/>
  <c r="P203" i="37"/>
  <c r="P204" i="37"/>
  <c r="P205" i="37"/>
  <c r="P206" i="37"/>
  <c r="P207" i="37"/>
  <c r="P208" i="37"/>
  <c r="P209" i="37"/>
  <c r="P210" i="37"/>
  <c r="P211" i="37"/>
  <c r="P212" i="37"/>
  <c r="P213" i="37"/>
  <c r="P214" i="37"/>
  <c r="P215" i="37"/>
  <c r="P216" i="37"/>
  <c r="P217" i="37"/>
  <c r="P218" i="37"/>
  <c r="P219" i="37"/>
  <c r="P220" i="37"/>
  <c r="P221" i="37"/>
  <c r="P222" i="37"/>
  <c r="P223" i="37"/>
  <c r="P224" i="37"/>
  <c r="P225" i="37"/>
  <c r="P226" i="37"/>
  <c r="P227" i="37"/>
  <c r="P228" i="37"/>
  <c r="P229" i="37"/>
  <c r="P230" i="37"/>
  <c r="P231" i="37"/>
  <c r="P232" i="37"/>
  <c r="P233" i="37"/>
  <c r="P234" i="37"/>
  <c r="P235" i="37"/>
  <c r="P236" i="37"/>
  <c r="P237" i="37"/>
  <c r="P238" i="37"/>
  <c r="P239" i="37"/>
  <c r="P240" i="37"/>
  <c r="P241" i="37"/>
  <c r="P242" i="37"/>
  <c r="P243" i="37"/>
  <c r="P244" i="37"/>
  <c r="P245" i="37"/>
  <c r="P246" i="37"/>
  <c r="P247" i="37"/>
  <c r="P248" i="37"/>
  <c r="P249" i="37"/>
  <c r="P250" i="37"/>
  <c r="P251" i="37"/>
  <c r="P252" i="37"/>
  <c r="P253" i="37"/>
  <c r="P254" i="37"/>
  <c r="P255" i="37"/>
  <c r="P256" i="37"/>
  <c r="P257" i="37"/>
  <c r="P258" i="37"/>
  <c r="P259" i="37"/>
  <c r="P260" i="37"/>
  <c r="P261" i="37"/>
  <c r="P262" i="37"/>
  <c r="P263" i="37"/>
  <c r="P264" i="37"/>
  <c r="P265" i="37"/>
  <c r="P266" i="37"/>
  <c r="P267" i="37"/>
  <c r="P268" i="37"/>
  <c r="P269" i="37"/>
  <c r="P270" i="37"/>
  <c r="P271" i="37"/>
  <c r="P272" i="37"/>
  <c r="P273" i="37"/>
  <c r="P274" i="37"/>
  <c r="P275" i="37"/>
  <c r="P276" i="37"/>
  <c r="P277" i="37"/>
  <c r="P278" i="37"/>
  <c r="P279" i="37"/>
  <c r="P280" i="37"/>
  <c r="P281" i="37"/>
  <c r="P282" i="37"/>
  <c r="P283" i="37"/>
  <c r="P284" i="37"/>
  <c r="P285" i="37"/>
  <c r="P286" i="37"/>
  <c r="P287" i="37"/>
  <c r="P288" i="37"/>
  <c r="P289" i="37"/>
  <c r="P290" i="37"/>
  <c r="P291" i="37"/>
  <c r="P292" i="37"/>
  <c r="P293" i="37"/>
  <c r="P294" i="37"/>
  <c r="P295" i="37"/>
  <c r="P296" i="37"/>
  <c r="P297" i="37"/>
  <c r="P298" i="37"/>
  <c r="P299" i="37"/>
  <c r="P300" i="37"/>
  <c r="P301" i="37"/>
  <c r="P302" i="37"/>
  <c r="P303" i="37"/>
  <c r="P304" i="37"/>
  <c r="P305" i="37"/>
  <c r="P306" i="37"/>
  <c r="P307" i="37"/>
  <c r="P308" i="37"/>
  <c r="P309" i="37"/>
  <c r="P310" i="37"/>
  <c r="P311" i="37"/>
  <c r="P312" i="37"/>
  <c r="P313" i="37"/>
  <c r="P314" i="37"/>
  <c r="P315" i="37"/>
  <c r="P316" i="37"/>
  <c r="P317" i="37"/>
  <c r="P318" i="37"/>
  <c r="P319" i="37"/>
  <c r="P320" i="37"/>
  <c r="P321" i="37"/>
  <c r="P322" i="37"/>
  <c r="P323" i="37"/>
  <c r="P324" i="37"/>
  <c r="P325" i="37"/>
  <c r="P326" i="37"/>
  <c r="P327" i="37"/>
  <c r="P328" i="37"/>
  <c r="P329" i="37"/>
  <c r="P330" i="37"/>
  <c r="P331" i="37"/>
  <c r="P332" i="37"/>
  <c r="P333" i="37"/>
  <c r="P334" i="37"/>
  <c r="P335" i="37"/>
  <c r="P336" i="37"/>
  <c r="P337" i="37"/>
  <c r="P338" i="37"/>
  <c r="P339" i="37"/>
  <c r="P340" i="37"/>
  <c r="P341" i="37"/>
  <c r="P342" i="37"/>
  <c r="P343" i="37"/>
  <c r="P344" i="37"/>
  <c r="P345" i="37"/>
  <c r="P346" i="37"/>
  <c r="P347" i="37"/>
  <c r="P348" i="37"/>
  <c r="P349" i="37"/>
  <c r="P350" i="37"/>
  <c r="P351" i="37"/>
  <c r="P352" i="37"/>
  <c r="P353" i="37"/>
  <c r="P354" i="37"/>
  <c r="P355" i="37"/>
  <c r="P356" i="37"/>
  <c r="P357" i="37"/>
  <c r="P358" i="37"/>
  <c r="P359" i="37"/>
  <c r="P360" i="37"/>
  <c r="P361" i="37"/>
  <c r="P362" i="37"/>
  <c r="P363" i="37"/>
  <c r="P364" i="37"/>
  <c r="P365" i="37"/>
  <c r="P366" i="37"/>
  <c r="P367" i="37"/>
  <c r="P368" i="37"/>
  <c r="P369" i="37"/>
  <c r="P370" i="37"/>
  <c r="P371" i="37"/>
  <c r="P372" i="37"/>
  <c r="P373" i="37"/>
  <c r="P374" i="37"/>
  <c r="P375" i="37"/>
  <c r="P376" i="37"/>
  <c r="P377" i="37"/>
  <c r="P378" i="37"/>
  <c r="P379" i="37"/>
  <c r="P380" i="37"/>
  <c r="P381" i="37"/>
  <c r="P382" i="37"/>
  <c r="P383" i="37"/>
  <c r="P384" i="37"/>
  <c r="P385" i="37"/>
  <c r="P386" i="37"/>
  <c r="P387" i="37"/>
  <c r="P388" i="37"/>
  <c r="P389" i="37"/>
  <c r="P390" i="37"/>
  <c r="P391" i="37"/>
  <c r="P392" i="37"/>
  <c r="P393" i="37"/>
  <c r="P394" i="37"/>
  <c r="P395" i="37"/>
  <c r="P396" i="37"/>
  <c r="P397" i="37"/>
  <c r="P398" i="37"/>
  <c r="P399" i="37"/>
  <c r="P400" i="37"/>
  <c r="P401" i="37"/>
  <c r="P402" i="37"/>
  <c r="P403" i="37"/>
  <c r="P404" i="37"/>
  <c r="P405" i="37"/>
  <c r="P406" i="37"/>
  <c r="P407" i="37"/>
  <c r="P408" i="37"/>
  <c r="P409" i="37"/>
  <c r="P410" i="37"/>
  <c r="P411" i="37"/>
  <c r="P412" i="37"/>
  <c r="P413" i="37"/>
  <c r="P414" i="37"/>
  <c r="P415" i="37"/>
  <c r="P416" i="37"/>
  <c r="P417" i="37"/>
  <c r="P418" i="37"/>
  <c r="P419" i="37"/>
  <c r="P420" i="37"/>
  <c r="P421" i="37"/>
  <c r="P422" i="37"/>
  <c r="P423" i="37"/>
  <c r="P424" i="37"/>
  <c r="P425" i="37"/>
  <c r="P426" i="37"/>
  <c r="P427" i="37"/>
  <c r="P428" i="37"/>
  <c r="P429" i="37"/>
  <c r="P430" i="37"/>
  <c r="P431" i="37"/>
  <c r="P432" i="37"/>
  <c r="P433" i="37"/>
  <c r="P434" i="37"/>
  <c r="P435" i="37"/>
  <c r="P436" i="37"/>
  <c r="P437" i="37"/>
  <c r="P438" i="37"/>
  <c r="P439" i="37"/>
  <c r="P440" i="37"/>
  <c r="P441" i="37"/>
  <c r="P442" i="37"/>
  <c r="P443" i="37"/>
  <c r="P444" i="37"/>
  <c r="P445" i="37"/>
  <c r="P446" i="37"/>
  <c r="P447" i="37"/>
  <c r="P448" i="37"/>
  <c r="P449" i="37"/>
  <c r="P450" i="37"/>
  <c r="P451" i="37"/>
  <c r="P452" i="37"/>
  <c r="P453" i="37"/>
  <c r="P454" i="37"/>
  <c r="P455" i="37"/>
  <c r="P456" i="37"/>
  <c r="P457" i="37"/>
  <c r="P458" i="37"/>
  <c r="P459" i="37"/>
  <c r="P460" i="37"/>
  <c r="P461" i="37"/>
  <c r="P462" i="37"/>
  <c r="P463" i="37"/>
  <c r="P464" i="37"/>
  <c r="P465" i="37"/>
  <c r="P466" i="37"/>
  <c r="P467" i="37"/>
  <c r="P468" i="37"/>
  <c r="P469" i="37"/>
  <c r="P470" i="37"/>
  <c r="P471" i="37"/>
  <c r="P472" i="37"/>
  <c r="P473" i="37"/>
  <c r="P474" i="37"/>
  <c r="P475" i="37"/>
  <c r="P476" i="37"/>
  <c r="P477" i="37"/>
  <c r="P478" i="37"/>
  <c r="P479" i="37"/>
  <c r="P480" i="37"/>
  <c r="P481" i="37"/>
  <c r="P482" i="37"/>
  <c r="P483" i="37"/>
  <c r="P484" i="37"/>
  <c r="P485" i="37"/>
  <c r="P486" i="37"/>
  <c r="P487" i="37"/>
  <c r="P488" i="37"/>
  <c r="P489" i="37"/>
  <c r="P490" i="37"/>
  <c r="P491" i="37"/>
  <c r="P492" i="37"/>
  <c r="P493" i="37"/>
  <c r="P494" i="37"/>
  <c r="P495" i="37"/>
  <c r="P496" i="37"/>
  <c r="P497" i="37"/>
  <c r="P498" i="37"/>
  <c r="P499" i="37"/>
  <c r="P500" i="37"/>
  <c r="P501" i="37"/>
  <c r="P502" i="37"/>
  <c r="P503" i="37"/>
  <c r="P504" i="37"/>
  <c r="P505" i="37"/>
  <c r="P506" i="37"/>
  <c r="P507" i="37"/>
  <c r="P508" i="37"/>
  <c r="P509" i="37"/>
  <c r="P510" i="37"/>
  <c r="P511" i="37"/>
  <c r="P512" i="37"/>
  <c r="P513" i="37"/>
  <c r="P514" i="37"/>
  <c r="P515" i="37"/>
  <c r="P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3" i="37"/>
  <c r="M154" i="37"/>
  <c r="M155" i="37"/>
  <c r="M156"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2" i="37"/>
  <c r="M213" i="37"/>
  <c r="M214" i="37"/>
  <c r="M215" i="37"/>
  <c r="M216" i="37"/>
  <c r="M217" i="37"/>
  <c r="M218" i="37"/>
  <c r="M219" i="37"/>
  <c r="M220" i="37"/>
  <c r="M221" i="37"/>
  <c r="M222" i="37"/>
  <c r="M223" i="37"/>
  <c r="M224" i="37"/>
  <c r="M225" i="37"/>
  <c r="M226" i="37"/>
  <c r="M227" i="37"/>
  <c r="M228" i="37"/>
  <c r="M229" i="37"/>
  <c r="M230" i="37"/>
  <c r="M231" i="37"/>
  <c r="M232" i="37"/>
  <c r="M233" i="37"/>
  <c r="M234" i="37"/>
  <c r="M235" i="37"/>
  <c r="M236" i="37"/>
  <c r="M237" i="37"/>
  <c r="M238" i="37"/>
  <c r="M239" i="37"/>
  <c r="M240" i="37"/>
  <c r="M241" i="37"/>
  <c r="M242" i="37"/>
  <c r="M243" i="37"/>
  <c r="M244" i="37"/>
  <c r="M245" i="37"/>
  <c r="M246" i="37"/>
  <c r="M247" i="37"/>
  <c r="M248" i="37"/>
  <c r="M249" i="37"/>
  <c r="M250" i="37"/>
  <c r="M251"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M277" i="37"/>
  <c r="M278" i="37"/>
  <c r="M279" i="37"/>
  <c r="M280" i="37"/>
  <c r="M281" i="37"/>
  <c r="M282" i="37"/>
  <c r="M283" i="37"/>
  <c r="M284" i="37"/>
  <c r="M285" i="37"/>
  <c r="M286" i="37"/>
  <c r="M287" i="37"/>
  <c r="M288" i="37"/>
  <c r="M289" i="37"/>
  <c r="M290" i="37"/>
  <c r="M291" i="37"/>
  <c r="M292" i="37"/>
  <c r="M293" i="37"/>
  <c r="M294" i="37"/>
  <c r="M295" i="37"/>
  <c r="M296" i="37"/>
  <c r="M297" i="37"/>
  <c r="M298" i="37"/>
  <c r="M299" i="37"/>
  <c r="M300" i="37"/>
  <c r="M301" i="37"/>
  <c r="M302" i="37"/>
  <c r="M303" i="37"/>
  <c r="M304" i="37"/>
  <c r="M305" i="37"/>
  <c r="M306" i="37"/>
  <c r="M307" i="37"/>
  <c r="M308" i="37"/>
  <c r="M309" i="37"/>
  <c r="M310" i="37"/>
  <c r="M311" i="37"/>
  <c r="M312" i="37"/>
  <c r="M313" i="37"/>
  <c r="M314" i="37"/>
  <c r="M315" i="37"/>
  <c r="M316" i="37"/>
  <c r="M317" i="37"/>
  <c r="M318" i="37"/>
  <c r="M319" i="37"/>
  <c r="M320" i="37"/>
  <c r="M321" i="37"/>
  <c r="M322" i="37"/>
  <c r="M323" i="37"/>
  <c r="M324" i="37"/>
  <c r="M325" i="37"/>
  <c r="M326" i="37"/>
  <c r="M327" i="37"/>
  <c r="M328" i="37"/>
  <c r="M329" i="37"/>
  <c r="M330" i="37"/>
  <c r="M331" i="37"/>
  <c r="M332" i="37"/>
  <c r="M333" i="37"/>
  <c r="M334" i="37"/>
  <c r="M335" i="37"/>
  <c r="M336" i="37"/>
  <c r="M337" i="37"/>
  <c r="M338" i="37"/>
  <c r="M339" i="37"/>
  <c r="M340" i="37"/>
  <c r="M341" i="37"/>
  <c r="M342" i="37"/>
  <c r="M343" i="37"/>
  <c r="M344" i="37"/>
  <c r="M345" i="37"/>
  <c r="M346" i="37"/>
  <c r="M347" i="37"/>
  <c r="M348" i="37"/>
  <c r="M349" i="37"/>
  <c r="M350" i="37"/>
  <c r="M351" i="37"/>
  <c r="M352" i="37"/>
  <c r="M353" i="37"/>
  <c r="M354" i="37"/>
  <c r="M355" i="37"/>
  <c r="M356" i="37"/>
  <c r="M357" i="37"/>
  <c r="M358" i="37"/>
  <c r="M359" i="37"/>
  <c r="M360" i="37"/>
  <c r="M361" i="37"/>
  <c r="M362" i="37"/>
  <c r="M363" i="37"/>
  <c r="M364" i="37"/>
  <c r="M365" i="37"/>
  <c r="M366" i="37"/>
  <c r="M367" i="37"/>
  <c r="M368" i="37"/>
  <c r="M369" i="37"/>
  <c r="M370" i="37"/>
  <c r="M371" i="37"/>
  <c r="M372" i="37"/>
  <c r="M373" i="37"/>
  <c r="M374" i="37"/>
  <c r="M375" i="37"/>
  <c r="M376" i="37"/>
  <c r="M377" i="37"/>
  <c r="M378" i="37"/>
  <c r="M379" i="37"/>
  <c r="M380" i="37"/>
  <c r="M381" i="37"/>
  <c r="M382" i="37"/>
  <c r="M383" i="37"/>
  <c r="M384" i="37"/>
  <c r="M385" i="37"/>
  <c r="M386" i="37"/>
  <c r="M387" i="37"/>
  <c r="M388" i="37"/>
  <c r="M389" i="37"/>
  <c r="M390" i="37"/>
  <c r="M391" i="37"/>
  <c r="M392" i="37"/>
  <c r="M393" i="37"/>
  <c r="M394" i="37"/>
  <c r="M395" i="37"/>
  <c r="M396" i="37"/>
  <c r="M397" i="37"/>
  <c r="M398" i="37"/>
  <c r="M399" i="37"/>
  <c r="M400" i="37"/>
  <c r="M401" i="37"/>
  <c r="M402" i="37"/>
  <c r="M403" i="37"/>
  <c r="M404" i="37"/>
  <c r="M405" i="37"/>
  <c r="M406" i="37"/>
  <c r="M407" i="37"/>
  <c r="M408" i="37"/>
  <c r="M409" i="37"/>
  <c r="M410" i="37"/>
  <c r="M411" i="37"/>
  <c r="M412" i="37"/>
  <c r="M413" i="37"/>
  <c r="M414" i="37"/>
  <c r="M415" i="37"/>
  <c r="M416" i="37"/>
  <c r="M417" i="37"/>
  <c r="M418" i="37"/>
  <c r="M419" i="37"/>
  <c r="M420" i="37"/>
  <c r="M421" i="37"/>
  <c r="M422" i="37"/>
  <c r="M423" i="37"/>
  <c r="M424" i="37"/>
  <c r="M425" i="37"/>
  <c r="M426" i="37"/>
  <c r="M427" i="37"/>
  <c r="M428" i="37"/>
  <c r="M429" i="37"/>
  <c r="M430" i="37"/>
  <c r="M431" i="37"/>
  <c r="M432" i="37"/>
  <c r="M433" i="37"/>
  <c r="M434" i="37"/>
  <c r="M435" i="37"/>
  <c r="M436" i="37"/>
  <c r="M437" i="37"/>
  <c r="M438" i="37"/>
  <c r="M439" i="37"/>
  <c r="M440" i="37"/>
  <c r="M441" i="37"/>
  <c r="M442" i="37"/>
  <c r="M443" i="37"/>
  <c r="M444" i="37"/>
  <c r="M445" i="37"/>
  <c r="M446" i="37"/>
  <c r="M447" i="37"/>
  <c r="M448" i="37"/>
  <c r="M449" i="37"/>
  <c r="M450" i="37"/>
  <c r="M451" i="37"/>
  <c r="M452" i="37"/>
  <c r="M453" i="37"/>
  <c r="M454" i="37"/>
  <c r="M455" i="37"/>
  <c r="M456" i="37"/>
  <c r="M457" i="37"/>
  <c r="M458" i="37"/>
  <c r="M459" i="37"/>
  <c r="M460" i="37"/>
  <c r="M461" i="37"/>
  <c r="M462" i="37"/>
  <c r="M463" i="37"/>
  <c r="M464" i="37"/>
  <c r="M465" i="37"/>
  <c r="M466" i="37"/>
  <c r="M467" i="37"/>
  <c r="M468" i="37"/>
  <c r="M469" i="37"/>
  <c r="M470" i="37"/>
  <c r="M471" i="37"/>
  <c r="M472" i="37"/>
  <c r="M473" i="37"/>
  <c r="M474" i="37"/>
  <c r="M475" i="37"/>
  <c r="M476" i="37"/>
  <c r="M477" i="37"/>
  <c r="M478" i="37"/>
  <c r="M479" i="37"/>
  <c r="M480" i="37"/>
  <c r="M481" i="37"/>
  <c r="M482" i="37"/>
  <c r="M483" i="37"/>
  <c r="M484" i="37"/>
  <c r="M485" i="37"/>
  <c r="M486" i="37"/>
  <c r="M487" i="37"/>
  <c r="M488" i="37"/>
  <c r="M489" i="37"/>
  <c r="M490" i="37"/>
  <c r="M491" i="37"/>
  <c r="M492" i="37"/>
  <c r="M493" i="37"/>
  <c r="M494" i="37"/>
  <c r="M495" i="37"/>
  <c r="M496" i="37"/>
  <c r="M497" i="37"/>
  <c r="M498" i="37"/>
  <c r="M499" i="37"/>
  <c r="M500" i="37"/>
  <c r="M501" i="37"/>
  <c r="M502" i="37"/>
  <c r="M503" i="37"/>
  <c r="M504" i="37"/>
  <c r="M505" i="37"/>
  <c r="M506" i="37"/>
  <c r="M507" i="37"/>
  <c r="M508" i="37"/>
  <c r="M509" i="37"/>
  <c r="M510" i="37"/>
  <c r="M511" i="37"/>
  <c r="M512" i="37"/>
  <c r="M513" i="37"/>
  <c r="M514" i="37"/>
  <c r="M515" i="37"/>
  <c r="M76" i="37"/>
  <c r="L76" i="37"/>
  <c r="N76" i="37"/>
  <c r="O76" i="37"/>
  <c r="Q76" i="37"/>
  <c r="B661" i="31"/>
  <c r="B660" i="31"/>
  <c r="B659" i="31"/>
  <c r="B658" i="31"/>
  <c r="B657" i="31"/>
  <c r="B656" i="31"/>
  <c r="B655" i="31"/>
  <c r="B654" i="31"/>
  <c r="B653" i="31"/>
  <c r="B652" i="31"/>
  <c r="B651" i="31"/>
  <c r="B650" i="31"/>
  <c r="B649" i="31"/>
  <c r="B648" i="31"/>
  <c r="B647" i="31"/>
  <c r="B646" i="31"/>
  <c r="B645" i="31"/>
  <c r="B644" i="31"/>
  <c r="B643" i="31"/>
  <c r="B642" i="31"/>
  <c r="B641" i="31"/>
  <c r="B640" i="31"/>
  <c r="B639" i="31"/>
  <c r="B638" i="31"/>
  <c r="B637" i="31"/>
  <c r="B636" i="31"/>
  <c r="B635" i="31"/>
  <c r="B634" i="31"/>
  <c r="B633" i="31"/>
  <c r="B632" i="31"/>
  <c r="B631" i="31"/>
  <c r="B630" i="31"/>
  <c r="B629" i="31"/>
  <c r="B628" i="31"/>
  <c r="B627" i="31"/>
  <c r="B626" i="31"/>
  <c r="B625" i="31"/>
  <c r="B624" i="31"/>
  <c r="B623" i="31"/>
  <c r="B622" i="31"/>
  <c r="B621" i="31"/>
  <c r="B620" i="31"/>
  <c r="B619" i="31"/>
  <c r="B618" i="31"/>
  <c r="B617" i="31"/>
  <c r="B616" i="31"/>
  <c r="B615" i="31"/>
  <c r="B614" i="31"/>
  <c r="B613" i="31"/>
  <c r="B612" i="31"/>
  <c r="B611" i="31"/>
  <c r="B610" i="31"/>
  <c r="B609" i="31"/>
  <c r="B608" i="31"/>
  <c r="B607" i="31"/>
  <c r="B606" i="31"/>
  <c r="B605" i="31"/>
  <c r="B604" i="31"/>
  <c r="B603" i="31"/>
  <c r="B602" i="31"/>
  <c r="B601" i="31"/>
  <c r="B600" i="31"/>
  <c r="B599" i="31"/>
  <c r="B598" i="31"/>
  <c r="B597" i="31"/>
  <c r="B596" i="31"/>
  <c r="B595" i="31"/>
  <c r="B594" i="31"/>
  <c r="B593" i="31"/>
  <c r="B592" i="31"/>
  <c r="B591" i="31"/>
  <c r="B590" i="31"/>
  <c r="B589" i="31"/>
  <c r="B588" i="31"/>
  <c r="B587" i="31"/>
  <c r="B586" i="31"/>
  <c r="B585" i="31"/>
  <c r="B584" i="31"/>
  <c r="B583" i="31"/>
  <c r="B582" i="31"/>
  <c r="B581" i="31"/>
  <c r="B580" i="31"/>
  <c r="B579" i="31"/>
  <c r="B578" i="31"/>
  <c r="B577" i="31"/>
  <c r="B576" i="31"/>
  <c r="B575" i="31"/>
  <c r="B574" i="31"/>
  <c r="B573" i="31"/>
  <c r="B572" i="31"/>
  <c r="B571" i="31"/>
  <c r="B570" i="31"/>
  <c r="B569" i="31"/>
  <c r="B568" i="31"/>
  <c r="B567" i="31"/>
  <c r="B566" i="31"/>
  <c r="B565" i="31"/>
  <c r="B564" i="31"/>
  <c r="B563" i="31"/>
  <c r="B562" i="31"/>
  <c r="B561" i="31"/>
  <c r="B560" i="31"/>
  <c r="B559" i="31"/>
  <c r="B558" i="31"/>
  <c r="B557" i="31"/>
  <c r="B556" i="31"/>
  <c r="B555" i="31"/>
  <c r="B554" i="31"/>
  <c r="B553" i="31"/>
  <c r="B552" i="31"/>
  <c r="B551" i="31"/>
  <c r="B550" i="31"/>
  <c r="B549" i="31"/>
  <c r="B548" i="31"/>
  <c r="B547" i="31"/>
  <c r="B546" i="31"/>
  <c r="B545" i="31"/>
  <c r="B544" i="31"/>
  <c r="B543" i="31"/>
  <c r="B542" i="31"/>
  <c r="B541" i="31"/>
  <c r="B540" i="31"/>
  <c r="B539" i="31"/>
  <c r="B538" i="31"/>
  <c r="B537" i="31"/>
  <c r="B536" i="31"/>
  <c r="B535" i="31"/>
  <c r="B534" i="31"/>
  <c r="B533" i="31"/>
  <c r="B532" i="31"/>
  <c r="B531" i="31"/>
  <c r="B530" i="31"/>
  <c r="B529" i="31"/>
  <c r="B528" i="31"/>
  <c r="B527" i="31"/>
  <c r="B526" i="31"/>
  <c r="B525" i="31"/>
  <c r="B524" i="31"/>
  <c r="B523" i="31"/>
  <c r="B522" i="31"/>
  <c r="B521" i="31"/>
  <c r="B520" i="31"/>
  <c r="B519" i="31"/>
  <c r="B518" i="31"/>
  <c r="B517" i="31"/>
  <c r="B516" i="31"/>
  <c r="B515" i="31"/>
  <c r="B514" i="31"/>
  <c r="B513" i="31"/>
  <c r="B512" i="31"/>
  <c r="B511" i="31"/>
  <c r="B510" i="31"/>
  <c r="B509" i="31"/>
  <c r="B508" i="31"/>
  <c r="B507" i="31"/>
  <c r="B506" i="31"/>
  <c r="B505" i="31"/>
  <c r="B504" i="31"/>
  <c r="B503" i="31"/>
  <c r="B502" i="31"/>
  <c r="B501" i="31"/>
  <c r="B500" i="31"/>
  <c r="B499" i="31"/>
  <c r="B498" i="31"/>
  <c r="B497" i="31"/>
  <c r="B496" i="31"/>
  <c r="B495" i="31"/>
  <c r="B494" i="31"/>
  <c r="B493" i="31"/>
  <c r="B492" i="31"/>
  <c r="B491" i="31"/>
  <c r="B490" i="31"/>
  <c r="B489" i="31"/>
  <c r="B488" i="31"/>
  <c r="B487" i="31"/>
  <c r="B486" i="31"/>
  <c r="B485" i="31"/>
  <c r="B484" i="31"/>
  <c r="B483" i="31"/>
  <c r="B482" i="31"/>
  <c r="B481" i="31"/>
  <c r="B480" i="31"/>
  <c r="B479" i="31"/>
  <c r="B478" i="31"/>
  <c r="B477" i="31"/>
  <c r="B476" i="31"/>
  <c r="B475" i="31"/>
  <c r="B474" i="31"/>
  <c r="B473" i="31"/>
  <c r="B472" i="31"/>
  <c r="B471" i="31"/>
  <c r="B470" i="31"/>
  <c r="B469" i="31"/>
  <c r="B468" i="31"/>
  <c r="B467" i="31"/>
  <c r="B466" i="31"/>
  <c r="B465" i="31"/>
  <c r="B464" i="31"/>
  <c r="B463" i="31"/>
  <c r="B462" i="31"/>
  <c r="B461" i="31"/>
  <c r="B460" i="31"/>
  <c r="B459" i="31"/>
  <c r="B458" i="31"/>
  <c r="B457" i="31"/>
  <c r="B456" i="31"/>
  <c r="B455" i="31"/>
  <c r="B454" i="31"/>
  <c r="B453" i="31"/>
  <c r="B452" i="31"/>
  <c r="B451" i="31"/>
  <c r="B450" i="31"/>
  <c r="B449" i="31"/>
  <c r="B448" i="31"/>
  <c r="B447" i="31"/>
  <c r="B446" i="31"/>
  <c r="B445" i="31"/>
  <c r="B444" i="31"/>
  <c r="B443" i="31"/>
  <c r="B442" i="31"/>
  <c r="B221" i="31"/>
  <c r="B220" i="31"/>
  <c r="B219" i="31"/>
  <c r="B218" i="31"/>
  <c r="B217" i="31"/>
  <c r="B216" i="31"/>
  <c r="B215" i="31"/>
  <c r="B214" i="31"/>
  <c r="B213" i="31"/>
  <c r="B212" i="31"/>
  <c r="B211" i="31"/>
  <c r="B210" i="31"/>
  <c r="B209" i="31"/>
  <c r="B208" i="31"/>
  <c r="B207" i="31"/>
  <c r="B206" i="31"/>
  <c r="B205" i="31"/>
  <c r="B204" i="31"/>
  <c r="B203" i="31"/>
  <c r="B202" i="31"/>
  <c r="B201" i="31"/>
  <c r="B200" i="31"/>
  <c r="B199" i="31"/>
  <c r="B198" i="31"/>
  <c r="B197" i="31"/>
  <c r="B196" i="31"/>
  <c r="B195" i="31"/>
  <c r="B194" i="31"/>
  <c r="B193" i="31"/>
  <c r="B192" i="31"/>
  <c r="B191" i="31"/>
  <c r="B190" i="31"/>
  <c r="B189" i="31"/>
  <c r="B188" i="31"/>
  <c r="B187" i="31"/>
  <c r="B186" i="31"/>
  <c r="B185" i="31"/>
  <c r="B184" i="31"/>
  <c r="B183" i="31"/>
  <c r="B182" i="31"/>
  <c r="B181" i="31"/>
  <c r="B180" i="31"/>
  <c r="B179" i="31"/>
  <c r="B178" i="31"/>
  <c r="B177" i="31"/>
  <c r="B176" i="31"/>
  <c r="B175" i="31"/>
  <c r="B174" i="31"/>
  <c r="B173" i="31"/>
  <c r="B172" i="31"/>
  <c r="B171" i="31"/>
  <c r="B170" i="31"/>
  <c r="B169" i="31"/>
  <c r="B168" i="31"/>
  <c r="B167" i="31"/>
  <c r="B166" i="31"/>
  <c r="B165" i="31"/>
  <c r="B164" i="31"/>
  <c r="B163" i="31"/>
  <c r="B162" i="31"/>
  <c r="B161" i="31"/>
  <c r="B160" i="31"/>
  <c r="B159" i="31"/>
  <c r="B158" i="31"/>
  <c r="B157" i="31"/>
  <c r="B156" i="31"/>
  <c r="B155" i="31"/>
  <c r="B154" i="31"/>
  <c r="B153" i="31"/>
  <c r="B152" i="31"/>
  <c r="B151" i="31"/>
  <c r="B150" i="31"/>
  <c r="B149" i="31"/>
  <c r="B148" i="31"/>
  <c r="B147" i="31"/>
  <c r="B146" i="31"/>
  <c r="B145" i="31"/>
  <c r="B144" i="31"/>
  <c r="B143" i="31"/>
  <c r="B142" i="31"/>
  <c r="B141" i="31"/>
  <c r="B140" i="31"/>
  <c r="B139" i="31"/>
  <c r="B138" i="31"/>
  <c r="B137" i="31"/>
  <c r="B136" i="31"/>
  <c r="B135" i="31"/>
  <c r="B134" i="31"/>
  <c r="B133" i="31"/>
  <c r="B132" i="31"/>
  <c r="B131" i="31"/>
  <c r="B130" i="31"/>
  <c r="B129" i="31"/>
  <c r="B128" i="31"/>
  <c r="B127" i="31"/>
  <c r="B126" i="31"/>
  <c r="B125" i="31"/>
  <c r="B124" i="31"/>
  <c r="B123" i="31"/>
  <c r="B122" i="31"/>
  <c r="B121" i="31"/>
  <c r="B120" i="31"/>
  <c r="B119" i="31"/>
  <c r="B118" i="31"/>
  <c r="B117" i="31"/>
  <c r="B116" i="31"/>
  <c r="B115" i="31"/>
  <c r="B114" i="31"/>
  <c r="B113" i="31"/>
  <c r="B112" i="31"/>
  <c r="B111" i="31"/>
  <c r="B110" i="31"/>
  <c r="B109" i="31"/>
  <c r="B108" i="31"/>
  <c r="B107" i="31"/>
  <c r="B106" i="31"/>
  <c r="B105" i="31"/>
  <c r="B104" i="31"/>
  <c r="B103" i="31"/>
  <c r="B102" i="31"/>
  <c r="B101" i="31"/>
  <c r="B100" i="31"/>
  <c r="B99" i="31"/>
  <c r="B98" i="31"/>
  <c r="B97" i="31"/>
  <c r="B96" i="31"/>
  <c r="B95" i="31"/>
  <c r="B94" i="31"/>
  <c r="B93" i="31"/>
  <c r="B92" i="31"/>
  <c r="B91" i="31"/>
  <c r="B90" i="31"/>
  <c r="B89" i="31"/>
  <c r="B88" i="31"/>
  <c r="B87" i="31"/>
  <c r="B86" i="31"/>
  <c r="B85" i="31"/>
  <c r="B84" i="31"/>
  <c r="B83" i="31"/>
  <c r="B82" i="31"/>
  <c r="B81" i="31"/>
  <c r="B80" i="31"/>
  <c r="B79" i="31"/>
  <c r="B78" i="31"/>
  <c r="B77" i="31"/>
  <c r="B76" i="31"/>
  <c r="B75" i="31"/>
  <c r="B74" i="31"/>
  <c r="B73" i="31"/>
  <c r="B72" i="31"/>
  <c r="B71" i="31"/>
  <c r="B70" i="31"/>
  <c r="B69" i="31"/>
  <c r="B68" i="31"/>
  <c r="B67" i="31"/>
  <c r="B66" i="31"/>
  <c r="B65" i="31"/>
  <c r="B64" i="31"/>
  <c r="B63" i="31"/>
  <c r="B62" i="31"/>
  <c r="B61" i="31"/>
  <c r="B60" i="31"/>
  <c r="B59" i="31"/>
  <c r="B58" i="31"/>
  <c r="B57" i="31"/>
  <c r="B56" i="31"/>
  <c r="B55" i="31"/>
  <c r="B54" i="31"/>
  <c r="B53" i="31"/>
  <c r="B52" i="31"/>
  <c r="B51" i="31"/>
  <c r="B50" i="31"/>
  <c r="B49" i="31"/>
  <c r="B48" i="31"/>
  <c r="B47" i="31"/>
  <c r="B46" i="31"/>
  <c r="B45" i="31"/>
  <c r="B44" i="31"/>
  <c r="B43" i="31"/>
  <c r="B42" i="31"/>
  <c r="B41" i="31"/>
  <c r="B40" i="31"/>
  <c r="B39" i="31"/>
  <c r="B38" i="31"/>
  <c r="B37" i="31"/>
  <c r="B36" i="31"/>
  <c r="B35" i="31"/>
  <c r="B34" i="31"/>
  <c r="B33" i="31"/>
  <c r="B32" i="31"/>
  <c r="B31" i="31"/>
  <c r="B30" i="31"/>
  <c r="B29" i="31"/>
  <c r="B28" i="31"/>
  <c r="B27" i="31"/>
  <c r="B26" i="31"/>
  <c r="B25" i="31"/>
  <c r="B24" i="31"/>
  <c r="B23" i="31"/>
  <c r="B22" i="31"/>
  <c r="B21" i="31"/>
  <c r="B20" i="31"/>
  <c r="B19" i="31"/>
  <c r="B18" i="31"/>
  <c r="B17" i="31"/>
  <c r="B16" i="31"/>
  <c r="B15" i="31"/>
  <c r="B14" i="31"/>
  <c r="B13" i="31"/>
  <c r="B12" i="31"/>
  <c r="B11" i="31"/>
  <c r="B10" i="31"/>
  <c r="B9" i="31"/>
  <c r="B8" i="31"/>
  <c r="B7" i="31"/>
  <c r="B6" i="31"/>
  <c r="B5" i="31"/>
  <c r="B4" i="31"/>
  <c r="B3" i="31"/>
  <c r="B2" i="31"/>
  <c r="G211" i="35"/>
  <c r="I211" i="35"/>
  <c r="J211" i="35"/>
  <c r="K211" i="35"/>
  <c r="G392" i="35"/>
  <c r="I392" i="35"/>
  <c r="J392" i="35"/>
  <c r="K392" i="35"/>
  <c r="G499" i="35"/>
  <c r="I499" i="35"/>
  <c r="J499" i="35"/>
  <c r="K499" i="35"/>
  <c r="G470" i="35"/>
  <c r="I470" i="35"/>
  <c r="J470" i="35"/>
  <c r="K470" i="35"/>
  <c r="G485" i="35"/>
  <c r="I485" i="35"/>
  <c r="J485" i="35"/>
  <c r="K485" i="35"/>
  <c r="G519" i="35"/>
  <c r="I519" i="35"/>
  <c r="J519" i="35"/>
  <c r="K519" i="35"/>
  <c r="G548" i="35"/>
  <c r="I548" i="35"/>
  <c r="J548" i="35"/>
  <c r="K548" i="35"/>
  <c r="G514" i="35"/>
  <c r="I514" i="35"/>
  <c r="J514" i="35"/>
  <c r="K514" i="35"/>
  <c r="G396" i="35"/>
  <c r="I396" i="35"/>
  <c r="J396" i="35"/>
  <c r="K396" i="35"/>
  <c r="G524" i="35"/>
  <c r="I524" i="35"/>
  <c r="J524" i="35"/>
  <c r="K524" i="35"/>
  <c r="G463" i="35"/>
  <c r="I463" i="35"/>
  <c r="J463" i="35"/>
  <c r="K463" i="35"/>
  <c r="G505" i="35"/>
  <c r="I505" i="35"/>
  <c r="J505" i="35"/>
  <c r="K505" i="35"/>
  <c r="G488" i="35"/>
  <c r="I488" i="35"/>
  <c r="J488" i="35"/>
  <c r="K488" i="35"/>
  <c r="G467" i="35"/>
  <c r="I467" i="35"/>
  <c r="J467" i="35"/>
  <c r="K467" i="35"/>
  <c r="G410" i="35"/>
  <c r="I410" i="35"/>
  <c r="J410" i="35"/>
  <c r="K410" i="35"/>
  <c r="G497" i="35"/>
  <c r="I497" i="35"/>
  <c r="J497" i="35"/>
  <c r="K497" i="35"/>
  <c r="G556" i="35"/>
  <c r="I556" i="35"/>
  <c r="J556" i="35"/>
  <c r="K556" i="35"/>
  <c r="G484" i="35"/>
  <c r="I484" i="35"/>
  <c r="J484" i="35"/>
  <c r="K484" i="35"/>
  <c r="G377" i="35"/>
  <c r="I377" i="35"/>
  <c r="J377" i="35"/>
  <c r="K377" i="35"/>
  <c r="G521" i="35"/>
  <c r="I521" i="35"/>
  <c r="J521" i="35"/>
  <c r="K521" i="35"/>
  <c r="G366" i="35"/>
  <c r="I366" i="35"/>
  <c r="J366" i="35"/>
  <c r="K366" i="35"/>
  <c r="G384" i="35"/>
  <c r="I384" i="35"/>
  <c r="J384" i="35"/>
  <c r="K384" i="35"/>
  <c r="G559" i="35"/>
  <c r="I559" i="35"/>
  <c r="J559" i="35"/>
  <c r="K559" i="35"/>
  <c r="G343" i="35"/>
  <c r="I343" i="35"/>
  <c r="J343" i="35"/>
  <c r="K343" i="35"/>
  <c r="G557" i="35"/>
  <c r="I557" i="35"/>
  <c r="J557" i="35"/>
  <c r="K557" i="35"/>
  <c r="G503" i="35"/>
  <c r="I503" i="35"/>
  <c r="J503" i="35"/>
  <c r="K503" i="35"/>
  <c r="G474" i="35"/>
  <c r="I474" i="35"/>
  <c r="J474" i="35"/>
  <c r="K474" i="35"/>
  <c r="G486" i="35"/>
  <c r="I486" i="35"/>
  <c r="J486" i="35"/>
  <c r="K486" i="35"/>
  <c r="G388" i="35"/>
  <c r="I388" i="35"/>
  <c r="J388" i="35"/>
  <c r="K388" i="35"/>
  <c r="G468" i="35"/>
  <c r="I468" i="35"/>
  <c r="J468" i="35"/>
  <c r="K468" i="35"/>
  <c r="G542" i="35"/>
  <c r="I542" i="35"/>
  <c r="J542" i="35"/>
  <c r="K542" i="35"/>
  <c r="G535" i="35"/>
  <c r="I535" i="35"/>
  <c r="J535" i="35"/>
  <c r="K535" i="35"/>
  <c r="G532" i="35"/>
  <c r="I532" i="35"/>
  <c r="J532" i="35"/>
  <c r="K532" i="35"/>
  <c r="G491" i="35"/>
  <c r="I491" i="35"/>
  <c r="J491" i="35"/>
  <c r="K491" i="35"/>
  <c r="G527" i="35"/>
  <c r="I527" i="35"/>
  <c r="J527" i="35"/>
  <c r="K527" i="35"/>
  <c r="G546" i="35"/>
  <c r="I546" i="35"/>
  <c r="J546" i="35"/>
  <c r="K546" i="35"/>
  <c r="G347" i="35"/>
  <c r="I347" i="35"/>
  <c r="J347" i="35"/>
  <c r="K347" i="35"/>
  <c r="G523" i="35"/>
  <c r="I523" i="35"/>
  <c r="J523" i="35"/>
  <c r="K523" i="35"/>
  <c r="G500" i="35"/>
  <c r="I500" i="35"/>
  <c r="J500" i="35"/>
  <c r="K500" i="35"/>
  <c r="G566" i="35"/>
  <c r="I566" i="35"/>
  <c r="J566" i="35"/>
  <c r="K566" i="35"/>
  <c r="G427" i="35"/>
  <c r="I427" i="35"/>
  <c r="J427" i="35"/>
  <c r="K427" i="35"/>
  <c r="G350" i="35"/>
  <c r="I350" i="35"/>
  <c r="J350" i="35"/>
  <c r="K350" i="35"/>
  <c r="G550" i="35"/>
  <c r="I550" i="35"/>
  <c r="J550" i="35"/>
  <c r="K550" i="35"/>
  <c r="G493" i="35"/>
  <c r="I493" i="35"/>
  <c r="J493" i="35"/>
  <c r="K493" i="35"/>
  <c r="G369" i="35"/>
  <c r="I369" i="35"/>
  <c r="J369" i="35"/>
  <c r="K369" i="35"/>
  <c r="G636" i="35"/>
  <c r="I636" i="35"/>
  <c r="J636" i="35"/>
  <c r="K636" i="35"/>
  <c r="G401" i="35"/>
  <c r="I401" i="35"/>
  <c r="J401" i="35"/>
  <c r="K401" i="35"/>
  <c r="G420" i="35"/>
  <c r="I420" i="35"/>
  <c r="J420" i="35"/>
  <c r="K420" i="35"/>
  <c r="G371" i="35"/>
  <c r="I371" i="35"/>
  <c r="J371" i="35"/>
  <c r="K371" i="35"/>
  <c r="G400" i="35"/>
  <c r="I400" i="35"/>
  <c r="J400" i="35"/>
  <c r="K400" i="35"/>
  <c r="G453" i="35"/>
  <c r="I453" i="35"/>
  <c r="J453" i="35"/>
  <c r="K453" i="35"/>
  <c r="G422" i="35"/>
  <c r="I422" i="35"/>
  <c r="J422" i="35"/>
  <c r="K422" i="35"/>
  <c r="G433" i="35"/>
  <c r="I433" i="35"/>
  <c r="J433" i="35"/>
  <c r="K433" i="35"/>
  <c r="G386" i="35"/>
  <c r="I386" i="35"/>
  <c r="J386" i="35"/>
  <c r="K386" i="35"/>
  <c r="G670" i="35"/>
  <c r="I670" i="35"/>
  <c r="J670" i="35"/>
  <c r="K670" i="35"/>
  <c r="G480" i="35"/>
  <c r="I480" i="35"/>
  <c r="J480" i="35"/>
  <c r="K480" i="35"/>
  <c r="G440" i="35"/>
  <c r="I440" i="35"/>
  <c r="J440" i="35"/>
  <c r="K440" i="35"/>
  <c r="G509" i="35"/>
  <c r="I509" i="35"/>
  <c r="J509" i="35"/>
  <c r="K509" i="35"/>
  <c r="G495" i="35"/>
  <c r="I495" i="35"/>
  <c r="J495" i="35"/>
  <c r="K495" i="35"/>
  <c r="G520" i="35"/>
  <c r="I520" i="35"/>
  <c r="J520" i="35"/>
  <c r="K520" i="35"/>
  <c r="G452" i="35"/>
  <c r="I452" i="35"/>
  <c r="J452" i="35"/>
  <c r="K452" i="35"/>
  <c r="G390" i="35"/>
  <c r="I390" i="35"/>
  <c r="J390" i="35"/>
  <c r="K390" i="35"/>
  <c r="G411" i="35"/>
  <c r="I411" i="35"/>
  <c r="J411" i="35"/>
  <c r="K411" i="35"/>
  <c r="G471" i="35"/>
  <c r="I471" i="35"/>
  <c r="J471" i="35"/>
  <c r="K471" i="35"/>
  <c r="G413" i="35"/>
  <c r="I413" i="35"/>
  <c r="J413" i="35"/>
  <c r="K413" i="35"/>
  <c r="G360" i="35"/>
  <c r="I360" i="35"/>
  <c r="J360" i="35"/>
  <c r="K360" i="35"/>
  <c r="G558" i="35"/>
  <c r="I558" i="35"/>
  <c r="J558" i="35"/>
  <c r="K558" i="35"/>
  <c r="G554" i="35"/>
  <c r="I554" i="35"/>
  <c r="J554" i="35"/>
  <c r="K554" i="35"/>
  <c r="G362" i="35"/>
  <c r="I362" i="35"/>
  <c r="J362" i="35"/>
  <c r="K362" i="35"/>
  <c r="G490" i="35"/>
  <c r="I490" i="35"/>
  <c r="J490" i="35"/>
  <c r="K490" i="35"/>
  <c r="G374" i="35"/>
  <c r="I374" i="35"/>
  <c r="J374" i="35"/>
  <c r="K374" i="35"/>
  <c r="G376" i="35"/>
  <c r="I376" i="35"/>
  <c r="J376" i="35"/>
  <c r="K376" i="35"/>
  <c r="G507" i="35"/>
  <c r="I507" i="35"/>
  <c r="J507" i="35"/>
  <c r="K507" i="35"/>
  <c r="G356" i="35"/>
  <c r="I356" i="35"/>
  <c r="J356" i="35"/>
  <c r="K356" i="35"/>
  <c r="G359" i="35"/>
  <c r="I359" i="35"/>
  <c r="J359" i="35"/>
  <c r="K359" i="35"/>
  <c r="G368" i="35"/>
  <c r="I368" i="35"/>
  <c r="J368" i="35"/>
  <c r="K368" i="35"/>
  <c r="J403" i="35"/>
  <c r="K403" i="35"/>
  <c r="G380" i="35"/>
  <c r="I380" i="35"/>
  <c r="J380" i="35"/>
  <c r="K380" i="35"/>
  <c r="G644" i="35"/>
  <c r="I644" i="35"/>
  <c r="J644" i="35"/>
  <c r="K644" i="35"/>
  <c r="G354" i="35"/>
  <c r="I354" i="35"/>
  <c r="J354" i="35"/>
  <c r="K354" i="35"/>
  <c r="G455" i="35"/>
  <c r="I455" i="35"/>
  <c r="J455" i="35"/>
  <c r="K455" i="35"/>
  <c r="G408" i="35"/>
  <c r="I408" i="35"/>
  <c r="J408" i="35"/>
  <c r="K408" i="35"/>
  <c r="G444" i="35"/>
  <c r="I444" i="35"/>
  <c r="J444" i="35"/>
  <c r="K444" i="35"/>
  <c r="G441" i="35"/>
  <c r="I441" i="35"/>
  <c r="J441" i="35"/>
  <c r="K441" i="35"/>
  <c r="G348" i="35"/>
  <c r="I348" i="35"/>
  <c r="J348" i="35"/>
  <c r="K348" i="35"/>
  <c r="G498" i="35"/>
  <c r="I498" i="35"/>
  <c r="J498" i="35"/>
  <c r="K498" i="35"/>
  <c r="G525" i="35"/>
  <c r="I525" i="35"/>
  <c r="J525" i="35"/>
  <c r="K525" i="35"/>
  <c r="G393" i="35"/>
  <c r="I393" i="35"/>
  <c r="J393" i="35"/>
  <c r="K393" i="35"/>
  <c r="G421" i="35"/>
  <c r="I421" i="35"/>
  <c r="J421" i="35"/>
  <c r="K421" i="35"/>
  <c r="G387" i="35"/>
  <c r="I387" i="35"/>
  <c r="J387" i="35"/>
  <c r="K387" i="35"/>
  <c r="G496" i="35"/>
  <c r="I496" i="35"/>
  <c r="J496" i="35"/>
  <c r="K496" i="35"/>
  <c r="G416" i="35"/>
  <c r="I416" i="35"/>
  <c r="J416" i="35"/>
  <c r="K416" i="35"/>
  <c r="G367" i="35"/>
  <c r="I367" i="35"/>
  <c r="J367" i="35"/>
  <c r="K367" i="35"/>
  <c r="G516" i="35"/>
  <c r="I516" i="35"/>
  <c r="J516" i="35"/>
  <c r="K516" i="35"/>
  <c r="G372" i="35"/>
  <c r="I372" i="35"/>
  <c r="J372" i="35"/>
  <c r="K372" i="35"/>
  <c r="G438" i="35"/>
  <c r="I438" i="35"/>
  <c r="J438" i="35"/>
  <c r="K438" i="35"/>
  <c r="G549" i="35"/>
  <c r="I549" i="35"/>
  <c r="J549" i="35"/>
  <c r="K549" i="35"/>
  <c r="G562" i="35"/>
  <c r="I562" i="35"/>
  <c r="J562" i="35"/>
  <c r="K562" i="35"/>
  <c r="G391" i="35"/>
  <c r="I391" i="35"/>
  <c r="J391" i="35"/>
  <c r="K391" i="35"/>
  <c r="G501" i="35"/>
  <c r="I501" i="35"/>
  <c r="J501" i="35"/>
  <c r="K501" i="35"/>
  <c r="G555" i="35"/>
  <c r="I555" i="35"/>
  <c r="J555" i="35"/>
  <c r="K555" i="35"/>
  <c r="G547" i="35"/>
  <c r="I547" i="35"/>
  <c r="J547" i="35"/>
  <c r="K547" i="35"/>
  <c r="G383" i="35"/>
  <c r="I383" i="35"/>
  <c r="J383" i="35"/>
  <c r="K383" i="35"/>
  <c r="G337" i="35"/>
  <c r="I337" i="35"/>
  <c r="J337" i="35"/>
  <c r="K337" i="35"/>
  <c r="G482" i="35"/>
  <c r="I482" i="35"/>
  <c r="J482" i="35"/>
  <c r="K482" i="35"/>
  <c r="G515" i="35"/>
  <c r="I515" i="35"/>
  <c r="J515" i="35"/>
  <c r="K515" i="35"/>
  <c r="G464" i="35"/>
  <c r="I464" i="35"/>
  <c r="J464" i="35"/>
  <c r="K464" i="35"/>
  <c r="G361" i="35"/>
  <c r="I361" i="35"/>
  <c r="J361" i="35"/>
  <c r="K361" i="35"/>
  <c r="G406" i="35"/>
  <c r="I406" i="35"/>
  <c r="J406" i="35"/>
  <c r="K406" i="35"/>
  <c r="G567" i="35"/>
  <c r="I567" i="35"/>
  <c r="J567" i="35"/>
  <c r="K567" i="35"/>
  <c r="G477" i="35"/>
  <c r="I477" i="35"/>
  <c r="J477" i="35"/>
  <c r="K477" i="35"/>
  <c r="G473" i="35"/>
  <c r="I473" i="35"/>
  <c r="J473" i="35"/>
  <c r="K473" i="35"/>
  <c r="G439" i="35"/>
  <c r="I439" i="35"/>
  <c r="J439" i="35"/>
  <c r="K439" i="35"/>
  <c r="G483" i="35"/>
  <c r="I483" i="35"/>
  <c r="J483" i="35"/>
  <c r="K483" i="35"/>
  <c r="G472" i="35"/>
  <c r="I472" i="35"/>
  <c r="J472" i="35"/>
  <c r="K472" i="35"/>
  <c r="G442" i="35"/>
  <c r="I442" i="35"/>
  <c r="J442" i="35"/>
  <c r="K442" i="35"/>
  <c r="G419" i="35"/>
  <c r="I419" i="35"/>
  <c r="J419" i="35"/>
  <c r="K419" i="35"/>
  <c r="G513" i="35"/>
  <c r="I513" i="35"/>
  <c r="J513" i="35"/>
  <c r="K513" i="35"/>
  <c r="G404" i="35"/>
  <c r="I404" i="35"/>
  <c r="J404" i="35"/>
  <c r="K404" i="35"/>
  <c r="G357" i="35"/>
  <c r="I357" i="35"/>
  <c r="J357" i="35"/>
  <c r="K357" i="35"/>
  <c r="G364" i="35"/>
  <c r="I364" i="35"/>
  <c r="J364" i="35"/>
  <c r="K364" i="35"/>
  <c r="G399" i="35"/>
  <c r="I399" i="35"/>
  <c r="J399" i="35"/>
  <c r="K399" i="35"/>
  <c r="G349" i="35"/>
  <c r="I349" i="35"/>
  <c r="J349" i="35"/>
  <c r="K349" i="35"/>
  <c r="G363" i="35"/>
  <c r="I363" i="35"/>
  <c r="J363" i="35"/>
  <c r="K363" i="35"/>
  <c r="G494" i="35"/>
  <c r="I494" i="35"/>
  <c r="J494" i="35"/>
  <c r="K494" i="35"/>
  <c r="G385" i="35"/>
  <c r="I385" i="35"/>
  <c r="J385" i="35"/>
  <c r="K385" i="35"/>
  <c r="G561" i="35"/>
  <c r="I561" i="35"/>
  <c r="J561" i="35"/>
  <c r="K561" i="35"/>
  <c r="G414" i="35"/>
  <c r="I414" i="35"/>
  <c r="J414" i="35"/>
  <c r="K414" i="35"/>
  <c r="G382" i="35"/>
  <c r="I382" i="35"/>
  <c r="J382" i="35"/>
  <c r="K382" i="35"/>
  <c r="G539" i="35"/>
  <c r="I539" i="35"/>
  <c r="J539" i="35"/>
  <c r="K539" i="35"/>
  <c r="G451" i="35"/>
  <c r="I451" i="35"/>
  <c r="J451" i="35"/>
  <c r="K451" i="35"/>
  <c r="G379" i="35"/>
  <c r="I379" i="35"/>
  <c r="J379" i="35"/>
  <c r="K379" i="35"/>
  <c r="G358" i="35"/>
  <c r="I358" i="35"/>
  <c r="J358" i="35"/>
  <c r="K358" i="35"/>
  <c r="G344" i="35"/>
  <c r="I344" i="35"/>
  <c r="J344" i="35"/>
  <c r="K344" i="35"/>
  <c r="G506" i="35"/>
  <c r="I506" i="35"/>
  <c r="J506" i="35"/>
  <c r="K506" i="35"/>
  <c r="G481" i="35"/>
  <c r="I481" i="35"/>
  <c r="J481" i="35"/>
  <c r="K481" i="35"/>
  <c r="G389" i="35"/>
  <c r="I389" i="35"/>
  <c r="J389" i="35"/>
  <c r="K389" i="35"/>
  <c r="G375" i="35"/>
  <c r="I375" i="35"/>
  <c r="J375" i="35"/>
  <c r="K375" i="35"/>
  <c r="G469" i="35"/>
  <c r="I469" i="35"/>
  <c r="J469" i="35"/>
  <c r="K469" i="35"/>
  <c r="G564" i="35"/>
  <c r="I564" i="35"/>
  <c r="J564" i="35"/>
  <c r="K564" i="35"/>
  <c r="G540" i="35"/>
  <c r="I540" i="35"/>
  <c r="J540" i="35"/>
  <c r="K540" i="35"/>
  <c r="G397" i="35"/>
  <c r="I397" i="35"/>
  <c r="J397" i="35"/>
  <c r="K397" i="35"/>
  <c r="G449" i="35"/>
  <c r="I449" i="35"/>
  <c r="J449" i="35"/>
  <c r="K449" i="35"/>
  <c r="G398" i="35"/>
  <c r="I398" i="35"/>
  <c r="J398" i="35"/>
  <c r="K398" i="35"/>
  <c r="G534" i="35"/>
  <c r="I534" i="35"/>
  <c r="J534" i="35"/>
  <c r="K534" i="35"/>
  <c r="G338" i="35"/>
  <c r="I338" i="35"/>
  <c r="J338" i="35"/>
  <c r="K338" i="35"/>
  <c r="G560" i="35"/>
  <c r="I560" i="35"/>
  <c r="J560" i="35"/>
  <c r="K560" i="35"/>
  <c r="G517" i="35"/>
  <c r="I517" i="35"/>
  <c r="J517" i="35"/>
  <c r="K517" i="35"/>
  <c r="G431" i="35"/>
  <c r="I431" i="35"/>
  <c r="J431" i="35"/>
  <c r="K431" i="35"/>
  <c r="G346" i="35"/>
  <c r="I346" i="35"/>
  <c r="J346" i="35"/>
  <c r="K346" i="35"/>
  <c r="G345" i="35"/>
  <c r="I345" i="35"/>
  <c r="J345" i="35"/>
  <c r="K345" i="35"/>
  <c r="G502" i="35"/>
  <c r="I502" i="35"/>
  <c r="J502" i="35"/>
  <c r="K502" i="35"/>
  <c r="G381" i="35"/>
  <c r="I381" i="35"/>
  <c r="J381" i="35"/>
  <c r="K381" i="35"/>
  <c r="G508" i="35"/>
  <c r="I508" i="35"/>
  <c r="J508" i="35"/>
  <c r="K508" i="35"/>
  <c r="G504" i="35"/>
  <c r="I504" i="35"/>
  <c r="J504" i="35"/>
  <c r="K504" i="35"/>
  <c r="G423" i="35"/>
  <c r="I423" i="35"/>
  <c r="J423" i="35"/>
  <c r="K423" i="35"/>
  <c r="G407" i="35"/>
  <c r="I407" i="35"/>
  <c r="J407" i="35"/>
  <c r="K407" i="35"/>
  <c r="G437" i="35"/>
  <c r="I437" i="35"/>
  <c r="J437" i="35"/>
  <c r="K437" i="35"/>
  <c r="G450" i="35"/>
  <c r="I450" i="35"/>
  <c r="J450" i="35"/>
  <c r="K450" i="35"/>
  <c r="G417" i="35"/>
  <c r="I417" i="35"/>
  <c r="J417" i="35"/>
  <c r="K417" i="35"/>
  <c r="G510" i="35"/>
  <c r="I510" i="35"/>
  <c r="J510" i="35"/>
  <c r="K510" i="35"/>
  <c r="G466" i="35"/>
  <c r="I466" i="35"/>
  <c r="J466" i="35"/>
  <c r="K466" i="35"/>
  <c r="G479" i="35"/>
  <c r="I479" i="35"/>
  <c r="J479" i="35"/>
  <c r="K479" i="35"/>
  <c r="G552" i="35"/>
  <c r="I552" i="35"/>
  <c r="J552" i="35"/>
  <c r="K552" i="35"/>
  <c r="G373" i="35"/>
  <c r="I373" i="35"/>
  <c r="J373" i="35"/>
  <c r="K373" i="35"/>
  <c r="G370" i="35"/>
  <c r="I370" i="35"/>
  <c r="J370" i="35"/>
  <c r="K370" i="35"/>
  <c r="G415" i="35"/>
  <c r="I415" i="35"/>
  <c r="J415" i="35"/>
  <c r="K415" i="35"/>
  <c r="G409" i="35"/>
  <c r="I409" i="35"/>
  <c r="J409" i="35"/>
  <c r="K409" i="35"/>
  <c r="G365" i="35"/>
  <c r="I365" i="35"/>
  <c r="J365" i="35"/>
  <c r="K365" i="35"/>
  <c r="G351" i="35"/>
  <c r="I351" i="35"/>
  <c r="J351" i="35"/>
  <c r="K351" i="35"/>
  <c r="G608" i="35"/>
  <c r="I608" i="35"/>
  <c r="J608" i="35"/>
  <c r="K608" i="35"/>
  <c r="G443" i="35"/>
  <c r="I443" i="35"/>
  <c r="J443" i="35"/>
  <c r="K443" i="35"/>
  <c r="G530" i="35"/>
  <c r="I530" i="35"/>
  <c r="J530" i="35"/>
  <c r="K530" i="35"/>
  <c r="G424" i="35"/>
  <c r="I424" i="35"/>
  <c r="J424" i="35"/>
  <c r="K424" i="35"/>
  <c r="G639" i="35"/>
  <c r="I639" i="35"/>
  <c r="J639" i="35"/>
  <c r="K639" i="35"/>
  <c r="G489" i="35"/>
  <c r="I489" i="35"/>
  <c r="J489" i="35"/>
  <c r="K489" i="35"/>
  <c r="G394" i="35"/>
  <c r="I394" i="35"/>
  <c r="J394" i="35"/>
  <c r="K394" i="35"/>
  <c r="G428" i="35"/>
  <c r="I428" i="35"/>
  <c r="J428" i="35"/>
  <c r="K428" i="35"/>
  <c r="G531" i="35"/>
  <c r="I531" i="35"/>
  <c r="J531" i="35"/>
  <c r="K531" i="35"/>
  <c r="G459" i="35"/>
  <c r="I459" i="35"/>
  <c r="J459" i="35"/>
  <c r="K459" i="35"/>
  <c r="G461" i="35"/>
  <c r="I461" i="35"/>
  <c r="J461" i="35"/>
  <c r="K461" i="35"/>
  <c r="G538" i="35"/>
  <c r="I538" i="35"/>
  <c r="J538" i="35"/>
  <c r="K538" i="35"/>
  <c r="G432" i="35"/>
  <c r="I432" i="35"/>
  <c r="J432" i="35"/>
  <c r="K432" i="35"/>
  <c r="G395" i="35"/>
  <c r="I395" i="35"/>
  <c r="J395" i="35"/>
  <c r="K395" i="35"/>
  <c r="G537" i="35"/>
  <c r="I537" i="35"/>
  <c r="J537" i="35"/>
  <c r="K537" i="35"/>
  <c r="G529" i="35"/>
  <c r="I529" i="35"/>
  <c r="J529" i="35"/>
  <c r="K529" i="35"/>
  <c r="G436" i="35"/>
  <c r="I436" i="35"/>
  <c r="J436" i="35"/>
  <c r="K436" i="35"/>
  <c r="G426" i="35"/>
  <c r="I426" i="35"/>
  <c r="J426" i="35"/>
  <c r="K426" i="35"/>
  <c r="G434" i="35"/>
  <c r="I434" i="35"/>
  <c r="J434" i="35"/>
  <c r="K434" i="35"/>
  <c r="G541" i="35"/>
  <c r="I541" i="35"/>
  <c r="J541" i="35"/>
  <c r="K541" i="35"/>
  <c r="J456" i="35"/>
  <c r="K456" i="35"/>
  <c r="G445" i="35"/>
  <c r="I445" i="35"/>
  <c r="J445" i="35"/>
  <c r="K445" i="35"/>
  <c r="G511" i="35"/>
  <c r="I511" i="35"/>
  <c r="J511" i="35"/>
  <c r="K511" i="35"/>
  <c r="G544" i="35"/>
  <c r="I544" i="35"/>
  <c r="J544" i="35"/>
  <c r="K544" i="35"/>
  <c r="G563" i="35"/>
  <c r="I563" i="35"/>
  <c r="J563" i="35"/>
  <c r="K563" i="35"/>
  <c r="G447" i="35"/>
  <c r="I447" i="35"/>
  <c r="J447" i="35"/>
  <c r="K447" i="35"/>
  <c r="G353" i="35"/>
  <c r="I353" i="35"/>
  <c r="J353" i="35"/>
  <c r="K353" i="35"/>
  <c r="G597" i="35"/>
  <c r="I597" i="35"/>
  <c r="J597" i="35"/>
  <c r="K597" i="35"/>
  <c r="G565" i="35"/>
  <c r="I565" i="35"/>
  <c r="J565" i="35"/>
  <c r="K565" i="35"/>
  <c r="G352" i="35"/>
  <c r="I352" i="35"/>
  <c r="J352" i="35"/>
  <c r="K352" i="35"/>
  <c r="G476" i="35"/>
  <c r="I476" i="35"/>
  <c r="J476" i="35"/>
  <c r="K476" i="35"/>
  <c r="G339" i="35"/>
  <c r="I339" i="35"/>
  <c r="J339" i="35"/>
  <c r="K339" i="35"/>
  <c r="G425" i="35"/>
  <c r="I425" i="35"/>
  <c r="J425" i="35"/>
  <c r="K425" i="35"/>
  <c r="G457" i="35"/>
  <c r="I457" i="35"/>
  <c r="J457" i="35"/>
  <c r="K457" i="35"/>
  <c r="G475" i="35"/>
  <c r="I475" i="35"/>
  <c r="J475" i="35"/>
  <c r="K475" i="35"/>
  <c r="G460" i="35"/>
  <c r="I460" i="35"/>
  <c r="J460" i="35"/>
  <c r="K460" i="35"/>
  <c r="G430" i="35"/>
  <c r="I430" i="35"/>
  <c r="J430" i="35"/>
  <c r="K430" i="35"/>
  <c r="G580" i="35"/>
  <c r="I580" i="35"/>
  <c r="J580" i="35"/>
  <c r="K580" i="35"/>
  <c r="G512" i="35"/>
  <c r="I512" i="35"/>
  <c r="J512" i="35"/>
  <c r="K512" i="35"/>
  <c r="G543" i="35"/>
  <c r="I543" i="35"/>
  <c r="J543" i="35"/>
  <c r="K543" i="35"/>
  <c r="G536" i="35"/>
  <c r="I536" i="35"/>
  <c r="J536" i="35"/>
  <c r="K536" i="35"/>
  <c r="G593" i="35"/>
  <c r="I593" i="35"/>
  <c r="J593" i="35"/>
  <c r="K593" i="35"/>
  <c r="G341" i="35"/>
  <c r="I341" i="35"/>
  <c r="J341" i="35"/>
  <c r="K341" i="35"/>
  <c r="G458" i="35"/>
  <c r="I458" i="35"/>
  <c r="J458" i="35"/>
  <c r="K458" i="35"/>
  <c r="G478" i="35"/>
  <c r="I478" i="35"/>
  <c r="J478" i="35"/>
  <c r="K478" i="35"/>
  <c r="G648" i="35"/>
  <c r="I648" i="35"/>
  <c r="J648" i="35"/>
  <c r="K648" i="35"/>
  <c r="G526" i="35"/>
  <c r="I526" i="35"/>
  <c r="J526" i="35"/>
  <c r="K526" i="35"/>
  <c r="G448" i="35"/>
  <c r="I448" i="35"/>
  <c r="J448" i="35"/>
  <c r="K448" i="35"/>
  <c r="G610" i="35"/>
  <c r="I610" i="35"/>
  <c r="J610" i="35"/>
  <c r="K610" i="35"/>
  <c r="G340" i="35"/>
  <c r="I340" i="35"/>
  <c r="J340" i="35"/>
  <c r="K340" i="35"/>
  <c r="G429" i="35"/>
  <c r="I429" i="35"/>
  <c r="J429" i="35"/>
  <c r="K429" i="35"/>
  <c r="G666" i="35"/>
  <c r="I666" i="35"/>
  <c r="J666" i="35"/>
  <c r="K666" i="35"/>
  <c r="G579" i="35"/>
  <c r="I579" i="35"/>
  <c r="J579" i="35"/>
  <c r="K579" i="35"/>
  <c r="G624" i="35"/>
  <c r="I624" i="35"/>
  <c r="J624" i="35"/>
  <c r="K624" i="35"/>
  <c r="G551" i="35"/>
  <c r="I551" i="35"/>
  <c r="J551" i="35"/>
  <c r="K551" i="35"/>
  <c r="G655" i="35"/>
  <c r="I655" i="35"/>
  <c r="J655" i="35"/>
  <c r="K655" i="35"/>
  <c r="G663" i="35"/>
  <c r="I663" i="35"/>
  <c r="J663" i="35"/>
  <c r="K663" i="35"/>
  <c r="G342" i="35"/>
  <c r="I342" i="35"/>
  <c r="J342" i="35"/>
  <c r="K342" i="35"/>
  <c r="G574" i="35"/>
  <c r="I574" i="35"/>
  <c r="J574" i="35"/>
  <c r="K574" i="35"/>
  <c r="G611" i="35"/>
  <c r="I611" i="35"/>
  <c r="J611" i="35"/>
  <c r="K611" i="35"/>
  <c r="G575" i="35"/>
  <c r="I575" i="35"/>
  <c r="J575" i="35"/>
  <c r="K575" i="35"/>
  <c r="G647" i="35"/>
  <c r="I647" i="35"/>
  <c r="J647" i="35"/>
  <c r="K647" i="35"/>
  <c r="G588" i="35"/>
  <c r="I588" i="35"/>
  <c r="J588" i="35"/>
  <c r="K588" i="35"/>
  <c r="G355" i="35"/>
  <c r="I355" i="35"/>
  <c r="J355" i="35"/>
  <c r="K355" i="35"/>
  <c r="G594" i="35"/>
  <c r="I594" i="35"/>
  <c r="J594" i="35"/>
  <c r="K594" i="35"/>
  <c r="G667" i="35"/>
  <c r="I667" i="35"/>
  <c r="J667" i="35"/>
  <c r="K667" i="35"/>
  <c r="G462" i="35"/>
  <c r="I462" i="35"/>
  <c r="J462" i="35"/>
  <c r="K462" i="35"/>
  <c r="G625" i="35"/>
  <c r="I625" i="35"/>
  <c r="J625" i="35"/>
  <c r="K625" i="35"/>
  <c r="G605" i="35"/>
  <c r="I605" i="35"/>
  <c r="J605" i="35"/>
  <c r="K605" i="35"/>
  <c r="G652" i="35"/>
  <c r="I652" i="35"/>
  <c r="J652" i="35"/>
  <c r="K652" i="35"/>
  <c r="G592" i="35"/>
  <c r="I592" i="35"/>
  <c r="J592" i="35"/>
  <c r="K592" i="35"/>
  <c r="G631" i="35"/>
  <c r="I631" i="35"/>
  <c r="J631" i="35"/>
  <c r="K631" i="35"/>
  <c r="G633" i="35"/>
  <c r="I633" i="35"/>
  <c r="J633" i="35"/>
  <c r="K633" i="35"/>
  <c r="G583" i="35"/>
  <c r="I583" i="35"/>
  <c r="J583" i="35"/>
  <c r="K583" i="35"/>
  <c r="G638" i="35"/>
  <c r="I638" i="35"/>
  <c r="J638" i="35"/>
  <c r="K638" i="35"/>
  <c r="G627" i="35"/>
  <c r="I627" i="35"/>
  <c r="J627" i="35"/>
  <c r="K627" i="35"/>
  <c r="G595" i="35"/>
  <c r="I595" i="35"/>
  <c r="J595" i="35"/>
  <c r="K595" i="35"/>
  <c r="G604" i="35"/>
  <c r="I604" i="35"/>
  <c r="J604" i="35"/>
  <c r="K604" i="35"/>
  <c r="G660" i="35"/>
  <c r="I660" i="35"/>
  <c r="J660" i="35"/>
  <c r="K660" i="35"/>
  <c r="G642" i="35"/>
  <c r="I642" i="35"/>
  <c r="J642" i="35"/>
  <c r="K642" i="35"/>
  <c r="G665" i="35"/>
  <c r="I665" i="35"/>
  <c r="J665" i="35"/>
  <c r="K665" i="35"/>
  <c r="G622" i="35"/>
  <c r="I622" i="35"/>
  <c r="J622" i="35"/>
  <c r="K622" i="35"/>
  <c r="G640" i="35"/>
  <c r="I640" i="35"/>
  <c r="J640" i="35"/>
  <c r="K640" i="35"/>
  <c r="G613" i="35"/>
  <c r="I613" i="35"/>
  <c r="J613" i="35"/>
  <c r="K613" i="35"/>
  <c r="G626" i="35"/>
  <c r="I626" i="35"/>
  <c r="J626" i="35"/>
  <c r="K626" i="35"/>
  <c r="G656" i="35"/>
  <c r="I656" i="35"/>
  <c r="J656" i="35"/>
  <c r="K656" i="35"/>
  <c r="G587" i="35"/>
  <c r="I587" i="35"/>
  <c r="J587" i="35"/>
  <c r="K587" i="35"/>
  <c r="G609" i="35"/>
  <c r="I609" i="35"/>
  <c r="J609" i="35"/>
  <c r="K609" i="35"/>
  <c r="G617" i="35"/>
  <c r="I617" i="35"/>
  <c r="J617" i="35"/>
  <c r="K617" i="35"/>
  <c r="G487" i="35"/>
  <c r="I487" i="35"/>
  <c r="J487" i="35"/>
  <c r="K487" i="35"/>
  <c r="G405" i="35"/>
  <c r="I405" i="35"/>
  <c r="J405" i="35"/>
  <c r="K405" i="35"/>
  <c r="G581" i="35"/>
  <c r="I581" i="35"/>
  <c r="J581" i="35"/>
  <c r="K581" i="35"/>
  <c r="G630" i="35"/>
  <c r="I630" i="35"/>
  <c r="J630" i="35"/>
  <c r="K630" i="35"/>
  <c r="G528" i="35"/>
  <c r="I528" i="35"/>
  <c r="J528" i="35"/>
  <c r="K528" i="35"/>
  <c r="G646" i="35"/>
  <c r="I646" i="35"/>
  <c r="J646" i="35"/>
  <c r="K646" i="35"/>
  <c r="G623" i="35"/>
  <c r="I623" i="35"/>
  <c r="J623" i="35"/>
  <c r="K623" i="35"/>
  <c r="G651" i="35"/>
  <c r="I651" i="35"/>
  <c r="J651" i="35"/>
  <c r="K651" i="35"/>
  <c r="G446" i="35"/>
  <c r="I446" i="35"/>
  <c r="J446" i="35"/>
  <c r="K446" i="35"/>
  <c r="G614" i="35"/>
  <c r="I614" i="35"/>
  <c r="J614" i="35"/>
  <c r="K614" i="35"/>
  <c r="G602" i="35"/>
  <c r="I602" i="35"/>
  <c r="J602" i="35"/>
  <c r="K602" i="35"/>
  <c r="G637" i="35"/>
  <c r="I637" i="35"/>
  <c r="J637" i="35"/>
  <c r="K637" i="35"/>
  <c r="G582" i="35"/>
  <c r="I582" i="35"/>
  <c r="J582" i="35"/>
  <c r="K582" i="35"/>
  <c r="G572" i="35"/>
  <c r="I572" i="35"/>
  <c r="J572" i="35"/>
  <c r="K572" i="35"/>
  <c r="G402" i="35"/>
  <c r="I402" i="35"/>
  <c r="J402" i="35"/>
  <c r="K402" i="35"/>
  <c r="G545" i="35"/>
  <c r="I545" i="35"/>
  <c r="J545" i="35"/>
  <c r="K545" i="35"/>
  <c r="G607" i="35"/>
  <c r="I607" i="35"/>
  <c r="J607" i="35"/>
  <c r="K607" i="35"/>
  <c r="G671" i="35"/>
  <c r="I671" i="35"/>
  <c r="J671" i="35"/>
  <c r="K671" i="35"/>
  <c r="G657" i="35"/>
  <c r="I657" i="35"/>
  <c r="J657" i="35"/>
  <c r="K657" i="35"/>
  <c r="G616" i="35"/>
  <c r="I616" i="35"/>
  <c r="J616" i="35"/>
  <c r="K616" i="35"/>
  <c r="G599" i="35"/>
  <c r="I599" i="35"/>
  <c r="J599" i="35"/>
  <c r="K599" i="35"/>
  <c r="G412" i="35"/>
  <c r="I412" i="35"/>
  <c r="J412" i="35"/>
  <c r="K412" i="35"/>
  <c r="G584" i="35"/>
  <c r="I584" i="35"/>
  <c r="J584" i="35"/>
  <c r="K584" i="35"/>
  <c r="G649" i="35"/>
  <c r="I649" i="35"/>
  <c r="J649" i="35"/>
  <c r="K649" i="35"/>
  <c r="G650" i="35"/>
  <c r="I650" i="35"/>
  <c r="J650" i="35"/>
  <c r="K650" i="35"/>
  <c r="G603" i="35"/>
  <c r="I603" i="35"/>
  <c r="J603" i="35"/>
  <c r="K603" i="35"/>
  <c r="G577" i="35"/>
  <c r="I577" i="35"/>
  <c r="J577" i="35"/>
  <c r="K577" i="35"/>
  <c r="G601" i="35"/>
  <c r="I601" i="35"/>
  <c r="J601" i="35"/>
  <c r="K601" i="35"/>
  <c r="G568" i="35"/>
  <c r="I568" i="35"/>
  <c r="J568" i="35"/>
  <c r="K568" i="35"/>
  <c r="G571" i="35"/>
  <c r="I571" i="35"/>
  <c r="J571" i="35"/>
  <c r="K571" i="35"/>
  <c r="G661" i="35"/>
  <c r="I661" i="35"/>
  <c r="J661" i="35"/>
  <c r="K661" i="35"/>
  <c r="G598" i="35"/>
  <c r="I598" i="35"/>
  <c r="J598" i="35"/>
  <c r="K598" i="35"/>
  <c r="G669" i="35"/>
  <c r="I669" i="35"/>
  <c r="J669" i="35"/>
  <c r="K669" i="35"/>
  <c r="G578" i="35"/>
  <c r="I578" i="35"/>
  <c r="J578" i="35"/>
  <c r="K578" i="35"/>
  <c r="G664" i="35"/>
  <c r="I664" i="35"/>
  <c r="J664" i="35"/>
  <c r="K664" i="35"/>
  <c r="G634" i="35"/>
  <c r="I634" i="35"/>
  <c r="J634" i="35"/>
  <c r="K634" i="35"/>
  <c r="G659" i="35"/>
  <c r="I659" i="35"/>
  <c r="J659" i="35"/>
  <c r="K659" i="35"/>
  <c r="G662" i="35"/>
  <c r="I662" i="35"/>
  <c r="J662" i="35"/>
  <c r="K662" i="35"/>
  <c r="G619" i="35"/>
  <c r="I619" i="35"/>
  <c r="J619" i="35"/>
  <c r="K619" i="35"/>
  <c r="G596" i="35"/>
  <c r="I596" i="35"/>
  <c r="J596" i="35"/>
  <c r="K596" i="35"/>
  <c r="G653" i="35"/>
  <c r="I653" i="35"/>
  <c r="J653" i="35"/>
  <c r="K653" i="35"/>
  <c r="G618" i="35"/>
  <c r="I618" i="35"/>
  <c r="J618" i="35"/>
  <c r="K618" i="35"/>
  <c r="G632" i="35"/>
  <c r="I632" i="35"/>
  <c r="J632" i="35"/>
  <c r="K632" i="35"/>
  <c r="G569" i="35"/>
  <c r="I569" i="35"/>
  <c r="J569" i="35"/>
  <c r="K569" i="35"/>
  <c r="G635" i="35"/>
  <c r="I635" i="35"/>
  <c r="J635" i="35"/>
  <c r="K635" i="35"/>
  <c r="G612" i="35"/>
  <c r="I612" i="35"/>
  <c r="J612" i="35"/>
  <c r="K612" i="35"/>
  <c r="G606" i="35"/>
  <c r="I606" i="35"/>
  <c r="J606" i="35"/>
  <c r="K606" i="35"/>
  <c r="G586" i="35"/>
  <c r="I586" i="35"/>
  <c r="J586" i="35"/>
  <c r="K586" i="35"/>
  <c r="G522" i="35"/>
  <c r="I522" i="35"/>
  <c r="J522" i="35"/>
  <c r="K522" i="35"/>
  <c r="G418" i="35"/>
  <c r="I418" i="35"/>
  <c r="J418" i="35"/>
  <c r="K418" i="35"/>
  <c r="G553" i="35"/>
  <c r="I553" i="35"/>
  <c r="J553" i="35"/>
  <c r="K553" i="35"/>
  <c r="G465" i="35"/>
  <c r="I465" i="35"/>
  <c r="J465" i="35"/>
  <c r="K465" i="35"/>
  <c r="G454" i="35"/>
  <c r="I454" i="35"/>
  <c r="J454" i="35"/>
  <c r="K454" i="35"/>
  <c r="G378" i="35"/>
  <c r="I378" i="35"/>
  <c r="J378" i="35"/>
  <c r="K378" i="35"/>
  <c r="G570" i="35"/>
  <c r="I570" i="35"/>
  <c r="J570" i="35"/>
  <c r="K570" i="35"/>
  <c r="G492" i="35"/>
  <c r="I492" i="35"/>
  <c r="J492" i="35"/>
  <c r="K492" i="35"/>
  <c r="G590" i="35"/>
  <c r="I590" i="35"/>
  <c r="J590" i="35"/>
  <c r="K590" i="35"/>
  <c r="G576" i="35"/>
  <c r="I576" i="35"/>
  <c r="J576" i="35"/>
  <c r="K576" i="35"/>
  <c r="G658" i="35"/>
  <c r="I658" i="35"/>
  <c r="J658" i="35"/>
  <c r="K658" i="35"/>
  <c r="G668" i="35"/>
  <c r="I668" i="35"/>
  <c r="J668" i="35"/>
  <c r="K668" i="35"/>
  <c r="G620" i="35"/>
  <c r="I620" i="35"/>
  <c r="J620" i="35"/>
  <c r="K620" i="35"/>
  <c r="G589" i="35"/>
  <c r="I589" i="35"/>
  <c r="J589" i="35"/>
  <c r="K589" i="35"/>
  <c r="G621" i="35"/>
  <c r="I621" i="35"/>
  <c r="J621" i="35"/>
  <c r="K621" i="35"/>
  <c r="G573" i="35"/>
  <c r="I573" i="35"/>
  <c r="J573" i="35"/>
  <c r="K573" i="35"/>
  <c r="G600" i="35"/>
  <c r="I600" i="35"/>
  <c r="J600" i="35"/>
  <c r="K600" i="35"/>
  <c r="G518" i="35"/>
  <c r="I518" i="35"/>
  <c r="J518" i="35"/>
  <c r="K518" i="35"/>
  <c r="G585" i="35"/>
  <c r="I585" i="35"/>
  <c r="J585" i="35"/>
  <c r="K585" i="35"/>
  <c r="G645" i="35"/>
  <c r="I645" i="35"/>
  <c r="J645" i="35"/>
  <c r="K645" i="35"/>
  <c r="G19" i="35"/>
  <c r="I19" i="35"/>
  <c r="J19" i="35"/>
  <c r="K19" i="35"/>
  <c r="G57" i="35"/>
  <c r="I57" i="35"/>
  <c r="J57" i="35"/>
  <c r="K57" i="35"/>
  <c r="G84" i="35"/>
  <c r="I84" i="35"/>
  <c r="J84" i="35"/>
  <c r="K84" i="35"/>
  <c r="G191" i="35"/>
  <c r="I191" i="35"/>
  <c r="J191" i="35"/>
  <c r="K191" i="35"/>
  <c r="G301" i="35"/>
  <c r="I301" i="35"/>
  <c r="J301" i="35"/>
  <c r="K301" i="35"/>
  <c r="G244" i="35"/>
  <c r="I244" i="35"/>
  <c r="J244" i="35"/>
  <c r="K244" i="35"/>
  <c r="G192" i="35"/>
  <c r="I192" i="35"/>
  <c r="J192" i="35"/>
  <c r="K192" i="35"/>
  <c r="G254" i="35"/>
  <c r="I254" i="35"/>
  <c r="J254" i="35"/>
  <c r="K254" i="35"/>
  <c r="G223" i="35"/>
  <c r="I223" i="35"/>
  <c r="J223" i="35"/>
  <c r="K223" i="35"/>
  <c r="G190" i="35"/>
  <c r="I190" i="35"/>
  <c r="J190" i="35"/>
  <c r="K190" i="35"/>
  <c r="G330" i="35"/>
  <c r="I330" i="35"/>
  <c r="J330" i="35"/>
  <c r="K330" i="35"/>
  <c r="G33" i="35"/>
  <c r="I33" i="35"/>
  <c r="J33" i="35"/>
  <c r="K33" i="35"/>
  <c r="G104" i="35"/>
  <c r="I104" i="35"/>
  <c r="J104" i="35"/>
  <c r="K104" i="35"/>
  <c r="G134" i="35"/>
  <c r="I134" i="35"/>
  <c r="J134" i="35"/>
  <c r="K134" i="35"/>
  <c r="G60" i="35"/>
  <c r="I60" i="35"/>
  <c r="J60" i="35"/>
  <c r="K60" i="35"/>
  <c r="G284" i="35"/>
  <c r="I284" i="35"/>
  <c r="J284" i="35"/>
  <c r="K284" i="35"/>
  <c r="G54" i="35"/>
  <c r="I54" i="35"/>
  <c r="J54" i="35"/>
  <c r="K54" i="35"/>
  <c r="G39" i="35"/>
  <c r="I39" i="35"/>
  <c r="J39" i="35"/>
  <c r="K39" i="35"/>
  <c r="G161" i="35"/>
  <c r="I161" i="35"/>
  <c r="J161" i="35"/>
  <c r="K161" i="35"/>
  <c r="G70" i="35"/>
  <c r="I70" i="35"/>
  <c r="J70" i="35"/>
  <c r="K70" i="35"/>
  <c r="G66" i="35"/>
  <c r="I66" i="35"/>
  <c r="J66" i="35"/>
  <c r="K66" i="35"/>
  <c r="G304" i="35"/>
  <c r="I304" i="35"/>
  <c r="J304" i="35"/>
  <c r="K304" i="35"/>
  <c r="G125" i="35"/>
  <c r="I125" i="35"/>
  <c r="J125" i="35"/>
  <c r="K125" i="35"/>
  <c r="G116" i="35"/>
  <c r="I116" i="35"/>
  <c r="J116" i="35"/>
  <c r="K116" i="35"/>
  <c r="G176" i="35"/>
  <c r="I176" i="35"/>
  <c r="J176" i="35"/>
  <c r="K176" i="35"/>
  <c r="G328" i="35"/>
  <c r="I328" i="35"/>
  <c r="J328" i="35"/>
  <c r="K328" i="35"/>
  <c r="G227" i="35"/>
  <c r="I227" i="35"/>
  <c r="J227" i="35"/>
  <c r="K227" i="35"/>
  <c r="G165" i="35"/>
  <c r="I165" i="35"/>
  <c r="J165" i="35"/>
  <c r="K165" i="35"/>
  <c r="G232" i="35"/>
  <c r="I232" i="35"/>
  <c r="J232" i="35"/>
  <c r="K232" i="35"/>
  <c r="G155" i="35"/>
  <c r="I155" i="35"/>
  <c r="J155" i="35"/>
  <c r="K155" i="35"/>
  <c r="G69" i="35"/>
  <c r="I69" i="35"/>
  <c r="J69" i="35"/>
  <c r="K69" i="35"/>
  <c r="G195" i="35"/>
  <c r="I195" i="35"/>
  <c r="J195" i="35"/>
  <c r="K195" i="35"/>
  <c r="G95" i="35"/>
  <c r="I95" i="35"/>
  <c r="J95" i="35"/>
  <c r="K95" i="35"/>
  <c r="G137" i="35"/>
  <c r="I137" i="35"/>
  <c r="J137" i="35"/>
  <c r="K137" i="35"/>
  <c r="G162" i="35"/>
  <c r="I162" i="35"/>
  <c r="J162" i="35"/>
  <c r="K162" i="35"/>
  <c r="G30" i="35"/>
  <c r="I30" i="35"/>
  <c r="J30" i="35"/>
  <c r="K30" i="35"/>
  <c r="G322" i="35"/>
  <c r="I322" i="35"/>
  <c r="J322" i="35"/>
  <c r="K322" i="35"/>
  <c r="G219" i="35"/>
  <c r="I219" i="35"/>
  <c r="J219" i="35"/>
  <c r="K219" i="35"/>
  <c r="G303" i="35"/>
  <c r="I303" i="35"/>
  <c r="J303" i="35"/>
  <c r="K303" i="35"/>
  <c r="G214" i="35"/>
  <c r="I214" i="35"/>
  <c r="J214" i="35"/>
  <c r="K214" i="35"/>
  <c r="G168" i="35"/>
  <c r="I168" i="35"/>
  <c r="J168" i="35"/>
  <c r="K168" i="35"/>
  <c r="G290" i="35"/>
  <c r="I290" i="35"/>
  <c r="J290" i="35"/>
  <c r="K290" i="35"/>
  <c r="G45" i="35"/>
  <c r="I45" i="35"/>
  <c r="J45" i="35"/>
  <c r="K45" i="35"/>
  <c r="G183" i="35"/>
  <c r="I183" i="35"/>
  <c r="J183" i="35"/>
  <c r="K183" i="35"/>
  <c r="G248" i="35"/>
  <c r="I248" i="35"/>
  <c r="J248" i="35"/>
  <c r="K248" i="35"/>
  <c r="G29" i="35"/>
  <c r="I29" i="35"/>
  <c r="J29" i="35"/>
  <c r="K29" i="35"/>
  <c r="G212" i="35"/>
  <c r="I212" i="35"/>
  <c r="J212" i="35"/>
  <c r="K212" i="35"/>
  <c r="G180" i="35"/>
  <c r="I180" i="35"/>
  <c r="J180" i="35"/>
  <c r="K180" i="35"/>
  <c r="G113" i="35"/>
  <c r="I113" i="35"/>
  <c r="J113" i="35"/>
  <c r="K113" i="35"/>
  <c r="G292" i="35"/>
  <c r="I292" i="35"/>
  <c r="J292" i="35"/>
  <c r="K292" i="35"/>
  <c r="G259" i="35"/>
  <c r="I259" i="35"/>
  <c r="J259" i="35"/>
  <c r="K259" i="35"/>
  <c r="G87" i="35"/>
  <c r="I87" i="35"/>
  <c r="J87" i="35"/>
  <c r="K87" i="35"/>
  <c r="G62" i="35"/>
  <c r="I62" i="35"/>
  <c r="J62" i="35"/>
  <c r="K62" i="35"/>
  <c r="G44" i="35"/>
  <c r="I44" i="35"/>
  <c r="J44" i="35"/>
  <c r="K44" i="35"/>
  <c r="G277" i="35"/>
  <c r="I277" i="35"/>
  <c r="J277" i="35"/>
  <c r="K277" i="35"/>
  <c r="G147" i="35"/>
  <c r="I147" i="35"/>
  <c r="J147" i="35"/>
  <c r="K147" i="35"/>
  <c r="G143" i="35"/>
  <c r="I143" i="35"/>
  <c r="J143" i="35"/>
  <c r="K143" i="35"/>
  <c r="G74" i="35"/>
  <c r="I74" i="35"/>
  <c r="J74" i="35"/>
  <c r="K74" i="35"/>
  <c r="G268" i="35"/>
  <c r="I268" i="35"/>
  <c r="J268" i="35"/>
  <c r="K268" i="35"/>
  <c r="G230" i="35"/>
  <c r="I230" i="35"/>
  <c r="J230" i="35"/>
  <c r="K230" i="35"/>
  <c r="G50" i="35"/>
  <c r="I50" i="35"/>
  <c r="J50" i="35"/>
  <c r="K50" i="35"/>
  <c r="G156" i="35"/>
  <c r="I156" i="35"/>
  <c r="J156" i="35"/>
  <c r="K156" i="35"/>
  <c r="G175" i="35"/>
  <c r="I175" i="35"/>
  <c r="J175" i="35"/>
  <c r="K175" i="35"/>
  <c r="G291" i="35"/>
  <c r="I291" i="35"/>
  <c r="J291" i="35"/>
  <c r="K291" i="35"/>
  <c r="G202" i="35"/>
  <c r="I202" i="35"/>
  <c r="J202" i="35"/>
  <c r="K202" i="35"/>
  <c r="G85" i="35"/>
  <c r="I85" i="35"/>
  <c r="J85" i="35"/>
  <c r="K85" i="35"/>
  <c r="G306" i="35"/>
  <c r="I306" i="35"/>
  <c r="J306" i="35"/>
  <c r="K306" i="35"/>
  <c r="G321" i="35"/>
  <c r="I321" i="35"/>
  <c r="J321" i="35"/>
  <c r="K321" i="35"/>
  <c r="G239" i="35"/>
  <c r="I239" i="35"/>
  <c r="J239" i="35"/>
  <c r="K239" i="35"/>
  <c r="G174" i="35"/>
  <c r="I174" i="35"/>
  <c r="J174" i="35"/>
  <c r="K174" i="35"/>
  <c r="G282" i="35"/>
  <c r="I282" i="35"/>
  <c r="J282" i="35"/>
  <c r="K282" i="35"/>
  <c r="G249" i="35"/>
  <c r="I249" i="35"/>
  <c r="J249" i="35"/>
  <c r="K249" i="35"/>
  <c r="G208" i="35"/>
  <c r="I208" i="35"/>
  <c r="J208" i="35"/>
  <c r="K208" i="35"/>
  <c r="G236" i="35"/>
  <c r="I236" i="35"/>
  <c r="J236" i="35"/>
  <c r="K236" i="35"/>
  <c r="G209" i="35"/>
  <c r="I209" i="35"/>
  <c r="J209" i="35"/>
  <c r="K209" i="35"/>
  <c r="G283" i="35"/>
  <c r="I283" i="35"/>
  <c r="J283" i="35"/>
  <c r="K283" i="35"/>
  <c r="G28" i="35"/>
  <c r="I28" i="35"/>
  <c r="J28" i="35"/>
  <c r="K28" i="35"/>
  <c r="G334" i="35"/>
  <c r="I334" i="35"/>
  <c r="J334" i="35"/>
  <c r="K334" i="35"/>
  <c r="G295" i="35"/>
  <c r="I295" i="35"/>
  <c r="J295" i="35"/>
  <c r="K295" i="35"/>
  <c r="G97" i="35"/>
  <c r="I97" i="35"/>
  <c r="J97" i="35"/>
  <c r="K97" i="35"/>
  <c r="G181" i="35"/>
  <c r="I181" i="35"/>
  <c r="J181" i="35"/>
  <c r="K181" i="35"/>
  <c r="G9" i="35"/>
  <c r="I9" i="35"/>
  <c r="J9" i="35"/>
  <c r="K9" i="35"/>
  <c r="G49" i="35"/>
  <c r="I49" i="35"/>
  <c r="J49" i="35"/>
  <c r="K49" i="35"/>
  <c r="G310" i="35"/>
  <c r="I310" i="35"/>
  <c r="J310" i="35"/>
  <c r="K310" i="35"/>
  <c r="G86" i="35"/>
  <c r="I86" i="35"/>
  <c r="J86" i="35"/>
  <c r="K86" i="35"/>
  <c r="G324" i="35"/>
  <c r="I324" i="35"/>
  <c r="J324" i="35"/>
  <c r="K324" i="35"/>
  <c r="G278" i="35"/>
  <c r="I278" i="35"/>
  <c r="J278" i="35"/>
  <c r="K278" i="35"/>
  <c r="G242" i="35"/>
  <c r="I242" i="35"/>
  <c r="J242" i="35"/>
  <c r="K242" i="35"/>
  <c r="G228" i="35"/>
  <c r="I228" i="35"/>
  <c r="J228" i="35"/>
  <c r="K228" i="35"/>
  <c r="G136" i="35"/>
  <c r="I136" i="35"/>
  <c r="J136" i="35"/>
  <c r="K136" i="35"/>
  <c r="G5" i="35"/>
  <c r="I5" i="35"/>
  <c r="J5" i="35"/>
  <c r="K5" i="35"/>
  <c r="G269" i="35"/>
  <c r="I269" i="35"/>
  <c r="J269" i="35"/>
  <c r="K269" i="35"/>
  <c r="G53" i="35"/>
  <c r="I53" i="35"/>
  <c r="J53" i="35"/>
  <c r="K53" i="35"/>
  <c r="G256" i="35"/>
  <c r="I256" i="35"/>
  <c r="J256" i="35"/>
  <c r="K256" i="35"/>
  <c r="G297" i="35"/>
  <c r="I297" i="35"/>
  <c r="J297" i="35"/>
  <c r="K297" i="35"/>
  <c r="G37" i="35"/>
  <c r="I37" i="35"/>
  <c r="J37" i="35"/>
  <c r="K37" i="35"/>
  <c r="G18" i="35"/>
  <c r="I18" i="35"/>
  <c r="J18" i="35"/>
  <c r="K18" i="35"/>
  <c r="G206" i="35"/>
  <c r="I206" i="35"/>
  <c r="J206" i="35"/>
  <c r="K206" i="35"/>
  <c r="G71" i="35"/>
  <c r="I71" i="35"/>
  <c r="J71" i="35"/>
  <c r="K71" i="35"/>
  <c r="G122" i="35"/>
  <c r="I122" i="35"/>
  <c r="J122" i="35"/>
  <c r="K122" i="35"/>
  <c r="G196" i="35"/>
  <c r="I196" i="35"/>
  <c r="J196" i="35"/>
  <c r="K196" i="35"/>
  <c r="G312" i="35"/>
  <c r="I312" i="35"/>
  <c r="J312" i="35"/>
  <c r="K312" i="35"/>
  <c r="G323" i="35"/>
  <c r="I323" i="35"/>
  <c r="J323" i="35"/>
  <c r="K323" i="35"/>
  <c r="G200" i="35"/>
  <c r="I200" i="35"/>
  <c r="J200" i="35"/>
  <c r="K200" i="35"/>
  <c r="G261" i="35"/>
  <c r="I261" i="35"/>
  <c r="J261" i="35"/>
  <c r="K261" i="35"/>
  <c r="G319" i="35"/>
  <c r="I319" i="35"/>
  <c r="J319" i="35"/>
  <c r="K319" i="35"/>
  <c r="G193" i="35"/>
  <c r="I193" i="35"/>
  <c r="J193" i="35"/>
  <c r="K193" i="35"/>
  <c r="G329" i="35"/>
  <c r="I329" i="35"/>
  <c r="J329" i="35"/>
  <c r="K329" i="35"/>
  <c r="G316" i="35"/>
  <c r="I316" i="35"/>
  <c r="J316" i="35"/>
  <c r="K316" i="35"/>
  <c r="G326" i="35"/>
  <c r="I326" i="35"/>
  <c r="J326" i="35"/>
  <c r="K326" i="35"/>
  <c r="G194" i="35"/>
  <c r="I194" i="35"/>
  <c r="J194" i="35"/>
  <c r="K194" i="35"/>
  <c r="G217" i="35"/>
  <c r="I217" i="35"/>
  <c r="J217" i="35"/>
  <c r="K217" i="35"/>
  <c r="G317" i="35"/>
  <c r="I317" i="35"/>
  <c r="J317" i="35"/>
  <c r="K317" i="35"/>
  <c r="G100" i="35"/>
  <c r="I100" i="35"/>
  <c r="J100" i="35"/>
  <c r="K100" i="35"/>
  <c r="G47" i="35"/>
  <c r="I47" i="35"/>
  <c r="J47" i="35"/>
  <c r="K47" i="35"/>
  <c r="G265" i="35"/>
  <c r="I265" i="35"/>
  <c r="J265" i="35"/>
  <c r="K265" i="35"/>
  <c r="G287" i="35"/>
  <c r="I287" i="35"/>
  <c r="J287" i="35"/>
  <c r="K287" i="35"/>
  <c r="G320" i="35"/>
  <c r="I320" i="35"/>
  <c r="J320" i="35"/>
  <c r="K320" i="35"/>
  <c r="G288" i="35"/>
  <c r="I288" i="35"/>
  <c r="J288" i="35"/>
  <c r="K288" i="35"/>
  <c r="G61" i="35"/>
  <c r="I61" i="35"/>
  <c r="J61" i="35"/>
  <c r="K61" i="35"/>
  <c r="G221" i="35"/>
  <c r="I221" i="35"/>
  <c r="J221" i="35"/>
  <c r="K221" i="35"/>
  <c r="G298" i="35"/>
  <c r="I298" i="35"/>
  <c r="J298" i="35"/>
  <c r="K298" i="35"/>
  <c r="G233" i="35"/>
  <c r="I233" i="35"/>
  <c r="J233" i="35"/>
  <c r="K233" i="35"/>
  <c r="G315" i="35"/>
  <c r="I315" i="35"/>
  <c r="J315" i="35"/>
  <c r="K315" i="35"/>
  <c r="G311" i="35"/>
  <c r="I311" i="35"/>
  <c r="J311" i="35"/>
  <c r="K311" i="35"/>
  <c r="G272" i="35"/>
  <c r="I272" i="35"/>
  <c r="J272" i="35"/>
  <c r="K272" i="35"/>
  <c r="G253" i="35"/>
  <c r="I253" i="35"/>
  <c r="J253" i="35"/>
  <c r="K253" i="35"/>
  <c r="G293" i="35"/>
  <c r="I293" i="35"/>
  <c r="J293" i="35"/>
  <c r="K293" i="35"/>
  <c r="G179" i="35"/>
  <c r="I179" i="35"/>
  <c r="J179" i="35"/>
  <c r="K179" i="35"/>
  <c r="G243" i="35"/>
  <c r="I243" i="35"/>
  <c r="J243" i="35"/>
  <c r="K243" i="35"/>
  <c r="G132" i="35"/>
  <c r="I132" i="35"/>
  <c r="J132" i="35"/>
  <c r="K132" i="35"/>
  <c r="G296" i="35"/>
  <c r="I296" i="35"/>
  <c r="J296" i="35"/>
  <c r="K296" i="35"/>
  <c r="G313" i="35"/>
  <c r="I313" i="35"/>
  <c r="J313" i="35"/>
  <c r="K313" i="35"/>
  <c r="G262" i="35"/>
  <c r="I262" i="35"/>
  <c r="J262" i="35"/>
  <c r="K262" i="35"/>
  <c r="G138" i="35"/>
  <c r="I138" i="35"/>
  <c r="J138" i="35"/>
  <c r="K138" i="35"/>
  <c r="G279" i="35"/>
  <c r="I279" i="35"/>
  <c r="J279" i="35"/>
  <c r="K279" i="35"/>
  <c r="G309" i="35"/>
  <c r="I309" i="35"/>
  <c r="J309" i="35"/>
  <c r="K309" i="35"/>
  <c r="G154" i="35"/>
  <c r="I154" i="35"/>
  <c r="J154" i="35"/>
  <c r="K154" i="35"/>
  <c r="G139" i="35"/>
  <c r="I139" i="35"/>
  <c r="J139" i="35"/>
  <c r="K139" i="35"/>
  <c r="G220" i="35"/>
  <c r="I220" i="35"/>
  <c r="J220" i="35"/>
  <c r="K220" i="35"/>
  <c r="G276" i="35"/>
  <c r="I276" i="35"/>
  <c r="J276" i="35"/>
  <c r="K276" i="35"/>
  <c r="G12" i="35"/>
  <c r="I12" i="35"/>
  <c r="J12" i="35"/>
  <c r="K12" i="35"/>
  <c r="G235" i="35"/>
  <c r="I235" i="35"/>
  <c r="J235" i="35"/>
  <c r="K235" i="35"/>
  <c r="G299" i="35"/>
  <c r="I299" i="35"/>
  <c r="J299" i="35"/>
  <c r="K299" i="35"/>
  <c r="G289" i="35"/>
  <c r="I289" i="35"/>
  <c r="J289" i="35"/>
  <c r="K289" i="35"/>
  <c r="G164" i="35"/>
  <c r="I164" i="35"/>
  <c r="J164" i="35"/>
  <c r="K164" i="35"/>
  <c r="G32" i="35"/>
  <c r="I32" i="35"/>
  <c r="J32" i="35"/>
  <c r="K32" i="35"/>
  <c r="G150" i="35"/>
  <c r="I150" i="35"/>
  <c r="J150" i="35"/>
  <c r="K150" i="35"/>
  <c r="G52" i="35"/>
  <c r="I52" i="35"/>
  <c r="J52" i="35"/>
  <c r="K52" i="35"/>
  <c r="G205" i="35"/>
  <c r="I205" i="35"/>
  <c r="J205" i="35"/>
  <c r="K205" i="35"/>
  <c r="G229" i="35"/>
  <c r="I229" i="35"/>
  <c r="J229" i="35"/>
  <c r="K229" i="35"/>
  <c r="G252" i="35"/>
  <c r="I252" i="35"/>
  <c r="J252" i="35"/>
  <c r="K252" i="35"/>
  <c r="G46" i="35"/>
  <c r="I46" i="35"/>
  <c r="J46" i="35"/>
  <c r="K46" i="35"/>
  <c r="G255" i="35"/>
  <c r="I255" i="35"/>
  <c r="J255" i="35"/>
  <c r="K255" i="35"/>
  <c r="G294" i="35"/>
  <c r="I294" i="35"/>
  <c r="J294" i="35"/>
  <c r="K294" i="35"/>
  <c r="G305" i="35"/>
  <c r="I305" i="35"/>
  <c r="J305" i="35"/>
  <c r="K305" i="35"/>
  <c r="G203" i="35"/>
  <c r="I203" i="35"/>
  <c r="J203" i="35"/>
  <c r="K203" i="35"/>
  <c r="G13" i="35"/>
  <c r="I13" i="35"/>
  <c r="J13" i="35"/>
  <c r="K13" i="35"/>
  <c r="G184" i="35"/>
  <c r="I184" i="35"/>
  <c r="J184" i="35"/>
  <c r="K184" i="35"/>
  <c r="G274" i="35"/>
  <c r="I274" i="35"/>
  <c r="J274" i="35"/>
  <c r="K274" i="35"/>
  <c r="G94" i="35"/>
  <c r="I94" i="35"/>
  <c r="J94" i="35"/>
  <c r="K94" i="35"/>
  <c r="G325" i="35"/>
  <c r="I325" i="35"/>
  <c r="J325" i="35"/>
  <c r="K325" i="35"/>
  <c r="G281" i="35"/>
  <c r="I281" i="35"/>
  <c r="J281" i="35"/>
  <c r="K281" i="35"/>
  <c r="G257" i="35"/>
  <c r="I257" i="35"/>
  <c r="J257" i="35"/>
  <c r="K257" i="35"/>
  <c r="G103" i="35"/>
  <c r="I103" i="35"/>
  <c r="J103" i="35"/>
  <c r="K103" i="35"/>
  <c r="G302" i="35"/>
  <c r="I302" i="35"/>
  <c r="J302" i="35"/>
  <c r="K302" i="35"/>
  <c r="G189" i="35"/>
  <c r="I189" i="35"/>
  <c r="J189" i="35"/>
  <c r="K189" i="35"/>
  <c r="G225" i="35"/>
  <c r="I225" i="35"/>
  <c r="J225" i="35"/>
  <c r="K225" i="35"/>
  <c r="G197" i="35"/>
  <c r="I197" i="35"/>
  <c r="J197" i="35"/>
  <c r="K197" i="35"/>
  <c r="G78" i="35"/>
  <c r="I78" i="35"/>
  <c r="J78" i="35"/>
  <c r="K78" i="35"/>
  <c r="G240" i="35"/>
  <c r="I240" i="35"/>
  <c r="J240" i="35"/>
  <c r="K240" i="35"/>
  <c r="G159" i="35"/>
  <c r="I159" i="35"/>
  <c r="J159" i="35"/>
  <c r="K159" i="35"/>
  <c r="G333" i="35"/>
  <c r="I333" i="35"/>
  <c r="J333" i="35"/>
  <c r="K333" i="35"/>
  <c r="G24" i="35"/>
  <c r="I24" i="35"/>
  <c r="J24" i="35"/>
  <c r="K24" i="35"/>
  <c r="G35" i="35"/>
  <c r="I35" i="35"/>
  <c r="J35" i="35"/>
  <c r="K35" i="35"/>
  <c r="G285" i="35"/>
  <c r="I285" i="35"/>
  <c r="J285" i="35"/>
  <c r="K285" i="35"/>
  <c r="G55" i="35"/>
  <c r="I55" i="35"/>
  <c r="J55" i="35"/>
  <c r="K55" i="35"/>
  <c r="G51" i="35"/>
  <c r="I51" i="35"/>
  <c r="J51" i="35"/>
  <c r="K51" i="35"/>
  <c r="G131" i="35"/>
  <c r="I131" i="35"/>
  <c r="J131" i="35"/>
  <c r="K131" i="35"/>
  <c r="G331" i="35"/>
  <c r="I331" i="35"/>
  <c r="J331" i="35"/>
  <c r="K331" i="35"/>
  <c r="G332" i="35"/>
  <c r="I332" i="35"/>
  <c r="J332" i="35"/>
  <c r="K332" i="35"/>
  <c r="G216" i="35"/>
  <c r="I216" i="35"/>
  <c r="J216" i="35"/>
  <c r="K216" i="35"/>
  <c r="G108" i="35"/>
  <c r="I108" i="35"/>
  <c r="J108" i="35"/>
  <c r="K108" i="35"/>
  <c r="G20" i="35"/>
  <c r="I20" i="35"/>
  <c r="J20" i="35"/>
  <c r="K20" i="35"/>
  <c r="G251" i="35"/>
  <c r="I251" i="35"/>
  <c r="J251" i="35"/>
  <c r="K251" i="35"/>
  <c r="G121" i="35"/>
  <c r="I121" i="35"/>
  <c r="J121" i="35"/>
  <c r="K121" i="35"/>
  <c r="G64" i="35"/>
  <c r="I64" i="35"/>
  <c r="J64" i="35"/>
  <c r="K64" i="35"/>
  <c r="G65" i="35"/>
  <c r="I65" i="35"/>
  <c r="J65" i="35"/>
  <c r="K65" i="35"/>
  <c r="G90" i="35"/>
  <c r="I90" i="35"/>
  <c r="J90" i="35"/>
  <c r="K90" i="35"/>
  <c r="G48" i="35"/>
  <c r="I48" i="35"/>
  <c r="J48" i="35"/>
  <c r="K48" i="35"/>
  <c r="G98" i="35"/>
  <c r="I98" i="35"/>
  <c r="J98" i="35"/>
  <c r="K98" i="35"/>
  <c r="G140" i="35"/>
  <c r="I140" i="35"/>
  <c r="J140" i="35"/>
  <c r="K140" i="35"/>
  <c r="G207" i="35"/>
  <c r="I207" i="35"/>
  <c r="J207" i="35"/>
  <c r="K207" i="35"/>
  <c r="G17" i="35"/>
  <c r="I17" i="35"/>
  <c r="J17" i="35"/>
  <c r="K17" i="35"/>
  <c r="G6" i="35"/>
  <c r="I6" i="35"/>
  <c r="J6" i="35"/>
  <c r="K6" i="35"/>
  <c r="G40" i="35"/>
  <c r="I40" i="35"/>
  <c r="J40" i="35"/>
  <c r="K40" i="35"/>
  <c r="G128" i="35"/>
  <c r="I128" i="35"/>
  <c r="J128" i="35"/>
  <c r="K128" i="35"/>
  <c r="G106" i="35"/>
  <c r="I106" i="35"/>
  <c r="J106" i="35"/>
  <c r="K106" i="35"/>
  <c r="G58" i="35"/>
  <c r="I58" i="35"/>
  <c r="J58" i="35"/>
  <c r="K58" i="35"/>
  <c r="G36" i="35"/>
  <c r="I36" i="35"/>
  <c r="J36" i="35"/>
  <c r="K36" i="35"/>
  <c r="G38" i="35"/>
  <c r="I38" i="35"/>
  <c r="J38" i="35"/>
  <c r="K38" i="35"/>
  <c r="G115" i="35"/>
  <c r="I115" i="35"/>
  <c r="J115" i="35"/>
  <c r="K115" i="35"/>
  <c r="G152" i="35"/>
  <c r="I152" i="35"/>
  <c r="J152" i="35"/>
  <c r="K152" i="35"/>
  <c r="G109" i="35"/>
  <c r="I109" i="35"/>
  <c r="J109" i="35"/>
  <c r="K109" i="35"/>
  <c r="G157" i="35"/>
  <c r="I157" i="35"/>
  <c r="J157" i="35"/>
  <c r="K157" i="35"/>
  <c r="G215" i="35"/>
  <c r="I215" i="35"/>
  <c r="J215" i="35"/>
  <c r="K215" i="35"/>
  <c r="G118" i="35"/>
  <c r="I118" i="35"/>
  <c r="J118" i="35"/>
  <c r="K118" i="35"/>
  <c r="G218" i="35"/>
  <c r="I218" i="35"/>
  <c r="J218" i="35"/>
  <c r="K218" i="35"/>
  <c r="G187" i="35"/>
  <c r="I187" i="35"/>
  <c r="J187" i="35"/>
  <c r="K187" i="35"/>
  <c r="G67" i="35"/>
  <c r="I67" i="35"/>
  <c r="J67" i="35"/>
  <c r="K67" i="35"/>
  <c r="G267" i="35"/>
  <c r="I267" i="35"/>
  <c r="J267" i="35"/>
  <c r="K267" i="35"/>
  <c r="G204" i="35"/>
  <c r="I204" i="35"/>
  <c r="J204" i="35"/>
  <c r="K204" i="35"/>
  <c r="G41" i="35"/>
  <c r="I41" i="35"/>
  <c r="J41" i="35"/>
  <c r="K41" i="35"/>
  <c r="G270" i="35"/>
  <c r="I270" i="35"/>
  <c r="J270" i="35"/>
  <c r="K270" i="35"/>
  <c r="G123" i="35"/>
  <c r="I123" i="35"/>
  <c r="J123" i="35"/>
  <c r="K123" i="35"/>
  <c r="G2" i="35"/>
  <c r="I2" i="35"/>
  <c r="J2" i="35"/>
  <c r="K2" i="35"/>
  <c r="G314" i="35"/>
  <c r="I314" i="35"/>
  <c r="J314" i="35"/>
  <c r="K314" i="35"/>
  <c r="G286" i="35"/>
  <c r="I286" i="35"/>
  <c r="J286" i="35"/>
  <c r="K286" i="35"/>
  <c r="G260" i="35"/>
  <c r="I260" i="35"/>
  <c r="J260" i="35"/>
  <c r="K260" i="35"/>
  <c r="G112" i="35"/>
  <c r="I112" i="35"/>
  <c r="J112" i="35"/>
  <c r="K112" i="35"/>
  <c r="G247" i="35"/>
  <c r="I247" i="35"/>
  <c r="J247" i="35"/>
  <c r="K247" i="35"/>
  <c r="G238" i="35"/>
  <c r="I238" i="35"/>
  <c r="J238" i="35"/>
  <c r="K238" i="35"/>
  <c r="G234" i="35"/>
  <c r="I234" i="35"/>
  <c r="J234" i="35"/>
  <c r="K234" i="35"/>
  <c r="G124" i="35"/>
  <c r="I124" i="35"/>
  <c r="J124" i="35"/>
  <c r="K124" i="35"/>
  <c r="G23" i="35"/>
  <c r="I23" i="35"/>
  <c r="J23" i="35"/>
  <c r="K23" i="35"/>
  <c r="G79" i="35"/>
  <c r="I79" i="35"/>
  <c r="J79" i="35"/>
  <c r="K79" i="35"/>
  <c r="G80" i="35"/>
  <c r="I80" i="35"/>
  <c r="J80" i="35"/>
  <c r="K80" i="35"/>
  <c r="G77" i="35"/>
  <c r="I77" i="35"/>
  <c r="J77" i="35"/>
  <c r="K77" i="35"/>
  <c r="G148" i="35"/>
  <c r="I148" i="35"/>
  <c r="J148" i="35"/>
  <c r="K148" i="35"/>
  <c r="G42" i="35"/>
  <c r="I42" i="35"/>
  <c r="J42" i="35"/>
  <c r="K42" i="35"/>
  <c r="G231" i="35"/>
  <c r="I231" i="35"/>
  <c r="J231" i="35"/>
  <c r="K231" i="35"/>
  <c r="G27" i="35"/>
  <c r="I27" i="35"/>
  <c r="J27" i="35"/>
  <c r="K27" i="35"/>
  <c r="G34" i="35"/>
  <c r="I34" i="35"/>
  <c r="J34" i="35"/>
  <c r="K34" i="35"/>
  <c r="G246" i="35"/>
  <c r="I246" i="35"/>
  <c r="J246" i="35"/>
  <c r="K246" i="35"/>
  <c r="G210" i="35"/>
  <c r="I210" i="35"/>
  <c r="J210" i="35"/>
  <c r="K210" i="35"/>
  <c r="G56" i="35"/>
  <c r="I56" i="35"/>
  <c r="J56" i="35"/>
  <c r="K56" i="35"/>
  <c r="G91" i="35"/>
  <c r="I91" i="35"/>
  <c r="J91" i="35"/>
  <c r="K91" i="35"/>
  <c r="G153" i="35"/>
  <c r="I153" i="35"/>
  <c r="J153" i="35"/>
  <c r="K153" i="35"/>
  <c r="G173" i="35"/>
  <c r="I173" i="35"/>
  <c r="J173" i="35"/>
  <c r="K173" i="35"/>
  <c r="G300" i="35"/>
  <c r="I300" i="35"/>
  <c r="J300" i="35"/>
  <c r="K300" i="35"/>
  <c r="G16" i="35"/>
  <c r="I16" i="35"/>
  <c r="J16" i="35"/>
  <c r="K16" i="35"/>
  <c r="G275" i="35"/>
  <c r="I275" i="35"/>
  <c r="J275" i="35"/>
  <c r="K275" i="35"/>
  <c r="G308" i="35"/>
  <c r="I308" i="35"/>
  <c r="J308" i="35"/>
  <c r="K308" i="35"/>
  <c r="G177" i="35"/>
  <c r="I177" i="35"/>
  <c r="J177" i="35"/>
  <c r="K177" i="35"/>
  <c r="G163" i="35"/>
  <c r="I163" i="35"/>
  <c r="J163" i="35"/>
  <c r="K163" i="35"/>
  <c r="G245" i="35"/>
  <c r="I245" i="35"/>
  <c r="J245" i="35"/>
  <c r="K245" i="35"/>
  <c r="G15" i="35"/>
  <c r="I15" i="35"/>
  <c r="J15" i="35"/>
  <c r="K15" i="35"/>
  <c r="G149" i="35"/>
  <c r="I149" i="35"/>
  <c r="J149" i="35"/>
  <c r="K149" i="35"/>
  <c r="G105" i="35"/>
  <c r="I105" i="35"/>
  <c r="J105" i="35"/>
  <c r="K105" i="35"/>
  <c r="G110" i="35"/>
  <c r="I110" i="35"/>
  <c r="J110" i="35"/>
  <c r="K110" i="35"/>
  <c r="G83" i="35"/>
  <c r="I83" i="35"/>
  <c r="J83" i="35"/>
  <c r="K83" i="35"/>
  <c r="G73" i="35"/>
  <c r="I73" i="35"/>
  <c r="J73" i="35"/>
  <c r="K73" i="35"/>
  <c r="G21" i="35"/>
  <c r="I21" i="35"/>
  <c r="J21" i="35"/>
  <c r="K21" i="35"/>
  <c r="G135" i="35"/>
  <c r="I135" i="35"/>
  <c r="J135" i="35"/>
  <c r="K135" i="35"/>
  <c r="G160" i="35"/>
  <c r="I160" i="35"/>
  <c r="J160" i="35"/>
  <c r="K160" i="35"/>
  <c r="G142" i="35"/>
  <c r="I142" i="35"/>
  <c r="J142" i="35"/>
  <c r="K142" i="35"/>
  <c r="G186" i="35"/>
  <c r="I186" i="35"/>
  <c r="J186" i="35"/>
  <c r="K186" i="35"/>
  <c r="G151" i="35"/>
  <c r="I151" i="35"/>
  <c r="J151" i="35"/>
  <c r="K151" i="35"/>
  <c r="G129" i="35"/>
  <c r="I129" i="35"/>
  <c r="J129" i="35"/>
  <c r="K129" i="35"/>
  <c r="G82" i="35"/>
  <c r="I82" i="35"/>
  <c r="J82" i="35"/>
  <c r="K82" i="35"/>
  <c r="G263" i="35"/>
  <c r="I263" i="35"/>
  <c r="J263" i="35"/>
  <c r="K263" i="35"/>
  <c r="G170" i="35"/>
  <c r="I170" i="35"/>
  <c r="J170" i="35"/>
  <c r="K170" i="35"/>
  <c r="I146" i="35"/>
  <c r="J146" i="35"/>
  <c r="K146" i="35"/>
  <c r="G10" i="35"/>
  <c r="I10" i="35"/>
  <c r="J10" i="35"/>
  <c r="K10" i="35"/>
  <c r="G63" i="35"/>
  <c r="I63" i="35"/>
  <c r="J63" i="35"/>
  <c r="K63" i="35"/>
  <c r="G68" i="35"/>
  <c r="I68" i="35"/>
  <c r="J68" i="35"/>
  <c r="K68" i="35"/>
  <c r="G117" i="35"/>
  <c r="I117" i="35"/>
  <c r="J117" i="35"/>
  <c r="K117" i="35"/>
  <c r="G22" i="35"/>
  <c r="I22" i="35"/>
  <c r="J22" i="35"/>
  <c r="K22" i="35"/>
  <c r="G336" i="35"/>
  <c r="I336" i="35"/>
  <c r="J336" i="35"/>
  <c r="K336" i="35"/>
  <c r="G169" i="35"/>
  <c r="I169" i="35"/>
  <c r="J169" i="35"/>
  <c r="K169" i="35"/>
  <c r="G25" i="35"/>
  <c r="I25" i="35"/>
  <c r="J25" i="35"/>
  <c r="K25" i="35"/>
  <c r="G185" i="35"/>
  <c r="I185" i="35"/>
  <c r="J185" i="35"/>
  <c r="K185" i="35"/>
  <c r="G250" i="35"/>
  <c r="I250" i="35"/>
  <c r="J250" i="35"/>
  <c r="K250" i="35"/>
  <c r="G96" i="35"/>
  <c r="I96" i="35"/>
  <c r="J96" i="35"/>
  <c r="K96" i="35"/>
  <c r="G4" i="35"/>
  <c r="I4" i="35"/>
  <c r="J4" i="35"/>
  <c r="K4" i="35"/>
  <c r="G172" i="35"/>
  <c r="I172" i="35"/>
  <c r="J172" i="35"/>
  <c r="K172" i="35"/>
  <c r="G188" i="35"/>
  <c r="I188" i="35"/>
  <c r="J188" i="35"/>
  <c r="K188" i="35"/>
  <c r="G158" i="35"/>
  <c r="I158" i="35"/>
  <c r="J158" i="35"/>
  <c r="K158" i="35"/>
  <c r="J114" i="35"/>
  <c r="K114" i="35"/>
  <c r="G26" i="35"/>
  <c r="I26" i="35"/>
  <c r="J26" i="35"/>
  <c r="K26" i="35"/>
  <c r="G335" i="35"/>
  <c r="I335" i="35"/>
  <c r="J335" i="35"/>
  <c r="K335" i="35"/>
  <c r="G264" i="35"/>
  <c r="I264" i="35"/>
  <c r="J264" i="35"/>
  <c r="K264" i="35"/>
  <c r="G92" i="35"/>
  <c r="I92" i="35"/>
  <c r="J92" i="35"/>
  <c r="K92" i="35"/>
  <c r="G171" i="35"/>
  <c r="I171" i="35"/>
  <c r="J171" i="35"/>
  <c r="K171" i="35"/>
  <c r="G222" i="35"/>
  <c r="I222" i="35"/>
  <c r="J222" i="35"/>
  <c r="K222" i="35"/>
  <c r="G31" i="35"/>
  <c r="I31" i="35"/>
  <c r="J31" i="35"/>
  <c r="K31" i="35"/>
  <c r="G145" i="35"/>
  <c r="I145" i="35"/>
  <c r="J145" i="35"/>
  <c r="K145" i="35"/>
  <c r="G201" i="35"/>
  <c r="I201" i="35"/>
  <c r="J201" i="35"/>
  <c r="K201" i="35"/>
  <c r="G273" i="35"/>
  <c r="I273" i="35"/>
  <c r="J273" i="35"/>
  <c r="K273" i="35"/>
  <c r="G120" i="35"/>
  <c r="I120" i="35"/>
  <c r="J120" i="35"/>
  <c r="K120" i="35"/>
  <c r="G182" i="35"/>
  <c r="I182" i="35"/>
  <c r="J182" i="35"/>
  <c r="K182" i="35"/>
  <c r="G241" i="35"/>
  <c r="I241" i="35"/>
  <c r="J241" i="35"/>
  <c r="K241" i="35"/>
  <c r="G43" i="35"/>
  <c r="I43" i="35"/>
  <c r="J43" i="35"/>
  <c r="K43" i="35"/>
  <c r="G133" i="35"/>
  <c r="I133" i="35"/>
  <c r="J133" i="35"/>
  <c r="K133" i="35"/>
  <c r="G237" i="35"/>
  <c r="I237" i="35"/>
  <c r="J237" i="35"/>
  <c r="K237" i="35"/>
  <c r="G213" i="35"/>
  <c r="I213" i="35"/>
  <c r="J213" i="35"/>
  <c r="K213" i="35"/>
  <c r="G8" i="35"/>
  <c r="I8" i="35"/>
  <c r="J8" i="35"/>
  <c r="K8" i="35"/>
  <c r="G318" i="35"/>
  <c r="I318" i="35"/>
  <c r="J318" i="35"/>
  <c r="K318" i="35"/>
  <c r="G59" i="35"/>
  <c r="I59" i="35"/>
  <c r="J59" i="35"/>
  <c r="K59" i="35"/>
  <c r="G111" i="35"/>
  <c r="I111" i="35"/>
  <c r="J111" i="35"/>
  <c r="K111" i="35"/>
  <c r="G101" i="35"/>
  <c r="I101" i="35"/>
  <c r="J101" i="35"/>
  <c r="K101" i="35"/>
  <c r="G107" i="35"/>
  <c r="I107" i="35"/>
  <c r="J107" i="35"/>
  <c r="K107" i="35"/>
  <c r="G11" i="35"/>
  <c r="I11" i="35"/>
  <c r="J11" i="35"/>
  <c r="K11" i="35"/>
  <c r="G14" i="35"/>
  <c r="I14" i="35"/>
  <c r="J14" i="35"/>
  <c r="K14" i="35"/>
  <c r="G119" i="35"/>
  <c r="I119" i="35"/>
  <c r="J119" i="35"/>
  <c r="K119" i="35"/>
  <c r="G178" i="35"/>
  <c r="I178" i="35"/>
  <c r="J178" i="35"/>
  <c r="K178" i="35"/>
  <c r="G127" i="35"/>
  <c r="I127" i="35"/>
  <c r="J127" i="35"/>
  <c r="K127" i="35"/>
  <c r="J327" i="35"/>
  <c r="K327" i="35"/>
  <c r="G271" i="35"/>
  <c r="I271" i="35"/>
  <c r="J271" i="35"/>
  <c r="K271" i="35"/>
  <c r="G280" i="35"/>
  <c r="I280" i="35"/>
  <c r="J280" i="35"/>
  <c r="K280" i="35"/>
  <c r="G198" i="35"/>
  <c r="I198" i="35"/>
  <c r="J198" i="35"/>
  <c r="K198" i="35"/>
  <c r="G72" i="35"/>
  <c r="I72" i="35"/>
  <c r="J72" i="35"/>
  <c r="K72" i="35"/>
  <c r="G93" i="35"/>
  <c r="I93" i="35"/>
  <c r="J93" i="35"/>
  <c r="K93" i="35"/>
  <c r="G76" i="35"/>
  <c r="I76" i="35"/>
  <c r="J76" i="35"/>
  <c r="K76" i="35"/>
  <c r="G141" i="35"/>
  <c r="I141" i="35"/>
  <c r="J141" i="35"/>
  <c r="K141" i="35"/>
  <c r="G266" i="35"/>
  <c r="I266" i="35"/>
  <c r="J266" i="35"/>
  <c r="K266" i="35"/>
  <c r="G258" i="35"/>
  <c r="I258" i="35"/>
  <c r="J258" i="35"/>
  <c r="K258" i="35"/>
  <c r="G167" i="35"/>
  <c r="I167" i="35"/>
  <c r="J167" i="35"/>
  <c r="K167" i="35"/>
  <c r="G166" i="35"/>
  <c r="I166" i="35"/>
  <c r="J166" i="35"/>
  <c r="K166" i="35"/>
  <c r="G307" i="35"/>
  <c r="I307" i="35"/>
  <c r="J307" i="35"/>
  <c r="K307" i="35"/>
  <c r="G199" i="35"/>
  <c r="I199" i="35"/>
  <c r="J199" i="35"/>
  <c r="K199" i="35"/>
  <c r="G75" i="35"/>
  <c r="I75" i="35"/>
  <c r="J75" i="35"/>
  <c r="K75" i="35"/>
  <c r="G3" i="35"/>
  <c r="I3" i="35"/>
  <c r="J3" i="35"/>
  <c r="K3" i="35"/>
  <c r="G88" i="35"/>
  <c r="I88" i="35"/>
  <c r="J88" i="35"/>
  <c r="K88" i="35"/>
  <c r="G226" i="35"/>
  <c r="I226" i="35"/>
  <c r="J226" i="35"/>
  <c r="K226" i="35"/>
  <c r="G99" i="35"/>
  <c r="I99" i="35"/>
  <c r="J99" i="35"/>
  <c r="K99" i="35"/>
  <c r="G81" i="35"/>
  <c r="I81" i="35"/>
  <c r="J81" i="35"/>
  <c r="K81" i="35"/>
  <c r="G224" i="35"/>
  <c r="I224" i="35"/>
  <c r="J224" i="35"/>
  <c r="K224" i="35"/>
  <c r="G144" i="35"/>
  <c r="I144" i="35"/>
  <c r="J144" i="35"/>
  <c r="K144" i="35"/>
  <c r="G102" i="35"/>
  <c r="I102" i="35"/>
  <c r="J102" i="35"/>
  <c r="K102" i="35"/>
  <c r="F7" i="35"/>
  <c r="G7" i="35"/>
  <c r="I7" i="35"/>
  <c r="J7" i="35"/>
  <c r="K7" i="35"/>
  <c r="G126" i="35"/>
  <c r="I126" i="35"/>
  <c r="J126" i="35"/>
  <c r="K126" i="35"/>
  <c r="G130" i="35"/>
  <c r="I130" i="35"/>
  <c r="J130" i="35"/>
  <c r="K130" i="35"/>
  <c r="J9" i="41"/>
  <c r="K9" i="41"/>
  <c r="G2" i="41"/>
  <c r="I2" i="41"/>
  <c r="J2" i="41"/>
  <c r="K2" i="41"/>
  <c r="G3" i="41"/>
  <c r="I3" i="41"/>
  <c r="J3" i="41"/>
  <c r="K3" i="41"/>
  <c r="G4" i="41"/>
  <c r="I4" i="41"/>
  <c r="J4" i="41"/>
  <c r="K4" i="41"/>
  <c r="G5" i="41"/>
  <c r="I5" i="41"/>
  <c r="J5" i="41"/>
  <c r="K5" i="41"/>
  <c r="G6" i="41"/>
  <c r="I6" i="41"/>
  <c r="J6" i="41"/>
  <c r="K6" i="41"/>
  <c r="G7" i="41"/>
  <c r="I7" i="41"/>
  <c r="J7" i="41"/>
  <c r="K7" i="41"/>
  <c r="G8" i="41"/>
  <c r="I8" i="41"/>
  <c r="J8" i="41"/>
  <c r="K8" i="41"/>
  <c r="G10" i="41"/>
  <c r="I10" i="41"/>
  <c r="J10" i="41"/>
  <c r="K10" i="41"/>
  <c r="G11" i="41"/>
  <c r="I11" i="41"/>
  <c r="J11" i="41"/>
  <c r="K11" i="41"/>
  <c r="G14" i="41"/>
  <c r="I14" i="41"/>
  <c r="J14" i="41"/>
  <c r="K14" i="41"/>
  <c r="G13" i="41"/>
  <c r="I13" i="41"/>
  <c r="J13" i="41"/>
  <c r="K13" i="41"/>
  <c r="G12" i="41"/>
  <c r="I12" i="41"/>
  <c r="J12" i="41"/>
  <c r="K12" i="41"/>
  <c r="B76" i="40"/>
  <c r="C515" i="40"/>
  <c r="C514" i="40"/>
  <c r="C513" i="40"/>
  <c r="C512" i="40"/>
  <c r="C511" i="40"/>
  <c r="C510" i="40"/>
  <c r="C509" i="40"/>
  <c r="C508" i="40"/>
  <c r="C507" i="40"/>
  <c r="C506" i="40"/>
  <c r="C505" i="40"/>
  <c r="C504" i="40"/>
  <c r="C503" i="40"/>
  <c r="C502" i="40"/>
  <c r="C501" i="40"/>
  <c r="C500" i="40"/>
  <c r="C499" i="40"/>
  <c r="C498" i="40"/>
  <c r="C497" i="40"/>
  <c r="C496" i="40"/>
  <c r="C495" i="40"/>
  <c r="C494" i="40"/>
  <c r="C493" i="40"/>
  <c r="C492" i="40"/>
  <c r="C491" i="40"/>
  <c r="C490" i="40"/>
  <c r="C489" i="40"/>
  <c r="C488" i="40"/>
  <c r="C487" i="40"/>
  <c r="C486" i="40"/>
  <c r="C485" i="40"/>
  <c r="C484" i="40"/>
  <c r="C483" i="40"/>
  <c r="C482" i="40"/>
  <c r="C481" i="40"/>
  <c r="C480" i="40"/>
  <c r="C479" i="40"/>
  <c r="C478" i="40"/>
  <c r="C477" i="40"/>
  <c r="C476" i="40"/>
  <c r="C475" i="40"/>
  <c r="C474" i="40"/>
  <c r="C473" i="40"/>
  <c r="C472" i="40"/>
  <c r="C471" i="40"/>
  <c r="C470" i="40"/>
  <c r="C469" i="40"/>
  <c r="C468" i="40"/>
  <c r="C467" i="40"/>
  <c r="C466" i="40"/>
  <c r="C465" i="40"/>
  <c r="C464" i="40"/>
  <c r="C463" i="40"/>
  <c r="C462" i="40"/>
  <c r="C461" i="40"/>
  <c r="C460" i="40"/>
  <c r="C459" i="40"/>
  <c r="C458" i="40"/>
  <c r="C457" i="40"/>
  <c r="C456" i="40"/>
  <c r="C455" i="40"/>
  <c r="C454" i="40"/>
  <c r="C453" i="40"/>
  <c r="C452" i="40"/>
  <c r="C451" i="40"/>
  <c r="C450" i="40"/>
  <c r="C449" i="40"/>
  <c r="C448" i="40"/>
  <c r="C447" i="40"/>
  <c r="C446" i="40"/>
  <c r="C445" i="40"/>
  <c r="C444" i="40"/>
  <c r="C443" i="40"/>
  <c r="C442" i="40"/>
  <c r="C441" i="40"/>
  <c r="C440" i="40"/>
  <c r="C439" i="40"/>
  <c r="C438" i="40"/>
  <c r="C437" i="40"/>
  <c r="C436" i="40"/>
  <c r="C435" i="40"/>
  <c r="C434" i="40"/>
  <c r="C433" i="40"/>
  <c r="C432" i="40"/>
  <c r="C431" i="40"/>
  <c r="C430" i="40"/>
  <c r="C429" i="40"/>
  <c r="C428" i="40"/>
  <c r="C427" i="40"/>
  <c r="C426" i="40"/>
  <c r="C425" i="40"/>
  <c r="C424" i="40"/>
  <c r="C423" i="40"/>
  <c r="C422" i="40"/>
  <c r="C421" i="40"/>
  <c r="C420" i="40"/>
  <c r="C419" i="40"/>
  <c r="C418" i="40"/>
  <c r="C417" i="40"/>
  <c r="C416" i="40"/>
  <c r="C415" i="40"/>
  <c r="C414" i="40"/>
  <c r="C413" i="40"/>
  <c r="C412" i="40"/>
  <c r="C411" i="40"/>
  <c r="C410" i="40"/>
  <c r="C409" i="40"/>
  <c r="C408" i="40"/>
  <c r="C407" i="40"/>
  <c r="C406" i="40"/>
  <c r="C405" i="40"/>
  <c r="C404" i="40"/>
  <c r="C403" i="40"/>
  <c r="C402" i="40"/>
  <c r="C401" i="40"/>
  <c r="C400" i="40"/>
  <c r="C399" i="40"/>
  <c r="C398" i="40"/>
  <c r="C397" i="40"/>
  <c r="C396" i="40"/>
  <c r="C395" i="40"/>
  <c r="C394" i="40"/>
  <c r="C393" i="40"/>
  <c r="C392" i="40"/>
  <c r="C391" i="40"/>
  <c r="C390" i="40"/>
  <c r="C389" i="40"/>
  <c r="C388" i="40"/>
  <c r="C387" i="40"/>
  <c r="C386" i="40"/>
  <c r="C385" i="40"/>
  <c r="C384" i="40"/>
  <c r="C383" i="40"/>
  <c r="C382" i="40"/>
  <c r="C381" i="40"/>
  <c r="C380" i="40"/>
  <c r="C379" i="40"/>
  <c r="C378" i="40"/>
  <c r="C377" i="40"/>
  <c r="C376" i="40"/>
  <c r="C375" i="40"/>
  <c r="C374" i="40"/>
  <c r="C373" i="40"/>
  <c r="C372" i="40"/>
  <c r="C371" i="40"/>
  <c r="C370" i="40"/>
  <c r="C369" i="40"/>
  <c r="C368" i="40"/>
  <c r="C367" i="40"/>
  <c r="C366" i="40"/>
  <c r="C365" i="40"/>
  <c r="C364" i="40"/>
  <c r="C363" i="40"/>
  <c r="C362" i="40"/>
  <c r="C361" i="40"/>
  <c r="C360" i="40"/>
  <c r="C359" i="40"/>
  <c r="C358" i="40"/>
  <c r="C357" i="40"/>
  <c r="C356" i="40"/>
  <c r="C355" i="40"/>
  <c r="C354" i="40"/>
  <c r="C353" i="40"/>
  <c r="C352" i="40"/>
  <c r="C351" i="40"/>
  <c r="C350" i="40"/>
  <c r="C349" i="40"/>
  <c r="C348" i="40"/>
  <c r="C347" i="40"/>
  <c r="C346" i="40"/>
  <c r="C345" i="40"/>
  <c r="C344" i="40"/>
  <c r="C343" i="40"/>
  <c r="C342" i="40"/>
  <c r="C341" i="40"/>
  <c r="C340" i="40"/>
  <c r="C339" i="40"/>
  <c r="C338" i="40"/>
  <c r="C337" i="40"/>
  <c r="C336" i="40"/>
  <c r="C335" i="40"/>
  <c r="C334" i="40"/>
  <c r="C333" i="40"/>
  <c r="C332" i="40"/>
  <c r="C331" i="40"/>
  <c r="C330" i="40"/>
  <c r="C329" i="40"/>
  <c r="C328" i="40"/>
  <c r="C327" i="40"/>
  <c r="C326" i="40"/>
  <c r="C325" i="40"/>
  <c r="C324" i="40"/>
  <c r="C323" i="40"/>
  <c r="C322" i="40"/>
  <c r="C321" i="40"/>
  <c r="C320" i="40"/>
  <c r="C319" i="40"/>
  <c r="C318" i="40"/>
  <c r="C317" i="40"/>
  <c r="C316" i="40"/>
  <c r="C315" i="40"/>
  <c r="C314" i="40"/>
  <c r="C313" i="40"/>
  <c r="C312" i="40"/>
  <c r="C311" i="40"/>
  <c r="C310" i="40"/>
  <c r="C309" i="40"/>
  <c r="C308" i="40"/>
  <c r="C307" i="40"/>
  <c r="C306" i="40"/>
  <c r="C305" i="40"/>
  <c r="C304" i="40"/>
  <c r="C303" i="40"/>
  <c r="C302" i="40"/>
  <c r="C301" i="40"/>
  <c r="C300" i="40"/>
  <c r="C299" i="40"/>
  <c r="C298" i="40"/>
  <c r="C297" i="40"/>
  <c r="C296" i="40"/>
  <c r="C295" i="40"/>
  <c r="C294" i="40"/>
  <c r="C293" i="40"/>
  <c r="C292" i="40"/>
  <c r="C291" i="40"/>
  <c r="C290" i="40"/>
  <c r="C289" i="40"/>
  <c r="C288" i="40"/>
  <c r="C287" i="40"/>
  <c r="C286" i="40"/>
  <c r="C285" i="40"/>
  <c r="C284" i="40"/>
  <c r="C283" i="40"/>
  <c r="C282" i="40"/>
  <c r="C281" i="40"/>
  <c r="C280" i="40"/>
  <c r="C279" i="40"/>
  <c r="C278" i="40"/>
  <c r="C277" i="40"/>
  <c r="C276" i="40"/>
  <c r="C275" i="40"/>
  <c r="C274" i="40"/>
  <c r="C273" i="40"/>
  <c r="C272" i="40"/>
  <c r="C271" i="40"/>
  <c r="C270" i="40"/>
  <c r="C269" i="40"/>
  <c r="C268" i="40"/>
  <c r="C267" i="40"/>
  <c r="C266" i="40"/>
  <c r="C265" i="40"/>
  <c r="C264" i="40"/>
  <c r="C263" i="40"/>
  <c r="C262" i="40"/>
  <c r="C261" i="40"/>
  <c r="C260" i="40"/>
  <c r="C259" i="40"/>
  <c r="C258" i="40"/>
  <c r="C257" i="40"/>
  <c r="C256" i="40"/>
  <c r="C255" i="40"/>
  <c r="C254" i="40"/>
  <c r="C253" i="40"/>
  <c r="C252" i="40"/>
  <c r="C251" i="40"/>
  <c r="C250" i="40"/>
  <c r="C249" i="40"/>
  <c r="C248" i="40"/>
  <c r="C247" i="40"/>
  <c r="C246" i="40"/>
  <c r="C245" i="40"/>
  <c r="C244" i="40"/>
  <c r="C243" i="40"/>
  <c r="C242" i="40"/>
  <c r="C241" i="40"/>
  <c r="C240" i="40"/>
  <c r="C239" i="40"/>
  <c r="C238" i="40"/>
  <c r="C237" i="40"/>
  <c r="C236" i="40"/>
  <c r="C235" i="40"/>
  <c r="C234" i="40"/>
  <c r="C233" i="40"/>
  <c r="C232" i="40"/>
  <c r="C231" i="40"/>
  <c r="C230" i="40"/>
  <c r="C229" i="40"/>
  <c r="C228" i="40"/>
  <c r="C227" i="40"/>
  <c r="C226" i="40"/>
  <c r="C225" i="40"/>
  <c r="C224" i="40"/>
  <c r="C223" i="40"/>
  <c r="C222" i="40"/>
  <c r="C221" i="40"/>
  <c r="C220" i="40"/>
  <c r="C219" i="40"/>
  <c r="C218" i="40"/>
  <c r="C217" i="40"/>
  <c r="C216" i="40"/>
  <c r="C215" i="40"/>
  <c r="C214" i="40"/>
  <c r="C213" i="40"/>
  <c r="C212" i="40"/>
  <c r="C211" i="40"/>
  <c r="C210" i="40"/>
  <c r="C209" i="40"/>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8" i="40"/>
  <c r="C107" i="40"/>
  <c r="C106" i="40"/>
  <c r="C105" i="40"/>
  <c r="C104" i="40"/>
  <c r="C103" i="40"/>
  <c r="C102" i="40"/>
  <c r="C101" i="40"/>
  <c r="C100" i="40"/>
  <c r="C99" i="40"/>
  <c r="C98" i="40"/>
  <c r="C97" i="40"/>
  <c r="C96" i="40"/>
  <c r="C95" i="40"/>
  <c r="C94" i="40"/>
  <c r="C93" i="40"/>
  <c r="C92" i="40"/>
  <c r="C91" i="40"/>
  <c r="C90" i="40"/>
  <c r="C89" i="40"/>
  <c r="C88" i="40"/>
  <c r="C87" i="40"/>
  <c r="C86" i="40"/>
  <c r="C85" i="40"/>
  <c r="C84" i="40"/>
  <c r="C83" i="40"/>
  <c r="C82" i="40"/>
  <c r="C81" i="40"/>
  <c r="C80" i="40"/>
  <c r="C79" i="40"/>
  <c r="C78" i="40"/>
  <c r="C77" i="40"/>
  <c r="C76" i="40"/>
  <c r="B515" i="40"/>
  <c r="B514" i="40"/>
  <c r="B513" i="40"/>
  <c r="B512" i="40"/>
  <c r="B511" i="40"/>
  <c r="B510" i="40"/>
  <c r="B509" i="40"/>
  <c r="B508" i="40"/>
  <c r="B507" i="40"/>
  <c r="B506" i="40"/>
  <c r="B505" i="40"/>
  <c r="B504" i="40"/>
  <c r="B503" i="40"/>
  <c r="B502" i="40"/>
  <c r="B501" i="40"/>
  <c r="B500" i="40"/>
  <c r="B499" i="40"/>
  <c r="B498" i="40"/>
  <c r="B497" i="40"/>
  <c r="B496" i="40"/>
  <c r="B495" i="40"/>
  <c r="B494" i="40"/>
  <c r="B493" i="40"/>
  <c r="B492" i="40"/>
  <c r="B491" i="40"/>
  <c r="B490" i="40"/>
  <c r="B489" i="40"/>
  <c r="B488" i="40"/>
  <c r="B487" i="40"/>
  <c r="B486" i="40"/>
  <c r="B485" i="40"/>
  <c r="B484" i="40"/>
  <c r="B483" i="40"/>
  <c r="B482" i="40"/>
  <c r="B481" i="40"/>
  <c r="B480" i="40"/>
  <c r="B479" i="40"/>
  <c r="B478" i="40"/>
  <c r="B477" i="40"/>
  <c r="B476" i="40"/>
  <c r="B475" i="40"/>
  <c r="B474" i="40"/>
  <c r="B473" i="40"/>
  <c r="B472" i="40"/>
  <c r="B471" i="40"/>
  <c r="B470" i="40"/>
  <c r="B469" i="40"/>
  <c r="B468" i="40"/>
  <c r="B467" i="40"/>
  <c r="B466" i="40"/>
  <c r="B465" i="40"/>
  <c r="B464" i="40"/>
  <c r="B463" i="40"/>
  <c r="B462" i="40"/>
  <c r="B461" i="40"/>
  <c r="B460" i="40"/>
  <c r="B459" i="40"/>
  <c r="B458" i="40"/>
  <c r="B457" i="40"/>
  <c r="B456" i="40"/>
  <c r="B455" i="40"/>
  <c r="B454" i="40"/>
  <c r="B453" i="40"/>
  <c r="B452" i="40"/>
  <c r="B451" i="40"/>
  <c r="B450" i="40"/>
  <c r="B449" i="40"/>
  <c r="B448" i="40"/>
  <c r="B447" i="40"/>
  <c r="B446" i="40"/>
  <c r="B445" i="40"/>
  <c r="B444" i="40"/>
  <c r="B443" i="40"/>
  <c r="B442" i="40"/>
  <c r="B441" i="40"/>
  <c r="B440" i="40"/>
  <c r="B439" i="40"/>
  <c r="B438" i="40"/>
  <c r="B437" i="40"/>
  <c r="B436" i="40"/>
  <c r="B435" i="40"/>
  <c r="B434" i="40"/>
  <c r="B433" i="40"/>
  <c r="B432" i="40"/>
  <c r="B431" i="40"/>
  <c r="B430" i="40"/>
  <c r="B429" i="40"/>
  <c r="B428" i="40"/>
  <c r="B427" i="40"/>
  <c r="B426" i="40"/>
  <c r="B425" i="40"/>
  <c r="B424" i="40"/>
  <c r="B423" i="40"/>
  <c r="B422" i="40"/>
  <c r="B421" i="40"/>
  <c r="B420" i="40"/>
  <c r="B419" i="40"/>
  <c r="B418" i="40"/>
  <c r="B417" i="40"/>
  <c r="B416" i="40"/>
  <c r="B415" i="40"/>
  <c r="B414" i="40"/>
  <c r="B413" i="40"/>
  <c r="B412" i="40"/>
  <c r="B411" i="40"/>
  <c r="B410" i="40"/>
  <c r="B409" i="40"/>
  <c r="B408" i="40"/>
  <c r="B407" i="40"/>
  <c r="B406" i="40"/>
  <c r="B405" i="40"/>
  <c r="B404" i="40"/>
  <c r="B403" i="40"/>
  <c r="B402" i="40"/>
  <c r="B401" i="40"/>
  <c r="B400" i="40"/>
  <c r="B399" i="40"/>
  <c r="B398" i="40"/>
  <c r="B397" i="40"/>
  <c r="B396" i="40"/>
  <c r="B395" i="40"/>
  <c r="B394" i="40"/>
  <c r="B393" i="40"/>
  <c r="B392" i="40"/>
  <c r="B391" i="40"/>
  <c r="B390" i="40"/>
  <c r="B389" i="40"/>
  <c r="B388" i="40"/>
  <c r="B387" i="40"/>
  <c r="B386" i="40"/>
  <c r="B385" i="40"/>
  <c r="B384" i="40"/>
  <c r="B383" i="40"/>
  <c r="B382" i="40"/>
  <c r="B381" i="40"/>
  <c r="B380" i="40"/>
  <c r="B379" i="40"/>
  <c r="B378" i="40"/>
  <c r="B377" i="40"/>
  <c r="B376" i="40"/>
  <c r="B375" i="40"/>
  <c r="B374" i="40"/>
  <c r="B373" i="40"/>
  <c r="B372" i="40"/>
  <c r="B371" i="40"/>
  <c r="B370" i="40"/>
  <c r="B369" i="40"/>
  <c r="B368" i="40"/>
  <c r="B367" i="40"/>
  <c r="B366" i="40"/>
  <c r="B365" i="40"/>
  <c r="B364" i="40"/>
  <c r="B363" i="40"/>
  <c r="B362" i="40"/>
  <c r="B361" i="40"/>
  <c r="B360" i="40"/>
  <c r="B359" i="40"/>
  <c r="B358" i="40"/>
  <c r="B357" i="40"/>
  <c r="B356" i="40"/>
  <c r="B355" i="40"/>
  <c r="B354" i="40"/>
  <c r="B353" i="40"/>
  <c r="B352" i="40"/>
  <c r="B351" i="40"/>
  <c r="B350" i="40"/>
  <c r="B349" i="40"/>
  <c r="B348" i="40"/>
  <c r="B347" i="40"/>
  <c r="B346" i="40"/>
  <c r="B345" i="40"/>
  <c r="B344" i="40"/>
  <c r="B343" i="40"/>
  <c r="B342" i="40"/>
  <c r="B341" i="40"/>
  <c r="B340" i="40"/>
  <c r="B339" i="40"/>
  <c r="B338" i="40"/>
  <c r="B337" i="40"/>
  <c r="B336" i="40"/>
  <c r="B335" i="40"/>
  <c r="B334" i="40"/>
  <c r="B333" i="40"/>
  <c r="B332" i="40"/>
  <c r="B331" i="40"/>
  <c r="B330" i="40"/>
  <c r="B329" i="40"/>
  <c r="B328" i="40"/>
  <c r="B327" i="40"/>
  <c r="B326" i="40"/>
  <c r="B325" i="40"/>
  <c r="B324" i="40"/>
  <c r="B323" i="40"/>
  <c r="B322" i="40"/>
  <c r="B321" i="40"/>
  <c r="B320" i="40"/>
  <c r="B319" i="40"/>
  <c r="B318" i="40"/>
  <c r="B317" i="40"/>
  <c r="B316" i="40"/>
  <c r="B315" i="40"/>
  <c r="B314" i="40"/>
  <c r="B313" i="40"/>
  <c r="B312" i="40"/>
  <c r="B311" i="40"/>
  <c r="B310" i="40"/>
  <c r="B309" i="40"/>
  <c r="B308" i="40"/>
  <c r="B307" i="40"/>
  <c r="B306" i="40"/>
  <c r="B305" i="40"/>
  <c r="B304" i="40"/>
  <c r="B303" i="40"/>
  <c r="B302" i="40"/>
  <c r="B301" i="40"/>
  <c r="B300" i="40"/>
  <c r="B299" i="40"/>
  <c r="B298" i="40"/>
  <c r="B297" i="40"/>
  <c r="B296" i="40"/>
  <c r="B295" i="40"/>
  <c r="B294" i="40"/>
  <c r="B293" i="40"/>
  <c r="B292" i="40"/>
  <c r="B291" i="40"/>
  <c r="B290" i="40"/>
  <c r="B289" i="40"/>
  <c r="B288" i="40"/>
  <c r="B287" i="40"/>
  <c r="B286" i="40"/>
  <c r="B285" i="40"/>
  <c r="B284" i="40"/>
  <c r="B283" i="40"/>
  <c r="B282" i="40"/>
  <c r="B281" i="40"/>
  <c r="B280" i="40"/>
  <c r="B279" i="40"/>
  <c r="B278" i="40"/>
  <c r="B277" i="40"/>
  <c r="B276" i="40"/>
  <c r="B275" i="40"/>
  <c r="B274" i="40"/>
  <c r="B273" i="40"/>
  <c r="B272" i="40"/>
  <c r="B271" i="40"/>
  <c r="B270" i="40"/>
  <c r="B269" i="40"/>
  <c r="B268" i="40"/>
  <c r="B267" i="40"/>
  <c r="B266" i="40"/>
  <c r="B265" i="40"/>
  <c r="B264" i="40"/>
  <c r="B263" i="40"/>
  <c r="B262" i="40"/>
  <c r="B261" i="40"/>
  <c r="B260" i="40"/>
  <c r="B259" i="40"/>
  <c r="B258" i="40"/>
  <c r="B257" i="40"/>
  <c r="B256" i="40"/>
  <c r="B255" i="40"/>
  <c r="B254" i="40"/>
  <c r="B253" i="40"/>
  <c r="B252" i="40"/>
  <c r="B251" i="40"/>
  <c r="B250" i="40"/>
  <c r="B249" i="40"/>
  <c r="B248" i="40"/>
  <c r="B247" i="40"/>
  <c r="B246" i="40"/>
  <c r="B245" i="40"/>
  <c r="B244" i="40"/>
  <c r="B243" i="40"/>
  <c r="B242" i="40"/>
  <c r="B241" i="40"/>
  <c r="B240" i="40"/>
  <c r="B239" i="40"/>
  <c r="B238" i="40"/>
  <c r="B237" i="40"/>
  <c r="B236" i="40"/>
  <c r="B235" i="40"/>
  <c r="B234" i="40"/>
  <c r="B233" i="40"/>
  <c r="B232" i="40"/>
  <c r="B231" i="40"/>
  <c r="B230" i="40"/>
  <c r="B229" i="40"/>
  <c r="B228" i="40"/>
  <c r="B227" i="40"/>
  <c r="B226" i="40"/>
  <c r="B225" i="40"/>
  <c r="B224" i="40"/>
  <c r="B223" i="40"/>
  <c r="B222" i="40"/>
  <c r="B221" i="40"/>
  <c r="B220" i="40"/>
  <c r="B219" i="40"/>
  <c r="B218" i="40"/>
  <c r="B217" i="40"/>
  <c r="B216" i="40"/>
  <c r="B215" i="40"/>
  <c r="B214" i="40"/>
  <c r="B213" i="40"/>
  <c r="B212" i="40"/>
  <c r="B211" i="40"/>
  <c r="B210" i="40"/>
  <c r="B209" i="40"/>
  <c r="B208" i="40"/>
  <c r="B207" i="40"/>
  <c r="B206" i="40"/>
  <c r="B205" i="40"/>
  <c r="B204" i="40"/>
  <c r="B203" i="40"/>
  <c r="B202" i="40"/>
  <c r="B201" i="40"/>
  <c r="B200" i="40"/>
  <c r="B199" i="40"/>
  <c r="B198" i="40"/>
  <c r="B197" i="40"/>
  <c r="B196" i="40"/>
  <c r="B195" i="40"/>
  <c r="B194" i="40"/>
  <c r="B193" i="40"/>
  <c r="B192" i="40"/>
  <c r="B191" i="40"/>
  <c r="B190" i="40"/>
  <c r="B189" i="40"/>
  <c r="B188" i="40"/>
  <c r="B187" i="40"/>
  <c r="B186" i="40"/>
  <c r="B185" i="40"/>
  <c r="B184" i="40"/>
  <c r="B183" i="40"/>
  <c r="B182" i="40"/>
  <c r="B181" i="40"/>
  <c r="B180" i="40"/>
  <c r="B179" i="40"/>
  <c r="B178" i="40"/>
  <c r="B177" i="40"/>
  <c r="B176" i="40"/>
  <c r="B175" i="40"/>
  <c r="B174" i="40"/>
  <c r="B173" i="40"/>
  <c r="B172" i="40"/>
  <c r="B171" i="40"/>
  <c r="B170" i="40"/>
  <c r="B169" i="40"/>
  <c r="B168" i="40"/>
  <c r="B167" i="40"/>
  <c r="B166" i="40"/>
  <c r="B165" i="40"/>
  <c r="B164" i="40"/>
  <c r="B163" i="40"/>
  <c r="B162" i="40"/>
  <c r="B161" i="40"/>
  <c r="B160" i="40"/>
  <c r="B159" i="40"/>
  <c r="B158" i="40"/>
  <c r="B157" i="40"/>
  <c r="B156" i="40"/>
  <c r="B155" i="40"/>
  <c r="B154" i="40"/>
  <c r="B153" i="40"/>
  <c r="B152" i="40"/>
  <c r="B151" i="40"/>
  <c r="B150" i="40"/>
  <c r="B149" i="40"/>
  <c r="B148" i="40"/>
  <c r="B147" i="40"/>
  <c r="B146" i="40"/>
  <c r="B145" i="40"/>
  <c r="B144" i="40"/>
  <c r="B143" i="40"/>
  <c r="B142" i="40"/>
  <c r="B141" i="40"/>
  <c r="B140" i="40"/>
  <c r="B139" i="40"/>
  <c r="B138" i="40"/>
  <c r="B137" i="40"/>
  <c r="B136" i="40"/>
  <c r="B135" i="40"/>
  <c r="B134" i="40"/>
  <c r="B133" i="40"/>
  <c r="B132" i="40"/>
  <c r="B131" i="40"/>
  <c r="B130" i="40"/>
  <c r="B129" i="40"/>
  <c r="B128" i="40"/>
  <c r="B127" i="40"/>
  <c r="B126" i="40"/>
  <c r="B125" i="40"/>
  <c r="B124" i="40"/>
  <c r="B123" i="40"/>
  <c r="B122" i="40"/>
  <c r="B121" i="40"/>
  <c r="B120" i="40"/>
  <c r="B119" i="40"/>
  <c r="B118" i="40"/>
  <c r="B117" i="40"/>
  <c r="B116" i="40"/>
  <c r="B115" i="40"/>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87" i="40"/>
  <c r="B86" i="40"/>
  <c r="B85" i="40"/>
  <c r="B84" i="40"/>
  <c r="B83" i="40"/>
  <c r="B82" i="40"/>
  <c r="B81" i="40"/>
  <c r="B80" i="40"/>
  <c r="B79" i="40"/>
  <c r="B78" i="40"/>
  <c r="B77" i="40"/>
  <c r="G441" i="23"/>
  <c r="I441" i="23"/>
  <c r="J441" i="23"/>
  <c r="K441" i="23"/>
  <c r="G436" i="23"/>
  <c r="I436" i="23"/>
  <c r="J436" i="23"/>
  <c r="K436" i="23"/>
  <c r="G710" i="23"/>
  <c r="I710" i="23"/>
  <c r="J710" i="23"/>
  <c r="K710" i="23"/>
  <c r="G488" i="23"/>
  <c r="I488" i="23"/>
  <c r="J488" i="23"/>
  <c r="K488" i="23"/>
  <c r="G738" i="23"/>
  <c r="I738" i="23"/>
  <c r="J738" i="23"/>
  <c r="K738" i="23"/>
  <c r="G622" i="23"/>
  <c r="I622" i="23"/>
  <c r="J622" i="23"/>
  <c r="K622" i="23"/>
  <c r="G483" i="23"/>
  <c r="I483" i="23"/>
  <c r="J483" i="23"/>
  <c r="K483" i="23"/>
  <c r="G838" i="23"/>
  <c r="I838" i="23"/>
  <c r="J838" i="23"/>
  <c r="K838" i="23"/>
  <c r="G654" i="23"/>
  <c r="I654" i="23"/>
  <c r="J654" i="23"/>
  <c r="K654" i="23"/>
  <c r="G659" i="23"/>
  <c r="I659" i="23"/>
  <c r="J659" i="23"/>
  <c r="K659" i="23"/>
  <c r="G605" i="23"/>
  <c r="I605" i="23"/>
  <c r="J605" i="23"/>
  <c r="K605" i="23"/>
  <c r="G629" i="23"/>
  <c r="I629" i="23"/>
  <c r="J629" i="23"/>
  <c r="K629" i="23"/>
  <c r="G726" i="23"/>
  <c r="I726" i="23"/>
  <c r="J726" i="23"/>
  <c r="K726" i="23"/>
  <c r="G749" i="23"/>
  <c r="I749" i="23"/>
  <c r="J749" i="23"/>
  <c r="K749" i="23"/>
  <c r="G446" i="23"/>
  <c r="I446" i="23"/>
  <c r="J446" i="23"/>
  <c r="K446" i="23"/>
  <c r="G831" i="23"/>
  <c r="I831" i="23"/>
  <c r="J831" i="23"/>
  <c r="K831" i="23"/>
  <c r="G707" i="23"/>
  <c r="I707" i="23"/>
  <c r="J707" i="23"/>
  <c r="K707" i="23"/>
  <c r="G736" i="23"/>
  <c r="I736" i="23"/>
  <c r="J736" i="23"/>
  <c r="K736" i="23"/>
  <c r="G591" i="23"/>
  <c r="I591" i="23"/>
  <c r="J591" i="23"/>
  <c r="K591" i="23"/>
  <c r="G497" i="23"/>
  <c r="I497" i="23"/>
  <c r="J497" i="23"/>
  <c r="K497" i="23"/>
  <c r="G461" i="23"/>
  <c r="I461" i="23"/>
  <c r="J461" i="23"/>
  <c r="K461" i="23"/>
  <c r="G537" i="23"/>
  <c r="I537" i="23"/>
  <c r="J537" i="23"/>
  <c r="K537" i="23"/>
  <c r="G465" i="23"/>
  <c r="I465" i="23"/>
  <c r="J465" i="23"/>
  <c r="K465" i="23"/>
  <c r="G434" i="23"/>
  <c r="I434" i="23"/>
  <c r="J434" i="23"/>
  <c r="K434" i="23"/>
  <c r="G646" i="23"/>
  <c r="I646" i="23"/>
  <c r="J646" i="23"/>
  <c r="K646" i="23"/>
  <c r="G608" i="23"/>
  <c r="I608" i="23"/>
  <c r="J608" i="23"/>
  <c r="K608" i="23"/>
  <c r="G715" i="23"/>
  <c r="I715" i="23"/>
  <c r="J715" i="23"/>
  <c r="K715" i="23"/>
  <c r="G458" i="23"/>
  <c r="I458" i="23"/>
  <c r="J458" i="23"/>
  <c r="K458" i="23"/>
  <c r="G616" i="23"/>
  <c r="I616" i="23"/>
  <c r="J616" i="23"/>
  <c r="K616" i="23"/>
  <c r="G816" i="23"/>
  <c r="I816" i="23"/>
  <c r="J816" i="23"/>
  <c r="K816" i="23"/>
  <c r="G445" i="23"/>
  <c r="I445" i="23"/>
  <c r="J445" i="23"/>
  <c r="K445" i="23"/>
  <c r="G815" i="23"/>
  <c r="I815" i="23"/>
  <c r="J815" i="23"/>
  <c r="K815" i="23"/>
  <c r="G834" i="23"/>
  <c r="I834" i="23"/>
  <c r="J834" i="23"/>
  <c r="K834" i="23"/>
  <c r="G647" i="23"/>
  <c r="I647" i="23"/>
  <c r="J647" i="23"/>
  <c r="K647" i="23"/>
  <c r="G435" i="23"/>
  <c r="I435" i="23"/>
  <c r="J435" i="23"/>
  <c r="K435" i="23"/>
  <c r="G728" i="23"/>
  <c r="I728" i="23"/>
  <c r="J728" i="23"/>
  <c r="K728" i="23"/>
  <c r="G597" i="23"/>
  <c r="I597" i="23"/>
  <c r="J597" i="23"/>
  <c r="K597" i="23"/>
  <c r="G600" i="23"/>
  <c r="I600" i="23"/>
  <c r="J600" i="23"/>
  <c r="K600" i="23"/>
  <c r="G480" i="23"/>
  <c r="I480" i="23"/>
  <c r="J480" i="23"/>
  <c r="K480" i="23"/>
  <c r="G678" i="23"/>
  <c r="I678" i="23"/>
  <c r="J678" i="23"/>
  <c r="K678" i="23"/>
  <c r="G463" i="23"/>
  <c r="I463" i="23"/>
  <c r="J463" i="23"/>
  <c r="K463" i="23"/>
  <c r="G822" i="23"/>
  <c r="I822" i="23"/>
  <c r="J822" i="23"/>
  <c r="K822" i="23"/>
  <c r="G538" i="23"/>
  <c r="I538" i="23"/>
  <c r="J538" i="23"/>
  <c r="K538" i="23"/>
  <c r="G833" i="23"/>
  <c r="I833" i="23"/>
  <c r="J833" i="23"/>
  <c r="K833" i="23"/>
  <c r="G722" i="23"/>
  <c r="I722" i="23"/>
  <c r="J722" i="23"/>
  <c r="K722" i="23"/>
  <c r="G811" i="23"/>
  <c r="I811" i="23"/>
  <c r="J811" i="23"/>
  <c r="K811" i="23"/>
  <c r="G477" i="23"/>
  <c r="I477" i="23"/>
  <c r="J477" i="23"/>
  <c r="K477" i="23"/>
  <c r="G687" i="23"/>
  <c r="I687" i="23"/>
  <c r="J687" i="23"/>
  <c r="K687" i="23"/>
  <c r="G511" i="23"/>
  <c r="I511" i="23"/>
  <c r="J511" i="23"/>
  <c r="K511" i="23"/>
  <c r="G827" i="23"/>
  <c r="I827" i="23"/>
  <c r="J827" i="23"/>
  <c r="K827" i="23"/>
  <c r="G438" i="23"/>
  <c r="I438" i="23"/>
  <c r="J438" i="23"/>
  <c r="K438" i="23"/>
  <c r="G492" i="23"/>
  <c r="I492" i="23"/>
  <c r="J492" i="23"/>
  <c r="K492" i="23"/>
  <c r="G475" i="23"/>
  <c r="I475" i="23"/>
  <c r="J475" i="23"/>
  <c r="K475" i="23"/>
  <c r="G732" i="23"/>
  <c r="I732" i="23"/>
  <c r="J732" i="23"/>
  <c r="K732" i="23"/>
  <c r="J468" i="23"/>
  <c r="K468" i="23"/>
  <c r="G479" i="23"/>
  <c r="I479" i="23"/>
  <c r="J479" i="23"/>
  <c r="K479" i="23"/>
  <c r="G447" i="23"/>
  <c r="I447" i="23"/>
  <c r="J447" i="23"/>
  <c r="K447" i="23"/>
  <c r="G628" i="23"/>
  <c r="I628" i="23"/>
  <c r="J628" i="23"/>
  <c r="K628" i="23"/>
  <c r="G469" i="23"/>
  <c r="I469" i="23"/>
  <c r="J469" i="23"/>
  <c r="K469" i="23"/>
  <c r="G842" i="23"/>
  <c r="I842" i="23"/>
  <c r="J842" i="23"/>
  <c r="K842" i="23"/>
  <c r="G753" i="23"/>
  <c r="I753" i="23"/>
  <c r="J753" i="23"/>
  <c r="K753" i="23"/>
  <c r="G709" i="23"/>
  <c r="I709" i="23"/>
  <c r="J709" i="23"/>
  <c r="K709" i="23"/>
  <c r="G454" i="23"/>
  <c r="I454" i="23"/>
  <c r="J454" i="23"/>
  <c r="K454" i="23"/>
  <c r="G514" i="23"/>
  <c r="I514" i="23"/>
  <c r="J514" i="23"/>
  <c r="K514" i="23"/>
  <c r="G494" i="23"/>
  <c r="I494" i="23"/>
  <c r="J494" i="23"/>
  <c r="K494" i="23"/>
  <c r="G832" i="23"/>
  <c r="I832" i="23"/>
  <c r="J832" i="23"/>
  <c r="K832" i="23"/>
  <c r="G451" i="23"/>
  <c r="I451" i="23"/>
  <c r="J451" i="23"/>
  <c r="K451" i="23"/>
  <c r="G698" i="23"/>
  <c r="I698" i="23"/>
  <c r="J698" i="23"/>
  <c r="K698" i="23"/>
  <c r="G559" i="23"/>
  <c r="I559" i="23"/>
  <c r="J559" i="23"/>
  <c r="K559" i="23"/>
  <c r="G841" i="23"/>
  <c r="I841" i="23"/>
  <c r="J841" i="23"/>
  <c r="K841" i="23"/>
  <c r="G580" i="23"/>
  <c r="I580" i="23"/>
  <c r="J580" i="23"/>
  <c r="K580" i="23"/>
  <c r="G589" i="23"/>
  <c r="I589" i="23"/>
  <c r="J589" i="23"/>
  <c r="K589" i="23"/>
  <c r="G561" i="23"/>
  <c r="I561" i="23"/>
  <c r="J561" i="23"/>
  <c r="K561" i="23"/>
  <c r="G697" i="23"/>
  <c r="I697" i="23"/>
  <c r="J697" i="23"/>
  <c r="K697" i="23"/>
  <c r="G756" i="23"/>
  <c r="I756" i="23"/>
  <c r="J756" i="23"/>
  <c r="K756" i="23"/>
  <c r="G708" i="23"/>
  <c r="I708" i="23"/>
  <c r="J708" i="23"/>
  <c r="K708" i="23"/>
  <c r="G690" i="23"/>
  <c r="I690" i="23"/>
  <c r="J690" i="23"/>
  <c r="K690" i="23"/>
  <c r="G779" i="23"/>
  <c r="I779" i="23"/>
  <c r="J779" i="23"/>
  <c r="K779" i="23"/>
  <c r="G641" i="23"/>
  <c r="I641" i="23"/>
  <c r="J641" i="23"/>
  <c r="K641" i="23"/>
  <c r="G788" i="23"/>
  <c r="I788" i="23"/>
  <c r="J788" i="23"/>
  <c r="K788" i="23"/>
  <c r="G755" i="23"/>
  <c r="I755" i="23"/>
  <c r="J755" i="23"/>
  <c r="K755" i="23"/>
  <c r="G802" i="23"/>
  <c r="I802" i="23"/>
  <c r="J802" i="23"/>
  <c r="K802" i="23"/>
  <c r="G785" i="23"/>
  <c r="I785" i="23"/>
  <c r="J785" i="23"/>
  <c r="K785" i="23"/>
  <c r="G829" i="23"/>
  <c r="I829" i="23"/>
  <c r="J829" i="23"/>
  <c r="K829" i="23"/>
  <c r="G761" i="23"/>
  <c r="I761" i="23"/>
  <c r="J761" i="23"/>
  <c r="K761" i="23"/>
  <c r="G671" i="23"/>
  <c r="I671" i="23"/>
  <c r="J671" i="23"/>
  <c r="K671" i="23"/>
  <c r="G713" i="23"/>
  <c r="I713" i="23"/>
  <c r="J713" i="23"/>
  <c r="K713" i="23"/>
  <c r="G624" i="23"/>
  <c r="I624" i="23"/>
  <c r="J624" i="23"/>
  <c r="K624" i="23"/>
  <c r="G639" i="23"/>
  <c r="I639" i="23"/>
  <c r="J639" i="23"/>
  <c r="K639" i="23"/>
  <c r="G813" i="23"/>
  <c r="I813" i="23"/>
  <c r="J813" i="23"/>
  <c r="K813" i="23"/>
  <c r="G762" i="23"/>
  <c r="I762" i="23"/>
  <c r="J762" i="23"/>
  <c r="K762" i="23"/>
  <c r="G667" i="23"/>
  <c r="I667" i="23"/>
  <c r="J667" i="23"/>
  <c r="K667" i="23"/>
  <c r="G720" i="23"/>
  <c r="I720" i="23"/>
  <c r="J720" i="23"/>
  <c r="K720" i="23"/>
  <c r="G703" i="23"/>
  <c r="I703" i="23"/>
  <c r="J703" i="23"/>
  <c r="K703" i="23"/>
  <c r="G739" i="23"/>
  <c r="I739" i="23"/>
  <c r="J739" i="23"/>
  <c r="K739" i="23"/>
  <c r="G431" i="23"/>
  <c r="I431" i="23"/>
  <c r="J431" i="23"/>
  <c r="K431" i="23"/>
  <c r="G786" i="23"/>
  <c r="I786" i="23"/>
  <c r="J786" i="23"/>
  <c r="K786" i="23"/>
  <c r="G610" i="23"/>
  <c r="I610" i="23"/>
  <c r="J610" i="23"/>
  <c r="K610" i="23"/>
  <c r="G770" i="23"/>
  <c r="I770" i="23"/>
  <c r="J770" i="23"/>
  <c r="K770" i="23"/>
  <c r="G714" i="23"/>
  <c r="I714" i="23"/>
  <c r="J714" i="23"/>
  <c r="K714" i="23"/>
  <c r="G763" i="23"/>
  <c r="I763" i="23"/>
  <c r="J763" i="23"/>
  <c r="K763" i="23"/>
  <c r="G797" i="23"/>
  <c r="I797" i="23"/>
  <c r="J797" i="23"/>
  <c r="K797" i="23"/>
  <c r="G743" i="23"/>
  <c r="I743" i="23"/>
  <c r="J743" i="23"/>
  <c r="K743" i="23"/>
  <c r="G731" i="23"/>
  <c r="I731" i="23"/>
  <c r="J731" i="23"/>
  <c r="K731" i="23"/>
  <c r="G812" i="23"/>
  <c r="I812" i="23"/>
  <c r="J812" i="23"/>
  <c r="K812" i="23"/>
  <c r="G642" i="23"/>
  <c r="I642" i="23"/>
  <c r="J642" i="23"/>
  <c r="K642" i="23"/>
  <c r="G682" i="23"/>
  <c r="I682" i="23"/>
  <c r="J682" i="23"/>
  <c r="K682" i="23"/>
  <c r="G576" i="23"/>
  <c r="I576" i="23"/>
  <c r="J576" i="23"/>
  <c r="K576" i="23"/>
  <c r="G637" i="23"/>
  <c r="I637" i="23"/>
  <c r="J637" i="23"/>
  <c r="K637" i="23"/>
  <c r="G773" i="23"/>
  <c r="I773" i="23"/>
  <c r="J773" i="23"/>
  <c r="K773" i="23"/>
  <c r="G742" i="23"/>
  <c r="I742" i="23"/>
  <c r="J742" i="23"/>
  <c r="K742" i="23"/>
  <c r="G793" i="23"/>
  <c r="I793" i="23"/>
  <c r="J793" i="23"/>
  <c r="K793" i="23"/>
  <c r="G664" i="23"/>
  <c r="I664" i="23"/>
  <c r="J664" i="23"/>
  <c r="K664" i="23"/>
  <c r="G782" i="23"/>
  <c r="I782" i="23"/>
  <c r="J782" i="23"/>
  <c r="K782" i="23"/>
  <c r="G532" i="23"/>
  <c r="I532" i="23"/>
  <c r="J532" i="23"/>
  <c r="K532" i="23"/>
  <c r="G700" i="23"/>
  <c r="I700" i="23"/>
  <c r="J700" i="23"/>
  <c r="K700" i="23"/>
  <c r="G784" i="23"/>
  <c r="I784" i="23"/>
  <c r="J784" i="23"/>
  <c r="K784" i="23"/>
  <c r="G752" i="23"/>
  <c r="I752" i="23"/>
  <c r="J752" i="23"/>
  <c r="K752" i="23"/>
  <c r="G820" i="23"/>
  <c r="I820" i="23"/>
  <c r="J820" i="23"/>
  <c r="K820" i="23"/>
  <c r="G655" i="23"/>
  <c r="I655" i="23"/>
  <c r="J655" i="23"/>
  <c r="K655" i="23"/>
  <c r="G803" i="23"/>
  <c r="I803" i="23"/>
  <c r="J803" i="23"/>
  <c r="K803" i="23"/>
  <c r="G686" i="23"/>
  <c r="I686" i="23"/>
  <c r="J686" i="23"/>
  <c r="K686" i="23"/>
  <c r="G692" i="23"/>
  <c r="I692" i="23"/>
  <c r="J692" i="23"/>
  <c r="K692" i="23"/>
  <c r="G809" i="23"/>
  <c r="I809" i="23"/>
  <c r="J809" i="23"/>
  <c r="K809" i="23"/>
  <c r="G550" i="23"/>
  <c r="I550" i="23"/>
  <c r="J550" i="23"/>
  <c r="K550" i="23"/>
  <c r="G476" i="23"/>
  <c r="I476" i="23"/>
  <c r="J476" i="23"/>
  <c r="K476" i="23"/>
  <c r="G634" i="23"/>
  <c r="I634" i="23"/>
  <c r="J634" i="23"/>
  <c r="K634" i="23"/>
  <c r="G443" i="23"/>
  <c r="I443" i="23"/>
  <c r="J443" i="23"/>
  <c r="K443" i="23"/>
  <c r="G501" i="23"/>
  <c r="I501" i="23"/>
  <c r="J501" i="23"/>
  <c r="K501" i="23"/>
  <c r="G843" i="23"/>
  <c r="I843" i="23"/>
  <c r="J843" i="23"/>
  <c r="K843" i="23"/>
  <c r="G560" i="23"/>
  <c r="I560" i="23"/>
  <c r="J560" i="23"/>
  <c r="K560" i="23"/>
  <c r="J571" i="23"/>
  <c r="K571" i="23"/>
  <c r="G541" i="23"/>
  <c r="I541" i="23"/>
  <c r="J541" i="23"/>
  <c r="K541" i="23"/>
  <c r="G522" i="23"/>
  <c r="I522" i="23"/>
  <c r="J522" i="23"/>
  <c r="K522" i="23"/>
  <c r="G741" i="23"/>
  <c r="I741" i="23"/>
  <c r="J741" i="23"/>
  <c r="K741" i="23"/>
  <c r="G570" i="23"/>
  <c r="I570" i="23"/>
  <c r="J570" i="23"/>
  <c r="K570" i="23"/>
  <c r="G767" i="23"/>
  <c r="I767" i="23"/>
  <c r="J767" i="23"/>
  <c r="K767" i="23"/>
  <c r="G474" i="23"/>
  <c r="I474" i="23"/>
  <c r="J474" i="23"/>
  <c r="K474" i="23"/>
  <c r="G554" i="23"/>
  <c r="I554" i="23"/>
  <c r="J554" i="23"/>
  <c r="K554" i="23"/>
  <c r="G666" i="23"/>
  <c r="I666" i="23"/>
  <c r="J666" i="23"/>
  <c r="K666" i="23"/>
  <c r="G566" i="23"/>
  <c r="I566" i="23"/>
  <c r="J566" i="23"/>
  <c r="K566" i="23"/>
  <c r="G526" i="23"/>
  <c r="I526" i="23"/>
  <c r="J526" i="23"/>
  <c r="K526" i="23"/>
  <c r="G555" i="23"/>
  <c r="I555" i="23"/>
  <c r="J555" i="23"/>
  <c r="K555" i="23"/>
  <c r="G563" i="23"/>
  <c r="I563" i="23"/>
  <c r="J563" i="23"/>
  <c r="K563" i="23"/>
  <c r="G531" i="23"/>
  <c r="I531" i="23"/>
  <c r="J531" i="23"/>
  <c r="K531" i="23"/>
  <c r="G798" i="23"/>
  <c r="I798" i="23"/>
  <c r="J798" i="23"/>
  <c r="K798" i="23"/>
  <c r="G652" i="23"/>
  <c r="I652" i="23"/>
  <c r="J652" i="23"/>
  <c r="K652" i="23"/>
  <c r="G748" i="23"/>
  <c r="I748" i="23"/>
  <c r="J748" i="23"/>
  <c r="K748" i="23"/>
  <c r="G718" i="23"/>
  <c r="I718" i="23"/>
  <c r="J718" i="23"/>
  <c r="K718" i="23"/>
  <c r="G766" i="23"/>
  <c r="I766" i="23"/>
  <c r="J766" i="23"/>
  <c r="K766" i="23"/>
  <c r="G638" i="23"/>
  <c r="I638" i="23"/>
  <c r="J638" i="23"/>
  <c r="K638" i="23"/>
  <c r="G730" i="23"/>
  <c r="I730" i="23"/>
  <c r="J730" i="23"/>
  <c r="K730" i="23"/>
  <c r="G586" i="23"/>
  <c r="I586" i="23"/>
  <c r="J586" i="23"/>
  <c r="K586" i="23"/>
  <c r="G478" i="23"/>
  <c r="I478" i="23"/>
  <c r="J478" i="23"/>
  <c r="K478" i="23"/>
  <c r="G574" i="23"/>
  <c r="I574" i="23"/>
  <c r="J574" i="23"/>
  <c r="K574" i="23"/>
  <c r="G527" i="23"/>
  <c r="I527" i="23"/>
  <c r="J527" i="23"/>
  <c r="K527" i="23"/>
  <c r="G444" i="23"/>
  <c r="I444" i="23"/>
  <c r="J444" i="23"/>
  <c r="K444" i="23"/>
  <c r="G543" i="23"/>
  <c r="I543" i="23"/>
  <c r="J543" i="23"/>
  <c r="K543" i="23"/>
  <c r="G601" i="23"/>
  <c r="I601" i="23"/>
  <c r="J601" i="23"/>
  <c r="K601" i="23"/>
  <c r="G599" i="23"/>
  <c r="I599" i="23"/>
  <c r="J599" i="23"/>
  <c r="K599" i="23"/>
  <c r="G507" i="23"/>
  <c r="I507" i="23"/>
  <c r="J507" i="23"/>
  <c r="K507" i="23"/>
  <c r="G672" i="23"/>
  <c r="I672" i="23"/>
  <c r="J672" i="23"/>
  <c r="K672" i="23"/>
  <c r="G575" i="23"/>
  <c r="I575" i="23"/>
  <c r="J575" i="23"/>
  <c r="K575" i="23"/>
  <c r="G553" i="23"/>
  <c r="I553" i="23"/>
  <c r="J553" i="23"/>
  <c r="K553" i="23"/>
  <c r="G506" i="23"/>
  <c r="I506" i="23"/>
  <c r="J506" i="23"/>
  <c r="K506" i="23"/>
  <c r="G452" i="23"/>
  <c r="I452" i="23"/>
  <c r="J452" i="23"/>
  <c r="K452" i="23"/>
  <c r="G598" i="23"/>
  <c r="I598" i="23"/>
  <c r="J598" i="23"/>
  <c r="K598" i="23"/>
  <c r="G573" i="23"/>
  <c r="I573" i="23"/>
  <c r="J573" i="23"/>
  <c r="K573" i="23"/>
  <c r="G529" i="23"/>
  <c r="I529" i="23"/>
  <c r="J529" i="23"/>
  <c r="K529" i="23"/>
  <c r="G513" i="23"/>
  <c r="I513" i="23"/>
  <c r="J513" i="23"/>
  <c r="K513" i="23"/>
  <c r="G523" i="23"/>
  <c r="I523" i="23"/>
  <c r="J523" i="23"/>
  <c r="K523" i="23"/>
  <c r="G581" i="23"/>
  <c r="I581" i="23"/>
  <c r="J581" i="23"/>
  <c r="K581" i="23"/>
  <c r="G533" i="23"/>
  <c r="I533" i="23"/>
  <c r="J533" i="23"/>
  <c r="K533" i="23"/>
  <c r="G577" i="23"/>
  <c r="I577" i="23"/>
  <c r="J577" i="23"/>
  <c r="K577" i="23"/>
  <c r="G604" i="23"/>
  <c r="I604" i="23"/>
  <c r="J604" i="23"/>
  <c r="K604" i="23"/>
  <c r="G840" i="23"/>
  <c r="I840" i="23"/>
  <c r="J840" i="23"/>
  <c r="K840" i="23"/>
  <c r="G835" i="23"/>
  <c r="I835" i="23"/>
  <c r="J835" i="23"/>
  <c r="K835" i="23"/>
  <c r="J606" i="23"/>
  <c r="K606" i="23"/>
  <c r="G462" i="23"/>
  <c r="I462" i="23"/>
  <c r="J462" i="23"/>
  <c r="K462" i="23"/>
  <c r="G516" i="23"/>
  <c r="I516" i="23"/>
  <c r="J516" i="23"/>
  <c r="K516" i="23"/>
  <c r="G552" i="23"/>
  <c r="I552" i="23"/>
  <c r="J552" i="23"/>
  <c r="K552" i="23"/>
  <c r="G651" i="23"/>
  <c r="I651" i="23"/>
  <c r="J651" i="23"/>
  <c r="K651" i="23"/>
  <c r="G487" i="23"/>
  <c r="I487" i="23"/>
  <c r="J487" i="23"/>
  <c r="K487" i="23"/>
  <c r="G518" i="23"/>
  <c r="I518" i="23"/>
  <c r="J518" i="23"/>
  <c r="K518" i="23"/>
  <c r="G450" i="23"/>
  <c r="I450" i="23"/>
  <c r="J450" i="23"/>
  <c r="K450" i="23"/>
  <c r="G734" i="23"/>
  <c r="I734" i="23"/>
  <c r="J734" i="23"/>
  <c r="K734" i="23"/>
  <c r="G716" i="23"/>
  <c r="I716" i="23"/>
  <c r="J716" i="23"/>
  <c r="K716" i="23"/>
  <c r="G602" i="23"/>
  <c r="I602" i="23"/>
  <c r="J602" i="23"/>
  <c r="K602" i="23"/>
  <c r="G801" i="23"/>
  <c r="I801" i="23"/>
  <c r="J801" i="23"/>
  <c r="K801" i="23"/>
  <c r="G617" i="23"/>
  <c r="I617" i="23"/>
  <c r="J617" i="23"/>
  <c r="K617" i="23"/>
  <c r="G721" i="23"/>
  <c r="I721" i="23"/>
  <c r="J721" i="23"/>
  <c r="K721" i="23"/>
  <c r="G425" i="23"/>
  <c r="I425" i="23"/>
  <c r="J425" i="23"/>
  <c r="K425" i="23"/>
  <c r="G723" i="23"/>
  <c r="I723" i="23"/>
  <c r="J723" i="23"/>
  <c r="K723" i="23"/>
  <c r="G499" i="23"/>
  <c r="I499" i="23"/>
  <c r="J499" i="23"/>
  <c r="K499" i="23"/>
  <c r="G549" i="23"/>
  <c r="I549" i="23"/>
  <c r="J549" i="23"/>
  <c r="K549" i="23"/>
  <c r="G539" i="23"/>
  <c r="I539" i="23"/>
  <c r="J539" i="23"/>
  <c r="K539" i="23"/>
  <c r="G845" i="23"/>
  <c r="I845" i="23"/>
  <c r="J845" i="23"/>
  <c r="K845" i="23"/>
  <c r="G471" i="23"/>
  <c r="I471" i="23"/>
  <c r="J471" i="23"/>
  <c r="K471" i="23"/>
  <c r="G603" i="23"/>
  <c r="I603" i="23"/>
  <c r="J603" i="23"/>
  <c r="K603" i="23"/>
  <c r="G535" i="23"/>
  <c r="I535" i="23"/>
  <c r="J535" i="23"/>
  <c r="K535" i="23"/>
  <c r="G776" i="23"/>
  <c r="I776" i="23"/>
  <c r="J776" i="23"/>
  <c r="K776" i="23"/>
  <c r="G432" i="23"/>
  <c r="I432" i="23"/>
  <c r="J432" i="23"/>
  <c r="K432" i="23"/>
  <c r="G828" i="23"/>
  <c r="I828" i="23"/>
  <c r="J828" i="23"/>
  <c r="K828" i="23"/>
  <c r="G658" i="23"/>
  <c r="I658" i="23"/>
  <c r="J658" i="23"/>
  <c r="K658" i="23"/>
  <c r="G449" i="23"/>
  <c r="I449" i="23"/>
  <c r="J449" i="23"/>
  <c r="K449" i="23"/>
  <c r="G821" i="23"/>
  <c r="I821" i="23"/>
  <c r="J821" i="23"/>
  <c r="K821" i="23"/>
  <c r="G427" i="23"/>
  <c r="I427" i="23"/>
  <c r="J427" i="23"/>
  <c r="K427" i="23"/>
  <c r="G495" i="23"/>
  <c r="I495" i="23"/>
  <c r="J495" i="23"/>
  <c r="K495" i="23"/>
  <c r="G505" i="23"/>
  <c r="I505" i="23"/>
  <c r="J505" i="23"/>
  <c r="K505" i="23"/>
  <c r="G486" i="23"/>
  <c r="I486" i="23"/>
  <c r="J486" i="23"/>
  <c r="K486" i="23"/>
  <c r="G583" i="23"/>
  <c r="I583" i="23"/>
  <c r="J583" i="23"/>
  <c r="K583" i="23"/>
  <c r="G548" i="23"/>
  <c r="I548" i="23"/>
  <c r="J548" i="23"/>
  <c r="K548" i="23"/>
  <c r="G565" i="23"/>
  <c r="I565" i="23"/>
  <c r="J565" i="23"/>
  <c r="K565" i="23"/>
  <c r="G473" i="23"/>
  <c r="I473" i="23"/>
  <c r="J473" i="23"/>
  <c r="K473" i="23"/>
  <c r="G661" i="23"/>
  <c r="I661" i="23"/>
  <c r="J661" i="23"/>
  <c r="K661" i="23"/>
  <c r="G515" i="23"/>
  <c r="I515" i="23"/>
  <c r="J515" i="23"/>
  <c r="K515" i="23"/>
  <c r="G819" i="23"/>
  <c r="I819" i="23"/>
  <c r="J819" i="23"/>
  <c r="K819" i="23"/>
  <c r="G844" i="23"/>
  <c r="I844" i="23"/>
  <c r="J844" i="23"/>
  <c r="K844" i="23"/>
  <c r="G836" i="23"/>
  <c r="I836" i="23"/>
  <c r="J836" i="23"/>
  <c r="K836" i="23"/>
  <c r="G464" i="23"/>
  <c r="I464" i="23"/>
  <c r="J464" i="23"/>
  <c r="K464" i="23"/>
  <c r="G817" i="23"/>
  <c r="I817" i="23"/>
  <c r="J817" i="23"/>
  <c r="K817" i="23"/>
  <c r="G633" i="23"/>
  <c r="I633" i="23"/>
  <c r="J633" i="23"/>
  <c r="K633" i="23"/>
  <c r="G826" i="23"/>
  <c r="I826" i="23"/>
  <c r="J826" i="23"/>
  <c r="K826" i="23"/>
  <c r="G830" i="23"/>
  <c r="I830" i="23"/>
  <c r="J830" i="23"/>
  <c r="K830" i="23"/>
  <c r="G437" i="23"/>
  <c r="I437" i="23"/>
  <c r="J437" i="23"/>
  <c r="K437" i="23"/>
  <c r="G810" i="23"/>
  <c r="I810" i="23"/>
  <c r="J810" i="23"/>
  <c r="K810" i="23"/>
  <c r="G824" i="23"/>
  <c r="I824" i="23"/>
  <c r="J824" i="23"/>
  <c r="K824" i="23"/>
  <c r="G825" i="23"/>
  <c r="I825" i="23"/>
  <c r="J825" i="23"/>
  <c r="K825" i="23"/>
  <c r="G429" i="23"/>
  <c r="I429" i="23"/>
  <c r="J429" i="23"/>
  <c r="K429" i="23"/>
  <c r="G472" i="23"/>
  <c r="I472" i="23"/>
  <c r="J472" i="23"/>
  <c r="K472" i="23"/>
  <c r="G544" i="23"/>
  <c r="I544" i="23"/>
  <c r="J544" i="23"/>
  <c r="K544" i="23"/>
  <c r="G558" i="23"/>
  <c r="I558" i="23"/>
  <c r="J558" i="23"/>
  <c r="K558" i="23"/>
  <c r="G758" i="23"/>
  <c r="I758" i="23"/>
  <c r="J758" i="23"/>
  <c r="K758" i="23"/>
  <c r="G791" i="23"/>
  <c r="I791" i="23"/>
  <c r="J791" i="23"/>
  <c r="K791" i="23"/>
  <c r="G645" i="23"/>
  <c r="I645" i="23"/>
  <c r="J645" i="23"/>
  <c r="K645" i="23"/>
  <c r="G556" i="23"/>
  <c r="I556" i="23"/>
  <c r="J556" i="23"/>
  <c r="K556" i="23"/>
  <c r="G440" i="23"/>
  <c r="I440" i="23"/>
  <c r="J440" i="23"/>
  <c r="K440" i="23"/>
  <c r="G611" i="23"/>
  <c r="I611" i="23"/>
  <c r="J611" i="23"/>
  <c r="K611" i="23"/>
  <c r="G460" i="23"/>
  <c r="I460" i="23"/>
  <c r="J460" i="23"/>
  <c r="K460" i="23"/>
  <c r="G656" i="23"/>
  <c r="I656" i="23"/>
  <c r="J656" i="23"/>
  <c r="K656" i="23"/>
  <c r="G635" i="23"/>
  <c r="I635" i="23"/>
  <c r="J635" i="23"/>
  <c r="K635" i="23"/>
  <c r="G760" i="23"/>
  <c r="I760" i="23"/>
  <c r="J760" i="23"/>
  <c r="K760" i="23"/>
  <c r="G572" i="23"/>
  <c r="I572" i="23"/>
  <c r="J572" i="23"/>
  <c r="K572" i="23"/>
  <c r="G520" i="23"/>
  <c r="I520" i="23"/>
  <c r="J520" i="23"/>
  <c r="K520" i="23"/>
  <c r="G649" i="23"/>
  <c r="I649" i="23"/>
  <c r="J649" i="23"/>
  <c r="K649" i="23"/>
  <c r="G837" i="23"/>
  <c r="I837" i="23"/>
  <c r="J837" i="23"/>
  <c r="K837" i="23"/>
  <c r="G519" i="23"/>
  <c r="I519" i="23"/>
  <c r="J519" i="23"/>
  <c r="K519" i="23"/>
  <c r="G530" i="23"/>
  <c r="I530" i="23"/>
  <c r="J530" i="23"/>
  <c r="K530" i="23"/>
  <c r="G735" i="23"/>
  <c r="I735" i="23"/>
  <c r="J735" i="23"/>
  <c r="K735" i="23"/>
  <c r="G457" i="23"/>
  <c r="I457" i="23"/>
  <c r="J457" i="23"/>
  <c r="K457" i="23"/>
  <c r="G614" i="23"/>
  <c r="I614" i="23"/>
  <c r="J614" i="23"/>
  <c r="K614" i="23"/>
  <c r="G455" i="23"/>
  <c r="I455" i="23"/>
  <c r="J455" i="23"/>
  <c r="K455" i="23"/>
  <c r="G557" i="23"/>
  <c r="I557" i="23"/>
  <c r="J557" i="23"/>
  <c r="K557" i="23"/>
  <c r="G491" i="23"/>
  <c r="I491" i="23"/>
  <c r="J491" i="23"/>
  <c r="K491" i="23"/>
  <c r="G510" i="23"/>
  <c r="I510" i="23"/>
  <c r="J510" i="23"/>
  <c r="K510" i="23"/>
  <c r="G424" i="23"/>
  <c r="I424" i="23"/>
  <c r="J424" i="23"/>
  <c r="K424" i="23"/>
  <c r="G769" i="23"/>
  <c r="I769" i="23"/>
  <c r="J769" i="23"/>
  <c r="K769" i="23"/>
  <c r="G818" i="23"/>
  <c r="I818" i="23"/>
  <c r="J818" i="23"/>
  <c r="K818" i="23"/>
  <c r="G547" i="23"/>
  <c r="I547" i="23"/>
  <c r="J547" i="23"/>
  <c r="K547" i="23"/>
  <c r="G593" i="23"/>
  <c r="I593" i="23"/>
  <c r="J593" i="23"/>
  <c r="K593" i="23"/>
  <c r="G508" i="23"/>
  <c r="I508" i="23"/>
  <c r="J508" i="23"/>
  <c r="K508" i="23"/>
  <c r="G630" i="23"/>
  <c r="I630" i="23"/>
  <c r="J630" i="23"/>
  <c r="K630" i="23"/>
  <c r="G612" i="23"/>
  <c r="I612" i="23"/>
  <c r="J612" i="23"/>
  <c r="K612" i="23"/>
  <c r="G814" i="23"/>
  <c r="I814" i="23"/>
  <c r="J814" i="23"/>
  <c r="K814" i="23"/>
  <c r="G568" i="23"/>
  <c r="I568" i="23"/>
  <c r="J568" i="23"/>
  <c r="K568" i="23"/>
  <c r="G485" i="23"/>
  <c r="I485" i="23"/>
  <c r="J485" i="23"/>
  <c r="K485" i="23"/>
  <c r="G724" i="23"/>
  <c r="I724" i="23"/>
  <c r="J724" i="23"/>
  <c r="K724" i="23"/>
  <c r="G823" i="23"/>
  <c r="I823" i="23"/>
  <c r="J823" i="23"/>
  <c r="K823" i="23"/>
  <c r="G618" i="23"/>
  <c r="I618" i="23"/>
  <c r="J618" i="23"/>
  <c r="K618" i="23"/>
  <c r="G453" i="23"/>
  <c r="I453" i="23"/>
  <c r="J453" i="23"/>
  <c r="K453" i="23"/>
  <c r="G754" i="23"/>
  <c r="I754" i="23"/>
  <c r="J754" i="23"/>
  <c r="K754" i="23"/>
  <c r="G799" i="23"/>
  <c r="I799" i="23"/>
  <c r="J799" i="23"/>
  <c r="K799" i="23"/>
  <c r="G787" i="23"/>
  <c r="I787" i="23"/>
  <c r="J787" i="23"/>
  <c r="K787" i="23"/>
  <c r="G771" i="23"/>
  <c r="I771" i="23"/>
  <c r="J771" i="23"/>
  <c r="K771" i="23"/>
  <c r="G704" i="23"/>
  <c r="I704" i="23"/>
  <c r="J704" i="23"/>
  <c r="K704" i="23"/>
  <c r="G705" i="23"/>
  <c r="I705" i="23"/>
  <c r="J705" i="23"/>
  <c r="K705" i="23"/>
  <c r="G423" i="23"/>
  <c r="I423" i="23"/>
  <c r="J423" i="23"/>
  <c r="K423" i="23"/>
  <c r="G525" i="23"/>
  <c r="I525" i="23"/>
  <c r="J525" i="23"/>
  <c r="K525" i="23"/>
  <c r="G702" i="23"/>
  <c r="I702" i="23"/>
  <c r="J702" i="23"/>
  <c r="K702" i="23"/>
  <c r="G683" i="23"/>
  <c r="I683" i="23"/>
  <c r="J683" i="23"/>
  <c r="K683" i="23"/>
  <c r="G747" i="23"/>
  <c r="I747" i="23"/>
  <c r="J747" i="23"/>
  <c r="K747" i="23"/>
  <c r="G805" i="23"/>
  <c r="I805" i="23"/>
  <c r="J805" i="23"/>
  <c r="K805" i="23"/>
  <c r="G719" i="23"/>
  <c r="I719" i="23"/>
  <c r="J719" i="23"/>
  <c r="K719" i="23"/>
  <c r="G717" i="23"/>
  <c r="I717" i="23"/>
  <c r="J717" i="23"/>
  <c r="K717" i="23"/>
  <c r="G569" i="23"/>
  <c r="I569" i="23"/>
  <c r="J569" i="23"/>
  <c r="K569" i="23"/>
  <c r="G757" i="23"/>
  <c r="I757" i="23"/>
  <c r="J757" i="23"/>
  <c r="K757" i="23"/>
  <c r="G695" i="23"/>
  <c r="I695" i="23"/>
  <c r="J695" i="23"/>
  <c r="K695" i="23"/>
  <c r="J737" i="23"/>
  <c r="K737" i="23"/>
  <c r="G789" i="23"/>
  <c r="I789" i="23"/>
  <c r="J789" i="23"/>
  <c r="K789" i="23"/>
  <c r="G595" i="23"/>
  <c r="I595" i="23"/>
  <c r="J595" i="23"/>
  <c r="K595" i="23"/>
  <c r="G729" i="23"/>
  <c r="I729" i="23"/>
  <c r="J729" i="23"/>
  <c r="K729" i="23"/>
  <c r="G688" i="23"/>
  <c r="I688" i="23"/>
  <c r="J688" i="23"/>
  <c r="K688" i="23"/>
  <c r="G775" i="23"/>
  <c r="I775" i="23"/>
  <c r="J775" i="23"/>
  <c r="K775" i="23"/>
  <c r="G751" i="23"/>
  <c r="I751" i="23"/>
  <c r="J751" i="23"/>
  <c r="K751" i="23"/>
  <c r="G733" i="23"/>
  <c r="I733" i="23"/>
  <c r="J733" i="23"/>
  <c r="K733" i="23"/>
  <c r="G806" i="23"/>
  <c r="I806" i="23"/>
  <c r="J806" i="23"/>
  <c r="K806" i="23"/>
  <c r="G774" i="23"/>
  <c r="I774" i="23"/>
  <c r="J774" i="23"/>
  <c r="K774" i="23"/>
  <c r="G640" i="23"/>
  <c r="I640" i="23"/>
  <c r="J640" i="23"/>
  <c r="K640" i="23"/>
  <c r="G675" i="23"/>
  <c r="I675" i="23"/>
  <c r="J675" i="23"/>
  <c r="K675" i="23"/>
  <c r="G680" i="23"/>
  <c r="I680" i="23"/>
  <c r="J680" i="23"/>
  <c r="K680" i="23"/>
  <c r="G694" i="23"/>
  <c r="I694" i="23"/>
  <c r="J694" i="23"/>
  <c r="K694" i="23"/>
  <c r="G759" i="23"/>
  <c r="I759" i="23"/>
  <c r="J759" i="23"/>
  <c r="K759" i="23"/>
  <c r="G636" i="23"/>
  <c r="I636" i="23"/>
  <c r="J636" i="23"/>
  <c r="K636" i="23"/>
  <c r="G631" i="23"/>
  <c r="I631" i="23"/>
  <c r="J631" i="23"/>
  <c r="K631" i="23"/>
  <c r="G727" i="23"/>
  <c r="I727" i="23"/>
  <c r="J727" i="23"/>
  <c r="K727" i="23"/>
  <c r="G643" i="23"/>
  <c r="I643" i="23"/>
  <c r="J643" i="23"/>
  <c r="K643" i="23"/>
  <c r="G804" i="23"/>
  <c r="I804" i="23"/>
  <c r="J804" i="23"/>
  <c r="K804" i="23"/>
  <c r="G685" i="23"/>
  <c r="I685" i="23"/>
  <c r="J685" i="23"/>
  <c r="K685" i="23"/>
  <c r="G808" i="23"/>
  <c r="I808" i="23"/>
  <c r="J808" i="23"/>
  <c r="K808" i="23"/>
  <c r="G676" i="23"/>
  <c r="I676" i="23"/>
  <c r="J676" i="23"/>
  <c r="K676" i="23"/>
  <c r="G807" i="23"/>
  <c r="I807" i="23"/>
  <c r="J807" i="23"/>
  <c r="K807" i="23"/>
  <c r="G750" i="23"/>
  <c r="I750" i="23"/>
  <c r="J750" i="23"/>
  <c r="K750" i="23"/>
  <c r="G691" i="23"/>
  <c r="I691" i="23"/>
  <c r="J691" i="23"/>
  <c r="K691" i="23"/>
  <c r="G502" i="23"/>
  <c r="I502" i="23"/>
  <c r="J502" i="23"/>
  <c r="K502" i="23"/>
  <c r="G745" i="23"/>
  <c r="I745" i="23"/>
  <c r="J745" i="23"/>
  <c r="K745" i="23"/>
  <c r="G768" i="23"/>
  <c r="I768" i="23"/>
  <c r="J768" i="23"/>
  <c r="K768" i="23"/>
  <c r="G674" i="23"/>
  <c r="I674" i="23"/>
  <c r="J674" i="23"/>
  <c r="K674" i="23"/>
  <c r="G777" i="23"/>
  <c r="I777" i="23"/>
  <c r="J777" i="23"/>
  <c r="K777" i="23"/>
  <c r="G467" i="23"/>
  <c r="I467" i="23"/>
  <c r="J467" i="23"/>
  <c r="K467" i="23"/>
  <c r="G619" i="23"/>
  <c r="I619" i="23"/>
  <c r="J619" i="23"/>
  <c r="K619" i="23"/>
  <c r="G677" i="23"/>
  <c r="I677" i="23"/>
  <c r="J677" i="23"/>
  <c r="K677" i="23"/>
  <c r="G794" i="23"/>
  <c r="I794" i="23"/>
  <c r="J794" i="23"/>
  <c r="K794" i="23"/>
  <c r="G500" i="23"/>
  <c r="I500" i="23"/>
  <c r="J500" i="23"/>
  <c r="K500" i="23"/>
  <c r="G740" i="23"/>
  <c r="I740" i="23"/>
  <c r="J740" i="23"/>
  <c r="K740" i="23"/>
  <c r="G783" i="23"/>
  <c r="I783" i="23"/>
  <c r="J783" i="23"/>
  <c r="K783" i="23"/>
  <c r="G712" i="23"/>
  <c r="I712" i="23"/>
  <c r="J712" i="23"/>
  <c r="K712" i="23"/>
  <c r="G790" i="23"/>
  <c r="I790" i="23"/>
  <c r="J790" i="23"/>
  <c r="K790" i="23"/>
  <c r="G650" i="23"/>
  <c r="I650" i="23"/>
  <c r="J650" i="23"/>
  <c r="K650" i="23"/>
  <c r="G693" i="23"/>
  <c r="I693" i="23"/>
  <c r="J693" i="23"/>
  <c r="K693" i="23"/>
  <c r="G765" i="23"/>
  <c r="I765" i="23"/>
  <c r="J765" i="23"/>
  <c r="K765" i="23"/>
  <c r="G673" i="23"/>
  <c r="I673" i="23"/>
  <c r="J673" i="23"/>
  <c r="K673" i="23"/>
  <c r="G584" i="23"/>
  <c r="I584" i="23"/>
  <c r="J584" i="23"/>
  <c r="K584" i="23"/>
  <c r="G781" i="23"/>
  <c r="I781" i="23"/>
  <c r="J781" i="23"/>
  <c r="K781" i="23"/>
  <c r="G670" i="23"/>
  <c r="I670" i="23"/>
  <c r="J670" i="23"/>
  <c r="K670" i="23"/>
  <c r="G521" i="23"/>
  <c r="I521" i="23"/>
  <c r="J521" i="23"/>
  <c r="K521" i="23"/>
  <c r="G540" i="23"/>
  <c r="I540" i="23"/>
  <c r="J540" i="23"/>
  <c r="K540" i="23"/>
  <c r="G578" i="23"/>
  <c r="I578" i="23"/>
  <c r="J578" i="23"/>
  <c r="K578" i="23"/>
  <c r="G528" i="23"/>
  <c r="I528" i="23"/>
  <c r="J528" i="23"/>
  <c r="K528" i="23"/>
  <c r="G626" i="23"/>
  <c r="I626" i="23"/>
  <c r="J626" i="23"/>
  <c r="K626" i="23"/>
  <c r="G524" i="23"/>
  <c r="I524" i="23"/>
  <c r="J524" i="23"/>
  <c r="K524" i="23"/>
  <c r="G503" i="23"/>
  <c r="I503" i="23"/>
  <c r="J503" i="23"/>
  <c r="K503" i="23"/>
  <c r="G564" i="23"/>
  <c r="I564" i="23"/>
  <c r="J564" i="23"/>
  <c r="K564" i="23"/>
  <c r="G620" i="23"/>
  <c r="I620" i="23"/>
  <c r="J620" i="23"/>
  <c r="K620" i="23"/>
  <c r="G795" i="23"/>
  <c r="I795" i="23"/>
  <c r="J795" i="23"/>
  <c r="K795" i="23"/>
  <c r="G660" i="23"/>
  <c r="I660" i="23"/>
  <c r="J660" i="23"/>
  <c r="K660" i="23"/>
  <c r="G585" i="23"/>
  <c r="I585" i="23"/>
  <c r="J585" i="23"/>
  <c r="K585" i="23"/>
  <c r="G428" i="23"/>
  <c r="I428" i="23"/>
  <c r="J428" i="23"/>
  <c r="K428" i="23"/>
  <c r="G607" i="23"/>
  <c r="I607" i="23"/>
  <c r="J607" i="23"/>
  <c r="K607" i="23"/>
  <c r="G689" i="23"/>
  <c r="I689" i="23"/>
  <c r="J689" i="23"/>
  <c r="K689" i="23"/>
  <c r="G699" i="23"/>
  <c r="I699" i="23"/>
  <c r="J699" i="23"/>
  <c r="K699" i="23"/>
  <c r="G679" i="23"/>
  <c r="I679" i="23"/>
  <c r="J679" i="23"/>
  <c r="K679" i="23"/>
  <c r="G696" i="23"/>
  <c r="I696" i="23"/>
  <c r="J696" i="23"/>
  <c r="K696" i="23"/>
  <c r="G534" i="23"/>
  <c r="I534" i="23"/>
  <c r="J534" i="23"/>
  <c r="K534" i="23"/>
  <c r="G551" i="23"/>
  <c r="I551" i="23"/>
  <c r="J551" i="23"/>
  <c r="K551" i="23"/>
  <c r="G546" i="23"/>
  <c r="I546" i="23"/>
  <c r="J546" i="23"/>
  <c r="K546" i="23"/>
  <c r="G744" i="23"/>
  <c r="I744" i="23"/>
  <c r="J744" i="23"/>
  <c r="K744" i="23"/>
  <c r="G545" i="23"/>
  <c r="I545" i="23"/>
  <c r="J545" i="23"/>
  <c r="K545" i="23"/>
  <c r="G764" i="23"/>
  <c r="I764" i="23"/>
  <c r="J764" i="23"/>
  <c r="K764" i="23"/>
  <c r="G746" i="23"/>
  <c r="I746" i="23"/>
  <c r="J746" i="23"/>
  <c r="K746" i="23"/>
  <c r="G493" i="23"/>
  <c r="I493" i="23"/>
  <c r="J493" i="23"/>
  <c r="K493" i="23"/>
  <c r="G792" i="23"/>
  <c r="I792" i="23"/>
  <c r="J792" i="23"/>
  <c r="K792" i="23"/>
  <c r="G509" i="23"/>
  <c r="I509" i="23"/>
  <c r="J509" i="23"/>
  <c r="K509" i="23"/>
  <c r="G504" i="23"/>
  <c r="I504" i="23"/>
  <c r="J504" i="23"/>
  <c r="K504" i="23"/>
  <c r="G512" i="23"/>
  <c r="I512" i="23"/>
  <c r="J512" i="23"/>
  <c r="K512" i="23"/>
  <c r="G609" i="23"/>
  <c r="I609" i="23"/>
  <c r="J609" i="23"/>
  <c r="K609" i="23"/>
  <c r="G582" i="23"/>
  <c r="I582" i="23"/>
  <c r="J582" i="23"/>
  <c r="K582" i="23"/>
  <c r="G592" i="23"/>
  <c r="I592" i="23"/>
  <c r="J592" i="23"/>
  <c r="K592" i="23"/>
  <c r="G481" i="23"/>
  <c r="I481" i="23"/>
  <c r="J481" i="23"/>
  <c r="K481" i="23"/>
  <c r="G517" i="23"/>
  <c r="I517" i="23"/>
  <c r="J517" i="23"/>
  <c r="K517" i="23"/>
  <c r="G590" i="23"/>
  <c r="I590" i="23"/>
  <c r="J590" i="23"/>
  <c r="K590" i="23"/>
  <c r="G596" i="23"/>
  <c r="I596" i="23"/>
  <c r="J596" i="23"/>
  <c r="K596" i="23"/>
  <c r="G482" i="23"/>
  <c r="I482" i="23"/>
  <c r="J482" i="23"/>
  <c r="K482" i="23"/>
  <c r="G594" i="23"/>
  <c r="I594" i="23"/>
  <c r="J594" i="23"/>
  <c r="K594" i="23"/>
  <c r="G588" i="23"/>
  <c r="I588" i="23"/>
  <c r="J588" i="23"/>
  <c r="K588" i="23"/>
  <c r="G615" i="23"/>
  <c r="I615" i="23"/>
  <c r="J615" i="23"/>
  <c r="K615" i="23"/>
  <c r="G490" i="23"/>
  <c r="I490" i="23"/>
  <c r="J490" i="23"/>
  <c r="K490" i="23"/>
  <c r="G579" i="23"/>
  <c r="I579" i="23"/>
  <c r="J579" i="23"/>
  <c r="K579" i="23"/>
  <c r="G456" i="23"/>
  <c r="I456" i="23"/>
  <c r="J456" i="23"/>
  <c r="K456" i="23"/>
  <c r="G839" i="23"/>
  <c r="I839" i="23"/>
  <c r="J839" i="23"/>
  <c r="K839" i="23"/>
  <c r="G567" i="23"/>
  <c r="I567" i="23"/>
  <c r="J567" i="23"/>
  <c r="K567" i="23"/>
  <c r="G466" i="23"/>
  <c r="I466" i="23"/>
  <c r="J466" i="23"/>
  <c r="K466" i="23"/>
  <c r="G657" i="23"/>
  <c r="I657" i="23"/>
  <c r="J657" i="23"/>
  <c r="K657" i="23"/>
  <c r="G459" i="23"/>
  <c r="I459" i="23"/>
  <c r="J459" i="23"/>
  <c r="K459" i="23"/>
  <c r="G613" i="23"/>
  <c r="I613" i="23"/>
  <c r="J613" i="23"/>
  <c r="K613" i="23"/>
  <c r="G800" i="23"/>
  <c r="I800" i="23"/>
  <c r="J800" i="23"/>
  <c r="K800" i="23"/>
  <c r="G448" i="23"/>
  <c r="I448" i="23"/>
  <c r="J448" i="23"/>
  <c r="K448" i="23"/>
  <c r="G433" i="23"/>
  <c r="I433" i="23"/>
  <c r="J433" i="23"/>
  <c r="K433" i="23"/>
  <c r="G627" i="23"/>
  <c r="I627" i="23"/>
  <c r="J627" i="23"/>
  <c r="K627" i="23"/>
  <c r="G644" i="23"/>
  <c r="I644" i="23"/>
  <c r="J644" i="23"/>
  <c r="K644" i="23"/>
  <c r="G665" i="23"/>
  <c r="I665" i="23"/>
  <c r="J665" i="23"/>
  <c r="K665" i="23"/>
  <c r="G625" i="23"/>
  <c r="I625" i="23"/>
  <c r="J625" i="23"/>
  <c r="K625" i="23"/>
  <c r="G426" i="23"/>
  <c r="I426" i="23"/>
  <c r="J426" i="23"/>
  <c r="K426" i="23"/>
  <c r="G587" i="23"/>
  <c r="I587" i="23"/>
  <c r="J587" i="23"/>
  <c r="K587" i="23"/>
  <c r="G562" i="23"/>
  <c r="I562" i="23"/>
  <c r="J562" i="23"/>
  <c r="K562" i="23"/>
  <c r="G484" i="23"/>
  <c r="I484" i="23"/>
  <c r="J484" i="23"/>
  <c r="K484" i="23"/>
  <c r="G161" i="23"/>
  <c r="I161" i="23"/>
  <c r="J161" i="23"/>
  <c r="K161" i="23"/>
  <c r="G103" i="23"/>
  <c r="I103" i="23"/>
  <c r="J103" i="23"/>
  <c r="K103" i="23"/>
  <c r="G74" i="23"/>
  <c r="I74" i="23"/>
  <c r="J74" i="23"/>
  <c r="K74" i="23"/>
  <c r="G78" i="23"/>
  <c r="I78" i="23"/>
  <c r="J78" i="23"/>
  <c r="K78" i="23"/>
  <c r="G45" i="23"/>
  <c r="I45" i="23"/>
  <c r="J45" i="23"/>
  <c r="K45" i="23"/>
  <c r="G118" i="23"/>
  <c r="I118" i="23"/>
  <c r="J118" i="23"/>
  <c r="K118" i="23"/>
  <c r="G16" i="23"/>
  <c r="I16" i="23"/>
  <c r="J16" i="23"/>
  <c r="K16" i="23"/>
  <c r="G141" i="23"/>
  <c r="I141" i="23"/>
  <c r="J141" i="23"/>
  <c r="K141" i="23"/>
  <c r="G181" i="23"/>
  <c r="I181" i="23"/>
  <c r="J181" i="23"/>
  <c r="K181" i="23"/>
  <c r="G191" i="23"/>
  <c r="I191" i="23"/>
  <c r="J191" i="23"/>
  <c r="K191" i="23"/>
  <c r="G7" i="23"/>
  <c r="I7" i="23"/>
  <c r="J7" i="23"/>
  <c r="K7" i="23"/>
  <c r="G51" i="23"/>
  <c r="I51" i="23"/>
  <c r="J51" i="23"/>
  <c r="K51" i="23"/>
  <c r="G163" i="23"/>
  <c r="I163" i="23"/>
  <c r="J163" i="23"/>
  <c r="K163" i="23"/>
  <c r="G57" i="23"/>
  <c r="I57" i="23"/>
  <c r="J57" i="23"/>
  <c r="K57" i="23"/>
  <c r="G8" i="23"/>
  <c r="I8" i="23"/>
  <c r="J8" i="23"/>
  <c r="K8" i="23"/>
  <c r="G126" i="23"/>
  <c r="I126" i="23"/>
  <c r="J126" i="23"/>
  <c r="K126" i="23"/>
  <c r="G260" i="23"/>
  <c r="I260" i="23"/>
  <c r="J260" i="23"/>
  <c r="K260" i="23"/>
  <c r="G167" i="23"/>
  <c r="I167" i="23"/>
  <c r="J167" i="23"/>
  <c r="K167" i="23"/>
  <c r="G100" i="23"/>
  <c r="I100" i="23"/>
  <c r="J100" i="23"/>
  <c r="K100" i="23"/>
  <c r="G348" i="23"/>
  <c r="I348" i="23"/>
  <c r="J348" i="23"/>
  <c r="K348" i="23"/>
  <c r="G52" i="23"/>
  <c r="I52" i="23"/>
  <c r="J52" i="23"/>
  <c r="K52" i="23"/>
  <c r="G221" i="23"/>
  <c r="I221" i="23"/>
  <c r="J221" i="23"/>
  <c r="K221" i="23"/>
  <c r="G173" i="23"/>
  <c r="I173" i="23"/>
  <c r="J173" i="23"/>
  <c r="K173" i="23"/>
  <c r="G263" i="23"/>
  <c r="I263" i="23"/>
  <c r="J263" i="23"/>
  <c r="K263" i="23"/>
  <c r="G371" i="23"/>
  <c r="I371" i="23"/>
  <c r="J371" i="23"/>
  <c r="K371" i="23"/>
  <c r="G120" i="23"/>
  <c r="I120" i="23"/>
  <c r="J120" i="23"/>
  <c r="K120" i="23"/>
  <c r="G50" i="23"/>
  <c r="I50" i="23"/>
  <c r="J50" i="23"/>
  <c r="K50" i="23"/>
  <c r="G129" i="23"/>
  <c r="I129" i="23"/>
  <c r="J129" i="23"/>
  <c r="K129" i="23"/>
  <c r="G35" i="23"/>
  <c r="I35" i="23"/>
  <c r="J35" i="23"/>
  <c r="K35" i="23"/>
  <c r="G119" i="23"/>
  <c r="I119" i="23"/>
  <c r="J119" i="23"/>
  <c r="K119" i="23"/>
  <c r="G234" i="23"/>
  <c r="I234" i="23"/>
  <c r="J234" i="23"/>
  <c r="K234" i="23"/>
  <c r="G112" i="23"/>
  <c r="I112" i="23"/>
  <c r="J112" i="23"/>
  <c r="K112" i="23"/>
  <c r="G31" i="23"/>
  <c r="I31" i="23"/>
  <c r="J31" i="23"/>
  <c r="K31" i="23"/>
  <c r="G105" i="23"/>
  <c r="I105" i="23"/>
  <c r="J105" i="23"/>
  <c r="K105" i="23"/>
  <c r="G4" i="23"/>
  <c r="I4" i="23"/>
  <c r="J4" i="23"/>
  <c r="K4" i="23"/>
  <c r="G172" i="23"/>
  <c r="I172" i="23"/>
  <c r="J172" i="23"/>
  <c r="K172" i="23"/>
  <c r="G79" i="23"/>
  <c r="I79" i="23"/>
  <c r="J79" i="23"/>
  <c r="K79" i="23"/>
  <c r="G310" i="23"/>
  <c r="I310" i="23"/>
  <c r="J310" i="23"/>
  <c r="K310" i="23"/>
  <c r="G251" i="23"/>
  <c r="I251" i="23"/>
  <c r="J251" i="23"/>
  <c r="K251" i="23"/>
  <c r="G317" i="23"/>
  <c r="I317" i="23"/>
  <c r="J317" i="23"/>
  <c r="K317" i="23"/>
  <c r="G121" i="23"/>
  <c r="I121" i="23"/>
  <c r="J121" i="23"/>
  <c r="K121" i="23"/>
  <c r="G137" i="23"/>
  <c r="I137" i="23"/>
  <c r="J137" i="23"/>
  <c r="K137" i="23"/>
  <c r="G241" i="23"/>
  <c r="I241" i="23"/>
  <c r="J241" i="23"/>
  <c r="K241" i="23"/>
  <c r="G26" i="23"/>
  <c r="I26" i="23"/>
  <c r="J26" i="23"/>
  <c r="K26" i="23"/>
  <c r="G146" i="23"/>
  <c r="I146" i="23"/>
  <c r="J146" i="23"/>
  <c r="K146" i="23"/>
  <c r="G211" i="23"/>
  <c r="I211" i="23"/>
  <c r="J211" i="23"/>
  <c r="K211" i="23"/>
  <c r="G136" i="23"/>
  <c r="I136" i="23"/>
  <c r="J136" i="23"/>
  <c r="K136" i="23"/>
  <c r="G144" i="23"/>
  <c r="I144" i="23"/>
  <c r="J144" i="23"/>
  <c r="K144" i="23"/>
  <c r="G117" i="23"/>
  <c r="I117" i="23"/>
  <c r="J117" i="23"/>
  <c r="K117" i="23"/>
  <c r="G98" i="23"/>
  <c r="I98" i="23"/>
  <c r="J98" i="23"/>
  <c r="K98" i="23"/>
  <c r="G207" i="23"/>
  <c r="I207" i="23"/>
  <c r="J207" i="23"/>
  <c r="K207" i="23"/>
  <c r="G139" i="23"/>
  <c r="I139" i="23"/>
  <c r="J139" i="23"/>
  <c r="K139" i="23"/>
  <c r="G158" i="23"/>
  <c r="I158" i="23"/>
  <c r="J158" i="23"/>
  <c r="K158" i="23"/>
  <c r="G43" i="23"/>
  <c r="I43" i="23"/>
  <c r="J43" i="23"/>
  <c r="K43" i="23"/>
  <c r="G151" i="23"/>
  <c r="I151" i="23"/>
  <c r="J151" i="23"/>
  <c r="K151" i="23"/>
  <c r="G195" i="23"/>
  <c r="I195" i="23"/>
  <c r="J195" i="23"/>
  <c r="K195" i="23"/>
  <c r="G14" i="23"/>
  <c r="I14" i="23"/>
  <c r="J14" i="23"/>
  <c r="K14" i="23"/>
  <c r="G76" i="23"/>
  <c r="I76" i="23"/>
  <c r="J76" i="23"/>
  <c r="K76" i="23"/>
  <c r="G12" i="23"/>
  <c r="I12" i="23"/>
  <c r="J12" i="23"/>
  <c r="K12" i="23"/>
  <c r="G30" i="23"/>
  <c r="I30" i="23"/>
  <c r="J30" i="23"/>
  <c r="K30" i="23"/>
  <c r="G115" i="23"/>
  <c r="I115" i="23"/>
  <c r="J115" i="23"/>
  <c r="K115" i="23"/>
  <c r="G40" i="23"/>
  <c r="I40" i="23"/>
  <c r="J40" i="23"/>
  <c r="K40" i="23"/>
  <c r="G147" i="23"/>
  <c r="I147" i="23"/>
  <c r="J147" i="23"/>
  <c r="K147" i="23"/>
  <c r="G187" i="23"/>
  <c r="I187" i="23"/>
  <c r="J187" i="23"/>
  <c r="K187" i="23"/>
  <c r="G53" i="23"/>
  <c r="I53" i="23"/>
  <c r="J53" i="23"/>
  <c r="K53" i="23"/>
  <c r="G55" i="23"/>
  <c r="I55" i="23"/>
  <c r="J55" i="23"/>
  <c r="K55" i="23"/>
  <c r="G180" i="23"/>
  <c r="I180" i="23"/>
  <c r="J180" i="23"/>
  <c r="K180" i="23"/>
  <c r="G85" i="23"/>
  <c r="I85" i="23"/>
  <c r="J85" i="23"/>
  <c r="K85" i="23"/>
  <c r="G6" i="23"/>
  <c r="I6" i="23"/>
  <c r="J6" i="23"/>
  <c r="K6" i="23"/>
  <c r="G189" i="23"/>
  <c r="I189" i="23"/>
  <c r="J189" i="23"/>
  <c r="K189" i="23"/>
  <c r="G140" i="23"/>
  <c r="I140" i="23"/>
  <c r="J140" i="23"/>
  <c r="K140" i="23"/>
  <c r="G134" i="23"/>
  <c r="I134" i="23"/>
  <c r="J134" i="23"/>
  <c r="K134" i="23"/>
  <c r="G101" i="23"/>
  <c r="I101" i="23"/>
  <c r="J101" i="23"/>
  <c r="K101" i="23"/>
  <c r="G18" i="23"/>
  <c r="I18" i="23"/>
  <c r="J18" i="23"/>
  <c r="K18" i="23"/>
  <c r="G22" i="23"/>
  <c r="I22" i="23"/>
  <c r="J22" i="23"/>
  <c r="K22" i="23"/>
  <c r="G278" i="23"/>
  <c r="I278" i="23"/>
  <c r="J278" i="23"/>
  <c r="K278" i="23"/>
  <c r="G205" i="23"/>
  <c r="I205" i="23"/>
  <c r="J205" i="23"/>
  <c r="K205" i="23"/>
  <c r="G178" i="23"/>
  <c r="I178" i="23"/>
  <c r="J178" i="23"/>
  <c r="K178" i="23"/>
  <c r="G90" i="23"/>
  <c r="I90" i="23"/>
  <c r="J90" i="23"/>
  <c r="K90" i="23"/>
  <c r="G131" i="23"/>
  <c r="I131" i="23"/>
  <c r="J131" i="23"/>
  <c r="K131" i="23"/>
  <c r="G209" i="23"/>
  <c r="I209" i="23"/>
  <c r="J209" i="23"/>
  <c r="K209" i="23"/>
  <c r="G214" i="23"/>
  <c r="I214" i="23"/>
  <c r="J214" i="23"/>
  <c r="K214" i="23"/>
  <c r="G95" i="23"/>
  <c r="I95" i="23"/>
  <c r="J95" i="23"/>
  <c r="K95" i="23"/>
  <c r="G292" i="23"/>
  <c r="I292" i="23"/>
  <c r="J292" i="23"/>
  <c r="K292" i="23"/>
  <c r="G192" i="23"/>
  <c r="I192" i="23"/>
  <c r="J192" i="23"/>
  <c r="K192" i="23"/>
  <c r="G311" i="23"/>
  <c r="I311" i="23"/>
  <c r="J311" i="23"/>
  <c r="K311" i="23"/>
  <c r="G282" i="23"/>
  <c r="I282" i="23"/>
  <c r="J282" i="23"/>
  <c r="K282" i="23"/>
  <c r="G344" i="23"/>
  <c r="I344" i="23"/>
  <c r="J344" i="23"/>
  <c r="K344" i="23"/>
  <c r="G411" i="23"/>
  <c r="I411" i="23"/>
  <c r="J411" i="23"/>
  <c r="K411" i="23"/>
  <c r="G393" i="23"/>
  <c r="I393" i="23"/>
  <c r="J393" i="23"/>
  <c r="K393" i="23"/>
  <c r="G400" i="23"/>
  <c r="I400" i="23"/>
  <c r="J400" i="23"/>
  <c r="K400" i="23"/>
  <c r="G283" i="23"/>
  <c r="I283" i="23"/>
  <c r="J283" i="23"/>
  <c r="K283" i="23"/>
  <c r="G370" i="23"/>
  <c r="I370" i="23"/>
  <c r="J370" i="23"/>
  <c r="K370" i="23"/>
  <c r="G249" i="23"/>
  <c r="I249" i="23"/>
  <c r="J249" i="23"/>
  <c r="K249" i="23"/>
  <c r="G402" i="23"/>
  <c r="I402" i="23"/>
  <c r="J402" i="23"/>
  <c r="K402" i="23"/>
  <c r="G265" i="23"/>
  <c r="I265" i="23"/>
  <c r="J265" i="23"/>
  <c r="K265" i="23"/>
  <c r="G293" i="23"/>
  <c r="I293" i="23"/>
  <c r="J293" i="23"/>
  <c r="K293" i="23"/>
  <c r="G364" i="23"/>
  <c r="I364" i="23"/>
  <c r="J364" i="23"/>
  <c r="K364" i="23"/>
  <c r="G418" i="23"/>
  <c r="I418" i="23"/>
  <c r="J418" i="23"/>
  <c r="K418" i="23"/>
  <c r="G279" i="23"/>
  <c r="I279" i="23"/>
  <c r="J279" i="23"/>
  <c r="K279" i="23"/>
  <c r="G339" i="23"/>
  <c r="I339" i="23"/>
  <c r="J339" i="23"/>
  <c r="K339" i="23"/>
  <c r="G254" i="23"/>
  <c r="I254" i="23"/>
  <c r="J254" i="23"/>
  <c r="K254" i="23"/>
  <c r="G416" i="23"/>
  <c r="I416" i="23"/>
  <c r="J416" i="23"/>
  <c r="K416" i="23"/>
  <c r="G329" i="23"/>
  <c r="I329" i="23"/>
  <c r="J329" i="23"/>
  <c r="K329" i="23"/>
  <c r="G243" i="23"/>
  <c r="I243" i="23"/>
  <c r="J243" i="23"/>
  <c r="K243" i="23"/>
  <c r="G226" i="23"/>
  <c r="I226" i="23"/>
  <c r="J226" i="23"/>
  <c r="K226" i="23"/>
  <c r="G305" i="23"/>
  <c r="I305" i="23"/>
  <c r="J305" i="23"/>
  <c r="K305" i="23"/>
  <c r="G230" i="23"/>
  <c r="I230" i="23"/>
  <c r="J230" i="23"/>
  <c r="K230" i="23"/>
  <c r="G387" i="23"/>
  <c r="I387" i="23"/>
  <c r="J387" i="23"/>
  <c r="K387" i="23"/>
  <c r="G255" i="23"/>
  <c r="I255" i="23"/>
  <c r="J255" i="23"/>
  <c r="K255" i="23"/>
  <c r="G392" i="23"/>
  <c r="I392" i="23"/>
  <c r="J392" i="23"/>
  <c r="K392" i="23"/>
  <c r="G331" i="23"/>
  <c r="I331" i="23"/>
  <c r="J331" i="23"/>
  <c r="K331" i="23"/>
  <c r="G299" i="23"/>
  <c r="I299" i="23"/>
  <c r="J299" i="23"/>
  <c r="K299" i="23"/>
  <c r="G417" i="23"/>
  <c r="I417" i="23"/>
  <c r="J417" i="23"/>
  <c r="K417" i="23"/>
  <c r="G367" i="23"/>
  <c r="I367" i="23"/>
  <c r="J367" i="23"/>
  <c r="K367" i="23"/>
  <c r="G354" i="23"/>
  <c r="I354" i="23"/>
  <c r="J354" i="23"/>
  <c r="K354" i="23"/>
  <c r="G363" i="23"/>
  <c r="I363" i="23"/>
  <c r="J363" i="23"/>
  <c r="K363" i="23"/>
  <c r="G297" i="23"/>
  <c r="I297" i="23"/>
  <c r="J297" i="23"/>
  <c r="K297" i="23"/>
  <c r="G280" i="23"/>
  <c r="I280" i="23"/>
  <c r="J280" i="23"/>
  <c r="K280" i="23"/>
  <c r="G377" i="23"/>
  <c r="I377" i="23"/>
  <c r="J377" i="23"/>
  <c r="K377" i="23"/>
  <c r="G304" i="23"/>
  <c r="I304" i="23"/>
  <c r="J304" i="23"/>
  <c r="K304" i="23"/>
  <c r="G296" i="23"/>
  <c r="I296" i="23"/>
  <c r="J296" i="23"/>
  <c r="K296" i="23"/>
  <c r="G365" i="23"/>
  <c r="I365" i="23"/>
  <c r="J365" i="23"/>
  <c r="K365" i="23"/>
  <c r="G341" i="23"/>
  <c r="I341" i="23"/>
  <c r="J341" i="23"/>
  <c r="K341" i="23"/>
  <c r="G350" i="23"/>
  <c r="I350" i="23"/>
  <c r="J350" i="23"/>
  <c r="K350" i="23"/>
  <c r="G334" i="23"/>
  <c r="I334" i="23"/>
  <c r="J334" i="23"/>
  <c r="K334" i="23"/>
  <c r="G328" i="23"/>
  <c r="I328" i="23"/>
  <c r="J328" i="23"/>
  <c r="K328" i="23"/>
  <c r="G419" i="23"/>
  <c r="I419" i="23"/>
  <c r="J419" i="23"/>
  <c r="K419" i="23"/>
  <c r="G352" i="23"/>
  <c r="I352" i="23"/>
  <c r="J352" i="23"/>
  <c r="K352" i="23"/>
  <c r="G369" i="23"/>
  <c r="I369" i="23"/>
  <c r="J369" i="23"/>
  <c r="K369" i="23"/>
  <c r="G325" i="23"/>
  <c r="I325" i="23"/>
  <c r="J325" i="23"/>
  <c r="K325" i="23"/>
  <c r="G421" i="23"/>
  <c r="I421" i="23"/>
  <c r="J421" i="23"/>
  <c r="K421" i="23"/>
  <c r="G250" i="23"/>
  <c r="I250" i="23"/>
  <c r="J250" i="23"/>
  <c r="K250" i="23"/>
  <c r="G240" i="23"/>
  <c r="I240" i="23"/>
  <c r="J240" i="23"/>
  <c r="K240" i="23"/>
  <c r="G286" i="23"/>
  <c r="I286" i="23"/>
  <c r="J286" i="23"/>
  <c r="K286" i="23"/>
  <c r="G227" i="23"/>
  <c r="I227" i="23"/>
  <c r="J227" i="23"/>
  <c r="K227" i="23"/>
  <c r="G160" i="23"/>
  <c r="I160" i="23"/>
  <c r="J160" i="23"/>
  <c r="K160" i="23"/>
  <c r="G382" i="23"/>
  <c r="I382" i="23"/>
  <c r="J382" i="23"/>
  <c r="K382" i="23"/>
  <c r="G336" i="23"/>
  <c r="I336" i="23"/>
  <c r="J336" i="23"/>
  <c r="K336" i="23"/>
  <c r="G237" i="23"/>
  <c r="I237" i="23"/>
  <c r="J237" i="23"/>
  <c r="K237" i="23"/>
  <c r="G386" i="23"/>
  <c r="I386" i="23"/>
  <c r="J386" i="23"/>
  <c r="K386" i="23"/>
  <c r="G223" i="23"/>
  <c r="I223" i="23"/>
  <c r="J223" i="23"/>
  <c r="K223" i="23"/>
  <c r="G409" i="23"/>
  <c r="I409" i="23"/>
  <c r="J409" i="23"/>
  <c r="K409" i="23"/>
  <c r="G345" i="23"/>
  <c r="I345" i="23"/>
  <c r="J345" i="23"/>
  <c r="K345" i="23"/>
  <c r="G28" i="23"/>
  <c r="I28" i="23"/>
  <c r="J28" i="23"/>
  <c r="K28" i="23"/>
  <c r="G41" i="23"/>
  <c r="I41" i="23"/>
  <c r="J41" i="23"/>
  <c r="K41" i="23"/>
  <c r="G3" i="23"/>
  <c r="I3" i="23"/>
  <c r="J3" i="23"/>
  <c r="K3" i="23"/>
  <c r="G247" i="23"/>
  <c r="I247" i="23"/>
  <c r="J247" i="23"/>
  <c r="K247" i="23"/>
  <c r="G37" i="23"/>
  <c r="I37" i="23"/>
  <c r="J37" i="23"/>
  <c r="K37" i="23"/>
  <c r="G23" i="23"/>
  <c r="I23" i="23"/>
  <c r="J23" i="23"/>
  <c r="K23" i="23"/>
  <c r="G63" i="23"/>
  <c r="I63" i="23"/>
  <c r="J63" i="23"/>
  <c r="K63" i="23"/>
  <c r="G86" i="23"/>
  <c r="I86" i="23"/>
  <c r="J86" i="23"/>
  <c r="K86" i="23"/>
  <c r="G62" i="23"/>
  <c r="I62" i="23"/>
  <c r="J62" i="23"/>
  <c r="K62" i="23"/>
  <c r="G64" i="23"/>
  <c r="I64" i="23"/>
  <c r="J64" i="23"/>
  <c r="K64" i="23"/>
  <c r="G225" i="23"/>
  <c r="I225" i="23"/>
  <c r="J225" i="23"/>
  <c r="K225" i="23"/>
  <c r="G13" i="23"/>
  <c r="I13" i="23"/>
  <c r="J13" i="23"/>
  <c r="K13" i="23"/>
  <c r="G5" i="23"/>
  <c r="I5" i="23"/>
  <c r="J5" i="23"/>
  <c r="K5" i="23"/>
  <c r="G224" i="23"/>
  <c r="I224" i="23"/>
  <c r="J224" i="23"/>
  <c r="K224" i="23"/>
  <c r="G82" i="23"/>
  <c r="I82" i="23"/>
  <c r="J82" i="23"/>
  <c r="K82" i="23"/>
  <c r="G80" i="23"/>
  <c r="I80" i="23"/>
  <c r="J80" i="23"/>
  <c r="K80" i="23"/>
  <c r="G33" i="23"/>
  <c r="I33" i="23"/>
  <c r="J33" i="23"/>
  <c r="K33" i="23"/>
  <c r="G322" i="23"/>
  <c r="I322" i="23"/>
  <c r="J322" i="23"/>
  <c r="K322" i="23"/>
  <c r="G77" i="23"/>
  <c r="I77" i="23"/>
  <c r="J77" i="23"/>
  <c r="K77" i="23"/>
  <c r="G32" i="23"/>
  <c r="I32" i="23"/>
  <c r="J32" i="23"/>
  <c r="K32" i="23"/>
  <c r="G83" i="23"/>
  <c r="I83" i="23"/>
  <c r="J83" i="23"/>
  <c r="K83" i="23"/>
  <c r="G49" i="23"/>
  <c r="I49" i="23"/>
  <c r="J49" i="23"/>
  <c r="K49" i="23"/>
  <c r="G175" i="23"/>
  <c r="I175" i="23"/>
  <c r="J175" i="23"/>
  <c r="K175" i="23"/>
  <c r="G233" i="23"/>
  <c r="I233" i="23"/>
  <c r="J233" i="23"/>
  <c r="K233" i="23"/>
  <c r="G60" i="23"/>
  <c r="I60" i="23"/>
  <c r="J60" i="23"/>
  <c r="K60" i="23"/>
  <c r="G142" i="23"/>
  <c r="I142" i="23"/>
  <c r="J142" i="23"/>
  <c r="K142" i="23"/>
  <c r="G200" i="23"/>
  <c r="I200" i="23"/>
  <c r="J200" i="23"/>
  <c r="K200" i="23"/>
  <c r="G58" i="23"/>
  <c r="I58" i="23"/>
  <c r="J58" i="23"/>
  <c r="K58" i="23"/>
  <c r="G36" i="23"/>
  <c r="I36" i="23"/>
  <c r="J36" i="23"/>
  <c r="K36" i="23"/>
  <c r="G128" i="23"/>
  <c r="I128" i="23"/>
  <c r="J128" i="23"/>
  <c r="K128" i="23"/>
  <c r="G124" i="23"/>
  <c r="I124" i="23"/>
  <c r="J124" i="23"/>
  <c r="K124" i="23"/>
  <c r="G177" i="23"/>
  <c r="I177" i="23"/>
  <c r="J177" i="23"/>
  <c r="K177" i="23"/>
  <c r="G389" i="23"/>
  <c r="I389" i="23"/>
  <c r="J389" i="23"/>
  <c r="K389" i="23"/>
  <c r="G196" i="23"/>
  <c r="I196" i="23"/>
  <c r="J196" i="23"/>
  <c r="K196" i="23"/>
  <c r="G356" i="23"/>
  <c r="I356" i="23"/>
  <c r="J356" i="23"/>
  <c r="K356" i="23"/>
  <c r="G302" i="23"/>
  <c r="I302" i="23"/>
  <c r="J302" i="23"/>
  <c r="K302" i="23"/>
  <c r="G273" i="23"/>
  <c r="I273" i="23"/>
  <c r="J273" i="23"/>
  <c r="K273" i="23"/>
  <c r="G326" i="23"/>
  <c r="I326" i="23"/>
  <c r="J326" i="23"/>
  <c r="K326" i="23"/>
  <c r="G397" i="23"/>
  <c r="I397" i="23"/>
  <c r="J397" i="23"/>
  <c r="K397" i="23"/>
  <c r="G351" i="23"/>
  <c r="I351" i="23"/>
  <c r="J351" i="23"/>
  <c r="K351" i="23"/>
  <c r="G347" i="23"/>
  <c r="I347" i="23"/>
  <c r="J347" i="23"/>
  <c r="K347" i="23"/>
  <c r="G316" i="23"/>
  <c r="I316" i="23"/>
  <c r="J316" i="23"/>
  <c r="K316" i="23"/>
  <c r="G217" i="23"/>
  <c r="I217" i="23"/>
  <c r="J217" i="23"/>
  <c r="K217" i="23"/>
  <c r="G349" i="23"/>
  <c r="I349" i="23"/>
  <c r="J349" i="23"/>
  <c r="K349" i="23"/>
  <c r="G201" i="23"/>
  <c r="I201" i="23"/>
  <c r="J201" i="23"/>
  <c r="K201" i="23"/>
  <c r="G239" i="23"/>
  <c r="I239" i="23"/>
  <c r="J239" i="23"/>
  <c r="K239" i="23"/>
  <c r="G166" i="23"/>
  <c r="I166" i="23"/>
  <c r="J166" i="23"/>
  <c r="K166" i="23"/>
  <c r="G270" i="23"/>
  <c r="I270" i="23"/>
  <c r="J270" i="23"/>
  <c r="K270" i="23"/>
  <c r="G186" i="23"/>
  <c r="I186" i="23"/>
  <c r="J186" i="23"/>
  <c r="K186" i="23"/>
  <c r="G394" i="23"/>
  <c r="I394" i="23"/>
  <c r="J394" i="23"/>
  <c r="K394" i="23"/>
  <c r="G357" i="23"/>
  <c r="I357" i="23"/>
  <c r="J357" i="23"/>
  <c r="K357" i="23"/>
  <c r="G327" i="23"/>
  <c r="I327" i="23"/>
  <c r="J327" i="23"/>
  <c r="K327" i="23"/>
  <c r="G164" i="23"/>
  <c r="I164" i="23"/>
  <c r="J164" i="23"/>
  <c r="K164" i="23"/>
  <c r="G307" i="23"/>
  <c r="I307" i="23"/>
  <c r="J307" i="23"/>
  <c r="K307" i="23"/>
  <c r="G385" i="23"/>
  <c r="I385" i="23"/>
  <c r="J385" i="23"/>
  <c r="K385" i="23"/>
  <c r="G303" i="23"/>
  <c r="I303" i="23"/>
  <c r="J303" i="23"/>
  <c r="K303" i="23"/>
  <c r="G332" i="23"/>
  <c r="I332" i="23"/>
  <c r="J332" i="23"/>
  <c r="K332" i="23"/>
  <c r="G11" i="23"/>
  <c r="I11" i="23"/>
  <c r="J11" i="23"/>
  <c r="K11" i="23"/>
  <c r="G281" i="23"/>
  <c r="I281" i="23"/>
  <c r="J281" i="23"/>
  <c r="K281" i="23"/>
  <c r="G323" i="23"/>
  <c r="I323" i="23"/>
  <c r="J323" i="23"/>
  <c r="K323" i="23"/>
  <c r="G300" i="23"/>
  <c r="I300" i="23"/>
  <c r="J300" i="23"/>
  <c r="K300" i="23"/>
  <c r="G288" i="23"/>
  <c r="I288" i="23"/>
  <c r="J288" i="23"/>
  <c r="K288" i="23"/>
  <c r="G132" i="23"/>
  <c r="I132" i="23"/>
  <c r="J132" i="23"/>
  <c r="K132" i="23"/>
  <c r="G169" i="23"/>
  <c r="I169" i="23"/>
  <c r="J169" i="23"/>
  <c r="K169" i="23"/>
  <c r="G208" i="23"/>
  <c r="I208" i="23"/>
  <c r="J208" i="23"/>
  <c r="K208" i="23"/>
  <c r="G229" i="23"/>
  <c r="I229" i="23"/>
  <c r="J229" i="23"/>
  <c r="K229" i="23"/>
  <c r="G262" i="23"/>
  <c r="I262" i="23"/>
  <c r="J262" i="23"/>
  <c r="K262" i="23"/>
  <c r="G93" i="23"/>
  <c r="I93" i="23"/>
  <c r="J93" i="23"/>
  <c r="K93" i="23"/>
  <c r="G188" i="23"/>
  <c r="I188" i="23"/>
  <c r="J188" i="23"/>
  <c r="K188" i="23"/>
  <c r="G125" i="23"/>
  <c r="I125" i="23"/>
  <c r="J125" i="23"/>
  <c r="K125" i="23"/>
  <c r="G9" i="23"/>
  <c r="I9" i="23"/>
  <c r="J9" i="23"/>
  <c r="K9" i="23"/>
  <c r="G108" i="23"/>
  <c r="I108" i="23"/>
  <c r="J108" i="23"/>
  <c r="K108" i="23"/>
  <c r="G246" i="23"/>
  <c r="I246" i="23"/>
  <c r="J246" i="23"/>
  <c r="K246" i="23"/>
  <c r="G216" i="23"/>
  <c r="I216" i="23"/>
  <c r="J216" i="23"/>
  <c r="K216" i="23"/>
  <c r="G219" i="23"/>
  <c r="I219" i="23"/>
  <c r="J219" i="23"/>
  <c r="K219" i="23"/>
  <c r="G165" i="23"/>
  <c r="I165" i="23"/>
  <c r="J165" i="23"/>
  <c r="K165" i="23"/>
  <c r="G212" i="23"/>
  <c r="I212" i="23"/>
  <c r="J212" i="23"/>
  <c r="K212" i="23"/>
  <c r="G110" i="23"/>
  <c r="I110" i="23"/>
  <c r="J110" i="23"/>
  <c r="K110" i="23"/>
  <c r="G277" i="23"/>
  <c r="I277" i="23"/>
  <c r="J277" i="23"/>
  <c r="K277" i="23"/>
  <c r="G150" i="23"/>
  <c r="I150" i="23"/>
  <c r="J150" i="23"/>
  <c r="K150" i="23"/>
  <c r="G81" i="23"/>
  <c r="I81" i="23"/>
  <c r="J81" i="23"/>
  <c r="K81" i="23"/>
  <c r="G59" i="23"/>
  <c r="I59" i="23"/>
  <c r="J59" i="23"/>
  <c r="K59" i="23"/>
  <c r="G390" i="23"/>
  <c r="I390" i="23"/>
  <c r="J390" i="23"/>
  <c r="K390" i="23"/>
  <c r="G111" i="23"/>
  <c r="I111" i="23"/>
  <c r="J111" i="23"/>
  <c r="K111" i="23"/>
  <c r="G75" i="23"/>
  <c r="I75" i="23"/>
  <c r="J75" i="23"/>
  <c r="K75" i="23"/>
  <c r="G107" i="23"/>
  <c r="I107" i="23"/>
  <c r="J107" i="23"/>
  <c r="K107" i="23"/>
  <c r="G25" i="23"/>
  <c r="I25" i="23"/>
  <c r="J25" i="23"/>
  <c r="K25" i="23"/>
  <c r="G106" i="23"/>
  <c r="I106" i="23"/>
  <c r="J106" i="23"/>
  <c r="K106" i="23"/>
  <c r="G123" i="23"/>
  <c r="I123" i="23"/>
  <c r="J123" i="23"/>
  <c r="K123" i="23"/>
  <c r="G2" i="23"/>
  <c r="I2" i="23"/>
  <c r="J2" i="23"/>
  <c r="K2" i="23"/>
  <c r="G152" i="23"/>
  <c r="I152" i="23"/>
  <c r="J152" i="23"/>
  <c r="K152" i="23"/>
  <c r="G220" i="23"/>
  <c r="I220" i="23"/>
  <c r="J220" i="23"/>
  <c r="K220" i="23"/>
  <c r="G285" i="23"/>
  <c r="I285" i="23"/>
  <c r="J285" i="23"/>
  <c r="K285" i="23"/>
  <c r="G148" i="23"/>
  <c r="I148" i="23"/>
  <c r="J148" i="23"/>
  <c r="K148" i="23"/>
  <c r="G130" i="23"/>
  <c r="I130" i="23"/>
  <c r="J130" i="23"/>
  <c r="K130" i="23"/>
  <c r="G264" i="23"/>
  <c r="I264" i="23"/>
  <c r="J264" i="23"/>
  <c r="K264" i="23"/>
  <c r="G159" i="23"/>
  <c r="I159" i="23"/>
  <c r="J159" i="23"/>
  <c r="K159" i="23"/>
  <c r="G199" i="23"/>
  <c r="I199" i="23"/>
  <c r="J199" i="23"/>
  <c r="K199" i="23"/>
  <c r="G203" i="23"/>
  <c r="I203" i="23"/>
  <c r="J203" i="23"/>
  <c r="K203" i="23"/>
  <c r="G66" i="23"/>
  <c r="I66" i="23"/>
  <c r="J66" i="23"/>
  <c r="K66" i="23"/>
  <c r="G215" i="23"/>
  <c r="I215" i="23"/>
  <c r="J215" i="23"/>
  <c r="K215" i="23"/>
  <c r="G15" i="23"/>
  <c r="I15" i="23"/>
  <c r="J15" i="23"/>
  <c r="K15" i="23"/>
  <c r="G184" i="23"/>
  <c r="I184" i="23"/>
  <c r="J184" i="23"/>
  <c r="K184" i="23"/>
  <c r="G116" i="23"/>
  <c r="I116" i="23"/>
  <c r="J116" i="23"/>
  <c r="K116" i="23"/>
  <c r="G21" i="23"/>
  <c r="I21" i="23"/>
  <c r="J21" i="23"/>
  <c r="K21" i="23"/>
  <c r="G290" i="23"/>
  <c r="I290" i="23"/>
  <c r="J290" i="23"/>
  <c r="K290" i="23"/>
  <c r="G383" i="23"/>
  <c r="I383" i="23"/>
  <c r="J383" i="23"/>
  <c r="K383" i="23"/>
  <c r="G182" i="23"/>
  <c r="I182" i="23"/>
  <c r="J182" i="23"/>
  <c r="K182" i="23"/>
  <c r="G197" i="23"/>
  <c r="I197" i="23"/>
  <c r="J197" i="23"/>
  <c r="K197" i="23"/>
  <c r="G153" i="23"/>
  <c r="I153" i="23"/>
  <c r="J153" i="23"/>
  <c r="K153" i="23"/>
  <c r="G198" i="23"/>
  <c r="I198" i="23"/>
  <c r="J198" i="23"/>
  <c r="K198" i="23"/>
  <c r="G179" i="23"/>
  <c r="I179" i="23"/>
  <c r="J179" i="23"/>
  <c r="K179" i="23"/>
  <c r="G183" i="23"/>
  <c r="I183" i="23"/>
  <c r="J183" i="23"/>
  <c r="K183" i="23"/>
  <c r="G133" i="23"/>
  <c r="I133" i="23"/>
  <c r="J133" i="23"/>
  <c r="K133" i="23"/>
  <c r="G47" i="23"/>
  <c r="I47" i="23"/>
  <c r="J47" i="23"/>
  <c r="K47" i="23"/>
  <c r="G72" i="23"/>
  <c r="I72" i="23"/>
  <c r="J72" i="23"/>
  <c r="K72" i="23"/>
  <c r="G68" i="23"/>
  <c r="I68" i="23"/>
  <c r="J68" i="23"/>
  <c r="K68" i="23"/>
  <c r="G235" i="23"/>
  <c r="I235" i="23"/>
  <c r="J235" i="23"/>
  <c r="K235" i="23"/>
  <c r="G261" i="23"/>
  <c r="I261" i="23"/>
  <c r="J261" i="23"/>
  <c r="K261" i="23"/>
  <c r="G306" i="23"/>
  <c r="I306" i="23"/>
  <c r="J306" i="23"/>
  <c r="K306" i="23"/>
  <c r="G228" i="23"/>
  <c r="I228" i="23"/>
  <c r="J228" i="23"/>
  <c r="K228" i="23"/>
  <c r="G94" i="23"/>
  <c r="I94" i="23"/>
  <c r="J94" i="23"/>
  <c r="K94" i="23"/>
  <c r="G42" i="23"/>
  <c r="I42" i="23"/>
  <c r="J42" i="23"/>
  <c r="K42" i="23"/>
  <c r="G54" i="23"/>
  <c r="I54" i="23"/>
  <c r="J54" i="23"/>
  <c r="K54" i="23"/>
  <c r="G84" i="23"/>
  <c r="I84" i="23"/>
  <c r="J84" i="23"/>
  <c r="K84" i="23"/>
  <c r="G204" i="23"/>
  <c r="I204" i="23"/>
  <c r="J204" i="23"/>
  <c r="K204" i="23"/>
  <c r="G104" i="23"/>
  <c r="I104" i="23"/>
  <c r="J104" i="23"/>
  <c r="K104" i="23"/>
  <c r="G170" i="23"/>
  <c r="I170" i="23"/>
  <c r="J170" i="23"/>
  <c r="K170" i="23"/>
  <c r="G38" i="23"/>
  <c r="I38" i="23"/>
  <c r="J38" i="23"/>
  <c r="K38" i="23"/>
  <c r="G185" i="23"/>
  <c r="I185" i="23"/>
  <c r="J185" i="23"/>
  <c r="K185" i="23"/>
  <c r="G73" i="23"/>
  <c r="I73" i="23"/>
  <c r="J73" i="23"/>
  <c r="K73" i="23"/>
  <c r="G10" i="23"/>
  <c r="I10" i="23"/>
  <c r="J10" i="23"/>
  <c r="K10" i="23"/>
  <c r="G91" i="23"/>
  <c r="I91" i="23"/>
  <c r="J91" i="23"/>
  <c r="K91" i="23"/>
  <c r="G92" i="23"/>
  <c r="I92" i="23"/>
  <c r="J92" i="23"/>
  <c r="K92" i="23"/>
  <c r="G373" i="23"/>
  <c r="I373" i="23"/>
  <c r="J373" i="23"/>
  <c r="K373" i="23"/>
  <c r="G20" i="23"/>
  <c r="I20" i="23"/>
  <c r="J20" i="23"/>
  <c r="K20" i="23"/>
  <c r="G122" i="23"/>
  <c r="I122" i="23"/>
  <c r="J122" i="23"/>
  <c r="K122" i="23"/>
  <c r="G69" i="23"/>
  <c r="I69" i="23"/>
  <c r="J69" i="23"/>
  <c r="K69" i="23"/>
  <c r="G155" i="23"/>
  <c r="I155" i="23"/>
  <c r="J155" i="23"/>
  <c r="K155" i="23"/>
  <c r="G206" i="23"/>
  <c r="I206" i="23"/>
  <c r="J206" i="23"/>
  <c r="K206" i="23"/>
  <c r="G88" i="23"/>
  <c r="I88" i="23"/>
  <c r="J88" i="23"/>
  <c r="K88" i="23"/>
  <c r="G29" i="23"/>
  <c r="I29" i="23"/>
  <c r="J29" i="23"/>
  <c r="K29" i="23"/>
  <c r="G145" i="23"/>
  <c r="I145" i="23"/>
  <c r="J145" i="23"/>
  <c r="K145" i="23"/>
  <c r="G309" i="23"/>
  <c r="I309" i="23"/>
  <c r="J309" i="23"/>
  <c r="K309" i="23"/>
  <c r="G61" i="23"/>
  <c r="I61" i="23"/>
  <c r="J61" i="23"/>
  <c r="K61" i="23"/>
  <c r="G97" i="23"/>
  <c r="I97" i="23"/>
  <c r="J97" i="23"/>
  <c r="K97" i="23"/>
  <c r="G143" i="23"/>
  <c r="I143" i="23"/>
  <c r="J143" i="23"/>
  <c r="K143" i="23"/>
  <c r="G378" i="23"/>
  <c r="I378" i="23"/>
  <c r="J378" i="23"/>
  <c r="K378" i="23"/>
  <c r="G284" i="23"/>
  <c r="I284" i="23"/>
  <c r="J284" i="23"/>
  <c r="K284" i="23"/>
  <c r="G252" i="23"/>
  <c r="I252" i="23"/>
  <c r="J252" i="23"/>
  <c r="K252" i="23"/>
  <c r="G362" i="23"/>
  <c r="I362" i="23"/>
  <c r="J362" i="23"/>
  <c r="K362" i="23"/>
  <c r="G395" i="23"/>
  <c r="I395" i="23"/>
  <c r="J395" i="23"/>
  <c r="K395" i="23"/>
  <c r="G358" i="23"/>
  <c r="I358" i="23"/>
  <c r="J358" i="23"/>
  <c r="K358" i="23"/>
  <c r="G253" i="23"/>
  <c r="I253" i="23"/>
  <c r="J253" i="23"/>
  <c r="K253" i="23"/>
  <c r="G342" i="23"/>
  <c r="I342" i="23"/>
  <c r="J342" i="23"/>
  <c r="K342" i="23"/>
  <c r="G388" i="23"/>
  <c r="I388" i="23"/>
  <c r="J388" i="23"/>
  <c r="K388" i="23"/>
  <c r="G289" i="23"/>
  <c r="I289" i="23"/>
  <c r="J289" i="23"/>
  <c r="K289" i="23"/>
  <c r="G238" i="23"/>
  <c r="I238" i="23"/>
  <c r="J238" i="23"/>
  <c r="K238" i="23"/>
  <c r="G376" i="23"/>
  <c r="I376" i="23"/>
  <c r="J376" i="23"/>
  <c r="K376" i="23"/>
  <c r="G406" i="23"/>
  <c r="I406" i="23"/>
  <c r="J406" i="23"/>
  <c r="K406" i="23"/>
  <c r="G401" i="23"/>
  <c r="I401" i="23"/>
  <c r="J401" i="23"/>
  <c r="K401" i="23"/>
  <c r="G256" i="23"/>
  <c r="I256" i="23"/>
  <c r="J256" i="23"/>
  <c r="K256" i="23"/>
  <c r="G381" i="23"/>
  <c r="I381" i="23"/>
  <c r="J381" i="23"/>
  <c r="K381" i="23"/>
  <c r="G313" i="23"/>
  <c r="I313" i="23"/>
  <c r="J313" i="23"/>
  <c r="K313" i="23"/>
  <c r="G408" i="23"/>
  <c r="I408" i="23"/>
  <c r="J408" i="23"/>
  <c r="K408" i="23"/>
  <c r="G320" i="23"/>
  <c r="I320" i="23"/>
  <c r="J320" i="23"/>
  <c r="K320" i="23"/>
  <c r="G156" i="23"/>
  <c r="I156" i="23"/>
  <c r="J156" i="23"/>
  <c r="K156" i="23"/>
  <c r="G420" i="23"/>
  <c r="I420" i="23"/>
  <c r="J420" i="23"/>
  <c r="K420" i="23"/>
  <c r="G330" i="23"/>
  <c r="I330" i="23"/>
  <c r="J330" i="23"/>
  <c r="K330" i="23"/>
  <c r="G338" i="23"/>
  <c r="I338" i="23"/>
  <c r="J338" i="23"/>
  <c r="K338" i="23"/>
  <c r="G259" i="23"/>
  <c r="I259" i="23"/>
  <c r="J259" i="23"/>
  <c r="K259" i="23"/>
  <c r="G359" i="23"/>
  <c r="I359" i="23"/>
  <c r="J359" i="23"/>
  <c r="K359" i="23"/>
  <c r="G372" i="23"/>
  <c r="I372" i="23"/>
  <c r="J372" i="23"/>
  <c r="K372" i="23"/>
  <c r="G414" i="23"/>
  <c r="I414" i="23"/>
  <c r="J414" i="23"/>
  <c r="K414" i="23"/>
  <c r="G244" i="23"/>
  <c r="I244" i="23"/>
  <c r="J244" i="23"/>
  <c r="K244" i="23"/>
  <c r="G291" i="23"/>
  <c r="I291" i="23"/>
  <c r="J291" i="23"/>
  <c r="K291" i="23"/>
  <c r="G374" i="23"/>
  <c r="I374" i="23"/>
  <c r="J374" i="23"/>
  <c r="K374" i="23"/>
  <c r="G248" i="23"/>
  <c r="I248" i="23"/>
  <c r="J248" i="23"/>
  <c r="K248" i="23"/>
  <c r="G366" i="23"/>
  <c r="I366" i="23"/>
  <c r="J366" i="23"/>
  <c r="K366" i="23"/>
  <c r="G407" i="23"/>
  <c r="I407" i="23"/>
  <c r="J407" i="23"/>
  <c r="K407" i="23"/>
  <c r="G268" i="23"/>
  <c r="I268" i="23"/>
  <c r="J268" i="23"/>
  <c r="K268" i="23"/>
  <c r="G312" i="23"/>
  <c r="I312" i="23"/>
  <c r="J312" i="23"/>
  <c r="K312" i="23"/>
  <c r="G321" i="23"/>
  <c r="I321" i="23"/>
  <c r="J321" i="23"/>
  <c r="K321" i="23"/>
  <c r="G335" i="23"/>
  <c r="I335" i="23"/>
  <c r="J335" i="23"/>
  <c r="K335" i="23"/>
  <c r="G355" i="23"/>
  <c r="I355" i="23"/>
  <c r="J355" i="23"/>
  <c r="K355" i="23"/>
  <c r="G375" i="23"/>
  <c r="I375" i="23"/>
  <c r="J375" i="23"/>
  <c r="K375" i="23"/>
  <c r="G298" i="23"/>
  <c r="I298" i="23"/>
  <c r="J298" i="23"/>
  <c r="K298" i="23"/>
  <c r="G384" i="23"/>
  <c r="I384" i="23"/>
  <c r="J384" i="23"/>
  <c r="K384" i="23"/>
  <c r="G202" i="23"/>
  <c r="I202" i="23"/>
  <c r="J202" i="23"/>
  <c r="K202" i="23"/>
  <c r="G399" i="23"/>
  <c r="I399" i="23"/>
  <c r="J399" i="23"/>
  <c r="K399" i="23"/>
  <c r="G266" i="23"/>
  <c r="I266" i="23"/>
  <c r="J266" i="23"/>
  <c r="K266" i="23"/>
  <c r="G318" i="23"/>
  <c r="I318" i="23"/>
  <c r="J318" i="23"/>
  <c r="K318" i="23"/>
  <c r="G380" i="23"/>
  <c r="I380" i="23"/>
  <c r="J380" i="23"/>
  <c r="K380" i="23"/>
  <c r="G258" i="23"/>
  <c r="I258" i="23"/>
  <c r="J258" i="23"/>
  <c r="K258" i="23"/>
  <c r="G413" i="23"/>
  <c r="I413" i="23"/>
  <c r="J413" i="23"/>
  <c r="K413" i="23"/>
  <c r="G222" i="23"/>
  <c r="I222" i="23"/>
  <c r="J222" i="23"/>
  <c r="K222" i="23"/>
  <c r="G308" i="23"/>
  <c r="I308" i="23"/>
  <c r="J308" i="23"/>
  <c r="K308" i="23"/>
  <c r="G398" i="23"/>
  <c r="I398" i="23"/>
  <c r="J398" i="23"/>
  <c r="K398" i="23"/>
  <c r="G343" i="23"/>
  <c r="I343" i="23"/>
  <c r="J343" i="23"/>
  <c r="K343" i="23"/>
  <c r="G257" i="23"/>
  <c r="I257" i="23"/>
  <c r="J257" i="23"/>
  <c r="K257" i="23"/>
  <c r="G337" i="23"/>
  <c r="I337" i="23"/>
  <c r="J337" i="23"/>
  <c r="K337" i="23"/>
  <c r="G218" i="23"/>
  <c r="I218" i="23"/>
  <c r="J218" i="23"/>
  <c r="K218" i="23"/>
  <c r="G295" i="23"/>
  <c r="I295" i="23"/>
  <c r="J295" i="23"/>
  <c r="K295" i="23"/>
  <c r="G404" i="23"/>
  <c r="I404" i="23"/>
  <c r="J404" i="23"/>
  <c r="K404" i="23"/>
  <c r="G245" i="23"/>
  <c r="I245" i="23"/>
  <c r="J245" i="23"/>
  <c r="K245" i="23"/>
  <c r="G361" i="23"/>
  <c r="I361" i="23"/>
  <c r="J361" i="23"/>
  <c r="K361" i="23"/>
  <c r="G231" i="23"/>
  <c r="I231" i="23"/>
  <c r="J231" i="23"/>
  <c r="K231" i="23"/>
  <c r="G319" i="23"/>
  <c r="I319" i="23"/>
  <c r="J319" i="23"/>
  <c r="K319" i="23"/>
  <c r="G403" i="23"/>
  <c r="I403" i="23"/>
  <c r="J403" i="23"/>
  <c r="K403" i="23"/>
  <c r="G396" i="23"/>
  <c r="I396" i="23"/>
  <c r="J396" i="23"/>
  <c r="K396" i="23"/>
  <c r="G27" i="23"/>
  <c r="I27" i="23"/>
  <c r="J27" i="23"/>
  <c r="K27" i="23"/>
  <c r="G70" i="23"/>
  <c r="I70" i="23"/>
  <c r="J70" i="23"/>
  <c r="K70" i="23"/>
  <c r="G294" i="23"/>
  <c r="I294" i="23"/>
  <c r="J294" i="23"/>
  <c r="K294" i="23"/>
  <c r="G46" i="23"/>
  <c r="I46" i="23"/>
  <c r="J46" i="23"/>
  <c r="K46" i="23"/>
  <c r="G346" i="23"/>
  <c r="I346" i="23"/>
  <c r="J346" i="23"/>
  <c r="K346" i="23"/>
  <c r="G17" i="23"/>
  <c r="I17" i="23"/>
  <c r="J17" i="23"/>
  <c r="K17" i="23"/>
  <c r="G71" i="23"/>
  <c r="I71" i="23"/>
  <c r="J71" i="23"/>
  <c r="K71" i="23"/>
  <c r="G242" i="23"/>
  <c r="I242" i="23"/>
  <c r="J242" i="23"/>
  <c r="K242" i="23"/>
  <c r="G102" i="23"/>
  <c r="I102" i="23"/>
  <c r="J102" i="23"/>
  <c r="K102" i="23"/>
  <c r="G236" i="23"/>
  <c r="I236" i="23"/>
  <c r="J236" i="23"/>
  <c r="K236" i="23"/>
  <c r="G109" i="23"/>
  <c r="I109" i="23"/>
  <c r="J109" i="23"/>
  <c r="K109" i="23"/>
  <c r="G67" i="23"/>
  <c r="I67" i="23"/>
  <c r="J67" i="23"/>
  <c r="K67" i="23"/>
  <c r="G391" i="23"/>
  <c r="I391" i="23"/>
  <c r="J391" i="23"/>
  <c r="K391" i="23"/>
  <c r="G287" i="23"/>
  <c r="I287" i="23"/>
  <c r="J287" i="23"/>
  <c r="K287" i="23"/>
  <c r="G315" i="23"/>
  <c r="I315" i="23"/>
  <c r="J315" i="23"/>
  <c r="K315" i="23"/>
  <c r="G89" i="23"/>
  <c r="I89" i="23"/>
  <c r="J89" i="23"/>
  <c r="K89" i="23"/>
  <c r="G96" i="23"/>
  <c r="I96" i="23"/>
  <c r="J96" i="23"/>
  <c r="K96" i="23"/>
  <c r="G412" i="23"/>
  <c r="I412" i="23"/>
  <c r="J412" i="23"/>
  <c r="K412" i="23"/>
  <c r="G360" i="23"/>
  <c r="I360" i="23"/>
  <c r="J360" i="23"/>
  <c r="K360" i="23"/>
  <c r="G324" i="23"/>
  <c r="I324" i="23"/>
  <c r="J324" i="23"/>
  <c r="K324" i="23"/>
  <c r="G149" i="23"/>
  <c r="I149" i="23"/>
  <c r="J149" i="23"/>
  <c r="K149" i="23"/>
  <c r="G353" i="23"/>
  <c r="I353" i="23"/>
  <c r="J353" i="23"/>
  <c r="K353" i="23"/>
  <c r="G415" i="23"/>
  <c r="I415" i="23"/>
  <c r="J415" i="23"/>
  <c r="K415" i="23"/>
  <c r="G24" i="23"/>
  <c r="I24" i="23"/>
  <c r="J24" i="23"/>
  <c r="K24" i="23"/>
  <c r="G157" i="23"/>
  <c r="I157" i="23"/>
  <c r="J157" i="23"/>
  <c r="K157" i="23"/>
  <c r="G190" i="23"/>
  <c r="I190" i="23"/>
  <c r="J190" i="23"/>
  <c r="K190" i="23"/>
  <c r="G34" i="23"/>
  <c r="I34" i="23"/>
  <c r="J34" i="23"/>
  <c r="K34" i="23"/>
  <c r="G39" i="23"/>
  <c r="I39" i="23"/>
  <c r="J39" i="23"/>
  <c r="K39" i="23"/>
  <c r="G135" i="23"/>
  <c r="I135" i="23"/>
  <c r="J135" i="23"/>
  <c r="K135" i="23"/>
  <c r="G48" i="23"/>
  <c r="I48" i="23"/>
  <c r="J48" i="23"/>
  <c r="K48" i="23"/>
  <c r="G56" i="23"/>
  <c r="I56" i="23"/>
  <c r="J56" i="23"/>
  <c r="K56" i="23"/>
  <c r="G19" i="23"/>
  <c r="I19" i="23"/>
  <c r="J19" i="23"/>
  <c r="K19" i="23"/>
  <c r="G174" i="23"/>
  <c r="I174" i="23"/>
  <c r="J174" i="23"/>
  <c r="K174" i="23"/>
  <c r="G272" i="23"/>
  <c r="I272" i="23"/>
  <c r="J272" i="23"/>
  <c r="K272" i="23"/>
  <c r="G127" i="23"/>
  <c r="I127" i="23"/>
  <c r="J127" i="23"/>
  <c r="K127" i="23"/>
  <c r="G405" i="23"/>
  <c r="I405" i="23"/>
  <c r="J405" i="23"/>
  <c r="K405" i="23"/>
  <c r="G44" i="23"/>
  <c r="I44" i="23"/>
  <c r="J44" i="23"/>
  <c r="K44" i="23"/>
  <c r="G87" i="23"/>
  <c r="I87" i="23"/>
  <c r="J87" i="23"/>
  <c r="K87" i="23"/>
  <c r="G271" i="23"/>
  <c r="I271" i="23"/>
  <c r="J271" i="23"/>
  <c r="K271" i="23"/>
  <c r="G269" i="23"/>
  <c r="I269" i="23"/>
  <c r="J269" i="23"/>
  <c r="K269" i="23"/>
  <c r="G267" i="23"/>
  <c r="I267" i="23"/>
  <c r="J267" i="23"/>
  <c r="K267" i="23"/>
  <c r="G314" i="23"/>
  <c r="I314" i="23"/>
  <c r="J314" i="23"/>
  <c r="K314" i="23"/>
  <c r="G301" i="23"/>
  <c r="I301" i="23"/>
  <c r="J301" i="23"/>
  <c r="K301" i="23"/>
  <c r="G213" i="23"/>
  <c r="I213" i="23"/>
  <c r="J213" i="23"/>
  <c r="K213" i="23"/>
  <c r="G232" i="23"/>
  <c r="I232" i="23"/>
  <c r="J232" i="23"/>
  <c r="K232" i="23"/>
  <c r="G410" i="23"/>
  <c r="I410" i="23"/>
  <c r="J410" i="23"/>
  <c r="K410" i="23"/>
  <c r="G138" i="23"/>
  <c r="I138" i="23"/>
  <c r="J138" i="23"/>
  <c r="K138" i="23"/>
  <c r="G113" i="23"/>
  <c r="I113" i="23"/>
  <c r="J113" i="23"/>
  <c r="K113" i="23"/>
  <c r="G210" i="23"/>
  <c r="I210" i="23"/>
  <c r="J210" i="23"/>
  <c r="K210" i="23"/>
  <c r="G276" i="23"/>
  <c r="I276" i="23"/>
  <c r="J276" i="23"/>
  <c r="K276" i="23"/>
  <c r="G333" i="23"/>
  <c r="I333" i="23"/>
  <c r="J333" i="23"/>
  <c r="K333" i="23"/>
  <c r="G154" i="23"/>
  <c r="I154" i="23"/>
  <c r="J154" i="23"/>
  <c r="K154" i="23"/>
  <c r="G274" i="23"/>
  <c r="I274" i="23"/>
  <c r="J274" i="23"/>
  <c r="K274" i="23"/>
  <c r="G171" i="23"/>
  <c r="I171" i="23"/>
  <c r="J171" i="23"/>
  <c r="K171" i="23"/>
  <c r="G275" i="23"/>
  <c r="I275" i="23"/>
  <c r="J275" i="23"/>
  <c r="K275" i="23"/>
  <c r="G194" i="23"/>
  <c r="I194" i="23"/>
  <c r="J194" i="23"/>
  <c r="K194" i="23"/>
  <c r="G340" i="23"/>
  <c r="I340" i="23"/>
  <c r="J340" i="23"/>
  <c r="K340" i="23"/>
  <c r="G176" i="23"/>
  <c r="I176" i="23"/>
  <c r="J176" i="23"/>
  <c r="K176" i="23"/>
  <c r="G99" i="23"/>
  <c r="I99" i="23"/>
  <c r="J99" i="23"/>
  <c r="K99" i="23"/>
  <c r="G379" i="23"/>
  <c r="I379" i="23"/>
  <c r="J379" i="23"/>
  <c r="K379" i="23"/>
  <c r="G65" i="23"/>
  <c r="I65" i="23"/>
  <c r="J65" i="23"/>
  <c r="K65" i="23"/>
  <c r="F29" i="37"/>
  <c r="G515" i="37"/>
  <c r="C515" i="37"/>
  <c r="B515" i="37"/>
  <c r="G514" i="37"/>
  <c r="C514" i="37"/>
  <c r="B514" i="37"/>
  <c r="G513" i="37"/>
  <c r="C513" i="37"/>
  <c r="B513" i="37"/>
  <c r="G512" i="37"/>
  <c r="C512" i="37"/>
  <c r="B512" i="37"/>
  <c r="G511" i="37"/>
  <c r="C511" i="37"/>
  <c r="B511" i="37"/>
  <c r="G510" i="37"/>
  <c r="C510" i="37"/>
  <c r="B510" i="37"/>
  <c r="G509" i="37"/>
  <c r="C509" i="37"/>
  <c r="B509" i="37"/>
  <c r="G508" i="37"/>
  <c r="C508" i="37"/>
  <c r="B508" i="37"/>
  <c r="G507" i="37"/>
  <c r="C507" i="37"/>
  <c r="B507" i="37"/>
  <c r="G506" i="37"/>
  <c r="C506" i="37"/>
  <c r="B506" i="37"/>
  <c r="G505" i="37"/>
  <c r="C505" i="37"/>
  <c r="B505" i="37"/>
  <c r="G504" i="37"/>
  <c r="C504" i="37"/>
  <c r="B504" i="37"/>
  <c r="G503" i="37"/>
  <c r="C503" i="37"/>
  <c r="B503" i="37"/>
  <c r="G502" i="37"/>
  <c r="C502" i="37"/>
  <c r="B502" i="37"/>
  <c r="G501" i="37"/>
  <c r="C501" i="37"/>
  <c r="B501" i="37"/>
  <c r="G500" i="37"/>
  <c r="C500" i="37"/>
  <c r="B500" i="37"/>
  <c r="G499" i="37"/>
  <c r="C499" i="37"/>
  <c r="B499" i="37"/>
  <c r="G498" i="37"/>
  <c r="C498" i="37"/>
  <c r="B498" i="37"/>
  <c r="G497" i="37"/>
  <c r="C497" i="37"/>
  <c r="B497" i="37"/>
  <c r="G496" i="37"/>
  <c r="C496" i="37"/>
  <c r="B496" i="37"/>
  <c r="G495" i="37"/>
  <c r="C495" i="37"/>
  <c r="B495" i="37"/>
  <c r="G494" i="37"/>
  <c r="C494" i="37"/>
  <c r="B494" i="37"/>
  <c r="G493" i="37"/>
  <c r="C493" i="37"/>
  <c r="B493" i="37"/>
  <c r="G492" i="37"/>
  <c r="C492" i="37"/>
  <c r="B492" i="37"/>
  <c r="G491" i="37"/>
  <c r="C491" i="37"/>
  <c r="B491" i="37"/>
  <c r="G490" i="37"/>
  <c r="C490" i="37"/>
  <c r="B490" i="37"/>
  <c r="G489" i="37"/>
  <c r="C489" i="37"/>
  <c r="B489" i="37"/>
  <c r="G488" i="37"/>
  <c r="C488" i="37"/>
  <c r="B488" i="37"/>
  <c r="G487" i="37"/>
  <c r="C487" i="37"/>
  <c r="B487" i="37"/>
  <c r="G486" i="37"/>
  <c r="C486" i="37"/>
  <c r="B486" i="37"/>
  <c r="G485" i="37"/>
  <c r="C485" i="37"/>
  <c r="B485" i="37"/>
  <c r="G484" i="37"/>
  <c r="C484" i="37"/>
  <c r="B484" i="37"/>
  <c r="G483" i="37"/>
  <c r="C483" i="37"/>
  <c r="B483" i="37"/>
  <c r="G482" i="37"/>
  <c r="C482" i="37"/>
  <c r="B482" i="37"/>
  <c r="G481" i="37"/>
  <c r="C481" i="37"/>
  <c r="B481" i="37"/>
  <c r="G480" i="37"/>
  <c r="C480" i="37"/>
  <c r="B480" i="37"/>
  <c r="G479" i="37"/>
  <c r="C479" i="37"/>
  <c r="B479" i="37"/>
  <c r="G478" i="37"/>
  <c r="C478" i="37"/>
  <c r="B478" i="37"/>
  <c r="G477" i="37"/>
  <c r="C477" i="37"/>
  <c r="B477" i="37"/>
  <c r="G476" i="37"/>
  <c r="C476" i="37"/>
  <c r="B476" i="37"/>
  <c r="G475" i="37"/>
  <c r="C475" i="37"/>
  <c r="B475" i="37"/>
  <c r="G474" i="37"/>
  <c r="C474" i="37"/>
  <c r="B474" i="37"/>
  <c r="G473" i="37"/>
  <c r="C473" i="37"/>
  <c r="B473" i="37"/>
  <c r="G472" i="37"/>
  <c r="C472" i="37"/>
  <c r="B472" i="37"/>
  <c r="G471" i="37"/>
  <c r="C471" i="37"/>
  <c r="B471" i="37"/>
  <c r="G470" i="37"/>
  <c r="C470" i="37"/>
  <c r="B470" i="37"/>
  <c r="G469" i="37"/>
  <c r="C469" i="37"/>
  <c r="B469" i="37"/>
  <c r="G468" i="37"/>
  <c r="C468" i="37"/>
  <c r="B468" i="37"/>
  <c r="G467" i="37"/>
  <c r="C467" i="37"/>
  <c r="B467" i="37"/>
  <c r="G466" i="37"/>
  <c r="C466" i="37"/>
  <c r="B466" i="37"/>
  <c r="G465" i="37"/>
  <c r="C465" i="37"/>
  <c r="B465" i="37"/>
  <c r="G464" i="37"/>
  <c r="C464" i="37"/>
  <c r="B464" i="37"/>
  <c r="G463" i="37"/>
  <c r="C463" i="37"/>
  <c r="B463" i="37"/>
  <c r="G462" i="37"/>
  <c r="C462" i="37"/>
  <c r="B462" i="37"/>
  <c r="G461" i="37"/>
  <c r="C461" i="37"/>
  <c r="B461" i="37"/>
  <c r="G460" i="37"/>
  <c r="C460" i="37"/>
  <c r="B460" i="37"/>
  <c r="G459" i="37"/>
  <c r="C459" i="37"/>
  <c r="B459" i="37"/>
  <c r="G458" i="37"/>
  <c r="C458" i="37"/>
  <c r="B458" i="37"/>
  <c r="G457" i="37"/>
  <c r="C457" i="37"/>
  <c r="B457" i="37"/>
  <c r="G456" i="37"/>
  <c r="C456" i="37"/>
  <c r="B456" i="37"/>
  <c r="G455" i="37"/>
  <c r="C455" i="37"/>
  <c r="B455" i="37"/>
  <c r="G454" i="37"/>
  <c r="C454" i="37"/>
  <c r="B454" i="37"/>
  <c r="G453" i="37"/>
  <c r="C453" i="37"/>
  <c r="B453" i="37"/>
  <c r="G452" i="37"/>
  <c r="C452" i="37"/>
  <c r="B452" i="37"/>
  <c r="G451" i="37"/>
  <c r="C451" i="37"/>
  <c r="B451" i="37"/>
  <c r="G450" i="37"/>
  <c r="C450" i="37"/>
  <c r="B450" i="37"/>
  <c r="G449" i="37"/>
  <c r="C449" i="37"/>
  <c r="B449" i="37"/>
  <c r="G448" i="37"/>
  <c r="C448" i="37"/>
  <c r="B448" i="37"/>
  <c r="G447" i="37"/>
  <c r="C447" i="37"/>
  <c r="B447" i="37"/>
  <c r="G446" i="37"/>
  <c r="C446" i="37"/>
  <c r="B446" i="37"/>
  <c r="G445" i="37"/>
  <c r="C445" i="37"/>
  <c r="B445" i="37"/>
  <c r="G444" i="37"/>
  <c r="C444" i="37"/>
  <c r="B444" i="37"/>
  <c r="G443" i="37"/>
  <c r="C443" i="37"/>
  <c r="B443" i="37"/>
  <c r="G442" i="37"/>
  <c r="C442" i="37"/>
  <c r="B442" i="37"/>
  <c r="G441" i="37"/>
  <c r="C441" i="37"/>
  <c r="B441" i="37"/>
  <c r="G440" i="37"/>
  <c r="C440" i="37"/>
  <c r="B440" i="37"/>
  <c r="G439" i="37"/>
  <c r="C439" i="37"/>
  <c r="B439" i="37"/>
  <c r="G438" i="37"/>
  <c r="C438" i="37"/>
  <c r="B438" i="37"/>
  <c r="G437" i="37"/>
  <c r="C437" i="37"/>
  <c r="B437" i="37"/>
  <c r="G436" i="37"/>
  <c r="C436" i="37"/>
  <c r="B436" i="37"/>
  <c r="G435" i="37"/>
  <c r="C435" i="37"/>
  <c r="B435" i="37"/>
  <c r="G434" i="37"/>
  <c r="C434" i="37"/>
  <c r="B434" i="37"/>
  <c r="G433" i="37"/>
  <c r="C433" i="37"/>
  <c r="B433" i="37"/>
  <c r="G432" i="37"/>
  <c r="C432" i="37"/>
  <c r="B432" i="37"/>
  <c r="G431" i="37"/>
  <c r="C431" i="37"/>
  <c r="B431" i="37"/>
  <c r="G430" i="37"/>
  <c r="C430" i="37"/>
  <c r="B430" i="37"/>
  <c r="G429" i="37"/>
  <c r="C429" i="37"/>
  <c r="B429" i="37"/>
  <c r="G428" i="37"/>
  <c r="C428" i="37"/>
  <c r="B428" i="37"/>
  <c r="G427" i="37"/>
  <c r="C427" i="37"/>
  <c r="B427" i="37"/>
  <c r="G426" i="37"/>
  <c r="C426" i="37"/>
  <c r="B426" i="37"/>
  <c r="G425" i="37"/>
  <c r="C425" i="37"/>
  <c r="B425" i="37"/>
  <c r="G424" i="37"/>
  <c r="C424" i="37"/>
  <c r="B424" i="37"/>
  <c r="G423" i="37"/>
  <c r="C423" i="37"/>
  <c r="B423" i="37"/>
  <c r="G422" i="37"/>
  <c r="C422" i="37"/>
  <c r="B422" i="37"/>
  <c r="G421" i="37"/>
  <c r="C421" i="37"/>
  <c r="B421" i="37"/>
  <c r="G420" i="37"/>
  <c r="C420" i="37"/>
  <c r="B420" i="37"/>
  <c r="G419" i="37"/>
  <c r="C419" i="37"/>
  <c r="B419" i="37"/>
  <c r="G418" i="37"/>
  <c r="C418" i="37"/>
  <c r="B418" i="37"/>
  <c r="G417" i="37"/>
  <c r="C417" i="37"/>
  <c r="B417" i="37"/>
  <c r="G416" i="37"/>
  <c r="C416" i="37"/>
  <c r="B416" i="37"/>
  <c r="G415" i="37"/>
  <c r="C415" i="37"/>
  <c r="B415" i="37"/>
  <c r="G414" i="37"/>
  <c r="C414" i="37"/>
  <c r="B414" i="37"/>
  <c r="G413" i="37"/>
  <c r="C413" i="37"/>
  <c r="B413" i="37"/>
  <c r="G412" i="37"/>
  <c r="C412" i="37"/>
  <c r="B412" i="37"/>
  <c r="G411" i="37"/>
  <c r="C411" i="37"/>
  <c r="B411" i="37"/>
  <c r="G410" i="37"/>
  <c r="C410" i="37"/>
  <c r="B410" i="37"/>
  <c r="G409" i="37"/>
  <c r="C409" i="37"/>
  <c r="B409" i="37"/>
  <c r="G408" i="37"/>
  <c r="C408" i="37"/>
  <c r="B408" i="37"/>
  <c r="G407" i="37"/>
  <c r="C407" i="37"/>
  <c r="B407" i="37"/>
  <c r="G406" i="37"/>
  <c r="C406" i="37"/>
  <c r="B406" i="37"/>
  <c r="G405" i="37"/>
  <c r="C405" i="37"/>
  <c r="B405" i="37"/>
  <c r="G404" i="37"/>
  <c r="C404" i="37"/>
  <c r="B404" i="37"/>
  <c r="G403" i="37"/>
  <c r="C403" i="37"/>
  <c r="B403" i="37"/>
  <c r="G402" i="37"/>
  <c r="C402" i="37"/>
  <c r="B402" i="37"/>
  <c r="G401" i="37"/>
  <c r="C401" i="37"/>
  <c r="B401" i="37"/>
  <c r="G400" i="37"/>
  <c r="C400" i="37"/>
  <c r="B400" i="37"/>
  <c r="G399" i="37"/>
  <c r="C399" i="37"/>
  <c r="B399" i="37"/>
  <c r="G398" i="37"/>
  <c r="C398" i="37"/>
  <c r="B398" i="37"/>
  <c r="G397" i="37"/>
  <c r="C397" i="37"/>
  <c r="B397" i="37"/>
  <c r="G396" i="37"/>
  <c r="C396" i="37"/>
  <c r="B396" i="37"/>
  <c r="G395" i="37"/>
  <c r="C395" i="37"/>
  <c r="B395" i="37"/>
  <c r="G394" i="37"/>
  <c r="C394" i="37"/>
  <c r="B394" i="37"/>
  <c r="G393" i="37"/>
  <c r="C393" i="37"/>
  <c r="B393" i="37"/>
  <c r="G392" i="37"/>
  <c r="C392" i="37"/>
  <c r="B392" i="37"/>
  <c r="G391" i="37"/>
  <c r="C391" i="37"/>
  <c r="B391" i="37"/>
  <c r="G390" i="37"/>
  <c r="C390" i="37"/>
  <c r="B390" i="37"/>
  <c r="G389" i="37"/>
  <c r="C389" i="37"/>
  <c r="B389" i="37"/>
  <c r="G388" i="37"/>
  <c r="C388" i="37"/>
  <c r="B388" i="37"/>
  <c r="G387" i="37"/>
  <c r="C387" i="37"/>
  <c r="B387" i="37"/>
  <c r="G386" i="37"/>
  <c r="C386" i="37"/>
  <c r="B386" i="37"/>
  <c r="G385" i="37"/>
  <c r="C385" i="37"/>
  <c r="B385" i="37"/>
  <c r="G384" i="37"/>
  <c r="C384" i="37"/>
  <c r="B384" i="37"/>
  <c r="G383" i="37"/>
  <c r="C383" i="37"/>
  <c r="B383" i="37"/>
  <c r="G382" i="37"/>
  <c r="C382" i="37"/>
  <c r="B382" i="37"/>
  <c r="G381" i="37"/>
  <c r="C381" i="37"/>
  <c r="B381" i="37"/>
  <c r="G380" i="37"/>
  <c r="C380" i="37"/>
  <c r="B380" i="37"/>
  <c r="G379" i="37"/>
  <c r="C379" i="37"/>
  <c r="B379" i="37"/>
  <c r="G378" i="37"/>
  <c r="C378" i="37"/>
  <c r="B378" i="37"/>
  <c r="G377" i="37"/>
  <c r="C377" i="37"/>
  <c r="B377" i="37"/>
  <c r="G376" i="37"/>
  <c r="C376" i="37"/>
  <c r="B376" i="37"/>
  <c r="G375" i="37"/>
  <c r="C375" i="37"/>
  <c r="B375" i="37"/>
  <c r="G374" i="37"/>
  <c r="C374" i="37"/>
  <c r="B374" i="37"/>
  <c r="G373" i="37"/>
  <c r="C373" i="37"/>
  <c r="B373" i="37"/>
  <c r="G372" i="37"/>
  <c r="C372" i="37"/>
  <c r="B372" i="37"/>
  <c r="G371" i="37"/>
  <c r="C371" i="37"/>
  <c r="B371" i="37"/>
  <c r="G370" i="37"/>
  <c r="C370" i="37"/>
  <c r="B370" i="37"/>
  <c r="G369" i="37"/>
  <c r="C369" i="37"/>
  <c r="B369" i="37"/>
  <c r="G368" i="37"/>
  <c r="C368" i="37"/>
  <c r="B368" i="37"/>
  <c r="G367" i="37"/>
  <c r="C367" i="37"/>
  <c r="B367" i="37"/>
  <c r="G366" i="37"/>
  <c r="C366" i="37"/>
  <c r="B366" i="37"/>
  <c r="G365" i="37"/>
  <c r="C365" i="37"/>
  <c r="B365" i="37"/>
  <c r="G364" i="37"/>
  <c r="C364" i="37"/>
  <c r="B364" i="37"/>
  <c r="G363" i="37"/>
  <c r="C363" i="37"/>
  <c r="B363" i="37"/>
  <c r="G362" i="37"/>
  <c r="C362" i="37"/>
  <c r="B362" i="37"/>
  <c r="G361" i="37"/>
  <c r="C361" i="37"/>
  <c r="B361" i="37"/>
  <c r="G360" i="37"/>
  <c r="C360" i="37"/>
  <c r="B360" i="37"/>
  <c r="G359" i="37"/>
  <c r="C359" i="37"/>
  <c r="B359" i="37"/>
  <c r="G358" i="37"/>
  <c r="C358" i="37"/>
  <c r="B358" i="37"/>
  <c r="G357" i="37"/>
  <c r="C357" i="37"/>
  <c r="B357" i="37"/>
  <c r="G356" i="37"/>
  <c r="C356" i="37"/>
  <c r="B356" i="37"/>
  <c r="G355" i="37"/>
  <c r="C355" i="37"/>
  <c r="B355" i="37"/>
  <c r="G354" i="37"/>
  <c r="C354" i="37"/>
  <c r="B354" i="37"/>
  <c r="G353" i="37"/>
  <c r="C353" i="37"/>
  <c r="B353" i="37"/>
  <c r="G352" i="37"/>
  <c r="C352" i="37"/>
  <c r="B352" i="37"/>
  <c r="G351" i="37"/>
  <c r="C351" i="37"/>
  <c r="B351" i="37"/>
  <c r="G350" i="37"/>
  <c r="C350" i="37"/>
  <c r="B350" i="37"/>
  <c r="G349" i="37"/>
  <c r="C349" i="37"/>
  <c r="B349" i="37"/>
  <c r="G348" i="37"/>
  <c r="C348" i="37"/>
  <c r="B348" i="37"/>
  <c r="G347" i="37"/>
  <c r="C347" i="37"/>
  <c r="B347" i="37"/>
  <c r="G346" i="37"/>
  <c r="C346" i="37"/>
  <c r="B346" i="37"/>
  <c r="G345" i="37"/>
  <c r="C345" i="37"/>
  <c r="B345" i="37"/>
  <c r="G344" i="37"/>
  <c r="C344" i="37"/>
  <c r="B344" i="37"/>
  <c r="G343" i="37"/>
  <c r="C343" i="37"/>
  <c r="B343" i="37"/>
  <c r="G342" i="37"/>
  <c r="C342" i="37"/>
  <c r="B342" i="37"/>
  <c r="G341" i="37"/>
  <c r="C341" i="37"/>
  <c r="B341" i="37"/>
  <c r="G340" i="37"/>
  <c r="C340" i="37"/>
  <c r="B340" i="37"/>
  <c r="G339" i="37"/>
  <c r="C339" i="37"/>
  <c r="B339" i="37"/>
  <c r="G338" i="37"/>
  <c r="C338" i="37"/>
  <c r="B338" i="37"/>
  <c r="G337" i="37"/>
  <c r="C337" i="37"/>
  <c r="B337" i="37"/>
  <c r="G336" i="37"/>
  <c r="C336" i="37"/>
  <c r="B336" i="37"/>
  <c r="G335" i="37"/>
  <c r="C335" i="37"/>
  <c r="B335" i="37"/>
  <c r="G334" i="37"/>
  <c r="C334" i="37"/>
  <c r="B334" i="37"/>
  <c r="G333" i="37"/>
  <c r="C333" i="37"/>
  <c r="B333" i="37"/>
  <c r="G332" i="37"/>
  <c r="C332" i="37"/>
  <c r="B332" i="37"/>
  <c r="G331" i="37"/>
  <c r="C331" i="37"/>
  <c r="B331" i="37"/>
  <c r="G330" i="37"/>
  <c r="C330" i="37"/>
  <c r="B330" i="37"/>
  <c r="G329" i="37"/>
  <c r="C329" i="37"/>
  <c r="B329" i="37"/>
  <c r="G328" i="37"/>
  <c r="C328" i="37"/>
  <c r="B328" i="37"/>
  <c r="G327" i="37"/>
  <c r="C327" i="37"/>
  <c r="B327" i="37"/>
  <c r="G326" i="37"/>
  <c r="C326" i="37"/>
  <c r="B326" i="37"/>
  <c r="G325" i="37"/>
  <c r="C325" i="37"/>
  <c r="B325" i="37"/>
  <c r="G324" i="37"/>
  <c r="C324" i="37"/>
  <c r="B324" i="37"/>
  <c r="G323" i="37"/>
  <c r="C323" i="37"/>
  <c r="B323" i="37"/>
  <c r="G322" i="37"/>
  <c r="C322" i="37"/>
  <c r="B322" i="37"/>
  <c r="G321" i="37"/>
  <c r="C321" i="37"/>
  <c r="B321" i="37"/>
  <c r="G320" i="37"/>
  <c r="C320" i="37"/>
  <c r="B320" i="37"/>
  <c r="G319" i="37"/>
  <c r="C319" i="37"/>
  <c r="B319" i="37"/>
  <c r="G318" i="37"/>
  <c r="C318" i="37"/>
  <c r="B318" i="37"/>
  <c r="G317" i="37"/>
  <c r="C317" i="37"/>
  <c r="B317" i="37"/>
  <c r="G316" i="37"/>
  <c r="C316" i="37"/>
  <c r="B316" i="37"/>
  <c r="G315" i="37"/>
  <c r="C315" i="37"/>
  <c r="B315" i="37"/>
  <c r="G314" i="37"/>
  <c r="C314" i="37"/>
  <c r="B314" i="37"/>
  <c r="G313" i="37"/>
  <c r="C313" i="37"/>
  <c r="B313" i="37"/>
  <c r="G312" i="37"/>
  <c r="C312" i="37"/>
  <c r="B312" i="37"/>
  <c r="G311" i="37"/>
  <c r="C311" i="37"/>
  <c r="B311" i="37"/>
  <c r="G310" i="37"/>
  <c r="C310" i="37"/>
  <c r="B310" i="37"/>
  <c r="G309" i="37"/>
  <c r="C309" i="37"/>
  <c r="B309" i="37"/>
  <c r="G308" i="37"/>
  <c r="C308" i="37"/>
  <c r="B308" i="37"/>
  <c r="G307" i="37"/>
  <c r="C307" i="37"/>
  <c r="B307" i="37"/>
  <c r="G306" i="37"/>
  <c r="C306" i="37"/>
  <c r="B306" i="37"/>
  <c r="G305" i="37"/>
  <c r="C305" i="37"/>
  <c r="B305" i="37"/>
  <c r="G304" i="37"/>
  <c r="C304" i="37"/>
  <c r="B304" i="37"/>
  <c r="G303" i="37"/>
  <c r="C303" i="37"/>
  <c r="B303" i="37"/>
  <c r="G302" i="37"/>
  <c r="C302" i="37"/>
  <c r="B302" i="37"/>
  <c r="G301" i="37"/>
  <c r="C301" i="37"/>
  <c r="B301" i="37"/>
  <c r="G300" i="37"/>
  <c r="C300" i="37"/>
  <c r="B300" i="37"/>
  <c r="G299" i="37"/>
  <c r="C299" i="37"/>
  <c r="B299" i="37"/>
  <c r="G298" i="37"/>
  <c r="C298" i="37"/>
  <c r="B298" i="37"/>
  <c r="G297" i="37"/>
  <c r="C297" i="37"/>
  <c r="B297" i="37"/>
  <c r="G296" i="37"/>
  <c r="C296" i="37"/>
  <c r="B296" i="37"/>
  <c r="G295" i="37"/>
  <c r="C295" i="37"/>
  <c r="B295" i="37"/>
  <c r="G294" i="37"/>
  <c r="C294" i="37"/>
  <c r="B294" i="37"/>
  <c r="G293" i="37"/>
  <c r="C293" i="37"/>
  <c r="B293" i="37"/>
  <c r="G292" i="37"/>
  <c r="C292" i="37"/>
  <c r="B292" i="37"/>
  <c r="G291" i="37"/>
  <c r="C291" i="37"/>
  <c r="B291" i="37"/>
  <c r="G290" i="37"/>
  <c r="C290" i="37"/>
  <c r="B290" i="37"/>
  <c r="G289" i="37"/>
  <c r="C289" i="37"/>
  <c r="B289" i="37"/>
  <c r="G288" i="37"/>
  <c r="C288" i="37"/>
  <c r="B288" i="37"/>
  <c r="G287" i="37"/>
  <c r="C287" i="37"/>
  <c r="B287" i="37"/>
  <c r="G286" i="37"/>
  <c r="C286" i="37"/>
  <c r="B286" i="37"/>
  <c r="G285" i="37"/>
  <c r="C285" i="37"/>
  <c r="B285" i="37"/>
  <c r="G284" i="37"/>
  <c r="C284" i="37"/>
  <c r="B284" i="37"/>
  <c r="G283" i="37"/>
  <c r="C283" i="37"/>
  <c r="B283" i="37"/>
  <c r="G282" i="37"/>
  <c r="C282" i="37"/>
  <c r="B282" i="37"/>
  <c r="G281" i="37"/>
  <c r="C281" i="37"/>
  <c r="B281" i="37"/>
  <c r="G280" i="37"/>
  <c r="C280" i="37"/>
  <c r="B280" i="37"/>
  <c r="G279" i="37"/>
  <c r="C279" i="37"/>
  <c r="B279" i="37"/>
  <c r="G278" i="37"/>
  <c r="C278" i="37"/>
  <c r="B278" i="37"/>
  <c r="G277" i="37"/>
  <c r="C277" i="37"/>
  <c r="B277" i="37"/>
  <c r="G276" i="37"/>
  <c r="C276" i="37"/>
  <c r="B276" i="37"/>
  <c r="G275" i="37"/>
  <c r="C275" i="37"/>
  <c r="B275" i="37"/>
  <c r="G274" i="37"/>
  <c r="C274" i="37"/>
  <c r="B274" i="37"/>
  <c r="G273" i="37"/>
  <c r="C273" i="37"/>
  <c r="B273" i="37"/>
  <c r="G272" i="37"/>
  <c r="C272" i="37"/>
  <c r="B272" i="37"/>
  <c r="G271" i="37"/>
  <c r="C271" i="37"/>
  <c r="B271" i="37"/>
  <c r="G270" i="37"/>
  <c r="C270" i="37"/>
  <c r="B270" i="37"/>
  <c r="G269" i="37"/>
  <c r="C269" i="37"/>
  <c r="B269" i="37"/>
  <c r="G268" i="37"/>
  <c r="C268" i="37"/>
  <c r="B268" i="37"/>
  <c r="G267" i="37"/>
  <c r="C267" i="37"/>
  <c r="B267" i="37"/>
  <c r="G266" i="37"/>
  <c r="C266" i="37"/>
  <c r="B266" i="37"/>
  <c r="G265" i="37"/>
  <c r="C265" i="37"/>
  <c r="B265" i="37"/>
  <c r="G264" i="37"/>
  <c r="C264" i="37"/>
  <c r="B264" i="37"/>
  <c r="G263" i="37"/>
  <c r="C263" i="37"/>
  <c r="B263" i="37"/>
  <c r="G262" i="37"/>
  <c r="C262" i="37"/>
  <c r="B262" i="37"/>
  <c r="G261" i="37"/>
  <c r="C261" i="37"/>
  <c r="B261" i="37"/>
  <c r="G260" i="37"/>
  <c r="C260" i="37"/>
  <c r="B260" i="37"/>
  <c r="G259" i="37"/>
  <c r="C259" i="37"/>
  <c r="B259" i="37"/>
  <c r="G258" i="37"/>
  <c r="C258" i="37"/>
  <c r="B258" i="37"/>
  <c r="G257" i="37"/>
  <c r="C257" i="37"/>
  <c r="B257" i="37"/>
  <c r="G256" i="37"/>
  <c r="C256" i="37"/>
  <c r="B256" i="37"/>
  <c r="G255" i="37"/>
  <c r="C255" i="37"/>
  <c r="B255" i="37"/>
  <c r="G254" i="37"/>
  <c r="C254" i="37"/>
  <c r="B254" i="37"/>
  <c r="G253" i="37"/>
  <c r="C253" i="37"/>
  <c r="B253" i="37"/>
  <c r="G252" i="37"/>
  <c r="C252" i="37"/>
  <c r="B252" i="37"/>
  <c r="G251" i="37"/>
  <c r="C251" i="37"/>
  <c r="B251" i="37"/>
  <c r="G250" i="37"/>
  <c r="C250" i="37"/>
  <c r="B250" i="37"/>
  <c r="G249" i="37"/>
  <c r="C249" i="37"/>
  <c r="B249" i="37"/>
  <c r="G248" i="37"/>
  <c r="C248" i="37"/>
  <c r="B248" i="37"/>
  <c r="G247" i="37"/>
  <c r="C247" i="37"/>
  <c r="B247" i="37"/>
  <c r="G246" i="37"/>
  <c r="C246" i="37"/>
  <c r="B246" i="37"/>
  <c r="G245" i="37"/>
  <c r="C245" i="37"/>
  <c r="B245" i="37"/>
  <c r="G244" i="37"/>
  <c r="C244" i="37"/>
  <c r="B244" i="37"/>
  <c r="G243" i="37"/>
  <c r="C243" i="37"/>
  <c r="B243" i="37"/>
  <c r="G242" i="37"/>
  <c r="C242" i="37"/>
  <c r="B242" i="37"/>
  <c r="G241" i="37"/>
  <c r="C241" i="37"/>
  <c r="B241" i="37"/>
  <c r="G240" i="37"/>
  <c r="C240" i="37"/>
  <c r="B240" i="37"/>
  <c r="G239" i="37"/>
  <c r="C239" i="37"/>
  <c r="B239" i="37"/>
  <c r="G238" i="37"/>
  <c r="C238" i="37"/>
  <c r="B238" i="37"/>
  <c r="G237" i="37"/>
  <c r="C237" i="37"/>
  <c r="B237" i="37"/>
  <c r="G236" i="37"/>
  <c r="C236" i="37"/>
  <c r="B236" i="37"/>
  <c r="G235" i="37"/>
  <c r="C235" i="37"/>
  <c r="B235" i="37"/>
  <c r="G234" i="37"/>
  <c r="C234" i="37"/>
  <c r="B234" i="37"/>
  <c r="G233" i="37"/>
  <c r="C233" i="37"/>
  <c r="B233" i="37"/>
  <c r="G232" i="37"/>
  <c r="C232" i="37"/>
  <c r="B232" i="37"/>
  <c r="G231" i="37"/>
  <c r="C231" i="37"/>
  <c r="B231" i="37"/>
  <c r="G230" i="37"/>
  <c r="C230" i="37"/>
  <c r="B230" i="37"/>
  <c r="G229" i="37"/>
  <c r="C229" i="37"/>
  <c r="B229" i="37"/>
  <c r="G228" i="37"/>
  <c r="C228" i="37"/>
  <c r="B228" i="37"/>
  <c r="G227" i="37"/>
  <c r="C227" i="37"/>
  <c r="B227" i="37"/>
  <c r="G226" i="37"/>
  <c r="C226" i="37"/>
  <c r="B226" i="37"/>
  <c r="G225" i="37"/>
  <c r="C225" i="37"/>
  <c r="B225" i="37"/>
  <c r="G224" i="37"/>
  <c r="C224" i="37"/>
  <c r="B224" i="37"/>
  <c r="G223" i="37"/>
  <c r="C223" i="37"/>
  <c r="B223" i="37"/>
  <c r="G222" i="37"/>
  <c r="C222" i="37"/>
  <c r="B222" i="37"/>
  <c r="G221" i="37"/>
  <c r="C221" i="37"/>
  <c r="B221" i="37"/>
  <c r="G220" i="37"/>
  <c r="C220" i="37"/>
  <c r="B220" i="37"/>
  <c r="G219" i="37"/>
  <c r="C219" i="37"/>
  <c r="B219" i="37"/>
  <c r="G218" i="37"/>
  <c r="C218" i="37"/>
  <c r="B218" i="37"/>
  <c r="G217" i="37"/>
  <c r="C217" i="37"/>
  <c r="B217" i="37"/>
  <c r="G216" i="37"/>
  <c r="C216" i="37"/>
  <c r="B216" i="37"/>
  <c r="G215" i="37"/>
  <c r="C215" i="37"/>
  <c r="B215" i="37"/>
  <c r="G214" i="37"/>
  <c r="C214" i="37"/>
  <c r="B214" i="37"/>
  <c r="G213" i="37"/>
  <c r="C213" i="37"/>
  <c r="B213" i="37"/>
  <c r="G212" i="37"/>
  <c r="C212" i="37"/>
  <c r="B212" i="37"/>
  <c r="G211" i="37"/>
  <c r="C211" i="37"/>
  <c r="B211" i="37"/>
  <c r="G210" i="37"/>
  <c r="C210" i="37"/>
  <c r="B210" i="37"/>
  <c r="G209" i="37"/>
  <c r="C209" i="37"/>
  <c r="B209" i="37"/>
  <c r="G208" i="37"/>
  <c r="C208" i="37"/>
  <c r="B208" i="37"/>
  <c r="G207" i="37"/>
  <c r="C207" i="37"/>
  <c r="B207" i="37"/>
  <c r="G206" i="37"/>
  <c r="C206" i="37"/>
  <c r="B206" i="37"/>
  <c r="G205" i="37"/>
  <c r="C205" i="37"/>
  <c r="B205" i="37"/>
  <c r="G204" i="37"/>
  <c r="C204" i="37"/>
  <c r="B204" i="37"/>
  <c r="G203" i="37"/>
  <c r="C203" i="37"/>
  <c r="B203" i="37"/>
  <c r="G202" i="37"/>
  <c r="C202" i="37"/>
  <c r="B202" i="37"/>
  <c r="G201" i="37"/>
  <c r="C201" i="37"/>
  <c r="B201" i="37"/>
  <c r="G200" i="37"/>
  <c r="C200" i="37"/>
  <c r="B200" i="37"/>
  <c r="G199" i="37"/>
  <c r="C199" i="37"/>
  <c r="B199" i="37"/>
  <c r="G198" i="37"/>
  <c r="C198" i="37"/>
  <c r="B198" i="37"/>
  <c r="G197" i="37"/>
  <c r="C197" i="37"/>
  <c r="B197" i="37"/>
  <c r="G196" i="37"/>
  <c r="C196" i="37"/>
  <c r="B196" i="37"/>
  <c r="G195" i="37"/>
  <c r="C195" i="37"/>
  <c r="B195" i="37"/>
  <c r="G194" i="37"/>
  <c r="C194" i="37"/>
  <c r="B194" i="37"/>
  <c r="G193" i="37"/>
  <c r="C193" i="37"/>
  <c r="B193" i="37"/>
  <c r="G192" i="37"/>
  <c r="C192" i="37"/>
  <c r="B192" i="37"/>
  <c r="G191" i="37"/>
  <c r="C191" i="37"/>
  <c r="B191" i="37"/>
  <c r="G190" i="37"/>
  <c r="C190" i="37"/>
  <c r="B190" i="37"/>
  <c r="G189" i="37"/>
  <c r="C189" i="37"/>
  <c r="B189" i="37"/>
  <c r="G188" i="37"/>
  <c r="C188" i="37"/>
  <c r="B188" i="37"/>
  <c r="G187" i="37"/>
  <c r="C187" i="37"/>
  <c r="B187" i="37"/>
  <c r="G186" i="37"/>
  <c r="C186" i="37"/>
  <c r="B186" i="37"/>
  <c r="G185" i="37"/>
  <c r="C185" i="37"/>
  <c r="B185" i="37"/>
  <c r="G184" i="37"/>
  <c r="C184" i="37"/>
  <c r="B184" i="37"/>
  <c r="G183" i="37"/>
  <c r="C183" i="37"/>
  <c r="B183" i="37"/>
  <c r="G182" i="37"/>
  <c r="C182" i="37"/>
  <c r="B182" i="37"/>
  <c r="G181" i="37"/>
  <c r="C181" i="37"/>
  <c r="B181" i="37"/>
  <c r="G180" i="37"/>
  <c r="C180" i="37"/>
  <c r="B180" i="37"/>
  <c r="G179" i="37"/>
  <c r="C179" i="37"/>
  <c r="B179" i="37"/>
  <c r="G178" i="37"/>
  <c r="C178" i="37"/>
  <c r="B178" i="37"/>
  <c r="G177" i="37"/>
  <c r="C177" i="37"/>
  <c r="B177" i="37"/>
  <c r="G176" i="37"/>
  <c r="C176" i="37"/>
  <c r="B176" i="37"/>
  <c r="G175" i="37"/>
  <c r="C175" i="37"/>
  <c r="B175" i="37"/>
  <c r="G174" i="37"/>
  <c r="C174" i="37"/>
  <c r="B174" i="37"/>
  <c r="G173" i="37"/>
  <c r="C173" i="37"/>
  <c r="B173" i="37"/>
  <c r="G172" i="37"/>
  <c r="C172" i="37"/>
  <c r="B172" i="37"/>
  <c r="G171" i="37"/>
  <c r="C171" i="37"/>
  <c r="B171" i="37"/>
  <c r="G170" i="37"/>
  <c r="C170" i="37"/>
  <c r="B170" i="37"/>
  <c r="G169" i="37"/>
  <c r="C169" i="37"/>
  <c r="B169" i="37"/>
  <c r="G168" i="37"/>
  <c r="C168" i="37"/>
  <c r="B168" i="37"/>
  <c r="G167" i="37"/>
  <c r="C167" i="37"/>
  <c r="B167" i="37"/>
  <c r="G166" i="37"/>
  <c r="C166" i="37"/>
  <c r="B166" i="37"/>
  <c r="G165" i="37"/>
  <c r="C165" i="37"/>
  <c r="B165" i="37"/>
  <c r="G164" i="37"/>
  <c r="C164" i="37"/>
  <c r="B164" i="37"/>
  <c r="G163" i="37"/>
  <c r="C163" i="37"/>
  <c r="B163" i="37"/>
  <c r="G162" i="37"/>
  <c r="C162" i="37"/>
  <c r="B162" i="37"/>
  <c r="G161" i="37"/>
  <c r="C161" i="37"/>
  <c r="B161" i="37"/>
  <c r="G160" i="37"/>
  <c r="C160" i="37"/>
  <c r="B160" i="37"/>
  <c r="G159" i="37"/>
  <c r="C159" i="37"/>
  <c r="B159" i="37"/>
  <c r="G158" i="37"/>
  <c r="C158" i="37"/>
  <c r="B158" i="37"/>
  <c r="G157" i="37"/>
  <c r="C157" i="37"/>
  <c r="B157" i="37"/>
  <c r="G156" i="37"/>
  <c r="C156" i="37"/>
  <c r="B156" i="37"/>
  <c r="G155" i="37"/>
  <c r="C155" i="37"/>
  <c r="B155" i="37"/>
  <c r="G154" i="37"/>
  <c r="C154" i="37"/>
  <c r="B154" i="37"/>
  <c r="G153" i="37"/>
  <c r="C153" i="37"/>
  <c r="B153" i="37"/>
  <c r="G152" i="37"/>
  <c r="C152" i="37"/>
  <c r="B152" i="37"/>
  <c r="G151" i="37"/>
  <c r="C151" i="37"/>
  <c r="B151" i="37"/>
  <c r="G150" i="37"/>
  <c r="C150" i="37"/>
  <c r="B150" i="37"/>
  <c r="G149" i="37"/>
  <c r="C149" i="37"/>
  <c r="B149" i="37"/>
  <c r="G148" i="37"/>
  <c r="C148" i="37"/>
  <c r="B148" i="37"/>
  <c r="G147" i="37"/>
  <c r="C147" i="37"/>
  <c r="B147" i="37"/>
  <c r="G146" i="37"/>
  <c r="C146" i="37"/>
  <c r="B146" i="37"/>
  <c r="G145" i="37"/>
  <c r="C145" i="37"/>
  <c r="B145" i="37"/>
  <c r="G144" i="37"/>
  <c r="C144" i="37"/>
  <c r="B144" i="37"/>
  <c r="G143" i="37"/>
  <c r="C143" i="37"/>
  <c r="B143" i="37"/>
  <c r="G142" i="37"/>
  <c r="C142" i="37"/>
  <c r="B142" i="37"/>
  <c r="G141" i="37"/>
  <c r="C141" i="37"/>
  <c r="B141" i="37"/>
  <c r="G140" i="37"/>
  <c r="C140" i="37"/>
  <c r="B140" i="37"/>
  <c r="G139" i="37"/>
  <c r="C139" i="37"/>
  <c r="B139" i="37"/>
  <c r="G138" i="37"/>
  <c r="C138" i="37"/>
  <c r="B138" i="37"/>
  <c r="G137" i="37"/>
  <c r="C137" i="37"/>
  <c r="B137" i="37"/>
  <c r="G136" i="37"/>
  <c r="C136" i="37"/>
  <c r="B136" i="37"/>
  <c r="G135" i="37"/>
  <c r="C135" i="37"/>
  <c r="B135" i="37"/>
  <c r="G134" i="37"/>
  <c r="C134" i="37"/>
  <c r="B134" i="37"/>
  <c r="G133" i="37"/>
  <c r="C133" i="37"/>
  <c r="B133" i="37"/>
  <c r="G132" i="37"/>
  <c r="C132" i="37"/>
  <c r="B132" i="37"/>
  <c r="G131" i="37"/>
  <c r="C131" i="37"/>
  <c r="B131" i="37"/>
  <c r="G130" i="37"/>
  <c r="C130" i="37"/>
  <c r="B130" i="37"/>
  <c r="G129" i="37"/>
  <c r="C129" i="37"/>
  <c r="B129" i="37"/>
  <c r="G128" i="37"/>
  <c r="C128" i="37"/>
  <c r="B128" i="37"/>
  <c r="G127" i="37"/>
  <c r="C127" i="37"/>
  <c r="B127" i="37"/>
  <c r="G126" i="37"/>
  <c r="C126" i="37"/>
  <c r="B126" i="37"/>
  <c r="G125" i="37"/>
  <c r="C125" i="37"/>
  <c r="B125" i="37"/>
  <c r="G124" i="37"/>
  <c r="C124" i="37"/>
  <c r="B124" i="37"/>
  <c r="G123" i="37"/>
  <c r="C123" i="37"/>
  <c r="B123" i="37"/>
  <c r="G122" i="37"/>
  <c r="C122" i="37"/>
  <c r="B122" i="37"/>
  <c r="G121" i="37"/>
  <c r="C121" i="37"/>
  <c r="B121" i="37"/>
  <c r="G120" i="37"/>
  <c r="C120" i="37"/>
  <c r="B120" i="37"/>
  <c r="G119" i="37"/>
  <c r="C119" i="37"/>
  <c r="B119" i="37"/>
  <c r="G118" i="37"/>
  <c r="C118" i="37"/>
  <c r="B118" i="37"/>
  <c r="G117" i="37"/>
  <c r="C117" i="37"/>
  <c r="B117" i="37"/>
  <c r="G116" i="37"/>
  <c r="C116" i="37"/>
  <c r="B116" i="37"/>
  <c r="G115" i="37"/>
  <c r="C115" i="37"/>
  <c r="B115" i="37"/>
  <c r="G114" i="37"/>
  <c r="C114" i="37"/>
  <c r="B114" i="37"/>
  <c r="G113" i="37"/>
  <c r="C113" i="37"/>
  <c r="B113" i="37"/>
  <c r="G112" i="37"/>
  <c r="C112" i="37"/>
  <c r="B112" i="37"/>
  <c r="G111" i="37"/>
  <c r="C111" i="37"/>
  <c r="B111" i="37"/>
  <c r="G110" i="37"/>
  <c r="C110" i="37"/>
  <c r="B110" i="37"/>
  <c r="G109" i="37"/>
  <c r="C109" i="37"/>
  <c r="B109" i="37"/>
  <c r="G108" i="37"/>
  <c r="C108" i="37"/>
  <c r="B108" i="37"/>
  <c r="G107" i="37"/>
  <c r="C107" i="37"/>
  <c r="B107" i="37"/>
  <c r="G106" i="37"/>
  <c r="C106" i="37"/>
  <c r="B106" i="37"/>
  <c r="G105" i="37"/>
  <c r="C105" i="37"/>
  <c r="B105" i="37"/>
  <c r="G104" i="37"/>
  <c r="C104" i="37"/>
  <c r="B104" i="37"/>
  <c r="G103" i="37"/>
  <c r="C103" i="37"/>
  <c r="B103" i="37"/>
  <c r="G102" i="37"/>
  <c r="C102" i="37"/>
  <c r="B102" i="37"/>
  <c r="G101" i="37"/>
  <c r="C101" i="37"/>
  <c r="B101" i="37"/>
  <c r="G100" i="37"/>
  <c r="C100" i="37"/>
  <c r="B100" i="37"/>
  <c r="G99" i="37"/>
  <c r="C99" i="37"/>
  <c r="B99" i="37"/>
  <c r="G98" i="37"/>
  <c r="C98" i="37"/>
  <c r="B98" i="37"/>
  <c r="G97" i="37"/>
  <c r="C97" i="37"/>
  <c r="B97" i="37"/>
  <c r="G96" i="37"/>
  <c r="C96" i="37"/>
  <c r="B96" i="37"/>
  <c r="G95" i="37"/>
  <c r="C95" i="37"/>
  <c r="B95" i="37"/>
  <c r="G94" i="37"/>
  <c r="C94" i="37"/>
  <c r="B94" i="37"/>
  <c r="G93" i="37"/>
  <c r="C93" i="37"/>
  <c r="B93" i="37"/>
  <c r="G92" i="37"/>
  <c r="C92" i="37"/>
  <c r="B92" i="37"/>
  <c r="G91" i="37"/>
  <c r="C91" i="37"/>
  <c r="B91" i="37"/>
  <c r="G90" i="37"/>
  <c r="C90" i="37"/>
  <c r="B90" i="37"/>
  <c r="G89" i="37"/>
  <c r="C89" i="37"/>
  <c r="B89" i="37"/>
  <c r="G88" i="37"/>
  <c r="C88" i="37"/>
  <c r="B88" i="37"/>
  <c r="G87" i="37"/>
  <c r="C87" i="37"/>
  <c r="B87" i="37"/>
  <c r="G86" i="37"/>
  <c r="C86" i="37"/>
  <c r="B86" i="37"/>
  <c r="G85" i="37"/>
  <c r="C85" i="37"/>
  <c r="B85" i="37"/>
  <c r="G84" i="37"/>
  <c r="C84" i="37"/>
  <c r="B84" i="37"/>
  <c r="G83" i="37"/>
  <c r="C83" i="37"/>
  <c r="B83" i="37"/>
  <c r="G82" i="37"/>
  <c r="C82" i="37"/>
  <c r="B82" i="37"/>
  <c r="G81" i="37"/>
  <c r="C81" i="37"/>
  <c r="B81" i="37"/>
  <c r="G80" i="37"/>
  <c r="C80" i="37"/>
  <c r="B80" i="37"/>
  <c r="G79" i="37"/>
  <c r="C79" i="37"/>
  <c r="B79" i="37"/>
  <c r="G78" i="37"/>
  <c r="C78" i="37"/>
  <c r="B78" i="37"/>
  <c r="G77" i="37"/>
  <c r="C77" i="37"/>
  <c r="B77" i="37"/>
  <c r="G76" i="37"/>
  <c r="C76" i="37"/>
  <c r="B76" i="37"/>
  <c r="M3" i="31"/>
  <c r="O3" i="31"/>
  <c r="Q3" i="31"/>
  <c r="S3" i="31"/>
  <c r="X3" i="31"/>
  <c r="M4" i="31"/>
  <c r="O4" i="31"/>
  <c r="Q4" i="31"/>
  <c r="S4" i="31"/>
  <c r="X4" i="31"/>
  <c r="M5" i="31"/>
  <c r="O5" i="31"/>
  <c r="Q5" i="31"/>
  <c r="S5" i="31"/>
  <c r="X5" i="31"/>
  <c r="M6" i="31"/>
  <c r="O6" i="31"/>
  <c r="Q6" i="31"/>
  <c r="S6" i="31"/>
  <c r="X6" i="31"/>
  <c r="M7" i="31"/>
  <c r="O7" i="31"/>
  <c r="Q7" i="31"/>
  <c r="S7" i="31"/>
  <c r="X7" i="31"/>
  <c r="M8" i="31"/>
  <c r="O8" i="31"/>
  <c r="Q8" i="31"/>
  <c r="S8" i="31"/>
  <c r="X8" i="31"/>
  <c r="M9" i="31"/>
  <c r="O9" i="31"/>
  <c r="Q9" i="31"/>
  <c r="S9" i="31"/>
  <c r="X9" i="31"/>
  <c r="M10" i="31"/>
  <c r="O10" i="31"/>
  <c r="Q10" i="31"/>
  <c r="S10" i="31"/>
  <c r="X10" i="31"/>
  <c r="M11" i="31"/>
  <c r="O11" i="31"/>
  <c r="Q11" i="31"/>
  <c r="S11" i="31"/>
  <c r="X11" i="31"/>
  <c r="M12" i="31"/>
  <c r="O12" i="31"/>
  <c r="Q12" i="31"/>
  <c r="S12" i="31"/>
  <c r="X12" i="31"/>
  <c r="M13" i="31"/>
  <c r="O13" i="31"/>
  <c r="Q13" i="31"/>
  <c r="S13" i="31"/>
  <c r="X13" i="31"/>
  <c r="M14" i="31"/>
  <c r="O14" i="31"/>
  <c r="Q14" i="31"/>
  <c r="S14" i="31"/>
  <c r="X14" i="31"/>
  <c r="M15" i="31"/>
  <c r="O15" i="31"/>
  <c r="Q15" i="31"/>
  <c r="S15" i="31"/>
  <c r="X15" i="31"/>
  <c r="M16" i="31"/>
  <c r="O16" i="31"/>
  <c r="Q16" i="31"/>
  <c r="S16" i="31"/>
  <c r="X16" i="31"/>
  <c r="M17" i="31"/>
  <c r="O17" i="31"/>
  <c r="Q17" i="31"/>
  <c r="S17" i="31"/>
  <c r="X17" i="31"/>
  <c r="M18" i="31"/>
  <c r="O18" i="31"/>
  <c r="Q18" i="31"/>
  <c r="S18" i="31"/>
  <c r="X18" i="31"/>
  <c r="M19" i="31"/>
  <c r="O19" i="31"/>
  <c r="Q19" i="31"/>
  <c r="S19" i="31"/>
  <c r="X19" i="31"/>
  <c r="M20" i="31"/>
  <c r="O20" i="31"/>
  <c r="Q20" i="31"/>
  <c r="S20" i="31"/>
  <c r="X20" i="31"/>
  <c r="M21" i="31"/>
  <c r="O21" i="31"/>
  <c r="Q21" i="31"/>
  <c r="S21" i="31"/>
  <c r="X21" i="31"/>
  <c r="M22" i="31"/>
  <c r="O22" i="31"/>
  <c r="Q22" i="31"/>
  <c r="S22" i="31"/>
  <c r="X22" i="31"/>
  <c r="M23" i="31"/>
  <c r="O23" i="31"/>
  <c r="Q23" i="31"/>
  <c r="S23" i="31"/>
  <c r="X23" i="31"/>
  <c r="M24" i="31"/>
  <c r="O24" i="31"/>
  <c r="Q24" i="31"/>
  <c r="S24" i="31"/>
  <c r="X24" i="31"/>
  <c r="M25" i="31"/>
  <c r="O25" i="31"/>
  <c r="Q25" i="31"/>
  <c r="S25" i="31"/>
  <c r="X25" i="31"/>
  <c r="M26" i="31"/>
  <c r="O26" i="31"/>
  <c r="Q26" i="31"/>
  <c r="S26" i="31"/>
  <c r="X26" i="31"/>
  <c r="M27" i="31"/>
  <c r="O27" i="31"/>
  <c r="Q27" i="31"/>
  <c r="S27" i="31"/>
  <c r="X27" i="31"/>
  <c r="M28" i="31"/>
  <c r="O28" i="31"/>
  <c r="Q28" i="31"/>
  <c r="S28" i="31"/>
  <c r="X28" i="31"/>
  <c r="M29" i="31"/>
  <c r="O29" i="31"/>
  <c r="Q29" i="31"/>
  <c r="S29" i="31"/>
  <c r="X29" i="31"/>
  <c r="M30" i="31"/>
  <c r="O30" i="31"/>
  <c r="Q30" i="31"/>
  <c r="S30" i="31"/>
  <c r="X30" i="31"/>
  <c r="M31" i="31"/>
  <c r="O31" i="31"/>
  <c r="Q31" i="31"/>
  <c r="S31" i="31"/>
  <c r="X31" i="31"/>
  <c r="M32" i="31"/>
  <c r="O32" i="31"/>
  <c r="Q32" i="31"/>
  <c r="S32" i="31"/>
  <c r="X32" i="31"/>
  <c r="M33" i="31"/>
  <c r="O33" i="31"/>
  <c r="Q33" i="31"/>
  <c r="S33" i="31"/>
  <c r="X33" i="31"/>
  <c r="M34" i="31"/>
  <c r="O34" i="31"/>
  <c r="Q34" i="31"/>
  <c r="S34" i="31"/>
  <c r="X34" i="31"/>
  <c r="M35" i="31"/>
  <c r="O35" i="31"/>
  <c r="Q35" i="31"/>
  <c r="S35" i="31"/>
  <c r="X35" i="31"/>
  <c r="M36" i="31"/>
  <c r="O36" i="31"/>
  <c r="Q36" i="31"/>
  <c r="S36" i="31"/>
  <c r="X36" i="31"/>
  <c r="M37" i="31"/>
  <c r="O37" i="31"/>
  <c r="Q37" i="31"/>
  <c r="S37" i="31"/>
  <c r="X37" i="31"/>
  <c r="M38" i="31"/>
  <c r="O38" i="31"/>
  <c r="Q38" i="31"/>
  <c r="S38" i="31"/>
  <c r="X38" i="31"/>
  <c r="M39" i="31"/>
  <c r="O39" i="31"/>
  <c r="Q39" i="31"/>
  <c r="S39" i="31"/>
  <c r="X39" i="31"/>
  <c r="M40" i="31"/>
  <c r="O40" i="31"/>
  <c r="Q40" i="31"/>
  <c r="S40" i="31"/>
  <c r="X40" i="31"/>
  <c r="M41" i="31"/>
  <c r="O41" i="31"/>
  <c r="Q41" i="31"/>
  <c r="S41" i="31"/>
  <c r="X41" i="31"/>
  <c r="M42" i="31"/>
  <c r="O42" i="31"/>
  <c r="Q42" i="31"/>
  <c r="S42" i="31"/>
  <c r="X42" i="31"/>
  <c r="M43" i="31"/>
  <c r="O43" i="31"/>
  <c r="Q43" i="31"/>
  <c r="S43" i="31"/>
  <c r="X43" i="31"/>
  <c r="M44" i="31"/>
  <c r="O44" i="31"/>
  <c r="Q44" i="31"/>
  <c r="S44" i="31"/>
  <c r="X44" i="31"/>
  <c r="M45" i="31"/>
  <c r="O45" i="31"/>
  <c r="Q45" i="31"/>
  <c r="S45" i="31"/>
  <c r="X45" i="31"/>
  <c r="M46" i="31"/>
  <c r="O46" i="31"/>
  <c r="Q46" i="31"/>
  <c r="S46" i="31"/>
  <c r="X46" i="31"/>
  <c r="M47" i="31"/>
  <c r="O47" i="31"/>
  <c r="Q47" i="31"/>
  <c r="S47" i="31"/>
  <c r="X47" i="31"/>
  <c r="M48" i="31"/>
  <c r="O48" i="31"/>
  <c r="Q48" i="31"/>
  <c r="S48" i="31"/>
  <c r="X48" i="31"/>
  <c r="M49" i="31"/>
  <c r="O49" i="31"/>
  <c r="Q49" i="31"/>
  <c r="S49" i="31"/>
  <c r="X49" i="31"/>
  <c r="M50" i="31"/>
  <c r="O50" i="31"/>
  <c r="Q50" i="31"/>
  <c r="S50" i="31"/>
  <c r="X50" i="31"/>
  <c r="M51" i="31"/>
  <c r="O51" i="31"/>
  <c r="Q51" i="31"/>
  <c r="S51" i="31"/>
  <c r="X51" i="31"/>
  <c r="M52" i="31"/>
  <c r="O52" i="31"/>
  <c r="Q52" i="31"/>
  <c r="S52" i="31"/>
  <c r="X52" i="31"/>
  <c r="M53" i="31"/>
  <c r="O53" i="31"/>
  <c r="Q53" i="31"/>
  <c r="S53" i="31"/>
  <c r="X53" i="31"/>
  <c r="M54" i="31"/>
  <c r="O54" i="31"/>
  <c r="Q54" i="31"/>
  <c r="S54" i="31"/>
  <c r="X54" i="31"/>
  <c r="M55" i="31"/>
  <c r="O55" i="31"/>
  <c r="Q55" i="31"/>
  <c r="S55" i="31"/>
  <c r="X55" i="31"/>
  <c r="M56" i="31"/>
  <c r="O56" i="31"/>
  <c r="Q56" i="31"/>
  <c r="S56" i="31"/>
  <c r="X56" i="31"/>
  <c r="M57" i="31"/>
  <c r="O57" i="31"/>
  <c r="Q57" i="31"/>
  <c r="S57" i="31"/>
  <c r="X57" i="31"/>
  <c r="M58" i="31"/>
  <c r="O58" i="31"/>
  <c r="Q58" i="31"/>
  <c r="S58" i="31"/>
  <c r="X58" i="31"/>
  <c r="M59" i="31"/>
  <c r="O59" i="31"/>
  <c r="Q59" i="31"/>
  <c r="S59" i="31"/>
  <c r="X59" i="31"/>
  <c r="M60" i="31"/>
  <c r="O60" i="31"/>
  <c r="Q60" i="31"/>
  <c r="S60" i="31"/>
  <c r="X60" i="31"/>
  <c r="M61" i="31"/>
  <c r="O61" i="31"/>
  <c r="Q61" i="31"/>
  <c r="S61" i="31"/>
  <c r="X61" i="31"/>
  <c r="M62" i="31"/>
  <c r="O62" i="31"/>
  <c r="Q62" i="31"/>
  <c r="S62" i="31"/>
  <c r="X62" i="31"/>
  <c r="M63" i="31"/>
  <c r="O63" i="31"/>
  <c r="Q63" i="31"/>
  <c r="S63" i="31"/>
  <c r="X63" i="31"/>
  <c r="M64" i="31"/>
  <c r="O64" i="31"/>
  <c r="Q64" i="31"/>
  <c r="S64" i="31"/>
  <c r="X64" i="31"/>
  <c r="M65" i="31"/>
  <c r="O65" i="31"/>
  <c r="Q65" i="31"/>
  <c r="S65" i="31"/>
  <c r="X65" i="31"/>
  <c r="M66" i="31"/>
  <c r="O66" i="31"/>
  <c r="Q66" i="31"/>
  <c r="S66" i="31"/>
  <c r="X66" i="31"/>
  <c r="M67" i="31"/>
  <c r="O67" i="31"/>
  <c r="Q67" i="31"/>
  <c r="S67" i="31"/>
  <c r="X67" i="31"/>
  <c r="M68" i="31"/>
  <c r="O68" i="31"/>
  <c r="Q68" i="31"/>
  <c r="S68" i="31"/>
  <c r="X68" i="31"/>
  <c r="M69" i="31"/>
  <c r="O69" i="31"/>
  <c r="Q69" i="31"/>
  <c r="S69" i="31"/>
  <c r="X69" i="31"/>
  <c r="M70" i="31"/>
  <c r="O70" i="31"/>
  <c r="Q70" i="31"/>
  <c r="S70" i="31"/>
  <c r="X70" i="31"/>
  <c r="M71" i="31"/>
  <c r="O71" i="31"/>
  <c r="Q71" i="31"/>
  <c r="S71" i="31"/>
  <c r="X71" i="31"/>
  <c r="M72" i="31"/>
  <c r="O72" i="31"/>
  <c r="Q72" i="31"/>
  <c r="S72" i="31"/>
  <c r="X72" i="31"/>
  <c r="M73" i="31"/>
  <c r="O73" i="31"/>
  <c r="Q73" i="31"/>
  <c r="S73" i="31"/>
  <c r="X73" i="31"/>
  <c r="M74" i="31"/>
  <c r="O74" i="31"/>
  <c r="Q74" i="31"/>
  <c r="S74" i="31"/>
  <c r="X74" i="31"/>
  <c r="M75" i="31"/>
  <c r="O75" i="31"/>
  <c r="Q75" i="31"/>
  <c r="S75" i="31"/>
  <c r="X75" i="31"/>
  <c r="M76" i="31"/>
  <c r="O76" i="31"/>
  <c r="Q76" i="31"/>
  <c r="S76" i="31"/>
  <c r="X76" i="31"/>
  <c r="M77" i="31"/>
  <c r="O77" i="31"/>
  <c r="Q77" i="31"/>
  <c r="S77" i="31"/>
  <c r="X77" i="31"/>
  <c r="M78" i="31"/>
  <c r="O78" i="31"/>
  <c r="Q78" i="31"/>
  <c r="S78" i="31"/>
  <c r="X78" i="31"/>
  <c r="M79" i="31"/>
  <c r="O79" i="31"/>
  <c r="Q79" i="31"/>
  <c r="S79" i="31"/>
  <c r="X79" i="31"/>
  <c r="M80" i="31"/>
  <c r="O80" i="31"/>
  <c r="Q80" i="31"/>
  <c r="S80" i="31"/>
  <c r="X80" i="31"/>
  <c r="M81" i="31"/>
  <c r="O81" i="31"/>
  <c r="Q81" i="31"/>
  <c r="S81" i="31"/>
  <c r="X81" i="31"/>
  <c r="M82" i="31"/>
  <c r="O82" i="31"/>
  <c r="Q82" i="31"/>
  <c r="S82" i="31"/>
  <c r="X82" i="31"/>
  <c r="M83" i="31"/>
  <c r="O83" i="31"/>
  <c r="Q83" i="31"/>
  <c r="S83" i="31"/>
  <c r="X83" i="31"/>
  <c r="M84" i="31"/>
  <c r="O84" i="31"/>
  <c r="Q84" i="31"/>
  <c r="S84" i="31"/>
  <c r="X84" i="31"/>
  <c r="M85" i="31"/>
  <c r="O85" i="31"/>
  <c r="Q85" i="31"/>
  <c r="S85" i="31"/>
  <c r="X85" i="31"/>
  <c r="M86" i="31"/>
  <c r="O86" i="31"/>
  <c r="Q86" i="31"/>
  <c r="S86" i="31"/>
  <c r="X86" i="31"/>
  <c r="M87" i="31"/>
  <c r="O87" i="31"/>
  <c r="Q87" i="31"/>
  <c r="S87" i="31"/>
  <c r="X87" i="31"/>
  <c r="M88" i="31"/>
  <c r="O88" i="31"/>
  <c r="Q88" i="31"/>
  <c r="S88" i="31"/>
  <c r="X88" i="31"/>
  <c r="M89" i="31"/>
  <c r="O89" i="31"/>
  <c r="Q89" i="31"/>
  <c r="S89" i="31"/>
  <c r="X89" i="31"/>
  <c r="M90" i="31"/>
  <c r="O90" i="31"/>
  <c r="Q90" i="31"/>
  <c r="S90" i="31"/>
  <c r="X90" i="31"/>
  <c r="M91" i="31"/>
  <c r="O91" i="31"/>
  <c r="Q91" i="31"/>
  <c r="S91" i="31"/>
  <c r="X91" i="31"/>
  <c r="M92" i="31"/>
  <c r="O92" i="31"/>
  <c r="Q92" i="31"/>
  <c r="S92" i="31"/>
  <c r="X92" i="31"/>
  <c r="M93" i="31"/>
  <c r="O93" i="31"/>
  <c r="Q93" i="31"/>
  <c r="S93" i="31"/>
  <c r="X93" i="31"/>
  <c r="M94" i="31"/>
  <c r="O94" i="31"/>
  <c r="Q94" i="31"/>
  <c r="S94" i="31"/>
  <c r="X94" i="31"/>
  <c r="M95" i="31"/>
  <c r="O95" i="31"/>
  <c r="Q95" i="31"/>
  <c r="S95" i="31"/>
  <c r="X95" i="31"/>
  <c r="M96" i="31"/>
  <c r="O96" i="31"/>
  <c r="Q96" i="31"/>
  <c r="S96" i="31"/>
  <c r="X96" i="31"/>
  <c r="M97" i="31"/>
  <c r="O97" i="31"/>
  <c r="Q97" i="31"/>
  <c r="S97" i="31"/>
  <c r="X97" i="31"/>
  <c r="M98" i="31"/>
  <c r="O98" i="31"/>
  <c r="Q98" i="31"/>
  <c r="S98" i="31"/>
  <c r="X98" i="31"/>
  <c r="M99" i="31"/>
  <c r="O99" i="31"/>
  <c r="Q99" i="31"/>
  <c r="S99" i="31"/>
  <c r="X99" i="31"/>
  <c r="M100" i="31"/>
  <c r="O100" i="31"/>
  <c r="Q100" i="31"/>
  <c r="S100" i="31"/>
  <c r="X100" i="31"/>
  <c r="M101" i="31"/>
  <c r="O101" i="31"/>
  <c r="Q101" i="31"/>
  <c r="S101" i="31"/>
  <c r="X101" i="31"/>
  <c r="M102" i="31"/>
  <c r="O102" i="31"/>
  <c r="Q102" i="31"/>
  <c r="S102" i="31"/>
  <c r="X102" i="31"/>
  <c r="M103" i="31"/>
  <c r="O103" i="31"/>
  <c r="Q103" i="31"/>
  <c r="S103" i="31"/>
  <c r="X103" i="31"/>
  <c r="M104" i="31"/>
  <c r="O104" i="31"/>
  <c r="Q104" i="31"/>
  <c r="S104" i="31"/>
  <c r="X104" i="31"/>
  <c r="M105" i="31"/>
  <c r="O105" i="31"/>
  <c r="Q105" i="31"/>
  <c r="S105" i="31"/>
  <c r="X105" i="31"/>
  <c r="M106" i="31"/>
  <c r="O106" i="31"/>
  <c r="Q106" i="31"/>
  <c r="S106" i="31"/>
  <c r="X106" i="31"/>
  <c r="M107" i="31"/>
  <c r="O107" i="31"/>
  <c r="Q107" i="31"/>
  <c r="S107" i="31"/>
  <c r="X107" i="31"/>
  <c r="M108" i="31"/>
  <c r="O108" i="31"/>
  <c r="Q108" i="31"/>
  <c r="S108" i="31"/>
  <c r="X108" i="31"/>
  <c r="M109" i="31"/>
  <c r="O109" i="31"/>
  <c r="Q109" i="31"/>
  <c r="S109" i="31"/>
  <c r="X109" i="31"/>
  <c r="M110" i="31"/>
  <c r="O110" i="31"/>
  <c r="Q110" i="31"/>
  <c r="S110" i="31"/>
  <c r="X110" i="31"/>
  <c r="M111" i="31"/>
  <c r="O111" i="31"/>
  <c r="Q111" i="31"/>
  <c r="S111" i="31"/>
  <c r="X111" i="31"/>
  <c r="M112" i="31"/>
  <c r="O112" i="31"/>
  <c r="Q112" i="31"/>
  <c r="S112" i="31"/>
  <c r="X112" i="31"/>
  <c r="M113" i="31"/>
  <c r="O113" i="31"/>
  <c r="Q113" i="31"/>
  <c r="S113" i="31"/>
  <c r="X113" i="31"/>
  <c r="M114" i="31"/>
  <c r="O114" i="31"/>
  <c r="Q114" i="31"/>
  <c r="S114" i="31"/>
  <c r="X114" i="31"/>
  <c r="M115" i="31"/>
  <c r="O115" i="31"/>
  <c r="Q115" i="31"/>
  <c r="S115" i="31"/>
  <c r="X115" i="31"/>
  <c r="M116" i="31"/>
  <c r="O116" i="31"/>
  <c r="Q116" i="31"/>
  <c r="S116" i="31"/>
  <c r="X116" i="31"/>
  <c r="M117" i="31"/>
  <c r="O117" i="31"/>
  <c r="Q117" i="31"/>
  <c r="S117" i="31"/>
  <c r="X117" i="31"/>
  <c r="M118" i="31"/>
  <c r="O118" i="31"/>
  <c r="Q118" i="31"/>
  <c r="S118" i="31"/>
  <c r="X118" i="31"/>
  <c r="M119" i="31"/>
  <c r="O119" i="31"/>
  <c r="Q119" i="31"/>
  <c r="S119" i="31"/>
  <c r="X119" i="31"/>
  <c r="M120" i="31"/>
  <c r="O120" i="31"/>
  <c r="Q120" i="31"/>
  <c r="S120" i="31"/>
  <c r="X120" i="31"/>
  <c r="M121" i="31"/>
  <c r="O121" i="31"/>
  <c r="Q121" i="31"/>
  <c r="S121" i="31"/>
  <c r="X121" i="31"/>
  <c r="M122" i="31"/>
  <c r="O122" i="31"/>
  <c r="Q122" i="31"/>
  <c r="S122" i="31"/>
  <c r="X122" i="31"/>
  <c r="M123" i="31"/>
  <c r="O123" i="31"/>
  <c r="Q123" i="31"/>
  <c r="S123" i="31"/>
  <c r="X123" i="31"/>
  <c r="M124" i="31"/>
  <c r="O124" i="31"/>
  <c r="Q124" i="31"/>
  <c r="S124" i="31"/>
  <c r="X124" i="31"/>
  <c r="M125" i="31"/>
  <c r="O125" i="31"/>
  <c r="Q125" i="31"/>
  <c r="S125" i="31"/>
  <c r="X125" i="31"/>
  <c r="M126" i="31"/>
  <c r="O126" i="31"/>
  <c r="Q126" i="31"/>
  <c r="S126" i="31"/>
  <c r="X126" i="31"/>
  <c r="M127" i="31"/>
  <c r="O127" i="31"/>
  <c r="Q127" i="31"/>
  <c r="S127" i="31"/>
  <c r="X127" i="31"/>
  <c r="M128" i="31"/>
  <c r="O128" i="31"/>
  <c r="Q128" i="31"/>
  <c r="S128" i="31"/>
  <c r="X128" i="31"/>
  <c r="M129" i="31"/>
  <c r="O129" i="31"/>
  <c r="Q129" i="31"/>
  <c r="S129" i="31"/>
  <c r="X129" i="31"/>
  <c r="M130" i="31"/>
  <c r="O130" i="31"/>
  <c r="Q130" i="31"/>
  <c r="S130" i="31"/>
  <c r="X130" i="31"/>
  <c r="M131" i="31"/>
  <c r="O131" i="31"/>
  <c r="Q131" i="31"/>
  <c r="S131" i="31"/>
  <c r="X131" i="31"/>
  <c r="M132" i="31"/>
  <c r="O132" i="31"/>
  <c r="Q132" i="31"/>
  <c r="S132" i="31"/>
  <c r="X132" i="31"/>
  <c r="M133" i="31"/>
  <c r="O133" i="31"/>
  <c r="Q133" i="31"/>
  <c r="S133" i="31"/>
  <c r="X133" i="31"/>
  <c r="M134" i="31"/>
  <c r="O134" i="31"/>
  <c r="Q134" i="31"/>
  <c r="S134" i="31"/>
  <c r="X134" i="31"/>
  <c r="M135" i="31"/>
  <c r="O135" i="31"/>
  <c r="Q135" i="31"/>
  <c r="S135" i="31"/>
  <c r="X135" i="31"/>
  <c r="M136" i="31"/>
  <c r="O136" i="31"/>
  <c r="Q136" i="31"/>
  <c r="S136" i="31"/>
  <c r="X136" i="31"/>
  <c r="M137" i="31"/>
  <c r="O137" i="31"/>
  <c r="Q137" i="31"/>
  <c r="S137" i="31"/>
  <c r="X137" i="31"/>
  <c r="M138" i="31"/>
  <c r="O138" i="31"/>
  <c r="Q138" i="31"/>
  <c r="S138" i="31"/>
  <c r="X138" i="31"/>
  <c r="M139" i="31"/>
  <c r="O139" i="31"/>
  <c r="Q139" i="31"/>
  <c r="S139" i="31"/>
  <c r="X139" i="31"/>
  <c r="M140" i="31"/>
  <c r="O140" i="31"/>
  <c r="Q140" i="31"/>
  <c r="S140" i="31"/>
  <c r="X140" i="31"/>
  <c r="M141" i="31"/>
  <c r="O141" i="31"/>
  <c r="Q141" i="31"/>
  <c r="S141" i="31"/>
  <c r="X141" i="31"/>
  <c r="M142" i="31"/>
  <c r="O142" i="31"/>
  <c r="Q142" i="31"/>
  <c r="S142" i="31"/>
  <c r="X142" i="31"/>
  <c r="M143" i="31"/>
  <c r="O143" i="31"/>
  <c r="Q143" i="31"/>
  <c r="S143" i="31"/>
  <c r="X143" i="31"/>
  <c r="M144" i="31"/>
  <c r="O144" i="31"/>
  <c r="Q144" i="31"/>
  <c r="S144" i="31"/>
  <c r="X144" i="31"/>
  <c r="M145" i="31"/>
  <c r="O145" i="31"/>
  <c r="Q145" i="31"/>
  <c r="S145" i="31"/>
  <c r="X145" i="31"/>
  <c r="M146" i="31"/>
  <c r="O146" i="31"/>
  <c r="Q146" i="31"/>
  <c r="S146" i="31"/>
  <c r="X146" i="31"/>
  <c r="M147" i="31"/>
  <c r="O147" i="31"/>
  <c r="Q147" i="31"/>
  <c r="S147" i="31"/>
  <c r="X147" i="31"/>
  <c r="M148" i="31"/>
  <c r="O148" i="31"/>
  <c r="Q148" i="31"/>
  <c r="S148" i="31"/>
  <c r="X148" i="31"/>
  <c r="M149" i="31"/>
  <c r="O149" i="31"/>
  <c r="Q149" i="31"/>
  <c r="S149" i="31"/>
  <c r="X149" i="31"/>
  <c r="M150" i="31"/>
  <c r="O150" i="31"/>
  <c r="Q150" i="31"/>
  <c r="S150" i="31"/>
  <c r="X150" i="31"/>
  <c r="M151" i="31"/>
  <c r="O151" i="31"/>
  <c r="Q151" i="31"/>
  <c r="S151" i="31"/>
  <c r="X151" i="31"/>
  <c r="M152" i="31"/>
  <c r="O152" i="31"/>
  <c r="Q152" i="31"/>
  <c r="S152" i="31"/>
  <c r="X152" i="31"/>
  <c r="M153" i="31"/>
  <c r="O153" i="31"/>
  <c r="Q153" i="31"/>
  <c r="S153" i="31"/>
  <c r="X153" i="31"/>
  <c r="M154" i="31"/>
  <c r="O154" i="31"/>
  <c r="Q154" i="31"/>
  <c r="S154" i="31"/>
  <c r="X154" i="31"/>
  <c r="M155" i="31"/>
  <c r="O155" i="31"/>
  <c r="Q155" i="31"/>
  <c r="S155" i="31"/>
  <c r="X155" i="31"/>
  <c r="M156" i="31"/>
  <c r="O156" i="31"/>
  <c r="Q156" i="31"/>
  <c r="S156" i="31"/>
  <c r="X156" i="31"/>
  <c r="M157" i="31"/>
  <c r="O157" i="31"/>
  <c r="Q157" i="31"/>
  <c r="S157" i="31"/>
  <c r="X157" i="31"/>
  <c r="M158" i="31"/>
  <c r="O158" i="31"/>
  <c r="Q158" i="31"/>
  <c r="S158" i="31"/>
  <c r="X158" i="31"/>
  <c r="M159" i="31"/>
  <c r="O159" i="31"/>
  <c r="Q159" i="31"/>
  <c r="S159" i="31"/>
  <c r="X159" i="31"/>
  <c r="M160" i="31"/>
  <c r="O160" i="31"/>
  <c r="Q160" i="31"/>
  <c r="S160" i="31"/>
  <c r="X160" i="31"/>
  <c r="M161" i="31"/>
  <c r="O161" i="31"/>
  <c r="Q161" i="31"/>
  <c r="S161" i="31"/>
  <c r="X161" i="31"/>
  <c r="M162" i="31"/>
  <c r="O162" i="31"/>
  <c r="Q162" i="31"/>
  <c r="S162" i="31"/>
  <c r="X162" i="31"/>
  <c r="M163" i="31"/>
  <c r="O163" i="31"/>
  <c r="Q163" i="31"/>
  <c r="S163" i="31"/>
  <c r="X163" i="31"/>
  <c r="M164" i="31"/>
  <c r="O164" i="31"/>
  <c r="Q164" i="31"/>
  <c r="S164" i="31"/>
  <c r="X164" i="31"/>
  <c r="M165" i="31"/>
  <c r="O165" i="31"/>
  <c r="Q165" i="31"/>
  <c r="S165" i="31"/>
  <c r="X165" i="31"/>
  <c r="M166" i="31"/>
  <c r="O166" i="31"/>
  <c r="Q166" i="31"/>
  <c r="S166" i="31"/>
  <c r="X166" i="31"/>
  <c r="M167" i="31"/>
  <c r="O167" i="31"/>
  <c r="Q167" i="31"/>
  <c r="S167" i="31"/>
  <c r="X167" i="31"/>
  <c r="M168" i="31"/>
  <c r="O168" i="31"/>
  <c r="Q168" i="31"/>
  <c r="S168" i="31"/>
  <c r="X168" i="31"/>
  <c r="M169" i="31"/>
  <c r="O169" i="31"/>
  <c r="Q169" i="31"/>
  <c r="S169" i="31"/>
  <c r="X169" i="31"/>
  <c r="M170" i="31"/>
  <c r="O170" i="31"/>
  <c r="Q170" i="31"/>
  <c r="S170" i="31"/>
  <c r="X170" i="31"/>
  <c r="M171" i="31"/>
  <c r="O171" i="31"/>
  <c r="Q171" i="31"/>
  <c r="S171" i="31"/>
  <c r="X171" i="31"/>
  <c r="M172" i="31"/>
  <c r="O172" i="31"/>
  <c r="Q172" i="31"/>
  <c r="S172" i="31"/>
  <c r="X172" i="31"/>
  <c r="M173" i="31"/>
  <c r="O173" i="31"/>
  <c r="Q173" i="31"/>
  <c r="S173" i="31"/>
  <c r="X173" i="31"/>
  <c r="M174" i="31"/>
  <c r="O174" i="31"/>
  <c r="Q174" i="31"/>
  <c r="S174" i="31"/>
  <c r="X174" i="31"/>
  <c r="M175" i="31"/>
  <c r="O175" i="31"/>
  <c r="Q175" i="31"/>
  <c r="S175" i="31"/>
  <c r="X175" i="31"/>
  <c r="M176" i="31"/>
  <c r="O176" i="31"/>
  <c r="Q176" i="31"/>
  <c r="S176" i="31"/>
  <c r="X176" i="31"/>
  <c r="M177" i="31"/>
  <c r="O177" i="31"/>
  <c r="Q177" i="31"/>
  <c r="S177" i="31"/>
  <c r="X177" i="31"/>
  <c r="M178" i="31"/>
  <c r="O178" i="31"/>
  <c r="Q178" i="31"/>
  <c r="S178" i="31"/>
  <c r="X178" i="31"/>
  <c r="M179" i="31"/>
  <c r="O179" i="31"/>
  <c r="Q179" i="31"/>
  <c r="S179" i="31"/>
  <c r="X179" i="31"/>
  <c r="M180" i="31"/>
  <c r="O180" i="31"/>
  <c r="Q180" i="31"/>
  <c r="S180" i="31"/>
  <c r="X180" i="31"/>
  <c r="M181" i="31"/>
  <c r="O181" i="31"/>
  <c r="Q181" i="31"/>
  <c r="S181" i="31"/>
  <c r="X181" i="31"/>
  <c r="M182" i="31"/>
  <c r="O182" i="31"/>
  <c r="Q182" i="31"/>
  <c r="S182" i="31"/>
  <c r="X182" i="31"/>
  <c r="M183" i="31"/>
  <c r="O183" i="31"/>
  <c r="Q183" i="31"/>
  <c r="S183" i="31"/>
  <c r="X183" i="31"/>
  <c r="M184" i="31"/>
  <c r="O184" i="31"/>
  <c r="Q184" i="31"/>
  <c r="S184" i="31"/>
  <c r="X184" i="31"/>
  <c r="M185" i="31"/>
  <c r="O185" i="31"/>
  <c r="Q185" i="31"/>
  <c r="S185" i="31"/>
  <c r="X185" i="31"/>
  <c r="M186" i="31"/>
  <c r="O186" i="31"/>
  <c r="Q186" i="31"/>
  <c r="S186" i="31"/>
  <c r="X186" i="31"/>
  <c r="M187" i="31"/>
  <c r="O187" i="31"/>
  <c r="Q187" i="31"/>
  <c r="S187" i="31"/>
  <c r="X187" i="31"/>
  <c r="M188" i="31"/>
  <c r="O188" i="31"/>
  <c r="Q188" i="31"/>
  <c r="S188" i="31"/>
  <c r="X188" i="31"/>
  <c r="M189" i="31"/>
  <c r="O189" i="31"/>
  <c r="Q189" i="31"/>
  <c r="S189" i="31"/>
  <c r="X189" i="31"/>
  <c r="M190" i="31"/>
  <c r="O190" i="31"/>
  <c r="Q190" i="31"/>
  <c r="S190" i="31"/>
  <c r="X190" i="31"/>
  <c r="M191" i="31"/>
  <c r="O191" i="31"/>
  <c r="Q191" i="31"/>
  <c r="S191" i="31"/>
  <c r="X191" i="31"/>
  <c r="M192" i="31"/>
  <c r="O192" i="31"/>
  <c r="Q192" i="31"/>
  <c r="S192" i="31"/>
  <c r="X192" i="31"/>
  <c r="M193" i="31"/>
  <c r="O193" i="31"/>
  <c r="Q193" i="31"/>
  <c r="S193" i="31"/>
  <c r="X193" i="31"/>
  <c r="M194" i="31"/>
  <c r="O194" i="31"/>
  <c r="Q194" i="31"/>
  <c r="S194" i="31"/>
  <c r="X194" i="31"/>
  <c r="M195" i="31"/>
  <c r="O195" i="31"/>
  <c r="Q195" i="31"/>
  <c r="S195" i="31"/>
  <c r="X195" i="31"/>
  <c r="M196" i="31"/>
  <c r="O196" i="31"/>
  <c r="Q196" i="31"/>
  <c r="S196" i="31"/>
  <c r="X196" i="31"/>
  <c r="M197" i="31"/>
  <c r="O197" i="31"/>
  <c r="Q197" i="31"/>
  <c r="S197" i="31"/>
  <c r="X197" i="31"/>
  <c r="M198" i="31"/>
  <c r="O198" i="31"/>
  <c r="Q198" i="31"/>
  <c r="S198" i="31"/>
  <c r="X198" i="31"/>
  <c r="M199" i="31"/>
  <c r="O199" i="31"/>
  <c r="Q199" i="31"/>
  <c r="S199" i="31"/>
  <c r="X199" i="31"/>
  <c r="M200" i="31"/>
  <c r="O200" i="31"/>
  <c r="Q200" i="31"/>
  <c r="S200" i="31"/>
  <c r="X200" i="31"/>
  <c r="M201" i="31"/>
  <c r="O201" i="31"/>
  <c r="Q201" i="31"/>
  <c r="S201" i="31"/>
  <c r="X201" i="31"/>
  <c r="M202" i="31"/>
  <c r="O202" i="31"/>
  <c r="Q202" i="31"/>
  <c r="S202" i="31"/>
  <c r="X202" i="31"/>
  <c r="M203" i="31"/>
  <c r="O203" i="31"/>
  <c r="Q203" i="31"/>
  <c r="S203" i="31"/>
  <c r="X203" i="31"/>
  <c r="M204" i="31"/>
  <c r="O204" i="31"/>
  <c r="Q204" i="31"/>
  <c r="S204" i="31"/>
  <c r="X204" i="31"/>
  <c r="M205" i="31"/>
  <c r="O205" i="31"/>
  <c r="Q205" i="31"/>
  <c r="S205" i="31"/>
  <c r="X205" i="31"/>
  <c r="M206" i="31"/>
  <c r="O206" i="31"/>
  <c r="Q206" i="31"/>
  <c r="S206" i="31"/>
  <c r="X206" i="31"/>
  <c r="M207" i="31"/>
  <c r="O207" i="31"/>
  <c r="Q207" i="31"/>
  <c r="S207" i="31"/>
  <c r="X207" i="31"/>
  <c r="M208" i="31"/>
  <c r="O208" i="31"/>
  <c r="Q208" i="31"/>
  <c r="S208" i="31"/>
  <c r="X208" i="31"/>
  <c r="M209" i="31"/>
  <c r="O209" i="31"/>
  <c r="Q209" i="31"/>
  <c r="S209" i="31"/>
  <c r="X209" i="31"/>
  <c r="M210" i="31"/>
  <c r="O210" i="31"/>
  <c r="Q210" i="31"/>
  <c r="S210" i="31"/>
  <c r="X210" i="31"/>
  <c r="M211" i="31"/>
  <c r="O211" i="31"/>
  <c r="Q211" i="31"/>
  <c r="S211" i="31"/>
  <c r="X211" i="31"/>
  <c r="M212" i="31"/>
  <c r="O212" i="31"/>
  <c r="Q212" i="31"/>
  <c r="S212" i="31"/>
  <c r="X212" i="31"/>
  <c r="M213" i="31"/>
  <c r="O213" i="31"/>
  <c r="Q213" i="31"/>
  <c r="S213" i="31"/>
  <c r="X213" i="31"/>
  <c r="M214" i="31"/>
  <c r="O214" i="31"/>
  <c r="Q214" i="31"/>
  <c r="S214" i="31"/>
  <c r="X214" i="31"/>
  <c r="M215" i="31"/>
  <c r="O215" i="31"/>
  <c r="Q215" i="31"/>
  <c r="S215" i="31"/>
  <c r="X215" i="31"/>
  <c r="M216" i="31"/>
  <c r="O216" i="31"/>
  <c r="Q216" i="31"/>
  <c r="S216" i="31"/>
  <c r="X216" i="31"/>
  <c r="M217" i="31"/>
  <c r="O217" i="31"/>
  <c r="Q217" i="31"/>
  <c r="S217" i="31"/>
  <c r="X217" i="31"/>
  <c r="M218" i="31"/>
  <c r="O218" i="31"/>
  <c r="Q218" i="31"/>
  <c r="S218" i="31"/>
  <c r="X218" i="31"/>
  <c r="M219" i="31"/>
  <c r="O219" i="31"/>
  <c r="Q219" i="31"/>
  <c r="S219" i="31"/>
  <c r="X219" i="31"/>
  <c r="M220" i="31"/>
  <c r="O220" i="31"/>
  <c r="Q220" i="31"/>
  <c r="S220" i="31"/>
  <c r="X220" i="31"/>
  <c r="M221" i="31"/>
  <c r="O221" i="31"/>
  <c r="Q221" i="31"/>
  <c r="S221" i="31"/>
  <c r="X221" i="31"/>
  <c r="M222" i="31"/>
  <c r="O222" i="31"/>
  <c r="Q222" i="31"/>
  <c r="S222" i="31"/>
  <c r="X222" i="31"/>
  <c r="M223" i="31"/>
  <c r="O223" i="31"/>
  <c r="Q223" i="31"/>
  <c r="S223" i="31"/>
  <c r="X223" i="31"/>
  <c r="M224" i="31"/>
  <c r="O224" i="31"/>
  <c r="Q224" i="31"/>
  <c r="S224" i="31"/>
  <c r="X224" i="31"/>
  <c r="M225" i="31"/>
  <c r="O225" i="31"/>
  <c r="Q225" i="31"/>
  <c r="S225" i="31"/>
  <c r="X225" i="31"/>
  <c r="M226" i="31"/>
  <c r="O226" i="31"/>
  <c r="Q226" i="31"/>
  <c r="S226" i="31"/>
  <c r="X226" i="31"/>
  <c r="M227" i="31"/>
  <c r="O227" i="31"/>
  <c r="Q227" i="31"/>
  <c r="S227" i="31"/>
  <c r="X227" i="31"/>
  <c r="M228" i="31"/>
  <c r="O228" i="31"/>
  <c r="Q228" i="31"/>
  <c r="S228" i="31"/>
  <c r="X228" i="31"/>
  <c r="M229" i="31"/>
  <c r="O229" i="31"/>
  <c r="Q229" i="31"/>
  <c r="S229" i="31"/>
  <c r="X229" i="31"/>
  <c r="M230" i="31"/>
  <c r="O230" i="31"/>
  <c r="Q230" i="31"/>
  <c r="S230" i="31"/>
  <c r="X230" i="31"/>
  <c r="M231" i="31"/>
  <c r="O231" i="31"/>
  <c r="Q231" i="31"/>
  <c r="S231" i="31"/>
  <c r="X231" i="31"/>
  <c r="M232" i="31"/>
  <c r="O232" i="31"/>
  <c r="Q232" i="31"/>
  <c r="S232" i="31"/>
  <c r="X232" i="31"/>
  <c r="M233" i="31"/>
  <c r="O233" i="31"/>
  <c r="Q233" i="31"/>
  <c r="S233" i="31"/>
  <c r="X233" i="31"/>
  <c r="M234" i="31"/>
  <c r="O234" i="31"/>
  <c r="Q234" i="31"/>
  <c r="S234" i="31"/>
  <c r="X234" i="31"/>
  <c r="M235" i="31"/>
  <c r="O235" i="31"/>
  <c r="Q235" i="31"/>
  <c r="S235" i="31"/>
  <c r="X235" i="31"/>
  <c r="M236" i="31"/>
  <c r="O236" i="31"/>
  <c r="Q236" i="31"/>
  <c r="S236" i="31"/>
  <c r="X236" i="31"/>
  <c r="M237" i="31"/>
  <c r="O237" i="31"/>
  <c r="Q237" i="31"/>
  <c r="S237" i="31"/>
  <c r="X237" i="31"/>
  <c r="M238" i="31"/>
  <c r="O238" i="31"/>
  <c r="Q238" i="31"/>
  <c r="S238" i="31"/>
  <c r="X238" i="31"/>
  <c r="M239" i="31"/>
  <c r="O239" i="31"/>
  <c r="Q239" i="31"/>
  <c r="S239" i="31"/>
  <c r="X239" i="31"/>
  <c r="M240" i="31"/>
  <c r="O240" i="31"/>
  <c r="Q240" i="31"/>
  <c r="S240" i="31"/>
  <c r="X240" i="31"/>
  <c r="M241" i="31"/>
  <c r="O241" i="31"/>
  <c r="Q241" i="31"/>
  <c r="S241" i="31"/>
  <c r="X241" i="31"/>
  <c r="M242" i="31"/>
  <c r="O242" i="31"/>
  <c r="Q242" i="31"/>
  <c r="S242" i="31"/>
  <c r="X242" i="31"/>
  <c r="M243" i="31"/>
  <c r="O243" i="31"/>
  <c r="Q243" i="31"/>
  <c r="S243" i="31"/>
  <c r="X243" i="31"/>
  <c r="M244" i="31"/>
  <c r="O244" i="31"/>
  <c r="Q244" i="31"/>
  <c r="S244" i="31"/>
  <c r="X244" i="31"/>
  <c r="M245" i="31"/>
  <c r="O245" i="31"/>
  <c r="Q245" i="31"/>
  <c r="S245" i="31"/>
  <c r="X245" i="31"/>
  <c r="M246" i="31"/>
  <c r="O246" i="31"/>
  <c r="Q246" i="31"/>
  <c r="S246" i="31"/>
  <c r="X246" i="31"/>
  <c r="M247" i="31"/>
  <c r="O247" i="31"/>
  <c r="Q247" i="31"/>
  <c r="S247" i="31"/>
  <c r="X247" i="31"/>
  <c r="M248" i="31"/>
  <c r="O248" i="31"/>
  <c r="Q248" i="31"/>
  <c r="S248" i="31"/>
  <c r="X248" i="31"/>
  <c r="M249" i="31"/>
  <c r="O249" i="31"/>
  <c r="Q249" i="31"/>
  <c r="S249" i="31"/>
  <c r="X249" i="31"/>
  <c r="M250" i="31"/>
  <c r="O250" i="31"/>
  <c r="Q250" i="31"/>
  <c r="S250" i="31"/>
  <c r="X250" i="31"/>
  <c r="M251" i="31"/>
  <c r="O251" i="31"/>
  <c r="Q251" i="31"/>
  <c r="S251" i="31"/>
  <c r="X251" i="31"/>
  <c r="M252" i="31"/>
  <c r="O252" i="31"/>
  <c r="Q252" i="31"/>
  <c r="S252" i="31"/>
  <c r="X252" i="31"/>
  <c r="M253" i="31"/>
  <c r="O253" i="31"/>
  <c r="Q253" i="31"/>
  <c r="S253" i="31"/>
  <c r="X253" i="31"/>
  <c r="M254" i="31"/>
  <c r="O254" i="31"/>
  <c r="Q254" i="31"/>
  <c r="S254" i="31"/>
  <c r="X254" i="31"/>
  <c r="M255" i="31"/>
  <c r="O255" i="31"/>
  <c r="Q255" i="31"/>
  <c r="S255" i="31"/>
  <c r="X255" i="31"/>
  <c r="M256" i="31"/>
  <c r="O256" i="31"/>
  <c r="Q256" i="31"/>
  <c r="S256" i="31"/>
  <c r="X256" i="31"/>
  <c r="M257" i="31"/>
  <c r="O257" i="31"/>
  <c r="Q257" i="31"/>
  <c r="S257" i="31"/>
  <c r="X257" i="31"/>
  <c r="M258" i="31"/>
  <c r="O258" i="31"/>
  <c r="Q258" i="31"/>
  <c r="S258" i="31"/>
  <c r="X258" i="31"/>
  <c r="M259" i="31"/>
  <c r="O259" i="31"/>
  <c r="Q259" i="31"/>
  <c r="S259" i="31"/>
  <c r="X259" i="31"/>
  <c r="M260" i="31"/>
  <c r="O260" i="31"/>
  <c r="Q260" i="31"/>
  <c r="S260" i="31"/>
  <c r="X260" i="31"/>
  <c r="M261" i="31"/>
  <c r="O261" i="31"/>
  <c r="Q261" i="31"/>
  <c r="S261" i="31"/>
  <c r="X261" i="31"/>
  <c r="M262" i="31"/>
  <c r="O262" i="31"/>
  <c r="Q262" i="31"/>
  <c r="S262" i="31"/>
  <c r="X262" i="31"/>
  <c r="M263" i="31"/>
  <c r="O263" i="31"/>
  <c r="Q263" i="31"/>
  <c r="S263" i="31"/>
  <c r="X263" i="31"/>
  <c r="M264" i="31"/>
  <c r="O264" i="31"/>
  <c r="Q264" i="31"/>
  <c r="S264" i="31"/>
  <c r="X264" i="31"/>
  <c r="M265" i="31"/>
  <c r="O265" i="31"/>
  <c r="Q265" i="31"/>
  <c r="S265" i="31"/>
  <c r="X265" i="31"/>
  <c r="M266" i="31"/>
  <c r="O266" i="31"/>
  <c r="Q266" i="31"/>
  <c r="S266" i="31"/>
  <c r="X266" i="31"/>
  <c r="M267" i="31"/>
  <c r="O267" i="31"/>
  <c r="Q267" i="31"/>
  <c r="S267" i="31"/>
  <c r="X267" i="31"/>
  <c r="M268" i="31"/>
  <c r="O268" i="31"/>
  <c r="Q268" i="31"/>
  <c r="S268" i="31"/>
  <c r="X268" i="31"/>
  <c r="M269" i="31"/>
  <c r="O269" i="31"/>
  <c r="Q269" i="31"/>
  <c r="S269" i="31"/>
  <c r="X269" i="31"/>
  <c r="M270" i="31"/>
  <c r="O270" i="31"/>
  <c r="Q270" i="31"/>
  <c r="S270" i="31"/>
  <c r="X270" i="31"/>
  <c r="M271" i="31"/>
  <c r="O271" i="31"/>
  <c r="Q271" i="31"/>
  <c r="S271" i="31"/>
  <c r="X271" i="31"/>
  <c r="M272" i="31"/>
  <c r="O272" i="31"/>
  <c r="Q272" i="31"/>
  <c r="S272" i="31"/>
  <c r="X272" i="31"/>
  <c r="M273" i="31"/>
  <c r="O273" i="31"/>
  <c r="Q273" i="31"/>
  <c r="S273" i="31"/>
  <c r="X273" i="31"/>
  <c r="M274" i="31"/>
  <c r="O274" i="31"/>
  <c r="Q274" i="31"/>
  <c r="S274" i="31"/>
  <c r="X274" i="31"/>
  <c r="M275" i="31"/>
  <c r="O275" i="31"/>
  <c r="Q275" i="31"/>
  <c r="S275" i="31"/>
  <c r="X275" i="31"/>
  <c r="M276" i="31"/>
  <c r="O276" i="31"/>
  <c r="Q276" i="31"/>
  <c r="S276" i="31"/>
  <c r="X276" i="31"/>
  <c r="M277" i="31"/>
  <c r="O277" i="31"/>
  <c r="Q277" i="31"/>
  <c r="S277" i="31"/>
  <c r="X277" i="31"/>
  <c r="M278" i="31"/>
  <c r="O278" i="31"/>
  <c r="Q278" i="31"/>
  <c r="S278" i="31"/>
  <c r="X278" i="31"/>
  <c r="M279" i="31"/>
  <c r="O279" i="31"/>
  <c r="Q279" i="31"/>
  <c r="S279" i="31"/>
  <c r="X279" i="31"/>
  <c r="M280" i="31"/>
  <c r="O280" i="31"/>
  <c r="Q280" i="31"/>
  <c r="S280" i="31"/>
  <c r="X280" i="31"/>
  <c r="M281" i="31"/>
  <c r="O281" i="31"/>
  <c r="Q281" i="31"/>
  <c r="S281" i="31"/>
  <c r="X281" i="31"/>
  <c r="M282" i="31"/>
  <c r="O282" i="31"/>
  <c r="Q282" i="31"/>
  <c r="S282" i="31"/>
  <c r="X282" i="31"/>
  <c r="M283" i="31"/>
  <c r="O283" i="31"/>
  <c r="Q283" i="31"/>
  <c r="S283" i="31"/>
  <c r="X283" i="31"/>
  <c r="M284" i="31"/>
  <c r="O284" i="31"/>
  <c r="Q284" i="31"/>
  <c r="S284" i="31"/>
  <c r="X284" i="31"/>
  <c r="M285" i="31"/>
  <c r="O285" i="31"/>
  <c r="Q285" i="31"/>
  <c r="S285" i="31"/>
  <c r="X285" i="31"/>
  <c r="M286" i="31"/>
  <c r="O286" i="31"/>
  <c r="Q286" i="31"/>
  <c r="S286" i="31"/>
  <c r="X286" i="31"/>
  <c r="M287" i="31"/>
  <c r="O287" i="31"/>
  <c r="Q287" i="31"/>
  <c r="S287" i="31"/>
  <c r="X287" i="31"/>
  <c r="M288" i="31"/>
  <c r="O288" i="31"/>
  <c r="Q288" i="31"/>
  <c r="S288" i="31"/>
  <c r="X288" i="31"/>
  <c r="M289" i="31"/>
  <c r="O289" i="31"/>
  <c r="Q289" i="31"/>
  <c r="S289" i="31"/>
  <c r="X289" i="31"/>
  <c r="M290" i="31"/>
  <c r="O290" i="31"/>
  <c r="Q290" i="31"/>
  <c r="S290" i="31"/>
  <c r="X290" i="31"/>
  <c r="M291" i="31"/>
  <c r="O291" i="31"/>
  <c r="Q291" i="31"/>
  <c r="S291" i="31"/>
  <c r="X291" i="31"/>
  <c r="M292" i="31"/>
  <c r="O292" i="31"/>
  <c r="Q292" i="31"/>
  <c r="S292" i="31"/>
  <c r="X292" i="31"/>
  <c r="M293" i="31"/>
  <c r="O293" i="31"/>
  <c r="Q293" i="31"/>
  <c r="S293" i="31"/>
  <c r="X293" i="31"/>
  <c r="M294" i="31"/>
  <c r="O294" i="31"/>
  <c r="Q294" i="31"/>
  <c r="S294" i="31"/>
  <c r="X294" i="31"/>
  <c r="M295" i="31"/>
  <c r="O295" i="31"/>
  <c r="Q295" i="31"/>
  <c r="S295" i="31"/>
  <c r="X295" i="31"/>
  <c r="M296" i="31"/>
  <c r="O296" i="31"/>
  <c r="Q296" i="31"/>
  <c r="S296" i="31"/>
  <c r="X296" i="31"/>
  <c r="M297" i="31"/>
  <c r="O297" i="31"/>
  <c r="Q297" i="31"/>
  <c r="S297" i="31"/>
  <c r="X297" i="31"/>
  <c r="M298" i="31"/>
  <c r="O298" i="31"/>
  <c r="Q298" i="31"/>
  <c r="S298" i="31"/>
  <c r="X298" i="31"/>
  <c r="M299" i="31"/>
  <c r="O299" i="31"/>
  <c r="Q299" i="31"/>
  <c r="S299" i="31"/>
  <c r="X299" i="31"/>
  <c r="M300" i="31"/>
  <c r="O300" i="31"/>
  <c r="Q300" i="31"/>
  <c r="S300" i="31"/>
  <c r="X300" i="31"/>
  <c r="M301" i="31"/>
  <c r="O301" i="31"/>
  <c r="Q301" i="31"/>
  <c r="S301" i="31"/>
  <c r="X301" i="31"/>
  <c r="M302" i="31"/>
  <c r="O302" i="31"/>
  <c r="Q302" i="31"/>
  <c r="S302" i="31"/>
  <c r="X302" i="31"/>
  <c r="M303" i="31"/>
  <c r="O303" i="31"/>
  <c r="Q303" i="31"/>
  <c r="S303" i="31"/>
  <c r="X303" i="31"/>
  <c r="M304" i="31"/>
  <c r="O304" i="31"/>
  <c r="Q304" i="31"/>
  <c r="S304" i="31"/>
  <c r="X304" i="31"/>
  <c r="M305" i="31"/>
  <c r="O305" i="31"/>
  <c r="Q305" i="31"/>
  <c r="S305" i="31"/>
  <c r="X305" i="31"/>
  <c r="M306" i="31"/>
  <c r="O306" i="31"/>
  <c r="Q306" i="31"/>
  <c r="S306" i="31"/>
  <c r="X306" i="31"/>
  <c r="M307" i="31"/>
  <c r="O307" i="31"/>
  <c r="Q307" i="31"/>
  <c r="S307" i="31"/>
  <c r="X307" i="31"/>
  <c r="M308" i="31"/>
  <c r="O308" i="31"/>
  <c r="Q308" i="31"/>
  <c r="S308" i="31"/>
  <c r="X308" i="31"/>
  <c r="M309" i="31"/>
  <c r="O309" i="31"/>
  <c r="Q309" i="31"/>
  <c r="S309" i="31"/>
  <c r="X309" i="31"/>
  <c r="M310" i="31"/>
  <c r="O310" i="31"/>
  <c r="Q310" i="31"/>
  <c r="S310" i="31"/>
  <c r="X310" i="31"/>
  <c r="M311" i="31"/>
  <c r="O311" i="31"/>
  <c r="Q311" i="31"/>
  <c r="S311" i="31"/>
  <c r="X311" i="31"/>
  <c r="M312" i="31"/>
  <c r="O312" i="31"/>
  <c r="Q312" i="31"/>
  <c r="S312" i="31"/>
  <c r="X312" i="31"/>
  <c r="M313" i="31"/>
  <c r="O313" i="31"/>
  <c r="Q313" i="31"/>
  <c r="S313" i="31"/>
  <c r="X313" i="31"/>
  <c r="M314" i="31"/>
  <c r="O314" i="31"/>
  <c r="Q314" i="31"/>
  <c r="S314" i="31"/>
  <c r="X314" i="31"/>
  <c r="M315" i="31"/>
  <c r="O315" i="31"/>
  <c r="Q315" i="31"/>
  <c r="S315" i="31"/>
  <c r="X315" i="31"/>
  <c r="M316" i="31"/>
  <c r="O316" i="31"/>
  <c r="Q316" i="31"/>
  <c r="S316" i="31"/>
  <c r="X316" i="31"/>
  <c r="M317" i="31"/>
  <c r="O317" i="31"/>
  <c r="Q317" i="31"/>
  <c r="S317" i="31"/>
  <c r="X317" i="31"/>
  <c r="M318" i="31"/>
  <c r="O318" i="31"/>
  <c r="Q318" i="31"/>
  <c r="S318" i="31"/>
  <c r="X318" i="31"/>
  <c r="M319" i="31"/>
  <c r="O319" i="31"/>
  <c r="Q319" i="31"/>
  <c r="S319" i="31"/>
  <c r="X319" i="31"/>
  <c r="M320" i="31"/>
  <c r="O320" i="31"/>
  <c r="Q320" i="31"/>
  <c r="S320" i="31"/>
  <c r="X320" i="31"/>
  <c r="M321" i="31"/>
  <c r="O321" i="31"/>
  <c r="Q321" i="31"/>
  <c r="S321" i="31"/>
  <c r="X321" i="31"/>
  <c r="M322" i="31"/>
  <c r="O322" i="31"/>
  <c r="Q322" i="31"/>
  <c r="S322" i="31"/>
  <c r="X322" i="31"/>
  <c r="M323" i="31"/>
  <c r="O323" i="31"/>
  <c r="Q323" i="31"/>
  <c r="S323" i="31"/>
  <c r="X323" i="31"/>
  <c r="M324" i="31"/>
  <c r="O324" i="31"/>
  <c r="Q324" i="31"/>
  <c r="S324" i="31"/>
  <c r="X324" i="31"/>
  <c r="M325" i="31"/>
  <c r="O325" i="31"/>
  <c r="Q325" i="31"/>
  <c r="S325" i="31"/>
  <c r="X325" i="31"/>
  <c r="M326" i="31"/>
  <c r="O326" i="31"/>
  <c r="Q326" i="31"/>
  <c r="S326" i="31"/>
  <c r="X326" i="31"/>
  <c r="M327" i="31"/>
  <c r="O327" i="31"/>
  <c r="Q327" i="31"/>
  <c r="S327" i="31"/>
  <c r="X327" i="31"/>
  <c r="M328" i="31"/>
  <c r="O328" i="31"/>
  <c r="Q328" i="31"/>
  <c r="S328" i="31"/>
  <c r="X328" i="31"/>
  <c r="M329" i="31"/>
  <c r="O329" i="31"/>
  <c r="Q329" i="31"/>
  <c r="S329" i="31"/>
  <c r="X329" i="31"/>
  <c r="M330" i="31"/>
  <c r="O330" i="31"/>
  <c r="Q330" i="31"/>
  <c r="S330" i="31"/>
  <c r="X330" i="31"/>
  <c r="M331" i="31"/>
  <c r="O331" i="31"/>
  <c r="Q331" i="31"/>
  <c r="S331" i="31"/>
  <c r="X331" i="31"/>
  <c r="M332" i="31"/>
  <c r="O332" i="31"/>
  <c r="Q332" i="31"/>
  <c r="S332" i="31"/>
  <c r="X332" i="31"/>
  <c r="M333" i="31"/>
  <c r="O333" i="31"/>
  <c r="Q333" i="31"/>
  <c r="S333" i="31"/>
  <c r="X333" i="31"/>
  <c r="M334" i="31"/>
  <c r="O334" i="31"/>
  <c r="Q334" i="31"/>
  <c r="S334" i="31"/>
  <c r="X334" i="31"/>
  <c r="M335" i="31"/>
  <c r="O335" i="31"/>
  <c r="Q335" i="31"/>
  <c r="S335" i="31"/>
  <c r="X335" i="31"/>
  <c r="M336" i="31"/>
  <c r="O336" i="31"/>
  <c r="Q336" i="31"/>
  <c r="S336" i="31"/>
  <c r="X336" i="31"/>
  <c r="M337" i="31"/>
  <c r="O337" i="31"/>
  <c r="Q337" i="31"/>
  <c r="S337" i="31"/>
  <c r="X337" i="31"/>
  <c r="M338" i="31"/>
  <c r="O338" i="31"/>
  <c r="Q338" i="31"/>
  <c r="S338" i="31"/>
  <c r="X338" i="31"/>
  <c r="M339" i="31"/>
  <c r="O339" i="31"/>
  <c r="Q339" i="31"/>
  <c r="S339" i="31"/>
  <c r="X339" i="31"/>
  <c r="M340" i="31"/>
  <c r="O340" i="31"/>
  <c r="Q340" i="31"/>
  <c r="S340" i="31"/>
  <c r="X340" i="31"/>
  <c r="M341" i="31"/>
  <c r="O341" i="31"/>
  <c r="Q341" i="31"/>
  <c r="S341" i="31"/>
  <c r="X341" i="31"/>
  <c r="M342" i="31"/>
  <c r="O342" i="31"/>
  <c r="Q342" i="31"/>
  <c r="S342" i="31"/>
  <c r="X342" i="31"/>
  <c r="M343" i="31"/>
  <c r="O343" i="31"/>
  <c r="Q343" i="31"/>
  <c r="S343" i="31"/>
  <c r="X343" i="31"/>
  <c r="M344" i="31"/>
  <c r="O344" i="31"/>
  <c r="Q344" i="31"/>
  <c r="S344" i="31"/>
  <c r="X344" i="31"/>
  <c r="M345" i="31"/>
  <c r="O345" i="31"/>
  <c r="Q345" i="31"/>
  <c r="S345" i="31"/>
  <c r="X345" i="31"/>
  <c r="M346" i="31"/>
  <c r="O346" i="31"/>
  <c r="Q346" i="31"/>
  <c r="S346" i="31"/>
  <c r="X346" i="31"/>
  <c r="M347" i="31"/>
  <c r="O347" i="31"/>
  <c r="Q347" i="31"/>
  <c r="S347" i="31"/>
  <c r="X347" i="31"/>
  <c r="M348" i="31"/>
  <c r="O348" i="31"/>
  <c r="Q348" i="31"/>
  <c r="S348" i="31"/>
  <c r="X348" i="31"/>
  <c r="M349" i="31"/>
  <c r="O349" i="31"/>
  <c r="Q349" i="31"/>
  <c r="S349" i="31"/>
  <c r="X349" i="31"/>
  <c r="M350" i="31"/>
  <c r="O350" i="31"/>
  <c r="Q350" i="31"/>
  <c r="S350" i="31"/>
  <c r="X350" i="31"/>
  <c r="M351" i="31"/>
  <c r="O351" i="31"/>
  <c r="Q351" i="31"/>
  <c r="S351" i="31"/>
  <c r="X351" i="31"/>
  <c r="M352" i="31"/>
  <c r="O352" i="31"/>
  <c r="Q352" i="31"/>
  <c r="S352" i="31"/>
  <c r="X352" i="31"/>
  <c r="M353" i="31"/>
  <c r="O353" i="31"/>
  <c r="Q353" i="31"/>
  <c r="S353" i="31"/>
  <c r="X353" i="31"/>
  <c r="M354" i="31"/>
  <c r="O354" i="31"/>
  <c r="Q354" i="31"/>
  <c r="S354" i="31"/>
  <c r="X354" i="31"/>
  <c r="M355" i="31"/>
  <c r="O355" i="31"/>
  <c r="Q355" i="31"/>
  <c r="S355" i="31"/>
  <c r="X355" i="31"/>
  <c r="M356" i="31"/>
  <c r="O356" i="31"/>
  <c r="Q356" i="31"/>
  <c r="S356" i="31"/>
  <c r="X356" i="31"/>
  <c r="M357" i="31"/>
  <c r="O357" i="31"/>
  <c r="Q357" i="31"/>
  <c r="S357" i="31"/>
  <c r="X357" i="31"/>
  <c r="M358" i="31"/>
  <c r="O358" i="31"/>
  <c r="Q358" i="31"/>
  <c r="S358" i="31"/>
  <c r="X358" i="31"/>
  <c r="M359" i="31"/>
  <c r="O359" i="31"/>
  <c r="Q359" i="31"/>
  <c r="S359" i="31"/>
  <c r="X359" i="31"/>
  <c r="M360" i="31"/>
  <c r="O360" i="31"/>
  <c r="Q360" i="31"/>
  <c r="S360" i="31"/>
  <c r="X360" i="31"/>
  <c r="M361" i="31"/>
  <c r="O361" i="31"/>
  <c r="Q361" i="31"/>
  <c r="S361" i="31"/>
  <c r="X361" i="31"/>
  <c r="M362" i="31"/>
  <c r="O362" i="31"/>
  <c r="Q362" i="31"/>
  <c r="S362" i="31"/>
  <c r="X362" i="31"/>
  <c r="M363" i="31"/>
  <c r="O363" i="31"/>
  <c r="Q363" i="31"/>
  <c r="S363" i="31"/>
  <c r="X363" i="31"/>
  <c r="M364" i="31"/>
  <c r="O364" i="31"/>
  <c r="Q364" i="31"/>
  <c r="S364" i="31"/>
  <c r="X364" i="31"/>
  <c r="M365" i="31"/>
  <c r="O365" i="31"/>
  <c r="Q365" i="31"/>
  <c r="S365" i="31"/>
  <c r="X365" i="31"/>
  <c r="M366" i="31"/>
  <c r="O366" i="31"/>
  <c r="Q366" i="31"/>
  <c r="S366" i="31"/>
  <c r="X366" i="31"/>
  <c r="M367" i="31"/>
  <c r="O367" i="31"/>
  <c r="Q367" i="31"/>
  <c r="S367" i="31"/>
  <c r="X367" i="31"/>
  <c r="M368" i="31"/>
  <c r="O368" i="31"/>
  <c r="Q368" i="31"/>
  <c r="S368" i="31"/>
  <c r="X368" i="31"/>
  <c r="M369" i="31"/>
  <c r="O369" i="31"/>
  <c r="Q369" i="31"/>
  <c r="S369" i="31"/>
  <c r="X369" i="31"/>
  <c r="M370" i="31"/>
  <c r="O370" i="31"/>
  <c r="Q370" i="31"/>
  <c r="S370" i="31"/>
  <c r="X370" i="31"/>
  <c r="M371" i="31"/>
  <c r="O371" i="31"/>
  <c r="Q371" i="31"/>
  <c r="S371" i="31"/>
  <c r="X371" i="31"/>
  <c r="M372" i="31"/>
  <c r="O372" i="31"/>
  <c r="Q372" i="31"/>
  <c r="S372" i="31"/>
  <c r="X372" i="31"/>
  <c r="M373" i="31"/>
  <c r="O373" i="31"/>
  <c r="Q373" i="31"/>
  <c r="S373" i="31"/>
  <c r="X373" i="31"/>
  <c r="M374" i="31"/>
  <c r="O374" i="31"/>
  <c r="Q374" i="31"/>
  <c r="S374" i="31"/>
  <c r="X374" i="31"/>
  <c r="M375" i="31"/>
  <c r="O375" i="31"/>
  <c r="Q375" i="31"/>
  <c r="S375" i="31"/>
  <c r="X375" i="31"/>
  <c r="M376" i="31"/>
  <c r="O376" i="31"/>
  <c r="Q376" i="31"/>
  <c r="S376" i="31"/>
  <c r="X376" i="31"/>
  <c r="M377" i="31"/>
  <c r="O377" i="31"/>
  <c r="Q377" i="31"/>
  <c r="S377" i="31"/>
  <c r="X377" i="31"/>
  <c r="M378" i="31"/>
  <c r="O378" i="31"/>
  <c r="Q378" i="31"/>
  <c r="S378" i="31"/>
  <c r="X378" i="31"/>
  <c r="M379" i="31"/>
  <c r="O379" i="31"/>
  <c r="Q379" i="31"/>
  <c r="S379" i="31"/>
  <c r="X379" i="31"/>
  <c r="M380" i="31"/>
  <c r="O380" i="31"/>
  <c r="Q380" i="31"/>
  <c r="S380" i="31"/>
  <c r="X380" i="31"/>
  <c r="M381" i="31"/>
  <c r="O381" i="31"/>
  <c r="Q381" i="31"/>
  <c r="S381" i="31"/>
  <c r="X381" i="31"/>
  <c r="M382" i="31"/>
  <c r="O382" i="31"/>
  <c r="Q382" i="31"/>
  <c r="S382" i="31"/>
  <c r="X382" i="31"/>
  <c r="M383" i="31"/>
  <c r="O383" i="31"/>
  <c r="Q383" i="31"/>
  <c r="S383" i="31"/>
  <c r="X383" i="31"/>
  <c r="M384" i="31"/>
  <c r="O384" i="31"/>
  <c r="Q384" i="31"/>
  <c r="S384" i="31"/>
  <c r="X384" i="31"/>
  <c r="M385" i="31"/>
  <c r="O385" i="31"/>
  <c r="Q385" i="31"/>
  <c r="S385" i="31"/>
  <c r="X385" i="31"/>
  <c r="M386" i="31"/>
  <c r="O386" i="31"/>
  <c r="Q386" i="31"/>
  <c r="S386" i="31"/>
  <c r="X386" i="31"/>
  <c r="M387" i="31"/>
  <c r="O387" i="31"/>
  <c r="Q387" i="31"/>
  <c r="S387" i="31"/>
  <c r="X387" i="31"/>
  <c r="M388" i="31"/>
  <c r="O388" i="31"/>
  <c r="Q388" i="31"/>
  <c r="S388" i="31"/>
  <c r="X388" i="31"/>
  <c r="M389" i="31"/>
  <c r="O389" i="31"/>
  <c r="Q389" i="31"/>
  <c r="S389" i="31"/>
  <c r="X389" i="31"/>
  <c r="M390" i="31"/>
  <c r="O390" i="31"/>
  <c r="Q390" i="31"/>
  <c r="S390" i="31"/>
  <c r="X390" i="31"/>
  <c r="M391" i="31"/>
  <c r="O391" i="31"/>
  <c r="Q391" i="31"/>
  <c r="S391" i="31"/>
  <c r="X391" i="31"/>
  <c r="M392" i="31"/>
  <c r="O392" i="31"/>
  <c r="Q392" i="31"/>
  <c r="S392" i="31"/>
  <c r="X392" i="31"/>
  <c r="M393" i="31"/>
  <c r="O393" i="31"/>
  <c r="Q393" i="31"/>
  <c r="S393" i="31"/>
  <c r="X393" i="31"/>
  <c r="M394" i="31"/>
  <c r="O394" i="31"/>
  <c r="Q394" i="31"/>
  <c r="S394" i="31"/>
  <c r="X394" i="31"/>
  <c r="M395" i="31"/>
  <c r="O395" i="31"/>
  <c r="Q395" i="31"/>
  <c r="S395" i="31"/>
  <c r="X395" i="31"/>
  <c r="M396" i="31"/>
  <c r="O396" i="31"/>
  <c r="Q396" i="31"/>
  <c r="S396" i="31"/>
  <c r="X396" i="31"/>
  <c r="M397" i="31"/>
  <c r="O397" i="31"/>
  <c r="Q397" i="31"/>
  <c r="S397" i="31"/>
  <c r="X397" i="31"/>
  <c r="M398" i="31"/>
  <c r="O398" i="31"/>
  <c r="Q398" i="31"/>
  <c r="S398" i="31"/>
  <c r="X398" i="31"/>
  <c r="M399" i="31"/>
  <c r="O399" i="31"/>
  <c r="Q399" i="31"/>
  <c r="S399" i="31"/>
  <c r="X399" i="31"/>
  <c r="M400" i="31"/>
  <c r="O400" i="31"/>
  <c r="Q400" i="31"/>
  <c r="S400" i="31"/>
  <c r="X400" i="31"/>
  <c r="M401" i="31"/>
  <c r="O401" i="31"/>
  <c r="Q401" i="31"/>
  <c r="S401" i="31"/>
  <c r="X401" i="31"/>
  <c r="M402" i="31"/>
  <c r="O402" i="31"/>
  <c r="Q402" i="31"/>
  <c r="S402" i="31"/>
  <c r="X402" i="31"/>
  <c r="M403" i="31"/>
  <c r="O403" i="31"/>
  <c r="Q403" i="31"/>
  <c r="S403" i="31"/>
  <c r="X403" i="31"/>
  <c r="M404" i="31"/>
  <c r="O404" i="31"/>
  <c r="Q404" i="31"/>
  <c r="S404" i="31"/>
  <c r="X404" i="31"/>
  <c r="M405" i="31"/>
  <c r="O405" i="31"/>
  <c r="Q405" i="31"/>
  <c r="S405" i="31"/>
  <c r="X405" i="31"/>
  <c r="M406" i="31"/>
  <c r="O406" i="31"/>
  <c r="Q406" i="31"/>
  <c r="S406" i="31"/>
  <c r="X406" i="31"/>
  <c r="M407" i="31"/>
  <c r="O407" i="31"/>
  <c r="Q407" i="31"/>
  <c r="S407" i="31"/>
  <c r="X407" i="31"/>
  <c r="M408" i="31"/>
  <c r="O408" i="31"/>
  <c r="Q408" i="31"/>
  <c r="S408" i="31"/>
  <c r="X408" i="31"/>
  <c r="M409" i="31"/>
  <c r="O409" i="31"/>
  <c r="Q409" i="31"/>
  <c r="S409" i="31"/>
  <c r="X409" i="31"/>
  <c r="M410" i="31"/>
  <c r="O410" i="31"/>
  <c r="Q410" i="31"/>
  <c r="S410" i="31"/>
  <c r="X410" i="31"/>
  <c r="M411" i="31"/>
  <c r="O411" i="31"/>
  <c r="Q411" i="31"/>
  <c r="S411" i="31"/>
  <c r="X411" i="31"/>
  <c r="M412" i="31"/>
  <c r="O412" i="31"/>
  <c r="Q412" i="31"/>
  <c r="S412" i="31"/>
  <c r="X412" i="31"/>
  <c r="M413" i="31"/>
  <c r="O413" i="31"/>
  <c r="Q413" i="31"/>
  <c r="S413" i="31"/>
  <c r="X413" i="31"/>
  <c r="M414" i="31"/>
  <c r="O414" i="31"/>
  <c r="Q414" i="31"/>
  <c r="S414" i="31"/>
  <c r="X414" i="31"/>
  <c r="M415" i="31"/>
  <c r="O415" i="31"/>
  <c r="Q415" i="31"/>
  <c r="S415" i="31"/>
  <c r="X415" i="31"/>
  <c r="M416" i="31"/>
  <c r="O416" i="31"/>
  <c r="Q416" i="31"/>
  <c r="S416" i="31"/>
  <c r="X416" i="31"/>
  <c r="M417" i="31"/>
  <c r="O417" i="31"/>
  <c r="Q417" i="31"/>
  <c r="S417" i="31"/>
  <c r="X417" i="31"/>
  <c r="M418" i="31"/>
  <c r="O418" i="31"/>
  <c r="Q418" i="31"/>
  <c r="S418" i="31"/>
  <c r="X418" i="31"/>
  <c r="M419" i="31"/>
  <c r="O419" i="31"/>
  <c r="Q419" i="31"/>
  <c r="S419" i="31"/>
  <c r="X419" i="31"/>
  <c r="M420" i="31"/>
  <c r="O420" i="31"/>
  <c r="Q420" i="31"/>
  <c r="S420" i="31"/>
  <c r="X420" i="31"/>
  <c r="M421" i="31"/>
  <c r="O421" i="31"/>
  <c r="Q421" i="31"/>
  <c r="S421" i="31"/>
  <c r="X421" i="31"/>
  <c r="M422" i="31"/>
  <c r="O422" i="31"/>
  <c r="Q422" i="31"/>
  <c r="S422" i="31"/>
  <c r="X422" i="31"/>
  <c r="M423" i="31"/>
  <c r="O423" i="31"/>
  <c r="Q423" i="31"/>
  <c r="S423" i="31"/>
  <c r="X423" i="31"/>
  <c r="M424" i="31"/>
  <c r="O424" i="31"/>
  <c r="Q424" i="31"/>
  <c r="S424" i="31"/>
  <c r="X424" i="31"/>
  <c r="M425" i="31"/>
  <c r="O425" i="31"/>
  <c r="Q425" i="31"/>
  <c r="S425" i="31"/>
  <c r="X425" i="31"/>
  <c r="M426" i="31"/>
  <c r="O426" i="31"/>
  <c r="Q426" i="31"/>
  <c r="S426" i="31"/>
  <c r="X426" i="31"/>
  <c r="M427" i="31"/>
  <c r="O427" i="31"/>
  <c r="Q427" i="31"/>
  <c r="S427" i="31"/>
  <c r="X427" i="31"/>
  <c r="M428" i="31"/>
  <c r="O428" i="31"/>
  <c r="Q428" i="31"/>
  <c r="S428" i="31"/>
  <c r="X428" i="31"/>
  <c r="M429" i="31"/>
  <c r="O429" i="31"/>
  <c r="Q429" i="31"/>
  <c r="S429" i="31"/>
  <c r="X429" i="31"/>
  <c r="M430" i="31"/>
  <c r="O430" i="31"/>
  <c r="Q430" i="31"/>
  <c r="S430" i="31"/>
  <c r="X430" i="31"/>
  <c r="M431" i="31"/>
  <c r="O431" i="31"/>
  <c r="Q431" i="31"/>
  <c r="S431" i="31"/>
  <c r="X431" i="31"/>
  <c r="M432" i="31"/>
  <c r="O432" i="31"/>
  <c r="Q432" i="31"/>
  <c r="S432" i="31"/>
  <c r="X432" i="31"/>
  <c r="M433" i="31"/>
  <c r="O433" i="31"/>
  <c r="Q433" i="31"/>
  <c r="S433" i="31"/>
  <c r="X433" i="31"/>
  <c r="M434" i="31"/>
  <c r="O434" i="31"/>
  <c r="Q434" i="31"/>
  <c r="S434" i="31"/>
  <c r="X434" i="31"/>
  <c r="M435" i="31"/>
  <c r="O435" i="31"/>
  <c r="Q435" i="31"/>
  <c r="S435" i="31"/>
  <c r="X435" i="31"/>
  <c r="M436" i="31"/>
  <c r="O436" i="31"/>
  <c r="Q436" i="31"/>
  <c r="S436" i="31"/>
  <c r="X436" i="31"/>
  <c r="M437" i="31"/>
  <c r="O437" i="31"/>
  <c r="Q437" i="31"/>
  <c r="S437" i="31"/>
  <c r="X437" i="31"/>
  <c r="M438" i="31"/>
  <c r="O438" i="31"/>
  <c r="Q438" i="31"/>
  <c r="S438" i="31"/>
  <c r="X438" i="31"/>
  <c r="M439" i="31"/>
  <c r="O439" i="31"/>
  <c r="Q439" i="31"/>
  <c r="S439" i="31"/>
  <c r="X439" i="31"/>
  <c r="M440" i="31"/>
  <c r="O440" i="31"/>
  <c r="Q440" i="31"/>
  <c r="S440" i="31"/>
  <c r="X440" i="31"/>
  <c r="M441" i="31"/>
  <c r="O441" i="31"/>
  <c r="Q441" i="31"/>
  <c r="S441" i="31"/>
  <c r="X441" i="31"/>
  <c r="M442" i="31"/>
  <c r="O442" i="31"/>
  <c r="Q442" i="31"/>
  <c r="S442" i="31"/>
  <c r="X442" i="31"/>
  <c r="M443" i="31"/>
  <c r="O443" i="31"/>
  <c r="Q443" i="31"/>
  <c r="S443" i="31"/>
  <c r="X443" i="31"/>
  <c r="M444" i="31"/>
  <c r="O444" i="31"/>
  <c r="Q444" i="31"/>
  <c r="S444" i="31"/>
  <c r="X444" i="31"/>
  <c r="M445" i="31"/>
  <c r="O445" i="31"/>
  <c r="Q445" i="31"/>
  <c r="S445" i="31"/>
  <c r="X445" i="31"/>
  <c r="M446" i="31"/>
  <c r="O446" i="31"/>
  <c r="Q446" i="31"/>
  <c r="S446" i="31"/>
  <c r="X446" i="31"/>
  <c r="M447" i="31"/>
  <c r="O447" i="31"/>
  <c r="Q447" i="31"/>
  <c r="S447" i="31"/>
  <c r="X447" i="31"/>
  <c r="M448" i="31"/>
  <c r="O448" i="31"/>
  <c r="Q448" i="31"/>
  <c r="S448" i="31"/>
  <c r="X448" i="31"/>
  <c r="M449" i="31"/>
  <c r="O449" i="31"/>
  <c r="Q449" i="31"/>
  <c r="S449" i="31"/>
  <c r="X449" i="31"/>
  <c r="M450" i="31"/>
  <c r="O450" i="31"/>
  <c r="Q450" i="31"/>
  <c r="S450" i="31"/>
  <c r="X450" i="31"/>
  <c r="M451" i="31"/>
  <c r="O451" i="31"/>
  <c r="Q451" i="31"/>
  <c r="S451" i="31"/>
  <c r="X451" i="31"/>
  <c r="M452" i="31"/>
  <c r="O452" i="31"/>
  <c r="Q452" i="31"/>
  <c r="S452" i="31"/>
  <c r="X452" i="31"/>
  <c r="M453" i="31"/>
  <c r="O453" i="31"/>
  <c r="Q453" i="31"/>
  <c r="S453" i="31"/>
  <c r="X453" i="31"/>
  <c r="M454" i="31"/>
  <c r="O454" i="31"/>
  <c r="Q454" i="31"/>
  <c r="S454" i="31"/>
  <c r="X454" i="31"/>
  <c r="M455" i="31"/>
  <c r="O455" i="31"/>
  <c r="Q455" i="31"/>
  <c r="S455" i="31"/>
  <c r="X455" i="31"/>
  <c r="M456" i="31"/>
  <c r="O456" i="31"/>
  <c r="Q456" i="31"/>
  <c r="S456" i="31"/>
  <c r="X456" i="31"/>
  <c r="M457" i="31"/>
  <c r="O457" i="31"/>
  <c r="Q457" i="31"/>
  <c r="S457" i="31"/>
  <c r="X457" i="31"/>
  <c r="M458" i="31"/>
  <c r="O458" i="31"/>
  <c r="Q458" i="31"/>
  <c r="S458" i="31"/>
  <c r="X458" i="31"/>
  <c r="M459" i="31"/>
  <c r="O459" i="31"/>
  <c r="Q459" i="31"/>
  <c r="S459" i="31"/>
  <c r="X459" i="31"/>
  <c r="M460" i="31"/>
  <c r="O460" i="31"/>
  <c r="Q460" i="31"/>
  <c r="S460" i="31"/>
  <c r="X460" i="31"/>
  <c r="M461" i="31"/>
  <c r="O461" i="31"/>
  <c r="Q461" i="31"/>
  <c r="S461" i="31"/>
  <c r="X461" i="31"/>
  <c r="M462" i="31"/>
  <c r="O462" i="31"/>
  <c r="Q462" i="31"/>
  <c r="S462" i="31"/>
  <c r="X462" i="31"/>
  <c r="M463" i="31"/>
  <c r="O463" i="31"/>
  <c r="Q463" i="31"/>
  <c r="S463" i="31"/>
  <c r="X463" i="31"/>
  <c r="M464" i="31"/>
  <c r="O464" i="31"/>
  <c r="Q464" i="31"/>
  <c r="S464" i="31"/>
  <c r="X464" i="31"/>
  <c r="M465" i="31"/>
  <c r="O465" i="31"/>
  <c r="Q465" i="31"/>
  <c r="S465" i="31"/>
  <c r="X465" i="31"/>
  <c r="M466" i="31"/>
  <c r="O466" i="31"/>
  <c r="Q466" i="31"/>
  <c r="S466" i="31"/>
  <c r="X466" i="31"/>
  <c r="M467" i="31"/>
  <c r="O467" i="31"/>
  <c r="Q467" i="31"/>
  <c r="S467" i="31"/>
  <c r="X467" i="31"/>
  <c r="M468" i="31"/>
  <c r="O468" i="31"/>
  <c r="Q468" i="31"/>
  <c r="S468" i="31"/>
  <c r="X468" i="31"/>
  <c r="M469" i="31"/>
  <c r="O469" i="31"/>
  <c r="Q469" i="31"/>
  <c r="S469" i="31"/>
  <c r="X469" i="31"/>
  <c r="M470" i="31"/>
  <c r="O470" i="31"/>
  <c r="Q470" i="31"/>
  <c r="S470" i="31"/>
  <c r="X470" i="31"/>
  <c r="M471" i="31"/>
  <c r="O471" i="31"/>
  <c r="Q471" i="31"/>
  <c r="S471" i="31"/>
  <c r="X471" i="31"/>
  <c r="M472" i="31"/>
  <c r="O472" i="31"/>
  <c r="Q472" i="31"/>
  <c r="S472" i="31"/>
  <c r="X472" i="31"/>
  <c r="M473" i="31"/>
  <c r="O473" i="31"/>
  <c r="Q473" i="31"/>
  <c r="S473" i="31"/>
  <c r="X473" i="31"/>
  <c r="M474" i="31"/>
  <c r="O474" i="31"/>
  <c r="Q474" i="31"/>
  <c r="S474" i="31"/>
  <c r="X474" i="31"/>
  <c r="M475" i="31"/>
  <c r="O475" i="31"/>
  <c r="Q475" i="31"/>
  <c r="S475" i="31"/>
  <c r="X475" i="31"/>
  <c r="M476" i="31"/>
  <c r="O476" i="31"/>
  <c r="Q476" i="31"/>
  <c r="S476" i="31"/>
  <c r="X476" i="31"/>
  <c r="M477" i="31"/>
  <c r="O477" i="31"/>
  <c r="Q477" i="31"/>
  <c r="S477" i="31"/>
  <c r="X477" i="31"/>
  <c r="M478" i="31"/>
  <c r="O478" i="31"/>
  <c r="Q478" i="31"/>
  <c r="S478" i="31"/>
  <c r="X478" i="31"/>
  <c r="M479" i="31"/>
  <c r="O479" i="31"/>
  <c r="Q479" i="31"/>
  <c r="S479" i="31"/>
  <c r="X479" i="31"/>
  <c r="M480" i="31"/>
  <c r="O480" i="31"/>
  <c r="Q480" i="31"/>
  <c r="S480" i="31"/>
  <c r="X480" i="31"/>
  <c r="M481" i="31"/>
  <c r="O481" i="31"/>
  <c r="Q481" i="31"/>
  <c r="S481" i="31"/>
  <c r="X481" i="31"/>
  <c r="M482" i="31"/>
  <c r="O482" i="31"/>
  <c r="Q482" i="31"/>
  <c r="S482" i="31"/>
  <c r="X482" i="31"/>
  <c r="M483" i="31"/>
  <c r="O483" i="31"/>
  <c r="Q483" i="31"/>
  <c r="S483" i="31"/>
  <c r="X483" i="31"/>
  <c r="M484" i="31"/>
  <c r="O484" i="31"/>
  <c r="Q484" i="31"/>
  <c r="S484" i="31"/>
  <c r="X484" i="31"/>
  <c r="M485" i="31"/>
  <c r="O485" i="31"/>
  <c r="Q485" i="31"/>
  <c r="S485" i="31"/>
  <c r="X485" i="31"/>
  <c r="M486" i="31"/>
  <c r="O486" i="31"/>
  <c r="Q486" i="31"/>
  <c r="S486" i="31"/>
  <c r="X486" i="31"/>
  <c r="M487" i="31"/>
  <c r="O487" i="31"/>
  <c r="Q487" i="31"/>
  <c r="S487" i="31"/>
  <c r="X487" i="31"/>
  <c r="M488" i="31"/>
  <c r="O488" i="31"/>
  <c r="Q488" i="31"/>
  <c r="S488" i="31"/>
  <c r="X488" i="31"/>
  <c r="M489" i="31"/>
  <c r="O489" i="31"/>
  <c r="Q489" i="31"/>
  <c r="S489" i="31"/>
  <c r="X489" i="31"/>
  <c r="M490" i="31"/>
  <c r="O490" i="31"/>
  <c r="Q490" i="31"/>
  <c r="S490" i="31"/>
  <c r="X490" i="31"/>
  <c r="M491" i="31"/>
  <c r="O491" i="31"/>
  <c r="Q491" i="31"/>
  <c r="S491" i="31"/>
  <c r="X491" i="31"/>
  <c r="M492" i="31"/>
  <c r="O492" i="31"/>
  <c r="Q492" i="31"/>
  <c r="S492" i="31"/>
  <c r="X492" i="31"/>
  <c r="M493" i="31"/>
  <c r="O493" i="31"/>
  <c r="Q493" i="31"/>
  <c r="S493" i="31"/>
  <c r="X493" i="31"/>
  <c r="M494" i="31"/>
  <c r="O494" i="31"/>
  <c r="Q494" i="31"/>
  <c r="S494" i="31"/>
  <c r="X494" i="31"/>
  <c r="M495" i="31"/>
  <c r="O495" i="31"/>
  <c r="Q495" i="31"/>
  <c r="S495" i="31"/>
  <c r="X495" i="31"/>
  <c r="M496" i="31"/>
  <c r="O496" i="31"/>
  <c r="Q496" i="31"/>
  <c r="S496" i="31"/>
  <c r="X496" i="31"/>
  <c r="M497" i="31"/>
  <c r="O497" i="31"/>
  <c r="Q497" i="31"/>
  <c r="S497" i="31"/>
  <c r="X497" i="31"/>
  <c r="M498" i="31"/>
  <c r="O498" i="31"/>
  <c r="Q498" i="31"/>
  <c r="S498" i="31"/>
  <c r="X498" i="31"/>
  <c r="M499" i="31"/>
  <c r="O499" i="31"/>
  <c r="Q499" i="31"/>
  <c r="S499" i="31"/>
  <c r="X499" i="31"/>
  <c r="M500" i="31"/>
  <c r="O500" i="31"/>
  <c r="Q500" i="31"/>
  <c r="S500" i="31"/>
  <c r="X500" i="31"/>
  <c r="M501" i="31"/>
  <c r="O501" i="31"/>
  <c r="Q501" i="31"/>
  <c r="S501" i="31"/>
  <c r="X501" i="31"/>
  <c r="M502" i="31"/>
  <c r="O502" i="31"/>
  <c r="Q502" i="31"/>
  <c r="S502" i="31"/>
  <c r="X502" i="31"/>
  <c r="M503" i="31"/>
  <c r="O503" i="31"/>
  <c r="Q503" i="31"/>
  <c r="S503" i="31"/>
  <c r="X503" i="31"/>
  <c r="M504" i="31"/>
  <c r="O504" i="31"/>
  <c r="Q504" i="31"/>
  <c r="S504" i="31"/>
  <c r="X504" i="31"/>
  <c r="M505" i="31"/>
  <c r="O505" i="31"/>
  <c r="Q505" i="31"/>
  <c r="S505" i="31"/>
  <c r="X505" i="31"/>
  <c r="M506" i="31"/>
  <c r="O506" i="31"/>
  <c r="Q506" i="31"/>
  <c r="S506" i="31"/>
  <c r="X506" i="31"/>
  <c r="M507" i="31"/>
  <c r="O507" i="31"/>
  <c r="Q507" i="31"/>
  <c r="S507" i="31"/>
  <c r="X507" i="31"/>
  <c r="M508" i="31"/>
  <c r="O508" i="31"/>
  <c r="Q508" i="31"/>
  <c r="S508" i="31"/>
  <c r="X508" i="31"/>
  <c r="M509" i="31"/>
  <c r="O509" i="31"/>
  <c r="Q509" i="31"/>
  <c r="S509" i="31"/>
  <c r="X509" i="31"/>
  <c r="M510" i="31"/>
  <c r="O510" i="31"/>
  <c r="Q510" i="31"/>
  <c r="S510" i="31"/>
  <c r="X510" i="31"/>
  <c r="M511" i="31"/>
  <c r="O511" i="31"/>
  <c r="Q511" i="31"/>
  <c r="S511" i="31"/>
  <c r="X511" i="31"/>
  <c r="M512" i="31"/>
  <c r="O512" i="31"/>
  <c r="Q512" i="31"/>
  <c r="S512" i="31"/>
  <c r="X512" i="31"/>
  <c r="M513" i="31"/>
  <c r="O513" i="31"/>
  <c r="Q513" i="31"/>
  <c r="S513" i="31"/>
  <c r="X513" i="31"/>
  <c r="M514" i="31"/>
  <c r="O514" i="31"/>
  <c r="Q514" i="31"/>
  <c r="S514" i="31"/>
  <c r="X514" i="31"/>
  <c r="M515" i="31"/>
  <c r="O515" i="31"/>
  <c r="Q515" i="31"/>
  <c r="S515" i="31"/>
  <c r="X515" i="31"/>
  <c r="M516" i="31"/>
  <c r="O516" i="31"/>
  <c r="Q516" i="31"/>
  <c r="S516" i="31"/>
  <c r="X516" i="31"/>
  <c r="M517" i="31"/>
  <c r="O517" i="31"/>
  <c r="Q517" i="31"/>
  <c r="S517" i="31"/>
  <c r="X517" i="31"/>
  <c r="M518" i="31"/>
  <c r="O518" i="31"/>
  <c r="Q518" i="31"/>
  <c r="S518" i="31"/>
  <c r="X518" i="31"/>
  <c r="M519" i="31"/>
  <c r="O519" i="31"/>
  <c r="Q519" i="31"/>
  <c r="S519" i="31"/>
  <c r="X519" i="31"/>
  <c r="M520" i="31"/>
  <c r="O520" i="31"/>
  <c r="Q520" i="31"/>
  <c r="S520" i="31"/>
  <c r="X520" i="31"/>
  <c r="M521" i="31"/>
  <c r="O521" i="31"/>
  <c r="Q521" i="31"/>
  <c r="S521" i="31"/>
  <c r="X521" i="31"/>
  <c r="M522" i="31"/>
  <c r="O522" i="31"/>
  <c r="Q522" i="31"/>
  <c r="S522" i="31"/>
  <c r="X522" i="31"/>
  <c r="M523" i="31"/>
  <c r="O523" i="31"/>
  <c r="Q523" i="31"/>
  <c r="S523" i="31"/>
  <c r="X523" i="31"/>
  <c r="M524" i="31"/>
  <c r="O524" i="31"/>
  <c r="Q524" i="31"/>
  <c r="S524" i="31"/>
  <c r="X524" i="31"/>
  <c r="M525" i="31"/>
  <c r="O525" i="31"/>
  <c r="Q525" i="31"/>
  <c r="S525" i="31"/>
  <c r="X525" i="31"/>
  <c r="M526" i="31"/>
  <c r="O526" i="31"/>
  <c r="Q526" i="31"/>
  <c r="S526" i="31"/>
  <c r="X526" i="31"/>
  <c r="M527" i="31"/>
  <c r="O527" i="31"/>
  <c r="Q527" i="31"/>
  <c r="S527" i="31"/>
  <c r="X527" i="31"/>
  <c r="M528" i="31"/>
  <c r="O528" i="31"/>
  <c r="Q528" i="31"/>
  <c r="S528" i="31"/>
  <c r="X528" i="31"/>
  <c r="M529" i="31"/>
  <c r="O529" i="31"/>
  <c r="Q529" i="31"/>
  <c r="S529" i="31"/>
  <c r="X529" i="31"/>
  <c r="M530" i="31"/>
  <c r="O530" i="31"/>
  <c r="Q530" i="31"/>
  <c r="S530" i="31"/>
  <c r="X530" i="31"/>
  <c r="M531" i="31"/>
  <c r="O531" i="31"/>
  <c r="Q531" i="31"/>
  <c r="S531" i="31"/>
  <c r="X531" i="31"/>
  <c r="M532" i="31"/>
  <c r="O532" i="31"/>
  <c r="Q532" i="31"/>
  <c r="S532" i="31"/>
  <c r="X532" i="31"/>
  <c r="M533" i="31"/>
  <c r="O533" i="31"/>
  <c r="Q533" i="31"/>
  <c r="S533" i="31"/>
  <c r="X533" i="31"/>
  <c r="M534" i="31"/>
  <c r="O534" i="31"/>
  <c r="Q534" i="31"/>
  <c r="S534" i="31"/>
  <c r="X534" i="31"/>
  <c r="M535" i="31"/>
  <c r="O535" i="31"/>
  <c r="Q535" i="31"/>
  <c r="S535" i="31"/>
  <c r="X535" i="31"/>
  <c r="M536" i="31"/>
  <c r="O536" i="31"/>
  <c r="Q536" i="31"/>
  <c r="S536" i="31"/>
  <c r="X536" i="31"/>
  <c r="M537" i="31"/>
  <c r="O537" i="31"/>
  <c r="Q537" i="31"/>
  <c r="S537" i="31"/>
  <c r="X537" i="31"/>
  <c r="M538" i="31"/>
  <c r="O538" i="31"/>
  <c r="Q538" i="31"/>
  <c r="S538" i="31"/>
  <c r="X538" i="31"/>
  <c r="M539" i="31"/>
  <c r="O539" i="31"/>
  <c r="Q539" i="31"/>
  <c r="S539" i="31"/>
  <c r="X539" i="31"/>
  <c r="M540" i="31"/>
  <c r="O540" i="31"/>
  <c r="Q540" i="31"/>
  <c r="S540" i="31"/>
  <c r="X540" i="31"/>
  <c r="M541" i="31"/>
  <c r="O541" i="31"/>
  <c r="Q541" i="31"/>
  <c r="S541" i="31"/>
  <c r="X541" i="31"/>
  <c r="M542" i="31"/>
  <c r="O542" i="31"/>
  <c r="Q542" i="31"/>
  <c r="S542" i="31"/>
  <c r="X542" i="31"/>
  <c r="M543" i="31"/>
  <c r="O543" i="31"/>
  <c r="Q543" i="31"/>
  <c r="S543" i="31"/>
  <c r="X543" i="31"/>
  <c r="M544" i="31"/>
  <c r="O544" i="31"/>
  <c r="Q544" i="31"/>
  <c r="S544" i="31"/>
  <c r="X544" i="31"/>
  <c r="M545" i="31"/>
  <c r="O545" i="31"/>
  <c r="Q545" i="31"/>
  <c r="S545" i="31"/>
  <c r="X545" i="31"/>
  <c r="M546" i="31"/>
  <c r="O546" i="31"/>
  <c r="Q546" i="31"/>
  <c r="S546" i="31"/>
  <c r="X546" i="31"/>
  <c r="M547" i="31"/>
  <c r="O547" i="31"/>
  <c r="Q547" i="31"/>
  <c r="S547" i="31"/>
  <c r="X547" i="31"/>
  <c r="M548" i="31"/>
  <c r="O548" i="31"/>
  <c r="Q548" i="31"/>
  <c r="S548" i="31"/>
  <c r="X548" i="31"/>
  <c r="M549" i="31"/>
  <c r="O549" i="31"/>
  <c r="Q549" i="31"/>
  <c r="S549" i="31"/>
  <c r="X549" i="31"/>
  <c r="M550" i="31"/>
  <c r="O550" i="31"/>
  <c r="Q550" i="31"/>
  <c r="S550" i="31"/>
  <c r="X550" i="31"/>
  <c r="M551" i="31"/>
  <c r="O551" i="31"/>
  <c r="Q551" i="31"/>
  <c r="S551" i="31"/>
  <c r="X551" i="31"/>
  <c r="M552" i="31"/>
  <c r="O552" i="31"/>
  <c r="Q552" i="31"/>
  <c r="S552" i="31"/>
  <c r="X552" i="31"/>
  <c r="M553" i="31"/>
  <c r="O553" i="31"/>
  <c r="Q553" i="31"/>
  <c r="S553" i="31"/>
  <c r="X553" i="31"/>
  <c r="M554" i="31"/>
  <c r="O554" i="31"/>
  <c r="Q554" i="31"/>
  <c r="S554" i="31"/>
  <c r="X554" i="31"/>
  <c r="M555" i="31"/>
  <c r="O555" i="31"/>
  <c r="Q555" i="31"/>
  <c r="S555" i="31"/>
  <c r="X555" i="31"/>
  <c r="M556" i="31"/>
  <c r="O556" i="31"/>
  <c r="Q556" i="31"/>
  <c r="S556" i="31"/>
  <c r="X556" i="31"/>
  <c r="M557" i="31"/>
  <c r="O557" i="31"/>
  <c r="Q557" i="31"/>
  <c r="S557" i="31"/>
  <c r="X557" i="31"/>
  <c r="M558" i="31"/>
  <c r="O558" i="31"/>
  <c r="Q558" i="31"/>
  <c r="S558" i="31"/>
  <c r="X558" i="31"/>
  <c r="M559" i="31"/>
  <c r="O559" i="31"/>
  <c r="Q559" i="31"/>
  <c r="S559" i="31"/>
  <c r="X559" i="31"/>
  <c r="M560" i="31"/>
  <c r="O560" i="31"/>
  <c r="Q560" i="31"/>
  <c r="S560" i="31"/>
  <c r="X560" i="31"/>
  <c r="M561" i="31"/>
  <c r="O561" i="31"/>
  <c r="Q561" i="31"/>
  <c r="S561" i="31"/>
  <c r="X561" i="31"/>
  <c r="M562" i="31"/>
  <c r="O562" i="31"/>
  <c r="Q562" i="31"/>
  <c r="S562" i="31"/>
  <c r="X562" i="31"/>
  <c r="M563" i="31"/>
  <c r="O563" i="31"/>
  <c r="Q563" i="31"/>
  <c r="S563" i="31"/>
  <c r="X563" i="31"/>
  <c r="M564" i="31"/>
  <c r="O564" i="31"/>
  <c r="Q564" i="31"/>
  <c r="S564" i="31"/>
  <c r="X564" i="31"/>
  <c r="M565" i="31"/>
  <c r="O565" i="31"/>
  <c r="Q565" i="31"/>
  <c r="S565" i="31"/>
  <c r="X565" i="31"/>
  <c r="M566" i="31"/>
  <c r="O566" i="31"/>
  <c r="Q566" i="31"/>
  <c r="S566" i="31"/>
  <c r="X566" i="31"/>
  <c r="M567" i="31"/>
  <c r="O567" i="31"/>
  <c r="Q567" i="31"/>
  <c r="S567" i="31"/>
  <c r="X567" i="31"/>
  <c r="M568" i="31"/>
  <c r="O568" i="31"/>
  <c r="Q568" i="31"/>
  <c r="S568" i="31"/>
  <c r="X568" i="31"/>
  <c r="M569" i="31"/>
  <c r="O569" i="31"/>
  <c r="Q569" i="31"/>
  <c r="S569" i="31"/>
  <c r="X569" i="31"/>
  <c r="M570" i="31"/>
  <c r="O570" i="31"/>
  <c r="Q570" i="31"/>
  <c r="S570" i="31"/>
  <c r="X570" i="31"/>
  <c r="M571" i="31"/>
  <c r="O571" i="31"/>
  <c r="Q571" i="31"/>
  <c r="S571" i="31"/>
  <c r="X571" i="31"/>
  <c r="M572" i="31"/>
  <c r="O572" i="31"/>
  <c r="Q572" i="31"/>
  <c r="S572" i="31"/>
  <c r="X572" i="31"/>
  <c r="M573" i="31"/>
  <c r="O573" i="31"/>
  <c r="Q573" i="31"/>
  <c r="S573" i="31"/>
  <c r="X573" i="31"/>
  <c r="M574" i="31"/>
  <c r="O574" i="31"/>
  <c r="Q574" i="31"/>
  <c r="S574" i="31"/>
  <c r="X574" i="31"/>
  <c r="M575" i="31"/>
  <c r="O575" i="31"/>
  <c r="Q575" i="31"/>
  <c r="S575" i="31"/>
  <c r="X575" i="31"/>
  <c r="M576" i="31"/>
  <c r="O576" i="31"/>
  <c r="Q576" i="31"/>
  <c r="S576" i="31"/>
  <c r="X576" i="31"/>
  <c r="M577" i="31"/>
  <c r="O577" i="31"/>
  <c r="Q577" i="31"/>
  <c r="S577" i="31"/>
  <c r="X577" i="31"/>
  <c r="M578" i="31"/>
  <c r="O578" i="31"/>
  <c r="Q578" i="31"/>
  <c r="S578" i="31"/>
  <c r="X578" i="31"/>
  <c r="M579" i="31"/>
  <c r="O579" i="31"/>
  <c r="Q579" i="31"/>
  <c r="S579" i="31"/>
  <c r="X579" i="31"/>
  <c r="M580" i="31"/>
  <c r="O580" i="31"/>
  <c r="Q580" i="31"/>
  <c r="S580" i="31"/>
  <c r="X580" i="31"/>
  <c r="M581" i="31"/>
  <c r="O581" i="31"/>
  <c r="Q581" i="31"/>
  <c r="S581" i="31"/>
  <c r="X581" i="31"/>
  <c r="M582" i="31"/>
  <c r="O582" i="31"/>
  <c r="Q582" i="31"/>
  <c r="S582" i="31"/>
  <c r="X582" i="31"/>
  <c r="M583" i="31"/>
  <c r="O583" i="31"/>
  <c r="Q583" i="31"/>
  <c r="S583" i="31"/>
  <c r="X583" i="31"/>
  <c r="M584" i="31"/>
  <c r="O584" i="31"/>
  <c r="Q584" i="31"/>
  <c r="S584" i="31"/>
  <c r="X584" i="31"/>
  <c r="M585" i="31"/>
  <c r="O585" i="31"/>
  <c r="Q585" i="31"/>
  <c r="S585" i="31"/>
  <c r="X585" i="31"/>
  <c r="M586" i="31"/>
  <c r="O586" i="31"/>
  <c r="Q586" i="31"/>
  <c r="S586" i="31"/>
  <c r="X586" i="31"/>
  <c r="M587" i="31"/>
  <c r="O587" i="31"/>
  <c r="Q587" i="31"/>
  <c r="S587" i="31"/>
  <c r="X587" i="31"/>
  <c r="M588" i="31"/>
  <c r="O588" i="31"/>
  <c r="Q588" i="31"/>
  <c r="S588" i="31"/>
  <c r="X588" i="31"/>
  <c r="M589" i="31"/>
  <c r="O589" i="31"/>
  <c r="Q589" i="31"/>
  <c r="S589" i="31"/>
  <c r="X589" i="31"/>
  <c r="M590" i="31"/>
  <c r="O590" i="31"/>
  <c r="Q590" i="31"/>
  <c r="S590" i="31"/>
  <c r="X590" i="31"/>
  <c r="M591" i="31"/>
  <c r="O591" i="31"/>
  <c r="Q591" i="31"/>
  <c r="S591" i="31"/>
  <c r="X591" i="31"/>
  <c r="M592" i="31"/>
  <c r="O592" i="31"/>
  <c r="Q592" i="31"/>
  <c r="S592" i="31"/>
  <c r="X592" i="31"/>
  <c r="M593" i="31"/>
  <c r="O593" i="31"/>
  <c r="Q593" i="31"/>
  <c r="S593" i="31"/>
  <c r="X593" i="31"/>
  <c r="M594" i="31"/>
  <c r="O594" i="31"/>
  <c r="Q594" i="31"/>
  <c r="S594" i="31"/>
  <c r="X594" i="31"/>
  <c r="M595" i="31"/>
  <c r="O595" i="31"/>
  <c r="Q595" i="31"/>
  <c r="S595" i="31"/>
  <c r="X595" i="31"/>
  <c r="M596" i="31"/>
  <c r="O596" i="31"/>
  <c r="Q596" i="31"/>
  <c r="S596" i="31"/>
  <c r="X596" i="31"/>
  <c r="M597" i="31"/>
  <c r="O597" i="31"/>
  <c r="Q597" i="31"/>
  <c r="S597" i="31"/>
  <c r="X597" i="31"/>
  <c r="M598" i="31"/>
  <c r="O598" i="31"/>
  <c r="Q598" i="31"/>
  <c r="S598" i="31"/>
  <c r="X598" i="31"/>
  <c r="M599" i="31"/>
  <c r="O599" i="31"/>
  <c r="Q599" i="31"/>
  <c r="S599" i="31"/>
  <c r="X599" i="31"/>
  <c r="M600" i="31"/>
  <c r="O600" i="31"/>
  <c r="Q600" i="31"/>
  <c r="S600" i="31"/>
  <c r="X600" i="31"/>
  <c r="M601" i="31"/>
  <c r="O601" i="31"/>
  <c r="Q601" i="31"/>
  <c r="S601" i="31"/>
  <c r="X601" i="31"/>
  <c r="M602" i="31"/>
  <c r="O602" i="31"/>
  <c r="Q602" i="31"/>
  <c r="S602" i="31"/>
  <c r="X602" i="31"/>
  <c r="M603" i="31"/>
  <c r="O603" i="31"/>
  <c r="Q603" i="31"/>
  <c r="S603" i="31"/>
  <c r="X603" i="31"/>
  <c r="M604" i="31"/>
  <c r="O604" i="31"/>
  <c r="Q604" i="31"/>
  <c r="S604" i="31"/>
  <c r="X604" i="31"/>
  <c r="M605" i="31"/>
  <c r="O605" i="31"/>
  <c r="Q605" i="31"/>
  <c r="S605" i="31"/>
  <c r="X605" i="31"/>
  <c r="M606" i="31"/>
  <c r="O606" i="31"/>
  <c r="Q606" i="31"/>
  <c r="S606" i="31"/>
  <c r="X606" i="31"/>
  <c r="M607" i="31"/>
  <c r="O607" i="31"/>
  <c r="Q607" i="31"/>
  <c r="S607" i="31"/>
  <c r="X607" i="31"/>
  <c r="M608" i="31"/>
  <c r="O608" i="31"/>
  <c r="Q608" i="31"/>
  <c r="S608" i="31"/>
  <c r="X608" i="31"/>
  <c r="M609" i="31"/>
  <c r="O609" i="31"/>
  <c r="Q609" i="31"/>
  <c r="S609" i="31"/>
  <c r="X609" i="31"/>
  <c r="M610" i="31"/>
  <c r="O610" i="31"/>
  <c r="Q610" i="31"/>
  <c r="S610" i="31"/>
  <c r="X610" i="31"/>
  <c r="M611" i="31"/>
  <c r="O611" i="31"/>
  <c r="Q611" i="31"/>
  <c r="S611" i="31"/>
  <c r="X611" i="31"/>
  <c r="M612" i="31"/>
  <c r="O612" i="31"/>
  <c r="Q612" i="31"/>
  <c r="S612" i="31"/>
  <c r="X612" i="31"/>
  <c r="M613" i="31"/>
  <c r="O613" i="31"/>
  <c r="Q613" i="31"/>
  <c r="S613" i="31"/>
  <c r="X613" i="31"/>
  <c r="M614" i="31"/>
  <c r="O614" i="31"/>
  <c r="Q614" i="31"/>
  <c r="S614" i="31"/>
  <c r="X614" i="31"/>
  <c r="M615" i="31"/>
  <c r="O615" i="31"/>
  <c r="Q615" i="31"/>
  <c r="S615" i="31"/>
  <c r="X615" i="31"/>
  <c r="M616" i="31"/>
  <c r="O616" i="31"/>
  <c r="Q616" i="31"/>
  <c r="S616" i="31"/>
  <c r="X616" i="31"/>
  <c r="M617" i="31"/>
  <c r="O617" i="31"/>
  <c r="Q617" i="31"/>
  <c r="S617" i="31"/>
  <c r="X617" i="31"/>
  <c r="M618" i="31"/>
  <c r="O618" i="31"/>
  <c r="Q618" i="31"/>
  <c r="S618" i="31"/>
  <c r="X618" i="31"/>
  <c r="M619" i="31"/>
  <c r="O619" i="31"/>
  <c r="Q619" i="31"/>
  <c r="S619" i="31"/>
  <c r="X619" i="31"/>
  <c r="M620" i="31"/>
  <c r="O620" i="31"/>
  <c r="Q620" i="31"/>
  <c r="S620" i="31"/>
  <c r="X620" i="31"/>
  <c r="M621" i="31"/>
  <c r="O621" i="31"/>
  <c r="Q621" i="31"/>
  <c r="S621" i="31"/>
  <c r="X621" i="31"/>
  <c r="M622" i="31"/>
  <c r="O622" i="31"/>
  <c r="Q622" i="31"/>
  <c r="S622" i="31"/>
  <c r="X622" i="31"/>
  <c r="M623" i="31"/>
  <c r="O623" i="31"/>
  <c r="Q623" i="31"/>
  <c r="S623" i="31"/>
  <c r="X623" i="31"/>
  <c r="M624" i="31"/>
  <c r="O624" i="31"/>
  <c r="Q624" i="31"/>
  <c r="S624" i="31"/>
  <c r="X624" i="31"/>
  <c r="M625" i="31"/>
  <c r="O625" i="31"/>
  <c r="Q625" i="31"/>
  <c r="S625" i="31"/>
  <c r="X625" i="31"/>
  <c r="M626" i="31"/>
  <c r="O626" i="31"/>
  <c r="Q626" i="31"/>
  <c r="S626" i="31"/>
  <c r="X626" i="31"/>
  <c r="M627" i="31"/>
  <c r="O627" i="31"/>
  <c r="Q627" i="31"/>
  <c r="S627" i="31"/>
  <c r="X627" i="31"/>
  <c r="M628" i="31"/>
  <c r="O628" i="31"/>
  <c r="Q628" i="31"/>
  <c r="S628" i="31"/>
  <c r="X628" i="31"/>
  <c r="M629" i="31"/>
  <c r="O629" i="31"/>
  <c r="Q629" i="31"/>
  <c r="S629" i="31"/>
  <c r="X629" i="31"/>
  <c r="M630" i="31"/>
  <c r="O630" i="31"/>
  <c r="Q630" i="31"/>
  <c r="S630" i="31"/>
  <c r="X630" i="31"/>
  <c r="M631" i="31"/>
  <c r="O631" i="31"/>
  <c r="Q631" i="31"/>
  <c r="S631" i="31"/>
  <c r="X631" i="31"/>
  <c r="M632" i="31"/>
  <c r="O632" i="31"/>
  <c r="Q632" i="31"/>
  <c r="S632" i="31"/>
  <c r="X632" i="31"/>
  <c r="M633" i="31"/>
  <c r="O633" i="31"/>
  <c r="Q633" i="31"/>
  <c r="S633" i="31"/>
  <c r="X633" i="31"/>
  <c r="M634" i="31"/>
  <c r="O634" i="31"/>
  <c r="Q634" i="31"/>
  <c r="S634" i="31"/>
  <c r="X634" i="31"/>
  <c r="M635" i="31"/>
  <c r="O635" i="31"/>
  <c r="Q635" i="31"/>
  <c r="S635" i="31"/>
  <c r="X635" i="31"/>
  <c r="M636" i="31"/>
  <c r="O636" i="31"/>
  <c r="Q636" i="31"/>
  <c r="S636" i="31"/>
  <c r="X636" i="31"/>
  <c r="M637" i="31"/>
  <c r="O637" i="31"/>
  <c r="Q637" i="31"/>
  <c r="S637" i="31"/>
  <c r="X637" i="31"/>
  <c r="M638" i="31"/>
  <c r="O638" i="31"/>
  <c r="Q638" i="31"/>
  <c r="S638" i="31"/>
  <c r="X638" i="31"/>
  <c r="M639" i="31"/>
  <c r="O639" i="31"/>
  <c r="Q639" i="31"/>
  <c r="S639" i="31"/>
  <c r="X639" i="31"/>
  <c r="M640" i="31"/>
  <c r="O640" i="31"/>
  <c r="Q640" i="31"/>
  <c r="S640" i="31"/>
  <c r="X640" i="31"/>
  <c r="M641" i="31"/>
  <c r="O641" i="31"/>
  <c r="Q641" i="31"/>
  <c r="S641" i="31"/>
  <c r="X641" i="31"/>
  <c r="M642" i="31"/>
  <c r="O642" i="31"/>
  <c r="Q642" i="31"/>
  <c r="S642" i="31"/>
  <c r="X642" i="31"/>
  <c r="M643" i="31"/>
  <c r="O643" i="31"/>
  <c r="Q643" i="31"/>
  <c r="S643" i="31"/>
  <c r="X643" i="31"/>
  <c r="M644" i="31"/>
  <c r="O644" i="31"/>
  <c r="Q644" i="31"/>
  <c r="S644" i="31"/>
  <c r="X644" i="31"/>
  <c r="M645" i="31"/>
  <c r="O645" i="31"/>
  <c r="Q645" i="31"/>
  <c r="S645" i="31"/>
  <c r="X645" i="31"/>
  <c r="M646" i="31"/>
  <c r="O646" i="31"/>
  <c r="Q646" i="31"/>
  <c r="S646" i="31"/>
  <c r="X646" i="31"/>
  <c r="M647" i="31"/>
  <c r="O647" i="31"/>
  <c r="Q647" i="31"/>
  <c r="S647" i="31"/>
  <c r="X647" i="31"/>
  <c r="M648" i="31"/>
  <c r="O648" i="31"/>
  <c r="Q648" i="31"/>
  <c r="S648" i="31"/>
  <c r="X648" i="31"/>
  <c r="M649" i="31"/>
  <c r="O649" i="31"/>
  <c r="Q649" i="31"/>
  <c r="S649" i="31"/>
  <c r="X649" i="31"/>
  <c r="M650" i="31"/>
  <c r="O650" i="31"/>
  <c r="Q650" i="31"/>
  <c r="S650" i="31"/>
  <c r="X650" i="31"/>
  <c r="M651" i="31"/>
  <c r="O651" i="31"/>
  <c r="Q651" i="31"/>
  <c r="S651" i="31"/>
  <c r="X651" i="31"/>
  <c r="M652" i="31"/>
  <c r="O652" i="31"/>
  <c r="Q652" i="31"/>
  <c r="S652" i="31"/>
  <c r="X652" i="31"/>
  <c r="M653" i="31"/>
  <c r="O653" i="31"/>
  <c r="Q653" i="31"/>
  <c r="S653" i="31"/>
  <c r="X653" i="31"/>
  <c r="M654" i="31"/>
  <c r="O654" i="31"/>
  <c r="Q654" i="31"/>
  <c r="S654" i="31"/>
  <c r="X654" i="31"/>
  <c r="M655" i="31"/>
  <c r="O655" i="31"/>
  <c r="Q655" i="31"/>
  <c r="S655" i="31"/>
  <c r="X655" i="31"/>
  <c r="M656" i="31"/>
  <c r="O656" i="31"/>
  <c r="Q656" i="31"/>
  <c r="S656" i="31"/>
  <c r="X656" i="31"/>
  <c r="M657" i="31"/>
  <c r="O657" i="31"/>
  <c r="Q657" i="31"/>
  <c r="S657" i="31"/>
  <c r="X657" i="31"/>
  <c r="M658" i="31"/>
  <c r="O658" i="31"/>
  <c r="Q658" i="31"/>
  <c r="S658" i="31"/>
  <c r="X658" i="31"/>
  <c r="M659" i="31"/>
  <c r="O659" i="31"/>
  <c r="Q659" i="31"/>
  <c r="S659" i="31"/>
  <c r="X659" i="31"/>
  <c r="M660" i="31"/>
  <c r="O660" i="31"/>
  <c r="Q660" i="31"/>
  <c r="S660" i="31"/>
  <c r="X660" i="31"/>
  <c r="M661" i="31"/>
  <c r="O661" i="31"/>
  <c r="Q661" i="31"/>
  <c r="S661" i="31"/>
  <c r="X661" i="31"/>
  <c r="M662" i="31"/>
  <c r="O662" i="31"/>
  <c r="Q662" i="31"/>
  <c r="S662" i="31"/>
  <c r="X662" i="31"/>
  <c r="M663" i="31"/>
  <c r="O663" i="31"/>
  <c r="Q663" i="31"/>
  <c r="S663" i="31"/>
  <c r="X663" i="31"/>
  <c r="M664" i="31"/>
  <c r="O664" i="31"/>
  <c r="Q664" i="31"/>
  <c r="S664" i="31"/>
  <c r="X664" i="31"/>
  <c r="M665" i="31"/>
  <c r="O665" i="31"/>
  <c r="Q665" i="31"/>
  <c r="S665" i="31"/>
  <c r="X665" i="31"/>
  <c r="M666" i="31"/>
  <c r="O666" i="31"/>
  <c r="Q666" i="31"/>
  <c r="S666" i="31"/>
  <c r="X666" i="31"/>
  <c r="M667" i="31"/>
  <c r="O667" i="31"/>
  <c r="Q667" i="31"/>
  <c r="S667" i="31"/>
  <c r="X667" i="31"/>
  <c r="M668" i="31"/>
  <c r="O668" i="31"/>
  <c r="Q668" i="31"/>
  <c r="S668" i="31"/>
  <c r="X668" i="31"/>
  <c r="M669" i="31"/>
  <c r="O669" i="31"/>
  <c r="Q669" i="31"/>
  <c r="S669" i="31"/>
  <c r="X669" i="31"/>
  <c r="M670" i="31"/>
  <c r="O670" i="31"/>
  <c r="Q670" i="31"/>
  <c r="S670" i="31"/>
  <c r="X670" i="31"/>
  <c r="M671" i="31"/>
  <c r="O671" i="31"/>
  <c r="Q671" i="31"/>
  <c r="S671" i="31"/>
  <c r="X671" i="31"/>
  <c r="M672" i="31"/>
  <c r="O672" i="31"/>
  <c r="Q672" i="31"/>
  <c r="S672" i="31"/>
  <c r="X672" i="31"/>
  <c r="M673" i="31"/>
  <c r="O673" i="31"/>
  <c r="Q673" i="31"/>
  <c r="S673" i="31"/>
  <c r="X673" i="31"/>
  <c r="M674" i="31"/>
  <c r="O674" i="31"/>
  <c r="Q674" i="31"/>
  <c r="S674" i="31"/>
  <c r="X674" i="31"/>
  <c r="M675" i="31"/>
  <c r="O675" i="31"/>
  <c r="Q675" i="31"/>
  <c r="S675" i="31"/>
  <c r="X675" i="31"/>
  <c r="M676" i="31"/>
  <c r="O676" i="31"/>
  <c r="Q676" i="31"/>
  <c r="S676" i="31"/>
  <c r="X676" i="31"/>
  <c r="M677" i="31"/>
  <c r="O677" i="31"/>
  <c r="Q677" i="31"/>
  <c r="S677" i="31"/>
  <c r="X677" i="31"/>
  <c r="M678" i="31"/>
  <c r="O678" i="31"/>
  <c r="Q678" i="31"/>
  <c r="S678" i="31"/>
  <c r="X678" i="31"/>
  <c r="M679" i="31"/>
  <c r="O679" i="31"/>
  <c r="Q679" i="31"/>
  <c r="S679" i="31"/>
  <c r="X679" i="31"/>
  <c r="M680" i="31"/>
  <c r="O680" i="31"/>
  <c r="Q680" i="31"/>
  <c r="S680" i="31"/>
  <c r="X680" i="31"/>
  <c r="M681" i="31"/>
  <c r="O681" i="31"/>
  <c r="Q681" i="31"/>
  <c r="S681" i="31"/>
  <c r="X681" i="31"/>
  <c r="M682" i="31"/>
  <c r="O682" i="31"/>
  <c r="Q682" i="31"/>
  <c r="S682" i="31"/>
  <c r="X682" i="31"/>
  <c r="M683" i="31"/>
  <c r="O683" i="31"/>
  <c r="Q683" i="31"/>
  <c r="S683" i="31"/>
  <c r="X683" i="31"/>
  <c r="M684" i="31"/>
  <c r="O684" i="31"/>
  <c r="Q684" i="31"/>
  <c r="S684" i="31"/>
  <c r="X684" i="31"/>
  <c r="M685" i="31"/>
  <c r="O685" i="31"/>
  <c r="Q685" i="31"/>
  <c r="S685" i="31"/>
  <c r="X685" i="31"/>
  <c r="M686" i="31"/>
  <c r="O686" i="31"/>
  <c r="Q686" i="31"/>
  <c r="S686" i="31"/>
  <c r="X686" i="31"/>
  <c r="M687" i="31"/>
  <c r="O687" i="31"/>
  <c r="Q687" i="31"/>
  <c r="S687" i="31"/>
  <c r="X687" i="31"/>
  <c r="M688" i="31"/>
  <c r="O688" i="31"/>
  <c r="Q688" i="31"/>
  <c r="S688" i="31"/>
  <c r="X688" i="31"/>
  <c r="M689" i="31"/>
  <c r="O689" i="31"/>
  <c r="Q689" i="31"/>
  <c r="S689" i="31"/>
  <c r="X689" i="31"/>
  <c r="M690" i="31"/>
  <c r="O690" i="31"/>
  <c r="Q690" i="31"/>
  <c r="S690" i="31"/>
  <c r="X690" i="31"/>
  <c r="M691" i="31"/>
  <c r="O691" i="31"/>
  <c r="Q691" i="31"/>
  <c r="S691" i="31"/>
  <c r="X691" i="31"/>
  <c r="M692" i="31"/>
  <c r="O692" i="31"/>
  <c r="Q692" i="31"/>
  <c r="S692" i="31"/>
  <c r="X692" i="31"/>
  <c r="M693" i="31"/>
  <c r="O693" i="31"/>
  <c r="Q693" i="31"/>
  <c r="S693" i="31"/>
  <c r="X693" i="31"/>
  <c r="M694" i="31"/>
  <c r="O694" i="31"/>
  <c r="Q694" i="31"/>
  <c r="S694" i="31"/>
  <c r="X694" i="31"/>
  <c r="M695" i="31"/>
  <c r="O695" i="31"/>
  <c r="Q695" i="31"/>
  <c r="S695" i="31"/>
  <c r="X695" i="31"/>
  <c r="M696" i="31"/>
  <c r="O696" i="31"/>
  <c r="Q696" i="31"/>
  <c r="S696" i="31"/>
  <c r="X696" i="31"/>
  <c r="M697" i="31"/>
  <c r="O697" i="31"/>
  <c r="Q697" i="31"/>
  <c r="S697" i="31"/>
  <c r="X697" i="31"/>
  <c r="M698" i="31"/>
  <c r="O698" i="31"/>
  <c r="Q698" i="31"/>
  <c r="S698" i="31"/>
  <c r="X698" i="31"/>
  <c r="M699" i="31"/>
  <c r="O699" i="31"/>
  <c r="Q699" i="31"/>
  <c r="S699" i="31"/>
  <c r="X699" i="31"/>
  <c r="M700" i="31"/>
  <c r="O700" i="31"/>
  <c r="Q700" i="31"/>
  <c r="S700" i="31"/>
  <c r="X700" i="31"/>
  <c r="M701" i="31"/>
  <c r="O701" i="31"/>
  <c r="Q701" i="31"/>
  <c r="S701" i="31"/>
  <c r="X701" i="31"/>
  <c r="M702" i="31"/>
  <c r="O702" i="31"/>
  <c r="Q702" i="31"/>
  <c r="S702" i="31"/>
  <c r="X702" i="31"/>
  <c r="M703" i="31"/>
  <c r="O703" i="31"/>
  <c r="Q703" i="31"/>
  <c r="S703" i="31"/>
  <c r="X703" i="31"/>
  <c r="M704" i="31"/>
  <c r="O704" i="31"/>
  <c r="Q704" i="31"/>
  <c r="S704" i="31"/>
  <c r="X704" i="31"/>
  <c r="M705" i="31"/>
  <c r="O705" i="31"/>
  <c r="Q705" i="31"/>
  <c r="S705" i="31"/>
  <c r="X705" i="31"/>
  <c r="M706" i="31"/>
  <c r="O706" i="31"/>
  <c r="Q706" i="31"/>
  <c r="S706" i="31"/>
  <c r="X706" i="31"/>
  <c r="M707" i="31"/>
  <c r="O707" i="31"/>
  <c r="Q707" i="31"/>
  <c r="S707" i="31"/>
  <c r="X707" i="31"/>
  <c r="M708" i="31"/>
  <c r="O708" i="31"/>
  <c r="Q708" i="31"/>
  <c r="S708" i="31"/>
  <c r="X708" i="31"/>
  <c r="M709" i="31"/>
  <c r="O709" i="31"/>
  <c r="Q709" i="31"/>
  <c r="S709" i="31"/>
  <c r="X709" i="31"/>
  <c r="M710" i="31"/>
  <c r="O710" i="31"/>
  <c r="Q710" i="31"/>
  <c r="S710" i="31"/>
  <c r="X710" i="31"/>
  <c r="M711" i="31"/>
  <c r="O711" i="31"/>
  <c r="Q711" i="31"/>
  <c r="S711" i="31"/>
  <c r="X711" i="31"/>
  <c r="M712" i="31"/>
  <c r="O712" i="31"/>
  <c r="Q712" i="31"/>
  <c r="S712" i="31"/>
  <c r="X712" i="31"/>
  <c r="M713" i="31"/>
  <c r="O713" i="31"/>
  <c r="Q713" i="31"/>
  <c r="S713" i="31"/>
  <c r="X713" i="31"/>
  <c r="M714" i="31"/>
  <c r="O714" i="31"/>
  <c r="Q714" i="31"/>
  <c r="S714" i="31"/>
  <c r="X714" i="31"/>
  <c r="M715" i="31"/>
  <c r="O715" i="31"/>
  <c r="Q715" i="31"/>
  <c r="S715" i="31"/>
  <c r="X715" i="31"/>
  <c r="M716" i="31"/>
  <c r="O716" i="31"/>
  <c r="Q716" i="31"/>
  <c r="S716" i="31"/>
  <c r="X716" i="31"/>
  <c r="M717" i="31"/>
  <c r="O717" i="31"/>
  <c r="Q717" i="31"/>
  <c r="S717" i="31"/>
  <c r="X717" i="31"/>
  <c r="M718" i="31"/>
  <c r="O718" i="31"/>
  <c r="Q718" i="31"/>
  <c r="S718" i="31"/>
  <c r="X718" i="31"/>
  <c r="M719" i="31"/>
  <c r="O719" i="31"/>
  <c r="Q719" i="31"/>
  <c r="S719" i="31"/>
  <c r="X719" i="31"/>
  <c r="M720" i="31"/>
  <c r="O720" i="31"/>
  <c r="Q720" i="31"/>
  <c r="S720" i="31"/>
  <c r="X720" i="31"/>
  <c r="M721" i="31"/>
  <c r="O721" i="31"/>
  <c r="Q721" i="31"/>
  <c r="S721" i="31"/>
  <c r="X721" i="31"/>
  <c r="M722" i="31"/>
  <c r="O722" i="31"/>
  <c r="Q722" i="31"/>
  <c r="S722" i="31"/>
  <c r="X722" i="31"/>
  <c r="M723" i="31"/>
  <c r="O723" i="31"/>
  <c r="Q723" i="31"/>
  <c r="S723" i="31"/>
  <c r="X723" i="31"/>
  <c r="M724" i="31"/>
  <c r="O724" i="31"/>
  <c r="Q724" i="31"/>
  <c r="S724" i="31"/>
  <c r="X724" i="31"/>
  <c r="M725" i="31"/>
  <c r="O725" i="31"/>
  <c r="Q725" i="31"/>
  <c r="S725" i="31"/>
  <c r="X725" i="31"/>
  <c r="M726" i="31"/>
  <c r="O726" i="31"/>
  <c r="Q726" i="31"/>
  <c r="S726" i="31"/>
  <c r="X726" i="31"/>
  <c r="M727" i="31"/>
  <c r="O727" i="31"/>
  <c r="Q727" i="31"/>
  <c r="S727" i="31"/>
  <c r="X727" i="31"/>
  <c r="M728" i="31"/>
  <c r="O728" i="31"/>
  <c r="Q728" i="31"/>
  <c r="S728" i="31"/>
  <c r="X728" i="31"/>
  <c r="M729" i="31"/>
  <c r="O729" i="31"/>
  <c r="Q729" i="31"/>
  <c r="S729" i="31"/>
  <c r="X729" i="31"/>
  <c r="M730" i="31"/>
  <c r="O730" i="31"/>
  <c r="Q730" i="31"/>
  <c r="S730" i="31"/>
  <c r="X730" i="31"/>
  <c r="M731" i="31"/>
  <c r="O731" i="31"/>
  <c r="Q731" i="31"/>
  <c r="S731" i="31"/>
  <c r="X731" i="31"/>
  <c r="M732" i="31"/>
  <c r="O732" i="31"/>
  <c r="Q732" i="31"/>
  <c r="S732" i="31"/>
  <c r="X732" i="31"/>
  <c r="M733" i="31"/>
  <c r="O733" i="31"/>
  <c r="Q733" i="31"/>
  <c r="S733" i="31"/>
  <c r="X733" i="31"/>
  <c r="M734" i="31"/>
  <c r="O734" i="31"/>
  <c r="Q734" i="31"/>
  <c r="S734" i="31"/>
  <c r="X734" i="31"/>
  <c r="M735" i="31"/>
  <c r="O735" i="31"/>
  <c r="Q735" i="31"/>
  <c r="S735" i="31"/>
  <c r="X735" i="31"/>
  <c r="M736" i="31"/>
  <c r="O736" i="31"/>
  <c r="Q736" i="31"/>
  <c r="S736" i="31"/>
  <c r="X736" i="31"/>
  <c r="M737" i="31"/>
  <c r="O737" i="31"/>
  <c r="Q737" i="31"/>
  <c r="S737" i="31"/>
  <c r="X737" i="31"/>
  <c r="M738" i="31"/>
  <c r="O738" i="31"/>
  <c r="Q738" i="31"/>
  <c r="S738" i="31"/>
  <c r="X738" i="31"/>
  <c r="M739" i="31"/>
  <c r="O739" i="31"/>
  <c r="Q739" i="31"/>
  <c r="S739" i="31"/>
  <c r="X739" i="31"/>
  <c r="M740" i="31"/>
  <c r="O740" i="31"/>
  <c r="Q740" i="31"/>
  <c r="S740" i="31"/>
  <c r="X740" i="31"/>
  <c r="M741" i="31"/>
  <c r="O741" i="31"/>
  <c r="Q741" i="31"/>
  <c r="S741" i="31"/>
  <c r="X741" i="31"/>
  <c r="M742" i="31"/>
  <c r="O742" i="31"/>
  <c r="Q742" i="31"/>
  <c r="S742" i="31"/>
  <c r="X742" i="31"/>
  <c r="M743" i="31"/>
  <c r="O743" i="31"/>
  <c r="Q743" i="31"/>
  <c r="S743" i="31"/>
  <c r="X743" i="31"/>
  <c r="M744" i="31"/>
  <c r="O744" i="31"/>
  <c r="Q744" i="31"/>
  <c r="S744" i="31"/>
  <c r="X744" i="31"/>
  <c r="M745" i="31"/>
  <c r="O745" i="31"/>
  <c r="Q745" i="31"/>
  <c r="S745" i="31"/>
  <c r="X745" i="31"/>
  <c r="M746" i="31"/>
  <c r="O746" i="31"/>
  <c r="Q746" i="31"/>
  <c r="S746" i="31"/>
  <c r="X746" i="31"/>
  <c r="M747" i="31"/>
  <c r="O747" i="31"/>
  <c r="Q747" i="31"/>
  <c r="S747" i="31"/>
  <c r="X747" i="31"/>
  <c r="M748" i="31"/>
  <c r="O748" i="31"/>
  <c r="Q748" i="31"/>
  <c r="S748" i="31"/>
  <c r="X748" i="31"/>
  <c r="M749" i="31"/>
  <c r="O749" i="31"/>
  <c r="Q749" i="31"/>
  <c r="S749" i="31"/>
  <c r="X749" i="31"/>
  <c r="M750" i="31"/>
  <c r="O750" i="31"/>
  <c r="Q750" i="31"/>
  <c r="S750" i="31"/>
  <c r="X750" i="31"/>
  <c r="M751" i="31"/>
  <c r="O751" i="31"/>
  <c r="Q751" i="31"/>
  <c r="S751" i="31"/>
  <c r="X751" i="31"/>
  <c r="M752" i="31"/>
  <c r="O752" i="31"/>
  <c r="Q752" i="31"/>
  <c r="S752" i="31"/>
  <c r="X752" i="31"/>
  <c r="M753" i="31"/>
  <c r="O753" i="31"/>
  <c r="Q753" i="31"/>
  <c r="S753" i="31"/>
  <c r="X753" i="31"/>
  <c r="M754" i="31"/>
  <c r="O754" i="31"/>
  <c r="Q754" i="31"/>
  <c r="S754" i="31"/>
  <c r="X754" i="31"/>
  <c r="M755" i="31"/>
  <c r="O755" i="31"/>
  <c r="Q755" i="31"/>
  <c r="S755" i="31"/>
  <c r="X755" i="31"/>
  <c r="M756" i="31"/>
  <c r="O756" i="31"/>
  <c r="Q756" i="31"/>
  <c r="S756" i="31"/>
  <c r="X756" i="31"/>
  <c r="M757" i="31"/>
  <c r="O757" i="31"/>
  <c r="Q757" i="31"/>
  <c r="S757" i="31"/>
  <c r="X757" i="31"/>
  <c r="M758" i="31"/>
  <c r="O758" i="31"/>
  <c r="Q758" i="31"/>
  <c r="S758" i="31"/>
  <c r="X758" i="31"/>
  <c r="M759" i="31"/>
  <c r="O759" i="31"/>
  <c r="Q759" i="31"/>
  <c r="S759" i="31"/>
  <c r="X759" i="31"/>
  <c r="M760" i="31"/>
  <c r="O760" i="31"/>
  <c r="Q760" i="31"/>
  <c r="S760" i="31"/>
  <c r="X760" i="31"/>
  <c r="M761" i="31"/>
  <c r="O761" i="31"/>
  <c r="Q761" i="31"/>
  <c r="S761" i="31"/>
  <c r="X761" i="31"/>
  <c r="M762" i="31"/>
  <c r="O762" i="31"/>
  <c r="Q762" i="31"/>
  <c r="S762" i="31"/>
  <c r="X762" i="31"/>
  <c r="M763" i="31"/>
  <c r="O763" i="31"/>
  <c r="Q763" i="31"/>
  <c r="S763" i="31"/>
  <c r="X763" i="31"/>
  <c r="M764" i="31"/>
  <c r="O764" i="31"/>
  <c r="Q764" i="31"/>
  <c r="S764" i="31"/>
  <c r="X764" i="31"/>
  <c r="M765" i="31"/>
  <c r="O765" i="31"/>
  <c r="Q765" i="31"/>
  <c r="S765" i="31"/>
  <c r="X765" i="31"/>
  <c r="M766" i="31"/>
  <c r="O766" i="31"/>
  <c r="Q766" i="31"/>
  <c r="S766" i="31"/>
  <c r="X766" i="31"/>
  <c r="M767" i="31"/>
  <c r="O767" i="31"/>
  <c r="Q767" i="31"/>
  <c r="S767" i="31"/>
  <c r="X767" i="31"/>
  <c r="M768" i="31"/>
  <c r="O768" i="31"/>
  <c r="Q768" i="31"/>
  <c r="S768" i="31"/>
  <c r="X768" i="31"/>
  <c r="M769" i="31"/>
  <c r="O769" i="31"/>
  <c r="Q769" i="31"/>
  <c r="S769" i="31"/>
  <c r="X769" i="31"/>
  <c r="M770" i="31"/>
  <c r="O770" i="31"/>
  <c r="Q770" i="31"/>
  <c r="S770" i="31"/>
  <c r="X770" i="31"/>
  <c r="M771" i="31"/>
  <c r="O771" i="31"/>
  <c r="Q771" i="31"/>
  <c r="S771" i="31"/>
  <c r="X771" i="31"/>
  <c r="M772" i="31"/>
  <c r="O772" i="31"/>
  <c r="Q772" i="31"/>
  <c r="S772" i="31"/>
  <c r="X772" i="31"/>
  <c r="M773" i="31"/>
  <c r="O773" i="31"/>
  <c r="Q773" i="31"/>
  <c r="S773" i="31"/>
  <c r="X773" i="31"/>
  <c r="M774" i="31"/>
  <c r="O774" i="31"/>
  <c r="Q774" i="31"/>
  <c r="S774" i="31"/>
  <c r="X774" i="31"/>
  <c r="M775" i="31"/>
  <c r="O775" i="31"/>
  <c r="Q775" i="31"/>
  <c r="S775" i="31"/>
  <c r="X775" i="31"/>
  <c r="M776" i="31"/>
  <c r="O776" i="31"/>
  <c r="Q776" i="31"/>
  <c r="S776" i="31"/>
  <c r="X776" i="31"/>
  <c r="M777" i="31"/>
  <c r="O777" i="31"/>
  <c r="Q777" i="31"/>
  <c r="S777" i="31"/>
  <c r="X777" i="31"/>
  <c r="M778" i="31"/>
  <c r="O778" i="31"/>
  <c r="Q778" i="31"/>
  <c r="S778" i="31"/>
  <c r="X778" i="31"/>
  <c r="M779" i="31"/>
  <c r="O779" i="31"/>
  <c r="Q779" i="31"/>
  <c r="S779" i="31"/>
  <c r="X779" i="31"/>
  <c r="M780" i="31"/>
  <c r="O780" i="31"/>
  <c r="Q780" i="31"/>
  <c r="S780" i="31"/>
  <c r="X780" i="31"/>
  <c r="M781" i="31"/>
  <c r="O781" i="31"/>
  <c r="Q781" i="31"/>
  <c r="S781" i="31"/>
  <c r="X781" i="31"/>
  <c r="M782" i="31"/>
  <c r="O782" i="31"/>
  <c r="Q782" i="31"/>
  <c r="S782" i="31"/>
  <c r="X782" i="31"/>
  <c r="M783" i="31"/>
  <c r="O783" i="31"/>
  <c r="Q783" i="31"/>
  <c r="S783" i="31"/>
  <c r="X783" i="31"/>
  <c r="M784" i="31"/>
  <c r="O784" i="31"/>
  <c r="Q784" i="31"/>
  <c r="S784" i="31"/>
  <c r="X784" i="31"/>
  <c r="M785" i="31"/>
  <c r="O785" i="31"/>
  <c r="Q785" i="31"/>
  <c r="S785" i="31"/>
  <c r="X785" i="31"/>
  <c r="M786" i="31"/>
  <c r="O786" i="31"/>
  <c r="Q786" i="31"/>
  <c r="S786" i="31"/>
  <c r="X786" i="31"/>
  <c r="M787" i="31"/>
  <c r="O787" i="31"/>
  <c r="Q787" i="31"/>
  <c r="S787" i="31"/>
  <c r="X787" i="31"/>
  <c r="M788" i="31"/>
  <c r="O788" i="31"/>
  <c r="Q788" i="31"/>
  <c r="S788" i="31"/>
  <c r="X788" i="31"/>
  <c r="M789" i="31"/>
  <c r="O789" i="31"/>
  <c r="Q789" i="31"/>
  <c r="S789" i="31"/>
  <c r="X789" i="31"/>
  <c r="M790" i="31"/>
  <c r="O790" i="31"/>
  <c r="Q790" i="31"/>
  <c r="S790" i="31"/>
  <c r="X790" i="31"/>
  <c r="M791" i="31"/>
  <c r="O791" i="31"/>
  <c r="Q791" i="31"/>
  <c r="S791" i="31"/>
  <c r="X791" i="31"/>
  <c r="M792" i="31"/>
  <c r="O792" i="31"/>
  <c r="Q792" i="31"/>
  <c r="S792" i="31"/>
  <c r="X792" i="31"/>
  <c r="M793" i="31"/>
  <c r="O793" i="31"/>
  <c r="Q793" i="31"/>
  <c r="S793" i="31"/>
  <c r="X793" i="31"/>
  <c r="M794" i="31"/>
  <c r="O794" i="31"/>
  <c r="Q794" i="31"/>
  <c r="S794" i="31"/>
  <c r="X794" i="31"/>
  <c r="M795" i="31"/>
  <c r="O795" i="31"/>
  <c r="Q795" i="31"/>
  <c r="S795" i="31"/>
  <c r="X795" i="31"/>
  <c r="M796" i="31"/>
  <c r="O796" i="31"/>
  <c r="Q796" i="31"/>
  <c r="S796" i="31"/>
  <c r="X796" i="31"/>
  <c r="M797" i="31"/>
  <c r="O797" i="31"/>
  <c r="Q797" i="31"/>
  <c r="S797" i="31"/>
  <c r="X797" i="31"/>
  <c r="M798" i="31"/>
  <c r="O798" i="31"/>
  <c r="Q798" i="31"/>
  <c r="S798" i="31"/>
  <c r="X798" i="31"/>
  <c r="M799" i="31"/>
  <c r="O799" i="31"/>
  <c r="Q799" i="31"/>
  <c r="S799" i="31"/>
  <c r="X799" i="31"/>
  <c r="M800" i="31"/>
  <c r="O800" i="31"/>
  <c r="Q800" i="31"/>
  <c r="S800" i="31"/>
  <c r="X800" i="31"/>
  <c r="M801" i="31"/>
  <c r="O801" i="31"/>
  <c r="Q801" i="31"/>
  <c r="S801" i="31"/>
  <c r="X801" i="31"/>
  <c r="M802" i="31"/>
  <c r="O802" i="31"/>
  <c r="Q802" i="31"/>
  <c r="S802" i="31"/>
  <c r="X802" i="31"/>
  <c r="M803" i="31"/>
  <c r="O803" i="31"/>
  <c r="Q803" i="31"/>
  <c r="S803" i="31"/>
  <c r="X803" i="31"/>
  <c r="M804" i="31"/>
  <c r="O804" i="31"/>
  <c r="Q804" i="31"/>
  <c r="S804" i="31"/>
  <c r="X804" i="31"/>
  <c r="M805" i="31"/>
  <c r="O805" i="31"/>
  <c r="Q805" i="31"/>
  <c r="S805" i="31"/>
  <c r="X805" i="31"/>
  <c r="M806" i="31"/>
  <c r="O806" i="31"/>
  <c r="Q806" i="31"/>
  <c r="S806" i="31"/>
  <c r="X806" i="31"/>
  <c r="M807" i="31"/>
  <c r="O807" i="31"/>
  <c r="Q807" i="31"/>
  <c r="S807" i="31"/>
  <c r="X807" i="31"/>
  <c r="M808" i="31"/>
  <c r="O808" i="31"/>
  <c r="Q808" i="31"/>
  <c r="S808" i="31"/>
  <c r="X808" i="31"/>
  <c r="M809" i="31"/>
  <c r="O809" i="31"/>
  <c r="Q809" i="31"/>
  <c r="S809" i="31"/>
  <c r="X809" i="31"/>
  <c r="M810" i="31"/>
  <c r="O810" i="31"/>
  <c r="Q810" i="31"/>
  <c r="S810" i="31"/>
  <c r="X810" i="31"/>
  <c r="M811" i="31"/>
  <c r="O811" i="31"/>
  <c r="Q811" i="31"/>
  <c r="S811" i="31"/>
  <c r="X811" i="31"/>
  <c r="M812" i="31"/>
  <c r="O812" i="31"/>
  <c r="Q812" i="31"/>
  <c r="S812" i="31"/>
  <c r="X812" i="31"/>
  <c r="M813" i="31"/>
  <c r="O813" i="31"/>
  <c r="Q813" i="31"/>
  <c r="S813" i="31"/>
  <c r="X813" i="31"/>
  <c r="M814" i="31"/>
  <c r="O814" i="31"/>
  <c r="Q814" i="31"/>
  <c r="S814" i="31"/>
  <c r="X814" i="31"/>
  <c r="M815" i="31"/>
  <c r="O815" i="31"/>
  <c r="Q815" i="31"/>
  <c r="S815" i="31"/>
  <c r="X815" i="31"/>
  <c r="M816" i="31"/>
  <c r="O816" i="31"/>
  <c r="Q816" i="31"/>
  <c r="S816" i="31"/>
  <c r="X816" i="31"/>
  <c r="M817" i="31"/>
  <c r="O817" i="31"/>
  <c r="Q817" i="31"/>
  <c r="S817" i="31"/>
  <c r="X817" i="31"/>
  <c r="M818" i="31"/>
  <c r="O818" i="31"/>
  <c r="Q818" i="31"/>
  <c r="S818" i="31"/>
  <c r="X818" i="31"/>
  <c r="M819" i="31"/>
  <c r="O819" i="31"/>
  <c r="Q819" i="31"/>
  <c r="S819" i="31"/>
  <c r="X819" i="31"/>
  <c r="M820" i="31"/>
  <c r="O820" i="31"/>
  <c r="Q820" i="31"/>
  <c r="S820" i="31"/>
  <c r="X820" i="31"/>
  <c r="M821" i="31"/>
  <c r="O821" i="31"/>
  <c r="Q821" i="31"/>
  <c r="S821" i="31"/>
  <c r="X821" i="31"/>
  <c r="M822" i="31"/>
  <c r="O822" i="31"/>
  <c r="Q822" i="31"/>
  <c r="S822" i="31"/>
  <c r="X822" i="31"/>
  <c r="M823" i="31"/>
  <c r="O823" i="31"/>
  <c r="Q823" i="31"/>
  <c r="S823" i="31"/>
  <c r="X823" i="31"/>
  <c r="M824" i="31"/>
  <c r="O824" i="31"/>
  <c r="Q824" i="31"/>
  <c r="S824" i="31"/>
  <c r="X824" i="31"/>
  <c r="M825" i="31"/>
  <c r="O825" i="31"/>
  <c r="Q825" i="31"/>
  <c r="S825" i="31"/>
  <c r="X825" i="31"/>
  <c r="M826" i="31"/>
  <c r="O826" i="31"/>
  <c r="Q826" i="31"/>
  <c r="S826" i="31"/>
  <c r="X826" i="31"/>
  <c r="M827" i="31"/>
  <c r="O827" i="31"/>
  <c r="Q827" i="31"/>
  <c r="S827" i="31"/>
  <c r="X827" i="31"/>
  <c r="M828" i="31"/>
  <c r="O828" i="31"/>
  <c r="Q828" i="31"/>
  <c r="S828" i="31"/>
  <c r="X828" i="31"/>
  <c r="M829" i="31"/>
  <c r="O829" i="31"/>
  <c r="Q829" i="31"/>
  <c r="S829" i="31"/>
  <c r="X829" i="31"/>
  <c r="M830" i="31"/>
  <c r="O830" i="31"/>
  <c r="Q830" i="31"/>
  <c r="S830" i="31"/>
  <c r="X830" i="31"/>
  <c r="M831" i="31"/>
  <c r="O831" i="31"/>
  <c r="Q831" i="31"/>
  <c r="S831" i="31"/>
  <c r="X831" i="31"/>
  <c r="M832" i="31"/>
  <c r="O832" i="31"/>
  <c r="Q832" i="31"/>
  <c r="S832" i="31"/>
  <c r="X832" i="31"/>
  <c r="M833" i="31"/>
  <c r="O833" i="31"/>
  <c r="Q833" i="31"/>
  <c r="S833" i="31"/>
  <c r="X833" i="31"/>
  <c r="M834" i="31"/>
  <c r="O834" i="31"/>
  <c r="Q834" i="31"/>
  <c r="S834" i="31"/>
  <c r="X834" i="31"/>
  <c r="M835" i="31"/>
  <c r="O835" i="31"/>
  <c r="Q835" i="31"/>
  <c r="S835" i="31"/>
  <c r="X835" i="31"/>
  <c r="M836" i="31"/>
  <c r="O836" i="31"/>
  <c r="Q836" i="31"/>
  <c r="S836" i="31"/>
  <c r="X836" i="31"/>
  <c r="M837" i="31"/>
  <c r="O837" i="31"/>
  <c r="Q837" i="31"/>
  <c r="S837" i="31"/>
  <c r="X837" i="31"/>
  <c r="M838" i="31"/>
  <c r="O838" i="31"/>
  <c r="Q838" i="31"/>
  <c r="S838" i="31"/>
  <c r="X838" i="31"/>
  <c r="M839" i="31"/>
  <c r="O839" i="31"/>
  <c r="Q839" i="31"/>
  <c r="S839" i="31"/>
  <c r="X839" i="31"/>
  <c r="M840" i="31"/>
  <c r="O840" i="31"/>
  <c r="Q840" i="31"/>
  <c r="S840" i="31"/>
  <c r="X840" i="31"/>
  <c r="M841" i="31"/>
  <c r="O841" i="31"/>
  <c r="Q841" i="31"/>
  <c r="S841" i="31"/>
  <c r="X841" i="31"/>
  <c r="M842" i="31"/>
  <c r="O842" i="31"/>
  <c r="Q842" i="31"/>
  <c r="S842" i="31"/>
  <c r="X842" i="31"/>
  <c r="M843" i="31"/>
  <c r="O843" i="31"/>
  <c r="Q843" i="31"/>
  <c r="S843" i="31"/>
  <c r="X843" i="31"/>
  <c r="M844" i="31"/>
  <c r="O844" i="31"/>
  <c r="Q844" i="31"/>
  <c r="S844" i="31"/>
  <c r="X844" i="31"/>
  <c r="M845" i="31"/>
  <c r="O845" i="31"/>
  <c r="Q845" i="31"/>
  <c r="S845" i="31"/>
  <c r="X845" i="31"/>
  <c r="M846" i="31"/>
  <c r="O846" i="31"/>
  <c r="Q846" i="31"/>
  <c r="S846" i="31"/>
  <c r="X846" i="31"/>
  <c r="M847" i="31"/>
  <c r="O847" i="31"/>
  <c r="Q847" i="31"/>
  <c r="S847" i="31"/>
  <c r="X847" i="31"/>
  <c r="M848" i="31"/>
  <c r="O848" i="31"/>
  <c r="Q848" i="31"/>
  <c r="S848" i="31"/>
  <c r="X848" i="31"/>
  <c r="M849" i="31"/>
  <c r="O849" i="31"/>
  <c r="Q849" i="31"/>
  <c r="S849" i="31"/>
  <c r="X849" i="31"/>
  <c r="M850" i="31"/>
  <c r="O850" i="31"/>
  <c r="Q850" i="31"/>
  <c r="S850" i="31"/>
  <c r="X850" i="31"/>
  <c r="M851" i="31"/>
  <c r="O851" i="31"/>
  <c r="Q851" i="31"/>
  <c r="S851" i="31"/>
  <c r="X851" i="31"/>
  <c r="M852" i="31"/>
  <c r="O852" i="31"/>
  <c r="Q852" i="31"/>
  <c r="S852" i="31"/>
  <c r="X852" i="31"/>
  <c r="M853" i="31"/>
  <c r="O853" i="31"/>
  <c r="Q853" i="31"/>
  <c r="S853" i="31"/>
  <c r="X853" i="31"/>
  <c r="M854" i="31"/>
  <c r="O854" i="31"/>
  <c r="Q854" i="31"/>
  <c r="S854" i="31"/>
  <c r="X854" i="31"/>
  <c r="M855" i="31"/>
  <c r="O855" i="31"/>
  <c r="Q855" i="31"/>
  <c r="S855" i="31"/>
  <c r="X855" i="31"/>
  <c r="M856" i="31"/>
  <c r="O856" i="31"/>
  <c r="Q856" i="31"/>
  <c r="S856" i="31"/>
  <c r="X856" i="31"/>
  <c r="M857" i="31"/>
  <c r="O857" i="31"/>
  <c r="Q857" i="31"/>
  <c r="S857" i="31"/>
  <c r="X857" i="31"/>
  <c r="M858" i="31"/>
  <c r="O858" i="31"/>
  <c r="Q858" i="31"/>
  <c r="S858" i="31"/>
  <c r="X858" i="31"/>
  <c r="M859" i="31"/>
  <c r="O859" i="31"/>
  <c r="Q859" i="31"/>
  <c r="S859" i="31"/>
  <c r="X859" i="31"/>
  <c r="M860" i="31"/>
  <c r="O860" i="31"/>
  <c r="Q860" i="31"/>
  <c r="S860" i="31"/>
  <c r="X860" i="31"/>
  <c r="M861" i="31"/>
  <c r="O861" i="31"/>
  <c r="Q861" i="31"/>
  <c r="S861" i="31"/>
  <c r="X861" i="31"/>
  <c r="M862" i="31"/>
  <c r="O862" i="31"/>
  <c r="Q862" i="31"/>
  <c r="S862" i="31"/>
  <c r="X862" i="31"/>
  <c r="M863" i="31"/>
  <c r="O863" i="31"/>
  <c r="Q863" i="31"/>
  <c r="S863" i="31"/>
  <c r="X863" i="31"/>
  <c r="M864" i="31"/>
  <c r="O864" i="31"/>
  <c r="Q864" i="31"/>
  <c r="S864" i="31"/>
  <c r="X864" i="31"/>
  <c r="M865" i="31"/>
  <c r="O865" i="31"/>
  <c r="Q865" i="31"/>
  <c r="S865" i="31"/>
  <c r="X865" i="31"/>
  <c r="M866" i="31"/>
  <c r="O866" i="31"/>
  <c r="Q866" i="31"/>
  <c r="S866" i="31"/>
  <c r="X866" i="31"/>
  <c r="M867" i="31"/>
  <c r="O867" i="31"/>
  <c r="Q867" i="31"/>
  <c r="S867" i="31"/>
  <c r="X867" i="31"/>
  <c r="M868" i="31"/>
  <c r="O868" i="31"/>
  <c r="Q868" i="31"/>
  <c r="S868" i="31"/>
  <c r="X868" i="31"/>
  <c r="M869" i="31"/>
  <c r="O869" i="31"/>
  <c r="Q869" i="31"/>
  <c r="S869" i="31"/>
  <c r="X869" i="31"/>
  <c r="M870" i="31"/>
  <c r="O870" i="31"/>
  <c r="Q870" i="31"/>
  <c r="S870" i="31"/>
  <c r="X870" i="31"/>
  <c r="M871" i="31"/>
  <c r="O871" i="31"/>
  <c r="Q871" i="31"/>
  <c r="S871" i="31"/>
  <c r="X871" i="31"/>
  <c r="M872" i="31"/>
  <c r="O872" i="31"/>
  <c r="Q872" i="31"/>
  <c r="S872" i="31"/>
  <c r="X872" i="31"/>
  <c r="M873" i="31"/>
  <c r="O873" i="31"/>
  <c r="Q873" i="31"/>
  <c r="S873" i="31"/>
  <c r="X873" i="31"/>
  <c r="M874" i="31"/>
  <c r="O874" i="31"/>
  <c r="Q874" i="31"/>
  <c r="S874" i="31"/>
  <c r="X874" i="31"/>
  <c r="M875" i="31"/>
  <c r="O875" i="31"/>
  <c r="Q875" i="31"/>
  <c r="S875" i="31"/>
  <c r="X875" i="31"/>
  <c r="M876" i="31"/>
  <c r="O876" i="31"/>
  <c r="Q876" i="31"/>
  <c r="S876" i="31"/>
  <c r="X876" i="31"/>
  <c r="M877" i="31"/>
  <c r="O877" i="31"/>
  <c r="Q877" i="31"/>
  <c r="S877" i="31"/>
  <c r="X877" i="31"/>
  <c r="M878" i="31"/>
  <c r="O878" i="31"/>
  <c r="Q878" i="31"/>
  <c r="S878" i="31"/>
  <c r="X878" i="31"/>
  <c r="M879" i="31"/>
  <c r="O879" i="31"/>
  <c r="Q879" i="31"/>
  <c r="S879" i="31"/>
  <c r="X879" i="31"/>
  <c r="M880" i="31"/>
  <c r="O880" i="31"/>
  <c r="Q880" i="31"/>
  <c r="S880" i="31"/>
  <c r="X880" i="31"/>
  <c r="M881" i="31"/>
  <c r="O881" i="31"/>
  <c r="Q881" i="31"/>
  <c r="S881" i="31"/>
  <c r="X881" i="31"/>
  <c r="Q2" i="31"/>
  <c r="S2" i="31"/>
  <c r="M2" i="31"/>
  <c r="O2" i="31"/>
  <c r="X2" i="31"/>
  <c r="G456" i="35"/>
  <c r="D232" i="35"/>
  <c r="D188" i="35"/>
  <c r="D334" i="35"/>
  <c r="E146" i="35"/>
  <c r="M2" i="25"/>
  <c r="Q9" i="34"/>
  <c r="H9" i="34"/>
  <c r="C220" i="25"/>
  <c r="K30" i="26"/>
  <c r="H30" i="26"/>
  <c r="I30" i="26"/>
  <c r="G30" i="26"/>
  <c r="B18" i="24"/>
  <c r="F18" i="24"/>
  <c r="I18" i="24"/>
  <c r="K18" i="24"/>
  <c r="I19" i="24"/>
  <c r="H881" i="25"/>
  <c r="C881" i="25"/>
  <c r="B881" i="25"/>
  <c r="H880" i="25"/>
  <c r="C880" i="25"/>
  <c r="B880" i="25"/>
  <c r="H879" i="25"/>
  <c r="C879" i="25"/>
  <c r="B879" i="25"/>
  <c r="H878" i="25"/>
  <c r="C878" i="25"/>
  <c r="B878" i="25"/>
  <c r="H877" i="25"/>
  <c r="C877" i="25"/>
  <c r="B877" i="25"/>
  <c r="H876" i="25"/>
  <c r="C876" i="25"/>
  <c r="B876" i="25"/>
  <c r="H875" i="25"/>
  <c r="C875" i="25"/>
  <c r="B875" i="25"/>
  <c r="H874" i="25"/>
  <c r="C874" i="25"/>
  <c r="B874" i="25"/>
  <c r="H873" i="25"/>
  <c r="C873" i="25"/>
  <c r="B873" i="25"/>
  <c r="H872" i="25"/>
  <c r="C872" i="25"/>
  <c r="B872" i="25"/>
  <c r="H871" i="25"/>
  <c r="C871" i="25"/>
  <c r="B871" i="25"/>
  <c r="H870" i="25"/>
  <c r="C870" i="25"/>
  <c r="B870" i="25"/>
  <c r="H869" i="25"/>
  <c r="C869" i="25"/>
  <c r="B869" i="25"/>
  <c r="H868" i="25"/>
  <c r="C868" i="25"/>
  <c r="B868" i="25"/>
  <c r="H867" i="25"/>
  <c r="C867" i="25"/>
  <c r="B867" i="25"/>
  <c r="H866" i="25"/>
  <c r="C866" i="25"/>
  <c r="B866" i="25"/>
  <c r="H865" i="25"/>
  <c r="C865" i="25"/>
  <c r="B865" i="25"/>
  <c r="H864" i="25"/>
  <c r="C864" i="25"/>
  <c r="B864" i="25"/>
  <c r="H863" i="25"/>
  <c r="C863" i="25"/>
  <c r="B863" i="25"/>
  <c r="H862" i="25"/>
  <c r="C862" i="25"/>
  <c r="B862" i="25"/>
  <c r="H861" i="25"/>
  <c r="C861" i="25"/>
  <c r="B861" i="25"/>
  <c r="H860" i="25"/>
  <c r="C860" i="25"/>
  <c r="B860" i="25"/>
  <c r="H859" i="25"/>
  <c r="C859" i="25"/>
  <c r="B859" i="25"/>
  <c r="H858" i="25"/>
  <c r="C858" i="25"/>
  <c r="B858" i="25"/>
  <c r="H857" i="25"/>
  <c r="C857" i="25"/>
  <c r="B857" i="25"/>
  <c r="H856" i="25"/>
  <c r="C856" i="25"/>
  <c r="B856" i="25"/>
  <c r="H855" i="25"/>
  <c r="C855" i="25"/>
  <c r="B855" i="25"/>
  <c r="H854" i="25"/>
  <c r="C854" i="25"/>
  <c r="B854" i="25"/>
  <c r="H853" i="25"/>
  <c r="C853" i="25"/>
  <c r="B853" i="25"/>
  <c r="H852" i="25"/>
  <c r="C852" i="25"/>
  <c r="B852" i="25"/>
  <c r="H851" i="25"/>
  <c r="C851" i="25"/>
  <c r="B851" i="25"/>
  <c r="H850" i="25"/>
  <c r="C850" i="25"/>
  <c r="B850" i="25"/>
  <c r="H849" i="25"/>
  <c r="C849" i="25"/>
  <c r="B849" i="25"/>
  <c r="H848" i="25"/>
  <c r="C848" i="25"/>
  <c r="B848" i="25"/>
  <c r="H847" i="25"/>
  <c r="C847" i="25"/>
  <c r="B847" i="25"/>
  <c r="H846" i="25"/>
  <c r="C846" i="25"/>
  <c r="B846" i="25"/>
  <c r="H845" i="25"/>
  <c r="C845" i="25"/>
  <c r="B845" i="25"/>
  <c r="H844" i="25"/>
  <c r="C844" i="25"/>
  <c r="B844" i="25"/>
  <c r="H843" i="25"/>
  <c r="C843" i="25"/>
  <c r="B843" i="25"/>
  <c r="H842" i="25"/>
  <c r="C842" i="25"/>
  <c r="B842" i="25"/>
  <c r="H841" i="25"/>
  <c r="C841" i="25"/>
  <c r="B841" i="25"/>
  <c r="H840" i="25"/>
  <c r="C840" i="25"/>
  <c r="B840" i="25"/>
  <c r="H839" i="25"/>
  <c r="C839" i="25"/>
  <c r="B839" i="25"/>
  <c r="H838" i="25"/>
  <c r="C838" i="25"/>
  <c r="B838" i="25"/>
  <c r="H837" i="25"/>
  <c r="C837" i="25"/>
  <c r="B837" i="25"/>
  <c r="H836" i="25"/>
  <c r="C836" i="25"/>
  <c r="B836" i="25"/>
  <c r="H835" i="25"/>
  <c r="C835" i="25"/>
  <c r="B835" i="25"/>
  <c r="H834" i="25"/>
  <c r="C834" i="25"/>
  <c r="B834" i="25"/>
  <c r="H833" i="25"/>
  <c r="C833" i="25"/>
  <c r="B833" i="25"/>
  <c r="H832" i="25"/>
  <c r="C832" i="25"/>
  <c r="B832" i="25"/>
  <c r="H831" i="25"/>
  <c r="C831" i="25"/>
  <c r="B831" i="25"/>
  <c r="H830" i="25"/>
  <c r="C830" i="25"/>
  <c r="B830" i="25"/>
  <c r="H829" i="25"/>
  <c r="C829" i="25"/>
  <c r="B829" i="25"/>
  <c r="H828" i="25"/>
  <c r="C828" i="25"/>
  <c r="B828" i="25"/>
  <c r="H827" i="25"/>
  <c r="C827" i="25"/>
  <c r="B827" i="25"/>
  <c r="H826" i="25"/>
  <c r="C826" i="25"/>
  <c r="B826" i="25"/>
  <c r="H825" i="25"/>
  <c r="C825" i="25"/>
  <c r="B825" i="25"/>
  <c r="H824" i="25"/>
  <c r="C824" i="25"/>
  <c r="B824" i="25"/>
  <c r="H823" i="25"/>
  <c r="C823" i="25"/>
  <c r="B823" i="25"/>
  <c r="H822" i="25"/>
  <c r="C822" i="25"/>
  <c r="B822" i="25"/>
  <c r="H821" i="25"/>
  <c r="C821" i="25"/>
  <c r="B821" i="25"/>
  <c r="H820" i="25"/>
  <c r="C820" i="25"/>
  <c r="B820" i="25"/>
  <c r="H819" i="25"/>
  <c r="C819" i="25"/>
  <c r="B819" i="25"/>
  <c r="H818" i="25"/>
  <c r="C818" i="25"/>
  <c r="B818" i="25"/>
  <c r="H817" i="25"/>
  <c r="C817" i="25"/>
  <c r="B817" i="25"/>
  <c r="H816" i="25"/>
  <c r="C816" i="25"/>
  <c r="B816" i="25"/>
  <c r="H815" i="25"/>
  <c r="C815" i="25"/>
  <c r="B815" i="25"/>
  <c r="H814" i="25"/>
  <c r="C814" i="25"/>
  <c r="B814" i="25"/>
  <c r="H813" i="25"/>
  <c r="C813" i="25"/>
  <c r="B813" i="25"/>
  <c r="H812" i="25"/>
  <c r="C812" i="25"/>
  <c r="B812" i="25"/>
  <c r="H811" i="25"/>
  <c r="C811" i="25"/>
  <c r="B811" i="25"/>
  <c r="H810" i="25"/>
  <c r="C810" i="25"/>
  <c r="B810" i="25"/>
  <c r="H809" i="25"/>
  <c r="C809" i="25"/>
  <c r="B809" i="25"/>
  <c r="H808" i="25"/>
  <c r="C808" i="25"/>
  <c r="B808" i="25"/>
  <c r="H807" i="25"/>
  <c r="C807" i="25"/>
  <c r="B807" i="25"/>
  <c r="H806" i="25"/>
  <c r="C806" i="25"/>
  <c r="B806" i="25"/>
  <c r="H805" i="25"/>
  <c r="C805" i="25"/>
  <c r="B805" i="25"/>
  <c r="H804" i="25"/>
  <c r="C804" i="25"/>
  <c r="B804" i="25"/>
  <c r="H803" i="25"/>
  <c r="C803" i="25"/>
  <c r="B803" i="25"/>
  <c r="H802" i="25"/>
  <c r="C802" i="25"/>
  <c r="B802" i="25"/>
  <c r="H801" i="25"/>
  <c r="C801" i="25"/>
  <c r="B801" i="25"/>
  <c r="H800" i="25"/>
  <c r="C800" i="25"/>
  <c r="B800" i="25"/>
  <c r="H799" i="25"/>
  <c r="C799" i="25"/>
  <c r="B799" i="25"/>
  <c r="H798" i="25"/>
  <c r="C798" i="25"/>
  <c r="B798" i="25"/>
  <c r="H797" i="25"/>
  <c r="C797" i="25"/>
  <c r="B797" i="25"/>
  <c r="H796" i="25"/>
  <c r="C796" i="25"/>
  <c r="B796" i="25"/>
  <c r="H795" i="25"/>
  <c r="C795" i="25"/>
  <c r="B795" i="25"/>
  <c r="H794" i="25"/>
  <c r="C794" i="25"/>
  <c r="B794" i="25"/>
  <c r="H793" i="25"/>
  <c r="C793" i="25"/>
  <c r="B793" i="25"/>
  <c r="H792" i="25"/>
  <c r="C792" i="25"/>
  <c r="B792" i="25"/>
  <c r="H791" i="25"/>
  <c r="C791" i="25"/>
  <c r="B791" i="25"/>
  <c r="H790" i="25"/>
  <c r="C790" i="25"/>
  <c r="B790" i="25"/>
  <c r="H789" i="25"/>
  <c r="C789" i="25"/>
  <c r="B789" i="25"/>
  <c r="H788" i="25"/>
  <c r="C788" i="25"/>
  <c r="B788" i="25"/>
  <c r="H787" i="25"/>
  <c r="C787" i="25"/>
  <c r="B787" i="25"/>
  <c r="H786" i="25"/>
  <c r="C786" i="25"/>
  <c r="B786" i="25"/>
  <c r="H785" i="25"/>
  <c r="C785" i="25"/>
  <c r="B785" i="25"/>
  <c r="H784" i="25"/>
  <c r="C784" i="25"/>
  <c r="B784" i="25"/>
  <c r="H783" i="25"/>
  <c r="C783" i="25"/>
  <c r="B783" i="25"/>
  <c r="H782" i="25"/>
  <c r="C782" i="25"/>
  <c r="B782" i="25"/>
  <c r="H781" i="25"/>
  <c r="C781" i="25"/>
  <c r="B781" i="25"/>
  <c r="H780" i="25"/>
  <c r="C780" i="25"/>
  <c r="B780" i="25"/>
  <c r="H779" i="25"/>
  <c r="C779" i="25"/>
  <c r="B779" i="25"/>
  <c r="H778" i="25"/>
  <c r="C778" i="25"/>
  <c r="B778" i="25"/>
  <c r="H777" i="25"/>
  <c r="C777" i="25"/>
  <c r="B777" i="25"/>
  <c r="H776" i="25"/>
  <c r="C776" i="25"/>
  <c r="B776" i="25"/>
  <c r="H775" i="25"/>
  <c r="C775" i="25"/>
  <c r="B775" i="25"/>
  <c r="H774" i="25"/>
  <c r="C774" i="25"/>
  <c r="B774" i="25"/>
  <c r="H773" i="25"/>
  <c r="C773" i="25"/>
  <c r="B773" i="25"/>
  <c r="H772" i="25"/>
  <c r="C772" i="25"/>
  <c r="B772" i="25"/>
  <c r="H771" i="25"/>
  <c r="C771" i="25"/>
  <c r="B771" i="25"/>
  <c r="H770" i="25"/>
  <c r="C770" i="25"/>
  <c r="B770" i="25"/>
  <c r="H769" i="25"/>
  <c r="C769" i="25"/>
  <c r="B769" i="25"/>
  <c r="H768" i="25"/>
  <c r="C768" i="25"/>
  <c r="B768" i="25"/>
  <c r="H767" i="25"/>
  <c r="C767" i="25"/>
  <c r="B767" i="25"/>
  <c r="H766" i="25"/>
  <c r="C766" i="25"/>
  <c r="B766" i="25"/>
  <c r="H765" i="25"/>
  <c r="C765" i="25"/>
  <c r="B765" i="25"/>
  <c r="H764" i="25"/>
  <c r="C764" i="25"/>
  <c r="B764" i="25"/>
  <c r="H763" i="25"/>
  <c r="C763" i="25"/>
  <c r="B763" i="25"/>
  <c r="H762" i="25"/>
  <c r="C762" i="25"/>
  <c r="B762" i="25"/>
  <c r="H761" i="25"/>
  <c r="C761" i="25"/>
  <c r="B761" i="25"/>
  <c r="H760" i="25"/>
  <c r="C760" i="25"/>
  <c r="B760" i="25"/>
  <c r="H759" i="25"/>
  <c r="C759" i="25"/>
  <c r="B759" i="25"/>
  <c r="H758" i="25"/>
  <c r="C758" i="25"/>
  <c r="B758" i="25"/>
  <c r="H757" i="25"/>
  <c r="C757" i="25"/>
  <c r="B757" i="25"/>
  <c r="H756" i="25"/>
  <c r="C756" i="25"/>
  <c r="B756" i="25"/>
  <c r="H755" i="25"/>
  <c r="C755" i="25"/>
  <c r="B755" i="25"/>
  <c r="H754" i="25"/>
  <c r="C754" i="25"/>
  <c r="B754" i="25"/>
  <c r="H753" i="25"/>
  <c r="C753" i="25"/>
  <c r="B753" i="25"/>
  <c r="H752" i="25"/>
  <c r="C752" i="25"/>
  <c r="B752" i="25"/>
  <c r="H751" i="25"/>
  <c r="C751" i="25"/>
  <c r="B751" i="25"/>
  <c r="H750" i="25"/>
  <c r="C750" i="25"/>
  <c r="B750" i="25"/>
  <c r="H749" i="25"/>
  <c r="C749" i="25"/>
  <c r="B749" i="25"/>
  <c r="H748" i="25"/>
  <c r="C748" i="25"/>
  <c r="B748" i="25"/>
  <c r="H747" i="25"/>
  <c r="C747" i="25"/>
  <c r="B747" i="25"/>
  <c r="H746" i="25"/>
  <c r="C746" i="25"/>
  <c r="B746" i="25"/>
  <c r="H745" i="25"/>
  <c r="C745" i="25"/>
  <c r="B745" i="25"/>
  <c r="H744" i="25"/>
  <c r="C744" i="25"/>
  <c r="B744" i="25"/>
  <c r="H743" i="25"/>
  <c r="C743" i="25"/>
  <c r="B743" i="25"/>
  <c r="H742" i="25"/>
  <c r="C742" i="25"/>
  <c r="B742" i="25"/>
  <c r="H741" i="25"/>
  <c r="C741" i="25"/>
  <c r="B741" i="25"/>
  <c r="H740" i="25"/>
  <c r="C740" i="25"/>
  <c r="B740" i="25"/>
  <c r="H739" i="25"/>
  <c r="C739" i="25"/>
  <c r="B739" i="25"/>
  <c r="H738" i="25"/>
  <c r="C738" i="25"/>
  <c r="B738" i="25"/>
  <c r="H737" i="25"/>
  <c r="C737" i="25"/>
  <c r="B737" i="25"/>
  <c r="H736" i="25"/>
  <c r="C736" i="25"/>
  <c r="B736" i="25"/>
  <c r="H735" i="25"/>
  <c r="C735" i="25"/>
  <c r="B735" i="25"/>
  <c r="H734" i="25"/>
  <c r="C734" i="25"/>
  <c r="B734" i="25"/>
  <c r="H733" i="25"/>
  <c r="C733" i="25"/>
  <c r="B733" i="25"/>
  <c r="H732" i="25"/>
  <c r="C732" i="25"/>
  <c r="B732" i="25"/>
  <c r="H731" i="25"/>
  <c r="C731" i="25"/>
  <c r="B731" i="25"/>
  <c r="H730" i="25"/>
  <c r="C730" i="25"/>
  <c r="B730" i="25"/>
  <c r="H729" i="25"/>
  <c r="C729" i="25"/>
  <c r="B729" i="25"/>
  <c r="H728" i="25"/>
  <c r="C728" i="25"/>
  <c r="B728" i="25"/>
  <c r="H727" i="25"/>
  <c r="C727" i="25"/>
  <c r="B727" i="25"/>
  <c r="H726" i="25"/>
  <c r="C726" i="25"/>
  <c r="B726" i="25"/>
  <c r="H725" i="25"/>
  <c r="C725" i="25"/>
  <c r="B725" i="25"/>
  <c r="H724" i="25"/>
  <c r="C724" i="25"/>
  <c r="B724" i="25"/>
  <c r="H723" i="25"/>
  <c r="C723" i="25"/>
  <c r="B723" i="25"/>
  <c r="H722" i="25"/>
  <c r="C722" i="25"/>
  <c r="B722" i="25"/>
  <c r="H721" i="25"/>
  <c r="C721" i="25"/>
  <c r="B721" i="25"/>
  <c r="H720" i="25"/>
  <c r="C720" i="25"/>
  <c r="B720" i="25"/>
  <c r="H719" i="25"/>
  <c r="C719" i="25"/>
  <c r="B719" i="25"/>
  <c r="H718" i="25"/>
  <c r="C718" i="25"/>
  <c r="B718" i="25"/>
  <c r="H717" i="25"/>
  <c r="C717" i="25"/>
  <c r="B717" i="25"/>
  <c r="H716" i="25"/>
  <c r="C716" i="25"/>
  <c r="B716" i="25"/>
  <c r="H715" i="25"/>
  <c r="C715" i="25"/>
  <c r="B715" i="25"/>
  <c r="H714" i="25"/>
  <c r="C714" i="25"/>
  <c r="B714" i="25"/>
  <c r="H713" i="25"/>
  <c r="C713" i="25"/>
  <c r="B713" i="25"/>
  <c r="H712" i="25"/>
  <c r="C712" i="25"/>
  <c r="B712" i="25"/>
  <c r="H711" i="25"/>
  <c r="C711" i="25"/>
  <c r="B711" i="25"/>
  <c r="H710" i="25"/>
  <c r="C710" i="25"/>
  <c r="B710" i="25"/>
  <c r="H709" i="25"/>
  <c r="C709" i="25"/>
  <c r="B709" i="25"/>
  <c r="H708" i="25"/>
  <c r="C708" i="25"/>
  <c r="B708" i="25"/>
  <c r="H707" i="25"/>
  <c r="C707" i="25"/>
  <c r="B707" i="25"/>
  <c r="H706" i="25"/>
  <c r="C706" i="25"/>
  <c r="B706" i="25"/>
  <c r="H705" i="25"/>
  <c r="C705" i="25"/>
  <c r="B705" i="25"/>
  <c r="H704" i="25"/>
  <c r="C704" i="25"/>
  <c r="B704" i="25"/>
  <c r="H703" i="25"/>
  <c r="C703" i="25"/>
  <c r="B703" i="25"/>
  <c r="H702" i="25"/>
  <c r="C702" i="25"/>
  <c r="B702" i="25"/>
  <c r="H701" i="25"/>
  <c r="C701" i="25"/>
  <c r="B701" i="25"/>
  <c r="H700" i="25"/>
  <c r="C700" i="25"/>
  <c r="B700" i="25"/>
  <c r="H699" i="25"/>
  <c r="C699" i="25"/>
  <c r="B699" i="25"/>
  <c r="H698" i="25"/>
  <c r="C698" i="25"/>
  <c r="B698" i="25"/>
  <c r="H697" i="25"/>
  <c r="C697" i="25"/>
  <c r="B697" i="25"/>
  <c r="H696" i="25"/>
  <c r="C696" i="25"/>
  <c r="B696" i="25"/>
  <c r="H695" i="25"/>
  <c r="C695" i="25"/>
  <c r="B695" i="25"/>
  <c r="H694" i="25"/>
  <c r="C694" i="25"/>
  <c r="B694" i="25"/>
  <c r="H693" i="25"/>
  <c r="C693" i="25"/>
  <c r="B693" i="25"/>
  <c r="H692" i="25"/>
  <c r="C692" i="25"/>
  <c r="B692" i="25"/>
  <c r="H691" i="25"/>
  <c r="C691" i="25"/>
  <c r="B691" i="25"/>
  <c r="H690" i="25"/>
  <c r="C690" i="25"/>
  <c r="B690" i="25"/>
  <c r="H689" i="25"/>
  <c r="C689" i="25"/>
  <c r="B689" i="25"/>
  <c r="H688" i="25"/>
  <c r="C688" i="25"/>
  <c r="B688" i="25"/>
  <c r="H687" i="25"/>
  <c r="C687" i="25"/>
  <c r="B687" i="25"/>
  <c r="H686" i="25"/>
  <c r="C686" i="25"/>
  <c r="B686" i="25"/>
  <c r="H685" i="25"/>
  <c r="C685" i="25"/>
  <c r="B685" i="25"/>
  <c r="H684" i="25"/>
  <c r="C684" i="25"/>
  <c r="B684" i="25"/>
  <c r="H683" i="25"/>
  <c r="C683" i="25"/>
  <c r="B683" i="25"/>
  <c r="H682" i="25"/>
  <c r="C682" i="25"/>
  <c r="B682" i="25"/>
  <c r="H681" i="25"/>
  <c r="C681" i="25"/>
  <c r="B681" i="25"/>
  <c r="H680" i="25"/>
  <c r="C680" i="25"/>
  <c r="B680" i="25"/>
  <c r="H679" i="25"/>
  <c r="C679" i="25"/>
  <c r="B679" i="25"/>
  <c r="H678" i="25"/>
  <c r="C678" i="25"/>
  <c r="B678" i="25"/>
  <c r="H677" i="25"/>
  <c r="C677" i="25"/>
  <c r="B677" i="25"/>
  <c r="H676" i="25"/>
  <c r="C676" i="25"/>
  <c r="B676" i="25"/>
  <c r="H675" i="25"/>
  <c r="C675" i="25"/>
  <c r="B675" i="25"/>
  <c r="H674" i="25"/>
  <c r="C674" i="25"/>
  <c r="B674" i="25"/>
  <c r="H673" i="25"/>
  <c r="C673" i="25"/>
  <c r="B673" i="25"/>
  <c r="H672" i="25"/>
  <c r="C672" i="25"/>
  <c r="B672" i="25"/>
  <c r="H671" i="25"/>
  <c r="C671" i="25"/>
  <c r="B671" i="25"/>
  <c r="H670" i="25"/>
  <c r="C670" i="25"/>
  <c r="B670" i="25"/>
  <c r="H669" i="25"/>
  <c r="C669" i="25"/>
  <c r="B669" i="25"/>
  <c r="H668" i="25"/>
  <c r="C668" i="25"/>
  <c r="B668" i="25"/>
  <c r="H667" i="25"/>
  <c r="C667" i="25"/>
  <c r="B667" i="25"/>
  <c r="H666" i="25"/>
  <c r="C666" i="25"/>
  <c r="B666" i="25"/>
  <c r="H665" i="25"/>
  <c r="C665" i="25"/>
  <c r="B665" i="25"/>
  <c r="H664" i="25"/>
  <c r="C664" i="25"/>
  <c r="B664" i="25"/>
  <c r="H663" i="25"/>
  <c r="C663" i="25"/>
  <c r="B663" i="25"/>
  <c r="H662" i="25"/>
  <c r="C662" i="25"/>
  <c r="B662" i="25"/>
  <c r="H661" i="25"/>
  <c r="C661" i="25"/>
  <c r="H660" i="25"/>
  <c r="C660" i="25"/>
  <c r="H659" i="25"/>
  <c r="C659" i="25"/>
  <c r="H658" i="25"/>
  <c r="C658" i="25"/>
  <c r="H657" i="25"/>
  <c r="C657" i="25"/>
  <c r="H656" i="25"/>
  <c r="C656" i="25"/>
  <c r="H655" i="25"/>
  <c r="C655" i="25"/>
  <c r="H654" i="25"/>
  <c r="C654" i="25"/>
  <c r="H653" i="25"/>
  <c r="C653" i="25"/>
  <c r="H652" i="25"/>
  <c r="C652" i="25"/>
  <c r="H651" i="25"/>
  <c r="C651" i="25"/>
  <c r="H650" i="25"/>
  <c r="C650" i="25"/>
  <c r="H649" i="25"/>
  <c r="C649" i="25"/>
  <c r="H648" i="25"/>
  <c r="C648" i="25"/>
  <c r="H647" i="25"/>
  <c r="C647" i="25"/>
  <c r="H646" i="25"/>
  <c r="C646" i="25"/>
  <c r="H645" i="25"/>
  <c r="C645" i="25"/>
  <c r="H644" i="25"/>
  <c r="C644" i="25"/>
  <c r="H643" i="25"/>
  <c r="C643" i="25"/>
  <c r="H642" i="25"/>
  <c r="C642" i="25"/>
  <c r="H641" i="25"/>
  <c r="C641" i="25"/>
  <c r="H640" i="25"/>
  <c r="C640" i="25"/>
  <c r="H639" i="25"/>
  <c r="C639" i="25"/>
  <c r="H638" i="25"/>
  <c r="C638" i="25"/>
  <c r="H637" i="25"/>
  <c r="C637" i="25"/>
  <c r="H636" i="25"/>
  <c r="C636" i="25"/>
  <c r="H635" i="25"/>
  <c r="C635" i="25"/>
  <c r="H634" i="25"/>
  <c r="C634" i="25"/>
  <c r="H633" i="25"/>
  <c r="C633" i="25"/>
  <c r="H632" i="25"/>
  <c r="C632" i="25"/>
  <c r="H631" i="25"/>
  <c r="C631" i="25"/>
  <c r="H630" i="25"/>
  <c r="C630" i="25"/>
  <c r="H629" i="25"/>
  <c r="C629" i="25"/>
  <c r="H628" i="25"/>
  <c r="C628" i="25"/>
  <c r="H627" i="25"/>
  <c r="C627" i="25"/>
  <c r="H626" i="25"/>
  <c r="C626" i="25"/>
  <c r="H625" i="25"/>
  <c r="C625" i="25"/>
  <c r="H624" i="25"/>
  <c r="C624" i="25"/>
  <c r="H623" i="25"/>
  <c r="C623" i="25"/>
  <c r="H622" i="25"/>
  <c r="C622" i="25"/>
  <c r="H621" i="25"/>
  <c r="C621" i="25"/>
  <c r="H620" i="25"/>
  <c r="C620" i="25"/>
  <c r="H619" i="25"/>
  <c r="C619" i="25"/>
  <c r="H618" i="25"/>
  <c r="C618" i="25"/>
  <c r="H617" i="25"/>
  <c r="C617" i="25"/>
  <c r="H616" i="25"/>
  <c r="C616" i="25"/>
  <c r="H615" i="25"/>
  <c r="C615" i="25"/>
  <c r="H614" i="25"/>
  <c r="C614" i="25"/>
  <c r="H613" i="25"/>
  <c r="C613" i="25"/>
  <c r="H612" i="25"/>
  <c r="C612" i="25"/>
  <c r="H611" i="25"/>
  <c r="C611" i="25"/>
  <c r="H610" i="25"/>
  <c r="C610" i="25"/>
  <c r="H609" i="25"/>
  <c r="C609" i="25"/>
  <c r="H608" i="25"/>
  <c r="C608" i="25"/>
  <c r="H607" i="25"/>
  <c r="C607" i="25"/>
  <c r="H606" i="25"/>
  <c r="C606" i="25"/>
  <c r="H605" i="25"/>
  <c r="C605" i="25"/>
  <c r="H604" i="25"/>
  <c r="C604" i="25"/>
  <c r="H603" i="25"/>
  <c r="C603" i="25"/>
  <c r="H602" i="25"/>
  <c r="C602" i="25"/>
  <c r="H601" i="25"/>
  <c r="C601" i="25"/>
  <c r="H600" i="25"/>
  <c r="C600" i="25"/>
  <c r="H599" i="25"/>
  <c r="C599" i="25"/>
  <c r="H598" i="25"/>
  <c r="C598" i="25"/>
  <c r="H597" i="25"/>
  <c r="C597" i="25"/>
  <c r="H596" i="25"/>
  <c r="C596" i="25"/>
  <c r="H595" i="25"/>
  <c r="C595" i="25"/>
  <c r="H594" i="25"/>
  <c r="C594" i="25"/>
  <c r="H593" i="25"/>
  <c r="C593" i="25"/>
  <c r="H592" i="25"/>
  <c r="C592" i="25"/>
  <c r="H591" i="25"/>
  <c r="C591" i="25"/>
  <c r="H590" i="25"/>
  <c r="C590" i="25"/>
  <c r="H589" i="25"/>
  <c r="C589" i="25"/>
  <c r="H588" i="25"/>
  <c r="C588" i="25"/>
  <c r="H587" i="25"/>
  <c r="C587" i="25"/>
  <c r="H586" i="25"/>
  <c r="C586" i="25"/>
  <c r="H585" i="25"/>
  <c r="C585" i="25"/>
  <c r="H584" i="25"/>
  <c r="C584" i="25"/>
  <c r="H583" i="25"/>
  <c r="C583" i="25"/>
  <c r="H582" i="25"/>
  <c r="C582" i="25"/>
  <c r="H581" i="25"/>
  <c r="C581" i="25"/>
  <c r="H580" i="25"/>
  <c r="C580" i="25"/>
  <c r="H579" i="25"/>
  <c r="C579" i="25"/>
  <c r="H578" i="25"/>
  <c r="C578" i="25"/>
  <c r="H577" i="25"/>
  <c r="C577" i="25"/>
  <c r="H576" i="25"/>
  <c r="C576" i="25"/>
  <c r="H575" i="25"/>
  <c r="C575" i="25"/>
  <c r="H574" i="25"/>
  <c r="C574" i="25"/>
  <c r="H573" i="25"/>
  <c r="C573" i="25"/>
  <c r="H572" i="25"/>
  <c r="C572" i="25"/>
  <c r="H571" i="25"/>
  <c r="C571" i="25"/>
  <c r="H570" i="25"/>
  <c r="C570" i="25"/>
  <c r="H569" i="25"/>
  <c r="C569" i="25"/>
  <c r="H568" i="25"/>
  <c r="C568" i="25"/>
  <c r="H567" i="25"/>
  <c r="C567" i="25"/>
  <c r="H566" i="25"/>
  <c r="C566" i="25"/>
  <c r="H565" i="25"/>
  <c r="C565" i="25"/>
  <c r="H564" i="25"/>
  <c r="C564" i="25"/>
  <c r="H563" i="25"/>
  <c r="C563" i="25"/>
  <c r="H562" i="25"/>
  <c r="C562" i="25"/>
  <c r="H561" i="25"/>
  <c r="C561" i="25"/>
  <c r="H560" i="25"/>
  <c r="C560" i="25"/>
  <c r="H559" i="25"/>
  <c r="C559" i="25"/>
  <c r="H558" i="25"/>
  <c r="C558" i="25"/>
  <c r="H557" i="25"/>
  <c r="C557" i="25"/>
  <c r="H556" i="25"/>
  <c r="C556" i="25"/>
  <c r="H555" i="25"/>
  <c r="C555" i="25"/>
  <c r="H554" i="25"/>
  <c r="C554" i="25"/>
  <c r="H553" i="25"/>
  <c r="C553" i="25"/>
  <c r="H552" i="25"/>
  <c r="C552" i="25"/>
  <c r="H551" i="25"/>
  <c r="C551" i="25"/>
  <c r="H550" i="25"/>
  <c r="C550" i="25"/>
  <c r="H549" i="25"/>
  <c r="C549" i="25"/>
  <c r="H548" i="25"/>
  <c r="C548" i="25"/>
  <c r="H547" i="25"/>
  <c r="C547" i="25"/>
  <c r="H546" i="25"/>
  <c r="C546" i="25"/>
  <c r="H545" i="25"/>
  <c r="C545" i="25"/>
  <c r="H544" i="25"/>
  <c r="C544" i="25"/>
  <c r="H543" i="25"/>
  <c r="C543" i="25"/>
  <c r="H542" i="25"/>
  <c r="C542" i="25"/>
  <c r="H541" i="25"/>
  <c r="C541" i="25"/>
  <c r="H540" i="25"/>
  <c r="C540" i="25"/>
  <c r="H539" i="25"/>
  <c r="C539" i="25"/>
  <c r="H538" i="25"/>
  <c r="C538" i="25"/>
  <c r="H537" i="25"/>
  <c r="C537" i="25"/>
  <c r="H536" i="25"/>
  <c r="C536" i="25"/>
  <c r="H535" i="25"/>
  <c r="C535" i="25"/>
  <c r="H534" i="25"/>
  <c r="C534" i="25"/>
  <c r="H533" i="25"/>
  <c r="C533" i="25"/>
  <c r="H532" i="25"/>
  <c r="C532" i="25"/>
  <c r="H531" i="25"/>
  <c r="C531" i="25"/>
  <c r="H530" i="25"/>
  <c r="C530" i="25"/>
  <c r="H529" i="25"/>
  <c r="C529" i="25"/>
  <c r="H528" i="25"/>
  <c r="C528" i="25"/>
  <c r="H527" i="25"/>
  <c r="C527" i="25"/>
  <c r="H526" i="25"/>
  <c r="C526" i="25"/>
  <c r="H525" i="25"/>
  <c r="C525" i="25"/>
  <c r="H524" i="25"/>
  <c r="C524" i="25"/>
  <c r="H523" i="25"/>
  <c r="C523" i="25"/>
  <c r="H522" i="25"/>
  <c r="C522" i="25"/>
  <c r="H521" i="25"/>
  <c r="C521" i="25"/>
  <c r="H520" i="25"/>
  <c r="C520" i="25"/>
  <c r="H519" i="25"/>
  <c r="C519" i="25"/>
  <c r="H518" i="25"/>
  <c r="C518" i="25"/>
  <c r="H517" i="25"/>
  <c r="C517" i="25"/>
  <c r="H516" i="25"/>
  <c r="C516" i="25"/>
  <c r="H515" i="25"/>
  <c r="C515" i="25"/>
  <c r="H514" i="25"/>
  <c r="C514" i="25"/>
  <c r="H513" i="25"/>
  <c r="C513" i="25"/>
  <c r="H512" i="25"/>
  <c r="C512" i="25"/>
  <c r="H511" i="25"/>
  <c r="C511" i="25"/>
  <c r="H510" i="25"/>
  <c r="C510" i="25"/>
  <c r="H509" i="25"/>
  <c r="C509" i="25"/>
  <c r="H508" i="25"/>
  <c r="C508" i="25"/>
  <c r="H507" i="25"/>
  <c r="C507" i="25"/>
  <c r="H506" i="25"/>
  <c r="C506" i="25"/>
  <c r="H505" i="25"/>
  <c r="C505" i="25"/>
  <c r="H504" i="25"/>
  <c r="C504" i="25"/>
  <c r="H503" i="25"/>
  <c r="C503" i="25"/>
  <c r="H502" i="25"/>
  <c r="C502" i="25"/>
  <c r="H501" i="25"/>
  <c r="C501" i="25"/>
  <c r="H500" i="25"/>
  <c r="C500" i="25"/>
  <c r="H499" i="25"/>
  <c r="C499" i="25"/>
  <c r="H498" i="25"/>
  <c r="C498" i="25"/>
  <c r="H497" i="25"/>
  <c r="C497" i="25"/>
  <c r="H496" i="25"/>
  <c r="C496" i="25"/>
  <c r="H495" i="25"/>
  <c r="C495" i="25"/>
  <c r="H494" i="25"/>
  <c r="C494" i="25"/>
  <c r="H493" i="25"/>
  <c r="C493" i="25"/>
  <c r="H492" i="25"/>
  <c r="C492" i="25"/>
  <c r="H491" i="25"/>
  <c r="C491" i="25"/>
  <c r="H490" i="25"/>
  <c r="C490" i="25"/>
  <c r="H489" i="25"/>
  <c r="C489" i="25"/>
  <c r="H488" i="25"/>
  <c r="C488" i="25"/>
  <c r="H487" i="25"/>
  <c r="C487" i="25"/>
  <c r="H486" i="25"/>
  <c r="C486" i="25"/>
  <c r="H485" i="25"/>
  <c r="C485" i="25"/>
  <c r="H484" i="25"/>
  <c r="C484" i="25"/>
  <c r="H483" i="25"/>
  <c r="C483" i="25"/>
  <c r="H482" i="25"/>
  <c r="C482" i="25"/>
  <c r="H481" i="25"/>
  <c r="C481" i="25"/>
  <c r="H480" i="25"/>
  <c r="C480" i="25"/>
  <c r="H479" i="25"/>
  <c r="C479" i="25"/>
  <c r="H478" i="25"/>
  <c r="C478" i="25"/>
  <c r="H477" i="25"/>
  <c r="C477" i="25"/>
  <c r="H476" i="25"/>
  <c r="C476" i="25"/>
  <c r="H475" i="25"/>
  <c r="C475" i="25"/>
  <c r="H474" i="25"/>
  <c r="C474" i="25"/>
  <c r="H473" i="25"/>
  <c r="C473" i="25"/>
  <c r="H472" i="25"/>
  <c r="C472" i="25"/>
  <c r="H471" i="25"/>
  <c r="C471" i="25"/>
  <c r="H470" i="25"/>
  <c r="C470" i="25"/>
  <c r="H469" i="25"/>
  <c r="C469" i="25"/>
  <c r="H468" i="25"/>
  <c r="C468" i="25"/>
  <c r="H467" i="25"/>
  <c r="C467" i="25"/>
  <c r="H466" i="25"/>
  <c r="C466" i="25"/>
  <c r="H465" i="25"/>
  <c r="C465" i="25"/>
  <c r="H464" i="25"/>
  <c r="C464" i="25"/>
  <c r="H463" i="25"/>
  <c r="C463" i="25"/>
  <c r="H462" i="25"/>
  <c r="C462" i="25"/>
  <c r="H461" i="25"/>
  <c r="C461" i="25"/>
  <c r="H460" i="25"/>
  <c r="C460" i="25"/>
  <c r="H459" i="25"/>
  <c r="C459" i="25"/>
  <c r="H458" i="25"/>
  <c r="C458" i="25"/>
  <c r="H457" i="25"/>
  <c r="C457" i="25"/>
  <c r="H456" i="25"/>
  <c r="C456" i="25"/>
  <c r="H455" i="25"/>
  <c r="C455" i="25"/>
  <c r="H454" i="25"/>
  <c r="C454" i="25"/>
  <c r="H453" i="25"/>
  <c r="C453" i="25"/>
  <c r="H452" i="25"/>
  <c r="C452" i="25"/>
  <c r="H451" i="25"/>
  <c r="C451" i="25"/>
  <c r="H450" i="25"/>
  <c r="C450" i="25"/>
  <c r="H449" i="25"/>
  <c r="C449" i="25"/>
  <c r="H448" i="25"/>
  <c r="C448" i="25"/>
  <c r="H447" i="25"/>
  <c r="C447" i="25"/>
  <c r="H446" i="25"/>
  <c r="C446" i="25"/>
  <c r="H445" i="25"/>
  <c r="C445" i="25"/>
  <c r="H444" i="25"/>
  <c r="C444" i="25"/>
  <c r="H443" i="25"/>
  <c r="C443" i="25"/>
  <c r="H442" i="25"/>
  <c r="C442" i="25"/>
  <c r="H441" i="25"/>
  <c r="C441" i="25"/>
  <c r="B441" i="25"/>
  <c r="H440" i="25"/>
  <c r="C440" i="25"/>
  <c r="B440" i="25"/>
  <c r="H439" i="25"/>
  <c r="C439" i="25"/>
  <c r="B439" i="25"/>
  <c r="H438" i="25"/>
  <c r="C438" i="25"/>
  <c r="B438" i="25"/>
  <c r="H437" i="25"/>
  <c r="C437" i="25"/>
  <c r="B437" i="25"/>
  <c r="H436" i="25"/>
  <c r="C436" i="25"/>
  <c r="B436" i="25"/>
  <c r="H435" i="25"/>
  <c r="C435" i="25"/>
  <c r="B435" i="25"/>
  <c r="H434" i="25"/>
  <c r="C434" i="25"/>
  <c r="B434" i="25"/>
  <c r="H433" i="25"/>
  <c r="C433" i="25"/>
  <c r="B433" i="25"/>
  <c r="H432" i="25"/>
  <c r="C432" i="25"/>
  <c r="B432" i="25"/>
  <c r="H431" i="25"/>
  <c r="C431" i="25"/>
  <c r="B431" i="25"/>
  <c r="H430" i="25"/>
  <c r="C430" i="25"/>
  <c r="B430" i="25"/>
  <c r="H429" i="25"/>
  <c r="C429" i="25"/>
  <c r="B429" i="25"/>
  <c r="H428" i="25"/>
  <c r="C428" i="25"/>
  <c r="B428" i="25"/>
  <c r="H427" i="25"/>
  <c r="C427" i="25"/>
  <c r="B427" i="25"/>
  <c r="H426" i="25"/>
  <c r="C426" i="25"/>
  <c r="B426" i="25"/>
  <c r="H425" i="25"/>
  <c r="C425" i="25"/>
  <c r="B425" i="25"/>
  <c r="H424" i="25"/>
  <c r="C424" i="25"/>
  <c r="B424" i="25"/>
  <c r="H423" i="25"/>
  <c r="C423" i="25"/>
  <c r="B423" i="25"/>
  <c r="H422" i="25"/>
  <c r="C422" i="25"/>
  <c r="B422" i="25"/>
  <c r="H421" i="25"/>
  <c r="C421" i="25"/>
  <c r="B421" i="25"/>
  <c r="H420" i="25"/>
  <c r="C420" i="25"/>
  <c r="B420" i="25"/>
  <c r="H419" i="25"/>
  <c r="C419" i="25"/>
  <c r="B419" i="25"/>
  <c r="H418" i="25"/>
  <c r="C418" i="25"/>
  <c r="B418" i="25"/>
  <c r="H417" i="25"/>
  <c r="C417" i="25"/>
  <c r="B417" i="25"/>
  <c r="H416" i="25"/>
  <c r="C416" i="25"/>
  <c r="B416" i="25"/>
  <c r="H415" i="25"/>
  <c r="C415" i="25"/>
  <c r="B415" i="25"/>
  <c r="H414" i="25"/>
  <c r="C414" i="25"/>
  <c r="B414" i="25"/>
  <c r="H413" i="25"/>
  <c r="C413" i="25"/>
  <c r="B413" i="25"/>
  <c r="H412" i="25"/>
  <c r="C412" i="25"/>
  <c r="B412" i="25"/>
  <c r="H411" i="25"/>
  <c r="C411" i="25"/>
  <c r="B411" i="25"/>
  <c r="H410" i="25"/>
  <c r="C410" i="25"/>
  <c r="B410" i="25"/>
  <c r="H409" i="25"/>
  <c r="C409" i="25"/>
  <c r="B409" i="25"/>
  <c r="H408" i="25"/>
  <c r="C408" i="25"/>
  <c r="B408" i="25"/>
  <c r="H407" i="25"/>
  <c r="C407" i="25"/>
  <c r="B407" i="25"/>
  <c r="H406" i="25"/>
  <c r="C406" i="25"/>
  <c r="B406" i="25"/>
  <c r="H405" i="25"/>
  <c r="C405" i="25"/>
  <c r="B405" i="25"/>
  <c r="H404" i="25"/>
  <c r="C404" i="25"/>
  <c r="B404" i="25"/>
  <c r="H403" i="25"/>
  <c r="C403" i="25"/>
  <c r="B403" i="25"/>
  <c r="H402" i="25"/>
  <c r="C402" i="25"/>
  <c r="B402" i="25"/>
  <c r="H401" i="25"/>
  <c r="C401" i="25"/>
  <c r="B401" i="25"/>
  <c r="H400" i="25"/>
  <c r="C400" i="25"/>
  <c r="B400" i="25"/>
  <c r="H399" i="25"/>
  <c r="C399" i="25"/>
  <c r="B399" i="25"/>
  <c r="H398" i="25"/>
  <c r="C398" i="25"/>
  <c r="B398" i="25"/>
  <c r="H397" i="25"/>
  <c r="C397" i="25"/>
  <c r="B397" i="25"/>
  <c r="H396" i="25"/>
  <c r="C396" i="25"/>
  <c r="B396" i="25"/>
  <c r="H395" i="25"/>
  <c r="C395" i="25"/>
  <c r="B395" i="25"/>
  <c r="H394" i="25"/>
  <c r="C394" i="25"/>
  <c r="B394" i="25"/>
  <c r="H393" i="25"/>
  <c r="C393" i="25"/>
  <c r="B393" i="25"/>
  <c r="H392" i="25"/>
  <c r="C392" i="25"/>
  <c r="B392" i="25"/>
  <c r="H391" i="25"/>
  <c r="C391" i="25"/>
  <c r="B391" i="25"/>
  <c r="H390" i="25"/>
  <c r="C390" i="25"/>
  <c r="B390" i="25"/>
  <c r="H389" i="25"/>
  <c r="C389" i="25"/>
  <c r="B389" i="25"/>
  <c r="H388" i="25"/>
  <c r="C388" i="25"/>
  <c r="B388" i="25"/>
  <c r="H387" i="25"/>
  <c r="C387" i="25"/>
  <c r="B387" i="25"/>
  <c r="H386" i="25"/>
  <c r="C386" i="25"/>
  <c r="B386" i="25"/>
  <c r="H385" i="25"/>
  <c r="C385" i="25"/>
  <c r="B385" i="25"/>
  <c r="H384" i="25"/>
  <c r="C384" i="25"/>
  <c r="B384" i="25"/>
  <c r="H383" i="25"/>
  <c r="C383" i="25"/>
  <c r="B383" i="25"/>
  <c r="H382" i="25"/>
  <c r="C382" i="25"/>
  <c r="B382" i="25"/>
  <c r="H381" i="25"/>
  <c r="C381" i="25"/>
  <c r="B381" i="25"/>
  <c r="H380" i="25"/>
  <c r="C380" i="25"/>
  <c r="B380" i="25"/>
  <c r="H379" i="25"/>
  <c r="C379" i="25"/>
  <c r="B379" i="25"/>
  <c r="H378" i="25"/>
  <c r="C378" i="25"/>
  <c r="B378" i="25"/>
  <c r="H377" i="25"/>
  <c r="C377" i="25"/>
  <c r="B377" i="25"/>
  <c r="H376" i="25"/>
  <c r="C376" i="25"/>
  <c r="B376" i="25"/>
  <c r="H375" i="25"/>
  <c r="C375" i="25"/>
  <c r="B375" i="25"/>
  <c r="H374" i="25"/>
  <c r="C374" i="25"/>
  <c r="B374" i="25"/>
  <c r="H373" i="25"/>
  <c r="C373" i="25"/>
  <c r="B373" i="25"/>
  <c r="H372" i="25"/>
  <c r="C372" i="25"/>
  <c r="B372" i="25"/>
  <c r="H371" i="25"/>
  <c r="C371" i="25"/>
  <c r="B371" i="25"/>
  <c r="H370" i="25"/>
  <c r="C370" i="25"/>
  <c r="B370" i="25"/>
  <c r="H369" i="25"/>
  <c r="C369" i="25"/>
  <c r="B369" i="25"/>
  <c r="H368" i="25"/>
  <c r="C368" i="25"/>
  <c r="B368" i="25"/>
  <c r="H367" i="25"/>
  <c r="C367" i="25"/>
  <c r="B367" i="25"/>
  <c r="H366" i="25"/>
  <c r="C366" i="25"/>
  <c r="B366" i="25"/>
  <c r="H365" i="25"/>
  <c r="C365" i="25"/>
  <c r="B365" i="25"/>
  <c r="H364" i="25"/>
  <c r="C364" i="25"/>
  <c r="B364" i="25"/>
  <c r="H363" i="25"/>
  <c r="C363" i="25"/>
  <c r="B363" i="25"/>
  <c r="H362" i="25"/>
  <c r="C362" i="25"/>
  <c r="B362" i="25"/>
  <c r="H361" i="25"/>
  <c r="C361" i="25"/>
  <c r="B361" i="25"/>
  <c r="H360" i="25"/>
  <c r="C360" i="25"/>
  <c r="B360" i="25"/>
  <c r="H359" i="25"/>
  <c r="C359" i="25"/>
  <c r="B359" i="25"/>
  <c r="H358" i="25"/>
  <c r="C358" i="25"/>
  <c r="B358" i="25"/>
  <c r="H357" i="25"/>
  <c r="C357" i="25"/>
  <c r="B357" i="25"/>
  <c r="H356" i="25"/>
  <c r="C356" i="25"/>
  <c r="B356" i="25"/>
  <c r="H355" i="25"/>
  <c r="C355" i="25"/>
  <c r="B355" i="25"/>
  <c r="H354" i="25"/>
  <c r="C354" i="25"/>
  <c r="B354" i="25"/>
  <c r="H353" i="25"/>
  <c r="C353" i="25"/>
  <c r="B353" i="25"/>
  <c r="H352" i="25"/>
  <c r="C352" i="25"/>
  <c r="B352" i="25"/>
  <c r="H351" i="25"/>
  <c r="C351" i="25"/>
  <c r="B351" i="25"/>
  <c r="H350" i="25"/>
  <c r="C350" i="25"/>
  <c r="B350" i="25"/>
  <c r="H349" i="25"/>
  <c r="C349" i="25"/>
  <c r="B349" i="25"/>
  <c r="H348" i="25"/>
  <c r="C348" i="25"/>
  <c r="B348" i="25"/>
  <c r="H347" i="25"/>
  <c r="C347" i="25"/>
  <c r="B347" i="25"/>
  <c r="H346" i="25"/>
  <c r="C346" i="25"/>
  <c r="B346" i="25"/>
  <c r="H345" i="25"/>
  <c r="C345" i="25"/>
  <c r="B345" i="25"/>
  <c r="H344" i="25"/>
  <c r="C344" i="25"/>
  <c r="B344" i="25"/>
  <c r="H343" i="25"/>
  <c r="C343" i="25"/>
  <c r="B343" i="25"/>
  <c r="H342" i="25"/>
  <c r="C342" i="25"/>
  <c r="B342" i="25"/>
  <c r="H341" i="25"/>
  <c r="C341" i="25"/>
  <c r="B341" i="25"/>
  <c r="H340" i="25"/>
  <c r="C340" i="25"/>
  <c r="B340" i="25"/>
  <c r="H339" i="25"/>
  <c r="C339" i="25"/>
  <c r="B339" i="25"/>
  <c r="H338" i="25"/>
  <c r="C338" i="25"/>
  <c r="B338" i="25"/>
  <c r="H337" i="25"/>
  <c r="C337" i="25"/>
  <c r="B337" i="25"/>
  <c r="H336" i="25"/>
  <c r="C336" i="25"/>
  <c r="B336" i="25"/>
  <c r="H335" i="25"/>
  <c r="C335" i="25"/>
  <c r="B335" i="25"/>
  <c r="H334" i="25"/>
  <c r="C334" i="25"/>
  <c r="B334" i="25"/>
  <c r="H333" i="25"/>
  <c r="C333" i="25"/>
  <c r="B333" i="25"/>
  <c r="H332" i="25"/>
  <c r="C332" i="25"/>
  <c r="B332" i="25"/>
  <c r="H331" i="25"/>
  <c r="C331" i="25"/>
  <c r="B331" i="25"/>
  <c r="H330" i="25"/>
  <c r="C330" i="25"/>
  <c r="B330" i="25"/>
  <c r="H329" i="25"/>
  <c r="C329" i="25"/>
  <c r="B329" i="25"/>
  <c r="H328" i="25"/>
  <c r="C328" i="25"/>
  <c r="B328" i="25"/>
  <c r="H327" i="25"/>
  <c r="C327" i="25"/>
  <c r="B327" i="25"/>
  <c r="H326" i="25"/>
  <c r="C326" i="25"/>
  <c r="B326" i="25"/>
  <c r="H325" i="25"/>
  <c r="C325" i="25"/>
  <c r="B325" i="25"/>
  <c r="H324" i="25"/>
  <c r="C324" i="25"/>
  <c r="B324" i="25"/>
  <c r="H323" i="25"/>
  <c r="C323" i="25"/>
  <c r="B323" i="25"/>
  <c r="H322" i="25"/>
  <c r="C322" i="25"/>
  <c r="B322" i="25"/>
  <c r="H321" i="25"/>
  <c r="C321" i="25"/>
  <c r="B321" i="25"/>
  <c r="H320" i="25"/>
  <c r="C320" i="25"/>
  <c r="B320" i="25"/>
  <c r="H319" i="25"/>
  <c r="C319" i="25"/>
  <c r="B319" i="25"/>
  <c r="H318" i="25"/>
  <c r="C318" i="25"/>
  <c r="B318" i="25"/>
  <c r="H317" i="25"/>
  <c r="C317" i="25"/>
  <c r="B317" i="25"/>
  <c r="H316" i="25"/>
  <c r="C316" i="25"/>
  <c r="B316" i="25"/>
  <c r="H315" i="25"/>
  <c r="C315" i="25"/>
  <c r="B315" i="25"/>
  <c r="H314" i="25"/>
  <c r="C314" i="25"/>
  <c r="B314" i="25"/>
  <c r="H313" i="25"/>
  <c r="C313" i="25"/>
  <c r="B313" i="25"/>
  <c r="H312" i="25"/>
  <c r="C312" i="25"/>
  <c r="B312" i="25"/>
  <c r="H311" i="25"/>
  <c r="C311" i="25"/>
  <c r="B311" i="25"/>
  <c r="H310" i="25"/>
  <c r="C310" i="25"/>
  <c r="B310" i="25"/>
  <c r="H309" i="25"/>
  <c r="C309" i="25"/>
  <c r="B309" i="25"/>
  <c r="H308" i="25"/>
  <c r="C308" i="25"/>
  <c r="B308" i="25"/>
  <c r="H307" i="25"/>
  <c r="C307" i="25"/>
  <c r="B307" i="25"/>
  <c r="H306" i="25"/>
  <c r="C306" i="25"/>
  <c r="B306" i="25"/>
  <c r="H305" i="25"/>
  <c r="C305" i="25"/>
  <c r="B305" i="25"/>
  <c r="H304" i="25"/>
  <c r="C304" i="25"/>
  <c r="B304" i="25"/>
  <c r="H303" i="25"/>
  <c r="C303" i="25"/>
  <c r="B303" i="25"/>
  <c r="H302" i="25"/>
  <c r="C302" i="25"/>
  <c r="B302" i="25"/>
  <c r="H301" i="25"/>
  <c r="C301" i="25"/>
  <c r="B301" i="25"/>
  <c r="H300" i="25"/>
  <c r="C300" i="25"/>
  <c r="B300" i="25"/>
  <c r="H299" i="25"/>
  <c r="C299" i="25"/>
  <c r="B299" i="25"/>
  <c r="H298" i="25"/>
  <c r="C298" i="25"/>
  <c r="B298" i="25"/>
  <c r="H297" i="25"/>
  <c r="C297" i="25"/>
  <c r="B297" i="25"/>
  <c r="H296" i="25"/>
  <c r="C296" i="25"/>
  <c r="B296" i="25"/>
  <c r="H295" i="25"/>
  <c r="C295" i="25"/>
  <c r="B295" i="25"/>
  <c r="H294" i="25"/>
  <c r="C294" i="25"/>
  <c r="B294" i="25"/>
  <c r="H293" i="25"/>
  <c r="C293" i="25"/>
  <c r="B293" i="25"/>
  <c r="H292" i="25"/>
  <c r="C292" i="25"/>
  <c r="B292" i="25"/>
  <c r="H291" i="25"/>
  <c r="C291" i="25"/>
  <c r="B291" i="25"/>
  <c r="H290" i="25"/>
  <c r="C290" i="25"/>
  <c r="B290" i="25"/>
  <c r="H289" i="25"/>
  <c r="C289" i="25"/>
  <c r="B289" i="25"/>
  <c r="H288" i="25"/>
  <c r="C288" i="25"/>
  <c r="B288" i="25"/>
  <c r="H287" i="25"/>
  <c r="C287" i="25"/>
  <c r="B287" i="25"/>
  <c r="H286" i="25"/>
  <c r="C286" i="25"/>
  <c r="B286" i="25"/>
  <c r="H285" i="25"/>
  <c r="C285" i="25"/>
  <c r="B285" i="25"/>
  <c r="H284" i="25"/>
  <c r="C284" i="25"/>
  <c r="B284" i="25"/>
  <c r="H283" i="25"/>
  <c r="C283" i="25"/>
  <c r="B283" i="25"/>
  <c r="H282" i="25"/>
  <c r="C282" i="25"/>
  <c r="B282" i="25"/>
  <c r="H281" i="25"/>
  <c r="C281" i="25"/>
  <c r="B281" i="25"/>
  <c r="H280" i="25"/>
  <c r="C280" i="25"/>
  <c r="B280" i="25"/>
  <c r="H279" i="25"/>
  <c r="C279" i="25"/>
  <c r="B279" i="25"/>
  <c r="H278" i="25"/>
  <c r="C278" i="25"/>
  <c r="B278" i="25"/>
  <c r="H277" i="25"/>
  <c r="C277" i="25"/>
  <c r="B277" i="25"/>
  <c r="H276" i="25"/>
  <c r="C276" i="25"/>
  <c r="B276" i="25"/>
  <c r="H275" i="25"/>
  <c r="C275" i="25"/>
  <c r="B275" i="25"/>
  <c r="H274" i="25"/>
  <c r="C274" i="25"/>
  <c r="B274" i="25"/>
  <c r="H273" i="25"/>
  <c r="C273" i="25"/>
  <c r="B273" i="25"/>
  <c r="H272" i="25"/>
  <c r="C272" i="25"/>
  <c r="B272" i="25"/>
  <c r="H271" i="25"/>
  <c r="C271" i="25"/>
  <c r="B271" i="25"/>
  <c r="H270" i="25"/>
  <c r="C270" i="25"/>
  <c r="B270" i="25"/>
  <c r="H269" i="25"/>
  <c r="C269" i="25"/>
  <c r="B269" i="25"/>
  <c r="H268" i="25"/>
  <c r="C268" i="25"/>
  <c r="B268" i="25"/>
  <c r="H267" i="25"/>
  <c r="C267" i="25"/>
  <c r="B267" i="25"/>
  <c r="H266" i="25"/>
  <c r="C266" i="25"/>
  <c r="B266" i="25"/>
  <c r="H265" i="25"/>
  <c r="C265" i="25"/>
  <c r="B265" i="25"/>
  <c r="H264" i="25"/>
  <c r="C264" i="25"/>
  <c r="B264" i="25"/>
  <c r="H263" i="25"/>
  <c r="C263" i="25"/>
  <c r="B263" i="25"/>
  <c r="H262" i="25"/>
  <c r="C262" i="25"/>
  <c r="B262" i="25"/>
  <c r="H261" i="25"/>
  <c r="C261" i="25"/>
  <c r="B261" i="25"/>
  <c r="H260" i="25"/>
  <c r="C260" i="25"/>
  <c r="B260" i="25"/>
  <c r="H259" i="25"/>
  <c r="C259" i="25"/>
  <c r="B259" i="25"/>
  <c r="H258" i="25"/>
  <c r="C258" i="25"/>
  <c r="B258" i="25"/>
  <c r="H257" i="25"/>
  <c r="C257" i="25"/>
  <c r="B257" i="25"/>
  <c r="H256" i="25"/>
  <c r="C256" i="25"/>
  <c r="B256" i="25"/>
  <c r="H255" i="25"/>
  <c r="C255" i="25"/>
  <c r="B255" i="25"/>
  <c r="H254" i="25"/>
  <c r="C254" i="25"/>
  <c r="B254" i="25"/>
  <c r="H253" i="25"/>
  <c r="C253" i="25"/>
  <c r="B253" i="25"/>
  <c r="H252" i="25"/>
  <c r="C252" i="25"/>
  <c r="B252" i="25"/>
  <c r="H251" i="25"/>
  <c r="C251" i="25"/>
  <c r="B251" i="25"/>
  <c r="H250" i="25"/>
  <c r="C250" i="25"/>
  <c r="B250" i="25"/>
  <c r="H249" i="25"/>
  <c r="C249" i="25"/>
  <c r="B249" i="25"/>
  <c r="H248" i="25"/>
  <c r="C248" i="25"/>
  <c r="B248" i="25"/>
  <c r="H247" i="25"/>
  <c r="C247" i="25"/>
  <c r="B247" i="25"/>
  <c r="H246" i="25"/>
  <c r="C246" i="25"/>
  <c r="B246" i="25"/>
  <c r="H245" i="25"/>
  <c r="C245" i="25"/>
  <c r="B245" i="25"/>
  <c r="H244" i="25"/>
  <c r="C244" i="25"/>
  <c r="B244" i="25"/>
  <c r="H243" i="25"/>
  <c r="C243" i="25"/>
  <c r="B243" i="25"/>
  <c r="H242" i="25"/>
  <c r="C242" i="25"/>
  <c r="B242" i="25"/>
  <c r="H241" i="25"/>
  <c r="C241" i="25"/>
  <c r="B241" i="25"/>
  <c r="H240" i="25"/>
  <c r="C240" i="25"/>
  <c r="B240" i="25"/>
  <c r="H239" i="25"/>
  <c r="C239" i="25"/>
  <c r="B239" i="25"/>
  <c r="H238" i="25"/>
  <c r="C238" i="25"/>
  <c r="B238" i="25"/>
  <c r="H237" i="25"/>
  <c r="C237" i="25"/>
  <c r="B237" i="25"/>
  <c r="H236" i="25"/>
  <c r="C236" i="25"/>
  <c r="B236" i="25"/>
  <c r="H235" i="25"/>
  <c r="C235" i="25"/>
  <c r="B235" i="25"/>
  <c r="H234" i="25"/>
  <c r="C234" i="25"/>
  <c r="B234" i="25"/>
  <c r="H233" i="25"/>
  <c r="C233" i="25"/>
  <c r="B233" i="25"/>
  <c r="H232" i="25"/>
  <c r="C232" i="25"/>
  <c r="B232" i="25"/>
  <c r="H231" i="25"/>
  <c r="C231" i="25"/>
  <c r="B231" i="25"/>
  <c r="H230" i="25"/>
  <c r="C230" i="25"/>
  <c r="B230" i="25"/>
  <c r="H229" i="25"/>
  <c r="C229" i="25"/>
  <c r="B229" i="25"/>
  <c r="H228" i="25"/>
  <c r="C228" i="25"/>
  <c r="B228" i="25"/>
  <c r="H227" i="25"/>
  <c r="C227" i="25"/>
  <c r="B227" i="25"/>
  <c r="H226" i="25"/>
  <c r="C226" i="25"/>
  <c r="B226" i="25"/>
  <c r="H225" i="25"/>
  <c r="C225" i="25"/>
  <c r="B225" i="25"/>
  <c r="H224" i="25"/>
  <c r="C224" i="25"/>
  <c r="B224" i="25"/>
  <c r="H223" i="25"/>
  <c r="C223" i="25"/>
  <c r="B223" i="25"/>
  <c r="H222" i="25"/>
  <c r="C222" i="25"/>
  <c r="B222" i="25"/>
  <c r="H221" i="25"/>
  <c r="C221" i="25"/>
  <c r="H220" i="25"/>
  <c r="H219" i="25"/>
  <c r="C219" i="25"/>
  <c r="H218" i="25"/>
  <c r="C218" i="25"/>
  <c r="H217" i="25"/>
  <c r="C217" i="25"/>
  <c r="H216" i="25"/>
  <c r="C216" i="25"/>
  <c r="H215" i="25"/>
  <c r="C215" i="25"/>
  <c r="H214" i="25"/>
  <c r="C214" i="25"/>
  <c r="H213" i="25"/>
  <c r="C213" i="25"/>
  <c r="H212" i="25"/>
  <c r="C212" i="25"/>
  <c r="H211" i="25"/>
  <c r="C211" i="25"/>
  <c r="H210" i="25"/>
  <c r="C210" i="25"/>
  <c r="H209" i="25"/>
  <c r="C209" i="25"/>
  <c r="H208" i="25"/>
  <c r="C208" i="25"/>
  <c r="H207" i="25"/>
  <c r="C207" i="25"/>
  <c r="H206" i="25"/>
  <c r="C206" i="25"/>
  <c r="H205" i="25"/>
  <c r="C205" i="25"/>
  <c r="H204" i="25"/>
  <c r="C204" i="25"/>
  <c r="H203" i="25"/>
  <c r="C203" i="25"/>
  <c r="H202" i="25"/>
  <c r="C202" i="25"/>
  <c r="H201" i="25"/>
  <c r="C201" i="25"/>
  <c r="H200" i="25"/>
  <c r="C200" i="25"/>
  <c r="H199" i="25"/>
  <c r="C199" i="25"/>
  <c r="H198" i="25"/>
  <c r="C198" i="25"/>
  <c r="H197" i="25"/>
  <c r="C197" i="25"/>
  <c r="H196" i="25"/>
  <c r="C196" i="25"/>
  <c r="H195" i="25"/>
  <c r="C195" i="25"/>
  <c r="H194" i="25"/>
  <c r="C194" i="25"/>
  <c r="H193" i="25"/>
  <c r="C193" i="25"/>
  <c r="H192" i="25"/>
  <c r="C192" i="25"/>
  <c r="H191" i="25"/>
  <c r="C191" i="25"/>
  <c r="H190" i="25"/>
  <c r="C190" i="25"/>
  <c r="H189" i="25"/>
  <c r="C189" i="25"/>
  <c r="H188" i="25"/>
  <c r="C188" i="25"/>
  <c r="H187" i="25"/>
  <c r="C187" i="25"/>
  <c r="H186" i="25"/>
  <c r="C186" i="25"/>
  <c r="H185" i="25"/>
  <c r="C185" i="25"/>
  <c r="H184" i="25"/>
  <c r="C184" i="25"/>
  <c r="H183" i="25"/>
  <c r="C183" i="25"/>
  <c r="H182" i="25"/>
  <c r="C182" i="25"/>
  <c r="H181" i="25"/>
  <c r="C181" i="25"/>
  <c r="H180" i="25"/>
  <c r="C180" i="25"/>
  <c r="H179" i="25"/>
  <c r="C179" i="25"/>
  <c r="H178" i="25"/>
  <c r="C178" i="25"/>
  <c r="H177" i="25"/>
  <c r="C177" i="25"/>
  <c r="H176" i="25"/>
  <c r="C176" i="25"/>
  <c r="H175" i="25"/>
  <c r="C175" i="25"/>
  <c r="H174" i="25"/>
  <c r="C174" i="25"/>
  <c r="H173" i="25"/>
  <c r="C173" i="25"/>
  <c r="H172" i="25"/>
  <c r="C172" i="25"/>
  <c r="H171" i="25"/>
  <c r="C171" i="25"/>
  <c r="H170" i="25"/>
  <c r="C170" i="25"/>
  <c r="H169" i="25"/>
  <c r="C169" i="25"/>
  <c r="H168" i="25"/>
  <c r="C168" i="25"/>
  <c r="H167" i="25"/>
  <c r="C167" i="25"/>
  <c r="H166" i="25"/>
  <c r="C166" i="25"/>
  <c r="H165" i="25"/>
  <c r="C165" i="25"/>
  <c r="H164" i="25"/>
  <c r="C164" i="25"/>
  <c r="H163" i="25"/>
  <c r="C163" i="25"/>
  <c r="H162" i="25"/>
  <c r="C162" i="25"/>
  <c r="H161" i="25"/>
  <c r="C161" i="25"/>
  <c r="H160" i="25"/>
  <c r="C160" i="25"/>
  <c r="H159" i="25"/>
  <c r="C159" i="25"/>
  <c r="H158" i="25"/>
  <c r="C158" i="25"/>
  <c r="H157" i="25"/>
  <c r="C157" i="25"/>
  <c r="H156" i="25"/>
  <c r="C156" i="25"/>
  <c r="H155" i="25"/>
  <c r="C155" i="25"/>
  <c r="H154" i="25"/>
  <c r="C154" i="25"/>
  <c r="H153" i="25"/>
  <c r="C153" i="25"/>
  <c r="H152" i="25"/>
  <c r="C152" i="25"/>
  <c r="H151" i="25"/>
  <c r="C151" i="25"/>
  <c r="H150" i="25"/>
  <c r="C150" i="25"/>
  <c r="H149" i="25"/>
  <c r="C149" i="25"/>
  <c r="H148" i="25"/>
  <c r="C148" i="25"/>
  <c r="H147" i="25"/>
  <c r="C147" i="25"/>
  <c r="H146" i="25"/>
  <c r="C146" i="25"/>
  <c r="H145" i="25"/>
  <c r="C145" i="25"/>
  <c r="H144" i="25"/>
  <c r="C144" i="25"/>
  <c r="H143" i="25"/>
  <c r="C143" i="25"/>
  <c r="H142" i="25"/>
  <c r="C142" i="25"/>
  <c r="H141" i="25"/>
  <c r="C141" i="25"/>
  <c r="H140" i="25"/>
  <c r="C140" i="25"/>
  <c r="H139" i="25"/>
  <c r="C139" i="25"/>
  <c r="H138" i="25"/>
  <c r="C138" i="25"/>
  <c r="H137" i="25"/>
  <c r="C137" i="25"/>
  <c r="H136" i="25"/>
  <c r="C136" i="25"/>
  <c r="H135" i="25"/>
  <c r="C135" i="25"/>
  <c r="H134" i="25"/>
  <c r="C134" i="25"/>
  <c r="H133" i="25"/>
  <c r="C133" i="25"/>
  <c r="H132" i="25"/>
  <c r="C132" i="25"/>
  <c r="H131" i="25"/>
  <c r="C131" i="25"/>
  <c r="H130" i="25"/>
  <c r="C130" i="25"/>
  <c r="H129" i="25"/>
  <c r="C129" i="25"/>
  <c r="H128" i="25"/>
  <c r="C128" i="25"/>
  <c r="H127" i="25"/>
  <c r="C127" i="25"/>
  <c r="H126" i="25"/>
  <c r="C126" i="25"/>
  <c r="H125" i="25"/>
  <c r="C125" i="25"/>
  <c r="H124" i="25"/>
  <c r="C124" i="25"/>
  <c r="H123" i="25"/>
  <c r="C123" i="25"/>
  <c r="H122" i="25"/>
  <c r="C122" i="25"/>
  <c r="H121" i="25"/>
  <c r="C121" i="25"/>
  <c r="H120" i="25"/>
  <c r="C120" i="25"/>
  <c r="H119" i="25"/>
  <c r="C119" i="25"/>
  <c r="H118" i="25"/>
  <c r="C118" i="25"/>
  <c r="H117" i="25"/>
  <c r="C117" i="25"/>
  <c r="H116" i="25"/>
  <c r="C116" i="25"/>
  <c r="H115" i="25"/>
  <c r="C115" i="25"/>
  <c r="H114" i="25"/>
  <c r="C114" i="25"/>
  <c r="H113" i="25"/>
  <c r="C113" i="25"/>
  <c r="H112" i="25"/>
  <c r="C112" i="25"/>
  <c r="H111" i="25"/>
  <c r="C111" i="25"/>
  <c r="H110" i="25"/>
  <c r="C110" i="25"/>
  <c r="H109" i="25"/>
  <c r="C109" i="25"/>
  <c r="H108" i="25"/>
  <c r="C108" i="25"/>
  <c r="H107" i="25"/>
  <c r="C107" i="25"/>
  <c r="H106" i="25"/>
  <c r="C106" i="25"/>
  <c r="H105" i="25"/>
  <c r="C105" i="25"/>
  <c r="H104" i="25"/>
  <c r="C104" i="25"/>
  <c r="H103" i="25"/>
  <c r="C103" i="25"/>
  <c r="H102" i="25"/>
  <c r="C102" i="25"/>
  <c r="H101" i="25"/>
  <c r="C101" i="25"/>
  <c r="H100" i="25"/>
  <c r="C100" i="25"/>
  <c r="H99" i="25"/>
  <c r="C99" i="25"/>
  <c r="H98" i="25"/>
  <c r="C98" i="25"/>
  <c r="H97" i="25"/>
  <c r="C97" i="25"/>
  <c r="H96" i="25"/>
  <c r="C96" i="25"/>
  <c r="H95" i="25"/>
  <c r="C95" i="25"/>
  <c r="H94" i="25"/>
  <c r="C94" i="25"/>
  <c r="H93" i="25"/>
  <c r="C93" i="25"/>
  <c r="H92" i="25"/>
  <c r="C92" i="25"/>
  <c r="H91" i="25"/>
  <c r="C91" i="25"/>
  <c r="H90" i="25"/>
  <c r="C90" i="25"/>
  <c r="H89" i="25"/>
  <c r="C89" i="25"/>
  <c r="H88" i="25"/>
  <c r="C88" i="25"/>
  <c r="H87" i="25"/>
  <c r="C87" i="25"/>
  <c r="H86" i="25"/>
  <c r="C86" i="25"/>
  <c r="H85" i="25"/>
  <c r="C85" i="25"/>
  <c r="H84" i="25"/>
  <c r="C84" i="25"/>
  <c r="H83" i="25"/>
  <c r="C83" i="25"/>
  <c r="H82" i="25"/>
  <c r="C82" i="25"/>
  <c r="H81" i="25"/>
  <c r="C81" i="25"/>
  <c r="H80" i="25"/>
  <c r="C80" i="25"/>
  <c r="H79" i="25"/>
  <c r="C79" i="25"/>
  <c r="H78" i="25"/>
  <c r="C78" i="25"/>
  <c r="H77" i="25"/>
  <c r="C77" i="25"/>
  <c r="H76" i="25"/>
  <c r="C76" i="25"/>
  <c r="H75" i="25"/>
  <c r="C75" i="25"/>
  <c r="H74" i="25"/>
  <c r="C74" i="25"/>
  <c r="H73" i="25"/>
  <c r="C73" i="25"/>
  <c r="H72" i="25"/>
  <c r="C72" i="25"/>
  <c r="H71" i="25"/>
  <c r="C71" i="25"/>
  <c r="H70" i="25"/>
  <c r="C70" i="25"/>
  <c r="H69" i="25"/>
  <c r="C69" i="25"/>
  <c r="H68" i="25"/>
  <c r="C68" i="25"/>
  <c r="H67" i="25"/>
  <c r="C67" i="25"/>
  <c r="H66" i="25"/>
  <c r="C66" i="25"/>
  <c r="H65" i="25"/>
  <c r="C65" i="25"/>
  <c r="H64" i="25"/>
  <c r="C64" i="25"/>
  <c r="H63" i="25"/>
  <c r="C63" i="25"/>
  <c r="H62" i="25"/>
  <c r="C62" i="25"/>
  <c r="H61" i="25"/>
  <c r="C61" i="25"/>
  <c r="H60" i="25"/>
  <c r="C60" i="25"/>
  <c r="H59" i="25"/>
  <c r="C59" i="25"/>
  <c r="H58" i="25"/>
  <c r="C58" i="25"/>
  <c r="H57" i="25"/>
  <c r="C57" i="25"/>
  <c r="H56" i="25"/>
  <c r="C56" i="25"/>
  <c r="H55" i="25"/>
  <c r="C55" i="25"/>
  <c r="H54" i="25"/>
  <c r="C54" i="25"/>
  <c r="H53" i="25"/>
  <c r="C53" i="25"/>
  <c r="H52" i="25"/>
  <c r="C52" i="25"/>
  <c r="H51" i="25"/>
  <c r="C51" i="25"/>
  <c r="H50" i="25"/>
  <c r="C50" i="25"/>
  <c r="H49" i="25"/>
  <c r="C49" i="25"/>
  <c r="H48" i="25"/>
  <c r="C48" i="25"/>
  <c r="H47" i="25"/>
  <c r="C47" i="25"/>
  <c r="H46" i="25"/>
  <c r="C46" i="25"/>
  <c r="H45" i="25"/>
  <c r="C45" i="25"/>
  <c r="H44" i="25"/>
  <c r="C44" i="25"/>
  <c r="H43" i="25"/>
  <c r="C43" i="25"/>
  <c r="H42" i="25"/>
  <c r="C42" i="25"/>
  <c r="H41" i="25"/>
  <c r="C41" i="25"/>
  <c r="H40" i="25"/>
  <c r="C40" i="25"/>
  <c r="H39" i="25"/>
  <c r="C39" i="25"/>
  <c r="H38" i="25"/>
  <c r="C38" i="25"/>
  <c r="H37" i="25"/>
  <c r="C37" i="25"/>
  <c r="H36" i="25"/>
  <c r="C36" i="25"/>
  <c r="H35" i="25"/>
  <c r="C35" i="25"/>
  <c r="H34" i="25"/>
  <c r="C34" i="25"/>
  <c r="H33" i="25"/>
  <c r="C33" i="25"/>
  <c r="H32" i="25"/>
  <c r="C32" i="25"/>
  <c r="H31" i="25"/>
  <c r="C31" i="25"/>
  <c r="H30" i="25"/>
  <c r="C30" i="25"/>
  <c r="H29" i="25"/>
  <c r="C29" i="25"/>
  <c r="H28" i="25"/>
  <c r="C28" i="25"/>
  <c r="H27" i="25"/>
  <c r="C27" i="25"/>
  <c r="H26" i="25"/>
  <c r="C26" i="25"/>
  <c r="H25" i="25"/>
  <c r="C25" i="25"/>
  <c r="H24" i="25"/>
  <c r="C24" i="25"/>
  <c r="H23" i="25"/>
  <c r="C23" i="25"/>
  <c r="H22" i="25"/>
  <c r="C22" i="25"/>
  <c r="H21" i="25"/>
  <c r="C21" i="25"/>
  <c r="H20" i="25"/>
  <c r="C20" i="25"/>
  <c r="H19" i="25"/>
  <c r="C19" i="25"/>
  <c r="H18" i="25"/>
  <c r="C18" i="25"/>
  <c r="H17" i="25"/>
  <c r="C17" i="25"/>
  <c r="H16" i="25"/>
  <c r="C16" i="25"/>
  <c r="H15" i="25"/>
  <c r="C15" i="25"/>
  <c r="H14" i="25"/>
  <c r="C14" i="25"/>
  <c r="H13" i="25"/>
  <c r="C13" i="25"/>
  <c r="H12" i="25"/>
  <c r="C12" i="25"/>
  <c r="H11" i="25"/>
  <c r="C11" i="25"/>
  <c r="H10" i="25"/>
  <c r="C10" i="25"/>
  <c r="H9" i="25"/>
  <c r="C9" i="25"/>
  <c r="H8" i="25"/>
  <c r="C8" i="25"/>
  <c r="H7" i="25"/>
  <c r="C7" i="25"/>
  <c r="H6" i="25"/>
  <c r="C6" i="25"/>
  <c r="H5" i="25"/>
  <c r="C5" i="25"/>
  <c r="H4" i="25"/>
  <c r="C4" i="25"/>
  <c r="H3" i="25"/>
  <c r="C3" i="25"/>
  <c r="H2" i="25"/>
  <c r="C2" i="25"/>
  <c r="S2" i="25"/>
  <c r="O2" i="25"/>
  <c r="W2" i="25"/>
  <c r="AJ663" i="31"/>
  <c r="AJ664" i="31"/>
  <c r="AJ665" i="31"/>
  <c r="AJ666" i="31"/>
  <c r="AJ667" i="31"/>
  <c r="AJ668" i="31"/>
  <c r="AJ669" i="31"/>
  <c r="AJ670" i="31"/>
  <c r="AJ671" i="31"/>
  <c r="AJ672" i="31"/>
  <c r="AJ673" i="31"/>
  <c r="AJ674" i="31"/>
  <c r="AJ675" i="31"/>
  <c r="AJ676" i="31"/>
  <c r="AJ677" i="31"/>
  <c r="AJ678" i="31"/>
  <c r="AJ679" i="31"/>
  <c r="AJ680" i="31"/>
  <c r="AJ681" i="31"/>
  <c r="AJ682" i="31"/>
  <c r="AJ683" i="31"/>
  <c r="AJ684" i="31"/>
  <c r="AJ685" i="31"/>
  <c r="AJ686" i="31"/>
  <c r="AJ687" i="31"/>
  <c r="AJ688" i="31"/>
  <c r="AJ689" i="31"/>
  <c r="AJ690" i="31"/>
  <c r="AJ691" i="31"/>
  <c r="AJ692" i="31"/>
  <c r="AJ693" i="31"/>
  <c r="AJ694" i="31"/>
  <c r="AJ695" i="31"/>
  <c r="AJ696" i="31"/>
  <c r="AJ697" i="31"/>
  <c r="AJ698" i="31"/>
  <c r="AJ699" i="31"/>
  <c r="AJ700" i="31"/>
  <c r="AJ701" i="31"/>
  <c r="AJ702" i="31"/>
  <c r="AJ703" i="31"/>
  <c r="AJ704" i="31"/>
  <c r="AJ705" i="31"/>
  <c r="AJ706" i="31"/>
  <c r="AJ707" i="31"/>
  <c r="AJ708" i="31"/>
  <c r="AJ709" i="31"/>
  <c r="AJ710" i="31"/>
  <c r="AJ711" i="31"/>
  <c r="AJ712" i="31"/>
  <c r="AJ713" i="31"/>
  <c r="AJ714" i="31"/>
  <c r="AJ715" i="31"/>
  <c r="AJ716" i="31"/>
  <c r="AJ717" i="31"/>
  <c r="AJ718" i="31"/>
  <c r="AJ719" i="31"/>
  <c r="AJ720" i="31"/>
  <c r="AJ721" i="31"/>
  <c r="AJ722" i="31"/>
  <c r="AJ723" i="31"/>
  <c r="AJ724" i="31"/>
  <c r="AJ725" i="31"/>
  <c r="AJ726" i="31"/>
  <c r="AJ727" i="31"/>
  <c r="AJ728" i="31"/>
  <c r="AJ729" i="31"/>
  <c r="AJ730" i="31"/>
  <c r="AJ731" i="31"/>
  <c r="AJ732" i="31"/>
  <c r="AJ733" i="31"/>
  <c r="AJ734" i="31"/>
  <c r="AJ735" i="31"/>
  <c r="AJ736" i="31"/>
  <c r="AJ737" i="31"/>
  <c r="AJ738" i="31"/>
  <c r="AJ739" i="31"/>
  <c r="AJ740" i="31"/>
  <c r="AJ741" i="31"/>
  <c r="AJ742" i="31"/>
  <c r="AJ743" i="31"/>
  <c r="AJ744" i="31"/>
  <c r="AJ745" i="31"/>
  <c r="AJ746" i="31"/>
  <c r="AJ747" i="31"/>
  <c r="AJ748" i="31"/>
  <c r="AJ749" i="31"/>
  <c r="AJ750" i="31"/>
  <c r="AJ751" i="31"/>
  <c r="AJ752" i="31"/>
  <c r="AJ753" i="31"/>
  <c r="AJ754" i="31"/>
  <c r="AJ755" i="31"/>
  <c r="AJ756" i="31"/>
  <c r="AJ757" i="31"/>
  <c r="AJ758" i="31"/>
  <c r="AJ759" i="31"/>
  <c r="AJ760" i="31"/>
  <c r="AJ761" i="31"/>
  <c r="AJ762" i="31"/>
  <c r="AJ763" i="31"/>
  <c r="AJ764" i="31"/>
  <c r="AJ765" i="31"/>
  <c r="AJ766" i="31"/>
  <c r="AJ767" i="31"/>
  <c r="AJ768" i="31"/>
  <c r="AJ769" i="31"/>
  <c r="AJ770" i="31"/>
  <c r="AJ771" i="31"/>
  <c r="AJ772" i="31"/>
  <c r="AJ773" i="31"/>
  <c r="AJ774" i="31"/>
  <c r="AJ775" i="31"/>
  <c r="AJ776" i="31"/>
  <c r="AJ777" i="31"/>
  <c r="AJ778" i="31"/>
  <c r="AJ779" i="31"/>
  <c r="AJ780" i="31"/>
  <c r="AJ781" i="31"/>
  <c r="AJ782" i="31"/>
  <c r="AJ783" i="31"/>
  <c r="AJ784" i="31"/>
  <c r="AJ785" i="31"/>
  <c r="AJ786" i="31"/>
  <c r="AJ787" i="31"/>
  <c r="AJ788" i="31"/>
  <c r="AJ789" i="31"/>
  <c r="AJ790" i="31"/>
  <c r="AJ791" i="31"/>
  <c r="AJ792" i="31"/>
  <c r="AJ793" i="31"/>
  <c r="AJ794" i="31"/>
  <c r="AJ795" i="31"/>
  <c r="AJ796" i="31"/>
  <c r="AJ797" i="31"/>
  <c r="AJ798" i="31"/>
  <c r="AJ799" i="31"/>
  <c r="AJ800" i="31"/>
  <c r="AJ801" i="31"/>
  <c r="AJ802" i="31"/>
  <c r="AJ803" i="31"/>
  <c r="AJ804" i="31"/>
  <c r="AJ805" i="31"/>
  <c r="AJ806" i="31"/>
  <c r="AJ807" i="31"/>
  <c r="AJ808" i="31"/>
  <c r="AJ809" i="31"/>
  <c r="AJ810" i="31"/>
  <c r="AJ811" i="31"/>
  <c r="AJ812" i="31"/>
  <c r="AJ813" i="31"/>
  <c r="AJ814" i="31"/>
  <c r="AJ815" i="31"/>
  <c r="AJ816" i="31"/>
  <c r="AJ817" i="31"/>
  <c r="AJ818" i="31"/>
  <c r="AJ819" i="31"/>
  <c r="AJ820" i="31"/>
  <c r="AJ821" i="31"/>
  <c r="AJ822" i="31"/>
  <c r="AJ823" i="31"/>
  <c r="AJ824" i="31"/>
  <c r="AJ825" i="31"/>
  <c r="AJ826" i="31"/>
  <c r="AJ827" i="31"/>
  <c r="AJ828" i="31"/>
  <c r="AJ829" i="31"/>
  <c r="AJ830" i="31"/>
  <c r="AJ831" i="31"/>
  <c r="AJ832" i="31"/>
  <c r="AJ833" i="31"/>
  <c r="AJ834" i="31"/>
  <c r="AJ835" i="31"/>
  <c r="AJ836" i="31"/>
  <c r="AJ837" i="31"/>
  <c r="AJ838" i="31"/>
  <c r="AJ839" i="31"/>
  <c r="AJ840" i="31"/>
  <c r="AJ841" i="31"/>
  <c r="AJ842" i="31"/>
  <c r="AJ843" i="31"/>
  <c r="AJ844" i="31"/>
  <c r="AJ845" i="31"/>
  <c r="AJ846" i="31"/>
  <c r="AJ847" i="31"/>
  <c r="AJ848" i="31"/>
  <c r="AJ849" i="31"/>
  <c r="AJ850" i="31"/>
  <c r="AJ851" i="31"/>
  <c r="AJ852" i="31"/>
  <c r="AJ853" i="31"/>
  <c r="AJ854" i="31"/>
  <c r="AJ855" i="31"/>
  <c r="AJ856" i="31"/>
  <c r="AJ857" i="31"/>
  <c r="AJ858" i="31"/>
  <c r="AJ859" i="31"/>
  <c r="AJ860" i="31"/>
  <c r="AJ861" i="31"/>
  <c r="AJ862" i="31"/>
  <c r="AJ863" i="31"/>
  <c r="AJ864" i="31"/>
  <c r="AJ865" i="31"/>
  <c r="AJ866" i="31"/>
  <c r="AJ867" i="31"/>
  <c r="AJ868" i="31"/>
  <c r="AJ869" i="31"/>
  <c r="AJ870" i="31"/>
  <c r="AJ871" i="31"/>
  <c r="AJ872" i="31"/>
  <c r="AJ873" i="31"/>
  <c r="AJ874" i="31"/>
  <c r="AJ875" i="31"/>
  <c r="AJ876" i="31"/>
  <c r="AJ877" i="31"/>
  <c r="AJ878" i="31"/>
  <c r="AJ879" i="31"/>
  <c r="AJ880" i="31"/>
  <c r="AJ881" i="31"/>
  <c r="AJ662" i="31"/>
  <c r="AJ443" i="31"/>
  <c r="AJ444" i="31"/>
  <c r="AJ445" i="31"/>
  <c r="AJ446" i="31"/>
  <c r="AJ447" i="31"/>
  <c r="AJ448" i="31"/>
  <c r="AJ449" i="31"/>
  <c r="AJ450" i="31"/>
  <c r="AJ451" i="31"/>
  <c r="AJ452" i="31"/>
  <c r="AJ453" i="31"/>
  <c r="AJ454" i="31"/>
  <c r="AJ455" i="31"/>
  <c r="AJ456" i="31"/>
  <c r="AJ457" i="31"/>
  <c r="AJ458" i="31"/>
  <c r="AJ459" i="31"/>
  <c r="AJ460" i="31"/>
  <c r="AJ461" i="31"/>
  <c r="AJ462" i="31"/>
  <c r="AJ463" i="31"/>
  <c r="AJ464" i="31"/>
  <c r="AJ465" i="31"/>
  <c r="AJ466" i="31"/>
  <c r="AJ467" i="31"/>
  <c r="AJ468" i="31"/>
  <c r="AJ469" i="31"/>
  <c r="AJ470" i="31"/>
  <c r="AJ471" i="31"/>
  <c r="AJ472" i="31"/>
  <c r="AJ473" i="31"/>
  <c r="AJ474" i="31"/>
  <c r="AJ475" i="31"/>
  <c r="AJ476" i="31"/>
  <c r="AJ477" i="31"/>
  <c r="AJ478" i="31"/>
  <c r="AJ479" i="31"/>
  <c r="AJ480" i="31"/>
  <c r="AJ481" i="31"/>
  <c r="AJ482" i="31"/>
  <c r="AJ483" i="31"/>
  <c r="AJ484" i="31"/>
  <c r="AJ485" i="31"/>
  <c r="AJ486" i="31"/>
  <c r="AJ487" i="31"/>
  <c r="AJ488" i="31"/>
  <c r="AJ489" i="31"/>
  <c r="AJ490" i="31"/>
  <c r="AJ491" i="31"/>
  <c r="AJ492" i="31"/>
  <c r="AJ493" i="31"/>
  <c r="AJ494" i="31"/>
  <c r="AJ495" i="31"/>
  <c r="AJ496" i="31"/>
  <c r="AJ497" i="31"/>
  <c r="AJ498" i="31"/>
  <c r="AJ499" i="31"/>
  <c r="AJ500" i="31"/>
  <c r="AJ501" i="31"/>
  <c r="AJ502" i="31"/>
  <c r="AJ503" i="31"/>
  <c r="AJ504" i="31"/>
  <c r="AJ505" i="31"/>
  <c r="AJ506" i="31"/>
  <c r="AJ507" i="31"/>
  <c r="AJ508" i="31"/>
  <c r="AJ509" i="31"/>
  <c r="AJ510" i="31"/>
  <c r="AJ511" i="31"/>
  <c r="AJ512" i="31"/>
  <c r="AJ513" i="31"/>
  <c r="AJ514" i="31"/>
  <c r="AJ515" i="31"/>
  <c r="AJ516" i="31"/>
  <c r="AJ517" i="31"/>
  <c r="AJ518" i="31"/>
  <c r="AJ519" i="31"/>
  <c r="AJ520" i="31"/>
  <c r="AJ521" i="31"/>
  <c r="AJ522" i="31"/>
  <c r="AJ523" i="31"/>
  <c r="AJ524" i="31"/>
  <c r="AJ525" i="31"/>
  <c r="AJ526" i="31"/>
  <c r="AJ527" i="31"/>
  <c r="AJ528" i="31"/>
  <c r="AJ529" i="31"/>
  <c r="AJ530" i="31"/>
  <c r="AJ531" i="31"/>
  <c r="AJ532" i="31"/>
  <c r="AJ533" i="31"/>
  <c r="AJ534" i="31"/>
  <c r="AJ535" i="31"/>
  <c r="AJ536" i="31"/>
  <c r="AJ537" i="31"/>
  <c r="AJ538" i="31"/>
  <c r="AJ539" i="31"/>
  <c r="AJ540" i="31"/>
  <c r="AJ541" i="31"/>
  <c r="AJ542" i="31"/>
  <c r="AJ543" i="31"/>
  <c r="AJ544" i="31"/>
  <c r="AJ545" i="31"/>
  <c r="AJ546" i="31"/>
  <c r="AJ547" i="31"/>
  <c r="AJ548" i="31"/>
  <c r="AJ549" i="31"/>
  <c r="AJ550" i="31"/>
  <c r="AJ551" i="31"/>
  <c r="AJ552" i="31"/>
  <c r="AJ553" i="31"/>
  <c r="AJ554" i="31"/>
  <c r="AJ555" i="31"/>
  <c r="AJ556" i="31"/>
  <c r="AJ557" i="31"/>
  <c r="AJ558" i="31"/>
  <c r="AJ559" i="31"/>
  <c r="AJ560" i="31"/>
  <c r="AJ561" i="31"/>
  <c r="AJ562" i="31"/>
  <c r="AJ563" i="31"/>
  <c r="AJ564" i="31"/>
  <c r="AJ565" i="31"/>
  <c r="AJ566" i="31"/>
  <c r="AJ567" i="31"/>
  <c r="AJ568" i="31"/>
  <c r="AJ569" i="31"/>
  <c r="AJ570" i="31"/>
  <c r="AJ571" i="31"/>
  <c r="AJ572" i="31"/>
  <c r="AJ573" i="31"/>
  <c r="AJ574" i="31"/>
  <c r="AJ575" i="31"/>
  <c r="AJ576" i="31"/>
  <c r="AJ577" i="31"/>
  <c r="AJ578" i="31"/>
  <c r="AJ579" i="31"/>
  <c r="AJ580" i="31"/>
  <c r="AJ581" i="31"/>
  <c r="AJ582" i="31"/>
  <c r="AJ583" i="31"/>
  <c r="AJ584" i="31"/>
  <c r="AJ585" i="31"/>
  <c r="AJ586" i="31"/>
  <c r="AJ587" i="31"/>
  <c r="AJ588" i="31"/>
  <c r="AJ589" i="31"/>
  <c r="AJ590" i="31"/>
  <c r="AJ591" i="31"/>
  <c r="AJ592" i="31"/>
  <c r="AJ593" i="31"/>
  <c r="AJ594" i="31"/>
  <c r="AJ595" i="31"/>
  <c r="AJ596" i="31"/>
  <c r="AJ597" i="31"/>
  <c r="AJ598" i="31"/>
  <c r="AJ599" i="31"/>
  <c r="AJ600" i="31"/>
  <c r="AJ601" i="31"/>
  <c r="AJ602" i="31"/>
  <c r="AJ603" i="31"/>
  <c r="AJ604" i="31"/>
  <c r="AJ605" i="31"/>
  <c r="AJ606" i="31"/>
  <c r="AJ607" i="31"/>
  <c r="AJ608" i="31"/>
  <c r="AJ609" i="31"/>
  <c r="AJ610" i="31"/>
  <c r="AJ611" i="31"/>
  <c r="AJ612" i="31"/>
  <c r="AJ613" i="31"/>
  <c r="AJ614" i="31"/>
  <c r="AJ615" i="31"/>
  <c r="AJ616" i="31"/>
  <c r="AJ617" i="31"/>
  <c r="AJ618" i="31"/>
  <c r="AJ619" i="31"/>
  <c r="AJ620" i="31"/>
  <c r="AJ621" i="31"/>
  <c r="AJ622" i="31"/>
  <c r="AJ623" i="31"/>
  <c r="AJ624" i="31"/>
  <c r="AJ625" i="31"/>
  <c r="AJ626" i="31"/>
  <c r="AJ627" i="31"/>
  <c r="AJ628" i="31"/>
  <c r="AJ629" i="31"/>
  <c r="AJ630" i="31"/>
  <c r="AJ631" i="31"/>
  <c r="AJ632" i="31"/>
  <c r="AJ633" i="31"/>
  <c r="AJ634" i="31"/>
  <c r="AJ635" i="31"/>
  <c r="AJ636" i="31"/>
  <c r="AJ637" i="31"/>
  <c r="AJ638" i="31"/>
  <c r="AJ639" i="31"/>
  <c r="AJ640" i="31"/>
  <c r="AJ641" i="31"/>
  <c r="AJ642" i="31"/>
  <c r="AJ643" i="31"/>
  <c r="AJ644" i="31"/>
  <c r="AJ645" i="31"/>
  <c r="AJ646" i="31"/>
  <c r="AJ647" i="31"/>
  <c r="AJ648" i="31"/>
  <c r="AJ649" i="31"/>
  <c r="AJ650" i="31"/>
  <c r="AJ651" i="31"/>
  <c r="AJ652" i="31"/>
  <c r="AJ653" i="31"/>
  <c r="AJ654" i="31"/>
  <c r="AJ655" i="31"/>
  <c r="AJ656" i="31"/>
  <c r="AJ657" i="31"/>
  <c r="AJ658" i="31"/>
  <c r="AJ659" i="31"/>
  <c r="AJ660" i="31"/>
  <c r="AJ661" i="31"/>
  <c r="AJ442" i="31"/>
  <c r="AJ223" i="31"/>
  <c r="AJ224" i="31"/>
  <c r="AJ225" i="31"/>
  <c r="AJ226" i="31"/>
  <c r="AJ227" i="31"/>
  <c r="AJ228" i="31"/>
  <c r="AJ229" i="31"/>
  <c r="AJ230" i="31"/>
  <c r="AJ231" i="31"/>
  <c r="AJ232" i="31"/>
  <c r="AJ233" i="31"/>
  <c r="AJ234" i="31"/>
  <c r="AJ235" i="31"/>
  <c r="AJ236" i="31"/>
  <c r="AJ237" i="31"/>
  <c r="AJ238" i="31"/>
  <c r="AJ239" i="31"/>
  <c r="AJ240" i="31"/>
  <c r="AJ241" i="31"/>
  <c r="AJ242" i="31"/>
  <c r="AJ243" i="31"/>
  <c r="AJ244" i="31"/>
  <c r="AJ245" i="31"/>
  <c r="AJ246" i="31"/>
  <c r="AJ247" i="31"/>
  <c r="AJ248" i="31"/>
  <c r="AJ249" i="31"/>
  <c r="AJ250" i="31"/>
  <c r="AJ251" i="31"/>
  <c r="AJ252" i="31"/>
  <c r="AJ253" i="31"/>
  <c r="AJ254" i="31"/>
  <c r="AJ255" i="31"/>
  <c r="AJ256" i="31"/>
  <c r="AJ257" i="31"/>
  <c r="AJ258" i="31"/>
  <c r="AJ259" i="31"/>
  <c r="AJ260" i="31"/>
  <c r="AJ261" i="31"/>
  <c r="AJ262" i="31"/>
  <c r="AJ263" i="31"/>
  <c r="AJ264" i="31"/>
  <c r="AJ265" i="31"/>
  <c r="AJ266" i="31"/>
  <c r="AJ267" i="31"/>
  <c r="AJ268" i="31"/>
  <c r="AJ269" i="31"/>
  <c r="AJ270" i="31"/>
  <c r="AJ271" i="31"/>
  <c r="AJ272" i="31"/>
  <c r="AJ273" i="31"/>
  <c r="AJ274" i="31"/>
  <c r="AJ275" i="31"/>
  <c r="AJ276" i="31"/>
  <c r="AJ277" i="31"/>
  <c r="AJ278" i="31"/>
  <c r="AJ279" i="31"/>
  <c r="AJ280" i="31"/>
  <c r="AJ281" i="31"/>
  <c r="AJ282" i="31"/>
  <c r="AJ283" i="31"/>
  <c r="AJ284" i="31"/>
  <c r="AJ285" i="31"/>
  <c r="AJ286" i="31"/>
  <c r="AJ287" i="31"/>
  <c r="AJ288" i="31"/>
  <c r="AJ289" i="31"/>
  <c r="AJ290" i="31"/>
  <c r="AJ291" i="31"/>
  <c r="AJ292" i="31"/>
  <c r="AJ293" i="31"/>
  <c r="AJ294" i="31"/>
  <c r="AJ295" i="31"/>
  <c r="AJ296" i="31"/>
  <c r="AJ297" i="31"/>
  <c r="AJ298" i="31"/>
  <c r="AJ299" i="31"/>
  <c r="AJ300" i="31"/>
  <c r="AJ301" i="31"/>
  <c r="AJ302" i="31"/>
  <c r="AJ303" i="31"/>
  <c r="AJ304" i="31"/>
  <c r="AJ305" i="31"/>
  <c r="AJ306" i="31"/>
  <c r="AJ307" i="31"/>
  <c r="AJ308" i="31"/>
  <c r="AJ309" i="31"/>
  <c r="AJ310" i="31"/>
  <c r="AJ311" i="31"/>
  <c r="AJ312" i="31"/>
  <c r="AJ313" i="31"/>
  <c r="AJ314" i="31"/>
  <c r="AJ315" i="31"/>
  <c r="AJ316" i="31"/>
  <c r="AJ317" i="31"/>
  <c r="AJ318" i="31"/>
  <c r="AJ319" i="31"/>
  <c r="AJ320" i="31"/>
  <c r="AJ321" i="31"/>
  <c r="AJ322" i="31"/>
  <c r="AJ323" i="31"/>
  <c r="AJ324" i="31"/>
  <c r="AJ325" i="31"/>
  <c r="AJ326" i="31"/>
  <c r="AJ327" i="31"/>
  <c r="AJ328" i="31"/>
  <c r="AJ329" i="31"/>
  <c r="AJ330" i="31"/>
  <c r="AJ331" i="31"/>
  <c r="AJ332" i="31"/>
  <c r="AJ333" i="31"/>
  <c r="AJ334" i="31"/>
  <c r="AJ335" i="31"/>
  <c r="AJ336" i="31"/>
  <c r="AJ337" i="31"/>
  <c r="AJ338" i="31"/>
  <c r="AJ339" i="31"/>
  <c r="AJ340" i="31"/>
  <c r="AJ341" i="31"/>
  <c r="AJ342" i="31"/>
  <c r="AJ343" i="31"/>
  <c r="AJ344" i="31"/>
  <c r="AJ345" i="31"/>
  <c r="AJ346" i="31"/>
  <c r="AJ347" i="31"/>
  <c r="AJ348" i="31"/>
  <c r="AJ349" i="31"/>
  <c r="AJ350" i="31"/>
  <c r="AJ351" i="31"/>
  <c r="AJ352" i="31"/>
  <c r="AJ353" i="31"/>
  <c r="AJ354" i="31"/>
  <c r="AJ355" i="31"/>
  <c r="AJ356" i="31"/>
  <c r="AJ357" i="31"/>
  <c r="AJ358" i="31"/>
  <c r="AJ359" i="31"/>
  <c r="AJ360" i="31"/>
  <c r="AJ361" i="31"/>
  <c r="AJ362" i="31"/>
  <c r="AJ363" i="31"/>
  <c r="AJ364" i="31"/>
  <c r="AJ365" i="31"/>
  <c r="AJ366" i="31"/>
  <c r="AJ367" i="31"/>
  <c r="AJ368" i="31"/>
  <c r="AJ369" i="31"/>
  <c r="AJ370" i="31"/>
  <c r="AJ371" i="31"/>
  <c r="AJ372" i="31"/>
  <c r="AJ373" i="31"/>
  <c r="AJ374" i="31"/>
  <c r="AJ375" i="31"/>
  <c r="AJ376" i="31"/>
  <c r="AJ377" i="31"/>
  <c r="AJ378" i="31"/>
  <c r="AJ379" i="31"/>
  <c r="AJ380" i="31"/>
  <c r="AJ381" i="31"/>
  <c r="AJ382" i="31"/>
  <c r="AJ383" i="31"/>
  <c r="AJ384" i="31"/>
  <c r="AJ385" i="31"/>
  <c r="AJ386" i="31"/>
  <c r="AJ387" i="31"/>
  <c r="AJ388" i="31"/>
  <c r="AJ389" i="31"/>
  <c r="AJ390" i="31"/>
  <c r="AJ391" i="31"/>
  <c r="AJ392" i="31"/>
  <c r="AJ393" i="31"/>
  <c r="AJ394" i="31"/>
  <c r="AJ395" i="31"/>
  <c r="AJ396" i="31"/>
  <c r="AJ397" i="31"/>
  <c r="AJ398" i="31"/>
  <c r="AJ399" i="31"/>
  <c r="AJ400" i="31"/>
  <c r="AJ401" i="31"/>
  <c r="AJ402" i="31"/>
  <c r="AJ403" i="31"/>
  <c r="AJ404" i="31"/>
  <c r="AJ405" i="31"/>
  <c r="AJ406" i="31"/>
  <c r="AJ407" i="31"/>
  <c r="AJ408" i="31"/>
  <c r="AJ409" i="31"/>
  <c r="AJ410" i="31"/>
  <c r="AJ411" i="31"/>
  <c r="AJ412" i="31"/>
  <c r="AJ413" i="31"/>
  <c r="AJ414" i="31"/>
  <c r="AJ415" i="31"/>
  <c r="AJ416" i="31"/>
  <c r="AJ417" i="31"/>
  <c r="AJ418" i="31"/>
  <c r="AJ419" i="31"/>
  <c r="AJ420" i="31"/>
  <c r="AJ421" i="31"/>
  <c r="AJ422" i="31"/>
  <c r="AJ423" i="31"/>
  <c r="AJ424" i="31"/>
  <c r="AJ425" i="31"/>
  <c r="AJ426" i="31"/>
  <c r="AJ427" i="31"/>
  <c r="AJ428" i="31"/>
  <c r="AJ429" i="31"/>
  <c r="AJ430" i="31"/>
  <c r="AJ431" i="31"/>
  <c r="AJ432" i="31"/>
  <c r="AJ433" i="31"/>
  <c r="AJ434" i="31"/>
  <c r="AJ435" i="31"/>
  <c r="AJ436" i="31"/>
  <c r="AJ437" i="31"/>
  <c r="AJ438" i="31"/>
  <c r="AJ439" i="31"/>
  <c r="AJ440" i="31"/>
  <c r="AJ441" i="31"/>
  <c r="AJ222"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881" i="31"/>
  <c r="AG881" i="31"/>
  <c r="AF881" i="31"/>
  <c r="AE881" i="31"/>
  <c r="AH880" i="31"/>
  <c r="AG880" i="31"/>
  <c r="AF880" i="31"/>
  <c r="AE880" i="31"/>
  <c r="AH879" i="31"/>
  <c r="AG879" i="31"/>
  <c r="AF879" i="31"/>
  <c r="AE879" i="31"/>
  <c r="AH878" i="31"/>
  <c r="AG878" i="31"/>
  <c r="AF878" i="31"/>
  <c r="AE878" i="31"/>
  <c r="AH877" i="31"/>
  <c r="AG877" i="31"/>
  <c r="AF877" i="31"/>
  <c r="AE877" i="31"/>
  <c r="AH876" i="31"/>
  <c r="AG876" i="31"/>
  <c r="AF876" i="31"/>
  <c r="AE876" i="31"/>
  <c r="AH875" i="31"/>
  <c r="AG875" i="31"/>
  <c r="AF875" i="31"/>
  <c r="AE875" i="31"/>
  <c r="AH874" i="31"/>
  <c r="AG874" i="31"/>
  <c r="AF874" i="31"/>
  <c r="AE874" i="31"/>
  <c r="AH873" i="31"/>
  <c r="AG873" i="31"/>
  <c r="AF873" i="31"/>
  <c r="AE873" i="31"/>
  <c r="AH872" i="31"/>
  <c r="AG872" i="31"/>
  <c r="AF872" i="31"/>
  <c r="AE872" i="31"/>
  <c r="AH871" i="31"/>
  <c r="AG871" i="31"/>
  <c r="AF871" i="31"/>
  <c r="AE871" i="31"/>
  <c r="AH870" i="31"/>
  <c r="AG870" i="31"/>
  <c r="AF870" i="31"/>
  <c r="AE870" i="31"/>
  <c r="AH869" i="31"/>
  <c r="AG869" i="31"/>
  <c r="AF869" i="31"/>
  <c r="AE869" i="31"/>
  <c r="AH868" i="31"/>
  <c r="AG868" i="31"/>
  <c r="AF868" i="31"/>
  <c r="AE868" i="31"/>
  <c r="AH867" i="31"/>
  <c r="AG867" i="31"/>
  <c r="AF867" i="31"/>
  <c r="AE867" i="31"/>
  <c r="AH866" i="31"/>
  <c r="AG866" i="31"/>
  <c r="AF866" i="31"/>
  <c r="AE866" i="31"/>
  <c r="AH865" i="31"/>
  <c r="AG865" i="31"/>
  <c r="AF865" i="31"/>
  <c r="AE865" i="31"/>
  <c r="AH864" i="31"/>
  <c r="AG864" i="31"/>
  <c r="AF864" i="31"/>
  <c r="AE864" i="31"/>
  <c r="AH863" i="31"/>
  <c r="AG863" i="31"/>
  <c r="AF863" i="31"/>
  <c r="AE863" i="31"/>
  <c r="AH862" i="31"/>
  <c r="AG862" i="31"/>
  <c r="AF862" i="31"/>
  <c r="AE862" i="31"/>
  <c r="AH861" i="31"/>
  <c r="AG861" i="31"/>
  <c r="AF861" i="31"/>
  <c r="AE861" i="31"/>
  <c r="AH860" i="31"/>
  <c r="AG860" i="31"/>
  <c r="AF860" i="31"/>
  <c r="AE860" i="31"/>
  <c r="AH859" i="31"/>
  <c r="AG859" i="31"/>
  <c r="AF859" i="31"/>
  <c r="AE859" i="31"/>
  <c r="AH858" i="31"/>
  <c r="AG858" i="31"/>
  <c r="AF858" i="31"/>
  <c r="AE858" i="31"/>
  <c r="AH857" i="31"/>
  <c r="AG857" i="31"/>
  <c r="AF857" i="31"/>
  <c r="AE857" i="31"/>
  <c r="AH856" i="31"/>
  <c r="AG856" i="31"/>
  <c r="AF856" i="31"/>
  <c r="AE856" i="31"/>
  <c r="AH855" i="31"/>
  <c r="AG855" i="31"/>
  <c r="AF855" i="31"/>
  <c r="AE855" i="31"/>
  <c r="AH854" i="31"/>
  <c r="AG854" i="31"/>
  <c r="AF854" i="31"/>
  <c r="AE854" i="31"/>
  <c r="AH853" i="31"/>
  <c r="AG853" i="31"/>
  <c r="AF853" i="31"/>
  <c r="AE853" i="31"/>
  <c r="AH852" i="31"/>
  <c r="AG852" i="31"/>
  <c r="AF852" i="31"/>
  <c r="AE852" i="31"/>
  <c r="AH851" i="31"/>
  <c r="AG851" i="31"/>
  <c r="AF851" i="31"/>
  <c r="AE851" i="31"/>
  <c r="AH850" i="31"/>
  <c r="AG850" i="31"/>
  <c r="AF850" i="31"/>
  <c r="AE850" i="31"/>
  <c r="AH849" i="31"/>
  <c r="AG849" i="31"/>
  <c r="AF849" i="31"/>
  <c r="AE849" i="31"/>
  <c r="AH848" i="31"/>
  <c r="AG848" i="31"/>
  <c r="AF848" i="31"/>
  <c r="AE848" i="31"/>
  <c r="AH847" i="31"/>
  <c r="AG847" i="31"/>
  <c r="AF847" i="31"/>
  <c r="AE847" i="31"/>
  <c r="AH846" i="31"/>
  <c r="AG846" i="31"/>
  <c r="AF846" i="31"/>
  <c r="AE846" i="31"/>
  <c r="AH845" i="31"/>
  <c r="AG845" i="31"/>
  <c r="AF845" i="31"/>
  <c r="AE845" i="31"/>
  <c r="AH844" i="31"/>
  <c r="AG844" i="31"/>
  <c r="AF844" i="31"/>
  <c r="AE844" i="31"/>
  <c r="AH843" i="31"/>
  <c r="AG843" i="31"/>
  <c r="AF843" i="31"/>
  <c r="AE843" i="31"/>
  <c r="AH842" i="31"/>
  <c r="AG842" i="31"/>
  <c r="AF842" i="31"/>
  <c r="AE842" i="31"/>
  <c r="AH841" i="31"/>
  <c r="AG841" i="31"/>
  <c r="AF841" i="31"/>
  <c r="AE841" i="31"/>
  <c r="AH840" i="31"/>
  <c r="AG840" i="31"/>
  <c r="AF840" i="31"/>
  <c r="AE840" i="31"/>
  <c r="AH839" i="31"/>
  <c r="AG839" i="31"/>
  <c r="AF839" i="31"/>
  <c r="AE839" i="31"/>
  <c r="AH838" i="31"/>
  <c r="AG838" i="31"/>
  <c r="AF838" i="31"/>
  <c r="AE838" i="31"/>
  <c r="AH837" i="31"/>
  <c r="AG837" i="31"/>
  <c r="AF837" i="31"/>
  <c r="AE837" i="31"/>
  <c r="AH836" i="31"/>
  <c r="AG836" i="31"/>
  <c r="AF836" i="31"/>
  <c r="AE836" i="31"/>
  <c r="AH835" i="31"/>
  <c r="AG835" i="31"/>
  <c r="AF835" i="31"/>
  <c r="AE835" i="31"/>
  <c r="AH834" i="31"/>
  <c r="AG834" i="31"/>
  <c r="AF834" i="31"/>
  <c r="AE834" i="31"/>
  <c r="AH833" i="31"/>
  <c r="AG833" i="31"/>
  <c r="AF833" i="31"/>
  <c r="AE833" i="31"/>
  <c r="AH832" i="31"/>
  <c r="AG832" i="31"/>
  <c r="AF832" i="31"/>
  <c r="AE832" i="31"/>
  <c r="AH831" i="31"/>
  <c r="AG831" i="31"/>
  <c r="AF831" i="31"/>
  <c r="AE831" i="31"/>
  <c r="AH830" i="31"/>
  <c r="AG830" i="31"/>
  <c r="AF830" i="31"/>
  <c r="AE830" i="31"/>
  <c r="AH829" i="31"/>
  <c r="AG829" i="31"/>
  <c r="AF829" i="31"/>
  <c r="AE829" i="31"/>
  <c r="AH828" i="31"/>
  <c r="AG828" i="31"/>
  <c r="AF828" i="31"/>
  <c r="AE828" i="31"/>
  <c r="AH827" i="31"/>
  <c r="AG827" i="31"/>
  <c r="AF827" i="31"/>
  <c r="AE827" i="31"/>
  <c r="AH826" i="31"/>
  <c r="AG826" i="31"/>
  <c r="AF826" i="31"/>
  <c r="AE826" i="31"/>
  <c r="AH825" i="31"/>
  <c r="AG825" i="31"/>
  <c r="AF825" i="31"/>
  <c r="AE825" i="31"/>
  <c r="AH824" i="31"/>
  <c r="AG824" i="31"/>
  <c r="AF824" i="31"/>
  <c r="AE824" i="31"/>
  <c r="AH823" i="31"/>
  <c r="AG823" i="31"/>
  <c r="AF823" i="31"/>
  <c r="AE823" i="31"/>
  <c r="AH822" i="31"/>
  <c r="AG822" i="31"/>
  <c r="AF822" i="31"/>
  <c r="AE822" i="31"/>
  <c r="AH821" i="31"/>
  <c r="AG821" i="31"/>
  <c r="AF821" i="31"/>
  <c r="AE821" i="31"/>
  <c r="AH820" i="31"/>
  <c r="AG820" i="31"/>
  <c r="AF820" i="31"/>
  <c r="AE820" i="31"/>
  <c r="AH819" i="31"/>
  <c r="AG819" i="31"/>
  <c r="AF819" i="31"/>
  <c r="AE819" i="31"/>
  <c r="AH818" i="31"/>
  <c r="AG818" i="31"/>
  <c r="AF818" i="31"/>
  <c r="AE818" i="31"/>
  <c r="AH817" i="31"/>
  <c r="AG817" i="31"/>
  <c r="AF817" i="31"/>
  <c r="AE817" i="31"/>
  <c r="AH816" i="31"/>
  <c r="AG816" i="31"/>
  <c r="AF816" i="31"/>
  <c r="AE816" i="31"/>
  <c r="AH815" i="31"/>
  <c r="AG815" i="31"/>
  <c r="AF815" i="31"/>
  <c r="AE815" i="31"/>
  <c r="AH814" i="31"/>
  <c r="AG814" i="31"/>
  <c r="AF814" i="31"/>
  <c r="AE814" i="31"/>
  <c r="AH813" i="31"/>
  <c r="AG813" i="31"/>
  <c r="AF813" i="31"/>
  <c r="AE813" i="31"/>
  <c r="AH812" i="31"/>
  <c r="AG812" i="31"/>
  <c r="AF812" i="31"/>
  <c r="AE812" i="31"/>
  <c r="AH811" i="31"/>
  <c r="AG811" i="31"/>
  <c r="AF811" i="31"/>
  <c r="AE811" i="31"/>
  <c r="AH810" i="31"/>
  <c r="AG810" i="31"/>
  <c r="AF810" i="31"/>
  <c r="AE810" i="31"/>
  <c r="AH809" i="31"/>
  <c r="AG809" i="31"/>
  <c r="AF809" i="31"/>
  <c r="AE809" i="31"/>
  <c r="AH808" i="31"/>
  <c r="AG808" i="31"/>
  <c r="AF808" i="31"/>
  <c r="AE808" i="31"/>
  <c r="AH807" i="31"/>
  <c r="AG807" i="31"/>
  <c r="AF807" i="31"/>
  <c r="AE807" i="31"/>
  <c r="AH806" i="31"/>
  <c r="AG806" i="31"/>
  <c r="AF806" i="31"/>
  <c r="AE806" i="31"/>
  <c r="AH805" i="31"/>
  <c r="AG805" i="31"/>
  <c r="AF805" i="31"/>
  <c r="AE805" i="31"/>
  <c r="AH804" i="31"/>
  <c r="AG804" i="31"/>
  <c r="AF804" i="31"/>
  <c r="AE804" i="31"/>
  <c r="AH803" i="31"/>
  <c r="AG803" i="31"/>
  <c r="AF803" i="31"/>
  <c r="AE803" i="31"/>
  <c r="AH802" i="31"/>
  <c r="AG802" i="31"/>
  <c r="AF802" i="31"/>
  <c r="AE802" i="31"/>
  <c r="AH801" i="31"/>
  <c r="AG801" i="31"/>
  <c r="AF801" i="31"/>
  <c r="AE801" i="31"/>
  <c r="AH800" i="31"/>
  <c r="AG800" i="31"/>
  <c r="AF800" i="31"/>
  <c r="AE800" i="31"/>
  <c r="AH799" i="31"/>
  <c r="AG799" i="31"/>
  <c r="AF799" i="31"/>
  <c r="AE799" i="31"/>
  <c r="AH798" i="31"/>
  <c r="AG798" i="31"/>
  <c r="AF798" i="31"/>
  <c r="AE798" i="31"/>
  <c r="AH797" i="31"/>
  <c r="AG797" i="31"/>
  <c r="AF797" i="31"/>
  <c r="AE797" i="31"/>
  <c r="AH796" i="31"/>
  <c r="AG796" i="31"/>
  <c r="AF796" i="31"/>
  <c r="AE796" i="31"/>
  <c r="AH795" i="31"/>
  <c r="AG795" i="31"/>
  <c r="AF795" i="31"/>
  <c r="AE795" i="31"/>
  <c r="AH794" i="31"/>
  <c r="AG794" i="31"/>
  <c r="AF794" i="31"/>
  <c r="AE794" i="31"/>
  <c r="AH793" i="31"/>
  <c r="AG793" i="31"/>
  <c r="AF793" i="31"/>
  <c r="AE793" i="31"/>
  <c r="AH792" i="31"/>
  <c r="AG792" i="31"/>
  <c r="AF792" i="31"/>
  <c r="AE792" i="31"/>
  <c r="AH791" i="31"/>
  <c r="AG791" i="31"/>
  <c r="AF791" i="31"/>
  <c r="AE791" i="31"/>
  <c r="AH790" i="31"/>
  <c r="AG790" i="31"/>
  <c r="AF790" i="31"/>
  <c r="AE790" i="31"/>
  <c r="AH789" i="31"/>
  <c r="AG789" i="31"/>
  <c r="AF789" i="31"/>
  <c r="AE789" i="31"/>
  <c r="AH788" i="31"/>
  <c r="AG788" i="31"/>
  <c r="AF788" i="31"/>
  <c r="AE788" i="31"/>
  <c r="AH787" i="31"/>
  <c r="AG787" i="31"/>
  <c r="AF787" i="31"/>
  <c r="AE787" i="31"/>
  <c r="AH786" i="31"/>
  <c r="AG786" i="31"/>
  <c r="AF786" i="31"/>
  <c r="AE786" i="31"/>
  <c r="AH785" i="31"/>
  <c r="AG785" i="31"/>
  <c r="AF785" i="31"/>
  <c r="AE785" i="31"/>
  <c r="AH784" i="31"/>
  <c r="AG784" i="31"/>
  <c r="AF784" i="31"/>
  <c r="AE784" i="31"/>
  <c r="AH783" i="31"/>
  <c r="AG783" i="31"/>
  <c r="AF783" i="31"/>
  <c r="AE783" i="31"/>
  <c r="AH782" i="31"/>
  <c r="AG782" i="31"/>
  <c r="AF782" i="31"/>
  <c r="AE782" i="31"/>
  <c r="AH781" i="31"/>
  <c r="AG781" i="31"/>
  <c r="AF781" i="31"/>
  <c r="AE781" i="31"/>
  <c r="AH780" i="31"/>
  <c r="AG780" i="31"/>
  <c r="AF780" i="31"/>
  <c r="AE780" i="31"/>
  <c r="AH779" i="31"/>
  <c r="AG779" i="31"/>
  <c r="AF779" i="31"/>
  <c r="AE779" i="31"/>
  <c r="AH778" i="31"/>
  <c r="AG778" i="31"/>
  <c r="AF778" i="31"/>
  <c r="AE778" i="31"/>
  <c r="AH777" i="31"/>
  <c r="AG777" i="31"/>
  <c r="AF777" i="31"/>
  <c r="AE777" i="31"/>
  <c r="AH776" i="31"/>
  <c r="AG776" i="31"/>
  <c r="AF776" i="31"/>
  <c r="AE776" i="31"/>
  <c r="AH775" i="31"/>
  <c r="AG775" i="31"/>
  <c r="AF775" i="31"/>
  <c r="AE775" i="31"/>
  <c r="AH774" i="31"/>
  <c r="AG774" i="31"/>
  <c r="AF774" i="31"/>
  <c r="AE774" i="31"/>
  <c r="AH773" i="31"/>
  <c r="AG773" i="31"/>
  <c r="AF773" i="31"/>
  <c r="AE773" i="31"/>
  <c r="AH772" i="31"/>
  <c r="AG772" i="31"/>
  <c r="AF772" i="31"/>
  <c r="AE772" i="31"/>
  <c r="AH771" i="31"/>
  <c r="AG771" i="31"/>
  <c r="AF771" i="31"/>
  <c r="AE771" i="31"/>
  <c r="AH770" i="31"/>
  <c r="AG770" i="31"/>
  <c r="AF770" i="31"/>
  <c r="AE770" i="31"/>
  <c r="AH769" i="31"/>
  <c r="AG769" i="31"/>
  <c r="AF769" i="31"/>
  <c r="AE769" i="31"/>
  <c r="AH768" i="31"/>
  <c r="AG768" i="31"/>
  <c r="AF768" i="31"/>
  <c r="AE768" i="31"/>
  <c r="AH767" i="31"/>
  <c r="AG767" i="31"/>
  <c r="AF767" i="31"/>
  <c r="AE767" i="31"/>
  <c r="AH766" i="31"/>
  <c r="AG766" i="31"/>
  <c r="AF766" i="31"/>
  <c r="AE766" i="31"/>
  <c r="AH765" i="31"/>
  <c r="AG765" i="31"/>
  <c r="AF765" i="31"/>
  <c r="AE765" i="31"/>
  <c r="AH764" i="31"/>
  <c r="AG764" i="31"/>
  <c r="AF764" i="31"/>
  <c r="AE764" i="31"/>
  <c r="AH763" i="31"/>
  <c r="AG763" i="31"/>
  <c r="AF763" i="31"/>
  <c r="AE763" i="31"/>
  <c r="AH762" i="31"/>
  <c r="AG762" i="31"/>
  <c r="AF762" i="31"/>
  <c r="AE762" i="31"/>
  <c r="AH761" i="31"/>
  <c r="AG761" i="31"/>
  <c r="AF761" i="31"/>
  <c r="AE761" i="31"/>
  <c r="AH760" i="31"/>
  <c r="AG760" i="31"/>
  <c r="AF760" i="31"/>
  <c r="AE760" i="31"/>
  <c r="AH759" i="31"/>
  <c r="AG759" i="31"/>
  <c r="AF759" i="31"/>
  <c r="AE759" i="31"/>
  <c r="AH758" i="31"/>
  <c r="AG758" i="31"/>
  <c r="AF758" i="31"/>
  <c r="AE758" i="31"/>
  <c r="AH757" i="31"/>
  <c r="AG757" i="31"/>
  <c r="AF757" i="31"/>
  <c r="AE757" i="31"/>
  <c r="AH756" i="31"/>
  <c r="AG756" i="31"/>
  <c r="AF756" i="31"/>
  <c r="AE756" i="31"/>
  <c r="AH755" i="31"/>
  <c r="AG755" i="31"/>
  <c r="AF755" i="31"/>
  <c r="AE755" i="31"/>
  <c r="AH754" i="31"/>
  <c r="AG754" i="31"/>
  <c r="AF754" i="31"/>
  <c r="AE754" i="31"/>
  <c r="AH753" i="31"/>
  <c r="AG753" i="31"/>
  <c r="AF753" i="31"/>
  <c r="AE753" i="31"/>
  <c r="AH752" i="31"/>
  <c r="AG752" i="31"/>
  <c r="AF752" i="31"/>
  <c r="AE752" i="31"/>
  <c r="AH751" i="31"/>
  <c r="AG751" i="31"/>
  <c r="AF751" i="31"/>
  <c r="AE751" i="31"/>
  <c r="AH750" i="31"/>
  <c r="AG750" i="31"/>
  <c r="AF750" i="31"/>
  <c r="AE750" i="31"/>
  <c r="AH749" i="31"/>
  <c r="AG749" i="31"/>
  <c r="AF749" i="31"/>
  <c r="AE749" i="31"/>
  <c r="AH748" i="31"/>
  <c r="AG748" i="31"/>
  <c r="AF748" i="31"/>
  <c r="AE748" i="31"/>
  <c r="AH747" i="31"/>
  <c r="AG747" i="31"/>
  <c r="AF747" i="31"/>
  <c r="AE747" i="31"/>
  <c r="AH746" i="31"/>
  <c r="AG746" i="31"/>
  <c r="AF746" i="31"/>
  <c r="AE746" i="31"/>
  <c r="AH745" i="31"/>
  <c r="AG745" i="31"/>
  <c r="AF745" i="31"/>
  <c r="AE745" i="31"/>
  <c r="AH744" i="31"/>
  <c r="AG744" i="31"/>
  <c r="AF744" i="31"/>
  <c r="AE744" i="31"/>
  <c r="AH743" i="31"/>
  <c r="AG743" i="31"/>
  <c r="AF743" i="31"/>
  <c r="AE743" i="31"/>
  <c r="AH742" i="31"/>
  <c r="AG742" i="31"/>
  <c r="AF742" i="31"/>
  <c r="AE742" i="31"/>
  <c r="AH741" i="31"/>
  <c r="AG741" i="31"/>
  <c r="AF741" i="31"/>
  <c r="AE741" i="31"/>
  <c r="AH740" i="31"/>
  <c r="AG740" i="31"/>
  <c r="AF740" i="31"/>
  <c r="AE740" i="31"/>
  <c r="AH739" i="31"/>
  <c r="AG739" i="31"/>
  <c r="AF739" i="31"/>
  <c r="AE739" i="31"/>
  <c r="AH738" i="31"/>
  <c r="AG738" i="31"/>
  <c r="AF738" i="31"/>
  <c r="AE738" i="31"/>
  <c r="AH737" i="31"/>
  <c r="AG737" i="31"/>
  <c r="AF737" i="31"/>
  <c r="AE737" i="31"/>
  <c r="AH736" i="31"/>
  <c r="AG736" i="31"/>
  <c r="AF736" i="31"/>
  <c r="AE736" i="31"/>
  <c r="AH735" i="31"/>
  <c r="AG735" i="31"/>
  <c r="AF735" i="31"/>
  <c r="AE735" i="31"/>
  <c r="AH734" i="31"/>
  <c r="AG734" i="31"/>
  <c r="AF734" i="31"/>
  <c r="AE734" i="31"/>
  <c r="AH733" i="31"/>
  <c r="AG733" i="31"/>
  <c r="AF733" i="31"/>
  <c r="AE733" i="31"/>
  <c r="AH732" i="31"/>
  <c r="AG732" i="31"/>
  <c r="AF732" i="31"/>
  <c r="AE732" i="31"/>
  <c r="AH731" i="31"/>
  <c r="AG731" i="31"/>
  <c r="AF731" i="31"/>
  <c r="AE731" i="31"/>
  <c r="AH730" i="31"/>
  <c r="AG730" i="31"/>
  <c r="AF730" i="31"/>
  <c r="AE730" i="31"/>
  <c r="AH729" i="31"/>
  <c r="AG729" i="31"/>
  <c r="AF729" i="31"/>
  <c r="AE729" i="31"/>
  <c r="AH728" i="31"/>
  <c r="AG728" i="31"/>
  <c r="AF728" i="31"/>
  <c r="AE728" i="31"/>
  <c r="AH727" i="31"/>
  <c r="AG727" i="31"/>
  <c r="AF727" i="31"/>
  <c r="AE727" i="31"/>
  <c r="AH726" i="31"/>
  <c r="AG726" i="31"/>
  <c r="AF726" i="31"/>
  <c r="AE726" i="31"/>
  <c r="AH725" i="31"/>
  <c r="AG725" i="31"/>
  <c r="AF725" i="31"/>
  <c r="AE725" i="31"/>
  <c r="AH724" i="31"/>
  <c r="AG724" i="31"/>
  <c r="AF724" i="31"/>
  <c r="AE724" i="31"/>
  <c r="AH723" i="31"/>
  <c r="AG723" i="31"/>
  <c r="AF723" i="31"/>
  <c r="AE723" i="31"/>
  <c r="AH722" i="31"/>
  <c r="AG722" i="31"/>
  <c r="AF722" i="31"/>
  <c r="AE722" i="31"/>
  <c r="AH721" i="31"/>
  <c r="AG721" i="31"/>
  <c r="AF721" i="31"/>
  <c r="AE721" i="31"/>
  <c r="AH720" i="31"/>
  <c r="AG720" i="31"/>
  <c r="AF720" i="31"/>
  <c r="AE720" i="31"/>
  <c r="AH719" i="31"/>
  <c r="AG719" i="31"/>
  <c r="AF719" i="31"/>
  <c r="AE719" i="31"/>
  <c r="AH718" i="31"/>
  <c r="AG718" i="31"/>
  <c r="AF718" i="31"/>
  <c r="AE718" i="31"/>
  <c r="AH717" i="31"/>
  <c r="AG717" i="31"/>
  <c r="AF717" i="31"/>
  <c r="AE717" i="31"/>
  <c r="AH716" i="31"/>
  <c r="AG716" i="31"/>
  <c r="AF716" i="31"/>
  <c r="AE716" i="31"/>
  <c r="AH715" i="31"/>
  <c r="AG715" i="31"/>
  <c r="AF715" i="31"/>
  <c r="AE715" i="31"/>
  <c r="AH714" i="31"/>
  <c r="AG714" i="31"/>
  <c r="AF714" i="31"/>
  <c r="AE714" i="31"/>
  <c r="AH713" i="31"/>
  <c r="AG713" i="31"/>
  <c r="AF713" i="31"/>
  <c r="AE713" i="31"/>
  <c r="AH712" i="31"/>
  <c r="AG712" i="31"/>
  <c r="AF712" i="31"/>
  <c r="AE712" i="31"/>
  <c r="AH711" i="31"/>
  <c r="AG711" i="31"/>
  <c r="AF711" i="31"/>
  <c r="AE711" i="31"/>
  <c r="AH710" i="31"/>
  <c r="AG710" i="31"/>
  <c r="AF710" i="31"/>
  <c r="AE710" i="31"/>
  <c r="AH709" i="31"/>
  <c r="AG709" i="31"/>
  <c r="AF709" i="31"/>
  <c r="AE709" i="31"/>
  <c r="AH708" i="31"/>
  <c r="AG708" i="31"/>
  <c r="AF708" i="31"/>
  <c r="AE708" i="31"/>
  <c r="AH707" i="31"/>
  <c r="AG707" i="31"/>
  <c r="AF707" i="31"/>
  <c r="AE707" i="31"/>
  <c r="AH706" i="31"/>
  <c r="AG706" i="31"/>
  <c r="AF706" i="31"/>
  <c r="AE706" i="31"/>
  <c r="AH705" i="31"/>
  <c r="AG705" i="31"/>
  <c r="AF705" i="31"/>
  <c r="AE705" i="31"/>
  <c r="AH704" i="31"/>
  <c r="AG704" i="31"/>
  <c r="AF704" i="31"/>
  <c r="AE704" i="31"/>
  <c r="AH703" i="31"/>
  <c r="AG703" i="31"/>
  <c r="AF703" i="31"/>
  <c r="AE703" i="31"/>
  <c r="AH702" i="31"/>
  <c r="AG702" i="31"/>
  <c r="AF702" i="31"/>
  <c r="AE702" i="31"/>
  <c r="AH701" i="31"/>
  <c r="AG701" i="31"/>
  <c r="AF701" i="31"/>
  <c r="AE701" i="31"/>
  <c r="AH700" i="31"/>
  <c r="AG700" i="31"/>
  <c r="AF700" i="31"/>
  <c r="AE700" i="31"/>
  <c r="AH699" i="31"/>
  <c r="AG699" i="31"/>
  <c r="AF699" i="31"/>
  <c r="AE699" i="31"/>
  <c r="AH698" i="31"/>
  <c r="AG698" i="31"/>
  <c r="AF698" i="31"/>
  <c r="AE698" i="31"/>
  <c r="AH697" i="31"/>
  <c r="AG697" i="31"/>
  <c r="AF697" i="31"/>
  <c r="AE697" i="31"/>
  <c r="AH696" i="31"/>
  <c r="AG696" i="31"/>
  <c r="AF696" i="31"/>
  <c r="AE696" i="31"/>
  <c r="AH695" i="31"/>
  <c r="AG695" i="31"/>
  <c r="AF695" i="31"/>
  <c r="AE695" i="31"/>
  <c r="AH694" i="31"/>
  <c r="AG694" i="31"/>
  <c r="AF694" i="31"/>
  <c r="AE694" i="31"/>
  <c r="AH693" i="31"/>
  <c r="AG693" i="31"/>
  <c r="AF693" i="31"/>
  <c r="AE693" i="31"/>
  <c r="AH692" i="31"/>
  <c r="AG692" i="31"/>
  <c r="AF692" i="31"/>
  <c r="AE692" i="31"/>
  <c r="AH691" i="31"/>
  <c r="AG691" i="31"/>
  <c r="AF691" i="31"/>
  <c r="AE691" i="31"/>
  <c r="AH690" i="31"/>
  <c r="AG690" i="31"/>
  <c r="AF690" i="31"/>
  <c r="AE690" i="31"/>
  <c r="AH689" i="31"/>
  <c r="AG689" i="31"/>
  <c r="AF689" i="31"/>
  <c r="AE689" i="31"/>
  <c r="AH688" i="31"/>
  <c r="AG688" i="31"/>
  <c r="AF688" i="31"/>
  <c r="AE688" i="31"/>
  <c r="AH687" i="31"/>
  <c r="AG687" i="31"/>
  <c r="AF687" i="31"/>
  <c r="AE687" i="31"/>
  <c r="AH686" i="31"/>
  <c r="AG686" i="31"/>
  <c r="AF686" i="31"/>
  <c r="AE686" i="31"/>
  <c r="AH685" i="31"/>
  <c r="AG685" i="31"/>
  <c r="AF685" i="31"/>
  <c r="AE685" i="31"/>
  <c r="AH684" i="31"/>
  <c r="AG684" i="31"/>
  <c r="AF684" i="31"/>
  <c r="AE684" i="31"/>
  <c r="AH683" i="31"/>
  <c r="AG683" i="31"/>
  <c r="AF683" i="31"/>
  <c r="AE683" i="31"/>
  <c r="AH682" i="31"/>
  <c r="AG682" i="31"/>
  <c r="AF682" i="31"/>
  <c r="AE682" i="31"/>
  <c r="AH681" i="31"/>
  <c r="AG681" i="31"/>
  <c r="AF681" i="31"/>
  <c r="AE681" i="31"/>
  <c r="AH680" i="31"/>
  <c r="AG680" i="31"/>
  <c r="AF680" i="31"/>
  <c r="AE680" i="31"/>
  <c r="AH679" i="31"/>
  <c r="AG679" i="31"/>
  <c r="AF679" i="31"/>
  <c r="AE679" i="31"/>
  <c r="AH678" i="31"/>
  <c r="AG678" i="31"/>
  <c r="AF678" i="31"/>
  <c r="AE678" i="31"/>
  <c r="AH677" i="31"/>
  <c r="AG677" i="31"/>
  <c r="AF677" i="31"/>
  <c r="AE677" i="31"/>
  <c r="AH676" i="31"/>
  <c r="AG676" i="31"/>
  <c r="AF676" i="31"/>
  <c r="AE676" i="31"/>
  <c r="AH675" i="31"/>
  <c r="AG675" i="31"/>
  <c r="AF675" i="31"/>
  <c r="AE675" i="31"/>
  <c r="AH674" i="31"/>
  <c r="AG674" i="31"/>
  <c r="AF674" i="31"/>
  <c r="AE674" i="31"/>
  <c r="AH673" i="31"/>
  <c r="AG673" i="31"/>
  <c r="AF673" i="31"/>
  <c r="AE673" i="31"/>
  <c r="AH672" i="31"/>
  <c r="AG672" i="31"/>
  <c r="AF672" i="31"/>
  <c r="AE672" i="31"/>
  <c r="AH671" i="31"/>
  <c r="AG671" i="31"/>
  <c r="AF671" i="31"/>
  <c r="AE671" i="31"/>
  <c r="AH670" i="31"/>
  <c r="AG670" i="31"/>
  <c r="AF670" i="31"/>
  <c r="AE670" i="31"/>
  <c r="AH669" i="31"/>
  <c r="AG669" i="31"/>
  <c r="AF669" i="31"/>
  <c r="AE669" i="31"/>
  <c r="AH668" i="31"/>
  <c r="AG668" i="31"/>
  <c r="AF668" i="31"/>
  <c r="AE668" i="31"/>
  <c r="AH667" i="31"/>
  <c r="AG667" i="31"/>
  <c r="AF667" i="31"/>
  <c r="AE667" i="31"/>
  <c r="AH666" i="31"/>
  <c r="AG666" i="31"/>
  <c r="AF666" i="31"/>
  <c r="AE666" i="31"/>
  <c r="AH665" i="31"/>
  <c r="AG665" i="31"/>
  <c r="AF665" i="31"/>
  <c r="AE665" i="31"/>
  <c r="AH664" i="31"/>
  <c r="AG664" i="31"/>
  <c r="AF664" i="31"/>
  <c r="AE664" i="31"/>
  <c r="AH663" i="31"/>
  <c r="AG663" i="31"/>
  <c r="AF663" i="31"/>
  <c r="AE663" i="31"/>
  <c r="AH662" i="31"/>
  <c r="AG662" i="31"/>
  <c r="AF662" i="31"/>
  <c r="AE662" i="31"/>
  <c r="AH661" i="31"/>
  <c r="AG661" i="31"/>
  <c r="AF661" i="31"/>
  <c r="AE661" i="31"/>
  <c r="AH660" i="31"/>
  <c r="AG660" i="31"/>
  <c r="AF660" i="31"/>
  <c r="AE660" i="31"/>
  <c r="AH659" i="31"/>
  <c r="AG659" i="31"/>
  <c r="AF659" i="31"/>
  <c r="AE659" i="31"/>
  <c r="AH658" i="31"/>
  <c r="AG658" i="31"/>
  <c r="AF658" i="31"/>
  <c r="AE658" i="31"/>
  <c r="AH657" i="31"/>
  <c r="AG657" i="31"/>
  <c r="AF657" i="31"/>
  <c r="AE657" i="31"/>
  <c r="AH656" i="31"/>
  <c r="AG656" i="31"/>
  <c r="AF656" i="31"/>
  <c r="AE656" i="31"/>
  <c r="AH655" i="31"/>
  <c r="AG655" i="31"/>
  <c r="AF655" i="31"/>
  <c r="AE655" i="31"/>
  <c r="AH654" i="31"/>
  <c r="AG654" i="31"/>
  <c r="AF654" i="31"/>
  <c r="AE654" i="31"/>
  <c r="AH653" i="31"/>
  <c r="AG653" i="31"/>
  <c r="AF653" i="31"/>
  <c r="AE653" i="31"/>
  <c r="AH652" i="31"/>
  <c r="AG652" i="31"/>
  <c r="AF652" i="31"/>
  <c r="AE652" i="31"/>
  <c r="AH651" i="31"/>
  <c r="AG651" i="31"/>
  <c r="AF651" i="31"/>
  <c r="AE651" i="31"/>
  <c r="AH650" i="31"/>
  <c r="AG650" i="31"/>
  <c r="AF650" i="31"/>
  <c r="AE650" i="31"/>
  <c r="AH649" i="31"/>
  <c r="AG649" i="31"/>
  <c r="AF649" i="31"/>
  <c r="AE649" i="31"/>
  <c r="AH648" i="31"/>
  <c r="AG648" i="31"/>
  <c r="AF648" i="31"/>
  <c r="AE648" i="31"/>
  <c r="AH647" i="31"/>
  <c r="AG647" i="31"/>
  <c r="AF647" i="31"/>
  <c r="AE647" i="31"/>
  <c r="AH646" i="31"/>
  <c r="AG646" i="31"/>
  <c r="AF646" i="31"/>
  <c r="AE646" i="31"/>
  <c r="AH645" i="31"/>
  <c r="AG645" i="31"/>
  <c r="AF645" i="31"/>
  <c r="AE645" i="31"/>
  <c r="AH644" i="31"/>
  <c r="AG644" i="31"/>
  <c r="AF644" i="31"/>
  <c r="AE644" i="31"/>
  <c r="AH643" i="31"/>
  <c r="AG643" i="31"/>
  <c r="AF643" i="31"/>
  <c r="AE643" i="31"/>
  <c r="AH642" i="31"/>
  <c r="AG642" i="31"/>
  <c r="AF642" i="31"/>
  <c r="AE642" i="31"/>
  <c r="AH641" i="31"/>
  <c r="AG641" i="31"/>
  <c r="AF641" i="31"/>
  <c r="AE641" i="31"/>
  <c r="AH640" i="31"/>
  <c r="AG640" i="31"/>
  <c r="AF640" i="31"/>
  <c r="AE640" i="31"/>
  <c r="AH639" i="31"/>
  <c r="AG639" i="31"/>
  <c r="AF639" i="31"/>
  <c r="AE639" i="31"/>
  <c r="AH638" i="31"/>
  <c r="AG638" i="31"/>
  <c r="AF638" i="31"/>
  <c r="AE638" i="31"/>
  <c r="AH637" i="31"/>
  <c r="AG637" i="31"/>
  <c r="AF637" i="31"/>
  <c r="AE637" i="31"/>
  <c r="AH636" i="31"/>
  <c r="AG636" i="31"/>
  <c r="AF636" i="31"/>
  <c r="AE636" i="31"/>
  <c r="AH635" i="31"/>
  <c r="AG635" i="31"/>
  <c r="AF635" i="31"/>
  <c r="AE635" i="31"/>
  <c r="AH634" i="31"/>
  <c r="AG634" i="31"/>
  <c r="AF634" i="31"/>
  <c r="AE634" i="31"/>
  <c r="AH633" i="31"/>
  <c r="AG633" i="31"/>
  <c r="AF633" i="31"/>
  <c r="AE633" i="31"/>
  <c r="AH632" i="31"/>
  <c r="AG632" i="31"/>
  <c r="AF632" i="31"/>
  <c r="AE632" i="31"/>
  <c r="AH631" i="31"/>
  <c r="AG631" i="31"/>
  <c r="AF631" i="31"/>
  <c r="AE631" i="31"/>
  <c r="AH630" i="31"/>
  <c r="AG630" i="31"/>
  <c r="AF630" i="31"/>
  <c r="AE630" i="31"/>
  <c r="AH629" i="31"/>
  <c r="AG629" i="31"/>
  <c r="AF629" i="31"/>
  <c r="AE629" i="31"/>
  <c r="AH628" i="31"/>
  <c r="AG628" i="31"/>
  <c r="AF628" i="31"/>
  <c r="AE628" i="31"/>
  <c r="AH627" i="31"/>
  <c r="AG627" i="31"/>
  <c r="AF627" i="31"/>
  <c r="AE627" i="31"/>
  <c r="AH626" i="31"/>
  <c r="AG626" i="31"/>
  <c r="AF626" i="31"/>
  <c r="AE626" i="31"/>
  <c r="AH625" i="31"/>
  <c r="AG625" i="31"/>
  <c r="AF625" i="31"/>
  <c r="AE625" i="31"/>
  <c r="AH624" i="31"/>
  <c r="AG624" i="31"/>
  <c r="AF624" i="31"/>
  <c r="AE624" i="31"/>
  <c r="AH623" i="31"/>
  <c r="AG623" i="31"/>
  <c r="AF623" i="31"/>
  <c r="AE623" i="31"/>
  <c r="AH622" i="31"/>
  <c r="AG622" i="31"/>
  <c r="AF622" i="31"/>
  <c r="AE622" i="31"/>
  <c r="AH621" i="31"/>
  <c r="AG621" i="31"/>
  <c r="AF621" i="31"/>
  <c r="AE621" i="31"/>
  <c r="AH620" i="31"/>
  <c r="AG620" i="31"/>
  <c r="AF620" i="31"/>
  <c r="AE620" i="31"/>
  <c r="AH619" i="31"/>
  <c r="AG619" i="31"/>
  <c r="AF619" i="31"/>
  <c r="AE619" i="31"/>
  <c r="AH618" i="31"/>
  <c r="AG618" i="31"/>
  <c r="AF618" i="31"/>
  <c r="AE618" i="31"/>
  <c r="AH617" i="31"/>
  <c r="AG617" i="31"/>
  <c r="AF617" i="31"/>
  <c r="AE617" i="31"/>
  <c r="AH616" i="31"/>
  <c r="AG616" i="31"/>
  <c r="AF616" i="31"/>
  <c r="AE616" i="31"/>
  <c r="AH615" i="31"/>
  <c r="AG615" i="31"/>
  <c r="AF615" i="31"/>
  <c r="AE615" i="31"/>
  <c r="AH614" i="31"/>
  <c r="AG614" i="31"/>
  <c r="AF614" i="31"/>
  <c r="AE614" i="31"/>
  <c r="AH613" i="31"/>
  <c r="AG613" i="31"/>
  <c r="AF613" i="31"/>
  <c r="AE613" i="31"/>
  <c r="AH612" i="31"/>
  <c r="AG612" i="31"/>
  <c r="AF612" i="31"/>
  <c r="AE612" i="31"/>
  <c r="AH611" i="31"/>
  <c r="AG611" i="31"/>
  <c r="AF611" i="31"/>
  <c r="AE611" i="31"/>
  <c r="AH610" i="31"/>
  <c r="AG610" i="31"/>
  <c r="AF610" i="31"/>
  <c r="AE610" i="31"/>
  <c r="AH609" i="31"/>
  <c r="AG609" i="31"/>
  <c r="AF609" i="31"/>
  <c r="AE609" i="31"/>
  <c r="AH608" i="31"/>
  <c r="AG608" i="31"/>
  <c r="AF608" i="31"/>
  <c r="AE608" i="31"/>
  <c r="AH607" i="31"/>
  <c r="AG607" i="31"/>
  <c r="AF607" i="31"/>
  <c r="AE607" i="31"/>
  <c r="AH606" i="31"/>
  <c r="AG606" i="31"/>
  <c r="AF606" i="31"/>
  <c r="AE606" i="31"/>
  <c r="AH605" i="31"/>
  <c r="AG605" i="31"/>
  <c r="AF605" i="31"/>
  <c r="AE605" i="31"/>
  <c r="AH604" i="31"/>
  <c r="AG604" i="31"/>
  <c r="AF604" i="31"/>
  <c r="AE604" i="31"/>
  <c r="AH603" i="31"/>
  <c r="AG603" i="31"/>
  <c r="AF603" i="31"/>
  <c r="AE603" i="31"/>
  <c r="AH602" i="31"/>
  <c r="AG602" i="31"/>
  <c r="AF602" i="31"/>
  <c r="AE602" i="31"/>
  <c r="AH601" i="31"/>
  <c r="AG601" i="31"/>
  <c r="AF601" i="31"/>
  <c r="AE601" i="31"/>
  <c r="AH600" i="31"/>
  <c r="AG600" i="31"/>
  <c r="AF600" i="31"/>
  <c r="AE600" i="31"/>
  <c r="AH599" i="31"/>
  <c r="AG599" i="31"/>
  <c r="AF599" i="31"/>
  <c r="AE599" i="31"/>
  <c r="AH598" i="31"/>
  <c r="AG598" i="31"/>
  <c r="AF598" i="31"/>
  <c r="AE598" i="31"/>
  <c r="AH597" i="31"/>
  <c r="AG597" i="31"/>
  <c r="AF597" i="31"/>
  <c r="AE597" i="31"/>
  <c r="AH596" i="31"/>
  <c r="AG596" i="31"/>
  <c r="AF596" i="31"/>
  <c r="AE596" i="31"/>
  <c r="AH595" i="31"/>
  <c r="AG595" i="31"/>
  <c r="AF595" i="31"/>
  <c r="AE595" i="31"/>
  <c r="AH594" i="31"/>
  <c r="AG594" i="31"/>
  <c r="AF594" i="31"/>
  <c r="AE594" i="31"/>
  <c r="AH593" i="31"/>
  <c r="AG593" i="31"/>
  <c r="AF593" i="31"/>
  <c r="AE593" i="31"/>
  <c r="AH592" i="31"/>
  <c r="AG592" i="31"/>
  <c r="AF592" i="31"/>
  <c r="AE592" i="31"/>
  <c r="AH591" i="31"/>
  <c r="AG591" i="31"/>
  <c r="AF591" i="31"/>
  <c r="AE591" i="31"/>
  <c r="AH590" i="31"/>
  <c r="AG590" i="31"/>
  <c r="AF590" i="31"/>
  <c r="AE590" i="31"/>
  <c r="AH589" i="31"/>
  <c r="AG589" i="31"/>
  <c r="AF589" i="31"/>
  <c r="AE589" i="31"/>
  <c r="AH588" i="31"/>
  <c r="AG588" i="31"/>
  <c r="AF588" i="31"/>
  <c r="AE588" i="31"/>
  <c r="AH587" i="31"/>
  <c r="AG587" i="31"/>
  <c r="AF587" i="31"/>
  <c r="AE587" i="31"/>
  <c r="AH586" i="31"/>
  <c r="AG586" i="31"/>
  <c r="AF586" i="31"/>
  <c r="AE586" i="31"/>
  <c r="AH585" i="31"/>
  <c r="AG585" i="31"/>
  <c r="AF585" i="31"/>
  <c r="AE585" i="31"/>
  <c r="AH584" i="31"/>
  <c r="AG584" i="31"/>
  <c r="AF584" i="31"/>
  <c r="AE584" i="31"/>
  <c r="AH583" i="31"/>
  <c r="AG583" i="31"/>
  <c r="AF583" i="31"/>
  <c r="AE583" i="31"/>
  <c r="AH582" i="31"/>
  <c r="AG582" i="31"/>
  <c r="AF582" i="31"/>
  <c r="AE582" i="31"/>
  <c r="AH581" i="31"/>
  <c r="AG581" i="31"/>
  <c r="AF581" i="31"/>
  <c r="AE581" i="31"/>
  <c r="AH580" i="31"/>
  <c r="AG580" i="31"/>
  <c r="AF580" i="31"/>
  <c r="AE580" i="31"/>
  <c r="AH579" i="31"/>
  <c r="AG579" i="31"/>
  <c r="AF579" i="31"/>
  <c r="AE579" i="31"/>
  <c r="AH578" i="31"/>
  <c r="AG578" i="31"/>
  <c r="AF578" i="31"/>
  <c r="AE578" i="31"/>
  <c r="AH577" i="31"/>
  <c r="AG577" i="31"/>
  <c r="AF577" i="31"/>
  <c r="AE577" i="31"/>
  <c r="AH576" i="31"/>
  <c r="AG576" i="31"/>
  <c r="AF576" i="31"/>
  <c r="AE576" i="31"/>
  <c r="AH575" i="31"/>
  <c r="AG575" i="31"/>
  <c r="AF575" i="31"/>
  <c r="AE575" i="31"/>
  <c r="AH574" i="31"/>
  <c r="AG574" i="31"/>
  <c r="AF574" i="31"/>
  <c r="AE574" i="31"/>
  <c r="AH573" i="31"/>
  <c r="AG573" i="31"/>
  <c r="AF573" i="31"/>
  <c r="AE573" i="31"/>
  <c r="AH572" i="31"/>
  <c r="AG572" i="31"/>
  <c r="AF572" i="31"/>
  <c r="AE572" i="31"/>
  <c r="AH571" i="31"/>
  <c r="AG571" i="31"/>
  <c r="AF571" i="31"/>
  <c r="AE571" i="31"/>
  <c r="AH570" i="31"/>
  <c r="AG570" i="31"/>
  <c r="AF570" i="31"/>
  <c r="AE570" i="31"/>
  <c r="AH569" i="31"/>
  <c r="AG569" i="31"/>
  <c r="AF569" i="31"/>
  <c r="AE569" i="31"/>
  <c r="AH568" i="31"/>
  <c r="AG568" i="31"/>
  <c r="AF568" i="31"/>
  <c r="AE568" i="31"/>
  <c r="AH567" i="31"/>
  <c r="AG567" i="31"/>
  <c r="AF567" i="31"/>
  <c r="AE567" i="31"/>
  <c r="AH566" i="31"/>
  <c r="AG566" i="31"/>
  <c r="AF566" i="31"/>
  <c r="AE566" i="31"/>
  <c r="AH565" i="31"/>
  <c r="AG565" i="31"/>
  <c r="AF565" i="31"/>
  <c r="AE565" i="31"/>
  <c r="AH564" i="31"/>
  <c r="AG564" i="31"/>
  <c r="AF564" i="31"/>
  <c r="AE564" i="31"/>
  <c r="AH563" i="31"/>
  <c r="AG563" i="31"/>
  <c r="AF563" i="31"/>
  <c r="AE563" i="31"/>
  <c r="AH562" i="31"/>
  <c r="AG562" i="31"/>
  <c r="AF562" i="31"/>
  <c r="AE562" i="31"/>
  <c r="AH561" i="31"/>
  <c r="AG561" i="31"/>
  <c r="AF561" i="31"/>
  <c r="AE561" i="31"/>
  <c r="AH560" i="31"/>
  <c r="AG560" i="31"/>
  <c r="AF560" i="31"/>
  <c r="AE560" i="31"/>
  <c r="AH559" i="31"/>
  <c r="AG559" i="31"/>
  <c r="AF559" i="31"/>
  <c r="AE559" i="31"/>
  <c r="AH558" i="31"/>
  <c r="AG558" i="31"/>
  <c r="AF558" i="31"/>
  <c r="AE558" i="31"/>
  <c r="AH557" i="31"/>
  <c r="AG557" i="31"/>
  <c r="AF557" i="31"/>
  <c r="AE557" i="31"/>
  <c r="AH556" i="31"/>
  <c r="AG556" i="31"/>
  <c r="AF556" i="31"/>
  <c r="AE556" i="31"/>
  <c r="AH555" i="31"/>
  <c r="AG555" i="31"/>
  <c r="AF555" i="31"/>
  <c r="AE555" i="31"/>
  <c r="AH554" i="31"/>
  <c r="AG554" i="31"/>
  <c r="AF554" i="31"/>
  <c r="AE554" i="31"/>
  <c r="AH553" i="31"/>
  <c r="AG553" i="31"/>
  <c r="AF553" i="31"/>
  <c r="AE553" i="31"/>
  <c r="AH552" i="31"/>
  <c r="AG552" i="31"/>
  <c r="AF552" i="31"/>
  <c r="AE552" i="31"/>
  <c r="AH551" i="31"/>
  <c r="AG551" i="31"/>
  <c r="AF551" i="31"/>
  <c r="AE551" i="31"/>
  <c r="AH550" i="31"/>
  <c r="AG550" i="31"/>
  <c r="AF550" i="31"/>
  <c r="AE550" i="31"/>
  <c r="AH549" i="31"/>
  <c r="AG549" i="31"/>
  <c r="AF549" i="31"/>
  <c r="AE549" i="31"/>
  <c r="AH548" i="31"/>
  <c r="AG548" i="31"/>
  <c r="AF548" i="31"/>
  <c r="AE548" i="31"/>
  <c r="AH547" i="31"/>
  <c r="AG547" i="31"/>
  <c r="AF547" i="31"/>
  <c r="AE547" i="31"/>
  <c r="AH546" i="31"/>
  <c r="AG546" i="31"/>
  <c r="AF546" i="31"/>
  <c r="AE546" i="31"/>
  <c r="AH545" i="31"/>
  <c r="AG545" i="31"/>
  <c r="AF545" i="31"/>
  <c r="AE545" i="31"/>
  <c r="AH544" i="31"/>
  <c r="AG544" i="31"/>
  <c r="AF544" i="31"/>
  <c r="AE544" i="31"/>
  <c r="AH543" i="31"/>
  <c r="AG543" i="31"/>
  <c r="AF543" i="31"/>
  <c r="AE543" i="31"/>
  <c r="AH542" i="31"/>
  <c r="AG542" i="31"/>
  <c r="AF542" i="31"/>
  <c r="AE542" i="31"/>
  <c r="AH541" i="31"/>
  <c r="AG541" i="31"/>
  <c r="AF541" i="31"/>
  <c r="AE541" i="31"/>
  <c r="AH540" i="31"/>
  <c r="AG540" i="31"/>
  <c r="AF540" i="31"/>
  <c r="AE540" i="31"/>
  <c r="AH539" i="31"/>
  <c r="AG539" i="31"/>
  <c r="AF539" i="31"/>
  <c r="AE539" i="31"/>
  <c r="AH538" i="31"/>
  <c r="AG538" i="31"/>
  <c r="AF538" i="31"/>
  <c r="AE538" i="31"/>
  <c r="AH537" i="31"/>
  <c r="AG537" i="31"/>
  <c r="AF537" i="31"/>
  <c r="AE537" i="31"/>
  <c r="AH536" i="31"/>
  <c r="AG536" i="31"/>
  <c r="AF536" i="31"/>
  <c r="AE536" i="31"/>
  <c r="AH535" i="31"/>
  <c r="AG535" i="31"/>
  <c r="AF535" i="31"/>
  <c r="AE535" i="31"/>
  <c r="AH534" i="31"/>
  <c r="AG534" i="31"/>
  <c r="AF534" i="31"/>
  <c r="AE534" i="31"/>
  <c r="AH533" i="31"/>
  <c r="AG533" i="31"/>
  <c r="AF533" i="31"/>
  <c r="AE533" i="31"/>
  <c r="AH532" i="31"/>
  <c r="AG532" i="31"/>
  <c r="AF532" i="31"/>
  <c r="AE532" i="31"/>
  <c r="AH531" i="31"/>
  <c r="AG531" i="31"/>
  <c r="AF531" i="31"/>
  <c r="AE531" i="31"/>
  <c r="AH530" i="31"/>
  <c r="AG530" i="31"/>
  <c r="AF530" i="31"/>
  <c r="AE530" i="31"/>
  <c r="AH529" i="31"/>
  <c r="AG529" i="31"/>
  <c r="AF529" i="31"/>
  <c r="AE529" i="31"/>
  <c r="AH528" i="31"/>
  <c r="AG528" i="31"/>
  <c r="AF528" i="31"/>
  <c r="AE528" i="31"/>
  <c r="AH527" i="31"/>
  <c r="AG527" i="31"/>
  <c r="AF527" i="31"/>
  <c r="AE527" i="31"/>
  <c r="AH526" i="31"/>
  <c r="AG526" i="31"/>
  <c r="AF526" i="31"/>
  <c r="AE526" i="31"/>
  <c r="AH525" i="31"/>
  <c r="AG525" i="31"/>
  <c r="AF525" i="31"/>
  <c r="AE525" i="31"/>
  <c r="AH524" i="31"/>
  <c r="AG524" i="31"/>
  <c r="AF524" i="31"/>
  <c r="AE524" i="31"/>
  <c r="AH523" i="31"/>
  <c r="AG523" i="31"/>
  <c r="AF523" i="31"/>
  <c r="AE523" i="31"/>
  <c r="AH522" i="31"/>
  <c r="AG522" i="31"/>
  <c r="AF522" i="31"/>
  <c r="AE522" i="31"/>
  <c r="AH521" i="31"/>
  <c r="AG521" i="31"/>
  <c r="AF521" i="31"/>
  <c r="AE521" i="31"/>
  <c r="AH520" i="31"/>
  <c r="AG520" i="31"/>
  <c r="AF520" i="31"/>
  <c r="AE520" i="31"/>
  <c r="AH519" i="31"/>
  <c r="AG519" i="31"/>
  <c r="AF519" i="31"/>
  <c r="AE519" i="31"/>
  <c r="AH518" i="31"/>
  <c r="AG518" i="31"/>
  <c r="AF518" i="31"/>
  <c r="AE518" i="31"/>
  <c r="AH517" i="31"/>
  <c r="AG517" i="31"/>
  <c r="AF517" i="31"/>
  <c r="AE517" i="31"/>
  <c r="AH516" i="31"/>
  <c r="AG516" i="31"/>
  <c r="AF516" i="31"/>
  <c r="AE516" i="31"/>
  <c r="AH515" i="31"/>
  <c r="AG515" i="31"/>
  <c r="AF515" i="31"/>
  <c r="AE515" i="31"/>
  <c r="AH514" i="31"/>
  <c r="AG514" i="31"/>
  <c r="AF514" i="31"/>
  <c r="AE514" i="31"/>
  <c r="AH513" i="31"/>
  <c r="AG513" i="31"/>
  <c r="AF513" i="31"/>
  <c r="AE513" i="31"/>
  <c r="AH512" i="31"/>
  <c r="AG512" i="31"/>
  <c r="AF512" i="31"/>
  <c r="AE512" i="31"/>
  <c r="AH511" i="31"/>
  <c r="AG511" i="31"/>
  <c r="AF511" i="31"/>
  <c r="AE511" i="31"/>
  <c r="AH510" i="31"/>
  <c r="AG510" i="31"/>
  <c r="AF510" i="31"/>
  <c r="AE510" i="31"/>
  <c r="AH509" i="31"/>
  <c r="AG509" i="31"/>
  <c r="AF509" i="31"/>
  <c r="AE509" i="31"/>
  <c r="AH508" i="31"/>
  <c r="AG508" i="31"/>
  <c r="AF508" i="31"/>
  <c r="AE508" i="31"/>
  <c r="AH507" i="31"/>
  <c r="AG507" i="31"/>
  <c r="AF507" i="31"/>
  <c r="AE507" i="31"/>
  <c r="AH506" i="31"/>
  <c r="AG506" i="31"/>
  <c r="AF506" i="31"/>
  <c r="AE506" i="31"/>
  <c r="AH505" i="31"/>
  <c r="AG505" i="31"/>
  <c r="AF505" i="31"/>
  <c r="AE505" i="31"/>
  <c r="AH504" i="31"/>
  <c r="AG504" i="31"/>
  <c r="AF504" i="31"/>
  <c r="AE504" i="31"/>
  <c r="AH503" i="31"/>
  <c r="AG503" i="31"/>
  <c r="AF503" i="31"/>
  <c r="AE503" i="31"/>
  <c r="AH502" i="31"/>
  <c r="AG502" i="31"/>
  <c r="AF502" i="31"/>
  <c r="AE502" i="31"/>
  <c r="AH501" i="31"/>
  <c r="AG501" i="31"/>
  <c r="AF501" i="31"/>
  <c r="AE501" i="31"/>
  <c r="AH500" i="31"/>
  <c r="AG500" i="31"/>
  <c r="AF500" i="31"/>
  <c r="AE500" i="31"/>
  <c r="AH499" i="31"/>
  <c r="AG499" i="31"/>
  <c r="AF499" i="31"/>
  <c r="AE499" i="31"/>
  <c r="AH498" i="31"/>
  <c r="AG498" i="31"/>
  <c r="AF498" i="31"/>
  <c r="AE498" i="31"/>
  <c r="AH497" i="31"/>
  <c r="AG497" i="31"/>
  <c r="AF497" i="31"/>
  <c r="AE497" i="31"/>
  <c r="AH496" i="31"/>
  <c r="AG496" i="31"/>
  <c r="AF496" i="31"/>
  <c r="AE496" i="31"/>
  <c r="AH495" i="31"/>
  <c r="AG495" i="31"/>
  <c r="AF495" i="31"/>
  <c r="AE495" i="31"/>
  <c r="AH494" i="31"/>
  <c r="AG494" i="31"/>
  <c r="AF494" i="31"/>
  <c r="AE494" i="31"/>
  <c r="AH493" i="31"/>
  <c r="AG493" i="31"/>
  <c r="AF493" i="31"/>
  <c r="AE493" i="31"/>
  <c r="AH492" i="31"/>
  <c r="AG492" i="31"/>
  <c r="AF492" i="31"/>
  <c r="AE492" i="31"/>
  <c r="AH491" i="31"/>
  <c r="AG491" i="31"/>
  <c r="AF491" i="31"/>
  <c r="AE491" i="31"/>
  <c r="AH490" i="31"/>
  <c r="AG490" i="31"/>
  <c r="AF490" i="31"/>
  <c r="AE490" i="31"/>
  <c r="AH489" i="31"/>
  <c r="AG489" i="31"/>
  <c r="AF489" i="31"/>
  <c r="AE489" i="31"/>
  <c r="AH488" i="31"/>
  <c r="AG488" i="31"/>
  <c r="AF488" i="31"/>
  <c r="AE488" i="31"/>
  <c r="AH487" i="31"/>
  <c r="AG487" i="31"/>
  <c r="AF487" i="31"/>
  <c r="AE487" i="31"/>
  <c r="AH486" i="31"/>
  <c r="AG486" i="31"/>
  <c r="AF486" i="31"/>
  <c r="AE486" i="31"/>
  <c r="AH485" i="31"/>
  <c r="AG485" i="31"/>
  <c r="AF485" i="31"/>
  <c r="AE485" i="31"/>
  <c r="AH484" i="31"/>
  <c r="AG484" i="31"/>
  <c r="AF484" i="31"/>
  <c r="AE484" i="31"/>
  <c r="AH483" i="31"/>
  <c r="AG483" i="31"/>
  <c r="AF483" i="31"/>
  <c r="AE483" i="31"/>
  <c r="AH482" i="31"/>
  <c r="AG482" i="31"/>
  <c r="AF482" i="31"/>
  <c r="AE482" i="31"/>
  <c r="AH481" i="31"/>
  <c r="AG481" i="31"/>
  <c r="AF481" i="31"/>
  <c r="AE481" i="31"/>
  <c r="AH480" i="31"/>
  <c r="AG480" i="31"/>
  <c r="AF480" i="31"/>
  <c r="AE480" i="31"/>
  <c r="AH479" i="31"/>
  <c r="AG479" i="31"/>
  <c r="AF479" i="31"/>
  <c r="AE479" i="31"/>
  <c r="AH478" i="31"/>
  <c r="AG478" i="31"/>
  <c r="AF478" i="31"/>
  <c r="AE478" i="31"/>
  <c r="AH477" i="31"/>
  <c r="AG477" i="31"/>
  <c r="AF477" i="31"/>
  <c r="AE477" i="31"/>
  <c r="AH476" i="31"/>
  <c r="AG476" i="31"/>
  <c r="AF476" i="31"/>
  <c r="AE476" i="31"/>
  <c r="AH475" i="31"/>
  <c r="AG475" i="31"/>
  <c r="AF475" i="31"/>
  <c r="AE475" i="31"/>
  <c r="AH474" i="31"/>
  <c r="AG474" i="31"/>
  <c r="AF474" i="31"/>
  <c r="AE474" i="31"/>
  <c r="AH473" i="31"/>
  <c r="AG473" i="31"/>
  <c r="AF473" i="31"/>
  <c r="AE473" i="31"/>
  <c r="AH472" i="31"/>
  <c r="AG472" i="31"/>
  <c r="AF472" i="31"/>
  <c r="AE472" i="31"/>
  <c r="AH471" i="31"/>
  <c r="AG471" i="31"/>
  <c r="AF471" i="31"/>
  <c r="AE471" i="31"/>
  <c r="AH470" i="31"/>
  <c r="AG470" i="31"/>
  <c r="AF470" i="31"/>
  <c r="AE470" i="31"/>
  <c r="AH469" i="31"/>
  <c r="AG469" i="31"/>
  <c r="AF469" i="31"/>
  <c r="AE469" i="31"/>
  <c r="AH468" i="31"/>
  <c r="AG468" i="31"/>
  <c r="AF468" i="31"/>
  <c r="AE468" i="31"/>
  <c r="AH467" i="31"/>
  <c r="AG467" i="31"/>
  <c r="AF467" i="31"/>
  <c r="AE467" i="31"/>
  <c r="AH466" i="31"/>
  <c r="AG466" i="31"/>
  <c r="AF466" i="31"/>
  <c r="AE466" i="31"/>
  <c r="AH465" i="31"/>
  <c r="AG465" i="31"/>
  <c r="AF465" i="31"/>
  <c r="AE465" i="31"/>
  <c r="AH464" i="31"/>
  <c r="AG464" i="31"/>
  <c r="AF464" i="31"/>
  <c r="AE464" i="31"/>
  <c r="AH463" i="31"/>
  <c r="AG463" i="31"/>
  <c r="AF463" i="31"/>
  <c r="AE463" i="31"/>
  <c r="AH462" i="31"/>
  <c r="AG462" i="31"/>
  <c r="AF462" i="31"/>
  <c r="AE462" i="31"/>
  <c r="AH461" i="31"/>
  <c r="AG461" i="31"/>
  <c r="AF461" i="31"/>
  <c r="AE461" i="31"/>
  <c r="AH460" i="31"/>
  <c r="AG460" i="31"/>
  <c r="AF460" i="31"/>
  <c r="AE460" i="31"/>
  <c r="AH459" i="31"/>
  <c r="AG459" i="31"/>
  <c r="AF459" i="31"/>
  <c r="AE459" i="31"/>
  <c r="AH458" i="31"/>
  <c r="AG458" i="31"/>
  <c r="AF458" i="31"/>
  <c r="AE458" i="31"/>
  <c r="AH457" i="31"/>
  <c r="AG457" i="31"/>
  <c r="AF457" i="31"/>
  <c r="AE457" i="31"/>
  <c r="AH456" i="31"/>
  <c r="AG456" i="31"/>
  <c r="AF456" i="31"/>
  <c r="AE456" i="31"/>
  <c r="AH455" i="31"/>
  <c r="AG455" i="31"/>
  <c r="AF455" i="31"/>
  <c r="AE455" i="31"/>
  <c r="AH454" i="31"/>
  <c r="AG454" i="31"/>
  <c r="AF454" i="31"/>
  <c r="AE454" i="31"/>
  <c r="AH453" i="31"/>
  <c r="AG453" i="31"/>
  <c r="AF453" i="31"/>
  <c r="AE453" i="31"/>
  <c r="AH452" i="31"/>
  <c r="AG452" i="31"/>
  <c r="AF452" i="31"/>
  <c r="AE452" i="31"/>
  <c r="AH451" i="31"/>
  <c r="AG451" i="31"/>
  <c r="AF451" i="31"/>
  <c r="AE451" i="31"/>
  <c r="AH450" i="31"/>
  <c r="AG450" i="31"/>
  <c r="AF450" i="31"/>
  <c r="AE450" i="31"/>
  <c r="AH449" i="31"/>
  <c r="AG449" i="31"/>
  <c r="AF449" i="31"/>
  <c r="AE449" i="31"/>
  <c r="AH448" i="31"/>
  <c r="AG448" i="31"/>
  <c r="AF448" i="31"/>
  <c r="AE448" i="31"/>
  <c r="AH447" i="31"/>
  <c r="AG447" i="31"/>
  <c r="AF447" i="31"/>
  <c r="AE447" i="31"/>
  <c r="AH446" i="31"/>
  <c r="AG446" i="31"/>
  <c r="AF446" i="31"/>
  <c r="AE446" i="31"/>
  <c r="AH445" i="31"/>
  <c r="AG445" i="31"/>
  <c r="AF445" i="31"/>
  <c r="AE445" i="31"/>
  <c r="AH444" i="31"/>
  <c r="AG444" i="31"/>
  <c r="AF444" i="31"/>
  <c r="AE444" i="31"/>
  <c r="AH443" i="31"/>
  <c r="AG443" i="31"/>
  <c r="AF443" i="31"/>
  <c r="AE443" i="31"/>
  <c r="AH442" i="31"/>
  <c r="AG442" i="31"/>
  <c r="AF442" i="31"/>
  <c r="AE442" i="31"/>
  <c r="AH441" i="31"/>
  <c r="AG441" i="31"/>
  <c r="AF441" i="31"/>
  <c r="AE441" i="31"/>
  <c r="AH440" i="31"/>
  <c r="AG440" i="31"/>
  <c r="AF440" i="31"/>
  <c r="AE440" i="31"/>
  <c r="AH439" i="31"/>
  <c r="AG439" i="31"/>
  <c r="AF439" i="31"/>
  <c r="AE439" i="31"/>
  <c r="AH438" i="31"/>
  <c r="AG438" i="31"/>
  <c r="AF438" i="31"/>
  <c r="AE438" i="31"/>
  <c r="AH437" i="31"/>
  <c r="AG437" i="31"/>
  <c r="AF437" i="31"/>
  <c r="AE437" i="31"/>
  <c r="AH436" i="31"/>
  <c r="AG436" i="31"/>
  <c r="AF436" i="31"/>
  <c r="AE436" i="31"/>
  <c r="AH435" i="31"/>
  <c r="AG435" i="31"/>
  <c r="AF435" i="31"/>
  <c r="AE435" i="31"/>
  <c r="AH434" i="31"/>
  <c r="AG434" i="31"/>
  <c r="AF434" i="31"/>
  <c r="AE434" i="31"/>
  <c r="AH433" i="31"/>
  <c r="AG433" i="31"/>
  <c r="AF433" i="31"/>
  <c r="AE433" i="31"/>
  <c r="AH432" i="31"/>
  <c r="AG432" i="31"/>
  <c r="AF432" i="31"/>
  <c r="AE432" i="31"/>
  <c r="AH431" i="31"/>
  <c r="AG431" i="31"/>
  <c r="AF431" i="31"/>
  <c r="AE431" i="31"/>
  <c r="AH430" i="31"/>
  <c r="AG430" i="31"/>
  <c r="AF430" i="31"/>
  <c r="AE430" i="31"/>
  <c r="AH429" i="31"/>
  <c r="AG429" i="31"/>
  <c r="AF429" i="31"/>
  <c r="AE429" i="31"/>
  <c r="AH428" i="31"/>
  <c r="AG428" i="31"/>
  <c r="AF428" i="31"/>
  <c r="AE428" i="31"/>
  <c r="AH427" i="31"/>
  <c r="AG427" i="31"/>
  <c r="AF427" i="31"/>
  <c r="AE427" i="31"/>
  <c r="AH426" i="31"/>
  <c r="AG426" i="31"/>
  <c r="AF426" i="31"/>
  <c r="AE426" i="31"/>
  <c r="AH425" i="31"/>
  <c r="AG425" i="31"/>
  <c r="AF425" i="31"/>
  <c r="AE425" i="31"/>
  <c r="AH424" i="31"/>
  <c r="AG424" i="31"/>
  <c r="AF424" i="31"/>
  <c r="AE424" i="31"/>
  <c r="AH423" i="31"/>
  <c r="AG423" i="31"/>
  <c r="AF423" i="31"/>
  <c r="AE423" i="31"/>
  <c r="AH422" i="31"/>
  <c r="AG422" i="31"/>
  <c r="AF422" i="31"/>
  <c r="AE422" i="31"/>
  <c r="AH421" i="31"/>
  <c r="AG421" i="31"/>
  <c r="AF421" i="31"/>
  <c r="AE421" i="31"/>
  <c r="AH420" i="31"/>
  <c r="AG420" i="31"/>
  <c r="AF420" i="31"/>
  <c r="AE420" i="31"/>
  <c r="AH419" i="31"/>
  <c r="AG419" i="31"/>
  <c r="AF419" i="31"/>
  <c r="AE419" i="31"/>
  <c r="AH418" i="31"/>
  <c r="AG418" i="31"/>
  <c r="AF418" i="31"/>
  <c r="AE418" i="31"/>
  <c r="AH417" i="31"/>
  <c r="AG417" i="31"/>
  <c r="AF417" i="31"/>
  <c r="AE417" i="31"/>
  <c r="AH416" i="31"/>
  <c r="AG416" i="31"/>
  <c r="AF416" i="31"/>
  <c r="AE416" i="31"/>
  <c r="AH415" i="31"/>
  <c r="AG415" i="31"/>
  <c r="AF415" i="31"/>
  <c r="AE415" i="31"/>
  <c r="AH414" i="31"/>
  <c r="AG414" i="31"/>
  <c r="AF414" i="31"/>
  <c r="AE414" i="31"/>
  <c r="AH413" i="31"/>
  <c r="AG413" i="31"/>
  <c r="AF413" i="31"/>
  <c r="AE413" i="31"/>
  <c r="AH412" i="31"/>
  <c r="AG412" i="31"/>
  <c r="AF412" i="31"/>
  <c r="AE412" i="31"/>
  <c r="AH411" i="31"/>
  <c r="AG411" i="31"/>
  <c r="AF411" i="31"/>
  <c r="AE411" i="31"/>
  <c r="AH410" i="31"/>
  <c r="AG410" i="31"/>
  <c r="AF410" i="31"/>
  <c r="AE410" i="31"/>
  <c r="AH409" i="31"/>
  <c r="AG409" i="31"/>
  <c r="AF409" i="31"/>
  <c r="AE409" i="31"/>
  <c r="AH408" i="31"/>
  <c r="AG408" i="31"/>
  <c r="AF408" i="31"/>
  <c r="AE408" i="31"/>
  <c r="AH407" i="31"/>
  <c r="AG407" i="31"/>
  <c r="AF407" i="31"/>
  <c r="AE407" i="31"/>
  <c r="AH406" i="31"/>
  <c r="AG406" i="31"/>
  <c r="AF406" i="31"/>
  <c r="AE406" i="31"/>
  <c r="AH405" i="31"/>
  <c r="AG405" i="31"/>
  <c r="AF405" i="31"/>
  <c r="AE405" i="31"/>
  <c r="AH404" i="31"/>
  <c r="AG404" i="31"/>
  <c r="AF404" i="31"/>
  <c r="AE404" i="31"/>
  <c r="AH403" i="31"/>
  <c r="AG403" i="31"/>
  <c r="AF403" i="31"/>
  <c r="AE403" i="31"/>
  <c r="AH402" i="31"/>
  <c r="AG402" i="31"/>
  <c r="AF402" i="31"/>
  <c r="AE402" i="31"/>
  <c r="AH401" i="31"/>
  <c r="AG401" i="31"/>
  <c r="AF401" i="31"/>
  <c r="AE401" i="31"/>
  <c r="AH400" i="31"/>
  <c r="AG400" i="31"/>
  <c r="AF400" i="31"/>
  <c r="AE400" i="31"/>
  <c r="AH399" i="31"/>
  <c r="AG399" i="31"/>
  <c r="AF399" i="31"/>
  <c r="AE399" i="31"/>
  <c r="AH398" i="31"/>
  <c r="AG398" i="31"/>
  <c r="AF398" i="31"/>
  <c r="AE398" i="31"/>
  <c r="AH397" i="31"/>
  <c r="AG397" i="31"/>
  <c r="AF397" i="31"/>
  <c r="AE397" i="31"/>
  <c r="AH396" i="31"/>
  <c r="AG396" i="31"/>
  <c r="AF396" i="31"/>
  <c r="AE396" i="31"/>
  <c r="AH395" i="31"/>
  <c r="AG395" i="31"/>
  <c r="AF395" i="31"/>
  <c r="AE395" i="31"/>
  <c r="AH394" i="31"/>
  <c r="AG394" i="31"/>
  <c r="AF394" i="31"/>
  <c r="AE394" i="31"/>
  <c r="AH393" i="31"/>
  <c r="AG393" i="31"/>
  <c r="AF393" i="31"/>
  <c r="AE393" i="31"/>
  <c r="AH392" i="31"/>
  <c r="AG392" i="31"/>
  <c r="AF392" i="31"/>
  <c r="AE392" i="31"/>
  <c r="AH391" i="31"/>
  <c r="AG391" i="31"/>
  <c r="AF391" i="31"/>
  <c r="AE391" i="31"/>
  <c r="AH390" i="31"/>
  <c r="AG390" i="31"/>
  <c r="AF390" i="31"/>
  <c r="AE390" i="31"/>
  <c r="AH389" i="31"/>
  <c r="AG389" i="31"/>
  <c r="AF389" i="31"/>
  <c r="AE389" i="31"/>
  <c r="AH388" i="31"/>
  <c r="AG388" i="31"/>
  <c r="AF388" i="31"/>
  <c r="AE388" i="31"/>
  <c r="AH387" i="31"/>
  <c r="AG387" i="31"/>
  <c r="AF387" i="31"/>
  <c r="AE387" i="31"/>
  <c r="AH386" i="31"/>
  <c r="AG386" i="31"/>
  <c r="AF386" i="31"/>
  <c r="AE386" i="31"/>
  <c r="AH385" i="31"/>
  <c r="AG385" i="31"/>
  <c r="AF385" i="31"/>
  <c r="AE385" i="31"/>
  <c r="AH384" i="31"/>
  <c r="AG384" i="31"/>
  <c r="AF384" i="31"/>
  <c r="AE384" i="31"/>
  <c r="AH383" i="31"/>
  <c r="AG383" i="31"/>
  <c r="AF383" i="31"/>
  <c r="AE383" i="31"/>
  <c r="AH382" i="31"/>
  <c r="AG382" i="31"/>
  <c r="AF382" i="31"/>
  <c r="AE382" i="31"/>
  <c r="AH381" i="31"/>
  <c r="AG381" i="31"/>
  <c r="AF381" i="31"/>
  <c r="AE381" i="31"/>
  <c r="AH380" i="31"/>
  <c r="AG380" i="31"/>
  <c r="AF380" i="31"/>
  <c r="AE380" i="31"/>
  <c r="AH379" i="31"/>
  <c r="AG379" i="31"/>
  <c r="AF379" i="31"/>
  <c r="AE379" i="31"/>
  <c r="AH378" i="31"/>
  <c r="AG378" i="31"/>
  <c r="AF378" i="31"/>
  <c r="AE378" i="31"/>
  <c r="AH377" i="31"/>
  <c r="AG377" i="31"/>
  <c r="AF377" i="31"/>
  <c r="AE377" i="31"/>
  <c r="AH376" i="31"/>
  <c r="AG376" i="31"/>
  <c r="AF376" i="31"/>
  <c r="AE376" i="31"/>
  <c r="AH375" i="31"/>
  <c r="AG375" i="31"/>
  <c r="AF375" i="31"/>
  <c r="AE375" i="31"/>
  <c r="AH374" i="31"/>
  <c r="AG374" i="31"/>
  <c r="AF374" i="31"/>
  <c r="AE374" i="31"/>
  <c r="AH373" i="31"/>
  <c r="AG373" i="31"/>
  <c r="AF373" i="31"/>
  <c r="AE373" i="31"/>
  <c r="AH372" i="31"/>
  <c r="AG372" i="31"/>
  <c r="AF372" i="31"/>
  <c r="AE372" i="31"/>
  <c r="AH371" i="31"/>
  <c r="AG371" i="31"/>
  <c r="AF371" i="31"/>
  <c r="AE371" i="31"/>
  <c r="AH370" i="31"/>
  <c r="AG370" i="31"/>
  <c r="AF370" i="31"/>
  <c r="AE370" i="31"/>
  <c r="AH369" i="31"/>
  <c r="AG369" i="31"/>
  <c r="AF369" i="31"/>
  <c r="AE369" i="31"/>
  <c r="AH368" i="31"/>
  <c r="AG368" i="31"/>
  <c r="AF368" i="31"/>
  <c r="AE368" i="31"/>
  <c r="AH367" i="31"/>
  <c r="AG367" i="31"/>
  <c r="AF367" i="31"/>
  <c r="AE367" i="31"/>
  <c r="AH366" i="31"/>
  <c r="AG366" i="31"/>
  <c r="AF366" i="31"/>
  <c r="AE366" i="31"/>
  <c r="AH365" i="31"/>
  <c r="AG365" i="31"/>
  <c r="AF365" i="31"/>
  <c r="AE365" i="31"/>
  <c r="AH364" i="31"/>
  <c r="AG364" i="31"/>
  <c r="AF364" i="31"/>
  <c r="AE364" i="31"/>
  <c r="AH363" i="31"/>
  <c r="AG363" i="31"/>
  <c r="AF363" i="31"/>
  <c r="AE363" i="31"/>
  <c r="AH362" i="31"/>
  <c r="AG362" i="31"/>
  <c r="AF362" i="31"/>
  <c r="AE362" i="31"/>
  <c r="AH361" i="31"/>
  <c r="AG361" i="31"/>
  <c r="AF361" i="31"/>
  <c r="AE361" i="31"/>
  <c r="AH360" i="31"/>
  <c r="AG360" i="31"/>
  <c r="AF360" i="31"/>
  <c r="AE360" i="31"/>
  <c r="AH359" i="31"/>
  <c r="AG359" i="31"/>
  <c r="AF359" i="31"/>
  <c r="AE359" i="31"/>
  <c r="AH358" i="31"/>
  <c r="AG358" i="31"/>
  <c r="AF358" i="31"/>
  <c r="AE358" i="31"/>
  <c r="AH357" i="31"/>
  <c r="AG357" i="31"/>
  <c r="AF357" i="31"/>
  <c r="AE357" i="31"/>
  <c r="AH356" i="31"/>
  <c r="AG356" i="31"/>
  <c r="AF356" i="31"/>
  <c r="AE356" i="31"/>
  <c r="AH355" i="31"/>
  <c r="AG355" i="31"/>
  <c r="AF355" i="31"/>
  <c r="AE355" i="31"/>
  <c r="AH354" i="31"/>
  <c r="AG354" i="31"/>
  <c r="AF354" i="31"/>
  <c r="AE354" i="31"/>
  <c r="AH353" i="31"/>
  <c r="AG353" i="31"/>
  <c r="AF353" i="31"/>
  <c r="AE353" i="31"/>
  <c r="AH352" i="31"/>
  <c r="AG352" i="31"/>
  <c r="AF352" i="31"/>
  <c r="AE352" i="31"/>
  <c r="AH351" i="31"/>
  <c r="AG351" i="31"/>
  <c r="AF351" i="31"/>
  <c r="AE351" i="31"/>
  <c r="AH350" i="31"/>
  <c r="AG350" i="31"/>
  <c r="AF350" i="31"/>
  <c r="AE350" i="31"/>
  <c r="AH349" i="31"/>
  <c r="AG349" i="31"/>
  <c r="AF349" i="31"/>
  <c r="AE349" i="31"/>
  <c r="AH348" i="31"/>
  <c r="AG348" i="31"/>
  <c r="AF348" i="31"/>
  <c r="AE348" i="31"/>
  <c r="AH347" i="31"/>
  <c r="AG347" i="31"/>
  <c r="AF347" i="31"/>
  <c r="AE347" i="31"/>
  <c r="AH346" i="31"/>
  <c r="AG346" i="31"/>
  <c r="AF346" i="31"/>
  <c r="AE346" i="31"/>
  <c r="AH345" i="31"/>
  <c r="AG345" i="31"/>
  <c r="AF345" i="31"/>
  <c r="AE345" i="31"/>
  <c r="AH344" i="31"/>
  <c r="AG344" i="31"/>
  <c r="AF344" i="31"/>
  <c r="AE344" i="31"/>
  <c r="AH343" i="31"/>
  <c r="AG343" i="31"/>
  <c r="AF343" i="31"/>
  <c r="AE343" i="31"/>
  <c r="AH342" i="31"/>
  <c r="AG342" i="31"/>
  <c r="AF342" i="31"/>
  <c r="AE342" i="31"/>
  <c r="AH341" i="31"/>
  <c r="AG341" i="31"/>
  <c r="AF341" i="31"/>
  <c r="AE341" i="31"/>
  <c r="AH340" i="31"/>
  <c r="AG340" i="31"/>
  <c r="AF340" i="31"/>
  <c r="AE340" i="31"/>
  <c r="AH339" i="31"/>
  <c r="AG339" i="31"/>
  <c r="AF339" i="31"/>
  <c r="AE339" i="31"/>
  <c r="AH338" i="31"/>
  <c r="AG338" i="31"/>
  <c r="AF338" i="31"/>
  <c r="AE338" i="31"/>
  <c r="AH337" i="31"/>
  <c r="AG337" i="31"/>
  <c r="AF337" i="31"/>
  <c r="AE337" i="31"/>
  <c r="AH336" i="31"/>
  <c r="AG336" i="31"/>
  <c r="AF336" i="31"/>
  <c r="AE336" i="31"/>
  <c r="AH335" i="31"/>
  <c r="AG335" i="31"/>
  <c r="AF335" i="31"/>
  <c r="AE335" i="31"/>
  <c r="AH334" i="31"/>
  <c r="AG334" i="31"/>
  <c r="AF334" i="31"/>
  <c r="AE334" i="31"/>
  <c r="AH333" i="31"/>
  <c r="AG333" i="31"/>
  <c r="AF333" i="31"/>
  <c r="AE333" i="31"/>
  <c r="AH332" i="31"/>
  <c r="AG332" i="31"/>
  <c r="AF332" i="31"/>
  <c r="AE332" i="31"/>
  <c r="AH331" i="31"/>
  <c r="AG331" i="31"/>
  <c r="AF331" i="31"/>
  <c r="AE331" i="31"/>
  <c r="AH330" i="31"/>
  <c r="AG330" i="31"/>
  <c r="AF330" i="31"/>
  <c r="AE330" i="31"/>
  <c r="AH329" i="31"/>
  <c r="AG329" i="31"/>
  <c r="AF329" i="31"/>
  <c r="AE329" i="31"/>
  <c r="AH328" i="31"/>
  <c r="AG328" i="31"/>
  <c r="AF328" i="31"/>
  <c r="AE328" i="31"/>
  <c r="AH327" i="31"/>
  <c r="AG327" i="31"/>
  <c r="AF327" i="31"/>
  <c r="AE327" i="31"/>
  <c r="AH326" i="31"/>
  <c r="AG326" i="31"/>
  <c r="AF326" i="31"/>
  <c r="AE326" i="31"/>
  <c r="AH325" i="31"/>
  <c r="AG325" i="31"/>
  <c r="AF325" i="31"/>
  <c r="AE325" i="31"/>
  <c r="AH324" i="31"/>
  <c r="AG324" i="31"/>
  <c r="AF324" i="31"/>
  <c r="AE324" i="31"/>
  <c r="AH323" i="31"/>
  <c r="AG323" i="31"/>
  <c r="AF323" i="31"/>
  <c r="AE323" i="31"/>
  <c r="AH322" i="31"/>
  <c r="AG322" i="31"/>
  <c r="AF322" i="31"/>
  <c r="AE322" i="31"/>
  <c r="AH321" i="31"/>
  <c r="AG321" i="31"/>
  <c r="AF321" i="31"/>
  <c r="AE321" i="31"/>
  <c r="AH320" i="31"/>
  <c r="AG320" i="31"/>
  <c r="AF320" i="31"/>
  <c r="AE320" i="31"/>
  <c r="AH319" i="31"/>
  <c r="AG319" i="31"/>
  <c r="AF319" i="31"/>
  <c r="AE319" i="31"/>
  <c r="AH318" i="31"/>
  <c r="AG318" i="31"/>
  <c r="AF318" i="31"/>
  <c r="AE318" i="31"/>
  <c r="AH317" i="31"/>
  <c r="AG317" i="31"/>
  <c r="AF317" i="31"/>
  <c r="AE317" i="31"/>
  <c r="AH316" i="31"/>
  <c r="AG316" i="31"/>
  <c r="AF316" i="31"/>
  <c r="AE316" i="31"/>
  <c r="AH315" i="31"/>
  <c r="AG315" i="31"/>
  <c r="AF315" i="31"/>
  <c r="AE315" i="31"/>
  <c r="AH314" i="31"/>
  <c r="AG314" i="31"/>
  <c r="AF314" i="31"/>
  <c r="AE314" i="31"/>
  <c r="AH313" i="31"/>
  <c r="AG313" i="31"/>
  <c r="AF313" i="31"/>
  <c r="AE313" i="31"/>
  <c r="AH312" i="31"/>
  <c r="AG312" i="31"/>
  <c r="AF312" i="31"/>
  <c r="AE312" i="31"/>
  <c r="AH311" i="31"/>
  <c r="AG311" i="31"/>
  <c r="AF311" i="31"/>
  <c r="AE311" i="31"/>
  <c r="AH310" i="31"/>
  <c r="AG310" i="31"/>
  <c r="AF310" i="31"/>
  <c r="AE310" i="31"/>
  <c r="AH309" i="31"/>
  <c r="AG309" i="31"/>
  <c r="AF309" i="31"/>
  <c r="AE309" i="31"/>
  <c r="AH308" i="31"/>
  <c r="AG308" i="31"/>
  <c r="AF308" i="31"/>
  <c r="AE308" i="31"/>
  <c r="AH307" i="31"/>
  <c r="AG307" i="31"/>
  <c r="AF307" i="31"/>
  <c r="AE307" i="31"/>
  <c r="AH306" i="31"/>
  <c r="AG306" i="31"/>
  <c r="AF306" i="31"/>
  <c r="AE306" i="31"/>
  <c r="AH305" i="31"/>
  <c r="AG305" i="31"/>
  <c r="AF305" i="31"/>
  <c r="AE305" i="31"/>
  <c r="AH304" i="31"/>
  <c r="AG304" i="31"/>
  <c r="AF304" i="31"/>
  <c r="AE304" i="31"/>
  <c r="AH303" i="31"/>
  <c r="AG303" i="31"/>
  <c r="AF303" i="31"/>
  <c r="AE303" i="31"/>
  <c r="AH302" i="31"/>
  <c r="AG302" i="31"/>
  <c r="AF302" i="31"/>
  <c r="AE302" i="31"/>
  <c r="AH301" i="31"/>
  <c r="AG301" i="31"/>
  <c r="AF301" i="31"/>
  <c r="AE301" i="31"/>
  <c r="AH300" i="31"/>
  <c r="AG300" i="31"/>
  <c r="AF300" i="31"/>
  <c r="AE300" i="31"/>
  <c r="AH299" i="31"/>
  <c r="AG299" i="31"/>
  <c r="AF299" i="31"/>
  <c r="AE299" i="31"/>
  <c r="AH298" i="31"/>
  <c r="AG298" i="31"/>
  <c r="AF298" i="31"/>
  <c r="AE298" i="31"/>
  <c r="AH297" i="31"/>
  <c r="AG297" i="31"/>
  <c r="AF297" i="31"/>
  <c r="AE297" i="31"/>
  <c r="AH296" i="31"/>
  <c r="AG296" i="31"/>
  <c r="AF296" i="31"/>
  <c r="AE296" i="31"/>
  <c r="AH295" i="31"/>
  <c r="AG295" i="31"/>
  <c r="AF295" i="31"/>
  <c r="AE295" i="31"/>
  <c r="AH294" i="31"/>
  <c r="AG294" i="31"/>
  <c r="AF294" i="31"/>
  <c r="AE294" i="31"/>
  <c r="AH293" i="31"/>
  <c r="AG293" i="31"/>
  <c r="AF293" i="31"/>
  <c r="AE293" i="31"/>
  <c r="AH292" i="31"/>
  <c r="AG292" i="31"/>
  <c r="AF292" i="31"/>
  <c r="AE292" i="31"/>
  <c r="AH291" i="31"/>
  <c r="AG291" i="31"/>
  <c r="AF291" i="31"/>
  <c r="AE291" i="31"/>
  <c r="AH290" i="31"/>
  <c r="AG290" i="31"/>
  <c r="AF290" i="31"/>
  <c r="AE290" i="31"/>
  <c r="AH289" i="31"/>
  <c r="AG289" i="31"/>
  <c r="AF289" i="31"/>
  <c r="AE289" i="31"/>
  <c r="AH288" i="31"/>
  <c r="AG288" i="31"/>
  <c r="AF288" i="31"/>
  <c r="AE288" i="31"/>
  <c r="AH287" i="31"/>
  <c r="AG287" i="31"/>
  <c r="AF287" i="31"/>
  <c r="AE287" i="31"/>
  <c r="AH286" i="31"/>
  <c r="AG286" i="31"/>
  <c r="AF286" i="31"/>
  <c r="AE286" i="31"/>
  <c r="AH285" i="31"/>
  <c r="AG285" i="31"/>
  <c r="AF285" i="31"/>
  <c r="AE285" i="31"/>
  <c r="AH284" i="31"/>
  <c r="AG284" i="31"/>
  <c r="AF284" i="31"/>
  <c r="AE284" i="31"/>
  <c r="AH283" i="31"/>
  <c r="AG283" i="31"/>
  <c r="AF283" i="31"/>
  <c r="AE283" i="31"/>
  <c r="AH282" i="31"/>
  <c r="AG282" i="31"/>
  <c r="AF282" i="31"/>
  <c r="AE282" i="31"/>
  <c r="AH281" i="31"/>
  <c r="AG281" i="31"/>
  <c r="AF281" i="31"/>
  <c r="AE281" i="31"/>
  <c r="AH280" i="31"/>
  <c r="AG280" i="31"/>
  <c r="AF280" i="31"/>
  <c r="AE280" i="31"/>
  <c r="AH279" i="31"/>
  <c r="AG279" i="31"/>
  <c r="AF279" i="31"/>
  <c r="AE279" i="31"/>
  <c r="AH278" i="31"/>
  <c r="AG278" i="31"/>
  <c r="AF278" i="31"/>
  <c r="AE278" i="31"/>
  <c r="AH277" i="31"/>
  <c r="AG277" i="31"/>
  <c r="AF277" i="31"/>
  <c r="AE277" i="31"/>
  <c r="AH276" i="31"/>
  <c r="AG276" i="31"/>
  <c r="AF276" i="31"/>
  <c r="AE276" i="31"/>
  <c r="AH275" i="31"/>
  <c r="AG275" i="31"/>
  <c r="AF275" i="31"/>
  <c r="AE275" i="31"/>
  <c r="AH274" i="31"/>
  <c r="AG274" i="31"/>
  <c r="AF274" i="31"/>
  <c r="AE274" i="31"/>
  <c r="AH273" i="31"/>
  <c r="AG273" i="31"/>
  <c r="AF273" i="31"/>
  <c r="AE273" i="31"/>
  <c r="AH272" i="31"/>
  <c r="AG272" i="31"/>
  <c r="AF272" i="31"/>
  <c r="AE272" i="31"/>
  <c r="AH271" i="31"/>
  <c r="AG271" i="31"/>
  <c r="AF271" i="31"/>
  <c r="AE271" i="31"/>
  <c r="AH270" i="31"/>
  <c r="AG270" i="31"/>
  <c r="AF270" i="31"/>
  <c r="AE270" i="31"/>
  <c r="AH269" i="31"/>
  <c r="AG269" i="31"/>
  <c r="AF269" i="31"/>
  <c r="AE269" i="31"/>
  <c r="AH268" i="31"/>
  <c r="AG268" i="31"/>
  <c r="AF268" i="31"/>
  <c r="AE268" i="31"/>
  <c r="AH267" i="31"/>
  <c r="AG267" i="31"/>
  <c r="AF267" i="31"/>
  <c r="AE267" i="31"/>
  <c r="AH266" i="31"/>
  <c r="AG266" i="31"/>
  <c r="AF266" i="31"/>
  <c r="AE266" i="31"/>
  <c r="AH265" i="31"/>
  <c r="AG265" i="31"/>
  <c r="AF265" i="31"/>
  <c r="AE265" i="31"/>
  <c r="AH264" i="31"/>
  <c r="AG264" i="31"/>
  <c r="AF264" i="31"/>
  <c r="AE264" i="31"/>
  <c r="AH263" i="31"/>
  <c r="AG263" i="31"/>
  <c r="AF263" i="31"/>
  <c r="AE263" i="31"/>
  <c r="AH262" i="31"/>
  <c r="AG262" i="31"/>
  <c r="AF262" i="31"/>
  <c r="AE262" i="31"/>
  <c r="AH261" i="31"/>
  <c r="AG261" i="31"/>
  <c r="AF261" i="31"/>
  <c r="AE261" i="31"/>
  <c r="AH260" i="31"/>
  <c r="AG260" i="31"/>
  <c r="AF260" i="31"/>
  <c r="AE260" i="31"/>
  <c r="AH259" i="31"/>
  <c r="AG259" i="31"/>
  <c r="AF259" i="31"/>
  <c r="AE259" i="31"/>
  <c r="AH258" i="31"/>
  <c r="AG258" i="31"/>
  <c r="AF258" i="31"/>
  <c r="AE258" i="31"/>
  <c r="AH257" i="31"/>
  <c r="AG257" i="31"/>
  <c r="AF257" i="31"/>
  <c r="AE257" i="31"/>
  <c r="AH256" i="31"/>
  <c r="AG256" i="31"/>
  <c r="AF256" i="31"/>
  <c r="AE256" i="31"/>
  <c r="AH255" i="31"/>
  <c r="AG255" i="31"/>
  <c r="AF255" i="31"/>
  <c r="AE255" i="31"/>
  <c r="AH254" i="31"/>
  <c r="AG254" i="31"/>
  <c r="AF254" i="31"/>
  <c r="AE254" i="31"/>
  <c r="AH253" i="31"/>
  <c r="AG253" i="31"/>
  <c r="AF253" i="31"/>
  <c r="AE253" i="31"/>
  <c r="AH252" i="31"/>
  <c r="AG252" i="31"/>
  <c r="AF252" i="31"/>
  <c r="AE252" i="31"/>
  <c r="AH251" i="31"/>
  <c r="AG251" i="31"/>
  <c r="AF251" i="31"/>
  <c r="AE251" i="31"/>
  <c r="AH250" i="31"/>
  <c r="AG250" i="31"/>
  <c r="AF250" i="31"/>
  <c r="AE250" i="31"/>
  <c r="AH249" i="31"/>
  <c r="AG249" i="31"/>
  <c r="AF249" i="31"/>
  <c r="AE249" i="31"/>
  <c r="AH248" i="31"/>
  <c r="AG248" i="31"/>
  <c r="AF248" i="31"/>
  <c r="AE248" i="31"/>
  <c r="AH247" i="31"/>
  <c r="AG247" i="31"/>
  <c r="AF247" i="31"/>
  <c r="AE247" i="31"/>
  <c r="AH246" i="31"/>
  <c r="AG246" i="31"/>
  <c r="AF246" i="31"/>
  <c r="AE246" i="31"/>
  <c r="AH245" i="31"/>
  <c r="AG245" i="31"/>
  <c r="AF245" i="31"/>
  <c r="AE245" i="31"/>
  <c r="AH244" i="31"/>
  <c r="AG244" i="31"/>
  <c r="AF244" i="31"/>
  <c r="AE244" i="31"/>
  <c r="AH243" i="31"/>
  <c r="AG243" i="31"/>
  <c r="AF243" i="31"/>
  <c r="AE243" i="31"/>
  <c r="AH242" i="31"/>
  <c r="AG242" i="31"/>
  <c r="AF242" i="31"/>
  <c r="AE242" i="31"/>
  <c r="AH241" i="31"/>
  <c r="AG241" i="31"/>
  <c r="AF241" i="31"/>
  <c r="AE241" i="31"/>
  <c r="AH240" i="31"/>
  <c r="AG240" i="31"/>
  <c r="AF240" i="31"/>
  <c r="AE240" i="31"/>
  <c r="AH239" i="31"/>
  <c r="AG239" i="31"/>
  <c r="AF239" i="31"/>
  <c r="AE239" i="31"/>
  <c r="AH238" i="31"/>
  <c r="AG238" i="31"/>
  <c r="AF238" i="31"/>
  <c r="AE238" i="31"/>
  <c r="AH237" i="31"/>
  <c r="AG237" i="31"/>
  <c r="AF237" i="31"/>
  <c r="AE237" i="31"/>
  <c r="AH236" i="31"/>
  <c r="AG236" i="31"/>
  <c r="AF236" i="31"/>
  <c r="AE236" i="31"/>
  <c r="AH235" i="31"/>
  <c r="AG235" i="31"/>
  <c r="AF235" i="31"/>
  <c r="AE235" i="31"/>
  <c r="AH234" i="31"/>
  <c r="AG234" i="31"/>
  <c r="AF234" i="31"/>
  <c r="AE234" i="31"/>
  <c r="AH233" i="31"/>
  <c r="AG233" i="31"/>
  <c r="AF233" i="31"/>
  <c r="AE233" i="31"/>
  <c r="AH232" i="31"/>
  <c r="AG232" i="31"/>
  <c r="AF232" i="31"/>
  <c r="AE232" i="31"/>
  <c r="AH231" i="31"/>
  <c r="AG231" i="31"/>
  <c r="AF231" i="31"/>
  <c r="AE231" i="31"/>
  <c r="AH230" i="31"/>
  <c r="AG230" i="31"/>
  <c r="AF230" i="31"/>
  <c r="AE230" i="31"/>
  <c r="AH229" i="31"/>
  <c r="AG229" i="31"/>
  <c r="AF229" i="31"/>
  <c r="AE229" i="31"/>
  <c r="AH228" i="31"/>
  <c r="AG228" i="31"/>
  <c r="AF228" i="31"/>
  <c r="AE228" i="31"/>
  <c r="AH227" i="31"/>
  <c r="AG227" i="31"/>
  <c r="AF227" i="31"/>
  <c r="AE227" i="31"/>
  <c r="AH226" i="31"/>
  <c r="AG226" i="31"/>
  <c r="AF226" i="31"/>
  <c r="AE226" i="31"/>
  <c r="AH225" i="31"/>
  <c r="AG225" i="31"/>
  <c r="AF225" i="31"/>
  <c r="AE225" i="31"/>
  <c r="AH224" i="31"/>
  <c r="AG224" i="31"/>
  <c r="AF224" i="31"/>
  <c r="AE224" i="31"/>
  <c r="AH223" i="31"/>
  <c r="AG223" i="31"/>
  <c r="AF223" i="31"/>
  <c r="AE223" i="31"/>
  <c r="AH222" i="31"/>
  <c r="AG222" i="31"/>
  <c r="AF222" i="31"/>
  <c r="AE222" i="31"/>
  <c r="AH221" i="31"/>
  <c r="AG221" i="31"/>
  <c r="AF221" i="31"/>
  <c r="AE221" i="31"/>
  <c r="AH220" i="31"/>
  <c r="AG220" i="31"/>
  <c r="AF220" i="31"/>
  <c r="AE220" i="31"/>
  <c r="AH219" i="31"/>
  <c r="AG219" i="31"/>
  <c r="AF219" i="31"/>
  <c r="AE219" i="31"/>
  <c r="AH218" i="31"/>
  <c r="AG218" i="31"/>
  <c r="AF218" i="31"/>
  <c r="AE218" i="31"/>
  <c r="AH217" i="31"/>
  <c r="AG217" i="31"/>
  <c r="AF217" i="31"/>
  <c r="AE217" i="31"/>
  <c r="AH216" i="31"/>
  <c r="AG216" i="31"/>
  <c r="AF216" i="31"/>
  <c r="AE216" i="31"/>
  <c r="AH215" i="31"/>
  <c r="AG215" i="31"/>
  <c r="AF215" i="31"/>
  <c r="AE215" i="31"/>
  <c r="AH214" i="31"/>
  <c r="AG214" i="31"/>
  <c r="AF214" i="31"/>
  <c r="AE214" i="31"/>
  <c r="AH213" i="31"/>
  <c r="AG213" i="31"/>
  <c r="AF213" i="31"/>
  <c r="AE213" i="31"/>
  <c r="AH212" i="31"/>
  <c r="AG212" i="31"/>
  <c r="AF212" i="31"/>
  <c r="AE212" i="31"/>
  <c r="AH211" i="31"/>
  <c r="AG211" i="31"/>
  <c r="AF211" i="31"/>
  <c r="AE211" i="31"/>
  <c r="AH210" i="31"/>
  <c r="AG210" i="31"/>
  <c r="AF210" i="31"/>
  <c r="AE210" i="31"/>
  <c r="AH209" i="31"/>
  <c r="AG209" i="31"/>
  <c r="AF209" i="31"/>
  <c r="AE209" i="31"/>
  <c r="AH208" i="31"/>
  <c r="AG208" i="31"/>
  <c r="AF208" i="31"/>
  <c r="AE208" i="31"/>
  <c r="AH207" i="31"/>
  <c r="AG207" i="31"/>
  <c r="AF207" i="31"/>
  <c r="AE207" i="31"/>
  <c r="AH206" i="31"/>
  <c r="AG206" i="31"/>
  <c r="AF206" i="31"/>
  <c r="AE206" i="31"/>
  <c r="AH205" i="31"/>
  <c r="AG205" i="31"/>
  <c r="AF205" i="31"/>
  <c r="AE205" i="31"/>
  <c r="AH204" i="31"/>
  <c r="AG204" i="31"/>
  <c r="AF204" i="31"/>
  <c r="AE204" i="31"/>
  <c r="AH203" i="31"/>
  <c r="AG203" i="31"/>
  <c r="AF203" i="31"/>
  <c r="AE203" i="31"/>
  <c r="AH202" i="31"/>
  <c r="AG202" i="31"/>
  <c r="AF202" i="31"/>
  <c r="AE202" i="31"/>
  <c r="AH201" i="31"/>
  <c r="AG201" i="31"/>
  <c r="AF201" i="31"/>
  <c r="AE201" i="31"/>
  <c r="AH200" i="31"/>
  <c r="AG200" i="31"/>
  <c r="AF200" i="31"/>
  <c r="AE200" i="31"/>
  <c r="AH199" i="31"/>
  <c r="AG199" i="31"/>
  <c r="AF199" i="31"/>
  <c r="AE199" i="31"/>
  <c r="AH198" i="31"/>
  <c r="AG198" i="31"/>
  <c r="AF198" i="31"/>
  <c r="AE198" i="31"/>
  <c r="AH197" i="31"/>
  <c r="AG197" i="31"/>
  <c r="AF197" i="31"/>
  <c r="AE197" i="31"/>
  <c r="AH196" i="31"/>
  <c r="AG196" i="31"/>
  <c r="AF196" i="31"/>
  <c r="AE196" i="31"/>
  <c r="AH195" i="31"/>
  <c r="AG195" i="31"/>
  <c r="AF195" i="31"/>
  <c r="AE195" i="31"/>
  <c r="AH194" i="31"/>
  <c r="AG194" i="31"/>
  <c r="AF194" i="31"/>
  <c r="AE194" i="31"/>
  <c r="AH193" i="31"/>
  <c r="AG193" i="31"/>
  <c r="AF193" i="31"/>
  <c r="AE193" i="31"/>
  <c r="AH192" i="31"/>
  <c r="AG192" i="31"/>
  <c r="AF192" i="31"/>
  <c r="AE192" i="31"/>
  <c r="AH191" i="31"/>
  <c r="AG191" i="31"/>
  <c r="AF191" i="31"/>
  <c r="AE191" i="31"/>
  <c r="AH190" i="31"/>
  <c r="AG190" i="31"/>
  <c r="AF190" i="31"/>
  <c r="AE190" i="31"/>
  <c r="AH189" i="31"/>
  <c r="AG189" i="31"/>
  <c r="AF189" i="31"/>
  <c r="AE189" i="31"/>
  <c r="AH188" i="31"/>
  <c r="AG188" i="31"/>
  <c r="AF188" i="31"/>
  <c r="AE188" i="31"/>
  <c r="AH187" i="31"/>
  <c r="AG187" i="31"/>
  <c r="AF187" i="31"/>
  <c r="AE187" i="31"/>
  <c r="AH186" i="31"/>
  <c r="AG186" i="31"/>
  <c r="AF186" i="31"/>
  <c r="AE186" i="31"/>
  <c r="AH185" i="31"/>
  <c r="AG185" i="31"/>
  <c r="AF185" i="31"/>
  <c r="AE185" i="31"/>
  <c r="AH184" i="31"/>
  <c r="AG184" i="31"/>
  <c r="AF184" i="31"/>
  <c r="AE184" i="31"/>
  <c r="AH183" i="31"/>
  <c r="AG183" i="31"/>
  <c r="AF183" i="31"/>
  <c r="AE183" i="31"/>
  <c r="AH182" i="31"/>
  <c r="AG182" i="31"/>
  <c r="AF182" i="31"/>
  <c r="AE182" i="31"/>
  <c r="AH181" i="31"/>
  <c r="AG181" i="31"/>
  <c r="AF181" i="31"/>
  <c r="AE181" i="31"/>
  <c r="AH180" i="31"/>
  <c r="AG180" i="31"/>
  <c r="AF180" i="31"/>
  <c r="AE180" i="31"/>
  <c r="AH179" i="31"/>
  <c r="AG179" i="31"/>
  <c r="AF179" i="31"/>
  <c r="AE179" i="31"/>
  <c r="AH178" i="31"/>
  <c r="AG178" i="31"/>
  <c r="AF178" i="31"/>
  <c r="AE178" i="31"/>
  <c r="AH177" i="31"/>
  <c r="AG177" i="31"/>
  <c r="AF177" i="31"/>
  <c r="AE177" i="31"/>
  <c r="AH176" i="31"/>
  <c r="AG176" i="31"/>
  <c r="AF176" i="31"/>
  <c r="AE176" i="31"/>
  <c r="AH175" i="31"/>
  <c r="AG175" i="31"/>
  <c r="AF175" i="31"/>
  <c r="AE175" i="31"/>
  <c r="AH174" i="31"/>
  <c r="AG174" i="31"/>
  <c r="AF174" i="31"/>
  <c r="AE174" i="31"/>
  <c r="AH173" i="31"/>
  <c r="AG173" i="31"/>
  <c r="AF173" i="31"/>
  <c r="AE173" i="31"/>
  <c r="AH172" i="31"/>
  <c r="AG172" i="31"/>
  <c r="AF172" i="31"/>
  <c r="AE172" i="31"/>
  <c r="AH171" i="31"/>
  <c r="AG171" i="31"/>
  <c r="AF171" i="31"/>
  <c r="AE171" i="31"/>
  <c r="AH170" i="31"/>
  <c r="AG170" i="31"/>
  <c r="AF170" i="31"/>
  <c r="AE170" i="31"/>
  <c r="AH169" i="31"/>
  <c r="AG169" i="31"/>
  <c r="AF169" i="31"/>
  <c r="AE169" i="31"/>
  <c r="AH168" i="31"/>
  <c r="AG168" i="31"/>
  <c r="AF168" i="31"/>
  <c r="AE168" i="31"/>
  <c r="AH167" i="31"/>
  <c r="AG167" i="31"/>
  <c r="AF167" i="31"/>
  <c r="AE167" i="31"/>
  <c r="AH166" i="31"/>
  <c r="AG166" i="31"/>
  <c r="AF166" i="31"/>
  <c r="AE166" i="31"/>
  <c r="AH165" i="31"/>
  <c r="AG165" i="31"/>
  <c r="AF165" i="31"/>
  <c r="AE165" i="31"/>
  <c r="AH164" i="31"/>
  <c r="AG164" i="31"/>
  <c r="AF164" i="31"/>
  <c r="AE164" i="31"/>
  <c r="AH163" i="31"/>
  <c r="AG163" i="31"/>
  <c r="AF163" i="31"/>
  <c r="AE163" i="31"/>
  <c r="AH162" i="31"/>
  <c r="AG162" i="31"/>
  <c r="AF162" i="31"/>
  <c r="AE162" i="31"/>
  <c r="AH161" i="31"/>
  <c r="AG161" i="31"/>
  <c r="AF161" i="31"/>
  <c r="AE161" i="31"/>
  <c r="AH160" i="31"/>
  <c r="AG160" i="31"/>
  <c r="AF160" i="31"/>
  <c r="AE160" i="31"/>
  <c r="AH159" i="31"/>
  <c r="AG159" i="31"/>
  <c r="AF159" i="31"/>
  <c r="AE159" i="31"/>
  <c r="AH158" i="31"/>
  <c r="AG158" i="31"/>
  <c r="AF158" i="31"/>
  <c r="AE158" i="31"/>
  <c r="AH157" i="31"/>
  <c r="AG157" i="31"/>
  <c r="AF157" i="31"/>
  <c r="AE157" i="31"/>
  <c r="AH156" i="31"/>
  <c r="AG156" i="31"/>
  <c r="AF156" i="31"/>
  <c r="AE156" i="31"/>
  <c r="AH155" i="31"/>
  <c r="AG155" i="31"/>
  <c r="AF155" i="31"/>
  <c r="AE155" i="31"/>
  <c r="AH154" i="31"/>
  <c r="AG154" i="31"/>
  <c r="AF154" i="31"/>
  <c r="AE154" i="31"/>
  <c r="AH153" i="31"/>
  <c r="AG153" i="31"/>
  <c r="AF153" i="31"/>
  <c r="AE153" i="31"/>
  <c r="AH152" i="31"/>
  <c r="AG152" i="31"/>
  <c r="AF152" i="31"/>
  <c r="AE152" i="31"/>
  <c r="AH151" i="31"/>
  <c r="AG151" i="31"/>
  <c r="AF151" i="31"/>
  <c r="AE151" i="31"/>
  <c r="AH150" i="31"/>
  <c r="AG150" i="31"/>
  <c r="AF150" i="31"/>
  <c r="AE150" i="31"/>
  <c r="AH149" i="31"/>
  <c r="AG149" i="31"/>
  <c r="AF149" i="31"/>
  <c r="AE149" i="31"/>
  <c r="AH148" i="31"/>
  <c r="AG148" i="31"/>
  <c r="AF148" i="31"/>
  <c r="AE148" i="31"/>
  <c r="AH147" i="31"/>
  <c r="AG147" i="31"/>
  <c r="AF147" i="31"/>
  <c r="AE147" i="31"/>
  <c r="AH146" i="31"/>
  <c r="AG146" i="31"/>
  <c r="AF146" i="31"/>
  <c r="AE146" i="31"/>
  <c r="AH145" i="31"/>
  <c r="AG145" i="31"/>
  <c r="AF145" i="31"/>
  <c r="AE145" i="31"/>
  <c r="AH144" i="31"/>
  <c r="AG144" i="31"/>
  <c r="AF144" i="31"/>
  <c r="AE144" i="31"/>
  <c r="AH143" i="31"/>
  <c r="AG143" i="31"/>
  <c r="AF143" i="31"/>
  <c r="AE143" i="31"/>
  <c r="AH142" i="31"/>
  <c r="AG142" i="31"/>
  <c r="AF142" i="31"/>
  <c r="AE142" i="31"/>
  <c r="AH141" i="31"/>
  <c r="AG141" i="31"/>
  <c r="AF141" i="31"/>
  <c r="AE141" i="31"/>
  <c r="AH140" i="31"/>
  <c r="AG140" i="31"/>
  <c r="AF140" i="31"/>
  <c r="AE140" i="31"/>
  <c r="AH139" i="31"/>
  <c r="AG139" i="31"/>
  <c r="AF139" i="31"/>
  <c r="AE139" i="31"/>
  <c r="AH138" i="31"/>
  <c r="AG138" i="31"/>
  <c r="AF138" i="31"/>
  <c r="AE138" i="31"/>
  <c r="AH137" i="31"/>
  <c r="AG137" i="31"/>
  <c r="AF137" i="31"/>
  <c r="AE137" i="31"/>
  <c r="AH136" i="31"/>
  <c r="AG136" i="31"/>
  <c r="AF136" i="31"/>
  <c r="AE136" i="31"/>
  <c r="AH135" i="31"/>
  <c r="AG135" i="31"/>
  <c r="AF135" i="31"/>
  <c r="AE135" i="31"/>
  <c r="AH134" i="31"/>
  <c r="AG134" i="31"/>
  <c r="AF134" i="31"/>
  <c r="AE134" i="31"/>
  <c r="AH133" i="31"/>
  <c r="AG133" i="31"/>
  <c r="AF133" i="31"/>
  <c r="AE133" i="31"/>
  <c r="AH132" i="31"/>
  <c r="AG132" i="31"/>
  <c r="AF132" i="31"/>
  <c r="AE132" i="31"/>
  <c r="AH131" i="31"/>
  <c r="AG131" i="31"/>
  <c r="AF131" i="31"/>
  <c r="AE131" i="31"/>
  <c r="AH130" i="31"/>
  <c r="AG130" i="31"/>
  <c r="AF130" i="31"/>
  <c r="AE130" i="31"/>
  <c r="AH129" i="31"/>
  <c r="AG129" i="31"/>
  <c r="AF129" i="31"/>
  <c r="AE129" i="31"/>
  <c r="AH128" i="31"/>
  <c r="AG128" i="31"/>
  <c r="AF128" i="31"/>
  <c r="AE128" i="31"/>
  <c r="AH127" i="31"/>
  <c r="AG127" i="31"/>
  <c r="AF127" i="31"/>
  <c r="AE127" i="31"/>
  <c r="AH126" i="31"/>
  <c r="AG126" i="31"/>
  <c r="AF126" i="31"/>
  <c r="AE126" i="31"/>
  <c r="AH125" i="31"/>
  <c r="AG125" i="31"/>
  <c r="AF125" i="31"/>
  <c r="AE125" i="31"/>
  <c r="AH124" i="31"/>
  <c r="AG124" i="31"/>
  <c r="AF124" i="31"/>
  <c r="AE124" i="31"/>
  <c r="AH123" i="31"/>
  <c r="AG123" i="31"/>
  <c r="AF123" i="31"/>
  <c r="AE123" i="31"/>
  <c r="AH122" i="31"/>
  <c r="AG122" i="31"/>
  <c r="AF122" i="31"/>
  <c r="AE122" i="31"/>
  <c r="AH121" i="31"/>
  <c r="AG121" i="31"/>
  <c r="AF121" i="31"/>
  <c r="AE121" i="31"/>
  <c r="AH120" i="31"/>
  <c r="AG120" i="31"/>
  <c r="AF120" i="31"/>
  <c r="AE120" i="31"/>
  <c r="AH119" i="31"/>
  <c r="AG119" i="31"/>
  <c r="AF119" i="31"/>
  <c r="AE119" i="31"/>
  <c r="AH118" i="31"/>
  <c r="AG118" i="31"/>
  <c r="AF118" i="31"/>
  <c r="AE118" i="31"/>
  <c r="AH117" i="31"/>
  <c r="AG117" i="31"/>
  <c r="AF117" i="31"/>
  <c r="AE117" i="31"/>
  <c r="AH116" i="31"/>
  <c r="AG116" i="31"/>
  <c r="AF116" i="31"/>
  <c r="AE116" i="31"/>
  <c r="AH115" i="31"/>
  <c r="AG115" i="31"/>
  <c r="AF115" i="31"/>
  <c r="AE115" i="31"/>
  <c r="AH114" i="31"/>
  <c r="AG114" i="31"/>
  <c r="AF114" i="31"/>
  <c r="AE114" i="31"/>
  <c r="AH113" i="31"/>
  <c r="AG113" i="31"/>
  <c r="AF113" i="31"/>
  <c r="AE113" i="31"/>
  <c r="AH112" i="31"/>
  <c r="AG112" i="31"/>
  <c r="AF112" i="31"/>
  <c r="AE112" i="31"/>
  <c r="AH111" i="31"/>
  <c r="AG111" i="31"/>
  <c r="AF111" i="31"/>
  <c r="AE111" i="31"/>
  <c r="AH110" i="31"/>
  <c r="AG110" i="31"/>
  <c r="AF110" i="31"/>
  <c r="AE110" i="31"/>
  <c r="AH109" i="31"/>
  <c r="AG109" i="31"/>
  <c r="AF109" i="31"/>
  <c r="AE109" i="31"/>
  <c r="AH108" i="31"/>
  <c r="AG108" i="31"/>
  <c r="AF108" i="31"/>
  <c r="AE108" i="31"/>
  <c r="AH107" i="31"/>
  <c r="AG107" i="31"/>
  <c r="AF107" i="31"/>
  <c r="AE107" i="31"/>
  <c r="AH106" i="31"/>
  <c r="AG106" i="31"/>
  <c r="AF106" i="31"/>
  <c r="AE106" i="31"/>
  <c r="AH105" i="31"/>
  <c r="AG105" i="31"/>
  <c r="AF105" i="31"/>
  <c r="AE105" i="31"/>
  <c r="AH104" i="31"/>
  <c r="AG104" i="31"/>
  <c r="AF104" i="31"/>
  <c r="AE104" i="31"/>
  <c r="AH103" i="31"/>
  <c r="AG103" i="31"/>
  <c r="AF103" i="31"/>
  <c r="AE103" i="31"/>
  <c r="AH102" i="31"/>
  <c r="AG102" i="31"/>
  <c r="AF102" i="31"/>
  <c r="AE102" i="31"/>
  <c r="AH101" i="31"/>
  <c r="AG101" i="31"/>
  <c r="AF101" i="31"/>
  <c r="AE101" i="31"/>
  <c r="AH100" i="31"/>
  <c r="AG100" i="31"/>
  <c r="AF100" i="31"/>
  <c r="AE100" i="31"/>
  <c r="AH99" i="31"/>
  <c r="AG99" i="31"/>
  <c r="AF99" i="31"/>
  <c r="AE99" i="31"/>
  <c r="AH98" i="31"/>
  <c r="AG98" i="31"/>
  <c r="AF98" i="31"/>
  <c r="AE98" i="31"/>
  <c r="AH97" i="31"/>
  <c r="AG97" i="31"/>
  <c r="AF97" i="31"/>
  <c r="AE97" i="31"/>
  <c r="AH96" i="31"/>
  <c r="AG96" i="31"/>
  <c r="AF96" i="31"/>
  <c r="AE96" i="31"/>
  <c r="AH95" i="31"/>
  <c r="AG95" i="31"/>
  <c r="AF95" i="31"/>
  <c r="AE95" i="31"/>
  <c r="AH94" i="31"/>
  <c r="AG94" i="31"/>
  <c r="AF94" i="31"/>
  <c r="AE94" i="31"/>
  <c r="AH93" i="31"/>
  <c r="AG93" i="31"/>
  <c r="AF93" i="31"/>
  <c r="AE93" i="31"/>
  <c r="AH92" i="31"/>
  <c r="AG92" i="31"/>
  <c r="AF92" i="31"/>
  <c r="AE92" i="31"/>
  <c r="AH91" i="31"/>
  <c r="AG91" i="31"/>
  <c r="AF91" i="31"/>
  <c r="AE91" i="31"/>
  <c r="AH90" i="31"/>
  <c r="AG90" i="31"/>
  <c r="AF90" i="31"/>
  <c r="AE90" i="31"/>
  <c r="AH89" i="31"/>
  <c r="AG89" i="31"/>
  <c r="AF89" i="31"/>
  <c r="AE89" i="31"/>
  <c r="AH88" i="31"/>
  <c r="AG88" i="31"/>
  <c r="AF88" i="31"/>
  <c r="AE88" i="31"/>
  <c r="AH87" i="31"/>
  <c r="AG87" i="31"/>
  <c r="AF87" i="31"/>
  <c r="AE87" i="31"/>
  <c r="AH86" i="31"/>
  <c r="AG86" i="31"/>
  <c r="AF86" i="31"/>
  <c r="AE86" i="31"/>
  <c r="AH85" i="31"/>
  <c r="AG85" i="31"/>
  <c r="AF85" i="31"/>
  <c r="AE85" i="31"/>
  <c r="AH84" i="31"/>
  <c r="AG84" i="31"/>
  <c r="AF84" i="31"/>
  <c r="AE84" i="31"/>
  <c r="AH83" i="31"/>
  <c r="AG83" i="31"/>
  <c r="AF83" i="31"/>
  <c r="AE83" i="31"/>
  <c r="AH82" i="31"/>
  <c r="AG82" i="31"/>
  <c r="AF82" i="31"/>
  <c r="AE82" i="31"/>
  <c r="AH81" i="31"/>
  <c r="AG81" i="31"/>
  <c r="AF81" i="31"/>
  <c r="AE81" i="31"/>
  <c r="AH80" i="31"/>
  <c r="AG80" i="31"/>
  <c r="AF80" i="31"/>
  <c r="AE80" i="31"/>
  <c r="AH79" i="31"/>
  <c r="AG79" i="31"/>
  <c r="AF79" i="31"/>
  <c r="AE79" i="31"/>
  <c r="AH78" i="31"/>
  <c r="AG78" i="31"/>
  <c r="AF78" i="31"/>
  <c r="AE78" i="31"/>
  <c r="AH77" i="31"/>
  <c r="AG77" i="31"/>
  <c r="AF77" i="31"/>
  <c r="AE77" i="31"/>
  <c r="AH76" i="31"/>
  <c r="AG76" i="31"/>
  <c r="AF76" i="31"/>
  <c r="AE76" i="31"/>
  <c r="AH75" i="31"/>
  <c r="AG75" i="31"/>
  <c r="AF75" i="31"/>
  <c r="AE75" i="31"/>
  <c r="AH74" i="31"/>
  <c r="AG74" i="31"/>
  <c r="AF74" i="31"/>
  <c r="AE74" i="31"/>
  <c r="AH73" i="31"/>
  <c r="AG73" i="31"/>
  <c r="AF73" i="31"/>
  <c r="AE73" i="31"/>
  <c r="AH72" i="31"/>
  <c r="AG72" i="31"/>
  <c r="AF72" i="31"/>
  <c r="AE72" i="31"/>
  <c r="AH71" i="31"/>
  <c r="AG71" i="31"/>
  <c r="AF71" i="31"/>
  <c r="AE71" i="31"/>
  <c r="AH70" i="31"/>
  <c r="AG70" i="31"/>
  <c r="AF70" i="31"/>
  <c r="AE70" i="31"/>
  <c r="AH69" i="31"/>
  <c r="AG69" i="31"/>
  <c r="AF69" i="31"/>
  <c r="AE69" i="31"/>
  <c r="AH68" i="31"/>
  <c r="AG68" i="31"/>
  <c r="AF68" i="31"/>
  <c r="AE68" i="31"/>
  <c r="AH67" i="31"/>
  <c r="AG67" i="31"/>
  <c r="AF67" i="31"/>
  <c r="AE67" i="31"/>
  <c r="AH66" i="31"/>
  <c r="AG66" i="31"/>
  <c r="AF66" i="31"/>
  <c r="AE66" i="31"/>
  <c r="AH65" i="31"/>
  <c r="AG65" i="31"/>
  <c r="AF65" i="31"/>
  <c r="AE65" i="31"/>
  <c r="AH64" i="31"/>
  <c r="AG64" i="31"/>
  <c r="AF64" i="31"/>
  <c r="AE64" i="31"/>
  <c r="AH63" i="31"/>
  <c r="AG63" i="31"/>
  <c r="AF63" i="31"/>
  <c r="AE63" i="31"/>
  <c r="AH62" i="31"/>
  <c r="AG62" i="31"/>
  <c r="AF62" i="31"/>
  <c r="AE62" i="31"/>
  <c r="AH61" i="31"/>
  <c r="AG61" i="31"/>
  <c r="AF61" i="31"/>
  <c r="AE61" i="31"/>
  <c r="AH60" i="31"/>
  <c r="AG60" i="31"/>
  <c r="AF60" i="31"/>
  <c r="AE60" i="31"/>
  <c r="AH59" i="31"/>
  <c r="AG59" i="31"/>
  <c r="AF59" i="31"/>
  <c r="AE59" i="31"/>
  <c r="AH58" i="31"/>
  <c r="AG58" i="31"/>
  <c r="AF58" i="31"/>
  <c r="AE58" i="31"/>
  <c r="AH57" i="31"/>
  <c r="AG57" i="31"/>
  <c r="AF57" i="31"/>
  <c r="AE57" i="31"/>
  <c r="AH56" i="31"/>
  <c r="AG56" i="31"/>
  <c r="AF56" i="31"/>
  <c r="AE56" i="31"/>
  <c r="AH55" i="31"/>
  <c r="AG55" i="31"/>
  <c r="AF55" i="31"/>
  <c r="AE55" i="31"/>
  <c r="AH54" i="31"/>
  <c r="AG54" i="31"/>
  <c r="AF54" i="31"/>
  <c r="AE54" i="31"/>
  <c r="AH53" i="31"/>
  <c r="AG53" i="31"/>
  <c r="AF53" i="31"/>
  <c r="AE53" i="31"/>
  <c r="AH52" i="31"/>
  <c r="AG52" i="31"/>
  <c r="AF52" i="31"/>
  <c r="AE52" i="31"/>
  <c r="AH51" i="31"/>
  <c r="AG51" i="31"/>
  <c r="AF51" i="31"/>
  <c r="AE51" i="31"/>
  <c r="AH50" i="31"/>
  <c r="AG50" i="31"/>
  <c r="AF50" i="31"/>
  <c r="AE50" i="31"/>
  <c r="AH49" i="31"/>
  <c r="AG49" i="31"/>
  <c r="AF49" i="31"/>
  <c r="AE49" i="31"/>
  <c r="AH48" i="31"/>
  <c r="AG48" i="31"/>
  <c r="AF48" i="31"/>
  <c r="AE48" i="31"/>
  <c r="AH47" i="31"/>
  <c r="AG47" i="31"/>
  <c r="AF47" i="31"/>
  <c r="AE47" i="31"/>
  <c r="AH46" i="31"/>
  <c r="AG46" i="31"/>
  <c r="AF46" i="31"/>
  <c r="AE46" i="31"/>
  <c r="AH45" i="31"/>
  <c r="AG45" i="31"/>
  <c r="AF45" i="31"/>
  <c r="AE45" i="31"/>
  <c r="AH44" i="31"/>
  <c r="AG44" i="31"/>
  <c r="AF44" i="31"/>
  <c r="AE44" i="31"/>
  <c r="AH43" i="31"/>
  <c r="AG43" i="31"/>
  <c r="AF43" i="31"/>
  <c r="AE43" i="31"/>
  <c r="AH42" i="31"/>
  <c r="AG42" i="31"/>
  <c r="AF42" i="31"/>
  <c r="AE42" i="31"/>
  <c r="AH41" i="31"/>
  <c r="AG41" i="31"/>
  <c r="AF41" i="31"/>
  <c r="AE41" i="31"/>
  <c r="AH40" i="31"/>
  <c r="AG40" i="31"/>
  <c r="AF40" i="31"/>
  <c r="AE40" i="31"/>
  <c r="AH39" i="31"/>
  <c r="AG39" i="31"/>
  <c r="AF39" i="31"/>
  <c r="AE39" i="31"/>
  <c r="AH38" i="31"/>
  <c r="AG38" i="31"/>
  <c r="AF38" i="31"/>
  <c r="AE38" i="31"/>
  <c r="AH37" i="31"/>
  <c r="AG37" i="31"/>
  <c r="AF37" i="31"/>
  <c r="AE37" i="31"/>
  <c r="AH36" i="31"/>
  <c r="AG36" i="31"/>
  <c r="AF36" i="31"/>
  <c r="AE36" i="31"/>
  <c r="AH35" i="31"/>
  <c r="AG35" i="31"/>
  <c r="AF35" i="31"/>
  <c r="AE35" i="31"/>
  <c r="AH34" i="31"/>
  <c r="AG34" i="31"/>
  <c r="AF34" i="31"/>
  <c r="AE34" i="31"/>
  <c r="AH33" i="31"/>
  <c r="AG33" i="31"/>
  <c r="AF33" i="31"/>
  <c r="AE33" i="31"/>
  <c r="AH32" i="31"/>
  <c r="AG32" i="31"/>
  <c r="AF32" i="31"/>
  <c r="AE32" i="31"/>
  <c r="AH31" i="31"/>
  <c r="AG31" i="31"/>
  <c r="AF31" i="31"/>
  <c r="AE31" i="31"/>
  <c r="AH30" i="31"/>
  <c r="AG30" i="31"/>
  <c r="AF30" i="31"/>
  <c r="AE30" i="31"/>
  <c r="AH29" i="31"/>
  <c r="AG29" i="31"/>
  <c r="AF29" i="31"/>
  <c r="AE29" i="31"/>
  <c r="AH28" i="31"/>
  <c r="AG28" i="31"/>
  <c r="AF28" i="31"/>
  <c r="AE28" i="31"/>
  <c r="AH27" i="31"/>
  <c r="AG27" i="31"/>
  <c r="AF27" i="31"/>
  <c r="AE27" i="31"/>
  <c r="AH26" i="31"/>
  <c r="AG26" i="31"/>
  <c r="AF26" i="31"/>
  <c r="AE26" i="31"/>
  <c r="AH25" i="31"/>
  <c r="AG25" i="31"/>
  <c r="AF25" i="31"/>
  <c r="AE25" i="31"/>
  <c r="AH24" i="31"/>
  <c r="AG24" i="31"/>
  <c r="AF24" i="31"/>
  <c r="AE24" i="31"/>
  <c r="AH23" i="31"/>
  <c r="AG23" i="31"/>
  <c r="AF23" i="31"/>
  <c r="AE23" i="31"/>
  <c r="AH22" i="31"/>
  <c r="AG22" i="31"/>
  <c r="AF22" i="31"/>
  <c r="AE22" i="31"/>
  <c r="AH21" i="31"/>
  <c r="AG21" i="31"/>
  <c r="AF21" i="31"/>
  <c r="AE21" i="31"/>
  <c r="AH20" i="31"/>
  <c r="AG20" i="31"/>
  <c r="AF20" i="31"/>
  <c r="AE20" i="31"/>
  <c r="AH19" i="31"/>
  <c r="AG19" i="31"/>
  <c r="AF19" i="31"/>
  <c r="AE19" i="31"/>
  <c r="AH18" i="31"/>
  <c r="AG18" i="31"/>
  <c r="AF18" i="31"/>
  <c r="AE18" i="31"/>
  <c r="AH17" i="31"/>
  <c r="AG17" i="31"/>
  <c r="AF17" i="31"/>
  <c r="AE17" i="31"/>
  <c r="AH16" i="31"/>
  <c r="AG16" i="31"/>
  <c r="AF16" i="31"/>
  <c r="AE16" i="31"/>
  <c r="AH15" i="31"/>
  <c r="AG15" i="31"/>
  <c r="AF15" i="31"/>
  <c r="AE15" i="31"/>
  <c r="AH14" i="31"/>
  <c r="AG14" i="31"/>
  <c r="AF14" i="31"/>
  <c r="AE14" i="31"/>
  <c r="AH13" i="31"/>
  <c r="AG13" i="31"/>
  <c r="AF13" i="31"/>
  <c r="AE13" i="31"/>
  <c r="AH12" i="31"/>
  <c r="AG12" i="31"/>
  <c r="AF12" i="31"/>
  <c r="AE12" i="31"/>
  <c r="AH11" i="31"/>
  <c r="AG11" i="31"/>
  <c r="AF11" i="31"/>
  <c r="AE11" i="31"/>
  <c r="AH10" i="31"/>
  <c r="AG10" i="31"/>
  <c r="AF10" i="31"/>
  <c r="AE10" i="31"/>
  <c r="AH9" i="31"/>
  <c r="AG9" i="31"/>
  <c r="AF9" i="31"/>
  <c r="AE9" i="31"/>
  <c r="AH8" i="31"/>
  <c r="AG8" i="31"/>
  <c r="AF8" i="31"/>
  <c r="AE8" i="31"/>
  <c r="AH7" i="31"/>
  <c r="AG7" i="31"/>
  <c r="AF7" i="31"/>
  <c r="AE7" i="31"/>
  <c r="AH6" i="31"/>
  <c r="AG6" i="31"/>
  <c r="AF6" i="31"/>
  <c r="AE6" i="31"/>
  <c r="AH5" i="31"/>
  <c r="AG5" i="31"/>
  <c r="AF5" i="31"/>
  <c r="AE5" i="31"/>
  <c r="AH4" i="31"/>
  <c r="AG4" i="31"/>
  <c r="AF4" i="31"/>
  <c r="AE4" i="31"/>
  <c r="AH3" i="31"/>
  <c r="AG3" i="31"/>
  <c r="AF3" i="31"/>
  <c r="AE3" i="31"/>
  <c r="AH2" i="31"/>
  <c r="AG2" i="31"/>
  <c r="AF2" i="31"/>
  <c r="AE2" i="31"/>
  <c r="C2" i="31"/>
  <c r="AJ3" i="31"/>
  <c r="AJ4" i="31"/>
  <c r="AJ5" i="31"/>
  <c r="AJ6" i="31"/>
  <c r="AJ7" i="31"/>
  <c r="AJ8" i="31"/>
  <c r="AJ9" i="31"/>
  <c r="AJ10" i="31"/>
  <c r="AJ11" i="31"/>
  <c r="AJ12" i="31"/>
  <c r="AJ13" i="31"/>
  <c r="AJ14" i="31"/>
  <c r="AJ15" i="31"/>
  <c r="AJ16" i="31"/>
  <c r="AJ17" i="31"/>
  <c r="AJ18" i="31"/>
  <c r="AJ19" i="31"/>
  <c r="AJ20" i="31"/>
  <c r="AJ21" i="31"/>
  <c r="AJ22" i="31"/>
  <c r="AJ23" i="31"/>
  <c r="AJ24" i="31"/>
  <c r="AJ25" i="31"/>
  <c r="AJ26" i="31"/>
  <c r="AJ27" i="31"/>
  <c r="AJ28" i="31"/>
  <c r="AJ29" i="31"/>
  <c r="AJ30" i="31"/>
  <c r="AJ31" i="31"/>
  <c r="AJ32" i="31"/>
  <c r="AJ33" i="31"/>
  <c r="AJ34" i="31"/>
  <c r="AJ35" i="31"/>
  <c r="AJ36" i="31"/>
  <c r="AJ37" i="31"/>
  <c r="AJ38" i="31"/>
  <c r="AJ39" i="31"/>
  <c r="AJ40" i="31"/>
  <c r="AJ41" i="31"/>
  <c r="AJ42" i="31"/>
  <c r="AJ43" i="31"/>
  <c r="AJ44" i="31"/>
  <c r="AJ45" i="31"/>
  <c r="AJ46" i="31"/>
  <c r="AJ47" i="31"/>
  <c r="AJ48" i="31"/>
  <c r="AJ49" i="31"/>
  <c r="AJ50" i="31"/>
  <c r="AJ51" i="31"/>
  <c r="AJ52" i="31"/>
  <c r="AJ53" i="31"/>
  <c r="AJ54" i="31"/>
  <c r="AJ55" i="31"/>
  <c r="AJ56" i="31"/>
  <c r="AJ57" i="31"/>
  <c r="AJ58" i="31"/>
  <c r="AJ59" i="31"/>
  <c r="AJ60" i="31"/>
  <c r="AJ61" i="31"/>
  <c r="AJ62" i="31"/>
  <c r="AJ63" i="31"/>
  <c r="AJ64" i="31"/>
  <c r="AJ65" i="31"/>
  <c r="AJ66" i="31"/>
  <c r="AJ67" i="31"/>
  <c r="AJ68" i="31"/>
  <c r="AJ69" i="31"/>
  <c r="AJ70" i="31"/>
  <c r="AJ71" i="31"/>
  <c r="AJ72" i="31"/>
  <c r="AJ73" i="31"/>
  <c r="AJ74" i="31"/>
  <c r="AJ75" i="31"/>
  <c r="AJ76" i="31"/>
  <c r="AJ77" i="31"/>
  <c r="AJ78" i="31"/>
  <c r="AJ79" i="31"/>
  <c r="AJ80" i="31"/>
  <c r="AJ81" i="31"/>
  <c r="AJ82" i="31"/>
  <c r="AJ83" i="31"/>
  <c r="AJ84" i="31"/>
  <c r="AJ85" i="31"/>
  <c r="AJ86" i="31"/>
  <c r="AJ87" i="31"/>
  <c r="AJ88" i="31"/>
  <c r="AJ89" i="31"/>
  <c r="AJ90" i="31"/>
  <c r="AJ91" i="31"/>
  <c r="AJ92" i="31"/>
  <c r="AJ93" i="31"/>
  <c r="AJ94" i="31"/>
  <c r="AJ95" i="31"/>
  <c r="AJ96" i="31"/>
  <c r="AJ97" i="31"/>
  <c r="AJ98" i="31"/>
  <c r="AJ99" i="31"/>
  <c r="AJ100" i="31"/>
  <c r="AJ101" i="31"/>
  <c r="AJ102" i="31"/>
  <c r="AJ103" i="31"/>
  <c r="AJ104" i="31"/>
  <c r="AJ105" i="31"/>
  <c r="AJ106" i="31"/>
  <c r="AJ107" i="31"/>
  <c r="AJ108" i="31"/>
  <c r="AJ109" i="31"/>
  <c r="AJ110" i="31"/>
  <c r="AJ111" i="31"/>
  <c r="AJ112" i="31"/>
  <c r="AJ113" i="31"/>
  <c r="AJ114" i="31"/>
  <c r="AJ115" i="31"/>
  <c r="AJ116" i="31"/>
  <c r="AJ117" i="31"/>
  <c r="AJ118" i="31"/>
  <c r="AJ119" i="31"/>
  <c r="AJ120" i="31"/>
  <c r="AJ121" i="31"/>
  <c r="AJ122" i="31"/>
  <c r="AJ123" i="31"/>
  <c r="AJ124" i="31"/>
  <c r="AJ125" i="31"/>
  <c r="AJ126" i="31"/>
  <c r="AJ127" i="31"/>
  <c r="AJ128" i="31"/>
  <c r="AJ129" i="31"/>
  <c r="AJ130" i="31"/>
  <c r="AJ131" i="31"/>
  <c r="AJ132" i="31"/>
  <c r="AJ133" i="31"/>
  <c r="AJ134" i="31"/>
  <c r="AJ135" i="31"/>
  <c r="AJ136" i="31"/>
  <c r="AJ137" i="31"/>
  <c r="AJ138" i="31"/>
  <c r="AJ139" i="31"/>
  <c r="AJ140" i="31"/>
  <c r="AJ141" i="31"/>
  <c r="AJ142" i="31"/>
  <c r="AJ143" i="31"/>
  <c r="AJ144" i="31"/>
  <c r="AJ145" i="31"/>
  <c r="AJ146" i="31"/>
  <c r="AJ147" i="31"/>
  <c r="AJ148" i="31"/>
  <c r="AJ149" i="31"/>
  <c r="AJ150" i="31"/>
  <c r="AJ151" i="31"/>
  <c r="AJ152" i="31"/>
  <c r="AJ153" i="31"/>
  <c r="AJ154" i="31"/>
  <c r="AJ155" i="31"/>
  <c r="AJ156" i="31"/>
  <c r="AJ157" i="31"/>
  <c r="AJ158" i="31"/>
  <c r="AJ159" i="31"/>
  <c r="AJ160" i="31"/>
  <c r="AJ161" i="31"/>
  <c r="AJ162" i="31"/>
  <c r="AJ163" i="31"/>
  <c r="AJ164" i="31"/>
  <c r="AJ165" i="31"/>
  <c r="AJ166" i="31"/>
  <c r="AJ167" i="31"/>
  <c r="AJ168" i="31"/>
  <c r="AJ169" i="31"/>
  <c r="AJ170" i="31"/>
  <c r="AJ171" i="31"/>
  <c r="AJ172" i="31"/>
  <c r="AJ173" i="31"/>
  <c r="AJ174" i="31"/>
  <c r="AJ175" i="31"/>
  <c r="AJ176" i="31"/>
  <c r="AJ177" i="31"/>
  <c r="AJ178" i="31"/>
  <c r="AJ179" i="31"/>
  <c r="AJ180" i="31"/>
  <c r="AJ181" i="31"/>
  <c r="AJ182" i="31"/>
  <c r="AJ183" i="31"/>
  <c r="AJ184" i="31"/>
  <c r="AJ185" i="31"/>
  <c r="AJ186" i="31"/>
  <c r="AJ187" i="31"/>
  <c r="AJ188" i="31"/>
  <c r="AJ189" i="31"/>
  <c r="AJ190" i="31"/>
  <c r="AJ191" i="31"/>
  <c r="AJ192" i="31"/>
  <c r="AJ193" i="31"/>
  <c r="AJ194" i="31"/>
  <c r="AJ195" i="31"/>
  <c r="AJ196" i="31"/>
  <c r="AJ197" i="31"/>
  <c r="AJ198" i="31"/>
  <c r="AJ199" i="31"/>
  <c r="AJ200" i="31"/>
  <c r="AJ201" i="31"/>
  <c r="AJ202" i="31"/>
  <c r="AJ203" i="31"/>
  <c r="AJ204" i="31"/>
  <c r="AJ205" i="31"/>
  <c r="AJ206" i="31"/>
  <c r="AJ207" i="31"/>
  <c r="AJ208" i="31"/>
  <c r="AJ209" i="31"/>
  <c r="AJ210" i="31"/>
  <c r="AJ211" i="31"/>
  <c r="AJ212" i="31"/>
  <c r="AJ213" i="31"/>
  <c r="AJ214" i="31"/>
  <c r="AJ215" i="31"/>
  <c r="AJ216" i="31"/>
  <c r="AJ217" i="31"/>
  <c r="AJ218" i="31"/>
  <c r="AJ219" i="31"/>
  <c r="AJ220" i="31"/>
  <c r="AJ221" i="31"/>
  <c r="AJ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U663" i="31"/>
  <c r="U664" i="31"/>
  <c r="U665" i="31"/>
  <c r="U666" i="31"/>
  <c r="U667" i="31"/>
  <c r="U668" i="31"/>
  <c r="U669" i="31"/>
  <c r="U670" i="31"/>
  <c r="U671" i="31"/>
  <c r="U672" i="31"/>
  <c r="U673" i="31"/>
  <c r="U674" i="31"/>
  <c r="U675" i="31"/>
  <c r="U676" i="31"/>
  <c r="U677" i="31"/>
  <c r="U678" i="31"/>
  <c r="U679" i="31"/>
  <c r="U680" i="31"/>
  <c r="U681" i="31"/>
  <c r="U682" i="31"/>
  <c r="U683" i="31"/>
  <c r="U684" i="31"/>
  <c r="U685" i="31"/>
  <c r="U686" i="31"/>
  <c r="U687" i="31"/>
  <c r="U688" i="31"/>
  <c r="U689" i="31"/>
  <c r="U690" i="31"/>
  <c r="U691" i="31"/>
  <c r="U692" i="31"/>
  <c r="U693" i="31"/>
  <c r="U694" i="31"/>
  <c r="U695" i="31"/>
  <c r="U696" i="31"/>
  <c r="U697" i="31"/>
  <c r="U698" i="31"/>
  <c r="U699" i="31"/>
  <c r="U700" i="31"/>
  <c r="U701" i="31"/>
  <c r="U702" i="31"/>
  <c r="U703" i="31"/>
  <c r="U704" i="31"/>
  <c r="U705" i="31"/>
  <c r="U706" i="31"/>
  <c r="U707" i="31"/>
  <c r="U708" i="31"/>
  <c r="U709" i="31"/>
  <c r="U710" i="31"/>
  <c r="U711" i="31"/>
  <c r="U712" i="31"/>
  <c r="U713" i="31"/>
  <c r="U714" i="31"/>
  <c r="U715" i="31"/>
  <c r="U716" i="31"/>
  <c r="U717" i="31"/>
  <c r="U718" i="31"/>
  <c r="U719" i="31"/>
  <c r="U720" i="31"/>
  <c r="U721" i="31"/>
  <c r="U722" i="31"/>
  <c r="U723" i="31"/>
  <c r="U724" i="31"/>
  <c r="U725" i="31"/>
  <c r="U726" i="31"/>
  <c r="U727" i="31"/>
  <c r="U728" i="31"/>
  <c r="U729" i="31"/>
  <c r="U730" i="31"/>
  <c r="U731" i="31"/>
  <c r="U732" i="31"/>
  <c r="U733" i="31"/>
  <c r="U734" i="31"/>
  <c r="U735" i="31"/>
  <c r="U736" i="31"/>
  <c r="U737" i="31"/>
  <c r="U738" i="31"/>
  <c r="U739" i="31"/>
  <c r="U740" i="31"/>
  <c r="U741" i="31"/>
  <c r="U742" i="31"/>
  <c r="U743" i="31"/>
  <c r="U744" i="31"/>
  <c r="U745" i="31"/>
  <c r="U746" i="31"/>
  <c r="U747" i="31"/>
  <c r="U748" i="31"/>
  <c r="U749" i="31"/>
  <c r="U750" i="31"/>
  <c r="U751" i="31"/>
  <c r="U752" i="31"/>
  <c r="U753" i="31"/>
  <c r="U754" i="31"/>
  <c r="U755" i="31"/>
  <c r="U756" i="31"/>
  <c r="U757" i="31"/>
  <c r="U758" i="31"/>
  <c r="U759" i="31"/>
  <c r="U760" i="31"/>
  <c r="U761" i="31"/>
  <c r="U762" i="31"/>
  <c r="U763" i="31"/>
  <c r="U764" i="31"/>
  <c r="U765" i="31"/>
  <c r="U766" i="31"/>
  <c r="U767" i="31"/>
  <c r="U768" i="31"/>
  <c r="U769" i="31"/>
  <c r="U770" i="31"/>
  <c r="U771" i="31"/>
  <c r="U772" i="31"/>
  <c r="U773" i="31"/>
  <c r="U774" i="31"/>
  <c r="U775" i="31"/>
  <c r="U776" i="31"/>
  <c r="U777" i="31"/>
  <c r="U778" i="31"/>
  <c r="U779" i="31"/>
  <c r="U780" i="31"/>
  <c r="U781" i="31"/>
  <c r="U782" i="31"/>
  <c r="U783" i="31"/>
  <c r="U784" i="31"/>
  <c r="U785" i="31"/>
  <c r="U786" i="31"/>
  <c r="U787" i="31"/>
  <c r="U788" i="31"/>
  <c r="U789" i="31"/>
  <c r="U790" i="31"/>
  <c r="U791" i="31"/>
  <c r="U792" i="31"/>
  <c r="U793" i="31"/>
  <c r="U794" i="31"/>
  <c r="U795" i="31"/>
  <c r="U796" i="31"/>
  <c r="U797" i="31"/>
  <c r="U798" i="31"/>
  <c r="U799" i="31"/>
  <c r="U800" i="31"/>
  <c r="U801" i="31"/>
  <c r="U802" i="31"/>
  <c r="U803" i="31"/>
  <c r="U804" i="31"/>
  <c r="U805" i="31"/>
  <c r="U806" i="31"/>
  <c r="U807" i="31"/>
  <c r="U808" i="31"/>
  <c r="U809" i="31"/>
  <c r="U810" i="31"/>
  <c r="U811" i="31"/>
  <c r="U812" i="31"/>
  <c r="U813" i="31"/>
  <c r="U814" i="31"/>
  <c r="U815" i="31"/>
  <c r="U816" i="31"/>
  <c r="U817" i="31"/>
  <c r="U818" i="31"/>
  <c r="U819" i="31"/>
  <c r="U820" i="31"/>
  <c r="U821" i="31"/>
  <c r="U822" i="31"/>
  <c r="U823" i="31"/>
  <c r="U824" i="31"/>
  <c r="U825" i="31"/>
  <c r="U826" i="31"/>
  <c r="U827" i="31"/>
  <c r="U828" i="31"/>
  <c r="U829" i="31"/>
  <c r="U830" i="31"/>
  <c r="U831" i="31"/>
  <c r="U832" i="31"/>
  <c r="U833" i="31"/>
  <c r="U834" i="31"/>
  <c r="U835" i="31"/>
  <c r="U836" i="31"/>
  <c r="U837" i="31"/>
  <c r="U838" i="31"/>
  <c r="U839" i="31"/>
  <c r="U840" i="31"/>
  <c r="U841" i="31"/>
  <c r="U842" i="31"/>
  <c r="U843" i="31"/>
  <c r="U844" i="31"/>
  <c r="U845" i="31"/>
  <c r="U846" i="31"/>
  <c r="U847" i="31"/>
  <c r="U848" i="31"/>
  <c r="U849" i="31"/>
  <c r="U850" i="31"/>
  <c r="U851" i="31"/>
  <c r="U852" i="31"/>
  <c r="U853" i="31"/>
  <c r="U854" i="31"/>
  <c r="U855" i="31"/>
  <c r="U856" i="31"/>
  <c r="U857" i="31"/>
  <c r="U858" i="31"/>
  <c r="U859" i="31"/>
  <c r="U860" i="31"/>
  <c r="U861" i="31"/>
  <c r="U862" i="31"/>
  <c r="U863" i="31"/>
  <c r="U864" i="31"/>
  <c r="U865" i="31"/>
  <c r="U866" i="31"/>
  <c r="U867" i="31"/>
  <c r="U868" i="31"/>
  <c r="U869" i="31"/>
  <c r="U870" i="31"/>
  <c r="U871" i="31"/>
  <c r="U872" i="31"/>
  <c r="U873" i="31"/>
  <c r="U874" i="31"/>
  <c r="U875" i="31"/>
  <c r="U876" i="31"/>
  <c r="U877" i="31"/>
  <c r="U878" i="31"/>
  <c r="U879" i="31"/>
  <c r="U880" i="31"/>
  <c r="U881" i="31"/>
  <c r="U662" i="31"/>
  <c r="U443" i="31"/>
  <c r="U444" i="31"/>
  <c r="U445" i="31"/>
  <c r="U446" i="31"/>
  <c r="U447" i="31"/>
  <c r="U448" i="31"/>
  <c r="U449" i="31"/>
  <c r="U450" i="31"/>
  <c r="U451" i="31"/>
  <c r="U452" i="31"/>
  <c r="U453" i="31"/>
  <c r="U454" i="31"/>
  <c r="U455" i="31"/>
  <c r="U456" i="31"/>
  <c r="U457" i="31"/>
  <c r="U458" i="31"/>
  <c r="U459" i="31"/>
  <c r="U460" i="31"/>
  <c r="U461" i="31"/>
  <c r="U462" i="31"/>
  <c r="U463" i="31"/>
  <c r="U464" i="31"/>
  <c r="U465" i="31"/>
  <c r="U466" i="31"/>
  <c r="U467" i="31"/>
  <c r="U468" i="31"/>
  <c r="U469" i="31"/>
  <c r="U470" i="31"/>
  <c r="U471" i="31"/>
  <c r="U472" i="31"/>
  <c r="U473" i="31"/>
  <c r="U474" i="31"/>
  <c r="U475" i="31"/>
  <c r="U476" i="31"/>
  <c r="U477" i="31"/>
  <c r="U478" i="31"/>
  <c r="U479" i="31"/>
  <c r="U480" i="31"/>
  <c r="U481" i="31"/>
  <c r="U482" i="31"/>
  <c r="U483" i="31"/>
  <c r="U484" i="31"/>
  <c r="U485" i="31"/>
  <c r="U486" i="31"/>
  <c r="U487" i="31"/>
  <c r="U488" i="31"/>
  <c r="U489" i="31"/>
  <c r="U490" i="31"/>
  <c r="U491" i="31"/>
  <c r="U492" i="31"/>
  <c r="U493" i="31"/>
  <c r="U494" i="31"/>
  <c r="U495" i="31"/>
  <c r="U496" i="31"/>
  <c r="U497" i="31"/>
  <c r="U498" i="31"/>
  <c r="U499" i="31"/>
  <c r="U500" i="31"/>
  <c r="U501" i="31"/>
  <c r="U502" i="31"/>
  <c r="U503" i="31"/>
  <c r="U504" i="31"/>
  <c r="U505" i="31"/>
  <c r="U506" i="31"/>
  <c r="U507" i="31"/>
  <c r="U508" i="31"/>
  <c r="U509" i="31"/>
  <c r="U510" i="31"/>
  <c r="U511" i="31"/>
  <c r="U512" i="31"/>
  <c r="U513" i="31"/>
  <c r="U514" i="31"/>
  <c r="U515" i="31"/>
  <c r="U516" i="31"/>
  <c r="U517" i="31"/>
  <c r="U518" i="31"/>
  <c r="U519" i="31"/>
  <c r="U520" i="31"/>
  <c r="U521" i="31"/>
  <c r="U522" i="31"/>
  <c r="U523" i="31"/>
  <c r="U524" i="31"/>
  <c r="U525" i="31"/>
  <c r="U526" i="31"/>
  <c r="U527" i="31"/>
  <c r="U528" i="31"/>
  <c r="U529" i="31"/>
  <c r="U530" i="31"/>
  <c r="U531" i="31"/>
  <c r="U532" i="31"/>
  <c r="U533" i="31"/>
  <c r="U534" i="31"/>
  <c r="U535" i="31"/>
  <c r="U536" i="31"/>
  <c r="U537" i="31"/>
  <c r="U538" i="31"/>
  <c r="U539" i="31"/>
  <c r="U540" i="31"/>
  <c r="U541" i="31"/>
  <c r="U542" i="31"/>
  <c r="U543" i="31"/>
  <c r="U544" i="31"/>
  <c r="U545" i="31"/>
  <c r="U546" i="31"/>
  <c r="U547" i="31"/>
  <c r="U548" i="31"/>
  <c r="U549" i="31"/>
  <c r="U550" i="31"/>
  <c r="U551" i="31"/>
  <c r="U552" i="31"/>
  <c r="U553" i="31"/>
  <c r="U554" i="31"/>
  <c r="U555" i="31"/>
  <c r="U556" i="31"/>
  <c r="U557" i="31"/>
  <c r="U558" i="31"/>
  <c r="U559" i="31"/>
  <c r="U560" i="31"/>
  <c r="U561" i="31"/>
  <c r="U562" i="31"/>
  <c r="U563" i="31"/>
  <c r="U564" i="31"/>
  <c r="U565" i="31"/>
  <c r="U566" i="31"/>
  <c r="U567" i="31"/>
  <c r="U568" i="31"/>
  <c r="U569" i="31"/>
  <c r="U570" i="31"/>
  <c r="U571" i="31"/>
  <c r="U572" i="31"/>
  <c r="U573" i="31"/>
  <c r="U574" i="31"/>
  <c r="U575" i="31"/>
  <c r="U576" i="31"/>
  <c r="U577" i="31"/>
  <c r="U578" i="31"/>
  <c r="U579" i="31"/>
  <c r="U580" i="31"/>
  <c r="U581" i="31"/>
  <c r="U582" i="31"/>
  <c r="U583" i="31"/>
  <c r="U584" i="31"/>
  <c r="U585" i="31"/>
  <c r="U586" i="31"/>
  <c r="U587" i="31"/>
  <c r="U588" i="31"/>
  <c r="U589" i="31"/>
  <c r="U590" i="31"/>
  <c r="U591" i="31"/>
  <c r="U592" i="31"/>
  <c r="U593" i="31"/>
  <c r="U594" i="31"/>
  <c r="U595" i="31"/>
  <c r="U596" i="31"/>
  <c r="U597" i="31"/>
  <c r="U598" i="31"/>
  <c r="U599" i="31"/>
  <c r="U600" i="31"/>
  <c r="U601" i="31"/>
  <c r="U602" i="31"/>
  <c r="U603" i="31"/>
  <c r="U604" i="31"/>
  <c r="U605" i="31"/>
  <c r="U606" i="31"/>
  <c r="U607" i="31"/>
  <c r="U608" i="31"/>
  <c r="U609" i="31"/>
  <c r="U610" i="31"/>
  <c r="U611" i="31"/>
  <c r="U612" i="31"/>
  <c r="U613" i="31"/>
  <c r="U614" i="31"/>
  <c r="U615" i="31"/>
  <c r="U616" i="31"/>
  <c r="U617" i="31"/>
  <c r="U618" i="31"/>
  <c r="U619" i="31"/>
  <c r="U620" i="31"/>
  <c r="U621" i="31"/>
  <c r="U622" i="31"/>
  <c r="U623" i="31"/>
  <c r="U624" i="31"/>
  <c r="U625" i="31"/>
  <c r="U626" i="31"/>
  <c r="U627" i="31"/>
  <c r="U628" i="31"/>
  <c r="U629" i="31"/>
  <c r="U630" i="31"/>
  <c r="U631" i="31"/>
  <c r="U632" i="31"/>
  <c r="U633" i="31"/>
  <c r="U634" i="31"/>
  <c r="U635" i="31"/>
  <c r="U636" i="31"/>
  <c r="U637" i="31"/>
  <c r="U638" i="31"/>
  <c r="U639" i="31"/>
  <c r="U640" i="31"/>
  <c r="U641" i="31"/>
  <c r="U642" i="31"/>
  <c r="U643" i="31"/>
  <c r="U644" i="31"/>
  <c r="U645" i="31"/>
  <c r="U646" i="31"/>
  <c r="U647" i="31"/>
  <c r="U648" i="31"/>
  <c r="U649" i="31"/>
  <c r="U650" i="31"/>
  <c r="U651" i="31"/>
  <c r="U652" i="31"/>
  <c r="U653" i="31"/>
  <c r="U654" i="31"/>
  <c r="U655" i="31"/>
  <c r="U656" i="31"/>
  <c r="U657" i="31"/>
  <c r="U658" i="31"/>
  <c r="U659" i="31"/>
  <c r="U660" i="31"/>
  <c r="U661" i="31"/>
  <c r="U442" i="31"/>
  <c r="U223" i="31"/>
  <c r="U224" i="31"/>
  <c r="U225" i="31"/>
  <c r="U226" i="31"/>
  <c r="U227" i="31"/>
  <c r="U228" i="31"/>
  <c r="U229" i="31"/>
  <c r="U230" i="31"/>
  <c r="U231" i="31"/>
  <c r="U232" i="31"/>
  <c r="U233" i="31"/>
  <c r="U234" i="31"/>
  <c r="U235" i="31"/>
  <c r="U236" i="31"/>
  <c r="U237" i="31"/>
  <c r="U238" i="31"/>
  <c r="U239" i="31"/>
  <c r="U240" i="31"/>
  <c r="U241" i="31"/>
  <c r="U242" i="31"/>
  <c r="U243" i="31"/>
  <c r="U244" i="31"/>
  <c r="U245" i="31"/>
  <c r="U246" i="31"/>
  <c r="U247" i="31"/>
  <c r="U248" i="31"/>
  <c r="U249" i="31"/>
  <c r="U250" i="31"/>
  <c r="U251" i="31"/>
  <c r="U252" i="31"/>
  <c r="U253" i="31"/>
  <c r="U254" i="31"/>
  <c r="U255" i="31"/>
  <c r="U256" i="31"/>
  <c r="U257" i="31"/>
  <c r="U258" i="31"/>
  <c r="U259" i="31"/>
  <c r="U260" i="31"/>
  <c r="U261" i="31"/>
  <c r="U262" i="31"/>
  <c r="U263" i="31"/>
  <c r="U264" i="31"/>
  <c r="U265" i="31"/>
  <c r="U266" i="31"/>
  <c r="U267" i="31"/>
  <c r="U268" i="31"/>
  <c r="U269" i="31"/>
  <c r="U270" i="31"/>
  <c r="U271" i="31"/>
  <c r="U272" i="31"/>
  <c r="U273" i="31"/>
  <c r="U274" i="31"/>
  <c r="U275" i="31"/>
  <c r="U276" i="31"/>
  <c r="U277" i="31"/>
  <c r="U278" i="31"/>
  <c r="U279" i="31"/>
  <c r="U280" i="31"/>
  <c r="U281" i="31"/>
  <c r="U282" i="31"/>
  <c r="U283" i="31"/>
  <c r="U284" i="31"/>
  <c r="U285" i="31"/>
  <c r="U286" i="31"/>
  <c r="U287" i="31"/>
  <c r="U288" i="31"/>
  <c r="U289" i="31"/>
  <c r="U290" i="31"/>
  <c r="U291" i="31"/>
  <c r="U292" i="31"/>
  <c r="U293" i="31"/>
  <c r="U294" i="31"/>
  <c r="U295" i="31"/>
  <c r="U296" i="31"/>
  <c r="U297" i="31"/>
  <c r="U298" i="31"/>
  <c r="U299" i="31"/>
  <c r="U300" i="31"/>
  <c r="U301" i="31"/>
  <c r="U302" i="31"/>
  <c r="U303" i="31"/>
  <c r="U304" i="31"/>
  <c r="U305" i="31"/>
  <c r="U306" i="31"/>
  <c r="U307" i="31"/>
  <c r="U308" i="31"/>
  <c r="U309" i="31"/>
  <c r="U310" i="31"/>
  <c r="U311" i="31"/>
  <c r="U312" i="31"/>
  <c r="U313" i="31"/>
  <c r="U314" i="31"/>
  <c r="U315" i="31"/>
  <c r="U316" i="31"/>
  <c r="U317" i="31"/>
  <c r="U318" i="31"/>
  <c r="U319" i="31"/>
  <c r="U320" i="31"/>
  <c r="U321" i="31"/>
  <c r="U322" i="31"/>
  <c r="U323" i="31"/>
  <c r="U324" i="31"/>
  <c r="U325" i="31"/>
  <c r="U326" i="31"/>
  <c r="U327" i="31"/>
  <c r="U328" i="31"/>
  <c r="U329" i="31"/>
  <c r="U330" i="31"/>
  <c r="U331" i="31"/>
  <c r="U332" i="31"/>
  <c r="U333" i="31"/>
  <c r="U334" i="31"/>
  <c r="U335" i="31"/>
  <c r="U336" i="31"/>
  <c r="U337" i="31"/>
  <c r="U338" i="31"/>
  <c r="U339" i="31"/>
  <c r="U340" i="31"/>
  <c r="U341" i="31"/>
  <c r="U342" i="31"/>
  <c r="U343" i="31"/>
  <c r="U344" i="31"/>
  <c r="U345" i="31"/>
  <c r="U346" i="31"/>
  <c r="U347" i="31"/>
  <c r="U348" i="31"/>
  <c r="U349" i="31"/>
  <c r="U350" i="31"/>
  <c r="U351" i="31"/>
  <c r="U352" i="31"/>
  <c r="U353" i="31"/>
  <c r="U354" i="31"/>
  <c r="U355" i="31"/>
  <c r="U356" i="31"/>
  <c r="U357" i="31"/>
  <c r="U358" i="31"/>
  <c r="U359" i="31"/>
  <c r="U360" i="31"/>
  <c r="U361" i="31"/>
  <c r="U362" i="31"/>
  <c r="U363" i="31"/>
  <c r="U364" i="31"/>
  <c r="U365" i="31"/>
  <c r="U366" i="31"/>
  <c r="U367" i="31"/>
  <c r="U368" i="31"/>
  <c r="U369" i="31"/>
  <c r="U370" i="31"/>
  <c r="U371" i="31"/>
  <c r="U372" i="31"/>
  <c r="U373" i="31"/>
  <c r="U374" i="31"/>
  <c r="U375" i="31"/>
  <c r="U376" i="31"/>
  <c r="U377" i="31"/>
  <c r="U378" i="31"/>
  <c r="U379" i="31"/>
  <c r="U380" i="31"/>
  <c r="U381" i="31"/>
  <c r="U382" i="31"/>
  <c r="U383" i="31"/>
  <c r="U384" i="31"/>
  <c r="U385" i="31"/>
  <c r="U386" i="31"/>
  <c r="U387" i="31"/>
  <c r="U388" i="31"/>
  <c r="U389" i="31"/>
  <c r="U390" i="31"/>
  <c r="U391" i="31"/>
  <c r="U392" i="31"/>
  <c r="U393" i="31"/>
  <c r="U394" i="31"/>
  <c r="U395" i="31"/>
  <c r="U396" i="31"/>
  <c r="U397" i="31"/>
  <c r="U398" i="31"/>
  <c r="U399" i="31"/>
  <c r="U400" i="31"/>
  <c r="U401" i="31"/>
  <c r="U402" i="31"/>
  <c r="U403" i="31"/>
  <c r="U404" i="31"/>
  <c r="U405" i="31"/>
  <c r="U406" i="31"/>
  <c r="U407" i="31"/>
  <c r="U408" i="31"/>
  <c r="U409" i="31"/>
  <c r="U410" i="31"/>
  <c r="U411" i="31"/>
  <c r="U412" i="31"/>
  <c r="U413" i="31"/>
  <c r="U414" i="31"/>
  <c r="U415" i="31"/>
  <c r="U416" i="31"/>
  <c r="U417" i="31"/>
  <c r="U418" i="31"/>
  <c r="U419" i="31"/>
  <c r="U420" i="31"/>
  <c r="U421" i="31"/>
  <c r="U422" i="31"/>
  <c r="U423" i="31"/>
  <c r="U424" i="31"/>
  <c r="U425" i="31"/>
  <c r="U426" i="31"/>
  <c r="U427" i="31"/>
  <c r="U428" i="31"/>
  <c r="U429" i="31"/>
  <c r="U430" i="31"/>
  <c r="U431" i="31"/>
  <c r="U432" i="31"/>
  <c r="U433" i="31"/>
  <c r="U434" i="31"/>
  <c r="U435" i="31"/>
  <c r="U436" i="31"/>
  <c r="U437" i="31"/>
  <c r="U438" i="31"/>
  <c r="U439" i="31"/>
  <c r="U440" i="31"/>
  <c r="U441" i="31"/>
  <c r="U222" i="31"/>
  <c r="V687" i="31"/>
  <c r="V699" i="31"/>
  <c r="V707" i="31"/>
  <c r="V727" i="31"/>
  <c r="V747" i="31"/>
  <c r="V767" i="31"/>
  <c r="V775" i="31"/>
  <c r="V787" i="31"/>
  <c r="V803" i="31"/>
  <c r="V819" i="31"/>
  <c r="V835" i="31"/>
  <c r="V851" i="31"/>
  <c r="V867" i="31"/>
  <c r="V447" i="31"/>
  <c r="V453" i="31"/>
  <c r="V473" i="31"/>
  <c r="V475" i="31"/>
  <c r="V483" i="31"/>
  <c r="V485" i="31"/>
  <c r="V505" i="31"/>
  <c r="V511" i="31"/>
  <c r="V517" i="31"/>
  <c r="V537" i="31"/>
  <c r="V539" i="31"/>
  <c r="V547" i="31"/>
  <c r="V549" i="31"/>
  <c r="V571" i="31"/>
  <c r="V579" i="31"/>
  <c r="V599" i="31"/>
  <c r="V619" i="31"/>
  <c r="V631" i="31"/>
  <c r="V639" i="31"/>
  <c r="V647" i="31"/>
  <c r="V655" i="31"/>
  <c r="V659" i="31"/>
  <c r="V224" i="31"/>
  <c r="V225" i="31"/>
  <c r="V228" i="31"/>
  <c r="V231" i="31"/>
  <c r="V232" i="31"/>
  <c r="V236" i="31"/>
  <c r="V237" i="31"/>
  <c r="V238" i="31"/>
  <c r="V240" i="31"/>
  <c r="V243" i="31"/>
  <c r="V251" i="31"/>
  <c r="V253" i="31"/>
  <c r="V259" i="31"/>
  <c r="V261" i="31"/>
  <c r="V267" i="31"/>
  <c r="V269" i="31"/>
  <c r="V279" i="31"/>
  <c r="V287" i="31"/>
  <c r="V295" i="31"/>
  <c r="V311" i="31"/>
  <c r="V319" i="31"/>
  <c r="V321" i="31"/>
  <c r="V331" i="31"/>
  <c r="V337" i="31"/>
  <c r="V343" i="31"/>
  <c r="V345" i="31"/>
  <c r="V355" i="31"/>
  <c r="V363" i="31"/>
  <c r="V371" i="31"/>
  <c r="V381" i="31"/>
  <c r="V383" i="31"/>
  <c r="V387" i="31"/>
  <c r="V389" i="31"/>
  <c r="V397" i="31"/>
  <c r="V399" i="31"/>
  <c r="V407" i="31"/>
  <c r="V415" i="31"/>
  <c r="V423" i="31"/>
  <c r="V425" i="31"/>
  <c r="V427" i="31"/>
  <c r="V429" i="31"/>
  <c r="V431" i="31"/>
  <c r="V437" i="31"/>
  <c r="V441" i="31"/>
  <c r="V222" i="31"/>
  <c r="V227" i="31"/>
  <c r="V235" i="31"/>
  <c r="V255" i="31"/>
  <c r="V275" i="31"/>
  <c r="V283" i="31"/>
  <c r="V291" i="31"/>
  <c r="V315" i="31"/>
  <c r="V323" i="31"/>
  <c r="V335" i="31"/>
  <c r="V367" i="31"/>
  <c r="V375" i="31"/>
  <c r="V411" i="31"/>
  <c r="V419" i="31"/>
  <c r="V443" i="31"/>
  <c r="V451" i="31"/>
  <c r="V459" i="31"/>
  <c r="V463" i="31"/>
  <c r="V467" i="31"/>
  <c r="V479" i="31"/>
  <c r="V487" i="31"/>
  <c r="V491" i="31"/>
  <c r="V499" i="31"/>
  <c r="V503" i="31"/>
  <c r="V507" i="31"/>
  <c r="V519" i="31"/>
  <c r="V523" i="31"/>
  <c r="V527" i="31"/>
  <c r="V535" i="31"/>
  <c r="V543" i="31"/>
  <c r="V551" i="31"/>
  <c r="V559" i="31"/>
  <c r="V563" i="31"/>
  <c r="V567" i="31"/>
  <c r="V583" i="31"/>
  <c r="V584" i="31"/>
  <c r="V587" i="31"/>
  <c r="V595" i="31"/>
  <c r="V600" i="31"/>
  <c r="V607" i="31"/>
  <c r="V611" i="31"/>
  <c r="V615" i="31"/>
  <c r="V627" i="31"/>
  <c r="V635" i="31"/>
  <c r="V651" i="31"/>
  <c r="V656" i="31"/>
  <c r="V667" i="31"/>
  <c r="V671" i="31"/>
  <c r="V679" i="31"/>
  <c r="V683" i="31"/>
  <c r="V691" i="31"/>
  <c r="V703" i="31"/>
  <c r="V711" i="31"/>
  <c r="V715" i="31"/>
  <c r="V723" i="31"/>
  <c r="V731" i="31"/>
  <c r="V739" i="31"/>
  <c r="V743" i="31"/>
  <c r="V755" i="31"/>
  <c r="V759" i="31"/>
  <c r="V771" i="31"/>
  <c r="V779" i="31"/>
  <c r="V783" i="31"/>
  <c r="V791" i="31"/>
  <c r="V795" i="31"/>
  <c r="V807" i="31"/>
  <c r="V811" i="31"/>
  <c r="V823" i="31"/>
  <c r="V831" i="31"/>
  <c r="V832" i="31"/>
  <c r="V839" i="31"/>
  <c r="V847" i="31"/>
  <c r="V859" i="31"/>
  <c r="V860" i="31"/>
  <c r="V863" i="31"/>
  <c r="V871" i="31"/>
  <c r="V875" i="31"/>
  <c r="V879"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85" i="31"/>
  <c r="U86"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U114" i="31"/>
  <c r="U115" i="31"/>
  <c r="U116" i="31"/>
  <c r="U117" i="31"/>
  <c r="U118" i="31"/>
  <c r="U119" i="31"/>
  <c r="U120" i="31"/>
  <c r="U121" i="31"/>
  <c r="U122" i="31"/>
  <c r="U123" i="31"/>
  <c r="U124" i="31"/>
  <c r="U125" i="31"/>
  <c r="U126" i="31"/>
  <c r="U127" i="31"/>
  <c r="U128" i="31"/>
  <c r="U129" i="31"/>
  <c r="U130" i="31"/>
  <c r="U131" i="31"/>
  <c r="U132" i="31"/>
  <c r="U133" i="31"/>
  <c r="U134" i="31"/>
  <c r="U135" i="31"/>
  <c r="U136" i="31"/>
  <c r="U137" i="31"/>
  <c r="U138" i="31"/>
  <c r="U139" i="31"/>
  <c r="U140" i="31"/>
  <c r="U141" i="31"/>
  <c r="U142" i="31"/>
  <c r="U143" i="31"/>
  <c r="U144" i="31"/>
  <c r="U145" i="31"/>
  <c r="U146" i="31"/>
  <c r="U147" i="31"/>
  <c r="U148" i="31"/>
  <c r="U149" i="31"/>
  <c r="U150" i="31"/>
  <c r="U151" i="31"/>
  <c r="U152" i="31"/>
  <c r="U153" i="31"/>
  <c r="U154" i="31"/>
  <c r="U155" i="31"/>
  <c r="U156" i="31"/>
  <c r="U157" i="31"/>
  <c r="U158" i="31"/>
  <c r="U159" i="31"/>
  <c r="U160" i="31"/>
  <c r="U161" i="31"/>
  <c r="U162" i="31"/>
  <c r="U163" i="31"/>
  <c r="U164" i="31"/>
  <c r="U165" i="31"/>
  <c r="U166" i="31"/>
  <c r="U167" i="31"/>
  <c r="U168" i="31"/>
  <c r="U169" i="31"/>
  <c r="U170" i="31"/>
  <c r="U171" i="31"/>
  <c r="U172" i="31"/>
  <c r="U173" i="31"/>
  <c r="U174" i="31"/>
  <c r="U175" i="31"/>
  <c r="U176" i="31"/>
  <c r="U177" i="31"/>
  <c r="U178" i="31"/>
  <c r="U179" i="31"/>
  <c r="U180" i="31"/>
  <c r="U181" i="31"/>
  <c r="U182" i="31"/>
  <c r="U183" i="31"/>
  <c r="U184" i="31"/>
  <c r="U185" i="31"/>
  <c r="U186" i="31"/>
  <c r="U187" i="31"/>
  <c r="U188" i="31"/>
  <c r="U189" i="31"/>
  <c r="U190" i="31"/>
  <c r="U191" i="31"/>
  <c r="U192" i="31"/>
  <c r="U193" i="31"/>
  <c r="U194" i="31"/>
  <c r="U195" i="31"/>
  <c r="U196" i="31"/>
  <c r="U197" i="31"/>
  <c r="U198" i="31"/>
  <c r="U199" i="31"/>
  <c r="U200" i="31"/>
  <c r="U201" i="31"/>
  <c r="U202" i="31"/>
  <c r="U203" i="31"/>
  <c r="U204" i="31"/>
  <c r="U205" i="31"/>
  <c r="U206" i="31"/>
  <c r="U207" i="31"/>
  <c r="U208" i="31"/>
  <c r="U209" i="31"/>
  <c r="U210" i="31"/>
  <c r="U211" i="31"/>
  <c r="U212" i="31"/>
  <c r="U213" i="31"/>
  <c r="U214" i="31"/>
  <c r="U215" i="31"/>
  <c r="U216" i="31"/>
  <c r="U217" i="31"/>
  <c r="U218" i="31"/>
  <c r="U219" i="31"/>
  <c r="U220" i="31"/>
  <c r="U221" i="31"/>
  <c r="U2" i="31"/>
  <c r="B663" i="31"/>
  <c r="Y663" i="31"/>
  <c r="B664" i="31"/>
  <c r="Y664" i="31"/>
  <c r="B665" i="31"/>
  <c r="Y665" i="31"/>
  <c r="B666" i="31"/>
  <c r="Y666" i="31"/>
  <c r="B667" i="31"/>
  <c r="Y667" i="31"/>
  <c r="B668" i="31"/>
  <c r="Y668" i="31"/>
  <c r="B669" i="31"/>
  <c r="Y669" i="31"/>
  <c r="B670" i="31"/>
  <c r="Y670" i="31"/>
  <c r="B671" i="31"/>
  <c r="Y671" i="31"/>
  <c r="B672" i="31"/>
  <c r="Y672" i="31"/>
  <c r="B673" i="31"/>
  <c r="Y673" i="31"/>
  <c r="B674" i="31"/>
  <c r="Y674" i="31"/>
  <c r="B675" i="31"/>
  <c r="Y675" i="31"/>
  <c r="B676" i="31"/>
  <c r="Y676" i="31"/>
  <c r="B677" i="31"/>
  <c r="Y677" i="31"/>
  <c r="B678" i="31"/>
  <c r="Y678" i="31"/>
  <c r="B679" i="31"/>
  <c r="Y679" i="31"/>
  <c r="B680" i="31"/>
  <c r="Y680" i="31"/>
  <c r="B681" i="31"/>
  <c r="Y681" i="31"/>
  <c r="B682" i="31"/>
  <c r="Y682" i="31"/>
  <c r="B683" i="31"/>
  <c r="Y683" i="31"/>
  <c r="B684" i="31"/>
  <c r="Y684" i="31"/>
  <c r="B685" i="31"/>
  <c r="Y685" i="31"/>
  <c r="B686" i="31"/>
  <c r="Y686" i="31"/>
  <c r="B687" i="31"/>
  <c r="Y687" i="31"/>
  <c r="B688" i="31"/>
  <c r="Y688" i="31"/>
  <c r="B689" i="31"/>
  <c r="Y689" i="31"/>
  <c r="B690" i="31"/>
  <c r="Y690" i="31"/>
  <c r="B691" i="31"/>
  <c r="Y691" i="31"/>
  <c r="B692" i="31"/>
  <c r="Y692" i="31"/>
  <c r="B693" i="31"/>
  <c r="Y693" i="31"/>
  <c r="B694" i="31"/>
  <c r="Y694" i="31"/>
  <c r="B695" i="31"/>
  <c r="Y695" i="31"/>
  <c r="B696" i="31"/>
  <c r="Y696" i="31"/>
  <c r="B697" i="31"/>
  <c r="Y697" i="31"/>
  <c r="B698" i="31"/>
  <c r="Y698" i="31"/>
  <c r="B699" i="31"/>
  <c r="Y699" i="31"/>
  <c r="B700" i="31"/>
  <c r="Y700" i="31"/>
  <c r="B701" i="31"/>
  <c r="Y701" i="31"/>
  <c r="B702" i="31"/>
  <c r="Y702" i="31"/>
  <c r="B703" i="31"/>
  <c r="Y703" i="31"/>
  <c r="B704" i="31"/>
  <c r="Y704" i="31"/>
  <c r="B705" i="31"/>
  <c r="Y705" i="31"/>
  <c r="B706" i="31"/>
  <c r="Y706" i="31"/>
  <c r="B707" i="31"/>
  <c r="Y707" i="31"/>
  <c r="B708" i="31"/>
  <c r="Y708" i="31"/>
  <c r="B709" i="31"/>
  <c r="Y709" i="31"/>
  <c r="B710" i="31"/>
  <c r="Y710" i="31"/>
  <c r="B711" i="31"/>
  <c r="Y711" i="31"/>
  <c r="B712" i="31"/>
  <c r="Y712" i="31"/>
  <c r="B713" i="31"/>
  <c r="Y713" i="31"/>
  <c r="B714" i="31"/>
  <c r="Y714" i="31"/>
  <c r="B715" i="31"/>
  <c r="Y715" i="31"/>
  <c r="B716" i="31"/>
  <c r="Y716" i="31"/>
  <c r="B717" i="31"/>
  <c r="Y717" i="31"/>
  <c r="B718" i="31"/>
  <c r="Y718" i="31"/>
  <c r="B719" i="31"/>
  <c r="Y719" i="31"/>
  <c r="B720" i="31"/>
  <c r="Y720" i="31"/>
  <c r="B721" i="31"/>
  <c r="Y721" i="31"/>
  <c r="B722" i="31"/>
  <c r="Y722" i="31"/>
  <c r="B723" i="31"/>
  <c r="Y723" i="31"/>
  <c r="B724" i="31"/>
  <c r="Y724" i="31"/>
  <c r="B725" i="31"/>
  <c r="Y725" i="31"/>
  <c r="B726" i="31"/>
  <c r="Y726" i="31"/>
  <c r="B727" i="31"/>
  <c r="Y727" i="31"/>
  <c r="B728" i="31"/>
  <c r="Y728" i="31"/>
  <c r="B729" i="31"/>
  <c r="Y729" i="31"/>
  <c r="B730" i="31"/>
  <c r="Y730" i="31"/>
  <c r="B731" i="31"/>
  <c r="Y731" i="31"/>
  <c r="B732" i="31"/>
  <c r="Y732" i="31"/>
  <c r="B733" i="31"/>
  <c r="Y733" i="31"/>
  <c r="B734" i="31"/>
  <c r="Y734" i="31"/>
  <c r="B735" i="31"/>
  <c r="Y735" i="31"/>
  <c r="B736" i="31"/>
  <c r="Y736" i="31"/>
  <c r="B737" i="31"/>
  <c r="Y737" i="31"/>
  <c r="B738" i="31"/>
  <c r="Y738" i="31"/>
  <c r="B739" i="31"/>
  <c r="Y739" i="31"/>
  <c r="B740" i="31"/>
  <c r="Y740" i="31"/>
  <c r="B741" i="31"/>
  <c r="Y741" i="31"/>
  <c r="B742" i="31"/>
  <c r="Y742" i="31"/>
  <c r="B743" i="31"/>
  <c r="Y743" i="31"/>
  <c r="B744" i="31"/>
  <c r="Y744" i="31"/>
  <c r="B745" i="31"/>
  <c r="Y745" i="31"/>
  <c r="B746" i="31"/>
  <c r="Y746" i="31"/>
  <c r="B747" i="31"/>
  <c r="Y747" i="31"/>
  <c r="B748" i="31"/>
  <c r="Y748" i="31"/>
  <c r="B749" i="31"/>
  <c r="Y749" i="31"/>
  <c r="B750" i="31"/>
  <c r="Y750" i="31"/>
  <c r="B751" i="31"/>
  <c r="Y751" i="31"/>
  <c r="B752" i="31"/>
  <c r="Y752" i="31"/>
  <c r="B753" i="31"/>
  <c r="Y753" i="31"/>
  <c r="B754" i="31"/>
  <c r="Y754" i="31"/>
  <c r="B755" i="31"/>
  <c r="Y755" i="31"/>
  <c r="B756" i="31"/>
  <c r="Y756" i="31"/>
  <c r="B757" i="31"/>
  <c r="Y757" i="31"/>
  <c r="B758" i="31"/>
  <c r="Y758" i="31"/>
  <c r="B759" i="31"/>
  <c r="Y759" i="31"/>
  <c r="B760" i="31"/>
  <c r="Y760" i="31"/>
  <c r="B761" i="31"/>
  <c r="Y761" i="31"/>
  <c r="B762" i="31"/>
  <c r="Y762" i="31"/>
  <c r="B763" i="31"/>
  <c r="Y763" i="31"/>
  <c r="B764" i="31"/>
  <c r="Y764" i="31"/>
  <c r="B765" i="31"/>
  <c r="Y765" i="31"/>
  <c r="B766" i="31"/>
  <c r="Y766" i="31"/>
  <c r="B767" i="31"/>
  <c r="Y767" i="31"/>
  <c r="B768" i="31"/>
  <c r="Y768" i="31"/>
  <c r="B769" i="31"/>
  <c r="Y769" i="31"/>
  <c r="B770" i="31"/>
  <c r="Y770" i="31"/>
  <c r="B771" i="31"/>
  <c r="Y771" i="31"/>
  <c r="B772" i="31"/>
  <c r="Y772" i="31"/>
  <c r="B773" i="31"/>
  <c r="Y773" i="31"/>
  <c r="B774" i="31"/>
  <c r="Y774" i="31"/>
  <c r="B775" i="31"/>
  <c r="Y775" i="31"/>
  <c r="B776" i="31"/>
  <c r="Y776" i="31"/>
  <c r="B777" i="31"/>
  <c r="Y777" i="31"/>
  <c r="B778" i="31"/>
  <c r="Y778" i="31"/>
  <c r="B779" i="31"/>
  <c r="Y779" i="31"/>
  <c r="B780" i="31"/>
  <c r="Y780" i="31"/>
  <c r="B781" i="31"/>
  <c r="Y781" i="31"/>
  <c r="B782" i="31"/>
  <c r="Y782" i="31"/>
  <c r="B783" i="31"/>
  <c r="Y783" i="31"/>
  <c r="B784" i="31"/>
  <c r="Y784" i="31"/>
  <c r="B785" i="31"/>
  <c r="Y785" i="31"/>
  <c r="B786" i="31"/>
  <c r="Y786" i="31"/>
  <c r="B787" i="31"/>
  <c r="Y787" i="31"/>
  <c r="B788" i="31"/>
  <c r="Y788" i="31"/>
  <c r="B789" i="31"/>
  <c r="Y789" i="31"/>
  <c r="B790" i="31"/>
  <c r="Y790" i="31"/>
  <c r="B791" i="31"/>
  <c r="Y791" i="31"/>
  <c r="B792" i="31"/>
  <c r="Y792" i="31"/>
  <c r="B793" i="31"/>
  <c r="Y793" i="31"/>
  <c r="B794" i="31"/>
  <c r="Y794" i="31"/>
  <c r="B795" i="31"/>
  <c r="Y795" i="31"/>
  <c r="B796" i="31"/>
  <c r="Y796" i="31"/>
  <c r="B797" i="31"/>
  <c r="Y797" i="31"/>
  <c r="B798" i="31"/>
  <c r="Y798" i="31"/>
  <c r="B799" i="31"/>
  <c r="Y799" i="31"/>
  <c r="B800" i="31"/>
  <c r="Y800" i="31"/>
  <c r="B801" i="31"/>
  <c r="Y801" i="31"/>
  <c r="B802" i="31"/>
  <c r="Y802" i="31"/>
  <c r="B803" i="31"/>
  <c r="Y803" i="31"/>
  <c r="B804" i="31"/>
  <c r="Y804" i="31"/>
  <c r="B805" i="31"/>
  <c r="Y805" i="31"/>
  <c r="B806" i="31"/>
  <c r="Y806" i="31"/>
  <c r="B807" i="31"/>
  <c r="Y807" i="31"/>
  <c r="B808" i="31"/>
  <c r="Y808" i="31"/>
  <c r="B809" i="31"/>
  <c r="Y809" i="31"/>
  <c r="B810" i="31"/>
  <c r="Y810" i="31"/>
  <c r="B811" i="31"/>
  <c r="Y811" i="31"/>
  <c r="B812" i="31"/>
  <c r="Y812" i="31"/>
  <c r="B813" i="31"/>
  <c r="Y813" i="31"/>
  <c r="B814" i="31"/>
  <c r="Y814" i="31"/>
  <c r="B815" i="31"/>
  <c r="Y815" i="31"/>
  <c r="B816" i="31"/>
  <c r="Y816" i="31"/>
  <c r="B817" i="31"/>
  <c r="Y817" i="31"/>
  <c r="B818" i="31"/>
  <c r="Y818" i="31"/>
  <c r="B819" i="31"/>
  <c r="Y819" i="31"/>
  <c r="B820" i="31"/>
  <c r="Y820" i="31"/>
  <c r="B821" i="31"/>
  <c r="Y821" i="31"/>
  <c r="B822" i="31"/>
  <c r="Y822" i="31"/>
  <c r="B823" i="31"/>
  <c r="Y823" i="31"/>
  <c r="B824" i="31"/>
  <c r="Y824" i="31"/>
  <c r="B825" i="31"/>
  <c r="Y825" i="31"/>
  <c r="B826" i="31"/>
  <c r="Y826" i="31"/>
  <c r="B827" i="31"/>
  <c r="Y827" i="31"/>
  <c r="B828" i="31"/>
  <c r="Y828" i="31"/>
  <c r="B829" i="31"/>
  <c r="Y829" i="31"/>
  <c r="B830" i="31"/>
  <c r="Y830" i="31"/>
  <c r="B831" i="31"/>
  <c r="Y831" i="31"/>
  <c r="B832" i="31"/>
  <c r="Y832" i="31"/>
  <c r="B833" i="31"/>
  <c r="Y833" i="31"/>
  <c r="B834" i="31"/>
  <c r="Y834" i="31"/>
  <c r="B835" i="31"/>
  <c r="Y835" i="31"/>
  <c r="B836" i="31"/>
  <c r="Y836" i="31"/>
  <c r="B837" i="31"/>
  <c r="Y837" i="31"/>
  <c r="B838" i="31"/>
  <c r="Y838" i="31"/>
  <c r="B839" i="31"/>
  <c r="Y839" i="31"/>
  <c r="B840" i="31"/>
  <c r="Y840" i="31"/>
  <c r="B841" i="31"/>
  <c r="Y841" i="31"/>
  <c r="B842" i="31"/>
  <c r="Y842" i="31"/>
  <c r="B843" i="31"/>
  <c r="Y843" i="31"/>
  <c r="B844" i="31"/>
  <c r="Y844" i="31"/>
  <c r="B845" i="31"/>
  <c r="Y845" i="31"/>
  <c r="B846" i="31"/>
  <c r="Y846" i="31"/>
  <c r="B847" i="31"/>
  <c r="Y847" i="31"/>
  <c r="B848" i="31"/>
  <c r="Y848" i="31"/>
  <c r="B849" i="31"/>
  <c r="Y849" i="31"/>
  <c r="B850" i="31"/>
  <c r="Y850" i="31"/>
  <c r="B851" i="31"/>
  <c r="Y851" i="31"/>
  <c r="B852" i="31"/>
  <c r="Y852" i="31"/>
  <c r="B853" i="31"/>
  <c r="Y853" i="31"/>
  <c r="B854" i="31"/>
  <c r="Y854" i="31"/>
  <c r="B855" i="31"/>
  <c r="Y855" i="31"/>
  <c r="B856" i="31"/>
  <c r="Y856" i="31"/>
  <c r="B857" i="31"/>
  <c r="Y857" i="31"/>
  <c r="B858" i="31"/>
  <c r="Y858" i="31"/>
  <c r="B859" i="31"/>
  <c r="Y859" i="31"/>
  <c r="B860" i="31"/>
  <c r="Y860" i="31"/>
  <c r="B861" i="31"/>
  <c r="Y861" i="31"/>
  <c r="B862" i="31"/>
  <c r="Y862" i="31"/>
  <c r="B863" i="31"/>
  <c r="Y863" i="31"/>
  <c r="B864" i="31"/>
  <c r="Y864" i="31"/>
  <c r="B865" i="31"/>
  <c r="Y865" i="31"/>
  <c r="B866" i="31"/>
  <c r="Y866" i="31"/>
  <c r="B867" i="31"/>
  <c r="Y867" i="31"/>
  <c r="B868" i="31"/>
  <c r="Y868" i="31"/>
  <c r="B869" i="31"/>
  <c r="Y869" i="31"/>
  <c r="B870" i="31"/>
  <c r="Y870" i="31"/>
  <c r="B871" i="31"/>
  <c r="Y871" i="31"/>
  <c r="B872" i="31"/>
  <c r="Y872" i="31"/>
  <c r="B873" i="31"/>
  <c r="Y873" i="31"/>
  <c r="B874" i="31"/>
  <c r="Y874" i="31"/>
  <c r="B875" i="31"/>
  <c r="Y875" i="31"/>
  <c r="B876" i="31"/>
  <c r="Y876" i="31"/>
  <c r="B877" i="31"/>
  <c r="Y877" i="31"/>
  <c r="B878" i="31"/>
  <c r="Y878" i="31"/>
  <c r="B879" i="31"/>
  <c r="Y879" i="31"/>
  <c r="B880" i="31"/>
  <c r="Y880" i="31"/>
  <c r="B881" i="31"/>
  <c r="Y881" i="31"/>
  <c r="B662" i="31"/>
  <c r="Y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H663" i="31"/>
  <c r="H664" i="31"/>
  <c r="H665" i="31"/>
  <c r="H666" i="31"/>
  <c r="H667" i="31"/>
  <c r="H668" i="31"/>
  <c r="H669" i="31"/>
  <c r="H670" i="31"/>
  <c r="H671" i="31"/>
  <c r="H672" i="31"/>
  <c r="H673" i="31"/>
  <c r="H674" i="31"/>
  <c r="H675" i="31"/>
  <c r="H676" i="31"/>
  <c r="H677" i="31"/>
  <c r="H678" i="31"/>
  <c r="H679" i="31"/>
  <c r="H680" i="31"/>
  <c r="H681" i="31"/>
  <c r="H682" i="31"/>
  <c r="H683" i="31"/>
  <c r="H684" i="31"/>
  <c r="H685" i="31"/>
  <c r="H686" i="31"/>
  <c r="H687" i="31"/>
  <c r="H688" i="31"/>
  <c r="H689" i="31"/>
  <c r="H690" i="31"/>
  <c r="H691" i="31"/>
  <c r="H692" i="31"/>
  <c r="H693" i="31"/>
  <c r="H694" i="31"/>
  <c r="H695" i="31"/>
  <c r="H696" i="31"/>
  <c r="H697" i="31"/>
  <c r="H698" i="31"/>
  <c r="H699" i="31"/>
  <c r="H700" i="31"/>
  <c r="H701" i="31"/>
  <c r="H702" i="31"/>
  <c r="H703" i="31"/>
  <c r="H704" i="31"/>
  <c r="H705" i="31"/>
  <c r="H706" i="31"/>
  <c r="H707" i="31"/>
  <c r="H708" i="31"/>
  <c r="H709" i="31"/>
  <c r="H710" i="31"/>
  <c r="H711" i="31"/>
  <c r="H712" i="31"/>
  <c r="H713" i="31"/>
  <c r="H714" i="31"/>
  <c r="H715" i="31"/>
  <c r="H716" i="31"/>
  <c r="H717" i="31"/>
  <c r="H718" i="31"/>
  <c r="H719" i="31"/>
  <c r="H720" i="31"/>
  <c r="H721" i="31"/>
  <c r="H722" i="31"/>
  <c r="H723" i="31"/>
  <c r="H724" i="31"/>
  <c r="H725" i="31"/>
  <c r="H726" i="31"/>
  <c r="H727" i="31"/>
  <c r="H728" i="31"/>
  <c r="H729" i="31"/>
  <c r="H730" i="31"/>
  <c r="H731" i="31"/>
  <c r="H732" i="31"/>
  <c r="H733" i="31"/>
  <c r="H734" i="31"/>
  <c r="H735" i="31"/>
  <c r="H736" i="31"/>
  <c r="H737" i="31"/>
  <c r="H738" i="31"/>
  <c r="H739" i="31"/>
  <c r="H740" i="31"/>
  <c r="H741" i="31"/>
  <c r="H742" i="31"/>
  <c r="H743" i="31"/>
  <c r="H744" i="31"/>
  <c r="H745" i="31"/>
  <c r="H746" i="31"/>
  <c r="H747" i="31"/>
  <c r="H748" i="31"/>
  <c r="H749" i="31"/>
  <c r="H750" i="31"/>
  <c r="H751" i="31"/>
  <c r="H752" i="31"/>
  <c r="H753" i="31"/>
  <c r="H754" i="31"/>
  <c r="H755" i="31"/>
  <c r="H756" i="31"/>
  <c r="H757" i="31"/>
  <c r="H758" i="31"/>
  <c r="H759" i="31"/>
  <c r="H760" i="31"/>
  <c r="H761" i="31"/>
  <c r="H762" i="31"/>
  <c r="H763" i="31"/>
  <c r="H764" i="31"/>
  <c r="H765" i="31"/>
  <c r="H766" i="31"/>
  <c r="H767" i="31"/>
  <c r="H768" i="31"/>
  <c r="H769" i="31"/>
  <c r="H770" i="31"/>
  <c r="H771" i="31"/>
  <c r="H772" i="31"/>
  <c r="H773" i="31"/>
  <c r="H774" i="31"/>
  <c r="H775" i="31"/>
  <c r="H776" i="31"/>
  <c r="H777" i="31"/>
  <c r="H778" i="31"/>
  <c r="H779" i="31"/>
  <c r="H780" i="31"/>
  <c r="H781" i="31"/>
  <c r="H782" i="31"/>
  <c r="H783" i="31"/>
  <c r="H784" i="31"/>
  <c r="H785" i="31"/>
  <c r="H786" i="31"/>
  <c r="H787" i="31"/>
  <c r="H788" i="31"/>
  <c r="H789" i="31"/>
  <c r="H790" i="31"/>
  <c r="H791" i="31"/>
  <c r="H792" i="31"/>
  <c r="H793" i="31"/>
  <c r="H794" i="31"/>
  <c r="H795" i="31"/>
  <c r="H796" i="31"/>
  <c r="H797" i="31"/>
  <c r="H798" i="31"/>
  <c r="H799" i="31"/>
  <c r="H800" i="31"/>
  <c r="H801" i="31"/>
  <c r="H802" i="31"/>
  <c r="H803" i="31"/>
  <c r="H804" i="31"/>
  <c r="H805" i="31"/>
  <c r="H806" i="31"/>
  <c r="H807" i="31"/>
  <c r="H808" i="31"/>
  <c r="H809" i="31"/>
  <c r="H810" i="31"/>
  <c r="H811" i="31"/>
  <c r="H812" i="31"/>
  <c r="H813" i="31"/>
  <c r="H814" i="31"/>
  <c r="H815" i="31"/>
  <c r="H816" i="31"/>
  <c r="H817" i="31"/>
  <c r="H818" i="31"/>
  <c r="H819" i="31"/>
  <c r="H820" i="31"/>
  <c r="H821" i="31"/>
  <c r="H822" i="31"/>
  <c r="H823" i="31"/>
  <c r="H824" i="31"/>
  <c r="H825" i="31"/>
  <c r="H826" i="31"/>
  <c r="H827" i="31"/>
  <c r="H828" i="31"/>
  <c r="H829" i="31"/>
  <c r="H830" i="31"/>
  <c r="H831" i="31"/>
  <c r="H832" i="31"/>
  <c r="H833" i="31"/>
  <c r="H834" i="31"/>
  <c r="H835" i="31"/>
  <c r="H836" i="31"/>
  <c r="H837" i="31"/>
  <c r="H838" i="31"/>
  <c r="H839" i="31"/>
  <c r="H840" i="31"/>
  <c r="H841" i="31"/>
  <c r="H842" i="31"/>
  <c r="H843" i="31"/>
  <c r="H844" i="31"/>
  <c r="H845" i="31"/>
  <c r="H846" i="31"/>
  <c r="H847" i="31"/>
  <c r="H848" i="31"/>
  <c r="H849" i="31"/>
  <c r="H850" i="31"/>
  <c r="H851" i="31"/>
  <c r="H852" i="31"/>
  <c r="H853" i="31"/>
  <c r="H854" i="31"/>
  <c r="H855" i="31"/>
  <c r="H856" i="31"/>
  <c r="H857" i="31"/>
  <c r="H858" i="31"/>
  <c r="H859" i="31"/>
  <c r="H860" i="31"/>
  <c r="H861" i="31"/>
  <c r="H862" i="31"/>
  <c r="H863" i="31"/>
  <c r="H864" i="31"/>
  <c r="H865" i="31"/>
  <c r="H866" i="31"/>
  <c r="H867" i="31"/>
  <c r="H868" i="31"/>
  <c r="H869" i="31"/>
  <c r="H870" i="31"/>
  <c r="H871" i="31"/>
  <c r="H872" i="31"/>
  <c r="H873" i="31"/>
  <c r="H874" i="31"/>
  <c r="H875" i="31"/>
  <c r="H876" i="31"/>
  <c r="H877" i="31"/>
  <c r="H878" i="31"/>
  <c r="H879" i="31"/>
  <c r="H880" i="31"/>
  <c r="H881" i="31"/>
  <c r="H662" i="31"/>
  <c r="H443" i="31"/>
  <c r="H444" i="31"/>
  <c r="H445" i="31"/>
  <c r="H446" i="31"/>
  <c r="H447" i="31"/>
  <c r="H448" i="31"/>
  <c r="H449" i="31"/>
  <c r="H450" i="31"/>
  <c r="H451" i="31"/>
  <c r="H452" i="31"/>
  <c r="H453" i="31"/>
  <c r="H454" i="31"/>
  <c r="H455" i="31"/>
  <c r="H456" i="31"/>
  <c r="H457" i="31"/>
  <c r="H458" i="31"/>
  <c r="H459" i="31"/>
  <c r="H460" i="31"/>
  <c r="H461" i="31"/>
  <c r="H462" i="31"/>
  <c r="H463" i="31"/>
  <c r="H464" i="31"/>
  <c r="H465" i="31"/>
  <c r="H466" i="31"/>
  <c r="H467" i="31"/>
  <c r="H468" i="31"/>
  <c r="H469" i="31"/>
  <c r="H470" i="31"/>
  <c r="H471" i="31"/>
  <c r="H472" i="31"/>
  <c r="H473" i="31"/>
  <c r="H474" i="31"/>
  <c r="H475" i="31"/>
  <c r="H476" i="31"/>
  <c r="H477" i="31"/>
  <c r="H478" i="31"/>
  <c r="H479" i="31"/>
  <c r="H480" i="31"/>
  <c r="H481" i="31"/>
  <c r="H482" i="31"/>
  <c r="H483" i="31"/>
  <c r="H484" i="31"/>
  <c r="H485" i="31"/>
  <c r="H486" i="31"/>
  <c r="H487" i="31"/>
  <c r="H488" i="31"/>
  <c r="H489" i="31"/>
  <c r="H490" i="31"/>
  <c r="H491" i="31"/>
  <c r="H492" i="31"/>
  <c r="H493" i="31"/>
  <c r="H494" i="31"/>
  <c r="H495" i="31"/>
  <c r="H496" i="31"/>
  <c r="H497" i="31"/>
  <c r="H498" i="31"/>
  <c r="H499" i="31"/>
  <c r="H500" i="31"/>
  <c r="H501" i="31"/>
  <c r="H502" i="31"/>
  <c r="H503" i="31"/>
  <c r="H504" i="31"/>
  <c r="H505" i="31"/>
  <c r="H506" i="31"/>
  <c r="H507" i="31"/>
  <c r="H508" i="31"/>
  <c r="H509" i="31"/>
  <c r="H510" i="31"/>
  <c r="H511" i="31"/>
  <c r="H512" i="31"/>
  <c r="H513" i="31"/>
  <c r="H514" i="31"/>
  <c r="H515" i="31"/>
  <c r="H516" i="31"/>
  <c r="H517" i="31"/>
  <c r="H518" i="31"/>
  <c r="H519" i="31"/>
  <c r="H520" i="31"/>
  <c r="H521" i="31"/>
  <c r="H522" i="31"/>
  <c r="H523" i="31"/>
  <c r="H524" i="31"/>
  <c r="H525" i="31"/>
  <c r="H526" i="31"/>
  <c r="H527" i="31"/>
  <c r="H528" i="31"/>
  <c r="H529" i="31"/>
  <c r="H530" i="31"/>
  <c r="H531" i="31"/>
  <c r="H532" i="31"/>
  <c r="H533" i="31"/>
  <c r="H534" i="31"/>
  <c r="H535" i="31"/>
  <c r="H536" i="31"/>
  <c r="H537" i="31"/>
  <c r="H538" i="31"/>
  <c r="H539" i="31"/>
  <c r="H540" i="31"/>
  <c r="H541" i="31"/>
  <c r="H542" i="31"/>
  <c r="H543" i="31"/>
  <c r="H544" i="31"/>
  <c r="H545" i="31"/>
  <c r="H546" i="31"/>
  <c r="H547" i="31"/>
  <c r="H548" i="31"/>
  <c r="H549" i="31"/>
  <c r="H550" i="31"/>
  <c r="H551" i="31"/>
  <c r="H552" i="31"/>
  <c r="H553" i="31"/>
  <c r="H554" i="31"/>
  <c r="H555" i="31"/>
  <c r="H556" i="31"/>
  <c r="H557" i="31"/>
  <c r="H558" i="31"/>
  <c r="H559" i="31"/>
  <c r="H560" i="31"/>
  <c r="H561" i="31"/>
  <c r="H562" i="31"/>
  <c r="H563" i="31"/>
  <c r="H564" i="31"/>
  <c r="H565" i="31"/>
  <c r="H566" i="31"/>
  <c r="H567" i="31"/>
  <c r="H568" i="31"/>
  <c r="H569" i="31"/>
  <c r="H570" i="31"/>
  <c r="H571" i="31"/>
  <c r="H572" i="31"/>
  <c r="H573" i="31"/>
  <c r="H574" i="31"/>
  <c r="H575" i="31"/>
  <c r="H576" i="31"/>
  <c r="H577" i="31"/>
  <c r="H578" i="31"/>
  <c r="H579" i="31"/>
  <c r="H580" i="31"/>
  <c r="H581" i="31"/>
  <c r="H582" i="31"/>
  <c r="H583" i="31"/>
  <c r="H584" i="31"/>
  <c r="H585" i="31"/>
  <c r="H586" i="31"/>
  <c r="H587" i="31"/>
  <c r="H588" i="31"/>
  <c r="H589" i="31"/>
  <c r="H590" i="31"/>
  <c r="H591" i="31"/>
  <c r="H592" i="31"/>
  <c r="H593" i="31"/>
  <c r="H594" i="31"/>
  <c r="H595" i="31"/>
  <c r="H596" i="31"/>
  <c r="H597" i="31"/>
  <c r="H598" i="31"/>
  <c r="H599" i="31"/>
  <c r="H600" i="31"/>
  <c r="H601" i="31"/>
  <c r="H602" i="31"/>
  <c r="H603" i="31"/>
  <c r="H604" i="31"/>
  <c r="H605" i="31"/>
  <c r="H606" i="31"/>
  <c r="H607" i="31"/>
  <c r="H608" i="31"/>
  <c r="H609" i="31"/>
  <c r="H610" i="31"/>
  <c r="H611" i="31"/>
  <c r="H612" i="31"/>
  <c r="H613" i="31"/>
  <c r="H614" i="31"/>
  <c r="H615" i="31"/>
  <c r="H616" i="31"/>
  <c r="H617" i="31"/>
  <c r="H618" i="31"/>
  <c r="H619" i="31"/>
  <c r="H620" i="31"/>
  <c r="H621" i="31"/>
  <c r="H622" i="31"/>
  <c r="H623" i="31"/>
  <c r="H624" i="31"/>
  <c r="H625" i="31"/>
  <c r="H626" i="31"/>
  <c r="H627" i="31"/>
  <c r="H628" i="31"/>
  <c r="H629" i="31"/>
  <c r="H630" i="31"/>
  <c r="H631" i="31"/>
  <c r="H632" i="31"/>
  <c r="H633" i="31"/>
  <c r="H634" i="31"/>
  <c r="H635" i="31"/>
  <c r="H636" i="31"/>
  <c r="H637" i="31"/>
  <c r="H638" i="31"/>
  <c r="H639" i="31"/>
  <c r="H640" i="31"/>
  <c r="H641" i="31"/>
  <c r="H642" i="31"/>
  <c r="H643" i="31"/>
  <c r="H644" i="31"/>
  <c r="H645" i="31"/>
  <c r="H646" i="31"/>
  <c r="H647" i="31"/>
  <c r="H648" i="31"/>
  <c r="H649" i="31"/>
  <c r="H650" i="31"/>
  <c r="H651" i="31"/>
  <c r="H652" i="31"/>
  <c r="H653" i="31"/>
  <c r="H654" i="31"/>
  <c r="H655" i="31"/>
  <c r="H656" i="31"/>
  <c r="H657" i="31"/>
  <c r="H658" i="31"/>
  <c r="H659" i="31"/>
  <c r="H660" i="31"/>
  <c r="H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Y443" i="31"/>
  <c r="Y444" i="31"/>
  <c r="Y445" i="31"/>
  <c r="Y446" i="31"/>
  <c r="Y447" i="31"/>
  <c r="Y448" i="31"/>
  <c r="Y449" i="31"/>
  <c r="Y450" i="31"/>
  <c r="Y451" i="31"/>
  <c r="Y452" i="31"/>
  <c r="Y453" i="31"/>
  <c r="Y454" i="31"/>
  <c r="Y455" i="31"/>
  <c r="Y456" i="31"/>
  <c r="Y457" i="31"/>
  <c r="Y458" i="31"/>
  <c r="Y459" i="31"/>
  <c r="Y460" i="31"/>
  <c r="Y461" i="31"/>
  <c r="Y462" i="31"/>
  <c r="Y463" i="31"/>
  <c r="Y464" i="31"/>
  <c r="Y465" i="31"/>
  <c r="Y466" i="31"/>
  <c r="Y467" i="31"/>
  <c r="Y468" i="31"/>
  <c r="Y469" i="31"/>
  <c r="Y470" i="31"/>
  <c r="Y471" i="31"/>
  <c r="Y472" i="31"/>
  <c r="Y473" i="31"/>
  <c r="Y474" i="31"/>
  <c r="Y475" i="31"/>
  <c r="Y476" i="31"/>
  <c r="Y477" i="31"/>
  <c r="Y478" i="31"/>
  <c r="Y479" i="31"/>
  <c r="Y480" i="31"/>
  <c r="Y481" i="31"/>
  <c r="Y482" i="31"/>
  <c r="Y483" i="31"/>
  <c r="Y484" i="31"/>
  <c r="Y485" i="31"/>
  <c r="Y486" i="31"/>
  <c r="Y487" i="31"/>
  <c r="Y488" i="31"/>
  <c r="Y489" i="31"/>
  <c r="Y490" i="31"/>
  <c r="Y491" i="31"/>
  <c r="Y492" i="31"/>
  <c r="Y493" i="31"/>
  <c r="Y494" i="31"/>
  <c r="Y495" i="31"/>
  <c r="Y496" i="31"/>
  <c r="Y497" i="31"/>
  <c r="Y498" i="31"/>
  <c r="Y499" i="31"/>
  <c r="Y500" i="31"/>
  <c r="Y501" i="31"/>
  <c r="Y502" i="31"/>
  <c r="Y503" i="31"/>
  <c r="Y504" i="31"/>
  <c r="Y505" i="31"/>
  <c r="Y506" i="31"/>
  <c r="Y507" i="31"/>
  <c r="Y508" i="31"/>
  <c r="Y509" i="31"/>
  <c r="Y510" i="31"/>
  <c r="Y511" i="31"/>
  <c r="Y512" i="31"/>
  <c r="Y513" i="31"/>
  <c r="Y514" i="31"/>
  <c r="Y515" i="31"/>
  <c r="Y516" i="31"/>
  <c r="Y517" i="31"/>
  <c r="Y518" i="31"/>
  <c r="Y519" i="31"/>
  <c r="Y520" i="31"/>
  <c r="Y521" i="31"/>
  <c r="Y522" i="31"/>
  <c r="Y523" i="31"/>
  <c r="Y524" i="31"/>
  <c r="Y525" i="31"/>
  <c r="Y526" i="31"/>
  <c r="Y527" i="31"/>
  <c r="Y528" i="31"/>
  <c r="Y529" i="31"/>
  <c r="Y530" i="31"/>
  <c r="Y531" i="31"/>
  <c r="Y532" i="31"/>
  <c r="Y533" i="31"/>
  <c r="Y534" i="31"/>
  <c r="Y535" i="31"/>
  <c r="Y536" i="31"/>
  <c r="Y537" i="31"/>
  <c r="Y538" i="31"/>
  <c r="Y539" i="31"/>
  <c r="Y540" i="31"/>
  <c r="Y541" i="31"/>
  <c r="Y542" i="31"/>
  <c r="Y543" i="31"/>
  <c r="Y544" i="31"/>
  <c r="Y545" i="31"/>
  <c r="Y546" i="31"/>
  <c r="Y547" i="31"/>
  <c r="Y548" i="31"/>
  <c r="Y549" i="31"/>
  <c r="Y550" i="31"/>
  <c r="Y551" i="31"/>
  <c r="Y552" i="31"/>
  <c r="Y553" i="31"/>
  <c r="Y554" i="31"/>
  <c r="Y555" i="31"/>
  <c r="Y556" i="31"/>
  <c r="Y557" i="31"/>
  <c r="Y558" i="31"/>
  <c r="Y559" i="31"/>
  <c r="Y560" i="31"/>
  <c r="Y561" i="31"/>
  <c r="Y562" i="31"/>
  <c r="Y563" i="31"/>
  <c r="Y564" i="31"/>
  <c r="Y565" i="31"/>
  <c r="Y566" i="31"/>
  <c r="Y567" i="31"/>
  <c r="Y568" i="31"/>
  <c r="Y569" i="31"/>
  <c r="Y570" i="31"/>
  <c r="Y571" i="31"/>
  <c r="Y572" i="31"/>
  <c r="Y573" i="31"/>
  <c r="Y574" i="31"/>
  <c r="Y575" i="31"/>
  <c r="Y576" i="31"/>
  <c r="Y577" i="31"/>
  <c r="Y578" i="31"/>
  <c r="Y579" i="31"/>
  <c r="Y580" i="31"/>
  <c r="Y581" i="31"/>
  <c r="Y582" i="31"/>
  <c r="Y583" i="31"/>
  <c r="Y584" i="31"/>
  <c r="Y585" i="31"/>
  <c r="Y586" i="31"/>
  <c r="Y587" i="31"/>
  <c r="Y588" i="31"/>
  <c r="Y589" i="31"/>
  <c r="Y590" i="31"/>
  <c r="Y591" i="31"/>
  <c r="Y592" i="31"/>
  <c r="Y593" i="31"/>
  <c r="Y594" i="31"/>
  <c r="Y595" i="31"/>
  <c r="Y596" i="31"/>
  <c r="Y597" i="31"/>
  <c r="Y598" i="31"/>
  <c r="Y599" i="31"/>
  <c r="Y600" i="31"/>
  <c r="Y601" i="31"/>
  <c r="Y602" i="31"/>
  <c r="Y603" i="31"/>
  <c r="Y604" i="31"/>
  <c r="Y605" i="31"/>
  <c r="Y606" i="31"/>
  <c r="Y607" i="31"/>
  <c r="Y608" i="31"/>
  <c r="Y609" i="31"/>
  <c r="Y610" i="31"/>
  <c r="Y611" i="31"/>
  <c r="Y612" i="31"/>
  <c r="Y613" i="31"/>
  <c r="Y614" i="31"/>
  <c r="Y615" i="31"/>
  <c r="Y616" i="31"/>
  <c r="Y617" i="31"/>
  <c r="Y618" i="31"/>
  <c r="Y619" i="31"/>
  <c r="Y620" i="31"/>
  <c r="Y621" i="31"/>
  <c r="Y622" i="31"/>
  <c r="Y623" i="31"/>
  <c r="Y624" i="31"/>
  <c r="Y625" i="31"/>
  <c r="Y626" i="31"/>
  <c r="Y627" i="31"/>
  <c r="Y628" i="31"/>
  <c r="Y629" i="31"/>
  <c r="Y630" i="31"/>
  <c r="Y631" i="31"/>
  <c r="Y632" i="31"/>
  <c r="Y633" i="31"/>
  <c r="Y634" i="31"/>
  <c r="Y635" i="31"/>
  <c r="Y636" i="31"/>
  <c r="Y637" i="31"/>
  <c r="Y638" i="31"/>
  <c r="Y639" i="31"/>
  <c r="Y640" i="31"/>
  <c r="Y641" i="31"/>
  <c r="Y642" i="31"/>
  <c r="Y643" i="31"/>
  <c r="Y644" i="31"/>
  <c r="Y645" i="31"/>
  <c r="Y646" i="31"/>
  <c r="Y647" i="31"/>
  <c r="Y648" i="31"/>
  <c r="Y649" i="31"/>
  <c r="Y650" i="31"/>
  <c r="Y651" i="31"/>
  <c r="Y652" i="31"/>
  <c r="Y653" i="31"/>
  <c r="Y654" i="31"/>
  <c r="Y655" i="31"/>
  <c r="Y656" i="31"/>
  <c r="Y657" i="31"/>
  <c r="Y658" i="31"/>
  <c r="Y659" i="31"/>
  <c r="Y660" i="31"/>
  <c r="Y661" i="31"/>
  <c r="H442" i="31"/>
  <c r="C442" i="31"/>
  <c r="Y442" i="31"/>
  <c r="B223" i="31"/>
  <c r="Y223" i="31"/>
  <c r="B224" i="31"/>
  <c r="Y224" i="31"/>
  <c r="B225" i="31"/>
  <c r="Y225" i="31"/>
  <c r="B226" i="31"/>
  <c r="Y226" i="31"/>
  <c r="B227" i="31"/>
  <c r="Y227" i="31"/>
  <c r="B228" i="31"/>
  <c r="Y228" i="31"/>
  <c r="B229" i="31"/>
  <c r="Y229" i="31"/>
  <c r="B230" i="31"/>
  <c r="Y230" i="31"/>
  <c r="B231" i="31"/>
  <c r="Y231" i="31"/>
  <c r="B232" i="31"/>
  <c r="Y232" i="31"/>
  <c r="B233" i="31"/>
  <c r="Y233" i="31"/>
  <c r="B234" i="31"/>
  <c r="Y234" i="31"/>
  <c r="B235" i="31"/>
  <c r="Y235" i="31"/>
  <c r="B236" i="31"/>
  <c r="Y236" i="31"/>
  <c r="B237" i="31"/>
  <c r="Y237" i="31"/>
  <c r="B238" i="31"/>
  <c r="Y238" i="31"/>
  <c r="B239" i="31"/>
  <c r="Y239" i="31"/>
  <c r="B240" i="31"/>
  <c r="Y240" i="31"/>
  <c r="B241" i="31"/>
  <c r="Y241" i="31"/>
  <c r="B242" i="31"/>
  <c r="Y242" i="31"/>
  <c r="B243" i="31"/>
  <c r="Y243" i="31"/>
  <c r="B244" i="31"/>
  <c r="Y244" i="31"/>
  <c r="B245" i="31"/>
  <c r="Y245" i="31"/>
  <c r="B246" i="31"/>
  <c r="Y246" i="31"/>
  <c r="B247" i="31"/>
  <c r="Y247" i="31"/>
  <c r="B248" i="31"/>
  <c r="Y248" i="31"/>
  <c r="B249" i="31"/>
  <c r="Y249" i="31"/>
  <c r="B250" i="31"/>
  <c r="Y250" i="31"/>
  <c r="B251" i="31"/>
  <c r="Y251" i="31"/>
  <c r="B252" i="31"/>
  <c r="Y252" i="31"/>
  <c r="B253" i="31"/>
  <c r="Y253" i="31"/>
  <c r="B254" i="31"/>
  <c r="Y254" i="31"/>
  <c r="B255" i="31"/>
  <c r="Y255" i="31"/>
  <c r="B256" i="31"/>
  <c r="Y256" i="31"/>
  <c r="B257" i="31"/>
  <c r="Y257" i="31"/>
  <c r="B258" i="31"/>
  <c r="Y258" i="31"/>
  <c r="B259" i="31"/>
  <c r="Y259" i="31"/>
  <c r="B260" i="31"/>
  <c r="Y260" i="31"/>
  <c r="B261" i="31"/>
  <c r="Y261" i="31"/>
  <c r="B262" i="31"/>
  <c r="Y262" i="31"/>
  <c r="B263" i="31"/>
  <c r="Y263" i="31"/>
  <c r="B264" i="31"/>
  <c r="Y264" i="31"/>
  <c r="B265" i="31"/>
  <c r="Y265" i="31"/>
  <c r="B266" i="31"/>
  <c r="Y266" i="31"/>
  <c r="B267" i="31"/>
  <c r="Y267" i="31"/>
  <c r="B268" i="31"/>
  <c r="Y268" i="31"/>
  <c r="B269" i="31"/>
  <c r="Y269" i="31"/>
  <c r="B270" i="31"/>
  <c r="Y270" i="31"/>
  <c r="B271" i="31"/>
  <c r="Y271" i="31"/>
  <c r="B272" i="31"/>
  <c r="Y272" i="31"/>
  <c r="B273" i="31"/>
  <c r="Y273" i="31"/>
  <c r="B274" i="31"/>
  <c r="Y274" i="31"/>
  <c r="B275" i="31"/>
  <c r="Y275" i="31"/>
  <c r="B276" i="31"/>
  <c r="Y276" i="31"/>
  <c r="B277" i="31"/>
  <c r="Y277" i="31"/>
  <c r="B278" i="31"/>
  <c r="Y278" i="31"/>
  <c r="B279" i="31"/>
  <c r="Y279" i="31"/>
  <c r="B280" i="31"/>
  <c r="Y280" i="31"/>
  <c r="B281" i="31"/>
  <c r="Y281" i="31"/>
  <c r="B282" i="31"/>
  <c r="Y282" i="31"/>
  <c r="B283" i="31"/>
  <c r="Y283" i="31"/>
  <c r="B284" i="31"/>
  <c r="Y284" i="31"/>
  <c r="B285" i="31"/>
  <c r="Y285" i="31"/>
  <c r="B286" i="31"/>
  <c r="Y286" i="31"/>
  <c r="B287" i="31"/>
  <c r="Y287" i="31"/>
  <c r="B288" i="31"/>
  <c r="Y288" i="31"/>
  <c r="B289" i="31"/>
  <c r="Y289" i="31"/>
  <c r="B290" i="31"/>
  <c r="Y290" i="31"/>
  <c r="B291" i="31"/>
  <c r="Y291" i="31"/>
  <c r="B292" i="31"/>
  <c r="Y292" i="31"/>
  <c r="B293" i="31"/>
  <c r="Y293" i="31"/>
  <c r="B294" i="31"/>
  <c r="Y294" i="31"/>
  <c r="B295" i="31"/>
  <c r="Y295" i="31"/>
  <c r="B296" i="31"/>
  <c r="Y296" i="31"/>
  <c r="B297" i="31"/>
  <c r="Y297" i="31"/>
  <c r="B298" i="31"/>
  <c r="Y298" i="31"/>
  <c r="B299" i="31"/>
  <c r="Y299" i="31"/>
  <c r="B300" i="31"/>
  <c r="Y300" i="31"/>
  <c r="B301" i="31"/>
  <c r="Y301" i="31"/>
  <c r="B302" i="31"/>
  <c r="Y302" i="31"/>
  <c r="B303" i="31"/>
  <c r="Y303" i="31"/>
  <c r="B304" i="31"/>
  <c r="Y304" i="31"/>
  <c r="B305" i="31"/>
  <c r="Y305" i="31"/>
  <c r="B306" i="31"/>
  <c r="Y306" i="31"/>
  <c r="B307" i="31"/>
  <c r="Y307" i="31"/>
  <c r="B308" i="31"/>
  <c r="Y308" i="31"/>
  <c r="B309" i="31"/>
  <c r="Y309" i="31"/>
  <c r="B310" i="31"/>
  <c r="Y310" i="31"/>
  <c r="B311" i="31"/>
  <c r="Y311" i="31"/>
  <c r="B312" i="31"/>
  <c r="Y312" i="31"/>
  <c r="B313" i="31"/>
  <c r="Y313" i="31"/>
  <c r="B314" i="31"/>
  <c r="Y314" i="31"/>
  <c r="B315" i="31"/>
  <c r="Y315" i="31"/>
  <c r="B316" i="31"/>
  <c r="Y316" i="31"/>
  <c r="B317" i="31"/>
  <c r="Y317" i="31"/>
  <c r="B318" i="31"/>
  <c r="Y318" i="31"/>
  <c r="B319" i="31"/>
  <c r="Y319" i="31"/>
  <c r="B320" i="31"/>
  <c r="Y320" i="31"/>
  <c r="B321" i="31"/>
  <c r="Y321" i="31"/>
  <c r="B322" i="31"/>
  <c r="Y322" i="31"/>
  <c r="B323" i="31"/>
  <c r="Y323" i="31"/>
  <c r="B324" i="31"/>
  <c r="Y324" i="31"/>
  <c r="B325" i="31"/>
  <c r="Y325" i="31"/>
  <c r="B326" i="31"/>
  <c r="Y326" i="31"/>
  <c r="B327" i="31"/>
  <c r="Y327" i="31"/>
  <c r="B328" i="31"/>
  <c r="Y328" i="31"/>
  <c r="B329" i="31"/>
  <c r="Y329" i="31"/>
  <c r="B330" i="31"/>
  <c r="Y330" i="31"/>
  <c r="B331" i="31"/>
  <c r="Y331" i="31"/>
  <c r="B332" i="31"/>
  <c r="Y332" i="31"/>
  <c r="B333" i="31"/>
  <c r="Y333" i="31"/>
  <c r="B334" i="31"/>
  <c r="Y334" i="31"/>
  <c r="B335" i="31"/>
  <c r="Y335" i="31"/>
  <c r="B336" i="31"/>
  <c r="Y336" i="31"/>
  <c r="B337" i="31"/>
  <c r="Y337" i="31"/>
  <c r="B338" i="31"/>
  <c r="Y338" i="31"/>
  <c r="B339" i="31"/>
  <c r="Y339" i="31"/>
  <c r="B340" i="31"/>
  <c r="Y340" i="31"/>
  <c r="B341" i="31"/>
  <c r="Y341" i="31"/>
  <c r="B342" i="31"/>
  <c r="Y342" i="31"/>
  <c r="B343" i="31"/>
  <c r="Y343" i="31"/>
  <c r="B344" i="31"/>
  <c r="Y344" i="31"/>
  <c r="B345" i="31"/>
  <c r="Y345" i="31"/>
  <c r="B346" i="31"/>
  <c r="Y346" i="31"/>
  <c r="B347" i="31"/>
  <c r="Y347" i="31"/>
  <c r="B348" i="31"/>
  <c r="Y348" i="31"/>
  <c r="B349" i="31"/>
  <c r="Y349" i="31"/>
  <c r="B350" i="31"/>
  <c r="Y350" i="31"/>
  <c r="B351" i="31"/>
  <c r="Y351" i="31"/>
  <c r="B352" i="31"/>
  <c r="Y352" i="31"/>
  <c r="B353" i="31"/>
  <c r="Y353" i="31"/>
  <c r="B354" i="31"/>
  <c r="Y354" i="31"/>
  <c r="B355" i="31"/>
  <c r="Y355" i="31"/>
  <c r="B356" i="31"/>
  <c r="Y356" i="31"/>
  <c r="B357" i="31"/>
  <c r="Y357" i="31"/>
  <c r="B358" i="31"/>
  <c r="Y358" i="31"/>
  <c r="B359" i="31"/>
  <c r="Y359" i="31"/>
  <c r="B360" i="31"/>
  <c r="Y360" i="31"/>
  <c r="B361" i="31"/>
  <c r="Y361" i="31"/>
  <c r="B362" i="31"/>
  <c r="Y362" i="31"/>
  <c r="B363" i="31"/>
  <c r="Y363" i="31"/>
  <c r="B364" i="31"/>
  <c r="Y364" i="31"/>
  <c r="B365" i="31"/>
  <c r="Y365" i="31"/>
  <c r="B366" i="31"/>
  <c r="Y366" i="31"/>
  <c r="B367" i="31"/>
  <c r="Y367" i="31"/>
  <c r="B368" i="31"/>
  <c r="Y368" i="31"/>
  <c r="B369" i="31"/>
  <c r="Y369" i="31"/>
  <c r="B370" i="31"/>
  <c r="Y370" i="31"/>
  <c r="B371" i="31"/>
  <c r="Y371" i="31"/>
  <c r="B372" i="31"/>
  <c r="Y372" i="31"/>
  <c r="B373" i="31"/>
  <c r="Y373" i="31"/>
  <c r="B374" i="31"/>
  <c r="Y374" i="31"/>
  <c r="B375" i="31"/>
  <c r="Y375" i="31"/>
  <c r="B376" i="31"/>
  <c r="Y376" i="31"/>
  <c r="B377" i="31"/>
  <c r="Y377" i="31"/>
  <c r="B378" i="31"/>
  <c r="Y378" i="31"/>
  <c r="B379" i="31"/>
  <c r="Y379" i="31"/>
  <c r="B380" i="31"/>
  <c r="Y380" i="31"/>
  <c r="B381" i="31"/>
  <c r="Y381" i="31"/>
  <c r="B382" i="31"/>
  <c r="Y382" i="31"/>
  <c r="B383" i="31"/>
  <c r="Y383" i="31"/>
  <c r="B384" i="31"/>
  <c r="Y384" i="31"/>
  <c r="B385" i="31"/>
  <c r="Y385" i="31"/>
  <c r="B386" i="31"/>
  <c r="Y386" i="31"/>
  <c r="B387" i="31"/>
  <c r="Y387" i="31"/>
  <c r="B388" i="31"/>
  <c r="Y388" i="31"/>
  <c r="B389" i="31"/>
  <c r="Y389" i="31"/>
  <c r="B390" i="31"/>
  <c r="Y390" i="31"/>
  <c r="B391" i="31"/>
  <c r="Y391" i="31"/>
  <c r="B392" i="31"/>
  <c r="Y392" i="31"/>
  <c r="B393" i="31"/>
  <c r="Y393" i="31"/>
  <c r="B394" i="31"/>
  <c r="Y394" i="31"/>
  <c r="B395" i="31"/>
  <c r="Y395" i="31"/>
  <c r="B396" i="31"/>
  <c r="Y396" i="31"/>
  <c r="B397" i="31"/>
  <c r="Y397" i="31"/>
  <c r="B398" i="31"/>
  <c r="Y398" i="31"/>
  <c r="B399" i="31"/>
  <c r="Y399" i="31"/>
  <c r="B400" i="31"/>
  <c r="Y400" i="31"/>
  <c r="B401" i="31"/>
  <c r="Y401" i="31"/>
  <c r="B402" i="31"/>
  <c r="Y402" i="31"/>
  <c r="B403" i="31"/>
  <c r="Y403" i="31"/>
  <c r="B404" i="31"/>
  <c r="Y404" i="31"/>
  <c r="B405" i="31"/>
  <c r="Y405" i="31"/>
  <c r="B406" i="31"/>
  <c r="Y406" i="31"/>
  <c r="B407" i="31"/>
  <c r="Y407" i="31"/>
  <c r="B408" i="31"/>
  <c r="Y408" i="31"/>
  <c r="B409" i="31"/>
  <c r="Y409" i="31"/>
  <c r="B410" i="31"/>
  <c r="Y410" i="31"/>
  <c r="B411" i="31"/>
  <c r="Y411" i="31"/>
  <c r="B412" i="31"/>
  <c r="Y412" i="31"/>
  <c r="B413" i="31"/>
  <c r="Y413" i="31"/>
  <c r="B414" i="31"/>
  <c r="Y414" i="31"/>
  <c r="B415" i="31"/>
  <c r="Y415" i="31"/>
  <c r="B416" i="31"/>
  <c r="Y416" i="31"/>
  <c r="B417" i="31"/>
  <c r="Y417" i="31"/>
  <c r="B418" i="31"/>
  <c r="Y418" i="31"/>
  <c r="B419" i="31"/>
  <c r="Y419" i="31"/>
  <c r="B420" i="31"/>
  <c r="Y420" i="31"/>
  <c r="B421" i="31"/>
  <c r="Y421" i="31"/>
  <c r="B422" i="31"/>
  <c r="Y422" i="31"/>
  <c r="B423" i="31"/>
  <c r="Y423" i="31"/>
  <c r="B424" i="31"/>
  <c r="Y424" i="31"/>
  <c r="B425" i="31"/>
  <c r="Y425" i="31"/>
  <c r="B426" i="31"/>
  <c r="Y426" i="31"/>
  <c r="B427" i="31"/>
  <c r="Y427" i="31"/>
  <c r="B428" i="31"/>
  <c r="Y428" i="31"/>
  <c r="B429" i="31"/>
  <c r="Y429" i="31"/>
  <c r="B430" i="31"/>
  <c r="Y430" i="31"/>
  <c r="B431" i="31"/>
  <c r="Y431" i="31"/>
  <c r="B432" i="31"/>
  <c r="Y432" i="31"/>
  <c r="B433" i="31"/>
  <c r="Y433" i="31"/>
  <c r="B434" i="31"/>
  <c r="Y434" i="31"/>
  <c r="B435" i="31"/>
  <c r="Y435" i="31"/>
  <c r="B436" i="31"/>
  <c r="Y436" i="31"/>
  <c r="B437" i="31"/>
  <c r="Y437" i="31"/>
  <c r="B438" i="31"/>
  <c r="Y438" i="31"/>
  <c r="B439" i="31"/>
  <c r="Y439" i="31"/>
  <c r="B440" i="31"/>
  <c r="Y440" i="31"/>
  <c r="B441" i="31"/>
  <c r="Y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H223" i="31"/>
  <c r="H224" i="31"/>
  <c r="H225" i="31"/>
  <c r="H226" i="31"/>
  <c r="H227" i="31"/>
  <c r="H228" i="31"/>
  <c r="H229" i="31"/>
  <c r="H230" i="31"/>
  <c r="H231" i="31"/>
  <c r="H232" i="31"/>
  <c r="H233" i="31"/>
  <c r="H234" i="31"/>
  <c r="H235" i="31"/>
  <c r="H236" i="31"/>
  <c r="H237" i="31"/>
  <c r="H238" i="31"/>
  <c r="H239" i="31"/>
  <c r="H240" i="31"/>
  <c r="H241" i="31"/>
  <c r="H242" i="31"/>
  <c r="H243" i="31"/>
  <c r="H244" i="31"/>
  <c r="H245" i="31"/>
  <c r="H246" i="31"/>
  <c r="H247" i="31"/>
  <c r="H248" i="31"/>
  <c r="H249" i="31"/>
  <c r="H250" i="31"/>
  <c r="H251" i="31"/>
  <c r="H252" i="31"/>
  <c r="H253" i="31"/>
  <c r="H254" i="31"/>
  <c r="H255" i="31"/>
  <c r="H256" i="31"/>
  <c r="H257" i="31"/>
  <c r="H258" i="31"/>
  <c r="H259" i="31"/>
  <c r="H260" i="31"/>
  <c r="H261" i="31"/>
  <c r="H262" i="31"/>
  <c r="H263" i="31"/>
  <c r="H264" i="31"/>
  <c r="H265" i="31"/>
  <c r="H266" i="31"/>
  <c r="H267" i="31"/>
  <c r="H268" i="31"/>
  <c r="H269" i="31"/>
  <c r="H270" i="31"/>
  <c r="H271" i="31"/>
  <c r="H272" i="31"/>
  <c r="H273" i="31"/>
  <c r="H274" i="31"/>
  <c r="H275" i="31"/>
  <c r="H276" i="31"/>
  <c r="H277" i="31"/>
  <c r="H278" i="31"/>
  <c r="H279" i="31"/>
  <c r="H280" i="31"/>
  <c r="H281" i="31"/>
  <c r="H282" i="31"/>
  <c r="H283" i="31"/>
  <c r="H284" i="31"/>
  <c r="H285" i="31"/>
  <c r="H286" i="31"/>
  <c r="H287" i="31"/>
  <c r="H288" i="31"/>
  <c r="H289" i="31"/>
  <c r="H290" i="31"/>
  <c r="H291" i="31"/>
  <c r="H292" i="31"/>
  <c r="H293" i="31"/>
  <c r="H294" i="31"/>
  <c r="H295" i="31"/>
  <c r="H296" i="31"/>
  <c r="H297" i="31"/>
  <c r="H298" i="31"/>
  <c r="H299" i="31"/>
  <c r="H300" i="31"/>
  <c r="H301" i="31"/>
  <c r="H302" i="31"/>
  <c r="H303" i="31"/>
  <c r="H304" i="31"/>
  <c r="H305" i="31"/>
  <c r="H306" i="31"/>
  <c r="H307" i="31"/>
  <c r="H308" i="31"/>
  <c r="H309" i="31"/>
  <c r="H310" i="31"/>
  <c r="H311" i="31"/>
  <c r="H312" i="31"/>
  <c r="H313" i="31"/>
  <c r="H314" i="31"/>
  <c r="H315" i="31"/>
  <c r="H316" i="31"/>
  <c r="H317" i="31"/>
  <c r="H318" i="31"/>
  <c r="H319" i="31"/>
  <c r="H320" i="31"/>
  <c r="H321" i="31"/>
  <c r="H322" i="31"/>
  <c r="H323" i="31"/>
  <c r="H324" i="31"/>
  <c r="H325" i="31"/>
  <c r="H326" i="31"/>
  <c r="H327" i="31"/>
  <c r="H328" i="31"/>
  <c r="H329" i="31"/>
  <c r="H330" i="31"/>
  <c r="H331" i="31"/>
  <c r="H332" i="31"/>
  <c r="H333" i="31"/>
  <c r="H334" i="31"/>
  <c r="H335" i="31"/>
  <c r="H336" i="31"/>
  <c r="H337" i="31"/>
  <c r="H338" i="31"/>
  <c r="H339" i="31"/>
  <c r="H340" i="31"/>
  <c r="H341" i="31"/>
  <c r="H342" i="31"/>
  <c r="H343" i="31"/>
  <c r="H344" i="31"/>
  <c r="H345" i="31"/>
  <c r="H346" i="31"/>
  <c r="H347" i="31"/>
  <c r="H348" i="31"/>
  <c r="H349" i="31"/>
  <c r="H350" i="31"/>
  <c r="H351" i="31"/>
  <c r="H352" i="31"/>
  <c r="H353" i="31"/>
  <c r="H354" i="31"/>
  <c r="H355" i="31"/>
  <c r="H356" i="31"/>
  <c r="H357" i="31"/>
  <c r="H358" i="31"/>
  <c r="H359" i="31"/>
  <c r="H360" i="31"/>
  <c r="H361" i="31"/>
  <c r="H362" i="31"/>
  <c r="H363" i="31"/>
  <c r="H364" i="31"/>
  <c r="H365" i="31"/>
  <c r="H366" i="31"/>
  <c r="H367" i="31"/>
  <c r="H368" i="31"/>
  <c r="H369" i="31"/>
  <c r="H370" i="31"/>
  <c r="H371" i="31"/>
  <c r="H372" i="31"/>
  <c r="H373" i="31"/>
  <c r="H374" i="31"/>
  <c r="H375" i="31"/>
  <c r="H376" i="31"/>
  <c r="H377" i="31"/>
  <c r="H378" i="31"/>
  <c r="H379" i="31"/>
  <c r="H380" i="31"/>
  <c r="H381" i="31"/>
  <c r="H382" i="31"/>
  <c r="H383" i="31"/>
  <c r="H384" i="31"/>
  <c r="H385" i="31"/>
  <c r="H386" i="31"/>
  <c r="H387" i="31"/>
  <c r="H388" i="31"/>
  <c r="H389" i="31"/>
  <c r="H390" i="31"/>
  <c r="H391" i="31"/>
  <c r="H392" i="31"/>
  <c r="H393" i="31"/>
  <c r="H394" i="31"/>
  <c r="H395" i="31"/>
  <c r="H396" i="31"/>
  <c r="H397" i="31"/>
  <c r="H398" i="31"/>
  <c r="H399" i="31"/>
  <c r="H400" i="31"/>
  <c r="H401" i="31"/>
  <c r="H402" i="31"/>
  <c r="H403" i="31"/>
  <c r="H404" i="31"/>
  <c r="H405" i="31"/>
  <c r="H406" i="31"/>
  <c r="H407" i="31"/>
  <c r="H408" i="31"/>
  <c r="H409" i="31"/>
  <c r="H410" i="31"/>
  <c r="H411" i="31"/>
  <c r="H412" i="31"/>
  <c r="H413" i="31"/>
  <c r="H414" i="31"/>
  <c r="H415" i="31"/>
  <c r="H416" i="31"/>
  <c r="H417" i="31"/>
  <c r="H418" i="31"/>
  <c r="H419" i="31"/>
  <c r="H420" i="31"/>
  <c r="H421" i="31"/>
  <c r="H422" i="31"/>
  <c r="H423" i="31"/>
  <c r="H424" i="31"/>
  <c r="H425" i="31"/>
  <c r="H426" i="31"/>
  <c r="H427" i="31"/>
  <c r="H428" i="31"/>
  <c r="H429" i="31"/>
  <c r="H430" i="31"/>
  <c r="H431" i="31"/>
  <c r="H432" i="31"/>
  <c r="H433" i="31"/>
  <c r="H434" i="31"/>
  <c r="H435" i="31"/>
  <c r="H436" i="31"/>
  <c r="H437" i="31"/>
  <c r="H438" i="31"/>
  <c r="H439" i="31"/>
  <c r="H440" i="31"/>
  <c r="H441" i="31"/>
  <c r="H222" i="31"/>
  <c r="C222" i="31"/>
  <c r="B222" i="31"/>
  <c r="Y222" i="31"/>
  <c r="H3" i="31"/>
  <c r="H4" i="31"/>
  <c r="H5" i="3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45" i="31"/>
  <c r="H46" i="31"/>
  <c r="H47" i="31"/>
  <c r="H48" i="31"/>
  <c r="H49" i="31"/>
  <c r="H50" i="31"/>
  <c r="H51" i="31"/>
  <c r="H52" i="31"/>
  <c r="H53" i="31"/>
  <c r="H54" i="31"/>
  <c r="H55" i="31"/>
  <c r="H56" i="31"/>
  <c r="H57" i="31"/>
  <c r="H58" i="31"/>
  <c r="H59" i="31"/>
  <c r="H60" i="31"/>
  <c r="H61" i="31"/>
  <c r="H62" i="31"/>
  <c r="H63" i="31"/>
  <c r="H64" i="31"/>
  <c r="H65" i="31"/>
  <c r="H66" i="31"/>
  <c r="H67" i="31"/>
  <c r="H68" i="31"/>
  <c r="H69" i="31"/>
  <c r="H70" i="31"/>
  <c r="H71" i="31"/>
  <c r="H72" i="31"/>
  <c r="H73" i="31"/>
  <c r="H74" i="31"/>
  <c r="H75" i="31"/>
  <c r="H76" i="31"/>
  <c r="H77" i="31"/>
  <c r="H78" i="31"/>
  <c r="H79" i="31"/>
  <c r="H80" i="31"/>
  <c r="H81" i="31"/>
  <c r="H82" i="31"/>
  <c r="H83" i="31"/>
  <c r="H84" i="31"/>
  <c r="H85" i="31"/>
  <c r="H86" i="31"/>
  <c r="H87" i="31"/>
  <c r="H88" i="31"/>
  <c r="H89" i="31"/>
  <c r="H90" i="31"/>
  <c r="H91" i="31"/>
  <c r="H92" i="31"/>
  <c r="H93" i="31"/>
  <c r="H94" i="31"/>
  <c r="H95" i="31"/>
  <c r="H96" i="31"/>
  <c r="H97" i="31"/>
  <c r="H98" i="31"/>
  <c r="H99" i="31"/>
  <c r="H100" i="31"/>
  <c r="H101" i="31"/>
  <c r="H102" i="31"/>
  <c r="H103" i="31"/>
  <c r="H104" i="31"/>
  <c r="H105" i="31"/>
  <c r="H106" i="31"/>
  <c r="H107" i="31"/>
  <c r="H108" i="31"/>
  <c r="H109" i="31"/>
  <c r="H110" i="31"/>
  <c r="H111" i="31"/>
  <c r="H112" i="31"/>
  <c r="H113" i="31"/>
  <c r="H114" i="31"/>
  <c r="H115" i="31"/>
  <c r="H116" i="31"/>
  <c r="H117" i="31"/>
  <c r="H118" i="31"/>
  <c r="H119" i="31"/>
  <c r="H120" i="31"/>
  <c r="H121" i="31"/>
  <c r="H122" i="31"/>
  <c r="H123" i="31"/>
  <c r="H124" i="31"/>
  <c r="H125" i="31"/>
  <c r="H126" i="31"/>
  <c r="H127" i="31"/>
  <c r="H128" i="31"/>
  <c r="H129" i="31"/>
  <c r="H130" i="31"/>
  <c r="H131" i="31"/>
  <c r="H132" i="31"/>
  <c r="H133" i="31"/>
  <c r="H134" i="31"/>
  <c r="H135" i="31"/>
  <c r="H136" i="31"/>
  <c r="H137" i="31"/>
  <c r="H138" i="31"/>
  <c r="H139" i="31"/>
  <c r="H140" i="31"/>
  <c r="H141" i="31"/>
  <c r="H142" i="31"/>
  <c r="H143" i="31"/>
  <c r="H144" i="31"/>
  <c r="H145" i="31"/>
  <c r="H146" i="31"/>
  <c r="H147" i="31"/>
  <c r="H148" i="31"/>
  <c r="H149" i="31"/>
  <c r="H150" i="31"/>
  <c r="H151" i="31"/>
  <c r="H152" i="31"/>
  <c r="H153" i="31"/>
  <c r="H154" i="31"/>
  <c r="H155" i="31"/>
  <c r="H156" i="31"/>
  <c r="H157" i="31"/>
  <c r="H158" i="31"/>
  <c r="H159" i="31"/>
  <c r="H160" i="31"/>
  <c r="H161" i="31"/>
  <c r="H162" i="31"/>
  <c r="H163" i="31"/>
  <c r="H164" i="31"/>
  <c r="H165" i="31"/>
  <c r="H166" i="31"/>
  <c r="H167" i="31"/>
  <c r="H168" i="31"/>
  <c r="H169" i="31"/>
  <c r="H170" i="31"/>
  <c r="H171" i="31"/>
  <c r="H172" i="31"/>
  <c r="H173" i="31"/>
  <c r="H174" i="31"/>
  <c r="H175" i="31"/>
  <c r="H176" i="31"/>
  <c r="H177" i="31"/>
  <c r="H178" i="31"/>
  <c r="H179" i="31"/>
  <c r="H180" i="31"/>
  <c r="H181" i="31"/>
  <c r="H182" i="31"/>
  <c r="H183" i="31"/>
  <c r="H184" i="31"/>
  <c r="H185" i="31"/>
  <c r="H186" i="31"/>
  <c r="H187" i="31"/>
  <c r="H188" i="31"/>
  <c r="H189" i="31"/>
  <c r="H190" i="31"/>
  <c r="H191" i="31"/>
  <c r="H192" i="31"/>
  <c r="H193" i="31"/>
  <c r="H194" i="31"/>
  <c r="H195" i="31"/>
  <c r="H196" i="31"/>
  <c r="H197" i="31"/>
  <c r="H198" i="31"/>
  <c r="H199" i="31"/>
  <c r="H200" i="31"/>
  <c r="H201" i="31"/>
  <c r="H202" i="31"/>
  <c r="H203" i="31"/>
  <c r="H204" i="31"/>
  <c r="H205" i="31"/>
  <c r="H206" i="31"/>
  <c r="H207" i="31"/>
  <c r="H208" i="31"/>
  <c r="H209" i="31"/>
  <c r="H210" i="31"/>
  <c r="H211" i="31"/>
  <c r="H212" i="31"/>
  <c r="H213" i="31"/>
  <c r="H214" i="31"/>
  <c r="H215" i="31"/>
  <c r="H216" i="31"/>
  <c r="H217" i="31"/>
  <c r="H218" i="31"/>
  <c r="H219" i="31"/>
  <c r="H220" i="31"/>
  <c r="H221" i="31"/>
  <c r="H2" i="31"/>
  <c r="AL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Y3" i="31"/>
  <c r="Y4" i="31"/>
  <c r="Y5" i="31"/>
  <c r="Y6" i="31"/>
  <c r="Y7" i="31"/>
  <c r="Y8" i="31"/>
  <c r="Y9" i="31"/>
  <c r="Y10" i="31"/>
  <c r="Y11" i="31"/>
  <c r="Y12" i="31"/>
  <c r="Y13" i="31"/>
  <c r="Y14" i="31"/>
  <c r="Y15" i="31"/>
  <c r="Y16" i="31"/>
  <c r="Y17" i="31"/>
  <c r="Y18" i="31"/>
  <c r="Y19" i="31"/>
  <c r="Y20" i="31"/>
  <c r="Y21" i="31"/>
  <c r="Y22" i="31"/>
  <c r="Y23" i="31"/>
  <c r="Y24" i="31"/>
  <c r="Y25" i="31"/>
  <c r="Y26" i="31"/>
  <c r="Y27" i="31"/>
  <c r="Y28" i="31"/>
  <c r="Y29" i="31"/>
  <c r="Y30" i="31"/>
  <c r="Y31" i="31"/>
  <c r="Y32" i="31"/>
  <c r="Y33" i="31"/>
  <c r="Y34" i="31"/>
  <c r="Y35" i="31"/>
  <c r="Y36" i="31"/>
  <c r="Y37" i="31"/>
  <c r="Y38" i="31"/>
  <c r="Y39" i="31"/>
  <c r="Y40" i="31"/>
  <c r="Y41" i="31"/>
  <c r="Y42" i="31"/>
  <c r="Y43" i="31"/>
  <c r="Y44" i="31"/>
  <c r="Y45" i="31"/>
  <c r="Y46" i="31"/>
  <c r="Y47" i="31"/>
  <c r="Y48" i="31"/>
  <c r="Y49" i="31"/>
  <c r="Y50" i="31"/>
  <c r="Y51" i="31"/>
  <c r="Y52" i="31"/>
  <c r="Y53" i="31"/>
  <c r="Y54" i="31"/>
  <c r="Y55" i="31"/>
  <c r="Y56" i="31"/>
  <c r="Y57" i="31"/>
  <c r="Y58" i="31"/>
  <c r="Y59" i="31"/>
  <c r="Y60" i="31"/>
  <c r="Y61" i="31"/>
  <c r="Y62" i="31"/>
  <c r="Y63" i="31"/>
  <c r="Y64" i="31"/>
  <c r="Y65" i="31"/>
  <c r="Y66" i="31"/>
  <c r="Y67" i="31"/>
  <c r="Y68" i="31"/>
  <c r="Y69" i="31"/>
  <c r="Y70" i="31"/>
  <c r="Y71" i="31"/>
  <c r="Y72" i="31"/>
  <c r="Y73" i="31"/>
  <c r="Y74" i="31"/>
  <c r="Y75" i="31"/>
  <c r="Y76" i="31"/>
  <c r="Y77" i="31"/>
  <c r="Y78" i="31"/>
  <c r="Y79" i="31"/>
  <c r="Y80" i="31"/>
  <c r="Y81" i="31"/>
  <c r="Y82" i="31"/>
  <c r="Y83" i="31"/>
  <c r="Y84" i="31"/>
  <c r="Y85" i="31"/>
  <c r="Y86" i="31"/>
  <c r="Y87" i="31"/>
  <c r="Y88" i="31"/>
  <c r="Y89" i="31"/>
  <c r="Y90" i="31"/>
  <c r="Y91" i="31"/>
  <c r="Y92" i="31"/>
  <c r="Y93" i="31"/>
  <c r="Y94" i="31"/>
  <c r="Y95" i="31"/>
  <c r="Y96" i="31"/>
  <c r="Y97" i="31"/>
  <c r="Y98" i="31"/>
  <c r="Y99" i="31"/>
  <c r="Y100" i="31"/>
  <c r="Y101" i="31"/>
  <c r="Y102" i="31"/>
  <c r="Y103" i="31"/>
  <c r="Y104" i="31"/>
  <c r="Y105" i="31"/>
  <c r="Y106" i="31"/>
  <c r="Y107" i="31"/>
  <c r="Y108" i="31"/>
  <c r="Y109" i="31"/>
  <c r="Y110" i="31"/>
  <c r="Y111" i="31"/>
  <c r="Y112" i="31"/>
  <c r="Y113" i="31"/>
  <c r="Y114" i="31"/>
  <c r="Y115" i="31"/>
  <c r="Y116" i="31"/>
  <c r="Y117" i="31"/>
  <c r="Y118" i="31"/>
  <c r="Y119" i="31"/>
  <c r="Y120" i="31"/>
  <c r="Y121" i="31"/>
  <c r="Y122" i="31"/>
  <c r="Y123" i="31"/>
  <c r="Y124" i="31"/>
  <c r="Y125" i="31"/>
  <c r="Y126" i="31"/>
  <c r="Y127" i="31"/>
  <c r="Y128" i="31"/>
  <c r="Y129" i="31"/>
  <c r="Y130" i="31"/>
  <c r="Y131" i="31"/>
  <c r="Y132" i="31"/>
  <c r="Y133" i="31"/>
  <c r="Y134" i="31"/>
  <c r="Y135" i="31"/>
  <c r="Y136" i="31"/>
  <c r="Y137" i="31"/>
  <c r="Y138" i="31"/>
  <c r="Y139" i="31"/>
  <c r="Y140" i="31"/>
  <c r="Y141" i="31"/>
  <c r="Y142" i="31"/>
  <c r="Y143" i="31"/>
  <c r="Y144" i="31"/>
  <c r="Y145" i="31"/>
  <c r="Y146" i="31"/>
  <c r="Y147" i="31"/>
  <c r="Y148" i="31"/>
  <c r="Y149" i="31"/>
  <c r="Y150" i="31"/>
  <c r="Y151" i="31"/>
  <c r="Y152" i="31"/>
  <c r="Y153" i="31"/>
  <c r="Y154" i="31"/>
  <c r="Y155" i="31"/>
  <c r="Y156" i="31"/>
  <c r="Y157" i="31"/>
  <c r="Y158" i="31"/>
  <c r="Y159" i="31"/>
  <c r="Y160" i="31"/>
  <c r="Y161" i="31"/>
  <c r="Y162" i="31"/>
  <c r="Y163" i="31"/>
  <c r="Y164" i="31"/>
  <c r="Y165" i="31"/>
  <c r="Y166" i="31"/>
  <c r="Y167" i="31"/>
  <c r="Y168" i="31"/>
  <c r="Y169" i="31"/>
  <c r="Y170" i="31"/>
  <c r="Y171" i="31"/>
  <c r="Y172" i="31"/>
  <c r="Y173" i="31"/>
  <c r="Y174" i="31"/>
  <c r="Y175" i="31"/>
  <c r="Y176" i="31"/>
  <c r="Y177" i="31"/>
  <c r="Y178" i="31"/>
  <c r="Y179" i="31"/>
  <c r="Y180" i="31"/>
  <c r="Y181" i="31"/>
  <c r="Y182" i="31"/>
  <c r="Y183" i="31"/>
  <c r="Y184" i="31"/>
  <c r="Y185" i="31"/>
  <c r="Y186" i="31"/>
  <c r="Y187" i="31"/>
  <c r="Y188" i="31"/>
  <c r="Y189" i="31"/>
  <c r="Y190" i="31"/>
  <c r="Y191" i="31"/>
  <c r="Y192" i="31"/>
  <c r="Y193" i="31"/>
  <c r="Y194" i="31"/>
  <c r="Y195" i="31"/>
  <c r="Y196" i="31"/>
  <c r="Y197" i="31"/>
  <c r="Y198" i="31"/>
  <c r="Y199" i="31"/>
  <c r="Y200" i="31"/>
  <c r="Y201" i="31"/>
  <c r="Y202" i="31"/>
  <c r="Y203" i="31"/>
  <c r="Y204" i="31"/>
  <c r="Y205" i="31"/>
  <c r="Y206" i="31"/>
  <c r="Y207" i="31"/>
  <c r="Y208" i="31"/>
  <c r="Y209" i="31"/>
  <c r="Y210" i="31"/>
  <c r="Y211" i="31"/>
  <c r="Y212" i="31"/>
  <c r="Y213" i="31"/>
  <c r="Y214" i="31"/>
  <c r="Y215" i="31"/>
  <c r="Y216" i="31"/>
  <c r="Y217" i="31"/>
  <c r="Y218" i="31"/>
  <c r="Y219" i="31"/>
  <c r="Y220" i="31"/>
  <c r="Y221" i="31"/>
  <c r="Y2" i="31"/>
  <c r="V2" i="31"/>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K3" i="25"/>
  <c r="AL3" i="25"/>
  <c r="AK4" i="25"/>
  <c r="AL4" i="25"/>
  <c r="AK5" i="25"/>
  <c r="AL5" i="25"/>
  <c r="AK6" i="25"/>
  <c r="AL6" i="25"/>
  <c r="AK7" i="25"/>
  <c r="AL7" i="25"/>
  <c r="AK8" i="25"/>
  <c r="AL8" i="25"/>
  <c r="AK9" i="25"/>
  <c r="AL9" i="25"/>
  <c r="AK10" i="25"/>
  <c r="AL10" i="25"/>
  <c r="AK11" i="25"/>
  <c r="AL11" i="25"/>
  <c r="AK12" i="25"/>
  <c r="AL12" i="25"/>
  <c r="AK13" i="25"/>
  <c r="AL13" i="25"/>
  <c r="AK14" i="25"/>
  <c r="AL14" i="25"/>
  <c r="AK15" i="25"/>
  <c r="AL15" i="25"/>
  <c r="AK16" i="25"/>
  <c r="AL16" i="25"/>
  <c r="AK17" i="25"/>
  <c r="AL17" i="25"/>
  <c r="AK18" i="25"/>
  <c r="AL18" i="25"/>
  <c r="AK19" i="25"/>
  <c r="AL19" i="25"/>
  <c r="AK20" i="25"/>
  <c r="AL20" i="25"/>
  <c r="AK21" i="25"/>
  <c r="AL21" i="25"/>
  <c r="AK22" i="25"/>
  <c r="AL22" i="25"/>
  <c r="AK23" i="25"/>
  <c r="AL23" i="25"/>
  <c r="AK24" i="25"/>
  <c r="AL24" i="25"/>
  <c r="AK25" i="25"/>
  <c r="AL25" i="25"/>
  <c r="AK26" i="25"/>
  <c r="AL26" i="25"/>
  <c r="AK27" i="25"/>
  <c r="AL27" i="25"/>
  <c r="AK28" i="25"/>
  <c r="AL28" i="25"/>
  <c r="AK29" i="25"/>
  <c r="AL29" i="25"/>
  <c r="AK30" i="25"/>
  <c r="AL30" i="25"/>
  <c r="AK31" i="25"/>
  <c r="AL31" i="25"/>
  <c r="AK32" i="25"/>
  <c r="AL32" i="25"/>
  <c r="AK33" i="25"/>
  <c r="AL33" i="25"/>
  <c r="AK34" i="25"/>
  <c r="AL34" i="25"/>
  <c r="AK35" i="25"/>
  <c r="AL35" i="25"/>
  <c r="AK36" i="25"/>
  <c r="AL36" i="25"/>
  <c r="AK37" i="25"/>
  <c r="AL37" i="25"/>
  <c r="AK38" i="25"/>
  <c r="AL38" i="25"/>
  <c r="AK39" i="25"/>
  <c r="AL39" i="25"/>
  <c r="AK40" i="25"/>
  <c r="AL40" i="25"/>
  <c r="AK41" i="25"/>
  <c r="AL41" i="25"/>
  <c r="AK42" i="25"/>
  <c r="AL42" i="25"/>
  <c r="AK43" i="25"/>
  <c r="AL43" i="25"/>
  <c r="AK44" i="25"/>
  <c r="AL44" i="25"/>
  <c r="AK45" i="25"/>
  <c r="AL45" i="25"/>
  <c r="AK46" i="25"/>
  <c r="AL46" i="25"/>
  <c r="AK47" i="25"/>
  <c r="AL47" i="25"/>
  <c r="AK48" i="25"/>
  <c r="AL48" i="25"/>
  <c r="AK49" i="25"/>
  <c r="AL49" i="25"/>
  <c r="AK50" i="25"/>
  <c r="AL50" i="25"/>
  <c r="AK51" i="25"/>
  <c r="AL51" i="25"/>
  <c r="AK52" i="25"/>
  <c r="AL52" i="25"/>
  <c r="AK53" i="25"/>
  <c r="AL53" i="25"/>
  <c r="AK54" i="25"/>
  <c r="AL54" i="25"/>
  <c r="AK55" i="25"/>
  <c r="AL55" i="25"/>
  <c r="AK56" i="25"/>
  <c r="AL56" i="25"/>
  <c r="AK57" i="25"/>
  <c r="AL57" i="25"/>
  <c r="AK58" i="25"/>
  <c r="AL58" i="25"/>
  <c r="AK59" i="25"/>
  <c r="AL59" i="25"/>
  <c r="AK60" i="25"/>
  <c r="AL60" i="25"/>
  <c r="AK61" i="25"/>
  <c r="AL61" i="25"/>
  <c r="AK62" i="25"/>
  <c r="AL62" i="25"/>
  <c r="AK63" i="25"/>
  <c r="AL63" i="25"/>
  <c r="AK64" i="25"/>
  <c r="AL64" i="25"/>
  <c r="AK65" i="25"/>
  <c r="AL65" i="25"/>
  <c r="AK66" i="25"/>
  <c r="AL66" i="25"/>
  <c r="AK67" i="25"/>
  <c r="AL67" i="25"/>
  <c r="AK68" i="25"/>
  <c r="AL68" i="25"/>
  <c r="AK69" i="25"/>
  <c r="AL69" i="25"/>
  <c r="AK70" i="25"/>
  <c r="AL70" i="25"/>
  <c r="AK71" i="25"/>
  <c r="AL71" i="25"/>
  <c r="AK72" i="25"/>
  <c r="AL72" i="25"/>
  <c r="AK73" i="25"/>
  <c r="AL73" i="25"/>
  <c r="AK74" i="25"/>
  <c r="AL74" i="25"/>
  <c r="AK75" i="25"/>
  <c r="AL75" i="25"/>
  <c r="AK76" i="25"/>
  <c r="AL76" i="25"/>
  <c r="AK77" i="25"/>
  <c r="AL77" i="25"/>
  <c r="AK78" i="25"/>
  <c r="AL78" i="25"/>
  <c r="AK79" i="25"/>
  <c r="AL79" i="25"/>
  <c r="AK80" i="25"/>
  <c r="AL80" i="25"/>
  <c r="AK81" i="25"/>
  <c r="AL81" i="25"/>
  <c r="AK82" i="25"/>
  <c r="AL82" i="25"/>
  <c r="AK83" i="25"/>
  <c r="AL83" i="25"/>
  <c r="AK84" i="25"/>
  <c r="AL84" i="25"/>
  <c r="AK85" i="25"/>
  <c r="AL85" i="25"/>
  <c r="AK86" i="25"/>
  <c r="AL86" i="25"/>
  <c r="AK87" i="25"/>
  <c r="AL87" i="25"/>
  <c r="AK88" i="25"/>
  <c r="AL88" i="25"/>
  <c r="AK89" i="25"/>
  <c r="AL89" i="25"/>
  <c r="AK90" i="25"/>
  <c r="AL90" i="25"/>
  <c r="AK91" i="25"/>
  <c r="AL91" i="25"/>
  <c r="AK92" i="25"/>
  <c r="AL92" i="25"/>
  <c r="AK93" i="25"/>
  <c r="AL93" i="25"/>
  <c r="AK94" i="25"/>
  <c r="AL94" i="25"/>
  <c r="AK95" i="25"/>
  <c r="AL95" i="25"/>
  <c r="AK96" i="25"/>
  <c r="AL96" i="25"/>
  <c r="AK97" i="25"/>
  <c r="AL97" i="25"/>
  <c r="AK98" i="25"/>
  <c r="AL98" i="25"/>
  <c r="AK99" i="25"/>
  <c r="AL99" i="25"/>
  <c r="AK100" i="25"/>
  <c r="AL100" i="25"/>
  <c r="AK101" i="25"/>
  <c r="AL101" i="25"/>
  <c r="AK102" i="25"/>
  <c r="AL102" i="25"/>
  <c r="AK103" i="25"/>
  <c r="AL103" i="25"/>
  <c r="AK104" i="25"/>
  <c r="AL104" i="25"/>
  <c r="AK105" i="25"/>
  <c r="AL105" i="25"/>
  <c r="AK106" i="25"/>
  <c r="AL106" i="25"/>
  <c r="AK107" i="25"/>
  <c r="AL107" i="25"/>
  <c r="AK108" i="25"/>
  <c r="AL108" i="25"/>
  <c r="AK109" i="25"/>
  <c r="AL109" i="25"/>
  <c r="AK110" i="25"/>
  <c r="AL110" i="25"/>
  <c r="AK111" i="25"/>
  <c r="AL111" i="25"/>
  <c r="AK112" i="25"/>
  <c r="AL112" i="25"/>
  <c r="AK113" i="25"/>
  <c r="AL113" i="25"/>
  <c r="AK114" i="25"/>
  <c r="AL114" i="25"/>
  <c r="AK115" i="25"/>
  <c r="AL115" i="25"/>
  <c r="AK116" i="25"/>
  <c r="AL116" i="25"/>
  <c r="AK117" i="25"/>
  <c r="AL117" i="25"/>
  <c r="AK118" i="25"/>
  <c r="AL118" i="25"/>
  <c r="AK119" i="25"/>
  <c r="AL119" i="25"/>
  <c r="AK120" i="25"/>
  <c r="AL120" i="25"/>
  <c r="AK121" i="25"/>
  <c r="AL121" i="25"/>
  <c r="AK122" i="25"/>
  <c r="AL122" i="25"/>
  <c r="AK123" i="25"/>
  <c r="AL123" i="25"/>
  <c r="AK124" i="25"/>
  <c r="AL124" i="25"/>
  <c r="AK125" i="25"/>
  <c r="AL125" i="25"/>
  <c r="AK126" i="25"/>
  <c r="AL126" i="25"/>
  <c r="AK127" i="25"/>
  <c r="AL127" i="25"/>
  <c r="AK128" i="25"/>
  <c r="AL128" i="25"/>
  <c r="AK129" i="25"/>
  <c r="AL129" i="25"/>
  <c r="AK130" i="25"/>
  <c r="AL130" i="25"/>
  <c r="AK131" i="25"/>
  <c r="AL131" i="25"/>
  <c r="AK132" i="25"/>
  <c r="AL132" i="25"/>
  <c r="AK133" i="25"/>
  <c r="AL133" i="25"/>
  <c r="AK134" i="25"/>
  <c r="AL134" i="25"/>
  <c r="AK135" i="25"/>
  <c r="AL135" i="25"/>
  <c r="AK136" i="25"/>
  <c r="AL136" i="25"/>
  <c r="AK137" i="25"/>
  <c r="AL137" i="25"/>
  <c r="AK138" i="25"/>
  <c r="AL138" i="25"/>
  <c r="AK139" i="25"/>
  <c r="AL139" i="25"/>
  <c r="AK140" i="25"/>
  <c r="AL140" i="25"/>
  <c r="AK141" i="25"/>
  <c r="AL141" i="25"/>
  <c r="AK142" i="25"/>
  <c r="AL142" i="25"/>
  <c r="AK143" i="25"/>
  <c r="AL143" i="25"/>
  <c r="AK144" i="25"/>
  <c r="AL144" i="25"/>
  <c r="AK145" i="25"/>
  <c r="AL145" i="25"/>
  <c r="AK146" i="25"/>
  <c r="AL146" i="25"/>
  <c r="AK147" i="25"/>
  <c r="AL147" i="25"/>
  <c r="AK148" i="25"/>
  <c r="AL148" i="25"/>
  <c r="AK149" i="25"/>
  <c r="AL149" i="25"/>
  <c r="AK150" i="25"/>
  <c r="AL150" i="25"/>
  <c r="AK151" i="25"/>
  <c r="AL151" i="25"/>
  <c r="AK152" i="25"/>
  <c r="AL152" i="25"/>
  <c r="AK153" i="25"/>
  <c r="AL153" i="25"/>
  <c r="AK154" i="25"/>
  <c r="AL154" i="25"/>
  <c r="AK155" i="25"/>
  <c r="AL155" i="25"/>
  <c r="AK156" i="25"/>
  <c r="AL156" i="25"/>
  <c r="AK157" i="25"/>
  <c r="AL157" i="25"/>
  <c r="AK158" i="25"/>
  <c r="AL158" i="25"/>
  <c r="AK159" i="25"/>
  <c r="AL159" i="25"/>
  <c r="AK160" i="25"/>
  <c r="AL160" i="25"/>
  <c r="AK161" i="25"/>
  <c r="AL161" i="25"/>
  <c r="AK162" i="25"/>
  <c r="AL162" i="25"/>
  <c r="AK163" i="25"/>
  <c r="AL163" i="25"/>
  <c r="AK164" i="25"/>
  <c r="AL164" i="25"/>
  <c r="AK165" i="25"/>
  <c r="AL165" i="25"/>
  <c r="AK166" i="25"/>
  <c r="AL166" i="25"/>
  <c r="AK167" i="25"/>
  <c r="AL167" i="25"/>
  <c r="AK168" i="25"/>
  <c r="AL168" i="25"/>
  <c r="AK169" i="25"/>
  <c r="AL169" i="25"/>
  <c r="AK170" i="25"/>
  <c r="AL170" i="25"/>
  <c r="AK171" i="25"/>
  <c r="AL171" i="25"/>
  <c r="AK172" i="25"/>
  <c r="AL172" i="25"/>
  <c r="AK173" i="25"/>
  <c r="AL173" i="25"/>
  <c r="AK174" i="25"/>
  <c r="AL174" i="25"/>
  <c r="AK175" i="25"/>
  <c r="AL175" i="25"/>
  <c r="AK176" i="25"/>
  <c r="AL176" i="25"/>
  <c r="AK177" i="25"/>
  <c r="AL177" i="25"/>
  <c r="AK178" i="25"/>
  <c r="AL178" i="25"/>
  <c r="AK179" i="25"/>
  <c r="AL179" i="25"/>
  <c r="AK180" i="25"/>
  <c r="AL180" i="25"/>
  <c r="AK181" i="25"/>
  <c r="AL181" i="25"/>
  <c r="AK182" i="25"/>
  <c r="AL182" i="25"/>
  <c r="AK183" i="25"/>
  <c r="AL183" i="25"/>
  <c r="AK184" i="25"/>
  <c r="AL184" i="25"/>
  <c r="AK185" i="25"/>
  <c r="AL185" i="25"/>
  <c r="AK186" i="25"/>
  <c r="AL186" i="25"/>
  <c r="AK187" i="25"/>
  <c r="AL187" i="25"/>
  <c r="AK188" i="25"/>
  <c r="AL188" i="25"/>
  <c r="AK189" i="25"/>
  <c r="AL189" i="25"/>
  <c r="AK190" i="25"/>
  <c r="AL190" i="25"/>
  <c r="AK191" i="25"/>
  <c r="AL191" i="25"/>
  <c r="AK192" i="25"/>
  <c r="AL192" i="25"/>
  <c r="AK193" i="25"/>
  <c r="AL193" i="25"/>
  <c r="AK222" i="25"/>
  <c r="AL222" i="25"/>
  <c r="AK223" i="25"/>
  <c r="AL223" i="25"/>
  <c r="AK224" i="25"/>
  <c r="AL224" i="25"/>
  <c r="AK225" i="25"/>
  <c r="AL225" i="25"/>
  <c r="AK226" i="25"/>
  <c r="AL226" i="25"/>
  <c r="AK227" i="25"/>
  <c r="AL227" i="25"/>
  <c r="AK228" i="25"/>
  <c r="AL228" i="25"/>
  <c r="AK229" i="25"/>
  <c r="AL229" i="25"/>
  <c r="AK230" i="25"/>
  <c r="AL230" i="25"/>
  <c r="AK231" i="25"/>
  <c r="AL231" i="25"/>
  <c r="AK232" i="25"/>
  <c r="AL232" i="25"/>
  <c r="AK233" i="25"/>
  <c r="AL233" i="25"/>
  <c r="AK234" i="25"/>
  <c r="AL234" i="25"/>
  <c r="AK235" i="25"/>
  <c r="AL235" i="25"/>
  <c r="AK236" i="25"/>
  <c r="AL236" i="25"/>
  <c r="AK237" i="25"/>
  <c r="AL237" i="25"/>
  <c r="AK238" i="25"/>
  <c r="AL238" i="25"/>
  <c r="AK239" i="25"/>
  <c r="AL239" i="25"/>
  <c r="AK240" i="25"/>
  <c r="AL240" i="25"/>
  <c r="AK241" i="25"/>
  <c r="AL241" i="25"/>
  <c r="AK242" i="25"/>
  <c r="AL242" i="25"/>
  <c r="AK243" i="25"/>
  <c r="AL243" i="25"/>
  <c r="AK244" i="25"/>
  <c r="AL244" i="25"/>
  <c r="AK245" i="25"/>
  <c r="AL245" i="25"/>
  <c r="AK246" i="25"/>
  <c r="AL246" i="25"/>
  <c r="AK247" i="25"/>
  <c r="AL247" i="25"/>
  <c r="AK248" i="25"/>
  <c r="AL248" i="25"/>
  <c r="AK249" i="25"/>
  <c r="AL249" i="25"/>
  <c r="AK250" i="25"/>
  <c r="AL250" i="25"/>
  <c r="AK251" i="25"/>
  <c r="AL251" i="25"/>
  <c r="AK252" i="25"/>
  <c r="AL252" i="25"/>
  <c r="AK253" i="25"/>
  <c r="AL253" i="25"/>
  <c r="AK254" i="25"/>
  <c r="AL254" i="25"/>
  <c r="AK255" i="25"/>
  <c r="AL255" i="25"/>
  <c r="AK256" i="25"/>
  <c r="AL256" i="25"/>
  <c r="AK257" i="25"/>
  <c r="AL257" i="25"/>
  <c r="AK258" i="25"/>
  <c r="AL258" i="25"/>
  <c r="AK259" i="25"/>
  <c r="AL259" i="25"/>
  <c r="AK260" i="25"/>
  <c r="AL260" i="25"/>
  <c r="AK261" i="25"/>
  <c r="AL261" i="25"/>
  <c r="AK262" i="25"/>
  <c r="AL262" i="25"/>
  <c r="AK263" i="25"/>
  <c r="AL263" i="25"/>
  <c r="AK264" i="25"/>
  <c r="AL264" i="25"/>
  <c r="AK265" i="25"/>
  <c r="AL265" i="25"/>
  <c r="AK266" i="25"/>
  <c r="AL266" i="25"/>
  <c r="AK267" i="25"/>
  <c r="AL267" i="25"/>
  <c r="AK268" i="25"/>
  <c r="AL268" i="25"/>
  <c r="AK269" i="25"/>
  <c r="AL269" i="25"/>
  <c r="AK270" i="25"/>
  <c r="AL270" i="25"/>
  <c r="AK271" i="25"/>
  <c r="AL271" i="25"/>
  <c r="AK272" i="25"/>
  <c r="AL272" i="25"/>
  <c r="AK273" i="25"/>
  <c r="AL273" i="25"/>
  <c r="AK274" i="25"/>
  <c r="AL274" i="25"/>
  <c r="AK275" i="25"/>
  <c r="AL275" i="25"/>
  <c r="AK276" i="25"/>
  <c r="AL276" i="25"/>
  <c r="AK277" i="25"/>
  <c r="AL277" i="25"/>
  <c r="AK278" i="25"/>
  <c r="AL278" i="25"/>
  <c r="AK279" i="25"/>
  <c r="AL279" i="25"/>
  <c r="AK280" i="25"/>
  <c r="AL280" i="25"/>
  <c r="AK281" i="25"/>
  <c r="AL281" i="25"/>
  <c r="AK282" i="25"/>
  <c r="AL282" i="25"/>
  <c r="AK283" i="25"/>
  <c r="AL283" i="25"/>
  <c r="AK284" i="25"/>
  <c r="AL284" i="25"/>
  <c r="AK285" i="25"/>
  <c r="AL285" i="25"/>
  <c r="AK286" i="25"/>
  <c r="AL286" i="25"/>
  <c r="AK287" i="25"/>
  <c r="AL287" i="25"/>
  <c r="AK288" i="25"/>
  <c r="AL288" i="25"/>
  <c r="AK289" i="25"/>
  <c r="AL289" i="25"/>
  <c r="AK290" i="25"/>
  <c r="AL290" i="25"/>
  <c r="AK291" i="25"/>
  <c r="AL291" i="25"/>
  <c r="AK292" i="25"/>
  <c r="AL292" i="25"/>
  <c r="AK293" i="25"/>
  <c r="AL293" i="25"/>
  <c r="AK294" i="25"/>
  <c r="AL294" i="25"/>
  <c r="AK295" i="25"/>
  <c r="AL295" i="25"/>
  <c r="AK296" i="25"/>
  <c r="AL296" i="25"/>
  <c r="AK297" i="25"/>
  <c r="AL297" i="25"/>
  <c r="AK298" i="25"/>
  <c r="AL298" i="25"/>
  <c r="AK299" i="25"/>
  <c r="AL299" i="25"/>
  <c r="AK300" i="25"/>
  <c r="AL300" i="25"/>
  <c r="AK301" i="25"/>
  <c r="AL301" i="25"/>
  <c r="AK302" i="25"/>
  <c r="AL302" i="25"/>
  <c r="AK303" i="25"/>
  <c r="AL303" i="25"/>
  <c r="AK304" i="25"/>
  <c r="AL304" i="25"/>
  <c r="AK305" i="25"/>
  <c r="AL305" i="25"/>
  <c r="AK306" i="25"/>
  <c r="AL306" i="25"/>
  <c r="AK307" i="25"/>
  <c r="AL307" i="25"/>
  <c r="AK308" i="25"/>
  <c r="AL308" i="25"/>
  <c r="AK309" i="25"/>
  <c r="AL309" i="25"/>
  <c r="AK310" i="25"/>
  <c r="AL310" i="25"/>
  <c r="AK311" i="25"/>
  <c r="AL311" i="25"/>
  <c r="AK312" i="25"/>
  <c r="AL312" i="25"/>
  <c r="AK313" i="25"/>
  <c r="AL313" i="25"/>
  <c r="AK314" i="25"/>
  <c r="AL314" i="25"/>
  <c r="AK315" i="25"/>
  <c r="AL315" i="25"/>
  <c r="AK316" i="25"/>
  <c r="AL316" i="25"/>
  <c r="AK317" i="25"/>
  <c r="AL317" i="25"/>
  <c r="AK318" i="25"/>
  <c r="AL318" i="25"/>
  <c r="AK319" i="25"/>
  <c r="AL319" i="25"/>
  <c r="AK320" i="25"/>
  <c r="AL320" i="25"/>
  <c r="AK321" i="25"/>
  <c r="AL321" i="25"/>
  <c r="AK322" i="25"/>
  <c r="AL322" i="25"/>
  <c r="AK323" i="25"/>
  <c r="AL323" i="25"/>
  <c r="AK324" i="25"/>
  <c r="AL324" i="25"/>
  <c r="AK325" i="25"/>
  <c r="AL325" i="25"/>
  <c r="AK326" i="25"/>
  <c r="AL326" i="25"/>
  <c r="AK327" i="25"/>
  <c r="AL327" i="25"/>
  <c r="AK328" i="25"/>
  <c r="AL328" i="25"/>
  <c r="AK329" i="25"/>
  <c r="AL329" i="25"/>
  <c r="AK330" i="25"/>
  <c r="AL330" i="25"/>
  <c r="AK331" i="25"/>
  <c r="AL331" i="25"/>
  <c r="AK332" i="25"/>
  <c r="AL332" i="25"/>
  <c r="AK333" i="25"/>
  <c r="AL333" i="25"/>
  <c r="AK334" i="25"/>
  <c r="AL334" i="25"/>
  <c r="AK335" i="25"/>
  <c r="AL335" i="25"/>
  <c r="AK336" i="25"/>
  <c r="AL336" i="25"/>
  <c r="AK337" i="25"/>
  <c r="AL337" i="25"/>
  <c r="AK338" i="25"/>
  <c r="AL338" i="25"/>
  <c r="AK339" i="25"/>
  <c r="AL339" i="25"/>
  <c r="AK340" i="25"/>
  <c r="AL340" i="25"/>
  <c r="AK341" i="25"/>
  <c r="AL341" i="25"/>
  <c r="AK342" i="25"/>
  <c r="AL342" i="25"/>
  <c r="AK343" i="25"/>
  <c r="AL343" i="25"/>
  <c r="AK344" i="25"/>
  <c r="AL344" i="25"/>
  <c r="AK345" i="25"/>
  <c r="AL345" i="25"/>
  <c r="AK346" i="25"/>
  <c r="AL346" i="25"/>
  <c r="AK347" i="25"/>
  <c r="AL347" i="25"/>
  <c r="AK348" i="25"/>
  <c r="AL348" i="25"/>
  <c r="AK349" i="25"/>
  <c r="AL349" i="25"/>
  <c r="AK350" i="25"/>
  <c r="AL350" i="25"/>
  <c r="AK351" i="25"/>
  <c r="AL351" i="25"/>
  <c r="AK352" i="25"/>
  <c r="AL352" i="25"/>
  <c r="AK353" i="25"/>
  <c r="AL353" i="25"/>
  <c r="AK354" i="25"/>
  <c r="AL354" i="25"/>
  <c r="AK355" i="25"/>
  <c r="AL355" i="25"/>
  <c r="AK356" i="25"/>
  <c r="AL356" i="25"/>
  <c r="AK357" i="25"/>
  <c r="AL357" i="25"/>
  <c r="AK358" i="25"/>
  <c r="AL358" i="25"/>
  <c r="AK359" i="25"/>
  <c r="AL359" i="25"/>
  <c r="AK360" i="25"/>
  <c r="AL360" i="25"/>
  <c r="AK361" i="25"/>
  <c r="AL361" i="25"/>
  <c r="AK362" i="25"/>
  <c r="AL362" i="25"/>
  <c r="AK363" i="25"/>
  <c r="AL363" i="25"/>
  <c r="AK364" i="25"/>
  <c r="AL364" i="25"/>
  <c r="AK365" i="25"/>
  <c r="AL365" i="25"/>
  <c r="AK366" i="25"/>
  <c r="AL366" i="25"/>
  <c r="AK367" i="25"/>
  <c r="AL367" i="25"/>
  <c r="AK368" i="25"/>
  <c r="AL368" i="25"/>
  <c r="AK369" i="25"/>
  <c r="AL369" i="25"/>
  <c r="AK370" i="25"/>
  <c r="AL370" i="25"/>
  <c r="AK371" i="25"/>
  <c r="AL371" i="25"/>
  <c r="AK372" i="25"/>
  <c r="AL372" i="25"/>
  <c r="AK373" i="25"/>
  <c r="AL373" i="25"/>
  <c r="AK374" i="25"/>
  <c r="AL374" i="25"/>
  <c r="AK375" i="25"/>
  <c r="AL375" i="25"/>
  <c r="AK376" i="25"/>
  <c r="AL376" i="25"/>
  <c r="AK377" i="25"/>
  <c r="AL377" i="25"/>
  <c r="AK378" i="25"/>
  <c r="AL378" i="25"/>
  <c r="AK379" i="25"/>
  <c r="AL379" i="25"/>
  <c r="AK380" i="25"/>
  <c r="AL380" i="25"/>
  <c r="AK381" i="25"/>
  <c r="AL381" i="25"/>
  <c r="AK382" i="25"/>
  <c r="AL382" i="25"/>
  <c r="AK383" i="25"/>
  <c r="AL383" i="25"/>
  <c r="AK384" i="25"/>
  <c r="AL384" i="25"/>
  <c r="AK385" i="25"/>
  <c r="AL385" i="25"/>
  <c r="AK386" i="25"/>
  <c r="AL386" i="25"/>
  <c r="AK387" i="25"/>
  <c r="AL387" i="25"/>
  <c r="AK388" i="25"/>
  <c r="AL388" i="25"/>
  <c r="AK389" i="25"/>
  <c r="AL389" i="25"/>
  <c r="AK390" i="25"/>
  <c r="AL390" i="25"/>
  <c r="AK391" i="25"/>
  <c r="AL391" i="25"/>
  <c r="AK392" i="25"/>
  <c r="AL392" i="25"/>
  <c r="AK393" i="25"/>
  <c r="AL393" i="25"/>
  <c r="AK394" i="25"/>
  <c r="AL394" i="25"/>
  <c r="AK395" i="25"/>
  <c r="AL395" i="25"/>
  <c r="AK396" i="25"/>
  <c r="AL396" i="25"/>
  <c r="AK397" i="25"/>
  <c r="AL397" i="25"/>
  <c r="AK398" i="25"/>
  <c r="AL398" i="25"/>
  <c r="AK399" i="25"/>
  <c r="AL399" i="25"/>
  <c r="AK400" i="25"/>
  <c r="AL400" i="25"/>
  <c r="AK401" i="25"/>
  <c r="AL401" i="25"/>
  <c r="AK402" i="25"/>
  <c r="AL402" i="25"/>
  <c r="AK403" i="25"/>
  <c r="AL403" i="25"/>
  <c r="AK404" i="25"/>
  <c r="AL404" i="25"/>
  <c r="AK405" i="25"/>
  <c r="AL405" i="25"/>
  <c r="AK406" i="25"/>
  <c r="AL406" i="25"/>
  <c r="AK407" i="25"/>
  <c r="AL407" i="25"/>
  <c r="AK408" i="25"/>
  <c r="AL408" i="25"/>
  <c r="AK409" i="25"/>
  <c r="AL409" i="25"/>
  <c r="AK410" i="25"/>
  <c r="AL410" i="25"/>
  <c r="AK411" i="25"/>
  <c r="AL411" i="25"/>
  <c r="AK412" i="25"/>
  <c r="AL412" i="25"/>
  <c r="AK413" i="25"/>
  <c r="AL413" i="25"/>
  <c r="AK442" i="25"/>
  <c r="AL442" i="25"/>
  <c r="AK443" i="25"/>
  <c r="AL443" i="25"/>
  <c r="AK444" i="25"/>
  <c r="AL444" i="25"/>
  <c r="AK445" i="25"/>
  <c r="AL445" i="25"/>
  <c r="AK446" i="25"/>
  <c r="AL446" i="25"/>
  <c r="AK447" i="25"/>
  <c r="AL447" i="25"/>
  <c r="AK448" i="25"/>
  <c r="AL448" i="25"/>
  <c r="AK449" i="25"/>
  <c r="AL449" i="25"/>
  <c r="AK450" i="25"/>
  <c r="AL450" i="25"/>
  <c r="AK451" i="25"/>
  <c r="AL451" i="25"/>
  <c r="AK452" i="25"/>
  <c r="AL452" i="25"/>
  <c r="AK453" i="25"/>
  <c r="AL453" i="25"/>
  <c r="AK454" i="25"/>
  <c r="AL454" i="25"/>
  <c r="AK455" i="25"/>
  <c r="AL455" i="25"/>
  <c r="AK456" i="25"/>
  <c r="AL456" i="25"/>
  <c r="AK457" i="25"/>
  <c r="AL457" i="25"/>
  <c r="AK458" i="25"/>
  <c r="AL458" i="25"/>
  <c r="AK459" i="25"/>
  <c r="AL459" i="25"/>
  <c r="AK460" i="25"/>
  <c r="AL460" i="25"/>
  <c r="AK461" i="25"/>
  <c r="AL461" i="25"/>
  <c r="AK462" i="25"/>
  <c r="AL462" i="25"/>
  <c r="AK463" i="25"/>
  <c r="AL463" i="25"/>
  <c r="AK464" i="25"/>
  <c r="AL464" i="25"/>
  <c r="AK465" i="25"/>
  <c r="AL465" i="25"/>
  <c r="AK466" i="25"/>
  <c r="AL466" i="25"/>
  <c r="AK467" i="25"/>
  <c r="AL467" i="25"/>
  <c r="AK468" i="25"/>
  <c r="AL468" i="25"/>
  <c r="AK469" i="25"/>
  <c r="AL469" i="25"/>
  <c r="AK470" i="25"/>
  <c r="AL470" i="25"/>
  <c r="AK471" i="25"/>
  <c r="AL471" i="25"/>
  <c r="AK472" i="25"/>
  <c r="AL472" i="25"/>
  <c r="AK473" i="25"/>
  <c r="AL473" i="25"/>
  <c r="AK474" i="25"/>
  <c r="AL474" i="25"/>
  <c r="AK475" i="25"/>
  <c r="AL475" i="25"/>
  <c r="AK476" i="25"/>
  <c r="AL476" i="25"/>
  <c r="AK477" i="25"/>
  <c r="AL477" i="25"/>
  <c r="AK478" i="25"/>
  <c r="AL478" i="25"/>
  <c r="AK479" i="25"/>
  <c r="AL479" i="25"/>
  <c r="AK480" i="25"/>
  <c r="AL480" i="25"/>
  <c r="AK481" i="25"/>
  <c r="AL481" i="25"/>
  <c r="AK482" i="25"/>
  <c r="AL482" i="25"/>
  <c r="AK483" i="25"/>
  <c r="AL483" i="25"/>
  <c r="AK484" i="25"/>
  <c r="AL484" i="25"/>
  <c r="AK485" i="25"/>
  <c r="AL485" i="25"/>
  <c r="AK486" i="25"/>
  <c r="AL486" i="25"/>
  <c r="AK487" i="25"/>
  <c r="AL487" i="25"/>
  <c r="AK488" i="25"/>
  <c r="AL488" i="25"/>
  <c r="AK489" i="25"/>
  <c r="AL489" i="25"/>
  <c r="AK490" i="25"/>
  <c r="AL490" i="25"/>
  <c r="AK491" i="25"/>
  <c r="AL491" i="25"/>
  <c r="AK492" i="25"/>
  <c r="AL492" i="25"/>
  <c r="AK493" i="25"/>
  <c r="AL493" i="25"/>
  <c r="AK494" i="25"/>
  <c r="AL494" i="25"/>
  <c r="AK495" i="25"/>
  <c r="AL495" i="25"/>
  <c r="AK496" i="25"/>
  <c r="AL496" i="25"/>
  <c r="AK497" i="25"/>
  <c r="AL497" i="25"/>
  <c r="AK498" i="25"/>
  <c r="AL498" i="25"/>
  <c r="AK499" i="25"/>
  <c r="AL499" i="25"/>
  <c r="AK500" i="25"/>
  <c r="AL500" i="25"/>
  <c r="AK501" i="25"/>
  <c r="AL501" i="25"/>
  <c r="AK502" i="25"/>
  <c r="AL502" i="25"/>
  <c r="AK503" i="25"/>
  <c r="AL503" i="25"/>
  <c r="AK504" i="25"/>
  <c r="AL504" i="25"/>
  <c r="AK505" i="25"/>
  <c r="AL505" i="25"/>
  <c r="AK506" i="25"/>
  <c r="AL506" i="25"/>
  <c r="AK507" i="25"/>
  <c r="AL507" i="25"/>
  <c r="AK508" i="25"/>
  <c r="AL508" i="25"/>
  <c r="AK509" i="25"/>
  <c r="AL509" i="25"/>
  <c r="AK510" i="25"/>
  <c r="AL510" i="25"/>
  <c r="AK511" i="25"/>
  <c r="AL511" i="25"/>
  <c r="AK512" i="25"/>
  <c r="AL512" i="25"/>
  <c r="AK513" i="25"/>
  <c r="AL513" i="25"/>
  <c r="AK514" i="25"/>
  <c r="AL514" i="25"/>
  <c r="AK515" i="25"/>
  <c r="AL515" i="25"/>
  <c r="AK516" i="25"/>
  <c r="AL516" i="25"/>
  <c r="AK517" i="25"/>
  <c r="AL517" i="25"/>
  <c r="AK518" i="25"/>
  <c r="AL518" i="25"/>
  <c r="AK519" i="25"/>
  <c r="AL519" i="25"/>
  <c r="AK520" i="25"/>
  <c r="AL520" i="25"/>
  <c r="AK521" i="25"/>
  <c r="AL521" i="25"/>
  <c r="AK522" i="25"/>
  <c r="AL522" i="25"/>
  <c r="AK523" i="25"/>
  <c r="AL523" i="25"/>
  <c r="AK524" i="25"/>
  <c r="AL524" i="25"/>
  <c r="AK525" i="25"/>
  <c r="AL525" i="25"/>
  <c r="AK526" i="25"/>
  <c r="AL526" i="25"/>
  <c r="AK527" i="25"/>
  <c r="AL527" i="25"/>
  <c r="AK528" i="25"/>
  <c r="AL528" i="25"/>
  <c r="AK529" i="25"/>
  <c r="AL529" i="25"/>
  <c r="AK530" i="25"/>
  <c r="AL530" i="25"/>
  <c r="AK531" i="25"/>
  <c r="AL531" i="25"/>
  <c r="AK532" i="25"/>
  <c r="AL532" i="25"/>
  <c r="AK533" i="25"/>
  <c r="AL533" i="25"/>
  <c r="AK534" i="25"/>
  <c r="AL534" i="25"/>
  <c r="AK535" i="25"/>
  <c r="AL535" i="25"/>
  <c r="AK536" i="25"/>
  <c r="AL536" i="25"/>
  <c r="AK537" i="25"/>
  <c r="AL537" i="25"/>
  <c r="AK538" i="25"/>
  <c r="AL538" i="25"/>
  <c r="AK539" i="25"/>
  <c r="AL539" i="25"/>
  <c r="AK540" i="25"/>
  <c r="AL540" i="25"/>
  <c r="AK541" i="25"/>
  <c r="AL541" i="25"/>
  <c r="AK542" i="25"/>
  <c r="AL542" i="25"/>
  <c r="AK543" i="25"/>
  <c r="AL543" i="25"/>
  <c r="AK544" i="25"/>
  <c r="AL544" i="25"/>
  <c r="AK545" i="25"/>
  <c r="AL545" i="25"/>
  <c r="AK546" i="25"/>
  <c r="AL546" i="25"/>
  <c r="AK547" i="25"/>
  <c r="AL547" i="25"/>
  <c r="AK548" i="25"/>
  <c r="AL548" i="25"/>
  <c r="AK549" i="25"/>
  <c r="AL549" i="25"/>
  <c r="AK550" i="25"/>
  <c r="AL550" i="25"/>
  <c r="AK551" i="25"/>
  <c r="AL551" i="25"/>
  <c r="AK552" i="25"/>
  <c r="AL552" i="25"/>
  <c r="AK553" i="25"/>
  <c r="AL553" i="25"/>
  <c r="AK554" i="25"/>
  <c r="AL554" i="25"/>
  <c r="AK555" i="25"/>
  <c r="AL555" i="25"/>
  <c r="AK556" i="25"/>
  <c r="AL556" i="25"/>
  <c r="AK557" i="25"/>
  <c r="AL557" i="25"/>
  <c r="AK558" i="25"/>
  <c r="AL558" i="25"/>
  <c r="AK559" i="25"/>
  <c r="AL559" i="25"/>
  <c r="AK560" i="25"/>
  <c r="AL560" i="25"/>
  <c r="AK561" i="25"/>
  <c r="AL561" i="25"/>
  <c r="AK562" i="25"/>
  <c r="AL562" i="25"/>
  <c r="AK563" i="25"/>
  <c r="AL563" i="25"/>
  <c r="AK564" i="25"/>
  <c r="AL564" i="25"/>
  <c r="AK565" i="25"/>
  <c r="AL565" i="25"/>
  <c r="AK566" i="25"/>
  <c r="AL566" i="25"/>
  <c r="AK567" i="25"/>
  <c r="AL567" i="25"/>
  <c r="AK568" i="25"/>
  <c r="AL568" i="25"/>
  <c r="AK569" i="25"/>
  <c r="AL569" i="25"/>
  <c r="AK570" i="25"/>
  <c r="AL570" i="25"/>
  <c r="AK571" i="25"/>
  <c r="AL571" i="25"/>
  <c r="AK572" i="25"/>
  <c r="AL572" i="25"/>
  <c r="AK573" i="25"/>
  <c r="AL573" i="25"/>
  <c r="AK574" i="25"/>
  <c r="AL574" i="25"/>
  <c r="AK575" i="25"/>
  <c r="AL575" i="25"/>
  <c r="AK576" i="25"/>
  <c r="AL576" i="25"/>
  <c r="AK577" i="25"/>
  <c r="AL577" i="25"/>
  <c r="AK578" i="25"/>
  <c r="AL578" i="25"/>
  <c r="AK579" i="25"/>
  <c r="AL579" i="25"/>
  <c r="AK580" i="25"/>
  <c r="AL580" i="25"/>
  <c r="AK581" i="25"/>
  <c r="AL581" i="25"/>
  <c r="AK582" i="25"/>
  <c r="AL582" i="25"/>
  <c r="AK583" i="25"/>
  <c r="AL583" i="25"/>
  <c r="AK584" i="25"/>
  <c r="AL584" i="25"/>
  <c r="AK585" i="25"/>
  <c r="AL585" i="25"/>
  <c r="AK586" i="25"/>
  <c r="AL586" i="25"/>
  <c r="AK587" i="25"/>
  <c r="AL587" i="25"/>
  <c r="AK588" i="25"/>
  <c r="AL588" i="25"/>
  <c r="AK589" i="25"/>
  <c r="AL589" i="25"/>
  <c r="AK590" i="25"/>
  <c r="AL590" i="25"/>
  <c r="AK591" i="25"/>
  <c r="AL591" i="25"/>
  <c r="AK592" i="25"/>
  <c r="AL592" i="25"/>
  <c r="AK593" i="25"/>
  <c r="AL593" i="25"/>
  <c r="AK594" i="25"/>
  <c r="AL594" i="25"/>
  <c r="AK595" i="25"/>
  <c r="AL595" i="25"/>
  <c r="AK596" i="25"/>
  <c r="AL596" i="25"/>
  <c r="AK597" i="25"/>
  <c r="AL597" i="25"/>
  <c r="AK598" i="25"/>
  <c r="AL598" i="25"/>
  <c r="AK599" i="25"/>
  <c r="AL599" i="25"/>
  <c r="AK600" i="25"/>
  <c r="AL600" i="25"/>
  <c r="AK601" i="25"/>
  <c r="AL601" i="25"/>
  <c r="AK602" i="25"/>
  <c r="AL602" i="25"/>
  <c r="AK603" i="25"/>
  <c r="AL603" i="25"/>
  <c r="AK604" i="25"/>
  <c r="AL604" i="25"/>
  <c r="AK605" i="25"/>
  <c r="AL605" i="25"/>
  <c r="AK606" i="25"/>
  <c r="AL606" i="25"/>
  <c r="AK607" i="25"/>
  <c r="AL607" i="25"/>
  <c r="AK608" i="25"/>
  <c r="AL608" i="25"/>
  <c r="AK609" i="25"/>
  <c r="AL609" i="25"/>
  <c r="AK610" i="25"/>
  <c r="AL610" i="25"/>
  <c r="AK611" i="25"/>
  <c r="AL611" i="25"/>
  <c r="AK612" i="25"/>
  <c r="AL612" i="25"/>
  <c r="AK613" i="25"/>
  <c r="AL613" i="25"/>
  <c r="AK614" i="25"/>
  <c r="AL614" i="25"/>
  <c r="AK615" i="25"/>
  <c r="AL615" i="25"/>
  <c r="AK616" i="25"/>
  <c r="AL616" i="25"/>
  <c r="AK617" i="25"/>
  <c r="AL617" i="25"/>
  <c r="AK618" i="25"/>
  <c r="AL618" i="25"/>
  <c r="AK619" i="25"/>
  <c r="AL619" i="25"/>
  <c r="AK620" i="25"/>
  <c r="AL620" i="25"/>
  <c r="AK621" i="25"/>
  <c r="AL621" i="25"/>
  <c r="AK622" i="25"/>
  <c r="AL622" i="25"/>
  <c r="AK623" i="25"/>
  <c r="AL623" i="25"/>
  <c r="AK624" i="25"/>
  <c r="AL624" i="25"/>
  <c r="AK625" i="25"/>
  <c r="AL625" i="25"/>
  <c r="AK626" i="25"/>
  <c r="AL626" i="25"/>
  <c r="AK627" i="25"/>
  <c r="AL627" i="25"/>
  <c r="AK628" i="25"/>
  <c r="AL628" i="25"/>
  <c r="AK629" i="25"/>
  <c r="AL629" i="25"/>
  <c r="AK630" i="25"/>
  <c r="AL630" i="25"/>
  <c r="AK631" i="25"/>
  <c r="AL631" i="25"/>
  <c r="AK632" i="25"/>
  <c r="AL632" i="25"/>
  <c r="AK633" i="25"/>
  <c r="AL633" i="25"/>
  <c r="AK662" i="25"/>
  <c r="AL662" i="25"/>
  <c r="AK663" i="25"/>
  <c r="AL663" i="25"/>
  <c r="AK664" i="25"/>
  <c r="AL664" i="25"/>
  <c r="AK665" i="25"/>
  <c r="AL665" i="25"/>
  <c r="AK666" i="25"/>
  <c r="AL666" i="25"/>
  <c r="AK667" i="25"/>
  <c r="AL667" i="25"/>
  <c r="AK668" i="25"/>
  <c r="AL668" i="25"/>
  <c r="AK669" i="25"/>
  <c r="AL669" i="25"/>
  <c r="AK670" i="25"/>
  <c r="AL670" i="25"/>
  <c r="AK671" i="25"/>
  <c r="AL671" i="25"/>
  <c r="AK672" i="25"/>
  <c r="AL672" i="25"/>
  <c r="AK673" i="25"/>
  <c r="AL673" i="25"/>
  <c r="AK674" i="25"/>
  <c r="AL674" i="25"/>
  <c r="AK675" i="25"/>
  <c r="AL675" i="25"/>
  <c r="AK676" i="25"/>
  <c r="AL676" i="25"/>
  <c r="AK677" i="25"/>
  <c r="AL677" i="25"/>
  <c r="AK678" i="25"/>
  <c r="AL678" i="25"/>
  <c r="AK679" i="25"/>
  <c r="AL679" i="25"/>
  <c r="AK680" i="25"/>
  <c r="AL680" i="25"/>
  <c r="AK681" i="25"/>
  <c r="AL681" i="25"/>
  <c r="AK682" i="25"/>
  <c r="AL682" i="25"/>
  <c r="AK683" i="25"/>
  <c r="AL683" i="25"/>
  <c r="AK684" i="25"/>
  <c r="AL684" i="25"/>
  <c r="AK685" i="25"/>
  <c r="AL685" i="25"/>
  <c r="AK686" i="25"/>
  <c r="AL686" i="25"/>
  <c r="AK687" i="25"/>
  <c r="AL687" i="25"/>
  <c r="AK688" i="25"/>
  <c r="AL688" i="25"/>
  <c r="AK689" i="25"/>
  <c r="AL689" i="25"/>
  <c r="AK690" i="25"/>
  <c r="AL690" i="25"/>
  <c r="AK691" i="25"/>
  <c r="AL691" i="25"/>
  <c r="AK692" i="25"/>
  <c r="AL692" i="25"/>
  <c r="AK693" i="25"/>
  <c r="AL693" i="25"/>
  <c r="AK694" i="25"/>
  <c r="AL694" i="25"/>
  <c r="AK695" i="25"/>
  <c r="AL695" i="25"/>
  <c r="AK696" i="25"/>
  <c r="AL696" i="25"/>
  <c r="AK697" i="25"/>
  <c r="AL697" i="25"/>
  <c r="AK698" i="25"/>
  <c r="AL698" i="25"/>
  <c r="AK699" i="25"/>
  <c r="AL699" i="25"/>
  <c r="AK700" i="25"/>
  <c r="AL700" i="25"/>
  <c r="AK701" i="25"/>
  <c r="AL701" i="25"/>
  <c r="AK702" i="25"/>
  <c r="AL702" i="25"/>
  <c r="AK703" i="25"/>
  <c r="AL703" i="25"/>
  <c r="AK704" i="25"/>
  <c r="AL704" i="25"/>
  <c r="AK705" i="25"/>
  <c r="AL705" i="25"/>
  <c r="AK706" i="25"/>
  <c r="AL706" i="25"/>
  <c r="AK707" i="25"/>
  <c r="AL707" i="25"/>
  <c r="AK708" i="25"/>
  <c r="AL708" i="25"/>
  <c r="AK709" i="25"/>
  <c r="AL709" i="25"/>
  <c r="AK710" i="25"/>
  <c r="AL710" i="25"/>
  <c r="AK711" i="25"/>
  <c r="AL711" i="25"/>
  <c r="AK712" i="25"/>
  <c r="AL712" i="25"/>
  <c r="AK713" i="25"/>
  <c r="AL713" i="25"/>
  <c r="AK714" i="25"/>
  <c r="AL714" i="25"/>
  <c r="AK715" i="25"/>
  <c r="AL715" i="25"/>
  <c r="AK716" i="25"/>
  <c r="AL716" i="25"/>
  <c r="AK717" i="25"/>
  <c r="AL717" i="25"/>
  <c r="AK718" i="25"/>
  <c r="AL718" i="25"/>
  <c r="AK719" i="25"/>
  <c r="AL719" i="25"/>
  <c r="AK720" i="25"/>
  <c r="AL720" i="25"/>
  <c r="AK721" i="25"/>
  <c r="AL721" i="25"/>
  <c r="AK722" i="25"/>
  <c r="AL722" i="25"/>
  <c r="AK723" i="25"/>
  <c r="AL723" i="25"/>
  <c r="AK724" i="25"/>
  <c r="AL724" i="25"/>
  <c r="AK725" i="25"/>
  <c r="AL725" i="25"/>
  <c r="AK726" i="25"/>
  <c r="AL726" i="25"/>
  <c r="AK727" i="25"/>
  <c r="AL727" i="25"/>
  <c r="AK728" i="25"/>
  <c r="AL728" i="25"/>
  <c r="AK729" i="25"/>
  <c r="AL729" i="25"/>
  <c r="AK730" i="25"/>
  <c r="AL730" i="25"/>
  <c r="AK731" i="25"/>
  <c r="AL731" i="25"/>
  <c r="AK732" i="25"/>
  <c r="AL732" i="25"/>
  <c r="AK733" i="25"/>
  <c r="AL733" i="25"/>
  <c r="AK734" i="25"/>
  <c r="AL734" i="25"/>
  <c r="AK735" i="25"/>
  <c r="AL735" i="25"/>
  <c r="AK736" i="25"/>
  <c r="AL736" i="25"/>
  <c r="AK737" i="25"/>
  <c r="AL737" i="25"/>
  <c r="AK738" i="25"/>
  <c r="AL738" i="25"/>
  <c r="AK739" i="25"/>
  <c r="AL739" i="25"/>
  <c r="AK740" i="25"/>
  <c r="AL740" i="25"/>
  <c r="AK741" i="25"/>
  <c r="AL741" i="25"/>
  <c r="AK742" i="25"/>
  <c r="AL742" i="25"/>
  <c r="AK743" i="25"/>
  <c r="AL743" i="25"/>
  <c r="AK744" i="25"/>
  <c r="AL744" i="25"/>
  <c r="AK745" i="25"/>
  <c r="AL745" i="25"/>
  <c r="AK746" i="25"/>
  <c r="AL746" i="25"/>
  <c r="AK747" i="25"/>
  <c r="AL747" i="25"/>
  <c r="AK748" i="25"/>
  <c r="AL748" i="25"/>
  <c r="AK749" i="25"/>
  <c r="AL749" i="25"/>
  <c r="AK750" i="25"/>
  <c r="AL750" i="25"/>
  <c r="AK751" i="25"/>
  <c r="AL751" i="25"/>
  <c r="AK752" i="25"/>
  <c r="AL752" i="25"/>
  <c r="AK753" i="25"/>
  <c r="AL753" i="25"/>
  <c r="AK754" i="25"/>
  <c r="AL754" i="25"/>
  <c r="AK755" i="25"/>
  <c r="AL755" i="25"/>
  <c r="AK756" i="25"/>
  <c r="AL756" i="25"/>
  <c r="AK757" i="25"/>
  <c r="AL757" i="25"/>
  <c r="AK758" i="25"/>
  <c r="AL758" i="25"/>
  <c r="AK759" i="25"/>
  <c r="AL759" i="25"/>
  <c r="AK760" i="25"/>
  <c r="AL760" i="25"/>
  <c r="AK761" i="25"/>
  <c r="AL761" i="25"/>
  <c r="AK762" i="25"/>
  <c r="AL762" i="25"/>
  <c r="AK763" i="25"/>
  <c r="AL763" i="25"/>
  <c r="AK764" i="25"/>
  <c r="AL764" i="25"/>
  <c r="AK765" i="25"/>
  <c r="AL765" i="25"/>
  <c r="AK766" i="25"/>
  <c r="AL766" i="25"/>
  <c r="AK767" i="25"/>
  <c r="AL767" i="25"/>
  <c r="AK768" i="25"/>
  <c r="AL768" i="25"/>
  <c r="AK769" i="25"/>
  <c r="AL769" i="25"/>
  <c r="AK770" i="25"/>
  <c r="AL770" i="25"/>
  <c r="AK771" i="25"/>
  <c r="AL771" i="25"/>
  <c r="AK772" i="25"/>
  <c r="AL772" i="25"/>
  <c r="AK773" i="25"/>
  <c r="AL773" i="25"/>
  <c r="AK774" i="25"/>
  <c r="AL774" i="25"/>
  <c r="AK775" i="25"/>
  <c r="AL775" i="25"/>
  <c r="AK776" i="25"/>
  <c r="AL776" i="25"/>
  <c r="AK777" i="25"/>
  <c r="AL777" i="25"/>
  <c r="AK778" i="25"/>
  <c r="AL778" i="25"/>
  <c r="AK779" i="25"/>
  <c r="AL779" i="25"/>
  <c r="AK780" i="25"/>
  <c r="AL780" i="25"/>
  <c r="AK781" i="25"/>
  <c r="AL781" i="25"/>
  <c r="AK782" i="25"/>
  <c r="AL782" i="25"/>
  <c r="AK783" i="25"/>
  <c r="AL783" i="25"/>
  <c r="AK784" i="25"/>
  <c r="AL784" i="25"/>
  <c r="AK785" i="25"/>
  <c r="AL785" i="25"/>
  <c r="AK786" i="25"/>
  <c r="AL786" i="25"/>
  <c r="AK787" i="25"/>
  <c r="AL787" i="25"/>
  <c r="AK788" i="25"/>
  <c r="AL788" i="25"/>
  <c r="AK789" i="25"/>
  <c r="AL789" i="25"/>
  <c r="AK790" i="25"/>
  <c r="AL790" i="25"/>
  <c r="AK791" i="25"/>
  <c r="AL791" i="25"/>
  <c r="AK792" i="25"/>
  <c r="AL792" i="25"/>
  <c r="AK793" i="25"/>
  <c r="AL793" i="25"/>
  <c r="AK794" i="25"/>
  <c r="AL794" i="25"/>
  <c r="AK795" i="25"/>
  <c r="AL795" i="25"/>
  <c r="AK796" i="25"/>
  <c r="AL796" i="25"/>
  <c r="AK797" i="25"/>
  <c r="AL797" i="25"/>
  <c r="AK798" i="25"/>
  <c r="AL798" i="25"/>
  <c r="AK799" i="25"/>
  <c r="AL799" i="25"/>
  <c r="AK800" i="25"/>
  <c r="AL800" i="25"/>
  <c r="AK801" i="25"/>
  <c r="AL801" i="25"/>
  <c r="AK802" i="25"/>
  <c r="AL802" i="25"/>
  <c r="AK803" i="25"/>
  <c r="AL803" i="25"/>
  <c r="AK804" i="25"/>
  <c r="AL804" i="25"/>
  <c r="AK805" i="25"/>
  <c r="AL805" i="25"/>
  <c r="AK806" i="25"/>
  <c r="AL806" i="25"/>
  <c r="AK807" i="25"/>
  <c r="AL807" i="25"/>
  <c r="AK808" i="25"/>
  <c r="AL808" i="25"/>
  <c r="AK809" i="25"/>
  <c r="AL809" i="25"/>
  <c r="AK810" i="25"/>
  <c r="AL810" i="25"/>
  <c r="AK811" i="25"/>
  <c r="AL811" i="25"/>
  <c r="AK812" i="25"/>
  <c r="AL812" i="25"/>
  <c r="AK813" i="25"/>
  <c r="AL813" i="25"/>
  <c r="AK814" i="25"/>
  <c r="AL814" i="25"/>
  <c r="AK815" i="25"/>
  <c r="AL815" i="25"/>
  <c r="AK816" i="25"/>
  <c r="AL816" i="25"/>
  <c r="AK817" i="25"/>
  <c r="AL817" i="25"/>
  <c r="AK818" i="25"/>
  <c r="AL818" i="25"/>
  <c r="AK819" i="25"/>
  <c r="AL819" i="25"/>
  <c r="AK820" i="25"/>
  <c r="AL820" i="25"/>
  <c r="AK821" i="25"/>
  <c r="AL821" i="25"/>
  <c r="AK822" i="25"/>
  <c r="AL822" i="25"/>
  <c r="AK823" i="25"/>
  <c r="AL823" i="25"/>
  <c r="AK824" i="25"/>
  <c r="AL824" i="25"/>
  <c r="AK825" i="25"/>
  <c r="AL825" i="25"/>
  <c r="AK826" i="25"/>
  <c r="AL826" i="25"/>
  <c r="AK827" i="25"/>
  <c r="AL827" i="25"/>
  <c r="AK828" i="25"/>
  <c r="AL828" i="25"/>
  <c r="AK829" i="25"/>
  <c r="AL829" i="25"/>
  <c r="AK830" i="25"/>
  <c r="AL830" i="25"/>
  <c r="AK831" i="25"/>
  <c r="AL831" i="25"/>
  <c r="AK832" i="25"/>
  <c r="AL832" i="25"/>
  <c r="AK833" i="25"/>
  <c r="AL833" i="25"/>
  <c r="AK834" i="25"/>
  <c r="AL834" i="25"/>
  <c r="AK835" i="25"/>
  <c r="AL835" i="25"/>
  <c r="AK836" i="25"/>
  <c r="AL836" i="25"/>
  <c r="AK837" i="25"/>
  <c r="AL837" i="25"/>
  <c r="AK838" i="25"/>
  <c r="AL838" i="25"/>
  <c r="AK839" i="25"/>
  <c r="AL839" i="25"/>
  <c r="AK840" i="25"/>
  <c r="AL840" i="25"/>
  <c r="AK841" i="25"/>
  <c r="AL841" i="25"/>
  <c r="AK842" i="25"/>
  <c r="AL842" i="25"/>
  <c r="AK843" i="25"/>
  <c r="AL843" i="25"/>
  <c r="AK844" i="25"/>
  <c r="AL844" i="25"/>
  <c r="AK845" i="25"/>
  <c r="AL845" i="25"/>
  <c r="AK846" i="25"/>
  <c r="AL846" i="25"/>
  <c r="AK847" i="25"/>
  <c r="AL847" i="25"/>
  <c r="AK848" i="25"/>
  <c r="AL848" i="25"/>
  <c r="AK849" i="25"/>
  <c r="AL849" i="25"/>
  <c r="AK850" i="25"/>
  <c r="AL850" i="25"/>
  <c r="AK851" i="25"/>
  <c r="AL851" i="25"/>
  <c r="AK852" i="25"/>
  <c r="AL852" i="25"/>
  <c r="AK853" i="25"/>
  <c r="AL853" i="25"/>
  <c r="AK2" i="25"/>
  <c r="AL2" i="25"/>
  <c r="U662" i="25"/>
  <c r="U442" i="25"/>
  <c r="U2" i="25"/>
  <c r="AE222" i="25"/>
  <c r="AF222" i="25"/>
  <c r="AG222" i="25"/>
  <c r="AH222" i="25"/>
  <c r="AE442" i="25"/>
  <c r="AF442" i="25"/>
  <c r="AG442" i="25"/>
  <c r="AH442" i="25"/>
  <c r="AE663" i="25"/>
  <c r="AF663" i="25"/>
  <c r="AG663" i="25"/>
  <c r="AH663" i="25"/>
  <c r="AE664" i="25"/>
  <c r="AF664" i="25"/>
  <c r="AG664" i="25"/>
  <c r="AH664" i="25"/>
  <c r="AE665" i="25"/>
  <c r="AF665" i="25"/>
  <c r="AG665" i="25"/>
  <c r="AH665" i="25"/>
  <c r="AE666" i="25"/>
  <c r="AF666" i="25"/>
  <c r="AG666" i="25"/>
  <c r="AH666" i="25"/>
  <c r="AE667" i="25"/>
  <c r="AF667" i="25"/>
  <c r="AG667" i="25"/>
  <c r="AH667" i="25"/>
  <c r="AE668" i="25"/>
  <c r="AF668" i="25"/>
  <c r="AG668" i="25"/>
  <c r="AH668" i="25"/>
  <c r="AE669" i="25"/>
  <c r="AF669" i="25"/>
  <c r="AG669" i="25"/>
  <c r="AH669" i="25"/>
  <c r="AE670" i="25"/>
  <c r="AF670" i="25"/>
  <c r="AG670" i="25"/>
  <c r="AH670" i="25"/>
  <c r="AE671" i="25"/>
  <c r="AF671" i="25"/>
  <c r="AG671" i="25"/>
  <c r="AH671" i="25"/>
  <c r="AE672" i="25"/>
  <c r="AF672" i="25"/>
  <c r="AG672" i="25"/>
  <c r="AH672" i="25"/>
  <c r="AE673" i="25"/>
  <c r="AF673" i="25"/>
  <c r="AG673" i="25"/>
  <c r="AH673" i="25"/>
  <c r="AE674" i="25"/>
  <c r="AF674" i="25"/>
  <c r="AG674" i="25"/>
  <c r="AH674" i="25"/>
  <c r="AE675" i="25"/>
  <c r="AF675" i="25"/>
  <c r="AG675" i="25"/>
  <c r="AH675" i="25"/>
  <c r="AE676" i="25"/>
  <c r="AF676" i="25"/>
  <c r="AG676" i="25"/>
  <c r="AH676" i="25"/>
  <c r="AE677" i="25"/>
  <c r="AF677" i="25"/>
  <c r="AG677" i="25"/>
  <c r="AH677" i="25"/>
  <c r="AE678" i="25"/>
  <c r="AF678" i="25"/>
  <c r="AG678" i="25"/>
  <c r="AH678" i="25"/>
  <c r="AE679" i="25"/>
  <c r="AF679" i="25"/>
  <c r="AG679" i="25"/>
  <c r="AH679" i="25"/>
  <c r="AE680" i="25"/>
  <c r="AF680" i="25"/>
  <c r="AG680" i="25"/>
  <c r="AH680" i="25"/>
  <c r="AE681" i="25"/>
  <c r="AF681" i="25"/>
  <c r="AG681" i="25"/>
  <c r="AH681" i="25"/>
  <c r="AE682" i="25"/>
  <c r="AF682" i="25"/>
  <c r="AG682" i="25"/>
  <c r="AH682" i="25"/>
  <c r="AE683" i="25"/>
  <c r="AF683" i="25"/>
  <c r="AG683" i="25"/>
  <c r="AH683" i="25"/>
  <c r="AE684" i="25"/>
  <c r="AF684" i="25"/>
  <c r="AG684" i="25"/>
  <c r="AH684" i="25"/>
  <c r="AE685" i="25"/>
  <c r="AF685" i="25"/>
  <c r="AG685" i="25"/>
  <c r="AH685" i="25"/>
  <c r="AE686" i="25"/>
  <c r="AF686" i="25"/>
  <c r="AG686" i="25"/>
  <c r="AH686" i="25"/>
  <c r="AE687" i="25"/>
  <c r="AF687" i="25"/>
  <c r="AG687" i="25"/>
  <c r="AH687" i="25"/>
  <c r="AE688" i="25"/>
  <c r="AF688" i="25"/>
  <c r="AG688" i="25"/>
  <c r="AH688" i="25"/>
  <c r="AE689" i="25"/>
  <c r="AF689" i="25"/>
  <c r="AG689" i="25"/>
  <c r="AH689" i="25"/>
  <c r="AE690" i="25"/>
  <c r="AF690" i="25"/>
  <c r="AG690" i="25"/>
  <c r="AH690" i="25"/>
  <c r="AE691" i="25"/>
  <c r="AF691" i="25"/>
  <c r="AG691" i="25"/>
  <c r="AH691" i="25"/>
  <c r="AE692" i="25"/>
  <c r="AF692" i="25"/>
  <c r="AG692" i="25"/>
  <c r="AH692" i="25"/>
  <c r="AE693" i="25"/>
  <c r="AF693" i="25"/>
  <c r="AG693" i="25"/>
  <c r="AH693" i="25"/>
  <c r="AE694" i="25"/>
  <c r="AF694" i="25"/>
  <c r="AG694" i="25"/>
  <c r="AH694" i="25"/>
  <c r="AE695" i="25"/>
  <c r="AF695" i="25"/>
  <c r="AG695" i="25"/>
  <c r="AH695" i="25"/>
  <c r="AE696" i="25"/>
  <c r="AF696" i="25"/>
  <c r="AG696" i="25"/>
  <c r="AH696" i="25"/>
  <c r="AE697" i="25"/>
  <c r="AF697" i="25"/>
  <c r="AG697" i="25"/>
  <c r="AH697" i="25"/>
  <c r="AE698" i="25"/>
  <c r="AF698" i="25"/>
  <c r="AG698" i="25"/>
  <c r="AH698" i="25"/>
  <c r="AE699" i="25"/>
  <c r="AF699" i="25"/>
  <c r="AG699" i="25"/>
  <c r="AH699" i="25"/>
  <c r="AE700" i="25"/>
  <c r="AF700" i="25"/>
  <c r="AG700" i="25"/>
  <c r="AH700" i="25"/>
  <c r="AE701" i="25"/>
  <c r="AF701" i="25"/>
  <c r="AG701" i="25"/>
  <c r="AH701" i="25"/>
  <c r="AE702" i="25"/>
  <c r="AF702" i="25"/>
  <c r="AG702" i="25"/>
  <c r="AH702" i="25"/>
  <c r="AE703" i="25"/>
  <c r="AF703" i="25"/>
  <c r="AG703" i="25"/>
  <c r="AH703" i="25"/>
  <c r="AE704" i="25"/>
  <c r="AF704" i="25"/>
  <c r="AG704" i="25"/>
  <c r="AH704" i="25"/>
  <c r="AE705" i="25"/>
  <c r="AF705" i="25"/>
  <c r="AG705" i="25"/>
  <c r="AH705" i="25"/>
  <c r="AE706" i="25"/>
  <c r="AF706" i="25"/>
  <c r="AG706" i="25"/>
  <c r="AH706" i="25"/>
  <c r="AE707" i="25"/>
  <c r="AF707" i="25"/>
  <c r="AG707" i="25"/>
  <c r="AH707" i="25"/>
  <c r="AE708" i="25"/>
  <c r="AF708" i="25"/>
  <c r="AG708" i="25"/>
  <c r="AH708" i="25"/>
  <c r="AE709" i="25"/>
  <c r="AF709" i="25"/>
  <c r="AG709" i="25"/>
  <c r="AH709" i="25"/>
  <c r="AE710" i="25"/>
  <c r="AF710" i="25"/>
  <c r="AG710" i="25"/>
  <c r="AH710" i="25"/>
  <c r="AE711" i="25"/>
  <c r="AF711" i="25"/>
  <c r="AG711" i="25"/>
  <c r="AH711" i="25"/>
  <c r="AE712" i="25"/>
  <c r="AF712" i="25"/>
  <c r="AG712" i="25"/>
  <c r="AH712" i="25"/>
  <c r="AE713" i="25"/>
  <c r="AF713" i="25"/>
  <c r="AG713" i="25"/>
  <c r="AH713" i="25"/>
  <c r="AE714" i="25"/>
  <c r="AF714" i="25"/>
  <c r="AG714" i="25"/>
  <c r="AH714" i="25"/>
  <c r="AE715" i="25"/>
  <c r="AF715" i="25"/>
  <c r="AG715" i="25"/>
  <c r="AH715" i="25"/>
  <c r="AE716" i="25"/>
  <c r="AF716" i="25"/>
  <c r="AG716" i="25"/>
  <c r="AH716" i="25"/>
  <c r="AE717" i="25"/>
  <c r="AF717" i="25"/>
  <c r="AG717" i="25"/>
  <c r="AH717" i="25"/>
  <c r="AE718" i="25"/>
  <c r="AF718" i="25"/>
  <c r="AG718" i="25"/>
  <c r="AH718" i="25"/>
  <c r="AE719" i="25"/>
  <c r="AF719" i="25"/>
  <c r="AG719" i="25"/>
  <c r="AH719" i="25"/>
  <c r="AE720" i="25"/>
  <c r="AF720" i="25"/>
  <c r="AG720" i="25"/>
  <c r="AH720" i="25"/>
  <c r="AE721" i="25"/>
  <c r="AF721" i="25"/>
  <c r="AG721" i="25"/>
  <c r="AH721" i="25"/>
  <c r="AE722" i="25"/>
  <c r="AF722" i="25"/>
  <c r="AG722" i="25"/>
  <c r="AH722" i="25"/>
  <c r="AE723" i="25"/>
  <c r="AF723" i="25"/>
  <c r="AG723" i="25"/>
  <c r="AH723" i="25"/>
  <c r="AE724" i="25"/>
  <c r="AF724" i="25"/>
  <c r="AG724" i="25"/>
  <c r="AH724" i="25"/>
  <c r="AE725" i="25"/>
  <c r="AF725" i="25"/>
  <c r="AG725" i="25"/>
  <c r="AH725" i="25"/>
  <c r="AE726" i="25"/>
  <c r="AF726" i="25"/>
  <c r="AG726" i="25"/>
  <c r="AH726" i="25"/>
  <c r="AE727" i="25"/>
  <c r="AF727" i="25"/>
  <c r="AG727" i="25"/>
  <c r="AH727" i="25"/>
  <c r="AE728" i="25"/>
  <c r="AF728" i="25"/>
  <c r="AG728" i="25"/>
  <c r="AH728" i="25"/>
  <c r="AE729" i="25"/>
  <c r="AF729" i="25"/>
  <c r="AG729" i="25"/>
  <c r="AH729" i="25"/>
  <c r="AE730" i="25"/>
  <c r="AF730" i="25"/>
  <c r="AG730" i="25"/>
  <c r="AH730" i="25"/>
  <c r="AE731" i="25"/>
  <c r="AF731" i="25"/>
  <c r="AG731" i="25"/>
  <c r="AH731" i="25"/>
  <c r="AE732" i="25"/>
  <c r="AF732" i="25"/>
  <c r="AG732" i="25"/>
  <c r="AH732" i="25"/>
  <c r="AE733" i="25"/>
  <c r="AF733" i="25"/>
  <c r="AG733" i="25"/>
  <c r="AH733" i="25"/>
  <c r="AE734" i="25"/>
  <c r="AF734" i="25"/>
  <c r="AG734" i="25"/>
  <c r="AH734" i="25"/>
  <c r="AE735" i="25"/>
  <c r="AF735" i="25"/>
  <c r="AG735" i="25"/>
  <c r="AH735" i="25"/>
  <c r="AE736" i="25"/>
  <c r="AF736" i="25"/>
  <c r="AG736" i="25"/>
  <c r="AH736" i="25"/>
  <c r="AE737" i="25"/>
  <c r="AF737" i="25"/>
  <c r="AG737" i="25"/>
  <c r="AH737" i="25"/>
  <c r="AE738" i="25"/>
  <c r="AF738" i="25"/>
  <c r="AG738" i="25"/>
  <c r="AH738" i="25"/>
  <c r="AE739" i="25"/>
  <c r="AF739" i="25"/>
  <c r="AG739" i="25"/>
  <c r="AH739" i="25"/>
  <c r="AE740" i="25"/>
  <c r="AF740" i="25"/>
  <c r="AG740" i="25"/>
  <c r="AH740" i="25"/>
  <c r="AE741" i="25"/>
  <c r="AF741" i="25"/>
  <c r="AG741" i="25"/>
  <c r="AH741" i="25"/>
  <c r="AE742" i="25"/>
  <c r="AF742" i="25"/>
  <c r="AG742" i="25"/>
  <c r="AH742" i="25"/>
  <c r="AE743" i="25"/>
  <c r="AF743" i="25"/>
  <c r="AG743" i="25"/>
  <c r="AH743" i="25"/>
  <c r="AE744" i="25"/>
  <c r="AF744" i="25"/>
  <c r="AG744" i="25"/>
  <c r="AH744" i="25"/>
  <c r="AE745" i="25"/>
  <c r="AF745" i="25"/>
  <c r="AG745" i="25"/>
  <c r="AH745" i="25"/>
  <c r="AE746" i="25"/>
  <c r="AF746" i="25"/>
  <c r="AG746" i="25"/>
  <c r="AH746" i="25"/>
  <c r="AE747" i="25"/>
  <c r="AF747" i="25"/>
  <c r="AG747" i="25"/>
  <c r="AH747" i="25"/>
  <c r="AE748" i="25"/>
  <c r="AF748" i="25"/>
  <c r="AG748" i="25"/>
  <c r="AH748" i="25"/>
  <c r="AE749" i="25"/>
  <c r="AF749" i="25"/>
  <c r="AG749" i="25"/>
  <c r="AH749" i="25"/>
  <c r="AE750" i="25"/>
  <c r="AF750" i="25"/>
  <c r="AG750" i="25"/>
  <c r="AH750" i="25"/>
  <c r="AE751" i="25"/>
  <c r="AF751" i="25"/>
  <c r="AG751" i="25"/>
  <c r="AH751" i="25"/>
  <c r="AE752" i="25"/>
  <c r="AF752" i="25"/>
  <c r="AG752" i="25"/>
  <c r="AH752" i="25"/>
  <c r="AE753" i="25"/>
  <c r="AF753" i="25"/>
  <c r="AG753" i="25"/>
  <c r="AH753" i="25"/>
  <c r="AE754" i="25"/>
  <c r="AF754" i="25"/>
  <c r="AG754" i="25"/>
  <c r="AH754" i="25"/>
  <c r="AE755" i="25"/>
  <c r="AF755" i="25"/>
  <c r="AG755" i="25"/>
  <c r="AH755" i="25"/>
  <c r="AE756" i="25"/>
  <c r="AF756" i="25"/>
  <c r="AG756" i="25"/>
  <c r="AH756" i="25"/>
  <c r="AE757" i="25"/>
  <c r="AF757" i="25"/>
  <c r="AG757" i="25"/>
  <c r="AH757" i="25"/>
  <c r="AE758" i="25"/>
  <c r="AF758" i="25"/>
  <c r="AG758" i="25"/>
  <c r="AH758" i="25"/>
  <c r="AE759" i="25"/>
  <c r="AF759" i="25"/>
  <c r="AG759" i="25"/>
  <c r="AH759" i="25"/>
  <c r="AE760" i="25"/>
  <c r="AF760" i="25"/>
  <c r="AG760" i="25"/>
  <c r="AH760" i="25"/>
  <c r="AE761" i="25"/>
  <c r="AF761" i="25"/>
  <c r="AG761" i="25"/>
  <c r="AH761" i="25"/>
  <c r="AE762" i="25"/>
  <c r="AF762" i="25"/>
  <c r="AG762" i="25"/>
  <c r="AH762" i="25"/>
  <c r="AE763" i="25"/>
  <c r="AF763" i="25"/>
  <c r="AG763" i="25"/>
  <c r="AH763" i="25"/>
  <c r="AE764" i="25"/>
  <c r="AF764" i="25"/>
  <c r="AG764" i="25"/>
  <c r="AH764" i="25"/>
  <c r="AE765" i="25"/>
  <c r="AF765" i="25"/>
  <c r="AG765" i="25"/>
  <c r="AH765" i="25"/>
  <c r="AE766" i="25"/>
  <c r="AF766" i="25"/>
  <c r="AG766" i="25"/>
  <c r="AH766" i="25"/>
  <c r="AE767" i="25"/>
  <c r="AF767" i="25"/>
  <c r="AG767" i="25"/>
  <c r="AH767" i="25"/>
  <c r="AE768" i="25"/>
  <c r="AF768" i="25"/>
  <c r="AG768" i="25"/>
  <c r="AH768" i="25"/>
  <c r="AE769" i="25"/>
  <c r="AF769" i="25"/>
  <c r="AG769" i="25"/>
  <c r="AH769" i="25"/>
  <c r="AE770" i="25"/>
  <c r="AF770" i="25"/>
  <c r="AG770" i="25"/>
  <c r="AH770" i="25"/>
  <c r="AE771" i="25"/>
  <c r="AF771" i="25"/>
  <c r="AG771" i="25"/>
  <c r="AH771" i="25"/>
  <c r="AE772" i="25"/>
  <c r="AF772" i="25"/>
  <c r="AG772" i="25"/>
  <c r="AH772" i="25"/>
  <c r="AE773" i="25"/>
  <c r="AF773" i="25"/>
  <c r="AG773" i="25"/>
  <c r="AH773" i="25"/>
  <c r="AE774" i="25"/>
  <c r="AF774" i="25"/>
  <c r="AG774" i="25"/>
  <c r="AH774" i="25"/>
  <c r="AE775" i="25"/>
  <c r="AF775" i="25"/>
  <c r="AG775" i="25"/>
  <c r="AH775" i="25"/>
  <c r="AE776" i="25"/>
  <c r="AF776" i="25"/>
  <c r="AG776" i="25"/>
  <c r="AH776" i="25"/>
  <c r="AE777" i="25"/>
  <c r="AF777" i="25"/>
  <c r="AG777" i="25"/>
  <c r="AH777" i="25"/>
  <c r="AE778" i="25"/>
  <c r="AF778" i="25"/>
  <c r="AG778" i="25"/>
  <c r="AH778" i="25"/>
  <c r="AE779" i="25"/>
  <c r="AF779" i="25"/>
  <c r="AG779" i="25"/>
  <c r="AH779" i="25"/>
  <c r="AE780" i="25"/>
  <c r="AF780" i="25"/>
  <c r="AG780" i="25"/>
  <c r="AH780" i="25"/>
  <c r="AE781" i="25"/>
  <c r="AF781" i="25"/>
  <c r="AG781" i="25"/>
  <c r="AH781" i="25"/>
  <c r="AE782" i="25"/>
  <c r="AF782" i="25"/>
  <c r="AG782" i="25"/>
  <c r="AH782" i="25"/>
  <c r="AE783" i="25"/>
  <c r="AF783" i="25"/>
  <c r="AG783" i="25"/>
  <c r="AH783" i="25"/>
  <c r="AE784" i="25"/>
  <c r="AF784" i="25"/>
  <c r="AG784" i="25"/>
  <c r="AH784" i="25"/>
  <c r="AE785" i="25"/>
  <c r="AF785" i="25"/>
  <c r="AG785" i="25"/>
  <c r="AH785" i="25"/>
  <c r="AE786" i="25"/>
  <c r="AF786" i="25"/>
  <c r="AG786" i="25"/>
  <c r="AH786" i="25"/>
  <c r="AE787" i="25"/>
  <c r="AF787" i="25"/>
  <c r="AG787" i="25"/>
  <c r="AH787" i="25"/>
  <c r="AE788" i="25"/>
  <c r="AF788" i="25"/>
  <c r="AG788" i="25"/>
  <c r="AH788" i="25"/>
  <c r="AE789" i="25"/>
  <c r="AF789" i="25"/>
  <c r="AG789" i="25"/>
  <c r="AH789" i="25"/>
  <c r="AE790" i="25"/>
  <c r="AF790" i="25"/>
  <c r="AG790" i="25"/>
  <c r="AH790" i="25"/>
  <c r="AE791" i="25"/>
  <c r="AF791" i="25"/>
  <c r="AG791" i="25"/>
  <c r="AH791" i="25"/>
  <c r="AE792" i="25"/>
  <c r="AF792" i="25"/>
  <c r="AG792" i="25"/>
  <c r="AH792" i="25"/>
  <c r="AE793" i="25"/>
  <c r="AF793" i="25"/>
  <c r="AG793" i="25"/>
  <c r="AH793" i="25"/>
  <c r="AE794" i="25"/>
  <c r="AF794" i="25"/>
  <c r="AG794" i="25"/>
  <c r="AH794" i="25"/>
  <c r="AE795" i="25"/>
  <c r="AF795" i="25"/>
  <c r="AG795" i="25"/>
  <c r="AH795" i="25"/>
  <c r="AE796" i="25"/>
  <c r="AF796" i="25"/>
  <c r="AG796" i="25"/>
  <c r="AH796" i="25"/>
  <c r="AE797" i="25"/>
  <c r="AF797" i="25"/>
  <c r="AG797" i="25"/>
  <c r="AH797" i="25"/>
  <c r="AE798" i="25"/>
  <c r="AF798" i="25"/>
  <c r="AG798" i="25"/>
  <c r="AH798" i="25"/>
  <c r="AE799" i="25"/>
  <c r="AF799" i="25"/>
  <c r="AG799" i="25"/>
  <c r="AH799" i="25"/>
  <c r="AE800" i="25"/>
  <c r="AF800" i="25"/>
  <c r="AG800" i="25"/>
  <c r="AH800" i="25"/>
  <c r="AE801" i="25"/>
  <c r="AF801" i="25"/>
  <c r="AG801" i="25"/>
  <c r="AH801" i="25"/>
  <c r="AE802" i="25"/>
  <c r="AF802" i="25"/>
  <c r="AG802" i="25"/>
  <c r="AH802" i="25"/>
  <c r="AE803" i="25"/>
  <c r="AF803" i="25"/>
  <c r="AG803" i="25"/>
  <c r="AH803" i="25"/>
  <c r="AE804" i="25"/>
  <c r="AF804" i="25"/>
  <c r="AG804" i="25"/>
  <c r="AH804" i="25"/>
  <c r="AE805" i="25"/>
  <c r="AF805" i="25"/>
  <c r="AG805" i="25"/>
  <c r="AH805" i="25"/>
  <c r="AE806" i="25"/>
  <c r="AF806" i="25"/>
  <c r="AG806" i="25"/>
  <c r="AH806" i="25"/>
  <c r="AE807" i="25"/>
  <c r="AF807" i="25"/>
  <c r="AG807" i="25"/>
  <c r="AH807" i="25"/>
  <c r="AE808" i="25"/>
  <c r="AF808" i="25"/>
  <c r="AG808" i="25"/>
  <c r="AH808" i="25"/>
  <c r="AE809" i="25"/>
  <c r="AF809" i="25"/>
  <c r="AG809" i="25"/>
  <c r="AH809" i="25"/>
  <c r="AE810" i="25"/>
  <c r="AF810" i="25"/>
  <c r="AG810" i="25"/>
  <c r="AH810" i="25"/>
  <c r="AE811" i="25"/>
  <c r="AF811" i="25"/>
  <c r="AG811" i="25"/>
  <c r="AH811" i="25"/>
  <c r="AE812" i="25"/>
  <c r="AF812" i="25"/>
  <c r="AG812" i="25"/>
  <c r="AH812" i="25"/>
  <c r="AE813" i="25"/>
  <c r="AF813" i="25"/>
  <c r="AG813" i="25"/>
  <c r="AH813" i="25"/>
  <c r="AE814" i="25"/>
  <c r="AF814" i="25"/>
  <c r="AG814" i="25"/>
  <c r="AH814" i="25"/>
  <c r="AE815" i="25"/>
  <c r="AF815" i="25"/>
  <c r="AG815" i="25"/>
  <c r="AH815" i="25"/>
  <c r="AE816" i="25"/>
  <c r="AF816" i="25"/>
  <c r="AG816" i="25"/>
  <c r="AH816" i="25"/>
  <c r="AE817" i="25"/>
  <c r="AF817" i="25"/>
  <c r="AG817" i="25"/>
  <c r="AH817" i="25"/>
  <c r="AE818" i="25"/>
  <c r="AF818" i="25"/>
  <c r="AG818" i="25"/>
  <c r="AH818" i="25"/>
  <c r="AE819" i="25"/>
  <c r="AF819" i="25"/>
  <c r="AG819" i="25"/>
  <c r="AH819" i="25"/>
  <c r="AE820" i="25"/>
  <c r="AF820" i="25"/>
  <c r="AG820" i="25"/>
  <c r="AH820" i="25"/>
  <c r="AE821" i="25"/>
  <c r="AF821" i="25"/>
  <c r="AG821" i="25"/>
  <c r="AH821" i="25"/>
  <c r="AE822" i="25"/>
  <c r="AF822" i="25"/>
  <c r="AG822" i="25"/>
  <c r="AH822" i="25"/>
  <c r="AE823" i="25"/>
  <c r="AF823" i="25"/>
  <c r="AG823" i="25"/>
  <c r="AH823" i="25"/>
  <c r="AE824" i="25"/>
  <c r="AF824" i="25"/>
  <c r="AG824" i="25"/>
  <c r="AH824" i="25"/>
  <c r="AE825" i="25"/>
  <c r="AF825" i="25"/>
  <c r="AG825" i="25"/>
  <c r="AH825" i="25"/>
  <c r="AE826" i="25"/>
  <c r="AF826" i="25"/>
  <c r="AG826" i="25"/>
  <c r="AH826" i="25"/>
  <c r="AE827" i="25"/>
  <c r="AF827" i="25"/>
  <c r="AG827" i="25"/>
  <c r="AH827" i="25"/>
  <c r="AE828" i="25"/>
  <c r="AF828" i="25"/>
  <c r="AG828" i="25"/>
  <c r="AH828" i="25"/>
  <c r="AE829" i="25"/>
  <c r="AF829" i="25"/>
  <c r="AG829" i="25"/>
  <c r="AH829" i="25"/>
  <c r="AE830" i="25"/>
  <c r="AF830" i="25"/>
  <c r="AG830" i="25"/>
  <c r="AH830" i="25"/>
  <c r="AE831" i="25"/>
  <c r="AF831" i="25"/>
  <c r="AG831" i="25"/>
  <c r="AH831" i="25"/>
  <c r="AE832" i="25"/>
  <c r="AF832" i="25"/>
  <c r="AG832" i="25"/>
  <c r="AH832" i="25"/>
  <c r="AE833" i="25"/>
  <c r="AF833" i="25"/>
  <c r="AG833" i="25"/>
  <c r="AH833" i="25"/>
  <c r="AE834" i="25"/>
  <c r="AF834" i="25"/>
  <c r="AG834" i="25"/>
  <c r="AH834" i="25"/>
  <c r="AE835" i="25"/>
  <c r="AF835" i="25"/>
  <c r="AG835" i="25"/>
  <c r="AH835" i="25"/>
  <c r="AE836" i="25"/>
  <c r="AF836" i="25"/>
  <c r="AG836" i="25"/>
  <c r="AH836" i="25"/>
  <c r="AE837" i="25"/>
  <c r="AF837" i="25"/>
  <c r="AG837" i="25"/>
  <c r="AH837" i="25"/>
  <c r="AE838" i="25"/>
  <c r="AF838" i="25"/>
  <c r="AG838" i="25"/>
  <c r="AH838" i="25"/>
  <c r="AE839" i="25"/>
  <c r="AF839" i="25"/>
  <c r="AG839" i="25"/>
  <c r="AH839" i="25"/>
  <c r="AE840" i="25"/>
  <c r="AF840" i="25"/>
  <c r="AG840" i="25"/>
  <c r="AH840" i="25"/>
  <c r="AE841" i="25"/>
  <c r="AF841" i="25"/>
  <c r="AG841" i="25"/>
  <c r="AH841" i="25"/>
  <c r="AE842" i="25"/>
  <c r="AF842" i="25"/>
  <c r="AG842" i="25"/>
  <c r="AH842" i="25"/>
  <c r="AE843" i="25"/>
  <c r="AF843" i="25"/>
  <c r="AG843" i="25"/>
  <c r="AH843" i="25"/>
  <c r="AE844" i="25"/>
  <c r="AF844" i="25"/>
  <c r="AG844" i="25"/>
  <c r="AH844" i="25"/>
  <c r="AE845" i="25"/>
  <c r="AF845" i="25"/>
  <c r="AG845" i="25"/>
  <c r="AH845" i="25"/>
  <c r="AE846" i="25"/>
  <c r="AF846" i="25"/>
  <c r="AG846" i="25"/>
  <c r="AH846" i="25"/>
  <c r="AE847" i="25"/>
  <c r="AF847" i="25"/>
  <c r="AG847" i="25"/>
  <c r="AH847" i="25"/>
  <c r="AE848" i="25"/>
  <c r="AF848" i="25"/>
  <c r="AG848" i="25"/>
  <c r="AH848" i="25"/>
  <c r="AE849" i="25"/>
  <c r="AF849" i="25"/>
  <c r="AG849" i="25"/>
  <c r="AH849" i="25"/>
  <c r="AE850" i="25"/>
  <c r="AF850" i="25"/>
  <c r="AG850" i="25"/>
  <c r="AH850" i="25"/>
  <c r="AE851" i="25"/>
  <c r="AF851" i="25"/>
  <c r="AG851" i="25"/>
  <c r="AH851" i="25"/>
  <c r="AE852" i="25"/>
  <c r="AF852" i="25"/>
  <c r="AG852" i="25"/>
  <c r="AH852" i="25"/>
  <c r="AE853" i="25"/>
  <c r="AF853" i="25"/>
  <c r="AG853" i="25"/>
  <c r="AH853" i="25"/>
  <c r="AE854" i="25"/>
  <c r="AF854" i="25"/>
  <c r="AG854" i="25"/>
  <c r="AH854" i="25"/>
  <c r="AE855" i="25"/>
  <c r="AF855" i="25"/>
  <c r="AG855" i="25"/>
  <c r="AH855" i="25"/>
  <c r="AE856" i="25"/>
  <c r="AF856" i="25"/>
  <c r="AG856" i="25"/>
  <c r="AH856" i="25"/>
  <c r="AE857" i="25"/>
  <c r="AF857" i="25"/>
  <c r="AG857" i="25"/>
  <c r="AH857" i="25"/>
  <c r="AE858" i="25"/>
  <c r="AF858" i="25"/>
  <c r="AG858" i="25"/>
  <c r="AH858" i="25"/>
  <c r="AE859" i="25"/>
  <c r="AF859" i="25"/>
  <c r="AG859" i="25"/>
  <c r="AH859" i="25"/>
  <c r="AE860" i="25"/>
  <c r="AF860" i="25"/>
  <c r="AG860" i="25"/>
  <c r="AH860" i="25"/>
  <c r="AE861" i="25"/>
  <c r="AF861" i="25"/>
  <c r="AG861" i="25"/>
  <c r="AH861" i="25"/>
  <c r="AE862" i="25"/>
  <c r="AF862" i="25"/>
  <c r="AG862" i="25"/>
  <c r="AH862" i="25"/>
  <c r="AE863" i="25"/>
  <c r="AF863" i="25"/>
  <c r="AG863" i="25"/>
  <c r="AH863" i="25"/>
  <c r="AE864" i="25"/>
  <c r="AF864" i="25"/>
  <c r="AG864" i="25"/>
  <c r="AH864" i="25"/>
  <c r="AE865" i="25"/>
  <c r="AF865" i="25"/>
  <c r="AG865" i="25"/>
  <c r="AH865" i="25"/>
  <c r="AE866" i="25"/>
  <c r="AF866" i="25"/>
  <c r="AG866" i="25"/>
  <c r="AH866" i="25"/>
  <c r="AE867" i="25"/>
  <c r="AF867" i="25"/>
  <c r="AG867" i="25"/>
  <c r="AH867" i="25"/>
  <c r="AE868" i="25"/>
  <c r="AF868" i="25"/>
  <c r="AG868" i="25"/>
  <c r="AH868" i="25"/>
  <c r="AE869" i="25"/>
  <c r="AF869" i="25"/>
  <c r="AG869" i="25"/>
  <c r="AH869" i="25"/>
  <c r="AE870" i="25"/>
  <c r="AF870" i="25"/>
  <c r="AG870" i="25"/>
  <c r="AH870" i="25"/>
  <c r="AE871" i="25"/>
  <c r="AF871" i="25"/>
  <c r="AG871" i="25"/>
  <c r="AH871" i="25"/>
  <c r="AE872" i="25"/>
  <c r="AF872" i="25"/>
  <c r="AG872" i="25"/>
  <c r="AH872" i="25"/>
  <c r="AE873" i="25"/>
  <c r="AF873" i="25"/>
  <c r="AG873" i="25"/>
  <c r="AH873" i="25"/>
  <c r="AE874" i="25"/>
  <c r="AF874" i="25"/>
  <c r="AG874" i="25"/>
  <c r="AH874" i="25"/>
  <c r="AE875" i="25"/>
  <c r="AF875" i="25"/>
  <c r="AG875" i="25"/>
  <c r="AH875" i="25"/>
  <c r="AE876" i="25"/>
  <c r="AF876" i="25"/>
  <c r="AG876" i="25"/>
  <c r="AH876" i="25"/>
  <c r="AE877" i="25"/>
  <c r="AF877" i="25"/>
  <c r="AG877" i="25"/>
  <c r="AH877" i="25"/>
  <c r="AE878" i="25"/>
  <c r="AF878" i="25"/>
  <c r="AG878" i="25"/>
  <c r="AH878" i="25"/>
  <c r="AE879" i="25"/>
  <c r="AF879" i="25"/>
  <c r="AG879" i="25"/>
  <c r="AH879" i="25"/>
  <c r="AE880" i="25"/>
  <c r="AF880" i="25"/>
  <c r="AG880" i="25"/>
  <c r="AH880" i="25"/>
  <c r="AE881" i="25"/>
  <c r="AF881" i="25"/>
  <c r="AG881" i="25"/>
  <c r="AH881" i="25"/>
  <c r="AE443" i="25"/>
  <c r="AF443" i="25"/>
  <c r="AG443" i="25"/>
  <c r="AH443" i="25"/>
  <c r="AE444" i="25"/>
  <c r="AF444" i="25"/>
  <c r="AG444" i="25"/>
  <c r="AH444" i="25"/>
  <c r="AE445" i="25"/>
  <c r="AF445" i="25"/>
  <c r="AG445" i="25"/>
  <c r="AH445" i="25"/>
  <c r="AE446" i="25"/>
  <c r="AF446" i="25"/>
  <c r="AG446" i="25"/>
  <c r="AH446" i="25"/>
  <c r="AE447" i="25"/>
  <c r="AF447" i="25"/>
  <c r="AG447" i="25"/>
  <c r="AH447" i="25"/>
  <c r="AE448" i="25"/>
  <c r="AF448" i="25"/>
  <c r="AG448" i="25"/>
  <c r="AH448" i="25"/>
  <c r="AE449" i="25"/>
  <c r="AF449" i="25"/>
  <c r="AG449" i="25"/>
  <c r="AH449" i="25"/>
  <c r="AE450" i="25"/>
  <c r="AF450" i="25"/>
  <c r="AG450" i="25"/>
  <c r="AH450" i="25"/>
  <c r="AE451" i="25"/>
  <c r="AF451" i="25"/>
  <c r="AG451" i="25"/>
  <c r="AH451" i="25"/>
  <c r="AE452" i="25"/>
  <c r="AF452" i="25"/>
  <c r="AG452" i="25"/>
  <c r="AH452" i="25"/>
  <c r="AE453" i="25"/>
  <c r="AF453" i="25"/>
  <c r="AG453" i="25"/>
  <c r="AH453" i="25"/>
  <c r="AE454" i="25"/>
  <c r="AF454" i="25"/>
  <c r="AG454" i="25"/>
  <c r="AH454" i="25"/>
  <c r="AE455" i="25"/>
  <c r="AF455" i="25"/>
  <c r="AG455" i="25"/>
  <c r="AH455" i="25"/>
  <c r="AE456" i="25"/>
  <c r="AF456" i="25"/>
  <c r="AG456" i="25"/>
  <c r="AH456" i="25"/>
  <c r="AE457" i="25"/>
  <c r="AF457" i="25"/>
  <c r="AG457" i="25"/>
  <c r="AH457" i="25"/>
  <c r="AE458" i="25"/>
  <c r="AF458" i="25"/>
  <c r="AG458" i="25"/>
  <c r="AH458" i="25"/>
  <c r="AE459" i="25"/>
  <c r="AF459" i="25"/>
  <c r="AG459" i="25"/>
  <c r="AH459" i="25"/>
  <c r="AE460" i="25"/>
  <c r="AF460" i="25"/>
  <c r="AG460" i="25"/>
  <c r="AH460" i="25"/>
  <c r="AE461" i="25"/>
  <c r="AF461" i="25"/>
  <c r="AG461" i="25"/>
  <c r="AH461" i="25"/>
  <c r="AE462" i="25"/>
  <c r="AF462" i="25"/>
  <c r="AG462" i="25"/>
  <c r="AH462" i="25"/>
  <c r="AE463" i="25"/>
  <c r="AF463" i="25"/>
  <c r="AG463" i="25"/>
  <c r="AH463" i="25"/>
  <c r="AE464" i="25"/>
  <c r="AF464" i="25"/>
  <c r="AG464" i="25"/>
  <c r="AH464" i="25"/>
  <c r="AE465" i="25"/>
  <c r="AF465" i="25"/>
  <c r="AG465" i="25"/>
  <c r="AH465" i="25"/>
  <c r="AE466" i="25"/>
  <c r="AF466" i="25"/>
  <c r="AG466" i="25"/>
  <c r="AH466" i="25"/>
  <c r="AE467" i="25"/>
  <c r="AF467" i="25"/>
  <c r="AG467" i="25"/>
  <c r="AH467" i="25"/>
  <c r="AE468" i="25"/>
  <c r="AF468" i="25"/>
  <c r="AG468" i="25"/>
  <c r="AH468" i="25"/>
  <c r="AE469" i="25"/>
  <c r="AF469" i="25"/>
  <c r="AG469" i="25"/>
  <c r="AH469" i="25"/>
  <c r="AE470" i="25"/>
  <c r="AF470" i="25"/>
  <c r="AG470" i="25"/>
  <c r="AH470" i="25"/>
  <c r="AE471" i="25"/>
  <c r="AF471" i="25"/>
  <c r="AG471" i="25"/>
  <c r="AH471" i="25"/>
  <c r="AE472" i="25"/>
  <c r="AF472" i="25"/>
  <c r="AG472" i="25"/>
  <c r="AH472" i="25"/>
  <c r="AE473" i="25"/>
  <c r="AF473" i="25"/>
  <c r="AG473" i="25"/>
  <c r="AH473" i="25"/>
  <c r="AE474" i="25"/>
  <c r="AF474" i="25"/>
  <c r="AG474" i="25"/>
  <c r="AH474" i="25"/>
  <c r="AE475" i="25"/>
  <c r="AF475" i="25"/>
  <c r="AG475" i="25"/>
  <c r="AH475" i="25"/>
  <c r="AE476" i="25"/>
  <c r="AF476" i="25"/>
  <c r="AG476" i="25"/>
  <c r="AH476" i="25"/>
  <c r="AE477" i="25"/>
  <c r="AF477" i="25"/>
  <c r="AG477" i="25"/>
  <c r="AH477" i="25"/>
  <c r="AE478" i="25"/>
  <c r="AF478" i="25"/>
  <c r="AG478" i="25"/>
  <c r="AH478" i="25"/>
  <c r="AE479" i="25"/>
  <c r="AF479" i="25"/>
  <c r="AG479" i="25"/>
  <c r="AH479" i="25"/>
  <c r="AE480" i="25"/>
  <c r="AF480" i="25"/>
  <c r="AG480" i="25"/>
  <c r="AH480" i="25"/>
  <c r="AE481" i="25"/>
  <c r="AF481" i="25"/>
  <c r="AG481" i="25"/>
  <c r="AH481" i="25"/>
  <c r="AE482" i="25"/>
  <c r="AF482" i="25"/>
  <c r="AG482" i="25"/>
  <c r="AH482" i="25"/>
  <c r="AE483" i="25"/>
  <c r="AF483" i="25"/>
  <c r="AG483" i="25"/>
  <c r="AH483" i="25"/>
  <c r="AE484" i="25"/>
  <c r="AF484" i="25"/>
  <c r="AG484" i="25"/>
  <c r="AH484" i="25"/>
  <c r="AE485" i="25"/>
  <c r="AF485" i="25"/>
  <c r="AG485" i="25"/>
  <c r="AH485" i="25"/>
  <c r="AE486" i="25"/>
  <c r="AF486" i="25"/>
  <c r="AG486" i="25"/>
  <c r="AH486" i="25"/>
  <c r="AE487" i="25"/>
  <c r="AF487" i="25"/>
  <c r="AG487" i="25"/>
  <c r="AH487" i="25"/>
  <c r="AE488" i="25"/>
  <c r="AF488" i="25"/>
  <c r="AG488" i="25"/>
  <c r="AH488" i="25"/>
  <c r="AE489" i="25"/>
  <c r="AF489" i="25"/>
  <c r="AG489" i="25"/>
  <c r="AH489" i="25"/>
  <c r="AE490" i="25"/>
  <c r="AF490" i="25"/>
  <c r="AG490" i="25"/>
  <c r="AH490" i="25"/>
  <c r="AE491" i="25"/>
  <c r="AF491" i="25"/>
  <c r="AG491" i="25"/>
  <c r="AH491" i="25"/>
  <c r="AE492" i="25"/>
  <c r="AF492" i="25"/>
  <c r="AG492" i="25"/>
  <c r="AH492" i="25"/>
  <c r="AE493" i="25"/>
  <c r="AF493" i="25"/>
  <c r="AG493" i="25"/>
  <c r="AH493" i="25"/>
  <c r="AE494" i="25"/>
  <c r="AF494" i="25"/>
  <c r="AG494" i="25"/>
  <c r="AH494" i="25"/>
  <c r="AE495" i="25"/>
  <c r="AF495" i="25"/>
  <c r="AG495" i="25"/>
  <c r="AH495" i="25"/>
  <c r="AE496" i="25"/>
  <c r="AF496" i="25"/>
  <c r="AG496" i="25"/>
  <c r="AH496" i="25"/>
  <c r="AE497" i="25"/>
  <c r="AF497" i="25"/>
  <c r="AG497" i="25"/>
  <c r="AH497" i="25"/>
  <c r="AE498" i="25"/>
  <c r="AF498" i="25"/>
  <c r="AG498" i="25"/>
  <c r="AH498" i="25"/>
  <c r="AE499" i="25"/>
  <c r="AF499" i="25"/>
  <c r="AG499" i="25"/>
  <c r="AH499" i="25"/>
  <c r="AE500" i="25"/>
  <c r="AF500" i="25"/>
  <c r="AG500" i="25"/>
  <c r="AH500" i="25"/>
  <c r="AE501" i="25"/>
  <c r="AF501" i="25"/>
  <c r="AG501" i="25"/>
  <c r="AH501" i="25"/>
  <c r="AE502" i="25"/>
  <c r="AF502" i="25"/>
  <c r="AG502" i="25"/>
  <c r="AH502" i="25"/>
  <c r="AE503" i="25"/>
  <c r="AF503" i="25"/>
  <c r="AG503" i="25"/>
  <c r="AH503" i="25"/>
  <c r="AE504" i="25"/>
  <c r="AF504" i="25"/>
  <c r="AG504" i="25"/>
  <c r="AH504" i="25"/>
  <c r="AE505" i="25"/>
  <c r="AF505" i="25"/>
  <c r="AG505" i="25"/>
  <c r="AH505" i="25"/>
  <c r="AE506" i="25"/>
  <c r="AF506" i="25"/>
  <c r="AG506" i="25"/>
  <c r="AH506" i="25"/>
  <c r="AE507" i="25"/>
  <c r="AF507" i="25"/>
  <c r="AG507" i="25"/>
  <c r="AH507" i="25"/>
  <c r="AE508" i="25"/>
  <c r="AF508" i="25"/>
  <c r="AG508" i="25"/>
  <c r="AH508" i="25"/>
  <c r="AE509" i="25"/>
  <c r="AF509" i="25"/>
  <c r="AG509" i="25"/>
  <c r="AH509" i="25"/>
  <c r="AE510" i="25"/>
  <c r="AF510" i="25"/>
  <c r="AG510" i="25"/>
  <c r="AH510" i="25"/>
  <c r="AE511" i="25"/>
  <c r="AF511" i="25"/>
  <c r="AG511" i="25"/>
  <c r="AH511" i="25"/>
  <c r="AE512" i="25"/>
  <c r="AF512" i="25"/>
  <c r="AG512" i="25"/>
  <c r="AH512" i="25"/>
  <c r="AE513" i="25"/>
  <c r="AF513" i="25"/>
  <c r="AG513" i="25"/>
  <c r="AH513" i="25"/>
  <c r="AE514" i="25"/>
  <c r="AF514" i="25"/>
  <c r="AG514" i="25"/>
  <c r="AH514" i="25"/>
  <c r="AE515" i="25"/>
  <c r="AF515" i="25"/>
  <c r="AG515" i="25"/>
  <c r="AH515" i="25"/>
  <c r="AE516" i="25"/>
  <c r="AF516" i="25"/>
  <c r="AG516" i="25"/>
  <c r="AH516" i="25"/>
  <c r="AE517" i="25"/>
  <c r="AF517" i="25"/>
  <c r="AG517" i="25"/>
  <c r="AH517" i="25"/>
  <c r="AE518" i="25"/>
  <c r="AF518" i="25"/>
  <c r="AG518" i="25"/>
  <c r="AH518" i="25"/>
  <c r="AE519" i="25"/>
  <c r="AF519" i="25"/>
  <c r="AG519" i="25"/>
  <c r="AH519" i="25"/>
  <c r="AE520" i="25"/>
  <c r="AF520" i="25"/>
  <c r="AG520" i="25"/>
  <c r="AH520" i="25"/>
  <c r="AE521" i="25"/>
  <c r="AF521" i="25"/>
  <c r="AG521" i="25"/>
  <c r="AH521" i="25"/>
  <c r="AE522" i="25"/>
  <c r="AF522" i="25"/>
  <c r="AG522" i="25"/>
  <c r="AH522" i="25"/>
  <c r="AE523" i="25"/>
  <c r="AF523" i="25"/>
  <c r="AG523" i="25"/>
  <c r="AH523" i="25"/>
  <c r="AE524" i="25"/>
  <c r="AF524" i="25"/>
  <c r="AG524" i="25"/>
  <c r="AH524" i="25"/>
  <c r="AE525" i="25"/>
  <c r="AF525" i="25"/>
  <c r="AG525" i="25"/>
  <c r="AH525" i="25"/>
  <c r="AE526" i="25"/>
  <c r="AF526" i="25"/>
  <c r="AG526" i="25"/>
  <c r="AH526" i="25"/>
  <c r="AE527" i="25"/>
  <c r="AF527" i="25"/>
  <c r="AG527" i="25"/>
  <c r="AH527" i="25"/>
  <c r="AE528" i="25"/>
  <c r="AF528" i="25"/>
  <c r="AG528" i="25"/>
  <c r="AH528" i="25"/>
  <c r="AE529" i="25"/>
  <c r="AF529" i="25"/>
  <c r="AG529" i="25"/>
  <c r="AH529" i="25"/>
  <c r="AE530" i="25"/>
  <c r="AF530" i="25"/>
  <c r="AG530" i="25"/>
  <c r="AH530" i="25"/>
  <c r="AE531" i="25"/>
  <c r="AF531" i="25"/>
  <c r="AG531" i="25"/>
  <c r="AH531" i="25"/>
  <c r="AE532" i="25"/>
  <c r="AF532" i="25"/>
  <c r="AG532" i="25"/>
  <c r="AH532" i="25"/>
  <c r="AE533" i="25"/>
  <c r="AF533" i="25"/>
  <c r="AG533" i="25"/>
  <c r="AH533" i="25"/>
  <c r="AE534" i="25"/>
  <c r="AF534" i="25"/>
  <c r="AG534" i="25"/>
  <c r="AH534" i="25"/>
  <c r="AE535" i="25"/>
  <c r="AF535" i="25"/>
  <c r="AG535" i="25"/>
  <c r="AH535" i="25"/>
  <c r="AE536" i="25"/>
  <c r="AF536" i="25"/>
  <c r="AG536" i="25"/>
  <c r="AH536" i="25"/>
  <c r="AE537" i="25"/>
  <c r="AF537" i="25"/>
  <c r="AG537" i="25"/>
  <c r="AH537" i="25"/>
  <c r="AE538" i="25"/>
  <c r="AF538" i="25"/>
  <c r="AG538" i="25"/>
  <c r="AH538" i="25"/>
  <c r="AE539" i="25"/>
  <c r="AF539" i="25"/>
  <c r="AG539" i="25"/>
  <c r="AH539" i="25"/>
  <c r="AE540" i="25"/>
  <c r="AF540" i="25"/>
  <c r="AG540" i="25"/>
  <c r="AH540" i="25"/>
  <c r="AE541" i="25"/>
  <c r="AF541" i="25"/>
  <c r="AG541" i="25"/>
  <c r="AH541" i="25"/>
  <c r="AE542" i="25"/>
  <c r="AF542" i="25"/>
  <c r="AG542" i="25"/>
  <c r="AH542" i="25"/>
  <c r="AE543" i="25"/>
  <c r="AF543" i="25"/>
  <c r="AG543" i="25"/>
  <c r="AH543" i="25"/>
  <c r="AE544" i="25"/>
  <c r="AF544" i="25"/>
  <c r="AG544" i="25"/>
  <c r="AH544" i="25"/>
  <c r="AE545" i="25"/>
  <c r="AF545" i="25"/>
  <c r="AG545" i="25"/>
  <c r="AH545" i="25"/>
  <c r="AE546" i="25"/>
  <c r="AF546" i="25"/>
  <c r="AG546" i="25"/>
  <c r="AH546" i="25"/>
  <c r="AE547" i="25"/>
  <c r="AF547" i="25"/>
  <c r="AG547" i="25"/>
  <c r="AH547" i="25"/>
  <c r="AE548" i="25"/>
  <c r="AF548" i="25"/>
  <c r="AG548" i="25"/>
  <c r="AH548" i="25"/>
  <c r="AE549" i="25"/>
  <c r="AF549" i="25"/>
  <c r="AG549" i="25"/>
  <c r="AH549" i="25"/>
  <c r="AE550" i="25"/>
  <c r="AF550" i="25"/>
  <c r="AG550" i="25"/>
  <c r="AH550" i="25"/>
  <c r="AE551" i="25"/>
  <c r="AF551" i="25"/>
  <c r="AG551" i="25"/>
  <c r="AH551" i="25"/>
  <c r="AE552" i="25"/>
  <c r="AF552" i="25"/>
  <c r="AG552" i="25"/>
  <c r="AH552" i="25"/>
  <c r="AE553" i="25"/>
  <c r="AF553" i="25"/>
  <c r="AG553" i="25"/>
  <c r="AH553" i="25"/>
  <c r="AE554" i="25"/>
  <c r="AF554" i="25"/>
  <c r="AG554" i="25"/>
  <c r="AH554" i="25"/>
  <c r="AE555" i="25"/>
  <c r="AF555" i="25"/>
  <c r="AG555" i="25"/>
  <c r="AH555" i="25"/>
  <c r="AE556" i="25"/>
  <c r="AF556" i="25"/>
  <c r="AG556" i="25"/>
  <c r="AH556" i="25"/>
  <c r="AE557" i="25"/>
  <c r="AF557" i="25"/>
  <c r="AG557" i="25"/>
  <c r="AH557" i="25"/>
  <c r="AE558" i="25"/>
  <c r="AF558" i="25"/>
  <c r="AG558" i="25"/>
  <c r="AH558" i="25"/>
  <c r="AE559" i="25"/>
  <c r="AF559" i="25"/>
  <c r="AG559" i="25"/>
  <c r="AH559" i="25"/>
  <c r="AE560" i="25"/>
  <c r="AF560" i="25"/>
  <c r="AG560" i="25"/>
  <c r="AH560" i="25"/>
  <c r="AE561" i="25"/>
  <c r="AF561" i="25"/>
  <c r="AG561" i="25"/>
  <c r="AH561" i="25"/>
  <c r="AE562" i="25"/>
  <c r="AF562" i="25"/>
  <c r="AG562" i="25"/>
  <c r="AH562" i="25"/>
  <c r="AE563" i="25"/>
  <c r="AF563" i="25"/>
  <c r="AG563" i="25"/>
  <c r="AH563" i="25"/>
  <c r="AE564" i="25"/>
  <c r="AF564" i="25"/>
  <c r="AG564" i="25"/>
  <c r="AH564" i="25"/>
  <c r="AE565" i="25"/>
  <c r="AF565" i="25"/>
  <c r="AG565" i="25"/>
  <c r="AH565" i="25"/>
  <c r="AE566" i="25"/>
  <c r="AF566" i="25"/>
  <c r="AG566" i="25"/>
  <c r="AH566" i="25"/>
  <c r="AE567" i="25"/>
  <c r="AF567" i="25"/>
  <c r="AG567" i="25"/>
  <c r="AH567" i="25"/>
  <c r="AE568" i="25"/>
  <c r="AF568" i="25"/>
  <c r="AG568" i="25"/>
  <c r="AH568" i="25"/>
  <c r="AE569" i="25"/>
  <c r="AF569" i="25"/>
  <c r="AG569" i="25"/>
  <c r="AH569" i="25"/>
  <c r="AE570" i="25"/>
  <c r="AF570" i="25"/>
  <c r="AG570" i="25"/>
  <c r="AH570" i="25"/>
  <c r="AE571" i="25"/>
  <c r="AF571" i="25"/>
  <c r="AG571" i="25"/>
  <c r="AH571" i="25"/>
  <c r="AE572" i="25"/>
  <c r="AF572" i="25"/>
  <c r="AG572" i="25"/>
  <c r="AH572" i="25"/>
  <c r="AE573" i="25"/>
  <c r="AF573" i="25"/>
  <c r="AG573" i="25"/>
  <c r="AH573" i="25"/>
  <c r="AE574" i="25"/>
  <c r="AF574" i="25"/>
  <c r="AG574" i="25"/>
  <c r="AH574" i="25"/>
  <c r="AE575" i="25"/>
  <c r="AF575" i="25"/>
  <c r="AG575" i="25"/>
  <c r="AH575" i="25"/>
  <c r="AE576" i="25"/>
  <c r="AF576" i="25"/>
  <c r="AG576" i="25"/>
  <c r="AH576" i="25"/>
  <c r="AE577" i="25"/>
  <c r="AF577" i="25"/>
  <c r="AG577" i="25"/>
  <c r="AH577" i="25"/>
  <c r="AE578" i="25"/>
  <c r="AF578" i="25"/>
  <c r="AG578" i="25"/>
  <c r="AH578" i="25"/>
  <c r="AE579" i="25"/>
  <c r="AF579" i="25"/>
  <c r="AG579" i="25"/>
  <c r="AH579" i="25"/>
  <c r="AE580" i="25"/>
  <c r="AF580" i="25"/>
  <c r="AG580" i="25"/>
  <c r="AH580" i="25"/>
  <c r="AE581" i="25"/>
  <c r="AF581" i="25"/>
  <c r="AG581" i="25"/>
  <c r="AH581" i="25"/>
  <c r="AE582" i="25"/>
  <c r="AF582" i="25"/>
  <c r="AG582" i="25"/>
  <c r="AH582" i="25"/>
  <c r="AE583" i="25"/>
  <c r="AF583" i="25"/>
  <c r="AG583" i="25"/>
  <c r="AH583" i="25"/>
  <c r="AE584" i="25"/>
  <c r="AF584" i="25"/>
  <c r="AG584" i="25"/>
  <c r="AH584" i="25"/>
  <c r="AE585" i="25"/>
  <c r="AF585" i="25"/>
  <c r="AG585" i="25"/>
  <c r="AH585" i="25"/>
  <c r="AE586" i="25"/>
  <c r="AF586" i="25"/>
  <c r="AG586" i="25"/>
  <c r="AH586" i="25"/>
  <c r="AE587" i="25"/>
  <c r="AF587" i="25"/>
  <c r="AG587" i="25"/>
  <c r="AH587" i="25"/>
  <c r="AE588" i="25"/>
  <c r="AF588" i="25"/>
  <c r="AG588" i="25"/>
  <c r="AH588" i="25"/>
  <c r="AE589" i="25"/>
  <c r="AF589" i="25"/>
  <c r="AG589" i="25"/>
  <c r="AH589" i="25"/>
  <c r="AE590" i="25"/>
  <c r="AF590" i="25"/>
  <c r="AG590" i="25"/>
  <c r="AH590" i="25"/>
  <c r="AE591" i="25"/>
  <c r="AF591" i="25"/>
  <c r="AG591" i="25"/>
  <c r="AH591" i="25"/>
  <c r="AE592" i="25"/>
  <c r="AF592" i="25"/>
  <c r="AG592" i="25"/>
  <c r="AH592" i="25"/>
  <c r="AE593" i="25"/>
  <c r="AF593" i="25"/>
  <c r="AG593" i="25"/>
  <c r="AH593" i="25"/>
  <c r="AE594" i="25"/>
  <c r="AF594" i="25"/>
  <c r="AG594" i="25"/>
  <c r="AH594" i="25"/>
  <c r="AE595" i="25"/>
  <c r="AF595" i="25"/>
  <c r="AG595" i="25"/>
  <c r="AH595" i="25"/>
  <c r="AE596" i="25"/>
  <c r="AF596" i="25"/>
  <c r="AG596" i="25"/>
  <c r="AH596" i="25"/>
  <c r="AE597" i="25"/>
  <c r="AF597" i="25"/>
  <c r="AG597" i="25"/>
  <c r="AH597" i="25"/>
  <c r="AE598" i="25"/>
  <c r="AF598" i="25"/>
  <c r="AG598" i="25"/>
  <c r="AH598" i="25"/>
  <c r="AE599" i="25"/>
  <c r="AF599" i="25"/>
  <c r="AG599" i="25"/>
  <c r="AH599" i="25"/>
  <c r="AE600" i="25"/>
  <c r="AF600" i="25"/>
  <c r="AG600" i="25"/>
  <c r="AH600" i="25"/>
  <c r="AE601" i="25"/>
  <c r="AF601" i="25"/>
  <c r="AG601" i="25"/>
  <c r="AH601" i="25"/>
  <c r="AE602" i="25"/>
  <c r="AF602" i="25"/>
  <c r="AG602" i="25"/>
  <c r="AH602" i="25"/>
  <c r="AE603" i="25"/>
  <c r="AF603" i="25"/>
  <c r="AG603" i="25"/>
  <c r="AH603" i="25"/>
  <c r="AE604" i="25"/>
  <c r="AF604" i="25"/>
  <c r="AG604" i="25"/>
  <c r="AH604" i="25"/>
  <c r="AE605" i="25"/>
  <c r="AF605" i="25"/>
  <c r="AG605" i="25"/>
  <c r="AH605" i="25"/>
  <c r="AE606" i="25"/>
  <c r="AF606" i="25"/>
  <c r="AG606" i="25"/>
  <c r="AH606" i="25"/>
  <c r="AE607" i="25"/>
  <c r="AF607" i="25"/>
  <c r="AG607" i="25"/>
  <c r="AH607" i="25"/>
  <c r="AE608" i="25"/>
  <c r="AF608" i="25"/>
  <c r="AG608" i="25"/>
  <c r="AH608" i="25"/>
  <c r="AE609" i="25"/>
  <c r="AF609" i="25"/>
  <c r="AG609" i="25"/>
  <c r="AH609" i="25"/>
  <c r="AE610" i="25"/>
  <c r="AF610" i="25"/>
  <c r="AG610" i="25"/>
  <c r="AH610" i="25"/>
  <c r="AE611" i="25"/>
  <c r="AF611" i="25"/>
  <c r="AG611" i="25"/>
  <c r="AH611" i="25"/>
  <c r="AE612" i="25"/>
  <c r="AF612" i="25"/>
  <c r="AG612" i="25"/>
  <c r="AH612" i="25"/>
  <c r="AE613" i="25"/>
  <c r="AF613" i="25"/>
  <c r="AG613" i="25"/>
  <c r="AH613" i="25"/>
  <c r="AE614" i="25"/>
  <c r="AF614" i="25"/>
  <c r="AG614" i="25"/>
  <c r="AH614" i="25"/>
  <c r="AE615" i="25"/>
  <c r="AF615" i="25"/>
  <c r="AG615" i="25"/>
  <c r="AH615" i="25"/>
  <c r="AE616" i="25"/>
  <c r="AF616" i="25"/>
  <c r="AG616" i="25"/>
  <c r="AH616" i="25"/>
  <c r="AE617" i="25"/>
  <c r="AF617" i="25"/>
  <c r="AG617" i="25"/>
  <c r="AH617" i="25"/>
  <c r="AE618" i="25"/>
  <c r="AF618" i="25"/>
  <c r="AG618" i="25"/>
  <c r="AH618" i="25"/>
  <c r="AE619" i="25"/>
  <c r="AF619" i="25"/>
  <c r="AG619" i="25"/>
  <c r="AH619" i="25"/>
  <c r="AE620" i="25"/>
  <c r="AF620" i="25"/>
  <c r="AG620" i="25"/>
  <c r="AH620" i="25"/>
  <c r="AE621" i="25"/>
  <c r="AF621" i="25"/>
  <c r="AG621" i="25"/>
  <c r="AH621" i="25"/>
  <c r="AE622" i="25"/>
  <c r="AF622" i="25"/>
  <c r="AG622" i="25"/>
  <c r="AH622" i="25"/>
  <c r="AE623" i="25"/>
  <c r="AF623" i="25"/>
  <c r="AG623" i="25"/>
  <c r="AH623" i="25"/>
  <c r="AE624" i="25"/>
  <c r="AF624" i="25"/>
  <c r="AG624" i="25"/>
  <c r="AH624" i="25"/>
  <c r="AE625" i="25"/>
  <c r="AF625" i="25"/>
  <c r="AG625" i="25"/>
  <c r="AH625" i="25"/>
  <c r="AE626" i="25"/>
  <c r="AF626" i="25"/>
  <c r="AG626" i="25"/>
  <c r="AH626" i="25"/>
  <c r="AE627" i="25"/>
  <c r="AF627" i="25"/>
  <c r="AG627" i="25"/>
  <c r="AH627" i="25"/>
  <c r="AE628" i="25"/>
  <c r="AF628" i="25"/>
  <c r="AG628" i="25"/>
  <c r="AH628" i="25"/>
  <c r="AE629" i="25"/>
  <c r="AF629" i="25"/>
  <c r="AG629" i="25"/>
  <c r="AH629" i="25"/>
  <c r="AE630" i="25"/>
  <c r="AF630" i="25"/>
  <c r="AG630" i="25"/>
  <c r="AH630" i="25"/>
  <c r="AE631" i="25"/>
  <c r="AF631" i="25"/>
  <c r="AG631" i="25"/>
  <c r="AH631" i="25"/>
  <c r="AE632" i="25"/>
  <c r="AF632" i="25"/>
  <c r="AG632" i="25"/>
  <c r="AH632" i="25"/>
  <c r="AE633" i="25"/>
  <c r="AF633" i="25"/>
  <c r="AG633" i="25"/>
  <c r="AH633" i="25"/>
  <c r="AE634" i="25"/>
  <c r="AF634" i="25"/>
  <c r="AG634" i="25"/>
  <c r="AH634" i="25"/>
  <c r="AE635" i="25"/>
  <c r="AF635" i="25"/>
  <c r="AG635" i="25"/>
  <c r="AH635" i="25"/>
  <c r="AE636" i="25"/>
  <c r="AF636" i="25"/>
  <c r="AG636" i="25"/>
  <c r="AH636" i="25"/>
  <c r="AE637" i="25"/>
  <c r="AF637" i="25"/>
  <c r="AG637" i="25"/>
  <c r="AH637" i="25"/>
  <c r="AE638" i="25"/>
  <c r="AF638" i="25"/>
  <c r="AG638" i="25"/>
  <c r="AH638" i="25"/>
  <c r="AE639" i="25"/>
  <c r="AF639" i="25"/>
  <c r="AG639" i="25"/>
  <c r="AH639" i="25"/>
  <c r="AE640" i="25"/>
  <c r="AF640" i="25"/>
  <c r="AG640" i="25"/>
  <c r="AH640" i="25"/>
  <c r="AE641" i="25"/>
  <c r="AF641" i="25"/>
  <c r="AG641" i="25"/>
  <c r="AH641" i="25"/>
  <c r="AE642" i="25"/>
  <c r="AF642" i="25"/>
  <c r="AG642" i="25"/>
  <c r="AH642" i="25"/>
  <c r="AE643" i="25"/>
  <c r="AF643" i="25"/>
  <c r="AG643" i="25"/>
  <c r="AH643" i="25"/>
  <c r="AE644" i="25"/>
  <c r="AF644" i="25"/>
  <c r="AG644" i="25"/>
  <c r="AH644" i="25"/>
  <c r="AE645" i="25"/>
  <c r="AF645" i="25"/>
  <c r="AG645" i="25"/>
  <c r="AH645" i="25"/>
  <c r="AE646" i="25"/>
  <c r="AF646" i="25"/>
  <c r="AG646" i="25"/>
  <c r="AH646" i="25"/>
  <c r="AE647" i="25"/>
  <c r="AF647" i="25"/>
  <c r="AG647" i="25"/>
  <c r="AH647" i="25"/>
  <c r="AE648" i="25"/>
  <c r="AF648" i="25"/>
  <c r="AG648" i="25"/>
  <c r="AH648" i="25"/>
  <c r="AE649" i="25"/>
  <c r="AF649" i="25"/>
  <c r="AG649" i="25"/>
  <c r="AH649" i="25"/>
  <c r="AE650" i="25"/>
  <c r="AF650" i="25"/>
  <c r="AG650" i="25"/>
  <c r="AH650" i="25"/>
  <c r="AE651" i="25"/>
  <c r="AF651" i="25"/>
  <c r="AG651" i="25"/>
  <c r="AH651" i="25"/>
  <c r="AE652" i="25"/>
  <c r="AF652" i="25"/>
  <c r="AG652" i="25"/>
  <c r="AH652" i="25"/>
  <c r="AE653" i="25"/>
  <c r="AF653" i="25"/>
  <c r="AG653" i="25"/>
  <c r="AH653" i="25"/>
  <c r="AE654" i="25"/>
  <c r="AF654" i="25"/>
  <c r="AG654" i="25"/>
  <c r="AH654" i="25"/>
  <c r="AE655" i="25"/>
  <c r="AF655" i="25"/>
  <c r="AG655" i="25"/>
  <c r="AH655" i="25"/>
  <c r="AE656" i="25"/>
  <c r="AF656" i="25"/>
  <c r="AG656" i="25"/>
  <c r="AH656" i="25"/>
  <c r="AE657" i="25"/>
  <c r="AF657" i="25"/>
  <c r="AG657" i="25"/>
  <c r="AH657" i="25"/>
  <c r="AE658" i="25"/>
  <c r="AF658" i="25"/>
  <c r="AG658" i="25"/>
  <c r="AH658" i="25"/>
  <c r="AE659" i="25"/>
  <c r="AF659" i="25"/>
  <c r="AG659" i="25"/>
  <c r="AH659" i="25"/>
  <c r="AE660" i="25"/>
  <c r="AF660" i="25"/>
  <c r="AG660" i="25"/>
  <c r="AH660" i="25"/>
  <c r="AE661" i="25"/>
  <c r="AF661" i="25"/>
  <c r="AG661" i="25"/>
  <c r="AH661" i="25"/>
  <c r="AE223" i="25"/>
  <c r="AF223" i="25"/>
  <c r="AG223" i="25"/>
  <c r="AH223" i="25"/>
  <c r="AE224" i="25"/>
  <c r="AF224" i="25"/>
  <c r="AG224" i="25"/>
  <c r="AH224" i="25"/>
  <c r="AE225" i="25"/>
  <c r="AF225" i="25"/>
  <c r="AG225" i="25"/>
  <c r="AH225" i="25"/>
  <c r="AE226" i="25"/>
  <c r="AF226" i="25"/>
  <c r="AG226" i="25"/>
  <c r="AH226" i="25"/>
  <c r="AE227" i="25"/>
  <c r="AF227" i="25"/>
  <c r="AG227" i="25"/>
  <c r="AH227" i="25"/>
  <c r="AE228" i="25"/>
  <c r="AF228" i="25"/>
  <c r="AG228" i="25"/>
  <c r="AH228" i="25"/>
  <c r="AE229" i="25"/>
  <c r="AF229" i="25"/>
  <c r="AG229" i="25"/>
  <c r="AH229" i="25"/>
  <c r="AE230" i="25"/>
  <c r="AF230" i="25"/>
  <c r="AG230" i="25"/>
  <c r="AH230" i="25"/>
  <c r="AE231" i="25"/>
  <c r="AF231" i="25"/>
  <c r="AG231" i="25"/>
  <c r="AH231" i="25"/>
  <c r="AE232" i="25"/>
  <c r="AF232" i="25"/>
  <c r="AG232" i="25"/>
  <c r="AH232" i="25"/>
  <c r="AE233" i="25"/>
  <c r="AF233" i="25"/>
  <c r="AG233" i="25"/>
  <c r="AH233" i="25"/>
  <c r="AE234" i="25"/>
  <c r="AF234" i="25"/>
  <c r="AG234" i="25"/>
  <c r="AH234" i="25"/>
  <c r="AE235" i="25"/>
  <c r="AF235" i="25"/>
  <c r="AG235" i="25"/>
  <c r="AH235" i="25"/>
  <c r="AE236" i="25"/>
  <c r="AF236" i="25"/>
  <c r="AG236" i="25"/>
  <c r="AH236" i="25"/>
  <c r="AE237" i="25"/>
  <c r="AF237" i="25"/>
  <c r="AG237" i="25"/>
  <c r="AH237" i="25"/>
  <c r="AE238" i="25"/>
  <c r="AF238" i="25"/>
  <c r="AG238" i="25"/>
  <c r="AH238" i="25"/>
  <c r="AE239" i="25"/>
  <c r="AF239" i="25"/>
  <c r="AG239" i="25"/>
  <c r="AH239" i="25"/>
  <c r="AE240" i="25"/>
  <c r="AF240" i="25"/>
  <c r="AG240" i="25"/>
  <c r="AH240" i="25"/>
  <c r="AE241" i="25"/>
  <c r="AF241" i="25"/>
  <c r="AG241" i="25"/>
  <c r="AH241" i="25"/>
  <c r="AE242" i="25"/>
  <c r="AF242" i="25"/>
  <c r="AG242" i="25"/>
  <c r="AH242" i="25"/>
  <c r="AE243" i="25"/>
  <c r="AF243" i="25"/>
  <c r="AG243" i="25"/>
  <c r="AH243" i="25"/>
  <c r="AE244" i="25"/>
  <c r="AF244" i="25"/>
  <c r="AG244" i="25"/>
  <c r="AH244" i="25"/>
  <c r="AE245" i="25"/>
  <c r="AF245" i="25"/>
  <c r="AG245" i="25"/>
  <c r="AH245" i="25"/>
  <c r="AE246" i="25"/>
  <c r="AF246" i="25"/>
  <c r="AG246" i="25"/>
  <c r="AH246" i="25"/>
  <c r="AE247" i="25"/>
  <c r="AF247" i="25"/>
  <c r="AG247" i="25"/>
  <c r="AH247" i="25"/>
  <c r="AE248" i="25"/>
  <c r="AF248" i="25"/>
  <c r="AG248" i="25"/>
  <c r="AH248" i="25"/>
  <c r="AE249" i="25"/>
  <c r="AF249" i="25"/>
  <c r="AG249" i="25"/>
  <c r="AH249" i="25"/>
  <c r="AE250" i="25"/>
  <c r="AF250" i="25"/>
  <c r="AG250" i="25"/>
  <c r="AH250" i="25"/>
  <c r="AE251" i="25"/>
  <c r="AF251" i="25"/>
  <c r="AG251" i="25"/>
  <c r="AH251" i="25"/>
  <c r="AE252" i="25"/>
  <c r="AF252" i="25"/>
  <c r="AG252" i="25"/>
  <c r="AH252" i="25"/>
  <c r="AE253" i="25"/>
  <c r="AF253" i="25"/>
  <c r="AG253" i="25"/>
  <c r="AH253" i="25"/>
  <c r="AE254" i="25"/>
  <c r="AF254" i="25"/>
  <c r="AG254" i="25"/>
  <c r="AH254" i="25"/>
  <c r="AE255" i="25"/>
  <c r="AF255" i="25"/>
  <c r="AG255" i="25"/>
  <c r="AH255" i="25"/>
  <c r="AE256" i="25"/>
  <c r="AF256" i="25"/>
  <c r="AG256" i="25"/>
  <c r="AH256" i="25"/>
  <c r="AE257" i="25"/>
  <c r="AF257" i="25"/>
  <c r="AG257" i="25"/>
  <c r="AH257" i="25"/>
  <c r="AE258" i="25"/>
  <c r="AF258" i="25"/>
  <c r="AG258" i="25"/>
  <c r="AH258" i="25"/>
  <c r="AE259" i="25"/>
  <c r="AF259" i="25"/>
  <c r="AG259" i="25"/>
  <c r="AH259" i="25"/>
  <c r="AE260" i="25"/>
  <c r="AF260" i="25"/>
  <c r="AG260" i="25"/>
  <c r="AH260" i="25"/>
  <c r="AE261" i="25"/>
  <c r="AF261" i="25"/>
  <c r="AG261" i="25"/>
  <c r="AH261" i="25"/>
  <c r="AE262" i="25"/>
  <c r="AF262" i="25"/>
  <c r="AG262" i="25"/>
  <c r="AH262" i="25"/>
  <c r="AE263" i="25"/>
  <c r="AF263" i="25"/>
  <c r="AG263" i="25"/>
  <c r="AH263" i="25"/>
  <c r="AE264" i="25"/>
  <c r="AF264" i="25"/>
  <c r="AG264" i="25"/>
  <c r="AH264" i="25"/>
  <c r="AE265" i="25"/>
  <c r="AF265" i="25"/>
  <c r="AG265" i="25"/>
  <c r="AH265" i="25"/>
  <c r="AE266" i="25"/>
  <c r="AF266" i="25"/>
  <c r="AG266" i="25"/>
  <c r="AH266" i="25"/>
  <c r="AE267" i="25"/>
  <c r="AF267" i="25"/>
  <c r="AG267" i="25"/>
  <c r="AH267" i="25"/>
  <c r="AE268" i="25"/>
  <c r="AF268" i="25"/>
  <c r="AG268" i="25"/>
  <c r="AH268" i="25"/>
  <c r="AE269" i="25"/>
  <c r="AF269" i="25"/>
  <c r="AG269" i="25"/>
  <c r="AH269" i="25"/>
  <c r="AE270" i="25"/>
  <c r="AF270" i="25"/>
  <c r="AG270" i="25"/>
  <c r="AH270" i="25"/>
  <c r="AE271" i="25"/>
  <c r="AF271" i="25"/>
  <c r="AG271" i="25"/>
  <c r="AH271" i="25"/>
  <c r="AE272" i="25"/>
  <c r="AF272" i="25"/>
  <c r="AG272" i="25"/>
  <c r="AH272" i="25"/>
  <c r="AE273" i="25"/>
  <c r="AF273" i="25"/>
  <c r="AG273" i="25"/>
  <c r="AH273" i="25"/>
  <c r="AE274" i="25"/>
  <c r="AF274" i="25"/>
  <c r="AG274" i="25"/>
  <c r="AH274" i="25"/>
  <c r="AE275" i="25"/>
  <c r="AF275" i="25"/>
  <c r="AG275" i="25"/>
  <c r="AH275" i="25"/>
  <c r="AE276" i="25"/>
  <c r="AF276" i="25"/>
  <c r="AG276" i="25"/>
  <c r="AH276" i="25"/>
  <c r="AE277" i="25"/>
  <c r="AF277" i="25"/>
  <c r="AG277" i="25"/>
  <c r="AH277" i="25"/>
  <c r="AE278" i="25"/>
  <c r="AF278" i="25"/>
  <c r="AG278" i="25"/>
  <c r="AH278" i="25"/>
  <c r="AE279" i="25"/>
  <c r="AF279" i="25"/>
  <c r="AG279" i="25"/>
  <c r="AH279" i="25"/>
  <c r="AE280" i="25"/>
  <c r="AF280" i="25"/>
  <c r="AG280" i="25"/>
  <c r="AH280" i="25"/>
  <c r="AE281" i="25"/>
  <c r="AF281" i="25"/>
  <c r="AG281" i="25"/>
  <c r="AH281" i="25"/>
  <c r="AE282" i="25"/>
  <c r="AF282" i="25"/>
  <c r="AG282" i="25"/>
  <c r="AH282" i="25"/>
  <c r="AE283" i="25"/>
  <c r="AF283" i="25"/>
  <c r="AG283" i="25"/>
  <c r="AH283" i="25"/>
  <c r="AE284" i="25"/>
  <c r="AF284" i="25"/>
  <c r="AG284" i="25"/>
  <c r="AH284" i="25"/>
  <c r="AE285" i="25"/>
  <c r="AF285" i="25"/>
  <c r="AG285" i="25"/>
  <c r="AH285" i="25"/>
  <c r="AE286" i="25"/>
  <c r="AF286" i="25"/>
  <c r="AG286" i="25"/>
  <c r="AH286" i="25"/>
  <c r="AE287" i="25"/>
  <c r="AF287" i="25"/>
  <c r="AG287" i="25"/>
  <c r="AH287" i="25"/>
  <c r="AE288" i="25"/>
  <c r="AF288" i="25"/>
  <c r="AG288" i="25"/>
  <c r="AH288" i="25"/>
  <c r="AE289" i="25"/>
  <c r="AF289" i="25"/>
  <c r="AG289" i="25"/>
  <c r="AH289" i="25"/>
  <c r="AE290" i="25"/>
  <c r="AF290" i="25"/>
  <c r="AG290" i="25"/>
  <c r="AH290" i="25"/>
  <c r="AE291" i="25"/>
  <c r="AF291" i="25"/>
  <c r="AG291" i="25"/>
  <c r="AH291" i="25"/>
  <c r="AE292" i="25"/>
  <c r="AF292" i="25"/>
  <c r="AG292" i="25"/>
  <c r="AH292" i="25"/>
  <c r="AE293" i="25"/>
  <c r="AF293" i="25"/>
  <c r="AG293" i="25"/>
  <c r="AH293" i="25"/>
  <c r="AE294" i="25"/>
  <c r="AF294" i="25"/>
  <c r="AG294" i="25"/>
  <c r="AH294" i="25"/>
  <c r="AE295" i="25"/>
  <c r="AF295" i="25"/>
  <c r="AG295" i="25"/>
  <c r="AH295" i="25"/>
  <c r="AE296" i="25"/>
  <c r="AF296" i="25"/>
  <c r="AG296" i="25"/>
  <c r="AH296" i="25"/>
  <c r="AE297" i="25"/>
  <c r="AF297" i="25"/>
  <c r="AG297" i="25"/>
  <c r="AH297" i="25"/>
  <c r="AE298" i="25"/>
  <c r="AF298" i="25"/>
  <c r="AG298" i="25"/>
  <c r="AH298" i="25"/>
  <c r="AE299" i="25"/>
  <c r="AF299" i="25"/>
  <c r="AG299" i="25"/>
  <c r="AH299" i="25"/>
  <c r="AE300" i="25"/>
  <c r="AF300" i="25"/>
  <c r="AG300" i="25"/>
  <c r="AH300" i="25"/>
  <c r="AE301" i="25"/>
  <c r="AF301" i="25"/>
  <c r="AG301" i="25"/>
  <c r="AH301" i="25"/>
  <c r="AE302" i="25"/>
  <c r="AF302" i="25"/>
  <c r="AG302" i="25"/>
  <c r="AH302" i="25"/>
  <c r="AE303" i="25"/>
  <c r="AF303" i="25"/>
  <c r="AG303" i="25"/>
  <c r="AH303" i="25"/>
  <c r="AE304" i="25"/>
  <c r="AF304" i="25"/>
  <c r="AG304" i="25"/>
  <c r="AH304" i="25"/>
  <c r="AE305" i="25"/>
  <c r="AF305" i="25"/>
  <c r="AG305" i="25"/>
  <c r="AH305" i="25"/>
  <c r="AE306" i="25"/>
  <c r="AF306" i="25"/>
  <c r="AG306" i="25"/>
  <c r="AH306" i="25"/>
  <c r="AE307" i="25"/>
  <c r="AF307" i="25"/>
  <c r="AG307" i="25"/>
  <c r="AH307" i="25"/>
  <c r="AE308" i="25"/>
  <c r="AF308" i="25"/>
  <c r="AG308" i="25"/>
  <c r="AH308" i="25"/>
  <c r="AE309" i="25"/>
  <c r="AF309" i="25"/>
  <c r="AG309" i="25"/>
  <c r="AH309" i="25"/>
  <c r="AE310" i="25"/>
  <c r="AF310" i="25"/>
  <c r="AG310" i="25"/>
  <c r="AH310" i="25"/>
  <c r="AE311" i="25"/>
  <c r="AF311" i="25"/>
  <c r="AG311" i="25"/>
  <c r="AH311" i="25"/>
  <c r="AE312" i="25"/>
  <c r="AF312" i="25"/>
  <c r="AG312" i="25"/>
  <c r="AH312" i="25"/>
  <c r="AE313" i="25"/>
  <c r="AF313" i="25"/>
  <c r="AG313" i="25"/>
  <c r="AH313" i="25"/>
  <c r="AE314" i="25"/>
  <c r="AF314" i="25"/>
  <c r="AG314" i="25"/>
  <c r="AH314" i="25"/>
  <c r="AE315" i="25"/>
  <c r="AF315" i="25"/>
  <c r="AG315" i="25"/>
  <c r="AH315" i="25"/>
  <c r="AE316" i="25"/>
  <c r="AF316" i="25"/>
  <c r="AG316" i="25"/>
  <c r="AH316" i="25"/>
  <c r="AE317" i="25"/>
  <c r="AF317" i="25"/>
  <c r="AG317" i="25"/>
  <c r="AH317" i="25"/>
  <c r="AE318" i="25"/>
  <c r="AF318" i="25"/>
  <c r="AG318" i="25"/>
  <c r="AH318" i="25"/>
  <c r="AE319" i="25"/>
  <c r="AF319" i="25"/>
  <c r="AG319" i="25"/>
  <c r="AH319" i="25"/>
  <c r="AE320" i="25"/>
  <c r="AF320" i="25"/>
  <c r="AG320" i="25"/>
  <c r="AH320" i="25"/>
  <c r="AE321" i="25"/>
  <c r="AF321" i="25"/>
  <c r="AG321" i="25"/>
  <c r="AH321" i="25"/>
  <c r="AE322" i="25"/>
  <c r="AF322" i="25"/>
  <c r="AG322" i="25"/>
  <c r="AH322" i="25"/>
  <c r="AE323" i="25"/>
  <c r="AF323" i="25"/>
  <c r="AG323" i="25"/>
  <c r="AH323" i="25"/>
  <c r="AE324" i="25"/>
  <c r="AF324" i="25"/>
  <c r="AG324" i="25"/>
  <c r="AH324" i="25"/>
  <c r="AE325" i="25"/>
  <c r="AF325" i="25"/>
  <c r="AG325" i="25"/>
  <c r="AH325" i="25"/>
  <c r="AE326" i="25"/>
  <c r="AF326" i="25"/>
  <c r="AG326" i="25"/>
  <c r="AH326" i="25"/>
  <c r="AE327" i="25"/>
  <c r="AF327" i="25"/>
  <c r="AG327" i="25"/>
  <c r="AH327" i="25"/>
  <c r="AE328" i="25"/>
  <c r="AF328" i="25"/>
  <c r="AG328" i="25"/>
  <c r="AH328" i="25"/>
  <c r="AE329" i="25"/>
  <c r="AF329" i="25"/>
  <c r="AG329" i="25"/>
  <c r="AH329" i="25"/>
  <c r="AE330" i="25"/>
  <c r="AF330" i="25"/>
  <c r="AG330" i="25"/>
  <c r="AH330" i="25"/>
  <c r="AE331" i="25"/>
  <c r="AF331" i="25"/>
  <c r="AG331" i="25"/>
  <c r="AH331" i="25"/>
  <c r="AE332" i="25"/>
  <c r="AF332" i="25"/>
  <c r="AG332" i="25"/>
  <c r="AH332" i="25"/>
  <c r="AE333" i="25"/>
  <c r="AF333" i="25"/>
  <c r="AG333" i="25"/>
  <c r="AH333" i="25"/>
  <c r="AE334" i="25"/>
  <c r="AF334" i="25"/>
  <c r="AG334" i="25"/>
  <c r="AH334" i="25"/>
  <c r="AE335" i="25"/>
  <c r="AF335" i="25"/>
  <c r="AG335" i="25"/>
  <c r="AH335" i="25"/>
  <c r="AE336" i="25"/>
  <c r="AF336" i="25"/>
  <c r="AG336" i="25"/>
  <c r="AH336" i="25"/>
  <c r="AE337" i="25"/>
  <c r="AF337" i="25"/>
  <c r="AG337" i="25"/>
  <c r="AH337" i="25"/>
  <c r="AE338" i="25"/>
  <c r="AF338" i="25"/>
  <c r="AG338" i="25"/>
  <c r="AH338" i="25"/>
  <c r="AE339" i="25"/>
  <c r="AF339" i="25"/>
  <c r="AG339" i="25"/>
  <c r="AH339" i="25"/>
  <c r="AE340" i="25"/>
  <c r="AF340" i="25"/>
  <c r="AG340" i="25"/>
  <c r="AH340" i="25"/>
  <c r="AE341" i="25"/>
  <c r="AF341" i="25"/>
  <c r="AG341" i="25"/>
  <c r="AH341" i="25"/>
  <c r="AE342" i="25"/>
  <c r="AF342" i="25"/>
  <c r="AG342" i="25"/>
  <c r="AH342" i="25"/>
  <c r="AE343" i="25"/>
  <c r="AF343" i="25"/>
  <c r="AG343" i="25"/>
  <c r="AH343" i="25"/>
  <c r="AE344" i="25"/>
  <c r="AF344" i="25"/>
  <c r="AG344" i="25"/>
  <c r="AH344" i="25"/>
  <c r="AE345" i="25"/>
  <c r="AF345" i="25"/>
  <c r="AG345" i="25"/>
  <c r="AH345" i="25"/>
  <c r="AE346" i="25"/>
  <c r="AF346" i="25"/>
  <c r="AG346" i="25"/>
  <c r="AH346" i="25"/>
  <c r="AE347" i="25"/>
  <c r="AF347" i="25"/>
  <c r="AG347" i="25"/>
  <c r="AH347" i="25"/>
  <c r="AE348" i="25"/>
  <c r="AF348" i="25"/>
  <c r="AG348" i="25"/>
  <c r="AH348" i="25"/>
  <c r="AE349" i="25"/>
  <c r="AF349" i="25"/>
  <c r="AG349" i="25"/>
  <c r="AH349" i="25"/>
  <c r="AE350" i="25"/>
  <c r="AF350" i="25"/>
  <c r="AG350" i="25"/>
  <c r="AH350" i="25"/>
  <c r="AE351" i="25"/>
  <c r="AF351" i="25"/>
  <c r="AG351" i="25"/>
  <c r="AH351" i="25"/>
  <c r="AE352" i="25"/>
  <c r="AF352" i="25"/>
  <c r="AG352" i="25"/>
  <c r="AH352" i="25"/>
  <c r="AE353" i="25"/>
  <c r="AF353" i="25"/>
  <c r="AG353" i="25"/>
  <c r="AH353" i="25"/>
  <c r="AE354" i="25"/>
  <c r="AF354" i="25"/>
  <c r="AG354" i="25"/>
  <c r="AH354" i="25"/>
  <c r="AE355" i="25"/>
  <c r="AF355" i="25"/>
  <c r="AG355" i="25"/>
  <c r="AH355" i="25"/>
  <c r="AE356" i="25"/>
  <c r="AF356" i="25"/>
  <c r="AG356" i="25"/>
  <c r="AH356" i="25"/>
  <c r="AE357" i="25"/>
  <c r="AF357" i="25"/>
  <c r="AG357" i="25"/>
  <c r="AH357" i="25"/>
  <c r="AE358" i="25"/>
  <c r="AF358" i="25"/>
  <c r="AG358" i="25"/>
  <c r="AH358" i="25"/>
  <c r="AE359" i="25"/>
  <c r="AF359" i="25"/>
  <c r="AG359" i="25"/>
  <c r="AH359" i="25"/>
  <c r="AE360" i="25"/>
  <c r="AF360" i="25"/>
  <c r="AG360" i="25"/>
  <c r="AH360" i="25"/>
  <c r="AE361" i="25"/>
  <c r="AF361" i="25"/>
  <c r="AG361" i="25"/>
  <c r="AH361" i="25"/>
  <c r="AE362" i="25"/>
  <c r="AF362" i="25"/>
  <c r="AG362" i="25"/>
  <c r="AH362" i="25"/>
  <c r="AE363" i="25"/>
  <c r="AF363" i="25"/>
  <c r="AG363" i="25"/>
  <c r="AH363" i="25"/>
  <c r="AE364" i="25"/>
  <c r="AF364" i="25"/>
  <c r="AG364" i="25"/>
  <c r="AH364" i="25"/>
  <c r="AE365" i="25"/>
  <c r="AF365" i="25"/>
  <c r="AG365" i="25"/>
  <c r="AH365" i="25"/>
  <c r="AE366" i="25"/>
  <c r="AF366" i="25"/>
  <c r="AG366" i="25"/>
  <c r="AH366" i="25"/>
  <c r="AE367" i="25"/>
  <c r="AF367" i="25"/>
  <c r="AG367" i="25"/>
  <c r="AH367" i="25"/>
  <c r="AE368" i="25"/>
  <c r="AF368" i="25"/>
  <c r="AG368" i="25"/>
  <c r="AH368" i="25"/>
  <c r="AE369" i="25"/>
  <c r="AF369" i="25"/>
  <c r="AG369" i="25"/>
  <c r="AH369" i="25"/>
  <c r="AE370" i="25"/>
  <c r="AF370" i="25"/>
  <c r="AG370" i="25"/>
  <c r="AH370" i="25"/>
  <c r="AE371" i="25"/>
  <c r="AF371" i="25"/>
  <c r="AG371" i="25"/>
  <c r="AH371" i="25"/>
  <c r="AE372" i="25"/>
  <c r="AF372" i="25"/>
  <c r="AG372" i="25"/>
  <c r="AH372" i="25"/>
  <c r="AE373" i="25"/>
  <c r="AF373" i="25"/>
  <c r="AG373" i="25"/>
  <c r="AH373" i="25"/>
  <c r="AE374" i="25"/>
  <c r="AF374" i="25"/>
  <c r="AG374" i="25"/>
  <c r="AH374" i="25"/>
  <c r="AE375" i="25"/>
  <c r="AF375" i="25"/>
  <c r="AG375" i="25"/>
  <c r="AH375" i="25"/>
  <c r="AE376" i="25"/>
  <c r="AF376" i="25"/>
  <c r="AG376" i="25"/>
  <c r="AH376" i="25"/>
  <c r="AE377" i="25"/>
  <c r="AF377" i="25"/>
  <c r="AG377" i="25"/>
  <c r="AH377" i="25"/>
  <c r="AE378" i="25"/>
  <c r="AF378" i="25"/>
  <c r="AG378" i="25"/>
  <c r="AH378" i="25"/>
  <c r="AE379" i="25"/>
  <c r="AF379" i="25"/>
  <c r="AG379" i="25"/>
  <c r="AH379" i="25"/>
  <c r="AE380" i="25"/>
  <c r="AF380" i="25"/>
  <c r="AG380" i="25"/>
  <c r="AH380" i="25"/>
  <c r="AE381" i="25"/>
  <c r="AF381" i="25"/>
  <c r="AG381" i="25"/>
  <c r="AH381" i="25"/>
  <c r="AE382" i="25"/>
  <c r="AF382" i="25"/>
  <c r="AG382" i="25"/>
  <c r="AH382" i="25"/>
  <c r="AE383" i="25"/>
  <c r="AF383" i="25"/>
  <c r="AG383" i="25"/>
  <c r="AH383" i="25"/>
  <c r="AE384" i="25"/>
  <c r="AF384" i="25"/>
  <c r="AG384" i="25"/>
  <c r="AH384" i="25"/>
  <c r="AE385" i="25"/>
  <c r="AF385" i="25"/>
  <c r="AG385" i="25"/>
  <c r="AH385" i="25"/>
  <c r="AE386" i="25"/>
  <c r="AF386" i="25"/>
  <c r="AG386" i="25"/>
  <c r="AH386" i="25"/>
  <c r="AE387" i="25"/>
  <c r="AF387" i="25"/>
  <c r="AG387" i="25"/>
  <c r="AH387" i="25"/>
  <c r="AE388" i="25"/>
  <c r="AF388" i="25"/>
  <c r="AG388" i="25"/>
  <c r="AH388" i="25"/>
  <c r="AE389" i="25"/>
  <c r="AF389" i="25"/>
  <c r="AG389" i="25"/>
  <c r="AH389" i="25"/>
  <c r="AE390" i="25"/>
  <c r="AF390" i="25"/>
  <c r="AG390" i="25"/>
  <c r="AH390" i="25"/>
  <c r="AE391" i="25"/>
  <c r="AF391" i="25"/>
  <c r="AG391" i="25"/>
  <c r="AH391" i="25"/>
  <c r="AE392" i="25"/>
  <c r="AF392" i="25"/>
  <c r="AG392" i="25"/>
  <c r="AH392" i="25"/>
  <c r="AE393" i="25"/>
  <c r="AF393" i="25"/>
  <c r="AG393" i="25"/>
  <c r="AH393" i="25"/>
  <c r="AE394" i="25"/>
  <c r="AF394" i="25"/>
  <c r="AG394" i="25"/>
  <c r="AH394" i="25"/>
  <c r="AE395" i="25"/>
  <c r="AF395" i="25"/>
  <c r="AG395" i="25"/>
  <c r="AH395" i="25"/>
  <c r="AE396" i="25"/>
  <c r="AF396" i="25"/>
  <c r="AG396" i="25"/>
  <c r="AH396" i="25"/>
  <c r="AE397" i="25"/>
  <c r="AF397" i="25"/>
  <c r="AG397" i="25"/>
  <c r="AH397" i="25"/>
  <c r="AE398" i="25"/>
  <c r="AF398" i="25"/>
  <c r="AG398" i="25"/>
  <c r="AH398" i="25"/>
  <c r="AE399" i="25"/>
  <c r="AF399" i="25"/>
  <c r="AG399" i="25"/>
  <c r="AH399" i="25"/>
  <c r="AE400" i="25"/>
  <c r="AF400" i="25"/>
  <c r="AG400" i="25"/>
  <c r="AH400" i="25"/>
  <c r="AE401" i="25"/>
  <c r="AF401" i="25"/>
  <c r="AG401" i="25"/>
  <c r="AH401" i="25"/>
  <c r="AE402" i="25"/>
  <c r="AF402" i="25"/>
  <c r="AG402" i="25"/>
  <c r="AH402" i="25"/>
  <c r="AE403" i="25"/>
  <c r="AF403" i="25"/>
  <c r="AG403" i="25"/>
  <c r="AH403" i="25"/>
  <c r="AE404" i="25"/>
  <c r="AF404" i="25"/>
  <c r="AG404" i="25"/>
  <c r="AH404" i="25"/>
  <c r="AE405" i="25"/>
  <c r="AF405" i="25"/>
  <c r="AG405" i="25"/>
  <c r="AH405" i="25"/>
  <c r="AE406" i="25"/>
  <c r="AF406" i="25"/>
  <c r="AG406" i="25"/>
  <c r="AH406" i="25"/>
  <c r="AE407" i="25"/>
  <c r="AF407" i="25"/>
  <c r="AG407" i="25"/>
  <c r="AH407" i="25"/>
  <c r="AE408" i="25"/>
  <c r="AF408" i="25"/>
  <c r="AG408" i="25"/>
  <c r="AH408" i="25"/>
  <c r="AE409" i="25"/>
  <c r="AF409" i="25"/>
  <c r="AG409" i="25"/>
  <c r="AH409" i="25"/>
  <c r="AE410" i="25"/>
  <c r="AF410" i="25"/>
  <c r="AG410" i="25"/>
  <c r="AH410" i="25"/>
  <c r="AE411" i="25"/>
  <c r="AF411" i="25"/>
  <c r="AG411" i="25"/>
  <c r="AH411" i="25"/>
  <c r="AE412" i="25"/>
  <c r="AF412" i="25"/>
  <c r="AG412" i="25"/>
  <c r="AH412" i="25"/>
  <c r="AE413" i="25"/>
  <c r="AF413" i="25"/>
  <c r="AG413" i="25"/>
  <c r="AH413" i="25"/>
  <c r="AE414" i="25"/>
  <c r="AF414" i="25"/>
  <c r="AG414" i="25"/>
  <c r="AH414" i="25"/>
  <c r="AE415" i="25"/>
  <c r="AF415" i="25"/>
  <c r="AG415" i="25"/>
  <c r="AH415" i="25"/>
  <c r="AE416" i="25"/>
  <c r="AF416" i="25"/>
  <c r="AG416" i="25"/>
  <c r="AH416" i="25"/>
  <c r="AE417" i="25"/>
  <c r="AF417" i="25"/>
  <c r="AG417" i="25"/>
  <c r="AH417" i="25"/>
  <c r="AE418" i="25"/>
  <c r="AF418" i="25"/>
  <c r="AG418" i="25"/>
  <c r="AH418" i="25"/>
  <c r="AE419" i="25"/>
  <c r="AF419" i="25"/>
  <c r="AG419" i="25"/>
  <c r="AH419" i="25"/>
  <c r="AE420" i="25"/>
  <c r="AF420" i="25"/>
  <c r="AG420" i="25"/>
  <c r="AH420" i="25"/>
  <c r="AE421" i="25"/>
  <c r="AF421" i="25"/>
  <c r="AG421" i="25"/>
  <c r="AH421" i="25"/>
  <c r="AE422" i="25"/>
  <c r="AF422" i="25"/>
  <c r="AG422" i="25"/>
  <c r="AH422" i="25"/>
  <c r="AE423" i="25"/>
  <c r="AF423" i="25"/>
  <c r="AG423" i="25"/>
  <c r="AH423" i="25"/>
  <c r="AE424" i="25"/>
  <c r="AF424" i="25"/>
  <c r="AG424" i="25"/>
  <c r="AH424" i="25"/>
  <c r="AE425" i="25"/>
  <c r="AF425" i="25"/>
  <c r="AG425" i="25"/>
  <c r="AH425" i="25"/>
  <c r="AE426" i="25"/>
  <c r="AF426" i="25"/>
  <c r="AG426" i="25"/>
  <c r="AH426" i="25"/>
  <c r="AE427" i="25"/>
  <c r="AF427" i="25"/>
  <c r="AG427" i="25"/>
  <c r="AH427" i="25"/>
  <c r="AE428" i="25"/>
  <c r="AF428" i="25"/>
  <c r="AG428" i="25"/>
  <c r="AH428" i="25"/>
  <c r="AE429" i="25"/>
  <c r="AF429" i="25"/>
  <c r="AG429" i="25"/>
  <c r="AH429" i="25"/>
  <c r="AE430" i="25"/>
  <c r="AF430" i="25"/>
  <c r="AG430" i="25"/>
  <c r="AH430" i="25"/>
  <c r="AE431" i="25"/>
  <c r="AF431" i="25"/>
  <c r="AG431" i="25"/>
  <c r="AH431" i="25"/>
  <c r="AE432" i="25"/>
  <c r="AF432" i="25"/>
  <c r="AG432" i="25"/>
  <c r="AH432" i="25"/>
  <c r="AE433" i="25"/>
  <c r="AF433" i="25"/>
  <c r="AG433" i="25"/>
  <c r="AH433" i="25"/>
  <c r="AE434" i="25"/>
  <c r="AF434" i="25"/>
  <c r="AG434" i="25"/>
  <c r="AH434" i="25"/>
  <c r="AE435" i="25"/>
  <c r="AF435" i="25"/>
  <c r="AG435" i="25"/>
  <c r="AH435" i="25"/>
  <c r="AE436" i="25"/>
  <c r="AF436" i="25"/>
  <c r="AG436" i="25"/>
  <c r="AH436" i="25"/>
  <c r="AE437" i="25"/>
  <c r="AF437" i="25"/>
  <c r="AG437" i="25"/>
  <c r="AH437" i="25"/>
  <c r="AE438" i="25"/>
  <c r="AF438" i="25"/>
  <c r="AG438" i="25"/>
  <c r="AH438" i="25"/>
  <c r="AE439" i="25"/>
  <c r="AF439" i="25"/>
  <c r="AG439" i="25"/>
  <c r="AH439" i="25"/>
  <c r="AE440" i="25"/>
  <c r="AF440" i="25"/>
  <c r="AG440" i="25"/>
  <c r="AH440" i="25"/>
  <c r="AE441" i="25"/>
  <c r="AF441" i="25"/>
  <c r="AG441" i="25"/>
  <c r="AH441" i="25"/>
  <c r="AE2" i="25"/>
  <c r="AF2" i="25"/>
  <c r="AG2" i="25"/>
  <c r="AH2" i="25"/>
  <c r="AE3" i="25"/>
  <c r="AF3" i="25"/>
  <c r="AG3" i="25"/>
  <c r="AH3" i="25"/>
  <c r="AE4" i="25"/>
  <c r="AF4" i="25"/>
  <c r="AG4" i="25"/>
  <c r="AH4" i="25"/>
  <c r="AE5" i="25"/>
  <c r="AF5" i="25"/>
  <c r="AG5" i="25"/>
  <c r="AH5" i="25"/>
  <c r="AE6" i="25"/>
  <c r="AF6" i="25"/>
  <c r="AG6" i="25"/>
  <c r="AH6" i="25"/>
  <c r="AE7" i="25"/>
  <c r="AF7" i="25"/>
  <c r="AG7" i="25"/>
  <c r="AH7" i="25"/>
  <c r="AE8" i="25"/>
  <c r="AF8" i="25"/>
  <c r="AG8" i="25"/>
  <c r="AH8" i="25"/>
  <c r="AE9" i="25"/>
  <c r="AF9" i="25"/>
  <c r="AG9" i="25"/>
  <c r="AH9" i="25"/>
  <c r="AE10" i="25"/>
  <c r="AF10" i="25"/>
  <c r="AG10" i="25"/>
  <c r="AH10" i="25"/>
  <c r="AE11" i="25"/>
  <c r="AF11" i="25"/>
  <c r="AG11" i="25"/>
  <c r="AH11" i="25"/>
  <c r="AE12" i="25"/>
  <c r="AF12" i="25"/>
  <c r="AG12" i="25"/>
  <c r="AH12" i="25"/>
  <c r="AE13" i="25"/>
  <c r="AF13" i="25"/>
  <c r="AG13" i="25"/>
  <c r="AH13" i="25"/>
  <c r="AE14" i="25"/>
  <c r="AF14" i="25"/>
  <c r="AG14" i="25"/>
  <c r="AH14" i="25"/>
  <c r="AE15" i="25"/>
  <c r="AF15" i="25"/>
  <c r="AG15" i="25"/>
  <c r="AH15" i="25"/>
  <c r="AE16" i="25"/>
  <c r="AF16" i="25"/>
  <c r="AG16" i="25"/>
  <c r="AH16" i="25"/>
  <c r="AE17" i="25"/>
  <c r="AF17" i="25"/>
  <c r="AG17" i="25"/>
  <c r="AH17" i="25"/>
  <c r="AE18" i="25"/>
  <c r="AF18" i="25"/>
  <c r="AG18" i="25"/>
  <c r="AH18" i="25"/>
  <c r="AE19" i="25"/>
  <c r="AF19" i="25"/>
  <c r="AG19" i="25"/>
  <c r="AH19" i="25"/>
  <c r="AE20" i="25"/>
  <c r="AF20" i="25"/>
  <c r="AG20" i="25"/>
  <c r="AH20" i="25"/>
  <c r="AE21" i="25"/>
  <c r="AF21" i="25"/>
  <c r="AG21" i="25"/>
  <c r="AH21" i="25"/>
  <c r="AE22" i="25"/>
  <c r="AF22" i="25"/>
  <c r="AG22" i="25"/>
  <c r="AH22" i="25"/>
  <c r="AE23" i="25"/>
  <c r="AF23" i="25"/>
  <c r="AG23" i="25"/>
  <c r="AH23" i="25"/>
  <c r="AE24" i="25"/>
  <c r="AF24" i="25"/>
  <c r="AG24" i="25"/>
  <c r="AH24" i="25"/>
  <c r="AE25" i="25"/>
  <c r="AF25" i="25"/>
  <c r="AG25" i="25"/>
  <c r="AH25" i="25"/>
  <c r="AE26" i="25"/>
  <c r="AF26" i="25"/>
  <c r="AG26" i="25"/>
  <c r="AH26" i="25"/>
  <c r="AE27" i="25"/>
  <c r="AF27" i="25"/>
  <c r="AG27" i="25"/>
  <c r="AH27" i="25"/>
  <c r="AE28" i="25"/>
  <c r="AF28" i="25"/>
  <c r="AG28" i="25"/>
  <c r="AH28" i="25"/>
  <c r="AE29" i="25"/>
  <c r="AF29" i="25"/>
  <c r="AG29" i="25"/>
  <c r="AH29" i="25"/>
  <c r="AE30" i="25"/>
  <c r="AF30" i="25"/>
  <c r="AG30" i="25"/>
  <c r="AH30" i="25"/>
  <c r="AE31" i="25"/>
  <c r="AF31" i="25"/>
  <c r="AG31" i="25"/>
  <c r="AH31" i="25"/>
  <c r="AE32" i="25"/>
  <c r="AF32" i="25"/>
  <c r="AG32" i="25"/>
  <c r="AH32" i="25"/>
  <c r="AE33" i="25"/>
  <c r="AF33" i="25"/>
  <c r="AG33" i="25"/>
  <c r="AH33" i="25"/>
  <c r="AE34" i="25"/>
  <c r="AF34" i="25"/>
  <c r="AG34" i="25"/>
  <c r="AH34" i="25"/>
  <c r="AE35" i="25"/>
  <c r="AF35" i="25"/>
  <c r="AG35" i="25"/>
  <c r="AH35" i="25"/>
  <c r="AE36" i="25"/>
  <c r="AF36" i="25"/>
  <c r="AG36" i="25"/>
  <c r="AH36" i="25"/>
  <c r="AE37" i="25"/>
  <c r="AF37" i="25"/>
  <c r="AG37" i="25"/>
  <c r="AH37" i="25"/>
  <c r="AE38" i="25"/>
  <c r="AF38" i="25"/>
  <c r="AG38" i="25"/>
  <c r="AH38" i="25"/>
  <c r="AE39" i="25"/>
  <c r="AF39" i="25"/>
  <c r="AG39" i="25"/>
  <c r="AH39" i="25"/>
  <c r="AE40" i="25"/>
  <c r="AF40" i="25"/>
  <c r="AG40" i="25"/>
  <c r="AH40" i="25"/>
  <c r="AE41" i="25"/>
  <c r="AF41" i="25"/>
  <c r="AG41" i="25"/>
  <c r="AH41" i="25"/>
  <c r="AE42" i="25"/>
  <c r="AF42" i="25"/>
  <c r="AG42" i="25"/>
  <c r="AH42" i="25"/>
  <c r="AE43" i="25"/>
  <c r="AF43" i="25"/>
  <c r="AG43" i="25"/>
  <c r="AH43" i="25"/>
  <c r="AE44" i="25"/>
  <c r="AF44" i="25"/>
  <c r="AG44" i="25"/>
  <c r="AH44" i="25"/>
  <c r="AE45" i="25"/>
  <c r="AF45" i="25"/>
  <c r="AG45" i="25"/>
  <c r="AH45" i="25"/>
  <c r="AE46" i="25"/>
  <c r="AF46" i="25"/>
  <c r="AG46" i="25"/>
  <c r="AH46" i="25"/>
  <c r="AE47" i="25"/>
  <c r="AF47" i="25"/>
  <c r="AG47" i="25"/>
  <c r="AH47" i="25"/>
  <c r="AE48" i="25"/>
  <c r="AF48" i="25"/>
  <c r="AG48" i="25"/>
  <c r="AH48" i="25"/>
  <c r="AE49" i="25"/>
  <c r="AF49" i="25"/>
  <c r="AG49" i="25"/>
  <c r="AH49" i="25"/>
  <c r="AE50" i="25"/>
  <c r="AF50" i="25"/>
  <c r="AG50" i="25"/>
  <c r="AH50" i="25"/>
  <c r="AE51" i="25"/>
  <c r="AF51" i="25"/>
  <c r="AG51" i="25"/>
  <c r="AH51" i="25"/>
  <c r="AE52" i="25"/>
  <c r="AF52" i="25"/>
  <c r="AG52" i="25"/>
  <c r="AH52" i="25"/>
  <c r="AE53" i="25"/>
  <c r="AF53" i="25"/>
  <c r="AG53" i="25"/>
  <c r="AH53" i="25"/>
  <c r="AE54" i="25"/>
  <c r="AF54" i="25"/>
  <c r="AG54" i="25"/>
  <c r="AH54" i="25"/>
  <c r="AE55" i="25"/>
  <c r="AF55" i="25"/>
  <c r="AG55" i="25"/>
  <c r="AH55" i="25"/>
  <c r="AE56" i="25"/>
  <c r="AF56" i="25"/>
  <c r="AG56" i="25"/>
  <c r="AH56" i="25"/>
  <c r="AE57" i="25"/>
  <c r="AF57" i="25"/>
  <c r="AG57" i="25"/>
  <c r="AH57" i="25"/>
  <c r="AE58" i="25"/>
  <c r="AF58" i="25"/>
  <c r="AG58" i="25"/>
  <c r="AH58" i="25"/>
  <c r="AE59" i="25"/>
  <c r="AF59" i="25"/>
  <c r="AG59" i="25"/>
  <c r="AH59" i="25"/>
  <c r="AE60" i="25"/>
  <c r="AF60" i="25"/>
  <c r="AG60" i="25"/>
  <c r="AH60" i="25"/>
  <c r="AE61" i="25"/>
  <c r="AF61" i="25"/>
  <c r="AG61" i="25"/>
  <c r="AH61" i="25"/>
  <c r="AE62" i="25"/>
  <c r="AF62" i="25"/>
  <c r="AG62" i="25"/>
  <c r="AH62" i="25"/>
  <c r="AE63" i="25"/>
  <c r="AF63" i="25"/>
  <c r="AG63" i="25"/>
  <c r="AH63" i="25"/>
  <c r="AE64" i="25"/>
  <c r="AF64" i="25"/>
  <c r="AG64" i="25"/>
  <c r="AH64" i="25"/>
  <c r="AE65" i="25"/>
  <c r="AF65" i="25"/>
  <c r="AG65" i="25"/>
  <c r="AH65" i="25"/>
  <c r="AE66" i="25"/>
  <c r="AF66" i="25"/>
  <c r="AG66" i="25"/>
  <c r="AH66" i="25"/>
  <c r="AE67" i="25"/>
  <c r="AF67" i="25"/>
  <c r="AG67" i="25"/>
  <c r="AH67" i="25"/>
  <c r="AE68" i="25"/>
  <c r="AF68" i="25"/>
  <c r="AG68" i="25"/>
  <c r="AH68" i="25"/>
  <c r="AE69" i="25"/>
  <c r="AF69" i="25"/>
  <c r="AG69" i="25"/>
  <c r="AH69" i="25"/>
  <c r="AE70" i="25"/>
  <c r="AF70" i="25"/>
  <c r="AG70" i="25"/>
  <c r="AH70" i="25"/>
  <c r="AE71" i="25"/>
  <c r="AF71" i="25"/>
  <c r="AG71" i="25"/>
  <c r="AH71" i="25"/>
  <c r="AE72" i="25"/>
  <c r="AF72" i="25"/>
  <c r="AG72" i="25"/>
  <c r="AH72" i="25"/>
  <c r="AE73" i="25"/>
  <c r="AF73" i="25"/>
  <c r="AG73" i="25"/>
  <c r="AH73" i="25"/>
  <c r="AE74" i="25"/>
  <c r="AF74" i="25"/>
  <c r="AG74" i="25"/>
  <c r="AH74" i="25"/>
  <c r="AE75" i="25"/>
  <c r="AF75" i="25"/>
  <c r="AG75" i="25"/>
  <c r="AH75" i="25"/>
  <c r="AE76" i="25"/>
  <c r="AF76" i="25"/>
  <c r="AG76" i="25"/>
  <c r="AH76" i="25"/>
  <c r="AE77" i="25"/>
  <c r="AF77" i="25"/>
  <c r="AG77" i="25"/>
  <c r="AH77" i="25"/>
  <c r="AE78" i="25"/>
  <c r="AF78" i="25"/>
  <c r="AG78" i="25"/>
  <c r="AH78" i="25"/>
  <c r="AE79" i="25"/>
  <c r="AF79" i="25"/>
  <c r="AG79" i="25"/>
  <c r="AH79" i="25"/>
  <c r="AE80" i="25"/>
  <c r="AF80" i="25"/>
  <c r="AG80" i="25"/>
  <c r="AH80" i="25"/>
  <c r="AE81" i="25"/>
  <c r="AF81" i="25"/>
  <c r="AG81" i="25"/>
  <c r="AH81" i="25"/>
  <c r="AE82" i="25"/>
  <c r="AF82" i="25"/>
  <c r="AG82" i="25"/>
  <c r="AH82" i="25"/>
  <c r="AE83" i="25"/>
  <c r="AF83" i="25"/>
  <c r="AG83" i="25"/>
  <c r="AH83" i="25"/>
  <c r="AE84" i="25"/>
  <c r="AF84" i="25"/>
  <c r="AG84" i="25"/>
  <c r="AH84" i="25"/>
  <c r="AE85" i="25"/>
  <c r="AF85" i="25"/>
  <c r="AG85" i="25"/>
  <c r="AH85" i="25"/>
  <c r="AE86" i="25"/>
  <c r="AF86" i="25"/>
  <c r="AG86" i="25"/>
  <c r="AH86" i="25"/>
  <c r="AE87" i="25"/>
  <c r="AF87" i="25"/>
  <c r="AG87" i="25"/>
  <c r="AH87" i="25"/>
  <c r="AE88" i="25"/>
  <c r="AF88" i="25"/>
  <c r="AG88" i="25"/>
  <c r="AH88" i="25"/>
  <c r="AE89" i="25"/>
  <c r="AF89" i="25"/>
  <c r="AG89" i="25"/>
  <c r="AH89" i="25"/>
  <c r="AE90" i="25"/>
  <c r="AF90" i="25"/>
  <c r="AG90" i="25"/>
  <c r="AH90" i="25"/>
  <c r="AE91" i="25"/>
  <c r="AF91" i="25"/>
  <c r="AG91" i="25"/>
  <c r="AH91" i="25"/>
  <c r="AE92" i="25"/>
  <c r="AF92" i="25"/>
  <c r="AG92" i="25"/>
  <c r="AH92" i="25"/>
  <c r="AE93" i="25"/>
  <c r="AF93" i="25"/>
  <c r="AG93" i="25"/>
  <c r="AH93" i="25"/>
  <c r="AE94" i="25"/>
  <c r="AF94" i="25"/>
  <c r="AG94" i="25"/>
  <c r="AH94" i="25"/>
  <c r="AE95" i="25"/>
  <c r="AF95" i="25"/>
  <c r="AG95" i="25"/>
  <c r="AH95" i="25"/>
  <c r="AE96" i="25"/>
  <c r="AF96" i="25"/>
  <c r="AG96" i="25"/>
  <c r="AH96" i="25"/>
  <c r="AE97" i="25"/>
  <c r="AF97" i="25"/>
  <c r="AG97" i="25"/>
  <c r="AH97" i="25"/>
  <c r="AE98" i="25"/>
  <c r="AF98" i="25"/>
  <c r="AG98" i="25"/>
  <c r="AH98" i="25"/>
  <c r="AE99" i="25"/>
  <c r="AF99" i="25"/>
  <c r="AG99" i="25"/>
  <c r="AH99" i="25"/>
  <c r="AE100" i="25"/>
  <c r="AF100" i="25"/>
  <c r="AG100" i="25"/>
  <c r="AH100" i="25"/>
  <c r="AE101" i="25"/>
  <c r="AF101" i="25"/>
  <c r="AG101" i="25"/>
  <c r="AH101" i="25"/>
  <c r="AE102" i="25"/>
  <c r="AF102" i="25"/>
  <c r="AG102" i="25"/>
  <c r="AH102" i="25"/>
  <c r="AE103" i="25"/>
  <c r="AF103" i="25"/>
  <c r="AG103" i="25"/>
  <c r="AH103" i="25"/>
  <c r="AE104" i="25"/>
  <c r="AF104" i="25"/>
  <c r="AG104" i="25"/>
  <c r="AH104" i="25"/>
  <c r="AE105" i="25"/>
  <c r="AF105" i="25"/>
  <c r="AG105" i="25"/>
  <c r="AH105" i="25"/>
  <c r="AE106" i="25"/>
  <c r="AF106" i="25"/>
  <c r="AG106" i="25"/>
  <c r="AH106" i="25"/>
  <c r="AE107" i="25"/>
  <c r="AF107" i="25"/>
  <c r="AG107" i="25"/>
  <c r="AH107" i="25"/>
  <c r="AE108" i="25"/>
  <c r="AF108" i="25"/>
  <c r="AG108" i="25"/>
  <c r="AH108" i="25"/>
  <c r="AE109" i="25"/>
  <c r="AF109" i="25"/>
  <c r="AG109" i="25"/>
  <c r="AH109" i="25"/>
  <c r="AE110" i="25"/>
  <c r="AF110" i="25"/>
  <c r="AG110" i="25"/>
  <c r="AH110" i="25"/>
  <c r="AE111" i="25"/>
  <c r="AF111" i="25"/>
  <c r="AG111" i="25"/>
  <c r="AH111" i="25"/>
  <c r="AE112" i="25"/>
  <c r="AF112" i="25"/>
  <c r="AG112" i="25"/>
  <c r="AH112" i="25"/>
  <c r="AE113" i="25"/>
  <c r="AF113" i="25"/>
  <c r="AG113" i="25"/>
  <c r="AH113" i="25"/>
  <c r="AE114" i="25"/>
  <c r="AF114" i="25"/>
  <c r="AG114" i="25"/>
  <c r="AH114" i="25"/>
  <c r="AE115" i="25"/>
  <c r="AF115" i="25"/>
  <c r="AG115" i="25"/>
  <c r="AH115" i="25"/>
  <c r="AE116" i="25"/>
  <c r="AF116" i="25"/>
  <c r="AG116" i="25"/>
  <c r="AH116" i="25"/>
  <c r="AE117" i="25"/>
  <c r="AF117" i="25"/>
  <c r="AG117" i="25"/>
  <c r="AH117" i="25"/>
  <c r="AE118" i="25"/>
  <c r="AF118" i="25"/>
  <c r="AG118" i="25"/>
  <c r="AH118" i="25"/>
  <c r="AE119" i="25"/>
  <c r="AF119" i="25"/>
  <c r="AG119" i="25"/>
  <c r="AH119" i="25"/>
  <c r="AE120" i="25"/>
  <c r="AF120" i="25"/>
  <c r="AG120" i="25"/>
  <c r="AH120" i="25"/>
  <c r="AE121" i="25"/>
  <c r="AF121" i="25"/>
  <c r="AG121" i="25"/>
  <c r="AH121" i="25"/>
  <c r="AE122" i="25"/>
  <c r="AF122" i="25"/>
  <c r="AG122" i="25"/>
  <c r="AH122" i="25"/>
  <c r="AE123" i="25"/>
  <c r="AF123" i="25"/>
  <c r="AG123" i="25"/>
  <c r="AH123" i="25"/>
  <c r="AE124" i="25"/>
  <c r="AF124" i="25"/>
  <c r="AG124" i="25"/>
  <c r="AH124" i="25"/>
  <c r="AE125" i="25"/>
  <c r="AF125" i="25"/>
  <c r="AG125" i="25"/>
  <c r="AH125" i="25"/>
  <c r="AE126" i="25"/>
  <c r="AF126" i="25"/>
  <c r="AG126" i="25"/>
  <c r="AH126" i="25"/>
  <c r="AE127" i="25"/>
  <c r="AF127" i="25"/>
  <c r="AG127" i="25"/>
  <c r="AH127" i="25"/>
  <c r="AE128" i="25"/>
  <c r="AF128" i="25"/>
  <c r="AG128" i="25"/>
  <c r="AH128" i="25"/>
  <c r="AE129" i="25"/>
  <c r="AF129" i="25"/>
  <c r="AG129" i="25"/>
  <c r="AH129" i="25"/>
  <c r="AE130" i="25"/>
  <c r="AF130" i="25"/>
  <c r="AG130" i="25"/>
  <c r="AH130" i="25"/>
  <c r="AE131" i="25"/>
  <c r="AF131" i="25"/>
  <c r="AG131" i="25"/>
  <c r="AH131" i="25"/>
  <c r="AE132" i="25"/>
  <c r="AF132" i="25"/>
  <c r="AG132" i="25"/>
  <c r="AH132" i="25"/>
  <c r="AE133" i="25"/>
  <c r="AF133" i="25"/>
  <c r="AG133" i="25"/>
  <c r="AH133" i="25"/>
  <c r="AE134" i="25"/>
  <c r="AF134" i="25"/>
  <c r="AG134" i="25"/>
  <c r="AH134" i="25"/>
  <c r="AE135" i="25"/>
  <c r="AF135" i="25"/>
  <c r="AG135" i="25"/>
  <c r="AH135" i="25"/>
  <c r="AE136" i="25"/>
  <c r="AF136" i="25"/>
  <c r="AG136" i="25"/>
  <c r="AH136" i="25"/>
  <c r="AE137" i="25"/>
  <c r="AF137" i="25"/>
  <c r="AG137" i="25"/>
  <c r="AH137" i="25"/>
  <c r="AE138" i="25"/>
  <c r="AF138" i="25"/>
  <c r="AG138" i="25"/>
  <c r="AH138" i="25"/>
  <c r="AE139" i="25"/>
  <c r="AF139" i="25"/>
  <c r="AG139" i="25"/>
  <c r="AH139" i="25"/>
  <c r="AE140" i="25"/>
  <c r="AF140" i="25"/>
  <c r="AG140" i="25"/>
  <c r="AH140" i="25"/>
  <c r="AE141" i="25"/>
  <c r="AF141" i="25"/>
  <c r="AG141" i="25"/>
  <c r="AH141" i="25"/>
  <c r="AE142" i="25"/>
  <c r="AF142" i="25"/>
  <c r="AG142" i="25"/>
  <c r="AH142" i="25"/>
  <c r="AE143" i="25"/>
  <c r="AF143" i="25"/>
  <c r="AG143" i="25"/>
  <c r="AH143" i="25"/>
  <c r="AE144" i="25"/>
  <c r="AF144" i="25"/>
  <c r="AG144" i="25"/>
  <c r="AH144" i="25"/>
  <c r="AE145" i="25"/>
  <c r="AF145" i="25"/>
  <c r="AG145" i="25"/>
  <c r="AH145" i="25"/>
  <c r="AE146" i="25"/>
  <c r="AF146" i="25"/>
  <c r="AG146" i="25"/>
  <c r="AH146" i="25"/>
  <c r="AE147" i="25"/>
  <c r="AF147" i="25"/>
  <c r="AG147" i="25"/>
  <c r="AH147" i="25"/>
  <c r="AE148" i="25"/>
  <c r="AF148" i="25"/>
  <c r="AG148" i="25"/>
  <c r="AH148" i="25"/>
  <c r="AE149" i="25"/>
  <c r="AF149" i="25"/>
  <c r="AG149" i="25"/>
  <c r="AH149" i="25"/>
  <c r="AE150" i="25"/>
  <c r="AF150" i="25"/>
  <c r="AG150" i="25"/>
  <c r="AH150" i="25"/>
  <c r="AE151" i="25"/>
  <c r="AF151" i="25"/>
  <c r="AG151" i="25"/>
  <c r="AH151" i="25"/>
  <c r="AE152" i="25"/>
  <c r="AF152" i="25"/>
  <c r="AG152" i="25"/>
  <c r="AH152" i="25"/>
  <c r="AE153" i="25"/>
  <c r="AF153" i="25"/>
  <c r="AG153" i="25"/>
  <c r="AH153" i="25"/>
  <c r="AE154" i="25"/>
  <c r="AF154" i="25"/>
  <c r="AG154" i="25"/>
  <c r="AH154" i="25"/>
  <c r="AE155" i="25"/>
  <c r="AF155" i="25"/>
  <c r="AG155" i="25"/>
  <c r="AH155" i="25"/>
  <c r="AE156" i="25"/>
  <c r="AF156" i="25"/>
  <c r="AG156" i="25"/>
  <c r="AH156" i="25"/>
  <c r="AE157" i="25"/>
  <c r="AF157" i="25"/>
  <c r="AG157" i="25"/>
  <c r="AH157" i="25"/>
  <c r="AE158" i="25"/>
  <c r="AF158" i="25"/>
  <c r="AG158" i="25"/>
  <c r="AH158" i="25"/>
  <c r="AE159" i="25"/>
  <c r="AF159" i="25"/>
  <c r="AG159" i="25"/>
  <c r="AH159" i="25"/>
  <c r="AE160" i="25"/>
  <c r="AF160" i="25"/>
  <c r="AG160" i="25"/>
  <c r="AH160" i="25"/>
  <c r="AE161" i="25"/>
  <c r="AF161" i="25"/>
  <c r="AG161" i="25"/>
  <c r="AH161" i="25"/>
  <c r="AE162" i="25"/>
  <c r="AF162" i="25"/>
  <c r="AG162" i="25"/>
  <c r="AH162" i="25"/>
  <c r="AE163" i="25"/>
  <c r="AF163" i="25"/>
  <c r="AG163" i="25"/>
  <c r="AH163" i="25"/>
  <c r="AE164" i="25"/>
  <c r="AF164" i="25"/>
  <c r="AG164" i="25"/>
  <c r="AH164" i="25"/>
  <c r="AE165" i="25"/>
  <c r="AF165" i="25"/>
  <c r="AG165" i="25"/>
  <c r="AH165" i="25"/>
  <c r="AE166" i="25"/>
  <c r="AF166" i="25"/>
  <c r="AG166" i="25"/>
  <c r="AH166" i="25"/>
  <c r="AE167" i="25"/>
  <c r="AF167" i="25"/>
  <c r="AG167" i="25"/>
  <c r="AH167" i="25"/>
  <c r="AE168" i="25"/>
  <c r="AF168" i="25"/>
  <c r="AG168" i="25"/>
  <c r="AH168" i="25"/>
  <c r="AE169" i="25"/>
  <c r="AF169" i="25"/>
  <c r="AG169" i="25"/>
  <c r="AH169" i="25"/>
  <c r="AE170" i="25"/>
  <c r="AF170" i="25"/>
  <c r="AG170" i="25"/>
  <c r="AH170" i="25"/>
  <c r="AE171" i="25"/>
  <c r="AF171" i="25"/>
  <c r="AG171" i="25"/>
  <c r="AH171" i="25"/>
  <c r="AE172" i="25"/>
  <c r="AF172" i="25"/>
  <c r="AG172" i="25"/>
  <c r="AH172" i="25"/>
  <c r="AE173" i="25"/>
  <c r="AF173" i="25"/>
  <c r="AG173" i="25"/>
  <c r="AH173" i="25"/>
  <c r="AE174" i="25"/>
  <c r="AF174" i="25"/>
  <c r="AG174" i="25"/>
  <c r="AH174" i="25"/>
  <c r="AE175" i="25"/>
  <c r="AF175" i="25"/>
  <c r="AG175" i="25"/>
  <c r="AH175" i="25"/>
  <c r="AE176" i="25"/>
  <c r="AF176" i="25"/>
  <c r="AG176" i="25"/>
  <c r="AH176" i="25"/>
  <c r="AE177" i="25"/>
  <c r="AF177" i="25"/>
  <c r="AG177" i="25"/>
  <c r="AH177" i="25"/>
  <c r="AE178" i="25"/>
  <c r="AF178" i="25"/>
  <c r="AG178" i="25"/>
  <c r="AH178" i="25"/>
  <c r="AE179" i="25"/>
  <c r="AF179" i="25"/>
  <c r="AG179" i="25"/>
  <c r="AH179" i="25"/>
  <c r="AE180" i="25"/>
  <c r="AF180" i="25"/>
  <c r="AG180" i="25"/>
  <c r="AH180" i="25"/>
  <c r="AE181" i="25"/>
  <c r="AF181" i="25"/>
  <c r="AG181" i="25"/>
  <c r="AH181" i="25"/>
  <c r="AE182" i="25"/>
  <c r="AF182" i="25"/>
  <c r="AG182" i="25"/>
  <c r="AH182" i="25"/>
  <c r="AE183" i="25"/>
  <c r="AF183" i="25"/>
  <c r="AG183" i="25"/>
  <c r="AH183" i="25"/>
  <c r="AE184" i="25"/>
  <c r="AF184" i="25"/>
  <c r="AG184" i="25"/>
  <c r="AH184" i="25"/>
  <c r="AE185" i="25"/>
  <c r="AF185" i="25"/>
  <c r="AG185" i="25"/>
  <c r="AH185" i="25"/>
  <c r="AE186" i="25"/>
  <c r="AF186" i="25"/>
  <c r="AG186" i="25"/>
  <c r="AH186" i="25"/>
  <c r="AE187" i="25"/>
  <c r="AF187" i="25"/>
  <c r="AG187" i="25"/>
  <c r="AH187" i="25"/>
  <c r="AE188" i="25"/>
  <c r="AF188" i="25"/>
  <c r="AG188" i="25"/>
  <c r="AH188" i="25"/>
  <c r="AE189" i="25"/>
  <c r="AF189" i="25"/>
  <c r="AG189" i="25"/>
  <c r="AH189" i="25"/>
  <c r="AE190" i="25"/>
  <c r="AF190" i="25"/>
  <c r="AG190" i="25"/>
  <c r="AH190" i="25"/>
  <c r="AE191" i="25"/>
  <c r="AF191" i="25"/>
  <c r="AG191" i="25"/>
  <c r="AH191" i="25"/>
  <c r="AE192" i="25"/>
  <c r="AF192" i="25"/>
  <c r="AG192" i="25"/>
  <c r="AH192" i="25"/>
  <c r="AE193" i="25"/>
  <c r="AF193" i="25"/>
  <c r="AG193" i="25"/>
  <c r="AH193" i="25"/>
  <c r="AE194" i="25"/>
  <c r="AF194" i="25"/>
  <c r="AG194" i="25"/>
  <c r="AH194" i="25"/>
  <c r="AE195" i="25"/>
  <c r="AF195" i="25"/>
  <c r="AG195" i="25"/>
  <c r="AH195" i="25"/>
  <c r="AE196" i="25"/>
  <c r="AF196" i="25"/>
  <c r="AG196" i="25"/>
  <c r="AH196" i="25"/>
  <c r="AE197" i="25"/>
  <c r="AF197" i="25"/>
  <c r="AG197" i="25"/>
  <c r="AH197" i="25"/>
  <c r="AE198" i="25"/>
  <c r="AF198" i="25"/>
  <c r="AG198" i="25"/>
  <c r="AH198" i="25"/>
  <c r="AE199" i="25"/>
  <c r="AF199" i="25"/>
  <c r="AG199" i="25"/>
  <c r="AH199" i="25"/>
  <c r="AE200" i="25"/>
  <c r="AF200" i="25"/>
  <c r="AG200" i="25"/>
  <c r="AH200" i="25"/>
  <c r="AE201" i="25"/>
  <c r="AF201" i="25"/>
  <c r="AG201" i="25"/>
  <c r="AH201" i="25"/>
  <c r="AE202" i="25"/>
  <c r="AF202" i="25"/>
  <c r="AG202" i="25"/>
  <c r="AH202" i="25"/>
  <c r="AE203" i="25"/>
  <c r="AF203" i="25"/>
  <c r="AG203" i="25"/>
  <c r="AH203" i="25"/>
  <c r="AE204" i="25"/>
  <c r="AF204" i="25"/>
  <c r="AG204" i="25"/>
  <c r="AH204" i="25"/>
  <c r="AE205" i="25"/>
  <c r="AF205" i="25"/>
  <c r="AG205" i="25"/>
  <c r="AH205" i="25"/>
  <c r="AE206" i="25"/>
  <c r="AF206" i="25"/>
  <c r="AG206" i="25"/>
  <c r="AH206" i="25"/>
  <c r="AE207" i="25"/>
  <c r="AF207" i="25"/>
  <c r="AG207" i="25"/>
  <c r="AH207" i="25"/>
  <c r="AE208" i="25"/>
  <c r="AF208" i="25"/>
  <c r="AG208" i="25"/>
  <c r="AH208" i="25"/>
  <c r="AE209" i="25"/>
  <c r="AF209" i="25"/>
  <c r="AG209" i="25"/>
  <c r="AH209" i="25"/>
  <c r="AE210" i="25"/>
  <c r="AF210" i="25"/>
  <c r="AG210" i="25"/>
  <c r="AH210" i="25"/>
  <c r="AE211" i="25"/>
  <c r="AF211" i="25"/>
  <c r="AG211" i="25"/>
  <c r="AH211" i="25"/>
  <c r="AE212" i="25"/>
  <c r="AF212" i="25"/>
  <c r="AG212" i="25"/>
  <c r="AH212" i="25"/>
  <c r="AE213" i="25"/>
  <c r="AF213" i="25"/>
  <c r="AG213" i="25"/>
  <c r="AH213" i="25"/>
  <c r="AE214" i="25"/>
  <c r="AF214" i="25"/>
  <c r="AG214" i="25"/>
  <c r="AH214" i="25"/>
  <c r="AE215" i="25"/>
  <c r="AF215" i="25"/>
  <c r="AG215" i="25"/>
  <c r="AH215" i="25"/>
  <c r="AE216" i="25"/>
  <c r="AF216" i="25"/>
  <c r="AG216" i="25"/>
  <c r="AH216" i="25"/>
  <c r="AE217" i="25"/>
  <c r="AF217" i="25"/>
  <c r="AG217" i="25"/>
  <c r="AH217" i="25"/>
  <c r="AE218" i="25"/>
  <c r="AF218" i="25"/>
  <c r="AG218" i="25"/>
  <c r="AH218" i="25"/>
  <c r="AE219" i="25"/>
  <c r="AF219" i="25"/>
  <c r="AG219" i="25"/>
  <c r="AH219" i="25"/>
  <c r="AE220" i="25"/>
  <c r="AF220" i="25"/>
  <c r="AG220" i="25"/>
  <c r="AH220" i="25"/>
  <c r="AE221" i="25"/>
  <c r="AF221" i="25"/>
  <c r="AG221" i="25"/>
  <c r="AH221" i="25"/>
  <c r="AH662" i="25"/>
  <c r="AG662" i="25"/>
  <c r="AF662" i="25"/>
  <c r="AE662" i="25"/>
  <c r="Y4" i="25"/>
  <c r="Y3" i="25"/>
  <c r="Y5" i="25"/>
  <c r="Y6" i="25"/>
  <c r="Y7" i="25"/>
  <c r="Y8" i="25"/>
  <c r="Y9" i="25"/>
  <c r="Y10" i="25"/>
  <c r="Y11" i="25"/>
  <c r="Y12" i="25"/>
  <c r="Y13" i="25"/>
  <c r="Y14" i="25"/>
  <c r="Y15" i="25"/>
  <c r="Y16" i="25"/>
  <c r="Y17" i="25"/>
  <c r="Y18" i="25"/>
  <c r="Y19" i="25"/>
  <c r="Y20" i="25"/>
  <c r="Y21" i="25"/>
  <c r="Y22" i="25"/>
  <c r="Y23" i="25"/>
  <c r="Y24" i="25"/>
  <c r="Y25" i="25"/>
  <c r="Y26" i="25"/>
  <c r="Y27" i="25"/>
  <c r="Y28" i="25"/>
  <c r="Y29" i="25"/>
  <c r="Y30" i="25"/>
  <c r="Y31" i="25"/>
  <c r="Y32" i="25"/>
  <c r="Y33" i="25"/>
  <c r="Y34" i="25"/>
  <c r="Y35" i="25"/>
  <c r="Y36" i="25"/>
  <c r="Y37" i="25"/>
  <c r="Y38" i="25"/>
  <c r="Y39" i="25"/>
  <c r="Y40" i="25"/>
  <c r="Y41" i="25"/>
  <c r="Y42" i="25"/>
  <c r="Y43" i="25"/>
  <c r="Y44" i="25"/>
  <c r="Y45" i="25"/>
  <c r="Y46" i="25"/>
  <c r="Y47" i="25"/>
  <c r="Y48" i="25"/>
  <c r="Y49" i="25"/>
  <c r="Y50" i="25"/>
  <c r="Y51" i="25"/>
  <c r="Y52" i="25"/>
  <c r="Y53" i="25"/>
  <c r="Y54" i="25"/>
  <c r="Y55" i="25"/>
  <c r="Y56" i="25"/>
  <c r="Y57" i="25"/>
  <c r="Y58" i="25"/>
  <c r="Y59" i="25"/>
  <c r="Y60" i="25"/>
  <c r="Y61" i="25"/>
  <c r="Y62" i="25"/>
  <c r="Y63" i="25"/>
  <c r="Y64" i="25"/>
  <c r="Y65" i="25"/>
  <c r="Y66" i="25"/>
  <c r="Y67" i="25"/>
  <c r="Y68" i="25"/>
  <c r="Y69" i="25"/>
  <c r="Y70" i="25"/>
  <c r="Y71" i="25"/>
  <c r="Y72" i="25"/>
  <c r="Y73" i="25"/>
  <c r="Y74" i="25"/>
  <c r="Y75" i="25"/>
  <c r="Y76" i="25"/>
  <c r="Y77" i="25"/>
  <c r="Y78" i="25"/>
  <c r="Y79" i="25"/>
  <c r="Y80" i="25"/>
  <c r="Y81" i="25"/>
  <c r="Y82" i="25"/>
  <c r="Y83" i="25"/>
  <c r="Y84" i="25"/>
  <c r="Y85" i="25"/>
  <c r="Y86" i="25"/>
  <c r="Y87" i="25"/>
  <c r="Y88" i="25"/>
  <c r="Y89" i="25"/>
  <c r="Y90" i="25"/>
  <c r="Y91" i="25"/>
  <c r="Y92" i="25"/>
  <c r="Y93" i="25"/>
  <c r="Y94" i="25"/>
  <c r="Y95" i="25"/>
  <c r="Y96" i="25"/>
  <c r="Y97" i="25"/>
  <c r="Y98" i="25"/>
  <c r="Y99" i="25"/>
  <c r="Y100" i="25"/>
  <c r="Y101" i="25"/>
  <c r="Y102" i="25"/>
  <c r="Y103" i="25"/>
  <c r="Y104" i="25"/>
  <c r="Y105" i="25"/>
  <c r="Y106" i="25"/>
  <c r="Y107" i="25"/>
  <c r="Y108" i="25"/>
  <c r="Y109" i="25"/>
  <c r="Y110" i="25"/>
  <c r="Y111" i="25"/>
  <c r="Y112" i="25"/>
  <c r="Y113" i="25"/>
  <c r="Y114" i="25"/>
  <c r="Y115" i="25"/>
  <c r="Y116" i="25"/>
  <c r="Y117" i="25"/>
  <c r="Y118" i="25"/>
  <c r="Y119" i="25"/>
  <c r="Y120" i="25"/>
  <c r="Y121" i="25"/>
  <c r="Y122" i="25"/>
  <c r="Y123" i="25"/>
  <c r="Y124" i="25"/>
  <c r="Y125" i="25"/>
  <c r="Y126" i="25"/>
  <c r="Y127" i="25"/>
  <c r="Y128" i="25"/>
  <c r="Y129" i="25"/>
  <c r="Y130" i="25"/>
  <c r="Y131" i="25"/>
  <c r="Y132" i="25"/>
  <c r="Y133" i="25"/>
  <c r="Y134" i="25"/>
  <c r="Y135" i="25"/>
  <c r="Y136" i="25"/>
  <c r="Y137" i="25"/>
  <c r="Y138" i="25"/>
  <c r="Y139" i="25"/>
  <c r="Y140" i="25"/>
  <c r="Y141" i="25"/>
  <c r="Y142" i="25"/>
  <c r="Y143" i="25"/>
  <c r="Y144" i="25"/>
  <c r="Y145" i="25"/>
  <c r="Y146" i="25"/>
  <c r="Y147" i="25"/>
  <c r="Y148" i="25"/>
  <c r="Y149" i="25"/>
  <c r="Y150" i="25"/>
  <c r="Y151" i="25"/>
  <c r="Y152" i="25"/>
  <c r="Y153" i="25"/>
  <c r="Y154" i="25"/>
  <c r="Y155" i="25"/>
  <c r="Y156" i="25"/>
  <c r="Y157" i="25"/>
  <c r="Y158" i="25"/>
  <c r="Y159" i="25"/>
  <c r="Y160" i="25"/>
  <c r="Y161" i="25"/>
  <c r="Y162" i="25"/>
  <c r="Y163" i="25"/>
  <c r="Y164" i="25"/>
  <c r="Y165" i="25"/>
  <c r="Y166" i="25"/>
  <c r="Y167" i="25"/>
  <c r="Y168" i="25"/>
  <c r="Y169" i="25"/>
  <c r="Y170" i="25"/>
  <c r="Y171" i="25"/>
  <c r="Y172" i="25"/>
  <c r="Y173" i="25"/>
  <c r="Y174" i="25"/>
  <c r="Y175" i="25"/>
  <c r="Y176" i="25"/>
  <c r="Y177" i="25"/>
  <c r="Y178" i="25"/>
  <c r="Y179" i="25"/>
  <c r="Y180" i="25"/>
  <c r="Y181" i="25"/>
  <c r="Y182" i="25"/>
  <c r="Y183" i="25"/>
  <c r="Y184" i="25"/>
  <c r="Y185" i="25"/>
  <c r="Y186" i="25"/>
  <c r="Y187" i="25"/>
  <c r="Y188" i="25"/>
  <c r="Y189" i="25"/>
  <c r="Y190" i="25"/>
  <c r="Y191" i="25"/>
  <c r="Y192" i="25"/>
  <c r="Y193" i="25"/>
  <c r="Y194" i="25"/>
  <c r="Y195" i="25"/>
  <c r="Y196" i="25"/>
  <c r="Y197" i="25"/>
  <c r="Y198" i="25"/>
  <c r="Y199" i="25"/>
  <c r="Y200" i="25"/>
  <c r="Y201" i="25"/>
  <c r="Y202" i="25"/>
  <c r="Y203" i="25"/>
  <c r="Y204" i="25"/>
  <c r="Y205" i="25"/>
  <c r="Y206" i="25"/>
  <c r="Y207" i="25"/>
  <c r="Y208" i="25"/>
  <c r="Y209" i="25"/>
  <c r="Y210" i="25"/>
  <c r="Y211" i="25"/>
  <c r="Y212" i="25"/>
  <c r="Y213" i="25"/>
  <c r="Y214" i="25"/>
  <c r="Y215" i="25"/>
  <c r="Y216" i="25"/>
  <c r="Y217" i="25"/>
  <c r="Y218" i="25"/>
  <c r="Y219" i="25"/>
  <c r="Y220" i="25"/>
  <c r="Y221" i="25"/>
  <c r="Y222" i="25"/>
  <c r="Y223" i="25"/>
  <c r="Y224" i="25"/>
  <c r="Y225" i="25"/>
  <c r="Y226" i="25"/>
  <c r="Y227" i="25"/>
  <c r="Y228" i="25"/>
  <c r="Y229" i="25"/>
  <c r="Y230" i="25"/>
  <c r="Y231" i="25"/>
  <c r="Y232" i="25"/>
  <c r="Y233" i="25"/>
  <c r="Y234" i="25"/>
  <c r="Y235" i="25"/>
  <c r="Y236" i="25"/>
  <c r="Y237" i="25"/>
  <c r="Y238" i="25"/>
  <c r="Y239" i="25"/>
  <c r="Y240" i="25"/>
  <c r="Y241" i="25"/>
  <c r="Y242" i="25"/>
  <c r="Y243" i="25"/>
  <c r="Y244" i="25"/>
  <c r="Y245" i="25"/>
  <c r="Y246" i="25"/>
  <c r="Y247" i="25"/>
  <c r="Y248" i="25"/>
  <c r="Y249" i="25"/>
  <c r="Y250" i="25"/>
  <c r="Y251" i="25"/>
  <c r="Y252" i="25"/>
  <c r="Y253" i="25"/>
  <c r="Y254" i="25"/>
  <c r="Y255" i="25"/>
  <c r="Y256" i="25"/>
  <c r="Y257" i="25"/>
  <c r="Y258" i="25"/>
  <c r="Y259" i="25"/>
  <c r="Y260" i="25"/>
  <c r="Y261" i="25"/>
  <c r="Y262" i="25"/>
  <c r="Y263" i="25"/>
  <c r="Y264" i="25"/>
  <c r="Y265" i="25"/>
  <c r="Y266" i="25"/>
  <c r="Y267" i="25"/>
  <c r="Y268" i="25"/>
  <c r="Y269" i="25"/>
  <c r="Y270" i="25"/>
  <c r="Y271" i="25"/>
  <c r="Y272" i="25"/>
  <c r="Y273" i="25"/>
  <c r="Y274" i="25"/>
  <c r="Y275" i="25"/>
  <c r="Y276" i="25"/>
  <c r="Y277" i="25"/>
  <c r="Y278" i="25"/>
  <c r="Y279" i="25"/>
  <c r="Y280" i="25"/>
  <c r="Y281" i="25"/>
  <c r="Y282" i="25"/>
  <c r="Y283" i="25"/>
  <c r="Y284" i="25"/>
  <c r="Y285" i="25"/>
  <c r="Y286" i="25"/>
  <c r="Y287" i="25"/>
  <c r="Y288" i="25"/>
  <c r="Y289" i="25"/>
  <c r="Y290" i="25"/>
  <c r="Y291" i="25"/>
  <c r="Y292" i="25"/>
  <c r="Y293" i="25"/>
  <c r="Y294" i="25"/>
  <c r="Y295" i="25"/>
  <c r="Y296" i="25"/>
  <c r="Y297" i="25"/>
  <c r="Y298" i="25"/>
  <c r="Y299" i="25"/>
  <c r="Y300" i="25"/>
  <c r="Y301" i="25"/>
  <c r="Y302" i="25"/>
  <c r="Y303" i="25"/>
  <c r="Y304" i="25"/>
  <c r="Y305" i="25"/>
  <c r="Y306" i="25"/>
  <c r="Y307" i="25"/>
  <c r="Y308" i="25"/>
  <c r="Y309" i="25"/>
  <c r="Y310" i="25"/>
  <c r="Y311" i="25"/>
  <c r="Y312" i="25"/>
  <c r="Y313" i="25"/>
  <c r="Y314" i="25"/>
  <c r="Y315" i="25"/>
  <c r="Y316" i="25"/>
  <c r="Y317" i="25"/>
  <c r="Y318" i="25"/>
  <c r="Y319" i="25"/>
  <c r="Y320" i="25"/>
  <c r="Y321" i="25"/>
  <c r="Y322" i="25"/>
  <c r="Y323" i="25"/>
  <c r="Y324" i="25"/>
  <c r="Y325" i="25"/>
  <c r="Y326" i="25"/>
  <c r="Y327" i="25"/>
  <c r="Y328" i="25"/>
  <c r="Y329" i="25"/>
  <c r="Y330" i="25"/>
  <c r="Y331" i="25"/>
  <c r="Y332" i="25"/>
  <c r="Y333" i="25"/>
  <c r="Y334" i="25"/>
  <c r="Y335" i="25"/>
  <c r="Y336" i="25"/>
  <c r="Y337" i="25"/>
  <c r="Y338" i="25"/>
  <c r="Y339" i="25"/>
  <c r="Y340" i="25"/>
  <c r="Y341" i="25"/>
  <c r="Y342" i="25"/>
  <c r="Y343" i="25"/>
  <c r="Y344" i="25"/>
  <c r="Y345" i="25"/>
  <c r="Y346" i="25"/>
  <c r="Y347" i="25"/>
  <c r="Y348" i="25"/>
  <c r="Y349" i="25"/>
  <c r="Y350" i="25"/>
  <c r="Y351" i="25"/>
  <c r="Y352" i="25"/>
  <c r="Y353" i="25"/>
  <c r="Y354" i="25"/>
  <c r="Y355" i="25"/>
  <c r="Y356" i="25"/>
  <c r="Y357" i="25"/>
  <c r="Y358" i="25"/>
  <c r="Y359" i="25"/>
  <c r="Y360" i="25"/>
  <c r="Y361" i="25"/>
  <c r="Y362" i="25"/>
  <c r="Y363" i="25"/>
  <c r="Y364" i="25"/>
  <c r="Y365" i="25"/>
  <c r="Y366" i="25"/>
  <c r="Y367" i="25"/>
  <c r="Y368" i="25"/>
  <c r="Y369" i="25"/>
  <c r="Y370" i="25"/>
  <c r="Y371" i="25"/>
  <c r="Y372" i="25"/>
  <c r="Y373" i="25"/>
  <c r="Y374" i="25"/>
  <c r="Y375" i="25"/>
  <c r="Y376" i="25"/>
  <c r="Y377" i="25"/>
  <c r="Y378" i="25"/>
  <c r="Y379" i="25"/>
  <c r="Y380" i="25"/>
  <c r="Y381" i="25"/>
  <c r="Y382" i="25"/>
  <c r="Y383" i="25"/>
  <c r="Y384" i="25"/>
  <c r="Y385" i="25"/>
  <c r="Y386" i="25"/>
  <c r="Y387" i="25"/>
  <c r="Y388" i="25"/>
  <c r="Y389" i="25"/>
  <c r="Y390" i="25"/>
  <c r="Y391" i="25"/>
  <c r="Y392" i="25"/>
  <c r="Y393" i="25"/>
  <c r="Y394" i="25"/>
  <c r="Y395" i="25"/>
  <c r="Y396" i="25"/>
  <c r="Y397" i="25"/>
  <c r="Y398" i="25"/>
  <c r="Y399" i="25"/>
  <c r="Y400" i="25"/>
  <c r="Y401" i="25"/>
  <c r="Y402" i="25"/>
  <c r="Y403" i="25"/>
  <c r="Y404" i="25"/>
  <c r="Y405" i="25"/>
  <c r="Y406" i="25"/>
  <c r="Y407" i="25"/>
  <c r="Y408" i="25"/>
  <c r="Y409" i="25"/>
  <c r="Y410" i="25"/>
  <c r="Y411" i="25"/>
  <c r="Y412" i="25"/>
  <c r="Y413" i="25"/>
  <c r="Y414" i="25"/>
  <c r="Y415" i="25"/>
  <c r="Y416" i="25"/>
  <c r="Y417" i="25"/>
  <c r="Y418" i="25"/>
  <c r="Y419" i="25"/>
  <c r="Y420" i="25"/>
  <c r="Y421" i="25"/>
  <c r="Y422" i="25"/>
  <c r="Y423" i="25"/>
  <c r="Y424" i="25"/>
  <c r="Y425" i="25"/>
  <c r="Y426" i="25"/>
  <c r="Y427" i="25"/>
  <c r="Y428" i="25"/>
  <c r="Y429" i="25"/>
  <c r="Y430" i="25"/>
  <c r="Y431" i="25"/>
  <c r="Y432" i="25"/>
  <c r="Y433" i="25"/>
  <c r="Y434" i="25"/>
  <c r="Y435" i="25"/>
  <c r="Y436" i="25"/>
  <c r="Y437" i="25"/>
  <c r="Y438" i="25"/>
  <c r="Y439" i="25"/>
  <c r="Y440" i="25"/>
  <c r="Y441" i="25"/>
  <c r="Y442" i="25"/>
  <c r="Y443" i="25"/>
  <c r="Y444" i="25"/>
  <c r="Y445" i="25"/>
  <c r="Y446" i="25"/>
  <c r="Y447" i="25"/>
  <c r="Y448" i="25"/>
  <c r="Y449" i="25"/>
  <c r="Y450" i="25"/>
  <c r="Y451" i="25"/>
  <c r="Y452" i="25"/>
  <c r="Y453" i="25"/>
  <c r="Y454" i="25"/>
  <c r="Y455" i="25"/>
  <c r="Y456" i="25"/>
  <c r="Y457" i="25"/>
  <c r="Y458" i="25"/>
  <c r="Y459" i="25"/>
  <c r="Y460" i="25"/>
  <c r="Y461" i="25"/>
  <c r="Y462" i="25"/>
  <c r="Y463" i="25"/>
  <c r="Y464" i="25"/>
  <c r="Y465" i="25"/>
  <c r="Y466" i="25"/>
  <c r="Y467" i="25"/>
  <c r="Y468" i="25"/>
  <c r="Y469" i="25"/>
  <c r="Y470" i="25"/>
  <c r="Y471" i="25"/>
  <c r="Y472" i="25"/>
  <c r="Y473" i="25"/>
  <c r="Y474" i="25"/>
  <c r="Y475" i="25"/>
  <c r="Y476" i="25"/>
  <c r="Y477" i="25"/>
  <c r="Y478" i="25"/>
  <c r="Y479" i="25"/>
  <c r="Y480" i="25"/>
  <c r="Y481" i="25"/>
  <c r="Y482" i="25"/>
  <c r="Y483" i="25"/>
  <c r="Y484" i="25"/>
  <c r="Y485" i="25"/>
  <c r="Y486" i="25"/>
  <c r="Y487" i="25"/>
  <c r="Y488" i="25"/>
  <c r="Y489" i="25"/>
  <c r="Y490" i="25"/>
  <c r="Y491" i="25"/>
  <c r="Y492" i="25"/>
  <c r="Y493" i="25"/>
  <c r="Y494" i="25"/>
  <c r="Y495" i="25"/>
  <c r="Y496" i="25"/>
  <c r="Y497" i="25"/>
  <c r="Y498" i="25"/>
  <c r="Y499" i="25"/>
  <c r="Y500" i="25"/>
  <c r="Y501" i="25"/>
  <c r="Y502" i="25"/>
  <c r="Y503" i="25"/>
  <c r="Y504" i="25"/>
  <c r="Y505" i="25"/>
  <c r="Y506" i="25"/>
  <c r="Y507" i="25"/>
  <c r="Y508" i="25"/>
  <c r="Y509" i="25"/>
  <c r="Y510" i="25"/>
  <c r="Y511" i="25"/>
  <c r="Y512" i="25"/>
  <c r="Y513" i="25"/>
  <c r="Y514" i="25"/>
  <c r="Y515" i="25"/>
  <c r="Y516" i="25"/>
  <c r="Y517" i="25"/>
  <c r="Y518" i="25"/>
  <c r="Y519" i="25"/>
  <c r="Y520" i="25"/>
  <c r="Y521" i="25"/>
  <c r="Y522" i="25"/>
  <c r="Y523" i="25"/>
  <c r="Y524" i="25"/>
  <c r="Y525" i="25"/>
  <c r="Y526" i="25"/>
  <c r="Y527" i="25"/>
  <c r="Y528" i="25"/>
  <c r="Y529" i="25"/>
  <c r="Y530" i="25"/>
  <c r="Y531" i="25"/>
  <c r="Y532" i="25"/>
  <c r="Y533" i="25"/>
  <c r="Y534" i="25"/>
  <c r="Y535" i="25"/>
  <c r="Y536" i="25"/>
  <c r="Y537" i="25"/>
  <c r="Y538" i="25"/>
  <c r="Y539" i="25"/>
  <c r="Y540" i="25"/>
  <c r="Y541" i="25"/>
  <c r="Y542" i="25"/>
  <c r="Y543" i="25"/>
  <c r="Y544" i="25"/>
  <c r="Y545" i="25"/>
  <c r="Y546" i="25"/>
  <c r="Y547" i="25"/>
  <c r="Y548" i="25"/>
  <c r="Y549" i="25"/>
  <c r="Y550" i="25"/>
  <c r="Y551" i="25"/>
  <c r="Y552" i="25"/>
  <c r="Y553" i="25"/>
  <c r="Y554" i="25"/>
  <c r="Y555" i="25"/>
  <c r="Y556" i="25"/>
  <c r="Y557" i="25"/>
  <c r="Y558" i="25"/>
  <c r="Y559" i="25"/>
  <c r="Y560" i="25"/>
  <c r="Y561" i="25"/>
  <c r="Y562" i="25"/>
  <c r="Y563" i="25"/>
  <c r="Y564" i="25"/>
  <c r="Y565" i="25"/>
  <c r="Y566" i="25"/>
  <c r="Y567" i="25"/>
  <c r="Y568" i="25"/>
  <c r="Y569" i="25"/>
  <c r="Y570" i="25"/>
  <c r="Y571" i="25"/>
  <c r="Y572" i="25"/>
  <c r="Y573" i="25"/>
  <c r="Y574" i="25"/>
  <c r="Y575" i="25"/>
  <c r="Y576" i="25"/>
  <c r="Y577" i="25"/>
  <c r="Y578" i="25"/>
  <c r="Y579" i="25"/>
  <c r="Y580" i="25"/>
  <c r="Y581" i="25"/>
  <c r="Y582" i="25"/>
  <c r="Y583" i="25"/>
  <c r="Y584" i="25"/>
  <c r="Y585" i="25"/>
  <c r="Y586" i="25"/>
  <c r="Y587" i="25"/>
  <c r="Y588" i="25"/>
  <c r="Y589" i="25"/>
  <c r="Y590" i="25"/>
  <c r="Y591" i="25"/>
  <c r="Y592" i="25"/>
  <c r="Y593" i="25"/>
  <c r="Y594" i="25"/>
  <c r="Y595" i="25"/>
  <c r="Y596" i="25"/>
  <c r="Y597" i="25"/>
  <c r="Y598" i="25"/>
  <c r="Y599" i="25"/>
  <c r="Y600" i="25"/>
  <c r="Y601" i="25"/>
  <c r="Y602" i="25"/>
  <c r="Y603" i="25"/>
  <c r="Y604" i="25"/>
  <c r="Y605" i="25"/>
  <c r="Y606" i="25"/>
  <c r="Y607" i="25"/>
  <c r="Y608" i="25"/>
  <c r="Y609" i="25"/>
  <c r="Y610" i="25"/>
  <c r="Y611" i="25"/>
  <c r="Y612" i="25"/>
  <c r="Y613" i="25"/>
  <c r="Y614" i="25"/>
  <c r="Y615" i="25"/>
  <c r="Y616" i="25"/>
  <c r="Y617" i="25"/>
  <c r="Y618" i="25"/>
  <c r="Y619" i="25"/>
  <c r="Y620" i="25"/>
  <c r="Y621" i="25"/>
  <c r="Y622" i="25"/>
  <c r="Y623" i="25"/>
  <c r="Y624" i="25"/>
  <c r="Y625" i="25"/>
  <c r="Y626" i="25"/>
  <c r="Y627" i="25"/>
  <c r="Y628" i="25"/>
  <c r="Y629" i="25"/>
  <c r="Y630" i="25"/>
  <c r="Y631" i="25"/>
  <c r="Y632" i="25"/>
  <c r="Y633" i="25"/>
  <c r="Y634" i="25"/>
  <c r="Y635" i="25"/>
  <c r="Y636" i="25"/>
  <c r="Y637" i="25"/>
  <c r="Y638" i="25"/>
  <c r="Y639" i="25"/>
  <c r="Y640" i="25"/>
  <c r="Y641" i="25"/>
  <c r="Y642" i="25"/>
  <c r="Y643" i="25"/>
  <c r="Y644" i="25"/>
  <c r="Y645" i="25"/>
  <c r="Y646" i="25"/>
  <c r="Y647" i="25"/>
  <c r="Y648" i="25"/>
  <c r="Y649" i="25"/>
  <c r="Y650" i="25"/>
  <c r="Y651" i="25"/>
  <c r="Y652" i="25"/>
  <c r="Y653" i="25"/>
  <c r="Y654" i="25"/>
  <c r="Y655" i="25"/>
  <c r="Y656" i="25"/>
  <c r="Y657" i="25"/>
  <c r="Y658" i="25"/>
  <c r="Y659" i="25"/>
  <c r="Y660" i="25"/>
  <c r="Y661" i="25"/>
  <c r="Y662" i="25"/>
  <c r="Y663" i="25"/>
  <c r="Y664" i="25"/>
  <c r="Y665" i="25"/>
  <c r="Y666" i="25"/>
  <c r="Y667" i="25"/>
  <c r="Y668" i="25"/>
  <c r="Y669" i="25"/>
  <c r="Y670" i="25"/>
  <c r="Y671" i="25"/>
  <c r="Y672" i="25"/>
  <c r="Y673" i="25"/>
  <c r="Y674" i="25"/>
  <c r="Y675" i="25"/>
  <c r="Y676" i="25"/>
  <c r="Y677" i="25"/>
  <c r="Y678" i="25"/>
  <c r="Y679" i="25"/>
  <c r="Y680" i="25"/>
  <c r="Y681" i="25"/>
  <c r="Y682" i="25"/>
  <c r="Y683" i="25"/>
  <c r="Y684" i="25"/>
  <c r="Y685" i="25"/>
  <c r="Y686" i="25"/>
  <c r="Y687" i="25"/>
  <c r="Y688" i="25"/>
  <c r="Y689" i="25"/>
  <c r="Y690" i="25"/>
  <c r="Y691" i="25"/>
  <c r="Y692" i="25"/>
  <c r="Y693" i="25"/>
  <c r="Y694" i="25"/>
  <c r="Y695" i="25"/>
  <c r="Y696" i="25"/>
  <c r="Y697" i="25"/>
  <c r="Y698" i="25"/>
  <c r="Y699" i="25"/>
  <c r="Y700" i="25"/>
  <c r="Y701" i="25"/>
  <c r="Y702" i="25"/>
  <c r="Y703" i="25"/>
  <c r="Y704" i="25"/>
  <c r="Y705" i="25"/>
  <c r="Y706" i="25"/>
  <c r="Y707" i="25"/>
  <c r="Y708" i="25"/>
  <c r="Y709" i="25"/>
  <c r="Y710" i="25"/>
  <c r="Y711" i="25"/>
  <c r="Y712" i="25"/>
  <c r="Y713" i="25"/>
  <c r="Y714" i="25"/>
  <c r="Y715" i="25"/>
  <c r="Y716" i="25"/>
  <c r="Y717" i="25"/>
  <c r="Y718" i="25"/>
  <c r="Y719" i="25"/>
  <c r="Y720" i="25"/>
  <c r="Y721" i="25"/>
  <c r="Y722" i="25"/>
  <c r="Y723" i="25"/>
  <c r="Y724" i="25"/>
  <c r="Y725" i="25"/>
  <c r="Y726" i="25"/>
  <c r="Y727" i="25"/>
  <c r="Y728" i="25"/>
  <c r="Y729" i="25"/>
  <c r="Y730" i="25"/>
  <c r="Y731" i="25"/>
  <c r="Y732" i="25"/>
  <c r="Y733" i="25"/>
  <c r="Y734" i="25"/>
  <c r="Y735" i="25"/>
  <c r="Y736" i="25"/>
  <c r="Y737" i="25"/>
  <c r="Y738" i="25"/>
  <c r="Y739" i="25"/>
  <c r="Y740" i="25"/>
  <c r="Y741" i="25"/>
  <c r="Y742" i="25"/>
  <c r="Y743" i="25"/>
  <c r="Y744" i="25"/>
  <c r="Y745" i="25"/>
  <c r="Y746" i="25"/>
  <c r="Y747" i="25"/>
  <c r="Y748" i="25"/>
  <c r="Y749" i="25"/>
  <c r="Y750" i="25"/>
  <c r="Y751" i="25"/>
  <c r="Y752" i="25"/>
  <c r="Y753" i="25"/>
  <c r="Y754" i="25"/>
  <c r="Y755" i="25"/>
  <c r="Y756" i="25"/>
  <c r="Y757" i="25"/>
  <c r="Y758" i="25"/>
  <c r="Y759" i="25"/>
  <c r="Y760" i="25"/>
  <c r="Y761" i="25"/>
  <c r="Y762" i="25"/>
  <c r="Y763" i="25"/>
  <c r="Y764" i="25"/>
  <c r="Y765" i="25"/>
  <c r="Y766" i="25"/>
  <c r="Y767" i="25"/>
  <c r="Y768" i="25"/>
  <c r="Y769" i="25"/>
  <c r="Y770" i="25"/>
  <c r="Y771" i="25"/>
  <c r="Y772" i="25"/>
  <c r="Y773" i="25"/>
  <c r="Y774" i="25"/>
  <c r="Y775" i="25"/>
  <c r="Y776" i="25"/>
  <c r="Y777" i="25"/>
  <c r="Y778" i="25"/>
  <c r="Y779" i="25"/>
  <c r="Y780" i="25"/>
  <c r="Y781" i="25"/>
  <c r="Y782" i="25"/>
  <c r="Y783" i="25"/>
  <c r="Y784" i="25"/>
  <c r="Y785" i="25"/>
  <c r="Y786" i="25"/>
  <c r="Y787" i="25"/>
  <c r="Y788" i="25"/>
  <c r="Y789" i="25"/>
  <c r="Y790" i="25"/>
  <c r="Y791" i="25"/>
  <c r="Y792" i="25"/>
  <c r="Y793" i="25"/>
  <c r="Y794" i="25"/>
  <c r="Y795" i="25"/>
  <c r="Y796" i="25"/>
  <c r="Y797" i="25"/>
  <c r="Y798" i="25"/>
  <c r="Y799" i="25"/>
  <c r="Y800" i="25"/>
  <c r="Y801" i="25"/>
  <c r="Y802" i="25"/>
  <c r="Y803" i="25"/>
  <c r="Y804" i="25"/>
  <c r="Y805" i="25"/>
  <c r="Y806" i="25"/>
  <c r="Y807" i="25"/>
  <c r="Y808" i="25"/>
  <c r="Y809" i="25"/>
  <c r="Y810" i="25"/>
  <c r="Y811" i="25"/>
  <c r="Y812" i="25"/>
  <c r="Y813" i="25"/>
  <c r="Y814" i="25"/>
  <c r="Y815" i="25"/>
  <c r="Y816" i="25"/>
  <c r="Y817" i="25"/>
  <c r="Y818" i="25"/>
  <c r="Y819" i="25"/>
  <c r="Y820" i="25"/>
  <c r="Y821" i="25"/>
  <c r="Y822" i="25"/>
  <c r="Y823" i="25"/>
  <c r="Y824" i="25"/>
  <c r="Y825" i="25"/>
  <c r="Y826" i="25"/>
  <c r="Y827" i="25"/>
  <c r="Y828" i="25"/>
  <c r="Y829" i="25"/>
  <c r="Y830" i="25"/>
  <c r="Y831" i="25"/>
  <c r="Y832" i="25"/>
  <c r="Y833" i="25"/>
  <c r="Y834" i="25"/>
  <c r="Y835" i="25"/>
  <c r="Y836" i="25"/>
  <c r="Y837" i="25"/>
  <c r="Y838" i="25"/>
  <c r="Y839" i="25"/>
  <c r="Y840" i="25"/>
  <c r="Y841" i="25"/>
  <c r="Y842" i="25"/>
  <c r="Y843" i="25"/>
  <c r="Y844" i="25"/>
  <c r="Y845" i="25"/>
  <c r="Y846" i="25"/>
  <c r="Y847" i="25"/>
  <c r="Y848" i="25"/>
  <c r="Y849" i="25"/>
  <c r="Y850" i="25"/>
  <c r="Y851" i="25"/>
  <c r="Y852" i="25"/>
  <c r="Y853" i="25"/>
  <c r="Y854" i="25"/>
  <c r="Y855" i="25"/>
  <c r="Y856" i="25"/>
  <c r="Y857" i="25"/>
  <c r="Y858" i="25"/>
  <c r="Y859" i="25"/>
  <c r="Y860" i="25"/>
  <c r="Y861" i="25"/>
  <c r="Y862" i="25"/>
  <c r="Y863" i="25"/>
  <c r="Y864" i="25"/>
  <c r="Y865" i="25"/>
  <c r="Y866" i="25"/>
  <c r="Y867" i="25"/>
  <c r="Y868" i="25"/>
  <c r="Y869" i="25"/>
  <c r="Y870" i="25"/>
  <c r="Y871" i="25"/>
  <c r="Y872" i="25"/>
  <c r="Y873" i="25"/>
  <c r="Y874" i="25"/>
  <c r="Y875" i="25"/>
  <c r="Y876" i="25"/>
  <c r="Y877" i="25"/>
  <c r="Y878" i="25"/>
  <c r="Y879" i="25"/>
  <c r="Y880" i="25"/>
  <c r="Y881" i="25"/>
  <c r="Y2" i="25"/>
  <c r="T662" i="25"/>
  <c r="T442" i="25"/>
  <c r="T2" i="25"/>
  <c r="V2" i="25"/>
  <c r="K20" i="24"/>
  <c r="T21" i="23"/>
  <c r="W21" i="23"/>
  <c r="W241" i="23"/>
  <c r="W26" i="23"/>
  <c r="W472" i="23"/>
  <c r="W290" i="23"/>
  <c r="W538" i="23"/>
  <c r="W544" i="23"/>
  <c r="W833" i="23"/>
  <c r="W383" i="23"/>
  <c r="W146" i="23"/>
  <c r="W558" i="23"/>
  <c r="W722" i="23"/>
  <c r="W182" i="23"/>
  <c r="W211" i="23"/>
  <c r="W758" i="23"/>
  <c r="W197" i="23"/>
  <c r="W791" i="23"/>
  <c r="W811" i="23"/>
  <c r="W153" i="23"/>
  <c r="W136" i="23"/>
  <c r="W645" i="23"/>
  <c r="W198" i="23"/>
  <c r="W477" i="23"/>
  <c r="W687" i="23"/>
  <c r="W556" i="23"/>
  <c r="W117" i="23"/>
  <c r="W179" i="23"/>
  <c r="W440" i="23"/>
  <c r="W511" i="23"/>
  <c r="W183" i="23"/>
  <c r="W98" i="23"/>
  <c r="W133" i="23"/>
  <c r="G468" i="23"/>
  <c r="D589" i="23"/>
  <c r="D97" i="23"/>
  <c r="D214" i="23"/>
  <c r="D400" i="23"/>
  <c r="D683" i="23"/>
  <c r="D788" i="23"/>
  <c r="D342" i="23"/>
  <c r="D786" i="23"/>
  <c r="D807" i="23"/>
  <c r="D642" i="23"/>
  <c r="D296" i="23"/>
  <c r="D375" i="23"/>
  <c r="D67" i="23"/>
  <c r="D585" i="23"/>
  <c r="D13" i="23"/>
  <c r="D474" i="23"/>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V601" i="31"/>
  <c r="V852" i="31"/>
  <c r="V796" i="31"/>
  <c r="V744" i="31"/>
  <c r="V728" i="31"/>
  <c r="V357" i="31"/>
  <c r="V629" i="31"/>
  <c r="V445" i="31"/>
  <c r="V817" i="31"/>
  <c r="V648" i="31"/>
  <c r="V880" i="31"/>
  <c r="V868" i="31"/>
  <c r="V844" i="31"/>
  <c r="V816" i="31"/>
  <c r="V804" i="31"/>
  <c r="V788" i="31"/>
  <c r="V752" i="31"/>
  <c r="V664" i="31"/>
  <c r="V439" i="31"/>
  <c r="V395" i="31"/>
  <c r="V347" i="31"/>
  <c r="V303" i="31"/>
  <c r="V263" i="31"/>
  <c r="V643" i="31"/>
  <c r="V623" i="31"/>
  <c r="V603" i="31"/>
  <c r="V591" i="31"/>
  <c r="V575" i="31"/>
  <c r="V555" i="31"/>
  <c r="V531" i="31"/>
  <c r="V515" i="31"/>
  <c r="V495" i="31"/>
  <c r="V471" i="31"/>
  <c r="V455" i="31"/>
  <c r="V855" i="31"/>
  <c r="V843" i="31"/>
  <c r="V827" i="31"/>
  <c r="V815" i="31"/>
  <c r="V799" i="31"/>
  <c r="V763" i="31"/>
  <c r="V751" i="31"/>
  <c r="V735" i="31"/>
  <c r="V719" i="31"/>
  <c r="V695" i="31"/>
  <c r="V675" i="31"/>
  <c r="V663" i="31"/>
  <c r="V401" i="31"/>
  <c r="V385" i="31"/>
  <c r="V249" i="31"/>
  <c r="V637" i="31"/>
  <c r="V621" i="31"/>
  <c r="V593" i="31"/>
  <c r="V481" i="31"/>
  <c r="V469" i="31"/>
  <c r="V881" i="31"/>
  <c r="V853" i="31"/>
  <c r="V825" i="31"/>
  <c r="V789" i="31"/>
  <c r="V773" i="31"/>
  <c r="V745" i="31"/>
  <c r="V737" i="31"/>
  <c r="V701" i="31"/>
  <c r="V417" i="31"/>
  <c r="V409" i="31"/>
  <c r="V377" i="31"/>
  <c r="V365" i="31"/>
  <c r="V353" i="31"/>
  <c r="V349" i="31"/>
  <c r="V333" i="31"/>
  <c r="V325" i="31"/>
  <c r="V313" i="31"/>
  <c r="V305" i="31"/>
  <c r="V301" i="31"/>
  <c r="V293" i="31"/>
  <c r="V285" i="31"/>
  <c r="V273" i="31"/>
  <c r="V241" i="31"/>
  <c r="V229" i="31"/>
  <c r="V661" i="31"/>
  <c r="V657" i="31"/>
  <c r="V649" i="31"/>
  <c r="V645" i="31"/>
  <c r="V641" i="31"/>
  <c r="V633" i="31"/>
  <c r="V617" i="31"/>
  <c r="V609" i="31"/>
  <c r="V597" i="31"/>
  <c r="V589" i="31"/>
  <c r="V581" i="31"/>
  <c r="V577" i="31"/>
  <c r="V573" i="31"/>
  <c r="V569" i="31"/>
  <c r="V561" i="31"/>
  <c r="V553" i="31"/>
  <c r="V545" i="31"/>
  <c r="V541" i="31"/>
  <c r="V533" i="31"/>
  <c r="V525" i="31"/>
  <c r="V513" i="31"/>
  <c r="V509" i="31"/>
  <c r="V497" i="31"/>
  <c r="V489" i="31"/>
  <c r="V477" i="31"/>
  <c r="V461" i="31"/>
  <c r="V449" i="31"/>
  <c r="V873" i="31"/>
  <c r="V869" i="31"/>
  <c r="V865" i="31"/>
  <c r="V857" i="31"/>
  <c r="V849" i="31"/>
  <c r="V841" i="31"/>
  <c r="V837" i="31"/>
  <c r="V833" i="31"/>
  <c r="V821" i="31"/>
  <c r="V809" i="31"/>
  <c r="V805" i="31"/>
  <c r="V801" i="31"/>
  <c r="V793" i="31"/>
  <c r="V785" i="31"/>
  <c r="V777" i="31"/>
  <c r="V769" i="31"/>
  <c r="V765" i="31"/>
  <c r="V761" i="31"/>
  <c r="V757" i="31"/>
  <c r="V749" i="31"/>
  <c r="V729" i="31"/>
  <c r="V725" i="31"/>
  <c r="V721" i="31"/>
  <c r="V717" i="31"/>
  <c r="V709" i="31"/>
  <c r="V705" i="31"/>
  <c r="V697" i="31"/>
  <c r="V689" i="31"/>
  <c r="V685" i="31"/>
  <c r="V681" i="31"/>
  <c r="V677" i="31"/>
  <c r="V669" i="31"/>
  <c r="V624" i="31"/>
  <c r="V616" i="31"/>
  <c r="V568" i="31"/>
  <c r="V876" i="31"/>
  <c r="V864" i="31"/>
  <c r="V848" i="31"/>
  <c r="V836" i="31"/>
  <c r="V828" i="31"/>
  <c r="V820" i="31"/>
  <c r="V812" i="31"/>
  <c r="V800" i="31"/>
  <c r="V784" i="31"/>
  <c r="V776" i="31"/>
  <c r="V712" i="31"/>
  <c r="V696" i="31"/>
  <c r="V688" i="31"/>
  <c r="V271" i="31"/>
  <c r="V247" i="31"/>
  <c r="V206" i="31"/>
  <c r="V174" i="31"/>
  <c r="V158" i="31"/>
  <c r="V142" i="31"/>
  <c r="V110" i="31"/>
  <c r="V94" i="31"/>
  <c r="V78" i="31"/>
  <c r="V46" i="31"/>
  <c r="V30" i="31"/>
  <c r="V421" i="31"/>
  <c r="V413" i="31"/>
  <c r="V369" i="31"/>
  <c r="V317" i="31"/>
  <c r="V289" i="31"/>
  <c r="V281" i="31"/>
  <c r="V257" i="31"/>
  <c r="V233" i="31"/>
  <c r="V653" i="31"/>
  <c r="V625" i="31"/>
  <c r="V613" i="31"/>
  <c r="V605" i="31"/>
  <c r="V585" i="31"/>
  <c r="V565" i="31"/>
  <c r="V557" i="31"/>
  <c r="V529" i="31"/>
  <c r="V521" i="31"/>
  <c r="V501" i="31"/>
  <c r="V493" i="31"/>
  <c r="V465" i="31"/>
  <c r="V457" i="31"/>
  <c r="V877" i="31"/>
  <c r="V861" i="31"/>
  <c r="V845" i="31"/>
  <c r="V829" i="31"/>
  <c r="V813" i="31"/>
  <c r="V797" i="31"/>
  <c r="V781" i="31"/>
  <c r="V753" i="31"/>
  <c r="V741" i="31"/>
  <c r="V733" i="31"/>
  <c r="V713" i="31"/>
  <c r="V693" i="31"/>
  <c r="V673" i="31"/>
  <c r="V665" i="31"/>
  <c r="V640" i="31"/>
  <c r="V632" i="31"/>
  <c r="V608" i="31"/>
  <c r="V592" i="31"/>
  <c r="V576" i="31"/>
  <c r="V872" i="31"/>
  <c r="V856" i="31"/>
  <c r="V840" i="31"/>
  <c r="V824" i="31"/>
  <c r="V808" i="31"/>
  <c r="V792" i="31"/>
  <c r="V768" i="31"/>
  <c r="V760" i="31"/>
  <c r="V736" i="31"/>
  <c r="V720" i="31"/>
  <c r="V704" i="31"/>
  <c r="V680" i="31"/>
  <c r="V672" i="31"/>
  <c r="W667" i="31"/>
  <c r="V435" i="31"/>
  <c r="V403" i="31"/>
  <c r="V391" i="31"/>
  <c r="V379" i="31"/>
  <c r="V359" i="31"/>
  <c r="V351" i="31"/>
  <c r="V339" i="31"/>
  <c r="V327" i="31"/>
  <c r="V307" i="31"/>
  <c r="V299" i="31"/>
  <c r="W663" i="31"/>
  <c r="V219" i="31"/>
  <c r="V215" i="31"/>
  <c r="V211" i="31"/>
  <c r="V207" i="31"/>
  <c r="V203" i="31"/>
  <c r="V199" i="31"/>
  <c r="V438" i="31"/>
  <c r="V434" i="31"/>
  <c r="V430" i="31"/>
  <c r="V426" i="31"/>
  <c r="V422" i="31"/>
  <c r="V418" i="31"/>
  <c r="V414" i="31"/>
  <c r="V410" i="31"/>
  <c r="V406" i="31"/>
  <c r="V402" i="31"/>
  <c r="V398" i="31"/>
  <c r="V394" i="31"/>
  <c r="V390" i="31"/>
  <c r="V386" i="31"/>
  <c r="V382" i="31"/>
  <c r="V378" i="31"/>
  <c r="V374" i="31"/>
  <c r="V370" i="31"/>
  <c r="V366" i="31"/>
  <c r="V362" i="31"/>
  <c r="V358" i="31"/>
  <c r="V354" i="31"/>
  <c r="V350" i="31"/>
  <c r="V346" i="31"/>
  <c r="V342" i="31"/>
  <c r="V338" i="31"/>
  <c r="V334" i="31"/>
  <c r="V330" i="31"/>
  <c r="V326" i="31"/>
  <c r="V322" i="31"/>
  <c r="V318" i="31"/>
  <c r="V314" i="31"/>
  <c r="V310" i="31"/>
  <c r="V306" i="31"/>
  <c r="V302" i="31"/>
  <c r="V298" i="31"/>
  <c r="V294" i="31"/>
  <c r="V290" i="31"/>
  <c r="V286" i="31"/>
  <c r="V282" i="31"/>
  <c r="V278" i="31"/>
  <c r="V274" i="31"/>
  <c r="V270" i="31"/>
  <c r="V266" i="31"/>
  <c r="V262" i="31"/>
  <c r="V258" i="31"/>
  <c r="V538" i="31"/>
  <c r="V522" i="31"/>
  <c r="V514" i="31"/>
  <c r="V474" i="31"/>
  <c r="V458" i="31"/>
  <c r="V450" i="31"/>
  <c r="V878" i="31"/>
  <c r="V874" i="31"/>
  <c r="V870" i="31"/>
  <c r="V866" i="31"/>
  <c r="V862" i="31"/>
  <c r="V858" i="31"/>
  <c r="V854" i="31"/>
  <c r="V850" i="31"/>
  <c r="V846" i="31"/>
  <c r="V842" i="31"/>
  <c r="V838" i="31"/>
  <c r="V834" i="31"/>
  <c r="V830" i="31"/>
  <c r="V826" i="31"/>
  <c r="V822" i="31"/>
  <c r="V818" i="31"/>
  <c r="V814" i="31"/>
  <c r="V810" i="31"/>
  <c r="V806" i="31"/>
  <c r="V802" i="31"/>
  <c r="V798" i="31"/>
  <c r="V794" i="31"/>
  <c r="V790" i="31"/>
  <c r="V786" i="31"/>
  <c r="V660" i="31"/>
  <c r="V652" i="31"/>
  <c r="V644" i="31"/>
  <c r="V636" i="31"/>
  <c r="V628" i="31"/>
  <c r="V620" i="31"/>
  <c r="V612" i="31"/>
  <c r="V604" i="31"/>
  <c r="V596" i="31"/>
  <c r="V588" i="31"/>
  <c r="V580" i="31"/>
  <c r="V572" i="31"/>
  <c r="V564" i="31"/>
  <c r="V780" i="31"/>
  <c r="V772" i="31"/>
  <c r="V764" i="31"/>
  <c r="V756" i="31"/>
  <c r="V748" i="31"/>
  <c r="V740" i="31"/>
  <c r="V732" i="31"/>
  <c r="V724" i="31"/>
  <c r="V716" i="31"/>
  <c r="V708" i="31"/>
  <c r="V700" i="31"/>
  <c r="V692" i="31"/>
  <c r="V684" i="31"/>
  <c r="V676" i="31"/>
  <c r="V668" i="31"/>
  <c r="V254" i="31"/>
  <c r="V250" i="31"/>
  <c r="V246" i="31"/>
  <c r="V242" i="31"/>
  <c r="V226" i="31"/>
  <c r="V442" i="31"/>
  <c r="V658" i="31"/>
  <c r="V654" i="31"/>
  <c r="V650" i="31"/>
  <c r="V646" i="31"/>
  <c r="V642" i="31"/>
  <c r="V638" i="31"/>
  <c r="V634" i="31"/>
  <c r="V630" i="31"/>
  <c r="V626" i="31"/>
  <c r="V622" i="31"/>
  <c r="V618" i="31"/>
  <c r="V614" i="31"/>
  <c r="V610" i="31"/>
  <c r="V606" i="31"/>
  <c r="V602" i="31"/>
  <c r="V598" i="31"/>
  <c r="V594" i="31"/>
  <c r="V590" i="31"/>
  <c r="V586" i="31"/>
  <c r="V582" i="31"/>
  <c r="V578" i="31"/>
  <c r="V574" i="31"/>
  <c r="V570" i="31"/>
  <c r="V566" i="31"/>
  <c r="V562" i="31"/>
  <c r="V558" i="31"/>
  <c r="V554" i="31"/>
  <c r="V550" i="31"/>
  <c r="V546" i="31"/>
  <c r="V542" i="31"/>
  <c r="V534" i="31"/>
  <c r="V530" i="31"/>
  <c r="V526" i="31"/>
  <c r="V518" i="31"/>
  <c r="V510" i="31"/>
  <c r="V506" i="31"/>
  <c r="V502" i="31"/>
  <c r="V498" i="31"/>
  <c r="V494" i="31"/>
  <c r="V490" i="31"/>
  <c r="V486" i="31"/>
  <c r="V482" i="31"/>
  <c r="V478" i="31"/>
  <c r="V470" i="31"/>
  <c r="V466" i="31"/>
  <c r="V462" i="31"/>
  <c r="V454" i="31"/>
  <c r="V446" i="31"/>
  <c r="V662" i="31"/>
  <c r="V782" i="31"/>
  <c r="V778" i="31"/>
  <c r="V774" i="31"/>
  <c r="V770" i="31"/>
  <c r="V766" i="31"/>
  <c r="V762" i="31"/>
  <c r="V758" i="31"/>
  <c r="V754" i="31"/>
  <c r="V750" i="31"/>
  <c r="V746" i="31"/>
  <c r="V742" i="31"/>
  <c r="V738" i="31"/>
  <c r="V734" i="31"/>
  <c r="V730" i="31"/>
  <c r="V726" i="31"/>
  <c r="V722" i="31"/>
  <c r="V718" i="31"/>
  <c r="V714" i="31"/>
  <c r="V710" i="31"/>
  <c r="V706" i="31"/>
  <c r="V702" i="31"/>
  <c r="V698" i="31"/>
  <c r="V694" i="31"/>
  <c r="V690" i="31"/>
  <c r="V686" i="31"/>
  <c r="V682" i="31"/>
  <c r="V678" i="31"/>
  <c r="V674" i="31"/>
  <c r="V670" i="31"/>
  <c r="V666" i="31"/>
  <c r="V195" i="31"/>
  <c r="V191" i="31"/>
  <c r="V187" i="31"/>
  <c r="V183" i="31"/>
  <c r="V179" i="31"/>
  <c r="V175" i="31"/>
  <c r="V171" i="31"/>
  <c r="V167" i="31"/>
  <c r="V163" i="31"/>
  <c r="V159" i="31"/>
  <c r="V155" i="31"/>
  <c r="V151" i="31"/>
  <c r="V147" i="31"/>
  <c r="V143" i="31"/>
  <c r="V139" i="31"/>
  <c r="V135" i="31"/>
  <c r="V131" i="31"/>
  <c r="V127" i="31"/>
  <c r="V123" i="31"/>
  <c r="V119" i="31"/>
  <c r="V115" i="31"/>
  <c r="V111" i="31"/>
  <c r="V107" i="31"/>
  <c r="V103" i="31"/>
  <c r="V99" i="31"/>
  <c r="V95" i="31"/>
  <c r="V91" i="31"/>
  <c r="V87" i="31"/>
  <c r="V83" i="31"/>
  <c r="V79" i="31"/>
  <c r="V75" i="31"/>
  <c r="V71" i="31"/>
  <c r="V67" i="31"/>
  <c r="V63" i="31"/>
  <c r="V59" i="31"/>
  <c r="V55" i="31"/>
  <c r="V51" i="31"/>
  <c r="V47" i="31"/>
  <c r="V43" i="31"/>
  <c r="V39" i="31"/>
  <c r="V35" i="31"/>
  <c r="V31" i="31"/>
  <c r="V27" i="31"/>
  <c r="V23" i="31"/>
  <c r="V19" i="31"/>
  <c r="V15" i="31"/>
  <c r="V11" i="31"/>
  <c r="V7" i="31"/>
  <c r="V3" i="31"/>
  <c r="V433" i="31"/>
  <c r="V405" i="31"/>
  <c r="V393" i="31"/>
  <c r="V373" i="31"/>
  <c r="V361" i="31"/>
  <c r="V341" i="31"/>
  <c r="V329" i="31"/>
  <c r="V309" i="31"/>
  <c r="V297" i="31"/>
  <c r="V277" i="31"/>
  <c r="V265" i="31"/>
  <c r="V245" i="31"/>
  <c r="V218" i="31"/>
  <c r="V214" i="31"/>
  <c r="V210" i="31"/>
  <c r="V202" i="31"/>
  <c r="V198" i="31"/>
  <c r="V194" i="31"/>
  <c r="V190" i="31"/>
  <c r="V186" i="31"/>
  <c r="V182" i="31"/>
  <c r="V178" i="31"/>
  <c r="V170" i="31"/>
  <c r="V166" i="31"/>
  <c r="V162" i="31"/>
  <c r="V154" i="31"/>
  <c r="V150" i="31"/>
  <c r="V146" i="31"/>
  <c r="V138" i="31"/>
  <c r="V134" i="31"/>
  <c r="V130" i="31"/>
  <c r="V126" i="31"/>
  <c r="V122" i="31"/>
  <c r="V118" i="31"/>
  <c r="V114" i="31"/>
  <c r="V106" i="31"/>
  <c r="V102" i="31"/>
  <c r="V98" i="31"/>
  <c r="V90" i="31"/>
  <c r="V86" i="31"/>
  <c r="V82" i="31"/>
  <c r="V74" i="31"/>
  <c r="V70" i="31"/>
  <c r="V66" i="31"/>
  <c r="V62" i="31"/>
  <c r="V58" i="31"/>
  <c r="V54" i="31"/>
  <c r="V50" i="31"/>
  <c r="V42" i="31"/>
  <c r="V38" i="31"/>
  <c r="V34" i="31"/>
  <c r="V26" i="31"/>
  <c r="V22" i="31"/>
  <c r="V18" i="31"/>
  <c r="V14" i="31"/>
  <c r="V10" i="31"/>
  <c r="V6" i="31"/>
  <c r="W811" i="31"/>
  <c r="W791" i="31"/>
  <c r="W767" i="31"/>
  <c r="W747" i="31"/>
  <c r="W727" i="31"/>
  <c r="W703" i="31"/>
  <c r="W683" i="31"/>
  <c r="W807" i="31"/>
  <c r="W783" i="31"/>
  <c r="W763" i="31"/>
  <c r="W743" i="31"/>
  <c r="W719" i="31"/>
  <c r="W699" i="31"/>
  <c r="W679" i="31"/>
  <c r="W798" i="31"/>
  <c r="W787" i="31"/>
  <c r="W755" i="31"/>
  <c r="W723" i="31"/>
  <c r="W691" i="31"/>
  <c r="W799" i="31"/>
  <c r="W779" i="31"/>
  <c r="W759" i="31"/>
  <c r="W735" i="31"/>
  <c r="W715" i="31"/>
  <c r="W695" i="31"/>
  <c r="W734" i="31"/>
  <c r="W815" i="31"/>
  <c r="W795" i="31"/>
  <c r="W775" i="31"/>
  <c r="W751" i="31"/>
  <c r="W731" i="31"/>
  <c r="W711" i="31"/>
  <c r="W687" i="31"/>
  <c r="W670" i="31"/>
  <c r="V440" i="31"/>
  <c r="V436" i="31"/>
  <c r="V432" i="31"/>
  <c r="V428" i="31"/>
  <c r="V424" i="31"/>
  <c r="V420" i="31"/>
  <c r="V416" i="31"/>
  <c r="V412" i="31"/>
  <c r="V408" i="31"/>
  <c r="V404" i="31"/>
  <c r="V400" i="31"/>
  <c r="V396" i="31"/>
  <c r="V392" i="31"/>
  <c r="V388" i="31"/>
  <c r="V384" i="31"/>
  <c r="V380" i="31"/>
  <c r="V376" i="31"/>
  <c r="V372" i="31"/>
  <c r="V368" i="31"/>
  <c r="V364" i="31"/>
  <c r="V360" i="31"/>
  <c r="V356" i="31"/>
  <c r="V352" i="31"/>
  <c r="V348" i="31"/>
  <c r="V344" i="31"/>
  <c r="V340" i="31"/>
  <c r="V336" i="31"/>
  <c r="V332" i="31"/>
  <c r="V328" i="31"/>
  <c r="V324" i="31"/>
  <c r="V320" i="31"/>
  <c r="V316" i="31"/>
  <c r="V312" i="31"/>
  <c r="V308" i="31"/>
  <c r="V304" i="31"/>
  <c r="V300" i="31"/>
  <c r="V296" i="31"/>
  <c r="V292" i="31"/>
  <c r="V288" i="31"/>
  <c r="V284" i="31"/>
  <c r="V280" i="31"/>
  <c r="V276" i="31"/>
  <c r="V272" i="31"/>
  <c r="V268" i="31"/>
  <c r="V264" i="31"/>
  <c r="V260" i="31"/>
  <c r="V256" i="31"/>
  <c r="V252" i="31"/>
  <c r="V248" i="31"/>
  <c r="V244" i="31"/>
  <c r="V560" i="31"/>
  <c r="V556" i="31"/>
  <c r="V552" i="31"/>
  <c r="V548" i="31"/>
  <c r="V544" i="31"/>
  <c r="V540" i="31"/>
  <c r="V536" i="31"/>
  <c r="V532" i="31"/>
  <c r="V528" i="31"/>
  <c r="V524" i="31"/>
  <c r="V520" i="31"/>
  <c r="V516" i="31"/>
  <c r="V512" i="31"/>
  <c r="V508" i="31"/>
  <c r="V504" i="31"/>
  <c r="V500" i="31"/>
  <c r="V496" i="31"/>
  <c r="V492" i="31"/>
  <c r="V488" i="31"/>
  <c r="V484" i="31"/>
  <c r="V480" i="31"/>
  <c r="V476" i="31"/>
  <c r="V472" i="31"/>
  <c r="V468" i="31"/>
  <c r="V464" i="31"/>
  <c r="V460" i="31"/>
  <c r="V456" i="31"/>
  <c r="V452" i="31"/>
  <c r="V448" i="31"/>
  <c r="V444" i="31"/>
  <c r="W675" i="31"/>
  <c r="V234" i="31"/>
  <c r="V230" i="31"/>
  <c r="V239" i="31"/>
  <c r="V223" i="31"/>
  <c r="AL190" i="31"/>
  <c r="AK190" i="31"/>
  <c r="AL186" i="31"/>
  <c r="AK186" i="31"/>
  <c r="AL182" i="31"/>
  <c r="AK182" i="31"/>
  <c r="AL178" i="31"/>
  <c r="AK178" i="31"/>
  <c r="AL174" i="31"/>
  <c r="AK174" i="31"/>
  <c r="AL170" i="31"/>
  <c r="AK170" i="31"/>
  <c r="AL166" i="31"/>
  <c r="AK166" i="31"/>
  <c r="AL162" i="31"/>
  <c r="AK162" i="31"/>
  <c r="AL158" i="31"/>
  <c r="AK158" i="31"/>
  <c r="AL154" i="31"/>
  <c r="AK154" i="31"/>
  <c r="AL150" i="31"/>
  <c r="AK150" i="31"/>
  <c r="AL146" i="31"/>
  <c r="AK146" i="31"/>
  <c r="AL142" i="31"/>
  <c r="AK142" i="31"/>
  <c r="AL138" i="31"/>
  <c r="AK138" i="31"/>
  <c r="AL134" i="31"/>
  <c r="AK134" i="31"/>
  <c r="AL130" i="31"/>
  <c r="AK130" i="31"/>
  <c r="AL126" i="31"/>
  <c r="AK126" i="31"/>
  <c r="AL122" i="31"/>
  <c r="AK122" i="31"/>
  <c r="AL118" i="31"/>
  <c r="AK118" i="31"/>
  <c r="AL114" i="31"/>
  <c r="AK114" i="31"/>
  <c r="AL110" i="31"/>
  <c r="AK110" i="31"/>
  <c r="AL106" i="31"/>
  <c r="AK106" i="31"/>
  <c r="AL102" i="31"/>
  <c r="AK102" i="31"/>
  <c r="AL98" i="31"/>
  <c r="AK98" i="31"/>
  <c r="AL94" i="31"/>
  <c r="AK94" i="31"/>
  <c r="AL90" i="31"/>
  <c r="AK90" i="31"/>
  <c r="AL86" i="31"/>
  <c r="AK86" i="31"/>
  <c r="AL82" i="31"/>
  <c r="AK82" i="31"/>
  <c r="AL78" i="31"/>
  <c r="AK78" i="31"/>
  <c r="AL74" i="31"/>
  <c r="AK74" i="31"/>
  <c r="AL70" i="31"/>
  <c r="AK70" i="31"/>
  <c r="AL66" i="31"/>
  <c r="AK66" i="31"/>
  <c r="AL62" i="31"/>
  <c r="AK62" i="31"/>
  <c r="AL58" i="31"/>
  <c r="AK58" i="31"/>
  <c r="AL54" i="31"/>
  <c r="AK54" i="31"/>
  <c r="AL50" i="31"/>
  <c r="AK50" i="31"/>
  <c r="AL46" i="31"/>
  <c r="AK46" i="31"/>
  <c r="AL42" i="31"/>
  <c r="AK42" i="31"/>
  <c r="AL38" i="31"/>
  <c r="AK38" i="31"/>
  <c r="AL34" i="31"/>
  <c r="AK34" i="31"/>
  <c r="AL30" i="31"/>
  <c r="AK30" i="31"/>
  <c r="AL26" i="31"/>
  <c r="AK26" i="31"/>
  <c r="AL22" i="31"/>
  <c r="AK22" i="31"/>
  <c r="AL18" i="31"/>
  <c r="AK18" i="31"/>
  <c r="AL14" i="31"/>
  <c r="AK14" i="31"/>
  <c r="AL10" i="31"/>
  <c r="AK10" i="31"/>
  <c r="AL6" i="31"/>
  <c r="AK6" i="31"/>
  <c r="AL412" i="31"/>
  <c r="AK412" i="31"/>
  <c r="AK408" i="31"/>
  <c r="AL408" i="31"/>
  <c r="AL404" i="31"/>
  <c r="AK404" i="31"/>
  <c r="AK400" i="31"/>
  <c r="AL400" i="31"/>
  <c r="AL396" i="31"/>
  <c r="AK396" i="31"/>
  <c r="AK392" i="31"/>
  <c r="AL392" i="31"/>
  <c r="AL388" i="31"/>
  <c r="AK388" i="31"/>
  <c r="AK384" i="31"/>
  <c r="AL384" i="31"/>
  <c r="AL380" i="31"/>
  <c r="AK380" i="31"/>
  <c r="AK376" i="31"/>
  <c r="AL376" i="31"/>
  <c r="AL372" i="31"/>
  <c r="AK372" i="31"/>
  <c r="AK368" i="31"/>
  <c r="AL368" i="31"/>
  <c r="AL364" i="31"/>
  <c r="AK364" i="31"/>
  <c r="AK360" i="31"/>
  <c r="AL360" i="31"/>
  <c r="AL356" i="31"/>
  <c r="AK356" i="31"/>
  <c r="AK352" i="31"/>
  <c r="AL352" i="31"/>
  <c r="AL348" i="31"/>
  <c r="AK348" i="31"/>
  <c r="AK344" i="31"/>
  <c r="AL344" i="31"/>
  <c r="AL340" i="31"/>
  <c r="AK340" i="31"/>
  <c r="AK336" i="31"/>
  <c r="AL336" i="31"/>
  <c r="AL332" i="31"/>
  <c r="AK332" i="31"/>
  <c r="AK328" i="31"/>
  <c r="AL328" i="31"/>
  <c r="AL324" i="31"/>
  <c r="AK324" i="31"/>
  <c r="AK320" i="31"/>
  <c r="AL320" i="31"/>
  <c r="AL316" i="31"/>
  <c r="AK316" i="31"/>
  <c r="AK312" i="31"/>
  <c r="AL312" i="31"/>
  <c r="AL308" i="31"/>
  <c r="AK308" i="31"/>
  <c r="AK304" i="31"/>
  <c r="AL304" i="31"/>
  <c r="AL300" i="31"/>
  <c r="AK300" i="31"/>
  <c r="AK296" i="31"/>
  <c r="AL296" i="31"/>
  <c r="AL292" i="31"/>
  <c r="AK292" i="31"/>
  <c r="AK288" i="31"/>
  <c r="AL288" i="31"/>
  <c r="AL284" i="31"/>
  <c r="AK284" i="31"/>
  <c r="AK280" i="31"/>
  <c r="AL280" i="31"/>
  <c r="AL276" i="31"/>
  <c r="AK276" i="31"/>
  <c r="AK272" i="31"/>
  <c r="AL272" i="31"/>
  <c r="AL268" i="31"/>
  <c r="AK268" i="31"/>
  <c r="AK264" i="31"/>
  <c r="AL264" i="31"/>
  <c r="AL260" i="31"/>
  <c r="AK260" i="31"/>
  <c r="AK256" i="31"/>
  <c r="AL256" i="31"/>
  <c r="AL252" i="31"/>
  <c r="AK252" i="31"/>
  <c r="AK248" i="31"/>
  <c r="AL248" i="31"/>
  <c r="AL244" i="31"/>
  <c r="AK244" i="31"/>
  <c r="AK240" i="31"/>
  <c r="AL240" i="31"/>
  <c r="AL236" i="31"/>
  <c r="AK236" i="31"/>
  <c r="AL232" i="31"/>
  <c r="AK232" i="31"/>
  <c r="AL228" i="31"/>
  <c r="AK228" i="31"/>
  <c r="AK224" i="31"/>
  <c r="AL224" i="31"/>
  <c r="AL630" i="31"/>
  <c r="AK630" i="31"/>
  <c r="AL626" i="31"/>
  <c r="AK626" i="31"/>
  <c r="AL622" i="31"/>
  <c r="AK622" i="31"/>
  <c r="AL618" i="31"/>
  <c r="AK618" i="31"/>
  <c r="AL614" i="31"/>
  <c r="AK614" i="31"/>
  <c r="AL610" i="31"/>
  <c r="AK610" i="31"/>
  <c r="AL606" i="31"/>
  <c r="AK606" i="31"/>
  <c r="AL602" i="31"/>
  <c r="AK602" i="31"/>
  <c r="AL598" i="31"/>
  <c r="AK598" i="31"/>
  <c r="AL594" i="31"/>
  <c r="AK594" i="31"/>
  <c r="AL590" i="31"/>
  <c r="AK590" i="31"/>
  <c r="AL586" i="31"/>
  <c r="AK586" i="31"/>
  <c r="AL582" i="31"/>
  <c r="AK582" i="31"/>
  <c r="AL578" i="31"/>
  <c r="AK578" i="31"/>
  <c r="AL574" i="31"/>
  <c r="AK574" i="31"/>
  <c r="AL570" i="31"/>
  <c r="AK570" i="31"/>
  <c r="AL566" i="31"/>
  <c r="AK566" i="31"/>
  <c r="AL562" i="31"/>
  <c r="AK562" i="31"/>
  <c r="AL558" i="31"/>
  <c r="AK558" i="31"/>
  <c r="AL554" i="31"/>
  <c r="AK554" i="31"/>
  <c r="AL550" i="31"/>
  <c r="AK550" i="31"/>
  <c r="AL546" i="31"/>
  <c r="AK546" i="31"/>
  <c r="AL542" i="31"/>
  <c r="AK542" i="31"/>
  <c r="AL538" i="31"/>
  <c r="AK538" i="31"/>
  <c r="AL534" i="31"/>
  <c r="AK534" i="31"/>
  <c r="AL530" i="31"/>
  <c r="AK530" i="31"/>
  <c r="AL526" i="31"/>
  <c r="AK526" i="31"/>
  <c r="AL522" i="31"/>
  <c r="AK522" i="31"/>
  <c r="AL518" i="31"/>
  <c r="AK518" i="31"/>
  <c r="AL514" i="31"/>
  <c r="AK514" i="31"/>
  <c r="AL510" i="31"/>
  <c r="AK510" i="31"/>
  <c r="AL506" i="31"/>
  <c r="AK506" i="31"/>
  <c r="AL502" i="31"/>
  <c r="AK502" i="31"/>
  <c r="AL498" i="31"/>
  <c r="AK498" i="31"/>
  <c r="AL494" i="31"/>
  <c r="AK494" i="31"/>
  <c r="AL490" i="31"/>
  <c r="AK490" i="31"/>
  <c r="AL486" i="31"/>
  <c r="AK486" i="31"/>
  <c r="AL482" i="31"/>
  <c r="AK482" i="31"/>
  <c r="AL478" i="31"/>
  <c r="AK478" i="31"/>
  <c r="AL474" i="31"/>
  <c r="AK474" i="31"/>
  <c r="AL470" i="31"/>
  <c r="AK470" i="31"/>
  <c r="AL466" i="31"/>
  <c r="AK466" i="31"/>
  <c r="AL462" i="31"/>
  <c r="AK462" i="31"/>
  <c r="AL458" i="31"/>
  <c r="AK458" i="31"/>
  <c r="AL454" i="31"/>
  <c r="AK454" i="31"/>
  <c r="AL450" i="31"/>
  <c r="AK450" i="31"/>
  <c r="AL446" i="31"/>
  <c r="AK446" i="31"/>
  <c r="AL662" i="31"/>
  <c r="AK662" i="31"/>
  <c r="AL850" i="31"/>
  <c r="AK850" i="31"/>
  <c r="AL846" i="31"/>
  <c r="AK846" i="31"/>
  <c r="AL842" i="31"/>
  <c r="AK842" i="31"/>
  <c r="AL838" i="31"/>
  <c r="AK838" i="31"/>
  <c r="AL834" i="31"/>
  <c r="AK834" i="31"/>
  <c r="AL830" i="31"/>
  <c r="AK830" i="31"/>
  <c r="AL826" i="31"/>
  <c r="AK826" i="31"/>
  <c r="AL822" i="31"/>
  <c r="AK822" i="31"/>
  <c r="AL818" i="31"/>
  <c r="AK818" i="31"/>
  <c r="AL814" i="31"/>
  <c r="AK814" i="31"/>
  <c r="AL810" i="31"/>
  <c r="AK810" i="31"/>
  <c r="AL806" i="31"/>
  <c r="AK806" i="31"/>
  <c r="AL802" i="31"/>
  <c r="AK802" i="31"/>
  <c r="AL798" i="31"/>
  <c r="AK798" i="31"/>
  <c r="AL794" i="31"/>
  <c r="AK794" i="31"/>
  <c r="AL790" i="31"/>
  <c r="AK790" i="31"/>
  <c r="AL786" i="31"/>
  <c r="AK786" i="31"/>
  <c r="AL782" i="31"/>
  <c r="AK782" i="31"/>
  <c r="AL778" i="31"/>
  <c r="AK778" i="31"/>
  <c r="AL774" i="31"/>
  <c r="AK774" i="31"/>
  <c r="AL770" i="31"/>
  <c r="AK770" i="31"/>
  <c r="AL766" i="31"/>
  <c r="AK766" i="31"/>
  <c r="AL762" i="31"/>
  <c r="AK762" i="31"/>
  <c r="AL758" i="31"/>
  <c r="AK758" i="31"/>
  <c r="AL754" i="31"/>
  <c r="AK754" i="31"/>
  <c r="AL750" i="31"/>
  <c r="AK750" i="31"/>
  <c r="AL746" i="31"/>
  <c r="AK746" i="31"/>
  <c r="AL742" i="31"/>
  <c r="AK742" i="31"/>
  <c r="AL738" i="31"/>
  <c r="AK738" i="31"/>
  <c r="AL734" i="31"/>
  <c r="AK734" i="31"/>
  <c r="AL730" i="31"/>
  <c r="AK730" i="31"/>
  <c r="AL726" i="31"/>
  <c r="AK726" i="31"/>
  <c r="AL722" i="31"/>
  <c r="AK722" i="31"/>
  <c r="AL718" i="31"/>
  <c r="AK718" i="31"/>
  <c r="AL714" i="31"/>
  <c r="AK714" i="31"/>
  <c r="AL710" i="31"/>
  <c r="AK710" i="31"/>
  <c r="AL706" i="31"/>
  <c r="AK706" i="31"/>
  <c r="AL702" i="31"/>
  <c r="AK702" i="31"/>
  <c r="AL698" i="31"/>
  <c r="AK698" i="31"/>
  <c r="AL694" i="31"/>
  <c r="AK694" i="31"/>
  <c r="AL690" i="31"/>
  <c r="AK690" i="31"/>
  <c r="AL686" i="31"/>
  <c r="AK686" i="31"/>
  <c r="AL682" i="31"/>
  <c r="AK682" i="31"/>
  <c r="AL678" i="31"/>
  <c r="AK678" i="31"/>
  <c r="AL674" i="31"/>
  <c r="AK674" i="31"/>
  <c r="AL670" i="31"/>
  <c r="AK670" i="31"/>
  <c r="AL666" i="31"/>
  <c r="AK666" i="31"/>
  <c r="W880" i="31"/>
  <c r="W876" i="31"/>
  <c r="W872" i="31"/>
  <c r="W868" i="31"/>
  <c r="W864" i="31"/>
  <c r="W860" i="31"/>
  <c r="W856" i="31"/>
  <c r="W852" i="31"/>
  <c r="W848" i="31"/>
  <c r="W844" i="31"/>
  <c r="W840" i="31"/>
  <c r="W836" i="31"/>
  <c r="W832" i="31"/>
  <c r="W828" i="31"/>
  <c r="W824" i="31"/>
  <c r="W820" i="31"/>
  <c r="W816" i="31"/>
  <c r="W812" i="31"/>
  <c r="W808" i="31"/>
  <c r="W804" i="31"/>
  <c r="W800" i="31"/>
  <c r="W796" i="31"/>
  <c r="W792" i="31"/>
  <c r="W788" i="31"/>
  <c r="W784" i="31"/>
  <c r="W780" i="31"/>
  <c r="W776" i="31"/>
  <c r="W772" i="31"/>
  <c r="W768" i="31"/>
  <c r="W764" i="31"/>
  <c r="W760" i="31"/>
  <c r="W756" i="31"/>
  <c r="W752" i="31"/>
  <c r="W748" i="31"/>
  <c r="W744" i="31"/>
  <c r="W740" i="31"/>
  <c r="W736" i="31"/>
  <c r="W732" i="31"/>
  <c r="W728" i="31"/>
  <c r="W724" i="31"/>
  <c r="W720" i="31"/>
  <c r="W716" i="31"/>
  <c r="W712" i="31"/>
  <c r="W708" i="31"/>
  <c r="W704" i="31"/>
  <c r="W700" i="31"/>
  <c r="W696" i="31"/>
  <c r="W692" i="31"/>
  <c r="W688" i="31"/>
  <c r="W684" i="31"/>
  <c r="W680" i="31"/>
  <c r="W676" i="31"/>
  <c r="W672" i="31"/>
  <c r="W668" i="31"/>
  <c r="W664" i="31"/>
  <c r="W660" i="31"/>
  <c r="W656" i="31"/>
  <c r="W652" i="31"/>
  <c r="W648" i="31"/>
  <c r="W644" i="31"/>
  <c r="W640" i="31"/>
  <c r="W636" i="31"/>
  <c r="W632" i="31"/>
  <c r="W628" i="31"/>
  <c r="W624" i="31"/>
  <c r="W620" i="31"/>
  <c r="W616" i="31"/>
  <c r="W612" i="31"/>
  <c r="W608" i="31"/>
  <c r="W604" i="31"/>
  <c r="W600" i="31"/>
  <c r="W596" i="31"/>
  <c r="W592" i="31"/>
  <c r="W588" i="31"/>
  <c r="W584" i="31"/>
  <c r="W580" i="31"/>
  <c r="W576" i="31"/>
  <c r="W572" i="31"/>
  <c r="W568" i="31"/>
  <c r="W564" i="31"/>
  <c r="W560" i="31"/>
  <c r="W556" i="31"/>
  <c r="W552" i="31"/>
  <c r="W548" i="31"/>
  <c r="W544" i="31"/>
  <c r="W540" i="31"/>
  <c r="W536" i="31"/>
  <c r="W532" i="31"/>
  <c r="W528" i="31"/>
  <c r="W524" i="31"/>
  <c r="W520" i="31"/>
  <c r="W516" i="31"/>
  <c r="W512" i="31"/>
  <c r="W508" i="31"/>
  <c r="W504" i="31"/>
  <c r="W500" i="31"/>
  <c r="W496" i="31"/>
  <c r="W491" i="31"/>
  <c r="W487" i="31"/>
  <c r="W483" i="31"/>
  <c r="W479" i="31"/>
  <c r="W475" i="31"/>
  <c r="W471" i="31"/>
  <c r="W467" i="31"/>
  <c r="W463" i="31"/>
  <c r="W459" i="31"/>
  <c r="W455" i="31"/>
  <c r="W451" i="31"/>
  <c r="W447" i="31"/>
  <c r="W443" i="31"/>
  <c r="W439" i="31"/>
  <c r="W435" i="31"/>
  <c r="W431" i="31"/>
  <c r="W427" i="31"/>
  <c r="W423" i="31"/>
  <c r="W419" i="31"/>
  <c r="W415" i="31"/>
  <c r="W411" i="31"/>
  <c r="W407" i="31"/>
  <c r="W403" i="31"/>
  <c r="W399" i="31"/>
  <c r="W395" i="31"/>
  <c r="W391" i="31"/>
  <c r="W387" i="31"/>
  <c r="W383" i="31"/>
  <c r="W379" i="31"/>
  <c r="W375" i="31"/>
  <c r="W371" i="31"/>
  <c r="W367" i="31"/>
  <c r="W363" i="31"/>
  <c r="W359" i="31"/>
  <c r="W355" i="31"/>
  <c r="W351" i="31"/>
  <c r="W347" i="31"/>
  <c r="W343" i="31"/>
  <c r="W339" i="31"/>
  <c r="W335" i="31"/>
  <c r="W331" i="31"/>
  <c r="W327" i="31"/>
  <c r="W323" i="31"/>
  <c r="W319" i="31"/>
  <c r="W315" i="31"/>
  <c r="W311" i="31"/>
  <c r="W307" i="31"/>
  <c r="W303" i="31"/>
  <c r="W299" i="31"/>
  <c r="W295" i="31"/>
  <c r="W291" i="31"/>
  <c r="W287" i="31"/>
  <c r="W283" i="31"/>
  <c r="W279" i="31"/>
  <c r="W275" i="31"/>
  <c r="W271" i="31"/>
  <c r="W267" i="31"/>
  <c r="W263" i="31"/>
  <c r="W259" i="31"/>
  <c r="W255" i="31"/>
  <c r="W251" i="31"/>
  <c r="W247" i="31"/>
  <c r="W243" i="31"/>
  <c r="W239" i="31"/>
  <c r="W235" i="31"/>
  <c r="W231" i="31"/>
  <c r="W227" i="31"/>
  <c r="W223" i="31"/>
  <c r="W219" i="31"/>
  <c r="W215" i="31"/>
  <c r="W211" i="31"/>
  <c r="W207" i="31"/>
  <c r="W203" i="31"/>
  <c r="W199" i="31"/>
  <c r="W195" i="31"/>
  <c r="W191" i="31"/>
  <c r="W187" i="31"/>
  <c r="W183" i="31"/>
  <c r="W179" i="31"/>
  <c r="W175" i="31"/>
  <c r="W171" i="31"/>
  <c r="W167" i="31"/>
  <c r="W163" i="31"/>
  <c r="W159" i="31"/>
  <c r="W155" i="31"/>
  <c r="W151" i="31"/>
  <c r="W147" i="31"/>
  <c r="W143" i="31"/>
  <c r="W139" i="31"/>
  <c r="W135" i="31"/>
  <c r="W131" i="31"/>
  <c r="W127" i="31"/>
  <c r="W123" i="31"/>
  <c r="W119" i="31"/>
  <c r="W115" i="31"/>
  <c r="W111" i="31"/>
  <c r="W107" i="31"/>
  <c r="W103" i="31"/>
  <c r="W99" i="31"/>
  <c r="W95" i="31"/>
  <c r="W91" i="31"/>
  <c r="W87" i="31"/>
  <c r="W83" i="31"/>
  <c r="W79" i="31"/>
  <c r="W75" i="31"/>
  <c r="W71" i="31"/>
  <c r="W67" i="31"/>
  <c r="W63" i="31"/>
  <c r="W59" i="31"/>
  <c r="W55" i="31"/>
  <c r="W51" i="31"/>
  <c r="W47" i="31"/>
  <c r="W43" i="31"/>
  <c r="W39" i="31"/>
  <c r="W35" i="31"/>
  <c r="W31" i="31"/>
  <c r="W27" i="31"/>
  <c r="W23" i="31"/>
  <c r="W19" i="31"/>
  <c r="W15" i="31"/>
  <c r="W11" i="31"/>
  <c r="W7" i="31"/>
  <c r="W3" i="31"/>
  <c r="W809" i="31"/>
  <c r="W793" i="31"/>
  <c r="W777" i="31"/>
  <c r="W761" i="31"/>
  <c r="W745" i="31"/>
  <c r="W729" i="31"/>
  <c r="W713" i="31"/>
  <c r="W697" i="31"/>
  <c r="W681" i="31"/>
  <c r="W665" i="31"/>
  <c r="W654" i="31"/>
  <c r="W649" i="31"/>
  <c r="W638" i="31"/>
  <c r="W633" i="31"/>
  <c r="W622" i="31"/>
  <c r="W617" i="31"/>
  <c r="W606" i="31"/>
  <c r="W601" i="31"/>
  <c r="W590" i="31"/>
  <c r="W585" i="31"/>
  <c r="W574" i="31"/>
  <c r="W569" i="31"/>
  <c r="W558" i="31"/>
  <c r="W553" i="31"/>
  <c r="W542" i="31"/>
  <c r="W537" i="31"/>
  <c r="W526" i="31"/>
  <c r="W521" i="31"/>
  <c r="W510" i="31"/>
  <c r="W505" i="31"/>
  <c r="W494" i="31"/>
  <c r="W488" i="31"/>
  <c r="W477" i="31"/>
  <c r="W472" i="31"/>
  <c r="W461" i="31"/>
  <c r="W456" i="31"/>
  <c r="W445" i="31"/>
  <c r="W440" i="31"/>
  <c r="W429" i="31"/>
  <c r="W424" i="31"/>
  <c r="W413" i="31"/>
  <c r="W408" i="31"/>
  <c r="W397" i="31"/>
  <c r="W392" i="31"/>
  <c r="W381" i="31"/>
  <c r="W376" i="31"/>
  <c r="W365" i="31"/>
  <c r="W360" i="31"/>
  <c r="W349" i="31"/>
  <c r="W344" i="31"/>
  <c r="W333" i="31"/>
  <c r="W328" i="31"/>
  <c r="W317" i="31"/>
  <c r="W312" i="31"/>
  <c r="W301" i="31"/>
  <c r="W296" i="31"/>
  <c r="W285" i="31"/>
  <c r="W280" i="31"/>
  <c r="W269" i="31"/>
  <c r="W264" i="31"/>
  <c r="W253" i="31"/>
  <c r="W248" i="31"/>
  <c r="W237" i="31"/>
  <c r="W232" i="31"/>
  <c r="W221" i="31"/>
  <c r="W216" i="31"/>
  <c r="W205" i="31"/>
  <c r="W200" i="31"/>
  <c r="W189" i="31"/>
  <c r="W184" i="31"/>
  <c r="W173" i="31"/>
  <c r="W168" i="31"/>
  <c r="W157" i="31"/>
  <c r="W152" i="31"/>
  <c r="W141" i="31"/>
  <c r="W136" i="31"/>
  <c r="W125" i="31"/>
  <c r="W120" i="31"/>
  <c r="W109" i="31"/>
  <c r="W104" i="31"/>
  <c r="W93" i="31"/>
  <c r="W88" i="31"/>
  <c r="W77" i="31"/>
  <c r="W72" i="31"/>
  <c r="W61" i="31"/>
  <c r="W56" i="31"/>
  <c r="W45" i="31"/>
  <c r="W40" i="31"/>
  <c r="W29" i="31"/>
  <c r="W24" i="31"/>
  <c r="W13" i="31"/>
  <c r="W8" i="31"/>
  <c r="AL185" i="31"/>
  <c r="AK185" i="31"/>
  <c r="AL173" i="31"/>
  <c r="AK173" i="31"/>
  <c r="AL161" i="31"/>
  <c r="AK161" i="31"/>
  <c r="AL145" i="31"/>
  <c r="AK145" i="31"/>
  <c r="AL129" i="31"/>
  <c r="AK129" i="31"/>
  <c r="AL117" i="31"/>
  <c r="AK117" i="31"/>
  <c r="AL97" i="31"/>
  <c r="AK97" i="31"/>
  <c r="AL85" i="31"/>
  <c r="AK85" i="31"/>
  <c r="AL65" i="31"/>
  <c r="AK65" i="31"/>
  <c r="AL53" i="31"/>
  <c r="AK53" i="31"/>
  <c r="AL41" i="31"/>
  <c r="AK41" i="31"/>
  <c r="AL21" i="31"/>
  <c r="AK21" i="31"/>
  <c r="AL9" i="31"/>
  <c r="AK9" i="31"/>
  <c r="AL403" i="31"/>
  <c r="AK403" i="31"/>
  <c r="AL387" i="31"/>
  <c r="AK387" i="31"/>
  <c r="AL371" i="31"/>
  <c r="AK371" i="31"/>
  <c r="AL359" i="31"/>
  <c r="AK359" i="31"/>
  <c r="AL347" i="31"/>
  <c r="AK347" i="31"/>
  <c r="AL335" i="31"/>
  <c r="AK335" i="31"/>
  <c r="AL323" i="31"/>
  <c r="AK323" i="31"/>
  <c r="AL311" i="31"/>
  <c r="AK311" i="31"/>
  <c r="AL299" i="31"/>
  <c r="AK299" i="31"/>
  <c r="AL287" i="31"/>
  <c r="AK287" i="31"/>
  <c r="AL275" i="31"/>
  <c r="AK275" i="31"/>
  <c r="AL263" i="31"/>
  <c r="AK263" i="31"/>
  <c r="AL251" i="31"/>
  <c r="AK251" i="31"/>
  <c r="AL239" i="31"/>
  <c r="AK239" i="31"/>
  <c r="AK227" i="31"/>
  <c r="AL227" i="31"/>
  <c r="AL621" i="31"/>
  <c r="AK621" i="31"/>
  <c r="AL609" i="31"/>
  <c r="AK609" i="31"/>
  <c r="AL597" i="31"/>
  <c r="AK597" i="31"/>
  <c r="AL585" i="31"/>
  <c r="AK585" i="31"/>
  <c r="AL573" i="31"/>
  <c r="AK573" i="31"/>
  <c r="AL557" i="31"/>
  <c r="AK557" i="31"/>
  <c r="AL541" i="31"/>
  <c r="AK541" i="31"/>
  <c r="AL525" i="31"/>
  <c r="AK525" i="31"/>
  <c r="AL509" i="31"/>
  <c r="AK509" i="31"/>
  <c r="AL489" i="31"/>
  <c r="AK489" i="31"/>
  <c r="AL477" i="31"/>
  <c r="AK477" i="31"/>
  <c r="AL465" i="31"/>
  <c r="AK465" i="31"/>
  <c r="AL453" i="31"/>
  <c r="AK453" i="31"/>
  <c r="AL445" i="31"/>
  <c r="AK445" i="31"/>
  <c r="AL853" i="31"/>
  <c r="AK853" i="31"/>
  <c r="AL845" i="31"/>
  <c r="AK845" i="31"/>
  <c r="AL837" i="31"/>
  <c r="AK837" i="31"/>
  <c r="AL833" i="31"/>
  <c r="AK833" i="31"/>
  <c r="AL825" i="31"/>
  <c r="AK825" i="31"/>
  <c r="AL817" i="31"/>
  <c r="AK817" i="31"/>
  <c r="AL809" i="31"/>
  <c r="AK809" i="31"/>
  <c r="AL805" i="31"/>
  <c r="AK805" i="31"/>
  <c r="AL797" i="31"/>
  <c r="AK797" i="31"/>
  <c r="AL789" i="31"/>
  <c r="AK789" i="31"/>
  <c r="AL785" i="31"/>
  <c r="AK785" i="31"/>
  <c r="AL777" i="31"/>
  <c r="AK777" i="31"/>
  <c r="AL769" i="31"/>
  <c r="AK769" i="31"/>
  <c r="AL765" i="31"/>
  <c r="AK765" i="31"/>
  <c r="AL753" i="31"/>
  <c r="AK753" i="31"/>
  <c r="AL749" i="31"/>
  <c r="AK749" i="31"/>
  <c r="AL745" i="31"/>
  <c r="AK745" i="31"/>
  <c r="AL741" i="31"/>
  <c r="AK741" i="31"/>
  <c r="AL737" i="31"/>
  <c r="AK737" i="31"/>
  <c r="AL733" i="31"/>
  <c r="AK733" i="31"/>
  <c r="AL729" i="31"/>
  <c r="AK729" i="31"/>
  <c r="AL725" i="31"/>
  <c r="AK725" i="31"/>
  <c r="AL721" i="31"/>
  <c r="AK721" i="31"/>
  <c r="AL717" i="31"/>
  <c r="AK717" i="31"/>
  <c r="AL713" i="31"/>
  <c r="AK713" i="31"/>
  <c r="AL709" i="31"/>
  <c r="AK709" i="31"/>
  <c r="AL705" i="31"/>
  <c r="AK705" i="31"/>
  <c r="AL701" i="31"/>
  <c r="AK701" i="31"/>
  <c r="AL697" i="31"/>
  <c r="AK697" i="31"/>
  <c r="AL689" i="31"/>
  <c r="AK689" i="31"/>
  <c r="AL685" i="31"/>
  <c r="AK685" i="31"/>
  <c r="AL681" i="31"/>
  <c r="AK681" i="31"/>
  <c r="AL677" i="31"/>
  <c r="AK677" i="31"/>
  <c r="AL673" i="31"/>
  <c r="AK673" i="31"/>
  <c r="AL669" i="31"/>
  <c r="AK669" i="31"/>
  <c r="AL665" i="31"/>
  <c r="AK665" i="31"/>
  <c r="W879" i="31"/>
  <c r="W871" i="31"/>
  <c r="W867" i="31"/>
  <c r="W863" i="31"/>
  <c r="W859" i="31"/>
  <c r="W855" i="31"/>
  <c r="W851" i="31"/>
  <c r="W847" i="31"/>
  <c r="W843" i="31"/>
  <c r="W839" i="31"/>
  <c r="W835" i="31"/>
  <c r="W831" i="31"/>
  <c r="W827" i="31"/>
  <c r="W823" i="31"/>
  <c r="W819" i="31"/>
  <c r="W659" i="31"/>
  <c r="W655" i="31"/>
  <c r="W651" i="31"/>
  <c r="W647" i="31"/>
  <c r="W643" i="31"/>
  <c r="W639" i="31"/>
  <c r="W635" i="31"/>
  <c r="W631" i="31"/>
  <c r="W627" i="31"/>
  <c r="W623" i="31"/>
  <c r="W619" i="31"/>
  <c r="W615" i="31"/>
  <c r="W611" i="31"/>
  <c r="W607" i="31"/>
  <c r="W603" i="31"/>
  <c r="W599" i="31"/>
  <c r="W595" i="31"/>
  <c r="W591" i="31"/>
  <c r="W587" i="31"/>
  <c r="W583" i="31"/>
  <c r="W579" i="31"/>
  <c r="W575" i="31"/>
  <c r="W571" i="31"/>
  <c r="W567" i="31"/>
  <c r="W563" i="31"/>
  <c r="W559" i="31"/>
  <c r="W555" i="31"/>
  <c r="W551" i="31"/>
  <c r="W547" i="31"/>
  <c r="W543" i="31"/>
  <c r="W539" i="31"/>
  <c r="W535" i="31"/>
  <c r="W531" i="31"/>
  <c r="W527" i="31"/>
  <c r="W523" i="31"/>
  <c r="W519" i="31"/>
  <c r="W515" i="31"/>
  <c r="W511" i="31"/>
  <c r="W507" i="31"/>
  <c r="W503" i="31"/>
  <c r="W499" i="31"/>
  <c r="W495" i="31"/>
  <c r="W490" i="31"/>
  <c r="W486" i="31"/>
  <c r="W482" i="31"/>
  <c r="W478" i="31"/>
  <c r="W474" i="31"/>
  <c r="W470" i="31"/>
  <c r="W466" i="31"/>
  <c r="W462" i="31"/>
  <c r="W458" i="31"/>
  <c r="W454" i="31"/>
  <c r="W450" i="31"/>
  <c r="W446" i="31"/>
  <c r="W442" i="31"/>
  <c r="W438" i="31"/>
  <c r="W434" i="31"/>
  <c r="W430" i="31"/>
  <c r="W426" i="31"/>
  <c r="W422" i="31"/>
  <c r="W418" i="31"/>
  <c r="W414" i="31"/>
  <c r="W410" i="31"/>
  <c r="W406" i="31"/>
  <c r="W402" i="31"/>
  <c r="W398" i="31"/>
  <c r="W394" i="31"/>
  <c r="W390" i="31"/>
  <c r="W386" i="31"/>
  <c r="W382" i="31"/>
  <c r="W378" i="31"/>
  <c r="W374" i="31"/>
  <c r="W370" i="31"/>
  <c r="W366" i="31"/>
  <c r="W362" i="31"/>
  <c r="W358" i="31"/>
  <c r="W354" i="31"/>
  <c r="W350" i="31"/>
  <c r="W346" i="31"/>
  <c r="W342" i="31"/>
  <c r="W338" i="31"/>
  <c r="W334" i="31"/>
  <c r="W330" i="31"/>
  <c r="W326" i="31"/>
  <c r="W322" i="31"/>
  <c r="W318" i="31"/>
  <c r="W314" i="31"/>
  <c r="W310" i="31"/>
  <c r="W306" i="31"/>
  <c r="W302" i="31"/>
  <c r="W298" i="31"/>
  <c r="W294" i="31"/>
  <c r="W290" i="31"/>
  <c r="W286" i="31"/>
  <c r="W282" i="31"/>
  <c r="W278" i="31"/>
  <c r="W274" i="31"/>
  <c r="W270" i="31"/>
  <c r="W266" i="31"/>
  <c r="W262" i="31"/>
  <c r="W258" i="31"/>
  <c r="W254" i="31"/>
  <c r="W250" i="31"/>
  <c r="W246" i="31"/>
  <c r="W242" i="31"/>
  <c r="W238" i="31"/>
  <c r="W234" i="31"/>
  <c r="W230" i="31"/>
  <c r="W226" i="31"/>
  <c r="W222" i="31"/>
  <c r="W218" i="31"/>
  <c r="W214" i="31"/>
  <c r="W210" i="31"/>
  <c r="W206" i="31"/>
  <c r="W202" i="31"/>
  <c r="W198" i="31"/>
  <c r="W194" i="31"/>
  <c r="W190" i="31"/>
  <c r="W186" i="31"/>
  <c r="W182" i="31"/>
  <c r="W178" i="31"/>
  <c r="W174" i="31"/>
  <c r="W170" i="31"/>
  <c r="W166" i="31"/>
  <c r="W162" i="31"/>
  <c r="W158" i="31"/>
  <c r="W154" i="31"/>
  <c r="W150" i="31"/>
  <c r="W146" i="31"/>
  <c r="W142" i="31"/>
  <c r="W138" i="31"/>
  <c r="W134" i="31"/>
  <c r="W130" i="31"/>
  <c r="W126" i="31"/>
  <c r="W122" i="31"/>
  <c r="W118" i="31"/>
  <c r="W114" i="31"/>
  <c r="W110" i="31"/>
  <c r="W106" i="31"/>
  <c r="W102" i="31"/>
  <c r="W98" i="31"/>
  <c r="W94" i="31"/>
  <c r="W90" i="31"/>
  <c r="W86" i="31"/>
  <c r="W82" i="31"/>
  <c r="W78" i="31"/>
  <c r="W74" i="31"/>
  <c r="W70" i="31"/>
  <c r="W66" i="31"/>
  <c r="W62" i="31"/>
  <c r="W58" i="31"/>
  <c r="W54" i="31"/>
  <c r="W50" i="31"/>
  <c r="W46" i="31"/>
  <c r="W42" i="31"/>
  <c r="W38" i="31"/>
  <c r="W34" i="31"/>
  <c r="W30" i="31"/>
  <c r="W26" i="31"/>
  <c r="W22" i="31"/>
  <c r="W18" i="31"/>
  <c r="W14" i="31"/>
  <c r="W10" i="31"/>
  <c r="W6" i="31"/>
  <c r="W878" i="31"/>
  <c r="W874" i="31"/>
  <c r="W870" i="31"/>
  <c r="W866" i="31"/>
  <c r="W862" i="31"/>
  <c r="W858" i="31"/>
  <c r="W854" i="31"/>
  <c r="W850" i="31"/>
  <c r="W846" i="31"/>
  <c r="W842" i="31"/>
  <c r="W838" i="31"/>
  <c r="W834" i="31"/>
  <c r="W830" i="31"/>
  <c r="W826" i="31"/>
  <c r="W822" i="31"/>
  <c r="W818" i="31"/>
  <c r="W813" i="31"/>
  <c r="W802" i="31"/>
  <c r="W797" i="31"/>
  <c r="W786" i="31"/>
  <c r="W781" i="31"/>
  <c r="W770" i="31"/>
  <c r="W765" i="31"/>
  <c r="W754" i="31"/>
  <c r="W749" i="31"/>
  <c r="W738" i="31"/>
  <c r="W733" i="31"/>
  <c r="W722" i="31"/>
  <c r="W717" i="31"/>
  <c r="W706" i="31"/>
  <c r="W701" i="31"/>
  <c r="W690" i="31"/>
  <c r="W685" i="31"/>
  <c r="W674" i="31"/>
  <c r="W669" i="31"/>
  <c r="W658" i="31"/>
  <c r="W653" i="31"/>
  <c r="W642" i="31"/>
  <c r="W637" i="31"/>
  <c r="W626" i="31"/>
  <c r="W621" i="31"/>
  <c r="W610" i="31"/>
  <c r="W605" i="31"/>
  <c r="W594" i="31"/>
  <c r="W589" i="31"/>
  <c r="W578" i="31"/>
  <c r="W573" i="31"/>
  <c r="W562" i="31"/>
  <c r="W557" i="31"/>
  <c r="W546" i="31"/>
  <c r="W541" i="31"/>
  <c r="W530" i="31"/>
  <c r="W525" i="31"/>
  <c r="W514" i="31"/>
  <c r="W509" i="31"/>
  <c r="W498" i="31"/>
  <c r="W492" i="31"/>
  <c r="W481" i="31"/>
  <c r="W476" i="31"/>
  <c r="W465" i="31"/>
  <c r="W460" i="31"/>
  <c r="W449" i="31"/>
  <c r="W444" i="31"/>
  <c r="W433" i="31"/>
  <c r="W428" i="31"/>
  <c r="W417" i="31"/>
  <c r="W412" i="31"/>
  <c r="W401" i="31"/>
  <c r="W396" i="31"/>
  <c r="W385" i="31"/>
  <c r="W380" i="31"/>
  <c r="W369" i="31"/>
  <c r="W364" i="31"/>
  <c r="W353" i="31"/>
  <c r="W348" i="31"/>
  <c r="W337" i="31"/>
  <c r="W332" i="31"/>
  <c r="W321" i="31"/>
  <c r="W316" i="31"/>
  <c r="W305" i="31"/>
  <c r="W300" i="31"/>
  <c r="W289" i="31"/>
  <c r="W284" i="31"/>
  <c r="W273" i="31"/>
  <c r="W268" i="31"/>
  <c r="W257" i="31"/>
  <c r="W252" i="31"/>
  <c r="W241" i="31"/>
  <c r="W236" i="31"/>
  <c r="W225" i="31"/>
  <c r="W220" i="31"/>
  <c r="W209" i="31"/>
  <c r="W204" i="31"/>
  <c r="W193" i="31"/>
  <c r="W188" i="31"/>
  <c r="W177" i="31"/>
  <c r="W172" i="31"/>
  <c r="W161" i="31"/>
  <c r="W156" i="31"/>
  <c r="W145" i="31"/>
  <c r="W140" i="31"/>
  <c r="W129" i="31"/>
  <c r="W124" i="31"/>
  <c r="W113" i="31"/>
  <c r="W108" i="31"/>
  <c r="W97" i="31"/>
  <c r="W92" i="31"/>
  <c r="W81" i="31"/>
  <c r="W76" i="31"/>
  <c r="W65" i="31"/>
  <c r="W60" i="31"/>
  <c r="W49" i="31"/>
  <c r="W44" i="31"/>
  <c r="W33" i="31"/>
  <c r="W28" i="31"/>
  <c r="W17" i="31"/>
  <c r="W12" i="31"/>
  <c r="AL193" i="31"/>
  <c r="AK193" i="31"/>
  <c r="AL181" i="31"/>
  <c r="AK181" i="31"/>
  <c r="AL169" i="31"/>
  <c r="AK169" i="31"/>
  <c r="AL157" i="31"/>
  <c r="AK157" i="31"/>
  <c r="AL149" i="31"/>
  <c r="AK149" i="31"/>
  <c r="AL137" i="31"/>
  <c r="AK137" i="31"/>
  <c r="AL125" i="31"/>
  <c r="AK125" i="31"/>
  <c r="AL113" i="31"/>
  <c r="AK113" i="31"/>
  <c r="AL105" i="31"/>
  <c r="AK105" i="31"/>
  <c r="AL89" i="31"/>
  <c r="AK89" i="31"/>
  <c r="AL77" i="31"/>
  <c r="AK77" i="31"/>
  <c r="AL69" i="31"/>
  <c r="AK69" i="31"/>
  <c r="AL61" i="31"/>
  <c r="AK61" i="31"/>
  <c r="AL49" i="31"/>
  <c r="AK49" i="31"/>
  <c r="AL37" i="31"/>
  <c r="AK37" i="31"/>
  <c r="AL29" i="31"/>
  <c r="AK29" i="31"/>
  <c r="AL13" i="31"/>
  <c r="AK13" i="31"/>
  <c r="AL407" i="31"/>
  <c r="AK407" i="31"/>
  <c r="AL395" i="31"/>
  <c r="AK395" i="31"/>
  <c r="AL383" i="31"/>
  <c r="AK383" i="31"/>
  <c r="AL375" i="31"/>
  <c r="AK375" i="31"/>
  <c r="AL363" i="31"/>
  <c r="AK363" i="31"/>
  <c r="AL351" i="31"/>
  <c r="AK351" i="31"/>
  <c r="AL339" i="31"/>
  <c r="AK339" i="31"/>
  <c r="AL327" i="31"/>
  <c r="AK327" i="31"/>
  <c r="AL315" i="31"/>
  <c r="AK315" i="31"/>
  <c r="AL303" i="31"/>
  <c r="AK303" i="31"/>
  <c r="AL291" i="31"/>
  <c r="AK291" i="31"/>
  <c r="AL283" i="31"/>
  <c r="AK283" i="31"/>
  <c r="AL267" i="31"/>
  <c r="AK267" i="31"/>
  <c r="AL255" i="31"/>
  <c r="AK255" i="31"/>
  <c r="AL243" i="31"/>
  <c r="AK243" i="31"/>
  <c r="AK231" i="31"/>
  <c r="AL231" i="31"/>
  <c r="AK223" i="31"/>
  <c r="AL223" i="31"/>
  <c r="AL629" i="31"/>
  <c r="AK629" i="31"/>
  <c r="AL613" i="31"/>
  <c r="AK613" i="31"/>
  <c r="AL601" i="31"/>
  <c r="AK601" i="31"/>
  <c r="AL589" i="31"/>
  <c r="AK589" i="31"/>
  <c r="AL577" i="31"/>
  <c r="AK577" i="31"/>
  <c r="AL565" i="31"/>
  <c r="AK565" i="31"/>
  <c r="AL553" i="31"/>
  <c r="AK553" i="31"/>
  <c r="AL545" i="31"/>
  <c r="AK545" i="31"/>
  <c r="AL533" i="31"/>
  <c r="AK533" i="31"/>
  <c r="AL521" i="31"/>
  <c r="AK521" i="31"/>
  <c r="AL513" i="31"/>
  <c r="AK513" i="31"/>
  <c r="AL501" i="31"/>
  <c r="AK501" i="31"/>
  <c r="AL493" i="31"/>
  <c r="AK493" i="31"/>
  <c r="AL481" i="31"/>
  <c r="AK481" i="31"/>
  <c r="AL469" i="31"/>
  <c r="AK469" i="31"/>
  <c r="AL457" i="31"/>
  <c r="AK457" i="31"/>
  <c r="AL449" i="31"/>
  <c r="AK449" i="31"/>
  <c r="AL849" i="31"/>
  <c r="AK849" i="31"/>
  <c r="AL841" i="31"/>
  <c r="AK841" i="31"/>
  <c r="AL829" i="31"/>
  <c r="AK829" i="31"/>
  <c r="AL821" i="31"/>
  <c r="AK821" i="31"/>
  <c r="AL813" i="31"/>
  <c r="AK813" i="31"/>
  <c r="AL801" i="31"/>
  <c r="AK801" i="31"/>
  <c r="AL793" i="31"/>
  <c r="AK793" i="31"/>
  <c r="AL781" i="31"/>
  <c r="AK781" i="31"/>
  <c r="AL773" i="31"/>
  <c r="AK773" i="31"/>
  <c r="AL761" i="31"/>
  <c r="AK761" i="31"/>
  <c r="AL693" i="31"/>
  <c r="AK693" i="31"/>
  <c r="W875" i="31"/>
  <c r="AK2" i="31"/>
  <c r="AL192" i="31"/>
  <c r="AK192" i="31"/>
  <c r="AL188" i="31"/>
  <c r="AK188" i="31"/>
  <c r="AL184" i="31"/>
  <c r="AK184" i="31"/>
  <c r="AK180" i="31"/>
  <c r="AL180" i="31"/>
  <c r="AL176" i="31"/>
  <c r="AK176" i="31"/>
  <c r="AL172" i="31"/>
  <c r="AK172" i="31"/>
  <c r="AL168" i="31"/>
  <c r="AK168" i="31"/>
  <c r="AK164" i="31"/>
  <c r="AL164" i="31"/>
  <c r="AL160" i="31"/>
  <c r="AK160" i="31"/>
  <c r="AL156" i="31"/>
  <c r="AK156" i="31"/>
  <c r="AL152" i="31"/>
  <c r="AK152" i="31"/>
  <c r="AK148" i="31"/>
  <c r="AL148" i="31"/>
  <c r="AL144" i="31"/>
  <c r="AK144" i="31"/>
  <c r="AL140" i="31"/>
  <c r="AK140" i="31"/>
  <c r="AL136" i="31"/>
  <c r="AK136" i="31"/>
  <c r="AK132" i="31"/>
  <c r="AL132" i="31"/>
  <c r="AL128" i="31"/>
  <c r="AK128" i="31"/>
  <c r="AL124" i="31"/>
  <c r="AK124" i="31"/>
  <c r="AL120" i="31"/>
  <c r="AK120" i="31"/>
  <c r="AK116" i="31"/>
  <c r="AL116" i="31"/>
  <c r="AL112" i="31"/>
  <c r="AK112" i="31"/>
  <c r="AL108" i="31"/>
  <c r="AK108" i="31"/>
  <c r="AL104" i="31"/>
  <c r="AK104" i="31"/>
  <c r="AK100" i="31"/>
  <c r="AL100" i="31"/>
  <c r="AL96" i="31"/>
  <c r="AK96" i="31"/>
  <c r="AL92" i="31"/>
  <c r="AK92" i="31"/>
  <c r="AL88" i="31"/>
  <c r="AK88" i="31"/>
  <c r="AK84" i="31"/>
  <c r="AL84" i="31"/>
  <c r="AL80" i="31"/>
  <c r="AK80" i="31"/>
  <c r="AL76" i="31"/>
  <c r="AK76" i="31"/>
  <c r="AL72" i="31"/>
  <c r="AK72" i="31"/>
  <c r="AK68" i="31"/>
  <c r="AL68" i="31"/>
  <c r="AL64" i="31"/>
  <c r="AK64" i="31"/>
  <c r="AL60" i="31"/>
  <c r="AK60" i="31"/>
  <c r="AL56" i="31"/>
  <c r="AK56" i="31"/>
  <c r="AK52" i="31"/>
  <c r="AL52" i="31"/>
  <c r="AL48" i="31"/>
  <c r="AK48" i="31"/>
  <c r="AL44" i="31"/>
  <c r="AK44" i="31"/>
  <c r="AL40" i="31"/>
  <c r="AK40" i="31"/>
  <c r="AK36" i="31"/>
  <c r="AL36" i="31"/>
  <c r="AL32" i="31"/>
  <c r="AK32" i="31"/>
  <c r="AL28" i="31"/>
  <c r="AK28" i="31"/>
  <c r="AL24" i="31"/>
  <c r="AK24" i="31"/>
  <c r="AK20" i="31"/>
  <c r="AL20" i="31"/>
  <c r="AL16" i="31"/>
  <c r="AK16" i="31"/>
  <c r="AL12" i="31"/>
  <c r="AK12" i="31"/>
  <c r="AL8" i="31"/>
  <c r="AK8" i="31"/>
  <c r="AK4" i="31"/>
  <c r="AL4" i="31"/>
  <c r="AL222" i="31"/>
  <c r="AK222" i="31"/>
  <c r="AL410" i="31"/>
  <c r="AK410" i="31"/>
  <c r="AL406" i="31"/>
  <c r="AK406" i="31"/>
  <c r="AL402" i="31"/>
  <c r="AK402" i="31"/>
  <c r="AL398" i="31"/>
  <c r="AK398" i="31"/>
  <c r="AL394" i="31"/>
  <c r="AK394" i="31"/>
  <c r="AL390" i="31"/>
  <c r="AK390" i="31"/>
  <c r="AL386" i="31"/>
  <c r="AK386" i="31"/>
  <c r="AL382" i="31"/>
  <c r="AK382" i="31"/>
  <c r="AL378" i="31"/>
  <c r="AK378" i="31"/>
  <c r="AL374" i="31"/>
  <c r="AK374" i="31"/>
  <c r="AL370" i="31"/>
  <c r="AK370" i="31"/>
  <c r="AL366" i="31"/>
  <c r="AK366" i="31"/>
  <c r="AL362" i="31"/>
  <c r="AK362" i="31"/>
  <c r="AL358" i="31"/>
  <c r="AK358" i="31"/>
  <c r="AL354" i="31"/>
  <c r="AK354" i="31"/>
  <c r="AL350" i="31"/>
  <c r="AK350" i="31"/>
  <c r="AL346" i="31"/>
  <c r="AK346" i="31"/>
  <c r="AL342" i="31"/>
  <c r="AK342" i="31"/>
  <c r="AL338" i="31"/>
  <c r="AK338" i="31"/>
  <c r="AL334" i="31"/>
  <c r="AK334" i="31"/>
  <c r="AL330" i="31"/>
  <c r="AK330" i="31"/>
  <c r="AL326" i="31"/>
  <c r="AK326" i="31"/>
  <c r="AL322" i="31"/>
  <c r="AK322" i="31"/>
  <c r="AL318" i="31"/>
  <c r="AK318" i="31"/>
  <c r="AL314" i="31"/>
  <c r="AK314" i="31"/>
  <c r="AL310" i="31"/>
  <c r="AK310" i="31"/>
  <c r="AL306" i="31"/>
  <c r="AK306" i="31"/>
  <c r="AL302" i="31"/>
  <c r="AK302" i="31"/>
  <c r="AL298" i="31"/>
  <c r="AK298" i="31"/>
  <c r="AL294" i="31"/>
  <c r="AK294" i="31"/>
  <c r="AL290" i="31"/>
  <c r="AK290" i="31"/>
  <c r="AL286" i="31"/>
  <c r="AK286" i="31"/>
  <c r="AL282" i="31"/>
  <c r="AK282" i="31"/>
  <c r="AL278" i="31"/>
  <c r="AK278" i="31"/>
  <c r="AL274" i="31"/>
  <c r="AK274" i="31"/>
  <c r="AL270" i="31"/>
  <c r="AK270" i="31"/>
  <c r="AL266" i="31"/>
  <c r="AK266" i="31"/>
  <c r="AL262" i="31"/>
  <c r="AK262" i="31"/>
  <c r="AL258" i="31"/>
  <c r="AK258" i="31"/>
  <c r="AL254" i="31"/>
  <c r="AK254" i="31"/>
  <c r="AL250" i="31"/>
  <c r="AK250" i="31"/>
  <c r="AL246" i="31"/>
  <c r="AK246" i="31"/>
  <c r="AL242" i="31"/>
  <c r="AK242" i="31"/>
  <c r="AL238" i="31"/>
  <c r="AK238" i="31"/>
  <c r="AL234" i="31"/>
  <c r="AK234" i="31"/>
  <c r="AL230" i="31"/>
  <c r="AK230" i="31"/>
  <c r="AL226" i="31"/>
  <c r="AK226" i="31"/>
  <c r="AL442" i="31"/>
  <c r="AK442" i="31"/>
  <c r="AL632" i="31"/>
  <c r="AK632" i="31"/>
  <c r="AK628" i="31"/>
  <c r="AL628" i="31"/>
  <c r="AL624" i="31"/>
  <c r="AK624" i="31"/>
  <c r="AK620" i="31"/>
  <c r="AL620" i="31"/>
  <c r="AL616" i="31"/>
  <c r="AK616" i="31"/>
  <c r="AK612" i="31"/>
  <c r="AL612" i="31"/>
  <c r="AL608" i="31"/>
  <c r="AK608" i="31"/>
  <c r="AK604" i="31"/>
  <c r="AL604" i="31"/>
  <c r="AL600" i="31"/>
  <c r="AK600" i="31"/>
  <c r="AK596" i="31"/>
  <c r="AL596" i="31"/>
  <c r="AL592" i="31"/>
  <c r="AK592" i="31"/>
  <c r="AK588" i="31"/>
  <c r="AL588" i="31"/>
  <c r="AL584" i="31"/>
  <c r="AK584" i="31"/>
  <c r="AK580" i="31"/>
  <c r="AL580" i="31"/>
  <c r="AL576" i="31"/>
  <c r="AK576" i="31"/>
  <c r="AK572" i="31"/>
  <c r="AL572" i="31"/>
  <c r="AL568" i="31"/>
  <c r="AK568" i="31"/>
  <c r="AK564" i="31"/>
  <c r="AL564" i="31"/>
  <c r="AL560" i="31"/>
  <c r="AK560" i="31"/>
  <c r="AK556" i="31"/>
  <c r="AL556" i="31"/>
  <c r="AL552" i="31"/>
  <c r="AK552" i="31"/>
  <c r="AK548" i="31"/>
  <c r="AL548" i="31"/>
  <c r="AL544" i="31"/>
  <c r="AK544" i="31"/>
  <c r="AK540" i="31"/>
  <c r="AL540" i="31"/>
  <c r="AL536" i="31"/>
  <c r="AK536" i="31"/>
  <c r="AK532" i="31"/>
  <c r="AL532" i="31"/>
  <c r="AL528" i="31"/>
  <c r="AK528" i="31"/>
  <c r="AK524" i="31"/>
  <c r="AL524" i="31"/>
  <c r="AL520" i="31"/>
  <c r="AK520" i="31"/>
  <c r="AK516" i="31"/>
  <c r="AL516" i="31"/>
  <c r="AL512" i="31"/>
  <c r="AK512" i="31"/>
  <c r="AK508" i="31"/>
  <c r="AL508" i="31"/>
  <c r="AL504" i="31"/>
  <c r="AK504" i="31"/>
  <c r="AK500" i="31"/>
  <c r="AL500" i="31"/>
  <c r="AL496" i="31"/>
  <c r="AK496" i="31"/>
  <c r="AK492" i="31"/>
  <c r="AL492" i="31"/>
  <c r="AL488" i="31"/>
  <c r="AK488" i="31"/>
  <c r="AK484" i="31"/>
  <c r="AL484" i="31"/>
  <c r="AL480" i="31"/>
  <c r="AK480" i="31"/>
  <c r="AK476" i="31"/>
  <c r="AL476" i="31"/>
  <c r="AL472" i="31"/>
  <c r="AK472" i="31"/>
  <c r="AK468" i="31"/>
  <c r="AL468" i="31"/>
  <c r="AL464" i="31"/>
  <c r="AK464" i="31"/>
  <c r="AK460" i="31"/>
  <c r="AL460" i="31"/>
  <c r="AL456" i="31"/>
  <c r="AK456" i="31"/>
  <c r="AK452" i="31"/>
  <c r="AL452" i="31"/>
  <c r="AL448" i="31"/>
  <c r="AK448" i="31"/>
  <c r="AK444" i="31"/>
  <c r="AL444" i="31"/>
  <c r="AL852" i="31"/>
  <c r="AK852" i="31"/>
  <c r="AL848" i="31"/>
  <c r="AK848" i="31"/>
  <c r="AL844" i="31"/>
  <c r="AK844" i="31"/>
  <c r="AK840" i="31"/>
  <c r="AL840" i="31"/>
  <c r="AL836" i="31"/>
  <c r="AK836" i="31"/>
  <c r="AL832" i="31"/>
  <c r="AK832" i="31"/>
  <c r="AL828" i="31"/>
  <c r="AK828" i="31"/>
  <c r="AK824" i="31"/>
  <c r="AL824" i="31"/>
  <c r="AL820" i="31"/>
  <c r="AK820" i="31"/>
  <c r="AL816" i="31"/>
  <c r="AK816" i="31"/>
  <c r="AL812" i="31"/>
  <c r="AK812" i="31"/>
  <c r="AK808" i="31"/>
  <c r="AL808" i="31"/>
  <c r="AL804" i="31"/>
  <c r="AK804" i="31"/>
  <c r="AL800" i="31"/>
  <c r="AK800" i="31"/>
  <c r="AL796" i="31"/>
  <c r="AK796" i="31"/>
  <c r="AK792" i="31"/>
  <c r="AL792" i="31"/>
  <c r="AL788" i="31"/>
  <c r="AK788" i="31"/>
  <c r="AK784" i="31"/>
  <c r="AL784" i="31"/>
  <c r="AL780" i="31"/>
  <c r="AK780" i="31"/>
  <c r="AK776" i="31"/>
  <c r="AL776" i="31"/>
  <c r="AL772" i="31"/>
  <c r="AK772" i="31"/>
  <c r="AK768" i="31"/>
  <c r="AL768" i="31"/>
  <c r="AL764" i="31"/>
  <c r="AK764" i="31"/>
  <c r="AK760" i="31"/>
  <c r="AL760" i="31"/>
  <c r="AL756" i="31"/>
  <c r="AK756" i="31"/>
  <c r="AK752" i="31"/>
  <c r="AL752" i="31"/>
  <c r="AL748" i="31"/>
  <c r="AK748" i="31"/>
  <c r="AK744" i="31"/>
  <c r="AL744" i="31"/>
  <c r="AL740" i="31"/>
  <c r="AK740" i="31"/>
  <c r="AK736" i="31"/>
  <c r="AL736" i="31"/>
  <c r="AL732" i="31"/>
  <c r="AK732" i="31"/>
  <c r="AK728" i="31"/>
  <c r="AL728" i="31"/>
  <c r="AL724" i="31"/>
  <c r="AK724" i="31"/>
  <c r="AK720" i="31"/>
  <c r="AL720" i="31"/>
  <c r="AL716" i="31"/>
  <c r="AK716" i="31"/>
  <c r="AK712" i="31"/>
  <c r="AL712" i="31"/>
  <c r="AL708" i="31"/>
  <c r="AK708" i="31"/>
  <c r="AK704" i="31"/>
  <c r="AL704" i="31"/>
  <c r="AL700" i="31"/>
  <c r="AK700" i="31"/>
  <c r="AK696" i="31"/>
  <c r="AL696" i="31"/>
  <c r="AL692" i="31"/>
  <c r="AK692" i="31"/>
  <c r="AK688" i="31"/>
  <c r="AL688" i="31"/>
  <c r="AL684" i="31"/>
  <c r="AK684" i="31"/>
  <c r="AK680" i="31"/>
  <c r="AL680" i="31"/>
  <c r="AL676" i="31"/>
  <c r="AK676" i="31"/>
  <c r="AK672" i="31"/>
  <c r="AL672" i="31"/>
  <c r="AL668" i="31"/>
  <c r="AK668" i="31"/>
  <c r="AK664" i="31"/>
  <c r="AL664" i="31"/>
  <c r="W810" i="31"/>
  <c r="W806" i="31"/>
  <c r="W794" i="31"/>
  <c r="W790" i="31"/>
  <c r="W778" i="31"/>
  <c r="W774" i="31"/>
  <c r="W762" i="31"/>
  <c r="W758" i="31"/>
  <c r="W746" i="31"/>
  <c r="W742" i="31"/>
  <c r="W730" i="31"/>
  <c r="W726" i="31"/>
  <c r="W714" i="31"/>
  <c r="W710" i="31"/>
  <c r="W698" i="31"/>
  <c r="W694" i="31"/>
  <c r="W682" i="31"/>
  <c r="W678" i="31"/>
  <c r="W666" i="31"/>
  <c r="W662" i="31"/>
  <c r="W650" i="31"/>
  <c r="W646" i="31"/>
  <c r="W634" i="31"/>
  <c r="W630" i="31"/>
  <c r="W618" i="31"/>
  <c r="W614" i="31"/>
  <c r="W602" i="31"/>
  <c r="W598" i="31"/>
  <c r="W586" i="31"/>
  <c r="W582" i="31"/>
  <c r="W570" i="31"/>
  <c r="W566" i="31"/>
  <c r="W554" i="31"/>
  <c r="W550" i="31"/>
  <c r="W538" i="31"/>
  <c r="W534" i="31"/>
  <c r="W522" i="31"/>
  <c r="W518" i="31"/>
  <c r="W506" i="31"/>
  <c r="W502" i="31"/>
  <c r="W489" i="31"/>
  <c r="W485" i="31"/>
  <c r="W473" i="31"/>
  <c r="W469" i="31"/>
  <c r="W457" i="31"/>
  <c r="W453" i="31"/>
  <c r="W441" i="31"/>
  <c r="W437" i="31"/>
  <c r="W425" i="31"/>
  <c r="W421" i="31"/>
  <c r="W409" i="31"/>
  <c r="W405" i="31"/>
  <c r="W393" i="31"/>
  <c r="W389" i="31"/>
  <c r="W377" i="31"/>
  <c r="W373" i="31"/>
  <c r="W361" i="31"/>
  <c r="W357" i="31"/>
  <c r="W345" i="31"/>
  <c r="W341" i="31"/>
  <c r="W329" i="31"/>
  <c r="W325" i="31"/>
  <c r="W313" i="31"/>
  <c r="W309" i="31"/>
  <c r="W297" i="31"/>
  <c r="W293" i="31"/>
  <c r="W281" i="31"/>
  <c r="W277" i="31"/>
  <c r="W265" i="31"/>
  <c r="W261" i="31"/>
  <c r="W249" i="31"/>
  <c r="W245" i="31"/>
  <c r="W233" i="31"/>
  <c r="W229" i="31"/>
  <c r="W217" i="31"/>
  <c r="W213" i="31"/>
  <c r="W201" i="31"/>
  <c r="W197" i="31"/>
  <c r="W185" i="31"/>
  <c r="W181" i="31"/>
  <c r="W169" i="31"/>
  <c r="W165" i="31"/>
  <c r="W153" i="31"/>
  <c r="W149" i="31"/>
  <c r="W137" i="31"/>
  <c r="W133" i="31"/>
  <c r="W121" i="31"/>
  <c r="W117" i="31"/>
  <c r="W105" i="31"/>
  <c r="W101" i="31"/>
  <c r="W89" i="31"/>
  <c r="W85" i="31"/>
  <c r="W73" i="31"/>
  <c r="W69" i="31"/>
  <c r="W57" i="31"/>
  <c r="W53" i="31"/>
  <c r="W41" i="31"/>
  <c r="W37" i="31"/>
  <c r="W25" i="31"/>
  <c r="W21" i="31"/>
  <c r="W9" i="31"/>
  <c r="W5" i="31"/>
  <c r="W881" i="31"/>
  <c r="W877" i="31"/>
  <c r="W873" i="31"/>
  <c r="W869" i="31"/>
  <c r="W865" i="31"/>
  <c r="W861" i="31"/>
  <c r="W857" i="31"/>
  <c r="W853" i="31"/>
  <c r="W849" i="31"/>
  <c r="W845" i="31"/>
  <c r="W841" i="31"/>
  <c r="W837" i="31"/>
  <c r="W833" i="31"/>
  <c r="W829" i="31"/>
  <c r="W825" i="31"/>
  <c r="W821" i="31"/>
  <c r="W817" i="31"/>
  <c r="W801" i="31"/>
  <c r="W785" i="31"/>
  <c r="W769" i="31"/>
  <c r="W753" i="31"/>
  <c r="W737" i="31"/>
  <c r="W721" i="31"/>
  <c r="W705" i="31"/>
  <c r="W689" i="31"/>
  <c r="W673" i="31"/>
  <c r="W657" i="31"/>
  <c r="W641" i="31"/>
  <c r="W625" i="31"/>
  <c r="W609" i="31"/>
  <c r="W593" i="31"/>
  <c r="W577" i="31"/>
  <c r="W561" i="31"/>
  <c r="W545" i="31"/>
  <c r="W529" i="31"/>
  <c r="W513" i="31"/>
  <c r="W497" i="31"/>
  <c r="W480" i="31"/>
  <c r="W464" i="31"/>
  <c r="W448" i="31"/>
  <c r="W432" i="31"/>
  <c r="W416" i="31"/>
  <c r="W400" i="31"/>
  <c r="W384" i="31"/>
  <c r="W368" i="31"/>
  <c r="W352" i="31"/>
  <c r="W336" i="31"/>
  <c r="W320" i="31"/>
  <c r="W304" i="31"/>
  <c r="W288" i="31"/>
  <c r="W272" i="31"/>
  <c r="W256" i="31"/>
  <c r="W240" i="31"/>
  <c r="W224" i="31"/>
  <c r="W208" i="31"/>
  <c r="W192" i="31"/>
  <c r="W176" i="31"/>
  <c r="W160" i="31"/>
  <c r="W144" i="31"/>
  <c r="W128" i="31"/>
  <c r="W112" i="31"/>
  <c r="W96" i="31"/>
  <c r="W80" i="31"/>
  <c r="W64" i="31"/>
  <c r="W48" i="31"/>
  <c r="W32" i="31"/>
  <c r="W16" i="31"/>
  <c r="V221" i="31"/>
  <c r="V217" i="31"/>
  <c r="V213" i="31"/>
  <c r="V209" i="31"/>
  <c r="V205" i="31"/>
  <c r="V201" i="31"/>
  <c r="V197" i="31"/>
  <c r="V193" i="31"/>
  <c r="V189" i="31"/>
  <c r="V185" i="31"/>
  <c r="V181" i="31"/>
  <c r="V177" i="31"/>
  <c r="V173" i="31"/>
  <c r="V169" i="31"/>
  <c r="V165" i="31"/>
  <c r="V161" i="31"/>
  <c r="V157" i="31"/>
  <c r="V153" i="31"/>
  <c r="V149" i="31"/>
  <c r="V145" i="31"/>
  <c r="V141" i="31"/>
  <c r="V137" i="31"/>
  <c r="V133" i="31"/>
  <c r="V129" i="31"/>
  <c r="V125" i="31"/>
  <c r="V121" i="31"/>
  <c r="V117" i="31"/>
  <c r="V113" i="31"/>
  <c r="V109" i="31"/>
  <c r="V105" i="31"/>
  <c r="V101" i="31"/>
  <c r="V97" i="31"/>
  <c r="V93" i="31"/>
  <c r="V89" i="31"/>
  <c r="V85" i="31"/>
  <c r="V81" i="31"/>
  <c r="V77" i="31"/>
  <c r="V73" i="31"/>
  <c r="V69" i="31"/>
  <c r="V65" i="31"/>
  <c r="V61" i="31"/>
  <c r="V57" i="31"/>
  <c r="V53" i="31"/>
  <c r="V49" i="31"/>
  <c r="V45" i="31"/>
  <c r="V41" i="31"/>
  <c r="V37" i="31"/>
  <c r="V33" i="31"/>
  <c r="V29" i="31"/>
  <c r="V25" i="31"/>
  <c r="V21" i="31"/>
  <c r="V17" i="31"/>
  <c r="V13" i="31"/>
  <c r="V9" i="31"/>
  <c r="V5" i="31"/>
  <c r="AL189" i="31"/>
  <c r="AK189" i="31"/>
  <c r="AL177" i="31"/>
  <c r="AK177" i="31"/>
  <c r="AL165" i="31"/>
  <c r="AK165" i="31"/>
  <c r="AL153" i="31"/>
  <c r="AK153" i="31"/>
  <c r="AL141" i="31"/>
  <c r="AK141" i="31"/>
  <c r="AL133" i="31"/>
  <c r="AK133" i="31"/>
  <c r="AL121" i="31"/>
  <c r="AK121" i="31"/>
  <c r="AL109" i="31"/>
  <c r="AK109" i="31"/>
  <c r="AL101" i="31"/>
  <c r="AK101" i="31"/>
  <c r="AL93" i="31"/>
  <c r="AK93" i="31"/>
  <c r="AL81" i="31"/>
  <c r="AK81" i="31"/>
  <c r="AL73" i="31"/>
  <c r="AK73" i="31"/>
  <c r="AL57" i="31"/>
  <c r="AK57" i="31"/>
  <c r="AL45" i="31"/>
  <c r="AK45" i="31"/>
  <c r="AL33" i="31"/>
  <c r="AK33" i="31"/>
  <c r="AL25" i="31"/>
  <c r="AK25" i="31"/>
  <c r="AL17" i="31"/>
  <c r="AK17" i="31"/>
  <c r="AL5" i="31"/>
  <c r="AK5" i="31"/>
  <c r="AL411" i="31"/>
  <c r="AK411" i="31"/>
  <c r="AL399" i="31"/>
  <c r="AK399" i="31"/>
  <c r="AL391" i="31"/>
  <c r="AK391" i="31"/>
  <c r="AL379" i="31"/>
  <c r="AK379" i="31"/>
  <c r="AL367" i="31"/>
  <c r="AK367" i="31"/>
  <c r="AL355" i="31"/>
  <c r="AK355" i="31"/>
  <c r="AL343" i="31"/>
  <c r="AK343" i="31"/>
  <c r="AL331" i="31"/>
  <c r="AK331" i="31"/>
  <c r="AL319" i="31"/>
  <c r="AK319" i="31"/>
  <c r="AL307" i="31"/>
  <c r="AK307" i="31"/>
  <c r="AL295" i="31"/>
  <c r="AK295" i="31"/>
  <c r="AL279" i="31"/>
  <c r="AK279" i="31"/>
  <c r="AL271" i="31"/>
  <c r="AK271" i="31"/>
  <c r="AL259" i="31"/>
  <c r="AK259" i="31"/>
  <c r="AL247" i="31"/>
  <c r="AK247" i="31"/>
  <c r="AK235" i="31"/>
  <c r="AL235" i="31"/>
  <c r="AL633" i="31"/>
  <c r="AK633" i="31"/>
  <c r="AL625" i="31"/>
  <c r="AK625" i="31"/>
  <c r="AL617" i="31"/>
  <c r="AK617" i="31"/>
  <c r="AL605" i="31"/>
  <c r="AK605" i="31"/>
  <c r="AL593" i="31"/>
  <c r="AK593" i="31"/>
  <c r="AL581" i="31"/>
  <c r="AK581" i="31"/>
  <c r="AL569" i="31"/>
  <c r="AK569" i="31"/>
  <c r="AL561" i="31"/>
  <c r="AK561" i="31"/>
  <c r="AL549" i="31"/>
  <c r="AK549" i="31"/>
  <c r="AL537" i="31"/>
  <c r="AK537" i="31"/>
  <c r="AL529" i="31"/>
  <c r="AK529" i="31"/>
  <c r="AL517" i="31"/>
  <c r="AK517" i="31"/>
  <c r="AL505" i="31"/>
  <c r="AK505" i="31"/>
  <c r="AL497" i="31"/>
  <c r="AK497" i="31"/>
  <c r="AL485" i="31"/>
  <c r="AK485" i="31"/>
  <c r="AL473" i="31"/>
  <c r="AK473" i="31"/>
  <c r="AL461" i="31"/>
  <c r="AK461" i="31"/>
  <c r="AL757" i="31"/>
  <c r="AK757" i="31"/>
  <c r="AK191" i="31"/>
  <c r="AL191" i="31"/>
  <c r="AK187" i="31"/>
  <c r="AL187" i="31"/>
  <c r="AK183" i="31"/>
  <c r="AL183" i="31"/>
  <c r="AK179" i="31"/>
  <c r="AL179" i="31"/>
  <c r="AK175" i="31"/>
  <c r="AL175" i="31"/>
  <c r="AK171" i="31"/>
  <c r="AL171" i="31"/>
  <c r="AK167" i="31"/>
  <c r="AL167" i="31"/>
  <c r="AK163" i="31"/>
  <c r="AL163" i="31"/>
  <c r="AK159" i="31"/>
  <c r="AL159" i="31"/>
  <c r="AK155" i="31"/>
  <c r="AL155" i="31"/>
  <c r="AK151" i="31"/>
  <c r="AL151" i="31"/>
  <c r="AK147" i="31"/>
  <c r="AL147" i="31"/>
  <c r="AK143" i="31"/>
  <c r="AL143" i="31"/>
  <c r="AK139" i="31"/>
  <c r="AL139" i="31"/>
  <c r="AK135" i="31"/>
  <c r="AL135" i="31"/>
  <c r="AK131" i="31"/>
  <c r="AL131" i="31"/>
  <c r="AK127" i="31"/>
  <c r="AL127" i="31"/>
  <c r="AK123" i="31"/>
  <c r="AL123" i="31"/>
  <c r="AK119" i="31"/>
  <c r="AL119" i="31"/>
  <c r="AK115" i="31"/>
  <c r="AL115" i="31"/>
  <c r="AK111" i="31"/>
  <c r="AL111" i="31"/>
  <c r="AK107" i="31"/>
  <c r="AL107" i="31"/>
  <c r="AK103" i="31"/>
  <c r="AL103" i="31"/>
  <c r="AK99" i="31"/>
  <c r="AL99" i="31"/>
  <c r="AK95" i="31"/>
  <c r="AL95" i="31"/>
  <c r="AK91" i="31"/>
  <c r="AL91" i="31"/>
  <c r="AK87" i="31"/>
  <c r="AL87" i="31"/>
  <c r="AK83" i="31"/>
  <c r="AL83" i="31"/>
  <c r="AK79" i="31"/>
  <c r="AL79" i="31"/>
  <c r="AK75" i="31"/>
  <c r="AL75" i="31"/>
  <c r="AK71" i="31"/>
  <c r="AL71" i="31"/>
  <c r="AK67" i="31"/>
  <c r="AL67" i="31"/>
  <c r="AK63" i="31"/>
  <c r="AL63" i="31"/>
  <c r="AK59" i="31"/>
  <c r="AL59" i="31"/>
  <c r="AK55" i="31"/>
  <c r="AL55" i="31"/>
  <c r="AK51" i="31"/>
  <c r="AL51" i="31"/>
  <c r="AK47" i="31"/>
  <c r="AL47" i="31"/>
  <c r="AK43" i="31"/>
  <c r="AL43" i="31"/>
  <c r="AK39" i="31"/>
  <c r="AL39" i="31"/>
  <c r="AK35" i="31"/>
  <c r="AL35" i="31"/>
  <c r="AK31" i="31"/>
  <c r="AL31" i="31"/>
  <c r="AK27" i="31"/>
  <c r="AL27" i="31"/>
  <c r="AK23" i="31"/>
  <c r="AL23" i="31"/>
  <c r="AK19" i="31"/>
  <c r="AL19" i="31"/>
  <c r="AK15" i="31"/>
  <c r="AL15" i="31"/>
  <c r="AK11" i="31"/>
  <c r="AL11" i="31"/>
  <c r="AK7" i="31"/>
  <c r="AL7" i="31"/>
  <c r="AK3" i="31"/>
  <c r="AL3" i="31"/>
  <c r="AL413" i="31"/>
  <c r="AK413" i="31"/>
  <c r="AL409" i="31"/>
  <c r="AK409" i="31"/>
  <c r="AL405" i="31"/>
  <c r="AK405" i="31"/>
  <c r="AL401" i="31"/>
  <c r="AK401" i="31"/>
  <c r="AL397" i="31"/>
  <c r="AK397" i="31"/>
  <c r="AL393" i="31"/>
  <c r="AK393" i="31"/>
  <c r="AL389" i="31"/>
  <c r="AK389" i="31"/>
  <c r="AL385" i="31"/>
  <c r="AK385" i="31"/>
  <c r="AL381" i="31"/>
  <c r="AK381" i="31"/>
  <c r="AL377" i="31"/>
  <c r="AK377" i="31"/>
  <c r="AL373" i="31"/>
  <c r="AK373" i="31"/>
  <c r="AL369" i="31"/>
  <c r="AK369" i="31"/>
  <c r="AL365" i="31"/>
  <c r="AK365" i="31"/>
  <c r="AL361" i="31"/>
  <c r="AK361" i="31"/>
  <c r="AL357" i="31"/>
  <c r="AK357" i="31"/>
  <c r="AL353" i="31"/>
  <c r="AK353" i="31"/>
  <c r="AL349" i="31"/>
  <c r="AK349" i="31"/>
  <c r="AL345" i="31"/>
  <c r="AK345" i="31"/>
  <c r="AL341" i="31"/>
  <c r="AK341" i="31"/>
  <c r="AL337" i="31"/>
  <c r="AK337" i="31"/>
  <c r="AL333" i="31"/>
  <c r="AK333" i="31"/>
  <c r="AL329" i="31"/>
  <c r="AK329" i="31"/>
  <c r="AL325" i="31"/>
  <c r="AK325" i="31"/>
  <c r="AL321" i="31"/>
  <c r="AK321" i="31"/>
  <c r="AL317" i="31"/>
  <c r="AK317" i="31"/>
  <c r="AL313" i="31"/>
  <c r="AK313" i="31"/>
  <c r="AL309" i="31"/>
  <c r="AK309" i="31"/>
  <c r="AL305" i="31"/>
  <c r="AK305" i="31"/>
  <c r="AL301" i="31"/>
  <c r="AK301" i="31"/>
  <c r="AL297" i="31"/>
  <c r="AK297" i="31"/>
  <c r="AL293" i="31"/>
  <c r="AK293" i="31"/>
  <c r="AL289" i="31"/>
  <c r="AK289" i="31"/>
  <c r="AL285" i="31"/>
  <c r="AK285" i="31"/>
  <c r="AL281" i="31"/>
  <c r="AK281" i="31"/>
  <c r="AL277" i="31"/>
  <c r="AK277" i="31"/>
  <c r="AL273" i="31"/>
  <c r="AK273" i="31"/>
  <c r="AL269" i="31"/>
  <c r="AK269" i="31"/>
  <c r="AL265" i="31"/>
  <c r="AK265" i="31"/>
  <c r="AL261" i="31"/>
  <c r="AK261" i="31"/>
  <c r="AL257" i="31"/>
  <c r="AK257" i="31"/>
  <c r="AL253" i="31"/>
  <c r="AK253" i="31"/>
  <c r="AL249" i="31"/>
  <c r="AK249" i="31"/>
  <c r="AL245" i="31"/>
  <c r="AK245" i="31"/>
  <c r="AL241" i="31"/>
  <c r="AK241" i="31"/>
  <c r="AL237" i="31"/>
  <c r="AK237" i="31"/>
  <c r="AL233" i="31"/>
  <c r="AK233" i="31"/>
  <c r="AL229" i="31"/>
  <c r="AK229" i="31"/>
  <c r="AL225" i="31"/>
  <c r="AK225" i="31"/>
  <c r="AL631" i="31"/>
  <c r="AK631" i="31"/>
  <c r="AL627" i="31"/>
  <c r="AK627" i="31"/>
  <c r="AL623" i="31"/>
  <c r="AK623" i="31"/>
  <c r="AL619" i="31"/>
  <c r="AK619" i="31"/>
  <c r="AL615" i="31"/>
  <c r="AK615" i="31"/>
  <c r="AL611" i="31"/>
  <c r="AK611" i="31"/>
  <c r="AL607" i="31"/>
  <c r="AK607" i="31"/>
  <c r="AL603" i="31"/>
  <c r="AK603" i="31"/>
  <c r="AL599" i="31"/>
  <c r="AK599" i="31"/>
  <c r="AL595" i="31"/>
  <c r="AK595" i="31"/>
  <c r="AL591" i="31"/>
  <c r="AK591" i="31"/>
  <c r="AL587" i="31"/>
  <c r="AK587" i="31"/>
  <c r="AL583" i="31"/>
  <c r="AK583" i="31"/>
  <c r="AL579" i="31"/>
  <c r="AK579" i="31"/>
  <c r="AL575" i="31"/>
  <c r="AK575" i="31"/>
  <c r="AL571" i="31"/>
  <c r="AK571" i="31"/>
  <c r="AL567" i="31"/>
  <c r="AK567" i="31"/>
  <c r="AL563" i="31"/>
  <c r="AK563" i="31"/>
  <c r="AL559" i="31"/>
  <c r="AK559" i="31"/>
  <c r="AL555" i="31"/>
  <c r="AK555" i="31"/>
  <c r="AL551" i="31"/>
  <c r="AK551" i="31"/>
  <c r="AL547" i="31"/>
  <c r="AK547" i="31"/>
  <c r="AL543" i="31"/>
  <c r="AK543" i="31"/>
  <c r="AL539" i="31"/>
  <c r="AK539" i="31"/>
  <c r="AL535" i="31"/>
  <c r="AK535" i="31"/>
  <c r="AL531" i="31"/>
  <c r="AK531" i="31"/>
  <c r="AL527" i="31"/>
  <c r="AK527" i="31"/>
  <c r="AL523" i="31"/>
  <c r="AK523" i="31"/>
  <c r="AL519" i="31"/>
  <c r="AK519" i="31"/>
  <c r="AL515" i="31"/>
  <c r="AK515" i="31"/>
  <c r="AL511" i="31"/>
  <c r="AK511" i="31"/>
  <c r="AL507" i="31"/>
  <c r="AK507" i="31"/>
  <c r="AL503" i="31"/>
  <c r="AK503" i="31"/>
  <c r="AL499" i="31"/>
  <c r="AK499" i="31"/>
  <c r="AL495" i="31"/>
  <c r="AK495" i="31"/>
  <c r="AL491" i="31"/>
  <c r="AK491" i="31"/>
  <c r="AL487" i="31"/>
  <c r="AK487" i="31"/>
  <c r="AL483" i="31"/>
  <c r="AK483" i="31"/>
  <c r="AL479" i="31"/>
  <c r="AK479" i="31"/>
  <c r="AL475" i="31"/>
  <c r="AK475" i="31"/>
  <c r="AL471" i="31"/>
  <c r="AK471" i="31"/>
  <c r="AL467" i="31"/>
  <c r="AK467" i="31"/>
  <c r="AL463" i="31"/>
  <c r="AK463" i="31"/>
  <c r="AL459" i="31"/>
  <c r="AK459" i="31"/>
  <c r="AL455" i="31"/>
  <c r="AK455" i="31"/>
  <c r="AL451" i="31"/>
  <c r="AK451" i="31"/>
  <c r="AL447" i="31"/>
  <c r="AK447" i="31"/>
  <c r="AL443" i="31"/>
  <c r="AK443" i="31"/>
  <c r="AL851" i="31"/>
  <c r="AK851" i="31"/>
  <c r="AK847" i="31"/>
  <c r="AL847" i="31"/>
  <c r="AL843" i="31"/>
  <c r="AK843" i="31"/>
  <c r="AL839" i="31"/>
  <c r="AK839" i="31"/>
  <c r="AL835" i="31"/>
  <c r="AK835" i="31"/>
  <c r="AK831" i="31"/>
  <c r="AL831" i="31"/>
  <c r="AL827" i="31"/>
  <c r="AK827" i="31"/>
  <c r="AL823" i="31"/>
  <c r="AK823" i="31"/>
  <c r="AL819" i="31"/>
  <c r="AK819" i="31"/>
  <c r="AK815" i="31"/>
  <c r="AL815" i="31"/>
  <c r="AL811" i="31"/>
  <c r="AK811" i="31"/>
  <c r="AL807" i="31"/>
  <c r="AK807" i="31"/>
  <c r="AL803" i="31"/>
  <c r="AK803" i="31"/>
  <c r="AK799" i="31"/>
  <c r="AL799" i="31"/>
  <c r="AL795" i="31"/>
  <c r="AK795" i="31"/>
  <c r="AL791" i="31"/>
  <c r="AK791" i="31"/>
  <c r="AL787" i="31"/>
  <c r="AK787" i="31"/>
  <c r="AL783" i="31"/>
  <c r="AK783" i="31"/>
  <c r="AL779" i="31"/>
  <c r="AK779" i="31"/>
  <c r="AL775" i="31"/>
  <c r="AK775" i="31"/>
  <c r="AL771" i="31"/>
  <c r="AK771" i="31"/>
  <c r="AL767" i="31"/>
  <c r="AK767" i="31"/>
  <c r="AL763" i="31"/>
  <c r="AK763" i="31"/>
  <c r="AL759" i="31"/>
  <c r="AK759" i="31"/>
  <c r="AL755" i="31"/>
  <c r="AK755" i="31"/>
  <c r="AL751" i="31"/>
  <c r="AK751" i="31"/>
  <c r="AL747" i="31"/>
  <c r="AK747" i="31"/>
  <c r="AL743" i="31"/>
  <c r="AK743" i="31"/>
  <c r="AL739" i="31"/>
  <c r="AK739" i="31"/>
  <c r="AL735" i="31"/>
  <c r="AK735" i="31"/>
  <c r="AL731" i="31"/>
  <c r="AK731" i="31"/>
  <c r="AL727" i="31"/>
  <c r="AK727" i="31"/>
  <c r="AL723" i="31"/>
  <c r="AK723" i="31"/>
  <c r="AL719" i="31"/>
  <c r="AK719" i="31"/>
  <c r="AL715" i="31"/>
  <c r="AK715" i="31"/>
  <c r="AL711" i="31"/>
  <c r="AK711" i="31"/>
  <c r="AL707" i="31"/>
  <c r="AK707" i="31"/>
  <c r="AL703" i="31"/>
  <c r="AK703" i="31"/>
  <c r="AL699" i="31"/>
  <c r="AK699" i="31"/>
  <c r="AL695" i="31"/>
  <c r="AK695" i="31"/>
  <c r="AL691" i="31"/>
  <c r="AK691" i="31"/>
  <c r="AL687" i="31"/>
  <c r="AK687" i="31"/>
  <c r="AL683" i="31"/>
  <c r="AK683" i="31"/>
  <c r="AL679" i="31"/>
  <c r="AK679" i="31"/>
  <c r="AL675" i="31"/>
  <c r="AK675" i="31"/>
  <c r="AL671" i="31"/>
  <c r="AK671" i="31"/>
  <c r="AL667" i="31"/>
  <c r="AK667" i="31"/>
  <c r="AL663" i="31"/>
  <c r="AK663" i="31"/>
  <c r="W805" i="31"/>
  <c r="W789" i="31"/>
  <c r="W773" i="31"/>
  <c r="W757" i="31"/>
  <c r="W741" i="31"/>
  <c r="W725" i="31"/>
  <c r="W709" i="31"/>
  <c r="W693" i="31"/>
  <c r="W677" i="31"/>
  <c r="W661" i="31"/>
  <c r="W645" i="31"/>
  <c r="W629" i="31"/>
  <c r="W613" i="31"/>
  <c r="W597" i="31"/>
  <c r="W581" i="31"/>
  <c r="W565" i="31"/>
  <c r="W549" i="31"/>
  <c r="W533" i="31"/>
  <c r="W517" i="31"/>
  <c r="W501" i="31"/>
  <c r="W484" i="31"/>
  <c r="W468" i="31"/>
  <c r="W452" i="31"/>
  <c r="W436" i="31"/>
  <c r="W420" i="31"/>
  <c r="W404" i="31"/>
  <c r="W388" i="31"/>
  <c r="W372" i="31"/>
  <c r="W356" i="31"/>
  <c r="W340" i="31"/>
  <c r="W324" i="31"/>
  <c r="W308" i="31"/>
  <c r="W292" i="31"/>
  <c r="W276" i="31"/>
  <c r="W260" i="31"/>
  <c r="W244" i="31"/>
  <c r="W228" i="31"/>
  <c r="W212" i="31"/>
  <c r="W196" i="31"/>
  <c r="W180" i="31"/>
  <c r="W164" i="31"/>
  <c r="W148" i="31"/>
  <c r="W132" i="31"/>
  <c r="W116" i="31"/>
  <c r="W100" i="31"/>
  <c r="W84" i="31"/>
  <c r="W68" i="31"/>
  <c r="W52" i="31"/>
  <c r="W36" i="31"/>
  <c r="W20" i="31"/>
  <c r="W4" i="31"/>
  <c r="V220" i="31"/>
  <c r="V216" i="31"/>
  <c r="V212" i="31"/>
  <c r="V208" i="31"/>
  <c r="V204" i="31"/>
  <c r="V200" i="31"/>
  <c r="V196" i="31"/>
  <c r="V192" i="31"/>
  <c r="V188" i="31"/>
  <c r="V184" i="31"/>
  <c r="V180" i="31"/>
  <c r="V176" i="31"/>
  <c r="V172" i="31"/>
  <c r="V168" i="31"/>
  <c r="V164" i="31"/>
  <c r="V160" i="31"/>
  <c r="V156" i="31"/>
  <c r="V152" i="31"/>
  <c r="V148" i="31"/>
  <c r="V144" i="31"/>
  <c r="V140" i="31"/>
  <c r="V136" i="31"/>
  <c r="V132" i="31"/>
  <c r="V128" i="31"/>
  <c r="V124" i="31"/>
  <c r="V120" i="31"/>
  <c r="V116" i="31"/>
  <c r="V112" i="31"/>
  <c r="V108" i="31"/>
  <c r="V104" i="31"/>
  <c r="V100" i="31"/>
  <c r="V96" i="31"/>
  <c r="V92" i="31"/>
  <c r="V88" i="31"/>
  <c r="V84" i="31"/>
  <c r="V80" i="31"/>
  <c r="V76" i="31"/>
  <c r="V72" i="31"/>
  <c r="V68" i="31"/>
  <c r="V64" i="31"/>
  <c r="V60" i="31"/>
  <c r="V56" i="31"/>
  <c r="V52" i="31"/>
  <c r="V48" i="31"/>
  <c r="V44" i="31"/>
  <c r="V40" i="31"/>
  <c r="V36" i="31"/>
  <c r="V32" i="31"/>
  <c r="V28" i="31"/>
  <c r="V24" i="31"/>
  <c r="V20" i="31"/>
  <c r="V16" i="31"/>
  <c r="V12" i="31"/>
  <c r="V8" i="31"/>
  <c r="V4" i="31"/>
  <c r="W493" i="31"/>
  <c r="W707" i="31"/>
  <c r="W739" i="31"/>
  <c r="W771" i="31"/>
  <c r="W803" i="31"/>
  <c r="W671" i="31"/>
  <c r="W702" i="31"/>
  <c r="W686" i="31"/>
  <c r="W718" i="31"/>
  <c r="W814" i="31"/>
  <c r="W750" i="31"/>
  <c r="W782" i="31"/>
  <c r="W766" i="31"/>
  <c r="W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CW13" authorId="0" shapeId="0" xr:uid="{FA40D3F8-7F09-4213-9CC1-BA2630350991}">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BW47" authorId="0" shapeId="0" xr:uid="{EE10BBAC-5C10-47C9-B789-7E1398AE2327}">
      <text>
        <r>
          <rPr>
            <b/>
            <sz val="9"/>
            <color indexed="81"/>
            <rFont val="Tahoma"/>
            <family val="2"/>
          </rPr>
          <t>Anders Sundsdal:</t>
        </r>
        <r>
          <rPr>
            <sz val="9"/>
            <color indexed="81"/>
            <rFont val="Tahoma"/>
            <family val="2"/>
          </rPr>
          <t xml:space="preserve">
Changed from R279 to R70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8FD46B0C-AA39-47E5-A4F0-24FF8B440C7D}">
      <text>
        <r>
          <rPr>
            <b/>
            <sz val="9"/>
            <color indexed="81"/>
            <rFont val="Tahoma"/>
            <family val="2"/>
          </rPr>
          <t>Anders Sundsdal:</t>
        </r>
        <r>
          <rPr>
            <sz val="9"/>
            <color indexed="81"/>
            <rFont val="Tahoma"/>
            <family val="2"/>
          </rPr>
          <t xml:space="preserve">
Changed from G169 to G162</t>
        </r>
      </text>
    </comment>
    <comment ref="A74" authorId="0" shapeId="0" xr:uid="{6ADAF30B-F3C4-4E17-BCF3-654246B89323}">
      <text>
        <r>
          <rPr>
            <b/>
            <sz val="9"/>
            <color indexed="81"/>
            <rFont val="Tahoma"/>
            <family val="2"/>
          </rPr>
          <t>Anders Sundsdal:</t>
        </r>
        <r>
          <rPr>
            <sz val="9"/>
            <color indexed="81"/>
            <rFont val="Tahoma"/>
            <family val="2"/>
          </rPr>
          <t xml:space="preserve">
Changed from G16 to G19</t>
        </r>
      </text>
    </comment>
    <comment ref="A99" authorId="0" shapeId="0" xr:uid="{E640FE35-5F4E-4138-BF06-BB7871F07F0D}">
      <text>
        <r>
          <rPr>
            <b/>
            <sz val="9"/>
            <color indexed="81"/>
            <rFont val="Tahoma"/>
            <family val="2"/>
          </rPr>
          <t>Anders Sundsdal:</t>
        </r>
        <r>
          <rPr>
            <sz val="9"/>
            <color indexed="81"/>
            <rFont val="Tahoma"/>
            <family val="2"/>
          </rPr>
          <t xml:space="preserve">
Changed from G255 to G225</t>
        </r>
      </text>
    </comment>
    <comment ref="A162" authorId="0" shapeId="0" xr:uid="{A2D19264-F3E4-4F5C-A9BF-DE2ADB732768}">
      <text>
        <r>
          <rPr>
            <b/>
            <sz val="9"/>
            <color indexed="81"/>
            <rFont val="Tahoma"/>
            <family val="2"/>
          </rPr>
          <t>Anders Sundsdal:</t>
        </r>
        <r>
          <rPr>
            <sz val="9"/>
            <color indexed="81"/>
            <rFont val="Tahoma"/>
            <family val="2"/>
          </rPr>
          <t xml:space="preserve">
Changed from G136 to G316</t>
        </r>
      </text>
    </comment>
    <comment ref="A164" authorId="0" shapeId="0" xr:uid="{0A434785-1862-4EA5-B7D9-2A72223C46EB}">
      <text>
        <r>
          <rPr>
            <b/>
            <sz val="9"/>
            <color indexed="81"/>
            <rFont val="Tahoma"/>
            <family val="2"/>
          </rPr>
          <t>Anders Sundsdal:</t>
        </r>
        <r>
          <rPr>
            <sz val="9"/>
            <color indexed="81"/>
            <rFont val="Tahoma"/>
            <family val="2"/>
          </rPr>
          <t xml:space="preserve">
Changed from G139 to G319</t>
        </r>
      </text>
    </comment>
    <comment ref="A268" authorId="0" shapeId="0" xr:uid="{706B949B-11B9-4E1E-9C7C-569348493388}">
      <text>
        <r>
          <rPr>
            <b/>
            <sz val="9"/>
            <color indexed="81"/>
            <rFont val="Tahoma"/>
            <family val="2"/>
          </rPr>
          <t>Anders Sundsdal:</t>
        </r>
        <r>
          <rPr>
            <sz val="9"/>
            <color indexed="81"/>
            <rFont val="Tahoma"/>
            <family val="2"/>
          </rPr>
          <t xml:space="preserve">
Changed from G619 to G617</t>
        </r>
      </text>
    </comment>
    <comment ref="A464" authorId="0" shapeId="0" xr:uid="{2C409451-02FB-47B1-9704-887562E51D6E}">
      <text>
        <r>
          <rPr>
            <b/>
            <sz val="9"/>
            <color indexed="81"/>
            <rFont val="Tahoma"/>
            <family val="2"/>
          </rPr>
          <t>Anders Sundsdal:</t>
        </r>
        <r>
          <rPr>
            <sz val="9"/>
            <color indexed="81"/>
            <rFont val="Tahoma"/>
            <family val="2"/>
          </rPr>
          <t xml:space="preserve">
Anders Sundsdal:
Changed from R601 to R841 due to duplicate between the dry and wet season.</t>
        </r>
      </text>
    </comment>
    <comment ref="A569" authorId="0" shapeId="0" xr:uid="{447D2031-DBE3-4078-ADD4-25CC266E458C}">
      <text>
        <r>
          <rPr>
            <b/>
            <sz val="9"/>
            <color indexed="81"/>
            <rFont val="Tahoma"/>
            <family val="2"/>
          </rPr>
          <t>Anders Sundsdal:</t>
        </r>
        <r>
          <rPr>
            <sz val="9"/>
            <color indexed="81"/>
            <rFont val="Tahoma"/>
            <family val="2"/>
          </rPr>
          <t xml:space="preserve">
Changed from ? to R722.</t>
        </r>
      </text>
    </comment>
    <comment ref="A643" authorId="0" shapeId="0" xr:uid="{99BD2013-7C9C-48C1-BB34-AF681C507073}">
      <text>
        <r>
          <rPr>
            <b/>
            <sz val="9"/>
            <color indexed="81"/>
            <rFont val="Tahoma"/>
            <family val="2"/>
          </rPr>
          <t>Anders Sundsdal:</t>
        </r>
        <r>
          <rPr>
            <sz val="9"/>
            <color indexed="81"/>
            <rFont val="Tahoma"/>
            <family val="2"/>
          </rPr>
          <t xml:space="preserve">
Changed from R809 to R808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 Update: Changed back.</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J81" authorId="0" shapeId="0" xr:uid="{700CA594-CF06-4AF7-91CC-740A01402C4D}">
      <text>
        <r>
          <rPr>
            <b/>
            <sz val="9"/>
            <color indexed="81"/>
            <rFont val="Tahoma"/>
            <family val="2"/>
          </rPr>
          <t>Anders Sundsdal:</t>
        </r>
        <r>
          <rPr>
            <sz val="9"/>
            <color indexed="81"/>
            <rFont val="Tahoma"/>
            <family val="2"/>
          </rPr>
          <t xml:space="preserve">
Changed from 120 to 130 due to duplicate.
</t>
        </r>
      </text>
    </comment>
    <comment ref="M91" authorId="0" shapeId="0" xr:uid="{B93742A5-55C9-4DAD-9225-626004AB8A6F}">
      <text>
        <r>
          <rPr>
            <b/>
            <sz val="9"/>
            <color indexed="81"/>
            <rFont val="Tahoma"/>
            <charset val="1"/>
          </rPr>
          <t xml:space="preserve">Anders Sundsdal:
</t>
        </r>
        <r>
          <rPr>
            <sz val="9"/>
            <color indexed="81"/>
            <rFont val="Tahoma"/>
            <family val="2"/>
          </rPr>
          <t>Changed from R601 to R841 due to duplicate between the dry and wet season.</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J141" authorId="0" shapeId="0" xr:uid="{6348FC39-4390-4703-ACBB-BF517BAD955A}">
      <text>
        <r>
          <rPr>
            <b/>
            <sz val="9"/>
            <color indexed="81"/>
            <rFont val="Tahoma"/>
            <family val="2"/>
          </rPr>
          <t>Anders Sundsdal:</t>
        </r>
        <r>
          <rPr>
            <sz val="9"/>
            <color indexed="81"/>
            <rFont val="Tahoma"/>
            <family val="2"/>
          </rPr>
          <t xml:space="preserve">
Changed from 250 to 17 due to duplicate. Correspons to ashed sheet now.</t>
        </r>
      </text>
    </comment>
    <comment ref="M179" authorId="0" shapeId="0" xr:uid="{1CAC9066-19A7-4933-8FB1-E70909951356}">
      <text>
        <r>
          <rPr>
            <b/>
            <sz val="9"/>
            <color indexed="81"/>
            <rFont val="Tahoma"/>
            <family val="2"/>
          </rPr>
          <t>Anders Sundsdal:</t>
        </r>
        <r>
          <rPr>
            <sz val="9"/>
            <color indexed="81"/>
            <rFont val="Tahoma"/>
            <family val="2"/>
          </rPr>
          <t xml:space="preserve">
Changed from R279 to R70. R279 is also in wet season. In this season it is lost. Therefore it is changed t R70 which is not used at all, and have similar weight as R279.</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67"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218" authorId="0" shapeId="0" xr:uid="{30503656-DD51-47C0-9F5D-C6AE8296C73D}">
      <text>
        <r>
          <rPr>
            <b/>
            <sz val="9"/>
            <color indexed="81"/>
            <rFont val="Tahoma"/>
            <family val="2"/>
          </rPr>
          <t>Anders Sundsdal:</t>
        </r>
        <r>
          <rPr>
            <sz val="9"/>
            <color indexed="81"/>
            <rFont val="Tahoma"/>
            <family val="2"/>
          </rPr>
          <t xml:space="preserve">
Changed from G112 to G42</t>
        </r>
      </text>
    </comment>
    <comment ref="A283"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295"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332" authorId="0" shapeId="0" xr:uid="{13CE7573-E43D-4DCB-85BE-D628E83F2C53}">
      <text>
        <r>
          <rPr>
            <b/>
            <sz val="9"/>
            <color indexed="81"/>
            <rFont val="Tahoma"/>
            <family val="2"/>
          </rPr>
          <t>Anders Sundsdal:</t>
        </r>
        <r>
          <rPr>
            <sz val="9"/>
            <color indexed="81"/>
            <rFont val="Tahoma"/>
            <family val="2"/>
          </rPr>
          <t xml:space="preserve">
Changed from R94 to G94</t>
        </r>
      </text>
    </comment>
    <comment ref="A435"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464" authorId="0" shapeId="0" xr:uid="{924B00F1-9F1B-4386-9845-7177602A8229}">
      <text>
        <r>
          <rPr>
            <b/>
            <sz val="9"/>
            <color indexed="81"/>
            <rFont val="Tahoma"/>
            <charset val="1"/>
          </rPr>
          <t>Anders Sundsdal:</t>
        </r>
        <r>
          <rPr>
            <sz val="9"/>
            <color indexed="81"/>
            <rFont val="Tahoma"/>
            <charset val="1"/>
          </rPr>
          <t xml:space="preserve">
Changed from R601 to R841 due to duplicate between the dry and wet season.</t>
        </r>
      </text>
    </comment>
    <comment ref="A535"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573"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N14" authorId="0" shapeId="0" xr:uid="{C06F57ED-9C52-453F-B0FF-71F48BA3E259}">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P23" authorId="0" shapeId="0" xr:uid="{28992491-2F82-47AA-ACA7-B64B3ECEF330}">
      <text>
        <r>
          <rPr>
            <b/>
            <sz val="9"/>
            <color indexed="81"/>
            <rFont val="Tahoma"/>
            <family val="2"/>
          </rPr>
          <t>Anders Sundsdal:</t>
        </r>
        <r>
          <rPr>
            <sz val="9"/>
            <color indexed="81"/>
            <rFont val="Tahoma"/>
            <family val="2"/>
          </rPr>
          <t xml:space="preserve">
Changed from R19 to R79 due to duplicate.</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3teabags. UPDATE: The bag contains R54. But There is also a bag with same number. Renamed this bag 54b. UPDATE: Changed from 54b to R53. The wrongly written teabags are probably a mistake when writing on the teabag when they were weighed initially.</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 UPDATE: Changed from 540 to 546 by comparing Ashed and both after wet sheets.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 UPDATE: Changed from 54a to R54. The wrongly written teabags are probably a mistake when writing on the teabag when they were weighed initially.</t>
        </r>
      </text>
    </comment>
    <comment ref="J163" authorId="0" shapeId="0" xr:uid="{66D6417B-9E13-4BDB-8406-D314AEE349A9}">
      <text>
        <r>
          <rPr>
            <b/>
            <sz val="9"/>
            <color indexed="81"/>
            <rFont val="Tahoma"/>
            <charset val="1"/>
          </rPr>
          <t>Anders Sundsdal:</t>
        </r>
        <r>
          <rPr>
            <sz val="9"/>
            <color indexed="81"/>
            <rFont val="Tahoma"/>
            <charset val="1"/>
          </rPr>
          <t xml:space="preserve">
Changed from 252 to 352 since post labwork found this bag to be 352.</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369. Var duplakat med dry season pga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34"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C105" authorId="0" shapeId="0" xr:uid="{01CEFEC6-73B3-4863-BB0C-EE4595E1B65E}">
      <text>
        <r>
          <rPr>
            <b/>
            <sz val="9"/>
            <color indexed="81"/>
            <rFont val="Tahoma"/>
            <family val="2"/>
          </rPr>
          <t>Anders Sundsdal:</t>
        </r>
        <r>
          <rPr>
            <sz val="9"/>
            <color indexed="81"/>
            <rFont val="Tahoma"/>
            <family val="2"/>
          </rPr>
          <t xml:space="preserve">
No bag</t>
        </r>
      </text>
    </comment>
    <comment ref="A114"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C138"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144" authorId="0" shapeId="0" xr:uid="{948C8701-78D9-4390-A849-1A8BA5A0F40B}">
      <text>
        <r>
          <rPr>
            <b/>
            <sz val="9"/>
            <color indexed="81"/>
            <rFont val="Tahoma"/>
            <family val="2"/>
          </rPr>
          <t>Anders Sundsdal:</t>
        </r>
        <r>
          <rPr>
            <sz val="9"/>
            <color indexed="81"/>
            <rFont val="Tahoma"/>
            <family val="2"/>
          </rPr>
          <t xml:space="preserve">
Corrected in all other sheets. OK now.</t>
        </r>
      </text>
    </comment>
    <comment ref="A158" authorId="0" shapeId="0" xr:uid="{BFCCF097-CE58-421E-AB83-E295599807F7}">
      <text>
        <r>
          <rPr>
            <b/>
            <sz val="9"/>
            <color indexed="81"/>
            <rFont val="Tahoma"/>
            <charset val="1"/>
          </rPr>
          <t>Anders Sundsdal:</t>
        </r>
        <r>
          <rPr>
            <sz val="9"/>
            <color indexed="81"/>
            <rFont val="Tahoma"/>
            <charset val="1"/>
          </rPr>
          <t xml:space="preserve">
Correct</t>
        </r>
      </text>
    </comment>
    <comment ref="C164"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C16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239"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251" authorId="0" shapeId="0" xr:uid="{4918588A-EFAE-47F8-8B72-F4A2F0AD6736}">
      <text>
        <r>
          <rPr>
            <b/>
            <sz val="9"/>
            <color indexed="81"/>
            <rFont val="Tahoma"/>
            <family val="2"/>
          </rPr>
          <t>Anders Sundsdal:</t>
        </r>
        <r>
          <rPr>
            <sz val="9"/>
            <color indexed="81"/>
            <rFont val="Tahoma"/>
            <family val="2"/>
          </rPr>
          <t xml:space="preserve">
Changes from G90 to G690 as G90 was in dry season and that G690 corresponds to collection sheet wet.</t>
        </r>
      </text>
    </comment>
    <comment ref="C264" authorId="0" shapeId="0" xr:uid="{E4BA2D92-CB95-4864-8234-3AC61E89039F}">
      <text>
        <r>
          <rPr>
            <b/>
            <sz val="9"/>
            <color indexed="81"/>
            <rFont val="Tahoma"/>
            <family val="2"/>
          </rPr>
          <t>Anders Sundsdal:</t>
        </r>
        <r>
          <rPr>
            <sz val="9"/>
            <color indexed="81"/>
            <rFont val="Tahoma"/>
            <family val="2"/>
          </rPr>
          <t xml:space="preserve">
No bag</t>
        </r>
      </text>
    </comment>
    <comment ref="C271"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274"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397"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410"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429"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C433"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445" authorId="0" shapeId="0" xr:uid="{FE7A7F6B-B96C-49EC-8C5E-19A2AF7783CE}">
      <text>
        <r>
          <rPr>
            <b/>
            <sz val="9"/>
            <color indexed="81"/>
            <rFont val="Tahoma"/>
            <family val="2"/>
          </rPr>
          <t>Anders Sundsdal:</t>
        </r>
        <r>
          <rPr>
            <sz val="9"/>
            <color indexed="81"/>
            <rFont val="Tahoma"/>
            <family val="2"/>
          </rPr>
          <t xml:space="preserve">
No bag</t>
        </r>
      </text>
    </comment>
    <comment ref="A450" authorId="0" shapeId="0" xr:uid="{35C1731C-2398-4880-8A84-F75279CAF7EA}">
      <text>
        <r>
          <rPr>
            <b/>
            <sz val="9"/>
            <color indexed="81"/>
            <rFont val="Tahoma"/>
            <family val="2"/>
          </rPr>
          <t>Anders Sundsdal:</t>
        </r>
        <r>
          <rPr>
            <sz val="9"/>
            <color indexed="81"/>
            <rFont val="Tahoma"/>
            <family val="2"/>
          </rPr>
          <t xml:space="preserve">
No number on the teabag. Changed from RA to R133.</t>
        </r>
      </text>
    </comment>
    <comment ref="C463" authorId="0" shapeId="0" xr:uid="{8CDEF242-9D4E-43DC-B974-B3E3A216C583}">
      <text>
        <r>
          <rPr>
            <b/>
            <sz val="9"/>
            <color indexed="81"/>
            <rFont val="Tahoma"/>
            <family val="2"/>
          </rPr>
          <t>Anders Sundsdal:</t>
        </r>
        <r>
          <rPr>
            <sz val="9"/>
            <color indexed="81"/>
            <rFont val="Tahoma"/>
            <family val="2"/>
          </rPr>
          <t xml:space="preserve">
No bag</t>
        </r>
      </text>
    </comment>
    <comment ref="C464" authorId="0" shapeId="0" xr:uid="{510E5160-3E60-46DC-8DE5-9A506DE1702B}">
      <text>
        <r>
          <rPr>
            <b/>
            <sz val="9"/>
            <color indexed="81"/>
            <rFont val="Tahoma"/>
            <family val="2"/>
          </rPr>
          <t>Anders Sundsdal:</t>
        </r>
        <r>
          <rPr>
            <sz val="9"/>
            <color indexed="81"/>
            <rFont val="Tahoma"/>
            <family val="2"/>
          </rPr>
          <t xml:space="preserve">
No bag</t>
        </r>
      </text>
    </comment>
    <comment ref="C466"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501" authorId="0" shapeId="0" xr:uid="{6FEF8B36-BC55-47FB-93F2-BB654E5DF871}">
      <text>
        <r>
          <rPr>
            <b/>
            <sz val="9"/>
            <color indexed="81"/>
            <rFont val="Tahoma"/>
            <family val="2"/>
          </rPr>
          <t>Anders Sundsdal:</t>
        </r>
        <r>
          <rPr>
            <sz val="9"/>
            <color indexed="81"/>
            <rFont val="Tahoma"/>
            <family val="2"/>
          </rPr>
          <t xml:space="preserve">
No plot number on bag</t>
        </r>
      </text>
    </comment>
    <comment ref="C513"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20" authorId="0" shapeId="0" xr:uid="{975283A9-88F8-4912-B01E-8DD9285DB580}">
      <text>
        <r>
          <rPr>
            <b/>
            <sz val="9"/>
            <color indexed="81"/>
            <rFont val="Tahoma"/>
            <charset val="1"/>
          </rPr>
          <t>Anders Sundsdal:</t>
        </r>
        <r>
          <rPr>
            <sz val="9"/>
            <color indexed="81"/>
            <rFont val="Tahoma"/>
            <charset val="1"/>
          </rPr>
          <t xml:space="preserve">
This is most likely not correct bagcode. Update: Changed from R25 to R252.</t>
        </r>
      </text>
    </comment>
    <comment ref="C520" authorId="0" shapeId="0" xr:uid="{F163B298-B6B6-48FC-9EE7-6D4021509E43}">
      <text>
        <r>
          <rPr>
            <b/>
            <sz val="9"/>
            <color indexed="81"/>
            <rFont val="Tahoma"/>
            <charset val="1"/>
          </rPr>
          <t>Anders Sundsdal:</t>
        </r>
        <r>
          <rPr>
            <sz val="9"/>
            <color indexed="81"/>
            <rFont val="Tahoma"/>
            <charset val="1"/>
          </rPr>
          <t xml:space="preserve">
Changed from 195 to 66</t>
        </r>
      </text>
    </comment>
    <comment ref="C523"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556" authorId="0" shapeId="0" xr:uid="{4F224093-2958-4474-84DA-418076DC057F}">
      <text>
        <r>
          <rPr>
            <b/>
            <sz val="9"/>
            <color indexed="81"/>
            <rFont val="Tahoma"/>
            <charset val="1"/>
          </rPr>
          <t>Anders Sundsdal:</t>
        </r>
        <r>
          <rPr>
            <sz val="9"/>
            <color indexed="81"/>
            <rFont val="Tahoma"/>
            <charset val="1"/>
          </rPr>
          <t xml:space="preserve">
Changed from R312 to R31 due to duplicate in this sheet, and also R31 corresponds to the afterwet and colection sheet with this plot number.</t>
        </r>
      </text>
    </comment>
    <comment ref="C567"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573"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575"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585" authorId="0" shapeId="0" xr:uid="{A2107283-5EB8-4368-B6AB-D7739D671576}">
      <text>
        <r>
          <rPr>
            <b/>
            <sz val="9"/>
            <color indexed="81"/>
            <rFont val="Tahoma"/>
            <charset val="1"/>
          </rPr>
          <t>Anders Sundsdal:</t>
        </r>
        <r>
          <rPr>
            <sz val="9"/>
            <color indexed="81"/>
            <rFont val="Tahoma"/>
            <charset val="1"/>
          </rPr>
          <t xml:space="preserve">
Changed from R535 to R353 due to duplicate in this sheet and tha it corresponds to afterwet and collection sheet with this plot number.</t>
        </r>
      </text>
    </comment>
    <comment ref="A594"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 UPDATE: Changed from R367 to R369 since R367 is in dry season.</t>
        </r>
      </text>
    </comment>
    <comment ref="C594"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A730" authorId="0" shapeId="0" xr:uid="{BEDDC5E9-BDF6-445A-A61C-A3637BCEEB9C}">
      <text>
        <r>
          <rPr>
            <b/>
            <sz val="9"/>
            <color indexed="81"/>
            <rFont val="Tahoma"/>
            <family val="2"/>
          </rPr>
          <t>Anders Sundsdal:</t>
        </r>
        <r>
          <rPr>
            <sz val="9"/>
            <color indexed="81"/>
            <rFont val="Tahoma"/>
            <family val="2"/>
          </rPr>
          <t xml:space="preserve">
Not found in teabags used sheet. UPDATE: Corrected, ok now.</t>
        </r>
      </text>
    </comment>
    <comment ref="A757" authorId="0" shapeId="0" xr:uid="{676430C8-D659-4B3F-B8D3-C8635B3236A6}">
      <text>
        <r>
          <rPr>
            <b/>
            <sz val="9"/>
            <color indexed="81"/>
            <rFont val="Tahoma"/>
            <family val="2"/>
          </rPr>
          <t>Anders Sundsdal:</t>
        </r>
        <r>
          <rPr>
            <sz val="9"/>
            <color indexed="81"/>
            <rFont val="Tahoma"/>
            <family val="2"/>
          </rPr>
          <t xml:space="preserve">
Changed from R54a to R54</t>
        </r>
      </text>
    </comment>
    <comment ref="A758" authorId="0" shapeId="0" xr:uid="{7261B129-C740-41BC-A9C6-74D8400F4A15}">
      <text>
        <r>
          <rPr>
            <b/>
            <sz val="9"/>
            <color indexed="81"/>
            <rFont val="Tahoma"/>
            <family val="2"/>
          </rPr>
          <t>Anders Sundsdal:</t>
        </r>
        <r>
          <rPr>
            <sz val="9"/>
            <color indexed="81"/>
            <rFont val="Tahoma"/>
            <family val="2"/>
          </rPr>
          <t xml:space="preserve">
Changed from R54b to R53</t>
        </r>
      </text>
    </comment>
    <comment ref="A775" authorId="0" shapeId="0" xr:uid="{A58B1ACB-5968-4064-BC8E-6DCFFC36C5AF}">
      <text>
        <r>
          <rPr>
            <b/>
            <sz val="9"/>
            <color indexed="81"/>
            <rFont val="Tahoma"/>
            <charset val="1"/>
          </rPr>
          <t>Anders Sundsdal:</t>
        </r>
        <r>
          <rPr>
            <sz val="9"/>
            <color indexed="81"/>
            <rFont val="Tahoma"/>
            <charset val="1"/>
          </rPr>
          <t xml:space="preserve">
Changed from G565 to R565 due to dupicate in this sheet and that it corresponds to afterwet and collection sheet with this plot number.</t>
        </r>
      </text>
    </comment>
    <comment ref="A782"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828" authorId="0" shapeId="0" xr:uid="{F13ABE56-231B-45F5-A441-F3FE90668407}">
      <text>
        <r>
          <rPr>
            <b/>
            <sz val="9"/>
            <color indexed="81"/>
            <rFont val="Tahoma"/>
            <family val="2"/>
          </rPr>
          <t xml:space="preserve">Anders Sundsdal:
</t>
        </r>
        <r>
          <rPr>
            <sz val="9"/>
            <color indexed="81"/>
            <rFont val="Tahoma"/>
            <family val="2"/>
          </rPr>
          <t>Corrected in collectionsheet. IN tha sheet it was R79. Corrected this in both teabags afterwet aswell. OK now.</t>
        </r>
      </text>
    </comment>
    <comment ref="C834" authorId="0" shapeId="0" xr:uid="{F42BDC11-1BDF-43E5-91A9-BA0B8A34581A}">
      <text>
        <r>
          <rPr>
            <b/>
            <sz val="9"/>
            <color indexed="81"/>
            <rFont val="Tahoma"/>
            <family val="2"/>
          </rPr>
          <t>Anders Sundsdal:</t>
        </r>
        <r>
          <rPr>
            <sz val="9"/>
            <color indexed="81"/>
            <rFont val="Tahoma"/>
            <family val="2"/>
          </rPr>
          <t xml:space="preserve">
No bag</t>
        </r>
      </text>
    </comment>
    <comment ref="C835"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4" authorId="0" shapeId="0" xr:uid="{1EA3BA1B-3D70-4EFA-A0AB-074B6236942D}">
      <text>
        <r>
          <rPr>
            <b/>
            <sz val="9"/>
            <color indexed="81"/>
            <rFont val="Tahoma"/>
            <charset val="1"/>
          </rPr>
          <t>Anders Sundsdal:</t>
        </r>
        <r>
          <rPr>
            <sz val="9"/>
            <color indexed="81"/>
            <rFont val="Tahoma"/>
            <charset val="1"/>
          </rPr>
          <t xml:space="preserve">
Changed from na to 66</t>
        </r>
      </text>
    </comment>
    <comment ref="A20" authorId="0" shapeId="0" xr:uid="{F8518429-D3D3-49D2-BCB7-AA6F9EA59141}">
      <text>
        <r>
          <rPr>
            <b/>
            <sz val="9"/>
            <color indexed="81"/>
            <rFont val="Tahoma"/>
            <family val="2"/>
          </rPr>
          <t>Anders Sundsdal:</t>
        </r>
        <r>
          <rPr>
            <sz val="9"/>
            <color indexed="81"/>
            <rFont val="Tahoma"/>
            <family val="2"/>
          </rPr>
          <t xml:space="preserve">
Corr. From G798 to G298</t>
        </r>
      </text>
    </comment>
    <comment ref="A22" authorId="0" shapeId="0" xr:uid="{34A3D9A3-892D-4602-99D5-880E128373E2}">
      <text>
        <r>
          <rPr>
            <b/>
            <sz val="9"/>
            <color indexed="81"/>
            <rFont val="Tahoma"/>
            <family val="2"/>
          </rPr>
          <t>Anders Sundsdal:</t>
        </r>
        <r>
          <rPr>
            <sz val="9"/>
            <color indexed="81"/>
            <rFont val="Tahoma"/>
            <family val="2"/>
          </rPr>
          <t xml:space="preserve">
Changed from G302 to G308</t>
        </r>
      </text>
    </comment>
    <comment ref="B32" authorId="0" shapeId="0" xr:uid="{5FA4EE17-780B-4E56-B24D-358FECD93DC8}">
      <text>
        <r>
          <rPr>
            <b/>
            <sz val="9"/>
            <color indexed="81"/>
            <rFont val="Tahoma"/>
            <charset val="1"/>
          </rPr>
          <t>Anders Sundsdal:</t>
        </r>
        <r>
          <rPr>
            <sz val="9"/>
            <color indexed="81"/>
            <rFont val="Tahoma"/>
            <charset val="1"/>
          </rPr>
          <t xml:space="preserve">
Added later</t>
        </r>
      </text>
    </comment>
    <comment ref="A33" authorId="0" shapeId="0" xr:uid="{127FD4B4-B032-418A-A251-CC5E66AA5CEF}">
      <text>
        <r>
          <rPr>
            <b/>
            <sz val="9"/>
            <color indexed="81"/>
            <rFont val="Tahoma"/>
            <family val="2"/>
          </rPr>
          <t>Anders Sundsdal:</t>
        </r>
        <r>
          <rPr>
            <sz val="9"/>
            <color indexed="81"/>
            <rFont val="Tahoma"/>
            <family val="2"/>
          </rPr>
          <t xml:space="preserve">
Changed from G562 to G362</t>
        </r>
      </text>
    </comment>
    <comment ref="B40" authorId="0" shapeId="0" xr:uid="{9ADA7B91-6CCD-4269-9C93-49B3C7EB234B}">
      <text>
        <r>
          <rPr>
            <b/>
            <sz val="9"/>
            <color indexed="81"/>
            <rFont val="Tahoma"/>
            <charset val="1"/>
          </rPr>
          <t>Anders Sundsdal:</t>
        </r>
        <r>
          <rPr>
            <sz val="9"/>
            <color indexed="81"/>
            <rFont val="Tahoma"/>
            <charset val="1"/>
          </rPr>
          <t xml:space="preserve">
Changed from na to 72</t>
        </r>
      </text>
    </comment>
    <comment ref="B52" authorId="0" shapeId="0" xr:uid="{BA00E358-834D-4D02-85C8-DBA7F5445662}">
      <text>
        <r>
          <rPr>
            <b/>
            <sz val="9"/>
            <color indexed="81"/>
            <rFont val="Tahoma"/>
            <charset val="1"/>
          </rPr>
          <t>Anders Sundsdal:</t>
        </r>
        <r>
          <rPr>
            <sz val="9"/>
            <color indexed="81"/>
            <rFont val="Tahoma"/>
            <charset val="1"/>
          </rPr>
          <t xml:space="preserve">
Changed from na to 25</t>
        </r>
      </text>
    </comment>
    <comment ref="B55"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B59" authorId="0" shapeId="0" xr:uid="{30D32D46-4ADF-43FA-A828-B2C7D50298EF}">
      <text>
        <r>
          <rPr>
            <b/>
            <sz val="9"/>
            <color indexed="81"/>
            <rFont val="Tahoma"/>
            <charset val="1"/>
          </rPr>
          <t>Anders Sundsdal:</t>
        </r>
        <r>
          <rPr>
            <sz val="9"/>
            <color indexed="81"/>
            <rFont val="Tahoma"/>
            <charset val="1"/>
          </rPr>
          <t xml:space="preserve">
Added later</t>
        </r>
      </text>
    </comment>
    <comment ref="B63" authorId="0" shapeId="0" xr:uid="{401931BD-41BD-4AAA-B1D2-85C72A652FE9}">
      <text>
        <r>
          <rPr>
            <b/>
            <sz val="9"/>
            <color indexed="81"/>
            <rFont val="Tahoma"/>
            <family val="2"/>
          </rPr>
          <t>Anders Sundsdal:</t>
        </r>
        <r>
          <rPr>
            <sz val="9"/>
            <color indexed="81"/>
            <rFont val="Tahoma"/>
            <family val="2"/>
          </rPr>
          <t xml:space="preserve">
Added later</t>
        </r>
      </text>
    </comment>
    <comment ref="A64"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65" authorId="0" shapeId="0" xr:uid="{40A7EE49-243D-46B9-B876-EC38D469A44F}">
      <text>
        <r>
          <rPr>
            <b/>
            <sz val="9"/>
            <color indexed="81"/>
            <rFont val="Tahoma"/>
            <charset val="1"/>
          </rPr>
          <t>Anders Sundsdal:</t>
        </r>
        <r>
          <rPr>
            <sz val="9"/>
            <color indexed="81"/>
            <rFont val="Tahoma"/>
            <charset val="1"/>
          </rPr>
          <t xml:space="preserve">
Changed from na to 1</t>
        </r>
      </text>
    </comment>
    <comment ref="B75" authorId="0" shapeId="0" xr:uid="{5C4389D9-7C76-4E7F-956A-A07BDCA9BE6B}">
      <text>
        <r>
          <rPr>
            <b/>
            <sz val="9"/>
            <color indexed="81"/>
            <rFont val="Tahoma"/>
            <family val="2"/>
          </rPr>
          <t>Anders Sundsdal:</t>
        </r>
        <r>
          <rPr>
            <sz val="9"/>
            <color indexed="81"/>
            <rFont val="Tahoma"/>
            <family val="2"/>
          </rPr>
          <t xml:space="preserve">
Added later</t>
        </r>
      </text>
    </comment>
    <comment ref="A8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A94"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A97" authorId="0" shapeId="0" xr:uid="{B1C7BE18-F3E7-4732-9F83-E882CBF9AB92}">
      <text>
        <r>
          <rPr>
            <b/>
            <sz val="9"/>
            <color indexed="81"/>
            <rFont val="Tahoma"/>
            <family val="2"/>
          </rPr>
          <t>Anders Sundsdal:</t>
        </r>
        <r>
          <rPr>
            <sz val="9"/>
            <color indexed="81"/>
            <rFont val="Tahoma"/>
            <family val="2"/>
          </rPr>
          <t xml:space="preserve">
Changed from G485 to G486</t>
        </r>
      </text>
    </comment>
    <comment ref="A100"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A105" authorId="0" shapeId="0" xr:uid="{F964D60D-D47E-4489-851A-BD2FB8DE7D97}">
      <text>
        <r>
          <rPr>
            <b/>
            <sz val="9"/>
            <color indexed="81"/>
            <rFont val="Tahoma"/>
            <family val="2"/>
          </rPr>
          <t>Anders Sundsdal:</t>
        </r>
        <r>
          <rPr>
            <sz val="9"/>
            <color indexed="81"/>
            <rFont val="Tahoma"/>
            <family val="2"/>
          </rPr>
          <t xml:space="preserve">
Changed from G349 to G499 since G349 is in the dry season and G499 is missing here. So most likely this code is now correct.</t>
        </r>
      </text>
    </comment>
    <comment ref="B105" authorId="0" shapeId="0" xr:uid="{4D36F463-8E1F-4CCF-BDC1-A9E97F33F2AF}">
      <text>
        <r>
          <rPr>
            <b/>
            <sz val="9"/>
            <color indexed="81"/>
            <rFont val="Tahoma"/>
            <family val="2"/>
          </rPr>
          <t>Anders Sundsdal:</t>
        </r>
        <r>
          <rPr>
            <sz val="9"/>
            <color indexed="81"/>
            <rFont val="Tahoma"/>
            <family val="2"/>
          </rPr>
          <t xml:space="preserve">
Added later to corresond to new code.</t>
        </r>
      </text>
    </comment>
    <comment ref="A114" authorId="0" shapeId="0" xr:uid="{B17B172E-CFEF-4FF4-AF33-2D65933789B3}">
      <text>
        <r>
          <rPr>
            <b/>
            <sz val="9"/>
            <color indexed="81"/>
            <rFont val="Tahoma"/>
            <charset val="1"/>
          </rPr>
          <t>Anders Sundsdal:</t>
        </r>
        <r>
          <rPr>
            <sz val="9"/>
            <color indexed="81"/>
            <rFont val="Tahoma"/>
            <charset val="1"/>
          </rPr>
          <t xml:space="preserve">
Changed from G569 to G509.</t>
        </r>
      </text>
    </comment>
    <comment ref="A118" authorId="0" shapeId="0" xr:uid="{952FA6E4-CD1E-414F-8D9E-94B34C4B81C7}">
      <text>
        <r>
          <rPr>
            <b/>
            <sz val="9"/>
            <color indexed="81"/>
            <rFont val="Tahoma"/>
            <charset val="1"/>
          </rPr>
          <t>Anders Sundsdal:</t>
        </r>
        <r>
          <rPr>
            <sz val="9"/>
            <color indexed="81"/>
            <rFont val="Tahoma"/>
            <charset val="1"/>
          </rPr>
          <t xml:space="preserve">
Changed fro G154 to G514 as it now corresponds to the collection sheet. G154 is not in collection sheet.</t>
        </r>
      </text>
    </comment>
    <comment ref="B132" authorId="0" shapeId="0" xr:uid="{370B2259-CB90-4F58-B472-1BBF1BC2EAB5}">
      <text>
        <r>
          <rPr>
            <b/>
            <sz val="9"/>
            <color indexed="81"/>
            <rFont val="Tahoma"/>
            <charset val="1"/>
          </rPr>
          <t>Anders Sundsdal:</t>
        </r>
        <r>
          <rPr>
            <sz val="9"/>
            <color indexed="81"/>
            <rFont val="Tahoma"/>
            <charset val="1"/>
          </rPr>
          <t xml:space="preserve">
Changed from na to 4</t>
        </r>
      </text>
    </comment>
    <comment ref="A133"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3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D139"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42" authorId="0" shapeId="0" xr:uid="{3616EF11-9B84-4038-8F68-B5AD2F992AD9}">
      <text>
        <r>
          <rPr>
            <b/>
            <sz val="9"/>
            <color indexed="81"/>
            <rFont val="Tahoma"/>
            <family val="2"/>
          </rPr>
          <t>Anders Sundsdal:</t>
        </r>
        <r>
          <rPr>
            <sz val="9"/>
            <color indexed="81"/>
            <rFont val="Tahoma"/>
            <family val="2"/>
          </rPr>
          <t xml:space="preserve">
Change from 18 to 186? Then it corresponds with the collection sheet. UPDATE: Have checked bag 18: No corresponding teabags inside.</t>
        </r>
      </text>
    </comment>
    <comment ref="A151"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D151"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A152" authorId="0" shapeId="0" xr:uid="{52966409-D6D5-4B4D-AC8D-193917F660D4}">
      <text>
        <r>
          <rPr>
            <b/>
            <sz val="9"/>
            <color indexed="81"/>
            <rFont val="Tahoma"/>
            <charset val="1"/>
          </rPr>
          <t>Anders Sundsdal:</t>
        </r>
        <r>
          <rPr>
            <sz val="9"/>
            <color indexed="81"/>
            <rFont val="Tahoma"/>
            <charset val="1"/>
          </rPr>
          <t xml:space="preserve">
Changed from G356 to G556.</t>
        </r>
      </text>
    </comment>
    <comment ref="A15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164"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B166"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A168"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18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G185"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A190" authorId="0" shapeId="0" xr:uid="{ED74DB26-EE19-44D6-8F72-B7100D6D3189}">
      <text>
        <r>
          <rPr>
            <b/>
            <sz val="9"/>
            <color indexed="81"/>
            <rFont val="Tahoma"/>
            <charset val="1"/>
          </rPr>
          <t>Anders Sundsdal:</t>
        </r>
        <r>
          <rPr>
            <sz val="9"/>
            <color indexed="81"/>
            <rFont val="Tahoma"/>
            <charset val="1"/>
          </rPr>
          <t xml:space="preserve">
Changed from R608 to G608 since the code is in dry season and that this plot missing a green bag. Corresponds to ashed and collection wet sheet.</t>
        </r>
      </text>
    </comment>
    <comment ref="B190"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196" authorId="0" shapeId="0" xr:uid="{15256623-7CE5-4AF5-9E56-3EDF189B18B8}">
      <text>
        <r>
          <rPr>
            <b/>
            <sz val="9"/>
            <color indexed="81"/>
            <rFont val="Tahoma"/>
            <charset val="1"/>
          </rPr>
          <t>Anders Sundsdal:</t>
        </r>
        <r>
          <rPr>
            <sz val="9"/>
            <color indexed="81"/>
            <rFont val="Tahoma"/>
            <charset val="1"/>
          </rPr>
          <t xml:space="preserve">
Changed from R615 to G615 since this plot had only one red bag and that it now coresponds to the collection sheet. It can't be R615 since its in the dry season.</t>
        </r>
      </text>
    </comment>
    <comment ref="B196" authorId="0" shapeId="0" xr:uid="{DA617FB9-1941-4DF3-A0B7-7406162E40E9}">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A197"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A203" authorId="0" shapeId="0" xr:uid="{AD0ED631-7973-46E7-98A5-FEF139AF70C8}">
      <text>
        <r>
          <rPr>
            <b/>
            <sz val="9"/>
            <color indexed="81"/>
            <rFont val="Tahoma"/>
            <charset val="1"/>
          </rPr>
          <t>Anders Sundsdal:</t>
        </r>
        <r>
          <rPr>
            <sz val="9"/>
            <color indexed="81"/>
            <rFont val="Tahoma"/>
            <charset val="1"/>
          </rPr>
          <t xml:space="preserve">
Changed from R626 (it was in the dry season) to G626. It now corresponds to collection sheet and there was too many R bags in this sheet for this plot.</t>
        </r>
      </text>
    </comment>
    <comment ref="B204" authorId="0" shapeId="0" xr:uid="{28FA5690-BA91-4E8A-897E-F7FAE3C8190B}">
      <text>
        <r>
          <rPr>
            <b/>
            <sz val="9"/>
            <color indexed="81"/>
            <rFont val="Tahoma"/>
            <charset val="1"/>
          </rPr>
          <t>Anders Sundsdal:</t>
        </r>
        <r>
          <rPr>
            <sz val="9"/>
            <color indexed="81"/>
            <rFont val="Tahoma"/>
            <charset val="1"/>
          </rPr>
          <t xml:space="preserve">
Changed from na to 72</t>
        </r>
      </text>
    </comment>
    <comment ref="A210" authorId="0" shapeId="0" xr:uid="{1D4E0875-A442-4D6F-AC78-0E037BAAA260}">
      <text>
        <r>
          <rPr>
            <b/>
            <sz val="9"/>
            <color indexed="81"/>
            <rFont val="Tahoma"/>
            <family val="2"/>
          </rPr>
          <t>Anders Sundsdal:</t>
        </r>
        <r>
          <rPr>
            <sz val="9"/>
            <color indexed="81"/>
            <rFont val="Tahoma"/>
            <family val="2"/>
          </rPr>
          <t xml:space="preserve">
Corr. From G537 to G637</t>
        </r>
      </text>
    </comment>
    <comment ref="A224"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A236"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264" authorId="0" shapeId="0" xr:uid="{38E27E66-EB51-4C8F-8B0C-D3CC68891B1C}">
      <text>
        <r>
          <rPr>
            <b/>
            <sz val="9"/>
            <color indexed="81"/>
            <rFont val="Tahoma"/>
            <family val="2"/>
          </rPr>
          <t>Anders Sundsdal:</t>
        </r>
        <r>
          <rPr>
            <sz val="9"/>
            <color indexed="81"/>
            <rFont val="Tahoma"/>
            <family val="2"/>
          </rPr>
          <t xml:space="preserve">
Changed from 37 to 38</t>
        </r>
      </text>
    </comment>
    <comment ref="B267" authorId="0" shapeId="0" xr:uid="{23DF0AFF-E81B-4314-86DE-F1613A20B66F}">
      <text>
        <r>
          <rPr>
            <b/>
            <sz val="9"/>
            <color indexed="81"/>
            <rFont val="Tahoma"/>
            <charset val="1"/>
          </rPr>
          <t>Anders Sundsdal:</t>
        </r>
        <r>
          <rPr>
            <sz val="9"/>
            <color indexed="81"/>
            <rFont val="Tahoma"/>
            <charset val="1"/>
          </rPr>
          <t xml:space="preserve">
Added later</t>
        </r>
      </text>
    </comment>
    <comment ref="B272" authorId="0" shapeId="0" xr:uid="{A2B74F45-5AD5-46DF-ABC6-5F1F56C1DF0D}">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274"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A279"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A285"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289" authorId="0" shapeId="0" xr:uid="{0A6A7924-68B3-465F-8E9D-972ED3DEBE81}">
      <text>
        <r>
          <rPr>
            <b/>
            <sz val="9"/>
            <color indexed="81"/>
            <rFont val="Tahoma"/>
            <family val="2"/>
          </rPr>
          <t>Anders Sundsdal:</t>
        </r>
        <r>
          <rPr>
            <sz val="9"/>
            <color indexed="81"/>
            <rFont val="Tahoma"/>
            <family val="2"/>
          </rPr>
          <t xml:space="preserve">
Plot 106 most likely</t>
        </r>
      </text>
    </comment>
    <comment ref="B300" authorId="0" shapeId="0" xr:uid="{390A1031-6607-42E9-81FA-46AB81F0359E}">
      <text>
        <r>
          <rPr>
            <b/>
            <sz val="9"/>
            <color indexed="81"/>
            <rFont val="Tahoma"/>
            <charset val="1"/>
          </rPr>
          <t>Anders Sundsdal:</t>
        </r>
        <r>
          <rPr>
            <sz val="9"/>
            <color indexed="81"/>
            <rFont val="Tahoma"/>
            <charset val="1"/>
          </rPr>
          <t xml:space="preserve">
Changed from na to 1</t>
        </r>
      </text>
    </comment>
    <comment ref="B306" authorId="0" shapeId="0" xr:uid="{76C34040-5034-4478-8024-C1476983555D}">
      <text>
        <r>
          <rPr>
            <b/>
            <sz val="9"/>
            <color indexed="81"/>
            <rFont val="Tahoma"/>
            <charset val="1"/>
          </rPr>
          <t>Anders Sundsdal:</t>
        </r>
        <r>
          <rPr>
            <sz val="9"/>
            <color indexed="81"/>
            <rFont val="Tahoma"/>
            <charset val="1"/>
          </rPr>
          <t xml:space="preserve">
Changed from na to 66</t>
        </r>
      </text>
    </comment>
    <comment ref="A309" authorId="0" shapeId="0" xr:uid="{46883683-9479-4537-A2D1-439B0352F6B3}">
      <text>
        <r>
          <rPr>
            <b/>
            <sz val="9"/>
            <color indexed="81"/>
            <rFont val="Tahoma"/>
            <charset val="1"/>
          </rPr>
          <t>Anders Sundsdal:</t>
        </r>
        <r>
          <rPr>
            <sz val="9"/>
            <color indexed="81"/>
            <rFont val="Tahoma"/>
            <charset val="1"/>
          </rPr>
          <t xml:space="preserve">
Changed from R763 (it is in the dry season) to G763. Now it corresonds to collection sheet and to correct number of each type in this plot in this sheet.</t>
        </r>
      </text>
    </comment>
    <comment ref="A318"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24" authorId="0" shapeId="0" xr:uid="{B945EFF7-BDD5-4241-AEE4-5D371FEA2657}">
      <text>
        <r>
          <rPr>
            <b/>
            <sz val="9"/>
            <color indexed="81"/>
            <rFont val="Tahoma"/>
            <charset val="1"/>
          </rPr>
          <t>Anders Sundsdal:</t>
        </r>
        <r>
          <rPr>
            <sz val="9"/>
            <color indexed="81"/>
            <rFont val="Tahoma"/>
            <charset val="1"/>
          </rPr>
          <t xml:space="preserve">
Added later</t>
        </r>
      </text>
    </comment>
    <comment ref="A329" authorId="0" shapeId="0" xr:uid="{18D49196-A49E-4162-833A-806F527E76FC}">
      <text>
        <r>
          <rPr>
            <b/>
            <sz val="9"/>
            <color indexed="81"/>
            <rFont val="Tahoma"/>
            <family val="2"/>
          </rPr>
          <t>Anders Sundsdal:</t>
        </r>
        <r>
          <rPr>
            <sz val="9"/>
            <color indexed="81"/>
            <rFont val="Tahoma"/>
            <family val="2"/>
          </rPr>
          <t xml:space="preserve">
Corr. From G787 to G789</t>
        </r>
      </text>
    </comment>
    <comment ref="A330"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A334" authorId="0" shapeId="0" xr:uid="{5AF1FFF2-BC0E-42A8-875A-36E12A7C60E8}">
      <text>
        <r>
          <rPr>
            <b/>
            <sz val="9"/>
            <color indexed="81"/>
            <rFont val="Tahoma"/>
            <family val="2"/>
          </rPr>
          <t>Anders Sundsdal:</t>
        </r>
        <r>
          <rPr>
            <sz val="9"/>
            <color indexed="81"/>
            <rFont val="Tahoma"/>
            <family val="2"/>
          </rPr>
          <t xml:space="preserve">
Corr. From G718 to G798</t>
        </r>
      </text>
    </comment>
    <comment ref="A339"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343" authorId="0" shapeId="0" xr:uid="{BC276DA7-4BBF-4260-9069-8332B00351C5}">
      <text>
        <r>
          <rPr>
            <b/>
            <sz val="9"/>
            <color indexed="81"/>
            <rFont val="Tahoma"/>
            <charset val="1"/>
          </rPr>
          <t>Anders Sundsdal:</t>
        </r>
        <r>
          <rPr>
            <sz val="9"/>
            <color indexed="81"/>
            <rFont val="Tahoma"/>
            <charset val="1"/>
          </rPr>
          <t xml:space="preserve">
changed from na to 148</t>
        </r>
      </text>
    </comment>
    <comment ref="A347"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347" authorId="0" shapeId="0" xr:uid="{4123E9C2-519A-45CF-ACFC-749CA9AB5AA4}">
      <text>
        <r>
          <rPr>
            <b/>
            <sz val="9"/>
            <color indexed="81"/>
            <rFont val="Tahoma"/>
            <charset val="1"/>
          </rPr>
          <t>Anders Sundsdal:</t>
        </r>
        <r>
          <rPr>
            <sz val="9"/>
            <color indexed="81"/>
            <rFont val="Tahoma"/>
            <charset val="1"/>
          </rPr>
          <t xml:space="preserve">
Added later</t>
        </r>
      </text>
    </comment>
    <comment ref="B348" authorId="0" shapeId="0" xr:uid="{0FB5E4DB-9435-4C83-875A-508A4C358603}">
      <text>
        <r>
          <rPr>
            <b/>
            <sz val="9"/>
            <color indexed="81"/>
            <rFont val="Tahoma"/>
            <charset val="1"/>
          </rPr>
          <t>Anders Sundsdal:</t>
        </r>
        <r>
          <rPr>
            <sz val="9"/>
            <color indexed="81"/>
            <rFont val="Tahoma"/>
            <charset val="1"/>
          </rPr>
          <t xml:space="preserve">
Added later</t>
        </r>
      </text>
    </comment>
    <comment ref="A361" authorId="0" shapeId="0" xr:uid="{FA48D6E1-5910-42EA-8C60-537D38425C19}">
      <text>
        <r>
          <rPr>
            <b/>
            <sz val="9"/>
            <color indexed="81"/>
            <rFont val="Tahoma"/>
            <charset val="1"/>
          </rPr>
          <t>Anders Sundsdal:</t>
        </r>
        <r>
          <rPr>
            <sz val="9"/>
            <color indexed="81"/>
            <rFont val="Tahoma"/>
            <charset val="1"/>
          </rPr>
          <t xml:space="preserve">
Changed from G824 to G827 as it now corresponds to collectionsheet.</t>
        </r>
      </text>
    </comment>
    <comment ref="A362"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A364" authorId="0" shapeId="0" xr:uid="{7C132205-919C-4590-94FC-3B7C41D3CA15}">
      <text>
        <r>
          <rPr>
            <b/>
            <sz val="9"/>
            <color indexed="81"/>
            <rFont val="Tahoma"/>
            <charset val="1"/>
          </rPr>
          <t>Anders Sundsdal:</t>
        </r>
        <r>
          <rPr>
            <sz val="9"/>
            <color indexed="81"/>
            <rFont val="Tahoma"/>
            <charset val="1"/>
          </rPr>
          <t xml:space="preserve">
Change from G381 to G831</t>
        </r>
      </text>
    </comment>
    <comment ref="A36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A368"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368" authorId="0" shapeId="0" xr:uid="{00448A46-C89E-4FCA-A7BA-9F85C8B83509}">
      <text>
        <r>
          <rPr>
            <b/>
            <sz val="9"/>
            <color indexed="81"/>
            <rFont val="Tahoma"/>
            <charset val="1"/>
          </rPr>
          <t>Anders Sundsdal:</t>
        </r>
        <r>
          <rPr>
            <sz val="9"/>
            <color indexed="81"/>
            <rFont val="Tahoma"/>
            <charset val="1"/>
          </rPr>
          <t xml:space="preserve">
Changed from na to 148</t>
        </r>
      </text>
    </comment>
    <comment ref="A370"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B370" authorId="0" shapeId="0" xr:uid="{89DC1B1E-9E97-4E75-A5B8-011708BC6334}">
      <text>
        <r>
          <rPr>
            <b/>
            <sz val="9"/>
            <color indexed="81"/>
            <rFont val="Tahoma"/>
            <family val="2"/>
          </rPr>
          <t>Anders Sundsdal:</t>
        </r>
        <r>
          <rPr>
            <sz val="9"/>
            <color indexed="81"/>
            <rFont val="Tahoma"/>
            <family val="2"/>
          </rPr>
          <t xml:space="preserve">
Plot 106 most likely</t>
        </r>
      </text>
    </comment>
    <comment ref="A375" authorId="0" shapeId="0" xr:uid="{7F25DF4C-4F33-42B2-A982-5F227805FD58}">
      <text>
        <r>
          <rPr>
            <b/>
            <sz val="9"/>
            <color indexed="81"/>
            <rFont val="Tahoma"/>
            <charset val="1"/>
          </rPr>
          <t>Anders Sundsdal:</t>
        </r>
        <r>
          <rPr>
            <sz val="9"/>
            <color indexed="81"/>
            <rFont val="Tahoma"/>
            <charset val="1"/>
          </rPr>
          <t xml:space="preserve">
Changed from G482 to G842</t>
        </r>
      </text>
    </comment>
    <comment ref="A376"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A380" authorId="0" shapeId="0" xr:uid="{B2C0AB04-B758-4E91-A101-B1040E816E54}">
      <text>
        <r>
          <rPr>
            <b/>
            <sz val="9"/>
            <color indexed="81"/>
            <rFont val="Tahoma"/>
            <charset val="1"/>
          </rPr>
          <t>Anders Sundsdal:</t>
        </r>
        <r>
          <rPr>
            <sz val="9"/>
            <color indexed="81"/>
            <rFont val="Tahoma"/>
            <charset val="1"/>
          </rPr>
          <t xml:space="preserve">
Changed from G85 to G850</t>
        </r>
      </text>
    </comment>
    <comment ref="A381"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390" authorId="0" shapeId="0" xr:uid="{D9A1E476-B8CA-4DD3-8FF5-675E0CB67753}">
      <text>
        <r>
          <rPr>
            <b/>
            <sz val="9"/>
            <color indexed="81"/>
            <rFont val="Tahoma"/>
            <charset val="1"/>
          </rPr>
          <t>Anders Sundsdal:</t>
        </r>
        <r>
          <rPr>
            <sz val="9"/>
            <color indexed="81"/>
            <rFont val="Tahoma"/>
            <charset val="1"/>
          </rPr>
          <t xml:space="preserve">
Changed from na to 25</t>
        </r>
      </text>
    </comment>
    <comment ref="A392" authorId="0" shapeId="0" xr:uid="{777C2B3B-901D-4BBA-8735-EE873DAED722}">
      <text>
        <r>
          <rPr>
            <b/>
            <sz val="9"/>
            <color indexed="81"/>
            <rFont val="Tahoma"/>
            <charset val="1"/>
          </rPr>
          <t>Anders Sundsdal:</t>
        </r>
        <r>
          <rPr>
            <sz val="9"/>
            <color indexed="81"/>
            <rFont val="Tahoma"/>
            <charset val="1"/>
          </rPr>
          <t xml:space="preserve">
Changed from G862 to G867.</t>
        </r>
      </text>
    </comment>
    <comment ref="A42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27" authorId="0" shapeId="0" xr:uid="{03AE7389-6465-49BF-A6FD-F5048AADAF3C}">
      <text>
        <r>
          <rPr>
            <b/>
            <sz val="9"/>
            <color indexed="81"/>
            <rFont val="Tahoma"/>
            <charset val="1"/>
          </rPr>
          <t>Anders Sundsdal:</t>
        </r>
        <r>
          <rPr>
            <sz val="9"/>
            <color indexed="81"/>
            <rFont val="Tahoma"/>
            <charset val="1"/>
          </rPr>
          <t xml:space="preserve">
Changed from na to 25</t>
        </r>
      </text>
    </comment>
    <comment ref="B433"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B436" authorId="0" shapeId="0" xr:uid="{BF611820-640D-4C5D-9AA2-EC486F591758}">
      <text>
        <r>
          <rPr>
            <b/>
            <sz val="9"/>
            <color indexed="81"/>
            <rFont val="Tahoma"/>
            <charset val="1"/>
          </rPr>
          <t>Anders Sundsdal:</t>
        </r>
        <r>
          <rPr>
            <sz val="9"/>
            <color indexed="81"/>
            <rFont val="Tahoma"/>
            <charset val="1"/>
          </rPr>
          <t xml:space="preserve">
Changed from na to 4</t>
        </r>
      </text>
    </comment>
    <comment ref="A442"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A447"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450" authorId="0" shapeId="0" xr:uid="{CBC6FADC-3162-4A82-AE07-DE438346C742}">
      <text>
        <r>
          <rPr>
            <b/>
            <sz val="9"/>
            <color indexed="81"/>
            <rFont val="Tahoma"/>
            <charset val="1"/>
          </rPr>
          <t>Anders Sundsdal:</t>
        </r>
        <r>
          <rPr>
            <sz val="9"/>
            <color indexed="81"/>
            <rFont val="Tahoma"/>
            <charset val="1"/>
          </rPr>
          <t xml:space="preserve">
Changed from na to 1</t>
        </r>
      </text>
    </comment>
    <comment ref="A455"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B457" authorId="0" shapeId="0" xr:uid="{5E868702-3496-4080-B05E-28399B185637}">
      <text>
        <r>
          <rPr>
            <b/>
            <sz val="9"/>
            <color indexed="81"/>
            <rFont val="Tahoma"/>
            <charset val="1"/>
          </rPr>
          <t>Anders Sundsdal:</t>
        </r>
        <r>
          <rPr>
            <sz val="9"/>
            <color indexed="81"/>
            <rFont val="Tahoma"/>
            <charset val="1"/>
          </rPr>
          <t xml:space="preserve">
Changed from na to 72</t>
        </r>
      </text>
    </comment>
    <comment ref="B461" authorId="0" shapeId="0" xr:uid="{9BD407AF-3AEF-4792-9C17-B8EB82C716E1}">
      <text>
        <r>
          <rPr>
            <b/>
            <sz val="9"/>
            <color indexed="81"/>
            <rFont val="Tahoma"/>
            <charset val="1"/>
          </rPr>
          <t>Anders Sundsdal:</t>
        </r>
        <r>
          <rPr>
            <sz val="9"/>
            <color indexed="81"/>
            <rFont val="Tahoma"/>
            <charset val="1"/>
          </rPr>
          <t xml:space="preserve">
Added later</t>
        </r>
      </text>
    </comment>
    <comment ref="B464" authorId="0" shapeId="0" xr:uid="{E612D8D1-92A9-438E-8E50-2D6190B9BDBB}">
      <text>
        <r>
          <rPr>
            <b/>
            <sz val="9"/>
            <color indexed="81"/>
            <rFont val="Tahoma"/>
            <family val="2"/>
          </rPr>
          <t>Anders Sundsdal:</t>
        </r>
        <r>
          <rPr>
            <sz val="9"/>
            <color indexed="81"/>
            <rFont val="Tahoma"/>
            <family val="2"/>
          </rPr>
          <t xml:space="preserve">
Added later</t>
        </r>
      </text>
    </comment>
    <comment ref="B466"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B468" authorId="0" shapeId="0" xr:uid="{33452D43-34A7-414C-9BBE-2D51A6DC5B9B}">
      <text>
        <r>
          <rPr>
            <b/>
            <sz val="9"/>
            <color indexed="81"/>
            <rFont val="Tahoma"/>
            <charset val="1"/>
          </rPr>
          <t>Anders Sundsdal:</t>
        </r>
        <r>
          <rPr>
            <sz val="9"/>
            <color indexed="81"/>
            <rFont val="Tahoma"/>
            <charset val="1"/>
          </rPr>
          <t xml:space="preserve">
Changed from na to 66</t>
        </r>
      </text>
    </comment>
    <comment ref="B481" authorId="0" shapeId="0" xr:uid="{EEAF222B-1EB8-4F58-97D4-C8A4B5B7F461}">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484" authorId="0" shapeId="0" xr:uid="{D347BD48-67B6-4DBA-BDC7-729FC9A91530}">
      <text>
        <r>
          <rPr>
            <b/>
            <sz val="9"/>
            <color indexed="81"/>
            <rFont val="Tahoma"/>
            <charset val="1"/>
          </rPr>
          <t>Anders Sundsdal:</t>
        </r>
        <r>
          <rPr>
            <sz val="9"/>
            <color indexed="81"/>
            <rFont val="Tahoma"/>
            <charset val="1"/>
          </rPr>
          <t xml:space="preserve">
Changed from na to 1</t>
        </r>
      </text>
    </comment>
    <comment ref="B491"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493"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500" authorId="0" shapeId="0" xr:uid="{34F8805D-C225-453D-B345-527A0838955D}">
      <text>
        <r>
          <rPr>
            <b/>
            <sz val="9"/>
            <color indexed="81"/>
            <rFont val="Tahoma"/>
            <charset val="1"/>
          </rPr>
          <t>Anders Sundsdal:</t>
        </r>
        <r>
          <rPr>
            <sz val="9"/>
            <color indexed="81"/>
            <rFont val="Tahoma"/>
            <charset val="1"/>
          </rPr>
          <t xml:space="preserve">
Changed from na to 148</t>
        </r>
      </text>
    </comment>
    <comment ref="B506" authorId="0" shapeId="0" xr:uid="{E855B8AF-73F2-4235-9AD0-0068D91D7942}">
      <text>
        <r>
          <rPr>
            <b/>
            <sz val="9"/>
            <color indexed="81"/>
            <rFont val="Tahoma"/>
            <charset val="1"/>
          </rPr>
          <t>Anders Sundsdal:</t>
        </r>
        <r>
          <rPr>
            <sz val="9"/>
            <color indexed="81"/>
            <rFont val="Tahoma"/>
            <charset val="1"/>
          </rPr>
          <t xml:space="preserve">
Added later</t>
        </r>
      </text>
    </comment>
    <comment ref="B520" authorId="0" shapeId="0" xr:uid="{96E172AB-8C25-47C2-B275-CBB72C39C23A}">
      <text>
        <r>
          <rPr>
            <b/>
            <sz val="9"/>
            <color indexed="81"/>
            <rFont val="Tahoma"/>
            <charset val="1"/>
          </rPr>
          <t>Anders Sundsdal:</t>
        </r>
        <r>
          <rPr>
            <sz val="9"/>
            <color indexed="81"/>
            <rFont val="Tahoma"/>
            <charset val="1"/>
          </rPr>
          <t xml:space="preserve">
Changed from na to 66</t>
        </r>
      </text>
    </comment>
    <comment ref="B523"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B531" authorId="0" shapeId="0" xr:uid="{526E1162-73AA-421D-ABF3-64FB68199FB9}">
      <text>
        <r>
          <rPr>
            <b/>
            <sz val="9"/>
            <color indexed="81"/>
            <rFont val="Tahoma"/>
            <charset val="1"/>
          </rPr>
          <t>Anders Sundsdal:</t>
        </r>
        <r>
          <rPr>
            <sz val="9"/>
            <color indexed="81"/>
            <rFont val="Tahoma"/>
            <charset val="1"/>
          </rPr>
          <t xml:space="preserve">
Added later</t>
        </r>
      </text>
    </comment>
    <comment ref="B543" authorId="0" shapeId="0" xr:uid="{8E0CECEE-EAAA-4CB1-B829-AE6E0BFB3F54}">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551" authorId="0" shapeId="0" xr:uid="{4291BCB9-2C50-4A28-ABD0-F235BB76221A}">
      <text>
        <r>
          <rPr>
            <b/>
            <sz val="9"/>
            <color indexed="81"/>
            <rFont val="Tahoma"/>
            <charset val="1"/>
          </rPr>
          <t>Anders Sundsdal:</t>
        </r>
        <r>
          <rPr>
            <sz val="9"/>
            <color indexed="81"/>
            <rFont val="Tahoma"/>
            <charset val="1"/>
          </rPr>
          <t xml:space="preserve">
Added later</t>
        </r>
      </text>
    </comment>
    <comment ref="A611"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B615" authorId="0" shapeId="0" xr:uid="{E0B3F95F-780F-4D88-997A-7EE9E8B0B9B4}">
      <text>
        <r>
          <rPr>
            <b/>
            <sz val="9"/>
            <color indexed="81"/>
            <rFont val="Tahoma"/>
            <charset val="1"/>
          </rPr>
          <t>Anders Sundsdal:</t>
        </r>
        <r>
          <rPr>
            <sz val="9"/>
            <color indexed="81"/>
            <rFont val="Tahoma"/>
            <charset val="1"/>
          </rPr>
          <t xml:space="preserve">
Added later</t>
        </r>
      </text>
    </comment>
    <comment ref="A66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A669"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681" authorId="0" shapeId="0" xr:uid="{F8C00DF5-04DE-459C-AE56-96B62E14CB51}">
      <text>
        <r>
          <rPr>
            <b/>
            <sz val="9"/>
            <color indexed="81"/>
            <rFont val="Tahoma"/>
            <charset val="1"/>
          </rPr>
          <t>Anders Sundsdal:</t>
        </r>
        <r>
          <rPr>
            <sz val="9"/>
            <color indexed="81"/>
            <rFont val="Tahoma"/>
            <charset val="1"/>
          </rPr>
          <t xml:space="preserve">
Changed from na to 148</t>
        </r>
      </text>
    </comment>
    <comment ref="A686"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 ref="A694" authorId="0" shapeId="0" xr:uid="{D79A5FF3-879D-4373-9851-CD76C30F2F16}">
      <text>
        <r>
          <rPr>
            <b/>
            <sz val="9"/>
            <color indexed="81"/>
            <rFont val="Tahoma"/>
            <charset val="1"/>
          </rPr>
          <t>Anders Sundsdal:</t>
        </r>
        <r>
          <rPr>
            <sz val="9"/>
            <color indexed="81"/>
            <rFont val="Tahoma"/>
            <charset val="1"/>
          </rPr>
          <t xml:space="preserve">
Changed from R480 to R486 due to duplicate in this sheet and it now corrsponds to ashed and collection sheet.</t>
        </r>
      </text>
    </comment>
    <comment ref="A709"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B709"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A714"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744" authorId="0" shapeId="0" xr:uid="{33719FF1-2E45-404C-A903-ED47DAE95BDD}">
      <text>
        <r>
          <rPr>
            <b/>
            <sz val="9"/>
            <color indexed="81"/>
            <rFont val="Tahoma"/>
            <family val="2"/>
          </rPr>
          <t>Anders Sundsdal:</t>
        </r>
        <r>
          <rPr>
            <sz val="9"/>
            <color indexed="81"/>
            <rFont val="Tahoma"/>
            <family val="2"/>
          </rPr>
          <t xml:space="preserve">
plot 182?</t>
        </r>
      </text>
    </comment>
    <comment ref="A753" authorId="0" shapeId="0" xr:uid="{EFB8EF1D-B878-49B8-B795-1E89C65F2408}">
      <text>
        <r>
          <rPr>
            <b/>
            <sz val="9"/>
            <color indexed="81"/>
            <rFont val="Tahoma"/>
            <charset val="1"/>
          </rPr>
          <t>Anders Sundsdal:</t>
        </r>
        <r>
          <rPr>
            <sz val="9"/>
            <color indexed="81"/>
            <rFont val="Tahoma"/>
            <charset val="1"/>
          </rPr>
          <t xml:space="preserve">
Changed from R516 to R546, since R516 is in dry season (R546 is not) and G516 is already in this sheet. It now corresponds to collection sheet.</t>
        </r>
      </text>
    </comment>
    <comment ref="B753" authorId="0" shapeId="0" xr:uid="{1843C560-B19A-4BB9-9C0A-A853A01AAD6D}">
      <text>
        <r>
          <rPr>
            <b/>
            <sz val="9"/>
            <color indexed="81"/>
            <rFont val="Tahoma"/>
            <charset val="1"/>
          </rPr>
          <t>Anders Sundsdal:</t>
        </r>
        <r>
          <rPr>
            <sz val="9"/>
            <color indexed="81"/>
            <rFont val="Tahoma"/>
            <charset val="1"/>
          </rPr>
          <t xml:space="preserve">
Changed from na to 72</t>
        </r>
      </text>
    </comment>
    <comment ref="A757" authorId="0" shapeId="0" xr:uid="{4A532ADB-01F3-4D35-8DF2-C1A58DFC8A45}">
      <text>
        <r>
          <rPr>
            <b/>
            <sz val="9"/>
            <color indexed="81"/>
            <rFont val="Tahoma"/>
            <family val="2"/>
          </rPr>
          <t>Anders Sundsdal:</t>
        </r>
        <r>
          <rPr>
            <sz val="9"/>
            <color indexed="81"/>
            <rFont val="Tahoma"/>
            <family val="2"/>
          </rPr>
          <t xml:space="preserve">
Duplicate (There is 2 bags with this code). UPDATE: Changed from 54a to R54. The wrongly written teabags are probably a mistake when writing on the teabag when they were weighed initially.</t>
        </r>
      </text>
    </comment>
    <comment ref="C757"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A758" authorId="0" shapeId="0" xr:uid="{8ED9B794-F91D-4C78-A4B2-89AAA2EB4CCA}">
      <text>
        <r>
          <rPr>
            <b/>
            <sz val="9"/>
            <color indexed="81"/>
            <rFont val="Tahoma"/>
            <family val="2"/>
          </rPr>
          <t>Anders Sundsdal:</t>
        </r>
        <r>
          <rPr>
            <sz val="9"/>
            <color indexed="81"/>
            <rFont val="Tahoma"/>
            <family val="2"/>
          </rPr>
          <t xml:space="preserve">
Duplicate. Two teabags has the same code.UPDATE: Changed from 54b to R53. The wrongly written teabags are probably a mistake when writing on the teabag when they were weighed initially.</t>
        </r>
      </text>
    </comment>
    <comment ref="C758"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766"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774"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A782"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A784"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A787" authorId="0" shapeId="0" xr:uid="{F7E32FAB-F223-4B86-9A8B-1D171D437EB3}">
      <text>
        <r>
          <rPr>
            <b/>
            <sz val="9"/>
            <color indexed="81"/>
            <rFont val="Tahoma"/>
            <family val="2"/>
          </rPr>
          <t>Anders Sundsdal:</t>
        </r>
        <r>
          <rPr>
            <sz val="9"/>
            <color indexed="81"/>
            <rFont val="Tahoma"/>
            <family val="2"/>
          </rPr>
          <t xml:space="preserve">
Duplicate. Uncertain what code this could be. UPDATE: Changed From R578 to R576 since this was recorder in ashed wet and collection.</t>
        </r>
      </text>
    </comment>
    <comment ref="B787" authorId="0" shapeId="0" xr:uid="{A40DA89A-8197-4B51-9F73-B6A1FA0C5F24}">
      <text>
        <r>
          <rPr>
            <b/>
            <sz val="9"/>
            <color indexed="81"/>
            <rFont val="Tahoma"/>
            <charset val="1"/>
          </rPr>
          <t>Anders Sundsdal:</t>
        </r>
        <r>
          <rPr>
            <sz val="9"/>
            <color indexed="81"/>
            <rFont val="Tahoma"/>
            <charset val="1"/>
          </rPr>
          <t xml:space="preserve">
Changed from na to 97</t>
        </r>
      </text>
    </comment>
    <comment ref="A789"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A796"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802" authorId="0" shapeId="0" xr:uid="{8264AFC7-89B4-4A13-8847-7805301D21C0}">
      <text>
        <r>
          <rPr>
            <b/>
            <sz val="9"/>
            <color indexed="81"/>
            <rFont val="Tahoma"/>
            <family val="2"/>
          </rPr>
          <t>Anders Sundsdal:</t>
        </r>
        <r>
          <rPr>
            <sz val="9"/>
            <color indexed="81"/>
            <rFont val="Tahoma"/>
            <family val="2"/>
          </rPr>
          <t xml:space="preserve">
Plot 106 most likely</t>
        </r>
      </text>
    </comment>
    <comment ref="B805" authorId="0" shapeId="0" xr:uid="{01331946-0856-43D0-BE95-B3EFB0070C27}">
      <text>
        <r>
          <rPr>
            <b/>
            <sz val="9"/>
            <color indexed="81"/>
            <rFont val="Tahoma"/>
            <family val="2"/>
          </rPr>
          <t>Anders Sundsdal:</t>
        </r>
        <r>
          <rPr>
            <sz val="9"/>
            <color indexed="81"/>
            <rFont val="Tahoma"/>
            <family val="2"/>
          </rPr>
          <t xml:space="preserve">
Plot 106 most likely</t>
        </r>
      </text>
    </comment>
    <comment ref="B815" authorId="0" shapeId="0" xr:uid="{1EBC5177-E452-4E61-A152-098C0EDCC87B}">
      <text>
        <r>
          <rPr>
            <b/>
            <sz val="9"/>
            <color indexed="81"/>
            <rFont val="Tahoma"/>
            <family val="2"/>
          </rPr>
          <t>Anders Sundsdal:</t>
        </r>
        <r>
          <rPr>
            <sz val="9"/>
            <color indexed="81"/>
            <rFont val="Tahoma"/>
            <family val="2"/>
          </rPr>
          <t xml:space="preserve">
Added later</t>
        </r>
      </text>
    </comment>
    <comment ref="B821" authorId="0" shapeId="0" xr:uid="{BF612AE5-FA10-4612-8170-2FB9EC9503BF}">
      <text>
        <r>
          <rPr>
            <b/>
            <sz val="9"/>
            <color indexed="81"/>
            <rFont val="Tahoma"/>
            <charset val="1"/>
          </rPr>
          <t>Anders Sundsdal:</t>
        </r>
        <r>
          <rPr>
            <sz val="9"/>
            <color indexed="81"/>
            <rFont val="Tahoma"/>
            <charset val="1"/>
          </rPr>
          <t xml:space="preserve">
Added later</t>
        </r>
      </text>
    </comment>
    <comment ref="B834" authorId="0" shapeId="0" xr:uid="{466F9910-399A-4870-A78E-D7B7DFCE09D6}">
      <text>
        <r>
          <rPr>
            <b/>
            <sz val="9"/>
            <color indexed="81"/>
            <rFont val="Tahoma"/>
            <family val="2"/>
          </rPr>
          <t>Anders Sundsdal:</t>
        </r>
        <r>
          <rPr>
            <sz val="9"/>
            <color indexed="81"/>
            <rFont val="Tahoma"/>
            <family val="2"/>
          </rPr>
          <t xml:space="preserve">
Added later</t>
        </r>
      </text>
    </comment>
    <comment ref="B835"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510" authorId="0" shapeId="0" xr:uid="{74BFA3B5-D2AF-46D0-A9E3-0D2367D4810F}">
      <text>
        <r>
          <rPr>
            <b/>
            <sz val="9"/>
            <color indexed="81"/>
            <rFont val="Tahoma"/>
            <charset val="1"/>
          </rPr>
          <t>Anders Sundsdal:</t>
        </r>
        <r>
          <rPr>
            <sz val="9"/>
            <color indexed="81"/>
            <rFont val="Tahoma"/>
            <charset val="1"/>
          </rPr>
          <t xml:space="preserve">
Changed from R601 to R841 since this was a duplicate. Changed this number in all other sheets for dry season(including collection placement sheet for dry season)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9857D80-FB1B-4FD0-BD9D-3BCDFE167C91}">
      <text>
        <r>
          <rPr>
            <b/>
            <sz val="9"/>
            <color indexed="81"/>
            <rFont val="Tahoma"/>
            <family val="2"/>
          </rPr>
          <t>Anders Sundsdal:</t>
        </r>
        <r>
          <rPr>
            <sz val="9"/>
            <color indexed="81"/>
            <rFont val="Tahoma"/>
            <family val="2"/>
          </rPr>
          <t xml:space="preserve">
Finner ikke R54b i initial weight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A816C0E-DA43-465F-A974-173FEB66AEA9}">
      <text>
        <r>
          <rPr>
            <b/>
            <sz val="9"/>
            <color indexed="81"/>
            <rFont val="Tahoma"/>
            <family val="2"/>
          </rPr>
          <t>Anders Sundsdal:</t>
        </r>
        <r>
          <rPr>
            <sz val="9"/>
            <color indexed="81"/>
            <rFont val="Tahoma"/>
            <family val="2"/>
          </rPr>
          <t xml:space="preserve">
Finner ikke R54b i initial weight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8108A2CD-ABFD-43CE-9F51-C8E728B3BBE5}">
      <text>
        <r>
          <rPr>
            <b/>
            <sz val="9"/>
            <color indexed="81"/>
            <rFont val="Tahoma"/>
            <family val="2"/>
          </rPr>
          <t>Anders Sundsdal:</t>
        </r>
        <r>
          <rPr>
            <sz val="9"/>
            <color indexed="81"/>
            <rFont val="Tahoma"/>
            <family val="2"/>
          </rPr>
          <t xml:space="preserve">
Finner ikke R54b i initial weight</t>
        </r>
      </text>
    </comment>
    <comment ref="K405" authorId="0" shapeId="0" xr:uid="{79D8EFFC-EAA6-4134-9D54-56D2A2749273}">
      <text>
        <r>
          <rPr>
            <b/>
            <sz val="9"/>
            <color indexed="81"/>
            <rFont val="Tahoma"/>
            <family val="2"/>
          </rPr>
          <t>Anders Sundsdal:</t>
        </r>
        <r>
          <rPr>
            <sz val="9"/>
            <color indexed="81"/>
            <rFont val="Tahoma"/>
            <family val="2"/>
          </rPr>
          <t xml:space="preserve">
R54a ikke i initial weight arket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D92F788D-0498-4AA2-B741-D6428F6FC5B0}">
      <text>
        <r>
          <rPr>
            <b/>
            <sz val="9"/>
            <color indexed="81"/>
            <rFont val="Tahoma"/>
            <family val="2"/>
          </rPr>
          <t>Anders Sundsdal:</t>
        </r>
        <r>
          <rPr>
            <sz val="9"/>
            <color indexed="81"/>
            <rFont val="Tahoma"/>
            <family val="2"/>
          </rPr>
          <t xml:space="preserve">
Finner ikke R54b i initial weight</t>
        </r>
      </text>
    </comment>
    <comment ref="K405" authorId="0" shapeId="0" xr:uid="{6810FF8F-78ED-45BC-A3E5-391374467E5F}">
      <text>
        <r>
          <rPr>
            <b/>
            <sz val="9"/>
            <color indexed="81"/>
            <rFont val="Tahoma"/>
            <family val="2"/>
          </rPr>
          <t>Anders Sundsdal:</t>
        </r>
        <r>
          <rPr>
            <sz val="9"/>
            <color indexed="81"/>
            <rFont val="Tahoma"/>
            <family val="2"/>
          </rPr>
          <t xml:space="preserve">
R54a ikke i initial weight arket
</t>
        </r>
      </text>
    </comment>
  </commentList>
</comments>
</file>

<file path=xl/sharedStrings.xml><?xml version="1.0" encoding="utf-8"?>
<sst xmlns="http://schemas.openxmlformats.org/spreadsheetml/2006/main" count="43123" uniqueCount="3946">
  <si>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</si>
  <si>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</si>
  <si>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</si>
  <si>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</si>
  <si>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</si>
  <si>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</si>
  <si>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</si>
  <si>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</si>
  <si>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</si>
  <si>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</si>
  <si>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</si>
  <si>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</si>
  <si>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</si>
  <si>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</si>
  <si>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</si>
  <si>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</si>
  <si>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</si>
  <si>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</si>
  <si>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</si>
  <si>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</si>
  <si>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</si>
  <si>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</si>
  <si>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</si>
  <si>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</si>
  <si>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</si>
  <si>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</si>
  <si>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</si>
  <si>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</si>
  <si>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</si>
  <si>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</si>
  <si>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</si>
  <si>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</si>
  <si>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</si>
  <si>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</si>
  <si>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</si>
  <si>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</si>
  <si>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</si>
  <si>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</si>
  <si>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</si>
  <si>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</si>
  <si>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</si>
  <si>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</si>
  <si>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</si>
  <si>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</si>
  <si>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</si>
  <si>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</si>
  <si>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</si>
  <si>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</si>
  <si>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</si>
  <si>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</si>
  <si>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</si>
  <si>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</si>
  <si>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</si>
  <si>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</si>
  <si>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</si>
  <si>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</si>
  <si>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</si>
  <si>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</si>
  <si>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</si>
  <si>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</si>
  <si>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</si>
  <si>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</si>
  <si>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</si>
  <si>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</si>
  <si>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</si>
  <si>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</si>
  <si>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</si>
  <si>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</si>
  <si>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</si>
  <si>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</si>
  <si>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</si>
  <si>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</si>
  <si>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</si>
  <si>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</si>
  <si>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</si>
  <si>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</si>
  <si>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</si>
  <si>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</si>
  <si>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</si>
  <si>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</si>
  <si>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</si>
  <si>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</si>
  <si>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</si>
  <si>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</si>
  <si>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</si>
  <si>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</si>
  <si>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</si>
  <si>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</si>
  <si>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</si>
  <si>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</si>
  <si>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</si>
  <si>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</si>
  <si>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</si>
  <si>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</si>
  <si>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</si>
  <si>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</si>
  <si>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</si>
  <si>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</si>
  <si>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</si>
  <si>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</si>
  <si>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</si>
  <si>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</si>
  <si>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</si>
  <si>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</si>
  <si>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</si>
  <si>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</si>
  <si>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</si>
  <si>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</si>
  <si>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</si>
  <si>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</si>
  <si>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</si>
  <si>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</si>
  <si>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</si>
  <si>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</si>
  <si>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</si>
  <si>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</si>
  <si>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</si>
  <si>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</si>
  <si>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</si>
  <si>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</si>
  <si>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</si>
  <si>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</si>
  <si>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</si>
  <si>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</si>
  <si>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</si>
  <si>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</si>
  <si>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</si>
  <si>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</si>
  <si>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</si>
  <si>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</si>
  <si>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</si>
  <si>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</si>
  <si>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</si>
  <si>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</si>
  <si>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</si>
  <si>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</si>
  <si>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</si>
  <si>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</si>
  <si>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</si>
  <si>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</si>
  <si>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</si>
  <si>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</si>
  <si>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</si>
  <si>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</si>
  <si>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</si>
  <si>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</si>
  <si>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</si>
  <si>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</si>
  <si>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</si>
  <si>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</si>
  <si>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</si>
  <si>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</si>
  <si>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</si>
  <si>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</si>
  <si>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</si>
  <si>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</si>
  <si>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</si>
  <si>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</si>
  <si>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</si>
  <si>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</si>
  <si>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</si>
  <si>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</si>
  <si>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</si>
  <si>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</si>
  <si>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</si>
  <si>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</si>
  <si>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</si>
  <si>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</si>
  <si>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</si>
  <si>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</si>
  <si>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</si>
  <si>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</si>
  <si>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</si>
  <si>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</si>
  <si>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</si>
  <si>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</si>
  <si>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</si>
  <si>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</si>
  <si>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</si>
  <si>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</si>
  <si>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</si>
  <si>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</si>
  <si>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</si>
  <si>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</si>
  <si>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</si>
  <si>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</si>
  <si>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</si>
  <si>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</si>
  <si>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</si>
  <si>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</si>
  <si>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</si>
  <si>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</si>
  <si>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</si>
  <si>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</si>
  <si>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</si>
  <si>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</si>
  <si>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</si>
  <si>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</si>
  <si>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</si>
  <si>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</si>
  <si>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</si>
  <si>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</si>
  <si>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</si>
  <si>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</si>
  <si>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</si>
  <si>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</si>
  <si>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</si>
  <si>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</si>
  <si>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</si>
  <si>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</si>
  <si>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</si>
  <si>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</si>
  <si>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</si>
  <si>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</si>
  <si>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</si>
  <si>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</si>
  <si>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</si>
  <si>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</si>
  <si>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</si>
  <si>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</si>
  <si>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</si>
  <si>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</si>
  <si>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</si>
  <si>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</si>
  <si>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</si>
  <si>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</si>
  <si>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</si>
  <si>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</si>
  <si>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</si>
  <si>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</si>
  <si>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</si>
  <si>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</si>
  <si>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</si>
  <si>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</si>
  <si>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</si>
  <si>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</si>
  <si>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</si>
  <si>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</si>
  <si>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</si>
  <si>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</si>
  <si>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</si>
  <si>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</si>
  <si>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</si>
  <si>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</si>
  <si>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</si>
  <si>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</si>
  <si>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</si>
  <si>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</si>
  <si>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</si>
  <si>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</si>
  <si>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</si>
  <si>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</si>
  <si>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</si>
  <si>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</si>
  <si>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</si>
  <si>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</si>
  <si>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</si>
  <si>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</si>
  <si>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</si>
  <si>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</si>
  <si>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</si>
  <si>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</si>
  <si>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</si>
  <si>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</si>
  <si>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</si>
  <si>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</si>
  <si>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</si>
  <si>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</si>
  <si>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</si>
  <si>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</si>
  <si>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</si>
  <si>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</si>
  <si>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</si>
  <si>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</si>
  <si>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</si>
  <si>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</si>
  <si>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</si>
  <si>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</si>
  <si>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</si>
  <si>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</si>
  <si>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</si>
  <si>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</si>
  <si>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</si>
  <si>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</si>
  <si>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</si>
  <si>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</si>
  <si>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</si>
  <si>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</si>
  <si>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</si>
  <si>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</si>
  <si>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</si>
  <si>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</si>
  <si>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</si>
  <si>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</si>
  <si>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</si>
  <si>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</si>
  <si>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</si>
  <si>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</si>
  <si>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</si>
  <si>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</si>
  <si>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</si>
  <si>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</si>
  <si>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</si>
  <si>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</si>
  <si>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</si>
  <si>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</si>
  <si>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</si>
  <si>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</si>
  <si>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</si>
  <si>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</si>
  <si>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</si>
  <si>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</si>
  <si>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</si>
  <si>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</si>
  <si>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</si>
  <si>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</si>
  <si>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</si>
  <si>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</si>
  <si>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</si>
  <si>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</si>
  <si>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</si>
  <si>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</si>
  <si>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</si>
  <si>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</si>
  <si>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</si>
  <si>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</si>
  <si>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</si>
  <si>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</si>
  <si>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</si>
  <si>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</si>
  <si>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</si>
  <si>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</si>
  <si>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</si>
  <si>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</si>
  <si>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</si>
  <si>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</si>
  <si>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</si>
  <si>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</si>
  <si>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</si>
  <si>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</si>
  <si>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</si>
  <si>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</si>
  <si>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</si>
  <si>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</si>
  <si>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</si>
  <si>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</si>
  <si>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</si>
  <si>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</si>
  <si>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</si>
  <si>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</si>
  <si>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</si>
  <si>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</si>
  <si>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</si>
  <si>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</si>
  <si>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</si>
  <si>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</si>
  <si>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</si>
  <si>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</si>
  <si>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</si>
  <si>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</si>
  <si>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</si>
  <si>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</si>
  <si>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</si>
  <si>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</si>
  <si>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</si>
  <si>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</si>
  <si>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</si>
  <si>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</si>
  <si>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</si>
  <si>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</si>
  <si>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</si>
  <si>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</si>
  <si>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</si>
  <si>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</si>
  <si>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</si>
  <si>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</si>
  <si>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</si>
  <si>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</si>
  <si>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</si>
  <si>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</si>
  <si>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</si>
  <si>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</si>
  <si>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</si>
  <si>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</si>
  <si>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</si>
  <si>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</si>
  <si>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</si>
  <si>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</si>
  <si>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</si>
  <si>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</si>
  <si>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</si>
  <si>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</si>
  <si>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</si>
  <si>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</si>
  <si>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</si>
  <si>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</si>
  <si>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</si>
  <si>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</si>
  <si>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</si>
  <si>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</si>
  <si>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</si>
  <si>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</si>
  <si>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</si>
  <si>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</si>
  <si>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</si>
  <si>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</si>
  <si>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</si>
  <si>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</si>
  <si>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</si>
  <si>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</si>
  <si>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</si>
  <si>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</si>
  <si>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</si>
  <si>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</si>
  <si>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</si>
  <si>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</si>
  <si>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</si>
  <si>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</si>
  <si>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</si>
  <si>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</si>
  <si>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</si>
  <si>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</si>
  <si>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</si>
  <si>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</si>
  <si>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</si>
  <si>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</si>
  <si>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</si>
  <si>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</si>
  <si>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</si>
  <si>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</si>
  <si>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</si>
  <si>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</si>
  <si>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</si>
  <si>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</si>
  <si>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</si>
  <si>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</si>
  <si>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</si>
  <si>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</si>
  <si>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</si>
  <si>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</si>
  <si>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</si>
  <si>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</si>
  <si>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</si>
  <si>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</si>
  <si>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</si>
  <si>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</si>
  <si>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</si>
  <si>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</si>
  <si>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</si>
  <si>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</si>
  <si>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</si>
  <si>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</si>
  <si>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</si>
  <si>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</si>
  <si>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</si>
  <si>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</si>
  <si>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</si>
  <si>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</si>
  <si>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</si>
  <si>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</si>
  <si>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</si>
  <si>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</si>
  <si>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</si>
  <si>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</si>
  <si>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</si>
  <si>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</si>
  <si>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</si>
  <si>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</si>
  <si>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</si>
  <si>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</si>
  <si>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</si>
  <si>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</si>
  <si>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</si>
  <si>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</si>
  <si>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</si>
  <si>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</si>
  <si>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</si>
  <si>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</si>
  <si>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</si>
  <si>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</si>
  <si>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</si>
  <si>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</si>
  <si>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</si>
  <si>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</si>
  <si>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</si>
  <si>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</si>
  <si>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</si>
  <si>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</si>
  <si>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</si>
  <si>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</si>
  <si>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</si>
  <si>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</si>
  <si>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</si>
  <si>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</si>
  <si>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</si>
  <si>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</si>
  <si>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</si>
  <si>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</si>
  <si>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</si>
  <si>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</si>
  <si>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</si>
  <si>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</si>
  <si>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</si>
  <si>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</si>
  <si>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</si>
  <si>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</si>
  <si>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</si>
  <si>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</si>
  <si>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</si>
  <si>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</si>
  <si>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</si>
  <si>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</si>
  <si>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</si>
  <si>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</si>
  <si>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</si>
  <si>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</si>
  <si>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</si>
  <si>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</si>
  <si>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</si>
  <si>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</si>
  <si>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</si>
  <si>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</si>
  <si>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</si>
  <si>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</si>
  <si>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</si>
  <si>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</si>
  <si>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</si>
  <si>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</si>
  <si>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</si>
  <si>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</si>
  <si>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</si>
  <si>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</si>
  <si>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</si>
  <si>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</si>
  <si>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</si>
  <si>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</si>
  <si>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</si>
  <si>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</si>
  <si>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</si>
  <si>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</si>
  <si>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</si>
  <si>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</si>
  <si>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</si>
  <si>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</si>
  <si>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</si>
  <si>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</si>
  <si>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</si>
  <si>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</si>
  <si>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</si>
  <si>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</si>
  <si>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</si>
  <si>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</si>
  <si>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</si>
  <si>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</si>
  <si>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</si>
  <si>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</si>
  <si>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</si>
  <si>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</si>
  <si>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</si>
  <si>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</si>
  <si>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</si>
  <si>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</si>
  <si>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</si>
  <si>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</si>
  <si>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</si>
  <si>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</si>
  <si>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</si>
  <si>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</si>
  <si>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</si>
  <si>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</si>
  <si>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</si>
  <si>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</si>
  <si>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</si>
  <si>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</si>
  <si>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</si>
  <si>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</si>
  <si>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</si>
  <si>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</si>
  <si>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</si>
  <si>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</si>
  <si>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</si>
  <si>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</si>
  <si>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</si>
  <si>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</si>
  <si>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</si>
  <si>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</si>
  <si>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</si>
  <si>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</si>
  <si>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</si>
  <si>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</si>
  <si>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</si>
  <si>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</si>
  <si>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</si>
  <si>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</si>
  <si>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</si>
  <si>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</si>
  <si>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</si>
  <si>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</si>
  <si>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</si>
  <si>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</si>
  <si>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</si>
  <si>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</si>
  <si>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</si>
  <si>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</si>
  <si>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</si>
  <si>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</si>
  <si>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</si>
  <si>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</si>
  <si>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</si>
  <si>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</si>
  <si>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</si>
  <si>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</si>
  <si>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</si>
  <si>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</si>
  <si>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</si>
  <si>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</si>
  <si>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</si>
  <si>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</si>
  <si>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</si>
  <si>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</si>
  <si>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</si>
  <si>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</si>
  <si>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</si>
  <si>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</si>
  <si>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</si>
  <si>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</si>
  <si>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</si>
  <si>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</si>
  <si>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</si>
  <si>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</si>
  <si>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</si>
  <si>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</si>
  <si>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</si>
  <si>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</si>
  <si>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</si>
  <si>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</si>
  <si>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</si>
  <si>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</si>
  <si>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</si>
  <si>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</si>
  <si>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</si>
  <si>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</si>
  <si>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</si>
  <si>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</si>
  <si>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</si>
  <si>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</si>
  <si>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</si>
  <si>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</si>
  <si>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</si>
  <si>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</si>
  <si>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</si>
  <si>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</si>
  <si>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</si>
  <si>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</si>
  <si>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</si>
  <si>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</si>
  <si>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</si>
  <si>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</si>
  <si>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</si>
  <si>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</si>
  <si>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</si>
  <si>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</si>
  <si>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</si>
  <si>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</si>
  <si>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</si>
  <si>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</si>
  <si>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</si>
  <si>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</si>
  <si>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</si>
  <si>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</si>
  <si>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</si>
  <si>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</si>
  <si>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</si>
  <si>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</si>
  <si>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</si>
  <si>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</si>
  <si>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</si>
  <si>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</si>
  <si>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</si>
  <si>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</si>
  <si>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</si>
  <si>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</si>
  <si>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</si>
  <si>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</si>
  <si>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</si>
  <si>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</si>
  <si>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</si>
  <si>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</si>
  <si>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</si>
  <si>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</si>
  <si>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</si>
  <si>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</si>
  <si>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</si>
  <si>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</si>
  <si>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</si>
  <si>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</si>
  <si>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</si>
  <si>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</si>
  <si>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</si>
  <si>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</si>
  <si>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</si>
  <si>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</si>
  <si>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</si>
  <si>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</si>
  <si>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</si>
  <si>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</si>
  <si>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</si>
  <si>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</si>
  <si>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</si>
  <si>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</si>
  <si>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</si>
  <si>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</si>
  <si>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</si>
  <si>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</si>
  <si>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</si>
  <si>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</si>
  <si>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</si>
  <si>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</si>
  <si>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</si>
  <si>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</si>
  <si>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</si>
  <si>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</si>
  <si>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</si>
  <si>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</si>
  <si>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</si>
  <si>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</si>
  <si>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</si>
  <si>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</si>
  <si>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</si>
  <si>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</si>
  <si>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</si>
  <si>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</si>
  <si>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</si>
  <si>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</si>
  <si>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</si>
  <si>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</si>
  <si>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</si>
  <si>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</si>
  <si>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</si>
  <si>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</si>
  <si>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</si>
  <si>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</si>
  <si>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</si>
  <si>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</si>
  <si>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</si>
  <si>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</si>
  <si>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</si>
  <si>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</si>
  <si>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</si>
  <si>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</si>
  <si>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</si>
  <si>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</si>
  <si>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</si>
  <si>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</si>
  <si>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</si>
  <si>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</si>
  <si>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</si>
  <si>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</si>
  <si>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</si>
  <si>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</si>
  <si>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</si>
  <si>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</si>
  <si>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</si>
  <si>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</si>
  <si>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</si>
  <si>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</si>
  <si>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</si>
  <si>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</si>
  <si>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</si>
  <si>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</si>
  <si>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</si>
  <si>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</si>
  <si>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</si>
  <si>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</si>
  <si>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</si>
  <si>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</si>
  <si>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</si>
  <si>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</si>
  <si>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</si>
  <si>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</si>
  <si>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</si>
  <si>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</si>
  <si>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</si>
  <si>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</si>
  <si>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</si>
  <si>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</si>
  <si>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</si>
  <si>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</si>
  <si>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</si>
  <si>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</si>
  <si>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</si>
  <si>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</si>
  <si>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</si>
  <si>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</si>
  <si>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</si>
  <si>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</si>
  <si>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</si>
  <si>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</si>
  <si>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</si>
  <si>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</si>
  <si>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</si>
  <si>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</si>
  <si>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</si>
  <si>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</si>
  <si>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</si>
  <si>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</si>
  <si>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</si>
  <si>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</si>
  <si>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</si>
  <si>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</si>
  <si>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</si>
  <si>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</si>
  <si>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</si>
  <si>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</si>
  <si>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</si>
  <si>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</si>
  <si>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</si>
  <si>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</si>
  <si>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</si>
  <si>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</si>
  <si>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</si>
  <si>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</si>
  <si>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</si>
  <si>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</si>
  <si>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</si>
  <si>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</si>
  <si>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</si>
  <si>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</si>
  <si>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</si>
  <si>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</si>
  <si>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</si>
  <si>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</si>
  <si>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</si>
  <si>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</si>
  <si>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</si>
  <si>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</si>
  <si>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</si>
  <si>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</si>
  <si>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</si>
  <si>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</si>
  <si>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</si>
  <si>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</si>
  <si>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</si>
  <si>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</si>
  <si>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</si>
  <si>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</si>
  <si>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</si>
  <si>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</si>
  <si>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</si>
  <si>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</si>
  <si>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</si>
  <si>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</si>
  <si>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</si>
  <si>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</si>
  <si>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</si>
  <si>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</si>
  <si>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</si>
  <si>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</si>
  <si>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</si>
  <si>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</si>
  <si>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</si>
  <si>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</si>
  <si>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</si>
  <si>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</si>
  <si>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</si>
  <si>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</si>
  <si>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</si>
  <si>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</si>
  <si>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</si>
  <si>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</si>
  <si>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</si>
  <si>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</si>
  <si>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</si>
  <si>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</si>
  <si>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</si>
  <si>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</si>
  <si>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</si>
  <si>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</si>
  <si>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</si>
  <si>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</si>
  <si>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</si>
  <si>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</si>
  <si>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</si>
  <si>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</si>
  <si>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</si>
  <si>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</si>
  <si>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</si>
  <si>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</si>
  <si>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</si>
  <si>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</si>
  <si>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</si>
  <si>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</si>
  <si>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</si>
  <si>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</si>
  <si>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</si>
  <si>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</si>
  <si>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</si>
  <si>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</si>
  <si>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</si>
  <si>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</si>
  <si>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</si>
  <si>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</si>
  <si>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</si>
  <si>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</si>
  <si>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</si>
  <si>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</si>
  <si>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</si>
  <si>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</si>
  <si>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</si>
  <si>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</si>
  <si>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</si>
  <si>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</si>
  <si>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</si>
  <si>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</si>
  <si>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</si>
  <si>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</si>
  <si>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</si>
  <si>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</si>
  <si>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</si>
  <si>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</si>
  <si>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</si>
  <si>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</si>
  <si>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</si>
  <si>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</si>
  <si>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</si>
  <si>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</si>
  <si>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</si>
  <si>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</si>
  <si>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</si>
  <si>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</si>
  <si>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</si>
  <si>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</si>
  <si>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</si>
  <si>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</si>
  <si>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</si>
  <si>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</si>
  <si>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</si>
  <si>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</si>
  <si>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</si>
  <si>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</si>
  <si>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</si>
  <si>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</si>
  <si>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</si>
  <si>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</si>
  <si>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</si>
  <si>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</si>
  <si>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</si>
  <si>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</si>
  <si>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</si>
  <si>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</si>
  <si>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</si>
  <si>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</si>
  <si>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</si>
  <si>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</si>
  <si>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</si>
  <si>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</si>
  <si>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</si>
  <si>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</si>
  <si>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</si>
  <si>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</si>
  <si>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</si>
  <si>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</si>
  <si>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</si>
  <si>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</si>
  <si>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</si>
  <si>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</si>
  <si>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</si>
  <si>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</si>
  <si>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</si>
  <si>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</si>
  <si>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</si>
  <si>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</si>
  <si>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</si>
  <si>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</si>
  <si>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</si>
  <si>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</si>
  <si>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</si>
  <si>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</si>
  <si>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</si>
  <si>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</si>
  <si>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</si>
  <si>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</si>
  <si>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</si>
  <si>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</si>
  <si>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</si>
  <si>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</si>
  <si>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</si>
  <si>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</si>
  <si>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</si>
  <si>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</si>
  <si>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</si>
  <si>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</si>
  <si>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</si>
  <si>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</si>
  <si>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</si>
  <si>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</si>
  <si>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</si>
  <si>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</si>
  <si>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</si>
  <si>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</si>
  <si>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</si>
  <si>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</si>
  <si>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</si>
  <si>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</si>
  <si>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</si>
  <si>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</si>
  <si>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</si>
  <si>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</si>
  <si>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</si>
  <si>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</si>
  <si>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</si>
  <si>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</si>
  <si>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</si>
  <si>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</si>
  <si>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</si>
  <si>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</si>
  <si>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</si>
  <si>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</si>
  <si>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</si>
  <si>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</si>
  <si>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</si>
  <si>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</si>
  <si>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</si>
  <si>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</si>
  <si>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</si>
  <si>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</si>
  <si>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</si>
  <si>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</si>
  <si>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</si>
  <si>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</si>
  <si>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</si>
  <si>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</si>
  <si>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</si>
  <si>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</si>
  <si>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</si>
  <si>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</si>
  <si>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</si>
  <si>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</si>
  <si>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</si>
  <si>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</si>
  <si>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</si>
  <si>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</si>
  <si>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</si>
  <si>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</si>
  <si>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</si>
  <si>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</si>
  <si>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</si>
  <si>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</si>
  <si>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</si>
  <si>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</si>
  <si>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</si>
  <si>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</si>
  <si>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</si>
  <si>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</si>
  <si>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</si>
  <si>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</si>
  <si>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</si>
  <si>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</si>
  <si>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</si>
  <si>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</si>
  <si>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</si>
  <si>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</si>
  <si>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</si>
  <si>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</si>
  <si>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</si>
  <si>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</si>
  <si>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</si>
  <si>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</si>
  <si>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</si>
  <si>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</si>
  <si>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</si>
  <si>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</si>
  <si>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</si>
  <si>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</si>
  <si>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</si>
  <si>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</si>
  <si>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</si>
  <si>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</si>
  <si>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</si>
  <si>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</si>
  <si>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</si>
  <si>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</si>
  <si>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</si>
  <si>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</si>
  <si>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</si>
  <si>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</si>
  <si>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</si>
  <si>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</si>
  <si>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</si>
  <si>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</si>
  <si>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</si>
  <si>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</si>
  <si>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</si>
  <si>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</si>
  <si>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</si>
  <si>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</si>
  <si>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</si>
  <si>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</si>
  <si>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</si>
  <si>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</si>
  <si>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</si>
  <si>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</si>
  <si>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</si>
  <si>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</si>
  <si>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</si>
  <si>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</si>
  <si>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</si>
  <si>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</si>
  <si>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</si>
  <si>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</si>
  <si>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</si>
  <si>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</si>
  <si>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</si>
  <si>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</si>
  <si>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</si>
  <si>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</si>
  <si>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</si>
  <si>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</si>
  <si>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</si>
  <si>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</si>
  <si>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</si>
  <si>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</si>
  <si>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</si>
  <si>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</si>
  <si>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</si>
  <si>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</si>
  <si>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</si>
  <si>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</si>
  <si>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</si>
  <si>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</si>
  <si>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</si>
  <si>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</si>
  <si>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</si>
  <si>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</si>
  <si>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</si>
  <si>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</si>
  <si>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</si>
  <si>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</si>
  <si>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</si>
  <si>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</si>
  <si>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</si>
  <si>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</si>
  <si>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</si>
  <si>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</si>
  <si>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</si>
  <si>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</si>
  <si>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</si>
  <si>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</si>
  <si>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</si>
  <si>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</si>
  <si>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</si>
  <si>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</si>
  <si>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</si>
  <si>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</si>
  <si>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</si>
  <si>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</si>
  <si>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</si>
  <si>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</si>
  <si>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</si>
  <si>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</si>
  <si>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</si>
  <si>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</si>
  <si>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</si>
  <si>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</si>
  <si>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</si>
  <si>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</si>
  <si>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</si>
  <si>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</si>
  <si>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</si>
  <si>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</si>
  <si>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</si>
  <si>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</si>
  <si>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</si>
  <si>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</si>
  <si>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</si>
  <si>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</si>
  <si>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</si>
  <si>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</si>
  <si>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</si>
  <si>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</si>
  <si>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</si>
  <si>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</si>
  <si>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</si>
  <si>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</si>
  <si>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</si>
  <si>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</si>
  <si>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</si>
  <si>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</si>
  <si>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</si>
  <si>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</si>
  <si>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</si>
  <si>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</si>
  <si>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</si>
  <si>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</si>
  <si>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</si>
  <si>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</si>
  <si>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</si>
  <si>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</si>
  <si>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</si>
  <si>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</si>
  <si>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</si>
  <si>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</si>
  <si>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</si>
  <si>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</si>
  <si>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</si>
  <si>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</si>
  <si>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</si>
  <si>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</si>
  <si>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</si>
  <si>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</si>
  <si>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</si>
  <si>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</si>
  <si>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</si>
  <si>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</si>
  <si>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</si>
  <si>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</si>
  <si>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</si>
  <si>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</si>
  <si>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</si>
  <si>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</si>
  <si>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</si>
  <si>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</si>
  <si>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</si>
  <si>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</si>
  <si>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</si>
  <si>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</si>
  <si>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</si>
  <si>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</si>
  <si>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</si>
  <si>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</si>
  <si>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</si>
  <si>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</si>
  <si>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</si>
  <si>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</si>
  <si>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</si>
  <si>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</si>
  <si>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</si>
  <si>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</si>
  <si>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</si>
  <si>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</si>
  <si>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</si>
  <si>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</si>
  <si>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</si>
  <si>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</si>
  <si>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</si>
  <si>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</si>
  <si>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</si>
  <si>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</si>
  <si>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</si>
  <si>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</si>
  <si>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</si>
  <si>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</si>
  <si>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</si>
  <si>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</si>
  <si>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</si>
  <si>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</si>
  <si>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</si>
  <si>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</si>
  <si>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</si>
  <si>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</si>
  <si>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</si>
  <si>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</si>
  <si>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</si>
  <si>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</si>
  <si>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</si>
  <si>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</si>
  <si>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</si>
  <si>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</si>
  <si>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</si>
  <si>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</si>
  <si>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</si>
  <si>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</si>
  <si>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</si>
  <si>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</si>
  <si>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</si>
  <si>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</si>
  <si>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</si>
  <si>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</si>
  <si>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</si>
  <si>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</si>
  <si>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</si>
  <si>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</si>
  <si>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</si>
  <si>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</si>
  <si>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</si>
  <si>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</si>
  <si>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</si>
  <si>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</si>
  <si>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</si>
  <si>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</si>
  <si>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</si>
  <si>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</si>
  <si>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</si>
  <si>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</si>
  <si>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</si>
  <si>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</si>
  <si>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</si>
  <si>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</si>
  <si>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</si>
  <si>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</si>
  <si>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</si>
  <si>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</si>
  <si>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</si>
  <si>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</si>
  <si>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</si>
  <si>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</si>
  <si>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</si>
  <si>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</si>
  <si>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</si>
  <si>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</si>
  <si>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</si>
  <si>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</si>
  <si>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</si>
  <si>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</si>
  <si>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</si>
  <si>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</si>
  <si>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</si>
  <si>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</si>
  <si>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</si>
  <si>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</si>
  <si>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</si>
  <si>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</si>
  <si>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</si>
  <si>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</si>
  <si>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</si>
  <si>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</si>
  <si>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</si>
  <si>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</si>
  <si>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</si>
  <si>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</si>
  <si>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</si>
  <si>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</si>
  <si>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</si>
  <si>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</si>
  <si>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</si>
  <si>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</si>
  <si>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</si>
  <si>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</si>
  <si>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</si>
  <si>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</si>
  <si>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</si>
  <si>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</si>
  <si>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</si>
  <si>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</si>
  <si>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</si>
  <si>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</si>
  <si>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</si>
  <si>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</si>
  <si>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</si>
  <si>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</si>
  <si>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</si>
  <si>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</si>
  <si>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</si>
  <si>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</si>
  <si>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</si>
  <si>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</si>
  <si>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</si>
  <si>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</si>
  <si>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</si>
  <si>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</si>
  <si>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</si>
  <si>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</si>
  <si>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</si>
  <si>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</si>
  <si>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</si>
  <si>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</si>
  <si>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</si>
  <si>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</si>
  <si>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</si>
  <si>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</si>
  <si>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</si>
  <si>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</si>
  <si>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</si>
  <si>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</si>
  <si>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</si>
  <si>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</si>
  <si>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</si>
  <si>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</si>
  <si>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</si>
  <si>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</si>
  <si>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</si>
  <si>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</si>
  <si>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</si>
  <si>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</si>
  <si>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</si>
  <si>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</si>
  <si>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</si>
  <si>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</si>
  <si>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</si>
  <si>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</si>
  <si>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</si>
  <si>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</si>
  <si>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</si>
  <si>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</si>
  <si>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</si>
  <si>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</si>
  <si>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</si>
  <si>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</si>
  <si>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</si>
  <si>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</si>
  <si>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</si>
  <si>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</si>
  <si>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</si>
  <si>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</si>
  <si>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</si>
  <si>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</si>
  <si>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</si>
  <si>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</si>
  <si>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</si>
  <si>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</si>
  <si>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</si>
  <si>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</si>
  <si>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</si>
  <si>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</si>
  <si>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</si>
  <si>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</si>
  <si>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</si>
  <si>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</si>
  <si>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</si>
  <si>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</si>
  <si>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</si>
  <si>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</si>
  <si>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</si>
  <si>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</si>
  <si>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</si>
  <si>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</si>
  <si>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</si>
  <si>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</si>
  <si>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</si>
  <si>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</si>
  <si>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</si>
  <si>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</si>
  <si>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</si>
  <si>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</si>
  <si>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</si>
  <si>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</si>
  <si>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</si>
  <si>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</si>
  <si>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</si>
  <si>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</si>
  <si>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</si>
  <si>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</si>
  <si>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</si>
  <si>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</si>
  <si>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</si>
  <si>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</si>
  <si>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</si>
  <si>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</si>
  <si>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</si>
  <si>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</si>
  <si>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</si>
  <si>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</si>
  <si>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</si>
  <si>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</si>
  <si>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</si>
  <si>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</si>
  <si>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</si>
  <si>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</si>
  <si>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</si>
  <si>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</si>
  <si>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</si>
  <si>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</si>
  <si>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</si>
  <si>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</si>
  <si>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</si>
  <si>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</si>
  <si>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</si>
  <si>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</si>
  <si>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</si>
  <si>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</si>
  <si>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</si>
  <si>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</si>
  <si>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</si>
  <si>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</si>
  <si>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</si>
  <si>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</si>
  <si>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</si>
  <si>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</si>
  <si>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</si>
  <si>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</si>
  <si>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</si>
  <si>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</si>
  <si>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</si>
  <si>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</si>
  <si>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</si>
  <si>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</si>
  <si>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</si>
  <si>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</si>
  <si>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</si>
  <si>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</si>
  <si>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</si>
  <si>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</si>
  <si>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</si>
  <si>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</si>
  <si>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</si>
  <si>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</si>
  <si>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</si>
  <si>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</si>
  <si>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</si>
  <si>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</si>
  <si>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</si>
  <si>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</si>
  <si>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</si>
  <si>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</si>
  <si>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</si>
  <si>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</si>
  <si>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</si>
  <si>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</si>
  <si>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</si>
  <si>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</si>
  <si>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</si>
  <si>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</si>
  <si>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</si>
  <si>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</si>
  <si>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</si>
  <si>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</si>
  <si>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</si>
  <si>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</si>
  <si>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</si>
  <si>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</si>
  <si>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</si>
  <si>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</si>
  <si>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</si>
  <si>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</si>
  <si>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</si>
  <si>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</si>
  <si>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</si>
  <si>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</si>
  <si>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</si>
  <si>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</si>
  <si>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</si>
  <si>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</si>
  <si>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</si>
  <si>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</si>
  <si>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</si>
  <si>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</si>
  <si>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</si>
  <si>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</si>
  <si>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</si>
  <si>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</si>
  <si>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</si>
  <si>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</si>
  <si>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</si>
  <si>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</si>
  <si>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</si>
  <si>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</si>
  <si>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</si>
  <si>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</si>
  <si>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</si>
  <si>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</si>
  <si>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</si>
  <si>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</si>
  <si>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</si>
  <si>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</si>
  <si>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</si>
  <si>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</si>
  <si>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</si>
  <si>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</si>
  <si>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</si>
  <si>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</si>
  <si>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</si>
  <si>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</si>
  <si>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</si>
  <si>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</si>
  <si>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</si>
  <si>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</si>
  <si>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</si>
  <si>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</si>
  <si>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</si>
  <si>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</si>
  <si>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</si>
  <si>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</si>
  <si>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</si>
  <si>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</si>
  <si>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</si>
  <si>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</si>
  <si>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</si>
  <si>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</si>
  <si>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</si>
  <si>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</si>
  <si>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</si>
  <si>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</si>
  <si>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</si>
  <si>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</si>
  <si>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</si>
  <si>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</si>
  <si>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</si>
  <si>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</si>
  <si>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</si>
  <si>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</si>
  <si>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</si>
  <si>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</si>
  <si>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</si>
  <si>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</si>
  <si>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</si>
  <si>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</si>
  <si>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</si>
  <si>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</si>
  <si>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</si>
  <si>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</si>
  <si>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</si>
  <si>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</si>
  <si>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</si>
  <si>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</si>
  <si>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</si>
  <si>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</si>
  <si>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</si>
  <si>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</si>
  <si>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</si>
  <si>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</si>
  <si>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</si>
  <si>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</si>
  <si>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</si>
  <si>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</si>
  <si>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</si>
  <si>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</si>
  <si>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</si>
  <si>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</si>
  <si>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</si>
  <si>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</si>
  <si>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</si>
  <si>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</si>
  <si>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</si>
  <si>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</si>
  <si>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</si>
  <si>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</si>
  <si>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</si>
  <si>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</si>
  <si>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</si>
  <si>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</si>
  <si>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</si>
  <si>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</si>
  <si>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</si>
  <si>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</si>
  <si>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</si>
  <si>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</si>
  <si>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</si>
  <si>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</si>
  <si>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</si>
  <si>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</si>
  <si>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</si>
  <si>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</si>
  <si>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</si>
  <si>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</si>
  <si>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</si>
  <si>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</si>
  <si>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</si>
  <si>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</si>
  <si>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</si>
  <si>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</si>
  <si>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</si>
  <si>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</si>
  <si>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</si>
  <si>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</si>
  <si>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</si>
  <si>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</si>
  <si>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</si>
  <si>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</si>
  <si>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</si>
  <si>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</si>
  <si>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</si>
  <si>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</si>
  <si>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</si>
  <si>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</si>
  <si>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</si>
  <si>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</si>
  <si>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</si>
  <si>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</si>
  <si>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</si>
  <si>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</si>
  <si>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</si>
  <si>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</si>
  <si>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</si>
  <si>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</si>
  <si>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</si>
  <si>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</si>
  <si>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</si>
  <si>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</si>
  <si>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</si>
  <si>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</si>
  <si>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</si>
  <si>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</si>
  <si>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</si>
  <si>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</si>
  <si>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</si>
  <si>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</si>
  <si>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</si>
  <si>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</si>
  <si>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</si>
  <si>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</si>
  <si>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</si>
  <si>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</si>
  <si>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</si>
  <si>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</si>
  <si>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</si>
  <si>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</si>
  <si>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</si>
  <si>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</si>
  <si>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</si>
  <si>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</si>
  <si>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</si>
  <si>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</si>
  <si>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</si>
  <si>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</si>
  <si>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</si>
  <si>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</si>
  <si>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</si>
  <si>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</si>
  <si>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</si>
  <si>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</si>
  <si>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</si>
  <si>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</si>
  <si>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</si>
  <si>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</si>
  <si>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</si>
  <si>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</si>
  <si>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</si>
  <si>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</si>
  <si>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</si>
  <si>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</si>
  <si>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</si>
  <si>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</si>
  <si>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</si>
  <si>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</si>
  <si>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</si>
  <si>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</si>
  <si>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</si>
  <si>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</si>
  <si>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</si>
  <si>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</si>
  <si>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</si>
  <si>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</si>
  <si>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</si>
  <si>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</si>
  <si>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</si>
  <si>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</si>
  <si>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</si>
  <si>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</si>
  <si>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</si>
  <si>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</si>
  <si>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</si>
  <si>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</si>
  <si>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</si>
  <si>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</si>
  <si>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</si>
  <si>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</si>
  <si>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</si>
  <si>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</si>
  <si>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</si>
  <si>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</si>
  <si>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</si>
  <si>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</si>
  <si>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</si>
  <si>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</si>
  <si>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</si>
  <si>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</si>
  <si>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</si>
  <si>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</si>
  <si>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</si>
  <si>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</si>
  <si>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</si>
  <si>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</si>
  <si>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</si>
  <si>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</si>
  <si>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</si>
  <si>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</si>
  <si>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</si>
  <si>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</si>
  <si>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</si>
  <si>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</si>
  <si>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</si>
  <si>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</si>
  <si>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</si>
  <si>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</si>
  <si>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</si>
  <si>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</si>
  <si>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</si>
  <si>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</si>
  <si>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</si>
  <si>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</si>
  <si>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</si>
  <si>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</si>
  <si>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</si>
  <si>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</si>
  <si>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</si>
  <si>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</si>
  <si>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</si>
  <si>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</si>
  <si>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</si>
  <si>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</si>
  <si>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</si>
  <si>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</si>
  <si>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</si>
  <si>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</si>
  <si>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</si>
  <si>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</si>
  <si>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</si>
  <si>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</si>
  <si>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</si>
  <si>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</si>
  <si>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</si>
  <si>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</si>
  <si>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</si>
  <si>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</si>
  <si>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</si>
  <si>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</si>
  <si>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</si>
  <si>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</si>
  <si>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</si>
  <si>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</si>
  <si>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</si>
  <si>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</si>
  <si>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</si>
  <si>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</si>
  <si>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</si>
  <si>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</si>
  <si>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</si>
  <si>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</si>
  <si>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</si>
  <si>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</si>
  <si>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</si>
  <si>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</si>
  <si>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</si>
  <si>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</si>
  <si>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</si>
  <si>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</si>
  <si>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</si>
  <si>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</si>
  <si>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</si>
  <si>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</si>
  <si>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</si>
  <si>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</si>
  <si>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</si>
  <si>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</si>
  <si>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</si>
  <si>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</si>
  <si>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</si>
  <si>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</si>
  <si>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</si>
  <si>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</si>
  <si>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</si>
  <si>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</si>
  <si>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</si>
  <si>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</si>
  <si>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</si>
  <si>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</si>
  <si>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</si>
  <si>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</si>
  <si>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</si>
  <si>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</si>
  <si>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</si>
  <si>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</si>
  <si>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</si>
  <si>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</si>
  <si>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</si>
  <si>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</si>
  <si>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</si>
  <si>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</si>
  <si>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</si>
  <si>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</si>
  <si>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</si>
  <si>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</si>
  <si>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</si>
  <si>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</si>
  <si>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</si>
  <si>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</si>
  <si>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</si>
  <si>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</si>
  <si>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</si>
  <si>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</si>
  <si>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</si>
  <si>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</si>
  <si>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</si>
  <si>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</si>
  <si>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</si>
  <si>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</si>
  <si>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</si>
  <si>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</si>
  <si>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</si>
  <si>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</si>
  <si>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</si>
  <si>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</si>
  <si>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</si>
  <si>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</si>
  <si>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</si>
  <si>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</si>
  <si>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</si>
  <si>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</si>
  <si>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</si>
  <si>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</si>
  <si>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</si>
  <si>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</si>
  <si>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</si>
  <si>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</si>
  <si>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</si>
  <si>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</si>
  <si>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</si>
  <si>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</si>
  <si>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</si>
  <si>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</si>
  <si>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</si>
  <si>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</si>
  <si>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</si>
  <si>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</si>
  <si>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</si>
  <si>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</si>
  <si>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</si>
  <si>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</si>
  <si>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</si>
  <si>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</si>
  <si>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</si>
  <si>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</si>
  <si>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</si>
  <si>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</si>
  <si>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</si>
  <si>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</si>
  <si>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</si>
  <si>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</si>
  <si>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</si>
  <si>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</si>
  <si>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</si>
  <si>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</si>
  <si>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</si>
  <si>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</si>
  <si>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</si>
  <si>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</si>
  <si>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</si>
  <si>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</si>
  <si>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</si>
  <si>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</si>
  <si>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</si>
  <si>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</si>
  <si>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</si>
  <si>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</si>
  <si>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</si>
  <si>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</si>
  <si>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</si>
  <si>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</si>
  <si>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</si>
  <si>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</si>
  <si>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</si>
  <si>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</si>
  <si>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</si>
  <si>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</si>
  <si>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</si>
  <si>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</si>
  <si>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</si>
  <si>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</si>
  <si>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</si>
  <si>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</si>
  <si>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</si>
  <si>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</si>
  <si>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</si>
  <si>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</si>
  <si>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</si>
  <si>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</si>
  <si>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</si>
  <si>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</si>
  <si>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</si>
  <si>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</si>
  <si>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</si>
  <si>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</si>
  <si>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</si>
  <si>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</si>
  <si>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</si>
  <si>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</si>
  <si>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</si>
  <si>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</si>
  <si>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</si>
  <si>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</si>
  <si>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</si>
  <si>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</si>
  <si>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</si>
  <si>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</si>
  <si>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</si>
  <si>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</si>
  <si>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</si>
  <si>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</si>
  <si>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</si>
  <si>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</si>
  <si>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</si>
  <si>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</si>
  <si>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</si>
  <si>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</si>
  <si>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</si>
  <si>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</si>
  <si>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</si>
  <si>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</si>
  <si>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</si>
  <si>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</si>
  <si>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</si>
  <si>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</si>
  <si>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</si>
  <si>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</si>
  <si>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</si>
  <si>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</si>
  <si>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</si>
  <si>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</si>
  <si>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</si>
  <si>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</si>
  <si>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</si>
  <si>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</si>
  <si>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</si>
  <si>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</si>
  <si>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</si>
  <si>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</si>
  <si>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</si>
  <si>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</si>
  <si>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</si>
  <si>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</si>
  <si>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</si>
  <si>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</si>
  <si>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</si>
  <si>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</si>
  <si>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</si>
  <si>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</si>
  <si>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</si>
  <si>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</si>
  <si>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</si>
  <si>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</si>
  <si>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</si>
  <si>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</si>
  <si>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</si>
  <si>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</si>
  <si>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</si>
  <si>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</si>
  <si>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</si>
  <si>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</si>
  <si>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</si>
  <si>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</si>
  <si>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</si>
  <si>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</si>
  <si>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</si>
  <si>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</si>
  <si>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</si>
  <si>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</si>
  <si>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</si>
  <si>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</si>
  <si>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</si>
  <si>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</si>
  <si>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</si>
  <si>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</si>
  <si>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</si>
  <si>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</si>
  <si>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</si>
  <si>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</si>
  <si>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</si>
  <si>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</si>
  <si>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</si>
  <si>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</si>
  <si>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</si>
  <si>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</si>
  <si>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</si>
  <si>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</si>
  <si>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 xml:space="preserve">Empty </t>
  </si>
  <si>
    <t>N.A</t>
  </si>
  <si>
    <t xml:space="preserve">Holes </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</si>
  <si>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</si>
  <si>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</si>
  <si>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</si>
  <si>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</si>
  <si>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</si>
  <si>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</si>
  <si>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</si>
  <si>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</si>
  <si>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</si>
  <si>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</si>
  <si>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</si>
  <si>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</si>
  <si>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</si>
  <si>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</si>
  <si>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</si>
  <si>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</si>
  <si>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</si>
  <si>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</si>
  <si>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</si>
  <si>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</si>
  <si>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</si>
  <si>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</si>
  <si>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</si>
  <si>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</si>
  <si>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</si>
  <si>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</si>
  <si>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</si>
  <si>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</si>
  <si>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</si>
  <si>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</si>
  <si>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</si>
  <si>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</si>
  <si>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</si>
  <si>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</si>
  <si>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</si>
  <si>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</si>
  <si>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</si>
  <si>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</si>
  <si>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</si>
  <si>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</si>
  <si>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</si>
  <si>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</si>
  <si>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</si>
  <si>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</si>
  <si>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</si>
  <si>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</si>
  <si>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</si>
  <si>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</si>
  <si>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</si>
  <si>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</si>
  <si>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</si>
  <si>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</si>
  <si>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</si>
  <si>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</si>
  <si>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</si>
  <si>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</si>
  <si>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</si>
  <si>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</si>
  <si>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</si>
  <si>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</si>
  <si>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</si>
  <si>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</si>
  <si>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</si>
  <si>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</si>
  <si>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</si>
  <si>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</si>
  <si>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</si>
  <si>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</si>
  <si>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</si>
  <si>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</si>
  <si>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</si>
  <si>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</si>
  <si>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</si>
  <si>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</si>
  <si>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</si>
  <si>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</si>
  <si>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</si>
  <si>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</si>
  <si>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</si>
  <si>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</si>
  <si>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</si>
  <si>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</si>
  <si>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</si>
  <si>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</si>
  <si>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</si>
  <si>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</si>
  <si>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</si>
  <si>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</si>
  <si>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</si>
  <si>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</si>
  <si>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</si>
  <si>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</si>
  <si>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</si>
  <si>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</si>
  <si>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</si>
  <si>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</si>
  <si>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</si>
  <si>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</si>
  <si>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</si>
  <si>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</si>
  <si>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</si>
  <si>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</si>
  <si>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</si>
  <si>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</si>
  <si>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</si>
  <si>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</si>
  <si>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</si>
  <si>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</si>
  <si>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</si>
  <si>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</si>
  <si>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</si>
  <si>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</si>
  <si>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</si>
  <si>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</si>
  <si>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</si>
  <si>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</si>
  <si>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</si>
  <si>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</si>
  <si>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</si>
  <si>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</si>
  <si>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</si>
  <si>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</si>
  <si>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</si>
  <si>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</si>
  <si>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</si>
  <si>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</si>
  <si>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</si>
  <si>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</si>
  <si>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</si>
  <si>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</si>
  <si>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</si>
  <si>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</si>
  <si>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</si>
  <si>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</si>
  <si>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</si>
  <si>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</si>
  <si>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</si>
  <si>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</si>
  <si>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</si>
  <si>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</si>
  <si>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</si>
  <si>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</si>
  <si>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</si>
  <si>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</si>
  <si>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</si>
  <si>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</si>
  <si>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</si>
  <si>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</si>
  <si>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</si>
  <si>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</si>
  <si>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</si>
  <si>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</si>
  <si>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</si>
  <si>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</si>
  <si>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</si>
  <si>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</si>
  <si>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</si>
  <si>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</si>
  <si>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</si>
  <si>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</si>
  <si>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</si>
  <si>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</si>
  <si>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</si>
  <si>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</si>
  <si>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</si>
  <si>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</si>
  <si>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</si>
  <si>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</si>
  <si>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</si>
  <si>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</si>
  <si>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</si>
  <si>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</si>
  <si>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</si>
  <si>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</si>
  <si>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</si>
  <si>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</si>
  <si>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</si>
  <si>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</si>
  <si>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</si>
  <si>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</si>
  <si>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</si>
  <si>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</si>
  <si>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</si>
  <si>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</si>
  <si>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</si>
  <si>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</si>
  <si>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</si>
  <si>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</si>
  <si>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</si>
  <si>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</si>
  <si>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</si>
  <si>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</si>
  <si>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</si>
  <si>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</si>
  <si>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</si>
  <si>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</si>
  <si>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</si>
  <si>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</si>
  <si>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</si>
  <si>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</si>
  <si>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</si>
  <si>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</si>
  <si>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</si>
  <si>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</si>
  <si>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</si>
  <si>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</si>
  <si>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</si>
  <si>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</si>
  <si>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</si>
  <si>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</si>
  <si>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</si>
  <si>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</si>
  <si>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</si>
  <si>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</si>
  <si>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</si>
  <si>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</si>
  <si>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</si>
  <si>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</si>
  <si>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</si>
  <si>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</si>
  <si>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</si>
  <si>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</si>
  <si>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</si>
  <si>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</si>
  <si>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</si>
  <si>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</si>
  <si>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</si>
  <si>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</si>
  <si>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</si>
  <si>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</si>
  <si>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</si>
  <si>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</si>
  <si>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</si>
  <si>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</si>
  <si>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</si>
  <si>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</si>
  <si>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</si>
  <si>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</si>
  <si>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</si>
  <si>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</si>
  <si>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</si>
  <si>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</si>
  <si>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</si>
  <si>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</si>
  <si>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</si>
  <si>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</si>
  <si>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</si>
  <si>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</si>
  <si>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</si>
  <si>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</si>
  <si>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</si>
  <si>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</si>
  <si>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</si>
  <si>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</si>
  <si>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</si>
  <si>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</si>
  <si>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</si>
  <si>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</si>
  <si>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</si>
  <si>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</si>
  <si>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</si>
  <si>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</si>
  <si>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</si>
  <si>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</si>
  <si>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</si>
  <si>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</si>
  <si>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</si>
  <si>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</si>
  <si>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</si>
  <si>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</si>
  <si>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</si>
  <si>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</si>
  <si>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</si>
  <si>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</si>
  <si>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</si>
  <si>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</si>
  <si>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</si>
  <si>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</si>
  <si>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</si>
  <si>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</si>
  <si>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</si>
  <si>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</si>
  <si>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</si>
  <si>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</si>
  <si>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</si>
  <si>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</si>
  <si>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</si>
  <si>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</si>
  <si>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</si>
  <si>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</si>
  <si>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</si>
  <si>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</si>
  <si>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</si>
  <si>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</si>
  <si>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</si>
  <si>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</si>
  <si>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</si>
  <si>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</si>
  <si>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</si>
  <si>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</si>
  <si>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</si>
  <si>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</si>
  <si>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</si>
  <si>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</si>
  <si>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</si>
  <si>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</si>
  <si>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</si>
  <si>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</si>
  <si>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</si>
  <si>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</si>
  <si>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</si>
  <si>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</si>
  <si>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</si>
  <si>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</si>
  <si>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</si>
  <si>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</si>
  <si>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</si>
  <si>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</si>
  <si>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</si>
  <si>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</si>
  <si>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</si>
  <si>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</si>
  <si>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</si>
  <si>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</si>
  <si>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</si>
  <si>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</si>
  <si>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</si>
  <si>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</si>
  <si>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</si>
  <si>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</si>
  <si>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</si>
  <si>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</si>
  <si>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</si>
  <si>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</si>
  <si>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</si>
  <si>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</si>
  <si>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</si>
  <si>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</si>
  <si>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</si>
  <si>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</si>
  <si>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</si>
  <si>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</si>
  <si>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</si>
  <si>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</si>
  <si>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</si>
  <si>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</si>
  <si>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</si>
  <si>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</si>
  <si>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</si>
  <si>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</si>
  <si>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</si>
  <si>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</si>
  <si>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</si>
  <si>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</si>
  <si>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</si>
  <si>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</si>
  <si>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</si>
  <si>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</si>
  <si>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</si>
  <si>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</si>
  <si>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</si>
  <si>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</si>
  <si>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</si>
  <si>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</si>
  <si>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</si>
  <si>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</si>
  <si>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</si>
  <si>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</si>
  <si>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</si>
  <si>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</si>
  <si>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</si>
  <si>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</si>
  <si>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</si>
  <si>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</si>
  <si>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</si>
  <si>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</si>
  <si>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</si>
  <si>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</si>
  <si>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</si>
  <si>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</si>
  <si>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</si>
  <si>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</si>
  <si>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</si>
  <si>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</si>
  <si>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</si>
  <si>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</si>
  <si>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</si>
  <si>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</si>
  <si>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</si>
  <si>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</si>
  <si>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</si>
  <si>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</si>
  <si>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</si>
  <si>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</si>
  <si>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Season</t>
  </si>
  <si>
    <t>Soil at collection</t>
  </si>
  <si>
    <t>Soil at placement</t>
  </si>
  <si>
    <t>Wet</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</si>
  <si>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</si>
  <si>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</si>
  <si>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</si>
  <si>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</si>
  <si>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</si>
  <si>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</si>
  <si>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</si>
  <si>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</si>
  <si>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Duplicates?</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</si>
  <si>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</si>
  <si>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</si>
  <si>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</si>
  <si>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</si>
  <si>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</si>
  <si>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</si>
  <si>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</si>
  <si>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</si>
  <si>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</si>
  <si>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</si>
  <si>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</si>
  <si>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</si>
  <si>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</si>
  <si>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</si>
  <si>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</si>
  <si>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</si>
  <si>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</si>
  <si>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</si>
  <si>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</si>
  <si>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</si>
  <si>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</si>
  <si>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</si>
  <si>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</si>
  <si>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</si>
  <si>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</si>
  <si>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</si>
  <si>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</si>
  <si>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</si>
  <si>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</si>
  <si>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</si>
  <si>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</si>
  <si>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</si>
  <si>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</si>
  <si>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</si>
  <si>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</si>
  <si>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</si>
  <si>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</si>
  <si>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</si>
  <si>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</si>
  <si>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</si>
  <si>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</si>
  <si>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</si>
  <si>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</si>
  <si>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</si>
  <si>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</si>
  <si>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</si>
  <si>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</si>
  <si>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</si>
  <si>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</si>
  <si>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</si>
  <si>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</si>
  <si>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</si>
  <si>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</si>
  <si>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Controll (unused)</t>
  </si>
  <si>
    <t>ConG1</t>
  </si>
  <si>
    <t>ConG2</t>
  </si>
  <si>
    <t>ConG3</t>
  </si>
  <si>
    <t>ConG4</t>
  </si>
  <si>
    <t>ConG5</t>
  </si>
  <si>
    <t>Hydrolysable fraction green tea (Hg)</t>
  </si>
  <si>
    <t>Hydrolysable fraction red tea (Hr)</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</si>
  <si>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</si>
  <si>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</si>
  <si>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</si>
  <si>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</si>
  <si>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</si>
  <si>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</si>
  <si>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</si>
  <si>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</si>
  <si>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</si>
  <si>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</si>
  <si>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</si>
  <si>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</si>
  <si>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</si>
  <si>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</si>
  <si>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</si>
  <si>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</si>
  <si>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</si>
  <si>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</si>
  <si>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</si>
  <si>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</si>
  <si>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</si>
  <si>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</si>
  <si>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</si>
  <si>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</si>
  <si>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</si>
  <si>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</si>
  <si>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</si>
  <si>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</si>
  <si>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</si>
  <si>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</si>
  <si>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</si>
  <si>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</si>
  <si>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</si>
  <si>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</si>
  <si>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</si>
  <si>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</si>
  <si>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</si>
  <si>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</si>
  <si>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</si>
  <si>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</si>
  <si>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</si>
  <si>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</si>
  <si>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</si>
  <si>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</si>
  <si>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</si>
  <si>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</si>
  <si>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</si>
  <si>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</si>
  <si>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</si>
  <si>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</si>
  <si>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</si>
  <si>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</si>
  <si>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</si>
  <si>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</si>
  <si>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</si>
  <si>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</si>
  <si>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</si>
  <si>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</si>
  <si>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</si>
  <si>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</si>
  <si>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</si>
  <si>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</si>
  <si>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</si>
  <si>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</si>
  <si>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</si>
  <si>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</si>
  <si>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</si>
  <si>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</si>
  <si>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</si>
  <si>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</si>
  <si>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</si>
  <si>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</si>
  <si>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</si>
  <si>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</si>
  <si>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</si>
  <si>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</si>
  <si>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</si>
  <si>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</si>
  <si>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</si>
  <si>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</si>
  <si>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</si>
  <si>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</si>
  <si>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</si>
  <si>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</si>
  <si>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</si>
  <si>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</si>
  <si>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</si>
  <si>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</si>
  <si>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</si>
  <si>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</si>
  <si>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</si>
  <si>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</si>
  <si>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</si>
  <si>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</si>
  <si>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</si>
  <si>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</si>
  <si>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</si>
  <si>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</si>
  <si>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</si>
  <si>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</si>
  <si>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</si>
  <si>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</si>
  <si>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</si>
  <si>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</si>
  <si>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</si>
  <si>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</si>
  <si>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</si>
  <si>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</si>
  <si>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</si>
  <si>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</si>
  <si>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</si>
  <si>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</si>
  <si>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</si>
  <si>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</si>
  <si>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</si>
  <si>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</si>
  <si>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</si>
  <si>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</si>
  <si>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</si>
  <si>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</si>
  <si>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</si>
  <si>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</si>
  <si>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</si>
  <si>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</si>
  <si>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</si>
  <si>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</si>
  <si>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</si>
  <si>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</si>
  <si>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</si>
  <si>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</si>
  <si>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</si>
  <si>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</si>
  <si>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</si>
  <si>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</si>
  <si>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</si>
  <si>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</si>
  <si>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</si>
  <si>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</si>
  <si>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</si>
  <si>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</si>
  <si>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</si>
  <si>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</si>
  <si>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</si>
  <si>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</si>
  <si>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</si>
  <si>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</si>
  <si>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</si>
  <si>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</si>
  <si>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</si>
  <si>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</si>
  <si>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</si>
  <si>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</si>
  <si>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</si>
  <si>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</si>
  <si>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</si>
  <si>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</si>
  <si>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</si>
  <si>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</si>
  <si>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</si>
  <si>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</si>
  <si>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</si>
  <si>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</si>
  <si>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</si>
  <si>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</si>
  <si>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</si>
  <si>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</si>
  <si>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</si>
  <si>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</si>
  <si>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</si>
  <si>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</si>
  <si>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</si>
  <si>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</si>
  <si>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</si>
  <si>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</si>
  <si>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</si>
  <si>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</si>
  <si>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</si>
  <si>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</si>
  <si>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</si>
  <si>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</si>
  <si>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</si>
  <si>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</si>
  <si>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</si>
  <si>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</si>
  <si>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</si>
  <si>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</si>
  <si>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</si>
  <si>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</si>
  <si>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</si>
  <si>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</si>
  <si>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</si>
  <si>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</si>
  <si>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</si>
  <si>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</si>
  <si>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</si>
  <si>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</si>
  <si>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</si>
  <si>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</si>
  <si>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</si>
  <si>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</si>
  <si>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</si>
  <si>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</si>
  <si>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</si>
  <si>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</si>
  <si>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</si>
  <si>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</si>
  <si>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</si>
  <si>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</si>
  <si>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</si>
  <si>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</si>
  <si>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</si>
  <si>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</si>
  <si>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</si>
  <si>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</si>
  <si>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</si>
  <si>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</si>
  <si>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</si>
  <si>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</si>
  <si>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</si>
  <si>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</si>
  <si>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</si>
  <si>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</si>
  <si>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</si>
  <si>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</si>
  <si>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</si>
  <si>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</si>
  <si>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</si>
  <si>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</si>
  <si>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</si>
  <si>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</si>
  <si>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</si>
  <si>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</si>
  <si>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</si>
  <si>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</si>
  <si>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</si>
  <si>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</si>
  <si>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</si>
  <si>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</si>
  <si>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</si>
  <si>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</si>
  <si>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</si>
  <si>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</si>
  <si>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</si>
  <si>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</si>
  <si>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</si>
  <si>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</si>
  <si>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</si>
  <si>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</si>
  <si>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</si>
  <si>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</si>
  <si>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</si>
  <si>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</si>
  <si>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</si>
  <si>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</si>
  <si>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</si>
  <si>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</si>
  <si>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</si>
  <si>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</si>
  <si>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</si>
  <si>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</si>
  <si>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</si>
  <si>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</si>
  <si>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</si>
  <si>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</si>
  <si>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</si>
  <si>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</si>
  <si>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</si>
  <si>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</si>
  <si>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</si>
  <si>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</si>
  <si>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</si>
  <si>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</si>
  <si>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</si>
  <si>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</si>
  <si>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</si>
  <si>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</si>
  <si>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</si>
  <si>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</si>
  <si>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</si>
  <si>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</si>
  <si>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</si>
  <si>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</si>
  <si>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</si>
  <si>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</si>
  <si>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</si>
  <si>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</si>
  <si>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</si>
  <si>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</si>
  <si>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</si>
  <si>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</si>
  <si>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</si>
  <si>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</si>
  <si>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</si>
  <si>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</si>
  <si>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</si>
  <si>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</si>
  <si>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</si>
  <si>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</si>
  <si>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</si>
  <si>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</si>
  <si>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</si>
  <si>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</si>
  <si>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</si>
  <si>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</si>
  <si>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</si>
  <si>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</si>
  <si>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</si>
  <si>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</si>
  <si>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</si>
  <si>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</si>
  <si>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</si>
  <si>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</si>
  <si>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</si>
  <si>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</si>
  <si>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</si>
  <si>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</si>
  <si>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</si>
  <si>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</si>
  <si>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</si>
  <si>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</si>
  <si>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</si>
  <si>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</si>
  <si>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</si>
  <si>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</si>
  <si>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</si>
  <si>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</si>
  <si>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</si>
  <si>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</si>
  <si>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</si>
  <si>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</si>
  <si>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</si>
  <si>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</si>
  <si>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</si>
  <si>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</si>
  <si>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</si>
  <si>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</si>
  <si>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</si>
  <si>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</si>
  <si>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</si>
  <si>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</si>
  <si>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</si>
  <si>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</si>
  <si>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</si>
  <si>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</si>
  <si>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</si>
  <si>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</si>
  <si>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</si>
  <si>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</si>
  <si>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</si>
  <si>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</si>
  <si>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</si>
  <si>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</si>
  <si>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</si>
  <si>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</si>
  <si>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</si>
  <si>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</si>
  <si>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</si>
  <si>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</si>
  <si>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</si>
  <si>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</si>
  <si>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</si>
  <si>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</si>
  <si>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</si>
  <si>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</si>
  <si>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</si>
  <si>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</si>
  <si>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</si>
  <si>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</si>
  <si>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</si>
  <si>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</si>
  <si>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</si>
  <si>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</si>
  <si>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</si>
  <si>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</si>
  <si>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</si>
  <si>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</si>
  <si>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</si>
  <si>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</si>
  <si>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</si>
  <si>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</si>
  <si>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</si>
  <si>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</si>
  <si>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</si>
  <si>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</si>
  <si>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</si>
  <si>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</si>
  <si>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</si>
  <si>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</si>
  <si>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</si>
  <si>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</si>
  <si>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</si>
  <si>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</si>
  <si>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</si>
  <si>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</si>
  <si>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</si>
  <si>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</si>
  <si>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</si>
  <si>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</si>
  <si>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</si>
  <si>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</si>
  <si>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</si>
  <si>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</si>
  <si>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</si>
  <si>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</si>
  <si>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</si>
  <si>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</si>
  <si>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</si>
  <si>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</si>
  <si>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</si>
  <si>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</si>
  <si>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</si>
  <si>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</si>
  <si>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</si>
  <si>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</si>
  <si>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</si>
  <si>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</si>
  <si>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</si>
  <si>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</si>
  <si>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</si>
  <si>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</si>
  <si>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</si>
  <si>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</si>
  <si>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</si>
  <si>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</si>
  <si>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</si>
  <si>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</si>
  <si>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</si>
  <si>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</si>
  <si>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</si>
  <si>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</si>
  <si>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</si>
  <si>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</si>
  <si>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</si>
  <si>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</si>
  <si>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</si>
  <si>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</si>
  <si>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</si>
  <si>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</si>
  <si>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</si>
  <si>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</si>
  <si>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</si>
  <si>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</si>
  <si>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</si>
  <si>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</si>
  <si>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</si>
  <si>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</si>
  <si>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</si>
  <si>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</si>
  <si>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</si>
  <si>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</si>
  <si>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</si>
  <si>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</si>
  <si>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</si>
  <si>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</si>
  <si>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</si>
  <si>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</si>
  <si>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</si>
  <si>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</si>
  <si>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</si>
  <si>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</si>
  <si>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</si>
  <si>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</si>
  <si>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</si>
  <si>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</si>
  <si>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</si>
  <si>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</si>
  <si>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</si>
  <si>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</si>
  <si>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</si>
  <si>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</si>
  <si>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</si>
  <si>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</si>
  <si>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</si>
  <si>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</si>
  <si>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</si>
  <si>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</si>
  <si>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</si>
  <si>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</si>
  <si>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</si>
  <si>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</si>
  <si>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</si>
  <si>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</si>
  <si>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</si>
  <si>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</si>
  <si>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</si>
  <si>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</si>
  <si>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</si>
  <si>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</si>
  <si>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</si>
  <si>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</si>
  <si>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</si>
  <si>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</si>
  <si>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</si>
  <si>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</si>
  <si>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</si>
  <si>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</si>
  <si>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</si>
  <si>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</si>
  <si>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</si>
  <si>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</si>
  <si>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</si>
  <si>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</si>
  <si>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</si>
  <si>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</si>
  <si>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</si>
  <si>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</si>
  <si>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</si>
  <si>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</si>
  <si>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</si>
  <si>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</si>
  <si>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</si>
  <si>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</si>
  <si>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</si>
  <si>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</si>
  <si>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</si>
  <si>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</si>
  <si>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</si>
  <si>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</si>
  <si>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</si>
  <si>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</si>
  <si>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</si>
  <si>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</si>
  <si>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</si>
  <si>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</si>
  <si>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</si>
  <si>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</si>
  <si>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</si>
  <si>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</si>
  <si>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</si>
  <si>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</si>
  <si>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</si>
  <si>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</si>
  <si>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</si>
  <si>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</si>
  <si>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</si>
  <si>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</si>
  <si>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</si>
  <si>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</si>
  <si>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</si>
  <si>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</si>
  <si>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</si>
  <si>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</si>
  <si>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</si>
  <si>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</si>
  <si>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</si>
  <si>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</si>
  <si>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</si>
  <si>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</si>
  <si>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</si>
  <si>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</si>
  <si>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</si>
  <si>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</si>
  <si>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</si>
  <si>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</si>
  <si>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</si>
  <si>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</si>
  <si>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</si>
  <si>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</si>
  <si>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</si>
  <si>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</si>
  <si>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</si>
  <si>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</si>
  <si>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</si>
  <si>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</si>
  <si>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</si>
  <si>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</si>
  <si>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</si>
  <si>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</si>
  <si>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</si>
  <si>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</si>
  <si>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</si>
  <si>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</si>
  <si>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</si>
  <si>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</si>
  <si>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</si>
  <si>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</si>
  <si>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</si>
  <si>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</si>
  <si>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</si>
  <si>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</si>
  <si>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</si>
  <si>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</si>
  <si>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</si>
  <si>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</si>
  <si>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</si>
  <si>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</si>
  <si>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</si>
  <si>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</si>
  <si>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</si>
  <si>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</si>
  <si>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</si>
  <si>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</si>
  <si>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</si>
  <si>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</si>
  <si>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</si>
  <si>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</si>
  <si>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</si>
  <si>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</si>
  <si>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</si>
  <si>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</si>
  <si>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</si>
  <si>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</si>
  <si>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</si>
  <si>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</si>
  <si>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</si>
  <si>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</si>
  <si>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</si>
  <si>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</si>
  <si>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</si>
  <si>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</si>
  <si>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</si>
  <si>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</si>
  <si>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</si>
  <si>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</si>
  <si>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</si>
  <si>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</si>
  <si>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</si>
  <si>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</si>
  <si>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</si>
  <si>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</si>
  <si>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</si>
  <si>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</si>
  <si>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</si>
  <si>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</si>
  <si>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</si>
  <si>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</si>
  <si>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</si>
  <si>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</si>
  <si>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</si>
  <si>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</si>
  <si>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</si>
  <si>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</si>
  <si>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</si>
  <si>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</si>
  <si>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</si>
  <si>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</si>
  <si>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</si>
  <si>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</si>
  <si>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</si>
  <si>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</si>
  <si>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</si>
  <si>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</si>
  <si>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</si>
  <si>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</si>
  <si>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</si>
  <si>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</si>
  <si>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</si>
  <si>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</si>
  <si>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</si>
  <si>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</si>
  <si>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</si>
  <si>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</si>
  <si>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</si>
  <si>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</si>
  <si>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</si>
  <si>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</si>
  <si>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</si>
  <si>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</si>
  <si>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</si>
  <si>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</si>
  <si>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</si>
  <si>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</si>
  <si>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</si>
  <si>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</si>
  <si>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</si>
  <si>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</si>
  <si>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</si>
  <si>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</si>
  <si>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</si>
  <si>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</si>
  <si>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</si>
  <si>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</si>
  <si>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</si>
  <si>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</si>
  <si>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</si>
  <si>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</si>
  <si>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</si>
  <si>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</si>
  <si>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</si>
  <si>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</si>
  <si>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</si>
  <si>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</si>
  <si>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</si>
  <si>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</si>
  <si>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</si>
  <si>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</si>
  <si>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</si>
  <si>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</si>
  <si>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</si>
  <si>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</si>
  <si>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</si>
  <si>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</si>
  <si>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</si>
  <si>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</si>
  <si>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</si>
  <si>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</si>
  <si>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</si>
  <si>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</si>
  <si>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</si>
  <si>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</si>
  <si>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</si>
  <si>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</si>
  <si>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</si>
  <si>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</si>
  <si>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</si>
  <si>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</si>
  <si>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</si>
  <si>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</si>
  <si>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</si>
  <si>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</si>
  <si>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</si>
  <si>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</si>
  <si>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</si>
  <si>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</si>
  <si>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</si>
  <si>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</si>
  <si>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</si>
  <si>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</si>
  <si>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</si>
  <si>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</si>
  <si>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</si>
  <si>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</si>
  <si>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</si>
  <si>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</si>
  <si>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</si>
  <si>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</si>
  <si>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</si>
  <si>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</si>
  <si>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</si>
  <si>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</si>
  <si>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</si>
  <si>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</si>
  <si>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</si>
  <si>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</si>
  <si>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</si>
  <si>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</si>
  <si>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</si>
  <si>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</si>
  <si>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</si>
  <si>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</si>
  <si>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</si>
  <si>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</si>
  <si>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</si>
  <si>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</si>
  <si>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</si>
  <si>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</si>
  <si>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</si>
  <si>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</si>
  <si>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</si>
  <si>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</si>
  <si>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</si>
  <si>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</si>
  <si>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</si>
  <si>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</si>
  <si>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</si>
  <si>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</si>
  <si>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</si>
  <si>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</si>
  <si>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</si>
  <si>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</si>
  <si>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</si>
  <si>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</si>
  <si>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</si>
  <si>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</si>
  <si>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</si>
  <si>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</si>
  <si>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</si>
  <si>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</si>
  <si>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</si>
  <si>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</si>
  <si>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</si>
  <si>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</si>
  <si>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</si>
  <si>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</si>
  <si>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</si>
  <si>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</si>
  <si>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</si>
  <si>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</si>
  <si>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</si>
  <si>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</si>
  <si>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</si>
  <si>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</si>
  <si>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</si>
  <si>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</si>
  <si>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</si>
  <si>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</si>
  <si>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</si>
  <si>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</si>
  <si>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</si>
  <si>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</si>
  <si>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</si>
  <si>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</si>
  <si>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</si>
  <si>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</si>
  <si>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</si>
  <si>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</si>
  <si>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</si>
  <si>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</si>
  <si>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</si>
  <si>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</si>
  <si>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</si>
  <si>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</si>
  <si>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</si>
  <si>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</si>
  <si>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</si>
  <si>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</si>
  <si>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</si>
  <si>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</si>
  <si>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</si>
  <si>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</si>
  <si>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</si>
  <si>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</si>
  <si>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</si>
  <si>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</si>
  <si>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</si>
  <si>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</si>
  <si>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</si>
  <si>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</si>
  <si>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</si>
  <si>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</si>
  <si>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</si>
  <si>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</si>
  <si>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</si>
  <si>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</si>
  <si>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</si>
  <si>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</si>
  <si>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</si>
  <si>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</si>
  <si>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</si>
  <si>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</si>
  <si>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</si>
  <si>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</si>
  <si>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</si>
  <si>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</si>
  <si>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</si>
  <si>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</si>
  <si>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</si>
  <si>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</si>
  <si>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</si>
  <si>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</si>
  <si>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</si>
  <si>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</si>
  <si>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</si>
  <si>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</si>
  <si>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</si>
  <si>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</si>
  <si>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</si>
  <si>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</si>
  <si>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</si>
  <si>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</si>
  <si>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</si>
  <si>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</si>
  <si>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</si>
  <si>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</si>
  <si>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</si>
  <si>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</si>
  <si>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</si>
  <si>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</si>
  <si>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</si>
  <si>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</si>
  <si>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</si>
  <si>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</si>
  <si>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</si>
  <si>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</si>
  <si>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</si>
  <si>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</si>
  <si>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</si>
  <si>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</si>
  <si>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CG204(4)</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</si>
  <si>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</si>
  <si>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</si>
  <si>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</si>
  <si>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</si>
  <si>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</si>
  <si>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</si>
  <si>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</si>
  <si>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</si>
  <si>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</si>
  <si>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</si>
  <si>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</si>
  <si>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</si>
  <si>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</si>
  <si>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</si>
  <si>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</si>
  <si>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</si>
  <si>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</si>
  <si>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</si>
  <si>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</si>
  <si>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</si>
  <si>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</si>
  <si>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</si>
  <si>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</si>
  <si>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</si>
  <si>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</si>
  <si>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</si>
  <si>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</si>
  <si>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</si>
  <si>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</si>
  <si>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</si>
  <si>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</si>
  <si>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</si>
  <si>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</si>
  <si>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</si>
  <si>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</si>
  <si>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</si>
  <si>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</si>
  <si>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</si>
  <si>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</si>
  <si>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</si>
  <si>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</si>
  <si>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</si>
  <si>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</si>
  <si>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</si>
  <si>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</si>
  <si>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</si>
  <si>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</si>
  <si>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</si>
  <si>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</si>
  <si>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</si>
  <si>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</si>
  <si>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</si>
  <si>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</si>
  <si>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</si>
  <si>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</si>
  <si>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</si>
  <si>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</si>
  <si>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</si>
  <si>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</si>
  <si>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</si>
  <si>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</si>
  <si>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</si>
  <si>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</si>
  <si>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</si>
  <si>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</si>
  <si>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</si>
  <si>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</si>
  <si>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</si>
  <si>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</si>
  <si>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</si>
  <si>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</si>
  <si>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</si>
  <si>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</si>
  <si>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</si>
  <si>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</si>
  <si>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</si>
  <si>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</si>
  <si>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</si>
  <si>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</si>
  <si>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</si>
  <si>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</si>
  <si>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</si>
  <si>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</si>
  <si>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</si>
  <si>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</si>
  <si>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</si>
  <si>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</si>
  <si>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</si>
  <si>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</si>
  <si>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</si>
  <si>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</si>
  <si>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</si>
  <si>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</si>
  <si>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</si>
  <si>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</si>
  <si>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</si>
  <si>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</si>
  <si>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</si>
  <si>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</si>
  <si>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</si>
  <si>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</si>
  <si>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</si>
  <si>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</si>
  <si>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</si>
  <si>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</si>
  <si>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</si>
  <si>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</si>
  <si>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</si>
  <si>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</si>
  <si>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</si>
  <si>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</si>
  <si>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</si>
  <si>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</si>
  <si>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</si>
  <si>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</si>
  <si>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</si>
  <si>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</si>
  <si>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</si>
  <si>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</si>
  <si>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</si>
  <si>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</si>
  <si>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</si>
  <si>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</si>
  <si>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</si>
  <si>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</si>
  <si>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</si>
  <si>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</si>
  <si>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</si>
  <si>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</si>
  <si>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</si>
  <si>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</si>
  <si>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</si>
  <si>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</si>
  <si>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</si>
  <si>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</si>
  <si>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</si>
  <si>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</si>
  <si>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</si>
  <si>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</si>
  <si>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</si>
  <si>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</si>
  <si>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</si>
  <si>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</si>
  <si>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</si>
  <si>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</si>
  <si>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</si>
  <si>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</si>
  <si>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</si>
  <si>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</si>
  <si>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</si>
  <si>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</si>
  <si>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</si>
  <si>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no tag or cord</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</si>
  <si>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</si>
  <si>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</si>
  <si>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</si>
  <si>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</si>
  <si>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</si>
  <si>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</si>
  <si>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</si>
  <si>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</si>
  <si>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</si>
  <si>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</si>
  <si>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</si>
  <si>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</si>
  <si>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</si>
  <si>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</si>
  <si>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</si>
  <si>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</si>
  <si>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</si>
  <si>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</si>
  <si>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</si>
  <si>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</si>
  <si>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</si>
  <si>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</si>
  <si>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</si>
  <si>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</si>
  <si>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</si>
  <si>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</si>
  <si>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</si>
  <si>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</si>
  <si>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</si>
  <si>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</si>
  <si>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</si>
  <si>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</si>
  <si>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</si>
  <si>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</si>
  <si>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</si>
  <si>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</si>
  <si>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</si>
  <si>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</si>
  <si>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</si>
  <si>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</si>
  <si>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</si>
  <si>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</si>
  <si>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</si>
  <si>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</si>
  <si>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</si>
  <si>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</si>
  <si>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</si>
  <si>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</si>
  <si>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</si>
  <si>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</si>
  <si>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</si>
  <si>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</si>
  <si>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</si>
  <si>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</si>
  <si>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</si>
  <si>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</si>
  <si>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</si>
  <si>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</si>
  <si>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</si>
  <si>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</si>
  <si>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</si>
  <si>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</si>
  <si>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</si>
  <si>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</si>
  <si>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</si>
  <si>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</si>
  <si>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</si>
  <si>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</si>
  <si>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</si>
  <si>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</si>
  <si>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</si>
  <si>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</si>
  <si>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</si>
  <si>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</si>
  <si>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</si>
  <si>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</si>
  <si>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</si>
  <si>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</si>
  <si>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</si>
  <si>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</si>
  <si>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</si>
  <si>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</si>
  <si>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</si>
  <si>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</si>
  <si>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</si>
  <si>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</si>
  <si>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Antall digler pr batch</t>
  </si>
  <si>
    <t>TOTALT (timer</t>
  </si>
  <si>
    <t>Average common garden</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</si>
  <si>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</si>
  <si>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</si>
  <si>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</si>
  <si>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</si>
  <si>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</si>
  <si>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</si>
  <si>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</si>
  <si>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</si>
  <si>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</si>
  <si>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</si>
  <si>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</si>
  <si>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</si>
  <si>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</si>
  <si>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</si>
  <si>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</si>
  <si>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</si>
  <si>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</si>
  <si>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</si>
  <si>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</si>
  <si>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</si>
  <si>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</si>
  <si>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</si>
  <si>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</si>
  <si>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</si>
  <si>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</si>
  <si>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</si>
  <si>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</si>
  <si>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</si>
  <si>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</si>
  <si>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</si>
  <si>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</si>
  <si>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</si>
  <si>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</si>
  <si>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</si>
  <si>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</si>
  <si>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</si>
  <si>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</si>
  <si>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</si>
  <si>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</si>
  <si>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</si>
  <si>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</si>
  <si>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</si>
  <si>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</si>
  <si>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</si>
  <si>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</si>
  <si>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</si>
  <si>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</si>
  <si>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</si>
  <si>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</si>
  <si>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</si>
  <si>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</si>
  <si>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</si>
  <si>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</si>
  <si>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</si>
  <si>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</si>
  <si>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</si>
  <si>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</si>
  <si>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</si>
  <si>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</si>
  <si>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</si>
  <si>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</si>
  <si>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</si>
  <si>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</si>
  <si>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</si>
  <si>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</si>
  <si>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</si>
  <si>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</si>
  <si>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</si>
  <si>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</si>
  <si>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</si>
  <si>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</si>
  <si>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</si>
  <si>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</si>
  <si>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</si>
  <si>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</si>
  <si>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WET-A2-T5</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</si>
  <si>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</si>
  <si>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</si>
  <si>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</si>
  <si>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</si>
  <si>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</si>
  <si>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</si>
  <si>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</si>
  <si>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</si>
  <si>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</si>
  <si>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</si>
  <si>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</si>
  <si>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</si>
  <si>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</si>
  <si>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</si>
  <si>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</si>
  <si>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</si>
  <si>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</si>
  <si>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</si>
  <si>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</si>
  <si>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</si>
  <si>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</si>
  <si>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</si>
  <si>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</si>
  <si>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</si>
  <si>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</si>
  <si>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</si>
  <si>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</si>
  <si>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</si>
  <si>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</si>
  <si>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</si>
  <si>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</si>
  <si>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</si>
  <si>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</si>
  <si>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</si>
  <si>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</si>
  <si>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</si>
  <si>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DRY-A2-T7</t>
  </si>
  <si>
    <t>SRY-A3-T8</t>
  </si>
  <si>
    <t>DRY-A4-T5</t>
  </si>
  <si>
    <t>WET-A2-T7</t>
  </si>
  <si>
    <t>DRY-P1-T3</t>
  </si>
  <si>
    <t>DRY-W3-T3</t>
  </si>
  <si>
    <t>DRY-W3-T1</t>
  </si>
  <si>
    <t>202(5)</t>
  </si>
  <si>
    <t>USED ALMOST ALL OF THE SAMPLE</t>
  </si>
  <si>
    <t>HIGH WEIGHT, ONLY SOIL AND ROCKS</t>
  </si>
  <si>
    <t>WET-A1-T4</t>
  </si>
  <si>
    <t>WET-AG4-T5</t>
  </si>
  <si>
    <t>WET-A4-T5</t>
  </si>
  <si>
    <t>WET-A2-T6</t>
  </si>
  <si>
    <t>USED ALL OF THE SAMPLE</t>
  </si>
  <si>
    <t>ZIPBAG SAID R299?, BUT TEABAG SAID R249</t>
  </si>
  <si>
    <t>PROBABLY ALL SOIL</t>
  </si>
  <si>
    <t>PROB ONLY SOIL</t>
  </si>
  <si>
    <t>PROB ONLY SOIL, MANY ROOTS</t>
  </si>
  <si>
    <t xml:space="preserve">&lt;TBI DATA FORM&gt; </t>
  </si>
  <si>
    <t>VERSION 2.01</t>
  </si>
  <si>
    <t>NOTE</t>
  </si>
  <si>
    <t>READ GENERAL INSTRUCTIONS IN THE MANUAL SHEET BEFORE YOU START</t>
  </si>
  <si>
    <t>This form consists of five parts: METADATA (L10-L20), COMMON DATA (L24-L40), LOCATION CODES (L42-L52), TREATMENT LEGEND (L54-L58) AND SAMPLE DATA (L61-)</t>
  </si>
  <si>
    <t>The formulae used in this sheet are based on Keuskamp et al. 2013 (http://onlinelibrary.wiley.com/enhanced/doi/10.1111/2041-210X.12097/)</t>
  </si>
  <si>
    <t xml:space="preserve">For more information please refer to the manual included with this file </t>
  </si>
  <si>
    <t>Please fill out the data in the purple cells, and optionally in the blue cells and send form to tbiteam@decolab.org or upload it on www.teatime4science.org</t>
  </si>
  <si>
    <t xml:space="preserve"> </t>
  </si>
  <si>
    <t>Item</t>
  </si>
  <si>
    <t>Value</t>
  </si>
  <si>
    <t>Anders Sundsdal</t>
  </si>
  <si>
    <t>Secondary investigator</t>
  </si>
  <si>
    <t>Stuart W Smith</t>
  </si>
  <si>
    <t>Norwegian University of Science and Technology (NTNU)</t>
  </si>
  <si>
    <t>andersun@stud.ntnu.no</t>
  </si>
  <si>
    <t>stuart.smith@ntnu.no</t>
  </si>
  <si>
    <t>Tanzania</t>
  </si>
  <si>
    <t>AfricanBioServices</t>
  </si>
  <si>
    <t>Understanding the impact of human land-use on termite and soil microbe litter decomposition in the Serengeti savannah ecosystem.</t>
  </si>
  <si>
    <t>Pending</t>
  </si>
  <si>
    <t>&lt;END OF METADATA&gt;</t>
  </si>
  <si>
    <t>&lt;COMMON DATA&gt;</t>
  </si>
  <si>
    <t>item</t>
  </si>
  <si>
    <t>Calculation help in manual sheet</t>
  </si>
  <si>
    <t>&lt;END OF COMMON DATA&gt;</t>
  </si>
  <si>
    <t>&lt;LOCATION CODES&gt;</t>
  </si>
  <si>
    <t>OPTIONAL DATA</t>
  </si>
  <si>
    <t>Only one item per line - expand as necessary</t>
  </si>
  <si>
    <t>Optional data - Numerical</t>
  </si>
  <si>
    <t>Optional data - Classifications, use the dropdown lists.</t>
  </si>
  <si>
    <t>Dry_Ag1</t>
  </si>
  <si>
    <t>Dry region, agriculture</t>
  </si>
  <si>
    <t>Savanna- mixed decidious tree and grassland</t>
  </si>
  <si>
    <t>NESW (all)</t>
  </si>
  <si>
    <t>Dry_Ag2</t>
  </si>
  <si>
    <t>Dry_Ag3</t>
  </si>
  <si>
    <t>Dry_Ag4</t>
  </si>
  <si>
    <t>Dry_P1</t>
  </si>
  <si>
    <t>Dry region, pasture</t>
  </si>
  <si>
    <t>Dry_P2</t>
  </si>
  <si>
    <t>Dry_P3</t>
  </si>
  <si>
    <t>Dry_P4</t>
  </si>
  <si>
    <t>Dry_W1</t>
  </si>
  <si>
    <t>Dry region, wild area</t>
  </si>
  <si>
    <t>Dry_W2</t>
  </si>
  <si>
    <t>Dry_W3</t>
  </si>
  <si>
    <t>Dry_W4</t>
  </si>
  <si>
    <t>Wet_Ag1</t>
  </si>
  <si>
    <t>Wet region, agriculture</t>
  </si>
  <si>
    <t>Wet_Ag2</t>
  </si>
  <si>
    <t>Wet_Ag3</t>
  </si>
  <si>
    <t>Wet_Ag4</t>
  </si>
  <si>
    <t>Wet_P1</t>
  </si>
  <si>
    <t>Wet region, pasture</t>
  </si>
  <si>
    <t>Wet_P2</t>
  </si>
  <si>
    <t>Wet_P3</t>
  </si>
  <si>
    <t>Wet_P4</t>
  </si>
  <si>
    <t>Wet_W1</t>
  </si>
  <si>
    <t>Wet region, wild area</t>
  </si>
  <si>
    <t>Wet_W2</t>
  </si>
  <si>
    <t>Wet_W3</t>
  </si>
  <si>
    <t>Wet_W4</t>
  </si>
  <si>
    <t>Intermediate area, wild</t>
  </si>
  <si>
    <t>&lt;END OF LOCATION CODES&gt;</t>
  </si>
  <si>
    <t>&lt;TREATMENT CODES&gt;</t>
  </si>
  <si>
    <t>General description</t>
  </si>
  <si>
    <t>Teabags standard buried, open for all micro- and macro soil organisms.</t>
  </si>
  <si>
    <t>Teabags wrapped with an additional 0.3 mm aperture size stainless steel metal mesh to exclude macro soil organisms, mainly termites. Otherwise standard buried.</t>
  </si>
  <si>
    <t>&lt;END OF TREATMENT CODES&gt;</t>
  </si>
  <si>
    <t>NOTE: USING ASHED WEIGHTS</t>
  </si>
  <si>
    <t>&lt;SAMPLE DATA&gt;</t>
  </si>
  <si>
    <t>Other notes</t>
  </si>
  <si>
    <t>Location code</t>
  </si>
  <si>
    <r>
      <rPr>
        <sz val="11"/>
        <color rgb="FF008000"/>
        <rFont val="Calibri"/>
        <family val="2"/>
      </rPr>
      <t>Green tea</t>
    </r>
    <r>
      <rPr>
        <sz val="11"/>
        <color indexed="8"/>
        <rFont val="Calibri"/>
        <family val="2"/>
      </rPr>
      <t xml:space="preserve"> code</t>
    </r>
  </si>
  <si>
    <r>
      <rPr>
        <sz val="11"/>
        <color rgb="FFFF0000"/>
        <rFont val="Calibri"/>
        <family val="2"/>
      </rPr>
      <t>Red tea</t>
    </r>
    <r>
      <rPr>
        <sz val="11"/>
        <color indexed="8"/>
        <rFont val="Calibri"/>
        <family val="2"/>
      </rPr>
      <t xml:space="preserve"> code</t>
    </r>
  </si>
  <si>
    <r>
      <t xml:space="preserve">Initial weight </t>
    </r>
    <r>
      <rPr>
        <sz val="11"/>
        <color indexed="17"/>
        <rFont val="Calibri"/>
        <family val="2"/>
      </rPr>
      <t xml:space="preserve">green tea </t>
    </r>
    <r>
      <rPr>
        <sz val="11"/>
        <color indexed="8"/>
        <rFont val="Calibri"/>
        <family val="2"/>
      </rPr>
      <t>including bag, cord and label</t>
    </r>
  </si>
  <si>
    <r>
      <rPr>
        <sz val="11"/>
        <rFont val="Calibri"/>
        <family val="2"/>
      </rPr>
      <t xml:space="preserve">Ashed subsample percentage controll initial </t>
    </r>
    <r>
      <rPr>
        <sz val="11"/>
        <color rgb="FF008000"/>
        <rFont val="Calibri"/>
        <family val="2"/>
      </rPr>
      <t>green tea</t>
    </r>
    <r>
      <rPr>
        <sz val="11"/>
        <color indexed="8"/>
        <rFont val="Calibri"/>
        <family val="2"/>
      </rPr>
      <t xml:space="preserve"> </t>
    </r>
    <r>
      <rPr>
        <sz val="11"/>
        <rFont val="Calibri"/>
        <family val="2"/>
      </rPr>
      <t>tea only (Avarage)</t>
    </r>
  </si>
  <si>
    <r>
      <t xml:space="preserve">Ashed initial corrected weight </t>
    </r>
    <r>
      <rPr>
        <sz val="11"/>
        <color indexed="17"/>
        <rFont val="Calibri"/>
        <family val="2"/>
      </rPr>
      <t>green tea</t>
    </r>
    <r>
      <rPr>
        <sz val="11"/>
        <color indexed="8"/>
        <rFont val="Calibri"/>
        <family val="2"/>
      </rPr>
      <t xml:space="preserve"> tea only</t>
    </r>
  </si>
  <si>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t>
    </r>
  </si>
  <si>
    <r>
      <t xml:space="preserve">Ashed Initial corrected weight </t>
    </r>
    <r>
      <rPr>
        <sz val="11"/>
        <color rgb="FFFF0000"/>
        <rFont val="Calibri"/>
        <family val="2"/>
      </rPr>
      <t>red tea</t>
    </r>
    <r>
      <rPr>
        <sz val="11"/>
        <color indexed="8"/>
        <rFont val="Calibri"/>
        <family val="2"/>
      </rPr>
      <t xml:space="preserve"> tea only</t>
    </r>
  </si>
  <si>
    <r>
      <t xml:space="preserve">Final weight </t>
    </r>
    <r>
      <rPr>
        <sz val="11"/>
        <color indexed="17"/>
        <rFont val="Calibri"/>
        <family val="2"/>
      </rPr>
      <t xml:space="preserve">green tea </t>
    </r>
    <r>
      <rPr>
        <sz val="11"/>
        <color indexed="8"/>
        <rFont val="Calibri"/>
        <family val="2"/>
      </rPr>
      <t>including bag and cord, no label</t>
    </r>
  </si>
  <si>
    <r>
      <t>Final weight</t>
    </r>
    <r>
      <rPr>
        <sz val="11"/>
        <color indexed="10"/>
        <rFont val="Calibri"/>
        <family val="2"/>
      </rPr>
      <t xml:space="preserve"> red tea </t>
    </r>
    <r>
      <rPr>
        <sz val="11"/>
        <color indexed="8"/>
        <rFont val="Calibri"/>
        <family val="2"/>
      </rPr>
      <t>including bag and cord, no label</t>
    </r>
  </si>
  <si>
    <r>
      <t xml:space="preserve">Ashed subsample percentage </t>
    </r>
    <r>
      <rPr>
        <sz val="11"/>
        <color rgb="FF008000"/>
        <rFont val="Calibri"/>
        <family val="2"/>
      </rPr>
      <t>green tea</t>
    </r>
  </si>
  <si>
    <r>
      <rPr>
        <sz val="11"/>
        <rFont val="Calibri"/>
        <family val="2"/>
      </rPr>
      <t xml:space="preserve">Ashed subsample percentage </t>
    </r>
    <r>
      <rPr>
        <sz val="11"/>
        <color rgb="FFFF0000"/>
        <rFont val="Calibri"/>
        <family val="2"/>
      </rPr>
      <t>red tea</t>
    </r>
  </si>
  <si>
    <r>
      <t xml:space="preserve">Ashed final weight </t>
    </r>
    <r>
      <rPr>
        <sz val="11"/>
        <color rgb="FF008000"/>
        <rFont val="Calibri"/>
        <family val="2"/>
      </rPr>
      <t>green tea</t>
    </r>
    <r>
      <rPr>
        <sz val="11"/>
        <color indexed="8"/>
        <rFont val="Calibri"/>
        <family val="2"/>
      </rPr>
      <t xml:space="preserve"> tea only</t>
    </r>
  </si>
  <si>
    <r>
      <t xml:space="preserve">Ashed final weight </t>
    </r>
    <r>
      <rPr>
        <sz val="11"/>
        <color rgb="FFFF0000"/>
        <rFont val="Calibri"/>
        <family val="2"/>
      </rPr>
      <t>red tea</t>
    </r>
    <r>
      <rPr>
        <sz val="11"/>
        <color indexed="8"/>
        <rFont val="Calibri"/>
        <family val="2"/>
      </rPr>
      <t xml:space="preserve"> tea only</t>
    </r>
  </si>
  <si>
    <r>
      <t xml:space="preserve">Fraction decomposed </t>
    </r>
    <r>
      <rPr>
        <sz val="11"/>
        <color rgb="FF00B050"/>
        <rFont val="Calibri"/>
        <family val="2"/>
      </rPr>
      <t xml:space="preserve">green tea </t>
    </r>
    <r>
      <rPr>
        <sz val="11"/>
        <rFont val="Calibri"/>
        <family val="2"/>
      </rPr>
      <t>(ash corrected)</t>
    </r>
    <r>
      <rPr>
        <sz val="11"/>
        <color indexed="8"/>
        <rFont val="Calibri"/>
        <family val="2"/>
      </rPr>
      <t xml:space="preserve"> (ag) </t>
    </r>
  </si>
  <si>
    <r>
      <t xml:space="preserve">Sign of hole(s) on </t>
    </r>
    <r>
      <rPr>
        <sz val="11"/>
        <color rgb="FFFF0000"/>
        <rFont val="Calibri"/>
        <family val="2"/>
      </rPr>
      <t>red tea</t>
    </r>
  </si>
  <si>
    <r>
      <t xml:space="preserve">Sign of roots on </t>
    </r>
    <r>
      <rPr>
        <sz val="11"/>
        <color rgb="FFFF0000"/>
        <rFont val="Calibri"/>
        <family val="2"/>
      </rPr>
      <t>red tea</t>
    </r>
  </si>
  <si>
    <r>
      <t xml:space="preserve">Sign of hole(s) on </t>
    </r>
    <r>
      <rPr>
        <sz val="11"/>
        <color rgb="FF008000"/>
        <rFont val="Calibri"/>
        <family val="2"/>
      </rPr>
      <t>green tea</t>
    </r>
  </si>
  <si>
    <r>
      <t xml:space="preserve">Sign of roots on </t>
    </r>
    <r>
      <rPr>
        <sz val="11"/>
        <color rgb="FF008000"/>
        <rFont val="Calibri"/>
        <family val="2"/>
      </rPr>
      <t>green tea</t>
    </r>
  </si>
  <si>
    <t>NOTE: USING UNASHED WEIGHTS</t>
  </si>
  <si>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 (Avarage)</t>
    </r>
  </si>
  <si>
    <t>Sign of termite cheeting on green tea</t>
  </si>
  <si>
    <t>Sign of termite cheeting on red tea</t>
  </si>
  <si>
    <t>Duplicate check formula</t>
  </si>
  <si>
    <t>GREEN</t>
  </si>
  <si>
    <t>RED</t>
  </si>
  <si>
    <t>Duplicate check formula (Remeber to check for "Search in values"</t>
  </si>
  <si>
    <t>TBI WET</t>
  </si>
  <si>
    <t>TBI DRY (This datalist is created from the TBI data sheet which in turn is created from "Final_data_for_R_Wet/dry" which in turn are made from the collection_placement sheet.)</t>
  </si>
  <si>
    <t>BOTH TEABAGS AFTERWET</t>
  </si>
  <si>
    <t>BOTH TEABAGS AFTERDRY</t>
  </si>
  <si>
    <t>Green_Rooibos initial weight</t>
  </si>
  <si>
    <t>R841</t>
  </si>
  <si>
    <t>STATUS: 0</t>
  </si>
  <si>
    <t>UPDATED 22.11.18</t>
  </si>
  <si>
    <t>STATUS: 1</t>
  </si>
  <si>
    <t>STATUS: 1 (and 2x NA)</t>
  </si>
  <si>
    <t>STATUS: 1 (and 1 ?)</t>
  </si>
  <si>
    <t>Wet_Collection_placement</t>
  </si>
  <si>
    <t>Dry_Collection_placement</t>
  </si>
  <si>
    <t>STATUS: 4</t>
  </si>
  <si>
    <t>Ashed dry</t>
  </si>
  <si>
    <t>Ashed wet</t>
  </si>
  <si>
    <t>&lt;--Same code in both campaign?--&gt;</t>
  </si>
  <si>
    <t>Samplecode</t>
  </si>
  <si>
    <t>Local1</t>
  </si>
  <si>
    <t>Local2</t>
  </si>
  <si>
    <t>Local3</t>
  </si>
  <si>
    <t>Local4</t>
  </si>
  <si>
    <t>UPDATED 03.12.18</t>
  </si>
  <si>
    <t>Checking if all bags has been recorded in both: collection_placement dry and ashed dry</t>
  </si>
  <si>
    <t>GREENAsh</t>
  </si>
  <si>
    <t>Green place</t>
  </si>
  <si>
    <t>Redash</t>
  </si>
  <si>
    <t>Redplace</t>
  </si>
  <si>
    <t>Status:</t>
  </si>
  <si>
    <t>DNA sampled. G: hole because of digging</t>
  </si>
  <si>
    <t>Green code in ashed?</t>
  </si>
  <si>
    <t>Red code in ashed?</t>
  </si>
  <si>
    <t>Green place corrected for missing bags</t>
  </si>
  <si>
    <t>Red place corrected for missing bags</t>
  </si>
  <si>
    <t>Correction for missing and dna bags.</t>
  </si>
  <si>
    <t>Ordered green ash</t>
  </si>
  <si>
    <t>Ordered Green place corrected for missing bags</t>
  </si>
  <si>
    <t>Ordered red ash</t>
  </si>
  <si>
    <t>Ordered Red place corrected for missing bags</t>
  </si>
  <si>
    <t>Greenash code in green place?/omvendt</t>
  </si>
  <si>
    <t>Redash code in redplace?/omvendt</t>
  </si>
  <si>
    <t>Total list of green place</t>
  </si>
  <si>
    <t>total vs dna+missing</t>
  </si>
  <si>
    <t>Status: NO discrepancies, i.e. none of the codes below is found in ashed wet</t>
  </si>
  <si>
    <t>Total list of red place</t>
  </si>
  <si>
    <t>total vs missing</t>
  </si>
  <si>
    <t>Teabags lost when collected in field  (i.e not recorded in ashing) BUT Not included single bags in a plot missing.</t>
  </si>
  <si>
    <t>Added later to create a full list of teabags used even if there was no tea left. Therefore there is no number in this column.</t>
  </si>
  <si>
    <t>Checking if all bags has been recorded in both: collection_placement wet, afterwet and ashed wet</t>
  </si>
  <si>
    <t>RED afterwet</t>
  </si>
  <si>
    <t>Single bags missing from a plot</t>
  </si>
  <si>
    <t>Green afterwet</t>
  </si>
  <si>
    <t>Green Ordered both teabags afterwet</t>
  </si>
  <si>
    <t>Status: OK. All bags are accounted for. Removed the lost bags from collection list, see the table to the left for list of lost bags.</t>
  </si>
  <si>
    <t>REDOrdered afterwet</t>
  </si>
  <si>
    <t>red list Corrected for lost bags red</t>
  </si>
  <si>
    <t>green list Corrected for lost bags collected</t>
  </si>
  <si>
    <t>Added from ashed sheet. The weight here is without the bag and cord. Therfore the estimated weight of a empty litterbag and string is added.</t>
  </si>
  <si>
    <r>
      <rPr>
        <b/>
        <sz val="11"/>
        <color rgb="FF9C5700"/>
        <rFont val="Calibri"/>
        <family val="2"/>
        <scheme val="minor"/>
      </rPr>
      <t>Status:</t>
    </r>
    <r>
      <rPr>
        <sz val="11"/>
        <color rgb="FF9C5700"/>
        <rFont val="Calibri"/>
        <family val="2"/>
        <scheme val="minor"/>
      </rPr>
      <t xml:space="preserve"> Both green and red OK</t>
    </r>
  </si>
  <si>
    <t>Updated: 07.12.18</t>
  </si>
  <si>
    <t>List of teabags lost in field in wetseason</t>
  </si>
  <si>
    <t>Lost or DNA sampled teabags</t>
  </si>
  <si>
    <t>Green afterdry</t>
  </si>
  <si>
    <t>Green Ordered both teabags afterdry</t>
  </si>
  <si>
    <t>RED afterdry</t>
  </si>
  <si>
    <t>REDOrdered afterdry</t>
  </si>
  <si>
    <t>Added from Ashed dry. This bag was found in a bucket when out in field in dry season. So its processsed with dry season samples.</t>
  </si>
  <si>
    <t>EMPTY BAG, NO PLOT CODE.  Added from Ashed dry. This bag was found in a bucket when out in field in dry season. So its processsed with dry season samples.</t>
  </si>
  <si>
    <t>Teabag found in Seronera after Marit's sampling attached to pipes. Added from afterdry. This bag was found in a bucket when out in field in dry season. So its processsed with dry season samples.</t>
  </si>
  <si>
    <t>green list Corrected for dna and missing teabags in collected</t>
  </si>
  <si>
    <t>list Corrected for dna and missing in collected red</t>
  </si>
  <si>
    <t>LOT OF LITTER FALLEN OUT OF BAG (0,6850g) seen left in the paper bag, bag ripped open. This is added to the litterweight.</t>
  </si>
  <si>
    <t>After collected bags: two bags had the same number… So they are called R54a and R54b. Need to find out which of them is the real R54 and what the other one is. UPDATE: Have assigned 54a as 54 and 54b as 53, since 53 is not listed in the data at all. So most likely one of them are 53. And they have similar weight so it should be ok.</t>
  </si>
  <si>
    <t>STATUS:</t>
  </si>
  <si>
    <t>All bags counted for? TRUE=YES</t>
  </si>
  <si>
    <t>Teabags sampled for DNA (i.e not recorded in ashing yet)=Yellow</t>
  </si>
  <si>
    <t>Teabags lost when collected in field  (i.e not recorded in ashing) BUT not included singel bag in a plot missing=brown</t>
  </si>
  <si>
    <r>
      <t xml:space="preserve">Sign of termite cheeting on </t>
    </r>
    <r>
      <rPr>
        <sz val="11"/>
        <color rgb="FFFF0000"/>
        <rFont val="Calibri"/>
        <family val="2"/>
      </rPr>
      <t>red tea</t>
    </r>
  </si>
  <si>
    <r>
      <t xml:space="preserve">Sign of termite cheeting on </t>
    </r>
    <r>
      <rPr>
        <sz val="11"/>
        <color rgb="FF008000"/>
        <rFont val="Calibri"/>
        <family val="2"/>
      </rPr>
      <t>green tea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</si>
</sst>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68">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
      <u/>
      <sz val="11"/>
      <color theme="10"/>
      <name val="Calibri"/>
      <family val="2"/>
    </font>
    <font>
      <b/>
      <sz val="16"/>
      <color rgb="FFC00000"/>
      <name val="Calibri"/>
      <family val="2"/>
    </font>
    <font>
      <sz val="16"/>
      <color rgb="FFC00000"/>
      <name val="Calibri"/>
      <family val="2"/>
    </font>
    <font>
      <sz val="11"/>
      <color rgb="FF000000"/>
      <name val="Calibri"/>
      <family val="2"/>
    </font>
    <font>
      <sz val="12"/>
      <color rgb="FFFF0000"/>
      <name val="Calibri"/>
      <family val="2"/>
    </font>
    <font>
      <sz val="8"/>
      <color rgb="FFFF0000"/>
      <name val="Calibri"/>
      <family val="2"/>
    </font>
    <font>
      <b/>
      <sz val="14"/>
      <color indexed="8"/>
      <name val="Calibri"/>
      <family val="2"/>
    </font>
    <font>
      <sz val="11"/>
      <color rgb="FF008000"/>
      <name val="Calibri"/>
      <family val="2"/>
    </font>
    <font>
      <sz val="11"/>
      <color rgb="FF00B050"/>
      <name val="Calibri"/>
      <family val="2"/>
    </font>
    <font>
      <sz val="11"/>
      <color theme="0"/>
      <name val="Calibri"/>
      <family val="2"/>
      <scheme val="minor"/>
    </font>
    <font>
      <sz val="9"/>
      <color indexed="81"/>
      <name val="Tahoma"/>
      <charset val="1"/>
    </font>
    <font>
      <b/>
      <sz val="9"/>
      <color indexed="81"/>
      <name val="Tahoma"/>
      <charset val="1"/>
    </font>
    <font>
      <b/>
      <sz val="11"/>
      <color rgb="FF9C5700"/>
      <name val="Calibri"/>
      <family val="2"/>
      <scheme val="minor"/>
    </font>
  </fonts>
  <fills count="24">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FFCC"/>
      </patternFill>
    </fill>
    <fill>
      <patternFill patternType="solid">
        <fgColor theme="7" tint="0.79998168889431442"/>
        <bgColor indexed="65"/>
      </patternFill>
    </fill>
    <fill>
      <patternFill patternType="solid">
        <fgColor theme="8" tint="0.79998168889431442"/>
        <bgColor indexed="64"/>
      </patternFill>
    </fill>
    <fill>
      <patternFill patternType="solid">
        <fgColor theme="7"/>
      </patternFill>
    </fill>
    <fill>
      <patternFill patternType="solid">
        <fgColor theme="9" tint="0.39997558519241921"/>
        <bgColor indexed="65"/>
      </patternFill>
    </fill>
  </fills>
  <borders count="43">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medium">
        <color auto="1"/>
      </right>
      <top style="medium">
        <color auto="1"/>
      </top>
      <bottom/>
      <diagonal/>
    </border>
    <border>
      <left/>
      <right style="thin">
        <color rgb="FFB2B2B2"/>
      </right>
      <top style="thin">
        <color rgb="FFB2B2B2"/>
      </top>
      <bottom style="thin">
        <color rgb="FFB2B2B2"/>
      </bottom>
      <diagonal/>
    </border>
    <border>
      <left/>
      <right style="thin">
        <color indexed="64"/>
      </right>
      <top style="medium">
        <color auto="1"/>
      </top>
      <bottom/>
      <diagonal/>
    </border>
    <border>
      <left style="thin">
        <color auto="1"/>
      </left>
      <right/>
      <top style="medium">
        <color auto="1"/>
      </top>
      <bottom/>
      <diagonal/>
    </border>
    <border>
      <left/>
      <right style="thin">
        <color auto="1"/>
      </right>
      <top/>
      <bottom style="medium">
        <color indexed="64"/>
      </bottom>
      <diagonal/>
    </border>
    <border>
      <left style="thin">
        <color auto="1"/>
      </left>
      <right/>
      <top/>
      <bottom style="medium">
        <color auto="1"/>
      </bottom>
      <diagonal/>
    </border>
    <border>
      <left/>
      <right/>
      <top/>
      <bottom style="thin">
        <color auto="1"/>
      </bottom>
      <diagonal/>
    </border>
  </borders>
  <cellStyleXfs count="14">
    <xf numFmtId="0" fontId="0" fillId="0" borderId="0"/>
    <xf numFmtId="0" fontId="29" fillId="8" borderId="0" applyNumberFormat="0" applyBorder="0" applyAlignment="0" applyProtection="0"/>
    <xf numFmtId="0" fontId="21" fillId="0" borderId="0"/>
    <xf numFmtId="0" fontId="36" fillId="10" borderId="0" applyNumberFormat="0" applyBorder="0" applyAlignment="0" applyProtection="0"/>
    <xf numFmtId="0" fontId="37" fillId="11" borderId="25" applyNumberFormat="0" applyAlignment="0" applyProtection="0"/>
    <xf numFmtId="0" fontId="38" fillId="12" borderId="0" applyNumberFormat="0" applyBorder="0" applyAlignment="0" applyProtection="0"/>
    <xf numFmtId="0" fontId="43" fillId="0" borderId="0"/>
    <xf numFmtId="0" fontId="51" fillId="0" borderId="0"/>
    <xf numFmtId="0" fontId="52" fillId="15" borderId="30" applyNumberFormat="0" applyAlignment="0" applyProtection="0"/>
    <xf numFmtId="0" fontId="10" fillId="20" borderId="0" applyNumberFormat="0" applyBorder="0" applyAlignment="0" applyProtection="0"/>
    <xf numFmtId="0" fontId="55" fillId="0" borderId="0" applyNumberFormat="0" applyFill="0" applyBorder="0" applyAlignment="0" applyProtection="0"/>
    <xf numFmtId="0" fontId="10" fillId="19" borderId="35" applyNumberFormat="0" applyFont="0" applyAlignment="0" applyProtection="0"/>
    <xf numFmtId="0" fontId="64" fillId="22" borderId="0" applyNumberFormat="0" applyBorder="0" applyAlignment="0" applyProtection="0"/>
    <xf numFmtId="0" fontId="6" fillId="23" borderId="0" applyNumberFormat="0" applyBorder="0" applyAlignment="0" applyProtection="0"/>
  </cellStyleXfs>
  <cellXfs count="477">
    <xf numFmtId="0" fontId="0" fillId="0" borderId="0" xfId="0"/>
    <xf numFmtId="0" fontId="0" fillId="0" borderId="0" xfId="0" applyFill="1"/>
    <xf numFmtId="0" fontId="22" fillId="0" borderId="0" xfId="0" applyFont="1" applyFill="1"/>
    <xf numFmtId="0" fontId="22" fillId="0" borderId="0" xfId="0" applyFont="1" applyFill="1" applyAlignment="1">
      <alignment wrapText="1"/>
    </xf>
    <xf numFmtId="166" fontId="22" fillId="0" borderId="0" xfId="0" applyNumberFormat="1" applyFont="1" applyFill="1"/>
    <xf numFmtId="166" fontId="0" fillId="0" borderId="0" xfId="0" applyNumberFormat="1"/>
    <xf numFmtId="166" fontId="22" fillId="0" borderId="0" xfId="0" applyNumberFormat="1" applyFont="1" applyFill="1" applyAlignment="1">
      <alignment wrapText="1"/>
    </xf>
    <xf numFmtId="0" fontId="24"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22"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28" fillId="3" borderId="0" xfId="0" applyFont="1" applyFill="1"/>
    <xf numFmtId="14" fontId="28" fillId="3" borderId="0" xfId="0" applyNumberFormat="1" applyFont="1" applyFill="1"/>
    <xf numFmtId="1" fontId="28" fillId="3" borderId="0" xfId="0" applyNumberFormat="1" applyFont="1" applyFill="1"/>
    <xf numFmtId="0" fontId="0" fillId="3" borderId="0" xfId="0" applyFill="1"/>
    <xf numFmtId="1" fontId="0" fillId="3" borderId="0" xfId="0" applyNumberFormat="1" applyFill="1"/>
    <xf numFmtId="0" fontId="25" fillId="0" borderId="0" xfId="0" applyFont="1" applyFill="1" applyBorder="1"/>
    <xf numFmtId="0" fontId="22" fillId="0" borderId="0" xfId="0" applyFont="1" applyFill="1" applyBorder="1" applyAlignment="1">
      <alignment horizontal="left" wrapText="1"/>
    </xf>
    <xf numFmtId="0" fontId="22" fillId="0" borderId="4" xfId="0" applyFont="1" applyFill="1" applyBorder="1" applyAlignment="1">
      <alignment horizontal="left" wrapText="1"/>
    </xf>
    <xf numFmtId="0" fontId="22"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22" fillId="0" borderId="0" xfId="0" applyFont="1" applyFill="1" applyAlignment="1">
      <alignment horizontal="left" wrapText="1"/>
    </xf>
    <xf numFmtId="166" fontId="22" fillId="0" borderId="0" xfId="0" applyNumberFormat="1" applyFont="1" applyFill="1" applyAlignment="1">
      <alignment horizontal="left" wrapText="1"/>
    </xf>
    <xf numFmtId="166" fontId="22" fillId="0" borderId="0" xfId="0" applyNumberFormat="1" applyFont="1" applyFill="1" applyAlignment="1">
      <alignment horizontal="left"/>
    </xf>
    <xf numFmtId="0" fontId="25"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22" fillId="2" borderId="0" xfId="0" applyFont="1" applyFill="1"/>
    <xf numFmtId="14" fontId="22" fillId="2" borderId="0" xfId="0" applyNumberFormat="1" applyFont="1" applyFill="1"/>
    <xf numFmtId="1" fontId="22" fillId="2" borderId="0" xfId="0" applyNumberFormat="1" applyFont="1" applyFill="1"/>
    <xf numFmtId="0" fontId="28" fillId="3" borderId="0" xfId="0" applyFont="1" applyFill="1" applyAlignment="1">
      <alignment wrapText="1"/>
    </xf>
    <xf numFmtId="168" fontId="0" fillId="0" borderId="0" xfId="0" applyNumberFormat="1"/>
    <xf numFmtId="0" fontId="28" fillId="2" borderId="0" xfId="0" applyFont="1" applyFill="1"/>
    <xf numFmtId="14" fontId="28" fillId="2" borderId="0" xfId="0" applyNumberFormat="1" applyFont="1" applyFill="1"/>
    <xf numFmtId="1" fontId="28" fillId="2" borderId="0" xfId="0" applyNumberFormat="1" applyFont="1" applyFill="1"/>
    <xf numFmtId="0" fontId="28"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22" fillId="4" borderId="0" xfId="0" applyFont="1" applyFill="1" applyBorder="1" applyAlignment="1">
      <alignment horizontal="left"/>
    </xf>
    <xf numFmtId="0" fontId="0" fillId="0" borderId="0" xfId="0" applyAlignment="1">
      <alignment horizontal="left" vertical="center" indent="1"/>
    </xf>
    <xf numFmtId="166" fontId="22"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25" fillId="0" borderId="5" xfId="0" applyFont="1" applyFill="1" applyBorder="1"/>
    <xf numFmtId="0" fontId="22" fillId="0" borderId="0" xfId="0" applyFont="1" applyFill="1" applyBorder="1"/>
    <xf numFmtId="0" fontId="22" fillId="0" borderId="4" xfId="0" applyFont="1" applyFill="1" applyBorder="1"/>
    <xf numFmtId="0" fontId="22" fillId="2" borderId="0" xfId="0" applyFont="1" applyFill="1" applyAlignment="1">
      <alignment wrapText="1"/>
    </xf>
    <xf numFmtId="0" fontId="22" fillId="0" borderId="8" xfId="0" applyFont="1" applyFill="1" applyBorder="1" applyAlignment="1">
      <alignment horizontal="left"/>
    </xf>
    <xf numFmtId="0" fontId="22" fillId="0" borderId="0" xfId="0" applyFont="1" applyFill="1" applyBorder="1" applyAlignment="1">
      <alignment horizontal="left"/>
    </xf>
    <xf numFmtId="0" fontId="22" fillId="0" borderId="6" xfId="0" applyFont="1" applyFill="1" applyBorder="1" applyAlignment="1">
      <alignment horizontal="left"/>
    </xf>
    <xf numFmtId="0" fontId="22" fillId="0" borderId="5" xfId="0" applyFont="1" applyFill="1" applyBorder="1" applyAlignment="1">
      <alignment horizontal="left"/>
    </xf>
    <xf numFmtId="0" fontId="22" fillId="0" borderId="9" xfId="0" applyFont="1" applyFill="1" applyBorder="1" applyAlignment="1">
      <alignment horizontal="left"/>
    </xf>
    <xf numFmtId="0" fontId="22"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22" fillId="0" borderId="8" xfId="0" applyFont="1" applyFill="1" applyBorder="1" applyAlignment="1" applyProtection="1">
      <alignment horizontal="left"/>
      <protection locked="0"/>
    </xf>
    <xf numFmtId="0" fontId="22" fillId="6" borderId="3" xfId="0" applyFont="1" applyFill="1" applyBorder="1" applyProtection="1">
      <protection locked="0"/>
    </xf>
    <xf numFmtId="0" fontId="22" fillId="6" borderId="7" xfId="0" applyFont="1" applyFill="1" applyBorder="1" applyProtection="1">
      <protection locked="0"/>
    </xf>
    <xf numFmtId="0" fontId="22" fillId="6" borderId="12" xfId="0" applyFont="1" applyFill="1" applyBorder="1" applyProtection="1">
      <protection locked="0"/>
    </xf>
    <xf numFmtId="167" fontId="22" fillId="6" borderId="7" xfId="0" applyNumberFormat="1" applyFont="1" applyFill="1" applyBorder="1" applyProtection="1">
      <protection locked="0"/>
    </xf>
    <xf numFmtId="166" fontId="22"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24" fillId="0" borderId="0" xfId="0" applyFont="1" applyAlignment="1">
      <alignment horizontal="left"/>
    </xf>
    <xf numFmtId="0" fontId="25" fillId="0" borderId="0" xfId="0" applyFont="1" applyFill="1" applyAlignment="1">
      <alignment horizontal="left" wrapText="1"/>
    </xf>
    <xf numFmtId="0" fontId="25" fillId="0" borderId="3" xfId="0" applyFont="1" applyFill="1" applyBorder="1" applyAlignment="1">
      <alignment horizontal="left"/>
    </xf>
    <xf numFmtId="0" fontId="22" fillId="0" borderId="7" xfId="0" applyFont="1" applyFill="1" applyBorder="1" applyAlignment="1">
      <alignment horizontal="left"/>
    </xf>
    <xf numFmtId="0" fontId="22" fillId="0" borderId="12" xfId="0" applyFont="1" applyFill="1" applyBorder="1" applyAlignment="1">
      <alignment horizontal="left"/>
    </xf>
    <xf numFmtId="0" fontId="22" fillId="0" borderId="10" xfId="0" applyFont="1" applyFill="1" applyBorder="1"/>
    <xf numFmtId="164" fontId="22" fillId="0" borderId="10" xfId="0" applyNumberFormat="1" applyFont="1" applyFill="1" applyBorder="1"/>
    <xf numFmtId="0" fontId="22" fillId="4" borderId="4" xfId="0" applyFont="1" applyFill="1" applyBorder="1" applyAlignment="1">
      <alignment horizontal="left"/>
    </xf>
    <xf numFmtId="0" fontId="25" fillId="0" borderId="0" xfId="0" applyFont="1" applyFill="1" applyAlignment="1">
      <alignment horizontal="left"/>
    </xf>
    <xf numFmtId="0" fontId="22" fillId="0" borderId="8" xfId="0" applyFont="1" applyFill="1" applyBorder="1"/>
    <xf numFmtId="0" fontId="0" fillId="0" borderId="0" xfId="0" applyFill="1" applyBorder="1"/>
    <xf numFmtId="0" fontId="0" fillId="0" borderId="8" xfId="0" applyBorder="1"/>
    <xf numFmtId="0" fontId="0" fillId="0" borderId="0" xfId="0" applyBorder="1"/>
    <xf numFmtId="0" fontId="25" fillId="0" borderId="8" xfId="0" applyFont="1" applyFill="1" applyBorder="1"/>
    <xf numFmtId="0" fontId="22" fillId="0" borderId="7" xfId="0" applyFont="1" applyFill="1" applyBorder="1"/>
    <xf numFmtId="0" fontId="22" fillId="0" borderId="12" xfId="0" applyFont="1" applyFill="1" applyBorder="1"/>
    <xf numFmtId="0" fontId="25" fillId="0" borderId="9" xfId="0" applyFont="1" applyFill="1" applyBorder="1"/>
    <xf numFmtId="0" fontId="22"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22" fillId="3" borderId="0" xfId="0" applyFont="1" applyFill="1"/>
    <xf numFmtId="14" fontId="22" fillId="3" borderId="0" xfId="0" applyNumberFormat="1" applyFont="1" applyFill="1"/>
    <xf numFmtId="1" fontId="22" fillId="3" borderId="0" xfId="0" applyNumberFormat="1" applyFont="1" applyFill="1"/>
    <xf numFmtId="14" fontId="0" fillId="3" borderId="0" xfId="0" applyNumberFormat="1" applyFill="1"/>
    <xf numFmtId="0" fontId="0" fillId="0" borderId="7" xfId="0" applyFont="1" applyFill="1" applyBorder="1" applyAlignment="1" applyProtection="1">
      <alignment horizontal="center" vertical="center" wrapText="1"/>
    </xf>
    <xf numFmtId="0" fontId="21" fillId="0" borderId="0" xfId="2"/>
    <xf numFmtId="0" fontId="27" fillId="0" borderId="0" xfId="2" applyFont="1"/>
    <xf numFmtId="14" fontId="21" fillId="0" borderId="0" xfId="2" applyNumberFormat="1"/>
    <xf numFmtId="0" fontId="29" fillId="8" borderId="0" xfId="1"/>
    <xf numFmtId="14" fontId="29" fillId="8" borderId="0" xfId="1" applyNumberFormat="1"/>
    <xf numFmtId="0" fontId="21" fillId="0" borderId="0" xfId="2" applyFont="1"/>
    <xf numFmtId="2" fontId="21" fillId="0" borderId="0" xfId="2" applyNumberFormat="1"/>
    <xf numFmtId="0" fontId="27" fillId="9" borderId="17" xfId="0" applyFont="1" applyFill="1" applyBorder="1"/>
    <xf numFmtId="0" fontId="27" fillId="9" borderId="17" xfId="0" applyFont="1" applyFill="1" applyBorder="1" applyAlignment="1">
      <alignment horizontal="center"/>
    </xf>
    <xf numFmtId="0" fontId="27" fillId="9" borderId="17" xfId="0" applyFont="1" applyFill="1" applyBorder="1" applyAlignment="1">
      <alignment horizontal="center" vertical="center"/>
    </xf>
    <xf numFmtId="0" fontId="30" fillId="9" borderId="17" xfId="0" applyFont="1" applyFill="1" applyBorder="1" applyAlignment="1">
      <alignment horizontal="center"/>
    </xf>
    <xf numFmtId="0" fontId="27"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31"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32" fillId="0" borderId="17" xfId="0" applyFont="1" applyBorder="1"/>
    <xf numFmtId="0" fontId="0" fillId="0" borderId="17" xfId="0" applyFill="1" applyBorder="1" applyAlignment="1">
      <alignment horizontal="center" vertical="center"/>
    </xf>
    <xf numFmtId="0" fontId="27" fillId="0" borderId="14" xfId="0" applyFont="1" applyBorder="1"/>
    <xf numFmtId="0" fontId="27"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31" fillId="0" borderId="17" xfId="0" applyFont="1" applyFill="1" applyBorder="1"/>
    <xf numFmtId="0" fontId="0" fillId="0" borderId="24" xfId="0" applyBorder="1"/>
    <xf numFmtId="0" fontId="0" fillId="0" borderId="17" xfId="0" applyFill="1" applyBorder="1"/>
    <xf numFmtId="0" fontId="0" fillId="0" borderId="18" xfId="0" applyBorder="1"/>
    <xf numFmtId="0" fontId="27"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30"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30"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27" fillId="0" borderId="0" xfId="0" applyFont="1" applyBorder="1" applyAlignment="1">
      <alignment vertical="center"/>
    </xf>
    <xf numFmtId="0" fontId="31"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0" fillId="0" borderId="24" xfId="0" applyFill="1" applyBorder="1"/>
    <xf numFmtId="0" fontId="29" fillId="8" borderId="17" xfId="1" applyBorder="1"/>
    <xf numFmtId="0" fontId="24" fillId="0" borderId="0" xfId="0" applyFont="1"/>
    <xf numFmtId="0" fontId="20" fillId="0" borderId="0" xfId="2" applyFont="1"/>
    <xf numFmtId="0" fontId="19" fillId="0" borderId="0" xfId="2" applyFont="1"/>
    <xf numFmtId="0" fontId="36" fillId="10" borderId="17" xfId="3" applyBorder="1"/>
    <xf numFmtId="0" fontId="36" fillId="10" borderId="17" xfId="3" applyBorder="1" applyAlignment="1">
      <alignment horizontal="center" vertical="center"/>
    </xf>
    <xf numFmtId="14" fontId="36" fillId="10" borderId="17" xfId="3" applyNumberFormat="1" applyBorder="1"/>
    <xf numFmtId="0" fontId="36" fillId="10" borderId="17" xfId="3" applyBorder="1" applyAlignment="1">
      <alignment horizontal="center"/>
    </xf>
    <xf numFmtId="14" fontId="36" fillId="10" borderId="14" xfId="3" applyNumberFormat="1" applyBorder="1"/>
    <xf numFmtId="20" fontId="36" fillId="10" borderId="17" xfId="3" applyNumberFormat="1" applyBorder="1"/>
    <xf numFmtId="0" fontId="36" fillId="10" borderId="17" xfId="3" applyNumberFormat="1" applyBorder="1"/>
    <xf numFmtId="0" fontId="37" fillId="11" borderId="25" xfId="4"/>
    <xf numFmtId="14" fontId="37" fillId="11" borderId="25" xfId="4" applyNumberFormat="1"/>
    <xf numFmtId="0" fontId="38" fillId="12" borderId="17" xfId="5" applyBorder="1"/>
    <xf numFmtId="0" fontId="18" fillId="0" borderId="0" xfId="2" applyFont="1"/>
    <xf numFmtId="0" fontId="38" fillId="12" borderId="0" xfId="5"/>
    <xf numFmtId="0" fontId="36" fillId="10" borderId="0" xfId="3"/>
    <xf numFmtId="0" fontId="17" fillId="0" borderId="0" xfId="2" applyFont="1"/>
    <xf numFmtId="0" fontId="16" fillId="0" borderId="17" xfId="0" applyFont="1" applyBorder="1"/>
    <xf numFmtId="0" fontId="16" fillId="0" borderId="0" xfId="2" applyFont="1"/>
    <xf numFmtId="0" fontId="0" fillId="0" borderId="17" xfId="0" applyBorder="1" applyAlignment="1">
      <alignment horizontal="left" vertical="center"/>
    </xf>
    <xf numFmtId="0" fontId="39" fillId="0" borderId="17" xfId="0" applyFont="1" applyBorder="1"/>
    <xf numFmtId="0" fontId="0" fillId="0" borderId="17" xfId="0" applyBorder="1" applyAlignment="1">
      <alignment horizontal="left" vertical="center" wrapText="1"/>
    </xf>
    <xf numFmtId="0" fontId="0" fillId="9" borderId="17" xfId="0" applyFont="1" applyFill="1" applyBorder="1"/>
    <xf numFmtId="0" fontId="27"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27" fillId="9" borderId="17" xfId="0" applyFont="1" applyFill="1" applyBorder="1" applyAlignment="1">
      <alignment horizontal="left" vertical="top"/>
    </xf>
    <xf numFmtId="0" fontId="0" fillId="0" borderId="17" xfId="0" applyBorder="1" applyAlignment="1">
      <alignment horizontal="right"/>
    </xf>
    <xf numFmtId="164" fontId="0" fillId="0" borderId="0" xfId="0" applyNumberFormat="1"/>
    <xf numFmtId="0" fontId="41" fillId="12" borderId="0" xfId="5" applyFont="1"/>
    <xf numFmtId="0" fontId="43" fillId="0" borderId="0" xfId="6"/>
    <xf numFmtId="0" fontId="40" fillId="0" borderId="0" xfId="6" applyFont="1"/>
    <xf numFmtId="0" fontId="14" fillId="0" borderId="0" xfId="6" applyFont="1"/>
    <xf numFmtId="0" fontId="24" fillId="0" borderId="0" xfId="6" applyFont="1"/>
    <xf numFmtId="0" fontId="43" fillId="0" borderId="0" xfId="6" applyFill="1"/>
    <xf numFmtId="0" fontId="43" fillId="0" borderId="0" xfId="6" applyFont="1" applyFill="1"/>
    <xf numFmtId="22" fontId="43" fillId="0" borderId="0" xfId="6" applyNumberFormat="1" applyFill="1"/>
    <xf numFmtId="14" fontId="43" fillId="0" borderId="0" xfId="6" applyNumberFormat="1"/>
    <xf numFmtId="14" fontId="43" fillId="0" borderId="0" xfId="6" applyNumberFormat="1" applyFill="1"/>
    <xf numFmtId="0" fontId="43" fillId="0" borderId="0" xfId="6" applyFont="1"/>
    <xf numFmtId="22" fontId="43" fillId="0" borderId="0" xfId="6" applyNumberFormat="1"/>
    <xf numFmtId="0" fontId="43" fillId="0" borderId="0" xfId="6" applyFont="1" applyAlignment="1">
      <alignment wrapText="1"/>
    </xf>
    <xf numFmtId="0" fontId="43" fillId="13" borderId="0" xfId="6" applyFill="1" applyAlignment="1">
      <alignment horizontal="center"/>
    </xf>
    <xf numFmtId="0" fontId="32" fillId="14" borderId="23" xfId="6" applyFont="1" applyFill="1" applyBorder="1" applyAlignment="1">
      <alignment horizontal="center" wrapText="1"/>
    </xf>
    <xf numFmtId="0" fontId="32" fillId="14" borderId="17" xfId="6" applyFont="1" applyFill="1" applyBorder="1" applyAlignment="1">
      <alignment horizontal="center" wrapText="1"/>
    </xf>
    <xf numFmtId="0" fontId="27" fillId="0" borderId="0" xfId="6" applyFont="1"/>
    <xf numFmtId="0" fontId="43" fillId="0" borderId="0" xfId="6" applyAlignment="1">
      <alignment horizontal="center"/>
    </xf>
    <xf numFmtId="0" fontId="44" fillId="0" borderId="11" xfId="6" applyFont="1" applyBorder="1" applyAlignment="1">
      <alignment vertical="center" wrapText="1"/>
    </xf>
    <xf numFmtId="14" fontId="44" fillId="0" borderId="11" xfId="6" applyNumberFormat="1" applyFont="1" applyBorder="1" applyAlignment="1">
      <alignment vertical="center" wrapText="1"/>
    </xf>
    <xf numFmtId="0" fontId="44" fillId="0" borderId="26" xfId="6" applyFont="1" applyBorder="1" applyAlignment="1">
      <alignment vertical="center" wrapText="1"/>
    </xf>
    <xf numFmtId="0" fontId="44" fillId="0" borderId="12" xfId="6" applyFont="1" applyBorder="1" applyAlignment="1">
      <alignment vertical="center" wrapText="1"/>
    </xf>
    <xf numFmtId="0" fontId="44" fillId="0" borderId="13" xfId="6" applyFont="1" applyBorder="1" applyAlignment="1">
      <alignment vertical="center" wrapText="1"/>
    </xf>
    <xf numFmtId="0" fontId="44" fillId="0" borderId="0" xfId="6" applyFont="1" applyAlignment="1">
      <alignment horizontal="left" vertical="center" indent="5"/>
    </xf>
    <xf numFmtId="0" fontId="44" fillId="0" borderId="0" xfId="6" applyFont="1" applyAlignment="1">
      <alignment vertical="center"/>
    </xf>
    <xf numFmtId="0" fontId="47" fillId="0" borderId="0" xfId="6" applyFont="1" applyAlignment="1">
      <alignment vertical="center"/>
    </xf>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0" fontId="48" fillId="0" borderId="0" xfId="0" applyFont="1" applyFill="1" applyBorder="1" applyAlignment="1">
      <alignment horizontal="center" vertical="center"/>
    </xf>
    <xf numFmtId="0" fontId="49" fillId="0" borderId="0" xfId="0" applyFont="1" applyFill="1" applyBorder="1" applyAlignment="1">
      <alignment horizontal="center" vertical="center"/>
    </xf>
    <xf numFmtId="2" fontId="49" fillId="0" borderId="0" xfId="0" quotePrefix="1" applyNumberFormat="1" applyFont="1" applyFill="1" applyBorder="1" applyAlignment="1">
      <alignment horizontal="left" vertical="center"/>
    </xf>
    <xf numFmtId="0" fontId="49" fillId="0" borderId="0" xfId="0" applyFont="1" applyFill="1" applyBorder="1" applyAlignment="1">
      <alignment horizontal="left"/>
    </xf>
    <xf numFmtId="0" fontId="50" fillId="0" borderId="0" xfId="0" applyFont="1" applyFill="1" applyBorder="1" applyAlignment="1">
      <alignment horizontal="center" vertical="center"/>
    </xf>
    <xf numFmtId="2" fontId="50"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22"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13" fillId="0" borderId="17" xfId="0" applyFont="1" applyBorder="1"/>
    <xf numFmtId="0" fontId="52" fillId="15" borderId="30" xfId="8" applyAlignment="1">
      <alignment horizontal="center" vertical="center"/>
    </xf>
    <xf numFmtId="0" fontId="52" fillId="15" borderId="30" xfId="8"/>
    <xf numFmtId="0" fontId="52"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27"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27"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53"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31" fillId="0" borderId="0" xfId="0" quotePrefix="1" applyNumberFormat="1" applyFont="1" applyFill="1" applyBorder="1" applyAlignment="1">
      <alignment horizontal="left" vertical="center"/>
    </xf>
    <xf numFmtId="0" fontId="31" fillId="0" borderId="0" xfId="0" applyFont="1" applyFill="1" applyBorder="1" applyAlignment="1">
      <alignment horizontal="left"/>
    </xf>
    <xf numFmtId="0" fontId="54" fillId="16" borderId="0" xfId="0" applyFont="1" applyFill="1" applyAlignment="1"/>
    <xf numFmtId="0" fontId="54" fillId="0" borderId="0" xfId="0" applyFont="1" applyAlignment="1"/>
    <xf numFmtId="0" fontId="54" fillId="0" borderId="27" xfId="0" applyFont="1" applyBorder="1" applyAlignment="1"/>
    <xf numFmtId="0" fontId="54" fillId="4" borderId="0" xfId="0" applyFont="1" applyFill="1" applyAlignment="1"/>
    <xf numFmtId="0" fontId="54" fillId="17" borderId="0" xfId="0" applyFont="1" applyFill="1" applyAlignment="1"/>
    <xf numFmtId="164" fontId="54" fillId="0" borderId="0" xfId="0" applyNumberFormat="1" applyFont="1" applyAlignment="1"/>
    <xf numFmtId="14" fontId="54" fillId="0" borderId="0" xfId="0" applyNumberFormat="1" applyFont="1" applyAlignment="1"/>
    <xf numFmtId="1" fontId="54" fillId="0" borderId="0" xfId="0" applyNumberFormat="1" applyFont="1" applyAlignment="1"/>
    <xf numFmtId="0" fontId="54" fillId="0" borderId="0" xfId="0" applyFont="1"/>
    <xf numFmtId="2" fontId="54" fillId="0" borderId="0" xfId="0" applyNumberFormat="1" applyFont="1"/>
    <xf numFmtId="0" fontId="31" fillId="5" borderId="0" xfId="0" applyFont="1" applyFill="1" applyAlignment="1"/>
    <xf numFmtId="0" fontId="54" fillId="18" borderId="0" xfId="0" applyFont="1" applyFill="1" applyAlignment="1"/>
    <xf numFmtId="0" fontId="54" fillId="5" borderId="0" xfId="0" applyFont="1" applyFill="1" applyAlignment="1"/>
    <xf numFmtId="0" fontId="12" fillId="0" borderId="0" xfId="2" applyFont="1"/>
    <xf numFmtId="0" fontId="11"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54" fillId="0" borderId="0" xfId="0" applyNumberFormat="1" applyFont="1" applyAlignment="1"/>
    <xf numFmtId="164" fontId="0" fillId="0" borderId="2" xfId="0" applyNumberFormat="1" applyFont="1" applyFill="1" applyBorder="1" applyAlignment="1" applyProtection="1">
      <alignment horizontal="center" vertical="center" wrapText="1"/>
    </xf>
    <xf numFmtId="2" fontId="43" fillId="0" borderId="0" xfId="6" applyNumberFormat="1" applyFill="1"/>
    <xf numFmtId="0" fontId="32" fillId="14" borderId="17" xfId="0" applyFont="1" applyFill="1" applyBorder="1" applyAlignment="1">
      <alignment horizontal="center" wrapText="1"/>
    </xf>
    <xf numFmtId="0" fontId="32" fillId="14" borderId="23" xfId="0" applyFont="1" applyFill="1" applyBorder="1" applyAlignment="1">
      <alignment horizontal="center" wrapText="1"/>
    </xf>
    <xf numFmtId="0" fontId="31" fillId="0" borderId="0" xfId="0" applyFont="1"/>
    <xf numFmtId="0" fontId="31" fillId="0" borderId="0" xfId="0" applyFont="1" applyFill="1"/>
    <xf numFmtId="2" fontId="31" fillId="0" borderId="0" xfId="0" applyNumberFormat="1" applyFont="1"/>
    <xf numFmtId="14" fontId="31" fillId="0" borderId="0" xfId="0" applyNumberFormat="1" applyFont="1"/>
    <xf numFmtId="2" fontId="31" fillId="0" borderId="0" xfId="0" applyNumberFormat="1" applyFont="1" applyFill="1"/>
    <xf numFmtId="166" fontId="31" fillId="0" borderId="0" xfId="0" applyNumberFormat="1" applyFont="1" applyFill="1"/>
    <xf numFmtId="0" fontId="0" fillId="0" borderId="0" xfId="0" applyProtection="1">
      <protection locked="0"/>
    </xf>
    <xf numFmtId="167" fontId="0" fillId="0" borderId="0" xfId="0" applyNumberFormat="1" applyProtection="1">
      <protection locked="0"/>
    </xf>
    <xf numFmtId="166" fontId="0" fillId="0" borderId="0" xfId="0" applyNumberFormat="1" applyProtection="1">
      <protection locked="0"/>
    </xf>
    <xf numFmtId="0" fontId="24" fillId="0" borderId="0" xfId="0" applyFont="1" applyProtection="1">
      <protection locked="0"/>
    </xf>
    <xf numFmtId="0" fontId="56" fillId="2" borderId="0" xfId="0" applyFont="1" applyFill="1" applyProtection="1">
      <protection locked="0"/>
    </xf>
    <xf numFmtId="0" fontId="57" fillId="2" borderId="0" xfId="0" applyFont="1" applyFill="1" applyProtection="1">
      <protection locked="0"/>
    </xf>
    <xf numFmtId="167" fontId="57" fillId="2" borderId="0" xfId="0" applyNumberFormat="1" applyFont="1" applyFill="1" applyProtection="1">
      <protection locked="0"/>
    </xf>
    <xf numFmtId="166" fontId="57" fillId="2" borderId="0" xfId="0" applyNumberFormat="1" applyFont="1" applyFill="1" applyProtection="1">
      <protection locked="0"/>
    </xf>
    <xf numFmtId="0" fontId="28" fillId="0" borderId="0" xfId="0" applyFont="1" applyFill="1" applyProtection="1">
      <protection locked="0"/>
    </xf>
    <xf numFmtId="0" fontId="28" fillId="0" borderId="0" xfId="0" applyFont="1" applyProtection="1">
      <protection locked="0"/>
    </xf>
    <xf numFmtId="167" fontId="28" fillId="0" borderId="0" xfId="0" applyNumberFormat="1" applyFont="1" applyProtection="1">
      <protection locked="0"/>
    </xf>
    <xf numFmtId="166" fontId="28" fillId="0" borderId="0" xfId="0" applyNumberFormat="1" applyFont="1" applyProtection="1">
      <protection locked="0"/>
    </xf>
    <xf numFmtId="167" fontId="28" fillId="0" borderId="0" xfId="0" applyNumberFormat="1" applyFont="1" applyFill="1" applyProtection="1">
      <protection locked="0"/>
    </xf>
    <xf numFmtId="166" fontId="28" fillId="0" borderId="0" xfId="0" applyNumberFormat="1" applyFont="1" applyFill="1" applyProtection="1">
      <protection locked="0"/>
    </xf>
    <xf numFmtId="0" fontId="22" fillId="0" borderId="0" xfId="0" applyFont="1" applyFill="1" applyProtection="1">
      <protection locked="0"/>
    </xf>
    <xf numFmtId="0" fontId="0" fillId="0" borderId="0" xfId="0" applyFill="1" applyProtection="1">
      <protection locked="0"/>
    </xf>
    <xf numFmtId="167" fontId="0" fillId="0" borderId="0" xfId="0" applyNumberFormat="1" applyFill="1" applyProtection="1">
      <protection locked="0"/>
    </xf>
    <xf numFmtId="0" fontId="24" fillId="0" borderId="0" xfId="0" applyFont="1" applyFill="1" applyBorder="1" applyProtection="1">
      <protection locked="0"/>
    </xf>
    <xf numFmtId="166" fontId="0" fillId="0" borderId="0" xfId="0" applyNumberFormat="1" applyFill="1" applyProtection="1">
      <protection locked="0"/>
    </xf>
    <xf numFmtId="0" fontId="22" fillId="4" borderId="36"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167" fontId="22" fillId="0" borderId="0" xfId="0" applyNumberFormat="1" applyFont="1" applyFill="1" applyProtection="1">
      <protection locked="0"/>
    </xf>
    <xf numFmtId="166" fontId="22" fillId="0" borderId="0" xfId="0" applyNumberFormat="1" applyFont="1" applyFill="1" applyProtection="1">
      <protection locked="0"/>
    </xf>
    <xf numFmtId="0" fontId="22" fillId="4" borderId="10" xfId="0" applyFont="1" applyFill="1" applyBorder="1" applyAlignment="1" applyProtection="1">
      <alignment horizontal="left"/>
      <protection locked="0"/>
    </xf>
    <xf numFmtId="0" fontId="10" fillId="20" borderId="10" xfId="9" applyBorder="1" applyProtection="1">
      <protection locked="0"/>
    </xf>
    <xf numFmtId="0" fontId="22" fillId="19" borderId="37" xfId="11" applyFont="1" applyBorder="1" applyProtection="1">
      <protection locked="0"/>
    </xf>
    <xf numFmtId="0" fontId="22" fillId="19" borderId="35" xfId="11" applyFont="1" applyProtection="1">
      <protection locked="0"/>
    </xf>
    <xf numFmtId="0" fontId="55" fillId="20" borderId="10" xfId="10" applyFill="1" applyBorder="1" applyProtection="1">
      <protection locked="0"/>
    </xf>
    <xf numFmtId="0" fontId="10" fillId="20" borderId="37" xfId="9" applyBorder="1" applyProtection="1">
      <protection locked="0"/>
    </xf>
    <xf numFmtId="0" fontId="22" fillId="0" borderId="0" xfId="0" applyFont="1" applyFill="1" applyBorder="1" applyProtection="1">
      <protection locked="0"/>
    </xf>
    <xf numFmtId="0" fontId="55" fillId="4" borderId="10" xfId="10" applyFill="1" applyBorder="1" applyProtection="1">
      <protection locked="0"/>
    </xf>
    <xf numFmtId="0" fontId="22" fillId="4" borderId="10" xfId="0" applyFont="1" applyFill="1" applyBorder="1" applyProtection="1">
      <protection locked="0"/>
    </xf>
    <xf numFmtId="0" fontId="10" fillId="20" borderId="35" xfId="9" applyBorder="1" applyProtection="1">
      <protection locked="0"/>
    </xf>
    <xf numFmtId="0" fontId="22" fillId="4" borderId="11" xfId="0" applyFont="1" applyFill="1" applyBorder="1" applyProtection="1">
      <protection locked="0"/>
    </xf>
    <xf numFmtId="0" fontId="25" fillId="0" borderId="0" xfId="0" applyFont="1" applyFill="1" applyBorder="1" applyAlignment="1" applyProtection="1">
      <alignment horizontal="left"/>
      <protection locked="0"/>
    </xf>
    <xf numFmtId="0" fontId="22" fillId="0" borderId="0" xfId="0" applyFont="1" applyFill="1" applyAlignment="1" applyProtection="1">
      <alignment horizontal="left"/>
      <protection locked="0"/>
    </xf>
    <xf numFmtId="167" fontId="22" fillId="0" borderId="0" xfId="0" applyNumberFormat="1" applyFont="1" applyFill="1" applyAlignment="1" applyProtection="1">
      <alignment horizontal="left"/>
      <protection locked="0"/>
    </xf>
    <xf numFmtId="0" fontId="22" fillId="0" borderId="36" xfId="0" applyFont="1" applyFill="1" applyBorder="1" applyProtection="1">
      <protection locked="0"/>
    </xf>
    <xf numFmtId="0" fontId="22" fillId="0" borderId="10" xfId="0" applyFont="1" applyFill="1" applyBorder="1" applyProtection="1">
      <protection locked="0"/>
    </xf>
    <xf numFmtId="0" fontId="58" fillId="21" borderId="10" xfId="0" applyFont="1" applyFill="1" applyBorder="1" applyProtection="1">
      <protection locked="0"/>
    </xf>
    <xf numFmtId="0" fontId="58" fillId="0" borderId="10" xfId="0" applyFont="1" applyBorder="1" applyProtection="1">
      <protection locked="0"/>
    </xf>
    <xf numFmtId="0" fontId="58" fillId="21" borderId="11" xfId="0" applyFont="1" applyFill="1" applyBorder="1" applyProtection="1">
      <protection locked="0"/>
    </xf>
    <xf numFmtId="0" fontId="58" fillId="0" borderId="0" xfId="0" applyFont="1" applyFill="1" applyBorder="1" applyProtection="1">
      <protection locked="0"/>
    </xf>
    <xf numFmtId="0" fontId="25" fillId="0" borderId="0" xfId="0" applyFont="1" applyFill="1" applyBorder="1" applyProtection="1">
      <protection locked="0"/>
    </xf>
    <xf numFmtId="0" fontId="22" fillId="0" borderId="6" xfId="0" applyFont="1" applyFill="1" applyBorder="1" applyProtection="1">
      <protection locked="0"/>
    </xf>
    <xf numFmtId="0" fontId="0" fillId="0" borderId="5" xfId="0" applyBorder="1"/>
    <xf numFmtId="0" fontId="22" fillId="0" borderId="5" xfId="0" applyFont="1" applyFill="1" applyBorder="1" applyProtection="1">
      <protection locked="0"/>
    </xf>
    <xf numFmtId="0" fontId="25" fillId="0" borderId="6" xfId="0" applyFont="1" applyFill="1" applyBorder="1" applyAlignment="1" applyProtection="1">
      <alignment horizontal="center" vertical="center"/>
      <protection locked="0"/>
    </xf>
    <xf numFmtId="0" fontId="25" fillId="0" borderId="36" xfId="0" applyFont="1" applyFill="1" applyBorder="1" applyAlignment="1" applyProtection="1">
      <alignment horizontal="center" vertical="center"/>
      <protection locked="0"/>
    </xf>
    <xf numFmtId="1" fontId="54" fillId="0" borderId="6" xfId="0" applyNumberFormat="1" applyFont="1" applyFill="1" applyBorder="1" applyAlignment="1" applyProtection="1">
      <alignment horizontal="center" vertical="center" wrapText="1"/>
    </xf>
    <xf numFmtId="1" fontId="54" fillId="0" borderId="5" xfId="0" applyNumberFormat="1" applyFont="1" applyFill="1" applyBorder="1" applyAlignment="1" applyProtection="1">
      <alignment horizontal="center" vertical="center" wrapText="1"/>
    </xf>
    <xf numFmtId="0" fontId="25" fillId="4" borderId="6" xfId="0" applyFont="1" applyFill="1" applyBorder="1" applyAlignment="1" applyProtection="1">
      <alignment vertical="center"/>
      <protection locked="0"/>
    </xf>
    <xf numFmtId="0" fontId="25" fillId="4" borderId="5" xfId="0" applyFont="1" applyFill="1" applyBorder="1" applyAlignment="1" applyProtection="1">
      <alignment vertical="center"/>
      <protection locked="0"/>
    </xf>
    <xf numFmtId="0" fontId="25" fillId="4" borderId="38" xfId="0" applyFont="1" applyFill="1" applyBorder="1" applyAlignment="1" applyProtection="1">
      <alignment vertical="center"/>
      <protection locked="0"/>
    </xf>
    <xf numFmtId="0" fontId="22" fillId="4" borderId="39" xfId="0" applyFont="1" applyFill="1" applyBorder="1" applyAlignment="1" applyProtection="1">
      <alignment horizontal="left"/>
      <protection locked="0"/>
    </xf>
    <xf numFmtId="0" fontId="22" fillId="4" borderId="38" xfId="0" applyFont="1" applyFill="1" applyBorder="1" applyAlignment="1" applyProtection="1">
      <alignment horizontal="left"/>
      <protection locked="0"/>
    </xf>
    <xf numFmtId="2" fontId="22" fillId="4" borderId="39" xfId="0" applyNumberFormat="1" applyFont="1" applyFill="1" applyBorder="1" applyAlignment="1" applyProtection="1">
      <alignment horizontal="left"/>
      <protection locked="0"/>
    </xf>
    <xf numFmtId="2" fontId="22" fillId="4" borderId="5" xfId="0" applyNumberFormat="1" applyFont="1" applyFill="1" applyBorder="1" applyAlignment="1" applyProtection="1">
      <alignment horizontal="left"/>
      <protection locked="0"/>
    </xf>
    <xf numFmtId="2" fontId="22" fillId="4" borderId="38" xfId="0" applyNumberFormat="1" applyFont="1" applyFill="1" applyBorder="1" applyAlignment="1" applyProtection="1">
      <alignment horizontal="left"/>
      <protection locked="0"/>
    </xf>
    <xf numFmtId="0" fontId="22" fillId="4" borderId="5" xfId="0" applyFont="1" applyFill="1" applyBorder="1" applyAlignment="1" applyProtection="1">
      <alignment horizontal="left"/>
      <protection locked="0"/>
    </xf>
    <xf numFmtId="0" fontId="25" fillId="4" borderId="8" xfId="0" applyFont="1" applyFill="1" applyBorder="1" applyAlignment="1" applyProtection="1">
      <alignment vertical="center"/>
      <protection locked="0"/>
    </xf>
    <xf numFmtId="0" fontId="25" fillId="4" borderId="0" xfId="0" applyFont="1" applyFill="1" applyBorder="1" applyAlignment="1" applyProtection="1">
      <alignment vertical="center"/>
      <protection locked="0"/>
    </xf>
    <xf numFmtId="0" fontId="25" fillId="4" borderId="29" xfId="0" applyFont="1" applyFill="1" applyBorder="1" applyAlignment="1" applyProtection="1">
      <alignment vertical="center"/>
      <protection locked="0"/>
    </xf>
    <xf numFmtId="0" fontId="22" fillId="4" borderId="22" xfId="0" applyFont="1" applyFill="1" applyBorder="1" applyAlignment="1" applyProtection="1">
      <alignment horizontal="left"/>
      <protection locked="0"/>
    </xf>
    <xf numFmtId="0" fontId="22" fillId="4" borderId="29" xfId="0" applyFont="1" applyFill="1" applyBorder="1" applyAlignment="1" applyProtection="1">
      <alignment horizontal="left"/>
      <protection locked="0"/>
    </xf>
    <xf numFmtId="2" fontId="22" fillId="4" borderId="22" xfId="0" applyNumberFormat="1" applyFont="1" applyFill="1" applyBorder="1" applyAlignment="1" applyProtection="1">
      <alignment horizontal="left"/>
      <protection locked="0"/>
    </xf>
    <xf numFmtId="2" fontId="22" fillId="4" borderId="0" xfId="0" applyNumberFormat="1" applyFont="1" applyFill="1" applyBorder="1" applyAlignment="1" applyProtection="1">
      <alignment horizontal="left"/>
      <protection locked="0"/>
    </xf>
    <xf numFmtId="2" fontId="22" fillId="4" borderId="29" xfId="0" applyNumberFormat="1"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5" fillId="4" borderId="9" xfId="0" applyFont="1" applyFill="1" applyBorder="1" applyAlignment="1" applyProtection="1">
      <alignment vertical="center"/>
      <protection locked="0"/>
    </xf>
    <xf numFmtId="0" fontId="25" fillId="4" borderId="4" xfId="0" applyFont="1" applyFill="1" applyBorder="1" applyAlignment="1" applyProtection="1">
      <alignment vertical="center"/>
      <protection locked="0"/>
    </xf>
    <xf numFmtId="0" fontId="25" fillId="4" borderId="40" xfId="0" applyFont="1" applyFill="1" applyBorder="1" applyAlignment="1" applyProtection="1">
      <alignment vertical="center"/>
      <protection locked="0"/>
    </xf>
    <xf numFmtId="0" fontId="22" fillId="4" borderId="41" xfId="0" applyFont="1" applyFill="1" applyBorder="1" applyAlignment="1" applyProtection="1">
      <alignment horizontal="left"/>
      <protection locked="0"/>
    </xf>
    <xf numFmtId="0" fontId="22" fillId="4" borderId="40" xfId="0" applyFont="1" applyFill="1" applyBorder="1" applyAlignment="1" applyProtection="1">
      <alignment horizontal="left"/>
      <protection locked="0"/>
    </xf>
    <xf numFmtId="2" fontId="22" fillId="4" borderId="41" xfId="0" applyNumberFormat="1" applyFont="1" applyFill="1" applyBorder="1" applyAlignment="1" applyProtection="1">
      <alignment horizontal="left"/>
      <protection locked="0"/>
    </xf>
    <xf numFmtId="2" fontId="22" fillId="4" borderId="4" xfId="0" applyNumberFormat="1" applyFont="1" applyFill="1" applyBorder="1" applyAlignment="1" applyProtection="1">
      <alignment horizontal="left"/>
      <protection locked="0"/>
    </xf>
    <xf numFmtId="2" fontId="22" fillId="4" borderId="40" xfId="0" applyNumberFormat="1" applyFont="1" applyFill="1" applyBorder="1" applyAlignment="1" applyProtection="1">
      <alignment horizontal="left"/>
      <protection locked="0"/>
    </xf>
    <xf numFmtId="0" fontId="22" fillId="4" borderId="4" xfId="0" applyFont="1" applyFill="1" applyBorder="1" applyAlignment="1" applyProtection="1">
      <alignment horizontal="left"/>
      <protection locked="0"/>
    </xf>
    <xf numFmtId="0" fontId="22" fillId="4" borderId="11" xfId="0" applyFont="1" applyFill="1" applyBorder="1" applyAlignment="1" applyProtection="1">
      <alignment horizontal="left"/>
      <protection locked="0"/>
    </xf>
    <xf numFmtId="0" fontId="28" fillId="0" borderId="0" xfId="0" applyFont="1" applyFill="1" applyBorder="1" applyProtection="1">
      <protection locked="0"/>
    </xf>
    <xf numFmtId="167" fontId="22" fillId="0" borderId="0" xfId="0" applyNumberFormat="1" applyFont="1" applyFill="1" applyBorder="1" applyProtection="1">
      <protection locked="0"/>
    </xf>
    <xf numFmtId="166" fontId="22" fillId="0" borderId="0" xfId="0" applyNumberFormat="1" applyFont="1" applyFill="1" applyBorder="1" applyProtection="1">
      <protection locked="0"/>
    </xf>
    <xf numFmtId="0" fontId="25" fillId="0" borderId="39" xfId="0" applyFont="1" applyFill="1" applyBorder="1" applyAlignment="1" applyProtection="1">
      <protection locked="0"/>
    </xf>
    <xf numFmtId="0" fontId="25" fillId="0" borderId="5" xfId="0" applyFont="1" applyFill="1" applyBorder="1" applyAlignment="1" applyProtection="1">
      <protection locked="0"/>
    </xf>
    <xf numFmtId="0" fontId="25" fillId="0" borderId="36" xfId="0" applyFont="1" applyFill="1" applyBorder="1" applyAlignment="1" applyProtection="1">
      <protection locked="0"/>
    </xf>
    <xf numFmtId="0" fontId="22" fillId="4" borderId="39" xfId="0" applyFont="1" applyFill="1" applyBorder="1" applyAlignment="1" applyProtection="1">
      <protection locked="0"/>
    </xf>
    <xf numFmtId="0" fontId="22" fillId="4" borderId="5" xfId="0" applyFont="1" applyFill="1" applyBorder="1" applyAlignment="1" applyProtection="1">
      <protection locked="0"/>
    </xf>
    <xf numFmtId="0" fontId="22" fillId="4" borderId="36" xfId="0" applyFont="1" applyFill="1" applyBorder="1" applyAlignment="1" applyProtection="1">
      <protection locked="0"/>
    </xf>
    <xf numFmtId="0" fontId="61" fillId="0" borderId="0" xfId="0" applyFont="1" applyAlignment="1"/>
    <xf numFmtId="0" fontId="25" fillId="0" borderId="0" xfId="0" applyFont="1" applyFill="1" applyProtection="1">
      <protection locked="0"/>
    </xf>
    <xf numFmtId="0" fontId="0" fillId="0" borderId="3" xfId="0" applyFont="1" applyFill="1" applyBorder="1" applyAlignment="1" applyProtection="1">
      <alignment horizontal="center" vertical="center" wrapText="1"/>
    </xf>
    <xf numFmtId="167" fontId="0" fillId="0" borderId="7" xfId="0" applyNumberFormat="1" applyFont="1" applyFill="1" applyBorder="1" applyAlignment="1" applyProtection="1">
      <alignment horizontal="center" vertical="center" wrapText="1"/>
    </xf>
    <xf numFmtId="0" fontId="24" fillId="0" borderId="12" xfId="0" applyFont="1" applyFill="1" applyBorder="1" applyAlignment="1" applyProtection="1">
      <alignment horizontal="center" vertical="center"/>
      <protection locked="0"/>
    </xf>
    <xf numFmtId="0" fontId="0" fillId="0" borderId="15" xfId="0" applyFont="1" applyFill="1" applyBorder="1" applyAlignment="1" applyProtection="1">
      <alignment horizontal="center" vertical="center" wrapText="1"/>
    </xf>
    <xf numFmtId="0" fontId="0" fillId="0" borderId="16" xfId="0" applyFont="1" applyFill="1" applyBorder="1" applyAlignment="1" applyProtection="1">
      <alignment horizontal="center" vertical="center" wrapText="1"/>
    </xf>
    <xf numFmtId="0" fontId="54" fillId="0" borderId="0" xfId="0" applyFont="1" applyBorder="1" applyAlignment="1"/>
    <xf numFmtId="0" fontId="54" fillId="0" borderId="0" xfId="0" applyFont="1" applyFill="1" applyBorder="1" applyAlignment="1"/>
    <xf numFmtId="14" fontId="0" fillId="0" borderId="0" xfId="0" applyNumberFormat="1" applyBorder="1"/>
    <xf numFmtId="164" fontId="0" fillId="0" borderId="0" xfId="0" applyNumberFormat="1" applyBorder="1"/>
    <xf numFmtId="2" fontId="0" fillId="0" borderId="0" xfId="0" applyNumberFormat="1" applyAlignment="1"/>
    <xf numFmtId="0" fontId="24" fillId="0" borderId="0" xfId="0" applyFont="1" applyAlignment="1"/>
    <xf numFmtId="0" fontId="64" fillId="22" borderId="0" xfId="12"/>
    <xf numFmtId="0" fontId="15" fillId="0" borderId="0" xfId="2" applyFont="1" applyAlignment="1">
      <alignment vertical="top" wrapText="1"/>
    </xf>
    <xf numFmtId="0" fontId="21" fillId="0" borderId="0" xfId="2" applyAlignment="1">
      <alignment vertical="top" wrapText="1"/>
    </xf>
    <xf numFmtId="0" fontId="9" fillId="0" borderId="0" xfId="2" applyFont="1"/>
    <xf numFmtId="0" fontId="31" fillId="0" borderId="0" xfId="0" applyFont="1" applyFill="1" applyBorder="1"/>
    <xf numFmtId="0" fontId="31" fillId="0" borderId="0" xfId="0" applyFont="1" applyBorder="1"/>
    <xf numFmtId="2" fontId="31" fillId="0" borderId="0" xfId="0" applyNumberFormat="1" applyFont="1" applyBorder="1"/>
    <xf numFmtId="14" fontId="31" fillId="0" borderId="0" xfId="0" applyNumberFormat="1" applyFont="1" applyBorder="1"/>
    <xf numFmtId="0" fontId="0" fillId="0" borderId="0" xfId="0" applyFont="1"/>
    <xf numFmtId="0" fontId="8" fillId="0" borderId="0" xfId="2" applyFont="1"/>
    <xf numFmtId="0" fontId="7" fillId="0" borderId="0" xfId="2" applyFont="1"/>
    <xf numFmtId="0" fontId="32" fillId="14" borderId="24" xfId="6" applyFont="1" applyFill="1" applyBorder="1" applyAlignment="1">
      <alignment horizontal="center" wrapText="1"/>
    </xf>
    <xf numFmtId="0" fontId="67" fillId="10" borderId="0" xfId="3" applyFont="1"/>
    <xf numFmtId="0" fontId="6" fillId="23" borderId="0" xfId="13"/>
    <xf numFmtId="0" fontId="5" fillId="23" borderId="0" xfId="13" applyFont="1"/>
    <xf numFmtId="0" fontId="5" fillId="0" borderId="0" xfId="2" applyFont="1"/>
    <xf numFmtId="0" fontId="43" fillId="0" borderId="0" xfId="6" applyBorder="1"/>
    <xf numFmtId="0" fontId="40" fillId="0" borderId="0" xfId="6" applyFont="1" applyBorder="1"/>
    <xf numFmtId="0" fontId="43" fillId="0" borderId="0" xfId="6" applyFont="1" applyFill="1" applyBorder="1"/>
    <xf numFmtId="0" fontId="43" fillId="0" borderId="0" xfId="6" applyFill="1" applyBorder="1"/>
    <xf numFmtId="2" fontId="43" fillId="0" borderId="0" xfId="6" applyNumberFormat="1" applyFill="1" applyBorder="1"/>
    <xf numFmtId="14" fontId="43" fillId="0" borderId="0" xfId="6" applyNumberFormat="1" applyBorder="1"/>
    <xf numFmtId="0" fontId="4" fillId="0" borderId="0" xfId="2" applyFont="1"/>
    <xf numFmtId="0" fontId="4" fillId="23" borderId="0" xfId="13" applyFont="1"/>
    <xf numFmtId="0" fontId="38" fillId="12" borderId="0" xfId="5" applyAlignment="1">
      <alignment wrapText="1"/>
    </xf>
    <xf numFmtId="14" fontId="36" fillId="10" borderId="0" xfId="3" applyNumberFormat="1"/>
    <xf numFmtId="0" fontId="27" fillId="23" borderId="0" xfId="13" applyFont="1"/>
    <xf numFmtId="0" fontId="27" fillId="0" borderId="17" xfId="0" applyFont="1" applyBorder="1" applyAlignment="1">
      <alignment horizontal="center"/>
    </xf>
    <xf numFmtId="0" fontId="3" fillId="23" borderId="0" xfId="13" applyFont="1"/>
    <xf numFmtId="0" fontId="22" fillId="4" borderId="0" xfId="0" applyFont="1" applyFill="1" applyBorder="1" applyAlignment="1" applyProtection="1">
      <alignment horizontal="left"/>
      <protection locked="0"/>
    </xf>
    <xf numFmtId="0" fontId="25" fillId="0" borderId="5" xfId="0" applyFont="1" applyFill="1" applyBorder="1" applyAlignment="1" applyProtection="1">
      <protection locked="0"/>
    </xf>
    <xf numFmtId="0" fontId="22" fillId="4" borderId="22"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36" fillId="10" borderId="22" xfId="3" applyBorder="1"/>
    <xf numFmtId="0" fontId="29" fillId="19" borderId="35" xfId="11" applyFont="1"/>
    <xf numFmtId="14" fontId="29" fillId="19" borderId="35" xfId="11" applyNumberFormat="1" applyFont="1"/>
    <xf numFmtId="0" fontId="2" fillId="23" borderId="0" xfId="13" applyFont="1"/>
    <xf numFmtId="0" fontId="52" fillId="15" borderId="32" xfId="8" applyBorder="1" applyAlignment="1">
      <alignment horizontal="center"/>
    </xf>
    <xf numFmtId="0" fontId="52" fillId="15" borderId="33" xfId="8" applyBorder="1" applyAlignment="1">
      <alignment horizontal="center"/>
    </xf>
    <xf numFmtId="0" fontId="52" fillId="15" borderId="34" xfId="8" applyBorder="1" applyAlignment="1">
      <alignment horizontal="center"/>
    </xf>
    <xf numFmtId="0" fontId="24" fillId="0" borderId="0" xfId="0" applyFont="1" applyAlignment="1">
      <alignment horizontal="center"/>
    </xf>
    <xf numFmtId="0" fontId="24" fillId="0" borderId="0" xfId="0" applyFont="1" applyAlignment="1">
      <alignment horizontal="center" wrapText="1"/>
    </xf>
    <xf numFmtId="0" fontId="27" fillId="9" borderId="14" xfId="0" applyFont="1" applyFill="1" applyBorder="1" applyAlignment="1">
      <alignment horizontal="center"/>
    </xf>
    <xf numFmtId="0" fontId="27" fillId="9" borderId="16" xfId="0" applyFont="1" applyFill="1" applyBorder="1" applyAlignment="1">
      <alignment horizontal="center"/>
    </xf>
    <xf numFmtId="0" fontId="30" fillId="9" borderId="21" xfId="0" applyFont="1" applyFill="1" applyBorder="1" applyAlignment="1">
      <alignment horizontal="center" vertical="center"/>
    </xf>
    <xf numFmtId="0" fontId="30" fillId="9" borderId="23" xfId="0" applyFont="1" applyFill="1" applyBorder="1" applyAlignment="1">
      <alignment horizontal="center" vertical="center"/>
    </xf>
    <xf numFmtId="0" fontId="27" fillId="9" borderId="15" xfId="0" applyFont="1" applyFill="1" applyBorder="1" applyAlignment="1">
      <alignment horizontal="center"/>
    </xf>
    <xf numFmtId="0" fontId="27" fillId="9" borderId="18" xfId="0" applyFont="1" applyFill="1" applyBorder="1" applyAlignment="1">
      <alignment horizontal="center"/>
    </xf>
    <xf numFmtId="0" fontId="27" fillId="9" borderId="19" xfId="0" applyFont="1" applyFill="1" applyBorder="1" applyAlignment="1">
      <alignment horizontal="center"/>
    </xf>
    <xf numFmtId="0" fontId="27" fillId="9" borderId="20" xfId="0" applyFont="1" applyFill="1" applyBorder="1" applyAlignment="1">
      <alignment horizontal="center"/>
    </xf>
    <xf numFmtId="0" fontId="21" fillId="0" borderId="0" xfId="2" applyAlignment="1">
      <alignment horizontal="center" vertical="top" wrapText="1"/>
    </xf>
    <xf numFmtId="0" fontId="22" fillId="0" borderId="8"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22" fillId="0" borderId="6"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xf numFmtId="0" fontId="22" fillId="0" borderId="9" xfId="0" applyFont="1" applyFill="1" applyBorder="1" applyAlignment="1" applyProtection="1">
      <alignment horizontal="left"/>
      <protection locked="0"/>
    </xf>
    <xf numFmtId="0" fontId="22" fillId="0" borderId="4" xfId="0"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2" fillId="0" borderId="3" xfId="0" applyFont="1" applyFill="1" applyBorder="1" applyAlignment="1" applyProtection="1">
      <alignment horizontal="left"/>
      <protection locked="0"/>
    </xf>
    <xf numFmtId="0" fontId="22" fillId="0" borderId="7" xfId="0" applyFont="1" applyFill="1" applyBorder="1" applyAlignment="1" applyProtection="1">
      <alignment horizontal="left"/>
      <protection locked="0"/>
    </xf>
    <xf numFmtId="0" fontId="22" fillId="0" borderId="12" xfId="0" applyFont="1" applyFill="1" applyBorder="1" applyAlignment="1" applyProtection="1">
      <alignment horizontal="left"/>
      <protection locked="0"/>
    </xf>
    <xf numFmtId="0" fontId="25" fillId="0" borderId="6" xfId="0" applyFont="1" applyFill="1" applyBorder="1" applyAlignment="1" applyProtection="1">
      <alignment horizontal="center"/>
      <protection locked="0"/>
    </xf>
    <xf numFmtId="0" fontId="25" fillId="0" borderId="5" xfId="0" applyFont="1" applyFill="1" applyBorder="1" applyAlignment="1" applyProtection="1">
      <alignment horizontal="center"/>
      <protection locked="0"/>
    </xf>
    <xf numFmtId="0" fontId="59" fillId="0" borderId="4" xfId="0" applyFont="1" applyFill="1" applyBorder="1" applyAlignment="1" applyProtection="1">
      <alignment horizontal="center" wrapText="1"/>
      <protection locked="0"/>
    </xf>
    <xf numFmtId="0" fontId="60" fillId="0" borderId="4" xfId="0" applyFont="1" applyFill="1" applyBorder="1" applyAlignment="1" applyProtection="1">
      <alignment horizontal="center" wrapText="1"/>
      <protection locked="0"/>
    </xf>
    <xf numFmtId="0" fontId="28" fillId="0" borderId="6" xfId="0" applyFont="1" applyFill="1" applyBorder="1" applyAlignment="1" applyProtection="1">
      <alignment horizontal="center" vertical="center" wrapText="1"/>
      <protection locked="0"/>
    </xf>
    <xf numFmtId="0" fontId="28" fillId="0" borderId="36" xfId="0" applyFont="1" applyFill="1" applyBorder="1" applyAlignment="1" applyProtection="1">
      <alignment horizontal="center" vertical="center" wrapText="1"/>
      <protection locked="0"/>
    </xf>
    <xf numFmtId="0" fontId="42" fillId="0" borderId="0" xfId="0" applyFont="1" applyAlignment="1">
      <alignment horizontal="center" vertical="center"/>
    </xf>
    <xf numFmtId="0" fontId="42" fillId="0" borderId="4" xfId="0" applyFont="1" applyBorder="1" applyAlignment="1">
      <alignment horizontal="center" vertical="center"/>
    </xf>
    <xf numFmtId="0" fontId="61" fillId="0" borderId="42" xfId="0" applyFont="1" applyBorder="1" applyAlignment="1">
      <alignment horizontal="center"/>
    </xf>
    <xf numFmtId="0" fontId="25" fillId="0" borderId="6" xfId="0" applyFont="1" applyFill="1" applyBorder="1" applyAlignment="1" applyProtection="1">
      <protection locked="0"/>
    </xf>
    <xf numFmtId="0" fontId="25" fillId="0" borderId="5" xfId="0" applyFont="1" applyFill="1" applyBorder="1" applyAlignment="1" applyProtection="1">
      <protection locked="0"/>
    </xf>
    <xf numFmtId="0" fontId="22" fillId="0" borderId="6" xfId="0" applyFont="1" applyFill="1" applyBorder="1" applyAlignment="1" applyProtection="1">
      <protection locked="0"/>
    </xf>
    <xf numFmtId="0" fontId="22" fillId="0" borderId="5" xfId="0" applyFont="1" applyFill="1" applyBorder="1" applyAlignment="1" applyProtection="1">
      <protection locked="0"/>
    </xf>
    <xf numFmtId="0" fontId="22" fillId="0" borderId="9" xfId="0" applyFont="1" applyFill="1" applyBorder="1" applyAlignment="1" applyProtection="1">
      <protection locked="0"/>
    </xf>
    <xf numFmtId="0" fontId="22" fillId="0" borderId="4" xfId="0" applyFont="1" applyFill="1" applyBorder="1" applyAlignment="1" applyProtection="1">
      <protection locked="0"/>
    </xf>
    <xf numFmtId="0" fontId="22" fillId="4" borderId="22" xfId="0" applyFont="1" applyFill="1" applyBorder="1" applyAlignment="1" applyProtection="1">
      <alignment horizontal="left"/>
      <protection locked="0"/>
    </xf>
    <xf numFmtId="0" fontId="38" fillId="12" borderId="0" xfId="5" applyAlignment="1"/>
    <xf numFmtId="0" fontId="1" fillId="23" borderId="0" xfId="13" applyFont="1"/>
    <xf numFmtId="0" fontId="0" fillId="0" borderId="4" xfId="0" applyBorder="1"/>
    <xf numFmtId="0" fontId="54" fillId="0" borderId="4" xfId="0" applyFont="1" applyBorder="1" applyAlignment="1"/>
    <xf numFmtId="0" fontId="54" fillId="0" borderId="4" xfId="0" applyFont="1" applyFill="1" applyBorder="1" applyAlignment="1"/>
    <xf numFmtId="14" fontId="0" fillId="0" borderId="4" xfId="0" applyNumberFormat="1" applyBorder="1"/>
    <xf numFmtId="164" fontId="0" fillId="0" borderId="4" xfId="0" applyNumberFormat="1" applyBorder="1"/>
    <xf numFmtId="2" fontId="0" fillId="0" borderId="4" xfId="0" applyNumberFormat="1" applyBorder="1"/>
    <xf numFmtId="0" fontId="21" fillId="19" borderId="35" xfId="11" applyFont="1"/>
    <xf numFmtId="0" fontId="43" fillId="19" borderId="35" xfId="11" applyFont="1"/>
    <xf numFmtId="0" fontId="36" fillId="19" borderId="35" xfId="11" applyFont="1"/>
    <xf numFmtId="14" fontId="21" fillId="19" borderId="35" xfId="11" applyNumberFormat="1" applyFont="1"/>
  </cellXfs>
  <cellStyles count="14">
    <cellStyle name="20 % – uthevingsfarge 4" xfId="9" builtinId="42"/>
    <cellStyle name="60 % – uthevingsfarge 6" xfId="13" builtinId="52"/>
    <cellStyle name="Dårlig" xfId="1" builtinId="27"/>
    <cellStyle name="God" xfId="5" builtinId="26"/>
    <cellStyle name="Hyperkobling" xfId="10" builtinId="8"/>
    <cellStyle name="Inndata" xfId="4" builtinId="20"/>
    <cellStyle name="Merknad 2" xfId="11" xr:uid="{7BF7A679-D5E4-4AE1-9CEF-CF1B194A8761}"/>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 name="Uthevingsfarge4" xfId="12" builtinId="41"/>
  </cellStyles>
  <dxfs count="4">
    <dxf>
      <font>
        <color theme="0"/>
      </font>
      <fill>
        <patternFill patternType="none">
          <bgColor indexed="65"/>
        </patternFill>
      </fill>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3"/>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2"/>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O881"/>
  <sheetViews>
    <sheetView zoomScale="55" zoomScaleNormal="55" workbookViewId="0">
      <pane xSplit="8" ySplit="1" topLeftCell="X2" activePane="bottomRight" state="frozen"/>
      <selection pane="topRight" activeCell="F1" sqref="F1"/>
      <selection pane="bottomLeft" activeCell="A2" sqref="A2"/>
      <selection pane="bottomRight" activeCell="AS8" sqref="AS8"/>
    </sheetView>
  </sheetViews>
  <sheetFormatPr baseColWidth="10" defaultColWidth="11.44140625" defaultRowHeight="14.4"/>
  <cols>
    <col min="1" max="1" width="11.44140625" style="221"/>
    <col min="2" max="2" width="6.109375" style="221" customWidth="1"/>
    <col min="3" max="7" width="11.44140625" style="221"/>
    <col min="8" max="8" width="20.109375" style="222" customWidth="1"/>
    <col min="9" max="10" width="11.44140625" style="221"/>
    <col min="12" max="13" width="11.44140625" style="194"/>
    <col min="14" max="14" width="11.44140625" style="237"/>
    <col min="15" max="17" width="11.44140625" style="194"/>
    <col min="18" max="18" width="21.88671875" style="194" customWidth="1"/>
    <col min="19" max="19" width="24.44140625" style="194" customWidth="1"/>
    <col min="20" max="21" width="11.44140625" style="16"/>
    <col min="22" max="23" width="11.44140625" style="17"/>
    <col min="29" max="29" width="16.88671875" customWidth="1"/>
    <col min="33" max="33" width="11.44140625" style="243"/>
  </cols>
  <sheetData>
    <row r="1" spans="1:41" ht="87" thickBot="1">
      <c r="A1" s="254" t="s">
        <v>2451</v>
      </c>
      <c r="B1" s="70" t="s">
        <v>2159</v>
      </c>
      <c r="C1" s="70" t="s">
        <v>2627</v>
      </c>
      <c r="D1" s="70" t="s">
        <v>2649</v>
      </c>
      <c r="E1" s="70" t="s">
        <v>2632</v>
      </c>
      <c r="F1" s="70" t="s">
        <v>2625</v>
      </c>
      <c r="G1" s="232" t="s">
        <v>2626</v>
      </c>
      <c r="H1" s="232" t="s">
        <v>3884</v>
      </c>
      <c r="I1" s="70" t="s">
        <v>25</v>
      </c>
      <c r="J1" s="70" t="s">
        <v>2648</v>
      </c>
      <c r="K1" s="70" t="s">
        <v>2631</v>
      </c>
      <c r="L1" s="276" t="s">
        <v>2633</v>
      </c>
      <c r="M1" s="276" t="s">
        <v>2634</v>
      </c>
      <c r="N1" s="274" t="s">
        <v>2635</v>
      </c>
      <c r="O1" s="276" t="s">
        <v>2636</v>
      </c>
      <c r="P1" s="276" t="s">
        <v>2637</v>
      </c>
      <c r="Q1" s="276" t="s">
        <v>2638</v>
      </c>
      <c r="R1" s="276" t="s">
        <v>2639</v>
      </c>
      <c r="S1" s="276" t="s">
        <v>2640</v>
      </c>
      <c r="T1" s="233" t="s">
        <v>2642</v>
      </c>
      <c r="U1" s="234" t="s">
        <v>31</v>
      </c>
      <c r="V1" s="235" t="s">
        <v>2641</v>
      </c>
      <c r="W1" s="235" t="s">
        <v>3632</v>
      </c>
      <c r="X1" s="235" t="s">
        <v>2647</v>
      </c>
      <c r="Y1" s="235" t="s">
        <v>3134</v>
      </c>
      <c r="Z1" s="235" t="s">
        <v>2661</v>
      </c>
      <c r="AA1" s="235" t="s">
        <v>2662</v>
      </c>
      <c r="AB1" s="235" t="s">
        <v>2663</v>
      </c>
      <c r="AC1" s="235" t="s">
        <v>3135</v>
      </c>
      <c r="AD1" s="235" t="s">
        <v>2664</v>
      </c>
      <c r="AE1" s="236" t="s">
        <v>3138</v>
      </c>
      <c r="AF1" s="236" t="s">
        <v>3139</v>
      </c>
      <c r="AG1" s="242" t="s">
        <v>3136</v>
      </c>
      <c r="AH1" s="236" t="s">
        <v>3137</v>
      </c>
      <c r="AI1" s="236" t="s">
        <v>3143</v>
      </c>
      <c r="AJ1" s="236" t="s">
        <v>3144</v>
      </c>
      <c r="AK1" s="236" t="s">
        <v>3146</v>
      </c>
      <c r="AL1" s="236" t="s">
        <v>3147</v>
      </c>
      <c r="AM1" s="248" t="s">
        <v>3501</v>
      </c>
      <c r="AN1" s="248" t="s">
        <v>3502</v>
      </c>
      <c r="AO1" s="248" t="s">
        <v>3503</v>
      </c>
    </row>
    <row r="2" spans="1:41">
      <c r="A2" s="255" t="s">
        <v>2454</v>
      </c>
      <c r="B2" s="260">
        <f>'Dry_Litterbag Placem_Collection'!A3</f>
        <v>1</v>
      </c>
      <c r="C2" s="260" t="str">
        <f>'Dry_Litterbag Placem_Collection'!B3</f>
        <v>Makao</v>
      </c>
      <c r="D2" s="260" t="s">
        <v>2643</v>
      </c>
      <c r="E2" s="260" t="s">
        <v>2644</v>
      </c>
      <c r="F2" s="260">
        <v>1</v>
      </c>
      <c r="G2" s="260" t="s">
        <v>3798</v>
      </c>
      <c r="H2" s="261" t="str">
        <f>'Dry_Litterbag Placem_Collection'!C3</f>
        <v>Dry_Ag1_T1</v>
      </c>
      <c r="I2" s="262" t="s">
        <v>2525</v>
      </c>
      <c r="J2" s="263" t="s">
        <v>1147</v>
      </c>
      <c r="K2" s="221" t="str">
        <f>'WetLitterbags placem_collection'!K3</f>
        <v>G436</v>
      </c>
      <c r="L2" s="223">
        <f>IFERROR(INDEX('Green_rooibos initial weight'!$C$5:$C$2000,MATCH(K2, 'Green_rooibos initial weight'!$A$5:$A$2000,0)),"")</f>
        <v>2.0329999999999999</v>
      </c>
      <c r="M2" s="223">
        <f>IFERROR(L2-(TBIcalc!$H$9+TBIcalc!$H$10),"")</f>
        <v>1.7831999999999999</v>
      </c>
      <c r="N2" s="385">
        <f>AVERAGE(Ashed_controlls!$K$2:$K$11)</f>
        <v>5.5147656768714146</v>
      </c>
      <c r="O2" s="223">
        <f>IFERROR(M2-(N2/100)*M2,"")</f>
        <v>1.6848606984500289</v>
      </c>
      <c r="P2" s="223">
        <f>IFERROR(INDEX('Both teabags AfterWet'!$C$3:$C$840,MATCH(K2,'Both teabags AfterWet'!$A$3:$A$840,0)),"")</f>
        <v>0.43290000000000001</v>
      </c>
      <c r="Q2" s="223">
        <f>IFERROR(IF(P2&gt;0,P2-(TBIcalc!$H$9),""),"")</f>
        <v>0.2823</v>
      </c>
      <c r="R2" s="223">
        <f>IFERROR(INDEX('Ashed teabags wet'!$K$2:$K$2000,MATCH(K2,'Ashed teabags wet'!$A$2:$A$2000,0)),"")</f>
        <v>27.683896620278237</v>
      </c>
      <c r="S2" s="223">
        <f>IFERROR(Q2-(R2/100)*Q2,"")</f>
        <v>0.20414835984095453</v>
      </c>
      <c r="T2" s="224">
        <f>'WetLitterbags placem_collection'!E3</f>
        <v>42766</v>
      </c>
      <c r="U2" s="224">
        <f>IF('WetLitterbags placem_collection'!G3="","",'WetLitterbags placem_collection'!G3)</f>
        <v>42818</v>
      </c>
      <c r="V2" s="225">
        <f t="shared" ref="V2:V65" si="0">IFERROR(U2-T2,"")</f>
        <v>52</v>
      </c>
      <c r="W2" s="223">
        <f>IFERROR(M2-Q2,"")</f>
        <v>1.5008999999999999</v>
      </c>
      <c r="X2" s="223">
        <f>IFERROR(O2-S2,"")</f>
        <v>1.4807123386090744</v>
      </c>
      <c r="Y2">
        <f>IFERROR(INDEX(Rainfall_Wet!$O$2:$O$217,MATCH(B2, Rainfall_Wet!$A$2:$A$217,0)),"")</f>
        <v>194.43839254400001</v>
      </c>
      <c r="Z2" s="228">
        <v>12.565665055683967</v>
      </c>
      <c r="AA2" s="228">
        <v>0.9665896196679955</v>
      </c>
      <c r="AB2" s="228">
        <v>86.467745324648035</v>
      </c>
      <c r="AC2" s="229" t="s">
        <v>2656</v>
      </c>
      <c r="AD2" s="228">
        <v>1.0225726959093147</v>
      </c>
      <c r="AE2">
        <f>IF('WetLitterbags placem_collection'!AB3="","",'WetLitterbags placem_collection'!AB3)</f>
        <v>26.4</v>
      </c>
      <c r="AF2">
        <f>IF('WetLitterbags placem_collection'!Z3="","",'WetLitterbags placem_collection'!Z3)</f>
        <v>41</v>
      </c>
      <c r="AG2" s="243" t="str">
        <f>IF('WetLitterbags placem_collection'!AA3="","",'WetLitterbags placem_collection'!AA3)</f>
        <v>M</v>
      </c>
      <c r="AH2">
        <f>IF('WetLitterbags placem_collection'!AC3="","",'WetLitterbags placem_collection'!AC3)</f>
        <v>1</v>
      </c>
      <c r="AI2" s="237">
        <f>AVERAGE('WetLitterbags placem_collection'!S3,'WetLitterbags placem_collection'!U3)</f>
        <v>14.75</v>
      </c>
      <c r="AJ2">
        <f>AVERAGE('WetLitterbags placem_collection'!R3,'WetLitterbags placem_collection'!T3)</f>
        <v>24.7</v>
      </c>
      <c r="AK2">
        <f>INDEX(Coordinates!$B$2:$B$197,MATCH(H2,Coordinates!$J$2:$J$197,0))</f>
        <v>-3.3978609999999998</v>
      </c>
      <c r="AL2">
        <f>INDEX(Coordinates!$C$2:$C$197,MATCH(H2,Coordinates!$J$2:$J$197,0))</f>
        <v>34.837608000000003</v>
      </c>
      <c r="AM2" t="str">
        <f>IF(ISNUMBER(SEARCH("C", 'WetLitterbags placem_collection'!$V3)),"YES","NO")</f>
        <v>NO</v>
      </c>
      <c r="AN2" t="str">
        <f>IF(ISNUMBER(SEARCH("H", 'WetLitterbags placem_collection'!$V3)),"YES","NO")</f>
        <v>YES</v>
      </c>
      <c r="AO2" t="str">
        <f>IF(ISNUMBER(SEARCH("R", 'WetLitterbags placem_collection'!$V3)),"YES","NO")</f>
        <v>NO</v>
      </c>
    </row>
    <row r="3" spans="1:41">
      <c r="A3" s="255" t="s">
        <v>2454</v>
      </c>
      <c r="B3" s="260">
        <f>'Dry_Litterbag Placem_Collection'!A4</f>
        <v>2</v>
      </c>
      <c r="C3" s="260" t="str">
        <f>'Dry_Litterbag Placem_Collection'!B4</f>
        <v>Makao</v>
      </c>
      <c r="D3" s="260" t="s">
        <v>2643</v>
      </c>
      <c r="E3" s="260" t="s">
        <v>2644</v>
      </c>
      <c r="F3" s="260">
        <v>1</v>
      </c>
      <c r="G3" s="260" t="s">
        <v>3798</v>
      </c>
      <c r="H3" s="261" t="str">
        <f>'Dry_Litterbag Placem_Collection'!C4</f>
        <v>Dry_Ag1_T2</v>
      </c>
      <c r="I3" s="262" t="s">
        <v>2525</v>
      </c>
      <c r="J3" s="263" t="s">
        <v>1147</v>
      </c>
      <c r="K3" s="221" t="str">
        <f>'WetLitterbags placem_collection'!K4</f>
        <v>G568</v>
      </c>
      <c r="L3" s="223">
        <f>IFERROR(INDEX('Green_rooibos initial weight'!$C$5:$C$2000,MATCH(K3, 'Green_rooibos initial weight'!$A$5:$A$2000,0)),"")</f>
        <v>2.0059999999999998</v>
      </c>
      <c r="M3" s="223">
        <f>IFERROR(L3-(TBIcalc!$H$9+TBIcalc!$H$10),"")</f>
        <v>1.7561999999999998</v>
      </c>
      <c r="N3" s="385">
        <f>AVERAGE(Ashed_controlls!$K$2:$K$11)</f>
        <v>5.5147656768714146</v>
      </c>
      <c r="O3" s="223">
        <f t="shared" ref="O3:O66" si="1">IFERROR(M3-(N3/100)*M3,"")</f>
        <v>1.659349685182784</v>
      </c>
      <c r="P3" s="223">
        <f>IFERROR(INDEX('Both teabags AfterWet'!$C$3:$C$840,MATCH(K3,'Both teabags AfterWet'!$A$3:$A$840,0)),"")</f>
        <v>0.629</v>
      </c>
      <c r="Q3" s="223">
        <f>IFERROR(IF(P3&gt;0,P3-(TBIcalc!$H$9),""),"")</f>
        <v>0.47839999999999999</v>
      </c>
      <c r="R3" s="223">
        <f>IFERROR(INDEX('Ashed teabags wet'!$K$2:$K$2000,MATCH(K3,'Ashed teabags wet'!$A$2:$A$2000,0)),"")</f>
        <v>8.5032322227742174</v>
      </c>
      <c r="S3" s="223">
        <f t="shared" ref="S3:S66" si="2">IFERROR(Q3-(R3/100)*Q3,"")</f>
        <v>0.43772053704624814</v>
      </c>
      <c r="T3" s="224">
        <f>'WetLitterbags placem_collection'!E4</f>
        <v>42766</v>
      </c>
      <c r="U3" s="224">
        <f>IF('WetLitterbags placem_collection'!G4="","",'WetLitterbags placem_collection'!G4)</f>
        <v>42818</v>
      </c>
      <c r="V3" s="225">
        <f t="shared" si="0"/>
        <v>52</v>
      </c>
      <c r="W3" s="223">
        <f t="shared" ref="W3:W66" si="3">IFERROR(M3-Q3,"")</f>
        <v>1.2777999999999998</v>
      </c>
      <c r="X3" s="223">
        <f t="shared" ref="X3:X66" si="4">IFERROR(O3-S3,"")</f>
        <v>1.221629148136536</v>
      </c>
      <c r="Y3">
        <f>IFERROR(INDEX(Rainfall_Wet!$O$2:$O$217,MATCH(B3, Rainfall_Wet!$A$2:$A$217,0)),"")</f>
        <v>194.43839254400001</v>
      </c>
      <c r="Z3" s="228">
        <v>12.565665055683967</v>
      </c>
      <c r="AA3" s="228">
        <v>0.9665896196679955</v>
      </c>
      <c r="AB3" s="228">
        <v>86.467745324648035</v>
      </c>
      <c r="AC3" s="229" t="s">
        <v>2656</v>
      </c>
      <c r="AD3" s="228">
        <v>2.02257269590931</v>
      </c>
      <c r="AE3">
        <f>IF('WetLitterbags placem_collection'!AB4="","",'WetLitterbags placem_collection'!AB4)</f>
        <v>22.4</v>
      </c>
      <c r="AF3">
        <f>IF('WetLitterbags placem_collection'!Z4="","",'WetLitterbags placem_collection'!Z4)</f>
        <v>39.799999999999997</v>
      </c>
      <c r="AG3" s="243" t="str">
        <f>IF('WetLitterbags placem_collection'!AA4="","",'WetLitterbags placem_collection'!AA4)</f>
        <v>M</v>
      </c>
      <c r="AH3">
        <f>IF('WetLitterbags placem_collection'!AC4="","",'WetLitterbags placem_collection'!AC4)</f>
        <v>1</v>
      </c>
      <c r="AI3" s="237">
        <f>AVERAGE('WetLitterbags placem_collection'!S4,'WetLitterbags placem_collection'!U4)</f>
        <v>13.1</v>
      </c>
      <c r="AJ3">
        <f>AVERAGE('WetLitterbags placem_collection'!R4,'WetLitterbags placem_collection'!T4)</f>
        <v>24.9</v>
      </c>
      <c r="AK3">
        <f>INDEX(Coordinates!$B$2:$B$197,MATCH(H3,Coordinates!$J$2:$J$197,0))</f>
        <v>-3.397879042</v>
      </c>
      <c r="AL3">
        <f>INDEX(Coordinates!$C$2:$C$197,MATCH(H3,Coordinates!$J$2:$J$197,0))</f>
        <v>34.837536010000001</v>
      </c>
      <c r="AM3" t="str">
        <f>IF(ISNUMBER(SEARCH("C", 'WetLitterbags placem_collection'!$V4)),"YES","NO")</f>
        <v>NO</v>
      </c>
      <c r="AN3" t="str">
        <f>IF(ISNUMBER(SEARCH("H", 'WetLitterbags placem_collection'!$V4)),"YES","NO")</f>
        <v>NO</v>
      </c>
      <c r="AO3" t="str">
        <f>IF(ISNUMBER(SEARCH("R", 'WetLitterbags placem_collection'!$V4)),"YES","NO")</f>
        <v>NO</v>
      </c>
    </row>
    <row r="4" spans="1:41">
      <c r="A4" s="255" t="s">
        <v>2454</v>
      </c>
      <c r="B4" s="260">
        <f>'Dry_Litterbag Placem_Collection'!A5</f>
        <v>3</v>
      </c>
      <c r="C4" s="260" t="str">
        <f>'Dry_Litterbag Placem_Collection'!B5</f>
        <v>Makao</v>
      </c>
      <c r="D4" s="260" t="s">
        <v>2643</v>
      </c>
      <c r="E4" s="260" t="s">
        <v>2644</v>
      </c>
      <c r="F4" s="260">
        <v>1</v>
      </c>
      <c r="G4" s="260" t="s">
        <v>3798</v>
      </c>
      <c r="H4" s="261" t="str">
        <f>'Dry_Litterbag Placem_Collection'!C5</f>
        <v>Dry_Ag1_T3</v>
      </c>
      <c r="I4" s="262" t="s">
        <v>2525</v>
      </c>
      <c r="J4" s="263" t="s">
        <v>1147</v>
      </c>
      <c r="K4" s="221" t="str">
        <f>'WetLitterbags placem_collection'!K5</f>
        <v>G631</v>
      </c>
      <c r="L4" s="223">
        <f>IFERROR(INDEX('Green_rooibos initial weight'!$C$5:$C$2000,MATCH(K4, 'Green_rooibos initial weight'!$A$5:$A$2000,0)),"")</f>
        <v>1.99</v>
      </c>
      <c r="M4" s="223">
        <f>IFERROR(L4-(TBIcalc!$H$9+TBIcalc!$H$10),"")</f>
        <v>1.7402</v>
      </c>
      <c r="N4" s="385">
        <f>AVERAGE(Ashed_controlls!$K$2:$K$11)</f>
        <v>5.5147656768714146</v>
      </c>
      <c r="O4" s="223">
        <f t="shared" si="1"/>
        <v>1.6442320476910837</v>
      </c>
      <c r="P4" s="223" t="str">
        <f>IFERROR(INDEX('Both teabags AfterWet'!$C$3:$C$840,MATCH(K4,'Both teabags AfterWet'!$A$3:$A$840,0)),"")</f>
        <v/>
      </c>
      <c r="Q4" s="223" t="str">
        <f>IFERROR(IF(P4&gt;0,P4-(TBIcalc!$H$9),""),"")</f>
        <v/>
      </c>
      <c r="R4" s="223" t="str">
        <f>IFERROR(INDEX('Ashed teabags wet'!$K$2:$K$2000,MATCH(K4,'Ashed teabags wet'!$A$2:$A$2000,0)),"")</f>
        <v/>
      </c>
      <c r="S4" s="223" t="str">
        <f t="shared" si="2"/>
        <v/>
      </c>
      <c r="T4" s="224">
        <f>'WetLitterbags placem_collection'!E5</f>
        <v>42766</v>
      </c>
      <c r="U4" s="224">
        <f>IF('WetLitterbags placem_collection'!G5="","",'WetLitterbags placem_collection'!G5)</f>
        <v>42819</v>
      </c>
      <c r="V4" s="225">
        <f t="shared" si="0"/>
        <v>53</v>
      </c>
      <c r="W4" s="223" t="str">
        <f t="shared" si="3"/>
        <v/>
      </c>
      <c r="X4" s="223" t="str">
        <f t="shared" si="4"/>
        <v/>
      </c>
      <c r="Y4" t="str">
        <f>IFERROR(INDEX(Rainfall_Wet!$O$2:$O$217,MATCH(B4, Rainfall_Wet!$A$2:$A$217,0)),"")</f>
        <v/>
      </c>
      <c r="Z4" s="228">
        <v>12.565665055683967</v>
      </c>
      <c r="AA4" s="228">
        <v>0.9665896196679955</v>
      </c>
      <c r="AB4" s="228">
        <v>86.467745324648035</v>
      </c>
      <c r="AC4" s="229" t="s">
        <v>2656</v>
      </c>
      <c r="AD4" s="228">
        <v>3.02257269590931</v>
      </c>
      <c r="AE4" t="str">
        <f>IF('WetLitterbags placem_collection'!AB5="","",'WetLitterbags placem_collection'!AB5)</f>
        <v/>
      </c>
      <c r="AF4" t="str">
        <f>IF('WetLitterbags placem_collection'!Z5="","",'WetLitterbags placem_collection'!Z5)</f>
        <v/>
      </c>
      <c r="AG4" s="243" t="str">
        <f>IF('WetLitterbags placem_collection'!AA5="","",'WetLitterbags placem_collection'!AA5)</f>
        <v/>
      </c>
      <c r="AH4" t="str">
        <f>IF('WetLitterbags placem_collection'!AC5="","",'WetLitterbags placem_collection'!AC5)</f>
        <v/>
      </c>
      <c r="AI4" s="237">
        <f>AVERAGE('WetLitterbags placem_collection'!S5,'WetLitterbags placem_collection'!U5)</f>
        <v>14.649999999999999</v>
      </c>
      <c r="AJ4">
        <f>AVERAGE('WetLitterbags placem_collection'!R5,'WetLitterbags placem_collection'!T5)</f>
        <v>24.7</v>
      </c>
      <c r="AK4">
        <f>INDEX(Coordinates!$B$2:$B$197,MATCH(H4,Coordinates!$J$2:$J$197,0))</f>
        <v>-3.3978739999999998</v>
      </c>
      <c r="AL4">
        <f>INDEX(Coordinates!$C$2:$C$197,MATCH(H4,Coordinates!$J$2:$J$197,0))</f>
        <v>34.837578999999998</v>
      </c>
      <c r="AM4" t="str">
        <f>IF(ISNUMBER(SEARCH("C", 'WetLitterbags placem_collection'!$V5)),"YES","NO")</f>
        <v>NO</v>
      </c>
      <c r="AN4" t="str">
        <f>IF(ISNUMBER(SEARCH("H", 'WetLitterbags placem_collection'!$V5)),"YES","NO")</f>
        <v>NO</v>
      </c>
      <c r="AO4" t="str">
        <f>IF(ISNUMBER(SEARCH("R", 'WetLitterbags placem_collection'!$V5)),"YES","NO")</f>
        <v>NO</v>
      </c>
    </row>
    <row r="5" spans="1:41">
      <c r="A5" s="255" t="s">
        <v>2454</v>
      </c>
      <c r="B5" s="260">
        <f>'Dry_Litterbag Placem_Collection'!A6</f>
        <v>4</v>
      </c>
      <c r="C5" s="260" t="str">
        <f>'Dry_Litterbag Placem_Collection'!B6</f>
        <v>Makao</v>
      </c>
      <c r="D5" s="260" t="s">
        <v>2643</v>
      </c>
      <c r="E5" s="260" t="s">
        <v>2644</v>
      </c>
      <c r="F5" s="260">
        <v>1</v>
      </c>
      <c r="G5" s="260" t="s">
        <v>3798</v>
      </c>
      <c r="H5" s="261" t="str">
        <f>'Dry_Litterbag Placem_Collection'!C6</f>
        <v>Dry_Ag1_T4</v>
      </c>
      <c r="I5" s="262" t="s">
        <v>2525</v>
      </c>
      <c r="J5" s="263" t="s">
        <v>1147</v>
      </c>
      <c r="K5" s="221" t="str">
        <f>'WetLitterbags placem_collection'!K6</f>
        <v>G652</v>
      </c>
      <c r="L5" s="223">
        <f>IFERROR(INDEX('Green_rooibos initial weight'!$C$5:$C$2000,MATCH(K5, 'Green_rooibos initial weight'!$A$5:$A$2000,0)),"")</f>
        <v>2.024</v>
      </c>
      <c r="M5" s="223">
        <f>IFERROR(L5-(TBIcalc!$H$9+TBIcalc!$H$10),"")</f>
        <v>1.7742</v>
      </c>
      <c r="N5" s="385">
        <f>AVERAGE(Ashed_controlls!$K$2:$K$11)</f>
        <v>5.5147656768714146</v>
      </c>
      <c r="O5" s="223">
        <f t="shared" si="1"/>
        <v>1.6763570273609474</v>
      </c>
      <c r="P5" s="223" t="str">
        <f>IFERROR(INDEX('Both teabags AfterWet'!$C$3:$C$840,MATCH(K5,'Both teabags AfterWet'!$A$3:$A$840,0)),"")</f>
        <v/>
      </c>
      <c r="Q5" s="223" t="str">
        <f>IFERROR(IF(P5&gt;0,P5-(TBIcalc!$H$9),""),"")</f>
        <v/>
      </c>
      <c r="R5" s="223" t="str">
        <f>IFERROR(INDEX('Ashed teabags wet'!$K$2:$K$2000,MATCH(K5,'Ashed teabags wet'!$A$2:$A$2000,0)),"")</f>
        <v/>
      </c>
      <c r="S5" s="223" t="str">
        <f t="shared" si="2"/>
        <v/>
      </c>
      <c r="T5" s="224">
        <f>'WetLitterbags placem_collection'!E6</f>
        <v>42766</v>
      </c>
      <c r="U5" s="224">
        <f>IF('WetLitterbags placem_collection'!G6="","",'WetLitterbags placem_collection'!G6)</f>
        <v>42818</v>
      </c>
      <c r="V5" s="225">
        <f t="shared" si="0"/>
        <v>52</v>
      </c>
      <c r="W5" s="223" t="str">
        <f t="shared" si="3"/>
        <v/>
      </c>
      <c r="X5" s="223" t="str">
        <f t="shared" si="4"/>
        <v/>
      </c>
      <c r="Y5">
        <f>IFERROR(INDEX(Rainfall_Wet!$O$2:$O$217,MATCH(B5, Rainfall_Wet!$A$2:$A$217,0)),"")</f>
        <v>194.43839254400001</v>
      </c>
      <c r="Z5" s="228">
        <v>12.565665055683967</v>
      </c>
      <c r="AA5" s="228">
        <v>0.9665896196679955</v>
      </c>
      <c r="AB5" s="228">
        <v>86.467745324648035</v>
      </c>
      <c r="AC5" s="229" t="s">
        <v>2656</v>
      </c>
      <c r="AD5" s="228">
        <v>4.02257269590931</v>
      </c>
      <c r="AE5" t="str">
        <f>IF('WetLitterbags placem_collection'!AB6="","",'WetLitterbags placem_collection'!AB6)</f>
        <v/>
      </c>
      <c r="AF5" t="str">
        <f>IF('WetLitterbags placem_collection'!Z6="","",'WetLitterbags placem_collection'!Z6)</f>
        <v/>
      </c>
      <c r="AG5" s="243" t="str">
        <f>IF('WetLitterbags placem_collection'!AA6="","",'WetLitterbags placem_collection'!AA6)</f>
        <v/>
      </c>
      <c r="AH5" t="str">
        <f>IF('WetLitterbags placem_collection'!AC6="","",'WetLitterbags placem_collection'!AC6)</f>
        <v/>
      </c>
      <c r="AI5" s="237">
        <f>AVERAGE('WetLitterbags placem_collection'!S6,'WetLitterbags placem_collection'!U6)</f>
        <v>17.399999999999999</v>
      </c>
      <c r="AJ5">
        <f>AVERAGE('WetLitterbags placem_collection'!R6,'WetLitterbags placem_collection'!T6)</f>
        <v>25.549999999999997</v>
      </c>
      <c r="AK5">
        <f>INDEX(Coordinates!$B$2:$B$197,MATCH(H5,Coordinates!$J$2:$J$197,0))</f>
        <v>-3.3977780399999999</v>
      </c>
      <c r="AL5">
        <f>INDEX(Coordinates!$C$2:$C$197,MATCH(H5,Coordinates!$J$2:$J$197,0))</f>
        <v>34.83751204</v>
      </c>
      <c r="AM5" t="str">
        <f>IF(ISNUMBER(SEARCH("C", 'WetLitterbags placem_collection'!$V6)),"YES","NO")</f>
        <v>NO</v>
      </c>
      <c r="AN5" t="str">
        <f>IF(ISNUMBER(SEARCH("H", 'WetLitterbags placem_collection'!$V6)),"YES","NO")</f>
        <v>NO</v>
      </c>
      <c r="AO5" t="str">
        <f>IF(ISNUMBER(SEARCH("R", 'WetLitterbags placem_collection'!$V6)),"YES","NO")</f>
        <v>NO</v>
      </c>
    </row>
    <row r="6" spans="1:41">
      <c r="A6" s="255" t="s">
        <v>2454</v>
      </c>
      <c r="B6" s="260">
        <f>'Dry_Litterbag Placem_Collection'!A7</f>
        <v>5</v>
      </c>
      <c r="C6" s="260" t="str">
        <f>'Dry_Litterbag Placem_Collection'!B7</f>
        <v>Makao</v>
      </c>
      <c r="D6" s="260" t="s">
        <v>2643</v>
      </c>
      <c r="E6" s="260" t="s">
        <v>2644</v>
      </c>
      <c r="F6" s="260">
        <v>1</v>
      </c>
      <c r="G6" s="260" t="s">
        <v>3798</v>
      </c>
      <c r="H6" s="261" t="str">
        <f>'Dry_Litterbag Placem_Collection'!C7</f>
        <v>Dry_Ag1_T5</v>
      </c>
      <c r="I6" s="262" t="s">
        <v>2525</v>
      </c>
      <c r="J6" s="263" t="s">
        <v>1147</v>
      </c>
      <c r="K6" s="221" t="str">
        <f>'WetLitterbags placem_collection'!K7</f>
        <v>G497</v>
      </c>
      <c r="L6" s="223">
        <f>IFERROR(INDEX('Green_rooibos initial weight'!$C$5:$C$2000,MATCH(K6, 'Green_rooibos initial weight'!$A$5:$A$2000,0)),"")</f>
        <v>2.0019999999999998</v>
      </c>
      <c r="M6" s="223">
        <f>IFERROR(L6-(TBIcalc!$H$9+TBIcalc!$H$10),"")</f>
        <v>1.7521999999999998</v>
      </c>
      <c r="N6" s="385">
        <f>AVERAGE(Ashed_controlls!$K$2:$K$11)</f>
        <v>5.5147656768714146</v>
      </c>
      <c r="O6" s="223">
        <f t="shared" si="1"/>
        <v>1.6555702758098589</v>
      </c>
      <c r="P6" s="223">
        <f>IFERROR(INDEX('Both teabags AfterWet'!$C$3:$C$840,MATCH(K6,'Both teabags AfterWet'!$A$3:$A$840,0)),"")</f>
        <v>0.46</v>
      </c>
      <c r="Q6" s="223">
        <f>IFERROR(IF(P6&gt;0,P6-(TBIcalc!$H$9),""),"")</f>
        <v>0.30940000000000001</v>
      </c>
      <c r="R6" s="223">
        <f>IFERROR(INDEX('Ashed teabags wet'!$K$2:$K$2000,MATCH(K6,'Ashed teabags wet'!$A$2:$A$2000,0)),"")</f>
        <v>19.444444444444176</v>
      </c>
      <c r="S6" s="223">
        <f t="shared" si="2"/>
        <v>0.24923888888888973</v>
      </c>
      <c r="T6" s="224">
        <f>'WetLitterbags placem_collection'!E7</f>
        <v>42766</v>
      </c>
      <c r="U6" s="224">
        <f>IF('WetLitterbags placem_collection'!G7="","",'WetLitterbags placem_collection'!G7)</f>
        <v>42818</v>
      </c>
      <c r="V6" s="225">
        <f t="shared" si="0"/>
        <v>52</v>
      </c>
      <c r="W6" s="223">
        <f t="shared" si="3"/>
        <v>1.4427999999999996</v>
      </c>
      <c r="X6" s="223">
        <f t="shared" si="4"/>
        <v>1.4063313869209693</v>
      </c>
      <c r="Y6">
        <f>IFERROR(INDEX(Rainfall_Wet!$O$2:$O$217,MATCH(B6, Rainfall_Wet!$A$2:$A$217,0)),"")</f>
        <v>194.43839254400001</v>
      </c>
      <c r="Z6" s="228">
        <v>12.565665055683967</v>
      </c>
      <c r="AA6" s="228">
        <v>0.9665896196679955</v>
      </c>
      <c r="AB6" s="228">
        <v>86.467745324648035</v>
      </c>
      <c r="AC6" s="229" t="s">
        <v>2656</v>
      </c>
      <c r="AD6" s="228">
        <v>5.02257269590931</v>
      </c>
      <c r="AE6">
        <f>IF('WetLitterbags placem_collection'!AB7="","",'WetLitterbags placem_collection'!AB7)</f>
        <v>28.4</v>
      </c>
      <c r="AF6">
        <f>IF('WetLitterbags placem_collection'!Z7="","",'WetLitterbags placem_collection'!Z7)</f>
        <v>36.4</v>
      </c>
      <c r="AG6" s="243" t="str">
        <f>IF('WetLitterbags placem_collection'!AA7="","",'WetLitterbags placem_collection'!AA7)</f>
        <v>M</v>
      </c>
      <c r="AH6">
        <f>IF('WetLitterbags placem_collection'!AC7="","",'WetLitterbags placem_collection'!AC7)</f>
        <v>1</v>
      </c>
      <c r="AI6" s="237">
        <f>AVERAGE('WetLitterbags placem_collection'!S7,'WetLitterbags placem_collection'!U7)</f>
        <v>12.100000000000001</v>
      </c>
      <c r="AJ6">
        <f>AVERAGE('WetLitterbags placem_collection'!R7,'WetLitterbags placem_collection'!T7)</f>
        <v>25.1</v>
      </c>
      <c r="AK6">
        <f>INDEX(Coordinates!$B$2:$B$197,MATCH(H6,Coordinates!$J$2:$J$197,0))</f>
        <v>-3.3978020120000001</v>
      </c>
      <c r="AL6">
        <f>INDEX(Coordinates!$C$2:$C$197,MATCH(H6,Coordinates!$J$2:$J$197,0))</f>
        <v>34.83751204</v>
      </c>
      <c r="AM6" t="str">
        <f>IF(ISNUMBER(SEARCH("C", 'WetLitterbags placem_collection'!$V7)),"YES","NO")</f>
        <v>NO</v>
      </c>
      <c r="AN6" t="str">
        <f>IF(ISNUMBER(SEARCH("H", 'WetLitterbags placem_collection'!$V7)),"YES","NO")</f>
        <v>NO</v>
      </c>
      <c r="AO6" t="str">
        <f>IF(ISNUMBER(SEARCH("R", 'WetLitterbags placem_collection'!$V7)),"YES","NO")</f>
        <v>NO</v>
      </c>
    </row>
    <row r="7" spans="1:41">
      <c r="A7" s="255" t="s">
        <v>2454</v>
      </c>
      <c r="B7" s="260">
        <f>'Dry_Litterbag Placem_Collection'!A8</f>
        <v>6</v>
      </c>
      <c r="C7" s="260" t="str">
        <f>'Dry_Litterbag Placem_Collection'!B8</f>
        <v>Makao</v>
      </c>
      <c r="D7" s="260" t="s">
        <v>2643</v>
      </c>
      <c r="E7" s="260" t="s">
        <v>2644</v>
      </c>
      <c r="F7" s="260">
        <v>1</v>
      </c>
      <c r="G7" s="260" t="s">
        <v>3798</v>
      </c>
      <c r="H7" s="261" t="str">
        <f>'Dry_Litterbag Placem_Collection'!C8</f>
        <v>Dry_Ag1_T6</v>
      </c>
      <c r="I7" s="262" t="s">
        <v>2525</v>
      </c>
      <c r="J7" s="263" t="s">
        <v>1147</v>
      </c>
      <c r="K7" s="221" t="str">
        <f>'WetLitterbags placem_collection'!K8</f>
        <v>G447</v>
      </c>
      <c r="L7" s="223">
        <f>IFERROR(INDEX('Green_rooibos initial weight'!$C$5:$C$2000,MATCH(K7, 'Green_rooibos initial weight'!$A$5:$A$2000,0)),"")</f>
        <v>2.0579999999999998</v>
      </c>
      <c r="M7" s="223">
        <f>IFERROR(L7-(TBIcalc!$H$9+TBIcalc!$H$10),"")</f>
        <v>1.8081999999999998</v>
      </c>
      <c r="N7" s="385">
        <f>AVERAGE(Ashed_controlls!$K$2:$K$11)</f>
        <v>5.5147656768714146</v>
      </c>
      <c r="O7" s="223">
        <f t="shared" si="1"/>
        <v>1.7084820070308109</v>
      </c>
      <c r="P7" s="223">
        <f>IFERROR(INDEX('Both teabags AfterWet'!$C$3:$C$840,MATCH(K7,'Both teabags AfterWet'!$A$3:$A$840,0)),"")</f>
        <v>0.67749999999999999</v>
      </c>
      <c r="Q7" s="223">
        <f>IFERROR(IF(P7&gt;0,P7-(TBIcalc!$H$9),""),"")</f>
        <v>0.52689999999999992</v>
      </c>
      <c r="R7" s="223">
        <f>IFERROR(INDEX('Ashed teabags wet'!$K$2:$K$2000,MATCH(K7,'Ashed teabags wet'!$A$2:$A$2000,0)),"")</f>
        <v>11.472945891783862</v>
      </c>
      <c r="S7" s="223">
        <f t="shared" si="2"/>
        <v>0.46644904809619075</v>
      </c>
      <c r="T7" s="224">
        <f>'WetLitterbags placem_collection'!E8</f>
        <v>42766</v>
      </c>
      <c r="U7" s="224">
        <f>IF('WetLitterbags placem_collection'!G8="","",'WetLitterbags placem_collection'!G8)</f>
        <v>42818</v>
      </c>
      <c r="V7" s="225">
        <f t="shared" si="0"/>
        <v>52</v>
      </c>
      <c r="W7" s="223">
        <f t="shared" si="3"/>
        <v>1.2812999999999999</v>
      </c>
      <c r="X7" s="223">
        <f t="shared" si="4"/>
        <v>1.2420329589346202</v>
      </c>
      <c r="Y7">
        <f>IFERROR(INDEX(Rainfall_Wet!$O$2:$O$217,MATCH(B7, Rainfall_Wet!$A$2:$A$217,0)),"")</f>
        <v>194.43839254400001</v>
      </c>
      <c r="Z7" s="228">
        <v>12.565665055683967</v>
      </c>
      <c r="AA7" s="228">
        <v>0.9665896196679955</v>
      </c>
      <c r="AB7" s="228">
        <v>86.467745324648035</v>
      </c>
      <c r="AC7" s="229" t="s">
        <v>2656</v>
      </c>
      <c r="AD7" s="228">
        <v>6.02257269590931</v>
      </c>
      <c r="AE7">
        <f>IF('WetLitterbags placem_collection'!AB8="","",'WetLitterbags placem_collection'!AB8)</f>
        <v>32.4</v>
      </c>
      <c r="AF7">
        <f>IF('WetLitterbags placem_collection'!Z8="","",'WetLitterbags placem_collection'!Z8)</f>
        <v>31</v>
      </c>
      <c r="AG7" s="243" t="str">
        <f>IF('WetLitterbags placem_collection'!AA8="","",'WetLitterbags placem_collection'!AA8)</f>
        <v>M</v>
      </c>
      <c r="AH7">
        <f>IF('WetLitterbags placem_collection'!AC8="","",'WetLitterbags placem_collection'!AC8)</f>
        <v>1</v>
      </c>
      <c r="AI7" s="237">
        <f>AVERAGE('WetLitterbags placem_collection'!S8,'WetLitterbags placem_collection'!U8)</f>
        <v>13.45</v>
      </c>
      <c r="AJ7">
        <f>AVERAGE('WetLitterbags placem_collection'!R8,'WetLitterbags placem_collection'!T8)</f>
        <v>25.1</v>
      </c>
      <c r="AK7">
        <f>INDEX(Coordinates!$B$2:$B$197,MATCH(H7,Coordinates!$J$2:$J$197,0))</f>
        <v>-3.3977389800000002</v>
      </c>
      <c r="AL7">
        <f>INDEX(Coordinates!$C$2:$C$197,MATCH(H7,Coordinates!$J$2:$J$197,0))</f>
        <v>34.837501979999999</v>
      </c>
      <c r="AM7" t="str">
        <f>IF(ISNUMBER(SEARCH("C", 'WetLitterbags placem_collection'!$V8)),"YES","NO")</f>
        <v>NO</v>
      </c>
      <c r="AN7" t="str">
        <f>IF(ISNUMBER(SEARCH("H", 'WetLitterbags placem_collection'!$V8)),"YES","NO")</f>
        <v>NO</v>
      </c>
      <c r="AO7" t="str">
        <f>IF(ISNUMBER(SEARCH("R", 'WetLitterbags placem_collection'!$V8)),"YES","NO")</f>
        <v>NO</v>
      </c>
    </row>
    <row r="8" spans="1:41">
      <c r="A8" s="255" t="s">
        <v>2454</v>
      </c>
      <c r="B8" s="260">
        <f>'Dry_Litterbag Placem_Collection'!A9</f>
        <v>7</v>
      </c>
      <c r="C8" s="260" t="str">
        <f>'Dry_Litterbag Placem_Collection'!B9</f>
        <v>Makao</v>
      </c>
      <c r="D8" s="260" t="s">
        <v>2643</v>
      </c>
      <c r="E8" s="260" t="s">
        <v>2644</v>
      </c>
      <c r="F8" s="260">
        <v>1</v>
      </c>
      <c r="G8" s="260" t="s">
        <v>3798</v>
      </c>
      <c r="H8" s="261" t="str">
        <f>'Dry_Litterbag Placem_Collection'!C9</f>
        <v>Dry_Ag1_T7</v>
      </c>
      <c r="I8" s="262" t="s">
        <v>2525</v>
      </c>
      <c r="J8" s="263" t="s">
        <v>1147</v>
      </c>
      <c r="K8" s="221" t="str">
        <f>'WetLitterbags placem_collection'!K9</f>
        <v>G452</v>
      </c>
      <c r="L8" s="223">
        <f>IFERROR(INDEX('Green_rooibos initial weight'!$C$5:$C$2000,MATCH(K8, 'Green_rooibos initial weight'!$A$5:$A$2000,0)),"")</f>
        <v>2.0550000000000002</v>
      </c>
      <c r="M8" s="223">
        <f>IFERROR(L8-(TBIcalc!$H$9+TBIcalc!$H$10),"")</f>
        <v>1.8052000000000001</v>
      </c>
      <c r="N8" s="385">
        <f>AVERAGE(Ashed_controlls!$K$2:$K$11)</f>
        <v>5.5147656768714146</v>
      </c>
      <c r="O8" s="223">
        <f t="shared" si="1"/>
        <v>1.7056474500011174</v>
      </c>
      <c r="P8" s="223">
        <f>IFERROR(INDEX('Both teabags AfterWet'!$C$3:$C$840,MATCH(K8,'Both teabags AfterWet'!$A$3:$A$840,0)),"")</f>
        <v>0.67900000000000005</v>
      </c>
      <c r="Q8" s="223">
        <f>IFERROR(IF(P8&gt;0,P8-(TBIcalc!$H$9),""),"")</f>
        <v>0.52839999999999998</v>
      </c>
      <c r="R8" s="223">
        <f>IFERROR(INDEX('Ashed teabags wet'!$K$2:$K$2000,MATCH(K8,'Ashed teabags wet'!$A$2:$A$2000,0)),"")</f>
        <v>11.36705057586399</v>
      </c>
      <c r="S8" s="223">
        <f t="shared" si="2"/>
        <v>0.46833650475713468</v>
      </c>
      <c r="T8" s="224">
        <f>'WetLitterbags placem_collection'!E9</f>
        <v>42766</v>
      </c>
      <c r="U8" s="224">
        <f>IF('WetLitterbags placem_collection'!G9="","",'WetLitterbags placem_collection'!G9)</f>
        <v>42818</v>
      </c>
      <c r="V8" s="225">
        <f t="shared" si="0"/>
        <v>52</v>
      </c>
      <c r="W8" s="223">
        <f t="shared" si="3"/>
        <v>1.2768000000000002</v>
      </c>
      <c r="X8" s="223">
        <f t="shared" si="4"/>
        <v>1.2373109452439828</v>
      </c>
      <c r="Y8">
        <f>IFERROR(INDEX(Rainfall_Wet!$O$2:$O$217,MATCH(B8, Rainfall_Wet!$A$2:$A$217,0)),"")</f>
        <v>194.43839254400001</v>
      </c>
      <c r="Z8" s="228">
        <v>12.565665055683967</v>
      </c>
      <c r="AA8" s="228">
        <v>0.9665896196679955</v>
      </c>
      <c r="AB8" s="228">
        <v>86.467745324648035</v>
      </c>
      <c r="AC8" s="229" t="s">
        <v>2656</v>
      </c>
      <c r="AD8" s="228">
        <v>7.02257269590931</v>
      </c>
      <c r="AE8">
        <f>IF('WetLitterbags placem_collection'!AB9="","",'WetLitterbags placem_collection'!AB9)</f>
        <v>36</v>
      </c>
      <c r="AF8">
        <f>IF('WetLitterbags placem_collection'!Z9="","",'WetLitterbags placem_collection'!Z9)</f>
        <v>43.4</v>
      </c>
      <c r="AG8" s="243" t="str">
        <f>IF('WetLitterbags placem_collection'!AA9="","",'WetLitterbags placem_collection'!AA9)</f>
        <v>M</v>
      </c>
      <c r="AH8">
        <f>IF('WetLitterbags placem_collection'!AC9="","",'WetLitterbags placem_collection'!AC9)</f>
        <v>1</v>
      </c>
      <c r="AI8" s="237">
        <f>AVERAGE('WetLitterbags placem_collection'!S9,'WetLitterbags placem_collection'!U9)</f>
        <v>9.8500000000000014</v>
      </c>
      <c r="AJ8">
        <f>AVERAGE('WetLitterbags placem_collection'!R9,'WetLitterbags placem_collection'!T9)</f>
        <v>26.2</v>
      </c>
      <c r="AK8">
        <f>INDEX(Coordinates!$B$2:$B$197,MATCH(H8,Coordinates!$J$2:$J$197,0))</f>
        <v>-3.3977630360000002</v>
      </c>
      <c r="AL8">
        <f>INDEX(Coordinates!$C$2:$C$197,MATCH(H8,Coordinates!$J$2:$J$197,0))</f>
        <v>34.837600969999997</v>
      </c>
      <c r="AM8" t="str">
        <f>IF(ISNUMBER(SEARCH("C", 'WetLitterbags placem_collection'!$V9)),"YES","NO")</f>
        <v>NO</v>
      </c>
      <c r="AN8" t="str">
        <f>IF(ISNUMBER(SEARCH("H", 'WetLitterbags placem_collection'!$V9)),"YES","NO")</f>
        <v>NO</v>
      </c>
      <c r="AO8" t="str">
        <f>IF(ISNUMBER(SEARCH("R", 'WetLitterbags placem_collection'!$V9)),"YES","NO")</f>
        <v>NO</v>
      </c>
    </row>
    <row r="9" spans="1:41">
      <c r="A9" s="255" t="s">
        <v>2454</v>
      </c>
      <c r="B9" s="260">
        <f>'Dry_Litterbag Placem_Collection'!A10</f>
        <v>8</v>
      </c>
      <c r="C9" s="260" t="str">
        <f>'Dry_Litterbag Placem_Collection'!B10</f>
        <v>Makao</v>
      </c>
      <c r="D9" s="260" t="s">
        <v>2643</v>
      </c>
      <c r="E9" s="260" t="s">
        <v>2644</v>
      </c>
      <c r="F9" s="260">
        <v>1</v>
      </c>
      <c r="G9" s="260" t="s">
        <v>3798</v>
      </c>
      <c r="H9" s="261" t="str">
        <f>'Dry_Litterbag Placem_Collection'!C10</f>
        <v>Dry_Ag1_T8</v>
      </c>
      <c r="I9" s="262" t="s">
        <v>2525</v>
      </c>
      <c r="J9" s="263" t="s">
        <v>1147</v>
      </c>
      <c r="K9" s="221" t="str">
        <f>'WetLitterbags placem_collection'!K10</f>
        <v>G389</v>
      </c>
      <c r="L9" s="223">
        <f>IFERROR(INDEX('Green_rooibos initial weight'!$C$5:$C$2000,MATCH(K9, 'Green_rooibos initial weight'!$A$5:$A$2000,0)),"")</f>
        <v>1.9710000000000001</v>
      </c>
      <c r="M9" s="223">
        <f>IFERROR(L9-(TBIcalc!$H$9+TBIcalc!$H$10),"")</f>
        <v>1.7212000000000001</v>
      </c>
      <c r="N9" s="385">
        <f>AVERAGE(Ashed_controlls!$K$2:$K$11)</f>
        <v>5.5147656768714146</v>
      </c>
      <c r="O9" s="223">
        <f t="shared" si="1"/>
        <v>1.6262798531696894</v>
      </c>
      <c r="P9" s="223">
        <f>IFERROR(INDEX('Both teabags AfterWet'!$C$3:$C$840,MATCH(K9,'Both teabags AfterWet'!$A$3:$A$840,0)),"")</f>
        <v>0.61950000000000005</v>
      </c>
      <c r="Q9" s="223">
        <f>IFERROR(IF(P9&gt;0,P9-(TBIcalc!$H$9),""),"")</f>
        <v>0.46890000000000004</v>
      </c>
      <c r="R9" s="223">
        <f>IFERROR(INDEX('Ashed teabags wet'!$K$2:$K$2000,MATCH(K9,'Ashed teabags wet'!$A$2:$A$2000,0)),"")</f>
        <v>9.7706879361918428</v>
      </c>
      <c r="S9" s="223">
        <f t="shared" si="2"/>
        <v>0.42308524426719651</v>
      </c>
      <c r="T9" s="224">
        <f>'WetLitterbags placem_collection'!E10</f>
        <v>42766</v>
      </c>
      <c r="U9" s="224">
        <f>IF('WetLitterbags placem_collection'!G10="","",'WetLitterbags placem_collection'!G10)</f>
        <v>42818</v>
      </c>
      <c r="V9" s="225">
        <f t="shared" si="0"/>
        <v>52</v>
      </c>
      <c r="W9" s="223">
        <f t="shared" si="3"/>
        <v>1.2523</v>
      </c>
      <c r="X9" s="223">
        <f t="shared" si="4"/>
        <v>1.2031946089024927</v>
      </c>
      <c r="Y9">
        <f>IFERROR(INDEX(Rainfall_Wet!$O$2:$O$217,MATCH(B9, Rainfall_Wet!$A$2:$A$217,0)),"")</f>
        <v>194.43839254400001</v>
      </c>
      <c r="Z9" s="228">
        <v>12.565665055683967</v>
      </c>
      <c r="AA9" s="228">
        <v>0.9665896196679955</v>
      </c>
      <c r="AB9" s="228">
        <v>86.467745324648035</v>
      </c>
      <c r="AC9" s="229" t="s">
        <v>2656</v>
      </c>
      <c r="AD9" s="228">
        <v>8.0225726959093109</v>
      </c>
      <c r="AE9">
        <f>IF('WetLitterbags placem_collection'!AB10="","",'WetLitterbags placem_collection'!AB10)</f>
        <v>36</v>
      </c>
      <c r="AF9">
        <f>IF('WetLitterbags placem_collection'!Z10="","",'WetLitterbags placem_collection'!Z10)</f>
        <v>38.4</v>
      </c>
      <c r="AG9" s="243" t="str">
        <f>IF('WetLitterbags placem_collection'!AA10="","",'WetLitterbags placem_collection'!AA10)</f>
        <v>M</v>
      </c>
      <c r="AH9" t="str">
        <f>IF('WetLitterbags placem_collection'!AC10="","",'WetLitterbags placem_collection'!AC10)</f>
        <v/>
      </c>
      <c r="AI9" s="237">
        <f>AVERAGE('WetLitterbags placem_collection'!S10,'WetLitterbags placem_collection'!U10)</f>
        <v>10.600000000000001</v>
      </c>
      <c r="AJ9">
        <f>AVERAGE('WetLitterbags placem_collection'!R10,'WetLitterbags placem_collection'!T10)</f>
        <v>25.5</v>
      </c>
      <c r="AK9">
        <f>INDEX(Coordinates!$B$2:$B$197,MATCH(H9,Coordinates!$J$2:$J$197,0))</f>
        <v>-3.3977320230000001</v>
      </c>
      <c r="AL9">
        <f>INDEX(Coordinates!$C$2:$C$197,MATCH(H9,Coordinates!$J$2:$J$197,0))</f>
        <v>34.837561989999998</v>
      </c>
      <c r="AM9" t="str">
        <f>IF(ISNUMBER(SEARCH("C", 'WetLitterbags placem_collection'!$V10)),"YES","NO")</f>
        <v>NO</v>
      </c>
      <c r="AN9" t="str">
        <f>IF(ISNUMBER(SEARCH("H", 'WetLitterbags placem_collection'!$V10)),"YES","NO")</f>
        <v>YES</v>
      </c>
      <c r="AO9" t="str">
        <f>IF(ISNUMBER(SEARCH("R", 'WetLitterbags placem_collection'!$V10)),"YES","NO")</f>
        <v>NO</v>
      </c>
    </row>
    <row r="10" spans="1:41">
      <c r="A10" s="255" t="s">
        <v>2454</v>
      </c>
      <c r="B10" s="260">
        <f>'Dry_Litterbag Placem_Collection'!A11</f>
        <v>9</v>
      </c>
      <c r="C10" s="260" t="str">
        <f>'Dry_Litterbag Placem_Collection'!B11</f>
        <v>Makao</v>
      </c>
      <c r="D10" s="260" t="s">
        <v>2643</v>
      </c>
      <c r="E10" s="260" t="s">
        <v>2644</v>
      </c>
      <c r="F10" s="260">
        <v>2</v>
      </c>
      <c r="G10" s="260" t="s">
        <v>3802</v>
      </c>
      <c r="H10" s="261" t="str">
        <f>'Dry_Litterbag Placem_Collection'!C11</f>
        <v>Dry_Ag2_T1</v>
      </c>
      <c r="I10" s="262" t="s">
        <v>2525</v>
      </c>
      <c r="J10" s="263" t="s">
        <v>1147</v>
      </c>
      <c r="K10" s="221" t="str">
        <f>'WetLitterbags placem_collection'!K11</f>
        <v>G514</v>
      </c>
      <c r="L10" s="223">
        <f>IFERROR(INDEX('Green_rooibos initial weight'!$C$5:$C$2000,MATCH(K10, 'Green_rooibos initial weight'!$A$5:$A$2000,0)),"")</f>
        <v>1.9350000000000001</v>
      </c>
      <c r="M10" s="223">
        <f>IFERROR(L10-(TBIcalc!$H$9+TBIcalc!$H$10),"")</f>
        <v>1.6852</v>
      </c>
      <c r="N10" s="385">
        <f>AVERAGE(Ashed_controlls!$K$2:$K$11)</f>
        <v>5.5147656768714146</v>
      </c>
      <c r="O10" s="223">
        <f t="shared" si="1"/>
        <v>1.5922651688133629</v>
      </c>
      <c r="P10" s="223">
        <f>IFERROR(INDEX('Both teabags AfterWet'!$C$3:$C$840,MATCH(K10,'Both teabags AfterWet'!$A$3:$A$840,0)),"")</f>
        <v>0.59470000000000001</v>
      </c>
      <c r="Q10" s="223">
        <f>IFERROR(IF(P10&gt;0,P10-(TBIcalc!$H$9),""),"")</f>
        <v>0.44409999999999999</v>
      </c>
      <c r="R10" s="223">
        <f>IFERROR(INDEX('Ashed teabags wet'!$K$2:$K$2000,MATCH(K10,'Ashed teabags wet'!$A$2:$A$2000,0)),"")</f>
        <v>9.2933204259437421</v>
      </c>
      <c r="S10" s="223">
        <f t="shared" si="2"/>
        <v>0.40282836398838384</v>
      </c>
      <c r="T10" s="224">
        <f>'WetLitterbags placem_collection'!E11</f>
        <v>42766</v>
      </c>
      <c r="U10" s="224">
        <f>IF('WetLitterbags placem_collection'!G11="","",'WetLitterbags placem_collection'!G11)</f>
        <v>42818</v>
      </c>
      <c r="V10" s="225">
        <f t="shared" si="0"/>
        <v>52</v>
      </c>
      <c r="W10" s="223">
        <f t="shared" si="3"/>
        <v>1.2411000000000001</v>
      </c>
      <c r="X10" s="223">
        <f t="shared" si="4"/>
        <v>1.189436804824979</v>
      </c>
      <c r="Y10">
        <f>IFERROR(INDEX(Rainfall_Wet!$O$2:$O$217,MATCH(B10, Rainfall_Wet!$A$2:$A$217,0)),"")</f>
        <v>194.43839254400001</v>
      </c>
      <c r="Z10" s="228">
        <v>21.13063730679653</v>
      </c>
      <c r="AA10" s="228">
        <v>3.0912555579081076</v>
      </c>
      <c r="AB10" s="228">
        <v>75.778107135295357</v>
      </c>
      <c r="AC10" s="229" t="s">
        <v>2654</v>
      </c>
      <c r="AD10" s="228">
        <v>0.46131099063578063</v>
      </c>
      <c r="AE10">
        <f>IF('WetLitterbags placem_collection'!AB11="","",'WetLitterbags placem_collection'!AB11)</f>
        <v>10.8</v>
      </c>
      <c r="AF10">
        <f>IF('WetLitterbags placem_collection'!Z11="","",'WetLitterbags placem_collection'!Z11)</f>
        <v>28.4</v>
      </c>
      <c r="AG10" s="243" t="str">
        <f>IF('WetLitterbags placem_collection'!AA11="","",'WetLitterbags placem_collection'!AA11)</f>
        <v>M</v>
      </c>
      <c r="AH10">
        <f>IF('WetLitterbags placem_collection'!AC11="","",'WetLitterbags placem_collection'!AC11)</f>
        <v>0</v>
      </c>
      <c r="AI10" s="237">
        <f>AVERAGE('WetLitterbags placem_collection'!S11,'WetLitterbags placem_collection'!U11)</f>
        <v>14.5</v>
      </c>
      <c r="AJ10">
        <f>AVERAGE('WetLitterbags placem_collection'!R11,'WetLitterbags placem_collection'!T11)</f>
        <v>24.4</v>
      </c>
      <c r="AK10">
        <f>INDEX(Coordinates!$B$2:$B$197,MATCH(H10,Coordinates!$J$2:$J$197,0))</f>
        <v>-3.3978290019999999</v>
      </c>
      <c r="AL10">
        <f>INDEX(Coordinates!$C$2:$C$197,MATCH(H10,Coordinates!$J$2:$J$197,0))</f>
        <v>34.837011969999999</v>
      </c>
      <c r="AM10" t="str">
        <f>IF(ISNUMBER(SEARCH("C", 'WetLitterbags placem_collection'!$V11)),"YES","NO")</f>
        <v>NO</v>
      </c>
      <c r="AN10" t="str">
        <f>IF(ISNUMBER(SEARCH("H", 'WetLitterbags placem_collection'!$V11)),"YES","NO")</f>
        <v>NO</v>
      </c>
      <c r="AO10" t="str">
        <f>IF(ISNUMBER(SEARCH("R", 'WetLitterbags placem_collection'!$V11)),"YES","NO")</f>
        <v>YES</v>
      </c>
    </row>
    <row r="11" spans="1:41">
      <c r="A11" s="255" t="s">
        <v>2454</v>
      </c>
      <c r="B11" s="260">
        <f>'Dry_Litterbag Placem_Collection'!A12</f>
        <v>10</v>
      </c>
      <c r="C11" s="260" t="str">
        <f>'Dry_Litterbag Placem_Collection'!B12</f>
        <v>Makao</v>
      </c>
      <c r="D11" s="260" t="s">
        <v>2643</v>
      </c>
      <c r="E11" s="260" t="s">
        <v>2644</v>
      </c>
      <c r="F11" s="260">
        <v>2</v>
      </c>
      <c r="G11" s="260" t="s">
        <v>3802</v>
      </c>
      <c r="H11" s="261" t="str">
        <f>'Dry_Litterbag Placem_Collection'!C12</f>
        <v>Dry_Ag2_T2</v>
      </c>
      <c r="I11" s="262" t="s">
        <v>2525</v>
      </c>
      <c r="J11" s="263" t="s">
        <v>1147</v>
      </c>
      <c r="K11" s="221" t="str">
        <f>'WetLitterbags placem_collection'!K12</f>
        <v>G286</v>
      </c>
      <c r="L11" s="223">
        <f>IFERROR(INDEX('Green_rooibos initial weight'!$C$5:$C$2000,MATCH(K11, 'Green_rooibos initial weight'!$A$5:$A$2000,0)),"")</f>
        <v>2.0710000000000002</v>
      </c>
      <c r="M11" s="223">
        <f>IFERROR(L11-(TBIcalc!$H$9+TBIcalc!$H$10),"")</f>
        <v>1.8212000000000002</v>
      </c>
      <c r="N11" s="385">
        <f>AVERAGE(Ashed_controlls!$K$2:$K$11)</f>
        <v>5.5147656768714146</v>
      </c>
      <c r="O11" s="223">
        <f t="shared" si="1"/>
        <v>1.720765087492818</v>
      </c>
      <c r="P11" s="223">
        <f>IFERROR(INDEX('Both teabags AfterWet'!$C$3:$C$840,MATCH(K11,'Both teabags AfterWet'!$A$3:$A$840,0)),"")</f>
        <v>0.80200000000000005</v>
      </c>
      <c r="Q11" s="223">
        <f>IFERROR(IF(P11&gt;0,P11-(TBIcalc!$H$9),""),"")</f>
        <v>0.65139999999999998</v>
      </c>
      <c r="R11" s="223">
        <f>IFERROR(INDEX('Ashed teabags wet'!$K$2:$K$2000,MATCH(K11,'Ashed teabags wet'!$A$2:$A$2000,0)),"")</f>
        <v>14.321233217304874</v>
      </c>
      <c r="S11" s="223">
        <f t="shared" si="2"/>
        <v>0.55811148682247602</v>
      </c>
      <c r="T11" s="224">
        <f>'WetLitterbags placem_collection'!E12</f>
        <v>42766</v>
      </c>
      <c r="U11" s="224">
        <f>IF('WetLitterbags placem_collection'!G12="","",'WetLitterbags placem_collection'!G12)</f>
        <v>42818</v>
      </c>
      <c r="V11" s="225">
        <f t="shared" si="0"/>
        <v>52</v>
      </c>
      <c r="W11" s="223">
        <f t="shared" si="3"/>
        <v>1.1698000000000002</v>
      </c>
      <c r="X11" s="223">
        <f t="shared" si="4"/>
        <v>1.1626536006703421</v>
      </c>
      <c r="Y11">
        <f>IFERROR(INDEX(Rainfall_Wet!$O$2:$O$217,MATCH(B11, Rainfall_Wet!$A$2:$A$217,0)),"")</f>
        <v>194.43839254400001</v>
      </c>
      <c r="Z11" s="228">
        <v>21.13063730679653</v>
      </c>
      <c r="AA11" s="228">
        <v>3.0912555579081076</v>
      </c>
      <c r="AB11" s="228">
        <v>75.778107135295357</v>
      </c>
      <c r="AC11" s="229" t="s">
        <v>2654</v>
      </c>
      <c r="AD11" s="228">
        <v>1.46131099063578</v>
      </c>
      <c r="AE11">
        <f>IF('WetLitterbags placem_collection'!AB12="","",'WetLitterbags placem_collection'!AB12)</f>
        <v>16.8</v>
      </c>
      <c r="AF11">
        <f>IF('WetLitterbags placem_collection'!Z12="","",'WetLitterbags placem_collection'!Z12)</f>
        <v>30</v>
      </c>
      <c r="AG11" s="243" t="str">
        <f>IF('WetLitterbags placem_collection'!AA12="","",'WetLitterbags placem_collection'!AA12)</f>
        <v>M</v>
      </c>
      <c r="AH11">
        <f>IF('WetLitterbags placem_collection'!AC12="","",'WetLitterbags placem_collection'!AC12)</f>
        <v>0</v>
      </c>
      <c r="AI11" s="237">
        <f>AVERAGE('WetLitterbags placem_collection'!S12,'WetLitterbags placem_collection'!U12)</f>
        <v>14.649999999999999</v>
      </c>
      <c r="AJ11">
        <f>AVERAGE('WetLitterbags placem_collection'!R12,'WetLitterbags placem_collection'!T12)</f>
        <v>24.299999999999997</v>
      </c>
      <c r="AK11">
        <f>INDEX(Coordinates!$B$2:$B$197,MATCH(H11,Coordinates!$J$2:$J$197,0))</f>
        <v>-3.3978119869999999</v>
      </c>
      <c r="AL11">
        <f>INDEX(Coordinates!$C$2:$C$197,MATCH(H11,Coordinates!$J$2:$J$197,0))</f>
        <v>34.836968980000002</v>
      </c>
      <c r="AM11" t="str">
        <f>IF(ISNUMBER(SEARCH("C", 'WetLitterbags placem_collection'!$V12)),"YES","NO")</f>
        <v>NO</v>
      </c>
      <c r="AN11" t="str">
        <f>IF(ISNUMBER(SEARCH("H", 'WetLitterbags placem_collection'!$V12)),"YES","NO")</f>
        <v>NO</v>
      </c>
      <c r="AO11" t="str">
        <f>IF(ISNUMBER(SEARCH("R", 'WetLitterbags placem_collection'!$V12)),"YES","NO")</f>
        <v>NO</v>
      </c>
    </row>
    <row r="12" spans="1:41">
      <c r="A12" s="255" t="s">
        <v>2454</v>
      </c>
      <c r="B12" s="260">
        <f>'Dry_Litterbag Placem_Collection'!A13</f>
        <v>11</v>
      </c>
      <c r="C12" s="260" t="str">
        <f>'Dry_Litterbag Placem_Collection'!B13</f>
        <v>Makao</v>
      </c>
      <c r="D12" s="260" t="s">
        <v>2643</v>
      </c>
      <c r="E12" s="260" t="s">
        <v>2644</v>
      </c>
      <c r="F12" s="260">
        <v>2</v>
      </c>
      <c r="G12" s="260" t="s">
        <v>3802</v>
      </c>
      <c r="H12" s="261" t="str">
        <f>'Dry_Litterbag Placem_Collection'!C13</f>
        <v>Dry_Ag2_T3</v>
      </c>
      <c r="I12" s="262" t="s">
        <v>2525</v>
      </c>
      <c r="J12" s="263" t="s">
        <v>1147</v>
      </c>
      <c r="K12" s="221" t="str">
        <f>'WetLitterbags placem_collection'!K13</f>
        <v>G543</v>
      </c>
      <c r="L12" s="223">
        <f>IFERROR(INDEX('Green_rooibos initial weight'!$C$5:$C$2000,MATCH(K12, 'Green_rooibos initial weight'!$A$5:$A$2000,0)),"")</f>
        <v>2.0920000000000001</v>
      </c>
      <c r="M12" s="223">
        <f>IFERROR(L12-(TBIcalc!$H$9+TBIcalc!$H$10),"")</f>
        <v>1.8422000000000001</v>
      </c>
      <c r="N12" s="385">
        <f>AVERAGE(Ashed_controlls!$K$2:$K$11)</f>
        <v>5.5147656768714146</v>
      </c>
      <c r="O12" s="223">
        <f t="shared" si="1"/>
        <v>1.7406069867006748</v>
      </c>
      <c r="P12" s="223">
        <f>IFERROR(INDEX('Both teabags AfterWet'!$C$3:$C$840,MATCH(K12,'Both teabags AfterWet'!$A$3:$A$840,0)),"")</f>
        <v>0.71650000000000003</v>
      </c>
      <c r="Q12" s="223">
        <f>IFERROR(IF(P12&gt;0,P12-(TBIcalc!$H$9),""),"")</f>
        <v>0.56590000000000007</v>
      </c>
      <c r="R12" s="223">
        <f>IFERROR(INDEX('Ashed teabags wet'!$K$2:$K$2000,MATCH(K12,'Ashed teabags wet'!$A$2:$A$2000,0)),"")</f>
        <v>12.04819277108421</v>
      </c>
      <c r="S12" s="223">
        <f t="shared" si="2"/>
        <v>0.4977192771084345</v>
      </c>
      <c r="T12" s="224">
        <f>'WetLitterbags placem_collection'!E13</f>
        <v>42766</v>
      </c>
      <c r="U12" s="224">
        <f>IF('WetLitterbags placem_collection'!G13="","",'WetLitterbags placem_collection'!G13)</f>
        <v>42818</v>
      </c>
      <c r="V12" s="225">
        <f t="shared" si="0"/>
        <v>52</v>
      </c>
      <c r="W12" s="223">
        <f t="shared" si="3"/>
        <v>1.2763</v>
      </c>
      <c r="X12" s="223">
        <f t="shared" si="4"/>
        <v>1.2428877095922404</v>
      </c>
      <c r="Y12">
        <f>IFERROR(INDEX(Rainfall_Wet!$O$2:$O$217,MATCH(B12, Rainfall_Wet!$A$2:$A$217,0)),"")</f>
        <v>194.43839254400001</v>
      </c>
      <c r="Z12" s="228">
        <v>21.13063730679653</v>
      </c>
      <c r="AA12" s="228">
        <v>3.0912555579081076</v>
      </c>
      <c r="AB12" s="228">
        <v>75.778107135295357</v>
      </c>
      <c r="AC12" s="229" t="s">
        <v>2654</v>
      </c>
      <c r="AD12" s="228">
        <v>2.4613109906357802</v>
      </c>
      <c r="AE12">
        <f>IF('WetLitterbags placem_collection'!AB13="","",'WetLitterbags placem_collection'!AB13)</f>
        <v>11.4</v>
      </c>
      <c r="AF12">
        <f>IF('WetLitterbags placem_collection'!Z13="","",'WetLitterbags placem_collection'!Z13)</f>
        <v>24.4</v>
      </c>
      <c r="AG12" s="243" t="str">
        <f>IF('WetLitterbags placem_collection'!AA13="","",'WetLitterbags placem_collection'!AA13)</f>
        <v>M</v>
      </c>
      <c r="AH12">
        <f>IF('WetLitterbags placem_collection'!AC13="","",'WetLitterbags placem_collection'!AC13)</f>
        <v>0</v>
      </c>
      <c r="AI12" s="237">
        <f>AVERAGE('WetLitterbags placem_collection'!S13,'WetLitterbags placem_collection'!U13)</f>
        <v>21.1</v>
      </c>
      <c r="AJ12">
        <f>AVERAGE('WetLitterbags placem_collection'!R13,'WetLitterbags placem_collection'!T13)</f>
        <v>24.05</v>
      </c>
      <c r="AK12">
        <f>INDEX(Coordinates!$B$2:$B$197,MATCH(H12,Coordinates!$J$2:$J$197,0))</f>
        <v>-3.3977929599999999</v>
      </c>
      <c r="AL12">
        <f>INDEX(Coordinates!$C$2:$C$197,MATCH(H12,Coordinates!$J$2:$J$197,0))</f>
        <v>34.837102999999999</v>
      </c>
      <c r="AM12" t="str">
        <f>IF(ISNUMBER(SEARCH("C", 'WetLitterbags placem_collection'!$V13)),"YES","NO")</f>
        <v>NO</v>
      </c>
      <c r="AN12" t="str">
        <f>IF(ISNUMBER(SEARCH("H", 'WetLitterbags placem_collection'!$V13)),"YES","NO")</f>
        <v>NO</v>
      </c>
      <c r="AO12" t="str">
        <f>IF(ISNUMBER(SEARCH("R", 'WetLitterbags placem_collection'!$V13)),"YES","NO")</f>
        <v>YES</v>
      </c>
    </row>
    <row r="13" spans="1:41">
      <c r="A13" s="255" t="s">
        <v>2454</v>
      </c>
      <c r="B13" s="260">
        <f>'Dry_Litterbag Placem_Collection'!A14</f>
        <v>12</v>
      </c>
      <c r="C13" s="260" t="str">
        <f>'Dry_Litterbag Placem_Collection'!B14</f>
        <v>Makao</v>
      </c>
      <c r="D13" s="260" t="s">
        <v>2643</v>
      </c>
      <c r="E13" s="260" t="s">
        <v>2644</v>
      </c>
      <c r="F13" s="260">
        <v>2</v>
      </c>
      <c r="G13" s="260" t="s">
        <v>3802</v>
      </c>
      <c r="H13" s="261" t="str">
        <f>'Dry_Litterbag Placem_Collection'!C14</f>
        <v>Dry_Ag2_T4</v>
      </c>
      <c r="I13" s="262" t="s">
        <v>2525</v>
      </c>
      <c r="J13" s="263" t="s">
        <v>1147</v>
      </c>
      <c r="K13" s="221" t="str">
        <f>'WetLitterbags placem_collection'!K14</f>
        <v>G590</v>
      </c>
      <c r="L13" s="223">
        <f>IFERROR(INDEX('Green_rooibos initial weight'!$C$5:$C$2000,MATCH(K13, 'Green_rooibos initial weight'!$A$5:$A$2000,0)),"")</f>
        <v>2.0830000000000002</v>
      </c>
      <c r="M13" s="223">
        <f>IFERROR(L13-(TBIcalc!$H$9+TBIcalc!$H$10),"")</f>
        <v>1.8332000000000002</v>
      </c>
      <c r="N13" s="385">
        <f>AVERAGE(Ashed_controlls!$K$2:$K$11)</f>
        <v>5.5147656768714146</v>
      </c>
      <c r="O13" s="223">
        <f t="shared" si="1"/>
        <v>1.7321033156115935</v>
      </c>
      <c r="P13" s="223" t="str">
        <f>IFERROR(INDEX('Both teabags AfterWet'!$C$3:$C$840,MATCH(K13,'Both teabags AfterWet'!$A$3:$A$840,0)),"")</f>
        <v/>
      </c>
      <c r="Q13" s="223" t="str">
        <f>IFERROR(IF(P13&gt;0,P13-(TBIcalc!$H$9),""),"")</f>
        <v/>
      </c>
      <c r="R13" s="223" t="str">
        <f>IFERROR(INDEX('Ashed teabags wet'!$K$2:$K$2000,MATCH(K13,'Ashed teabags wet'!$A$2:$A$2000,0)),"")</f>
        <v/>
      </c>
      <c r="S13" s="223" t="str">
        <f t="shared" si="2"/>
        <v/>
      </c>
      <c r="T13" s="224">
        <f>'WetLitterbags placem_collection'!E14</f>
        <v>42766</v>
      </c>
      <c r="U13" s="224">
        <f>IF('WetLitterbags placem_collection'!G14="","",'WetLitterbags placem_collection'!G14)</f>
        <v>42818</v>
      </c>
      <c r="V13" s="225">
        <f t="shared" si="0"/>
        <v>52</v>
      </c>
      <c r="W13" s="223" t="str">
        <f t="shared" si="3"/>
        <v/>
      </c>
      <c r="X13" s="223" t="str">
        <f t="shared" si="4"/>
        <v/>
      </c>
      <c r="Y13" t="str">
        <f>IFERROR(INDEX(Rainfall_Wet!$O$2:$O$217,MATCH(B13, Rainfall_Wet!$A$2:$A$217,0)),"")</f>
        <v/>
      </c>
      <c r="Z13" s="228">
        <v>21.13063730679653</v>
      </c>
      <c r="AA13" s="228">
        <v>3.0912555579081076</v>
      </c>
      <c r="AB13" s="228">
        <v>75.778107135295357</v>
      </c>
      <c r="AC13" s="229" t="s">
        <v>2654</v>
      </c>
      <c r="AD13" s="228">
        <v>3.4613109906357802</v>
      </c>
      <c r="AE13" t="str">
        <f>IF('WetLitterbags placem_collection'!AB14="","",'WetLitterbags placem_collection'!AB14)</f>
        <v/>
      </c>
      <c r="AF13" t="str">
        <f>IF('WetLitterbags placem_collection'!Z14="","",'WetLitterbags placem_collection'!Z14)</f>
        <v/>
      </c>
      <c r="AG13" s="243" t="str">
        <f>IF('WetLitterbags placem_collection'!AA14="","",'WetLitterbags placem_collection'!AA14)</f>
        <v/>
      </c>
      <c r="AH13" t="str">
        <f>IF('WetLitterbags placem_collection'!AC14="","",'WetLitterbags placem_collection'!AC14)</f>
        <v/>
      </c>
      <c r="AI13" s="237">
        <f>AVERAGE('WetLitterbags placem_collection'!S14,'WetLitterbags placem_collection'!U14)</f>
        <v>25.8</v>
      </c>
      <c r="AJ13">
        <f>AVERAGE('WetLitterbags placem_collection'!R14,'WetLitterbags placem_collection'!T14)</f>
        <v>21.7</v>
      </c>
      <c r="AK13">
        <f>INDEX(Coordinates!$B$2:$B$197,MATCH(H13,Coordinates!$J$2:$J$197,0))</f>
        <v>-3.3979050260000001</v>
      </c>
      <c r="AL13">
        <f>INDEX(Coordinates!$C$2:$C$197,MATCH(H13,Coordinates!$J$2:$J$197,0))</f>
        <v>34.837123030000001</v>
      </c>
      <c r="AM13" t="str">
        <f>IF(ISNUMBER(SEARCH("C", 'WetLitterbags placem_collection'!$V14)),"YES","NO")</f>
        <v>NO</v>
      </c>
      <c r="AN13" t="str">
        <f>IF(ISNUMBER(SEARCH("H", 'WetLitterbags placem_collection'!$V14)),"YES","NO")</f>
        <v>NO</v>
      </c>
      <c r="AO13" t="str">
        <f>IF(ISNUMBER(SEARCH("R", 'WetLitterbags placem_collection'!$V14)),"YES","NO")</f>
        <v>NO</v>
      </c>
    </row>
    <row r="14" spans="1:41">
      <c r="A14" s="255" t="s">
        <v>2454</v>
      </c>
      <c r="B14" s="260">
        <f>'Dry_Litterbag Placem_Collection'!A15</f>
        <v>13</v>
      </c>
      <c r="C14" s="260" t="str">
        <f>'Dry_Litterbag Placem_Collection'!B15</f>
        <v>Makao</v>
      </c>
      <c r="D14" s="260" t="s">
        <v>2643</v>
      </c>
      <c r="E14" s="260" t="s">
        <v>2644</v>
      </c>
      <c r="F14" s="260">
        <v>2</v>
      </c>
      <c r="G14" s="260" t="s">
        <v>3802</v>
      </c>
      <c r="H14" s="261" t="str">
        <f>'Dry_Litterbag Placem_Collection'!C15</f>
        <v>Dry_Ag2_T5</v>
      </c>
      <c r="I14" s="262" t="s">
        <v>2525</v>
      </c>
      <c r="J14" s="263" t="s">
        <v>1147</v>
      </c>
      <c r="K14" s="221" t="str">
        <f>'WetLitterbags placem_collection'!K15</f>
        <v>G595</v>
      </c>
      <c r="L14" s="223">
        <f>IFERROR(INDEX('Green_rooibos initial weight'!$C$5:$C$2000,MATCH(K14, 'Green_rooibos initial weight'!$A$5:$A$2000,0)),"")</f>
        <v>2.1160000000000001</v>
      </c>
      <c r="M14" s="223">
        <f>IFERROR(L14-(TBIcalc!$H$9+TBIcalc!$H$10),"")</f>
        <v>1.8662000000000001</v>
      </c>
      <c r="N14" s="385">
        <f>AVERAGE(Ashed_controlls!$K$2:$K$11)</f>
        <v>5.5147656768714146</v>
      </c>
      <c r="O14" s="223">
        <f t="shared" si="1"/>
        <v>1.7632834429382258</v>
      </c>
      <c r="P14" s="223">
        <f>IFERROR(INDEX('Both teabags AfterWet'!$C$3:$C$840,MATCH(K14,'Both teabags AfterWet'!$A$3:$A$840,0)),"")</f>
        <v>0.62809999999999999</v>
      </c>
      <c r="Q14" s="223">
        <f>IFERROR(IF(P14&gt;0,P14-(TBIcalc!$H$9),""),"")</f>
        <v>0.47749999999999998</v>
      </c>
      <c r="R14" s="223">
        <f>IFERROR(INDEX('Ashed teabags wet'!$K$2:$K$2000,MATCH(K14,'Ashed teabags wet'!$A$2:$A$2000,0)),"")</f>
        <v>29.168740666998239</v>
      </c>
      <c r="S14" s="223">
        <f t="shared" si="2"/>
        <v>0.3382192633150834</v>
      </c>
      <c r="T14" s="224">
        <f>'WetLitterbags placem_collection'!E15</f>
        <v>42766</v>
      </c>
      <c r="U14" s="224">
        <f>IF('WetLitterbags placem_collection'!G15="","",'WetLitterbags placem_collection'!G15)</f>
        <v>42818</v>
      </c>
      <c r="V14" s="225">
        <f t="shared" si="0"/>
        <v>52</v>
      </c>
      <c r="W14" s="223">
        <f t="shared" si="3"/>
        <v>1.3887</v>
      </c>
      <c r="X14" s="223">
        <f t="shared" si="4"/>
        <v>1.4250641796231425</v>
      </c>
      <c r="Y14">
        <f>IFERROR(INDEX(Rainfall_Wet!$O$2:$O$217,MATCH(B14, Rainfall_Wet!$A$2:$A$217,0)),"")</f>
        <v>194.43839254400001</v>
      </c>
      <c r="Z14" s="228">
        <v>21.13063730679653</v>
      </c>
      <c r="AA14" s="228">
        <v>3.0912555579081076</v>
      </c>
      <c r="AB14" s="228">
        <v>75.778107135295357</v>
      </c>
      <c r="AC14" s="229" t="s">
        <v>2654</v>
      </c>
      <c r="AD14" s="228">
        <v>4.4613109906357797</v>
      </c>
      <c r="AE14">
        <f>IF('WetLitterbags placem_collection'!AB15="","",'WetLitterbags placem_collection'!AB15)</f>
        <v>11.4</v>
      </c>
      <c r="AF14">
        <f>IF('WetLitterbags placem_collection'!Z15="","",'WetLitterbags placem_collection'!Z15)</f>
        <v>31</v>
      </c>
      <c r="AG14" s="243" t="str">
        <f>IF('WetLitterbags placem_collection'!AA15="","",'WetLitterbags placem_collection'!AA15)</f>
        <v>M</v>
      </c>
      <c r="AH14">
        <f>IF('WetLitterbags placem_collection'!AC15="","",'WetLitterbags placem_collection'!AC15)</f>
        <v>0</v>
      </c>
      <c r="AI14" s="237">
        <f>AVERAGE('WetLitterbags placem_collection'!S15,'WetLitterbags placem_collection'!U15)</f>
        <v>20.8</v>
      </c>
      <c r="AJ14">
        <f>AVERAGE('WetLitterbags placem_collection'!R15,'WetLitterbags placem_collection'!T15)</f>
        <v>23.4</v>
      </c>
      <c r="AK14">
        <f>INDEX(Coordinates!$B$2:$B$197,MATCH(H14,Coordinates!$J$2:$J$197,0))</f>
        <v>-3.3979040199999999</v>
      </c>
      <c r="AL14">
        <f>INDEX(Coordinates!$C$2:$C$197,MATCH(H14,Coordinates!$J$2:$J$197,0))</f>
        <v>34.837027980000002</v>
      </c>
      <c r="AM14" t="str">
        <f>IF(ISNUMBER(SEARCH("C", 'WetLitterbags placem_collection'!$V15)),"YES","NO")</f>
        <v>NO</v>
      </c>
      <c r="AN14" t="str">
        <f>IF(ISNUMBER(SEARCH("H", 'WetLitterbags placem_collection'!$V15)),"YES","NO")</f>
        <v>YES</v>
      </c>
      <c r="AO14" t="str">
        <f>IF(ISNUMBER(SEARCH("R", 'WetLitterbags placem_collection'!$V15)),"YES","NO")</f>
        <v>NO</v>
      </c>
    </row>
    <row r="15" spans="1:41">
      <c r="A15" s="255" t="s">
        <v>2454</v>
      </c>
      <c r="B15" s="260">
        <f>'Dry_Litterbag Placem_Collection'!A16</f>
        <v>14</v>
      </c>
      <c r="C15" s="260" t="str">
        <f>'Dry_Litterbag Placem_Collection'!B16</f>
        <v>Makao</v>
      </c>
      <c r="D15" s="260" t="s">
        <v>2643</v>
      </c>
      <c r="E15" s="260" t="s">
        <v>2644</v>
      </c>
      <c r="F15" s="260">
        <v>2</v>
      </c>
      <c r="G15" s="260" t="s">
        <v>3802</v>
      </c>
      <c r="H15" s="261" t="str">
        <f>'Dry_Litterbag Placem_Collection'!C16</f>
        <v>Dry_Ag2_T6</v>
      </c>
      <c r="I15" s="262" t="s">
        <v>2525</v>
      </c>
      <c r="J15" s="263" t="s">
        <v>1147</v>
      </c>
      <c r="K15" s="221" t="str">
        <f>'WetLitterbags placem_collection'!K16</f>
        <v>G609</v>
      </c>
      <c r="L15" s="223">
        <f>IFERROR(INDEX('Green_rooibos initial weight'!$C$5:$C$2000,MATCH(K15, 'Green_rooibos initial weight'!$A$5:$A$2000,0)),"")</f>
        <v>2.089</v>
      </c>
      <c r="M15" s="223">
        <f>IFERROR(L15-(TBIcalc!$H$9+TBIcalc!$H$10),"")</f>
        <v>1.8391999999999999</v>
      </c>
      <c r="N15" s="385">
        <f>AVERAGE(Ashed_controlls!$K$2:$K$11)</f>
        <v>5.5147656768714146</v>
      </c>
      <c r="O15" s="223">
        <f t="shared" si="1"/>
        <v>1.7377724296709809</v>
      </c>
      <c r="P15" s="223">
        <f>IFERROR(INDEX('Both teabags AfterWet'!$C$3:$C$840,MATCH(K15,'Both teabags AfterWet'!$A$3:$A$840,0)),"")</f>
        <v>0.498</v>
      </c>
      <c r="Q15" s="223">
        <f>IFERROR(IF(P15&gt;0,P15-(TBIcalc!$H$9),""),"")</f>
        <v>0.34739999999999999</v>
      </c>
      <c r="R15" s="223">
        <f>IFERROR(INDEX('Ashed teabags wet'!$K$2:$K$2000,MATCH(K15,'Ashed teabags wet'!$A$2:$A$2000,0)),"")</f>
        <v>16.033966033965626</v>
      </c>
      <c r="S15" s="223">
        <f t="shared" si="2"/>
        <v>0.29169800199800339</v>
      </c>
      <c r="T15" s="224">
        <f>'WetLitterbags placem_collection'!E16</f>
        <v>42766</v>
      </c>
      <c r="U15" s="224">
        <f>IF('WetLitterbags placem_collection'!G16="","",'WetLitterbags placem_collection'!G16)</f>
        <v>42818</v>
      </c>
      <c r="V15" s="225">
        <f t="shared" si="0"/>
        <v>52</v>
      </c>
      <c r="W15" s="223">
        <f t="shared" si="3"/>
        <v>1.4918</v>
      </c>
      <c r="X15" s="223">
        <f t="shared" si="4"/>
        <v>1.4460744276729776</v>
      </c>
      <c r="Y15">
        <f>IFERROR(INDEX(Rainfall_Wet!$O$2:$O$217,MATCH(B15, Rainfall_Wet!$A$2:$A$217,0)),"")</f>
        <v>194.43839254400001</v>
      </c>
      <c r="Z15" s="228">
        <v>21.13063730679653</v>
      </c>
      <c r="AA15" s="228">
        <v>3.0912555579081076</v>
      </c>
      <c r="AB15" s="228">
        <v>75.778107135295357</v>
      </c>
      <c r="AC15" s="229" t="s">
        <v>2654</v>
      </c>
      <c r="AD15" s="228">
        <v>5.4613109906357797</v>
      </c>
      <c r="AE15">
        <f>IF('WetLitterbags placem_collection'!AB16="","",'WetLitterbags placem_collection'!AB16)</f>
        <v>28.4</v>
      </c>
      <c r="AF15">
        <f>IF('WetLitterbags placem_collection'!Z16="","",'WetLitterbags placem_collection'!Z16)</f>
        <v>42.4</v>
      </c>
      <c r="AG15" s="243" t="str">
        <f>IF('WetLitterbags placem_collection'!AA16="","",'WetLitterbags placem_collection'!AA16)</f>
        <v>M</v>
      </c>
      <c r="AH15">
        <f>IF('WetLitterbags placem_collection'!AC16="","",'WetLitterbags placem_collection'!AC16)</f>
        <v>0</v>
      </c>
      <c r="AI15" s="237">
        <f>AVERAGE('WetLitterbags placem_collection'!S16,'WetLitterbags placem_collection'!U16)</f>
        <v>15.7</v>
      </c>
      <c r="AJ15">
        <f>AVERAGE('WetLitterbags placem_collection'!R16,'WetLitterbags placem_collection'!T16)</f>
        <v>24.1</v>
      </c>
      <c r="AK15">
        <f>INDEX(Coordinates!$B$2:$B$197,MATCH(H15,Coordinates!$J$2:$J$197,0))</f>
        <v>-3.397854986</v>
      </c>
      <c r="AL15">
        <f>INDEX(Coordinates!$C$2:$C$197,MATCH(H15,Coordinates!$J$2:$J$197,0))</f>
        <v>34.836874010000002</v>
      </c>
      <c r="AM15" t="str">
        <f>IF(ISNUMBER(SEARCH("C", 'WetLitterbags placem_collection'!$V16)),"YES","NO")</f>
        <v>NO</v>
      </c>
      <c r="AN15" t="str">
        <f>IF(ISNUMBER(SEARCH("H", 'WetLitterbags placem_collection'!$V16)),"YES","NO")</f>
        <v>NO</v>
      </c>
      <c r="AO15" t="str">
        <f>IF(ISNUMBER(SEARCH("R", 'WetLitterbags placem_collection'!$V16)),"YES","NO")</f>
        <v>NO</v>
      </c>
    </row>
    <row r="16" spans="1:41">
      <c r="A16" s="255" t="s">
        <v>2454</v>
      </c>
      <c r="B16" s="260">
        <f>'Dry_Litterbag Placem_Collection'!A17</f>
        <v>15</v>
      </c>
      <c r="C16" s="260" t="str">
        <f>'Dry_Litterbag Placem_Collection'!B17</f>
        <v>Makao</v>
      </c>
      <c r="D16" s="260" t="s">
        <v>2643</v>
      </c>
      <c r="E16" s="260" t="s">
        <v>2644</v>
      </c>
      <c r="F16" s="260">
        <v>2</v>
      </c>
      <c r="G16" s="260" t="s">
        <v>3802</v>
      </c>
      <c r="H16" s="261" t="str">
        <f>'Dry_Litterbag Placem_Collection'!C17</f>
        <v>Dry_Ag2_T7</v>
      </c>
      <c r="I16" s="262" t="s">
        <v>2525</v>
      </c>
      <c r="J16" s="263" t="s">
        <v>1147</v>
      </c>
      <c r="K16" s="221" t="str">
        <f>'WetLitterbags placem_collection'!K17</f>
        <v>G222</v>
      </c>
      <c r="L16" s="223">
        <f>IFERROR(INDEX('Green_rooibos initial weight'!$C$5:$C$2000,MATCH(K16, 'Green_rooibos initial weight'!$A$5:$A$2000,0)),"")</f>
        <v>1.889</v>
      </c>
      <c r="M16" s="223">
        <f>IFERROR(L16-(TBIcalc!$H$9+TBIcalc!$H$10),"")</f>
        <v>1.6392</v>
      </c>
      <c r="N16" s="385">
        <f>AVERAGE(Ashed_controlls!$K$2:$K$11)</f>
        <v>5.5147656768714146</v>
      </c>
      <c r="O16" s="223">
        <f t="shared" si="1"/>
        <v>1.5488019610247237</v>
      </c>
      <c r="P16" s="223">
        <f>IFERROR(INDEX('Both teabags AfterWet'!$C$3:$C$840,MATCH(K16,'Both teabags AfterWet'!$A$3:$A$840,0)),"")</f>
        <v>0.67100000000000004</v>
      </c>
      <c r="Q16" s="223">
        <f>IFERROR(IF(P16&gt;0,P16-(TBIcalc!$H$9),""),"")</f>
        <v>0.52039999999999997</v>
      </c>
      <c r="R16" s="223">
        <f>IFERROR(INDEX('Ashed teabags wet'!$K$2:$K$2000,MATCH(K16,'Ashed teabags wet'!$A$2:$A$2000,0)),"")</f>
        <v>15.805168986083718</v>
      </c>
      <c r="S16" s="223">
        <f t="shared" si="2"/>
        <v>0.43814990059642034</v>
      </c>
      <c r="T16" s="224">
        <f>'WetLitterbags placem_collection'!E17</f>
        <v>42766</v>
      </c>
      <c r="U16" s="224">
        <f>IF('WetLitterbags placem_collection'!G17="","",'WetLitterbags placem_collection'!G17)</f>
        <v>42818</v>
      </c>
      <c r="V16" s="225">
        <f t="shared" si="0"/>
        <v>52</v>
      </c>
      <c r="W16" s="223">
        <f t="shared" si="3"/>
        <v>1.1188</v>
      </c>
      <c r="X16" s="223">
        <f t="shared" si="4"/>
        <v>1.1106520604283032</v>
      </c>
      <c r="Y16">
        <f>IFERROR(INDEX(Rainfall_Wet!$O$2:$O$217,MATCH(B16, Rainfall_Wet!$A$2:$A$217,0)),"")</f>
        <v>194.43839254400001</v>
      </c>
      <c r="Z16" s="228">
        <v>21.13063730679653</v>
      </c>
      <c r="AA16" s="228">
        <v>3.0912555579081076</v>
      </c>
      <c r="AB16" s="228">
        <v>75.778107135295357</v>
      </c>
      <c r="AC16" s="229" t="s">
        <v>2654</v>
      </c>
      <c r="AD16" s="228">
        <v>6.4613109906357797</v>
      </c>
      <c r="AE16">
        <f>IF('WetLitterbags placem_collection'!AB17="","",'WetLitterbags placem_collection'!AB17)</f>
        <v>15.8</v>
      </c>
      <c r="AF16">
        <f>IF('WetLitterbags placem_collection'!Z17="","",'WetLitterbags placem_collection'!Z17)</f>
        <v>30.4</v>
      </c>
      <c r="AG16" s="243" t="str">
        <f>IF('WetLitterbags placem_collection'!AA17="","",'WetLitterbags placem_collection'!AA17)</f>
        <v>M</v>
      </c>
      <c r="AH16">
        <f>IF('WetLitterbags placem_collection'!AC17="","",'WetLitterbags placem_collection'!AC17)</f>
        <v>0</v>
      </c>
      <c r="AI16" s="237">
        <f>AVERAGE('WetLitterbags placem_collection'!S17,'WetLitterbags placem_collection'!U17)</f>
        <v>23.9</v>
      </c>
      <c r="AJ16">
        <f>AVERAGE('WetLitterbags placem_collection'!R17,'WetLitterbags placem_collection'!T17)</f>
        <v>23.95</v>
      </c>
      <c r="AK16">
        <f>INDEX(Coordinates!$B$2:$B$197,MATCH(H16,Coordinates!$J$2:$J$197,0))</f>
        <v>-3.3978060349999999</v>
      </c>
      <c r="AL16">
        <f>INDEX(Coordinates!$C$2:$C$197,MATCH(H16,Coordinates!$J$2:$J$197,0))</f>
        <v>34.837023960000003</v>
      </c>
      <c r="AM16" t="str">
        <f>IF(ISNUMBER(SEARCH("C", 'WetLitterbags placem_collection'!$V17)),"YES","NO")</f>
        <v>NO</v>
      </c>
      <c r="AN16" t="str">
        <f>IF(ISNUMBER(SEARCH("H", 'WetLitterbags placem_collection'!$V17)),"YES","NO")</f>
        <v>NO</v>
      </c>
      <c r="AO16" t="str">
        <f>IF(ISNUMBER(SEARCH("R", 'WetLitterbags placem_collection'!$V17)),"YES","NO")</f>
        <v>NO</v>
      </c>
    </row>
    <row r="17" spans="1:41">
      <c r="A17" s="255" t="s">
        <v>2454</v>
      </c>
      <c r="B17" s="260">
        <f>'Dry_Litterbag Placem_Collection'!A18</f>
        <v>16</v>
      </c>
      <c r="C17" s="260" t="str">
        <f>'Dry_Litterbag Placem_Collection'!B18</f>
        <v>Makao</v>
      </c>
      <c r="D17" s="260" t="s">
        <v>2643</v>
      </c>
      <c r="E17" s="260" t="s">
        <v>2644</v>
      </c>
      <c r="F17" s="260">
        <v>2</v>
      </c>
      <c r="G17" s="260" t="s">
        <v>3802</v>
      </c>
      <c r="H17" s="261" t="str">
        <f>'Dry_Litterbag Placem_Collection'!C18</f>
        <v>Dry_Ag2_T8</v>
      </c>
      <c r="I17" s="262" t="s">
        <v>2525</v>
      </c>
      <c r="J17" s="263" t="s">
        <v>1147</v>
      </c>
      <c r="K17" s="221" t="str">
        <f>'WetLitterbags placem_collection'!K18</f>
        <v>G405</v>
      </c>
      <c r="L17" s="223">
        <f>IFERROR(INDEX('Green_rooibos initial weight'!$C$5:$C$2000,MATCH(K17, 'Green_rooibos initial weight'!$A$5:$A$2000,0)),"")</f>
        <v>2.056</v>
      </c>
      <c r="M17" s="223">
        <f>IFERROR(L17-(TBIcalc!$H$9+TBIcalc!$H$10),"")</f>
        <v>1.8062</v>
      </c>
      <c r="N17" s="385">
        <f>AVERAGE(Ashed_controlls!$K$2:$K$11)</f>
        <v>5.5147656768714146</v>
      </c>
      <c r="O17" s="223">
        <f t="shared" si="1"/>
        <v>1.7065923023443486</v>
      </c>
      <c r="P17" s="223">
        <f>IFERROR(INDEX('Both teabags AfterWet'!$C$3:$C$840,MATCH(K17,'Both teabags AfterWet'!$A$3:$A$840,0)),"")</f>
        <v>0.70150000000000001</v>
      </c>
      <c r="Q17" s="223">
        <f>IFERROR(IF(P17&gt;0,P17-(TBIcalc!$H$9),""),"")</f>
        <v>0.55089999999999995</v>
      </c>
      <c r="R17" s="223">
        <f>IFERROR(INDEX('Ashed teabags wet'!$K$2:$K$2000,MATCH(K17,'Ashed teabags wet'!$A$2:$A$2000,0)),"")</f>
        <v>15.725413826680606</v>
      </c>
      <c r="S17" s="223">
        <f t="shared" si="2"/>
        <v>0.46426869522881647</v>
      </c>
      <c r="T17" s="224">
        <f>'WetLitterbags placem_collection'!E18</f>
        <v>42766</v>
      </c>
      <c r="U17" s="224">
        <f>IF('WetLitterbags placem_collection'!G18="","",'WetLitterbags placem_collection'!G18)</f>
        <v>42818</v>
      </c>
      <c r="V17" s="225">
        <f t="shared" si="0"/>
        <v>52</v>
      </c>
      <c r="W17" s="223">
        <f t="shared" si="3"/>
        <v>1.2553000000000001</v>
      </c>
      <c r="X17" s="223">
        <f t="shared" si="4"/>
        <v>1.2423236071155321</v>
      </c>
      <c r="Y17">
        <f>IFERROR(INDEX(Rainfall_Wet!$O$2:$O$217,MATCH(B17, Rainfall_Wet!$A$2:$A$217,0)),"")</f>
        <v>194.43839254400001</v>
      </c>
      <c r="Z17" s="228">
        <v>21.13063730679653</v>
      </c>
      <c r="AA17" s="228">
        <v>3.0912555579081076</v>
      </c>
      <c r="AB17" s="228">
        <v>75.778107135295357</v>
      </c>
      <c r="AC17" s="229" t="s">
        <v>2654</v>
      </c>
      <c r="AD17" s="228">
        <v>7.4613109906357797</v>
      </c>
      <c r="AE17">
        <f>IF('WetLitterbags placem_collection'!AB18="","",'WetLitterbags placem_collection'!AB18)</f>
        <v>8</v>
      </c>
      <c r="AF17">
        <f>IF('WetLitterbags placem_collection'!Z18="","",'WetLitterbags placem_collection'!Z18)</f>
        <v>12.4</v>
      </c>
      <c r="AG17" s="243" t="str">
        <f>IF('WetLitterbags placem_collection'!AA18="","",'WetLitterbags placem_collection'!AA18)</f>
        <v>M</v>
      </c>
      <c r="AH17">
        <f>IF('WetLitterbags placem_collection'!AC18="","",'WetLitterbags placem_collection'!AC18)</f>
        <v>0</v>
      </c>
      <c r="AI17" s="237">
        <f>AVERAGE('WetLitterbags placem_collection'!S18,'WetLitterbags placem_collection'!U18)</f>
        <v>17.5</v>
      </c>
      <c r="AJ17">
        <f>AVERAGE('WetLitterbags placem_collection'!R18,'WetLitterbags placem_collection'!T18)</f>
        <v>24.05</v>
      </c>
      <c r="AK17">
        <f>INDEX(Coordinates!$B$2:$B$197,MATCH(H17,Coordinates!$J$2:$J$197,0))</f>
        <v>-3.3977669760000002</v>
      </c>
      <c r="AL17">
        <f>INDEX(Coordinates!$C$2:$C$197,MATCH(H17,Coordinates!$J$2:$J$197,0))</f>
        <v>34.837181039999997</v>
      </c>
      <c r="AM17" t="str">
        <f>IF(ISNUMBER(SEARCH("C", 'WetLitterbags placem_collection'!$V18)),"YES","NO")</f>
        <v>NO</v>
      </c>
      <c r="AN17" t="str">
        <f>IF(ISNUMBER(SEARCH("H", 'WetLitterbags placem_collection'!$V18)),"YES","NO")</f>
        <v>YES</v>
      </c>
      <c r="AO17" t="str">
        <f>IF(ISNUMBER(SEARCH("R", 'WetLitterbags placem_collection'!$V18)),"YES","NO")</f>
        <v>YES</v>
      </c>
    </row>
    <row r="18" spans="1:41">
      <c r="A18" s="255" t="s">
        <v>2454</v>
      </c>
      <c r="B18" s="260">
        <f>'Dry_Litterbag Placem_Collection'!A19</f>
        <v>17</v>
      </c>
      <c r="C18" s="260" t="str">
        <f>'Dry_Litterbag Placem_Collection'!B19</f>
        <v>Makao</v>
      </c>
      <c r="D18" s="260" t="s">
        <v>2643</v>
      </c>
      <c r="E18" s="260" t="s">
        <v>2644</v>
      </c>
      <c r="F18" s="260">
        <v>3</v>
      </c>
      <c r="G18" s="260" t="s">
        <v>3803</v>
      </c>
      <c r="H18" s="261" t="str">
        <f>'Dry_Litterbag Placem_Collection'!C19</f>
        <v>Dry_Ag3_T1</v>
      </c>
      <c r="I18" s="262" t="s">
        <v>2525</v>
      </c>
      <c r="J18" s="263" t="s">
        <v>1147</v>
      </c>
      <c r="K18" s="221" t="str">
        <f>'WetLitterbags placem_collection'!K19</f>
        <v>G571</v>
      </c>
      <c r="L18" s="223">
        <f>IFERROR(INDEX('Green_rooibos initial weight'!$C$5:$C$2000,MATCH(K18, 'Green_rooibos initial weight'!$A$5:$A$2000,0)),"")</f>
        <v>2.0489999999999999</v>
      </c>
      <c r="M18" s="223">
        <f>IFERROR(L18-(TBIcalc!$H$9+TBIcalc!$H$10),"")</f>
        <v>1.7991999999999999</v>
      </c>
      <c r="N18" s="385">
        <f>AVERAGE(Ashed_controlls!$K$2:$K$11)</f>
        <v>5.5147656768714146</v>
      </c>
      <c r="O18" s="223">
        <f t="shared" si="1"/>
        <v>1.6999783359417293</v>
      </c>
      <c r="P18" s="223">
        <f>IFERROR(INDEX('Both teabags AfterWet'!$C$3:$C$840,MATCH(K18,'Both teabags AfterWet'!$A$3:$A$840,0)),"")</f>
        <v>0.67520000000000002</v>
      </c>
      <c r="Q18" s="223">
        <f>IFERROR(IF(P18&gt;0,P18-(TBIcalc!$H$9),""),"")</f>
        <v>0.52459999999999996</v>
      </c>
      <c r="R18" s="223">
        <f>IFERROR(INDEX('Ashed teabags wet'!$K$2:$K$2000,MATCH(K18,'Ashed teabags wet'!$A$2:$A$2000,0)),"")</f>
        <v>9.6710849288172405</v>
      </c>
      <c r="S18" s="223">
        <f t="shared" si="2"/>
        <v>0.47386548846342469</v>
      </c>
      <c r="T18" s="224">
        <f>'WetLitterbags placem_collection'!E19</f>
        <v>42767</v>
      </c>
      <c r="U18" s="224">
        <f>IF('WetLitterbags placem_collection'!G19="","",'WetLitterbags placem_collection'!G19)</f>
        <v>42818</v>
      </c>
      <c r="V18" s="225">
        <f t="shared" si="0"/>
        <v>51</v>
      </c>
      <c r="W18" s="223">
        <f t="shared" si="3"/>
        <v>1.2746</v>
      </c>
      <c r="X18" s="223">
        <f t="shared" si="4"/>
        <v>1.2261128474783045</v>
      </c>
      <c r="Y18">
        <f>IFERROR(INDEX(Rainfall_Wet!$O$2:$O$217,MATCH(B18, Rainfall_Wet!$A$2:$A$217,0)),"")</f>
        <v>185.630065823</v>
      </c>
      <c r="Z18" s="228">
        <v>54.080969906906262</v>
      </c>
      <c r="AA18" s="228">
        <v>21.264484651351896</v>
      </c>
      <c r="AB18" s="228">
        <v>24.654545441741845</v>
      </c>
      <c r="AC18" s="229" t="s">
        <v>2657</v>
      </c>
      <c r="AD18" s="228">
        <v>1.8433218334154755</v>
      </c>
      <c r="AE18" t="str">
        <f>IF('WetLitterbags placem_collection'!AB19="","",'WetLitterbags placem_collection'!AB19)</f>
        <v/>
      </c>
      <c r="AF18" t="str">
        <f>IF('WetLitterbags placem_collection'!Z19="","",'WetLitterbags placem_collection'!Z19)</f>
        <v/>
      </c>
      <c r="AG18" s="243" t="str">
        <f>IF('WetLitterbags placem_collection'!AA19="","",'WetLitterbags placem_collection'!AA19)</f>
        <v/>
      </c>
      <c r="AH18" t="str">
        <f>IF('WetLitterbags placem_collection'!AC19="","",'WetLitterbags placem_collection'!AC19)</f>
        <v/>
      </c>
      <c r="AI18" s="237">
        <f>AVERAGE('WetLitterbags placem_collection'!S19,'WetLitterbags placem_collection'!U19)</f>
        <v>35.9</v>
      </c>
      <c r="AJ18">
        <f>AVERAGE('WetLitterbags placem_collection'!R19,'WetLitterbags placem_collection'!T19)</f>
        <v>21.35</v>
      </c>
      <c r="AK18">
        <f>INDEX(Coordinates!$B$2:$B$197,MATCH(H18,Coordinates!$J$2:$J$197,0))</f>
        <v>-3.3854090330000002</v>
      </c>
      <c r="AL18">
        <f>INDEX(Coordinates!$C$2:$C$197,MATCH(H18,Coordinates!$J$2:$J$197,0))</f>
        <v>34.818901029999999</v>
      </c>
      <c r="AM18" t="str">
        <f>IF(ISNUMBER(SEARCH("C", 'WetLitterbags placem_collection'!$V19)),"YES","NO")</f>
        <v>NO</v>
      </c>
      <c r="AN18" t="str">
        <f>IF(ISNUMBER(SEARCH("H", 'WetLitterbags placem_collection'!$V19)),"YES","NO")</f>
        <v>NO</v>
      </c>
      <c r="AO18" t="str">
        <f>IF(ISNUMBER(SEARCH("R", 'WetLitterbags placem_collection'!$V19)),"YES","NO")</f>
        <v>NO</v>
      </c>
    </row>
    <row r="19" spans="1:41">
      <c r="A19" s="255" t="s">
        <v>2454</v>
      </c>
      <c r="B19" s="260">
        <f>'Dry_Litterbag Placem_Collection'!A20</f>
        <v>18</v>
      </c>
      <c r="C19" s="260" t="str">
        <f>'Dry_Litterbag Placem_Collection'!B20</f>
        <v>Makao</v>
      </c>
      <c r="D19" s="260" t="s">
        <v>2643</v>
      </c>
      <c r="E19" s="260" t="s">
        <v>2644</v>
      </c>
      <c r="F19" s="260">
        <v>3</v>
      </c>
      <c r="G19" s="260" t="s">
        <v>3803</v>
      </c>
      <c r="H19" s="261" t="str">
        <f>'Dry_Litterbag Placem_Collection'!C20</f>
        <v>Dry_Ag3_T2</v>
      </c>
      <c r="I19" s="262" t="s">
        <v>2525</v>
      </c>
      <c r="J19" s="263" t="s">
        <v>1147</v>
      </c>
      <c r="K19" s="221" t="str">
        <f>'WetLitterbags placem_collection'!K20</f>
        <v>G419</v>
      </c>
      <c r="L19" s="223">
        <f>IFERROR(INDEX('Green_rooibos initial weight'!$C$5:$C$2000,MATCH(K19, 'Green_rooibos initial weight'!$A$5:$A$2000,0)),"")</f>
        <v>2.0779999999999998</v>
      </c>
      <c r="M19" s="223">
        <f>IFERROR(L19-(TBIcalc!$H$9+TBIcalc!$H$10),"")</f>
        <v>1.8281999999999998</v>
      </c>
      <c r="N19" s="385">
        <f>AVERAGE(Ashed_controlls!$K$2:$K$11)</f>
        <v>5.5147656768714146</v>
      </c>
      <c r="O19" s="223">
        <f t="shared" si="1"/>
        <v>1.7273790538954366</v>
      </c>
      <c r="P19" s="223">
        <f>IFERROR(INDEX('Both teabags AfterWet'!$C$3:$C$840,MATCH(K19,'Both teabags AfterWet'!$A$3:$A$840,0)),"")</f>
        <v>0.79100000000000004</v>
      </c>
      <c r="Q19" s="223">
        <f>IFERROR(IF(P19&gt;0,P19-(TBIcalc!$H$9),""),"")</f>
        <v>0.64040000000000008</v>
      </c>
      <c r="R19" s="223">
        <f>IFERROR(INDEX('Ashed teabags wet'!$K$2:$K$2000,MATCH(K19,'Ashed teabags wet'!$A$2:$A$2000,0)),"")</f>
        <v>15.166340508806261</v>
      </c>
      <c r="S19" s="223">
        <f t="shared" si="2"/>
        <v>0.54327475538160475</v>
      </c>
      <c r="T19" s="224">
        <f>'WetLitterbags placem_collection'!E20</f>
        <v>42767</v>
      </c>
      <c r="U19" s="224">
        <f>IF('WetLitterbags placem_collection'!G20="","",'WetLitterbags placem_collection'!G20)</f>
        <v>42818</v>
      </c>
      <c r="V19" s="225">
        <f t="shared" si="0"/>
        <v>51</v>
      </c>
      <c r="W19" s="223">
        <f t="shared" si="3"/>
        <v>1.1877999999999997</v>
      </c>
      <c r="X19" s="223">
        <f t="shared" si="4"/>
        <v>1.1841042985138319</v>
      </c>
      <c r="Y19">
        <f>IFERROR(INDEX(Rainfall_Wet!$O$2:$O$217,MATCH(B19, Rainfall_Wet!$A$2:$A$217,0)),"")</f>
        <v>185.630065823</v>
      </c>
      <c r="Z19" s="228">
        <v>54.080969906906262</v>
      </c>
      <c r="AA19" s="228">
        <v>21.264484651351896</v>
      </c>
      <c r="AB19" s="228">
        <v>24.654545441741845</v>
      </c>
      <c r="AC19" s="229" t="s">
        <v>2657</v>
      </c>
      <c r="AD19" s="228">
        <v>2.8433218334154802</v>
      </c>
      <c r="AE19" t="str">
        <f>IF('WetLitterbags placem_collection'!AB20="","",'WetLitterbags placem_collection'!AB20)</f>
        <v/>
      </c>
      <c r="AF19" t="str">
        <f>IF('WetLitterbags placem_collection'!Z20="","",'WetLitterbags placem_collection'!Z20)</f>
        <v/>
      </c>
      <c r="AG19" s="243" t="str">
        <f>IF('WetLitterbags placem_collection'!AA20="","",'WetLitterbags placem_collection'!AA20)</f>
        <v/>
      </c>
      <c r="AH19" t="str">
        <f>IF('WetLitterbags placem_collection'!AC20="","",'WetLitterbags placem_collection'!AC20)</f>
        <v/>
      </c>
      <c r="AI19" s="237">
        <f>AVERAGE('WetLitterbags placem_collection'!S20,'WetLitterbags placem_collection'!U20)</f>
        <v>36.950000000000003</v>
      </c>
      <c r="AJ19">
        <f>AVERAGE('WetLitterbags placem_collection'!R20,'WetLitterbags placem_collection'!T20)</f>
        <v>21.35</v>
      </c>
      <c r="AK19">
        <f>INDEX(Coordinates!$B$2:$B$197,MATCH(H19,Coordinates!$J$2:$J$197,0))</f>
        <v>-3.385375002</v>
      </c>
      <c r="AL19">
        <f>INDEX(Coordinates!$C$2:$C$197,MATCH(H19,Coordinates!$J$2:$J$197,0))</f>
        <v>34.818939999999998</v>
      </c>
      <c r="AM19" t="str">
        <f>IF(ISNUMBER(SEARCH("C", 'WetLitterbags placem_collection'!$V20)),"YES","NO")</f>
        <v>NO</v>
      </c>
      <c r="AN19" t="str">
        <f>IF(ISNUMBER(SEARCH("H", 'WetLitterbags placem_collection'!$V20)),"YES","NO")</f>
        <v>NO</v>
      </c>
      <c r="AO19" t="str">
        <f>IF(ISNUMBER(SEARCH("R", 'WetLitterbags placem_collection'!$V20)),"YES","NO")</f>
        <v>YES</v>
      </c>
    </row>
    <row r="20" spans="1:41">
      <c r="A20" s="255" t="s">
        <v>2454</v>
      </c>
      <c r="B20" s="260">
        <f>'Dry_Litterbag Placem_Collection'!A21</f>
        <v>19</v>
      </c>
      <c r="C20" s="260" t="str">
        <f>'Dry_Litterbag Placem_Collection'!B21</f>
        <v>Makao</v>
      </c>
      <c r="D20" s="260" t="s">
        <v>2643</v>
      </c>
      <c r="E20" s="260" t="s">
        <v>2644</v>
      </c>
      <c r="F20" s="260">
        <v>3</v>
      </c>
      <c r="G20" s="260" t="s">
        <v>3803</v>
      </c>
      <c r="H20" s="261" t="str">
        <f>'Dry_Litterbag Placem_Collection'!C21</f>
        <v>Dry_Ag3_T3</v>
      </c>
      <c r="I20" s="262" t="s">
        <v>2525</v>
      </c>
      <c r="J20" s="263" t="s">
        <v>1147</v>
      </c>
      <c r="K20" s="221" t="str">
        <f>'WetLitterbags placem_collection'!K21</f>
        <v>G240</v>
      </c>
      <c r="L20" s="223">
        <f>IFERROR(INDEX('Green_rooibos initial weight'!$C$5:$C$2000,MATCH(K20, 'Green_rooibos initial weight'!$A$5:$A$2000,0)),"")</f>
        <v>2.117</v>
      </c>
      <c r="M20" s="223">
        <f>IFERROR(L20-(TBIcalc!$H$9+TBIcalc!$H$10),"")</f>
        <v>1.8672</v>
      </c>
      <c r="N20" s="385">
        <f>AVERAGE(Ashed_controlls!$K$2:$K$11)</f>
        <v>5.5147656768714146</v>
      </c>
      <c r="O20" s="223">
        <f t="shared" si="1"/>
        <v>1.764228295281457</v>
      </c>
      <c r="P20" s="223">
        <f>IFERROR(INDEX('Both teabags AfterWet'!$C$3:$C$840,MATCH(K20,'Both teabags AfterWet'!$A$3:$A$840,0)),"")</f>
        <v>0.88690000000000002</v>
      </c>
      <c r="Q20" s="223">
        <f>IFERROR(IF(P20&gt;0,P20-(TBIcalc!$H$9),""),"")</f>
        <v>0.73629999999999995</v>
      </c>
      <c r="R20" s="223">
        <f>IFERROR(INDEX('Ashed teabags wet'!$K$2:$K$2000,MATCH(K20,'Ashed teabags wet'!$A$2:$A$2000,0)),"")</f>
        <v>18.480392156862031</v>
      </c>
      <c r="S20" s="223">
        <f t="shared" si="2"/>
        <v>0.60022887254902479</v>
      </c>
      <c r="T20" s="224">
        <f>'WetLitterbags placem_collection'!E21</f>
        <v>42767</v>
      </c>
      <c r="U20" s="224">
        <f>IF('WetLitterbags placem_collection'!G21="","",'WetLitterbags placem_collection'!G21)</f>
        <v>42818</v>
      </c>
      <c r="V20" s="225">
        <f t="shared" si="0"/>
        <v>51</v>
      </c>
      <c r="W20" s="223">
        <f t="shared" si="3"/>
        <v>1.1309</v>
      </c>
      <c r="X20" s="223">
        <f t="shared" si="4"/>
        <v>1.1639994227324322</v>
      </c>
      <c r="Y20">
        <f>IFERROR(INDEX(Rainfall_Wet!$O$2:$O$217,MATCH(B20, Rainfall_Wet!$A$2:$A$217,0)),"")</f>
        <v>185.630065823</v>
      </c>
      <c r="Z20" s="228">
        <v>54.080969906906262</v>
      </c>
      <c r="AA20" s="228">
        <v>21.264484651351896</v>
      </c>
      <c r="AB20" s="228">
        <v>24.654545441741845</v>
      </c>
      <c r="AC20" s="229" t="s">
        <v>2657</v>
      </c>
      <c r="AD20" s="228">
        <v>3.8433218334154802</v>
      </c>
      <c r="AE20" t="str">
        <f>IF('WetLitterbags placem_collection'!AB21="","",'WetLitterbags placem_collection'!AB21)</f>
        <v/>
      </c>
      <c r="AF20" t="str">
        <f>IF('WetLitterbags placem_collection'!Z21="","",'WetLitterbags placem_collection'!Z21)</f>
        <v/>
      </c>
      <c r="AG20" s="243" t="str">
        <f>IF('WetLitterbags placem_collection'!AA21="","",'WetLitterbags placem_collection'!AA21)</f>
        <v/>
      </c>
      <c r="AH20" t="str">
        <f>IF('WetLitterbags placem_collection'!AC21="","",'WetLitterbags placem_collection'!AC21)</f>
        <v/>
      </c>
      <c r="AI20" s="237">
        <f>AVERAGE('WetLitterbags placem_collection'!S21,'WetLitterbags placem_collection'!U21)</f>
        <v>39.299999999999997</v>
      </c>
      <c r="AJ20">
        <f>AVERAGE('WetLitterbags placem_collection'!R21,'WetLitterbags placem_collection'!T21)</f>
        <v>21.1</v>
      </c>
      <c r="AK20">
        <f>INDEX(Coordinates!$B$2:$B$197,MATCH(H20,Coordinates!$J$2:$J$197,0))</f>
        <v>-3.3853589930000001</v>
      </c>
      <c r="AL20">
        <f>INDEX(Coordinates!$C$2:$C$197,MATCH(H20,Coordinates!$J$2:$J$197,0))</f>
        <v>34.818991969999999</v>
      </c>
      <c r="AM20" t="str">
        <f>IF(ISNUMBER(SEARCH("C", 'WetLitterbags placem_collection'!$V21)),"YES","NO")</f>
        <v>NO</v>
      </c>
      <c r="AN20" t="str">
        <f>IF(ISNUMBER(SEARCH("H", 'WetLitterbags placem_collection'!$V21)),"YES","NO")</f>
        <v>NO</v>
      </c>
      <c r="AO20" t="str">
        <f>IF(ISNUMBER(SEARCH("R", 'WetLitterbags placem_collection'!$V21)),"YES","NO")</f>
        <v>NO</v>
      </c>
    </row>
    <row r="21" spans="1:41">
      <c r="A21" s="255" t="s">
        <v>2454</v>
      </c>
      <c r="B21" s="260">
        <f>'Dry_Litterbag Placem_Collection'!A22</f>
        <v>20</v>
      </c>
      <c r="C21" s="260" t="str">
        <f>'Dry_Litterbag Placem_Collection'!B22</f>
        <v>Makao</v>
      </c>
      <c r="D21" s="260" t="s">
        <v>2643</v>
      </c>
      <c r="E21" s="260" t="s">
        <v>2644</v>
      </c>
      <c r="F21" s="260">
        <v>3</v>
      </c>
      <c r="G21" s="260" t="s">
        <v>3803</v>
      </c>
      <c r="H21" s="261" t="str">
        <f>'Dry_Litterbag Placem_Collection'!C22</f>
        <v>Dry_Ag3_T4</v>
      </c>
      <c r="I21" s="262" t="s">
        <v>2525</v>
      </c>
      <c r="J21" s="263" t="s">
        <v>1147</v>
      </c>
      <c r="K21" s="221" t="str">
        <f>'WetLitterbags placem_collection'!K22</f>
        <v>G524</v>
      </c>
      <c r="L21" s="223">
        <f>IFERROR(INDEX('Green_rooibos initial weight'!$C$5:$C$2000,MATCH(K21, 'Green_rooibos initial weight'!$A$5:$A$2000,0)),"")</f>
        <v>1.962</v>
      </c>
      <c r="M21" s="223">
        <f>IFERROR(L21-(TBIcalc!$H$9+TBIcalc!$H$10),"")</f>
        <v>1.7121999999999999</v>
      </c>
      <c r="N21" s="385">
        <f>AVERAGE(Ashed_controlls!$K$2:$K$11)</f>
        <v>5.5147656768714146</v>
      </c>
      <c r="O21" s="223">
        <f t="shared" si="1"/>
        <v>1.6177761820806076</v>
      </c>
      <c r="P21" s="223">
        <f>IFERROR(INDEX('Both teabags AfterWet'!$C$3:$C$840,MATCH(K21,'Both teabags AfterWet'!$A$3:$A$840,0)),"")</f>
        <v>0.71609999999999996</v>
      </c>
      <c r="Q21" s="223">
        <f>IFERROR(IF(P21&gt;0,P21-(TBIcalc!$H$9),""),"")</f>
        <v>0.56549999999999989</v>
      </c>
      <c r="R21" s="223">
        <f>IFERROR(INDEX('Ashed teabags wet'!$K$2:$K$2000,MATCH(K21,'Ashed teabags wet'!$A$2:$A$2000,0)),"")</f>
        <v>12.986381322956955</v>
      </c>
      <c r="S21" s="223">
        <f t="shared" si="2"/>
        <v>0.4920620136186783</v>
      </c>
      <c r="T21" s="224">
        <f>'WetLitterbags placem_collection'!E22</f>
        <v>42767</v>
      </c>
      <c r="U21" s="224">
        <f>IF('WetLitterbags placem_collection'!G22="","",'WetLitterbags placem_collection'!G22)</f>
        <v>42818</v>
      </c>
      <c r="V21" s="225">
        <f t="shared" si="0"/>
        <v>51</v>
      </c>
      <c r="W21" s="223">
        <f t="shared" si="3"/>
        <v>1.1467000000000001</v>
      </c>
      <c r="X21" s="223">
        <f t="shared" si="4"/>
        <v>1.1257141684619292</v>
      </c>
      <c r="Y21">
        <f>IFERROR(INDEX(Rainfall_Wet!$O$2:$O$217,MATCH(B21, Rainfall_Wet!$A$2:$A$217,0)),"")</f>
        <v>185.630065823</v>
      </c>
      <c r="Z21" s="228">
        <v>54.080969906906262</v>
      </c>
      <c r="AA21" s="228">
        <v>21.264484651351896</v>
      </c>
      <c r="AB21" s="228">
        <v>24.654545441741845</v>
      </c>
      <c r="AC21" s="229" t="s">
        <v>2657</v>
      </c>
      <c r="AD21" s="228">
        <v>4.8433218334154802</v>
      </c>
      <c r="AE21" t="str">
        <f>IF('WetLitterbags placem_collection'!AB22="","",'WetLitterbags placem_collection'!AB22)</f>
        <v/>
      </c>
      <c r="AF21" t="str">
        <f>IF('WetLitterbags placem_collection'!Z22="","",'WetLitterbags placem_collection'!Z22)</f>
        <v/>
      </c>
      <c r="AG21" s="243" t="str">
        <f>IF('WetLitterbags placem_collection'!AA22="","",'WetLitterbags placem_collection'!AA22)</f>
        <v/>
      </c>
      <c r="AH21" t="str">
        <f>IF('WetLitterbags placem_collection'!AC22="","",'WetLitterbags placem_collection'!AC22)</f>
        <v/>
      </c>
      <c r="AI21" s="237">
        <f>AVERAGE('WetLitterbags placem_collection'!S22,'WetLitterbags placem_collection'!U22)</f>
        <v>40.049999999999997</v>
      </c>
      <c r="AJ21">
        <f>AVERAGE('WetLitterbags placem_collection'!R22,'WetLitterbags placem_collection'!T22)</f>
        <v>21.35</v>
      </c>
      <c r="AK21">
        <f>INDEX(Coordinates!$B$2:$B$197,MATCH(H21,Coordinates!$J$2:$J$197,0))</f>
        <v>-3.3853969629999998</v>
      </c>
      <c r="AL21">
        <f>INDEX(Coordinates!$C$2:$C$197,MATCH(H21,Coordinates!$J$2:$J$197,0))</f>
        <v>34.818977969999999</v>
      </c>
      <c r="AM21" t="str">
        <f>IF(ISNUMBER(SEARCH("C", 'WetLitterbags placem_collection'!$V22)),"YES","NO")</f>
        <v>NO</v>
      </c>
      <c r="AN21" t="str">
        <f>IF(ISNUMBER(SEARCH("H", 'WetLitterbags placem_collection'!$V22)),"YES","NO")</f>
        <v>NO</v>
      </c>
      <c r="AO21" t="str">
        <f>IF(ISNUMBER(SEARCH("R", 'WetLitterbags placem_collection'!$V22)),"YES","NO")</f>
        <v>NO</v>
      </c>
    </row>
    <row r="22" spans="1:41">
      <c r="A22" s="255" t="s">
        <v>2454</v>
      </c>
      <c r="B22" s="260">
        <f>'Dry_Litterbag Placem_Collection'!A23</f>
        <v>21</v>
      </c>
      <c r="C22" s="260" t="str">
        <f>'Dry_Litterbag Placem_Collection'!B23</f>
        <v>Makao</v>
      </c>
      <c r="D22" s="260" t="s">
        <v>2643</v>
      </c>
      <c r="E22" s="260" t="s">
        <v>2644</v>
      </c>
      <c r="F22" s="260">
        <v>3</v>
      </c>
      <c r="G22" s="260" t="s">
        <v>3803</v>
      </c>
      <c r="H22" s="261" t="str">
        <f>'Dry_Litterbag Placem_Collection'!C23</f>
        <v>Dry_Ag3_T5</v>
      </c>
      <c r="I22" s="262" t="s">
        <v>2525</v>
      </c>
      <c r="J22" s="263" t="s">
        <v>1147</v>
      </c>
      <c r="K22" s="221" t="str">
        <f>'WetLitterbags placem_collection'!K23</f>
        <v>G699</v>
      </c>
      <c r="L22" s="223">
        <f>IFERROR(INDEX('Green_rooibos initial weight'!$C$5:$C$2000,MATCH(K22, 'Green_rooibos initial weight'!$A$5:$A$2000,0)),"")</f>
        <v>1.984</v>
      </c>
      <c r="M22" s="223">
        <f>IFERROR(L22-(TBIcalc!$H$9+TBIcalc!$H$10),"")</f>
        <v>1.7342</v>
      </c>
      <c r="N22" s="385">
        <f>AVERAGE(Ashed_controlls!$K$2:$K$11)</f>
        <v>5.5147656768714146</v>
      </c>
      <c r="O22" s="223">
        <f t="shared" si="1"/>
        <v>1.6385629336316958</v>
      </c>
      <c r="P22" s="223">
        <f>IFERROR(INDEX('Both teabags AfterWet'!$C$3:$C$840,MATCH(K22,'Both teabags AfterWet'!$A$3:$A$840,0)),"")</f>
        <v>0.7389</v>
      </c>
      <c r="Q22" s="223">
        <f>IFERROR(IF(P22&gt;0,P22-(TBIcalc!$H$9),""),"")</f>
        <v>0.58830000000000005</v>
      </c>
      <c r="R22" s="223">
        <f>IFERROR(INDEX('Ashed teabags wet'!$K$2:$K$2000,MATCH(K22,'Ashed teabags wet'!$A$2:$A$2000,0)),"")</f>
        <v>10.099009900989453</v>
      </c>
      <c r="S22" s="223">
        <f t="shared" si="2"/>
        <v>0.52888752475247913</v>
      </c>
      <c r="T22" s="224">
        <f>'WetLitterbags placem_collection'!E23</f>
        <v>42767</v>
      </c>
      <c r="U22" s="224">
        <f>IF('WetLitterbags placem_collection'!G23="","",'WetLitterbags placem_collection'!G23)</f>
        <v>42818</v>
      </c>
      <c r="V22" s="225">
        <f t="shared" si="0"/>
        <v>51</v>
      </c>
      <c r="W22" s="223">
        <f t="shared" si="3"/>
        <v>1.1458999999999999</v>
      </c>
      <c r="X22" s="223">
        <f t="shared" si="4"/>
        <v>1.1096754088792167</v>
      </c>
      <c r="Y22">
        <f>IFERROR(INDEX(Rainfall_Wet!$O$2:$O$217,MATCH(B22, Rainfall_Wet!$A$2:$A$217,0)),"")</f>
        <v>185.630065823</v>
      </c>
      <c r="Z22" s="228">
        <v>54.080969906906262</v>
      </c>
      <c r="AA22" s="228">
        <v>21.264484651351896</v>
      </c>
      <c r="AB22" s="228">
        <v>24.654545441741845</v>
      </c>
      <c r="AC22" s="229" t="s">
        <v>2657</v>
      </c>
      <c r="AD22" s="228">
        <v>5.8433218334154802</v>
      </c>
      <c r="AE22" t="str">
        <f>IF('WetLitterbags placem_collection'!AB23="","",'WetLitterbags placem_collection'!AB23)</f>
        <v/>
      </c>
      <c r="AF22" t="str">
        <f>IF('WetLitterbags placem_collection'!Z23="","",'WetLitterbags placem_collection'!Z23)</f>
        <v/>
      </c>
      <c r="AG22" s="243" t="str">
        <f>IF('WetLitterbags placem_collection'!AA23="","",'WetLitterbags placem_collection'!AA23)</f>
        <v/>
      </c>
      <c r="AH22" t="str">
        <f>IF('WetLitterbags placem_collection'!AC23="","",'WetLitterbags placem_collection'!AC23)</f>
        <v/>
      </c>
      <c r="AI22" s="237">
        <f>AVERAGE('WetLitterbags placem_collection'!S23,'WetLitterbags placem_collection'!U23)</f>
        <v>34.150000000000006</v>
      </c>
      <c r="AJ22">
        <f>AVERAGE('WetLitterbags placem_collection'!R23,'WetLitterbags placem_collection'!T23)</f>
        <v>20.6</v>
      </c>
      <c r="AK22">
        <f>INDEX(Coordinates!$B$2:$B$197,MATCH(H22,Coordinates!$J$2:$J$197,0))</f>
        <v>-3.3854019919999998</v>
      </c>
      <c r="AL22">
        <f>INDEX(Coordinates!$C$2:$C$197,MATCH(H22,Coordinates!$J$2:$J$197,0))</f>
        <v>34.81894604</v>
      </c>
      <c r="AM22" t="str">
        <f>IF(ISNUMBER(SEARCH("C", 'WetLitterbags placem_collection'!$V23)),"YES","NO")</f>
        <v>NO</v>
      </c>
      <c r="AN22" t="str">
        <f>IF(ISNUMBER(SEARCH("H", 'WetLitterbags placem_collection'!$V23)),"YES","NO")</f>
        <v>NO</v>
      </c>
      <c r="AO22" t="str">
        <f>IF(ISNUMBER(SEARCH("R", 'WetLitterbags placem_collection'!$V23)),"YES","NO")</f>
        <v>YES</v>
      </c>
    </row>
    <row r="23" spans="1:41">
      <c r="A23" s="255" t="s">
        <v>2454</v>
      </c>
      <c r="B23" s="260">
        <f>'Dry_Litterbag Placem_Collection'!A24</f>
        <v>22</v>
      </c>
      <c r="C23" s="260" t="str">
        <f>'Dry_Litterbag Placem_Collection'!B24</f>
        <v>Makao</v>
      </c>
      <c r="D23" s="260" t="s">
        <v>2643</v>
      </c>
      <c r="E23" s="260" t="s">
        <v>2644</v>
      </c>
      <c r="F23" s="260">
        <v>3</v>
      </c>
      <c r="G23" s="260" t="s">
        <v>3803</v>
      </c>
      <c r="H23" s="261" t="str">
        <f>'Dry_Litterbag Placem_Collection'!C24</f>
        <v>Dry_Ag3_T6</v>
      </c>
      <c r="I23" s="262" t="s">
        <v>2525</v>
      </c>
      <c r="J23" s="263" t="s">
        <v>1147</v>
      </c>
      <c r="K23" s="221" t="str">
        <f>'WetLitterbags placem_collection'!K24</f>
        <v>G575</v>
      </c>
      <c r="L23" s="223">
        <f>IFERROR(INDEX('Green_rooibos initial weight'!$C$5:$C$2000,MATCH(K23, 'Green_rooibos initial weight'!$A$5:$A$2000,0)),"")</f>
        <v>1.9970000000000001</v>
      </c>
      <c r="M23" s="223">
        <f>IFERROR(L23-(TBIcalc!$H$9+TBIcalc!$H$10),"")</f>
        <v>1.7472000000000001</v>
      </c>
      <c r="N23" s="385">
        <f>AVERAGE(Ashed_controlls!$K$2:$K$11)</f>
        <v>5.5147656768714146</v>
      </c>
      <c r="O23" s="223">
        <f t="shared" si="1"/>
        <v>1.6508460140937027</v>
      </c>
      <c r="P23" s="223">
        <f>IFERROR(INDEX('Both teabags AfterWet'!$C$3:$C$840,MATCH(K23,'Both teabags AfterWet'!$A$3:$A$840,0)),"")</f>
        <v>0.74019999999999997</v>
      </c>
      <c r="Q23" s="223">
        <f>IFERROR(IF(P23&gt;0,P23-(TBIcalc!$H$9),""),"")</f>
        <v>0.5895999999999999</v>
      </c>
      <c r="R23" s="223">
        <f>IFERROR(INDEX('Ashed teabags wet'!$K$2:$K$2000,MATCH(K23,'Ashed teabags wet'!$A$2:$A$2000,0)),"")</f>
        <v>9.8263027295288854</v>
      </c>
      <c r="S23" s="223">
        <f t="shared" si="2"/>
        <v>0.53166411910669764</v>
      </c>
      <c r="T23" s="224">
        <f>'WetLitterbags placem_collection'!E24</f>
        <v>42767</v>
      </c>
      <c r="U23" s="224">
        <f>IF('WetLitterbags placem_collection'!G24="","",'WetLitterbags placem_collection'!G24)</f>
        <v>42818</v>
      </c>
      <c r="V23" s="225">
        <f t="shared" si="0"/>
        <v>51</v>
      </c>
      <c r="W23" s="223">
        <f t="shared" si="3"/>
        <v>1.1576000000000002</v>
      </c>
      <c r="X23" s="223">
        <f t="shared" si="4"/>
        <v>1.1191818949870052</v>
      </c>
      <c r="Y23">
        <f>IFERROR(INDEX(Rainfall_Wet!$O$2:$O$217,MATCH(B23, Rainfall_Wet!$A$2:$A$217,0)),"")</f>
        <v>185.630065823</v>
      </c>
      <c r="Z23" s="228">
        <v>54.080969906906262</v>
      </c>
      <c r="AA23" s="228">
        <v>21.264484651351896</v>
      </c>
      <c r="AB23" s="228">
        <v>24.654545441741845</v>
      </c>
      <c r="AC23" s="229" t="s">
        <v>2657</v>
      </c>
      <c r="AD23" s="228">
        <v>6.8433218334154802</v>
      </c>
      <c r="AE23" t="str">
        <f>IF('WetLitterbags placem_collection'!AB24="","",'WetLitterbags placem_collection'!AB24)</f>
        <v/>
      </c>
      <c r="AF23" t="str">
        <f>IF('WetLitterbags placem_collection'!Z24="","",'WetLitterbags placem_collection'!Z24)</f>
        <v/>
      </c>
      <c r="AG23" s="243" t="str">
        <f>IF('WetLitterbags placem_collection'!AA24="","",'WetLitterbags placem_collection'!AA24)</f>
        <v/>
      </c>
      <c r="AH23" t="str">
        <f>IF('WetLitterbags placem_collection'!AC24="","",'WetLitterbags placem_collection'!AC24)</f>
        <v/>
      </c>
      <c r="AI23" s="237">
        <f>AVERAGE('WetLitterbags placem_collection'!S24,'WetLitterbags placem_collection'!U24)</f>
        <v>34.549999999999997</v>
      </c>
      <c r="AJ23">
        <f>AVERAGE('WetLitterbags placem_collection'!R24,'WetLitterbags placem_collection'!T24)</f>
        <v>21.5</v>
      </c>
      <c r="AK23">
        <f>INDEX(Coordinates!$B$2:$B$197,MATCH(H23,Coordinates!$J$2:$J$197,0))</f>
        <v>-3.3854470029999999</v>
      </c>
      <c r="AL23">
        <f>INDEX(Coordinates!$C$2:$C$197,MATCH(H23,Coordinates!$J$2:$J$197,0))</f>
        <v>34.818946959999998</v>
      </c>
      <c r="AM23" t="str">
        <f>IF(ISNUMBER(SEARCH("C", 'WetLitterbags placem_collection'!$V24)),"YES","NO")</f>
        <v>NO</v>
      </c>
      <c r="AN23" t="str">
        <f>IF(ISNUMBER(SEARCH("H", 'WetLitterbags placem_collection'!$V24)),"YES","NO")</f>
        <v>NO</v>
      </c>
      <c r="AO23" t="str">
        <f>IF(ISNUMBER(SEARCH("R", 'WetLitterbags placem_collection'!$V24)),"YES","NO")</f>
        <v>YES</v>
      </c>
    </row>
    <row r="24" spans="1:41">
      <c r="A24" s="255" t="s">
        <v>2454</v>
      </c>
      <c r="B24" s="260">
        <f>'Dry_Litterbag Placem_Collection'!A25</f>
        <v>23</v>
      </c>
      <c r="C24" s="260" t="str">
        <f>'Dry_Litterbag Placem_Collection'!B25</f>
        <v>Makao</v>
      </c>
      <c r="D24" s="260" t="s">
        <v>2643</v>
      </c>
      <c r="E24" s="260" t="s">
        <v>2644</v>
      </c>
      <c r="F24" s="260">
        <v>3</v>
      </c>
      <c r="G24" s="260" t="s">
        <v>3803</v>
      </c>
      <c r="H24" s="261" t="str">
        <f>'Dry_Litterbag Placem_Collection'!C25</f>
        <v>Dry_Ag3_T7</v>
      </c>
      <c r="I24" s="262" t="s">
        <v>2525</v>
      </c>
      <c r="J24" s="263" t="s">
        <v>1147</v>
      </c>
      <c r="K24" s="221" t="str">
        <f>'WetLitterbags placem_collection'!K25</f>
        <v>G492</v>
      </c>
      <c r="L24" s="223">
        <f>IFERROR(INDEX('Green_rooibos initial weight'!$C$5:$C$2000,MATCH(K24, 'Green_rooibos initial weight'!$A$5:$A$2000,0)),"")</f>
        <v>1.948</v>
      </c>
      <c r="M24" s="223">
        <f>IFERROR(L24-(TBIcalc!$H$9+TBIcalc!$H$10),"")</f>
        <v>1.6981999999999999</v>
      </c>
      <c r="N24" s="385">
        <f>AVERAGE(Ashed_controlls!$K$2:$K$11)</f>
        <v>5.5147656768714146</v>
      </c>
      <c r="O24" s="223">
        <f t="shared" si="1"/>
        <v>1.6045482492753695</v>
      </c>
      <c r="P24" s="223">
        <f>IFERROR(INDEX('Both teabags AfterWet'!$C$3:$C$840,MATCH(K24,'Both teabags AfterWet'!$A$3:$A$840,0)),"")</f>
        <v>0.76959999999999995</v>
      </c>
      <c r="Q24" s="223">
        <f>IFERROR(IF(P24&gt;0,P24-(TBIcalc!$H$9),""),"")</f>
        <v>0.61899999999999999</v>
      </c>
      <c r="R24" s="223">
        <f>IFERROR(INDEX('Ashed teabags wet'!$K$2:$K$2000,MATCH(K24,'Ashed teabags wet'!$A$2:$A$2000,0)),"")</f>
        <v>11.478696741854373</v>
      </c>
      <c r="S24" s="223">
        <f t="shared" si="2"/>
        <v>0.5479468671679214</v>
      </c>
      <c r="T24" s="224">
        <f>'WetLitterbags placem_collection'!E25</f>
        <v>42767</v>
      </c>
      <c r="U24" s="224">
        <f>IF('WetLitterbags placem_collection'!G25="","",'WetLitterbags placem_collection'!G25)</f>
        <v>42818</v>
      </c>
      <c r="V24" s="225">
        <f t="shared" si="0"/>
        <v>51</v>
      </c>
      <c r="W24" s="223">
        <f t="shared" si="3"/>
        <v>1.0791999999999999</v>
      </c>
      <c r="X24" s="223">
        <f t="shared" si="4"/>
        <v>1.056601382107448</v>
      </c>
      <c r="Y24">
        <f>IFERROR(INDEX(Rainfall_Wet!$O$2:$O$217,MATCH(B24, Rainfall_Wet!$A$2:$A$217,0)),"")</f>
        <v>185.630065823</v>
      </c>
      <c r="Z24" s="228">
        <v>54.080969906906262</v>
      </c>
      <c r="AA24" s="228">
        <v>21.264484651351896</v>
      </c>
      <c r="AB24" s="228">
        <v>24.654545441741845</v>
      </c>
      <c r="AC24" s="229" t="s">
        <v>2657</v>
      </c>
      <c r="AD24" s="228">
        <v>7.8433218334154802</v>
      </c>
      <c r="AE24" t="str">
        <f>IF('WetLitterbags placem_collection'!AB25="","",'WetLitterbags placem_collection'!AB25)</f>
        <v/>
      </c>
      <c r="AF24" t="str">
        <f>IF('WetLitterbags placem_collection'!Z25="","",'WetLitterbags placem_collection'!Z25)</f>
        <v/>
      </c>
      <c r="AG24" s="243" t="str">
        <f>IF('WetLitterbags placem_collection'!AA25="","",'WetLitterbags placem_collection'!AA25)</f>
        <v/>
      </c>
      <c r="AH24" t="str">
        <f>IF('WetLitterbags placem_collection'!AC25="","",'WetLitterbags placem_collection'!AC25)</f>
        <v/>
      </c>
      <c r="AI24" s="237">
        <f>AVERAGE('WetLitterbags placem_collection'!S25,'WetLitterbags placem_collection'!U25)</f>
        <v>34.5</v>
      </c>
      <c r="AJ24">
        <f>AVERAGE('WetLitterbags placem_collection'!R25,'WetLitterbags placem_collection'!T25)</f>
        <v>20.65</v>
      </c>
      <c r="AK24">
        <f>INDEX(Coordinates!$B$2:$B$197,MATCH(H24,Coordinates!$J$2:$J$197,0))</f>
        <v>-3.3854200130000001</v>
      </c>
      <c r="AL24">
        <f>INDEX(Coordinates!$C$2:$C$197,MATCH(H24,Coordinates!$J$2:$J$197,0))</f>
        <v>34.818856019999998</v>
      </c>
      <c r="AM24" t="str">
        <f>IF(ISNUMBER(SEARCH("C", 'WetLitterbags placem_collection'!$V25)),"YES","NO")</f>
        <v>NO</v>
      </c>
      <c r="AN24" t="str">
        <f>IF(ISNUMBER(SEARCH("H", 'WetLitterbags placem_collection'!$V25)),"YES","NO")</f>
        <v>NO</v>
      </c>
      <c r="AO24" t="str">
        <f>IF(ISNUMBER(SEARCH("R", 'WetLitterbags placem_collection'!$V25)),"YES","NO")</f>
        <v>YES</v>
      </c>
    </row>
    <row r="25" spans="1:41">
      <c r="A25" s="255" t="s">
        <v>2454</v>
      </c>
      <c r="B25" s="260">
        <f>'Dry_Litterbag Placem_Collection'!A26</f>
        <v>24</v>
      </c>
      <c r="C25" s="260" t="str">
        <f>'Dry_Litterbag Placem_Collection'!B26</f>
        <v>Makao</v>
      </c>
      <c r="D25" s="260" t="s">
        <v>2643</v>
      </c>
      <c r="E25" s="260" t="s">
        <v>2644</v>
      </c>
      <c r="F25" s="260">
        <v>3</v>
      </c>
      <c r="G25" s="260" t="s">
        <v>3803</v>
      </c>
      <c r="H25" s="261" t="str">
        <f>'Dry_Litterbag Placem_Collection'!C26</f>
        <v>Dry_Ag3_T8</v>
      </c>
      <c r="I25" s="262" t="s">
        <v>2525</v>
      </c>
      <c r="J25" s="263" t="s">
        <v>1147</v>
      </c>
      <c r="K25" s="221" t="str">
        <f>'WetLitterbags placem_collection'!K26</f>
        <v>G813</v>
      </c>
      <c r="L25" s="223">
        <f>IFERROR(INDEX('Green_rooibos initial weight'!$C$5:$C$2000,MATCH(K25, 'Green_rooibos initial weight'!$A$5:$A$2000,0)),"")</f>
        <v>1.9550000000000001</v>
      </c>
      <c r="M25" s="223">
        <f>IFERROR(L25-(TBIcalc!$H$9+TBIcalc!$H$10),"")</f>
        <v>1.7052</v>
      </c>
      <c r="N25" s="385">
        <f>AVERAGE(Ashed_controlls!$K$2:$K$11)</f>
        <v>5.5147656768714146</v>
      </c>
      <c r="O25" s="223">
        <f t="shared" si="1"/>
        <v>1.6111622156779888</v>
      </c>
      <c r="P25" s="223">
        <f>IFERROR(INDEX('Both teabags AfterWet'!$C$3:$C$840,MATCH(K25,'Both teabags AfterWet'!$A$3:$A$840,0)),"")</f>
        <v>0.74790000000000001</v>
      </c>
      <c r="Q25" s="223">
        <f>IFERROR(IF(P25&gt;0,P25-(TBIcalc!$H$9),""),"")</f>
        <v>0.59729999999999994</v>
      </c>
      <c r="R25" s="223">
        <f>IFERROR(INDEX('Ashed teabags wet'!$K$2:$K$2000,MATCH(K25,'Ashed teabags wet'!$A$2:$A$2000,0)),"")</f>
        <v>11.584158415841873</v>
      </c>
      <c r="S25" s="223">
        <f t="shared" si="2"/>
        <v>0.52810782178217641</v>
      </c>
      <c r="T25" s="224">
        <f>'WetLitterbags placem_collection'!E26</f>
        <v>42767</v>
      </c>
      <c r="U25" s="224">
        <f>IF('WetLitterbags placem_collection'!G26="","",'WetLitterbags placem_collection'!G26)</f>
        <v>42818</v>
      </c>
      <c r="V25" s="225">
        <f t="shared" si="0"/>
        <v>51</v>
      </c>
      <c r="W25" s="223">
        <f t="shared" si="3"/>
        <v>1.1079000000000001</v>
      </c>
      <c r="X25" s="223">
        <f t="shared" si="4"/>
        <v>1.0830543938958124</v>
      </c>
      <c r="Y25">
        <f>IFERROR(INDEX(Rainfall_Wet!$O$2:$O$217,MATCH(B25, Rainfall_Wet!$A$2:$A$217,0)),"")</f>
        <v>185.630065823</v>
      </c>
      <c r="Z25" s="228">
        <v>54.080969906906262</v>
      </c>
      <c r="AA25" s="228">
        <v>21.264484651351896</v>
      </c>
      <c r="AB25" s="228">
        <v>24.654545441741845</v>
      </c>
      <c r="AC25" s="229" t="s">
        <v>2657</v>
      </c>
      <c r="AD25" s="228">
        <v>8.8433218334154695</v>
      </c>
      <c r="AE25" t="str">
        <f>IF('WetLitterbags placem_collection'!AB26="","",'WetLitterbags placem_collection'!AB26)</f>
        <v/>
      </c>
      <c r="AF25" t="str">
        <f>IF('WetLitterbags placem_collection'!Z26="","",'WetLitterbags placem_collection'!Z26)</f>
        <v/>
      </c>
      <c r="AG25" s="243" t="str">
        <f>IF('WetLitterbags placem_collection'!AA26="","",'WetLitterbags placem_collection'!AA26)</f>
        <v/>
      </c>
      <c r="AH25" t="str">
        <f>IF('WetLitterbags placem_collection'!AC26="","",'WetLitterbags placem_collection'!AC26)</f>
        <v/>
      </c>
      <c r="AI25" s="237">
        <f>AVERAGE('WetLitterbags placem_collection'!S26,'WetLitterbags placem_collection'!U26)</f>
        <v>36.950000000000003</v>
      </c>
      <c r="AJ25">
        <f>AVERAGE('WetLitterbags placem_collection'!R26,'WetLitterbags placem_collection'!T26)</f>
        <v>21.1</v>
      </c>
      <c r="AK25">
        <f>INDEX(Coordinates!$B$2:$B$197,MATCH(H25,Coordinates!$J$2:$J$197,0))</f>
        <v>-3.3853829649999998</v>
      </c>
      <c r="AL25">
        <f>INDEX(Coordinates!$C$2:$C$197,MATCH(H25,Coordinates!$J$2:$J$197,0))</f>
        <v>34.818877980000003</v>
      </c>
      <c r="AM25" t="str">
        <f>IF(ISNUMBER(SEARCH("C", 'WetLitterbags placem_collection'!$V26)),"YES","NO")</f>
        <v>NO</v>
      </c>
      <c r="AN25" t="str">
        <f>IF(ISNUMBER(SEARCH("H", 'WetLitterbags placem_collection'!$V26)),"YES","NO")</f>
        <v>NO</v>
      </c>
      <c r="AO25" t="str">
        <f>IF(ISNUMBER(SEARCH("R", 'WetLitterbags placem_collection'!$V26)),"YES","NO")</f>
        <v>YES</v>
      </c>
    </row>
    <row r="26" spans="1:41">
      <c r="A26" s="255" t="s">
        <v>2454</v>
      </c>
      <c r="B26" s="260">
        <f>'Dry_Litterbag Placem_Collection'!A27</f>
        <v>25</v>
      </c>
      <c r="C26" s="260" t="str">
        <f>'Dry_Litterbag Placem_Collection'!B27</f>
        <v>Makao</v>
      </c>
      <c r="D26" s="260" t="s">
        <v>2643</v>
      </c>
      <c r="E26" s="260" t="s">
        <v>2644</v>
      </c>
      <c r="F26" s="260">
        <v>4</v>
      </c>
      <c r="G26" s="260" t="s">
        <v>3804</v>
      </c>
      <c r="H26" s="261" t="str">
        <f>'Dry_Litterbag Placem_Collection'!C27</f>
        <v>Dry_Ag4_T1</v>
      </c>
      <c r="I26" s="262" t="s">
        <v>2525</v>
      </c>
      <c r="J26" s="263" t="s">
        <v>1147</v>
      </c>
      <c r="K26" s="221" t="str">
        <f>'WetLitterbags placem_collection'!K27</f>
        <v>G406</v>
      </c>
      <c r="L26" s="223">
        <f>IFERROR(INDEX('Green_rooibos initial weight'!$C$5:$C$2000,MATCH(K26, 'Green_rooibos initial weight'!$A$5:$A$2000,0)),"")</f>
        <v>2.0910000000000002</v>
      </c>
      <c r="M26" s="223">
        <f>IFERROR(L26-(TBIcalc!$H$9+TBIcalc!$H$10),"")</f>
        <v>1.8412000000000002</v>
      </c>
      <c r="N26" s="385">
        <f>AVERAGE(Ashed_controlls!$K$2:$K$11)</f>
        <v>5.5147656768714146</v>
      </c>
      <c r="O26" s="223">
        <f t="shared" si="1"/>
        <v>1.7396621343574437</v>
      </c>
      <c r="P26" s="223">
        <f>IFERROR(INDEX('Both teabags AfterWet'!$C$3:$C$840,MATCH(K26,'Both teabags AfterWet'!$A$3:$A$840,0)),"")</f>
        <v>0.68400000000000005</v>
      </c>
      <c r="Q26" s="223">
        <f>IFERROR(IF(P26&gt;0,P26-(TBIcalc!$H$9),""),"")</f>
        <v>0.5334000000000001</v>
      </c>
      <c r="R26" s="223">
        <f>IFERROR(INDEX('Ashed teabags wet'!$K$2:$K$2000,MATCH(K26,'Ashed teabags wet'!$A$2:$A$2000,0)),"")</f>
        <v>12.537313432835518</v>
      </c>
      <c r="S26" s="223">
        <f t="shared" si="2"/>
        <v>0.46652597014925545</v>
      </c>
      <c r="T26" s="224">
        <f>'WetLitterbags placem_collection'!E27</f>
        <v>42767</v>
      </c>
      <c r="U26" s="224">
        <f>IF('WetLitterbags placem_collection'!G27="","",'WetLitterbags placem_collection'!G27)</f>
        <v>42818</v>
      </c>
      <c r="V26" s="225">
        <f t="shared" si="0"/>
        <v>51</v>
      </c>
      <c r="W26" s="223">
        <f t="shared" si="3"/>
        <v>1.3078000000000001</v>
      </c>
      <c r="X26" s="223">
        <f t="shared" si="4"/>
        <v>1.2731361642081882</v>
      </c>
      <c r="Y26">
        <f>IFERROR(INDEX(Rainfall_Wet!$O$2:$O$217,MATCH(B26, Rainfall_Wet!$A$2:$A$217,0)),"")</f>
        <v>185.630065823</v>
      </c>
      <c r="Z26" s="228">
        <v>51.960000000000008</v>
      </c>
      <c r="AA26" s="228">
        <v>18.919999999999995</v>
      </c>
      <c r="AB26" s="228">
        <v>29.120000000000005</v>
      </c>
      <c r="AC26" s="229" t="s">
        <v>2657</v>
      </c>
      <c r="AD26" s="228">
        <v>1.85293247905372</v>
      </c>
      <c r="AE26" t="str">
        <f>IF('WetLitterbags placem_collection'!AB27="","",'WetLitterbags placem_collection'!AB27)</f>
        <v/>
      </c>
      <c r="AF26" t="str">
        <f>IF('WetLitterbags placem_collection'!Z27="","",'WetLitterbags placem_collection'!Z27)</f>
        <v/>
      </c>
      <c r="AG26" s="243" t="str">
        <f>IF('WetLitterbags placem_collection'!AA27="","",'WetLitterbags placem_collection'!AA27)</f>
        <v/>
      </c>
      <c r="AH26" t="str">
        <f>IF('WetLitterbags placem_collection'!AC27="","",'WetLitterbags placem_collection'!AC27)</f>
        <v/>
      </c>
      <c r="AI26" s="237">
        <f>AVERAGE('WetLitterbags placem_collection'!S27,'WetLitterbags placem_collection'!U27)</f>
        <v>36.85</v>
      </c>
      <c r="AJ26">
        <f>AVERAGE('WetLitterbags placem_collection'!R27,'WetLitterbags placem_collection'!T27)</f>
        <v>21.35</v>
      </c>
      <c r="AK26">
        <f>INDEX(Coordinates!$B$2:$B$197,MATCH(H26,Coordinates!$J$2:$J$197,0))</f>
        <v>-3.3849129919999998</v>
      </c>
      <c r="AL26">
        <f>INDEX(Coordinates!$C$2:$C$197,MATCH(H26,Coordinates!$J$2:$J$197,0))</f>
        <v>34.818899020000003</v>
      </c>
      <c r="AM26" t="str">
        <f>IF(ISNUMBER(SEARCH("C", 'WetLitterbags placem_collection'!$V27)),"YES","NO")</f>
        <v>NO</v>
      </c>
      <c r="AN26" t="str">
        <f>IF(ISNUMBER(SEARCH("H", 'WetLitterbags placem_collection'!$V27)),"YES","NO")</f>
        <v>NO</v>
      </c>
      <c r="AO26" t="str">
        <f>IF(ISNUMBER(SEARCH("R", 'WetLitterbags placem_collection'!$V27)),"YES","NO")</f>
        <v>NO</v>
      </c>
    </row>
    <row r="27" spans="1:41">
      <c r="A27" s="255" t="s">
        <v>2454</v>
      </c>
      <c r="B27" s="260">
        <f>'Dry_Litterbag Placem_Collection'!A28</f>
        <v>26</v>
      </c>
      <c r="C27" s="260" t="str">
        <f>'Dry_Litterbag Placem_Collection'!B28</f>
        <v>Makao</v>
      </c>
      <c r="D27" s="260" t="s">
        <v>2643</v>
      </c>
      <c r="E27" s="260" t="s">
        <v>2644</v>
      </c>
      <c r="F27" s="260">
        <v>4</v>
      </c>
      <c r="G27" s="260" t="s">
        <v>3804</v>
      </c>
      <c r="H27" s="261" t="str">
        <f>'Dry_Litterbag Placem_Collection'!C28</f>
        <v>Dry_Ag4_T2</v>
      </c>
      <c r="I27" s="262" t="s">
        <v>2525</v>
      </c>
      <c r="J27" s="263" t="s">
        <v>1147</v>
      </c>
      <c r="K27" s="221" t="str">
        <f>'WetLitterbags placem_collection'!K28</f>
        <v>G651</v>
      </c>
      <c r="L27" s="223">
        <f>IFERROR(INDEX('Green_rooibos initial weight'!$C$5:$C$2000,MATCH(K27, 'Green_rooibos initial weight'!$A$5:$A$2000,0)),"")</f>
        <v>1.97</v>
      </c>
      <c r="M27" s="223">
        <f>IFERROR(L27-(TBIcalc!$H$9+TBIcalc!$H$10),"")</f>
        <v>1.7202</v>
      </c>
      <c r="N27" s="385">
        <f>AVERAGE(Ashed_controlls!$K$2:$K$11)</f>
        <v>5.5147656768714146</v>
      </c>
      <c r="O27" s="223">
        <f t="shared" si="1"/>
        <v>1.6253350008264578</v>
      </c>
      <c r="P27" s="223">
        <f>IFERROR(INDEX('Both teabags AfterWet'!$C$3:$C$840,MATCH(K27,'Both teabags AfterWet'!$A$3:$A$840,0)),"")</f>
        <v>0.77580000000000005</v>
      </c>
      <c r="Q27" s="223">
        <f>IFERROR(IF(P27&gt;0,P27-(TBIcalc!$H$9),""),"")</f>
        <v>0.62519999999999998</v>
      </c>
      <c r="R27" s="223">
        <f>IFERROR(INDEX('Ashed teabags wet'!$K$2:$K$2000,MATCH(K27,'Ashed teabags wet'!$A$2:$A$2000,0)),"")</f>
        <v>12.512218963832606</v>
      </c>
      <c r="S27" s="223">
        <f t="shared" si="2"/>
        <v>0.54697360703811859</v>
      </c>
      <c r="T27" s="224">
        <f>'WetLitterbags placem_collection'!E28</f>
        <v>42767</v>
      </c>
      <c r="U27" s="224">
        <f>IF('WetLitterbags placem_collection'!G28="","",'WetLitterbags placem_collection'!G28)</f>
        <v>42818</v>
      </c>
      <c r="V27" s="225">
        <f t="shared" si="0"/>
        <v>51</v>
      </c>
      <c r="W27" s="223">
        <f t="shared" si="3"/>
        <v>1.095</v>
      </c>
      <c r="X27" s="223">
        <f t="shared" si="4"/>
        <v>1.0783613937883392</v>
      </c>
      <c r="Y27">
        <f>IFERROR(INDEX(Rainfall_Wet!$O$2:$O$217,MATCH(B27, Rainfall_Wet!$A$2:$A$217,0)),"")</f>
        <v>185.630065823</v>
      </c>
      <c r="Z27" s="228">
        <v>51.960000000000008</v>
      </c>
      <c r="AA27" s="228">
        <v>18.919999999999995</v>
      </c>
      <c r="AB27" s="228">
        <v>29.120000000000005</v>
      </c>
      <c r="AC27" s="229" t="s">
        <v>2657</v>
      </c>
      <c r="AD27" s="228">
        <v>2.8529324790537198</v>
      </c>
      <c r="AE27" t="str">
        <f>IF('WetLitterbags placem_collection'!AB28="","",'WetLitterbags placem_collection'!AB28)</f>
        <v/>
      </c>
      <c r="AF27" t="str">
        <f>IF('WetLitterbags placem_collection'!Z28="","",'WetLitterbags placem_collection'!Z28)</f>
        <v/>
      </c>
      <c r="AG27" s="243" t="str">
        <f>IF('WetLitterbags placem_collection'!AA28="","",'WetLitterbags placem_collection'!AA28)</f>
        <v/>
      </c>
      <c r="AH27" t="str">
        <f>IF('WetLitterbags placem_collection'!AC28="","",'WetLitterbags placem_collection'!AC28)</f>
        <v/>
      </c>
      <c r="AI27" s="237">
        <f>AVERAGE('WetLitterbags placem_collection'!S28,'WetLitterbags placem_collection'!U28)</f>
        <v>31.3</v>
      </c>
      <c r="AJ27">
        <f>AVERAGE('WetLitterbags placem_collection'!R28,'WetLitterbags placem_collection'!T28)</f>
        <v>20.7</v>
      </c>
      <c r="AK27">
        <f>INDEX(Coordinates!$B$2:$B$197,MATCH(H27,Coordinates!$J$2:$J$197,0))</f>
        <v>-3.3849689999999999</v>
      </c>
      <c r="AL27">
        <f>INDEX(Coordinates!$C$2:$C$197,MATCH(H27,Coordinates!$J$2:$J$197,0))</f>
        <v>34.818908</v>
      </c>
      <c r="AM27" t="str">
        <f>IF(ISNUMBER(SEARCH("C", 'WetLitterbags placem_collection'!$V28)),"YES","NO")</f>
        <v>NO</v>
      </c>
      <c r="AN27" t="str">
        <f>IF(ISNUMBER(SEARCH("H", 'WetLitterbags placem_collection'!$V28)),"YES","NO")</f>
        <v>NO</v>
      </c>
      <c r="AO27" t="str">
        <f>IF(ISNUMBER(SEARCH("R", 'WetLitterbags placem_collection'!$V28)),"YES","NO")</f>
        <v>YES</v>
      </c>
    </row>
    <row r="28" spans="1:41">
      <c r="A28" s="255" t="s">
        <v>2454</v>
      </c>
      <c r="B28" s="260">
        <f>'Dry_Litterbag Placem_Collection'!A29</f>
        <v>27</v>
      </c>
      <c r="C28" s="260" t="str">
        <f>'Dry_Litterbag Placem_Collection'!B29</f>
        <v>Makao</v>
      </c>
      <c r="D28" s="260" t="s">
        <v>2643</v>
      </c>
      <c r="E28" s="260" t="s">
        <v>2644</v>
      </c>
      <c r="F28" s="260">
        <v>4</v>
      </c>
      <c r="G28" s="260" t="s">
        <v>3804</v>
      </c>
      <c r="H28" s="261" t="str">
        <f>'Dry_Litterbag Placem_Collection'!C29</f>
        <v>Dry_Ag4_T3</v>
      </c>
      <c r="I28" s="262" t="s">
        <v>2525</v>
      </c>
      <c r="J28" s="263" t="s">
        <v>1147</v>
      </c>
      <c r="K28" s="221" t="str">
        <f>'WetLitterbags placem_collection'!K29</f>
        <v>G583</v>
      </c>
      <c r="L28" s="223">
        <f>IFERROR(INDEX('Green_rooibos initial weight'!$C$5:$C$2000,MATCH(K28, 'Green_rooibos initial weight'!$A$5:$A$2000,0)),"")</f>
        <v>2.1829999999999998</v>
      </c>
      <c r="M28" s="223">
        <f>IFERROR(L28-(TBIcalc!$H$9+TBIcalc!$H$10),"")</f>
        <v>1.9331999999999998</v>
      </c>
      <c r="N28" s="385">
        <f>AVERAGE(Ashed_controlls!$K$2:$K$11)</f>
        <v>5.5147656768714146</v>
      </c>
      <c r="O28" s="223">
        <f t="shared" si="1"/>
        <v>1.8265885499347216</v>
      </c>
      <c r="P28" s="223">
        <f>IFERROR(INDEX('Both teabags AfterWet'!$C$3:$C$840,MATCH(K28,'Both teabags AfterWet'!$A$3:$A$840,0)),"")</f>
        <v>0.66169999999999995</v>
      </c>
      <c r="Q28" s="223">
        <f>IFERROR(IF(P28&gt;0,P28-(TBIcalc!$H$9),""),"")</f>
        <v>0.51109999999999989</v>
      </c>
      <c r="R28" s="223">
        <f>IFERROR(INDEX('Ashed teabags wet'!$K$2:$K$2000,MATCH(K28,'Ashed teabags wet'!$A$2:$A$2000,0)),"")</f>
        <v>12.756598240469378</v>
      </c>
      <c r="S28" s="223">
        <f t="shared" si="2"/>
        <v>0.44590102639296092</v>
      </c>
      <c r="T28" s="224">
        <f>'WetLitterbags placem_collection'!E29</f>
        <v>42767</v>
      </c>
      <c r="U28" s="224">
        <f>IF('WetLitterbags placem_collection'!G29="","",'WetLitterbags placem_collection'!G29)</f>
        <v>42818</v>
      </c>
      <c r="V28" s="225">
        <f t="shared" si="0"/>
        <v>51</v>
      </c>
      <c r="W28" s="223">
        <f t="shared" si="3"/>
        <v>1.4220999999999999</v>
      </c>
      <c r="X28" s="223">
        <f t="shared" si="4"/>
        <v>1.3806875235417606</v>
      </c>
      <c r="Y28">
        <f>IFERROR(INDEX(Rainfall_Wet!$O$2:$O$217,MATCH(B28, Rainfall_Wet!$A$2:$A$217,0)),"")</f>
        <v>185.630065823</v>
      </c>
      <c r="Z28" s="228">
        <v>51.960000000000008</v>
      </c>
      <c r="AA28" s="228">
        <v>18.919999999999995</v>
      </c>
      <c r="AB28" s="228">
        <v>29.120000000000005</v>
      </c>
      <c r="AC28" s="229" t="s">
        <v>2657</v>
      </c>
      <c r="AD28" s="228">
        <v>3.8529324790537198</v>
      </c>
      <c r="AE28" t="str">
        <f>IF('WetLitterbags placem_collection'!AB29="","",'WetLitterbags placem_collection'!AB29)</f>
        <v/>
      </c>
      <c r="AF28" t="str">
        <f>IF('WetLitterbags placem_collection'!Z29="","",'WetLitterbags placem_collection'!Z29)</f>
        <v/>
      </c>
      <c r="AG28" s="243" t="str">
        <f>IF('WetLitterbags placem_collection'!AA29="","",'WetLitterbags placem_collection'!AA29)</f>
        <v/>
      </c>
      <c r="AH28" t="str">
        <f>IF('WetLitterbags placem_collection'!AC29="","",'WetLitterbags placem_collection'!AC29)</f>
        <v/>
      </c>
      <c r="AI28" s="237">
        <f>AVERAGE('WetLitterbags placem_collection'!S29,'WetLitterbags placem_collection'!U29)</f>
        <v>28.900000000000002</v>
      </c>
      <c r="AJ28">
        <f>AVERAGE('WetLitterbags placem_collection'!R29,'WetLitterbags placem_collection'!T29)</f>
        <v>21.4</v>
      </c>
      <c r="AK28">
        <f>INDEX(Coordinates!$B$2:$B$197,MATCH(H28,Coordinates!$J$2:$J$197,0))</f>
        <v>-3.3849350359999999</v>
      </c>
      <c r="AL28">
        <f>INDEX(Coordinates!$C$2:$C$197,MATCH(H28,Coordinates!$J$2:$J$197,0))</f>
        <v>34.818943019999999</v>
      </c>
      <c r="AM28" t="str">
        <f>IF(ISNUMBER(SEARCH("C", 'WetLitterbags placem_collection'!$V29)),"YES","NO")</f>
        <v>NO</v>
      </c>
      <c r="AN28" t="str">
        <f>IF(ISNUMBER(SEARCH("H", 'WetLitterbags placem_collection'!$V29)),"YES","NO")</f>
        <v>NO</v>
      </c>
      <c r="AO28" t="str">
        <f>IF(ISNUMBER(SEARCH("R", 'WetLitterbags placem_collection'!$V29)),"YES","NO")</f>
        <v>NO</v>
      </c>
    </row>
    <row r="29" spans="1:41">
      <c r="A29" s="255" t="s">
        <v>2454</v>
      </c>
      <c r="B29" s="260">
        <f>'Dry_Litterbag Placem_Collection'!A30</f>
        <v>28</v>
      </c>
      <c r="C29" s="260" t="str">
        <f>'Dry_Litterbag Placem_Collection'!B30</f>
        <v>Makao</v>
      </c>
      <c r="D29" s="260" t="s">
        <v>2643</v>
      </c>
      <c r="E29" s="260" t="s">
        <v>2644</v>
      </c>
      <c r="F29" s="260">
        <v>4</v>
      </c>
      <c r="G29" s="260" t="s">
        <v>3804</v>
      </c>
      <c r="H29" s="261" t="str">
        <f>'Dry_Litterbag Placem_Collection'!C30</f>
        <v>Dry_Ag4_T4</v>
      </c>
      <c r="I29" s="262" t="s">
        <v>2525</v>
      </c>
      <c r="J29" s="263" t="s">
        <v>1147</v>
      </c>
      <c r="K29" s="221" t="str">
        <f>'WetLitterbags placem_collection'!K30</f>
        <v>G702</v>
      </c>
      <c r="L29" s="223">
        <f>IFERROR(INDEX('Green_rooibos initial weight'!$C$5:$C$2000,MATCH(K29, 'Green_rooibos initial weight'!$A$5:$A$2000,0)),"")</f>
        <v>2.109</v>
      </c>
      <c r="M29" s="223">
        <f>IFERROR(L29-(TBIcalc!$H$9+TBIcalc!$H$10),"")</f>
        <v>1.8592</v>
      </c>
      <c r="N29" s="385">
        <f>AVERAGE(Ashed_controlls!$K$2:$K$11)</f>
        <v>5.5147656768714146</v>
      </c>
      <c r="O29" s="223">
        <f t="shared" si="1"/>
        <v>1.7566694765356066</v>
      </c>
      <c r="P29" s="223">
        <f>IFERROR(INDEX('Both teabags AfterWet'!$C$3:$C$840,MATCH(K29,'Both teabags AfterWet'!$A$3:$A$840,0)),"")</f>
        <v>0.73699999999999999</v>
      </c>
      <c r="Q29" s="223">
        <f>IFERROR(IF(P29&gt;0,P29-(TBIcalc!$H$9),""),"")</f>
        <v>0.58640000000000003</v>
      </c>
      <c r="R29" s="223">
        <f>IFERROR(INDEX('Ashed teabags wet'!$K$2:$K$2000,MATCH(K29,'Ashed teabags wet'!$A$2:$A$2000,0)),"")</f>
        <v>10.710760118459444</v>
      </c>
      <c r="S29" s="223">
        <f t="shared" si="2"/>
        <v>0.52359210266535383</v>
      </c>
      <c r="T29" s="224">
        <f>'WetLitterbags placem_collection'!E30</f>
        <v>42767</v>
      </c>
      <c r="U29" s="224">
        <f>IF('WetLitterbags placem_collection'!G30="","",'WetLitterbags placem_collection'!G30)</f>
        <v>42818</v>
      </c>
      <c r="V29" s="225">
        <f t="shared" si="0"/>
        <v>51</v>
      </c>
      <c r="W29" s="223">
        <f t="shared" si="3"/>
        <v>1.2727999999999999</v>
      </c>
      <c r="X29" s="223">
        <f t="shared" si="4"/>
        <v>1.2330773738702527</v>
      </c>
      <c r="Y29">
        <f>IFERROR(INDEX(Rainfall_Wet!$O$2:$O$217,MATCH(B29, Rainfall_Wet!$A$2:$A$217,0)),"")</f>
        <v>185.630065823</v>
      </c>
      <c r="Z29" s="228">
        <v>51.960000000000008</v>
      </c>
      <c r="AA29" s="228">
        <v>18.919999999999995</v>
      </c>
      <c r="AB29" s="228">
        <v>29.120000000000005</v>
      </c>
      <c r="AC29" s="229" t="s">
        <v>2657</v>
      </c>
      <c r="AD29" s="228">
        <v>4.8529324790537203</v>
      </c>
      <c r="AE29" t="str">
        <f>IF('WetLitterbags placem_collection'!AB30="","",'WetLitterbags placem_collection'!AB30)</f>
        <v/>
      </c>
      <c r="AF29" t="str">
        <f>IF('WetLitterbags placem_collection'!Z30="","",'WetLitterbags placem_collection'!Z30)</f>
        <v/>
      </c>
      <c r="AG29" s="243" t="str">
        <f>IF('WetLitterbags placem_collection'!AA30="","",'WetLitterbags placem_collection'!AA30)</f>
        <v/>
      </c>
      <c r="AH29" t="str">
        <f>IF('WetLitterbags placem_collection'!AC30="","",'WetLitterbags placem_collection'!AC30)</f>
        <v/>
      </c>
      <c r="AI29" s="237">
        <f>AVERAGE('WetLitterbags placem_collection'!S30,'WetLitterbags placem_collection'!U30)</f>
        <v>33.4</v>
      </c>
      <c r="AJ29">
        <f>AVERAGE('WetLitterbags placem_collection'!R30,'WetLitterbags placem_collection'!T30)</f>
        <v>20.6</v>
      </c>
      <c r="AK29">
        <f>INDEX(Coordinates!$B$2:$B$197,MATCH(H29,Coordinates!$J$2:$J$197,0))</f>
        <v>-3.3850070369999998</v>
      </c>
      <c r="AL29">
        <f>INDEX(Coordinates!$C$2:$C$197,MATCH(H29,Coordinates!$J$2:$J$197,0))</f>
        <v>34.818888960000002</v>
      </c>
      <c r="AM29" t="str">
        <f>IF(ISNUMBER(SEARCH("C", 'WetLitterbags placem_collection'!$V30)),"YES","NO")</f>
        <v>NO</v>
      </c>
      <c r="AN29" t="str">
        <f>IF(ISNUMBER(SEARCH("H", 'WetLitterbags placem_collection'!$V30)),"YES","NO")</f>
        <v>NO</v>
      </c>
      <c r="AO29" t="str">
        <f>IF(ISNUMBER(SEARCH("R", 'WetLitterbags placem_collection'!$V30)),"YES","NO")</f>
        <v>NO</v>
      </c>
    </row>
    <row r="30" spans="1:41">
      <c r="A30" s="255" t="s">
        <v>2454</v>
      </c>
      <c r="B30" s="260">
        <f>'Dry_Litterbag Placem_Collection'!A31</f>
        <v>29</v>
      </c>
      <c r="C30" s="260" t="str">
        <f>'Dry_Litterbag Placem_Collection'!B31</f>
        <v>Makao</v>
      </c>
      <c r="D30" s="260" t="s">
        <v>2643</v>
      </c>
      <c r="E30" s="260" t="s">
        <v>2644</v>
      </c>
      <c r="F30" s="260">
        <v>4</v>
      </c>
      <c r="G30" s="260" t="s">
        <v>3804</v>
      </c>
      <c r="H30" s="261" t="str">
        <f>'Dry_Litterbag Placem_Collection'!C31</f>
        <v>Dry_Ag4_T5</v>
      </c>
      <c r="I30" s="262" t="s">
        <v>2525</v>
      </c>
      <c r="J30" s="263" t="s">
        <v>1147</v>
      </c>
      <c r="K30" s="221" t="str">
        <f>'WetLitterbags placem_collection'!K31</f>
        <v>G838</v>
      </c>
      <c r="L30" s="223">
        <f>IFERROR(INDEX('Green_rooibos initial weight'!$C$5:$C$2000,MATCH(K30, 'Green_rooibos initial weight'!$A$5:$A$2000,0)),"")</f>
        <v>2.0369999999999999</v>
      </c>
      <c r="M30" s="223">
        <f>IFERROR(L30-(TBIcalc!$H$9+TBIcalc!$H$10),"")</f>
        <v>1.7871999999999999</v>
      </c>
      <c r="N30" s="385">
        <f>AVERAGE(Ashed_controlls!$K$2:$K$11)</f>
        <v>5.5147656768714146</v>
      </c>
      <c r="O30" s="223">
        <f t="shared" si="1"/>
        <v>1.688640107822954</v>
      </c>
      <c r="P30" s="223">
        <f>IFERROR(INDEX('Both teabags AfterWet'!$C$3:$C$840,MATCH(K30,'Both teabags AfterWet'!$A$3:$A$840,0)),"")</f>
        <v>0.70830000000000004</v>
      </c>
      <c r="Q30" s="223">
        <f>IFERROR(IF(P30&gt;0,P30-(TBIcalc!$H$9),""),"")</f>
        <v>0.55770000000000008</v>
      </c>
      <c r="R30" s="223">
        <f>IFERROR(INDEX('Ashed teabags wet'!$K$2:$K$2000,MATCH(K30,'Ashed teabags wet'!$A$2:$A$2000,0)),"")</f>
        <v>8.2404265632568467</v>
      </c>
      <c r="S30" s="223">
        <f t="shared" si="2"/>
        <v>0.51174314105671659</v>
      </c>
      <c r="T30" s="224">
        <f>'WetLitterbags placem_collection'!E31</f>
        <v>42767</v>
      </c>
      <c r="U30" s="224">
        <f>IF('WetLitterbags placem_collection'!G31="","",'WetLitterbags placem_collection'!G31)</f>
        <v>42818</v>
      </c>
      <c r="V30" s="225">
        <f t="shared" si="0"/>
        <v>51</v>
      </c>
      <c r="W30" s="223">
        <f t="shared" si="3"/>
        <v>1.2294999999999998</v>
      </c>
      <c r="X30" s="223">
        <f t="shared" si="4"/>
        <v>1.1768969667662375</v>
      </c>
      <c r="Y30">
        <f>IFERROR(INDEX(Rainfall_Wet!$O$2:$O$217,MATCH(B30, Rainfall_Wet!$A$2:$A$217,0)),"")</f>
        <v>185.630065823</v>
      </c>
      <c r="Z30" s="228">
        <v>51.960000000000008</v>
      </c>
      <c r="AA30" s="228">
        <v>18.919999999999995</v>
      </c>
      <c r="AB30" s="228">
        <v>29.120000000000005</v>
      </c>
      <c r="AC30" s="229" t="s">
        <v>2657</v>
      </c>
      <c r="AD30" s="228">
        <v>5.8529324790537203</v>
      </c>
      <c r="AE30" t="str">
        <f>IF('WetLitterbags placem_collection'!AB31="","",'WetLitterbags placem_collection'!AB31)</f>
        <v/>
      </c>
      <c r="AF30" t="str">
        <f>IF('WetLitterbags placem_collection'!Z31="","",'WetLitterbags placem_collection'!Z31)</f>
        <v/>
      </c>
      <c r="AG30" s="243" t="str">
        <f>IF('WetLitterbags placem_collection'!AA31="","",'WetLitterbags placem_collection'!AA31)</f>
        <v/>
      </c>
      <c r="AH30" t="str">
        <f>IF('WetLitterbags placem_collection'!AC31="","",'WetLitterbags placem_collection'!AC31)</f>
        <v/>
      </c>
      <c r="AI30" s="237">
        <f>AVERAGE('WetLitterbags placem_collection'!S31,'WetLitterbags placem_collection'!U31)</f>
        <v>28.4</v>
      </c>
      <c r="AJ30">
        <f>AVERAGE('WetLitterbags placem_collection'!R31,'WetLitterbags placem_collection'!T31)</f>
        <v>21.049999999999997</v>
      </c>
      <c r="AK30">
        <f>INDEX(Coordinates!$B$2:$B$197,MATCH(H30,Coordinates!$J$2:$J$197,0))</f>
        <v>-3.3849480280000002</v>
      </c>
      <c r="AL30">
        <f>INDEX(Coordinates!$C$2:$C$197,MATCH(H30,Coordinates!$J$2:$J$197,0))</f>
        <v>34.818854010000003</v>
      </c>
      <c r="AM30" t="str">
        <f>IF(ISNUMBER(SEARCH("C", 'WetLitterbags placem_collection'!$V31)),"YES","NO")</f>
        <v>NO</v>
      </c>
      <c r="AN30" t="str">
        <f>IF(ISNUMBER(SEARCH("H", 'WetLitterbags placem_collection'!$V31)),"YES","NO")</f>
        <v>NO</v>
      </c>
      <c r="AO30" t="str">
        <f>IF(ISNUMBER(SEARCH("R", 'WetLitterbags placem_collection'!$V31)),"YES","NO")</f>
        <v>YES</v>
      </c>
    </row>
    <row r="31" spans="1:41">
      <c r="A31" s="255" t="s">
        <v>2454</v>
      </c>
      <c r="B31" s="260">
        <f>'Dry_Litterbag Placem_Collection'!A32</f>
        <v>30</v>
      </c>
      <c r="C31" s="260" t="str">
        <f>'Dry_Litterbag Placem_Collection'!B32</f>
        <v>Makao</v>
      </c>
      <c r="D31" s="260" t="s">
        <v>2643</v>
      </c>
      <c r="E31" s="260" t="s">
        <v>2644</v>
      </c>
      <c r="F31" s="260">
        <v>4</v>
      </c>
      <c r="G31" s="260" t="s">
        <v>3804</v>
      </c>
      <c r="H31" s="261" t="str">
        <f>'Dry_Litterbag Placem_Collection'!C32</f>
        <v>Dry_Ag4_T6</v>
      </c>
      <c r="I31" s="262" t="s">
        <v>2525</v>
      </c>
      <c r="J31" s="263" t="s">
        <v>1147</v>
      </c>
      <c r="K31" s="221" t="str">
        <f>'WetLitterbags placem_collection'!K32</f>
        <v>G518</v>
      </c>
      <c r="L31" s="223">
        <f>IFERROR(INDEX('Green_rooibos initial weight'!$C$5:$C$2000,MATCH(K31, 'Green_rooibos initial weight'!$A$5:$A$2000,0)),"")</f>
        <v>1.9950000000000001</v>
      </c>
      <c r="M31" s="223">
        <f>IFERROR(L31-(TBIcalc!$H$9+TBIcalc!$H$10),"")</f>
        <v>1.7452000000000001</v>
      </c>
      <c r="N31" s="385">
        <f>AVERAGE(Ashed_controlls!$K$2:$K$11)</f>
        <v>5.5147656768714146</v>
      </c>
      <c r="O31" s="223">
        <f t="shared" si="1"/>
        <v>1.6489563094072401</v>
      </c>
      <c r="P31" s="223">
        <f>IFERROR(INDEX('Both teabags AfterWet'!$C$3:$C$840,MATCH(K31,'Both teabags AfterWet'!$A$3:$A$840,0)),"")</f>
        <v>0.68200000000000005</v>
      </c>
      <c r="Q31" s="223">
        <f>IFERROR(IF(P31&gt;0,P31-(TBIcalc!$H$9),""),"")</f>
        <v>0.53140000000000009</v>
      </c>
      <c r="R31" s="223">
        <f>IFERROR(INDEX('Ashed teabags wet'!$K$2:$K$2000,MATCH(K31,'Ashed teabags wet'!$A$2:$A$2000,0)),"")</f>
        <v>11.009615384615254</v>
      </c>
      <c r="S31" s="223">
        <f t="shared" si="2"/>
        <v>0.47289490384615462</v>
      </c>
      <c r="T31" s="224">
        <f>'WetLitterbags placem_collection'!E32</f>
        <v>42767</v>
      </c>
      <c r="U31" s="224">
        <f>IF('WetLitterbags placem_collection'!G32="","",'WetLitterbags placem_collection'!G32)</f>
        <v>42818</v>
      </c>
      <c r="V31" s="225">
        <f t="shared" si="0"/>
        <v>51</v>
      </c>
      <c r="W31" s="223">
        <f t="shared" si="3"/>
        <v>1.2138</v>
      </c>
      <c r="X31" s="223">
        <f t="shared" si="4"/>
        <v>1.1760614055610854</v>
      </c>
      <c r="Y31">
        <f>IFERROR(INDEX(Rainfall_Wet!$O$2:$O$217,MATCH(B31, Rainfall_Wet!$A$2:$A$217,0)),"")</f>
        <v>185.630065823</v>
      </c>
      <c r="Z31" s="228">
        <v>51.960000000000008</v>
      </c>
      <c r="AA31" s="228">
        <v>18.919999999999995</v>
      </c>
      <c r="AB31" s="228">
        <v>29.120000000000005</v>
      </c>
      <c r="AC31" s="229" t="s">
        <v>2657</v>
      </c>
      <c r="AD31" s="228">
        <v>6.8529324790537203</v>
      </c>
      <c r="AE31" t="str">
        <f>IF('WetLitterbags placem_collection'!AB32="","",'WetLitterbags placem_collection'!AB32)</f>
        <v/>
      </c>
      <c r="AF31" t="str">
        <f>IF('WetLitterbags placem_collection'!Z32="","",'WetLitterbags placem_collection'!Z32)</f>
        <v/>
      </c>
      <c r="AG31" s="243" t="str">
        <f>IF('WetLitterbags placem_collection'!AA32="","",'WetLitterbags placem_collection'!AA32)</f>
        <v/>
      </c>
      <c r="AH31" t="str">
        <f>IF('WetLitterbags placem_collection'!AC32="","",'WetLitterbags placem_collection'!AC32)</f>
        <v/>
      </c>
      <c r="AI31" s="237">
        <f>AVERAGE('WetLitterbags placem_collection'!S32,'WetLitterbags placem_collection'!U32)</f>
        <v>26.9</v>
      </c>
      <c r="AJ31">
        <f>AVERAGE('WetLitterbags placem_collection'!R32,'WetLitterbags placem_collection'!T32)</f>
        <v>20.7</v>
      </c>
      <c r="AK31">
        <f>INDEX(Coordinates!$B$2:$B$197,MATCH(H31,Coordinates!$J$2:$J$197,0))</f>
        <v>-3.38496496</v>
      </c>
      <c r="AL31">
        <f>INDEX(Coordinates!$C$2:$C$197,MATCH(H31,Coordinates!$J$2:$J$197,0))</f>
        <v>34.818790970000002</v>
      </c>
      <c r="AM31" t="str">
        <f>IF(ISNUMBER(SEARCH("C", 'WetLitterbags placem_collection'!$V32)),"YES","NO")</f>
        <v>NO</v>
      </c>
      <c r="AN31" t="str">
        <f>IF(ISNUMBER(SEARCH("H", 'WetLitterbags placem_collection'!$V32)),"YES","NO")</f>
        <v>NO</v>
      </c>
      <c r="AO31" t="str">
        <f>IF(ISNUMBER(SEARCH("R", 'WetLitterbags placem_collection'!$V32)),"YES","NO")</f>
        <v>YES</v>
      </c>
    </row>
    <row r="32" spans="1:41">
      <c r="A32" s="255" t="s">
        <v>2454</v>
      </c>
      <c r="B32" s="260">
        <f>'Dry_Litterbag Placem_Collection'!A33</f>
        <v>31</v>
      </c>
      <c r="C32" s="260" t="str">
        <f>'Dry_Litterbag Placem_Collection'!B33</f>
        <v>Makao</v>
      </c>
      <c r="D32" s="260" t="s">
        <v>2643</v>
      </c>
      <c r="E32" s="260" t="s">
        <v>2644</v>
      </c>
      <c r="F32" s="260">
        <v>4</v>
      </c>
      <c r="G32" s="260" t="s">
        <v>3804</v>
      </c>
      <c r="H32" s="261" t="str">
        <f>'Dry_Litterbag Placem_Collection'!C33</f>
        <v>Dry_Ag4_T7</v>
      </c>
      <c r="I32" s="262" t="s">
        <v>2525</v>
      </c>
      <c r="J32" s="263" t="s">
        <v>1147</v>
      </c>
      <c r="K32" s="221" t="str">
        <f>'WetLitterbags placem_collection'!K33</f>
        <v>G404</v>
      </c>
      <c r="L32" s="223">
        <f>IFERROR(INDEX('Green_rooibos initial weight'!$C$5:$C$2000,MATCH(K32, 'Green_rooibos initial weight'!$A$5:$A$2000,0)),"")</f>
        <v>2.113</v>
      </c>
      <c r="M32" s="223">
        <f>IFERROR(L32-(TBIcalc!$H$9+TBIcalc!$H$10),"")</f>
        <v>1.8632</v>
      </c>
      <c r="N32" s="385">
        <f>AVERAGE(Ashed_controlls!$K$2:$K$11)</f>
        <v>5.5147656768714146</v>
      </c>
      <c r="O32" s="223">
        <f t="shared" si="1"/>
        <v>1.7604488859085319</v>
      </c>
      <c r="P32" s="223">
        <f>IFERROR(INDEX('Both teabags AfterWet'!$C$3:$C$840,MATCH(K32,'Both teabags AfterWet'!$A$3:$A$840,0)),"")</f>
        <v>0.75349999999999995</v>
      </c>
      <c r="Q32" s="223">
        <f>IFERROR(IF(P32&gt;0,P32-(TBIcalc!$H$9),""),"")</f>
        <v>0.60289999999999999</v>
      </c>
      <c r="R32" s="223">
        <f>IFERROR(INDEX('Ashed teabags wet'!$K$2:$K$2000,MATCH(K32,'Ashed teabags wet'!$A$2:$A$2000,0)),"")</f>
        <v>13.930110100526482</v>
      </c>
      <c r="S32" s="223">
        <f t="shared" si="2"/>
        <v>0.51891536620392587</v>
      </c>
      <c r="T32" s="224">
        <f>'WetLitterbags placem_collection'!E33</f>
        <v>42767</v>
      </c>
      <c r="U32" s="224">
        <f>IF('WetLitterbags placem_collection'!G33="","",'WetLitterbags placem_collection'!G33)</f>
        <v>42818</v>
      </c>
      <c r="V32" s="225">
        <f t="shared" si="0"/>
        <v>51</v>
      </c>
      <c r="W32" s="223">
        <f t="shared" si="3"/>
        <v>1.2603</v>
      </c>
      <c r="X32" s="223">
        <f t="shared" si="4"/>
        <v>1.241533519704606</v>
      </c>
      <c r="Y32">
        <f>IFERROR(INDEX(Rainfall_Wet!$O$2:$O$217,MATCH(B32, Rainfall_Wet!$A$2:$A$217,0)),"")</f>
        <v>185.630065823</v>
      </c>
      <c r="Z32" s="228">
        <v>51.960000000000008</v>
      </c>
      <c r="AA32" s="228">
        <v>18.919999999999995</v>
      </c>
      <c r="AB32" s="228">
        <v>29.120000000000005</v>
      </c>
      <c r="AC32" s="229" t="s">
        <v>2657</v>
      </c>
      <c r="AD32" s="228">
        <v>7.8529324790537203</v>
      </c>
      <c r="AE32" t="str">
        <f>IF('WetLitterbags placem_collection'!AB33="","",'WetLitterbags placem_collection'!AB33)</f>
        <v/>
      </c>
      <c r="AF32" t="str">
        <f>IF('WetLitterbags placem_collection'!Z33="","",'WetLitterbags placem_collection'!Z33)</f>
        <v/>
      </c>
      <c r="AG32" s="243" t="str">
        <f>IF('WetLitterbags placem_collection'!AA33="","",'WetLitterbags placem_collection'!AA33)</f>
        <v/>
      </c>
      <c r="AH32" t="str">
        <f>IF('WetLitterbags placem_collection'!AC33="","",'WetLitterbags placem_collection'!AC33)</f>
        <v/>
      </c>
      <c r="AI32" s="237">
        <f>AVERAGE('WetLitterbags placem_collection'!S33,'WetLitterbags placem_collection'!U33)</f>
        <v>33</v>
      </c>
      <c r="AJ32">
        <f>AVERAGE('WetLitterbags placem_collection'!R33,'WetLitterbags placem_collection'!T33)</f>
        <v>20.950000000000003</v>
      </c>
      <c r="AK32">
        <f>INDEX(Coordinates!$B$2:$B$197,MATCH(H32,Coordinates!$J$2:$J$197,0))</f>
        <v>-3.3848409909999999</v>
      </c>
      <c r="AL32">
        <f>INDEX(Coordinates!$C$2:$C$197,MATCH(H32,Coordinates!$J$2:$J$197,0))</f>
        <v>34.818838999999997</v>
      </c>
      <c r="AM32" t="str">
        <f>IF(ISNUMBER(SEARCH("C", 'WetLitterbags placem_collection'!$V33)),"YES","NO")</f>
        <v>NO</v>
      </c>
      <c r="AN32" t="str">
        <f>IF(ISNUMBER(SEARCH("H", 'WetLitterbags placem_collection'!$V33)),"YES","NO")</f>
        <v>NO</v>
      </c>
      <c r="AO32" t="str">
        <f>IF(ISNUMBER(SEARCH("R", 'WetLitterbags placem_collection'!$V33)),"YES","NO")</f>
        <v>YES</v>
      </c>
    </row>
    <row r="33" spans="1:41">
      <c r="A33" s="255" t="s">
        <v>2454</v>
      </c>
      <c r="B33" s="260">
        <f>'Dry_Litterbag Placem_Collection'!A34</f>
        <v>32</v>
      </c>
      <c r="C33" s="260" t="str">
        <f>'Dry_Litterbag Placem_Collection'!B34</f>
        <v>Makao</v>
      </c>
      <c r="D33" s="260" t="s">
        <v>2643</v>
      </c>
      <c r="E33" s="260" t="s">
        <v>2644</v>
      </c>
      <c r="F33" s="260">
        <v>4</v>
      </c>
      <c r="G33" s="260" t="s">
        <v>3804</v>
      </c>
      <c r="H33" s="261" t="str">
        <f>'Dry_Litterbag Placem_Collection'!C34</f>
        <v>Dry_Ag4_T8</v>
      </c>
      <c r="I33" s="262" t="s">
        <v>2525</v>
      </c>
      <c r="J33" s="263" t="s">
        <v>1147</v>
      </c>
      <c r="K33" s="221" t="str">
        <f>'WetLitterbags placem_collection'!K34</f>
        <v>G527</v>
      </c>
      <c r="L33" s="223">
        <f>IFERROR(INDEX('Green_rooibos initial weight'!$C$5:$C$2000,MATCH(K33, 'Green_rooibos initial weight'!$A$5:$A$2000,0)),"")</f>
        <v>1.913</v>
      </c>
      <c r="M33" s="223">
        <f>IFERROR(L33-(TBIcalc!$H$9+TBIcalc!$H$10),"")</f>
        <v>1.6632</v>
      </c>
      <c r="N33" s="385">
        <f>AVERAGE(Ashed_controlls!$K$2:$K$11)</f>
        <v>5.5147656768714146</v>
      </c>
      <c r="O33" s="223">
        <f t="shared" si="1"/>
        <v>1.5714784172622747</v>
      </c>
      <c r="P33" s="223">
        <f>IFERROR(INDEX('Both teabags AfterWet'!$C$3:$C$840,MATCH(K33,'Both teabags AfterWet'!$A$3:$A$840,0)),"")</f>
        <v>0.66439999999999999</v>
      </c>
      <c r="Q33" s="223">
        <f>IFERROR(IF(P33&gt;0,P33-(TBIcalc!$H$9),""),"")</f>
        <v>0.51380000000000003</v>
      </c>
      <c r="R33" s="223">
        <f>IFERROR(INDEX('Ashed teabags wet'!$K$2:$K$2000,MATCH(K33,'Ashed teabags wet'!$A$2:$A$2000,0)),"")</f>
        <v>8.4915084915079166</v>
      </c>
      <c r="S33" s="223">
        <f t="shared" si="2"/>
        <v>0.47017062937063236</v>
      </c>
      <c r="T33" s="224">
        <f>'WetLitterbags placem_collection'!E34</f>
        <v>42767</v>
      </c>
      <c r="U33" s="224">
        <f>IF('WetLitterbags placem_collection'!G34="","",'WetLitterbags placem_collection'!G34)</f>
        <v>42818</v>
      </c>
      <c r="V33" s="225">
        <f t="shared" si="0"/>
        <v>51</v>
      </c>
      <c r="W33" s="223">
        <f t="shared" si="3"/>
        <v>1.1494</v>
      </c>
      <c r="X33" s="223">
        <f t="shared" si="4"/>
        <v>1.1013077878916424</v>
      </c>
      <c r="Y33">
        <f>IFERROR(INDEX(Rainfall_Wet!$O$2:$O$217,MATCH(B33, Rainfall_Wet!$A$2:$A$217,0)),"")</f>
        <v>185.630065823</v>
      </c>
      <c r="Z33" s="228">
        <v>51.960000000000008</v>
      </c>
      <c r="AA33" s="228">
        <v>18.919999999999995</v>
      </c>
      <c r="AB33" s="228">
        <v>29.120000000000005</v>
      </c>
      <c r="AC33" s="229" t="s">
        <v>2657</v>
      </c>
      <c r="AD33" s="228">
        <v>8.8529324790537203</v>
      </c>
      <c r="AE33" t="str">
        <f>IF('WetLitterbags placem_collection'!AB34="","",'WetLitterbags placem_collection'!AB34)</f>
        <v/>
      </c>
      <c r="AF33" t="str">
        <f>IF('WetLitterbags placem_collection'!Z34="","",'WetLitterbags placem_collection'!Z34)</f>
        <v/>
      </c>
      <c r="AG33" s="243" t="str">
        <f>IF('WetLitterbags placem_collection'!AA34="","",'WetLitterbags placem_collection'!AA34)</f>
        <v/>
      </c>
      <c r="AH33" t="str">
        <f>IF('WetLitterbags placem_collection'!AC34="","",'WetLitterbags placem_collection'!AC34)</f>
        <v/>
      </c>
      <c r="AI33" s="237">
        <f>AVERAGE('WetLitterbags placem_collection'!S34,'WetLitterbags placem_collection'!U34)</f>
        <v>32.849999999999994</v>
      </c>
      <c r="AJ33">
        <f>AVERAGE('WetLitterbags placem_collection'!R34,'WetLitterbags placem_collection'!T34)</f>
        <v>20.9</v>
      </c>
      <c r="AK33">
        <f>INDEX(Coordinates!$B$2:$B$197,MATCH(H33,Coordinates!$J$2:$J$197,0))</f>
        <v>-3.3849010060000002</v>
      </c>
      <c r="AL33">
        <f>INDEX(Coordinates!$C$2:$C$197,MATCH(H33,Coordinates!$J$2:$J$197,0))</f>
        <v>34.818979990000003</v>
      </c>
      <c r="AM33" t="str">
        <f>IF(ISNUMBER(SEARCH("C", 'WetLitterbags placem_collection'!$V34)),"YES","NO")</f>
        <v>NO</v>
      </c>
      <c r="AN33" t="str">
        <f>IF(ISNUMBER(SEARCH("H", 'WetLitterbags placem_collection'!$V34)),"YES","NO")</f>
        <v>NO</v>
      </c>
      <c r="AO33" t="str">
        <f>IF(ISNUMBER(SEARCH("R", 'WetLitterbags placem_collection'!$V34)),"YES","NO")</f>
        <v>YES</v>
      </c>
    </row>
    <row r="34" spans="1:41">
      <c r="A34" s="255" t="s">
        <v>2454</v>
      </c>
      <c r="B34" s="260">
        <f>'Dry_Litterbag Placem_Collection'!A35</f>
        <v>33</v>
      </c>
      <c r="C34" s="260" t="str">
        <f>'Dry_Litterbag Placem_Collection'!B35</f>
        <v>Makao</v>
      </c>
      <c r="D34" s="260" t="s">
        <v>2643</v>
      </c>
      <c r="E34" s="260" t="s">
        <v>20</v>
      </c>
      <c r="F34" s="260">
        <v>1</v>
      </c>
      <c r="G34" s="260" t="s">
        <v>3805</v>
      </c>
      <c r="H34" s="261" t="str">
        <f>'Dry_Litterbag Placem_Collection'!C35</f>
        <v>Dry_P1_T1</v>
      </c>
      <c r="I34" s="262" t="s">
        <v>2525</v>
      </c>
      <c r="J34" s="263" t="s">
        <v>1147</v>
      </c>
      <c r="K34" s="221" t="str">
        <f>'WetLitterbags placem_collection'!K35</f>
        <v>G366</v>
      </c>
      <c r="L34" s="223">
        <f>IFERROR(INDEX('Green_rooibos initial weight'!$C$5:$C$2000,MATCH(K34, 'Green_rooibos initial weight'!$A$5:$A$2000,0)),"")</f>
        <v>2.1070000000000002</v>
      </c>
      <c r="M34" s="223">
        <f>IFERROR(L34-(TBIcalc!$H$9+TBIcalc!$H$10),"")</f>
        <v>1.8572000000000002</v>
      </c>
      <c r="N34" s="385">
        <f>AVERAGE(Ashed_controlls!$K$2:$K$11)</f>
        <v>5.5147656768714146</v>
      </c>
      <c r="O34" s="223">
        <f t="shared" si="1"/>
        <v>1.7547797718491442</v>
      </c>
      <c r="P34" s="223">
        <f>IFERROR(INDEX('Both teabags AfterWet'!$C$3:$C$840,MATCH(K34,'Both teabags AfterWet'!$A$3:$A$840,0)),"")</f>
        <v>0.76700000000000002</v>
      </c>
      <c r="Q34" s="223">
        <f>IFERROR(IF(P34&gt;0,P34-(TBIcalc!$H$9),""),"")</f>
        <v>0.61640000000000006</v>
      </c>
      <c r="R34" s="223">
        <f>IFERROR(INDEX('Ashed teabags wet'!$K$2:$K$2000,MATCH(K34,'Ashed teabags wet'!$A$2:$A$2000,0)),"")</f>
        <v>9.3672147483803556</v>
      </c>
      <c r="S34" s="223">
        <f t="shared" si="2"/>
        <v>0.55866048829098358</v>
      </c>
      <c r="T34" s="224">
        <f>'WetLitterbags placem_collection'!E35</f>
        <v>42765</v>
      </c>
      <c r="U34" s="224">
        <f>IF('WetLitterbags placem_collection'!G35="","",'WetLitterbags placem_collection'!G35)</f>
        <v>42820</v>
      </c>
      <c r="V34" s="225">
        <f t="shared" si="0"/>
        <v>55</v>
      </c>
      <c r="W34" s="223">
        <f t="shared" si="3"/>
        <v>1.2408000000000001</v>
      </c>
      <c r="X34" s="223">
        <f t="shared" si="4"/>
        <v>1.1961192835581607</v>
      </c>
      <c r="Y34">
        <f>IFERROR(INDEX(Rainfall_Wet!$O$2:$O$217,MATCH(B34, Rainfall_Wet!$A$2:$A$217,0)),"")</f>
        <v>228.324359195</v>
      </c>
      <c r="Z34" s="228">
        <v>23.96</v>
      </c>
      <c r="AA34" s="228">
        <v>0.91999999999999804</v>
      </c>
      <c r="AB34" s="228">
        <v>75.12</v>
      </c>
      <c r="AC34" s="229" t="s">
        <v>2654</v>
      </c>
      <c r="AD34" s="228">
        <v>1.2493839329719072</v>
      </c>
      <c r="AE34">
        <f>IF('WetLitterbags placem_collection'!AB35="","",'WetLitterbags placem_collection'!AB35)</f>
        <v>9.5</v>
      </c>
      <c r="AF34">
        <f>IF('WetLitterbags placem_collection'!Z35="","",'WetLitterbags placem_collection'!Z35)</f>
        <v>17.2</v>
      </c>
      <c r="AG34" s="243" t="str">
        <f>IF('WetLitterbags placem_collection'!AA35="","",'WetLitterbags placem_collection'!AA35)</f>
        <v>G</v>
      </c>
      <c r="AH34">
        <f>IF('WetLitterbags placem_collection'!AC35="","",'WetLitterbags placem_collection'!AC35)</f>
        <v>0</v>
      </c>
      <c r="AI34" s="237">
        <f>AVERAGE('WetLitterbags placem_collection'!S35,'WetLitterbags placem_collection'!U35)</f>
        <v>30.5</v>
      </c>
      <c r="AJ34">
        <f>AVERAGE('WetLitterbags placem_collection'!R35,'WetLitterbags placem_collection'!T35)</f>
        <v>25.25</v>
      </c>
      <c r="AK34">
        <f>INDEX(Coordinates!$B$2:$B$197,MATCH(H34,Coordinates!$J$2:$J$197,0))</f>
        <v>-3.4092039989999998</v>
      </c>
      <c r="AL34">
        <f>INDEX(Coordinates!$C$2:$C$197,MATCH(H34,Coordinates!$J$2:$J$197,0))</f>
        <v>34.852751009999999</v>
      </c>
      <c r="AM34" t="str">
        <f>IF(ISNUMBER(SEARCH("C", 'WetLitterbags placem_collection'!$V35)),"YES","NO")</f>
        <v>NO</v>
      </c>
      <c r="AN34" t="str">
        <f>IF(ISNUMBER(SEARCH("H", 'WetLitterbags placem_collection'!$V35)),"YES","NO")</f>
        <v>NO</v>
      </c>
      <c r="AO34" t="str">
        <f>IF(ISNUMBER(SEARCH("R", 'WetLitterbags placem_collection'!$V35)),"YES","NO")</f>
        <v>YES</v>
      </c>
    </row>
    <row r="35" spans="1:41">
      <c r="A35" s="255" t="s">
        <v>2454</v>
      </c>
      <c r="B35" s="260">
        <f>'Dry_Litterbag Placem_Collection'!A36</f>
        <v>34</v>
      </c>
      <c r="C35" s="260" t="str">
        <f>'Dry_Litterbag Placem_Collection'!B36</f>
        <v>Makao</v>
      </c>
      <c r="D35" s="260" t="s">
        <v>2643</v>
      </c>
      <c r="E35" s="260" t="s">
        <v>20</v>
      </c>
      <c r="F35" s="260">
        <v>1</v>
      </c>
      <c r="G35" s="260" t="s">
        <v>3805</v>
      </c>
      <c r="H35" s="261" t="str">
        <f>'Dry_Litterbag Placem_Collection'!C36</f>
        <v>Dry_P1_T2</v>
      </c>
      <c r="I35" s="262" t="s">
        <v>2525</v>
      </c>
      <c r="J35" s="263" t="s">
        <v>1147</v>
      </c>
      <c r="K35" s="221" t="str">
        <f>'WetLitterbags placem_collection'!K36</f>
        <v>G516</v>
      </c>
      <c r="L35" s="223">
        <f>IFERROR(INDEX('Green_rooibos initial weight'!$C$5:$C$2000,MATCH(K35, 'Green_rooibos initial weight'!$A$5:$A$2000,0)),"")</f>
        <v>2.1160000000000001</v>
      </c>
      <c r="M35" s="223">
        <f>IFERROR(L35-(TBIcalc!$H$9+TBIcalc!$H$10),"")</f>
        <v>1.8662000000000001</v>
      </c>
      <c r="N35" s="385">
        <f>AVERAGE(Ashed_controlls!$K$2:$K$11)</f>
        <v>5.5147656768714146</v>
      </c>
      <c r="O35" s="223">
        <f t="shared" si="1"/>
        <v>1.7632834429382258</v>
      </c>
      <c r="P35" s="223">
        <f>IFERROR(INDEX('Both teabags AfterWet'!$C$3:$C$840,MATCH(K35,'Both teabags AfterWet'!$A$3:$A$840,0)),"")</f>
        <v>0.87270000000000003</v>
      </c>
      <c r="Q35" s="223">
        <f>IFERROR(IF(P35&gt;0,P35-(TBIcalc!$H$9),""),"")</f>
        <v>0.72209999999999996</v>
      </c>
      <c r="R35" s="223">
        <f>IFERROR(INDEX('Ashed teabags wet'!$K$2:$K$2000,MATCH(K35,'Ashed teabags wet'!$A$2:$A$2000,0)),"")</f>
        <v>39.314115308151266</v>
      </c>
      <c r="S35" s="223">
        <f t="shared" si="2"/>
        <v>0.43821277335983971</v>
      </c>
      <c r="T35" s="224">
        <f>'WetLitterbags placem_collection'!E36</f>
        <v>42765</v>
      </c>
      <c r="U35" s="224">
        <f>IF('WetLitterbags placem_collection'!G36="","",'WetLitterbags placem_collection'!G36)</f>
        <v>42820</v>
      </c>
      <c r="V35" s="225">
        <f t="shared" si="0"/>
        <v>55</v>
      </c>
      <c r="W35" s="223">
        <f t="shared" si="3"/>
        <v>1.1441000000000001</v>
      </c>
      <c r="X35" s="223">
        <f t="shared" si="4"/>
        <v>1.325070669578386</v>
      </c>
      <c r="Y35">
        <f>IFERROR(INDEX(Rainfall_Wet!$O$2:$O$217,MATCH(B35, Rainfall_Wet!$A$2:$A$217,0)),"")</f>
        <v>228.324359195</v>
      </c>
      <c r="Z35" s="228">
        <v>23.96</v>
      </c>
      <c r="AA35" s="228">
        <v>0.91999999999999804</v>
      </c>
      <c r="AB35" s="228">
        <v>75.12</v>
      </c>
      <c r="AC35" s="229" t="s">
        <v>2654</v>
      </c>
      <c r="AD35" s="228">
        <v>1.2493839329719072</v>
      </c>
      <c r="AE35">
        <f>IF('WetLitterbags placem_collection'!AB36="","",'WetLitterbags placem_collection'!AB36)</f>
        <v>6.5</v>
      </c>
      <c r="AF35">
        <f>IF('WetLitterbags placem_collection'!Z36="","",'WetLitterbags placem_collection'!Z36)</f>
        <v>14.2</v>
      </c>
      <c r="AG35" s="243" t="str">
        <f>IF('WetLitterbags placem_collection'!AA36="","",'WetLitterbags placem_collection'!AA36)</f>
        <v>G</v>
      </c>
      <c r="AH35">
        <f>IF('WetLitterbags placem_collection'!AC36="","",'WetLitterbags placem_collection'!AC36)</f>
        <v>0</v>
      </c>
      <c r="AI35" s="237">
        <f>AVERAGE('WetLitterbags placem_collection'!S36,'WetLitterbags placem_collection'!U36)</f>
        <v>21</v>
      </c>
      <c r="AJ35">
        <f>AVERAGE('WetLitterbags placem_collection'!R36,'WetLitterbags placem_collection'!T36)</f>
        <v>25.55</v>
      </c>
      <c r="AK35">
        <f>INDEX(Coordinates!$B$2:$B$197,MATCH(H35,Coordinates!$J$2:$J$197,0))</f>
        <v>-3.4092350119999999</v>
      </c>
      <c r="AL35">
        <f>INDEX(Coordinates!$C$2:$C$197,MATCH(H35,Coordinates!$J$2:$J$197,0))</f>
        <v>34.852782019999999</v>
      </c>
      <c r="AM35" t="str">
        <f>IF(ISNUMBER(SEARCH("C", 'WetLitterbags placem_collection'!$V36)),"YES","NO")</f>
        <v>YES</v>
      </c>
      <c r="AN35" t="str">
        <f>IF(ISNUMBER(SEARCH("H", 'WetLitterbags placem_collection'!$V36)),"YES","NO")</f>
        <v>YES</v>
      </c>
      <c r="AO35" t="str">
        <f>IF(ISNUMBER(SEARCH("R", 'WetLitterbags placem_collection'!$V36)),"YES","NO")</f>
        <v>YES</v>
      </c>
    </row>
    <row r="36" spans="1:41">
      <c r="A36" s="255" t="s">
        <v>2454</v>
      </c>
      <c r="B36" s="260">
        <f>'Dry_Litterbag Placem_Collection'!A37</f>
        <v>35</v>
      </c>
      <c r="C36" s="260" t="str">
        <f>'Dry_Litterbag Placem_Collection'!B37</f>
        <v>Makao</v>
      </c>
      <c r="D36" s="260" t="s">
        <v>2643</v>
      </c>
      <c r="E36" s="260" t="s">
        <v>20</v>
      </c>
      <c r="F36" s="260">
        <v>1</v>
      </c>
      <c r="G36" s="260" t="s">
        <v>3805</v>
      </c>
      <c r="H36" s="261" t="str">
        <f>'Dry_Litterbag Placem_Collection'!C37</f>
        <v>Dry_P1_T3</v>
      </c>
      <c r="I36" s="262" t="s">
        <v>2525</v>
      </c>
      <c r="J36" s="263" t="s">
        <v>1147</v>
      </c>
      <c r="K36" s="221" t="str">
        <f>'WetLitterbags placem_collection'!K37</f>
        <v>G670</v>
      </c>
      <c r="L36" s="223">
        <f>IFERROR(INDEX('Green_rooibos initial weight'!$C$5:$C$2000,MATCH(K36, 'Green_rooibos initial weight'!$A$5:$A$2000,0)),"")</f>
        <v>2.0950000000000002</v>
      </c>
      <c r="M36" s="223">
        <f>IFERROR(L36-(TBIcalc!$H$9+TBIcalc!$H$10),"")</f>
        <v>1.8452000000000002</v>
      </c>
      <c r="N36" s="385">
        <f>AVERAGE(Ashed_controlls!$K$2:$K$11)</f>
        <v>5.5147656768714146</v>
      </c>
      <c r="O36" s="223">
        <f t="shared" si="1"/>
        <v>1.7434415437303687</v>
      </c>
      <c r="P36" s="223">
        <f>IFERROR(INDEX('Both teabags AfterWet'!$C$3:$C$840,MATCH(K36,'Both teabags AfterWet'!$A$3:$A$840,0)),"")</f>
        <v>0.81699999999999995</v>
      </c>
      <c r="Q36" s="223">
        <f>IFERROR(IF(P36&gt;0,P36-(TBIcalc!$H$9),""),"")</f>
        <v>0.66639999999999988</v>
      </c>
      <c r="R36" s="223">
        <f>IFERROR(INDEX('Ashed teabags wet'!$K$2:$K$2000,MATCH(K36,'Ashed teabags wet'!$A$2:$A$2000,0)),"")</f>
        <v>18.585762064022571</v>
      </c>
      <c r="S36" s="223">
        <f t="shared" si="2"/>
        <v>0.54254448160535351</v>
      </c>
      <c r="T36" s="224">
        <f>'WetLitterbags placem_collection'!E37</f>
        <v>42765</v>
      </c>
      <c r="U36" s="224">
        <f>IF('WetLitterbags placem_collection'!G37="","",'WetLitterbags placem_collection'!G37)</f>
        <v>42820</v>
      </c>
      <c r="V36" s="225">
        <f t="shared" si="0"/>
        <v>55</v>
      </c>
      <c r="W36" s="223">
        <f t="shared" si="3"/>
        <v>1.1788000000000003</v>
      </c>
      <c r="X36" s="223">
        <f t="shared" si="4"/>
        <v>1.2008970621250152</v>
      </c>
      <c r="Y36">
        <f>IFERROR(INDEX(Rainfall_Wet!$O$2:$O$217,MATCH(B36, Rainfall_Wet!$A$2:$A$217,0)),"")</f>
        <v>228.324359195</v>
      </c>
      <c r="Z36" s="228">
        <v>23.96</v>
      </c>
      <c r="AA36" s="228">
        <v>0.91999999999999804</v>
      </c>
      <c r="AB36" s="228">
        <v>75.12</v>
      </c>
      <c r="AC36" s="229" t="s">
        <v>2654</v>
      </c>
      <c r="AD36" s="228">
        <v>1.2493839329719072</v>
      </c>
      <c r="AE36">
        <f>IF('WetLitterbags placem_collection'!AB37="","",'WetLitterbags placem_collection'!AB37)</f>
        <v>0.7</v>
      </c>
      <c r="AF36">
        <f>IF('WetLitterbags placem_collection'!Z37="","",'WetLitterbags placem_collection'!Z37)</f>
        <v>10.6</v>
      </c>
      <c r="AG36" s="243" t="str">
        <f>IF('WetLitterbags placem_collection'!AA37="","",'WetLitterbags placem_collection'!AA37)</f>
        <v>G</v>
      </c>
      <c r="AH36">
        <f>IF('WetLitterbags placem_collection'!AC37="","",'WetLitterbags placem_collection'!AC37)</f>
        <v>0</v>
      </c>
      <c r="AI36" s="237">
        <f>AVERAGE('WetLitterbags placem_collection'!S37,'WetLitterbags placem_collection'!U37)</f>
        <v>10.9</v>
      </c>
      <c r="AJ36">
        <f>AVERAGE('WetLitterbags placem_collection'!R37,'WetLitterbags placem_collection'!T37)</f>
        <v>24.45</v>
      </c>
      <c r="AK36">
        <f>INDEX(Coordinates!$B$2:$B$197,MATCH(H36,Coordinates!$J$2:$J$197,0))</f>
        <v>-3.409177009</v>
      </c>
      <c r="AL36">
        <f>INDEX(Coordinates!$C$2:$C$197,MATCH(H36,Coordinates!$J$2:$J$197,0))</f>
        <v>34.852818990000003</v>
      </c>
      <c r="AM36" t="str">
        <f>IF(ISNUMBER(SEARCH("C", 'WetLitterbags placem_collection'!$V37)),"YES","NO")</f>
        <v>NO</v>
      </c>
      <c r="AN36" t="str">
        <f>IF(ISNUMBER(SEARCH("H", 'WetLitterbags placem_collection'!$V37)),"YES","NO")</f>
        <v>NO</v>
      </c>
      <c r="AO36" t="str">
        <f>IF(ISNUMBER(SEARCH("R", 'WetLitterbags placem_collection'!$V37)),"YES","NO")</f>
        <v>NO</v>
      </c>
    </row>
    <row r="37" spans="1:41">
      <c r="A37" s="255" t="s">
        <v>2454</v>
      </c>
      <c r="B37" s="260">
        <f>'Dry_Litterbag Placem_Collection'!A38</f>
        <v>36</v>
      </c>
      <c r="C37" s="260" t="str">
        <f>'Dry_Litterbag Placem_Collection'!B38</f>
        <v>Makao</v>
      </c>
      <c r="D37" s="260" t="s">
        <v>2643</v>
      </c>
      <c r="E37" s="260" t="s">
        <v>20</v>
      </c>
      <c r="F37" s="260">
        <v>1</v>
      </c>
      <c r="G37" s="260" t="s">
        <v>3805</v>
      </c>
      <c r="H37" s="261" t="str">
        <f>'Dry_Litterbag Placem_Collection'!C38</f>
        <v>Dry_P1_T4</v>
      </c>
      <c r="I37" s="262" t="s">
        <v>2525</v>
      </c>
      <c r="J37" s="263" t="s">
        <v>1147</v>
      </c>
      <c r="K37" s="221" t="str">
        <f>'WetLitterbags placem_collection'!K38</f>
        <v>G507</v>
      </c>
      <c r="L37" s="223">
        <f>IFERROR(INDEX('Green_rooibos initial weight'!$C$5:$C$2000,MATCH(K37, 'Green_rooibos initial weight'!$A$5:$A$2000,0)),"")</f>
        <v>1.99</v>
      </c>
      <c r="M37" s="223">
        <f>IFERROR(L37-(TBIcalc!$H$9+TBIcalc!$H$10),"")</f>
        <v>1.7402</v>
      </c>
      <c r="N37" s="385">
        <f>AVERAGE(Ashed_controlls!$K$2:$K$11)</f>
        <v>5.5147656768714146</v>
      </c>
      <c r="O37" s="223">
        <f t="shared" si="1"/>
        <v>1.6442320476910837</v>
      </c>
      <c r="P37" s="223">
        <f>IFERROR(INDEX('Both teabags AfterWet'!$C$3:$C$840,MATCH(K37,'Both teabags AfterWet'!$A$3:$A$840,0)),"")</f>
        <v>0.68100000000000005</v>
      </c>
      <c r="Q37" s="223">
        <f>IFERROR(IF(P37&gt;0,P37-(TBIcalc!$H$9),""),"")</f>
        <v>0.53039999999999998</v>
      </c>
      <c r="R37" s="223">
        <f>IFERROR(INDEX('Ashed teabags wet'!$K$2:$K$2000,MATCH(K37,'Ashed teabags wet'!$A$2:$A$2000,0)),"")</f>
        <v>8.3009708737862624</v>
      </c>
      <c r="S37" s="223">
        <f t="shared" si="2"/>
        <v>0.48637165048543762</v>
      </c>
      <c r="T37" s="224">
        <f>'WetLitterbags placem_collection'!E38</f>
        <v>42765</v>
      </c>
      <c r="U37" s="224">
        <f>IF('WetLitterbags placem_collection'!G38="","",'WetLitterbags placem_collection'!G38)</f>
        <v>42820</v>
      </c>
      <c r="V37" s="225">
        <f t="shared" si="0"/>
        <v>55</v>
      </c>
      <c r="W37" s="223">
        <f t="shared" si="3"/>
        <v>1.2098</v>
      </c>
      <c r="X37" s="223">
        <f t="shared" si="4"/>
        <v>1.157860397205646</v>
      </c>
      <c r="Y37">
        <f>IFERROR(INDEX(Rainfall_Wet!$O$2:$O$217,MATCH(B37, Rainfall_Wet!$A$2:$A$217,0)),"")</f>
        <v>228.324359195</v>
      </c>
      <c r="Z37" s="228">
        <v>23.96</v>
      </c>
      <c r="AA37" s="228">
        <v>0.91999999999999804</v>
      </c>
      <c r="AB37" s="228">
        <v>75.12</v>
      </c>
      <c r="AC37" s="229" t="s">
        <v>2654</v>
      </c>
      <c r="AD37" s="228">
        <v>1.2493839329719072</v>
      </c>
      <c r="AE37">
        <f>IF('WetLitterbags placem_collection'!AB38="","",'WetLitterbags placem_collection'!AB38)</f>
        <v>3.3</v>
      </c>
      <c r="AF37">
        <f>IF('WetLitterbags placem_collection'!Z38="","",'WetLitterbags placem_collection'!Z38)</f>
        <v>4.9000000000000004</v>
      </c>
      <c r="AG37" s="243" t="str">
        <f>IF('WetLitterbags placem_collection'!AA38="","",'WetLitterbags placem_collection'!AA38)</f>
        <v>G</v>
      </c>
      <c r="AH37">
        <f>IF('WetLitterbags placem_collection'!AC38="","",'WetLitterbags placem_collection'!AC38)</f>
        <v>1</v>
      </c>
      <c r="AI37" s="237">
        <f>AVERAGE('WetLitterbags placem_collection'!S38,'WetLitterbags placem_collection'!U38)</f>
        <v>14.1</v>
      </c>
      <c r="AJ37">
        <f>AVERAGE('WetLitterbags placem_collection'!R38,'WetLitterbags placem_collection'!T38)</f>
        <v>24.75</v>
      </c>
      <c r="AK37">
        <f>INDEX(Coordinates!$B$2:$B$197,MATCH(H37,Coordinates!$J$2:$J$197,0))</f>
        <v>-3.40917198</v>
      </c>
      <c r="AL37">
        <f>INDEX(Coordinates!$C$2:$C$197,MATCH(H37,Coordinates!$J$2:$J$197,0))</f>
        <v>34.852960979999999</v>
      </c>
      <c r="AM37" t="str">
        <f>IF(ISNUMBER(SEARCH("C", 'WetLitterbags placem_collection'!$V38)),"YES","NO")</f>
        <v>NO</v>
      </c>
      <c r="AN37" t="str">
        <f>IF(ISNUMBER(SEARCH("H", 'WetLitterbags placem_collection'!$V38)),"YES","NO")</f>
        <v>NO</v>
      </c>
      <c r="AO37" t="str">
        <f>IF(ISNUMBER(SEARCH("R", 'WetLitterbags placem_collection'!$V38)),"YES","NO")</f>
        <v>YES</v>
      </c>
    </row>
    <row r="38" spans="1:41">
      <c r="A38" s="255" t="s">
        <v>2454</v>
      </c>
      <c r="B38" s="260">
        <f>'Dry_Litterbag Placem_Collection'!A39</f>
        <v>37</v>
      </c>
      <c r="C38" s="260" t="str">
        <f>'Dry_Litterbag Placem_Collection'!B39</f>
        <v>Makao</v>
      </c>
      <c r="D38" s="260" t="s">
        <v>2643</v>
      </c>
      <c r="E38" s="260" t="s">
        <v>20</v>
      </c>
      <c r="F38" s="260">
        <v>1</v>
      </c>
      <c r="G38" s="260" t="s">
        <v>3805</v>
      </c>
      <c r="H38" s="261" t="str">
        <f>'Dry_Litterbag Placem_Collection'!C39</f>
        <v>Dry_P1_T5</v>
      </c>
      <c r="I38" s="262" t="s">
        <v>2525</v>
      </c>
      <c r="J38" s="263" t="s">
        <v>1147</v>
      </c>
      <c r="K38" s="221" t="str">
        <f>'WetLitterbags placem_collection'!K39</f>
        <v>G359</v>
      </c>
      <c r="L38" s="223">
        <f>IFERROR(INDEX('Green_rooibos initial weight'!$C$5:$C$2000,MATCH(K38, 'Green_rooibos initial weight'!$A$5:$A$2000,0)),"")</f>
        <v>1.9790000000000001</v>
      </c>
      <c r="M38" s="223">
        <f>IFERROR(L38-(TBIcalc!$H$9+TBIcalc!$H$10),"")</f>
        <v>1.7292000000000001</v>
      </c>
      <c r="N38" s="385">
        <f>AVERAGE(Ashed_controlls!$K$2:$K$11)</f>
        <v>5.5147656768714146</v>
      </c>
      <c r="O38" s="223">
        <f t="shared" si="1"/>
        <v>1.6338386719155396</v>
      </c>
      <c r="P38" s="223">
        <f>IFERROR(INDEX('Both teabags AfterWet'!$C$3:$C$840,MATCH(K38,'Both teabags AfterWet'!$A$3:$A$840,0)),"")</f>
        <v>0.94699999999999995</v>
      </c>
      <c r="Q38" s="223">
        <f>IFERROR(IF(P38&gt;0,P38-(TBIcalc!$H$9),""),"")</f>
        <v>0.7964</v>
      </c>
      <c r="R38" s="223">
        <f>IFERROR(INDEX('Ashed teabags wet'!$K$2:$K$2000,MATCH(K38,'Ashed teabags wet'!$A$2:$A$2000,0)),"")</f>
        <v>25.172074729596577</v>
      </c>
      <c r="S38" s="223">
        <f t="shared" si="2"/>
        <v>0.59592959685349289</v>
      </c>
      <c r="T38" s="224">
        <f>'WetLitterbags placem_collection'!E39</f>
        <v>42765</v>
      </c>
      <c r="U38" s="224">
        <f>IF('WetLitterbags placem_collection'!G39="","",'WetLitterbags placem_collection'!G39)</f>
        <v>42820</v>
      </c>
      <c r="V38" s="225">
        <f t="shared" si="0"/>
        <v>55</v>
      </c>
      <c r="W38" s="223">
        <f t="shared" si="3"/>
        <v>0.93280000000000007</v>
      </c>
      <c r="X38" s="223">
        <f t="shared" si="4"/>
        <v>1.0379090750620468</v>
      </c>
      <c r="Y38">
        <f>IFERROR(INDEX(Rainfall_Wet!$O$2:$O$217,MATCH(B38, Rainfall_Wet!$A$2:$A$217,0)),"")</f>
        <v>228.324359195</v>
      </c>
      <c r="Z38" s="228">
        <v>23.96</v>
      </c>
      <c r="AA38" s="228">
        <v>0.91999999999999804</v>
      </c>
      <c r="AB38" s="228">
        <v>75.12</v>
      </c>
      <c r="AC38" s="229" t="s">
        <v>2654</v>
      </c>
      <c r="AD38" s="228">
        <v>1.2493839329719072</v>
      </c>
      <c r="AE38">
        <f>IF('WetLitterbags placem_collection'!AB39="","",'WetLitterbags placem_collection'!AB39)</f>
        <v>8.3000000000000007</v>
      </c>
      <c r="AF38">
        <f>IF('WetLitterbags placem_collection'!Z39="","",'WetLitterbags placem_collection'!Z39)</f>
        <v>27.8</v>
      </c>
      <c r="AG38" s="243" t="str">
        <f>IF('WetLitterbags placem_collection'!AA39="","",'WetLitterbags placem_collection'!AA39)</f>
        <v>G</v>
      </c>
      <c r="AH38">
        <f>IF('WetLitterbags placem_collection'!AC39="","",'WetLitterbags placem_collection'!AC39)</f>
        <v>0</v>
      </c>
      <c r="AI38" s="237">
        <f>AVERAGE('WetLitterbags placem_collection'!S39,'WetLitterbags placem_collection'!U39)</f>
        <v>19.299999999999997</v>
      </c>
      <c r="AJ38">
        <f>AVERAGE('WetLitterbags placem_collection'!R39,'WetLitterbags placem_collection'!T39)</f>
        <v>24.55</v>
      </c>
      <c r="AK38">
        <f>INDEX(Coordinates!$B$2:$B$197,MATCH(H38,Coordinates!$J$2:$J$197,0))</f>
        <v>-3.4090709779999999</v>
      </c>
      <c r="AL38">
        <f>INDEX(Coordinates!$C$2:$C$197,MATCH(H38,Coordinates!$J$2:$J$197,0))</f>
        <v>34.852712029999999</v>
      </c>
      <c r="AM38" t="str">
        <f>IF(ISNUMBER(SEARCH("C", 'WetLitterbags placem_collection'!$V39)),"YES","NO")</f>
        <v>YES</v>
      </c>
      <c r="AN38" t="str">
        <f>IF(ISNUMBER(SEARCH("H", 'WetLitterbags placem_collection'!$V39)),"YES","NO")</f>
        <v>YES</v>
      </c>
      <c r="AO38" t="str">
        <f>IF(ISNUMBER(SEARCH("R", 'WetLitterbags placem_collection'!$V39)),"YES","NO")</f>
        <v>NO</v>
      </c>
    </row>
    <row r="39" spans="1:41">
      <c r="A39" s="255" t="s">
        <v>2454</v>
      </c>
      <c r="B39" s="260">
        <f>'Dry_Litterbag Placem_Collection'!A40</f>
        <v>38</v>
      </c>
      <c r="C39" s="260" t="str">
        <f>'Dry_Litterbag Placem_Collection'!B40</f>
        <v>Makao</v>
      </c>
      <c r="D39" s="260" t="s">
        <v>2643</v>
      </c>
      <c r="E39" s="260" t="s">
        <v>20</v>
      </c>
      <c r="F39" s="260">
        <v>1</v>
      </c>
      <c r="G39" s="260" t="s">
        <v>3805</v>
      </c>
      <c r="H39" s="261" t="str">
        <f>'Dry_Litterbag Placem_Collection'!C40</f>
        <v>Dry_P1_T6</v>
      </c>
      <c r="I39" s="262" t="s">
        <v>2525</v>
      </c>
      <c r="J39" s="263" t="s">
        <v>1147</v>
      </c>
      <c r="K39" s="221" t="str">
        <f>'WetLitterbags placem_collection'!K40</f>
        <v>G499</v>
      </c>
      <c r="L39" s="223">
        <f>IFERROR(INDEX('Green_rooibos initial weight'!$C$5:$C$2000,MATCH(K39, 'Green_rooibos initial weight'!$A$5:$A$2000,0)),"")</f>
        <v>1.9419999999999999</v>
      </c>
      <c r="M39" s="223">
        <f>IFERROR(L39-(TBIcalc!$H$9+TBIcalc!$H$10),"")</f>
        <v>1.6921999999999999</v>
      </c>
      <c r="N39" s="385">
        <f>AVERAGE(Ashed_controlls!$K$2:$K$11)</f>
        <v>5.5147656768714146</v>
      </c>
      <c r="O39" s="223">
        <f t="shared" si="1"/>
        <v>1.5988791352159819</v>
      </c>
      <c r="P39" s="223">
        <f>IFERROR(INDEX('Both teabags AfterWet'!$C$3:$C$840,MATCH(K39,'Both teabags AfterWet'!$A$3:$A$840,0)),"")</f>
        <v>1.4741</v>
      </c>
      <c r="Q39" s="223">
        <f>IFERROR(IF(P39&gt;0,P39-(TBIcalc!$H$9),""),"")</f>
        <v>1.3234999999999999</v>
      </c>
      <c r="R39" s="223">
        <f>IFERROR(INDEX('Ashed teabags wet'!$K$2:$K$2000,MATCH(K39,'Ashed teabags wet'!$A$2:$A$2000,0)),"")</f>
        <v>18.802992518703331</v>
      </c>
      <c r="S39" s="223">
        <f t="shared" si="2"/>
        <v>1.0746423940149614</v>
      </c>
      <c r="T39" s="224">
        <f>'WetLitterbags placem_collection'!E40</f>
        <v>42765</v>
      </c>
      <c r="U39" s="224">
        <f>IF('WetLitterbags placem_collection'!G40="","",'WetLitterbags placem_collection'!G40)</f>
        <v>42820</v>
      </c>
      <c r="V39" s="225">
        <f t="shared" si="0"/>
        <v>55</v>
      </c>
      <c r="W39" s="223">
        <f t="shared" si="3"/>
        <v>0.36870000000000003</v>
      </c>
      <c r="X39" s="223">
        <f t="shared" si="4"/>
        <v>0.52423674120102048</v>
      </c>
      <c r="Y39">
        <f>IFERROR(INDEX(Rainfall_Wet!$O$2:$O$217,MATCH(B39, Rainfall_Wet!$A$2:$A$217,0)),"")</f>
        <v>228.324359195</v>
      </c>
      <c r="Z39" s="228">
        <v>23.96</v>
      </c>
      <c r="AA39" s="228">
        <v>0.91999999999999804</v>
      </c>
      <c r="AB39" s="228">
        <v>75.12</v>
      </c>
      <c r="AC39" s="229" t="s">
        <v>2654</v>
      </c>
      <c r="AD39" s="228">
        <v>1.2493839329719072</v>
      </c>
      <c r="AE39">
        <f>IF('WetLitterbags placem_collection'!AB40="","",'WetLitterbags placem_collection'!AB40)</f>
        <v>2</v>
      </c>
      <c r="AF39">
        <f>IF('WetLitterbags placem_collection'!Z40="","",'WetLitterbags placem_collection'!Z40)</f>
        <v>20.399999999999999</v>
      </c>
      <c r="AG39" s="243" t="str">
        <f>IF('WetLitterbags placem_collection'!AA40="","",'WetLitterbags placem_collection'!AA40)</f>
        <v>O</v>
      </c>
      <c r="AH39">
        <f>IF('WetLitterbags placem_collection'!AC40="","",'WetLitterbags placem_collection'!AC40)</f>
        <v>0</v>
      </c>
      <c r="AI39" s="237">
        <f>AVERAGE('WetLitterbags placem_collection'!S40,'WetLitterbags placem_collection'!U40)</f>
        <v>20.9</v>
      </c>
      <c r="AJ39">
        <f>AVERAGE('WetLitterbags placem_collection'!R40,'WetLitterbags placem_collection'!T40)</f>
        <v>24.1</v>
      </c>
      <c r="AK39">
        <f>INDEX(Coordinates!$B$2:$B$197,MATCH(H39,Coordinates!$J$2:$J$197,0))</f>
        <v>-3.409280023</v>
      </c>
      <c r="AL39">
        <f>INDEX(Coordinates!$C$2:$C$197,MATCH(H39,Coordinates!$J$2:$J$197,0))</f>
        <v>34.852612960000002</v>
      </c>
      <c r="AM39" t="str">
        <f>IF(ISNUMBER(SEARCH("C", 'WetLitterbags placem_collection'!$V40)),"YES","NO")</f>
        <v>YES</v>
      </c>
      <c r="AN39" t="str">
        <f>IF(ISNUMBER(SEARCH("H", 'WetLitterbags placem_collection'!$V40)),"YES","NO")</f>
        <v>YES</v>
      </c>
      <c r="AO39" t="str">
        <f>IF(ISNUMBER(SEARCH("R", 'WetLitterbags placem_collection'!$V40)),"YES","NO")</f>
        <v>YES</v>
      </c>
    </row>
    <row r="40" spans="1:41">
      <c r="A40" s="255" t="s">
        <v>2454</v>
      </c>
      <c r="B40" s="260">
        <f>'Dry_Litterbag Placem_Collection'!A41</f>
        <v>39</v>
      </c>
      <c r="C40" s="260" t="str">
        <f>'Dry_Litterbag Placem_Collection'!B41</f>
        <v>Makao</v>
      </c>
      <c r="D40" s="260" t="s">
        <v>2643</v>
      </c>
      <c r="E40" s="260" t="s">
        <v>20</v>
      </c>
      <c r="F40" s="260">
        <v>1</v>
      </c>
      <c r="G40" s="260" t="s">
        <v>3805</v>
      </c>
      <c r="H40" s="261" t="str">
        <f>'Dry_Litterbag Placem_Collection'!C41</f>
        <v>Dry_P1_T7</v>
      </c>
      <c r="I40" s="262" t="s">
        <v>2525</v>
      </c>
      <c r="J40" s="263" t="s">
        <v>1147</v>
      </c>
      <c r="K40" s="221" t="str">
        <f>'WetLitterbags placem_collection'!K41</f>
        <v>G214</v>
      </c>
      <c r="L40" s="223">
        <f>IFERROR(INDEX('Green_rooibos initial weight'!$C$5:$C$2000,MATCH(K40, 'Green_rooibos initial weight'!$A$5:$A$2000,0)),"")</f>
        <v>1.9850000000000001</v>
      </c>
      <c r="M40" s="223">
        <f>IFERROR(L40-(TBIcalc!$H$9+TBIcalc!$H$10),"")</f>
        <v>1.7352000000000001</v>
      </c>
      <c r="N40" s="385">
        <f>AVERAGE(Ashed_controlls!$K$2:$K$11)</f>
        <v>5.5147656768714146</v>
      </c>
      <c r="O40" s="223">
        <f t="shared" si="1"/>
        <v>1.6395077859749272</v>
      </c>
      <c r="P40" s="223">
        <f>IFERROR(INDEX('Both teabags AfterWet'!$C$3:$C$840,MATCH(K40,'Both teabags AfterWet'!$A$3:$A$840,0)),"")</f>
        <v>0.8327</v>
      </c>
      <c r="Q40" s="223">
        <f>IFERROR(IF(P40&gt;0,P40-(TBIcalc!$H$9),""),"")</f>
        <v>0.68209999999999993</v>
      </c>
      <c r="R40" s="223">
        <f>IFERROR(INDEX('Ashed teabags wet'!$K$2:$K$2000,MATCH(K40,'Ashed teabags wet'!$A$2:$A$2000,0)),"")</f>
        <v>9.9461048505627083</v>
      </c>
      <c r="S40" s="223">
        <f t="shared" si="2"/>
        <v>0.61425761881431173</v>
      </c>
      <c r="T40" s="224">
        <f>'WetLitterbags placem_collection'!E41</f>
        <v>42765</v>
      </c>
      <c r="U40" s="224">
        <f>IF('WetLitterbags placem_collection'!G41="","",'WetLitterbags placem_collection'!G41)</f>
        <v>42820</v>
      </c>
      <c r="V40" s="225">
        <f t="shared" si="0"/>
        <v>55</v>
      </c>
      <c r="W40" s="223">
        <f t="shared" si="3"/>
        <v>1.0531000000000001</v>
      </c>
      <c r="X40" s="223">
        <f t="shared" si="4"/>
        <v>1.0252501671606153</v>
      </c>
      <c r="Y40">
        <f>IFERROR(INDEX(Rainfall_Wet!$O$2:$O$217,MATCH(B40, Rainfall_Wet!$A$2:$A$217,0)),"")</f>
        <v>228.324359195</v>
      </c>
      <c r="Z40" s="228">
        <v>23.96</v>
      </c>
      <c r="AA40" s="228">
        <v>0.91999999999999804</v>
      </c>
      <c r="AB40" s="228">
        <v>75.12</v>
      </c>
      <c r="AC40" s="229" t="s">
        <v>2654</v>
      </c>
      <c r="AD40" s="228">
        <v>1.2493839329719072</v>
      </c>
      <c r="AE40">
        <f>IF('WetLitterbags placem_collection'!AB41="","",'WetLitterbags placem_collection'!AB41)</f>
        <v>2.4</v>
      </c>
      <c r="AF40">
        <f>IF('WetLitterbags placem_collection'!Z41="","",'WetLitterbags placem_collection'!Z41)</f>
        <v>18</v>
      </c>
      <c r="AG40" s="243" t="str">
        <f>IF('WetLitterbags placem_collection'!AA41="","",'WetLitterbags placem_collection'!AA41)</f>
        <v>G</v>
      </c>
      <c r="AH40">
        <f>IF('WetLitterbags placem_collection'!AC41="","",'WetLitterbags placem_collection'!AC41)</f>
        <v>1</v>
      </c>
      <c r="AI40" s="237">
        <f>AVERAGE('WetLitterbags placem_collection'!S41,'WetLitterbags placem_collection'!U41)</f>
        <v>26.9</v>
      </c>
      <c r="AJ40">
        <f>AVERAGE('WetLitterbags placem_collection'!R41,'WetLitterbags placem_collection'!T41)</f>
        <v>23.299999999999997</v>
      </c>
      <c r="AK40">
        <f>INDEX(Coordinates!$B$2:$B$197,MATCH(H40,Coordinates!$J$2:$J$197,0))</f>
        <v>-3.4093859700000002</v>
      </c>
      <c r="AL40">
        <f>INDEX(Coordinates!$C$2:$C$197,MATCH(H40,Coordinates!$J$2:$J$197,0))</f>
        <v>34.852855030000001</v>
      </c>
      <c r="AM40" t="str">
        <f>IF(ISNUMBER(SEARCH("C", 'WetLitterbags placem_collection'!$V41)),"YES","NO")</f>
        <v>NO</v>
      </c>
      <c r="AN40" t="str">
        <f>IF(ISNUMBER(SEARCH("H", 'WetLitterbags placem_collection'!$V41)),"YES","NO")</f>
        <v>NO</v>
      </c>
      <c r="AO40" t="str">
        <f>IF(ISNUMBER(SEARCH("R", 'WetLitterbags placem_collection'!$V41)),"YES","NO")</f>
        <v>YES</v>
      </c>
    </row>
    <row r="41" spans="1:41">
      <c r="A41" s="255" t="s">
        <v>2454</v>
      </c>
      <c r="B41" s="260">
        <f>'Dry_Litterbag Placem_Collection'!A42</f>
        <v>40</v>
      </c>
      <c r="C41" s="260" t="str">
        <f>'Dry_Litterbag Placem_Collection'!B42</f>
        <v>Makao</v>
      </c>
      <c r="D41" s="260" t="s">
        <v>2643</v>
      </c>
      <c r="E41" s="260" t="s">
        <v>20</v>
      </c>
      <c r="F41" s="260">
        <v>1</v>
      </c>
      <c r="G41" s="260" t="s">
        <v>3805</v>
      </c>
      <c r="H41" s="261" t="str">
        <f>'Dry_Litterbag Placem_Collection'!C42</f>
        <v>Dry_P1_T8</v>
      </c>
      <c r="I41" s="262" t="s">
        <v>2525</v>
      </c>
      <c r="J41" s="263" t="s">
        <v>1147</v>
      </c>
      <c r="K41" s="221" t="str">
        <f>'WetLitterbags placem_collection'!K42</f>
        <v>G582</v>
      </c>
      <c r="L41" s="223">
        <f>IFERROR(INDEX('Green_rooibos initial weight'!$C$5:$C$2000,MATCH(K41, 'Green_rooibos initial weight'!$A$5:$A$2000,0)),"")</f>
        <v>2.0219999999999998</v>
      </c>
      <c r="M41" s="223">
        <f>IFERROR(L41-(TBIcalc!$H$9+TBIcalc!$H$10),"")</f>
        <v>1.7721999999999998</v>
      </c>
      <c r="N41" s="385">
        <f>AVERAGE(Ashed_controlls!$K$2:$K$11)</f>
        <v>5.5147656768714146</v>
      </c>
      <c r="O41" s="223">
        <f t="shared" si="1"/>
        <v>1.6744673226744846</v>
      </c>
      <c r="P41" s="223">
        <f>IFERROR(INDEX('Both teabags AfterWet'!$C$3:$C$840,MATCH(K41,'Both teabags AfterWet'!$A$3:$A$840,0)),"")</f>
        <v>0.89800000000000002</v>
      </c>
      <c r="Q41" s="223">
        <f>IFERROR(IF(P41&gt;0,P41-(TBIcalc!$H$9),""),"")</f>
        <v>0.74740000000000006</v>
      </c>
      <c r="R41" s="223">
        <f>IFERROR(INDEX('Ashed teabags wet'!$K$2:$K$2000,MATCH(K41,'Ashed teabags wet'!$A$2:$A$2000,0)),"")</f>
        <v>16.507777220271233</v>
      </c>
      <c r="S41" s="223">
        <f t="shared" si="2"/>
        <v>0.62402087305569287</v>
      </c>
      <c r="T41" s="224">
        <f>'WetLitterbags placem_collection'!E42</f>
        <v>42765</v>
      </c>
      <c r="U41" s="224">
        <f>IF('WetLitterbags placem_collection'!G42="","",'WetLitterbags placem_collection'!G42)</f>
        <v>42820</v>
      </c>
      <c r="V41" s="225">
        <f t="shared" si="0"/>
        <v>55</v>
      </c>
      <c r="W41" s="223">
        <f t="shared" si="3"/>
        <v>1.0247999999999997</v>
      </c>
      <c r="X41" s="223">
        <f t="shared" si="4"/>
        <v>1.0504464496187917</v>
      </c>
      <c r="Y41">
        <f>IFERROR(INDEX(Rainfall_Wet!$O$2:$O$217,MATCH(B41, Rainfall_Wet!$A$2:$A$217,0)),"")</f>
        <v>228.324359195</v>
      </c>
      <c r="Z41" s="228">
        <v>23.96</v>
      </c>
      <c r="AA41" s="228">
        <v>0.91999999999999804</v>
      </c>
      <c r="AB41" s="228">
        <v>75.12</v>
      </c>
      <c r="AC41" s="229" t="s">
        <v>2654</v>
      </c>
      <c r="AD41" s="228">
        <v>1.2493839329719072</v>
      </c>
      <c r="AE41">
        <f>IF('WetLitterbags placem_collection'!AB42="","",'WetLitterbags placem_collection'!AB42)</f>
        <v>8.6999999999999993</v>
      </c>
      <c r="AF41">
        <f>IF('WetLitterbags placem_collection'!Z42="","",'WetLitterbags placem_collection'!Z42)</f>
        <v>19.3</v>
      </c>
      <c r="AG41" s="243" t="str">
        <f>IF('WetLitterbags placem_collection'!AA42="","",'WetLitterbags placem_collection'!AA42)</f>
        <v>G</v>
      </c>
      <c r="AH41">
        <f>IF('WetLitterbags placem_collection'!AC42="","",'WetLitterbags placem_collection'!AC42)</f>
        <v>0</v>
      </c>
      <c r="AI41" s="237">
        <f>AVERAGE('WetLitterbags placem_collection'!S42,'WetLitterbags placem_collection'!U42)</f>
        <v>31.9</v>
      </c>
      <c r="AJ41">
        <f>AVERAGE('WetLitterbags placem_collection'!R42,'WetLitterbags placem_collection'!T42)</f>
        <v>23.9</v>
      </c>
      <c r="AK41">
        <f>INDEX(Coordinates!$B$2:$B$197,MATCH(H41,Coordinates!$J$2:$J$197,0))</f>
        <v>-3.4091539590000002</v>
      </c>
      <c r="AL41">
        <f>INDEX(Coordinates!$C$2:$C$197,MATCH(H41,Coordinates!$J$2:$J$197,0))</f>
        <v>34.852755029999997</v>
      </c>
      <c r="AM41" t="str">
        <f>IF(ISNUMBER(SEARCH("C", 'WetLitterbags placem_collection'!$V42)),"YES","NO")</f>
        <v>NO</v>
      </c>
      <c r="AN41" t="str">
        <f>IF(ISNUMBER(SEARCH("H", 'WetLitterbags placem_collection'!$V42)),"YES","NO")</f>
        <v>YES</v>
      </c>
      <c r="AO41" t="str">
        <f>IF(ISNUMBER(SEARCH("R", 'WetLitterbags placem_collection'!$V42)),"YES","NO")</f>
        <v>NO</v>
      </c>
    </row>
    <row r="42" spans="1:41">
      <c r="A42" s="255" t="s">
        <v>2454</v>
      </c>
      <c r="B42" s="260">
        <f>'Dry_Litterbag Placem_Collection'!A43</f>
        <v>41</v>
      </c>
      <c r="C42" s="260" t="str">
        <f>'Dry_Litterbag Placem_Collection'!B43</f>
        <v>Makao</v>
      </c>
      <c r="D42" s="260" t="s">
        <v>2643</v>
      </c>
      <c r="E42" s="260" t="s">
        <v>20</v>
      </c>
      <c r="F42" s="260">
        <v>2</v>
      </c>
      <c r="G42" s="260" t="s">
        <v>3807</v>
      </c>
      <c r="H42" s="261" t="str">
        <f>'Dry_Litterbag Placem_Collection'!C43</f>
        <v>Dry_P2_T1</v>
      </c>
      <c r="I42" s="262" t="s">
        <v>2525</v>
      </c>
      <c r="J42" s="263" t="s">
        <v>1147</v>
      </c>
      <c r="K42" s="221" t="str">
        <f>'WetLitterbags placem_collection'!K43</f>
        <v>G453</v>
      </c>
      <c r="L42" s="223">
        <f>IFERROR(INDEX('Green_rooibos initial weight'!$C$5:$C$2000,MATCH(K42, 'Green_rooibos initial weight'!$A$5:$A$2000,0)),"")</f>
        <v>2.0790000000000002</v>
      </c>
      <c r="M42" s="223">
        <f>IFERROR(L42-(TBIcalc!$H$9+TBIcalc!$H$10),"")</f>
        <v>1.8292000000000002</v>
      </c>
      <c r="N42" s="385">
        <f>AVERAGE(Ashed_controlls!$K$2:$K$11)</f>
        <v>5.5147656768714146</v>
      </c>
      <c r="O42" s="223">
        <f t="shared" si="1"/>
        <v>1.7283239062386682</v>
      </c>
      <c r="P42" s="223">
        <f>IFERROR(INDEX('Both teabags AfterWet'!$C$3:$C$840,MATCH(K42,'Both teabags AfterWet'!$A$3:$A$840,0)),"")</f>
        <v>1.0509999999999999</v>
      </c>
      <c r="Q42" s="223">
        <f>IFERROR(IF(P42&gt;0,P42-(TBIcalc!$H$9),""),"")</f>
        <v>0.90039999999999987</v>
      </c>
      <c r="R42" s="223">
        <f>IFERROR(INDEX('Ashed teabags wet'!$K$2:$K$2000,MATCH(K42,'Ashed teabags wet'!$A$2:$A$2000,0)),"")</f>
        <v>20.029673590504579</v>
      </c>
      <c r="S42" s="223">
        <f t="shared" si="2"/>
        <v>0.72005281899109663</v>
      </c>
      <c r="T42" s="224">
        <f>'WetLitterbags placem_collection'!E43</f>
        <v>42766</v>
      </c>
      <c r="U42" s="224">
        <f>IF('WetLitterbags placem_collection'!G43="","",'WetLitterbags placem_collection'!G43)</f>
        <v>42820</v>
      </c>
      <c r="V42" s="225">
        <f t="shared" si="0"/>
        <v>54</v>
      </c>
      <c r="W42" s="223">
        <f t="shared" si="3"/>
        <v>0.92880000000000029</v>
      </c>
      <c r="X42" s="223">
        <f t="shared" si="4"/>
        <v>1.0082710872475715</v>
      </c>
      <c r="Y42">
        <f>IFERROR(INDEX(Rainfall_Wet!$O$2:$O$217,MATCH(B42, Rainfall_Wet!$A$2:$A$217,0)),"")</f>
        <v>214.262898705</v>
      </c>
      <c r="Z42" s="228">
        <v>19.96</v>
      </c>
      <c r="AA42" s="228">
        <v>4.9199999999999982</v>
      </c>
      <c r="AB42" s="228">
        <v>75.12</v>
      </c>
      <c r="AC42" s="229" t="s">
        <v>2655</v>
      </c>
      <c r="AD42" s="228">
        <v>1.641498275012321</v>
      </c>
      <c r="AE42">
        <f>IF('WetLitterbags placem_collection'!AB43="","",'WetLitterbags placem_collection'!AB43)</f>
        <v>4</v>
      </c>
      <c r="AF42">
        <f>IF('WetLitterbags placem_collection'!Z43="","",'WetLitterbags placem_collection'!Z43)</f>
        <v>19.100000000000001</v>
      </c>
      <c r="AG42" s="243" t="str">
        <f>IF('WetLitterbags placem_collection'!AA43="","",'WetLitterbags placem_collection'!AA43)</f>
        <v>G</v>
      </c>
      <c r="AH42">
        <f>IF('WetLitterbags placem_collection'!AC43="","",'WetLitterbags placem_collection'!AC43)</f>
        <v>0</v>
      </c>
      <c r="AI42" s="237">
        <f>AVERAGE('WetLitterbags placem_collection'!S43,'WetLitterbags placem_collection'!U43)</f>
        <v>21.9</v>
      </c>
      <c r="AJ42">
        <f>AVERAGE('WetLitterbags placem_collection'!R43,'WetLitterbags placem_collection'!T43)</f>
        <v>24.5</v>
      </c>
      <c r="AK42">
        <f>INDEX(Coordinates!$B$2:$B$197,MATCH(H42,Coordinates!$J$2:$J$197,0))</f>
        <v>-3.4083420040000001</v>
      </c>
      <c r="AL42">
        <f>INDEX(Coordinates!$C$2:$C$197,MATCH(H42,Coordinates!$J$2:$J$197,0))</f>
        <v>34.850283040000001</v>
      </c>
      <c r="AM42" t="str">
        <f>IF(ISNUMBER(SEARCH("C", 'WetLitterbags placem_collection'!$V43)),"YES","NO")</f>
        <v>NO</v>
      </c>
      <c r="AN42" t="str">
        <f>IF(ISNUMBER(SEARCH("H", 'WetLitterbags placem_collection'!$V43)),"YES","NO")</f>
        <v>YES</v>
      </c>
      <c r="AO42" t="str">
        <f>IF(ISNUMBER(SEARCH("R", 'WetLitterbags placem_collection'!$V43)),"YES","NO")</f>
        <v>YES</v>
      </c>
    </row>
    <row r="43" spans="1:41">
      <c r="A43" s="255" t="s">
        <v>2454</v>
      </c>
      <c r="B43" s="260">
        <f>'Dry_Litterbag Placem_Collection'!A44</f>
        <v>42</v>
      </c>
      <c r="C43" s="260" t="str">
        <f>'Dry_Litterbag Placem_Collection'!B44</f>
        <v>Makao</v>
      </c>
      <c r="D43" s="260" t="s">
        <v>2643</v>
      </c>
      <c r="E43" s="260" t="s">
        <v>20</v>
      </c>
      <c r="F43" s="260">
        <v>2</v>
      </c>
      <c r="G43" s="260" t="s">
        <v>3807</v>
      </c>
      <c r="H43" s="261" t="str">
        <f>'Dry_Litterbag Placem_Collection'!C44</f>
        <v>Dry_P2_T2</v>
      </c>
      <c r="I43" s="262" t="s">
        <v>2525</v>
      </c>
      <c r="J43" s="263" t="s">
        <v>1147</v>
      </c>
      <c r="K43" s="221" t="str">
        <f>'WetLitterbags placem_collection'!K44</f>
        <v>G764</v>
      </c>
      <c r="L43" s="223">
        <f>IFERROR(INDEX('Green_rooibos initial weight'!$C$5:$C$2000,MATCH(K43, 'Green_rooibos initial weight'!$A$5:$A$2000,0)),"")</f>
        <v>1.9510000000000001</v>
      </c>
      <c r="M43" s="223">
        <f>IFERROR(L43-(TBIcalc!$H$9+TBIcalc!$H$10),"")</f>
        <v>1.7012</v>
      </c>
      <c r="N43" s="385">
        <f>AVERAGE(Ashed_controlls!$K$2:$K$11)</f>
        <v>5.5147656768714146</v>
      </c>
      <c r="O43" s="223">
        <f t="shared" si="1"/>
        <v>1.6073828063050635</v>
      </c>
      <c r="P43" s="223">
        <f>IFERROR(INDEX('Both teabags AfterWet'!$C$3:$C$840,MATCH(K43,'Both teabags AfterWet'!$A$3:$A$840,0)),"")</f>
        <v>0.72199999999999998</v>
      </c>
      <c r="Q43" s="223">
        <f>IFERROR(IF(P43&gt;0,P43-(TBIcalc!$H$9),""),"")</f>
        <v>0.57139999999999991</v>
      </c>
      <c r="R43" s="223">
        <f>IFERROR(INDEX('Ashed teabags wet'!$K$2:$K$2000,MATCH(K43,'Ashed teabags wet'!$A$2:$A$2000,0)),"")</f>
        <v>14.236790606653615</v>
      </c>
      <c r="S43" s="223">
        <f t="shared" si="2"/>
        <v>0.49005097847358114</v>
      </c>
      <c r="T43" s="224">
        <f>'WetLitterbags placem_collection'!E44</f>
        <v>42766</v>
      </c>
      <c r="U43" s="224">
        <f>IF('WetLitterbags placem_collection'!G44="","",'WetLitterbags placem_collection'!G44)</f>
        <v>42820</v>
      </c>
      <c r="V43" s="225">
        <f t="shared" si="0"/>
        <v>54</v>
      </c>
      <c r="W43" s="223">
        <f t="shared" si="3"/>
        <v>1.1298000000000001</v>
      </c>
      <c r="X43" s="223">
        <f t="shared" si="4"/>
        <v>1.1173318278314823</v>
      </c>
      <c r="Y43">
        <f>IFERROR(INDEX(Rainfall_Wet!$O$2:$O$217,MATCH(B43, Rainfall_Wet!$A$2:$A$217,0)),"")</f>
        <v>214.262898705</v>
      </c>
      <c r="Z43" s="228">
        <v>19.96</v>
      </c>
      <c r="AA43" s="228">
        <v>4.9199999999999982</v>
      </c>
      <c r="AB43" s="228">
        <v>75.12</v>
      </c>
      <c r="AC43" s="229" t="s">
        <v>2655</v>
      </c>
      <c r="AD43" s="228">
        <v>1.641498275012321</v>
      </c>
      <c r="AE43">
        <f>IF('WetLitterbags placem_collection'!AB44="","",'WetLitterbags placem_collection'!AB44)</f>
        <v>5.9</v>
      </c>
      <c r="AF43">
        <f>IF('WetLitterbags placem_collection'!Z44="","",'WetLitterbags placem_collection'!Z44)</f>
        <v>12.7</v>
      </c>
      <c r="AG43" s="243" t="str">
        <f>IF('WetLitterbags placem_collection'!AA44="","",'WetLitterbags placem_collection'!AA44)</f>
        <v>G</v>
      </c>
      <c r="AH43">
        <f>IF('WetLitterbags placem_collection'!AC44="","",'WetLitterbags placem_collection'!AC44)</f>
        <v>0</v>
      </c>
      <c r="AI43" s="237">
        <f>AVERAGE('WetLitterbags placem_collection'!S44,'WetLitterbags placem_collection'!U44)</f>
        <v>19</v>
      </c>
      <c r="AJ43">
        <f>AVERAGE('WetLitterbags placem_collection'!R44,'WetLitterbags placem_collection'!T44)</f>
        <v>22.950000000000003</v>
      </c>
      <c r="AK43">
        <f>INDEX(Coordinates!$B$2:$B$197,MATCH(H43,Coordinates!$J$2:$J$197,0))</f>
        <v>-3.4084079690000002</v>
      </c>
      <c r="AL43">
        <f>INDEX(Coordinates!$C$2:$C$197,MATCH(H43,Coordinates!$J$2:$J$197,0))</f>
        <v>34.850295029999998</v>
      </c>
      <c r="AM43" t="str">
        <f>IF(ISNUMBER(SEARCH("C", 'WetLitterbags placem_collection'!$V44)),"YES","NO")</f>
        <v>NO</v>
      </c>
      <c r="AN43" t="str">
        <f>IF(ISNUMBER(SEARCH("H", 'WetLitterbags placem_collection'!$V44)),"YES","NO")</f>
        <v>YES</v>
      </c>
      <c r="AO43" t="str">
        <f>IF(ISNUMBER(SEARCH("R", 'WetLitterbags placem_collection'!$V44)),"YES","NO")</f>
        <v>NO</v>
      </c>
    </row>
    <row r="44" spans="1:41">
      <c r="A44" s="255" t="s">
        <v>2454</v>
      </c>
      <c r="B44" s="260">
        <f>'Dry_Litterbag Placem_Collection'!A45</f>
        <v>43</v>
      </c>
      <c r="C44" s="260" t="str">
        <f>'Dry_Litterbag Placem_Collection'!B45</f>
        <v>Makao</v>
      </c>
      <c r="D44" s="260" t="s">
        <v>2643</v>
      </c>
      <c r="E44" s="260" t="s">
        <v>20</v>
      </c>
      <c r="F44" s="260">
        <v>2</v>
      </c>
      <c r="G44" s="260" t="s">
        <v>3807</v>
      </c>
      <c r="H44" s="261" t="str">
        <f>'Dry_Litterbag Placem_Collection'!C45</f>
        <v>Dry_P2_T3</v>
      </c>
      <c r="I44" s="262" t="s">
        <v>2525</v>
      </c>
      <c r="J44" s="263" t="s">
        <v>1147</v>
      </c>
      <c r="K44" s="221" t="str">
        <f>'WetLitterbags placem_collection'!K45</f>
        <v>G690</v>
      </c>
      <c r="L44" s="223">
        <f>IFERROR(INDEX('Green_rooibos initial weight'!$C$5:$C$2000,MATCH(K44, 'Green_rooibos initial weight'!$A$5:$A$2000,0)),"")</f>
        <v>2.0739999999999998</v>
      </c>
      <c r="M44" s="223">
        <f>IFERROR(L44-(TBIcalc!$H$9+TBIcalc!$H$10),"")</f>
        <v>1.8241999999999998</v>
      </c>
      <c r="N44" s="385">
        <f>AVERAGE(Ashed_controlls!$K$2:$K$11)</f>
        <v>5.5147656768714146</v>
      </c>
      <c r="O44" s="223">
        <f t="shared" si="1"/>
        <v>1.7235996445225115</v>
      </c>
      <c r="P44" s="223">
        <f>IFERROR(INDEX('Both teabags AfterWet'!$C$3:$C$840,MATCH(K44,'Both teabags AfterWet'!$A$3:$A$840,0)),"")</f>
        <v>0.71519999999999995</v>
      </c>
      <c r="Q44" s="223">
        <f>IFERROR(IF(P44&gt;0,P44-(TBIcalc!$H$9),""),"")</f>
        <v>0.56459999999999999</v>
      </c>
      <c r="R44" s="223">
        <f>IFERROR(INDEX('Ashed teabags wet'!$K$2:$K$2000,MATCH(K44,'Ashed teabags wet'!$A$2:$A$2000,0)),"")</f>
        <v>10.60532687651348</v>
      </c>
      <c r="S44" s="223">
        <f t="shared" si="2"/>
        <v>0.50472232445520493</v>
      </c>
      <c r="T44" s="224">
        <f>'WetLitterbags placem_collection'!E45</f>
        <v>42766</v>
      </c>
      <c r="U44" s="224">
        <f>IF('WetLitterbags placem_collection'!G45="","",'WetLitterbags placem_collection'!G45)</f>
        <v>42820</v>
      </c>
      <c r="V44" s="225">
        <f t="shared" si="0"/>
        <v>54</v>
      </c>
      <c r="W44" s="223">
        <f t="shared" si="3"/>
        <v>1.2595999999999998</v>
      </c>
      <c r="X44" s="223">
        <f t="shared" si="4"/>
        <v>1.2188773200673064</v>
      </c>
      <c r="Y44">
        <f>IFERROR(INDEX(Rainfall_Wet!$O$2:$O$217,MATCH(B44, Rainfall_Wet!$A$2:$A$217,0)),"")</f>
        <v>214.262898705</v>
      </c>
      <c r="Z44" s="228">
        <v>19.96</v>
      </c>
      <c r="AA44" s="228">
        <v>4.9199999999999982</v>
      </c>
      <c r="AB44" s="228">
        <v>75.12</v>
      </c>
      <c r="AC44" s="229" t="s">
        <v>2655</v>
      </c>
      <c r="AD44" s="228">
        <v>1.641498275012321</v>
      </c>
      <c r="AE44">
        <f>IF('WetLitterbags placem_collection'!AB45="","",'WetLitterbags placem_collection'!AB45)</f>
        <v>5</v>
      </c>
      <c r="AF44">
        <f>IF('WetLitterbags placem_collection'!Z45="","",'WetLitterbags placem_collection'!Z45)</f>
        <v>26.3</v>
      </c>
      <c r="AG44" s="243" t="str">
        <f>IF('WetLitterbags placem_collection'!AA45="","",'WetLitterbags placem_collection'!AA45)</f>
        <v>G</v>
      </c>
      <c r="AH44">
        <f>IF('WetLitterbags placem_collection'!AC45="","",'WetLitterbags placem_collection'!AC45)</f>
        <v>0</v>
      </c>
      <c r="AI44" s="237">
        <f>AVERAGE('WetLitterbags placem_collection'!S45,'WetLitterbags placem_collection'!U45)</f>
        <v>18.3</v>
      </c>
      <c r="AJ44">
        <f>AVERAGE('WetLitterbags placem_collection'!R45,'WetLitterbags placem_collection'!T45)</f>
        <v>21.799999999999997</v>
      </c>
      <c r="AK44">
        <f>INDEX(Coordinates!$B$2:$B$197,MATCH(H44,Coordinates!$J$2:$J$197,0))</f>
        <v>-3.4082369789999998</v>
      </c>
      <c r="AL44">
        <f>INDEX(Coordinates!$C$2:$C$197,MATCH(H44,Coordinates!$J$2:$J$197,0))</f>
        <v>34.850189999999998</v>
      </c>
      <c r="AM44" t="str">
        <f>IF(ISNUMBER(SEARCH("C", 'WetLitterbags placem_collection'!$V45)),"YES","NO")</f>
        <v>NO</v>
      </c>
      <c r="AN44" t="str">
        <f>IF(ISNUMBER(SEARCH("H", 'WetLitterbags placem_collection'!$V45)),"YES","NO")</f>
        <v>YES</v>
      </c>
      <c r="AO44" t="str">
        <f>IF(ISNUMBER(SEARCH("R", 'WetLitterbags placem_collection'!$V45)),"YES","NO")</f>
        <v>YES</v>
      </c>
    </row>
    <row r="45" spans="1:41">
      <c r="A45" s="255" t="s">
        <v>2454</v>
      </c>
      <c r="B45" s="260">
        <f>'Dry_Litterbag Placem_Collection'!A46</f>
        <v>44</v>
      </c>
      <c r="C45" s="260" t="str">
        <f>'Dry_Litterbag Placem_Collection'!B46</f>
        <v>Makao</v>
      </c>
      <c r="D45" s="260" t="s">
        <v>2643</v>
      </c>
      <c r="E45" s="260" t="s">
        <v>20</v>
      </c>
      <c r="F45" s="260">
        <v>2</v>
      </c>
      <c r="G45" s="260" t="s">
        <v>3807</v>
      </c>
      <c r="H45" s="261" t="str">
        <f>'Dry_Litterbag Placem_Collection'!C46</f>
        <v>Dry_P2_T4</v>
      </c>
      <c r="I45" s="262" t="s">
        <v>2525</v>
      </c>
      <c r="J45" s="263" t="s">
        <v>1147</v>
      </c>
      <c r="K45" s="221" t="str">
        <f>'WetLitterbags placem_collection'!K46</f>
        <v>G774</v>
      </c>
      <c r="L45" s="223">
        <f>IFERROR(INDEX('Green_rooibos initial weight'!$C$5:$C$2000,MATCH(K45, 'Green_rooibos initial weight'!$A$5:$A$2000,0)),"")</f>
        <v>2.0049999999999999</v>
      </c>
      <c r="M45" s="223">
        <f>IFERROR(L45-(TBIcalc!$H$9+TBIcalc!$H$10),"")</f>
        <v>1.7551999999999999</v>
      </c>
      <c r="N45" s="385">
        <f>AVERAGE(Ashed_controlls!$K$2:$K$11)</f>
        <v>5.5147656768714146</v>
      </c>
      <c r="O45" s="223">
        <f t="shared" si="1"/>
        <v>1.6584048328395529</v>
      </c>
      <c r="P45" s="223">
        <f>IFERROR(INDEX('Both teabags AfterWet'!$C$3:$C$840,MATCH(K45,'Both teabags AfterWet'!$A$3:$A$840,0)),"")</f>
        <v>0.89559999999999995</v>
      </c>
      <c r="Q45" s="223">
        <f>IFERROR(IF(P45&gt;0,P45-(TBIcalc!$H$9),""),"")</f>
        <v>0.74499999999999988</v>
      </c>
      <c r="R45" s="223">
        <f>IFERROR(INDEX('Ashed teabags wet'!$K$2:$K$2000,MATCH(K45,'Ashed teabags wet'!$A$2:$A$2000,0)),"")</f>
        <v>8.346293416277824</v>
      </c>
      <c r="S45" s="223">
        <f t="shared" si="2"/>
        <v>0.68282011404873011</v>
      </c>
      <c r="T45" s="224">
        <f>'WetLitterbags placem_collection'!E46</f>
        <v>42766</v>
      </c>
      <c r="U45" s="224">
        <f>IF('WetLitterbags placem_collection'!G46="","",'WetLitterbags placem_collection'!G46)</f>
        <v>42820</v>
      </c>
      <c r="V45" s="225">
        <f t="shared" si="0"/>
        <v>54</v>
      </c>
      <c r="W45" s="223">
        <f t="shared" si="3"/>
        <v>1.0102</v>
      </c>
      <c r="X45" s="223">
        <f t="shared" si="4"/>
        <v>0.97558471879082276</v>
      </c>
      <c r="Y45">
        <f>IFERROR(INDEX(Rainfall_Wet!$O$2:$O$217,MATCH(B45, Rainfall_Wet!$A$2:$A$217,0)),"")</f>
        <v>214.262898705</v>
      </c>
      <c r="Z45" s="228">
        <v>19.96</v>
      </c>
      <c r="AA45" s="228">
        <v>4.9199999999999982</v>
      </c>
      <c r="AB45" s="228">
        <v>75.12</v>
      </c>
      <c r="AC45" s="229" t="s">
        <v>2655</v>
      </c>
      <c r="AD45" s="228">
        <v>1.641498275012321</v>
      </c>
      <c r="AE45">
        <f>IF('WetLitterbags placem_collection'!AB46="","",'WetLitterbags placem_collection'!AB46)</f>
        <v>2.6</v>
      </c>
      <c r="AF45">
        <f>IF('WetLitterbags placem_collection'!Z46="","",'WetLitterbags placem_collection'!Z46)</f>
        <v>39.200000000000003</v>
      </c>
      <c r="AG45" s="243" t="str">
        <f>IF('WetLitterbags placem_collection'!AA46="","",'WetLitterbags placem_collection'!AA46)</f>
        <v>G</v>
      </c>
      <c r="AH45">
        <f>IF('WetLitterbags placem_collection'!AC46="","",'WetLitterbags placem_collection'!AC46)</f>
        <v>0</v>
      </c>
      <c r="AI45" s="237">
        <f>AVERAGE('WetLitterbags placem_collection'!S46,'WetLitterbags placem_collection'!U46)</f>
        <v>20.6</v>
      </c>
      <c r="AJ45">
        <f>AVERAGE('WetLitterbags placem_collection'!R46,'WetLitterbags placem_collection'!T46)</f>
        <v>22.65</v>
      </c>
      <c r="AK45">
        <f>INDEX(Coordinates!$B$2:$B$197,MATCH(H45,Coordinates!$J$2:$J$197,0))</f>
        <v>-3.4081529920000002</v>
      </c>
      <c r="AL45">
        <f>INDEX(Coordinates!$C$2:$C$197,MATCH(H45,Coordinates!$J$2:$J$197,0))</f>
        <v>34.850168959999998</v>
      </c>
      <c r="AM45" t="str">
        <f>IF(ISNUMBER(SEARCH("C", 'WetLitterbags placem_collection'!$V46)),"YES","NO")</f>
        <v>NO</v>
      </c>
      <c r="AN45" t="str">
        <f>IF(ISNUMBER(SEARCH("H", 'WetLitterbags placem_collection'!$V46)),"YES","NO")</f>
        <v>NO</v>
      </c>
      <c r="AO45" t="str">
        <f>IF(ISNUMBER(SEARCH("R", 'WetLitterbags placem_collection'!$V46)),"YES","NO")</f>
        <v>YES</v>
      </c>
    </row>
    <row r="46" spans="1:41">
      <c r="A46" s="255" t="s">
        <v>2454</v>
      </c>
      <c r="B46" s="260">
        <f>'Dry_Litterbag Placem_Collection'!A47</f>
        <v>45</v>
      </c>
      <c r="C46" s="260" t="str">
        <f>'Dry_Litterbag Placem_Collection'!B47</f>
        <v>Makao</v>
      </c>
      <c r="D46" s="260" t="s">
        <v>2643</v>
      </c>
      <c r="E46" s="260" t="s">
        <v>20</v>
      </c>
      <c r="F46" s="260">
        <v>2</v>
      </c>
      <c r="G46" s="260" t="s">
        <v>3807</v>
      </c>
      <c r="H46" s="261" t="str">
        <f>'Dry_Litterbag Placem_Collection'!C47</f>
        <v>Dry_P2_T5</v>
      </c>
      <c r="I46" s="262" t="s">
        <v>2525</v>
      </c>
      <c r="J46" s="263" t="s">
        <v>1147</v>
      </c>
      <c r="K46" s="221" t="str">
        <f>'WetLitterbags placem_collection'!K47</f>
        <v>G519</v>
      </c>
      <c r="L46" s="223">
        <f>IFERROR(INDEX('Green_rooibos initial weight'!$C$5:$C$2000,MATCH(K46, 'Green_rooibos initial weight'!$A$5:$A$2000,0)),"")</f>
        <v>2.1429999999999998</v>
      </c>
      <c r="M46" s="223">
        <f>IFERROR(L46-(TBIcalc!$H$9+TBIcalc!$H$10),"")</f>
        <v>1.8931999999999998</v>
      </c>
      <c r="N46" s="385">
        <f>AVERAGE(Ashed_controlls!$K$2:$K$11)</f>
        <v>5.5147656768714146</v>
      </c>
      <c r="O46" s="223">
        <f t="shared" si="1"/>
        <v>1.7887944562054701</v>
      </c>
      <c r="P46" s="223">
        <f>IFERROR(INDEX('Both teabags AfterWet'!$C$3:$C$840,MATCH(K46,'Both teabags AfterWet'!$A$3:$A$840,0)),"")</f>
        <v>0.77569999999999995</v>
      </c>
      <c r="Q46" s="223">
        <f>IFERROR(IF(P46&gt;0,P46-(TBIcalc!$H$9),""),"")</f>
        <v>0.62509999999999999</v>
      </c>
      <c r="R46" s="223">
        <f>IFERROR(INDEX('Ashed teabags wet'!$K$2:$K$2000,MATCH(K46,'Ashed teabags wet'!$A$2:$A$2000,0)),"")</f>
        <v>9.376558603491624</v>
      </c>
      <c r="S46" s="223">
        <f t="shared" si="2"/>
        <v>0.5664871321695738</v>
      </c>
      <c r="T46" s="224">
        <f>'WetLitterbags placem_collection'!E47</f>
        <v>42766</v>
      </c>
      <c r="U46" s="224">
        <f>IF('WetLitterbags placem_collection'!G47="","",'WetLitterbags placem_collection'!G47)</f>
        <v>42820</v>
      </c>
      <c r="V46" s="225">
        <f t="shared" si="0"/>
        <v>54</v>
      </c>
      <c r="W46" s="223">
        <f t="shared" si="3"/>
        <v>1.2680999999999998</v>
      </c>
      <c r="X46" s="223">
        <f t="shared" si="4"/>
        <v>1.2223073240358961</v>
      </c>
      <c r="Y46">
        <f>IFERROR(INDEX(Rainfall_Wet!$O$2:$O$217,MATCH(B46, Rainfall_Wet!$A$2:$A$217,0)),"")</f>
        <v>214.262898705</v>
      </c>
      <c r="Z46" s="228">
        <v>19.96</v>
      </c>
      <c r="AA46" s="228">
        <v>4.9199999999999982</v>
      </c>
      <c r="AB46" s="228">
        <v>75.12</v>
      </c>
      <c r="AC46" s="229" t="s">
        <v>2655</v>
      </c>
      <c r="AD46" s="228">
        <v>1.641498275012321</v>
      </c>
      <c r="AE46">
        <f>IF('WetLitterbags placem_collection'!AB47="","",'WetLitterbags placem_collection'!AB47)</f>
        <v>2.2999999999999998</v>
      </c>
      <c r="AF46">
        <f>IF('WetLitterbags placem_collection'!Z47="","",'WetLitterbags placem_collection'!Z47)</f>
        <v>9.3000000000000007</v>
      </c>
      <c r="AG46" s="243" t="str">
        <f>IF('WetLitterbags placem_collection'!AA47="","",'WetLitterbags placem_collection'!AA47)</f>
        <v>O</v>
      </c>
      <c r="AH46">
        <f>IF('WetLitterbags placem_collection'!AC47="","",'WetLitterbags placem_collection'!AC47)</f>
        <v>0</v>
      </c>
      <c r="AI46" s="237">
        <f>AVERAGE('WetLitterbags placem_collection'!S47,'WetLitterbags placem_collection'!U47)</f>
        <v>24.4</v>
      </c>
      <c r="AJ46">
        <f>AVERAGE('WetLitterbags placem_collection'!R47,'WetLitterbags placem_collection'!T47)</f>
        <v>22.15</v>
      </c>
      <c r="AK46">
        <f>INDEX(Coordinates!$B$2:$B$197,MATCH(H46,Coordinates!$J$2:$J$197,0))</f>
        <v>-3.4081789759999999</v>
      </c>
      <c r="AL46">
        <f>INDEX(Coordinates!$C$2:$C$197,MATCH(H46,Coordinates!$J$2:$J$197,0))</f>
        <v>34.850516980000002</v>
      </c>
      <c r="AM46" t="str">
        <f>IF(ISNUMBER(SEARCH("C", 'WetLitterbags placem_collection'!$V47)),"YES","NO")</f>
        <v>NO</v>
      </c>
      <c r="AN46" t="str">
        <f>IF(ISNUMBER(SEARCH("H", 'WetLitterbags placem_collection'!$V47)),"YES","NO")</f>
        <v>NO</v>
      </c>
      <c r="AO46" t="str">
        <f>IF(ISNUMBER(SEARCH("R", 'WetLitterbags placem_collection'!$V47)),"YES","NO")</f>
        <v>YES</v>
      </c>
    </row>
    <row r="47" spans="1:41">
      <c r="A47" s="255" t="s">
        <v>2454</v>
      </c>
      <c r="B47" s="260">
        <f>'Dry_Litterbag Placem_Collection'!A48</f>
        <v>46</v>
      </c>
      <c r="C47" s="260" t="str">
        <f>'Dry_Litterbag Placem_Collection'!B48</f>
        <v>Makao</v>
      </c>
      <c r="D47" s="260" t="s">
        <v>2643</v>
      </c>
      <c r="E47" s="260" t="s">
        <v>20</v>
      </c>
      <c r="F47" s="260">
        <v>2</v>
      </c>
      <c r="G47" s="260" t="s">
        <v>3807</v>
      </c>
      <c r="H47" s="261" t="str">
        <f>'Dry_Litterbag Placem_Collection'!C48</f>
        <v>Dry_P2_T6</v>
      </c>
      <c r="I47" s="262" t="s">
        <v>2525</v>
      </c>
      <c r="J47" s="263" t="s">
        <v>1147</v>
      </c>
      <c r="K47" s="221" t="str">
        <f>'WetLitterbags placem_collection'!K48</f>
        <v>G635</v>
      </c>
      <c r="L47" s="223">
        <f>IFERROR(INDEX('Green_rooibos initial weight'!$C$5:$C$2000,MATCH(K47, 'Green_rooibos initial weight'!$A$5:$A$2000,0)),"")</f>
        <v>2.073</v>
      </c>
      <c r="M47" s="223">
        <f>IFERROR(L47-(TBIcalc!$H$9+TBIcalc!$H$10),"")</f>
        <v>1.8231999999999999</v>
      </c>
      <c r="N47" s="385">
        <f>AVERAGE(Ashed_controlls!$K$2:$K$11)</f>
        <v>5.5147656768714146</v>
      </c>
      <c r="O47" s="223">
        <f t="shared" si="1"/>
        <v>1.7226547921792803</v>
      </c>
      <c r="P47" s="223" t="str">
        <f>IFERROR(INDEX('Both teabags AfterWet'!$C$3:$C$840,MATCH(K47,'Both teabags AfterWet'!$A$3:$A$840,0)),"")</f>
        <v/>
      </c>
      <c r="Q47" s="223" t="str">
        <f>IFERROR(IF(P47&gt;0,P47-(TBIcalc!$H$9),""),"")</f>
        <v/>
      </c>
      <c r="R47" s="223" t="str">
        <f>IFERROR(INDEX('Ashed teabags wet'!$K$2:$K$2000,MATCH(K47,'Ashed teabags wet'!$A$2:$A$2000,0)),"")</f>
        <v/>
      </c>
      <c r="S47" s="223" t="str">
        <f t="shared" si="2"/>
        <v/>
      </c>
      <c r="T47" s="224">
        <f>'WetLitterbags placem_collection'!E48</f>
        <v>42766</v>
      </c>
      <c r="U47" s="224">
        <f>IF('WetLitterbags placem_collection'!G48="","",'WetLitterbags placem_collection'!G48)</f>
        <v>42820</v>
      </c>
      <c r="V47" s="225">
        <f t="shared" si="0"/>
        <v>54</v>
      </c>
      <c r="W47" s="223" t="str">
        <f t="shared" si="3"/>
        <v/>
      </c>
      <c r="X47" s="223" t="str">
        <f t="shared" si="4"/>
        <v/>
      </c>
      <c r="Y47">
        <f>IFERROR(INDEX(Rainfall_Wet!$O$2:$O$217,MATCH(B47, Rainfall_Wet!$A$2:$A$217,0)),"")</f>
        <v>214.262898705</v>
      </c>
      <c r="Z47" s="228">
        <v>19.96</v>
      </c>
      <c r="AA47" s="228">
        <v>4.9199999999999982</v>
      </c>
      <c r="AB47" s="228">
        <v>75.12</v>
      </c>
      <c r="AC47" s="229" t="s">
        <v>2655</v>
      </c>
      <c r="AD47" s="228">
        <v>1.641498275012321</v>
      </c>
      <c r="AE47" t="str">
        <f>IF('WetLitterbags placem_collection'!AB48="","",'WetLitterbags placem_collection'!AB48)</f>
        <v/>
      </c>
      <c r="AF47" t="str">
        <f>IF('WetLitterbags placem_collection'!Z48="","",'WetLitterbags placem_collection'!Z48)</f>
        <v/>
      </c>
      <c r="AG47" s="243" t="str">
        <f>IF('WetLitterbags placem_collection'!AA48="","",'WetLitterbags placem_collection'!AA48)</f>
        <v/>
      </c>
      <c r="AH47" t="str">
        <f>IF('WetLitterbags placem_collection'!AC48="","",'WetLitterbags placem_collection'!AC48)</f>
        <v/>
      </c>
      <c r="AI47" s="237">
        <f>AVERAGE('WetLitterbags placem_collection'!S48,'WetLitterbags placem_collection'!U48)</f>
        <v>22.5</v>
      </c>
      <c r="AJ47">
        <f>AVERAGE('WetLitterbags placem_collection'!R48,'WetLitterbags placem_collection'!T48)</f>
        <v>20.100000000000001</v>
      </c>
      <c r="AK47">
        <f>INDEX(Coordinates!$B$2:$B$197,MATCH(H47,Coordinates!$J$2:$J$197,0))</f>
        <v>-3.4084730130000001</v>
      </c>
      <c r="AL47">
        <f>INDEX(Coordinates!$C$2:$C$197,MATCH(H47,Coordinates!$J$2:$J$197,0))</f>
        <v>34.850401980000001</v>
      </c>
      <c r="AM47" t="str">
        <f>IF(ISNUMBER(SEARCH("C", 'WetLitterbags placem_collection'!$V48)),"YES","NO")</f>
        <v>NO</v>
      </c>
      <c r="AN47" t="str">
        <f>IF(ISNUMBER(SEARCH("H", 'WetLitterbags placem_collection'!$V48)),"YES","NO")</f>
        <v>NO</v>
      </c>
      <c r="AO47" t="str">
        <f>IF(ISNUMBER(SEARCH("R", 'WetLitterbags placem_collection'!$V48)),"YES","NO")</f>
        <v>NO</v>
      </c>
    </row>
    <row r="48" spans="1:41">
      <c r="A48" s="255" t="s">
        <v>2454</v>
      </c>
      <c r="B48" s="260">
        <f>'Dry_Litterbag Placem_Collection'!A49</f>
        <v>47</v>
      </c>
      <c r="C48" s="260" t="str">
        <f>'Dry_Litterbag Placem_Collection'!B49</f>
        <v>Makao</v>
      </c>
      <c r="D48" s="260" t="s">
        <v>2643</v>
      </c>
      <c r="E48" s="260" t="s">
        <v>20</v>
      </c>
      <c r="F48" s="260">
        <v>2</v>
      </c>
      <c r="G48" s="260" t="s">
        <v>3807</v>
      </c>
      <c r="H48" s="261" t="str">
        <f>'Dry_Litterbag Placem_Collection'!C49</f>
        <v>Dry_P2_T7</v>
      </c>
      <c r="I48" s="262" t="s">
        <v>2525</v>
      </c>
      <c r="J48" s="263" t="s">
        <v>1147</v>
      </c>
      <c r="K48" s="221" t="str">
        <f>'WetLitterbags placem_collection'!K49</f>
        <v>G539</v>
      </c>
      <c r="L48" s="223">
        <f>IFERROR(INDEX('Green_rooibos initial weight'!$C$5:$C$2000,MATCH(K48, 'Green_rooibos initial weight'!$A$5:$A$2000,0)),"")</f>
        <v>2.1219999999999999</v>
      </c>
      <c r="M48" s="223">
        <f>IFERROR(L48-(TBIcalc!$H$9+TBIcalc!$H$10),"")</f>
        <v>1.8721999999999999</v>
      </c>
      <c r="N48" s="385">
        <f>AVERAGE(Ashed_controlls!$K$2:$K$11)</f>
        <v>5.5147656768714146</v>
      </c>
      <c r="O48" s="223">
        <f t="shared" si="1"/>
        <v>1.7689525569976132</v>
      </c>
      <c r="P48" s="223">
        <f>IFERROR(INDEX('Both teabags AfterWet'!$C$3:$C$840,MATCH(K48,'Both teabags AfterWet'!$A$3:$A$840,0)),"")</f>
        <v>0.80700000000000005</v>
      </c>
      <c r="Q48" s="223">
        <f>IFERROR(IF(P48&gt;0,P48-(TBIcalc!$H$9),""),"")</f>
        <v>0.65640000000000009</v>
      </c>
      <c r="R48" s="223">
        <f>IFERROR(INDEX('Ashed teabags wet'!$K$2:$K$2000,MATCH(K48,'Ashed teabags wet'!$A$2:$A$2000,0)),"")</f>
        <v>11.917347429120182</v>
      </c>
      <c r="S48" s="223">
        <f t="shared" si="2"/>
        <v>0.57817453147525522</v>
      </c>
      <c r="T48" s="224">
        <f>'WetLitterbags placem_collection'!E49</f>
        <v>42766</v>
      </c>
      <c r="U48" s="224">
        <f>IF('WetLitterbags placem_collection'!G49="","",'WetLitterbags placem_collection'!G49)</f>
        <v>42820</v>
      </c>
      <c r="V48" s="225">
        <f t="shared" si="0"/>
        <v>54</v>
      </c>
      <c r="W48" s="223">
        <f t="shared" si="3"/>
        <v>1.2157999999999998</v>
      </c>
      <c r="X48" s="223">
        <f t="shared" si="4"/>
        <v>1.1907780255223579</v>
      </c>
      <c r="Y48">
        <f>IFERROR(INDEX(Rainfall_Wet!$O$2:$O$217,MATCH(B48, Rainfall_Wet!$A$2:$A$217,0)),"")</f>
        <v>214.262898705</v>
      </c>
      <c r="Z48" s="228">
        <v>19.96</v>
      </c>
      <c r="AA48" s="228">
        <v>4.9199999999999982</v>
      </c>
      <c r="AB48" s="228">
        <v>75.12</v>
      </c>
      <c r="AC48" s="229" t="s">
        <v>2655</v>
      </c>
      <c r="AD48" s="228">
        <v>1.641498275012321</v>
      </c>
      <c r="AE48">
        <f>IF('WetLitterbags placem_collection'!AB49="","",'WetLitterbags placem_collection'!AB49)</f>
        <v>5.2</v>
      </c>
      <c r="AF48">
        <f>IF('WetLitterbags placem_collection'!Z49="","",'WetLitterbags placem_collection'!Z49)</f>
        <v>5.2</v>
      </c>
      <c r="AG48" s="243" t="str">
        <f>IF('WetLitterbags placem_collection'!AA49="","",'WetLitterbags placem_collection'!AA49)</f>
        <v>G</v>
      </c>
      <c r="AH48">
        <f>IF('WetLitterbags placem_collection'!AC49="","",'WetLitterbags placem_collection'!AC49)</f>
        <v>0</v>
      </c>
      <c r="AI48" s="237">
        <f>AVERAGE('WetLitterbags placem_collection'!S49,'WetLitterbags placem_collection'!U49)</f>
        <v>23.7</v>
      </c>
      <c r="AJ48">
        <f>AVERAGE('WetLitterbags placem_collection'!R49,'WetLitterbags placem_collection'!T49)</f>
        <v>22.6</v>
      </c>
      <c r="AK48">
        <f>INDEX(Coordinates!$B$2:$B$197,MATCH(H48,Coordinates!$J$2:$J$197,0))</f>
        <v>-3.4084819820000001</v>
      </c>
      <c r="AL48">
        <f>INDEX(Coordinates!$C$2:$C$197,MATCH(H48,Coordinates!$J$2:$J$197,0))</f>
        <v>34.850024040000001</v>
      </c>
      <c r="AM48" t="str">
        <f>IF(ISNUMBER(SEARCH("C", 'WetLitterbags placem_collection'!$V49)),"YES","NO")</f>
        <v>NO</v>
      </c>
      <c r="AN48" t="str">
        <f>IF(ISNUMBER(SEARCH("H", 'WetLitterbags placem_collection'!$V49)),"YES","NO")</f>
        <v>NO</v>
      </c>
      <c r="AO48" t="str">
        <f>IF(ISNUMBER(SEARCH("R", 'WetLitterbags placem_collection'!$V49)),"YES","NO")</f>
        <v>YES</v>
      </c>
    </row>
    <row r="49" spans="1:41">
      <c r="A49" s="255" t="s">
        <v>2454</v>
      </c>
      <c r="B49" s="260">
        <f>'Dry_Litterbag Placem_Collection'!A50</f>
        <v>48</v>
      </c>
      <c r="C49" s="260" t="str">
        <f>'Dry_Litterbag Placem_Collection'!B50</f>
        <v>Makao</v>
      </c>
      <c r="D49" s="260" t="s">
        <v>2643</v>
      </c>
      <c r="E49" s="260" t="s">
        <v>20</v>
      </c>
      <c r="F49" s="260">
        <v>2</v>
      </c>
      <c r="G49" s="260" t="s">
        <v>3807</v>
      </c>
      <c r="H49" s="261" t="str">
        <f>'Dry_Litterbag Placem_Collection'!C50</f>
        <v>Dry_P2_T8</v>
      </c>
      <c r="I49" s="262" t="s">
        <v>2525</v>
      </c>
      <c r="J49" s="263" t="s">
        <v>1147</v>
      </c>
      <c r="K49" s="221" t="str">
        <f>'WetLitterbags placem_collection'!K50</f>
        <v>G679</v>
      </c>
      <c r="L49" s="223">
        <f>IFERROR(INDEX('Green_rooibos initial weight'!$C$5:$C$2000,MATCH(K49, 'Green_rooibos initial weight'!$A$5:$A$2000,0)),"")</f>
        <v>2.052</v>
      </c>
      <c r="M49" s="223">
        <f>IFERROR(L49-(TBIcalc!$H$9+TBIcalc!$H$10),"")</f>
        <v>1.8022</v>
      </c>
      <c r="N49" s="385">
        <f>AVERAGE(Ashed_controlls!$K$2:$K$11)</f>
        <v>5.5147656768714146</v>
      </c>
      <c r="O49" s="223">
        <f t="shared" si="1"/>
        <v>1.7028128929714235</v>
      </c>
      <c r="P49" s="223">
        <f>IFERROR(INDEX('Both teabags AfterWet'!$C$3:$C$840,MATCH(K49,'Both teabags AfterWet'!$A$3:$A$840,0)),"")</f>
        <v>0.83199999999999996</v>
      </c>
      <c r="Q49" s="223">
        <f>IFERROR(IF(P49&gt;0,P49-(TBIcalc!$H$9),""),"")</f>
        <v>0.68140000000000001</v>
      </c>
      <c r="R49" s="223">
        <f>IFERROR(INDEX('Ashed teabags wet'!$K$2:$K$2000,MATCH(K49,'Ashed teabags wet'!$A$2:$A$2000,0)),"")</f>
        <v>7.6283618581914308</v>
      </c>
      <c r="S49" s="223">
        <f t="shared" si="2"/>
        <v>0.62942034229828359</v>
      </c>
      <c r="T49" s="224">
        <f>'WetLitterbags placem_collection'!E50</f>
        <v>42766</v>
      </c>
      <c r="U49" s="224">
        <f>IF('WetLitterbags placem_collection'!G50="","",'WetLitterbags placem_collection'!G50)</f>
        <v>42820</v>
      </c>
      <c r="V49" s="225">
        <f t="shared" si="0"/>
        <v>54</v>
      </c>
      <c r="W49" s="223">
        <f t="shared" si="3"/>
        <v>1.1208</v>
      </c>
      <c r="X49" s="223">
        <f t="shared" si="4"/>
        <v>1.0733925506731399</v>
      </c>
      <c r="Y49">
        <f>IFERROR(INDEX(Rainfall_Wet!$O$2:$O$217,MATCH(B49, Rainfall_Wet!$A$2:$A$217,0)),"")</f>
        <v>214.262898705</v>
      </c>
      <c r="Z49" s="228">
        <v>19.96</v>
      </c>
      <c r="AA49" s="228">
        <v>4.9199999999999982</v>
      </c>
      <c r="AB49" s="228">
        <v>75.12</v>
      </c>
      <c r="AC49" s="229" t="s">
        <v>2655</v>
      </c>
      <c r="AD49" s="228">
        <v>1.641498275012321</v>
      </c>
      <c r="AE49">
        <f>IF('WetLitterbags placem_collection'!AB50="","",'WetLitterbags placem_collection'!AB50)</f>
        <v>7.3</v>
      </c>
      <c r="AF49">
        <f>IF('WetLitterbags placem_collection'!Z50="","",'WetLitterbags placem_collection'!Z50)</f>
        <v>27.2</v>
      </c>
      <c r="AG49" s="243" t="str">
        <f>IF('WetLitterbags placem_collection'!AA50="","",'WetLitterbags placem_collection'!AA50)</f>
        <v>M</v>
      </c>
      <c r="AH49">
        <f>IF('WetLitterbags placem_collection'!AC50="","",'WetLitterbags placem_collection'!AC50)</f>
        <v>0</v>
      </c>
      <c r="AI49" s="237">
        <f>AVERAGE('WetLitterbags placem_collection'!S50,'WetLitterbags placem_collection'!U50)</f>
        <v>21.8</v>
      </c>
      <c r="AJ49">
        <f>AVERAGE('WetLitterbags placem_collection'!R50,'WetLitterbags placem_collection'!T50)</f>
        <v>21.65</v>
      </c>
      <c r="AK49">
        <f>INDEX(Coordinates!$B$2:$B$197,MATCH(H49,Coordinates!$J$2:$J$197,0))</f>
        <v>-3.4081990090000001</v>
      </c>
      <c r="AL49">
        <f>INDEX(Coordinates!$C$2:$C$197,MATCH(H49,Coordinates!$J$2:$J$197,0))</f>
        <v>34.850254960000001</v>
      </c>
      <c r="AM49" t="str">
        <f>IF(ISNUMBER(SEARCH("C", 'WetLitterbags placem_collection'!$V50)),"YES","NO")</f>
        <v>NO</v>
      </c>
      <c r="AN49" t="str">
        <f>IF(ISNUMBER(SEARCH("H", 'WetLitterbags placem_collection'!$V50)),"YES","NO")</f>
        <v>NO</v>
      </c>
      <c r="AO49" t="str">
        <f>IF(ISNUMBER(SEARCH("R", 'WetLitterbags placem_collection'!$V50)),"YES","NO")</f>
        <v>YES</v>
      </c>
    </row>
    <row r="50" spans="1:41">
      <c r="A50" s="255" t="s">
        <v>2454</v>
      </c>
      <c r="B50" s="260">
        <f>'Dry_Litterbag Placem_Collection'!A51</f>
        <v>49</v>
      </c>
      <c r="C50" s="260" t="str">
        <f>'Dry_Litterbag Placem_Collection'!B51</f>
        <v>Makao</v>
      </c>
      <c r="D50" s="260" t="s">
        <v>2643</v>
      </c>
      <c r="E50" s="260" t="s">
        <v>20</v>
      </c>
      <c r="F50" s="260">
        <v>3</v>
      </c>
      <c r="G50" s="260" t="s">
        <v>3808</v>
      </c>
      <c r="H50" s="261" t="str">
        <f>'Dry_Litterbag Placem_Collection'!C51</f>
        <v>Dry_P3_T1</v>
      </c>
      <c r="I50" s="262" t="s">
        <v>2525</v>
      </c>
      <c r="J50" s="263" t="s">
        <v>1147</v>
      </c>
      <c r="K50" s="221" t="str">
        <f>'WetLitterbags placem_collection'!K51</f>
        <v>G346</v>
      </c>
      <c r="L50" s="223">
        <f>IFERROR(INDEX('Green_rooibos initial weight'!$C$5:$C$2000,MATCH(K50, 'Green_rooibos initial weight'!$A$5:$A$2000,0)),"")</f>
        <v>2.012</v>
      </c>
      <c r="M50" s="223">
        <f>IFERROR(L50-(TBIcalc!$H$9+TBIcalc!$H$10),"")</f>
        <v>1.7622</v>
      </c>
      <c r="N50" s="385">
        <f>AVERAGE(Ashed_controlls!$K$2:$K$11)</f>
        <v>5.5147656768714146</v>
      </c>
      <c r="O50" s="223">
        <f t="shared" si="1"/>
        <v>1.6650187992421719</v>
      </c>
      <c r="P50" s="223">
        <f>IFERROR(INDEX('Both teabags AfterWet'!$C$3:$C$840,MATCH(K50,'Both teabags AfterWet'!$A$3:$A$840,0)),"")</f>
        <v>1.0001</v>
      </c>
      <c r="Q50" s="223">
        <f>IFERROR(IF(P50&gt;0,P50-(TBIcalc!$H$9),""),"")</f>
        <v>0.84949999999999992</v>
      </c>
      <c r="R50" s="223">
        <f>IFERROR(INDEX('Ashed teabags wet'!$K$2:$K$2000,MATCH(K50,'Ashed teabags wet'!$A$2:$A$2000,0)),"")</f>
        <v>20.217498764212234</v>
      </c>
      <c r="S50" s="223">
        <f t="shared" si="2"/>
        <v>0.67775234799801698</v>
      </c>
      <c r="T50" s="224">
        <f>'WetLitterbags placem_collection'!E51</f>
        <v>42766</v>
      </c>
      <c r="U50" s="224">
        <f>IF('WetLitterbags placem_collection'!G51="","",'WetLitterbags placem_collection'!G51)</f>
        <v>42820</v>
      </c>
      <c r="V50" s="225">
        <f t="shared" si="0"/>
        <v>54</v>
      </c>
      <c r="W50" s="223">
        <f t="shared" si="3"/>
        <v>0.91270000000000007</v>
      </c>
      <c r="X50" s="223">
        <f t="shared" si="4"/>
        <v>0.98726645124415491</v>
      </c>
      <c r="Y50">
        <f>IFERROR(INDEX(Rainfall_Wet!$O$2:$O$217,MATCH(B50, Rainfall_Wet!$A$2:$A$217,0)),"")</f>
        <v>214.262898705</v>
      </c>
      <c r="Z50" s="228">
        <v>21.96</v>
      </c>
      <c r="AA50" s="228">
        <v>8.9199999999999982</v>
      </c>
      <c r="AB50" s="228">
        <v>69.12</v>
      </c>
      <c r="AC50" s="229" t="s">
        <v>2654</v>
      </c>
      <c r="AD50" s="228">
        <v>1.7491375061606702</v>
      </c>
      <c r="AE50">
        <f>IF('WetLitterbags placem_collection'!AB51="","",'WetLitterbags placem_collection'!AB51)</f>
        <v>10.4</v>
      </c>
      <c r="AF50">
        <f>IF('WetLitterbags placem_collection'!Z51="","",'WetLitterbags placem_collection'!Z51)</f>
        <v>36</v>
      </c>
      <c r="AG50" s="243" t="str">
        <f>IF('WetLitterbags placem_collection'!AA51="","",'WetLitterbags placem_collection'!AA51)</f>
        <v>M</v>
      </c>
      <c r="AH50">
        <f>IF('WetLitterbags placem_collection'!AC51="","",'WetLitterbags placem_collection'!AC51)</f>
        <v>1</v>
      </c>
      <c r="AI50" s="237">
        <f>AVERAGE('WetLitterbags placem_collection'!S51,'WetLitterbags placem_collection'!U51)</f>
        <v>26.2</v>
      </c>
      <c r="AJ50">
        <f>AVERAGE('WetLitterbags placem_collection'!R51,'WetLitterbags placem_collection'!T51)</f>
        <v>26.55</v>
      </c>
      <c r="AK50">
        <f>INDEX(Coordinates!$B$2:$B$197,MATCH(H50,Coordinates!$J$2:$J$197,0))</f>
        <v>-3.406225992</v>
      </c>
      <c r="AL50">
        <f>INDEX(Coordinates!$C$2:$C$197,MATCH(H50,Coordinates!$J$2:$J$197,0))</f>
        <v>34.85055998</v>
      </c>
      <c r="AM50" t="str">
        <f>IF(ISNUMBER(SEARCH("C", 'WetLitterbags placem_collection'!$V51)),"YES","NO")</f>
        <v>NO</v>
      </c>
      <c r="AN50" t="str">
        <f>IF(ISNUMBER(SEARCH("H", 'WetLitterbags placem_collection'!$V51)),"YES","NO")</f>
        <v>NO</v>
      </c>
      <c r="AO50" t="str">
        <f>IF(ISNUMBER(SEARCH("R", 'WetLitterbags placem_collection'!$V51)),"YES","NO")</f>
        <v>YES</v>
      </c>
    </row>
    <row r="51" spans="1:41">
      <c r="A51" s="255" t="s">
        <v>2454</v>
      </c>
      <c r="B51" s="260">
        <f>'Dry_Litterbag Placem_Collection'!A52</f>
        <v>50</v>
      </c>
      <c r="C51" s="260" t="str">
        <f>'Dry_Litterbag Placem_Collection'!B52</f>
        <v>Makao</v>
      </c>
      <c r="D51" s="260" t="s">
        <v>2643</v>
      </c>
      <c r="E51" s="260" t="s">
        <v>20</v>
      </c>
      <c r="F51" s="260">
        <v>3</v>
      </c>
      <c r="G51" s="260" t="s">
        <v>3808</v>
      </c>
      <c r="H51" s="261" t="str">
        <f>'Dry_Litterbag Placem_Collection'!C52</f>
        <v>Dry_P3_T2</v>
      </c>
      <c r="I51" s="262" t="s">
        <v>2525</v>
      </c>
      <c r="J51" s="263" t="s">
        <v>1147</v>
      </c>
      <c r="K51" s="221" t="str">
        <f>'WetLitterbags placem_collection'!K52</f>
        <v>G418</v>
      </c>
      <c r="L51" s="223">
        <f>IFERROR(INDEX('Green_rooibos initial weight'!$C$5:$C$2000,MATCH(K51, 'Green_rooibos initial weight'!$A$5:$A$2000,0)),"")</f>
        <v>2.016</v>
      </c>
      <c r="M51" s="223">
        <f>IFERROR(L51-(TBIcalc!$H$9+TBIcalc!$H$10),"")</f>
        <v>1.7662</v>
      </c>
      <c r="N51" s="385">
        <f>AVERAGE(Ashed_controlls!$K$2:$K$11)</f>
        <v>5.5147656768714146</v>
      </c>
      <c r="O51" s="223">
        <f t="shared" si="1"/>
        <v>1.668798208615097</v>
      </c>
      <c r="P51" s="223" t="str">
        <f>IFERROR(INDEX('Both teabags AfterWet'!$C$3:$C$840,MATCH(K51,'Both teabags AfterWet'!$A$3:$A$840,0)),"")</f>
        <v/>
      </c>
      <c r="Q51" s="223" t="str">
        <f>IFERROR(IF(P51&gt;0,P51-(TBIcalc!$H$9),""),"")</f>
        <v/>
      </c>
      <c r="R51" s="223" t="str">
        <f>IFERROR(INDEX('Ashed teabags wet'!$K$2:$K$2000,MATCH(K51,'Ashed teabags wet'!$A$2:$A$2000,0)),"")</f>
        <v/>
      </c>
      <c r="S51" s="223" t="str">
        <f t="shared" si="2"/>
        <v/>
      </c>
      <c r="T51" s="224">
        <f>'WetLitterbags placem_collection'!E52</f>
        <v>42766</v>
      </c>
      <c r="U51" s="224">
        <f>IF('WetLitterbags placem_collection'!G52="","",'WetLitterbags placem_collection'!G52)</f>
        <v>42820</v>
      </c>
      <c r="V51" s="225">
        <f t="shared" si="0"/>
        <v>54</v>
      </c>
      <c r="W51" s="223" t="str">
        <f t="shared" si="3"/>
        <v/>
      </c>
      <c r="X51" s="223" t="str">
        <f t="shared" si="4"/>
        <v/>
      </c>
      <c r="Y51">
        <f>IFERROR(INDEX(Rainfall_Wet!$O$2:$O$217,MATCH(B51, Rainfall_Wet!$A$2:$A$217,0)),"")</f>
        <v>214.262898705</v>
      </c>
      <c r="Z51" s="228">
        <v>21.96</v>
      </c>
      <c r="AA51" s="228">
        <v>8.9199999999999982</v>
      </c>
      <c r="AB51" s="228">
        <v>69.12</v>
      </c>
      <c r="AC51" s="229" t="s">
        <v>2654</v>
      </c>
      <c r="AD51" s="228">
        <v>1.7491375061606702</v>
      </c>
      <c r="AE51">
        <f>IF('WetLitterbags placem_collection'!AB52="","",'WetLitterbags placem_collection'!AB52)</f>
        <v>10</v>
      </c>
      <c r="AF51">
        <f>IF('WetLitterbags placem_collection'!Z52="","",'WetLitterbags placem_collection'!Z52)</f>
        <v>22.5</v>
      </c>
      <c r="AG51" s="243" t="str">
        <f>IF('WetLitterbags placem_collection'!AA52="","",'WetLitterbags placem_collection'!AA52)</f>
        <v>M</v>
      </c>
      <c r="AH51">
        <f>IF('WetLitterbags placem_collection'!AC52="","",'WetLitterbags placem_collection'!AC52)</f>
        <v>1</v>
      </c>
      <c r="AI51" s="237">
        <f>AVERAGE('WetLitterbags placem_collection'!S52,'WetLitterbags placem_collection'!U52)</f>
        <v>31.4</v>
      </c>
      <c r="AJ51">
        <f>AVERAGE('WetLitterbags placem_collection'!R52,'WetLitterbags placem_collection'!T52)</f>
        <v>22.4</v>
      </c>
      <c r="AK51">
        <f>INDEX(Coordinates!$B$2:$B$197,MATCH(H51,Coordinates!$J$2:$J$197,0))</f>
        <v>-3.4062630399999998</v>
      </c>
      <c r="AL51">
        <f>INDEX(Coordinates!$C$2:$C$197,MATCH(H51,Coordinates!$J$2:$J$197,0))</f>
        <v>34.850566010000001</v>
      </c>
      <c r="AM51" t="str">
        <f>IF(ISNUMBER(SEARCH("C", 'WetLitterbags placem_collection'!$V52)),"YES","NO")</f>
        <v>NO</v>
      </c>
      <c r="AN51" t="str">
        <f>IF(ISNUMBER(SEARCH("H", 'WetLitterbags placem_collection'!$V52)),"YES","NO")</f>
        <v>NO</v>
      </c>
      <c r="AO51" t="str">
        <f>IF(ISNUMBER(SEARCH("R", 'WetLitterbags placem_collection'!$V52)),"YES","NO")</f>
        <v>NO</v>
      </c>
    </row>
    <row r="52" spans="1:41">
      <c r="A52" s="255" t="s">
        <v>2454</v>
      </c>
      <c r="B52" s="260">
        <f>'Dry_Litterbag Placem_Collection'!A53</f>
        <v>51</v>
      </c>
      <c r="C52" s="260" t="str">
        <f>'Dry_Litterbag Placem_Collection'!B53</f>
        <v>Makao</v>
      </c>
      <c r="D52" s="260" t="s">
        <v>2643</v>
      </c>
      <c r="E52" s="260" t="s">
        <v>20</v>
      </c>
      <c r="F52" s="260">
        <v>3</v>
      </c>
      <c r="G52" s="260" t="s">
        <v>3808</v>
      </c>
      <c r="H52" s="261" t="str">
        <f>'Dry_Litterbag Placem_Collection'!C53</f>
        <v>Dry_P3_T3</v>
      </c>
      <c r="I52" s="262" t="s">
        <v>2525</v>
      </c>
      <c r="J52" s="263" t="s">
        <v>1147</v>
      </c>
      <c r="K52" s="221" t="str">
        <f>'WetLitterbags placem_collection'!K53</f>
        <v>G548</v>
      </c>
      <c r="L52" s="223">
        <f>IFERROR(INDEX('Green_rooibos initial weight'!$C$5:$C$2000,MATCH(K52, 'Green_rooibos initial weight'!$A$5:$A$2000,0)),"")</f>
        <v>2.169</v>
      </c>
      <c r="M52" s="223">
        <f>IFERROR(L52-(TBIcalc!$H$9+TBIcalc!$H$10),"")</f>
        <v>1.9192</v>
      </c>
      <c r="N52" s="385">
        <f>AVERAGE(Ashed_controlls!$K$2:$K$11)</f>
        <v>5.5147656768714146</v>
      </c>
      <c r="O52" s="223">
        <f t="shared" si="1"/>
        <v>1.8133606171294838</v>
      </c>
      <c r="P52" s="223">
        <f>IFERROR(INDEX('Both teabags AfterWet'!$C$3:$C$840,MATCH(K52,'Both teabags AfterWet'!$A$3:$A$840,0)),"")</f>
        <v>0.86399999999999999</v>
      </c>
      <c r="Q52" s="223">
        <f>IFERROR(IF(P52&gt;0,P52-(TBIcalc!$H$9),""),"")</f>
        <v>0.71340000000000003</v>
      </c>
      <c r="R52" s="223">
        <f>IFERROR(INDEX('Ashed teabags wet'!$K$2:$K$2000,MATCH(K52,'Ashed teabags wet'!$A$2:$A$2000,0)),"")</f>
        <v>8.9955022488745993</v>
      </c>
      <c r="S52" s="223">
        <f t="shared" si="2"/>
        <v>0.64922608695652861</v>
      </c>
      <c r="T52" s="224">
        <f>'WetLitterbags placem_collection'!E53</f>
        <v>42766</v>
      </c>
      <c r="U52" s="224">
        <f>IF('WetLitterbags placem_collection'!G53="","",'WetLitterbags placem_collection'!G53)</f>
        <v>42820</v>
      </c>
      <c r="V52" s="225">
        <f t="shared" si="0"/>
        <v>54</v>
      </c>
      <c r="W52" s="223">
        <f t="shared" si="3"/>
        <v>1.2058</v>
      </c>
      <c r="X52" s="223">
        <f t="shared" si="4"/>
        <v>1.1641345301729551</v>
      </c>
      <c r="Y52">
        <f>IFERROR(INDEX(Rainfall_Wet!$O$2:$O$217,MATCH(B52, Rainfall_Wet!$A$2:$A$217,0)),"")</f>
        <v>214.262898705</v>
      </c>
      <c r="Z52" s="228">
        <v>21.96</v>
      </c>
      <c r="AA52" s="228">
        <v>8.9199999999999982</v>
      </c>
      <c r="AB52" s="228">
        <v>69.12</v>
      </c>
      <c r="AC52" s="229" t="s">
        <v>2654</v>
      </c>
      <c r="AD52" s="228">
        <v>1.7491375061606702</v>
      </c>
      <c r="AE52">
        <f>IF('WetLitterbags placem_collection'!AB53="","",'WetLitterbags placem_collection'!AB53)</f>
        <v>3</v>
      </c>
      <c r="AF52">
        <f>IF('WetLitterbags placem_collection'!Z53="","",'WetLitterbags placem_collection'!Z53)</f>
        <v>18</v>
      </c>
      <c r="AG52" s="243" t="str">
        <f>IF('WetLitterbags placem_collection'!AA53="","",'WetLitterbags placem_collection'!AA53)</f>
        <v>O</v>
      </c>
      <c r="AH52">
        <f>IF('WetLitterbags placem_collection'!AC53="","",'WetLitterbags placem_collection'!AC53)</f>
        <v>0</v>
      </c>
      <c r="AI52" s="237">
        <f>AVERAGE('WetLitterbags placem_collection'!S53,'WetLitterbags placem_collection'!U53)</f>
        <v>20.2</v>
      </c>
      <c r="AJ52">
        <f>AVERAGE('WetLitterbags placem_collection'!R53,'WetLitterbags placem_collection'!T53)</f>
        <v>27.4</v>
      </c>
      <c r="AK52">
        <f>INDEX(Coordinates!$B$2:$B$197,MATCH(H52,Coordinates!$J$2:$J$197,0))</f>
        <v>-3.4063920379999999</v>
      </c>
      <c r="AL52">
        <f>INDEX(Coordinates!$C$2:$C$197,MATCH(H52,Coordinates!$J$2:$J$197,0))</f>
        <v>34.850696020000001</v>
      </c>
      <c r="AM52" t="str">
        <f>IF(ISNUMBER(SEARCH("C", 'WetLitterbags placem_collection'!$V53)),"YES","NO")</f>
        <v>NO</v>
      </c>
      <c r="AN52" t="str">
        <f>IF(ISNUMBER(SEARCH("H", 'WetLitterbags placem_collection'!$V53)),"YES","NO")</f>
        <v>NO</v>
      </c>
      <c r="AO52" t="str">
        <f>IF(ISNUMBER(SEARCH("R", 'WetLitterbags placem_collection'!$V53)),"YES","NO")</f>
        <v>YES</v>
      </c>
    </row>
    <row r="53" spans="1:41">
      <c r="A53" s="255" t="s">
        <v>2454</v>
      </c>
      <c r="B53" s="260">
        <f>'Dry_Litterbag Placem_Collection'!A54</f>
        <v>52</v>
      </c>
      <c r="C53" s="260" t="str">
        <f>'Dry_Litterbag Placem_Collection'!B54</f>
        <v>Makao</v>
      </c>
      <c r="D53" s="260" t="s">
        <v>2643</v>
      </c>
      <c r="E53" s="260" t="s">
        <v>20</v>
      </c>
      <c r="F53" s="260">
        <v>3</v>
      </c>
      <c r="G53" s="260" t="s">
        <v>3808</v>
      </c>
      <c r="H53" s="261" t="str">
        <f>'Dry_Litterbag Placem_Collection'!C54</f>
        <v>Dry_P3_T4</v>
      </c>
      <c r="I53" s="262" t="s">
        <v>2525</v>
      </c>
      <c r="J53" s="263" t="s">
        <v>1147</v>
      </c>
      <c r="K53" s="221" t="str">
        <f>'WetLitterbags placem_collection'!K54</f>
        <v>G638</v>
      </c>
      <c r="L53" s="223">
        <f>IFERROR(INDEX('Green_rooibos initial weight'!$C$5:$C$2000,MATCH(K53, 'Green_rooibos initial weight'!$A$5:$A$2000,0)),"")</f>
        <v>2.0409999999999999</v>
      </c>
      <c r="M53" s="223">
        <f>IFERROR(L53-(TBIcalc!$H$9+TBIcalc!$H$10),"")</f>
        <v>1.7911999999999999</v>
      </c>
      <c r="N53" s="385">
        <f>AVERAGE(Ashed_controlls!$K$2:$K$11)</f>
        <v>5.5147656768714146</v>
      </c>
      <c r="O53" s="223">
        <f t="shared" si="1"/>
        <v>1.6924195171958791</v>
      </c>
      <c r="P53" s="223">
        <f>IFERROR(INDEX('Both teabags AfterWet'!$C$3:$C$840,MATCH(K53,'Both teabags AfterWet'!$A$3:$A$840,0)),"")</f>
        <v>1.075</v>
      </c>
      <c r="Q53" s="223">
        <f>IFERROR(IF(P53&gt;0,P53-(TBIcalc!$H$9),""),"")</f>
        <v>0.92439999999999989</v>
      </c>
      <c r="R53" s="223">
        <f>IFERROR(INDEX('Ashed teabags wet'!$K$2:$K$2000,MATCH(K53,'Ashed teabags wet'!$A$2:$A$2000,0)),"")</f>
        <v>30.654761904762275</v>
      </c>
      <c r="S53" s="223">
        <f t="shared" si="2"/>
        <v>0.64102738095237743</v>
      </c>
      <c r="T53" s="224">
        <f>'WetLitterbags placem_collection'!E54</f>
        <v>42766</v>
      </c>
      <c r="U53" s="224">
        <f>IF('WetLitterbags placem_collection'!G54="","",'WetLitterbags placem_collection'!G54)</f>
        <v>42820</v>
      </c>
      <c r="V53" s="225">
        <f t="shared" si="0"/>
        <v>54</v>
      </c>
      <c r="W53" s="223">
        <f t="shared" si="3"/>
        <v>0.86680000000000001</v>
      </c>
      <c r="X53" s="223">
        <f t="shared" si="4"/>
        <v>1.0513921362435017</v>
      </c>
      <c r="Y53">
        <f>IFERROR(INDEX(Rainfall_Wet!$O$2:$O$217,MATCH(B53, Rainfall_Wet!$A$2:$A$217,0)),"")</f>
        <v>214.262898705</v>
      </c>
      <c r="Z53" s="228">
        <v>21.96</v>
      </c>
      <c r="AA53" s="228">
        <v>8.9199999999999982</v>
      </c>
      <c r="AB53" s="228">
        <v>69.12</v>
      </c>
      <c r="AC53" s="229" t="s">
        <v>2654</v>
      </c>
      <c r="AD53" s="228">
        <v>1.7491375061606702</v>
      </c>
      <c r="AE53">
        <f>IF('WetLitterbags placem_collection'!AB54="","",'WetLitterbags placem_collection'!AB54)</f>
        <v>13.4</v>
      </c>
      <c r="AF53">
        <f>IF('WetLitterbags placem_collection'!Z54="","",'WetLitterbags placem_collection'!Z54)</f>
        <v>67</v>
      </c>
      <c r="AG53" s="243" t="str">
        <f>IF('WetLitterbags placem_collection'!AA54="","",'WetLitterbags placem_collection'!AA54)</f>
        <v>M</v>
      </c>
      <c r="AH53">
        <f>IF('WetLitterbags placem_collection'!AC54="","",'WetLitterbags placem_collection'!AC54)</f>
        <v>1</v>
      </c>
      <c r="AI53" s="237">
        <f>AVERAGE('WetLitterbags placem_collection'!S54,'WetLitterbags placem_collection'!U54)</f>
        <v>29.8</v>
      </c>
      <c r="AJ53">
        <f>AVERAGE('WetLitterbags placem_collection'!R54,'WetLitterbags placem_collection'!T54)</f>
        <v>25.799999999999997</v>
      </c>
      <c r="AK53">
        <f>INDEX(Coordinates!$B$2:$B$197,MATCH(H53,Coordinates!$J$2:$J$197,0))</f>
        <v>-3.4061569999999999</v>
      </c>
      <c r="AL53">
        <f>INDEX(Coordinates!$C$2:$C$197,MATCH(H53,Coordinates!$J$2:$J$197,0))</f>
        <v>34.850738999999997</v>
      </c>
      <c r="AM53" t="str">
        <f>IF(ISNUMBER(SEARCH("C", 'WetLitterbags placem_collection'!$V54)),"YES","NO")</f>
        <v>NO</v>
      </c>
      <c r="AN53" t="str">
        <f>IF(ISNUMBER(SEARCH("H", 'WetLitterbags placem_collection'!$V54)),"YES","NO")</f>
        <v>YES</v>
      </c>
      <c r="AO53" t="str">
        <f>IF(ISNUMBER(SEARCH("R", 'WetLitterbags placem_collection'!$V54)),"YES","NO")</f>
        <v>YES</v>
      </c>
    </row>
    <row r="54" spans="1:41">
      <c r="A54" s="255" t="s">
        <v>2454</v>
      </c>
      <c r="B54" s="260">
        <f>'Dry_Litterbag Placem_Collection'!A55</f>
        <v>53</v>
      </c>
      <c r="C54" s="260" t="str">
        <f>'Dry_Litterbag Placem_Collection'!B55</f>
        <v>Makao</v>
      </c>
      <c r="D54" s="260" t="s">
        <v>2643</v>
      </c>
      <c r="E54" s="260" t="s">
        <v>20</v>
      </c>
      <c r="F54" s="260">
        <v>3</v>
      </c>
      <c r="G54" s="260" t="s">
        <v>3808</v>
      </c>
      <c r="H54" s="261" t="str">
        <f>'Dry_Litterbag Placem_Collection'!C55</f>
        <v>Dry_P3_T5</v>
      </c>
      <c r="I54" s="262" t="s">
        <v>2525</v>
      </c>
      <c r="J54" s="263" t="s">
        <v>1147</v>
      </c>
      <c r="K54" s="221" t="str">
        <f>'WetLitterbags placem_collection'!K55</f>
        <v>G426</v>
      </c>
      <c r="L54" s="223">
        <f>IFERROR(INDEX('Green_rooibos initial weight'!$C$5:$C$2000,MATCH(K54, 'Green_rooibos initial weight'!$A$5:$A$2000,0)),"")</f>
        <v>2.0230000000000001</v>
      </c>
      <c r="M54" s="223">
        <f>IFERROR(L54-(TBIcalc!$H$9+TBIcalc!$H$10),"")</f>
        <v>1.7732000000000001</v>
      </c>
      <c r="N54" s="385">
        <f>AVERAGE(Ashed_controlls!$K$2:$K$11)</f>
        <v>5.5147656768714146</v>
      </c>
      <c r="O54" s="223">
        <f t="shared" si="1"/>
        <v>1.6754121750177162</v>
      </c>
      <c r="P54" s="223" t="str">
        <f>IFERROR(INDEX('Both teabags AfterWet'!$C$3:$C$840,MATCH(K54,'Both teabags AfterWet'!$A$3:$A$840,0)),"")</f>
        <v/>
      </c>
      <c r="Q54" s="223" t="str">
        <f>IFERROR(IF(P54&gt;0,P54-(TBIcalc!$H$9),""),"")</f>
        <v/>
      </c>
      <c r="R54" s="223" t="str">
        <f>IFERROR(INDEX('Ashed teabags wet'!$K$2:$K$2000,MATCH(K54,'Ashed teabags wet'!$A$2:$A$2000,0)),"")</f>
        <v/>
      </c>
      <c r="S54" s="223" t="str">
        <f t="shared" si="2"/>
        <v/>
      </c>
      <c r="T54" s="224">
        <f>'WetLitterbags placem_collection'!E55</f>
        <v>42766</v>
      </c>
      <c r="U54" s="224">
        <f>IF('WetLitterbags placem_collection'!G55="","",'WetLitterbags placem_collection'!G55)</f>
        <v>42820</v>
      </c>
      <c r="V54" s="225">
        <f t="shared" si="0"/>
        <v>54</v>
      </c>
      <c r="W54" s="223" t="str">
        <f t="shared" si="3"/>
        <v/>
      </c>
      <c r="X54" s="223" t="str">
        <f t="shared" si="4"/>
        <v/>
      </c>
      <c r="Y54">
        <f>IFERROR(INDEX(Rainfall_Wet!$O$2:$O$217,MATCH(B54, Rainfall_Wet!$A$2:$A$217,0)),"")</f>
        <v>214.262898705</v>
      </c>
      <c r="Z54" s="228">
        <v>21.96</v>
      </c>
      <c r="AA54" s="228">
        <v>8.9199999999999982</v>
      </c>
      <c r="AB54" s="228">
        <v>69.12</v>
      </c>
      <c r="AC54" s="229" t="s">
        <v>2654</v>
      </c>
      <c r="AD54" s="228">
        <v>1.7491375061606702</v>
      </c>
      <c r="AE54" t="str">
        <f>IF('WetLitterbags placem_collection'!AB55="","",'WetLitterbags placem_collection'!AB55)</f>
        <v/>
      </c>
      <c r="AF54" t="str">
        <f>IF('WetLitterbags placem_collection'!Z55="","",'WetLitterbags placem_collection'!Z55)</f>
        <v/>
      </c>
      <c r="AG54" s="243" t="str">
        <f>IF('WetLitterbags placem_collection'!AA55="","",'WetLitterbags placem_collection'!AA55)</f>
        <v/>
      </c>
      <c r="AH54" t="str">
        <f>IF('WetLitterbags placem_collection'!AC55="","",'WetLitterbags placem_collection'!AC55)</f>
        <v/>
      </c>
      <c r="AI54" s="237">
        <f>AVERAGE('WetLitterbags placem_collection'!S55,'WetLitterbags placem_collection'!U55)</f>
        <v>20.2</v>
      </c>
      <c r="AJ54">
        <f>AVERAGE('WetLitterbags placem_collection'!R55,'WetLitterbags placem_collection'!T55)</f>
        <v>22.2</v>
      </c>
      <c r="AK54">
        <f>INDEX(Coordinates!$B$2:$B$197,MATCH(H54,Coordinates!$J$2:$J$197,0))</f>
        <v>-3.4061140000000001</v>
      </c>
      <c r="AL54">
        <f>INDEX(Coordinates!$C$2:$C$197,MATCH(H54,Coordinates!$J$2:$J$197,0))</f>
        <v>34.850596000000003</v>
      </c>
      <c r="AM54" t="str">
        <f>IF(ISNUMBER(SEARCH("C", 'WetLitterbags placem_collection'!$V55)),"YES","NO")</f>
        <v>NO</v>
      </c>
      <c r="AN54" t="str">
        <f>IF(ISNUMBER(SEARCH("H", 'WetLitterbags placem_collection'!$V55)),"YES","NO")</f>
        <v>NO</v>
      </c>
      <c r="AO54" t="str">
        <f>IF(ISNUMBER(SEARCH("R", 'WetLitterbags placem_collection'!$V55)),"YES","NO")</f>
        <v>NO</v>
      </c>
    </row>
    <row r="55" spans="1:41">
      <c r="A55" s="255" t="s">
        <v>2454</v>
      </c>
      <c r="B55" s="260">
        <f>'Dry_Litterbag Placem_Collection'!A56</f>
        <v>54</v>
      </c>
      <c r="C55" s="260" t="str">
        <f>'Dry_Litterbag Placem_Collection'!B56</f>
        <v>Makao</v>
      </c>
      <c r="D55" s="260" t="s">
        <v>2643</v>
      </c>
      <c r="E55" s="260" t="s">
        <v>20</v>
      </c>
      <c r="F55" s="260">
        <v>3</v>
      </c>
      <c r="G55" s="260" t="s">
        <v>3808</v>
      </c>
      <c r="H55" s="261" t="str">
        <f>'Dry_Litterbag Placem_Collection'!C56</f>
        <v>Dry_P3_T6</v>
      </c>
      <c r="I55" s="262" t="s">
        <v>2525</v>
      </c>
      <c r="J55" s="263" t="s">
        <v>1147</v>
      </c>
      <c r="K55" s="221" t="str">
        <f>'WetLitterbags placem_collection'!K56</f>
        <v>G589</v>
      </c>
      <c r="L55" s="223">
        <f>IFERROR(INDEX('Green_rooibos initial weight'!$C$5:$C$2000,MATCH(K55, 'Green_rooibos initial weight'!$A$5:$A$2000,0)),"")</f>
        <v>2.0419999999999998</v>
      </c>
      <c r="M55" s="223">
        <f>IFERROR(L55-(TBIcalc!$H$9+TBIcalc!$H$10),"")</f>
        <v>1.7921999999999998</v>
      </c>
      <c r="N55" s="385">
        <f>AVERAGE(Ashed_controlls!$K$2:$K$11)</f>
        <v>5.5147656768714146</v>
      </c>
      <c r="O55" s="223">
        <f t="shared" si="1"/>
        <v>1.6933643695391103</v>
      </c>
      <c r="P55" s="223" t="str">
        <f>IFERROR(INDEX('Both teabags AfterWet'!$C$3:$C$840,MATCH(K55,'Both teabags AfterWet'!$A$3:$A$840,0)),"")</f>
        <v/>
      </c>
      <c r="Q55" s="223" t="str">
        <f>IFERROR(IF(P55&gt;0,P55-(TBIcalc!$H$9),""),"")</f>
        <v/>
      </c>
      <c r="R55" s="223" t="str">
        <f>IFERROR(INDEX('Ashed teabags wet'!$K$2:$K$2000,MATCH(K55,'Ashed teabags wet'!$A$2:$A$2000,0)),"")</f>
        <v/>
      </c>
      <c r="S55" s="223" t="str">
        <f t="shared" si="2"/>
        <v/>
      </c>
      <c r="T55" s="224">
        <f>'WetLitterbags placem_collection'!E56</f>
        <v>42766</v>
      </c>
      <c r="U55" s="224">
        <f>IF('WetLitterbags placem_collection'!G56="","",'WetLitterbags placem_collection'!G56)</f>
        <v>42820</v>
      </c>
      <c r="V55" s="225">
        <f t="shared" si="0"/>
        <v>54</v>
      </c>
      <c r="W55" s="223" t="str">
        <f t="shared" si="3"/>
        <v/>
      </c>
      <c r="X55" s="223" t="str">
        <f t="shared" si="4"/>
        <v/>
      </c>
      <c r="Y55">
        <f>IFERROR(INDEX(Rainfall_Wet!$O$2:$O$217,MATCH(B55, Rainfall_Wet!$A$2:$A$217,0)),"")</f>
        <v>214.262898705</v>
      </c>
      <c r="Z55" s="228">
        <v>21.96</v>
      </c>
      <c r="AA55" s="228">
        <v>8.9199999999999982</v>
      </c>
      <c r="AB55" s="228">
        <v>69.12</v>
      </c>
      <c r="AC55" s="229" t="s">
        <v>2654</v>
      </c>
      <c r="AD55" s="228">
        <v>1.7491375061606702</v>
      </c>
      <c r="AE55" t="str">
        <f>IF('WetLitterbags placem_collection'!AB56="","",'WetLitterbags placem_collection'!AB56)</f>
        <v/>
      </c>
      <c r="AF55" t="str">
        <f>IF('WetLitterbags placem_collection'!Z56="","",'WetLitterbags placem_collection'!Z56)</f>
        <v/>
      </c>
      <c r="AG55" s="243" t="str">
        <f>IF('WetLitterbags placem_collection'!AA56="","",'WetLitterbags placem_collection'!AA56)</f>
        <v/>
      </c>
      <c r="AH55" t="str">
        <f>IF('WetLitterbags placem_collection'!AC56="","",'WetLitterbags placem_collection'!AC56)</f>
        <v/>
      </c>
      <c r="AI55" s="237">
        <f>AVERAGE('WetLitterbags placem_collection'!S56,'WetLitterbags placem_collection'!U56)</f>
        <v>30.1</v>
      </c>
      <c r="AJ55">
        <f>AVERAGE('WetLitterbags placem_collection'!R56,'WetLitterbags placem_collection'!T56)</f>
        <v>22.2</v>
      </c>
      <c r="AK55">
        <f>INDEX(Coordinates!$B$2:$B$197,MATCH(H55,Coordinates!$J$2:$J$197,0))</f>
        <v>-3.406058019</v>
      </c>
      <c r="AL55">
        <f>INDEX(Coordinates!$C$2:$C$197,MATCH(H55,Coordinates!$J$2:$J$197,0))</f>
        <v>34.850466019999999</v>
      </c>
      <c r="AM55" t="str">
        <f>IF(ISNUMBER(SEARCH("C", 'WetLitterbags placem_collection'!$V56)),"YES","NO")</f>
        <v>NO</v>
      </c>
      <c r="AN55" t="str">
        <f>IF(ISNUMBER(SEARCH("H", 'WetLitterbags placem_collection'!$V56)),"YES","NO")</f>
        <v>NO</v>
      </c>
      <c r="AO55" t="str">
        <f>IF(ISNUMBER(SEARCH("R", 'WetLitterbags placem_collection'!$V56)),"YES","NO")</f>
        <v>NO</v>
      </c>
    </row>
    <row r="56" spans="1:41">
      <c r="A56" s="255" t="s">
        <v>2454</v>
      </c>
      <c r="B56" s="260">
        <f>'Dry_Litterbag Placem_Collection'!A57</f>
        <v>55</v>
      </c>
      <c r="C56" s="260" t="str">
        <f>'Dry_Litterbag Placem_Collection'!B57</f>
        <v>Makao</v>
      </c>
      <c r="D56" s="260" t="s">
        <v>2643</v>
      </c>
      <c r="E56" s="260" t="s">
        <v>20</v>
      </c>
      <c r="F56" s="260">
        <v>3</v>
      </c>
      <c r="G56" s="260" t="s">
        <v>3808</v>
      </c>
      <c r="H56" s="261" t="str">
        <f>'Dry_Litterbag Placem_Collection'!C57</f>
        <v>Dry_P3_T7</v>
      </c>
      <c r="I56" s="262" t="s">
        <v>2525</v>
      </c>
      <c r="J56" s="263" t="s">
        <v>1147</v>
      </c>
      <c r="K56" s="221" t="str">
        <f>'WetLitterbags placem_collection'!K57</f>
        <v>G622</v>
      </c>
      <c r="L56" s="223">
        <f>IFERROR(INDEX('Green_rooibos initial weight'!$C$5:$C$2000,MATCH(K56, 'Green_rooibos initial weight'!$A$5:$A$2000,0)),"")</f>
        <v>1.978</v>
      </c>
      <c r="M56" s="223">
        <f>IFERROR(L56-(TBIcalc!$H$9+TBIcalc!$H$10),"")</f>
        <v>1.7282</v>
      </c>
      <c r="N56" s="385">
        <f>AVERAGE(Ashed_controlls!$K$2:$K$11)</f>
        <v>5.5147656768714146</v>
      </c>
      <c r="O56" s="223">
        <f t="shared" si="1"/>
        <v>1.6328938195723082</v>
      </c>
      <c r="P56" s="223" t="str">
        <f>IFERROR(INDEX('Both teabags AfterWet'!$C$3:$C$840,MATCH(K56,'Both teabags AfterWet'!$A$3:$A$840,0)),"")</f>
        <v/>
      </c>
      <c r="Q56" s="223" t="str">
        <f>IFERROR(IF(P56&gt;0,P56-(TBIcalc!$H$9),""),"")</f>
        <v/>
      </c>
      <c r="R56" s="223" t="str">
        <f>IFERROR(INDEX('Ashed teabags wet'!$K$2:$K$2000,MATCH(K56,'Ashed teabags wet'!$A$2:$A$2000,0)),"")</f>
        <v/>
      </c>
      <c r="S56" s="223" t="str">
        <f t="shared" si="2"/>
        <v/>
      </c>
      <c r="T56" s="224">
        <f>'WetLitterbags placem_collection'!E57</f>
        <v>42766</v>
      </c>
      <c r="U56" s="224">
        <f>IF('WetLitterbags placem_collection'!G57="","",'WetLitterbags placem_collection'!G57)</f>
        <v>42820</v>
      </c>
      <c r="V56" s="225">
        <f t="shared" si="0"/>
        <v>54</v>
      </c>
      <c r="W56" s="223" t="str">
        <f t="shared" si="3"/>
        <v/>
      </c>
      <c r="X56" s="223" t="str">
        <f t="shared" si="4"/>
        <v/>
      </c>
      <c r="Y56">
        <f>IFERROR(INDEX(Rainfall_Wet!$O$2:$O$217,MATCH(B56, Rainfall_Wet!$A$2:$A$217,0)),"")</f>
        <v>214.262898705</v>
      </c>
      <c r="Z56" s="228">
        <v>21.96</v>
      </c>
      <c r="AA56" s="228">
        <v>8.9199999999999982</v>
      </c>
      <c r="AB56" s="228">
        <v>69.12</v>
      </c>
      <c r="AC56" s="229" t="s">
        <v>2654</v>
      </c>
      <c r="AD56" s="228">
        <v>1.7491375061606702</v>
      </c>
      <c r="AE56">
        <f>IF('WetLitterbags placem_collection'!AB57="","",'WetLitterbags placem_collection'!AB57)</f>
        <v>15.8</v>
      </c>
      <c r="AF56">
        <f>IF('WetLitterbags placem_collection'!Z57="","",'WetLitterbags placem_collection'!Z57)</f>
        <v>45</v>
      </c>
      <c r="AG56" s="243" t="str">
        <f>IF('WetLitterbags placem_collection'!AA57="","",'WetLitterbags placem_collection'!AA57)</f>
        <v>M</v>
      </c>
      <c r="AH56">
        <f>IF('WetLitterbags placem_collection'!AC57="","",'WetLitterbags placem_collection'!AC57)</f>
        <v>1</v>
      </c>
      <c r="AI56" s="237">
        <f>AVERAGE('WetLitterbags placem_collection'!S57,'WetLitterbags placem_collection'!U57)</f>
        <v>33</v>
      </c>
      <c r="AJ56">
        <f>AVERAGE('WetLitterbags placem_collection'!R57,'WetLitterbags placem_collection'!T57)</f>
        <v>25.9</v>
      </c>
      <c r="AK56">
        <f>INDEX(Coordinates!$B$2:$B$197,MATCH(H56,Coordinates!$J$2:$J$197,0))</f>
        <v>-3.4061389879999999</v>
      </c>
      <c r="AL56">
        <f>INDEX(Coordinates!$C$2:$C$197,MATCH(H56,Coordinates!$J$2:$J$197,0))</f>
        <v>34.850574979999998</v>
      </c>
      <c r="AM56" t="str">
        <f>IF(ISNUMBER(SEARCH("C", 'WetLitterbags placem_collection'!$V57)),"YES","NO")</f>
        <v>NO</v>
      </c>
      <c r="AN56" t="str">
        <f>IF(ISNUMBER(SEARCH("H", 'WetLitterbags placem_collection'!$V57)),"YES","NO")</f>
        <v>NO</v>
      </c>
      <c r="AO56" t="str">
        <f>IF(ISNUMBER(SEARCH("R", 'WetLitterbags placem_collection'!$V57)),"YES","NO")</f>
        <v>NO</v>
      </c>
    </row>
    <row r="57" spans="1:41">
      <c r="A57" s="255" t="s">
        <v>2454</v>
      </c>
      <c r="B57" s="260">
        <f>'Dry_Litterbag Placem_Collection'!A58</f>
        <v>56</v>
      </c>
      <c r="C57" s="260" t="str">
        <f>'Dry_Litterbag Placem_Collection'!B58</f>
        <v>Makao</v>
      </c>
      <c r="D57" s="260" t="s">
        <v>2643</v>
      </c>
      <c r="E57" s="260" t="s">
        <v>20</v>
      </c>
      <c r="F57" s="260">
        <v>3</v>
      </c>
      <c r="G57" s="260" t="s">
        <v>3808</v>
      </c>
      <c r="H57" s="261" t="str">
        <f>'Dry_Litterbag Placem_Collection'!C58</f>
        <v>Dry_P3_T8</v>
      </c>
      <c r="I57" s="262" t="s">
        <v>2525</v>
      </c>
      <c r="J57" s="263" t="s">
        <v>1147</v>
      </c>
      <c r="K57" s="221" t="str">
        <f>'WetLitterbags placem_collection'!K58</f>
        <v>G538</v>
      </c>
      <c r="L57" s="223">
        <f>IFERROR(INDEX('Green_rooibos initial weight'!$C$5:$C$2000,MATCH(K57, 'Green_rooibos initial weight'!$A$5:$A$2000,0)),"")</f>
        <v>2.1760000000000002</v>
      </c>
      <c r="M57" s="223">
        <f>IFERROR(L57-(TBIcalc!$H$9+TBIcalc!$H$10),"")</f>
        <v>1.9262000000000001</v>
      </c>
      <c r="N57" s="385">
        <f>AVERAGE(Ashed_controlls!$K$2:$K$11)</f>
        <v>5.5147656768714146</v>
      </c>
      <c r="O57" s="223">
        <f t="shared" si="1"/>
        <v>1.8199745835321028</v>
      </c>
      <c r="P57" s="223">
        <f>IFERROR(INDEX('Both teabags AfterWet'!$C$3:$C$840,MATCH(K57,'Both teabags AfterWet'!$A$3:$A$840,0)),"")</f>
        <v>0.81</v>
      </c>
      <c r="Q57" s="223">
        <f>IFERROR(IF(P57&gt;0,P57-(TBIcalc!$H$9),""),"")</f>
        <v>0.65939999999999999</v>
      </c>
      <c r="R57" s="223">
        <f>IFERROR(INDEX('Ashed teabags wet'!$K$2:$K$2000,MATCH(K57,'Ashed teabags wet'!$A$2:$A$2000,0)),"")</f>
        <v>21.852387843704392</v>
      </c>
      <c r="S57" s="223">
        <f t="shared" si="2"/>
        <v>0.51530535455861326</v>
      </c>
      <c r="T57" s="224">
        <f>'WetLitterbags placem_collection'!E58</f>
        <v>42766</v>
      </c>
      <c r="U57" s="224">
        <f>IF('WetLitterbags placem_collection'!G58="","",'WetLitterbags placem_collection'!G58)</f>
        <v>42820</v>
      </c>
      <c r="V57" s="225">
        <f t="shared" si="0"/>
        <v>54</v>
      </c>
      <c r="W57" s="223">
        <f t="shared" si="3"/>
        <v>1.2668000000000001</v>
      </c>
      <c r="X57" s="223">
        <f t="shared" si="4"/>
        <v>1.3046692289734896</v>
      </c>
      <c r="Y57">
        <f>IFERROR(INDEX(Rainfall_Wet!$O$2:$O$217,MATCH(B57, Rainfall_Wet!$A$2:$A$217,0)),"")</f>
        <v>214.262898705</v>
      </c>
      <c r="Z57" s="228">
        <v>21.96</v>
      </c>
      <c r="AA57" s="228">
        <v>8.9199999999999982</v>
      </c>
      <c r="AB57" s="228">
        <v>69.12</v>
      </c>
      <c r="AC57" s="229" t="s">
        <v>2654</v>
      </c>
      <c r="AD57" s="228">
        <v>1.7491375061606702</v>
      </c>
      <c r="AE57">
        <f>IF('WetLitterbags placem_collection'!AB58="","",'WetLitterbags placem_collection'!AB58)</f>
        <v>15.4</v>
      </c>
      <c r="AF57">
        <f>IF('WetLitterbags placem_collection'!Z58="","",'WetLitterbags placem_collection'!Z58)</f>
        <v>30.8</v>
      </c>
      <c r="AG57" s="243" t="str">
        <f>IF('WetLitterbags placem_collection'!AA58="","",'WetLitterbags placem_collection'!AA58)</f>
        <v>M</v>
      </c>
      <c r="AH57">
        <f>IF('WetLitterbags placem_collection'!AC58="","",'WetLitterbags placem_collection'!AC58)</f>
        <v>0</v>
      </c>
      <c r="AI57" s="237">
        <f>AVERAGE('WetLitterbags placem_collection'!S58,'WetLitterbags placem_collection'!U58)</f>
        <v>29.5</v>
      </c>
      <c r="AJ57">
        <f>AVERAGE('WetLitterbags placem_collection'!R58,'WetLitterbags placem_collection'!T58)</f>
        <v>27.6</v>
      </c>
      <c r="AK57">
        <f>INDEX(Coordinates!$B$2:$B$197,MATCH(H57,Coordinates!$J$2:$J$197,0))</f>
        <v>-3.4062900300000001</v>
      </c>
      <c r="AL57">
        <f>INDEX(Coordinates!$C$2:$C$197,MATCH(H57,Coordinates!$J$2:$J$197,0))</f>
        <v>34.850441959999998</v>
      </c>
      <c r="AM57" t="str">
        <f>IF(ISNUMBER(SEARCH("C", 'WetLitterbags placem_collection'!$V58)),"YES","NO")</f>
        <v>NO</v>
      </c>
      <c r="AN57" t="str">
        <f>IF(ISNUMBER(SEARCH("H", 'WetLitterbags placem_collection'!$V58)),"YES","NO")</f>
        <v>YES</v>
      </c>
      <c r="AO57" t="str">
        <f>IF(ISNUMBER(SEARCH("R", 'WetLitterbags placem_collection'!$V58)),"YES","NO")</f>
        <v>YES</v>
      </c>
    </row>
    <row r="58" spans="1:41">
      <c r="A58" s="255" t="s">
        <v>2454</v>
      </c>
      <c r="B58" s="260">
        <f>'Dry_Litterbag Placem_Collection'!A59</f>
        <v>57</v>
      </c>
      <c r="C58" s="260" t="str">
        <f>'Dry_Litterbag Placem_Collection'!B59</f>
        <v>Makao</v>
      </c>
      <c r="D58" s="260" t="s">
        <v>2643</v>
      </c>
      <c r="E58" s="260" t="s">
        <v>20</v>
      </c>
      <c r="F58" s="260">
        <v>4</v>
      </c>
      <c r="G58" s="260" t="s">
        <v>3809</v>
      </c>
      <c r="H58" s="261" t="str">
        <f>'Dry_Litterbag Placem_Collection'!C59</f>
        <v>Dry_P4_T1</v>
      </c>
      <c r="I58" s="262" t="s">
        <v>2525</v>
      </c>
      <c r="J58" s="263" t="s">
        <v>1147</v>
      </c>
      <c r="K58" s="221" t="str">
        <f>'WetLitterbags placem_collection'!K59</f>
        <v>G546</v>
      </c>
      <c r="L58" s="223">
        <f>IFERROR(INDEX('Green_rooibos initial weight'!$C$5:$C$2000,MATCH(K58, 'Green_rooibos initial weight'!$A$5:$A$2000,0)),"")</f>
        <v>2.1429999999999998</v>
      </c>
      <c r="M58" s="223">
        <f>IFERROR(L58-(TBIcalc!$H$9+TBIcalc!$H$10),"")</f>
        <v>1.8931999999999998</v>
      </c>
      <c r="N58" s="385">
        <f>AVERAGE(Ashed_controlls!$K$2:$K$11)</f>
        <v>5.5147656768714146</v>
      </c>
      <c r="O58" s="223">
        <f t="shared" si="1"/>
        <v>1.7887944562054701</v>
      </c>
      <c r="P58" s="223">
        <f>IFERROR(INDEX('Both teabags AfterWet'!$C$3:$C$840,MATCH(K58,'Both teabags AfterWet'!$A$3:$A$840,0)),"")</f>
        <v>0.88660000000000005</v>
      </c>
      <c r="Q58" s="223">
        <f>IFERROR(IF(P58&gt;0,P58-(TBIcalc!$H$9),""),"")</f>
        <v>0.73599999999999999</v>
      </c>
      <c r="R58" s="223">
        <f>IFERROR(INDEX('Ashed teabags wet'!$K$2:$K$2000,MATCH(K58,'Ashed teabags wet'!$A$2:$A$2000,0)),"")</f>
        <v>16.553398058252881</v>
      </c>
      <c r="S58" s="223">
        <f t="shared" si="2"/>
        <v>0.61416699029125876</v>
      </c>
      <c r="T58" s="224">
        <f>'WetLitterbags placem_collection'!E59</f>
        <v>42766</v>
      </c>
      <c r="U58" s="224">
        <f>IF('WetLitterbags placem_collection'!G59="","",'WetLitterbags placem_collection'!G59)</f>
        <v>42820</v>
      </c>
      <c r="V58" s="225">
        <f t="shared" si="0"/>
        <v>54</v>
      </c>
      <c r="W58" s="223">
        <f t="shared" si="3"/>
        <v>1.1571999999999998</v>
      </c>
      <c r="X58" s="223">
        <f t="shared" si="4"/>
        <v>1.1746274659142113</v>
      </c>
      <c r="Y58">
        <f>IFERROR(INDEX(Rainfall_Wet!$O$2:$O$217,MATCH(B58, Rainfall_Wet!$A$2:$A$217,0)),"")</f>
        <v>214.262898705</v>
      </c>
      <c r="Z58" s="228">
        <v>25.96</v>
      </c>
      <c r="AA58" s="228">
        <v>6.9200000000000008</v>
      </c>
      <c r="AB58" s="228">
        <v>67.12</v>
      </c>
      <c r="AC58" s="229" t="s">
        <v>2654</v>
      </c>
      <c r="AD58" s="228">
        <v>1.7568260226712666</v>
      </c>
      <c r="AE58">
        <f>IF('WetLitterbags placem_collection'!AB59="","",'WetLitterbags placem_collection'!AB59)</f>
        <v>3.3</v>
      </c>
      <c r="AF58">
        <f>IF('WetLitterbags placem_collection'!Z59="","",'WetLitterbags placem_collection'!Z59)</f>
        <v>28.4</v>
      </c>
      <c r="AG58" s="243" t="str">
        <f>IF('WetLitterbags placem_collection'!AA59="","",'WetLitterbags placem_collection'!AA59)</f>
        <v>O</v>
      </c>
      <c r="AH58">
        <f>IF('WetLitterbags placem_collection'!AC59="","",'WetLitterbags placem_collection'!AC59)</f>
        <v>1</v>
      </c>
      <c r="AI58" s="237">
        <f>AVERAGE('WetLitterbags placem_collection'!S59,'WetLitterbags placem_collection'!U59)</f>
        <v>31.6</v>
      </c>
      <c r="AJ58">
        <f>AVERAGE('WetLitterbags placem_collection'!R59,'WetLitterbags placem_collection'!T59)</f>
        <v>26.9</v>
      </c>
      <c r="AK58">
        <f>INDEX(Coordinates!$B$2:$B$197,MATCH(H58,Coordinates!$J$2:$J$197,0))</f>
        <v>-3.4064239729999999</v>
      </c>
      <c r="AL58">
        <f>INDEX(Coordinates!$C$2:$C$197,MATCH(H58,Coordinates!$J$2:$J$197,0))</f>
        <v>34.851213010000002</v>
      </c>
      <c r="AM58" t="str">
        <f>IF(ISNUMBER(SEARCH("C", 'WetLitterbags placem_collection'!$V59)),"YES","NO")</f>
        <v>NO</v>
      </c>
      <c r="AN58" t="str">
        <f>IF(ISNUMBER(SEARCH("H", 'WetLitterbags placem_collection'!$V59)),"YES","NO")</f>
        <v>NO</v>
      </c>
      <c r="AO58" t="str">
        <f>IF(ISNUMBER(SEARCH("R", 'WetLitterbags placem_collection'!$V59)),"YES","NO")</f>
        <v>YES</v>
      </c>
    </row>
    <row r="59" spans="1:41">
      <c r="A59" s="255" t="s">
        <v>2454</v>
      </c>
      <c r="B59" s="260">
        <f>'Dry_Litterbag Placem_Collection'!A60</f>
        <v>58</v>
      </c>
      <c r="C59" s="260" t="str">
        <f>'Dry_Litterbag Placem_Collection'!B60</f>
        <v>Makao</v>
      </c>
      <c r="D59" s="260" t="s">
        <v>2643</v>
      </c>
      <c r="E59" s="260" t="s">
        <v>20</v>
      </c>
      <c r="F59" s="260">
        <v>4</v>
      </c>
      <c r="G59" s="260" t="s">
        <v>3809</v>
      </c>
      <c r="H59" s="261" t="str">
        <f>'Dry_Litterbag Placem_Collection'!C60</f>
        <v>Dry_P4_T2</v>
      </c>
      <c r="I59" s="262" t="s">
        <v>2525</v>
      </c>
      <c r="J59" s="263" t="s">
        <v>1147</v>
      </c>
      <c r="K59" s="221" t="str">
        <f>'WetLitterbags placem_collection'!K60</f>
        <v>G513</v>
      </c>
      <c r="L59" s="223">
        <f>IFERROR(INDEX('Green_rooibos initial weight'!$C$5:$C$2000,MATCH(K59, 'Green_rooibos initial weight'!$A$5:$A$2000,0)),"")</f>
        <v>2.0179999999999998</v>
      </c>
      <c r="M59" s="223">
        <f>IFERROR(L59-(TBIcalc!$H$9+TBIcalc!$H$10),"")</f>
        <v>1.7681999999999998</v>
      </c>
      <c r="N59" s="385">
        <f>AVERAGE(Ashed_controlls!$K$2:$K$11)</f>
        <v>5.5147656768714146</v>
      </c>
      <c r="O59" s="223">
        <f t="shared" si="1"/>
        <v>1.6706879133015595</v>
      </c>
      <c r="P59" s="223">
        <f>IFERROR(INDEX('Both teabags AfterWet'!$C$3:$C$840,MATCH(K59,'Both teabags AfterWet'!$A$3:$A$840,0)),"")</f>
        <v>0.93279999999999996</v>
      </c>
      <c r="Q59" s="223">
        <f>IFERROR(IF(P59&gt;0,P59-(TBIcalc!$H$9),""),"")</f>
        <v>0.78220000000000001</v>
      </c>
      <c r="R59" s="223">
        <f>IFERROR(INDEX('Ashed teabags wet'!$K$2:$K$2000,MATCH(K59,'Ashed teabags wet'!$A$2:$A$2000,0)),"")</f>
        <v>17.757936507936094</v>
      </c>
      <c r="S59" s="223">
        <f t="shared" si="2"/>
        <v>0.6432974206349239</v>
      </c>
      <c r="T59" s="224">
        <f>'WetLitterbags placem_collection'!E60</f>
        <v>42766</v>
      </c>
      <c r="U59" s="224">
        <f>IF('WetLitterbags placem_collection'!G60="","",'WetLitterbags placem_collection'!G60)</f>
        <v>42820</v>
      </c>
      <c r="V59" s="225">
        <f t="shared" si="0"/>
        <v>54</v>
      </c>
      <c r="W59" s="223">
        <f t="shared" si="3"/>
        <v>0.98599999999999977</v>
      </c>
      <c r="X59" s="223">
        <f t="shared" si="4"/>
        <v>1.0273904926666355</v>
      </c>
      <c r="Y59">
        <f>IFERROR(INDEX(Rainfall_Wet!$O$2:$O$217,MATCH(B59, Rainfall_Wet!$A$2:$A$217,0)),"")</f>
        <v>214.262898705</v>
      </c>
      <c r="Z59" s="228">
        <v>25.96</v>
      </c>
      <c r="AA59" s="228">
        <v>6.9200000000000008</v>
      </c>
      <c r="AB59" s="228">
        <v>67.12</v>
      </c>
      <c r="AC59" s="229" t="s">
        <v>2654</v>
      </c>
      <c r="AD59" s="228">
        <v>1.7568260226712666</v>
      </c>
      <c r="AE59">
        <f>IF('WetLitterbags placem_collection'!AB60="","",'WetLitterbags placem_collection'!AB60)</f>
        <v>1.4</v>
      </c>
      <c r="AF59">
        <f>IF('WetLitterbags placem_collection'!Z60="","",'WetLitterbags placem_collection'!Z60)</f>
        <v>54.4</v>
      </c>
      <c r="AG59" s="243" t="str">
        <f>IF('WetLitterbags placem_collection'!AA60="","",'WetLitterbags placem_collection'!AA60)</f>
        <v>O</v>
      </c>
      <c r="AH59">
        <f>IF('WetLitterbags placem_collection'!AC60="","",'WetLitterbags placem_collection'!AC60)</f>
        <v>0</v>
      </c>
      <c r="AI59" s="237">
        <f>AVERAGE('WetLitterbags placem_collection'!S60,'WetLitterbags placem_collection'!U60)</f>
        <v>31.6</v>
      </c>
      <c r="AJ59">
        <f>AVERAGE('WetLitterbags placem_collection'!R60,'WetLitterbags placem_collection'!T60)</f>
        <v>26.700000000000003</v>
      </c>
      <c r="AK59">
        <f>INDEX(Coordinates!$B$2:$B$197,MATCH(H59,Coordinates!$J$2:$J$197,0))</f>
        <v>-3.4065020079999999</v>
      </c>
      <c r="AL59">
        <f>INDEX(Coordinates!$C$2:$C$197,MATCH(H59,Coordinates!$J$2:$J$197,0))</f>
        <v>34.851056020000001</v>
      </c>
      <c r="AM59" t="str">
        <f>IF(ISNUMBER(SEARCH("C", 'WetLitterbags placem_collection'!$V60)),"YES","NO")</f>
        <v>NO</v>
      </c>
      <c r="AN59" t="str">
        <f>IF(ISNUMBER(SEARCH("H", 'WetLitterbags placem_collection'!$V60)),"YES","NO")</f>
        <v>YES</v>
      </c>
      <c r="AO59" t="str">
        <f>IF(ISNUMBER(SEARCH("R", 'WetLitterbags placem_collection'!$V60)),"YES","NO")</f>
        <v>YES</v>
      </c>
    </row>
    <row r="60" spans="1:41">
      <c r="A60" s="255" t="s">
        <v>2454</v>
      </c>
      <c r="B60" s="260">
        <f>'Dry_Litterbag Placem_Collection'!A61</f>
        <v>59</v>
      </c>
      <c r="C60" s="260" t="str">
        <f>'Dry_Litterbag Placem_Collection'!B61</f>
        <v>Makao</v>
      </c>
      <c r="D60" s="260" t="s">
        <v>2643</v>
      </c>
      <c r="E60" s="260" t="s">
        <v>20</v>
      </c>
      <c r="F60" s="260">
        <v>4</v>
      </c>
      <c r="G60" s="260" t="s">
        <v>3809</v>
      </c>
      <c r="H60" s="261" t="str">
        <f>'Dry_Litterbag Placem_Collection'!C61</f>
        <v>Dry_P4_T3</v>
      </c>
      <c r="I60" s="262" t="s">
        <v>2525</v>
      </c>
      <c r="J60" s="263" t="s">
        <v>1147</v>
      </c>
      <c r="K60" s="221" t="str">
        <f>'WetLitterbags placem_collection'!K61</f>
        <v>G489</v>
      </c>
      <c r="L60" s="223">
        <f>IFERROR(INDEX('Green_rooibos initial weight'!$C$5:$C$2000,MATCH(K60, 'Green_rooibos initial weight'!$A$5:$A$2000,0)),"")</f>
        <v>1.9</v>
      </c>
      <c r="M60" s="223">
        <f>IFERROR(L60-(TBIcalc!$H$9+TBIcalc!$H$10),"")</f>
        <v>1.6501999999999999</v>
      </c>
      <c r="N60" s="385">
        <f>AVERAGE(Ashed_controlls!$K$2:$K$11)</f>
        <v>5.5147656768714146</v>
      </c>
      <c r="O60" s="223">
        <f t="shared" si="1"/>
        <v>1.5591953368002678</v>
      </c>
      <c r="P60" s="223">
        <f>IFERROR(INDEX('Both teabags AfterWet'!$C$3:$C$840,MATCH(K60,'Both teabags AfterWet'!$A$3:$A$840,0)),"")</f>
        <v>0.88400000000000001</v>
      </c>
      <c r="Q60" s="223">
        <f>IFERROR(IF(P60&gt;0,P60-(TBIcalc!$H$9),""),"")</f>
        <v>0.73340000000000005</v>
      </c>
      <c r="R60" s="223">
        <f>IFERROR(INDEX('Ashed teabags wet'!$K$2:$K$2000,MATCH(K60,'Ashed teabags wet'!$A$2:$A$2000,0)),"")</f>
        <v>11.144278606964582</v>
      </c>
      <c r="S60" s="223">
        <f t="shared" si="2"/>
        <v>0.65166786069652183</v>
      </c>
      <c r="T60" s="224">
        <f>'WetLitterbags placem_collection'!E61</f>
        <v>42766</v>
      </c>
      <c r="U60" s="224">
        <f>IF('WetLitterbags placem_collection'!G61="","",'WetLitterbags placem_collection'!G61)</f>
        <v>42820</v>
      </c>
      <c r="V60" s="225">
        <f t="shared" si="0"/>
        <v>54</v>
      </c>
      <c r="W60" s="223">
        <f t="shared" si="3"/>
        <v>0.91679999999999984</v>
      </c>
      <c r="X60" s="223">
        <f t="shared" si="4"/>
        <v>0.90752747610374596</v>
      </c>
      <c r="Y60">
        <f>IFERROR(INDEX(Rainfall_Wet!$O$2:$O$217,MATCH(B60, Rainfall_Wet!$A$2:$A$217,0)),"")</f>
        <v>214.262898705</v>
      </c>
      <c r="Z60" s="228">
        <v>25.96</v>
      </c>
      <c r="AA60" s="228">
        <v>6.9200000000000008</v>
      </c>
      <c r="AB60" s="228">
        <v>67.12</v>
      </c>
      <c r="AC60" s="229" t="s">
        <v>2654</v>
      </c>
      <c r="AD60" s="228">
        <v>1.7568260226712666</v>
      </c>
      <c r="AE60">
        <f>IF('WetLitterbags placem_collection'!AB61="","",'WetLitterbags placem_collection'!AB61)</f>
        <v>3.3</v>
      </c>
      <c r="AF60">
        <f>IF('WetLitterbags placem_collection'!Z61="","",'WetLitterbags placem_collection'!Z61)</f>
        <v>46</v>
      </c>
      <c r="AG60" s="243" t="str">
        <f>IF('WetLitterbags placem_collection'!AA61="","",'WetLitterbags placem_collection'!AA61)</f>
        <v>O</v>
      </c>
      <c r="AH60">
        <f>IF('WetLitterbags placem_collection'!AC61="","",'WetLitterbags placem_collection'!AC61)</f>
        <v>0</v>
      </c>
      <c r="AI60" s="237">
        <f>AVERAGE('WetLitterbags placem_collection'!S61,'WetLitterbags placem_collection'!U61)</f>
        <v>27.9</v>
      </c>
      <c r="AJ60">
        <f>AVERAGE('WetLitterbags placem_collection'!R61,'WetLitterbags placem_collection'!T61)</f>
        <v>27.049999999999997</v>
      </c>
      <c r="AK60">
        <f>INDEX(Coordinates!$B$2:$B$197,MATCH(H60,Coordinates!$J$2:$J$197,0))</f>
        <v>-3.4062359670000002</v>
      </c>
      <c r="AL60">
        <f>INDEX(Coordinates!$C$2:$C$197,MATCH(H60,Coordinates!$J$2:$J$197,0))</f>
        <v>34.851107990000003</v>
      </c>
      <c r="AM60" t="str">
        <f>IF(ISNUMBER(SEARCH("C", 'WetLitterbags placem_collection'!$V61)),"YES","NO")</f>
        <v>NO</v>
      </c>
      <c r="AN60" t="str">
        <f>IF(ISNUMBER(SEARCH("H", 'WetLitterbags placem_collection'!$V61)),"YES","NO")</f>
        <v>NO</v>
      </c>
      <c r="AO60" t="str">
        <f>IF(ISNUMBER(SEARCH("R", 'WetLitterbags placem_collection'!$V61)),"YES","NO")</f>
        <v>NO</v>
      </c>
    </row>
    <row r="61" spans="1:41">
      <c r="A61" s="255" t="s">
        <v>2454</v>
      </c>
      <c r="B61" s="260">
        <f>'Dry_Litterbag Placem_Collection'!A62</f>
        <v>60</v>
      </c>
      <c r="C61" s="260" t="str">
        <f>'Dry_Litterbag Placem_Collection'!B62</f>
        <v>Makao</v>
      </c>
      <c r="D61" s="260" t="s">
        <v>2643</v>
      </c>
      <c r="E61" s="260" t="s">
        <v>20</v>
      </c>
      <c r="F61" s="260">
        <v>4</v>
      </c>
      <c r="G61" s="260" t="s">
        <v>3809</v>
      </c>
      <c r="H61" s="261" t="str">
        <f>'Dry_Litterbag Placem_Collection'!C62</f>
        <v>Dry_P4_T4</v>
      </c>
      <c r="I61" s="262" t="s">
        <v>2525</v>
      </c>
      <c r="J61" s="263" t="s">
        <v>1147</v>
      </c>
      <c r="K61" s="221" t="str">
        <f>'WetLitterbags placem_collection'!K62</f>
        <v>G633</v>
      </c>
      <c r="L61" s="223">
        <f>IFERROR(INDEX('Green_rooibos initial weight'!$C$5:$C$2000,MATCH(K61, 'Green_rooibos initial weight'!$A$5:$A$2000,0)),"")</f>
        <v>2.0630000000000002</v>
      </c>
      <c r="M61" s="223">
        <f>IFERROR(L61-(TBIcalc!$H$9+TBIcalc!$H$10),"")</f>
        <v>1.8132000000000001</v>
      </c>
      <c r="N61" s="385">
        <f>AVERAGE(Ashed_controlls!$K$2:$K$11)</f>
        <v>5.5147656768714146</v>
      </c>
      <c r="O61" s="223">
        <f t="shared" si="1"/>
        <v>1.7132062687469676</v>
      </c>
      <c r="P61" s="223">
        <f>IFERROR(INDEX('Both teabags AfterWet'!$C$3:$C$840,MATCH(K61,'Both teabags AfterWet'!$A$3:$A$840,0)),"")</f>
        <v>0.874</v>
      </c>
      <c r="Q61" s="223">
        <f>IFERROR(IF(P61&gt;0,P61-(TBIcalc!$H$9),""),"")</f>
        <v>0.72340000000000004</v>
      </c>
      <c r="R61" s="223">
        <f>IFERROR(INDEX('Ashed teabags wet'!$K$2:$K$2000,MATCH(K61,'Ashed teabags wet'!$A$2:$A$2000,0)),"")</f>
        <v>12.827988338192315</v>
      </c>
      <c r="S61" s="223">
        <f t="shared" si="2"/>
        <v>0.63060233236151686</v>
      </c>
      <c r="T61" s="224">
        <f>'WetLitterbags placem_collection'!E62</f>
        <v>42766</v>
      </c>
      <c r="U61" s="224">
        <f>IF('WetLitterbags placem_collection'!G62="","",'WetLitterbags placem_collection'!G62)</f>
        <v>42820</v>
      </c>
      <c r="V61" s="225">
        <f t="shared" si="0"/>
        <v>54</v>
      </c>
      <c r="W61" s="223">
        <f t="shared" si="3"/>
        <v>1.0898000000000001</v>
      </c>
      <c r="X61" s="223">
        <f t="shared" si="4"/>
        <v>1.0826039363854507</v>
      </c>
      <c r="Y61">
        <f>IFERROR(INDEX(Rainfall_Wet!$O$2:$O$217,MATCH(B61, Rainfall_Wet!$A$2:$A$217,0)),"")</f>
        <v>214.262898705</v>
      </c>
      <c r="Z61" s="228">
        <v>25.96</v>
      </c>
      <c r="AA61" s="228">
        <v>6.9200000000000008</v>
      </c>
      <c r="AB61" s="228">
        <v>67.12</v>
      </c>
      <c r="AC61" s="229" t="s">
        <v>2654</v>
      </c>
      <c r="AD61" s="228">
        <v>1.7568260226712666</v>
      </c>
      <c r="AE61">
        <f>IF('WetLitterbags placem_collection'!AB62="","",'WetLitterbags placem_collection'!AB62)</f>
        <v>2.4</v>
      </c>
      <c r="AF61">
        <f>IF('WetLitterbags placem_collection'!Z62="","",'WetLitterbags placem_collection'!Z62)</f>
        <v>10.199999999999999</v>
      </c>
      <c r="AG61" s="243" t="str">
        <f>IF('WetLitterbags placem_collection'!AA62="","",'WetLitterbags placem_collection'!AA62)</f>
        <v>O</v>
      </c>
      <c r="AH61">
        <f>IF('WetLitterbags placem_collection'!AC62="","",'WetLitterbags placem_collection'!AC62)</f>
        <v>0</v>
      </c>
      <c r="AI61" s="237">
        <f>AVERAGE('WetLitterbags placem_collection'!S62,'WetLitterbags placem_collection'!U62)</f>
        <v>22.5</v>
      </c>
      <c r="AJ61">
        <f>AVERAGE('WetLitterbags placem_collection'!R62,'WetLitterbags placem_collection'!T62)</f>
        <v>28.6</v>
      </c>
      <c r="AK61">
        <f>INDEX(Coordinates!$B$2:$B$197,MATCH(H61,Coordinates!$J$2:$J$197,0))</f>
        <v>-3.406281983</v>
      </c>
      <c r="AL61">
        <f>INDEX(Coordinates!$C$2:$C$197,MATCH(H61,Coordinates!$J$2:$J$197,0))</f>
        <v>34.85137898</v>
      </c>
      <c r="AM61" t="str">
        <f>IF(ISNUMBER(SEARCH("C", 'WetLitterbags placem_collection'!$V62)),"YES","NO")</f>
        <v>NO</v>
      </c>
      <c r="AN61" t="str">
        <f>IF(ISNUMBER(SEARCH("H", 'WetLitterbags placem_collection'!$V62)),"YES","NO")</f>
        <v>NO</v>
      </c>
      <c r="AO61" t="str">
        <f>IF(ISNUMBER(SEARCH("R", 'WetLitterbags placem_collection'!$V62)),"YES","NO")</f>
        <v>YES</v>
      </c>
    </row>
    <row r="62" spans="1:41">
      <c r="A62" s="255" t="s">
        <v>2454</v>
      </c>
      <c r="B62" s="260">
        <f>'Dry_Litterbag Placem_Collection'!A63</f>
        <v>61</v>
      </c>
      <c r="C62" s="260" t="str">
        <f>'Dry_Litterbag Placem_Collection'!B63</f>
        <v>Makao</v>
      </c>
      <c r="D62" s="260" t="s">
        <v>2643</v>
      </c>
      <c r="E62" s="260" t="s">
        <v>20</v>
      </c>
      <c r="F62" s="260">
        <v>4</v>
      </c>
      <c r="G62" s="260" t="s">
        <v>3809</v>
      </c>
      <c r="H62" s="261" t="str">
        <f>'Dry_Litterbag Placem_Collection'!C63</f>
        <v>Dry_P4_T5</v>
      </c>
      <c r="I62" s="262" t="s">
        <v>2525</v>
      </c>
      <c r="J62" s="263" t="s">
        <v>1147</v>
      </c>
      <c r="K62" s="221" t="str">
        <f>'WetLitterbags placem_collection'!K63</f>
        <v>G541</v>
      </c>
      <c r="L62" s="223">
        <f>IFERROR(INDEX('Green_rooibos initial weight'!$C$5:$C$2000,MATCH(K62, 'Green_rooibos initial weight'!$A$5:$A$2000,0)),"")</f>
        <v>1.978</v>
      </c>
      <c r="M62" s="223">
        <f>IFERROR(L62-(TBIcalc!$H$9+TBIcalc!$H$10),"")</f>
        <v>1.7282</v>
      </c>
      <c r="N62" s="385">
        <f>AVERAGE(Ashed_controlls!$K$2:$K$11)</f>
        <v>5.5147656768714146</v>
      </c>
      <c r="O62" s="223">
        <f t="shared" si="1"/>
        <v>1.6328938195723082</v>
      </c>
      <c r="P62" s="223">
        <f>IFERROR(INDEX('Both teabags AfterWet'!$C$3:$C$840,MATCH(K62,'Both teabags AfterWet'!$A$3:$A$840,0)),"")</f>
        <v>0.78600000000000003</v>
      </c>
      <c r="Q62" s="223">
        <f>IFERROR(IF(P62&gt;0,P62-(TBIcalc!$H$9),""),"")</f>
        <v>0.63539999999999996</v>
      </c>
      <c r="R62" s="223">
        <f>IFERROR(INDEX('Ashed teabags wet'!$K$2:$K$2000,MATCH(K62,'Ashed teabags wet'!$A$2:$A$2000,0)),"")</f>
        <v>12.728194726166139</v>
      </c>
      <c r="S62" s="223">
        <f t="shared" si="2"/>
        <v>0.55452505070994029</v>
      </c>
      <c r="T62" s="224">
        <f>'WetLitterbags placem_collection'!E63</f>
        <v>42766</v>
      </c>
      <c r="U62" s="224">
        <f>IF('WetLitterbags placem_collection'!G63="","",'WetLitterbags placem_collection'!G63)</f>
        <v>42820</v>
      </c>
      <c r="V62" s="225">
        <f t="shared" si="0"/>
        <v>54</v>
      </c>
      <c r="W62" s="223">
        <f t="shared" si="3"/>
        <v>1.0928</v>
      </c>
      <c r="X62" s="223">
        <f t="shared" si="4"/>
        <v>1.0783687688623678</v>
      </c>
      <c r="Y62">
        <f>IFERROR(INDEX(Rainfall_Wet!$O$2:$O$217,MATCH(B62, Rainfall_Wet!$A$2:$A$217,0)),"")</f>
        <v>214.262898705</v>
      </c>
      <c r="Z62" s="228">
        <v>25.96</v>
      </c>
      <c r="AA62" s="228">
        <v>6.9200000000000008</v>
      </c>
      <c r="AB62" s="228">
        <v>67.12</v>
      </c>
      <c r="AC62" s="229" t="s">
        <v>2654</v>
      </c>
      <c r="AD62" s="228">
        <v>1.7568260226712666</v>
      </c>
      <c r="AE62">
        <f>IF('WetLitterbags placem_collection'!AB63="","",'WetLitterbags placem_collection'!AB63)</f>
        <v>5.6</v>
      </c>
      <c r="AF62">
        <f>IF('WetLitterbags placem_collection'!Z63="","",'WetLitterbags placem_collection'!Z63)</f>
        <v>34.200000000000003</v>
      </c>
      <c r="AG62" s="243" t="str">
        <f>IF('WetLitterbags placem_collection'!AA63="","",'WetLitterbags placem_collection'!AA63)</f>
        <v>O</v>
      </c>
      <c r="AH62">
        <f>IF('WetLitterbags placem_collection'!AC63="","",'WetLitterbags placem_collection'!AC63)</f>
        <v>0</v>
      </c>
      <c r="AI62" s="237">
        <f>AVERAGE('WetLitterbags placem_collection'!S63,'WetLitterbags placem_collection'!U63)</f>
        <v>20.399999999999999</v>
      </c>
      <c r="AJ62">
        <f>AVERAGE('WetLitterbags placem_collection'!R63,'WetLitterbags placem_collection'!T63)</f>
        <v>27.450000000000003</v>
      </c>
      <c r="AK62">
        <f>INDEX(Coordinates!$B$2:$B$197,MATCH(H62,Coordinates!$J$2:$J$197,0))</f>
        <v>-3.406569986</v>
      </c>
      <c r="AL62">
        <f>INDEX(Coordinates!$C$2:$C$197,MATCH(H62,Coordinates!$J$2:$J$197,0))</f>
        <v>34.851323989999997</v>
      </c>
      <c r="AM62" t="str">
        <f>IF(ISNUMBER(SEARCH("C", 'WetLitterbags placem_collection'!$V63)),"YES","NO")</f>
        <v>YES</v>
      </c>
      <c r="AN62" t="str">
        <f>IF(ISNUMBER(SEARCH("H", 'WetLitterbags placem_collection'!$V63)),"YES","NO")</f>
        <v>YES</v>
      </c>
      <c r="AO62" t="str">
        <f>IF(ISNUMBER(SEARCH("R", 'WetLitterbags placem_collection'!$V63)),"YES","NO")</f>
        <v>NO</v>
      </c>
    </row>
    <row r="63" spans="1:41">
      <c r="A63" s="255" t="s">
        <v>2454</v>
      </c>
      <c r="B63" s="260">
        <f>'Dry_Litterbag Placem_Collection'!A64</f>
        <v>62</v>
      </c>
      <c r="C63" s="260" t="str">
        <f>'Dry_Litterbag Placem_Collection'!B64</f>
        <v>Makao</v>
      </c>
      <c r="D63" s="260" t="s">
        <v>2643</v>
      </c>
      <c r="E63" s="260" t="s">
        <v>20</v>
      </c>
      <c r="F63" s="260">
        <v>4</v>
      </c>
      <c r="G63" s="260" t="s">
        <v>3809</v>
      </c>
      <c r="H63" s="261" t="str">
        <f>'Dry_Litterbag Placem_Collection'!C64</f>
        <v>Dry_P4_T6</v>
      </c>
      <c r="I63" s="262" t="s">
        <v>2525</v>
      </c>
      <c r="J63" s="263" t="s">
        <v>1147</v>
      </c>
      <c r="K63" s="221" t="str">
        <f>'WetLitterbags placem_collection'!K64</f>
        <v>G565</v>
      </c>
      <c r="L63" s="223">
        <f>IFERROR(INDEX('Green_rooibos initial weight'!$C$5:$C$2000,MATCH(K63, 'Green_rooibos initial weight'!$A$5:$A$2000,0)),"")</f>
        <v>2.109</v>
      </c>
      <c r="M63" s="223">
        <f>IFERROR(L63-(TBIcalc!$H$9+TBIcalc!$H$10),"")</f>
        <v>1.8592</v>
      </c>
      <c r="N63" s="385">
        <f>AVERAGE(Ashed_controlls!$K$2:$K$11)</f>
        <v>5.5147656768714146</v>
      </c>
      <c r="O63" s="223">
        <f t="shared" si="1"/>
        <v>1.7566694765356066</v>
      </c>
      <c r="P63" s="223">
        <f>IFERROR(INDEX('Both teabags AfterWet'!$C$3:$C$840,MATCH(K63,'Both teabags AfterWet'!$A$3:$A$840,0)),"")</f>
        <v>0.9224</v>
      </c>
      <c r="Q63" s="223">
        <f>IFERROR(IF(P63&gt;0,P63-(TBIcalc!$H$9),""),"")</f>
        <v>0.77180000000000004</v>
      </c>
      <c r="R63" s="223">
        <f>IFERROR(INDEX('Ashed teabags wet'!$K$2:$K$2000,MATCH(K63,'Ashed teabags wet'!$A$2:$A$2000,0)),"")</f>
        <v>20.729927007299029</v>
      </c>
      <c r="S63" s="223">
        <f t="shared" si="2"/>
        <v>0.61180642335766611</v>
      </c>
      <c r="T63" s="224">
        <f>'WetLitterbags placem_collection'!E64</f>
        <v>42766</v>
      </c>
      <c r="U63" s="224">
        <f>IF('WetLitterbags placem_collection'!G64="","",'WetLitterbags placem_collection'!G64)</f>
        <v>42820</v>
      </c>
      <c r="V63" s="225">
        <f t="shared" si="0"/>
        <v>54</v>
      </c>
      <c r="W63" s="223">
        <f t="shared" si="3"/>
        <v>1.0873999999999999</v>
      </c>
      <c r="X63" s="223">
        <f t="shared" si="4"/>
        <v>1.1448630531779405</v>
      </c>
      <c r="Y63">
        <f>IFERROR(INDEX(Rainfall_Wet!$O$2:$O$217,MATCH(B63, Rainfall_Wet!$A$2:$A$217,0)),"")</f>
        <v>214.262898705</v>
      </c>
      <c r="Z63" s="228">
        <v>25.96</v>
      </c>
      <c r="AA63" s="228">
        <v>6.9200000000000008</v>
      </c>
      <c r="AB63" s="228">
        <v>67.12</v>
      </c>
      <c r="AC63" s="229" t="s">
        <v>2654</v>
      </c>
      <c r="AD63" s="228">
        <v>1.7568260226712666</v>
      </c>
      <c r="AE63">
        <f>IF('WetLitterbags placem_collection'!AB64="","",'WetLitterbags placem_collection'!AB64)</f>
        <v>4.2</v>
      </c>
      <c r="AF63">
        <f>IF('WetLitterbags placem_collection'!Z64="","",'WetLitterbags placem_collection'!Z64)</f>
        <v>40.4</v>
      </c>
      <c r="AG63" s="243" t="str">
        <f>IF('WetLitterbags placem_collection'!AA64="","",'WetLitterbags placem_collection'!AA64)</f>
        <v>O</v>
      </c>
      <c r="AH63">
        <f>IF('WetLitterbags placem_collection'!AC64="","",'WetLitterbags placem_collection'!AC64)</f>
        <v>0</v>
      </c>
      <c r="AI63" s="237">
        <f>AVERAGE('WetLitterbags placem_collection'!S64,'WetLitterbags placem_collection'!U64)</f>
        <v>24.7</v>
      </c>
      <c r="AJ63">
        <f>AVERAGE('WetLitterbags placem_collection'!R64,'WetLitterbags placem_collection'!T64)</f>
        <v>26.799999999999997</v>
      </c>
      <c r="AK63">
        <f>INDEX(Coordinates!$B$2:$B$197,MATCH(H63,Coordinates!$J$2:$J$197,0))</f>
        <v>-3.4065180179999999</v>
      </c>
      <c r="AL63">
        <f>INDEX(Coordinates!$C$2:$C$197,MATCH(H63,Coordinates!$J$2:$J$197,0))</f>
        <v>34.85121402</v>
      </c>
      <c r="AM63" t="str">
        <f>IF(ISNUMBER(SEARCH("C", 'WetLitterbags placem_collection'!$V64)),"YES","NO")</f>
        <v>NO</v>
      </c>
      <c r="AN63" t="str">
        <f>IF(ISNUMBER(SEARCH("H", 'WetLitterbags placem_collection'!$V64)),"YES","NO")</f>
        <v>YES</v>
      </c>
      <c r="AO63" t="str">
        <f>IF(ISNUMBER(SEARCH("R", 'WetLitterbags placem_collection'!$V64)),"YES","NO")</f>
        <v>NO</v>
      </c>
    </row>
    <row r="64" spans="1:41">
      <c r="A64" s="255" t="s">
        <v>2454</v>
      </c>
      <c r="B64" s="260">
        <f>'Dry_Litterbag Placem_Collection'!A65</f>
        <v>63</v>
      </c>
      <c r="C64" s="260" t="str">
        <f>'Dry_Litterbag Placem_Collection'!B65</f>
        <v>Makao</v>
      </c>
      <c r="D64" s="260" t="s">
        <v>2643</v>
      </c>
      <c r="E64" s="260" t="s">
        <v>20</v>
      </c>
      <c r="F64" s="260">
        <v>4</v>
      </c>
      <c r="G64" s="260" t="s">
        <v>3809</v>
      </c>
      <c r="H64" s="261" t="str">
        <f>'Dry_Litterbag Placem_Collection'!C65</f>
        <v>Dry_P4_T7</v>
      </c>
      <c r="I64" s="262" t="s">
        <v>2525</v>
      </c>
      <c r="J64" s="263" t="s">
        <v>1147</v>
      </c>
      <c r="K64" s="221" t="str">
        <f>'WetLitterbags placem_collection'!K65</f>
        <v>G387</v>
      </c>
      <c r="L64" s="223">
        <f>IFERROR(INDEX('Green_rooibos initial weight'!$C$5:$C$2000,MATCH(K64, 'Green_rooibos initial weight'!$A$5:$A$2000,0)),"")</f>
        <v>2.0139999999999998</v>
      </c>
      <c r="M64" s="223">
        <f>IFERROR(L64-(TBIcalc!$H$9+TBIcalc!$H$10),"")</f>
        <v>1.7641999999999998</v>
      </c>
      <c r="N64" s="385">
        <f>AVERAGE(Ashed_controlls!$K$2:$K$11)</f>
        <v>5.5147656768714146</v>
      </c>
      <c r="O64" s="223">
        <f t="shared" si="1"/>
        <v>1.6669085039286342</v>
      </c>
      <c r="P64" s="223">
        <f>IFERROR(INDEX('Both teabags AfterWet'!$C$3:$C$840,MATCH(K64,'Both teabags AfterWet'!$A$3:$A$840,0)),"")</f>
        <v>1.083</v>
      </c>
      <c r="Q64" s="223">
        <f>IFERROR(IF(P64&gt;0,P64-(TBIcalc!$H$9),""),"")</f>
        <v>0.9323999999999999</v>
      </c>
      <c r="R64" s="223">
        <f>IFERROR(INDEX('Ashed teabags wet'!$K$2:$K$2000,MATCH(K64,'Ashed teabags wet'!$A$2:$A$2000,0)),"")</f>
        <v>20.515313563441481</v>
      </c>
      <c r="S64" s="223">
        <f t="shared" si="2"/>
        <v>0.74111521633447153</v>
      </c>
      <c r="T64" s="224">
        <f>'WetLitterbags placem_collection'!E65</f>
        <v>42766</v>
      </c>
      <c r="U64" s="224">
        <f>IF('WetLitterbags placem_collection'!G65="","",'WetLitterbags placem_collection'!G65)</f>
        <v>42820</v>
      </c>
      <c r="V64" s="225">
        <f t="shared" si="0"/>
        <v>54</v>
      </c>
      <c r="W64" s="223">
        <f t="shared" si="3"/>
        <v>0.83179999999999987</v>
      </c>
      <c r="X64" s="223">
        <f t="shared" si="4"/>
        <v>0.92579328759416268</v>
      </c>
      <c r="Y64">
        <f>IFERROR(INDEX(Rainfall_Wet!$O$2:$O$217,MATCH(B64, Rainfall_Wet!$A$2:$A$217,0)),"")</f>
        <v>214.262898705</v>
      </c>
      <c r="Z64" s="228">
        <v>25.96</v>
      </c>
      <c r="AA64" s="228">
        <v>6.9200000000000008</v>
      </c>
      <c r="AB64" s="228">
        <v>67.12</v>
      </c>
      <c r="AC64" s="229" t="s">
        <v>2654</v>
      </c>
      <c r="AD64" s="228">
        <v>1.7568260226712666</v>
      </c>
      <c r="AE64">
        <f>IF('WetLitterbags placem_collection'!AB65="","",'WetLitterbags placem_collection'!AB65)</f>
        <v>4.9000000000000004</v>
      </c>
      <c r="AF64">
        <f>IF('WetLitterbags placem_collection'!Z65="","",'WetLitterbags placem_collection'!Z65)</f>
        <v>45</v>
      </c>
      <c r="AG64" s="243" t="str">
        <f>IF('WetLitterbags placem_collection'!AA65="","",'WetLitterbags placem_collection'!AA65)</f>
        <v>O</v>
      </c>
      <c r="AH64">
        <f>IF('WetLitterbags placem_collection'!AC65="","",'WetLitterbags placem_collection'!AC65)</f>
        <v>0</v>
      </c>
      <c r="AI64" s="237">
        <f>AVERAGE('WetLitterbags placem_collection'!S65,'WetLitterbags placem_collection'!U65)</f>
        <v>22.9</v>
      </c>
      <c r="AJ64">
        <f>AVERAGE('WetLitterbags placem_collection'!R65,'WetLitterbags placem_collection'!T65)</f>
        <v>28.25</v>
      </c>
      <c r="AK64">
        <f>INDEX(Coordinates!$B$2:$B$197,MATCH(H64,Coordinates!$J$2:$J$197,0))</f>
        <v>-3.406334035</v>
      </c>
      <c r="AL64">
        <f>INDEX(Coordinates!$C$2:$C$197,MATCH(H64,Coordinates!$J$2:$J$197,0))</f>
        <v>34.851172030000001</v>
      </c>
      <c r="AM64" t="str">
        <f>IF(ISNUMBER(SEARCH("C", 'WetLitterbags placem_collection'!$V65)),"YES","NO")</f>
        <v>NO</v>
      </c>
      <c r="AN64" t="str">
        <f>IF(ISNUMBER(SEARCH("H", 'WetLitterbags placem_collection'!$V65)),"YES","NO")</f>
        <v>NO</v>
      </c>
      <c r="AO64" t="str">
        <f>IF(ISNUMBER(SEARCH("R", 'WetLitterbags placem_collection'!$V65)),"YES","NO")</f>
        <v>YES</v>
      </c>
    </row>
    <row r="65" spans="1:41">
      <c r="A65" s="255" t="s">
        <v>2454</v>
      </c>
      <c r="B65" s="260">
        <f>'Dry_Litterbag Placem_Collection'!A66</f>
        <v>64</v>
      </c>
      <c r="C65" s="260" t="str">
        <f>'Dry_Litterbag Placem_Collection'!B66</f>
        <v>Makao</v>
      </c>
      <c r="D65" s="260" t="s">
        <v>2643</v>
      </c>
      <c r="E65" s="260" t="s">
        <v>20</v>
      </c>
      <c r="F65" s="260">
        <v>4</v>
      </c>
      <c r="G65" s="260" t="s">
        <v>3809</v>
      </c>
      <c r="H65" s="261" t="str">
        <f>'Dry_Litterbag Placem_Collection'!C66</f>
        <v>Dry_P4_T8</v>
      </c>
      <c r="I65" s="262" t="s">
        <v>2525</v>
      </c>
      <c r="J65" s="263" t="s">
        <v>1147</v>
      </c>
      <c r="K65" s="221" t="str">
        <f>'WetLitterbags placem_collection'!K66</f>
        <v>G554</v>
      </c>
      <c r="L65" s="223">
        <f>IFERROR(INDEX('Green_rooibos initial weight'!$C$5:$C$2000,MATCH(K65, 'Green_rooibos initial weight'!$A$5:$A$2000,0)),"")</f>
        <v>2.0840000000000001</v>
      </c>
      <c r="M65" s="223">
        <f>IFERROR(L65-(TBIcalc!$H$9+TBIcalc!$H$10),"")</f>
        <v>1.8342000000000001</v>
      </c>
      <c r="N65" s="385">
        <f>AVERAGE(Ashed_controlls!$K$2:$K$11)</f>
        <v>5.5147656768714146</v>
      </c>
      <c r="O65" s="223">
        <f t="shared" si="1"/>
        <v>1.7330481679548246</v>
      </c>
      <c r="P65" s="223">
        <f>IFERROR(INDEX('Both teabags AfterWet'!$C$3:$C$840,MATCH(K65,'Both teabags AfterWet'!$A$3:$A$840,0)),"")</f>
        <v>1.29</v>
      </c>
      <c r="Q65" s="223">
        <f>IFERROR(IF(P65&gt;0,P65-(TBIcalc!$H$9),""),"")</f>
        <v>1.1394</v>
      </c>
      <c r="R65" s="223">
        <f>IFERROR(INDEX('Ashed teabags wet'!$K$2:$K$2000,MATCH(K65,'Ashed teabags wet'!$A$2:$A$2000,0)),"")</f>
        <v>36.815920398009624</v>
      </c>
      <c r="S65" s="223">
        <f t="shared" si="2"/>
        <v>0.71991940298507839</v>
      </c>
      <c r="T65" s="224">
        <f>'WetLitterbags placem_collection'!E66</f>
        <v>42766</v>
      </c>
      <c r="U65" s="224">
        <f>IF('WetLitterbags placem_collection'!G66="","",'WetLitterbags placem_collection'!G66)</f>
        <v>42820</v>
      </c>
      <c r="V65" s="225">
        <f t="shared" si="0"/>
        <v>54</v>
      </c>
      <c r="W65" s="223">
        <f t="shared" si="3"/>
        <v>0.69480000000000008</v>
      </c>
      <c r="X65" s="223">
        <f t="shared" si="4"/>
        <v>1.0131287649697462</v>
      </c>
      <c r="Y65">
        <f>IFERROR(INDEX(Rainfall_Wet!$O$2:$O$217,MATCH(B65, Rainfall_Wet!$A$2:$A$217,0)),"")</f>
        <v>214.262898705</v>
      </c>
      <c r="Z65" s="228">
        <v>25.96</v>
      </c>
      <c r="AA65" s="228">
        <v>6.9200000000000008</v>
      </c>
      <c r="AB65" s="228">
        <v>67.12</v>
      </c>
      <c r="AC65" s="229" t="s">
        <v>2654</v>
      </c>
      <c r="AD65" s="228">
        <v>1.7568260226712666</v>
      </c>
      <c r="AE65">
        <f>IF('WetLitterbags placem_collection'!AB66="","",'WetLitterbags placem_collection'!AB66)</f>
        <v>3</v>
      </c>
      <c r="AF65">
        <f>IF('WetLitterbags placem_collection'!Z66="","",'WetLitterbags placem_collection'!Z66)</f>
        <v>22.8</v>
      </c>
      <c r="AG65" s="243" t="str">
        <f>IF('WetLitterbags placem_collection'!AA66="","",'WetLitterbags placem_collection'!AA66)</f>
        <v>O</v>
      </c>
      <c r="AH65">
        <f>IF('WetLitterbags placem_collection'!AC66="","",'WetLitterbags placem_collection'!AC66)</f>
        <v>1</v>
      </c>
      <c r="AI65" s="237">
        <f>AVERAGE('WetLitterbags placem_collection'!S66,'WetLitterbags placem_collection'!U66)</f>
        <v>34.6</v>
      </c>
      <c r="AJ65">
        <f>AVERAGE('WetLitterbags placem_collection'!R66,'WetLitterbags placem_collection'!T66)</f>
        <v>22.7</v>
      </c>
      <c r="AK65">
        <f>INDEX(Coordinates!$B$2:$B$197,MATCH(H65,Coordinates!$J$2:$J$197,0))</f>
        <v>-3.4063409920000001</v>
      </c>
      <c r="AL65">
        <f>INDEX(Coordinates!$C$2:$C$197,MATCH(H65,Coordinates!$J$2:$J$197,0))</f>
        <v>34.85126004</v>
      </c>
      <c r="AM65" t="str">
        <f>IF(ISNUMBER(SEARCH("C", 'WetLitterbags placem_collection'!$V66)),"YES","NO")</f>
        <v>NO</v>
      </c>
      <c r="AN65" t="str">
        <f>IF(ISNUMBER(SEARCH("H", 'WetLitterbags placem_collection'!$V66)),"YES","NO")</f>
        <v>YES</v>
      </c>
      <c r="AO65" t="str">
        <f>IF(ISNUMBER(SEARCH("R", 'WetLitterbags placem_collection'!$V66)),"YES","NO")</f>
        <v>YES</v>
      </c>
    </row>
    <row r="66" spans="1:41">
      <c r="A66" s="255" t="s">
        <v>2454</v>
      </c>
      <c r="B66" s="260">
        <f>'Dry_Litterbag Placem_Collection'!A67</f>
        <v>65</v>
      </c>
      <c r="C66" s="260" t="str">
        <f>'Dry_Litterbag Placem_Collection'!B67</f>
        <v>Maswa</v>
      </c>
      <c r="D66" s="260" t="s">
        <v>2643</v>
      </c>
      <c r="E66" s="260" t="s">
        <v>2645</v>
      </c>
      <c r="F66" s="260">
        <v>1</v>
      </c>
      <c r="G66" s="260" t="s">
        <v>3810</v>
      </c>
      <c r="H66" s="261" t="str">
        <f>'Dry_Litterbag Placem_Collection'!C67</f>
        <v>Dry_W1_T1</v>
      </c>
      <c r="I66" s="262" t="s">
        <v>2525</v>
      </c>
      <c r="J66" s="263" t="s">
        <v>1147</v>
      </c>
      <c r="K66" s="221" t="str">
        <f>'WetLitterbags placem_collection'!K67</f>
        <v>G614</v>
      </c>
      <c r="L66" s="223">
        <f>IFERROR(INDEX('Green_rooibos initial weight'!$C$5:$C$2000,MATCH(K66, 'Green_rooibos initial weight'!$A$5:$A$2000,0)),"")</f>
        <v>2.1709999999999998</v>
      </c>
      <c r="M66" s="223">
        <f>IFERROR(L66-(TBIcalc!$H$9+TBIcalc!$H$10),"")</f>
        <v>1.9211999999999998</v>
      </c>
      <c r="N66" s="385">
        <f>AVERAGE(Ashed_controlls!$K$2:$K$11)</f>
        <v>5.5147656768714146</v>
      </c>
      <c r="O66" s="223">
        <f t="shared" si="1"/>
        <v>1.8152503218159461</v>
      </c>
      <c r="P66" s="223">
        <f>IFERROR(INDEX('Both teabags AfterWet'!$C$3:$C$840,MATCH(K66,'Both teabags AfterWet'!$A$3:$A$840,0)),"")</f>
        <v>0.96099999999999997</v>
      </c>
      <c r="Q66" s="223">
        <f>IFERROR(IF(P66&gt;0,P66-(TBIcalc!$H$9),""),"")</f>
        <v>0.81040000000000001</v>
      </c>
      <c r="R66" s="223">
        <f>IFERROR(INDEX('Ashed teabags wet'!$K$2:$K$2000,MATCH(K66,'Ashed teabags wet'!$A$2:$A$2000,0)),"")</f>
        <v>15.67460317460233</v>
      </c>
      <c r="S66" s="223">
        <f t="shared" si="2"/>
        <v>0.68337301587302268</v>
      </c>
      <c r="T66" s="224">
        <f>'WetLitterbags placem_collection'!E67</f>
        <v>42767</v>
      </c>
      <c r="U66" s="224">
        <f>IF('WetLitterbags placem_collection'!G67="","",'WetLitterbags placem_collection'!G67)</f>
        <v>42818</v>
      </c>
      <c r="V66" s="225">
        <f t="shared" ref="V66:V129" si="5">IFERROR(U66-T66,"")</f>
        <v>51</v>
      </c>
      <c r="W66" s="223">
        <f t="shared" si="3"/>
        <v>1.1107999999999998</v>
      </c>
      <c r="X66" s="223">
        <f t="shared" si="4"/>
        <v>1.1318773059429235</v>
      </c>
      <c r="Y66">
        <f>IFERROR(INDEX(Rainfall_Wet!$O$2:$O$217,MATCH(B66, Rainfall_Wet!$A$2:$A$217,0)),"")</f>
        <v>185.630065823</v>
      </c>
      <c r="Z66" s="228">
        <v>47.96</v>
      </c>
      <c r="AA66" s="228">
        <v>22.919999999999995</v>
      </c>
      <c r="AB66" s="228">
        <v>29.120000000000012</v>
      </c>
      <c r="AC66" s="229" t="s">
        <v>2657</v>
      </c>
      <c r="AD66" s="228">
        <v>2.8831936914736325</v>
      </c>
      <c r="AE66">
        <f>IF('WetLitterbags placem_collection'!AB67="","",'WetLitterbags placem_collection'!AB67)</f>
        <v>13.8</v>
      </c>
      <c r="AF66">
        <f>IF('WetLitterbags placem_collection'!Z67="","",'WetLitterbags placem_collection'!Z67)</f>
        <v>13.8</v>
      </c>
      <c r="AG66" s="243" t="str">
        <f>IF('WetLitterbags placem_collection'!AA67="","",'WetLitterbags placem_collection'!AA67)</f>
        <v>O</v>
      </c>
      <c r="AH66">
        <f>IF('WetLitterbags placem_collection'!AC67="","",'WetLitterbags placem_collection'!AC67)</f>
        <v>1</v>
      </c>
      <c r="AI66" s="237">
        <f>AVERAGE('WetLitterbags placem_collection'!S67,'WetLitterbags placem_collection'!U67)</f>
        <v>32.299999999999997</v>
      </c>
      <c r="AJ66">
        <f>AVERAGE('WetLitterbags placem_collection'!R67,'WetLitterbags placem_collection'!T67)</f>
        <v>22.75</v>
      </c>
      <c r="AK66">
        <f>INDEX(Coordinates!$B$2:$B$197,MATCH(H66,Coordinates!$J$2:$J$197,0))</f>
        <v>-3.2993960379999998</v>
      </c>
      <c r="AL66">
        <f>INDEX(Coordinates!$C$2:$C$197,MATCH(H66,Coordinates!$J$2:$J$197,0))</f>
        <v>34.848240959999998</v>
      </c>
      <c r="AM66" t="str">
        <f>IF(ISNUMBER(SEARCH("C", 'WetLitterbags placem_collection'!$V67)),"YES","NO")</f>
        <v>NO</v>
      </c>
      <c r="AN66" t="str">
        <f>IF(ISNUMBER(SEARCH("H", 'WetLitterbags placem_collection'!$V67)),"YES","NO")</f>
        <v>NO</v>
      </c>
      <c r="AO66" t="str">
        <f>IF(ISNUMBER(SEARCH("R", 'WetLitterbags placem_collection'!$V67)),"YES","NO")</f>
        <v>YES</v>
      </c>
    </row>
    <row r="67" spans="1:41">
      <c r="A67" s="255" t="s">
        <v>2454</v>
      </c>
      <c r="B67" s="260">
        <f>'Dry_Litterbag Placem_Collection'!A68</f>
        <v>66</v>
      </c>
      <c r="C67" s="260" t="str">
        <f>'Dry_Litterbag Placem_Collection'!B68</f>
        <v>Maswa</v>
      </c>
      <c r="D67" s="260" t="s">
        <v>2643</v>
      </c>
      <c r="E67" s="260" t="s">
        <v>2645</v>
      </c>
      <c r="F67" s="260">
        <v>1</v>
      </c>
      <c r="G67" s="260" t="s">
        <v>3810</v>
      </c>
      <c r="H67" s="261" t="str">
        <f>'Dry_Litterbag Placem_Collection'!C68</f>
        <v>Dry_W1_T2</v>
      </c>
      <c r="I67" s="262" t="s">
        <v>2525</v>
      </c>
      <c r="J67" s="263" t="s">
        <v>1147</v>
      </c>
      <c r="K67" s="221" t="str">
        <f>'WetLitterbags placem_collection'!K68</f>
        <v>G282</v>
      </c>
      <c r="L67" s="223">
        <f>IFERROR(INDEX('Green_rooibos initial weight'!$C$5:$C$2000,MATCH(K67, 'Green_rooibos initial weight'!$A$5:$A$2000,0)),"")</f>
        <v>1.9730000000000001</v>
      </c>
      <c r="M67" s="223">
        <f>IFERROR(L67-(TBIcalc!$H$9+TBIcalc!$H$10),"")</f>
        <v>1.7232000000000001</v>
      </c>
      <c r="N67" s="385">
        <f>AVERAGE(Ashed_controlls!$K$2:$K$11)</f>
        <v>5.5147656768714146</v>
      </c>
      <c r="O67" s="223">
        <f t="shared" ref="O67:O130" si="6">IFERROR(M67-(N67/100)*M67,"")</f>
        <v>1.6281695578561519</v>
      </c>
      <c r="P67" s="223">
        <f>IFERROR(INDEX('Both teabags AfterWet'!$C$3:$C$840,MATCH(K67,'Both teabags AfterWet'!$A$3:$A$840,0)),"")</f>
        <v>1.1456</v>
      </c>
      <c r="Q67" s="223">
        <f>IFERROR(IF(P67&gt;0,P67-(TBIcalc!$H$9),""),"")</f>
        <v>0.99499999999999988</v>
      </c>
      <c r="R67" s="223">
        <f>IFERROR(INDEX('Ashed teabags wet'!$K$2:$K$2000,MATCH(K67,'Ashed teabags wet'!$A$2:$A$2000,0)),"")</f>
        <v>31.190019193858088</v>
      </c>
      <c r="S67" s="223">
        <f t="shared" ref="S67:S130" si="7">IFERROR(Q67-(R67/100)*Q67,"")</f>
        <v>0.68465930902111194</v>
      </c>
      <c r="T67" s="224">
        <f>'WetLitterbags placem_collection'!E68</f>
        <v>42767</v>
      </c>
      <c r="U67" s="224">
        <f>IF('WetLitterbags placem_collection'!G68="","",'WetLitterbags placem_collection'!G68)</f>
        <v>42818</v>
      </c>
      <c r="V67" s="225">
        <f t="shared" si="5"/>
        <v>51</v>
      </c>
      <c r="W67" s="223">
        <f t="shared" ref="W67:W130" si="8">IFERROR(M67-Q67,"")</f>
        <v>0.72820000000000018</v>
      </c>
      <c r="X67" s="223">
        <f t="shared" ref="X67:X130" si="9">IFERROR(O67-S67,"")</f>
        <v>0.94351024883503998</v>
      </c>
      <c r="Y67">
        <f>IFERROR(INDEX(Rainfall_Wet!$O$2:$O$217,MATCH(B67, Rainfall_Wet!$A$2:$A$217,0)),"")</f>
        <v>185.630065823</v>
      </c>
      <c r="Z67" s="228">
        <v>47.96</v>
      </c>
      <c r="AA67" s="228">
        <v>22.919999999999995</v>
      </c>
      <c r="AB67" s="228">
        <v>29.120000000000012</v>
      </c>
      <c r="AC67" s="229" t="s">
        <v>2657</v>
      </c>
      <c r="AD67" s="228">
        <v>3.8831936914736298</v>
      </c>
      <c r="AE67">
        <f>IF('WetLitterbags placem_collection'!AB68="","",'WetLitterbags placem_collection'!AB68)</f>
        <v>8</v>
      </c>
      <c r="AF67">
        <f>IF('WetLitterbags placem_collection'!Z68="","",'WetLitterbags placem_collection'!Z68)</f>
        <v>19.8</v>
      </c>
      <c r="AG67" s="243" t="str">
        <f>IF('WetLitterbags placem_collection'!AA68="","",'WetLitterbags placem_collection'!AA68)</f>
        <v>O</v>
      </c>
      <c r="AH67">
        <f>IF('WetLitterbags placem_collection'!AC68="","",'WetLitterbags placem_collection'!AC68)</f>
        <v>1</v>
      </c>
      <c r="AI67" s="237">
        <f>AVERAGE('WetLitterbags placem_collection'!S68,'WetLitterbags placem_collection'!U68)</f>
        <v>30.6</v>
      </c>
      <c r="AJ67">
        <f>AVERAGE('WetLitterbags placem_collection'!R68,'WetLitterbags placem_collection'!T68)</f>
        <v>21.95</v>
      </c>
      <c r="AK67">
        <f>INDEX(Coordinates!$B$2:$B$197,MATCH(H67,Coordinates!$J$2:$J$197,0))</f>
        <v>-3.2993090340000002</v>
      </c>
      <c r="AL67">
        <f>INDEX(Coordinates!$C$2:$C$197,MATCH(H67,Coordinates!$J$2:$J$197,0))</f>
        <v>34.848404989999999</v>
      </c>
      <c r="AM67" t="str">
        <f>IF(ISNUMBER(SEARCH("C", 'WetLitterbags placem_collection'!$V68)),"YES","NO")</f>
        <v>NO</v>
      </c>
      <c r="AN67" t="str">
        <f>IF(ISNUMBER(SEARCH("H", 'WetLitterbags placem_collection'!$V68)),"YES","NO")</f>
        <v>NO</v>
      </c>
      <c r="AO67" t="str">
        <f>IF(ISNUMBER(SEARCH("R", 'WetLitterbags placem_collection'!$V68)),"YES","NO")</f>
        <v>YES</v>
      </c>
    </row>
    <row r="68" spans="1:41">
      <c r="A68" s="255" t="s">
        <v>2454</v>
      </c>
      <c r="B68" s="260">
        <f>'Dry_Litterbag Placem_Collection'!A69</f>
        <v>67</v>
      </c>
      <c r="C68" s="260" t="str">
        <f>'Dry_Litterbag Placem_Collection'!B69</f>
        <v>Maswa</v>
      </c>
      <c r="D68" s="260" t="s">
        <v>2643</v>
      </c>
      <c r="E68" s="260" t="s">
        <v>2645</v>
      </c>
      <c r="F68" s="260">
        <v>1</v>
      </c>
      <c r="G68" s="260" t="s">
        <v>3810</v>
      </c>
      <c r="H68" s="261" t="str">
        <f>'Dry_Litterbag Placem_Collection'!C69</f>
        <v>Dry_W1_T3</v>
      </c>
      <c r="I68" s="262" t="s">
        <v>2525</v>
      </c>
      <c r="J68" s="263" t="s">
        <v>1147</v>
      </c>
      <c r="K68" s="221" t="str">
        <f>'WetLitterbags placem_collection'!K69</f>
        <v>G450</v>
      </c>
      <c r="L68" s="223">
        <f>IFERROR(INDEX('Green_rooibos initial weight'!$C$5:$C$2000,MATCH(K68, 'Green_rooibos initial weight'!$A$5:$A$2000,0)),"")</f>
        <v>2.1629999999999998</v>
      </c>
      <c r="M68" s="223">
        <f>IFERROR(L68-(TBIcalc!$H$9+TBIcalc!$H$10),"")</f>
        <v>1.9131999999999998</v>
      </c>
      <c r="N68" s="385">
        <f>AVERAGE(Ashed_controlls!$K$2:$K$11)</f>
        <v>5.5147656768714146</v>
      </c>
      <c r="O68" s="223">
        <f t="shared" si="6"/>
        <v>1.807691503070096</v>
      </c>
      <c r="P68" s="223">
        <f>IFERROR(INDEX('Both teabags AfterWet'!$C$3:$C$840,MATCH(K68,'Both teabags AfterWet'!$A$3:$A$840,0)),"")</f>
        <v>0.89059999999999995</v>
      </c>
      <c r="Q68" s="223">
        <f>IFERROR(IF(P68&gt;0,P68-(TBIcalc!$H$9),""),"")</f>
        <v>0.74</v>
      </c>
      <c r="R68" s="223">
        <f>IFERROR(INDEX('Ashed teabags wet'!$K$2:$K$2000,MATCH(K68,'Ashed teabags wet'!$A$2:$A$2000,0)),"")</f>
        <v>13.860419716935581</v>
      </c>
      <c r="S68" s="223">
        <f t="shared" si="7"/>
        <v>0.63743289409467674</v>
      </c>
      <c r="T68" s="224">
        <f>'WetLitterbags placem_collection'!E69</f>
        <v>42767</v>
      </c>
      <c r="U68" s="224">
        <f>IF('WetLitterbags placem_collection'!G69="","",'WetLitterbags placem_collection'!G69)</f>
        <v>42818</v>
      </c>
      <c r="V68" s="225">
        <f t="shared" si="5"/>
        <v>51</v>
      </c>
      <c r="W68" s="223">
        <f t="shared" si="8"/>
        <v>1.1731999999999998</v>
      </c>
      <c r="X68" s="223">
        <f t="shared" si="9"/>
        <v>1.1702586089754192</v>
      </c>
      <c r="Y68">
        <f>IFERROR(INDEX(Rainfall_Wet!$O$2:$O$217,MATCH(B68, Rainfall_Wet!$A$2:$A$217,0)),"")</f>
        <v>185.630065823</v>
      </c>
      <c r="Z68" s="228">
        <v>47.96</v>
      </c>
      <c r="AA68" s="228">
        <v>22.919999999999995</v>
      </c>
      <c r="AB68" s="228">
        <v>29.120000000000012</v>
      </c>
      <c r="AC68" s="229" t="s">
        <v>2657</v>
      </c>
      <c r="AD68" s="228">
        <v>4.8831936914736298</v>
      </c>
      <c r="AE68">
        <f>IF('WetLitterbags placem_collection'!AB69="","",'WetLitterbags placem_collection'!AB69)</f>
        <v>5.5</v>
      </c>
      <c r="AF68">
        <f>IF('WetLitterbags placem_collection'!Z69="","",'WetLitterbags placem_collection'!Z69)</f>
        <v>5.5</v>
      </c>
      <c r="AG68" s="243" t="str">
        <f>IF('WetLitterbags placem_collection'!AA69="","",'WetLitterbags placem_collection'!AA69)</f>
        <v>O</v>
      </c>
      <c r="AH68">
        <f>IF('WetLitterbags placem_collection'!AC69="","",'WetLitterbags placem_collection'!AC69)</f>
        <v>1</v>
      </c>
      <c r="AI68" s="237">
        <f>AVERAGE('WetLitterbags placem_collection'!S69,'WetLitterbags placem_collection'!U69)</f>
        <v>29.9</v>
      </c>
      <c r="AJ68">
        <f>AVERAGE('WetLitterbags placem_collection'!R69,'WetLitterbags placem_collection'!T69)</f>
        <v>20.7</v>
      </c>
      <c r="AK68">
        <f>INDEX(Coordinates!$B$2:$B$197,MATCH(H68,Coordinates!$J$2:$J$197,0))</f>
        <v>-3.299434008</v>
      </c>
      <c r="AL68">
        <f>INDEX(Coordinates!$C$2:$C$197,MATCH(H68,Coordinates!$J$2:$J$197,0))</f>
        <v>34.848514960000003</v>
      </c>
      <c r="AM68" t="str">
        <f>IF(ISNUMBER(SEARCH("C", 'WetLitterbags placem_collection'!$V69)),"YES","NO")</f>
        <v>NO</v>
      </c>
      <c r="AN68" t="str">
        <f>IF(ISNUMBER(SEARCH("H", 'WetLitterbags placem_collection'!$V69)),"YES","NO")</f>
        <v>YES</v>
      </c>
      <c r="AO68" t="str">
        <f>IF(ISNUMBER(SEARCH("R", 'WetLitterbags placem_collection'!$V69)),"YES","NO")</f>
        <v>YES</v>
      </c>
    </row>
    <row r="69" spans="1:41">
      <c r="A69" s="255" t="s">
        <v>2454</v>
      </c>
      <c r="B69" s="260">
        <f>'Dry_Litterbag Placem_Collection'!A70</f>
        <v>68</v>
      </c>
      <c r="C69" s="260" t="str">
        <f>'Dry_Litterbag Placem_Collection'!B70</f>
        <v>Maswa</v>
      </c>
      <c r="D69" s="260" t="s">
        <v>2643</v>
      </c>
      <c r="E69" s="260" t="s">
        <v>2645</v>
      </c>
      <c r="F69" s="260">
        <v>1</v>
      </c>
      <c r="G69" s="260" t="s">
        <v>3810</v>
      </c>
      <c r="H69" s="261" t="str">
        <f>'Dry_Litterbag Placem_Collection'!C70</f>
        <v>Dry_W1_T4</v>
      </c>
      <c r="I69" s="262" t="s">
        <v>2525</v>
      </c>
      <c r="J69" s="263" t="s">
        <v>1147</v>
      </c>
      <c r="K69" s="221" t="str">
        <f>'WetLitterbags placem_collection'!K70</f>
        <v>G269</v>
      </c>
      <c r="L69" s="223">
        <f>IFERROR(INDEX('Green_rooibos initial weight'!$C$5:$C$2000,MATCH(K69, 'Green_rooibos initial weight'!$A$5:$A$2000,0)),"")</f>
        <v>2.0419999999999998</v>
      </c>
      <c r="M69" s="223">
        <f>IFERROR(L69-(TBIcalc!$H$9+TBIcalc!$H$10),"")</f>
        <v>1.7921999999999998</v>
      </c>
      <c r="N69" s="385">
        <f>AVERAGE(Ashed_controlls!$K$2:$K$11)</f>
        <v>5.5147656768714146</v>
      </c>
      <c r="O69" s="223">
        <f t="shared" si="6"/>
        <v>1.6933643695391103</v>
      </c>
      <c r="P69" s="223">
        <f>IFERROR(INDEX('Both teabags AfterWet'!$C$3:$C$840,MATCH(K69,'Both teabags AfterWet'!$A$3:$A$840,0)),"")</f>
        <v>1.018</v>
      </c>
      <c r="Q69" s="223">
        <f>IFERROR(IF(P69&gt;0,P69-(TBIcalc!$H$9),""),"")</f>
        <v>0.86739999999999995</v>
      </c>
      <c r="R69" s="223">
        <f>IFERROR(INDEX('Ashed teabags wet'!$K$2:$K$2000,MATCH(K69,'Ashed teabags wet'!$A$2:$A$2000,0)),"")</f>
        <v>19.040626529613323</v>
      </c>
      <c r="S69" s="223">
        <f t="shared" si="7"/>
        <v>0.70224160548213399</v>
      </c>
      <c r="T69" s="224">
        <f>'WetLitterbags placem_collection'!E70</f>
        <v>42767</v>
      </c>
      <c r="U69" s="224">
        <f>IF('WetLitterbags placem_collection'!G70="","",'WetLitterbags placem_collection'!G70)</f>
        <v>42818</v>
      </c>
      <c r="V69" s="225">
        <f t="shared" si="5"/>
        <v>51</v>
      </c>
      <c r="W69" s="223">
        <f t="shared" si="8"/>
        <v>0.92479999999999984</v>
      </c>
      <c r="X69" s="223">
        <f t="shared" si="9"/>
        <v>0.9911227640569763</v>
      </c>
      <c r="Y69">
        <f>IFERROR(INDEX(Rainfall_Wet!$O$2:$O$217,MATCH(B69, Rainfall_Wet!$A$2:$A$217,0)),"")</f>
        <v>185.630065823</v>
      </c>
      <c r="Z69" s="228">
        <v>47.96</v>
      </c>
      <c r="AA69" s="228">
        <v>22.919999999999995</v>
      </c>
      <c r="AB69" s="228">
        <v>29.120000000000012</v>
      </c>
      <c r="AC69" s="229" t="s">
        <v>2657</v>
      </c>
      <c r="AD69" s="228">
        <v>5.8831936914736298</v>
      </c>
      <c r="AE69">
        <f>IF('WetLitterbags placem_collection'!AB70="","",'WetLitterbags placem_collection'!AB70)</f>
        <v>9.6999999999999993</v>
      </c>
      <c r="AF69">
        <f>IF('WetLitterbags placem_collection'!Z70="","",'WetLitterbags placem_collection'!Z70)</f>
        <v>23.4</v>
      </c>
      <c r="AG69" s="243" t="str">
        <f>IF('WetLitterbags placem_collection'!AA70="","",'WetLitterbags placem_collection'!AA70)</f>
        <v>O</v>
      </c>
      <c r="AH69">
        <f>IF('WetLitterbags placem_collection'!AC70="","",'WetLitterbags placem_collection'!AC70)</f>
        <v>1</v>
      </c>
      <c r="AI69" s="237">
        <f>AVERAGE('WetLitterbags placem_collection'!S70,'WetLitterbags placem_collection'!U70)</f>
        <v>29.85</v>
      </c>
      <c r="AJ69">
        <f>AVERAGE('WetLitterbags placem_collection'!R70,'WetLitterbags placem_collection'!T70)</f>
        <v>21.2</v>
      </c>
      <c r="AK69">
        <f>INDEX(Coordinates!$B$2:$B$197,MATCH(H69,Coordinates!$J$2:$J$197,0))</f>
        <v>-3.2991180099999999</v>
      </c>
      <c r="AL69">
        <f>INDEX(Coordinates!$C$2:$C$197,MATCH(H69,Coordinates!$J$2:$J$197,0))</f>
        <v>34.84824699</v>
      </c>
      <c r="AM69" t="str">
        <f>IF(ISNUMBER(SEARCH("C", 'WetLitterbags placem_collection'!$V70)),"YES","NO")</f>
        <v>NO</v>
      </c>
      <c r="AN69" t="str">
        <f>IF(ISNUMBER(SEARCH("H", 'WetLitterbags placem_collection'!$V70)),"YES","NO")</f>
        <v>NO</v>
      </c>
      <c r="AO69" t="str">
        <f>IF(ISNUMBER(SEARCH("R", 'WetLitterbags placem_collection'!$V70)),"YES","NO")</f>
        <v>YES</v>
      </c>
    </row>
    <row r="70" spans="1:41">
      <c r="A70" s="255" t="s">
        <v>2454</v>
      </c>
      <c r="B70" s="260">
        <f>'Dry_Litterbag Placem_Collection'!A71</f>
        <v>69</v>
      </c>
      <c r="C70" s="260" t="str">
        <f>'Dry_Litterbag Placem_Collection'!B71</f>
        <v>Maswa</v>
      </c>
      <c r="D70" s="260" t="s">
        <v>2643</v>
      </c>
      <c r="E70" s="260" t="s">
        <v>2645</v>
      </c>
      <c r="F70" s="260">
        <v>1</v>
      </c>
      <c r="G70" s="260" t="s">
        <v>3810</v>
      </c>
      <c r="H70" s="261" t="str">
        <f>'Dry_Litterbag Placem_Collection'!C71</f>
        <v>Dry_W1_T5</v>
      </c>
      <c r="I70" s="262" t="s">
        <v>2525</v>
      </c>
      <c r="J70" s="263" t="s">
        <v>1147</v>
      </c>
      <c r="K70" s="221" t="str">
        <f>'WetLitterbags placem_collection'!K71</f>
        <v>G448</v>
      </c>
      <c r="L70" s="223">
        <f>IFERROR(INDEX('Green_rooibos initial weight'!$C$5:$C$2000,MATCH(K70, 'Green_rooibos initial weight'!$A$5:$A$2000,0)),"")</f>
        <v>2.0179999999999998</v>
      </c>
      <c r="M70" s="223">
        <f>IFERROR(L70-(TBIcalc!$H$9+TBIcalc!$H$10),"")</f>
        <v>1.7681999999999998</v>
      </c>
      <c r="N70" s="385">
        <f>AVERAGE(Ashed_controlls!$K$2:$K$11)</f>
        <v>5.5147656768714146</v>
      </c>
      <c r="O70" s="223">
        <f t="shared" si="6"/>
        <v>1.6706879133015595</v>
      </c>
      <c r="P70" s="223" t="str">
        <f>IFERROR(INDEX('Both teabags AfterWet'!$C$3:$C$840,MATCH(K70,'Both teabags AfterWet'!$A$3:$A$840,0)),"")</f>
        <v/>
      </c>
      <c r="Q70" s="223" t="str">
        <f>IFERROR(IF(P70&gt;0,P70-(TBIcalc!$H$9),""),"")</f>
        <v/>
      </c>
      <c r="R70" s="223" t="str">
        <f>IFERROR(INDEX('Ashed teabags wet'!$K$2:$K$2000,MATCH(K70,'Ashed teabags wet'!$A$2:$A$2000,0)),"")</f>
        <v/>
      </c>
      <c r="S70" s="223" t="str">
        <f t="shared" si="7"/>
        <v/>
      </c>
      <c r="T70" s="224">
        <f>'WetLitterbags placem_collection'!E71</f>
        <v>42767</v>
      </c>
      <c r="U70" s="224">
        <f>IF('WetLitterbags placem_collection'!G71="","",'WetLitterbags placem_collection'!G71)</f>
        <v>42818</v>
      </c>
      <c r="V70" s="225">
        <f t="shared" si="5"/>
        <v>51</v>
      </c>
      <c r="W70" s="223" t="str">
        <f t="shared" si="8"/>
        <v/>
      </c>
      <c r="X70" s="223" t="str">
        <f t="shared" si="9"/>
        <v/>
      </c>
      <c r="Y70">
        <f>IFERROR(INDEX(Rainfall_Wet!$O$2:$O$217,MATCH(B70, Rainfall_Wet!$A$2:$A$217,0)),"")</f>
        <v>185.630065823</v>
      </c>
      <c r="Z70" s="228">
        <v>47.96</v>
      </c>
      <c r="AA70" s="228">
        <v>22.919999999999995</v>
      </c>
      <c r="AB70" s="228">
        <v>29.120000000000012</v>
      </c>
      <c r="AC70" s="229" t="s">
        <v>2657</v>
      </c>
      <c r="AD70" s="228">
        <v>6.8831936914736298</v>
      </c>
      <c r="AE70">
        <f>IF('WetLitterbags placem_collection'!AB71="","",'WetLitterbags placem_collection'!AB71)</f>
        <v>14.4</v>
      </c>
      <c r="AF70">
        <f>IF('WetLitterbags placem_collection'!Z71="","",'WetLitterbags placem_collection'!Z71)</f>
        <v>24.4</v>
      </c>
      <c r="AG70" s="243" t="str">
        <f>IF('WetLitterbags placem_collection'!AA71="","",'WetLitterbags placem_collection'!AA71)</f>
        <v>O</v>
      </c>
      <c r="AH70">
        <f>IF('WetLitterbags placem_collection'!AC71="","",'WetLitterbags placem_collection'!AC71)</f>
        <v>1</v>
      </c>
      <c r="AI70" s="237">
        <f>AVERAGE('WetLitterbags placem_collection'!S71,'WetLitterbags placem_collection'!U71)</f>
        <v>31.25</v>
      </c>
      <c r="AJ70">
        <f>AVERAGE('WetLitterbags placem_collection'!R71,'WetLitterbags placem_collection'!T71)</f>
        <v>23.450000000000003</v>
      </c>
      <c r="AK70">
        <f>INDEX(Coordinates!$B$2:$B$197,MATCH(H70,Coordinates!$J$2:$J$197,0))</f>
        <v>-3.2993180030000002</v>
      </c>
      <c r="AL70">
        <f>INDEX(Coordinates!$C$2:$C$197,MATCH(H70,Coordinates!$J$2:$J$197,0))</f>
        <v>34.848235010000003</v>
      </c>
      <c r="AM70" t="str">
        <f>IF(ISNUMBER(SEARCH("C", 'WetLitterbags placem_collection'!$V71)),"YES","NO")</f>
        <v>NO</v>
      </c>
      <c r="AN70" t="str">
        <f>IF(ISNUMBER(SEARCH("H", 'WetLitterbags placem_collection'!$V71)),"YES","NO")</f>
        <v>NO</v>
      </c>
      <c r="AO70" t="str">
        <f>IF(ISNUMBER(SEARCH("R", 'WetLitterbags placem_collection'!$V71)),"YES","NO")</f>
        <v>NO</v>
      </c>
    </row>
    <row r="71" spans="1:41">
      <c r="A71" s="255" t="s">
        <v>2454</v>
      </c>
      <c r="B71" s="260">
        <f>'Dry_Litterbag Placem_Collection'!A72</f>
        <v>70</v>
      </c>
      <c r="C71" s="260" t="str">
        <f>'Dry_Litterbag Placem_Collection'!B72</f>
        <v>Maswa</v>
      </c>
      <c r="D71" s="260" t="s">
        <v>2643</v>
      </c>
      <c r="E71" s="260" t="s">
        <v>2645</v>
      </c>
      <c r="F71" s="260">
        <v>1</v>
      </c>
      <c r="G71" s="260" t="s">
        <v>3810</v>
      </c>
      <c r="H71" s="261" t="str">
        <f>'Dry_Litterbag Placem_Collection'!C72</f>
        <v>Dry_W1_T6</v>
      </c>
      <c r="I71" s="262" t="s">
        <v>2525</v>
      </c>
      <c r="J71" s="263" t="s">
        <v>1147</v>
      </c>
      <c r="K71" s="221" t="str">
        <f>'WetLitterbags placem_collection'!K72</f>
        <v>G358</v>
      </c>
      <c r="L71" s="223">
        <f>IFERROR(INDEX('Green_rooibos initial weight'!$C$5:$C$2000,MATCH(K71, 'Green_rooibos initial weight'!$A$5:$A$2000,0)),"")</f>
        <v>2.016</v>
      </c>
      <c r="M71" s="223">
        <f>IFERROR(L71-(TBIcalc!$H$9+TBIcalc!$H$10),"")</f>
        <v>1.7662</v>
      </c>
      <c r="N71" s="385">
        <f>AVERAGE(Ashed_controlls!$K$2:$K$11)</f>
        <v>5.5147656768714146</v>
      </c>
      <c r="O71" s="223">
        <f t="shared" si="6"/>
        <v>1.668798208615097</v>
      </c>
      <c r="P71" s="223">
        <f>IFERROR(INDEX('Both teabags AfterWet'!$C$3:$C$840,MATCH(K71,'Both teabags AfterWet'!$A$3:$A$840,0)),"")</f>
        <v>0.84299999999999997</v>
      </c>
      <c r="Q71" s="223">
        <f>IFERROR(IF(P71&gt;0,P71-(TBIcalc!$H$9),""),"")</f>
        <v>0.6923999999999999</v>
      </c>
      <c r="R71" s="223">
        <f>IFERROR(INDEX('Ashed teabags wet'!$K$2:$K$2000,MATCH(K71,'Ashed teabags wet'!$A$2:$A$2000,0)),"")</f>
        <v>13.570741097208547</v>
      </c>
      <c r="S71" s="223">
        <f t="shared" si="7"/>
        <v>0.59843618864292791</v>
      </c>
      <c r="T71" s="224">
        <f>'WetLitterbags placem_collection'!E72</f>
        <v>42767</v>
      </c>
      <c r="U71" s="224">
        <f>IF('WetLitterbags placem_collection'!G72="","",'WetLitterbags placem_collection'!G72)</f>
        <v>42818</v>
      </c>
      <c r="V71" s="225">
        <f t="shared" si="5"/>
        <v>51</v>
      </c>
      <c r="W71" s="223">
        <f t="shared" si="8"/>
        <v>1.0738000000000001</v>
      </c>
      <c r="X71" s="223">
        <f t="shared" si="9"/>
        <v>1.0703620199721691</v>
      </c>
      <c r="Y71">
        <f>IFERROR(INDEX(Rainfall_Wet!$O$2:$O$217,MATCH(B71, Rainfall_Wet!$A$2:$A$217,0)),"")</f>
        <v>185.630065823</v>
      </c>
      <c r="Z71" s="228">
        <v>47.96</v>
      </c>
      <c r="AA71" s="228">
        <v>22.919999999999995</v>
      </c>
      <c r="AB71" s="228">
        <v>29.120000000000012</v>
      </c>
      <c r="AC71" s="229" t="s">
        <v>2657</v>
      </c>
      <c r="AD71" s="228">
        <v>7.8831936914736298</v>
      </c>
      <c r="AE71">
        <f>IF('WetLitterbags placem_collection'!AB72="","",'WetLitterbags placem_collection'!AB72)</f>
        <v>15</v>
      </c>
      <c r="AF71">
        <f>IF('WetLitterbags placem_collection'!Z72="","",'WetLitterbags placem_collection'!Z72)</f>
        <v>28</v>
      </c>
      <c r="AG71" s="243" t="str">
        <f>IF('WetLitterbags placem_collection'!AA72="","",'WetLitterbags placem_collection'!AA72)</f>
        <v>O</v>
      </c>
      <c r="AH71">
        <f>IF('WetLitterbags placem_collection'!AC72="","",'WetLitterbags placem_collection'!AC72)</f>
        <v>0</v>
      </c>
      <c r="AI71" s="237">
        <f>AVERAGE('WetLitterbags placem_collection'!S72,'WetLitterbags placem_collection'!U72)</f>
        <v>32.15</v>
      </c>
      <c r="AJ71">
        <f>AVERAGE('WetLitterbags placem_collection'!R72,'WetLitterbags placem_collection'!T72)</f>
        <v>23.7</v>
      </c>
      <c r="AK71">
        <f>INDEX(Coordinates!$B$2:$B$197,MATCH(H71,Coordinates!$J$2:$J$197,0))</f>
        <v>-3.299381034</v>
      </c>
      <c r="AL71">
        <f>INDEX(Coordinates!$C$2:$C$197,MATCH(H71,Coordinates!$J$2:$J$197,0))</f>
        <v>34.848312040000003</v>
      </c>
      <c r="AM71" t="str">
        <f>IF(ISNUMBER(SEARCH("C", 'WetLitterbags placem_collection'!$V72)),"YES","NO")</f>
        <v>YES</v>
      </c>
      <c r="AN71" t="str">
        <f>IF(ISNUMBER(SEARCH("H", 'WetLitterbags placem_collection'!$V72)),"YES","NO")</f>
        <v>YES</v>
      </c>
      <c r="AO71" t="str">
        <f>IF(ISNUMBER(SEARCH("R", 'WetLitterbags placem_collection'!$V72)),"YES","NO")</f>
        <v>YES</v>
      </c>
    </row>
    <row r="72" spans="1:41">
      <c r="A72" s="255" t="s">
        <v>2454</v>
      </c>
      <c r="B72" s="260">
        <f>'Dry_Litterbag Placem_Collection'!A73</f>
        <v>71</v>
      </c>
      <c r="C72" s="260" t="str">
        <f>'Dry_Litterbag Placem_Collection'!B73</f>
        <v>Maswa</v>
      </c>
      <c r="D72" s="260" t="s">
        <v>2643</v>
      </c>
      <c r="E72" s="260" t="s">
        <v>2645</v>
      </c>
      <c r="F72" s="260">
        <v>1</v>
      </c>
      <c r="G72" s="260" t="s">
        <v>3810</v>
      </c>
      <c r="H72" s="261" t="str">
        <f>'Dry_Litterbag Placem_Collection'!C73</f>
        <v>Dry_W1_T7</v>
      </c>
      <c r="I72" s="262" t="s">
        <v>2525</v>
      </c>
      <c r="J72" s="263" t="s">
        <v>1147</v>
      </c>
      <c r="K72" s="221" t="str">
        <f>'WetLitterbags placem_collection'!K73</f>
        <v>G511</v>
      </c>
      <c r="L72" s="223">
        <f>IFERROR(INDEX('Green_rooibos initial weight'!$C$5:$C$2000,MATCH(K72, 'Green_rooibos initial weight'!$A$5:$A$2000,0)),"")</f>
        <v>1.9930000000000001</v>
      </c>
      <c r="M72" s="223">
        <f>IFERROR(L72-(TBIcalc!$H$9+TBIcalc!$H$10),"")</f>
        <v>1.7432000000000001</v>
      </c>
      <c r="N72" s="385">
        <f>AVERAGE(Ashed_controlls!$K$2:$K$11)</f>
        <v>5.5147656768714146</v>
      </c>
      <c r="O72" s="223">
        <f t="shared" si="6"/>
        <v>1.6470666047207776</v>
      </c>
      <c r="P72" s="223">
        <f>IFERROR(INDEX('Both teabags AfterWet'!$C$3:$C$840,MATCH(K72,'Both teabags AfterWet'!$A$3:$A$840,0)),"")</f>
        <v>0.83740000000000003</v>
      </c>
      <c r="Q72" s="223">
        <f>IFERROR(IF(P72&gt;0,P72-(TBIcalc!$H$9),""),"")</f>
        <v>0.68680000000000008</v>
      </c>
      <c r="R72" s="223">
        <f>IFERROR(INDEX('Ashed teabags wet'!$K$2:$K$2000,MATCH(K72,'Ashed teabags wet'!$A$2:$A$2000,0)),"")</f>
        <v>9.3359960059912463</v>
      </c>
      <c r="S72" s="223">
        <f t="shared" si="7"/>
        <v>0.62268037943085219</v>
      </c>
      <c r="T72" s="224">
        <f>'WetLitterbags placem_collection'!E73</f>
        <v>42767</v>
      </c>
      <c r="U72" s="224">
        <f>IF('WetLitterbags placem_collection'!G73="","",'WetLitterbags placem_collection'!G73)</f>
        <v>42818</v>
      </c>
      <c r="V72" s="225">
        <f t="shared" si="5"/>
        <v>51</v>
      </c>
      <c r="W72" s="223">
        <f t="shared" si="8"/>
        <v>1.0564</v>
      </c>
      <c r="X72" s="223">
        <f t="shared" si="9"/>
        <v>1.0243862252899254</v>
      </c>
      <c r="Y72">
        <f>IFERROR(INDEX(Rainfall_Wet!$O$2:$O$217,MATCH(B72, Rainfall_Wet!$A$2:$A$217,0)),"")</f>
        <v>185.630065823</v>
      </c>
      <c r="Z72" s="228">
        <v>47.96</v>
      </c>
      <c r="AA72" s="228">
        <v>22.919999999999995</v>
      </c>
      <c r="AB72" s="228">
        <v>29.120000000000012</v>
      </c>
      <c r="AC72" s="229" t="s">
        <v>2657</v>
      </c>
      <c r="AD72" s="228">
        <v>8.8831936914736307</v>
      </c>
      <c r="AE72">
        <f>IF('WetLitterbags placem_collection'!AB73="","",'WetLitterbags placem_collection'!AB73)</f>
        <v>15.5</v>
      </c>
      <c r="AF72">
        <f>IF('WetLitterbags placem_collection'!Z73="","",'WetLitterbags placem_collection'!Z73)</f>
        <v>32</v>
      </c>
      <c r="AG72" s="243" t="str">
        <f>IF('WetLitterbags placem_collection'!AA73="","",'WetLitterbags placem_collection'!AA73)</f>
        <v>O</v>
      </c>
      <c r="AH72">
        <f>IF('WetLitterbags placem_collection'!AC73="","",'WetLitterbags placem_collection'!AC73)</f>
        <v>1</v>
      </c>
      <c r="AI72" s="237">
        <f>AVERAGE('WetLitterbags placem_collection'!S73,'WetLitterbags placem_collection'!U73)</f>
        <v>29.35</v>
      </c>
      <c r="AJ72">
        <f>AVERAGE('WetLitterbags placem_collection'!R73,'WetLitterbags placem_collection'!T73)</f>
        <v>21.95</v>
      </c>
      <c r="AK72">
        <f>INDEX(Coordinates!$B$2:$B$197,MATCH(H72,Coordinates!$J$2:$J$197,0))</f>
        <v>-3.2992429849999998</v>
      </c>
      <c r="AL72">
        <f>INDEX(Coordinates!$C$2:$C$197,MATCH(H72,Coordinates!$J$2:$J$197,0))</f>
        <v>34.847900989999999</v>
      </c>
      <c r="AM72" t="str">
        <f>IF(ISNUMBER(SEARCH("C", 'WetLitterbags placem_collection'!$V73)),"YES","NO")</f>
        <v>NO</v>
      </c>
      <c r="AN72" t="str">
        <f>IF(ISNUMBER(SEARCH("H", 'WetLitterbags placem_collection'!$V73)),"YES","NO")</f>
        <v>NO</v>
      </c>
      <c r="AO72" t="str">
        <f>IF(ISNUMBER(SEARCH("R", 'WetLitterbags placem_collection'!$V73)),"YES","NO")</f>
        <v>YES</v>
      </c>
    </row>
    <row r="73" spans="1:41">
      <c r="A73" s="255" t="s">
        <v>2454</v>
      </c>
      <c r="B73" s="260">
        <f>'Dry_Litterbag Placem_Collection'!A74</f>
        <v>72</v>
      </c>
      <c r="C73" s="260" t="str">
        <f>'Dry_Litterbag Placem_Collection'!B74</f>
        <v>Maswa</v>
      </c>
      <c r="D73" s="260" t="s">
        <v>2643</v>
      </c>
      <c r="E73" s="260" t="s">
        <v>2645</v>
      </c>
      <c r="F73" s="260">
        <v>1</v>
      </c>
      <c r="G73" s="260" t="s">
        <v>3810</v>
      </c>
      <c r="H73" s="261" t="str">
        <f>'Dry_Litterbag Placem_Collection'!C74</f>
        <v>Dry_W1_T8</v>
      </c>
      <c r="I73" s="262" t="s">
        <v>2525</v>
      </c>
      <c r="J73" s="263" t="s">
        <v>1147</v>
      </c>
      <c r="K73" s="221" t="str">
        <f>'WetLitterbags placem_collection'!K74</f>
        <v>G383</v>
      </c>
      <c r="L73" s="223">
        <f>IFERROR(INDEX('Green_rooibos initial weight'!$C$5:$C$2000,MATCH(K73, 'Green_rooibos initial weight'!$A$5:$A$2000,0)),"")</f>
        <v>1.956</v>
      </c>
      <c r="M73" s="223">
        <f>IFERROR(L73-(TBIcalc!$H$9+TBIcalc!$H$10),"")</f>
        <v>1.7061999999999999</v>
      </c>
      <c r="N73" s="385">
        <f>AVERAGE(Ashed_controlls!$K$2:$K$11)</f>
        <v>5.5147656768714146</v>
      </c>
      <c r="O73" s="223">
        <f t="shared" si="6"/>
        <v>1.6121070680212199</v>
      </c>
      <c r="P73" s="223">
        <f>IFERROR(INDEX('Both teabags AfterWet'!$C$3:$C$840,MATCH(K73,'Both teabags AfterWet'!$A$3:$A$840,0)),"")</f>
        <v>0.82550000000000001</v>
      </c>
      <c r="Q73" s="223">
        <f>IFERROR(IF(P73&gt;0,P73-(TBIcalc!$H$9),""),"")</f>
        <v>0.67490000000000006</v>
      </c>
      <c r="R73" s="223">
        <f>IFERROR(INDEX('Ashed teabags wet'!$K$2:$K$2000,MATCH(K73,'Ashed teabags wet'!$A$2:$A$2000,0)),"")</f>
        <v>8.9603960396033298</v>
      </c>
      <c r="S73" s="223">
        <f t="shared" si="7"/>
        <v>0.61442628712871716</v>
      </c>
      <c r="T73" s="224">
        <f>'WetLitterbags placem_collection'!E74</f>
        <v>42767</v>
      </c>
      <c r="U73" s="224">
        <f>IF('WetLitterbags placem_collection'!G74="","",'WetLitterbags placem_collection'!G74)</f>
        <v>42818</v>
      </c>
      <c r="V73" s="225">
        <f t="shared" si="5"/>
        <v>51</v>
      </c>
      <c r="W73" s="223">
        <f t="shared" si="8"/>
        <v>1.0312999999999999</v>
      </c>
      <c r="X73" s="223">
        <f t="shared" si="9"/>
        <v>0.99768078089250278</v>
      </c>
      <c r="Y73">
        <f>IFERROR(INDEX(Rainfall_Wet!$O$2:$O$217,MATCH(B73, Rainfall_Wet!$A$2:$A$217,0)),"")</f>
        <v>185.630065823</v>
      </c>
      <c r="Z73" s="228">
        <v>47.96</v>
      </c>
      <c r="AA73" s="228">
        <v>22.919999999999995</v>
      </c>
      <c r="AB73" s="228">
        <v>29.120000000000012</v>
      </c>
      <c r="AC73" s="229" t="s">
        <v>2657</v>
      </c>
      <c r="AD73" s="228">
        <v>9.8831936914736307</v>
      </c>
      <c r="AE73">
        <f>IF('WetLitterbags placem_collection'!AB74="","",'WetLitterbags placem_collection'!AB74)</f>
        <v>2.6</v>
      </c>
      <c r="AF73">
        <f>IF('WetLitterbags placem_collection'!Z74="","",'WetLitterbags placem_collection'!Z74)</f>
        <v>44</v>
      </c>
      <c r="AG73" s="243" t="str">
        <f>IF('WetLitterbags placem_collection'!AA74="","",'WetLitterbags placem_collection'!AA74)</f>
        <v>O</v>
      </c>
      <c r="AH73">
        <f>IF('WetLitterbags placem_collection'!AC74="","",'WetLitterbags placem_collection'!AC74)</f>
        <v>1</v>
      </c>
      <c r="AI73" s="237">
        <f>AVERAGE('WetLitterbags placem_collection'!S74,'WetLitterbags placem_collection'!U74)</f>
        <v>32</v>
      </c>
      <c r="AJ73">
        <f>AVERAGE('WetLitterbags placem_collection'!R74,'WetLitterbags placem_collection'!T74)</f>
        <v>21.9</v>
      </c>
      <c r="AK73">
        <f>INDEX(Coordinates!$B$2:$B$197,MATCH(H73,Coordinates!$J$2:$J$197,0))</f>
        <v>-3.2996540329999999</v>
      </c>
      <c r="AL73">
        <f>INDEX(Coordinates!$C$2:$C$197,MATCH(H73,Coordinates!$J$2:$J$197,0))</f>
        <v>34.848151020000003</v>
      </c>
      <c r="AM73" t="str">
        <f>IF(ISNUMBER(SEARCH("C", 'WetLitterbags placem_collection'!$V74)),"YES","NO")</f>
        <v>NO</v>
      </c>
      <c r="AN73" t="str">
        <f>IF(ISNUMBER(SEARCH("H", 'WetLitterbags placem_collection'!$V74)),"YES","NO")</f>
        <v>NO</v>
      </c>
      <c r="AO73" t="str">
        <f>IF(ISNUMBER(SEARCH("R", 'WetLitterbags placem_collection'!$V74)),"YES","NO")</f>
        <v>YES</v>
      </c>
    </row>
    <row r="74" spans="1:41">
      <c r="A74" s="255" t="s">
        <v>2454</v>
      </c>
      <c r="B74" s="260">
        <f>'Dry_Litterbag Placem_Collection'!A75</f>
        <v>73</v>
      </c>
      <c r="C74" s="260" t="str">
        <f>'Dry_Litterbag Placem_Collection'!B75</f>
        <v>Maswa</v>
      </c>
      <c r="D74" s="260" t="s">
        <v>2643</v>
      </c>
      <c r="E74" s="260" t="s">
        <v>2645</v>
      </c>
      <c r="F74" s="260">
        <v>2</v>
      </c>
      <c r="G74" s="260" t="s">
        <v>3812</v>
      </c>
      <c r="H74" s="261" t="str">
        <f>'Dry_Litterbag Placem_Collection'!C75</f>
        <v>Dry_W2_T1</v>
      </c>
      <c r="I74" s="262" t="s">
        <v>2525</v>
      </c>
      <c r="J74" s="263" t="s">
        <v>1147</v>
      </c>
      <c r="K74" s="221" t="str">
        <f>'WetLitterbags placem_collection'!K75</f>
        <v>G549</v>
      </c>
      <c r="L74" s="223">
        <f>IFERROR(INDEX('Green_rooibos initial weight'!$C$5:$C$2000,MATCH(K74, 'Green_rooibos initial weight'!$A$5:$A$2000,0)),"")</f>
        <v>2.016</v>
      </c>
      <c r="M74" s="223">
        <f>IFERROR(L74-(TBIcalc!$H$9+TBIcalc!$H$10),"")</f>
        <v>1.7662</v>
      </c>
      <c r="N74" s="385">
        <f>AVERAGE(Ashed_controlls!$K$2:$K$11)</f>
        <v>5.5147656768714146</v>
      </c>
      <c r="O74" s="223">
        <f t="shared" si="6"/>
        <v>1.668798208615097</v>
      </c>
      <c r="P74" s="223">
        <f>IFERROR(INDEX('Both teabags AfterWet'!$C$3:$C$840,MATCH(K74,'Both teabags AfterWet'!$A$3:$A$840,0)),"")</f>
        <v>0.74199999999999999</v>
      </c>
      <c r="Q74" s="223">
        <f>IFERROR(IF(P74&gt;0,P74-(TBIcalc!$H$9),""),"")</f>
        <v>0.59139999999999993</v>
      </c>
      <c r="R74" s="223">
        <f>IFERROR(INDEX('Ashed teabags wet'!$K$2:$K$2000,MATCH(K74,'Ashed teabags wet'!$A$2:$A$2000,0)),"")</f>
        <v>10.980392156862093</v>
      </c>
      <c r="S74" s="223">
        <f t="shared" si="7"/>
        <v>0.52646196078431751</v>
      </c>
      <c r="T74" s="224">
        <f>'WetLitterbags placem_collection'!E75</f>
        <v>42767</v>
      </c>
      <c r="U74" s="224">
        <f>IF('WetLitterbags placem_collection'!G75="","",'WetLitterbags placem_collection'!G75)</f>
        <v>42818</v>
      </c>
      <c r="V74" s="225">
        <f t="shared" si="5"/>
        <v>51</v>
      </c>
      <c r="W74" s="223">
        <f t="shared" si="8"/>
        <v>1.1748000000000001</v>
      </c>
      <c r="X74" s="223">
        <f t="shared" si="9"/>
        <v>1.1423362478307795</v>
      </c>
      <c r="Y74">
        <f>IFERROR(INDEX(Rainfall_Wet!$O$2:$O$217,MATCH(B74, Rainfall_Wet!$A$2:$A$217,0)),"")</f>
        <v>185.630065823</v>
      </c>
      <c r="Z74" s="228">
        <v>45.272914521112256</v>
      </c>
      <c r="AA74" s="228">
        <v>23.604531410916575</v>
      </c>
      <c r="AB74" s="228">
        <v>31.122554067971166</v>
      </c>
      <c r="AC74" s="229" t="s">
        <v>2657</v>
      </c>
      <c r="AD74" s="228">
        <v>2.0547560374568752</v>
      </c>
      <c r="AE74">
        <f>IF('WetLitterbags placem_collection'!AB75="","",'WetLitterbags placem_collection'!AB75)</f>
        <v>9.1</v>
      </c>
      <c r="AF74">
        <f>IF('WetLitterbags placem_collection'!Z75="","",'WetLitterbags placem_collection'!Z75)</f>
        <v>10</v>
      </c>
      <c r="AG74" s="243" t="str">
        <f>IF('WetLitterbags placem_collection'!AA75="","",'WetLitterbags placem_collection'!AA75)</f>
        <v>M</v>
      </c>
      <c r="AH74">
        <f>IF('WetLitterbags placem_collection'!AC75="","",'WetLitterbags placem_collection'!AC75)</f>
        <v>1</v>
      </c>
      <c r="AI74" s="237">
        <f>AVERAGE('WetLitterbags placem_collection'!S75,'WetLitterbags placem_collection'!U75)</f>
        <v>27.85</v>
      </c>
      <c r="AJ74">
        <f>AVERAGE('WetLitterbags placem_collection'!R75,'WetLitterbags placem_collection'!T75)</f>
        <v>26.15</v>
      </c>
      <c r="AK74">
        <f>INDEX(Coordinates!$B$2:$B$197,MATCH(H74,Coordinates!$J$2:$J$197,0))</f>
        <v>-3.3025860229999999</v>
      </c>
      <c r="AL74">
        <f>INDEX(Coordinates!$C$2:$C$197,MATCH(H74,Coordinates!$J$2:$J$197,0))</f>
        <v>34.848048009999999</v>
      </c>
      <c r="AM74" t="str">
        <f>IF(ISNUMBER(SEARCH("C", 'WetLitterbags placem_collection'!$V75)),"YES","NO")</f>
        <v>NO</v>
      </c>
      <c r="AN74" t="str">
        <f>IF(ISNUMBER(SEARCH("H", 'WetLitterbags placem_collection'!$V75)),"YES","NO")</f>
        <v>YES</v>
      </c>
      <c r="AO74" t="str">
        <f>IF(ISNUMBER(SEARCH("R", 'WetLitterbags placem_collection'!$V75)),"YES","NO")</f>
        <v>YES</v>
      </c>
    </row>
    <row r="75" spans="1:41">
      <c r="A75" s="255" t="s">
        <v>2454</v>
      </c>
      <c r="B75" s="260">
        <f>'Dry_Litterbag Placem_Collection'!A76</f>
        <v>74</v>
      </c>
      <c r="C75" s="260" t="str">
        <f>'Dry_Litterbag Placem_Collection'!B76</f>
        <v>Maswa</v>
      </c>
      <c r="D75" s="260" t="s">
        <v>2643</v>
      </c>
      <c r="E75" s="260" t="s">
        <v>2645</v>
      </c>
      <c r="F75" s="260">
        <v>2</v>
      </c>
      <c r="G75" s="260" t="s">
        <v>3812</v>
      </c>
      <c r="H75" s="261" t="str">
        <f>'Dry_Litterbag Placem_Collection'!C76</f>
        <v>Dry_W2_T2</v>
      </c>
      <c r="I75" s="262" t="s">
        <v>2525</v>
      </c>
      <c r="J75" s="263" t="s">
        <v>1147</v>
      </c>
      <c r="K75" s="221" t="str">
        <f>'WetLitterbags placem_collection'!K76</f>
        <v>G605</v>
      </c>
      <c r="L75" s="223">
        <f>IFERROR(INDEX('Green_rooibos initial weight'!$C$5:$C$2000,MATCH(K75, 'Green_rooibos initial weight'!$A$5:$A$2000,0)),"")</f>
        <v>2.0459999999999998</v>
      </c>
      <c r="M75" s="223">
        <f>IFERROR(L75-(TBIcalc!$H$9+TBIcalc!$H$10),"")</f>
        <v>1.7961999999999998</v>
      </c>
      <c r="N75" s="385">
        <f>AVERAGE(Ashed_controlls!$K$2:$K$11)</f>
        <v>5.5147656768714146</v>
      </c>
      <c r="O75" s="223">
        <f t="shared" si="6"/>
        <v>1.6971437789120354</v>
      </c>
      <c r="P75" s="223">
        <f>IFERROR(INDEX('Both teabags AfterWet'!$C$3:$C$840,MATCH(K75,'Both teabags AfterWet'!$A$3:$A$840,0)),"")</f>
        <v>1.1950000000000001</v>
      </c>
      <c r="Q75" s="223">
        <f>IFERROR(IF(P75&gt;0,P75-(TBIcalc!$H$9),""),"")</f>
        <v>1.0444</v>
      </c>
      <c r="R75" s="223">
        <f>IFERROR(INDEX('Ashed teabags wet'!$K$2:$K$2000,MATCH(K75,'Ashed teabags wet'!$A$2:$A$2000,0)),"")</f>
        <v>62.512315270936703</v>
      </c>
      <c r="S75" s="223">
        <f t="shared" si="7"/>
        <v>0.39152137931033704</v>
      </c>
      <c r="T75" s="224">
        <f>'WetLitterbags placem_collection'!E76</f>
        <v>42767</v>
      </c>
      <c r="U75" s="224">
        <f>IF('WetLitterbags placem_collection'!G76="","",'WetLitterbags placem_collection'!G76)</f>
        <v>42818</v>
      </c>
      <c r="V75" s="225">
        <f t="shared" si="5"/>
        <v>51</v>
      </c>
      <c r="W75" s="223">
        <f t="shared" si="8"/>
        <v>0.7517999999999998</v>
      </c>
      <c r="X75" s="223">
        <f t="shared" si="9"/>
        <v>1.3056223996016985</v>
      </c>
      <c r="Y75">
        <f>IFERROR(INDEX(Rainfall_Wet!$O$2:$O$217,MATCH(B75, Rainfall_Wet!$A$2:$A$217,0)),"")</f>
        <v>185.630065823</v>
      </c>
      <c r="Z75" s="228">
        <v>45.272914521112256</v>
      </c>
      <c r="AA75" s="228">
        <v>23.604531410916575</v>
      </c>
      <c r="AB75" s="228">
        <v>31.122554067971166</v>
      </c>
      <c r="AC75" s="229" t="s">
        <v>2657</v>
      </c>
      <c r="AD75" s="228">
        <v>3.0547560374568801</v>
      </c>
      <c r="AE75">
        <f>IF('WetLitterbags placem_collection'!AB76="","",'WetLitterbags placem_collection'!AB76)</f>
        <v>7.7</v>
      </c>
      <c r="AF75">
        <f>IF('WetLitterbags placem_collection'!Z76="","",'WetLitterbags placem_collection'!Z76)</f>
        <v>9.4</v>
      </c>
      <c r="AG75" s="243" t="str">
        <f>IF('WetLitterbags placem_collection'!AA76="","",'WetLitterbags placem_collection'!AA76)</f>
        <v>M</v>
      </c>
      <c r="AH75">
        <f>IF('WetLitterbags placem_collection'!AC76="","",'WetLitterbags placem_collection'!AC76)</f>
        <v>1</v>
      </c>
      <c r="AI75" s="237">
        <f>AVERAGE('WetLitterbags placem_collection'!S76,'WetLitterbags placem_collection'!U76)</f>
        <v>24.65</v>
      </c>
      <c r="AJ75">
        <f>AVERAGE('WetLitterbags placem_collection'!R76,'WetLitterbags placem_collection'!T76)</f>
        <v>24.35</v>
      </c>
      <c r="AK75">
        <f>INDEX(Coordinates!$B$2:$B$197,MATCH(H75,Coordinates!$J$2:$J$197,0))</f>
        <v>-3.3025779759999998</v>
      </c>
      <c r="AL75">
        <f>INDEX(Coordinates!$C$2:$C$197,MATCH(H75,Coordinates!$J$2:$J$197,0))</f>
        <v>34.848041969999997</v>
      </c>
      <c r="AM75" t="str">
        <f>IF(ISNUMBER(SEARCH("C", 'WetLitterbags placem_collection'!$V76)),"YES","NO")</f>
        <v>NO</v>
      </c>
      <c r="AN75" t="str">
        <f>IF(ISNUMBER(SEARCH("H", 'WetLitterbags placem_collection'!$V76)),"YES","NO")</f>
        <v>YES</v>
      </c>
      <c r="AO75" t="str">
        <f>IF(ISNUMBER(SEARCH("R", 'WetLitterbags placem_collection'!$V76)),"YES","NO")</f>
        <v>YES</v>
      </c>
    </row>
    <row r="76" spans="1:41">
      <c r="A76" s="255" t="s">
        <v>2454</v>
      </c>
      <c r="B76" s="260">
        <f>'Dry_Litterbag Placem_Collection'!A77</f>
        <v>75</v>
      </c>
      <c r="C76" s="260" t="str">
        <f>'Dry_Litterbag Placem_Collection'!B77</f>
        <v>Maswa</v>
      </c>
      <c r="D76" s="260" t="s">
        <v>2643</v>
      </c>
      <c r="E76" s="260" t="s">
        <v>2645</v>
      </c>
      <c r="F76" s="260">
        <v>2</v>
      </c>
      <c r="G76" s="260" t="s">
        <v>3812</v>
      </c>
      <c r="H76" s="261" t="str">
        <f>'Dry_Litterbag Placem_Collection'!C77</f>
        <v>Dry_W2_T3</v>
      </c>
      <c r="I76" s="262" t="s">
        <v>2525</v>
      </c>
      <c r="J76" s="263" t="s">
        <v>1147</v>
      </c>
      <c r="K76" s="221" t="str">
        <f>'WetLitterbags placem_collection'!K77</f>
        <v>G408</v>
      </c>
      <c r="L76" s="223">
        <f>IFERROR(INDEX('Green_rooibos initial weight'!$C$5:$C$2000,MATCH(K76, 'Green_rooibos initial weight'!$A$5:$A$2000,0)),"")</f>
        <v>2.044</v>
      </c>
      <c r="M76" s="223">
        <f>IFERROR(L76-(TBIcalc!$H$9+TBIcalc!$H$10),"")</f>
        <v>1.7942</v>
      </c>
      <c r="N76" s="385">
        <f>AVERAGE(Ashed_controlls!$K$2:$K$11)</f>
        <v>5.5147656768714146</v>
      </c>
      <c r="O76" s="223">
        <f t="shared" si="6"/>
        <v>1.6952540742255731</v>
      </c>
      <c r="P76" s="223">
        <f>IFERROR(INDEX('Both teabags AfterWet'!$C$3:$C$840,MATCH(K76,'Both teabags AfterWet'!$A$3:$A$840,0)),"")</f>
        <v>0.85780000000000001</v>
      </c>
      <c r="Q76" s="223">
        <f>IFERROR(IF(P76&gt;0,P76-(TBIcalc!$H$9),""),"")</f>
        <v>0.70720000000000005</v>
      </c>
      <c r="R76" s="223">
        <f>IFERROR(INDEX('Ashed teabags wet'!$K$2:$K$2000,MATCH(K76,'Ashed teabags wet'!$A$2:$A$2000,0)),"")</f>
        <v>10.812157448929053</v>
      </c>
      <c r="S76" s="223">
        <f t="shared" si="7"/>
        <v>0.63073642252117379</v>
      </c>
      <c r="T76" s="224">
        <f>'WetLitterbags placem_collection'!E77</f>
        <v>42767</v>
      </c>
      <c r="U76" s="224">
        <f>IF('WetLitterbags placem_collection'!G77="","",'WetLitterbags placem_collection'!G77)</f>
        <v>42818</v>
      </c>
      <c r="V76" s="225">
        <f t="shared" si="5"/>
        <v>51</v>
      </c>
      <c r="W76" s="223">
        <f t="shared" si="8"/>
        <v>1.087</v>
      </c>
      <c r="X76" s="223">
        <f t="shared" si="9"/>
        <v>1.0645176517043993</v>
      </c>
      <c r="Y76">
        <f>IFERROR(INDEX(Rainfall_Wet!$O$2:$O$217,MATCH(B76, Rainfall_Wet!$A$2:$A$217,0)),"")</f>
        <v>185.630065823</v>
      </c>
      <c r="Z76" s="228">
        <v>45.272914521112256</v>
      </c>
      <c r="AA76" s="228">
        <v>23.604531410916575</v>
      </c>
      <c r="AB76" s="228">
        <v>31.122554067971166</v>
      </c>
      <c r="AC76" s="229" t="s">
        <v>2657</v>
      </c>
      <c r="AD76" s="228">
        <v>4.0547560374568796</v>
      </c>
      <c r="AE76">
        <f>IF('WetLitterbags placem_collection'!AB77="","",'WetLitterbags placem_collection'!AB77)</f>
        <v>6.1</v>
      </c>
      <c r="AF76">
        <f>IF('WetLitterbags placem_collection'!Z77="","",'WetLitterbags placem_collection'!Z77)</f>
        <v>13.8</v>
      </c>
      <c r="AG76" s="243" t="str">
        <f>IF('WetLitterbags placem_collection'!AA77="","",'WetLitterbags placem_collection'!AA77)</f>
        <v>O</v>
      </c>
      <c r="AH76">
        <f>IF('WetLitterbags placem_collection'!AC77="","",'WetLitterbags placem_collection'!AC77)</f>
        <v>0</v>
      </c>
      <c r="AI76" s="237">
        <f>AVERAGE('WetLitterbags placem_collection'!S77,'WetLitterbags placem_collection'!U77)</f>
        <v>27.150000000000002</v>
      </c>
      <c r="AJ76">
        <f>AVERAGE('WetLitterbags placem_collection'!R77,'WetLitterbags placem_collection'!T77)</f>
        <v>25.65</v>
      </c>
      <c r="AK76">
        <f>INDEX(Coordinates!$B$2:$B$197,MATCH(H76,Coordinates!$J$2:$J$197,0))</f>
        <v>-3.302687025</v>
      </c>
      <c r="AL76">
        <f>INDEX(Coordinates!$C$2:$C$197,MATCH(H76,Coordinates!$J$2:$J$197,0))</f>
        <v>34.847926970000003</v>
      </c>
      <c r="AM76" t="str">
        <f>IF(ISNUMBER(SEARCH("C", 'WetLitterbags placem_collection'!$V77)),"YES","NO")</f>
        <v>NO</v>
      </c>
      <c r="AN76" t="str">
        <f>IF(ISNUMBER(SEARCH("H", 'WetLitterbags placem_collection'!$V77)),"YES","NO")</f>
        <v>YES</v>
      </c>
      <c r="AO76" t="str">
        <f>IF(ISNUMBER(SEARCH("R", 'WetLitterbags placem_collection'!$V77)),"YES","NO")</f>
        <v>YES</v>
      </c>
    </row>
    <row r="77" spans="1:41">
      <c r="A77" s="255" t="s">
        <v>2454</v>
      </c>
      <c r="B77" s="260">
        <f>'Dry_Litterbag Placem_Collection'!A78</f>
        <v>76</v>
      </c>
      <c r="C77" s="260" t="str">
        <f>'Dry_Litterbag Placem_Collection'!B78</f>
        <v>Maswa</v>
      </c>
      <c r="D77" s="260" t="s">
        <v>2643</v>
      </c>
      <c r="E77" s="260" t="s">
        <v>2645</v>
      </c>
      <c r="F77" s="260">
        <v>2</v>
      </c>
      <c r="G77" s="260" t="s">
        <v>3812</v>
      </c>
      <c r="H77" s="261" t="str">
        <f>'Dry_Litterbag Placem_Collection'!C78</f>
        <v>Dry_W2_T4</v>
      </c>
      <c r="I77" s="262" t="s">
        <v>2525</v>
      </c>
      <c r="J77" s="263" t="s">
        <v>1147</v>
      </c>
      <c r="K77" s="221" t="str">
        <f>'WetLitterbags placem_collection'!K78</f>
        <v>G416</v>
      </c>
      <c r="L77" s="223">
        <f>IFERROR(INDEX('Green_rooibos initial weight'!$C$5:$C$2000,MATCH(K77, 'Green_rooibos initial weight'!$A$5:$A$2000,0)),"")</f>
        <v>2.1819999999999999</v>
      </c>
      <c r="M77" s="223">
        <f>IFERROR(L77-(TBIcalc!$H$9+TBIcalc!$H$10),"")</f>
        <v>1.9321999999999999</v>
      </c>
      <c r="N77" s="385">
        <f>AVERAGE(Ashed_controlls!$K$2:$K$11)</f>
        <v>5.5147656768714146</v>
      </c>
      <c r="O77" s="223">
        <f t="shared" si="6"/>
        <v>1.8256436975914905</v>
      </c>
      <c r="P77" s="223">
        <f>IFERROR(INDEX('Both teabags AfterWet'!$C$3:$C$840,MATCH(K77,'Both teabags AfterWet'!$A$3:$A$840,0)),"")</f>
        <v>0.94399999999999995</v>
      </c>
      <c r="Q77" s="223">
        <f>IFERROR(IF(P77&gt;0,P77-(TBIcalc!$H$9),""),"")</f>
        <v>0.79339999999999988</v>
      </c>
      <c r="R77" s="223">
        <f>IFERROR(INDEX('Ashed teabags wet'!$K$2:$K$2000,MATCH(K77,'Ashed teabags wet'!$A$2:$A$2000,0)),"")</f>
        <v>14.711729622266519</v>
      </c>
      <c r="S77" s="223">
        <f t="shared" si="7"/>
        <v>0.67667713717693734</v>
      </c>
      <c r="T77" s="224">
        <f>'WetLitterbags placem_collection'!E78</f>
        <v>42767</v>
      </c>
      <c r="U77" s="224">
        <f>IF('WetLitterbags placem_collection'!G78="","",'WetLitterbags placem_collection'!G78)</f>
        <v>42818</v>
      </c>
      <c r="V77" s="225">
        <f t="shared" si="5"/>
        <v>51</v>
      </c>
      <c r="W77" s="223">
        <f t="shared" si="8"/>
        <v>1.1388</v>
      </c>
      <c r="X77" s="223">
        <f t="shared" si="9"/>
        <v>1.1489665604145531</v>
      </c>
      <c r="Y77">
        <f>IFERROR(INDEX(Rainfall_Wet!$O$2:$O$217,MATCH(B77, Rainfall_Wet!$A$2:$A$217,0)),"")</f>
        <v>185.630065823</v>
      </c>
      <c r="Z77" s="228">
        <v>45.272914521112256</v>
      </c>
      <c r="AA77" s="228">
        <v>23.604531410916575</v>
      </c>
      <c r="AB77" s="228">
        <v>31.122554067971166</v>
      </c>
      <c r="AC77" s="229" t="s">
        <v>2657</v>
      </c>
      <c r="AD77" s="228">
        <v>5.0547560374568796</v>
      </c>
      <c r="AE77">
        <f>IF('WetLitterbags placem_collection'!AB78="","",'WetLitterbags placem_collection'!AB78)</f>
        <v>6.7</v>
      </c>
      <c r="AF77">
        <f>IF('WetLitterbags placem_collection'!Z78="","",'WetLitterbags placem_collection'!Z78)</f>
        <v>19.3</v>
      </c>
      <c r="AG77" s="243" t="str">
        <f>IF('WetLitterbags placem_collection'!AA78="","",'WetLitterbags placem_collection'!AA78)</f>
        <v>M</v>
      </c>
      <c r="AH77">
        <f>IF('WetLitterbags placem_collection'!AC78="","",'WetLitterbags placem_collection'!AC78)</f>
        <v>1</v>
      </c>
      <c r="AI77" s="237">
        <f>AVERAGE('WetLitterbags placem_collection'!S78,'WetLitterbags placem_collection'!U78)</f>
        <v>26.8</v>
      </c>
      <c r="AJ77">
        <f>AVERAGE('WetLitterbags placem_collection'!R78,'WetLitterbags placem_collection'!T78)</f>
        <v>23.7</v>
      </c>
      <c r="AK77">
        <f>INDEX(Coordinates!$B$2:$B$197,MATCH(H77,Coordinates!$J$2:$J$197,0))</f>
        <v>-3.3024560190000001</v>
      </c>
      <c r="AL77">
        <f>INDEX(Coordinates!$C$2:$C$197,MATCH(H77,Coordinates!$J$2:$J$197,0))</f>
        <v>34.847871990000002</v>
      </c>
      <c r="AM77" t="str">
        <f>IF(ISNUMBER(SEARCH("C", 'WetLitterbags placem_collection'!$V78)),"YES","NO")</f>
        <v>NO</v>
      </c>
      <c r="AN77" t="str">
        <f>IF(ISNUMBER(SEARCH("H", 'WetLitterbags placem_collection'!$V78)),"YES","NO")</f>
        <v>YES</v>
      </c>
      <c r="AO77" t="str">
        <f>IF(ISNUMBER(SEARCH("R", 'WetLitterbags placem_collection'!$V78)),"YES","NO")</f>
        <v>NO</v>
      </c>
    </row>
    <row r="78" spans="1:41">
      <c r="A78" s="255" t="s">
        <v>2454</v>
      </c>
      <c r="B78" s="260">
        <f>'Dry_Litterbag Placem_Collection'!A79</f>
        <v>77</v>
      </c>
      <c r="C78" s="260" t="str">
        <f>'Dry_Litterbag Placem_Collection'!B79</f>
        <v>Maswa</v>
      </c>
      <c r="D78" s="260" t="s">
        <v>2643</v>
      </c>
      <c r="E78" s="260" t="s">
        <v>2645</v>
      </c>
      <c r="F78" s="260">
        <v>2</v>
      </c>
      <c r="G78" s="260" t="s">
        <v>3812</v>
      </c>
      <c r="H78" s="261" t="str">
        <f>'Dry_Litterbag Placem_Collection'!C79</f>
        <v>Dry_W2_T5</v>
      </c>
      <c r="I78" s="262" t="s">
        <v>2525</v>
      </c>
      <c r="J78" s="263" t="s">
        <v>1147</v>
      </c>
      <c r="K78" s="221" t="str">
        <f>'WetLitterbags placem_collection'!K79</f>
        <v>G594</v>
      </c>
      <c r="L78" s="223">
        <f>IFERROR(INDEX('Green_rooibos initial weight'!$C$5:$C$2000,MATCH(K78, 'Green_rooibos initial weight'!$A$5:$A$2000,0)),"")</f>
        <v>2.0680000000000001</v>
      </c>
      <c r="M78" s="223">
        <f>IFERROR(L78-(TBIcalc!$H$9+TBIcalc!$H$10),"")</f>
        <v>1.8182</v>
      </c>
      <c r="N78" s="385">
        <f>AVERAGE(Ashed_controlls!$K$2:$K$11)</f>
        <v>5.5147656768714146</v>
      </c>
      <c r="O78" s="223">
        <f t="shared" si="6"/>
        <v>1.7179305304631241</v>
      </c>
      <c r="P78" s="223">
        <f>IFERROR(INDEX('Both teabags AfterWet'!$C$3:$C$840,MATCH(K78,'Both teabags AfterWet'!$A$3:$A$840,0)),"")</f>
        <v>0.94699999999999995</v>
      </c>
      <c r="Q78" s="223">
        <f>IFERROR(IF(P78&gt;0,P78-(TBIcalc!$H$9),""),"")</f>
        <v>0.7964</v>
      </c>
      <c r="R78" s="223">
        <f>IFERROR(INDEX('Ashed teabags wet'!$K$2:$K$2000,MATCH(K78,'Ashed teabags wet'!$A$2:$A$2000,0)),"")</f>
        <v>12.475633528264789</v>
      </c>
      <c r="S78" s="223">
        <f t="shared" si="7"/>
        <v>0.69704405458089924</v>
      </c>
      <c r="T78" s="224">
        <f>'WetLitterbags placem_collection'!E79</f>
        <v>42767</v>
      </c>
      <c r="U78" s="224">
        <f>IF('WetLitterbags placem_collection'!G79="","",'WetLitterbags placem_collection'!G79)</f>
        <v>42818</v>
      </c>
      <c r="V78" s="225">
        <f t="shared" si="5"/>
        <v>51</v>
      </c>
      <c r="W78" s="223">
        <f t="shared" si="8"/>
        <v>1.0218</v>
      </c>
      <c r="X78" s="223">
        <f t="shared" si="9"/>
        <v>1.0208864758822247</v>
      </c>
      <c r="Y78">
        <f>IFERROR(INDEX(Rainfall_Wet!$O$2:$O$217,MATCH(B78, Rainfall_Wet!$A$2:$A$217,0)),"")</f>
        <v>185.630065823</v>
      </c>
      <c r="Z78" s="228">
        <v>45.272914521112256</v>
      </c>
      <c r="AA78" s="228">
        <v>23.604531410916575</v>
      </c>
      <c r="AB78" s="228">
        <v>31.122554067971166</v>
      </c>
      <c r="AC78" s="229" t="s">
        <v>2657</v>
      </c>
      <c r="AD78" s="228">
        <v>6.0547560374568796</v>
      </c>
      <c r="AE78">
        <f>IF('WetLitterbags placem_collection'!AB79="","",'WetLitterbags placem_collection'!AB79)</f>
        <v>3.1</v>
      </c>
      <c r="AF78">
        <f>IF('WetLitterbags placem_collection'!Z79="","",'WetLitterbags placem_collection'!Z79)</f>
        <v>9.8000000000000007</v>
      </c>
      <c r="AG78" s="243" t="str">
        <f>IF('WetLitterbags placem_collection'!AA79="","",'WetLitterbags placem_collection'!AA79)</f>
        <v>O</v>
      </c>
      <c r="AH78">
        <f>IF('WetLitterbags placem_collection'!AC79="","",'WetLitterbags placem_collection'!AC79)</f>
        <v>1</v>
      </c>
      <c r="AI78" s="237">
        <f>AVERAGE('WetLitterbags placem_collection'!S79,'WetLitterbags placem_collection'!U79)</f>
        <v>25.950000000000003</v>
      </c>
      <c r="AJ78">
        <f>AVERAGE('WetLitterbags placem_collection'!R79,'WetLitterbags placem_collection'!T79)</f>
        <v>25.950000000000003</v>
      </c>
      <c r="AK78">
        <f>INDEX(Coordinates!$B$2:$B$197,MATCH(H78,Coordinates!$J$2:$J$197,0))</f>
        <v>-3.3023280279999998</v>
      </c>
      <c r="AL78">
        <f>INDEX(Coordinates!$C$2:$C$197,MATCH(H78,Coordinates!$J$2:$J$197,0))</f>
        <v>34.848223019999999</v>
      </c>
      <c r="AM78" t="str">
        <f>IF(ISNUMBER(SEARCH("C", 'WetLitterbags placem_collection'!$V79)),"YES","NO")</f>
        <v>NO</v>
      </c>
      <c r="AN78" t="str">
        <f>IF(ISNUMBER(SEARCH("H", 'WetLitterbags placem_collection'!$V79)),"YES","NO")</f>
        <v>NO</v>
      </c>
      <c r="AO78" t="str">
        <f>IF(ISNUMBER(SEARCH("R", 'WetLitterbags placem_collection'!$V79)),"YES","NO")</f>
        <v>YES</v>
      </c>
    </row>
    <row r="79" spans="1:41">
      <c r="A79" s="255" t="s">
        <v>2454</v>
      </c>
      <c r="B79" s="260">
        <f>'Dry_Litterbag Placem_Collection'!A80</f>
        <v>78</v>
      </c>
      <c r="C79" s="260" t="str">
        <f>'Dry_Litterbag Placem_Collection'!B80</f>
        <v>Maswa</v>
      </c>
      <c r="D79" s="260" t="s">
        <v>2643</v>
      </c>
      <c r="E79" s="260" t="s">
        <v>2645</v>
      </c>
      <c r="F79" s="260">
        <v>2</v>
      </c>
      <c r="G79" s="260" t="s">
        <v>3812</v>
      </c>
      <c r="H79" s="261" t="str">
        <f>'Dry_Litterbag Placem_Collection'!C80</f>
        <v>Dry_W2_T6</v>
      </c>
      <c r="I79" s="262" t="s">
        <v>2525</v>
      </c>
      <c r="J79" s="263" t="s">
        <v>1147</v>
      </c>
      <c r="K79" s="221" t="str">
        <f>'WetLitterbags placem_collection'!K80</f>
        <v>G460</v>
      </c>
      <c r="L79" s="223">
        <f>IFERROR(INDEX('Green_rooibos initial weight'!$C$5:$C$2000,MATCH(K79, 'Green_rooibos initial weight'!$A$5:$A$2000,0)),"")</f>
        <v>2.1560000000000001</v>
      </c>
      <c r="M79" s="223">
        <f>IFERROR(L79-(TBIcalc!$H$9+TBIcalc!$H$10),"")</f>
        <v>1.9062000000000001</v>
      </c>
      <c r="N79" s="385">
        <f>AVERAGE(Ashed_controlls!$K$2:$K$11)</f>
        <v>5.5147656768714146</v>
      </c>
      <c r="O79" s="223">
        <f t="shared" si="6"/>
        <v>1.8010775366674772</v>
      </c>
      <c r="P79" s="223">
        <f>IFERROR(INDEX('Both teabags AfterWet'!$C$3:$C$840,MATCH(K79,'Both teabags AfterWet'!$A$3:$A$840,0)),"")</f>
        <v>0.90669999999999995</v>
      </c>
      <c r="Q79" s="223">
        <f>IFERROR(IF(P79&gt;0,P79-(TBIcalc!$H$9),""),"")</f>
        <v>0.75609999999999999</v>
      </c>
      <c r="R79" s="223">
        <f>IFERROR(INDEX('Ashed teabags wet'!$K$2:$K$2000,MATCH(K79,'Ashed teabags wet'!$A$2:$A$2000,0)),"")</f>
        <v>10.069790628115374</v>
      </c>
      <c r="S79" s="223">
        <f t="shared" si="7"/>
        <v>0.67996231306081967</v>
      </c>
      <c r="T79" s="224">
        <f>'WetLitterbags placem_collection'!E80</f>
        <v>42767</v>
      </c>
      <c r="U79" s="224">
        <f>IF('WetLitterbags placem_collection'!G80="","",'WetLitterbags placem_collection'!G80)</f>
        <v>42818</v>
      </c>
      <c r="V79" s="225">
        <f t="shared" si="5"/>
        <v>51</v>
      </c>
      <c r="W79" s="223">
        <f t="shared" si="8"/>
        <v>1.1501000000000001</v>
      </c>
      <c r="X79" s="223">
        <f t="shared" si="9"/>
        <v>1.1211152236066575</v>
      </c>
      <c r="Y79">
        <f>IFERROR(INDEX(Rainfall_Wet!$O$2:$O$217,MATCH(B79, Rainfall_Wet!$A$2:$A$217,0)),"")</f>
        <v>185.630065823</v>
      </c>
      <c r="Z79" s="228">
        <v>45.272914521112256</v>
      </c>
      <c r="AA79" s="228">
        <v>23.604531410916575</v>
      </c>
      <c r="AB79" s="228">
        <v>31.122554067971166</v>
      </c>
      <c r="AC79" s="229" t="s">
        <v>2657</v>
      </c>
      <c r="AD79" s="228">
        <v>7.0547560374568796</v>
      </c>
      <c r="AE79">
        <f>IF('WetLitterbags placem_collection'!AB80="","",'WetLitterbags placem_collection'!AB80)</f>
        <v>10.4</v>
      </c>
      <c r="AF79">
        <f>IF('WetLitterbags placem_collection'!Z80="","",'WetLitterbags placem_collection'!Z80)</f>
        <v>15.4</v>
      </c>
      <c r="AG79" s="243" t="str">
        <f>IF('WetLitterbags placem_collection'!AA80="","",'WetLitterbags placem_collection'!AA80)</f>
        <v>M</v>
      </c>
      <c r="AH79">
        <f>IF('WetLitterbags placem_collection'!AC80="","",'WetLitterbags placem_collection'!AC80)</f>
        <v>1</v>
      </c>
      <c r="AI79" s="237">
        <f>AVERAGE('WetLitterbags placem_collection'!S80,'WetLitterbags placem_collection'!U80)</f>
        <v>24.15</v>
      </c>
      <c r="AJ79">
        <f>AVERAGE('WetLitterbags placem_collection'!R80,'WetLitterbags placem_collection'!T80)</f>
        <v>27.75</v>
      </c>
      <c r="AK79">
        <f>INDEX(Coordinates!$B$2:$B$197,MATCH(H79,Coordinates!$J$2:$J$197,0))</f>
        <v>-3.3025680020000001</v>
      </c>
      <c r="AL79">
        <f>INDEX(Coordinates!$C$2:$C$197,MATCH(H79,Coordinates!$J$2:$J$197,0))</f>
        <v>34.848167029999999</v>
      </c>
      <c r="AM79" t="str">
        <f>IF(ISNUMBER(SEARCH("C", 'WetLitterbags placem_collection'!$V80)),"YES","NO")</f>
        <v>NO</v>
      </c>
      <c r="AN79" t="str">
        <f>IF(ISNUMBER(SEARCH("H", 'WetLitterbags placem_collection'!$V80)),"YES","NO")</f>
        <v>NO</v>
      </c>
      <c r="AO79" t="str">
        <f>IF(ISNUMBER(SEARCH("R", 'WetLitterbags placem_collection'!$V80)),"YES","NO")</f>
        <v>YES</v>
      </c>
    </row>
    <row r="80" spans="1:41">
      <c r="A80" s="255" t="s">
        <v>2454</v>
      </c>
      <c r="B80" s="260">
        <f>'Dry_Litterbag Placem_Collection'!A81</f>
        <v>79</v>
      </c>
      <c r="C80" s="260" t="str">
        <f>'Dry_Litterbag Placem_Collection'!B81</f>
        <v>Maswa</v>
      </c>
      <c r="D80" s="260" t="s">
        <v>2643</v>
      </c>
      <c r="E80" s="260" t="s">
        <v>2645</v>
      </c>
      <c r="F80" s="260">
        <v>2</v>
      </c>
      <c r="G80" s="260" t="s">
        <v>3812</v>
      </c>
      <c r="H80" s="261" t="str">
        <f>'Dry_Litterbag Placem_Collection'!C81</f>
        <v>Dry_W2_T7</v>
      </c>
      <c r="I80" s="262" t="s">
        <v>2525</v>
      </c>
      <c r="J80" s="263" t="s">
        <v>1147</v>
      </c>
      <c r="K80" s="221" t="str">
        <f>'WetLitterbags placem_collection'!K81</f>
        <v>G217</v>
      </c>
      <c r="L80" s="223">
        <f>IFERROR(INDEX('Green_rooibos initial weight'!$C$5:$C$2000,MATCH(K80, 'Green_rooibos initial weight'!$A$5:$A$2000,0)),"")</f>
        <v>1.944</v>
      </c>
      <c r="M80" s="223">
        <f>IFERROR(L80-(TBIcalc!$H$9+TBIcalc!$H$10),"")</f>
        <v>1.6941999999999999</v>
      </c>
      <c r="N80" s="385">
        <f>AVERAGE(Ashed_controlls!$K$2:$K$11)</f>
        <v>5.5147656768714146</v>
      </c>
      <c r="O80" s="223">
        <f t="shared" si="6"/>
        <v>1.6007688399024445</v>
      </c>
      <c r="P80" s="223">
        <f>IFERROR(INDEX('Both teabags AfterWet'!$C$3:$C$840,MATCH(K80,'Both teabags AfterWet'!$A$3:$A$840,0)),"")</f>
        <v>0.85370000000000001</v>
      </c>
      <c r="Q80" s="223">
        <f>IFERROR(IF(P80&gt;0,P80-(TBIcalc!$H$9),""),"")</f>
        <v>0.70310000000000006</v>
      </c>
      <c r="R80" s="223">
        <f>IFERROR(INDEX('Ashed teabags wet'!$K$2:$K$2000,MATCH(K80,'Ashed teabags wet'!$A$2:$A$2000,0)),"")</f>
        <v>15.104419621176483</v>
      </c>
      <c r="S80" s="223">
        <f t="shared" si="7"/>
        <v>0.59690082564350821</v>
      </c>
      <c r="T80" s="224">
        <f>'WetLitterbags placem_collection'!E81</f>
        <v>42767</v>
      </c>
      <c r="U80" s="224">
        <f>IF('WetLitterbags placem_collection'!G81="","",'WetLitterbags placem_collection'!G81)</f>
        <v>42818</v>
      </c>
      <c r="V80" s="225">
        <f t="shared" si="5"/>
        <v>51</v>
      </c>
      <c r="W80" s="223">
        <f t="shared" si="8"/>
        <v>0.99109999999999987</v>
      </c>
      <c r="X80" s="223">
        <f t="shared" si="9"/>
        <v>1.0038680142589362</v>
      </c>
      <c r="Y80">
        <f>IFERROR(INDEX(Rainfall_Wet!$O$2:$O$217,MATCH(B80, Rainfall_Wet!$A$2:$A$217,0)),"")</f>
        <v>185.630065823</v>
      </c>
      <c r="Z80" s="228">
        <v>45.272914521112256</v>
      </c>
      <c r="AA80" s="228">
        <v>23.604531410916575</v>
      </c>
      <c r="AB80" s="228">
        <v>31.122554067971166</v>
      </c>
      <c r="AC80" s="229" t="s">
        <v>2657</v>
      </c>
      <c r="AD80" s="228">
        <v>8.0547560374568796</v>
      </c>
      <c r="AE80">
        <f>IF('WetLitterbags placem_collection'!AB81="","",'WetLitterbags placem_collection'!AB81)</f>
        <v>3</v>
      </c>
      <c r="AF80">
        <f>IF('WetLitterbags placem_collection'!Z81="","",'WetLitterbags placem_collection'!Z81)</f>
        <v>5</v>
      </c>
      <c r="AG80" s="243" t="str">
        <f>IF('WetLitterbags placem_collection'!AA81="","",'WetLitterbags placem_collection'!AA81)</f>
        <v>G</v>
      </c>
      <c r="AH80">
        <f>IF('WetLitterbags placem_collection'!AC81="","",'WetLitterbags placem_collection'!AC81)</f>
        <v>1</v>
      </c>
      <c r="AI80" s="237">
        <f>AVERAGE('WetLitterbags placem_collection'!S81,'WetLitterbags placem_collection'!U81)</f>
        <v>26.9</v>
      </c>
      <c r="AJ80">
        <f>AVERAGE('WetLitterbags placem_collection'!R81,'WetLitterbags placem_collection'!T81)</f>
        <v>26.25</v>
      </c>
      <c r="AK80">
        <f>INDEX(Coordinates!$B$2:$B$197,MATCH(H80,Coordinates!$J$2:$J$197,0))</f>
        <v>-3.3026270100000001</v>
      </c>
      <c r="AL80">
        <f>INDEX(Coordinates!$C$2:$C$197,MATCH(H80,Coordinates!$J$2:$J$197,0))</f>
        <v>34.84840801</v>
      </c>
      <c r="AM80" t="str">
        <f>IF(ISNUMBER(SEARCH("C", 'WetLitterbags placem_collection'!$V81)),"YES","NO")</f>
        <v>NO</v>
      </c>
      <c r="AN80" t="str">
        <f>IF(ISNUMBER(SEARCH("H", 'WetLitterbags placem_collection'!$V81)),"YES","NO")</f>
        <v>NO</v>
      </c>
      <c r="AO80" t="str">
        <f>IF(ISNUMBER(SEARCH("R", 'WetLitterbags placem_collection'!$V81)),"YES","NO")</f>
        <v>YES</v>
      </c>
    </row>
    <row r="81" spans="1:41">
      <c r="A81" s="255" t="s">
        <v>2454</v>
      </c>
      <c r="B81" s="260">
        <f>'Dry_Litterbag Placem_Collection'!A82</f>
        <v>80</v>
      </c>
      <c r="C81" s="260" t="str">
        <f>'Dry_Litterbag Placem_Collection'!B82</f>
        <v>Maswa</v>
      </c>
      <c r="D81" s="260" t="s">
        <v>2643</v>
      </c>
      <c r="E81" s="260" t="s">
        <v>2645</v>
      </c>
      <c r="F81" s="260">
        <v>2</v>
      </c>
      <c r="G81" s="260" t="s">
        <v>3812</v>
      </c>
      <c r="H81" s="261" t="str">
        <f>'Dry_Litterbag Placem_Collection'!C82</f>
        <v>Dry_W2_T8</v>
      </c>
      <c r="I81" s="262" t="s">
        <v>2525</v>
      </c>
      <c r="J81" s="263" t="s">
        <v>1147</v>
      </c>
      <c r="K81" s="221" t="str">
        <f>'WetLitterbags placem_collection'!K82</f>
        <v>G607</v>
      </c>
      <c r="L81" s="223">
        <f>IFERROR(INDEX('Green_rooibos initial weight'!$C$5:$C$2000,MATCH(K81, 'Green_rooibos initial weight'!$A$5:$A$2000,0)),"")</f>
        <v>1.9450000000000001</v>
      </c>
      <c r="M81" s="223">
        <f>IFERROR(L81-(TBIcalc!$H$9+TBIcalc!$H$10),"")</f>
        <v>1.6952</v>
      </c>
      <c r="N81" s="385">
        <f>AVERAGE(Ashed_controlls!$K$2:$K$11)</f>
        <v>5.5147656768714146</v>
      </c>
      <c r="O81" s="223">
        <f t="shared" si="6"/>
        <v>1.6017136922456758</v>
      </c>
      <c r="P81" s="223">
        <f>IFERROR(INDEX('Both teabags AfterWet'!$C$3:$C$840,MATCH(K81,'Both teabags AfterWet'!$A$3:$A$840,0)),"")</f>
        <v>0.92400000000000004</v>
      </c>
      <c r="Q81" s="223">
        <f>IFERROR(IF(P81&gt;0,P81-(TBIcalc!$H$9),""),"")</f>
        <v>0.77340000000000009</v>
      </c>
      <c r="R81" s="223">
        <f>IFERROR(INDEX('Ashed teabags wet'!$K$2:$K$2000,MATCH(K81,'Ashed teabags wet'!$A$2:$A$2000,0)),"")</f>
        <v>13.619696176008233</v>
      </c>
      <c r="S81" s="223">
        <f t="shared" si="7"/>
        <v>0.66806526977475245</v>
      </c>
      <c r="T81" s="224">
        <f>'WetLitterbags placem_collection'!E82</f>
        <v>42767</v>
      </c>
      <c r="U81" s="224">
        <f>IF('WetLitterbags placem_collection'!G82="","",'WetLitterbags placem_collection'!G82)</f>
        <v>42818</v>
      </c>
      <c r="V81" s="225">
        <f t="shared" si="5"/>
        <v>51</v>
      </c>
      <c r="W81" s="223">
        <f t="shared" si="8"/>
        <v>0.92179999999999995</v>
      </c>
      <c r="X81" s="223">
        <f t="shared" si="9"/>
        <v>0.93364842247092339</v>
      </c>
      <c r="Y81">
        <f>IFERROR(INDEX(Rainfall_Wet!$O$2:$O$217,MATCH(B81, Rainfall_Wet!$A$2:$A$217,0)),"")</f>
        <v>185.630065823</v>
      </c>
      <c r="Z81" s="228">
        <v>45.272914521112256</v>
      </c>
      <c r="AA81" s="228">
        <v>23.604531410916575</v>
      </c>
      <c r="AB81" s="228">
        <v>31.122554067971166</v>
      </c>
      <c r="AC81" s="229" t="s">
        <v>2657</v>
      </c>
      <c r="AD81" s="228">
        <v>9.0547560374568796</v>
      </c>
      <c r="AE81">
        <f>IF('WetLitterbags placem_collection'!AB82="","",'WetLitterbags placem_collection'!AB82)</f>
        <v>2.7</v>
      </c>
      <c r="AF81">
        <f>IF('WetLitterbags placem_collection'!Z82="","",'WetLitterbags placem_collection'!Z82)</f>
        <v>12.4</v>
      </c>
      <c r="AG81" s="243" t="str">
        <f>IF('WetLitterbags placem_collection'!AA82="","",'WetLitterbags placem_collection'!AA82)</f>
        <v>O</v>
      </c>
      <c r="AH81">
        <f>IF('WetLitterbags placem_collection'!AC82="","",'WetLitterbags placem_collection'!AC82)</f>
        <v>1</v>
      </c>
      <c r="AI81" s="237">
        <f>AVERAGE('WetLitterbags placem_collection'!S82,'WetLitterbags placem_collection'!U82)</f>
        <v>28.55</v>
      </c>
      <c r="AJ81">
        <f>AVERAGE('WetLitterbags placem_collection'!R82,'WetLitterbags placem_collection'!T82)</f>
        <v>27.450000000000003</v>
      </c>
      <c r="AK81">
        <f>INDEX(Coordinates!$B$2:$B$197,MATCH(H81,Coordinates!$J$2:$J$197,0))</f>
        <v>-3.3028539920000002</v>
      </c>
      <c r="AL81">
        <f>INDEX(Coordinates!$C$2:$C$197,MATCH(H81,Coordinates!$J$2:$J$197,0))</f>
        <v>34.847988999999998</v>
      </c>
      <c r="AM81" t="str">
        <f>IF(ISNUMBER(SEARCH("C", 'WetLitterbags placem_collection'!$V82)),"YES","NO")</f>
        <v>YES</v>
      </c>
      <c r="AN81" t="str">
        <f>IF(ISNUMBER(SEARCH("H", 'WetLitterbags placem_collection'!$V82)),"YES","NO")</f>
        <v>YES</v>
      </c>
      <c r="AO81" t="str">
        <f>IF(ISNUMBER(SEARCH("R", 'WetLitterbags placem_collection'!$V82)),"YES","NO")</f>
        <v>NO</v>
      </c>
    </row>
    <row r="82" spans="1:41">
      <c r="A82" s="255" t="s">
        <v>2454</v>
      </c>
      <c r="B82" s="260">
        <f>'Dry_Litterbag Placem_Collection'!A83</f>
        <v>81</v>
      </c>
      <c r="C82" s="260" t="str">
        <f>'Dry_Litterbag Placem_Collection'!B83</f>
        <v>Maswa</v>
      </c>
      <c r="D82" s="260" t="s">
        <v>2643</v>
      </c>
      <c r="E82" s="260" t="s">
        <v>2645</v>
      </c>
      <c r="F82" s="260">
        <v>3</v>
      </c>
      <c r="G82" s="260" t="s">
        <v>3813</v>
      </c>
      <c r="H82" s="261" t="str">
        <f>'Dry_Litterbag Placem_Collection'!C83</f>
        <v>Dry_W3_T1</v>
      </c>
      <c r="I82" s="262" t="s">
        <v>2525</v>
      </c>
      <c r="J82" s="263" t="s">
        <v>1147</v>
      </c>
      <c r="K82" s="221" t="str">
        <f>'WetLitterbags placem_collection'!K83</f>
        <v>G542</v>
      </c>
      <c r="L82" s="223">
        <f>IFERROR(INDEX('Green_rooibos initial weight'!$C$5:$C$2000,MATCH(K82, 'Green_rooibos initial weight'!$A$5:$A$2000,0)),"")</f>
        <v>2.0779999999999998</v>
      </c>
      <c r="M82" s="223">
        <f>IFERROR(L82-(TBIcalc!$H$9+TBIcalc!$H$10),"")</f>
        <v>1.8281999999999998</v>
      </c>
      <c r="N82" s="385">
        <f>AVERAGE(Ashed_controlls!$K$2:$K$11)</f>
        <v>5.5147656768714146</v>
      </c>
      <c r="O82" s="223">
        <f t="shared" si="6"/>
        <v>1.7273790538954366</v>
      </c>
      <c r="P82" s="223">
        <f>IFERROR(INDEX('Both teabags AfterWet'!$C$3:$C$840,MATCH(K82,'Both teabags AfterWet'!$A$3:$A$840,0)),"")</f>
        <v>0.85099999999999998</v>
      </c>
      <c r="Q82" s="223">
        <f>IFERROR(IF(P82&gt;0,P82-(TBIcalc!$H$9),""),"")</f>
        <v>0.70039999999999991</v>
      </c>
      <c r="R82" s="223">
        <f>IFERROR(INDEX('Ashed teabags wet'!$K$2:$K$2000,MATCH(K82,'Ashed teabags wet'!$A$2:$A$2000,0)),"")</f>
        <v>15.009940357852306</v>
      </c>
      <c r="S82" s="223">
        <f t="shared" si="7"/>
        <v>0.59527037773360236</v>
      </c>
      <c r="T82" s="224">
        <f>'WetLitterbags placem_collection'!E83</f>
        <v>42767</v>
      </c>
      <c r="U82" s="224">
        <f>IF('WetLitterbags placem_collection'!G83="","",'WetLitterbags placem_collection'!G83)</f>
        <v>42818</v>
      </c>
      <c r="V82" s="225">
        <f t="shared" si="5"/>
        <v>51</v>
      </c>
      <c r="W82" s="223">
        <f t="shared" si="8"/>
        <v>1.1277999999999999</v>
      </c>
      <c r="X82" s="223">
        <f t="shared" si="9"/>
        <v>1.1321086761618342</v>
      </c>
      <c r="Y82">
        <f>IFERROR(INDEX(Rainfall_Wet!$O$2:$O$217,MATCH(B82, Rainfall_Wet!$A$2:$A$217,0)),"")</f>
        <v>185.01185076100001</v>
      </c>
      <c r="Z82" s="228">
        <v>38.691629007962128</v>
      </c>
      <c r="AA82" s="228">
        <v>26.81299763288143</v>
      </c>
      <c r="AB82" s="228">
        <v>34.495373359156439</v>
      </c>
      <c r="AC82" s="229" t="s">
        <v>2659</v>
      </c>
      <c r="AD82" s="228">
        <v>2.5483587974371611</v>
      </c>
      <c r="AE82">
        <f>IF('WetLitterbags placem_collection'!AB83="","",'WetLitterbags placem_collection'!AB83)</f>
        <v>6.2</v>
      </c>
      <c r="AF82">
        <f>IF('WetLitterbags placem_collection'!Z83="","",'WetLitterbags placem_collection'!Z83)</f>
        <v>13.3</v>
      </c>
      <c r="AG82" s="243" t="str">
        <f>IF('WetLitterbags placem_collection'!AA83="","",'WetLitterbags placem_collection'!AA83)</f>
        <v>O</v>
      </c>
      <c r="AH82">
        <f>IF('WetLitterbags placem_collection'!AC83="","",'WetLitterbags placem_collection'!AC83)</f>
        <v>0</v>
      </c>
      <c r="AI82" s="237">
        <f>AVERAGE('WetLitterbags placem_collection'!S83,'WetLitterbags placem_collection'!U83)</f>
        <v>26.35</v>
      </c>
      <c r="AJ82">
        <f>AVERAGE('WetLitterbags placem_collection'!R83,'WetLitterbags placem_collection'!T83)</f>
        <v>26.65</v>
      </c>
      <c r="AK82">
        <f>INDEX(Coordinates!$B$2:$B$197,MATCH(H82,Coordinates!$J$2:$J$197,0))</f>
        <v>-3.2957159630000001</v>
      </c>
      <c r="AL82">
        <f>INDEX(Coordinates!$C$2:$C$197,MATCH(H82,Coordinates!$J$2:$J$197,0))</f>
        <v>34.852460999999998</v>
      </c>
      <c r="AM82" t="str">
        <f>IF(ISNUMBER(SEARCH("C", 'WetLitterbags placem_collection'!$V83)),"YES","NO")</f>
        <v>NO</v>
      </c>
      <c r="AN82" t="str">
        <f>IF(ISNUMBER(SEARCH("H", 'WetLitterbags placem_collection'!$V83)),"YES","NO")</f>
        <v>YES</v>
      </c>
      <c r="AO82" t="str">
        <f>IF(ISNUMBER(SEARCH("R", 'WetLitterbags placem_collection'!$V83)),"YES","NO")</f>
        <v>YES</v>
      </c>
    </row>
    <row r="83" spans="1:41">
      <c r="A83" s="255" t="s">
        <v>2454</v>
      </c>
      <c r="B83" s="260">
        <f>'Dry_Litterbag Placem_Collection'!A84</f>
        <v>82</v>
      </c>
      <c r="C83" s="260" t="str">
        <f>'Dry_Litterbag Placem_Collection'!B84</f>
        <v>Maswa</v>
      </c>
      <c r="D83" s="260" t="s">
        <v>2643</v>
      </c>
      <c r="E83" s="260" t="s">
        <v>2645</v>
      </c>
      <c r="F83" s="260">
        <v>3</v>
      </c>
      <c r="G83" s="260" t="s">
        <v>3813</v>
      </c>
      <c r="H83" s="261" t="str">
        <f>'Dry_Litterbag Placem_Collection'!C84</f>
        <v>Dry_W3_T2</v>
      </c>
      <c r="I83" s="262" t="s">
        <v>2525</v>
      </c>
      <c r="J83" s="263" t="s">
        <v>1147</v>
      </c>
      <c r="K83" s="221" t="str">
        <f>'WetLitterbags placem_collection'!K84</f>
        <v>G536</v>
      </c>
      <c r="L83" s="223">
        <f>IFERROR(INDEX('Green_rooibos initial weight'!$C$5:$C$2000,MATCH(K83, 'Green_rooibos initial weight'!$A$5:$A$2000,0)),"")</f>
        <v>2.0510000000000002</v>
      </c>
      <c r="M83" s="223">
        <f>IFERROR(L83-(TBIcalc!$H$9+TBIcalc!$H$10),"")</f>
        <v>1.8012000000000001</v>
      </c>
      <c r="N83" s="385">
        <f>AVERAGE(Ashed_controlls!$K$2:$K$11)</f>
        <v>5.5147656768714146</v>
      </c>
      <c r="O83" s="223">
        <f t="shared" si="6"/>
        <v>1.7018680406281923</v>
      </c>
      <c r="P83" s="223">
        <f>IFERROR(INDEX('Both teabags AfterWet'!$C$3:$C$840,MATCH(K83,'Both teabags AfterWet'!$A$3:$A$840,0)),"")</f>
        <v>0.748</v>
      </c>
      <c r="Q83" s="223">
        <f>IFERROR(IF(P83&gt;0,P83-(TBIcalc!$H$9),""),"")</f>
        <v>0.59739999999999993</v>
      </c>
      <c r="R83" s="223">
        <f>IFERROR(INDEX('Ashed teabags wet'!$K$2:$K$2000,MATCH(K83,'Ashed teabags wet'!$A$2:$A$2000,0)),"")</f>
        <v>10.317848410758481</v>
      </c>
      <c r="S83" s="223">
        <f t="shared" si="7"/>
        <v>0.53576117359412878</v>
      </c>
      <c r="T83" s="224">
        <f>'WetLitterbags placem_collection'!E84</f>
        <v>42767</v>
      </c>
      <c r="U83" s="224">
        <f>IF('WetLitterbags placem_collection'!G84="","",'WetLitterbags placem_collection'!G84)</f>
        <v>42819</v>
      </c>
      <c r="V83" s="225">
        <f t="shared" si="5"/>
        <v>52</v>
      </c>
      <c r="W83" s="223">
        <f t="shared" si="8"/>
        <v>1.2038000000000002</v>
      </c>
      <c r="X83" s="223">
        <f t="shared" si="9"/>
        <v>1.1661068670340635</v>
      </c>
      <c r="Y83">
        <f>IFERROR(INDEX(Rainfall_Wet!$O$2:$O$217,MATCH(B83, Rainfall_Wet!$A$2:$A$217,0)),"")</f>
        <v>194.93009798400001</v>
      </c>
      <c r="Z83" s="228">
        <v>38.691629007962128</v>
      </c>
      <c r="AA83" s="228">
        <v>26.81299763288143</v>
      </c>
      <c r="AB83" s="228">
        <v>34.495373359156439</v>
      </c>
      <c r="AC83" s="229" t="s">
        <v>2659</v>
      </c>
      <c r="AD83" s="228">
        <v>3.5483587974371602</v>
      </c>
      <c r="AE83">
        <f>IF('WetLitterbags placem_collection'!AB84="","",'WetLitterbags placem_collection'!AB84)</f>
        <v>2.4</v>
      </c>
      <c r="AF83">
        <f>IF('WetLitterbags placem_collection'!Z84="","",'WetLitterbags placem_collection'!Z84)</f>
        <v>16.600000000000001</v>
      </c>
      <c r="AG83" s="243" t="str">
        <f>IF('WetLitterbags placem_collection'!AA84="","",'WetLitterbags placem_collection'!AA84)</f>
        <v>O</v>
      </c>
      <c r="AH83" t="str">
        <f>IF('WetLitterbags placem_collection'!AC84="","",'WetLitterbags placem_collection'!AC84)</f>
        <v/>
      </c>
      <c r="AI83" s="237">
        <f>AVERAGE('WetLitterbags placem_collection'!S84,'WetLitterbags placem_collection'!U84)</f>
        <v>26.6</v>
      </c>
      <c r="AJ83">
        <f>AVERAGE('WetLitterbags placem_collection'!R84,'WetLitterbags placem_collection'!T84)</f>
        <v>23.05</v>
      </c>
      <c r="AK83">
        <f>INDEX(Coordinates!$B$2:$B$197,MATCH(H83,Coordinates!$J$2:$J$197,0))</f>
        <v>-3.2957230040000001</v>
      </c>
      <c r="AL83">
        <f>INDEX(Coordinates!$C$2:$C$197,MATCH(H83,Coordinates!$J$2:$J$197,0))</f>
        <v>34.852416990000002</v>
      </c>
      <c r="AM83" t="str">
        <f>IF(ISNUMBER(SEARCH("C", 'WetLitterbags placem_collection'!$V84)),"YES","NO")</f>
        <v>NO</v>
      </c>
      <c r="AN83" t="str">
        <f>IF(ISNUMBER(SEARCH("H", 'WetLitterbags placem_collection'!$V84)),"YES","NO")</f>
        <v>YES</v>
      </c>
      <c r="AO83" t="str">
        <f>IF(ISNUMBER(SEARCH("R", 'WetLitterbags placem_collection'!$V84)),"YES","NO")</f>
        <v>YES</v>
      </c>
    </row>
    <row r="84" spans="1:41">
      <c r="A84" s="255" t="s">
        <v>2454</v>
      </c>
      <c r="B84" s="260">
        <f>'Dry_Litterbag Placem_Collection'!A85</f>
        <v>83</v>
      </c>
      <c r="C84" s="260" t="str">
        <f>'Dry_Litterbag Placem_Collection'!B85</f>
        <v>Maswa</v>
      </c>
      <c r="D84" s="260" t="s">
        <v>2643</v>
      </c>
      <c r="E84" s="260" t="s">
        <v>2645</v>
      </c>
      <c r="F84" s="260">
        <v>3</v>
      </c>
      <c r="G84" s="260" t="s">
        <v>3813</v>
      </c>
      <c r="H84" s="261" t="str">
        <f>'Dry_Litterbag Placem_Collection'!C85</f>
        <v>Dry_W3_T3</v>
      </c>
      <c r="I84" s="262" t="s">
        <v>2525</v>
      </c>
      <c r="J84" s="263" t="s">
        <v>1147</v>
      </c>
      <c r="K84" s="221" t="str">
        <f>'WetLitterbags placem_collection'!K85</f>
        <v>G494</v>
      </c>
      <c r="L84" s="223">
        <f>IFERROR(INDEX('Green_rooibos initial weight'!$C$5:$C$2000,MATCH(K84, 'Green_rooibos initial weight'!$A$5:$A$2000,0)),"")</f>
        <v>1.903</v>
      </c>
      <c r="M84" s="223">
        <f>IFERROR(L84-(TBIcalc!$H$9+TBIcalc!$H$10),"")</f>
        <v>1.6532</v>
      </c>
      <c r="N84" s="385">
        <f>AVERAGE(Ashed_controlls!$K$2:$K$11)</f>
        <v>5.5147656768714146</v>
      </c>
      <c r="O84" s="223">
        <f t="shared" si="6"/>
        <v>1.5620298938299617</v>
      </c>
      <c r="P84" s="223">
        <f>IFERROR(INDEX('Both teabags AfterWet'!$C$3:$C$840,MATCH(K84,'Both teabags AfterWet'!$A$3:$A$840,0)),"")</f>
        <v>0.90200000000000002</v>
      </c>
      <c r="Q84" s="223">
        <f>IFERROR(IF(P84&gt;0,P84-(TBIcalc!$H$9),""),"")</f>
        <v>0.75140000000000007</v>
      </c>
      <c r="R84" s="223">
        <f>IFERROR(INDEX('Ashed teabags wet'!$K$2:$K$2000,MATCH(K84,'Ashed teabags wet'!$A$2:$A$2000,0)),"")</f>
        <v>18.525798525798983</v>
      </c>
      <c r="S84" s="223">
        <f t="shared" si="7"/>
        <v>0.61219714987714646</v>
      </c>
      <c r="T84" s="224">
        <f>'WetLitterbags placem_collection'!E85</f>
        <v>42767</v>
      </c>
      <c r="U84" s="224">
        <f>IF('WetLitterbags placem_collection'!G85="","",'WetLitterbags placem_collection'!G85)</f>
        <v>42819</v>
      </c>
      <c r="V84" s="225">
        <f t="shared" si="5"/>
        <v>52</v>
      </c>
      <c r="W84" s="223">
        <f t="shared" si="8"/>
        <v>0.90179999999999993</v>
      </c>
      <c r="X84" s="223">
        <f t="shared" si="9"/>
        <v>0.94983274395281525</v>
      </c>
      <c r="Y84">
        <f>IFERROR(INDEX(Rainfall_Wet!$O$2:$O$217,MATCH(B84, Rainfall_Wet!$A$2:$A$217,0)),"")</f>
        <v>194.93009798400001</v>
      </c>
      <c r="Z84" s="228">
        <v>38.691629007962128</v>
      </c>
      <c r="AA84" s="228">
        <v>26.81299763288143</v>
      </c>
      <c r="AB84" s="228">
        <v>34.495373359156439</v>
      </c>
      <c r="AC84" s="229" t="s">
        <v>2659</v>
      </c>
      <c r="AD84" s="228">
        <v>4.5483587974371602</v>
      </c>
      <c r="AE84">
        <f>IF('WetLitterbags placem_collection'!AB85="","",'WetLitterbags placem_collection'!AB85)</f>
        <v>6.4</v>
      </c>
      <c r="AF84">
        <f>IF('WetLitterbags placem_collection'!Z85="","",'WetLitterbags placem_collection'!Z85)</f>
        <v>42</v>
      </c>
      <c r="AG84" s="243" t="str">
        <f>IF('WetLitterbags placem_collection'!AA85="","",'WetLitterbags placem_collection'!AA85)</f>
        <v>M</v>
      </c>
      <c r="AH84">
        <f>IF('WetLitterbags placem_collection'!AC85="","",'WetLitterbags placem_collection'!AC85)</f>
        <v>1</v>
      </c>
      <c r="AI84" s="237">
        <f>AVERAGE('WetLitterbags placem_collection'!S85,'WetLitterbags placem_collection'!U85)</f>
        <v>30.099999999999998</v>
      </c>
      <c r="AJ84">
        <f>AVERAGE('WetLitterbags placem_collection'!R85,'WetLitterbags placem_collection'!T85)</f>
        <v>25.05</v>
      </c>
      <c r="AK84">
        <f>INDEX(Coordinates!$B$2:$B$197,MATCH(H84,Coordinates!$J$2:$J$197,0))</f>
        <v>-3.2957430369999998</v>
      </c>
      <c r="AL84">
        <f>INDEX(Coordinates!$C$2:$C$197,MATCH(H84,Coordinates!$J$2:$J$197,0))</f>
        <v>34.852309030000001</v>
      </c>
      <c r="AM84" t="str">
        <f>IF(ISNUMBER(SEARCH("C", 'WetLitterbags placem_collection'!$V85)),"YES","NO")</f>
        <v>NO</v>
      </c>
      <c r="AN84" t="str">
        <f>IF(ISNUMBER(SEARCH("H", 'WetLitterbags placem_collection'!$V85)),"YES","NO")</f>
        <v>NO</v>
      </c>
      <c r="AO84" t="str">
        <f>IF(ISNUMBER(SEARCH("R", 'WetLitterbags placem_collection'!$V85)),"YES","NO")</f>
        <v>YES</v>
      </c>
    </row>
    <row r="85" spans="1:41">
      <c r="A85" s="255" t="s">
        <v>2454</v>
      </c>
      <c r="B85" s="260">
        <f>'Dry_Litterbag Placem_Collection'!A86</f>
        <v>84</v>
      </c>
      <c r="C85" s="260" t="str">
        <f>'Dry_Litterbag Placem_Collection'!B86</f>
        <v>Maswa</v>
      </c>
      <c r="D85" s="260" t="s">
        <v>2643</v>
      </c>
      <c r="E85" s="260" t="s">
        <v>2645</v>
      </c>
      <c r="F85" s="260">
        <v>3</v>
      </c>
      <c r="G85" s="260" t="s">
        <v>3813</v>
      </c>
      <c r="H85" s="261" t="str">
        <f>'Dry_Litterbag Placem_Collection'!C86</f>
        <v>Dry_W3_T4</v>
      </c>
      <c r="I85" s="262" t="s">
        <v>2525</v>
      </c>
      <c r="J85" s="263" t="s">
        <v>1147</v>
      </c>
      <c r="K85" s="221" t="str">
        <f>'WetLitterbags placem_collection'!K86</f>
        <v>G291</v>
      </c>
      <c r="L85" s="223">
        <f>IFERROR(INDEX('Green_rooibos initial weight'!$C$5:$C$2000,MATCH(K85, 'Green_rooibos initial weight'!$A$5:$A$2000,0)),"")</f>
        <v>2.0880000000000001</v>
      </c>
      <c r="M85" s="223">
        <f>IFERROR(L85-(TBIcalc!$H$9+TBIcalc!$H$10),"")</f>
        <v>1.8382000000000001</v>
      </c>
      <c r="N85" s="385">
        <f>AVERAGE(Ashed_controlls!$K$2:$K$11)</f>
        <v>5.5147656768714146</v>
      </c>
      <c r="O85" s="223">
        <f t="shared" si="6"/>
        <v>1.7368275773277497</v>
      </c>
      <c r="P85" s="223">
        <f>IFERROR(INDEX('Both teabags AfterWet'!$C$3:$C$840,MATCH(K85,'Both teabags AfterWet'!$A$3:$A$840,0)),"")</f>
        <v>0.90300000000000002</v>
      </c>
      <c r="Q85" s="223">
        <f>IFERROR(IF(P85&gt;0,P85-(TBIcalc!$H$9),""),"")</f>
        <v>0.75239999999999996</v>
      </c>
      <c r="R85" s="223">
        <f>IFERROR(INDEX('Ashed teabags wet'!$K$2:$K$2000,MATCH(K85,'Ashed teabags wet'!$A$2:$A$2000,0)),"")</f>
        <v>11.922503725782521</v>
      </c>
      <c r="S85" s="223">
        <f t="shared" si="7"/>
        <v>0.66269508196721227</v>
      </c>
      <c r="T85" s="224">
        <f>'WetLitterbags placem_collection'!E86</f>
        <v>42767</v>
      </c>
      <c r="U85" s="224">
        <f>IF('WetLitterbags placem_collection'!G86="","",'WetLitterbags placem_collection'!G86)</f>
        <v>42819</v>
      </c>
      <c r="V85" s="225">
        <f t="shared" si="5"/>
        <v>52</v>
      </c>
      <c r="W85" s="223">
        <f t="shared" si="8"/>
        <v>1.0858000000000001</v>
      </c>
      <c r="X85" s="223">
        <f t="shared" si="9"/>
        <v>1.0741324953605376</v>
      </c>
      <c r="Y85">
        <f>IFERROR(INDEX(Rainfall_Wet!$O$2:$O$217,MATCH(B85, Rainfall_Wet!$A$2:$A$217,0)),"")</f>
        <v>194.93009798400001</v>
      </c>
      <c r="Z85" s="228">
        <v>38.691629007962128</v>
      </c>
      <c r="AA85" s="228">
        <v>26.81299763288143</v>
      </c>
      <c r="AB85" s="228">
        <v>34.495373359156439</v>
      </c>
      <c r="AC85" s="229" t="s">
        <v>2659</v>
      </c>
      <c r="AD85" s="228">
        <v>5.5483587974371602</v>
      </c>
      <c r="AE85">
        <f>IF('WetLitterbags placem_collection'!AB86="","",'WetLitterbags placem_collection'!AB86)</f>
        <v>5.5</v>
      </c>
      <c r="AF85">
        <f>IF('WetLitterbags placem_collection'!Z86="","",'WetLitterbags placem_collection'!Z86)</f>
        <v>55.8</v>
      </c>
      <c r="AG85" s="243" t="str">
        <f>IF('WetLitterbags placem_collection'!AA86="","",'WetLitterbags placem_collection'!AA86)</f>
        <v>M</v>
      </c>
      <c r="AH85">
        <f>IF('WetLitterbags placem_collection'!AC86="","",'WetLitterbags placem_collection'!AC86)</f>
        <v>1</v>
      </c>
      <c r="AI85" s="237">
        <f>AVERAGE('WetLitterbags placem_collection'!S86,'WetLitterbags placem_collection'!U86)</f>
        <v>27.75</v>
      </c>
      <c r="AJ85">
        <f>AVERAGE('WetLitterbags placem_collection'!R86,'WetLitterbags placem_collection'!T86)</f>
        <v>23.6</v>
      </c>
      <c r="AK85">
        <f>INDEX(Coordinates!$B$2:$B$197,MATCH(H85,Coordinates!$J$2:$J$197,0))</f>
        <v>-3.295795005</v>
      </c>
      <c r="AL85">
        <f>INDEX(Coordinates!$C$2:$C$197,MATCH(H85,Coordinates!$J$2:$J$197,0))</f>
        <v>34.85232001</v>
      </c>
      <c r="AM85" t="str">
        <f>IF(ISNUMBER(SEARCH("C", 'WetLitterbags placem_collection'!$V86)),"YES","NO")</f>
        <v>NO</v>
      </c>
      <c r="AN85" t="str">
        <f>IF(ISNUMBER(SEARCH("H", 'WetLitterbags placem_collection'!$V86)),"YES","NO")</f>
        <v>NO</v>
      </c>
      <c r="AO85" t="str">
        <f>IF(ISNUMBER(SEARCH("R", 'WetLitterbags placem_collection'!$V86)),"YES","NO")</f>
        <v>YES</v>
      </c>
    </row>
    <row r="86" spans="1:41">
      <c r="A86" s="255" t="s">
        <v>2454</v>
      </c>
      <c r="B86" s="260">
        <f>'Dry_Litterbag Placem_Collection'!A87</f>
        <v>85</v>
      </c>
      <c r="C86" s="260" t="str">
        <f>'Dry_Litterbag Placem_Collection'!B87</f>
        <v>Maswa</v>
      </c>
      <c r="D86" s="260" t="s">
        <v>2643</v>
      </c>
      <c r="E86" s="260" t="s">
        <v>2645</v>
      </c>
      <c r="F86" s="260">
        <v>3</v>
      </c>
      <c r="G86" s="260" t="s">
        <v>3813</v>
      </c>
      <c r="H86" s="261" t="str">
        <f>'Dry_Litterbag Placem_Collection'!C87</f>
        <v>Dry_W3_T5</v>
      </c>
      <c r="I86" s="262" t="s">
        <v>2525</v>
      </c>
      <c r="J86" s="263" t="s">
        <v>1147</v>
      </c>
      <c r="K86" s="221" t="str">
        <f>'WetLitterbags placem_collection'!K87</f>
        <v>G308</v>
      </c>
      <c r="L86" s="223">
        <f>IFERROR(INDEX('Green_rooibos initial weight'!$C$5:$C$2000,MATCH(K86, 'Green_rooibos initial weight'!$A$5:$A$2000,0)),"")</f>
        <v>1.982</v>
      </c>
      <c r="M86" s="223">
        <f>IFERROR(L86-(TBIcalc!$H$9+TBIcalc!$H$10),"")</f>
        <v>1.7322</v>
      </c>
      <c r="N86" s="385">
        <f>AVERAGE(Ashed_controlls!$K$2:$K$11)</f>
        <v>5.5147656768714146</v>
      </c>
      <c r="O86" s="223">
        <f t="shared" si="6"/>
        <v>1.6366732289452333</v>
      </c>
      <c r="P86" s="223">
        <f>IFERROR(INDEX('Both teabags AfterWet'!$C$3:$C$840,MATCH(K86,'Both teabags AfterWet'!$A$3:$A$840,0)),"")</f>
        <v>1.256</v>
      </c>
      <c r="Q86" s="223">
        <f>IFERROR(IF(P86&gt;0,P86-(TBIcalc!$H$9),""),"")</f>
        <v>1.1053999999999999</v>
      </c>
      <c r="R86" s="223">
        <f>IFERROR(INDEX('Ashed teabags wet'!$K$2:$K$2000,MATCH(K86,'Ashed teabags wet'!$A$2:$A$2000,0)),"")</f>
        <v>39.801980198020281</v>
      </c>
      <c r="S86" s="223">
        <f t="shared" si="7"/>
        <v>0.6654289108910838</v>
      </c>
      <c r="T86" s="224">
        <f>'WetLitterbags placem_collection'!E87</f>
        <v>42767</v>
      </c>
      <c r="U86" s="224">
        <f>IF('WetLitterbags placem_collection'!G87="","",'WetLitterbags placem_collection'!G87)</f>
        <v>42819</v>
      </c>
      <c r="V86" s="225">
        <f t="shared" si="5"/>
        <v>52</v>
      </c>
      <c r="W86" s="223">
        <f t="shared" si="8"/>
        <v>0.62680000000000002</v>
      </c>
      <c r="X86" s="223">
        <f t="shared" si="9"/>
        <v>0.97124431805414946</v>
      </c>
      <c r="Y86">
        <f>IFERROR(INDEX(Rainfall_Wet!$O$2:$O$217,MATCH(B86, Rainfall_Wet!$A$2:$A$217,0)),"")</f>
        <v>194.93009798400001</v>
      </c>
      <c r="Z86" s="228">
        <v>38.691629007962128</v>
      </c>
      <c r="AA86" s="228">
        <v>26.81299763288143</v>
      </c>
      <c r="AB86" s="228">
        <v>34.495373359156439</v>
      </c>
      <c r="AC86" s="229" t="s">
        <v>2659</v>
      </c>
      <c r="AD86" s="228">
        <v>6.5483587974371602</v>
      </c>
      <c r="AE86">
        <f>IF('WetLitterbags placem_collection'!AB87="","",'WetLitterbags placem_collection'!AB87)</f>
        <v>8.6</v>
      </c>
      <c r="AF86">
        <f>IF('WetLitterbags placem_collection'!Z87="","",'WetLitterbags placem_collection'!Z87)</f>
        <v>3.8</v>
      </c>
      <c r="AG86" s="243" t="str">
        <f>IF('WetLitterbags placem_collection'!AA87="","",'WetLitterbags placem_collection'!AA87)</f>
        <v>O</v>
      </c>
      <c r="AH86">
        <f>IF('WetLitterbags placem_collection'!AC87="","",'WetLitterbags placem_collection'!AC87)</f>
        <v>0</v>
      </c>
      <c r="AI86" s="237">
        <f>AVERAGE('WetLitterbags placem_collection'!S87,'WetLitterbags placem_collection'!U87)</f>
        <v>26.55</v>
      </c>
      <c r="AJ86">
        <f>AVERAGE('WetLitterbags placem_collection'!R87,'WetLitterbags placem_collection'!T87)</f>
        <v>23.15</v>
      </c>
      <c r="AK86">
        <f>INDEX(Coordinates!$B$2:$B$197,MATCH(H86,Coordinates!$J$2:$J$197,0))</f>
        <v>-3.2957100119999998</v>
      </c>
      <c r="AL86">
        <f>INDEX(Coordinates!$C$2:$C$197,MATCH(H86,Coordinates!$J$2:$J$197,0))</f>
        <v>34.852283970000002</v>
      </c>
      <c r="AM86" t="str">
        <f>IF(ISNUMBER(SEARCH("C", 'WetLitterbags placem_collection'!$V87)),"YES","NO")</f>
        <v>NO</v>
      </c>
      <c r="AN86" t="str">
        <f>IF(ISNUMBER(SEARCH("H", 'WetLitterbags placem_collection'!$V87)),"YES","NO")</f>
        <v>YES</v>
      </c>
      <c r="AO86" t="str">
        <f>IF(ISNUMBER(SEARCH("R", 'WetLitterbags placem_collection'!$V87)),"YES","NO")</f>
        <v>YES</v>
      </c>
    </row>
    <row r="87" spans="1:41">
      <c r="A87" s="255" t="s">
        <v>2454</v>
      </c>
      <c r="B87" s="260">
        <f>'Dry_Litterbag Placem_Collection'!A88</f>
        <v>86</v>
      </c>
      <c r="C87" s="260" t="str">
        <f>'Dry_Litterbag Placem_Collection'!B88</f>
        <v>Maswa</v>
      </c>
      <c r="D87" s="260" t="s">
        <v>2643</v>
      </c>
      <c r="E87" s="260" t="s">
        <v>2645</v>
      </c>
      <c r="F87" s="260">
        <v>3</v>
      </c>
      <c r="G87" s="260" t="s">
        <v>3813</v>
      </c>
      <c r="H87" s="261" t="str">
        <f>'Dry_Litterbag Placem_Collection'!C88</f>
        <v>Dry_W3_T6</v>
      </c>
      <c r="I87" s="262" t="s">
        <v>2525</v>
      </c>
      <c r="J87" s="263" t="s">
        <v>1147</v>
      </c>
      <c r="K87" s="221" t="str">
        <f>'WetLitterbags placem_collection'!K88</f>
        <v>G723</v>
      </c>
      <c r="L87" s="223">
        <f>IFERROR(INDEX('Green_rooibos initial weight'!$C$5:$C$2000,MATCH(K87, 'Green_rooibos initial weight'!$A$5:$A$2000,0)),"")</f>
        <v>2.0129999999999999</v>
      </c>
      <c r="M87" s="223">
        <f>IFERROR(L87-(TBIcalc!$H$9+TBIcalc!$H$10),"")</f>
        <v>1.7631999999999999</v>
      </c>
      <c r="N87" s="385">
        <f>AVERAGE(Ashed_controlls!$K$2:$K$11)</f>
        <v>5.5147656768714146</v>
      </c>
      <c r="O87" s="223">
        <f t="shared" si="6"/>
        <v>1.665963651585403</v>
      </c>
      <c r="P87" s="223">
        <f>IFERROR(INDEX('Both teabags AfterWet'!$C$3:$C$840,MATCH(K87,'Both teabags AfterWet'!$A$3:$A$840,0)),"")</f>
        <v>0.78249999999999997</v>
      </c>
      <c r="Q87" s="223">
        <f>IFERROR(IF(P87&gt;0,P87-(TBIcalc!$H$9),""),"")</f>
        <v>0.63189999999999991</v>
      </c>
      <c r="R87" s="223">
        <f>IFERROR(INDEX('Ashed teabags wet'!$K$2:$K$2000,MATCH(K87,'Ashed teabags wet'!$A$2:$A$2000,0)),"")</f>
        <v>7.4680306905364882</v>
      </c>
      <c r="S87" s="223">
        <f t="shared" si="7"/>
        <v>0.58470951406649985</v>
      </c>
      <c r="T87" s="224">
        <f>'WetLitterbags placem_collection'!E88</f>
        <v>42767</v>
      </c>
      <c r="U87" s="224">
        <f>IF('WetLitterbags placem_collection'!G88="","",'WetLitterbags placem_collection'!G88)</f>
        <v>42819</v>
      </c>
      <c r="V87" s="225">
        <f t="shared" si="5"/>
        <v>52</v>
      </c>
      <c r="W87" s="223">
        <f t="shared" si="8"/>
        <v>1.1313</v>
      </c>
      <c r="X87" s="223">
        <f t="shared" si="9"/>
        <v>1.0812541375189033</v>
      </c>
      <c r="Y87">
        <f>IFERROR(INDEX(Rainfall_Wet!$O$2:$O$217,MATCH(B87, Rainfall_Wet!$A$2:$A$217,0)),"")</f>
        <v>194.93009798400001</v>
      </c>
      <c r="Z87" s="228">
        <v>38.691629007962128</v>
      </c>
      <c r="AA87" s="228">
        <v>26.81299763288143</v>
      </c>
      <c r="AB87" s="228">
        <v>34.495373359156439</v>
      </c>
      <c r="AC87" s="229" t="s">
        <v>2659</v>
      </c>
      <c r="AD87" s="228">
        <v>7.5483587974371602</v>
      </c>
      <c r="AE87">
        <f>IF('WetLitterbags placem_collection'!AB88="","",'WetLitterbags placem_collection'!AB88)</f>
        <v>3.7</v>
      </c>
      <c r="AF87">
        <f>IF('WetLitterbags placem_collection'!Z88="","",'WetLitterbags placem_collection'!Z88)</f>
        <v>7.5</v>
      </c>
      <c r="AG87" s="243" t="str">
        <f>IF('WetLitterbags placem_collection'!AA88="","",'WetLitterbags placem_collection'!AA88)</f>
        <v>O</v>
      </c>
      <c r="AH87">
        <f>IF('WetLitterbags placem_collection'!AC88="","",'WetLitterbags placem_collection'!AC88)</f>
        <v>0</v>
      </c>
      <c r="AI87" s="237">
        <f>AVERAGE('WetLitterbags placem_collection'!S88,'WetLitterbags placem_collection'!U88)</f>
        <v>24.05</v>
      </c>
      <c r="AJ87">
        <f>AVERAGE('WetLitterbags placem_collection'!R88,'WetLitterbags placem_collection'!T88)</f>
        <v>25.799999999999997</v>
      </c>
      <c r="AK87">
        <f>INDEX(Coordinates!$B$2:$B$197,MATCH(H87,Coordinates!$J$2:$J$197,0))</f>
        <v>-3.2956140399999998</v>
      </c>
      <c r="AL87">
        <f>INDEX(Coordinates!$C$2:$C$197,MATCH(H87,Coordinates!$J$2:$J$197,0))</f>
        <v>34.852137030000002</v>
      </c>
      <c r="AM87" t="str">
        <f>IF(ISNUMBER(SEARCH("C", 'WetLitterbags placem_collection'!$V88)),"YES","NO")</f>
        <v>NO</v>
      </c>
      <c r="AN87" t="str">
        <f>IF(ISNUMBER(SEARCH("H", 'WetLitterbags placem_collection'!$V88)),"YES","NO")</f>
        <v>NO</v>
      </c>
      <c r="AO87" t="str">
        <f>IF(ISNUMBER(SEARCH("R", 'WetLitterbags placem_collection'!$V88)),"YES","NO")</f>
        <v>YES</v>
      </c>
    </row>
    <row r="88" spans="1:41">
      <c r="A88" s="255" t="s">
        <v>2454</v>
      </c>
      <c r="B88" s="260">
        <f>'Dry_Litterbag Placem_Collection'!A89</f>
        <v>87</v>
      </c>
      <c r="C88" s="260" t="str">
        <f>'Dry_Litterbag Placem_Collection'!B89</f>
        <v>Maswa</v>
      </c>
      <c r="D88" s="260" t="s">
        <v>2643</v>
      </c>
      <c r="E88" s="260" t="s">
        <v>2645</v>
      </c>
      <c r="F88" s="260">
        <v>3</v>
      </c>
      <c r="G88" s="260" t="s">
        <v>3813</v>
      </c>
      <c r="H88" s="261" t="str">
        <f>'Dry_Litterbag Placem_Collection'!C89</f>
        <v>Dry_W3_T7</v>
      </c>
      <c r="I88" s="262" t="s">
        <v>2525</v>
      </c>
      <c r="J88" s="263" t="s">
        <v>1147</v>
      </c>
      <c r="K88" s="221" t="str">
        <f>'WetLitterbags placem_collection'!K89</f>
        <v>G628</v>
      </c>
      <c r="L88" s="223">
        <f>IFERROR(INDEX('Green_rooibos initial weight'!$C$5:$C$2000,MATCH(K88, 'Green_rooibos initial weight'!$A$5:$A$2000,0)),"")</f>
        <v>2.0739999999999998</v>
      </c>
      <c r="M88" s="223">
        <f>IFERROR(L88-(TBIcalc!$H$9+TBIcalc!$H$10),"")</f>
        <v>1.8241999999999998</v>
      </c>
      <c r="N88" s="385">
        <f>AVERAGE(Ashed_controlls!$K$2:$K$11)</f>
        <v>5.5147656768714146</v>
      </c>
      <c r="O88" s="223">
        <f t="shared" si="6"/>
        <v>1.7235996445225115</v>
      </c>
      <c r="P88" s="223">
        <f>IFERROR(INDEX('Both teabags AfterWet'!$C$3:$C$840,MATCH(K88,'Both teabags AfterWet'!$A$3:$A$840,0)),"")</f>
        <v>0.8639</v>
      </c>
      <c r="Q88" s="223">
        <f>IFERROR(IF(P88&gt;0,P88-(TBIcalc!$H$9),""),"")</f>
        <v>0.71330000000000005</v>
      </c>
      <c r="R88" s="223">
        <f>IFERROR(INDEX('Ashed teabags wet'!$K$2:$K$2000,MATCH(K88,'Ashed teabags wet'!$A$2:$A$2000,0)),"")</f>
        <v>12.74038461538643</v>
      </c>
      <c r="S88" s="223">
        <f t="shared" si="7"/>
        <v>0.62242283653844865</v>
      </c>
      <c r="T88" s="224">
        <f>'WetLitterbags placem_collection'!E89</f>
        <v>42767</v>
      </c>
      <c r="U88" s="224">
        <f>IF('WetLitterbags placem_collection'!G89="","",'WetLitterbags placem_collection'!G89)</f>
        <v>42819</v>
      </c>
      <c r="V88" s="225">
        <f t="shared" si="5"/>
        <v>52</v>
      </c>
      <c r="W88" s="223">
        <f t="shared" si="8"/>
        <v>1.1108999999999998</v>
      </c>
      <c r="X88" s="223">
        <f t="shared" si="9"/>
        <v>1.1011768079840629</v>
      </c>
      <c r="Y88">
        <f>IFERROR(INDEX(Rainfall_Wet!$O$2:$O$217,MATCH(B88, Rainfall_Wet!$A$2:$A$217,0)),"")</f>
        <v>194.93009798400001</v>
      </c>
      <c r="Z88" s="228">
        <v>38.691629007962128</v>
      </c>
      <c r="AA88" s="228">
        <v>26.81299763288143</v>
      </c>
      <c r="AB88" s="228">
        <v>34.495373359156439</v>
      </c>
      <c r="AC88" s="229" t="s">
        <v>2659</v>
      </c>
      <c r="AD88" s="228">
        <v>8.5483587974371602</v>
      </c>
      <c r="AE88">
        <f>IF('WetLitterbags placem_collection'!AB89="","",'WetLitterbags placem_collection'!AB89)</f>
        <v>7.5</v>
      </c>
      <c r="AF88">
        <f>IF('WetLitterbags placem_collection'!Z89="","",'WetLitterbags placem_collection'!Z89)</f>
        <v>12.6</v>
      </c>
      <c r="AG88" s="243" t="str">
        <f>IF('WetLitterbags placem_collection'!AA89="","",'WetLitterbags placem_collection'!AA89)</f>
        <v>O</v>
      </c>
      <c r="AH88">
        <f>IF('WetLitterbags placem_collection'!AC89="","",'WetLitterbags placem_collection'!AC89)</f>
        <v>1</v>
      </c>
      <c r="AI88" s="237">
        <f>AVERAGE('WetLitterbags placem_collection'!S89,'WetLitterbags placem_collection'!U89)</f>
        <v>25.85</v>
      </c>
      <c r="AJ88">
        <f>AVERAGE('WetLitterbags placem_collection'!R89,'WetLitterbags placem_collection'!T89)</f>
        <v>21.55</v>
      </c>
      <c r="AK88">
        <f>INDEX(Coordinates!$B$2:$B$197,MATCH(H88,Coordinates!$J$2:$J$197,0))</f>
        <v>-3.295904975</v>
      </c>
      <c r="AL88">
        <f>INDEX(Coordinates!$C$2:$C$197,MATCH(H88,Coordinates!$J$2:$J$197,0))</f>
        <v>34.852136029999997</v>
      </c>
      <c r="AM88" t="str">
        <f>IF(ISNUMBER(SEARCH("C", 'WetLitterbags placem_collection'!$V89)),"YES","NO")</f>
        <v>YES</v>
      </c>
      <c r="AN88" t="str">
        <f>IF(ISNUMBER(SEARCH("H", 'WetLitterbags placem_collection'!$V89)),"YES","NO")</f>
        <v>YES</v>
      </c>
      <c r="AO88" t="str">
        <f>IF(ISNUMBER(SEARCH("R", 'WetLitterbags placem_collection'!$V89)),"YES","NO")</f>
        <v>YES</v>
      </c>
    </row>
    <row r="89" spans="1:41">
      <c r="A89" s="255" t="s">
        <v>2454</v>
      </c>
      <c r="B89" s="260">
        <f>'Dry_Litterbag Placem_Collection'!A90</f>
        <v>88</v>
      </c>
      <c r="C89" s="260" t="str">
        <f>'Dry_Litterbag Placem_Collection'!B90</f>
        <v>Maswa</v>
      </c>
      <c r="D89" s="260" t="s">
        <v>2643</v>
      </c>
      <c r="E89" s="260" t="s">
        <v>2645</v>
      </c>
      <c r="F89" s="260">
        <v>3</v>
      </c>
      <c r="G89" s="260" t="s">
        <v>3813</v>
      </c>
      <c r="H89" s="261" t="str">
        <f>'Dry_Litterbag Placem_Collection'!C90</f>
        <v>Dry_W3_T8</v>
      </c>
      <c r="I89" s="262" t="s">
        <v>2525</v>
      </c>
      <c r="J89" s="263" t="s">
        <v>1147</v>
      </c>
      <c r="K89" s="221" t="str">
        <f>'WetLitterbags placem_collection'!K90</f>
        <v>G569</v>
      </c>
      <c r="L89" s="223">
        <f>IFERROR(INDEX('Green_rooibos initial weight'!$C$5:$C$2000,MATCH(K89, 'Green_rooibos initial weight'!$A$5:$A$2000,0)),"")</f>
        <v>1.9950000000000001</v>
      </c>
      <c r="M89" s="223">
        <f>IFERROR(L89-(TBIcalc!$H$9+TBIcalc!$H$10),"")</f>
        <v>1.7452000000000001</v>
      </c>
      <c r="N89" s="385">
        <f>AVERAGE(Ashed_controlls!$K$2:$K$11)</f>
        <v>5.5147656768714146</v>
      </c>
      <c r="O89" s="223">
        <f t="shared" si="6"/>
        <v>1.6489563094072401</v>
      </c>
      <c r="P89" s="223">
        <f>IFERROR(INDEX('Both teabags AfterWet'!$C$3:$C$840,MATCH(K89,'Both teabags AfterWet'!$A$3:$A$840,0)),"")</f>
        <v>0.75700000000000001</v>
      </c>
      <c r="Q89" s="223">
        <f>IFERROR(IF(P89&gt;0,P89-(TBIcalc!$H$9),""),"")</f>
        <v>0.60640000000000005</v>
      </c>
      <c r="R89" s="223">
        <f>IFERROR(INDEX('Ashed teabags wet'!$K$2:$K$2000,MATCH(K89,'Ashed teabags wet'!$A$2:$A$2000,0)),"")</f>
        <v>14.724480578138884</v>
      </c>
      <c r="S89" s="223">
        <f t="shared" si="7"/>
        <v>0.51711074977416582</v>
      </c>
      <c r="T89" s="224">
        <f>'WetLitterbags placem_collection'!E90</f>
        <v>42767</v>
      </c>
      <c r="U89" s="224">
        <f>IF('WetLitterbags placem_collection'!G90="","",'WetLitterbags placem_collection'!G90)</f>
        <v>42819</v>
      </c>
      <c r="V89" s="225">
        <f t="shared" si="5"/>
        <v>52</v>
      </c>
      <c r="W89" s="223">
        <f t="shared" si="8"/>
        <v>1.1388</v>
      </c>
      <c r="X89" s="223">
        <f t="shared" si="9"/>
        <v>1.1318455596330743</v>
      </c>
      <c r="Y89" t="str">
        <f>IFERROR(INDEX(Rainfall_Wet!$O$2:$O$217,MATCH(B89, Rainfall_Wet!$A$2:$A$217,0)),"")</f>
        <v/>
      </c>
      <c r="Z89" s="228">
        <v>38.691629007962128</v>
      </c>
      <c r="AA89" s="228">
        <v>26.81299763288143</v>
      </c>
      <c r="AB89" s="228">
        <v>34.495373359156439</v>
      </c>
      <c r="AC89" s="229" t="s">
        <v>2659</v>
      </c>
      <c r="AD89" s="228">
        <v>9.5483587974371602</v>
      </c>
      <c r="AE89" t="str">
        <f>IF('WetLitterbags placem_collection'!AB90="","",'WetLitterbags placem_collection'!AB90)</f>
        <v/>
      </c>
      <c r="AF89" t="str">
        <f>IF('WetLitterbags placem_collection'!Z90="","",'WetLitterbags placem_collection'!Z90)</f>
        <v/>
      </c>
      <c r="AG89" s="243" t="str">
        <f>IF('WetLitterbags placem_collection'!AA90="","",'WetLitterbags placem_collection'!AA90)</f>
        <v/>
      </c>
      <c r="AH89" t="str">
        <f>IF('WetLitterbags placem_collection'!AC90="","",'WetLitterbags placem_collection'!AC90)</f>
        <v/>
      </c>
      <c r="AI89" s="237">
        <f>AVERAGE('WetLitterbags placem_collection'!S90,'WetLitterbags placem_collection'!U90)</f>
        <v>29.7</v>
      </c>
      <c r="AJ89">
        <f>AVERAGE('WetLitterbags placem_collection'!R90,'WetLitterbags placem_collection'!T90)</f>
        <v>21.4</v>
      </c>
      <c r="AK89">
        <f>INDEX(Coordinates!$B$2:$B$197,MATCH(H89,Coordinates!$J$2:$J$197,0))</f>
        <v>-3.2959530039999998</v>
      </c>
      <c r="AL89">
        <f>INDEX(Coordinates!$C$2:$C$197,MATCH(H89,Coordinates!$J$2:$J$197,0))</f>
        <v>34.85242504</v>
      </c>
      <c r="AM89" t="str">
        <f>IF(ISNUMBER(SEARCH("C", 'WetLitterbags placem_collection'!$V90)),"YES","NO")</f>
        <v>NO</v>
      </c>
      <c r="AN89" t="str">
        <f>IF(ISNUMBER(SEARCH("H", 'WetLitterbags placem_collection'!$V90)),"YES","NO")</f>
        <v>NO</v>
      </c>
      <c r="AO89" t="str">
        <f>IF(ISNUMBER(SEARCH("R", 'WetLitterbags placem_collection'!$V90)),"YES","NO")</f>
        <v>NO</v>
      </c>
    </row>
    <row r="90" spans="1:41">
      <c r="A90" s="255" t="s">
        <v>2454</v>
      </c>
      <c r="B90" s="260">
        <f>'Dry_Litterbag Placem_Collection'!A91</f>
        <v>89</v>
      </c>
      <c r="C90" s="260" t="str">
        <f>'Dry_Litterbag Placem_Collection'!B91</f>
        <v>Maswa</v>
      </c>
      <c r="D90" s="260" t="s">
        <v>2643</v>
      </c>
      <c r="E90" s="260" t="s">
        <v>2645</v>
      </c>
      <c r="F90" s="260">
        <v>4</v>
      </c>
      <c r="G90" s="260" t="s">
        <v>3814</v>
      </c>
      <c r="H90" s="261" t="str">
        <f>'Dry_Litterbag Placem_Collection'!C91</f>
        <v>Dry_W4_T1</v>
      </c>
      <c r="I90" s="262" t="s">
        <v>2525</v>
      </c>
      <c r="J90" s="263" t="s">
        <v>1147</v>
      </c>
      <c r="K90" s="221" t="str">
        <f>'WetLitterbags placem_collection'!K91</f>
        <v>G339</v>
      </c>
      <c r="L90" s="223">
        <f>IFERROR(INDEX('Green_rooibos initial weight'!$C$5:$C$2000,MATCH(K90, 'Green_rooibos initial weight'!$A$5:$A$2000,0)),"")</f>
        <v>2.0219999999999998</v>
      </c>
      <c r="M90" s="223">
        <f>IFERROR(L90-(TBIcalc!$H$9+TBIcalc!$H$10),"")</f>
        <v>1.7721999999999998</v>
      </c>
      <c r="N90" s="385">
        <f>AVERAGE(Ashed_controlls!$K$2:$K$11)</f>
        <v>5.5147656768714146</v>
      </c>
      <c r="O90" s="223">
        <f t="shared" si="6"/>
        <v>1.6744673226744846</v>
      </c>
      <c r="P90" s="223" t="str">
        <f>IFERROR(INDEX('Both teabags AfterWet'!$C$3:$C$840,MATCH(K90,'Both teabags AfterWet'!$A$3:$A$840,0)),"")</f>
        <v/>
      </c>
      <c r="Q90" s="223" t="str">
        <f>IFERROR(IF(P90&gt;0,P90-(TBIcalc!$H$9),""),"")</f>
        <v/>
      </c>
      <c r="R90" s="223" t="str">
        <f>IFERROR(INDEX('Ashed teabags wet'!$K$2:$K$2000,MATCH(K90,'Ashed teabags wet'!$A$2:$A$2000,0)),"")</f>
        <v/>
      </c>
      <c r="S90" s="223" t="str">
        <f t="shared" si="7"/>
        <v/>
      </c>
      <c r="T90" s="224">
        <f>'WetLitterbags placem_collection'!E91</f>
        <v>42767</v>
      </c>
      <c r="U90" s="224">
        <f>IF('WetLitterbags placem_collection'!G91="","",'WetLitterbags placem_collection'!G91)</f>
        <v>42819</v>
      </c>
      <c r="V90" s="225">
        <f t="shared" si="5"/>
        <v>52</v>
      </c>
      <c r="W90" s="223" t="str">
        <f t="shared" si="8"/>
        <v/>
      </c>
      <c r="X90" s="223" t="str">
        <f t="shared" si="9"/>
        <v/>
      </c>
      <c r="Y90">
        <f>IFERROR(INDEX(Rainfall_Wet!$O$2:$O$217,MATCH(B90, Rainfall_Wet!$A$2:$A$217,0)),"")</f>
        <v>194.93009798400001</v>
      </c>
      <c r="Z90" s="228">
        <v>28.145762029394</v>
      </c>
      <c r="AA90" s="228">
        <v>25.085564727199518</v>
      </c>
      <c r="AB90" s="228">
        <v>46.768673243406489</v>
      </c>
      <c r="AC90" s="229" t="s">
        <v>2654</v>
      </c>
      <c r="AD90" s="228">
        <v>2.1716214884179394</v>
      </c>
      <c r="AE90">
        <f>IF('WetLitterbags placem_collection'!AB91="","",'WetLitterbags placem_collection'!AB91)</f>
        <v>7.3</v>
      </c>
      <c r="AF90">
        <f>IF('WetLitterbags placem_collection'!Z91="","",'WetLitterbags placem_collection'!Z91)</f>
        <v>35.799999999999997</v>
      </c>
      <c r="AG90" s="243" t="str">
        <f>IF('WetLitterbags placem_collection'!AA91="","",'WetLitterbags placem_collection'!AA91)</f>
        <v>O</v>
      </c>
      <c r="AH90">
        <f>IF('WetLitterbags placem_collection'!AC91="","",'WetLitterbags placem_collection'!AC91)</f>
        <v>0</v>
      </c>
      <c r="AI90" s="237">
        <f>AVERAGE('WetLitterbags placem_collection'!S91,'WetLitterbags placem_collection'!U91)</f>
        <v>20.95</v>
      </c>
      <c r="AJ90">
        <f>AVERAGE('WetLitterbags placem_collection'!R91,'WetLitterbags placem_collection'!T91)</f>
        <v>24.45</v>
      </c>
      <c r="AK90">
        <f>INDEX(Coordinates!$B$2:$B$197,MATCH(H90,Coordinates!$J$2:$J$197,0))</f>
        <v>-3.2966709980000002</v>
      </c>
      <c r="AL90">
        <f>INDEX(Coordinates!$C$2:$C$197,MATCH(H90,Coordinates!$J$2:$J$197,0))</f>
        <v>34.854407019999996</v>
      </c>
      <c r="AM90" t="str">
        <f>IF(ISNUMBER(SEARCH("C", 'WetLitterbags placem_collection'!$V91)),"YES","NO")</f>
        <v>NO</v>
      </c>
      <c r="AN90" t="str">
        <f>IF(ISNUMBER(SEARCH("H", 'WetLitterbags placem_collection'!$V91)),"YES","NO")</f>
        <v>NO</v>
      </c>
      <c r="AO90" t="str">
        <f>IF(ISNUMBER(SEARCH("R", 'WetLitterbags placem_collection'!$V91)),"YES","NO")</f>
        <v>NO</v>
      </c>
    </row>
    <row r="91" spans="1:41">
      <c r="A91" s="255" t="s">
        <v>2454</v>
      </c>
      <c r="B91" s="260">
        <f>'Dry_Litterbag Placem_Collection'!A92</f>
        <v>90</v>
      </c>
      <c r="C91" s="260" t="str">
        <f>'Dry_Litterbag Placem_Collection'!B92</f>
        <v>Maswa</v>
      </c>
      <c r="D91" s="260" t="s">
        <v>2643</v>
      </c>
      <c r="E91" s="260" t="s">
        <v>2645</v>
      </c>
      <c r="F91" s="260">
        <v>4</v>
      </c>
      <c r="G91" s="260" t="s">
        <v>3814</v>
      </c>
      <c r="H91" s="261" t="str">
        <f>'Dry_Litterbag Placem_Collection'!C92</f>
        <v>Dry_W4_T2</v>
      </c>
      <c r="I91" s="262" t="s">
        <v>2525</v>
      </c>
      <c r="J91" s="263" t="s">
        <v>1147</v>
      </c>
      <c r="K91" s="221" t="str">
        <f>'WetLitterbags placem_collection'!K92</f>
        <v>G592</v>
      </c>
      <c r="L91" s="223">
        <f>IFERROR(INDEX('Green_rooibos initial weight'!$C$5:$C$2000,MATCH(K91, 'Green_rooibos initial weight'!$A$5:$A$2000,0)),"")</f>
        <v>2.0699999999999998</v>
      </c>
      <c r="M91" s="223">
        <f>IFERROR(L91-(TBIcalc!$H$9+TBIcalc!$H$10),"")</f>
        <v>1.8201999999999998</v>
      </c>
      <c r="N91" s="385">
        <f>AVERAGE(Ashed_controlls!$K$2:$K$11)</f>
        <v>5.5147656768714146</v>
      </c>
      <c r="O91" s="223">
        <f t="shared" si="6"/>
        <v>1.7198202351495864</v>
      </c>
      <c r="P91" s="223">
        <f>IFERROR(INDEX('Both teabags AfterWet'!$C$3:$C$840,MATCH(K91,'Both teabags AfterWet'!$A$3:$A$840,0)),"")</f>
        <v>1.0779000000000001</v>
      </c>
      <c r="Q91" s="223">
        <f>IFERROR(IF(P91&gt;0,P91-(TBIcalc!$H$9),""),"")</f>
        <v>0.92730000000000001</v>
      </c>
      <c r="R91" s="223">
        <f>IFERROR(INDEX('Ashed teabags wet'!$K$2:$K$2000,MATCH(K91,'Ashed teabags wet'!$A$2:$A$2000,0)),"")</f>
        <v>33.166583291646958</v>
      </c>
      <c r="S91" s="223">
        <f t="shared" si="7"/>
        <v>0.61974627313655772</v>
      </c>
      <c r="T91" s="224">
        <f>'WetLitterbags placem_collection'!E92</f>
        <v>42767</v>
      </c>
      <c r="U91" s="224">
        <f>IF('WetLitterbags placem_collection'!G92="","",'WetLitterbags placem_collection'!G92)</f>
        <v>42819</v>
      </c>
      <c r="V91" s="225">
        <f t="shared" si="5"/>
        <v>52</v>
      </c>
      <c r="W91" s="223">
        <f t="shared" si="8"/>
        <v>0.8928999999999998</v>
      </c>
      <c r="X91" s="223">
        <f t="shared" si="9"/>
        <v>1.1000739620130287</v>
      </c>
      <c r="Y91">
        <f>IFERROR(INDEX(Rainfall_Wet!$O$2:$O$217,MATCH(B91, Rainfall_Wet!$A$2:$A$217,0)),"")</f>
        <v>194.93009798400001</v>
      </c>
      <c r="Z91" s="228">
        <v>28.145762029394</v>
      </c>
      <c r="AA91" s="228">
        <v>25.085564727199518</v>
      </c>
      <c r="AB91" s="228">
        <v>46.768673243406489</v>
      </c>
      <c r="AC91" s="229" t="s">
        <v>2654</v>
      </c>
      <c r="AD91" s="228">
        <v>3.1716214884179399</v>
      </c>
      <c r="AE91">
        <f>IF('WetLitterbags placem_collection'!AB92="","",'WetLitterbags placem_collection'!AB92)</f>
        <v>7.7</v>
      </c>
      <c r="AF91">
        <f>IF('WetLitterbags placem_collection'!Z92="","",'WetLitterbags placem_collection'!Z92)</f>
        <v>30.4</v>
      </c>
      <c r="AG91" s="243" t="str">
        <f>IF('WetLitterbags placem_collection'!AA92="","",'WetLitterbags placem_collection'!AA92)</f>
        <v>O</v>
      </c>
      <c r="AH91">
        <f>IF('WetLitterbags placem_collection'!AC92="","",'WetLitterbags placem_collection'!AC92)</f>
        <v>0</v>
      </c>
      <c r="AI91" s="237">
        <f>AVERAGE('WetLitterbags placem_collection'!S92,'WetLitterbags placem_collection'!U92)</f>
        <v>27.5</v>
      </c>
      <c r="AJ91">
        <f>AVERAGE('WetLitterbags placem_collection'!R92,'WetLitterbags placem_collection'!T92)</f>
        <v>23.85</v>
      </c>
      <c r="AK91">
        <f>INDEX(Coordinates!$B$2:$B$197,MATCH(H91,Coordinates!$J$2:$J$197,0))</f>
        <v>-3.2966860009999999</v>
      </c>
      <c r="AL91">
        <f>INDEX(Coordinates!$C$2:$C$197,MATCH(H91,Coordinates!$J$2:$J$197,0))</f>
        <v>34.854371989999997</v>
      </c>
      <c r="AM91" t="str">
        <f>IF(ISNUMBER(SEARCH("C", 'WetLitterbags placem_collection'!$V92)),"YES","NO")</f>
        <v>NO</v>
      </c>
      <c r="AN91" t="str">
        <f>IF(ISNUMBER(SEARCH("H", 'WetLitterbags placem_collection'!$V92)),"YES","NO")</f>
        <v>NO</v>
      </c>
      <c r="AO91" t="str">
        <f>IF(ISNUMBER(SEARCH("R", 'WetLitterbags placem_collection'!$V92)),"YES","NO")</f>
        <v>NO</v>
      </c>
    </row>
    <row r="92" spans="1:41">
      <c r="A92" s="255" t="s">
        <v>2454</v>
      </c>
      <c r="B92" s="260">
        <f>'Dry_Litterbag Placem_Collection'!A93</f>
        <v>91</v>
      </c>
      <c r="C92" s="260" t="str">
        <f>'Dry_Litterbag Placem_Collection'!B93</f>
        <v>Maswa</v>
      </c>
      <c r="D92" s="260" t="s">
        <v>2643</v>
      </c>
      <c r="E92" s="260" t="s">
        <v>2645</v>
      </c>
      <c r="F92" s="260">
        <v>4</v>
      </c>
      <c r="G92" s="260" t="s">
        <v>3814</v>
      </c>
      <c r="H92" s="261" t="str">
        <f>'Dry_Litterbag Placem_Collection'!C93</f>
        <v>Dry_W4_T3</v>
      </c>
      <c r="I92" s="262" t="s">
        <v>2525</v>
      </c>
      <c r="J92" s="263" t="s">
        <v>1147</v>
      </c>
      <c r="K92" s="221" t="str">
        <f>'WetLitterbags placem_collection'!K93</f>
        <v>G472</v>
      </c>
      <c r="L92" s="223">
        <f>IFERROR(INDEX('Green_rooibos initial weight'!$C$5:$C$2000,MATCH(K92, 'Green_rooibos initial weight'!$A$5:$A$2000,0)),"")</f>
        <v>1.9710000000000001</v>
      </c>
      <c r="M92" s="223">
        <f>IFERROR(L92-(TBIcalc!$H$9+TBIcalc!$H$10),"")</f>
        <v>1.7212000000000001</v>
      </c>
      <c r="N92" s="385">
        <f>AVERAGE(Ashed_controlls!$K$2:$K$11)</f>
        <v>5.5147656768714146</v>
      </c>
      <c r="O92" s="223">
        <f t="shared" si="6"/>
        <v>1.6262798531696894</v>
      </c>
      <c r="P92" s="223">
        <f>IFERROR(INDEX('Both teabags AfterWet'!$C$3:$C$840,MATCH(K92,'Both teabags AfterWet'!$A$3:$A$840,0)),"")</f>
        <v>0.76100000000000001</v>
      </c>
      <c r="Q92" s="223">
        <f>IFERROR(IF(P92&gt;0,P92-(TBIcalc!$H$9),""),"")</f>
        <v>0.61040000000000005</v>
      </c>
      <c r="R92" s="223">
        <f>IFERROR(INDEX('Ashed teabags wet'!$K$2:$K$2000,MATCH(K92,'Ashed teabags wet'!$A$2:$A$2000,0)),"")</f>
        <v>13.069604406610589</v>
      </c>
      <c r="S92" s="223">
        <f t="shared" si="7"/>
        <v>0.53062313470204903</v>
      </c>
      <c r="T92" s="224">
        <f>'WetLitterbags placem_collection'!E93</f>
        <v>42767</v>
      </c>
      <c r="U92" s="224">
        <f>IF('WetLitterbags placem_collection'!G93="","",'WetLitterbags placem_collection'!G93)</f>
        <v>42819</v>
      </c>
      <c r="V92" s="225">
        <f t="shared" si="5"/>
        <v>52</v>
      </c>
      <c r="W92" s="223">
        <f t="shared" si="8"/>
        <v>1.1108</v>
      </c>
      <c r="X92" s="223">
        <f t="shared" si="9"/>
        <v>1.0956567184676405</v>
      </c>
      <c r="Y92">
        <f>IFERROR(INDEX(Rainfall_Wet!$O$2:$O$217,MATCH(B92, Rainfall_Wet!$A$2:$A$217,0)),"")</f>
        <v>194.93009798400001</v>
      </c>
      <c r="Z92" s="228">
        <v>28.145762029394</v>
      </c>
      <c r="AA92" s="228">
        <v>25.085564727199518</v>
      </c>
      <c r="AB92" s="228">
        <v>46.768673243406489</v>
      </c>
      <c r="AC92" s="229" t="s">
        <v>2654</v>
      </c>
      <c r="AD92" s="228">
        <v>4.1716214884179399</v>
      </c>
      <c r="AE92">
        <f>IF('WetLitterbags placem_collection'!AB93="","",'WetLitterbags placem_collection'!AB93)</f>
        <v>6.1</v>
      </c>
      <c r="AF92">
        <f>IF('WetLitterbags placem_collection'!Z93="","",'WetLitterbags placem_collection'!Z93)</f>
        <v>39.4</v>
      </c>
      <c r="AG92" s="243" t="str">
        <f>IF('WetLitterbags placem_collection'!AA93="","",'WetLitterbags placem_collection'!AA93)</f>
        <v>O</v>
      </c>
      <c r="AH92">
        <f>IF('WetLitterbags placem_collection'!AC93="","",'WetLitterbags placem_collection'!AC93)</f>
        <v>1</v>
      </c>
      <c r="AI92" s="237">
        <f>AVERAGE('WetLitterbags placem_collection'!S93,'WetLitterbags placem_collection'!U93)</f>
        <v>26.4</v>
      </c>
      <c r="AJ92">
        <f>AVERAGE('WetLitterbags placem_collection'!R93,'WetLitterbags placem_collection'!T93)</f>
        <v>24.35</v>
      </c>
      <c r="AK92">
        <f>INDEX(Coordinates!$B$2:$B$197,MATCH(H92,Coordinates!$J$2:$J$197,0))</f>
        <v>-3.2966180239999998</v>
      </c>
      <c r="AL92">
        <f>INDEX(Coordinates!$C$2:$C$197,MATCH(H92,Coordinates!$J$2:$J$197,0))</f>
        <v>34.854464020000002</v>
      </c>
      <c r="AM92" t="str">
        <f>IF(ISNUMBER(SEARCH("C", 'WetLitterbags placem_collection'!$V93)),"YES","NO")</f>
        <v>NO</v>
      </c>
      <c r="AN92" t="str">
        <f>IF(ISNUMBER(SEARCH("H", 'WetLitterbags placem_collection'!$V93)),"YES","NO")</f>
        <v>YES</v>
      </c>
      <c r="AO92" t="str">
        <f>IF(ISNUMBER(SEARCH("R", 'WetLitterbags placem_collection'!$V93)),"YES","NO")</f>
        <v>YES</v>
      </c>
    </row>
    <row r="93" spans="1:41">
      <c r="A93" s="255" t="s">
        <v>2454</v>
      </c>
      <c r="B93" s="260">
        <f>'Dry_Litterbag Placem_Collection'!A94</f>
        <v>92</v>
      </c>
      <c r="C93" s="260" t="str">
        <f>'Dry_Litterbag Placem_Collection'!B94</f>
        <v>Maswa</v>
      </c>
      <c r="D93" s="260" t="s">
        <v>2643</v>
      </c>
      <c r="E93" s="260" t="s">
        <v>2645</v>
      </c>
      <c r="F93" s="260">
        <v>4</v>
      </c>
      <c r="G93" s="260" t="s">
        <v>3814</v>
      </c>
      <c r="H93" s="261" t="str">
        <f>'Dry_Litterbag Placem_Collection'!C94</f>
        <v>Dry_W4_T4</v>
      </c>
      <c r="I93" s="262" t="s">
        <v>2525</v>
      </c>
      <c r="J93" s="263" t="s">
        <v>1147</v>
      </c>
      <c r="K93" s="221" t="str">
        <f>'WetLitterbags placem_collection'!K94</f>
        <v>G529</v>
      </c>
      <c r="L93" s="223">
        <f>IFERROR(INDEX('Green_rooibos initial weight'!$C$5:$C$2000,MATCH(K93, 'Green_rooibos initial weight'!$A$5:$A$2000,0)),"")</f>
        <v>2.089</v>
      </c>
      <c r="M93" s="223">
        <f>IFERROR(L93-(TBIcalc!$H$9+TBIcalc!$H$10),"")</f>
        <v>1.8391999999999999</v>
      </c>
      <c r="N93" s="385">
        <f>AVERAGE(Ashed_controlls!$K$2:$K$11)</f>
        <v>5.5147656768714146</v>
      </c>
      <c r="O93" s="223">
        <f t="shared" si="6"/>
        <v>1.7377724296709809</v>
      </c>
      <c r="P93" s="223">
        <f>IFERROR(INDEX('Both teabags AfterWet'!$C$3:$C$840,MATCH(K93,'Both teabags AfterWet'!$A$3:$A$840,0)),"")</f>
        <v>0.76500000000000001</v>
      </c>
      <c r="Q93" s="223">
        <f>IFERROR(IF(P93&gt;0,P93-(TBIcalc!$H$9),""),"")</f>
        <v>0.61440000000000006</v>
      </c>
      <c r="R93" s="223">
        <f>IFERROR(INDEX('Ashed teabags wet'!$K$2:$K$2000,MATCH(K93,'Ashed teabags wet'!$A$2:$A$2000,0)),"")</f>
        <v>11.868446139180241</v>
      </c>
      <c r="S93" s="223">
        <f t="shared" si="7"/>
        <v>0.5414802669208767</v>
      </c>
      <c r="T93" s="224">
        <f>'WetLitterbags placem_collection'!E94</f>
        <v>42767</v>
      </c>
      <c r="U93" s="224">
        <f>IF('WetLitterbags placem_collection'!G94="","",'WetLitterbags placem_collection'!G94)</f>
        <v>42819</v>
      </c>
      <c r="V93" s="225">
        <f t="shared" si="5"/>
        <v>52</v>
      </c>
      <c r="W93" s="223">
        <f t="shared" si="8"/>
        <v>1.2247999999999999</v>
      </c>
      <c r="X93" s="223">
        <f t="shared" si="9"/>
        <v>1.1962921627501042</v>
      </c>
      <c r="Y93">
        <f>IFERROR(INDEX(Rainfall_Wet!$O$2:$O$217,MATCH(B93, Rainfall_Wet!$A$2:$A$217,0)),"")</f>
        <v>194.93009798400001</v>
      </c>
      <c r="Z93" s="228">
        <v>28.145762029394</v>
      </c>
      <c r="AA93" s="228">
        <v>25.085564727199518</v>
      </c>
      <c r="AB93" s="228">
        <v>46.768673243406489</v>
      </c>
      <c r="AC93" s="229" t="s">
        <v>2654</v>
      </c>
      <c r="AD93" s="228">
        <v>5.1716214884179399</v>
      </c>
      <c r="AE93">
        <f>IF('WetLitterbags placem_collection'!AB94="","",'WetLitterbags placem_collection'!AB94)</f>
        <v>7.7</v>
      </c>
      <c r="AF93">
        <f>IF('WetLitterbags placem_collection'!Z94="","",'WetLitterbags placem_collection'!Z94)</f>
        <v>24.8</v>
      </c>
      <c r="AG93" s="243" t="str">
        <f>IF('WetLitterbags placem_collection'!AA94="","",'WetLitterbags placem_collection'!AA94)</f>
        <v>O</v>
      </c>
      <c r="AH93">
        <f>IF('WetLitterbags placem_collection'!AC94="","",'WetLitterbags placem_collection'!AC94)</f>
        <v>1</v>
      </c>
      <c r="AI93" s="237">
        <f>AVERAGE('WetLitterbags placem_collection'!S94,'WetLitterbags placem_collection'!U94)</f>
        <v>26.45</v>
      </c>
      <c r="AJ93">
        <f>AVERAGE('WetLitterbags placem_collection'!R94,'WetLitterbags placem_collection'!T94)</f>
        <v>22.6</v>
      </c>
      <c r="AK93">
        <f>INDEX(Coordinates!$B$2:$B$197,MATCH(H93,Coordinates!$J$2:$J$197,0))</f>
        <v>-3.2965539860000002</v>
      </c>
      <c r="AL93">
        <f>INDEX(Coordinates!$C$2:$C$197,MATCH(H93,Coordinates!$J$2:$J$197,0))</f>
        <v>34.854455969999997</v>
      </c>
      <c r="AM93" t="str">
        <f>IF(ISNUMBER(SEARCH("C", 'WetLitterbags placem_collection'!$V94)),"YES","NO")</f>
        <v>YES</v>
      </c>
      <c r="AN93" t="str">
        <f>IF(ISNUMBER(SEARCH("H", 'WetLitterbags placem_collection'!$V94)),"YES","NO")</f>
        <v>YES</v>
      </c>
      <c r="AO93" t="str">
        <f>IF(ISNUMBER(SEARCH("R", 'WetLitterbags placem_collection'!$V94)),"YES","NO")</f>
        <v>NO</v>
      </c>
    </row>
    <row r="94" spans="1:41">
      <c r="A94" s="255" t="s">
        <v>2454</v>
      </c>
      <c r="B94" s="260">
        <f>'Dry_Litterbag Placem_Collection'!A95</f>
        <v>93</v>
      </c>
      <c r="C94" s="260" t="str">
        <f>'Dry_Litterbag Placem_Collection'!B95</f>
        <v>Maswa</v>
      </c>
      <c r="D94" s="260" t="s">
        <v>2643</v>
      </c>
      <c r="E94" s="260" t="s">
        <v>2645</v>
      </c>
      <c r="F94" s="260">
        <v>4</v>
      </c>
      <c r="G94" s="260" t="s">
        <v>3814</v>
      </c>
      <c r="H94" s="261" t="str">
        <f>'Dry_Litterbag Placem_Collection'!C95</f>
        <v>Dry_W4_T5</v>
      </c>
      <c r="I94" s="262" t="s">
        <v>2525</v>
      </c>
      <c r="J94" s="263" t="s">
        <v>1147</v>
      </c>
      <c r="K94" s="221" t="str">
        <f>'WetLitterbags placem_collection'!K95</f>
        <v>G636</v>
      </c>
      <c r="L94" s="223">
        <f>IFERROR(INDEX('Green_rooibos initial weight'!$C$5:$C$2000,MATCH(K94, 'Green_rooibos initial weight'!$A$5:$A$2000,0)),"")</f>
        <v>2.133</v>
      </c>
      <c r="M94" s="223">
        <f>IFERROR(L94-(TBIcalc!$H$9+TBIcalc!$H$10),"")</f>
        <v>1.8832</v>
      </c>
      <c r="N94" s="385">
        <f>AVERAGE(Ashed_controlls!$K$2:$K$11)</f>
        <v>5.5147656768714146</v>
      </c>
      <c r="O94" s="223">
        <f t="shared" si="6"/>
        <v>1.7793459327731576</v>
      </c>
      <c r="P94" s="223">
        <f>IFERROR(INDEX('Both teabags AfterWet'!$C$3:$C$840,MATCH(K94,'Both teabags AfterWet'!$A$3:$A$840,0)),"")</f>
        <v>0.79630000000000001</v>
      </c>
      <c r="Q94" s="223">
        <f>IFERROR(IF(P94&gt;0,P94-(TBIcalc!$H$9),""),"")</f>
        <v>0.64569999999999994</v>
      </c>
      <c r="R94" s="223">
        <f>IFERROR(INDEX('Ashed teabags wet'!$K$2:$K$2000,MATCH(K94,'Ashed teabags wet'!$A$2:$A$2000,0)),"")</f>
        <v>13.477619281849297</v>
      </c>
      <c r="S94" s="223">
        <f t="shared" si="7"/>
        <v>0.55867501229709904</v>
      </c>
      <c r="T94" s="224">
        <f>'WetLitterbags placem_collection'!E95</f>
        <v>42767</v>
      </c>
      <c r="U94" s="224">
        <f>IF('WetLitterbags placem_collection'!G95="","",'WetLitterbags placem_collection'!G95)</f>
        <v>42819</v>
      </c>
      <c r="V94" s="225">
        <f t="shared" si="5"/>
        <v>52</v>
      </c>
      <c r="W94" s="223">
        <f t="shared" si="8"/>
        <v>1.2375</v>
      </c>
      <c r="X94" s="223">
        <f t="shared" si="9"/>
        <v>1.2206709204760586</v>
      </c>
      <c r="Y94">
        <f>IFERROR(INDEX(Rainfall_Wet!$O$2:$O$217,MATCH(B94, Rainfall_Wet!$A$2:$A$217,0)),"")</f>
        <v>194.93009798400001</v>
      </c>
      <c r="Z94" s="228">
        <v>28.145762029394</v>
      </c>
      <c r="AA94" s="228">
        <v>25.085564727199518</v>
      </c>
      <c r="AB94" s="228">
        <v>46.768673243406489</v>
      </c>
      <c r="AC94" s="229" t="s">
        <v>2654</v>
      </c>
      <c r="AD94" s="228">
        <v>6.1716214884179399</v>
      </c>
      <c r="AE94">
        <f>IF('WetLitterbags placem_collection'!AB95="","",'WetLitterbags placem_collection'!AB95)</f>
        <v>6.6</v>
      </c>
      <c r="AF94">
        <f>IF('WetLitterbags placem_collection'!Z95="","",'WetLitterbags placem_collection'!Z95)</f>
        <v>40</v>
      </c>
      <c r="AG94" s="243" t="str">
        <f>IF('WetLitterbags placem_collection'!AA95="","",'WetLitterbags placem_collection'!AA95)</f>
        <v>O</v>
      </c>
      <c r="AH94">
        <f>IF('WetLitterbags placem_collection'!AC95="","",'WetLitterbags placem_collection'!AC95)</f>
        <v>1</v>
      </c>
      <c r="AI94" s="237">
        <f>AVERAGE('WetLitterbags placem_collection'!S95,'WetLitterbags placem_collection'!U95)</f>
        <v>25.25</v>
      </c>
      <c r="AJ94">
        <f>AVERAGE('WetLitterbags placem_collection'!R95,'WetLitterbags placem_collection'!T95)</f>
        <v>23.5</v>
      </c>
      <c r="AK94">
        <f>INDEX(Coordinates!$B$2:$B$197,MATCH(H94,Coordinates!$J$2:$J$197,0))</f>
        <v>-3.2964789680000002</v>
      </c>
      <c r="AL94">
        <f>INDEX(Coordinates!$C$2:$C$197,MATCH(H94,Coordinates!$J$2:$J$197,0))</f>
        <v>34.854331000000002</v>
      </c>
      <c r="AM94" t="str">
        <f>IF(ISNUMBER(SEARCH("C", 'WetLitterbags placem_collection'!$V95)),"YES","NO")</f>
        <v>NO</v>
      </c>
      <c r="AN94" t="str">
        <f>IF(ISNUMBER(SEARCH("H", 'WetLitterbags placem_collection'!$V95)),"YES","NO")</f>
        <v>NO</v>
      </c>
      <c r="AO94" t="str">
        <f>IF(ISNUMBER(SEARCH("R", 'WetLitterbags placem_collection'!$V95)),"YES","NO")</f>
        <v>YES</v>
      </c>
    </row>
    <row r="95" spans="1:41">
      <c r="A95" s="255" t="s">
        <v>2454</v>
      </c>
      <c r="B95" s="260">
        <f>'Dry_Litterbag Placem_Collection'!A96</f>
        <v>94</v>
      </c>
      <c r="C95" s="260" t="str">
        <f>'Dry_Litterbag Placem_Collection'!B96</f>
        <v>Maswa</v>
      </c>
      <c r="D95" s="260" t="s">
        <v>2643</v>
      </c>
      <c r="E95" s="260" t="s">
        <v>2645</v>
      </c>
      <c r="F95" s="260">
        <v>4</v>
      </c>
      <c r="G95" s="260" t="s">
        <v>3814</v>
      </c>
      <c r="H95" s="261" t="str">
        <f>'Dry_Litterbag Placem_Collection'!C96</f>
        <v>Dry_W4_T6</v>
      </c>
      <c r="I95" s="262" t="s">
        <v>2525</v>
      </c>
      <c r="J95" s="263" t="s">
        <v>1147</v>
      </c>
      <c r="K95" s="221" t="str">
        <f>'WetLitterbags placem_collection'!K96</f>
        <v>G534</v>
      </c>
      <c r="L95" s="223">
        <f>IFERROR(INDEX('Green_rooibos initial weight'!$C$5:$C$2000,MATCH(K95, 'Green_rooibos initial weight'!$A$5:$A$2000,0)),"")</f>
        <v>2.169</v>
      </c>
      <c r="M95" s="223">
        <f>IFERROR(L95-(TBIcalc!$H$9+TBIcalc!$H$10),"")</f>
        <v>1.9192</v>
      </c>
      <c r="N95" s="385">
        <f>AVERAGE(Ashed_controlls!$K$2:$K$11)</f>
        <v>5.5147656768714146</v>
      </c>
      <c r="O95" s="223">
        <f t="shared" si="6"/>
        <v>1.8133606171294838</v>
      </c>
      <c r="P95" s="223" t="str">
        <f>IFERROR(INDEX('Both teabags AfterWet'!$C$3:$C$840,MATCH(K95,'Both teabags AfterWet'!$A$3:$A$840,0)),"")</f>
        <v/>
      </c>
      <c r="Q95" s="223" t="str">
        <f>IFERROR(IF(P95&gt;0,P95-(TBIcalc!$H$9),""),"")</f>
        <v/>
      </c>
      <c r="R95" s="223" t="str">
        <f>IFERROR(INDEX('Ashed teabags wet'!$K$2:$K$2000,MATCH(K95,'Ashed teabags wet'!$A$2:$A$2000,0)),"")</f>
        <v/>
      </c>
      <c r="S95" s="223" t="str">
        <f t="shared" si="7"/>
        <v/>
      </c>
      <c r="T95" s="224">
        <f>'WetLitterbags placem_collection'!E96</f>
        <v>42767</v>
      </c>
      <c r="U95" s="224">
        <f>IF('WetLitterbags placem_collection'!G96="","",'WetLitterbags placem_collection'!G96)</f>
        <v>42819</v>
      </c>
      <c r="V95" s="225">
        <f t="shared" si="5"/>
        <v>52</v>
      </c>
      <c r="W95" s="223" t="str">
        <f t="shared" si="8"/>
        <v/>
      </c>
      <c r="X95" s="223" t="str">
        <f t="shared" si="9"/>
        <v/>
      </c>
      <c r="Y95" t="str">
        <f>IFERROR(INDEX(Rainfall_Wet!$O$2:$O$217,MATCH(B95, Rainfall_Wet!$A$2:$A$217,0)),"")</f>
        <v/>
      </c>
      <c r="Z95" s="228">
        <v>28.145762029394</v>
      </c>
      <c r="AA95" s="228">
        <v>25.085564727199518</v>
      </c>
      <c r="AB95" s="228">
        <v>46.768673243406489</v>
      </c>
      <c r="AC95" s="229" t="s">
        <v>2654</v>
      </c>
      <c r="AD95" s="228">
        <v>7.1716214884179399</v>
      </c>
      <c r="AE95" t="str">
        <f>IF('WetLitterbags placem_collection'!AB96="","",'WetLitterbags placem_collection'!AB96)</f>
        <v/>
      </c>
      <c r="AF95" t="str">
        <f>IF('WetLitterbags placem_collection'!Z96="","",'WetLitterbags placem_collection'!Z96)</f>
        <v/>
      </c>
      <c r="AG95" s="243" t="str">
        <f>IF('WetLitterbags placem_collection'!AA96="","",'WetLitterbags placem_collection'!AA96)</f>
        <v/>
      </c>
      <c r="AH95" t="str">
        <f>IF('WetLitterbags placem_collection'!AC96="","",'WetLitterbags placem_collection'!AC96)</f>
        <v/>
      </c>
      <c r="AI95" s="237">
        <f>AVERAGE('WetLitterbags placem_collection'!S96,'WetLitterbags placem_collection'!U96)</f>
        <v>36.200000000000003</v>
      </c>
      <c r="AJ95">
        <f>AVERAGE('WetLitterbags placem_collection'!R96,'WetLitterbags placem_collection'!T96)</f>
        <v>22</v>
      </c>
      <c r="AK95">
        <f>INDEX(Coordinates!$B$2:$B$197,MATCH(H95,Coordinates!$J$2:$J$197,0))</f>
        <v>-3.2964649700000002</v>
      </c>
      <c r="AL95">
        <f>INDEX(Coordinates!$C$2:$C$197,MATCH(H95,Coordinates!$J$2:$J$197,0))</f>
        <v>34.854340970000003</v>
      </c>
      <c r="AM95" t="str">
        <f>IF(ISNUMBER(SEARCH("C", 'WetLitterbags placem_collection'!$V96)),"YES","NO")</f>
        <v>NO</v>
      </c>
      <c r="AN95" t="str">
        <f>IF(ISNUMBER(SEARCH("H", 'WetLitterbags placem_collection'!$V96)),"YES","NO")</f>
        <v>NO</v>
      </c>
      <c r="AO95" t="str">
        <f>IF(ISNUMBER(SEARCH("R", 'WetLitterbags placem_collection'!$V96)),"YES","NO")</f>
        <v>NO</v>
      </c>
    </row>
    <row r="96" spans="1:41" ht="15" customHeight="1">
      <c r="A96" s="255" t="s">
        <v>2454</v>
      </c>
      <c r="B96" s="260">
        <f>'Dry_Litterbag Placem_Collection'!A97</f>
        <v>95</v>
      </c>
      <c r="C96" s="260" t="str">
        <f>'Dry_Litterbag Placem_Collection'!B97</f>
        <v>Maswa</v>
      </c>
      <c r="D96" s="260" t="s">
        <v>2643</v>
      </c>
      <c r="E96" s="260" t="s">
        <v>2645</v>
      </c>
      <c r="F96" s="260">
        <v>4</v>
      </c>
      <c r="G96" s="260" t="s">
        <v>3814</v>
      </c>
      <c r="H96" s="261" t="str">
        <f>'Dry_Litterbag Placem_Collection'!C97</f>
        <v>Dry_W4_T7</v>
      </c>
      <c r="I96" s="262" t="s">
        <v>2525</v>
      </c>
      <c r="J96" s="263" t="s">
        <v>1147</v>
      </c>
      <c r="K96" s="221" t="str">
        <f>'WetLitterbags placem_collection'!K97</f>
        <v>G641</v>
      </c>
      <c r="L96" s="223">
        <f>IFERROR(INDEX('Green_rooibos initial weight'!$C$5:$C$2000,MATCH(K96, 'Green_rooibos initial weight'!$A$5:$A$2000,0)),"")</f>
        <v>2.14</v>
      </c>
      <c r="M96" s="223">
        <f>IFERROR(L96-(TBIcalc!$H$9+TBIcalc!$H$10),"")</f>
        <v>1.8902000000000001</v>
      </c>
      <c r="N96" s="385">
        <f>AVERAGE(Ashed_controlls!$K$2:$K$11)</f>
        <v>5.5147656768714146</v>
      </c>
      <c r="O96" s="223">
        <f t="shared" si="6"/>
        <v>1.7859598991757766</v>
      </c>
      <c r="P96" s="223">
        <f>IFERROR(INDEX('Both teabags AfterWet'!$C$3:$C$840,MATCH(K96,'Both teabags AfterWet'!$A$3:$A$840,0)),"")</f>
        <v>1.254</v>
      </c>
      <c r="Q96" s="223">
        <f>IFERROR(IF(P96&gt;0,P96-(TBIcalc!$H$9),""),"")</f>
        <v>1.1033999999999999</v>
      </c>
      <c r="R96" s="223">
        <f>IFERROR(INDEX('Ashed teabags wet'!$K$2:$K$2000,MATCH(K96,'Ashed teabags wet'!$A$2:$A$2000,0)),"")</f>
        <v>33.235294117646788</v>
      </c>
      <c r="S96" s="223">
        <f t="shared" si="7"/>
        <v>0.73668176470588531</v>
      </c>
      <c r="T96" s="224">
        <f>'WetLitterbags placem_collection'!E97</f>
        <v>42767</v>
      </c>
      <c r="U96" s="224">
        <f>IF('WetLitterbags placem_collection'!G97="","",'WetLitterbags placem_collection'!G97)</f>
        <v>42819</v>
      </c>
      <c r="V96" s="225">
        <f t="shared" si="5"/>
        <v>52</v>
      </c>
      <c r="W96" s="223">
        <f t="shared" si="8"/>
        <v>0.78680000000000017</v>
      </c>
      <c r="X96" s="223">
        <f t="shared" si="9"/>
        <v>1.0492781344698914</v>
      </c>
      <c r="Y96">
        <f>IFERROR(INDEX(Rainfall_Wet!$O$2:$O$217,MATCH(B96, Rainfall_Wet!$A$2:$A$217,0)),"")</f>
        <v>194.93009798400001</v>
      </c>
      <c r="Z96" s="228">
        <v>28.145762029394</v>
      </c>
      <c r="AA96" s="228">
        <v>25.085564727199518</v>
      </c>
      <c r="AB96" s="228">
        <v>46.768673243406489</v>
      </c>
      <c r="AC96" s="229" t="s">
        <v>2654</v>
      </c>
      <c r="AD96" s="228">
        <v>8.1716214884179408</v>
      </c>
      <c r="AE96">
        <f>IF('WetLitterbags placem_collection'!AB97="","",'WetLitterbags placem_collection'!AB97)</f>
        <v>5.4</v>
      </c>
      <c r="AF96">
        <f>IF('WetLitterbags placem_collection'!Z97="","",'WetLitterbags placem_collection'!Z97)</f>
        <v>15.2</v>
      </c>
      <c r="AG96" s="243" t="str">
        <f>IF('WetLitterbags placem_collection'!AA97="","",'WetLitterbags placem_collection'!AA97)</f>
        <v>O</v>
      </c>
      <c r="AH96">
        <f>IF('WetLitterbags placem_collection'!AC97="","",'WetLitterbags placem_collection'!AC97)</f>
        <v>0</v>
      </c>
      <c r="AI96" s="237">
        <f>AVERAGE('WetLitterbags placem_collection'!S97,'WetLitterbags placem_collection'!U97)</f>
        <v>28.85</v>
      </c>
      <c r="AJ96">
        <f>AVERAGE('WetLitterbags placem_collection'!R97,'WetLitterbags placem_collection'!T97)</f>
        <v>23.2</v>
      </c>
      <c r="AK96">
        <f>INDEX(Coordinates!$B$2:$B$197,MATCH(H96,Coordinates!$J$2:$J$197,0))</f>
        <v>-3.296725983</v>
      </c>
      <c r="AL96">
        <f>INDEX(Coordinates!$C$2:$C$197,MATCH(H96,Coordinates!$J$2:$J$197,0))</f>
        <v>34.854216000000001</v>
      </c>
      <c r="AM96" t="str">
        <f>IF(ISNUMBER(SEARCH("C", 'WetLitterbags placem_collection'!$V97)),"YES","NO")</f>
        <v>YES</v>
      </c>
      <c r="AN96" t="str">
        <f>IF(ISNUMBER(SEARCH("H", 'WetLitterbags placem_collection'!$V97)),"YES","NO")</f>
        <v>YES</v>
      </c>
      <c r="AO96" t="str">
        <f>IF(ISNUMBER(SEARCH("R", 'WetLitterbags placem_collection'!$V97)),"YES","NO")</f>
        <v>YES</v>
      </c>
    </row>
    <row r="97" spans="1:41" ht="15" customHeight="1">
      <c r="A97" s="255" t="s">
        <v>2454</v>
      </c>
      <c r="B97" s="260">
        <f>'Dry_Litterbag Placem_Collection'!A98</f>
        <v>96</v>
      </c>
      <c r="C97" s="260" t="str">
        <f>'Dry_Litterbag Placem_Collection'!B98</f>
        <v>Maswa</v>
      </c>
      <c r="D97" s="260" t="s">
        <v>2643</v>
      </c>
      <c r="E97" s="260" t="s">
        <v>2645</v>
      </c>
      <c r="F97" s="260">
        <v>4</v>
      </c>
      <c r="G97" s="260" t="s">
        <v>3814</v>
      </c>
      <c r="H97" s="261" t="str">
        <f>'Dry_Litterbag Placem_Collection'!C98</f>
        <v>Dry_W4_T8</v>
      </c>
      <c r="I97" s="262" t="s">
        <v>2525</v>
      </c>
      <c r="J97" s="263" t="s">
        <v>1147</v>
      </c>
      <c r="K97" s="221" t="str">
        <f>'WetLitterbags placem_collection'!K98</f>
        <v>G479</v>
      </c>
      <c r="L97" s="223">
        <f>IFERROR(INDEX('Green_rooibos initial weight'!$C$5:$C$2000,MATCH(K97, 'Green_rooibos initial weight'!$A$5:$A$2000,0)),"")</f>
        <v>1.982</v>
      </c>
      <c r="M97" s="223">
        <f>IFERROR(L97-(TBIcalc!$H$9+TBIcalc!$H$10),"")</f>
        <v>1.7322</v>
      </c>
      <c r="N97" s="385">
        <f>AVERAGE(Ashed_controlls!$K$2:$K$11)</f>
        <v>5.5147656768714146</v>
      </c>
      <c r="O97" s="223">
        <f t="shared" si="6"/>
        <v>1.6366732289452333</v>
      </c>
      <c r="P97" s="223">
        <f>IFERROR(INDEX('Both teabags AfterWet'!$C$3:$C$840,MATCH(K97,'Both teabags AfterWet'!$A$3:$A$840,0)),"")</f>
        <v>0.90410000000000001</v>
      </c>
      <c r="Q97" s="223">
        <f>IFERROR(IF(P97&gt;0,P97-(TBIcalc!$H$9),""),"")</f>
        <v>0.75350000000000006</v>
      </c>
      <c r="R97" s="223">
        <f>IFERROR(INDEX('Ashed teabags wet'!$K$2:$K$2000,MATCH(K97,'Ashed teabags wet'!$A$2:$A$2000,0)),"")</f>
        <v>16.839506172838583</v>
      </c>
      <c r="S97" s="223">
        <f t="shared" si="7"/>
        <v>0.62661432098766134</v>
      </c>
      <c r="T97" s="224">
        <f>'WetLitterbags placem_collection'!E98</f>
        <v>42767</v>
      </c>
      <c r="U97" s="224">
        <f>IF('WetLitterbags placem_collection'!G98="","",'WetLitterbags placem_collection'!G98)</f>
        <v>42819</v>
      </c>
      <c r="V97" s="225">
        <f t="shared" si="5"/>
        <v>52</v>
      </c>
      <c r="W97" s="223">
        <f t="shared" si="8"/>
        <v>0.9786999999999999</v>
      </c>
      <c r="X97" s="223">
        <f t="shared" si="9"/>
        <v>1.0100589079575719</v>
      </c>
      <c r="Y97">
        <f>IFERROR(INDEX(Rainfall_Wet!$O$2:$O$217,MATCH(B97, Rainfall_Wet!$A$2:$A$217,0)),"")</f>
        <v>194.93009798400001</v>
      </c>
      <c r="Z97" s="228">
        <v>28.145762029394</v>
      </c>
      <c r="AA97" s="228">
        <v>25.085564727199518</v>
      </c>
      <c r="AB97" s="228">
        <v>46.768673243406489</v>
      </c>
      <c r="AC97" s="229" t="s">
        <v>2654</v>
      </c>
      <c r="AD97" s="228">
        <v>9.1716214884179408</v>
      </c>
      <c r="AE97">
        <f>IF('WetLitterbags placem_collection'!AB98="","",'WetLitterbags placem_collection'!AB98)</f>
        <v>4</v>
      </c>
      <c r="AF97">
        <f>IF('WetLitterbags placem_collection'!Z98="","",'WetLitterbags placem_collection'!Z98)</f>
        <v>34.4</v>
      </c>
      <c r="AG97" s="243" t="str">
        <f>IF('WetLitterbags placem_collection'!AA98="","",'WetLitterbags placem_collection'!AA98)</f>
        <v>O</v>
      </c>
      <c r="AH97">
        <f>IF('WetLitterbags placem_collection'!AC98="","",'WetLitterbags placem_collection'!AC98)</f>
        <v>0</v>
      </c>
      <c r="AI97" s="237">
        <f>AVERAGE('WetLitterbags placem_collection'!S98,'WetLitterbags placem_collection'!U98)</f>
        <v>16.799999999999997</v>
      </c>
      <c r="AJ97">
        <f>AVERAGE('WetLitterbags placem_collection'!R98,'WetLitterbags placem_collection'!T98)</f>
        <v>24.3</v>
      </c>
      <c r="AK97">
        <f>INDEX(Coordinates!$B$2:$B$197,MATCH(H97,Coordinates!$J$2:$J$197,0))</f>
        <v>-3.2968360369999998</v>
      </c>
      <c r="AL97">
        <f>INDEX(Coordinates!$C$2:$C$197,MATCH(H97,Coordinates!$J$2:$J$197,0))</f>
        <v>34.854462009999999</v>
      </c>
      <c r="AM97" t="str">
        <f>IF(ISNUMBER(SEARCH("C", 'WetLitterbags placem_collection'!$V98)),"YES","NO")</f>
        <v>NO</v>
      </c>
      <c r="AN97" t="str">
        <f>IF(ISNUMBER(SEARCH("H", 'WetLitterbags placem_collection'!$V98)),"YES","NO")</f>
        <v>NO</v>
      </c>
      <c r="AO97" t="str">
        <f>IF(ISNUMBER(SEARCH("R", 'WetLitterbags placem_collection'!$V98)),"YES","NO")</f>
        <v>YES</v>
      </c>
    </row>
    <row r="98" spans="1:41" ht="15" customHeight="1">
      <c r="A98" s="255" t="s">
        <v>2454</v>
      </c>
      <c r="B98" s="260">
        <f>'Dry_Litterbag Placem_Collection'!A99</f>
        <v>97</v>
      </c>
      <c r="C98" s="260" t="str">
        <f>'Dry_Litterbag Placem_Collection'!B99</f>
        <v xml:space="preserve">Mwantimba
</v>
      </c>
      <c r="D98" s="260" t="s">
        <v>2454</v>
      </c>
      <c r="E98" s="260" t="s">
        <v>2644</v>
      </c>
      <c r="F98" s="260">
        <v>1</v>
      </c>
      <c r="G98" s="260" t="s">
        <v>3815</v>
      </c>
      <c r="H98" s="261" t="str">
        <f>'Dry_Litterbag Placem_Collection'!C99</f>
        <v>Wet_Ag1_T1</v>
      </c>
      <c r="I98" s="262" t="s">
        <v>2525</v>
      </c>
      <c r="J98" s="263" t="s">
        <v>1147</v>
      </c>
      <c r="K98" s="221" t="str">
        <f>'WetLitterbags placem_collection'!K99</f>
        <v>G741</v>
      </c>
      <c r="L98" s="223">
        <f>IFERROR(INDEX('Green_rooibos initial weight'!$C$5:$C$2000,MATCH(K98, 'Green_rooibos initial weight'!$A$5:$A$2000,0)),"")</f>
        <v>2.1019999999999999</v>
      </c>
      <c r="M98" s="223">
        <f>IFERROR(L98-(TBIcalc!$H$9+TBIcalc!$H$10),"")</f>
        <v>1.8521999999999998</v>
      </c>
      <c r="N98" s="385">
        <f>AVERAGE(Ashed_controlls!$K$2:$K$11)</f>
        <v>5.5147656768714146</v>
      </c>
      <c r="O98" s="223">
        <f t="shared" si="6"/>
        <v>1.7500555101329875</v>
      </c>
      <c r="P98" s="223">
        <f>IFERROR(INDEX('Both teabags AfterWet'!$C$3:$C$840,MATCH(K98,'Both teabags AfterWet'!$A$3:$A$840,0)),"")</f>
        <v>0.60680000000000001</v>
      </c>
      <c r="Q98" s="223">
        <f>IFERROR(IF(P98&gt;0,P98-(TBIcalc!$H$9),""),"")</f>
        <v>0.45619999999999999</v>
      </c>
      <c r="R98" s="223">
        <f>IFERROR(INDEX('Ashed teabags wet'!$K$2:$K$2000,MATCH(K98,'Ashed teabags wet'!$A$2:$A$2000,0)),"")</f>
        <v>20.517928286852939</v>
      </c>
      <c r="S98" s="223">
        <f t="shared" si="7"/>
        <v>0.36259721115537691</v>
      </c>
      <c r="T98" s="224">
        <f>'WetLitterbags placem_collection'!E99</f>
        <v>42762</v>
      </c>
      <c r="U98" s="224">
        <f>IF('WetLitterbags placem_collection'!G99="","",'WetLitterbags placem_collection'!G99)</f>
        <v>42816</v>
      </c>
      <c r="V98" s="225">
        <f t="shared" si="5"/>
        <v>54</v>
      </c>
      <c r="W98" s="223">
        <f t="shared" si="8"/>
        <v>1.3959999999999999</v>
      </c>
      <c r="X98" s="223">
        <f t="shared" si="9"/>
        <v>1.3874582989776107</v>
      </c>
      <c r="Y98">
        <f>IFERROR(INDEX(Rainfall_Wet!$O$2:$O$217,MATCH(B98, Rainfall_Wet!$A$2:$A$217,0)),"")</f>
        <v>206.85140822299999</v>
      </c>
      <c r="Z98" s="228">
        <v>45.96</v>
      </c>
      <c r="AA98" s="228">
        <v>14.920000000000003</v>
      </c>
      <c r="AB98" s="228">
        <v>39.119999999999997</v>
      </c>
      <c r="AC98" s="229" t="s">
        <v>2657</v>
      </c>
      <c r="AD98" s="228">
        <v>2.0374568753080333</v>
      </c>
      <c r="AE98">
        <f>IF('WetLitterbags placem_collection'!AB99="","",'WetLitterbags placem_collection'!AB99)</f>
        <v>2.4</v>
      </c>
      <c r="AF98">
        <f>IF('WetLitterbags placem_collection'!Z99="","",'WetLitterbags placem_collection'!Z99)</f>
        <v>8.9</v>
      </c>
      <c r="AG98" s="243" t="str">
        <f>IF('WetLitterbags placem_collection'!AA99="","",'WetLitterbags placem_collection'!AA99)</f>
        <v>G</v>
      </c>
      <c r="AH98">
        <f>IF('WetLitterbags placem_collection'!AC99="","",'WetLitterbags placem_collection'!AC99)</f>
        <v>1</v>
      </c>
      <c r="AI98" s="237">
        <f>AVERAGE('WetLitterbags placem_collection'!S99,'WetLitterbags placem_collection'!U99)</f>
        <v>19.25</v>
      </c>
      <c r="AJ98">
        <f>AVERAGE('WetLitterbags placem_collection'!R99,'WetLitterbags placem_collection'!T99)</f>
        <v>28.75</v>
      </c>
      <c r="AK98">
        <f>INDEX(Coordinates!$B$2:$B$197,MATCH(H98,Coordinates!$J$2:$J$197,0))</f>
        <v>-2.3691620310000001</v>
      </c>
      <c r="AL98">
        <f>INDEX(Coordinates!$C$2:$C$197,MATCH(H98,Coordinates!$J$2:$J$197,0))</f>
        <v>34.06028104</v>
      </c>
      <c r="AM98" t="str">
        <f>IF(ISNUMBER(SEARCH("C", 'WetLitterbags placem_collection'!$V99)),"YES","NO")</f>
        <v>NO</v>
      </c>
      <c r="AN98" t="str">
        <f>IF(ISNUMBER(SEARCH("H", 'WetLitterbags placem_collection'!$V99)),"YES","NO")</f>
        <v>NO</v>
      </c>
      <c r="AO98" t="str">
        <f>IF(ISNUMBER(SEARCH("R", 'WetLitterbags placem_collection'!$V99)),"YES","NO")</f>
        <v>NO</v>
      </c>
    </row>
    <row r="99" spans="1:41" ht="15" customHeight="1">
      <c r="A99" s="255" t="s">
        <v>2454</v>
      </c>
      <c r="B99" s="260">
        <f>'Dry_Litterbag Placem_Collection'!A100</f>
        <v>98</v>
      </c>
      <c r="C99" s="260" t="str">
        <f>'Dry_Litterbag Placem_Collection'!B100</f>
        <v xml:space="preserve">Mwantimba
</v>
      </c>
      <c r="D99" s="260" t="s">
        <v>2454</v>
      </c>
      <c r="E99" s="260" t="s">
        <v>2644</v>
      </c>
      <c r="F99" s="260">
        <v>1</v>
      </c>
      <c r="G99" s="260" t="s">
        <v>3815</v>
      </c>
      <c r="H99" s="261" t="str">
        <f>'Dry_Litterbag Placem_Collection'!C100</f>
        <v>Wet_Ag1_T2</v>
      </c>
      <c r="I99" s="262" t="s">
        <v>2525</v>
      </c>
      <c r="J99" s="263" t="s">
        <v>1147</v>
      </c>
      <c r="K99" s="221" t="str">
        <f>'WetLitterbags placem_collection'!K100</f>
        <v>G610</v>
      </c>
      <c r="L99" s="223">
        <f>IFERROR(INDEX('Green_rooibos initial weight'!$C$5:$C$2000,MATCH(K99, 'Green_rooibos initial weight'!$A$5:$A$2000,0)),"")</f>
        <v>2.0379999999999998</v>
      </c>
      <c r="M99" s="223">
        <f>IFERROR(L99-(TBIcalc!$H$9+TBIcalc!$H$10),"")</f>
        <v>1.7881999999999998</v>
      </c>
      <c r="N99" s="385">
        <f>AVERAGE(Ashed_controlls!$K$2:$K$11)</f>
        <v>5.5147656768714146</v>
      </c>
      <c r="O99" s="223">
        <f t="shared" si="6"/>
        <v>1.6895849601661852</v>
      </c>
      <c r="P99" s="223">
        <f>IFERROR(INDEX('Both teabags AfterWet'!$C$3:$C$840,MATCH(K99,'Both teabags AfterWet'!$A$3:$A$840,0)),"")</f>
        <v>0.56599999999999995</v>
      </c>
      <c r="Q99" s="223">
        <f>IFERROR(IF(P99&gt;0,P99-(TBIcalc!$H$9),""),"")</f>
        <v>0.41539999999999994</v>
      </c>
      <c r="R99" s="223">
        <f>IFERROR(INDEX('Ashed teabags wet'!$K$2:$K$2000,MATCH(K99,'Ashed teabags wet'!$A$2:$A$2000,0)),"")</f>
        <v>14.682539682539385</v>
      </c>
      <c r="S99" s="223">
        <f t="shared" si="7"/>
        <v>0.35440873015873131</v>
      </c>
      <c r="T99" s="224">
        <f>'WetLitterbags placem_collection'!E100</f>
        <v>42762</v>
      </c>
      <c r="U99" s="224">
        <f>IF('WetLitterbags placem_collection'!G100="","",'WetLitterbags placem_collection'!G100)</f>
        <v>42816</v>
      </c>
      <c r="V99" s="225">
        <f t="shared" si="5"/>
        <v>54</v>
      </c>
      <c r="W99" s="223">
        <f t="shared" si="8"/>
        <v>1.3727999999999998</v>
      </c>
      <c r="X99" s="223">
        <f t="shared" si="9"/>
        <v>1.3351762300074539</v>
      </c>
      <c r="Y99">
        <f>IFERROR(INDEX(Rainfall_Wet!$O$2:$O$217,MATCH(B99, Rainfall_Wet!$A$2:$A$217,0)),"")</f>
        <v>206.85140822299999</v>
      </c>
      <c r="Z99" s="228">
        <v>45.96</v>
      </c>
      <c r="AA99" s="228">
        <v>14.920000000000003</v>
      </c>
      <c r="AB99" s="228">
        <v>39.119999999999997</v>
      </c>
      <c r="AC99" s="229" t="s">
        <v>2657</v>
      </c>
      <c r="AD99" s="228">
        <v>3.0374568753080302</v>
      </c>
      <c r="AE99">
        <f>IF('WetLitterbags placem_collection'!AB100="","",'WetLitterbags placem_collection'!AB100)</f>
        <v>7.8</v>
      </c>
      <c r="AF99">
        <f>IF('WetLitterbags placem_collection'!Z100="","",'WetLitterbags placem_collection'!Z100)</f>
        <v>4.45</v>
      </c>
      <c r="AG99" s="243" t="str">
        <f>IF('WetLitterbags placem_collection'!AA100="","",'WetLitterbags placem_collection'!AA100)</f>
        <v>G</v>
      </c>
      <c r="AH99">
        <f>IF('WetLitterbags placem_collection'!AC100="","",'WetLitterbags placem_collection'!AC100)</f>
        <v>1</v>
      </c>
      <c r="AI99" s="237">
        <f>AVERAGE('WetLitterbags placem_collection'!S100,'WetLitterbags placem_collection'!U100)</f>
        <v>22.25</v>
      </c>
      <c r="AJ99">
        <f>AVERAGE('WetLitterbags placem_collection'!R100,'WetLitterbags placem_collection'!T100)</f>
        <v>29.85</v>
      </c>
      <c r="AK99">
        <f>INDEX(Coordinates!$B$2:$B$197,MATCH(H99,Coordinates!$J$2:$J$197,0))</f>
        <v>-2.3692249790000002</v>
      </c>
      <c r="AL99">
        <f>INDEX(Coordinates!$C$2:$C$197,MATCH(H99,Coordinates!$J$2:$J$197,0))</f>
        <v>34.060285989999997</v>
      </c>
      <c r="AM99" t="str">
        <f>IF(ISNUMBER(SEARCH("C", 'WetLitterbags placem_collection'!$V100)),"YES","NO")</f>
        <v>NO</v>
      </c>
      <c r="AN99" t="str">
        <f>IF(ISNUMBER(SEARCH("H", 'WetLitterbags placem_collection'!$V100)),"YES","NO")</f>
        <v>NO</v>
      </c>
      <c r="AO99" t="str">
        <f>IF(ISNUMBER(SEARCH("R", 'WetLitterbags placem_collection'!$V100)),"YES","NO")</f>
        <v>NO</v>
      </c>
    </row>
    <row r="100" spans="1:41" ht="15" customHeight="1">
      <c r="A100" s="255" t="s">
        <v>2454</v>
      </c>
      <c r="B100" s="260">
        <f>'Dry_Litterbag Placem_Collection'!A101</f>
        <v>99</v>
      </c>
      <c r="C100" s="260" t="str">
        <f>'Dry_Litterbag Placem_Collection'!B101</f>
        <v xml:space="preserve">Mwantimba
</v>
      </c>
      <c r="D100" s="260" t="s">
        <v>2454</v>
      </c>
      <c r="E100" s="260" t="s">
        <v>2644</v>
      </c>
      <c r="F100" s="260">
        <v>1</v>
      </c>
      <c r="G100" s="260" t="s">
        <v>3815</v>
      </c>
      <c r="H100" s="261" t="str">
        <f>'Dry_Litterbag Placem_Collection'!C101</f>
        <v>Wet_Ag1_T3</v>
      </c>
      <c r="I100" s="262" t="s">
        <v>2525</v>
      </c>
      <c r="J100" s="263" t="s">
        <v>1147</v>
      </c>
      <c r="K100" s="221" t="str">
        <f>'WetLitterbags placem_collection'!K101</f>
        <v>G765</v>
      </c>
      <c r="L100" s="223">
        <f>IFERROR(INDEX('Green_rooibos initial weight'!$C$5:$C$2000,MATCH(K100, 'Green_rooibos initial weight'!$A$5:$A$2000,0)),"")</f>
        <v>2.08</v>
      </c>
      <c r="M100" s="223">
        <f>IFERROR(L100-(TBIcalc!$H$9+TBIcalc!$H$10),"")</f>
        <v>1.8302</v>
      </c>
      <c r="N100" s="385">
        <f>AVERAGE(Ashed_controlls!$K$2:$K$11)</f>
        <v>5.5147656768714146</v>
      </c>
      <c r="O100" s="223">
        <f t="shared" si="6"/>
        <v>1.7292687585818993</v>
      </c>
      <c r="P100" s="223">
        <f>IFERROR(INDEX('Both teabags AfterWet'!$C$3:$C$840,MATCH(K100,'Both teabags AfterWet'!$A$3:$A$840,0)),"")</f>
        <v>0.65149999999999997</v>
      </c>
      <c r="Q100" s="223">
        <f>IFERROR(IF(P100&gt;0,P100-(TBIcalc!$H$9),""),"")</f>
        <v>0.5008999999999999</v>
      </c>
      <c r="R100" s="223">
        <f>IFERROR(INDEX('Ashed teabags wet'!$K$2:$K$2000,MATCH(K100,'Ashed teabags wet'!$A$2:$A$2000,0)),"")</f>
        <v>16.733295259852824</v>
      </c>
      <c r="S100" s="223">
        <f t="shared" si="7"/>
        <v>0.41708292404339714</v>
      </c>
      <c r="T100" s="224">
        <f>'WetLitterbags placem_collection'!E101</f>
        <v>42762</v>
      </c>
      <c r="U100" s="224">
        <f>IF('WetLitterbags placem_collection'!G101="","",'WetLitterbags placem_collection'!G101)</f>
        <v>42816</v>
      </c>
      <c r="V100" s="225">
        <f t="shared" si="5"/>
        <v>54</v>
      </c>
      <c r="W100" s="223">
        <f t="shared" si="8"/>
        <v>1.3293000000000001</v>
      </c>
      <c r="X100" s="223">
        <f t="shared" si="9"/>
        <v>1.3121858345385022</v>
      </c>
      <c r="Y100">
        <f>IFERROR(INDEX(Rainfall_Wet!$O$2:$O$217,MATCH(B100, Rainfall_Wet!$A$2:$A$217,0)),"")</f>
        <v>206.85140822299999</v>
      </c>
      <c r="Z100" s="228">
        <v>45.96</v>
      </c>
      <c r="AA100" s="228">
        <v>14.920000000000003</v>
      </c>
      <c r="AB100" s="228">
        <v>39.119999999999997</v>
      </c>
      <c r="AC100" s="229" t="s">
        <v>2657</v>
      </c>
      <c r="AD100" s="228">
        <v>4.0374568753080302</v>
      </c>
      <c r="AE100">
        <f>IF('WetLitterbags placem_collection'!AB101="","",'WetLitterbags placem_collection'!AB101)</f>
        <v>5.0999999999999996</v>
      </c>
      <c r="AF100">
        <f>IF('WetLitterbags placem_collection'!Z101="","",'WetLitterbags placem_collection'!Z101)</f>
        <v>2.2999999999999998</v>
      </c>
      <c r="AG100" s="243" t="str">
        <f>IF('WetLitterbags placem_collection'!AA101="","",'WetLitterbags placem_collection'!AA101)</f>
        <v>G</v>
      </c>
      <c r="AH100">
        <f>IF('WetLitterbags placem_collection'!AC101="","",'WetLitterbags placem_collection'!AC101)</f>
        <v>0</v>
      </c>
      <c r="AI100" s="237">
        <f>AVERAGE('WetLitterbags placem_collection'!S101,'WetLitterbags placem_collection'!U101)</f>
        <v>17.95</v>
      </c>
      <c r="AJ100">
        <f>AVERAGE('WetLitterbags placem_collection'!R101,'WetLitterbags placem_collection'!T101)</f>
        <v>30.85</v>
      </c>
      <c r="AK100">
        <f>INDEX(Coordinates!$B$2:$B$197,MATCH(H100,Coordinates!$J$2:$J$197,0))</f>
        <v>-2.369284993</v>
      </c>
      <c r="AL100">
        <f>INDEX(Coordinates!$C$2:$C$197,MATCH(H100,Coordinates!$J$2:$J$197,0))</f>
        <v>34.06028104</v>
      </c>
      <c r="AM100" t="str">
        <f>IF(ISNUMBER(SEARCH("C", 'WetLitterbags placem_collection'!$V101)),"YES","NO")</f>
        <v>NO</v>
      </c>
      <c r="AN100" t="str">
        <f>IF(ISNUMBER(SEARCH("H", 'WetLitterbags placem_collection'!$V101)),"YES","NO")</f>
        <v>NO</v>
      </c>
      <c r="AO100" t="str">
        <f>IF(ISNUMBER(SEARCH("R", 'WetLitterbags placem_collection'!$V101)),"YES","NO")</f>
        <v>YES</v>
      </c>
    </row>
    <row r="101" spans="1:41" ht="15" customHeight="1">
      <c r="A101" s="255" t="s">
        <v>2454</v>
      </c>
      <c r="B101" s="260">
        <f>'Dry_Litterbag Placem_Collection'!A102</f>
        <v>100</v>
      </c>
      <c r="C101" s="260" t="str">
        <f>'Dry_Litterbag Placem_Collection'!B102</f>
        <v xml:space="preserve">Mwantimba
</v>
      </c>
      <c r="D101" s="260" t="s">
        <v>2454</v>
      </c>
      <c r="E101" s="260" t="s">
        <v>2644</v>
      </c>
      <c r="F101" s="260">
        <v>1</v>
      </c>
      <c r="G101" s="260" t="s">
        <v>3815</v>
      </c>
      <c r="H101" s="261" t="str">
        <f>'Dry_Litterbag Placem_Collection'!C102</f>
        <v>Wet_Ag1_T4</v>
      </c>
      <c r="I101" s="262" t="s">
        <v>2525</v>
      </c>
      <c r="J101" s="263" t="s">
        <v>1147</v>
      </c>
      <c r="K101" s="221" t="str">
        <f>'WetLitterbags placem_collection'!K102</f>
        <v>G728</v>
      </c>
      <c r="L101" s="223">
        <f>IFERROR(INDEX('Green_rooibos initial weight'!$C$5:$C$2000,MATCH(K101, 'Green_rooibos initial weight'!$A$5:$A$2000,0)),"")</f>
        <v>1.962</v>
      </c>
      <c r="M101" s="223">
        <f>IFERROR(L101-(TBIcalc!$H$9+TBIcalc!$H$10),"")</f>
        <v>1.7121999999999999</v>
      </c>
      <c r="N101" s="385">
        <f>AVERAGE(Ashed_controlls!$K$2:$K$11)</f>
        <v>5.5147656768714146</v>
      </c>
      <c r="O101" s="223">
        <f t="shared" si="6"/>
        <v>1.6177761820806076</v>
      </c>
      <c r="P101" s="223">
        <f>IFERROR(INDEX('Both teabags AfterWet'!$C$3:$C$840,MATCH(K101,'Both teabags AfterWet'!$A$3:$A$840,0)),"")</f>
        <v>0.59699999999999998</v>
      </c>
      <c r="Q101" s="223">
        <f>IFERROR(IF(P101&gt;0,P101-(TBIcalc!$H$9),""),"")</f>
        <v>0.44639999999999996</v>
      </c>
      <c r="R101" s="223">
        <f>IFERROR(INDEX('Ashed teabags wet'!$K$2:$K$2000,MATCH(K101,'Ashed teabags wet'!$A$2:$A$2000,0)),"")</f>
        <v>12.794117647059169</v>
      </c>
      <c r="S101" s="223">
        <f t="shared" si="7"/>
        <v>0.38928705882352782</v>
      </c>
      <c r="T101" s="224">
        <f>'WetLitterbags placem_collection'!E102</f>
        <v>42762</v>
      </c>
      <c r="U101" s="224">
        <f>IF('WetLitterbags placem_collection'!G102="","",'WetLitterbags placem_collection'!G102)</f>
        <v>42816</v>
      </c>
      <c r="V101" s="225">
        <f t="shared" si="5"/>
        <v>54</v>
      </c>
      <c r="W101" s="223">
        <f t="shared" si="8"/>
        <v>1.2658</v>
      </c>
      <c r="X101" s="223">
        <f t="shared" si="9"/>
        <v>1.2284891232570798</v>
      </c>
      <c r="Y101">
        <f>IFERROR(INDEX(Rainfall_Wet!$O$2:$O$217,MATCH(B101, Rainfall_Wet!$A$2:$A$217,0)),"")</f>
        <v>206.85140822299999</v>
      </c>
      <c r="Z101" s="228">
        <v>45.96</v>
      </c>
      <c r="AA101" s="228">
        <v>14.920000000000003</v>
      </c>
      <c r="AB101" s="228">
        <v>39.119999999999997</v>
      </c>
      <c r="AC101" s="229" t="s">
        <v>2657</v>
      </c>
      <c r="AD101" s="228">
        <v>5.0374568753080302</v>
      </c>
      <c r="AE101">
        <f>IF('WetLitterbags placem_collection'!AB102="","",'WetLitterbags placem_collection'!AB102)</f>
        <v>1.6</v>
      </c>
      <c r="AF101">
        <f>IF('WetLitterbags placem_collection'!Z102="","",'WetLitterbags placem_collection'!Z102)</f>
        <v>15</v>
      </c>
      <c r="AG101" s="243" t="str">
        <f>IF('WetLitterbags placem_collection'!AA102="","",'WetLitterbags placem_collection'!AA102)</f>
        <v>G</v>
      </c>
      <c r="AH101">
        <f>IF('WetLitterbags placem_collection'!AC102="","",'WetLitterbags placem_collection'!AC102)</f>
        <v>1</v>
      </c>
      <c r="AI101" s="237">
        <f>AVERAGE('WetLitterbags placem_collection'!S102,'WetLitterbags placem_collection'!U102)</f>
        <v>16.5</v>
      </c>
      <c r="AJ101">
        <f>AVERAGE('WetLitterbags placem_collection'!R102,'WetLitterbags placem_collection'!T102)</f>
        <v>29.85</v>
      </c>
      <c r="AK101">
        <f>INDEX(Coordinates!$B$2:$B$197,MATCH(H101,Coordinates!$J$2:$J$197,0))</f>
        <v>-2.3691989950000001</v>
      </c>
      <c r="AL101">
        <f>INDEX(Coordinates!$C$2:$C$197,MATCH(H101,Coordinates!$J$2:$J$197,0))</f>
        <v>34.060208029999998</v>
      </c>
      <c r="AM101" t="str">
        <f>IF(ISNUMBER(SEARCH("C", 'WetLitterbags placem_collection'!$V102)),"YES","NO")</f>
        <v>YES</v>
      </c>
      <c r="AN101" t="str">
        <f>IF(ISNUMBER(SEARCH("H", 'WetLitterbags placem_collection'!$V102)),"YES","NO")</f>
        <v>NO</v>
      </c>
      <c r="AO101" t="str">
        <f>IF(ISNUMBER(SEARCH("R", 'WetLitterbags placem_collection'!$V102)),"YES","NO")</f>
        <v>NO</v>
      </c>
    </row>
    <row r="102" spans="1:41" ht="15" customHeight="1">
      <c r="A102" s="255" t="s">
        <v>2454</v>
      </c>
      <c r="B102" s="260">
        <f>'Dry_Litterbag Placem_Collection'!A103</f>
        <v>101</v>
      </c>
      <c r="C102" s="260" t="str">
        <f>'Dry_Litterbag Placem_Collection'!B103</f>
        <v xml:space="preserve">Mwantimba
</v>
      </c>
      <c r="D102" s="260" t="s">
        <v>2454</v>
      </c>
      <c r="E102" s="260" t="s">
        <v>2644</v>
      </c>
      <c r="F102" s="260">
        <v>1</v>
      </c>
      <c r="G102" s="260" t="s">
        <v>3815</v>
      </c>
      <c r="H102" s="261" t="str">
        <f>'Dry_Litterbag Placem_Collection'!C103</f>
        <v>Wet_Ag1_T5</v>
      </c>
      <c r="I102" s="262" t="s">
        <v>2525</v>
      </c>
      <c r="J102" s="263" t="s">
        <v>1147</v>
      </c>
      <c r="K102" s="221" t="str">
        <f>'WetLitterbags placem_collection'!K103</f>
        <v>G808</v>
      </c>
      <c r="L102" s="223">
        <f>IFERROR(INDEX('Green_rooibos initial weight'!$C$5:$C$2000,MATCH(K102, 'Green_rooibos initial weight'!$A$5:$A$2000,0)),"")</f>
        <v>1.86</v>
      </c>
      <c r="M102" s="223">
        <f>IFERROR(L102-(TBIcalc!$H$9+TBIcalc!$H$10),"")</f>
        <v>1.6102000000000001</v>
      </c>
      <c r="N102" s="385">
        <f>AVERAGE(Ashed_controlls!$K$2:$K$11)</f>
        <v>5.5147656768714146</v>
      </c>
      <c r="O102" s="223">
        <f t="shared" si="6"/>
        <v>1.5214012430710167</v>
      </c>
      <c r="P102" s="223">
        <f>IFERROR(INDEX('Both teabags AfterWet'!$C$3:$C$840,MATCH(K102,'Both teabags AfterWet'!$A$3:$A$840,0)),"")</f>
        <v>0.54810000000000003</v>
      </c>
      <c r="Q102" s="223">
        <f>IFERROR(IF(P102&gt;0,P102-(TBIcalc!$H$9),""),"")</f>
        <v>0.39750000000000002</v>
      </c>
      <c r="R102" s="223">
        <f>IFERROR(INDEX('Ashed teabags wet'!$K$2:$K$2000,MATCH(K102,'Ashed teabags wet'!$A$2:$A$2000,0)),"")</f>
        <v>16.81547619047533</v>
      </c>
      <c r="S102" s="223">
        <f t="shared" si="7"/>
        <v>0.33065848214286059</v>
      </c>
      <c r="T102" s="224">
        <f>'WetLitterbags placem_collection'!E103</f>
        <v>42762</v>
      </c>
      <c r="U102" s="224">
        <f>IF('WetLitterbags placem_collection'!G103="","",'WetLitterbags placem_collection'!G103)</f>
        <v>42816</v>
      </c>
      <c r="V102" s="225">
        <f t="shared" si="5"/>
        <v>54</v>
      </c>
      <c r="W102" s="223">
        <f t="shared" si="8"/>
        <v>1.2127000000000001</v>
      </c>
      <c r="X102" s="223">
        <f t="shared" si="9"/>
        <v>1.190742760928156</v>
      </c>
      <c r="Y102">
        <f>IFERROR(INDEX(Rainfall_Wet!$O$2:$O$217,MATCH(B102, Rainfall_Wet!$A$2:$A$217,0)),"")</f>
        <v>206.85140822299999</v>
      </c>
      <c r="Z102" s="228">
        <v>45.96</v>
      </c>
      <c r="AA102" s="228">
        <v>14.920000000000003</v>
      </c>
      <c r="AB102" s="228">
        <v>39.119999999999997</v>
      </c>
      <c r="AC102" s="229" t="s">
        <v>2657</v>
      </c>
      <c r="AD102" s="228">
        <v>6.0374568753080302</v>
      </c>
      <c r="AE102">
        <f>IF('WetLitterbags placem_collection'!AB103="","",'WetLitterbags placem_collection'!AB103)</f>
        <v>4.3499999999999996</v>
      </c>
      <c r="AF102">
        <f>IF('WetLitterbags placem_collection'!Z103="","",'WetLitterbags placem_collection'!Z103)</f>
        <v>17</v>
      </c>
      <c r="AG102" s="243" t="str">
        <f>IF('WetLitterbags placem_collection'!AA103="","",'WetLitterbags placem_collection'!AA103)</f>
        <v>G</v>
      </c>
      <c r="AH102">
        <f>IF('WetLitterbags placem_collection'!AC103="","",'WetLitterbags placem_collection'!AC103)</f>
        <v>1</v>
      </c>
      <c r="AI102" s="237">
        <f>AVERAGE('WetLitterbags placem_collection'!S103,'WetLitterbags placem_collection'!U103)</f>
        <v>22.549999999999997</v>
      </c>
      <c r="AJ102">
        <f>AVERAGE('WetLitterbags placem_collection'!R103,'WetLitterbags placem_collection'!T103)</f>
        <v>31.150000000000002</v>
      </c>
      <c r="AK102">
        <f>INDEX(Coordinates!$B$2:$B$197,MATCH(H102,Coordinates!$J$2:$J$197,0))</f>
        <v>-2.3691900260000001</v>
      </c>
      <c r="AL102">
        <f>INDEX(Coordinates!$C$2:$C$197,MATCH(H102,Coordinates!$J$2:$J$197,0))</f>
        <v>34.060177019999998</v>
      </c>
      <c r="AM102" t="str">
        <f>IF(ISNUMBER(SEARCH("C", 'WetLitterbags placem_collection'!$V103)),"YES","NO")</f>
        <v>NO</v>
      </c>
      <c r="AN102" t="str">
        <f>IF(ISNUMBER(SEARCH("H", 'WetLitterbags placem_collection'!$V103)),"YES","NO")</f>
        <v>YES</v>
      </c>
      <c r="AO102" t="str">
        <f>IF(ISNUMBER(SEARCH("R", 'WetLitterbags placem_collection'!$V103)),"YES","NO")</f>
        <v>NO</v>
      </c>
    </row>
    <row r="103" spans="1:41" ht="15" customHeight="1">
      <c r="A103" s="255" t="s">
        <v>2454</v>
      </c>
      <c r="B103" s="260">
        <f>'Dry_Litterbag Placem_Collection'!A104</f>
        <v>102</v>
      </c>
      <c r="C103" s="260" t="str">
        <f>'Dry_Litterbag Placem_Collection'!B104</f>
        <v xml:space="preserve">Mwantimba
</v>
      </c>
      <c r="D103" s="260" t="s">
        <v>2454</v>
      </c>
      <c r="E103" s="260" t="s">
        <v>2644</v>
      </c>
      <c r="F103" s="260">
        <v>1</v>
      </c>
      <c r="G103" s="260" t="s">
        <v>3815</v>
      </c>
      <c r="H103" s="261" t="str">
        <f>'Dry_Litterbag Placem_Collection'!C104</f>
        <v>Wet_Ag1_T6</v>
      </c>
      <c r="I103" s="262" t="s">
        <v>2525</v>
      </c>
      <c r="J103" s="263" t="s">
        <v>1147</v>
      </c>
      <c r="K103" s="221" t="str">
        <f>'WetLitterbags placem_collection'!K104</f>
        <v>G892</v>
      </c>
      <c r="L103" s="223">
        <f>IFERROR(INDEX('Green_rooibos initial weight'!$C$5:$C$2000,MATCH(K103, 'Green_rooibos initial weight'!$A$5:$A$2000,0)),"")</f>
        <v>1.9510000000000001</v>
      </c>
      <c r="M103" s="223">
        <f>IFERROR(L103-(TBIcalc!$H$9+TBIcalc!$H$10),"")</f>
        <v>1.7012</v>
      </c>
      <c r="N103" s="385">
        <f>AVERAGE(Ashed_controlls!$K$2:$K$11)</f>
        <v>5.5147656768714146</v>
      </c>
      <c r="O103" s="223">
        <f t="shared" si="6"/>
        <v>1.6073828063050635</v>
      </c>
      <c r="P103" s="223">
        <f>IFERROR(INDEX('Both teabags AfterWet'!$C$3:$C$840,MATCH(K103,'Both teabags AfterWet'!$A$3:$A$840,0)),"")</f>
        <v>0.63100000000000001</v>
      </c>
      <c r="Q103" s="223">
        <f>IFERROR(IF(P103&gt;0,P103-(TBIcalc!$H$9),""),"")</f>
        <v>0.48039999999999999</v>
      </c>
      <c r="R103" s="223">
        <f>IFERROR(INDEX('Ashed teabags wet'!$K$2:$K$2000,MATCH(K103,'Ashed teabags wet'!$A$2:$A$2000,0)),"")</f>
        <v>12.703905091448961</v>
      </c>
      <c r="S103" s="223">
        <f t="shared" si="7"/>
        <v>0.41937043994067918</v>
      </c>
      <c r="T103" s="224">
        <f>'WetLitterbags placem_collection'!E104</f>
        <v>42762</v>
      </c>
      <c r="U103" s="224">
        <f>IF('WetLitterbags placem_collection'!G104="","",'WetLitterbags placem_collection'!G104)</f>
        <v>42816</v>
      </c>
      <c r="V103" s="225">
        <f t="shared" si="5"/>
        <v>54</v>
      </c>
      <c r="W103" s="223">
        <f t="shared" si="8"/>
        <v>1.2208000000000001</v>
      </c>
      <c r="X103" s="223">
        <f t="shared" si="9"/>
        <v>1.1880123663643842</v>
      </c>
      <c r="Y103">
        <f>IFERROR(INDEX(Rainfall_Wet!$O$2:$O$217,MATCH(B103, Rainfall_Wet!$A$2:$A$217,0)),"")</f>
        <v>206.85140822299999</v>
      </c>
      <c r="Z103" s="228">
        <v>45.96</v>
      </c>
      <c r="AA103" s="228">
        <v>14.920000000000003</v>
      </c>
      <c r="AB103" s="228">
        <v>39.119999999999997</v>
      </c>
      <c r="AC103" s="229" t="s">
        <v>2657</v>
      </c>
      <c r="AD103" s="228">
        <v>7.0374568753080302</v>
      </c>
      <c r="AE103">
        <f>IF('WetLitterbags placem_collection'!AB104="","",'WetLitterbags placem_collection'!AB104)</f>
        <v>7.7</v>
      </c>
      <c r="AF103">
        <f>IF('WetLitterbags placem_collection'!Z104="","",'WetLitterbags placem_collection'!Z104)</f>
        <v>21</v>
      </c>
      <c r="AG103" s="243" t="str">
        <f>IF('WetLitterbags placem_collection'!AA104="","",'WetLitterbags placem_collection'!AA104)</f>
        <v>G</v>
      </c>
      <c r="AH103">
        <f>IF('WetLitterbags placem_collection'!AC104="","",'WetLitterbags placem_collection'!AC104)</f>
        <v>1</v>
      </c>
      <c r="AI103" s="237">
        <f>AVERAGE('WetLitterbags placem_collection'!S104,'WetLitterbags placem_collection'!U104)</f>
        <v>21.099999999999998</v>
      </c>
      <c r="AJ103">
        <f>AVERAGE('WetLitterbags placem_collection'!R104,'WetLitterbags placem_collection'!T104)</f>
        <v>31.8</v>
      </c>
      <c r="AK103">
        <f>INDEX(Coordinates!$B$2:$B$197,MATCH(H103,Coordinates!$J$2:$J$197,0))</f>
        <v>-2.3691350409999998</v>
      </c>
      <c r="AL103">
        <f>INDEX(Coordinates!$C$2:$C$197,MATCH(H103,Coordinates!$J$2:$J$197,0))</f>
        <v>34.06018297</v>
      </c>
      <c r="AM103" t="str">
        <f>IF(ISNUMBER(SEARCH("C", 'WetLitterbags placem_collection'!$V104)),"YES","NO")</f>
        <v>NO</v>
      </c>
      <c r="AN103" t="str">
        <f>IF(ISNUMBER(SEARCH("H", 'WetLitterbags placem_collection'!$V104)),"YES","NO")</f>
        <v>NO</v>
      </c>
      <c r="AO103" t="str">
        <f>IF(ISNUMBER(SEARCH("R", 'WetLitterbags placem_collection'!$V104)),"YES","NO")</f>
        <v>NO</v>
      </c>
    </row>
    <row r="104" spans="1:41" ht="15" customHeight="1">
      <c r="A104" s="255" t="s">
        <v>2454</v>
      </c>
      <c r="B104" s="260">
        <f>'Dry_Litterbag Placem_Collection'!A105</f>
        <v>103</v>
      </c>
      <c r="C104" s="260" t="str">
        <f>'Dry_Litterbag Placem_Collection'!B105</f>
        <v xml:space="preserve">Mwantimba
</v>
      </c>
      <c r="D104" s="260" t="s">
        <v>2454</v>
      </c>
      <c r="E104" s="260" t="s">
        <v>2644</v>
      </c>
      <c r="F104" s="260">
        <v>1</v>
      </c>
      <c r="G104" s="260" t="s">
        <v>3815</v>
      </c>
      <c r="H104" s="261" t="str">
        <f>'Dry_Litterbag Placem_Collection'!C105</f>
        <v>Wet_Ag1_T7</v>
      </c>
      <c r="I104" s="262" t="s">
        <v>2525</v>
      </c>
      <c r="J104" s="263" t="s">
        <v>1147</v>
      </c>
      <c r="K104" s="221" t="str">
        <f>'WetLitterbags placem_collection'!K105</f>
        <v>G869</v>
      </c>
      <c r="L104" s="223">
        <f>IFERROR(INDEX('Green_rooibos initial weight'!$C$5:$C$2000,MATCH(K104, 'Green_rooibos initial weight'!$A$5:$A$2000,0)),"")</f>
        <v>2.0489999999999999</v>
      </c>
      <c r="M104" s="223">
        <f>IFERROR(L104-(TBIcalc!$H$9+TBIcalc!$H$10),"")</f>
        <v>1.7991999999999999</v>
      </c>
      <c r="N104" s="385">
        <f>AVERAGE(Ashed_controlls!$K$2:$K$11)</f>
        <v>5.5147656768714146</v>
      </c>
      <c r="O104" s="223">
        <f t="shared" si="6"/>
        <v>1.6999783359417293</v>
      </c>
      <c r="P104" s="223">
        <f>IFERROR(INDEX('Both teabags AfterWet'!$C$3:$C$840,MATCH(K104,'Both teabags AfterWet'!$A$3:$A$840,0)),"")</f>
        <v>0.55800000000000005</v>
      </c>
      <c r="Q104" s="223">
        <f>IFERROR(IF(P104&gt;0,P104-(TBIcalc!$H$9),""),"")</f>
        <v>0.40740000000000004</v>
      </c>
      <c r="R104" s="223">
        <f>IFERROR(INDEX('Ashed teabags wet'!$K$2:$K$2000,MATCH(K104,'Ashed teabags wet'!$A$2:$A$2000,0)),"")</f>
        <v>13.925925925925654</v>
      </c>
      <c r="S104" s="223">
        <f t="shared" si="7"/>
        <v>0.35066577777777891</v>
      </c>
      <c r="T104" s="224">
        <f>'WetLitterbags placem_collection'!E105</f>
        <v>42762</v>
      </c>
      <c r="U104" s="224">
        <f>IF('WetLitterbags placem_collection'!G105="","",'WetLitterbags placem_collection'!G105)</f>
        <v>42816</v>
      </c>
      <c r="V104" s="225">
        <f t="shared" si="5"/>
        <v>54</v>
      </c>
      <c r="W104" s="223">
        <f t="shared" si="8"/>
        <v>1.3917999999999999</v>
      </c>
      <c r="X104" s="223">
        <f t="shared" si="9"/>
        <v>1.3493125581639505</v>
      </c>
      <c r="Y104">
        <f>IFERROR(INDEX(Rainfall_Wet!$O$2:$O$217,MATCH(B104, Rainfall_Wet!$A$2:$A$217,0)),"")</f>
        <v>206.85140822299999</v>
      </c>
      <c r="Z104" s="228">
        <v>45.96</v>
      </c>
      <c r="AA104" s="228">
        <v>14.920000000000003</v>
      </c>
      <c r="AB104" s="228">
        <v>39.119999999999997</v>
      </c>
      <c r="AC104" s="229" t="s">
        <v>2657</v>
      </c>
      <c r="AD104" s="228">
        <v>8.0374568753080293</v>
      </c>
      <c r="AE104">
        <f>IF('WetLitterbags placem_collection'!AB105="","",'WetLitterbags placem_collection'!AB105)</f>
        <v>3.25</v>
      </c>
      <c r="AF104">
        <f>IF('WetLitterbags placem_collection'!Z105="","",'WetLitterbags placem_collection'!Z105)</f>
        <v>16</v>
      </c>
      <c r="AG104" s="243" t="str">
        <f>IF('WetLitterbags placem_collection'!AA105="","",'WetLitterbags placem_collection'!AA105)</f>
        <v>G</v>
      </c>
      <c r="AH104">
        <f>IF('WetLitterbags placem_collection'!AC105="","",'WetLitterbags placem_collection'!AC105)</f>
        <v>1</v>
      </c>
      <c r="AI104" s="237">
        <f>AVERAGE('WetLitterbags placem_collection'!S105,'WetLitterbags placem_collection'!U105)</f>
        <v>20.450000000000003</v>
      </c>
      <c r="AJ104">
        <f>AVERAGE('WetLitterbags placem_collection'!R105,'WetLitterbags placem_collection'!T105)</f>
        <v>30.25</v>
      </c>
      <c r="AK104">
        <f>INDEX(Coordinates!$B$2:$B$197,MATCH(H104,Coordinates!$J$2:$J$197,0))</f>
        <v>-2.3691330289999999</v>
      </c>
      <c r="AL104">
        <f>INDEX(Coordinates!$C$2:$C$197,MATCH(H104,Coordinates!$J$2:$J$197,0))</f>
        <v>34.060233009999997</v>
      </c>
      <c r="AM104" t="str">
        <f>IF(ISNUMBER(SEARCH("C", 'WetLitterbags placem_collection'!$V105)),"YES","NO")</f>
        <v>NO</v>
      </c>
      <c r="AN104" t="str">
        <f>IF(ISNUMBER(SEARCH("H", 'WetLitterbags placem_collection'!$V105)),"YES","NO")</f>
        <v>NO</v>
      </c>
      <c r="AO104" t="str">
        <f>IF(ISNUMBER(SEARCH("R", 'WetLitterbags placem_collection'!$V105)),"YES","NO")</f>
        <v>NO</v>
      </c>
    </row>
    <row r="105" spans="1:41" ht="15" customHeight="1">
      <c r="A105" s="255" t="s">
        <v>2454</v>
      </c>
      <c r="B105" s="260">
        <f>'Dry_Litterbag Placem_Collection'!A106</f>
        <v>104</v>
      </c>
      <c r="C105" s="260" t="str">
        <f>'Dry_Litterbag Placem_Collection'!B106</f>
        <v xml:space="preserve">Mwantimba
</v>
      </c>
      <c r="D105" s="260" t="s">
        <v>2454</v>
      </c>
      <c r="E105" s="260" t="s">
        <v>2644</v>
      </c>
      <c r="F105" s="260">
        <v>1</v>
      </c>
      <c r="G105" s="260" t="s">
        <v>3815</v>
      </c>
      <c r="H105" s="261" t="str">
        <f>'Dry_Litterbag Placem_Collection'!C106</f>
        <v>Wet_Ag1_T8</v>
      </c>
      <c r="I105" s="262" t="s">
        <v>2525</v>
      </c>
      <c r="J105" s="263" t="s">
        <v>1147</v>
      </c>
      <c r="K105" s="221" t="str">
        <f>'WetLitterbags placem_collection'!K106</f>
        <v>G881</v>
      </c>
      <c r="L105" s="223">
        <f>IFERROR(INDEX('Green_rooibos initial weight'!$C$5:$C$2000,MATCH(K105, 'Green_rooibos initial weight'!$A$5:$A$2000,0)),"")</f>
        <v>1.9570000000000001</v>
      </c>
      <c r="M105" s="223">
        <f>IFERROR(L105-(TBIcalc!$H$9+TBIcalc!$H$10),"")</f>
        <v>1.7072000000000001</v>
      </c>
      <c r="N105" s="385">
        <f>AVERAGE(Ashed_controlls!$K$2:$K$11)</f>
        <v>5.5147656768714146</v>
      </c>
      <c r="O105" s="223">
        <f t="shared" si="6"/>
        <v>1.6130519203644513</v>
      </c>
      <c r="P105" s="223">
        <f>IFERROR(INDEX('Both teabags AfterWet'!$C$3:$C$840,MATCH(K105,'Both teabags AfterWet'!$A$3:$A$840,0)),"")</f>
        <v>0.61</v>
      </c>
      <c r="Q105" s="223">
        <f>IFERROR(IF(P105&gt;0,P105-(TBIcalc!$H$9),""),"")</f>
        <v>0.45939999999999998</v>
      </c>
      <c r="R105" s="223">
        <f>IFERROR(INDEX('Ashed teabags wet'!$K$2:$K$2000,MATCH(K105,'Ashed teabags wet'!$A$2:$A$2000,0)),"")</f>
        <v>13.465250965250315</v>
      </c>
      <c r="S105" s="223">
        <f t="shared" si="7"/>
        <v>0.39754063706564002</v>
      </c>
      <c r="T105" s="224">
        <f>'WetLitterbags placem_collection'!E106</f>
        <v>42762</v>
      </c>
      <c r="U105" s="224">
        <f>IF('WetLitterbags placem_collection'!G106="","",'WetLitterbags placem_collection'!G106)</f>
        <v>42816</v>
      </c>
      <c r="V105" s="225">
        <f t="shared" si="5"/>
        <v>54</v>
      </c>
      <c r="W105" s="223">
        <f t="shared" si="8"/>
        <v>1.2478</v>
      </c>
      <c r="X105" s="223">
        <f t="shared" si="9"/>
        <v>1.2155112832988113</v>
      </c>
      <c r="Y105">
        <f>IFERROR(INDEX(Rainfall_Wet!$O$2:$O$217,MATCH(B105, Rainfall_Wet!$A$2:$A$217,0)),"")</f>
        <v>206.85140822299999</v>
      </c>
      <c r="Z105" s="228">
        <v>45.96</v>
      </c>
      <c r="AA105" s="228">
        <v>14.920000000000003</v>
      </c>
      <c r="AB105" s="228">
        <v>39.119999999999997</v>
      </c>
      <c r="AC105" s="229" t="s">
        <v>2657</v>
      </c>
      <c r="AD105" s="228">
        <v>9.0374568753080293</v>
      </c>
      <c r="AE105">
        <f>IF('WetLitterbags placem_collection'!AB106="","",'WetLitterbags placem_collection'!AB106)</f>
        <v>10.5</v>
      </c>
      <c r="AF105">
        <f>IF('WetLitterbags placem_collection'!Z106="","",'WetLitterbags placem_collection'!Z106)</f>
        <v>17</v>
      </c>
      <c r="AG105" s="243" t="str">
        <f>IF('WetLitterbags placem_collection'!AA106="","",'WetLitterbags placem_collection'!AA106)</f>
        <v>G</v>
      </c>
      <c r="AH105">
        <f>IF('WetLitterbags placem_collection'!AC106="","",'WetLitterbags placem_collection'!AC106)</f>
        <v>1</v>
      </c>
      <c r="AI105" s="237">
        <f>AVERAGE('WetLitterbags placem_collection'!S106,'WetLitterbags placem_collection'!U106)</f>
        <v>21.6</v>
      </c>
      <c r="AJ105">
        <f>AVERAGE('WetLitterbags placem_collection'!R106,'WetLitterbags placem_collection'!T106)</f>
        <v>29.3</v>
      </c>
      <c r="AK105">
        <f>INDEX(Coordinates!$B$2:$B$197,MATCH(H105,Coordinates!$J$2:$J$197,0))</f>
        <v>-2.3692910280000001</v>
      </c>
      <c r="AL105">
        <f>INDEX(Coordinates!$C$2:$C$197,MATCH(H105,Coordinates!$J$2:$J$197,0))</f>
        <v>34.06016202</v>
      </c>
      <c r="AM105" t="str">
        <f>IF(ISNUMBER(SEARCH("C", 'WetLitterbags placem_collection'!$V106)),"YES","NO")</f>
        <v>NO</v>
      </c>
      <c r="AN105" t="str">
        <f>IF(ISNUMBER(SEARCH("H", 'WetLitterbags placem_collection'!$V106)),"YES","NO")</f>
        <v>NO</v>
      </c>
      <c r="AO105" t="str">
        <f>IF(ISNUMBER(SEARCH("R", 'WetLitterbags placem_collection'!$V106)),"YES","NO")</f>
        <v>NO</v>
      </c>
    </row>
    <row r="106" spans="1:41" ht="15" customHeight="1">
      <c r="A106" s="255" t="s">
        <v>2454</v>
      </c>
      <c r="B106" s="260">
        <f>'Dry_Litterbag Placem_Collection'!A107</f>
        <v>105</v>
      </c>
      <c r="C106" s="260" t="str">
        <f>'Dry_Litterbag Placem_Collection'!B107</f>
        <v xml:space="preserve">Mwantimba
</v>
      </c>
      <c r="D106" s="260" t="s">
        <v>2454</v>
      </c>
      <c r="E106" s="260" t="s">
        <v>2644</v>
      </c>
      <c r="F106" s="260">
        <v>2</v>
      </c>
      <c r="G106" s="260" t="s">
        <v>3817</v>
      </c>
      <c r="H106" s="261" t="str">
        <f>'Dry_Litterbag Placem_Collection'!C107</f>
        <v>Wet_Ag2_T1</v>
      </c>
      <c r="I106" s="262" t="s">
        <v>2525</v>
      </c>
      <c r="J106" s="263" t="s">
        <v>1147</v>
      </c>
      <c r="K106" s="221" t="str">
        <f>'WetLitterbags placem_collection'!K107</f>
        <v>G729</v>
      </c>
      <c r="L106" s="223">
        <f>IFERROR(INDEX('Green_rooibos initial weight'!$C$5:$C$2000,MATCH(K106, 'Green_rooibos initial weight'!$A$5:$A$2000,0)),"")</f>
        <v>1.984</v>
      </c>
      <c r="M106" s="223">
        <f>IFERROR(L106-(TBIcalc!$H$9+TBIcalc!$H$10),"")</f>
        <v>1.7342</v>
      </c>
      <c r="N106" s="385">
        <f>AVERAGE(Ashed_controlls!$K$2:$K$11)</f>
        <v>5.5147656768714146</v>
      </c>
      <c r="O106" s="223">
        <f t="shared" si="6"/>
        <v>1.6385629336316958</v>
      </c>
      <c r="P106" s="223">
        <f>IFERROR(INDEX('Both teabags AfterWet'!$C$3:$C$840,MATCH(K106,'Both teabags AfterWet'!$A$3:$A$840,0)),"")</f>
        <v>0.72399999999999998</v>
      </c>
      <c r="Q106" s="223">
        <f>IFERROR(IF(P106&gt;0,P106-(TBIcalc!$H$9),""),"")</f>
        <v>0.57339999999999991</v>
      </c>
      <c r="R106" s="223">
        <f>IFERROR(INDEX('Ashed teabags wet'!$K$2:$K$2000,MATCH(K106,'Ashed teabags wet'!$A$2:$A$2000,0)),"")</f>
        <v>19.719771665802661</v>
      </c>
      <c r="S106" s="223">
        <f t="shared" si="7"/>
        <v>0.4603268292682875</v>
      </c>
      <c r="T106" s="224">
        <f>'WetLitterbags placem_collection'!E107</f>
        <v>42762</v>
      </c>
      <c r="U106" s="224">
        <f>IF('WetLitterbags placem_collection'!G107="","",'WetLitterbags placem_collection'!G107)</f>
        <v>42816</v>
      </c>
      <c r="V106" s="225">
        <f t="shared" si="5"/>
        <v>54</v>
      </c>
      <c r="W106" s="223">
        <f t="shared" si="8"/>
        <v>1.1608000000000001</v>
      </c>
      <c r="X106" s="223">
        <f t="shared" si="9"/>
        <v>1.1782361043634082</v>
      </c>
      <c r="Y106">
        <f>IFERROR(INDEX(Rainfall_Wet!$O$2:$O$217,MATCH(B106, Rainfall_Wet!$A$2:$A$217,0)),"")</f>
        <v>206.85140822299999</v>
      </c>
      <c r="Z106" s="228">
        <v>34.344660194174757</v>
      </c>
      <c r="AA106" s="228">
        <v>19.22727272727273</v>
      </c>
      <c r="AB106" s="228">
        <v>46.428067078552509</v>
      </c>
      <c r="AC106" s="229" t="s">
        <v>2654</v>
      </c>
      <c r="AD106" s="228">
        <v>1.7452932479053718</v>
      </c>
      <c r="AE106">
        <f>IF('WetLitterbags placem_collection'!AB107="","",'WetLitterbags placem_collection'!AB107)</f>
        <v>5.5</v>
      </c>
      <c r="AF106">
        <f>IF('WetLitterbags placem_collection'!Z107="","",'WetLitterbags placem_collection'!Z107)</f>
        <v>23.5</v>
      </c>
      <c r="AG106" s="243" t="str">
        <f>IF('WetLitterbags placem_collection'!AA107="","",'WetLitterbags placem_collection'!AA107)</f>
        <v>M</v>
      </c>
      <c r="AH106">
        <f>IF('WetLitterbags placem_collection'!AC107="","",'WetLitterbags placem_collection'!AC107)</f>
        <v>0</v>
      </c>
      <c r="AI106" s="237">
        <f>AVERAGE('WetLitterbags placem_collection'!S107,'WetLitterbags placem_collection'!U107)</f>
        <v>11.350000000000001</v>
      </c>
      <c r="AJ106">
        <f>AVERAGE('WetLitterbags placem_collection'!R107,'WetLitterbags placem_collection'!T107)</f>
        <v>32.150000000000006</v>
      </c>
      <c r="AK106">
        <f>INDEX(Coordinates!$B$2:$B$197,MATCH(H106,Coordinates!$J$2:$J$197,0))</f>
        <v>-2.3698080240000001</v>
      </c>
      <c r="AL106">
        <f>INDEX(Coordinates!$C$2:$C$197,MATCH(H106,Coordinates!$J$2:$J$197,0))</f>
        <v>34.059671010000002</v>
      </c>
      <c r="AM106" t="str">
        <f>IF(ISNUMBER(SEARCH("C", 'WetLitterbags placem_collection'!$V107)),"YES","NO")</f>
        <v>NO</v>
      </c>
      <c r="AN106" t="str">
        <f>IF(ISNUMBER(SEARCH("H", 'WetLitterbags placem_collection'!$V107)),"YES","NO")</f>
        <v>NO</v>
      </c>
      <c r="AO106" t="str">
        <f>IF(ISNUMBER(SEARCH("R", 'WetLitterbags placem_collection'!$V107)),"YES","NO")</f>
        <v>NO</v>
      </c>
    </row>
    <row r="107" spans="1:41" ht="15" customHeight="1">
      <c r="A107" s="255" t="s">
        <v>2454</v>
      </c>
      <c r="B107" s="260">
        <f>'Dry_Litterbag Placem_Collection'!A108</f>
        <v>106</v>
      </c>
      <c r="C107" s="260" t="str">
        <f>'Dry_Litterbag Placem_Collection'!B108</f>
        <v xml:space="preserve">Mwantimba
</v>
      </c>
      <c r="D107" s="260" t="s">
        <v>2454</v>
      </c>
      <c r="E107" s="260" t="s">
        <v>2644</v>
      </c>
      <c r="F107" s="260">
        <v>2</v>
      </c>
      <c r="G107" s="260" t="s">
        <v>3817</v>
      </c>
      <c r="H107" s="261" t="str">
        <f>'Dry_Litterbag Placem_Collection'!C108</f>
        <v>Wet_Ag2_T2</v>
      </c>
      <c r="I107" s="262" t="s">
        <v>2525</v>
      </c>
      <c r="J107" s="263" t="s">
        <v>1147</v>
      </c>
      <c r="K107" s="221" t="str">
        <f>'WetLitterbags placem_collection'!K108</f>
        <v>G837</v>
      </c>
      <c r="L107" s="223">
        <f>IFERROR(INDEX('Green_rooibos initial weight'!$C$5:$C$2000,MATCH(K107, 'Green_rooibos initial weight'!$A$5:$A$2000,0)),"")</f>
        <v>1.1910000000000001</v>
      </c>
      <c r="M107" s="223">
        <f>IFERROR(L107-(TBIcalc!$H$9+TBIcalc!$H$10),"")</f>
        <v>0.94120000000000004</v>
      </c>
      <c r="N107" s="385">
        <f>AVERAGE(Ashed_controlls!$K$2:$K$11)</f>
        <v>5.5147656768714146</v>
      </c>
      <c r="O107" s="223">
        <f t="shared" si="6"/>
        <v>0.88929502544928629</v>
      </c>
      <c r="P107" s="223">
        <f>IFERROR(INDEX('Both teabags AfterWet'!$C$3:$C$840,MATCH(K107,'Both teabags AfterWet'!$A$3:$A$840,0)),"")</f>
        <v>0.62</v>
      </c>
      <c r="Q107" s="223">
        <f>IFERROR(IF(P107&gt;0,P107-(TBIcalc!$H$9),""),"")</f>
        <v>0.46939999999999998</v>
      </c>
      <c r="R107" s="223">
        <f>IFERROR(INDEX('Ashed teabags wet'!$K$2:$K$2000,MATCH(K107,'Ashed teabags wet'!$A$2:$A$2000,0)),"")</f>
        <v>13.95235780262451</v>
      </c>
      <c r="S107" s="223">
        <f t="shared" si="7"/>
        <v>0.40390763247448053</v>
      </c>
      <c r="T107" s="224">
        <f>'WetLitterbags placem_collection'!E108</f>
        <v>42762</v>
      </c>
      <c r="U107" s="224">
        <f>IF('WetLitterbags placem_collection'!G108="","",'WetLitterbags placem_collection'!G108)</f>
        <v>42816</v>
      </c>
      <c r="V107" s="225">
        <f t="shared" si="5"/>
        <v>54</v>
      </c>
      <c r="W107" s="223">
        <f t="shared" si="8"/>
        <v>0.47180000000000005</v>
      </c>
      <c r="X107" s="223">
        <f t="shared" si="9"/>
        <v>0.48538739297480576</v>
      </c>
      <c r="Y107">
        <f>IFERROR(INDEX(Rainfall_Wet!$O$2:$O$217,MATCH(B107, Rainfall_Wet!$A$2:$A$217,0)),"")</f>
        <v>206.85140822299999</v>
      </c>
      <c r="Z107" s="228">
        <v>34.344660194174757</v>
      </c>
      <c r="AA107" s="228">
        <v>19.22727272727273</v>
      </c>
      <c r="AB107" s="228">
        <v>46.428067078552509</v>
      </c>
      <c r="AC107" s="229" t="s">
        <v>2654</v>
      </c>
      <c r="AD107" s="228">
        <v>2.7452932479053702</v>
      </c>
      <c r="AE107">
        <f>IF('WetLitterbags placem_collection'!AB108="","",'WetLitterbags placem_collection'!AB108)</f>
        <v>8.6</v>
      </c>
      <c r="AF107">
        <f>IF('WetLitterbags placem_collection'!Z108="","",'WetLitterbags placem_collection'!Z108)</f>
        <v>17</v>
      </c>
      <c r="AG107" s="243" t="str">
        <f>IF('WetLitterbags placem_collection'!AA108="","",'WetLitterbags placem_collection'!AA108)</f>
        <v>M</v>
      </c>
      <c r="AH107">
        <f>IF('WetLitterbags placem_collection'!AC108="","",'WetLitterbags placem_collection'!AC108)</f>
        <v>0</v>
      </c>
      <c r="AI107" s="237">
        <f>AVERAGE('WetLitterbags placem_collection'!S108,'WetLitterbags placem_collection'!U108)</f>
        <v>12.4</v>
      </c>
      <c r="AJ107">
        <f>AVERAGE('WetLitterbags placem_collection'!R108,'WetLitterbags placem_collection'!T108)</f>
        <v>32.950000000000003</v>
      </c>
      <c r="AK107">
        <f>INDEX(Coordinates!$B$2:$B$197,MATCH(H107,Coordinates!$J$2:$J$197,0))</f>
        <v>-2.3697620069999998</v>
      </c>
      <c r="AL107">
        <f>INDEX(Coordinates!$C$2:$C$197,MATCH(H107,Coordinates!$J$2:$J$197,0))</f>
        <v>34.059730010000003</v>
      </c>
      <c r="AM107" t="str">
        <f>IF(ISNUMBER(SEARCH("C", 'WetLitterbags placem_collection'!$V108)),"YES","NO")</f>
        <v>NO</v>
      </c>
      <c r="AN107" t="str">
        <f>IF(ISNUMBER(SEARCH("H", 'WetLitterbags placem_collection'!$V108)),"YES","NO")</f>
        <v>NO</v>
      </c>
      <c r="AO107" t="str">
        <f>IF(ISNUMBER(SEARCH("R", 'WetLitterbags placem_collection'!$V108)),"YES","NO")</f>
        <v>YES</v>
      </c>
    </row>
    <row r="108" spans="1:41" ht="15" customHeight="1">
      <c r="A108" s="255" t="s">
        <v>2454</v>
      </c>
      <c r="B108" s="260">
        <f>'Dry_Litterbag Placem_Collection'!A109</f>
        <v>107</v>
      </c>
      <c r="C108" s="260" t="str">
        <f>'Dry_Litterbag Placem_Collection'!B109</f>
        <v xml:space="preserve">Mwantimba
</v>
      </c>
      <c r="D108" s="260" t="s">
        <v>2454</v>
      </c>
      <c r="E108" s="260" t="s">
        <v>2644</v>
      </c>
      <c r="F108" s="260">
        <v>2</v>
      </c>
      <c r="G108" s="260" t="s">
        <v>3817</v>
      </c>
      <c r="H108" s="261" t="str">
        <f>'Dry_Litterbag Placem_Collection'!C109</f>
        <v>Wet_Ag2_T3</v>
      </c>
      <c r="I108" s="262" t="s">
        <v>2525</v>
      </c>
      <c r="J108" s="263" t="s">
        <v>1147</v>
      </c>
      <c r="K108" s="221" t="str">
        <f>'WetLitterbags placem_collection'!K109</f>
        <v>G688</v>
      </c>
      <c r="L108" s="223">
        <f>IFERROR(INDEX('Green_rooibos initial weight'!$C$5:$C$2000,MATCH(K108, 'Green_rooibos initial weight'!$A$5:$A$2000,0)),"")</f>
        <v>2.125</v>
      </c>
      <c r="M108" s="223">
        <f>IFERROR(L108-(TBIcalc!$H$9+TBIcalc!$H$10),"")</f>
        <v>1.8752</v>
      </c>
      <c r="N108" s="385">
        <f>AVERAGE(Ashed_controlls!$K$2:$K$11)</f>
        <v>5.5147656768714146</v>
      </c>
      <c r="O108" s="223">
        <f t="shared" si="6"/>
        <v>1.7717871140273072</v>
      </c>
      <c r="P108" s="223">
        <f>IFERROR(INDEX('Both teabags AfterWet'!$C$3:$C$840,MATCH(K108,'Both teabags AfterWet'!$A$3:$A$840,0)),"")</f>
        <v>0.60899999999999999</v>
      </c>
      <c r="Q108" s="223">
        <f>IFERROR(IF(P108&gt;0,P108-(TBIcalc!$H$9),""),"")</f>
        <v>0.45839999999999997</v>
      </c>
      <c r="R108" s="223">
        <f>IFERROR(INDEX('Ashed teabags wet'!$K$2:$K$2000,MATCH(K108,'Ashed teabags wet'!$A$2:$A$2000,0)),"")</f>
        <v>14.504950495050023</v>
      </c>
      <c r="S108" s="223">
        <f t="shared" si="7"/>
        <v>0.3919093069306907</v>
      </c>
      <c r="T108" s="224">
        <f>'WetLitterbags placem_collection'!E109</f>
        <v>42762</v>
      </c>
      <c r="U108" s="224">
        <f>IF('WetLitterbags placem_collection'!G109="","",'WetLitterbags placem_collection'!G109)</f>
        <v>42816</v>
      </c>
      <c r="V108" s="225">
        <f t="shared" si="5"/>
        <v>54</v>
      </c>
      <c r="W108" s="223">
        <f t="shared" si="8"/>
        <v>1.4168000000000001</v>
      </c>
      <c r="X108" s="223">
        <f t="shared" si="9"/>
        <v>1.3798778070966164</v>
      </c>
      <c r="Y108">
        <f>IFERROR(INDEX(Rainfall_Wet!$O$2:$O$217,MATCH(B108, Rainfall_Wet!$A$2:$A$217,0)),"")</f>
        <v>206.85140822299999</v>
      </c>
      <c r="Z108" s="228">
        <v>34.344660194174757</v>
      </c>
      <c r="AA108" s="228">
        <v>19.22727272727273</v>
      </c>
      <c r="AB108" s="228">
        <v>46.428067078552509</v>
      </c>
      <c r="AC108" s="229" t="s">
        <v>2654</v>
      </c>
      <c r="AD108" s="228">
        <v>3.7452932479053702</v>
      </c>
      <c r="AE108">
        <f>IF('WetLitterbags placem_collection'!AB109="","",'WetLitterbags placem_collection'!AB109)</f>
        <v>3.85</v>
      </c>
      <c r="AF108">
        <f>IF('WetLitterbags placem_collection'!Z109="","",'WetLitterbags placem_collection'!Z109)</f>
        <v>15.5</v>
      </c>
      <c r="AG108" s="243" t="str">
        <f>IF('WetLitterbags placem_collection'!AA109="","",'WetLitterbags placem_collection'!AA109)</f>
        <v>M</v>
      </c>
      <c r="AH108">
        <f>IF('WetLitterbags placem_collection'!AC109="","",'WetLitterbags placem_collection'!AC109)</f>
        <v>0</v>
      </c>
      <c r="AI108" s="237">
        <f>AVERAGE('WetLitterbags placem_collection'!S109,'WetLitterbags placem_collection'!U109)</f>
        <v>11.299999999999999</v>
      </c>
      <c r="AJ108">
        <f>AVERAGE('WetLitterbags placem_collection'!R109,'WetLitterbags placem_collection'!T109)</f>
        <v>32.450000000000003</v>
      </c>
      <c r="AK108">
        <f>INDEX(Coordinates!$B$2:$B$197,MATCH(H108,Coordinates!$J$2:$J$197,0))</f>
        <v>-2.3698409649999999</v>
      </c>
      <c r="AL108">
        <f>INDEX(Coordinates!$C$2:$C$197,MATCH(H108,Coordinates!$J$2:$J$197,0))</f>
        <v>34.059814000000003</v>
      </c>
      <c r="AM108" t="str">
        <f>IF(ISNUMBER(SEARCH("C", 'WetLitterbags placem_collection'!$V109)),"YES","NO")</f>
        <v>NO</v>
      </c>
      <c r="AN108" t="str">
        <f>IF(ISNUMBER(SEARCH("H", 'WetLitterbags placem_collection'!$V109)),"YES","NO")</f>
        <v>NO</v>
      </c>
      <c r="AO108" t="str">
        <f>IF(ISNUMBER(SEARCH("R", 'WetLitterbags placem_collection'!$V109)),"YES","NO")</f>
        <v>YES</v>
      </c>
    </row>
    <row r="109" spans="1:41" ht="15" customHeight="1">
      <c r="A109" s="255" t="s">
        <v>2454</v>
      </c>
      <c r="B109" s="260">
        <f>'Dry_Litterbag Placem_Collection'!A110</f>
        <v>108</v>
      </c>
      <c r="C109" s="260" t="str">
        <f>'Dry_Litterbag Placem_Collection'!B110</f>
        <v xml:space="preserve">Mwantimba
</v>
      </c>
      <c r="D109" s="260" t="s">
        <v>2454</v>
      </c>
      <c r="E109" s="260" t="s">
        <v>2644</v>
      </c>
      <c r="F109" s="260">
        <v>2</v>
      </c>
      <c r="G109" s="260" t="s">
        <v>3817</v>
      </c>
      <c r="H109" s="261" t="str">
        <f>'Dry_Litterbag Placem_Collection'!C110</f>
        <v>Wet_Ag2_T4</v>
      </c>
      <c r="I109" s="262" t="s">
        <v>2525</v>
      </c>
      <c r="J109" s="263" t="s">
        <v>1147</v>
      </c>
      <c r="K109" s="221" t="str">
        <f>'WetLitterbags placem_collection'!K110</f>
        <v>G883</v>
      </c>
      <c r="L109" s="223">
        <f>IFERROR(INDEX('Green_rooibos initial weight'!$C$5:$C$2000,MATCH(K109, 'Green_rooibos initial weight'!$A$5:$A$2000,0)),"")</f>
        <v>2.073</v>
      </c>
      <c r="M109" s="223">
        <f>IFERROR(L109-(TBIcalc!$H$9+TBIcalc!$H$10),"")</f>
        <v>1.8231999999999999</v>
      </c>
      <c r="N109" s="385">
        <f>AVERAGE(Ashed_controlls!$K$2:$K$11)</f>
        <v>5.5147656768714146</v>
      </c>
      <c r="O109" s="223">
        <f t="shared" si="6"/>
        <v>1.7226547921792803</v>
      </c>
      <c r="P109" s="223">
        <f>IFERROR(INDEX('Both teabags AfterWet'!$C$3:$C$840,MATCH(K109,'Both teabags AfterWet'!$A$3:$A$840,0)),"")</f>
        <v>0.67200000000000004</v>
      </c>
      <c r="Q109" s="223">
        <f>IFERROR(IF(P109&gt;0,P109-(TBIcalc!$H$9),""),"")</f>
        <v>0.52140000000000009</v>
      </c>
      <c r="R109" s="223">
        <f>IFERROR(INDEX('Ashed teabags wet'!$K$2:$K$2000,MATCH(K109,'Ashed teabags wet'!$A$2:$A$2000,0)),"")</f>
        <v>14.878892733563953</v>
      </c>
      <c r="S109" s="223">
        <f t="shared" si="7"/>
        <v>0.44382145328719763</v>
      </c>
      <c r="T109" s="224">
        <f>'WetLitterbags placem_collection'!E110</f>
        <v>42762</v>
      </c>
      <c r="U109" s="224">
        <f>IF('WetLitterbags placem_collection'!G110="","",'WetLitterbags placem_collection'!G110)</f>
        <v>42816</v>
      </c>
      <c r="V109" s="225">
        <f t="shared" si="5"/>
        <v>54</v>
      </c>
      <c r="W109" s="223">
        <f t="shared" si="8"/>
        <v>1.3017999999999998</v>
      </c>
      <c r="X109" s="223">
        <f t="shared" si="9"/>
        <v>1.2788333388920827</v>
      </c>
      <c r="Y109">
        <f>IFERROR(INDEX(Rainfall_Wet!$O$2:$O$217,MATCH(B109, Rainfall_Wet!$A$2:$A$217,0)),"")</f>
        <v>206.85140822299999</v>
      </c>
      <c r="Z109" s="228">
        <v>34.344660194174757</v>
      </c>
      <c r="AA109" s="228">
        <v>19.22727272727273</v>
      </c>
      <c r="AB109" s="228">
        <v>46.428067078552509</v>
      </c>
      <c r="AC109" s="229" t="s">
        <v>2654</v>
      </c>
      <c r="AD109" s="228">
        <v>4.7452932479053702</v>
      </c>
      <c r="AE109">
        <f>IF('WetLitterbags placem_collection'!AB110="","",'WetLitterbags placem_collection'!AB110)</f>
        <v>9.6999999999999993</v>
      </c>
      <c r="AF109">
        <f>IF('WetLitterbags placem_collection'!Z110="","",'WetLitterbags placem_collection'!Z110)</f>
        <v>22.5</v>
      </c>
      <c r="AG109" s="243" t="str">
        <f>IF('WetLitterbags placem_collection'!AA110="","",'WetLitterbags placem_collection'!AA110)</f>
        <v>M</v>
      </c>
      <c r="AH109">
        <f>IF('WetLitterbags placem_collection'!AC110="","",'WetLitterbags placem_collection'!AC110)</f>
        <v>0</v>
      </c>
      <c r="AI109" s="237">
        <f>AVERAGE('WetLitterbags placem_collection'!S110,'WetLitterbags placem_collection'!U110)</f>
        <v>15.1</v>
      </c>
      <c r="AJ109">
        <f>AVERAGE('WetLitterbags placem_collection'!R110,'WetLitterbags placem_collection'!T110)</f>
        <v>31.55</v>
      </c>
      <c r="AK109">
        <f>INDEX(Coordinates!$B$2:$B$197,MATCH(H109,Coordinates!$J$2:$J$197,0))</f>
        <v>-2.3698620030000002</v>
      </c>
      <c r="AL109">
        <f>INDEX(Coordinates!$C$2:$C$197,MATCH(H109,Coordinates!$J$2:$J$197,0))</f>
        <v>34.059759020000001</v>
      </c>
      <c r="AM109" t="str">
        <f>IF(ISNUMBER(SEARCH("C", 'WetLitterbags placem_collection'!$V110)),"YES","NO")</f>
        <v>NO</v>
      </c>
      <c r="AN109" t="str">
        <f>IF(ISNUMBER(SEARCH("H", 'WetLitterbags placem_collection'!$V110)),"YES","NO")</f>
        <v>NO</v>
      </c>
      <c r="AO109" t="str">
        <f>IF(ISNUMBER(SEARCH("R", 'WetLitterbags placem_collection'!$V110)),"YES","NO")</f>
        <v>YES</v>
      </c>
    </row>
    <row r="110" spans="1:41" ht="15" customHeight="1">
      <c r="A110" s="255" t="s">
        <v>2454</v>
      </c>
      <c r="B110" s="260">
        <f>'Dry_Litterbag Placem_Collection'!A111</f>
        <v>109</v>
      </c>
      <c r="C110" s="260" t="str">
        <f>'Dry_Litterbag Placem_Collection'!B111</f>
        <v xml:space="preserve">Mwantimba
</v>
      </c>
      <c r="D110" s="260" t="s">
        <v>2454</v>
      </c>
      <c r="E110" s="260" t="s">
        <v>2644</v>
      </c>
      <c r="F110" s="260">
        <v>2</v>
      </c>
      <c r="G110" s="260" t="s">
        <v>3817</v>
      </c>
      <c r="H110" s="261" t="str">
        <f>'Dry_Litterbag Placem_Collection'!C111</f>
        <v>Wet_Ag2_T5</v>
      </c>
      <c r="I110" s="262" t="s">
        <v>2525</v>
      </c>
      <c r="J110" s="263" t="s">
        <v>1147</v>
      </c>
      <c r="K110" s="221" t="str">
        <f>'WetLitterbags placem_collection'!K111</f>
        <v>G704</v>
      </c>
      <c r="L110" s="223">
        <f>IFERROR(INDEX('Green_rooibos initial weight'!$C$5:$C$2000,MATCH(K110, 'Green_rooibos initial weight'!$A$5:$A$2000,0)),"")</f>
        <v>2.0219999999999998</v>
      </c>
      <c r="M110" s="223">
        <f>IFERROR(L110-(TBIcalc!$H$9+TBIcalc!$H$10),"")</f>
        <v>1.7721999999999998</v>
      </c>
      <c r="N110" s="385">
        <f>AVERAGE(Ashed_controlls!$K$2:$K$11)</f>
        <v>5.5147656768714146</v>
      </c>
      <c r="O110" s="223">
        <f t="shared" si="6"/>
        <v>1.6744673226744846</v>
      </c>
      <c r="P110" s="223">
        <f>IFERROR(INDEX('Both teabags AfterWet'!$C$3:$C$840,MATCH(K110,'Both teabags AfterWet'!$A$3:$A$840,0)),"")</f>
        <v>0.63019999999999998</v>
      </c>
      <c r="Q110" s="223">
        <f>IFERROR(IF(P110&gt;0,P110-(TBIcalc!$H$9),""),"")</f>
        <v>0.47959999999999997</v>
      </c>
      <c r="R110" s="223">
        <f>IFERROR(INDEX('Ashed teabags wet'!$K$2:$K$2000,MATCH(K110,'Ashed teabags wet'!$A$2:$A$2000,0)),"")</f>
        <v>7.733990147783028</v>
      </c>
      <c r="S110" s="223">
        <f t="shared" si="7"/>
        <v>0.44250778325123258</v>
      </c>
      <c r="T110" s="224">
        <f>'WetLitterbags placem_collection'!E111</f>
        <v>42762</v>
      </c>
      <c r="U110" s="224">
        <f>IF('WetLitterbags placem_collection'!G111="","",'WetLitterbags placem_collection'!G111)</f>
        <v>42816</v>
      </c>
      <c r="V110" s="225">
        <f t="shared" si="5"/>
        <v>54</v>
      </c>
      <c r="W110" s="223">
        <f t="shared" si="8"/>
        <v>1.2925999999999997</v>
      </c>
      <c r="X110" s="223">
        <f t="shared" si="9"/>
        <v>1.2319595394232521</v>
      </c>
      <c r="Y110">
        <f>IFERROR(INDEX(Rainfall_Wet!$O$2:$O$217,MATCH(B110, Rainfall_Wet!$A$2:$A$217,0)),"")</f>
        <v>206.85140822299999</v>
      </c>
      <c r="Z110" s="228">
        <v>34.344660194174757</v>
      </c>
      <c r="AA110" s="228">
        <v>19.22727272727273</v>
      </c>
      <c r="AB110" s="228">
        <v>46.428067078552509</v>
      </c>
      <c r="AC110" s="229" t="s">
        <v>2654</v>
      </c>
      <c r="AD110" s="228">
        <v>5.7452932479053702</v>
      </c>
      <c r="AE110">
        <f>IF('WetLitterbags placem_collection'!AB111="","",'WetLitterbags placem_collection'!AB111)</f>
        <v>10.5</v>
      </c>
      <c r="AF110">
        <f>IF('WetLitterbags placem_collection'!Z111="","",'WetLitterbags placem_collection'!Z111)</f>
        <v>22.5</v>
      </c>
      <c r="AG110" s="243" t="str">
        <f>IF('WetLitterbags placem_collection'!AA111="","",'WetLitterbags placem_collection'!AA111)</f>
        <v>M</v>
      </c>
      <c r="AH110">
        <f>IF('WetLitterbags placem_collection'!AC111="","",'WetLitterbags placem_collection'!AC111)</f>
        <v>0</v>
      </c>
      <c r="AI110" s="237">
        <f>AVERAGE('WetLitterbags placem_collection'!S111,'WetLitterbags placem_collection'!U111)</f>
        <v>9</v>
      </c>
      <c r="AJ110">
        <f>AVERAGE('WetLitterbags placem_collection'!R111,'WetLitterbags placem_collection'!T111)</f>
        <v>33.5</v>
      </c>
      <c r="AK110">
        <f>INDEX(Coordinates!$B$2:$B$197,MATCH(H110,Coordinates!$J$2:$J$197,0))</f>
        <v>-2.3698390370000002</v>
      </c>
      <c r="AL110">
        <f>INDEX(Coordinates!$C$2:$C$197,MATCH(H110,Coordinates!$J$2:$J$197,0))</f>
        <v>34.059714</v>
      </c>
      <c r="AM110" t="str">
        <f>IF(ISNUMBER(SEARCH("C", 'WetLitterbags placem_collection'!$V111)),"YES","NO")</f>
        <v>NO</v>
      </c>
      <c r="AN110" t="str">
        <f>IF(ISNUMBER(SEARCH("H", 'WetLitterbags placem_collection'!$V111)),"YES","NO")</f>
        <v>YES</v>
      </c>
      <c r="AO110" t="str">
        <f>IF(ISNUMBER(SEARCH("R", 'WetLitterbags placem_collection'!$V111)),"YES","NO")</f>
        <v>NO</v>
      </c>
    </row>
    <row r="111" spans="1:41" ht="15" customHeight="1">
      <c r="A111" s="255" t="s">
        <v>2454</v>
      </c>
      <c r="B111" s="260">
        <f>'Dry_Litterbag Placem_Collection'!A112</f>
        <v>110</v>
      </c>
      <c r="C111" s="260" t="str">
        <f>'Dry_Litterbag Placem_Collection'!B112</f>
        <v xml:space="preserve">Mwantimba
</v>
      </c>
      <c r="D111" s="260" t="s">
        <v>2454</v>
      </c>
      <c r="E111" s="260" t="s">
        <v>2644</v>
      </c>
      <c r="F111" s="260">
        <v>2</v>
      </c>
      <c r="G111" s="260" t="s">
        <v>3817</v>
      </c>
      <c r="H111" s="261" t="str">
        <f>'Dry_Litterbag Placem_Collection'!C112</f>
        <v>Wet_Ag2_T6</v>
      </c>
      <c r="I111" s="262" t="s">
        <v>2525</v>
      </c>
      <c r="J111" s="263" t="s">
        <v>1147</v>
      </c>
      <c r="K111" s="221" t="str">
        <f>'WetLitterbags placem_collection'!K112</f>
        <v>G742</v>
      </c>
      <c r="L111" s="223">
        <f>IFERROR(INDEX('Green_rooibos initial weight'!$C$5:$C$2000,MATCH(K111, 'Green_rooibos initial weight'!$A$5:$A$2000,0)),"")</f>
        <v>2.0510000000000002</v>
      </c>
      <c r="M111" s="223">
        <f>IFERROR(L111-(TBIcalc!$H$9+TBIcalc!$H$10),"")</f>
        <v>1.8012000000000001</v>
      </c>
      <c r="N111" s="385">
        <f>AVERAGE(Ashed_controlls!$K$2:$K$11)</f>
        <v>5.5147656768714146</v>
      </c>
      <c r="O111" s="223">
        <f t="shared" si="6"/>
        <v>1.7018680406281923</v>
      </c>
      <c r="P111" s="223">
        <f>IFERROR(INDEX('Both teabags AfterWet'!$C$3:$C$840,MATCH(K111,'Both teabags AfterWet'!$A$3:$A$840,0)),"")</f>
        <v>0.57879999999999998</v>
      </c>
      <c r="Q111" s="223">
        <f>IFERROR(IF(P111&gt;0,P111-(TBIcalc!$H$9),""),"")</f>
        <v>0.42819999999999997</v>
      </c>
      <c r="R111" s="223">
        <f>IFERROR(INDEX('Ashed teabags wet'!$K$2:$K$2000,MATCH(K111,'Ashed teabags wet'!$A$2:$A$2000,0)),"")</f>
        <v>13.253612356751738</v>
      </c>
      <c r="S111" s="223">
        <f t="shared" si="7"/>
        <v>0.37144803188838904</v>
      </c>
      <c r="T111" s="224">
        <f>'WetLitterbags placem_collection'!E112</f>
        <v>42762</v>
      </c>
      <c r="U111" s="224">
        <f>IF('WetLitterbags placem_collection'!G112="","",'WetLitterbags placem_collection'!G112)</f>
        <v>42816</v>
      </c>
      <c r="V111" s="225">
        <f t="shared" si="5"/>
        <v>54</v>
      </c>
      <c r="W111" s="223">
        <f t="shared" si="8"/>
        <v>1.3730000000000002</v>
      </c>
      <c r="X111" s="223">
        <f t="shared" si="9"/>
        <v>1.3304200087398033</v>
      </c>
      <c r="Y111">
        <f>IFERROR(INDEX(Rainfall_Wet!$O$2:$O$217,MATCH(B111, Rainfall_Wet!$A$2:$A$217,0)),"")</f>
        <v>206.85140822299999</v>
      </c>
      <c r="Z111" s="228">
        <v>34.344660194174757</v>
      </c>
      <c r="AA111" s="228">
        <v>19.22727272727273</v>
      </c>
      <c r="AB111" s="228">
        <v>46.428067078552509</v>
      </c>
      <c r="AC111" s="229" t="s">
        <v>2654</v>
      </c>
      <c r="AD111" s="228">
        <v>6.7452932479053702</v>
      </c>
      <c r="AE111">
        <f>IF('WetLitterbags placem_collection'!AB112="","",'WetLitterbags placem_collection'!AB112)</f>
        <v>5.75</v>
      </c>
      <c r="AF111">
        <f>IF('WetLitterbags placem_collection'!Z112="","",'WetLitterbags placem_collection'!Z112)</f>
        <v>22.5</v>
      </c>
      <c r="AG111" s="243" t="str">
        <f>IF('WetLitterbags placem_collection'!AA112="","",'WetLitterbags placem_collection'!AA112)</f>
        <v>M</v>
      </c>
      <c r="AH111">
        <f>IF('WetLitterbags placem_collection'!AC112="","",'WetLitterbags placem_collection'!AC112)</f>
        <v>0</v>
      </c>
      <c r="AI111" s="237">
        <f>AVERAGE('WetLitterbags placem_collection'!S112,'WetLitterbags placem_collection'!U112)</f>
        <v>16.950000000000003</v>
      </c>
      <c r="AJ111">
        <f>AVERAGE('WetLitterbags placem_collection'!R112,'WetLitterbags placem_collection'!T112)</f>
        <v>30.5</v>
      </c>
      <c r="AK111">
        <f>INDEX(Coordinates!$B$2:$B$197,MATCH(H111,Coordinates!$J$2:$J$197,0))</f>
        <v>-2.3697549659999999</v>
      </c>
      <c r="AL111">
        <f>INDEX(Coordinates!$C$2:$C$197,MATCH(H111,Coordinates!$J$2:$J$197,0))</f>
        <v>34.059668989999999</v>
      </c>
      <c r="AM111" t="str">
        <f>IF(ISNUMBER(SEARCH("C", 'WetLitterbags placem_collection'!$V112)),"YES","NO")</f>
        <v>NO</v>
      </c>
      <c r="AN111" t="str">
        <f>IF(ISNUMBER(SEARCH("H", 'WetLitterbags placem_collection'!$V112)),"YES","NO")</f>
        <v>NO</v>
      </c>
      <c r="AO111" t="str">
        <f>IF(ISNUMBER(SEARCH("R", 'WetLitterbags placem_collection'!$V112)),"YES","NO")</f>
        <v>NO</v>
      </c>
    </row>
    <row r="112" spans="1:41" ht="15" customHeight="1">
      <c r="A112" s="255" t="s">
        <v>2454</v>
      </c>
      <c r="B112" s="260">
        <f>'Dry_Litterbag Placem_Collection'!A113</f>
        <v>111</v>
      </c>
      <c r="C112" s="260" t="str">
        <f>'Dry_Litterbag Placem_Collection'!B113</f>
        <v xml:space="preserve">Mwantimba
</v>
      </c>
      <c r="D112" s="260" t="s">
        <v>2454</v>
      </c>
      <c r="E112" s="260" t="s">
        <v>2644</v>
      </c>
      <c r="F112" s="260">
        <v>2</v>
      </c>
      <c r="G112" s="260" t="s">
        <v>3817</v>
      </c>
      <c r="H112" s="261" t="str">
        <f>'Dry_Litterbag Placem_Collection'!C113</f>
        <v>Wet_Ag2_T7</v>
      </c>
      <c r="I112" s="262" t="s">
        <v>2525</v>
      </c>
      <c r="J112" s="263" t="s">
        <v>1147</v>
      </c>
      <c r="K112" s="221" t="str">
        <f>'WetLitterbags placem_collection'!K113</f>
        <v>G831</v>
      </c>
      <c r="L112" s="223">
        <f>IFERROR(INDEX('Green_rooibos initial weight'!$C$5:$C$2000,MATCH(K112, 'Green_rooibos initial weight'!$A$5:$A$2000,0)),"")</f>
        <v>2.1190000000000002</v>
      </c>
      <c r="M112" s="223">
        <f>IFERROR(L112-(TBIcalc!$H$9+TBIcalc!$H$10),"")</f>
        <v>1.8692000000000002</v>
      </c>
      <c r="N112" s="385">
        <f>AVERAGE(Ashed_controlls!$K$2:$K$11)</f>
        <v>5.5147656768714146</v>
      </c>
      <c r="O112" s="223">
        <f t="shared" si="6"/>
        <v>1.7661179999679197</v>
      </c>
      <c r="P112" s="223">
        <f>IFERROR(INDEX('Both teabags AfterWet'!$C$3:$C$840,MATCH(K112,'Both teabags AfterWet'!$A$3:$A$840,0)),"")</f>
        <v>0.66200000000000003</v>
      </c>
      <c r="Q112" s="223">
        <f>IFERROR(IF(P112&gt;0,P112-(TBIcalc!$H$9),""),"")</f>
        <v>0.51140000000000008</v>
      </c>
      <c r="R112" s="223">
        <f>IFERROR(INDEX('Ashed teabags wet'!$K$2:$K$2000,MATCH(K112,'Ashed teabags wet'!$A$2:$A$2000,0)),"")</f>
        <v>14.3622200584224</v>
      </c>
      <c r="S112" s="223">
        <f t="shared" si="7"/>
        <v>0.4379516066212279</v>
      </c>
      <c r="T112" s="224">
        <f>'WetLitterbags placem_collection'!E113</f>
        <v>42762</v>
      </c>
      <c r="U112" s="224">
        <f>IF('WetLitterbags placem_collection'!G113="","",'WetLitterbags placem_collection'!G113)</f>
        <v>42816</v>
      </c>
      <c r="V112" s="225">
        <f t="shared" si="5"/>
        <v>54</v>
      </c>
      <c r="W112" s="223">
        <f t="shared" si="8"/>
        <v>1.3578000000000001</v>
      </c>
      <c r="X112" s="223">
        <f t="shared" si="9"/>
        <v>1.3281663933466918</v>
      </c>
      <c r="Y112">
        <f>IFERROR(INDEX(Rainfall_Wet!$O$2:$O$217,MATCH(B112, Rainfall_Wet!$A$2:$A$217,0)),"")</f>
        <v>206.85140822299999</v>
      </c>
      <c r="Z112" s="228">
        <v>34.344660194174757</v>
      </c>
      <c r="AA112" s="228">
        <v>19.22727272727273</v>
      </c>
      <c r="AB112" s="228">
        <v>46.428067078552509</v>
      </c>
      <c r="AC112" s="229" t="s">
        <v>2654</v>
      </c>
      <c r="AD112" s="228">
        <v>7.7452932479053702</v>
      </c>
      <c r="AE112">
        <f>IF('WetLitterbags placem_collection'!AB113="","",'WetLitterbags placem_collection'!AB113)</f>
        <v>6.1</v>
      </c>
      <c r="AF112">
        <f>IF('WetLitterbags placem_collection'!Z113="","",'WetLitterbags placem_collection'!Z113)</f>
        <v>26</v>
      </c>
      <c r="AG112" s="243" t="str">
        <f>IF('WetLitterbags placem_collection'!AA113="","",'WetLitterbags placem_collection'!AA113)</f>
        <v>M</v>
      </c>
      <c r="AH112">
        <f>IF('WetLitterbags placem_collection'!AC113="","",'WetLitterbags placem_collection'!AC113)</f>
        <v>0</v>
      </c>
      <c r="AI112" s="237">
        <f>AVERAGE('WetLitterbags placem_collection'!S113,'WetLitterbags placem_collection'!U113)</f>
        <v>11.1</v>
      </c>
      <c r="AJ112">
        <f>AVERAGE('WetLitterbags placem_collection'!R113,'WetLitterbags placem_collection'!T113)</f>
        <v>32.65</v>
      </c>
      <c r="AK112">
        <f>INDEX(Coordinates!$B$2:$B$197,MATCH(H112,Coordinates!$J$2:$J$197,0))</f>
        <v>-2.3697330060000001</v>
      </c>
      <c r="AL112">
        <f>INDEX(Coordinates!$C$2:$C$197,MATCH(H112,Coordinates!$J$2:$J$197,0))</f>
        <v>34.059615010000002</v>
      </c>
      <c r="AM112" t="str">
        <f>IF(ISNUMBER(SEARCH("C", 'WetLitterbags placem_collection'!$V113)),"YES","NO")</f>
        <v>NO</v>
      </c>
      <c r="AN112" t="str">
        <f>IF(ISNUMBER(SEARCH("H", 'WetLitterbags placem_collection'!$V113)),"YES","NO")</f>
        <v>NO</v>
      </c>
      <c r="AO112" t="str">
        <f>IF(ISNUMBER(SEARCH("R", 'WetLitterbags placem_collection'!$V113)),"YES","NO")</f>
        <v>NO</v>
      </c>
    </row>
    <row r="113" spans="1:41" ht="15" customHeight="1">
      <c r="A113" s="255" t="s">
        <v>2454</v>
      </c>
      <c r="B113" s="260">
        <f>'Dry_Litterbag Placem_Collection'!A114</f>
        <v>112</v>
      </c>
      <c r="C113" s="260" t="str">
        <f>'Dry_Litterbag Placem_Collection'!B114</f>
        <v xml:space="preserve">Mwantimba
</v>
      </c>
      <c r="D113" s="260" t="s">
        <v>2454</v>
      </c>
      <c r="E113" s="260" t="s">
        <v>2644</v>
      </c>
      <c r="F113" s="260">
        <v>2</v>
      </c>
      <c r="G113" s="260" t="s">
        <v>3817</v>
      </c>
      <c r="H113" s="261" t="str">
        <f>'Dry_Litterbag Placem_Collection'!C114</f>
        <v>Wet_Ag2_T8</v>
      </c>
      <c r="I113" s="262" t="s">
        <v>2525</v>
      </c>
      <c r="J113" s="263" t="s">
        <v>1147</v>
      </c>
      <c r="K113" s="221" t="str">
        <f>'WetLitterbags placem_collection'!K114</f>
        <v>G899</v>
      </c>
      <c r="L113" s="223">
        <f>IFERROR(INDEX('Green_rooibos initial weight'!$C$5:$C$2000,MATCH(K113, 'Green_rooibos initial weight'!$A$5:$A$2000,0)),"")</f>
        <v>2.0129999999999999</v>
      </c>
      <c r="M113" s="223">
        <f>IFERROR(L113-(TBIcalc!$H$9+TBIcalc!$H$10),"")</f>
        <v>1.7631999999999999</v>
      </c>
      <c r="N113" s="385">
        <f>AVERAGE(Ashed_controlls!$K$2:$K$11)</f>
        <v>5.5147656768714146</v>
      </c>
      <c r="O113" s="223">
        <f t="shared" si="6"/>
        <v>1.665963651585403</v>
      </c>
      <c r="P113" s="223">
        <f>IFERROR(INDEX('Both teabags AfterWet'!$C$3:$C$840,MATCH(K113,'Both teabags AfterWet'!$A$3:$A$840,0)),"")</f>
        <v>0.71899999999999997</v>
      </c>
      <c r="Q113" s="223">
        <f>IFERROR(IF(P113&gt;0,P113-(TBIcalc!$H$9),""),"")</f>
        <v>0.56840000000000002</v>
      </c>
      <c r="R113" s="223">
        <f>IFERROR(INDEX('Ashed teabags wet'!$K$2:$K$2000,MATCH(K113,'Ashed teabags wet'!$A$2:$A$2000,0)),"")</f>
        <v>25.775193798450474</v>
      </c>
      <c r="S113" s="223">
        <f t="shared" si="7"/>
        <v>0.4218937984496075</v>
      </c>
      <c r="T113" s="224">
        <f>'WetLitterbags placem_collection'!E114</f>
        <v>42762</v>
      </c>
      <c r="U113" s="224">
        <f>IF('WetLitterbags placem_collection'!G114="","",'WetLitterbags placem_collection'!G114)</f>
        <v>42816</v>
      </c>
      <c r="V113" s="225">
        <f t="shared" si="5"/>
        <v>54</v>
      </c>
      <c r="W113" s="223">
        <f t="shared" si="8"/>
        <v>1.1947999999999999</v>
      </c>
      <c r="X113" s="223">
        <f t="shared" si="9"/>
        <v>1.2440698531357954</v>
      </c>
      <c r="Y113">
        <f>IFERROR(INDEX(Rainfall_Wet!$O$2:$O$217,MATCH(B113, Rainfall_Wet!$A$2:$A$217,0)),"")</f>
        <v>206.85140822299999</v>
      </c>
      <c r="Z113" s="228">
        <v>34.344660194174757</v>
      </c>
      <c r="AA113" s="228">
        <v>19.22727272727273</v>
      </c>
      <c r="AB113" s="228">
        <v>46.428067078552509</v>
      </c>
      <c r="AC113" s="229" t="s">
        <v>2654</v>
      </c>
      <c r="AD113" s="228">
        <v>8.7452932479053693</v>
      </c>
      <c r="AE113">
        <f>IF('WetLitterbags placem_collection'!AB114="","",'WetLitterbags placem_collection'!AB114)</f>
        <v>11.5</v>
      </c>
      <c r="AF113">
        <f>IF('WetLitterbags placem_collection'!Z114="","",'WetLitterbags placem_collection'!Z114)</f>
        <v>15</v>
      </c>
      <c r="AG113" s="243" t="str">
        <f>IF('WetLitterbags placem_collection'!AA114="","",'WetLitterbags placem_collection'!AA114)</f>
        <v>M</v>
      </c>
      <c r="AH113">
        <f>IF('WetLitterbags placem_collection'!AC114="","",'WetLitterbags placem_collection'!AC114)</f>
        <v>0</v>
      </c>
      <c r="AI113" s="237">
        <f>AVERAGE('WetLitterbags placem_collection'!S114,'WetLitterbags placem_collection'!U114)</f>
        <v>15.2</v>
      </c>
      <c r="AJ113">
        <f>AVERAGE('WetLitterbags placem_collection'!R114,'WetLitterbags placem_collection'!T114)</f>
        <v>31.450000000000003</v>
      </c>
      <c r="AK113">
        <f>INDEX(Coordinates!$B$2:$B$197,MATCH(H113,Coordinates!$J$2:$J$197,0))</f>
        <v>-2.36967098</v>
      </c>
      <c r="AL113">
        <f>INDEX(Coordinates!$C$2:$C$197,MATCH(H113,Coordinates!$J$2:$J$197,0))</f>
        <v>34.059735959999998</v>
      </c>
      <c r="AM113" t="str">
        <f>IF(ISNUMBER(SEARCH("C", 'WetLitterbags placem_collection'!$V114)),"YES","NO")</f>
        <v>NO</v>
      </c>
      <c r="AN113" t="str">
        <f>IF(ISNUMBER(SEARCH("H", 'WetLitterbags placem_collection'!$V114)),"YES","NO")</f>
        <v>YES</v>
      </c>
      <c r="AO113" t="str">
        <f>IF(ISNUMBER(SEARCH("R", 'WetLitterbags placem_collection'!$V114)),"YES","NO")</f>
        <v>NO</v>
      </c>
    </row>
    <row r="114" spans="1:41" ht="15" customHeight="1">
      <c r="A114" s="255" t="s">
        <v>2454</v>
      </c>
      <c r="B114" s="260">
        <f>'Dry_Litterbag Placem_Collection'!A115</f>
        <v>113</v>
      </c>
      <c r="C114" s="260" t="str">
        <f>'Dry_Litterbag Placem_Collection'!B115</f>
        <v xml:space="preserve">Mwantimba
</v>
      </c>
      <c r="D114" s="260" t="s">
        <v>2454</v>
      </c>
      <c r="E114" s="260" t="s">
        <v>2644</v>
      </c>
      <c r="F114" s="260">
        <v>3</v>
      </c>
      <c r="G114" s="260" t="s">
        <v>3818</v>
      </c>
      <c r="H114" s="261" t="str">
        <f>'Dry_Litterbag Placem_Collection'!C115</f>
        <v>Wet_Ag3_T1</v>
      </c>
      <c r="I114" s="262" t="s">
        <v>2525</v>
      </c>
      <c r="J114" s="263" t="s">
        <v>1147</v>
      </c>
      <c r="K114" s="221" t="str">
        <f>'WetLitterbags placem_collection'!K115</f>
        <v>G724</v>
      </c>
      <c r="L114" s="223">
        <f>IFERROR(INDEX('Green_rooibos initial weight'!$C$5:$C$2000,MATCH(K114, 'Green_rooibos initial weight'!$A$5:$A$2000,0)),"")</f>
        <v>2.0289999999999999</v>
      </c>
      <c r="M114" s="223">
        <f>IFERROR(L114-(TBIcalc!$H$9+TBIcalc!$H$10),"")</f>
        <v>1.7791999999999999</v>
      </c>
      <c r="N114" s="385">
        <f>AVERAGE(Ashed_controlls!$K$2:$K$11)</f>
        <v>5.5147656768714146</v>
      </c>
      <c r="O114" s="223">
        <f t="shared" si="6"/>
        <v>1.6810812890771036</v>
      </c>
      <c r="P114" s="223">
        <f>IFERROR(INDEX('Both teabags AfterWet'!$C$3:$C$840,MATCH(K114,'Both teabags AfterWet'!$A$3:$A$840,0)),"")</f>
        <v>0.61099999999999999</v>
      </c>
      <c r="Q114" s="223">
        <f>IFERROR(IF(P114&gt;0,P114-(TBIcalc!$H$9),""),"")</f>
        <v>0.46039999999999998</v>
      </c>
      <c r="R114" s="223">
        <f>IFERROR(INDEX('Ashed teabags wet'!$K$2:$K$2000,MATCH(K114,'Ashed teabags wet'!$A$2:$A$2000,0)),"")</f>
        <v>15.414073719482863</v>
      </c>
      <c r="S114" s="223">
        <f t="shared" si="7"/>
        <v>0.38943360459550092</v>
      </c>
      <c r="T114" s="224">
        <f>'WetLitterbags placem_collection'!E115</f>
        <v>42762</v>
      </c>
      <c r="U114" s="224">
        <f>IF('WetLitterbags placem_collection'!G115="","",'WetLitterbags placem_collection'!G115)</f>
        <v>42816</v>
      </c>
      <c r="V114" s="225">
        <f t="shared" si="5"/>
        <v>54</v>
      </c>
      <c r="W114" s="223">
        <f t="shared" si="8"/>
        <v>1.3188</v>
      </c>
      <c r="X114" s="223">
        <f t="shared" si="9"/>
        <v>1.2916476844816027</v>
      </c>
      <c r="Y114">
        <f>IFERROR(INDEX(Rainfall_Wet!$O$2:$O$217,MATCH(B114, Rainfall_Wet!$A$2:$A$217,0)),"")</f>
        <v>206.85140822299999</v>
      </c>
      <c r="Z114" s="228">
        <v>27.96</v>
      </c>
      <c r="AA114" s="228">
        <v>4.9200000000000017</v>
      </c>
      <c r="AB114" s="228">
        <v>67.12</v>
      </c>
      <c r="AC114" s="229" t="s">
        <v>2654</v>
      </c>
      <c r="AD114" s="228">
        <v>0.88610152784622953</v>
      </c>
      <c r="AE114">
        <f>IF('WetLitterbags placem_collection'!AB115="","",'WetLitterbags placem_collection'!AB115)</f>
        <v>26</v>
      </c>
      <c r="AF114">
        <f>IF('WetLitterbags placem_collection'!Z115="","",'WetLitterbags placem_collection'!Z115)</f>
        <v>88.5</v>
      </c>
      <c r="AG114" s="243" t="str">
        <f>IF('WetLitterbags placem_collection'!AA115="","",'WetLitterbags placem_collection'!AA115)</f>
        <v>G</v>
      </c>
      <c r="AH114">
        <f>IF('WetLitterbags placem_collection'!AC115="","",'WetLitterbags placem_collection'!AC115)</f>
        <v>0</v>
      </c>
      <c r="AI114" s="237">
        <f>AVERAGE('WetLitterbags placem_collection'!S115,'WetLitterbags placem_collection'!U115)</f>
        <v>8.6999999999999993</v>
      </c>
      <c r="AJ114">
        <f>AVERAGE('WetLitterbags placem_collection'!R115,'WetLitterbags placem_collection'!T115)</f>
        <v>32.4</v>
      </c>
      <c r="AK114">
        <f>INDEX(Coordinates!$B$2:$B$197,MATCH(H114,Coordinates!$J$2:$J$197,0))</f>
        <v>-2.3487199940000001</v>
      </c>
      <c r="AL114">
        <f>INDEX(Coordinates!$C$2:$C$197,MATCH(H114,Coordinates!$J$2:$J$197,0))</f>
        <v>34.051391029999998</v>
      </c>
      <c r="AM114" t="str">
        <f>IF(ISNUMBER(SEARCH("C", 'WetLitterbags placem_collection'!$V115)),"YES","NO")</f>
        <v>YES</v>
      </c>
      <c r="AN114" t="str">
        <f>IF(ISNUMBER(SEARCH("H", 'WetLitterbags placem_collection'!$V115)),"YES","NO")</f>
        <v>NO</v>
      </c>
      <c r="AO114" t="str">
        <f>IF(ISNUMBER(SEARCH("R", 'WetLitterbags placem_collection'!$V115)),"YES","NO")</f>
        <v>YES</v>
      </c>
    </row>
    <row r="115" spans="1:41" ht="15" customHeight="1">
      <c r="A115" s="255" t="s">
        <v>2454</v>
      </c>
      <c r="B115" s="260">
        <f>'Dry_Litterbag Placem_Collection'!A116</f>
        <v>114</v>
      </c>
      <c r="C115" s="260" t="str">
        <f>'Dry_Litterbag Placem_Collection'!B116</f>
        <v xml:space="preserve">Mwantimba
</v>
      </c>
      <c r="D115" s="260" t="s">
        <v>2454</v>
      </c>
      <c r="E115" s="260" t="s">
        <v>2644</v>
      </c>
      <c r="F115" s="260">
        <v>3</v>
      </c>
      <c r="G115" s="260" t="s">
        <v>3818</v>
      </c>
      <c r="H115" s="261" t="str">
        <f>'Dry_Litterbag Placem_Collection'!C116</f>
        <v>Wet_Ag3_T2</v>
      </c>
      <c r="I115" s="262" t="s">
        <v>2525</v>
      </c>
      <c r="J115" s="263" t="s">
        <v>1147</v>
      </c>
      <c r="K115" s="221" t="str">
        <f>'WetLitterbags placem_collection'!K116</f>
        <v>G803</v>
      </c>
      <c r="L115" s="223">
        <f>IFERROR(INDEX('Green_rooibos initial weight'!$C$5:$C$2000,MATCH(K115, 'Green_rooibos initial weight'!$A$5:$A$2000,0)),"")</f>
        <v>2.0590000000000002</v>
      </c>
      <c r="M115" s="223">
        <f>IFERROR(L115-(TBIcalc!$H$9+TBIcalc!$H$10),"")</f>
        <v>1.8092000000000001</v>
      </c>
      <c r="N115" s="385">
        <f>AVERAGE(Ashed_controlls!$K$2:$K$11)</f>
        <v>5.5147656768714146</v>
      </c>
      <c r="O115" s="223">
        <f t="shared" si="6"/>
        <v>1.7094268593740425</v>
      </c>
      <c r="P115" s="223">
        <f>IFERROR(INDEX('Both teabags AfterWet'!$C$3:$C$840,MATCH(K115,'Both teabags AfterWet'!$A$3:$A$840,0)),"")</f>
        <v>0.64300000000000002</v>
      </c>
      <c r="Q115" s="223">
        <f>IFERROR(IF(P115&gt;0,P115-(TBIcalc!$H$9),""),"")</f>
        <v>0.4924</v>
      </c>
      <c r="R115" s="223">
        <f>IFERROR(INDEX('Ashed teabags wet'!$K$2:$K$2000,MATCH(K115,'Ashed teabags wet'!$A$2:$A$2000,0)),"")</f>
        <v>21.028971028971405</v>
      </c>
      <c r="S115" s="223">
        <f t="shared" si="7"/>
        <v>0.38885334665334481</v>
      </c>
      <c r="T115" s="224">
        <f>'WetLitterbags placem_collection'!E116</f>
        <v>42762</v>
      </c>
      <c r="U115" s="224">
        <f>IF('WetLitterbags placem_collection'!G116="","",'WetLitterbags placem_collection'!G116)</f>
        <v>42816</v>
      </c>
      <c r="V115" s="225">
        <f t="shared" si="5"/>
        <v>54</v>
      </c>
      <c r="W115" s="223">
        <f t="shared" si="8"/>
        <v>1.3168000000000002</v>
      </c>
      <c r="X115" s="223">
        <f t="shared" si="9"/>
        <v>1.3205735127206977</v>
      </c>
      <c r="Y115">
        <f>IFERROR(INDEX(Rainfall_Wet!$O$2:$O$217,MATCH(B115, Rainfall_Wet!$A$2:$A$217,0)),"")</f>
        <v>206.85140822299999</v>
      </c>
      <c r="Z115" s="228">
        <v>27.96</v>
      </c>
      <c r="AA115" s="228">
        <v>4.9200000000000017</v>
      </c>
      <c r="AB115" s="228">
        <v>67.12</v>
      </c>
      <c r="AC115" s="229" t="s">
        <v>2654</v>
      </c>
      <c r="AD115" s="228">
        <v>1.8861015278462301</v>
      </c>
      <c r="AE115">
        <f>IF('WetLitterbags placem_collection'!AB116="","",'WetLitterbags placem_collection'!AB116)</f>
        <v>16.5</v>
      </c>
      <c r="AF115">
        <f>IF('WetLitterbags placem_collection'!Z116="","",'WetLitterbags placem_collection'!Z116)</f>
        <v>87.5</v>
      </c>
      <c r="AG115" s="243" t="str">
        <f>IF('WetLitterbags placem_collection'!AA116="","",'WetLitterbags placem_collection'!AA116)</f>
        <v>G</v>
      </c>
      <c r="AH115">
        <f>IF('WetLitterbags placem_collection'!AC116="","",'WetLitterbags placem_collection'!AC116)</f>
        <v>0</v>
      </c>
      <c r="AI115" s="237">
        <f>AVERAGE('WetLitterbags placem_collection'!S116,'WetLitterbags placem_collection'!U116)</f>
        <v>12.899999999999999</v>
      </c>
      <c r="AJ115">
        <f>AVERAGE('WetLitterbags placem_collection'!R116,'WetLitterbags placem_collection'!T116)</f>
        <v>30.450000000000003</v>
      </c>
      <c r="AK115">
        <f>INDEX(Coordinates!$B$2:$B$197,MATCH(H115,Coordinates!$J$2:$J$197,0))</f>
        <v>-2.348716976</v>
      </c>
      <c r="AL115">
        <f>INDEX(Coordinates!$C$2:$C$197,MATCH(H115,Coordinates!$J$2:$J$197,0))</f>
        <v>34.051484989999999</v>
      </c>
      <c r="AM115" t="str">
        <f>IF(ISNUMBER(SEARCH("C", 'WetLitterbags placem_collection'!$V116)),"YES","NO")</f>
        <v>NO</v>
      </c>
      <c r="AN115" t="str">
        <f>IF(ISNUMBER(SEARCH("H", 'WetLitterbags placem_collection'!$V116)),"YES","NO")</f>
        <v>YES</v>
      </c>
      <c r="AO115" t="str">
        <f>IF(ISNUMBER(SEARCH("R", 'WetLitterbags placem_collection'!$V116)),"YES","NO")</f>
        <v>YES</v>
      </c>
    </row>
    <row r="116" spans="1:41" ht="15" customHeight="1">
      <c r="A116" s="255" t="s">
        <v>2454</v>
      </c>
      <c r="B116" s="260">
        <f>'Dry_Litterbag Placem_Collection'!A117</f>
        <v>115</v>
      </c>
      <c r="C116" s="260" t="str">
        <f>'Dry_Litterbag Placem_Collection'!B117</f>
        <v xml:space="preserve">Mwantimba
</v>
      </c>
      <c r="D116" s="260" t="s">
        <v>2454</v>
      </c>
      <c r="E116" s="260" t="s">
        <v>2644</v>
      </c>
      <c r="F116" s="260">
        <v>3</v>
      </c>
      <c r="G116" s="260" t="s">
        <v>3818</v>
      </c>
      <c r="H116" s="261" t="str">
        <f>'Dry_Litterbag Placem_Collection'!C117</f>
        <v>Wet_Ag3_T3</v>
      </c>
      <c r="I116" s="262" t="s">
        <v>2525</v>
      </c>
      <c r="J116" s="263" t="s">
        <v>1147</v>
      </c>
      <c r="K116" s="221" t="str">
        <f>'WetLitterbags placem_collection'!K117</f>
        <v>G693</v>
      </c>
      <c r="L116" s="223">
        <f>IFERROR(INDEX('Green_rooibos initial weight'!$C$5:$C$2000,MATCH(K116, 'Green_rooibos initial weight'!$A$5:$A$2000,0)),"")</f>
        <v>2.0710000000000002</v>
      </c>
      <c r="M116" s="223">
        <f>IFERROR(L116-(TBIcalc!$H$9+TBIcalc!$H$10),"")</f>
        <v>1.8212000000000002</v>
      </c>
      <c r="N116" s="385">
        <f>AVERAGE(Ashed_controlls!$K$2:$K$11)</f>
        <v>5.5147656768714146</v>
      </c>
      <c r="O116" s="223">
        <f t="shared" si="6"/>
        <v>1.720765087492818</v>
      </c>
      <c r="P116" s="223">
        <f>IFERROR(INDEX('Both teabags AfterWet'!$C$3:$C$840,MATCH(K116,'Both teabags AfterWet'!$A$3:$A$840,0)),"")</f>
        <v>0.63400000000000001</v>
      </c>
      <c r="Q116" s="223">
        <f>IFERROR(IF(P116&gt;0,P116-(TBIcalc!$H$9),""),"")</f>
        <v>0.4834</v>
      </c>
      <c r="R116" s="223">
        <f>IFERROR(INDEX('Ashed teabags wet'!$K$2:$K$2000,MATCH(K116,'Ashed teabags wet'!$A$2:$A$2000,0)),"")</f>
        <v>16.568993074054781</v>
      </c>
      <c r="S116" s="223">
        <f t="shared" si="7"/>
        <v>0.40330548748001921</v>
      </c>
      <c r="T116" s="224">
        <f>'WetLitterbags placem_collection'!E117</f>
        <v>42762</v>
      </c>
      <c r="U116" s="224">
        <f>IF('WetLitterbags placem_collection'!G117="","",'WetLitterbags placem_collection'!G117)</f>
        <v>42816</v>
      </c>
      <c r="V116" s="225">
        <f t="shared" si="5"/>
        <v>54</v>
      </c>
      <c r="W116" s="223">
        <f t="shared" si="8"/>
        <v>1.3378000000000001</v>
      </c>
      <c r="X116" s="223">
        <f t="shared" si="9"/>
        <v>1.3174596000127987</v>
      </c>
      <c r="Y116">
        <f>IFERROR(INDEX(Rainfall_Wet!$O$2:$O$217,MATCH(B116, Rainfall_Wet!$A$2:$A$217,0)),"")</f>
        <v>206.85140822299999</v>
      </c>
      <c r="Z116" s="228">
        <v>27.96</v>
      </c>
      <c r="AA116" s="228">
        <v>4.9200000000000017</v>
      </c>
      <c r="AB116" s="228">
        <v>67.12</v>
      </c>
      <c r="AC116" s="229" t="s">
        <v>2654</v>
      </c>
      <c r="AD116" s="228">
        <v>2.8861015278462299</v>
      </c>
      <c r="AE116">
        <f>IF('WetLitterbags placem_collection'!AB117="","",'WetLitterbags placem_collection'!AB117)</f>
        <v>19</v>
      </c>
      <c r="AF116">
        <f>IF('WetLitterbags placem_collection'!Z117="","",'WetLitterbags placem_collection'!Z117)</f>
        <v>79.5</v>
      </c>
      <c r="AG116" s="243" t="str">
        <f>IF('WetLitterbags placem_collection'!AA117="","",'WetLitterbags placem_collection'!AA117)</f>
        <v>G</v>
      </c>
      <c r="AH116">
        <f>IF('WetLitterbags placem_collection'!AC117="","",'WetLitterbags placem_collection'!AC117)</f>
        <v>1</v>
      </c>
      <c r="AI116" s="237">
        <f>AVERAGE('WetLitterbags placem_collection'!S117,'WetLitterbags placem_collection'!U117)</f>
        <v>9.9499999999999993</v>
      </c>
      <c r="AJ116">
        <f>AVERAGE('WetLitterbags placem_collection'!R117,'WetLitterbags placem_collection'!T117)</f>
        <v>31.7</v>
      </c>
      <c r="AK116">
        <f>INDEX(Coordinates!$B$2:$B$197,MATCH(H116,Coordinates!$J$2:$J$197,0))</f>
        <v>-2.3487800079999999</v>
      </c>
      <c r="AL116">
        <f>INDEX(Coordinates!$C$2:$C$197,MATCH(H116,Coordinates!$J$2:$J$197,0))</f>
        <v>34.051495969999998</v>
      </c>
      <c r="AM116" t="str">
        <f>IF(ISNUMBER(SEARCH("C", 'WetLitterbags placem_collection'!$V117)),"YES","NO")</f>
        <v>NO</v>
      </c>
      <c r="AN116" t="str">
        <f>IF(ISNUMBER(SEARCH("H", 'WetLitterbags placem_collection'!$V117)),"YES","NO")</f>
        <v>NO</v>
      </c>
      <c r="AO116" t="str">
        <f>IF(ISNUMBER(SEARCH("R", 'WetLitterbags placem_collection'!$V117)),"YES","NO")</f>
        <v>YES</v>
      </c>
    </row>
    <row r="117" spans="1:41" ht="15" customHeight="1">
      <c r="A117" s="255" t="s">
        <v>2454</v>
      </c>
      <c r="B117" s="260">
        <f>'Dry_Litterbag Placem_Collection'!A118</f>
        <v>116</v>
      </c>
      <c r="C117" s="260" t="str">
        <f>'Dry_Litterbag Placem_Collection'!B118</f>
        <v xml:space="preserve">Mwantimba
</v>
      </c>
      <c r="D117" s="260" t="s">
        <v>2454</v>
      </c>
      <c r="E117" s="260" t="s">
        <v>2644</v>
      </c>
      <c r="F117" s="260">
        <v>3</v>
      </c>
      <c r="G117" s="260" t="s">
        <v>3818</v>
      </c>
      <c r="H117" s="261" t="str">
        <f>'Dry_Litterbag Placem_Collection'!C118</f>
        <v>Wet_Ag3_T4</v>
      </c>
      <c r="I117" s="262" t="s">
        <v>2525</v>
      </c>
      <c r="J117" s="263" t="s">
        <v>1147</v>
      </c>
      <c r="K117" s="221" t="str">
        <f>'WetLitterbags placem_collection'!K118</f>
        <v>G897</v>
      </c>
      <c r="L117" s="223">
        <f>IFERROR(INDEX('Green_rooibos initial weight'!$C$5:$C$2000,MATCH(K117, 'Green_rooibos initial weight'!$A$5:$A$2000,0)),"")</f>
        <v>2.0299999999999998</v>
      </c>
      <c r="M117" s="223">
        <f>IFERROR(L117-(TBIcalc!$H$9+TBIcalc!$H$10),"")</f>
        <v>1.7801999999999998</v>
      </c>
      <c r="N117" s="385">
        <f>AVERAGE(Ashed_controlls!$K$2:$K$11)</f>
        <v>5.5147656768714146</v>
      </c>
      <c r="O117" s="223">
        <f t="shared" si="6"/>
        <v>1.6820261414203348</v>
      </c>
      <c r="P117" s="223">
        <f>IFERROR(INDEX('Both teabags AfterWet'!$C$3:$C$840,MATCH(K117,'Both teabags AfterWet'!$A$3:$A$840,0)),"")</f>
        <v>0.67869999999999997</v>
      </c>
      <c r="Q117" s="223">
        <f>IFERROR(IF(P117&gt;0,P117-(TBIcalc!$H$9),""),"")</f>
        <v>0.52810000000000001</v>
      </c>
      <c r="R117" s="223">
        <f>IFERROR(INDEX('Ashed teabags wet'!$K$2:$K$2000,MATCH(K117,'Ashed teabags wet'!$A$2:$A$2000,0)),"")</f>
        <v>16.164658634537794</v>
      </c>
      <c r="S117" s="223">
        <f t="shared" si="7"/>
        <v>0.44273443775100596</v>
      </c>
      <c r="T117" s="224">
        <f>'WetLitterbags placem_collection'!E118</f>
        <v>42762</v>
      </c>
      <c r="U117" s="224">
        <f>IF('WetLitterbags placem_collection'!G118="","",'WetLitterbags placem_collection'!G118)</f>
        <v>42816</v>
      </c>
      <c r="V117" s="225">
        <f t="shared" si="5"/>
        <v>54</v>
      </c>
      <c r="W117" s="223">
        <f t="shared" si="8"/>
        <v>1.2520999999999998</v>
      </c>
      <c r="X117" s="223">
        <f t="shared" si="9"/>
        <v>1.2392917036693287</v>
      </c>
      <c r="Y117">
        <f>IFERROR(INDEX(Rainfall_Wet!$O$2:$O$217,MATCH(B117, Rainfall_Wet!$A$2:$A$217,0)),"")</f>
        <v>206.85140822299999</v>
      </c>
      <c r="Z117" s="228">
        <v>27.96</v>
      </c>
      <c r="AA117" s="228">
        <v>4.9200000000000017</v>
      </c>
      <c r="AB117" s="228">
        <v>67.12</v>
      </c>
      <c r="AC117" s="229" t="s">
        <v>2654</v>
      </c>
      <c r="AD117" s="228">
        <v>3.8861015278462299</v>
      </c>
      <c r="AE117">
        <f>IF('WetLitterbags placem_collection'!AB118="","",'WetLitterbags placem_collection'!AB118)</f>
        <v>22.5</v>
      </c>
      <c r="AF117">
        <f>IF('WetLitterbags placem_collection'!Z118="","",'WetLitterbags placem_collection'!Z118)</f>
        <v>76</v>
      </c>
      <c r="AG117" s="243" t="str">
        <f>IF('WetLitterbags placem_collection'!AA118="","",'WetLitterbags placem_collection'!AA118)</f>
        <v>G</v>
      </c>
      <c r="AH117">
        <f>IF('WetLitterbags placem_collection'!AC118="","",'WetLitterbags placem_collection'!AC118)</f>
        <v>1</v>
      </c>
      <c r="AI117" s="237">
        <f>AVERAGE('WetLitterbags placem_collection'!S118,'WetLitterbags placem_collection'!U118)</f>
        <v>8.75</v>
      </c>
      <c r="AJ117">
        <f>AVERAGE('WetLitterbags placem_collection'!R118,'WetLitterbags placem_collection'!T118)</f>
        <v>25.6</v>
      </c>
      <c r="AK117">
        <f>INDEX(Coordinates!$B$2:$B$197,MATCH(H117,Coordinates!$J$2:$J$197,0))</f>
        <v>-2.3488120270000001</v>
      </c>
      <c r="AL117">
        <f>INDEX(Coordinates!$C$2:$C$197,MATCH(H117,Coordinates!$J$2:$J$197,0))</f>
        <v>34.05146697</v>
      </c>
      <c r="AM117" t="str">
        <f>IF(ISNUMBER(SEARCH("C", 'WetLitterbags placem_collection'!$V118)),"YES","NO")</f>
        <v>NO</v>
      </c>
      <c r="AN117" t="str">
        <f>IF(ISNUMBER(SEARCH("H", 'WetLitterbags placem_collection'!$V118)),"YES","NO")</f>
        <v>NO</v>
      </c>
      <c r="AO117" t="str">
        <f>IF(ISNUMBER(SEARCH("R", 'WetLitterbags placem_collection'!$V118)),"YES","NO")</f>
        <v>NO</v>
      </c>
    </row>
    <row r="118" spans="1:41" ht="15" customHeight="1">
      <c r="A118" s="255" t="s">
        <v>2454</v>
      </c>
      <c r="B118" s="260">
        <f>'Dry_Litterbag Placem_Collection'!A119</f>
        <v>117</v>
      </c>
      <c r="C118" s="260" t="str">
        <f>'Dry_Litterbag Placem_Collection'!B119</f>
        <v xml:space="preserve">Mwantimba
</v>
      </c>
      <c r="D118" s="260" t="s">
        <v>2454</v>
      </c>
      <c r="E118" s="260" t="s">
        <v>2644</v>
      </c>
      <c r="F118" s="260">
        <v>3</v>
      </c>
      <c r="G118" s="260" t="s">
        <v>3818</v>
      </c>
      <c r="H118" s="261" t="str">
        <f>'Dry_Litterbag Placem_Collection'!C119</f>
        <v>Wet_Ag3_T5</v>
      </c>
      <c r="I118" s="262" t="s">
        <v>2525</v>
      </c>
      <c r="J118" s="263" t="s">
        <v>1147</v>
      </c>
      <c r="K118" s="221" t="str">
        <f>'WetLitterbags placem_collection'!K119</f>
        <v>G789</v>
      </c>
      <c r="L118" s="223">
        <f>IFERROR(INDEX('Green_rooibos initial weight'!$C$5:$C$2000,MATCH(K118, 'Green_rooibos initial weight'!$A$5:$A$2000,0)),"")</f>
        <v>2.109</v>
      </c>
      <c r="M118" s="223">
        <f>IFERROR(L118-(TBIcalc!$H$9+TBIcalc!$H$10),"")</f>
        <v>1.8592</v>
      </c>
      <c r="N118" s="385">
        <f>AVERAGE(Ashed_controlls!$K$2:$K$11)</f>
        <v>5.5147656768714146</v>
      </c>
      <c r="O118" s="223">
        <f t="shared" si="6"/>
        <v>1.7566694765356066</v>
      </c>
      <c r="P118" s="223">
        <f>IFERROR(INDEX('Both teabags AfterWet'!$C$3:$C$840,MATCH(K118,'Both teabags AfterWet'!$A$3:$A$840,0)),"")</f>
        <v>0.79800000000000004</v>
      </c>
      <c r="Q118" s="223">
        <f>IFERROR(IF(P118&gt;0,P118-(TBIcalc!$H$9),""),"")</f>
        <v>0.64739999999999998</v>
      </c>
      <c r="R118" s="223">
        <f>IFERROR(INDEX('Ashed teabags wet'!$K$2:$K$2000,MATCH(K118,'Ashed teabags wet'!$A$2:$A$2000,0)),"")</f>
        <v>28.215353938185377</v>
      </c>
      <c r="S118" s="223">
        <f t="shared" si="7"/>
        <v>0.46473379860418784</v>
      </c>
      <c r="T118" s="224">
        <f>'WetLitterbags placem_collection'!E119</f>
        <v>42762</v>
      </c>
      <c r="U118" s="224">
        <f>IF('WetLitterbags placem_collection'!G119="","",'WetLitterbags placem_collection'!G119)</f>
        <v>42816</v>
      </c>
      <c r="V118" s="225">
        <f t="shared" si="5"/>
        <v>54</v>
      </c>
      <c r="W118" s="223">
        <f t="shared" si="8"/>
        <v>1.2118</v>
      </c>
      <c r="X118" s="223">
        <f t="shared" si="9"/>
        <v>1.2919356779314186</v>
      </c>
      <c r="Y118">
        <f>IFERROR(INDEX(Rainfall_Wet!$O$2:$O$217,MATCH(B118, Rainfall_Wet!$A$2:$A$217,0)),"")</f>
        <v>206.85140822299999</v>
      </c>
      <c r="Z118" s="228">
        <v>27.96</v>
      </c>
      <c r="AA118" s="228">
        <v>4.9200000000000017</v>
      </c>
      <c r="AB118" s="228">
        <v>67.12</v>
      </c>
      <c r="AC118" s="229" t="s">
        <v>2654</v>
      </c>
      <c r="AD118" s="228">
        <v>4.8861015278462299</v>
      </c>
      <c r="AE118">
        <f>IF('WetLitterbags placem_collection'!AB119="","",'WetLitterbags placem_collection'!AB119)</f>
        <v>23.5</v>
      </c>
      <c r="AF118">
        <f>IF('WetLitterbags placem_collection'!Z119="","",'WetLitterbags placem_collection'!Z119)</f>
        <v>76</v>
      </c>
      <c r="AG118" s="243" t="str">
        <f>IF('WetLitterbags placem_collection'!AA119="","",'WetLitterbags placem_collection'!AA119)</f>
        <v>G</v>
      </c>
      <c r="AH118">
        <f>IF('WetLitterbags placem_collection'!AC119="","",'WetLitterbags placem_collection'!AC119)</f>
        <v>1</v>
      </c>
      <c r="AI118" s="237">
        <f>AVERAGE('WetLitterbags placem_collection'!S119,'WetLitterbags placem_collection'!U119)</f>
        <v>5.6999999999999993</v>
      </c>
      <c r="AJ118">
        <f>AVERAGE('WetLitterbags placem_collection'!R119,'WetLitterbags placem_collection'!T119)</f>
        <v>31.75</v>
      </c>
      <c r="AK118">
        <f>INDEX(Coordinates!$B$2:$B$197,MATCH(H118,Coordinates!$J$2:$J$197,0))</f>
        <v>-2.348814961</v>
      </c>
      <c r="AL118">
        <f>INDEX(Coordinates!$C$2:$C$197,MATCH(H118,Coordinates!$J$2:$J$197,0))</f>
        <v>34.051439979999998</v>
      </c>
      <c r="AM118" t="str">
        <f>IF(ISNUMBER(SEARCH("C", 'WetLitterbags placem_collection'!$V119)),"YES","NO")</f>
        <v>NO</v>
      </c>
      <c r="AN118" t="str">
        <f>IF(ISNUMBER(SEARCH("H", 'WetLitterbags placem_collection'!$V119)),"YES","NO")</f>
        <v>YES</v>
      </c>
      <c r="AO118" t="str">
        <f>IF(ISNUMBER(SEARCH("R", 'WetLitterbags placem_collection'!$V119)),"YES","NO")</f>
        <v>YES</v>
      </c>
    </row>
    <row r="119" spans="1:41" ht="15" customHeight="1">
      <c r="A119" s="255" t="s">
        <v>2454</v>
      </c>
      <c r="B119" s="260">
        <f>'Dry_Litterbag Placem_Collection'!A120</f>
        <v>118</v>
      </c>
      <c r="C119" s="260" t="str">
        <f>'Dry_Litterbag Placem_Collection'!B120</f>
        <v xml:space="preserve">Mwantimba
</v>
      </c>
      <c r="D119" s="260" t="s">
        <v>2454</v>
      </c>
      <c r="E119" s="260" t="s">
        <v>2644</v>
      </c>
      <c r="F119" s="260">
        <v>3</v>
      </c>
      <c r="G119" s="260" t="s">
        <v>3818</v>
      </c>
      <c r="H119" s="261" t="str">
        <f>'Dry_Litterbag Placem_Collection'!C120</f>
        <v>Wet_Ag3_T6</v>
      </c>
      <c r="I119" s="262" t="s">
        <v>2525</v>
      </c>
      <c r="J119" s="263" t="s">
        <v>1147</v>
      </c>
      <c r="K119" s="221" t="str">
        <f>'WetLitterbags placem_collection'!K120</f>
        <v>G681</v>
      </c>
      <c r="L119" s="223">
        <f>IFERROR(INDEX('Green_rooibos initial weight'!$C$5:$C$2000,MATCH(K119, 'Green_rooibos initial weight'!$A$5:$A$2000,0)),"")</f>
        <v>2.0790000000000002</v>
      </c>
      <c r="M119" s="223">
        <f>IFERROR(L119-(TBIcalc!$H$9+TBIcalc!$H$10),"")</f>
        <v>1.8292000000000002</v>
      </c>
      <c r="N119" s="385">
        <f>AVERAGE(Ashed_controlls!$K$2:$K$11)</f>
        <v>5.5147656768714146</v>
      </c>
      <c r="O119" s="223">
        <f t="shared" si="6"/>
        <v>1.7283239062386682</v>
      </c>
      <c r="P119" s="223">
        <f>IFERROR(INDEX('Both teabags AfterWet'!$C$3:$C$840,MATCH(K119,'Both teabags AfterWet'!$A$3:$A$840,0)),"")</f>
        <v>0.56799999999999995</v>
      </c>
      <c r="Q119" s="223">
        <f>IFERROR(IF(P119&gt;0,P119-(TBIcalc!$H$9),""),"")</f>
        <v>0.41739999999999994</v>
      </c>
      <c r="R119" s="223">
        <f>IFERROR(INDEX('Ashed teabags wet'!$K$2:$K$2000,MATCH(K119,'Ashed teabags wet'!$A$2:$A$2000,0)),"")</f>
        <v>15.039447731755478</v>
      </c>
      <c r="S119" s="223">
        <f t="shared" si="7"/>
        <v>0.35462534516765259</v>
      </c>
      <c r="T119" s="224">
        <f>'WetLitterbags placem_collection'!E120</f>
        <v>42762</v>
      </c>
      <c r="U119" s="224">
        <f>IF('WetLitterbags placem_collection'!G120="","",'WetLitterbags placem_collection'!G120)</f>
        <v>42816</v>
      </c>
      <c r="V119" s="225">
        <f t="shared" si="5"/>
        <v>54</v>
      </c>
      <c r="W119" s="223">
        <f t="shared" si="8"/>
        <v>1.4118000000000002</v>
      </c>
      <c r="X119" s="223">
        <f t="shared" si="9"/>
        <v>1.3736985610710155</v>
      </c>
      <c r="Y119">
        <f>IFERROR(INDEX(Rainfall_Wet!$O$2:$O$217,MATCH(B119, Rainfall_Wet!$A$2:$A$217,0)),"")</f>
        <v>206.85140822299999</v>
      </c>
      <c r="Z119" s="228">
        <v>27.96</v>
      </c>
      <c r="AA119" s="228">
        <v>4.9200000000000017</v>
      </c>
      <c r="AB119" s="228">
        <v>67.12</v>
      </c>
      <c r="AC119" s="229" t="s">
        <v>2654</v>
      </c>
      <c r="AD119" s="228">
        <v>5.8861015278462299</v>
      </c>
      <c r="AE119">
        <f>IF('WetLitterbags placem_collection'!AB120="","",'WetLitterbags placem_collection'!AB120)</f>
        <v>17.5</v>
      </c>
      <c r="AF119">
        <f>IF('WetLitterbags placem_collection'!Z120="","",'WetLitterbags placem_collection'!Z120)</f>
        <v>70.5</v>
      </c>
      <c r="AG119" s="243" t="str">
        <f>IF('WetLitterbags placem_collection'!AA120="","",'WetLitterbags placem_collection'!AA120)</f>
        <v>G</v>
      </c>
      <c r="AH119">
        <f>IF('WetLitterbags placem_collection'!AC120="","",'WetLitterbags placem_collection'!AC120)</f>
        <v>1</v>
      </c>
      <c r="AI119" s="237">
        <f>AVERAGE('WetLitterbags placem_collection'!S120,'WetLitterbags placem_collection'!U120)</f>
        <v>10.7</v>
      </c>
      <c r="AJ119">
        <f>AVERAGE('WetLitterbags placem_collection'!R120,'WetLitterbags placem_collection'!T120)</f>
        <v>30.85</v>
      </c>
      <c r="AK119">
        <f>INDEX(Coordinates!$B$2:$B$197,MATCH(H119,Coordinates!$J$2:$J$197,0))</f>
        <v>-2.3488729629999998</v>
      </c>
      <c r="AL119">
        <f>INDEX(Coordinates!$C$2:$C$197,MATCH(H119,Coordinates!$J$2:$J$197,0))</f>
        <v>34.051454980000003</v>
      </c>
      <c r="AM119" t="str">
        <f>IF(ISNUMBER(SEARCH("C", 'WetLitterbags placem_collection'!$V120)),"YES","NO")</f>
        <v>YES</v>
      </c>
      <c r="AN119" t="str">
        <f>IF(ISNUMBER(SEARCH("H", 'WetLitterbags placem_collection'!$V120)),"YES","NO")</f>
        <v>YES</v>
      </c>
      <c r="AO119" t="str">
        <f>IF(ISNUMBER(SEARCH("R", 'WetLitterbags placem_collection'!$V120)),"YES","NO")</f>
        <v>YES</v>
      </c>
    </row>
    <row r="120" spans="1:41" ht="15" customHeight="1">
      <c r="A120" s="255" t="s">
        <v>2454</v>
      </c>
      <c r="B120" s="260">
        <f>'Dry_Litterbag Placem_Collection'!A121</f>
        <v>119</v>
      </c>
      <c r="C120" s="260" t="str">
        <f>'Dry_Litterbag Placem_Collection'!B121</f>
        <v xml:space="preserve">Mwantimba
</v>
      </c>
      <c r="D120" s="260" t="s">
        <v>2454</v>
      </c>
      <c r="E120" s="260" t="s">
        <v>2644</v>
      </c>
      <c r="F120" s="260">
        <v>3</v>
      </c>
      <c r="G120" s="260" t="s">
        <v>3818</v>
      </c>
      <c r="H120" s="261" t="str">
        <f>'Dry_Litterbag Placem_Collection'!C121</f>
        <v>Wet_Ag3_T7</v>
      </c>
      <c r="I120" s="262" t="s">
        <v>2525</v>
      </c>
      <c r="J120" s="263" t="s">
        <v>1147</v>
      </c>
      <c r="K120" s="221" t="str">
        <f>'WetLitterbags placem_collection'!K121</f>
        <v>G657</v>
      </c>
      <c r="L120" s="223">
        <f>IFERROR(INDEX('Green_rooibos initial weight'!$C$5:$C$2000,MATCH(K120, 'Green_rooibos initial weight'!$A$5:$A$2000,0)),"")</f>
        <v>1.9910000000000001</v>
      </c>
      <c r="M120" s="223">
        <f>IFERROR(L120-(TBIcalc!$H$9+TBIcalc!$H$10),"")</f>
        <v>1.7412000000000001</v>
      </c>
      <c r="N120" s="385">
        <f>AVERAGE(Ashed_controlls!$K$2:$K$11)</f>
        <v>5.5147656768714146</v>
      </c>
      <c r="O120" s="223">
        <f t="shared" si="6"/>
        <v>1.645176900034315</v>
      </c>
      <c r="P120" s="223">
        <f>IFERROR(INDEX('Both teabags AfterWet'!$C$3:$C$840,MATCH(K120,'Both teabags AfterWet'!$A$3:$A$840,0)),"")</f>
        <v>0.70099999999999996</v>
      </c>
      <c r="Q120" s="223">
        <f>IFERROR(IF(P120&gt;0,P120-(TBIcalc!$H$9),""),"")</f>
        <v>0.5504</v>
      </c>
      <c r="R120" s="223">
        <f>IFERROR(INDEX('Ashed teabags wet'!$K$2:$K$2000,MATCH(K120,'Ashed teabags wet'!$A$2:$A$2000,0)),"")</f>
        <v>15.711556829035821</v>
      </c>
      <c r="S120" s="223">
        <f t="shared" si="7"/>
        <v>0.46392359121298682</v>
      </c>
      <c r="T120" s="224">
        <f>'WetLitterbags placem_collection'!E121</f>
        <v>42762</v>
      </c>
      <c r="U120" s="224">
        <f>IF('WetLitterbags placem_collection'!G121="","",'WetLitterbags placem_collection'!G121)</f>
        <v>42816</v>
      </c>
      <c r="V120" s="225">
        <f t="shared" si="5"/>
        <v>54</v>
      </c>
      <c r="W120" s="223">
        <f t="shared" si="8"/>
        <v>1.1908000000000001</v>
      </c>
      <c r="X120" s="223">
        <f t="shared" si="9"/>
        <v>1.1812533088213282</v>
      </c>
      <c r="Y120">
        <f>IFERROR(INDEX(Rainfall_Wet!$O$2:$O$217,MATCH(B120, Rainfall_Wet!$A$2:$A$217,0)),"")</f>
        <v>206.85140822299999</v>
      </c>
      <c r="Z120" s="228">
        <v>27.96</v>
      </c>
      <c r="AA120" s="228">
        <v>4.9200000000000017</v>
      </c>
      <c r="AB120" s="228">
        <v>67.12</v>
      </c>
      <c r="AC120" s="229" t="s">
        <v>2654</v>
      </c>
      <c r="AD120" s="228">
        <v>6.8861015278462299</v>
      </c>
      <c r="AE120">
        <f>IF('WetLitterbags placem_collection'!AB121="","",'WetLitterbags placem_collection'!AB121)</f>
        <v>18.5</v>
      </c>
      <c r="AF120">
        <f>IF('WetLitterbags placem_collection'!Z121="","",'WetLitterbags placem_collection'!Z121)</f>
        <v>74.5</v>
      </c>
      <c r="AG120" s="243" t="str">
        <f>IF('WetLitterbags placem_collection'!AA121="","",'WetLitterbags placem_collection'!AA121)</f>
        <v>G</v>
      </c>
      <c r="AH120">
        <f>IF('WetLitterbags placem_collection'!AC121="","",'WetLitterbags placem_collection'!AC121)</f>
        <v>1</v>
      </c>
      <c r="AI120" s="237">
        <f>AVERAGE('WetLitterbags placem_collection'!S121,'WetLitterbags placem_collection'!U121)</f>
        <v>11.05</v>
      </c>
      <c r="AJ120">
        <f>AVERAGE('WetLitterbags placem_collection'!R121,'WetLitterbags placem_collection'!T121)</f>
        <v>30.450000000000003</v>
      </c>
      <c r="AK120">
        <f>INDEX(Coordinates!$B$2:$B$197,MATCH(H120,Coordinates!$J$2:$J$197,0))</f>
        <v>-2.3488589659999999</v>
      </c>
      <c r="AL120">
        <f>INDEX(Coordinates!$C$2:$C$197,MATCH(H120,Coordinates!$J$2:$J$197,0))</f>
        <v>34.051389010000001</v>
      </c>
      <c r="AM120" t="str">
        <f>IF(ISNUMBER(SEARCH("C", 'WetLitterbags placem_collection'!$V121)),"YES","NO")</f>
        <v>NO</v>
      </c>
      <c r="AN120" t="str">
        <f>IF(ISNUMBER(SEARCH("H", 'WetLitterbags placem_collection'!$V121)),"YES","NO")</f>
        <v>NO</v>
      </c>
      <c r="AO120" t="str">
        <f>IF(ISNUMBER(SEARCH("R", 'WetLitterbags placem_collection'!$V121)),"YES","NO")</f>
        <v>YES</v>
      </c>
    </row>
    <row r="121" spans="1:41" ht="15" customHeight="1">
      <c r="A121" s="255" t="s">
        <v>2454</v>
      </c>
      <c r="B121" s="260">
        <f>'Dry_Litterbag Placem_Collection'!A122</f>
        <v>120</v>
      </c>
      <c r="C121" s="260" t="str">
        <f>'Dry_Litterbag Placem_Collection'!B122</f>
        <v xml:space="preserve">Mwantimba
</v>
      </c>
      <c r="D121" s="260" t="s">
        <v>2454</v>
      </c>
      <c r="E121" s="260" t="s">
        <v>2644</v>
      </c>
      <c r="F121" s="260">
        <v>3</v>
      </c>
      <c r="G121" s="260" t="s">
        <v>3818</v>
      </c>
      <c r="H121" s="261" t="str">
        <f>'Dry_Litterbag Placem_Collection'!C122</f>
        <v>Wet_Ag3_T8</v>
      </c>
      <c r="I121" s="262" t="s">
        <v>2525</v>
      </c>
      <c r="J121" s="263" t="s">
        <v>1147</v>
      </c>
      <c r="K121" s="221" t="str">
        <f>'WetLitterbags placem_collection'!K122</f>
        <v>G758</v>
      </c>
      <c r="L121" s="223">
        <f>IFERROR(INDEX('Green_rooibos initial weight'!$C$5:$C$2000,MATCH(K121, 'Green_rooibos initial weight'!$A$5:$A$2000,0)),"")</f>
        <v>2.0310000000000001</v>
      </c>
      <c r="M121" s="223">
        <f>IFERROR(L121-(TBIcalc!$H$9+TBIcalc!$H$10),"")</f>
        <v>1.7812000000000001</v>
      </c>
      <c r="N121" s="385">
        <f>AVERAGE(Ashed_controlls!$K$2:$K$11)</f>
        <v>5.5147656768714146</v>
      </c>
      <c r="O121" s="223">
        <f t="shared" si="6"/>
        <v>1.6829709937635664</v>
      </c>
      <c r="P121" s="223">
        <f>IFERROR(INDEX('Both teabags AfterWet'!$C$3:$C$840,MATCH(K121,'Both teabags AfterWet'!$A$3:$A$840,0)),"")</f>
        <v>0.67110000000000003</v>
      </c>
      <c r="Q121" s="223">
        <f>IFERROR(IF(P121&gt;0,P121-(TBIcalc!$H$9),""),"")</f>
        <v>0.52049999999999996</v>
      </c>
      <c r="R121" s="223">
        <f>IFERROR(INDEX('Ashed teabags wet'!$K$2:$K$2000,MATCH(K121,'Ashed teabags wet'!$A$2:$A$2000,0)),"")</f>
        <v>20.466444550213541</v>
      </c>
      <c r="S121" s="223">
        <f t="shared" si="7"/>
        <v>0.41397215611613847</v>
      </c>
      <c r="T121" s="224">
        <f>'WetLitterbags placem_collection'!E122</f>
        <v>42762</v>
      </c>
      <c r="U121" s="224">
        <f>IF('WetLitterbags placem_collection'!G122="","",'WetLitterbags placem_collection'!G122)</f>
        <v>42816</v>
      </c>
      <c r="V121" s="225">
        <f t="shared" si="5"/>
        <v>54</v>
      </c>
      <c r="W121" s="223">
        <f t="shared" si="8"/>
        <v>1.2607000000000002</v>
      </c>
      <c r="X121" s="223">
        <f t="shared" si="9"/>
        <v>1.2689988376474279</v>
      </c>
      <c r="Y121">
        <f>IFERROR(INDEX(Rainfall_Wet!$O$2:$O$217,MATCH(B121, Rainfall_Wet!$A$2:$A$217,0)),"")</f>
        <v>206.85140822299999</v>
      </c>
      <c r="Z121" s="228">
        <v>27.96</v>
      </c>
      <c r="AA121" s="228">
        <v>4.9200000000000017</v>
      </c>
      <c r="AB121" s="228">
        <v>67.12</v>
      </c>
      <c r="AC121" s="229" t="s">
        <v>2654</v>
      </c>
      <c r="AD121" s="228">
        <v>7.8861015278462299</v>
      </c>
      <c r="AE121">
        <f>IF('WetLitterbags placem_collection'!AB122="","",'WetLitterbags placem_collection'!AB122)</f>
        <v>19</v>
      </c>
      <c r="AF121">
        <f>IF('WetLitterbags placem_collection'!Z122="","",'WetLitterbags placem_collection'!Z122)</f>
        <v>98.5</v>
      </c>
      <c r="AG121" s="243" t="str">
        <f>IF('WetLitterbags placem_collection'!AA122="","",'WetLitterbags placem_collection'!AA122)</f>
        <v>G</v>
      </c>
      <c r="AH121">
        <f>IF('WetLitterbags placem_collection'!AC122="","",'WetLitterbags placem_collection'!AC122)</f>
        <v>0</v>
      </c>
      <c r="AI121" s="237">
        <f>AVERAGE('WetLitterbags placem_collection'!S122,'WetLitterbags placem_collection'!U122)</f>
        <v>14.95</v>
      </c>
      <c r="AJ121">
        <f>AVERAGE('WetLitterbags placem_collection'!R122,'WetLitterbags placem_collection'!T122)</f>
        <v>30.299999999999997</v>
      </c>
      <c r="AK121">
        <f>INDEX(Coordinates!$B$2:$B$197,MATCH(H121,Coordinates!$J$2:$J$197,0))</f>
        <v>-2.3486449760000001</v>
      </c>
      <c r="AL121">
        <f>INDEX(Coordinates!$C$2:$C$197,MATCH(H121,Coordinates!$J$2:$J$197,0))</f>
        <v>34.051495969999998</v>
      </c>
      <c r="AM121" t="str">
        <f>IF(ISNUMBER(SEARCH("C", 'WetLitterbags placem_collection'!$V122)),"YES","NO")</f>
        <v>NO</v>
      </c>
      <c r="AN121" t="str">
        <f>IF(ISNUMBER(SEARCH("H", 'WetLitterbags placem_collection'!$V122)),"YES","NO")</f>
        <v>YES</v>
      </c>
      <c r="AO121" t="str">
        <f>IF(ISNUMBER(SEARCH("R", 'WetLitterbags placem_collection'!$V122)),"YES","NO")</f>
        <v>NO</v>
      </c>
    </row>
    <row r="122" spans="1:41" ht="15" customHeight="1">
      <c r="A122" s="255" t="s">
        <v>2454</v>
      </c>
      <c r="B122" s="260">
        <f>'Dry_Litterbag Placem_Collection'!A123</f>
        <v>121</v>
      </c>
      <c r="C122" s="260" t="str">
        <f>'Dry_Litterbag Placem_Collection'!B123</f>
        <v xml:space="preserve">Mwantimba
</v>
      </c>
      <c r="D122" s="260" t="s">
        <v>2454</v>
      </c>
      <c r="E122" s="260" t="s">
        <v>2644</v>
      </c>
      <c r="F122" s="260">
        <v>4</v>
      </c>
      <c r="G122" s="260" t="s">
        <v>3819</v>
      </c>
      <c r="H122" s="261" t="str">
        <f>'Dry_Litterbag Placem_Collection'!C123</f>
        <v>Wet_Ag4_T1</v>
      </c>
      <c r="I122" s="262" t="s">
        <v>2525</v>
      </c>
      <c r="J122" s="263" t="s">
        <v>1147</v>
      </c>
      <c r="K122" s="221" t="str">
        <f>'WetLitterbags placem_collection'!K123</f>
        <v>G666</v>
      </c>
      <c r="L122" s="223">
        <f>IFERROR(INDEX('Green_rooibos initial weight'!$C$5:$C$2000,MATCH(K122, 'Green_rooibos initial weight'!$A$5:$A$2000,0)),"")</f>
        <v>2.0819999999999999</v>
      </c>
      <c r="M122" s="223">
        <f>IFERROR(L122-(TBIcalc!$H$9+TBIcalc!$H$10),"")</f>
        <v>1.8321999999999998</v>
      </c>
      <c r="N122" s="385">
        <f>AVERAGE(Ashed_controlls!$K$2:$K$11)</f>
        <v>5.5147656768714146</v>
      </c>
      <c r="O122" s="223">
        <f t="shared" si="6"/>
        <v>1.7311584632683619</v>
      </c>
      <c r="P122" s="223">
        <f>IFERROR(INDEX('Both teabags AfterWet'!$C$3:$C$840,MATCH(K122,'Both teabags AfterWet'!$A$3:$A$840,0)),"")</f>
        <v>0.63500000000000001</v>
      </c>
      <c r="Q122" s="223">
        <f>IFERROR(IF(P122&gt;0,P122-(TBIcalc!$H$9),""),"")</f>
        <v>0.4844</v>
      </c>
      <c r="R122" s="223">
        <f>IFERROR(INDEX('Ashed teabags wet'!$K$2:$K$2000,MATCH(K122,'Ashed teabags wet'!$A$2:$A$2000,0)),"")</f>
        <v>11.971153846154037</v>
      </c>
      <c r="S122" s="223">
        <f t="shared" si="7"/>
        <v>0.42641173076922984</v>
      </c>
      <c r="T122" s="224">
        <f>'WetLitterbags placem_collection'!E123</f>
        <v>42762</v>
      </c>
      <c r="U122" s="224">
        <f>IF('WetLitterbags placem_collection'!G123="","",'WetLitterbags placem_collection'!G123)</f>
        <v>42816</v>
      </c>
      <c r="V122" s="225">
        <f t="shared" si="5"/>
        <v>54</v>
      </c>
      <c r="W122" s="223">
        <f t="shared" si="8"/>
        <v>1.3477999999999999</v>
      </c>
      <c r="X122" s="223">
        <f t="shared" si="9"/>
        <v>1.304746732499132</v>
      </c>
      <c r="Y122">
        <f>IFERROR(INDEX(Rainfall_Wet!$O$2:$O$217,MATCH(B122, Rainfall_Wet!$A$2:$A$217,0)),"")</f>
        <v>206.85140822299999</v>
      </c>
      <c r="Z122" s="228">
        <v>17.96</v>
      </c>
      <c r="AA122" s="228">
        <v>4.9199999999999982</v>
      </c>
      <c r="AB122" s="228">
        <v>77.12</v>
      </c>
      <c r="AC122" s="229" t="s">
        <v>2655</v>
      </c>
      <c r="AD122" s="228">
        <v>2.0220798422868409</v>
      </c>
      <c r="AE122">
        <f>IF('WetLitterbags placem_collection'!AB123="","",'WetLitterbags placem_collection'!AB123)</f>
        <v>9.65</v>
      </c>
      <c r="AF122">
        <f>IF('WetLitterbags placem_collection'!Z123="","",'WetLitterbags placem_collection'!Z123)</f>
        <v>63</v>
      </c>
      <c r="AG122" s="243" t="str">
        <f>IF('WetLitterbags placem_collection'!AA123="","",'WetLitterbags placem_collection'!AA123)</f>
        <v>G</v>
      </c>
      <c r="AH122">
        <f>IF('WetLitterbags placem_collection'!AC123="","",'WetLitterbags placem_collection'!AC123)</f>
        <v>0</v>
      </c>
      <c r="AI122" s="237">
        <f>AVERAGE('WetLitterbags placem_collection'!S123,'WetLitterbags placem_collection'!U123)</f>
        <v>9.5500000000000007</v>
      </c>
      <c r="AJ122">
        <f>AVERAGE('WetLitterbags placem_collection'!R123,'WetLitterbags placem_collection'!T123)</f>
        <v>30.75</v>
      </c>
      <c r="AK122">
        <f>INDEX(Coordinates!$B$2:$B$197,MATCH(H122,Coordinates!$J$2:$J$197,0))</f>
        <v>-2.3492639789999998</v>
      </c>
      <c r="AL122">
        <f>INDEX(Coordinates!$C$2:$C$197,MATCH(H122,Coordinates!$J$2:$J$197,0))</f>
        <v>34.051464029999998</v>
      </c>
      <c r="AM122" t="str">
        <f>IF(ISNUMBER(SEARCH("C", 'WetLitterbags placem_collection'!$V123)),"YES","NO")</f>
        <v>NO</v>
      </c>
      <c r="AN122" t="str">
        <f>IF(ISNUMBER(SEARCH("H", 'WetLitterbags placem_collection'!$V123)),"YES","NO")</f>
        <v>NO</v>
      </c>
      <c r="AO122" t="str">
        <f>IF(ISNUMBER(SEARCH("R", 'WetLitterbags placem_collection'!$V123)),"YES","NO")</f>
        <v>YES</v>
      </c>
    </row>
    <row r="123" spans="1:41" ht="15" customHeight="1">
      <c r="A123" s="255" t="s">
        <v>2454</v>
      </c>
      <c r="B123" s="260">
        <f>'Dry_Litterbag Placem_Collection'!A124</f>
        <v>122</v>
      </c>
      <c r="C123" s="260" t="str">
        <f>'Dry_Litterbag Placem_Collection'!B124</f>
        <v xml:space="preserve">Mwantimba
</v>
      </c>
      <c r="D123" s="260" t="s">
        <v>2454</v>
      </c>
      <c r="E123" s="260" t="s">
        <v>2644</v>
      </c>
      <c r="F123" s="260">
        <v>4</v>
      </c>
      <c r="G123" s="260" t="s">
        <v>3819</v>
      </c>
      <c r="H123" s="261" t="str">
        <f>'Dry_Litterbag Placem_Collection'!C124</f>
        <v>Wet_Ag4_T2</v>
      </c>
      <c r="I123" s="262" t="s">
        <v>2525</v>
      </c>
      <c r="J123" s="263" t="s">
        <v>1147</v>
      </c>
      <c r="K123" s="221" t="str">
        <f>'WetLitterbags placem_collection'!K124</f>
        <v>G860</v>
      </c>
      <c r="L123" s="223">
        <f>IFERROR(INDEX('Green_rooibos initial weight'!$C$5:$C$2000,MATCH(K123, 'Green_rooibos initial weight'!$A$5:$A$2000,0)),"")</f>
        <v>1.9570000000000001</v>
      </c>
      <c r="M123" s="223">
        <f>IFERROR(L123-(TBIcalc!$H$9+TBIcalc!$H$10),"")</f>
        <v>1.7072000000000001</v>
      </c>
      <c r="N123" s="385">
        <f>AVERAGE(Ashed_controlls!$K$2:$K$11)</f>
        <v>5.5147656768714146</v>
      </c>
      <c r="O123" s="223">
        <f t="shared" si="6"/>
        <v>1.6130519203644513</v>
      </c>
      <c r="P123" s="223">
        <f>IFERROR(INDEX('Both teabags AfterWet'!$C$3:$C$840,MATCH(K123,'Both teabags AfterWet'!$A$3:$A$840,0)),"")</f>
        <v>0.76800000000000002</v>
      </c>
      <c r="Q123" s="223">
        <f>IFERROR(IF(P123&gt;0,P123-(TBIcalc!$H$9),""),"")</f>
        <v>0.61739999999999995</v>
      </c>
      <c r="R123" s="223">
        <f>IFERROR(INDEX('Ashed teabags wet'!$K$2:$K$2000,MATCH(K123,'Ashed teabags wet'!$A$2:$A$2000,0)),"")</f>
        <v>32.606541129831015</v>
      </c>
      <c r="S123" s="223">
        <f t="shared" si="7"/>
        <v>0.41608721506442325</v>
      </c>
      <c r="T123" s="224">
        <f>'WetLitterbags placem_collection'!E124</f>
        <v>42762</v>
      </c>
      <c r="U123" s="224">
        <f>IF('WetLitterbags placem_collection'!G124="","",'WetLitterbags placem_collection'!G124)</f>
        <v>42816</v>
      </c>
      <c r="V123" s="225">
        <f t="shared" si="5"/>
        <v>54</v>
      </c>
      <c r="W123" s="223">
        <f t="shared" si="8"/>
        <v>1.0898000000000001</v>
      </c>
      <c r="X123" s="223">
        <f t="shared" si="9"/>
        <v>1.1969647053000281</v>
      </c>
      <c r="Y123">
        <f>IFERROR(INDEX(Rainfall_Wet!$O$2:$O$217,MATCH(B123, Rainfall_Wet!$A$2:$A$217,0)),"")</f>
        <v>206.85140822299999</v>
      </c>
      <c r="Z123" s="228">
        <v>17.96</v>
      </c>
      <c r="AA123" s="228">
        <v>4.9199999999999982</v>
      </c>
      <c r="AB123" s="228">
        <v>77.12</v>
      </c>
      <c r="AC123" s="229" t="s">
        <v>2655</v>
      </c>
      <c r="AD123" s="228">
        <v>3.02207984228684</v>
      </c>
      <c r="AE123">
        <f>IF('WetLitterbags placem_collection'!AB124="","",'WetLitterbags placem_collection'!AB124)</f>
        <v>3.1</v>
      </c>
      <c r="AF123">
        <f>IF('WetLitterbags placem_collection'!Z124="","",'WetLitterbags placem_collection'!Z124)</f>
        <v>53</v>
      </c>
      <c r="AG123" s="243" t="str">
        <f>IF('WetLitterbags placem_collection'!AA124="","",'WetLitterbags placem_collection'!AA124)</f>
        <v>G</v>
      </c>
      <c r="AH123">
        <f>IF('WetLitterbags placem_collection'!AC124="","",'WetLitterbags placem_collection'!AC124)</f>
        <v>0</v>
      </c>
      <c r="AI123" s="237">
        <f>AVERAGE('WetLitterbags placem_collection'!S124,'WetLitterbags placem_collection'!U124)</f>
        <v>11.8</v>
      </c>
      <c r="AJ123">
        <f>AVERAGE('WetLitterbags placem_collection'!R124,'WetLitterbags placem_collection'!T124)</f>
        <v>30.650000000000002</v>
      </c>
      <c r="AK123">
        <f>INDEX(Coordinates!$B$2:$B$197,MATCH(H123,Coordinates!$J$2:$J$197,0))</f>
        <v>-2.34923196</v>
      </c>
      <c r="AL123">
        <f>INDEX(Coordinates!$C$2:$C$197,MATCH(H123,Coordinates!$J$2:$J$197,0))</f>
        <v>34.051422039999999</v>
      </c>
      <c r="AM123" t="str">
        <f>IF(ISNUMBER(SEARCH("C", 'WetLitterbags placem_collection'!$V124)),"YES","NO")</f>
        <v>NO</v>
      </c>
      <c r="AN123" t="str">
        <f>IF(ISNUMBER(SEARCH("H", 'WetLitterbags placem_collection'!$V124)),"YES","NO")</f>
        <v>YES</v>
      </c>
      <c r="AO123" t="str">
        <f>IF(ISNUMBER(SEARCH("R", 'WetLitterbags placem_collection'!$V124)),"YES","NO")</f>
        <v>YES</v>
      </c>
    </row>
    <row r="124" spans="1:41" ht="15" customHeight="1">
      <c r="A124" s="255" t="s">
        <v>2454</v>
      </c>
      <c r="B124" s="260">
        <f>'Dry_Litterbag Placem_Collection'!A125</f>
        <v>123</v>
      </c>
      <c r="C124" s="260" t="str">
        <f>'Dry_Litterbag Placem_Collection'!B125</f>
        <v xml:space="preserve">Mwantimba
</v>
      </c>
      <c r="D124" s="260" t="s">
        <v>2454</v>
      </c>
      <c r="E124" s="260" t="s">
        <v>2644</v>
      </c>
      <c r="F124" s="260">
        <v>4</v>
      </c>
      <c r="G124" s="260" t="s">
        <v>3819</v>
      </c>
      <c r="H124" s="261" t="str">
        <f>'Dry_Litterbag Placem_Collection'!C125</f>
        <v>Wet_Ag4_T3</v>
      </c>
      <c r="I124" s="262" t="s">
        <v>2525</v>
      </c>
      <c r="J124" s="263" t="s">
        <v>1147</v>
      </c>
      <c r="K124" s="221" t="str">
        <f>'WetLitterbags placem_collection'!K125</f>
        <v>G694</v>
      </c>
      <c r="L124" s="223">
        <f>IFERROR(INDEX('Green_rooibos initial weight'!$C$5:$C$2000,MATCH(K124, 'Green_rooibos initial weight'!$A$5:$A$2000,0)),"")</f>
        <v>1.992</v>
      </c>
      <c r="M124" s="223">
        <f>IFERROR(L124-(TBIcalc!$H$9+TBIcalc!$H$10),"")</f>
        <v>1.7422</v>
      </c>
      <c r="N124" s="385">
        <f>AVERAGE(Ashed_controlls!$K$2:$K$11)</f>
        <v>5.5147656768714146</v>
      </c>
      <c r="O124" s="223">
        <f t="shared" si="6"/>
        <v>1.6461217523775462</v>
      </c>
      <c r="P124" s="223">
        <f>IFERROR(INDEX('Both teabags AfterWet'!$C$3:$C$840,MATCH(K124,'Both teabags AfterWet'!$A$3:$A$840,0)),"")</f>
        <v>0.622</v>
      </c>
      <c r="Q124" s="223">
        <f>IFERROR(IF(P124&gt;0,P124-(TBIcalc!$H$9),""),"")</f>
        <v>0.47139999999999999</v>
      </c>
      <c r="R124" s="223">
        <f>IFERROR(INDEX('Ashed teabags wet'!$K$2:$K$2000,MATCH(K124,'Ashed teabags wet'!$A$2:$A$2000,0)),"")</f>
        <v>15.574174470182131</v>
      </c>
      <c r="S124" s="223">
        <f t="shared" si="7"/>
        <v>0.39798334154756143</v>
      </c>
      <c r="T124" s="224">
        <f>'WetLitterbags placem_collection'!E125</f>
        <v>42762</v>
      </c>
      <c r="U124" s="224">
        <f>IF('WetLitterbags placem_collection'!G125="","",'WetLitterbags placem_collection'!G125)</f>
        <v>42816</v>
      </c>
      <c r="V124" s="225">
        <f t="shared" si="5"/>
        <v>54</v>
      </c>
      <c r="W124" s="223">
        <f t="shared" si="8"/>
        <v>1.2707999999999999</v>
      </c>
      <c r="X124" s="223">
        <f t="shared" si="9"/>
        <v>1.2481384108299847</v>
      </c>
      <c r="Y124">
        <f>IFERROR(INDEX(Rainfall_Wet!$O$2:$O$217,MATCH(B124, Rainfall_Wet!$A$2:$A$217,0)),"")</f>
        <v>206.85140822299999</v>
      </c>
      <c r="Z124" s="228">
        <v>17.96</v>
      </c>
      <c r="AA124" s="228">
        <v>4.9199999999999982</v>
      </c>
      <c r="AB124" s="228">
        <v>77.12</v>
      </c>
      <c r="AC124" s="229" t="s">
        <v>2655</v>
      </c>
      <c r="AD124" s="228">
        <v>4.02207984228684</v>
      </c>
      <c r="AE124">
        <f>IF('WetLitterbags placem_collection'!AB125="","",'WetLitterbags placem_collection'!AB125)</f>
        <v>3.9</v>
      </c>
      <c r="AF124">
        <f>IF('WetLitterbags placem_collection'!Z125="","",'WetLitterbags placem_collection'!Z125)</f>
        <v>51</v>
      </c>
      <c r="AG124" s="243" t="str">
        <f>IF('WetLitterbags placem_collection'!AA125="","",'WetLitterbags placem_collection'!AA125)</f>
        <v>G</v>
      </c>
      <c r="AH124">
        <f>IF('WetLitterbags placem_collection'!AC125="","",'WetLitterbags placem_collection'!AC125)</f>
        <v>1</v>
      </c>
      <c r="AI124" s="237">
        <f>AVERAGE('WetLitterbags placem_collection'!S125,'WetLitterbags placem_collection'!U125)</f>
        <v>13.2</v>
      </c>
      <c r="AJ124">
        <f>AVERAGE('WetLitterbags placem_collection'!R125,'WetLitterbags placem_collection'!T125)</f>
        <v>31.85</v>
      </c>
      <c r="AK124">
        <f>INDEX(Coordinates!$B$2:$B$197,MATCH(H124,Coordinates!$J$2:$J$197,0))</f>
        <v>-2.3492390009999999</v>
      </c>
      <c r="AL124">
        <f>INDEX(Coordinates!$C$2:$C$197,MATCH(H124,Coordinates!$J$2:$J$197,0))</f>
        <v>34.051304020000003</v>
      </c>
      <c r="AM124" t="str">
        <f>IF(ISNUMBER(SEARCH("C", 'WetLitterbags placem_collection'!$V125)),"YES","NO")</f>
        <v>NO</v>
      </c>
      <c r="AN124" t="str">
        <f>IF(ISNUMBER(SEARCH("H", 'WetLitterbags placem_collection'!$V125)),"YES","NO")</f>
        <v>NO</v>
      </c>
      <c r="AO124" t="str">
        <f>IF(ISNUMBER(SEARCH("R", 'WetLitterbags placem_collection'!$V125)),"YES","NO")</f>
        <v>YES</v>
      </c>
    </row>
    <row r="125" spans="1:41" ht="15" customHeight="1">
      <c r="A125" s="255" t="s">
        <v>2454</v>
      </c>
      <c r="B125" s="260">
        <f>'Dry_Litterbag Placem_Collection'!A126</f>
        <v>124</v>
      </c>
      <c r="C125" s="260" t="str">
        <f>'Dry_Litterbag Placem_Collection'!B126</f>
        <v xml:space="preserve">Mwantimba
</v>
      </c>
      <c r="D125" s="260" t="s">
        <v>2454</v>
      </c>
      <c r="E125" s="260" t="s">
        <v>2644</v>
      </c>
      <c r="F125" s="260">
        <v>4</v>
      </c>
      <c r="G125" s="260" t="s">
        <v>3819</v>
      </c>
      <c r="H125" s="261" t="str">
        <f>'Dry_Litterbag Placem_Collection'!C126</f>
        <v>Wet_Ag4_T4</v>
      </c>
      <c r="I125" s="262" t="s">
        <v>2525</v>
      </c>
      <c r="J125" s="263" t="s">
        <v>1147</v>
      </c>
      <c r="K125" s="221" t="str">
        <f>'WetLitterbags placem_collection'!K126</f>
        <v>G867</v>
      </c>
      <c r="L125" s="223">
        <f>IFERROR(INDEX('Green_rooibos initial weight'!$C$5:$C$2000,MATCH(K125, 'Green_rooibos initial weight'!$A$5:$A$2000,0)),"")</f>
        <v>1.907</v>
      </c>
      <c r="M125" s="223">
        <f>IFERROR(L125-(TBIcalc!$H$9+TBIcalc!$H$10),"")</f>
        <v>1.6572</v>
      </c>
      <c r="N125" s="385">
        <f>AVERAGE(Ashed_controlls!$K$2:$K$11)</f>
        <v>5.5147656768714146</v>
      </c>
      <c r="O125" s="223">
        <f t="shared" si="6"/>
        <v>1.565809303202887</v>
      </c>
      <c r="P125" s="223">
        <f>IFERROR(INDEX('Both teabags AfterWet'!$C$3:$C$840,MATCH(K125,'Both teabags AfterWet'!$A$3:$A$840,0)),"")</f>
        <v>0.84799999999999998</v>
      </c>
      <c r="Q125" s="223">
        <f>IFERROR(IF(P125&gt;0,P125-(TBIcalc!$H$9),""),"")</f>
        <v>0.69740000000000002</v>
      </c>
      <c r="R125" s="223">
        <f>IFERROR(INDEX('Ashed teabags wet'!$K$2:$K$2000,MATCH(K125,'Ashed teabags wet'!$A$2:$A$2000,0)),"")</f>
        <v>31.594202898550535</v>
      </c>
      <c r="S125" s="223">
        <f t="shared" si="7"/>
        <v>0.47706202898550859</v>
      </c>
      <c r="T125" s="224">
        <f>'WetLitterbags placem_collection'!E126</f>
        <v>42762</v>
      </c>
      <c r="U125" s="224">
        <f>IF('WetLitterbags placem_collection'!G126="","",'WetLitterbags placem_collection'!G126)</f>
        <v>42816</v>
      </c>
      <c r="V125" s="225">
        <f t="shared" si="5"/>
        <v>54</v>
      </c>
      <c r="W125" s="223">
        <f t="shared" si="8"/>
        <v>0.95979999999999999</v>
      </c>
      <c r="X125" s="223">
        <f t="shared" si="9"/>
        <v>1.0887472742173785</v>
      </c>
      <c r="Y125">
        <f>IFERROR(INDEX(Rainfall_Wet!$O$2:$O$217,MATCH(B125, Rainfall_Wet!$A$2:$A$217,0)),"")</f>
        <v>206.85140822299999</v>
      </c>
      <c r="Z125" s="228">
        <v>17.96</v>
      </c>
      <c r="AA125" s="228">
        <v>4.9199999999999982</v>
      </c>
      <c r="AB125" s="228">
        <v>77.12</v>
      </c>
      <c r="AC125" s="229" t="s">
        <v>2655</v>
      </c>
      <c r="AD125" s="228">
        <v>5.02207984228684</v>
      </c>
      <c r="AE125">
        <f>IF('WetLitterbags placem_collection'!AB126="","",'WetLitterbags placem_collection'!AB126)</f>
        <v>5.45</v>
      </c>
      <c r="AF125">
        <f>IF('WetLitterbags placem_collection'!Z126="","",'WetLitterbags placem_collection'!Z126)</f>
        <v>47</v>
      </c>
      <c r="AG125" s="243" t="str">
        <f>IF('WetLitterbags placem_collection'!AA126="","",'WetLitterbags placem_collection'!AA126)</f>
        <v>G</v>
      </c>
      <c r="AH125">
        <f>IF('WetLitterbags placem_collection'!AC126="","",'WetLitterbags placem_collection'!AC126)</f>
        <v>1</v>
      </c>
      <c r="AI125" s="237">
        <f>AVERAGE('WetLitterbags placem_collection'!S126,'WetLitterbags placem_collection'!U126)</f>
        <v>18.2</v>
      </c>
      <c r="AJ125">
        <f>AVERAGE('WetLitterbags placem_collection'!R126,'WetLitterbags placem_collection'!T126)</f>
        <v>31.1</v>
      </c>
      <c r="AK125">
        <f>INDEX(Coordinates!$B$2:$B$197,MATCH(H125,Coordinates!$J$2:$J$197,0))</f>
        <v>-2.3492799889999998</v>
      </c>
      <c r="AL125">
        <f>INDEX(Coordinates!$C$2:$C$197,MATCH(H125,Coordinates!$J$2:$J$197,0))</f>
        <v>34.051280970000001</v>
      </c>
      <c r="AM125" t="str">
        <f>IF(ISNUMBER(SEARCH("C", 'WetLitterbags placem_collection'!$V126)),"YES","NO")</f>
        <v>NO</v>
      </c>
      <c r="AN125" t="str">
        <f>IF(ISNUMBER(SEARCH("H", 'WetLitterbags placem_collection'!$V126)),"YES","NO")</f>
        <v>YES</v>
      </c>
      <c r="AO125" t="str">
        <f>IF(ISNUMBER(SEARCH("R", 'WetLitterbags placem_collection'!$V126)),"YES","NO")</f>
        <v>YES</v>
      </c>
    </row>
    <row r="126" spans="1:41" ht="15" customHeight="1">
      <c r="A126" s="255" t="s">
        <v>2454</v>
      </c>
      <c r="B126" s="260">
        <f>'Dry_Litterbag Placem_Collection'!A127</f>
        <v>125</v>
      </c>
      <c r="C126" s="260" t="str">
        <f>'Dry_Litterbag Placem_Collection'!B127</f>
        <v xml:space="preserve">Mwantimba
</v>
      </c>
      <c r="D126" s="260" t="s">
        <v>2454</v>
      </c>
      <c r="E126" s="260" t="s">
        <v>2644</v>
      </c>
      <c r="F126" s="260">
        <v>4</v>
      </c>
      <c r="G126" s="260" t="s">
        <v>3819</v>
      </c>
      <c r="H126" s="261" t="str">
        <f>'Dry_Litterbag Placem_Collection'!C127</f>
        <v>Wet_Ag4_T5</v>
      </c>
      <c r="I126" s="262" t="s">
        <v>2525</v>
      </c>
      <c r="J126" s="263" t="s">
        <v>1147</v>
      </c>
      <c r="K126" s="221" t="str">
        <f>'WetLitterbags placem_collection'!K127</f>
        <v>G793</v>
      </c>
      <c r="L126" s="223">
        <f>IFERROR(INDEX('Green_rooibos initial weight'!$C$5:$C$2000,MATCH(K126, 'Green_rooibos initial weight'!$A$5:$A$2000,0)),"")</f>
        <v>2.0459999999999998</v>
      </c>
      <c r="M126" s="223">
        <f>IFERROR(L126-(TBIcalc!$H$9+TBIcalc!$H$10),"")</f>
        <v>1.7961999999999998</v>
      </c>
      <c r="N126" s="385">
        <f>AVERAGE(Ashed_controlls!$K$2:$K$11)</f>
        <v>5.5147656768714146</v>
      </c>
      <c r="O126" s="223">
        <f t="shared" si="6"/>
        <v>1.6971437789120354</v>
      </c>
      <c r="P126" s="223">
        <f>IFERROR(INDEX('Both teabags AfterWet'!$C$3:$C$840,MATCH(K126,'Both teabags AfterWet'!$A$3:$A$840,0)),"")</f>
        <v>0.77200000000000002</v>
      </c>
      <c r="Q126" s="223">
        <f>IFERROR(IF(P126&gt;0,P126-(TBIcalc!$H$9),""),"")</f>
        <v>0.62139999999999995</v>
      </c>
      <c r="R126" s="223">
        <f>IFERROR(INDEX('Ashed teabags wet'!$K$2:$K$2000,MATCH(K126,'Ashed teabags wet'!$A$2:$A$2000,0)),"")</f>
        <v>27.918529557873711</v>
      </c>
      <c r="S126" s="223">
        <f t="shared" si="7"/>
        <v>0.44791425732737272</v>
      </c>
      <c r="T126" s="224">
        <f>'WetLitterbags placem_collection'!E127</f>
        <v>42762</v>
      </c>
      <c r="U126" s="224">
        <f>IF('WetLitterbags placem_collection'!G127="","",'WetLitterbags placem_collection'!G127)</f>
        <v>42816</v>
      </c>
      <c r="V126" s="225">
        <f t="shared" si="5"/>
        <v>54</v>
      </c>
      <c r="W126" s="223">
        <f t="shared" si="8"/>
        <v>1.1747999999999998</v>
      </c>
      <c r="X126" s="223">
        <f t="shared" si="9"/>
        <v>1.2492295215846627</v>
      </c>
      <c r="Y126">
        <f>IFERROR(INDEX(Rainfall_Wet!$O$2:$O$217,MATCH(B126, Rainfall_Wet!$A$2:$A$217,0)),"")</f>
        <v>206.85140822299999</v>
      </c>
      <c r="Z126" s="228">
        <v>17.96</v>
      </c>
      <c r="AA126" s="228">
        <v>4.9199999999999982</v>
      </c>
      <c r="AB126" s="228">
        <v>77.12</v>
      </c>
      <c r="AC126" s="229" t="s">
        <v>2655</v>
      </c>
      <c r="AD126" s="228">
        <v>6.02207984228684</v>
      </c>
      <c r="AE126">
        <f>IF('WetLitterbags placem_collection'!AB127="","",'WetLitterbags placem_collection'!AB127)</f>
        <v>9.3000000000000007</v>
      </c>
      <c r="AF126">
        <f>IF('WetLitterbags placem_collection'!Z127="","",'WetLitterbags placem_collection'!Z127)</f>
        <v>43</v>
      </c>
      <c r="AG126" s="243" t="str">
        <f>IF('WetLitterbags placem_collection'!AA127="","",'WetLitterbags placem_collection'!AA127)</f>
        <v>G</v>
      </c>
      <c r="AH126">
        <f>IF('WetLitterbags placem_collection'!AC127="","",'WetLitterbags placem_collection'!AC127)</f>
        <v>1</v>
      </c>
      <c r="AI126" s="237">
        <f>AVERAGE('WetLitterbags placem_collection'!S127,'WetLitterbags placem_collection'!U127)</f>
        <v>19.25</v>
      </c>
      <c r="AJ126">
        <f>AVERAGE('WetLitterbags placem_collection'!R127,'WetLitterbags placem_collection'!T127)</f>
        <v>32.049999999999997</v>
      </c>
      <c r="AK126">
        <f>INDEX(Coordinates!$B$2:$B$197,MATCH(H126,Coordinates!$J$2:$J$197,0))</f>
        <v>-2.3493320400000002</v>
      </c>
      <c r="AL126">
        <f>INDEX(Coordinates!$C$2:$C$197,MATCH(H126,Coordinates!$J$2:$J$197,0))</f>
        <v>34.051321960000003</v>
      </c>
      <c r="AM126" t="str">
        <f>IF(ISNUMBER(SEARCH("C", 'WetLitterbags placem_collection'!$V127)),"YES","NO")</f>
        <v>NO</v>
      </c>
      <c r="AN126" t="str">
        <f>IF(ISNUMBER(SEARCH("H", 'WetLitterbags placem_collection'!$V127)),"YES","NO")</f>
        <v>YES</v>
      </c>
      <c r="AO126" t="str">
        <f>IF(ISNUMBER(SEARCH("R", 'WetLitterbags placem_collection'!$V127)),"YES","NO")</f>
        <v>YES</v>
      </c>
    </row>
    <row r="127" spans="1:41" ht="15" customHeight="1">
      <c r="A127" s="255" t="s">
        <v>2454</v>
      </c>
      <c r="B127" s="260">
        <f>'Dry_Litterbag Placem_Collection'!A128</f>
        <v>126</v>
      </c>
      <c r="C127" s="260" t="str">
        <f>'Dry_Litterbag Placem_Collection'!B128</f>
        <v xml:space="preserve">Mwantimba
</v>
      </c>
      <c r="D127" s="260" t="s">
        <v>2454</v>
      </c>
      <c r="E127" s="260" t="s">
        <v>2644</v>
      </c>
      <c r="F127" s="260">
        <v>4</v>
      </c>
      <c r="G127" s="260" t="s">
        <v>3819</v>
      </c>
      <c r="H127" s="261" t="str">
        <f>'Dry_Litterbag Placem_Collection'!C128</f>
        <v>Wet_Ag4_T6</v>
      </c>
      <c r="I127" s="262" t="s">
        <v>2525</v>
      </c>
      <c r="J127" s="263" t="s">
        <v>1147</v>
      </c>
      <c r="K127" s="221" t="str">
        <f>'WetLitterbags placem_collection'!K128</f>
        <v>G749</v>
      </c>
      <c r="L127" s="223">
        <f>IFERROR(INDEX('Green_rooibos initial weight'!$C$5:$C$2000,MATCH(K127, 'Green_rooibos initial weight'!$A$5:$A$2000,0)),"")</f>
        <v>2.0179999999999998</v>
      </c>
      <c r="M127" s="223">
        <f>IFERROR(L127-(TBIcalc!$H$9+TBIcalc!$H$10),"")</f>
        <v>1.7681999999999998</v>
      </c>
      <c r="N127" s="385">
        <f>AVERAGE(Ashed_controlls!$K$2:$K$11)</f>
        <v>5.5147656768714146</v>
      </c>
      <c r="O127" s="223">
        <f t="shared" si="6"/>
        <v>1.6706879133015595</v>
      </c>
      <c r="P127" s="223">
        <f>IFERROR(INDEX('Both teabags AfterWet'!$C$3:$C$840,MATCH(K127,'Both teabags AfterWet'!$A$3:$A$840,0)),"")</f>
        <v>0.67800000000000005</v>
      </c>
      <c r="Q127" s="223">
        <f>IFERROR(IF(P127&gt;0,P127-(TBIcalc!$H$9),""),"")</f>
        <v>0.52740000000000009</v>
      </c>
      <c r="R127" s="223">
        <f>IFERROR(INDEX('Ashed teabags wet'!$K$2:$K$2000,MATCH(K127,'Ashed teabags wet'!$A$2:$A$2000,0)),"")</f>
        <v>14.484818317570399</v>
      </c>
      <c r="S127" s="223">
        <f t="shared" si="7"/>
        <v>0.4510070681931338</v>
      </c>
      <c r="T127" s="224">
        <f>'WetLitterbags placem_collection'!E128</f>
        <v>42762</v>
      </c>
      <c r="U127" s="224">
        <f>IF('WetLitterbags placem_collection'!G128="","",'WetLitterbags placem_collection'!G128)</f>
        <v>42816</v>
      </c>
      <c r="V127" s="225">
        <f t="shared" si="5"/>
        <v>54</v>
      </c>
      <c r="W127" s="223">
        <f t="shared" si="8"/>
        <v>1.2407999999999997</v>
      </c>
      <c r="X127" s="223">
        <f t="shared" si="9"/>
        <v>1.2196808451084258</v>
      </c>
      <c r="Y127">
        <f>IFERROR(INDEX(Rainfall_Wet!$O$2:$O$217,MATCH(B127, Rainfall_Wet!$A$2:$A$217,0)),"")</f>
        <v>206.85140822299999</v>
      </c>
      <c r="Z127" s="228">
        <v>17.96</v>
      </c>
      <c r="AA127" s="228">
        <v>4.9199999999999982</v>
      </c>
      <c r="AB127" s="228">
        <v>77.12</v>
      </c>
      <c r="AC127" s="229" t="s">
        <v>2655</v>
      </c>
      <c r="AD127" s="228">
        <v>7.02207984228684</v>
      </c>
      <c r="AE127">
        <f>IF('WetLitterbags placem_collection'!AB128="","",'WetLitterbags placem_collection'!AB128)</f>
        <v>10.85</v>
      </c>
      <c r="AF127">
        <f>IF('WetLitterbags placem_collection'!Z128="","",'WetLitterbags placem_collection'!Z128)</f>
        <v>40</v>
      </c>
      <c r="AG127" s="243" t="str">
        <f>IF('WetLitterbags placem_collection'!AA128="","",'WetLitterbags placem_collection'!AA128)</f>
        <v>G</v>
      </c>
      <c r="AH127">
        <f>IF('WetLitterbags placem_collection'!AC128="","",'WetLitterbags placem_collection'!AC128)</f>
        <v>1</v>
      </c>
      <c r="AI127" s="237">
        <f>AVERAGE('WetLitterbags placem_collection'!S128,'WetLitterbags placem_collection'!U128)</f>
        <v>16.649999999999999</v>
      </c>
      <c r="AJ127">
        <f>AVERAGE('WetLitterbags placem_collection'!R128,'WetLitterbags placem_collection'!T128)</f>
        <v>32</v>
      </c>
      <c r="AK127">
        <f>INDEX(Coordinates!$B$2:$B$197,MATCH(H127,Coordinates!$J$2:$J$197,0))</f>
        <v>-2.3493509829999999</v>
      </c>
      <c r="AL127">
        <f>INDEX(Coordinates!$C$2:$C$197,MATCH(H127,Coordinates!$J$2:$J$197,0))</f>
        <v>34.051332019999997</v>
      </c>
      <c r="AM127" t="str">
        <f>IF(ISNUMBER(SEARCH("C", 'WetLitterbags placem_collection'!$V128)),"YES","NO")</f>
        <v>NO</v>
      </c>
      <c r="AN127" t="str">
        <f>IF(ISNUMBER(SEARCH("H", 'WetLitterbags placem_collection'!$V128)),"YES","NO")</f>
        <v>YES</v>
      </c>
      <c r="AO127" t="str">
        <f>IF(ISNUMBER(SEARCH("R", 'WetLitterbags placem_collection'!$V128)),"YES","NO")</f>
        <v>YES</v>
      </c>
    </row>
    <row r="128" spans="1:41" ht="15" customHeight="1">
      <c r="A128" s="255" t="s">
        <v>2454</v>
      </c>
      <c r="B128" s="260">
        <f>'Dry_Litterbag Placem_Collection'!A129</f>
        <v>127</v>
      </c>
      <c r="C128" s="260" t="str">
        <f>'Dry_Litterbag Placem_Collection'!B129</f>
        <v xml:space="preserve">Mwantimba
</v>
      </c>
      <c r="D128" s="260" t="s">
        <v>2454</v>
      </c>
      <c r="E128" s="260" t="s">
        <v>2644</v>
      </c>
      <c r="F128" s="260">
        <v>4</v>
      </c>
      <c r="G128" s="260" t="s">
        <v>3819</v>
      </c>
      <c r="H128" s="261" t="str">
        <f>'Dry_Litterbag Placem_Collection'!C129</f>
        <v>Wet_Ag4_T7</v>
      </c>
      <c r="I128" s="262" t="s">
        <v>2525</v>
      </c>
      <c r="J128" s="263" t="s">
        <v>1147</v>
      </c>
      <c r="K128" s="221" t="str">
        <f>'WetLitterbags placem_collection'!K129</f>
        <v>G898</v>
      </c>
      <c r="L128" s="223">
        <f>IFERROR(INDEX('Green_rooibos initial weight'!$C$5:$C$2000,MATCH(K128, 'Green_rooibos initial weight'!$A$5:$A$2000,0)),"")</f>
        <v>1.893</v>
      </c>
      <c r="M128" s="223">
        <f>IFERROR(L128-(TBIcalc!$H$9+TBIcalc!$H$10),"")</f>
        <v>1.6432</v>
      </c>
      <c r="N128" s="385">
        <f>AVERAGE(Ashed_controlls!$K$2:$K$11)</f>
        <v>5.5147656768714146</v>
      </c>
      <c r="O128" s="223">
        <f t="shared" si="6"/>
        <v>1.552581370397649</v>
      </c>
      <c r="P128" s="223">
        <f>IFERROR(INDEX('Both teabags AfterWet'!$C$3:$C$840,MATCH(K128,'Both teabags AfterWet'!$A$3:$A$840,0)),"")</f>
        <v>0.59099999999999997</v>
      </c>
      <c r="Q128" s="223">
        <f>IFERROR(IF(P128&gt;0,P128-(TBIcalc!$H$9),""),"")</f>
        <v>0.44039999999999996</v>
      </c>
      <c r="R128" s="223">
        <f>IFERROR(INDEX('Ashed teabags wet'!$K$2:$K$2000,MATCH(K128,'Ashed teabags wet'!$A$2:$A$2000,0)),"")</f>
        <v>18.25037707390678</v>
      </c>
      <c r="S128" s="223">
        <f t="shared" si="7"/>
        <v>0.36002533936651449</v>
      </c>
      <c r="T128" s="224">
        <f>'WetLitterbags placem_collection'!E129</f>
        <v>42762</v>
      </c>
      <c r="U128" s="224">
        <f>IF('WetLitterbags placem_collection'!G129="","",'WetLitterbags placem_collection'!G129)</f>
        <v>42816</v>
      </c>
      <c r="V128" s="225">
        <f t="shared" si="5"/>
        <v>54</v>
      </c>
      <c r="W128" s="223">
        <f t="shared" si="8"/>
        <v>1.2028000000000001</v>
      </c>
      <c r="X128" s="223">
        <f t="shared" si="9"/>
        <v>1.1925560310311345</v>
      </c>
      <c r="Y128">
        <f>IFERROR(INDEX(Rainfall_Wet!$O$2:$O$217,MATCH(B128, Rainfall_Wet!$A$2:$A$217,0)),"")</f>
        <v>206.85140822299999</v>
      </c>
      <c r="Z128" s="228">
        <v>17.96</v>
      </c>
      <c r="AA128" s="228">
        <v>4.9199999999999982</v>
      </c>
      <c r="AB128" s="228">
        <v>77.12</v>
      </c>
      <c r="AC128" s="229" t="s">
        <v>2655</v>
      </c>
      <c r="AD128" s="228">
        <v>8.0220798422868391</v>
      </c>
      <c r="AE128">
        <f>IF('WetLitterbags placem_collection'!AB129="","",'WetLitterbags placem_collection'!AB129)</f>
        <v>5.35</v>
      </c>
      <c r="AF128">
        <f>IF('WetLitterbags placem_collection'!Z129="","",'WetLitterbags placem_collection'!Z129)</f>
        <v>58</v>
      </c>
      <c r="AG128" s="243" t="str">
        <f>IF('WetLitterbags placem_collection'!AA129="","",'WetLitterbags placem_collection'!AA129)</f>
        <v>G</v>
      </c>
      <c r="AH128">
        <f>IF('WetLitterbags placem_collection'!AC129="","",'WetLitterbags placem_collection'!AC129)</f>
        <v>1</v>
      </c>
      <c r="AI128" s="237">
        <f>AVERAGE('WetLitterbags placem_collection'!S129,'WetLitterbags placem_collection'!U129)</f>
        <v>15.8</v>
      </c>
      <c r="AJ128">
        <f>AVERAGE('WetLitterbags placem_collection'!R129,'WetLitterbags placem_collection'!T129)</f>
        <v>31.55</v>
      </c>
      <c r="AK128">
        <f>INDEX(Coordinates!$B$2:$B$197,MATCH(H128,Coordinates!$J$2:$J$197,0))</f>
        <v>-2.3491850219999999</v>
      </c>
      <c r="AL128">
        <f>INDEX(Coordinates!$C$2:$C$197,MATCH(H128,Coordinates!$J$2:$J$197,0))</f>
        <v>34.051264959999997</v>
      </c>
      <c r="AM128" t="str">
        <f>IF(ISNUMBER(SEARCH("C", 'WetLitterbags placem_collection'!$V129)),"YES","NO")</f>
        <v>NO</v>
      </c>
      <c r="AN128" t="str">
        <f>IF(ISNUMBER(SEARCH("H", 'WetLitterbags placem_collection'!$V129)),"YES","NO")</f>
        <v>YES</v>
      </c>
      <c r="AO128" t="str">
        <f>IF(ISNUMBER(SEARCH("R", 'WetLitterbags placem_collection'!$V129)),"YES","NO")</f>
        <v>YES</v>
      </c>
    </row>
    <row r="129" spans="1:41" ht="15" customHeight="1">
      <c r="A129" s="255" t="s">
        <v>2454</v>
      </c>
      <c r="B129" s="260">
        <f>'Dry_Litterbag Placem_Collection'!A130</f>
        <v>128</v>
      </c>
      <c r="C129" s="260" t="str">
        <f>'Dry_Litterbag Placem_Collection'!B130</f>
        <v xml:space="preserve">Mwantimba
</v>
      </c>
      <c r="D129" s="260" t="s">
        <v>2454</v>
      </c>
      <c r="E129" s="260" t="s">
        <v>2644</v>
      </c>
      <c r="F129" s="260">
        <v>4</v>
      </c>
      <c r="G129" s="260" t="s">
        <v>3819</v>
      </c>
      <c r="H129" s="261" t="str">
        <f>'Dry_Litterbag Placem_Collection'!C130</f>
        <v>Wet_Ag4_T8</v>
      </c>
      <c r="I129" s="262" t="s">
        <v>2525</v>
      </c>
      <c r="J129" s="263" t="s">
        <v>1147</v>
      </c>
      <c r="K129" s="221" t="str">
        <f>'WetLitterbags placem_collection'!K130</f>
        <v>G834</v>
      </c>
      <c r="L129" s="223">
        <f>IFERROR(INDEX('Green_rooibos initial weight'!$C$5:$C$2000,MATCH(K129, 'Green_rooibos initial weight'!$A$5:$A$2000,0)),"")</f>
        <v>1.956</v>
      </c>
      <c r="M129" s="223">
        <f>IFERROR(L129-(TBIcalc!$H$9+TBIcalc!$H$10),"")</f>
        <v>1.7061999999999999</v>
      </c>
      <c r="N129" s="385">
        <f>AVERAGE(Ashed_controlls!$K$2:$K$11)</f>
        <v>5.5147656768714146</v>
      </c>
      <c r="O129" s="223">
        <f t="shared" si="6"/>
        <v>1.6121070680212199</v>
      </c>
      <c r="P129" s="223">
        <f>IFERROR(INDEX('Both teabags AfterWet'!$C$3:$C$840,MATCH(K129,'Both teabags AfterWet'!$A$3:$A$840,0)),"")</f>
        <v>0.54500000000000004</v>
      </c>
      <c r="Q129" s="223">
        <f>IFERROR(IF(P129&gt;0,P129-(TBIcalc!$H$9),""),"")</f>
        <v>0.39440000000000003</v>
      </c>
      <c r="R129" s="223">
        <f>IFERROR(INDEX('Ashed teabags wet'!$K$2:$K$2000,MATCH(K129,'Ashed teabags wet'!$A$2:$A$2000,0)),"")</f>
        <v>12.928123492523619</v>
      </c>
      <c r="S129" s="223">
        <f t="shared" si="7"/>
        <v>0.3434114809454869</v>
      </c>
      <c r="T129" s="224">
        <f>'WetLitterbags placem_collection'!E130</f>
        <v>42762</v>
      </c>
      <c r="U129" s="224">
        <f>IF('WetLitterbags placem_collection'!G130="","",'WetLitterbags placem_collection'!G130)</f>
        <v>42816</v>
      </c>
      <c r="V129" s="225">
        <f t="shared" si="5"/>
        <v>54</v>
      </c>
      <c r="W129" s="223">
        <f t="shared" si="8"/>
        <v>1.3117999999999999</v>
      </c>
      <c r="X129" s="223">
        <f t="shared" si="9"/>
        <v>1.268695587075733</v>
      </c>
      <c r="Y129">
        <f>IFERROR(INDEX(Rainfall_Wet!$O$2:$O$217,MATCH(B129, Rainfall_Wet!$A$2:$A$217,0)),"")</f>
        <v>206.85140822299999</v>
      </c>
      <c r="Z129" s="228">
        <v>17.96</v>
      </c>
      <c r="AA129" s="228">
        <v>4.9199999999999982</v>
      </c>
      <c r="AB129" s="228">
        <v>77.12</v>
      </c>
      <c r="AC129" s="229" t="s">
        <v>2655</v>
      </c>
      <c r="AD129" s="228">
        <v>9.0220798422868391</v>
      </c>
      <c r="AE129">
        <f>IF('WetLitterbags placem_collection'!AB130="","",'WetLitterbags placem_collection'!AB130)</f>
        <v>10.9</v>
      </c>
      <c r="AF129">
        <f>IF('WetLitterbags placem_collection'!Z130="","",'WetLitterbags placem_collection'!Z130)</f>
        <v>44</v>
      </c>
      <c r="AG129" s="243" t="str">
        <f>IF('WetLitterbags placem_collection'!AA130="","",'WetLitterbags placem_collection'!AA130)</f>
        <v>G</v>
      </c>
      <c r="AH129">
        <f>IF('WetLitterbags placem_collection'!AC130="","",'WetLitterbags placem_collection'!AC130)</f>
        <v>0</v>
      </c>
      <c r="AI129" s="237">
        <f>AVERAGE('WetLitterbags placem_collection'!S130,'WetLitterbags placem_collection'!U130)</f>
        <v>8.15</v>
      </c>
      <c r="AJ129">
        <f>AVERAGE('WetLitterbags placem_collection'!R130,'WetLitterbags placem_collection'!T130)</f>
        <v>31.650000000000002</v>
      </c>
      <c r="AK129">
        <f>INDEX(Coordinates!$B$2:$B$197,MATCH(H129,Coordinates!$J$2:$J$197,0))</f>
        <v>-2.3493099960000001</v>
      </c>
      <c r="AL129">
        <f>INDEX(Coordinates!$C$2:$C$197,MATCH(H129,Coordinates!$J$2:$J$197,0))</f>
        <v>34.05141802</v>
      </c>
      <c r="AM129" t="str">
        <f>IF(ISNUMBER(SEARCH("C", 'WetLitterbags placem_collection'!$V130)),"YES","NO")</f>
        <v>NO</v>
      </c>
      <c r="AN129" t="str">
        <f>IF(ISNUMBER(SEARCH("H", 'WetLitterbags placem_collection'!$V130)),"YES","NO")</f>
        <v>NO</v>
      </c>
      <c r="AO129" t="str">
        <f>IF(ISNUMBER(SEARCH("R", 'WetLitterbags placem_collection'!$V130)),"YES","NO")</f>
        <v>YES</v>
      </c>
    </row>
    <row r="130" spans="1:41" ht="15" customHeight="1">
      <c r="A130" s="255" t="s">
        <v>2454</v>
      </c>
      <c r="B130" s="260">
        <f>'Dry_Litterbag Placem_Collection'!A131</f>
        <v>129</v>
      </c>
      <c r="C130" s="260" t="str">
        <f>'Dry_Litterbag Placem_Collection'!B131</f>
        <v xml:space="preserve">Mwantimba
</v>
      </c>
      <c r="D130" s="260" t="s">
        <v>2454</v>
      </c>
      <c r="E130" s="260" t="s">
        <v>20</v>
      </c>
      <c r="F130" s="260">
        <v>1</v>
      </c>
      <c r="G130" s="260" t="s">
        <v>3820</v>
      </c>
      <c r="H130" s="261" t="str">
        <f>'Dry_Litterbag Placem_Collection'!C131</f>
        <v>Wet_P1_T1</v>
      </c>
      <c r="I130" s="262" t="s">
        <v>2525</v>
      </c>
      <c r="J130" s="263" t="s">
        <v>1147</v>
      </c>
      <c r="K130" s="221" t="str">
        <f>'WetLitterbags placem_collection'!K131</f>
        <v>G819</v>
      </c>
      <c r="L130" s="223">
        <f>IFERROR(INDEX('Green_rooibos initial weight'!$C$5:$C$2000,MATCH(K130, 'Green_rooibos initial weight'!$A$5:$A$2000,0)),"")</f>
        <v>1.9770000000000001</v>
      </c>
      <c r="M130" s="223">
        <f>IFERROR(L130-(TBIcalc!$H$9+TBIcalc!$H$10),"")</f>
        <v>1.7272000000000001</v>
      </c>
      <c r="N130" s="385">
        <f>AVERAGE(Ashed_controlls!$K$2:$K$11)</f>
        <v>5.5147656768714146</v>
      </c>
      <c r="O130" s="223">
        <f t="shared" si="6"/>
        <v>1.631948967229077</v>
      </c>
      <c r="P130" s="223">
        <f>IFERROR(INDEX('Both teabags AfterWet'!$C$3:$C$840,MATCH(K130,'Both teabags AfterWet'!$A$3:$A$840,0)),"")</f>
        <v>0.59719999999999995</v>
      </c>
      <c r="Q130" s="223">
        <f>IFERROR(IF(P130&gt;0,P130-(TBIcalc!$H$9),""),"")</f>
        <v>0.44659999999999994</v>
      </c>
      <c r="R130" s="223">
        <f>IFERROR(INDEX('Ashed teabags wet'!$K$2:$K$2000,MATCH(K130,'Ashed teabags wet'!$A$2:$A$2000,0)),"")</f>
        <v>16.047548291233621</v>
      </c>
      <c r="S130" s="223">
        <f t="shared" si="7"/>
        <v>0.37493164933135059</v>
      </c>
      <c r="T130" s="224">
        <f>'WetLitterbags placem_collection'!E131</f>
        <v>42762</v>
      </c>
      <c r="U130" s="224">
        <f>IF('WetLitterbags placem_collection'!G131="","",'WetLitterbags placem_collection'!G131)</f>
        <v>42816</v>
      </c>
      <c r="V130" s="225">
        <f t="shared" ref="V130:V193" si="10">IFERROR(U130-T130,"")</f>
        <v>54</v>
      </c>
      <c r="W130" s="223">
        <f t="shared" si="8"/>
        <v>1.2806000000000002</v>
      </c>
      <c r="X130" s="223">
        <f t="shared" si="9"/>
        <v>1.2570173178977264</v>
      </c>
      <c r="Y130">
        <f>IFERROR(INDEX(Rainfall_Wet!$O$2:$O$217,MATCH(B130, Rainfall_Wet!$A$2:$A$217,0)),"")</f>
        <v>206.85140822299999</v>
      </c>
      <c r="Z130" s="228">
        <v>31.214836424255054</v>
      </c>
      <c r="AA130" s="228">
        <v>11.377370285476141</v>
      </c>
      <c r="AB130" s="228">
        <v>57.407793290268799</v>
      </c>
      <c r="AC130" s="229" t="s">
        <v>2654</v>
      </c>
      <c r="AD130" s="228">
        <v>1.7337604731394776</v>
      </c>
      <c r="AE130">
        <f>IF('WetLitterbags placem_collection'!AB131="","",'WetLitterbags placem_collection'!AB131)</f>
        <v>2.4</v>
      </c>
      <c r="AF130">
        <f>IF('WetLitterbags placem_collection'!Z131="","",'WetLitterbags placem_collection'!Z131)</f>
        <v>2.4</v>
      </c>
      <c r="AG130" s="243" t="str">
        <f>IF('WetLitterbags placem_collection'!AA131="","",'WetLitterbags placem_collection'!AA131)</f>
        <v>O</v>
      </c>
      <c r="AH130">
        <f>IF('WetLitterbags placem_collection'!AC131="","",'WetLitterbags placem_collection'!AC131)</f>
        <v>1</v>
      </c>
      <c r="AI130" s="237">
        <f>AVERAGE('WetLitterbags placem_collection'!S131,'WetLitterbags placem_collection'!U131)</f>
        <v>15.05</v>
      </c>
      <c r="AJ130">
        <f>AVERAGE('WetLitterbags placem_collection'!R131,'WetLitterbags placem_collection'!T131)</f>
        <v>28</v>
      </c>
      <c r="AK130">
        <f>INDEX(Coordinates!$B$2:$B$197,MATCH(H130,Coordinates!$J$2:$J$197,0))</f>
        <v>-2.3503360249999998</v>
      </c>
      <c r="AL130">
        <f>INDEX(Coordinates!$C$2:$C$197,MATCH(H130,Coordinates!$J$2:$J$197,0))</f>
        <v>34.049662009999999</v>
      </c>
      <c r="AM130" t="str">
        <f>IF(ISNUMBER(SEARCH("C", 'WetLitterbags placem_collection'!$V131)),"YES","NO")</f>
        <v>NO</v>
      </c>
      <c r="AN130" t="str">
        <f>IF(ISNUMBER(SEARCH("H", 'WetLitterbags placem_collection'!$V131)),"YES","NO")</f>
        <v>NO</v>
      </c>
      <c r="AO130" t="str">
        <f>IF(ISNUMBER(SEARCH("R", 'WetLitterbags placem_collection'!$V131)),"YES","NO")</f>
        <v>NO</v>
      </c>
    </row>
    <row r="131" spans="1:41" ht="15" customHeight="1">
      <c r="A131" s="255" t="s">
        <v>2454</v>
      </c>
      <c r="B131" s="260">
        <f>'Dry_Litterbag Placem_Collection'!A132</f>
        <v>130</v>
      </c>
      <c r="C131" s="260" t="str">
        <f>'Dry_Litterbag Placem_Collection'!B132</f>
        <v xml:space="preserve">Mwantimba
</v>
      </c>
      <c r="D131" s="260" t="s">
        <v>2454</v>
      </c>
      <c r="E131" s="260" t="s">
        <v>20</v>
      </c>
      <c r="F131" s="260">
        <v>1</v>
      </c>
      <c r="G131" s="260" t="s">
        <v>3820</v>
      </c>
      <c r="H131" s="261" t="str">
        <f>'Dry_Litterbag Placem_Collection'!C132</f>
        <v>Wet_P1_T2</v>
      </c>
      <c r="I131" s="262" t="s">
        <v>2525</v>
      </c>
      <c r="J131" s="263" t="s">
        <v>1147</v>
      </c>
      <c r="K131" s="221" t="str">
        <f>'WetLitterbags placem_collection'!K132</f>
        <v>G830</v>
      </c>
      <c r="L131" s="223">
        <f>IFERROR(INDEX('Green_rooibos initial weight'!$C$5:$C$2000,MATCH(K131, 'Green_rooibos initial weight'!$A$5:$A$2000,0)),"")</f>
        <v>1.8939999999999999</v>
      </c>
      <c r="M131" s="223">
        <f>IFERROR(L131-(TBIcalc!$H$9+TBIcalc!$H$10),"")</f>
        <v>1.6441999999999999</v>
      </c>
      <c r="N131" s="385">
        <f>AVERAGE(Ashed_controlls!$K$2:$K$11)</f>
        <v>5.5147656768714146</v>
      </c>
      <c r="O131" s="223">
        <f t="shared" ref="O131:O194" si="11">IFERROR(M131-(N131/100)*M131,"")</f>
        <v>1.5535262227408801</v>
      </c>
      <c r="P131" s="223">
        <f>IFERROR(INDEX('Both teabags AfterWet'!$C$3:$C$840,MATCH(K131,'Both teabags AfterWet'!$A$3:$A$840,0)),"")</f>
        <v>0.54</v>
      </c>
      <c r="Q131" s="223">
        <f>IFERROR(IF(P131&gt;0,P131-(TBIcalc!$H$9),""),"")</f>
        <v>0.38940000000000002</v>
      </c>
      <c r="R131" s="223">
        <f>IFERROR(INDEX('Ashed teabags wet'!$K$2:$K$2000,MATCH(K131,'Ashed teabags wet'!$A$2:$A$2000,0)),"")</f>
        <v>12.680978532201229</v>
      </c>
      <c r="S131" s="223">
        <f t="shared" ref="S131:S194" si="12">IFERROR(Q131-(R131/100)*Q131,"")</f>
        <v>0.34002026959560844</v>
      </c>
      <c r="T131" s="224">
        <f>'WetLitterbags placem_collection'!E132</f>
        <v>42762</v>
      </c>
      <c r="U131" s="224">
        <f>IF('WetLitterbags placem_collection'!G132="","",'WetLitterbags placem_collection'!G132)</f>
        <v>42816</v>
      </c>
      <c r="V131" s="225">
        <f t="shared" si="10"/>
        <v>54</v>
      </c>
      <c r="W131" s="223">
        <f t="shared" ref="W131:W194" si="13">IFERROR(M131-Q131,"")</f>
        <v>1.2547999999999999</v>
      </c>
      <c r="X131" s="223">
        <f t="shared" ref="X131:X194" si="14">IFERROR(O131-S131,"")</f>
        <v>1.2135059531452717</v>
      </c>
      <c r="Y131">
        <f>IFERROR(INDEX(Rainfall_Wet!$O$2:$O$217,MATCH(B131, Rainfall_Wet!$A$2:$A$217,0)),"")</f>
        <v>206.85140822299999</v>
      </c>
      <c r="Z131" s="228">
        <v>31.214836424255054</v>
      </c>
      <c r="AA131" s="228">
        <v>11.377370285476141</v>
      </c>
      <c r="AB131" s="228">
        <v>57.407793290268799</v>
      </c>
      <c r="AC131" s="229" t="s">
        <v>2654</v>
      </c>
      <c r="AD131" s="228">
        <v>2.7337604731394798</v>
      </c>
      <c r="AE131">
        <f>IF('WetLitterbags placem_collection'!AB132="","",'WetLitterbags placem_collection'!AB132)</f>
        <v>2.1</v>
      </c>
      <c r="AF131">
        <f>IF('WetLitterbags placem_collection'!Z132="","",'WetLitterbags placem_collection'!Z132)</f>
        <v>3.5</v>
      </c>
      <c r="AG131" s="243" t="str">
        <f>IF('WetLitterbags placem_collection'!AA132="","",'WetLitterbags placem_collection'!AA132)</f>
        <v>O</v>
      </c>
      <c r="AH131">
        <f>IF('WetLitterbags placem_collection'!AC132="","",'WetLitterbags placem_collection'!AC132)</f>
        <v>0</v>
      </c>
      <c r="AI131" s="237">
        <f>AVERAGE('WetLitterbags placem_collection'!S132,'WetLitterbags placem_collection'!U132)</f>
        <v>16.3</v>
      </c>
      <c r="AJ131">
        <f>AVERAGE('WetLitterbags placem_collection'!R132,'WetLitterbags placem_collection'!T132)</f>
        <v>28.5</v>
      </c>
      <c r="AK131">
        <f>INDEX(Coordinates!$B$2:$B$197,MATCH(H131,Coordinates!$J$2:$J$197,0))</f>
        <v>-2.3503729889999998</v>
      </c>
      <c r="AL131">
        <f>INDEX(Coordinates!$C$2:$C$197,MATCH(H131,Coordinates!$J$2:$J$197,0))</f>
        <v>34.049626969999998</v>
      </c>
      <c r="AM131" t="str">
        <f>IF(ISNUMBER(SEARCH("C", 'WetLitterbags placem_collection'!$V132)),"YES","NO")</f>
        <v>NO</v>
      </c>
      <c r="AN131" t="str">
        <f>IF(ISNUMBER(SEARCH("H", 'WetLitterbags placem_collection'!$V132)),"YES","NO")</f>
        <v>NO</v>
      </c>
      <c r="AO131" t="str">
        <f>IF(ISNUMBER(SEARCH("R", 'WetLitterbags placem_collection'!$V132)),"YES","NO")</f>
        <v>YES</v>
      </c>
    </row>
    <row r="132" spans="1:41" ht="15" customHeight="1">
      <c r="A132" s="255" t="s">
        <v>2454</v>
      </c>
      <c r="B132" s="260">
        <f>'Dry_Litterbag Placem_Collection'!A133</f>
        <v>131</v>
      </c>
      <c r="C132" s="260" t="str">
        <f>'Dry_Litterbag Placem_Collection'!B133</f>
        <v xml:space="preserve">Mwantimba
</v>
      </c>
      <c r="D132" s="260" t="s">
        <v>2454</v>
      </c>
      <c r="E132" s="260" t="s">
        <v>20</v>
      </c>
      <c r="F132" s="260">
        <v>1</v>
      </c>
      <c r="G132" s="260" t="s">
        <v>3820</v>
      </c>
      <c r="H132" s="261" t="str">
        <f>'Dry_Litterbag Placem_Collection'!C133</f>
        <v>Wet_P1_T3</v>
      </c>
      <c r="I132" s="262" t="s">
        <v>2525</v>
      </c>
      <c r="J132" s="263" t="s">
        <v>1147</v>
      </c>
      <c r="K132" s="221" t="str">
        <f>'WetLitterbags placem_collection'!K133</f>
        <v>G746</v>
      </c>
      <c r="L132" s="223">
        <f>IFERROR(INDEX('Green_rooibos initial weight'!$C$5:$C$2000,MATCH(K132, 'Green_rooibos initial weight'!$A$5:$A$2000,0)),"")</f>
        <v>2.198</v>
      </c>
      <c r="M132" s="223">
        <f>IFERROR(L132-(TBIcalc!$H$9+TBIcalc!$H$10),"")</f>
        <v>1.9481999999999999</v>
      </c>
      <c r="N132" s="385">
        <f>AVERAGE(Ashed_controlls!$K$2:$K$11)</f>
        <v>5.5147656768714146</v>
      </c>
      <c r="O132" s="223">
        <f t="shared" si="11"/>
        <v>1.8407613350831911</v>
      </c>
      <c r="P132" s="223">
        <f>IFERROR(INDEX('Both teabags AfterWet'!$C$3:$C$840,MATCH(K132,'Both teabags AfterWet'!$A$3:$A$840,0)),"")</f>
        <v>0.6613</v>
      </c>
      <c r="Q132" s="223">
        <f>IFERROR(IF(P132&gt;0,P132-(TBIcalc!$H$9),""),"")</f>
        <v>0.51069999999999993</v>
      </c>
      <c r="R132" s="223">
        <f>IFERROR(INDEX('Ashed teabags wet'!$K$2:$K$2000,MATCH(K132,'Ashed teabags wet'!$A$2:$A$2000,0)),"")</f>
        <v>16.72456575682352</v>
      </c>
      <c r="S132" s="223">
        <f t="shared" si="12"/>
        <v>0.42528764267990221</v>
      </c>
      <c r="T132" s="224">
        <f>'WetLitterbags placem_collection'!E133</f>
        <v>42762</v>
      </c>
      <c r="U132" s="224">
        <f>IF('WetLitterbags placem_collection'!G133="","",'WetLitterbags placem_collection'!G133)</f>
        <v>42816</v>
      </c>
      <c r="V132" s="225">
        <f t="shared" si="10"/>
        <v>54</v>
      </c>
      <c r="W132" s="223">
        <f t="shared" si="13"/>
        <v>1.4375</v>
      </c>
      <c r="X132" s="223">
        <f t="shared" si="14"/>
        <v>1.4154736924032889</v>
      </c>
      <c r="Y132">
        <f>IFERROR(INDEX(Rainfall_Wet!$O$2:$O$217,MATCH(B132, Rainfall_Wet!$A$2:$A$217,0)),"")</f>
        <v>206.85140822299999</v>
      </c>
      <c r="Z132" s="228">
        <v>31.214836424255054</v>
      </c>
      <c r="AA132" s="228">
        <v>11.377370285476141</v>
      </c>
      <c r="AB132" s="228">
        <v>57.407793290268799</v>
      </c>
      <c r="AC132" s="229" t="s">
        <v>2654</v>
      </c>
      <c r="AD132" s="228">
        <v>3.7337604731394798</v>
      </c>
      <c r="AE132">
        <f>IF('WetLitterbags placem_collection'!AB133="","",'WetLitterbags placem_collection'!AB133)</f>
        <v>4.5</v>
      </c>
      <c r="AF132">
        <f>IF('WetLitterbags placem_collection'!Z133="","",'WetLitterbags placem_collection'!Z133)</f>
        <v>7.5</v>
      </c>
      <c r="AG132" s="243" t="str">
        <f>IF('WetLitterbags placem_collection'!AA133="","",'WetLitterbags placem_collection'!AA133)</f>
        <v>O</v>
      </c>
      <c r="AH132">
        <f>IF('WetLitterbags placem_collection'!AC133="","",'WetLitterbags placem_collection'!AC133)</f>
        <v>0</v>
      </c>
      <c r="AI132" s="237">
        <f>AVERAGE('WetLitterbags placem_collection'!S133,'WetLitterbags placem_collection'!U133)</f>
        <v>9.3000000000000007</v>
      </c>
      <c r="AJ132">
        <f>AVERAGE('WetLitterbags placem_collection'!R133,'WetLitterbags placem_collection'!T133)</f>
        <v>28.950000000000003</v>
      </c>
      <c r="AK132">
        <f>INDEX(Coordinates!$B$2:$B$197,MATCH(H132,Coordinates!$J$2:$J$197,0))</f>
        <v>-2.3503259660000002</v>
      </c>
      <c r="AL132">
        <f>INDEX(Coordinates!$C$2:$C$197,MATCH(H132,Coordinates!$J$2:$J$197,0))</f>
        <v>34.049616999999998</v>
      </c>
      <c r="AM132" t="str">
        <f>IF(ISNUMBER(SEARCH("C", 'WetLitterbags placem_collection'!$V133)),"YES","NO")</f>
        <v>NO</v>
      </c>
      <c r="AN132" t="str">
        <f>IF(ISNUMBER(SEARCH("H", 'WetLitterbags placem_collection'!$V133)),"YES","NO")</f>
        <v>YES</v>
      </c>
      <c r="AO132" t="str">
        <f>IF(ISNUMBER(SEARCH("R", 'WetLitterbags placem_collection'!$V133)),"YES","NO")</f>
        <v>NO</v>
      </c>
    </row>
    <row r="133" spans="1:41" ht="15" customHeight="1">
      <c r="A133" s="255" t="s">
        <v>2454</v>
      </c>
      <c r="B133" s="260">
        <f>'Dry_Litterbag Placem_Collection'!A134</f>
        <v>132</v>
      </c>
      <c r="C133" s="260" t="str">
        <f>'Dry_Litterbag Placem_Collection'!B134</f>
        <v xml:space="preserve">Mwantimba
</v>
      </c>
      <c r="D133" s="260" t="s">
        <v>2454</v>
      </c>
      <c r="E133" s="260" t="s">
        <v>20</v>
      </c>
      <c r="F133" s="260">
        <v>1</v>
      </c>
      <c r="G133" s="260" t="s">
        <v>3820</v>
      </c>
      <c r="H133" s="261" t="str">
        <f>'Dry_Litterbag Placem_Collection'!C134</f>
        <v>Wet_P1_T4</v>
      </c>
      <c r="I133" s="262" t="s">
        <v>2525</v>
      </c>
      <c r="J133" s="263" t="s">
        <v>1147</v>
      </c>
      <c r="K133" s="221" t="str">
        <f>'WetLitterbags placem_collection'!K134</f>
        <v>G725</v>
      </c>
      <c r="L133" s="223">
        <f>IFERROR(INDEX('Green_rooibos initial weight'!$C$5:$C$2000,MATCH(K133, 'Green_rooibos initial weight'!$A$5:$A$2000,0)),"")</f>
        <v>2.0270000000000001</v>
      </c>
      <c r="M133" s="223">
        <f>IFERROR(L133-(TBIcalc!$H$9+TBIcalc!$H$10),"")</f>
        <v>1.7772000000000001</v>
      </c>
      <c r="N133" s="385">
        <f>AVERAGE(Ashed_controlls!$K$2:$K$11)</f>
        <v>5.5147656768714146</v>
      </c>
      <c r="O133" s="223">
        <f t="shared" si="11"/>
        <v>1.6791915843906413</v>
      </c>
      <c r="P133" s="223">
        <f>IFERROR(INDEX('Both teabags AfterWet'!$C$3:$C$840,MATCH(K133,'Both teabags AfterWet'!$A$3:$A$840,0)),"")</f>
        <v>0.56820000000000004</v>
      </c>
      <c r="Q133" s="223">
        <f>IFERROR(IF(P133&gt;0,P133-(TBIcalc!$H$9),""),"")</f>
        <v>0.41760000000000003</v>
      </c>
      <c r="R133" s="223">
        <f>IFERROR(INDEX('Ashed teabags wet'!$K$2:$K$2000,MATCH(K133,'Ashed teabags wet'!$A$2:$A$2000,0)),"")</f>
        <v>14.355948869222813</v>
      </c>
      <c r="S133" s="223">
        <f t="shared" si="12"/>
        <v>0.35764955752212557</v>
      </c>
      <c r="T133" s="224">
        <f>'WetLitterbags placem_collection'!E134</f>
        <v>42762</v>
      </c>
      <c r="U133" s="224">
        <f>IF('WetLitterbags placem_collection'!G134="","",'WetLitterbags placem_collection'!G134)</f>
        <v>42816</v>
      </c>
      <c r="V133" s="225">
        <f t="shared" si="10"/>
        <v>54</v>
      </c>
      <c r="W133" s="223">
        <f t="shared" si="13"/>
        <v>1.3596000000000001</v>
      </c>
      <c r="X133" s="223">
        <f t="shared" si="14"/>
        <v>1.3215420268685159</v>
      </c>
      <c r="Y133">
        <f>IFERROR(INDEX(Rainfall_Wet!$O$2:$O$217,MATCH(B133, Rainfall_Wet!$A$2:$A$217,0)),"")</f>
        <v>206.85140822299999</v>
      </c>
      <c r="Z133" s="228">
        <v>31.214836424255054</v>
      </c>
      <c r="AA133" s="228">
        <v>11.377370285476141</v>
      </c>
      <c r="AB133" s="228">
        <v>57.407793290268799</v>
      </c>
      <c r="AC133" s="229" t="s">
        <v>2654</v>
      </c>
      <c r="AD133" s="228">
        <v>4.7337604731394798</v>
      </c>
      <c r="AE133">
        <f>IF('WetLitterbags placem_collection'!AB134="","",'WetLitterbags placem_collection'!AB134)</f>
        <v>0.7</v>
      </c>
      <c r="AF133">
        <f>IF('WetLitterbags placem_collection'!Z134="","",'WetLitterbags placem_collection'!Z134)</f>
        <v>9.8000000000000007</v>
      </c>
      <c r="AG133" s="243" t="str">
        <f>IF('WetLitterbags placem_collection'!AA134="","",'WetLitterbags placem_collection'!AA134)</f>
        <v>G</v>
      </c>
      <c r="AH133">
        <f>IF('WetLitterbags placem_collection'!AC134="","",'WetLitterbags placem_collection'!AC134)</f>
        <v>1</v>
      </c>
      <c r="AI133" s="237">
        <f>AVERAGE('WetLitterbags placem_collection'!S134,'WetLitterbags placem_collection'!U134)</f>
        <v>18.55</v>
      </c>
      <c r="AJ133">
        <f>AVERAGE('WetLitterbags placem_collection'!R134,'WetLitterbags placem_collection'!T134)</f>
        <v>28.95</v>
      </c>
      <c r="AK133">
        <f>INDEX(Coordinates!$B$2:$B$197,MATCH(H133,Coordinates!$J$2:$J$197,0))</f>
        <v>-2.3504800260000001</v>
      </c>
      <c r="AL133">
        <f>INDEX(Coordinates!$C$2:$C$197,MATCH(H133,Coordinates!$J$2:$J$197,0))</f>
        <v>34.049551030000003</v>
      </c>
      <c r="AM133" t="str">
        <f>IF(ISNUMBER(SEARCH("C", 'WetLitterbags placem_collection'!$V134)),"YES","NO")</f>
        <v>NO</v>
      </c>
      <c r="AN133" t="str">
        <f>IF(ISNUMBER(SEARCH("H", 'WetLitterbags placem_collection'!$V134)),"YES","NO")</f>
        <v>NO</v>
      </c>
      <c r="AO133" t="str">
        <f>IF(ISNUMBER(SEARCH("R", 'WetLitterbags placem_collection'!$V134)),"YES","NO")</f>
        <v>NO</v>
      </c>
    </row>
    <row r="134" spans="1:41" ht="15" customHeight="1">
      <c r="A134" s="255" t="s">
        <v>2454</v>
      </c>
      <c r="B134" s="260">
        <f>'Dry_Litterbag Placem_Collection'!A135</f>
        <v>133</v>
      </c>
      <c r="C134" s="260" t="str">
        <f>'Dry_Litterbag Placem_Collection'!B135</f>
        <v xml:space="preserve">Mwantimba
</v>
      </c>
      <c r="D134" s="260" t="s">
        <v>2454</v>
      </c>
      <c r="E134" s="260" t="s">
        <v>20</v>
      </c>
      <c r="F134" s="260">
        <v>1</v>
      </c>
      <c r="G134" s="260" t="s">
        <v>3820</v>
      </c>
      <c r="H134" s="261" t="str">
        <f>'Dry_Litterbag Placem_Collection'!C135</f>
        <v>Wet_P1_T5</v>
      </c>
      <c r="I134" s="262" t="s">
        <v>2525</v>
      </c>
      <c r="J134" s="263" t="s">
        <v>1147</v>
      </c>
      <c r="K134" s="221" t="str">
        <f>'WetLitterbags placem_collection'!K135</f>
        <v>G846</v>
      </c>
      <c r="L134" s="223">
        <f>IFERROR(INDEX('Green_rooibos initial weight'!$C$5:$C$2000,MATCH(K134, 'Green_rooibos initial weight'!$A$5:$A$2000,0)),"")</f>
        <v>2.0350000000000001</v>
      </c>
      <c r="M134" s="223">
        <f>IFERROR(L134-(TBIcalc!$H$9+TBIcalc!$H$10),"")</f>
        <v>1.7852000000000001</v>
      </c>
      <c r="N134" s="385">
        <f>AVERAGE(Ashed_controlls!$K$2:$K$11)</f>
        <v>5.5147656768714146</v>
      </c>
      <c r="O134" s="223">
        <f t="shared" si="11"/>
        <v>1.6867504031364917</v>
      </c>
      <c r="P134" s="223">
        <f>IFERROR(INDEX('Both teabags AfterWet'!$C$3:$C$840,MATCH(K134,'Both teabags AfterWet'!$A$3:$A$840,0)),"")</f>
        <v>0.59309999999999996</v>
      </c>
      <c r="Q134" s="223">
        <f>IFERROR(IF(P134&gt;0,P134-(TBIcalc!$H$9),""),"")</f>
        <v>0.44249999999999995</v>
      </c>
      <c r="R134" s="223">
        <f>IFERROR(INDEX('Ashed teabags wet'!$K$2:$K$2000,MATCH(K134,'Ashed teabags wet'!$A$2:$A$2000,0)),"")</f>
        <v>11.326378539493467</v>
      </c>
      <c r="S134" s="223">
        <f t="shared" si="12"/>
        <v>0.39238077496274137</v>
      </c>
      <c r="T134" s="224">
        <f>'WetLitterbags placem_collection'!E135</f>
        <v>42762</v>
      </c>
      <c r="U134" s="224">
        <f>IF('WetLitterbags placem_collection'!G135="","",'WetLitterbags placem_collection'!G135)</f>
        <v>42816</v>
      </c>
      <c r="V134" s="225">
        <f t="shared" si="10"/>
        <v>54</v>
      </c>
      <c r="W134" s="223">
        <f t="shared" si="13"/>
        <v>1.3427000000000002</v>
      </c>
      <c r="X134" s="223">
        <f t="shared" si="14"/>
        <v>1.2943696281737505</v>
      </c>
      <c r="Y134">
        <f>IFERROR(INDEX(Rainfall_Wet!$O$2:$O$217,MATCH(B134, Rainfall_Wet!$A$2:$A$217,0)),"")</f>
        <v>206.85140822299999</v>
      </c>
      <c r="Z134" s="228">
        <v>31.214836424255054</v>
      </c>
      <c r="AA134" s="228">
        <v>11.377370285476141</v>
      </c>
      <c r="AB134" s="228">
        <v>57.407793290268799</v>
      </c>
      <c r="AC134" s="229" t="s">
        <v>2654</v>
      </c>
      <c r="AD134" s="228">
        <v>5.7337604731394798</v>
      </c>
      <c r="AE134">
        <f>IF('WetLitterbags placem_collection'!AB135="","",'WetLitterbags placem_collection'!AB135)</f>
        <v>2.2000000000000002</v>
      </c>
      <c r="AF134">
        <f>IF('WetLitterbags placem_collection'!Z135="","",'WetLitterbags placem_collection'!Z135)</f>
        <v>10</v>
      </c>
      <c r="AG134" s="243" t="str">
        <f>IF('WetLitterbags placem_collection'!AA135="","",'WetLitterbags placem_collection'!AA135)</f>
        <v>O</v>
      </c>
      <c r="AH134">
        <f>IF('WetLitterbags placem_collection'!AC135="","",'WetLitterbags placem_collection'!AC135)</f>
        <v>1</v>
      </c>
      <c r="AI134" s="237">
        <f>AVERAGE('WetLitterbags placem_collection'!S135,'WetLitterbags placem_collection'!U135)</f>
        <v>13.399999999999999</v>
      </c>
      <c r="AJ134">
        <f>AVERAGE('WetLitterbags placem_collection'!R135,'WetLitterbags placem_collection'!T135)</f>
        <v>31.349999999999998</v>
      </c>
      <c r="AK134">
        <f>INDEX(Coordinates!$B$2:$B$197,MATCH(H134,Coordinates!$J$2:$J$197,0))</f>
        <v>-2.350474996</v>
      </c>
      <c r="AL134">
        <f>INDEX(Coordinates!$C$2:$C$197,MATCH(H134,Coordinates!$J$2:$J$197,0))</f>
        <v>34.049801979999998</v>
      </c>
      <c r="AM134" t="str">
        <f>IF(ISNUMBER(SEARCH("C", 'WetLitterbags placem_collection'!$V135)),"YES","NO")</f>
        <v>NO</v>
      </c>
      <c r="AN134" t="str">
        <f>IF(ISNUMBER(SEARCH("H", 'WetLitterbags placem_collection'!$V135)),"YES","NO")</f>
        <v>NO</v>
      </c>
      <c r="AO134" t="str">
        <f>IF(ISNUMBER(SEARCH("R", 'WetLitterbags placem_collection'!$V135)),"YES","NO")</f>
        <v>NO</v>
      </c>
    </row>
    <row r="135" spans="1:41" ht="15" customHeight="1">
      <c r="A135" s="255" t="s">
        <v>2454</v>
      </c>
      <c r="B135" s="260">
        <f>'Dry_Litterbag Placem_Collection'!A136</f>
        <v>134</v>
      </c>
      <c r="C135" s="260" t="str">
        <f>'Dry_Litterbag Placem_Collection'!B136</f>
        <v xml:space="preserve">Mwantimba
</v>
      </c>
      <c r="D135" s="260" t="s">
        <v>2454</v>
      </c>
      <c r="E135" s="260" t="s">
        <v>20</v>
      </c>
      <c r="F135" s="260">
        <v>1</v>
      </c>
      <c r="G135" s="260" t="s">
        <v>3820</v>
      </c>
      <c r="H135" s="261" t="str">
        <f>'Dry_Litterbag Placem_Collection'!C136</f>
        <v>Wet_P1_T6</v>
      </c>
      <c r="I135" s="262" t="s">
        <v>2525</v>
      </c>
      <c r="J135" s="263" t="s">
        <v>1147</v>
      </c>
      <c r="K135" s="221" t="str">
        <f>'WetLitterbags placem_collection'!K136</f>
        <v>G756</v>
      </c>
      <c r="L135" s="223">
        <f>IFERROR(INDEX('Green_rooibos initial weight'!$C$5:$C$2000,MATCH(K135, 'Green_rooibos initial weight'!$A$5:$A$2000,0)),"")</f>
        <v>2.1459999999999999</v>
      </c>
      <c r="M135" s="223">
        <f>IFERROR(L135-(TBIcalc!$H$9+TBIcalc!$H$10),"")</f>
        <v>1.8961999999999999</v>
      </c>
      <c r="N135" s="385">
        <f>AVERAGE(Ashed_controlls!$K$2:$K$11)</f>
        <v>5.5147656768714146</v>
      </c>
      <c r="O135" s="223">
        <f t="shared" si="11"/>
        <v>1.7916290132351642</v>
      </c>
      <c r="P135" s="223">
        <f>IFERROR(INDEX('Both teabags AfterWet'!$C$3:$C$840,MATCH(K135,'Both teabags AfterWet'!$A$3:$A$840,0)),"")</f>
        <v>0.69399999999999995</v>
      </c>
      <c r="Q135" s="223">
        <f>IFERROR(IF(P135&gt;0,P135-(TBIcalc!$H$9),""),"")</f>
        <v>0.54339999999999988</v>
      </c>
      <c r="R135" s="223">
        <f>IFERROR(INDEX('Ashed teabags wet'!$K$2:$K$2000,MATCH(K135,'Ashed teabags wet'!$A$2:$A$2000,0)),"")</f>
        <v>17.213930348258991</v>
      </c>
      <c r="S135" s="223">
        <f t="shared" si="12"/>
        <v>0.44985950248756057</v>
      </c>
      <c r="T135" s="224">
        <f>'WetLitterbags placem_collection'!E136</f>
        <v>42762</v>
      </c>
      <c r="U135" s="224">
        <f>IF('WetLitterbags placem_collection'!G136="","",'WetLitterbags placem_collection'!G136)</f>
        <v>42816</v>
      </c>
      <c r="V135" s="225">
        <f t="shared" si="10"/>
        <v>54</v>
      </c>
      <c r="W135" s="223">
        <f t="shared" si="13"/>
        <v>1.3528</v>
      </c>
      <c r="X135" s="223">
        <f t="shared" si="14"/>
        <v>1.3417695107476035</v>
      </c>
      <c r="Y135">
        <f>IFERROR(INDEX(Rainfall_Wet!$O$2:$O$217,MATCH(B135, Rainfall_Wet!$A$2:$A$217,0)),"")</f>
        <v>206.85140822299999</v>
      </c>
      <c r="Z135" s="228">
        <v>31.214836424255054</v>
      </c>
      <c r="AA135" s="228">
        <v>11.377370285476141</v>
      </c>
      <c r="AB135" s="228">
        <v>57.407793290268799</v>
      </c>
      <c r="AC135" s="229" t="s">
        <v>2654</v>
      </c>
      <c r="AD135" s="228">
        <v>6.7337604731394798</v>
      </c>
      <c r="AE135">
        <f>IF('WetLitterbags placem_collection'!AB136="","",'WetLitterbags placem_collection'!AB136)</f>
        <v>1.1000000000000001</v>
      </c>
      <c r="AF135">
        <f>IF('WetLitterbags placem_collection'!Z136="","",'WetLitterbags placem_collection'!Z136)</f>
        <v>15.4</v>
      </c>
      <c r="AG135" s="243" t="str">
        <f>IF('WetLitterbags placem_collection'!AA136="","",'WetLitterbags placem_collection'!AA136)</f>
        <v>O</v>
      </c>
      <c r="AH135">
        <f>IF('WetLitterbags placem_collection'!AC136="","",'WetLitterbags placem_collection'!AC136)</f>
        <v>1</v>
      </c>
      <c r="AI135" s="237">
        <f>AVERAGE('WetLitterbags placem_collection'!S136,'WetLitterbags placem_collection'!U136)</f>
        <v>12.7</v>
      </c>
      <c r="AJ135">
        <f>AVERAGE('WetLitterbags placem_collection'!R136,'WetLitterbags placem_collection'!T136)</f>
        <v>30.15</v>
      </c>
      <c r="AK135">
        <f>INDEX(Coordinates!$B$2:$B$197,MATCH(H135,Coordinates!$J$2:$J$197,0))</f>
        <v>-2.3503559730000001</v>
      </c>
      <c r="AL135">
        <f>INDEX(Coordinates!$C$2:$C$197,MATCH(H135,Coordinates!$J$2:$J$197,0))</f>
        <v>34.049800980000001</v>
      </c>
      <c r="AM135" t="str">
        <f>IF(ISNUMBER(SEARCH("C", 'WetLitterbags placem_collection'!$V136)),"YES","NO")</f>
        <v>NO</v>
      </c>
      <c r="AN135" t="str">
        <f>IF(ISNUMBER(SEARCH("H", 'WetLitterbags placem_collection'!$V136)),"YES","NO")</f>
        <v>NO</v>
      </c>
      <c r="AO135" t="str">
        <f>IF(ISNUMBER(SEARCH("R", 'WetLitterbags placem_collection'!$V136)),"YES","NO")</f>
        <v>YES</v>
      </c>
    </row>
    <row r="136" spans="1:41" ht="15" customHeight="1">
      <c r="A136" s="255" t="s">
        <v>2454</v>
      </c>
      <c r="B136" s="260">
        <f>'Dry_Litterbag Placem_Collection'!A137</f>
        <v>135</v>
      </c>
      <c r="C136" s="260" t="str">
        <f>'Dry_Litterbag Placem_Collection'!B137</f>
        <v xml:space="preserve">Mwantimba
</v>
      </c>
      <c r="D136" s="260" t="s">
        <v>2454</v>
      </c>
      <c r="E136" s="260" t="s">
        <v>20</v>
      </c>
      <c r="F136" s="260">
        <v>1</v>
      </c>
      <c r="G136" s="260" t="s">
        <v>3820</v>
      </c>
      <c r="H136" s="261" t="str">
        <f>'Dry_Litterbag Placem_Collection'!C137</f>
        <v>Wet_P1_T7</v>
      </c>
      <c r="I136" s="262" t="s">
        <v>2525</v>
      </c>
      <c r="J136" s="263" t="s">
        <v>1147</v>
      </c>
      <c r="K136" s="221" t="str">
        <f>'WetLitterbags placem_collection'!K137</f>
        <v>G745</v>
      </c>
      <c r="L136" s="223">
        <f>IFERROR(INDEX('Green_rooibos initial weight'!$C$5:$C$2000,MATCH(K136, 'Green_rooibos initial weight'!$A$5:$A$2000,0)),"")</f>
        <v>1.9570000000000001</v>
      </c>
      <c r="M136" s="223">
        <f>IFERROR(L136-(TBIcalc!$H$9+TBIcalc!$H$10),"")</f>
        <v>1.7072000000000001</v>
      </c>
      <c r="N136" s="385">
        <f>AVERAGE(Ashed_controlls!$K$2:$K$11)</f>
        <v>5.5147656768714146</v>
      </c>
      <c r="O136" s="223">
        <f t="shared" si="11"/>
        <v>1.6130519203644513</v>
      </c>
      <c r="P136" s="223">
        <f>IFERROR(INDEX('Both teabags AfterWet'!$C$3:$C$840,MATCH(K136,'Both teabags AfterWet'!$A$3:$A$840,0)),"")</f>
        <v>0.61099999999999999</v>
      </c>
      <c r="Q136" s="223">
        <f>IFERROR(IF(P136&gt;0,P136-(TBIcalc!$H$9),""),"")</f>
        <v>0.46039999999999998</v>
      </c>
      <c r="R136" s="223">
        <f>IFERROR(INDEX('Ashed teabags wet'!$K$2:$K$2000,MATCH(K136,'Ashed teabags wet'!$A$2:$A$2000,0)),"")</f>
        <v>14.334637964774716</v>
      </c>
      <c r="S136" s="223">
        <f t="shared" si="12"/>
        <v>0.3944033268101772</v>
      </c>
      <c r="T136" s="224">
        <f>'WetLitterbags placem_collection'!E137</f>
        <v>42762</v>
      </c>
      <c r="U136" s="224">
        <f>IF('WetLitterbags placem_collection'!G137="","",'WetLitterbags placem_collection'!G137)</f>
        <v>42816</v>
      </c>
      <c r="V136" s="225">
        <f t="shared" si="10"/>
        <v>54</v>
      </c>
      <c r="W136" s="223">
        <f t="shared" si="13"/>
        <v>1.2468000000000001</v>
      </c>
      <c r="X136" s="223">
        <f t="shared" si="14"/>
        <v>1.2186485935542741</v>
      </c>
      <c r="Y136">
        <f>IFERROR(INDEX(Rainfall_Wet!$O$2:$O$217,MATCH(B136, Rainfall_Wet!$A$2:$A$217,0)),"")</f>
        <v>206.85140822299999</v>
      </c>
      <c r="Z136" s="228">
        <v>31.214836424255054</v>
      </c>
      <c r="AA136" s="228">
        <v>11.377370285476141</v>
      </c>
      <c r="AB136" s="228">
        <v>57.407793290268799</v>
      </c>
      <c r="AC136" s="229" t="s">
        <v>2654</v>
      </c>
      <c r="AD136" s="228">
        <v>7.7337604731394798</v>
      </c>
      <c r="AE136">
        <f>IF('WetLitterbags placem_collection'!AB137="","",'WetLitterbags placem_collection'!AB137)</f>
        <v>2.1</v>
      </c>
      <c r="AF136">
        <f>IF('WetLitterbags placem_collection'!Z137="","",'WetLitterbags placem_collection'!Z137)</f>
        <v>5.6</v>
      </c>
      <c r="AG136" s="243" t="str">
        <f>IF('WetLitterbags placem_collection'!AA137="","",'WetLitterbags placem_collection'!AA137)</f>
        <v>O</v>
      </c>
      <c r="AH136">
        <f>IF('WetLitterbags placem_collection'!AC137="","",'WetLitterbags placem_collection'!AC137)</f>
        <v>1</v>
      </c>
      <c r="AI136" s="237">
        <f>AVERAGE('WetLitterbags placem_collection'!S137,'WetLitterbags placem_collection'!U137)</f>
        <v>14.5</v>
      </c>
      <c r="AJ136">
        <f>AVERAGE('WetLitterbags placem_collection'!R137,'WetLitterbags placem_collection'!T137)</f>
        <v>29.65</v>
      </c>
      <c r="AK136">
        <f>INDEX(Coordinates!$B$2:$B$197,MATCH(H136,Coordinates!$J$2:$J$197,0))</f>
        <v>-2.3503589909999998</v>
      </c>
      <c r="AL136">
        <f>INDEX(Coordinates!$C$2:$C$197,MATCH(H136,Coordinates!$J$2:$J$197,0))</f>
        <v>34.049719000000003</v>
      </c>
      <c r="AM136" t="str">
        <f>IF(ISNUMBER(SEARCH("C", 'WetLitterbags placem_collection'!$V137)),"YES","NO")</f>
        <v>NO</v>
      </c>
      <c r="AN136" t="str">
        <f>IF(ISNUMBER(SEARCH("H", 'WetLitterbags placem_collection'!$V137)),"YES","NO")</f>
        <v>NO</v>
      </c>
      <c r="AO136" t="str">
        <f>IF(ISNUMBER(SEARCH("R", 'WetLitterbags placem_collection'!$V137)),"YES","NO")</f>
        <v>YES</v>
      </c>
    </row>
    <row r="137" spans="1:41" ht="15" customHeight="1">
      <c r="A137" s="255" t="s">
        <v>2454</v>
      </c>
      <c r="B137" s="260">
        <f>'Dry_Litterbag Placem_Collection'!A138</f>
        <v>136</v>
      </c>
      <c r="C137" s="260" t="str">
        <f>'Dry_Litterbag Placem_Collection'!B138</f>
        <v xml:space="preserve">Mwantimba
</v>
      </c>
      <c r="D137" s="260" t="s">
        <v>2454</v>
      </c>
      <c r="E137" s="260" t="s">
        <v>20</v>
      </c>
      <c r="F137" s="260">
        <v>1</v>
      </c>
      <c r="G137" s="260" t="s">
        <v>3820</v>
      </c>
      <c r="H137" s="261" t="str">
        <f>'Dry_Litterbag Placem_Collection'!C138</f>
        <v>Wet_P1_T8</v>
      </c>
      <c r="I137" s="262" t="s">
        <v>2525</v>
      </c>
      <c r="J137" s="263" t="s">
        <v>1147</v>
      </c>
      <c r="K137" s="221" t="str">
        <f>'WetLitterbags placem_collection'!K138</f>
        <v>G832</v>
      </c>
      <c r="L137" s="223">
        <f>IFERROR(INDEX('Green_rooibos initial weight'!$C$5:$C$2000,MATCH(K137, 'Green_rooibos initial weight'!$A$5:$A$2000,0)),"")</f>
        <v>2.0470000000000002</v>
      </c>
      <c r="M137" s="223">
        <f>IFERROR(L137-(TBIcalc!$H$9+TBIcalc!$H$10),"")</f>
        <v>1.7972000000000001</v>
      </c>
      <c r="N137" s="385">
        <f>AVERAGE(Ashed_controlls!$K$2:$K$11)</f>
        <v>5.5147656768714146</v>
      </c>
      <c r="O137" s="223">
        <f t="shared" si="11"/>
        <v>1.698088631255267</v>
      </c>
      <c r="P137" s="223">
        <f>IFERROR(INDEX('Both teabags AfterWet'!$C$3:$C$840,MATCH(K137,'Both teabags AfterWet'!$A$3:$A$840,0)),"")</f>
        <v>0.5796</v>
      </c>
      <c r="Q137" s="223">
        <f>IFERROR(IF(P137&gt;0,P137-(TBIcalc!$H$9),""),"")</f>
        <v>0.42899999999999999</v>
      </c>
      <c r="R137" s="223">
        <f>IFERROR(INDEX('Ashed teabags wet'!$K$2:$K$2000,MATCH(K137,'Ashed teabags wet'!$A$2:$A$2000,0)),"")</f>
        <v>15.08132084770828</v>
      </c>
      <c r="S137" s="223">
        <f t="shared" si="12"/>
        <v>0.36430113356333149</v>
      </c>
      <c r="T137" s="224">
        <f>'WetLitterbags placem_collection'!E138</f>
        <v>42762</v>
      </c>
      <c r="U137" s="224">
        <f>IF('WetLitterbags placem_collection'!G138="","",'WetLitterbags placem_collection'!G138)</f>
        <v>42816</v>
      </c>
      <c r="V137" s="225">
        <f t="shared" si="10"/>
        <v>54</v>
      </c>
      <c r="W137" s="223">
        <f t="shared" si="13"/>
        <v>1.3682000000000001</v>
      </c>
      <c r="X137" s="223">
        <f t="shared" si="14"/>
        <v>1.3337874976919355</v>
      </c>
      <c r="Y137">
        <f>IFERROR(INDEX(Rainfall_Wet!$O$2:$O$217,MATCH(B137, Rainfall_Wet!$A$2:$A$217,0)),"")</f>
        <v>206.85140822299999</v>
      </c>
      <c r="Z137" s="228">
        <v>31.214836424255054</v>
      </c>
      <c r="AA137" s="228">
        <v>11.377370285476141</v>
      </c>
      <c r="AB137" s="228">
        <v>57.407793290268799</v>
      </c>
      <c r="AC137" s="229" t="s">
        <v>2654</v>
      </c>
      <c r="AD137" s="228">
        <v>8.7337604731394798</v>
      </c>
      <c r="AE137">
        <f>IF('WetLitterbags placem_collection'!AB138="","",'WetLitterbags placem_collection'!AB138)</f>
        <v>2.2999999999999998</v>
      </c>
      <c r="AF137">
        <f>IF('WetLitterbags placem_collection'!Z138="","",'WetLitterbags placem_collection'!Z138)</f>
        <v>16.3</v>
      </c>
      <c r="AG137" s="243" t="str">
        <f>IF('WetLitterbags placem_collection'!AA138="","",'WetLitterbags placem_collection'!AA138)</f>
        <v>G</v>
      </c>
      <c r="AH137">
        <f>IF('WetLitterbags placem_collection'!AC138="","",'WetLitterbags placem_collection'!AC138)</f>
        <v>1</v>
      </c>
      <c r="AI137" s="237">
        <f>AVERAGE('WetLitterbags placem_collection'!S138,'WetLitterbags placem_collection'!U138)</f>
        <v>14.65</v>
      </c>
      <c r="AJ137">
        <f>AVERAGE('WetLitterbags placem_collection'!R138,'WetLitterbags placem_collection'!T138)</f>
        <v>30.6</v>
      </c>
      <c r="AK137">
        <f>INDEX(Coordinates!$B$2:$B$197,MATCH(H137,Coordinates!$J$2:$J$197,0))</f>
        <v>-2.3502159960000002</v>
      </c>
      <c r="AL137">
        <f>INDEX(Coordinates!$C$2:$C$197,MATCH(H137,Coordinates!$J$2:$J$197,0))</f>
        <v>34.049822020000001</v>
      </c>
      <c r="AM137" t="str">
        <f>IF(ISNUMBER(SEARCH("C", 'WetLitterbags placem_collection'!$V138)),"YES","NO")</f>
        <v>NO</v>
      </c>
      <c r="AN137" t="str">
        <f>IF(ISNUMBER(SEARCH("H", 'WetLitterbags placem_collection'!$V138)),"YES","NO")</f>
        <v>NO</v>
      </c>
      <c r="AO137" t="str">
        <f>IF(ISNUMBER(SEARCH("R", 'WetLitterbags placem_collection'!$V138)),"YES","NO")</f>
        <v>YES</v>
      </c>
    </row>
    <row r="138" spans="1:41" ht="15" customHeight="1">
      <c r="A138" s="255" t="s">
        <v>2454</v>
      </c>
      <c r="B138" s="260">
        <f>'Dry_Litterbag Placem_Collection'!A139</f>
        <v>137</v>
      </c>
      <c r="C138" s="260" t="str">
        <f>'Dry_Litterbag Placem_Collection'!B139</f>
        <v xml:space="preserve">Mwantimba
</v>
      </c>
      <c r="D138" s="260" t="s">
        <v>2454</v>
      </c>
      <c r="E138" s="260" t="s">
        <v>20</v>
      </c>
      <c r="F138" s="260">
        <v>2</v>
      </c>
      <c r="G138" s="260" t="s">
        <v>3822</v>
      </c>
      <c r="H138" s="261" t="str">
        <f>'Dry_Litterbag Placem_Collection'!C139</f>
        <v>Wet_P2_T1</v>
      </c>
      <c r="I138" s="262" t="s">
        <v>2525</v>
      </c>
      <c r="J138" s="263" t="s">
        <v>1147</v>
      </c>
      <c r="K138" s="221" t="str">
        <f>'WetLitterbags placem_collection'!K139</f>
        <v>G805</v>
      </c>
      <c r="L138" s="223">
        <f>IFERROR(INDEX('Green_rooibos initial weight'!$C$5:$C$2000,MATCH(K138, 'Green_rooibos initial weight'!$A$5:$A$2000,0)),"")</f>
        <v>1.9810000000000001</v>
      </c>
      <c r="M138" s="223">
        <f>IFERROR(L138-(TBIcalc!$H$9+TBIcalc!$H$10),"")</f>
        <v>1.7312000000000001</v>
      </c>
      <c r="N138" s="385">
        <f>AVERAGE(Ashed_controlls!$K$2:$K$11)</f>
        <v>5.5147656768714146</v>
      </c>
      <c r="O138" s="223">
        <f t="shared" si="11"/>
        <v>1.6357283766020021</v>
      </c>
      <c r="P138" s="223">
        <f>IFERROR(INDEX('Both teabags AfterWet'!$C$3:$C$840,MATCH(K138,'Both teabags AfterWet'!$A$3:$A$840,0)),"")</f>
        <v>1.5740000000000001</v>
      </c>
      <c r="Q138" s="223">
        <f>IFERROR(IF(P138&gt;0,P138-(TBIcalc!$H$9),""),"")</f>
        <v>1.4234</v>
      </c>
      <c r="R138" s="223">
        <f>IFERROR(INDEX('Ashed teabags wet'!$K$2:$K$2000,MATCH(K138,'Ashed teabags wet'!$A$2:$A$2000,0)),"")</f>
        <v>15.662650602409292</v>
      </c>
      <c r="S138" s="223">
        <f t="shared" si="12"/>
        <v>1.200457831325306</v>
      </c>
      <c r="T138" s="224">
        <f>'WetLitterbags placem_collection'!E139</f>
        <v>42762</v>
      </c>
      <c r="U138" s="224">
        <f>IF('WetLitterbags placem_collection'!G139="","",'WetLitterbags placem_collection'!G139)</f>
        <v>42816</v>
      </c>
      <c r="V138" s="225">
        <f t="shared" si="10"/>
        <v>54</v>
      </c>
      <c r="W138" s="223">
        <f t="shared" si="13"/>
        <v>0.30780000000000007</v>
      </c>
      <c r="X138" s="223">
        <f t="shared" si="14"/>
        <v>0.43527054527669606</v>
      </c>
      <c r="Y138">
        <f>IFERROR(INDEX(Rainfall_Wet!$O$2:$O$217,MATCH(B138, Rainfall_Wet!$A$2:$A$217,0)),"")</f>
        <v>206.85140822299999</v>
      </c>
      <c r="Z138" s="228">
        <v>33.96</v>
      </c>
      <c r="AA138" s="228">
        <v>8.9200000000000017</v>
      </c>
      <c r="AB138" s="228">
        <v>57.12</v>
      </c>
      <c r="AC138" s="229" t="s">
        <v>2654</v>
      </c>
      <c r="AD138" s="228">
        <v>2.072055199605717</v>
      </c>
      <c r="AE138">
        <f>IF('WetLitterbags placem_collection'!AB139="","",'WetLitterbags placem_collection'!AB139)</f>
        <v>1.2</v>
      </c>
      <c r="AF138">
        <f>IF('WetLitterbags placem_collection'!Z139="","",'WetLitterbags placem_collection'!Z139)</f>
        <v>32.4</v>
      </c>
      <c r="AG138" s="243" t="str">
        <f>IF('WetLitterbags placem_collection'!AA139="","",'WetLitterbags placem_collection'!AA139)</f>
        <v>G</v>
      </c>
      <c r="AH138">
        <f>IF('WetLitterbags placem_collection'!AC139="","",'WetLitterbags placem_collection'!AC139)</f>
        <v>1</v>
      </c>
      <c r="AI138" s="237">
        <f>AVERAGE('WetLitterbags placem_collection'!S139,'WetLitterbags placem_collection'!U139)</f>
        <v>15.5</v>
      </c>
      <c r="AJ138">
        <f>AVERAGE('WetLitterbags placem_collection'!R139,'WetLitterbags placem_collection'!T139)</f>
        <v>28.5</v>
      </c>
      <c r="AK138">
        <f>INDEX(Coordinates!$B$2:$B$197,MATCH(H138,Coordinates!$J$2:$J$197,0))</f>
        <v>-2.348596025</v>
      </c>
      <c r="AL138">
        <f>INDEX(Coordinates!$C$2:$C$197,MATCH(H138,Coordinates!$J$2:$J$197,0))</f>
        <v>34.050070959999999</v>
      </c>
      <c r="AM138" t="str">
        <f>IF(ISNUMBER(SEARCH("C", 'WetLitterbags placem_collection'!$V139)),"YES","NO")</f>
        <v>NO</v>
      </c>
      <c r="AN138" t="str">
        <f>IF(ISNUMBER(SEARCH("H", 'WetLitterbags placem_collection'!$V139)),"YES","NO")</f>
        <v>NO</v>
      </c>
      <c r="AO138" t="str">
        <f>IF(ISNUMBER(SEARCH("R", 'WetLitterbags placem_collection'!$V139)),"YES","NO")</f>
        <v>YES</v>
      </c>
    </row>
    <row r="139" spans="1:41" ht="15" customHeight="1">
      <c r="A139" s="255" t="s">
        <v>2454</v>
      </c>
      <c r="B139" s="260">
        <f>'Dry_Litterbag Placem_Collection'!A140</f>
        <v>138</v>
      </c>
      <c r="C139" s="260" t="str">
        <f>'Dry_Litterbag Placem_Collection'!B140</f>
        <v xml:space="preserve">Mwantimba
</v>
      </c>
      <c r="D139" s="260" t="s">
        <v>2454</v>
      </c>
      <c r="E139" s="260" t="s">
        <v>20</v>
      </c>
      <c r="F139" s="260">
        <v>2</v>
      </c>
      <c r="G139" s="260" t="s">
        <v>3822</v>
      </c>
      <c r="H139" s="261" t="str">
        <f>'Dry_Litterbag Placem_Collection'!C140</f>
        <v>Wet_P2_T2</v>
      </c>
      <c r="I139" s="262" t="s">
        <v>2525</v>
      </c>
      <c r="J139" s="263" t="s">
        <v>1147</v>
      </c>
      <c r="K139" s="221" t="str">
        <f>'WetLitterbags placem_collection'!K140</f>
        <v>G815</v>
      </c>
      <c r="L139" s="223">
        <f>IFERROR(INDEX('Green_rooibos initial weight'!$C$5:$C$2000,MATCH(K139, 'Green_rooibos initial weight'!$A$5:$A$2000,0)),"")</f>
        <v>1.998</v>
      </c>
      <c r="M139" s="223">
        <f>IFERROR(L139-(TBIcalc!$H$9+TBIcalc!$H$10),"")</f>
        <v>1.7482</v>
      </c>
      <c r="N139" s="385">
        <f>AVERAGE(Ashed_controlls!$K$2:$K$11)</f>
        <v>5.5147656768714146</v>
      </c>
      <c r="O139" s="223">
        <f t="shared" si="11"/>
        <v>1.6517908664369338</v>
      </c>
      <c r="P139" s="223">
        <f>IFERROR(INDEX('Both teabags AfterWet'!$C$3:$C$840,MATCH(K139,'Both teabags AfterWet'!$A$3:$A$840,0)),"")</f>
        <v>0.64300000000000002</v>
      </c>
      <c r="Q139" s="223">
        <f>IFERROR(IF(P139&gt;0,P139-(TBIcalc!$H$9),""),"")</f>
        <v>0.4924</v>
      </c>
      <c r="R139" s="223">
        <f>IFERROR(INDEX('Ashed teabags wet'!$K$2:$K$2000,MATCH(K139,'Ashed teabags wet'!$A$2:$A$2000,0)),"")</f>
        <v>14.392059553350164</v>
      </c>
      <c r="S139" s="223">
        <f t="shared" si="12"/>
        <v>0.42153349875930379</v>
      </c>
      <c r="T139" s="224">
        <f>'WetLitterbags placem_collection'!E140</f>
        <v>42762</v>
      </c>
      <c r="U139" s="224">
        <f>IF('WetLitterbags placem_collection'!G140="","",'WetLitterbags placem_collection'!G140)</f>
        <v>42816</v>
      </c>
      <c r="V139" s="225">
        <f t="shared" si="10"/>
        <v>54</v>
      </c>
      <c r="W139" s="223">
        <f t="shared" si="13"/>
        <v>1.2558</v>
      </c>
      <c r="X139" s="223">
        <f t="shared" si="14"/>
        <v>1.2302573676776301</v>
      </c>
      <c r="Y139">
        <f>IFERROR(INDEX(Rainfall_Wet!$O$2:$O$217,MATCH(B139, Rainfall_Wet!$A$2:$A$217,0)),"")</f>
        <v>206.85140822299999</v>
      </c>
      <c r="Z139" s="228">
        <v>33.96</v>
      </c>
      <c r="AA139" s="228">
        <v>8.9200000000000017</v>
      </c>
      <c r="AB139" s="228">
        <v>57.12</v>
      </c>
      <c r="AC139" s="229" t="s">
        <v>2654</v>
      </c>
      <c r="AD139" s="228">
        <v>3.0720551996057202</v>
      </c>
      <c r="AE139">
        <f>IF('WetLitterbags placem_collection'!AB140="","",'WetLitterbags placem_collection'!AB140)</f>
        <v>2.8</v>
      </c>
      <c r="AF139">
        <f>IF('WetLitterbags placem_collection'!Z140="","",'WetLitterbags placem_collection'!Z140)</f>
        <v>26.4</v>
      </c>
      <c r="AG139" s="243" t="str">
        <f>IF('WetLitterbags placem_collection'!AA140="","",'WetLitterbags placem_collection'!AA140)</f>
        <v>G</v>
      </c>
      <c r="AH139">
        <f>IF('WetLitterbags placem_collection'!AC140="","",'WetLitterbags placem_collection'!AC140)</f>
        <v>1</v>
      </c>
      <c r="AI139" s="237">
        <f>AVERAGE('WetLitterbags placem_collection'!S140,'WetLitterbags placem_collection'!U140)</f>
        <v>15.5</v>
      </c>
      <c r="AJ139">
        <f>AVERAGE('WetLitterbags placem_collection'!R140,'WetLitterbags placem_collection'!T140)</f>
        <v>29.35</v>
      </c>
      <c r="AK139">
        <f>INDEX(Coordinates!$B$2:$B$197,MATCH(H139,Coordinates!$J$2:$J$197,0))</f>
        <v>-2.3485449790000001</v>
      </c>
      <c r="AL139">
        <f>INDEX(Coordinates!$C$2:$C$197,MATCH(H139,Coordinates!$J$2:$J$197,0))</f>
        <v>34.050146980000001</v>
      </c>
      <c r="AM139" t="str">
        <f>IF(ISNUMBER(SEARCH("C", 'WetLitterbags placem_collection'!$V140)),"YES","NO")</f>
        <v>NO</v>
      </c>
      <c r="AN139" t="str">
        <f>IF(ISNUMBER(SEARCH("H", 'WetLitterbags placem_collection'!$V140)),"YES","NO")</f>
        <v>NO</v>
      </c>
      <c r="AO139" t="str">
        <f>IF(ISNUMBER(SEARCH("R", 'WetLitterbags placem_collection'!$V140)),"YES","NO")</f>
        <v>YES</v>
      </c>
    </row>
    <row r="140" spans="1:41" ht="15" customHeight="1">
      <c r="A140" s="255" t="s">
        <v>2454</v>
      </c>
      <c r="B140" s="260">
        <f>'Dry_Litterbag Placem_Collection'!A141</f>
        <v>139</v>
      </c>
      <c r="C140" s="260" t="str">
        <f>'Dry_Litterbag Placem_Collection'!B141</f>
        <v xml:space="preserve">Mwantimba
</v>
      </c>
      <c r="D140" s="260" t="s">
        <v>2454</v>
      </c>
      <c r="E140" s="260" t="s">
        <v>20</v>
      </c>
      <c r="F140" s="260">
        <v>2</v>
      </c>
      <c r="G140" s="260" t="s">
        <v>3822</v>
      </c>
      <c r="H140" s="261" t="str">
        <f>'Dry_Litterbag Placem_Collection'!C141</f>
        <v>Wet_P2_T3</v>
      </c>
      <c r="I140" s="262" t="s">
        <v>2525</v>
      </c>
      <c r="J140" s="263" t="s">
        <v>1147</v>
      </c>
      <c r="K140" s="221" t="str">
        <f>'WetLitterbags placem_collection'!K141</f>
        <v>G798</v>
      </c>
      <c r="L140" s="223">
        <f>IFERROR(INDEX('Green_rooibos initial weight'!$C$5:$C$2000,MATCH(K140, 'Green_rooibos initial weight'!$A$5:$A$2000,0)),"")</f>
        <v>2.089</v>
      </c>
      <c r="M140" s="223">
        <f>IFERROR(L140-(TBIcalc!$H$9+TBIcalc!$H$10),"")</f>
        <v>1.8391999999999999</v>
      </c>
      <c r="N140" s="385">
        <f>AVERAGE(Ashed_controlls!$K$2:$K$11)</f>
        <v>5.5147656768714146</v>
      </c>
      <c r="O140" s="223">
        <f t="shared" si="11"/>
        <v>1.7377724296709809</v>
      </c>
      <c r="P140" s="223">
        <f>IFERROR(INDEX('Both teabags AfterWet'!$C$3:$C$840,MATCH(K140,'Both teabags AfterWet'!$A$3:$A$840,0)),"")</f>
        <v>0.73499999999999999</v>
      </c>
      <c r="Q140" s="223">
        <f>IFERROR(IF(P140&gt;0,P140-(TBIcalc!$H$9),""),"")</f>
        <v>0.58440000000000003</v>
      </c>
      <c r="R140" s="223">
        <f>IFERROR(INDEX('Ashed teabags wet'!$K$2:$K$2000,MATCH(K140,'Ashed teabags wet'!$A$2:$A$2000,0)),"")</f>
        <v>19.704433497536826</v>
      </c>
      <c r="S140" s="223">
        <f t="shared" si="12"/>
        <v>0.46924729064039483</v>
      </c>
      <c r="T140" s="224">
        <f>'WetLitterbags placem_collection'!E141</f>
        <v>42762</v>
      </c>
      <c r="U140" s="224">
        <f>IF('WetLitterbags placem_collection'!G141="","",'WetLitterbags placem_collection'!G141)</f>
        <v>42816</v>
      </c>
      <c r="V140" s="225">
        <f t="shared" si="10"/>
        <v>54</v>
      </c>
      <c r="W140" s="223">
        <f t="shared" si="13"/>
        <v>1.2547999999999999</v>
      </c>
      <c r="X140" s="223">
        <f t="shared" si="14"/>
        <v>1.2685251390305861</v>
      </c>
      <c r="Y140">
        <f>IFERROR(INDEX(Rainfall_Wet!$O$2:$O$217,MATCH(B140, Rainfall_Wet!$A$2:$A$217,0)),"")</f>
        <v>206.85140822299999</v>
      </c>
      <c r="Z140" s="228">
        <v>33.96</v>
      </c>
      <c r="AA140" s="228">
        <v>8.9200000000000017</v>
      </c>
      <c r="AB140" s="228">
        <v>57.12</v>
      </c>
      <c r="AC140" s="229" t="s">
        <v>2654</v>
      </c>
      <c r="AD140" s="228">
        <v>4.0720551996057202</v>
      </c>
      <c r="AE140">
        <f>IF('WetLitterbags placem_collection'!AB141="","",'WetLitterbags placem_collection'!AB141)</f>
        <v>5.7</v>
      </c>
      <c r="AF140">
        <f>IF('WetLitterbags placem_collection'!Z141="","",'WetLitterbags placem_collection'!Z141)</f>
        <v>19.399999999999999</v>
      </c>
      <c r="AG140" s="243" t="str">
        <f>IF('WetLitterbags placem_collection'!AA141="","",'WetLitterbags placem_collection'!AA141)</f>
        <v>G</v>
      </c>
      <c r="AH140">
        <f>IF('WetLitterbags placem_collection'!AC141="","",'WetLitterbags placem_collection'!AC141)</f>
        <v>1</v>
      </c>
      <c r="AI140" s="237">
        <f>AVERAGE('WetLitterbags placem_collection'!S141,'WetLitterbags placem_collection'!U141)</f>
        <v>16.850000000000001</v>
      </c>
      <c r="AJ140">
        <f>AVERAGE('WetLitterbags placem_collection'!R141,'WetLitterbags placem_collection'!T141)</f>
        <v>28.65</v>
      </c>
      <c r="AK140">
        <f>INDEX(Coordinates!$B$2:$B$197,MATCH(H140,Coordinates!$J$2:$J$197,0))</f>
        <v>-2.3487209990000002</v>
      </c>
      <c r="AL140">
        <f>INDEX(Coordinates!$C$2:$C$197,MATCH(H140,Coordinates!$J$2:$J$197,0))</f>
        <v>34.050128039999997</v>
      </c>
      <c r="AM140" t="str">
        <f>IF(ISNUMBER(SEARCH("C", 'WetLitterbags placem_collection'!$V141)),"YES","NO")</f>
        <v>NO</v>
      </c>
      <c r="AN140" t="str">
        <f>IF(ISNUMBER(SEARCH("H", 'WetLitterbags placem_collection'!$V141)),"YES","NO")</f>
        <v>NO</v>
      </c>
      <c r="AO140" t="str">
        <f>IF(ISNUMBER(SEARCH("R", 'WetLitterbags placem_collection'!$V141)),"YES","NO")</f>
        <v>NO</v>
      </c>
    </row>
    <row r="141" spans="1:41" ht="15" customHeight="1">
      <c r="A141" s="255" t="s">
        <v>2454</v>
      </c>
      <c r="B141" s="260">
        <f>'Dry_Litterbag Placem_Collection'!A142</f>
        <v>140</v>
      </c>
      <c r="C141" s="260" t="str">
        <f>'Dry_Litterbag Placem_Collection'!B142</f>
        <v xml:space="preserve">Mwantimba
</v>
      </c>
      <c r="D141" s="260" t="s">
        <v>2454</v>
      </c>
      <c r="E141" s="260" t="s">
        <v>20</v>
      </c>
      <c r="F141" s="260">
        <v>2</v>
      </c>
      <c r="G141" s="260" t="s">
        <v>3822</v>
      </c>
      <c r="H141" s="261" t="str">
        <f>'Dry_Litterbag Placem_Collection'!C142</f>
        <v>Wet_P2_T4</v>
      </c>
      <c r="I141" s="262" t="s">
        <v>2525</v>
      </c>
      <c r="J141" s="263" t="s">
        <v>1147</v>
      </c>
      <c r="K141" s="221" t="str">
        <f>'WetLitterbags placem_collection'!K142</f>
        <v>G787</v>
      </c>
      <c r="L141" s="223">
        <f>IFERROR(INDEX('Green_rooibos initial weight'!$C$5:$C$2000,MATCH(K141, 'Green_rooibos initial weight'!$A$5:$A$2000,0)),"")</f>
        <v>2.11</v>
      </c>
      <c r="M141" s="223">
        <f>IFERROR(L141-(TBIcalc!$H$9+TBIcalc!$H$10),"")</f>
        <v>1.8601999999999999</v>
      </c>
      <c r="N141" s="385">
        <f>AVERAGE(Ashed_controlls!$K$2:$K$11)</f>
        <v>5.5147656768714146</v>
      </c>
      <c r="O141" s="223">
        <f t="shared" si="11"/>
        <v>1.7576143288788377</v>
      </c>
      <c r="P141" s="223">
        <f>IFERROR(INDEX('Both teabags AfterWet'!$C$3:$C$840,MATCH(K141,'Both teabags AfterWet'!$A$3:$A$840,0)),"")</f>
        <v>0.67869999999999997</v>
      </c>
      <c r="Q141" s="223">
        <f>IFERROR(IF(P141&gt;0,P141-(TBIcalc!$H$9),""),"")</f>
        <v>0.52810000000000001</v>
      </c>
      <c r="R141" s="223">
        <f>IFERROR(INDEX('Ashed teabags wet'!$K$2:$K$2000,MATCH(K141,'Ashed teabags wet'!$A$2:$A$2000,0)),"")</f>
        <v>15.0602409638563</v>
      </c>
      <c r="S141" s="223">
        <f t="shared" si="12"/>
        <v>0.4485668674698749</v>
      </c>
      <c r="T141" s="224">
        <f>'WetLitterbags placem_collection'!E142</f>
        <v>42762</v>
      </c>
      <c r="U141" s="224">
        <f>IF('WetLitterbags placem_collection'!G142="","",'WetLitterbags placem_collection'!G142)</f>
        <v>42816</v>
      </c>
      <c r="V141" s="225">
        <f t="shared" si="10"/>
        <v>54</v>
      </c>
      <c r="W141" s="223">
        <f t="shared" si="13"/>
        <v>1.3320999999999998</v>
      </c>
      <c r="X141" s="223">
        <f t="shared" si="14"/>
        <v>1.3090474614089629</v>
      </c>
      <c r="Y141">
        <f>IFERROR(INDEX(Rainfall_Wet!$O$2:$O$217,MATCH(B141, Rainfall_Wet!$A$2:$A$217,0)),"")</f>
        <v>206.85140822299999</v>
      </c>
      <c r="Z141" s="228">
        <v>33.96</v>
      </c>
      <c r="AA141" s="228">
        <v>8.9200000000000017</v>
      </c>
      <c r="AB141" s="228">
        <v>57.12</v>
      </c>
      <c r="AC141" s="229" t="s">
        <v>2654</v>
      </c>
      <c r="AD141" s="228">
        <v>5.0720551996057202</v>
      </c>
      <c r="AE141">
        <f>IF('WetLitterbags placem_collection'!AB142="","",'WetLitterbags placem_collection'!AB142)</f>
        <v>1.4</v>
      </c>
      <c r="AF141">
        <f>IF('WetLitterbags placem_collection'!Z142="","",'WetLitterbags placem_collection'!Z142)</f>
        <v>33.4</v>
      </c>
      <c r="AG141" s="243" t="str">
        <f>IF('WetLitterbags placem_collection'!AA142="","",'WetLitterbags placem_collection'!AA142)</f>
        <v>G</v>
      </c>
      <c r="AH141">
        <f>IF('WetLitterbags placem_collection'!AC142="","",'WetLitterbags placem_collection'!AC142)</f>
        <v>1</v>
      </c>
      <c r="AI141" s="237">
        <f>AVERAGE('WetLitterbags placem_collection'!S142,'WetLitterbags placem_collection'!U142)</f>
        <v>11.55</v>
      </c>
      <c r="AJ141">
        <f>AVERAGE('WetLitterbags placem_collection'!R142,'WetLitterbags placem_collection'!T142)</f>
        <v>30.85</v>
      </c>
      <c r="AK141">
        <f>INDEX(Coordinates!$B$2:$B$197,MATCH(H141,Coordinates!$J$2:$J$197,0))</f>
        <v>-2.3486250270000002</v>
      </c>
      <c r="AL141">
        <f>INDEX(Coordinates!$C$2:$C$197,MATCH(H141,Coordinates!$J$2:$J$197,0))</f>
        <v>34.050070959999999</v>
      </c>
      <c r="AM141" t="str">
        <f>IF(ISNUMBER(SEARCH("C", 'WetLitterbags placem_collection'!$V142)),"YES","NO")</f>
        <v>NO</v>
      </c>
      <c r="AN141" t="str">
        <f>IF(ISNUMBER(SEARCH("H", 'WetLitterbags placem_collection'!$V142)),"YES","NO")</f>
        <v>NO</v>
      </c>
      <c r="AO141" t="str">
        <f>IF(ISNUMBER(SEARCH("R", 'WetLitterbags placem_collection'!$V142)),"YES","NO")</f>
        <v>NO</v>
      </c>
    </row>
    <row r="142" spans="1:41" ht="15" customHeight="1">
      <c r="A142" s="255" t="s">
        <v>2454</v>
      </c>
      <c r="B142" s="260">
        <f>'Dry_Litterbag Placem_Collection'!A143</f>
        <v>141</v>
      </c>
      <c r="C142" s="260" t="str">
        <f>'Dry_Litterbag Placem_Collection'!B143</f>
        <v xml:space="preserve">Mwantimba
</v>
      </c>
      <c r="D142" s="260" t="s">
        <v>2454</v>
      </c>
      <c r="E142" s="260" t="s">
        <v>20</v>
      </c>
      <c r="F142" s="260">
        <v>2</v>
      </c>
      <c r="G142" s="260" t="s">
        <v>3822</v>
      </c>
      <c r="H142" s="261" t="str">
        <f>'Dry_Litterbag Placem_Collection'!C143</f>
        <v>Wet_P2_T5</v>
      </c>
      <c r="I142" s="262" t="s">
        <v>2525</v>
      </c>
      <c r="J142" s="263" t="s">
        <v>1147</v>
      </c>
      <c r="K142" s="221" t="str">
        <f>'WetLitterbags placem_collection'!K143</f>
        <v>G900</v>
      </c>
      <c r="L142" s="223">
        <f>IFERROR(INDEX('Green_rooibos initial weight'!$C$5:$C$2000,MATCH(K142, 'Green_rooibos initial weight'!$A$5:$A$2000,0)),"")</f>
        <v>2.0910000000000002</v>
      </c>
      <c r="M142" s="223">
        <f>IFERROR(L142-(TBIcalc!$H$9+TBIcalc!$H$10),"")</f>
        <v>1.8412000000000002</v>
      </c>
      <c r="N142" s="385">
        <f>AVERAGE(Ashed_controlls!$K$2:$K$11)</f>
        <v>5.5147656768714146</v>
      </c>
      <c r="O142" s="223">
        <f t="shared" si="11"/>
        <v>1.7396621343574437</v>
      </c>
      <c r="P142" s="223">
        <f>IFERROR(INDEX('Both teabags AfterWet'!$C$3:$C$840,MATCH(K142,'Both teabags AfterWet'!$A$3:$A$840,0)),"")</f>
        <v>1.5369999999999999</v>
      </c>
      <c r="Q142" s="223">
        <f>IFERROR(IF(P142&gt;0,P142-(TBIcalc!$H$9),""),"")</f>
        <v>1.3863999999999999</v>
      </c>
      <c r="R142" s="223">
        <f>IFERROR(INDEX('Ashed teabags wet'!$K$2:$K$2000,MATCH(K142,'Ashed teabags wet'!$A$2:$A$2000,0)),"")</f>
        <v>34.652509652509345</v>
      </c>
      <c r="S142" s="223">
        <f t="shared" si="12"/>
        <v>0.90597760617761036</v>
      </c>
      <c r="T142" s="224">
        <f>'WetLitterbags placem_collection'!E143</f>
        <v>42762</v>
      </c>
      <c r="U142" s="224">
        <f>IF('WetLitterbags placem_collection'!G143="","",'WetLitterbags placem_collection'!G143)</f>
        <v>42816</v>
      </c>
      <c r="V142" s="225">
        <f t="shared" si="10"/>
        <v>54</v>
      </c>
      <c r="W142" s="223">
        <f t="shared" si="13"/>
        <v>0.45480000000000032</v>
      </c>
      <c r="X142" s="223">
        <f t="shared" si="14"/>
        <v>0.8336845281798333</v>
      </c>
      <c r="Y142">
        <f>IFERROR(INDEX(Rainfall_Wet!$O$2:$O$217,MATCH(B142, Rainfall_Wet!$A$2:$A$217,0)),"")</f>
        <v>206.85140822299999</v>
      </c>
      <c r="Z142" s="228">
        <v>33.96</v>
      </c>
      <c r="AA142" s="228">
        <v>8.9200000000000017</v>
      </c>
      <c r="AB142" s="228">
        <v>57.12</v>
      </c>
      <c r="AC142" s="229" t="s">
        <v>2654</v>
      </c>
      <c r="AD142" s="228">
        <v>6.0720551996057202</v>
      </c>
      <c r="AE142">
        <f>IF('WetLitterbags placem_collection'!AB143="","",'WetLitterbags placem_collection'!AB143)</f>
        <v>1.4</v>
      </c>
      <c r="AF142">
        <f>IF('WetLitterbags placem_collection'!Z143="","",'WetLitterbags placem_collection'!Z143)</f>
        <v>28.4</v>
      </c>
      <c r="AG142" s="243" t="str">
        <f>IF('WetLitterbags placem_collection'!AA143="","",'WetLitterbags placem_collection'!AA143)</f>
        <v>G</v>
      </c>
      <c r="AH142">
        <f>IF('WetLitterbags placem_collection'!AC143="","",'WetLitterbags placem_collection'!AC143)</f>
        <v>1</v>
      </c>
      <c r="AI142" s="237">
        <f>AVERAGE('WetLitterbags placem_collection'!S143,'WetLitterbags placem_collection'!U143)</f>
        <v>9.6999999999999993</v>
      </c>
      <c r="AJ142">
        <f>AVERAGE('WetLitterbags placem_collection'!R143,'WetLitterbags placem_collection'!T143)</f>
        <v>30.75</v>
      </c>
      <c r="AK142">
        <f>INDEX(Coordinates!$B$2:$B$197,MATCH(H142,Coordinates!$J$2:$J$197,0))</f>
        <v>-2.3486060000000002</v>
      </c>
      <c r="AL142">
        <f>INDEX(Coordinates!$C$2:$C$197,MATCH(H142,Coordinates!$J$2:$J$197,0))</f>
        <v>34.050010020000002</v>
      </c>
      <c r="AM142" t="str">
        <f>IF(ISNUMBER(SEARCH("C", 'WetLitterbags placem_collection'!$V143)),"YES","NO")</f>
        <v>NO</v>
      </c>
      <c r="AN142" t="str">
        <f>IF(ISNUMBER(SEARCH("H", 'WetLitterbags placem_collection'!$V143)),"YES","NO")</f>
        <v>YES</v>
      </c>
      <c r="AO142" t="str">
        <f>IF(ISNUMBER(SEARCH("R", 'WetLitterbags placem_collection'!$V143)),"YES","NO")</f>
        <v>YES</v>
      </c>
    </row>
    <row r="143" spans="1:41" ht="15" customHeight="1">
      <c r="A143" s="255" t="s">
        <v>2454</v>
      </c>
      <c r="B143" s="260">
        <f>'Dry_Litterbag Placem_Collection'!A144</f>
        <v>142</v>
      </c>
      <c r="C143" s="260" t="str">
        <f>'Dry_Litterbag Placem_Collection'!B144</f>
        <v xml:space="preserve">Mwantimba
</v>
      </c>
      <c r="D143" s="260" t="s">
        <v>2454</v>
      </c>
      <c r="E143" s="260" t="s">
        <v>20</v>
      </c>
      <c r="F143" s="260">
        <v>2</v>
      </c>
      <c r="G143" s="260" t="s">
        <v>3822</v>
      </c>
      <c r="H143" s="261" t="str">
        <f>'Dry_Litterbag Placem_Collection'!C144</f>
        <v>Wet_P2_T6</v>
      </c>
      <c r="I143" s="262" t="s">
        <v>2525</v>
      </c>
      <c r="J143" s="263" t="s">
        <v>1147</v>
      </c>
      <c r="K143" s="221" t="str">
        <f>'WetLitterbags placem_collection'!K144</f>
        <v>G817</v>
      </c>
      <c r="L143" s="223">
        <f>IFERROR(INDEX('Green_rooibos initial weight'!$C$5:$C$2000,MATCH(K143, 'Green_rooibos initial weight'!$A$5:$A$2000,0)),"")</f>
        <v>1.9770000000000001</v>
      </c>
      <c r="M143" s="223">
        <f>IFERROR(L143-(TBIcalc!$H$9+TBIcalc!$H$10),"")</f>
        <v>1.7272000000000001</v>
      </c>
      <c r="N143" s="385">
        <f>AVERAGE(Ashed_controlls!$K$2:$K$11)</f>
        <v>5.5147656768714146</v>
      </c>
      <c r="O143" s="223">
        <f t="shared" si="11"/>
        <v>1.631948967229077</v>
      </c>
      <c r="P143" s="223">
        <f>IFERROR(INDEX('Both teabags AfterWet'!$C$3:$C$840,MATCH(K143,'Both teabags AfterWet'!$A$3:$A$840,0)),"")</f>
        <v>0.99069999999999991</v>
      </c>
      <c r="Q143" s="223">
        <f>IFERROR(IF(P143&gt;0,P143-(TBIcalc!$H$9),""),"")</f>
        <v>0.84009999999999985</v>
      </c>
      <c r="R143" s="223">
        <f>IFERROR(INDEX('Ashed teabags wet'!$K$2:$K$2000,MATCH(K143,'Ashed teabags wet'!$A$2:$A$2000,0)),"")</f>
        <v>45.987198424421408</v>
      </c>
      <c r="S143" s="223">
        <f t="shared" si="12"/>
        <v>0.4537615460364357</v>
      </c>
      <c r="T143" s="224">
        <f>'WetLitterbags placem_collection'!E144</f>
        <v>42762</v>
      </c>
      <c r="U143" s="224">
        <f>IF('WetLitterbags placem_collection'!G144="","",'WetLitterbags placem_collection'!G144)</f>
        <v>42816</v>
      </c>
      <c r="V143" s="225">
        <f t="shared" si="10"/>
        <v>54</v>
      </c>
      <c r="W143" s="223">
        <f t="shared" si="13"/>
        <v>0.88710000000000022</v>
      </c>
      <c r="X143" s="223">
        <f t="shared" si="14"/>
        <v>1.1781874211926413</v>
      </c>
      <c r="Y143">
        <f>IFERROR(INDEX(Rainfall_Wet!$O$2:$O$217,MATCH(B143, Rainfall_Wet!$A$2:$A$217,0)),"")</f>
        <v>206.85140822299999</v>
      </c>
      <c r="Z143" s="228">
        <v>33.96</v>
      </c>
      <c r="AA143" s="228">
        <v>8.9200000000000017</v>
      </c>
      <c r="AB143" s="228">
        <v>57.12</v>
      </c>
      <c r="AC143" s="229" t="s">
        <v>2654</v>
      </c>
      <c r="AD143" s="228">
        <v>7.0720551996057202</v>
      </c>
      <c r="AE143">
        <f>IF('WetLitterbags placem_collection'!AB144="","",'WetLitterbags placem_collection'!AB144)</f>
        <v>1.7</v>
      </c>
      <c r="AF143">
        <f>IF('WetLitterbags placem_collection'!Z144="","",'WetLitterbags placem_collection'!Z144)</f>
        <v>33.799999999999997</v>
      </c>
      <c r="AG143" s="243" t="str">
        <f>IF('WetLitterbags placem_collection'!AA144="","",'WetLitterbags placem_collection'!AA144)</f>
        <v>G</v>
      </c>
      <c r="AH143">
        <f>IF('WetLitterbags placem_collection'!AC144="","",'WetLitterbags placem_collection'!AC144)</f>
        <v>1</v>
      </c>
      <c r="AI143" s="237">
        <f>AVERAGE('WetLitterbags placem_collection'!S144,'WetLitterbags placem_collection'!U144)</f>
        <v>15.5</v>
      </c>
      <c r="AJ143">
        <f>AVERAGE('WetLitterbags placem_collection'!R144,'WetLitterbags placem_collection'!T144)</f>
        <v>28.75</v>
      </c>
      <c r="AK143">
        <f>INDEX(Coordinates!$B$2:$B$197,MATCH(H143,Coordinates!$J$2:$J$197,0))</f>
        <v>-2.348618992</v>
      </c>
      <c r="AL143">
        <f>INDEX(Coordinates!$C$2:$C$197,MATCH(H143,Coordinates!$J$2:$J$197,0))</f>
        <v>34.049996030000003</v>
      </c>
      <c r="AM143" t="str">
        <f>IF(ISNUMBER(SEARCH("C", 'WetLitterbags placem_collection'!$V144)),"YES","NO")</f>
        <v>NO</v>
      </c>
      <c r="AN143" t="str">
        <f>IF(ISNUMBER(SEARCH("H", 'WetLitterbags placem_collection'!$V144)),"YES","NO")</f>
        <v>YES</v>
      </c>
      <c r="AO143" t="str">
        <f>IF(ISNUMBER(SEARCH("R", 'WetLitterbags placem_collection'!$V144)),"YES","NO")</f>
        <v>NO</v>
      </c>
    </row>
    <row r="144" spans="1:41" ht="15" customHeight="1">
      <c r="A144" s="255" t="s">
        <v>2454</v>
      </c>
      <c r="B144" s="260">
        <f>'Dry_Litterbag Placem_Collection'!A145</f>
        <v>143</v>
      </c>
      <c r="C144" s="260" t="str">
        <f>'Dry_Litterbag Placem_Collection'!B145</f>
        <v xml:space="preserve">Mwantimba
</v>
      </c>
      <c r="D144" s="260" t="s">
        <v>2454</v>
      </c>
      <c r="E144" s="260" t="s">
        <v>20</v>
      </c>
      <c r="F144" s="260">
        <v>2</v>
      </c>
      <c r="G144" s="260" t="s">
        <v>3822</v>
      </c>
      <c r="H144" s="261" t="str">
        <f>'Dry_Litterbag Placem_Collection'!C145</f>
        <v>Wet_P2_T7</v>
      </c>
      <c r="I144" s="262" t="s">
        <v>2525</v>
      </c>
      <c r="J144" s="263" t="s">
        <v>1147</v>
      </c>
      <c r="K144" s="221" t="str">
        <f>'WetLitterbags placem_collection'!K145</f>
        <v>G836</v>
      </c>
      <c r="L144" s="223">
        <f>IFERROR(INDEX('Green_rooibos initial weight'!$C$5:$C$2000,MATCH(K144, 'Green_rooibos initial weight'!$A$5:$A$2000,0)),"")</f>
        <v>2.0419999999999998</v>
      </c>
      <c r="M144" s="223">
        <f>IFERROR(L144-(TBIcalc!$H$9+TBIcalc!$H$10),"")</f>
        <v>1.7921999999999998</v>
      </c>
      <c r="N144" s="385">
        <f>AVERAGE(Ashed_controlls!$K$2:$K$11)</f>
        <v>5.5147656768714146</v>
      </c>
      <c r="O144" s="223">
        <f t="shared" si="11"/>
        <v>1.6933643695391103</v>
      </c>
      <c r="P144" s="223">
        <f>IFERROR(INDEX('Both teabags AfterWet'!$C$3:$C$840,MATCH(K144,'Both teabags AfterWet'!$A$3:$A$840,0)),"")</f>
        <v>0.60970000000000002</v>
      </c>
      <c r="Q144" s="223">
        <f>IFERROR(IF(P144&gt;0,P144-(TBIcalc!$H$9),""),"")</f>
        <v>0.45910000000000001</v>
      </c>
      <c r="R144" s="223">
        <f>IFERROR(INDEX('Ashed teabags wet'!$K$2:$K$2000,MATCH(K144,'Ashed teabags wet'!$A$2:$A$2000,0)),"")</f>
        <v>13.060240963856003</v>
      </c>
      <c r="S144" s="223">
        <f t="shared" si="12"/>
        <v>0.39914043373493707</v>
      </c>
      <c r="T144" s="224">
        <f>'WetLitterbags placem_collection'!E145</f>
        <v>42762</v>
      </c>
      <c r="U144" s="224">
        <f>IF('WetLitterbags placem_collection'!G145="","",'WetLitterbags placem_collection'!G145)</f>
        <v>42816</v>
      </c>
      <c r="V144" s="225">
        <f t="shared" si="10"/>
        <v>54</v>
      </c>
      <c r="W144" s="223">
        <f t="shared" si="13"/>
        <v>1.3330999999999997</v>
      </c>
      <c r="X144" s="223">
        <f t="shared" si="14"/>
        <v>1.2942239358041732</v>
      </c>
      <c r="Y144">
        <f>IFERROR(INDEX(Rainfall_Wet!$O$2:$O$217,MATCH(B144, Rainfall_Wet!$A$2:$A$217,0)),"")</f>
        <v>206.85140822299999</v>
      </c>
      <c r="Z144" s="228">
        <v>33.96</v>
      </c>
      <c r="AA144" s="228">
        <v>8.9200000000000017</v>
      </c>
      <c r="AB144" s="228">
        <v>57.12</v>
      </c>
      <c r="AC144" s="229" t="s">
        <v>2654</v>
      </c>
      <c r="AD144" s="228">
        <v>8.0720551996057193</v>
      </c>
      <c r="AE144">
        <f>IF('WetLitterbags placem_collection'!AB145="","",'WetLitterbags placem_collection'!AB145)</f>
        <v>2</v>
      </c>
      <c r="AF144">
        <f>IF('WetLitterbags placem_collection'!Z145="","",'WetLitterbags placem_collection'!Z145)</f>
        <v>23.4</v>
      </c>
      <c r="AG144" s="243" t="str">
        <f>IF('WetLitterbags placem_collection'!AA145="","",'WetLitterbags placem_collection'!AA145)</f>
        <v>G</v>
      </c>
      <c r="AH144">
        <f>IF('WetLitterbags placem_collection'!AC145="","",'WetLitterbags placem_collection'!AC145)</f>
        <v>1</v>
      </c>
      <c r="AI144" s="237">
        <f>AVERAGE('WetLitterbags placem_collection'!S145,'WetLitterbags placem_collection'!U145)</f>
        <v>14.5</v>
      </c>
      <c r="AJ144">
        <f>AVERAGE('WetLitterbags placem_collection'!R145,'WetLitterbags placem_collection'!T145)</f>
        <v>30.9</v>
      </c>
      <c r="AK144">
        <f>INDEX(Coordinates!$B$2:$B$197,MATCH(H144,Coordinates!$J$2:$J$197,0))</f>
        <v>-2.3484970349999998</v>
      </c>
      <c r="AL144">
        <f>INDEX(Coordinates!$C$2:$C$197,MATCH(H144,Coordinates!$J$2:$J$197,0))</f>
        <v>34.049979010000001</v>
      </c>
      <c r="AM144" t="str">
        <f>IF(ISNUMBER(SEARCH("C", 'WetLitterbags placem_collection'!$V145)),"YES","NO")</f>
        <v>NO</v>
      </c>
      <c r="AN144" t="str">
        <f>IF(ISNUMBER(SEARCH("H", 'WetLitterbags placem_collection'!$V145)),"YES","NO")</f>
        <v>NO</v>
      </c>
      <c r="AO144" t="str">
        <f>IF(ISNUMBER(SEARCH("R", 'WetLitterbags placem_collection'!$V145)),"YES","NO")</f>
        <v>YES</v>
      </c>
    </row>
    <row r="145" spans="1:41" ht="15" customHeight="1">
      <c r="A145" s="255" t="s">
        <v>2454</v>
      </c>
      <c r="B145" s="260">
        <f>'Dry_Litterbag Placem_Collection'!A146</f>
        <v>144</v>
      </c>
      <c r="C145" s="260" t="str">
        <f>'Dry_Litterbag Placem_Collection'!B146</f>
        <v xml:space="preserve">Mwantimba
</v>
      </c>
      <c r="D145" s="260" t="s">
        <v>2454</v>
      </c>
      <c r="E145" s="260" t="s">
        <v>20</v>
      </c>
      <c r="F145" s="260">
        <v>2</v>
      </c>
      <c r="G145" s="260" t="s">
        <v>3822</v>
      </c>
      <c r="H145" s="261" t="str">
        <f>'Dry_Litterbag Placem_Collection'!C146</f>
        <v>Wet_P2_T8</v>
      </c>
      <c r="I145" s="262" t="s">
        <v>2525</v>
      </c>
      <c r="J145" s="263" t="s">
        <v>1147</v>
      </c>
      <c r="K145" s="221" t="str">
        <f>'WetLitterbags placem_collection'!K146</f>
        <v>G784</v>
      </c>
      <c r="L145" s="223">
        <f>IFERROR(INDEX('Green_rooibos initial weight'!$C$5:$C$2000,MATCH(K145, 'Green_rooibos initial weight'!$A$5:$A$2000,0)),"")</f>
        <v>2.1070000000000002</v>
      </c>
      <c r="M145" s="223">
        <f>IFERROR(L145-(TBIcalc!$H$9+TBIcalc!$H$10),"")</f>
        <v>1.8572000000000002</v>
      </c>
      <c r="N145" s="385">
        <f>AVERAGE(Ashed_controlls!$K$2:$K$11)</f>
        <v>5.5147656768714146</v>
      </c>
      <c r="O145" s="223">
        <f t="shared" si="11"/>
        <v>1.7547797718491442</v>
      </c>
      <c r="P145" s="223">
        <f>IFERROR(INDEX('Both teabags AfterWet'!$C$3:$C$840,MATCH(K145,'Both teabags AfterWet'!$A$3:$A$840,0)),"")</f>
        <v>0.78500000000000003</v>
      </c>
      <c r="Q145" s="223">
        <f>IFERROR(IF(P145&gt;0,P145-(TBIcalc!$H$9),""),"")</f>
        <v>0.63440000000000007</v>
      </c>
      <c r="R145" s="223">
        <f>IFERROR(INDEX('Ashed teabags wet'!$K$2:$K$2000,MATCH(K145,'Ashed teabags wet'!$A$2:$A$2000,0)),"")</f>
        <v>26.404773744405041</v>
      </c>
      <c r="S145" s="223">
        <f t="shared" si="12"/>
        <v>0.46688811536549446</v>
      </c>
      <c r="T145" s="224">
        <f>'WetLitterbags placem_collection'!E146</f>
        <v>42762</v>
      </c>
      <c r="U145" s="224">
        <f>IF('WetLitterbags placem_collection'!G146="","",'WetLitterbags placem_collection'!G146)</f>
        <v>42816</v>
      </c>
      <c r="V145" s="225">
        <f t="shared" si="10"/>
        <v>54</v>
      </c>
      <c r="W145" s="223">
        <f t="shared" si="13"/>
        <v>1.2228000000000001</v>
      </c>
      <c r="X145" s="223">
        <f t="shared" si="14"/>
        <v>1.2878916564836498</v>
      </c>
      <c r="Y145">
        <f>IFERROR(INDEX(Rainfall_Wet!$O$2:$O$217,MATCH(B145, Rainfall_Wet!$A$2:$A$217,0)),"")</f>
        <v>206.85140822299999</v>
      </c>
      <c r="Z145" s="228">
        <v>33.96</v>
      </c>
      <c r="AA145" s="228">
        <v>8.9200000000000017</v>
      </c>
      <c r="AB145" s="228">
        <v>57.12</v>
      </c>
      <c r="AC145" s="229" t="s">
        <v>2654</v>
      </c>
      <c r="AD145" s="228">
        <v>9.0720551996057193</v>
      </c>
      <c r="AE145">
        <f>IF('WetLitterbags placem_collection'!AB146="","",'WetLitterbags placem_collection'!AB146)</f>
        <v>2.5</v>
      </c>
      <c r="AF145">
        <f>IF('WetLitterbags placem_collection'!Z146="","",'WetLitterbags placem_collection'!Z146)</f>
        <v>19.8</v>
      </c>
      <c r="AG145" s="243" t="str">
        <f>IF('WetLitterbags placem_collection'!AA146="","",'WetLitterbags placem_collection'!AA146)</f>
        <v>G</v>
      </c>
      <c r="AH145">
        <f>IF('WetLitterbags placem_collection'!AC146="","",'WetLitterbags placem_collection'!AC146)</f>
        <v>1</v>
      </c>
      <c r="AI145" s="237">
        <f>AVERAGE('WetLitterbags placem_collection'!S146,'WetLitterbags placem_collection'!U146)</f>
        <v>17.149999999999999</v>
      </c>
      <c r="AJ145">
        <f>AVERAGE('WetLitterbags placem_collection'!R146,'WetLitterbags placem_collection'!T146)</f>
        <v>31.4</v>
      </c>
      <c r="AK145">
        <f>INDEX(Coordinates!$B$2:$B$197,MATCH(H145,Coordinates!$J$2:$J$197,0))</f>
        <v>-2.3486560399999998</v>
      </c>
      <c r="AL145">
        <f>INDEX(Coordinates!$C$2:$C$197,MATCH(H145,Coordinates!$J$2:$J$197,0))</f>
        <v>34.049895020000001</v>
      </c>
      <c r="AM145" t="str">
        <f>IF(ISNUMBER(SEARCH("C", 'WetLitterbags placem_collection'!$V146)),"YES","NO")</f>
        <v>NO</v>
      </c>
      <c r="AN145" t="str">
        <f>IF(ISNUMBER(SEARCH("H", 'WetLitterbags placem_collection'!$V146)),"YES","NO")</f>
        <v>NO</v>
      </c>
      <c r="AO145" t="str">
        <f>IF(ISNUMBER(SEARCH("R", 'WetLitterbags placem_collection'!$V146)),"YES","NO")</f>
        <v>YES</v>
      </c>
    </row>
    <row r="146" spans="1:41" ht="15" customHeight="1">
      <c r="A146" s="255" t="s">
        <v>2454</v>
      </c>
      <c r="B146" s="260">
        <f>'Dry_Litterbag Placem_Collection'!A147</f>
        <v>145</v>
      </c>
      <c r="C146" s="260" t="str">
        <f>'Dry_Litterbag Placem_Collection'!B147</f>
        <v xml:space="preserve">Mwantimba
</v>
      </c>
      <c r="D146" s="260" t="s">
        <v>2454</v>
      </c>
      <c r="E146" s="260" t="s">
        <v>20</v>
      </c>
      <c r="F146" s="260">
        <v>3</v>
      </c>
      <c r="G146" s="260" t="s">
        <v>3823</v>
      </c>
      <c r="H146" s="261" t="str">
        <f>'Dry_Litterbag Placem_Collection'!C147</f>
        <v>Wet_P3_T1</v>
      </c>
      <c r="I146" s="262" t="s">
        <v>2525</v>
      </c>
      <c r="J146" s="263" t="s">
        <v>1147</v>
      </c>
      <c r="K146" s="221" t="str">
        <f>'WetLitterbags placem_collection'!K147</f>
        <v>G902</v>
      </c>
      <c r="L146" s="223">
        <f>IFERROR(INDEX('Green_rooibos initial weight'!$C$5:$C$2000,MATCH(K146, 'Green_rooibos initial weight'!$A$5:$A$2000,0)),"")</f>
        <v>2.0750000000000002</v>
      </c>
      <c r="M146" s="223">
        <f>IFERROR(L146-(TBIcalc!$H$9+TBIcalc!$H$10),"")</f>
        <v>1.8252000000000002</v>
      </c>
      <c r="N146" s="385">
        <f>AVERAGE(Ashed_controlls!$K$2:$K$11)</f>
        <v>5.5147656768714146</v>
      </c>
      <c r="O146" s="223">
        <f t="shared" si="11"/>
        <v>1.7245444968657431</v>
      </c>
      <c r="P146" s="223">
        <f>IFERROR(INDEX('Both teabags AfterWet'!$C$3:$C$840,MATCH(K146,'Both teabags AfterWet'!$A$3:$A$840,0)),"")</f>
        <v>0.79200000000000004</v>
      </c>
      <c r="Q146" s="223">
        <f>IFERROR(IF(P146&gt;0,P146-(TBIcalc!$H$9),""),"")</f>
        <v>0.64139999999999997</v>
      </c>
      <c r="R146" s="223">
        <f>IFERROR(INDEX('Ashed teabags wet'!$K$2:$K$2000,MATCH(K146,'Ashed teabags wet'!$A$2:$A$2000,0)),"")</f>
        <v>20.158102766798436</v>
      </c>
      <c r="S146" s="223">
        <f t="shared" si="12"/>
        <v>0.51210592885375483</v>
      </c>
      <c r="T146" s="224">
        <f>'WetLitterbags placem_collection'!E147</f>
        <v>42762</v>
      </c>
      <c r="U146" s="224">
        <f>IF('WetLitterbags placem_collection'!G147="","",'WetLitterbags placem_collection'!G147)</f>
        <v>42815</v>
      </c>
      <c r="V146" s="225">
        <f t="shared" si="10"/>
        <v>53</v>
      </c>
      <c r="W146" s="223">
        <f t="shared" si="13"/>
        <v>1.1838000000000002</v>
      </c>
      <c r="X146" s="223">
        <f t="shared" si="14"/>
        <v>1.2124385680119882</v>
      </c>
      <c r="Y146">
        <f>IFERROR(INDEX(Rainfall_Wet!$O$2:$O$217,MATCH(B146, Rainfall_Wet!$A$2:$A$217,0)),"")</f>
        <v>205.76139209600001</v>
      </c>
      <c r="Z146" s="228">
        <v>39.96</v>
      </c>
      <c r="AA146" s="228">
        <v>12.920000000000002</v>
      </c>
      <c r="AB146" s="228">
        <v>47.12</v>
      </c>
      <c r="AC146" s="229" t="s">
        <v>2658</v>
      </c>
      <c r="AD146" s="228">
        <v>1.6549531789058647</v>
      </c>
      <c r="AE146">
        <f>IF('WetLitterbags placem_collection'!AB147="","",'WetLitterbags placem_collection'!AB147)</f>
        <v>3.95</v>
      </c>
      <c r="AF146">
        <f>IF('WetLitterbags placem_collection'!Z147="","",'WetLitterbags placem_collection'!Z147)</f>
        <v>13</v>
      </c>
      <c r="AG146" s="243" t="str">
        <f>IF('WetLitterbags placem_collection'!AA147="","",'WetLitterbags placem_collection'!AA147)</f>
        <v>O</v>
      </c>
      <c r="AH146">
        <f>IF('WetLitterbags placem_collection'!AC147="","",'WetLitterbags placem_collection'!AC147)</f>
        <v>0</v>
      </c>
      <c r="AI146" s="237">
        <f>AVERAGE('WetLitterbags placem_collection'!S147,'WetLitterbags placem_collection'!U147)</f>
        <v>27.200000000000003</v>
      </c>
      <c r="AJ146">
        <f>AVERAGE('WetLitterbags placem_collection'!R147,'WetLitterbags placem_collection'!T147)</f>
        <v>30.9</v>
      </c>
      <c r="AK146">
        <f>INDEX(Coordinates!$B$2:$B$197,MATCH(H146,Coordinates!$J$2:$J$197,0))</f>
        <v>-2.3675269729999999</v>
      </c>
      <c r="AL146">
        <f>INDEX(Coordinates!$C$2:$C$197,MATCH(H146,Coordinates!$J$2:$J$197,0))</f>
        <v>34.06035799</v>
      </c>
      <c r="AM146" t="str">
        <f>IF(ISNUMBER(SEARCH("C", 'WetLitterbags placem_collection'!$V147)),"YES","NO")</f>
        <v>NO</v>
      </c>
      <c r="AN146" t="str">
        <f>IF(ISNUMBER(SEARCH("H", 'WetLitterbags placem_collection'!$V147)),"YES","NO")</f>
        <v>NO</v>
      </c>
      <c r="AO146" t="str">
        <f>IF(ISNUMBER(SEARCH("R", 'WetLitterbags placem_collection'!$V147)),"YES","NO")</f>
        <v>YES</v>
      </c>
    </row>
    <row r="147" spans="1:41" ht="15" customHeight="1">
      <c r="A147" s="255" t="s">
        <v>2454</v>
      </c>
      <c r="B147" s="260">
        <f>'Dry_Litterbag Placem_Collection'!A148</f>
        <v>146</v>
      </c>
      <c r="C147" s="260" t="str">
        <f>'Dry_Litterbag Placem_Collection'!B148</f>
        <v xml:space="preserve">Mwantimba
</v>
      </c>
      <c r="D147" s="260" t="s">
        <v>2454</v>
      </c>
      <c r="E147" s="260" t="s">
        <v>20</v>
      </c>
      <c r="F147" s="260">
        <v>3</v>
      </c>
      <c r="G147" s="260" t="s">
        <v>3823</v>
      </c>
      <c r="H147" s="261" t="str">
        <f>'Dry_Litterbag Placem_Collection'!C148</f>
        <v>Wet_P3_T2</v>
      </c>
      <c r="I147" s="262" t="s">
        <v>2525</v>
      </c>
      <c r="J147" s="263" t="s">
        <v>1147</v>
      </c>
      <c r="K147" s="221" t="str">
        <f>'WetLitterbags placem_collection'!K148</f>
        <v>G689</v>
      </c>
      <c r="L147" s="223">
        <f>IFERROR(INDEX('Green_rooibos initial weight'!$C$5:$C$2000,MATCH(K147, 'Green_rooibos initial weight'!$A$5:$A$2000,0)),"")</f>
        <v>2.0339999999999998</v>
      </c>
      <c r="M147" s="223">
        <f>IFERROR(L147-(TBIcalc!$H$9+TBIcalc!$H$10),"")</f>
        <v>1.7841999999999998</v>
      </c>
      <c r="N147" s="385">
        <f>AVERAGE(Ashed_controlls!$K$2:$K$11)</f>
        <v>5.5147656768714146</v>
      </c>
      <c r="O147" s="223">
        <f t="shared" si="11"/>
        <v>1.6858055507932601</v>
      </c>
      <c r="P147" s="223">
        <f>IFERROR(INDEX('Both teabags AfterWet'!$C$3:$C$840,MATCH(K147,'Both teabags AfterWet'!$A$3:$A$840,0)),"")</f>
        <v>0.52200000000000002</v>
      </c>
      <c r="Q147" s="223">
        <f>IFERROR(IF(P147&gt;0,P147-(TBIcalc!$H$9),""),"")</f>
        <v>0.37140000000000001</v>
      </c>
      <c r="R147" s="223">
        <f>IFERROR(INDEX('Ashed teabags wet'!$K$2:$K$2000,MATCH(K147,'Ashed teabags wet'!$A$2:$A$2000,0)),"")</f>
        <v>14.092009685229803</v>
      </c>
      <c r="S147" s="223">
        <f t="shared" si="12"/>
        <v>0.31906227602905651</v>
      </c>
      <c r="T147" s="224">
        <f>'WetLitterbags placem_collection'!E148</f>
        <v>42762</v>
      </c>
      <c r="U147" s="224">
        <f>IF('WetLitterbags placem_collection'!G148="","",'WetLitterbags placem_collection'!G148)</f>
        <v>42815</v>
      </c>
      <c r="V147" s="225">
        <f t="shared" si="10"/>
        <v>53</v>
      </c>
      <c r="W147" s="223">
        <f t="shared" si="13"/>
        <v>1.4127999999999998</v>
      </c>
      <c r="X147" s="223">
        <f t="shared" si="14"/>
        <v>1.3667432747642037</v>
      </c>
      <c r="Y147">
        <f>IFERROR(INDEX(Rainfall_Wet!$O$2:$O$217,MATCH(B147, Rainfall_Wet!$A$2:$A$217,0)),"")</f>
        <v>205.76139209600001</v>
      </c>
      <c r="Z147" s="228">
        <v>39.96</v>
      </c>
      <c r="AA147" s="228">
        <v>12.920000000000002</v>
      </c>
      <c r="AB147" s="228">
        <v>47.12</v>
      </c>
      <c r="AC147" s="229" t="s">
        <v>2658</v>
      </c>
      <c r="AD147" s="228">
        <v>2.6549531789058598</v>
      </c>
      <c r="AE147">
        <f>IF('WetLitterbags placem_collection'!AB148="","",'WetLitterbags placem_collection'!AB148)</f>
        <v>2.75</v>
      </c>
      <c r="AF147">
        <f>IF('WetLitterbags placem_collection'!Z148="","",'WetLitterbags placem_collection'!Z148)</f>
        <v>17.7</v>
      </c>
      <c r="AG147" s="243" t="str">
        <f>IF('WetLitterbags placem_collection'!AA148="","",'WetLitterbags placem_collection'!AA148)</f>
        <v>O</v>
      </c>
      <c r="AH147">
        <f>IF('WetLitterbags placem_collection'!AC148="","",'WetLitterbags placem_collection'!AC148)</f>
        <v>1</v>
      </c>
      <c r="AI147" s="237">
        <f>AVERAGE('WetLitterbags placem_collection'!S148,'WetLitterbags placem_collection'!U148)</f>
        <v>22.65</v>
      </c>
      <c r="AJ147">
        <f>AVERAGE('WetLitterbags placem_collection'!R148,'WetLitterbags placem_collection'!T148)</f>
        <v>30.549999999999997</v>
      </c>
      <c r="AK147">
        <f>INDEX(Coordinates!$B$2:$B$197,MATCH(H147,Coordinates!$J$2:$J$197,0))</f>
        <v>-2.3675380370000001</v>
      </c>
      <c r="AL147">
        <f>INDEX(Coordinates!$C$2:$C$197,MATCH(H147,Coordinates!$J$2:$J$197,0))</f>
        <v>34.060381960000001</v>
      </c>
      <c r="AM147" t="str">
        <f>IF(ISNUMBER(SEARCH("C", 'WetLitterbags placem_collection'!$V148)),"YES","NO")</f>
        <v>NO</v>
      </c>
      <c r="AN147" t="str">
        <f>IF(ISNUMBER(SEARCH("H", 'WetLitterbags placem_collection'!$V148)),"YES","NO")</f>
        <v>YES</v>
      </c>
      <c r="AO147" t="str">
        <f>IF(ISNUMBER(SEARCH("R", 'WetLitterbags placem_collection'!$V148)),"YES","NO")</f>
        <v>YES</v>
      </c>
    </row>
    <row r="148" spans="1:41" ht="15" customHeight="1">
      <c r="A148" s="255" t="s">
        <v>2454</v>
      </c>
      <c r="B148" s="260">
        <f>'Dry_Litterbag Placem_Collection'!A149</f>
        <v>147</v>
      </c>
      <c r="C148" s="260" t="str">
        <f>'Dry_Litterbag Placem_Collection'!B149</f>
        <v xml:space="preserve">Mwantimba
</v>
      </c>
      <c r="D148" s="260" t="s">
        <v>2454</v>
      </c>
      <c r="E148" s="260" t="s">
        <v>20</v>
      </c>
      <c r="F148" s="260">
        <v>3</v>
      </c>
      <c r="G148" s="260" t="s">
        <v>3823</v>
      </c>
      <c r="H148" s="261" t="str">
        <f>'Dry_Litterbag Placem_Collection'!C149</f>
        <v>Wet_P3_T3</v>
      </c>
      <c r="I148" s="262" t="s">
        <v>2525</v>
      </c>
      <c r="J148" s="263" t="s">
        <v>1147</v>
      </c>
      <c r="K148" s="221" t="str">
        <f>'WetLitterbags placem_collection'!K149</f>
        <v>G678</v>
      </c>
      <c r="L148" s="223">
        <f>IFERROR(INDEX('Green_rooibos initial weight'!$C$5:$C$2000,MATCH(K148, 'Green_rooibos initial weight'!$A$5:$A$2000,0)),"")</f>
        <v>2.012</v>
      </c>
      <c r="M148" s="223">
        <f>IFERROR(L148-(TBIcalc!$H$9+TBIcalc!$H$10),"")</f>
        <v>1.7622</v>
      </c>
      <c r="N148" s="385">
        <f>AVERAGE(Ashed_controlls!$K$2:$K$11)</f>
        <v>5.5147656768714146</v>
      </c>
      <c r="O148" s="223">
        <f t="shared" si="11"/>
        <v>1.6650187992421719</v>
      </c>
      <c r="P148" s="223">
        <f>IFERROR(INDEX('Both teabags AfterWet'!$C$3:$C$840,MATCH(K148,'Both teabags AfterWet'!$A$3:$A$840,0)),"")</f>
        <v>0.70199999999999996</v>
      </c>
      <c r="Q148" s="223">
        <f>IFERROR(IF(P148&gt;0,P148-(TBIcalc!$H$9),""),"")</f>
        <v>0.55139999999999989</v>
      </c>
      <c r="R148" s="223">
        <f>IFERROR(INDEX('Ashed teabags wet'!$K$2:$K$2000,MATCH(K148,'Ashed teabags wet'!$A$2:$A$2000,0)),"")</f>
        <v>16.333666333666116</v>
      </c>
      <c r="S148" s="223">
        <f t="shared" si="12"/>
        <v>0.46133616383616494</v>
      </c>
      <c r="T148" s="224">
        <f>'WetLitterbags placem_collection'!E149</f>
        <v>42762</v>
      </c>
      <c r="U148" s="224">
        <f>IF('WetLitterbags placem_collection'!G149="","",'WetLitterbags placem_collection'!G149)</f>
        <v>42816</v>
      </c>
      <c r="V148" s="225">
        <f t="shared" si="10"/>
        <v>54</v>
      </c>
      <c r="W148" s="223">
        <f t="shared" si="13"/>
        <v>1.2108000000000001</v>
      </c>
      <c r="X148" s="223">
        <f t="shared" si="14"/>
        <v>1.2036826354060071</v>
      </c>
      <c r="Y148">
        <f>IFERROR(INDEX(Rainfall_Wet!$O$2:$O$217,MATCH(B148, Rainfall_Wet!$A$2:$A$217,0)),"")</f>
        <v>206.85140822299999</v>
      </c>
      <c r="Z148" s="228">
        <v>39.96</v>
      </c>
      <c r="AA148" s="228">
        <v>12.920000000000002</v>
      </c>
      <c r="AB148" s="228">
        <v>47.12</v>
      </c>
      <c r="AC148" s="229" t="s">
        <v>2658</v>
      </c>
      <c r="AD148" s="228">
        <v>3.6549531789058598</v>
      </c>
      <c r="AE148">
        <f>IF('WetLitterbags placem_collection'!AB149="","",'WetLitterbags placem_collection'!AB149)</f>
        <v>3.6</v>
      </c>
      <c r="AF148">
        <f>IF('WetLitterbags placem_collection'!Z149="","",'WetLitterbags placem_collection'!Z149)</f>
        <v>19</v>
      </c>
      <c r="AG148" s="243" t="str">
        <f>IF('WetLitterbags placem_collection'!AA149="","",'WetLitterbags placem_collection'!AA149)</f>
        <v>M</v>
      </c>
      <c r="AH148">
        <f>IF('WetLitterbags placem_collection'!AC149="","",'WetLitterbags placem_collection'!AC149)</f>
        <v>1</v>
      </c>
      <c r="AI148" s="237">
        <f>AVERAGE('WetLitterbags placem_collection'!S149,'WetLitterbags placem_collection'!U149)</f>
        <v>23.35</v>
      </c>
      <c r="AJ148">
        <f>AVERAGE('WetLitterbags placem_collection'!R149,'WetLitterbags placem_collection'!T149)</f>
        <v>29.9</v>
      </c>
      <c r="AK148">
        <f>INDEX(Coordinates!$B$2:$B$197,MATCH(H148,Coordinates!$J$2:$J$197,0))</f>
        <v>-2.3675780180000001</v>
      </c>
      <c r="AL148">
        <f>INDEX(Coordinates!$C$2:$C$197,MATCH(H148,Coordinates!$J$2:$J$197,0))</f>
        <v>34.060323029999999</v>
      </c>
      <c r="AM148" t="str">
        <f>IF(ISNUMBER(SEARCH("C", 'WetLitterbags placem_collection'!$V149)),"YES","NO")</f>
        <v>NO</v>
      </c>
      <c r="AN148" t="str">
        <f>IF(ISNUMBER(SEARCH("H", 'WetLitterbags placem_collection'!$V149)),"YES","NO")</f>
        <v>NO</v>
      </c>
      <c r="AO148" t="str">
        <f>IF(ISNUMBER(SEARCH("R", 'WetLitterbags placem_collection'!$V149)),"YES","NO")</f>
        <v>NO</v>
      </c>
    </row>
    <row r="149" spans="1:41" ht="15" customHeight="1">
      <c r="A149" s="255" t="s">
        <v>2454</v>
      </c>
      <c r="B149" s="260">
        <f>'Dry_Litterbag Placem_Collection'!A150</f>
        <v>148</v>
      </c>
      <c r="C149" s="260" t="str">
        <f>'Dry_Litterbag Placem_Collection'!B150</f>
        <v xml:space="preserve">Mwantimba
</v>
      </c>
      <c r="D149" s="260" t="s">
        <v>2454</v>
      </c>
      <c r="E149" s="260" t="s">
        <v>20</v>
      </c>
      <c r="F149" s="260">
        <v>3</v>
      </c>
      <c r="G149" s="260" t="s">
        <v>3823</v>
      </c>
      <c r="H149" s="261" t="str">
        <f>'Dry_Litterbag Placem_Collection'!C150</f>
        <v>Wet_P3_T4</v>
      </c>
      <c r="I149" s="262" t="s">
        <v>2525</v>
      </c>
      <c r="J149" s="263" t="s">
        <v>1147</v>
      </c>
      <c r="K149" s="221" t="str">
        <f>'WetLitterbags placem_collection'!K150</f>
        <v>G835</v>
      </c>
      <c r="L149" s="223">
        <f>IFERROR(INDEX('Green_rooibos initial weight'!$C$5:$C$2000,MATCH(K149, 'Green_rooibos initial weight'!$A$5:$A$2000,0)),"")</f>
        <v>1.819</v>
      </c>
      <c r="M149" s="223">
        <f>IFERROR(L149-(TBIcalc!$H$9+TBIcalc!$H$10),"")</f>
        <v>1.5691999999999999</v>
      </c>
      <c r="N149" s="385">
        <f>AVERAGE(Ashed_controlls!$K$2:$K$11)</f>
        <v>5.5147656768714146</v>
      </c>
      <c r="O149" s="223">
        <f t="shared" si="11"/>
        <v>1.4826622969985337</v>
      </c>
      <c r="P149" s="223">
        <f>IFERROR(INDEX('Both teabags AfterWet'!$C$3:$C$840,MATCH(K149,'Both teabags AfterWet'!$A$3:$A$840,0)),"")</f>
        <v>0.24560000000000001</v>
      </c>
      <c r="Q149" s="223">
        <f>IFERROR(IF(P149&gt;0,P149-(TBIcalc!$H$9),""),"")</f>
        <v>9.5000000000000001E-2</v>
      </c>
      <c r="R149" s="223">
        <f>IFERROR(INDEX('Ashed teabags wet'!$K$2:$K$2000,MATCH(K149,'Ashed teabags wet'!$A$2:$A$2000,0)),"")</f>
        <v>0</v>
      </c>
      <c r="S149" s="223">
        <f t="shared" si="12"/>
        <v>9.5000000000000001E-2</v>
      </c>
      <c r="T149" s="224">
        <f>'WetLitterbags placem_collection'!E150</f>
        <v>42762</v>
      </c>
      <c r="U149" s="224">
        <f>IF('WetLitterbags placem_collection'!G150="","",'WetLitterbags placem_collection'!G150)</f>
        <v>42816</v>
      </c>
      <c r="V149" s="225">
        <f t="shared" si="10"/>
        <v>54</v>
      </c>
      <c r="W149" s="223">
        <f t="shared" si="13"/>
        <v>1.4742</v>
      </c>
      <c r="X149" s="223">
        <f t="shared" si="14"/>
        <v>1.3876622969985337</v>
      </c>
      <c r="Y149">
        <f>IFERROR(INDEX(Rainfall_Wet!$O$2:$O$217,MATCH(B149, Rainfall_Wet!$A$2:$A$217,0)),"")</f>
        <v>206.85140822299999</v>
      </c>
      <c r="Z149" s="228">
        <v>39.96</v>
      </c>
      <c r="AA149" s="228">
        <v>12.920000000000002</v>
      </c>
      <c r="AB149" s="228">
        <v>47.12</v>
      </c>
      <c r="AC149" s="229" t="s">
        <v>2658</v>
      </c>
      <c r="AD149" s="228">
        <v>4.6549531789058696</v>
      </c>
      <c r="AE149">
        <f>IF('WetLitterbags placem_collection'!AB150="","",'WetLitterbags placem_collection'!AB150)</f>
        <v>4.9000000000000004</v>
      </c>
      <c r="AF149">
        <f>IF('WetLitterbags placem_collection'!Z150="","",'WetLitterbags placem_collection'!Z150)</f>
        <v>17.489999999999998</v>
      </c>
      <c r="AG149" s="243" t="str">
        <f>IF('WetLitterbags placem_collection'!AA150="","",'WetLitterbags placem_collection'!AA150)</f>
        <v>M</v>
      </c>
      <c r="AH149">
        <f>IF('WetLitterbags placem_collection'!AC150="","",'WetLitterbags placem_collection'!AC150)</f>
        <v>1</v>
      </c>
      <c r="AI149" s="237">
        <f>AVERAGE('WetLitterbags placem_collection'!S150,'WetLitterbags placem_collection'!U150)</f>
        <v>28.2</v>
      </c>
      <c r="AJ149">
        <f>AVERAGE('WetLitterbags placem_collection'!R150,'WetLitterbags placem_collection'!T150)</f>
        <v>25.299999999999997</v>
      </c>
      <c r="AK149">
        <f>INDEX(Coordinates!$B$2:$B$197,MATCH(H149,Coordinates!$J$2:$J$197,0))</f>
        <v>-2.3676269689999998</v>
      </c>
      <c r="AL149">
        <f>INDEX(Coordinates!$C$2:$C$197,MATCH(H149,Coordinates!$J$2:$J$197,0))</f>
        <v>34.060310960000002</v>
      </c>
      <c r="AM149" t="str">
        <f>IF(ISNUMBER(SEARCH("C", 'WetLitterbags placem_collection'!$V150)),"YES","NO")</f>
        <v>NO</v>
      </c>
      <c r="AN149" t="str">
        <f>IF(ISNUMBER(SEARCH("H", 'WetLitterbags placem_collection'!$V150)),"YES","NO")</f>
        <v>YES</v>
      </c>
      <c r="AO149" t="str">
        <f>IF(ISNUMBER(SEARCH("R", 'WetLitterbags placem_collection'!$V150)),"YES","NO")</f>
        <v>NO</v>
      </c>
    </row>
    <row r="150" spans="1:41" ht="15" customHeight="1">
      <c r="A150" s="255" t="s">
        <v>2454</v>
      </c>
      <c r="B150" s="260">
        <f>'Dry_Litterbag Placem_Collection'!A151</f>
        <v>149</v>
      </c>
      <c r="C150" s="260" t="str">
        <f>'Dry_Litterbag Placem_Collection'!B151</f>
        <v xml:space="preserve">Mwantimba
</v>
      </c>
      <c r="D150" s="260" t="s">
        <v>2454</v>
      </c>
      <c r="E150" s="260" t="s">
        <v>20</v>
      </c>
      <c r="F150" s="260">
        <v>3</v>
      </c>
      <c r="G150" s="260" t="s">
        <v>3823</v>
      </c>
      <c r="H150" s="261" t="str">
        <f>'Dry_Litterbag Placem_Collection'!C151</f>
        <v>Wet_P3_T5</v>
      </c>
      <c r="I150" s="262" t="s">
        <v>2525</v>
      </c>
      <c r="J150" s="263" t="s">
        <v>1147</v>
      </c>
      <c r="K150" s="221" t="str">
        <f>'WetLitterbags placem_collection'!K151</f>
        <v>G733</v>
      </c>
      <c r="L150" s="223">
        <f>IFERROR(INDEX('Green_rooibos initial weight'!$C$5:$C$2000,MATCH(K150, 'Green_rooibos initial weight'!$A$5:$A$2000,0)),"")</f>
        <v>1.8280000000000001</v>
      </c>
      <c r="M150" s="223">
        <f>IFERROR(L150-(TBIcalc!$H$9+TBIcalc!$H$10),"")</f>
        <v>1.5782</v>
      </c>
      <c r="N150" s="385">
        <f>AVERAGE(Ashed_controlls!$K$2:$K$11)</f>
        <v>5.5147656768714146</v>
      </c>
      <c r="O150" s="223">
        <f t="shared" si="11"/>
        <v>1.4911659680876155</v>
      </c>
      <c r="P150" s="223">
        <f>IFERROR(INDEX('Both teabags AfterWet'!$C$3:$C$840,MATCH(K150,'Both teabags AfterWet'!$A$3:$A$840,0)),"")</f>
        <v>0.73760000000000003</v>
      </c>
      <c r="Q150" s="223">
        <f>IFERROR(IF(P150&gt;0,P150-(TBIcalc!$H$9),""),"")</f>
        <v>0.58699999999999997</v>
      </c>
      <c r="R150" s="223">
        <f>IFERROR(INDEX('Ashed teabags wet'!$K$2:$K$2000,MATCH(K150,'Ashed teabags wet'!$A$2:$A$2000,0)),"")</f>
        <v>30.262506191183512</v>
      </c>
      <c r="S150" s="223">
        <f t="shared" si="12"/>
        <v>0.40935908865775272</v>
      </c>
      <c r="T150" s="224">
        <f>'WetLitterbags placem_collection'!E151</f>
        <v>42762</v>
      </c>
      <c r="U150" s="224">
        <f>IF('WetLitterbags placem_collection'!G151="","",'WetLitterbags placem_collection'!G151)</f>
        <v>42816</v>
      </c>
      <c r="V150" s="225">
        <f t="shared" si="10"/>
        <v>54</v>
      </c>
      <c r="W150" s="223">
        <f t="shared" si="13"/>
        <v>0.99120000000000008</v>
      </c>
      <c r="X150" s="223">
        <f t="shared" si="14"/>
        <v>1.0818068794298628</v>
      </c>
      <c r="Y150">
        <f>IFERROR(INDEX(Rainfall_Wet!$O$2:$O$217,MATCH(B150, Rainfall_Wet!$A$2:$A$217,0)),"")</f>
        <v>206.85140822299999</v>
      </c>
      <c r="Z150" s="228">
        <v>39.96</v>
      </c>
      <c r="AA150" s="228">
        <v>12.920000000000002</v>
      </c>
      <c r="AB150" s="228">
        <v>47.12</v>
      </c>
      <c r="AC150" s="229" t="s">
        <v>2658</v>
      </c>
      <c r="AD150" s="228">
        <v>5.6549531789058696</v>
      </c>
      <c r="AE150">
        <f>IF('WetLitterbags placem_collection'!AB151="","",'WetLitterbags placem_collection'!AB151)</f>
        <v>2.8</v>
      </c>
      <c r="AF150">
        <f>IF('WetLitterbags placem_collection'!Z151="","",'WetLitterbags placem_collection'!Z151)</f>
        <v>13</v>
      </c>
      <c r="AG150" s="243" t="str">
        <f>IF('WetLitterbags placem_collection'!AA151="","",'WetLitterbags placem_collection'!AA151)</f>
        <v>M</v>
      </c>
      <c r="AH150">
        <f>IF('WetLitterbags placem_collection'!AC151="","",'WetLitterbags placem_collection'!AC151)</f>
        <v>1</v>
      </c>
      <c r="AI150" s="237">
        <f>AVERAGE('WetLitterbags placem_collection'!S151,'WetLitterbags placem_collection'!U151)</f>
        <v>25.4</v>
      </c>
      <c r="AJ150">
        <f>AVERAGE('WetLitterbags placem_collection'!R151,'WetLitterbags placem_collection'!T151)</f>
        <v>26.9</v>
      </c>
      <c r="AK150">
        <f>INDEX(Coordinates!$B$2:$B$197,MATCH(H150,Coordinates!$J$2:$J$197,0))</f>
        <v>-2.3677179960000001</v>
      </c>
      <c r="AL150">
        <f>INDEX(Coordinates!$C$2:$C$197,MATCH(H150,Coordinates!$J$2:$J$197,0))</f>
        <v>34.060324960000003</v>
      </c>
      <c r="AM150" t="str">
        <f>IF(ISNUMBER(SEARCH("C", 'WetLitterbags placem_collection'!$V151)),"YES","NO")</f>
        <v>NO</v>
      </c>
      <c r="AN150" t="str">
        <f>IF(ISNUMBER(SEARCH("H", 'WetLitterbags placem_collection'!$V151)),"YES","NO")</f>
        <v>NO</v>
      </c>
      <c r="AO150" t="str">
        <f>IF(ISNUMBER(SEARCH("R", 'WetLitterbags placem_collection'!$V151)),"YES","NO")</f>
        <v>NO</v>
      </c>
    </row>
    <row r="151" spans="1:41" ht="15" customHeight="1">
      <c r="A151" s="255" t="s">
        <v>2454</v>
      </c>
      <c r="B151" s="260">
        <f>'Dry_Litterbag Placem_Collection'!A152</f>
        <v>150</v>
      </c>
      <c r="C151" s="260" t="str">
        <f>'Dry_Litterbag Placem_Collection'!B152</f>
        <v xml:space="preserve">Mwantimba
</v>
      </c>
      <c r="D151" s="260" t="s">
        <v>2454</v>
      </c>
      <c r="E151" s="260" t="s">
        <v>20</v>
      </c>
      <c r="F151" s="260">
        <v>3</v>
      </c>
      <c r="G151" s="260" t="s">
        <v>3823</v>
      </c>
      <c r="H151" s="261" t="str">
        <f>'Dry_Litterbag Placem_Collection'!C152</f>
        <v>Wet_P3_T6</v>
      </c>
      <c r="I151" s="262" t="s">
        <v>2525</v>
      </c>
      <c r="J151" s="263" t="s">
        <v>1147</v>
      </c>
      <c r="K151" s="221" t="str">
        <f>'WetLitterbags placem_collection'!K152</f>
        <v>G658</v>
      </c>
      <c r="L151" s="223">
        <f>IFERROR(INDEX('Green_rooibos initial weight'!$C$5:$C$2000,MATCH(K151, 'Green_rooibos initial weight'!$A$5:$A$2000,0)),"")</f>
        <v>2.129</v>
      </c>
      <c r="M151" s="223">
        <f>IFERROR(L151-(TBIcalc!$H$9+TBIcalc!$H$10),"")</f>
        <v>1.8792</v>
      </c>
      <c r="N151" s="385">
        <f>AVERAGE(Ashed_controlls!$K$2:$K$11)</f>
        <v>5.5147656768714146</v>
      </c>
      <c r="O151" s="223">
        <f t="shared" si="11"/>
        <v>1.7755665234002325</v>
      </c>
      <c r="P151" s="223">
        <f>IFERROR(INDEX('Both teabags AfterWet'!$C$3:$C$840,MATCH(K151,'Both teabags AfterWet'!$A$3:$A$840,0)),"")</f>
        <v>0.71799999999999997</v>
      </c>
      <c r="Q151" s="223">
        <f>IFERROR(IF(P151&gt;0,P151-(TBIcalc!$H$9),""),"")</f>
        <v>0.5673999999999999</v>
      </c>
      <c r="R151" s="223">
        <f>IFERROR(INDEX('Ashed teabags wet'!$K$2:$K$2000,MATCH(K151,'Ashed teabags wet'!$A$2:$A$2000,0)),"")</f>
        <v>23.716990533134794</v>
      </c>
      <c r="S151" s="223">
        <f t="shared" si="12"/>
        <v>0.43282979571499314</v>
      </c>
      <c r="T151" s="224">
        <f>'WetLitterbags placem_collection'!E152</f>
        <v>42762</v>
      </c>
      <c r="U151" s="224">
        <f>IF('WetLitterbags placem_collection'!G152="","",'WetLitterbags placem_collection'!G152)</f>
        <v>42816</v>
      </c>
      <c r="V151" s="225">
        <f t="shared" si="10"/>
        <v>54</v>
      </c>
      <c r="W151" s="223">
        <f t="shared" si="13"/>
        <v>1.3118000000000001</v>
      </c>
      <c r="X151" s="223">
        <f t="shared" si="14"/>
        <v>1.3427367276852393</v>
      </c>
      <c r="Y151">
        <f>IFERROR(INDEX(Rainfall_Wet!$O$2:$O$217,MATCH(B151, Rainfall_Wet!$A$2:$A$217,0)),"")</f>
        <v>206.85140822299999</v>
      </c>
      <c r="Z151" s="228">
        <v>39.96</v>
      </c>
      <c r="AA151" s="228">
        <v>12.920000000000002</v>
      </c>
      <c r="AB151" s="228">
        <v>47.12</v>
      </c>
      <c r="AC151" s="229" t="s">
        <v>2658</v>
      </c>
      <c r="AD151" s="228">
        <v>6.6549531789058696</v>
      </c>
      <c r="AE151">
        <f>IF('WetLitterbags placem_collection'!AB152="","",'WetLitterbags placem_collection'!AB152)</f>
        <v>2.75</v>
      </c>
      <c r="AF151">
        <f>IF('WetLitterbags placem_collection'!Z152="","",'WetLitterbags placem_collection'!Z152)</f>
        <v>19</v>
      </c>
      <c r="AG151" s="243" t="str">
        <f>IF('WetLitterbags placem_collection'!AA152="","",'WetLitterbags placem_collection'!AA152)</f>
        <v>O</v>
      </c>
      <c r="AH151">
        <f>IF('WetLitterbags placem_collection'!AC152="","",'WetLitterbags placem_collection'!AC152)</f>
        <v>0</v>
      </c>
      <c r="AI151" s="237">
        <f>AVERAGE('WetLitterbags placem_collection'!S152,'WetLitterbags placem_collection'!U152)</f>
        <v>22.55</v>
      </c>
      <c r="AJ151">
        <f>AVERAGE('WetLitterbags placem_collection'!R152,'WetLitterbags placem_collection'!T152)</f>
        <v>24.75</v>
      </c>
      <c r="AK151">
        <f>INDEX(Coordinates!$B$2:$B$197,MATCH(H151,Coordinates!$J$2:$J$197,0))</f>
        <v>-2.3675230329999999</v>
      </c>
      <c r="AL151">
        <f>INDEX(Coordinates!$C$2:$C$197,MATCH(H151,Coordinates!$J$2:$J$197,0))</f>
        <v>34.060512969999998</v>
      </c>
      <c r="AM151" t="str">
        <f>IF(ISNUMBER(SEARCH("C", 'WetLitterbags placem_collection'!$V152)),"YES","NO")</f>
        <v>NO</v>
      </c>
      <c r="AN151" t="str">
        <f>IF(ISNUMBER(SEARCH("H", 'WetLitterbags placem_collection'!$V152)),"YES","NO")</f>
        <v>NO</v>
      </c>
      <c r="AO151" t="str">
        <f>IF(ISNUMBER(SEARCH("R", 'WetLitterbags placem_collection'!$V152)),"YES","NO")</f>
        <v>NO</v>
      </c>
    </row>
    <row r="152" spans="1:41" ht="15" customHeight="1">
      <c r="A152" s="255" t="s">
        <v>2454</v>
      </c>
      <c r="B152" s="260">
        <f>'Dry_Litterbag Placem_Collection'!A153</f>
        <v>151</v>
      </c>
      <c r="C152" s="260" t="str">
        <f>'Dry_Litterbag Placem_Collection'!B153</f>
        <v xml:space="preserve">Mwantimba
</v>
      </c>
      <c r="D152" s="260" t="s">
        <v>2454</v>
      </c>
      <c r="E152" s="260" t="s">
        <v>20</v>
      </c>
      <c r="F152" s="260">
        <v>3</v>
      </c>
      <c r="G152" s="260" t="s">
        <v>3823</v>
      </c>
      <c r="H152" s="261" t="str">
        <f>'Dry_Litterbag Placem_Collection'!C153</f>
        <v>Wet_P3_T7</v>
      </c>
      <c r="I152" s="262" t="s">
        <v>2525</v>
      </c>
      <c r="J152" s="263" t="s">
        <v>1147</v>
      </c>
      <c r="K152" s="221" t="str">
        <f>'WetLitterbags placem_collection'!K153</f>
        <v>G567</v>
      </c>
      <c r="L152" s="223">
        <f>IFERROR(INDEX('Green_rooibos initial weight'!$C$5:$C$2000,MATCH(K152, 'Green_rooibos initial weight'!$A$5:$A$2000,0)),"")</f>
        <v>2.0569999999999999</v>
      </c>
      <c r="M152" s="223">
        <f>IFERROR(L152-(TBIcalc!$H$9+TBIcalc!$H$10),"")</f>
        <v>1.8071999999999999</v>
      </c>
      <c r="N152" s="385">
        <f>AVERAGE(Ashed_controlls!$K$2:$K$11)</f>
        <v>5.5147656768714146</v>
      </c>
      <c r="O152" s="223">
        <f t="shared" si="11"/>
        <v>1.7075371546875797</v>
      </c>
      <c r="P152" s="223">
        <f>IFERROR(INDEX('Both teabags AfterWet'!$C$3:$C$840,MATCH(K152,'Both teabags AfterWet'!$A$3:$A$840,0)),"")</f>
        <v>0.86499999999999999</v>
      </c>
      <c r="Q152" s="223">
        <f>IFERROR(IF(P152&gt;0,P152-(TBIcalc!$H$9),""),"")</f>
        <v>0.71439999999999992</v>
      </c>
      <c r="R152" s="223">
        <f>IFERROR(INDEX('Ashed teabags wet'!$K$2:$K$2000,MATCH(K152,'Ashed teabags wet'!$A$2:$A$2000,0)),"")</f>
        <v>20.077034183919789</v>
      </c>
      <c r="S152" s="223">
        <f t="shared" si="12"/>
        <v>0.57096966779007696</v>
      </c>
      <c r="T152" s="224">
        <f>'WetLitterbags placem_collection'!E153</f>
        <v>42762</v>
      </c>
      <c r="U152" s="224">
        <f>IF('WetLitterbags placem_collection'!G153="","",'WetLitterbags placem_collection'!G153)</f>
        <v>42816</v>
      </c>
      <c r="V152" s="225">
        <f t="shared" si="10"/>
        <v>54</v>
      </c>
      <c r="W152" s="223">
        <f t="shared" si="13"/>
        <v>1.0928</v>
      </c>
      <c r="X152" s="223">
        <f t="shared" si="14"/>
        <v>1.1365674868975026</v>
      </c>
      <c r="Y152">
        <f>IFERROR(INDEX(Rainfall_Wet!$O$2:$O$217,MATCH(B152, Rainfall_Wet!$A$2:$A$217,0)),"")</f>
        <v>206.85140822299999</v>
      </c>
      <c r="Z152" s="228">
        <v>39.96</v>
      </c>
      <c r="AA152" s="228">
        <v>12.920000000000002</v>
      </c>
      <c r="AB152" s="228">
        <v>47.12</v>
      </c>
      <c r="AC152" s="229" t="s">
        <v>2658</v>
      </c>
      <c r="AD152" s="228">
        <v>7.6549531789058696</v>
      </c>
      <c r="AE152">
        <f>IF('WetLitterbags placem_collection'!AB153="","",'WetLitterbags placem_collection'!AB153)</f>
        <v>1.4</v>
      </c>
      <c r="AF152">
        <f>IF('WetLitterbags placem_collection'!Z153="","",'WetLitterbags placem_collection'!Z153)</f>
        <v>7.9</v>
      </c>
      <c r="AG152" s="243" t="str">
        <f>IF('WetLitterbags placem_collection'!AA153="","",'WetLitterbags placem_collection'!AA153)</f>
        <v>O</v>
      </c>
      <c r="AH152">
        <f>IF('WetLitterbags placem_collection'!AC153="","",'WetLitterbags placem_collection'!AC153)</f>
        <v>1</v>
      </c>
      <c r="AI152" s="237">
        <f>AVERAGE('WetLitterbags placem_collection'!S153,'WetLitterbags placem_collection'!U153)</f>
        <v>26.049999999999997</v>
      </c>
      <c r="AJ152">
        <f>AVERAGE('WetLitterbags placem_collection'!R153,'WetLitterbags placem_collection'!T153)</f>
        <v>26.5</v>
      </c>
      <c r="AK152">
        <f>INDEX(Coordinates!$B$2:$B$197,MATCH(H152,Coordinates!$J$2:$J$197,0))</f>
        <v>-2.3673460070000001</v>
      </c>
      <c r="AL152">
        <f>INDEX(Coordinates!$C$2:$C$197,MATCH(H152,Coordinates!$J$2:$J$197,0))</f>
        <v>34.060310039999997</v>
      </c>
      <c r="AM152" t="str">
        <f>IF(ISNUMBER(SEARCH("C", 'WetLitterbags placem_collection'!$V153)),"YES","NO")</f>
        <v>NO</v>
      </c>
      <c r="AN152" t="str">
        <f>IF(ISNUMBER(SEARCH("H", 'WetLitterbags placem_collection'!$V153)),"YES","NO")</f>
        <v>NO</v>
      </c>
      <c r="AO152" t="str">
        <f>IF(ISNUMBER(SEARCH("R", 'WetLitterbags placem_collection'!$V153)),"YES","NO")</f>
        <v>YES</v>
      </c>
    </row>
    <row r="153" spans="1:41" ht="15" customHeight="1">
      <c r="A153" s="255" t="s">
        <v>2454</v>
      </c>
      <c r="B153" s="260">
        <f>'Dry_Litterbag Placem_Collection'!A154</f>
        <v>152</v>
      </c>
      <c r="C153" s="260" t="str">
        <f>'Dry_Litterbag Placem_Collection'!B154</f>
        <v xml:space="preserve">Mwantimba
</v>
      </c>
      <c r="D153" s="260" t="s">
        <v>2454</v>
      </c>
      <c r="E153" s="260" t="s">
        <v>20</v>
      </c>
      <c r="F153" s="260">
        <v>3</v>
      </c>
      <c r="G153" s="260" t="s">
        <v>3823</v>
      </c>
      <c r="H153" s="261" t="str">
        <f>'Dry_Litterbag Placem_Collection'!C154</f>
        <v>Wet_P3_T8</v>
      </c>
      <c r="I153" s="262" t="s">
        <v>2525</v>
      </c>
      <c r="J153" s="263" t="s">
        <v>1147</v>
      </c>
      <c r="K153" s="221" t="str">
        <f>'WetLitterbags placem_collection'!K154</f>
        <v>G853</v>
      </c>
      <c r="L153" s="223">
        <f>IFERROR(INDEX('Green_rooibos initial weight'!$C$5:$C$2000,MATCH(K153, 'Green_rooibos initial weight'!$A$5:$A$2000,0)),"")</f>
        <v>1.972</v>
      </c>
      <c r="M153" s="223">
        <f>IFERROR(L153-(TBIcalc!$H$9+TBIcalc!$H$10),"")</f>
        <v>1.7222</v>
      </c>
      <c r="N153" s="385">
        <f>AVERAGE(Ashed_controlls!$K$2:$K$11)</f>
        <v>5.5147656768714146</v>
      </c>
      <c r="O153" s="223">
        <f t="shared" si="11"/>
        <v>1.6272247055129205</v>
      </c>
      <c r="P153" s="223">
        <f>IFERROR(INDEX('Both teabags AfterWet'!$C$3:$C$840,MATCH(K153,'Both teabags AfterWet'!$A$3:$A$840,0)),"")</f>
        <v>0.58509999999999995</v>
      </c>
      <c r="Q153" s="223">
        <f>IFERROR(IF(P153&gt;0,P153-(TBIcalc!$H$9),""),"")</f>
        <v>0.43449999999999994</v>
      </c>
      <c r="R153" s="223">
        <f>IFERROR(INDEX('Ashed teabags wet'!$K$2:$K$2000,MATCH(K153,'Ashed teabags wet'!$A$2:$A$2000,0)),"")</f>
        <v>20.802377414561477</v>
      </c>
      <c r="S153" s="223">
        <f t="shared" si="12"/>
        <v>0.34411367013373034</v>
      </c>
      <c r="T153" s="224">
        <f>'WetLitterbags placem_collection'!E154</f>
        <v>42762</v>
      </c>
      <c r="U153" s="224">
        <f>IF('WetLitterbags placem_collection'!G154="","",'WetLitterbags placem_collection'!G154)</f>
        <v>42816</v>
      </c>
      <c r="V153" s="225">
        <f t="shared" si="10"/>
        <v>54</v>
      </c>
      <c r="W153" s="223">
        <f t="shared" si="13"/>
        <v>1.2877000000000001</v>
      </c>
      <c r="X153" s="223">
        <f t="shared" si="14"/>
        <v>1.2831110353791901</v>
      </c>
      <c r="Y153">
        <f>IFERROR(INDEX(Rainfall_Wet!$O$2:$O$217,MATCH(B153, Rainfall_Wet!$A$2:$A$217,0)),"")</f>
        <v>206.85140822299999</v>
      </c>
      <c r="Z153" s="228">
        <v>39.96</v>
      </c>
      <c r="AA153" s="228">
        <v>12.920000000000002</v>
      </c>
      <c r="AB153" s="228">
        <v>47.12</v>
      </c>
      <c r="AC153" s="229" t="s">
        <v>2658</v>
      </c>
      <c r="AD153" s="228">
        <v>8.6549531789058705</v>
      </c>
      <c r="AE153">
        <f>IF('WetLitterbags placem_collection'!AB154="","",'WetLitterbags placem_collection'!AB154)</f>
        <v>2.2000000000000002</v>
      </c>
      <c r="AF153">
        <f>IF('WetLitterbags placem_collection'!Z154="","",'WetLitterbags placem_collection'!Z154)</f>
        <v>15</v>
      </c>
      <c r="AG153" s="243" t="str">
        <f>IF('WetLitterbags placem_collection'!AA154="","",'WetLitterbags placem_collection'!AA154)</f>
        <v>M</v>
      </c>
      <c r="AH153">
        <f>IF('WetLitterbags placem_collection'!AC154="","",'WetLitterbags placem_collection'!AC154)</f>
        <v>0</v>
      </c>
      <c r="AI153" s="237">
        <f>AVERAGE('WetLitterbags placem_collection'!S154,'WetLitterbags placem_collection'!U154)</f>
        <v>18.8</v>
      </c>
      <c r="AJ153">
        <f>AVERAGE('WetLitterbags placem_collection'!R154,'WetLitterbags placem_collection'!T154)</f>
        <v>23.7</v>
      </c>
      <c r="AK153">
        <f>INDEX(Coordinates!$B$2:$B$197,MATCH(H153,Coordinates!$J$2:$J$197,0))</f>
        <v>-2.367543988</v>
      </c>
      <c r="AL153">
        <f>INDEX(Coordinates!$C$2:$C$197,MATCH(H153,Coordinates!$J$2:$J$197,0))</f>
        <v>34.060168969999999</v>
      </c>
      <c r="AM153" t="str">
        <f>IF(ISNUMBER(SEARCH("C", 'WetLitterbags placem_collection'!$V154)),"YES","NO")</f>
        <v>NO</v>
      </c>
      <c r="AN153" t="str">
        <f>IF(ISNUMBER(SEARCH("H", 'WetLitterbags placem_collection'!$V154)),"YES","NO")</f>
        <v>NO</v>
      </c>
      <c r="AO153" t="str">
        <f>IF(ISNUMBER(SEARCH("R", 'WetLitterbags placem_collection'!$V154)),"YES","NO")</f>
        <v>NO</v>
      </c>
    </row>
    <row r="154" spans="1:41" ht="15" customHeight="1">
      <c r="A154" s="255" t="s">
        <v>2454</v>
      </c>
      <c r="B154" s="260">
        <f>'Dry_Litterbag Placem_Collection'!A155</f>
        <v>153</v>
      </c>
      <c r="C154" s="260" t="str">
        <f>'Dry_Litterbag Placem_Collection'!B155</f>
        <v xml:space="preserve">Mwantimba
</v>
      </c>
      <c r="D154" s="260" t="s">
        <v>2454</v>
      </c>
      <c r="E154" s="260" t="s">
        <v>20</v>
      </c>
      <c r="F154" s="260">
        <v>4</v>
      </c>
      <c r="G154" s="260" t="s">
        <v>3824</v>
      </c>
      <c r="H154" s="261" t="str">
        <f>'Dry_Litterbag Placem_Collection'!C155</f>
        <v>Wet_P4_T1</v>
      </c>
      <c r="I154" s="262" t="s">
        <v>2525</v>
      </c>
      <c r="J154" s="263" t="s">
        <v>1147</v>
      </c>
      <c r="K154" s="221" t="str">
        <f>'WetLitterbags placem_collection'!K155</f>
        <v>G800</v>
      </c>
      <c r="L154" s="223">
        <f>IFERROR(INDEX('Green_rooibos initial weight'!$C$5:$C$2000,MATCH(K154, 'Green_rooibos initial weight'!$A$5:$A$2000,0)),"")</f>
        <v>2.1179999999999999</v>
      </c>
      <c r="M154" s="223">
        <f>IFERROR(L154-(TBIcalc!$H$9+TBIcalc!$H$10),"")</f>
        <v>1.8681999999999999</v>
      </c>
      <c r="N154" s="385">
        <f>AVERAGE(Ashed_controlls!$K$2:$K$11)</f>
        <v>5.5147656768714146</v>
      </c>
      <c r="O154" s="223">
        <f t="shared" si="11"/>
        <v>1.7651731476246881</v>
      </c>
      <c r="P154" s="223">
        <f>IFERROR(INDEX('Both teabags AfterWet'!$C$3:$C$840,MATCH(K154,'Both teabags AfterWet'!$A$3:$A$840,0)),"")</f>
        <v>0.58630000000000004</v>
      </c>
      <c r="Q154" s="223">
        <f>IFERROR(IF(P154&gt;0,P154-(TBIcalc!$H$9),""),"")</f>
        <v>0.43570000000000003</v>
      </c>
      <c r="R154" s="223">
        <f>IFERROR(INDEX('Ashed teabags wet'!$K$2:$K$2000,MATCH(K154,'Ashed teabags wet'!$A$2:$A$2000,0)),"")</f>
        <v>16.871618298081419</v>
      </c>
      <c r="S154" s="223">
        <f t="shared" si="12"/>
        <v>0.36219035907525926</v>
      </c>
      <c r="T154" s="224">
        <f>'WetLitterbags placem_collection'!E155</f>
        <v>42762</v>
      </c>
      <c r="U154" s="224">
        <f>IF('WetLitterbags placem_collection'!G155="","",'WetLitterbags placem_collection'!G155)</f>
        <v>42816</v>
      </c>
      <c r="V154" s="225">
        <f t="shared" si="10"/>
        <v>54</v>
      </c>
      <c r="W154" s="223">
        <f t="shared" si="13"/>
        <v>1.4324999999999999</v>
      </c>
      <c r="X154" s="223">
        <f t="shared" si="14"/>
        <v>1.4029827885494288</v>
      </c>
      <c r="Y154">
        <f>IFERROR(INDEX(Rainfall_Wet!$O$2:$O$217,MATCH(B154, Rainfall_Wet!$A$2:$A$217,0)),"")</f>
        <v>206.85140822299999</v>
      </c>
      <c r="Z154" s="228">
        <v>27.96</v>
      </c>
      <c r="AA154" s="228">
        <v>4.9200000000000017</v>
      </c>
      <c r="AB154" s="228">
        <v>67.12</v>
      </c>
      <c r="AC154" s="229" t="s">
        <v>2654</v>
      </c>
      <c r="AD154" s="228">
        <v>1.0437161163134547</v>
      </c>
      <c r="AE154">
        <f>IF('WetLitterbags placem_collection'!AB155="","",'WetLitterbags placem_collection'!AB155)</f>
        <v>2.1</v>
      </c>
      <c r="AF154">
        <f>IF('WetLitterbags placem_collection'!Z155="","",'WetLitterbags placem_collection'!Z155)</f>
        <v>16.399999999999999</v>
      </c>
      <c r="AG154" s="243" t="str">
        <f>IF('WetLitterbags placem_collection'!AA155="","",'WetLitterbags placem_collection'!AA155)</f>
        <v>G</v>
      </c>
      <c r="AH154">
        <f>IF('WetLitterbags placem_collection'!AC155="","",'WetLitterbags placem_collection'!AC155)</f>
        <v>0</v>
      </c>
      <c r="AI154" s="237">
        <f>AVERAGE('WetLitterbags placem_collection'!S155,'WetLitterbags placem_collection'!U155)</f>
        <v>21.35</v>
      </c>
      <c r="AJ154">
        <f>AVERAGE('WetLitterbags placem_collection'!R155,'WetLitterbags placem_collection'!T155)</f>
        <v>26.700000000000003</v>
      </c>
      <c r="AK154">
        <f>INDEX(Coordinates!$B$2:$B$197,MATCH(H154,Coordinates!$J$2:$J$197,0))</f>
        <v>-2.3676780150000001</v>
      </c>
      <c r="AL154">
        <f>INDEX(Coordinates!$C$2:$C$197,MATCH(H154,Coordinates!$J$2:$J$197,0))</f>
        <v>34.05937797</v>
      </c>
      <c r="AM154" t="str">
        <f>IF(ISNUMBER(SEARCH("C", 'WetLitterbags placem_collection'!$V155)),"YES","NO")</f>
        <v>NO</v>
      </c>
      <c r="AN154" t="str">
        <f>IF(ISNUMBER(SEARCH("H", 'WetLitterbags placem_collection'!$V155)),"YES","NO")</f>
        <v>NO</v>
      </c>
      <c r="AO154" t="str">
        <f>IF(ISNUMBER(SEARCH("R", 'WetLitterbags placem_collection'!$V155)),"YES","NO")</f>
        <v>YES</v>
      </c>
    </row>
    <row r="155" spans="1:41" ht="15" customHeight="1">
      <c r="A155" s="255" t="s">
        <v>2454</v>
      </c>
      <c r="B155" s="260">
        <f>'Dry_Litterbag Placem_Collection'!A156</f>
        <v>154</v>
      </c>
      <c r="C155" s="260" t="str">
        <f>'Dry_Litterbag Placem_Collection'!B156</f>
        <v xml:space="preserve">Mwantimba
</v>
      </c>
      <c r="D155" s="260" t="s">
        <v>2454</v>
      </c>
      <c r="E155" s="260" t="s">
        <v>20</v>
      </c>
      <c r="F155" s="260">
        <v>4</v>
      </c>
      <c r="G155" s="260" t="s">
        <v>3824</v>
      </c>
      <c r="H155" s="261" t="str">
        <f>'Dry_Litterbag Placem_Collection'!C156</f>
        <v>Wet_P4_T2</v>
      </c>
      <c r="I155" s="262" t="s">
        <v>2525</v>
      </c>
      <c r="J155" s="263" t="s">
        <v>1147</v>
      </c>
      <c r="K155" s="221" t="str">
        <f>'WetLitterbags placem_collection'!K156</f>
        <v>G675</v>
      </c>
      <c r="L155" s="223">
        <f>IFERROR(INDEX('Green_rooibos initial weight'!$C$5:$C$2000,MATCH(K155, 'Green_rooibos initial weight'!$A$5:$A$2000,0)),"")</f>
        <v>1.9950000000000001</v>
      </c>
      <c r="M155" s="223">
        <f>IFERROR(L155-(TBIcalc!$H$9+TBIcalc!$H$10),"")</f>
        <v>1.7452000000000001</v>
      </c>
      <c r="N155" s="385">
        <f>AVERAGE(Ashed_controlls!$K$2:$K$11)</f>
        <v>5.5147656768714146</v>
      </c>
      <c r="O155" s="223">
        <f t="shared" si="11"/>
        <v>1.6489563094072401</v>
      </c>
      <c r="P155" s="223">
        <f>IFERROR(INDEX('Both teabags AfterWet'!$C$3:$C$840,MATCH(K155,'Both teabags AfterWet'!$A$3:$A$840,0)),"")</f>
        <v>0.61299999999999999</v>
      </c>
      <c r="Q155" s="223">
        <f>IFERROR(IF(P155&gt;0,P155-(TBIcalc!$H$9),""),"")</f>
        <v>0.46239999999999998</v>
      </c>
      <c r="R155" s="223">
        <f>IFERROR(INDEX('Ashed teabags wet'!$K$2:$K$2000,MATCH(K155,'Ashed teabags wet'!$A$2:$A$2000,0)),"")</f>
        <v>18.033573141486571</v>
      </c>
      <c r="S155" s="223">
        <f t="shared" si="12"/>
        <v>0.37901275779376609</v>
      </c>
      <c r="T155" s="224">
        <f>'WetLitterbags placem_collection'!E156</f>
        <v>42762</v>
      </c>
      <c r="U155" s="224">
        <f>IF('WetLitterbags placem_collection'!G156="","",'WetLitterbags placem_collection'!G156)</f>
        <v>42816</v>
      </c>
      <c r="V155" s="225">
        <f t="shared" si="10"/>
        <v>54</v>
      </c>
      <c r="W155" s="223">
        <f t="shared" si="13"/>
        <v>1.2828000000000002</v>
      </c>
      <c r="X155" s="223">
        <f t="shared" si="14"/>
        <v>1.2699435516134741</v>
      </c>
      <c r="Y155">
        <f>IFERROR(INDEX(Rainfall_Wet!$O$2:$O$217,MATCH(B155, Rainfall_Wet!$A$2:$A$217,0)),"")</f>
        <v>206.85140822299999</v>
      </c>
      <c r="Z155" s="228">
        <v>27.96</v>
      </c>
      <c r="AA155" s="228">
        <v>4.9200000000000017</v>
      </c>
      <c r="AB155" s="228">
        <v>67.12</v>
      </c>
      <c r="AC155" s="229" t="s">
        <v>2654</v>
      </c>
      <c r="AD155" s="228">
        <v>2.0437161163134498</v>
      </c>
      <c r="AE155">
        <f>IF('WetLitterbags placem_collection'!AB156="","",'WetLitterbags placem_collection'!AB156)</f>
        <v>2.15</v>
      </c>
      <c r="AF155">
        <f>IF('WetLitterbags placem_collection'!Z156="","",'WetLitterbags placem_collection'!Z156)</f>
        <v>9</v>
      </c>
      <c r="AG155" s="243" t="str">
        <f>IF('WetLitterbags placem_collection'!AA156="","",'WetLitterbags placem_collection'!AA156)</f>
        <v>G</v>
      </c>
      <c r="AH155">
        <f>IF('WetLitterbags placem_collection'!AC156="","",'WetLitterbags placem_collection'!AC156)</f>
        <v>0</v>
      </c>
      <c r="AI155" s="237">
        <f>AVERAGE('WetLitterbags placem_collection'!S156,'WetLitterbags placem_collection'!U156)</f>
        <v>23.5</v>
      </c>
      <c r="AJ155">
        <f>AVERAGE('WetLitterbags placem_collection'!R156,'WetLitterbags placem_collection'!T156)</f>
        <v>25.7</v>
      </c>
      <c r="AK155">
        <f>INDEX(Coordinates!$B$2:$B$197,MATCH(H155,Coordinates!$J$2:$J$197,0))</f>
        <v>-2.3677299820000002</v>
      </c>
      <c r="AL155">
        <f>INDEX(Coordinates!$C$2:$C$197,MATCH(H155,Coordinates!$J$2:$J$197,0))</f>
        <v>34.059351990000003</v>
      </c>
      <c r="AM155" t="str">
        <f>IF(ISNUMBER(SEARCH("C", 'WetLitterbags placem_collection'!$V156)),"YES","NO")</f>
        <v>YES</v>
      </c>
      <c r="AN155" t="str">
        <f>IF(ISNUMBER(SEARCH("H", 'WetLitterbags placem_collection'!$V156)),"YES","NO")</f>
        <v>YES</v>
      </c>
      <c r="AO155" t="str">
        <f>IF(ISNUMBER(SEARCH("R", 'WetLitterbags placem_collection'!$V156)),"YES","NO")</f>
        <v>NO</v>
      </c>
    </row>
    <row r="156" spans="1:41" ht="15" customHeight="1">
      <c r="A156" s="255" t="s">
        <v>2454</v>
      </c>
      <c r="B156" s="260">
        <f>'Dry_Litterbag Placem_Collection'!A157</f>
        <v>155</v>
      </c>
      <c r="C156" s="260" t="str">
        <f>'Dry_Litterbag Placem_Collection'!B157</f>
        <v xml:space="preserve">Mwantimba
</v>
      </c>
      <c r="D156" s="260" t="s">
        <v>2454</v>
      </c>
      <c r="E156" s="260" t="s">
        <v>20</v>
      </c>
      <c r="F156" s="260">
        <v>4</v>
      </c>
      <c r="G156" s="260" t="s">
        <v>3824</v>
      </c>
      <c r="H156" s="261" t="str">
        <f>'Dry_Litterbag Placem_Collection'!C157</f>
        <v>Wet_P4_T3</v>
      </c>
      <c r="I156" s="262" t="s">
        <v>2525</v>
      </c>
      <c r="J156" s="263" t="s">
        <v>1147</v>
      </c>
      <c r="K156" s="221" t="str">
        <f>'WetLitterbags placem_collection'!K157</f>
        <v>G859</v>
      </c>
      <c r="L156" s="223">
        <f>IFERROR(INDEX('Green_rooibos initial weight'!$C$5:$C$2000,MATCH(K156, 'Green_rooibos initial weight'!$A$5:$A$2000,0)),"")</f>
        <v>2</v>
      </c>
      <c r="M156" s="223">
        <f>IFERROR(L156-(TBIcalc!$H$9+TBIcalc!$H$10),"")</f>
        <v>1.7502</v>
      </c>
      <c r="N156" s="385">
        <f>AVERAGE(Ashed_controlls!$K$2:$K$11)</f>
        <v>5.5147656768714146</v>
      </c>
      <c r="O156" s="223">
        <f t="shared" si="11"/>
        <v>1.6536805711233964</v>
      </c>
      <c r="P156" s="223">
        <f>IFERROR(INDEX('Both teabags AfterWet'!$C$3:$C$840,MATCH(K156,'Both teabags AfterWet'!$A$3:$A$840,0)),"")</f>
        <v>0.71599999999999997</v>
      </c>
      <c r="Q156" s="223">
        <f>IFERROR(IF(P156&gt;0,P156-(TBIcalc!$H$9),""),"")</f>
        <v>0.5653999999999999</v>
      </c>
      <c r="R156" s="223">
        <f>IFERROR(INDEX('Ashed teabags wet'!$K$2:$K$2000,MATCH(K156,'Ashed teabags wet'!$A$2:$A$2000,0)),"")</f>
        <v>17.148456638902378</v>
      </c>
      <c r="S156" s="223">
        <f t="shared" si="12"/>
        <v>0.4684426261636459</v>
      </c>
      <c r="T156" s="224">
        <f>'WetLitterbags placem_collection'!E157</f>
        <v>42762</v>
      </c>
      <c r="U156" s="224">
        <f>IF('WetLitterbags placem_collection'!G157="","",'WetLitterbags placem_collection'!G157)</f>
        <v>42816</v>
      </c>
      <c r="V156" s="225">
        <f t="shared" si="10"/>
        <v>54</v>
      </c>
      <c r="W156" s="223">
        <f t="shared" si="13"/>
        <v>1.1848000000000001</v>
      </c>
      <c r="X156" s="223">
        <f t="shared" si="14"/>
        <v>1.1852379449597505</v>
      </c>
      <c r="Y156">
        <f>IFERROR(INDEX(Rainfall_Wet!$O$2:$O$217,MATCH(B156, Rainfall_Wet!$A$2:$A$217,0)),"")</f>
        <v>206.85140822299999</v>
      </c>
      <c r="Z156" s="228">
        <v>27.96</v>
      </c>
      <c r="AA156" s="228">
        <v>4.9200000000000017</v>
      </c>
      <c r="AB156" s="228">
        <v>67.12</v>
      </c>
      <c r="AC156" s="229" t="s">
        <v>2654</v>
      </c>
      <c r="AD156" s="228">
        <v>3.0437161163134498</v>
      </c>
      <c r="AE156">
        <f>IF('WetLitterbags placem_collection'!AB157="","",'WetLitterbags placem_collection'!AB157)</f>
        <v>1.2</v>
      </c>
      <c r="AF156">
        <f>IF('WetLitterbags placem_collection'!Z157="","",'WetLitterbags placem_collection'!Z157)</f>
        <v>11</v>
      </c>
      <c r="AG156" s="243" t="str">
        <f>IF('WetLitterbags placem_collection'!AA157="","",'WetLitterbags placem_collection'!AA157)</f>
        <v>G</v>
      </c>
      <c r="AH156">
        <f>IF('WetLitterbags placem_collection'!AC157="","",'WetLitterbags placem_collection'!AC157)</f>
        <v>0</v>
      </c>
      <c r="AI156" s="237">
        <f>AVERAGE('WetLitterbags placem_collection'!S157,'WetLitterbags placem_collection'!U157)</f>
        <v>23.75</v>
      </c>
      <c r="AJ156">
        <f>AVERAGE('WetLitterbags placem_collection'!R157,'WetLitterbags placem_collection'!T157)</f>
        <v>26.799999999999997</v>
      </c>
      <c r="AK156">
        <f>INDEX(Coordinates!$B$2:$B$197,MATCH(H156,Coordinates!$J$2:$J$197,0))</f>
        <v>-2.3677119609999999</v>
      </c>
      <c r="AL156">
        <f>INDEX(Coordinates!$C$2:$C$197,MATCH(H156,Coordinates!$J$2:$J$197,0))</f>
        <v>34.059339000000001</v>
      </c>
      <c r="AM156" t="str">
        <f>IF(ISNUMBER(SEARCH("C", 'WetLitterbags placem_collection'!$V157)),"YES","NO")</f>
        <v>NO</v>
      </c>
      <c r="AN156" t="str">
        <f>IF(ISNUMBER(SEARCH("H", 'WetLitterbags placem_collection'!$V157)),"YES","NO")</f>
        <v>NO</v>
      </c>
      <c r="AO156" t="str">
        <f>IF(ISNUMBER(SEARCH("R", 'WetLitterbags placem_collection'!$V157)),"YES","NO")</f>
        <v>YES</v>
      </c>
    </row>
    <row r="157" spans="1:41" ht="15" customHeight="1">
      <c r="A157" s="255" t="s">
        <v>2454</v>
      </c>
      <c r="B157" s="260">
        <f>'Dry_Litterbag Placem_Collection'!A158</f>
        <v>156</v>
      </c>
      <c r="C157" s="260" t="str">
        <f>'Dry_Litterbag Placem_Collection'!B158</f>
        <v xml:space="preserve">Mwantimba
</v>
      </c>
      <c r="D157" s="260" t="s">
        <v>2454</v>
      </c>
      <c r="E157" s="260" t="s">
        <v>20</v>
      </c>
      <c r="F157" s="260">
        <v>4</v>
      </c>
      <c r="G157" s="260" t="s">
        <v>3824</v>
      </c>
      <c r="H157" s="261" t="str">
        <f>'Dry_Litterbag Placem_Collection'!C158</f>
        <v>Wet_P4_T4</v>
      </c>
      <c r="I157" s="262" t="s">
        <v>2525</v>
      </c>
      <c r="J157" s="263" t="s">
        <v>1147</v>
      </c>
      <c r="K157" s="221" t="str">
        <f>'WetLitterbags placem_collection'!K158</f>
        <v>G654</v>
      </c>
      <c r="L157" s="223">
        <f>IFERROR(INDEX('Green_rooibos initial weight'!$C$5:$C$2000,MATCH(K157, 'Green_rooibos initial weight'!$A$5:$A$2000,0)),"")</f>
        <v>2.0169999999999999</v>
      </c>
      <c r="M157" s="223">
        <f>IFERROR(L157-(TBIcalc!$H$9+TBIcalc!$H$10),"")</f>
        <v>1.7671999999999999</v>
      </c>
      <c r="N157" s="385">
        <f>AVERAGE(Ashed_controlls!$K$2:$K$11)</f>
        <v>5.5147656768714146</v>
      </c>
      <c r="O157" s="223">
        <f t="shared" si="11"/>
        <v>1.6697430609583281</v>
      </c>
      <c r="P157" s="223">
        <f>IFERROR(INDEX('Both teabags AfterWet'!$C$3:$C$840,MATCH(K157,'Both teabags AfterWet'!$A$3:$A$840,0)),"")</f>
        <v>0.73799999999999999</v>
      </c>
      <c r="Q157" s="223">
        <f>IFERROR(IF(P157&gt;0,P157-(TBIcalc!$H$9),""),"")</f>
        <v>0.58739999999999992</v>
      </c>
      <c r="R157" s="223">
        <f>IFERROR(INDEX('Ashed teabags wet'!$K$2:$K$2000,MATCH(K157,'Ashed teabags wet'!$A$2:$A$2000,0)),"")</f>
        <v>25.036109773712322</v>
      </c>
      <c r="S157" s="223">
        <f t="shared" si="12"/>
        <v>0.44033789118921374</v>
      </c>
      <c r="T157" s="224">
        <f>'WetLitterbags placem_collection'!E158</f>
        <v>42762</v>
      </c>
      <c r="U157" s="224">
        <f>IF('WetLitterbags placem_collection'!G158="","",'WetLitterbags placem_collection'!G158)</f>
        <v>42816</v>
      </c>
      <c r="V157" s="225">
        <f t="shared" si="10"/>
        <v>54</v>
      </c>
      <c r="W157" s="223">
        <f t="shared" si="13"/>
        <v>1.1798</v>
      </c>
      <c r="X157" s="223">
        <f t="shared" si="14"/>
        <v>1.2294051697691144</v>
      </c>
      <c r="Y157">
        <f>IFERROR(INDEX(Rainfall_Wet!$O$2:$O$217,MATCH(B157, Rainfall_Wet!$A$2:$A$217,0)),"")</f>
        <v>206.85140822299999</v>
      </c>
      <c r="Z157" s="228">
        <v>27.96</v>
      </c>
      <c r="AA157" s="228">
        <v>4.9200000000000017</v>
      </c>
      <c r="AB157" s="228">
        <v>67.12</v>
      </c>
      <c r="AC157" s="229" t="s">
        <v>2654</v>
      </c>
      <c r="AD157" s="228">
        <v>4.0437161163134503</v>
      </c>
      <c r="AE157">
        <f>IF('WetLitterbags placem_collection'!AB158="","",'WetLitterbags placem_collection'!AB158)</f>
        <v>1.55</v>
      </c>
      <c r="AF157">
        <f>IF('WetLitterbags placem_collection'!Z158="","",'WetLitterbags placem_collection'!Z158)</f>
        <v>9.1</v>
      </c>
      <c r="AG157" s="243" t="str">
        <f>IF('WetLitterbags placem_collection'!AA158="","",'WetLitterbags placem_collection'!AA158)</f>
        <v>O</v>
      </c>
      <c r="AH157">
        <f>IF('WetLitterbags placem_collection'!AC158="","",'WetLitterbags placem_collection'!AC158)</f>
        <v>0</v>
      </c>
      <c r="AI157" s="237">
        <f>AVERAGE('WetLitterbags placem_collection'!S158,'WetLitterbags placem_collection'!U158)</f>
        <v>21.700000000000003</v>
      </c>
      <c r="AJ157">
        <f>AVERAGE('WetLitterbags placem_collection'!R158,'WetLitterbags placem_collection'!T158)</f>
        <v>26.95</v>
      </c>
      <c r="AK157">
        <f>INDEX(Coordinates!$B$2:$B$197,MATCH(H157,Coordinates!$J$2:$J$197,0))</f>
        <v>-2.3676950300000001</v>
      </c>
      <c r="AL157">
        <f>INDEX(Coordinates!$C$2:$C$197,MATCH(H157,Coordinates!$J$2:$J$197,0))</f>
        <v>34.059499010000003</v>
      </c>
      <c r="AM157" t="str">
        <f>IF(ISNUMBER(SEARCH("C", 'WetLitterbags placem_collection'!$V158)),"YES","NO")</f>
        <v>NO</v>
      </c>
      <c r="AN157" t="str">
        <f>IF(ISNUMBER(SEARCH("H", 'WetLitterbags placem_collection'!$V158)),"YES","NO")</f>
        <v>YES</v>
      </c>
      <c r="AO157" t="str">
        <f>IF(ISNUMBER(SEARCH("R", 'WetLitterbags placem_collection'!$V158)),"YES","NO")</f>
        <v>NO</v>
      </c>
    </row>
    <row r="158" spans="1:41" ht="15" customHeight="1">
      <c r="A158" s="255" t="s">
        <v>2454</v>
      </c>
      <c r="B158" s="260">
        <f>'Dry_Litterbag Placem_Collection'!A159</f>
        <v>157</v>
      </c>
      <c r="C158" s="260" t="str">
        <f>'Dry_Litterbag Placem_Collection'!B159</f>
        <v xml:space="preserve">Mwantimba
</v>
      </c>
      <c r="D158" s="260" t="s">
        <v>2454</v>
      </c>
      <c r="E158" s="260" t="s">
        <v>20</v>
      </c>
      <c r="F158" s="260">
        <v>4</v>
      </c>
      <c r="G158" s="260" t="s">
        <v>3824</v>
      </c>
      <c r="H158" s="261" t="str">
        <f>'Dry_Litterbag Placem_Collection'!C159</f>
        <v>Wet_P4_T5</v>
      </c>
      <c r="I158" s="262" t="s">
        <v>2525</v>
      </c>
      <c r="J158" s="263" t="s">
        <v>1147</v>
      </c>
      <c r="K158" s="221" t="str">
        <f>'WetLitterbags placem_collection'!K159</f>
        <v>G890</v>
      </c>
      <c r="L158" s="223">
        <f>IFERROR(INDEX('Green_rooibos initial weight'!$C$5:$C$2000,MATCH(K158, 'Green_rooibos initial weight'!$A$5:$A$2000,0)),"")</f>
        <v>1.9930000000000001</v>
      </c>
      <c r="M158" s="223">
        <f>IFERROR(L158-(TBIcalc!$H$9+TBIcalc!$H$10),"")</f>
        <v>1.7432000000000001</v>
      </c>
      <c r="N158" s="385">
        <f>AVERAGE(Ashed_controlls!$K$2:$K$11)</f>
        <v>5.5147656768714146</v>
      </c>
      <c r="O158" s="223">
        <f t="shared" si="11"/>
        <v>1.6470666047207776</v>
      </c>
      <c r="P158" s="223">
        <f>IFERROR(INDEX('Both teabags AfterWet'!$C$3:$C$840,MATCH(K158,'Both teabags AfterWet'!$A$3:$A$840,0)),"")</f>
        <v>0.74099999999999999</v>
      </c>
      <c r="Q158" s="223">
        <f>IFERROR(IF(P158&gt;0,P158-(TBIcalc!$H$9),""),"")</f>
        <v>0.59040000000000004</v>
      </c>
      <c r="R158" s="223">
        <f>IFERROR(INDEX('Ashed teabags wet'!$K$2:$K$2000,MATCH(K158,'Ashed teabags wet'!$A$2:$A$2000,0)),"")</f>
        <v>13.769192669637922</v>
      </c>
      <c r="S158" s="223">
        <f t="shared" si="12"/>
        <v>0.50910668647845769</v>
      </c>
      <c r="T158" s="224">
        <f>'WetLitterbags placem_collection'!E159</f>
        <v>42762</v>
      </c>
      <c r="U158" s="224">
        <f>IF('WetLitterbags placem_collection'!G159="","",'WetLitterbags placem_collection'!G159)</f>
        <v>42816</v>
      </c>
      <c r="V158" s="225">
        <f t="shared" si="10"/>
        <v>54</v>
      </c>
      <c r="W158" s="223">
        <f t="shared" si="13"/>
        <v>1.1528</v>
      </c>
      <c r="X158" s="223">
        <f t="shared" si="14"/>
        <v>1.1379599182423199</v>
      </c>
      <c r="Y158">
        <f>IFERROR(INDEX(Rainfall_Wet!$O$2:$O$217,MATCH(B158, Rainfall_Wet!$A$2:$A$217,0)),"")</f>
        <v>206.85140822299999</v>
      </c>
      <c r="Z158" s="228">
        <v>27.96</v>
      </c>
      <c r="AA158" s="228">
        <v>4.9200000000000017</v>
      </c>
      <c r="AB158" s="228">
        <v>67.12</v>
      </c>
      <c r="AC158" s="229" t="s">
        <v>2654</v>
      </c>
      <c r="AD158" s="228">
        <v>5.0437161163134503</v>
      </c>
      <c r="AE158">
        <f>IF('WetLitterbags placem_collection'!AB159="","",'WetLitterbags placem_collection'!AB159)</f>
        <v>2.2999999999999998</v>
      </c>
      <c r="AF158">
        <f>IF('WetLitterbags placem_collection'!Z159="","",'WetLitterbags placem_collection'!Z159)</f>
        <v>7.7</v>
      </c>
      <c r="AG158" s="243" t="str">
        <f>IF('WetLitterbags placem_collection'!AA159="","",'WetLitterbags placem_collection'!AA159)</f>
        <v>O</v>
      </c>
      <c r="AH158">
        <f>IF('WetLitterbags placem_collection'!AC159="","",'WetLitterbags placem_collection'!AC159)</f>
        <v>0</v>
      </c>
      <c r="AI158" s="237">
        <f>AVERAGE('WetLitterbags placem_collection'!S159,'WetLitterbags placem_collection'!U159)</f>
        <v>22.6</v>
      </c>
      <c r="AJ158">
        <f>AVERAGE('WetLitterbags placem_collection'!R159,'WetLitterbags placem_collection'!T159)</f>
        <v>29.2</v>
      </c>
      <c r="AK158">
        <f>INDEX(Coordinates!$B$2:$B$197,MATCH(H158,Coordinates!$J$2:$J$197,0))</f>
        <v>-2.3678019830000001</v>
      </c>
      <c r="AL158">
        <f>INDEX(Coordinates!$C$2:$C$197,MATCH(H158,Coordinates!$J$2:$J$197,0))</f>
        <v>34.059521969999999</v>
      </c>
      <c r="AM158" t="str">
        <f>IF(ISNUMBER(SEARCH("C", 'WetLitterbags placem_collection'!$V159)),"YES","NO")</f>
        <v>NO</v>
      </c>
      <c r="AN158" t="str">
        <f>IF(ISNUMBER(SEARCH("H", 'WetLitterbags placem_collection'!$V159)),"YES","NO")</f>
        <v>NO</v>
      </c>
      <c r="AO158" t="str">
        <f>IF(ISNUMBER(SEARCH("R", 'WetLitterbags placem_collection'!$V159)),"YES","NO")</f>
        <v>YES</v>
      </c>
    </row>
    <row r="159" spans="1:41" ht="15" customHeight="1">
      <c r="A159" s="255" t="s">
        <v>2454</v>
      </c>
      <c r="B159" s="260">
        <f>'Dry_Litterbag Placem_Collection'!A160</f>
        <v>158</v>
      </c>
      <c r="C159" s="260" t="str">
        <f>'Dry_Litterbag Placem_Collection'!B160</f>
        <v xml:space="preserve">Mwantimba
</v>
      </c>
      <c r="D159" s="260" t="s">
        <v>2454</v>
      </c>
      <c r="E159" s="260" t="s">
        <v>20</v>
      </c>
      <c r="F159" s="260">
        <v>4</v>
      </c>
      <c r="G159" s="260" t="s">
        <v>3824</v>
      </c>
      <c r="H159" s="261" t="str">
        <f>'Dry_Litterbag Placem_Collection'!C160</f>
        <v>Wet_P4_T6</v>
      </c>
      <c r="I159" s="262" t="s">
        <v>2525</v>
      </c>
      <c r="J159" s="263" t="s">
        <v>1147</v>
      </c>
      <c r="K159" s="221" t="str">
        <f>'WetLitterbags placem_collection'!K160</f>
        <v>G576</v>
      </c>
      <c r="L159" s="223">
        <f>IFERROR(INDEX('Green_rooibos initial weight'!$C$5:$C$2000,MATCH(K159, 'Green_rooibos initial weight'!$A$5:$A$2000,0)),"")</f>
        <v>2.056</v>
      </c>
      <c r="M159" s="223">
        <f>IFERROR(L159-(TBIcalc!$H$9+TBIcalc!$H$10),"")</f>
        <v>1.8062</v>
      </c>
      <c r="N159" s="385">
        <f>AVERAGE(Ashed_controlls!$K$2:$K$11)</f>
        <v>5.5147656768714146</v>
      </c>
      <c r="O159" s="223">
        <f t="shared" si="11"/>
        <v>1.7065923023443486</v>
      </c>
      <c r="P159" s="223">
        <f>IFERROR(INDEX('Both teabags AfterWet'!$C$3:$C$840,MATCH(K159,'Both teabags AfterWet'!$A$3:$A$840,0)),"")</f>
        <v>0.26600000000000001</v>
      </c>
      <c r="Q159" s="223">
        <f>IFERROR(IF(P159&gt;0,P159-(TBIcalc!$H$9),""),"")</f>
        <v>0.1154</v>
      </c>
      <c r="R159" s="223">
        <f>IFERROR(INDEX('Ashed teabags wet'!$K$2:$K$2000,MATCH(K159,'Ashed teabags wet'!$A$2:$A$2000,0)),"")</f>
        <v>0</v>
      </c>
      <c r="S159" s="223">
        <f t="shared" si="12"/>
        <v>0.1154</v>
      </c>
      <c r="T159" s="224">
        <f>'WetLitterbags placem_collection'!E160</f>
        <v>42762</v>
      </c>
      <c r="U159" s="224">
        <f>IF('WetLitterbags placem_collection'!G160="","",'WetLitterbags placem_collection'!G160)</f>
        <v>42816</v>
      </c>
      <c r="V159" s="225">
        <f t="shared" si="10"/>
        <v>54</v>
      </c>
      <c r="W159" s="223">
        <f t="shared" si="13"/>
        <v>1.6908000000000001</v>
      </c>
      <c r="X159" s="223">
        <f t="shared" si="14"/>
        <v>1.5911923023443486</v>
      </c>
      <c r="Y159">
        <f>IFERROR(INDEX(Rainfall_Wet!$O$2:$O$217,MATCH(B159, Rainfall_Wet!$A$2:$A$217,0)),"")</f>
        <v>206.85140822299999</v>
      </c>
      <c r="Z159" s="228">
        <v>27.96</v>
      </c>
      <c r="AA159" s="228">
        <v>4.9200000000000017</v>
      </c>
      <c r="AB159" s="228">
        <v>67.12</v>
      </c>
      <c r="AC159" s="229" t="s">
        <v>2654</v>
      </c>
      <c r="AD159" s="228">
        <v>6.0437161163134503</v>
      </c>
      <c r="AE159">
        <f>IF('WetLitterbags placem_collection'!AB160="","",'WetLitterbags placem_collection'!AB160)</f>
        <v>1.9</v>
      </c>
      <c r="AF159">
        <f>IF('WetLitterbags placem_collection'!Z160="","",'WetLitterbags placem_collection'!Z160)</f>
        <v>4.3</v>
      </c>
      <c r="AG159" s="243" t="str">
        <f>IF('WetLitterbags placem_collection'!AA160="","",'WetLitterbags placem_collection'!AA160)</f>
        <v>O</v>
      </c>
      <c r="AH159">
        <f>IF('WetLitterbags placem_collection'!AC160="","",'WetLitterbags placem_collection'!AC160)</f>
        <v>0</v>
      </c>
      <c r="AI159" s="237">
        <f>AVERAGE('WetLitterbags placem_collection'!S160,'WetLitterbags placem_collection'!U160)</f>
        <v>22.45</v>
      </c>
      <c r="AJ159">
        <f>AVERAGE('WetLitterbags placem_collection'!R160,'WetLitterbags placem_collection'!T160)</f>
        <v>26.35</v>
      </c>
      <c r="AK159">
        <f>INDEX(Coordinates!$B$2:$B$197,MATCH(H159,Coordinates!$J$2:$J$197,0))</f>
        <v>-2.3679270410000002</v>
      </c>
      <c r="AL159">
        <f>INDEX(Coordinates!$C$2:$C$197,MATCH(H159,Coordinates!$J$2:$J$197,0))</f>
        <v>34.059300020000002</v>
      </c>
      <c r="AM159" t="str">
        <f>IF(ISNUMBER(SEARCH("C", 'WetLitterbags placem_collection'!$V160)),"YES","NO")</f>
        <v>NO</v>
      </c>
      <c r="AN159" t="str">
        <f>IF(ISNUMBER(SEARCH("H", 'WetLitterbags placem_collection'!$V160)),"YES","NO")</f>
        <v>YES</v>
      </c>
      <c r="AO159" t="str">
        <f>IF(ISNUMBER(SEARCH("R", 'WetLitterbags placem_collection'!$V160)),"YES","NO")</f>
        <v>YES</v>
      </c>
    </row>
    <row r="160" spans="1:41" ht="15" customHeight="1">
      <c r="A160" s="255" t="s">
        <v>2454</v>
      </c>
      <c r="B160" s="260">
        <f>'Dry_Litterbag Placem_Collection'!A161</f>
        <v>159</v>
      </c>
      <c r="C160" s="260" t="str">
        <f>'Dry_Litterbag Placem_Collection'!B161</f>
        <v xml:space="preserve">Mwantimba
</v>
      </c>
      <c r="D160" s="260" t="s">
        <v>2454</v>
      </c>
      <c r="E160" s="260" t="s">
        <v>20</v>
      </c>
      <c r="F160" s="260">
        <v>4</v>
      </c>
      <c r="G160" s="260" t="s">
        <v>3824</v>
      </c>
      <c r="H160" s="261" t="str">
        <f>'Dry_Litterbag Placem_Collection'!C161</f>
        <v>Wet_P4_T7</v>
      </c>
      <c r="I160" s="262" t="s">
        <v>2525</v>
      </c>
      <c r="J160" s="263" t="s">
        <v>1147</v>
      </c>
      <c r="K160" s="221" t="str">
        <f>'WetLitterbags placem_collection'!K161</f>
        <v>G829</v>
      </c>
      <c r="L160" s="223">
        <f>IFERROR(INDEX('Green_rooibos initial weight'!$C$5:$C$2000,MATCH(K160, 'Green_rooibos initial weight'!$A$5:$A$2000,0)),"")</f>
        <v>1.9610000000000001</v>
      </c>
      <c r="M160" s="223">
        <f>IFERROR(L160-(TBIcalc!$H$9+TBIcalc!$H$10),"")</f>
        <v>1.7112000000000001</v>
      </c>
      <c r="N160" s="385">
        <f>AVERAGE(Ashed_controlls!$K$2:$K$11)</f>
        <v>5.5147656768714146</v>
      </c>
      <c r="O160" s="223">
        <f t="shared" si="11"/>
        <v>1.6168313297373764</v>
      </c>
      <c r="P160" s="223" t="str">
        <f>IFERROR(INDEX('Both teabags AfterWet'!$C$3:$C$840,MATCH(K160,'Both teabags AfterWet'!$A$3:$A$840,0)),"")</f>
        <v/>
      </c>
      <c r="Q160" s="223" t="str">
        <f>IFERROR(IF(P160&gt;0,P160-(TBIcalc!$H$9),""),"")</f>
        <v/>
      </c>
      <c r="R160" s="223" t="str">
        <f>IFERROR(INDEX('Ashed teabags wet'!$K$2:$K$2000,MATCH(K160,'Ashed teabags wet'!$A$2:$A$2000,0)),"")</f>
        <v/>
      </c>
      <c r="S160" s="223" t="str">
        <f t="shared" si="12"/>
        <v/>
      </c>
      <c r="T160" s="224">
        <f>'WetLitterbags placem_collection'!E161</f>
        <v>42762</v>
      </c>
      <c r="U160" s="224">
        <f>IF('WetLitterbags placem_collection'!G161="","",'WetLitterbags placem_collection'!G161)</f>
        <v>42816</v>
      </c>
      <c r="V160" s="225">
        <f t="shared" si="10"/>
        <v>54</v>
      </c>
      <c r="W160" s="223" t="str">
        <f t="shared" si="13"/>
        <v/>
      </c>
      <c r="X160" s="223" t="str">
        <f t="shared" si="14"/>
        <v/>
      </c>
      <c r="Y160">
        <f>IFERROR(INDEX(Rainfall_Wet!$O$2:$O$217,MATCH(B160, Rainfall_Wet!$A$2:$A$217,0)),"")</f>
        <v>206.85140822299999</v>
      </c>
      <c r="Z160" s="228">
        <v>27.96</v>
      </c>
      <c r="AA160" s="228">
        <v>4.9200000000000017</v>
      </c>
      <c r="AB160" s="228">
        <v>67.12</v>
      </c>
      <c r="AC160" s="229" t="s">
        <v>2654</v>
      </c>
      <c r="AD160" s="228">
        <v>7.0437161163134503</v>
      </c>
      <c r="AE160">
        <f>IF('WetLitterbags placem_collection'!AB161="","",'WetLitterbags placem_collection'!AB161)</f>
        <v>2.65</v>
      </c>
      <c r="AF160">
        <f>IF('WetLitterbags placem_collection'!Z161="","",'WetLitterbags placem_collection'!Z161)</f>
        <v>0</v>
      </c>
      <c r="AG160" s="243" t="str">
        <f>IF('WetLitterbags placem_collection'!AA161="","",'WetLitterbags placem_collection'!AA161)</f>
        <v>G</v>
      </c>
      <c r="AH160">
        <f>IF('WetLitterbags placem_collection'!AC161="","",'WetLitterbags placem_collection'!AC161)</f>
        <v>1</v>
      </c>
      <c r="AI160" s="237">
        <f>AVERAGE('WetLitterbags placem_collection'!S161,'WetLitterbags placem_collection'!U161)</f>
        <v>14.4</v>
      </c>
      <c r="AJ160">
        <f>AVERAGE('WetLitterbags placem_collection'!R161,'WetLitterbags placem_collection'!T161)</f>
        <v>28</v>
      </c>
      <c r="AK160">
        <f>INDEX(Coordinates!$B$2:$B$197,MATCH(H160,Coordinates!$J$2:$J$197,0))</f>
        <v>-2.3676829599999998</v>
      </c>
      <c r="AL160">
        <f>INDEX(Coordinates!$C$2:$C$197,MATCH(H160,Coordinates!$J$2:$J$197,0))</f>
        <v>34.059236990000002</v>
      </c>
      <c r="AM160" t="str">
        <f>IF(ISNUMBER(SEARCH("C", 'WetLitterbags placem_collection'!$V161)),"YES","NO")</f>
        <v>NO</v>
      </c>
      <c r="AN160" t="str">
        <f>IF(ISNUMBER(SEARCH("H", 'WetLitterbags placem_collection'!$V161)),"YES","NO")</f>
        <v>NO</v>
      </c>
      <c r="AO160" t="str">
        <f>IF(ISNUMBER(SEARCH("R", 'WetLitterbags placem_collection'!$V161)),"YES","NO")</f>
        <v>NO</v>
      </c>
    </row>
    <row r="161" spans="1:41" ht="15" customHeight="1">
      <c r="A161" s="255" t="s">
        <v>2454</v>
      </c>
      <c r="B161" s="260">
        <f>'Dry_Litterbag Placem_Collection'!A162</f>
        <v>160</v>
      </c>
      <c r="C161" s="260" t="str">
        <f>'Dry_Litterbag Placem_Collection'!B162</f>
        <v xml:space="preserve">Mwantimba
</v>
      </c>
      <c r="D161" s="260" t="s">
        <v>2454</v>
      </c>
      <c r="E161" s="260" t="s">
        <v>20</v>
      </c>
      <c r="F161" s="260">
        <v>4</v>
      </c>
      <c r="G161" s="260" t="s">
        <v>3824</v>
      </c>
      <c r="H161" s="261" t="str">
        <f>'Dry_Litterbag Placem_Collection'!C162</f>
        <v>Wet_P4_T8</v>
      </c>
      <c r="I161" s="262" t="s">
        <v>2525</v>
      </c>
      <c r="J161" s="263" t="s">
        <v>1147</v>
      </c>
      <c r="K161" s="221" t="str">
        <f>'WetLitterbags placem_collection'!K162</f>
        <v>G809</v>
      </c>
      <c r="L161" s="223">
        <f>IFERROR(INDEX('Green_rooibos initial weight'!$C$5:$C$2000,MATCH(K161, 'Green_rooibos initial weight'!$A$5:$A$2000,0)),"")</f>
        <v>1.9279999999999999</v>
      </c>
      <c r="M161" s="223">
        <f>IFERROR(L161-(TBIcalc!$H$9+TBIcalc!$H$10),"")</f>
        <v>1.6781999999999999</v>
      </c>
      <c r="N161" s="385">
        <f>AVERAGE(Ashed_controlls!$K$2:$K$11)</f>
        <v>5.5147656768714146</v>
      </c>
      <c r="O161" s="223">
        <f t="shared" si="11"/>
        <v>1.5856512024107439</v>
      </c>
      <c r="P161" s="223">
        <f>IFERROR(INDEX('Both teabags AfterWet'!$C$3:$C$840,MATCH(K161,'Both teabags AfterWet'!$A$3:$A$840,0)),"")</f>
        <v>0.72</v>
      </c>
      <c r="Q161" s="223">
        <f>IFERROR(IF(P161&gt;0,P161-(TBIcalc!$H$9),""),"")</f>
        <v>0.56939999999999991</v>
      </c>
      <c r="R161" s="223">
        <f>IFERROR(INDEX('Ashed teabags wet'!$K$2:$K$2000,MATCH(K161,'Ashed teabags wet'!$A$2:$A$2000,0)),"")</f>
        <v>14.278846153846089</v>
      </c>
      <c r="S161" s="223">
        <f t="shared" si="12"/>
        <v>0.48809625000000029</v>
      </c>
      <c r="T161" s="224">
        <f>'WetLitterbags placem_collection'!E162</f>
        <v>42762</v>
      </c>
      <c r="U161" s="224">
        <f>IF('WetLitterbags placem_collection'!G162="","",'WetLitterbags placem_collection'!G162)</f>
        <v>42816</v>
      </c>
      <c r="V161" s="225">
        <f t="shared" si="10"/>
        <v>54</v>
      </c>
      <c r="W161" s="223">
        <f t="shared" si="13"/>
        <v>1.1088</v>
      </c>
      <c r="X161" s="223">
        <f t="shared" si="14"/>
        <v>1.0975549524107435</v>
      </c>
      <c r="Y161">
        <f>IFERROR(INDEX(Rainfall_Wet!$O$2:$O$217,MATCH(B161, Rainfall_Wet!$A$2:$A$217,0)),"")</f>
        <v>206.85140822299999</v>
      </c>
      <c r="Z161" s="228">
        <v>27.96</v>
      </c>
      <c r="AA161" s="228">
        <v>4.9200000000000017</v>
      </c>
      <c r="AB161" s="228">
        <v>67.12</v>
      </c>
      <c r="AC161" s="229" t="s">
        <v>2654</v>
      </c>
      <c r="AD161" s="228">
        <v>8.0437161163134494</v>
      </c>
      <c r="AE161">
        <f>IF('WetLitterbags placem_collection'!AB162="","",'WetLitterbags placem_collection'!AB162)</f>
        <v>0.8</v>
      </c>
      <c r="AF161">
        <f>IF('WetLitterbags placem_collection'!Z162="","",'WetLitterbags placem_collection'!Z162)</f>
        <v>10.8</v>
      </c>
      <c r="AG161" s="243" t="str">
        <f>IF('WetLitterbags placem_collection'!AA162="","",'WetLitterbags placem_collection'!AA162)</f>
        <v>O</v>
      </c>
      <c r="AH161">
        <f>IF('WetLitterbags placem_collection'!AC162="","",'WetLitterbags placem_collection'!AC162)</f>
        <v>0</v>
      </c>
      <c r="AI161" s="237">
        <f>AVERAGE('WetLitterbags placem_collection'!S162,'WetLitterbags placem_collection'!U162)</f>
        <v>16.5</v>
      </c>
      <c r="AJ161">
        <f>AVERAGE('WetLitterbags placem_collection'!R162,'WetLitterbags placem_collection'!T162)</f>
        <v>27.15</v>
      </c>
      <c r="AK161">
        <f>INDEX(Coordinates!$B$2:$B$197,MATCH(H161,Coordinates!$J$2:$J$197,0))</f>
        <v>-2.367547005</v>
      </c>
      <c r="AL161">
        <f>INDEX(Coordinates!$C$2:$C$197,MATCH(H161,Coordinates!$J$2:$J$197,0))</f>
        <v>34.059494989999997</v>
      </c>
      <c r="AM161" t="str">
        <f>IF(ISNUMBER(SEARCH("C", 'WetLitterbags placem_collection'!$V162)),"YES","NO")</f>
        <v>NO</v>
      </c>
      <c r="AN161" t="str">
        <f>IF(ISNUMBER(SEARCH("H", 'WetLitterbags placem_collection'!$V162)),"YES","NO")</f>
        <v>NO</v>
      </c>
      <c r="AO161" t="str">
        <f>IF(ISNUMBER(SEARCH("R", 'WetLitterbags placem_collection'!$V162)),"YES","NO")</f>
        <v>YES</v>
      </c>
    </row>
    <row r="162" spans="1:41" ht="15" customHeight="1">
      <c r="A162" s="255" t="s">
        <v>2454</v>
      </c>
      <c r="B162" s="260">
        <f>'Dry_Litterbag Placem_Collection'!A163</f>
        <v>161</v>
      </c>
      <c r="C162" s="260" t="str">
        <f>'Dry_Litterbag Placem_Collection'!B163</f>
        <v>Handajega</v>
      </c>
      <c r="D162" s="260" t="s">
        <v>2454</v>
      </c>
      <c r="E162" s="260" t="s">
        <v>2645</v>
      </c>
      <c r="F162" s="260">
        <v>1</v>
      </c>
      <c r="G162" s="260" t="s">
        <v>3825</v>
      </c>
      <c r="H162" s="261" t="str">
        <f>'Dry_Litterbag Placem_Collection'!C163</f>
        <v>Wet_W1_T1</v>
      </c>
      <c r="I162" s="262" t="s">
        <v>2525</v>
      </c>
      <c r="J162" s="263" t="s">
        <v>1147</v>
      </c>
      <c r="K162" s="221" t="str">
        <f>'WetLitterbags placem_collection'!K163</f>
        <v>G352</v>
      </c>
      <c r="L162" s="223">
        <f>IFERROR(INDEX('Green_rooibos initial weight'!$C$5:$C$2000,MATCH(K162, 'Green_rooibos initial weight'!$A$5:$A$2000,0)),"")</f>
        <v>1.9490000000000001</v>
      </c>
      <c r="M162" s="223">
        <f>IFERROR(L162-(TBIcalc!$H$9+TBIcalc!$H$10),"")</f>
        <v>1.6992</v>
      </c>
      <c r="N162" s="385">
        <f>AVERAGE(Ashed_controlls!$K$2:$K$11)</f>
        <v>5.5147656768714146</v>
      </c>
      <c r="O162" s="223">
        <f t="shared" si="11"/>
        <v>1.6054931016186009</v>
      </c>
      <c r="P162" s="223">
        <f>IFERROR(INDEX('Both teabags AfterWet'!$C$3:$C$840,MATCH(K162,'Both teabags AfterWet'!$A$3:$A$840,0)),"")</f>
        <v>0.57509999999999994</v>
      </c>
      <c r="Q162" s="223">
        <f>IFERROR(IF(P162&gt;0,P162-(TBIcalc!$H$9),""),"")</f>
        <v>0.42449999999999993</v>
      </c>
      <c r="R162" s="223">
        <f>IFERROR(INDEX('Ashed teabags wet'!$K$2:$K$2000,MATCH(K162,'Ashed teabags wet'!$A$2:$A$2000,0)),"")</f>
        <v>6.9085487077541252</v>
      </c>
      <c r="S162" s="223">
        <f t="shared" si="12"/>
        <v>0.3951732107355837</v>
      </c>
      <c r="T162" s="224">
        <f>'WetLitterbags placem_collection'!E163</f>
        <v>42763</v>
      </c>
      <c r="U162" s="224">
        <f>IF('WetLitterbags placem_collection'!G163="","",'WetLitterbags placem_collection'!G163)</f>
        <v>42814</v>
      </c>
      <c r="V162" s="225">
        <f t="shared" si="10"/>
        <v>51</v>
      </c>
      <c r="W162" s="223">
        <f t="shared" si="13"/>
        <v>1.2747000000000002</v>
      </c>
      <c r="X162" s="223">
        <f t="shared" si="14"/>
        <v>1.2103198908830173</v>
      </c>
      <c r="Y162">
        <f>IFERROR(INDEX(Rainfall_Wet!$O$2:$O$217,MATCH(B162, Rainfall_Wet!$A$2:$A$217,0)),"")</f>
        <v>181.383442621</v>
      </c>
      <c r="Z162" s="228">
        <v>21.96</v>
      </c>
      <c r="AA162" s="228">
        <v>4.9199999999999982</v>
      </c>
      <c r="AB162" s="228">
        <v>73.12</v>
      </c>
      <c r="AC162" s="229" t="s">
        <v>2654</v>
      </c>
      <c r="AD162" s="228">
        <v>1.2416954164613114</v>
      </c>
      <c r="AE162">
        <f>IF('WetLitterbags placem_collection'!AB163="","",'WetLitterbags placem_collection'!AB163)</f>
        <v>7.6</v>
      </c>
      <c r="AF162">
        <f>IF('WetLitterbags placem_collection'!Z163="","",'WetLitterbags placem_collection'!Z163)</f>
        <v>35.799999999999997</v>
      </c>
      <c r="AG162" s="243" t="str">
        <f>IF('WetLitterbags placem_collection'!AA163="","",'WetLitterbags placem_collection'!AA163)</f>
        <v>M</v>
      </c>
      <c r="AH162">
        <f>IF('WetLitterbags placem_collection'!AC163="","",'WetLitterbags placem_collection'!AC163)</f>
        <v>0</v>
      </c>
      <c r="AI162" s="237">
        <f>AVERAGE('WetLitterbags placem_collection'!S163,'WetLitterbags placem_collection'!U163)</f>
        <v>11.100000000000001</v>
      </c>
      <c r="AJ162">
        <f>AVERAGE('WetLitterbags placem_collection'!R163,'WetLitterbags placem_collection'!T163)</f>
        <v>33.6</v>
      </c>
      <c r="AK162">
        <f>INDEX(Coordinates!$B$2:$B$197,MATCH(H162,Coordinates!$J$2:$J$197,0))</f>
        <v>-2.272751033</v>
      </c>
      <c r="AL162">
        <f>INDEX(Coordinates!$C$2:$C$197,MATCH(H162,Coordinates!$J$2:$J$197,0))</f>
        <v>34.023176030000002</v>
      </c>
      <c r="AM162" t="str">
        <f>IF(ISNUMBER(SEARCH("C", 'WetLitterbags placem_collection'!$V163)),"YES","NO")</f>
        <v>NO</v>
      </c>
      <c r="AN162" t="str">
        <f>IF(ISNUMBER(SEARCH("H", 'WetLitterbags placem_collection'!$V163)),"YES","NO")</f>
        <v>NO</v>
      </c>
      <c r="AO162" t="str">
        <f>IF(ISNUMBER(SEARCH("R", 'WetLitterbags placem_collection'!$V163)),"YES","NO")</f>
        <v>NO</v>
      </c>
    </row>
    <row r="163" spans="1:41" ht="15" customHeight="1">
      <c r="A163" s="255" t="s">
        <v>2454</v>
      </c>
      <c r="B163" s="260">
        <f>'Dry_Litterbag Placem_Collection'!A164</f>
        <v>162</v>
      </c>
      <c r="C163" s="260" t="str">
        <f>'Dry_Litterbag Placem_Collection'!B164</f>
        <v>Handajega</v>
      </c>
      <c r="D163" s="260" t="s">
        <v>2454</v>
      </c>
      <c r="E163" s="260" t="s">
        <v>2645</v>
      </c>
      <c r="F163" s="260">
        <v>1</v>
      </c>
      <c r="G163" s="260" t="s">
        <v>3825</v>
      </c>
      <c r="H163" s="261" t="str">
        <f>'Dry_Litterbag Placem_Collection'!C164</f>
        <v>Wet_W1_T2</v>
      </c>
      <c r="I163" s="262" t="s">
        <v>2525</v>
      </c>
      <c r="J163" s="263" t="s">
        <v>1147</v>
      </c>
      <c r="K163" s="221" t="str">
        <f>'WetLitterbags placem_collection'!K164</f>
        <v>G385</v>
      </c>
      <c r="L163" s="223">
        <f>IFERROR(INDEX('Green_rooibos initial weight'!$C$5:$C$2000,MATCH(K163, 'Green_rooibos initial weight'!$A$5:$A$2000,0)),"")</f>
        <v>1.962</v>
      </c>
      <c r="M163" s="223">
        <f>IFERROR(L163-(TBIcalc!$H$9+TBIcalc!$H$10),"")</f>
        <v>1.7121999999999999</v>
      </c>
      <c r="N163" s="385">
        <f>AVERAGE(Ashed_controlls!$K$2:$K$11)</f>
        <v>5.5147656768714146</v>
      </c>
      <c r="O163" s="223">
        <f t="shared" si="11"/>
        <v>1.6177761820806076</v>
      </c>
      <c r="P163" s="223">
        <f>IFERROR(INDEX('Both teabags AfterWet'!$C$3:$C$840,MATCH(K163,'Both teabags AfterWet'!$A$3:$A$840,0)),"")</f>
        <v>0.62280000000000002</v>
      </c>
      <c r="Q163" s="223">
        <f>IFERROR(IF(P163&gt;0,P163-(TBIcalc!$H$9),""),"")</f>
        <v>0.47220000000000001</v>
      </c>
      <c r="R163" s="223">
        <f>IFERROR(INDEX('Ashed teabags wet'!$K$2:$K$2000,MATCH(K163,'Ashed teabags wet'!$A$2:$A$2000,0)),"")</f>
        <v>8.5545722713864567</v>
      </c>
      <c r="S163" s="223">
        <f t="shared" si="12"/>
        <v>0.43180530973451314</v>
      </c>
      <c r="T163" s="224">
        <f>'WetLitterbags placem_collection'!E164</f>
        <v>42763</v>
      </c>
      <c r="U163" s="224">
        <f>IF('WetLitterbags placem_collection'!G164="","",'WetLitterbags placem_collection'!G164)</f>
        <v>42814</v>
      </c>
      <c r="V163" s="225">
        <f t="shared" si="10"/>
        <v>51</v>
      </c>
      <c r="W163" s="223">
        <f t="shared" si="13"/>
        <v>1.24</v>
      </c>
      <c r="X163" s="223">
        <f t="shared" si="14"/>
        <v>1.1859708723460944</v>
      </c>
      <c r="Y163">
        <f>IFERROR(INDEX(Rainfall_Wet!$O$2:$O$217,MATCH(B163, Rainfall_Wet!$A$2:$A$217,0)),"")</f>
        <v>181.383442621</v>
      </c>
      <c r="Z163" s="228">
        <v>21.96</v>
      </c>
      <c r="AA163" s="228">
        <v>4.9199999999999982</v>
      </c>
      <c r="AB163" s="228">
        <v>73.12</v>
      </c>
      <c r="AC163" s="229" t="s">
        <v>2654</v>
      </c>
      <c r="AD163" s="228">
        <v>2.2416954164613099</v>
      </c>
      <c r="AE163">
        <f>IF('WetLitterbags placem_collection'!AB164="","",'WetLitterbags placem_collection'!AB164)</f>
        <v>4.0999999999999996</v>
      </c>
      <c r="AF163">
        <f>IF('WetLitterbags placem_collection'!Z164="","",'WetLitterbags placem_collection'!Z164)</f>
        <v>31.4</v>
      </c>
      <c r="AG163" s="243" t="str">
        <f>IF('WetLitterbags placem_collection'!AA164="","",'WetLitterbags placem_collection'!AA164)</f>
        <v>M</v>
      </c>
      <c r="AH163">
        <f>IF('WetLitterbags placem_collection'!AC164="","",'WetLitterbags placem_collection'!AC164)</f>
        <v>0</v>
      </c>
      <c r="AI163" s="237">
        <f>AVERAGE('WetLitterbags placem_collection'!S164,'WetLitterbags placem_collection'!U164)</f>
        <v>9.35</v>
      </c>
      <c r="AJ163">
        <f>AVERAGE('WetLitterbags placem_collection'!R164,'WetLitterbags placem_collection'!T164)</f>
        <v>34.450000000000003</v>
      </c>
      <c r="AK163">
        <f>INDEX(Coordinates!$B$2:$B$197,MATCH(H163,Coordinates!$J$2:$J$197,0))</f>
        <v>-2.2727060219999999</v>
      </c>
      <c r="AL163">
        <f>INDEX(Coordinates!$C$2:$C$197,MATCH(H163,Coordinates!$J$2:$J$197,0))</f>
        <v>34.023162030000002</v>
      </c>
      <c r="AM163" t="str">
        <f>IF(ISNUMBER(SEARCH("C", 'WetLitterbags placem_collection'!$V164)),"YES","NO")</f>
        <v>NO</v>
      </c>
      <c r="AN163" t="str">
        <f>IF(ISNUMBER(SEARCH("H", 'WetLitterbags placem_collection'!$V164)),"YES","NO")</f>
        <v>NO</v>
      </c>
      <c r="AO163" t="str">
        <f>IF(ISNUMBER(SEARCH("R", 'WetLitterbags placem_collection'!$V164)),"YES","NO")</f>
        <v>NO</v>
      </c>
    </row>
    <row r="164" spans="1:41" ht="15" customHeight="1">
      <c r="A164" s="255" t="s">
        <v>2454</v>
      </c>
      <c r="B164" s="260">
        <f>'Dry_Litterbag Placem_Collection'!A165</f>
        <v>163</v>
      </c>
      <c r="C164" s="260" t="str">
        <f>'Dry_Litterbag Placem_Collection'!B165</f>
        <v>Handajega</v>
      </c>
      <c r="D164" s="260" t="s">
        <v>2454</v>
      </c>
      <c r="E164" s="260" t="s">
        <v>2645</v>
      </c>
      <c r="F164" s="260">
        <v>1</v>
      </c>
      <c r="G164" s="260" t="s">
        <v>3825</v>
      </c>
      <c r="H164" s="261" t="str">
        <f>'Dry_Litterbag Placem_Collection'!C165</f>
        <v>Wet_W1_T3</v>
      </c>
      <c r="I164" s="262" t="s">
        <v>2525</v>
      </c>
      <c r="J164" s="263" t="s">
        <v>1147</v>
      </c>
      <c r="K164" s="221" t="str">
        <f>'WetLitterbags placem_collection'!K165</f>
        <v>G202</v>
      </c>
      <c r="L164" s="223">
        <f>IFERROR(INDEX('Green_rooibos initial weight'!$C$5:$C$2000,MATCH(K164, 'Green_rooibos initial weight'!$A$5:$A$2000,0)),"")</f>
        <v>1.986</v>
      </c>
      <c r="M164" s="223">
        <f>IFERROR(L164-(TBIcalc!$H$9+TBIcalc!$H$10),"")</f>
        <v>1.7362</v>
      </c>
      <c r="N164" s="385">
        <f>AVERAGE(Ashed_controlls!$K$2:$K$11)</f>
        <v>5.5147656768714146</v>
      </c>
      <c r="O164" s="223">
        <f t="shared" si="11"/>
        <v>1.6404526383181586</v>
      </c>
      <c r="P164" s="223">
        <f>IFERROR(INDEX('Both teabags AfterWet'!$C$3:$C$840,MATCH(K164,'Both teabags AfterWet'!$A$3:$A$840,0)),"")</f>
        <v>0.64500000000000002</v>
      </c>
      <c r="Q164" s="223">
        <f>IFERROR(IF(P164&gt;0,P164-(TBIcalc!$H$9),""),"")</f>
        <v>0.49440000000000001</v>
      </c>
      <c r="R164" s="223">
        <f>IFERROR(INDEX('Ashed teabags wet'!$K$2:$K$2000,MATCH(K164,'Ashed teabags wet'!$A$2:$A$2000,0)),"")</f>
        <v>9.4152626362733951</v>
      </c>
      <c r="S164" s="223">
        <f t="shared" si="12"/>
        <v>0.44785094152626437</v>
      </c>
      <c r="T164" s="224">
        <f>'WetLitterbags placem_collection'!E165</f>
        <v>42763</v>
      </c>
      <c r="U164" s="224">
        <f>IF('WetLitterbags placem_collection'!G165="","",'WetLitterbags placem_collection'!G165)</f>
        <v>42814</v>
      </c>
      <c r="V164" s="225">
        <f t="shared" si="10"/>
        <v>51</v>
      </c>
      <c r="W164" s="223">
        <f t="shared" si="13"/>
        <v>1.2418</v>
      </c>
      <c r="X164" s="223">
        <f t="shared" si="14"/>
        <v>1.1926016967918942</v>
      </c>
      <c r="Y164">
        <f>IFERROR(INDEX(Rainfall_Wet!$O$2:$O$217,MATCH(B164, Rainfall_Wet!$A$2:$A$217,0)),"")</f>
        <v>181.383442621</v>
      </c>
      <c r="Z164" s="228">
        <v>21.96</v>
      </c>
      <c r="AA164" s="228">
        <v>4.9199999999999982</v>
      </c>
      <c r="AB164" s="228">
        <v>73.12</v>
      </c>
      <c r="AC164" s="229" t="s">
        <v>2654</v>
      </c>
      <c r="AD164" s="228">
        <v>3.2416954164613099</v>
      </c>
      <c r="AE164">
        <f>IF('WetLitterbags placem_collection'!AB165="","",'WetLitterbags placem_collection'!AB165)</f>
        <v>7.8</v>
      </c>
      <c r="AF164">
        <f>IF('WetLitterbags placem_collection'!Z165="","",'WetLitterbags placem_collection'!Z165)</f>
        <v>28.8</v>
      </c>
      <c r="AG164" s="243" t="str">
        <f>IF('WetLitterbags placem_collection'!AA165="","",'WetLitterbags placem_collection'!AA165)</f>
        <v>M</v>
      </c>
      <c r="AH164">
        <f>IF('WetLitterbags placem_collection'!AC165="","",'WetLitterbags placem_collection'!AC165)</f>
        <v>0</v>
      </c>
      <c r="AI164" s="237">
        <f>AVERAGE('WetLitterbags placem_collection'!S165,'WetLitterbags placem_collection'!U165)</f>
        <v>9.3000000000000007</v>
      </c>
      <c r="AJ164">
        <f>AVERAGE('WetLitterbags placem_collection'!R165,'WetLitterbags placem_collection'!T165)</f>
        <v>33.5</v>
      </c>
      <c r="AK164">
        <f>INDEX(Coordinates!$B$2:$B$197,MATCH(H164,Coordinates!$J$2:$J$197,0))</f>
        <v>-2.2726719919999998</v>
      </c>
      <c r="AL164">
        <f>INDEX(Coordinates!$C$2:$C$197,MATCH(H164,Coordinates!$J$2:$J$197,0))</f>
        <v>34.023210980000002</v>
      </c>
      <c r="AM164" t="str">
        <f>IF(ISNUMBER(SEARCH("C", 'WetLitterbags placem_collection'!$V165)),"YES","NO")</f>
        <v>NO</v>
      </c>
      <c r="AN164" t="str">
        <f>IF(ISNUMBER(SEARCH("H", 'WetLitterbags placem_collection'!$V165)),"YES","NO")</f>
        <v>YES</v>
      </c>
      <c r="AO164" t="str">
        <f>IF(ISNUMBER(SEARCH("R", 'WetLitterbags placem_collection'!$V165)),"YES","NO")</f>
        <v>NO</v>
      </c>
    </row>
    <row r="165" spans="1:41" ht="15" customHeight="1">
      <c r="A165" s="255" t="s">
        <v>2454</v>
      </c>
      <c r="B165" s="260">
        <f>'Dry_Litterbag Placem_Collection'!A166</f>
        <v>164</v>
      </c>
      <c r="C165" s="260" t="str">
        <f>'Dry_Litterbag Placem_Collection'!B166</f>
        <v>Handajega</v>
      </c>
      <c r="D165" s="260" t="s">
        <v>2454</v>
      </c>
      <c r="E165" s="260" t="s">
        <v>2645</v>
      </c>
      <c r="F165" s="260">
        <v>1</v>
      </c>
      <c r="G165" s="260" t="s">
        <v>3825</v>
      </c>
      <c r="H165" s="261" t="str">
        <f>'Dry_Litterbag Placem_Collection'!C166</f>
        <v>Wet_W1_T4</v>
      </c>
      <c r="I165" s="262" t="s">
        <v>2525</v>
      </c>
      <c r="J165" s="263" t="s">
        <v>1147</v>
      </c>
      <c r="K165" s="221" t="str">
        <f>'WetLitterbags placem_collection'!K166</f>
        <v>G686</v>
      </c>
      <c r="L165" s="223">
        <f>IFERROR(INDEX('Green_rooibos initial weight'!$C$5:$C$2000,MATCH(K165, 'Green_rooibos initial weight'!$A$5:$A$2000,0)),"")</f>
        <v>1.9510000000000001</v>
      </c>
      <c r="M165" s="223">
        <f>IFERROR(L165-(TBIcalc!$H$9+TBIcalc!$H$10),"")</f>
        <v>1.7012</v>
      </c>
      <c r="N165" s="385">
        <f>AVERAGE(Ashed_controlls!$K$2:$K$11)</f>
        <v>5.5147656768714146</v>
      </c>
      <c r="O165" s="223">
        <f t="shared" si="11"/>
        <v>1.6073828063050635</v>
      </c>
      <c r="P165" s="223">
        <f>IFERROR(INDEX('Both teabags AfterWet'!$C$3:$C$840,MATCH(K165,'Both teabags AfterWet'!$A$3:$A$840,0)),"")</f>
        <v>0.628</v>
      </c>
      <c r="Q165" s="223">
        <f>IFERROR(IF(P165&gt;0,P165-(TBIcalc!$H$9),""),"")</f>
        <v>0.47739999999999999</v>
      </c>
      <c r="R165" s="223">
        <f>IFERROR(INDEX('Ashed teabags wet'!$K$2:$K$2000,MATCH(K165,'Ashed teabags wet'!$A$2:$A$2000,0)),"")</f>
        <v>9.7268806899849256</v>
      </c>
      <c r="S165" s="223">
        <f t="shared" si="12"/>
        <v>0.43096387158601196</v>
      </c>
      <c r="T165" s="224">
        <f>'WetLitterbags placem_collection'!E166</f>
        <v>42763</v>
      </c>
      <c r="U165" s="224">
        <f>IF('WetLitterbags placem_collection'!G166="","",'WetLitterbags placem_collection'!G166)</f>
        <v>42814</v>
      </c>
      <c r="V165" s="225">
        <f t="shared" si="10"/>
        <v>51</v>
      </c>
      <c r="W165" s="223">
        <f t="shared" si="13"/>
        <v>1.2238</v>
      </c>
      <c r="X165" s="223">
        <f t="shared" si="14"/>
        <v>1.1764189347190515</v>
      </c>
      <c r="Y165">
        <f>IFERROR(INDEX(Rainfall_Wet!$O$2:$O$217,MATCH(B165, Rainfall_Wet!$A$2:$A$217,0)),"")</f>
        <v>181.383442621</v>
      </c>
      <c r="Z165" s="228">
        <v>21.96</v>
      </c>
      <c r="AA165" s="228">
        <v>4.9199999999999982</v>
      </c>
      <c r="AB165" s="228">
        <v>73.12</v>
      </c>
      <c r="AC165" s="229" t="s">
        <v>2654</v>
      </c>
      <c r="AD165" s="228">
        <v>4.2416954164613099</v>
      </c>
      <c r="AE165">
        <f>IF('WetLitterbags placem_collection'!AB166="","",'WetLitterbags placem_collection'!AB166)</f>
        <v>9.5</v>
      </c>
      <c r="AF165">
        <f>IF('WetLitterbags placem_collection'!Z166="","",'WetLitterbags placem_collection'!Z166)</f>
        <v>20.8</v>
      </c>
      <c r="AG165" s="243" t="str">
        <f>IF('WetLitterbags placem_collection'!AA166="","",'WetLitterbags placem_collection'!AA166)</f>
        <v>M</v>
      </c>
      <c r="AH165">
        <f>IF('WetLitterbags placem_collection'!AC166="","",'WetLitterbags placem_collection'!AC166)</f>
        <v>0</v>
      </c>
      <c r="AI165" s="237">
        <f>AVERAGE('WetLitterbags placem_collection'!S166,'WetLitterbags placem_collection'!U166)</f>
        <v>9.25</v>
      </c>
      <c r="AJ165">
        <f>AVERAGE('WetLitterbags placem_collection'!R166,'WetLitterbags placem_collection'!T166)</f>
        <v>33.799999999999997</v>
      </c>
      <c r="AK165">
        <f>INDEX(Coordinates!$B$2:$B$197,MATCH(H165,Coordinates!$J$2:$J$197,0))</f>
        <v>-2.2726180130000002</v>
      </c>
      <c r="AL165">
        <f>INDEX(Coordinates!$C$2:$C$197,MATCH(H165,Coordinates!$J$2:$J$197,0))</f>
        <v>34.023212999999998</v>
      </c>
      <c r="AM165" t="str">
        <f>IF(ISNUMBER(SEARCH("C", 'WetLitterbags placem_collection'!$V166)),"YES","NO")</f>
        <v>NO</v>
      </c>
      <c r="AN165" t="str">
        <f>IF(ISNUMBER(SEARCH("H", 'WetLitterbags placem_collection'!$V166)),"YES","NO")</f>
        <v>NO</v>
      </c>
      <c r="AO165" t="str">
        <f>IF(ISNUMBER(SEARCH("R", 'WetLitterbags placem_collection'!$V166)),"YES","NO")</f>
        <v>NO</v>
      </c>
    </row>
    <row r="166" spans="1:41" ht="15" customHeight="1">
      <c r="A166" s="255" t="s">
        <v>2454</v>
      </c>
      <c r="B166" s="260">
        <f>'Dry_Litterbag Placem_Collection'!A167</f>
        <v>165</v>
      </c>
      <c r="C166" s="260" t="str">
        <f>'Dry_Litterbag Placem_Collection'!B167</f>
        <v>Handajega</v>
      </c>
      <c r="D166" s="260" t="s">
        <v>2454</v>
      </c>
      <c r="E166" s="260" t="s">
        <v>2645</v>
      </c>
      <c r="F166" s="260">
        <v>1</v>
      </c>
      <c r="G166" s="260" t="s">
        <v>3825</v>
      </c>
      <c r="H166" s="261" t="str">
        <f>'Dry_Litterbag Placem_Collection'!C167</f>
        <v>Wet_W1_T5</v>
      </c>
      <c r="I166" s="262" t="s">
        <v>2525</v>
      </c>
      <c r="J166" s="263" t="s">
        <v>1147</v>
      </c>
      <c r="K166" s="221" t="str">
        <f>'WetLitterbags placem_collection'!K167</f>
        <v>G368</v>
      </c>
      <c r="L166" s="223">
        <f>IFERROR(INDEX('Green_rooibos initial weight'!$C$5:$C$2000,MATCH(K166, 'Green_rooibos initial weight'!$A$5:$A$2000,0)),"")</f>
        <v>2.1709999999999998</v>
      </c>
      <c r="M166" s="223">
        <f>IFERROR(L166-(TBIcalc!$H$9+TBIcalc!$H$10),"")</f>
        <v>1.9211999999999998</v>
      </c>
      <c r="N166" s="385">
        <f>AVERAGE(Ashed_controlls!$K$2:$K$11)</f>
        <v>5.5147656768714146</v>
      </c>
      <c r="O166" s="223">
        <f t="shared" si="11"/>
        <v>1.8152503218159461</v>
      </c>
      <c r="P166" s="223">
        <f>IFERROR(INDEX('Both teabags AfterWet'!$C$3:$C$840,MATCH(K166,'Both teabags AfterWet'!$A$3:$A$840,0)),"")</f>
        <v>0.72699999999999998</v>
      </c>
      <c r="Q166" s="223">
        <f>IFERROR(IF(P166&gt;0,P166-(TBIcalc!$H$9),""),"")</f>
        <v>0.57640000000000002</v>
      </c>
      <c r="R166" s="223">
        <f>IFERROR(INDEX('Ashed teabags wet'!$K$2:$K$2000,MATCH(K166,'Ashed teabags wet'!$A$2:$A$2000,0)),"")</f>
        <v>7.2371638141808248</v>
      </c>
      <c r="S166" s="223">
        <f t="shared" si="12"/>
        <v>0.53468498777506179</v>
      </c>
      <c r="T166" s="224">
        <f>'WetLitterbags placem_collection'!E167</f>
        <v>42763</v>
      </c>
      <c r="U166" s="224">
        <f>IF('WetLitterbags placem_collection'!G167="","",'WetLitterbags placem_collection'!G167)</f>
        <v>42814</v>
      </c>
      <c r="V166" s="225">
        <f t="shared" si="10"/>
        <v>51</v>
      </c>
      <c r="W166" s="223">
        <f t="shared" si="13"/>
        <v>1.3447999999999998</v>
      </c>
      <c r="X166" s="223">
        <f t="shared" si="14"/>
        <v>1.2805653340408845</v>
      </c>
      <c r="Y166">
        <f>IFERROR(INDEX(Rainfall_Wet!$O$2:$O$217,MATCH(B166, Rainfall_Wet!$A$2:$A$217,0)),"")</f>
        <v>181.383442621</v>
      </c>
      <c r="Z166" s="228">
        <v>21.96</v>
      </c>
      <c r="AA166" s="228">
        <v>4.9199999999999982</v>
      </c>
      <c r="AB166" s="228">
        <v>73.12</v>
      </c>
      <c r="AC166" s="229" t="s">
        <v>2654</v>
      </c>
      <c r="AD166" s="228">
        <v>5.2416954164613099</v>
      </c>
      <c r="AE166">
        <f>IF('WetLitterbags placem_collection'!AB167="","",'WetLitterbags placem_collection'!AB167)</f>
        <v>10.4</v>
      </c>
      <c r="AF166">
        <f>IF('WetLitterbags placem_collection'!Z167="","",'WetLitterbags placem_collection'!Z167)</f>
        <v>13.8</v>
      </c>
      <c r="AG166" s="243" t="str">
        <f>IF('WetLitterbags placem_collection'!AA167="","",'WetLitterbags placem_collection'!AA167)</f>
        <v>M</v>
      </c>
      <c r="AH166">
        <f>IF('WetLitterbags placem_collection'!AC167="","",'WetLitterbags placem_collection'!AC167)</f>
        <v>0</v>
      </c>
      <c r="AI166" s="237">
        <f>AVERAGE('WetLitterbags placem_collection'!S167,'WetLitterbags placem_collection'!U167)</f>
        <v>12</v>
      </c>
      <c r="AJ166">
        <f>AVERAGE('WetLitterbags placem_collection'!R167,'WetLitterbags placem_collection'!T167)</f>
        <v>31.5</v>
      </c>
      <c r="AK166">
        <f>INDEX(Coordinates!$B$2:$B$197,MATCH(H166,Coordinates!$J$2:$J$197,0))</f>
        <v>-2.2724750170000001</v>
      </c>
      <c r="AL166">
        <f>INDEX(Coordinates!$C$2:$C$197,MATCH(H166,Coordinates!$J$2:$J$197,0))</f>
        <v>34.02334501</v>
      </c>
      <c r="AM166" t="str">
        <f>IF(ISNUMBER(SEARCH("C", 'WetLitterbags placem_collection'!$V167)),"YES","NO")</f>
        <v>NO</v>
      </c>
      <c r="AN166" t="str">
        <f>IF(ISNUMBER(SEARCH("H", 'WetLitterbags placem_collection'!$V167)),"YES","NO")</f>
        <v>NO</v>
      </c>
      <c r="AO166" t="str">
        <f>IF(ISNUMBER(SEARCH("R", 'WetLitterbags placem_collection'!$V167)),"YES","NO")</f>
        <v>NO</v>
      </c>
    </row>
    <row r="167" spans="1:41" ht="15" customHeight="1">
      <c r="A167" s="255" t="s">
        <v>2454</v>
      </c>
      <c r="B167" s="260">
        <f>'Dry_Litterbag Placem_Collection'!A168</f>
        <v>166</v>
      </c>
      <c r="C167" s="260" t="str">
        <f>'Dry_Litterbag Placem_Collection'!B168</f>
        <v>Handajega</v>
      </c>
      <c r="D167" s="260" t="s">
        <v>2454</v>
      </c>
      <c r="E167" s="260" t="s">
        <v>2645</v>
      </c>
      <c r="F167" s="260">
        <v>1</v>
      </c>
      <c r="G167" s="260" t="s">
        <v>3825</v>
      </c>
      <c r="H167" s="261" t="str">
        <f>'Dry_Litterbag Placem_Collection'!C168</f>
        <v>Wet_W1_T6</v>
      </c>
      <c r="I167" s="262" t="s">
        <v>2525</v>
      </c>
      <c r="J167" s="263" t="s">
        <v>1147</v>
      </c>
      <c r="K167" s="221" t="str">
        <f>'WetLitterbags placem_collection'!K168</f>
        <v>G334</v>
      </c>
      <c r="L167" s="223">
        <f>IFERROR(INDEX('Green_rooibos initial weight'!$C$5:$C$2000,MATCH(K167, 'Green_rooibos initial weight'!$A$5:$A$2000,0)),"")</f>
        <v>2.0710000000000002</v>
      </c>
      <c r="M167" s="223">
        <f>IFERROR(L167-(TBIcalc!$H$9+TBIcalc!$H$10),"")</f>
        <v>1.8212000000000002</v>
      </c>
      <c r="N167" s="385">
        <f>AVERAGE(Ashed_controlls!$K$2:$K$11)</f>
        <v>5.5147656768714146</v>
      </c>
      <c r="O167" s="223">
        <f t="shared" si="11"/>
        <v>1.720765087492818</v>
      </c>
      <c r="P167" s="223">
        <f>IFERROR(INDEX('Both teabags AfterWet'!$C$3:$C$840,MATCH(K167,'Both teabags AfterWet'!$A$3:$A$840,0)),"")</f>
        <v>0.80800000000000005</v>
      </c>
      <c r="Q167" s="223">
        <f>IFERROR(IF(P167&gt;0,P167-(TBIcalc!$H$9),""),"")</f>
        <v>0.65739999999999998</v>
      </c>
      <c r="R167" s="223">
        <f>IFERROR(INDEX('Ashed teabags wet'!$K$2:$K$2000,MATCH(K167,'Ashed teabags wet'!$A$2:$A$2000,0)),"")</f>
        <v>13.234567901234151</v>
      </c>
      <c r="S167" s="223">
        <f t="shared" si="12"/>
        <v>0.57039595061728665</v>
      </c>
      <c r="T167" s="224">
        <f>'WetLitterbags placem_collection'!E168</f>
        <v>42763</v>
      </c>
      <c r="U167" s="224">
        <f>IF('WetLitterbags placem_collection'!G168="","",'WetLitterbags placem_collection'!G168)</f>
        <v>42814</v>
      </c>
      <c r="V167" s="225">
        <f t="shared" si="10"/>
        <v>51</v>
      </c>
      <c r="W167" s="223">
        <f t="shared" si="13"/>
        <v>1.1638000000000002</v>
      </c>
      <c r="X167" s="223">
        <f t="shared" si="14"/>
        <v>1.1503691368755313</v>
      </c>
      <c r="Y167">
        <f>IFERROR(INDEX(Rainfall_Wet!$O$2:$O$217,MATCH(B167, Rainfall_Wet!$A$2:$A$217,0)),"")</f>
        <v>181.383442621</v>
      </c>
      <c r="Z167" s="228">
        <v>21.96</v>
      </c>
      <c r="AA167" s="228">
        <v>4.9199999999999982</v>
      </c>
      <c r="AB167" s="228">
        <v>73.12</v>
      </c>
      <c r="AC167" s="229" t="s">
        <v>2654</v>
      </c>
      <c r="AD167" s="228">
        <v>6.2416954164613099</v>
      </c>
      <c r="AE167">
        <f>IF('WetLitterbags placem_collection'!AB168="","",'WetLitterbags placem_collection'!AB168)</f>
        <v>2.1</v>
      </c>
      <c r="AF167">
        <f>IF('WetLitterbags placem_collection'!Z168="","",'WetLitterbags placem_collection'!Z168)</f>
        <v>4.7</v>
      </c>
      <c r="AG167" s="243" t="str">
        <f>IF('WetLitterbags placem_collection'!AA168="","",'WetLitterbags placem_collection'!AA168)</f>
        <v>M</v>
      </c>
      <c r="AH167">
        <f>IF('WetLitterbags placem_collection'!AC168="","",'WetLitterbags placem_collection'!AC168)</f>
        <v>0</v>
      </c>
      <c r="AI167" s="237">
        <f>AVERAGE('WetLitterbags placem_collection'!S168,'WetLitterbags placem_collection'!U168)</f>
        <v>11</v>
      </c>
      <c r="AJ167">
        <f>AVERAGE('WetLitterbags placem_collection'!R168,'WetLitterbags placem_collection'!T168)</f>
        <v>31.5</v>
      </c>
      <c r="AK167">
        <f>INDEX(Coordinates!$B$2:$B$197,MATCH(H167,Coordinates!$J$2:$J$197,0))</f>
        <v>-2.2725490289999999</v>
      </c>
      <c r="AL167">
        <f>INDEX(Coordinates!$C$2:$C$197,MATCH(H167,Coordinates!$J$2:$J$197,0))</f>
        <v>34.022886020000001</v>
      </c>
      <c r="AM167" t="str">
        <f>IF(ISNUMBER(SEARCH("C", 'WetLitterbags placem_collection'!$V168)),"YES","NO")</f>
        <v>NO</v>
      </c>
      <c r="AN167" t="str">
        <f>IF(ISNUMBER(SEARCH("H", 'WetLitterbags placem_collection'!$V168)),"YES","NO")</f>
        <v>NO</v>
      </c>
      <c r="AO167" t="str">
        <f>IF(ISNUMBER(SEARCH("R", 'WetLitterbags placem_collection'!$V168)),"YES","NO")</f>
        <v>NO</v>
      </c>
    </row>
    <row r="168" spans="1:41" ht="15" customHeight="1">
      <c r="A168" s="255" t="s">
        <v>2454</v>
      </c>
      <c r="B168" s="260">
        <f>'Dry_Litterbag Placem_Collection'!A169</f>
        <v>167</v>
      </c>
      <c r="C168" s="260" t="str">
        <f>'Dry_Litterbag Placem_Collection'!B169</f>
        <v>Handajega</v>
      </c>
      <c r="D168" s="260" t="s">
        <v>2454</v>
      </c>
      <c r="E168" s="260" t="s">
        <v>2645</v>
      </c>
      <c r="F168" s="260">
        <v>1</v>
      </c>
      <c r="G168" s="260" t="s">
        <v>3825</v>
      </c>
      <c r="H168" s="261" t="str">
        <f>'Dry_Litterbag Placem_Collection'!C169</f>
        <v>Wet_W1_T7</v>
      </c>
      <c r="I168" s="262" t="s">
        <v>2525</v>
      </c>
      <c r="J168" s="263" t="s">
        <v>1147</v>
      </c>
      <c r="K168" s="221" t="str">
        <f>'WetLitterbags placem_collection'!K169</f>
        <v>G429</v>
      </c>
      <c r="L168" s="223">
        <f>IFERROR(INDEX('Green_rooibos initial weight'!$C$5:$C$2000,MATCH(K168, 'Green_rooibos initial weight'!$A$5:$A$2000,0)),"")</f>
        <v>1.9319999999999999</v>
      </c>
      <c r="M168" s="223">
        <f>IFERROR(L168-(TBIcalc!$H$9+TBIcalc!$H$10),"")</f>
        <v>1.6821999999999999</v>
      </c>
      <c r="N168" s="385">
        <f>AVERAGE(Ashed_controlls!$K$2:$K$11)</f>
        <v>5.5147656768714146</v>
      </c>
      <c r="O168" s="223">
        <f t="shared" si="11"/>
        <v>1.589430611783669</v>
      </c>
      <c r="P168" s="223">
        <f>IFERROR(INDEX('Both teabags AfterWet'!$C$3:$C$840,MATCH(K168,'Both teabags AfterWet'!$A$3:$A$840,0)),"")</f>
        <v>0.64529999999999998</v>
      </c>
      <c r="Q168" s="223">
        <f>IFERROR(IF(P168&gt;0,P168-(TBIcalc!$H$9),""),"")</f>
        <v>0.49469999999999997</v>
      </c>
      <c r="R168" s="223">
        <f>IFERROR(INDEX('Ashed teabags wet'!$K$2:$K$2000,MATCH(K168,'Ashed teabags wet'!$A$2:$A$2000,0)),"")</f>
        <v>8.4409136047665729</v>
      </c>
      <c r="S168" s="223">
        <f t="shared" si="12"/>
        <v>0.45294280039721974</v>
      </c>
      <c r="T168" s="224">
        <f>'WetLitterbags placem_collection'!E169</f>
        <v>42763</v>
      </c>
      <c r="U168" s="224">
        <f>IF('WetLitterbags placem_collection'!G169="","",'WetLitterbags placem_collection'!G169)</f>
        <v>42814</v>
      </c>
      <c r="V168" s="225">
        <f t="shared" si="10"/>
        <v>51</v>
      </c>
      <c r="W168" s="223">
        <f t="shared" si="13"/>
        <v>1.1875</v>
      </c>
      <c r="X168" s="223">
        <f t="shared" si="14"/>
        <v>1.1364878113864492</v>
      </c>
      <c r="Y168">
        <f>IFERROR(INDEX(Rainfall_Wet!$O$2:$O$217,MATCH(B168, Rainfall_Wet!$A$2:$A$217,0)),"")</f>
        <v>181.383442621</v>
      </c>
      <c r="Z168" s="228">
        <v>21.96</v>
      </c>
      <c r="AA168" s="228">
        <v>4.9199999999999982</v>
      </c>
      <c r="AB168" s="228">
        <v>73.12</v>
      </c>
      <c r="AC168" s="229" t="s">
        <v>2654</v>
      </c>
      <c r="AD168" s="228">
        <v>7.2416954164613099</v>
      </c>
      <c r="AE168">
        <f>IF('WetLitterbags placem_collection'!AB169="","",'WetLitterbags placem_collection'!AB169)</f>
        <v>5.6</v>
      </c>
      <c r="AF168">
        <f>IF('WetLitterbags placem_collection'!Z169="","",'WetLitterbags placem_collection'!Z169)</f>
        <v>4.2</v>
      </c>
      <c r="AG168" s="243" t="str">
        <f>IF('WetLitterbags placem_collection'!AA169="","",'WetLitterbags placem_collection'!AA169)</f>
        <v>M</v>
      </c>
      <c r="AH168">
        <f>IF('WetLitterbags placem_collection'!AC169="","",'WetLitterbags placem_collection'!AC169)</f>
        <v>1</v>
      </c>
      <c r="AI168" s="237">
        <f>AVERAGE('WetLitterbags placem_collection'!S169,'WetLitterbags placem_collection'!U169)</f>
        <v>10.45</v>
      </c>
      <c r="AJ168">
        <f>AVERAGE('WetLitterbags placem_collection'!R169,'WetLitterbags placem_collection'!T169)</f>
        <v>31</v>
      </c>
      <c r="AK168">
        <f>INDEX(Coordinates!$B$2:$B$197,MATCH(H168,Coordinates!$J$2:$J$197,0))</f>
        <v>-2.2729950310000002</v>
      </c>
      <c r="AL168">
        <f>INDEX(Coordinates!$C$2:$C$197,MATCH(H168,Coordinates!$J$2:$J$197,0))</f>
        <v>34.022923990000002</v>
      </c>
      <c r="AM168" t="str">
        <f>IF(ISNUMBER(SEARCH("C", 'WetLitterbags placem_collection'!$V169)),"YES","NO")</f>
        <v>NO</v>
      </c>
      <c r="AN168" t="str">
        <f>IF(ISNUMBER(SEARCH("H", 'WetLitterbags placem_collection'!$V169)),"YES","NO")</f>
        <v>NO</v>
      </c>
      <c r="AO168" t="str">
        <f>IF(ISNUMBER(SEARCH("R", 'WetLitterbags placem_collection'!$V169)),"YES","NO")</f>
        <v>NO</v>
      </c>
    </row>
    <row r="169" spans="1:41" ht="15" customHeight="1">
      <c r="A169" s="255" t="s">
        <v>2454</v>
      </c>
      <c r="B169" s="260">
        <f>'Dry_Litterbag Placem_Collection'!A170</f>
        <v>168</v>
      </c>
      <c r="C169" s="260" t="str">
        <f>'Dry_Litterbag Placem_Collection'!B170</f>
        <v>Handajega</v>
      </c>
      <c r="D169" s="260" t="s">
        <v>2454</v>
      </c>
      <c r="E169" s="260" t="s">
        <v>2645</v>
      </c>
      <c r="F169" s="260">
        <v>1</v>
      </c>
      <c r="G169" s="260" t="s">
        <v>3825</v>
      </c>
      <c r="H169" s="261" t="str">
        <f>'Dry_Litterbag Placem_Collection'!C170</f>
        <v>Wet_W1_T8</v>
      </c>
      <c r="I169" s="262" t="s">
        <v>2525</v>
      </c>
      <c r="J169" s="263" t="s">
        <v>1147</v>
      </c>
      <c r="K169" s="221" t="str">
        <f>'WetLitterbags placem_collection'!K170</f>
        <v>G461</v>
      </c>
      <c r="L169" s="223">
        <f>IFERROR(INDEX('Green_rooibos initial weight'!$C$5:$C$2000,MATCH(K169, 'Green_rooibos initial weight'!$A$5:$A$2000,0)),"")</f>
        <v>2.1030000000000002</v>
      </c>
      <c r="M169" s="223">
        <f>IFERROR(L169-(TBIcalc!$H$9+TBIcalc!$H$10),"")</f>
        <v>1.8532000000000002</v>
      </c>
      <c r="N169" s="385">
        <f>AVERAGE(Ashed_controlls!$K$2:$K$11)</f>
        <v>5.5147656768714146</v>
      </c>
      <c r="O169" s="223">
        <f t="shared" si="11"/>
        <v>1.7510003624762192</v>
      </c>
      <c r="P169" s="223">
        <f>IFERROR(INDEX('Both teabags AfterWet'!$C$3:$C$840,MATCH(K169,'Both teabags AfterWet'!$A$3:$A$840,0)),"")</f>
        <v>0.79400000000000004</v>
      </c>
      <c r="Q169" s="223">
        <f>IFERROR(IF(P169&gt;0,P169-(TBIcalc!$H$9),""),"")</f>
        <v>0.64339999999999997</v>
      </c>
      <c r="R169" s="223">
        <f>IFERROR(INDEX('Ashed teabags wet'!$K$2:$K$2000,MATCH(K169,'Ashed teabags wet'!$A$2:$A$2000,0)),"")</f>
        <v>8.9463220675947444</v>
      </c>
      <c r="S169" s="223">
        <f t="shared" si="12"/>
        <v>0.58583936381709534</v>
      </c>
      <c r="T169" s="224">
        <f>'WetLitterbags placem_collection'!E170</f>
        <v>42763</v>
      </c>
      <c r="U169" s="224">
        <f>IF('WetLitterbags placem_collection'!G170="","",'WetLitterbags placem_collection'!G170)</f>
        <v>42814</v>
      </c>
      <c r="V169" s="225">
        <f t="shared" si="10"/>
        <v>51</v>
      </c>
      <c r="W169" s="223">
        <f t="shared" si="13"/>
        <v>1.2098000000000002</v>
      </c>
      <c r="X169" s="223">
        <f t="shared" si="14"/>
        <v>1.1651609986591238</v>
      </c>
      <c r="Y169">
        <f>IFERROR(INDEX(Rainfall_Wet!$O$2:$O$217,MATCH(B169, Rainfall_Wet!$A$2:$A$217,0)),"")</f>
        <v>181.383442621</v>
      </c>
      <c r="Z169" s="228">
        <v>21.96</v>
      </c>
      <c r="AA169" s="228">
        <v>4.9199999999999982</v>
      </c>
      <c r="AB169" s="228">
        <v>73.12</v>
      </c>
      <c r="AC169" s="229" t="s">
        <v>2654</v>
      </c>
      <c r="AD169" s="228">
        <v>8.2416954164613099</v>
      </c>
      <c r="AE169">
        <f>IF('WetLitterbags placem_collection'!AB170="","",'WetLitterbags placem_collection'!AB170)</f>
        <v>2.4</v>
      </c>
      <c r="AF169">
        <f>IF('WetLitterbags placem_collection'!Z170="","",'WetLitterbags placem_collection'!Z170)</f>
        <v>46</v>
      </c>
      <c r="AG169" s="243" t="str">
        <f>IF('WetLitterbags placem_collection'!AA170="","",'WetLitterbags placem_collection'!AA170)</f>
        <v>M</v>
      </c>
      <c r="AH169">
        <f>IF('WetLitterbags placem_collection'!AC170="","",'WetLitterbags placem_collection'!AC170)</f>
        <v>0</v>
      </c>
      <c r="AI169" s="237">
        <f>AVERAGE('WetLitterbags placem_collection'!S170,'WetLitterbags placem_collection'!U170)</f>
        <v>11.25</v>
      </c>
      <c r="AJ169">
        <f>AVERAGE('WetLitterbags placem_collection'!R170,'WetLitterbags placem_collection'!T170)</f>
        <v>33.299999999999997</v>
      </c>
      <c r="AK169">
        <f>INDEX(Coordinates!$B$2:$B$197,MATCH(H169,Coordinates!$J$2:$J$197,0))</f>
        <v>-2.2729129719999999</v>
      </c>
      <c r="AL169">
        <f>INDEX(Coordinates!$C$2:$C$197,MATCH(H169,Coordinates!$J$2:$J$197,0))</f>
        <v>34.023350039999997</v>
      </c>
      <c r="AM169" t="str">
        <f>IF(ISNUMBER(SEARCH("C", 'WetLitterbags placem_collection'!$V170)),"YES","NO")</f>
        <v>YES</v>
      </c>
      <c r="AN169" t="str">
        <f>IF(ISNUMBER(SEARCH("H", 'WetLitterbags placem_collection'!$V170)),"YES","NO")</f>
        <v>YES</v>
      </c>
      <c r="AO169" t="str">
        <f>IF(ISNUMBER(SEARCH("R", 'WetLitterbags placem_collection'!$V170)),"YES","NO")</f>
        <v>NO</v>
      </c>
    </row>
    <row r="170" spans="1:41" ht="15" customHeight="1">
      <c r="A170" s="255" t="s">
        <v>2454</v>
      </c>
      <c r="B170" s="260">
        <f>'Dry_Litterbag Placem_Collection'!A171</f>
        <v>169</v>
      </c>
      <c r="C170" s="260" t="str">
        <f>'Dry_Litterbag Placem_Collection'!B171</f>
        <v>Handajega</v>
      </c>
      <c r="D170" s="260" t="s">
        <v>2454</v>
      </c>
      <c r="E170" s="260" t="s">
        <v>2645</v>
      </c>
      <c r="F170" s="260">
        <v>2</v>
      </c>
      <c r="G170" s="260" t="s">
        <v>3827</v>
      </c>
      <c r="H170" s="261" t="str">
        <f>'Dry_Litterbag Placem_Collection'!C171</f>
        <v>Wet_W2_T1</v>
      </c>
      <c r="I170" s="262" t="s">
        <v>2525</v>
      </c>
      <c r="J170" s="263" t="s">
        <v>1147</v>
      </c>
      <c r="K170" s="221" t="str">
        <f>'WetLitterbags placem_collection'!K171</f>
        <v>G425</v>
      </c>
      <c r="L170" s="223">
        <f>IFERROR(INDEX('Green_rooibos initial weight'!$C$5:$C$2000,MATCH(K170, 'Green_rooibos initial weight'!$A$5:$A$2000,0)),"")</f>
        <v>1.9750000000000001</v>
      </c>
      <c r="M170" s="223">
        <f>IFERROR(L170-(TBIcalc!$H$9+TBIcalc!$H$10),"")</f>
        <v>1.7252000000000001</v>
      </c>
      <c r="N170" s="385">
        <f>AVERAGE(Ashed_controlls!$K$2:$K$11)</f>
        <v>5.5147656768714146</v>
      </c>
      <c r="O170" s="223">
        <f t="shared" si="11"/>
        <v>1.6300592625426145</v>
      </c>
      <c r="P170" s="223">
        <f>IFERROR(INDEX('Both teabags AfterWet'!$C$3:$C$840,MATCH(K170,'Both teabags AfterWet'!$A$3:$A$840,0)),"")</f>
        <v>0.65800000000000003</v>
      </c>
      <c r="Q170" s="223">
        <f>IFERROR(IF(P170&gt;0,P170-(TBIcalc!$H$9),""),"")</f>
        <v>0.50740000000000007</v>
      </c>
      <c r="R170" s="223">
        <f>IFERROR(INDEX('Ashed teabags wet'!$K$2:$K$2000,MATCH(K170,'Ashed teabags wet'!$A$2:$A$2000,0)),"")</f>
        <v>11.404382470119883</v>
      </c>
      <c r="S170" s="223">
        <f t="shared" si="12"/>
        <v>0.44953416334661178</v>
      </c>
      <c r="T170" s="224">
        <f>'WetLitterbags placem_collection'!E171</f>
        <v>42763</v>
      </c>
      <c r="U170" s="224">
        <f>IF('WetLitterbags placem_collection'!G171="","",'WetLitterbags placem_collection'!G171)</f>
        <v>42814</v>
      </c>
      <c r="V170" s="225">
        <f t="shared" si="10"/>
        <v>51</v>
      </c>
      <c r="W170" s="223">
        <f t="shared" si="13"/>
        <v>1.2178</v>
      </c>
      <c r="X170" s="223">
        <f t="shared" si="14"/>
        <v>1.1805250991960028</v>
      </c>
      <c r="Y170">
        <f>IFERROR(INDEX(Rainfall_Wet!$O$2:$O$217,MATCH(B170, Rainfall_Wet!$A$2:$A$217,0)),"")</f>
        <v>181.383442621</v>
      </c>
      <c r="Z170" s="228">
        <v>23.96</v>
      </c>
      <c r="AA170" s="228">
        <v>4.9199999999999982</v>
      </c>
      <c r="AB170" s="228">
        <v>71.12</v>
      </c>
      <c r="AC170" s="229" t="s">
        <v>2654</v>
      </c>
      <c r="AD170" s="228">
        <v>3.30913750616067</v>
      </c>
      <c r="AE170">
        <f>IF('WetLitterbags placem_collection'!AB171="","",'WetLitterbags placem_collection'!AB171)</f>
        <v>8.1999999999999993</v>
      </c>
      <c r="AF170">
        <f>IF('WetLitterbags placem_collection'!Z171="","",'WetLitterbags placem_collection'!Z171)</f>
        <v>11.4</v>
      </c>
      <c r="AG170" s="243" t="str">
        <f>IF('WetLitterbags placem_collection'!AA171="","",'WetLitterbags placem_collection'!AA171)</f>
        <v>O</v>
      </c>
      <c r="AH170">
        <f>IF('WetLitterbags placem_collection'!AC171="","",'WetLitterbags placem_collection'!AC171)</f>
        <v>1</v>
      </c>
      <c r="AI170" s="237">
        <f>AVERAGE('WetLitterbags placem_collection'!S171,'WetLitterbags placem_collection'!U171)</f>
        <v>9.65</v>
      </c>
      <c r="AJ170">
        <f>AVERAGE('WetLitterbags placem_collection'!R171,'WetLitterbags placem_collection'!T171)</f>
        <v>36.200000000000003</v>
      </c>
      <c r="AK170">
        <f>INDEX(Coordinates!$B$2:$B$197,MATCH(H170,Coordinates!$J$2:$J$197,0))</f>
        <v>-2.2784290180000002</v>
      </c>
      <c r="AL170">
        <f>INDEX(Coordinates!$C$2:$C$197,MATCH(H170,Coordinates!$J$2:$J$197,0))</f>
        <v>34.024240030000001</v>
      </c>
      <c r="AM170" t="str">
        <f>IF(ISNUMBER(SEARCH("C", 'WetLitterbags placem_collection'!$V171)),"YES","NO")</f>
        <v>NO</v>
      </c>
      <c r="AN170" t="str">
        <f>IF(ISNUMBER(SEARCH("H", 'WetLitterbags placem_collection'!$V171)),"YES","NO")</f>
        <v>NO</v>
      </c>
      <c r="AO170" t="str">
        <f>IF(ISNUMBER(SEARCH("R", 'WetLitterbags placem_collection'!$V171)),"YES","NO")</f>
        <v>NO</v>
      </c>
    </row>
    <row r="171" spans="1:41" ht="15" customHeight="1">
      <c r="A171" s="255" t="s">
        <v>2454</v>
      </c>
      <c r="B171" s="260">
        <f>'Dry_Litterbag Placem_Collection'!A172</f>
        <v>170</v>
      </c>
      <c r="C171" s="260" t="str">
        <f>'Dry_Litterbag Placem_Collection'!B172</f>
        <v>Handajega</v>
      </c>
      <c r="D171" s="260" t="s">
        <v>2454</v>
      </c>
      <c r="E171" s="260" t="s">
        <v>2645</v>
      </c>
      <c r="F171" s="260">
        <v>2</v>
      </c>
      <c r="G171" s="260" t="s">
        <v>3827</v>
      </c>
      <c r="H171" s="261" t="str">
        <f>'Dry_Litterbag Placem_Collection'!C172</f>
        <v>Wet_W2_T2</v>
      </c>
      <c r="I171" s="262" t="s">
        <v>2525</v>
      </c>
      <c r="J171" s="263" t="s">
        <v>1147</v>
      </c>
      <c r="K171" s="221" t="str">
        <f>'WetLitterbags placem_collection'!K172</f>
        <v>G433</v>
      </c>
      <c r="L171" s="223">
        <f>IFERROR(INDEX('Green_rooibos initial weight'!$C$5:$C$2000,MATCH(K171, 'Green_rooibos initial weight'!$A$5:$A$2000,0)),"")</f>
        <v>2.06</v>
      </c>
      <c r="M171" s="223">
        <f>IFERROR(L171-(TBIcalc!$H$9+TBIcalc!$H$10),"")</f>
        <v>1.8102</v>
      </c>
      <c r="N171" s="385">
        <f>AVERAGE(Ashed_controlls!$K$2:$K$11)</f>
        <v>5.5147656768714146</v>
      </c>
      <c r="O171" s="223">
        <f t="shared" si="11"/>
        <v>1.7103717117172736</v>
      </c>
      <c r="P171" s="223">
        <f>IFERROR(INDEX('Both teabags AfterWet'!$C$3:$C$840,MATCH(K171,'Both teabags AfterWet'!$A$3:$A$840,0)),"")</f>
        <v>0.64800000000000002</v>
      </c>
      <c r="Q171" s="223">
        <f>IFERROR(IF(P171&gt;0,P171-(TBIcalc!$H$9),""),"")</f>
        <v>0.49740000000000001</v>
      </c>
      <c r="R171" s="223">
        <f>IFERROR(INDEX('Ashed teabags wet'!$K$2:$K$2000,MATCH(K171,'Ashed teabags wet'!$A$2:$A$2000,0)),"")</f>
        <v>9.4836146971203146</v>
      </c>
      <c r="S171" s="223">
        <f t="shared" si="12"/>
        <v>0.45022850049652358</v>
      </c>
      <c r="T171" s="224">
        <f>'WetLitterbags placem_collection'!E172</f>
        <v>42763</v>
      </c>
      <c r="U171" s="224">
        <f>IF('WetLitterbags placem_collection'!G172="","",'WetLitterbags placem_collection'!G172)</f>
        <v>42814</v>
      </c>
      <c r="V171" s="225">
        <f t="shared" si="10"/>
        <v>51</v>
      </c>
      <c r="W171" s="223">
        <f t="shared" si="13"/>
        <v>1.3128</v>
      </c>
      <c r="X171" s="223">
        <f t="shared" si="14"/>
        <v>1.26014321122075</v>
      </c>
      <c r="Y171">
        <f>IFERROR(INDEX(Rainfall_Wet!$O$2:$O$217,MATCH(B171, Rainfall_Wet!$A$2:$A$217,0)),"")</f>
        <v>181.383442621</v>
      </c>
      <c r="Z171" s="228">
        <v>23.96</v>
      </c>
      <c r="AA171" s="228">
        <v>4.9199999999999982</v>
      </c>
      <c r="AB171" s="228">
        <v>71.12</v>
      </c>
      <c r="AC171" s="229" t="s">
        <v>2654</v>
      </c>
      <c r="AD171" s="228">
        <v>4.3091375061606696</v>
      </c>
      <c r="AE171">
        <f>IF('WetLitterbags placem_collection'!AB172="","",'WetLitterbags placem_collection'!AB172)</f>
        <v>7.7</v>
      </c>
      <c r="AF171">
        <f>IF('WetLitterbags placem_collection'!Z172="","",'WetLitterbags placem_collection'!Z172)</f>
        <v>15.8</v>
      </c>
      <c r="AG171" s="243" t="str">
        <f>IF('WetLitterbags placem_collection'!AA172="","",'WetLitterbags placem_collection'!AA172)</f>
        <v>O</v>
      </c>
      <c r="AH171">
        <f>IF('WetLitterbags placem_collection'!AC172="","",'WetLitterbags placem_collection'!AC172)</f>
        <v>1</v>
      </c>
      <c r="AI171" s="237">
        <f>AVERAGE('WetLitterbags placem_collection'!S172,'WetLitterbags placem_collection'!U172)</f>
        <v>8.1</v>
      </c>
      <c r="AJ171">
        <f>AVERAGE('WetLitterbags placem_collection'!R172,'WetLitterbags placem_collection'!T172)</f>
        <v>33.599999999999994</v>
      </c>
      <c r="AK171">
        <f>INDEX(Coordinates!$B$2:$B$197,MATCH(H171,Coordinates!$J$2:$J$197,0))</f>
        <v>-2.2784629650000001</v>
      </c>
      <c r="AL171">
        <f>INDEX(Coordinates!$C$2:$C$197,MATCH(H171,Coordinates!$J$2:$J$197,0))</f>
        <v>34.024177999999999</v>
      </c>
      <c r="AM171" t="str">
        <f>IF(ISNUMBER(SEARCH("C", 'WetLitterbags placem_collection'!$V172)),"YES","NO")</f>
        <v>NO</v>
      </c>
      <c r="AN171" t="str">
        <f>IF(ISNUMBER(SEARCH("H", 'WetLitterbags placem_collection'!$V172)),"YES","NO")</f>
        <v>NO</v>
      </c>
      <c r="AO171" t="str">
        <f>IF(ISNUMBER(SEARCH("R", 'WetLitterbags placem_collection'!$V172)),"YES","NO")</f>
        <v>NO</v>
      </c>
    </row>
    <row r="172" spans="1:41" ht="15" customHeight="1">
      <c r="A172" s="255" t="s">
        <v>2454</v>
      </c>
      <c r="B172" s="260">
        <f>'Dry_Litterbag Placem_Collection'!A173</f>
        <v>171</v>
      </c>
      <c r="C172" s="260" t="str">
        <f>'Dry_Litterbag Placem_Collection'!B173</f>
        <v>Handajega</v>
      </c>
      <c r="D172" s="260" t="s">
        <v>2454</v>
      </c>
      <c r="E172" s="260" t="s">
        <v>2645</v>
      </c>
      <c r="F172" s="260">
        <v>2</v>
      </c>
      <c r="G172" s="260" t="s">
        <v>3827</v>
      </c>
      <c r="H172" s="261" t="str">
        <f>'Dry_Litterbag Placem_Collection'!C173</f>
        <v>Wet_W2_T3</v>
      </c>
      <c r="I172" s="262" t="s">
        <v>2525</v>
      </c>
      <c r="J172" s="263" t="s">
        <v>1147</v>
      </c>
      <c r="K172" s="221" t="str">
        <f>'WetLitterbags placem_collection'!K173</f>
        <v>G656</v>
      </c>
      <c r="L172" s="223">
        <f>IFERROR(INDEX('Green_rooibos initial weight'!$C$5:$C$2000,MATCH(K172, 'Green_rooibos initial weight'!$A$5:$A$2000,0)),"")</f>
        <v>2.1320000000000001</v>
      </c>
      <c r="M172" s="223">
        <f>IFERROR(L172-(TBIcalc!$H$9+TBIcalc!$H$10),"")</f>
        <v>1.8822000000000001</v>
      </c>
      <c r="N172" s="385">
        <f>AVERAGE(Ashed_controlls!$K$2:$K$11)</f>
        <v>5.5147656768714146</v>
      </c>
      <c r="O172" s="223">
        <f t="shared" si="11"/>
        <v>1.7784010804299264</v>
      </c>
      <c r="P172" s="223">
        <f>IFERROR(INDEX('Both teabags AfterWet'!$C$3:$C$840,MATCH(K172,'Both teabags AfterWet'!$A$3:$A$840,0)),"")</f>
        <v>0.63100000000000001</v>
      </c>
      <c r="Q172" s="223">
        <f>IFERROR(IF(P172&gt;0,P172-(TBIcalc!$H$9),""),"")</f>
        <v>0.48039999999999999</v>
      </c>
      <c r="R172" s="223">
        <f>IFERROR(INDEX('Ashed teabags wet'!$K$2:$K$2000,MATCH(K172,'Ashed teabags wet'!$A$2:$A$2000,0)),"")</f>
        <v>12.283308568598626</v>
      </c>
      <c r="S172" s="223">
        <f t="shared" si="12"/>
        <v>0.42139098563645216</v>
      </c>
      <c r="T172" s="224">
        <f>'WetLitterbags placem_collection'!E173</f>
        <v>42763</v>
      </c>
      <c r="U172" s="224">
        <f>IF('WetLitterbags placem_collection'!G173="","",'WetLitterbags placem_collection'!G173)</f>
        <v>42814</v>
      </c>
      <c r="V172" s="225">
        <f t="shared" si="10"/>
        <v>51</v>
      </c>
      <c r="W172" s="223">
        <f t="shared" si="13"/>
        <v>1.4018000000000002</v>
      </c>
      <c r="X172" s="223">
        <f t="shared" si="14"/>
        <v>1.3570100947934742</v>
      </c>
      <c r="Y172">
        <f>IFERROR(INDEX(Rainfall_Wet!$O$2:$O$217,MATCH(B172, Rainfall_Wet!$A$2:$A$217,0)),"")</f>
        <v>181.383442621</v>
      </c>
      <c r="Z172" s="228">
        <v>23.96</v>
      </c>
      <c r="AA172" s="228">
        <v>4.9199999999999982</v>
      </c>
      <c r="AB172" s="228">
        <v>71.12</v>
      </c>
      <c r="AC172" s="229" t="s">
        <v>2654</v>
      </c>
      <c r="AD172" s="228">
        <v>5.3091375061606696</v>
      </c>
      <c r="AE172">
        <f>IF('WetLitterbags placem_collection'!AB173="","",'WetLitterbags placem_collection'!AB173)</f>
        <v>13.4</v>
      </c>
      <c r="AF172">
        <f>IF('WetLitterbags placem_collection'!Z173="","",'WetLitterbags placem_collection'!Z173)</f>
        <v>7.6</v>
      </c>
      <c r="AG172" s="243" t="str">
        <f>IF('WetLitterbags placem_collection'!AA173="","",'WetLitterbags placem_collection'!AA173)</f>
        <v>O</v>
      </c>
      <c r="AH172">
        <f>IF('WetLitterbags placem_collection'!AC173="","",'WetLitterbags placem_collection'!AC173)</f>
        <v>1</v>
      </c>
      <c r="AI172" s="237">
        <f>AVERAGE('WetLitterbags placem_collection'!S173,'WetLitterbags placem_collection'!U173)</f>
        <v>10.5</v>
      </c>
      <c r="AJ172">
        <f>AVERAGE('WetLitterbags placem_collection'!R173,'WetLitterbags placem_collection'!T173)</f>
        <v>34.15</v>
      </c>
      <c r="AK172">
        <f>INDEX(Coordinates!$B$2:$B$197,MATCH(H172,Coordinates!$J$2:$J$197,0))</f>
        <v>-2.2785389889999998</v>
      </c>
      <c r="AL172">
        <f>INDEX(Coordinates!$C$2:$C$197,MATCH(H172,Coordinates!$J$2:$J$197,0))</f>
        <v>34.024371039999998</v>
      </c>
      <c r="AM172" t="str">
        <f>IF(ISNUMBER(SEARCH("C", 'WetLitterbags placem_collection'!$V173)),"YES","NO")</f>
        <v>NO</v>
      </c>
      <c r="AN172" t="str">
        <f>IF(ISNUMBER(SEARCH("H", 'WetLitterbags placem_collection'!$V173)),"YES","NO")</f>
        <v>NO</v>
      </c>
      <c r="AO172" t="str">
        <f>IF(ISNUMBER(SEARCH("R", 'WetLitterbags placem_collection'!$V173)),"YES","NO")</f>
        <v>YES</v>
      </c>
    </row>
    <row r="173" spans="1:41" ht="15" customHeight="1">
      <c r="A173" s="255" t="s">
        <v>2454</v>
      </c>
      <c r="B173" s="260">
        <f>'Dry_Litterbag Placem_Collection'!A174</f>
        <v>172</v>
      </c>
      <c r="C173" s="260" t="str">
        <f>'Dry_Litterbag Placem_Collection'!B174</f>
        <v>Handajega</v>
      </c>
      <c r="D173" s="260" t="s">
        <v>2454</v>
      </c>
      <c r="E173" s="260" t="s">
        <v>2645</v>
      </c>
      <c r="F173" s="260">
        <v>2</v>
      </c>
      <c r="G173" s="260" t="s">
        <v>3827</v>
      </c>
      <c r="H173" s="261" t="str">
        <f>'Dry_Litterbag Placem_Collection'!C174</f>
        <v>Wet_W2_T4</v>
      </c>
      <c r="I173" s="262" t="s">
        <v>2525</v>
      </c>
      <c r="J173" s="263" t="s">
        <v>1147</v>
      </c>
      <c r="K173" s="221" t="str">
        <f>'WetLitterbags placem_collection'!K174</f>
        <v>G281</v>
      </c>
      <c r="L173" s="223">
        <f>IFERROR(INDEX('Green_rooibos initial weight'!$C$5:$C$2000,MATCH(K173, 'Green_rooibos initial weight'!$A$5:$A$2000,0)),"")</f>
        <v>2.0419999999999998</v>
      </c>
      <c r="M173" s="223">
        <f>IFERROR(L173-(TBIcalc!$H$9+TBIcalc!$H$10),"")</f>
        <v>1.7921999999999998</v>
      </c>
      <c r="N173" s="385">
        <f>AVERAGE(Ashed_controlls!$K$2:$K$11)</f>
        <v>5.5147656768714146</v>
      </c>
      <c r="O173" s="223">
        <f t="shared" si="11"/>
        <v>1.6933643695391103</v>
      </c>
      <c r="P173" s="223">
        <f>IFERROR(INDEX('Both teabags AfterWet'!$C$3:$C$840,MATCH(K173,'Both teabags AfterWet'!$A$3:$A$840,0)),"")</f>
        <v>0.69520000000000004</v>
      </c>
      <c r="Q173" s="223">
        <f>IFERROR(IF(P173&gt;0,P173-(TBIcalc!$H$9),""),"")</f>
        <v>0.54459999999999997</v>
      </c>
      <c r="R173" s="223">
        <f>IFERROR(INDEX('Ashed teabags wet'!$K$2:$K$2000,MATCH(K173,'Ashed teabags wet'!$A$2:$A$2000,0)),"")</f>
        <v>8.6181277860327441</v>
      </c>
      <c r="S173" s="223">
        <f t="shared" si="12"/>
        <v>0.49766567607726564</v>
      </c>
      <c r="T173" s="224">
        <f>'WetLitterbags placem_collection'!E174</f>
        <v>42763</v>
      </c>
      <c r="U173" s="224">
        <f>IF('WetLitterbags placem_collection'!G174="","",'WetLitterbags placem_collection'!G174)</f>
        <v>42814</v>
      </c>
      <c r="V173" s="225">
        <f t="shared" si="10"/>
        <v>51</v>
      </c>
      <c r="W173" s="223">
        <f t="shared" si="13"/>
        <v>1.2475999999999998</v>
      </c>
      <c r="X173" s="223">
        <f t="shared" si="14"/>
        <v>1.1956986934618445</v>
      </c>
      <c r="Y173">
        <f>IFERROR(INDEX(Rainfall_Wet!$O$2:$O$217,MATCH(B173, Rainfall_Wet!$A$2:$A$217,0)),"")</f>
        <v>181.383442621</v>
      </c>
      <c r="Z173" s="228">
        <v>23.96</v>
      </c>
      <c r="AA173" s="228">
        <v>4.9199999999999982</v>
      </c>
      <c r="AB173" s="228">
        <v>71.12</v>
      </c>
      <c r="AC173" s="229" t="s">
        <v>2654</v>
      </c>
      <c r="AD173" s="228">
        <v>6.3091375061606696</v>
      </c>
      <c r="AE173">
        <f>IF('WetLitterbags placem_collection'!AB174="","",'WetLitterbags placem_collection'!AB174)</f>
        <v>3.3</v>
      </c>
      <c r="AF173">
        <f>IF('WetLitterbags placem_collection'!Z174="","",'WetLitterbags placem_collection'!Z174)</f>
        <v>28.4</v>
      </c>
      <c r="AG173" s="243" t="str">
        <f>IF('WetLitterbags placem_collection'!AA174="","",'WetLitterbags placem_collection'!AA174)</f>
        <v>G</v>
      </c>
      <c r="AH173">
        <f>IF('WetLitterbags placem_collection'!AC174="","",'WetLitterbags placem_collection'!AC174)</f>
        <v>1</v>
      </c>
      <c r="AI173" s="237">
        <f>AVERAGE('WetLitterbags placem_collection'!S174,'WetLitterbags placem_collection'!U174)</f>
        <v>9.6499999999999986</v>
      </c>
      <c r="AJ173">
        <f>AVERAGE('WetLitterbags placem_collection'!R174,'WetLitterbags placem_collection'!T174)</f>
        <v>35.1</v>
      </c>
      <c r="AK173">
        <f>INDEX(Coordinates!$B$2:$B$197,MATCH(H173,Coordinates!$J$2:$J$197,0))</f>
        <v>-2.2781410160000002</v>
      </c>
      <c r="AL173">
        <f>INDEX(Coordinates!$C$2:$C$197,MATCH(H173,Coordinates!$J$2:$J$197,0))</f>
        <v>34.024136009999999</v>
      </c>
      <c r="AM173" t="str">
        <f>IF(ISNUMBER(SEARCH("C", 'WetLitterbags placem_collection'!$V174)),"YES","NO")</f>
        <v>NO</v>
      </c>
      <c r="AN173" t="str">
        <f>IF(ISNUMBER(SEARCH("H", 'WetLitterbags placem_collection'!$V174)),"YES","NO")</f>
        <v>NO</v>
      </c>
      <c r="AO173" t="str">
        <f>IF(ISNUMBER(SEARCH("R", 'WetLitterbags placem_collection'!$V174)),"YES","NO")</f>
        <v>YES</v>
      </c>
    </row>
    <row r="174" spans="1:41" ht="15" customHeight="1">
      <c r="A174" s="255" t="s">
        <v>2454</v>
      </c>
      <c r="B174" s="260">
        <f>'Dry_Litterbag Placem_Collection'!A175</f>
        <v>173</v>
      </c>
      <c r="C174" s="260" t="str">
        <f>'Dry_Litterbag Placem_Collection'!B175</f>
        <v>Handajega</v>
      </c>
      <c r="D174" s="260" t="s">
        <v>2454</v>
      </c>
      <c r="E174" s="260" t="s">
        <v>2645</v>
      </c>
      <c r="F174" s="260">
        <v>2</v>
      </c>
      <c r="G174" s="260" t="s">
        <v>3827</v>
      </c>
      <c r="H174" s="261" t="str">
        <f>'Dry_Litterbag Placem_Collection'!C175</f>
        <v>Wet_W2_T5</v>
      </c>
      <c r="I174" s="262" t="s">
        <v>2525</v>
      </c>
      <c r="J174" s="263" t="s">
        <v>1147</v>
      </c>
      <c r="K174" s="221" t="str">
        <f>'WetLitterbags placem_collection'!K175</f>
        <v>G216</v>
      </c>
      <c r="L174" s="223">
        <f>IFERROR(INDEX('Green_rooibos initial weight'!$C$5:$C$2000,MATCH(K174, 'Green_rooibos initial weight'!$A$5:$A$2000,0)),"")</f>
        <v>2.1150000000000002</v>
      </c>
      <c r="M174" s="223">
        <f>IFERROR(L174-(TBIcalc!$H$9+TBIcalc!$H$10),"")</f>
        <v>1.8652000000000002</v>
      </c>
      <c r="N174" s="385">
        <f>AVERAGE(Ashed_controlls!$K$2:$K$11)</f>
        <v>5.5147656768714146</v>
      </c>
      <c r="O174" s="223">
        <f t="shared" si="11"/>
        <v>1.7623385905949946</v>
      </c>
      <c r="P174" s="223">
        <f>IFERROR(INDEX('Both teabags AfterWet'!$C$3:$C$840,MATCH(K174,'Both teabags AfterWet'!$A$3:$A$840,0)),"")</f>
        <v>0.57999999999999996</v>
      </c>
      <c r="Q174" s="223">
        <f>IFERROR(IF(P174&gt;0,P174-(TBIcalc!$H$9),""),"")</f>
        <v>0.42939999999999995</v>
      </c>
      <c r="R174" s="223">
        <f>IFERROR(INDEX('Ashed teabags wet'!$K$2:$K$2000,MATCH(K174,'Ashed teabags wet'!$A$2:$A$2000,0)),"")</f>
        <v>9.4980314960627936</v>
      </c>
      <c r="S174" s="223">
        <f t="shared" si="12"/>
        <v>0.38861545275590631</v>
      </c>
      <c r="T174" s="224">
        <f>'WetLitterbags placem_collection'!E175</f>
        <v>42763</v>
      </c>
      <c r="U174" s="224">
        <f>IF('WetLitterbags placem_collection'!G175="","",'WetLitterbags placem_collection'!G175)</f>
        <v>42814</v>
      </c>
      <c r="V174" s="225">
        <f t="shared" si="10"/>
        <v>51</v>
      </c>
      <c r="W174" s="223">
        <f t="shared" si="13"/>
        <v>1.4358000000000002</v>
      </c>
      <c r="X174" s="223">
        <f t="shared" si="14"/>
        <v>1.3737231378390884</v>
      </c>
      <c r="Y174">
        <f>IFERROR(INDEX(Rainfall_Wet!$O$2:$O$217,MATCH(B174, Rainfall_Wet!$A$2:$A$217,0)),"")</f>
        <v>181.383442621</v>
      </c>
      <c r="Z174" s="228">
        <v>23.96</v>
      </c>
      <c r="AA174" s="228">
        <v>4.9199999999999982</v>
      </c>
      <c r="AB174" s="228">
        <v>71.12</v>
      </c>
      <c r="AC174" s="229" t="s">
        <v>2654</v>
      </c>
      <c r="AD174" s="228">
        <v>7.3091375061606696</v>
      </c>
      <c r="AE174">
        <f>IF('WetLitterbags placem_collection'!AB175="","",'WetLitterbags placem_collection'!AB175)</f>
        <v>15.4</v>
      </c>
      <c r="AF174">
        <f>IF('WetLitterbags placem_collection'!Z175="","",'WetLitterbags placem_collection'!Z175)</f>
        <v>12.4</v>
      </c>
      <c r="AG174" s="243" t="str">
        <f>IF('WetLitterbags placem_collection'!AA175="","",'WetLitterbags placem_collection'!AA175)</f>
        <v>O</v>
      </c>
      <c r="AH174">
        <f>IF('WetLitterbags placem_collection'!AC175="","",'WetLitterbags placem_collection'!AC175)</f>
        <v>0</v>
      </c>
      <c r="AI174" s="237">
        <f>AVERAGE('WetLitterbags placem_collection'!S175,'WetLitterbags placem_collection'!U175)</f>
        <v>10.450000000000001</v>
      </c>
      <c r="AJ174">
        <f>AVERAGE('WetLitterbags placem_collection'!R175,'WetLitterbags placem_collection'!T175)</f>
        <v>36.349999999999994</v>
      </c>
      <c r="AK174">
        <f>INDEX(Coordinates!$B$2:$B$197,MATCH(H174,Coordinates!$J$2:$J$197,0))</f>
        <v>-2.27856799</v>
      </c>
      <c r="AL174">
        <f>INDEX(Coordinates!$C$2:$C$197,MATCH(H174,Coordinates!$J$2:$J$197,0))</f>
        <v>34.023969970000003</v>
      </c>
      <c r="AM174" t="str">
        <f>IF(ISNUMBER(SEARCH("C", 'WetLitterbags placem_collection'!$V175)),"YES","NO")</f>
        <v>NO</v>
      </c>
      <c r="AN174" t="str">
        <f>IF(ISNUMBER(SEARCH("H", 'WetLitterbags placem_collection'!$V175)),"YES","NO")</f>
        <v>NO</v>
      </c>
      <c r="AO174" t="str">
        <f>IF(ISNUMBER(SEARCH("R", 'WetLitterbags placem_collection'!$V175)),"YES","NO")</f>
        <v>YES</v>
      </c>
    </row>
    <row r="175" spans="1:41" ht="15" customHeight="1">
      <c r="A175" s="255" t="s">
        <v>2454</v>
      </c>
      <c r="B175" s="260">
        <f>'Dry_Litterbag Placem_Collection'!A176</f>
        <v>174</v>
      </c>
      <c r="C175" s="260" t="str">
        <f>'Dry_Litterbag Placem_Collection'!B176</f>
        <v>Handajega</v>
      </c>
      <c r="D175" s="260" t="s">
        <v>2454</v>
      </c>
      <c r="E175" s="260" t="s">
        <v>2645</v>
      </c>
      <c r="F175" s="260">
        <v>2</v>
      </c>
      <c r="G175" s="260" t="s">
        <v>3827</v>
      </c>
      <c r="H175" s="261" t="str">
        <f>'Dry_Litterbag Placem_Collection'!C176</f>
        <v>Wet_W2_T6</v>
      </c>
      <c r="I175" s="262" t="s">
        <v>2525</v>
      </c>
      <c r="J175" s="263" t="s">
        <v>1147</v>
      </c>
      <c r="K175" s="221" t="str">
        <f>'WetLitterbags placem_collection'!K176</f>
        <v>G655</v>
      </c>
      <c r="L175" s="223">
        <f>IFERROR(INDEX('Green_rooibos initial weight'!$C$5:$C$2000,MATCH(K175, 'Green_rooibos initial weight'!$A$5:$A$2000,0)),"")</f>
        <v>2.0009999999999999</v>
      </c>
      <c r="M175" s="223">
        <f>IFERROR(L175-(TBIcalc!$H$9+TBIcalc!$H$10),"")</f>
        <v>1.7511999999999999</v>
      </c>
      <c r="N175" s="385">
        <f>AVERAGE(Ashed_controlls!$K$2:$K$11)</f>
        <v>5.5147656768714146</v>
      </c>
      <c r="O175" s="223">
        <f t="shared" si="11"/>
        <v>1.6546254234666278</v>
      </c>
      <c r="P175" s="223">
        <f>IFERROR(INDEX('Both teabags AfterWet'!$C$3:$C$840,MATCH(K175,'Both teabags AfterWet'!$A$3:$A$840,0)),"")</f>
        <v>0.68300000000000005</v>
      </c>
      <c r="Q175" s="223">
        <f>IFERROR(IF(P175&gt;0,P175-(TBIcalc!$H$9),""),"")</f>
        <v>0.53239999999999998</v>
      </c>
      <c r="R175" s="223">
        <f>IFERROR(INDEX('Ashed teabags wet'!$K$2:$K$2000,MATCH(K175,'Ashed teabags wet'!$A$2:$A$2000,0)),"")</f>
        <v>7.6961026147010658</v>
      </c>
      <c r="S175" s="223">
        <f t="shared" si="12"/>
        <v>0.49142594967933151</v>
      </c>
      <c r="T175" s="224">
        <f>'WetLitterbags placem_collection'!E176</f>
        <v>42763</v>
      </c>
      <c r="U175" s="224">
        <f>IF('WetLitterbags placem_collection'!G176="","",'WetLitterbags placem_collection'!G176)</f>
        <v>42814</v>
      </c>
      <c r="V175" s="225">
        <f t="shared" si="10"/>
        <v>51</v>
      </c>
      <c r="W175" s="223">
        <f t="shared" si="13"/>
        <v>1.2187999999999999</v>
      </c>
      <c r="X175" s="223">
        <f t="shared" si="14"/>
        <v>1.1631994737872962</v>
      </c>
      <c r="Y175">
        <f>IFERROR(INDEX(Rainfall_Wet!$O$2:$O$217,MATCH(B175, Rainfall_Wet!$A$2:$A$217,0)),"")</f>
        <v>181.383442621</v>
      </c>
      <c r="Z175" s="228">
        <v>23.96</v>
      </c>
      <c r="AA175" s="228">
        <v>4.9199999999999982</v>
      </c>
      <c r="AB175" s="228">
        <v>71.12</v>
      </c>
      <c r="AC175" s="229" t="s">
        <v>2654</v>
      </c>
      <c r="AD175" s="228">
        <v>8.3091375061606705</v>
      </c>
      <c r="AE175">
        <f>IF('WetLitterbags placem_collection'!AB176="","",'WetLitterbags placem_collection'!AB176)</f>
        <v>7.4</v>
      </c>
      <c r="AF175">
        <f>IF('WetLitterbags placem_collection'!Z176="","",'WetLitterbags placem_collection'!Z176)</f>
        <v>7.4</v>
      </c>
      <c r="AG175" s="243" t="str">
        <f>IF('WetLitterbags placem_collection'!AA176="","",'WetLitterbags placem_collection'!AA176)</f>
        <v>O</v>
      </c>
      <c r="AH175">
        <f>IF('WetLitterbags placem_collection'!AC176="","",'WetLitterbags placem_collection'!AC176)</f>
        <v>0</v>
      </c>
      <c r="AI175" s="237">
        <f>AVERAGE('WetLitterbags placem_collection'!S176,'WetLitterbags placem_collection'!U176)</f>
        <v>17.75</v>
      </c>
      <c r="AJ175">
        <f>AVERAGE('WetLitterbags placem_collection'!R176,'WetLitterbags placem_collection'!T176)</f>
        <v>34.85</v>
      </c>
      <c r="AK175">
        <f>INDEX(Coordinates!$B$2:$B$197,MATCH(H175,Coordinates!$J$2:$J$197,0))</f>
        <v>-2.2786809780000001</v>
      </c>
      <c r="AL175">
        <f>INDEX(Coordinates!$C$2:$C$197,MATCH(H175,Coordinates!$J$2:$J$197,0))</f>
        <v>34.02434899</v>
      </c>
      <c r="AM175" t="str">
        <f>IF(ISNUMBER(SEARCH("C", 'WetLitterbags placem_collection'!$V176)),"YES","NO")</f>
        <v>NO</v>
      </c>
      <c r="AN175" t="str">
        <f>IF(ISNUMBER(SEARCH("H", 'WetLitterbags placem_collection'!$V176)),"YES","NO")</f>
        <v>NO</v>
      </c>
      <c r="AO175" t="str">
        <f>IF(ISNUMBER(SEARCH("R", 'WetLitterbags placem_collection'!$V176)),"YES","NO")</f>
        <v>YES</v>
      </c>
    </row>
    <row r="176" spans="1:41" ht="15" customHeight="1">
      <c r="A176" s="255" t="s">
        <v>2454</v>
      </c>
      <c r="B176" s="260">
        <f>'Dry_Litterbag Placem_Collection'!A177</f>
        <v>175</v>
      </c>
      <c r="C176" s="260" t="str">
        <f>'Dry_Litterbag Placem_Collection'!B177</f>
        <v>Handajega</v>
      </c>
      <c r="D176" s="260" t="s">
        <v>2454</v>
      </c>
      <c r="E176" s="260" t="s">
        <v>2645</v>
      </c>
      <c r="F176" s="260">
        <v>2</v>
      </c>
      <c r="G176" s="260" t="s">
        <v>3827</v>
      </c>
      <c r="H176" s="261" t="str">
        <f>'Dry_Litterbag Placem_Collection'!C177</f>
        <v>Wet_W2_T7</v>
      </c>
      <c r="I176" s="262" t="s">
        <v>2525</v>
      </c>
      <c r="J176" s="263" t="s">
        <v>1147</v>
      </c>
      <c r="K176" s="221" t="str">
        <f>'WetLitterbags placem_collection'!K177</f>
        <v>G457</v>
      </c>
      <c r="L176" s="223">
        <f>IFERROR(INDEX('Green_rooibos initial weight'!$C$5:$C$2000,MATCH(K176, 'Green_rooibos initial weight'!$A$5:$A$2000,0)),"")</f>
        <v>2.1579999999999999</v>
      </c>
      <c r="M176" s="223">
        <f>IFERROR(L176-(TBIcalc!$H$9+TBIcalc!$H$10),"")</f>
        <v>1.9081999999999999</v>
      </c>
      <c r="N176" s="385">
        <f>AVERAGE(Ashed_controlls!$K$2:$K$11)</f>
        <v>5.5147656768714146</v>
      </c>
      <c r="O176" s="223">
        <f t="shared" si="11"/>
        <v>1.8029672413539395</v>
      </c>
      <c r="P176" s="223">
        <f>IFERROR(INDEX('Both teabags AfterWet'!$C$3:$C$840,MATCH(K176,'Both teabags AfterWet'!$A$3:$A$840,0)),"")</f>
        <v>0.68200000000000005</v>
      </c>
      <c r="Q176" s="223">
        <f>IFERROR(IF(P176&gt;0,P176-(TBIcalc!$H$9),""),"")</f>
        <v>0.53140000000000009</v>
      </c>
      <c r="R176" s="223">
        <f>IFERROR(INDEX('Ashed teabags wet'!$K$2:$K$2000,MATCH(K176,'Ashed teabags wet'!$A$2:$A$2000,0)),"")</f>
        <v>9.6918489065609759</v>
      </c>
      <c r="S176" s="223">
        <f t="shared" si="12"/>
        <v>0.47989751491053506</v>
      </c>
      <c r="T176" s="224">
        <f>'WetLitterbags placem_collection'!E177</f>
        <v>42763</v>
      </c>
      <c r="U176" s="224">
        <f>IF('WetLitterbags placem_collection'!G177="","",'WetLitterbags placem_collection'!G177)</f>
        <v>42814</v>
      </c>
      <c r="V176" s="225">
        <f t="shared" si="10"/>
        <v>51</v>
      </c>
      <c r="W176" s="223">
        <f t="shared" si="13"/>
        <v>1.3767999999999998</v>
      </c>
      <c r="X176" s="223">
        <f t="shared" si="14"/>
        <v>1.3230697264434044</v>
      </c>
      <c r="Y176">
        <f>IFERROR(INDEX(Rainfall_Wet!$O$2:$O$217,MATCH(B176, Rainfall_Wet!$A$2:$A$217,0)),"")</f>
        <v>181.383442621</v>
      </c>
      <c r="Z176" s="228">
        <v>23.96</v>
      </c>
      <c r="AA176" s="228">
        <v>4.9199999999999982</v>
      </c>
      <c r="AB176" s="228">
        <v>71.12</v>
      </c>
      <c r="AC176" s="229" t="s">
        <v>2654</v>
      </c>
      <c r="AD176" s="228">
        <v>9.3091375061606705</v>
      </c>
      <c r="AE176">
        <f>IF('WetLitterbags placem_collection'!AB177="","",'WetLitterbags placem_collection'!AB177)</f>
        <v>15.4</v>
      </c>
      <c r="AF176">
        <f>IF('WetLitterbags placem_collection'!Z177="","",'WetLitterbags placem_collection'!Z177)</f>
        <v>9.8000000000000007</v>
      </c>
      <c r="AG176" s="243" t="str">
        <f>IF('WetLitterbags placem_collection'!AA177="","",'WetLitterbags placem_collection'!AA177)</f>
        <v>O</v>
      </c>
      <c r="AH176">
        <f>IF('WetLitterbags placem_collection'!AC177="","",'WetLitterbags placem_collection'!AC177)</f>
        <v>1</v>
      </c>
      <c r="AI176" s="237">
        <f>AVERAGE('WetLitterbags placem_collection'!S177,'WetLitterbags placem_collection'!U177)</f>
        <v>11.55</v>
      </c>
      <c r="AJ176">
        <f>AVERAGE('WetLitterbags placem_collection'!R177,'WetLitterbags placem_collection'!T177)</f>
        <v>36.25</v>
      </c>
      <c r="AK176">
        <f>INDEX(Coordinates!$B$2:$B$197,MATCH(H176,Coordinates!$J$2:$J$197,0))</f>
        <v>-2.2784219779999999</v>
      </c>
      <c r="AL176">
        <f>INDEX(Coordinates!$C$2:$C$197,MATCH(H176,Coordinates!$J$2:$J$197,0))</f>
        <v>34.024374979999997</v>
      </c>
      <c r="AM176" t="str">
        <f>IF(ISNUMBER(SEARCH("C", 'WetLitterbags placem_collection'!$V177)),"YES","NO")</f>
        <v>NO</v>
      </c>
      <c r="AN176" t="str">
        <f>IF(ISNUMBER(SEARCH("H", 'WetLitterbags placem_collection'!$V177)),"YES","NO")</f>
        <v>NO</v>
      </c>
      <c r="AO176" t="str">
        <f>IF(ISNUMBER(SEARCH("R", 'WetLitterbags placem_collection'!$V177)),"YES","NO")</f>
        <v>NO</v>
      </c>
    </row>
    <row r="177" spans="1:41" ht="15" customHeight="1">
      <c r="A177" s="255" t="s">
        <v>2454</v>
      </c>
      <c r="B177" s="260">
        <f>'Dry_Litterbag Placem_Collection'!A178</f>
        <v>176</v>
      </c>
      <c r="C177" s="260" t="str">
        <f>'Dry_Litterbag Placem_Collection'!B178</f>
        <v>Handajega</v>
      </c>
      <c r="D177" s="260" t="s">
        <v>2454</v>
      </c>
      <c r="E177" s="260" t="s">
        <v>2645</v>
      </c>
      <c r="F177" s="260">
        <v>2</v>
      </c>
      <c r="G177" s="260" t="s">
        <v>3827</v>
      </c>
      <c r="H177" s="261" t="str">
        <f>'Dry_Litterbag Placem_Collection'!C178</f>
        <v>Wet_W2_T8</v>
      </c>
      <c r="I177" s="262" t="s">
        <v>2525</v>
      </c>
      <c r="J177" s="263" t="s">
        <v>1147</v>
      </c>
      <c r="K177" s="221" t="str">
        <f>'WetLitterbags placem_collection'!K178</f>
        <v>G454</v>
      </c>
      <c r="L177" s="223">
        <f>IFERROR(INDEX('Green_rooibos initial weight'!$C$5:$C$2000,MATCH(K177, 'Green_rooibos initial weight'!$A$5:$A$2000,0)),"")</f>
        <v>2.0920000000000001</v>
      </c>
      <c r="M177" s="223">
        <f>IFERROR(L177-(TBIcalc!$H$9+TBIcalc!$H$10),"")</f>
        <v>1.8422000000000001</v>
      </c>
      <c r="N177" s="385">
        <f>AVERAGE(Ashed_controlls!$K$2:$K$11)</f>
        <v>5.5147656768714146</v>
      </c>
      <c r="O177" s="223">
        <f t="shared" si="11"/>
        <v>1.7406069867006748</v>
      </c>
      <c r="P177" s="223">
        <f>IFERROR(INDEX('Both teabags AfterWet'!$C$3:$C$840,MATCH(K177,'Both teabags AfterWet'!$A$3:$A$840,0)),"")</f>
        <v>0.63900000000000001</v>
      </c>
      <c r="Q177" s="223">
        <f>IFERROR(IF(P177&gt;0,P177-(TBIcalc!$H$9),""),"")</f>
        <v>0.4884</v>
      </c>
      <c r="R177" s="223">
        <f>IFERROR(INDEX('Ashed teabags wet'!$K$2:$K$2000,MATCH(K177,'Ashed teabags wet'!$A$2:$A$2000,0)),"")</f>
        <v>10.539215686274888</v>
      </c>
      <c r="S177" s="223">
        <f t="shared" si="12"/>
        <v>0.43692647058823342</v>
      </c>
      <c r="T177" s="224">
        <f>'WetLitterbags placem_collection'!E178</f>
        <v>42763</v>
      </c>
      <c r="U177" s="224">
        <f>IF('WetLitterbags placem_collection'!G178="","",'WetLitterbags placem_collection'!G178)</f>
        <v>42814</v>
      </c>
      <c r="V177" s="225">
        <f t="shared" si="10"/>
        <v>51</v>
      </c>
      <c r="W177" s="223">
        <f t="shared" si="13"/>
        <v>1.3538000000000001</v>
      </c>
      <c r="X177" s="223">
        <f t="shared" si="14"/>
        <v>1.3036805161124414</v>
      </c>
      <c r="Y177">
        <f>IFERROR(INDEX(Rainfall_Wet!$O$2:$O$217,MATCH(B177, Rainfall_Wet!$A$2:$A$217,0)),"")</f>
        <v>181.383442621</v>
      </c>
      <c r="Z177" s="228">
        <v>23.96</v>
      </c>
      <c r="AA177" s="228">
        <v>4.9199999999999982</v>
      </c>
      <c r="AB177" s="228">
        <v>71.12</v>
      </c>
      <c r="AC177" s="229" t="s">
        <v>2654</v>
      </c>
      <c r="AD177" s="228">
        <v>10.309137506160701</v>
      </c>
      <c r="AE177">
        <f>IF('WetLitterbags placem_collection'!AB178="","",'WetLitterbags placem_collection'!AB178)</f>
        <v>6.8</v>
      </c>
      <c r="AF177">
        <f>IF('WetLitterbags placem_collection'!Z178="","",'WetLitterbags placem_collection'!Z178)</f>
        <v>6.9</v>
      </c>
      <c r="AG177" s="243" t="str">
        <f>IF('WetLitterbags placem_collection'!AA178="","",'WetLitterbags placem_collection'!AA178)</f>
        <v>O</v>
      </c>
      <c r="AH177">
        <f>IF('WetLitterbags placem_collection'!AC178="","",'WetLitterbags placem_collection'!AC178)</f>
        <v>0</v>
      </c>
      <c r="AI177" s="237">
        <f>AVERAGE('WetLitterbags placem_collection'!S178,'WetLitterbags placem_collection'!U178)</f>
        <v>11.4</v>
      </c>
      <c r="AJ177">
        <f>AVERAGE('WetLitterbags placem_collection'!R178,'WetLitterbags placem_collection'!T178)</f>
        <v>34.15</v>
      </c>
      <c r="AK177">
        <f>INDEX(Coordinates!$B$2:$B$197,MATCH(H177,Coordinates!$J$2:$J$197,0))</f>
        <v>-2.2782909679999999</v>
      </c>
      <c r="AL177">
        <f>INDEX(Coordinates!$C$2:$C$197,MATCH(H177,Coordinates!$J$2:$J$197,0))</f>
        <v>34.024574970000003</v>
      </c>
      <c r="AM177" t="str">
        <f>IF(ISNUMBER(SEARCH("C", 'WetLitterbags placem_collection'!$V178)),"YES","NO")</f>
        <v>NO</v>
      </c>
      <c r="AN177" t="str">
        <f>IF(ISNUMBER(SEARCH("H", 'WetLitterbags placem_collection'!$V178)),"YES","NO")</f>
        <v>NO</v>
      </c>
      <c r="AO177" t="str">
        <f>IF(ISNUMBER(SEARCH("R", 'WetLitterbags placem_collection'!$V178)),"YES","NO")</f>
        <v>NO</v>
      </c>
    </row>
    <row r="178" spans="1:41" ht="15" customHeight="1">
      <c r="A178" s="255" t="s">
        <v>2454</v>
      </c>
      <c r="B178" s="260">
        <f>'Dry_Litterbag Placem_Collection'!A179</f>
        <v>177</v>
      </c>
      <c r="C178" s="260" t="str">
        <f>'Dry_Litterbag Placem_Collection'!B179</f>
        <v>Handajega</v>
      </c>
      <c r="D178" s="260" t="s">
        <v>2454</v>
      </c>
      <c r="E178" s="260" t="s">
        <v>2645</v>
      </c>
      <c r="F178" s="260">
        <v>3</v>
      </c>
      <c r="G178" s="260" t="s">
        <v>3828</v>
      </c>
      <c r="H178" s="261" t="str">
        <f>'Dry_Litterbag Placem_Collection'!C179</f>
        <v>Wet_W3_T1</v>
      </c>
      <c r="I178" s="262" t="s">
        <v>2525</v>
      </c>
      <c r="J178" s="263" t="s">
        <v>1147</v>
      </c>
      <c r="K178" s="221" t="str">
        <f>'WetLitterbags placem_collection'!K179</f>
        <v>G362</v>
      </c>
      <c r="L178" s="223">
        <f>IFERROR(INDEX('Green_rooibos initial weight'!$C$5:$C$2000,MATCH(K178, 'Green_rooibos initial weight'!$A$5:$A$2000,0)),"")</f>
        <v>2.0659999999999998</v>
      </c>
      <c r="M178" s="223">
        <f>IFERROR(L178-(TBIcalc!$H$9+TBIcalc!$H$10),"")</f>
        <v>1.8161999999999998</v>
      </c>
      <c r="N178" s="385">
        <f>AVERAGE(Ashed_controlls!$K$2:$K$11)</f>
        <v>5.5147656768714146</v>
      </c>
      <c r="O178" s="223">
        <f t="shared" si="11"/>
        <v>1.7160408257766613</v>
      </c>
      <c r="P178" s="223">
        <f>IFERROR(INDEX('Both teabags AfterWet'!$C$3:$C$840,MATCH(K178,'Both teabags AfterWet'!$A$3:$A$840,0)),"")</f>
        <v>0.61299999999999999</v>
      </c>
      <c r="Q178" s="223">
        <f>IFERROR(IF(P178&gt;0,P178-(TBIcalc!$H$9),""),"")</f>
        <v>0.46239999999999998</v>
      </c>
      <c r="R178" s="223">
        <f>IFERROR(INDEX('Ashed teabags wet'!$K$2:$K$2000,MATCH(K178,'Ashed teabags wet'!$A$2:$A$2000,0)),"")</f>
        <v>9.1395235780264326</v>
      </c>
      <c r="S178" s="223">
        <f t="shared" si="12"/>
        <v>0.42013884297520576</v>
      </c>
      <c r="T178" s="224">
        <f>'WetLitterbags placem_collection'!E179</f>
        <v>42763</v>
      </c>
      <c r="U178" s="224">
        <f>IF('WetLitterbags placem_collection'!G179="","",'WetLitterbags placem_collection'!G179)</f>
        <v>42815</v>
      </c>
      <c r="V178" s="225">
        <f t="shared" si="10"/>
        <v>52</v>
      </c>
      <c r="W178" s="223">
        <f t="shared" si="13"/>
        <v>1.3537999999999999</v>
      </c>
      <c r="X178" s="223">
        <f t="shared" si="14"/>
        <v>1.2959019828014555</v>
      </c>
      <c r="Y178">
        <f>IFERROR(INDEX(Rainfall_Wet!$O$2:$O$217,MATCH(B178, Rainfall_Wet!$A$2:$A$217,0)),"")</f>
        <v>188.24043152799999</v>
      </c>
      <c r="Z178" s="228">
        <v>25.96</v>
      </c>
      <c r="AA178" s="228">
        <v>8.9200000000000017</v>
      </c>
      <c r="AB178" s="228">
        <v>65.12</v>
      </c>
      <c r="AC178" s="229" t="s">
        <v>2654</v>
      </c>
      <c r="AD178" s="228">
        <v>1.614588467225234</v>
      </c>
      <c r="AE178">
        <f>IF('WetLitterbags placem_collection'!AB179="","",'WetLitterbags placem_collection'!AB179)</f>
        <v>17.8</v>
      </c>
      <c r="AF178">
        <f>IF('WetLitterbags placem_collection'!Z179="","",'WetLitterbags placem_collection'!Z179)</f>
        <v>25.8</v>
      </c>
      <c r="AG178" s="243" t="str">
        <f>IF('WetLitterbags placem_collection'!AA179="","",'WetLitterbags placem_collection'!AA179)</f>
        <v>O</v>
      </c>
      <c r="AH178">
        <f>IF('WetLitterbags placem_collection'!AC179="","",'WetLitterbags placem_collection'!AC179)</f>
        <v>0</v>
      </c>
      <c r="AI178" s="237">
        <f>AVERAGE('WetLitterbags placem_collection'!S179,'WetLitterbags placem_collection'!U179)</f>
        <v>19.200000000000003</v>
      </c>
      <c r="AJ178">
        <f>AVERAGE('WetLitterbags placem_collection'!R179,'WetLitterbags placem_collection'!T179)</f>
        <v>32.1</v>
      </c>
      <c r="AK178">
        <f>INDEX(Coordinates!$B$2:$B$197,MATCH(H178,Coordinates!$J$2:$J$197,0))</f>
        <v>-2.277740026</v>
      </c>
      <c r="AL178">
        <f>INDEX(Coordinates!$C$2:$C$197,MATCH(H178,Coordinates!$J$2:$J$197,0))</f>
        <v>34.027640990000002</v>
      </c>
      <c r="AM178" t="str">
        <f>IF(ISNUMBER(SEARCH("C", 'WetLitterbags placem_collection'!$V179)),"YES","NO")</f>
        <v>NO</v>
      </c>
      <c r="AN178" t="str">
        <f>IF(ISNUMBER(SEARCH("H", 'WetLitterbags placem_collection'!$V179)),"YES","NO")</f>
        <v>NO</v>
      </c>
      <c r="AO178" t="str">
        <f>IF(ISNUMBER(SEARCH("R", 'WetLitterbags placem_collection'!$V179)),"YES","NO")</f>
        <v>NO</v>
      </c>
    </row>
    <row r="179" spans="1:41" ht="15" customHeight="1">
      <c r="A179" s="255" t="s">
        <v>2454</v>
      </c>
      <c r="B179" s="260">
        <f>'Dry_Litterbag Placem_Collection'!A180</f>
        <v>178</v>
      </c>
      <c r="C179" s="260" t="str">
        <f>'Dry_Litterbag Placem_Collection'!B180</f>
        <v>Handajega</v>
      </c>
      <c r="D179" s="260" t="s">
        <v>2454</v>
      </c>
      <c r="E179" s="260" t="s">
        <v>2645</v>
      </c>
      <c r="F179" s="260">
        <v>3</v>
      </c>
      <c r="G179" s="260" t="s">
        <v>3828</v>
      </c>
      <c r="H179" s="261" t="str">
        <f>'Dry_Litterbag Placem_Collection'!C180</f>
        <v>Wet_W3_T2</v>
      </c>
      <c r="I179" s="262" t="s">
        <v>2525</v>
      </c>
      <c r="J179" s="263" t="s">
        <v>1147</v>
      </c>
      <c r="K179" s="221" t="str">
        <f>'WetLitterbags placem_collection'!K180</f>
        <v>G781</v>
      </c>
      <c r="L179" s="223">
        <f>IFERROR(INDEX('Green_rooibos initial weight'!$C$5:$C$2000,MATCH(K179, 'Green_rooibos initial weight'!$A$5:$A$2000,0)),"")</f>
        <v>2.0920000000000001</v>
      </c>
      <c r="M179" s="223">
        <f>IFERROR(L179-(TBIcalc!$H$9+TBIcalc!$H$10),"")</f>
        <v>1.8422000000000001</v>
      </c>
      <c r="N179" s="385">
        <f>AVERAGE(Ashed_controlls!$K$2:$K$11)</f>
        <v>5.5147656768714146</v>
      </c>
      <c r="O179" s="223">
        <f t="shared" si="11"/>
        <v>1.7406069867006748</v>
      </c>
      <c r="P179" s="223">
        <f>IFERROR(INDEX('Both teabags AfterWet'!$C$3:$C$840,MATCH(K179,'Both teabags AfterWet'!$A$3:$A$840,0)),"")</f>
        <v>0.62549999999999994</v>
      </c>
      <c r="Q179" s="223">
        <f>IFERROR(IF(P179&gt;0,P179-(TBIcalc!$H$9),""),"")</f>
        <v>0.47489999999999993</v>
      </c>
      <c r="R179" s="223">
        <f>IFERROR(INDEX('Ashed teabags wet'!$K$2:$K$2000,MATCH(K179,'Ashed teabags wet'!$A$2:$A$2000,0)),"")</f>
        <v>7.0843373493975461</v>
      </c>
      <c r="S179" s="223">
        <f t="shared" si="12"/>
        <v>0.441256481927711</v>
      </c>
      <c r="T179" s="224">
        <f>'WetLitterbags placem_collection'!E180</f>
        <v>42763</v>
      </c>
      <c r="U179" s="224">
        <f>IF('WetLitterbags placem_collection'!G180="","",'WetLitterbags placem_collection'!G180)</f>
        <v>42815</v>
      </c>
      <c r="V179" s="225">
        <f t="shared" si="10"/>
        <v>52</v>
      </c>
      <c r="W179" s="223">
        <f t="shared" si="13"/>
        <v>1.3673000000000002</v>
      </c>
      <c r="X179" s="223">
        <f t="shared" si="14"/>
        <v>1.2993505047729639</v>
      </c>
      <c r="Y179">
        <f>IFERROR(INDEX(Rainfall_Wet!$O$2:$O$217,MATCH(B179, Rainfall_Wet!$A$2:$A$217,0)),"")</f>
        <v>188.24043152799999</v>
      </c>
      <c r="Z179" s="228">
        <v>25.96</v>
      </c>
      <c r="AA179" s="228">
        <v>8.9200000000000017</v>
      </c>
      <c r="AB179" s="228">
        <v>65.12</v>
      </c>
      <c r="AC179" s="229" t="s">
        <v>2654</v>
      </c>
      <c r="AD179" s="228">
        <v>2.61458846722523</v>
      </c>
      <c r="AE179">
        <f>IF('WetLitterbags placem_collection'!AB180="","",'WetLitterbags placem_collection'!AB180)</f>
        <v>15.4</v>
      </c>
      <c r="AF179">
        <f>IF('WetLitterbags placem_collection'!Z180="","",'WetLitterbags placem_collection'!Z180)</f>
        <v>18.8</v>
      </c>
      <c r="AG179" s="243" t="str">
        <f>IF('WetLitterbags placem_collection'!AA180="","",'WetLitterbags placem_collection'!AA180)</f>
        <v>O</v>
      </c>
      <c r="AH179">
        <f>IF('WetLitterbags placem_collection'!AC180="","",'WetLitterbags placem_collection'!AC180)</f>
        <v>1</v>
      </c>
      <c r="AI179" s="237">
        <f>AVERAGE('WetLitterbags placem_collection'!S180,'WetLitterbags placem_collection'!U180)</f>
        <v>17.149999999999999</v>
      </c>
      <c r="AJ179">
        <f>AVERAGE('WetLitterbags placem_collection'!R180,'WetLitterbags placem_collection'!T180)</f>
        <v>32.950000000000003</v>
      </c>
      <c r="AK179">
        <f>INDEX(Coordinates!$B$2:$B$197,MATCH(H179,Coordinates!$J$2:$J$197,0))</f>
        <v>-2.2777889760000001</v>
      </c>
      <c r="AL179">
        <f>INDEX(Coordinates!$C$2:$C$197,MATCH(H179,Coordinates!$J$2:$J$197,0))</f>
        <v>34.027664960000003</v>
      </c>
      <c r="AM179" t="str">
        <f>IF(ISNUMBER(SEARCH("C", 'WetLitterbags placem_collection'!$V180)),"YES","NO")</f>
        <v>YES</v>
      </c>
      <c r="AN179" t="str">
        <f>IF(ISNUMBER(SEARCH("H", 'WetLitterbags placem_collection'!$V180)),"YES","NO")</f>
        <v>YES</v>
      </c>
      <c r="AO179" t="str">
        <f>IF(ISNUMBER(SEARCH("R", 'WetLitterbags placem_collection'!$V180)),"YES","NO")</f>
        <v>NO</v>
      </c>
    </row>
    <row r="180" spans="1:41" ht="15" customHeight="1">
      <c r="A180" s="255" t="s">
        <v>2454</v>
      </c>
      <c r="B180" s="260">
        <f>'Dry_Litterbag Placem_Collection'!A181</f>
        <v>179</v>
      </c>
      <c r="C180" s="260" t="str">
        <f>'Dry_Litterbag Placem_Collection'!B181</f>
        <v>Handajega</v>
      </c>
      <c r="D180" s="260" t="s">
        <v>2454</v>
      </c>
      <c r="E180" s="260" t="s">
        <v>2645</v>
      </c>
      <c r="F180" s="260">
        <v>3</v>
      </c>
      <c r="G180" s="260" t="s">
        <v>3828</v>
      </c>
      <c r="H180" s="261" t="str">
        <f>'Dry_Litterbag Placem_Collection'!C181</f>
        <v>Wet_W3_T3</v>
      </c>
      <c r="I180" s="262" t="s">
        <v>2525</v>
      </c>
      <c r="J180" s="263" t="s">
        <v>1147</v>
      </c>
      <c r="K180" s="221" t="str">
        <f>'WetLitterbags placem_collection'!K181</f>
        <v>G451</v>
      </c>
      <c r="L180" s="223">
        <f>IFERROR(INDEX('Green_rooibos initial weight'!$C$5:$C$2000,MATCH(K180, 'Green_rooibos initial weight'!$A$5:$A$2000,0)),"")</f>
        <v>2.1139999999999999</v>
      </c>
      <c r="M180" s="223">
        <f>IFERROR(L180-(TBIcalc!$H$9+TBIcalc!$H$10),"")</f>
        <v>1.8641999999999999</v>
      </c>
      <c r="N180" s="385">
        <f>AVERAGE(Ashed_controlls!$K$2:$K$11)</f>
        <v>5.5147656768714146</v>
      </c>
      <c r="O180" s="223">
        <f t="shared" si="11"/>
        <v>1.761393738251763</v>
      </c>
      <c r="P180" s="223">
        <f>IFERROR(INDEX('Both teabags AfterWet'!$C$3:$C$840,MATCH(K180,'Both teabags AfterWet'!$A$3:$A$840,0)),"")</f>
        <v>0.60329999999999995</v>
      </c>
      <c r="Q180" s="223">
        <f>IFERROR(IF(P180&gt;0,P180-(TBIcalc!$H$9),""),"")</f>
        <v>0.45269999999999994</v>
      </c>
      <c r="R180" s="223">
        <f>IFERROR(INDEX('Ashed teabags wet'!$K$2:$K$2000,MATCH(K180,'Ashed teabags wet'!$A$2:$A$2000,0)),"")</f>
        <v>8.9466089466084018</v>
      </c>
      <c r="S180" s="223">
        <f t="shared" si="12"/>
        <v>0.41219870129870373</v>
      </c>
      <c r="T180" s="224">
        <f>'WetLitterbags placem_collection'!E181</f>
        <v>42763</v>
      </c>
      <c r="U180" s="224">
        <f>IF('WetLitterbags placem_collection'!G181="","",'WetLitterbags placem_collection'!G181)</f>
        <v>42815</v>
      </c>
      <c r="V180" s="225">
        <f t="shared" si="10"/>
        <v>52</v>
      </c>
      <c r="W180" s="223">
        <f t="shared" si="13"/>
        <v>1.4115</v>
      </c>
      <c r="X180" s="223">
        <f t="shared" si="14"/>
        <v>1.3491950369530592</v>
      </c>
      <c r="Y180">
        <f>IFERROR(INDEX(Rainfall_Wet!$O$2:$O$217,MATCH(B180, Rainfall_Wet!$A$2:$A$217,0)),"")</f>
        <v>188.24043152799999</v>
      </c>
      <c r="Z180" s="228">
        <v>25.96</v>
      </c>
      <c r="AA180" s="228">
        <v>8.9200000000000017</v>
      </c>
      <c r="AB180" s="228">
        <v>65.12</v>
      </c>
      <c r="AC180" s="229" t="s">
        <v>2654</v>
      </c>
      <c r="AD180" s="228">
        <v>3.61458846722523</v>
      </c>
      <c r="AE180">
        <f>IF('WetLitterbags placem_collection'!AB181="","",'WetLitterbags placem_collection'!AB181)</f>
        <v>11.8</v>
      </c>
      <c r="AF180">
        <f>IF('WetLitterbags placem_collection'!Z181="","",'WetLitterbags placem_collection'!Z181)</f>
        <v>15.4</v>
      </c>
      <c r="AG180" s="243" t="str">
        <f>IF('WetLitterbags placem_collection'!AA181="","",'WetLitterbags placem_collection'!AA181)</f>
        <v>O</v>
      </c>
      <c r="AH180">
        <f>IF('WetLitterbags placem_collection'!AC181="","",'WetLitterbags placem_collection'!AC181)</f>
        <v>1</v>
      </c>
      <c r="AI180" s="237">
        <f>AVERAGE('WetLitterbags placem_collection'!S181,'WetLitterbags placem_collection'!U181)</f>
        <v>14.8</v>
      </c>
      <c r="AJ180">
        <f>AVERAGE('WetLitterbags placem_collection'!R181,'WetLitterbags placem_collection'!T181)</f>
        <v>32.150000000000006</v>
      </c>
      <c r="AK180">
        <f>INDEX(Coordinates!$B$2:$B$197,MATCH(H180,Coordinates!$J$2:$J$197,0))</f>
        <v>-2.2778579589999999</v>
      </c>
      <c r="AL180">
        <f>INDEX(Coordinates!$C$2:$C$197,MATCH(H180,Coordinates!$J$2:$J$197,0))</f>
        <v>34.027682980000002</v>
      </c>
      <c r="AM180" t="str">
        <f>IF(ISNUMBER(SEARCH("C", 'WetLitterbags placem_collection'!$V181)),"YES","NO")</f>
        <v>NO</v>
      </c>
      <c r="AN180" t="str">
        <f>IF(ISNUMBER(SEARCH("H", 'WetLitterbags placem_collection'!$V181)),"YES","NO")</f>
        <v>NO</v>
      </c>
      <c r="AO180" t="str">
        <f>IF(ISNUMBER(SEARCH("R", 'WetLitterbags placem_collection'!$V181)),"YES","NO")</f>
        <v>YES</v>
      </c>
    </row>
    <row r="181" spans="1:41" ht="15" customHeight="1">
      <c r="A181" s="255" t="s">
        <v>2454</v>
      </c>
      <c r="B181" s="260">
        <f>'Dry_Litterbag Placem_Collection'!A182</f>
        <v>180</v>
      </c>
      <c r="C181" s="260" t="str">
        <f>'Dry_Litterbag Placem_Collection'!B182</f>
        <v>Handajega</v>
      </c>
      <c r="D181" s="260" t="s">
        <v>2454</v>
      </c>
      <c r="E181" s="260" t="s">
        <v>2645</v>
      </c>
      <c r="F181" s="260">
        <v>3</v>
      </c>
      <c r="G181" s="260" t="s">
        <v>3828</v>
      </c>
      <c r="H181" s="261" t="str">
        <f>'Dry_Litterbag Placem_Collection'!C182</f>
        <v>Wet_W3_T4</v>
      </c>
      <c r="I181" s="262" t="s">
        <v>2525</v>
      </c>
      <c r="J181" s="263" t="s">
        <v>1147</v>
      </c>
      <c r="K181" s="221" t="str">
        <f>'WetLitterbags placem_collection'!K182</f>
        <v>G360</v>
      </c>
      <c r="L181" s="223">
        <f>IFERROR(INDEX('Green_rooibos initial weight'!$C$5:$C$2000,MATCH(K181, 'Green_rooibos initial weight'!$A$5:$A$2000,0)),"")</f>
        <v>2.0099999999999998</v>
      </c>
      <c r="M181" s="223">
        <f>IFERROR(L181-(TBIcalc!$H$9+TBIcalc!$H$10),"")</f>
        <v>1.7601999999999998</v>
      </c>
      <c r="N181" s="385">
        <f>AVERAGE(Ashed_controlls!$K$2:$K$11)</f>
        <v>5.5147656768714146</v>
      </c>
      <c r="O181" s="223">
        <f t="shared" si="11"/>
        <v>1.6631290945557091</v>
      </c>
      <c r="P181" s="223">
        <f>IFERROR(INDEX('Both teabags AfterWet'!$C$3:$C$840,MATCH(K181,'Both teabags AfterWet'!$A$3:$A$840,0)),"")</f>
        <v>0.62219999999999998</v>
      </c>
      <c r="Q181" s="223">
        <f>IFERROR(IF(P181&gt;0,P181-(TBIcalc!$H$9),""),"")</f>
        <v>0.47159999999999996</v>
      </c>
      <c r="R181" s="223">
        <f>IFERROR(INDEX('Ashed teabags wet'!$K$2:$K$2000,MATCH(K181,'Ashed teabags wet'!$A$2:$A$2000,0)),"")</f>
        <v>9.1525423728814648</v>
      </c>
      <c r="S181" s="223">
        <f t="shared" si="12"/>
        <v>0.42843661016949097</v>
      </c>
      <c r="T181" s="224">
        <f>'WetLitterbags placem_collection'!E182</f>
        <v>42763</v>
      </c>
      <c r="U181" s="224">
        <f>IF('WetLitterbags placem_collection'!G182="","",'WetLitterbags placem_collection'!G182)</f>
        <v>42815</v>
      </c>
      <c r="V181" s="225">
        <f t="shared" si="10"/>
        <v>52</v>
      </c>
      <c r="W181" s="223">
        <f t="shared" si="13"/>
        <v>1.2885999999999997</v>
      </c>
      <c r="X181" s="223">
        <f t="shared" si="14"/>
        <v>1.2346924843862181</v>
      </c>
      <c r="Y181">
        <f>IFERROR(INDEX(Rainfall_Wet!$O$2:$O$217,MATCH(B181, Rainfall_Wet!$A$2:$A$217,0)),"")</f>
        <v>188.24043152799999</v>
      </c>
      <c r="Z181" s="228">
        <v>25.96</v>
      </c>
      <c r="AA181" s="228">
        <v>8.9200000000000017</v>
      </c>
      <c r="AB181" s="228">
        <v>65.12</v>
      </c>
      <c r="AC181" s="229" t="s">
        <v>2654</v>
      </c>
      <c r="AD181" s="228">
        <v>4.6145884672252304</v>
      </c>
      <c r="AE181">
        <f>IF('WetLitterbags placem_collection'!AB182="","",'WetLitterbags placem_collection'!AB182)</f>
        <v>8.3000000000000007</v>
      </c>
      <c r="AF181">
        <f>IF('WetLitterbags placem_collection'!Z182="","",'WetLitterbags placem_collection'!Z182)</f>
        <v>35</v>
      </c>
      <c r="AG181" s="243" t="str">
        <f>IF('WetLitterbags placem_collection'!AA182="","",'WetLitterbags placem_collection'!AA182)</f>
        <v>O</v>
      </c>
      <c r="AH181">
        <f>IF('WetLitterbags placem_collection'!AC182="","",'WetLitterbags placem_collection'!AC182)</f>
        <v>0</v>
      </c>
      <c r="AI181" s="237">
        <f>AVERAGE('WetLitterbags placem_collection'!S182,'WetLitterbags placem_collection'!U182)</f>
        <v>12.85</v>
      </c>
      <c r="AJ181">
        <f>AVERAGE('WetLitterbags placem_collection'!R182,'WetLitterbags placem_collection'!T182)</f>
        <v>32.450000000000003</v>
      </c>
      <c r="AK181">
        <f>INDEX(Coordinates!$B$2:$B$197,MATCH(H181,Coordinates!$J$2:$J$197,0))</f>
        <v>-2.2780199809999999</v>
      </c>
      <c r="AL181">
        <f>INDEX(Coordinates!$C$2:$C$197,MATCH(H181,Coordinates!$J$2:$J$197,0))</f>
        <v>34.027705019999999</v>
      </c>
      <c r="AM181" t="str">
        <f>IF(ISNUMBER(SEARCH("C", 'WetLitterbags placem_collection'!$V182)),"YES","NO")</f>
        <v>NO</v>
      </c>
      <c r="AN181" t="str">
        <f>IF(ISNUMBER(SEARCH("H", 'WetLitterbags placem_collection'!$V182)),"YES","NO")</f>
        <v>NO</v>
      </c>
      <c r="AO181" t="str">
        <f>IF(ISNUMBER(SEARCH("R", 'WetLitterbags placem_collection'!$V182)),"YES","NO")</f>
        <v>NO</v>
      </c>
    </row>
    <row r="182" spans="1:41" ht="15" customHeight="1">
      <c r="A182" s="255" t="s">
        <v>2454</v>
      </c>
      <c r="B182" s="260">
        <f>'Dry_Litterbag Placem_Collection'!A183</f>
        <v>181</v>
      </c>
      <c r="C182" s="260" t="str">
        <f>'Dry_Litterbag Placem_Collection'!B183</f>
        <v>Handajega</v>
      </c>
      <c r="D182" s="260" t="s">
        <v>2454</v>
      </c>
      <c r="E182" s="260" t="s">
        <v>2645</v>
      </c>
      <c r="F182" s="260">
        <v>3</v>
      </c>
      <c r="G182" s="260" t="s">
        <v>3828</v>
      </c>
      <c r="H182" s="261" t="str">
        <f>'Dry_Litterbag Placem_Collection'!C183</f>
        <v>Wet_W3_T5</v>
      </c>
      <c r="I182" s="262" t="s">
        <v>2525</v>
      </c>
      <c r="J182" s="263" t="s">
        <v>1147</v>
      </c>
      <c r="K182" s="221" t="str">
        <f>'WetLitterbags placem_collection'!K183</f>
        <v>G458</v>
      </c>
      <c r="L182" s="223">
        <f>IFERROR(INDEX('Green_rooibos initial weight'!$C$5:$C$2000,MATCH(K182, 'Green_rooibos initial weight'!$A$5:$A$2000,0)),"")</f>
        <v>1.9770000000000001</v>
      </c>
      <c r="M182" s="223">
        <f>IFERROR(L182-(TBIcalc!$H$9+TBIcalc!$H$10),"")</f>
        <v>1.7272000000000001</v>
      </c>
      <c r="N182" s="385">
        <f>AVERAGE(Ashed_controlls!$K$2:$K$11)</f>
        <v>5.5147656768714146</v>
      </c>
      <c r="O182" s="223">
        <f t="shared" si="11"/>
        <v>1.631948967229077</v>
      </c>
      <c r="P182" s="223">
        <f>IFERROR(INDEX('Both teabags AfterWet'!$C$3:$C$840,MATCH(K182,'Both teabags AfterWet'!$A$3:$A$840,0)),"")</f>
        <v>0.57499999999999996</v>
      </c>
      <c r="Q182" s="223">
        <f>IFERROR(IF(P182&gt;0,P182-(TBIcalc!$H$9),""),"")</f>
        <v>0.42439999999999994</v>
      </c>
      <c r="R182" s="223">
        <f>IFERROR(INDEX('Ashed teabags wet'!$K$2:$K$2000,MATCH(K182,'Ashed teabags wet'!$A$2:$A$2000,0)),"")</f>
        <v>9.1358024691352888</v>
      </c>
      <c r="S182" s="223">
        <f t="shared" si="12"/>
        <v>0.38562765432098978</v>
      </c>
      <c r="T182" s="224">
        <f>'WetLitterbags placem_collection'!E183</f>
        <v>42763</v>
      </c>
      <c r="U182" s="224">
        <f>IF('WetLitterbags placem_collection'!G183="","",'WetLitterbags placem_collection'!G183)</f>
        <v>42815</v>
      </c>
      <c r="V182" s="225">
        <f t="shared" si="10"/>
        <v>52</v>
      </c>
      <c r="W182" s="223">
        <f t="shared" si="13"/>
        <v>1.3028000000000002</v>
      </c>
      <c r="X182" s="223">
        <f t="shared" si="14"/>
        <v>1.2463213129080872</v>
      </c>
      <c r="Y182">
        <f>IFERROR(INDEX(Rainfall_Wet!$O$2:$O$217,MATCH(B182, Rainfall_Wet!$A$2:$A$217,0)),"")</f>
        <v>188.24043152799999</v>
      </c>
      <c r="Z182" s="228">
        <v>25.96</v>
      </c>
      <c r="AA182" s="228">
        <v>8.9200000000000017</v>
      </c>
      <c r="AB182" s="228">
        <v>65.12</v>
      </c>
      <c r="AC182" s="229" t="s">
        <v>2654</v>
      </c>
      <c r="AD182" s="228">
        <v>5.6145884672252304</v>
      </c>
      <c r="AE182">
        <f>IF('WetLitterbags placem_collection'!AB183="","",'WetLitterbags placem_collection'!AB183)</f>
        <v>11.4</v>
      </c>
      <c r="AF182">
        <f>IF('WetLitterbags placem_collection'!Z183="","",'WetLitterbags placem_collection'!Z183)</f>
        <v>15.8</v>
      </c>
      <c r="AG182" s="243" t="str">
        <f>IF('WetLitterbags placem_collection'!AA183="","",'WetLitterbags placem_collection'!AA183)</f>
        <v>O</v>
      </c>
      <c r="AH182">
        <f>IF('WetLitterbags placem_collection'!AC183="","",'WetLitterbags placem_collection'!AC183)</f>
        <v>1</v>
      </c>
      <c r="AI182" s="237">
        <f>AVERAGE('WetLitterbags placem_collection'!S183,'WetLitterbags placem_collection'!U183)</f>
        <v>13.75</v>
      </c>
      <c r="AJ182">
        <f>AVERAGE('WetLitterbags placem_collection'!R183,'WetLitterbags placem_collection'!T183)</f>
        <v>32.650000000000006</v>
      </c>
      <c r="AK182">
        <f>INDEX(Coordinates!$B$2:$B$197,MATCH(H182,Coordinates!$J$2:$J$197,0))</f>
        <v>-2.2777329850000001</v>
      </c>
      <c r="AL182">
        <f>INDEX(Coordinates!$C$2:$C$197,MATCH(H182,Coordinates!$J$2:$J$197,0))</f>
        <v>34.027422970000003</v>
      </c>
      <c r="AM182" t="str">
        <f>IF(ISNUMBER(SEARCH("C", 'WetLitterbags placem_collection'!$V183)),"YES","NO")</f>
        <v>NO</v>
      </c>
      <c r="AN182" t="str">
        <f>IF(ISNUMBER(SEARCH("H", 'WetLitterbags placem_collection'!$V183)),"YES","NO")</f>
        <v>NO</v>
      </c>
      <c r="AO182" t="str">
        <f>IF(ISNUMBER(SEARCH("R", 'WetLitterbags placem_collection'!$V183)),"YES","NO")</f>
        <v>NO</v>
      </c>
    </row>
    <row r="183" spans="1:41" ht="15" customHeight="1">
      <c r="A183" s="255" t="s">
        <v>2454</v>
      </c>
      <c r="B183" s="260">
        <f>'Dry_Litterbag Placem_Collection'!A184</f>
        <v>182</v>
      </c>
      <c r="C183" s="260" t="str">
        <f>'Dry_Litterbag Placem_Collection'!B184</f>
        <v>Handajega</v>
      </c>
      <c r="D183" s="260" t="s">
        <v>2454</v>
      </c>
      <c r="E183" s="260" t="s">
        <v>2645</v>
      </c>
      <c r="F183" s="260">
        <v>3</v>
      </c>
      <c r="G183" s="260" t="s">
        <v>3828</v>
      </c>
      <c r="H183" s="261" t="str">
        <f>'Dry_Litterbag Placem_Collection'!C184</f>
        <v>Wet_W3_T6</v>
      </c>
      <c r="I183" s="262" t="s">
        <v>2525</v>
      </c>
      <c r="J183" s="263" t="s">
        <v>1147</v>
      </c>
      <c r="K183" s="221" t="str">
        <f>'WetLitterbags placem_collection'!K184</f>
        <v>G403</v>
      </c>
      <c r="L183" s="223">
        <f>IFERROR(INDEX('Green_rooibos initial weight'!$C$5:$C$2000,MATCH(K183, 'Green_rooibos initial weight'!$A$5:$A$2000,0)),"")</f>
        <v>2.06</v>
      </c>
      <c r="M183" s="223">
        <f>IFERROR(L183-(TBIcalc!$H$9+TBIcalc!$H$10),"")</f>
        <v>1.8102</v>
      </c>
      <c r="N183" s="385">
        <f>AVERAGE(Ashed_controlls!$K$2:$K$11)</f>
        <v>5.5147656768714146</v>
      </c>
      <c r="O183" s="223">
        <f t="shared" si="11"/>
        <v>1.7103717117172736</v>
      </c>
      <c r="P183" s="223">
        <f>IFERROR(INDEX('Both teabags AfterWet'!$C$3:$C$840,MATCH(K183,'Both teabags AfterWet'!$A$3:$A$840,0)),"")</f>
        <v>0.69440000000000002</v>
      </c>
      <c r="Q183" s="223">
        <f>IFERROR(IF(P183&gt;0,P183-(TBIcalc!$H$9),""),"")</f>
        <v>0.54380000000000006</v>
      </c>
      <c r="R183" s="223">
        <f>IFERROR(INDEX('Ashed teabags wet'!$K$2:$K$2000,MATCH(K183,'Ashed teabags wet'!$A$2:$A$2000,0)),"")</f>
        <v>8.8845014807495417</v>
      </c>
      <c r="S183" s="223">
        <f t="shared" si="12"/>
        <v>0.49548608094768404</v>
      </c>
      <c r="T183" s="224">
        <f>'WetLitterbags placem_collection'!E184</f>
        <v>42763</v>
      </c>
      <c r="U183" s="224">
        <f>IF('WetLitterbags placem_collection'!G184="","",'WetLitterbags placem_collection'!G184)</f>
        <v>42815</v>
      </c>
      <c r="V183" s="225">
        <f t="shared" si="10"/>
        <v>52</v>
      </c>
      <c r="W183" s="223">
        <f t="shared" si="13"/>
        <v>1.2664</v>
      </c>
      <c r="X183" s="223">
        <f t="shared" si="14"/>
        <v>1.2148856307695897</v>
      </c>
      <c r="Y183">
        <f>IFERROR(INDEX(Rainfall_Wet!$O$2:$O$217,MATCH(B183, Rainfall_Wet!$A$2:$A$217,0)),"")</f>
        <v>188.24043152799999</v>
      </c>
      <c r="Z183" s="228">
        <v>25.96</v>
      </c>
      <c r="AA183" s="228">
        <v>8.9200000000000017</v>
      </c>
      <c r="AB183" s="228">
        <v>65.12</v>
      </c>
      <c r="AC183" s="229" t="s">
        <v>2654</v>
      </c>
      <c r="AD183" s="228">
        <v>6.6145884672252304</v>
      </c>
      <c r="AE183">
        <f>IF('WetLitterbags placem_collection'!AB184="","",'WetLitterbags placem_collection'!AB184)</f>
        <v>8.8000000000000007</v>
      </c>
      <c r="AF183">
        <f>IF('WetLitterbags placem_collection'!Z184="","",'WetLitterbags placem_collection'!Z184)</f>
        <v>15.8</v>
      </c>
      <c r="AG183" s="243" t="str">
        <f>IF('WetLitterbags placem_collection'!AA184="","",'WetLitterbags placem_collection'!AA184)</f>
        <v>O</v>
      </c>
      <c r="AH183">
        <f>IF('WetLitterbags placem_collection'!AC184="","",'WetLitterbags placem_collection'!AC184)</f>
        <v>1</v>
      </c>
      <c r="AI183" s="237">
        <f>AVERAGE('WetLitterbags placem_collection'!S184,'WetLitterbags placem_collection'!U184)</f>
        <v>11.55</v>
      </c>
      <c r="AJ183">
        <f>AVERAGE('WetLitterbags placem_collection'!R184,'WetLitterbags placem_collection'!T184)</f>
        <v>33.299999999999997</v>
      </c>
      <c r="AK183">
        <f>INDEX(Coordinates!$B$2:$B$197,MATCH(H183,Coordinates!$J$2:$J$197,0))</f>
        <v>-2.2777009659999998</v>
      </c>
      <c r="AL183">
        <f>INDEX(Coordinates!$C$2:$C$197,MATCH(H183,Coordinates!$J$2:$J$197,0))</f>
        <v>34.027393969999999</v>
      </c>
      <c r="AM183" t="str">
        <f>IF(ISNUMBER(SEARCH("C", 'WetLitterbags placem_collection'!$V184)),"YES","NO")</f>
        <v>NO</v>
      </c>
      <c r="AN183" t="str">
        <f>IF(ISNUMBER(SEARCH("H", 'WetLitterbags placem_collection'!$V184)),"YES","NO")</f>
        <v>YES</v>
      </c>
      <c r="AO183" t="str">
        <f>IF(ISNUMBER(SEARCH("R", 'WetLitterbags placem_collection'!$V184)),"YES","NO")</f>
        <v>YES</v>
      </c>
    </row>
    <row r="184" spans="1:41" ht="15" customHeight="1">
      <c r="A184" s="255" t="s">
        <v>2454</v>
      </c>
      <c r="B184" s="260">
        <f>'Dry_Litterbag Placem_Collection'!A185</f>
        <v>183</v>
      </c>
      <c r="C184" s="260" t="str">
        <f>'Dry_Litterbag Placem_Collection'!B185</f>
        <v>Handajega</v>
      </c>
      <c r="D184" s="260" t="s">
        <v>2454</v>
      </c>
      <c r="E184" s="260" t="s">
        <v>2645</v>
      </c>
      <c r="F184" s="260">
        <v>3</v>
      </c>
      <c r="G184" s="260" t="s">
        <v>3828</v>
      </c>
      <c r="H184" s="261" t="str">
        <f>'Dry_Litterbag Placem_Collection'!C185</f>
        <v>Wet_W3_T7</v>
      </c>
      <c r="I184" s="262" t="s">
        <v>2525</v>
      </c>
      <c r="J184" s="263" t="s">
        <v>1147</v>
      </c>
      <c r="K184" s="221" t="str">
        <f>'WetLitterbags placem_collection'!K185</f>
        <v>G585</v>
      </c>
      <c r="L184" s="223">
        <f>IFERROR(INDEX('Green_rooibos initial weight'!$C$5:$C$2000,MATCH(K184, 'Green_rooibos initial weight'!$A$5:$A$2000,0)),"")</f>
        <v>2.1669999999999998</v>
      </c>
      <c r="M184" s="223">
        <f>IFERROR(L184-(TBIcalc!$H$9+TBIcalc!$H$10),"")</f>
        <v>1.9171999999999998</v>
      </c>
      <c r="N184" s="385">
        <f>AVERAGE(Ashed_controlls!$K$2:$K$11)</f>
        <v>5.5147656768714146</v>
      </c>
      <c r="O184" s="223">
        <f t="shared" si="11"/>
        <v>1.8114709124430211</v>
      </c>
      <c r="P184" s="223">
        <f>IFERROR(INDEX('Both teabags AfterWet'!$C$3:$C$840,MATCH(K184,'Both teabags AfterWet'!$A$3:$A$840,0)),"")</f>
        <v>0.71799999999999997</v>
      </c>
      <c r="Q184" s="223">
        <f>IFERROR(IF(P184&gt;0,P184-(TBIcalc!$H$9),""),"")</f>
        <v>0.5673999999999999</v>
      </c>
      <c r="R184" s="223">
        <f>IFERROR(INDEX('Ashed teabags wet'!$K$2:$K$2000,MATCH(K184,'Ashed teabags wet'!$A$2:$A$2000,0)),"")</f>
        <v>10.155490767735316</v>
      </c>
      <c r="S184" s="223">
        <f t="shared" si="12"/>
        <v>0.50977774538386977</v>
      </c>
      <c r="T184" s="224">
        <f>'WetLitterbags placem_collection'!E185</f>
        <v>42763</v>
      </c>
      <c r="U184" s="224">
        <f>IF('WetLitterbags placem_collection'!G185="","",'WetLitterbags placem_collection'!G185)</f>
        <v>42815</v>
      </c>
      <c r="V184" s="225">
        <f t="shared" si="10"/>
        <v>52</v>
      </c>
      <c r="W184" s="223">
        <f t="shared" si="13"/>
        <v>1.3497999999999999</v>
      </c>
      <c r="X184" s="223">
        <f t="shared" si="14"/>
        <v>1.3016931670591512</v>
      </c>
      <c r="Y184">
        <f>IFERROR(INDEX(Rainfall_Wet!$O$2:$O$217,MATCH(B184, Rainfall_Wet!$A$2:$A$217,0)),"")</f>
        <v>188.24043152799999</v>
      </c>
      <c r="Z184" s="228">
        <v>25.96</v>
      </c>
      <c r="AA184" s="228">
        <v>8.9200000000000017</v>
      </c>
      <c r="AB184" s="228">
        <v>65.12</v>
      </c>
      <c r="AC184" s="229" t="s">
        <v>2654</v>
      </c>
      <c r="AD184" s="228">
        <v>7.6145884672252304</v>
      </c>
      <c r="AE184">
        <f>IF('WetLitterbags placem_collection'!AB185="","",'WetLitterbags placem_collection'!AB185)</f>
        <v>11.4</v>
      </c>
      <c r="AF184">
        <f>IF('WetLitterbags placem_collection'!Z185="","",'WetLitterbags placem_collection'!Z185)</f>
        <v>35.799999999999997</v>
      </c>
      <c r="AG184" s="243" t="str">
        <f>IF('WetLitterbags placem_collection'!AA185="","",'WetLitterbags placem_collection'!AA185)</f>
        <v>G</v>
      </c>
      <c r="AH184">
        <f>IF('WetLitterbags placem_collection'!AC185="","",'WetLitterbags placem_collection'!AC185)</f>
        <v>1</v>
      </c>
      <c r="AI184" s="237">
        <f>AVERAGE('WetLitterbags placem_collection'!S185,'WetLitterbags placem_collection'!U185)</f>
        <v>13.4</v>
      </c>
      <c r="AJ184">
        <f>AVERAGE('WetLitterbags placem_collection'!R185,'WetLitterbags placem_collection'!T185)</f>
        <v>33.5</v>
      </c>
      <c r="AK184">
        <f>INDEX(Coordinates!$B$2:$B$197,MATCH(H184,Coordinates!$J$2:$J$197,0))</f>
        <v>-2.2777790019999999</v>
      </c>
      <c r="AL184">
        <f>INDEX(Coordinates!$C$2:$C$197,MATCH(H184,Coordinates!$J$2:$J$197,0))</f>
        <v>34.028066029999998</v>
      </c>
      <c r="AM184" t="str">
        <f>IF(ISNUMBER(SEARCH("C", 'WetLitterbags placem_collection'!$V185)),"YES","NO")</f>
        <v>YES</v>
      </c>
      <c r="AN184" t="str">
        <f>IF(ISNUMBER(SEARCH("H", 'WetLitterbags placem_collection'!$V185)),"YES","NO")</f>
        <v>NO</v>
      </c>
      <c r="AO184" t="str">
        <f>IF(ISNUMBER(SEARCH("R", 'WetLitterbags placem_collection'!$V185)),"YES","NO")</f>
        <v>NO</v>
      </c>
    </row>
    <row r="185" spans="1:41" ht="15" customHeight="1">
      <c r="A185" s="255" t="s">
        <v>2454</v>
      </c>
      <c r="B185" s="260">
        <f>'Dry_Litterbag Placem_Collection'!A186</f>
        <v>184</v>
      </c>
      <c r="C185" s="260" t="str">
        <f>'Dry_Litterbag Placem_Collection'!B186</f>
        <v>Handajega</v>
      </c>
      <c r="D185" s="260" t="s">
        <v>2454</v>
      </c>
      <c r="E185" s="260" t="s">
        <v>2645</v>
      </c>
      <c r="F185" s="260">
        <v>3</v>
      </c>
      <c r="G185" s="260" t="s">
        <v>3828</v>
      </c>
      <c r="H185" s="261" t="str">
        <f>'Dry_Litterbag Placem_Collection'!C186</f>
        <v>Wet_W3_T8</v>
      </c>
      <c r="I185" s="262" t="s">
        <v>2525</v>
      </c>
      <c r="J185" s="263" t="s">
        <v>1147</v>
      </c>
      <c r="K185" s="221" t="str">
        <f>'WetLitterbags placem_collection'!K186</f>
        <v>G669</v>
      </c>
      <c r="L185" s="223">
        <f>IFERROR(INDEX('Green_rooibos initial weight'!$C$5:$C$2000,MATCH(K185, 'Green_rooibos initial weight'!$A$5:$A$2000,0)),"")</f>
        <v>1.9359999999999999</v>
      </c>
      <c r="M185" s="223">
        <f>IFERROR(L185-(TBIcalc!$H$9+TBIcalc!$H$10),"")</f>
        <v>1.6861999999999999</v>
      </c>
      <c r="N185" s="385">
        <f>AVERAGE(Ashed_controlls!$K$2:$K$11)</f>
        <v>5.5147656768714146</v>
      </c>
      <c r="O185" s="223">
        <f t="shared" si="11"/>
        <v>1.593210021156594</v>
      </c>
      <c r="P185" s="223">
        <f>IFERROR(INDEX('Both teabags AfterWet'!$C$3:$C$840,MATCH(K185,'Both teabags AfterWet'!$A$3:$A$840,0)),"")</f>
        <v>0.7097</v>
      </c>
      <c r="Q185" s="223">
        <f>IFERROR(IF(P185&gt;0,P185-(TBIcalc!$H$9),""),"")</f>
        <v>0.55909999999999993</v>
      </c>
      <c r="R185" s="223">
        <f>IFERROR(INDEX('Ashed teabags wet'!$K$2:$K$2000,MATCH(K185,'Ashed teabags wet'!$A$2:$A$2000,0)),"")</f>
        <v>8.7171867261018541</v>
      </c>
      <c r="S185" s="223">
        <f t="shared" si="12"/>
        <v>0.51036220901436447</v>
      </c>
      <c r="T185" s="224">
        <f>'WetLitterbags placem_collection'!E186</f>
        <v>42763</v>
      </c>
      <c r="U185" s="224">
        <f>IF('WetLitterbags placem_collection'!G186="","",'WetLitterbags placem_collection'!G186)</f>
        <v>42815</v>
      </c>
      <c r="V185" s="225">
        <f t="shared" si="10"/>
        <v>52</v>
      </c>
      <c r="W185" s="223">
        <f t="shared" si="13"/>
        <v>1.1271</v>
      </c>
      <c r="X185" s="223">
        <f t="shared" si="14"/>
        <v>1.0828478121422296</v>
      </c>
      <c r="Y185">
        <f>IFERROR(INDEX(Rainfall_Wet!$O$2:$O$217,MATCH(B185, Rainfall_Wet!$A$2:$A$217,0)),"")</f>
        <v>188.24043152799999</v>
      </c>
      <c r="Z185" s="228">
        <v>25.96</v>
      </c>
      <c r="AA185" s="228">
        <v>8.9200000000000017</v>
      </c>
      <c r="AB185" s="228">
        <v>65.12</v>
      </c>
      <c r="AC185" s="229" t="s">
        <v>2654</v>
      </c>
      <c r="AD185" s="228">
        <v>8.6145884672252304</v>
      </c>
      <c r="AE185">
        <f>IF('WetLitterbags placem_collection'!AB186="","",'WetLitterbags placem_collection'!AB186)</f>
        <v>3.7</v>
      </c>
      <c r="AF185">
        <f>IF('WetLitterbags placem_collection'!Z186="","",'WetLitterbags placem_collection'!Z186)</f>
        <v>16.399999999999999</v>
      </c>
      <c r="AG185" s="243" t="str">
        <f>IF('WetLitterbags placem_collection'!AA186="","",'WetLitterbags placem_collection'!AA186)</f>
        <v>O</v>
      </c>
      <c r="AH185">
        <f>IF('WetLitterbags placem_collection'!AC186="","",'WetLitterbags placem_collection'!AC186)</f>
        <v>0</v>
      </c>
      <c r="AI185" s="237">
        <f>AVERAGE('WetLitterbags placem_collection'!S186,'WetLitterbags placem_collection'!U186)</f>
        <v>13.3</v>
      </c>
      <c r="AJ185">
        <f>AVERAGE('WetLitterbags placem_collection'!R186,'WetLitterbags placem_collection'!T186)</f>
        <v>29.950000000000003</v>
      </c>
      <c r="AK185">
        <f>INDEX(Coordinates!$B$2:$B$197,MATCH(H185,Coordinates!$J$2:$J$197,0))</f>
        <v>-2.2775169829999999</v>
      </c>
      <c r="AL185">
        <f>INDEX(Coordinates!$C$2:$C$197,MATCH(H185,Coordinates!$J$2:$J$197,0))</f>
        <v>34.027766970000002</v>
      </c>
      <c r="AM185" t="str">
        <f>IF(ISNUMBER(SEARCH("C", 'WetLitterbags placem_collection'!$V186)),"YES","NO")</f>
        <v>NO</v>
      </c>
      <c r="AN185" t="str">
        <f>IF(ISNUMBER(SEARCH("H", 'WetLitterbags placem_collection'!$V186)),"YES","NO")</f>
        <v>NO</v>
      </c>
      <c r="AO185" t="str">
        <f>IF(ISNUMBER(SEARCH("R", 'WetLitterbags placem_collection'!$V186)),"YES","NO")</f>
        <v>YES</v>
      </c>
    </row>
    <row r="186" spans="1:41" ht="15" customHeight="1">
      <c r="A186" s="255" t="s">
        <v>2454</v>
      </c>
      <c r="B186" s="260">
        <f>'Dry_Litterbag Placem_Collection'!A187</f>
        <v>185</v>
      </c>
      <c r="C186" s="260" t="str">
        <f>'Dry_Litterbag Placem_Collection'!B187</f>
        <v>Handajega</v>
      </c>
      <c r="D186" s="260" t="s">
        <v>2454</v>
      </c>
      <c r="E186" s="260" t="s">
        <v>2645</v>
      </c>
      <c r="F186" s="260">
        <v>4</v>
      </c>
      <c r="G186" s="260" t="s">
        <v>3829</v>
      </c>
      <c r="H186" s="261" t="str">
        <f>'Dry_Litterbag Placem_Collection'!C187</f>
        <v>Wet_W4_T1</v>
      </c>
      <c r="I186" s="262" t="s">
        <v>2525</v>
      </c>
      <c r="J186" s="263" t="s">
        <v>1147</v>
      </c>
      <c r="K186" s="221" t="str">
        <f>'WetLitterbags placem_collection'!K187</f>
        <v>G423</v>
      </c>
      <c r="L186" s="223">
        <f>IFERROR(INDEX('Green_rooibos initial weight'!$C$5:$C$2000,MATCH(K186, 'Green_rooibos initial weight'!$A$5:$A$2000,0)),"")</f>
        <v>2.0649999999999999</v>
      </c>
      <c r="M186" s="223">
        <f>IFERROR(L186-(TBIcalc!$H$9+TBIcalc!$H$10),"")</f>
        <v>1.8151999999999999</v>
      </c>
      <c r="N186" s="385">
        <f>AVERAGE(Ashed_controlls!$K$2:$K$11)</f>
        <v>5.5147656768714146</v>
      </c>
      <c r="O186" s="223">
        <f t="shared" si="11"/>
        <v>1.7150959734334301</v>
      </c>
      <c r="P186" s="223">
        <f>IFERROR(INDEX('Both teabags AfterWet'!$C$3:$C$840,MATCH(K186,'Both teabags AfterWet'!$A$3:$A$840,0)),"")</f>
        <v>0.62319999999999998</v>
      </c>
      <c r="Q186" s="223">
        <f>IFERROR(IF(P186&gt;0,P186-(TBIcalc!$H$9),""),"")</f>
        <v>0.47259999999999996</v>
      </c>
      <c r="R186" s="223">
        <f>IFERROR(INDEX('Ashed teabags wet'!$K$2:$K$2000,MATCH(K186,'Ashed teabags wet'!$A$2:$A$2000,0)),"")</f>
        <v>9.4793713163063114</v>
      </c>
      <c r="S186" s="223">
        <f t="shared" si="12"/>
        <v>0.42780049115913632</v>
      </c>
      <c r="T186" s="224">
        <f>'WetLitterbags placem_collection'!E187</f>
        <v>42763</v>
      </c>
      <c r="U186" s="224">
        <f>IF('WetLitterbags placem_collection'!G187="","",'WetLitterbags placem_collection'!G187)</f>
        <v>42815</v>
      </c>
      <c r="V186" s="225">
        <f t="shared" si="10"/>
        <v>52</v>
      </c>
      <c r="W186" s="223">
        <f t="shared" si="13"/>
        <v>1.3426</v>
      </c>
      <c r="X186" s="223">
        <f t="shared" si="14"/>
        <v>1.2872954822742937</v>
      </c>
      <c r="Y186">
        <f>IFERROR(INDEX(Rainfall_Wet!$O$2:$O$217,MATCH(B186, Rainfall_Wet!$A$2:$A$217,0)),"")</f>
        <v>188.24043152799999</v>
      </c>
      <c r="Z186" s="228">
        <v>25.96</v>
      </c>
      <c r="AA186" s="228">
        <v>8.9200000000000017</v>
      </c>
      <c r="AB186" s="228">
        <v>65.12</v>
      </c>
      <c r="AC186" s="229" t="s">
        <v>2654</v>
      </c>
      <c r="AD186" s="228">
        <v>1.6991621488417901</v>
      </c>
      <c r="AE186">
        <f>IF('WetLitterbags placem_collection'!AB187="","",'WetLitterbags placem_collection'!AB187)</f>
        <v>9.8000000000000007</v>
      </c>
      <c r="AF186">
        <f>IF('WetLitterbags placem_collection'!Z187="","",'WetLitterbags placem_collection'!Z187)</f>
        <v>29.4</v>
      </c>
      <c r="AG186" s="243" t="str">
        <f>IF('WetLitterbags placem_collection'!AA187="","",'WetLitterbags placem_collection'!AA187)</f>
        <v>O</v>
      </c>
      <c r="AH186">
        <f>IF('WetLitterbags placem_collection'!AC187="","",'WetLitterbags placem_collection'!AC187)</f>
        <v>0</v>
      </c>
      <c r="AI186" s="237">
        <f>AVERAGE('WetLitterbags placem_collection'!S187,'WetLitterbags placem_collection'!U187)</f>
        <v>17.850000000000001</v>
      </c>
      <c r="AJ186">
        <f>AVERAGE('WetLitterbags placem_collection'!R187,'WetLitterbags placem_collection'!T187)</f>
        <v>35.400000000000006</v>
      </c>
      <c r="AK186">
        <f>INDEX(Coordinates!$B$2:$B$197,MATCH(H186,Coordinates!$J$2:$J$197,0))</f>
        <v>-2.2787330300000002</v>
      </c>
      <c r="AL186">
        <f>INDEX(Coordinates!$C$2:$C$197,MATCH(H186,Coordinates!$J$2:$J$197,0))</f>
        <v>34.032136029999997</v>
      </c>
      <c r="AM186" t="str">
        <f>IF(ISNUMBER(SEARCH("C", 'WetLitterbags placem_collection'!$V187)),"YES","NO")</f>
        <v>NO</v>
      </c>
      <c r="AN186" t="str">
        <f>IF(ISNUMBER(SEARCH("H", 'WetLitterbags placem_collection'!$V187)),"YES","NO")</f>
        <v>NO</v>
      </c>
      <c r="AO186" t="str">
        <f>IF(ISNUMBER(SEARCH("R", 'WetLitterbags placem_collection'!$V187)),"YES","NO")</f>
        <v>NO</v>
      </c>
    </row>
    <row r="187" spans="1:41" ht="15" customHeight="1">
      <c r="A187" s="255" t="s">
        <v>2454</v>
      </c>
      <c r="B187" s="260">
        <f>'Dry_Litterbag Placem_Collection'!A188</f>
        <v>186</v>
      </c>
      <c r="C187" s="260" t="str">
        <f>'Dry_Litterbag Placem_Collection'!B188</f>
        <v>Handajega</v>
      </c>
      <c r="D187" s="260" t="s">
        <v>2454</v>
      </c>
      <c r="E187" s="260" t="s">
        <v>2645</v>
      </c>
      <c r="F187" s="260">
        <v>4</v>
      </c>
      <c r="G187" s="260" t="s">
        <v>3829</v>
      </c>
      <c r="H187" s="261" t="str">
        <f>'Dry_Litterbag Placem_Collection'!C188</f>
        <v>Wet_W4_T2</v>
      </c>
      <c r="I187" s="262" t="s">
        <v>2525</v>
      </c>
      <c r="J187" s="263" t="s">
        <v>1147</v>
      </c>
      <c r="K187" s="221" t="str">
        <f>'WetLitterbags placem_collection'!K188</f>
        <v>G544</v>
      </c>
      <c r="L187" s="223">
        <f>IFERROR(INDEX('Green_rooibos initial weight'!$C$5:$C$2000,MATCH(K187, 'Green_rooibos initial weight'!$A$5:$A$2000,0)),"")</f>
        <v>2.0830000000000002</v>
      </c>
      <c r="M187" s="223">
        <f>IFERROR(L187-(TBIcalc!$H$9+TBIcalc!$H$10),"")</f>
        <v>1.8332000000000002</v>
      </c>
      <c r="N187" s="385">
        <f>AVERAGE(Ashed_controlls!$K$2:$K$11)</f>
        <v>5.5147656768714146</v>
      </c>
      <c r="O187" s="223">
        <f t="shared" si="11"/>
        <v>1.7321033156115935</v>
      </c>
      <c r="P187" s="223">
        <f>IFERROR(INDEX('Both teabags AfterWet'!$C$3:$C$840,MATCH(K187,'Both teabags AfterWet'!$A$3:$A$840,0)),"")</f>
        <v>0.69</v>
      </c>
      <c r="Q187" s="223">
        <f>IFERROR(IF(P187&gt;0,P187-(TBIcalc!$H$9),""),"")</f>
        <v>0.53939999999999988</v>
      </c>
      <c r="R187" s="223">
        <f>IFERROR(INDEX('Ashed teabags wet'!$K$2:$K$2000,MATCH(K187,'Ashed teabags wet'!$A$2:$A$2000,0)),"")</f>
        <v>9.5401174168302578</v>
      </c>
      <c r="S187" s="223">
        <f t="shared" si="12"/>
        <v>0.48794060665361749</v>
      </c>
      <c r="T187" s="224">
        <f>'WetLitterbags placem_collection'!E188</f>
        <v>42763</v>
      </c>
      <c r="U187" s="224">
        <f>IF('WetLitterbags placem_collection'!G188="","",'WetLitterbags placem_collection'!G188)</f>
        <v>42815</v>
      </c>
      <c r="V187" s="225">
        <f t="shared" si="10"/>
        <v>52</v>
      </c>
      <c r="W187" s="223">
        <f t="shared" si="13"/>
        <v>1.2938000000000003</v>
      </c>
      <c r="X187" s="223">
        <f t="shared" si="14"/>
        <v>1.2441627089579761</v>
      </c>
      <c r="Y187">
        <f>IFERROR(INDEX(Rainfall_Wet!$O$2:$O$217,MATCH(B187, Rainfall_Wet!$A$2:$A$217,0)),"")</f>
        <v>188.24043152799999</v>
      </c>
      <c r="Z187" s="228">
        <v>25.96</v>
      </c>
      <c r="AA187" s="228">
        <v>8.9200000000000017</v>
      </c>
      <c r="AB187" s="228">
        <v>65.12</v>
      </c>
      <c r="AC187" s="229" t="s">
        <v>2654</v>
      </c>
      <c r="AD187" s="228">
        <v>2.6991621488417898</v>
      </c>
      <c r="AE187">
        <f>IF('WetLitterbags placem_collection'!AB188="","",'WetLitterbags placem_collection'!AB188)</f>
        <v>11.4</v>
      </c>
      <c r="AF187">
        <f>IF('WetLitterbags placem_collection'!Z188="","",'WetLitterbags placem_collection'!Z188)</f>
        <v>45.4</v>
      </c>
      <c r="AG187" s="243" t="str">
        <f>IF('WetLitterbags placem_collection'!AA188="","",'WetLitterbags placem_collection'!AA188)</f>
        <v>O</v>
      </c>
      <c r="AH187">
        <f>IF('WetLitterbags placem_collection'!AC188="","",'WetLitterbags placem_collection'!AC188)</f>
        <v>0</v>
      </c>
      <c r="AI187" s="237">
        <f>AVERAGE('WetLitterbags placem_collection'!S188,'WetLitterbags placem_collection'!U188)</f>
        <v>16.899999999999999</v>
      </c>
      <c r="AJ187">
        <f>AVERAGE('WetLitterbags placem_collection'!R188,'WetLitterbags placem_collection'!T188)</f>
        <v>33.9</v>
      </c>
      <c r="AK187">
        <f>INDEX(Coordinates!$B$2:$B$197,MATCH(H187,Coordinates!$J$2:$J$197,0))</f>
        <v>-2.278763037</v>
      </c>
      <c r="AL187">
        <f>INDEX(Coordinates!$C$2:$C$197,MATCH(H187,Coordinates!$J$2:$J$197,0))</f>
        <v>34.031974009999999</v>
      </c>
      <c r="AM187" t="str">
        <f>IF(ISNUMBER(SEARCH("C", 'WetLitterbags placem_collection'!$V188)),"YES","NO")</f>
        <v>NO</v>
      </c>
      <c r="AN187" t="str">
        <f>IF(ISNUMBER(SEARCH("H", 'WetLitterbags placem_collection'!$V188)),"YES","NO")</f>
        <v>NO</v>
      </c>
      <c r="AO187" t="str">
        <f>IF(ISNUMBER(SEARCH("R", 'WetLitterbags placem_collection'!$V188)),"YES","NO")</f>
        <v>YES</v>
      </c>
    </row>
    <row r="188" spans="1:41" ht="15" customHeight="1">
      <c r="A188" s="255" t="s">
        <v>2454</v>
      </c>
      <c r="B188" s="260">
        <f>'Dry_Litterbag Placem_Collection'!A189</f>
        <v>187</v>
      </c>
      <c r="C188" s="260" t="str">
        <f>'Dry_Litterbag Placem_Collection'!B189</f>
        <v>Handajega</v>
      </c>
      <c r="D188" s="260" t="s">
        <v>2454</v>
      </c>
      <c r="E188" s="260" t="s">
        <v>2645</v>
      </c>
      <c r="F188" s="260">
        <v>4</v>
      </c>
      <c r="G188" s="260" t="s">
        <v>3829</v>
      </c>
      <c r="H188" s="261" t="str">
        <f>'Dry_Litterbag Placem_Collection'!C189</f>
        <v>Wet_W4_T3</v>
      </c>
      <c r="I188" s="262" t="s">
        <v>2525</v>
      </c>
      <c r="J188" s="263" t="s">
        <v>1147</v>
      </c>
      <c r="K188" s="221" t="str">
        <f>'WetLitterbags placem_collection'!K189</f>
        <v>G620</v>
      </c>
      <c r="L188" s="223">
        <f>IFERROR(INDEX('Green_rooibos initial weight'!$C$5:$C$2000,MATCH(K188, 'Green_rooibos initial weight'!$A$5:$A$2000,0)),"")</f>
        <v>2.0019999999999998</v>
      </c>
      <c r="M188" s="223">
        <f>IFERROR(L188-(TBIcalc!$H$9+TBIcalc!$H$10),"")</f>
        <v>1.7521999999999998</v>
      </c>
      <c r="N188" s="385">
        <f>AVERAGE(Ashed_controlls!$K$2:$K$11)</f>
        <v>5.5147656768714146</v>
      </c>
      <c r="O188" s="223">
        <f t="shared" si="11"/>
        <v>1.6555702758098589</v>
      </c>
      <c r="P188" s="223">
        <f>IFERROR(INDEX('Both teabags AfterWet'!$C$3:$C$840,MATCH(K188,'Both teabags AfterWet'!$A$3:$A$840,0)),"")</f>
        <v>0.59950000000000003</v>
      </c>
      <c r="Q188" s="223">
        <f>IFERROR(IF(P188&gt;0,P188-(TBIcalc!$H$9),""),"")</f>
        <v>0.44890000000000002</v>
      </c>
      <c r="R188" s="223">
        <f>IFERROR(INDEX('Ashed teabags wet'!$K$2:$K$2000,MATCH(K188,'Ashed teabags wet'!$A$2:$A$2000,0)),"")</f>
        <v>8.6766844401358867</v>
      </c>
      <c r="S188" s="223">
        <f t="shared" si="12"/>
        <v>0.40995036354823</v>
      </c>
      <c r="T188" s="224">
        <f>'WetLitterbags placem_collection'!E189</f>
        <v>42763</v>
      </c>
      <c r="U188" s="224">
        <f>IF('WetLitterbags placem_collection'!G189="","",'WetLitterbags placem_collection'!G189)</f>
        <v>42815</v>
      </c>
      <c r="V188" s="225">
        <f t="shared" si="10"/>
        <v>52</v>
      </c>
      <c r="W188" s="223">
        <f t="shared" si="13"/>
        <v>1.3032999999999997</v>
      </c>
      <c r="X188" s="223">
        <f t="shared" si="14"/>
        <v>1.2456199122616289</v>
      </c>
      <c r="Y188">
        <f>IFERROR(INDEX(Rainfall_Wet!$O$2:$O$217,MATCH(B188, Rainfall_Wet!$A$2:$A$217,0)),"")</f>
        <v>188.24043152799999</v>
      </c>
      <c r="Z188" s="228">
        <v>25.96</v>
      </c>
      <c r="AA188" s="228">
        <v>8.9200000000000017</v>
      </c>
      <c r="AB188" s="228">
        <v>65.12</v>
      </c>
      <c r="AC188" s="229" t="s">
        <v>2654</v>
      </c>
      <c r="AD188" s="228">
        <v>3.6991621488417898</v>
      </c>
      <c r="AE188">
        <f>IF('WetLitterbags placem_collection'!AB189="","",'WetLitterbags placem_collection'!AB189)</f>
        <v>0.6</v>
      </c>
      <c r="AF188">
        <f>IF('WetLitterbags placem_collection'!Z189="","",'WetLitterbags placem_collection'!Z189)</f>
        <v>39.4</v>
      </c>
      <c r="AG188" s="243" t="str">
        <f>IF('WetLitterbags placem_collection'!AA189="","",'WetLitterbags placem_collection'!AA189)</f>
        <v>O</v>
      </c>
      <c r="AH188">
        <f>IF('WetLitterbags placem_collection'!AC189="","",'WetLitterbags placem_collection'!AC189)</f>
        <v>1</v>
      </c>
      <c r="AI188" s="237">
        <f>AVERAGE('WetLitterbags placem_collection'!S189,'WetLitterbags placem_collection'!U189)</f>
        <v>14.2</v>
      </c>
      <c r="AJ188">
        <f>AVERAGE('WetLitterbags placem_collection'!R189,'WetLitterbags placem_collection'!T189)</f>
        <v>33</v>
      </c>
      <c r="AK188">
        <f>INDEX(Coordinates!$B$2:$B$197,MATCH(H188,Coordinates!$J$2:$J$197,0))</f>
        <v>-2.2785890289999999</v>
      </c>
      <c r="AL188">
        <f>INDEX(Coordinates!$C$2:$C$197,MATCH(H188,Coordinates!$J$2:$J$197,0))</f>
        <v>34.031841999999997</v>
      </c>
      <c r="AM188" t="str">
        <f>IF(ISNUMBER(SEARCH("C", 'WetLitterbags placem_collection'!$V189)),"YES","NO")</f>
        <v>NO</v>
      </c>
      <c r="AN188" t="str">
        <f>IF(ISNUMBER(SEARCH("H", 'WetLitterbags placem_collection'!$V189)),"YES","NO")</f>
        <v>NO</v>
      </c>
      <c r="AO188" t="str">
        <f>IF(ISNUMBER(SEARCH("R", 'WetLitterbags placem_collection'!$V189)),"YES","NO")</f>
        <v>NO</v>
      </c>
    </row>
    <row r="189" spans="1:41" ht="15" customHeight="1">
      <c r="A189" s="255" t="s">
        <v>2454</v>
      </c>
      <c r="B189" s="260">
        <f>'Dry_Litterbag Placem_Collection'!A190</f>
        <v>188</v>
      </c>
      <c r="C189" s="260" t="str">
        <f>'Dry_Litterbag Placem_Collection'!B190</f>
        <v>Handajega</v>
      </c>
      <c r="D189" s="260" t="s">
        <v>2454</v>
      </c>
      <c r="E189" s="260" t="s">
        <v>2645</v>
      </c>
      <c r="F189" s="260">
        <v>4</v>
      </c>
      <c r="G189" s="260" t="s">
        <v>3829</v>
      </c>
      <c r="H189" s="261" t="str">
        <f>'Dry_Litterbag Placem_Collection'!C190</f>
        <v>Wet_W4_T4</v>
      </c>
      <c r="I189" s="262" t="s">
        <v>2525</v>
      </c>
      <c r="J189" s="263" t="s">
        <v>1147</v>
      </c>
      <c r="K189" s="221" t="str">
        <f>'WetLitterbags placem_collection'!K190</f>
        <v>G420</v>
      </c>
      <c r="L189" s="223">
        <f>IFERROR(INDEX('Green_rooibos initial weight'!$C$5:$C$2000,MATCH(K189, 'Green_rooibos initial weight'!$A$5:$A$2000,0)),"")</f>
        <v>2.0390000000000001</v>
      </c>
      <c r="M189" s="223">
        <f>IFERROR(L189-(TBIcalc!$H$9+TBIcalc!$H$10),"")</f>
        <v>1.7892000000000001</v>
      </c>
      <c r="N189" s="385">
        <f>AVERAGE(Ashed_controlls!$K$2:$K$11)</f>
        <v>5.5147656768714146</v>
      </c>
      <c r="O189" s="223">
        <f t="shared" si="11"/>
        <v>1.6905298125094168</v>
      </c>
      <c r="P189" s="223">
        <f>IFERROR(INDEX('Both teabags AfterWet'!$C$3:$C$840,MATCH(K189,'Both teabags AfterWet'!$A$3:$A$840,0)),"")</f>
        <v>0.29980000000000001</v>
      </c>
      <c r="Q189" s="223">
        <f>IFERROR(IF(P189&gt;0,P189-(TBIcalc!$H$9),""),"")</f>
        <v>0.1492</v>
      </c>
      <c r="R189" s="223">
        <f>IFERROR(INDEX('Ashed teabags wet'!$K$2:$K$2000,MATCH(K189,'Ashed teabags wet'!$A$2:$A$2000,0)),"")</f>
        <v>12.313003452243912</v>
      </c>
      <c r="S189" s="223">
        <f t="shared" si="12"/>
        <v>0.13082899884925209</v>
      </c>
      <c r="T189" s="224">
        <f>'WetLitterbags placem_collection'!E190</f>
        <v>42763</v>
      </c>
      <c r="U189" s="224">
        <f>IF('WetLitterbags placem_collection'!G190="","",'WetLitterbags placem_collection'!G190)</f>
        <v>42815</v>
      </c>
      <c r="V189" s="225">
        <f t="shared" si="10"/>
        <v>52</v>
      </c>
      <c r="W189" s="223">
        <f t="shared" si="13"/>
        <v>1.6400000000000001</v>
      </c>
      <c r="X189" s="223">
        <f t="shared" si="14"/>
        <v>1.5597008136601647</v>
      </c>
      <c r="Y189">
        <f>IFERROR(INDEX(Rainfall_Wet!$O$2:$O$217,MATCH(B189, Rainfall_Wet!$A$2:$A$217,0)),"")</f>
        <v>188.24043152799999</v>
      </c>
      <c r="Z189" s="228">
        <v>25.96</v>
      </c>
      <c r="AA189" s="228">
        <v>8.9200000000000017</v>
      </c>
      <c r="AB189" s="228">
        <v>65.12</v>
      </c>
      <c r="AC189" s="229" t="s">
        <v>2654</v>
      </c>
      <c r="AD189" s="228">
        <v>4.6991621488417898</v>
      </c>
      <c r="AE189">
        <f>IF('WetLitterbags placem_collection'!AB190="","",'WetLitterbags placem_collection'!AB190)</f>
        <v>2.2999999999999998</v>
      </c>
      <c r="AF189">
        <f>IF('WetLitterbags placem_collection'!Z190="","",'WetLitterbags placem_collection'!Z190)</f>
        <v>14.4</v>
      </c>
      <c r="AG189" s="243" t="str">
        <f>IF('WetLitterbags placem_collection'!AA190="","",'WetLitterbags placem_collection'!AA190)</f>
        <v>O</v>
      </c>
      <c r="AH189">
        <f>IF('WetLitterbags placem_collection'!AC190="","",'WetLitterbags placem_collection'!AC190)</f>
        <v>0</v>
      </c>
      <c r="AI189" s="237">
        <f>AVERAGE('WetLitterbags placem_collection'!S190,'WetLitterbags placem_collection'!U190)</f>
        <v>10.45</v>
      </c>
      <c r="AJ189">
        <f>AVERAGE('WetLitterbags placem_collection'!R190,'WetLitterbags placem_collection'!T190)</f>
        <v>34.15</v>
      </c>
      <c r="AK189">
        <f>INDEX(Coordinates!$B$2:$B$197,MATCH(H189,Coordinates!$J$2:$J$197,0))</f>
        <v>-2.278422983</v>
      </c>
      <c r="AL189">
        <f>INDEX(Coordinates!$C$2:$C$197,MATCH(H189,Coordinates!$J$2:$J$197,0))</f>
        <v>34.032261009999999</v>
      </c>
      <c r="AM189" t="str">
        <f>IF(ISNUMBER(SEARCH("C", 'WetLitterbags placem_collection'!$V190)),"YES","NO")</f>
        <v>NO</v>
      </c>
      <c r="AN189" t="str">
        <f>IF(ISNUMBER(SEARCH("H", 'WetLitterbags placem_collection'!$V190)),"YES","NO")</f>
        <v>YES</v>
      </c>
      <c r="AO189" t="str">
        <f>IF(ISNUMBER(SEARCH("R", 'WetLitterbags placem_collection'!$V190)),"YES","NO")</f>
        <v>NO</v>
      </c>
    </row>
    <row r="190" spans="1:41" ht="15" customHeight="1">
      <c r="A190" s="255" t="s">
        <v>2454</v>
      </c>
      <c r="B190" s="260">
        <f>'Dry_Litterbag Placem_Collection'!A191</f>
        <v>189</v>
      </c>
      <c r="C190" s="260" t="str">
        <f>'Dry_Litterbag Placem_Collection'!B191</f>
        <v>Handajega</v>
      </c>
      <c r="D190" s="260" t="s">
        <v>2454</v>
      </c>
      <c r="E190" s="260" t="s">
        <v>2645</v>
      </c>
      <c r="F190" s="260">
        <v>4</v>
      </c>
      <c r="G190" s="260" t="s">
        <v>3829</v>
      </c>
      <c r="H190" s="261" t="str">
        <f>'Dry_Litterbag Placem_Collection'!C191</f>
        <v>Wet_W4_T5</v>
      </c>
      <c r="I190" s="262" t="s">
        <v>2525</v>
      </c>
      <c r="J190" s="263" t="s">
        <v>1147</v>
      </c>
      <c r="K190" s="221" t="str">
        <f>'WetLitterbags placem_collection'!K191</f>
        <v>G367</v>
      </c>
      <c r="L190" s="223">
        <f>IFERROR(INDEX('Green_rooibos initial weight'!$C$5:$C$2000,MATCH(K190, 'Green_rooibos initial weight'!$A$5:$A$2000,0)),"")</f>
        <v>2.0990000000000002</v>
      </c>
      <c r="M190" s="223">
        <f>IFERROR(L190-(TBIcalc!$H$9+TBIcalc!$H$10),"")</f>
        <v>1.8492000000000002</v>
      </c>
      <c r="N190" s="385">
        <f>AVERAGE(Ashed_controlls!$K$2:$K$11)</f>
        <v>5.5147656768714146</v>
      </c>
      <c r="O190" s="223">
        <f t="shared" si="11"/>
        <v>1.7472209531032941</v>
      </c>
      <c r="P190" s="223">
        <f>IFERROR(INDEX('Both teabags AfterWet'!$C$3:$C$840,MATCH(K190,'Both teabags AfterWet'!$A$3:$A$840,0)),"")</f>
        <v>0.80840000000000001</v>
      </c>
      <c r="Q190" s="223">
        <f>IFERROR(IF(P190&gt;0,P190-(TBIcalc!$H$9),""),"")</f>
        <v>0.65779999999999994</v>
      </c>
      <c r="R190" s="223">
        <f>IFERROR(INDEX('Ashed teabags wet'!$K$2:$K$2000,MATCH(K190,'Ashed teabags wet'!$A$2:$A$2000,0)),"")</f>
        <v>9.3843098311821134</v>
      </c>
      <c r="S190" s="223">
        <f t="shared" si="12"/>
        <v>0.59607000993048398</v>
      </c>
      <c r="T190" s="224">
        <f>'WetLitterbags placem_collection'!E191</f>
        <v>42763</v>
      </c>
      <c r="U190" s="224">
        <f>IF('WetLitterbags placem_collection'!G191="","",'WetLitterbags placem_collection'!G191)</f>
        <v>42815</v>
      </c>
      <c r="V190" s="225">
        <f t="shared" si="10"/>
        <v>52</v>
      </c>
      <c r="W190" s="223">
        <f t="shared" si="13"/>
        <v>1.1914000000000002</v>
      </c>
      <c r="X190" s="223">
        <f t="shared" si="14"/>
        <v>1.15115094317281</v>
      </c>
      <c r="Y190">
        <f>IFERROR(INDEX(Rainfall_Wet!$O$2:$O$217,MATCH(B190, Rainfall_Wet!$A$2:$A$217,0)),"")</f>
        <v>188.24043152799999</v>
      </c>
      <c r="Z190" s="228">
        <v>25.96</v>
      </c>
      <c r="AA190" s="228">
        <v>8.9200000000000017</v>
      </c>
      <c r="AB190" s="228">
        <v>65.12</v>
      </c>
      <c r="AC190" s="229" t="s">
        <v>2654</v>
      </c>
      <c r="AD190" s="228">
        <v>5.6991621488417898</v>
      </c>
      <c r="AE190">
        <f>IF('WetLitterbags placem_collection'!AB191="","",'WetLitterbags placem_collection'!AB191)</f>
        <v>0.6</v>
      </c>
      <c r="AF190">
        <f>IF('WetLitterbags placem_collection'!Z191="","",'WetLitterbags placem_collection'!Z191)</f>
        <v>7</v>
      </c>
      <c r="AG190" s="243" t="str">
        <f>IF('WetLitterbags placem_collection'!AA191="","",'WetLitterbags placem_collection'!AA191)</f>
        <v>O</v>
      </c>
      <c r="AH190">
        <f>IF('WetLitterbags placem_collection'!AC191="","",'WetLitterbags placem_collection'!AC191)</f>
        <v>1</v>
      </c>
      <c r="AI190" s="237">
        <f>AVERAGE('WetLitterbags placem_collection'!S191,'WetLitterbags placem_collection'!U191)</f>
        <v>13.6</v>
      </c>
      <c r="AJ190">
        <f>AVERAGE('WetLitterbags placem_collection'!R191,'WetLitterbags placem_collection'!T191)</f>
        <v>30.6</v>
      </c>
      <c r="AK190">
        <f>INDEX(Coordinates!$B$2:$B$197,MATCH(H190,Coordinates!$J$2:$J$197,0))</f>
        <v>-2.2787580080000001</v>
      </c>
      <c r="AL190">
        <f>INDEX(Coordinates!$C$2:$C$197,MATCH(H190,Coordinates!$J$2:$J$197,0))</f>
        <v>34.032463010000001</v>
      </c>
      <c r="AM190" t="str">
        <f>IF(ISNUMBER(SEARCH("C", 'WetLitterbags placem_collection'!$V191)),"YES","NO")</f>
        <v>YES</v>
      </c>
      <c r="AN190" t="str">
        <f>IF(ISNUMBER(SEARCH("H", 'WetLitterbags placem_collection'!$V191)),"YES","NO")</f>
        <v>NO</v>
      </c>
      <c r="AO190" t="str">
        <f>IF(ISNUMBER(SEARCH("R", 'WetLitterbags placem_collection'!$V191)),"YES","NO")</f>
        <v>YES</v>
      </c>
    </row>
    <row r="191" spans="1:41" ht="15" customHeight="1">
      <c r="A191" s="255" t="s">
        <v>2454</v>
      </c>
      <c r="B191" s="260">
        <f>'Dry_Litterbag Placem_Collection'!A192</f>
        <v>190</v>
      </c>
      <c r="C191" s="260" t="str">
        <f>'Dry_Litterbag Placem_Collection'!B192</f>
        <v>Handajega</v>
      </c>
      <c r="D191" s="260" t="s">
        <v>2454</v>
      </c>
      <c r="E191" s="260" t="s">
        <v>2645</v>
      </c>
      <c r="F191" s="260">
        <v>4</v>
      </c>
      <c r="G191" s="260" t="s">
        <v>3829</v>
      </c>
      <c r="H191" s="261" t="str">
        <f>'Dry_Litterbag Placem_Collection'!C192</f>
        <v>Wet_W4_T6</v>
      </c>
      <c r="I191" s="262" t="s">
        <v>2525</v>
      </c>
      <c r="J191" s="263" t="s">
        <v>1147</v>
      </c>
      <c r="K191" s="221" t="str">
        <f>'WetLitterbags placem_collection'!K192</f>
        <v>G526</v>
      </c>
      <c r="L191" s="223">
        <f>IFERROR(INDEX('Green_rooibos initial weight'!$C$5:$C$2000,MATCH(K191, 'Green_rooibos initial weight'!$A$5:$A$2000,0)),"")</f>
        <v>2.0760000000000001</v>
      </c>
      <c r="M191" s="223">
        <f>IFERROR(L191-(TBIcalc!$H$9+TBIcalc!$H$10),"")</f>
        <v>1.8262</v>
      </c>
      <c r="N191" s="385">
        <f>AVERAGE(Ashed_controlls!$K$2:$K$11)</f>
        <v>5.5147656768714146</v>
      </c>
      <c r="O191" s="223">
        <f t="shared" si="11"/>
        <v>1.7254893492089742</v>
      </c>
      <c r="P191" s="223">
        <f>IFERROR(INDEX('Both teabags AfterWet'!$C$3:$C$840,MATCH(K191,'Both teabags AfterWet'!$A$3:$A$840,0)),"")</f>
        <v>0.61960000000000004</v>
      </c>
      <c r="Q191" s="223">
        <f>IFERROR(IF(P191&gt;0,P191-(TBIcalc!$H$9),""),"")</f>
        <v>0.46900000000000003</v>
      </c>
      <c r="R191" s="223">
        <f>IFERROR(INDEX('Ashed teabags wet'!$K$2:$K$2000,MATCH(K191,'Ashed teabags wet'!$A$2:$A$2000,0)),"")</f>
        <v>9.78043912175667</v>
      </c>
      <c r="S191" s="223">
        <f t="shared" si="12"/>
        <v>0.42312974051896124</v>
      </c>
      <c r="T191" s="224">
        <f>'WetLitterbags placem_collection'!E192</f>
        <v>42763</v>
      </c>
      <c r="U191" s="224">
        <f>IF('WetLitterbags placem_collection'!G192="","",'WetLitterbags placem_collection'!G192)</f>
        <v>42815</v>
      </c>
      <c r="V191" s="225">
        <f t="shared" si="10"/>
        <v>52</v>
      </c>
      <c r="W191" s="223">
        <f t="shared" si="13"/>
        <v>1.3572</v>
      </c>
      <c r="X191" s="223">
        <f t="shared" si="14"/>
        <v>1.3023596086900131</v>
      </c>
      <c r="Y191">
        <f>IFERROR(INDEX(Rainfall_Wet!$O$2:$O$217,MATCH(B191, Rainfall_Wet!$A$2:$A$217,0)),"")</f>
        <v>188.24043152799999</v>
      </c>
      <c r="Z191" s="228">
        <v>25.96</v>
      </c>
      <c r="AA191" s="228">
        <v>8.9200000000000017</v>
      </c>
      <c r="AB191" s="228">
        <v>65.12</v>
      </c>
      <c r="AC191" s="229" t="s">
        <v>2654</v>
      </c>
      <c r="AD191" s="228">
        <v>6.6991621488417898</v>
      </c>
      <c r="AE191">
        <f>IF('WetLitterbags placem_collection'!AB192="","",'WetLitterbags placem_collection'!AB192)</f>
        <v>9.5</v>
      </c>
      <c r="AF191">
        <f>IF('WetLitterbags placem_collection'!Z192="","",'WetLitterbags placem_collection'!Z192)</f>
        <v>17.399999999999999</v>
      </c>
      <c r="AG191" s="243" t="str">
        <f>IF('WetLitterbags placem_collection'!AA192="","",'WetLitterbags placem_collection'!AA192)</f>
        <v>O</v>
      </c>
      <c r="AH191">
        <f>IF('WetLitterbags placem_collection'!AC192="","",'WetLitterbags placem_collection'!AC192)</f>
        <v>0</v>
      </c>
      <c r="AI191" s="237">
        <f>AVERAGE('WetLitterbags placem_collection'!S192,'WetLitterbags placem_collection'!U192)</f>
        <v>13.55</v>
      </c>
      <c r="AJ191">
        <f>AVERAGE('WetLitterbags placem_collection'!R192,'WetLitterbags placem_collection'!T192)</f>
        <v>34.049999999999997</v>
      </c>
      <c r="AK191">
        <f>INDEX(Coordinates!$B$2:$B$197,MATCH(H191,Coordinates!$J$2:$J$197,0))</f>
        <v>-2.2787559960000001</v>
      </c>
      <c r="AL191">
        <f>INDEX(Coordinates!$C$2:$C$197,MATCH(H191,Coordinates!$J$2:$J$197,0))</f>
        <v>34.032268969999997</v>
      </c>
      <c r="AM191" t="str">
        <f>IF(ISNUMBER(SEARCH("C", 'WetLitterbags placem_collection'!$V192)),"YES","NO")</f>
        <v>NO</v>
      </c>
      <c r="AN191" t="str">
        <f>IF(ISNUMBER(SEARCH("H", 'WetLitterbags placem_collection'!$V192)),"YES","NO")</f>
        <v>NO</v>
      </c>
      <c r="AO191" t="str">
        <f>IF(ISNUMBER(SEARCH("R", 'WetLitterbags placem_collection'!$V192)),"YES","NO")</f>
        <v>NO</v>
      </c>
    </row>
    <row r="192" spans="1:41" ht="15" customHeight="1">
      <c r="A192" s="255" t="s">
        <v>2454</v>
      </c>
      <c r="B192" s="260">
        <f>'Dry_Litterbag Placem_Collection'!A193</f>
        <v>191</v>
      </c>
      <c r="C192" s="260" t="str">
        <f>'Dry_Litterbag Placem_Collection'!B193</f>
        <v>Handajega</v>
      </c>
      <c r="D192" s="260" t="s">
        <v>2454</v>
      </c>
      <c r="E192" s="260" t="s">
        <v>2645</v>
      </c>
      <c r="F192" s="260">
        <v>4</v>
      </c>
      <c r="G192" s="260" t="s">
        <v>3829</v>
      </c>
      <c r="H192" s="261" t="str">
        <f>'Dry_Litterbag Placem_Collection'!C193</f>
        <v>Wet_W4_T7</v>
      </c>
      <c r="I192" s="262" t="s">
        <v>2525</v>
      </c>
      <c r="J192" s="263" t="s">
        <v>1147</v>
      </c>
      <c r="K192" s="221" t="str">
        <f>'WetLitterbags placem_collection'!K193</f>
        <v>G522</v>
      </c>
      <c r="L192" s="223">
        <f>IFERROR(INDEX('Green_rooibos initial weight'!$C$5:$C$2000,MATCH(K192, 'Green_rooibos initial weight'!$A$5:$A$2000,0)),"")</f>
        <v>1.821</v>
      </c>
      <c r="M192" s="223">
        <f>IFERROR(L192-(TBIcalc!$H$9+TBIcalc!$H$10),"")</f>
        <v>1.5711999999999999</v>
      </c>
      <c r="N192" s="385">
        <f>AVERAGE(Ashed_controlls!$K$2:$K$11)</f>
        <v>5.5147656768714146</v>
      </c>
      <c r="O192" s="223">
        <f t="shared" si="11"/>
        <v>1.4845520016849962</v>
      </c>
      <c r="P192" s="223">
        <f>IFERROR(INDEX('Both teabags AfterWet'!$C$3:$C$840,MATCH(K192,'Both teabags AfterWet'!$A$3:$A$840,0)),"")</f>
        <v>0.628</v>
      </c>
      <c r="Q192" s="223">
        <f>IFERROR(IF(P192&gt;0,P192-(TBIcalc!$H$9),""),"")</f>
        <v>0.47739999999999999</v>
      </c>
      <c r="R192" s="223">
        <f>IFERROR(INDEX('Ashed teabags wet'!$K$2:$K$2000,MATCH(K192,'Ashed teabags wet'!$A$2:$A$2000,0)),"")</f>
        <v>9.2361457813275862</v>
      </c>
      <c r="S192" s="223">
        <f t="shared" si="12"/>
        <v>0.43330664003994213</v>
      </c>
      <c r="T192" s="224">
        <f>'WetLitterbags placem_collection'!E193</f>
        <v>42763</v>
      </c>
      <c r="U192" s="224">
        <f>IF('WetLitterbags placem_collection'!G193="","",'WetLitterbags placem_collection'!G193)</f>
        <v>42815</v>
      </c>
      <c r="V192" s="225">
        <f t="shared" si="10"/>
        <v>52</v>
      </c>
      <c r="W192" s="223">
        <f t="shared" si="13"/>
        <v>1.0937999999999999</v>
      </c>
      <c r="X192" s="223">
        <f t="shared" si="14"/>
        <v>1.0512453616450541</v>
      </c>
      <c r="Y192">
        <f>IFERROR(INDEX(Rainfall_Wet!$O$2:$O$217,MATCH(B192, Rainfall_Wet!$A$2:$A$217,0)),"")</f>
        <v>188.24043152799999</v>
      </c>
      <c r="Z192" s="228">
        <v>25.96</v>
      </c>
      <c r="AA192" s="228">
        <v>8.9200000000000017</v>
      </c>
      <c r="AB192" s="228">
        <v>65.12</v>
      </c>
      <c r="AC192" s="229" t="s">
        <v>2654</v>
      </c>
      <c r="AD192" s="228">
        <v>7.6991621488417898</v>
      </c>
      <c r="AE192">
        <f>IF('WetLitterbags placem_collection'!AB193="","",'WetLitterbags placem_collection'!AB193)</f>
        <v>12.4</v>
      </c>
      <c r="AF192">
        <f>IF('WetLitterbags placem_collection'!Z193="","",'WetLitterbags placem_collection'!Z193)</f>
        <v>29.8</v>
      </c>
      <c r="AG192" s="243" t="str">
        <f>IF('WetLitterbags placem_collection'!AA193="","",'WetLitterbags placem_collection'!AA193)</f>
        <v>O</v>
      </c>
      <c r="AH192">
        <f>IF('WetLitterbags placem_collection'!AC193="","",'WetLitterbags placem_collection'!AC193)</f>
        <v>0</v>
      </c>
      <c r="AI192" s="237">
        <f>AVERAGE('WetLitterbags placem_collection'!S193,'WetLitterbags placem_collection'!U193)</f>
        <v>12.350000000000001</v>
      </c>
      <c r="AJ192">
        <f>AVERAGE('WetLitterbags placem_collection'!R193,'WetLitterbags placem_collection'!T193)</f>
        <v>35</v>
      </c>
      <c r="AK192">
        <f>INDEX(Coordinates!$B$2:$B$197,MATCH(H192,Coordinates!$J$2:$J$197,0))</f>
        <v>-2.278704029</v>
      </c>
      <c r="AL192">
        <f>INDEX(Coordinates!$C$2:$C$197,MATCH(H192,Coordinates!$J$2:$J$197,0))</f>
        <v>34.032182970000001</v>
      </c>
      <c r="AM192" t="str">
        <f>IF(ISNUMBER(SEARCH("C", 'WetLitterbags placem_collection'!$V193)),"YES","NO")</f>
        <v>NO</v>
      </c>
      <c r="AN192" t="str">
        <f>IF(ISNUMBER(SEARCH("H", 'WetLitterbags placem_collection'!$V193)),"YES","NO")</f>
        <v>NO</v>
      </c>
      <c r="AO192" t="str">
        <f>IF(ISNUMBER(SEARCH("R", 'WetLitterbags placem_collection'!$V193)),"YES","NO")</f>
        <v>NO</v>
      </c>
    </row>
    <row r="193" spans="1:41" ht="15" customHeight="1">
      <c r="A193" s="255" t="s">
        <v>2454</v>
      </c>
      <c r="B193" s="260">
        <f>'Dry_Litterbag Placem_Collection'!A194</f>
        <v>192</v>
      </c>
      <c r="C193" s="260" t="str">
        <f>'Dry_Litterbag Placem_Collection'!B194</f>
        <v>Handajega</v>
      </c>
      <c r="D193" s="260" t="s">
        <v>2454</v>
      </c>
      <c r="E193" s="260" t="s">
        <v>2645</v>
      </c>
      <c r="F193" s="260">
        <v>4</v>
      </c>
      <c r="G193" s="260" t="s">
        <v>3829</v>
      </c>
      <c r="H193" s="261" t="str">
        <f>'Dry_Litterbag Placem_Collection'!C194</f>
        <v>Wet_W4_T8</v>
      </c>
      <c r="I193" s="262" t="s">
        <v>2525</v>
      </c>
      <c r="J193" s="263" t="s">
        <v>1147</v>
      </c>
      <c r="K193" s="221" t="str">
        <f>'WetLitterbags placem_collection'!K194</f>
        <v>G591</v>
      </c>
      <c r="L193" s="223">
        <f>IFERROR(INDEX('Green_rooibos initial weight'!$C$5:$C$2000,MATCH(K193, 'Green_rooibos initial weight'!$A$5:$A$2000,0)),"")</f>
        <v>2.0920000000000001</v>
      </c>
      <c r="M193" s="223">
        <f>IFERROR(L193-(TBIcalc!$H$9+TBIcalc!$H$10),"")</f>
        <v>1.8422000000000001</v>
      </c>
      <c r="N193" s="385">
        <f>AVERAGE(Ashed_controlls!$K$2:$K$11)</f>
        <v>5.5147656768714146</v>
      </c>
      <c r="O193" s="223">
        <f t="shared" si="11"/>
        <v>1.7406069867006748</v>
      </c>
      <c r="P193" s="223">
        <f>IFERROR(INDEX('Both teabags AfterWet'!$C$3:$C$840,MATCH(K193,'Both teabags AfterWet'!$A$3:$A$840,0)),"")</f>
        <v>0.66100000000000003</v>
      </c>
      <c r="Q193" s="223">
        <f>IFERROR(IF(P193&gt;0,P193-(TBIcalc!$H$9),""),"")</f>
        <v>0.51039999999999996</v>
      </c>
      <c r="R193" s="223">
        <f>IFERROR(INDEX('Ashed teabags wet'!$K$2:$K$2000,MATCH(K193,'Ashed teabags wet'!$A$2:$A$2000,0)),"")</f>
        <v>10.322580645161365</v>
      </c>
      <c r="S193" s="223">
        <f t="shared" si="12"/>
        <v>0.45771354838709638</v>
      </c>
      <c r="T193" s="224">
        <f>'WetLitterbags placem_collection'!E194</f>
        <v>42763</v>
      </c>
      <c r="U193" s="224">
        <f>IF('WetLitterbags placem_collection'!G194="","",'WetLitterbags placem_collection'!G194)</f>
        <v>42815</v>
      </c>
      <c r="V193" s="225">
        <f t="shared" si="10"/>
        <v>52</v>
      </c>
      <c r="W193" s="223">
        <f t="shared" si="13"/>
        <v>1.3318000000000001</v>
      </c>
      <c r="X193" s="223">
        <f t="shared" si="14"/>
        <v>1.2828934383135784</v>
      </c>
      <c r="Y193">
        <f>IFERROR(INDEX(Rainfall_Wet!$O$2:$O$217,MATCH(B193, Rainfall_Wet!$A$2:$A$217,0)),"")</f>
        <v>188.24043152799999</v>
      </c>
      <c r="Z193" s="228">
        <v>25.96</v>
      </c>
      <c r="AA193" s="228">
        <v>8.9200000000000017</v>
      </c>
      <c r="AB193" s="228">
        <v>65.12</v>
      </c>
      <c r="AC193" s="229" t="s">
        <v>2654</v>
      </c>
      <c r="AD193" s="228">
        <v>8.6991621488417898</v>
      </c>
      <c r="AE193">
        <f>IF('WetLitterbags placem_collection'!AB194="","",'WetLitterbags placem_collection'!AB194)</f>
        <v>3.6</v>
      </c>
      <c r="AF193">
        <f>IF('WetLitterbags placem_collection'!Z194="","",'WetLitterbags placem_collection'!Z194)</f>
        <v>37.799999999999997</v>
      </c>
      <c r="AG193" s="243" t="str">
        <f>IF('WetLitterbags placem_collection'!AA194="","",'WetLitterbags placem_collection'!AA194)</f>
        <v>O</v>
      </c>
      <c r="AH193">
        <f>IF('WetLitterbags placem_collection'!AC194="","",'WetLitterbags placem_collection'!AC194)</f>
        <v>0</v>
      </c>
      <c r="AI193" s="237">
        <f>AVERAGE('WetLitterbags placem_collection'!S194,'WetLitterbags placem_collection'!U194)</f>
        <v>9.25</v>
      </c>
      <c r="AJ193">
        <f>AVERAGE('WetLitterbags placem_collection'!R194,'WetLitterbags placem_collection'!T194)</f>
        <v>33.299999999999997</v>
      </c>
      <c r="AK193">
        <f>INDEX(Coordinates!$B$2:$B$197,MATCH(H193,Coordinates!$J$2:$J$197,0))</f>
        <v>-2.2789770269999998</v>
      </c>
      <c r="AL193">
        <f>INDEX(Coordinates!$C$2:$C$197,MATCH(H193,Coordinates!$J$2:$J$197,0))</f>
        <v>34.032051039999999</v>
      </c>
      <c r="AM193" t="str">
        <f>IF(ISNUMBER(SEARCH("C", 'WetLitterbags placem_collection'!$V194)),"YES","NO")</f>
        <v>NO</v>
      </c>
      <c r="AN193" t="str">
        <f>IF(ISNUMBER(SEARCH("H", 'WetLitterbags placem_collection'!$V194)),"YES","NO")</f>
        <v>NO</v>
      </c>
      <c r="AO193" t="str">
        <f>IF(ISNUMBER(SEARCH("R", 'WetLitterbags placem_collection'!$V194)),"YES","NO")</f>
        <v>NO</v>
      </c>
    </row>
    <row r="194" spans="1:41" ht="15" customHeight="1">
      <c r="A194" s="255" t="s">
        <v>2454</v>
      </c>
      <c r="B194" s="260">
        <f>'Dry_Litterbag Placem_Collection'!A195</f>
        <v>193</v>
      </c>
      <c r="C194" s="260" t="str">
        <f>'Dry_Litterbag Placem_Collection'!B195</f>
        <v>Makao</v>
      </c>
      <c r="D194" s="260" t="s">
        <v>2643</v>
      </c>
      <c r="E194" s="260" t="s">
        <v>2512</v>
      </c>
      <c r="F194" s="260">
        <v>4</v>
      </c>
      <c r="G194" s="260" t="s">
        <v>3798</v>
      </c>
      <c r="H194" s="261" t="str">
        <f>'Dry_Litterbag Placem_Collection'!C195</f>
        <v>Dry_Ag1_CG4</v>
      </c>
      <c r="I194" s="262" t="s">
        <v>2525</v>
      </c>
      <c r="J194" s="263" t="s">
        <v>1147</v>
      </c>
      <c r="K194" s="221" t="str">
        <f>'WetLitterbags placem_collection'!K195</f>
        <v>G863</v>
      </c>
      <c r="L194" s="223">
        <f>IFERROR(INDEX('Green_rooibos initial weight'!$C$5:$C$2000,MATCH(K194, 'Green_rooibos initial weight'!$A$5:$A$2000,0)),"")</f>
        <v>2.0230000000000001</v>
      </c>
      <c r="M194" s="223">
        <f>IFERROR(L194-(TBIcalc!$H$9+TBIcalc!$H$10),"")</f>
        <v>1.7732000000000001</v>
      </c>
      <c r="N194" s="385">
        <f>AVERAGE(Ashed_controlls!$K$2:$K$11)</f>
        <v>5.5147656768714146</v>
      </c>
      <c r="O194" s="223">
        <f t="shared" si="11"/>
        <v>1.6754121750177162</v>
      </c>
      <c r="P194" s="223">
        <f>IFERROR(INDEX('Both teabags AfterWet'!$C$3:$C$840,MATCH(K194,'Both teabags AfterWet'!$A$3:$A$840,0)),"")</f>
        <v>0.64890000000000003</v>
      </c>
      <c r="Q194" s="223">
        <f>IFERROR(IF(P194&gt;0,P194-(TBIcalc!$H$9),""),"")</f>
        <v>0.49830000000000002</v>
      </c>
      <c r="R194" s="223">
        <f>IFERROR(INDEX('Ashed teabags wet'!$K$2:$K$2000,MATCH(K194,'Ashed teabags wet'!$A$2:$A$2000,0)),"")</f>
        <v>8.2238442822379554</v>
      </c>
      <c r="S194" s="223">
        <f t="shared" si="12"/>
        <v>0.45732058394160829</v>
      </c>
      <c r="T194" s="224">
        <f>'WetLitterbags placem_collection'!E195</f>
        <v>42769</v>
      </c>
      <c r="U194" s="224">
        <f>IF('WetLitterbags placem_collection'!G195="","",'WetLitterbags placem_collection'!G195)</f>
        <v>42813</v>
      </c>
      <c r="V194" s="225">
        <f t="shared" ref="V194:V257" si="15">IFERROR(U194-T194,"")</f>
        <v>44</v>
      </c>
      <c r="W194" s="223">
        <f t="shared" si="13"/>
        <v>1.2749000000000001</v>
      </c>
      <c r="X194" s="223">
        <f t="shared" si="14"/>
        <v>1.2180915910761079</v>
      </c>
      <c r="Y194">
        <f>IFERROR(INDEX(Rainfall_Wet!$O$2:$O$217,MATCH(B194, Rainfall_Wet!$A$2:$A$217,0)),"")</f>
        <v>175.054685654</v>
      </c>
      <c r="Z194" s="228">
        <v>12.565665055683967</v>
      </c>
      <c r="AA194" s="228">
        <v>0.9665896196679955</v>
      </c>
      <c r="AB194" s="228">
        <v>86.467745324648035</v>
      </c>
      <c r="AC194" s="229" t="s">
        <v>2656</v>
      </c>
      <c r="AD194" s="228">
        <v>1.0225726959093147</v>
      </c>
      <c r="AE194">
        <f>IF('WetLitterbags placem_collection'!AB195="","",'WetLitterbags placem_collection'!AB195)</f>
        <v>15.2</v>
      </c>
      <c r="AF194">
        <f>IF('WetLitterbags placem_collection'!Z195="","",'WetLitterbags placem_collection'!Z195)</f>
        <v>12.2</v>
      </c>
      <c r="AG194" s="243" t="str">
        <f>IF('WetLitterbags placem_collection'!AA195="","",'WetLitterbags placem_collection'!AA195)</f>
        <v>O</v>
      </c>
      <c r="AH194">
        <f>IF('WetLitterbags placem_collection'!AC195="","",'WetLitterbags placem_collection'!AC195)</f>
        <v>1</v>
      </c>
      <c r="AI194" s="237">
        <f>AVERAGE('WetLitterbags placem_collection'!S195,'WetLitterbags placem_collection'!U195)</f>
        <v>22.4</v>
      </c>
      <c r="AJ194">
        <f>AVERAGE('WetLitterbags placem_collection'!R195,'WetLitterbags placem_collection'!T195)</f>
        <v>28.95</v>
      </c>
      <c r="AK194">
        <v>-2.4396949910000001</v>
      </c>
      <c r="AL194">
        <v>34.838574029999997</v>
      </c>
      <c r="AM194" t="str">
        <f>IF(ISNUMBER(SEARCH("C", 'WetLitterbags placem_collection'!$V195)),"YES","NO")</f>
        <v>NO</v>
      </c>
      <c r="AN194" t="str">
        <f>IF(ISNUMBER(SEARCH("H", 'WetLitterbags placem_collection'!$V195)),"YES","NO")</f>
        <v>NO</v>
      </c>
      <c r="AO194" t="str">
        <f>IF(ISNUMBER(SEARCH("R", 'WetLitterbags placem_collection'!$V195)),"YES","NO")</f>
        <v>YES</v>
      </c>
    </row>
    <row r="195" spans="1:41" ht="15" customHeight="1">
      <c r="A195" s="255" t="s">
        <v>2454</v>
      </c>
      <c r="B195" s="260">
        <f>'Dry_Litterbag Placem_Collection'!A196</f>
        <v>194</v>
      </c>
      <c r="C195" s="260" t="str">
        <f>'Dry_Litterbag Placem_Collection'!B196</f>
        <v>Makao</v>
      </c>
      <c r="D195" s="260" t="s">
        <v>2643</v>
      </c>
      <c r="E195" s="260" t="s">
        <v>2512</v>
      </c>
      <c r="F195" s="260">
        <v>3</v>
      </c>
      <c r="G195" s="260" t="s">
        <v>3802</v>
      </c>
      <c r="H195" s="261" t="str">
        <f>'Dry_Litterbag Placem_Collection'!C196</f>
        <v>Dry_Ag2_CG3</v>
      </c>
      <c r="I195" s="262" t="s">
        <v>2525</v>
      </c>
      <c r="J195" s="263" t="s">
        <v>1147</v>
      </c>
      <c r="K195" s="221" t="str">
        <f>'WetLitterbags placem_collection'!K196</f>
        <v>G615</v>
      </c>
      <c r="L195" s="223">
        <f>IFERROR(INDEX('Green_rooibos initial weight'!$C$5:$C$2000,MATCH(K195, 'Green_rooibos initial weight'!$A$5:$A$2000,0)),"")</f>
        <v>1.9630000000000001</v>
      </c>
      <c r="M195" s="223">
        <f>IFERROR(L195-(TBIcalc!$H$9+TBIcalc!$H$10),"")</f>
        <v>1.7132000000000001</v>
      </c>
      <c r="N195" s="385">
        <f>AVERAGE(Ashed_controlls!$K$2:$K$11)</f>
        <v>5.5147656768714146</v>
      </c>
      <c r="O195" s="223">
        <f t="shared" ref="O195:O258" si="16">IFERROR(M195-(N195/100)*M195,"")</f>
        <v>1.618721034423839</v>
      </c>
      <c r="P195" s="223">
        <f>IFERROR(INDEX('Both teabags AfterWet'!$C$3:$C$840,MATCH(K195,'Both teabags AfterWet'!$A$3:$A$840,0)),"")</f>
        <v>0.64100000000000001</v>
      </c>
      <c r="Q195" s="223">
        <f>IFERROR(IF(P195&gt;0,P195-(TBIcalc!$H$9),""),"")</f>
        <v>0.4904</v>
      </c>
      <c r="R195" s="223">
        <f>IFERROR(INDEX('Ashed teabags wet'!$K$2:$K$2000,MATCH(K195,'Ashed teabags wet'!$A$2:$A$2000,0)),"")</f>
        <v>11.187777230163009</v>
      </c>
      <c r="S195" s="223">
        <f t="shared" ref="S195:S258" si="17">IFERROR(Q195-(R195/100)*Q195,"")</f>
        <v>0.43553514046328062</v>
      </c>
      <c r="T195" s="224">
        <f>'WetLitterbags placem_collection'!E196</f>
        <v>42769</v>
      </c>
      <c r="U195" s="224">
        <f>IF('WetLitterbags placem_collection'!G196="","",'WetLitterbags placem_collection'!G196)</f>
        <v>42813</v>
      </c>
      <c r="V195" s="225">
        <f t="shared" si="15"/>
        <v>44</v>
      </c>
      <c r="W195" s="223">
        <f t="shared" ref="W195:W258" si="18">IFERROR(M195-Q195,"")</f>
        <v>1.2228000000000001</v>
      </c>
      <c r="X195" s="223">
        <f t="shared" ref="X195:X258" si="19">IFERROR(O195-S195,"")</f>
        <v>1.1831858939605584</v>
      </c>
      <c r="Y195">
        <f>IFERROR(INDEX(Rainfall_Wet!$O$2:$O$217,MATCH(B195, Rainfall_Wet!$A$2:$A$217,0)),"")</f>
        <v>175.054685654</v>
      </c>
      <c r="Z195" s="228">
        <v>21.13063730679653</v>
      </c>
      <c r="AA195" s="228">
        <v>3.0912555579081076</v>
      </c>
      <c r="AB195" s="228">
        <v>75.778107135295357</v>
      </c>
      <c r="AC195" s="229" t="s">
        <v>2654</v>
      </c>
      <c r="AD195" s="228">
        <v>0.46131099063578063</v>
      </c>
      <c r="AE195">
        <f>IF('WetLitterbags placem_collection'!AB196="","",'WetLitterbags placem_collection'!AB196)</f>
        <v>7.9</v>
      </c>
      <c r="AF195">
        <f>IF('WetLitterbags placem_collection'!Z196="","",'WetLitterbags placem_collection'!Z196)</f>
        <v>7.9</v>
      </c>
      <c r="AG195" s="243" t="str">
        <f>IF('WetLitterbags placem_collection'!AA196="","",'WetLitterbags placem_collection'!AA196)</f>
        <v>O</v>
      </c>
      <c r="AH195">
        <f>IF('WetLitterbags placem_collection'!AC196="","",'WetLitterbags placem_collection'!AC196)</f>
        <v>1</v>
      </c>
      <c r="AI195" s="237">
        <f>AVERAGE('WetLitterbags placem_collection'!S196,'WetLitterbags placem_collection'!U196)</f>
        <v>19.600000000000001</v>
      </c>
      <c r="AJ195">
        <f>AVERAGE('WetLitterbags placem_collection'!R196,'WetLitterbags placem_collection'!T196)</f>
        <v>29.3</v>
      </c>
      <c r="AK195">
        <v>-2.4395990190000001</v>
      </c>
      <c r="AL195">
        <v>34.838418959999998</v>
      </c>
      <c r="AM195" t="str">
        <f>IF(ISNUMBER(SEARCH("C", 'WetLitterbags placem_collection'!$V196)),"YES","NO")</f>
        <v>NO</v>
      </c>
      <c r="AN195" t="str">
        <f>IF(ISNUMBER(SEARCH("H", 'WetLitterbags placem_collection'!$V196)),"YES","NO")</f>
        <v>NO</v>
      </c>
      <c r="AO195" t="str">
        <f>IF(ISNUMBER(SEARCH("R", 'WetLitterbags placem_collection'!$V196)),"YES","NO")</f>
        <v>YES</v>
      </c>
    </row>
    <row r="196" spans="1:41" ht="15" customHeight="1">
      <c r="A196" s="255" t="s">
        <v>2454</v>
      </c>
      <c r="B196" s="260">
        <f>'Dry_Litterbag Placem_Collection'!A197</f>
        <v>195</v>
      </c>
      <c r="C196" s="260" t="str">
        <f>'Dry_Litterbag Placem_Collection'!B197</f>
        <v>Makao</v>
      </c>
      <c r="D196" s="260" t="s">
        <v>2643</v>
      </c>
      <c r="E196" s="260" t="s">
        <v>2512</v>
      </c>
      <c r="F196" s="260">
        <v>2</v>
      </c>
      <c r="G196" s="260" t="s">
        <v>3803</v>
      </c>
      <c r="H196" s="261" t="str">
        <f>'Dry_Litterbag Placem_Collection'!C197</f>
        <v>Dry_Ag3_CG2</v>
      </c>
      <c r="I196" s="262" t="s">
        <v>2525</v>
      </c>
      <c r="J196" s="263" t="s">
        <v>1147</v>
      </c>
      <c r="K196" s="221" t="str">
        <f>'WetLitterbags placem_collection'!K197</f>
        <v>G821</v>
      </c>
      <c r="L196" s="223">
        <f>IFERROR(INDEX('Green_rooibos initial weight'!$C$5:$C$2000,MATCH(K196, 'Green_rooibos initial weight'!$A$5:$A$2000,0)),"")</f>
        <v>1.9990000000000001</v>
      </c>
      <c r="M196" s="223">
        <f>IFERROR(L196-(TBIcalc!$H$9+TBIcalc!$H$10),"")</f>
        <v>1.7492000000000001</v>
      </c>
      <c r="N196" s="385">
        <f>AVERAGE(Ashed_controlls!$K$2:$K$11)</f>
        <v>5.5147656768714146</v>
      </c>
      <c r="O196" s="223">
        <f t="shared" si="16"/>
        <v>1.6527357187801652</v>
      </c>
      <c r="P196" s="223">
        <f>IFERROR(INDEX('Both teabags AfterWet'!$C$3:$C$840,MATCH(K196,'Both teabags AfterWet'!$A$3:$A$840,0)),"")</f>
        <v>0.7641</v>
      </c>
      <c r="Q196" s="223">
        <f>IFERROR(IF(P196&gt;0,P196-(TBIcalc!$H$9),""),"")</f>
        <v>0.61349999999999993</v>
      </c>
      <c r="R196" s="223">
        <f>IFERROR(INDEX('Ashed teabags wet'!$K$2:$K$2000,MATCH(K196,'Ashed teabags wet'!$A$2:$A$2000,0)),"")</f>
        <v>15.097159940208879</v>
      </c>
      <c r="S196" s="223">
        <f t="shared" si="17"/>
        <v>0.52087892376681844</v>
      </c>
      <c r="T196" s="224">
        <f>'WetLitterbags placem_collection'!E197</f>
        <v>42769</v>
      </c>
      <c r="U196" s="224">
        <f>IF('WetLitterbags placem_collection'!G197="","",'WetLitterbags placem_collection'!G197)</f>
        <v>42814</v>
      </c>
      <c r="V196" s="225">
        <f t="shared" si="15"/>
        <v>45</v>
      </c>
      <c r="W196" s="223">
        <f t="shared" si="18"/>
        <v>1.1357000000000002</v>
      </c>
      <c r="X196" s="223">
        <f t="shared" si="19"/>
        <v>1.1318567950133467</v>
      </c>
      <c r="Y196">
        <f>IFERROR(INDEX(Rainfall_Wet!$O$2:$O$217,MATCH(B196, Rainfall_Wet!$A$2:$A$217,0)),"")</f>
        <v>175.377105089</v>
      </c>
      <c r="Z196" s="228">
        <v>54.080969906906262</v>
      </c>
      <c r="AA196" s="228">
        <v>21.264484651351896</v>
      </c>
      <c r="AB196" s="228">
        <v>24.654545441741845</v>
      </c>
      <c r="AC196" s="229" t="s">
        <v>2657</v>
      </c>
      <c r="AD196" s="228">
        <v>1.8433218334154755</v>
      </c>
      <c r="AE196">
        <f>IF('WetLitterbags placem_collection'!AB197="","",'WetLitterbags placem_collection'!AB197)</f>
        <v>5.13</v>
      </c>
      <c r="AF196">
        <f>IF('WetLitterbags placem_collection'!Z197="","",'WetLitterbags placem_collection'!Z197)</f>
        <v>5.13</v>
      </c>
      <c r="AG196" s="243" t="str">
        <f>IF('WetLitterbags placem_collection'!AA197="","",'WetLitterbags placem_collection'!AA197)</f>
        <v>O</v>
      </c>
      <c r="AH196">
        <f>IF('WetLitterbags placem_collection'!AC197="","",'WetLitterbags placem_collection'!AC197)</f>
        <v>1</v>
      </c>
      <c r="AI196" s="237">
        <f>AVERAGE('WetLitterbags placem_collection'!S197,'WetLitterbags placem_collection'!U197)</f>
        <v>29.700000000000003</v>
      </c>
      <c r="AJ196">
        <f>AVERAGE('WetLitterbags placem_collection'!R197,'WetLitterbags placem_collection'!T197)</f>
        <v>24.35</v>
      </c>
      <c r="AK196">
        <v>-2.4396450349999999</v>
      </c>
      <c r="AL196">
        <v>34.83836599</v>
      </c>
      <c r="AM196" t="str">
        <f>IF(ISNUMBER(SEARCH("C", 'WetLitterbags placem_collection'!$V197)),"YES","NO")</f>
        <v>NO</v>
      </c>
      <c r="AN196" t="str">
        <f>IF(ISNUMBER(SEARCH("H", 'WetLitterbags placem_collection'!$V197)),"YES","NO")</f>
        <v>NO</v>
      </c>
      <c r="AO196" t="str">
        <f>IF(ISNUMBER(SEARCH("R", 'WetLitterbags placem_collection'!$V197)),"YES","NO")</f>
        <v>YES</v>
      </c>
    </row>
    <row r="197" spans="1:41" ht="15" customHeight="1">
      <c r="A197" s="255" t="s">
        <v>2454</v>
      </c>
      <c r="B197" s="260">
        <f>'Dry_Litterbag Placem_Collection'!A198</f>
        <v>196</v>
      </c>
      <c r="C197" s="260" t="str">
        <f>'Dry_Litterbag Placem_Collection'!B198</f>
        <v>Makao</v>
      </c>
      <c r="D197" s="260" t="s">
        <v>2643</v>
      </c>
      <c r="E197" s="260" t="s">
        <v>2512</v>
      </c>
      <c r="F197" s="260">
        <v>1</v>
      </c>
      <c r="G197" s="260" t="s">
        <v>3804</v>
      </c>
      <c r="H197" s="261" t="str">
        <f>'Dry_Litterbag Placem_Collection'!C198</f>
        <v>Dry_Ag4_CG1</v>
      </c>
      <c r="I197" s="262" t="s">
        <v>2525</v>
      </c>
      <c r="J197" s="263" t="s">
        <v>1147</v>
      </c>
      <c r="K197" s="221" t="str">
        <f>'WetLitterbags placem_collection'!K198</f>
        <v>G754</v>
      </c>
      <c r="L197" s="223">
        <f>IFERROR(INDEX('Green_rooibos initial weight'!$C$5:$C$2000,MATCH(K197, 'Green_rooibos initial weight'!$A$5:$A$2000,0)),"")</f>
        <v>2.0609999999999999</v>
      </c>
      <c r="M197" s="223">
        <f>IFERROR(L197-(TBIcalc!$H$9+TBIcalc!$H$10),"")</f>
        <v>1.8111999999999999</v>
      </c>
      <c r="N197" s="385">
        <f>AVERAGE(Ashed_controlls!$K$2:$K$11)</f>
        <v>5.5147656768714146</v>
      </c>
      <c r="O197" s="223">
        <f t="shared" si="16"/>
        <v>1.7113165640605048</v>
      </c>
      <c r="P197" s="223">
        <f>IFERROR(INDEX('Both teabags AfterWet'!$C$3:$C$840,MATCH(K197,'Both teabags AfterWet'!$A$3:$A$840,0)),"")</f>
        <v>0.6452</v>
      </c>
      <c r="Q197" s="223">
        <f>IFERROR(IF(P197&gt;0,P197-(TBIcalc!$H$9),""),"")</f>
        <v>0.49459999999999998</v>
      </c>
      <c r="R197" s="223">
        <f>IFERROR(INDEX('Ashed teabags wet'!$K$2:$K$2000,MATCH(K197,'Ashed teabags wet'!$A$2:$A$2000,0)),"")</f>
        <v>10.498306724722434</v>
      </c>
      <c r="S197" s="223">
        <f t="shared" si="17"/>
        <v>0.4426753749395228</v>
      </c>
      <c r="T197" s="224">
        <f>'WetLitterbags placem_collection'!E198</f>
        <v>42769</v>
      </c>
      <c r="U197" s="224">
        <f>IF('WetLitterbags placem_collection'!G198="","",'WetLitterbags placem_collection'!G198)</f>
        <v>42814</v>
      </c>
      <c r="V197" s="225">
        <f t="shared" si="15"/>
        <v>45</v>
      </c>
      <c r="W197" s="223">
        <f t="shared" si="18"/>
        <v>1.3166</v>
      </c>
      <c r="X197" s="223">
        <f t="shared" si="19"/>
        <v>1.2686411891209821</v>
      </c>
      <c r="Y197">
        <f>IFERROR(INDEX(Rainfall_Wet!$O$2:$O$217,MATCH(B197, Rainfall_Wet!$A$2:$A$217,0)),"")</f>
        <v>175.377105089</v>
      </c>
      <c r="Z197" s="228">
        <v>51.960000000000008</v>
      </c>
      <c r="AA197" s="228">
        <v>18.919999999999995</v>
      </c>
      <c r="AB197" s="228">
        <v>29.120000000000005</v>
      </c>
      <c r="AC197" s="229" t="s">
        <v>2657</v>
      </c>
      <c r="AD197" s="228">
        <v>1.85293247905372</v>
      </c>
      <c r="AE197">
        <f>IF('WetLitterbags placem_collection'!AB198="","",'WetLitterbags placem_collection'!AB198)</f>
        <v>13.8</v>
      </c>
      <c r="AF197">
        <f>IF('WetLitterbags placem_collection'!Z198="","",'WetLitterbags placem_collection'!Z198)</f>
        <v>17.399999999999999</v>
      </c>
      <c r="AG197" s="243" t="str">
        <f>IF('WetLitterbags placem_collection'!AA198="","",'WetLitterbags placem_collection'!AA198)</f>
        <v>O</v>
      </c>
      <c r="AH197">
        <f>IF('WetLitterbags placem_collection'!AC198="","",'WetLitterbags placem_collection'!AC198)</f>
        <v>1</v>
      </c>
      <c r="AI197" s="237">
        <f>AVERAGE('WetLitterbags placem_collection'!S198,'WetLitterbags placem_collection'!U198)</f>
        <v>23.75</v>
      </c>
      <c r="AJ197">
        <f>AVERAGE('WetLitterbags placem_collection'!R198,'WetLitterbags placem_collection'!T198)</f>
        <v>25.25</v>
      </c>
      <c r="AK197">
        <v>-2.439403972</v>
      </c>
      <c r="AL197">
        <v>34.838404959999998</v>
      </c>
      <c r="AM197" t="str">
        <f>IF(ISNUMBER(SEARCH("C", 'WetLitterbags placem_collection'!$V198)),"YES","NO")</f>
        <v>NO</v>
      </c>
      <c r="AN197" t="str">
        <f>IF(ISNUMBER(SEARCH("H", 'WetLitterbags placem_collection'!$V198)),"YES","NO")</f>
        <v>NO</v>
      </c>
      <c r="AO197" t="str">
        <f>IF(ISNUMBER(SEARCH("R", 'WetLitterbags placem_collection'!$V198)),"YES","NO")</f>
        <v>YES</v>
      </c>
    </row>
    <row r="198" spans="1:41" ht="15" customHeight="1">
      <c r="A198" s="255" t="s">
        <v>2454</v>
      </c>
      <c r="B198" s="260">
        <f>'Dry_Litterbag Placem_Collection'!A199</f>
        <v>197</v>
      </c>
      <c r="C198" s="260" t="str">
        <f>'Dry_Litterbag Placem_Collection'!B199</f>
        <v>Makao</v>
      </c>
      <c r="D198" s="260" t="s">
        <v>2643</v>
      </c>
      <c r="E198" s="260" t="s">
        <v>2512</v>
      </c>
      <c r="F198" s="260">
        <v>2</v>
      </c>
      <c r="G198" s="260" t="s">
        <v>3805</v>
      </c>
      <c r="H198" s="261" t="str">
        <f>'Dry_Litterbag Placem_Collection'!C199</f>
        <v>Dry_P1_CG2</v>
      </c>
      <c r="I198" s="262" t="s">
        <v>2525</v>
      </c>
      <c r="J198" s="263" t="s">
        <v>1147</v>
      </c>
      <c r="K198" s="221" t="str">
        <f>'WetLitterbags placem_collection'!K199</f>
        <v>G715</v>
      </c>
      <c r="L198" s="223">
        <f>IFERROR(INDEX('Green_rooibos initial weight'!$C$5:$C$2000,MATCH(K198, 'Green_rooibos initial weight'!$A$5:$A$2000,0)),"")</f>
        <v>2.0179999999999998</v>
      </c>
      <c r="M198" s="223">
        <f>IFERROR(L198-(TBIcalc!$H$9+TBIcalc!$H$10),"")</f>
        <v>1.7681999999999998</v>
      </c>
      <c r="N198" s="385">
        <f>AVERAGE(Ashed_controlls!$K$2:$K$11)</f>
        <v>5.5147656768714146</v>
      </c>
      <c r="O198" s="223">
        <f t="shared" si="16"/>
        <v>1.6706879133015595</v>
      </c>
      <c r="P198" s="223">
        <f>IFERROR(INDEX('Both teabags AfterWet'!$C$3:$C$840,MATCH(K198,'Both teabags AfterWet'!$A$3:$A$840,0)),"")</f>
        <v>0.69089999999999996</v>
      </c>
      <c r="Q198" s="223">
        <f>IFERROR(IF(P198&gt;0,P198-(TBIcalc!$H$9),""),"")</f>
        <v>0.5403</v>
      </c>
      <c r="R198" s="223">
        <f>IFERROR(INDEX('Ashed teabags wet'!$K$2:$K$2000,MATCH(K198,'Ashed teabags wet'!$A$2:$A$2000,0)),"")</f>
        <v>12.326732673267644</v>
      </c>
      <c r="S198" s="223">
        <f t="shared" si="17"/>
        <v>0.47369866336633493</v>
      </c>
      <c r="T198" s="224">
        <f>'WetLitterbags placem_collection'!E199</f>
        <v>42769</v>
      </c>
      <c r="U198" s="224">
        <f>IF('WetLitterbags placem_collection'!G199="","",'WetLitterbags placem_collection'!G199)</f>
        <v>42814</v>
      </c>
      <c r="V198" s="225">
        <f t="shared" si="15"/>
        <v>45</v>
      </c>
      <c r="W198" s="223">
        <f t="shared" si="18"/>
        <v>1.2278999999999998</v>
      </c>
      <c r="X198" s="223">
        <f t="shared" si="19"/>
        <v>1.1969892499352246</v>
      </c>
      <c r="Y198">
        <f>IFERROR(INDEX(Rainfall_Wet!$O$2:$O$217,MATCH(B198, Rainfall_Wet!$A$2:$A$217,0)),"")</f>
        <v>175.377105089</v>
      </c>
      <c r="Z198" s="228">
        <v>23.96</v>
      </c>
      <c r="AA198" s="228">
        <v>0.91999999999999804</v>
      </c>
      <c r="AB198" s="228">
        <v>75.12</v>
      </c>
      <c r="AC198" s="229" t="s">
        <v>2654</v>
      </c>
      <c r="AD198" s="228">
        <v>1.2493839329719072</v>
      </c>
      <c r="AE198">
        <f>IF('WetLitterbags placem_collection'!AB199="","",'WetLitterbags placem_collection'!AB199)</f>
        <v>5.13</v>
      </c>
      <c r="AF198">
        <f>IF('WetLitterbags placem_collection'!Z199="","",'WetLitterbags placem_collection'!Z199)</f>
        <v>5.13</v>
      </c>
      <c r="AG198" s="243" t="str">
        <f>IF('WetLitterbags placem_collection'!AA199="","",'WetLitterbags placem_collection'!AA199)</f>
        <v>O</v>
      </c>
      <c r="AH198">
        <f>IF('WetLitterbags placem_collection'!AC199="","",'WetLitterbags placem_collection'!AC199)</f>
        <v>1</v>
      </c>
      <c r="AI198" s="237">
        <f>AVERAGE('WetLitterbags placem_collection'!S199,'WetLitterbags placem_collection'!U199)</f>
        <v>22.85</v>
      </c>
      <c r="AJ198">
        <f>AVERAGE('WetLitterbags placem_collection'!R199,'WetLitterbags placem_collection'!T199)</f>
        <v>24.4</v>
      </c>
      <c r="AK198">
        <v>-2.4396450349999999</v>
      </c>
      <c r="AL198">
        <v>34.83836599</v>
      </c>
      <c r="AM198" t="str">
        <f>IF(ISNUMBER(SEARCH("C", 'WetLitterbags placem_collection'!$V199)),"YES","NO")</f>
        <v>NO</v>
      </c>
      <c r="AN198" t="str">
        <f>IF(ISNUMBER(SEARCH("H", 'WetLitterbags placem_collection'!$V199)),"YES","NO")</f>
        <v>NO</v>
      </c>
      <c r="AO198" t="str">
        <f>IF(ISNUMBER(SEARCH("R", 'WetLitterbags placem_collection'!$V199)),"YES","NO")</f>
        <v>YES</v>
      </c>
    </row>
    <row r="199" spans="1:41" ht="15" customHeight="1">
      <c r="A199" s="255" t="s">
        <v>2454</v>
      </c>
      <c r="B199" s="260">
        <f>'Dry_Litterbag Placem_Collection'!A200</f>
        <v>198</v>
      </c>
      <c r="C199" s="260" t="str">
        <f>'Dry_Litterbag Placem_Collection'!B200</f>
        <v>Makao</v>
      </c>
      <c r="D199" s="260" t="s">
        <v>2643</v>
      </c>
      <c r="E199" s="260" t="s">
        <v>2512</v>
      </c>
      <c r="F199" s="260">
        <v>3</v>
      </c>
      <c r="G199" s="260" t="s">
        <v>3807</v>
      </c>
      <c r="H199" s="261" t="str">
        <f>'Dry_Litterbag Placem_Collection'!C200</f>
        <v>Dry_P2_CG3</v>
      </c>
      <c r="I199" s="262" t="s">
        <v>2525</v>
      </c>
      <c r="J199" s="263" t="s">
        <v>1147</v>
      </c>
      <c r="K199" s="221" t="str">
        <f>'WetLitterbags placem_collection'!K200</f>
        <v>G785</v>
      </c>
      <c r="L199" s="223">
        <f>IFERROR(INDEX('Green_rooibos initial weight'!$C$5:$C$2000,MATCH(K199, 'Green_rooibos initial weight'!$A$5:$A$2000,0)),"")</f>
        <v>2.008</v>
      </c>
      <c r="M199" s="223">
        <f>IFERROR(L199-(TBIcalc!$H$9+TBIcalc!$H$10),"")</f>
        <v>1.7582</v>
      </c>
      <c r="N199" s="385">
        <f>AVERAGE(Ashed_controlls!$K$2:$K$11)</f>
        <v>5.5147656768714146</v>
      </c>
      <c r="O199" s="223">
        <f t="shared" si="16"/>
        <v>1.6612393898692468</v>
      </c>
      <c r="P199" s="223">
        <f>IFERROR(INDEX('Both teabags AfterWet'!$C$3:$C$840,MATCH(K199,'Both teabags AfterWet'!$A$3:$A$840,0)),"")</f>
        <v>0.64690000000000003</v>
      </c>
      <c r="Q199" s="223">
        <f>IFERROR(IF(P199&gt;0,P199-(TBIcalc!$H$9),""),"")</f>
        <v>0.49630000000000002</v>
      </c>
      <c r="R199" s="223">
        <f>IFERROR(INDEX('Ashed teabags wet'!$K$2:$K$2000,MATCH(K199,'Ashed teabags wet'!$A$2:$A$2000,0)),"")</f>
        <v>9.3718843469595843</v>
      </c>
      <c r="S199" s="223">
        <f t="shared" si="17"/>
        <v>0.44978733798603959</v>
      </c>
      <c r="T199" s="224">
        <f>'WetLitterbags placem_collection'!E200</f>
        <v>42769</v>
      </c>
      <c r="U199" s="224">
        <f>IF('WetLitterbags placem_collection'!G200="","",'WetLitterbags placem_collection'!G200)</f>
        <v>42813</v>
      </c>
      <c r="V199" s="225">
        <f t="shared" si="15"/>
        <v>44</v>
      </c>
      <c r="W199" s="223">
        <f t="shared" si="18"/>
        <v>1.2619</v>
      </c>
      <c r="X199" s="223">
        <f t="shared" si="19"/>
        <v>1.2114520518832073</v>
      </c>
      <c r="Y199">
        <f>IFERROR(INDEX(Rainfall_Wet!$O$2:$O$217,MATCH(B199, Rainfall_Wet!$A$2:$A$217,0)),"")</f>
        <v>175.054685654</v>
      </c>
      <c r="Z199" s="228">
        <v>19.96</v>
      </c>
      <c r="AA199" s="228">
        <v>4.9199999999999982</v>
      </c>
      <c r="AB199" s="228">
        <v>75.12</v>
      </c>
      <c r="AC199" s="229" t="s">
        <v>2655</v>
      </c>
      <c r="AD199" s="228">
        <v>1.641498275012321</v>
      </c>
      <c r="AE199">
        <f>IF('WetLitterbags placem_collection'!AB200="","",'WetLitterbags placem_collection'!AB200)</f>
        <v>7.9</v>
      </c>
      <c r="AF199">
        <f>IF('WetLitterbags placem_collection'!Z200="","",'WetLitterbags placem_collection'!Z200)</f>
        <v>7.9</v>
      </c>
      <c r="AG199" s="243" t="str">
        <f>IF('WetLitterbags placem_collection'!AA200="","",'WetLitterbags placem_collection'!AA200)</f>
        <v>O</v>
      </c>
      <c r="AH199">
        <f>IF('WetLitterbags placem_collection'!AC200="","",'WetLitterbags placem_collection'!AC200)</f>
        <v>1</v>
      </c>
      <c r="AI199" s="237">
        <f>AVERAGE('WetLitterbags placem_collection'!S200,'WetLitterbags placem_collection'!U200)</f>
        <v>20.9</v>
      </c>
      <c r="AJ199">
        <f>AVERAGE('WetLitterbags placem_collection'!R200,'WetLitterbags placem_collection'!T200)</f>
        <v>27.45</v>
      </c>
      <c r="AK199">
        <v>-2.4395990190000001</v>
      </c>
      <c r="AL199">
        <v>34.838418959999998</v>
      </c>
      <c r="AM199" t="str">
        <f>IF(ISNUMBER(SEARCH("C", 'WetLitterbags placem_collection'!$V200)),"YES","NO")</f>
        <v>NO</v>
      </c>
      <c r="AN199" t="str">
        <f>IF(ISNUMBER(SEARCH("H", 'WetLitterbags placem_collection'!$V200)),"YES","NO")</f>
        <v>NO</v>
      </c>
      <c r="AO199" t="str">
        <f>IF(ISNUMBER(SEARCH("R", 'WetLitterbags placem_collection'!$V200)),"YES","NO")</f>
        <v>YES</v>
      </c>
    </row>
    <row r="200" spans="1:41" ht="15" customHeight="1">
      <c r="A200" s="255" t="s">
        <v>2454</v>
      </c>
      <c r="B200" s="260">
        <f>'Dry_Litterbag Placem_Collection'!A201</f>
        <v>199</v>
      </c>
      <c r="C200" s="260" t="str">
        <f>'Dry_Litterbag Placem_Collection'!B201</f>
        <v>Makao</v>
      </c>
      <c r="D200" s="260" t="s">
        <v>2643</v>
      </c>
      <c r="E200" s="260" t="s">
        <v>2512</v>
      </c>
      <c r="F200" s="260">
        <v>1</v>
      </c>
      <c r="G200" s="260" t="s">
        <v>3808</v>
      </c>
      <c r="H200" s="261" t="str">
        <f>'Dry_Litterbag Placem_Collection'!C201</f>
        <v>Dry_P3_CG1</v>
      </c>
      <c r="I200" s="262" t="s">
        <v>2525</v>
      </c>
      <c r="J200" s="263" t="s">
        <v>1147</v>
      </c>
      <c r="K200" s="221" t="str">
        <f>'WetLitterbags placem_collection'!K201</f>
        <v>G877</v>
      </c>
      <c r="L200" s="223">
        <f>IFERROR(INDEX('Green_rooibos initial weight'!$C$5:$C$2000,MATCH(K200, 'Green_rooibos initial weight'!$A$5:$A$2000,0)),"")</f>
        <v>2.0649999999999999</v>
      </c>
      <c r="M200" s="223">
        <f>IFERROR(L200-(TBIcalc!$H$9+TBIcalc!$H$10),"")</f>
        <v>1.8151999999999999</v>
      </c>
      <c r="N200" s="385">
        <f>AVERAGE(Ashed_controlls!$K$2:$K$11)</f>
        <v>5.5147656768714146</v>
      </c>
      <c r="O200" s="223">
        <f t="shared" si="16"/>
        <v>1.7150959734334301</v>
      </c>
      <c r="P200" s="223">
        <f>IFERROR(INDEX('Both teabags AfterWet'!$C$3:$C$840,MATCH(K200,'Both teabags AfterWet'!$A$3:$A$840,0)),"")</f>
        <v>0.67900000000000005</v>
      </c>
      <c r="Q200" s="223">
        <f>IFERROR(IF(P200&gt;0,P200-(TBIcalc!$H$9),""),"")</f>
        <v>0.52839999999999998</v>
      </c>
      <c r="R200" s="223">
        <f>IFERROR(INDEX('Ashed teabags wet'!$K$2:$K$2000,MATCH(K200,'Ashed teabags wet'!$A$2:$A$2000,0)),"")</f>
        <v>11.636001989060295</v>
      </c>
      <c r="S200" s="223">
        <f t="shared" si="17"/>
        <v>0.46691536548980539</v>
      </c>
      <c r="T200" s="224">
        <f>'WetLitterbags placem_collection'!E201</f>
        <v>42769</v>
      </c>
      <c r="U200" s="224">
        <f>IF('WetLitterbags placem_collection'!G201="","",'WetLitterbags placem_collection'!G201)</f>
        <v>42814</v>
      </c>
      <c r="V200" s="225">
        <f t="shared" si="15"/>
        <v>45</v>
      </c>
      <c r="W200" s="223">
        <f t="shared" si="18"/>
        <v>1.2867999999999999</v>
      </c>
      <c r="X200" s="223">
        <f t="shared" si="19"/>
        <v>1.2481806079436248</v>
      </c>
      <c r="Y200">
        <f>IFERROR(INDEX(Rainfall_Wet!$O$2:$O$217,MATCH(B200, Rainfall_Wet!$A$2:$A$217,0)),"")</f>
        <v>175.377105089</v>
      </c>
      <c r="Z200" s="228">
        <v>21.96</v>
      </c>
      <c r="AA200" s="228">
        <v>8.9199999999999982</v>
      </c>
      <c r="AB200" s="228">
        <v>69.12</v>
      </c>
      <c r="AC200" s="229" t="s">
        <v>2654</v>
      </c>
      <c r="AD200" s="228">
        <v>1.7491375061606702</v>
      </c>
      <c r="AE200">
        <f>IF('WetLitterbags placem_collection'!AB201="","",'WetLitterbags placem_collection'!AB201)</f>
        <v>13.8</v>
      </c>
      <c r="AF200">
        <f>IF('WetLitterbags placem_collection'!Z201="","",'WetLitterbags placem_collection'!Z201)</f>
        <v>17.399999999999999</v>
      </c>
      <c r="AG200" s="243" t="str">
        <f>IF('WetLitterbags placem_collection'!AA201="","",'WetLitterbags placem_collection'!AA201)</f>
        <v>O</v>
      </c>
      <c r="AH200">
        <f>IF('WetLitterbags placem_collection'!AC201="","",'WetLitterbags placem_collection'!AC201)</f>
        <v>1</v>
      </c>
      <c r="AI200" s="237">
        <f>AVERAGE('WetLitterbags placem_collection'!S201,'WetLitterbags placem_collection'!U201)</f>
        <v>18.149999999999999</v>
      </c>
      <c r="AJ200">
        <f>AVERAGE('WetLitterbags placem_collection'!R201,'WetLitterbags placem_collection'!T201)</f>
        <v>24.549999999999997</v>
      </c>
      <c r="AK200">
        <v>-2.439403972</v>
      </c>
      <c r="AL200">
        <v>34.838404959999998</v>
      </c>
      <c r="AM200" t="str">
        <f>IF(ISNUMBER(SEARCH("C", 'WetLitterbags placem_collection'!$V201)),"YES","NO")</f>
        <v>NO</v>
      </c>
      <c r="AN200" t="str">
        <f>IF(ISNUMBER(SEARCH("H", 'WetLitterbags placem_collection'!$V201)),"YES","NO")</f>
        <v>NO</v>
      </c>
      <c r="AO200" t="str">
        <f>IF(ISNUMBER(SEARCH("R", 'WetLitterbags placem_collection'!$V201)),"YES","NO")</f>
        <v>YES</v>
      </c>
    </row>
    <row r="201" spans="1:41" ht="15" customHeight="1">
      <c r="A201" s="255" t="s">
        <v>2454</v>
      </c>
      <c r="B201" s="260">
        <f>'Dry_Litterbag Placem_Collection'!A202</f>
        <v>200</v>
      </c>
      <c r="C201" s="260" t="str">
        <f>'Dry_Litterbag Placem_Collection'!B202</f>
        <v>Makao</v>
      </c>
      <c r="D201" s="260" t="s">
        <v>2643</v>
      </c>
      <c r="E201" s="260" t="s">
        <v>2512</v>
      </c>
      <c r="F201" s="260">
        <v>4</v>
      </c>
      <c r="G201" s="260" t="s">
        <v>3809</v>
      </c>
      <c r="H201" s="261" t="str">
        <f>'Dry_Litterbag Placem_Collection'!C202</f>
        <v>Dry_P4_CG4</v>
      </c>
      <c r="I201" s="262" t="s">
        <v>2525</v>
      </c>
      <c r="J201" s="263" t="s">
        <v>1147</v>
      </c>
      <c r="K201" s="221" t="str">
        <f>'WetLitterbags placem_collection'!K202</f>
        <v>G816</v>
      </c>
      <c r="L201" s="223">
        <f>IFERROR(INDEX('Green_rooibos initial weight'!$C$5:$C$2000,MATCH(K201, 'Green_rooibos initial weight'!$A$5:$A$2000,0)),"")</f>
        <v>2.0139999999999998</v>
      </c>
      <c r="M201" s="223">
        <f>IFERROR(L201-(TBIcalc!$H$9+TBIcalc!$H$10),"")</f>
        <v>1.7641999999999998</v>
      </c>
      <c r="N201" s="385">
        <f>AVERAGE(Ashed_controlls!$K$2:$K$11)</f>
        <v>5.5147656768714146</v>
      </c>
      <c r="O201" s="223">
        <f t="shared" si="16"/>
        <v>1.6669085039286342</v>
      </c>
      <c r="P201" s="223">
        <f>IFERROR(INDEX('Both teabags AfterWet'!$C$3:$C$840,MATCH(K201,'Both teabags AfterWet'!$A$3:$A$840,0)),"")</f>
        <v>0.67120000000000002</v>
      </c>
      <c r="Q201" s="223">
        <f>IFERROR(IF(P201&gt;0,P201-(TBIcalc!$H$9),""),"")</f>
        <v>0.52059999999999995</v>
      </c>
      <c r="R201" s="223">
        <f>IFERROR(INDEX('Ashed teabags wet'!$K$2:$K$2000,MATCH(K201,'Ashed teabags wet'!$A$2:$A$2000,0)),"")</f>
        <v>11.089206505668416</v>
      </c>
      <c r="S201" s="223">
        <f t="shared" si="17"/>
        <v>0.46286959093149016</v>
      </c>
      <c r="T201" s="224">
        <f>'WetLitterbags placem_collection'!E202</f>
        <v>42769</v>
      </c>
      <c r="U201" s="224">
        <f>IF('WetLitterbags placem_collection'!G202="","",'WetLitterbags placem_collection'!G202)</f>
        <v>42813</v>
      </c>
      <c r="V201" s="225">
        <f t="shared" si="15"/>
        <v>44</v>
      </c>
      <c r="W201" s="223">
        <f t="shared" si="18"/>
        <v>1.2435999999999998</v>
      </c>
      <c r="X201" s="223">
        <f t="shared" si="19"/>
        <v>1.2040389129971441</v>
      </c>
      <c r="Y201">
        <f>IFERROR(INDEX(Rainfall_Wet!$O$2:$O$217,MATCH(B201, Rainfall_Wet!$A$2:$A$217,0)),"")</f>
        <v>175.054685654</v>
      </c>
      <c r="Z201" s="228">
        <v>25.96</v>
      </c>
      <c r="AA201" s="228">
        <v>6.9200000000000008</v>
      </c>
      <c r="AB201" s="228">
        <v>67.12</v>
      </c>
      <c r="AC201" s="229" t="s">
        <v>2654</v>
      </c>
      <c r="AD201" s="228">
        <v>1.7568260226712666</v>
      </c>
      <c r="AE201">
        <f>IF('WetLitterbags placem_collection'!AB202="","",'WetLitterbags placem_collection'!AB202)</f>
        <v>15.2</v>
      </c>
      <c r="AF201">
        <f>IF('WetLitterbags placem_collection'!Z202="","",'WetLitterbags placem_collection'!Z202)</f>
        <v>12.2</v>
      </c>
      <c r="AG201" s="243" t="str">
        <f>IF('WetLitterbags placem_collection'!AA202="","",'WetLitterbags placem_collection'!AA202)</f>
        <v>O</v>
      </c>
      <c r="AH201">
        <f>IF('WetLitterbags placem_collection'!AC202="","",'WetLitterbags placem_collection'!AC202)</f>
        <v>1</v>
      </c>
      <c r="AI201" s="237">
        <f>AVERAGE('WetLitterbags placem_collection'!S202,'WetLitterbags placem_collection'!U202)</f>
        <v>22.799999999999997</v>
      </c>
      <c r="AJ201">
        <f>AVERAGE('WetLitterbags placem_collection'!R202,'WetLitterbags placem_collection'!T202)</f>
        <v>27.9</v>
      </c>
      <c r="AK201">
        <v>-2.4396949910000001</v>
      </c>
      <c r="AL201">
        <v>34.838574029999997</v>
      </c>
      <c r="AM201" t="str">
        <f>IF(ISNUMBER(SEARCH("C", 'WetLitterbags placem_collection'!$V202)),"YES","NO")</f>
        <v>NO</v>
      </c>
      <c r="AN201" t="str">
        <f>IF(ISNUMBER(SEARCH("H", 'WetLitterbags placem_collection'!$V202)),"YES","NO")</f>
        <v>NO</v>
      </c>
      <c r="AO201" t="str">
        <f>IF(ISNUMBER(SEARCH("R", 'WetLitterbags placem_collection'!$V202)),"YES","NO")</f>
        <v>YES</v>
      </c>
    </row>
    <row r="202" spans="1:41" ht="15" customHeight="1">
      <c r="A202" s="255" t="s">
        <v>2454</v>
      </c>
      <c r="B202" s="260">
        <f>'Dry_Litterbag Placem_Collection'!A203</f>
        <v>201</v>
      </c>
      <c r="C202" s="260" t="str">
        <f>'Dry_Litterbag Placem_Collection'!B203</f>
        <v>Maswa</v>
      </c>
      <c r="D202" s="260" t="s">
        <v>2643</v>
      </c>
      <c r="E202" s="260" t="s">
        <v>2512</v>
      </c>
      <c r="F202" s="260">
        <v>4</v>
      </c>
      <c r="G202" s="260" t="s">
        <v>3813</v>
      </c>
      <c r="H202" s="261" t="str">
        <f>'Dry_Litterbag Placem_Collection'!C203</f>
        <v>Dry_W3_CG4</v>
      </c>
      <c r="I202" s="262" t="s">
        <v>2525</v>
      </c>
      <c r="J202" s="263" t="s">
        <v>1147</v>
      </c>
      <c r="K202" s="221" t="str">
        <f>'WetLitterbags placem_collection'!K203</f>
        <v>G811</v>
      </c>
      <c r="L202" s="223">
        <f>IFERROR(INDEX('Green_rooibos initial weight'!$C$5:$C$2000,MATCH(K202, 'Green_rooibos initial weight'!$A$5:$A$2000,0)),"")</f>
        <v>1.9930000000000001</v>
      </c>
      <c r="M202" s="223">
        <f>IFERROR(L202-(TBIcalc!$H$9+TBIcalc!$H$10),"")</f>
        <v>1.7432000000000001</v>
      </c>
      <c r="N202" s="385">
        <f>AVERAGE(Ashed_controlls!$K$2:$K$11)</f>
        <v>5.5147656768714146</v>
      </c>
      <c r="O202" s="223">
        <f t="shared" si="16"/>
        <v>1.6470666047207776</v>
      </c>
      <c r="P202" s="223">
        <f>IFERROR(INDEX('Both teabags AfterWet'!$C$3:$C$840,MATCH(K202,'Both teabags AfterWet'!$A$3:$A$840,0)),"")</f>
        <v>0.56630000000000003</v>
      </c>
      <c r="Q202" s="223">
        <f>IFERROR(IF(P202&gt;0,P202-(TBIcalc!$H$9),""),"")</f>
        <v>0.41570000000000001</v>
      </c>
      <c r="R202" s="223">
        <f>IFERROR(INDEX('Ashed teabags wet'!$K$2:$K$2000,MATCH(K202,'Ashed teabags wet'!$A$2:$A$2000,0)),"")</f>
        <v>11.712158808933365</v>
      </c>
      <c r="S202" s="223">
        <f t="shared" si="17"/>
        <v>0.36701255583126402</v>
      </c>
      <c r="T202" s="224">
        <f>'WetLitterbags placem_collection'!E203</f>
        <v>42769</v>
      </c>
      <c r="U202" s="224">
        <f>IF('WetLitterbags placem_collection'!G203="","",'WetLitterbags placem_collection'!G203)</f>
        <v>42813</v>
      </c>
      <c r="V202" s="225">
        <f t="shared" si="15"/>
        <v>44</v>
      </c>
      <c r="W202" s="223">
        <f t="shared" si="18"/>
        <v>1.3275000000000001</v>
      </c>
      <c r="X202" s="223">
        <f t="shared" si="19"/>
        <v>1.2800540488895136</v>
      </c>
      <c r="Y202">
        <f>IFERROR(INDEX(Rainfall_Wet!$O$2:$O$217,MATCH(B202, Rainfall_Wet!$A$2:$A$217,0)),"")</f>
        <v>175.054685654</v>
      </c>
      <c r="Z202" s="228">
        <v>38.691629007962128</v>
      </c>
      <c r="AA202" s="228">
        <v>26.81299763288143</v>
      </c>
      <c r="AB202" s="228">
        <v>34.495373359156439</v>
      </c>
      <c r="AC202" s="229" t="s">
        <v>2659</v>
      </c>
      <c r="AD202" s="228">
        <v>2.5483587974371611</v>
      </c>
      <c r="AE202">
        <f>IF('WetLitterbags placem_collection'!AB203="","",'WetLitterbags placem_collection'!AB203)</f>
        <v>15.2</v>
      </c>
      <c r="AF202">
        <f>IF('WetLitterbags placem_collection'!Z203="","",'WetLitterbags placem_collection'!Z203)</f>
        <v>12.2</v>
      </c>
      <c r="AG202" s="243" t="str">
        <f>IF('WetLitterbags placem_collection'!AA203="","",'WetLitterbags placem_collection'!AA203)</f>
        <v>O</v>
      </c>
      <c r="AH202">
        <f>IF('WetLitterbags placem_collection'!AC203="","",'WetLitterbags placem_collection'!AC203)</f>
        <v>1</v>
      </c>
      <c r="AI202" s="237">
        <f>AVERAGE('WetLitterbags placem_collection'!S203,'WetLitterbags placem_collection'!U203)</f>
        <v>22</v>
      </c>
      <c r="AJ202">
        <f>AVERAGE('WetLitterbags placem_collection'!R203,'WetLitterbags placem_collection'!T203)</f>
        <v>28</v>
      </c>
      <c r="AK202">
        <v>-2.4396949910000001</v>
      </c>
      <c r="AL202">
        <v>34.838574029999997</v>
      </c>
      <c r="AM202" t="str">
        <f>IF(ISNUMBER(SEARCH("C", 'WetLitterbags placem_collection'!$V203)),"YES","NO")</f>
        <v>NO</v>
      </c>
      <c r="AN202" t="str">
        <f>IF(ISNUMBER(SEARCH("H", 'WetLitterbags placem_collection'!$V203)),"YES","NO")</f>
        <v>NO</v>
      </c>
      <c r="AO202" t="str">
        <f>IF(ISNUMBER(SEARCH("R", 'WetLitterbags placem_collection'!$V203)),"YES","NO")</f>
        <v>YES</v>
      </c>
    </row>
    <row r="203" spans="1:41" ht="15" customHeight="1">
      <c r="A203" s="255" t="s">
        <v>2454</v>
      </c>
      <c r="B203" s="260">
        <f>'Dry_Litterbag Placem_Collection'!A204</f>
        <v>202</v>
      </c>
      <c r="C203" s="260" t="str">
        <f>'Dry_Litterbag Placem_Collection'!B204</f>
        <v>Maswa</v>
      </c>
      <c r="D203" s="260" t="s">
        <v>2643</v>
      </c>
      <c r="E203" s="260" t="s">
        <v>2512</v>
      </c>
      <c r="F203" s="260">
        <v>1</v>
      </c>
      <c r="G203" s="260" t="s">
        <v>3812</v>
      </c>
      <c r="H203" s="261" t="str">
        <f>'Dry_Litterbag Placem_Collection'!C204</f>
        <v>Dry_W2_CG1</v>
      </c>
      <c r="I203" s="262" t="s">
        <v>2525</v>
      </c>
      <c r="J203" s="263" t="s">
        <v>1147</v>
      </c>
      <c r="K203" s="221" t="str">
        <f>'WetLitterbags placem_collection'!K204</f>
        <v>G773</v>
      </c>
      <c r="L203" s="223">
        <f>IFERROR(INDEX('Green_rooibos initial weight'!$C$5:$C$2000,MATCH(K203, 'Green_rooibos initial weight'!$A$5:$A$2000,0)),"")</f>
        <v>1.718</v>
      </c>
      <c r="M203" s="223">
        <f>IFERROR(L203-(TBIcalc!$H$9+TBIcalc!$H$10),"")</f>
        <v>1.4681999999999999</v>
      </c>
      <c r="N203" s="385">
        <f>AVERAGE(Ashed_controlls!$K$2:$K$11)</f>
        <v>5.5147656768714146</v>
      </c>
      <c r="O203" s="223">
        <f t="shared" si="16"/>
        <v>1.3872322103321739</v>
      </c>
      <c r="P203" s="223">
        <f>IFERROR(INDEX('Both teabags AfterWet'!$C$3:$C$840,MATCH(K203,'Both teabags AfterWet'!$A$3:$A$840,0)),"")</f>
        <v>0.84</v>
      </c>
      <c r="Q203" s="223">
        <f>IFERROR(IF(P203&gt;0,P203-(TBIcalc!$H$9),""),"")</f>
        <v>0.68940000000000001</v>
      </c>
      <c r="R203" s="223">
        <f>IFERROR(INDEX('Ashed teabags wet'!$K$2:$K$2000,MATCH(K203,'Ashed teabags wet'!$A$2:$A$2000,0)),"")</f>
        <v>12.200000000000349</v>
      </c>
      <c r="S203" s="223">
        <f t="shared" si="17"/>
        <v>0.60529319999999764</v>
      </c>
      <c r="T203" s="224">
        <f>'WetLitterbags placem_collection'!E204</f>
        <v>42769</v>
      </c>
      <c r="U203" s="224">
        <f>IF('WetLitterbags placem_collection'!G204="","",'WetLitterbags placem_collection'!G204)</f>
        <v>42814</v>
      </c>
      <c r="V203" s="225">
        <f t="shared" si="15"/>
        <v>45</v>
      </c>
      <c r="W203" s="223">
        <f t="shared" si="18"/>
        <v>0.77879999999999994</v>
      </c>
      <c r="X203" s="223">
        <f t="shared" si="19"/>
        <v>0.78193901033217628</v>
      </c>
      <c r="Y203">
        <f>IFERROR(INDEX(Rainfall_Wet!$O$2:$O$217,MATCH(B203, Rainfall_Wet!$A$2:$A$217,0)),"")</f>
        <v>175.377105089</v>
      </c>
      <c r="Z203" s="228">
        <v>45.272914521112256</v>
      </c>
      <c r="AA203" s="228">
        <v>23.604531410916575</v>
      </c>
      <c r="AB203" s="228">
        <v>31.122554067971166</v>
      </c>
      <c r="AC203" s="229" t="s">
        <v>2657</v>
      </c>
      <c r="AD203" s="228">
        <v>2.0547560374568752</v>
      </c>
      <c r="AE203">
        <f>IF('WetLitterbags placem_collection'!AB204="","",'WetLitterbags placem_collection'!AB204)</f>
        <v>13.8</v>
      </c>
      <c r="AF203">
        <f>IF('WetLitterbags placem_collection'!Z204="","",'WetLitterbags placem_collection'!Z204)</f>
        <v>17.399999999999999</v>
      </c>
      <c r="AG203" s="243" t="str">
        <f>IF('WetLitterbags placem_collection'!AA204="","",'WetLitterbags placem_collection'!AA204)</f>
        <v>O</v>
      </c>
      <c r="AH203">
        <f>IF('WetLitterbags placem_collection'!AC204="","",'WetLitterbags placem_collection'!AC204)</f>
        <v>1</v>
      </c>
      <c r="AI203" s="237">
        <f>AVERAGE('WetLitterbags placem_collection'!S204,'WetLitterbags placem_collection'!U204)</f>
        <v>20.65</v>
      </c>
      <c r="AJ203">
        <f>AVERAGE('WetLitterbags placem_collection'!R204,'WetLitterbags placem_collection'!T204)</f>
        <v>24.1</v>
      </c>
      <c r="AK203">
        <v>-2.439403972</v>
      </c>
      <c r="AL203">
        <v>34.838404959999998</v>
      </c>
      <c r="AM203" t="str">
        <f>IF(ISNUMBER(SEARCH("C", 'WetLitterbags placem_collection'!$V204)),"YES","NO")</f>
        <v>NO</v>
      </c>
      <c r="AN203" t="str">
        <f>IF(ISNUMBER(SEARCH("H", 'WetLitterbags placem_collection'!$V204)),"YES","NO")</f>
        <v>NO</v>
      </c>
      <c r="AO203" t="str">
        <f>IF(ISNUMBER(SEARCH("R", 'WetLitterbags placem_collection'!$V204)),"YES","NO")</f>
        <v>YES</v>
      </c>
    </row>
    <row r="204" spans="1:41" ht="15" customHeight="1">
      <c r="A204" s="255" t="s">
        <v>2454</v>
      </c>
      <c r="B204" s="260">
        <f>'Dry_Litterbag Placem_Collection'!A205</f>
        <v>203</v>
      </c>
      <c r="C204" s="260" t="str">
        <f>'Dry_Litterbag Placem_Collection'!B205</f>
        <v>Maswa</v>
      </c>
      <c r="D204" s="260" t="s">
        <v>2643</v>
      </c>
      <c r="E204" s="260" t="s">
        <v>2512</v>
      </c>
      <c r="F204" s="260">
        <v>2</v>
      </c>
      <c r="G204" s="260" t="s">
        <v>3810</v>
      </c>
      <c r="H204" s="261" t="str">
        <f>'Dry_Litterbag Placem_Collection'!C205</f>
        <v>Dry_W1_CG2</v>
      </c>
      <c r="I204" s="262" t="s">
        <v>2525</v>
      </c>
      <c r="J204" s="263" t="s">
        <v>1147</v>
      </c>
      <c r="K204" s="221" t="str">
        <f>'WetLitterbags placem_collection'!K205</f>
        <v>G645</v>
      </c>
      <c r="L204" s="223">
        <f>IFERROR(INDEX('Green_rooibos initial weight'!$C$5:$C$2000,MATCH(K204, 'Green_rooibos initial weight'!$A$5:$A$2000,0)),"")</f>
        <v>2.238</v>
      </c>
      <c r="M204" s="223">
        <f>IFERROR(L204-(TBIcalc!$H$9+TBIcalc!$H$10),"")</f>
        <v>1.9882</v>
      </c>
      <c r="N204" s="385">
        <f>AVERAGE(Ashed_controlls!$K$2:$K$11)</f>
        <v>5.5147656768714146</v>
      </c>
      <c r="O204" s="223">
        <f t="shared" si="16"/>
        <v>1.8785554288124424</v>
      </c>
      <c r="P204" s="223">
        <f>IFERROR(INDEX('Both teabags AfterWet'!$C$3:$C$840,MATCH(K204,'Both teabags AfterWet'!$A$3:$A$840,0)),"")</f>
        <v>0.80930000000000002</v>
      </c>
      <c r="Q204" s="223">
        <f>IFERROR(IF(P204&gt;0,P204-(TBIcalc!$H$9),""),"")</f>
        <v>0.65870000000000006</v>
      </c>
      <c r="R204" s="223">
        <f>IFERROR(INDEX('Ashed teabags wet'!$K$2:$K$2000,MATCH(K204,'Ashed teabags wet'!$A$2:$A$2000,0)),"")</f>
        <v>11.067388096409434</v>
      </c>
      <c r="S204" s="223">
        <f t="shared" si="17"/>
        <v>0.58579911460895107</v>
      </c>
      <c r="T204" s="224">
        <f>'WetLitterbags placem_collection'!E205</f>
        <v>42769</v>
      </c>
      <c r="U204" s="224">
        <f>IF('WetLitterbags placem_collection'!G205="","",'WetLitterbags placem_collection'!G205)</f>
        <v>42814</v>
      </c>
      <c r="V204" s="225">
        <f t="shared" si="15"/>
        <v>45</v>
      </c>
      <c r="W204" s="223">
        <f t="shared" si="18"/>
        <v>1.3294999999999999</v>
      </c>
      <c r="X204" s="223">
        <f t="shared" si="19"/>
        <v>1.2927563142034915</v>
      </c>
      <c r="Y204">
        <f>IFERROR(INDEX(Rainfall_Wet!$O$2:$O$217,MATCH(B204, Rainfall_Wet!$A$2:$A$217,0)),"")</f>
        <v>175.377105089</v>
      </c>
      <c r="Z204" s="228">
        <v>47.96</v>
      </c>
      <c r="AA204" s="228">
        <v>22.919999999999995</v>
      </c>
      <c r="AB204" s="228">
        <v>29.120000000000012</v>
      </c>
      <c r="AC204" s="229" t="s">
        <v>2657</v>
      </c>
      <c r="AD204" s="228">
        <v>2.8831936914736325</v>
      </c>
      <c r="AE204">
        <f>IF('WetLitterbags placem_collection'!AB205="","",'WetLitterbags placem_collection'!AB205)</f>
        <v>5.13</v>
      </c>
      <c r="AF204">
        <f>IF('WetLitterbags placem_collection'!Z205="","",'WetLitterbags placem_collection'!Z205)</f>
        <v>5.13</v>
      </c>
      <c r="AG204" s="243" t="str">
        <f>IF('WetLitterbags placem_collection'!AA205="","",'WetLitterbags placem_collection'!AA205)</f>
        <v>O</v>
      </c>
      <c r="AH204">
        <f>IF('WetLitterbags placem_collection'!AC205="","",'WetLitterbags placem_collection'!AC205)</f>
        <v>1</v>
      </c>
      <c r="AI204" s="237">
        <f>AVERAGE('WetLitterbags placem_collection'!S205,'WetLitterbags placem_collection'!U205)</f>
        <v>27</v>
      </c>
      <c r="AJ204">
        <f>AVERAGE('WetLitterbags placem_collection'!R205,'WetLitterbags placem_collection'!T205)</f>
        <v>28.4</v>
      </c>
      <c r="AK204">
        <v>-2.4396450349999999</v>
      </c>
      <c r="AL204">
        <v>34.83836599</v>
      </c>
      <c r="AM204" t="str">
        <f>IF(ISNUMBER(SEARCH("C", 'WetLitterbags placem_collection'!$V205)),"YES","NO")</f>
        <v>NO</v>
      </c>
      <c r="AN204" t="str">
        <f>IF(ISNUMBER(SEARCH("H", 'WetLitterbags placem_collection'!$V205)),"YES","NO")</f>
        <v>NO</v>
      </c>
      <c r="AO204" t="str">
        <f>IF(ISNUMBER(SEARCH("R", 'WetLitterbags placem_collection'!$V205)),"YES","NO")</f>
        <v>YES</v>
      </c>
    </row>
    <row r="205" spans="1:41" ht="15" customHeight="1">
      <c r="A205" s="255" t="s">
        <v>2454</v>
      </c>
      <c r="B205" s="260">
        <f>'Dry_Litterbag Placem_Collection'!A206</f>
        <v>204</v>
      </c>
      <c r="C205" s="260" t="str">
        <f>'Dry_Litterbag Placem_Collection'!B206</f>
        <v>Maswa</v>
      </c>
      <c r="D205" s="260" t="s">
        <v>2643</v>
      </c>
      <c r="E205" s="260" t="s">
        <v>2512</v>
      </c>
      <c r="F205" s="260">
        <v>3</v>
      </c>
      <c r="G205" s="260" t="s">
        <v>3814</v>
      </c>
      <c r="H205" s="261" t="str">
        <f>'Dry_Litterbag Placem_Collection'!C206</f>
        <v>Dry_W4_CG3</v>
      </c>
      <c r="I205" s="262" t="s">
        <v>2525</v>
      </c>
      <c r="J205" s="263" t="s">
        <v>1147</v>
      </c>
      <c r="K205" s="221" t="str">
        <f>'WetLitterbags placem_collection'!K206</f>
        <v>G814</v>
      </c>
      <c r="L205" s="223">
        <f>IFERROR(INDEX('Green_rooibos initial weight'!$C$5:$C$2000,MATCH(K205, 'Green_rooibos initial weight'!$A$5:$A$2000,0)),"")</f>
        <v>2.1480000000000001</v>
      </c>
      <c r="M205" s="223">
        <f>IFERROR(L205-(TBIcalc!$H$9+TBIcalc!$H$10),"")</f>
        <v>1.8982000000000001</v>
      </c>
      <c r="N205" s="385">
        <f>AVERAGE(Ashed_controlls!$K$2:$K$11)</f>
        <v>5.5147656768714146</v>
      </c>
      <c r="O205" s="223">
        <f t="shared" si="16"/>
        <v>1.793518717921627</v>
      </c>
      <c r="P205" s="223">
        <f>IFERROR(INDEX('Both teabags AfterWet'!$C$3:$C$840,MATCH(K205,'Both teabags AfterWet'!$A$3:$A$840,0)),"")</f>
        <v>0.68300000000000005</v>
      </c>
      <c r="Q205" s="223">
        <f>IFERROR(IF(P205&gt;0,P205-(TBIcalc!$H$9),""),"")</f>
        <v>0.53239999999999998</v>
      </c>
      <c r="R205" s="223">
        <f>IFERROR(INDEX('Ashed teabags wet'!$K$2:$K$2000,MATCH(K205,'Ashed teabags wet'!$A$2:$A$2000,0)),"")</f>
        <v>11.500000000000204</v>
      </c>
      <c r="S205" s="223">
        <f t="shared" si="17"/>
        <v>0.47117399999999887</v>
      </c>
      <c r="T205" s="224">
        <f>'WetLitterbags placem_collection'!E206</f>
        <v>42769</v>
      </c>
      <c r="U205" s="224">
        <f>IF('WetLitterbags placem_collection'!G206="","",'WetLitterbags placem_collection'!G206)</f>
        <v>42813</v>
      </c>
      <c r="V205" s="225">
        <f t="shared" si="15"/>
        <v>44</v>
      </c>
      <c r="W205" s="223">
        <f t="shared" si="18"/>
        <v>1.3658000000000001</v>
      </c>
      <c r="X205" s="223">
        <f t="shared" si="19"/>
        <v>1.3223447179216281</v>
      </c>
      <c r="Y205">
        <f>IFERROR(INDEX(Rainfall_Wet!$O$2:$O$217,MATCH(B205, Rainfall_Wet!$A$2:$A$217,0)),"")</f>
        <v>175.054685654</v>
      </c>
      <c r="Z205" s="228">
        <v>28.145762029394</v>
      </c>
      <c r="AA205" s="228">
        <v>25.085564727199518</v>
      </c>
      <c r="AB205" s="228">
        <v>46.768673243406489</v>
      </c>
      <c r="AC205" s="229" t="s">
        <v>2654</v>
      </c>
      <c r="AD205" s="228">
        <v>2.1716214884179394</v>
      </c>
      <c r="AE205">
        <f>IF('WetLitterbags placem_collection'!AB206="","",'WetLitterbags placem_collection'!AB206)</f>
        <v>7.9</v>
      </c>
      <c r="AF205">
        <f>IF('WetLitterbags placem_collection'!Z206="","",'WetLitterbags placem_collection'!Z206)</f>
        <v>7.9</v>
      </c>
      <c r="AG205" s="243" t="str">
        <f>IF('WetLitterbags placem_collection'!AA206="","",'WetLitterbags placem_collection'!AA206)</f>
        <v>O</v>
      </c>
      <c r="AH205">
        <f>IF('WetLitterbags placem_collection'!AC206="","",'WetLitterbags placem_collection'!AC206)</f>
        <v>1</v>
      </c>
      <c r="AI205" s="237">
        <f>AVERAGE('WetLitterbags placem_collection'!S206,'WetLitterbags placem_collection'!U206)</f>
        <v>21.6</v>
      </c>
      <c r="AJ205">
        <f>AVERAGE('WetLitterbags placem_collection'!R206,'WetLitterbags placem_collection'!T206)</f>
        <v>30.950000000000003</v>
      </c>
      <c r="AK205">
        <v>-2.4395990190000001</v>
      </c>
      <c r="AL205">
        <v>34.838418959999998</v>
      </c>
      <c r="AM205" t="str">
        <f>IF(ISNUMBER(SEARCH("C", 'WetLitterbags placem_collection'!$V206)),"YES","NO")</f>
        <v>NO</v>
      </c>
      <c r="AN205" t="str">
        <f>IF(ISNUMBER(SEARCH("H", 'WetLitterbags placem_collection'!$V206)),"YES","NO")</f>
        <v>NO</v>
      </c>
      <c r="AO205" t="str">
        <f>IF(ISNUMBER(SEARCH("R", 'WetLitterbags placem_collection'!$V206)),"YES","NO")</f>
        <v>YES</v>
      </c>
    </row>
    <row r="206" spans="1:41" ht="15" customHeight="1">
      <c r="A206" s="255" t="s">
        <v>2454</v>
      </c>
      <c r="B206" s="260">
        <f>'Dry_Litterbag Placem_Collection'!A207</f>
        <v>205</v>
      </c>
      <c r="C206" s="260" t="str">
        <f>'Dry_Litterbag Placem_Collection'!B207</f>
        <v xml:space="preserve">Mwantimba
</v>
      </c>
      <c r="D206" s="260" t="s">
        <v>2454</v>
      </c>
      <c r="E206" s="260" t="s">
        <v>2512</v>
      </c>
      <c r="F206" s="260">
        <v>2</v>
      </c>
      <c r="G206" s="260" t="s">
        <v>3815</v>
      </c>
      <c r="H206" s="261" t="str">
        <f>'Dry_Litterbag Placem_Collection'!C207</f>
        <v>Wet_Ag1_CG2</v>
      </c>
      <c r="I206" s="262" t="s">
        <v>2525</v>
      </c>
      <c r="J206" s="263" t="s">
        <v>1147</v>
      </c>
      <c r="K206" s="221" t="str">
        <f>'WetLitterbags placem_collection'!K207</f>
        <v>G621</v>
      </c>
      <c r="L206" s="223">
        <f>IFERROR(INDEX('Green_rooibos initial weight'!$C$5:$C$2000,MATCH(K206, 'Green_rooibos initial weight'!$A$5:$A$2000,0)),"")</f>
        <v>1.925</v>
      </c>
      <c r="M206" s="223">
        <f>IFERROR(L206-(TBIcalc!$H$9+TBIcalc!$H$10),"")</f>
        <v>1.6752</v>
      </c>
      <c r="N206" s="385">
        <f>AVERAGE(Ashed_controlls!$K$2:$K$11)</f>
        <v>5.5147656768714146</v>
      </c>
      <c r="O206" s="223">
        <f t="shared" si="16"/>
        <v>1.5828166453810502</v>
      </c>
      <c r="P206" s="223">
        <f>IFERROR(INDEX('Both teabags AfterWet'!$C$3:$C$840,MATCH(K206,'Both teabags AfterWet'!$A$3:$A$840,0)),"")</f>
        <v>0.74099999999999999</v>
      </c>
      <c r="Q206" s="223">
        <f>IFERROR(IF(P206&gt;0,P206-(TBIcalc!$H$9),""),"")</f>
        <v>0.59040000000000004</v>
      </c>
      <c r="R206" s="223">
        <f>IFERROR(INDEX('Ashed teabags wet'!$K$2:$K$2000,MATCH(K206,'Ashed teabags wet'!$A$2:$A$2000,0)),"")</f>
        <v>22.042218949435743</v>
      </c>
      <c r="S206" s="223">
        <f t="shared" si="17"/>
        <v>0.46026273932253137</v>
      </c>
      <c r="T206" s="224">
        <f>'WetLitterbags placem_collection'!E207</f>
        <v>42769</v>
      </c>
      <c r="U206" s="224">
        <f>IF('WetLitterbags placem_collection'!G207="","",'WetLitterbags placem_collection'!G207)</f>
        <v>42814</v>
      </c>
      <c r="V206" s="225">
        <f t="shared" si="15"/>
        <v>45</v>
      </c>
      <c r="W206" s="223">
        <f t="shared" si="18"/>
        <v>1.0848</v>
      </c>
      <c r="X206" s="223">
        <f t="shared" si="19"/>
        <v>1.1225539060585188</v>
      </c>
      <c r="Y206">
        <f>IFERROR(INDEX(Rainfall_Wet!$O$2:$O$217,MATCH(B206, Rainfall_Wet!$A$2:$A$217,0)),"")</f>
        <v>175.377105089</v>
      </c>
      <c r="Z206" s="228">
        <v>45.96</v>
      </c>
      <c r="AA206" s="228">
        <v>14.920000000000003</v>
      </c>
      <c r="AB206" s="228">
        <v>39.119999999999997</v>
      </c>
      <c r="AC206" s="229" t="s">
        <v>2657</v>
      </c>
      <c r="AD206" s="228">
        <v>2.0374568753080333</v>
      </c>
      <c r="AE206">
        <f>IF('WetLitterbags placem_collection'!AB207="","",'WetLitterbags placem_collection'!AB207)</f>
        <v>5.13</v>
      </c>
      <c r="AF206">
        <f>IF('WetLitterbags placem_collection'!Z207="","",'WetLitterbags placem_collection'!Z207)</f>
        <v>5.13</v>
      </c>
      <c r="AG206" s="243" t="str">
        <f>IF('WetLitterbags placem_collection'!AA207="","",'WetLitterbags placem_collection'!AA207)</f>
        <v>O</v>
      </c>
      <c r="AH206">
        <f>IF('WetLitterbags placem_collection'!AC207="","",'WetLitterbags placem_collection'!AC207)</f>
        <v>1</v>
      </c>
      <c r="AI206" s="237">
        <f>AVERAGE('WetLitterbags placem_collection'!S207,'WetLitterbags placem_collection'!U207)</f>
        <v>24.45</v>
      </c>
      <c r="AJ206">
        <f>AVERAGE('WetLitterbags placem_collection'!R207,'WetLitterbags placem_collection'!T207)</f>
        <v>26.299999999999997</v>
      </c>
      <c r="AK206">
        <v>-2.4396450349999999</v>
      </c>
      <c r="AL206">
        <v>34.83836599</v>
      </c>
      <c r="AM206" t="str">
        <f>IF(ISNUMBER(SEARCH("C", 'WetLitterbags placem_collection'!$V207)),"YES","NO")</f>
        <v>NO</v>
      </c>
      <c r="AN206" t="str">
        <f>IF(ISNUMBER(SEARCH("H", 'WetLitterbags placem_collection'!$V207)),"YES","NO")</f>
        <v>YES</v>
      </c>
      <c r="AO206" t="str">
        <f>IF(ISNUMBER(SEARCH("R", 'WetLitterbags placem_collection'!$V207)),"YES","NO")</f>
        <v>YES</v>
      </c>
    </row>
    <row r="207" spans="1:41" ht="15" customHeight="1">
      <c r="A207" s="255" t="s">
        <v>2454</v>
      </c>
      <c r="B207" s="260">
        <f>'Dry_Litterbag Placem_Collection'!A208</f>
        <v>206</v>
      </c>
      <c r="C207" s="260" t="str">
        <f>'Dry_Litterbag Placem_Collection'!B208</f>
        <v xml:space="preserve">Mwantimba
</v>
      </c>
      <c r="D207" s="260" t="s">
        <v>2454</v>
      </c>
      <c r="E207" s="260" t="s">
        <v>2512</v>
      </c>
      <c r="F207" s="260">
        <v>1</v>
      </c>
      <c r="G207" s="260" t="s">
        <v>3817</v>
      </c>
      <c r="H207" s="261" t="str">
        <f>'Dry_Litterbag Placem_Collection'!C208</f>
        <v>Wet_Ag2_CG1</v>
      </c>
      <c r="I207" s="262" t="s">
        <v>2525</v>
      </c>
      <c r="J207" s="263" t="s">
        <v>1147</v>
      </c>
      <c r="K207" s="221" t="str">
        <f>'WetLitterbags placem_collection'!K208</f>
        <v>G677</v>
      </c>
      <c r="L207" s="223">
        <f>IFERROR(INDEX('Green_rooibos initial weight'!$C$5:$C$2000,MATCH(K207, 'Green_rooibos initial weight'!$A$5:$A$2000,0)),"")</f>
        <v>2.1269999999999998</v>
      </c>
      <c r="M207" s="223">
        <f>IFERROR(L207-(TBIcalc!$H$9+TBIcalc!$H$10),"")</f>
        <v>1.8771999999999998</v>
      </c>
      <c r="N207" s="385">
        <f>AVERAGE(Ashed_controlls!$K$2:$K$11)</f>
        <v>5.5147656768714146</v>
      </c>
      <c r="O207" s="223">
        <f t="shared" si="16"/>
        <v>1.7736768187137695</v>
      </c>
      <c r="P207" s="223">
        <f>IFERROR(INDEX('Both teabags AfterWet'!$C$3:$C$840,MATCH(K207,'Both teabags AfterWet'!$A$3:$A$840,0)),"")</f>
        <v>0.85699999999999998</v>
      </c>
      <c r="Q207" s="223">
        <f>IFERROR(IF(P207&gt;0,P207-(TBIcalc!$H$9),""),"")</f>
        <v>0.70639999999999992</v>
      </c>
      <c r="R207" s="223">
        <f>IFERROR(INDEX('Ashed teabags wet'!$K$2:$K$2000,MATCH(K207,'Ashed teabags wet'!$A$2:$A$2000,0)),"")</f>
        <v>17.335314512134694</v>
      </c>
      <c r="S207" s="223">
        <f t="shared" si="17"/>
        <v>0.58394333828628042</v>
      </c>
      <c r="T207" s="224">
        <f>'WetLitterbags placem_collection'!E208</f>
        <v>42769</v>
      </c>
      <c r="U207" s="224">
        <f>IF('WetLitterbags placem_collection'!G208="","",'WetLitterbags placem_collection'!G208)</f>
        <v>42814</v>
      </c>
      <c r="V207" s="225">
        <f t="shared" si="15"/>
        <v>45</v>
      </c>
      <c r="W207" s="223">
        <f t="shared" si="18"/>
        <v>1.1707999999999998</v>
      </c>
      <c r="X207" s="223">
        <f t="shared" si="19"/>
        <v>1.1897334804274891</v>
      </c>
      <c r="Y207">
        <f>IFERROR(INDEX(Rainfall_Wet!$O$2:$O$217,MATCH(B207, Rainfall_Wet!$A$2:$A$217,0)),"")</f>
        <v>175.377105089</v>
      </c>
      <c r="Z207" s="228">
        <v>34.344660194174757</v>
      </c>
      <c r="AA207" s="228">
        <v>19.22727272727273</v>
      </c>
      <c r="AB207" s="228">
        <v>46.428067078552509</v>
      </c>
      <c r="AC207" s="229" t="s">
        <v>2654</v>
      </c>
      <c r="AD207" s="228">
        <v>1.7452932479053718</v>
      </c>
      <c r="AE207">
        <f>IF('WetLitterbags placem_collection'!AB208="","",'WetLitterbags placem_collection'!AB208)</f>
        <v>13.8</v>
      </c>
      <c r="AF207">
        <f>IF('WetLitterbags placem_collection'!Z208="","",'WetLitterbags placem_collection'!Z208)</f>
        <v>17.399999999999999</v>
      </c>
      <c r="AG207" s="243" t="str">
        <f>IF('WetLitterbags placem_collection'!AA208="","",'WetLitterbags placem_collection'!AA208)</f>
        <v>O</v>
      </c>
      <c r="AH207">
        <f>IF('WetLitterbags placem_collection'!AC208="","",'WetLitterbags placem_collection'!AC208)</f>
        <v>1</v>
      </c>
      <c r="AI207" s="237">
        <f>AVERAGE('WetLitterbags placem_collection'!S208,'WetLitterbags placem_collection'!U208)</f>
        <v>19.05</v>
      </c>
      <c r="AJ207">
        <f>AVERAGE('WetLitterbags placem_collection'!R208,'WetLitterbags placem_collection'!T208)</f>
        <v>24.15</v>
      </c>
      <c r="AK207">
        <v>-2.439403972</v>
      </c>
      <c r="AL207">
        <v>34.838404959999998</v>
      </c>
      <c r="AM207" t="str">
        <f>IF(ISNUMBER(SEARCH("C", 'WetLitterbags placem_collection'!$V208)),"YES","NO")</f>
        <v>NO</v>
      </c>
      <c r="AN207" t="str">
        <f>IF(ISNUMBER(SEARCH("H", 'WetLitterbags placem_collection'!$V208)),"YES","NO")</f>
        <v>NO</v>
      </c>
      <c r="AO207" t="str">
        <f>IF(ISNUMBER(SEARCH("R", 'WetLitterbags placem_collection'!$V208)),"YES","NO")</f>
        <v>YES</v>
      </c>
    </row>
    <row r="208" spans="1:41" ht="15" customHeight="1">
      <c r="A208" s="255" t="s">
        <v>2454</v>
      </c>
      <c r="B208" s="260">
        <f>'Dry_Litterbag Placem_Collection'!A209</f>
        <v>207</v>
      </c>
      <c r="C208" s="260" t="str">
        <f>'Dry_Litterbag Placem_Collection'!B209</f>
        <v xml:space="preserve">Mwantimba
</v>
      </c>
      <c r="D208" s="260" t="s">
        <v>2454</v>
      </c>
      <c r="E208" s="260" t="s">
        <v>2512</v>
      </c>
      <c r="F208" s="260">
        <v>4</v>
      </c>
      <c r="G208" s="260" t="s">
        <v>3818</v>
      </c>
      <c r="H208" s="261" t="str">
        <f>'Dry_Litterbag Placem_Collection'!C209</f>
        <v>Wet_Ag3_CG4</v>
      </c>
      <c r="I208" s="262" t="s">
        <v>2525</v>
      </c>
      <c r="J208" s="263" t="s">
        <v>1147</v>
      </c>
      <c r="K208" s="221" t="str">
        <f>'WetLitterbags placem_collection'!K209</f>
        <v>G574</v>
      </c>
      <c r="L208" s="223">
        <f>IFERROR(INDEX('Green_rooibos initial weight'!$C$5:$C$2000,MATCH(K208, 'Green_rooibos initial weight'!$A$5:$A$2000,0)),"")</f>
        <v>1.984</v>
      </c>
      <c r="M208" s="223">
        <f>IFERROR(L208-(TBIcalc!$H$9+TBIcalc!$H$10),"")</f>
        <v>1.7342</v>
      </c>
      <c r="N208" s="385">
        <f>AVERAGE(Ashed_controlls!$K$2:$K$11)</f>
        <v>5.5147656768714146</v>
      </c>
      <c r="O208" s="223">
        <f t="shared" si="16"/>
        <v>1.6385629336316958</v>
      </c>
      <c r="P208" s="223">
        <f>IFERROR(INDEX('Both teabags AfterWet'!$C$3:$C$840,MATCH(K208,'Both teabags AfterWet'!$A$3:$A$840,0)),"")</f>
        <v>0.77700000000000002</v>
      </c>
      <c r="Q208" s="223">
        <f>IFERROR(IF(P208&gt;0,P208-(TBIcalc!$H$9),""),"")</f>
        <v>0.62640000000000007</v>
      </c>
      <c r="R208" s="223">
        <f>IFERROR(INDEX('Ashed teabags wet'!$K$2:$K$2000,MATCH(K208,'Ashed teabags wet'!$A$2:$A$2000,0)),"")</f>
        <v>23.600000000000428</v>
      </c>
      <c r="S208" s="223">
        <f t="shared" si="17"/>
        <v>0.47856959999999737</v>
      </c>
      <c r="T208" s="224">
        <f>'WetLitterbags placem_collection'!E209</f>
        <v>42769</v>
      </c>
      <c r="U208" s="224">
        <f>IF('WetLitterbags placem_collection'!G209="","",'WetLitterbags placem_collection'!G209)</f>
        <v>42813</v>
      </c>
      <c r="V208" s="225">
        <f t="shared" si="15"/>
        <v>44</v>
      </c>
      <c r="W208" s="223">
        <f t="shared" si="18"/>
        <v>1.1077999999999999</v>
      </c>
      <c r="X208" s="223">
        <f t="shared" si="19"/>
        <v>1.1599933336316983</v>
      </c>
      <c r="Y208">
        <f>IFERROR(INDEX(Rainfall_Wet!$O$2:$O$217,MATCH(B208, Rainfall_Wet!$A$2:$A$217,0)),"")</f>
        <v>175.054685654</v>
      </c>
      <c r="Z208" s="228">
        <v>27.96</v>
      </c>
      <c r="AA208" s="228">
        <v>4.9200000000000017</v>
      </c>
      <c r="AB208" s="228">
        <v>67.12</v>
      </c>
      <c r="AC208" s="229" t="s">
        <v>2654</v>
      </c>
      <c r="AD208" s="228">
        <v>0.88610152784622953</v>
      </c>
      <c r="AE208">
        <f>IF('WetLitterbags placem_collection'!AB209="","",'WetLitterbags placem_collection'!AB209)</f>
        <v>15.2</v>
      </c>
      <c r="AF208">
        <f>IF('WetLitterbags placem_collection'!Z209="","",'WetLitterbags placem_collection'!Z209)</f>
        <v>12.2</v>
      </c>
      <c r="AG208" s="243" t="str">
        <f>IF('WetLitterbags placem_collection'!AA209="","",'WetLitterbags placem_collection'!AA209)</f>
        <v>O</v>
      </c>
      <c r="AH208">
        <f>IF('WetLitterbags placem_collection'!AC209="","",'WetLitterbags placem_collection'!AC209)</f>
        <v>1</v>
      </c>
      <c r="AI208" s="237">
        <f>AVERAGE('WetLitterbags placem_collection'!S209,'WetLitterbags placem_collection'!U209)</f>
        <v>19.8</v>
      </c>
      <c r="AJ208">
        <f>AVERAGE('WetLitterbags placem_collection'!R209,'WetLitterbags placem_collection'!T209)</f>
        <v>29.05</v>
      </c>
      <c r="AK208">
        <v>-2.4396949910000001</v>
      </c>
      <c r="AL208">
        <v>34.838574029999997</v>
      </c>
      <c r="AM208" t="str">
        <f>IF(ISNUMBER(SEARCH("C", 'WetLitterbags placem_collection'!$V209)),"YES","NO")</f>
        <v>NO</v>
      </c>
      <c r="AN208" t="str">
        <f>IF(ISNUMBER(SEARCH("H", 'WetLitterbags placem_collection'!$V209)),"YES","NO")</f>
        <v>NO</v>
      </c>
      <c r="AO208" t="str">
        <f>IF(ISNUMBER(SEARCH("R", 'WetLitterbags placem_collection'!$V209)),"YES","NO")</f>
        <v>YES</v>
      </c>
    </row>
    <row r="209" spans="1:41" ht="15" customHeight="1">
      <c r="A209" s="255" t="s">
        <v>2454</v>
      </c>
      <c r="B209" s="260">
        <f>'Dry_Litterbag Placem_Collection'!A210</f>
        <v>208</v>
      </c>
      <c r="C209" s="260" t="str">
        <f>'Dry_Litterbag Placem_Collection'!B210</f>
        <v xml:space="preserve">Mwantimba
</v>
      </c>
      <c r="D209" s="260" t="s">
        <v>2454</v>
      </c>
      <c r="E209" s="260" t="s">
        <v>2512</v>
      </c>
      <c r="F209" s="260">
        <v>3</v>
      </c>
      <c r="G209" s="260" t="s">
        <v>3819</v>
      </c>
      <c r="H209" s="261" t="str">
        <f>'Dry_Litterbag Placem_Collection'!C210</f>
        <v>Wet_Ag4_CG3</v>
      </c>
      <c r="I209" s="262" t="s">
        <v>2525</v>
      </c>
      <c r="J209" s="263" t="s">
        <v>1147</v>
      </c>
      <c r="K209" s="221" t="str">
        <f>'WetLitterbags placem_collection'!K210</f>
        <v>G710</v>
      </c>
      <c r="L209" s="223">
        <f>IFERROR(INDEX('Green_rooibos initial weight'!$C$5:$C$2000,MATCH(K209, 'Green_rooibos initial weight'!$A$5:$A$2000,0)),"")</f>
        <v>2.0270000000000001</v>
      </c>
      <c r="M209" s="223">
        <f>IFERROR(L209-(TBIcalc!$H$9+TBIcalc!$H$10),"")</f>
        <v>1.7772000000000001</v>
      </c>
      <c r="N209" s="385">
        <f>AVERAGE(Ashed_controlls!$K$2:$K$11)</f>
        <v>5.5147656768714146</v>
      </c>
      <c r="O209" s="223">
        <f t="shared" si="16"/>
        <v>1.6791915843906413</v>
      </c>
      <c r="P209" s="223">
        <f>IFERROR(INDEX('Both teabags AfterWet'!$C$3:$C$840,MATCH(K209,'Both teabags AfterWet'!$A$3:$A$840,0)),"")</f>
        <v>0.91</v>
      </c>
      <c r="Q209" s="223">
        <f>IFERROR(IF(P209&gt;0,P209-(TBIcalc!$H$9),""),"")</f>
        <v>0.75940000000000007</v>
      </c>
      <c r="R209" s="223">
        <f>IFERROR(INDEX('Ashed teabags wet'!$K$2:$K$2000,MATCH(K209,'Ashed teabags wet'!$A$2:$A$2000,0)),"")</f>
        <v>18.435475834579655</v>
      </c>
      <c r="S209" s="223">
        <f t="shared" si="17"/>
        <v>0.61940099651220215</v>
      </c>
      <c r="T209" s="224">
        <f>'WetLitterbags placem_collection'!E210</f>
        <v>42769</v>
      </c>
      <c r="U209" s="224">
        <f>IF('WetLitterbags placem_collection'!G210="","",'WetLitterbags placem_collection'!G210)</f>
        <v>42813</v>
      </c>
      <c r="V209" s="225">
        <f t="shared" si="15"/>
        <v>44</v>
      </c>
      <c r="W209" s="223">
        <f t="shared" si="18"/>
        <v>1.0178</v>
      </c>
      <c r="X209" s="223">
        <f t="shared" si="19"/>
        <v>1.0597905878784393</v>
      </c>
      <c r="Y209">
        <f>IFERROR(INDEX(Rainfall_Wet!$O$2:$O$217,MATCH(B209, Rainfall_Wet!$A$2:$A$217,0)),"")</f>
        <v>175.054685654</v>
      </c>
      <c r="Z209" s="228">
        <v>17.96</v>
      </c>
      <c r="AA209" s="228">
        <v>4.9199999999999982</v>
      </c>
      <c r="AB209" s="228">
        <v>77.12</v>
      </c>
      <c r="AC209" s="229" t="s">
        <v>2655</v>
      </c>
      <c r="AD209" s="228">
        <v>2.0220798422868409</v>
      </c>
      <c r="AE209">
        <f>IF('WetLitterbags placem_collection'!AB210="","",'WetLitterbags placem_collection'!AB210)</f>
        <v>7.9</v>
      </c>
      <c r="AF209">
        <f>IF('WetLitterbags placem_collection'!Z210="","",'WetLitterbags placem_collection'!Z210)</f>
        <v>7.9</v>
      </c>
      <c r="AG209" s="243" t="str">
        <f>IF('WetLitterbags placem_collection'!AA210="","",'WetLitterbags placem_collection'!AA210)</f>
        <v>O</v>
      </c>
      <c r="AH209">
        <f>IF('WetLitterbags placem_collection'!AC210="","",'WetLitterbags placem_collection'!AC210)</f>
        <v>1</v>
      </c>
      <c r="AI209" s="237">
        <f>AVERAGE('WetLitterbags placem_collection'!S210,'WetLitterbags placem_collection'!U210)</f>
        <v>22.200000000000003</v>
      </c>
      <c r="AJ209">
        <f>AVERAGE('WetLitterbags placem_collection'!R210,'WetLitterbags placem_collection'!T210)</f>
        <v>27.45</v>
      </c>
      <c r="AK209">
        <v>-2.4395990190000001</v>
      </c>
      <c r="AL209">
        <v>34.838418959999998</v>
      </c>
      <c r="AM209" t="str">
        <f>IF(ISNUMBER(SEARCH("C", 'WetLitterbags placem_collection'!$V210)),"YES","NO")</f>
        <v>NO</v>
      </c>
      <c r="AN209" t="str">
        <f>IF(ISNUMBER(SEARCH("H", 'WetLitterbags placem_collection'!$V210)),"YES","NO")</f>
        <v>NO</v>
      </c>
      <c r="AO209" t="str">
        <f>IF(ISNUMBER(SEARCH("R", 'WetLitterbags placem_collection'!$V210)),"YES","NO")</f>
        <v>YES</v>
      </c>
    </row>
    <row r="210" spans="1:41" ht="15" customHeight="1">
      <c r="A210" s="255" t="s">
        <v>2454</v>
      </c>
      <c r="B210" s="260">
        <f>'Dry_Litterbag Placem_Collection'!A211</f>
        <v>209</v>
      </c>
      <c r="C210" s="260" t="str">
        <f>'Dry_Litterbag Placem_Collection'!B211</f>
        <v xml:space="preserve">Mwantimba
</v>
      </c>
      <c r="D210" s="260" t="s">
        <v>2454</v>
      </c>
      <c r="E210" s="260" t="s">
        <v>2512</v>
      </c>
      <c r="F210" s="260">
        <v>2</v>
      </c>
      <c r="G210" s="260" t="s">
        <v>3820</v>
      </c>
      <c r="H210" s="261" t="str">
        <f>'Dry_Litterbag Placem_Collection'!C211</f>
        <v>Wet_P1_CG2</v>
      </c>
      <c r="I210" s="262" t="s">
        <v>2525</v>
      </c>
      <c r="J210" s="263" t="s">
        <v>1147</v>
      </c>
      <c r="K210" s="221" t="str">
        <f>'WetLitterbags placem_collection'!K211</f>
        <v>G604</v>
      </c>
      <c r="L210" s="223">
        <f>IFERROR(INDEX('Green_rooibos initial weight'!$C$5:$C$2000,MATCH(K210, 'Green_rooibos initial weight'!$A$5:$A$2000,0)),"")</f>
        <v>2.0390000000000001</v>
      </c>
      <c r="M210" s="223">
        <f>IFERROR(L210-(TBIcalc!$H$9+TBIcalc!$H$10),"")</f>
        <v>1.7892000000000001</v>
      </c>
      <c r="N210" s="385">
        <f>AVERAGE(Ashed_controlls!$K$2:$K$11)</f>
        <v>5.5147656768714146</v>
      </c>
      <c r="O210" s="223">
        <f t="shared" si="16"/>
        <v>1.6905298125094168</v>
      </c>
      <c r="P210" s="223">
        <f>IFERROR(INDEX('Both teabags AfterWet'!$C$3:$C$840,MATCH(K210,'Both teabags AfterWet'!$A$3:$A$840,0)),"")</f>
        <v>0.748</v>
      </c>
      <c r="Q210" s="223">
        <f>IFERROR(IF(P210&gt;0,P210-(TBIcalc!$H$9),""),"")</f>
        <v>0.59739999999999993</v>
      </c>
      <c r="R210" s="223">
        <f>IFERROR(INDEX('Ashed teabags wet'!$K$2:$K$2000,MATCH(K210,'Ashed teabags wet'!$A$2:$A$2000,0)),"")</f>
        <v>16.351888667991876</v>
      </c>
      <c r="S210" s="223">
        <f t="shared" si="17"/>
        <v>0.49971381709741647</v>
      </c>
      <c r="T210" s="224">
        <f>'WetLitterbags placem_collection'!E211</f>
        <v>42769</v>
      </c>
      <c r="U210" s="224">
        <f>IF('WetLitterbags placem_collection'!G211="","",'WetLitterbags placem_collection'!G211)</f>
        <v>42814</v>
      </c>
      <c r="V210" s="225">
        <f t="shared" si="15"/>
        <v>45</v>
      </c>
      <c r="W210" s="223">
        <f t="shared" si="18"/>
        <v>1.1918000000000002</v>
      </c>
      <c r="X210" s="223">
        <f t="shared" si="19"/>
        <v>1.1908159954120003</v>
      </c>
      <c r="Y210">
        <f>IFERROR(INDEX(Rainfall_Wet!$O$2:$O$217,MATCH(B210, Rainfall_Wet!$A$2:$A$217,0)),"")</f>
        <v>175.377105089</v>
      </c>
      <c r="Z210" s="228">
        <v>31.214836424255054</v>
      </c>
      <c r="AA210" s="228">
        <v>11.377370285476141</v>
      </c>
      <c r="AB210" s="228">
        <v>57.407793290268799</v>
      </c>
      <c r="AC210" s="229" t="s">
        <v>2654</v>
      </c>
      <c r="AD210" s="228">
        <v>1.7337604731394776</v>
      </c>
      <c r="AE210">
        <f>IF('WetLitterbags placem_collection'!AB211="","",'WetLitterbags placem_collection'!AB211)</f>
        <v>5.13</v>
      </c>
      <c r="AF210">
        <f>IF('WetLitterbags placem_collection'!Z211="","",'WetLitterbags placem_collection'!Z211)</f>
        <v>5.13</v>
      </c>
      <c r="AG210" s="243" t="str">
        <f>IF('WetLitterbags placem_collection'!AA211="","",'WetLitterbags placem_collection'!AA211)</f>
        <v>O</v>
      </c>
      <c r="AH210">
        <f>IF('WetLitterbags placem_collection'!AC211="","",'WetLitterbags placem_collection'!AC211)</f>
        <v>1</v>
      </c>
      <c r="AI210" s="237">
        <f>AVERAGE('WetLitterbags placem_collection'!S211,'WetLitterbags placem_collection'!U211)</f>
        <v>24.5</v>
      </c>
      <c r="AJ210">
        <f>AVERAGE('WetLitterbags placem_collection'!R211,'WetLitterbags placem_collection'!T211)</f>
        <v>24.4</v>
      </c>
      <c r="AK210">
        <v>-2.4396450349999999</v>
      </c>
      <c r="AL210">
        <v>34.83836599</v>
      </c>
      <c r="AM210" t="str">
        <f>IF(ISNUMBER(SEARCH("C", 'WetLitterbags placem_collection'!$V211)),"YES","NO")</f>
        <v>NO</v>
      </c>
      <c r="AN210" t="str">
        <f>IF(ISNUMBER(SEARCH("H", 'WetLitterbags placem_collection'!$V211)),"YES","NO")</f>
        <v>NO</v>
      </c>
      <c r="AO210" t="str">
        <f>IF(ISNUMBER(SEARCH("R", 'WetLitterbags placem_collection'!$V211)),"YES","NO")</f>
        <v>YES</v>
      </c>
    </row>
    <row r="211" spans="1:41" ht="15" customHeight="1">
      <c r="A211" s="255" t="s">
        <v>2454</v>
      </c>
      <c r="B211" s="260">
        <f>'Dry_Litterbag Placem_Collection'!A212</f>
        <v>210</v>
      </c>
      <c r="C211" s="260" t="str">
        <f>'Dry_Litterbag Placem_Collection'!B212</f>
        <v xml:space="preserve">Mwantimba
</v>
      </c>
      <c r="D211" s="260" t="s">
        <v>2454</v>
      </c>
      <c r="E211" s="260" t="s">
        <v>2512</v>
      </c>
      <c r="F211" s="260">
        <v>4</v>
      </c>
      <c r="G211" s="260" t="s">
        <v>3822</v>
      </c>
      <c r="H211" s="261" t="str">
        <f>'Dry_Litterbag Placem_Collection'!C212</f>
        <v>Wet_P2_CG4</v>
      </c>
      <c r="I211" s="262" t="s">
        <v>2525</v>
      </c>
      <c r="J211" s="263" t="s">
        <v>1147</v>
      </c>
      <c r="K211" s="221" t="str">
        <f>'WetLitterbags placem_collection'!K212</f>
        <v>G871</v>
      </c>
      <c r="L211" s="223">
        <f>IFERROR(INDEX('Green_rooibos initial weight'!$C$5:$C$2000,MATCH(K211, 'Green_rooibos initial weight'!$A$5:$A$2000,0)),"")</f>
        <v>2.0680000000000001</v>
      </c>
      <c r="M211" s="223">
        <f>IFERROR(L211-(TBIcalc!$H$9+TBIcalc!$H$10),"")</f>
        <v>1.8182</v>
      </c>
      <c r="N211" s="385">
        <f>AVERAGE(Ashed_controlls!$K$2:$K$11)</f>
        <v>5.5147656768714146</v>
      </c>
      <c r="O211" s="223">
        <f t="shared" si="16"/>
        <v>1.7179305304631241</v>
      </c>
      <c r="P211" s="223">
        <f>IFERROR(INDEX('Both teabags AfterWet'!$C$3:$C$840,MATCH(K211,'Both teabags AfterWet'!$A$3:$A$840,0)),"")</f>
        <v>0.83130000000000004</v>
      </c>
      <c r="Q211" s="223">
        <f>IFERROR(IF(P211&gt;0,P211-(TBIcalc!$H$9),""),"")</f>
        <v>0.68070000000000008</v>
      </c>
      <c r="R211" s="223">
        <f>IFERROR(INDEX('Ashed teabags wet'!$K$2:$K$2000,MATCH(K211,'Ashed teabags wet'!$A$2:$A$2000,0)),"")</f>
        <v>17.063492063492387</v>
      </c>
      <c r="S211" s="223">
        <f t="shared" si="17"/>
        <v>0.56454880952380737</v>
      </c>
      <c r="T211" s="224">
        <f>'WetLitterbags placem_collection'!E212</f>
        <v>42769</v>
      </c>
      <c r="U211" s="224">
        <f>IF('WetLitterbags placem_collection'!G212="","",'WetLitterbags placem_collection'!G212)</f>
        <v>42813</v>
      </c>
      <c r="V211" s="225">
        <f t="shared" si="15"/>
        <v>44</v>
      </c>
      <c r="W211" s="223">
        <f t="shared" si="18"/>
        <v>1.1375</v>
      </c>
      <c r="X211" s="223">
        <f t="shared" si="19"/>
        <v>1.1533817209393167</v>
      </c>
      <c r="Y211">
        <f>IFERROR(INDEX(Rainfall_Wet!$O$2:$O$217,MATCH(B211, Rainfall_Wet!$A$2:$A$217,0)),"")</f>
        <v>175.054685654</v>
      </c>
      <c r="Z211" s="228">
        <v>33.96</v>
      </c>
      <c r="AA211" s="228">
        <v>8.9200000000000017</v>
      </c>
      <c r="AB211" s="228">
        <v>57.12</v>
      </c>
      <c r="AC211" s="229" t="s">
        <v>2654</v>
      </c>
      <c r="AD211" s="228">
        <v>2.072055199605717</v>
      </c>
      <c r="AE211">
        <f>IF('WetLitterbags placem_collection'!AB212="","",'WetLitterbags placem_collection'!AB212)</f>
        <v>15.2</v>
      </c>
      <c r="AF211">
        <f>IF('WetLitterbags placem_collection'!Z212="","",'WetLitterbags placem_collection'!Z212)</f>
        <v>12.2</v>
      </c>
      <c r="AG211" s="243" t="str">
        <f>IF('WetLitterbags placem_collection'!AA212="","",'WetLitterbags placem_collection'!AA212)</f>
        <v>O</v>
      </c>
      <c r="AH211">
        <f>IF('WetLitterbags placem_collection'!AC212="","",'WetLitterbags placem_collection'!AC212)</f>
        <v>1</v>
      </c>
      <c r="AI211" s="237">
        <f>AVERAGE('WetLitterbags placem_collection'!S212,'WetLitterbags placem_collection'!U212)</f>
        <v>22.4</v>
      </c>
      <c r="AJ211">
        <f>AVERAGE('WetLitterbags placem_collection'!R212,'WetLitterbags placem_collection'!T212)</f>
        <v>28.400000000000002</v>
      </c>
      <c r="AK211">
        <v>-2.4396949910000001</v>
      </c>
      <c r="AL211">
        <v>34.838574029999997</v>
      </c>
      <c r="AM211" t="str">
        <f>IF(ISNUMBER(SEARCH("C", 'WetLitterbags placem_collection'!$V212)),"YES","NO")</f>
        <v>NO</v>
      </c>
      <c r="AN211" t="str">
        <f>IF(ISNUMBER(SEARCH("H", 'WetLitterbags placem_collection'!$V212)),"YES","NO")</f>
        <v>NO</v>
      </c>
      <c r="AO211" t="str">
        <f>IF(ISNUMBER(SEARCH("R", 'WetLitterbags placem_collection'!$V212)),"YES","NO")</f>
        <v>YES</v>
      </c>
    </row>
    <row r="212" spans="1:41" ht="15" customHeight="1">
      <c r="A212" s="255" t="s">
        <v>2454</v>
      </c>
      <c r="B212" s="260">
        <f>'Dry_Litterbag Placem_Collection'!A213</f>
        <v>211</v>
      </c>
      <c r="C212" s="260" t="str">
        <f>'Dry_Litterbag Placem_Collection'!B213</f>
        <v xml:space="preserve">Mwantimba
</v>
      </c>
      <c r="D212" s="260" t="s">
        <v>2454</v>
      </c>
      <c r="E212" s="260" t="s">
        <v>2512</v>
      </c>
      <c r="F212" s="260">
        <v>1</v>
      </c>
      <c r="G212" s="260" t="s">
        <v>3823</v>
      </c>
      <c r="H212" s="261" t="str">
        <f>'Dry_Litterbag Placem_Collection'!C213</f>
        <v>Wet_P3_CG1</v>
      </c>
      <c r="I212" s="262" t="s">
        <v>2525</v>
      </c>
      <c r="J212" s="263" t="s">
        <v>1147</v>
      </c>
      <c r="K212" s="221" t="str">
        <f>'WetLitterbags placem_collection'!K213</f>
        <v>G822</v>
      </c>
      <c r="L212" s="223">
        <f>IFERROR(INDEX('Green_rooibos initial weight'!$C$5:$C$2000,MATCH(K212, 'Green_rooibos initial weight'!$A$5:$A$2000,0)),"")</f>
        <v>2.02</v>
      </c>
      <c r="M212" s="223">
        <f>IFERROR(L212-(TBIcalc!$H$9+TBIcalc!$H$10),"")</f>
        <v>1.7702</v>
      </c>
      <c r="N212" s="385">
        <f>AVERAGE(Ashed_controlls!$K$2:$K$11)</f>
        <v>5.5147656768714146</v>
      </c>
      <c r="O212" s="223">
        <f t="shared" si="16"/>
        <v>1.6725776179880223</v>
      </c>
      <c r="P212" s="223">
        <f>IFERROR(INDEX('Both teabags AfterWet'!$C$3:$C$840,MATCH(K212,'Both teabags AfterWet'!$A$3:$A$840,0)),"")</f>
        <v>0.85699999999999998</v>
      </c>
      <c r="Q212" s="223">
        <f>IFERROR(IF(P212&gt;0,P212-(TBIcalc!$H$9),""),"")</f>
        <v>0.70639999999999992</v>
      </c>
      <c r="R212" s="223">
        <f>IFERROR(INDEX('Ashed teabags wet'!$K$2:$K$2000,MATCH(K212,'Ashed teabags wet'!$A$2:$A$2000,0)),"")</f>
        <v>17.246520874750999</v>
      </c>
      <c r="S212" s="223">
        <f t="shared" si="17"/>
        <v>0.58457057654075884</v>
      </c>
      <c r="T212" s="224">
        <f>'WetLitterbags placem_collection'!E213</f>
        <v>42769</v>
      </c>
      <c r="U212" s="224">
        <f>IF('WetLitterbags placem_collection'!G213="","",'WetLitterbags placem_collection'!G213)</f>
        <v>42814</v>
      </c>
      <c r="V212" s="225">
        <f t="shared" si="15"/>
        <v>45</v>
      </c>
      <c r="W212" s="223">
        <f t="shared" si="18"/>
        <v>1.0638000000000001</v>
      </c>
      <c r="X212" s="223">
        <f t="shared" si="19"/>
        <v>1.0880070414472636</v>
      </c>
      <c r="Y212">
        <f>IFERROR(INDEX(Rainfall_Wet!$O$2:$O$217,MATCH(B212, Rainfall_Wet!$A$2:$A$217,0)),"")</f>
        <v>175.377105089</v>
      </c>
      <c r="Z212" s="228">
        <v>39.96</v>
      </c>
      <c r="AA212" s="228">
        <v>12.920000000000002</v>
      </c>
      <c r="AB212" s="228">
        <v>47.12</v>
      </c>
      <c r="AC212" s="229" t="s">
        <v>2658</v>
      </c>
      <c r="AD212" s="228">
        <v>1.6549531789058647</v>
      </c>
      <c r="AE212">
        <f>IF('WetLitterbags placem_collection'!AB213="","",'WetLitterbags placem_collection'!AB213)</f>
        <v>13.8</v>
      </c>
      <c r="AF212">
        <f>IF('WetLitterbags placem_collection'!Z213="","",'WetLitterbags placem_collection'!Z213)</f>
        <v>17.399999999999999</v>
      </c>
      <c r="AG212" s="243" t="str">
        <f>IF('WetLitterbags placem_collection'!AA213="","",'WetLitterbags placem_collection'!AA213)</f>
        <v>O</v>
      </c>
      <c r="AH212">
        <f>IF('WetLitterbags placem_collection'!AC213="","",'WetLitterbags placem_collection'!AC213)</f>
        <v>1</v>
      </c>
      <c r="AI212" s="237">
        <f>AVERAGE('WetLitterbags placem_collection'!S213,'WetLitterbags placem_collection'!U213)</f>
        <v>16.850000000000001</v>
      </c>
      <c r="AJ212">
        <f>AVERAGE('WetLitterbags placem_collection'!R213,'WetLitterbags placem_collection'!T213)</f>
        <v>23.95</v>
      </c>
      <c r="AK212">
        <v>-2.439403972</v>
      </c>
      <c r="AL212">
        <v>34.838404959999998</v>
      </c>
      <c r="AM212" t="str">
        <f>IF(ISNUMBER(SEARCH("C", 'WetLitterbags placem_collection'!$V213)),"YES","NO")</f>
        <v>NO</v>
      </c>
      <c r="AN212" t="str">
        <f>IF(ISNUMBER(SEARCH("H", 'WetLitterbags placem_collection'!$V213)),"YES","NO")</f>
        <v>NO</v>
      </c>
      <c r="AO212" t="str">
        <f>IF(ISNUMBER(SEARCH("R", 'WetLitterbags placem_collection'!$V213)),"YES","NO")</f>
        <v>YES</v>
      </c>
    </row>
    <row r="213" spans="1:41" ht="15" customHeight="1">
      <c r="A213" s="255" t="s">
        <v>2454</v>
      </c>
      <c r="B213" s="260">
        <f>'Dry_Litterbag Placem_Collection'!A214</f>
        <v>215</v>
      </c>
      <c r="C213" s="260" t="str">
        <f>'Dry_Litterbag Placem_Collection'!B214</f>
        <v xml:space="preserve">Mwantimba
</v>
      </c>
      <c r="D213" s="260" t="s">
        <v>2454</v>
      </c>
      <c r="E213" s="260" t="s">
        <v>2512</v>
      </c>
      <c r="F213" s="260">
        <v>3</v>
      </c>
      <c r="G213" s="260" t="s">
        <v>3828</v>
      </c>
      <c r="H213" s="261" t="str">
        <f>'Dry_Litterbag Placem_Collection'!C214</f>
        <v>Wet_W3_CG1</v>
      </c>
      <c r="I213" s="262" t="s">
        <v>2525</v>
      </c>
      <c r="J213" s="263" t="s">
        <v>1147</v>
      </c>
      <c r="K213" s="221" t="str">
        <f>'WetLitterbags placem_collection'!K214</f>
        <v>G786</v>
      </c>
      <c r="L213" s="223">
        <f>IFERROR(INDEX('Green_rooibos initial weight'!$C$5:$C$2000,MATCH(K213, 'Green_rooibos initial weight'!$A$5:$A$2000,0)),"")</f>
        <v>2.097</v>
      </c>
      <c r="M213" s="223">
        <f>IFERROR(L213-(TBIcalc!$H$9+TBIcalc!$H$10),"")</f>
        <v>1.8472</v>
      </c>
      <c r="N213" s="385">
        <f>AVERAGE(Ashed_controlls!$K$2:$K$11)</f>
        <v>5.5147656768714146</v>
      </c>
      <c r="O213" s="223">
        <f t="shared" si="16"/>
        <v>1.7453312484168313</v>
      </c>
      <c r="P213" s="223">
        <f>IFERROR(INDEX('Both teabags AfterWet'!$C$3:$C$840,MATCH(K213,'Both teabags AfterWet'!$A$3:$A$840,0)),"")</f>
        <v>0.86439999999999995</v>
      </c>
      <c r="Q213" s="223">
        <f>IFERROR(IF(P213&gt;0,P213-(TBIcalc!$H$9),""),"")</f>
        <v>0.71379999999999999</v>
      </c>
      <c r="R213" s="223">
        <f>IFERROR(INDEX('Ashed teabags wet'!$K$2:$K$2000,MATCH(K213,'Ashed teabags wet'!$A$2:$A$2000,0)),"")</f>
        <v>12.518778167251055</v>
      </c>
      <c r="S213" s="223">
        <f t="shared" si="17"/>
        <v>0.62444096144216199</v>
      </c>
      <c r="T213" s="224">
        <f>'WetLitterbags placem_collection'!E214</f>
        <v>42769</v>
      </c>
      <c r="U213" s="224">
        <f>IF('WetLitterbags placem_collection'!G214="","",'WetLitterbags placem_collection'!G214)</f>
        <v>42813</v>
      </c>
      <c r="V213" s="225">
        <f t="shared" si="15"/>
        <v>44</v>
      </c>
      <c r="W213" s="223">
        <f t="shared" si="18"/>
        <v>1.1334</v>
      </c>
      <c r="X213" s="223">
        <f t="shared" si="19"/>
        <v>1.1208902869746693</v>
      </c>
      <c r="Y213">
        <f>IFERROR(INDEX(Rainfall_Wet!$O$2:$O$217,MATCH(B213, Rainfall_Wet!$A$2:$A$217,0)),"")</f>
        <v>175.377105089</v>
      </c>
      <c r="Z213" s="228">
        <v>27.96</v>
      </c>
      <c r="AA213" s="228">
        <v>4.9200000000000017</v>
      </c>
      <c r="AB213" s="228">
        <v>67.12</v>
      </c>
      <c r="AC213" s="229" t="s">
        <v>2654</v>
      </c>
      <c r="AD213" s="228">
        <v>1.0437161163134547</v>
      </c>
      <c r="AE213">
        <f>IF('WetLitterbags placem_collection'!AB214="","",'WetLitterbags placem_collection'!AB214)</f>
        <v>7.9</v>
      </c>
      <c r="AF213">
        <f>IF('WetLitterbags placem_collection'!Z214="","",'WetLitterbags placem_collection'!Z214)</f>
        <v>7.9</v>
      </c>
      <c r="AG213" s="243" t="str">
        <f>IF('WetLitterbags placem_collection'!AA214="","",'WetLitterbags placem_collection'!AA214)</f>
        <v>O</v>
      </c>
      <c r="AH213">
        <f>IF('WetLitterbags placem_collection'!AC214="","",'WetLitterbags placem_collection'!AC214)</f>
        <v>1</v>
      </c>
      <c r="AI213" s="237">
        <f>AVERAGE('WetLitterbags placem_collection'!S214,'WetLitterbags placem_collection'!U214)</f>
        <v>22.45</v>
      </c>
      <c r="AJ213">
        <f>AVERAGE('WetLitterbags placem_collection'!R214,'WetLitterbags placem_collection'!T214)</f>
        <v>27.450000000000003</v>
      </c>
      <c r="AK213">
        <v>-2.4395990190000001</v>
      </c>
      <c r="AL213">
        <v>34.838418959999998</v>
      </c>
      <c r="AM213" t="str">
        <f>IF(ISNUMBER(SEARCH("C", 'WetLitterbags placem_collection'!$V214)),"YES","NO")</f>
        <v>NO</v>
      </c>
      <c r="AN213" t="str">
        <f>IF(ISNUMBER(SEARCH("H", 'WetLitterbags placem_collection'!$V214)),"YES","NO")</f>
        <v>NO</v>
      </c>
      <c r="AO213" t="str">
        <f>IF(ISNUMBER(SEARCH("R", 'WetLitterbags placem_collection'!$V214)),"YES","NO")</f>
        <v>NO</v>
      </c>
    </row>
    <row r="214" spans="1:41" ht="15" customHeight="1">
      <c r="A214" s="255" t="s">
        <v>2454</v>
      </c>
      <c r="B214" s="260">
        <f>'Dry_Litterbag Placem_Collection'!A215</f>
        <v>212</v>
      </c>
      <c r="C214" s="260" t="str">
        <f>'Dry_Litterbag Placem_Collection'!B215</f>
        <v xml:space="preserve">Mwantimba
</v>
      </c>
      <c r="D214" s="260" t="s">
        <v>2454</v>
      </c>
      <c r="E214" s="260" t="s">
        <v>2512</v>
      </c>
      <c r="F214" s="260">
        <v>4</v>
      </c>
      <c r="G214" s="260" t="s">
        <v>3824</v>
      </c>
      <c r="H214" s="261" t="str">
        <f>'Dry_Litterbag Placem_Collection'!C215</f>
        <v>Wet_P4_CG3</v>
      </c>
      <c r="I214" s="262" t="s">
        <v>2525</v>
      </c>
      <c r="J214" s="263" t="s">
        <v>1147</v>
      </c>
      <c r="K214" s="221" t="str">
        <f>'WetLitterbags placem_collection'!K215</f>
        <v>G572</v>
      </c>
      <c r="L214" s="223">
        <f>IFERROR(INDEX('Green_rooibos initial weight'!$C$5:$C$2000,MATCH(K214, 'Green_rooibos initial weight'!$A$5:$A$2000,0)),"")</f>
        <v>1.972</v>
      </c>
      <c r="M214" s="223">
        <f>IFERROR(L214-(TBIcalc!$H$9+TBIcalc!$H$10),"")</f>
        <v>1.7222</v>
      </c>
      <c r="N214" s="385">
        <f>AVERAGE(Ashed_controlls!$K$2:$K$11)</f>
        <v>5.5147656768714146</v>
      </c>
      <c r="O214" s="223">
        <f t="shared" si="16"/>
        <v>1.6272247055129205</v>
      </c>
      <c r="P214" s="223">
        <f>IFERROR(INDEX('Both teabags AfterWet'!$C$3:$C$840,MATCH(K214,'Both teabags AfterWet'!$A$3:$A$840,0)),"")</f>
        <v>0.71399999999999997</v>
      </c>
      <c r="Q214" s="223">
        <f>IFERROR(IF(P214&gt;0,P214-(TBIcalc!$H$9),""),"")</f>
        <v>0.5633999999999999</v>
      </c>
      <c r="R214" s="223">
        <f>IFERROR(INDEX('Ashed teabags wet'!$K$2:$K$2000,MATCH(K214,'Ashed teabags wet'!$A$2:$A$2000,0)),"")</f>
        <v>10.252600297176585</v>
      </c>
      <c r="S214" s="223">
        <f t="shared" si="17"/>
        <v>0.50563684992570701</v>
      </c>
      <c r="T214" s="224">
        <f>'WetLitterbags placem_collection'!E215</f>
        <v>42769</v>
      </c>
      <c r="U214" s="224">
        <f>IF('WetLitterbags placem_collection'!G215="","",'WetLitterbags placem_collection'!G215)</f>
        <v>42813</v>
      </c>
      <c r="V214" s="225">
        <f t="shared" si="15"/>
        <v>44</v>
      </c>
      <c r="W214" s="223">
        <f t="shared" si="18"/>
        <v>1.1588000000000001</v>
      </c>
      <c r="X214" s="223">
        <f t="shared" si="19"/>
        <v>1.1215878555872134</v>
      </c>
      <c r="Y214">
        <f>IFERROR(INDEX(Rainfall_Wet!$O$2:$O$217,MATCH(B214, Rainfall_Wet!$A$2:$A$217,0)),"")</f>
        <v>175.054685654</v>
      </c>
      <c r="Z214" s="228">
        <v>21.96</v>
      </c>
      <c r="AA214" s="228">
        <v>4.9199999999999982</v>
      </c>
      <c r="AB214" s="228">
        <v>73.12</v>
      </c>
      <c r="AC214" s="229" t="s">
        <v>2654</v>
      </c>
      <c r="AD214" s="228">
        <v>1.2416954164613114</v>
      </c>
      <c r="AE214">
        <f>IF('WetLitterbags placem_collection'!AB215="","",'WetLitterbags placem_collection'!AB215)</f>
        <v>15.2</v>
      </c>
      <c r="AF214">
        <f>IF('WetLitterbags placem_collection'!Z215="","",'WetLitterbags placem_collection'!Z215)</f>
        <v>12.2</v>
      </c>
      <c r="AG214" s="243" t="str">
        <f>IF('WetLitterbags placem_collection'!AA215="","",'WetLitterbags placem_collection'!AA215)</f>
        <v>O</v>
      </c>
      <c r="AH214">
        <f>IF('WetLitterbags placem_collection'!AC215="","",'WetLitterbags placem_collection'!AC215)</f>
        <v>1</v>
      </c>
      <c r="AI214" s="237">
        <f>AVERAGE('WetLitterbags placem_collection'!S215,'WetLitterbags placem_collection'!U215)</f>
        <v>19.75</v>
      </c>
      <c r="AJ214">
        <f>AVERAGE('WetLitterbags placem_collection'!R215,'WetLitterbags placem_collection'!T215)</f>
        <v>28.15</v>
      </c>
      <c r="AK214">
        <v>-2.4396949910000001</v>
      </c>
      <c r="AL214">
        <v>34.838574029999997</v>
      </c>
      <c r="AM214" t="str">
        <f>IF(ISNUMBER(SEARCH("C", 'WetLitterbags placem_collection'!$V215)),"YES","NO")</f>
        <v>NO</v>
      </c>
      <c r="AN214" t="str">
        <f>IF(ISNUMBER(SEARCH("H", 'WetLitterbags placem_collection'!$V215)),"YES","NO")</f>
        <v>NO</v>
      </c>
      <c r="AO214" t="str">
        <f>IF(ISNUMBER(SEARCH("R", 'WetLitterbags placem_collection'!$V215)),"YES","NO")</f>
        <v>YES</v>
      </c>
    </row>
    <row r="215" spans="1:41" ht="15" customHeight="1">
      <c r="A215" s="255" t="s">
        <v>2454</v>
      </c>
      <c r="B215" s="260">
        <f>'Dry_Litterbag Placem_Collection'!A216</f>
        <v>213</v>
      </c>
      <c r="C215" s="260" t="str">
        <f>'Dry_Litterbag Placem_Collection'!B216</f>
        <v>Handajega</v>
      </c>
      <c r="D215" s="260" t="s">
        <v>2454</v>
      </c>
      <c r="E215" s="260" t="s">
        <v>2512</v>
      </c>
      <c r="F215" s="260">
        <v>3</v>
      </c>
      <c r="G215" s="260" t="s">
        <v>3825</v>
      </c>
      <c r="H215" s="261" t="str">
        <f>'Dry_Litterbag Placem_Collection'!C216</f>
        <v>Wet_W1_CG4</v>
      </c>
      <c r="I215" s="262" t="s">
        <v>2525</v>
      </c>
      <c r="J215" s="263" t="s">
        <v>1147</v>
      </c>
      <c r="K215" s="221" t="str">
        <f>'WetLitterbags placem_collection'!K216</f>
        <v>G761</v>
      </c>
      <c r="L215" s="223">
        <f>IFERROR(INDEX('Green_rooibos initial weight'!$C$5:$C$2000,MATCH(K215, 'Green_rooibos initial weight'!$A$5:$A$2000,0)),"")</f>
        <v>2.0110000000000001</v>
      </c>
      <c r="M215" s="223">
        <f>IFERROR(L215-(TBIcalc!$H$9+TBIcalc!$H$10),"")</f>
        <v>1.7612000000000001</v>
      </c>
      <c r="N215" s="385">
        <f>AVERAGE(Ashed_controlls!$K$2:$K$11)</f>
        <v>5.5147656768714146</v>
      </c>
      <c r="O215" s="223">
        <f t="shared" si="16"/>
        <v>1.6640739468989407</v>
      </c>
      <c r="P215" s="223">
        <f>IFERROR(INDEX('Both teabags AfterWet'!$C$3:$C$840,MATCH(K215,'Both teabags AfterWet'!$A$3:$A$840,0)),"")</f>
        <v>0.71299999999999997</v>
      </c>
      <c r="Q215" s="223">
        <f>IFERROR(IF(P215&gt;0,P215-(TBIcalc!$H$9),""),"")</f>
        <v>0.56240000000000001</v>
      </c>
      <c r="R215" s="223">
        <f>IFERROR(INDEX('Ashed teabags wet'!$K$2:$K$2000,MATCH(K215,'Ashed teabags wet'!$A$2:$A$2000,0)),"")</f>
        <v>10.989010989010806</v>
      </c>
      <c r="S215" s="223">
        <f t="shared" si="17"/>
        <v>0.50059780219780325</v>
      </c>
      <c r="T215" s="224">
        <f>'WetLitterbags placem_collection'!E216</f>
        <v>42769</v>
      </c>
      <c r="U215" s="224">
        <f>IF('WetLitterbags placem_collection'!G216="","",'WetLitterbags placem_collection'!G216)</f>
        <v>42813</v>
      </c>
      <c r="V215" s="225">
        <f t="shared" si="15"/>
        <v>44</v>
      </c>
      <c r="W215" s="223">
        <f t="shared" si="18"/>
        <v>1.1988000000000001</v>
      </c>
      <c r="X215" s="223">
        <f t="shared" si="19"/>
        <v>1.1634761447011375</v>
      </c>
      <c r="Y215">
        <f>IFERROR(INDEX(Rainfall_Wet!$O$2:$O$217,MATCH(B215, Rainfall_Wet!$A$2:$A$217,0)),"")</f>
        <v>175.054685654</v>
      </c>
      <c r="Z215" s="228">
        <v>23.96</v>
      </c>
      <c r="AA215" s="228">
        <v>4.9199999999999982</v>
      </c>
      <c r="AB215" s="228">
        <v>71.12</v>
      </c>
      <c r="AC215" s="229" t="s">
        <v>2654</v>
      </c>
      <c r="AD215" s="228">
        <v>3.30913750616067</v>
      </c>
      <c r="AE215">
        <f>IF('WetLitterbags placem_collection'!AB216="","",'WetLitterbags placem_collection'!AB216)</f>
        <v>7.9</v>
      </c>
      <c r="AF215">
        <f>IF('WetLitterbags placem_collection'!Z216="","",'WetLitterbags placem_collection'!Z216)</f>
        <v>7.9</v>
      </c>
      <c r="AG215" s="243" t="str">
        <f>IF('WetLitterbags placem_collection'!AA216="","",'WetLitterbags placem_collection'!AA216)</f>
        <v>O</v>
      </c>
      <c r="AH215">
        <f>IF('WetLitterbags placem_collection'!AC216="","",'WetLitterbags placem_collection'!AC216)</f>
        <v>1</v>
      </c>
      <c r="AI215" s="237">
        <f>AVERAGE('WetLitterbags placem_collection'!S216,'WetLitterbags placem_collection'!U216)</f>
        <v>19.45</v>
      </c>
      <c r="AJ215">
        <f>AVERAGE('WetLitterbags placem_collection'!R216,'WetLitterbags placem_collection'!T216)</f>
        <v>29.200000000000003</v>
      </c>
      <c r="AK215">
        <v>-2.4396949910000001</v>
      </c>
      <c r="AL215">
        <v>34.838574029999997</v>
      </c>
      <c r="AM215" t="str">
        <f>IF(ISNUMBER(SEARCH("C", 'WetLitterbags placem_collection'!$V216)),"YES","NO")</f>
        <v>NO</v>
      </c>
      <c r="AN215" t="str">
        <f>IF(ISNUMBER(SEARCH("H", 'WetLitterbags placem_collection'!$V216)),"YES","NO")</f>
        <v>NO</v>
      </c>
      <c r="AO215" t="str">
        <f>IF(ISNUMBER(SEARCH("R", 'WetLitterbags placem_collection'!$V216)),"YES","NO")</f>
        <v>YES</v>
      </c>
    </row>
    <row r="216" spans="1:41" ht="15" customHeight="1">
      <c r="A216" s="255" t="s">
        <v>2454</v>
      </c>
      <c r="B216" s="260">
        <f>'Dry_Litterbag Placem_Collection'!A217</f>
        <v>214</v>
      </c>
      <c r="C216" s="260" t="str">
        <f>'Dry_Litterbag Placem_Collection'!B217</f>
        <v>Handajega</v>
      </c>
      <c r="D216" s="260" t="s">
        <v>2454</v>
      </c>
      <c r="E216" s="260" t="s">
        <v>2512</v>
      </c>
      <c r="F216" s="260">
        <v>1</v>
      </c>
      <c r="G216" s="260" t="s">
        <v>3827</v>
      </c>
      <c r="H216" s="261" t="str">
        <f>'Dry_Litterbag Placem_Collection'!C217</f>
        <v>Wet_W2_CG3</v>
      </c>
      <c r="I216" s="262" t="s">
        <v>2525</v>
      </c>
      <c r="J216" s="263" t="s">
        <v>1147</v>
      </c>
      <c r="K216" s="221" t="str">
        <f>'WetLitterbags placem_collection'!K217</f>
        <v>G858</v>
      </c>
      <c r="L216" s="223">
        <f>IFERROR(INDEX('Green_rooibos initial weight'!$C$5:$C$2000,MATCH(K216, 'Green_rooibos initial weight'!$A$5:$A$2000,0)),"")</f>
        <v>2.1040000000000001</v>
      </c>
      <c r="M216" s="223">
        <f>IFERROR(L216-(TBIcalc!$H$9+TBIcalc!$H$10),"")</f>
        <v>1.8542000000000001</v>
      </c>
      <c r="N216" s="385">
        <f>AVERAGE(Ashed_controlls!$K$2:$K$11)</f>
        <v>5.5147656768714146</v>
      </c>
      <c r="O216" s="223">
        <f t="shared" si="16"/>
        <v>1.7519452148194503</v>
      </c>
      <c r="P216" s="223">
        <f>IFERROR(INDEX('Both teabags AfterWet'!$C$3:$C$840,MATCH(K216,'Both teabags AfterWet'!$A$3:$A$840,0)),"")</f>
        <v>0.69730000000000003</v>
      </c>
      <c r="Q216" s="223">
        <f>IFERROR(IF(P216&gt;0,P216-(TBIcalc!$H$9),""),"")</f>
        <v>0.54669999999999996</v>
      </c>
      <c r="R216" s="223">
        <f>IFERROR(INDEX('Ashed teabags wet'!$K$2:$K$2000,MATCH(K216,'Ashed teabags wet'!$A$2:$A$2000,0)),"")</f>
        <v>7.1357285429143147</v>
      </c>
      <c r="S216" s="223">
        <f t="shared" si="17"/>
        <v>0.50768897205588737</v>
      </c>
      <c r="T216" s="224">
        <f>'WetLitterbags placem_collection'!E217</f>
        <v>42769</v>
      </c>
      <c r="U216" s="224">
        <f>IF('WetLitterbags placem_collection'!G217="","",'WetLitterbags placem_collection'!G217)</f>
        <v>42814</v>
      </c>
      <c r="V216" s="225">
        <f t="shared" si="15"/>
        <v>45</v>
      </c>
      <c r="W216" s="223">
        <f t="shared" si="18"/>
        <v>1.3075000000000001</v>
      </c>
      <c r="X216" s="223">
        <f t="shared" si="19"/>
        <v>1.2442562427635631</v>
      </c>
      <c r="Y216">
        <f>IFERROR(INDEX(Rainfall_Wet!$O$2:$O$217,MATCH(B216, Rainfall_Wet!$A$2:$A$217,0)),"")</f>
        <v>175.054685654</v>
      </c>
      <c r="Z216" s="228">
        <v>25.96</v>
      </c>
      <c r="AA216" s="228">
        <v>8.9200000000000017</v>
      </c>
      <c r="AB216" s="228">
        <v>65.12</v>
      </c>
      <c r="AC216" s="229" t="s">
        <v>2654</v>
      </c>
      <c r="AD216" s="228">
        <v>1.614588467225234</v>
      </c>
      <c r="AE216">
        <f>IF('WetLitterbags placem_collection'!AB217="","",'WetLitterbags placem_collection'!AB217)</f>
        <v>13.8</v>
      </c>
      <c r="AF216">
        <f>IF('WetLitterbags placem_collection'!Z217="","",'WetLitterbags placem_collection'!Z217)</f>
        <v>17.399999999999999</v>
      </c>
      <c r="AG216" s="243" t="str">
        <f>IF('WetLitterbags placem_collection'!AA217="","",'WetLitterbags placem_collection'!AA217)</f>
        <v>O</v>
      </c>
      <c r="AH216">
        <f>IF('WetLitterbags placem_collection'!AC217="","",'WetLitterbags placem_collection'!AC217)</f>
        <v>1</v>
      </c>
      <c r="AI216" s="237">
        <f>AVERAGE('WetLitterbags placem_collection'!S217,'WetLitterbags placem_collection'!U217)</f>
        <v>20.3</v>
      </c>
      <c r="AJ216">
        <f>AVERAGE('WetLitterbags placem_collection'!R217,'WetLitterbags placem_collection'!T217)</f>
        <v>26.25</v>
      </c>
      <c r="AK216">
        <v>-2.439403972</v>
      </c>
      <c r="AL216">
        <v>34.838404959999998</v>
      </c>
      <c r="AM216" t="str">
        <f>IF(ISNUMBER(SEARCH("C", 'WetLitterbags placem_collection'!$V217)),"YES","NO")</f>
        <v>NO</v>
      </c>
      <c r="AN216" t="str">
        <f>IF(ISNUMBER(SEARCH("H", 'WetLitterbags placem_collection'!$V217)),"YES","NO")</f>
        <v>NO</v>
      </c>
      <c r="AO216" t="str">
        <f>IF(ISNUMBER(SEARCH("R", 'WetLitterbags placem_collection'!$V217)),"YES","NO")</f>
        <v>YES</v>
      </c>
    </row>
    <row r="217" spans="1:41" ht="15" customHeight="1">
      <c r="A217" s="255" t="s">
        <v>2454</v>
      </c>
      <c r="B217" s="260">
        <f>'Dry_Litterbag Placem_Collection'!A218</f>
        <v>216</v>
      </c>
      <c r="C217" s="260" t="str">
        <f>'Dry_Litterbag Placem_Collection'!B218</f>
        <v>Handajega</v>
      </c>
      <c r="D217" s="260" t="s">
        <v>2454</v>
      </c>
      <c r="E217" s="260" t="s">
        <v>2512</v>
      </c>
      <c r="F217" s="260">
        <v>2</v>
      </c>
      <c r="G217" s="260" t="s">
        <v>3829</v>
      </c>
      <c r="H217" s="261" t="str">
        <f>'Dry_Litterbag Placem_Collection'!C218</f>
        <v>Wet_W4_CG2</v>
      </c>
      <c r="I217" s="262" t="s">
        <v>2525</v>
      </c>
      <c r="J217" s="263" t="s">
        <v>1147</v>
      </c>
      <c r="K217" s="221" t="str">
        <f>'WetLitterbags placem_collection'!K218</f>
        <v>G755</v>
      </c>
      <c r="L217" s="223">
        <f>IFERROR(INDEX('Green_rooibos initial weight'!$C$5:$C$2000,MATCH(K217, 'Green_rooibos initial weight'!$A$5:$A$2000,0)),"")</f>
        <v>2.0190000000000001</v>
      </c>
      <c r="M217" s="223">
        <f>IFERROR(L217-(TBIcalc!$H$9+TBIcalc!$H$10),"")</f>
        <v>1.7692000000000001</v>
      </c>
      <c r="N217" s="385">
        <f>AVERAGE(Ashed_controlls!$K$2:$K$11)</f>
        <v>5.5147656768714146</v>
      </c>
      <c r="O217" s="223">
        <f t="shared" si="16"/>
        <v>1.6716327656447911</v>
      </c>
      <c r="P217" s="223">
        <f>IFERROR(INDEX('Both teabags AfterWet'!$C$3:$C$840,MATCH(K217,'Both teabags AfterWet'!$A$3:$A$840,0)),"")</f>
        <v>0.88700000000000001</v>
      </c>
      <c r="Q217" s="223">
        <f>IFERROR(IF(P217&gt;0,P217-(TBIcalc!$H$9),""),"")</f>
        <v>0.73639999999999994</v>
      </c>
      <c r="R217" s="223">
        <f>IFERROR(INDEX('Ashed teabags wet'!$K$2:$K$2000,MATCH(K217,'Ashed teabags wet'!$A$2:$A$2000,0)),"")</f>
        <v>8.3005893909626298</v>
      </c>
      <c r="S217" s="223">
        <f t="shared" si="17"/>
        <v>0.67527445972495115</v>
      </c>
      <c r="T217" s="224">
        <f>'WetLitterbags placem_collection'!E218</f>
        <v>42769</v>
      </c>
      <c r="U217" s="224">
        <f>IF('WetLitterbags placem_collection'!G218="","",'WetLitterbags placem_collection'!G218)</f>
        <v>42814</v>
      </c>
      <c r="V217" s="225">
        <f t="shared" si="15"/>
        <v>45</v>
      </c>
      <c r="W217" s="223">
        <f t="shared" si="18"/>
        <v>1.0328000000000002</v>
      </c>
      <c r="X217" s="223">
        <f t="shared" si="19"/>
        <v>0.99635830591983998</v>
      </c>
      <c r="Y217">
        <f>IFERROR(INDEX(Rainfall_Wet!$O$2:$O$217,MATCH(B217, Rainfall_Wet!$A$2:$A$217,0)),"")</f>
        <v>175.377105089</v>
      </c>
      <c r="Z217" s="228">
        <v>25.96</v>
      </c>
      <c r="AA217" s="228">
        <v>8.9200000000000017</v>
      </c>
      <c r="AB217" s="228">
        <v>65.12</v>
      </c>
      <c r="AC217" s="229" t="s">
        <v>2654</v>
      </c>
      <c r="AD217" s="228">
        <v>1.6991621488417901</v>
      </c>
      <c r="AE217">
        <f>IF('WetLitterbags placem_collection'!AB218="","",'WetLitterbags placem_collection'!AB218)</f>
        <v>5.13</v>
      </c>
      <c r="AF217">
        <f>IF('WetLitterbags placem_collection'!Z218="","",'WetLitterbags placem_collection'!Z218)</f>
        <v>5.13</v>
      </c>
      <c r="AG217" s="243" t="str">
        <f>IF('WetLitterbags placem_collection'!AA218="","",'WetLitterbags placem_collection'!AA218)</f>
        <v>O</v>
      </c>
      <c r="AH217">
        <f>IF('WetLitterbags placem_collection'!AC218="","",'WetLitterbags placem_collection'!AC218)</f>
        <v>1</v>
      </c>
      <c r="AI217" s="237">
        <f>AVERAGE('WetLitterbags placem_collection'!S218,'WetLitterbags placem_collection'!U218)</f>
        <v>20.65</v>
      </c>
      <c r="AJ217">
        <f>AVERAGE('WetLitterbags placem_collection'!R218,'WetLitterbags placem_collection'!T218)</f>
        <v>25.05</v>
      </c>
      <c r="AK217">
        <v>-2.4396450349999999</v>
      </c>
      <c r="AL217">
        <v>34.83836599</v>
      </c>
      <c r="AM217" t="str">
        <f>IF(ISNUMBER(SEARCH("C", 'WetLitterbags placem_collection'!$V218)),"YES","NO")</f>
        <v>YES</v>
      </c>
      <c r="AN217" t="str">
        <f>IF(ISNUMBER(SEARCH("H", 'WetLitterbags placem_collection'!$V218)),"YES","NO")</f>
        <v>YES</v>
      </c>
      <c r="AO217" t="str">
        <f>IF(ISNUMBER(SEARCH("R", 'WetLitterbags placem_collection'!$V218)),"YES","NO")</f>
        <v>YES</v>
      </c>
    </row>
    <row r="218" spans="1:41" ht="15" customHeight="1">
      <c r="A218" s="255" t="s">
        <v>2454</v>
      </c>
      <c r="B218" s="260">
        <f>'Dry_Litterbag Placem_Collection'!A219</f>
        <v>217</v>
      </c>
      <c r="C218" s="260" t="str">
        <f>'Dry_Litterbag Placem_Collection'!B219</f>
        <v>Seronera</v>
      </c>
      <c r="D218" s="260" t="s">
        <v>2646</v>
      </c>
      <c r="E218" s="260" t="s">
        <v>2512</v>
      </c>
      <c r="F218" s="260">
        <v>1</v>
      </c>
      <c r="G218" s="260" t="s">
        <v>3885</v>
      </c>
      <c r="H218" s="261" t="str">
        <f>'Dry_Litterbag Placem_Collection'!C219</f>
        <v>Local1_CG1</v>
      </c>
      <c r="I218" s="262" t="s">
        <v>2525</v>
      </c>
      <c r="J218" s="263" t="s">
        <v>1147</v>
      </c>
      <c r="K218" s="221" t="str">
        <f>'WetLitterbags placem_collection'!K219</f>
        <v>G795</v>
      </c>
      <c r="L218" s="223">
        <f>IFERROR(INDEX('Green_rooibos initial weight'!$C$5:$C$2000,MATCH(K218, 'Green_rooibos initial weight'!$A$5:$A$2000,0)),"")</f>
        <v>1.9530000000000001</v>
      </c>
      <c r="M218" s="223">
        <f>IFERROR(L218-(TBIcalc!$H$9+TBIcalc!$H$10),"")</f>
        <v>1.7032</v>
      </c>
      <c r="N218" s="385">
        <f>AVERAGE(Ashed_controlls!$K$2:$K$11)</f>
        <v>5.5147656768714146</v>
      </c>
      <c r="O218" s="223">
        <f t="shared" si="16"/>
        <v>1.609272510991526</v>
      </c>
      <c r="P218" s="223">
        <f>IFERROR(INDEX('Both teabags AfterWet'!$C$3:$C$840,MATCH(K218,'Both teabags AfterWet'!$A$3:$A$840,0)),"")</f>
        <v>0.78100000000000003</v>
      </c>
      <c r="Q218" s="223">
        <f>IFERROR(IF(P218&gt;0,P218-(TBIcalc!$H$9),""),"")</f>
        <v>0.63040000000000007</v>
      </c>
      <c r="R218" s="223">
        <f>IFERROR(INDEX('Ashed teabags wet'!$K$2:$K$2000,MATCH(K218,'Ashed teabags wet'!$A$2:$A$2000,0)),"")</f>
        <v>8.99805447470772</v>
      </c>
      <c r="S218" s="223">
        <f t="shared" si="17"/>
        <v>0.57367626459144261</v>
      </c>
      <c r="T218" s="224">
        <f>'WetLitterbags placem_collection'!E219</f>
        <v>42769</v>
      </c>
      <c r="U218" s="224">
        <f>IF('WetLitterbags placem_collection'!G219="","",'WetLitterbags placem_collection'!G219)</f>
        <v>42814</v>
      </c>
      <c r="V218" s="225">
        <f t="shared" si="15"/>
        <v>45</v>
      </c>
      <c r="W218" s="223">
        <f t="shared" si="18"/>
        <v>1.0728</v>
      </c>
      <c r="X218" s="223">
        <f t="shared" si="19"/>
        <v>1.0355962464000834</v>
      </c>
      <c r="Y218">
        <f>IFERROR(INDEX(Rainfall_Wet!$O$2:$O$217,MATCH(B218, Rainfall_Wet!$A$2:$A$217,0)),"")</f>
        <v>175.377105089</v>
      </c>
      <c r="Z218" s="228">
        <v>29.076539101497506</v>
      </c>
      <c r="AA218" s="228">
        <v>7.1963394342762079</v>
      </c>
      <c r="AB218" s="228">
        <v>63.727121464226286</v>
      </c>
      <c r="AC218" s="228" t="s">
        <v>2654</v>
      </c>
      <c r="AD218" s="228">
        <v>1.0994578610152781</v>
      </c>
      <c r="AE218">
        <f>IF('WetLitterbags placem_collection'!AB219="","",'WetLitterbags placem_collection'!AB219)</f>
        <v>13.8</v>
      </c>
      <c r="AF218">
        <f>IF('WetLitterbags placem_collection'!Z219="","",'WetLitterbags placem_collection'!Z219)</f>
        <v>17.399999999999999</v>
      </c>
      <c r="AG218" s="243" t="str">
        <f>IF('WetLitterbags placem_collection'!AA219="","",'WetLitterbags placem_collection'!AA219)</f>
        <v>O</v>
      </c>
      <c r="AH218">
        <f>IF('WetLitterbags placem_collection'!AC219="","",'WetLitterbags placem_collection'!AC219)</f>
        <v>1</v>
      </c>
      <c r="AI218" s="237">
        <f>AVERAGE('WetLitterbags placem_collection'!S219,'WetLitterbags placem_collection'!U219)</f>
        <v>20.049999999999997</v>
      </c>
      <c r="AJ218">
        <f>AVERAGE('WetLitterbags placem_collection'!R219,'WetLitterbags placem_collection'!T219)</f>
        <v>25.5</v>
      </c>
      <c r="AK218">
        <v>-2.439403972</v>
      </c>
      <c r="AL218">
        <v>34.838404959999998</v>
      </c>
      <c r="AM218" t="str">
        <f>IF(ISNUMBER(SEARCH("C", 'WetLitterbags placem_collection'!$V219)),"YES","NO")</f>
        <v>NO</v>
      </c>
      <c r="AN218" t="str">
        <f>IF(ISNUMBER(SEARCH("H", 'WetLitterbags placem_collection'!$V219)),"YES","NO")</f>
        <v>NO</v>
      </c>
      <c r="AO218" t="str">
        <f>IF(ISNUMBER(SEARCH("R", 'WetLitterbags placem_collection'!$V219)),"YES","NO")</f>
        <v>YES</v>
      </c>
    </row>
    <row r="219" spans="1:41" ht="15" customHeight="1">
      <c r="A219" s="255" t="s">
        <v>2454</v>
      </c>
      <c r="B219" s="260">
        <f>'Dry_Litterbag Placem_Collection'!A220</f>
        <v>218</v>
      </c>
      <c r="C219" s="260" t="str">
        <f>'Dry_Litterbag Placem_Collection'!B220</f>
        <v>Seronera</v>
      </c>
      <c r="D219" s="260" t="s">
        <v>2646</v>
      </c>
      <c r="E219" s="260" t="s">
        <v>2512</v>
      </c>
      <c r="F219" s="260">
        <v>2</v>
      </c>
      <c r="G219" s="260" t="s">
        <v>3886</v>
      </c>
      <c r="H219" s="261" t="str">
        <f>'Dry_Litterbag Placem_Collection'!C220</f>
        <v>Local2_CG2</v>
      </c>
      <c r="I219" s="262" t="s">
        <v>2525</v>
      </c>
      <c r="J219" s="263" t="s">
        <v>1147</v>
      </c>
      <c r="K219" s="221" t="str">
        <f>'WetLitterbags placem_collection'!K220</f>
        <v>G251</v>
      </c>
      <c r="L219" s="223">
        <f>IFERROR(INDEX('Green_rooibos initial weight'!$C$5:$C$2000,MATCH(K219, 'Green_rooibos initial weight'!$A$5:$A$2000,0)),"")</f>
        <v>2.0539999999999998</v>
      </c>
      <c r="M219" s="223">
        <f>IFERROR(L219-(TBIcalc!$H$9+TBIcalc!$H$10),"")</f>
        <v>1.8041999999999998</v>
      </c>
      <c r="N219" s="385">
        <f>AVERAGE(Ashed_controlls!$K$2:$K$11)</f>
        <v>5.5147656768714146</v>
      </c>
      <c r="O219" s="223">
        <f t="shared" si="16"/>
        <v>1.7047025976578858</v>
      </c>
      <c r="P219" s="223">
        <f>IFERROR(INDEX('Both teabags AfterWet'!$C$3:$C$840,MATCH(K219,'Both teabags AfterWet'!$A$3:$A$840,0)),"")</f>
        <v>0.75700000000000001</v>
      </c>
      <c r="Q219" s="223">
        <f>IFERROR(IF(P219&gt;0,P219-(TBIcalc!$H$9),""),"")</f>
        <v>0.60640000000000005</v>
      </c>
      <c r="R219" s="223">
        <f>IFERROR(INDEX('Ashed teabags wet'!$K$2:$K$2000,MATCH(K219,'Ashed teabags wet'!$A$2:$A$2000,0)),"")</f>
        <v>12.853598014887801</v>
      </c>
      <c r="S219" s="223">
        <f t="shared" si="17"/>
        <v>0.52845578163772045</v>
      </c>
      <c r="T219" s="224">
        <f>'WetLitterbags placem_collection'!E220</f>
        <v>42769</v>
      </c>
      <c r="U219" s="224">
        <f>IF('WetLitterbags placem_collection'!G220="","",'WetLitterbags placem_collection'!G220)</f>
        <v>42814</v>
      </c>
      <c r="V219" s="225">
        <f t="shared" si="15"/>
        <v>45</v>
      </c>
      <c r="W219" s="223">
        <f t="shared" si="18"/>
        <v>1.1977999999999998</v>
      </c>
      <c r="X219" s="223">
        <f t="shared" si="19"/>
        <v>1.1762468160201653</v>
      </c>
      <c r="Y219">
        <f>IFERROR(INDEX(Rainfall_Wet!$O$2:$O$217,MATCH(B219, Rainfall_Wet!$A$2:$A$217,0)),"")</f>
        <v>175.377105089</v>
      </c>
      <c r="Z219" s="228">
        <v>21.072635135135137</v>
      </c>
      <c r="AA219" s="228">
        <v>7.3057432432432412</v>
      </c>
      <c r="AB219" s="228">
        <v>71.621621621621614</v>
      </c>
      <c r="AC219" s="228" t="s">
        <v>2654</v>
      </c>
      <c r="AD219" s="228">
        <v>1.4512074913750617</v>
      </c>
      <c r="AE219">
        <f>IF('WetLitterbags placem_collection'!AB220="","",'WetLitterbags placem_collection'!AB220)</f>
        <v>5.13</v>
      </c>
      <c r="AF219">
        <f>IF('WetLitterbags placem_collection'!Z220="","",'WetLitterbags placem_collection'!Z220)</f>
        <v>5.13</v>
      </c>
      <c r="AG219" s="243" t="str">
        <f>IF('WetLitterbags placem_collection'!AA220="","",'WetLitterbags placem_collection'!AA220)</f>
        <v>O</v>
      </c>
      <c r="AH219">
        <f>IF('WetLitterbags placem_collection'!AC220="","",'WetLitterbags placem_collection'!AC220)</f>
        <v>1</v>
      </c>
      <c r="AI219" s="237">
        <f>AVERAGE('WetLitterbags placem_collection'!S220,'WetLitterbags placem_collection'!U220)</f>
        <v>22.1</v>
      </c>
      <c r="AJ219">
        <f>AVERAGE('WetLitterbags placem_collection'!R220,'WetLitterbags placem_collection'!T220)</f>
        <v>24.5</v>
      </c>
      <c r="AK219">
        <v>-2.4396450349999999</v>
      </c>
      <c r="AL219">
        <v>34.83836599</v>
      </c>
      <c r="AM219" t="str">
        <f>IF(ISNUMBER(SEARCH("C", 'WetLitterbags placem_collection'!$V220)),"YES","NO")</f>
        <v>NO</v>
      </c>
      <c r="AN219" t="str">
        <f>IF(ISNUMBER(SEARCH("H", 'WetLitterbags placem_collection'!$V220)),"YES","NO")</f>
        <v>NO</v>
      </c>
      <c r="AO219" t="str">
        <f>IF(ISNUMBER(SEARCH("R", 'WetLitterbags placem_collection'!$V220)),"YES","NO")</f>
        <v>YES</v>
      </c>
    </row>
    <row r="220" spans="1:41" ht="15" customHeight="1">
      <c r="A220" s="255" t="s">
        <v>2454</v>
      </c>
      <c r="B220" s="260">
        <f>'Dry_Litterbag Placem_Collection'!A221</f>
        <v>219</v>
      </c>
      <c r="C220" s="260" t="str">
        <f>'Dry_Litterbag Placem_Collection'!B221</f>
        <v>Seronera</v>
      </c>
      <c r="D220" s="260" t="s">
        <v>2646</v>
      </c>
      <c r="E220" s="260" t="s">
        <v>2512</v>
      </c>
      <c r="F220" s="260">
        <v>3</v>
      </c>
      <c r="G220" s="260" t="s">
        <v>3887</v>
      </c>
      <c r="H220" s="261" t="str">
        <f>'Dry_Litterbag Placem_Collection'!C221</f>
        <v>Local3_CG3</v>
      </c>
      <c r="I220" s="262" t="s">
        <v>2525</v>
      </c>
      <c r="J220" s="263" t="s">
        <v>1147</v>
      </c>
      <c r="K220" s="221" t="str">
        <f>'WetLitterbags placem_collection'!K221</f>
        <v>G727</v>
      </c>
      <c r="L220" s="223">
        <f>IFERROR(INDEX('Green_rooibos initial weight'!$C$5:$C$2000,MATCH(K220, 'Green_rooibos initial weight'!$A$5:$A$2000,0)),"")</f>
        <v>2.0270000000000001</v>
      </c>
      <c r="M220" s="223">
        <f>IFERROR(L220-(TBIcalc!$H$9+TBIcalc!$H$10),"")</f>
        <v>1.7772000000000001</v>
      </c>
      <c r="N220" s="385">
        <f>AVERAGE(Ashed_controlls!$K$2:$K$11)</f>
        <v>5.5147656768714146</v>
      </c>
      <c r="O220" s="223">
        <f t="shared" si="16"/>
        <v>1.6791915843906413</v>
      </c>
      <c r="P220" s="223">
        <f>IFERROR(INDEX('Both teabags AfterWet'!$C$3:$C$840,MATCH(K220,'Both teabags AfterWet'!$A$3:$A$840,0)),"")</f>
        <v>0.70650000000000002</v>
      </c>
      <c r="Q220" s="223">
        <f>IFERROR(IF(P220&gt;0,P220-(TBIcalc!$H$9),""),"")</f>
        <v>0.55590000000000006</v>
      </c>
      <c r="R220" s="223">
        <f>IFERROR(INDEX('Ashed teabags wet'!$K$2:$K$2000,MATCH(K220,'Ashed teabags wet'!$A$2:$A$2000,0)),"")</f>
        <v>11.604439959636602</v>
      </c>
      <c r="S220" s="223">
        <f t="shared" si="17"/>
        <v>0.49139091826438019</v>
      </c>
      <c r="T220" s="224">
        <f>'WetLitterbags placem_collection'!E221</f>
        <v>42769</v>
      </c>
      <c r="U220" s="224">
        <f>IF('WetLitterbags placem_collection'!G221="","",'WetLitterbags placem_collection'!G221)</f>
        <v>42813</v>
      </c>
      <c r="V220" s="225">
        <f t="shared" si="15"/>
        <v>44</v>
      </c>
      <c r="W220" s="223">
        <f t="shared" si="18"/>
        <v>1.2213000000000001</v>
      </c>
      <c r="X220" s="223">
        <f t="shared" si="19"/>
        <v>1.187800666126261</v>
      </c>
      <c r="Y220">
        <f>IFERROR(INDEX(Rainfall_Wet!$O$2:$O$217,MATCH(B220, Rainfall_Wet!$A$2:$A$217,0)),"")</f>
        <v>175.054685654</v>
      </c>
      <c r="Z220" s="228">
        <v>21.96</v>
      </c>
      <c r="AA220" s="228">
        <v>4.9199999999999982</v>
      </c>
      <c r="AB220" s="228">
        <v>73.12</v>
      </c>
      <c r="AC220" s="228" t="s">
        <v>2654</v>
      </c>
      <c r="AD220" s="228">
        <v>1.4012321340561851</v>
      </c>
      <c r="AE220">
        <f>IF('WetLitterbags placem_collection'!AB221="","",'WetLitterbags placem_collection'!AB221)</f>
        <v>7.9</v>
      </c>
      <c r="AF220">
        <f>IF('WetLitterbags placem_collection'!Z221="","",'WetLitterbags placem_collection'!Z221)</f>
        <v>7.9</v>
      </c>
      <c r="AG220" s="243" t="str">
        <f>IF('WetLitterbags placem_collection'!AA221="","",'WetLitterbags placem_collection'!AA221)</f>
        <v>O</v>
      </c>
      <c r="AH220">
        <f>IF('WetLitterbags placem_collection'!AC221="","",'WetLitterbags placem_collection'!AC221)</f>
        <v>1</v>
      </c>
      <c r="AI220" s="237">
        <f>AVERAGE('WetLitterbags placem_collection'!S221,'WetLitterbags placem_collection'!U221)</f>
        <v>21.75</v>
      </c>
      <c r="AJ220">
        <f>AVERAGE('WetLitterbags placem_collection'!R221,'WetLitterbags placem_collection'!T221)</f>
        <v>27.55</v>
      </c>
      <c r="AK220">
        <v>-2.4395990190000001</v>
      </c>
      <c r="AL220">
        <v>34.838418959999998</v>
      </c>
      <c r="AM220" t="str">
        <f>IF(ISNUMBER(SEARCH("C", 'WetLitterbags placem_collection'!$V221)),"YES","NO")</f>
        <v>NO</v>
      </c>
      <c r="AN220" t="str">
        <f>IF(ISNUMBER(SEARCH("H", 'WetLitterbags placem_collection'!$V221)),"YES","NO")</f>
        <v>YES</v>
      </c>
      <c r="AO220" t="str">
        <f>IF(ISNUMBER(SEARCH("R", 'WetLitterbags placem_collection'!$V221)),"YES","NO")</f>
        <v>YES</v>
      </c>
    </row>
    <row r="221" spans="1:41" ht="15" customHeight="1">
      <c r="A221" s="255" t="s">
        <v>2454</v>
      </c>
      <c r="B221" s="260">
        <f>'Dry_Litterbag Placem_Collection'!A222</f>
        <v>220</v>
      </c>
      <c r="C221" s="260" t="str">
        <f>'Dry_Litterbag Placem_Collection'!B222</f>
        <v>Seronera</v>
      </c>
      <c r="D221" s="260" t="s">
        <v>2646</v>
      </c>
      <c r="E221" s="260" t="s">
        <v>2512</v>
      </c>
      <c r="F221" s="260">
        <v>4</v>
      </c>
      <c r="G221" s="260" t="s">
        <v>3888</v>
      </c>
      <c r="H221" s="261" t="str">
        <f>'Dry_Litterbag Placem_Collection'!C222</f>
        <v>Local4_CG4</v>
      </c>
      <c r="I221" s="262" t="s">
        <v>2525</v>
      </c>
      <c r="J221" s="263" t="s">
        <v>1147</v>
      </c>
      <c r="K221" s="221" t="str">
        <f>'WetLitterbags placem_collection'!K222</f>
        <v>G782</v>
      </c>
      <c r="L221" s="223">
        <f>IFERROR(INDEX('Green_rooibos initial weight'!$C$5:$C$2000,MATCH(K221, 'Green_rooibos initial weight'!$A$5:$A$2000,0)),"")</f>
        <v>1.9510000000000001</v>
      </c>
      <c r="M221" s="223">
        <f>IFERROR(L221-(TBIcalc!$H$9+TBIcalc!$H$10),"")</f>
        <v>1.7012</v>
      </c>
      <c r="N221" s="385">
        <f>AVERAGE(Ashed_controlls!$K$2:$K$11)</f>
        <v>5.5147656768714146</v>
      </c>
      <c r="O221" s="223">
        <f t="shared" si="16"/>
        <v>1.6073828063050635</v>
      </c>
      <c r="P221" s="223">
        <f>IFERROR(INDEX('Both teabags AfterWet'!$C$3:$C$840,MATCH(K221,'Both teabags AfterWet'!$A$3:$A$840,0)),"")</f>
        <v>0.6169</v>
      </c>
      <c r="Q221" s="223">
        <f>IFERROR(IF(P221&gt;0,P221-(TBIcalc!$H$9),""),"")</f>
        <v>0.46629999999999999</v>
      </c>
      <c r="R221" s="223">
        <f>IFERROR(INDEX('Ashed teabags wet'!$K$2:$K$2000,MATCH(K221,'Ashed teabags wet'!$A$2:$A$2000,0)),"")</f>
        <v>11.045655375552919</v>
      </c>
      <c r="S221" s="223">
        <f t="shared" si="17"/>
        <v>0.41479410898379676</v>
      </c>
      <c r="T221" s="224">
        <f>'WetLitterbags placem_collection'!E222</f>
        <v>42769</v>
      </c>
      <c r="U221" s="224">
        <f>IF('WetLitterbags placem_collection'!G222="","",'WetLitterbags placem_collection'!G222)</f>
        <v>42813</v>
      </c>
      <c r="V221" s="225">
        <f t="shared" si="15"/>
        <v>44</v>
      </c>
      <c r="W221" s="223">
        <f t="shared" si="18"/>
        <v>1.2349000000000001</v>
      </c>
      <c r="X221" s="223">
        <f t="shared" si="19"/>
        <v>1.1925886973212667</v>
      </c>
      <c r="Y221">
        <f>IFERROR(INDEX(Rainfall_Wet!$O$2:$O$217,MATCH(B221, Rainfall_Wet!$A$2:$A$217,0)),"")</f>
        <v>175.054685654</v>
      </c>
      <c r="Z221" s="228">
        <v>15.960000000000003</v>
      </c>
      <c r="AA221" s="228">
        <v>6.9199999999999982</v>
      </c>
      <c r="AB221" s="228">
        <v>77.11999999999999</v>
      </c>
      <c r="AC221" s="228" t="s">
        <v>2655</v>
      </c>
      <c r="AD221" s="228">
        <v>0.60547067520946207</v>
      </c>
      <c r="AE221">
        <f>IF('WetLitterbags placem_collection'!AB222="","",'WetLitterbags placem_collection'!AB222)</f>
        <v>15.2</v>
      </c>
      <c r="AF221">
        <f>IF('WetLitterbags placem_collection'!Z222="","",'WetLitterbags placem_collection'!Z222)</f>
        <v>12.2</v>
      </c>
      <c r="AG221" s="243" t="str">
        <f>IF('WetLitterbags placem_collection'!AA222="","",'WetLitterbags placem_collection'!AA222)</f>
        <v>O</v>
      </c>
      <c r="AH221">
        <f>IF('WetLitterbags placem_collection'!AC222="","",'WetLitterbags placem_collection'!AC222)</f>
        <v>1</v>
      </c>
      <c r="AI221" s="237">
        <f>AVERAGE('WetLitterbags placem_collection'!S222,'WetLitterbags placem_collection'!U222)</f>
        <v>20.85</v>
      </c>
      <c r="AJ221">
        <f>AVERAGE('WetLitterbags placem_collection'!R222,'WetLitterbags placem_collection'!T222)</f>
        <v>27.950000000000003</v>
      </c>
      <c r="AK221">
        <v>-2.4396949910000001</v>
      </c>
      <c r="AL221">
        <v>34.838574029999997</v>
      </c>
      <c r="AM221" t="str">
        <f>IF(ISNUMBER(SEARCH("C", 'WetLitterbags placem_collection'!$V222)),"YES","NO")</f>
        <v>NO</v>
      </c>
      <c r="AN221" t="str">
        <f>IF(ISNUMBER(SEARCH("H", 'WetLitterbags placem_collection'!$V222)),"YES","NO")</f>
        <v>NO</v>
      </c>
      <c r="AO221" t="str">
        <f>IF(ISNUMBER(SEARCH("R", 'WetLitterbags placem_collection'!$V222)),"YES","NO")</f>
        <v>YES</v>
      </c>
    </row>
    <row r="222" spans="1:41" ht="15" customHeight="1">
      <c r="A222" s="255" t="s">
        <v>2454</v>
      </c>
      <c r="B222" s="260">
        <f>'Dry_Litterbag Placem_Collection'!A3</f>
        <v>1</v>
      </c>
      <c r="C222" s="260" t="str">
        <f>'Dry_Litterbag Placem_Collection'!B3</f>
        <v>Makao</v>
      </c>
      <c r="D222" s="260" t="s">
        <v>2643</v>
      </c>
      <c r="E222" s="260" t="s">
        <v>2644</v>
      </c>
      <c r="F222" s="260">
        <v>1</v>
      </c>
      <c r="G222" s="260" t="s">
        <v>3798</v>
      </c>
      <c r="H222" s="261" t="str">
        <f>'Dry_Litterbag Placem_Collection'!C3</f>
        <v>Dry_Ag1_T1</v>
      </c>
      <c r="I222" s="262" t="s">
        <v>2525</v>
      </c>
      <c r="J222" s="269" t="s">
        <v>298</v>
      </c>
      <c r="K222" s="221" t="str">
        <f>'WetLitterbags placem_collection'!M3</f>
        <v>R17</v>
      </c>
      <c r="L222" s="223">
        <f>IFERROR(INDEX('Green_rooibos initial weight'!$C$5:$C$2000,MATCH(K222, 'Green_rooibos initial weight'!$A$5:$A$2000,0)),"")</f>
        <v>2.169</v>
      </c>
      <c r="M222" s="223">
        <f>IFERROR(L222-(TBIcalc!$H$9+TBIcalc!$H$10),"")</f>
        <v>1.9192</v>
      </c>
      <c r="N222" s="385">
        <f>AVERAGE(Ashed_controlls!$K$2:$K$11)</f>
        <v>5.5147656768714146</v>
      </c>
      <c r="O222" s="223">
        <f t="shared" si="16"/>
        <v>1.8133606171294838</v>
      </c>
      <c r="P222" s="223">
        <f>IFERROR(INDEX('Both teabags AfterWet'!$C$3:$C$840,MATCH(K222,'Both teabags AfterWet'!$A$3:$A$840,0)),"")</f>
        <v>1.0208999999999999</v>
      </c>
      <c r="Q222" s="223">
        <f>IFERROR(IF(P222&gt;0,P222-(TBIcalc!$H$9),""),"")</f>
        <v>0.87029999999999985</v>
      </c>
      <c r="R222" s="223">
        <f>IFERROR(INDEX('Ashed teabags wet'!$K$2:$K$2000,MATCH(K222,'Ashed teabags wet'!$A$2:$A$2000,0)),"")</f>
        <v>17.918507609229575</v>
      </c>
      <c r="S222" s="223">
        <f t="shared" si="17"/>
        <v>0.71435522827687492</v>
      </c>
      <c r="T222" s="224">
        <f>'WetLitterbags placem_collection'!E3</f>
        <v>42766</v>
      </c>
      <c r="U222" s="224">
        <f>IF('WetLitterbags placem_collection'!G3="","",'WetLitterbags placem_collection'!G3)</f>
        <v>42818</v>
      </c>
      <c r="V222" s="225">
        <f t="shared" si="15"/>
        <v>52</v>
      </c>
      <c r="W222" s="223">
        <f t="shared" si="18"/>
        <v>1.0489000000000002</v>
      </c>
      <c r="X222" s="223">
        <f t="shared" si="19"/>
        <v>1.0990053888526088</v>
      </c>
      <c r="Y222">
        <f>IFERROR(INDEX(Rainfall_Wet!$O$2:$O$217,MATCH(B222, Rainfall_Wet!$A$2:$A$217,0)),"")</f>
        <v>194.43839254400001</v>
      </c>
      <c r="Z222" s="228">
        <v>12.565665055683967</v>
      </c>
      <c r="AA222" s="228">
        <v>0.9665896196679955</v>
      </c>
      <c r="AB222" s="228">
        <v>86.467745324648035</v>
      </c>
      <c r="AC222" s="229" t="s">
        <v>2656</v>
      </c>
      <c r="AD222" s="228">
        <v>1.0225726959093147</v>
      </c>
      <c r="AE222">
        <f>IF('WetLitterbags placem_collection'!AB3="","",'WetLitterbags placem_collection'!AB3)</f>
        <v>26.4</v>
      </c>
      <c r="AF222">
        <f>IF('WetLitterbags placem_collection'!Z3="","",'WetLitterbags placem_collection'!Z3)</f>
        <v>41</v>
      </c>
      <c r="AG222" s="243" t="str">
        <f>IF('WetLitterbags placem_collection'!AA3="","",'WetLitterbags placem_collection'!AA3)</f>
        <v>M</v>
      </c>
      <c r="AH222">
        <f>IF('WetLitterbags placem_collection'!AC3="","",'WetLitterbags placem_collection'!AC3)</f>
        <v>1</v>
      </c>
      <c r="AI222" s="237">
        <f>AVERAGE('WetLitterbags placem_collection'!S3,'WetLitterbags placem_collection'!U3)</f>
        <v>14.75</v>
      </c>
      <c r="AJ222">
        <f>AVERAGE('WetLitterbags placem_collection'!R3,'WetLitterbags placem_collection'!T3)</f>
        <v>24.7</v>
      </c>
      <c r="AK222">
        <f>INDEX(Coordinates!$B$2:$B$197,MATCH(H222,Coordinates!$J$2:$J$197,0))</f>
        <v>-3.3978609999999998</v>
      </c>
      <c r="AL222">
        <f>INDEX(Coordinates!$C$2:$C$197,MATCH(H222,Coordinates!$J$2:$J$197,0))</f>
        <v>34.837608000000003</v>
      </c>
      <c r="AM222" t="str">
        <f>IF(ISNUMBER(SEARCH("C", 'WetLitterbags placem_collection'!$W3)),"YES","NO")</f>
        <v>NO</v>
      </c>
      <c r="AN222" t="str">
        <f>IF(ISNUMBER(SEARCH("H", 'WetLitterbags placem_collection'!$W3)),"YES","NO")</f>
        <v>YES</v>
      </c>
      <c r="AO222" t="str">
        <f>IF(ISNUMBER(SEARCH("R", 'WetLitterbags placem_collection'!$W3)),"YES","NO")</f>
        <v>NO</v>
      </c>
    </row>
    <row r="223" spans="1:41" ht="15" customHeight="1">
      <c r="A223" s="255" t="s">
        <v>2454</v>
      </c>
      <c r="B223" s="260">
        <f>'Dry_Litterbag Placem_Collection'!A4</f>
        <v>2</v>
      </c>
      <c r="C223" s="260" t="str">
        <f>'Dry_Litterbag Placem_Collection'!B4</f>
        <v>Makao</v>
      </c>
      <c r="D223" s="260" t="s">
        <v>2643</v>
      </c>
      <c r="E223" s="260" t="s">
        <v>2644</v>
      </c>
      <c r="F223" s="260">
        <v>1</v>
      </c>
      <c r="G223" s="260" t="s">
        <v>3798</v>
      </c>
      <c r="H223" s="261" t="str">
        <f>'Dry_Litterbag Placem_Collection'!C4</f>
        <v>Dry_Ag1_T2</v>
      </c>
      <c r="I223" s="262" t="s">
        <v>2525</v>
      </c>
      <c r="J223" s="269" t="s">
        <v>298</v>
      </c>
      <c r="K223" s="221" t="str">
        <f>'WetLitterbags placem_collection'!M4</f>
        <v>R121</v>
      </c>
      <c r="L223" s="223">
        <f>IFERROR(INDEX('Green_rooibos initial weight'!$C$5:$C$2000,MATCH(K223, 'Green_rooibos initial weight'!$A$5:$A$2000,0)),"")</f>
        <v>2.165</v>
      </c>
      <c r="M223" s="223">
        <f>IFERROR(L223-(TBIcalc!$H$9+TBIcalc!$H$10),"")</f>
        <v>1.9152</v>
      </c>
      <c r="N223" s="385">
        <f>AVERAGE(Ashed_controlls!$K$2:$K$11)</f>
        <v>5.5147656768714146</v>
      </c>
      <c r="O223" s="223">
        <f t="shared" si="16"/>
        <v>1.8095812077565587</v>
      </c>
      <c r="P223" s="223">
        <f>IFERROR(INDEX('Both teabags AfterWet'!$C$3:$C$840,MATCH(K223,'Both teabags AfterWet'!$A$3:$A$840,0)),"")</f>
        <v>1.3073999999999999</v>
      </c>
      <c r="Q223" s="223">
        <f>IFERROR(IF(P223&gt;0,P223-(TBIcalc!$H$9),""),"")</f>
        <v>1.1567999999999998</v>
      </c>
      <c r="R223" s="223">
        <f>IFERROR(INDEX('Ashed teabags wet'!$K$2:$K$2000,MATCH(K223,'Ashed teabags wet'!$A$2:$A$2000,0)),"")</f>
        <v>5.6218905472635869</v>
      </c>
      <c r="S223" s="223">
        <f t="shared" si="17"/>
        <v>1.0917659701492546</v>
      </c>
      <c r="T223" s="224">
        <f>'WetLitterbags placem_collection'!E4</f>
        <v>42766</v>
      </c>
      <c r="U223" s="224">
        <f>IF('WetLitterbags placem_collection'!G4="","",'WetLitterbags placem_collection'!G4)</f>
        <v>42818</v>
      </c>
      <c r="V223" s="225">
        <f t="shared" si="15"/>
        <v>52</v>
      </c>
      <c r="W223" s="223">
        <f t="shared" si="18"/>
        <v>0.75840000000000019</v>
      </c>
      <c r="X223" s="223">
        <f t="shared" si="19"/>
        <v>0.71781523760730415</v>
      </c>
      <c r="Y223">
        <f>IFERROR(INDEX(Rainfall_Wet!$O$2:$O$217,MATCH(B223, Rainfall_Wet!$A$2:$A$217,0)),"")</f>
        <v>194.43839254400001</v>
      </c>
      <c r="Z223" s="228">
        <v>12.565665055683967</v>
      </c>
      <c r="AA223" s="228">
        <v>0.9665896196679955</v>
      </c>
      <c r="AB223" s="228">
        <v>86.467745324648035</v>
      </c>
      <c r="AC223" s="229" t="s">
        <v>2656</v>
      </c>
      <c r="AD223" s="228">
        <v>2.02257269590931</v>
      </c>
      <c r="AE223">
        <f>IF('WetLitterbags placem_collection'!AB4="","",'WetLitterbags placem_collection'!AB4)</f>
        <v>22.4</v>
      </c>
      <c r="AF223">
        <f>IF('WetLitterbags placem_collection'!Z4="","",'WetLitterbags placem_collection'!Z4)</f>
        <v>39.799999999999997</v>
      </c>
      <c r="AG223" s="243" t="str">
        <f>IF('WetLitterbags placem_collection'!AA4="","",'WetLitterbags placem_collection'!AA4)</f>
        <v>M</v>
      </c>
      <c r="AH223">
        <f>IF('WetLitterbags placem_collection'!AC4="","",'WetLitterbags placem_collection'!AC4)</f>
        <v>1</v>
      </c>
      <c r="AI223" s="237">
        <f>AVERAGE('WetLitterbags placem_collection'!S4,'WetLitterbags placem_collection'!U4)</f>
        <v>13.1</v>
      </c>
      <c r="AJ223">
        <f>AVERAGE('WetLitterbags placem_collection'!R4,'WetLitterbags placem_collection'!T4)</f>
        <v>24.9</v>
      </c>
      <c r="AK223">
        <f>INDEX(Coordinates!$B$2:$B$197,MATCH(H223,Coordinates!$J$2:$J$197,0))</f>
        <v>-3.397879042</v>
      </c>
      <c r="AL223">
        <f>INDEX(Coordinates!$C$2:$C$197,MATCH(H223,Coordinates!$J$2:$J$197,0))</f>
        <v>34.837536010000001</v>
      </c>
      <c r="AM223" t="str">
        <f>IF(ISNUMBER(SEARCH("C", 'WetLitterbags placem_collection'!$W4)),"YES","NO")</f>
        <v>NO</v>
      </c>
      <c r="AN223" t="str">
        <f>IF(ISNUMBER(SEARCH("H", 'WetLitterbags placem_collection'!$W4)),"YES","NO")</f>
        <v>NO</v>
      </c>
      <c r="AO223" t="str">
        <f>IF(ISNUMBER(SEARCH("R", 'WetLitterbags placem_collection'!$W4)),"YES","NO")</f>
        <v>NO</v>
      </c>
    </row>
    <row r="224" spans="1:41" ht="15" customHeight="1">
      <c r="A224" s="255" t="s">
        <v>2454</v>
      </c>
      <c r="B224" s="260">
        <f>'Dry_Litterbag Placem_Collection'!A5</f>
        <v>3</v>
      </c>
      <c r="C224" s="260" t="str">
        <f>'Dry_Litterbag Placem_Collection'!B5</f>
        <v>Makao</v>
      </c>
      <c r="D224" s="260" t="s">
        <v>2643</v>
      </c>
      <c r="E224" s="260" t="s">
        <v>2644</v>
      </c>
      <c r="F224" s="260">
        <v>1</v>
      </c>
      <c r="G224" s="260" t="s">
        <v>3798</v>
      </c>
      <c r="H224" s="261" t="str">
        <f>'Dry_Litterbag Placem_Collection'!C5</f>
        <v>Dry_Ag1_T3</v>
      </c>
      <c r="I224" s="262" t="s">
        <v>2525</v>
      </c>
      <c r="J224" s="269" t="s">
        <v>298</v>
      </c>
      <c r="K224" s="221" t="str">
        <f>'WetLitterbags placem_collection'!M5</f>
        <v>R158</v>
      </c>
      <c r="L224" s="223">
        <f>IFERROR(INDEX('Green_rooibos initial weight'!$C$5:$C$2000,MATCH(K224, 'Green_rooibos initial weight'!$A$5:$A$2000,0)),"")</f>
        <v>2.2959999999999998</v>
      </c>
      <c r="M224" s="223">
        <f>IFERROR(L224-(TBIcalc!$H$9+TBIcalc!$H$10),"")</f>
        <v>2.0461999999999998</v>
      </c>
      <c r="N224" s="385">
        <f>AVERAGE(Ashed_controlls!$K$2:$K$11)</f>
        <v>5.5147656768714146</v>
      </c>
      <c r="O224" s="223">
        <f t="shared" si="16"/>
        <v>1.9333568647198569</v>
      </c>
      <c r="P224" s="223" t="str">
        <f>IFERROR(INDEX('Both teabags AfterWet'!$C$3:$C$840,MATCH(K224,'Both teabags AfterWet'!$A$3:$A$840,0)),"")</f>
        <v/>
      </c>
      <c r="Q224" s="223" t="str">
        <f>IFERROR(IF(P224&gt;0,P224-(TBIcalc!$H$9),""),"")</f>
        <v/>
      </c>
      <c r="R224" s="223" t="str">
        <f>IFERROR(INDEX('Ashed teabags wet'!$K$2:$K$2000,MATCH(K224,'Ashed teabags wet'!$A$2:$A$2000,0)),"")</f>
        <v/>
      </c>
      <c r="S224" s="223" t="str">
        <f t="shared" si="17"/>
        <v/>
      </c>
      <c r="T224" s="224">
        <f>'WetLitterbags placem_collection'!E5</f>
        <v>42766</v>
      </c>
      <c r="U224" s="224">
        <f>IF('WetLitterbags placem_collection'!G5="","",'WetLitterbags placem_collection'!G5)</f>
        <v>42819</v>
      </c>
      <c r="V224" s="225">
        <f t="shared" si="15"/>
        <v>53</v>
      </c>
      <c r="W224" s="223" t="str">
        <f t="shared" si="18"/>
        <v/>
      </c>
      <c r="X224" s="223" t="str">
        <f t="shared" si="19"/>
        <v/>
      </c>
      <c r="Y224" t="str">
        <f>IFERROR(INDEX(Rainfall_Wet!$O$2:$O$217,MATCH(B224, Rainfall_Wet!$A$2:$A$217,0)),"")</f>
        <v/>
      </c>
      <c r="Z224" s="228">
        <v>12.565665055683967</v>
      </c>
      <c r="AA224" s="228">
        <v>0.9665896196679955</v>
      </c>
      <c r="AB224" s="228">
        <v>86.467745324648035</v>
      </c>
      <c r="AC224" s="229" t="s">
        <v>2656</v>
      </c>
      <c r="AD224" s="228">
        <v>3.02257269590931</v>
      </c>
      <c r="AE224" t="str">
        <f>IF('WetLitterbags placem_collection'!AB5="","",'WetLitterbags placem_collection'!AB5)</f>
        <v/>
      </c>
      <c r="AF224" t="str">
        <f>IF('WetLitterbags placem_collection'!Z5="","",'WetLitterbags placem_collection'!Z5)</f>
        <v/>
      </c>
      <c r="AG224" s="243" t="str">
        <f>IF('WetLitterbags placem_collection'!AA5="","",'WetLitterbags placem_collection'!AA5)</f>
        <v/>
      </c>
      <c r="AH224" t="str">
        <f>IF('WetLitterbags placem_collection'!AC5="","",'WetLitterbags placem_collection'!AC5)</f>
        <v/>
      </c>
      <c r="AI224" s="237">
        <f>AVERAGE('WetLitterbags placem_collection'!S5,'WetLitterbags placem_collection'!U5)</f>
        <v>14.649999999999999</v>
      </c>
      <c r="AJ224">
        <f>AVERAGE('WetLitterbags placem_collection'!R5,'WetLitterbags placem_collection'!T5)</f>
        <v>24.7</v>
      </c>
      <c r="AK224">
        <f>INDEX(Coordinates!$B$2:$B$197,MATCH(H224,Coordinates!$J$2:$J$197,0))</f>
        <v>-3.3978739999999998</v>
      </c>
      <c r="AL224">
        <f>INDEX(Coordinates!$C$2:$C$197,MATCH(H224,Coordinates!$J$2:$J$197,0))</f>
        <v>34.837578999999998</v>
      </c>
      <c r="AM224" t="str">
        <f>IF(ISNUMBER(SEARCH("C", 'WetLitterbags placem_collection'!$W5)),"YES","NO")</f>
        <v>NO</v>
      </c>
      <c r="AN224" t="str">
        <f>IF(ISNUMBER(SEARCH("H", 'WetLitterbags placem_collection'!$W5)),"YES","NO")</f>
        <v>NO</v>
      </c>
      <c r="AO224" t="str">
        <f>IF(ISNUMBER(SEARCH("R", 'WetLitterbags placem_collection'!$W5)),"YES","NO")</f>
        <v>NO</v>
      </c>
    </row>
    <row r="225" spans="1:41" ht="15" customHeight="1">
      <c r="A225" s="255" t="s">
        <v>2454</v>
      </c>
      <c r="B225" s="260">
        <f>'Dry_Litterbag Placem_Collection'!A6</f>
        <v>4</v>
      </c>
      <c r="C225" s="260" t="str">
        <f>'Dry_Litterbag Placem_Collection'!B6</f>
        <v>Makao</v>
      </c>
      <c r="D225" s="260" t="s">
        <v>2643</v>
      </c>
      <c r="E225" s="260" t="s">
        <v>2644</v>
      </c>
      <c r="F225" s="260">
        <v>1</v>
      </c>
      <c r="G225" s="260" t="s">
        <v>3798</v>
      </c>
      <c r="H225" s="261" t="str">
        <f>'Dry_Litterbag Placem_Collection'!C6</f>
        <v>Dry_Ag1_T4</v>
      </c>
      <c r="I225" s="262" t="s">
        <v>2525</v>
      </c>
      <c r="J225" s="269" t="s">
        <v>298</v>
      </c>
      <c r="K225" s="221" t="str">
        <f>'WetLitterbags placem_collection'!M6</f>
        <v>R115</v>
      </c>
      <c r="L225" s="223">
        <f>IFERROR(INDEX('Green_rooibos initial weight'!$C$5:$C$2000,MATCH(K225, 'Green_rooibos initial weight'!$A$5:$A$2000,0)),"")</f>
        <v>2.3119999999999998</v>
      </c>
      <c r="M225" s="223">
        <f>IFERROR(L225-(TBIcalc!$H$9+TBIcalc!$H$10),"")</f>
        <v>2.0621999999999998</v>
      </c>
      <c r="N225" s="385">
        <f>AVERAGE(Ashed_controlls!$K$2:$K$11)</f>
        <v>5.5147656768714146</v>
      </c>
      <c r="O225" s="223">
        <f t="shared" si="16"/>
        <v>1.9484745022115575</v>
      </c>
      <c r="P225" s="223">
        <f>IFERROR(INDEX('Both teabags AfterWet'!$C$3:$C$840,MATCH(K225,'Both teabags AfterWet'!$A$3:$A$840,0)),"")</f>
        <v>1.4075</v>
      </c>
      <c r="Q225" s="223">
        <f>IFERROR(IF(P225&gt;0,P225-(TBIcalc!$H$9),""),"")</f>
        <v>1.2568999999999999</v>
      </c>
      <c r="R225" s="223">
        <f>IFERROR(INDEX('Ashed teabags wet'!$K$2:$K$2000,MATCH(K225,'Ashed teabags wet'!$A$2:$A$2000,0)),"")</f>
        <v>5.3919121318019663</v>
      </c>
      <c r="S225" s="223">
        <f t="shared" si="17"/>
        <v>1.1891290564153809</v>
      </c>
      <c r="T225" s="224">
        <f>'WetLitterbags placem_collection'!E6</f>
        <v>42766</v>
      </c>
      <c r="U225" s="224">
        <f>IF('WetLitterbags placem_collection'!G6="","",'WetLitterbags placem_collection'!G6)</f>
        <v>42818</v>
      </c>
      <c r="V225" s="225">
        <f t="shared" si="15"/>
        <v>52</v>
      </c>
      <c r="W225" s="223">
        <f t="shared" si="18"/>
        <v>0.8052999999999999</v>
      </c>
      <c r="X225" s="223">
        <f t="shared" si="19"/>
        <v>0.75934544579617658</v>
      </c>
      <c r="Y225">
        <f>IFERROR(INDEX(Rainfall_Wet!$O$2:$O$217,MATCH(B225, Rainfall_Wet!$A$2:$A$217,0)),"")</f>
        <v>194.43839254400001</v>
      </c>
      <c r="Z225" s="228">
        <v>12.565665055683967</v>
      </c>
      <c r="AA225" s="228">
        <v>0.9665896196679955</v>
      </c>
      <c r="AB225" s="228">
        <v>86.467745324648035</v>
      </c>
      <c r="AC225" s="229" t="s">
        <v>2656</v>
      </c>
      <c r="AD225" s="228">
        <v>4.02257269590931</v>
      </c>
      <c r="AE225" t="str">
        <f>IF('WetLitterbags placem_collection'!AB6="","",'WetLitterbags placem_collection'!AB6)</f>
        <v/>
      </c>
      <c r="AF225" t="str">
        <f>IF('WetLitterbags placem_collection'!Z6="","",'WetLitterbags placem_collection'!Z6)</f>
        <v/>
      </c>
      <c r="AG225" s="243" t="str">
        <f>IF('WetLitterbags placem_collection'!AA6="","",'WetLitterbags placem_collection'!AA6)</f>
        <v/>
      </c>
      <c r="AH225" t="str">
        <f>IF('WetLitterbags placem_collection'!AC6="","",'WetLitterbags placem_collection'!AC6)</f>
        <v/>
      </c>
      <c r="AI225" s="237">
        <f>AVERAGE('WetLitterbags placem_collection'!S6,'WetLitterbags placem_collection'!U6)</f>
        <v>17.399999999999999</v>
      </c>
      <c r="AJ225">
        <f>AVERAGE('WetLitterbags placem_collection'!R6,'WetLitterbags placem_collection'!T6)</f>
        <v>25.549999999999997</v>
      </c>
      <c r="AK225">
        <f>INDEX(Coordinates!$B$2:$B$197,MATCH(H225,Coordinates!$J$2:$J$197,0))</f>
        <v>-3.3977780399999999</v>
      </c>
      <c r="AL225">
        <f>INDEX(Coordinates!$C$2:$C$197,MATCH(H225,Coordinates!$J$2:$J$197,0))</f>
        <v>34.83751204</v>
      </c>
      <c r="AM225" t="str">
        <f>IF(ISNUMBER(SEARCH("C", 'WetLitterbags placem_collection'!$W6)),"YES","NO")</f>
        <v>NO</v>
      </c>
      <c r="AN225" t="str">
        <f>IF(ISNUMBER(SEARCH("H", 'WetLitterbags placem_collection'!$W6)),"YES","NO")</f>
        <v>NO</v>
      </c>
      <c r="AO225" t="str">
        <f>IF(ISNUMBER(SEARCH("R", 'WetLitterbags placem_collection'!$W6)),"YES","NO")</f>
        <v>YES</v>
      </c>
    </row>
    <row r="226" spans="1:41" ht="15" customHeight="1">
      <c r="A226" s="255" t="s">
        <v>2454</v>
      </c>
      <c r="B226" s="260">
        <f>'Dry_Litterbag Placem_Collection'!A7</f>
        <v>5</v>
      </c>
      <c r="C226" s="260" t="str">
        <f>'Dry_Litterbag Placem_Collection'!B7</f>
        <v>Makao</v>
      </c>
      <c r="D226" s="260" t="s">
        <v>2643</v>
      </c>
      <c r="E226" s="260" t="s">
        <v>2644</v>
      </c>
      <c r="F226" s="260">
        <v>1</v>
      </c>
      <c r="G226" s="260" t="s">
        <v>3798</v>
      </c>
      <c r="H226" s="261" t="str">
        <f>'Dry_Litterbag Placem_Collection'!C7</f>
        <v>Dry_Ag1_T5</v>
      </c>
      <c r="I226" s="262" t="s">
        <v>2525</v>
      </c>
      <c r="J226" s="269" t="s">
        <v>298</v>
      </c>
      <c r="K226" s="221" t="str">
        <f>'WetLitterbags placem_collection'!M7</f>
        <v>R502</v>
      </c>
      <c r="L226" s="223">
        <f>IFERROR(INDEX('Green_rooibos initial weight'!$C$5:$C$2000,MATCH(K226, 'Green_rooibos initial weight'!$A$5:$A$2000,0)),"")</f>
        <v>2.1840000000000002</v>
      </c>
      <c r="M226" s="223">
        <f>IFERROR(L226-(TBIcalc!$H$9+TBIcalc!$H$10),"")</f>
        <v>1.9342000000000001</v>
      </c>
      <c r="N226" s="385">
        <f>AVERAGE(Ashed_controlls!$K$2:$K$11)</f>
        <v>5.5147656768714146</v>
      </c>
      <c r="O226" s="223">
        <f t="shared" si="16"/>
        <v>1.8275334022779532</v>
      </c>
      <c r="P226" s="223">
        <f>IFERROR(INDEX('Both teabags AfterWet'!$C$3:$C$840,MATCH(K226,'Both teabags AfterWet'!$A$3:$A$840,0)),"")</f>
        <v>1.3823000000000001</v>
      </c>
      <c r="Q226" s="223">
        <f>IFERROR(IF(P226&gt;0,P226-(TBIcalc!$H$9),""),"")</f>
        <v>1.2317</v>
      </c>
      <c r="R226" s="223">
        <f>IFERROR(INDEX('Ashed teabags wet'!$K$2:$K$2000,MATCH(K226,'Ashed teabags wet'!$A$2:$A$2000,0)),"")</f>
        <v>4.6214355948865089</v>
      </c>
      <c r="S226" s="223">
        <f t="shared" si="17"/>
        <v>1.1747777777777828</v>
      </c>
      <c r="T226" s="224">
        <f>'WetLitterbags placem_collection'!E7</f>
        <v>42766</v>
      </c>
      <c r="U226" s="224">
        <f>IF('WetLitterbags placem_collection'!G7="","",'WetLitterbags placem_collection'!G7)</f>
        <v>42818</v>
      </c>
      <c r="V226" s="225">
        <f t="shared" si="15"/>
        <v>52</v>
      </c>
      <c r="W226" s="223">
        <f t="shared" si="18"/>
        <v>0.70250000000000012</v>
      </c>
      <c r="X226" s="223">
        <f t="shared" si="19"/>
        <v>0.65275562450017044</v>
      </c>
      <c r="Y226">
        <f>IFERROR(INDEX(Rainfall_Wet!$O$2:$O$217,MATCH(B226, Rainfall_Wet!$A$2:$A$217,0)),"")</f>
        <v>194.43839254400001</v>
      </c>
      <c r="Z226" s="228">
        <v>12.565665055683967</v>
      </c>
      <c r="AA226" s="228">
        <v>0.9665896196679955</v>
      </c>
      <c r="AB226" s="228">
        <v>86.467745324648035</v>
      </c>
      <c r="AC226" s="229" t="s">
        <v>2656</v>
      </c>
      <c r="AD226" s="228">
        <v>5.02257269590931</v>
      </c>
      <c r="AE226">
        <f>IF('WetLitterbags placem_collection'!AB7="","",'WetLitterbags placem_collection'!AB7)</f>
        <v>28.4</v>
      </c>
      <c r="AF226">
        <f>IF('WetLitterbags placem_collection'!Z7="","",'WetLitterbags placem_collection'!Z7)</f>
        <v>36.4</v>
      </c>
      <c r="AG226" s="243" t="str">
        <f>IF('WetLitterbags placem_collection'!AA7="","",'WetLitterbags placem_collection'!AA7)</f>
        <v>M</v>
      </c>
      <c r="AH226">
        <f>IF('WetLitterbags placem_collection'!AC7="","",'WetLitterbags placem_collection'!AC7)</f>
        <v>1</v>
      </c>
      <c r="AI226" s="237">
        <f>AVERAGE('WetLitterbags placem_collection'!S7,'WetLitterbags placem_collection'!U7)</f>
        <v>12.100000000000001</v>
      </c>
      <c r="AJ226">
        <f>AVERAGE('WetLitterbags placem_collection'!R7,'WetLitterbags placem_collection'!T7)</f>
        <v>25.1</v>
      </c>
      <c r="AK226">
        <f>INDEX(Coordinates!$B$2:$B$197,MATCH(H226,Coordinates!$J$2:$J$197,0))</f>
        <v>-3.3978020120000001</v>
      </c>
      <c r="AL226">
        <f>INDEX(Coordinates!$C$2:$C$197,MATCH(H226,Coordinates!$J$2:$J$197,0))</f>
        <v>34.83751204</v>
      </c>
      <c r="AM226" t="str">
        <f>IF(ISNUMBER(SEARCH("C", 'WetLitterbags placem_collection'!$W7)),"YES","NO")</f>
        <v>NO</v>
      </c>
      <c r="AN226" t="str">
        <f>IF(ISNUMBER(SEARCH("H", 'WetLitterbags placem_collection'!$W7)),"YES","NO")</f>
        <v>NO</v>
      </c>
      <c r="AO226" t="str">
        <f>IF(ISNUMBER(SEARCH("R", 'WetLitterbags placem_collection'!$W7)),"YES","NO")</f>
        <v>NO</v>
      </c>
    </row>
    <row r="227" spans="1:41" ht="15" customHeight="1">
      <c r="A227" s="255" t="s">
        <v>2454</v>
      </c>
      <c r="B227" s="260">
        <f>'Dry_Litterbag Placem_Collection'!A8</f>
        <v>6</v>
      </c>
      <c r="C227" s="260" t="str">
        <f>'Dry_Litterbag Placem_Collection'!B8</f>
        <v>Makao</v>
      </c>
      <c r="D227" s="260" t="s">
        <v>2643</v>
      </c>
      <c r="E227" s="260" t="s">
        <v>2644</v>
      </c>
      <c r="F227" s="260">
        <v>1</v>
      </c>
      <c r="G227" s="260" t="s">
        <v>3798</v>
      </c>
      <c r="H227" s="261" t="str">
        <f>'Dry_Litterbag Placem_Collection'!C8</f>
        <v>Dry_Ag1_T6</v>
      </c>
      <c r="I227" s="262" t="s">
        <v>2525</v>
      </c>
      <c r="J227" s="269" t="s">
        <v>298</v>
      </c>
      <c r="K227" s="221" t="str">
        <f>'WetLitterbags placem_collection'!M8</f>
        <v>R177</v>
      </c>
      <c r="L227" s="223">
        <f>IFERROR(INDEX('Green_rooibos initial weight'!$C$5:$C$2000,MATCH(K227, 'Green_rooibos initial weight'!$A$5:$A$2000,0)),"")</f>
        <v>2.153</v>
      </c>
      <c r="M227" s="223">
        <f>IFERROR(L227-(TBIcalc!$H$9+TBIcalc!$H$10),"")</f>
        <v>1.9032</v>
      </c>
      <c r="N227" s="385">
        <f>AVERAGE(Ashed_controlls!$K$2:$K$11)</f>
        <v>5.5147656768714146</v>
      </c>
      <c r="O227" s="223">
        <f t="shared" si="16"/>
        <v>1.7982429796377832</v>
      </c>
      <c r="P227" s="223">
        <f>IFERROR(INDEX('Both teabags AfterWet'!$C$3:$C$840,MATCH(K227,'Both teabags AfterWet'!$A$3:$A$840,0)),"")</f>
        <v>1.4271</v>
      </c>
      <c r="Q227" s="223">
        <f>IFERROR(IF(P227&gt;0,P227-(TBIcalc!$H$9),""),"")</f>
        <v>1.2765</v>
      </c>
      <c r="R227" s="223">
        <f>IFERROR(INDEX('Ashed teabags wet'!$K$2:$K$2000,MATCH(K227,'Ashed teabags wet'!$A$2:$A$2000,0)),"")</f>
        <v>14.46446446446422</v>
      </c>
      <c r="S227" s="223">
        <f t="shared" si="17"/>
        <v>1.0918611111111143</v>
      </c>
      <c r="T227" s="224">
        <f>'WetLitterbags placem_collection'!E8</f>
        <v>42766</v>
      </c>
      <c r="U227" s="224">
        <f>IF('WetLitterbags placem_collection'!G8="","",'WetLitterbags placem_collection'!G8)</f>
        <v>42818</v>
      </c>
      <c r="V227" s="225">
        <f t="shared" si="15"/>
        <v>52</v>
      </c>
      <c r="W227" s="223">
        <f t="shared" si="18"/>
        <v>0.62670000000000003</v>
      </c>
      <c r="X227" s="223">
        <f t="shared" si="19"/>
        <v>0.70638186852666895</v>
      </c>
      <c r="Y227">
        <f>IFERROR(INDEX(Rainfall_Wet!$O$2:$O$217,MATCH(B227, Rainfall_Wet!$A$2:$A$217,0)),"")</f>
        <v>194.43839254400001</v>
      </c>
      <c r="Z227" s="228">
        <v>12.565665055683967</v>
      </c>
      <c r="AA227" s="228">
        <v>0.9665896196679955</v>
      </c>
      <c r="AB227" s="228">
        <v>86.467745324648035</v>
      </c>
      <c r="AC227" s="229" t="s">
        <v>2656</v>
      </c>
      <c r="AD227" s="228">
        <v>6.02257269590931</v>
      </c>
      <c r="AE227">
        <f>IF('WetLitterbags placem_collection'!AB8="","",'WetLitterbags placem_collection'!AB8)</f>
        <v>32.4</v>
      </c>
      <c r="AF227">
        <f>IF('WetLitterbags placem_collection'!Z8="","",'WetLitterbags placem_collection'!Z8)</f>
        <v>31</v>
      </c>
      <c r="AG227" s="243" t="str">
        <f>IF('WetLitterbags placem_collection'!AA8="","",'WetLitterbags placem_collection'!AA8)</f>
        <v>M</v>
      </c>
      <c r="AH227">
        <f>IF('WetLitterbags placem_collection'!AC8="","",'WetLitterbags placem_collection'!AC8)</f>
        <v>1</v>
      </c>
      <c r="AI227" s="237">
        <f>AVERAGE('WetLitterbags placem_collection'!S8,'WetLitterbags placem_collection'!U8)</f>
        <v>13.45</v>
      </c>
      <c r="AJ227">
        <f>AVERAGE('WetLitterbags placem_collection'!R8,'WetLitterbags placem_collection'!T8)</f>
        <v>25.1</v>
      </c>
      <c r="AK227">
        <f>INDEX(Coordinates!$B$2:$B$197,MATCH(H227,Coordinates!$J$2:$J$197,0))</f>
        <v>-3.3977389800000002</v>
      </c>
      <c r="AL227">
        <f>INDEX(Coordinates!$C$2:$C$197,MATCH(H227,Coordinates!$J$2:$J$197,0))</f>
        <v>34.837501979999999</v>
      </c>
      <c r="AM227" t="str">
        <f>IF(ISNUMBER(SEARCH("C", 'WetLitterbags placem_collection'!$W8)),"YES","NO")</f>
        <v>NO</v>
      </c>
      <c r="AN227" t="str">
        <f>IF(ISNUMBER(SEARCH("H", 'WetLitterbags placem_collection'!$W8)),"YES","NO")</f>
        <v>NO</v>
      </c>
      <c r="AO227" t="str">
        <f>IF(ISNUMBER(SEARCH("R", 'WetLitterbags placem_collection'!$W8)),"YES","NO")</f>
        <v>YES</v>
      </c>
    </row>
    <row r="228" spans="1:41" ht="15" customHeight="1">
      <c r="A228" s="255" t="s">
        <v>2454</v>
      </c>
      <c r="B228" s="260">
        <f>'Dry_Litterbag Placem_Collection'!A9</f>
        <v>7</v>
      </c>
      <c r="C228" s="260" t="str">
        <f>'Dry_Litterbag Placem_Collection'!B9</f>
        <v>Makao</v>
      </c>
      <c r="D228" s="260" t="s">
        <v>2643</v>
      </c>
      <c r="E228" s="260" t="s">
        <v>2644</v>
      </c>
      <c r="F228" s="260">
        <v>1</v>
      </c>
      <c r="G228" s="260" t="s">
        <v>3798</v>
      </c>
      <c r="H228" s="261" t="str">
        <f>'Dry_Litterbag Placem_Collection'!C9</f>
        <v>Dry_Ag1_T7</v>
      </c>
      <c r="I228" s="262" t="s">
        <v>2525</v>
      </c>
      <c r="J228" s="269" t="s">
        <v>298</v>
      </c>
      <c r="K228" s="221" t="str">
        <f>'WetLitterbags placem_collection'!M9</f>
        <v>R531</v>
      </c>
      <c r="L228" s="223">
        <f>IFERROR(INDEX('Green_rooibos initial weight'!$C$5:$C$2000,MATCH(K228, 'Green_rooibos initial weight'!$A$5:$A$2000,0)),"")</f>
        <v>2.101</v>
      </c>
      <c r="M228" s="223">
        <f>IFERROR(L228-(TBIcalc!$H$9+TBIcalc!$H$10),"")</f>
        <v>1.8512</v>
      </c>
      <c r="N228" s="385">
        <f>AVERAGE(Ashed_controlls!$K$2:$K$11)</f>
        <v>5.5147656768714146</v>
      </c>
      <c r="O228" s="223">
        <f t="shared" si="16"/>
        <v>1.7491106577897564</v>
      </c>
      <c r="P228" s="223">
        <f>IFERROR(INDEX('Both teabags AfterWet'!$C$3:$C$840,MATCH(K228,'Both teabags AfterWet'!$A$3:$A$840,0)),"")</f>
        <v>1.4430000000000001</v>
      </c>
      <c r="Q228" s="223">
        <f>IFERROR(IF(P228&gt;0,P228-(TBIcalc!$H$9),""),"")</f>
        <v>1.2924</v>
      </c>
      <c r="R228" s="223">
        <f>IFERROR(INDEX('Ashed teabags wet'!$K$2:$K$2000,MATCH(K228,'Ashed teabags wet'!$A$2:$A$2000,0)),"")</f>
        <v>3.1630170316302406</v>
      </c>
      <c r="S228" s="223">
        <f t="shared" si="17"/>
        <v>1.2515211678832108</v>
      </c>
      <c r="T228" s="224">
        <f>'WetLitterbags placem_collection'!E9</f>
        <v>42766</v>
      </c>
      <c r="U228" s="224">
        <f>IF('WetLitterbags placem_collection'!G9="","",'WetLitterbags placem_collection'!G9)</f>
        <v>42818</v>
      </c>
      <c r="V228" s="225">
        <f t="shared" si="15"/>
        <v>52</v>
      </c>
      <c r="W228" s="223">
        <f t="shared" si="18"/>
        <v>0.55879999999999996</v>
      </c>
      <c r="X228" s="223">
        <f t="shared" si="19"/>
        <v>0.49758948990654561</v>
      </c>
      <c r="Y228">
        <f>IFERROR(INDEX(Rainfall_Wet!$O$2:$O$217,MATCH(B228, Rainfall_Wet!$A$2:$A$217,0)),"")</f>
        <v>194.43839254400001</v>
      </c>
      <c r="Z228" s="228">
        <v>12.565665055683967</v>
      </c>
      <c r="AA228" s="228">
        <v>0.9665896196679955</v>
      </c>
      <c r="AB228" s="228">
        <v>86.467745324648035</v>
      </c>
      <c r="AC228" s="229" t="s">
        <v>2656</v>
      </c>
      <c r="AD228" s="228">
        <v>7.02257269590931</v>
      </c>
      <c r="AE228">
        <f>IF('WetLitterbags placem_collection'!AB9="","",'WetLitterbags placem_collection'!AB9)</f>
        <v>36</v>
      </c>
      <c r="AF228">
        <f>IF('WetLitterbags placem_collection'!Z9="","",'WetLitterbags placem_collection'!Z9)</f>
        <v>43.4</v>
      </c>
      <c r="AG228" s="243" t="str">
        <f>IF('WetLitterbags placem_collection'!AA9="","",'WetLitterbags placem_collection'!AA9)</f>
        <v>M</v>
      </c>
      <c r="AH228">
        <f>IF('WetLitterbags placem_collection'!AC9="","",'WetLitterbags placem_collection'!AC9)</f>
        <v>1</v>
      </c>
      <c r="AI228" s="237">
        <f>AVERAGE('WetLitterbags placem_collection'!S9,'WetLitterbags placem_collection'!U9)</f>
        <v>9.8500000000000014</v>
      </c>
      <c r="AJ228">
        <f>AVERAGE('WetLitterbags placem_collection'!R9,'WetLitterbags placem_collection'!T9)</f>
        <v>26.2</v>
      </c>
      <c r="AK228">
        <f>INDEX(Coordinates!$B$2:$B$197,MATCH(H228,Coordinates!$J$2:$J$197,0))</f>
        <v>-3.3977630360000002</v>
      </c>
      <c r="AL228">
        <f>INDEX(Coordinates!$C$2:$C$197,MATCH(H228,Coordinates!$J$2:$J$197,0))</f>
        <v>34.837600969999997</v>
      </c>
      <c r="AM228" t="str">
        <f>IF(ISNUMBER(SEARCH("C", 'WetLitterbags placem_collection'!$W9)),"YES","NO")</f>
        <v>NO</v>
      </c>
      <c r="AN228" t="str">
        <f>IF(ISNUMBER(SEARCH("H", 'WetLitterbags placem_collection'!$W9)),"YES","NO")</f>
        <v>NO</v>
      </c>
      <c r="AO228" t="str">
        <f>IF(ISNUMBER(SEARCH("R", 'WetLitterbags placem_collection'!$W9)),"YES","NO")</f>
        <v>NO</v>
      </c>
    </row>
    <row r="229" spans="1:41" ht="15" customHeight="1">
      <c r="A229" s="255" t="s">
        <v>2454</v>
      </c>
      <c r="B229" s="260">
        <f>'Dry_Litterbag Placem_Collection'!A10</f>
        <v>8</v>
      </c>
      <c r="C229" s="260" t="str">
        <f>'Dry_Litterbag Placem_Collection'!B10</f>
        <v>Makao</v>
      </c>
      <c r="D229" s="260" t="s">
        <v>2643</v>
      </c>
      <c r="E229" s="260" t="s">
        <v>2644</v>
      </c>
      <c r="F229" s="260">
        <v>1</v>
      </c>
      <c r="G229" s="260" t="s">
        <v>3798</v>
      </c>
      <c r="H229" s="261" t="str">
        <f>'Dry_Litterbag Placem_Collection'!C10</f>
        <v>Dry_Ag1_T8</v>
      </c>
      <c r="I229" s="262" t="s">
        <v>2525</v>
      </c>
      <c r="J229" s="269" t="s">
        <v>298</v>
      </c>
      <c r="K229" s="221" t="str">
        <f>'WetLitterbags placem_collection'!M10</f>
        <v>R406</v>
      </c>
      <c r="L229" s="223">
        <f>IFERROR(INDEX('Green_rooibos initial weight'!$C$5:$C$2000,MATCH(K229, 'Green_rooibos initial weight'!$A$5:$A$2000,0)),"")</f>
        <v>2.1739999999999999</v>
      </c>
      <c r="M229" s="223">
        <f>IFERROR(L229-(TBIcalc!$H$9+TBIcalc!$H$10),"")</f>
        <v>1.9241999999999999</v>
      </c>
      <c r="N229" s="385">
        <f>AVERAGE(Ashed_controlls!$K$2:$K$11)</f>
        <v>5.5147656768714146</v>
      </c>
      <c r="O229" s="223">
        <f t="shared" si="16"/>
        <v>1.8180848788456401</v>
      </c>
      <c r="P229" s="223">
        <f>IFERROR(INDEX('Both teabags AfterWet'!$C$3:$C$840,MATCH(K229,'Both teabags AfterWet'!$A$3:$A$840,0)),"")</f>
        <v>1.4278999999999999</v>
      </c>
      <c r="Q229" s="223">
        <f>IFERROR(IF(P229&gt;0,P229-(TBIcalc!$H$9),""),"")</f>
        <v>1.2772999999999999</v>
      </c>
      <c r="R229" s="223">
        <f>IFERROR(INDEX('Ashed teabags wet'!$K$2:$K$2000,MATCH(K229,'Ashed teabags wet'!$A$2:$A$2000,0)),"")</f>
        <v>2.5291828793778013</v>
      </c>
      <c r="S229" s="223">
        <f t="shared" si="17"/>
        <v>1.2449947470817073</v>
      </c>
      <c r="T229" s="224">
        <f>'WetLitterbags placem_collection'!E10</f>
        <v>42766</v>
      </c>
      <c r="U229" s="224">
        <f>IF('WetLitterbags placem_collection'!G10="","",'WetLitterbags placem_collection'!G10)</f>
        <v>42818</v>
      </c>
      <c r="V229" s="225">
        <f t="shared" si="15"/>
        <v>52</v>
      </c>
      <c r="W229" s="223">
        <f t="shared" si="18"/>
        <v>0.64690000000000003</v>
      </c>
      <c r="X229" s="223">
        <f t="shared" si="19"/>
        <v>0.57309013176393275</v>
      </c>
      <c r="Y229">
        <f>IFERROR(INDEX(Rainfall_Wet!$O$2:$O$217,MATCH(B229, Rainfall_Wet!$A$2:$A$217,0)),"")</f>
        <v>194.43839254400001</v>
      </c>
      <c r="Z229" s="228">
        <v>12.565665055683967</v>
      </c>
      <c r="AA229" s="228">
        <v>0.9665896196679955</v>
      </c>
      <c r="AB229" s="228">
        <v>86.467745324648035</v>
      </c>
      <c r="AC229" s="229" t="s">
        <v>2656</v>
      </c>
      <c r="AD229" s="228">
        <v>8.0225726959093109</v>
      </c>
      <c r="AE229">
        <f>IF('WetLitterbags placem_collection'!AB10="","",'WetLitterbags placem_collection'!AB10)</f>
        <v>36</v>
      </c>
      <c r="AF229">
        <f>IF('WetLitterbags placem_collection'!Z10="","",'WetLitterbags placem_collection'!Z10)</f>
        <v>38.4</v>
      </c>
      <c r="AG229" s="243" t="str">
        <f>IF('WetLitterbags placem_collection'!AA10="","",'WetLitterbags placem_collection'!AA10)</f>
        <v>M</v>
      </c>
      <c r="AH229" t="str">
        <f>IF('WetLitterbags placem_collection'!AC10="","",'WetLitterbags placem_collection'!AC10)</f>
        <v/>
      </c>
      <c r="AI229" s="237">
        <f>AVERAGE('WetLitterbags placem_collection'!S10,'WetLitterbags placem_collection'!U10)</f>
        <v>10.600000000000001</v>
      </c>
      <c r="AJ229">
        <f>AVERAGE('WetLitterbags placem_collection'!R10,'WetLitterbags placem_collection'!T10)</f>
        <v>25.5</v>
      </c>
      <c r="AK229">
        <f>INDEX(Coordinates!$B$2:$B$197,MATCH(H229,Coordinates!$J$2:$J$197,0))</f>
        <v>-3.3977320230000001</v>
      </c>
      <c r="AL229">
        <f>INDEX(Coordinates!$C$2:$C$197,MATCH(H229,Coordinates!$J$2:$J$197,0))</f>
        <v>34.837561989999998</v>
      </c>
      <c r="AM229" t="str">
        <f>IF(ISNUMBER(SEARCH("C", 'WetLitterbags placem_collection'!$W10)),"YES","NO")</f>
        <v>NO</v>
      </c>
      <c r="AN229" t="str">
        <f>IF(ISNUMBER(SEARCH("H", 'WetLitterbags placem_collection'!$W10)),"YES","NO")</f>
        <v>NO</v>
      </c>
      <c r="AO229" t="str">
        <f>IF(ISNUMBER(SEARCH("R", 'WetLitterbags placem_collection'!$W10)),"YES","NO")</f>
        <v>YES</v>
      </c>
    </row>
    <row r="230" spans="1:41" ht="15" customHeight="1">
      <c r="A230" s="255" t="s">
        <v>2454</v>
      </c>
      <c r="B230" s="260">
        <f>'Dry_Litterbag Placem_Collection'!A11</f>
        <v>9</v>
      </c>
      <c r="C230" s="260" t="str">
        <f>'Dry_Litterbag Placem_Collection'!B11</f>
        <v>Makao</v>
      </c>
      <c r="D230" s="260" t="s">
        <v>2643</v>
      </c>
      <c r="E230" s="260" t="s">
        <v>2644</v>
      </c>
      <c r="F230" s="260">
        <v>2</v>
      </c>
      <c r="G230" s="260" t="s">
        <v>3802</v>
      </c>
      <c r="H230" s="261" t="str">
        <f>'Dry_Litterbag Placem_Collection'!C11</f>
        <v>Dry_Ag2_T1</v>
      </c>
      <c r="I230" s="262" t="s">
        <v>2525</v>
      </c>
      <c r="J230" s="269" t="s">
        <v>298</v>
      </c>
      <c r="K230" s="221" t="str">
        <f>'WetLitterbags placem_collection'!M11</f>
        <v>R169</v>
      </c>
      <c r="L230" s="223">
        <f>IFERROR(INDEX('Green_rooibos initial weight'!$C$5:$C$2000,MATCH(K230, 'Green_rooibos initial weight'!$A$5:$A$2000,0)),"")</f>
        <v>2.2010000000000001</v>
      </c>
      <c r="M230" s="223">
        <f>IFERROR(L230-(TBIcalc!$H$9+TBIcalc!$H$10),"")</f>
        <v>1.9512</v>
      </c>
      <c r="N230" s="385">
        <f>AVERAGE(Ashed_controlls!$K$2:$K$11)</f>
        <v>5.5147656768714146</v>
      </c>
      <c r="O230" s="223">
        <f t="shared" si="16"/>
        <v>1.843595892112885</v>
      </c>
      <c r="P230" s="223">
        <f>IFERROR(INDEX('Both teabags AfterWet'!$C$3:$C$840,MATCH(K230,'Both teabags AfterWet'!$A$3:$A$840,0)),"")</f>
        <v>2.8336999999999999</v>
      </c>
      <c r="Q230" s="223">
        <f>IFERROR(IF(P230&gt;0,P230-(TBIcalc!$H$9),""),"")</f>
        <v>2.6831</v>
      </c>
      <c r="R230" s="223">
        <f>IFERROR(INDEX('Ashed teabags wet'!$K$2:$K$2000,MATCH(K230,'Ashed teabags wet'!$A$2:$A$2000,0)),"")</f>
        <v>95.2866861030124</v>
      </c>
      <c r="S230" s="223">
        <f t="shared" si="17"/>
        <v>0.1264629251700744</v>
      </c>
      <c r="T230" s="224">
        <f>'WetLitterbags placem_collection'!E11</f>
        <v>42766</v>
      </c>
      <c r="U230" s="224">
        <f>IF('WetLitterbags placem_collection'!G11="","",'WetLitterbags placem_collection'!G11)</f>
        <v>42818</v>
      </c>
      <c r="V230" s="225">
        <f t="shared" si="15"/>
        <v>52</v>
      </c>
      <c r="W230" s="223">
        <f t="shared" si="18"/>
        <v>-0.7319</v>
      </c>
      <c r="X230" s="223">
        <f t="shared" si="19"/>
        <v>1.7171329669428106</v>
      </c>
      <c r="Y230">
        <f>IFERROR(INDEX(Rainfall_Wet!$O$2:$O$217,MATCH(B230, Rainfall_Wet!$A$2:$A$217,0)),"")</f>
        <v>194.43839254400001</v>
      </c>
      <c r="Z230" s="228">
        <v>21.13063730679653</v>
      </c>
      <c r="AA230" s="228">
        <v>3.0912555579081076</v>
      </c>
      <c r="AB230" s="228">
        <v>75.778107135295357</v>
      </c>
      <c r="AC230" s="229" t="s">
        <v>2654</v>
      </c>
      <c r="AD230" s="228">
        <v>0.46131099063578063</v>
      </c>
      <c r="AE230">
        <f>IF('WetLitterbags placem_collection'!AB11="","",'WetLitterbags placem_collection'!AB11)</f>
        <v>10.8</v>
      </c>
      <c r="AF230">
        <f>IF('WetLitterbags placem_collection'!Z11="","",'WetLitterbags placem_collection'!Z11)</f>
        <v>28.4</v>
      </c>
      <c r="AG230" s="243" t="str">
        <f>IF('WetLitterbags placem_collection'!AA11="","",'WetLitterbags placem_collection'!AA11)</f>
        <v>M</v>
      </c>
      <c r="AH230">
        <f>IF('WetLitterbags placem_collection'!AC11="","",'WetLitterbags placem_collection'!AC11)</f>
        <v>0</v>
      </c>
      <c r="AI230" s="237">
        <f>AVERAGE('WetLitterbags placem_collection'!S11,'WetLitterbags placem_collection'!U11)</f>
        <v>14.5</v>
      </c>
      <c r="AJ230">
        <f>AVERAGE('WetLitterbags placem_collection'!R11,'WetLitterbags placem_collection'!T11)</f>
        <v>24.4</v>
      </c>
      <c r="AK230">
        <f>INDEX(Coordinates!$B$2:$B$197,MATCH(H230,Coordinates!$J$2:$J$197,0))</f>
        <v>-3.3978290019999999</v>
      </c>
      <c r="AL230">
        <f>INDEX(Coordinates!$C$2:$C$197,MATCH(H230,Coordinates!$J$2:$J$197,0))</f>
        <v>34.837011969999999</v>
      </c>
      <c r="AM230" t="str">
        <f>IF(ISNUMBER(SEARCH("C", 'WetLitterbags placem_collection'!$W11)),"YES","NO")</f>
        <v>YES</v>
      </c>
      <c r="AN230" t="str">
        <f>IF(ISNUMBER(SEARCH("H", 'WetLitterbags placem_collection'!$W11)),"YES","NO")</f>
        <v>YES</v>
      </c>
      <c r="AO230" t="str">
        <f>IF(ISNUMBER(SEARCH("R", 'WetLitterbags placem_collection'!$W11)),"YES","NO")</f>
        <v>NO</v>
      </c>
    </row>
    <row r="231" spans="1:41" ht="15" customHeight="1">
      <c r="A231" s="255" t="s">
        <v>2454</v>
      </c>
      <c r="B231" s="260">
        <f>'Dry_Litterbag Placem_Collection'!A12</f>
        <v>10</v>
      </c>
      <c r="C231" s="260" t="str">
        <f>'Dry_Litterbag Placem_Collection'!B12</f>
        <v>Makao</v>
      </c>
      <c r="D231" s="260" t="s">
        <v>2643</v>
      </c>
      <c r="E231" s="260" t="s">
        <v>2644</v>
      </c>
      <c r="F231" s="260">
        <v>2</v>
      </c>
      <c r="G231" s="260" t="s">
        <v>3802</v>
      </c>
      <c r="H231" s="261" t="str">
        <f>'Dry_Litterbag Placem_Collection'!C12</f>
        <v>Dry_Ag2_T2</v>
      </c>
      <c r="I231" s="262" t="s">
        <v>2525</v>
      </c>
      <c r="J231" s="269" t="s">
        <v>298</v>
      </c>
      <c r="K231" s="221" t="str">
        <f>'WetLitterbags placem_collection'!M12</f>
        <v>R91</v>
      </c>
      <c r="L231" s="223">
        <f>IFERROR(INDEX('Green_rooibos initial weight'!$C$5:$C$2000,MATCH(K231, 'Green_rooibos initial weight'!$A$5:$A$2000,0)),"")</f>
        <v>2.133</v>
      </c>
      <c r="M231" s="223">
        <f>IFERROR(L231-(TBIcalc!$H$9+TBIcalc!$H$10),"")</f>
        <v>1.8832</v>
      </c>
      <c r="N231" s="385">
        <f>AVERAGE(Ashed_controlls!$K$2:$K$11)</f>
        <v>5.5147656768714146</v>
      </c>
      <c r="O231" s="223">
        <f t="shared" si="16"/>
        <v>1.7793459327731576</v>
      </c>
      <c r="P231" s="223">
        <f>IFERROR(INDEX('Both teabags AfterWet'!$C$3:$C$840,MATCH(K231,'Both teabags AfterWet'!$A$3:$A$840,0)),"")</f>
        <v>1.3628</v>
      </c>
      <c r="Q231" s="223">
        <f>IFERROR(IF(P231&gt;0,P231-(TBIcalc!$H$9),""),"")</f>
        <v>1.2121999999999999</v>
      </c>
      <c r="R231" s="223">
        <f>IFERROR(INDEX('Ashed teabags wet'!$K$2:$K$2000,MATCH(K231,'Ashed teabags wet'!$A$2:$A$2000,0)),"")</f>
        <v>4.3562439496613994</v>
      </c>
      <c r="S231" s="223">
        <f t="shared" si="17"/>
        <v>1.1593936108422045</v>
      </c>
      <c r="T231" s="224">
        <f>'WetLitterbags placem_collection'!E12</f>
        <v>42766</v>
      </c>
      <c r="U231" s="224">
        <f>IF('WetLitterbags placem_collection'!G12="","",'WetLitterbags placem_collection'!G12)</f>
        <v>42818</v>
      </c>
      <c r="V231" s="225">
        <f t="shared" si="15"/>
        <v>52</v>
      </c>
      <c r="W231" s="223">
        <f t="shared" si="18"/>
        <v>0.67100000000000004</v>
      </c>
      <c r="X231" s="223">
        <f t="shared" si="19"/>
        <v>0.61995232193095307</v>
      </c>
      <c r="Y231">
        <f>IFERROR(INDEX(Rainfall_Wet!$O$2:$O$217,MATCH(B231, Rainfall_Wet!$A$2:$A$217,0)),"")</f>
        <v>194.43839254400001</v>
      </c>
      <c r="Z231" s="228">
        <v>21.13063730679653</v>
      </c>
      <c r="AA231" s="228">
        <v>3.0912555579081076</v>
      </c>
      <c r="AB231" s="228">
        <v>75.778107135295357</v>
      </c>
      <c r="AC231" s="229" t="s">
        <v>2654</v>
      </c>
      <c r="AD231" s="228">
        <v>1.46131099063578</v>
      </c>
      <c r="AE231">
        <f>IF('WetLitterbags placem_collection'!AB12="","",'WetLitterbags placem_collection'!AB12)</f>
        <v>16.8</v>
      </c>
      <c r="AF231">
        <f>IF('WetLitterbags placem_collection'!Z12="","",'WetLitterbags placem_collection'!Z12)</f>
        <v>30</v>
      </c>
      <c r="AG231" s="243" t="str">
        <f>IF('WetLitterbags placem_collection'!AA12="","",'WetLitterbags placem_collection'!AA12)</f>
        <v>M</v>
      </c>
      <c r="AH231">
        <f>IF('WetLitterbags placem_collection'!AC12="","",'WetLitterbags placem_collection'!AC12)</f>
        <v>0</v>
      </c>
      <c r="AI231" s="237">
        <f>AVERAGE('WetLitterbags placem_collection'!S12,'WetLitterbags placem_collection'!U12)</f>
        <v>14.649999999999999</v>
      </c>
      <c r="AJ231">
        <f>AVERAGE('WetLitterbags placem_collection'!R12,'WetLitterbags placem_collection'!T12)</f>
        <v>24.299999999999997</v>
      </c>
      <c r="AK231">
        <f>INDEX(Coordinates!$B$2:$B$197,MATCH(H231,Coordinates!$J$2:$J$197,0))</f>
        <v>-3.3978119869999999</v>
      </c>
      <c r="AL231">
        <f>INDEX(Coordinates!$C$2:$C$197,MATCH(H231,Coordinates!$J$2:$J$197,0))</f>
        <v>34.836968980000002</v>
      </c>
      <c r="AM231" t="str">
        <f>IF(ISNUMBER(SEARCH("C", 'WetLitterbags placem_collection'!$W12)),"YES","NO")</f>
        <v>NO</v>
      </c>
      <c r="AN231" t="str">
        <f>IF(ISNUMBER(SEARCH("H", 'WetLitterbags placem_collection'!$W12)),"YES","NO")</f>
        <v>NO</v>
      </c>
      <c r="AO231" t="str">
        <f>IF(ISNUMBER(SEARCH("R", 'WetLitterbags placem_collection'!$W12)),"YES","NO")</f>
        <v>NO</v>
      </c>
    </row>
    <row r="232" spans="1:41" ht="15" customHeight="1">
      <c r="A232" s="255" t="s">
        <v>2454</v>
      </c>
      <c r="B232" s="260">
        <f>'Dry_Litterbag Placem_Collection'!A13</f>
        <v>11</v>
      </c>
      <c r="C232" s="260" t="str">
        <f>'Dry_Litterbag Placem_Collection'!B13</f>
        <v>Makao</v>
      </c>
      <c r="D232" s="260" t="s">
        <v>2643</v>
      </c>
      <c r="E232" s="260" t="s">
        <v>2644</v>
      </c>
      <c r="F232" s="260">
        <v>2</v>
      </c>
      <c r="G232" s="260" t="s">
        <v>3802</v>
      </c>
      <c r="H232" s="261" t="str">
        <f>'Dry_Litterbag Placem_Collection'!C13</f>
        <v>Dry_Ag2_T3</v>
      </c>
      <c r="I232" s="262" t="s">
        <v>2525</v>
      </c>
      <c r="J232" s="269" t="s">
        <v>298</v>
      </c>
      <c r="K232" s="221" t="str">
        <f>'WetLitterbags placem_collection'!M13</f>
        <v>R446</v>
      </c>
      <c r="L232" s="223">
        <f>IFERROR(INDEX('Green_rooibos initial weight'!$C$5:$C$2000,MATCH(K232, 'Green_rooibos initial weight'!$A$5:$A$2000,0)),"")</f>
        <v>2.2679999999999998</v>
      </c>
      <c r="M232" s="223">
        <f>IFERROR(L232-(TBIcalc!$H$9+TBIcalc!$H$10),"")</f>
        <v>2.0181999999999998</v>
      </c>
      <c r="N232" s="385">
        <f>AVERAGE(Ashed_controlls!$K$2:$K$11)</f>
        <v>5.5147656768714146</v>
      </c>
      <c r="O232" s="223">
        <f t="shared" si="16"/>
        <v>1.9069009991093808</v>
      </c>
      <c r="P232" s="223">
        <f>IFERROR(INDEX('Both teabags AfterWet'!$C$3:$C$840,MATCH(K232,'Both teabags AfterWet'!$A$3:$A$840,0)),"")</f>
        <v>1.4224000000000001</v>
      </c>
      <c r="Q232" s="223">
        <f>IFERROR(IF(P232&gt;0,P232-(TBIcalc!$H$9),""),"")</f>
        <v>1.2718</v>
      </c>
      <c r="R232" s="223">
        <f>IFERROR(INDEX('Ashed teabags wet'!$K$2:$K$2000,MATCH(K232,'Ashed teabags wet'!$A$2:$A$2000,0)),"")</f>
        <v>5.1775147928992347</v>
      </c>
      <c r="S232" s="223">
        <f t="shared" si="17"/>
        <v>1.2059523668639076</v>
      </c>
      <c r="T232" s="224">
        <f>'WetLitterbags placem_collection'!E13</f>
        <v>42766</v>
      </c>
      <c r="U232" s="224">
        <f>IF('WetLitterbags placem_collection'!G13="","",'WetLitterbags placem_collection'!G13)</f>
        <v>42818</v>
      </c>
      <c r="V232" s="225">
        <f t="shared" si="15"/>
        <v>52</v>
      </c>
      <c r="W232" s="223">
        <f t="shared" si="18"/>
        <v>0.74639999999999973</v>
      </c>
      <c r="X232" s="223">
        <f t="shared" si="19"/>
        <v>0.70094863224547321</v>
      </c>
      <c r="Y232">
        <f>IFERROR(INDEX(Rainfall_Wet!$O$2:$O$217,MATCH(B232, Rainfall_Wet!$A$2:$A$217,0)),"")</f>
        <v>194.43839254400001</v>
      </c>
      <c r="Z232" s="228">
        <v>21.13063730679653</v>
      </c>
      <c r="AA232" s="228">
        <v>3.0912555579081076</v>
      </c>
      <c r="AB232" s="228">
        <v>75.778107135295357</v>
      </c>
      <c r="AC232" s="229" t="s">
        <v>2654</v>
      </c>
      <c r="AD232" s="228">
        <v>2.4613109906357802</v>
      </c>
      <c r="AE232">
        <f>IF('WetLitterbags placem_collection'!AB13="","",'WetLitterbags placem_collection'!AB13)</f>
        <v>11.4</v>
      </c>
      <c r="AF232">
        <f>IF('WetLitterbags placem_collection'!Z13="","",'WetLitterbags placem_collection'!Z13)</f>
        <v>24.4</v>
      </c>
      <c r="AG232" s="243" t="str">
        <f>IF('WetLitterbags placem_collection'!AA13="","",'WetLitterbags placem_collection'!AA13)</f>
        <v>M</v>
      </c>
      <c r="AH232">
        <f>IF('WetLitterbags placem_collection'!AC13="","",'WetLitterbags placem_collection'!AC13)</f>
        <v>0</v>
      </c>
      <c r="AI232" s="237">
        <f>AVERAGE('WetLitterbags placem_collection'!S13,'WetLitterbags placem_collection'!U13)</f>
        <v>21.1</v>
      </c>
      <c r="AJ232">
        <f>AVERAGE('WetLitterbags placem_collection'!R13,'WetLitterbags placem_collection'!T13)</f>
        <v>24.05</v>
      </c>
      <c r="AK232">
        <f>INDEX(Coordinates!$B$2:$B$197,MATCH(H232,Coordinates!$J$2:$J$197,0))</f>
        <v>-3.3977929599999999</v>
      </c>
      <c r="AL232">
        <f>INDEX(Coordinates!$C$2:$C$197,MATCH(H232,Coordinates!$J$2:$J$197,0))</f>
        <v>34.837102999999999</v>
      </c>
      <c r="AM232" t="str">
        <f>IF(ISNUMBER(SEARCH("C", 'WetLitterbags placem_collection'!$W13)),"YES","NO")</f>
        <v>NO</v>
      </c>
      <c r="AN232" t="str">
        <f>IF(ISNUMBER(SEARCH("H", 'WetLitterbags placem_collection'!$W13)),"YES","NO")</f>
        <v>NO</v>
      </c>
      <c r="AO232" t="str">
        <f>IF(ISNUMBER(SEARCH("R", 'WetLitterbags placem_collection'!$W13)),"YES","NO")</f>
        <v>NO</v>
      </c>
    </row>
    <row r="233" spans="1:41" ht="15" customHeight="1">
      <c r="A233" s="255" t="s">
        <v>2454</v>
      </c>
      <c r="B233" s="260">
        <f>'Dry_Litterbag Placem_Collection'!A14</f>
        <v>12</v>
      </c>
      <c r="C233" s="260" t="str">
        <f>'Dry_Litterbag Placem_Collection'!B14</f>
        <v>Makao</v>
      </c>
      <c r="D233" s="260" t="s">
        <v>2643</v>
      </c>
      <c r="E233" s="260" t="s">
        <v>2644</v>
      </c>
      <c r="F233" s="260">
        <v>2</v>
      </c>
      <c r="G233" s="260" t="s">
        <v>3802</v>
      </c>
      <c r="H233" s="261" t="str">
        <f>'Dry_Litterbag Placem_Collection'!C14</f>
        <v>Dry_Ag2_T4</v>
      </c>
      <c r="I233" s="262" t="s">
        <v>2525</v>
      </c>
      <c r="J233" s="269" t="s">
        <v>298</v>
      </c>
      <c r="K233" s="221" t="str">
        <f>'WetLitterbags placem_collection'!M14</f>
        <v>R409</v>
      </c>
      <c r="L233" s="223">
        <f>IFERROR(INDEX('Green_rooibos initial weight'!$C$5:$C$2000,MATCH(K233, 'Green_rooibos initial weight'!$A$5:$A$2000,0)),"")</f>
        <v>2.2000000000000002</v>
      </c>
      <c r="M233" s="223">
        <f>IFERROR(L233-(TBIcalc!$H$9+TBIcalc!$H$10),"")</f>
        <v>1.9502000000000002</v>
      </c>
      <c r="N233" s="385">
        <f>AVERAGE(Ashed_controlls!$K$2:$K$11)</f>
        <v>5.5147656768714146</v>
      </c>
      <c r="O233" s="223">
        <f t="shared" si="16"/>
        <v>1.8426510397696538</v>
      </c>
      <c r="P233" s="223" t="str">
        <f>IFERROR(INDEX('Both teabags AfterWet'!$C$3:$C$840,MATCH(K233,'Both teabags AfterWet'!$A$3:$A$840,0)),"")</f>
        <v/>
      </c>
      <c r="Q233" s="223" t="str">
        <f>IFERROR(IF(P233&gt;0,P233-(TBIcalc!$H$9),""),"")</f>
        <v/>
      </c>
      <c r="R233" s="223" t="str">
        <f>IFERROR(INDEX('Ashed teabags wet'!$K$2:$K$2000,MATCH(K233,'Ashed teabags wet'!$A$2:$A$2000,0)),"")</f>
        <v/>
      </c>
      <c r="S233" s="223" t="str">
        <f t="shared" si="17"/>
        <v/>
      </c>
      <c r="T233" s="224">
        <f>'WetLitterbags placem_collection'!E14</f>
        <v>42766</v>
      </c>
      <c r="U233" s="224">
        <f>IF('WetLitterbags placem_collection'!G14="","",'WetLitterbags placem_collection'!G14)</f>
        <v>42818</v>
      </c>
      <c r="V233" s="225">
        <f t="shared" si="15"/>
        <v>52</v>
      </c>
      <c r="W233" s="223" t="str">
        <f t="shared" si="18"/>
        <v/>
      </c>
      <c r="X233" s="223" t="str">
        <f t="shared" si="19"/>
        <v/>
      </c>
      <c r="Y233" t="str">
        <f>IFERROR(INDEX(Rainfall_Wet!$O$2:$O$217,MATCH(B233, Rainfall_Wet!$A$2:$A$217,0)),"")</f>
        <v/>
      </c>
      <c r="Z233" s="228">
        <v>21.13063730679653</v>
      </c>
      <c r="AA233" s="228">
        <v>3.0912555579081076</v>
      </c>
      <c r="AB233" s="228">
        <v>75.778107135295357</v>
      </c>
      <c r="AC233" s="229" t="s">
        <v>2654</v>
      </c>
      <c r="AD233" s="228">
        <v>3.4613109906357802</v>
      </c>
      <c r="AE233" t="str">
        <f>IF('WetLitterbags placem_collection'!AB14="","",'WetLitterbags placem_collection'!AB14)</f>
        <v/>
      </c>
      <c r="AF233" t="str">
        <f>IF('WetLitterbags placem_collection'!Z14="","",'WetLitterbags placem_collection'!Z14)</f>
        <v/>
      </c>
      <c r="AG233" s="243" t="str">
        <f>IF('WetLitterbags placem_collection'!AA14="","",'WetLitterbags placem_collection'!AA14)</f>
        <v/>
      </c>
      <c r="AH233" t="str">
        <f>IF('WetLitterbags placem_collection'!AC14="","",'WetLitterbags placem_collection'!AC14)</f>
        <v/>
      </c>
      <c r="AI233" s="237">
        <f>AVERAGE('WetLitterbags placem_collection'!S14,'WetLitterbags placem_collection'!U14)</f>
        <v>25.8</v>
      </c>
      <c r="AJ233">
        <f>AVERAGE('WetLitterbags placem_collection'!R14,'WetLitterbags placem_collection'!T14)</f>
        <v>21.7</v>
      </c>
      <c r="AK233">
        <f>INDEX(Coordinates!$B$2:$B$197,MATCH(H233,Coordinates!$J$2:$J$197,0))</f>
        <v>-3.3979050260000001</v>
      </c>
      <c r="AL233">
        <f>INDEX(Coordinates!$C$2:$C$197,MATCH(H233,Coordinates!$J$2:$J$197,0))</f>
        <v>34.837123030000001</v>
      </c>
      <c r="AM233" t="str">
        <f>IF(ISNUMBER(SEARCH("C", 'WetLitterbags placem_collection'!$W14)),"YES","NO")</f>
        <v>NO</v>
      </c>
      <c r="AN233" t="str">
        <f>IF(ISNUMBER(SEARCH("H", 'WetLitterbags placem_collection'!$W14)),"YES","NO")</f>
        <v>NO</v>
      </c>
      <c r="AO233" t="str">
        <f>IF(ISNUMBER(SEARCH("R", 'WetLitterbags placem_collection'!$W14)),"YES","NO")</f>
        <v>NO</v>
      </c>
    </row>
    <row r="234" spans="1:41" ht="15" customHeight="1">
      <c r="A234" s="255" t="s">
        <v>2454</v>
      </c>
      <c r="B234" s="260">
        <f>'Dry_Litterbag Placem_Collection'!A15</f>
        <v>13</v>
      </c>
      <c r="C234" s="260" t="str">
        <f>'Dry_Litterbag Placem_Collection'!B15</f>
        <v>Makao</v>
      </c>
      <c r="D234" s="260" t="s">
        <v>2643</v>
      </c>
      <c r="E234" s="260" t="s">
        <v>2644</v>
      </c>
      <c r="F234" s="260">
        <v>2</v>
      </c>
      <c r="G234" s="260" t="s">
        <v>3802</v>
      </c>
      <c r="H234" s="261" t="str">
        <f>'Dry_Litterbag Placem_Collection'!C15</f>
        <v>Dry_Ag2_T5</v>
      </c>
      <c r="I234" s="262" t="s">
        <v>2525</v>
      </c>
      <c r="J234" s="269" t="s">
        <v>298</v>
      </c>
      <c r="K234" s="221" t="str">
        <f>'WetLitterbags placem_collection'!M15</f>
        <v>R450</v>
      </c>
      <c r="L234" s="223">
        <f>IFERROR(INDEX('Green_rooibos initial weight'!$C$5:$C$2000,MATCH(K234, 'Green_rooibos initial weight'!$A$5:$A$2000,0)),"")</f>
        <v>2.2250000000000001</v>
      </c>
      <c r="M234" s="223">
        <f>IFERROR(L234-(TBIcalc!$H$9+TBIcalc!$H$10),"")</f>
        <v>1.9752000000000001</v>
      </c>
      <c r="N234" s="385">
        <f>AVERAGE(Ashed_controlls!$K$2:$K$11)</f>
        <v>5.5147656768714146</v>
      </c>
      <c r="O234" s="223">
        <f t="shared" si="16"/>
        <v>1.866272348350436</v>
      </c>
      <c r="P234" s="223">
        <f>IFERROR(INDEX('Both teabags AfterWet'!$C$3:$C$840,MATCH(K234,'Both teabags AfterWet'!$A$3:$A$840,0)),"")</f>
        <v>0.91920000000000002</v>
      </c>
      <c r="Q234" s="223">
        <f>IFERROR(IF(P234&gt;0,P234-(TBIcalc!$H$9),""),"")</f>
        <v>0.76859999999999995</v>
      </c>
      <c r="R234" s="223">
        <f>IFERROR(INDEX('Ashed teabags wet'!$K$2:$K$2000,MATCH(K234,'Ashed teabags wet'!$A$2:$A$2000,0)),"")</f>
        <v>41.214534594325485</v>
      </c>
      <c r="S234" s="223">
        <f t="shared" si="17"/>
        <v>0.45182508710801428</v>
      </c>
      <c r="T234" s="224">
        <f>'WetLitterbags placem_collection'!E15</f>
        <v>42766</v>
      </c>
      <c r="U234" s="224">
        <f>IF('WetLitterbags placem_collection'!G15="","",'WetLitterbags placem_collection'!G15)</f>
        <v>42818</v>
      </c>
      <c r="V234" s="225">
        <f t="shared" si="15"/>
        <v>52</v>
      </c>
      <c r="W234" s="223">
        <f t="shared" si="18"/>
        <v>1.2066000000000001</v>
      </c>
      <c r="X234" s="223">
        <f t="shared" si="19"/>
        <v>1.4144472612424217</v>
      </c>
      <c r="Y234">
        <f>IFERROR(INDEX(Rainfall_Wet!$O$2:$O$217,MATCH(B234, Rainfall_Wet!$A$2:$A$217,0)),"")</f>
        <v>194.43839254400001</v>
      </c>
      <c r="Z234" s="228">
        <v>21.13063730679653</v>
      </c>
      <c r="AA234" s="228">
        <v>3.0912555579081076</v>
      </c>
      <c r="AB234" s="228">
        <v>75.778107135295357</v>
      </c>
      <c r="AC234" s="229" t="s">
        <v>2654</v>
      </c>
      <c r="AD234" s="228">
        <v>4.4613109906357797</v>
      </c>
      <c r="AE234">
        <f>IF('WetLitterbags placem_collection'!AB15="","",'WetLitterbags placem_collection'!AB15)</f>
        <v>11.4</v>
      </c>
      <c r="AF234">
        <f>IF('WetLitterbags placem_collection'!Z15="","",'WetLitterbags placem_collection'!Z15)</f>
        <v>31</v>
      </c>
      <c r="AG234" s="243" t="str">
        <f>IF('WetLitterbags placem_collection'!AA15="","",'WetLitterbags placem_collection'!AA15)</f>
        <v>M</v>
      </c>
      <c r="AH234">
        <f>IF('WetLitterbags placem_collection'!AC15="","",'WetLitterbags placem_collection'!AC15)</f>
        <v>0</v>
      </c>
      <c r="AI234" s="237">
        <f>AVERAGE('WetLitterbags placem_collection'!S15,'WetLitterbags placem_collection'!U15)</f>
        <v>20.8</v>
      </c>
      <c r="AJ234">
        <f>AVERAGE('WetLitterbags placem_collection'!R15,'WetLitterbags placem_collection'!T15)</f>
        <v>23.4</v>
      </c>
      <c r="AK234">
        <f>INDEX(Coordinates!$B$2:$B$197,MATCH(H234,Coordinates!$J$2:$J$197,0))</f>
        <v>-3.3979040199999999</v>
      </c>
      <c r="AL234">
        <f>INDEX(Coordinates!$C$2:$C$197,MATCH(H234,Coordinates!$J$2:$J$197,0))</f>
        <v>34.837027980000002</v>
      </c>
      <c r="AM234" t="str">
        <f>IF(ISNUMBER(SEARCH("C", 'WetLitterbags placem_collection'!$W15)),"YES","NO")</f>
        <v>NO</v>
      </c>
      <c r="AN234" t="str">
        <f>IF(ISNUMBER(SEARCH("H", 'WetLitterbags placem_collection'!$W15)),"YES","NO")</f>
        <v>YES</v>
      </c>
      <c r="AO234" t="str">
        <f>IF(ISNUMBER(SEARCH("R", 'WetLitterbags placem_collection'!$W15)),"YES","NO")</f>
        <v>YES</v>
      </c>
    </row>
    <row r="235" spans="1:41" ht="15" customHeight="1">
      <c r="A235" s="255" t="s">
        <v>2454</v>
      </c>
      <c r="B235" s="260">
        <f>'Dry_Litterbag Placem_Collection'!A16</f>
        <v>14</v>
      </c>
      <c r="C235" s="260" t="str">
        <f>'Dry_Litterbag Placem_Collection'!B16</f>
        <v>Makao</v>
      </c>
      <c r="D235" s="260" t="s">
        <v>2643</v>
      </c>
      <c r="E235" s="260" t="s">
        <v>2644</v>
      </c>
      <c r="F235" s="260">
        <v>2</v>
      </c>
      <c r="G235" s="260" t="s">
        <v>3802</v>
      </c>
      <c r="H235" s="261" t="str">
        <f>'Dry_Litterbag Placem_Collection'!C16</f>
        <v>Dry_Ag2_T6</v>
      </c>
      <c r="I235" s="262" t="s">
        <v>2525</v>
      </c>
      <c r="J235" s="269" t="s">
        <v>298</v>
      </c>
      <c r="K235" s="221" t="str">
        <f>'WetLitterbags placem_collection'!M16</f>
        <v>R382</v>
      </c>
      <c r="L235" s="223">
        <f>IFERROR(INDEX('Green_rooibos initial weight'!$C$5:$C$2000,MATCH(K235, 'Green_rooibos initial weight'!$A$5:$A$2000,0)),"")</f>
        <v>2.2210000000000001</v>
      </c>
      <c r="M235" s="223">
        <f>IFERROR(L235-(TBIcalc!$H$9+TBIcalc!$H$10),"")</f>
        <v>1.9712000000000001</v>
      </c>
      <c r="N235" s="385">
        <f>AVERAGE(Ashed_controlls!$K$2:$K$11)</f>
        <v>5.5147656768714146</v>
      </c>
      <c r="O235" s="223">
        <f t="shared" si="16"/>
        <v>1.8624929389775107</v>
      </c>
      <c r="P235" s="223">
        <f>IFERROR(INDEX('Both teabags AfterWet'!$C$3:$C$840,MATCH(K235,'Both teabags AfterWet'!$A$3:$A$840,0)),"")</f>
        <v>1.794</v>
      </c>
      <c r="Q235" s="223">
        <f>IFERROR(IF(P235&gt;0,P235-(TBIcalc!$H$9),""),"")</f>
        <v>1.6434</v>
      </c>
      <c r="R235" s="223">
        <f>IFERROR(INDEX('Ashed teabags wet'!$K$2:$K$2000,MATCH(K235,'Ashed teabags wet'!$A$2:$A$2000,0)),"")</f>
        <v>87.890437289764591</v>
      </c>
      <c r="S235" s="223">
        <f t="shared" si="17"/>
        <v>0.1990085535800088</v>
      </c>
      <c r="T235" s="224">
        <f>'WetLitterbags placem_collection'!E16</f>
        <v>42766</v>
      </c>
      <c r="U235" s="224">
        <f>IF('WetLitterbags placem_collection'!G16="","",'WetLitterbags placem_collection'!G16)</f>
        <v>42818</v>
      </c>
      <c r="V235" s="225">
        <f t="shared" si="15"/>
        <v>52</v>
      </c>
      <c r="W235" s="223">
        <f t="shared" si="18"/>
        <v>0.32780000000000009</v>
      </c>
      <c r="X235" s="223">
        <f t="shared" si="19"/>
        <v>1.6634843853975019</v>
      </c>
      <c r="Y235">
        <f>IFERROR(INDEX(Rainfall_Wet!$O$2:$O$217,MATCH(B235, Rainfall_Wet!$A$2:$A$217,0)),"")</f>
        <v>194.43839254400001</v>
      </c>
      <c r="Z235" s="228">
        <v>21.13063730679653</v>
      </c>
      <c r="AA235" s="228">
        <v>3.0912555579081076</v>
      </c>
      <c r="AB235" s="228">
        <v>75.778107135295357</v>
      </c>
      <c r="AC235" s="229" t="s">
        <v>2654</v>
      </c>
      <c r="AD235" s="228">
        <v>5.4613109906357797</v>
      </c>
      <c r="AE235">
        <f>IF('WetLitterbags placem_collection'!AB16="","",'WetLitterbags placem_collection'!AB16)</f>
        <v>28.4</v>
      </c>
      <c r="AF235">
        <f>IF('WetLitterbags placem_collection'!Z16="","",'WetLitterbags placem_collection'!Z16)</f>
        <v>42.4</v>
      </c>
      <c r="AG235" s="243" t="str">
        <f>IF('WetLitterbags placem_collection'!AA16="","",'WetLitterbags placem_collection'!AA16)</f>
        <v>M</v>
      </c>
      <c r="AH235">
        <f>IF('WetLitterbags placem_collection'!AC16="","",'WetLitterbags placem_collection'!AC16)</f>
        <v>0</v>
      </c>
      <c r="AI235" s="237">
        <f>AVERAGE('WetLitterbags placem_collection'!S16,'WetLitterbags placem_collection'!U16)</f>
        <v>15.7</v>
      </c>
      <c r="AJ235">
        <f>AVERAGE('WetLitterbags placem_collection'!R16,'WetLitterbags placem_collection'!T16)</f>
        <v>24.1</v>
      </c>
      <c r="AK235">
        <f>INDEX(Coordinates!$B$2:$B$197,MATCH(H235,Coordinates!$J$2:$J$197,0))</f>
        <v>-3.397854986</v>
      </c>
      <c r="AL235">
        <f>INDEX(Coordinates!$C$2:$C$197,MATCH(H235,Coordinates!$J$2:$J$197,0))</f>
        <v>34.836874010000002</v>
      </c>
      <c r="AM235" t="str">
        <f>IF(ISNUMBER(SEARCH("C", 'WetLitterbags placem_collection'!$W16)),"YES","NO")</f>
        <v>NO</v>
      </c>
      <c r="AN235" t="str">
        <f>IF(ISNUMBER(SEARCH("H", 'WetLitterbags placem_collection'!$W16)),"YES","NO")</f>
        <v>YES</v>
      </c>
      <c r="AO235" t="str">
        <f>IF(ISNUMBER(SEARCH("R", 'WetLitterbags placem_collection'!$W16)),"YES","NO")</f>
        <v>YES</v>
      </c>
    </row>
    <row r="236" spans="1:41" ht="15" customHeight="1">
      <c r="A236" s="255" t="s">
        <v>2454</v>
      </c>
      <c r="B236" s="260">
        <f>'Dry_Litterbag Placem_Collection'!A17</f>
        <v>15</v>
      </c>
      <c r="C236" s="260" t="str">
        <f>'Dry_Litterbag Placem_Collection'!B17</f>
        <v>Makao</v>
      </c>
      <c r="D236" s="260" t="s">
        <v>2643</v>
      </c>
      <c r="E236" s="260" t="s">
        <v>2644</v>
      </c>
      <c r="F236" s="260">
        <v>2</v>
      </c>
      <c r="G236" s="260" t="s">
        <v>3802</v>
      </c>
      <c r="H236" s="261" t="str">
        <f>'Dry_Litterbag Placem_Collection'!C17</f>
        <v>Dry_Ag2_T7</v>
      </c>
      <c r="I236" s="262" t="s">
        <v>2525</v>
      </c>
      <c r="J236" s="269" t="s">
        <v>298</v>
      </c>
      <c r="K236" s="221" t="str">
        <f>'WetLitterbags placem_collection'!M17</f>
        <v>R415</v>
      </c>
      <c r="L236" s="223">
        <f>IFERROR(INDEX('Green_rooibos initial weight'!$C$5:$C$2000,MATCH(K236, 'Green_rooibos initial weight'!$A$5:$A$2000,0)),"")</f>
        <v>2.2160000000000002</v>
      </c>
      <c r="M236" s="223">
        <f>IFERROR(L236-(TBIcalc!$H$9+TBIcalc!$H$10),"")</f>
        <v>1.9662000000000002</v>
      </c>
      <c r="N236" s="385">
        <f>AVERAGE(Ashed_controlls!$K$2:$K$11)</f>
        <v>5.5147656768714146</v>
      </c>
      <c r="O236" s="223">
        <f t="shared" si="16"/>
        <v>1.8577686772613544</v>
      </c>
      <c r="P236" s="223">
        <f>IFERROR(INDEX('Both teabags AfterWet'!$C$3:$C$840,MATCH(K236,'Both teabags AfterWet'!$A$3:$A$840,0)),"")</f>
        <v>2.96</v>
      </c>
      <c r="Q236" s="223">
        <f>IFERROR(IF(P236&gt;0,P236-(TBIcalc!$H$9),""),"")</f>
        <v>2.8094000000000001</v>
      </c>
      <c r="R236" s="223">
        <f>IFERROR(INDEX('Ashed teabags wet'!$K$2:$K$2000,MATCH(K236,'Ashed teabags wet'!$A$2:$A$2000,0)),"")</f>
        <v>78.641732283464947</v>
      </c>
      <c r="S236" s="223">
        <f t="shared" si="17"/>
        <v>0.60003917322833589</v>
      </c>
      <c r="T236" s="224">
        <f>'WetLitterbags placem_collection'!E17</f>
        <v>42766</v>
      </c>
      <c r="U236" s="224">
        <f>IF('WetLitterbags placem_collection'!G17="","",'WetLitterbags placem_collection'!G17)</f>
        <v>42818</v>
      </c>
      <c r="V236" s="225">
        <f t="shared" si="15"/>
        <v>52</v>
      </c>
      <c r="W236" s="223">
        <f t="shared" si="18"/>
        <v>-0.84319999999999995</v>
      </c>
      <c r="X236" s="223">
        <f t="shared" si="19"/>
        <v>1.2577295040330185</v>
      </c>
      <c r="Y236">
        <f>IFERROR(INDEX(Rainfall_Wet!$O$2:$O$217,MATCH(B236, Rainfall_Wet!$A$2:$A$217,0)),"")</f>
        <v>194.43839254400001</v>
      </c>
      <c r="Z236" s="228">
        <v>21.13063730679653</v>
      </c>
      <c r="AA236" s="228">
        <v>3.0912555579081076</v>
      </c>
      <c r="AB236" s="228">
        <v>75.778107135295357</v>
      </c>
      <c r="AC236" s="229" t="s">
        <v>2654</v>
      </c>
      <c r="AD236" s="228">
        <v>6.4613109906357797</v>
      </c>
      <c r="AE236">
        <f>IF('WetLitterbags placem_collection'!AB17="","",'WetLitterbags placem_collection'!AB17)</f>
        <v>15.8</v>
      </c>
      <c r="AF236">
        <f>IF('WetLitterbags placem_collection'!Z17="","",'WetLitterbags placem_collection'!Z17)</f>
        <v>30.4</v>
      </c>
      <c r="AG236" s="243" t="str">
        <f>IF('WetLitterbags placem_collection'!AA17="","",'WetLitterbags placem_collection'!AA17)</f>
        <v>M</v>
      </c>
      <c r="AH236">
        <f>IF('WetLitterbags placem_collection'!AC17="","",'WetLitterbags placem_collection'!AC17)</f>
        <v>0</v>
      </c>
      <c r="AI236" s="237">
        <f>AVERAGE('WetLitterbags placem_collection'!S17,'WetLitterbags placem_collection'!U17)</f>
        <v>23.9</v>
      </c>
      <c r="AJ236">
        <f>AVERAGE('WetLitterbags placem_collection'!R17,'WetLitterbags placem_collection'!T17)</f>
        <v>23.95</v>
      </c>
      <c r="AK236">
        <f>INDEX(Coordinates!$B$2:$B$197,MATCH(H236,Coordinates!$J$2:$J$197,0))</f>
        <v>-3.3978060349999999</v>
      </c>
      <c r="AL236">
        <f>INDEX(Coordinates!$C$2:$C$197,MATCH(H236,Coordinates!$J$2:$J$197,0))</f>
        <v>34.837023960000003</v>
      </c>
      <c r="AM236" t="str">
        <f>IF(ISNUMBER(SEARCH("C", 'WetLitterbags placem_collection'!$W17)),"YES","NO")</f>
        <v>YES</v>
      </c>
      <c r="AN236" t="str">
        <f>IF(ISNUMBER(SEARCH("H", 'WetLitterbags placem_collection'!$W17)),"YES","NO")</f>
        <v>YES</v>
      </c>
      <c r="AO236" t="str">
        <f>IF(ISNUMBER(SEARCH("R", 'WetLitterbags placem_collection'!$W17)),"YES","NO")</f>
        <v>YES</v>
      </c>
    </row>
    <row r="237" spans="1:41" ht="15" customHeight="1">
      <c r="A237" s="255" t="s">
        <v>2454</v>
      </c>
      <c r="B237" s="260">
        <f>'Dry_Litterbag Placem_Collection'!A18</f>
        <v>16</v>
      </c>
      <c r="C237" s="260" t="str">
        <f>'Dry_Litterbag Placem_Collection'!B18</f>
        <v>Makao</v>
      </c>
      <c r="D237" s="260" t="s">
        <v>2643</v>
      </c>
      <c r="E237" s="260" t="s">
        <v>2644</v>
      </c>
      <c r="F237" s="260">
        <v>2</v>
      </c>
      <c r="G237" s="260" t="s">
        <v>3802</v>
      </c>
      <c r="H237" s="261" t="str">
        <f>'Dry_Litterbag Placem_Collection'!C18</f>
        <v>Dry_Ag2_T8</v>
      </c>
      <c r="I237" s="262" t="s">
        <v>2525</v>
      </c>
      <c r="J237" s="269" t="s">
        <v>298</v>
      </c>
      <c r="K237" s="221" t="str">
        <f>'WetLitterbags placem_collection'!M18</f>
        <v>R519</v>
      </c>
      <c r="L237" s="223">
        <f>IFERROR(INDEX('Green_rooibos initial weight'!$C$5:$C$2000,MATCH(K237, 'Green_rooibos initial weight'!$A$5:$A$2000,0)),"")</f>
        <v>2.21</v>
      </c>
      <c r="M237" s="223">
        <f>IFERROR(L237-(TBIcalc!$H$9+TBIcalc!$H$10),"")</f>
        <v>1.9601999999999999</v>
      </c>
      <c r="N237" s="385">
        <f>AVERAGE(Ashed_controlls!$K$2:$K$11)</f>
        <v>5.5147656768714146</v>
      </c>
      <c r="O237" s="223">
        <f t="shared" si="16"/>
        <v>1.8520995632019666</v>
      </c>
      <c r="P237" s="223">
        <f>IFERROR(INDEX('Both teabags AfterWet'!$C$3:$C$840,MATCH(K237,'Both teabags AfterWet'!$A$3:$A$840,0)),"")</f>
        <v>1.4281999999999999</v>
      </c>
      <c r="Q237" s="223">
        <f>IFERROR(IF(P237&gt;0,P237-(TBIcalc!$H$9),""),"")</f>
        <v>1.2775999999999998</v>
      </c>
      <c r="R237" s="223">
        <f>IFERROR(INDEX('Ashed teabags wet'!$K$2:$K$2000,MATCH(K237,'Ashed teabags wet'!$A$2:$A$2000,0)),"")</f>
        <v>5.8709364386224854</v>
      </c>
      <c r="S237" s="223">
        <f t="shared" si="17"/>
        <v>1.2025929160601589</v>
      </c>
      <c r="T237" s="224">
        <f>'WetLitterbags placem_collection'!E18</f>
        <v>42766</v>
      </c>
      <c r="U237" s="224">
        <f>IF('WetLitterbags placem_collection'!G18="","",'WetLitterbags placem_collection'!G18)</f>
        <v>42818</v>
      </c>
      <c r="V237" s="225">
        <f t="shared" si="15"/>
        <v>52</v>
      </c>
      <c r="W237" s="223">
        <f t="shared" si="18"/>
        <v>0.6826000000000001</v>
      </c>
      <c r="X237" s="223">
        <f t="shared" si="19"/>
        <v>0.64950664714180761</v>
      </c>
      <c r="Y237">
        <f>IFERROR(INDEX(Rainfall_Wet!$O$2:$O$217,MATCH(B237, Rainfall_Wet!$A$2:$A$217,0)),"")</f>
        <v>194.43839254400001</v>
      </c>
      <c r="Z237" s="228">
        <v>21.13063730679653</v>
      </c>
      <c r="AA237" s="228">
        <v>3.0912555579081076</v>
      </c>
      <c r="AB237" s="228">
        <v>75.778107135295357</v>
      </c>
      <c r="AC237" s="229" t="s">
        <v>2654</v>
      </c>
      <c r="AD237" s="228">
        <v>7.4613109906357797</v>
      </c>
      <c r="AE237">
        <f>IF('WetLitterbags placem_collection'!AB18="","",'WetLitterbags placem_collection'!AB18)</f>
        <v>8</v>
      </c>
      <c r="AF237">
        <f>IF('WetLitterbags placem_collection'!Z18="","",'WetLitterbags placem_collection'!Z18)</f>
        <v>12.4</v>
      </c>
      <c r="AG237" s="243" t="str">
        <f>IF('WetLitterbags placem_collection'!AA18="","",'WetLitterbags placem_collection'!AA18)</f>
        <v>M</v>
      </c>
      <c r="AH237">
        <f>IF('WetLitterbags placem_collection'!AC18="","",'WetLitterbags placem_collection'!AC18)</f>
        <v>0</v>
      </c>
      <c r="AI237" s="237">
        <f>AVERAGE('WetLitterbags placem_collection'!S18,'WetLitterbags placem_collection'!U18)</f>
        <v>17.5</v>
      </c>
      <c r="AJ237">
        <f>AVERAGE('WetLitterbags placem_collection'!R18,'WetLitterbags placem_collection'!T18)</f>
        <v>24.05</v>
      </c>
      <c r="AK237">
        <f>INDEX(Coordinates!$B$2:$B$197,MATCH(H237,Coordinates!$J$2:$J$197,0))</f>
        <v>-3.3977669760000002</v>
      </c>
      <c r="AL237">
        <f>INDEX(Coordinates!$C$2:$C$197,MATCH(H237,Coordinates!$J$2:$J$197,0))</f>
        <v>34.837181039999997</v>
      </c>
      <c r="AM237" t="str">
        <f>IF(ISNUMBER(SEARCH("C", 'WetLitterbags placem_collection'!$W18)),"YES","NO")</f>
        <v>NO</v>
      </c>
      <c r="AN237" t="str">
        <f>IF(ISNUMBER(SEARCH("H", 'WetLitterbags placem_collection'!$W18)),"YES","NO")</f>
        <v>YES</v>
      </c>
      <c r="AO237" t="str">
        <f>IF(ISNUMBER(SEARCH("R", 'WetLitterbags placem_collection'!$W18)),"YES","NO")</f>
        <v>YES</v>
      </c>
    </row>
    <row r="238" spans="1:41" ht="15" customHeight="1">
      <c r="A238" s="255" t="s">
        <v>2454</v>
      </c>
      <c r="B238" s="260">
        <f>'Dry_Litterbag Placem_Collection'!A19</f>
        <v>17</v>
      </c>
      <c r="C238" s="260" t="str">
        <f>'Dry_Litterbag Placem_Collection'!B19</f>
        <v>Makao</v>
      </c>
      <c r="D238" s="260" t="s">
        <v>2643</v>
      </c>
      <c r="E238" s="260" t="s">
        <v>2644</v>
      </c>
      <c r="F238" s="260">
        <v>3</v>
      </c>
      <c r="G238" s="260" t="s">
        <v>3803</v>
      </c>
      <c r="H238" s="261" t="str">
        <f>'Dry_Litterbag Placem_Collection'!C19</f>
        <v>Dry_Ag3_T1</v>
      </c>
      <c r="I238" s="262" t="s">
        <v>2525</v>
      </c>
      <c r="J238" s="269" t="s">
        <v>298</v>
      </c>
      <c r="K238" s="221" t="str">
        <f>'WetLitterbags placem_collection'!M19</f>
        <v>R542</v>
      </c>
      <c r="L238" s="223">
        <f>IFERROR(INDEX('Green_rooibos initial weight'!$C$5:$C$2000,MATCH(K238, 'Green_rooibos initial weight'!$A$5:$A$2000,0)),"")</f>
        <v>2.2010000000000001</v>
      </c>
      <c r="M238" s="223">
        <f>IFERROR(L238-(TBIcalc!$H$9+TBIcalc!$H$10),"")</f>
        <v>1.9512</v>
      </c>
      <c r="N238" s="385">
        <f>AVERAGE(Ashed_controlls!$K$2:$K$11)</f>
        <v>5.5147656768714146</v>
      </c>
      <c r="O238" s="223">
        <f t="shared" si="16"/>
        <v>1.843595892112885</v>
      </c>
      <c r="P238" s="223">
        <f>IFERROR(INDEX('Both teabags AfterWet'!$C$3:$C$840,MATCH(K238,'Both teabags AfterWet'!$A$3:$A$840,0)),"")</f>
        <v>1.6227</v>
      </c>
      <c r="Q238" s="223">
        <f>IFERROR(IF(P238&gt;0,P238-(TBIcalc!$H$9),""),"")</f>
        <v>1.4721</v>
      </c>
      <c r="R238" s="223">
        <f>IFERROR(INDEX('Ashed teabags wet'!$K$2:$K$2000,MATCH(K238,'Ashed teabags wet'!$A$2:$A$2000,0)),"")</f>
        <v>7.361376673040378</v>
      </c>
      <c r="S238" s="223">
        <f t="shared" si="17"/>
        <v>1.3637331739961727</v>
      </c>
      <c r="T238" s="224">
        <f>'WetLitterbags placem_collection'!E19</f>
        <v>42767</v>
      </c>
      <c r="U238" s="224">
        <f>IF('WetLitterbags placem_collection'!G19="","",'WetLitterbags placem_collection'!G19)</f>
        <v>42818</v>
      </c>
      <c r="V238" s="225">
        <f t="shared" si="15"/>
        <v>51</v>
      </c>
      <c r="W238" s="223">
        <f t="shared" si="18"/>
        <v>0.47910000000000008</v>
      </c>
      <c r="X238" s="223">
        <f t="shared" si="19"/>
        <v>0.47986271811671233</v>
      </c>
      <c r="Y238">
        <f>IFERROR(INDEX(Rainfall_Wet!$O$2:$O$217,MATCH(B238, Rainfall_Wet!$A$2:$A$217,0)),"")</f>
        <v>185.630065823</v>
      </c>
      <c r="Z238" s="228">
        <v>54.080969906906262</v>
      </c>
      <c r="AA238" s="228">
        <v>21.264484651351896</v>
      </c>
      <c r="AB238" s="228">
        <v>24.654545441741845</v>
      </c>
      <c r="AC238" s="229" t="s">
        <v>2657</v>
      </c>
      <c r="AD238" s="228">
        <v>1.8433218334154755</v>
      </c>
      <c r="AE238" t="str">
        <f>IF('WetLitterbags placem_collection'!AB19="","",'WetLitterbags placem_collection'!AB19)</f>
        <v/>
      </c>
      <c r="AF238" t="str">
        <f>IF('WetLitterbags placem_collection'!Z19="","",'WetLitterbags placem_collection'!Z19)</f>
        <v/>
      </c>
      <c r="AG238" s="243" t="str">
        <f>IF('WetLitterbags placem_collection'!AA19="","",'WetLitterbags placem_collection'!AA19)</f>
        <v/>
      </c>
      <c r="AH238" t="str">
        <f>IF('WetLitterbags placem_collection'!AC19="","",'WetLitterbags placem_collection'!AC19)</f>
        <v/>
      </c>
      <c r="AI238" s="237">
        <f>AVERAGE('WetLitterbags placem_collection'!S19,'WetLitterbags placem_collection'!U19)</f>
        <v>35.9</v>
      </c>
      <c r="AJ238">
        <f>AVERAGE('WetLitterbags placem_collection'!R19,'WetLitterbags placem_collection'!T19)</f>
        <v>21.35</v>
      </c>
      <c r="AK238">
        <f>INDEX(Coordinates!$B$2:$B$197,MATCH(H238,Coordinates!$J$2:$J$197,0))</f>
        <v>-3.3854090330000002</v>
      </c>
      <c r="AL238">
        <f>INDEX(Coordinates!$C$2:$C$197,MATCH(H238,Coordinates!$J$2:$J$197,0))</f>
        <v>34.818901029999999</v>
      </c>
      <c r="AM238" t="str">
        <f>IF(ISNUMBER(SEARCH("C", 'WetLitterbags placem_collection'!$W19)),"YES","NO")</f>
        <v>NO</v>
      </c>
      <c r="AN238" t="str">
        <f>IF(ISNUMBER(SEARCH("H", 'WetLitterbags placem_collection'!$W19)),"YES","NO")</f>
        <v>NO</v>
      </c>
      <c r="AO238" t="str">
        <f>IF(ISNUMBER(SEARCH("R", 'WetLitterbags placem_collection'!$W19)),"YES","NO")</f>
        <v>YES</v>
      </c>
    </row>
    <row r="239" spans="1:41" ht="15" customHeight="1">
      <c r="A239" s="255" t="s">
        <v>2454</v>
      </c>
      <c r="B239" s="260">
        <f>'Dry_Litterbag Placem_Collection'!A20</f>
        <v>18</v>
      </c>
      <c r="C239" s="260" t="str">
        <f>'Dry_Litterbag Placem_Collection'!B20</f>
        <v>Makao</v>
      </c>
      <c r="D239" s="260" t="s">
        <v>2643</v>
      </c>
      <c r="E239" s="260" t="s">
        <v>2644</v>
      </c>
      <c r="F239" s="260">
        <v>3</v>
      </c>
      <c r="G239" s="260" t="s">
        <v>3803</v>
      </c>
      <c r="H239" s="261" t="str">
        <f>'Dry_Litterbag Placem_Collection'!C20</f>
        <v>Dry_Ag3_T2</v>
      </c>
      <c r="I239" s="262" t="s">
        <v>2525</v>
      </c>
      <c r="J239" s="269" t="s">
        <v>298</v>
      </c>
      <c r="K239" s="221" t="str">
        <f>'WetLitterbags placem_collection'!M20</f>
        <v>R128</v>
      </c>
      <c r="L239" s="223">
        <f>IFERROR(INDEX('Green_rooibos initial weight'!$C$5:$C$2000,MATCH(K239, 'Green_rooibos initial weight'!$A$5:$A$2000,0)),"")</f>
        <v>2.2370000000000001</v>
      </c>
      <c r="M239" s="223">
        <f>IFERROR(L239-(TBIcalc!$H$9+TBIcalc!$H$10),"")</f>
        <v>1.9872000000000001</v>
      </c>
      <c r="N239" s="385">
        <f>AVERAGE(Ashed_controlls!$K$2:$K$11)</f>
        <v>5.5147656768714146</v>
      </c>
      <c r="O239" s="223">
        <f t="shared" si="16"/>
        <v>1.8776105764692113</v>
      </c>
      <c r="P239" s="223">
        <f>IFERROR(INDEX('Both teabags AfterWet'!$C$3:$C$840,MATCH(K239,'Both teabags AfterWet'!$A$3:$A$840,0)),"")</f>
        <v>1.79</v>
      </c>
      <c r="Q239" s="223">
        <f>IFERROR(IF(P239&gt;0,P239-(TBIcalc!$H$9),""),"")</f>
        <v>1.6394</v>
      </c>
      <c r="R239" s="223">
        <f>IFERROR(INDEX('Ashed teabags wet'!$K$2:$K$2000,MATCH(K239,'Ashed teabags wet'!$A$2:$A$2000,0)),"")</f>
        <v>6.4723320158097151</v>
      </c>
      <c r="S239" s="223">
        <f t="shared" si="17"/>
        <v>1.5332925889328155</v>
      </c>
      <c r="T239" s="224">
        <f>'WetLitterbags placem_collection'!E20</f>
        <v>42767</v>
      </c>
      <c r="U239" s="224">
        <f>IF('WetLitterbags placem_collection'!G20="","",'WetLitterbags placem_collection'!G20)</f>
        <v>42818</v>
      </c>
      <c r="V239" s="225">
        <f t="shared" si="15"/>
        <v>51</v>
      </c>
      <c r="W239" s="223">
        <f t="shared" si="18"/>
        <v>0.34780000000000011</v>
      </c>
      <c r="X239" s="223">
        <f t="shared" si="19"/>
        <v>0.34431798753639575</v>
      </c>
      <c r="Y239">
        <f>IFERROR(INDEX(Rainfall_Wet!$O$2:$O$217,MATCH(B239, Rainfall_Wet!$A$2:$A$217,0)),"")</f>
        <v>185.630065823</v>
      </c>
      <c r="Z239" s="228">
        <v>54.080969906906262</v>
      </c>
      <c r="AA239" s="228">
        <v>21.264484651351896</v>
      </c>
      <c r="AB239" s="228">
        <v>24.654545441741845</v>
      </c>
      <c r="AC239" s="229" t="s">
        <v>2657</v>
      </c>
      <c r="AD239" s="228">
        <v>2.8433218334154802</v>
      </c>
      <c r="AE239" t="str">
        <f>IF('WetLitterbags placem_collection'!AB20="","",'WetLitterbags placem_collection'!AB20)</f>
        <v/>
      </c>
      <c r="AF239" t="str">
        <f>IF('WetLitterbags placem_collection'!Z20="","",'WetLitterbags placem_collection'!Z20)</f>
        <v/>
      </c>
      <c r="AG239" s="243" t="str">
        <f>IF('WetLitterbags placem_collection'!AA20="","",'WetLitterbags placem_collection'!AA20)</f>
        <v/>
      </c>
      <c r="AH239" t="str">
        <f>IF('WetLitterbags placem_collection'!AC20="","",'WetLitterbags placem_collection'!AC20)</f>
        <v/>
      </c>
      <c r="AI239" s="237">
        <f>AVERAGE('WetLitterbags placem_collection'!S20,'WetLitterbags placem_collection'!U20)</f>
        <v>36.950000000000003</v>
      </c>
      <c r="AJ239">
        <f>AVERAGE('WetLitterbags placem_collection'!R20,'WetLitterbags placem_collection'!T20)</f>
        <v>21.35</v>
      </c>
      <c r="AK239">
        <f>INDEX(Coordinates!$B$2:$B$197,MATCH(H239,Coordinates!$J$2:$J$197,0))</f>
        <v>-3.385375002</v>
      </c>
      <c r="AL239">
        <f>INDEX(Coordinates!$C$2:$C$197,MATCH(H239,Coordinates!$J$2:$J$197,0))</f>
        <v>34.818939999999998</v>
      </c>
      <c r="AM239" t="str">
        <f>IF(ISNUMBER(SEARCH("C", 'WetLitterbags placem_collection'!$W20)),"YES","NO")</f>
        <v>NO</v>
      </c>
      <c r="AN239" t="str">
        <f>IF(ISNUMBER(SEARCH("H", 'WetLitterbags placem_collection'!$W20)),"YES","NO")</f>
        <v>NO</v>
      </c>
      <c r="AO239" t="str">
        <f>IF(ISNUMBER(SEARCH("R", 'WetLitterbags placem_collection'!$W20)),"YES","NO")</f>
        <v>NO</v>
      </c>
    </row>
    <row r="240" spans="1:41" ht="15" customHeight="1">
      <c r="A240" s="255" t="s">
        <v>2454</v>
      </c>
      <c r="B240" s="260">
        <f>'Dry_Litterbag Placem_Collection'!A21</f>
        <v>19</v>
      </c>
      <c r="C240" s="260" t="str">
        <f>'Dry_Litterbag Placem_Collection'!B21</f>
        <v>Makao</v>
      </c>
      <c r="D240" s="260" t="s">
        <v>2643</v>
      </c>
      <c r="E240" s="260" t="s">
        <v>2644</v>
      </c>
      <c r="F240" s="260">
        <v>3</v>
      </c>
      <c r="G240" s="260" t="s">
        <v>3803</v>
      </c>
      <c r="H240" s="261" t="str">
        <f>'Dry_Litterbag Placem_Collection'!C21</f>
        <v>Dry_Ag3_T3</v>
      </c>
      <c r="I240" s="262" t="s">
        <v>2525</v>
      </c>
      <c r="J240" s="269" t="s">
        <v>298</v>
      </c>
      <c r="K240" s="221" t="str">
        <f>'WetLitterbags placem_collection'!M21</f>
        <v>R82</v>
      </c>
      <c r="L240" s="223">
        <f>IFERROR(INDEX('Green_rooibos initial weight'!$C$5:$C$2000,MATCH(K240, 'Green_rooibos initial weight'!$A$5:$A$2000,0)),"")</f>
        <v>2.2490000000000001</v>
      </c>
      <c r="M240" s="223">
        <f>IFERROR(L240-(TBIcalc!$H$9+TBIcalc!$H$10),"")</f>
        <v>1.9992000000000001</v>
      </c>
      <c r="N240" s="385">
        <f>AVERAGE(Ashed_controlls!$K$2:$K$11)</f>
        <v>5.5147656768714146</v>
      </c>
      <c r="O240" s="223">
        <f t="shared" si="16"/>
        <v>1.8889488045879868</v>
      </c>
      <c r="P240" s="223">
        <f>IFERROR(INDEX('Both teabags AfterWet'!$C$3:$C$840,MATCH(K240,'Both teabags AfterWet'!$A$3:$A$840,0)),"")</f>
        <v>1.514</v>
      </c>
      <c r="Q240" s="223">
        <f>IFERROR(IF(P240&gt;0,P240-(TBIcalc!$H$9),""),"")</f>
        <v>1.3633999999999999</v>
      </c>
      <c r="R240" s="223">
        <f>IFERROR(INDEX('Ashed teabags wet'!$K$2:$K$2000,MATCH(K240,'Ashed teabags wet'!$A$2:$A$2000,0)),"")</f>
        <v>11.013215859030426</v>
      </c>
      <c r="S240" s="223">
        <f t="shared" si="17"/>
        <v>1.213245814977979</v>
      </c>
      <c r="T240" s="224">
        <f>'WetLitterbags placem_collection'!E21</f>
        <v>42767</v>
      </c>
      <c r="U240" s="224">
        <f>IF('WetLitterbags placem_collection'!G21="","",'WetLitterbags placem_collection'!G21)</f>
        <v>42818</v>
      </c>
      <c r="V240" s="225">
        <f t="shared" si="15"/>
        <v>51</v>
      </c>
      <c r="W240" s="223">
        <f t="shared" si="18"/>
        <v>0.63580000000000014</v>
      </c>
      <c r="X240" s="223">
        <f t="shared" si="19"/>
        <v>0.67570298961000774</v>
      </c>
      <c r="Y240">
        <f>IFERROR(INDEX(Rainfall_Wet!$O$2:$O$217,MATCH(B240, Rainfall_Wet!$A$2:$A$217,0)),"")</f>
        <v>185.630065823</v>
      </c>
      <c r="Z240" s="228">
        <v>54.080969906906262</v>
      </c>
      <c r="AA240" s="228">
        <v>21.264484651351896</v>
      </c>
      <c r="AB240" s="228">
        <v>24.654545441741845</v>
      </c>
      <c r="AC240" s="229" t="s">
        <v>2657</v>
      </c>
      <c r="AD240" s="228">
        <v>3.8433218334154802</v>
      </c>
      <c r="AE240" t="str">
        <f>IF('WetLitterbags placem_collection'!AB21="","",'WetLitterbags placem_collection'!AB21)</f>
        <v/>
      </c>
      <c r="AF240" t="str">
        <f>IF('WetLitterbags placem_collection'!Z21="","",'WetLitterbags placem_collection'!Z21)</f>
        <v/>
      </c>
      <c r="AG240" s="243" t="str">
        <f>IF('WetLitterbags placem_collection'!AA21="","",'WetLitterbags placem_collection'!AA21)</f>
        <v/>
      </c>
      <c r="AH240" t="str">
        <f>IF('WetLitterbags placem_collection'!AC21="","",'WetLitterbags placem_collection'!AC21)</f>
        <v/>
      </c>
      <c r="AI240" s="237">
        <f>AVERAGE('WetLitterbags placem_collection'!S21,'WetLitterbags placem_collection'!U21)</f>
        <v>39.299999999999997</v>
      </c>
      <c r="AJ240">
        <f>AVERAGE('WetLitterbags placem_collection'!R21,'WetLitterbags placem_collection'!T21)</f>
        <v>21.1</v>
      </c>
      <c r="AK240">
        <f>INDEX(Coordinates!$B$2:$B$197,MATCH(H240,Coordinates!$J$2:$J$197,0))</f>
        <v>-3.3853589930000001</v>
      </c>
      <c r="AL240">
        <f>INDEX(Coordinates!$C$2:$C$197,MATCH(H240,Coordinates!$J$2:$J$197,0))</f>
        <v>34.818991969999999</v>
      </c>
      <c r="AM240" t="str">
        <f>IF(ISNUMBER(SEARCH("C", 'WetLitterbags placem_collection'!$W21)),"YES","NO")</f>
        <v>NO</v>
      </c>
      <c r="AN240" t="str">
        <f>IF(ISNUMBER(SEARCH("H", 'WetLitterbags placem_collection'!$W21)),"YES","NO")</f>
        <v>NO</v>
      </c>
      <c r="AO240" t="str">
        <f>IF(ISNUMBER(SEARCH("R", 'WetLitterbags placem_collection'!$W21)),"YES","NO")</f>
        <v>NO</v>
      </c>
    </row>
    <row r="241" spans="1:41" ht="15" customHeight="1">
      <c r="A241" s="255" t="s">
        <v>2454</v>
      </c>
      <c r="B241" s="260">
        <f>'Dry_Litterbag Placem_Collection'!A22</f>
        <v>20</v>
      </c>
      <c r="C241" s="260" t="str">
        <f>'Dry_Litterbag Placem_Collection'!B22</f>
        <v>Makao</v>
      </c>
      <c r="D241" s="260" t="s">
        <v>2643</v>
      </c>
      <c r="E241" s="260" t="s">
        <v>2644</v>
      </c>
      <c r="F241" s="260">
        <v>3</v>
      </c>
      <c r="G241" s="260" t="s">
        <v>3803</v>
      </c>
      <c r="H241" s="261" t="str">
        <f>'Dry_Litterbag Placem_Collection'!C22</f>
        <v>Dry_Ag3_T4</v>
      </c>
      <c r="I241" s="262" t="s">
        <v>2525</v>
      </c>
      <c r="J241" s="269" t="s">
        <v>298</v>
      </c>
      <c r="K241" s="221" t="str">
        <f>'WetLitterbags placem_collection'!M22</f>
        <v>R50</v>
      </c>
      <c r="L241" s="223">
        <f>IFERROR(INDEX('Green_rooibos initial weight'!$C$5:$C$2000,MATCH(K241, 'Green_rooibos initial weight'!$A$5:$A$2000,0)),"")</f>
        <v>2.2490000000000001</v>
      </c>
      <c r="M241" s="223">
        <f>IFERROR(L241-(TBIcalc!$H$9+TBIcalc!$H$10),"")</f>
        <v>1.9992000000000001</v>
      </c>
      <c r="N241" s="385">
        <f>AVERAGE(Ashed_controlls!$K$2:$K$11)</f>
        <v>5.5147656768714146</v>
      </c>
      <c r="O241" s="223">
        <f t="shared" si="16"/>
        <v>1.8889488045879868</v>
      </c>
      <c r="P241" s="223">
        <f>IFERROR(INDEX('Both teabags AfterWet'!$C$3:$C$840,MATCH(K241,'Both teabags AfterWet'!$A$3:$A$840,0)),"")</f>
        <v>1.51</v>
      </c>
      <c r="Q241" s="223">
        <f>IFERROR(IF(P241&gt;0,P241-(TBIcalc!$H$9),""),"")</f>
        <v>1.3593999999999999</v>
      </c>
      <c r="R241" s="223">
        <f>IFERROR(INDEX('Ashed teabags wet'!$K$2:$K$2000,MATCH(K241,'Ashed teabags wet'!$A$2:$A$2000,0)),"")</f>
        <v>8.4126189283921065</v>
      </c>
      <c r="S241" s="223">
        <f t="shared" si="17"/>
        <v>1.2450388582874377</v>
      </c>
      <c r="T241" s="224">
        <f>'WetLitterbags placem_collection'!E22</f>
        <v>42767</v>
      </c>
      <c r="U241" s="224">
        <f>IF('WetLitterbags placem_collection'!G22="","",'WetLitterbags placem_collection'!G22)</f>
        <v>42818</v>
      </c>
      <c r="V241" s="225">
        <f t="shared" si="15"/>
        <v>51</v>
      </c>
      <c r="W241" s="223">
        <f t="shared" si="18"/>
        <v>0.63980000000000015</v>
      </c>
      <c r="X241" s="223">
        <f t="shared" si="19"/>
        <v>0.6439099463005491</v>
      </c>
      <c r="Y241">
        <f>IFERROR(INDEX(Rainfall_Wet!$O$2:$O$217,MATCH(B241, Rainfall_Wet!$A$2:$A$217,0)),"")</f>
        <v>185.630065823</v>
      </c>
      <c r="Z241" s="228">
        <v>54.080969906906262</v>
      </c>
      <c r="AA241" s="228">
        <v>21.264484651351896</v>
      </c>
      <c r="AB241" s="228">
        <v>24.654545441741845</v>
      </c>
      <c r="AC241" s="229" t="s">
        <v>2657</v>
      </c>
      <c r="AD241" s="228">
        <v>4.8433218334154802</v>
      </c>
      <c r="AE241" t="str">
        <f>IF('WetLitterbags placem_collection'!AB22="","",'WetLitterbags placem_collection'!AB22)</f>
        <v/>
      </c>
      <c r="AF241" t="str">
        <f>IF('WetLitterbags placem_collection'!Z22="","",'WetLitterbags placem_collection'!Z22)</f>
        <v/>
      </c>
      <c r="AG241" s="243" t="str">
        <f>IF('WetLitterbags placem_collection'!AA22="","",'WetLitterbags placem_collection'!AA22)</f>
        <v/>
      </c>
      <c r="AH241" t="str">
        <f>IF('WetLitterbags placem_collection'!AC22="","",'WetLitterbags placem_collection'!AC22)</f>
        <v/>
      </c>
      <c r="AI241" s="237">
        <f>AVERAGE('WetLitterbags placem_collection'!S22,'WetLitterbags placem_collection'!U22)</f>
        <v>40.049999999999997</v>
      </c>
      <c r="AJ241">
        <f>AVERAGE('WetLitterbags placem_collection'!R22,'WetLitterbags placem_collection'!T22)</f>
        <v>21.35</v>
      </c>
      <c r="AK241">
        <f>INDEX(Coordinates!$B$2:$B$197,MATCH(H241,Coordinates!$J$2:$J$197,0))</f>
        <v>-3.3853969629999998</v>
      </c>
      <c r="AL241">
        <f>INDEX(Coordinates!$C$2:$C$197,MATCH(H241,Coordinates!$J$2:$J$197,0))</f>
        <v>34.818977969999999</v>
      </c>
      <c r="AM241" t="str">
        <f>IF(ISNUMBER(SEARCH("C", 'WetLitterbags placem_collection'!$W22)),"YES","NO")</f>
        <v>NO</v>
      </c>
      <c r="AN241" t="str">
        <f>IF(ISNUMBER(SEARCH("H", 'WetLitterbags placem_collection'!$W22)),"YES","NO")</f>
        <v>NO</v>
      </c>
      <c r="AO241" t="str">
        <f>IF(ISNUMBER(SEARCH("R", 'WetLitterbags placem_collection'!$W22)),"YES","NO")</f>
        <v>NO</v>
      </c>
    </row>
    <row r="242" spans="1:41" ht="15" customHeight="1">
      <c r="A242" s="255" t="s">
        <v>2454</v>
      </c>
      <c r="B242" s="260">
        <f>'Dry_Litterbag Placem_Collection'!A23</f>
        <v>21</v>
      </c>
      <c r="C242" s="260" t="str">
        <f>'Dry_Litterbag Placem_Collection'!B23</f>
        <v>Makao</v>
      </c>
      <c r="D242" s="260" t="s">
        <v>2643</v>
      </c>
      <c r="E242" s="260" t="s">
        <v>2644</v>
      </c>
      <c r="F242" s="260">
        <v>3</v>
      </c>
      <c r="G242" s="260" t="s">
        <v>3803</v>
      </c>
      <c r="H242" s="261" t="str">
        <f>'Dry_Litterbag Placem_Collection'!C23</f>
        <v>Dry_Ag3_T5</v>
      </c>
      <c r="I242" s="262" t="s">
        <v>2525</v>
      </c>
      <c r="J242" s="269" t="s">
        <v>298</v>
      </c>
      <c r="K242" s="221" t="str">
        <f>'WetLitterbags placem_collection'!M23</f>
        <v>R529</v>
      </c>
      <c r="L242" s="223">
        <f>IFERROR(INDEX('Green_rooibos initial weight'!$C$5:$C$2000,MATCH(K242, 'Green_rooibos initial weight'!$A$5:$A$2000,0)),"")</f>
        <v>2.157</v>
      </c>
      <c r="M242" s="223">
        <f>IFERROR(L242-(TBIcalc!$H$9+TBIcalc!$H$10),"")</f>
        <v>1.9072</v>
      </c>
      <c r="N242" s="385">
        <f>AVERAGE(Ashed_controlls!$K$2:$K$11)</f>
        <v>5.5147656768714146</v>
      </c>
      <c r="O242" s="223">
        <f t="shared" si="16"/>
        <v>1.8020223890107083</v>
      </c>
      <c r="P242" s="223">
        <f>IFERROR(INDEX('Both teabags AfterWet'!$C$3:$C$840,MATCH(K242,'Both teabags AfterWet'!$A$3:$A$840,0)),"")</f>
        <v>1.4387000000000001</v>
      </c>
      <c r="Q242" s="223">
        <f>IFERROR(IF(P242&gt;0,P242-(TBIcalc!$H$9),""),"")</f>
        <v>1.2881</v>
      </c>
      <c r="R242" s="223">
        <f>IFERROR(INDEX('Ashed teabags wet'!$K$2:$K$2000,MATCH(K242,'Ashed teabags wet'!$A$2:$A$2000,0)),"")</f>
        <v>6.9930069930072492</v>
      </c>
      <c r="S242" s="223">
        <f t="shared" si="17"/>
        <v>1.1980230769230737</v>
      </c>
      <c r="T242" s="224">
        <f>'WetLitterbags placem_collection'!E23</f>
        <v>42767</v>
      </c>
      <c r="U242" s="224">
        <f>IF('WetLitterbags placem_collection'!G23="","",'WetLitterbags placem_collection'!G23)</f>
        <v>42818</v>
      </c>
      <c r="V242" s="225">
        <f t="shared" si="15"/>
        <v>51</v>
      </c>
      <c r="W242" s="223">
        <f t="shared" si="18"/>
        <v>0.61909999999999998</v>
      </c>
      <c r="X242" s="223">
        <f t="shared" si="19"/>
        <v>0.60399931208763458</v>
      </c>
      <c r="Y242">
        <f>IFERROR(INDEX(Rainfall_Wet!$O$2:$O$217,MATCH(B242, Rainfall_Wet!$A$2:$A$217,0)),"")</f>
        <v>185.630065823</v>
      </c>
      <c r="Z242" s="228">
        <v>54.080969906906262</v>
      </c>
      <c r="AA242" s="228">
        <v>21.264484651351896</v>
      </c>
      <c r="AB242" s="228">
        <v>24.654545441741845</v>
      </c>
      <c r="AC242" s="229" t="s">
        <v>2657</v>
      </c>
      <c r="AD242" s="228">
        <v>5.8433218334154802</v>
      </c>
      <c r="AE242" t="str">
        <f>IF('WetLitterbags placem_collection'!AB23="","",'WetLitterbags placem_collection'!AB23)</f>
        <v/>
      </c>
      <c r="AF242" t="str">
        <f>IF('WetLitterbags placem_collection'!Z23="","",'WetLitterbags placem_collection'!Z23)</f>
        <v/>
      </c>
      <c r="AG242" s="243" t="str">
        <f>IF('WetLitterbags placem_collection'!AA23="","",'WetLitterbags placem_collection'!AA23)</f>
        <v/>
      </c>
      <c r="AH242" t="str">
        <f>IF('WetLitterbags placem_collection'!AC23="","",'WetLitterbags placem_collection'!AC23)</f>
        <v/>
      </c>
      <c r="AI242" s="237">
        <f>AVERAGE('WetLitterbags placem_collection'!S23,'WetLitterbags placem_collection'!U23)</f>
        <v>34.150000000000006</v>
      </c>
      <c r="AJ242">
        <f>AVERAGE('WetLitterbags placem_collection'!R23,'WetLitterbags placem_collection'!T23)</f>
        <v>20.6</v>
      </c>
      <c r="AK242">
        <f>INDEX(Coordinates!$B$2:$B$197,MATCH(H242,Coordinates!$J$2:$J$197,0))</f>
        <v>-3.3854019919999998</v>
      </c>
      <c r="AL242">
        <f>INDEX(Coordinates!$C$2:$C$197,MATCH(H242,Coordinates!$J$2:$J$197,0))</f>
        <v>34.81894604</v>
      </c>
      <c r="AM242" t="str">
        <f>IF(ISNUMBER(SEARCH("C", 'WetLitterbags placem_collection'!$W23)),"YES","NO")</f>
        <v>NO</v>
      </c>
      <c r="AN242" t="str">
        <f>IF(ISNUMBER(SEARCH("H", 'WetLitterbags placem_collection'!$W23)),"YES","NO")</f>
        <v>NO</v>
      </c>
      <c r="AO242" t="str">
        <f>IF(ISNUMBER(SEARCH("R", 'WetLitterbags placem_collection'!$W23)),"YES","NO")</f>
        <v>YES</v>
      </c>
    </row>
    <row r="243" spans="1:41" ht="15" customHeight="1">
      <c r="A243" s="255" t="s">
        <v>2454</v>
      </c>
      <c r="B243" s="260">
        <f>'Dry_Litterbag Placem_Collection'!A24</f>
        <v>22</v>
      </c>
      <c r="C243" s="260" t="str">
        <f>'Dry_Litterbag Placem_Collection'!B24</f>
        <v>Makao</v>
      </c>
      <c r="D243" s="260" t="s">
        <v>2643</v>
      </c>
      <c r="E243" s="260" t="s">
        <v>2644</v>
      </c>
      <c r="F243" s="260">
        <v>3</v>
      </c>
      <c r="G243" s="260" t="s">
        <v>3803</v>
      </c>
      <c r="H243" s="261" t="str">
        <f>'Dry_Litterbag Placem_Collection'!C24</f>
        <v>Dry_Ag3_T6</v>
      </c>
      <c r="I243" s="262" t="s">
        <v>2525</v>
      </c>
      <c r="J243" s="269" t="s">
        <v>298</v>
      </c>
      <c r="K243" s="221" t="str">
        <f>'WetLitterbags placem_collection'!M24</f>
        <v>R363</v>
      </c>
      <c r="L243" s="223">
        <f>IFERROR(INDEX('Green_rooibos initial weight'!$C$5:$C$2000,MATCH(K243, 'Green_rooibos initial weight'!$A$5:$A$2000,0)),"")</f>
        <v>2.1659999999999999</v>
      </c>
      <c r="M243" s="223">
        <f>IFERROR(L243-(TBIcalc!$H$9+TBIcalc!$H$10),"")</f>
        <v>1.9161999999999999</v>
      </c>
      <c r="N243" s="385">
        <f>AVERAGE(Ashed_controlls!$K$2:$K$11)</f>
        <v>5.5147656768714146</v>
      </c>
      <c r="O243" s="223">
        <f t="shared" si="16"/>
        <v>1.8105260600997899</v>
      </c>
      <c r="P243" s="223">
        <f>IFERROR(INDEX('Both teabags AfterWet'!$C$3:$C$840,MATCH(K243,'Both teabags AfterWet'!$A$3:$A$840,0)),"")</f>
        <v>1.5164</v>
      </c>
      <c r="Q243" s="223">
        <f>IFERROR(IF(P243&gt;0,P243-(TBIcalc!$H$9),""),"")</f>
        <v>1.3657999999999999</v>
      </c>
      <c r="R243" s="223">
        <f>IFERROR(INDEX('Ashed teabags wet'!$K$2:$K$2000,MATCH(K243,'Ashed teabags wet'!$A$2:$A$2000,0)),"")</f>
        <v>3.5079051383401243</v>
      </c>
      <c r="S243" s="223">
        <f t="shared" si="17"/>
        <v>1.3178890316205505</v>
      </c>
      <c r="T243" s="224">
        <f>'WetLitterbags placem_collection'!E24</f>
        <v>42767</v>
      </c>
      <c r="U243" s="224">
        <f>IF('WetLitterbags placem_collection'!G24="","",'WetLitterbags placem_collection'!G24)</f>
        <v>42818</v>
      </c>
      <c r="V243" s="225">
        <f t="shared" si="15"/>
        <v>51</v>
      </c>
      <c r="W243" s="223">
        <f t="shared" si="18"/>
        <v>0.5504</v>
      </c>
      <c r="X243" s="223">
        <f t="shared" si="19"/>
        <v>0.4926370284792394</v>
      </c>
      <c r="Y243">
        <f>IFERROR(INDEX(Rainfall_Wet!$O$2:$O$217,MATCH(B243, Rainfall_Wet!$A$2:$A$217,0)),"")</f>
        <v>185.630065823</v>
      </c>
      <c r="Z243" s="228">
        <v>54.080969906906262</v>
      </c>
      <c r="AA243" s="228">
        <v>21.264484651351896</v>
      </c>
      <c r="AB243" s="228">
        <v>24.654545441741845</v>
      </c>
      <c r="AC243" s="229" t="s">
        <v>2657</v>
      </c>
      <c r="AD243" s="228">
        <v>6.8433218334154802</v>
      </c>
      <c r="AE243" t="str">
        <f>IF('WetLitterbags placem_collection'!AB24="","",'WetLitterbags placem_collection'!AB24)</f>
        <v/>
      </c>
      <c r="AF243" t="str">
        <f>IF('WetLitterbags placem_collection'!Z24="","",'WetLitterbags placem_collection'!Z24)</f>
        <v/>
      </c>
      <c r="AG243" s="243" t="str">
        <f>IF('WetLitterbags placem_collection'!AA24="","",'WetLitterbags placem_collection'!AA24)</f>
        <v/>
      </c>
      <c r="AH243" t="str">
        <f>IF('WetLitterbags placem_collection'!AC24="","",'WetLitterbags placem_collection'!AC24)</f>
        <v/>
      </c>
      <c r="AI243" s="237">
        <f>AVERAGE('WetLitterbags placem_collection'!S24,'WetLitterbags placem_collection'!U24)</f>
        <v>34.549999999999997</v>
      </c>
      <c r="AJ243">
        <f>AVERAGE('WetLitterbags placem_collection'!R24,'WetLitterbags placem_collection'!T24)</f>
        <v>21.5</v>
      </c>
      <c r="AK243">
        <f>INDEX(Coordinates!$B$2:$B$197,MATCH(H243,Coordinates!$J$2:$J$197,0))</f>
        <v>-3.3854470029999999</v>
      </c>
      <c r="AL243">
        <f>INDEX(Coordinates!$C$2:$C$197,MATCH(H243,Coordinates!$J$2:$J$197,0))</f>
        <v>34.818946959999998</v>
      </c>
      <c r="AM243" t="str">
        <f>IF(ISNUMBER(SEARCH("C", 'WetLitterbags placem_collection'!$W24)),"YES","NO")</f>
        <v>NO</v>
      </c>
      <c r="AN243" t="str">
        <f>IF(ISNUMBER(SEARCH("H", 'WetLitterbags placem_collection'!$W24)),"YES","NO")</f>
        <v>NO</v>
      </c>
      <c r="AO243" t="str">
        <f>IF(ISNUMBER(SEARCH("R", 'WetLitterbags placem_collection'!$W24)),"YES","NO")</f>
        <v>NO</v>
      </c>
    </row>
    <row r="244" spans="1:41" ht="15" customHeight="1">
      <c r="A244" s="255" t="s">
        <v>2454</v>
      </c>
      <c r="B244" s="260">
        <f>'Dry_Litterbag Placem_Collection'!A25</f>
        <v>23</v>
      </c>
      <c r="C244" s="260" t="str">
        <f>'Dry_Litterbag Placem_Collection'!B25</f>
        <v>Makao</v>
      </c>
      <c r="D244" s="260" t="s">
        <v>2643</v>
      </c>
      <c r="E244" s="260" t="s">
        <v>2644</v>
      </c>
      <c r="F244" s="260">
        <v>3</v>
      </c>
      <c r="G244" s="260" t="s">
        <v>3803</v>
      </c>
      <c r="H244" s="261" t="str">
        <f>'Dry_Litterbag Placem_Collection'!C25</f>
        <v>Dry_Ag3_T7</v>
      </c>
      <c r="I244" s="262" t="s">
        <v>2525</v>
      </c>
      <c r="J244" s="269" t="s">
        <v>298</v>
      </c>
      <c r="K244" s="221" t="str">
        <f>'WetLitterbags placem_collection'!M25</f>
        <v>R190</v>
      </c>
      <c r="L244" s="223">
        <f>IFERROR(INDEX('Green_rooibos initial weight'!$C$5:$C$2000,MATCH(K244, 'Green_rooibos initial weight'!$A$5:$A$2000,0)),"")</f>
        <v>2.2240000000000002</v>
      </c>
      <c r="M244" s="223">
        <f>IFERROR(L244-(TBIcalc!$H$9+TBIcalc!$H$10),"")</f>
        <v>1.9742000000000002</v>
      </c>
      <c r="N244" s="385">
        <f>AVERAGE(Ashed_controlls!$K$2:$K$11)</f>
        <v>5.5147656768714146</v>
      </c>
      <c r="O244" s="223">
        <f t="shared" si="16"/>
        <v>1.8653274960072048</v>
      </c>
      <c r="P244" s="223">
        <f>IFERROR(INDEX('Both teabags AfterWet'!$C$3:$C$840,MATCH(K244,'Both teabags AfterWet'!$A$3:$A$840,0)),"")</f>
        <v>1.5019</v>
      </c>
      <c r="Q244" s="223">
        <f>IFERROR(IF(P244&gt;0,P244-(TBIcalc!$H$9),""),"")</f>
        <v>1.3512999999999999</v>
      </c>
      <c r="R244" s="223">
        <f>IFERROR(INDEX('Ashed teabags wet'!$K$2:$K$2000,MATCH(K244,'Ashed teabags wet'!$A$2:$A$2000,0)),"")</f>
        <v>3.0390738060779063</v>
      </c>
      <c r="S244" s="223">
        <f t="shared" si="17"/>
        <v>1.3102329956584693</v>
      </c>
      <c r="T244" s="224">
        <f>'WetLitterbags placem_collection'!E25</f>
        <v>42767</v>
      </c>
      <c r="U244" s="224">
        <f>IF('WetLitterbags placem_collection'!G25="","",'WetLitterbags placem_collection'!G25)</f>
        <v>42818</v>
      </c>
      <c r="V244" s="225">
        <f t="shared" si="15"/>
        <v>51</v>
      </c>
      <c r="W244" s="223">
        <f t="shared" si="18"/>
        <v>0.62290000000000023</v>
      </c>
      <c r="X244" s="223">
        <f t="shared" si="19"/>
        <v>0.55509450034873553</v>
      </c>
      <c r="Y244">
        <f>IFERROR(INDEX(Rainfall_Wet!$O$2:$O$217,MATCH(B244, Rainfall_Wet!$A$2:$A$217,0)),"")</f>
        <v>185.630065823</v>
      </c>
      <c r="Z244" s="228">
        <v>54.080969906906262</v>
      </c>
      <c r="AA244" s="228">
        <v>21.264484651351896</v>
      </c>
      <c r="AB244" s="228">
        <v>24.654545441741845</v>
      </c>
      <c r="AC244" s="229" t="s">
        <v>2657</v>
      </c>
      <c r="AD244" s="228">
        <v>7.8433218334154802</v>
      </c>
      <c r="AE244" t="str">
        <f>IF('WetLitterbags placem_collection'!AB25="","",'WetLitterbags placem_collection'!AB25)</f>
        <v/>
      </c>
      <c r="AF244" t="str">
        <f>IF('WetLitterbags placem_collection'!Z25="","",'WetLitterbags placem_collection'!Z25)</f>
        <v/>
      </c>
      <c r="AG244" s="243" t="str">
        <f>IF('WetLitterbags placem_collection'!AA25="","",'WetLitterbags placem_collection'!AA25)</f>
        <v/>
      </c>
      <c r="AH244" t="str">
        <f>IF('WetLitterbags placem_collection'!AC25="","",'WetLitterbags placem_collection'!AC25)</f>
        <v/>
      </c>
      <c r="AI244" s="237">
        <f>AVERAGE('WetLitterbags placem_collection'!S25,'WetLitterbags placem_collection'!U25)</f>
        <v>34.5</v>
      </c>
      <c r="AJ244">
        <f>AVERAGE('WetLitterbags placem_collection'!R25,'WetLitterbags placem_collection'!T25)</f>
        <v>20.65</v>
      </c>
      <c r="AK244">
        <f>INDEX(Coordinates!$B$2:$B$197,MATCH(H244,Coordinates!$J$2:$J$197,0))</f>
        <v>-3.3854200130000001</v>
      </c>
      <c r="AL244">
        <f>INDEX(Coordinates!$C$2:$C$197,MATCH(H244,Coordinates!$J$2:$J$197,0))</f>
        <v>34.818856019999998</v>
      </c>
      <c r="AM244" t="str">
        <f>IF(ISNUMBER(SEARCH("C", 'WetLitterbags placem_collection'!$W25)),"YES","NO")</f>
        <v>NO</v>
      </c>
      <c r="AN244" t="str">
        <f>IF(ISNUMBER(SEARCH("H", 'WetLitterbags placem_collection'!$W25)),"YES","NO")</f>
        <v>NO</v>
      </c>
      <c r="AO244" t="str">
        <f>IF(ISNUMBER(SEARCH("R", 'WetLitterbags placem_collection'!$W25)),"YES","NO")</f>
        <v>NO</v>
      </c>
    </row>
    <row r="245" spans="1:41" ht="15" customHeight="1">
      <c r="A245" s="255" t="s">
        <v>2454</v>
      </c>
      <c r="B245" s="260">
        <f>'Dry_Litterbag Placem_Collection'!A26</f>
        <v>24</v>
      </c>
      <c r="C245" s="260" t="str">
        <f>'Dry_Litterbag Placem_Collection'!B26</f>
        <v>Makao</v>
      </c>
      <c r="D245" s="260" t="s">
        <v>2643</v>
      </c>
      <c r="E245" s="260" t="s">
        <v>2644</v>
      </c>
      <c r="F245" s="260">
        <v>3</v>
      </c>
      <c r="G245" s="260" t="s">
        <v>3803</v>
      </c>
      <c r="H245" s="261" t="str">
        <f>'Dry_Litterbag Placem_Collection'!C26</f>
        <v>Dry_Ag3_T8</v>
      </c>
      <c r="I245" s="262" t="s">
        <v>2525</v>
      </c>
      <c r="J245" s="269" t="s">
        <v>298</v>
      </c>
      <c r="K245" s="221" t="str">
        <f>'WetLitterbags placem_collection'!M26</f>
        <v>R144</v>
      </c>
      <c r="L245" s="223">
        <f>IFERROR(INDEX('Green_rooibos initial weight'!$C$5:$C$2000,MATCH(K245, 'Green_rooibos initial weight'!$A$5:$A$2000,0)),"")</f>
        <v>2.1429999999999998</v>
      </c>
      <c r="M245" s="223">
        <f>IFERROR(L245-(TBIcalc!$H$9+TBIcalc!$H$10),"")</f>
        <v>1.8931999999999998</v>
      </c>
      <c r="N245" s="385">
        <f>AVERAGE(Ashed_controlls!$K$2:$K$11)</f>
        <v>5.5147656768714146</v>
      </c>
      <c r="O245" s="223">
        <f t="shared" si="16"/>
        <v>1.7887944562054701</v>
      </c>
      <c r="P245" s="223">
        <f>IFERROR(INDEX('Both teabags AfterWet'!$C$3:$C$840,MATCH(K245,'Both teabags AfterWet'!$A$3:$A$840,0)),"")</f>
        <v>1.6077999999999999</v>
      </c>
      <c r="Q245" s="223">
        <f>IFERROR(IF(P245&gt;0,P245-(TBIcalc!$H$9),""),"")</f>
        <v>1.4571999999999998</v>
      </c>
      <c r="R245" s="223">
        <f>IFERROR(INDEX('Ashed teabags wet'!$K$2:$K$2000,MATCH(K245,'Ashed teabags wet'!$A$2:$A$2000,0)),"")</f>
        <v>4.9655850540802868</v>
      </c>
      <c r="S245" s="223">
        <f t="shared" si="17"/>
        <v>1.3848414945919418</v>
      </c>
      <c r="T245" s="224">
        <f>'WetLitterbags placem_collection'!E26</f>
        <v>42767</v>
      </c>
      <c r="U245" s="224">
        <f>IF('WetLitterbags placem_collection'!G26="","",'WetLitterbags placem_collection'!G26)</f>
        <v>42818</v>
      </c>
      <c r="V245" s="225">
        <f t="shared" si="15"/>
        <v>51</v>
      </c>
      <c r="W245" s="223">
        <f t="shared" si="18"/>
        <v>0.43599999999999994</v>
      </c>
      <c r="X245" s="223">
        <f t="shared" si="19"/>
        <v>0.40395296161352823</v>
      </c>
      <c r="Y245">
        <f>IFERROR(INDEX(Rainfall_Wet!$O$2:$O$217,MATCH(B245, Rainfall_Wet!$A$2:$A$217,0)),"")</f>
        <v>185.630065823</v>
      </c>
      <c r="Z245" s="228">
        <v>54.080969906906262</v>
      </c>
      <c r="AA245" s="228">
        <v>21.264484651351896</v>
      </c>
      <c r="AB245" s="228">
        <v>24.654545441741845</v>
      </c>
      <c r="AC245" s="229" t="s">
        <v>2657</v>
      </c>
      <c r="AD245" s="228">
        <v>8.8433218334154695</v>
      </c>
      <c r="AE245" t="str">
        <f>IF('WetLitterbags placem_collection'!AB26="","",'WetLitterbags placem_collection'!AB26)</f>
        <v/>
      </c>
      <c r="AF245" t="str">
        <f>IF('WetLitterbags placem_collection'!Z26="","",'WetLitterbags placem_collection'!Z26)</f>
        <v/>
      </c>
      <c r="AG245" s="243" t="str">
        <f>IF('WetLitterbags placem_collection'!AA26="","",'WetLitterbags placem_collection'!AA26)</f>
        <v/>
      </c>
      <c r="AH245" t="str">
        <f>IF('WetLitterbags placem_collection'!AC26="","",'WetLitterbags placem_collection'!AC26)</f>
        <v/>
      </c>
      <c r="AI245" s="237">
        <f>AVERAGE('WetLitterbags placem_collection'!S26,'WetLitterbags placem_collection'!U26)</f>
        <v>36.950000000000003</v>
      </c>
      <c r="AJ245">
        <f>AVERAGE('WetLitterbags placem_collection'!R26,'WetLitterbags placem_collection'!T26)</f>
        <v>21.1</v>
      </c>
      <c r="AK245">
        <f>INDEX(Coordinates!$B$2:$B$197,MATCH(H245,Coordinates!$J$2:$J$197,0))</f>
        <v>-3.3853829649999998</v>
      </c>
      <c r="AL245">
        <f>INDEX(Coordinates!$C$2:$C$197,MATCH(H245,Coordinates!$J$2:$J$197,0))</f>
        <v>34.818877980000003</v>
      </c>
      <c r="AM245" t="str">
        <f>IF(ISNUMBER(SEARCH("C", 'WetLitterbags placem_collection'!$W26)),"YES","NO")</f>
        <v>NO</v>
      </c>
      <c r="AN245" t="str">
        <f>IF(ISNUMBER(SEARCH("H", 'WetLitterbags placem_collection'!$W26)),"YES","NO")</f>
        <v>NO</v>
      </c>
      <c r="AO245" t="str">
        <f>IF(ISNUMBER(SEARCH("R", 'WetLitterbags placem_collection'!$W26)),"YES","NO")</f>
        <v>YES</v>
      </c>
    </row>
    <row r="246" spans="1:41" ht="15" customHeight="1">
      <c r="A246" s="255" t="s">
        <v>2454</v>
      </c>
      <c r="B246" s="260">
        <f>'Dry_Litterbag Placem_Collection'!A27</f>
        <v>25</v>
      </c>
      <c r="C246" s="260" t="str">
        <f>'Dry_Litterbag Placem_Collection'!B27</f>
        <v>Makao</v>
      </c>
      <c r="D246" s="260" t="s">
        <v>2643</v>
      </c>
      <c r="E246" s="260" t="s">
        <v>2644</v>
      </c>
      <c r="F246" s="260">
        <v>4</v>
      </c>
      <c r="G246" s="260" t="s">
        <v>3804</v>
      </c>
      <c r="H246" s="261" t="str">
        <f>'Dry_Litterbag Placem_Collection'!C27</f>
        <v>Dry_Ag4_T1</v>
      </c>
      <c r="I246" s="262" t="s">
        <v>2525</v>
      </c>
      <c r="J246" s="269" t="s">
        <v>298</v>
      </c>
      <c r="K246" s="221" t="str">
        <f>'WetLitterbags placem_collection'!M27</f>
        <v>R279</v>
      </c>
      <c r="L246" s="223">
        <f>IFERROR(INDEX('Green_rooibos initial weight'!$C$5:$C$2000,MATCH(K246, 'Green_rooibos initial weight'!$A$5:$A$2000,0)),"")</f>
        <v>2.161</v>
      </c>
      <c r="M246" s="223">
        <f>IFERROR(L246-(TBIcalc!$H$9+TBIcalc!$H$10),"")</f>
        <v>1.9112</v>
      </c>
      <c r="N246" s="385">
        <f>AVERAGE(Ashed_controlls!$K$2:$K$11)</f>
        <v>5.5147656768714146</v>
      </c>
      <c r="O246" s="223">
        <f t="shared" si="16"/>
        <v>1.8058017983836336</v>
      </c>
      <c r="P246" s="223">
        <f>IFERROR(INDEX('Both teabags AfterWet'!$C$3:$C$840,MATCH(K246,'Both teabags AfterWet'!$A$3:$A$840,0)),"")</f>
        <v>1.6192</v>
      </c>
      <c r="Q246" s="223">
        <f>IFERROR(IF(P246&gt;0,P246-(TBIcalc!$H$9),""),"")</f>
        <v>1.4685999999999999</v>
      </c>
      <c r="R246" s="223">
        <f>IFERROR(INDEX('Ashed teabags wet'!$K$2:$K$2000,MATCH(K246,'Ashed teabags wet'!$A$2:$A$2000,0)),"")</f>
        <v>2.7040077257358202</v>
      </c>
      <c r="S246" s="223">
        <f t="shared" si="17"/>
        <v>1.4288889425398437</v>
      </c>
      <c r="T246" s="224">
        <f>'WetLitterbags placem_collection'!E27</f>
        <v>42767</v>
      </c>
      <c r="U246" s="224">
        <f>IF('WetLitterbags placem_collection'!G27="","",'WetLitterbags placem_collection'!G27)</f>
        <v>42818</v>
      </c>
      <c r="V246" s="225">
        <f t="shared" si="15"/>
        <v>51</v>
      </c>
      <c r="W246" s="223">
        <f t="shared" si="18"/>
        <v>0.4426000000000001</v>
      </c>
      <c r="X246" s="223">
        <f t="shared" si="19"/>
        <v>0.37691285584378997</v>
      </c>
      <c r="Y246">
        <f>IFERROR(INDEX(Rainfall_Wet!$O$2:$O$217,MATCH(B246, Rainfall_Wet!$A$2:$A$217,0)),"")</f>
        <v>185.630065823</v>
      </c>
      <c r="Z246" s="228">
        <v>51.960000000000008</v>
      </c>
      <c r="AA246" s="228">
        <v>18.919999999999995</v>
      </c>
      <c r="AB246" s="228">
        <v>29.120000000000005</v>
      </c>
      <c r="AC246" s="229" t="s">
        <v>2657</v>
      </c>
      <c r="AD246" s="228">
        <v>1.85293247905372</v>
      </c>
      <c r="AE246" t="str">
        <f>IF('WetLitterbags placem_collection'!AB27="","",'WetLitterbags placem_collection'!AB27)</f>
        <v/>
      </c>
      <c r="AF246" t="str">
        <f>IF('WetLitterbags placem_collection'!Z27="","",'WetLitterbags placem_collection'!Z27)</f>
        <v/>
      </c>
      <c r="AG246" s="243" t="str">
        <f>IF('WetLitterbags placem_collection'!AA27="","",'WetLitterbags placem_collection'!AA27)</f>
        <v/>
      </c>
      <c r="AH246" t="str">
        <f>IF('WetLitterbags placem_collection'!AC27="","",'WetLitterbags placem_collection'!AC27)</f>
        <v/>
      </c>
      <c r="AI246" s="237">
        <f>AVERAGE('WetLitterbags placem_collection'!S27,'WetLitterbags placem_collection'!U27)</f>
        <v>36.85</v>
      </c>
      <c r="AJ246">
        <f>AVERAGE('WetLitterbags placem_collection'!R27,'WetLitterbags placem_collection'!T27)</f>
        <v>21.35</v>
      </c>
      <c r="AK246">
        <f>INDEX(Coordinates!$B$2:$B$197,MATCH(H246,Coordinates!$J$2:$J$197,0))</f>
        <v>-3.3849129919999998</v>
      </c>
      <c r="AL246">
        <f>INDEX(Coordinates!$C$2:$C$197,MATCH(H246,Coordinates!$J$2:$J$197,0))</f>
        <v>34.818899020000003</v>
      </c>
      <c r="AM246" t="str">
        <f>IF(ISNUMBER(SEARCH("C", 'WetLitterbags placem_collection'!$W27)),"YES","NO")</f>
        <v>NO</v>
      </c>
      <c r="AN246" t="str">
        <f>IF(ISNUMBER(SEARCH("H", 'WetLitterbags placem_collection'!$W27)),"YES","NO")</f>
        <v>NO</v>
      </c>
      <c r="AO246" t="str">
        <f>IF(ISNUMBER(SEARCH("R", 'WetLitterbags placem_collection'!$W27)),"YES","NO")</f>
        <v>NO</v>
      </c>
    </row>
    <row r="247" spans="1:41" ht="15" customHeight="1">
      <c r="A247" s="255" t="s">
        <v>2454</v>
      </c>
      <c r="B247" s="260">
        <f>'Dry_Litterbag Placem_Collection'!A28</f>
        <v>26</v>
      </c>
      <c r="C247" s="260" t="str">
        <f>'Dry_Litterbag Placem_Collection'!B28</f>
        <v>Makao</v>
      </c>
      <c r="D247" s="260" t="s">
        <v>2643</v>
      </c>
      <c r="E247" s="260" t="s">
        <v>2644</v>
      </c>
      <c r="F247" s="260">
        <v>4</v>
      </c>
      <c r="G247" s="260" t="s">
        <v>3804</v>
      </c>
      <c r="H247" s="261" t="str">
        <f>'Dry_Litterbag Placem_Collection'!C28</f>
        <v>Dry_Ag4_T2</v>
      </c>
      <c r="I247" s="262" t="s">
        <v>2525</v>
      </c>
      <c r="J247" s="269" t="s">
        <v>298</v>
      </c>
      <c r="K247" s="221" t="str">
        <f>'WetLitterbags placem_collection'!M28</f>
        <v>R148</v>
      </c>
      <c r="L247" s="223">
        <f>IFERROR(INDEX('Green_rooibos initial weight'!$C$5:$C$2000,MATCH(K247, 'Green_rooibos initial weight'!$A$5:$A$2000,0)),"")</f>
        <v>2.149</v>
      </c>
      <c r="M247" s="223">
        <f>IFERROR(L247-(TBIcalc!$H$9+TBIcalc!$H$10),"")</f>
        <v>1.8992</v>
      </c>
      <c r="N247" s="385">
        <f>AVERAGE(Ashed_controlls!$K$2:$K$11)</f>
        <v>5.5147656768714146</v>
      </c>
      <c r="O247" s="223">
        <f t="shared" si="16"/>
        <v>1.7944635702648581</v>
      </c>
      <c r="P247" s="223">
        <f>IFERROR(INDEX('Both teabags AfterWet'!$C$3:$C$840,MATCH(K247,'Both teabags AfterWet'!$A$3:$A$840,0)),"")</f>
        <v>1.5741000000000001</v>
      </c>
      <c r="Q247" s="223">
        <f>IFERROR(IF(P247&gt;0,P247-(TBIcalc!$H$9),""),"")</f>
        <v>1.4235</v>
      </c>
      <c r="R247" s="223">
        <f>IFERROR(INDEX('Ashed teabags wet'!$K$2:$K$2000,MATCH(K247,'Ashed teabags wet'!$A$2:$A$2000,0)),"")</f>
        <v>3.3466533466532278</v>
      </c>
      <c r="S247" s="223">
        <f t="shared" si="17"/>
        <v>1.3758603896103914</v>
      </c>
      <c r="T247" s="224">
        <f>'WetLitterbags placem_collection'!E28</f>
        <v>42767</v>
      </c>
      <c r="U247" s="224">
        <f>IF('WetLitterbags placem_collection'!G28="","",'WetLitterbags placem_collection'!G28)</f>
        <v>42818</v>
      </c>
      <c r="V247" s="225">
        <f t="shared" si="15"/>
        <v>51</v>
      </c>
      <c r="W247" s="223">
        <f t="shared" si="18"/>
        <v>0.47570000000000001</v>
      </c>
      <c r="X247" s="223">
        <f t="shared" si="19"/>
        <v>0.41860318065446678</v>
      </c>
      <c r="Y247">
        <f>IFERROR(INDEX(Rainfall_Wet!$O$2:$O$217,MATCH(B247, Rainfall_Wet!$A$2:$A$217,0)),"")</f>
        <v>185.630065823</v>
      </c>
      <c r="Z247" s="228">
        <v>51.960000000000008</v>
      </c>
      <c r="AA247" s="228">
        <v>18.919999999999995</v>
      </c>
      <c r="AB247" s="228">
        <v>29.120000000000005</v>
      </c>
      <c r="AC247" s="229" t="s">
        <v>2657</v>
      </c>
      <c r="AD247" s="228">
        <v>2.8529324790537198</v>
      </c>
      <c r="AE247" t="str">
        <f>IF('WetLitterbags placem_collection'!AB28="","",'WetLitterbags placem_collection'!AB28)</f>
        <v/>
      </c>
      <c r="AF247" t="str">
        <f>IF('WetLitterbags placem_collection'!Z28="","",'WetLitterbags placem_collection'!Z28)</f>
        <v/>
      </c>
      <c r="AG247" s="243" t="str">
        <f>IF('WetLitterbags placem_collection'!AA28="","",'WetLitterbags placem_collection'!AA28)</f>
        <v/>
      </c>
      <c r="AH247" t="str">
        <f>IF('WetLitterbags placem_collection'!AC28="","",'WetLitterbags placem_collection'!AC28)</f>
        <v/>
      </c>
      <c r="AI247" s="237">
        <f>AVERAGE('WetLitterbags placem_collection'!S28,'WetLitterbags placem_collection'!U28)</f>
        <v>31.3</v>
      </c>
      <c r="AJ247">
        <f>AVERAGE('WetLitterbags placem_collection'!R28,'WetLitterbags placem_collection'!T28)</f>
        <v>20.7</v>
      </c>
      <c r="AK247">
        <f>INDEX(Coordinates!$B$2:$B$197,MATCH(H247,Coordinates!$J$2:$J$197,0))</f>
        <v>-3.3849689999999999</v>
      </c>
      <c r="AL247">
        <f>INDEX(Coordinates!$C$2:$C$197,MATCH(H247,Coordinates!$J$2:$J$197,0))</f>
        <v>34.818908</v>
      </c>
      <c r="AM247" t="str">
        <f>IF(ISNUMBER(SEARCH("C", 'WetLitterbags placem_collection'!$W28)),"YES","NO")</f>
        <v>NO</v>
      </c>
      <c r="AN247" t="str">
        <f>IF(ISNUMBER(SEARCH("H", 'WetLitterbags placem_collection'!$W28)),"YES","NO")</f>
        <v>NO</v>
      </c>
      <c r="AO247" t="str">
        <f>IF(ISNUMBER(SEARCH("R", 'WetLitterbags placem_collection'!$W28)),"YES","NO")</f>
        <v>NO</v>
      </c>
    </row>
    <row r="248" spans="1:41" ht="15" customHeight="1">
      <c r="A248" s="255" t="s">
        <v>2454</v>
      </c>
      <c r="B248" s="260">
        <f>'Dry_Litterbag Placem_Collection'!A29</f>
        <v>27</v>
      </c>
      <c r="C248" s="260" t="str">
        <f>'Dry_Litterbag Placem_Collection'!B29</f>
        <v>Makao</v>
      </c>
      <c r="D248" s="260" t="s">
        <v>2643</v>
      </c>
      <c r="E248" s="260" t="s">
        <v>2644</v>
      </c>
      <c r="F248" s="260">
        <v>4</v>
      </c>
      <c r="G248" s="260" t="s">
        <v>3804</v>
      </c>
      <c r="H248" s="261" t="str">
        <f>'Dry_Litterbag Placem_Collection'!C29</f>
        <v>Dry_Ag4_T3</v>
      </c>
      <c r="I248" s="262" t="s">
        <v>2525</v>
      </c>
      <c r="J248" s="269" t="s">
        <v>298</v>
      </c>
      <c r="K248" s="221" t="str">
        <f>'WetLitterbags placem_collection'!M29</f>
        <v>R112</v>
      </c>
      <c r="L248" s="223">
        <f>IFERROR(INDEX('Green_rooibos initial weight'!$C$5:$C$2000,MATCH(K248, 'Green_rooibos initial weight'!$A$5:$A$2000,0)),"")</f>
        <v>2.2610000000000001</v>
      </c>
      <c r="M248" s="223">
        <f>IFERROR(L248-(TBIcalc!$H$9+TBIcalc!$H$10),"")</f>
        <v>2.0112000000000001</v>
      </c>
      <c r="N248" s="385">
        <f>AVERAGE(Ashed_controlls!$K$2:$K$11)</f>
        <v>5.5147656768714146</v>
      </c>
      <c r="O248" s="223">
        <f t="shared" si="16"/>
        <v>1.9002870327067622</v>
      </c>
      <c r="P248" s="223">
        <f>IFERROR(INDEX('Both teabags AfterWet'!$C$3:$C$840,MATCH(K248,'Both teabags AfterWet'!$A$3:$A$840,0)),"")</f>
        <v>1.3584000000000001</v>
      </c>
      <c r="Q248" s="223">
        <f>IFERROR(IF(P248&gt;0,P248-(TBIcalc!$H$9),""),"")</f>
        <v>1.2078</v>
      </c>
      <c r="R248" s="223">
        <f>IFERROR(INDEX('Ashed teabags wet'!$K$2:$K$2000,MATCH(K248,'Ashed teabags wet'!$A$2:$A$2000,0)),"")</f>
        <v>6.1105722599418044</v>
      </c>
      <c r="S248" s="223">
        <f t="shared" si="17"/>
        <v>1.1339965082444228</v>
      </c>
      <c r="T248" s="224">
        <f>'WetLitterbags placem_collection'!E29</f>
        <v>42767</v>
      </c>
      <c r="U248" s="224">
        <f>IF('WetLitterbags placem_collection'!G29="","",'WetLitterbags placem_collection'!G29)</f>
        <v>42818</v>
      </c>
      <c r="V248" s="225">
        <f t="shared" si="15"/>
        <v>51</v>
      </c>
      <c r="W248" s="223">
        <f t="shared" si="18"/>
        <v>0.80340000000000011</v>
      </c>
      <c r="X248" s="223">
        <f t="shared" si="19"/>
        <v>0.76629052446233947</v>
      </c>
      <c r="Y248">
        <f>IFERROR(INDEX(Rainfall_Wet!$O$2:$O$217,MATCH(B248, Rainfall_Wet!$A$2:$A$217,0)),"")</f>
        <v>185.630065823</v>
      </c>
      <c r="Z248" s="228">
        <v>51.960000000000008</v>
      </c>
      <c r="AA248" s="228">
        <v>18.919999999999995</v>
      </c>
      <c r="AB248" s="228">
        <v>29.120000000000005</v>
      </c>
      <c r="AC248" s="229" t="s">
        <v>2657</v>
      </c>
      <c r="AD248" s="228">
        <v>3.8529324790537198</v>
      </c>
      <c r="AE248" t="str">
        <f>IF('WetLitterbags placem_collection'!AB29="","",'WetLitterbags placem_collection'!AB29)</f>
        <v/>
      </c>
      <c r="AF248" t="str">
        <f>IF('WetLitterbags placem_collection'!Z29="","",'WetLitterbags placem_collection'!Z29)</f>
        <v/>
      </c>
      <c r="AG248" s="243" t="str">
        <f>IF('WetLitterbags placem_collection'!AA29="","",'WetLitterbags placem_collection'!AA29)</f>
        <v/>
      </c>
      <c r="AH248" t="str">
        <f>IF('WetLitterbags placem_collection'!AC29="","",'WetLitterbags placem_collection'!AC29)</f>
        <v/>
      </c>
      <c r="AI248" s="237">
        <f>AVERAGE('WetLitterbags placem_collection'!S29,'WetLitterbags placem_collection'!U29)</f>
        <v>28.900000000000002</v>
      </c>
      <c r="AJ248">
        <f>AVERAGE('WetLitterbags placem_collection'!R29,'WetLitterbags placem_collection'!T29)</f>
        <v>21.4</v>
      </c>
      <c r="AK248">
        <f>INDEX(Coordinates!$B$2:$B$197,MATCH(H248,Coordinates!$J$2:$J$197,0))</f>
        <v>-3.3849350359999999</v>
      </c>
      <c r="AL248">
        <f>INDEX(Coordinates!$C$2:$C$197,MATCH(H248,Coordinates!$J$2:$J$197,0))</f>
        <v>34.818943019999999</v>
      </c>
      <c r="AM248" t="str">
        <f>IF(ISNUMBER(SEARCH("C", 'WetLitterbags placem_collection'!$W29)),"YES","NO")</f>
        <v>NO</v>
      </c>
      <c r="AN248" t="str">
        <f>IF(ISNUMBER(SEARCH("H", 'WetLitterbags placem_collection'!$W29)),"YES","NO")</f>
        <v>NO</v>
      </c>
      <c r="AO248" t="str">
        <f>IF(ISNUMBER(SEARCH("R", 'WetLitterbags placem_collection'!$W29)),"YES","NO")</f>
        <v>NO</v>
      </c>
    </row>
    <row r="249" spans="1:41" ht="15" customHeight="1">
      <c r="A249" s="255" t="s">
        <v>2454</v>
      </c>
      <c r="B249" s="260">
        <f>'Dry_Litterbag Placem_Collection'!A30</f>
        <v>28</v>
      </c>
      <c r="C249" s="260" t="str">
        <f>'Dry_Litterbag Placem_Collection'!B30</f>
        <v>Makao</v>
      </c>
      <c r="D249" s="260" t="s">
        <v>2643</v>
      </c>
      <c r="E249" s="260" t="s">
        <v>2644</v>
      </c>
      <c r="F249" s="260">
        <v>4</v>
      </c>
      <c r="G249" s="260" t="s">
        <v>3804</v>
      </c>
      <c r="H249" s="261" t="str">
        <f>'Dry_Litterbag Placem_Collection'!C30</f>
        <v>Dry_Ag4_T4</v>
      </c>
      <c r="I249" s="262" t="s">
        <v>2525</v>
      </c>
      <c r="J249" s="269" t="s">
        <v>298</v>
      </c>
      <c r="K249" s="221" t="str">
        <f>'WetLitterbags placem_collection'!M30</f>
        <v>R436</v>
      </c>
      <c r="L249" s="223">
        <f>IFERROR(INDEX('Green_rooibos initial weight'!$C$5:$C$2000,MATCH(K249, 'Green_rooibos initial weight'!$A$5:$A$2000,0)),"")</f>
        <v>2.2240000000000002</v>
      </c>
      <c r="M249" s="223">
        <f>IFERROR(L249-(TBIcalc!$H$9+TBIcalc!$H$10),"")</f>
        <v>1.9742000000000002</v>
      </c>
      <c r="N249" s="385">
        <f>AVERAGE(Ashed_controlls!$K$2:$K$11)</f>
        <v>5.5147656768714146</v>
      </c>
      <c r="O249" s="223">
        <f t="shared" si="16"/>
        <v>1.8653274960072048</v>
      </c>
      <c r="P249" s="223">
        <f>IFERROR(INDEX('Both teabags AfterWet'!$C$3:$C$840,MATCH(K249,'Both teabags AfterWet'!$A$3:$A$840,0)),"")</f>
        <v>1.5295000000000001</v>
      </c>
      <c r="Q249" s="223">
        <f>IFERROR(IF(P249&gt;0,P249-(TBIcalc!$H$9),""),"")</f>
        <v>1.3789</v>
      </c>
      <c r="R249" s="223">
        <f>IFERROR(INDEX('Ashed teabags wet'!$K$2:$K$2000,MATCH(K249,'Ashed teabags wet'!$A$2:$A$2000,0)),"")</f>
        <v>4.1749502982106899</v>
      </c>
      <c r="S249" s="223">
        <f t="shared" si="17"/>
        <v>1.3213316103379729</v>
      </c>
      <c r="T249" s="224">
        <f>'WetLitterbags placem_collection'!E30</f>
        <v>42767</v>
      </c>
      <c r="U249" s="224">
        <f>IF('WetLitterbags placem_collection'!G30="","",'WetLitterbags placem_collection'!G30)</f>
        <v>42818</v>
      </c>
      <c r="V249" s="225">
        <f t="shared" si="15"/>
        <v>51</v>
      </c>
      <c r="W249" s="223">
        <f t="shared" si="18"/>
        <v>0.59530000000000016</v>
      </c>
      <c r="X249" s="223">
        <f t="shared" si="19"/>
        <v>0.54399588566923196</v>
      </c>
      <c r="Y249">
        <f>IFERROR(INDEX(Rainfall_Wet!$O$2:$O$217,MATCH(B249, Rainfall_Wet!$A$2:$A$217,0)),"")</f>
        <v>185.630065823</v>
      </c>
      <c r="Z249" s="228">
        <v>51.960000000000008</v>
      </c>
      <c r="AA249" s="228">
        <v>18.919999999999995</v>
      </c>
      <c r="AB249" s="228">
        <v>29.120000000000005</v>
      </c>
      <c r="AC249" s="229" t="s">
        <v>2657</v>
      </c>
      <c r="AD249" s="228">
        <v>4.8529324790537203</v>
      </c>
      <c r="AE249" t="str">
        <f>IF('WetLitterbags placem_collection'!AB30="","",'WetLitterbags placem_collection'!AB30)</f>
        <v/>
      </c>
      <c r="AF249" t="str">
        <f>IF('WetLitterbags placem_collection'!Z30="","",'WetLitterbags placem_collection'!Z30)</f>
        <v/>
      </c>
      <c r="AG249" s="243" t="str">
        <f>IF('WetLitterbags placem_collection'!AA30="","",'WetLitterbags placem_collection'!AA30)</f>
        <v/>
      </c>
      <c r="AH249" t="str">
        <f>IF('WetLitterbags placem_collection'!AC30="","",'WetLitterbags placem_collection'!AC30)</f>
        <v/>
      </c>
      <c r="AI249" s="237">
        <f>AVERAGE('WetLitterbags placem_collection'!S30,'WetLitterbags placem_collection'!U30)</f>
        <v>33.4</v>
      </c>
      <c r="AJ249">
        <f>AVERAGE('WetLitterbags placem_collection'!R30,'WetLitterbags placem_collection'!T30)</f>
        <v>20.6</v>
      </c>
      <c r="AK249">
        <f>INDEX(Coordinates!$B$2:$B$197,MATCH(H249,Coordinates!$J$2:$J$197,0))</f>
        <v>-3.3850070369999998</v>
      </c>
      <c r="AL249">
        <f>INDEX(Coordinates!$C$2:$C$197,MATCH(H249,Coordinates!$J$2:$J$197,0))</f>
        <v>34.818888960000002</v>
      </c>
      <c r="AM249" t="str">
        <f>IF(ISNUMBER(SEARCH("C", 'WetLitterbags placem_collection'!$W30)),"YES","NO")</f>
        <v>NO</v>
      </c>
      <c r="AN249" t="str">
        <f>IF(ISNUMBER(SEARCH("H", 'WetLitterbags placem_collection'!$W30)),"YES","NO")</f>
        <v>NO</v>
      </c>
      <c r="AO249" t="str">
        <f>IF(ISNUMBER(SEARCH("R", 'WetLitterbags placem_collection'!$W30)),"YES","NO")</f>
        <v>NO</v>
      </c>
    </row>
    <row r="250" spans="1:41" ht="15" customHeight="1">
      <c r="A250" s="255" t="s">
        <v>2454</v>
      </c>
      <c r="B250" s="260">
        <f>'Dry_Litterbag Placem_Collection'!A31</f>
        <v>29</v>
      </c>
      <c r="C250" s="260" t="str">
        <f>'Dry_Litterbag Placem_Collection'!B31</f>
        <v>Makao</v>
      </c>
      <c r="D250" s="260" t="s">
        <v>2643</v>
      </c>
      <c r="E250" s="260" t="s">
        <v>2644</v>
      </c>
      <c r="F250" s="260">
        <v>4</v>
      </c>
      <c r="G250" s="260" t="s">
        <v>3804</v>
      </c>
      <c r="H250" s="261" t="str">
        <f>'Dry_Litterbag Placem_Collection'!C31</f>
        <v>Dry_Ag4_T5</v>
      </c>
      <c r="I250" s="262" t="s">
        <v>2525</v>
      </c>
      <c r="J250" s="269" t="s">
        <v>298</v>
      </c>
      <c r="K250" s="221" t="str">
        <f>'WetLitterbags placem_collection'!M31</f>
        <v>R386</v>
      </c>
      <c r="L250" s="223">
        <f>IFERROR(INDEX('Green_rooibos initial weight'!$C$5:$C$2000,MATCH(K250, 'Green_rooibos initial weight'!$A$5:$A$2000,0)),"")</f>
        <v>2.2309999999999999</v>
      </c>
      <c r="M250" s="223">
        <f>IFERROR(L250-(TBIcalc!$H$9+TBIcalc!$H$10),"")</f>
        <v>1.9811999999999999</v>
      </c>
      <c r="N250" s="385">
        <f>AVERAGE(Ashed_controlls!$K$2:$K$11)</f>
        <v>5.5147656768714146</v>
      </c>
      <c r="O250" s="223">
        <f t="shared" si="16"/>
        <v>1.8719414624098234</v>
      </c>
      <c r="P250" s="223">
        <f>IFERROR(INDEX('Both teabags AfterWet'!$C$3:$C$840,MATCH(K250,'Both teabags AfterWet'!$A$3:$A$840,0)),"")</f>
        <v>1.5941000000000001</v>
      </c>
      <c r="Q250" s="223">
        <f>IFERROR(IF(P250&gt;0,P250-(TBIcalc!$H$9),""),"")</f>
        <v>1.4435</v>
      </c>
      <c r="R250" s="223">
        <f>IFERROR(INDEX('Ashed teabags wet'!$K$2:$K$2000,MATCH(K250,'Ashed teabags wet'!$A$2:$A$2000,0)),"")</f>
        <v>10.99756690997477</v>
      </c>
      <c r="S250" s="223">
        <f t="shared" si="17"/>
        <v>1.2847501216545143</v>
      </c>
      <c r="T250" s="224">
        <f>'WetLitterbags placem_collection'!E31</f>
        <v>42767</v>
      </c>
      <c r="U250" s="224">
        <f>IF('WetLitterbags placem_collection'!G31="","",'WetLitterbags placem_collection'!G31)</f>
        <v>42818</v>
      </c>
      <c r="V250" s="225">
        <f t="shared" si="15"/>
        <v>51</v>
      </c>
      <c r="W250" s="223">
        <f t="shared" si="18"/>
        <v>0.53769999999999984</v>
      </c>
      <c r="X250" s="223">
        <f t="shared" si="19"/>
        <v>0.5871913407553091</v>
      </c>
      <c r="Y250">
        <f>IFERROR(INDEX(Rainfall_Wet!$O$2:$O$217,MATCH(B250, Rainfall_Wet!$A$2:$A$217,0)),"")</f>
        <v>185.630065823</v>
      </c>
      <c r="Z250" s="228">
        <v>51.960000000000008</v>
      </c>
      <c r="AA250" s="228">
        <v>18.919999999999995</v>
      </c>
      <c r="AB250" s="228">
        <v>29.120000000000005</v>
      </c>
      <c r="AC250" s="229" t="s">
        <v>2657</v>
      </c>
      <c r="AD250" s="228">
        <v>5.8529324790537203</v>
      </c>
      <c r="AE250" t="str">
        <f>IF('WetLitterbags placem_collection'!AB31="","",'WetLitterbags placem_collection'!AB31)</f>
        <v/>
      </c>
      <c r="AF250" t="str">
        <f>IF('WetLitterbags placem_collection'!Z31="","",'WetLitterbags placem_collection'!Z31)</f>
        <v/>
      </c>
      <c r="AG250" s="243" t="str">
        <f>IF('WetLitterbags placem_collection'!AA31="","",'WetLitterbags placem_collection'!AA31)</f>
        <v/>
      </c>
      <c r="AH250" t="str">
        <f>IF('WetLitterbags placem_collection'!AC31="","",'WetLitterbags placem_collection'!AC31)</f>
        <v/>
      </c>
      <c r="AI250" s="237">
        <f>AVERAGE('WetLitterbags placem_collection'!S31,'WetLitterbags placem_collection'!U31)</f>
        <v>28.4</v>
      </c>
      <c r="AJ250">
        <f>AVERAGE('WetLitterbags placem_collection'!R31,'WetLitterbags placem_collection'!T31)</f>
        <v>21.049999999999997</v>
      </c>
      <c r="AK250">
        <f>INDEX(Coordinates!$B$2:$B$197,MATCH(H250,Coordinates!$J$2:$J$197,0))</f>
        <v>-3.3849480280000002</v>
      </c>
      <c r="AL250">
        <f>INDEX(Coordinates!$C$2:$C$197,MATCH(H250,Coordinates!$J$2:$J$197,0))</f>
        <v>34.818854010000003</v>
      </c>
      <c r="AM250" t="str">
        <f>IF(ISNUMBER(SEARCH("C", 'WetLitterbags placem_collection'!$W31)),"YES","NO")</f>
        <v>NO</v>
      </c>
      <c r="AN250" t="str">
        <f>IF(ISNUMBER(SEARCH("H", 'WetLitterbags placem_collection'!$W31)),"YES","NO")</f>
        <v>YES</v>
      </c>
      <c r="AO250" t="str">
        <f>IF(ISNUMBER(SEARCH("R", 'WetLitterbags placem_collection'!$W31)),"YES","NO")</f>
        <v>YES</v>
      </c>
    </row>
    <row r="251" spans="1:41" ht="15" customHeight="1">
      <c r="A251" s="255" t="s">
        <v>2454</v>
      </c>
      <c r="B251" s="260">
        <f>'Dry_Litterbag Placem_Collection'!A32</f>
        <v>30</v>
      </c>
      <c r="C251" s="260" t="str">
        <f>'Dry_Litterbag Placem_Collection'!B32</f>
        <v>Makao</v>
      </c>
      <c r="D251" s="260" t="s">
        <v>2643</v>
      </c>
      <c r="E251" s="260" t="s">
        <v>2644</v>
      </c>
      <c r="F251" s="260">
        <v>4</v>
      </c>
      <c r="G251" s="260" t="s">
        <v>3804</v>
      </c>
      <c r="H251" s="261" t="str">
        <f>'Dry_Litterbag Placem_Collection'!C32</f>
        <v>Dry_Ag4_T6</v>
      </c>
      <c r="I251" s="262" t="s">
        <v>2525</v>
      </c>
      <c r="J251" s="269" t="s">
        <v>298</v>
      </c>
      <c r="K251" s="221" t="str">
        <f>'WetLitterbags placem_collection'!M32</f>
        <v>R507</v>
      </c>
      <c r="L251" s="223">
        <f>IFERROR(INDEX('Green_rooibos initial weight'!$C$5:$C$2000,MATCH(K251, 'Green_rooibos initial weight'!$A$5:$A$2000,0)),"")</f>
        <v>2.1920000000000002</v>
      </c>
      <c r="M251" s="223">
        <f>IFERROR(L251-(TBIcalc!$H$9+TBIcalc!$H$10),"")</f>
        <v>1.9422000000000001</v>
      </c>
      <c r="N251" s="385">
        <f>AVERAGE(Ashed_controlls!$K$2:$K$11)</f>
        <v>5.5147656768714146</v>
      </c>
      <c r="O251" s="223">
        <f t="shared" si="16"/>
        <v>1.8350922210238034</v>
      </c>
      <c r="P251" s="223">
        <f>IFERROR(INDEX('Both teabags AfterWet'!$C$3:$C$840,MATCH(K251,'Both teabags AfterWet'!$A$3:$A$840,0)),"")</f>
        <v>1.3523000000000001</v>
      </c>
      <c r="Q251" s="223">
        <f>IFERROR(IF(P251&gt;0,P251-(TBIcalc!$H$9),""),"")</f>
        <v>1.2017</v>
      </c>
      <c r="R251" s="223">
        <f>IFERROR(INDEX('Ashed teabags wet'!$K$2:$K$2000,MATCH(K251,'Ashed teabags wet'!$A$2:$A$2000,0)),"")</f>
        <v>4.821073558648326</v>
      </c>
      <c r="S251" s="223">
        <f t="shared" si="17"/>
        <v>1.143765159045723</v>
      </c>
      <c r="T251" s="224">
        <f>'WetLitterbags placem_collection'!E32</f>
        <v>42767</v>
      </c>
      <c r="U251" s="224">
        <f>IF('WetLitterbags placem_collection'!G32="","",'WetLitterbags placem_collection'!G32)</f>
        <v>42818</v>
      </c>
      <c r="V251" s="225">
        <f t="shared" si="15"/>
        <v>51</v>
      </c>
      <c r="W251" s="223">
        <f t="shared" si="18"/>
        <v>0.74050000000000016</v>
      </c>
      <c r="X251" s="223">
        <f t="shared" si="19"/>
        <v>0.69132706197808047</v>
      </c>
      <c r="Y251">
        <f>IFERROR(INDEX(Rainfall_Wet!$O$2:$O$217,MATCH(B251, Rainfall_Wet!$A$2:$A$217,0)),"")</f>
        <v>185.630065823</v>
      </c>
      <c r="Z251" s="228">
        <v>51.960000000000008</v>
      </c>
      <c r="AA251" s="228">
        <v>18.919999999999995</v>
      </c>
      <c r="AB251" s="228">
        <v>29.120000000000005</v>
      </c>
      <c r="AC251" s="229" t="s">
        <v>2657</v>
      </c>
      <c r="AD251" s="228">
        <v>6.8529324790537203</v>
      </c>
      <c r="AE251" t="str">
        <f>IF('WetLitterbags placem_collection'!AB32="","",'WetLitterbags placem_collection'!AB32)</f>
        <v/>
      </c>
      <c r="AF251" t="str">
        <f>IF('WetLitterbags placem_collection'!Z32="","",'WetLitterbags placem_collection'!Z32)</f>
        <v/>
      </c>
      <c r="AG251" s="243" t="str">
        <f>IF('WetLitterbags placem_collection'!AA32="","",'WetLitterbags placem_collection'!AA32)</f>
        <v/>
      </c>
      <c r="AH251" t="str">
        <f>IF('WetLitterbags placem_collection'!AC32="","",'WetLitterbags placem_collection'!AC32)</f>
        <v/>
      </c>
      <c r="AI251" s="237">
        <f>AVERAGE('WetLitterbags placem_collection'!S32,'WetLitterbags placem_collection'!U32)</f>
        <v>26.9</v>
      </c>
      <c r="AJ251">
        <f>AVERAGE('WetLitterbags placem_collection'!R32,'WetLitterbags placem_collection'!T32)</f>
        <v>20.7</v>
      </c>
      <c r="AK251">
        <f>INDEX(Coordinates!$B$2:$B$197,MATCH(H251,Coordinates!$J$2:$J$197,0))</f>
        <v>-3.38496496</v>
      </c>
      <c r="AL251">
        <f>INDEX(Coordinates!$C$2:$C$197,MATCH(H251,Coordinates!$J$2:$J$197,0))</f>
        <v>34.818790970000002</v>
      </c>
      <c r="AM251" t="str">
        <f>IF(ISNUMBER(SEARCH("C", 'WetLitterbags placem_collection'!$W32)),"YES","NO")</f>
        <v>NO</v>
      </c>
      <c r="AN251" t="str">
        <f>IF(ISNUMBER(SEARCH("H", 'WetLitterbags placem_collection'!$W32)),"YES","NO")</f>
        <v>NO</v>
      </c>
      <c r="AO251" t="str">
        <f>IF(ISNUMBER(SEARCH("R", 'WetLitterbags placem_collection'!$W32)),"YES","NO")</f>
        <v>YES</v>
      </c>
    </row>
    <row r="252" spans="1:41" ht="15" customHeight="1">
      <c r="A252" s="255" t="s">
        <v>2454</v>
      </c>
      <c r="B252" s="260">
        <f>'Dry_Litterbag Placem_Collection'!A33</f>
        <v>31</v>
      </c>
      <c r="C252" s="260" t="str">
        <f>'Dry_Litterbag Placem_Collection'!B33</f>
        <v>Makao</v>
      </c>
      <c r="D252" s="260" t="s">
        <v>2643</v>
      </c>
      <c r="E252" s="260" t="s">
        <v>2644</v>
      </c>
      <c r="F252" s="260">
        <v>4</v>
      </c>
      <c r="G252" s="260" t="s">
        <v>3804</v>
      </c>
      <c r="H252" s="261" t="str">
        <f>'Dry_Litterbag Placem_Collection'!C33</f>
        <v>Dry_Ag4_T7</v>
      </c>
      <c r="I252" s="262" t="s">
        <v>2525</v>
      </c>
      <c r="J252" s="269" t="s">
        <v>298</v>
      </c>
      <c r="K252" s="221" t="str">
        <f>'WetLitterbags placem_collection'!M33</f>
        <v>R141</v>
      </c>
      <c r="L252" s="223">
        <f>IFERROR(INDEX('Green_rooibos initial weight'!$C$5:$C$2000,MATCH(K252, 'Green_rooibos initial weight'!$A$5:$A$2000,0)),"")</f>
        <v>2.2029999999999998</v>
      </c>
      <c r="M252" s="223">
        <f>IFERROR(L252-(TBIcalc!$H$9+TBIcalc!$H$10),"")</f>
        <v>1.9531999999999998</v>
      </c>
      <c r="N252" s="385">
        <f>AVERAGE(Ashed_controlls!$K$2:$K$11)</f>
        <v>5.5147656768714146</v>
      </c>
      <c r="O252" s="223">
        <f t="shared" si="16"/>
        <v>1.8454855967993473</v>
      </c>
      <c r="P252" s="223">
        <f>IFERROR(INDEX('Both teabags AfterWet'!$C$3:$C$840,MATCH(K252,'Both teabags AfterWet'!$A$3:$A$840,0)),"")</f>
        <v>1.3197000000000001</v>
      </c>
      <c r="Q252" s="223">
        <f>IFERROR(IF(P252&gt;0,P252-(TBIcalc!$H$9),""),"")</f>
        <v>1.1691</v>
      </c>
      <c r="R252" s="223">
        <f>IFERROR(INDEX('Ashed teabags wet'!$K$2:$K$2000,MATCH(K252,'Ashed teabags wet'!$A$2:$A$2000,0)),"")</f>
        <v>5.5501460564756266</v>
      </c>
      <c r="S252" s="223">
        <f t="shared" si="17"/>
        <v>1.1042132424537434</v>
      </c>
      <c r="T252" s="224">
        <f>'WetLitterbags placem_collection'!E33</f>
        <v>42767</v>
      </c>
      <c r="U252" s="224">
        <f>IF('WetLitterbags placem_collection'!G33="","",'WetLitterbags placem_collection'!G33)</f>
        <v>42818</v>
      </c>
      <c r="V252" s="225">
        <f t="shared" si="15"/>
        <v>51</v>
      </c>
      <c r="W252" s="223">
        <f t="shared" si="18"/>
        <v>0.7840999999999998</v>
      </c>
      <c r="X252" s="223">
        <f t="shared" si="19"/>
        <v>0.7412723543456039</v>
      </c>
      <c r="Y252">
        <f>IFERROR(INDEX(Rainfall_Wet!$O$2:$O$217,MATCH(B252, Rainfall_Wet!$A$2:$A$217,0)),"")</f>
        <v>185.630065823</v>
      </c>
      <c r="Z252" s="228">
        <v>51.960000000000008</v>
      </c>
      <c r="AA252" s="228">
        <v>18.919999999999995</v>
      </c>
      <c r="AB252" s="228">
        <v>29.120000000000005</v>
      </c>
      <c r="AC252" s="229" t="s">
        <v>2657</v>
      </c>
      <c r="AD252" s="228">
        <v>7.8529324790537203</v>
      </c>
      <c r="AE252" t="str">
        <f>IF('WetLitterbags placem_collection'!AB33="","",'WetLitterbags placem_collection'!AB33)</f>
        <v/>
      </c>
      <c r="AF252" t="str">
        <f>IF('WetLitterbags placem_collection'!Z33="","",'WetLitterbags placem_collection'!Z33)</f>
        <v/>
      </c>
      <c r="AG252" s="243" t="str">
        <f>IF('WetLitterbags placem_collection'!AA33="","",'WetLitterbags placem_collection'!AA33)</f>
        <v/>
      </c>
      <c r="AH252" t="str">
        <f>IF('WetLitterbags placem_collection'!AC33="","",'WetLitterbags placem_collection'!AC33)</f>
        <v/>
      </c>
      <c r="AI252" s="237">
        <f>AVERAGE('WetLitterbags placem_collection'!S33,'WetLitterbags placem_collection'!U33)</f>
        <v>33</v>
      </c>
      <c r="AJ252">
        <f>AVERAGE('WetLitterbags placem_collection'!R33,'WetLitterbags placem_collection'!T33)</f>
        <v>20.950000000000003</v>
      </c>
      <c r="AK252">
        <f>INDEX(Coordinates!$B$2:$B$197,MATCH(H252,Coordinates!$J$2:$J$197,0))</f>
        <v>-3.3848409909999999</v>
      </c>
      <c r="AL252">
        <f>INDEX(Coordinates!$C$2:$C$197,MATCH(H252,Coordinates!$J$2:$J$197,0))</f>
        <v>34.818838999999997</v>
      </c>
      <c r="AM252" t="str">
        <f>IF(ISNUMBER(SEARCH("C", 'WetLitterbags placem_collection'!$W33)),"YES","NO")</f>
        <v>NO</v>
      </c>
      <c r="AN252" t="str">
        <f>IF(ISNUMBER(SEARCH("H", 'WetLitterbags placem_collection'!$W33)),"YES","NO")</f>
        <v>NO</v>
      </c>
      <c r="AO252" t="str">
        <f>IF(ISNUMBER(SEARCH("R", 'WetLitterbags placem_collection'!$W33)),"YES","NO")</f>
        <v>YES</v>
      </c>
    </row>
    <row r="253" spans="1:41" ht="15" customHeight="1">
      <c r="A253" s="255" t="s">
        <v>2454</v>
      </c>
      <c r="B253" s="260">
        <f>'Dry_Litterbag Placem_Collection'!A34</f>
        <v>32</v>
      </c>
      <c r="C253" s="260" t="str">
        <f>'Dry_Litterbag Placem_Collection'!B34</f>
        <v>Makao</v>
      </c>
      <c r="D253" s="260" t="s">
        <v>2643</v>
      </c>
      <c r="E253" s="260" t="s">
        <v>2644</v>
      </c>
      <c r="F253" s="260">
        <v>4</v>
      </c>
      <c r="G253" s="260" t="s">
        <v>3804</v>
      </c>
      <c r="H253" s="261" t="str">
        <f>'Dry_Litterbag Placem_Collection'!C34</f>
        <v>Dry_Ag4_T8</v>
      </c>
      <c r="I253" s="262" t="s">
        <v>2525</v>
      </c>
      <c r="J253" s="269" t="s">
        <v>298</v>
      </c>
      <c r="K253" s="221" t="str">
        <f>'WetLitterbags placem_collection'!M34</f>
        <v>R396</v>
      </c>
      <c r="L253" s="223">
        <f>IFERROR(INDEX('Green_rooibos initial weight'!$C$5:$C$2000,MATCH(K253, 'Green_rooibos initial weight'!$A$5:$A$2000,0)),"")</f>
        <v>2.14</v>
      </c>
      <c r="M253" s="223">
        <f>IFERROR(L253-(TBIcalc!$H$9+TBIcalc!$H$10),"")</f>
        <v>1.8902000000000001</v>
      </c>
      <c r="N253" s="385">
        <f>AVERAGE(Ashed_controlls!$K$2:$K$11)</f>
        <v>5.5147656768714146</v>
      </c>
      <c r="O253" s="223">
        <f t="shared" si="16"/>
        <v>1.7859598991757766</v>
      </c>
      <c r="P253" s="223">
        <f>IFERROR(INDEX('Both teabags AfterWet'!$C$3:$C$840,MATCH(K253,'Both teabags AfterWet'!$A$3:$A$840,0)),"")</f>
        <v>1.3464</v>
      </c>
      <c r="Q253" s="223">
        <f>IFERROR(IF(P253&gt;0,P253-(TBIcalc!$H$9),""),"")</f>
        <v>1.1958</v>
      </c>
      <c r="R253" s="223">
        <f>IFERROR(INDEX('Ashed teabags wet'!$K$2:$K$2000,MATCH(K253,'Ashed teabags wet'!$A$2:$A$2000,0)),"")</f>
        <v>7.5764934434188538</v>
      </c>
      <c r="S253" s="223">
        <f t="shared" si="17"/>
        <v>1.1052002914035972</v>
      </c>
      <c r="T253" s="224">
        <f>'WetLitterbags placem_collection'!E34</f>
        <v>42767</v>
      </c>
      <c r="U253" s="224">
        <f>IF('WetLitterbags placem_collection'!G34="","",'WetLitterbags placem_collection'!G34)</f>
        <v>42818</v>
      </c>
      <c r="V253" s="225">
        <f t="shared" si="15"/>
        <v>51</v>
      </c>
      <c r="W253" s="223">
        <f t="shared" si="18"/>
        <v>0.69440000000000013</v>
      </c>
      <c r="X253" s="223">
        <f t="shared" si="19"/>
        <v>0.68075960777217936</v>
      </c>
      <c r="Y253">
        <f>IFERROR(INDEX(Rainfall_Wet!$O$2:$O$217,MATCH(B253, Rainfall_Wet!$A$2:$A$217,0)),"")</f>
        <v>185.630065823</v>
      </c>
      <c r="Z253" s="228">
        <v>51.960000000000008</v>
      </c>
      <c r="AA253" s="228">
        <v>18.919999999999995</v>
      </c>
      <c r="AB253" s="228">
        <v>29.120000000000005</v>
      </c>
      <c r="AC253" s="229" t="s">
        <v>2657</v>
      </c>
      <c r="AD253" s="228">
        <v>8.8529324790537203</v>
      </c>
      <c r="AE253" t="str">
        <f>IF('WetLitterbags placem_collection'!AB34="","",'WetLitterbags placem_collection'!AB34)</f>
        <v/>
      </c>
      <c r="AF253" t="str">
        <f>IF('WetLitterbags placem_collection'!Z34="","",'WetLitterbags placem_collection'!Z34)</f>
        <v/>
      </c>
      <c r="AG253" s="243" t="str">
        <f>IF('WetLitterbags placem_collection'!AA34="","",'WetLitterbags placem_collection'!AA34)</f>
        <v/>
      </c>
      <c r="AH253" t="str">
        <f>IF('WetLitterbags placem_collection'!AC34="","",'WetLitterbags placem_collection'!AC34)</f>
        <v/>
      </c>
      <c r="AI253" s="237">
        <f>AVERAGE('WetLitterbags placem_collection'!S34,'WetLitterbags placem_collection'!U34)</f>
        <v>32.849999999999994</v>
      </c>
      <c r="AJ253">
        <f>AVERAGE('WetLitterbags placem_collection'!R34,'WetLitterbags placem_collection'!T34)</f>
        <v>20.9</v>
      </c>
      <c r="AK253">
        <f>INDEX(Coordinates!$B$2:$B$197,MATCH(H253,Coordinates!$J$2:$J$197,0))</f>
        <v>-3.3849010060000002</v>
      </c>
      <c r="AL253">
        <f>INDEX(Coordinates!$C$2:$C$197,MATCH(H253,Coordinates!$J$2:$J$197,0))</f>
        <v>34.818979990000003</v>
      </c>
      <c r="AM253" t="str">
        <f>IF(ISNUMBER(SEARCH("C", 'WetLitterbags placem_collection'!$W34)),"YES","NO")</f>
        <v>NO</v>
      </c>
      <c r="AN253" t="str">
        <f>IF(ISNUMBER(SEARCH("H", 'WetLitterbags placem_collection'!$W34)),"YES","NO")</f>
        <v>NO</v>
      </c>
      <c r="AO253" t="str">
        <f>IF(ISNUMBER(SEARCH("R", 'WetLitterbags placem_collection'!$W34)),"YES","NO")</f>
        <v>YES</v>
      </c>
    </row>
    <row r="254" spans="1:41" ht="15" customHeight="1">
      <c r="A254" s="255" t="s">
        <v>2454</v>
      </c>
      <c r="B254" s="260">
        <f>'Dry_Litterbag Placem_Collection'!A35</f>
        <v>33</v>
      </c>
      <c r="C254" s="260" t="str">
        <f>'Dry_Litterbag Placem_Collection'!B35</f>
        <v>Makao</v>
      </c>
      <c r="D254" s="260" t="s">
        <v>2643</v>
      </c>
      <c r="E254" s="260" t="s">
        <v>20</v>
      </c>
      <c r="F254" s="260">
        <v>1</v>
      </c>
      <c r="G254" s="260" t="s">
        <v>3805</v>
      </c>
      <c r="H254" s="261" t="str">
        <f>'Dry_Litterbag Placem_Collection'!C35</f>
        <v>Dry_P1_T1</v>
      </c>
      <c r="I254" s="262" t="s">
        <v>2525</v>
      </c>
      <c r="J254" s="269" t="s">
        <v>298</v>
      </c>
      <c r="K254" s="221" t="str">
        <f>'WetLitterbags placem_collection'!M35</f>
        <v>R109</v>
      </c>
      <c r="L254" s="223">
        <f>IFERROR(INDEX('Green_rooibos initial weight'!$C$5:$C$2000,MATCH(K254, 'Green_rooibos initial weight'!$A$5:$A$2000,0)),"")</f>
        <v>2.2090000000000001</v>
      </c>
      <c r="M254" s="223">
        <f>IFERROR(L254-(TBIcalc!$H$9+TBIcalc!$H$10),"")</f>
        <v>1.9592000000000001</v>
      </c>
      <c r="N254" s="385">
        <f>AVERAGE(Ashed_controlls!$K$2:$K$11)</f>
        <v>5.5147656768714146</v>
      </c>
      <c r="O254" s="223">
        <f t="shared" si="16"/>
        <v>1.8511547108587354</v>
      </c>
      <c r="P254" s="223">
        <f>IFERROR(INDEX('Both teabags AfterWet'!$C$3:$C$840,MATCH(K254,'Both teabags AfterWet'!$A$3:$A$840,0)),"")</f>
        <v>0.41499999999999998</v>
      </c>
      <c r="Q254" s="223">
        <f>IFERROR(IF(P254&gt;0,P254-(TBIcalc!$H$9),""),"")</f>
        <v>0.26439999999999997</v>
      </c>
      <c r="R254" s="223">
        <f>IFERROR(INDEX('Ashed teabags wet'!$K$2:$K$2000,MATCH(K254,'Ashed teabags wet'!$A$2:$A$2000,0)),"")</f>
        <v>0</v>
      </c>
      <c r="S254" s="223">
        <f t="shared" si="17"/>
        <v>0.26439999999999997</v>
      </c>
      <c r="T254" s="224">
        <f>'WetLitterbags placem_collection'!E35</f>
        <v>42765</v>
      </c>
      <c r="U254" s="224">
        <f>IF('WetLitterbags placem_collection'!G35="","",'WetLitterbags placem_collection'!G35)</f>
        <v>42820</v>
      </c>
      <c r="V254" s="225">
        <f t="shared" si="15"/>
        <v>55</v>
      </c>
      <c r="W254" s="223">
        <f t="shared" si="18"/>
        <v>1.6948000000000001</v>
      </c>
      <c r="X254" s="223">
        <f t="shared" si="19"/>
        <v>1.5867547108587354</v>
      </c>
      <c r="Y254">
        <f>IFERROR(INDEX(Rainfall_Wet!$O$2:$O$217,MATCH(B254, Rainfall_Wet!$A$2:$A$217,0)),"")</f>
        <v>228.324359195</v>
      </c>
      <c r="Z254" s="228">
        <v>23.96</v>
      </c>
      <c r="AA254" s="228">
        <v>0.91999999999999804</v>
      </c>
      <c r="AB254" s="228">
        <v>75.12</v>
      </c>
      <c r="AC254" s="229" t="s">
        <v>2654</v>
      </c>
      <c r="AD254" s="228">
        <v>1.2493839329719072</v>
      </c>
      <c r="AE254">
        <f>IF('WetLitterbags placem_collection'!AB35="","",'WetLitterbags placem_collection'!AB35)</f>
        <v>9.5</v>
      </c>
      <c r="AF254">
        <f>IF('WetLitterbags placem_collection'!Z35="","",'WetLitterbags placem_collection'!Z35)</f>
        <v>17.2</v>
      </c>
      <c r="AG254" s="243" t="str">
        <f>IF('WetLitterbags placem_collection'!AA35="","",'WetLitterbags placem_collection'!AA35)</f>
        <v>G</v>
      </c>
      <c r="AH254">
        <f>IF('WetLitterbags placem_collection'!AC35="","",'WetLitterbags placem_collection'!AC35)</f>
        <v>0</v>
      </c>
      <c r="AI254" s="237">
        <f>AVERAGE('WetLitterbags placem_collection'!S35,'WetLitterbags placem_collection'!U35)</f>
        <v>30.5</v>
      </c>
      <c r="AJ254">
        <f>AVERAGE('WetLitterbags placem_collection'!R35,'WetLitterbags placem_collection'!T35)</f>
        <v>25.25</v>
      </c>
      <c r="AK254">
        <f>INDEX(Coordinates!$B$2:$B$197,MATCH(H254,Coordinates!$J$2:$J$197,0))</f>
        <v>-3.4092039989999998</v>
      </c>
      <c r="AL254">
        <f>INDEX(Coordinates!$C$2:$C$197,MATCH(H254,Coordinates!$J$2:$J$197,0))</f>
        <v>34.852751009999999</v>
      </c>
      <c r="AM254" t="str">
        <f>IF(ISNUMBER(SEARCH("C", 'WetLitterbags placem_collection'!$W35)),"YES","NO")</f>
        <v>YES</v>
      </c>
      <c r="AN254" t="str">
        <f>IF(ISNUMBER(SEARCH("H", 'WetLitterbags placem_collection'!$W35)),"YES","NO")</f>
        <v>YES</v>
      </c>
      <c r="AO254" t="str">
        <f>IF(ISNUMBER(SEARCH("R", 'WetLitterbags placem_collection'!$W35)),"YES","NO")</f>
        <v>NO</v>
      </c>
    </row>
    <row r="255" spans="1:41" ht="15" customHeight="1">
      <c r="A255" s="255" t="s">
        <v>2454</v>
      </c>
      <c r="B255" s="260">
        <f>'Dry_Litterbag Placem_Collection'!A36</f>
        <v>34</v>
      </c>
      <c r="C255" s="260" t="str">
        <f>'Dry_Litterbag Placem_Collection'!B36</f>
        <v>Makao</v>
      </c>
      <c r="D255" s="260" t="s">
        <v>2643</v>
      </c>
      <c r="E255" s="260" t="s">
        <v>20</v>
      </c>
      <c r="F255" s="260">
        <v>1</v>
      </c>
      <c r="G255" s="260" t="s">
        <v>3805</v>
      </c>
      <c r="H255" s="261" t="str">
        <f>'Dry_Litterbag Placem_Collection'!C36</f>
        <v>Dry_P1_T2</v>
      </c>
      <c r="I255" s="262" t="s">
        <v>2525</v>
      </c>
      <c r="J255" s="269" t="s">
        <v>298</v>
      </c>
      <c r="K255" s="221" t="str">
        <f>'WetLitterbags placem_collection'!M36</f>
        <v>R153</v>
      </c>
      <c r="L255" s="223">
        <f>IFERROR(INDEX('Green_rooibos initial weight'!$C$5:$C$2000,MATCH(K255, 'Green_rooibos initial weight'!$A$5:$A$2000,0)),"")</f>
        <v>2.2200000000000002</v>
      </c>
      <c r="M255" s="223">
        <f>IFERROR(L255-(TBIcalc!$H$9+TBIcalc!$H$10),"")</f>
        <v>1.9702000000000002</v>
      </c>
      <c r="N255" s="385">
        <f>AVERAGE(Ashed_controlls!$K$2:$K$11)</f>
        <v>5.5147656768714146</v>
      </c>
      <c r="O255" s="223">
        <f t="shared" si="16"/>
        <v>1.8615480866342795</v>
      </c>
      <c r="P255" s="223">
        <f>IFERROR(INDEX('Both teabags AfterWet'!$C$3:$C$840,MATCH(K255,'Both teabags AfterWet'!$A$3:$A$840,0)),"")</f>
        <v>0.34520000000000001</v>
      </c>
      <c r="Q255" s="223">
        <f>IFERROR(IF(P255&gt;0,P255-(TBIcalc!$H$9),""),"")</f>
        <v>0.1946</v>
      </c>
      <c r="R255" s="223">
        <f>IFERROR(INDEX('Ashed teabags wet'!$K$2:$K$2000,MATCH(K255,'Ashed teabags wet'!$A$2:$A$2000,0)),"")</f>
        <v>0</v>
      </c>
      <c r="S255" s="223">
        <f t="shared" si="17"/>
        <v>0.1946</v>
      </c>
      <c r="T255" s="224">
        <f>'WetLitterbags placem_collection'!E36</f>
        <v>42765</v>
      </c>
      <c r="U255" s="224">
        <f>IF('WetLitterbags placem_collection'!G36="","",'WetLitterbags placem_collection'!G36)</f>
        <v>42820</v>
      </c>
      <c r="V255" s="225">
        <f t="shared" si="15"/>
        <v>55</v>
      </c>
      <c r="W255" s="223">
        <f t="shared" si="18"/>
        <v>1.7756000000000003</v>
      </c>
      <c r="X255" s="223">
        <f t="shared" si="19"/>
        <v>1.6669480866342794</v>
      </c>
      <c r="Y255">
        <f>IFERROR(INDEX(Rainfall_Wet!$O$2:$O$217,MATCH(B255, Rainfall_Wet!$A$2:$A$217,0)),"")</f>
        <v>228.324359195</v>
      </c>
      <c r="Z255" s="228">
        <v>23.96</v>
      </c>
      <c r="AA255" s="228">
        <v>0.91999999999999804</v>
      </c>
      <c r="AB255" s="228">
        <v>75.12</v>
      </c>
      <c r="AC255" s="229" t="s">
        <v>2654</v>
      </c>
      <c r="AD255" s="228">
        <v>1.2493839329719072</v>
      </c>
      <c r="AE255">
        <f>IF('WetLitterbags placem_collection'!AB36="","",'WetLitterbags placem_collection'!AB36)</f>
        <v>6.5</v>
      </c>
      <c r="AF255">
        <f>IF('WetLitterbags placem_collection'!Z36="","",'WetLitterbags placem_collection'!Z36)</f>
        <v>14.2</v>
      </c>
      <c r="AG255" s="243" t="str">
        <f>IF('WetLitterbags placem_collection'!AA36="","",'WetLitterbags placem_collection'!AA36)</f>
        <v>G</v>
      </c>
      <c r="AH255">
        <f>IF('WetLitterbags placem_collection'!AC36="","",'WetLitterbags placem_collection'!AC36)</f>
        <v>0</v>
      </c>
      <c r="AI255" s="237">
        <f>AVERAGE('WetLitterbags placem_collection'!S36,'WetLitterbags placem_collection'!U36)</f>
        <v>21</v>
      </c>
      <c r="AJ255">
        <f>AVERAGE('WetLitterbags placem_collection'!R36,'WetLitterbags placem_collection'!T36)</f>
        <v>25.55</v>
      </c>
      <c r="AK255">
        <f>INDEX(Coordinates!$B$2:$B$197,MATCH(H255,Coordinates!$J$2:$J$197,0))</f>
        <v>-3.4092350119999999</v>
      </c>
      <c r="AL255">
        <f>INDEX(Coordinates!$C$2:$C$197,MATCH(H255,Coordinates!$J$2:$J$197,0))</f>
        <v>34.852782019999999</v>
      </c>
      <c r="AM255" t="str">
        <f>IF(ISNUMBER(SEARCH("C", 'WetLitterbags placem_collection'!$W36)),"YES","NO")</f>
        <v>YES</v>
      </c>
      <c r="AN255" t="str">
        <f>IF(ISNUMBER(SEARCH("H", 'WetLitterbags placem_collection'!$W36)),"YES","NO")</f>
        <v>YES</v>
      </c>
      <c r="AO255" t="str">
        <f>IF(ISNUMBER(SEARCH("R", 'WetLitterbags placem_collection'!$W36)),"YES","NO")</f>
        <v>NO</v>
      </c>
    </row>
    <row r="256" spans="1:41" ht="15" customHeight="1">
      <c r="A256" s="255" t="s">
        <v>2454</v>
      </c>
      <c r="B256" s="260">
        <f>'Dry_Litterbag Placem_Collection'!A37</f>
        <v>35</v>
      </c>
      <c r="C256" s="260" t="str">
        <f>'Dry_Litterbag Placem_Collection'!B37</f>
        <v>Makao</v>
      </c>
      <c r="D256" s="260" t="s">
        <v>2643</v>
      </c>
      <c r="E256" s="260" t="s">
        <v>20</v>
      </c>
      <c r="F256" s="260">
        <v>1</v>
      </c>
      <c r="G256" s="260" t="s">
        <v>3805</v>
      </c>
      <c r="H256" s="261" t="str">
        <f>'Dry_Litterbag Placem_Collection'!C37</f>
        <v>Dry_P1_T3</v>
      </c>
      <c r="I256" s="262" t="s">
        <v>2525</v>
      </c>
      <c r="J256" s="269" t="s">
        <v>298</v>
      </c>
      <c r="K256" s="221" t="str">
        <f>'WetLitterbags placem_collection'!M37</f>
        <v>R64</v>
      </c>
      <c r="L256" s="223">
        <f>IFERROR(INDEX('Green_rooibos initial weight'!$C$5:$C$2000,MATCH(K256, 'Green_rooibos initial weight'!$A$5:$A$2000,0)),"")</f>
        <v>2.2879999999999998</v>
      </c>
      <c r="M256" s="223">
        <f>IFERROR(L256-(TBIcalc!$H$9+TBIcalc!$H$10),"")</f>
        <v>2.0381999999999998</v>
      </c>
      <c r="N256" s="385">
        <f>AVERAGE(Ashed_controlls!$K$2:$K$11)</f>
        <v>5.5147656768714146</v>
      </c>
      <c r="O256" s="223">
        <f t="shared" si="16"/>
        <v>1.9257980459740067</v>
      </c>
      <c r="P256" s="223">
        <f>IFERROR(INDEX('Both teabags AfterWet'!$C$3:$C$840,MATCH(K256,'Both teabags AfterWet'!$A$3:$A$840,0)),"")</f>
        <v>1.615</v>
      </c>
      <c r="Q256" s="223">
        <f>IFERROR(IF(P256&gt;0,P256-(TBIcalc!$H$9),""),"")</f>
        <v>1.4643999999999999</v>
      </c>
      <c r="R256" s="223">
        <f>IFERROR(INDEX('Ashed teabags wet'!$K$2:$K$2000,MATCH(K256,'Ashed teabags wet'!$A$2:$A$2000,0)),"")</f>
        <v>5.3045186640471123</v>
      </c>
      <c r="S256" s="223">
        <f t="shared" si="17"/>
        <v>1.3867206286836939</v>
      </c>
      <c r="T256" s="224">
        <f>'WetLitterbags placem_collection'!E37</f>
        <v>42765</v>
      </c>
      <c r="U256" s="224">
        <f>IF('WetLitterbags placem_collection'!G37="","",'WetLitterbags placem_collection'!G37)</f>
        <v>42820</v>
      </c>
      <c r="V256" s="225">
        <f t="shared" si="15"/>
        <v>55</v>
      </c>
      <c r="W256" s="223">
        <f t="shared" si="18"/>
        <v>0.57379999999999987</v>
      </c>
      <c r="X256" s="223">
        <f t="shared" si="19"/>
        <v>0.53907741729031278</v>
      </c>
      <c r="Y256">
        <f>IFERROR(INDEX(Rainfall_Wet!$O$2:$O$217,MATCH(B256, Rainfall_Wet!$A$2:$A$217,0)),"")</f>
        <v>228.324359195</v>
      </c>
      <c r="Z256" s="228">
        <v>23.96</v>
      </c>
      <c r="AA256" s="228">
        <v>0.91999999999999804</v>
      </c>
      <c r="AB256" s="228">
        <v>75.12</v>
      </c>
      <c r="AC256" s="229" t="s">
        <v>2654</v>
      </c>
      <c r="AD256" s="228">
        <v>1.2493839329719072</v>
      </c>
      <c r="AE256">
        <f>IF('WetLitterbags placem_collection'!AB37="","",'WetLitterbags placem_collection'!AB37)</f>
        <v>0.7</v>
      </c>
      <c r="AF256">
        <f>IF('WetLitterbags placem_collection'!Z37="","",'WetLitterbags placem_collection'!Z37)</f>
        <v>10.6</v>
      </c>
      <c r="AG256" s="243" t="str">
        <f>IF('WetLitterbags placem_collection'!AA37="","",'WetLitterbags placem_collection'!AA37)</f>
        <v>G</v>
      </c>
      <c r="AH256">
        <f>IF('WetLitterbags placem_collection'!AC37="","",'WetLitterbags placem_collection'!AC37)</f>
        <v>0</v>
      </c>
      <c r="AI256" s="237">
        <f>AVERAGE('WetLitterbags placem_collection'!S37,'WetLitterbags placem_collection'!U37)</f>
        <v>10.9</v>
      </c>
      <c r="AJ256">
        <f>AVERAGE('WetLitterbags placem_collection'!R37,'WetLitterbags placem_collection'!T37)</f>
        <v>24.45</v>
      </c>
      <c r="AK256">
        <f>INDEX(Coordinates!$B$2:$B$197,MATCH(H256,Coordinates!$J$2:$J$197,0))</f>
        <v>-3.409177009</v>
      </c>
      <c r="AL256">
        <f>INDEX(Coordinates!$C$2:$C$197,MATCH(H256,Coordinates!$J$2:$J$197,0))</f>
        <v>34.852818990000003</v>
      </c>
      <c r="AM256" t="str">
        <f>IF(ISNUMBER(SEARCH("C", 'WetLitterbags placem_collection'!$W37)),"YES","NO")</f>
        <v>NO</v>
      </c>
      <c r="AN256" t="str">
        <f>IF(ISNUMBER(SEARCH("H", 'WetLitterbags placem_collection'!$W37)),"YES","NO")</f>
        <v>NO</v>
      </c>
      <c r="AO256" t="str">
        <f>IF(ISNUMBER(SEARCH("R", 'WetLitterbags placem_collection'!$W37)),"YES","NO")</f>
        <v>NO</v>
      </c>
    </row>
    <row r="257" spans="1:41" ht="15" customHeight="1">
      <c r="A257" s="255" t="s">
        <v>2454</v>
      </c>
      <c r="B257" s="260">
        <f>'Dry_Litterbag Placem_Collection'!A38</f>
        <v>36</v>
      </c>
      <c r="C257" s="260" t="str">
        <f>'Dry_Litterbag Placem_Collection'!B38</f>
        <v>Makao</v>
      </c>
      <c r="D257" s="260" t="s">
        <v>2643</v>
      </c>
      <c r="E257" s="260" t="s">
        <v>20</v>
      </c>
      <c r="F257" s="260">
        <v>1</v>
      </c>
      <c r="G257" s="260" t="s">
        <v>3805</v>
      </c>
      <c r="H257" s="261" t="str">
        <f>'Dry_Litterbag Placem_Collection'!C38</f>
        <v>Dry_P1_T4</v>
      </c>
      <c r="I257" s="262" t="s">
        <v>2525</v>
      </c>
      <c r="J257" s="269" t="s">
        <v>298</v>
      </c>
      <c r="K257" s="221" t="str">
        <f>'WetLitterbags placem_collection'!M38</f>
        <v>R126</v>
      </c>
      <c r="L257" s="223">
        <f>IFERROR(INDEX('Green_rooibos initial weight'!$C$5:$C$2000,MATCH(K257, 'Green_rooibos initial weight'!$A$5:$A$2000,0)),"")</f>
        <v>2.2400000000000002</v>
      </c>
      <c r="M257" s="223">
        <f>IFERROR(L257-(TBIcalc!$H$9+TBIcalc!$H$10),"")</f>
        <v>1.9902000000000002</v>
      </c>
      <c r="N257" s="385">
        <f>AVERAGE(Ashed_controlls!$K$2:$K$11)</f>
        <v>5.5147656768714146</v>
      </c>
      <c r="O257" s="223">
        <f t="shared" si="16"/>
        <v>1.8804451334989052</v>
      </c>
      <c r="P257" s="223">
        <f>IFERROR(INDEX('Both teabags AfterWet'!$C$3:$C$840,MATCH(K257,'Both teabags AfterWet'!$A$3:$A$840,0)),"")</f>
        <v>1.6180000000000001</v>
      </c>
      <c r="Q257" s="223">
        <f>IFERROR(IF(P257&gt;0,P257-(TBIcalc!$H$9),""),"")</f>
        <v>1.4674</v>
      </c>
      <c r="R257" s="223">
        <f>IFERROR(INDEX('Ashed teabags wet'!$K$2:$K$2000,MATCH(K257,'Ashed teabags wet'!$A$2:$A$2000,0)),"")</f>
        <v>3.2897919690366213</v>
      </c>
      <c r="S257" s="223">
        <f t="shared" si="17"/>
        <v>1.4191255926463566</v>
      </c>
      <c r="T257" s="224">
        <f>'WetLitterbags placem_collection'!E38</f>
        <v>42765</v>
      </c>
      <c r="U257" s="224">
        <f>IF('WetLitterbags placem_collection'!G38="","",'WetLitterbags placem_collection'!G38)</f>
        <v>42820</v>
      </c>
      <c r="V257" s="225">
        <f t="shared" si="15"/>
        <v>55</v>
      </c>
      <c r="W257" s="223">
        <f t="shared" si="18"/>
        <v>0.52280000000000015</v>
      </c>
      <c r="X257" s="223">
        <f t="shared" si="19"/>
        <v>0.46131954085254856</v>
      </c>
      <c r="Y257">
        <f>IFERROR(INDEX(Rainfall_Wet!$O$2:$O$217,MATCH(B257, Rainfall_Wet!$A$2:$A$217,0)),"")</f>
        <v>228.324359195</v>
      </c>
      <c r="Z257" s="228">
        <v>23.96</v>
      </c>
      <c r="AA257" s="228">
        <v>0.91999999999999804</v>
      </c>
      <c r="AB257" s="228">
        <v>75.12</v>
      </c>
      <c r="AC257" s="229" t="s">
        <v>2654</v>
      </c>
      <c r="AD257" s="228">
        <v>1.2493839329719072</v>
      </c>
      <c r="AE257">
        <f>IF('WetLitterbags placem_collection'!AB38="","",'WetLitterbags placem_collection'!AB38)</f>
        <v>3.3</v>
      </c>
      <c r="AF257">
        <f>IF('WetLitterbags placem_collection'!Z38="","",'WetLitterbags placem_collection'!Z38)</f>
        <v>4.9000000000000004</v>
      </c>
      <c r="AG257" s="243" t="str">
        <f>IF('WetLitterbags placem_collection'!AA38="","",'WetLitterbags placem_collection'!AA38)</f>
        <v>G</v>
      </c>
      <c r="AH257">
        <f>IF('WetLitterbags placem_collection'!AC38="","",'WetLitterbags placem_collection'!AC38)</f>
        <v>1</v>
      </c>
      <c r="AI257" s="237">
        <f>AVERAGE('WetLitterbags placem_collection'!S38,'WetLitterbags placem_collection'!U38)</f>
        <v>14.1</v>
      </c>
      <c r="AJ257">
        <f>AVERAGE('WetLitterbags placem_collection'!R38,'WetLitterbags placem_collection'!T38)</f>
        <v>24.75</v>
      </c>
      <c r="AK257">
        <f>INDEX(Coordinates!$B$2:$B$197,MATCH(H257,Coordinates!$J$2:$J$197,0))</f>
        <v>-3.40917198</v>
      </c>
      <c r="AL257">
        <f>INDEX(Coordinates!$C$2:$C$197,MATCH(H257,Coordinates!$J$2:$J$197,0))</f>
        <v>34.852960979999999</v>
      </c>
      <c r="AM257" t="str">
        <f>IF(ISNUMBER(SEARCH("C", 'WetLitterbags placem_collection'!$W38)),"YES","NO")</f>
        <v>YES</v>
      </c>
      <c r="AN257" t="str">
        <f>IF(ISNUMBER(SEARCH("H", 'WetLitterbags placem_collection'!$W38)),"YES","NO")</f>
        <v>NO</v>
      </c>
      <c r="AO257" t="str">
        <f>IF(ISNUMBER(SEARCH("R", 'WetLitterbags placem_collection'!$W38)),"YES","NO")</f>
        <v>YES</v>
      </c>
    </row>
    <row r="258" spans="1:41" ht="15" customHeight="1">
      <c r="A258" s="255" t="s">
        <v>2454</v>
      </c>
      <c r="B258" s="260">
        <f>'Dry_Litterbag Placem_Collection'!A39</f>
        <v>37</v>
      </c>
      <c r="C258" s="260" t="str">
        <f>'Dry_Litterbag Placem_Collection'!B39</f>
        <v>Makao</v>
      </c>
      <c r="D258" s="260" t="s">
        <v>2643</v>
      </c>
      <c r="E258" s="260" t="s">
        <v>20</v>
      </c>
      <c r="F258" s="260">
        <v>1</v>
      </c>
      <c r="G258" s="260" t="s">
        <v>3805</v>
      </c>
      <c r="H258" s="261" t="str">
        <f>'Dry_Litterbag Placem_Collection'!C39</f>
        <v>Dry_P1_T5</v>
      </c>
      <c r="I258" s="262" t="s">
        <v>2525</v>
      </c>
      <c r="J258" s="269" t="s">
        <v>298</v>
      </c>
      <c r="K258" s="221" t="str">
        <f>'WetLitterbags placem_collection'!M39</f>
        <v>R63</v>
      </c>
      <c r="L258" s="223">
        <f>IFERROR(INDEX('Green_rooibos initial weight'!$C$5:$C$2000,MATCH(K258, 'Green_rooibos initial weight'!$A$5:$A$2000,0)),"")</f>
        <v>2.1749999999999998</v>
      </c>
      <c r="M258" s="223">
        <f>IFERROR(L258-(TBIcalc!$H$9+TBIcalc!$H$10),"")</f>
        <v>1.9251999999999998</v>
      </c>
      <c r="N258" s="385">
        <f>AVERAGE(Ashed_controlls!$K$2:$K$11)</f>
        <v>5.5147656768714146</v>
      </c>
      <c r="O258" s="223">
        <f t="shared" si="16"/>
        <v>1.8190297311888712</v>
      </c>
      <c r="P258" s="223">
        <f>IFERROR(INDEX('Both teabags AfterWet'!$C$3:$C$840,MATCH(K258,'Both teabags AfterWet'!$A$3:$A$840,0)),"")</f>
        <v>1.3620000000000001</v>
      </c>
      <c r="Q258" s="223">
        <f>IFERROR(IF(P258&gt;0,P258-(TBIcalc!$H$9),""),"")</f>
        <v>1.2114</v>
      </c>
      <c r="R258" s="223">
        <f>IFERROR(INDEX('Ashed teabags wet'!$K$2:$K$2000,MATCH(K258,'Ashed teabags wet'!$A$2:$A$2000,0)),"")</f>
        <v>70.931372549019429</v>
      </c>
      <c r="S258" s="223">
        <f t="shared" si="17"/>
        <v>0.35213735294117854</v>
      </c>
      <c r="T258" s="224">
        <f>'WetLitterbags placem_collection'!E39</f>
        <v>42765</v>
      </c>
      <c r="U258" s="224">
        <f>IF('WetLitterbags placem_collection'!G39="","",'WetLitterbags placem_collection'!G39)</f>
        <v>42820</v>
      </c>
      <c r="V258" s="225">
        <f t="shared" ref="V258:V321" si="20">IFERROR(U258-T258,"")</f>
        <v>55</v>
      </c>
      <c r="W258" s="223">
        <f t="shared" si="18"/>
        <v>0.71379999999999977</v>
      </c>
      <c r="X258" s="223">
        <f t="shared" si="19"/>
        <v>1.4668923782476928</v>
      </c>
      <c r="Y258">
        <f>IFERROR(INDEX(Rainfall_Wet!$O$2:$O$217,MATCH(B258, Rainfall_Wet!$A$2:$A$217,0)),"")</f>
        <v>228.324359195</v>
      </c>
      <c r="Z258" s="228">
        <v>23.96</v>
      </c>
      <c r="AA258" s="228">
        <v>0.91999999999999804</v>
      </c>
      <c r="AB258" s="228">
        <v>75.12</v>
      </c>
      <c r="AC258" s="229" t="s">
        <v>2654</v>
      </c>
      <c r="AD258" s="228">
        <v>1.2493839329719072</v>
      </c>
      <c r="AE258">
        <f>IF('WetLitterbags placem_collection'!AB39="","",'WetLitterbags placem_collection'!AB39)</f>
        <v>8.3000000000000007</v>
      </c>
      <c r="AF258">
        <f>IF('WetLitterbags placem_collection'!Z39="","",'WetLitterbags placem_collection'!Z39)</f>
        <v>27.8</v>
      </c>
      <c r="AG258" s="243" t="str">
        <f>IF('WetLitterbags placem_collection'!AA39="","",'WetLitterbags placem_collection'!AA39)</f>
        <v>G</v>
      </c>
      <c r="AH258">
        <f>IF('WetLitterbags placem_collection'!AC39="","",'WetLitterbags placem_collection'!AC39)</f>
        <v>0</v>
      </c>
      <c r="AI258" s="237">
        <f>AVERAGE('WetLitterbags placem_collection'!S39,'WetLitterbags placem_collection'!U39)</f>
        <v>19.299999999999997</v>
      </c>
      <c r="AJ258">
        <f>AVERAGE('WetLitterbags placem_collection'!R39,'WetLitterbags placem_collection'!T39)</f>
        <v>24.55</v>
      </c>
      <c r="AK258">
        <f>INDEX(Coordinates!$B$2:$B$197,MATCH(H258,Coordinates!$J$2:$J$197,0))</f>
        <v>-3.4090709779999999</v>
      </c>
      <c r="AL258">
        <f>INDEX(Coordinates!$C$2:$C$197,MATCH(H258,Coordinates!$J$2:$J$197,0))</f>
        <v>34.852712029999999</v>
      </c>
      <c r="AM258" t="str">
        <f>IF(ISNUMBER(SEARCH("C", 'WetLitterbags placem_collection'!$W39)),"YES","NO")</f>
        <v>YES</v>
      </c>
      <c r="AN258" t="str">
        <f>IF(ISNUMBER(SEARCH("H", 'WetLitterbags placem_collection'!$W39)),"YES","NO")</f>
        <v>YES</v>
      </c>
      <c r="AO258" t="str">
        <f>IF(ISNUMBER(SEARCH("R", 'WetLitterbags placem_collection'!$W39)),"YES","NO")</f>
        <v>YES</v>
      </c>
    </row>
    <row r="259" spans="1:41" ht="15" customHeight="1">
      <c r="A259" s="255" t="s">
        <v>2454</v>
      </c>
      <c r="B259" s="260">
        <f>'Dry_Litterbag Placem_Collection'!A40</f>
        <v>38</v>
      </c>
      <c r="C259" s="260" t="str">
        <f>'Dry_Litterbag Placem_Collection'!B40</f>
        <v>Makao</v>
      </c>
      <c r="D259" s="260" t="s">
        <v>2643</v>
      </c>
      <c r="E259" s="260" t="s">
        <v>20</v>
      </c>
      <c r="F259" s="260">
        <v>1</v>
      </c>
      <c r="G259" s="260" t="s">
        <v>3805</v>
      </c>
      <c r="H259" s="261" t="str">
        <f>'Dry_Litterbag Placem_Collection'!C40</f>
        <v>Dry_P1_T6</v>
      </c>
      <c r="I259" s="262" t="s">
        <v>2525</v>
      </c>
      <c r="J259" s="269" t="s">
        <v>298</v>
      </c>
      <c r="K259" s="221" t="str">
        <f>'WetLitterbags placem_collection'!M40</f>
        <v>R87</v>
      </c>
      <c r="L259" s="223">
        <f>IFERROR(INDEX('Green_rooibos initial weight'!$C$5:$C$2000,MATCH(K259, 'Green_rooibos initial weight'!$A$5:$A$2000,0)),"")</f>
        <v>2.2930000000000001</v>
      </c>
      <c r="M259" s="223">
        <f>IFERROR(L259-(TBIcalc!$H$9+TBIcalc!$H$10),"")</f>
        <v>2.0432000000000001</v>
      </c>
      <c r="N259" s="385">
        <f>AVERAGE(Ashed_controlls!$K$2:$K$11)</f>
        <v>5.5147656768714146</v>
      </c>
      <c r="O259" s="223">
        <f t="shared" ref="O259:O322" si="21">IFERROR(M259-(N259/100)*M259,"")</f>
        <v>1.9305223076901634</v>
      </c>
      <c r="P259" s="223">
        <f>IFERROR(INDEX('Both teabags AfterWet'!$C$3:$C$840,MATCH(K259,'Both teabags AfterWet'!$A$3:$A$840,0)),"")</f>
        <v>1.1399999999999999</v>
      </c>
      <c r="Q259" s="223">
        <f>IFERROR(IF(P259&gt;0,P259-(TBIcalc!$H$9),""),"")</f>
        <v>0.98939999999999984</v>
      </c>
      <c r="R259" s="223">
        <f>IFERROR(INDEX('Ashed teabags wet'!$K$2:$K$2000,MATCH(K259,'Ashed teabags wet'!$A$2:$A$2000,0)),"")</f>
        <v>21.801629132725651</v>
      </c>
      <c r="S259" s="223">
        <f t="shared" ref="S259:S322" si="22">IFERROR(Q259-(R259/100)*Q259,"")</f>
        <v>0.77369468136081232</v>
      </c>
      <c r="T259" s="224">
        <f>'WetLitterbags placem_collection'!E40</f>
        <v>42765</v>
      </c>
      <c r="U259" s="224">
        <f>IF('WetLitterbags placem_collection'!G40="","",'WetLitterbags placem_collection'!G40)</f>
        <v>42820</v>
      </c>
      <c r="V259" s="225">
        <f t="shared" si="20"/>
        <v>55</v>
      </c>
      <c r="W259" s="223">
        <f t="shared" ref="W259:W322" si="23">IFERROR(M259-Q259,"")</f>
        <v>1.0538000000000003</v>
      </c>
      <c r="X259" s="223">
        <f t="shared" ref="X259:X322" si="24">IFERROR(O259-S259,"")</f>
        <v>1.1568276263293511</v>
      </c>
      <c r="Y259">
        <f>IFERROR(INDEX(Rainfall_Wet!$O$2:$O$217,MATCH(B259, Rainfall_Wet!$A$2:$A$217,0)),"")</f>
        <v>228.324359195</v>
      </c>
      <c r="Z259" s="228">
        <v>23.96</v>
      </c>
      <c r="AA259" s="228">
        <v>0.91999999999999804</v>
      </c>
      <c r="AB259" s="228">
        <v>75.12</v>
      </c>
      <c r="AC259" s="229" t="s">
        <v>2654</v>
      </c>
      <c r="AD259" s="228">
        <v>1.2493839329719072</v>
      </c>
      <c r="AE259">
        <f>IF('WetLitterbags placem_collection'!AB40="","",'WetLitterbags placem_collection'!AB40)</f>
        <v>2</v>
      </c>
      <c r="AF259">
        <f>IF('WetLitterbags placem_collection'!Z40="","",'WetLitterbags placem_collection'!Z40)</f>
        <v>20.399999999999999</v>
      </c>
      <c r="AG259" s="243" t="str">
        <f>IF('WetLitterbags placem_collection'!AA40="","",'WetLitterbags placem_collection'!AA40)</f>
        <v>O</v>
      </c>
      <c r="AH259">
        <f>IF('WetLitterbags placem_collection'!AC40="","",'WetLitterbags placem_collection'!AC40)</f>
        <v>0</v>
      </c>
      <c r="AI259" s="237">
        <f>AVERAGE('WetLitterbags placem_collection'!S40,'WetLitterbags placem_collection'!U40)</f>
        <v>20.9</v>
      </c>
      <c r="AJ259">
        <f>AVERAGE('WetLitterbags placem_collection'!R40,'WetLitterbags placem_collection'!T40)</f>
        <v>24.1</v>
      </c>
      <c r="AK259">
        <f>INDEX(Coordinates!$B$2:$B$197,MATCH(H259,Coordinates!$J$2:$J$197,0))</f>
        <v>-3.409280023</v>
      </c>
      <c r="AL259">
        <f>INDEX(Coordinates!$C$2:$C$197,MATCH(H259,Coordinates!$J$2:$J$197,0))</f>
        <v>34.852612960000002</v>
      </c>
      <c r="AM259" t="str">
        <f>IF(ISNUMBER(SEARCH("C", 'WetLitterbags placem_collection'!$W40)),"YES","NO")</f>
        <v>YES</v>
      </c>
      <c r="AN259" t="str">
        <f>IF(ISNUMBER(SEARCH("H", 'WetLitterbags placem_collection'!$W40)),"YES","NO")</f>
        <v>YES</v>
      </c>
      <c r="AO259" t="str">
        <f>IF(ISNUMBER(SEARCH("R", 'WetLitterbags placem_collection'!$W40)),"YES","NO")</f>
        <v>NO</v>
      </c>
    </row>
    <row r="260" spans="1:41" ht="15" customHeight="1">
      <c r="A260" s="255" t="s">
        <v>2454</v>
      </c>
      <c r="B260" s="260">
        <f>'Dry_Litterbag Placem_Collection'!A41</f>
        <v>39</v>
      </c>
      <c r="C260" s="260" t="str">
        <f>'Dry_Litterbag Placem_Collection'!B41</f>
        <v>Makao</v>
      </c>
      <c r="D260" s="260" t="s">
        <v>2643</v>
      </c>
      <c r="E260" s="260" t="s">
        <v>20</v>
      </c>
      <c r="F260" s="260">
        <v>1</v>
      </c>
      <c r="G260" s="260" t="s">
        <v>3805</v>
      </c>
      <c r="H260" s="261" t="str">
        <f>'Dry_Litterbag Placem_Collection'!C41</f>
        <v>Dry_P1_T7</v>
      </c>
      <c r="I260" s="262" t="s">
        <v>2525</v>
      </c>
      <c r="J260" s="269" t="s">
        <v>298</v>
      </c>
      <c r="K260" s="221" t="str">
        <f>'WetLitterbags placem_collection'!M41</f>
        <v>R437</v>
      </c>
      <c r="L260" s="223">
        <f>IFERROR(INDEX('Green_rooibos initial weight'!$C$5:$C$2000,MATCH(K260, 'Green_rooibos initial weight'!$A$5:$A$2000,0)),"")</f>
        <v>2.1970000000000001</v>
      </c>
      <c r="M260" s="223">
        <f>IFERROR(L260-(TBIcalc!$H$9+TBIcalc!$H$10),"")</f>
        <v>1.9472</v>
      </c>
      <c r="N260" s="385">
        <f>AVERAGE(Ashed_controlls!$K$2:$K$11)</f>
        <v>5.5147656768714146</v>
      </c>
      <c r="O260" s="223">
        <f t="shared" si="21"/>
        <v>1.8398164827399599</v>
      </c>
      <c r="P260" s="223">
        <f>IFERROR(INDEX('Both teabags AfterWet'!$C$3:$C$840,MATCH(K260,'Both teabags AfterWet'!$A$3:$A$840,0)),"")</f>
        <v>1.4531000000000001</v>
      </c>
      <c r="Q260" s="223">
        <f>IFERROR(IF(P260&gt;0,P260-(TBIcalc!$H$9),""),"")</f>
        <v>1.3025</v>
      </c>
      <c r="R260" s="223">
        <f>IFERROR(INDEX('Ashed teabags wet'!$K$2:$K$2000,MATCH(K260,'Ashed teabags wet'!$A$2:$A$2000,0)),"")</f>
        <v>3.6638983878844686</v>
      </c>
      <c r="S260" s="223">
        <f t="shared" si="22"/>
        <v>1.2547777234978048</v>
      </c>
      <c r="T260" s="224">
        <f>'WetLitterbags placem_collection'!E41</f>
        <v>42765</v>
      </c>
      <c r="U260" s="224">
        <f>IF('WetLitterbags placem_collection'!G41="","",'WetLitterbags placem_collection'!G41)</f>
        <v>42820</v>
      </c>
      <c r="V260" s="225">
        <f t="shared" si="20"/>
        <v>55</v>
      </c>
      <c r="W260" s="223">
        <f t="shared" si="23"/>
        <v>0.64470000000000005</v>
      </c>
      <c r="X260" s="223">
        <f t="shared" si="24"/>
        <v>0.58503875924215509</v>
      </c>
      <c r="Y260">
        <f>IFERROR(INDEX(Rainfall_Wet!$O$2:$O$217,MATCH(B260, Rainfall_Wet!$A$2:$A$217,0)),"")</f>
        <v>228.324359195</v>
      </c>
      <c r="Z260" s="228">
        <v>23.96</v>
      </c>
      <c r="AA260" s="228">
        <v>0.91999999999999804</v>
      </c>
      <c r="AB260" s="228">
        <v>75.12</v>
      </c>
      <c r="AC260" s="229" t="s">
        <v>2654</v>
      </c>
      <c r="AD260" s="228">
        <v>1.2493839329719072</v>
      </c>
      <c r="AE260">
        <f>IF('WetLitterbags placem_collection'!AB41="","",'WetLitterbags placem_collection'!AB41)</f>
        <v>2.4</v>
      </c>
      <c r="AF260">
        <f>IF('WetLitterbags placem_collection'!Z41="","",'WetLitterbags placem_collection'!Z41)</f>
        <v>18</v>
      </c>
      <c r="AG260" s="243" t="str">
        <f>IF('WetLitterbags placem_collection'!AA41="","",'WetLitterbags placem_collection'!AA41)</f>
        <v>G</v>
      </c>
      <c r="AH260">
        <f>IF('WetLitterbags placem_collection'!AC41="","",'WetLitterbags placem_collection'!AC41)</f>
        <v>1</v>
      </c>
      <c r="AI260" s="237">
        <f>AVERAGE('WetLitterbags placem_collection'!S41,'WetLitterbags placem_collection'!U41)</f>
        <v>26.9</v>
      </c>
      <c r="AJ260">
        <f>AVERAGE('WetLitterbags placem_collection'!R41,'WetLitterbags placem_collection'!T41)</f>
        <v>23.299999999999997</v>
      </c>
      <c r="AK260">
        <f>INDEX(Coordinates!$B$2:$B$197,MATCH(H260,Coordinates!$J$2:$J$197,0))</f>
        <v>-3.4093859700000002</v>
      </c>
      <c r="AL260">
        <f>INDEX(Coordinates!$C$2:$C$197,MATCH(H260,Coordinates!$J$2:$J$197,0))</f>
        <v>34.852855030000001</v>
      </c>
      <c r="AM260" t="str">
        <f>IF(ISNUMBER(SEARCH("C", 'WetLitterbags placem_collection'!$W41)),"YES","NO")</f>
        <v>NO</v>
      </c>
      <c r="AN260" t="str">
        <f>IF(ISNUMBER(SEARCH("H", 'WetLitterbags placem_collection'!$W41)),"YES","NO")</f>
        <v>NO</v>
      </c>
      <c r="AO260" t="str">
        <f>IF(ISNUMBER(SEARCH("R", 'WetLitterbags placem_collection'!$W41)),"YES","NO")</f>
        <v>YES</v>
      </c>
    </row>
    <row r="261" spans="1:41" ht="15" customHeight="1">
      <c r="A261" s="255" t="s">
        <v>2454</v>
      </c>
      <c r="B261" s="260">
        <f>'Dry_Litterbag Placem_Collection'!A42</f>
        <v>40</v>
      </c>
      <c r="C261" s="260" t="str">
        <f>'Dry_Litterbag Placem_Collection'!B42</f>
        <v>Makao</v>
      </c>
      <c r="D261" s="260" t="s">
        <v>2643</v>
      </c>
      <c r="E261" s="260" t="s">
        <v>20</v>
      </c>
      <c r="F261" s="260">
        <v>1</v>
      </c>
      <c r="G261" s="260" t="s">
        <v>3805</v>
      </c>
      <c r="H261" s="261" t="str">
        <f>'Dry_Litterbag Placem_Collection'!C42</f>
        <v>Dry_P1_T8</v>
      </c>
      <c r="I261" s="262" t="s">
        <v>2525</v>
      </c>
      <c r="J261" s="269" t="s">
        <v>298</v>
      </c>
      <c r="K261" s="221" t="str">
        <f>'WetLitterbags placem_collection'!M42</f>
        <v>R114</v>
      </c>
      <c r="L261" s="223">
        <f>IFERROR(INDEX('Green_rooibos initial weight'!$C$5:$C$2000,MATCH(K261, 'Green_rooibos initial weight'!$A$5:$A$2000,0)),"")</f>
        <v>2.2450000000000001</v>
      </c>
      <c r="M261" s="223">
        <f>IFERROR(L261-(TBIcalc!$H$9+TBIcalc!$H$10),"")</f>
        <v>1.9952000000000001</v>
      </c>
      <c r="N261" s="385">
        <f>AVERAGE(Ashed_controlls!$K$2:$K$11)</f>
        <v>5.5147656768714146</v>
      </c>
      <c r="O261" s="223">
        <f t="shared" si="21"/>
        <v>1.8851693952150617</v>
      </c>
      <c r="P261" s="223">
        <f>IFERROR(INDEX('Both teabags AfterWet'!$C$3:$C$840,MATCH(K261,'Both teabags AfterWet'!$A$3:$A$840,0)),"")</f>
        <v>2.2269999999999999</v>
      </c>
      <c r="Q261" s="223">
        <f>IFERROR(IF(P261&gt;0,P261-(TBIcalc!$H$9),""),"")</f>
        <v>2.0764</v>
      </c>
      <c r="R261" s="223">
        <f>IFERROR(INDEX('Ashed teabags wet'!$K$2:$K$2000,MATCH(K261,'Ashed teabags wet'!$A$2:$A$2000,0)),"")</f>
        <v>24.826560951436655</v>
      </c>
      <c r="S261" s="223">
        <f t="shared" si="22"/>
        <v>1.5609012884043694</v>
      </c>
      <c r="T261" s="224">
        <f>'WetLitterbags placem_collection'!E42</f>
        <v>42765</v>
      </c>
      <c r="U261" s="224">
        <f>IF('WetLitterbags placem_collection'!G42="","",'WetLitterbags placem_collection'!G42)</f>
        <v>42820</v>
      </c>
      <c r="V261" s="225">
        <f t="shared" si="20"/>
        <v>55</v>
      </c>
      <c r="W261" s="223">
        <f t="shared" si="23"/>
        <v>-8.1199999999999939E-2</v>
      </c>
      <c r="X261" s="223">
        <f t="shared" si="24"/>
        <v>0.32426810681069229</v>
      </c>
      <c r="Y261">
        <f>IFERROR(INDEX(Rainfall_Wet!$O$2:$O$217,MATCH(B261, Rainfall_Wet!$A$2:$A$217,0)),"")</f>
        <v>228.324359195</v>
      </c>
      <c r="Z261" s="228">
        <v>23.96</v>
      </c>
      <c r="AA261" s="228">
        <v>0.91999999999999804</v>
      </c>
      <c r="AB261" s="228">
        <v>75.12</v>
      </c>
      <c r="AC261" s="229" t="s">
        <v>2654</v>
      </c>
      <c r="AD261" s="228">
        <v>1.2493839329719072</v>
      </c>
      <c r="AE261">
        <f>IF('WetLitterbags placem_collection'!AB42="","",'WetLitterbags placem_collection'!AB42)</f>
        <v>8.6999999999999993</v>
      </c>
      <c r="AF261">
        <f>IF('WetLitterbags placem_collection'!Z42="","",'WetLitterbags placem_collection'!Z42)</f>
        <v>19.3</v>
      </c>
      <c r="AG261" s="243" t="str">
        <f>IF('WetLitterbags placem_collection'!AA42="","",'WetLitterbags placem_collection'!AA42)</f>
        <v>G</v>
      </c>
      <c r="AH261">
        <f>IF('WetLitterbags placem_collection'!AC42="","",'WetLitterbags placem_collection'!AC42)</f>
        <v>0</v>
      </c>
      <c r="AI261" s="237">
        <f>AVERAGE('WetLitterbags placem_collection'!S42,'WetLitterbags placem_collection'!U42)</f>
        <v>31.9</v>
      </c>
      <c r="AJ261">
        <f>AVERAGE('WetLitterbags placem_collection'!R42,'WetLitterbags placem_collection'!T42)</f>
        <v>23.9</v>
      </c>
      <c r="AK261">
        <f>INDEX(Coordinates!$B$2:$B$197,MATCH(H261,Coordinates!$J$2:$J$197,0))</f>
        <v>-3.4091539590000002</v>
      </c>
      <c r="AL261">
        <f>INDEX(Coordinates!$C$2:$C$197,MATCH(H261,Coordinates!$J$2:$J$197,0))</f>
        <v>34.852755029999997</v>
      </c>
      <c r="AM261" t="str">
        <f>IF(ISNUMBER(SEARCH("C", 'WetLitterbags placem_collection'!$W42)),"YES","NO")</f>
        <v>NO</v>
      </c>
      <c r="AN261" t="str">
        <f>IF(ISNUMBER(SEARCH("H", 'WetLitterbags placem_collection'!$W42)),"YES","NO")</f>
        <v>YES</v>
      </c>
      <c r="AO261" t="str">
        <f>IF(ISNUMBER(SEARCH("R", 'WetLitterbags placem_collection'!$W42)),"YES","NO")</f>
        <v>NO</v>
      </c>
    </row>
    <row r="262" spans="1:41" ht="15" customHeight="1">
      <c r="A262" s="255" t="s">
        <v>2454</v>
      </c>
      <c r="B262" s="260">
        <f>'Dry_Litterbag Placem_Collection'!A43</f>
        <v>41</v>
      </c>
      <c r="C262" s="260" t="str">
        <f>'Dry_Litterbag Placem_Collection'!B43</f>
        <v>Makao</v>
      </c>
      <c r="D262" s="260" t="s">
        <v>2643</v>
      </c>
      <c r="E262" s="260" t="s">
        <v>20</v>
      </c>
      <c r="F262" s="260">
        <v>2</v>
      </c>
      <c r="G262" s="260" t="s">
        <v>3807</v>
      </c>
      <c r="H262" s="261" t="str">
        <f>'Dry_Litterbag Placem_Collection'!C43</f>
        <v>Dry_P2_T1</v>
      </c>
      <c r="I262" s="262" t="s">
        <v>2525</v>
      </c>
      <c r="J262" s="269" t="s">
        <v>298</v>
      </c>
      <c r="K262" s="221" t="str">
        <f>'WetLitterbags placem_collection'!M43</f>
        <v>R521</v>
      </c>
      <c r="L262" s="223">
        <f>IFERROR(INDEX('Green_rooibos initial weight'!$C$5:$C$2000,MATCH(K262, 'Green_rooibos initial weight'!$A$5:$A$2000,0)),"")</f>
        <v>2.1440000000000001</v>
      </c>
      <c r="M262" s="223">
        <f>IFERROR(L262-(TBIcalc!$H$9+TBIcalc!$H$10),"")</f>
        <v>1.8942000000000001</v>
      </c>
      <c r="N262" s="385">
        <f>AVERAGE(Ashed_controlls!$K$2:$K$11)</f>
        <v>5.5147656768714146</v>
      </c>
      <c r="O262" s="223">
        <f t="shared" si="21"/>
        <v>1.7897393085487017</v>
      </c>
      <c r="P262" s="223">
        <f>IFERROR(INDEX('Both teabags AfterWet'!$C$3:$C$840,MATCH(K262,'Both teabags AfterWet'!$A$3:$A$840,0)),"")</f>
        <v>1.512</v>
      </c>
      <c r="Q262" s="223">
        <f>IFERROR(IF(P262&gt;0,P262-(TBIcalc!$H$9),""),"")</f>
        <v>1.3613999999999999</v>
      </c>
      <c r="R262" s="223">
        <f>IFERROR(INDEX('Ashed teabags wet'!$K$2:$K$2000,MATCH(K262,'Ashed teabags wet'!$A$2:$A$2000,0)),"")</f>
        <v>6.8728522336777456</v>
      </c>
      <c r="S262" s="223">
        <f t="shared" si="22"/>
        <v>1.267832989690711</v>
      </c>
      <c r="T262" s="224">
        <f>'WetLitterbags placem_collection'!E43</f>
        <v>42766</v>
      </c>
      <c r="U262" s="224">
        <f>IF('WetLitterbags placem_collection'!G43="","",'WetLitterbags placem_collection'!G43)</f>
        <v>42820</v>
      </c>
      <c r="V262" s="225">
        <f t="shared" si="20"/>
        <v>54</v>
      </c>
      <c r="W262" s="223">
        <f t="shared" si="23"/>
        <v>0.53280000000000016</v>
      </c>
      <c r="X262" s="223">
        <f t="shared" si="24"/>
        <v>0.52190631885799066</v>
      </c>
      <c r="Y262">
        <f>IFERROR(INDEX(Rainfall_Wet!$O$2:$O$217,MATCH(B262, Rainfall_Wet!$A$2:$A$217,0)),"")</f>
        <v>214.262898705</v>
      </c>
      <c r="Z262" s="228">
        <v>19.96</v>
      </c>
      <c r="AA262" s="228">
        <v>4.9199999999999982</v>
      </c>
      <c r="AB262" s="228">
        <v>75.12</v>
      </c>
      <c r="AC262" s="229" t="s">
        <v>2655</v>
      </c>
      <c r="AD262" s="228">
        <v>1.641498275012321</v>
      </c>
      <c r="AE262">
        <f>IF('WetLitterbags placem_collection'!AB43="","",'WetLitterbags placem_collection'!AB43)</f>
        <v>4</v>
      </c>
      <c r="AF262">
        <f>IF('WetLitterbags placem_collection'!Z43="","",'WetLitterbags placem_collection'!Z43)</f>
        <v>19.100000000000001</v>
      </c>
      <c r="AG262" s="243" t="str">
        <f>IF('WetLitterbags placem_collection'!AA43="","",'WetLitterbags placem_collection'!AA43)</f>
        <v>G</v>
      </c>
      <c r="AH262">
        <f>IF('WetLitterbags placem_collection'!AC43="","",'WetLitterbags placem_collection'!AC43)</f>
        <v>0</v>
      </c>
      <c r="AI262" s="237">
        <f>AVERAGE('WetLitterbags placem_collection'!S43,'WetLitterbags placem_collection'!U43)</f>
        <v>21.9</v>
      </c>
      <c r="AJ262">
        <f>AVERAGE('WetLitterbags placem_collection'!R43,'WetLitterbags placem_collection'!T43)</f>
        <v>24.5</v>
      </c>
      <c r="AK262">
        <f>INDEX(Coordinates!$B$2:$B$197,MATCH(H262,Coordinates!$J$2:$J$197,0))</f>
        <v>-3.4083420040000001</v>
      </c>
      <c r="AL262">
        <f>INDEX(Coordinates!$C$2:$C$197,MATCH(H262,Coordinates!$J$2:$J$197,0))</f>
        <v>34.850283040000001</v>
      </c>
      <c r="AM262" t="str">
        <f>IF(ISNUMBER(SEARCH("C", 'WetLitterbags placem_collection'!$W43)),"YES","NO")</f>
        <v>NO</v>
      </c>
      <c r="AN262" t="str">
        <f>IF(ISNUMBER(SEARCH("H", 'WetLitterbags placem_collection'!$W43)),"YES","NO")</f>
        <v>NO</v>
      </c>
      <c r="AO262" t="str">
        <f>IF(ISNUMBER(SEARCH("R", 'WetLitterbags placem_collection'!$W43)),"YES","NO")</f>
        <v>NO</v>
      </c>
    </row>
    <row r="263" spans="1:41" ht="15" customHeight="1">
      <c r="A263" s="255" t="s">
        <v>2454</v>
      </c>
      <c r="B263" s="260">
        <f>'Dry_Litterbag Placem_Collection'!A44</f>
        <v>42</v>
      </c>
      <c r="C263" s="260" t="str">
        <f>'Dry_Litterbag Placem_Collection'!B44</f>
        <v>Makao</v>
      </c>
      <c r="D263" s="260" t="s">
        <v>2643</v>
      </c>
      <c r="E263" s="260" t="s">
        <v>20</v>
      </c>
      <c r="F263" s="260">
        <v>2</v>
      </c>
      <c r="G263" s="260" t="s">
        <v>3807</v>
      </c>
      <c r="H263" s="261" t="str">
        <f>'Dry_Litterbag Placem_Collection'!C44</f>
        <v>Dry_P2_T2</v>
      </c>
      <c r="I263" s="262" t="s">
        <v>2525</v>
      </c>
      <c r="J263" s="269" t="s">
        <v>298</v>
      </c>
      <c r="K263" s="221" t="str">
        <f>'WetLitterbags placem_collection'!M44</f>
        <v>R371</v>
      </c>
      <c r="L263" s="223">
        <f>IFERROR(INDEX('Green_rooibos initial weight'!$C$5:$C$2000,MATCH(K263, 'Green_rooibos initial weight'!$A$5:$A$2000,0)),"")</f>
        <v>2.2530000000000001</v>
      </c>
      <c r="M263" s="223">
        <f>IFERROR(L263-(TBIcalc!$H$9+TBIcalc!$H$10),"")</f>
        <v>2.0032000000000001</v>
      </c>
      <c r="N263" s="385">
        <f>AVERAGE(Ashed_controlls!$K$2:$K$11)</f>
        <v>5.5147656768714146</v>
      </c>
      <c r="O263" s="223">
        <f t="shared" si="21"/>
        <v>1.8927282139609118</v>
      </c>
      <c r="P263" s="223">
        <f>IFERROR(INDEX('Both teabags AfterWet'!$C$3:$C$840,MATCH(K263,'Both teabags AfterWet'!$A$3:$A$840,0)),"")</f>
        <v>1.649</v>
      </c>
      <c r="Q263" s="223">
        <f>IFERROR(IF(P263&gt;0,P263-(TBIcalc!$H$9),""),"")</f>
        <v>1.4984</v>
      </c>
      <c r="R263" s="223">
        <f>IFERROR(INDEX('Ashed teabags wet'!$K$2:$K$2000,MATCH(K263,'Ashed teabags wet'!$A$2:$A$2000,0)),"")</f>
        <v>2.6627218934911183</v>
      </c>
      <c r="S263" s="223">
        <f t="shared" si="22"/>
        <v>1.458501775147929</v>
      </c>
      <c r="T263" s="224">
        <f>'WetLitterbags placem_collection'!E44</f>
        <v>42766</v>
      </c>
      <c r="U263" s="224">
        <f>IF('WetLitterbags placem_collection'!G44="","",'WetLitterbags placem_collection'!G44)</f>
        <v>42820</v>
      </c>
      <c r="V263" s="225">
        <f t="shared" si="20"/>
        <v>54</v>
      </c>
      <c r="W263" s="223">
        <f t="shared" si="23"/>
        <v>0.50480000000000014</v>
      </c>
      <c r="X263" s="223">
        <f t="shared" si="24"/>
        <v>0.43422643881298284</v>
      </c>
      <c r="Y263">
        <f>IFERROR(INDEX(Rainfall_Wet!$O$2:$O$217,MATCH(B263, Rainfall_Wet!$A$2:$A$217,0)),"")</f>
        <v>214.262898705</v>
      </c>
      <c r="Z263" s="228">
        <v>19.96</v>
      </c>
      <c r="AA263" s="228">
        <v>4.9199999999999982</v>
      </c>
      <c r="AB263" s="228">
        <v>75.12</v>
      </c>
      <c r="AC263" s="229" t="s">
        <v>2655</v>
      </c>
      <c r="AD263" s="228">
        <v>1.641498275012321</v>
      </c>
      <c r="AE263">
        <f>IF('WetLitterbags placem_collection'!AB44="","",'WetLitterbags placem_collection'!AB44)</f>
        <v>5.9</v>
      </c>
      <c r="AF263">
        <f>IF('WetLitterbags placem_collection'!Z44="","",'WetLitterbags placem_collection'!Z44)</f>
        <v>12.7</v>
      </c>
      <c r="AG263" s="243" t="str">
        <f>IF('WetLitterbags placem_collection'!AA44="","",'WetLitterbags placem_collection'!AA44)</f>
        <v>G</v>
      </c>
      <c r="AH263">
        <f>IF('WetLitterbags placem_collection'!AC44="","",'WetLitterbags placem_collection'!AC44)</f>
        <v>0</v>
      </c>
      <c r="AI263" s="237">
        <f>AVERAGE('WetLitterbags placem_collection'!S44,'WetLitterbags placem_collection'!U44)</f>
        <v>19</v>
      </c>
      <c r="AJ263">
        <f>AVERAGE('WetLitterbags placem_collection'!R44,'WetLitterbags placem_collection'!T44)</f>
        <v>22.950000000000003</v>
      </c>
      <c r="AK263">
        <f>INDEX(Coordinates!$B$2:$B$197,MATCH(H263,Coordinates!$J$2:$J$197,0))</f>
        <v>-3.4084079690000002</v>
      </c>
      <c r="AL263">
        <f>INDEX(Coordinates!$C$2:$C$197,MATCH(H263,Coordinates!$J$2:$J$197,0))</f>
        <v>34.850295029999998</v>
      </c>
      <c r="AM263" t="str">
        <f>IF(ISNUMBER(SEARCH("C", 'WetLitterbags placem_collection'!$W44)),"YES","NO")</f>
        <v>NO</v>
      </c>
      <c r="AN263" t="str">
        <f>IF(ISNUMBER(SEARCH("H", 'WetLitterbags placem_collection'!$W44)),"YES","NO")</f>
        <v>NO</v>
      </c>
      <c r="AO263" t="str">
        <f>IF(ISNUMBER(SEARCH("R", 'WetLitterbags placem_collection'!$W44)),"YES","NO")</f>
        <v>NO</v>
      </c>
    </row>
    <row r="264" spans="1:41" ht="15" customHeight="1">
      <c r="A264" s="255" t="s">
        <v>2454</v>
      </c>
      <c r="B264" s="260">
        <f>'Dry_Litterbag Placem_Collection'!A45</f>
        <v>43</v>
      </c>
      <c r="C264" s="260" t="str">
        <f>'Dry_Litterbag Placem_Collection'!B45</f>
        <v>Makao</v>
      </c>
      <c r="D264" s="260" t="s">
        <v>2643</v>
      </c>
      <c r="E264" s="260" t="s">
        <v>20</v>
      </c>
      <c r="F264" s="260">
        <v>2</v>
      </c>
      <c r="G264" s="260" t="s">
        <v>3807</v>
      </c>
      <c r="H264" s="261" t="str">
        <f>'Dry_Litterbag Placem_Collection'!C45</f>
        <v>Dry_P2_T3</v>
      </c>
      <c r="I264" s="262" t="s">
        <v>2525</v>
      </c>
      <c r="J264" s="269" t="s">
        <v>298</v>
      </c>
      <c r="K264" s="221" t="str">
        <f>'WetLitterbags placem_collection'!M45</f>
        <v>R376</v>
      </c>
      <c r="L264" s="223">
        <f>IFERROR(INDEX('Green_rooibos initial weight'!$C$5:$C$2000,MATCH(K264, 'Green_rooibos initial weight'!$A$5:$A$2000,0)),"")</f>
        <v>2.177</v>
      </c>
      <c r="M264" s="223">
        <f>IFERROR(L264-(TBIcalc!$H$9+TBIcalc!$H$10),"")</f>
        <v>1.9272</v>
      </c>
      <c r="N264" s="385">
        <f>AVERAGE(Ashed_controlls!$K$2:$K$11)</f>
        <v>5.5147656768714146</v>
      </c>
      <c r="O264" s="223">
        <f t="shared" si="21"/>
        <v>1.8209194358753342</v>
      </c>
      <c r="P264" s="223">
        <f>IFERROR(INDEX('Both teabags AfterWet'!$C$3:$C$840,MATCH(K264,'Both teabags AfterWet'!$A$3:$A$840,0)),"")</f>
        <v>1.3532999999999999</v>
      </c>
      <c r="Q264" s="223">
        <f>IFERROR(IF(P264&gt;0,P264-(TBIcalc!$H$9),""),"")</f>
        <v>1.2026999999999999</v>
      </c>
      <c r="R264" s="223">
        <f>IFERROR(INDEX('Ashed teabags wet'!$K$2:$K$2000,MATCH(K264,'Ashed teabags wet'!$A$2:$A$2000,0)),"")</f>
        <v>6.7788461538456346</v>
      </c>
      <c r="S264" s="223">
        <f t="shared" si="22"/>
        <v>1.1211708173076984</v>
      </c>
      <c r="T264" s="224">
        <f>'WetLitterbags placem_collection'!E45</f>
        <v>42766</v>
      </c>
      <c r="U264" s="224">
        <f>IF('WetLitterbags placem_collection'!G45="","",'WetLitterbags placem_collection'!G45)</f>
        <v>42820</v>
      </c>
      <c r="V264" s="225">
        <f t="shared" si="20"/>
        <v>54</v>
      </c>
      <c r="W264" s="223">
        <f t="shared" si="23"/>
        <v>0.72450000000000014</v>
      </c>
      <c r="X264" s="223">
        <f t="shared" si="24"/>
        <v>0.69974861856763582</v>
      </c>
      <c r="Y264">
        <f>IFERROR(INDEX(Rainfall_Wet!$O$2:$O$217,MATCH(B264, Rainfall_Wet!$A$2:$A$217,0)),"")</f>
        <v>214.262898705</v>
      </c>
      <c r="Z264" s="228">
        <v>19.96</v>
      </c>
      <c r="AA264" s="228">
        <v>4.9199999999999982</v>
      </c>
      <c r="AB264" s="228">
        <v>75.12</v>
      </c>
      <c r="AC264" s="229" t="s">
        <v>2655</v>
      </c>
      <c r="AD264" s="228">
        <v>1.641498275012321</v>
      </c>
      <c r="AE264">
        <f>IF('WetLitterbags placem_collection'!AB45="","",'WetLitterbags placem_collection'!AB45)</f>
        <v>5</v>
      </c>
      <c r="AF264">
        <f>IF('WetLitterbags placem_collection'!Z45="","",'WetLitterbags placem_collection'!Z45)</f>
        <v>26.3</v>
      </c>
      <c r="AG264" s="243" t="str">
        <f>IF('WetLitterbags placem_collection'!AA45="","",'WetLitterbags placem_collection'!AA45)</f>
        <v>G</v>
      </c>
      <c r="AH264">
        <f>IF('WetLitterbags placem_collection'!AC45="","",'WetLitterbags placem_collection'!AC45)</f>
        <v>0</v>
      </c>
      <c r="AI264" s="237">
        <f>AVERAGE('WetLitterbags placem_collection'!S45,'WetLitterbags placem_collection'!U45)</f>
        <v>18.3</v>
      </c>
      <c r="AJ264">
        <f>AVERAGE('WetLitterbags placem_collection'!R45,'WetLitterbags placem_collection'!T45)</f>
        <v>21.799999999999997</v>
      </c>
      <c r="AK264">
        <f>INDEX(Coordinates!$B$2:$B$197,MATCH(H264,Coordinates!$J$2:$J$197,0))</f>
        <v>-3.4082369789999998</v>
      </c>
      <c r="AL264">
        <f>INDEX(Coordinates!$C$2:$C$197,MATCH(H264,Coordinates!$J$2:$J$197,0))</f>
        <v>34.850189999999998</v>
      </c>
      <c r="AM264" t="str">
        <f>IF(ISNUMBER(SEARCH("C", 'WetLitterbags placem_collection'!$W45)),"YES","NO")</f>
        <v>YES</v>
      </c>
      <c r="AN264" t="str">
        <f>IF(ISNUMBER(SEARCH("H", 'WetLitterbags placem_collection'!$W45)),"YES","NO")</f>
        <v>YES</v>
      </c>
      <c r="AO264" t="str">
        <f>IF(ISNUMBER(SEARCH("R", 'WetLitterbags placem_collection'!$W45)),"YES","NO")</f>
        <v>NO</v>
      </c>
    </row>
    <row r="265" spans="1:41" ht="15" customHeight="1">
      <c r="A265" s="255" t="s">
        <v>2454</v>
      </c>
      <c r="B265" s="260">
        <f>'Dry_Litterbag Placem_Collection'!A46</f>
        <v>44</v>
      </c>
      <c r="C265" s="260" t="str">
        <f>'Dry_Litterbag Placem_Collection'!B46</f>
        <v>Makao</v>
      </c>
      <c r="D265" s="260" t="s">
        <v>2643</v>
      </c>
      <c r="E265" s="260" t="s">
        <v>20</v>
      </c>
      <c r="F265" s="260">
        <v>2</v>
      </c>
      <c r="G265" s="260" t="s">
        <v>3807</v>
      </c>
      <c r="H265" s="261" t="str">
        <f>'Dry_Litterbag Placem_Collection'!C46</f>
        <v>Dry_P2_T4</v>
      </c>
      <c r="I265" s="262" t="s">
        <v>2525</v>
      </c>
      <c r="J265" s="269" t="s">
        <v>298</v>
      </c>
      <c r="K265" s="221" t="str">
        <f>'WetLitterbags placem_collection'!M46</f>
        <v>R166</v>
      </c>
      <c r="L265" s="223">
        <f>IFERROR(INDEX('Green_rooibos initial weight'!$C$5:$C$2000,MATCH(K265, 'Green_rooibos initial weight'!$A$5:$A$2000,0)),"")</f>
        <v>2.222</v>
      </c>
      <c r="M265" s="223">
        <f>IFERROR(L265-(TBIcalc!$H$9+TBIcalc!$H$10),"")</f>
        <v>1.9722</v>
      </c>
      <c r="N265" s="385">
        <f>AVERAGE(Ashed_controlls!$K$2:$K$11)</f>
        <v>5.5147656768714146</v>
      </c>
      <c r="O265" s="223">
        <f t="shared" si="21"/>
        <v>1.8634377913207418</v>
      </c>
      <c r="P265" s="223">
        <f>IFERROR(INDEX('Both teabags AfterWet'!$C$3:$C$840,MATCH(K265,'Both teabags AfterWet'!$A$3:$A$840,0)),"")</f>
        <v>1.6101000000000001</v>
      </c>
      <c r="Q265" s="223">
        <f>IFERROR(IF(P265&gt;0,P265-(TBIcalc!$H$9),""),"")</f>
        <v>1.4595</v>
      </c>
      <c r="R265" s="223">
        <f>IFERROR(INDEX('Ashed teabags wet'!$K$2:$K$2000,MATCH(K265,'Ashed teabags wet'!$A$2:$A$2000,0)),"")</f>
        <v>4.868355688028041</v>
      </c>
      <c r="S265" s="223">
        <f t="shared" si="22"/>
        <v>1.3884463487332308</v>
      </c>
      <c r="T265" s="224">
        <f>'WetLitterbags placem_collection'!E46</f>
        <v>42766</v>
      </c>
      <c r="U265" s="224">
        <f>IF('WetLitterbags placem_collection'!G46="","",'WetLitterbags placem_collection'!G46)</f>
        <v>42820</v>
      </c>
      <c r="V265" s="225">
        <f t="shared" si="20"/>
        <v>54</v>
      </c>
      <c r="W265" s="223">
        <f t="shared" si="23"/>
        <v>0.51269999999999993</v>
      </c>
      <c r="X265" s="223">
        <f t="shared" si="24"/>
        <v>0.47499144258751103</v>
      </c>
      <c r="Y265">
        <f>IFERROR(INDEX(Rainfall_Wet!$O$2:$O$217,MATCH(B265, Rainfall_Wet!$A$2:$A$217,0)),"")</f>
        <v>214.262898705</v>
      </c>
      <c r="Z265" s="228">
        <v>19.96</v>
      </c>
      <c r="AA265" s="228">
        <v>4.9199999999999982</v>
      </c>
      <c r="AB265" s="228">
        <v>75.12</v>
      </c>
      <c r="AC265" s="229" t="s">
        <v>2655</v>
      </c>
      <c r="AD265" s="228">
        <v>1.641498275012321</v>
      </c>
      <c r="AE265">
        <f>IF('WetLitterbags placem_collection'!AB46="","",'WetLitterbags placem_collection'!AB46)</f>
        <v>2.6</v>
      </c>
      <c r="AF265">
        <f>IF('WetLitterbags placem_collection'!Z46="","",'WetLitterbags placem_collection'!Z46)</f>
        <v>39.200000000000003</v>
      </c>
      <c r="AG265" s="243" t="str">
        <f>IF('WetLitterbags placem_collection'!AA46="","",'WetLitterbags placem_collection'!AA46)</f>
        <v>G</v>
      </c>
      <c r="AH265">
        <f>IF('WetLitterbags placem_collection'!AC46="","",'WetLitterbags placem_collection'!AC46)</f>
        <v>0</v>
      </c>
      <c r="AI265" s="237">
        <f>AVERAGE('WetLitterbags placem_collection'!S46,'WetLitterbags placem_collection'!U46)</f>
        <v>20.6</v>
      </c>
      <c r="AJ265">
        <f>AVERAGE('WetLitterbags placem_collection'!R46,'WetLitterbags placem_collection'!T46)</f>
        <v>22.65</v>
      </c>
      <c r="AK265">
        <f>INDEX(Coordinates!$B$2:$B$197,MATCH(H265,Coordinates!$J$2:$J$197,0))</f>
        <v>-3.4081529920000002</v>
      </c>
      <c r="AL265">
        <f>INDEX(Coordinates!$C$2:$C$197,MATCH(H265,Coordinates!$J$2:$J$197,0))</f>
        <v>34.850168959999998</v>
      </c>
      <c r="AM265" t="str">
        <f>IF(ISNUMBER(SEARCH("C", 'WetLitterbags placem_collection'!$W46)),"YES","NO")</f>
        <v>NO</v>
      </c>
      <c r="AN265" t="str">
        <f>IF(ISNUMBER(SEARCH("H", 'WetLitterbags placem_collection'!$W46)),"YES","NO")</f>
        <v>NO</v>
      </c>
      <c r="AO265" t="str">
        <f>IF(ISNUMBER(SEARCH("R", 'WetLitterbags placem_collection'!$W46)),"YES","NO")</f>
        <v>YES</v>
      </c>
    </row>
    <row r="266" spans="1:41" ht="15" customHeight="1">
      <c r="A266" s="255" t="s">
        <v>2454</v>
      </c>
      <c r="B266" s="260">
        <f>'Dry_Litterbag Placem_Collection'!A47</f>
        <v>45</v>
      </c>
      <c r="C266" s="260" t="str">
        <f>'Dry_Litterbag Placem_Collection'!B47</f>
        <v>Makao</v>
      </c>
      <c r="D266" s="260" t="s">
        <v>2643</v>
      </c>
      <c r="E266" s="260" t="s">
        <v>20</v>
      </c>
      <c r="F266" s="260">
        <v>2</v>
      </c>
      <c r="G266" s="260" t="s">
        <v>3807</v>
      </c>
      <c r="H266" s="261" t="str">
        <f>'Dry_Litterbag Placem_Collection'!C47</f>
        <v>Dry_P2_T5</v>
      </c>
      <c r="I266" s="262" t="s">
        <v>2525</v>
      </c>
      <c r="J266" s="269" t="s">
        <v>298</v>
      </c>
      <c r="K266" s="221" t="str">
        <f>'WetLitterbags placem_collection'!M47</f>
        <v>R469</v>
      </c>
      <c r="L266" s="223">
        <f>IFERROR(INDEX('Green_rooibos initial weight'!$C$5:$C$2000,MATCH(K266, 'Green_rooibos initial weight'!$A$5:$A$2000,0)),"")</f>
        <v>2.2309999999999999</v>
      </c>
      <c r="M266" s="223">
        <f>IFERROR(L266-(TBIcalc!$H$9+TBIcalc!$H$10),"")</f>
        <v>1.9811999999999999</v>
      </c>
      <c r="N266" s="385">
        <f>AVERAGE(Ashed_controlls!$K$2:$K$11)</f>
        <v>5.5147656768714146</v>
      </c>
      <c r="O266" s="223">
        <f t="shared" si="21"/>
        <v>1.8719414624098234</v>
      </c>
      <c r="P266" s="223">
        <f>IFERROR(INDEX('Both teabags AfterWet'!$C$3:$C$840,MATCH(K266,'Both teabags AfterWet'!$A$3:$A$840,0)),"")</f>
        <v>1.5804</v>
      </c>
      <c r="Q266" s="223">
        <f>IFERROR(IF(P266&gt;0,P266-(TBIcalc!$H$9),""),"")</f>
        <v>1.4298</v>
      </c>
      <c r="R266" s="223">
        <f>IFERROR(INDEX('Ashed teabags wet'!$K$2:$K$2000,MATCH(K266,'Ashed teabags wet'!$A$2:$A$2000,0)),"")</f>
        <v>3.5248672139064463</v>
      </c>
      <c r="S266" s="223">
        <f t="shared" si="22"/>
        <v>1.3794014485755657</v>
      </c>
      <c r="T266" s="224">
        <f>'WetLitterbags placem_collection'!E47</f>
        <v>42766</v>
      </c>
      <c r="U266" s="224">
        <f>IF('WetLitterbags placem_collection'!G47="","",'WetLitterbags placem_collection'!G47)</f>
        <v>42820</v>
      </c>
      <c r="V266" s="225">
        <f t="shared" si="20"/>
        <v>54</v>
      </c>
      <c r="W266" s="223">
        <f t="shared" si="23"/>
        <v>0.55139999999999989</v>
      </c>
      <c r="X266" s="223">
        <f t="shared" si="24"/>
        <v>0.49254001383425772</v>
      </c>
      <c r="Y266">
        <f>IFERROR(INDEX(Rainfall_Wet!$O$2:$O$217,MATCH(B266, Rainfall_Wet!$A$2:$A$217,0)),"")</f>
        <v>214.262898705</v>
      </c>
      <c r="Z266" s="228">
        <v>19.96</v>
      </c>
      <c r="AA266" s="228">
        <v>4.9199999999999982</v>
      </c>
      <c r="AB266" s="228">
        <v>75.12</v>
      </c>
      <c r="AC266" s="229" t="s">
        <v>2655</v>
      </c>
      <c r="AD266" s="228">
        <v>1.641498275012321</v>
      </c>
      <c r="AE266">
        <f>IF('WetLitterbags placem_collection'!AB47="","",'WetLitterbags placem_collection'!AB47)</f>
        <v>2.2999999999999998</v>
      </c>
      <c r="AF266">
        <f>IF('WetLitterbags placem_collection'!Z47="","",'WetLitterbags placem_collection'!Z47)</f>
        <v>9.3000000000000007</v>
      </c>
      <c r="AG266" s="243" t="str">
        <f>IF('WetLitterbags placem_collection'!AA47="","",'WetLitterbags placem_collection'!AA47)</f>
        <v>O</v>
      </c>
      <c r="AH266">
        <f>IF('WetLitterbags placem_collection'!AC47="","",'WetLitterbags placem_collection'!AC47)</f>
        <v>0</v>
      </c>
      <c r="AI266" s="237">
        <f>AVERAGE('WetLitterbags placem_collection'!S47,'WetLitterbags placem_collection'!U47)</f>
        <v>24.4</v>
      </c>
      <c r="AJ266">
        <f>AVERAGE('WetLitterbags placem_collection'!R47,'WetLitterbags placem_collection'!T47)</f>
        <v>22.15</v>
      </c>
      <c r="AK266">
        <f>INDEX(Coordinates!$B$2:$B$197,MATCH(H266,Coordinates!$J$2:$J$197,0))</f>
        <v>-3.4081789759999999</v>
      </c>
      <c r="AL266">
        <f>INDEX(Coordinates!$C$2:$C$197,MATCH(H266,Coordinates!$J$2:$J$197,0))</f>
        <v>34.850516980000002</v>
      </c>
      <c r="AM266" t="str">
        <f>IF(ISNUMBER(SEARCH("C", 'WetLitterbags placem_collection'!$W47)),"YES","NO")</f>
        <v>NO</v>
      </c>
      <c r="AN266" t="str">
        <f>IF(ISNUMBER(SEARCH("H", 'WetLitterbags placem_collection'!$W47)),"YES","NO")</f>
        <v>NO</v>
      </c>
      <c r="AO266" t="str">
        <f>IF(ISNUMBER(SEARCH("R", 'WetLitterbags placem_collection'!$W47)),"YES","NO")</f>
        <v>NO</v>
      </c>
    </row>
    <row r="267" spans="1:41" ht="15" customHeight="1">
      <c r="A267" s="255" t="s">
        <v>2454</v>
      </c>
      <c r="B267" s="260">
        <f>'Dry_Litterbag Placem_Collection'!A48</f>
        <v>46</v>
      </c>
      <c r="C267" s="260" t="str">
        <f>'Dry_Litterbag Placem_Collection'!B48</f>
        <v>Makao</v>
      </c>
      <c r="D267" s="260" t="s">
        <v>2643</v>
      </c>
      <c r="E267" s="260" t="s">
        <v>20</v>
      </c>
      <c r="F267" s="260">
        <v>2</v>
      </c>
      <c r="G267" s="260" t="s">
        <v>3807</v>
      </c>
      <c r="H267" s="261" t="str">
        <f>'Dry_Litterbag Placem_Collection'!C48</f>
        <v>Dry_P2_T6</v>
      </c>
      <c r="I267" s="262" t="s">
        <v>2525</v>
      </c>
      <c r="J267" s="269" t="s">
        <v>298</v>
      </c>
      <c r="K267" s="221" t="str">
        <f>'WetLitterbags placem_collection'!M48</f>
        <v>R86</v>
      </c>
      <c r="L267" s="223">
        <f>IFERROR(INDEX('Green_rooibos initial weight'!$C$5:$C$2000,MATCH(K267, 'Green_rooibos initial weight'!$A$5:$A$2000,0)),"")</f>
        <v>2.242</v>
      </c>
      <c r="M267" s="223">
        <f>IFERROR(L267-(TBIcalc!$H$9+TBIcalc!$H$10),"")</f>
        <v>1.9922</v>
      </c>
      <c r="N267" s="385">
        <f>AVERAGE(Ashed_controlls!$K$2:$K$11)</f>
        <v>5.5147656768714146</v>
      </c>
      <c r="O267" s="223">
        <f t="shared" si="21"/>
        <v>1.8823348381853677</v>
      </c>
      <c r="P267" s="223" t="str">
        <f>IFERROR(INDEX('Both teabags AfterWet'!$C$3:$C$840,MATCH(K267,'Both teabags AfterWet'!$A$3:$A$840,0)),"")</f>
        <v/>
      </c>
      <c r="Q267" s="223" t="str">
        <f>IFERROR(IF(P267&gt;0,P267-(TBIcalc!$H$9),""),"")</f>
        <v/>
      </c>
      <c r="R267" s="223" t="str">
        <f>IFERROR(INDEX('Ashed teabags wet'!$K$2:$K$2000,MATCH(K267,'Ashed teabags wet'!$A$2:$A$2000,0)),"")</f>
        <v/>
      </c>
      <c r="S267" s="223" t="str">
        <f t="shared" si="22"/>
        <v/>
      </c>
      <c r="T267" s="224">
        <f>'WetLitterbags placem_collection'!E48</f>
        <v>42766</v>
      </c>
      <c r="U267" s="224">
        <f>IF('WetLitterbags placem_collection'!G48="","",'WetLitterbags placem_collection'!G48)</f>
        <v>42820</v>
      </c>
      <c r="V267" s="225">
        <f t="shared" si="20"/>
        <v>54</v>
      </c>
      <c r="W267" s="223" t="str">
        <f t="shared" si="23"/>
        <v/>
      </c>
      <c r="X267" s="223" t="str">
        <f t="shared" si="24"/>
        <v/>
      </c>
      <c r="Y267">
        <f>IFERROR(INDEX(Rainfall_Wet!$O$2:$O$217,MATCH(B267, Rainfall_Wet!$A$2:$A$217,0)),"")</f>
        <v>214.262898705</v>
      </c>
      <c r="Z267" s="228">
        <v>19.96</v>
      </c>
      <c r="AA267" s="228">
        <v>4.9199999999999982</v>
      </c>
      <c r="AB267" s="228">
        <v>75.12</v>
      </c>
      <c r="AC267" s="229" t="s">
        <v>2655</v>
      </c>
      <c r="AD267" s="228">
        <v>1.641498275012321</v>
      </c>
      <c r="AE267" t="str">
        <f>IF('WetLitterbags placem_collection'!AB48="","",'WetLitterbags placem_collection'!AB48)</f>
        <v/>
      </c>
      <c r="AF267" t="str">
        <f>IF('WetLitterbags placem_collection'!Z48="","",'WetLitterbags placem_collection'!Z48)</f>
        <v/>
      </c>
      <c r="AG267" s="243" t="str">
        <f>IF('WetLitterbags placem_collection'!AA48="","",'WetLitterbags placem_collection'!AA48)</f>
        <v/>
      </c>
      <c r="AH267" t="str">
        <f>IF('WetLitterbags placem_collection'!AC48="","",'WetLitterbags placem_collection'!AC48)</f>
        <v/>
      </c>
      <c r="AI267" s="237">
        <f>AVERAGE('WetLitterbags placem_collection'!S48,'WetLitterbags placem_collection'!U48)</f>
        <v>22.5</v>
      </c>
      <c r="AJ267">
        <f>AVERAGE('WetLitterbags placem_collection'!R48,'WetLitterbags placem_collection'!T48)</f>
        <v>20.100000000000001</v>
      </c>
      <c r="AK267">
        <f>INDEX(Coordinates!$B$2:$B$197,MATCH(H267,Coordinates!$J$2:$J$197,0))</f>
        <v>-3.4084730130000001</v>
      </c>
      <c r="AL267">
        <f>INDEX(Coordinates!$C$2:$C$197,MATCH(H267,Coordinates!$J$2:$J$197,0))</f>
        <v>34.850401980000001</v>
      </c>
      <c r="AM267" t="str">
        <f>IF(ISNUMBER(SEARCH("C", 'WetLitterbags placem_collection'!$W48)),"YES","NO")</f>
        <v>NO</v>
      </c>
      <c r="AN267" t="str">
        <f>IF(ISNUMBER(SEARCH("H", 'WetLitterbags placem_collection'!$W48)),"YES","NO")</f>
        <v>NO</v>
      </c>
      <c r="AO267" t="str">
        <f>IF(ISNUMBER(SEARCH("R", 'WetLitterbags placem_collection'!$W48)),"YES","NO")</f>
        <v>NO</v>
      </c>
    </row>
    <row r="268" spans="1:41" ht="15" customHeight="1">
      <c r="A268" s="255" t="s">
        <v>2454</v>
      </c>
      <c r="B268" s="260">
        <f>'Dry_Litterbag Placem_Collection'!A49</f>
        <v>47</v>
      </c>
      <c r="C268" s="260" t="str">
        <f>'Dry_Litterbag Placem_Collection'!B49</f>
        <v>Makao</v>
      </c>
      <c r="D268" s="260" t="s">
        <v>2643</v>
      </c>
      <c r="E268" s="260" t="s">
        <v>20</v>
      </c>
      <c r="F268" s="260">
        <v>2</v>
      </c>
      <c r="G268" s="260" t="s">
        <v>3807</v>
      </c>
      <c r="H268" s="261" t="str">
        <f>'Dry_Litterbag Placem_Collection'!C49</f>
        <v>Dry_P2_T7</v>
      </c>
      <c r="I268" s="262" t="s">
        <v>2525</v>
      </c>
      <c r="J268" s="269" t="s">
        <v>298</v>
      </c>
      <c r="K268" s="221" t="str">
        <f>'WetLitterbags placem_collection'!M49</f>
        <v>R146</v>
      </c>
      <c r="L268" s="223">
        <f>IFERROR(INDEX('Green_rooibos initial weight'!$C$5:$C$2000,MATCH(K268, 'Green_rooibos initial weight'!$A$5:$A$2000,0)),"")</f>
        <v>2.2010000000000001</v>
      </c>
      <c r="M268" s="223">
        <f>IFERROR(L268-(TBIcalc!$H$9+TBIcalc!$H$10),"")</f>
        <v>1.9512</v>
      </c>
      <c r="N268" s="385">
        <f>AVERAGE(Ashed_controlls!$K$2:$K$11)</f>
        <v>5.5147656768714146</v>
      </c>
      <c r="O268" s="223">
        <f t="shared" si="21"/>
        <v>1.843595892112885</v>
      </c>
      <c r="P268" s="223">
        <f>IFERROR(INDEX('Both teabags AfterWet'!$C$3:$C$840,MATCH(K268,'Both teabags AfterWet'!$A$3:$A$840,0)),"")</f>
        <v>1.651</v>
      </c>
      <c r="Q268" s="223">
        <f>IFERROR(IF(P268&gt;0,P268-(TBIcalc!$H$9),""),"")</f>
        <v>1.5004</v>
      </c>
      <c r="R268" s="223">
        <f>IFERROR(INDEX('Ashed teabags wet'!$K$2:$K$2000,MATCH(K268,'Ashed teabags wet'!$A$2:$A$2000,0)),"")</f>
        <v>7.3593073593070963</v>
      </c>
      <c r="S268" s="223">
        <f t="shared" si="22"/>
        <v>1.3899809523809563</v>
      </c>
      <c r="T268" s="224">
        <f>'WetLitterbags placem_collection'!E49</f>
        <v>42766</v>
      </c>
      <c r="U268" s="224">
        <f>IF('WetLitterbags placem_collection'!G49="","",'WetLitterbags placem_collection'!G49)</f>
        <v>42820</v>
      </c>
      <c r="V268" s="225">
        <f t="shared" si="20"/>
        <v>54</v>
      </c>
      <c r="W268" s="223">
        <f t="shared" si="23"/>
        <v>0.45080000000000009</v>
      </c>
      <c r="X268" s="223">
        <f t="shared" si="24"/>
        <v>0.45361493973192868</v>
      </c>
      <c r="Y268">
        <f>IFERROR(INDEX(Rainfall_Wet!$O$2:$O$217,MATCH(B268, Rainfall_Wet!$A$2:$A$217,0)),"")</f>
        <v>214.262898705</v>
      </c>
      <c r="Z268" s="228">
        <v>19.96</v>
      </c>
      <c r="AA268" s="228">
        <v>4.9199999999999982</v>
      </c>
      <c r="AB268" s="228">
        <v>75.12</v>
      </c>
      <c r="AC268" s="229" t="s">
        <v>2655</v>
      </c>
      <c r="AD268" s="228">
        <v>1.641498275012321</v>
      </c>
      <c r="AE268">
        <f>IF('WetLitterbags placem_collection'!AB49="","",'WetLitterbags placem_collection'!AB49)</f>
        <v>5.2</v>
      </c>
      <c r="AF268">
        <f>IF('WetLitterbags placem_collection'!Z49="","",'WetLitterbags placem_collection'!Z49)</f>
        <v>5.2</v>
      </c>
      <c r="AG268" s="243" t="str">
        <f>IF('WetLitterbags placem_collection'!AA49="","",'WetLitterbags placem_collection'!AA49)</f>
        <v>G</v>
      </c>
      <c r="AH268">
        <f>IF('WetLitterbags placem_collection'!AC49="","",'WetLitterbags placem_collection'!AC49)</f>
        <v>0</v>
      </c>
      <c r="AI268" s="237">
        <f>AVERAGE('WetLitterbags placem_collection'!S49,'WetLitterbags placem_collection'!U49)</f>
        <v>23.7</v>
      </c>
      <c r="AJ268">
        <f>AVERAGE('WetLitterbags placem_collection'!R49,'WetLitterbags placem_collection'!T49)</f>
        <v>22.6</v>
      </c>
      <c r="AK268">
        <f>INDEX(Coordinates!$B$2:$B$197,MATCH(H268,Coordinates!$J$2:$J$197,0))</f>
        <v>-3.4084819820000001</v>
      </c>
      <c r="AL268">
        <f>INDEX(Coordinates!$C$2:$C$197,MATCH(H268,Coordinates!$J$2:$J$197,0))</f>
        <v>34.850024040000001</v>
      </c>
      <c r="AM268" t="str">
        <f>IF(ISNUMBER(SEARCH("C", 'WetLitterbags placem_collection'!$W49)),"YES","NO")</f>
        <v>NO</v>
      </c>
      <c r="AN268" t="str">
        <f>IF(ISNUMBER(SEARCH("H", 'WetLitterbags placem_collection'!$W49)),"YES","NO")</f>
        <v>YES</v>
      </c>
      <c r="AO268" t="str">
        <f>IF(ISNUMBER(SEARCH("R", 'WetLitterbags placem_collection'!$W49)),"YES","NO")</f>
        <v>YES</v>
      </c>
    </row>
    <row r="269" spans="1:41" ht="15" customHeight="1">
      <c r="A269" s="255" t="s">
        <v>2454</v>
      </c>
      <c r="B269" s="260">
        <f>'Dry_Litterbag Placem_Collection'!A50</f>
        <v>48</v>
      </c>
      <c r="C269" s="260" t="str">
        <f>'Dry_Litterbag Placem_Collection'!B50</f>
        <v>Makao</v>
      </c>
      <c r="D269" s="260" t="s">
        <v>2643</v>
      </c>
      <c r="E269" s="260" t="s">
        <v>20</v>
      </c>
      <c r="F269" s="260">
        <v>2</v>
      </c>
      <c r="G269" s="260" t="s">
        <v>3807</v>
      </c>
      <c r="H269" s="261" t="str">
        <f>'Dry_Litterbag Placem_Collection'!C50</f>
        <v>Dry_P2_T8</v>
      </c>
      <c r="I269" s="262" t="s">
        <v>2525</v>
      </c>
      <c r="J269" s="269" t="s">
        <v>298</v>
      </c>
      <c r="K269" s="221" t="str">
        <f>'WetLitterbags placem_collection'!M50</f>
        <v>R72</v>
      </c>
      <c r="L269" s="223">
        <f>IFERROR(INDEX('Green_rooibos initial weight'!$C$5:$C$2000,MATCH(K269, 'Green_rooibos initial weight'!$A$5:$A$2000,0)),"")</f>
        <v>2.2349999999999999</v>
      </c>
      <c r="M269" s="223">
        <f>IFERROR(L269-(TBIcalc!$H$9+TBIcalc!$H$10),"")</f>
        <v>1.9851999999999999</v>
      </c>
      <c r="N269" s="385">
        <f>AVERAGE(Ashed_controlls!$K$2:$K$11)</f>
        <v>5.5147656768714146</v>
      </c>
      <c r="O269" s="223">
        <f t="shared" si="21"/>
        <v>1.8757208717827485</v>
      </c>
      <c r="P269" s="223">
        <f>IFERROR(INDEX('Both teabags AfterWet'!$C$3:$C$840,MATCH(K269,'Both teabags AfterWet'!$A$3:$A$840,0)),"")</f>
        <v>1.6359999999999999</v>
      </c>
      <c r="Q269" s="223">
        <f>IFERROR(IF(P269&gt;0,P269-(TBIcalc!$H$9),""),"")</f>
        <v>1.4853999999999998</v>
      </c>
      <c r="R269" s="223">
        <f>IFERROR(INDEX('Ashed teabags wet'!$K$2:$K$2000,MATCH(K269,'Ashed teabags wet'!$A$2:$A$2000,0)),"")</f>
        <v>4.6647230320703335</v>
      </c>
      <c r="S269" s="223">
        <f t="shared" si="22"/>
        <v>1.4161102040816271</v>
      </c>
      <c r="T269" s="224">
        <f>'WetLitterbags placem_collection'!E50</f>
        <v>42766</v>
      </c>
      <c r="U269" s="224">
        <f>IF('WetLitterbags placem_collection'!G50="","",'WetLitterbags placem_collection'!G50)</f>
        <v>42820</v>
      </c>
      <c r="V269" s="225">
        <f t="shared" si="20"/>
        <v>54</v>
      </c>
      <c r="W269" s="223">
        <f t="shared" si="23"/>
        <v>0.49980000000000002</v>
      </c>
      <c r="X269" s="223">
        <f t="shared" si="24"/>
        <v>0.45961066770112136</v>
      </c>
      <c r="Y269">
        <f>IFERROR(INDEX(Rainfall_Wet!$O$2:$O$217,MATCH(B269, Rainfall_Wet!$A$2:$A$217,0)),"")</f>
        <v>214.262898705</v>
      </c>
      <c r="Z269" s="228">
        <v>19.96</v>
      </c>
      <c r="AA269" s="228">
        <v>4.9199999999999982</v>
      </c>
      <c r="AB269" s="228">
        <v>75.12</v>
      </c>
      <c r="AC269" s="229" t="s">
        <v>2655</v>
      </c>
      <c r="AD269" s="228">
        <v>1.641498275012321</v>
      </c>
      <c r="AE269">
        <f>IF('WetLitterbags placem_collection'!AB50="","",'WetLitterbags placem_collection'!AB50)</f>
        <v>7.3</v>
      </c>
      <c r="AF269">
        <f>IF('WetLitterbags placem_collection'!Z50="","",'WetLitterbags placem_collection'!Z50)</f>
        <v>27.2</v>
      </c>
      <c r="AG269" s="243" t="str">
        <f>IF('WetLitterbags placem_collection'!AA50="","",'WetLitterbags placem_collection'!AA50)</f>
        <v>M</v>
      </c>
      <c r="AH269">
        <f>IF('WetLitterbags placem_collection'!AC50="","",'WetLitterbags placem_collection'!AC50)</f>
        <v>0</v>
      </c>
      <c r="AI269" s="237">
        <f>AVERAGE('WetLitterbags placem_collection'!S50,'WetLitterbags placem_collection'!U50)</f>
        <v>21.8</v>
      </c>
      <c r="AJ269">
        <f>AVERAGE('WetLitterbags placem_collection'!R50,'WetLitterbags placem_collection'!T50)</f>
        <v>21.65</v>
      </c>
      <c r="AK269">
        <f>INDEX(Coordinates!$B$2:$B$197,MATCH(H269,Coordinates!$J$2:$J$197,0))</f>
        <v>-3.4081990090000001</v>
      </c>
      <c r="AL269">
        <f>INDEX(Coordinates!$C$2:$C$197,MATCH(H269,Coordinates!$J$2:$J$197,0))</f>
        <v>34.850254960000001</v>
      </c>
      <c r="AM269" t="str">
        <f>IF(ISNUMBER(SEARCH("C", 'WetLitterbags placem_collection'!$W50)),"YES","NO")</f>
        <v>NO</v>
      </c>
      <c r="AN269" t="str">
        <f>IF(ISNUMBER(SEARCH("H", 'WetLitterbags placem_collection'!$W50)),"YES","NO")</f>
        <v>NO</v>
      </c>
      <c r="AO269" t="str">
        <f>IF(ISNUMBER(SEARCH("R", 'WetLitterbags placem_collection'!$W50)),"YES","NO")</f>
        <v>YES</v>
      </c>
    </row>
    <row r="270" spans="1:41" ht="15" customHeight="1">
      <c r="A270" s="255" t="s">
        <v>2454</v>
      </c>
      <c r="B270" s="260">
        <f>'Dry_Litterbag Placem_Collection'!A51</f>
        <v>49</v>
      </c>
      <c r="C270" s="260" t="str">
        <f>'Dry_Litterbag Placem_Collection'!B51</f>
        <v>Makao</v>
      </c>
      <c r="D270" s="260" t="s">
        <v>2643</v>
      </c>
      <c r="E270" s="260" t="s">
        <v>20</v>
      </c>
      <c r="F270" s="260">
        <v>3</v>
      </c>
      <c r="G270" s="260" t="s">
        <v>3808</v>
      </c>
      <c r="H270" s="261" t="str">
        <f>'Dry_Litterbag Placem_Collection'!C51</f>
        <v>Dry_P3_T1</v>
      </c>
      <c r="I270" s="262" t="s">
        <v>2525</v>
      </c>
      <c r="J270" s="269" t="s">
        <v>298</v>
      </c>
      <c r="K270" s="221" t="str">
        <f>'WetLitterbags placem_collection'!M51</f>
        <v>R28</v>
      </c>
      <c r="L270" s="223">
        <f>IFERROR(INDEX('Green_rooibos initial weight'!$C$5:$C$2000,MATCH(K270, 'Green_rooibos initial weight'!$A$5:$A$2000,0)),"")</f>
        <v>2.1030000000000002</v>
      </c>
      <c r="M270" s="223">
        <f>IFERROR(L270-(TBIcalc!$H$9+TBIcalc!$H$10),"")</f>
        <v>1.8532000000000002</v>
      </c>
      <c r="N270" s="385">
        <f>AVERAGE(Ashed_controlls!$K$2:$K$11)</f>
        <v>5.5147656768714146</v>
      </c>
      <c r="O270" s="223">
        <f t="shared" si="21"/>
        <v>1.7510003624762192</v>
      </c>
      <c r="P270" s="223">
        <f>IFERROR(INDEX('Both teabags AfterWet'!$C$3:$C$840,MATCH(K270,'Both teabags AfterWet'!$A$3:$A$840,0)),"")</f>
        <v>1.5992999999999999</v>
      </c>
      <c r="Q270" s="223">
        <f>IFERROR(IF(P270&gt;0,P270-(TBIcalc!$H$9),""),"")</f>
        <v>1.4486999999999999</v>
      </c>
      <c r="R270" s="223">
        <f>IFERROR(INDEX('Ashed teabags wet'!$K$2:$K$2000,MATCH(K270,'Ashed teabags wet'!$A$2:$A$2000,0)),"")</f>
        <v>11.563275434243886</v>
      </c>
      <c r="S270" s="223">
        <f t="shared" si="22"/>
        <v>1.2811828287841087</v>
      </c>
      <c r="T270" s="224">
        <f>'WetLitterbags placem_collection'!E51</f>
        <v>42766</v>
      </c>
      <c r="U270" s="224">
        <f>IF('WetLitterbags placem_collection'!G51="","",'WetLitterbags placem_collection'!G51)</f>
        <v>42820</v>
      </c>
      <c r="V270" s="225">
        <f t="shared" si="20"/>
        <v>54</v>
      </c>
      <c r="W270" s="223">
        <f t="shared" si="23"/>
        <v>0.4045000000000003</v>
      </c>
      <c r="X270" s="223">
        <f t="shared" si="24"/>
        <v>0.46981753369211043</v>
      </c>
      <c r="Y270">
        <f>IFERROR(INDEX(Rainfall_Wet!$O$2:$O$217,MATCH(B270, Rainfall_Wet!$A$2:$A$217,0)),"")</f>
        <v>214.262898705</v>
      </c>
      <c r="Z270" s="228">
        <v>21.96</v>
      </c>
      <c r="AA270" s="228">
        <v>8.9199999999999982</v>
      </c>
      <c r="AB270" s="228">
        <v>69.12</v>
      </c>
      <c r="AC270" s="229" t="s">
        <v>2654</v>
      </c>
      <c r="AD270" s="228">
        <v>1.7491375061606702</v>
      </c>
      <c r="AE270">
        <f>IF('WetLitterbags placem_collection'!AB51="","",'WetLitterbags placem_collection'!AB51)</f>
        <v>10.4</v>
      </c>
      <c r="AF270">
        <f>IF('WetLitterbags placem_collection'!Z51="","",'WetLitterbags placem_collection'!Z51)</f>
        <v>36</v>
      </c>
      <c r="AG270" s="243" t="str">
        <f>IF('WetLitterbags placem_collection'!AA51="","",'WetLitterbags placem_collection'!AA51)</f>
        <v>M</v>
      </c>
      <c r="AH270">
        <f>IF('WetLitterbags placem_collection'!AC51="","",'WetLitterbags placem_collection'!AC51)</f>
        <v>1</v>
      </c>
      <c r="AI270" s="237">
        <f>AVERAGE('WetLitterbags placem_collection'!S51,'WetLitterbags placem_collection'!U51)</f>
        <v>26.2</v>
      </c>
      <c r="AJ270">
        <f>AVERAGE('WetLitterbags placem_collection'!R51,'WetLitterbags placem_collection'!T51)</f>
        <v>26.55</v>
      </c>
      <c r="AK270">
        <f>INDEX(Coordinates!$B$2:$B$197,MATCH(H270,Coordinates!$J$2:$J$197,0))</f>
        <v>-3.406225992</v>
      </c>
      <c r="AL270">
        <f>INDEX(Coordinates!$C$2:$C$197,MATCH(H270,Coordinates!$J$2:$J$197,0))</f>
        <v>34.85055998</v>
      </c>
      <c r="AM270" t="str">
        <f>IF(ISNUMBER(SEARCH("C", 'WetLitterbags placem_collection'!$W51)),"YES","NO")</f>
        <v>NO</v>
      </c>
      <c r="AN270" t="str">
        <f>IF(ISNUMBER(SEARCH("H", 'WetLitterbags placem_collection'!$W51)),"YES","NO")</f>
        <v>YES</v>
      </c>
      <c r="AO270" t="str">
        <f>IF(ISNUMBER(SEARCH("R", 'WetLitterbags placem_collection'!$W51)),"YES","NO")</f>
        <v>YES</v>
      </c>
    </row>
    <row r="271" spans="1:41" ht="15" customHeight="1">
      <c r="A271" s="255" t="s">
        <v>2454</v>
      </c>
      <c r="B271" s="260">
        <f>'Dry_Litterbag Placem_Collection'!A52</f>
        <v>50</v>
      </c>
      <c r="C271" s="260" t="str">
        <f>'Dry_Litterbag Placem_Collection'!B52</f>
        <v>Makao</v>
      </c>
      <c r="D271" s="260" t="s">
        <v>2643</v>
      </c>
      <c r="E271" s="260" t="s">
        <v>20</v>
      </c>
      <c r="F271" s="260">
        <v>3</v>
      </c>
      <c r="G271" s="260" t="s">
        <v>3808</v>
      </c>
      <c r="H271" s="261" t="str">
        <f>'Dry_Litterbag Placem_Collection'!C52</f>
        <v>Dry_P3_T2</v>
      </c>
      <c r="I271" s="262" t="s">
        <v>2525</v>
      </c>
      <c r="J271" s="269" t="s">
        <v>298</v>
      </c>
      <c r="K271" s="221" t="str">
        <f>'WetLitterbags placem_collection'!M52</f>
        <v>R5</v>
      </c>
      <c r="L271" s="223">
        <f>IFERROR(INDEX('Green_rooibos initial weight'!$C$5:$C$2000,MATCH(K271, 'Green_rooibos initial weight'!$A$5:$A$2000,0)),"")</f>
        <v>2.1800000000000002</v>
      </c>
      <c r="M271" s="223">
        <f>IFERROR(L271-(TBIcalc!$H$9+TBIcalc!$H$10),"")</f>
        <v>1.9302000000000001</v>
      </c>
      <c r="N271" s="385">
        <f>AVERAGE(Ashed_controlls!$K$2:$K$11)</f>
        <v>5.5147656768714146</v>
      </c>
      <c r="O271" s="223">
        <f t="shared" si="21"/>
        <v>1.8237539929050282</v>
      </c>
      <c r="P271" s="223">
        <f>IFERROR(INDEX('Both teabags AfterWet'!$C$3:$C$840,MATCH(K271,'Both teabags AfterWet'!$A$3:$A$840,0)),"")</f>
        <v>0.32769999999999999</v>
      </c>
      <c r="Q271" s="223">
        <f>IFERROR(IF(P271&gt;0,P271-(TBIcalc!$H$9),""),"")</f>
        <v>0.17709999999999998</v>
      </c>
      <c r="R271" s="223">
        <f>IFERROR(INDEX('Ashed teabags wet'!$K$2:$K$2000,MATCH(K271,'Ashed teabags wet'!$A$2:$A$2000,0)),"")</f>
        <v>0</v>
      </c>
      <c r="S271" s="223">
        <f t="shared" si="22"/>
        <v>0.17709999999999998</v>
      </c>
      <c r="T271" s="224">
        <f>'WetLitterbags placem_collection'!E52</f>
        <v>42766</v>
      </c>
      <c r="U271" s="224">
        <f>IF('WetLitterbags placem_collection'!G52="","",'WetLitterbags placem_collection'!G52)</f>
        <v>42820</v>
      </c>
      <c r="V271" s="225">
        <f t="shared" si="20"/>
        <v>54</v>
      </c>
      <c r="W271" s="223">
        <f t="shared" si="23"/>
        <v>1.7531000000000001</v>
      </c>
      <c r="X271" s="223">
        <f t="shared" si="24"/>
        <v>1.6466539929050281</v>
      </c>
      <c r="Y271">
        <f>IFERROR(INDEX(Rainfall_Wet!$O$2:$O$217,MATCH(B271, Rainfall_Wet!$A$2:$A$217,0)),"")</f>
        <v>214.262898705</v>
      </c>
      <c r="Z271" s="228">
        <v>21.96</v>
      </c>
      <c r="AA271" s="228">
        <v>8.9199999999999982</v>
      </c>
      <c r="AB271" s="228">
        <v>69.12</v>
      </c>
      <c r="AC271" s="229" t="s">
        <v>2654</v>
      </c>
      <c r="AD271" s="228">
        <v>1.7491375061606702</v>
      </c>
      <c r="AE271">
        <f>IF('WetLitterbags placem_collection'!AB52="","",'WetLitterbags placem_collection'!AB52)</f>
        <v>10</v>
      </c>
      <c r="AF271">
        <f>IF('WetLitterbags placem_collection'!Z52="","",'WetLitterbags placem_collection'!Z52)</f>
        <v>22.5</v>
      </c>
      <c r="AG271" s="243" t="str">
        <f>IF('WetLitterbags placem_collection'!AA52="","",'WetLitterbags placem_collection'!AA52)</f>
        <v>M</v>
      </c>
      <c r="AH271">
        <f>IF('WetLitterbags placem_collection'!AC52="","",'WetLitterbags placem_collection'!AC52)</f>
        <v>1</v>
      </c>
      <c r="AI271" s="237">
        <f>AVERAGE('WetLitterbags placem_collection'!S52,'WetLitterbags placem_collection'!U52)</f>
        <v>31.4</v>
      </c>
      <c r="AJ271">
        <f>AVERAGE('WetLitterbags placem_collection'!R52,'WetLitterbags placem_collection'!T52)</f>
        <v>22.4</v>
      </c>
      <c r="AK271">
        <f>INDEX(Coordinates!$B$2:$B$197,MATCH(H271,Coordinates!$J$2:$J$197,0))</f>
        <v>-3.4062630399999998</v>
      </c>
      <c r="AL271">
        <f>INDEX(Coordinates!$C$2:$C$197,MATCH(H271,Coordinates!$J$2:$J$197,0))</f>
        <v>34.850566010000001</v>
      </c>
      <c r="AM271" t="str">
        <f>IF(ISNUMBER(SEARCH("C", 'WetLitterbags placem_collection'!$W52)),"YES","NO")</f>
        <v>NO</v>
      </c>
      <c r="AN271" t="str">
        <f>IF(ISNUMBER(SEARCH("H", 'WetLitterbags placem_collection'!$W52)),"YES","NO")</f>
        <v>NO</v>
      </c>
      <c r="AO271" t="str">
        <f>IF(ISNUMBER(SEARCH("R", 'WetLitterbags placem_collection'!$W52)),"YES","NO")</f>
        <v>NO</v>
      </c>
    </row>
    <row r="272" spans="1:41" ht="15" customHeight="1">
      <c r="A272" s="255" t="s">
        <v>2454</v>
      </c>
      <c r="B272" s="260">
        <f>'Dry_Litterbag Placem_Collection'!A53</f>
        <v>51</v>
      </c>
      <c r="C272" s="260" t="str">
        <f>'Dry_Litterbag Placem_Collection'!B53</f>
        <v>Makao</v>
      </c>
      <c r="D272" s="260" t="s">
        <v>2643</v>
      </c>
      <c r="E272" s="260" t="s">
        <v>20</v>
      </c>
      <c r="F272" s="260">
        <v>3</v>
      </c>
      <c r="G272" s="260" t="s">
        <v>3808</v>
      </c>
      <c r="H272" s="261" t="str">
        <f>'Dry_Litterbag Placem_Collection'!C53</f>
        <v>Dry_P3_T3</v>
      </c>
      <c r="I272" s="262" t="s">
        <v>2525</v>
      </c>
      <c r="J272" s="269" t="s">
        <v>298</v>
      </c>
      <c r="K272" s="221" t="str">
        <f>'WetLitterbags placem_collection'!M53</f>
        <v>R85</v>
      </c>
      <c r="L272" s="223">
        <f>IFERROR(INDEX('Green_rooibos initial weight'!$C$5:$C$2000,MATCH(K272, 'Green_rooibos initial weight'!$A$5:$A$2000,0)),"")</f>
        <v>2.1930000000000001</v>
      </c>
      <c r="M272" s="223">
        <f>IFERROR(L272-(TBIcalc!$H$9+TBIcalc!$H$10),"")</f>
        <v>1.9432</v>
      </c>
      <c r="N272" s="385">
        <f>AVERAGE(Ashed_controlls!$K$2:$K$11)</f>
        <v>5.5147656768714146</v>
      </c>
      <c r="O272" s="223">
        <f t="shared" si="21"/>
        <v>1.8360370733670348</v>
      </c>
      <c r="P272" s="223">
        <f>IFERROR(INDEX('Both teabags AfterWet'!$C$3:$C$840,MATCH(K272,'Both teabags AfterWet'!$A$3:$A$840,0)),"")</f>
        <v>1.599</v>
      </c>
      <c r="Q272" s="223">
        <f>IFERROR(IF(P272&gt;0,P272-(TBIcalc!$H$9),""),"")</f>
        <v>1.4483999999999999</v>
      </c>
      <c r="R272" s="223">
        <f>IFERROR(INDEX('Ashed teabags wet'!$K$2:$K$2000,MATCH(K272,'Ashed teabags wet'!$A$2:$A$2000,0)),"")</f>
        <v>6.0009601536244919</v>
      </c>
      <c r="S272" s="223">
        <f t="shared" si="22"/>
        <v>1.3614820931349028</v>
      </c>
      <c r="T272" s="224">
        <f>'WetLitterbags placem_collection'!E53</f>
        <v>42766</v>
      </c>
      <c r="U272" s="224">
        <f>IF('WetLitterbags placem_collection'!G53="","",'WetLitterbags placem_collection'!G53)</f>
        <v>42820</v>
      </c>
      <c r="V272" s="225">
        <f t="shared" si="20"/>
        <v>54</v>
      </c>
      <c r="W272" s="223">
        <f t="shared" si="23"/>
        <v>0.49480000000000013</v>
      </c>
      <c r="X272" s="223">
        <f t="shared" si="24"/>
        <v>0.47455498023213205</v>
      </c>
      <c r="Y272">
        <f>IFERROR(INDEX(Rainfall_Wet!$O$2:$O$217,MATCH(B272, Rainfall_Wet!$A$2:$A$217,0)),"")</f>
        <v>214.262898705</v>
      </c>
      <c r="Z272" s="228">
        <v>21.96</v>
      </c>
      <c r="AA272" s="228">
        <v>8.9199999999999982</v>
      </c>
      <c r="AB272" s="228">
        <v>69.12</v>
      </c>
      <c r="AC272" s="229" t="s">
        <v>2654</v>
      </c>
      <c r="AD272" s="228">
        <v>1.7491375061606702</v>
      </c>
      <c r="AE272">
        <f>IF('WetLitterbags placem_collection'!AB53="","",'WetLitterbags placem_collection'!AB53)</f>
        <v>3</v>
      </c>
      <c r="AF272">
        <f>IF('WetLitterbags placem_collection'!Z53="","",'WetLitterbags placem_collection'!Z53)</f>
        <v>18</v>
      </c>
      <c r="AG272" s="243" t="str">
        <f>IF('WetLitterbags placem_collection'!AA53="","",'WetLitterbags placem_collection'!AA53)</f>
        <v>O</v>
      </c>
      <c r="AH272">
        <f>IF('WetLitterbags placem_collection'!AC53="","",'WetLitterbags placem_collection'!AC53)</f>
        <v>0</v>
      </c>
      <c r="AI272" s="237">
        <f>AVERAGE('WetLitterbags placem_collection'!S53,'WetLitterbags placem_collection'!U53)</f>
        <v>20.2</v>
      </c>
      <c r="AJ272">
        <f>AVERAGE('WetLitterbags placem_collection'!R53,'WetLitterbags placem_collection'!T53)</f>
        <v>27.4</v>
      </c>
      <c r="AK272">
        <f>INDEX(Coordinates!$B$2:$B$197,MATCH(H272,Coordinates!$J$2:$J$197,0))</f>
        <v>-3.4063920379999999</v>
      </c>
      <c r="AL272">
        <f>INDEX(Coordinates!$C$2:$C$197,MATCH(H272,Coordinates!$J$2:$J$197,0))</f>
        <v>34.850696020000001</v>
      </c>
      <c r="AM272" t="str">
        <f>IF(ISNUMBER(SEARCH("C", 'WetLitterbags placem_collection'!$W53)),"YES","NO")</f>
        <v>NO</v>
      </c>
      <c r="AN272" t="str">
        <f>IF(ISNUMBER(SEARCH("H", 'WetLitterbags placem_collection'!$W53)),"YES","NO")</f>
        <v>NO</v>
      </c>
      <c r="AO272" t="str">
        <f>IF(ISNUMBER(SEARCH("R", 'WetLitterbags placem_collection'!$W53)),"YES","NO")</f>
        <v>YES</v>
      </c>
    </row>
    <row r="273" spans="1:41" ht="15" customHeight="1">
      <c r="A273" s="255" t="s">
        <v>2454</v>
      </c>
      <c r="B273" s="260">
        <f>'Dry_Litterbag Placem_Collection'!A54</f>
        <v>52</v>
      </c>
      <c r="C273" s="260" t="str">
        <f>'Dry_Litterbag Placem_Collection'!B54</f>
        <v>Makao</v>
      </c>
      <c r="D273" s="260" t="s">
        <v>2643</v>
      </c>
      <c r="E273" s="260" t="s">
        <v>20</v>
      </c>
      <c r="F273" s="260">
        <v>3</v>
      </c>
      <c r="G273" s="260" t="s">
        <v>3808</v>
      </c>
      <c r="H273" s="261" t="str">
        <f>'Dry_Litterbag Placem_Collection'!C54</f>
        <v>Dry_P3_T4</v>
      </c>
      <c r="I273" s="262" t="s">
        <v>2525</v>
      </c>
      <c r="J273" s="269" t="s">
        <v>298</v>
      </c>
      <c r="K273" s="221" t="str">
        <f>'WetLitterbags placem_collection'!M54</f>
        <v>R513</v>
      </c>
      <c r="L273" s="223">
        <f>IFERROR(INDEX('Green_rooibos initial weight'!$C$5:$C$2000,MATCH(K273, 'Green_rooibos initial weight'!$A$5:$A$2000,0)),"")</f>
        <v>2.1389999999999998</v>
      </c>
      <c r="M273" s="223">
        <f>IFERROR(L273-(TBIcalc!$H$9+TBIcalc!$H$10),"")</f>
        <v>1.8891999999999998</v>
      </c>
      <c r="N273" s="385">
        <f>AVERAGE(Ashed_controlls!$K$2:$K$11)</f>
        <v>5.5147656768714146</v>
      </c>
      <c r="O273" s="223">
        <f t="shared" si="21"/>
        <v>1.785015046832545</v>
      </c>
      <c r="P273" s="223">
        <f>IFERROR(INDEX('Both teabags AfterWet'!$C$3:$C$840,MATCH(K273,'Both teabags AfterWet'!$A$3:$A$840,0)),"")</f>
        <v>1.6279999999999999</v>
      </c>
      <c r="Q273" s="223">
        <f>IFERROR(IF(P273&gt;0,P273-(TBIcalc!$H$9),""),"")</f>
        <v>1.4773999999999998</v>
      </c>
      <c r="R273" s="223">
        <f>IFERROR(INDEX('Ashed teabags wet'!$K$2:$K$2000,MATCH(K273,'Ashed teabags wet'!$A$2:$A$2000,0)),"")</f>
        <v>11.073500967118232</v>
      </c>
      <c r="S273" s="223">
        <f t="shared" si="22"/>
        <v>1.3138000967117951</v>
      </c>
      <c r="T273" s="224">
        <f>'WetLitterbags placem_collection'!E54</f>
        <v>42766</v>
      </c>
      <c r="U273" s="224">
        <f>IF('WetLitterbags placem_collection'!G54="","",'WetLitterbags placem_collection'!G54)</f>
        <v>42820</v>
      </c>
      <c r="V273" s="225">
        <f t="shared" si="20"/>
        <v>54</v>
      </c>
      <c r="W273" s="223">
        <f t="shared" si="23"/>
        <v>0.41179999999999994</v>
      </c>
      <c r="X273" s="223">
        <f t="shared" si="24"/>
        <v>0.47121495012074988</v>
      </c>
      <c r="Y273">
        <f>IFERROR(INDEX(Rainfall_Wet!$O$2:$O$217,MATCH(B273, Rainfall_Wet!$A$2:$A$217,0)),"")</f>
        <v>214.262898705</v>
      </c>
      <c r="Z273" s="228">
        <v>21.96</v>
      </c>
      <c r="AA273" s="228">
        <v>8.9199999999999982</v>
      </c>
      <c r="AB273" s="228">
        <v>69.12</v>
      </c>
      <c r="AC273" s="229" t="s">
        <v>2654</v>
      </c>
      <c r="AD273" s="228">
        <v>1.7491375061606702</v>
      </c>
      <c r="AE273">
        <f>IF('WetLitterbags placem_collection'!AB54="","",'WetLitterbags placem_collection'!AB54)</f>
        <v>13.4</v>
      </c>
      <c r="AF273">
        <f>IF('WetLitterbags placem_collection'!Z54="","",'WetLitterbags placem_collection'!Z54)</f>
        <v>67</v>
      </c>
      <c r="AG273" s="243" t="str">
        <f>IF('WetLitterbags placem_collection'!AA54="","",'WetLitterbags placem_collection'!AA54)</f>
        <v>M</v>
      </c>
      <c r="AH273">
        <f>IF('WetLitterbags placem_collection'!AC54="","",'WetLitterbags placem_collection'!AC54)</f>
        <v>1</v>
      </c>
      <c r="AI273" s="237">
        <f>AVERAGE('WetLitterbags placem_collection'!S54,'WetLitterbags placem_collection'!U54)</f>
        <v>29.8</v>
      </c>
      <c r="AJ273">
        <f>AVERAGE('WetLitterbags placem_collection'!R54,'WetLitterbags placem_collection'!T54)</f>
        <v>25.799999999999997</v>
      </c>
      <c r="AK273">
        <f>INDEX(Coordinates!$B$2:$B$197,MATCH(H273,Coordinates!$J$2:$J$197,0))</f>
        <v>-3.4061569999999999</v>
      </c>
      <c r="AL273">
        <f>INDEX(Coordinates!$C$2:$C$197,MATCH(H273,Coordinates!$J$2:$J$197,0))</f>
        <v>34.850738999999997</v>
      </c>
      <c r="AM273" t="str">
        <f>IF(ISNUMBER(SEARCH("C", 'WetLitterbags placem_collection'!$W54)),"YES","NO")</f>
        <v>NO</v>
      </c>
      <c r="AN273" t="str">
        <f>IF(ISNUMBER(SEARCH("H", 'WetLitterbags placem_collection'!$W54)),"YES","NO")</f>
        <v>YES</v>
      </c>
      <c r="AO273" t="str">
        <f>IF(ISNUMBER(SEARCH("R", 'WetLitterbags placem_collection'!$W54)),"YES","NO")</f>
        <v>NO</v>
      </c>
    </row>
    <row r="274" spans="1:41" ht="15" customHeight="1">
      <c r="A274" s="255" t="s">
        <v>2454</v>
      </c>
      <c r="B274" s="260">
        <f>'Dry_Litterbag Placem_Collection'!A55</f>
        <v>53</v>
      </c>
      <c r="C274" s="260" t="str">
        <f>'Dry_Litterbag Placem_Collection'!B55</f>
        <v>Makao</v>
      </c>
      <c r="D274" s="260" t="s">
        <v>2643</v>
      </c>
      <c r="E274" s="260" t="s">
        <v>20</v>
      </c>
      <c r="F274" s="260">
        <v>3</v>
      </c>
      <c r="G274" s="260" t="s">
        <v>3808</v>
      </c>
      <c r="H274" s="261" t="str">
        <f>'Dry_Litterbag Placem_Collection'!C55</f>
        <v>Dry_P3_T5</v>
      </c>
      <c r="I274" s="262" t="s">
        <v>2525</v>
      </c>
      <c r="J274" s="269" t="s">
        <v>298</v>
      </c>
      <c r="K274" s="221" t="str">
        <f>'WetLitterbags placem_collection'!M55</f>
        <v>R399</v>
      </c>
      <c r="L274" s="223">
        <f>IFERROR(INDEX('Green_rooibos initial weight'!$C$5:$C$2000,MATCH(K274, 'Green_rooibos initial weight'!$A$5:$A$2000,0)),"")</f>
        <v>2.1389999999999998</v>
      </c>
      <c r="M274" s="223">
        <f>IFERROR(L274-(TBIcalc!$H$9+TBIcalc!$H$10),"")</f>
        <v>1.8891999999999998</v>
      </c>
      <c r="N274" s="385">
        <f>AVERAGE(Ashed_controlls!$K$2:$K$11)</f>
        <v>5.5147656768714146</v>
      </c>
      <c r="O274" s="223">
        <f t="shared" si="21"/>
        <v>1.785015046832545</v>
      </c>
      <c r="P274" s="223" t="str">
        <f>IFERROR(INDEX('Both teabags AfterWet'!$C$3:$C$840,MATCH(K274,'Both teabags AfterWet'!$A$3:$A$840,0)),"")</f>
        <v/>
      </c>
      <c r="Q274" s="223" t="str">
        <f>IFERROR(IF(P274&gt;0,P274-(TBIcalc!$H$9),""),"")</f>
        <v/>
      </c>
      <c r="R274" s="223" t="str">
        <f>IFERROR(INDEX('Ashed teabags wet'!$K$2:$K$2000,MATCH(K274,'Ashed teabags wet'!$A$2:$A$2000,0)),"")</f>
        <v/>
      </c>
      <c r="S274" s="223" t="str">
        <f t="shared" si="22"/>
        <v/>
      </c>
      <c r="T274" s="224">
        <f>'WetLitterbags placem_collection'!E55</f>
        <v>42766</v>
      </c>
      <c r="U274" s="224">
        <f>IF('WetLitterbags placem_collection'!G55="","",'WetLitterbags placem_collection'!G55)</f>
        <v>42820</v>
      </c>
      <c r="V274" s="225">
        <f t="shared" si="20"/>
        <v>54</v>
      </c>
      <c r="W274" s="223" t="str">
        <f t="shared" si="23"/>
        <v/>
      </c>
      <c r="X274" s="223" t="str">
        <f t="shared" si="24"/>
        <v/>
      </c>
      <c r="Y274">
        <f>IFERROR(INDEX(Rainfall_Wet!$O$2:$O$217,MATCH(B274, Rainfall_Wet!$A$2:$A$217,0)),"")</f>
        <v>214.262898705</v>
      </c>
      <c r="Z274" s="228">
        <v>21.96</v>
      </c>
      <c r="AA274" s="228">
        <v>8.9199999999999982</v>
      </c>
      <c r="AB274" s="228">
        <v>69.12</v>
      </c>
      <c r="AC274" s="229" t="s">
        <v>2654</v>
      </c>
      <c r="AD274" s="228">
        <v>1.7491375061606702</v>
      </c>
      <c r="AE274" t="str">
        <f>IF('WetLitterbags placem_collection'!AB55="","",'WetLitterbags placem_collection'!AB55)</f>
        <v/>
      </c>
      <c r="AF274" t="str">
        <f>IF('WetLitterbags placem_collection'!Z55="","",'WetLitterbags placem_collection'!Z55)</f>
        <v/>
      </c>
      <c r="AG274" s="243" t="str">
        <f>IF('WetLitterbags placem_collection'!AA55="","",'WetLitterbags placem_collection'!AA55)</f>
        <v/>
      </c>
      <c r="AH274" t="str">
        <f>IF('WetLitterbags placem_collection'!AC55="","",'WetLitterbags placem_collection'!AC55)</f>
        <v/>
      </c>
      <c r="AI274" s="237">
        <f>AVERAGE('WetLitterbags placem_collection'!S55,'WetLitterbags placem_collection'!U55)</f>
        <v>20.2</v>
      </c>
      <c r="AJ274">
        <f>AVERAGE('WetLitterbags placem_collection'!R55,'WetLitterbags placem_collection'!T55)</f>
        <v>22.2</v>
      </c>
      <c r="AK274">
        <f>INDEX(Coordinates!$B$2:$B$197,MATCH(H274,Coordinates!$J$2:$J$197,0))</f>
        <v>-3.4061140000000001</v>
      </c>
      <c r="AL274">
        <f>INDEX(Coordinates!$C$2:$C$197,MATCH(H274,Coordinates!$J$2:$J$197,0))</f>
        <v>34.850596000000003</v>
      </c>
      <c r="AM274" t="str">
        <f>IF(ISNUMBER(SEARCH("C", 'WetLitterbags placem_collection'!$W55)),"YES","NO")</f>
        <v>NO</v>
      </c>
      <c r="AN274" t="str">
        <f>IF(ISNUMBER(SEARCH("H", 'WetLitterbags placem_collection'!$W55)),"YES","NO")</f>
        <v>NO</v>
      </c>
      <c r="AO274" t="str">
        <f>IF(ISNUMBER(SEARCH("R", 'WetLitterbags placem_collection'!$W55)),"YES","NO")</f>
        <v>NO</v>
      </c>
    </row>
    <row r="275" spans="1:41" ht="15" customHeight="1">
      <c r="A275" s="255" t="s">
        <v>2454</v>
      </c>
      <c r="B275" s="260">
        <f>'Dry_Litterbag Placem_Collection'!A56</f>
        <v>54</v>
      </c>
      <c r="C275" s="260" t="str">
        <f>'Dry_Litterbag Placem_Collection'!B56</f>
        <v>Makao</v>
      </c>
      <c r="D275" s="260" t="s">
        <v>2643</v>
      </c>
      <c r="E275" s="260" t="s">
        <v>20</v>
      </c>
      <c r="F275" s="260">
        <v>3</v>
      </c>
      <c r="G275" s="260" t="s">
        <v>3808</v>
      </c>
      <c r="H275" s="261" t="str">
        <f>'Dry_Litterbag Placem_Collection'!C56</f>
        <v>Dry_P3_T6</v>
      </c>
      <c r="I275" s="262" t="s">
        <v>2525</v>
      </c>
      <c r="J275" s="269" t="s">
        <v>298</v>
      </c>
      <c r="K275" s="221" t="str">
        <f>'WetLitterbags placem_collection'!M56</f>
        <v>R400</v>
      </c>
      <c r="L275" s="223">
        <f>IFERROR(INDEX('Green_rooibos initial weight'!$C$5:$C$2000,MATCH(K275, 'Green_rooibos initial weight'!$A$5:$A$2000,0)),"")</f>
        <v>2.181</v>
      </c>
      <c r="M275" s="223">
        <f>IFERROR(L275-(TBIcalc!$H$9+TBIcalc!$H$10),"")</f>
        <v>1.9312</v>
      </c>
      <c r="N275" s="385">
        <f>AVERAGE(Ashed_controlls!$K$2:$K$11)</f>
        <v>5.5147656768714146</v>
      </c>
      <c r="O275" s="223">
        <f t="shared" si="21"/>
        <v>1.8246988452482593</v>
      </c>
      <c r="P275" s="223" t="str">
        <f>IFERROR(INDEX('Both teabags AfterWet'!$C$3:$C$840,MATCH(K275,'Both teabags AfterWet'!$A$3:$A$840,0)),"")</f>
        <v/>
      </c>
      <c r="Q275" s="223" t="str">
        <f>IFERROR(IF(P275&gt;0,P275-(TBIcalc!$H$9),""),"")</f>
        <v/>
      </c>
      <c r="R275" s="223" t="str">
        <f>IFERROR(INDEX('Ashed teabags wet'!$K$2:$K$2000,MATCH(K275,'Ashed teabags wet'!$A$2:$A$2000,0)),"")</f>
        <v/>
      </c>
      <c r="S275" s="223" t="str">
        <f t="shared" si="22"/>
        <v/>
      </c>
      <c r="T275" s="224">
        <f>'WetLitterbags placem_collection'!E56</f>
        <v>42766</v>
      </c>
      <c r="U275" s="224">
        <f>IF('WetLitterbags placem_collection'!G56="","",'WetLitterbags placem_collection'!G56)</f>
        <v>42820</v>
      </c>
      <c r="V275" s="225">
        <f t="shared" si="20"/>
        <v>54</v>
      </c>
      <c r="W275" s="223" t="str">
        <f t="shared" si="23"/>
        <v/>
      </c>
      <c r="X275" s="223" t="str">
        <f t="shared" si="24"/>
        <v/>
      </c>
      <c r="Y275">
        <f>IFERROR(INDEX(Rainfall_Wet!$O$2:$O$217,MATCH(B275, Rainfall_Wet!$A$2:$A$217,0)),"")</f>
        <v>214.262898705</v>
      </c>
      <c r="Z275" s="228">
        <v>21.96</v>
      </c>
      <c r="AA275" s="228">
        <v>8.9199999999999982</v>
      </c>
      <c r="AB275" s="228">
        <v>69.12</v>
      </c>
      <c r="AC275" s="229" t="s">
        <v>2654</v>
      </c>
      <c r="AD275" s="228">
        <v>1.7491375061606702</v>
      </c>
      <c r="AE275" t="str">
        <f>IF('WetLitterbags placem_collection'!AB56="","",'WetLitterbags placem_collection'!AB56)</f>
        <v/>
      </c>
      <c r="AF275" t="str">
        <f>IF('WetLitterbags placem_collection'!Z56="","",'WetLitterbags placem_collection'!Z56)</f>
        <v/>
      </c>
      <c r="AG275" s="243" t="str">
        <f>IF('WetLitterbags placem_collection'!AA56="","",'WetLitterbags placem_collection'!AA56)</f>
        <v/>
      </c>
      <c r="AH275" t="str">
        <f>IF('WetLitterbags placem_collection'!AC56="","",'WetLitterbags placem_collection'!AC56)</f>
        <v/>
      </c>
      <c r="AI275" s="237">
        <f>AVERAGE('WetLitterbags placem_collection'!S56,'WetLitterbags placem_collection'!U56)</f>
        <v>30.1</v>
      </c>
      <c r="AJ275">
        <f>AVERAGE('WetLitterbags placem_collection'!R56,'WetLitterbags placem_collection'!T56)</f>
        <v>22.2</v>
      </c>
      <c r="AK275">
        <f>INDEX(Coordinates!$B$2:$B$197,MATCH(H275,Coordinates!$J$2:$J$197,0))</f>
        <v>-3.406058019</v>
      </c>
      <c r="AL275">
        <f>INDEX(Coordinates!$C$2:$C$197,MATCH(H275,Coordinates!$J$2:$J$197,0))</f>
        <v>34.850466019999999</v>
      </c>
      <c r="AM275" t="str">
        <f>IF(ISNUMBER(SEARCH("C", 'WetLitterbags placem_collection'!$W56)),"YES","NO")</f>
        <v>NO</v>
      </c>
      <c r="AN275" t="str">
        <f>IF(ISNUMBER(SEARCH("H", 'WetLitterbags placem_collection'!$W56)),"YES","NO")</f>
        <v>NO</v>
      </c>
      <c r="AO275" t="str">
        <f>IF(ISNUMBER(SEARCH("R", 'WetLitterbags placem_collection'!$W56)),"YES","NO")</f>
        <v>NO</v>
      </c>
    </row>
    <row r="276" spans="1:41" ht="15" customHeight="1">
      <c r="A276" s="255" t="s">
        <v>2454</v>
      </c>
      <c r="B276" s="260">
        <f>'Dry_Litterbag Placem_Collection'!A57</f>
        <v>55</v>
      </c>
      <c r="C276" s="260" t="str">
        <f>'Dry_Litterbag Placem_Collection'!B57</f>
        <v>Makao</v>
      </c>
      <c r="D276" s="260" t="s">
        <v>2643</v>
      </c>
      <c r="E276" s="260" t="s">
        <v>20</v>
      </c>
      <c r="F276" s="260">
        <v>3</v>
      </c>
      <c r="G276" s="260" t="s">
        <v>3808</v>
      </c>
      <c r="H276" s="261" t="str">
        <f>'Dry_Litterbag Placem_Collection'!C57</f>
        <v>Dry_P3_T7</v>
      </c>
      <c r="I276" s="262" t="s">
        <v>2525</v>
      </c>
      <c r="J276" s="269" t="s">
        <v>298</v>
      </c>
      <c r="K276" s="221" t="str">
        <f>'WetLitterbags placem_collection'!M57</f>
        <v>R19</v>
      </c>
      <c r="L276" s="223">
        <f>IFERROR(INDEX('Green_rooibos initial weight'!$C$5:$C$2000,MATCH(K276, 'Green_rooibos initial weight'!$A$5:$A$2000,0)),"")</f>
        <v>2.2589999999999999</v>
      </c>
      <c r="M276" s="223">
        <f>IFERROR(L276-(TBIcalc!$H$9+TBIcalc!$H$10),"")</f>
        <v>2.0091999999999999</v>
      </c>
      <c r="N276" s="385">
        <f>AVERAGE(Ashed_controlls!$K$2:$K$11)</f>
        <v>5.5147656768714146</v>
      </c>
      <c r="O276" s="223">
        <f t="shared" si="21"/>
        <v>1.8983973280202995</v>
      </c>
      <c r="P276" s="223">
        <f>IFERROR(INDEX('Both teabags AfterWet'!$C$3:$C$840,MATCH(K276,'Both teabags AfterWet'!$A$3:$A$840,0)),"")</f>
        <v>0.22600000000000001</v>
      </c>
      <c r="Q276" s="223">
        <f>IFERROR(IF(P276&gt;0,P276-(TBIcalc!$H$9),""),"")</f>
        <v>7.5399999999999995E-2</v>
      </c>
      <c r="R276" s="223">
        <f>IFERROR(INDEX('Ashed teabags wet'!$K$2:$K$2000,MATCH(K276,'Ashed teabags wet'!$A$2:$A$2000,0)),"")</f>
        <v>0</v>
      </c>
      <c r="S276" s="223">
        <f t="shared" si="22"/>
        <v>7.5399999999999995E-2</v>
      </c>
      <c r="T276" s="224">
        <f>'WetLitterbags placem_collection'!E57</f>
        <v>42766</v>
      </c>
      <c r="U276" s="224">
        <f>IF('WetLitterbags placem_collection'!G57="","",'WetLitterbags placem_collection'!G57)</f>
        <v>42820</v>
      </c>
      <c r="V276" s="225">
        <f t="shared" si="20"/>
        <v>54</v>
      </c>
      <c r="W276" s="223">
        <f t="shared" si="23"/>
        <v>1.9338</v>
      </c>
      <c r="X276" s="223">
        <f t="shared" si="24"/>
        <v>1.8229973280202996</v>
      </c>
      <c r="Y276">
        <f>IFERROR(INDEX(Rainfall_Wet!$O$2:$O$217,MATCH(B276, Rainfall_Wet!$A$2:$A$217,0)),"")</f>
        <v>214.262898705</v>
      </c>
      <c r="Z276" s="228">
        <v>21.96</v>
      </c>
      <c r="AA276" s="228">
        <v>8.9199999999999982</v>
      </c>
      <c r="AB276" s="228">
        <v>69.12</v>
      </c>
      <c r="AC276" s="229" t="s">
        <v>2654</v>
      </c>
      <c r="AD276" s="228">
        <v>1.7491375061606702</v>
      </c>
      <c r="AE276">
        <f>IF('WetLitterbags placem_collection'!AB57="","",'WetLitterbags placem_collection'!AB57)</f>
        <v>15.8</v>
      </c>
      <c r="AF276">
        <f>IF('WetLitterbags placem_collection'!Z57="","",'WetLitterbags placem_collection'!Z57)</f>
        <v>45</v>
      </c>
      <c r="AG276" s="243" t="str">
        <f>IF('WetLitterbags placem_collection'!AA57="","",'WetLitterbags placem_collection'!AA57)</f>
        <v>M</v>
      </c>
      <c r="AH276">
        <f>IF('WetLitterbags placem_collection'!AC57="","",'WetLitterbags placem_collection'!AC57)</f>
        <v>1</v>
      </c>
      <c r="AI276" s="237">
        <f>AVERAGE('WetLitterbags placem_collection'!S57,'WetLitterbags placem_collection'!U57)</f>
        <v>33</v>
      </c>
      <c r="AJ276">
        <f>AVERAGE('WetLitterbags placem_collection'!R57,'WetLitterbags placem_collection'!T57)</f>
        <v>25.9</v>
      </c>
      <c r="AK276">
        <f>INDEX(Coordinates!$B$2:$B$197,MATCH(H276,Coordinates!$J$2:$J$197,0))</f>
        <v>-3.4061389879999999</v>
      </c>
      <c r="AL276">
        <f>INDEX(Coordinates!$C$2:$C$197,MATCH(H276,Coordinates!$J$2:$J$197,0))</f>
        <v>34.850574979999998</v>
      </c>
      <c r="AM276" t="str">
        <f>IF(ISNUMBER(SEARCH("C", 'WetLitterbags placem_collection'!$W57)),"YES","NO")</f>
        <v>NO</v>
      </c>
      <c r="AN276" t="str">
        <f>IF(ISNUMBER(SEARCH("H", 'WetLitterbags placem_collection'!$W57)),"YES","NO")</f>
        <v>YES</v>
      </c>
      <c r="AO276" t="str">
        <f>IF(ISNUMBER(SEARCH("R", 'WetLitterbags placem_collection'!$W57)),"YES","NO")</f>
        <v>NO</v>
      </c>
    </row>
    <row r="277" spans="1:41" ht="15" customHeight="1">
      <c r="A277" s="255" t="s">
        <v>2454</v>
      </c>
      <c r="B277" s="260">
        <f>'Dry_Litterbag Placem_Collection'!A58</f>
        <v>56</v>
      </c>
      <c r="C277" s="260" t="str">
        <f>'Dry_Litterbag Placem_Collection'!B58</f>
        <v>Makao</v>
      </c>
      <c r="D277" s="260" t="s">
        <v>2643</v>
      </c>
      <c r="E277" s="260" t="s">
        <v>20</v>
      </c>
      <c r="F277" s="260">
        <v>3</v>
      </c>
      <c r="G277" s="260" t="s">
        <v>3808</v>
      </c>
      <c r="H277" s="261" t="str">
        <f>'Dry_Litterbag Placem_Collection'!C58</f>
        <v>Dry_P3_T8</v>
      </c>
      <c r="I277" s="262" t="s">
        <v>2525</v>
      </c>
      <c r="J277" s="269" t="s">
        <v>298</v>
      </c>
      <c r="K277" s="221" t="str">
        <f>'WetLitterbags placem_collection'!M58</f>
        <v>R60</v>
      </c>
      <c r="L277" s="223">
        <f>IFERROR(INDEX('Green_rooibos initial weight'!$C$5:$C$2000,MATCH(K277, 'Green_rooibos initial weight'!$A$5:$A$2000,0)),"")</f>
        <v>2.3220000000000001</v>
      </c>
      <c r="M277" s="223">
        <f>IFERROR(L277-(TBIcalc!$H$9+TBIcalc!$H$10),"")</f>
        <v>2.0722</v>
      </c>
      <c r="N277" s="385">
        <f>AVERAGE(Ashed_controlls!$K$2:$K$11)</f>
        <v>5.5147656768714146</v>
      </c>
      <c r="O277" s="223">
        <f t="shared" si="21"/>
        <v>1.9579230256438707</v>
      </c>
      <c r="P277" s="223">
        <f>IFERROR(INDEX('Both teabags AfterWet'!$C$3:$C$840,MATCH(K277,'Both teabags AfterWet'!$A$3:$A$840,0)),"")</f>
        <v>2.2909999999999999</v>
      </c>
      <c r="Q277" s="223">
        <f>IFERROR(IF(P277&gt;0,P277-(TBIcalc!$H$9),""),"")</f>
        <v>2.1404000000000001</v>
      </c>
      <c r="R277" s="223">
        <f>IFERROR(INDEX('Ashed teabags wet'!$K$2:$K$2000,MATCH(K277,'Ashed teabags wet'!$A$2:$A$2000,0)),"")</f>
        <v>90.284005979073754</v>
      </c>
      <c r="S277" s="223">
        <f t="shared" si="22"/>
        <v>0.20796113602390531</v>
      </c>
      <c r="T277" s="224">
        <f>'WetLitterbags placem_collection'!E58</f>
        <v>42766</v>
      </c>
      <c r="U277" s="224">
        <f>IF('WetLitterbags placem_collection'!G58="","",'WetLitterbags placem_collection'!G58)</f>
        <v>42820</v>
      </c>
      <c r="V277" s="225">
        <f t="shared" si="20"/>
        <v>54</v>
      </c>
      <c r="W277" s="223">
        <f t="shared" si="23"/>
        <v>-6.8200000000000038E-2</v>
      </c>
      <c r="X277" s="223">
        <f t="shared" si="24"/>
        <v>1.7499618896199653</v>
      </c>
      <c r="Y277">
        <f>IFERROR(INDEX(Rainfall_Wet!$O$2:$O$217,MATCH(B277, Rainfall_Wet!$A$2:$A$217,0)),"")</f>
        <v>214.262898705</v>
      </c>
      <c r="Z277" s="228">
        <v>21.96</v>
      </c>
      <c r="AA277" s="228">
        <v>8.9199999999999982</v>
      </c>
      <c r="AB277" s="228">
        <v>69.12</v>
      </c>
      <c r="AC277" s="229" t="s">
        <v>2654</v>
      </c>
      <c r="AD277" s="228">
        <v>1.7491375061606702</v>
      </c>
      <c r="AE277">
        <f>IF('WetLitterbags placem_collection'!AB58="","",'WetLitterbags placem_collection'!AB58)</f>
        <v>15.4</v>
      </c>
      <c r="AF277">
        <f>IF('WetLitterbags placem_collection'!Z58="","",'WetLitterbags placem_collection'!Z58)</f>
        <v>30.8</v>
      </c>
      <c r="AG277" s="243" t="str">
        <f>IF('WetLitterbags placem_collection'!AA58="","",'WetLitterbags placem_collection'!AA58)</f>
        <v>M</v>
      </c>
      <c r="AH277">
        <f>IF('WetLitterbags placem_collection'!AC58="","",'WetLitterbags placem_collection'!AC58)</f>
        <v>0</v>
      </c>
      <c r="AI277" s="237">
        <f>AVERAGE('WetLitterbags placem_collection'!S58,'WetLitterbags placem_collection'!U58)</f>
        <v>29.5</v>
      </c>
      <c r="AJ277">
        <f>AVERAGE('WetLitterbags placem_collection'!R58,'WetLitterbags placem_collection'!T58)</f>
        <v>27.6</v>
      </c>
      <c r="AK277">
        <f>INDEX(Coordinates!$B$2:$B$197,MATCH(H277,Coordinates!$J$2:$J$197,0))</f>
        <v>-3.4062900300000001</v>
      </c>
      <c r="AL277">
        <f>INDEX(Coordinates!$C$2:$C$197,MATCH(H277,Coordinates!$J$2:$J$197,0))</f>
        <v>34.850441959999998</v>
      </c>
      <c r="AM277" t="str">
        <f>IF(ISNUMBER(SEARCH("C", 'WetLitterbags placem_collection'!$W58)),"YES","NO")</f>
        <v>YES</v>
      </c>
      <c r="AN277" t="str">
        <f>IF(ISNUMBER(SEARCH("H", 'WetLitterbags placem_collection'!$W58)),"YES","NO")</f>
        <v>YES</v>
      </c>
      <c r="AO277" t="str">
        <f>IF(ISNUMBER(SEARCH("R", 'WetLitterbags placem_collection'!$W58)),"YES","NO")</f>
        <v>NO</v>
      </c>
    </row>
    <row r="278" spans="1:41" ht="15" customHeight="1">
      <c r="A278" s="255" t="s">
        <v>2454</v>
      </c>
      <c r="B278" s="260">
        <f>'Dry_Litterbag Placem_Collection'!A59</f>
        <v>57</v>
      </c>
      <c r="C278" s="260" t="str">
        <f>'Dry_Litterbag Placem_Collection'!B59</f>
        <v>Makao</v>
      </c>
      <c r="D278" s="260" t="s">
        <v>2643</v>
      </c>
      <c r="E278" s="260" t="s">
        <v>20</v>
      </c>
      <c r="F278" s="260">
        <v>4</v>
      </c>
      <c r="G278" s="260" t="s">
        <v>3809</v>
      </c>
      <c r="H278" s="261" t="str">
        <f>'Dry_Litterbag Placem_Collection'!C59</f>
        <v>Dry_P4_T1</v>
      </c>
      <c r="I278" s="262" t="s">
        <v>2525</v>
      </c>
      <c r="J278" s="269" t="s">
        <v>298</v>
      </c>
      <c r="K278" s="221" t="str">
        <f>'WetLitterbags placem_collection'!M59</f>
        <v>R161</v>
      </c>
      <c r="L278" s="223">
        <f>IFERROR(INDEX('Green_rooibos initial weight'!$C$5:$C$2000,MATCH(K278, 'Green_rooibos initial weight'!$A$5:$A$2000,0)),"")</f>
        <v>2.1829999999999998</v>
      </c>
      <c r="M278" s="223">
        <f>IFERROR(L278-(TBIcalc!$H$9+TBIcalc!$H$10),"")</f>
        <v>1.9331999999999998</v>
      </c>
      <c r="N278" s="385">
        <f>AVERAGE(Ashed_controlls!$K$2:$K$11)</f>
        <v>5.5147656768714146</v>
      </c>
      <c r="O278" s="223">
        <f t="shared" si="21"/>
        <v>1.8265885499347216</v>
      </c>
      <c r="P278" s="223">
        <f>IFERROR(INDEX('Both teabags AfterWet'!$C$3:$C$840,MATCH(K278,'Both teabags AfterWet'!$A$3:$A$840,0)),"")</f>
        <v>1.266</v>
      </c>
      <c r="Q278" s="223">
        <f>IFERROR(IF(P278&gt;0,P278-(TBIcalc!$H$9),""),"")</f>
        <v>1.1153999999999999</v>
      </c>
      <c r="R278" s="223">
        <f>IFERROR(INDEX('Ashed teabags wet'!$K$2:$K$2000,MATCH(K278,'Ashed teabags wet'!$A$2:$A$2000,0)),"")</f>
        <v>9.63680387409185</v>
      </c>
      <c r="S278" s="223">
        <f t="shared" si="22"/>
        <v>1.0079110895883794</v>
      </c>
      <c r="T278" s="224">
        <f>'WetLitterbags placem_collection'!E59</f>
        <v>42766</v>
      </c>
      <c r="U278" s="224">
        <f>IF('WetLitterbags placem_collection'!G59="","",'WetLitterbags placem_collection'!G59)</f>
        <v>42820</v>
      </c>
      <c r="V278" s="225">
        <f t="shared" si="20"/>
        <v>54</v>
      </c>
      <c r="W278" s="223">
        <f t="shared" si="23"/>
        <v>0.81779999999999986</v>
      </c>
      <c r="X278" s="223">
        <f t="shared" si="24"/>
        <v>0.81867746034634226</v>
      </c>
      <c r="Y278">
        <f>IFERROR(INDEX(Rainfall_Wet!$O$2:$O$217,MATCH(B278, Rainfall_Wet!$A$2:$A$217,0)),"")</f>
        <v>214.262898705</v>
      </c>
      <c r="Z278" s="228">
        <v>25.96</v>
      </c>
      <c r="AA278" s="228">
        <v>6.9200000000000008</v>
      </c>
      <c r="AB278" s="228">
        <v>67.12</v>
      </c>
      <c r="AC278" s="229" t="s">
        <v>2654</v>
      </c>
      <c r="AD278" s="228">
        <v>1.7568260226712666</v>
      </c>
      <c r="AE278">
        <f>IF('WetLitterbags placem_collection'!AB59="","",'WetLitterbags placem_collection'!AB59)</f>
        <v>3.3</v>
      </c>
      <c r="AF278">
        <f>IF('WetLitterbags placem_collection'!Z59="","",'WetLitterbags placem_collection'!Z59)</f>
        <v>28.4</v>
      </c>
      <c r="AG278" s="243" t="str">
        <f>IF('WetLitterbags placem_collection'!AA59="","",'WetLitterbags placem_collection'!AA59)</f>
        <v>O</v>
      </c>
      <c r="AH278">
        <f>IF('WetLitterbags placem_collection'!AC59="","",'WetLitterbags placem_collection'!AC59)</f>
        <v>1</v>
      </c>
      <c r="AI278" s="237">
        <f>AVERAGE('WetLitterbags placem_collection'!S59,'WetLitterbags placem_collection'!U59)</f>
        <v>31.6</v>
      </c>
      <c r="AJ278">
        <f>AVERAGE('WetLitterbags placem_collection'!R59,'WetLitterbags placem_collection'!T59)</f>
        <v>26.9</v>
      </c>
      <c r="AK278">
        <f>INDEX(Coordinates!$B$2:$B$197,MATCH(H278,Coordinates!$J$2:$J$197,0))</f>
        <v>-3.4064239729999999</v>
      </c>
      <c r="AL278">
        <f>INDEX(Coordinates!$C$2:$C$197,MATCH(H278,Coordinates!$J$2:$J$197,0))</f>
        <v>34.851213010000002</v>
      </c>
      <c r="AM278" t="str">
        <f>IF(ISNUMBER(SEARCH("C", 'WetLitterbags placem_collection'!$W59)),"YES","NO")</f>
        <v>NO</v>
      </c>
      <c r="AN278" t="str">
        <f>IF(ISNUMBER(SEARCH("H", 'WetLitterbags placem_collection'!$W59)),"YES","NO")</f>
        <v>YES</v>
      </c>
      <c r="AO278" t="str">
        <f>IF(ISNUMBER(SEARCH("R", 'WetLitterbags placem_collection'!$W59)),"YES","NO")</f>
        <v>YES</v>
      </c>
    </row>
    <row r="279" spans="1:41" ht="15" customHeight="1">
      <c r="A279" s="255" t="s">
        <v>2454</v>
      </c>
      <c r="B279" s="260">
        <f>'Dry_Litterbag Placem_Collection'!A60</f>
        <v>58</v>
      </c>
      <c r="C279" s="260" t="str">
        <f>'Dry_Litterbag Placem_Collection'!B60</f>
        <v>Makao</v>
      </c>
      <c r="D279" s="260" t="s">
        <v>2643</v>
      </c>
      <c r="E279" s="260" t="s">
        <v>20</v>
      </c>
      <c r="F279" s="260">
        <v>4</v>
      </c>
      <c r="G279" s="260" t="s">
        <v>3809</v>
      </c>
      <c r="H279" s="261" t="str">
        <f>'Dry_Litterbag Placem_Collection'!C60</f>
        <v>Dry_P4_T2</v>
      </c>
      <c r="I279" s="262" t="s">
        <v>2525</v>
      </c>
      <c r="J279" s="269" t="s">
        <v>298</v>
      </c>
      <c r="K279" s="221" t="str">
        <f>'WetLitterbags placem_collection'!M60</f>
        <v>R48</v>
      </c>
      <c r="L279" s="223">
        <f>IFERROR(INDEX('Green_rooibos initial weight'!$C$5:$C$2000,MATCH(K279, 'Green_rooibos initial weight'!$A$5:$A$2000,0)),"")</f>
        <v>2.2149999999999999</v>
      </c>
      <c r="M279" s="223">
        <f>IFERROR(L279-(TBIcalc!$H$9+TBIcalc!$H$10),"")</f>
        <v>1.9651999999999998</v>
      </c>
      <c r="N279" s="385">
        <f>AVERAGE(Ashed_controlls!$K$2:$K$11)</f>
        <v>5.5147656768714146</v>
      </c>
      <c r="O279" s="223">
        <f t="shared" si="21"/>
        <v>1.8568238249181228</v>
      </c>
      <c r="P279" s="223">
        <f>IFERROR(INDEX('Both teabags AfterWet'!$C$3:$C$840,MATCH(K279,'Both teabags AfterWet'!$A$3:$A$840,0)),"")</f>
        <v>0.74880000000000002</v>
      </c>
      <c r="Q279" s="223">
        <f>IFERROR(IF(P279&gt;0,P279-(TBIcalc!$H$9),""),"")</f>
        <v>0.59820000000000007</v>
      </c>
      <c r="R279" s="223">
        <f>IFERROR(INDEX('Ashed teabags wet'!$K$2:$K$2000,MATCH(K279,'Ashed teabags wet'!$A$2:$A$2000,0)),"")</f>
        <v>25.956144824069355</v>
      </c>
      <c r="S279" s="223">
        <f t="shared" si="22"/>
        <v>0.44293034166241718</v>
      </c>
      <c r="T279" s="224">
        <f>'WetLitterbags placem_collection'!E60</f>
        <v>42766</v>
      </c>
      <c r="U279" s="224">
        <f>IF('WetLitterbags placem_collection'!G60="","",'WetLitterbags placem_collection'!G60)</f>
        <v>42820</v>
      </c>
      <c r="V279" s="225">
        <f t="shared" si="20"/>
        <v>54</v>
      </c>
      <c r="W279" s="223">
        <f t="shared" si="23"/>
        <v>1.3669999999999998</v>
      </c>
      <c r="X279" s="223">
        <f t="shared" si="24"/>
        <v>1.4138934832557055</v>
      </c>
      <c r="Y279">
        <f>IFERROR(INDEX(Rainfall_Wet!$O$2:$O$217,MATCH(B279, Rainfall_Wet!$A$2:$A$217,0)),"")</f>
        <v>214.262898705</v>
      </c>
      <c r="Z279" s="228">
        <v>25.96</v>
      </c>
      <c r="AA279" s="228">
        <v>6.9200000000000008</v>
      </c>
      <c r="AB279" s="228">
        <v>67.12</v>
      </c>
      <c r="AC279" s="229" t="s">
        <v>2654</v>
      </c>
      <c r="AD279" s="228">
        <v>1.7568260226712666</v>
      </c>
      <c r="AE279">
        <f>IF('WetLitterbags placem_collection'!AB60="","",'WetLitterbags placem_collection'!AB60)</f>
        <v>1.4</v>
      </c>
      <c r="AF279">
        <f>IF('WetLitterbags placem_collection'!Z60="","",'WetLitterbags placem_collection'!Z60)</f>
        <v>54.4</v>
      </c>
      <c r="AG279" s="243" t="str">
        <f>IF('WetLitterbags placem_collection'!AA60="","",'WetLitterbags placem_collection'!AA60)</f>
        <v>O</v>
      </c>
      <c r="AH279">
        <f>IF('WetLitterbags placem_collection'!AC60="","",'WetLitterbags placem_collection'!AC60)</f>
        <v>0</v>
      </c>
      <c r="AI279" s="237">
        <f>AVERAGE('WetLitterbags placem_collection'!S60,'WetLitterbags placem_collection'!U60)</f>
        <v>31.6</v>
      </c>
      <c r="AJ279">
        <f>AVERAGE('WetLitterbags placem_collection'!R60,'WetLitterbags placem_collection'!T60)</f>
        <v>26.700000000000003</v>
      </c>
      <c r="AK279">
        <f>INDEX(Coordinates!$B$2:$B$197,MATCH(H279,Coordinates!$J$2:$J$197,0))</f>
        <v>-3.4065020079999999</v>
      </c>
      <c r="AL279">
        <f>INDEX(Coordinates!$C$2:$C$197,MATCH(H279,Coordinates!$J$2:$J$197,0))</f>
        <v>34.851056020000001</v>
      </c>
      <c r="AM279" t="str">
        <f>IF(ISNUMBER(SEARCH("C", 'WetLitterbags placem_collection'!$W60)),"YES","NO")</f>
        <v>NO</v>
      </c>
      <c r="AN279" t="str">
        <f>IF(ISNUMBER(SEARCH("H", 'WetLitterbags placem_collection'!$W60)),"YES","NO")</f>
        <v>YES</v>
      </c>
      <c r="AO279" t="str">
        <f>IF(ISNUMBER(SEARCH("R", 'WetLitterbags placem_collection'!$W60)),"YES","NO")</f>
        <v>NO</v>
      </c>
    </row>
    <row r="280" spans="1:41" ht="15" customHeight="1">
      <c r="A280" s="255" t="s">
        <v>2454</v>
      </c>
      <c r="B280" s="260">
        <f>'Dry_Litterbag Placem_Collection'!A61</f>
        <v>59</v>
      </c>
      <c r="C280" s="260" t="str">
        <f>'Dry_Litterbag Placem_Collection'!B61</f>
        <v>Makao</v>
      </c>
      <c r="D280" s="260" t="s">
        <v>2643</v>
      </c>
      <c r="E280" s="260" t="s">
        <v>20</v>
      </c>
      <c r="F280" s="260">
        <v>4</v>
      </c>
      <c r="G280" s="260" t="s">
        <v>3809</v>
      </c>
      <c r="H280" s="261" t="str">
        <f>'Dry_Litterbag Placem_Collection'!C61</f>
        <v>Dry_P4_T3</v>
      </c>
      <c r="I280" s="262" t="s">
        <v>2525</v>
      </c>
      <c r="J280" s="269" t="s">
        <v>298</v>
      </c>
      <c r="K280" s="221" t="str">
        <f>'WetLitterbags placem_collection'!M61</f>
        <v>R23</v>
      </c>
      <c r="L280" s="223">
        <f>IFERROR(INDEX('Green_rooibos initial weight'!$C$5:$C$2000,MATCH(K280, 'Green_rooibos initial weight'!$A$5:$A$2000,0)),"")</f>
        <v>2.2770000000000001</v>
      </c>
      <c r="M280" s="223">
        <f>IFERROR(L280-(TBIcalc!$H$9+TBIcalc!$H$10),"")</f>
        <v>2.0272000000000001</v>
      </c>
      <c r="N280" s="385">
        <f>AVERAGE(Ashed_controlls!$K$2:$K$11)</f>
        <v>5.5147656768714146</v>
      </c>
      <c r="O280" s="223">
        <f t="shared" si="21"/>
        <v>1.9154046701984628</v>
      </c>
      <c r="P280" s="223">
        <f>IFERROR(INDEX('Both teabags AfterWet'!$C$3:$C$840,MATCH(K280,'Both teabags AfterWet'!$A$3:$A$840,0)),"")</f>
        <v>1.38</v>
      </c>
      <c r="Q280" s="223">
        <f>IFERROR(IF(P280&gt;0,P280-(TBIcalc!$H$9),""),"")</f>
        <v>1.2293999999999998</v>
      </c>
      <c r="R280" s="223">
        <f>IFERROR(INDEX('Ashed teabags wet'!$K$2:$K$2000,MATCH(K280,'Ashed teabags wet'!$A$2:$A$2000,0)),"")</f>
        <v>6.2753036437244685</v>
      </c>
      <c r="S280" s="223">
        <f t="shared" si="22"/>
        <v>1.1522514170040512</v>
      </c>
      <c r="T280" s="224">
        <f>'WetLitterbags placem_collection'!E61</f>
        <v>42766</v>
      </c>
      <c r="U280" s="224">
        <f>IF('WetLitterbags placem_collection'!G61="","",'WetLitterbags placem_collection'!G61)</f>
        <v>42820</v>
      </c>
      <c r="V280" s="225">
        <f t="shared" si="20"/>
        <v>54</v>
      </c>
      <c r="W280" s="223">
        <f t="shared" si="23"/>
        <v>0.79780000000000029</v>
      </c>
      <c r="X280" s="223">
        <f t="shared" si="24"/>
        <v>0.76315325319441163</v>
      </c>
      <c r="Y280">
        <f>IFERROR(INDEX(Rainfall_Wet!$O$2:$O$217,MATCH(B280, Rainfall_Wet!$A$2:$A$217,0)),"")</f>
        <v>214.262898705</v>
      </c>
      <c r="Z280" s="228">
        <v>25.96</v>
      </c>
      <c r="AA280" s="228">
        <v>6.9200000000000008</v>
      </c>
      <c r="AB280" s="228">
        <v>67.12</v>
      </c>
      <c r="AC280" s="229" t="s">
        <v>2654</v>
      </c>
      <c r="AD280" s="228">
        <v>1.7568260226712666</v>
      </c>
      <c r="AE280">
        <f>IF('WetLitterbags placem_collection'!AB61="","",'WetLitterbags placem_collection'!AB61)</f>
        <v>3.3</v>
      </c>
      <c r="AF280">
        <f>IF('WetLitterbags placem_collection'!Z61="","",'WetLitterbags placem_collection'!Z61)</f>
        <v>46</v>
      </c>
      <c r="AG280" s="243" t="str">
        <f>IF('WetLitterbags placem_collection'!AA61="","",'WetLitterbags placem_collection'!AA61)</f>
        <v>O</v>
      </c>
      <c r="AH280">
        <f>IF('WetLitterbags placem_collection'!AC61="","",'WetLitterbags placem_collection'!AC61)</f>
        <v>0</v>
      </c>
      <c r="AI280" s="237">
        <f>AVERAGE('WetLitterbags placem_collection'!S61,'WetLitterbags placem_collection'!U61)</f>
        <v>27.9</v>
      </c>
      <c r="AJ280">
        <f>AVERAGE('WetLitterbags placem_collection'!R61,'WetLitterbags placem_collection'!T61)</f>
        <v>27.049999999999997</v>
      </c>
      <c r="AK280">
        <f>INDEX(Coordinates!$B$2:$B$197,MATCH(H280,Coordinates!$J$2:$J$197,0))</f>
        <v>-3.4062359670000002</v>
      </c>
      <c r="AL280">
        <f>INDEX(Coordinates!$C$2:$C$197,MATCH(H280,Coordinates!$J$2:$J$197,0))</f>
        <v>34.851107990000003</v>
      </c>
      <c r="AM280" t="str">
        <f>IF(ISNUMBER(SEARCH("C", 'WetLitterbags placem_collection'!$W61)),"YES","NO")</f>
        <v>NO</v>
      </c>
      <c r="AN280" t="str">
        <f>IF(ISNUMBER(SEARCH("H", 'WetLitterbags placem_collection'!$W61)),"YES","NO")</f>
        <v>NO</v>
      </c>
      <c r="AO280" t="str">
        <f>IF(ISNUMBER(SEARCH("R", 'WetLitterbags placem_collection'!$W61)),"YES","NO")</f>
        <v>NO</v>
      </c>
    </row>
    <row r="281" spans="1:41" ht="15" customHeight="1">
      <c r="A281" s="255" t="s">
        <v>2454</v>
      </c>
      <c r="B281" s="260">
        <f>'Dry_Litterbag Placem_Collection'!A62</f>
        <v>60</v>
      </c>
      <c r="C281" s="260" t="str">
        <f>'Dry_Litterbag Placem_Collection'!B62</f>
        <v>Makao</v>
      </c>
      <c r="D281" s="260" t="s">
        <v>2643</v>
      </c>
      <c r="E281" s="260" t="s">
        <v>20</v>
      </c>
      <c r="F281" s="260">
        <v>4</v>
      </c>
      <c r="G281" s="260" t="s">
        <v>3809</v>
      </c>
      <c r="H281" s="261" t="str">
        <f>'Dry_Litterbag Placem_Collection'!C62</f>
        <v>Dry_P4_T4</v>
      </c>
      <c r="I281" s="262" t="s">
        <v>2525</v>
      </c>
      <c r="J281" s="269" t="s">
        <v>298</v>
      </c>
      <c r="K281" s="221" t="str">
        <f>'WetLitterbags placem_collection'!M62</f>
        <v>R78</v>
      </c>
      <c r="L281" s="223">
        <f>IFERROR(INDEX('Green_rooibos initial weight'!$C$5:$C$2000,MATCH(K281, 'Green_rooibos initial weight'!$A$5:$A$2000,0)),"")</f>
        <v>2.2200000000000002</v>
      </c>
      <c r="M281" s="223">
        <f>IFERROR(L281-(TBIcalc!$H$9+TBIcalc!$H$10),"")</f>
        <v>1.9702000000000002</v>
      </c>
      <c r="N281" s="385">
        <f>AVERAGE(Ashed_controlls!$K$2:$K$11)</f>
        <v>5.5147656768714146</v>
      </c>
      <c r="O281" s="223">
        <f t="shared" si="21"/>
        <v>1.8615480866342795</v>
      </c>
      <c r="P281" s="223">
        <f>IFERROR(INDEX('Both teabags AfterWet'!$C$3:$C$840,MATCH(K281,'Both teabags AfterWet'!$A$3:$A$840,0)),"")</f>
        <v>1.665</v>
      </c>
      <c r="Q281" s="223">
        <f>IFERROR(IF(P281&gt;0,P281-(TBIcalc!$H$9),""),"")</f>
        <v>1.5144</v>
      </c>
      <c r="R281" s="223">
        <f>IFERROR(INDEX('Ashed teabags wet'!$K$2:$K$2000,MATCH(K281,'Ashed teabags wet'!$A$2:$A$2000,0)),"")</f>
        <v>5.8219178082196645</v>
      </c>
      <c r="S281" s="223">
        <f t="shared" si="22"/>
        <v>1.4262328767123214</v>
      </c>
      <c r="T281" s="224">
        <f>'WetLitterbags placem_collection'!E62</f>
        <v>42766</v>
      </c>
      <c r="U281" s="224">
        <f>IF('WetLitterbags placem_collection'!G62="","",'WetLitterbags placem_collection'!G62)</f>
        <v>42820</v>
      </c>
      <c r="V281" s="225">
        <f t="shared" si="20"/>
        <v>54</v>
      </c>
      <c r="W281" s="223">
        <f t="shared" si="23"/>
        <v>0.4558000000000002</v>
      </c>
      <c r="X281" s="223">
        <f t="shared" si="24"/>
        <v>0.43531520992195816</v>
      </c>
      <c r="Y281">
        <f>IFERROR(INDEX(Rainfall_Wet!$O$2:$O$217,MATCH(B281, Rainfall_Wet!$A$2:$A$217,0)),"")</f>
        <v>214.262898705</v>
      </c>
      <c r="Z281" s="228">
        <v>25.96</v>
      </c>
      <c r="AA281" s="228">
        <v>6.9200000000000008</v>
      </c>
      <c r="AB281" s="228">
        <v>67.12</v>
      </c>
      <c r="AC281" s="229" t="s">
        <v>2654</v>
      </c>
      <c r="AD281" s="228">
        <v>1.7568260226712666</v>
      </c>
      <c r="AE281">
        <f>IF('WetLitterbags placem_collection'!AB62="","",'WetLitterbags placem_collection'!AB62)</f>
        <v>2.4</v>
      </c>
      <c r="AF281">
        <f>IF('WetLitterbags placem_collection'!Z62="","",'WetLitterbags placem_collection'!Z62)</f>
        <v>10.199999999999999</v>
      </c>
      <c r="AG281" s="243" t="str">
        <f>IF('WetLitterbags placem_collection'!AA62="","",'WetLitterbags placem_collection'!AA62)</f>
        <v>O</v>
      </c>
      <c r="AH281">
        <f>IF('WetLitterbags placem_collection'!AC62="","",'WetLitterbags placem_collection'!AC62)</f>
        <v>0</v>
      </c>
      <c r="AI281" s="237">
        <f>AVERAGE('WetLitterbags placem_collection'!S62,'WetLitterbags placem_collection'!U62)</f>
        <v>22.5</v>
      </c>
      <c r="AJ281">
        <f>AVERAGE('WetLitterbags placem_collection'!R62,'WetLitterbags placem_collection'!T62)</f>
        <v>28.6</v>
      </c>
      <c r="AK281">
        <f>INDEX(Coordinates!$B$2:$B$197,MATCH(H281,Coordinates!$J$2:$J$197,0))</f>
        <v>-3.406281983</v>
      </c>
      <c r="AL281">
        <f>INDEX(Coordinates!$C$2:$C$197,MATCH(H281,Coordinates!$J$2:$J$197,0))</f>
        <v>34.85137898</v>
      </c>
      <c r="AM281" t="str">
        <f>IF(ISNUMBER(SEARCH("C", 'WetLitterbags placem_collection'!$W62)),"YES","NO")</f>
        <v>NO</v>
      </c>
      <c r="AN281" t="str">
        <f>IF(ISNUMBER(SEARCH("H", 'WetLitterbags placem_collection'!$W62)),"YES","NO")</f>
        <v>NO</v>
      </c>
      <c r="AO281" t="str">
        <f>IF(ISNUMBER(SEARCH("R", 'WetLitterbags placem_collection'!$W62)),"YES","NO")</f>
        <v>NO</v>
      </c>
    </row>
    <row r="282" spans="1:41" ht="15" customHeight="1">
      <c r="A282" s="255" t="s">
        <v>2454</v>
      </c>
      <c r="B282" s="260">
        <f>'Dry_Litterbag Placem_Collection'!A63</f>
        <v>61</v>
      </c>
      <c r="C282" s="260" t="str">
        <f>'Dry_Litterbag Placem_Collection'!B63</f>
        <v>Makao</v>
      </c>
      <c r="D282" s="260" t="s">
        <v>2643</v>
      </c>
      <c r="E282" s="260" t="s">
        <v>20</v>
      </c>
      <c r="F282" s="260">
        <v>4</v>
      </c>
      <c r="G282" s="260" t="s">
        <v>3809</v>
      </c>
      <c r="H282" s="261" t="str">
        <f>'Dry_Litterbag Placem_Collection'!C63</f>
        <v>Dry_P4_T5</v>
      </c>
      <c r="I282" s="262" t="s">
        <v>2525</v>
      </c>
      <c r="J282" s="269" t="s">
        <v>298</v>
      </c>
      <c r="K282" s="221" t="str">
        <f>'WetLitterbags placem_collection'!M63</f>
        <v>R42</v>
      </c>
      <c r="L282" s="223">
        <f>IFERROR(INDEX('Green_rooibos initial weight'!$C$5:$C$2000,MATCH(K282, 'Green_rooibos initial weight'!$A$5:$A$2000,0)),"")</f>
        <v>2.2389999999999999</v>
      </c>
      <c r="M282" s="223">
        <f>IFERROR(L282-(TBIcalc!$H$9+TBIcalc!$H$10),"")</f>
        <v>1.9891999999999999</v>
      </c>
      <c r="N282" s="385">
        <f>AVERAGE(Ashed_controlls!$K$2:$K$11)</f>
        <v>5.5147656768714146</v>
      </c>
      <c r="O282" s="223">
        <f t="shared" si="21"/>
        <v>1.8795002811556736</v>
      </c>
      <c r="P282" s="223">
        <f>IFERROR(INDEX('Both teabags AfterWet'!$C$3:$C$840,MATCH(K282,'Both teabags AfterWet'!$A$3:$A$840,0)),"")</f>
        <v>0.182</v>
      </c>
      <c r="Q282" s="223">
        <f>IFERROR(IF(P282&gt;0,P282-(TBIcalc!$H$9),""),"")</f>
        <v>3.1399999999999983E-2</v>
      </c>
      <c r="R282" s="223">
        <f>IFERROR(INDEX('Ashed teabags wet'!$K$2:$K$2000,MATCH(K282,'Ashed teabags wet'!$A$2:$A$2000,0)),"")</f>
        <v>0</v>
      </c>
      <c r="S282" s="223">
        <f t="shared" si="22"/>
        <v>3.1399999999999983E-2</v>
      </c>
      <c r="T282" s="224">
        <f>'WetLitterbags placem_collection'!E63</f>
        <v>42766</v>
      </c>
      <c r="U282" s="224">
        <f>IF('WetLitterbags placem_collection'!G63="","",'WetLitterbags placem_collection'!G63)</f>
        <v>42820</v>
      </c>
      <c r="V282" s="225">
        <f t="shared" si="20"/>
        <v>54</v>
      </c>
      <c r="W282" s="223">
        <f t="shared" si="23"/>
        <v>1.9577999999999998</v>
      </c>
      <c r="X282" s="223">
        <f t="shared" si="24"/>
        <v>1.8481002811556735</v>
      </c>
      <c r="Y282">
        <f>IFERROR(INDEX(Rainfall_Wet!$O$2:$O$217,MATCH(B282, Rainfall_Wet!$A$2:$A$217,0)),"")</f>
        <v>214.262898705</v>
      </c>
      <c r="Z282" s="228">
        <v>25.96</v>
      </c>
      <c r="AA282" s="228">
        <v>6.9200000000000008</v>
      </c>
      <c r="AB282" s="228">
        <v>67.12</v>
      </c>
      <c r="AC282" s="229" t="s">
        <v>2654</v>
      </c>
      <c r="AD282" s="228">
        <v>1.7568260226712666</v>
      </c>
      <c r="AE282">
        <f>IF('WetLitterbags placem_collection'!AB63="","",'WetLitterbags placem_collection'!AB63)</f>
        <v>5.6</v>
      </c>
      <c r="AF282">
        <f>IF('WetLitterbags placem_collection'!Z63="","",'WetLitterbags placem_collection'!Z63)</f>
        <v>34.200000000000003</v>
      </c>
      <c r="AG282" s="243" t="str">
        <f>IF('WetLitterbags placem_collection'!AA63="","",'WetLitterbags placem_collection'!AA63)</f>
        <v>O</v>
      </c>
      <c r="AH282">
        <f>IF('WetLitterbags placem_collection'!AC63="","",'WetLitterbags placem_collection'!AC63)</f>
        <v>0</v>
      </c>
      <c r="AI282" s="237">
        <f>AVERAGE('WetLitterbags placem_collection'!S63,'WetLitterbags placem_collection'!U63)</f>
        <v>20.399999999999999</v>
      </c>
      <c r="AJ282">
        <f>AVERAGE('WetLitterbags placem_collection'!R63,'WetLitterbags placem_collection'!T63)</f>
        <v>27.450000000000003</v>
      </c>
      <c r="AK282">
        <f>INDEX(Coordinates!$B$2:$B$197,MATCH(H282,Coordinates!$J$2:$J$197,0))</f>
        <v>-3.406569986</v>
      </c>
      <c r="AL282">
        <f>INDEX(Coordinates!$C$2:$C$197,MATCH(H282,Coordinates!$J$2:$J$197,0))</f>
        <v>34.851323989999997</v>
      </c>
      <c r="AM282" t="str">
        <f>IF(ISNUMBER(SEARCH("C", 'WetLitterbags placem_collection'!$W63)),"YES","NO")</f>
        <v>YES</v>
      </c>
      <c r="AN282" t="str">
        <f>IF(ISNUMBER(SEARCH("H", 'WetLitterbags placem_collection'!$W63)),"YES","NO")</f>
        <v>YES</v>
      </c>
      <c r="AO282" t="str">
        <f>IF(ISNUMBER(SEARCH("R", 'WetLitterbags placem_collection'!$W63)),"YES","NO")</f>
        <v>NO</v>
      </c>
    </row>
    <row r="283" spans="1:41" ht="15" customHeight="1">
      <c r="A283" s="255" t="s">
        <v>2454</v>
      </c>
      <c r="B283" s="260">
        <f>'Dry_Litterbag Placem_Collection'!A64</f>
        <v>62</v>
      </c>
      <c r="C283" s="260" t="str">
        <f>'Dry_Litterbag Placem_Collection'!B64</f>
        <v>Makao</v>
      </c>
      <c r="D283" s="260" t="s">
        <v>2643</v>
      </c>
      <c r="E283" s="260" t="s">
        <v>20</v>
      </c>
      <c r="F283" s="260">
        <v>4</v>
      </c>
      <c r="G283" s="260" t="s">
        <v>3809</v>
      </c>
      <c r="H283" s="261" t="str">
        <f>'Dry_Litterbag Placem_Collection'!C64</f>
        <v>Dry_P4_T6</v>
      </c>
      <c r="I283" s="262" t="s">
        <v>2525</v>
      </c>
      <c r="J283" s="269" t="s">
        <v>298</v>
      </c>
      <c r="K283" s="221" t="str">
        <f>'WetLitterbags placem_collection'!M64</f>
        <v>R119</v>
      </c>
      <c r="L283" s="223">
        <f>IFERROR(INDEX('Green_rooibos initial weight'!$C$5:$C$2000,MATCH(K283, 'Green_rooibos initial weight'!$A$5:$A$2000,0)),"")</f>
        <v>2.1589999999999998</v>
      </c>
      <c r="M283" s="223">
        <f>IFERROR(L283-(TBIcalc!$H$9+TBIcalc!$H$10),"")</f>
        <v>1.9091999999999998</v>
      </c>
      <c r="N283" s="385">
        <f>AVERAGE(Ashed_controlls!$K$2:$K$11)</f>
        <v>5.5147656768714146</v>
      </c>
      <c r="O283" s="223">
        <f t="shared" si="21"/>
        <v>1.8039120936971709</v>
      </c>
      <c r="P283" s="223">
        <f>IFERROR(INDEX('Both teabags AfterWet'!$C$3:$C$840,MATCH(K283,'Both teabags AfterWet'!$A$3:$A$840,0)),"")</f>
        <v>1.6374</v>
      </c>
      <c r="Q283" s="223">
        <f>IFERROR(IF(P283&gt;0,P283-(TBIcalc!$H$9),""),"")</f>
        <v>1.4867999999999999</v>
      </c>
      <c r="R283" s="223">
        <f>IFERROR(INDEX('Ashed teabags wet'!$K$2:$K$2000,MATCH(K283,'Ashed teabags wet'!$A$2:$A$2000,0)),"")</f>
        <v>8.4343434343433188</v>
      </c>
      <c r="S283" s="223">
        <f t="shared" si="22"/>
        <v>1.3613981818181835</v>
      </c>
      <c r="T283" s="224">
        <f>'WetLitterbags placem_collection'!E64</f>
        <v>42766</v>
      </c>
      <c r="U283" s="224">
        <f>IF('WetLitterbags placem_collection'!G64="","",'WetLitterbags placem_collection'!G64)</f>
        <v>42820</v>
      </c>
      <c r="V283" s="225">
        <f t="shared" si="20"/>
        <v>54</v>
      </c>
      <c r="W283" s="223">
        <f t="shared" si="23"/>
        <v>0.42239999999999989</v>
      </c>
      <c r="X283" s="223">
        <f t="shared" si="24"/>
        <v>0.44251391187898736</v>
      </c>
      <c r="Y283">
        <f>IFERROR(INDEX(Rainfall_Wet!$O$2:$O$217,MATCH(B283, Rainfall_Wet!$A$2:$A$217,0)),"")</f>
        <v>214.262898705</v>
      </c>
      <c r="Z283" s="228">
        <v>25.96</v>
      </c>
      <c r="AA283" s="228">
        <v>6.9200000000000008</v>
      </c>
      <c r="AB283" s="228">
        <v>67.12</v>
      </c>
      <c r="AC283" s="229" t="s">
        <v>2654</v>
      </c>
      <c r="AD283" s="228">
        <v>1.7568260226712666</v>
      </c>
      <c r="AE283">
        <f>IF('WetLitterbags placem_collection'!AB64="","",'WetLitterbags placem_collection'!AB64)</f>
        <v>4.2</v>
      </c>
      <c r="AF283">
        <f>IF('WetLitterbags placem_collection'!Z64="","",'WetLitterbags placem_collection'!Z64)</f>
        <v>40.4</v>
      </c>
      <c r="AG283" s="243" t="str">
        <f>IF('WetLitterbags placem_collection'!AA64="","",'WetLitterbags placem_collection'!AA64)</f>
        <v>O</v>
      </c>
      <c r="AH283">
        <f>IF('WetLitterbags placem_collection'!AC64="","",'WetLitterbags placem_collection'!AC64)</f>
        <v>0</v>
      </c>
      <c r="AI283" s="237">
        <f>AVERAGE('WetLitterbags placem_collection'!S64,'WetLitterbags placem_collection'!U64)</f>
        <v>24.7</v>
      </c>
      <c r="AJ283">
        <f>AVERAGE('WetLitterbags placem_collection'!R64,'WetLitterbags placem_collection'!T64)</f>
        <v>26.799999999999997</v>
      </c>
      <c r="AK283">
        <f>INDEX(Coordinates!$B$2:$B$197,MATCH(H283,Coordinates!$J$2:$J$197,0))</f>
        <v>-3.4065180179999999</v>
      </c>
      <c r="AL283">
        <f>INDEX(Coordinates!$C$2:$C$197,MATCH(H283,Coordinates!$J$2:$J$197,0))</f>
        <v>34.85121402</v>
      </c>
      <c r="AM283" t="str">
        <f>IF(ISNUMBER(SEARCH("C", 'WetLitterbags placem_collection'!$W64)),"YES","NO")</f>
        <v>NO</v>
      </c>
      <c r="AN283" t="str">
        <f>IF(ISNUMBER(SEARCH("H", 'WetLitterbags placem_collection'!$W64)),"YES","NO")</f>
        <v>YES</v>
      </c>
      <c r="AO283" t="str">
        <f>IF(ISNUMBER(SEARCH("R", 'WetLitterbags placem_collection'!$W64)),"YES","NO")</f>
        <v>NO</v>
      </c>
    </row>
    <row r="284" spans="1:41" ht="15" customHeight="1">
      <c r="A284" s="255" t="s">
        <v>2454</v>
      </c>
      <c r="B284" s="260">
        <f>'Dry_Litterbag Placem_Collection'!A65</f>
        <v>63</v>
      </c>
      <c r="C284" s="260" t="str">
        <f>'Dry_Litterbag Placem_Collection'!B65</f>
        <v>Makao</v>
      </c>
      <c r="D284" s="260" t="s">
        <v>2643</v>
      </c>
      <c r="E284" s="260" t="s">
        <v>20</v>
      </c>
      <c r="F284" s="260">
        <v>4</v>
      </c>
      <c r="G284" s="260" t="s">
        <v>3809</v>
      </c>
      <c r="H284" s="261" t="str">
        <f>'Dry_Litterbag Placem_Collection'!C65</f>
        <v>Dry_P4_T7</v>
      </c>
      <c r="I284" s="262" t="s">
        <v>2525</v>
      </c>
      <c r="J284" s="269" t="s">
        <v>298</v>
      </c>
      <c r="K284" s="221" t="str">
        <f>'WetLitterbags placem_collection'!M65</f>
        <v>R185</v>
      </c>
      <c r="L284" s="223">
        <f>IFERROR(INDEX('Green_rooibos initial weight'!$C$5:$C$2000,MATCH(K284, 'Green_rooibos initial weight'!$A$5:$A$2000,0)),"")</f>
        <v>2.2909999999999999</v>
      </c>
      <c r="M284" s="223">
        <f>IFERROR(L284-(TBIcalc!$H$9+TBIcalc!$H$10),"")</f>
        <v>2.0411999999999999</v>
      </c>
      <c r="N284" s="385">
        <f>AVERAGE(Ashed_controlls!$K$2:$K$11)</f>
        <v>5.5147656768714146</v>
      </c>
      <c r="O284" s="223">
        <f t="shared" si="21"/>
        <v>1.9286326030037007</v>
      </c>
      <c r="P284" s="223">
        <f>IFERROR(INDEX('Both teabags AfterWet'!$C$3:$C$840,MATCH(K284,'Both teabags AfterWet'!$A$3:$A$840,0)),"")</f>
        <v>1.6850000000000001</v>
      </c>
      <c r="Q284" s="223">
        <f>IFERROR(IF(P284&gt;0,P284-(TBIcalc!$H$9),""),"")</f>
        <v>1.5344</v>
      </c>
      <c r="R284" s="223">
        <f>IFERROR(INDEX('Ashed teabags wet'!$K$2:$K$2000,MATCH(K284,'Ashed teabags wet'!$A$2:$A$2000,0)),"")</f>
        <v>8.6122047244091302</v>
      </c>
      <c r="S284" s="223">
        <f t="shared" si="22"/>
        <v>1.4022543307086663</v>
      </c>
      <c r="T284" s="224">
        <f>'WetLitterbags placem_collection'!E65</f>
        <v>42766</v>
      </c>
      <c r="U284" s="224">
        <f>IF('WetLitterbags placem_collection'!G65="","",'WetLitterbags placem_collection'!G65)</f>
        <v>42820</v>
      </c>
      <c r="V284" s="225">
        <f t="shared" si="20"/>
        <v>54</v>
      </c>
      <c r="W284" s="223">
        <f t="shared" si="23"/>
        <v>0.50679999999999992</v>
      </c>
      <c r="X284" s="223">
        <f t="shared" si="24"/>
        <v>0.52637827229503431</v>
      </c>
      <c r="Y284">
        <f>IFERROR(INDEX(Rainfall_Wet!$O$2:$O$217,MATCH(B284, Rainfall_Wet!$A$2:$A$217,0)),"")</f>
        <v>214.262898705</v>
      </c>
      <c r="Z284" s="228">
        <v>25.96</v>
      </c>
      <c r="AA284" s="228">
        <v>6.9200000000000008</v>
      </c>
      <c r="AB284" s="228">
        <v>67.12</v>
      </c>
      <c r="AC284" s="229" t="s">
        <v>2654</v>
      </c>
      <c r="AD284" s="228">
        <v>1.7568260226712666</v>
      </c>
      <c r="AE284">
        <f>IF('WetLitterbags placem_collection'!AB65="","",'WetLitterbags placem_collection'!AB65)</f>
        <v>4.9000000000000004</v>
      </c>
      <c r="AF284">
        <f>IF('WetLitterbags placem_collection'!Z65="","",'WetLitterbags placem_collection'!Z65)</f>
        <v>45</v>
      </c>
      <c r="AG284" s="243" t="str">
        <f>IF('WetLitterbags placem_collection'!AA65="","",'WetLitterbags placem_collection'!AA65)</f>
        <v>O</v>
      </c>
      <c r="AH284">
        <f>IF('WetLitterbags placem_collection'!AC65="","",'WetLitterbags placem_collection'!AC65)</f>
        <v>0</v>
      </c>
      <c r="AI284" s="237">
        <f>AVERAGE('WetLitterbags placem_collection'!S65,'WetLitterbags placem_collection'!U65)</f>
        <v>22.9</v>
      </c>
      <c r="AJ284">
        <f>AVERAGE('WetLitterbags placem_collection'!R65,'WetLitterbags placem_collection'!T65)</f>
        <v>28.25</v>
      </c>
      <c r="AK284">
        <f>INDEX(Coordinates!$B$2:$B$197,MATCH(H284,Coordinates!$J$2:$J$197,0))</f>
        <v>-3.406334035</v>
      </c>
      <c r="AL284">
        <f>INDEX(Coordinates!$C$2:$C$197,MATCH(H284,Coordinates!$J$2:$J$197,0))</f>
        <v>34.851172030000001</v>
      </c>
      <c r="AM284" t="str">
        <f>IF(ISNUMBER(SEARCH("C", 'WetLitterbags placem_collection'!$W65)),"YES","NO")</f>
        <v>NO</v>
      </c>
      <c r="AN284" t="str">
        <f>IF(ISNUMBER(SEARCH("H", 'WetLitterbags placem_collection'!$W65)),"YES","NO")</f>
        <v>NO</v>
      </c>
      <c r="AO284" t="str">
        <f>IF(ISNUMBER(SEARCH("R", 'WetLitterbags placem_collection'!$W65)),"YES","NO")</f>
        <v>YES</v>
      </c>
    </row>
    <row r="285" spans="1:41" ht="15" customHeight="1">
      <c r="A285" s="255" t="s">
        <v>2454</v>
      </c>
      <c r="B285" s="260">
        <f>'Dry_Litterbag Placem_Collection'!A66</f>
        <v>64</v>
      </c>
      <c r="C285" s="260" t="str">
        <f>'Dry_Litterbag Placem_Collection'!B66</f>
        <v>Makao</v>
      </c>
      <c r="D285" s="260" t="s">
        <v>2643</v>
      </c>
      <c r="E285" s="260" t="s">
        <v>20</v>
      </c>
      <c r="F285" s="260">
        <v>4</v>
      </c>
      <c r="G285" s="260" t="s">
        <v>3809</v>
      </c>
      <c r="H285" s="261" t="str">
        <f>'Dry_Litterbag Placem_Collection'!C66</f>
        <v>Dry_P4_T8</v>
      </c>
      <c r="I285" s="262" t="s">
        <v>2525</v>
      </c>
      <c r="J285" s="269" t="s">
        <v>298</v>
      </c>
      <c r="K285" s="221" t="str">
        <f>'WetLitterbags placem_collection'!M66</f>
        <v>R159</v>
      </c>
      <c r="L285" s="223">
        <f>IFERROR(INDEX('Green_rooibos initial weight'!$C$5:$C$2000,MATCH(K285, 'Green_rooibos initial weight'!$A$5:$A$2000,0)),"")</f>
        <v>2.2930000000000001</v>
      </c>
      <c r="M285" s="223">
        <f>IFERROR(L285-(TBIcalc!$H$9+TBIcalc!$H$10),"")</f>
        <v>2.0432000000000001</v>
      </c>
      <c r="N285" s="385">
        <f>AVERAGE(Ashed_controlls!$K$2:$K$11)</f>
        <v>5.5147656768714146</v>
      </c>
      <c r="O285" s="223">
        <f t="shared" si="21"/>
        <v>1.9305223076901634</v>
      </c>
      <c r="P285" s="223">
        <f>IFERROR(INDEX('Both teabags AfterWet'!$C$3:$C$840,MATCH(K285,'Both teabags AfterWet'!$A$3:$A$840,0)),"")</f>
        <v>1.3160000000000001</v>
      </c>
      <c r="Q285" s="223">
        <f>IFERROR(IF(P285&gt;0,P285-(TBIcalc!$H$9),""),"")</f>
        <v>1.1654</v>
      </c>
      <c r="R285" s="223">
        <f>IFERROR(INDEX('Ashed teabags wet'!$K$2:$K$2000,MATCH(K285,'Ashed teabags wet'!$A$2:$A$2000,0)),"")</f>
        <v>82.454411039920885</v>
      </c>
      <c r="S285" s="223">
        <f t="shared" si="22"/>
        <v>0.20447629374076204</v>
      </c>
      <c r="T285" s="224">
        <f>'WetLitterbags placem_collection'!E66</f>
        <v>42766</v>
      </c>
      <c r="U285" s="224">
        <f>IF('WetLitterbags placem_collection'!G66="","",'WetLitterbags placem_collection'!G66)</f>
        <v>42820</v>
      </c>
      <c r="V285" s="225">
        <f t="shared" si="20"/>
        <v>54</v>
      </c>
      <c r="W285" s="223">
        <f t="shared" si="23"/>
        <v>0.87780000000000014</v>
      </c>
      <c r="X285" s="223">
        <f t="shared" si="24"/>
        <v>1.7260460139494014</v>
      </c>
      <c r="Y285">
        <f>IFERROR(INDEX(Rainfall_Wet!$O$2:$O$217,MATCH(B285, Rainfall_Wet!$A$2:$A$217,0)),"")</f>
        <v>214.262898705</v>
      </c>
      <c r="Z285" s="228">
        <v>25.96</v>
      </c>
      <c r="AA285" s="228">
        <v>6.9200000000000008</v>
      </c>
      <c r="AB285" s="228">
        <v>67.12</v>
      </c>
      <c r="AC285" s="229" t="s">
        <v>2654</v>
      </c>
      <c r="AD285" s="228">
        <v>1.7568260226712666</v>
      </c>
      <c r="AE285">
        <f>IF('WetLitterbags placem_collection'!AB66="","",'WetLitterbags placem_collection'!AB66)</f>
        <v>3</v>
      </c>
      <c r="AF285">
        <f>IF('WetLitterbags placem_collection'!Z66="","",'WetLitterbags placem_collection'!Z66)</f>
        <v>22.8</v>
      </c>
      <c r="AG285" s="243" t="str">
        <f>IF('WetLitterbags placem_collection'!AA66="","",'WetLitterbags placem_collection'!AA66)</f>
        <v>O</v>
      </c>
      <c r="AH285">
        <f>IF('WetLitterbags placem_collection'!AC66="","",'WetLitterbags placem_collection'!AC66)</f>
        <v>1</v>
      </c>
      <c r="AI285" s="237">
        <f>AVERAGE('WetLitterbags placem_collection'!S66,'WetLitterbags placem_collection'!U66)</f>
        <v>34.6</v>
      </c>
      <c r="AJ285">
        <f>AVERAGE('WetLitterbags placem_collection'!R66,'WetLitterbags placem_collection'!T66)</f>
        <v>22.7</v>
      </c>
      <c r="AK285">
        <f>INDEX(Coordinates!$B$2:$B$197,MATCH(H285,Coordinates!$J$2:$J$197,0))</f>
        <v>-3.4063409920000001</v>
      </c>
      <c r="AL285">
        <f>INDEX(Coordinates!$C$2:$C$197,MATCH(H285,Coordinates!$J$2:$J$197,0))</f>
        <v>34.85126004</v>
      </c>
      <c r="AM285" t="str">
        <f>IF(ISNUMBER(SEARCH("C", 'WetLitterbags placem_collection'!$W66)),"YES","NO")</f>
        <v>YES</v>
      </c>
      <c r="AN285" t="str">
        <f>IF(ISNUMBER(SEARCH("H", 'WetLitterbags placem_collection'!$W66)),"YES","NO")</f>
        <v>YES</v>
      </c>
      <c r="AO285" t="str">
        <f>IF(ISNUMBER(SEARCH("R", 'WetLitterbags placem_collection'!$W66)),"YES","NO")</f>
        <v>NO</v>
      </c>
    </row>
    <row r="286" spans="1:41" ht="15" customHeight="1">
      <c r="A286" s="255" t="s">
        <v>2454</v>
      </c>
      <c r="B286" s="260">
        <f>'Dry_Litterbag Placem_Collection'!A67</f>
        <v>65</v>
      </c>
      <c r="C286" s="260" t="str">
        <f>'Dry_Litterbag Placem_Collection'!B67</f>
        <v>Maswa</v>
      </c>
      <c r="D286" s="260" t="s">
        <v>2643</v>
      </c>
      <c r="E286" s="260" t="s">
        <v>2645</v>
      </c>
      <c r="F286" s="260">
        <v>1</v>
      </c>
      <c r="G286" s="260" t="s">
        <v>3810</v>
      </c>
      <c r="H286" s="261" t="str">
        <f>'Dry_Litterbag Placem_Collection'!C67</f>
        <v>Dry_W1_T1</v>
      </c>
      <c r="I286" s="262" t="s">
        <v>2525</v>
      </c>
      <c r="J286" s="269" t="s">
        <v>298</v>
      </c>
      <c r="K286" s="221" t="str">
        <f>'WetLitterbags placem_collection'!M67</f>
        <v>R525</v>
      </c>
      <c r="L286" s="223">
        <f>IFERROR(INDEX('Green_rooibos initial weight'!$C$5:$C$2000,MATCH(K286, 'Green_rooibos initial weight'!$A$5:$A$2000,0)),"")</f>
        <v>2.1469999999999998</v>
      </c>
      <c r="M286" s="223">
        <f>IFERROR(L286-(TBIcalc!$H$9+TBIcalc!$H$10),"")</f>
        <v>1.8971999999999998</v>
      </c>
      <c r="N286" s="385">
        <f>AVERAGE(Ashed_controlls!$K$2:$K$11)</f>
        <v>5.5147656768714146</v>
      </c>
      <c r="O286" s="223">
        <f t="shared" si="21"/>
        <v>1.7925738655783954</v>
      </c>
      <c r="P286" s="223">
        <f>IFERROR(INDEX('Both teabags AfterWet'!$C$3:$C$840,MATCH(K286,'Both teabags AfterWet'!$A$3:$A$840,0)),"")</f>
        <v>1.704</v>
      </c>
      <c r="Q286" s="223">
        <f>IFERROR(IF(P286&gt;0,P286-(TBIcalc!$H$9),""),"")</f>
        <v>1.5533999999999999</v>
      </c>
      <c r="R286" s="223">
        <f>IFERROR(INDEX('Ashed teabags wet'!$K$2:$K$2000,MATCH(K286,'Ashed teabags wet'!$A$2:$A$2000,0)),"")</f>
        <v>3.9941548952748618</v>
      </c>
      <c r="S286" s="223">
        <f t="shared" si="22"/>
        <v>1.4913547978568003</v>
      </c>
      <c r="T286" s="224">
        <f>'WetLitterbags placem_collection'!E67</f>
        <v>42767</v>
      </c>
      <c r="U286" s="224">
        <f>IF('WetLitterbags placem_collection'!G67="","",'WetLitterbags placem_collection'!G67)</f>
        <v>42818</v>
      </c>
      <c r="V286" s="225">
        <f t="shared" si="20"/>
        <v>51</v>
      </c>
      <c r="W286" s="223">
        <f t="shared" si="23"/>
        <v>0.34379999999999988</v>
      </c>
      <c r="X286" s="223">
        <f t="shared" si="24"/>
        <v>0.30121906772159512</v>
      </c>
      <c r="Y286">
        <f>IFERROR(INDEX(Rainfall_Wet!$O$2:$O$217,MATCH(B286, Rainfall_Wet!$A$2:$A$217,0)),"")</f>
        <v>185.630065823</v>
      </c>
      <c r="Z286" s="228">
        <v>47.96</v>
      </c>
      <c r="AA286" s="228">
        <v>22.919999999999995</v>
      </c>
      <c r="AB286" s="228">
        <v>29.120000000000012</v>
      </c>
      <c r="AC286" s="229" t="s">
        <v>2657</v>
      </c>
      <c r="AD286" s="228">
        <v>2.8831936914736325</v>
      </c>
      <c r="AE286">
        <f>IF('WetLitterbags placem_collection'!AB67="","",'WetLitterbags placem_collection'!AB67)</f>
        <v>13.8</v>
      </c>
      <c r="AF286">
        <f>IF('WetLitterbags placem_collection'!Z67="","",'WetLitterbags placem_collection'!Z67)</f>
        <v>13.8</v>
      </c>
      <c r="AG286" s="243" t="str">
        <f>IF('WetLitterbags placem_collection'!AA67="","",'WetLitterbags placem_collection'!AA67)</f>
        <v>O</v>
      </c>
      <c r="AH286">
        <f>IF('WetLitterbags placem_collection'!AC67="","",'WetLitterbags placem_collection'!AC67)</f>
        <v>1</v>
      </c>
      <c r="AI286" s="237">
        <f>AVERAGE('WetLitterbags placem_collection'!S67,'WetLitterbags placem_collection'!U67)</f>
        <v>32.299999999999997</v>
      </c>
      <c r="AJ286">
        <f>AVERAGE('WetLitterbags placem_collection'!R67,'WetLitterbags placem_collection'!T67)</f>
        <v>22.75</v>
      </c>
      <c r="AK286">
        <f>INDEX(Coordinates!$B$2:$B$197,MATCH(H286,Coordinates!$J$2:$J$197,0))</f>
        <v>-3.2993960379999998</v>
      </c>
      <c r="AL286">
        <f>INDEX(Coordinates!$C$2:$C$197,MATCH(H286,Coordinates!$J$2:$J$197,0))</f>
        <v>34.848240959999998</v>
      </c>
      <c r="AM286" t="str">
        <f>IF(ISNUMBER(SEARCH("C", 'WetLitterbags placem_collection'!$W67)),"YES","NO")</f>
        <v>NO</v>
      </c>
      <c r="AN286" t="str">
        <f>IF(ISNUMBER(SEARCH("H", 'WetLitterbags placem_collection'!$W67)),"YES","NO")</f>
        <v>NO</v>
      </c>
      <c r="AO286" t="str">
        <f>IF(ISNUMBER(SEARCH("R", 'WetLitterbags placem_collection'!$W67)),"YES","NO")</f>
        <v>NO</v>
      </c>
    </row>
    <row r="287" spans="1:41" ht="15" customHeight="1">
      <c r="A287" s="255" t="s">
        <v>2454</v>
      </c>
      <c r="B287" s="260">
        <f>'Dry_Litterbag Placem_Collection'!A68</f>
        <v>66</v>
      </c>
      <c r="C287" s="260" t="str">
        <f>'Dry_Litterbag Placem_Collection'!B68</f>
        <v>Maswa</v>
      </c>
      <c r="D287" s="260" t="s">
        <v>2643</v>
      </c>
      <c r="E287" s="260" t="s">
        <v>2645</v>
      </c>
      <c r="F287" s="260">
        <v>1</v>
      </c>
      <c r="G287" s="260" t="s">
        <v>3810</v>
      </c>
      <c r="H287" s="261" t="str">
        <f>'Dry_Litterbag Placem_Collection'!C68</f>
        <v>Dry_W1_T2</v>
      </c>
      <c r="I287" s="262" t="s">
        <v>2525</v>
      </c>
      <c r="J287" s="269" t="s">
        <v>298</v>
      </c>
      <c r="K287" s="221" t="str">
        <f>'WetLitterbags placem_collection'!M68</f>
        <v>R150</v>
      </c>
      <c r="L287" s="223">
        <f>IFERROR(INDEX('Green_rooibos initial weight'!$C$5:$C$2000,MATCH(K287, 'Green_rooibos initial weight'!$A$5:$A$2000,0)),"")</f>
        <v>2.1469999999999998</v>
      </c>
      <c r="M287" s="223">
        <f>IFERROR(L287-(TBIcalc!$H$9+TBIcalc!$H$10),"")</f>
        <v>1.8971999999999998</v>
      </c>
      <c r="N287" s="385">
        <f>AVERAGE(Ashed_controlls!$K$2:$K$11)</f>
        <v>5.5147656768714146</v>
      </c>
      <c r="O287" s="223">
        <f t="shared" si="21"/>
        <v>1.7925738655783954</v>
      </c>
      <c r="P287" s="223">
        <f>IFERROR(INDEX('Both teabags AfterWet'!$C$3:$C$840,MATCH(K287,'Both teabags AfterWet'!$A$3:$A$840,0)),"")</f>
        <v>0.21360000000000001</v>
      </c>
      <c r="Q287" s="223">
        <f>IFERROR(IF(P287&gt;0,P287-(TBIcalc!$H$9),""),"")</f>
        <v>6.3E-2</v>
      </c>
      <c r="R287" s="223" t="str">
        <f>IFERROR(INDEX('Ashed teabags wet'!$K$2:$K$2000,MATCH(K287,'Ashed teabags wet'!$A$2:$A$2000,0)),"")</f>
        <v/>
      </c>
      <c r="S287" s="223" t="str">
        <f t="shared" si="22"/>
        <v/>
      </c>
      <c r="T287" s="224">
        <f>'WetLitterbags placem_collection'!E68</f>
        <v>42767</v>
      </c>
      <c r="U287" s="224">
        <f>IF('WetLitterbags placem_collection'!G68="","",'WetLitterbags placem_collection'!G68)</f>
        <v>42818</v>
      </c>
      <c r="V287" s="225">
        <f t="shared" si="20"/>
        <v>51</v>
      </c>
      <c r="W287" s="223">
        <f t="shared" si="23"/>
        <v>1.8341999999999998</v>
      </c>
      <c r="X287" s="223" t="str">
        <f t="shared" si="24"/>
        <v/>
      </c>
      <c r="Y287">
        <f>IFERROR(INDEX(Rainfall_Wet!$O$2:$O$217,MATCH(B287, Rainfall_Wet!$A$2:$A$217,0)),"")</f>
        <v>185.630065823</v>
      </c>
      <c r="Z287" s="228">
        <v>47.96</v>
      </c>
      <c r="AA287" s="228">
        <v>22.919999999999995</v>
      </c>
      <c r="AB287" s="228">
        <v>29.120000000000012</v>
      </c>
      <c r="AC287" s="229" t="s">
        <v>2657</v>
      </c>
      <c r="AD287" s="228">
        <v>3.8831936914736298</v>
      </c>
      <c r="AE287">
        <f>IF('WetLitterbags placem_collection'!AB68="","",'WetLitterbags placem_collection'!AB68)</f>
        <v>8</v>
      </c>
      <c r="AF287">
        <f>IF('WetLitterbags placem_collection'!Z68="","",'WetLitterbags placem_collection'!Z68)</f>
        <v>19.8</v>
      </c>
      <c r="AG287" s="243" t="str">
        <f>IF('WetLitterbags placem_collection'!AA68="","",'WetLitterbags placem_collection'!AA68)</f>
        <v>O</v>
      </c>
      <c r="AH287">
        <f>IF('WetLitterbags placem_collection'!AC68="","",'WetLitterbags placem_collection'!AC68)</f>
        <v>1</v>
      </c>
      <c r="AI287" s="237">
        <f>AVERAGE('WetLitterbags placem_collection'!S68,'WetLitterbags placem_collection'!U68)</f>
        <v>30.6</v>
      </c>
      <c r="AJ287">
        <f>AVERAGE('WetLitterbags placem_collection'!R68,'WetLitterbags placem_collection'!T68)</f>
        <v>21.95</v>
      </c>
      <c r="AK287">
        <f>INDEX(Coordinates!$B$2:$B$197,MATCH(H287,Coordinates!$J$2:$J$197,0))</f>
        <v>-3.2993090340000002</v>
      </c>
      <c r="AL287">
        <f>INDEX(Coordinates!$C$2:$C$197,MATCH(H287,Coordinates!$J$2:$J$197,0))</f>
        <v>34.848404989999999</v>
      </c>
      <c r="AM287" t="str">
        <f>IF(ISNUMBER(SEARCH("C", 'WetLitterbags placem_collection'!$W68)),"YES","NO")</f>
        <v>NO</v>
      </c>
      <c r="AN287" t="str">
        <f>IF(ISNUMBER(SEARCH("H", 'WetLitterbags placem_collection'!$W68)),"YES","NO")</f>
        <v>YES</v>
      </c>
      <c r="AO287" t="str">
        <f>IF(ISNUMBER(SEARCH("R", 'WetLitterbags placem_collection'!$W68)),"YES","NO")</f>
        <v>NO</v>
      </c>
    </row>
    <row r="288" spans="1:41" ht="15" customHeight="1">
      <c r="A288" s="255" t="s">
        <v>2454</v>
      </c>
      <c r="B288" s="260">
        <f>'Dry_Litterbag Placem_Collection'!A69</f>
        <v>67</v>
      </c>
      <c r="C288" s="260" t="str">
        <f>'Dry_Litterbag Placem_Collection'!B69</f>
        <v>Maswa</v>
      </c>
      <c r="D288" s="260" t="s">
        <v>2643</v>
      </c>
      <c r="E288" s="260" t="s">
        <v>2645</v>
      </c>
      <c r="F288" s="260">
        <v>1</v>
      </c>
      <c r="G288" s="260" t="s">
        <v>3810</v>
      </c>
      <c r="H288" s="261" t="str">
        <f>'Dry_Litterbag Placem_Collection'!C69</f>
        <v>Dry_W1_T3</v>
      </c>
      <c r="I288" s="262" t="s">
        <v>2525</v>
      </c>
      <c r="J288" s="269" t="s">
        <v>298</v>
      </c>
      <c r="K288" s="221" t="str">
        <f>'WetLitterbags placem_collection'!M69</f>
        <v>R165</v>
      </c>
      <c r="L288" s="223">
        <f>IFERROR(INDEX('Green_rooibos initial weight'!$C$5:$C$2000,MATCH(K288, 'Green_rooibos initial weight'!$A$5:$A$2000,0)),"")</f>
        <v>2.169</v>
      </c>
      <c r="M288" s="223">
        <f>IFERROR(L288-(TBIcalc!$H$9+TBIcalc!$H$10),"")</f>
        <v>1.9192</v>
      </c>
      <c r="N288" s="385">
        <f>AVERAGE(Ashed_controlls!$K$2:$K$11)</f>
        <v>5.5147656768714146</v>
      </c>
      <c r="O288" s="223">
        <f t="shared" si="21"/>
        <v>1.8133606171294838</v>
      </c>
      <c r="P288" s="223">
        <f>IFERROR(INDEX('Both teabags AfterWet'!$C$3:$C$840,MATCH(K288,'Both teabags AfterWet'!$A$3:$A$840,0)),"")</f>
        <v>1.4942</v>
      </c>
      <c r="Q288" s="223">
        <f>IFERROR(IF(P288&gt;0,P288-(TBIcalc!$H$9),""),"")</f>
        <v>1.3435999999999999</v>
      </c>
      <c r="R288" s="223">
        <f>IFERROR(INDEX('Ashed teabags wet'!$K$2:$K$2000,MATCH(K288,'Ashed teabags wet'!$A$2:$A$2000,0)),"")</f>
        <v>4.9107142857138548</v>
      </c>
      <c r="S288" s="223">
        <f t="shared" si="22"/>
        <v>1.2776196428571485</v>
      </c>
      <c r="T288" s="224">
        <f>'WetLitterbags placem_collection'!E69</f>
        <v>42767</v>
      </c>
      <c r="U288" s="224">
        <f>IF('WetLitterbags placem_collection'!G69="","",'WetLitterbags placem_collection'!G69)</f>
        <v>42818</v>
      </c>
      <c r="V288" s="225">
        <f t="shared" si="20"/>
        <v>51</v>
      </c>
      <c r="W288" s="223">
        <f t="shared" si="23"/>
        <v>0.57560000000000011</v>
      </c>
      <c r="X288" s="223">
        <f t="shared" si="24"/>
        <v>0.53574097427233536</v>
      </c>
      <c r="Y288">
        <f>IFERROR(INDEX(Rainfall_Wet!$O$2:$O$217,MATCH(B288, Rainfall_Wet!$A$2:$A$217,0)),"")</f>
        <v>185.630065823</v>
      </c>
      <c r="Z288" s="228">
        <v>47.96</v>
      </c>
      <c r="AA288" s="228">
        <v>22.919999999999995</v>
      </c>
      <c r="AB288" s="228">
        <v>29.120000000000012</v>
      </c>
      <c r="AC288" s="229" t="s">
        <v>2657</v>
      </c>
      <c r="AD288" s="228">
        <v>4.8831936914736298</v>
      </c>
      <c r="AE288">
        <f>IF('WetLitterbags placem_collection'!AB69="","",'WetLitterbags placem_collection'!AB69)</f>
        <v>5.5</v>
      </c>
      <c r="AF288">
        <f>IF('WetLitterbags placem_collection'!Z69="","",'WetLitterbags placem_collection'!Z69)</f>
        <v>5.5</v>
      </c>
      <c r="AG288" s="243" t="str">
        <f>IF('WetLitterbags placem_collection'!AA69="","",'WetLitterbags placem_collection'!AA69)</f>
        <v>O</v>
      </c>
      <c r="AH288">
        <f>IF('WetLitterbags placem_collection'!AC69="","",'WetLitterbags placem_collection'!AC69)</f>
        <v>1</v>
      </c>
      <c r="AI288" s="237">
        <f>AVERAGE('WetLitterbags placem_collection'!S69,'WetLitterbags placem_collection'!U69)</f>
        <v>29.9</v>
      </c>
      <c r="AJ288">
        <f>AVERAGE('WetLitterbags placem_collection'!R69,'WetLitterbags placem_collection'!T69)</f>
        <v>20.7</v>
      </c>
      <c r="AK288">
        <f>INDEX(Coordinates!$B$2:$B$197,MATCH(H288,Coordinates!$J$2:$J$197,0))</f>
        <v>-3.299434008</v>
      </c>
      <c r="AL288">
        <f>INDEX(Coordinates!$C$2:$C$197,MATCH(H288,Coordinates!$J$2:$J$197,0))</f>
        <v>34.848514960000003</v>
      </c>
      <c r="AM288" t="str">
        <f>IF(ISNUMBER(SEARCH("C", 'WetLitterbags placem_collection'!$W69)),"YES","NO")</f>
        <v>NO</v>
      </c>
      <c r="AN288" t="str">
        <f>IF(ISNUMBER(SEARCH("H", 'WetLitterbags placem_collection'!$W69)),"YES","NO")</f>
        <v>NO</v>
      </c>
      <c r="AO288" t="str">
        <f>IF(ISNUMBER(SEARCH("R", 'WetLitterbags placem_collection'!$W69)),"YES","NO")</f>
        <v>NO</v>
      </c>
    </row>
    <row r="289" spans="1:41" ht="15" customHeight="1">
      <c r="A289" s="255" t="s">
        <v>2454</v>
      </c>
      <c r="B289" s="260">
        <f>'Dry_Litterbag Placem_Collection'!A70</f>
        <v>68</v>
      </c>
      <c r="C289" s="260" t="str">
        <f>'Dry_Litterbag Placem_Collection'!B70</f>
        <v>Maswa</v>
      </c>
      <c r="D289" s="260" t="s">
        <v>2643</v>
      </c>
      <c r="E289" s="260" t="s">
        <v>2645</v>
      </c>
      <c r="F289" s="260">
        <v>1</v>
      </c>
      <c r="G289" s="260" t="s">
        <v>3810</v>
      </c>
      <c r="H289" s="261" t="str">
        <f>'Dry_Litterbag Placem_Collection'!C70</f>
        <v>Dry_W1_T4</v>
      </c>
      <c r="I289" s="262" t="s">
        <v>2525</v>
      </c>
      <c r="J289" s="269" t="s">
        <v>298</v>
      </c>
      <c r="K289" s="221" t="str">
        <f>'WetLitterbags placem_collection'!M70</f>
        <v>R129</v>
      </c>
      <c r="L289" s="223">
        <f>IFERROR(INDEX('Green_rooibos initial weight'!$C$5:$C$2000,MATCH(K289, 'Green_rooibos initial weight'!$A$5:$A$2000,0)),"")</f>
        <v>2.2829999999999999</v>
      </c>
      <c r="M289" s="223">
        <f>IFERROR(L289-(TBIcalc!$H$9+TBIcalc!$H$10),"")</f>
        <v>2.0331999999999999</v>
      </c>
      <c r="N289" s="385">
        <f>AVERAGE(Ashed_controlls!$K$2:$K$11)</f>
        <v>5.5147656768714146</v>
      </c>
      <c r="O289" s="223">
        <f t="shared" si="21"/>
        <v>1.9210737842578502</v>
      </c>
      <c r="P289" s="223">
        <f>IFERROR(INDEX('Both teabags AfterWet'!$C$3:$C$840,MATCH(K289,'Both teabags AfterWet'!$A$3:$A$840,0)),"")</f>
        <v>1.885</v>
      </c>
      <c r="Q289" s="223">
        <f>IFERROR(IF(P289&gt;0,P289-(TBIcalc!$H$9),""),"")</f>
        <v>1.7343999999999999</v>
      </c>
      <c r="R289" s="223">
        <f>IFERROR(INDEX('Ashed teabags wet'!$K$2:$K$2000,MATCH(K289,'Ashed teabags wet'!$A$2:$A$2000,0)),"")</f>
        <v>14.637752587481726</v>
      </c>
      <c r="S289" s="223">
        <f t="shared" si="22"/>
        <v>1.4805228191227169</v>
      </c>
      <c r="T289" s="224">
        <f>'WetLitterbags placem_collection'!E70</f>
        <v>42767</v>
      </c>
      <c r="U289" s="224">
        <f>IF('WetLitterbags placem_collection'!G70="","",'WetLitterbags placem_collection'!G70)</f>
        <v>42818</v>
      </c>
      <c r="V289" s="225">
        <f t="shared" si="20"/>
        <v>51</v>
      </c>
      <c r="W289" s="223">
        <f t="shared" si="23"/>
        <v>0.29879999999999995</v>
      </c>
      <c r="X289" s="223">
        <f t="shared" si="24"/>
        <v>0.44055096513513337</v>
      </c>
      <c r="Y289">
        <f>IFERROR(INDEX(Rainfall_Wet!$O$2:$O$217,MATCH(B289, Rainfall_Wet!$A$2:$A$217,0)),"")</f>
        <v>185.630065823</v>
      </c>
      <c r="Z289" s="228">
        <v>47.96</v>
      </c>
      <c r="AA289" s="228">
        <v>22.919999999999995</v>
      </c>
      <c r="AB289" s="228">
        <v>29.120000000000012</v>
      </c>
      <c r="AC289" s="229" t="s">
        <v>2657</v>
      </c>
      <c r="AD289" s="228">
        <v>5.8831936914736298</v>
      </c>
      <c r="AE289">
        <f>IF('WetLitterbags placem_collection'!AB70="","",'WetLitterbags placem_collection'!AB70)</f>
        <v>9.6999999999999993</v>
      </c>
      <c r="AF289">
        <f>IF('WetLitterbags placem_collection'!Z70="","",'WetLitterbags placem_collection'!Z70)</f>
        <v>23.4</v>
      </c>
      <c r="AG289" s="243" t="str">
        <f>IF('WetLitterbags placem_collection'!AA70="","",'WetLitterbags placem_collection'!AA70)</f>
        <v>O</v>
      </c>
      <c r="AH289">
        <f>IF('WetLitterbags placem_collection'!AC70="","",'WetLitterbags placem_collection'!AC70)</f>
        <v>1</v>
      </c>
      <c r="AI289" s="237">
        <f>AVERAGE('WetLitterbags placem_collection'!S70,'WetLitterbags placem_collection'!U70)</f>
        <v>29.85</v>
      </c>
      <c r="AJ289">
        <f>AVERAGE('WetLitterbags placem_collection'!R70,'WetLitterbags placem_collection'!T70)</f>
        <v>21.2</v>
      </c>
      <c r="AK289">
        <f>INDEX(Coordinates!$B$2:$B$197,MATCH(H289,Coordinates!$J$2:$J$197,0))</f>
        <v>-3.2991180099999999</v>
      </c>
      <c r="AL289">
        <f>INDEX(Coordinates!$C$2:$C$197,MATCH(H289,Coordinates!$J$2:$J$197,0))</f>
        <v>34.84824699</v>
      </c>
      <c r="AM289" t="str">
        <f>IF(ISNUMBER(SEARCH("C", 'WetLitterbags placem_collection'!$W70)),"YES","NO")</f>
        <v>NO</v>
      </c>
      <c r="AN289" t="str">
        <f>IF(ISNUMBER(SEARCH("H", 'WetLitterbags placem_collection'!$W70)),"YES","NO")</f>
        <v>NO</v>
      </c>
      <c r="AO289" t="str">
        <f>IF(ISNUMBER(SEARCH("R", 'WetLitterbags placem_collection'!$W70)),"YES","NO")</f>
        <v>NO</v>
      </c>
    </row>
    <row r="290" spans="1:41" ht="15" customHeight="1">
      <c r="A290" s="255" t="s">
        <v>2454</v>
      </c>
      <c r="B290" s="260">
        <f>'Dry_Litterbag Placem_Collection'!A71</f>
        <v>69</v>
      </c>
      <c r="C290" s="260" t="str">
        <f>'Dry_Litterbag Placem_Collection'!B71</f>
        <v>Maswa</v>
      </c>
      <c r="D290" s="260" t="s">
        <v>2643</v>
      </c>
      <c r="E290" s="260" t="s">
        <v>2645</v>
      </c>
      <c r="F290" s="260">
        <v>1</v>
      </c>
      <c r="G290" s="260" t="s">
        <v>3810</v>
      </c>
      <c r="H290" s="261" t="str">
        <f>'Dry_Litterbag Placem_Collection'!C71</f>
        <v>Dry_W1_T5</v>
      </c>
      <c r="I290" s="262" t="s">
        <v>2525</v>
      </c>
      <c r="J290" s="269" t="s">
        <v>298</v>
      </c>
      <c r="K290" s="221" t="str">
        <f>'WetLitterbags placem_collection'!M71</f>
        <v>R414</v>
      </c>
      <c r="L290" s="223">
        <f>IFERROR(INDEX('Green_rooibos initial weight'!$C$5:$C$2000,MATCH(K290, 'Green_rooibos initial weight'!$A$5:$A$2000,0)),"")</f>
        <v>2.1349999999999998</v>
      </c>
      <c r="M290" s="223">
        <f>IFERROR(L290-(TBIcalc!$H$9+TBIcalc!$H$10),"")</f>
        <v>1.8851999999999998</v>
      </c>
      <c r="N290" s="385">
        <f>AVERAGE(Ashed_controlls!$K$2:$K$11)</f>
        <v>5.5147656768714146</v>
      </c>
      <c r="O290" s="223">
        <f t="shared" si="21"/>
        <v>1.7812356374596199</v>
      </c>
      <c r="P290" s="223">
        <f>IFERROR(INDEX('Both teabags AfterWet'!$C$3:$C$840,MATCH(K290,'Both teabags AfterWet'!$A$3:$A$840,0)),"")</f>
        <v>2.403</v>
      </c>
      <c r="Q290" s="223">
        <f>IFERROR(IF(P290&gt;0,P290-(TBIcalc!$H$9),""),"")</f>
        <v>2.2524000000000002</v>
      </c>
      <c r="R290" s="223">
        <f>IFERROR(INDEX('Ashed teabags wet'!$K$2:$K$2000,MATCH(K290,'Ashed teabags wet'!$A$2:$A$2000,0)),"")</f>
        <v>16.515513126491193</v>
      </c>
      <c r="S290" s="223">
        <f t="shared" si="22"/>
        <v>1.8804045823389126</v>
      </c>
      <c r="T290" s="224">
        <f>'WetLitterbags placem_collection'!E71</f>
        <v>42767</v>
      </c>
      <c r="U290" s="224">
        <f>IF('WetLitterbags placem_collection'!G71="","",'WetLitterbags placem_collection'!G71)</f>
        <v>42818</v>
      </c>
      <c r="V290" s="225">
        <f t="shared" si="20"/>
        <v>51</v>
      </c>
      <c r="W290" s="223">
        <f t="shared" si="23"/>
        <v>-0.36720000000000041</v>
      </c>
      <c r="X290" s="223">
        <f t="shared" si="24"/>
        <v>-9.9168944879292731E-2</v>
      </c>
      <c r="Y290">
        <f>IFERROR(INDEX(Rainfall_Wet!$O$2:$O$217,MATCH(B290, Rainfall_Wet!$A$2:$A$217,0)),"")</f>
        <v>185.630065823</v>
      </c>
      <c r="Z290" s="228">
        <v>47.96</v>
      </c>
      <c r="AA290" s="228">
        <v>22.919999999999995</v>
      </c>
      <c r="AB290" s="228">
        <v>29.120000000000012</v>
      </c>
      <c r="AC290" s="229" t="s">
        <v>2657</v>
      </c>
      <c r="AD290" s="228">
        <v>6.8831936914736298</v>
      </c>
      <c r="AE290">
        <f>IF('WetLitterbags placem_collection'!AB71="","",'WetLitterbags placem_collection'!AB71)</f>
        <v>14.4</v>
      </c>
      <c r="AF290">
        <f>IF('WetLitterbags placem_collection'!Z71="","",'WetLitterbags placem_collection'!Z71)</f>
        <v>24.4</v>
      </c>
      <c r="AG290" s="243" t="str">
        <f>IF('WetLitterbags placem_collection'!AA71="","",'WetLitterbags placem_collection'!AA71)</f>
        <v>O</v>
      </c>
      <c r="AH290">
        <f>IF('WetLitterbags placem_collection'!AC71="","",'WetLitterbags placem_collection'!AC71)</f>
        <v>1</v>
      </c>
      <c r="AI290" s="237">
        <f>AVERAGE('WetLitterbags placem_collection'!S71,'WetLitterbags placem_collection'!U71)</f>
        <v>31.25</v>
      </c>
      <c r="AJ290">
        <f>AVERAGE('WetLitterbags placem_collection'!R71,'WetLitterbags placem_collection'!T71)</f>
        <v>23.450000000000003</v>
      </c>
      <c r="AK290">
        <f>INDEX(Coordinates!$B$2:$B$197,MATCH(H290,Coordinates!$J$2:$J$197,0))</f>
        <v>-3.2993180030000002</v>
      </c>
      <c r="AL290">
        <f>INDEX(Coordinates!$C$2:$C$197,MATCH(H290,Coordinates!$J$2:$J$197,0))</f>
        <v>34.848235010000003</v>
      </c>
      <c r="AM290" t="str">
        <f>IF(ISNUMBER(SEARCH("C", 'WetLitterbags placem_collection'!$W71)),"YES","NO")</f>
        <v>NO</v>
      </c>
      <c r="AN290" t="str">
        <f>IF(ISNUMBER(SEARCH("H", 'WetLitterbags placem_collection'!$W71)),"YES","NO")</f>
        <v>NO</v>
      </c>
      <c r="AO290" t="str">
        <f>IF(ISNUMBER(SEARCH("R", 'WetLitterbags placem_collection'!$W71)),"YES","NO")</f>
        <v>NO</v>
      </c>
    </row>
    <row r="291" spans="1:41" ht="15" customHeight="1">
      <c r="A291" s="255" t="s">
        <v>2454</v>
      </c>
      <c r="B291" s="260">
        <f>'Dry_Litterbag Placem_Collection'!A72</f>
        <v>70</v>
      </c>
      <c r="C291" s="260" t="str">
        <f>'Dry_Litterbag Placem_Collection'!B72</f>
        <v>Maswa</v>
      </c>
      <c r="D291" s="260" t="s">
        <v>2643</v>
      </c>
      <c r="E291" s="260" t="s">
        <v>2645</v>
      </c>
      <c r="F291" s="260">
        <v>1</v>
      </c>
      <c r="G291" s="260" t="s">
        <v>3810</v>
      </c>
      <c r="H291" s="261" t="str">
        <f>'Dry_Litterbag Placem_Collection'!C72</f>
        <v>Dry_W1_T6</v>
      </c>
      <c r="I291" s="262" t="s">
        <v>2525</v>
      </c>
      <c r="J291" s="269" t="s">
        <v>298</v>
      </c>
      <c r="K291" s="221" t="str">
        <f>'WetLitterbags placem_collection'!M72</f>
        <v>R151</v>
      </c>
      <c r="L291" s="223">
        <f>IFERROR(INDEX('Green_rooibos initial weight'!$C$5:$C$2000,MATCH(K291, 'Green_rooibos initial weight'!$A$5:$A$2000,0)),"")</f>
        <v>2.1920000000000002</v>
      </c>
      <c r="M291" s="223">
        <f>IFERROR(L291-(TBIcalc!$H$9+TBIcalc!$H$10),"")</f>
        <v>1.9422000000000001</v>
      </c>
      <c r="N291" s="385">
        <f>AVERAGE(Ashed_controlls!$K$2:$K$11)</f>
        <v>5.5147656768714146</v>
      </c>
      <c r="O291" s="223">
        <f t="shared" si="21"/>
        <v>1.8350922210238034</v>
      </c>
      <c r="P291" s="223">
        <f>IFERROR(INDEX('Both teabags AfterWet'!$C$3:$C$840,MATCH(K291,'Both teabags AfterWet'!$A$3:$A$840,0)),"")</f>
        <v>1.536</v>
      </c>
      <c r="Q291" s="223">
        <f>IFERROR(IF(P291&gt;0,P291-(TBIcalc!$H$9),""),"")</f>
        <v>1.3854</v>
      </c>
      <c r="R291" s="223">
        <f>IFERROR(INDEX('Ashed teabags wet'!$K$2:$K$2000,MATCH(K291,'Ashed teabags wet'!$A$2:$A$2000,0)),"")</f>
        <v>89.048562933597623</v>
      </c>
      <c r="S291" s="223">
        <f t="shared" si="22"/>
        <v>0.15172120911793852</v>
      </c>
      <c r="T291" s="224">
        <f>'WetLitterbags placem_collection'!E72</f>
        <v>42767</v>
      </c>
      <c r="U291" s="224">
        <f>IF('WetLitterbags placem_collection'!G72="","",'WetLitterbags placem_collection'!G72)</f>
        <v>42818</v>
      </c>
      <c r="V291" s="225">
        <f t="shared" si="20"/>
        <v>51</v>
      </c>
      <c r="W291" s="223">
        <f t="shared" si="23"/>
        <v>0.55680000000000018</v>
      </c>
      <c r="X291" s="223">
        <f t="shared" si="24"/>
        <v>1.6833710119058649</v>
      </c>
      <c r="Y291">
        <f>IFERROR(INDEX(Rainfall_Wet!$O$2:$O$217,MATCH(B291, Rainfall_Wet!$A$2:$A$217,0)),"")</f>
        <v>185.630065823</v>
      </c>
      <c r="Z291" s="228">
        <v>47.96</v>
      </c>
      <c r="AA291" s="228">
        <v>22.919999999999995</v>
      </c>
      <c r="AB291" s="228">
        <v>29.120000000000012</v>
      </c>
      <c r="AC291" s="229" t="s">
        <v>2657</v>
      </c>
      <c r="AD291" s="228">
        <v>7.8831936914736298</v>
      </c>
      <c r="AE291">
        <f>IF('WetLitterbags placem_collection'!AB72="","",'WetLitterbags placem_collection'!AB72)</f>
        <v>15</v>
      </c>
      <c r="AF291">
        <f>IF('WetLitterbags placem_collection'!Z72="","",'WetLitterbags placem_collection'!Z72)</f>
        <v>28</v>
      </c>
      <c r="AG291" s="243" t="str">
        <f>IF('WetLitterbags placem_collection'!AA72="","",'WetLitterbags placem_collection'!AA72)</f>
        <v>O</v>
      </c>
      <c r="AH291">
        <f>IF('WetLitterbags placem_collection'!AC72="","",'WetLitterbags placem_collection'!AC72)</f>
        <v>0</v>
      </c>
      <c r="AI291" s="237">
        <f>AVERAGE('WetLitterbags placem_collection'!S72,'WetLitterbags placem_collection'!U72)</f>
        <v>32.15</v>
      </c>
      <c r="AJ291">
        <f>AVERAGE('WetLitterbags placem_collection'!R72,'WetLitterbags placem_collection'!T72)</f>
        <v>23.7</v>
      </c>
      <c r="AK291">
        <f>INDEX(Coordinates!$B$2:$B$197,MATCH(H291,Coordinates!$J$2:$J$197,0))</f>
        <v>-3.299381034</v>
      </c>
      <c r="AL291">
        <f>INDEX(Coordinates!$C$2:$C$197,MATCH(H291,Coordinates!$J$2:$J$197,0))</f>
        <v>34.848312040000003</v>
      </c>
      <c r="AM291" t="str">
        <f>IF(ISNUMBER(SEARCH("C", 'WetLitterbags placem_collection'!$W72)),"YES","NO")</f>
        <v>YES</v>
      </c>
      <c r="AN291" t="str">
        <f>IF(ISNUMBER(SEARCH("H", 'WetLitterbags placem_collection'!$W72)),"YES","NO")</f>
        <v>YES</v>
      </c>
      <c r="AO291" t="str">
        <f>IF(ISNUMBER(SEARCH("R", 'WetLitterbags placem_collection'!$W72)),"YES","NO")</f>
        <v>YES</v>
      </c>
    </row>
    <row r="292" spans="1:41" ht="15" customHeight="1">
      <c r="A292" s="255" t="s">
        <v>2454</v>
      </c>
      <c r="B292" s="260">
        <f>'Dry_Litterbag Placem_Collection'!A73</f>
        <v>71</v>
      </c>
      <c r="C292" s="260" t="str">
        <f>'Dry_Litterbag Placem_Collection'!B73</f>
        <v>Maswa</v>
      </c>
      <c r="D292" s="260" t="s">
        <v>2643</v>
      </c>
      <c r="E292" s="260" t="s">
        <v>2645</v>
      </c>
      <c r="F292" s="260">
        <v>1</v>
      </c>
      <c r="G292" s="260" t="s">
        <v>3810</v>
      </c>
      <c r="H292" s="261" t="str">
        <f>'Dry_Litterbag Placem_Collection'!C73</f>
        <v>Dry_W1_T7</v>
      </c>
      <c r="I292" s="262" t="s">
        <v>2525</v>
      </c>
      <c r="J292" s="269" t="s">
        <v>298</v>
      </c>
      <c r="K292" s="221" t="str">
        <f>'WetLitterbags placem_collection'!M73</f>
        <v>R95</v>
      </c>
      <c r="L292" s="223">
        <f>IFERROR(INDEX('Green_rooibos initial weight'!$C$5:$C$2000,MATCH(K292, 'Green_rooibos initial weight'!$A$5:$A$2000,0)),"")</f>
        <v>2.2160000000000002</v>
      </c>
      <c r="M292" s="223">
        <f>IFERROR(L292-(TBIcalc!$H$9+TBIcalc!$H$10),"")</f>
        <v>1.9662000000000002</v>
      </c>
      <c r="N292" s="385">
        <f>AVERAGE(Ashed_controlls!$K$2:$K$11)</f>
        <v>5.5147656768714146</v>
      </c>
      <c r="O292" s="223">
        <f t="shared" si="21"/>
        <v>1.8577686772613544</v>
      </c>
      <c r="P292" s="223" t="str">
        <f>IFERROR(INDEX('Both teabags AfterWet'!$C$3:$C$840,MATCH(K292,'Both teabags AfterWet'!$A$3:$A$840,0)),"")</f>
        <v/>
      </c>
      <c r="Q292" s="223" t="str">
        <f>IFERROR(IF(P292&gt;0,P292-(TBIcalc!$H$9),""),"")</f>
        <v/>
      </c>
      <c r="R292" s="223">
        <f>IFERROR(INDEX('Ashed teabags wet'!$K$2:$K$2000,MATCH(K292,'Ashed teabags wet'!$A$2:$A$2000,0)),"")</f>
        <v>3.275434243175928</v>
      </c>
      <c r="S292" s="223" t="str">
        <f t="shared" si="22"/>
        <v/>
      </c>
      <c r="T292" s="224">
        <f>'WetLitterbags placem_collection'!E73</f>
        <v>42767</v>
      </c>
      <c r="U292" s="224">
        <f>IF('WetLitterbags placem_collection'!G73="","",'WetLitterbags placem_collection'!G73)</f>
        <v>42818</v>
      </c>
      <c r="V292" s="225">
        <f t="shared" si="20"/>
        <v>51</v>
      </c>
      <c r="W292" s="223" t="str">
        <f t="shared" si="23"/>
        <v/>
      </c>
      <c r="X292" s="223" t="str">
        <f t="shared" si="24"/>
        <v/>
      </c>
      <c r="Y292">
        <f>IFERROR(INDEX(Rainfall_Wet!$O$2:$O$217,MATCH(B292, Rainfall_Wet!$A$2:$A$217,0)),"")</f>
        <v>185.630065823</v>
      </c>
      <c r="Z292" s="228">
        <v>47.96</v>
      </c>
      <c r="AA292" s="228">
        <v>22.919999999999995</v>
      </c>
      <c r="AB292" s="228">
        <v>29.120000000000012</v>
      </c>
      <c r="AC292" s="229" t="s">
        <v>2657</v>
      </c>
      <c r="AD292" s="228">
        <v>8.8831936914736307</v>
      </c>
      <c r="AE292">
        <f>IF('WetLitterbags placem_collection'!AB73="","",'WetLitterbags placem_collection'!AB73)</f>
        <v>15.5</v>
      </c>
      <c r="AF292">
        <f>IF('WetLitterbags placem_collection'!Z73="","",'WetLitterbags placem_collection'!Z73)</f>
        <v>32</v>
      </c>
      <c r="AG292" s="243" t="str">
        <f>IF('WetLitterbags placem_collection'!AA73="","",'WetLitterbags placem_collection'!AA73)</f>
        <v>O</v>
      </c>
      <c r="AH292">
        <f>IF('WetLitterbags placem_collection'!AC73="","",'WetLitterbags placem_collection'!AC73)</f>
        <v>1</v>
      </c>
      <c r="AI292" s="237">
        <f>AVERAGE('WetLitterbags placem_collection'!S73,'WetLitterbags placem_collection'!U73)</f>
        <v>29.35</v>
      </c>
      <c r="AJ292">
        <f>AVERAGE('WetLitterbags placem_collection'!R73,'WetLitterbags placem_collection'!T73)</f>
        <v>21.95</v>
      </c>
      <c r="AK292">
        <f>INDEX(Coordinates!$B$2:$B$197,MATCH(H292,Coordinates!$J$2:$J$197,0))</f>
        <v>-3.2992429849999998</v>
      </c>
      <c r="AL292">
        <f>INDEX(Coordinates!$C$2:$C$197,MATCH(H292,Coordinates!$J$2:$J$197,0))</f>
        <v>34.847900989999999</v>
      </c>
      <c r="AM292" t="str">
        <f>IF(ISNUMBER(SEARCH("C", 'WetLitterbags placem_collection'!$W73)),"YES","NO")</f>
        <v>NO</v>
      </c>
      <c r="AN292" t="str">
        <f>IF(ISNUMBER(SEARCH("H", 'WetLitterbags placem_collection'!$W73)),"YES","NO")</f>
        <v>NO</v>
      </c>
      <c r="AO292" t="str">
        <f>IF(ISNUMBER(SEARCH("R", 'WetLitterbags placem_collection'!$W73)),"YES","NO")</f>
        <v>YES</v>
      </c>
    </row>
    <row r="293" spans="1:41" ht="15" customHeight="1">
      <c r="A293" s="255" t="s">
        <v>2454</v>
      </c>
      <c r="B293" s="260">
        <f>'Dry_Litterbag Placem_Collection'!A74</f>
        <v>72</v>
      </c>
      <c r="C293" s="260" t="str">
        <f>'Dry_Litterbag Placem_Collection'!B74</f>
        <v>Maswa</v>
      </c>
      <c r="D293" s="260" t="s">
        <v>2643</v>
      </c>
      <c r="E293" s="260" t="s">
        <v>2645</v>
      </c>
      <c r="F293" s="260">
        <v>1</v>
      </c>
      <c r="G293" s="260" t="s">
        <v>3810</v>
      </c>
      <c r="H293" s="261" t="str">
        <f>'Dry_Litterbag Placem_Collection'!C74</f>
        <v>Dry_W1_T8</v>
      </c>
      <c r="I293" s="262" t="s">
        <v>2525</v>
      </c>
      <c r="J293" s="269" t="s">
        <v>298</v>
      </c>
      <c r="K293" s="221" t="str">
        <f>'WetLitterbags placem_collection'!M74</f>
        <v>R546</v>
      </c>
      <c r="L293" s="223">
        <f>IFERROR(INDEX('Green_rooibos initial weight'!$C$5:$C$2000,MATCH(K293, 'Green_rooibos initial weight'!$A$5:$A$2000,0)),"")</f>
        <v>2.2250000000000001</v>
      </c>
      <c r="M293" s="223">
        <f>IFERROR(L293-(TBIcalc!$H$9+TBIcalc!$H$10),"")</f>
        <v>1.9752000000000001</v>
      </c>
      <c r="N293" s="385">
        <f>AVERAGE(Ashed_controlls!$K$2:$K$11)</f>
        <v>5.5147656768714146</v>
      </c>
      <c r="O293" s="223">
        <f t="shared" si="21"/>
        <v>1.866272348350436</v>
      </c>
      <c r="P293" s="223">
        <f>IFERROR(INDEX('Both teabags AfterWet'!$C$3:$C$840,MATCH(K293,'Both teabags AfterWet'!$A$3:$A$840,0)),"")</f>
        <v>1.5403</v>
      </c>
      <c r="Q293" s="223">
        <f>IFERROR(IF(P293&gt;0,P293-(TBIcalc!$H$9),""),"")</f>
        <v>1.3896999999999999</v>
      </c>
      <c r="R293" s="223">
        <f>IFERROR(INDEX('Ashed teabags wet'!$K$2:$K$2000,MATCH(K293,'Ashed teabags wet'!$A$2:$A$2000,0)),"")</f>
        <v>5.6566650270533065</v>
      </c>
      <c r="S293" s="223">
        <f t="shared" si="22"/>
        <v>1.3110893261190402</v>
      </c>
      <c r="T293" s="224">
        <f>'WetLitterbags placem_collection'!E74</f>
        <v>42767</v>
      </c>
      <c r="U293" s="224">
        <f>IF('WetLitterbags placem_collection'!G74="","",'WetLitterbags placem_collection'!G74)</f>
        <v>42818</v>
      </c>
      <c r="V293" s="225">
        <f t="shared" si="20"/>
        <v>51</v>
      </c>
      <c r="W293" s="223">
        <f t="shared" si="23"/>
        <v>0.58550000000000013</v>
      </c>
      <c r="X293" s="223">
        <f t="shared" si="24"/>
        <v>0.55518302223139582</v>
      </c>
      <c r="Y293">
        <f>IFERROR(INDEX(Rainfall_Wet!$O$2:$O$217,MATCH(B293, Rainfall_Wet!$A$2:$A$217,0)),"")</f>
        <v>185.630065823</v>
      </c>
      <c r="Z293" s="228">
        <v>47.96</v>
      </c>
      <c r="AA293" s="228">
        <v>22.919999999999995</v>
      </c>
      <c r="AB293" s="228">
        <v>29.120000000000012</v>
      </c>
      <c r="AC293" s="229" t="s">
        <v>2657</v>
      </c>
      <c r="AD293" s="228">
        <v>9.8831936914736307</v>
      </c>
      <c r="AE293">
        <f>IF('WetLitterbags placem_collection'!AB74="","",'WetLitterbags placem_collection'!AB74)</f>
        <v>2.6</v>
      </c>
      <c r="AF293">
        <f>IF('WetLitterbags placem_collection'!Z74="","",'WetLitterbags placem_collection'!Z74)</f>
        <v>44</v>
      </c>
      <c r="AG293" s="243" t="str">
        <f>IF('WetLitterbags placem_collection'!AA74="","",'WetLitterbags placem_collection'!AA74)</f>
        <v>O</v>
      </c>
      <c r="AH293">
        <f>IF('WetLitterbags placem_collection'!AC74="","",'WetLitterbags placem_collection'!AC74)</f>
        <v>1</v>
      </c>
      <c r="AI293" s="237">
        <f>AVERAGE('WetLitterbags placem_collection'!S74,'WetLitterbags placem_collection'!U74)</f>
        <v>32</v>
      </c>
      <c r="AJ293">
        <f>AVERAGE('WetLitterbags placem_collection'!R74,'WetLitterbags placem_collection'!T74)</f>
        <v>21.9</v>
      </c>
      <c r="AK293">
        <f>INDEX(Coordinates!$B$2:$B$197,MATCH(H293,Coordinates!$J$2:$J$197,0))</f>
        <v>-3.2996540329999999</v>
      </c>
      <c r="AL293">
        <f>INDEX(Coordinates!$C$2:$C$197,MATCH(H293,Coordinates!$J$2:$J$197,0))</f>
        <v>34.848151020000003</v>
      </c>
      <c r="AM293" t="str">
        <f>IF(ISNUMBER(SEARCH("C", 'WetLitterbags placem_collection'!$W74)),"YES","NO")</f>
        <v>NO</v>
      </c>
      <c r="AN293" t="str">
        <f>IF(ISNUMBER(SEARCH("H", 'WetLitterbags placem_collection'!$W74)),"YES","NO")</f>
        <v>NO</v>
      </c>
      <c r="AO293" t="str">
        <f>IF(ISNUMBER(SEARCH("R", 'WetLitterbags placem_collection'!$W74)),"YES","NO")</f>
        <v>NO</v>
      </c>
    </row>
    <row r="294" spans="1:41" ht="15" customHeight="1">
      <c r="A294" s="255" t="s">
        <v>2454</v>
      </c>
      <c r="B294" s="260">
        <f>'Dry_Litterbag Placem_Collection'!A75</f>
        <v>73</v>
      </c>
      <c r="C294" s="260" t="str">
        <f>'Dry_Litterbag Placem_Collection'!B75</f>
        <v>Maswa</v>
      </c>
      <c r="D294" s="260" t="s">
        <v>2643</v>
      </c>
      <c r="E294" s="260" t="s">
        <v>2645</v>
      </c>
      <c r="F294" s="260">
        <v>2</v>
      </c>
      <c r="G294" s="260" t="s">
        <v>3812</v>
      </c>
      <c r="H294" s="261" t="str">
        <f>'Dry_Litterbag Placem_Collection'!C75</f>
        <v>Dry_W2_T1</v>
      </c>
      <c r="I294" s="262" t="s">
        <v>2525</v>
      </c>
      <c r="J294" s="269" t="s">
        <v>298</v>
      </c>
      <c r="K294" s="221" t="str">
        <f>'WetLitterbags placem_collection'!M75</f>
        <v>R438</v>
      </c>
      <c r="L294" s="223">
        <f>IFERROR(INDEX('Green_rooibos initial weight'!$C$5:$C$2000,MATCH(K294, 'Green_rooibos initial weight'!$A$5:$A$2000,0)),"")</f>
        <v>2.1829999999999998</v>
      </c>
      <c r="M294" s="223">
        <f>IFERROR(L294-(TBIcalc!$H$9+TBIcalc!$H$10),"")</f>
        <v>1.9331999999999998</v>
      </c>
      <c r="N294" s="385">
        <f>AVERAGE(Ashed_controlls!$K$2:$K$11)</f>
        <v>5.5147656768714146</v>
      </c>
      <c r="O294" s="223">
        <f t="shared" si="21"/>
        <v>1.8265885499347216</v>
      </c>
      <c r="P294" s="223">
        <f>IFERROR(INDEX('Both teabags AfterWet'!$C$3:$C$840,MATCH(K294,'Both teabags AfterWet'!$A$3:$A$840,0)),"")</f>
        <v>0.17480000000000001</v>
      </c>
      <c r="Q294" s="223">
        <f>IFERROR(IF(P294&gt;0,P294-(TBIcalc!$H$9),""),"")</f>
        <v>2.4199999999999999E-2</v>
      </c>
      <c r="R294" s="223">
        <f>IFERROR(INDEX('Ashed teabags wet'!$K$2:$K$2000,MATCH(K294,'Ashed teabags wet'!$A$2:$A$2000,0)),"")</f>
        <v>0</v>
      </c>
      <c r="S294" s="223">
        <f t="shared" si="22"/>
        <v>2.4199999999999999E-2</v>
      </c>
      <c r="T294" s="224">
        <f>'WetLitterbags placem_collection'!E75</f>
        <v>42767</v>
      </c>
      <c r="U294" s="224">
        <f>IF('WetLitterbags placem_collection'!G75="","",'WetLitterbags placem_collection'!G75)</f>
        <v>42818</v>
      </c>
      <c r="V294" s="225">
        <f t="shared" si="20"/>
        <v>51</v>
      </c>
      <c r="W294" s="223">
        <f t="shared" si="23"/>
        <v>1.9089999999999998</v>
      </c>
      <c r="X294" s="223">
        <f t="shared" si="24"/>
        <v>1.8023885499347216</v>
      </c>
      <c r="Y294">
        <f>IFERROR(INDEX(Rainfall_Wet!$O$2:$O$217,MATCH(B294, Rainfall_Wet!$A$2:$A$217,0)),"")</f>
        <v>185.630065823</v>
      </c>
      <c r="Z294" s="228">
        <v>45.272914521112256</v>
      </c>
      <c r="AA294" s="228">
        <v>23.604531410916575</v>
      </c>
      <c r="AB294" s="228">
        <v>31.122554067971166</v>
      </c>
      <c r="AC294" s="229" t="s">
        <v>2657</v>
      </c>
      <c r="AD294" s="228">
        <v>2.0547560374568752</v>
      </c>
      <c r="AE294">
        <f>IF('WetLitterbags placem_collection'!AB75="","",'WetLitterbags placem_collection'!AB75)</f>
        <v>9.1</v>
      </c>
      <c r="AF294">
        <f>IF('WetLitterbags placem_collection'!Z75="","",'WetLitterbags placem_collection'!Z75)</f>
        <v>10</v>
      </c>
      <c r="AG294" s="243" t="str">
        <f>IF('WetLitterbags placem_collection'!AA75="","",'WetLitterbags placem_collection'!AA75)</f>
        <v>M</v>
      </c>
      <c r="AH294">
        <f>IF('WetLitterbags placem_collection'!AC75="","",'WetLitterbags placem_collection'!AC75)</f>
        <v>1</v>
      </c>
      <c r="AI294" s="237">
        <f>AVERAGE('WetLitterbags placem_collection'!S75,'WetLitterbags placem_collection'!U75)</f>
        <v>27.85</v>
      </c>
      <c r="AJ294">
        <f>AVERAGE('WetLitterbags placem_collection'!R75,'WetLitterbags placem_collection'!T75)</f>
        <v>26.15</v>
      </c>
      <c r="AK294">
        <f>INDEX(Coordinates!$B$2:$B$197,MATCH(H294,Coordinates!$J$2:$J$197,0))</f>
        <v>-3.3025860229999999</v>
      </c>
      <c r="AL294">
        <f>INDEX(Coordinates!$C$2:$C$197,MATCH(H294,Coordinates!$J$2:$J$197,0))</f>
        <v>34.848048009999999</v>
      </c>
      <c r="AM294" t="str">
        <f>IF(ISNUMBER(SEARCH("C", 'WetLitterbags placem_collection'!$W75)),"YES","NO")</f>
        <v>NO</v>
      </c>
      <c r="AN294" t="str">
        <f>IF(ISNUMBER(SEARCH("H", 'WetLitterbags placem_collection'!$W75)),"YES","NO")</f>
        <v>YES</v>
      </c>
      <c r="AO294" t="str">
        <f>IF(ISNUMBER(SEARCH("R", 'WetLitterbags placem_collection'!$W75)),"YES","NO")</f>
        <v>YES</v>
      </c>
    </row>
    <row r="295" spans="1:41" ht="15" customHeight="1">
      <c r="A295" s="255" t="s">
        <v>2454</v>
      </c>
      <c r="B295" s="260">
        <f>'Dry_Litterbag Placem_Collection'!A76</f>
        <v>74</v>
      </c>
      <c r="C295" s="260" t="str">
        <f>'Dry_Litterbag Placem_Collection'!B76</f>
        <v>Maswa</v>
      </c>
      <c r="D295" s="260" t="s">
        <v>2643</v>
      </c>
      <c r="E295" s="260" t="s">
        <v>2645</v>
      </c>
      <c r="F295" s="260">
        <v>2</v>
      </c>
      <c r="G295" s="260" t="s">
        <v>3812</v>
      </c>
      <c r="H295" s="261" t="str">
        <f>'Dry_Litterbag Placem_Collection'!C76</f>
        <v>Dry_W2_T2</v>
      </c>
      <c r="I295" s="262" t="s">
        <v>2525</v>
      </c>
      <c r="J295" s="269" t="s">
        <v>298</v>
      </c>
      <c r="K295" s="221" t="str">
        <f>'WetLitterbags placem_collection'!M76</f>
        <v>R122</v>
      </c>
      <c r="L295" s="223">
        <f>IFERROR(INDEX('Green_rooibos initial weight'!$C$5:$C$2000,MATCH(K295, 'Green_rooibos initial weight'!$A$5:$A$2000,0)),"")</f>
        <v>2.2189999999999999</v>
      </c>
      <c r="M295" s="223">
        <f>IFERROR(L295-(TBIcalc!$H$9+TBIcalc!$H$10),"")</f>
        <v>1.9691999999999998</v>
      </c>
      <c r="N295" s="385">
        <f>AVERAGE(Ashed_controlls!$K$2:$K$11)</f>
        <v>5.5147656768714146</v>
      </c>
      <c r="O295" s="223">
        <f t="shared" si="21"/>
        <v>1.8606032342910479</v>
      </c>
      <c r="P295" s="223">
        <f>IFERROR(INDEX('Both teabags AfterWet'!$C$3:$C$840,MATCH(K295,'Both teabags AfterWet'!$A$3:$A$840,0)),"")</f>
        <v>0.35499999999999998</v>
      </c>
      <c r="Q295" s="223">
        <f>IFERROR(IF(P295&gt;0,P295-(TBIcalc!$H$9),""),"")</f>
        <v>0.20439999999999997</v>
      </c>
      <c r="R295" s="223">
        <f>IFERROR(INDEX('Ashed teabags wet'!$K$2:$K$2000,MATCH(K295,'Ashed teabags wet'!$A$2:$A$2000,0)),"")</f>
        <v>0</v>
      </c>
      <c r="S295" s="223">
        <f t="shared" si="22"/>
        <v>0.20439999999999997</v>
      </c>
      <c r="T295" s="224">
        <f>'WetLitterbags placem_collection'!E76</f>
        <v>42767</v>
      </c>
      <c r="U295" s="224">
        <f>IF('WetLitterbags placem_collection'!G76="","",'WetLitterbags placem_collection'!G76)</f>
        <v>42818</v>
      </c>
      <c r="V295" s="225">
        <f t="shared" si="20"/>
        <v>51</v>
      </c>
      <c r="W295" s="223">
        <f t="shared" si="23"/>
        <v>1.7647999999999999</v>
      </c>
      <c r="X295" s="223">
        <f t="shared" si="24"/>
        <v>1.656203234291048</v>
      </c>
      <c r="Y295">
        <f>IFERROR(INDEX(Rainfall_Wet!$O$2:$O$217,MATCH(B295, Rainfall_Wet!$A$2:$A$217,0)),"")</f>
        <v>185.630065823</v>
      </c>
      <c r="Z295" s="228">
        <v>45.272914521112256</v>
      </c>
      <c r="AA295" s="228">
        <v>23.604531410916575</v>
      </c>
      <c r="AB295" s="228">
        <v>31.122554067971166</v>
      </c>
      <c r="AC295" s="229" t="s">
        <v>2657</v>
      </c>
      <c r="AD295" s="228">
        <v>3.0547560374568801</v>
      </c>
      <c r="AE295">
        <f>IF('WetLitterbags placem_collection'!AB76="","",'WetLitterbags placem_collection'!AB76)</f>
        <v>7.7</v>
      </c>
      <c r="AF295">
        <f>IF('WetLitterbags placem_collection'!Z76="","",'WetLitterbags placem_collection'!Z76)</f>
        <v>9.4</v>
      </c>
      <c r="AG295" s="243" t="str">
        <f>IF('WetLitterbags placem_collection'!AA76="","",'WetLitterbags placem_collection'!AA76)</f>
        <v>M</v>
      </c>
      <c r="AH295">
        <f>IF('WetLitterbags placem_collection'!AC76="","",'WetLitterbags placem_collection'!AC76)</f>
        <v>1</v>
      </c>
      <c r="AI295" s="237">
        <f>AVERAGE('WetLitterbags placem_collection'!S76,'WetLitterbags placem_collection'!U76)</f>
        <v>24.65</v>
      </c>
      <c r="AJ295">
        <f>AVERAGE('WetLitterbags placem_collection'!R76,'WetLitterbags placem_collection'!T76)</f>
        <v>24.35</v>
      </c>
      <c r="AK295">
        <f>INDEX(Coordinates!$B$2:$B$197,MATCH(H295,Coordinates!$J$2:$J$197,0))</f>
        <v>-3.3025779759999998</v>
      </c>
      <c r="AL295">
        <f>INDEX(Coordinates!$C$2:$C$197,MATCH(H295,Coordinates!$J$2:$J$197,0))</f>
        <v>34.848041969999997</v>
      </c>
      <c r="AM295" t="str">
        <f>IF(ISNUMBER(SEARCH("C", 'WetLitterbags placem_collection'!$W76)),"YES","NO")</f>
        <v>YES</v>
      </c>
      <c r="AN295" t="str">
        <f>IF(ISNUMBER(SEARCH("H", 'WetLitterbags placem_collection'!$W76)),"YES","NO")</f>
        <v>YES</v>
      </c>
      <c r="AO295" t="str">
        <f>IF(ISNUMBER(SEARCH("R", 'WetLitterbags placem_collection'!$W76)),"YES","NO")</f>
        <v>NO</v>
      </c>
    </row>
    <row r="296" spans="1:41" ht="15" customHeight="1">
      <c r="A296" s="255" t="s">
        <v>2454</v>
      </c>
      <c r="B296" s="260">
        <f>'Dry_Litterbag Placem_Collection'!A77</f>
        <v>75</v>
      </c>
      <c r="C296" s="260" t="str">
        <f>'Dry_Litterbag Placem_Collection'!B77</f>
        <v>Maswa</v>
      </c>
      <c r="D296" s="260" t="s">
        <v>2643</v>
      </c>
      <c r="E296" s="260" t="s">
        <v>2645</v>
      </c>
      <c r="F296" s="260">
        <v>2</v>
      </c>
      <c r="G296" s="260" t="s">
        <v>3812</v>
      </c>
      <c r="H296" s="261" t="str">
        <f>'Dry_Litterbag Placem_Collection'!C77</f>
        <v>Dry_W2_T3</v>
      </c>
      <c r="I296" s="262" t="s">
        <v>2525</v>
      </c>
      <c r="J296" s="269" t="s">
        <v>298</v>
      </c>
      <c r="K296" s="221" t="str">
        <f>'WetLitterbags placem_collection'!M77</f>
        <v>R404</v>
      </c>
      <c r="L296" s="223">
        <f>IFERROR(INDEX('Green_rooibos initial weight'!$C$5:$C$2000,MATCH(K296, 'Green_rooibos initial weight'!$A$5:$A$2000,0)),"")</f>
        <v>2.1779999999999999</v>
      </c>
      <c r="M296" s="223">
        <f>IFERROR(L296-(TBIcalc!$H$9+TBIcalc!$H$10),"")</f>
        <v>1.9281999999999999</v>
      </c>
      <c r="N296" s="385">
        <f>AVERAGE(Ashed_controlls!$K$2:$K$11)</f>
        <v>5.5147656768714146</v>
      </c>
      <c r="O296" s="223">
        <f t="shared" si="21"/>
        <v>1.8218642882185654</v>
      </c>
      <c r="P296" s="223">
        <f>IFERROR(INDEX('Both teabags AfterWet'!$C$3:$C$840,MATCH(K296,'Both teabags AfterWet'!$A$3:$A$840,0)),"")</f>
        <v>0.15579999999999999</v>
      </c>
      <c r="Q296" s="223">
        <f>IFERROR(IF(P296&gt;0,P296-(TBIcalc!$H$9),""),"")</f>
        <v>5.1999999999999824E-3</v>
      </c>
      <c r="R296" s="223">
        <f>IFERROR(INDEX('Ashed teabags wet'!$K$2:$K$2000,MATCH(K296,'Ashed teabags wet'!$A$2:$A$2000,0)),"")</f>
        <v>0</v>
      </c>
      <c r="S296" s="223">
        <f t="shared" si="22"/>
        <v>5.1999999999999824E-3</v>
      </c>
      <c r="T296" s="224">
        <f>'WetLitterbags placem_collection'!E77</f>
        <v>42767</v>
      </c>
      <c r="U296" s="224">
        <f>IF('WetLitterbags placem_collection'!G77="","",'WetLitterbags placem_collection'!G77)</f>
        <v>42818</v>
      </c>
      <c r="V296" s="225">
        <f t="shared" si="20"/>
        <v>51</v>
      </c>
      <c r="W296" s="223">
        <f t="shared" si="23"/>
        <v>1.923</v>
      </c>
      <c r="X296" s="223">
        <f t="shared" si="24"/>
        <v>1.8166642882185653</v>
      </c>
      <c r="Y296">
        <f>IFERROR(INDEX(Rainfall_Wet!$O$2:$O$217,MATCH(B296, Rainfall_Wet!$A$2:$A$217,0)),"")</f>
        <v>185.630065823</v>
      </c>
      <c r="Z296" s="228">
        <v>45.272914521112256</v>
      </c>
      <c r="AA296" s="228">
        <v>23.604531410916575</v>
      </c>
      <c r="AB296" s="228">
        <v>31.122554067971166</v>
      </c>
      <c r="AC296" s="229" t="s">
        <v>2657</v>
      </c>
      <c r="AD296" s="228">
        <v>4.0547560374568796</v>
      </c>
      <c r="AE296">
        <f>IF('WetLitterbags placem_collection'!AB77="","",'WetLitterbags placem_collection'!AB77)</f>
        <v>6.1</v>
      </c>
      <c r="AF296">
        <f>IF('WetLitterbags placem_collection'!Z77="","",'WetLitterbags placem_collection'!Z77)</f>
        <v>13.8</v>
      </c>
      <c r="AG296" s="243" t="str">
        <f>IF('WetLitterbags placem_collection'!AA77="","",'WetLitterbags placem_collection'!AA77)</f>
        <v>O</v>
      </c>
      <c r="AH296">
        <f>IF('WetLitterbags placem_collection'!AC77="","",'WetLitterbags placem_collection'!AC77)</f>
        <v>0</v>
      </c>
      <c r="AI296" s="237">
        <f>AVERAGE('WetLitterbags placem_collection'!S77,'WetLitterbags placem_collection'!U77)</f>
        <v>27.150000000000002</v>
      </c>
      <c r="AJ296">
        <f>AVERAGE('WetLitterbags placem_collection'!R77,'WetLitterbags placem_collection'!T77)</f>
        <v>25.65</v>
      </c>
      <c r="AK296">
        <f>INDEX(Coordinates!$B$2:$B$197,MATCH(H296,Coordinates!$J$2:$J$197,0))</f>
        <v>-3.302687025</v>
      </c>
      <c r="AL296">
        <f>INDEX(Coordinates!$C$2:$C$197,MATCH(H296,Coordinates!$J$2:$J$197,0))</f>
        <v>34.847926970000003</v>
      </c>
      <c r="AM296" t="str">
        <f>IF(ISNUMBER(SEARCH("C", 'WetLitterbags placem_collection'!$W77)),"YES","NO")</f>
        <v>NO</v>
      </c>
      <c r="AN296" t="str">
        <f>IF(ISNUMBER(SEARCH("H", 'WetLitterbags placem_collection'!$W77)),"YES","NO")</f>
        <v>YES</v>
      </c>
      <c r="AO296" t="str">
        <f>IF(ISNUMBER(SEARCH("R", 'WetLitterbags placem_collection'!$W77)),"YES","NO")</f>
        <v>YES</v>
      </c>
    </row>
    <row r="297" spans="1:41" ht="15" customHeight="1">
      <c r="A297" s="255" t="s">
        <v>2454</v>
      </c>
      <c r="B297" s="260">
        <f>'Dry_Litterbag Placem_Collection'!A78</f>
        <v>76</v>
      </c>
      <c r="C297" s="260" t="str">
        <f>'Dry_Litterbag Placem_Collection'!B78</f>
        <v>Maswa</v>
      </c>
      <c r="D297" s="260" t="s">
        <v>2643</v>
      </c>
      <c r="E297" s="260" t="s">
        <v>2645</v>
      </c>
      <c r="F297" s="260">
        <v>2</v>
      </c>
      <c r="G297" s="260" t="s">
        <v>3812</v>
      </c>
      <c r="H297" s="261" t="str">
        <f>'Dry_Litterbag Placem_Collection'!C78</f>
        <v>Dry_W2_T4</v>
      </c>
      <c r="I297" s="262" t="s">
        <v>2525</v>
      </c>
      <c r="J297" s="269" t="s">
        <v>298</v>
      </c>
      <c r="K297" s="221" t="str">
        <f>'WetLitterbags placem_collection'!M78</f>
        <v>R501</v>
      </c>
      <c r="L297" s="223">
        <f>IFERROR(INDEX('Green_rooibos initial weight'!$C$5:$C$2000,MATCH(K297, 'Green_rooibos initial weight'!$A$5:$A$2000,0)),"")</f>
        <v>2.1379999999999999</v>
      </c>
      <c r="M297" s="223">
        <f>IFERROR(L297-(TBIcalc!$H$9+TBIcalc!$H$10),"")</f>
        <v>1.8881999999999999</v>
      </c>
      <c r="N297" s="385">
        <f>AVERAGE(Ashed_controlls!$K$2:$K$11)</f>
        <v>5.5147656768714146</v>
      </c>
      <c r="O297" s="223">
        <f t="shared" si="21"/>
        <v>1.7840701944893138</v>
      </c>
      <c r="P297" s="223">
        <f>IFERROR(INDEX('Both teabags AfterWet'!$C$3:$C$840,MATCH(K297,'Both teabags AfterWet'!$A$3:$A$840,0)),"")</f>
        <v>0.29499999999999998</v>
      </c>
      <c r="Q297" s="223">
        <f>IFERROR(IF(P297&gt;0,P297-(TBIcalc!$H$9),""),"")</f>
        <v>0.14439999999999997</v>
      </c>
      <c r="R297" s="223">
        <f>IFERROR(INDEX('Ashed teabags wet'!$K$2:$K$2000,MATCH(K297,'Ashed teabags wet'!$A$2:$A$2000,0)),"")</f>
        <v>84.313725490194741</v>
      </c>
      <c r="S297" s="223">
        <f t="shared" si="22"/>
        <v>2.2650980392158779E-2</v>
      </c>
      <c r="T297" s="224">
        <f>'WetLitterbags placem_collection'!E78</f>
        <v>42767</v>
      </c>
      <c r="U297" s="224">
        <f>IF('WetLitterbags placem_collection'!G78="","",'WetLitterbags placem_collection'!G78)</f>
        <v>42818</v>
      </c>
      <c r="V297" s="225">
        <f t="shared" si="20"/>
        <v>51</v>
      </c>
      <c r="W297" s="223">
        <f t="shared" si="23"/>
        <v>1.7437999999999998</v>
      </c>
      <c r="X297" s="223">
        <f t="shared" si="24"/>
        <v>1.761419214097155</v>
      </c>
      <c r="Y297">
        <f>IFERROR(INDEX(Rainfall_Wet!$O$2:$O$217,MATCH(B297, Rainfall_Wet!$A$2:$A$217,0)),"")</f>
        <v>185.630065823</v>
      </c>
      <c r="Z297" s="228">
        <v>45.272914521112256</v>
      </c>
      <c r="AA297" s="228">
        <v>23.604531410916575</v>
      </c>
      <c r="AB297" s="228">
        <v>31.122554067971166</v>
      </c>
      <c r="AC297" s="229" t="s">
        <v>2657</v>
      </c>
      <c r="AD297" s="228">
        <v>5.0547560374568796</v>
      </c>
      <c r="AE297">
        <f>IF('WetLitterbags placem_collection'!AB78="","",'WetLitterbags placem_collection'!AB78)</f>
        <v>6.7</v>
      </c>
      <c r="AF297">
        <f>IF('WetLitterbags placem_collection'!Z78="","",'WetLitterbags placem_collection'!Z78)</f>
        <v>19.3</v>
      </c>
      <c r="AG297" s="243" t="str">
        <f>IF('WetLitterbags placem_collection'!AA78="","",'WetLitterbags placem_collection'!AA78)</f>
        <v>M</v>
      </c>
      <c r="AH297">
        <f>IF('WetLitterbags placem_collection'!AC78="","",'WetLitterbags placem_collection'!AC78)</f>
        <v>1</v>
      </c>
      <c r="AI297" s="237">
        <f>AVERAGE('WetLitterbags placem_collection'!S78,'WetLitterbags placem_collection'!U78)</f>
        <v>26.8</v>
      </c>
      <c r="AJ297">
        <f>AVERAGE('WetLitterbags placem_collection'!R78,'WetLitterbags placem_collection'!T78)</f>
        <v>23.7</v>
      </c>
      <c r="AK297">
        <f>INDEX(Coordinates!$B$2:$B$197,MATCH(H297,Coordinates!$J$2:$J$197,0))</f>
        <v>-3.3024560190000001</v>
      </c>
      <c r="AL297">
        <f>INDEX(Coordinates!$C$2:$C$197,MATCH(H297,Coordinates!$J$2:$J$197,0))</f>
        <v>34.847871990000002</v>
      </c>
      <c r="AM297" t="str">
        <f>IF(ISNUMBER(SEARCH("C", 'WetLitterbags placem_collection'!$W78)),"YES","NO")</f>
        <v>NO</v>
      </c>
      <c r="AN297" t="str">
        <f>IF(ISNUMBER(SEARCH("H", 'WetLitterbags placem_collection'!$W78)),"YES","NO")</f>
        <v>YES</v>
      </c>
      <c r="AO297" t="str">
        <f>IF(ISNUMBER(SEARCH("R", 'WetLitterbags placem_collection'!$W78)),"YES","NO")</f>
        <v>NO</v>
      </c>
    </row>
    <row r="298" spans="1:41" ht="15" customHeight="1">
      <c r="A298" s="255" t="s">
        <v>2454</v>
      </c>
      <c r="B298" s="260">
        <f>'Dry_Litterbag Placem_Collection'!A79</f>
        <v>77</v>
      </c>
      <c r="C298" s="260" t="str">
        <f>'Dry_Litterbag Placem_Collection'!B79</f>
        <v>Maswa</v>
      </c>
      <c r="D298" s="260" t="s">
        <v>2643</v>
      </c>
      <c r="E298" s="260" t="s">
        <v>2645</v>
      </c>
      <c r="F298" s="260">
        <v>2</v>
      </c>
      <c r="G298" s="260" t="s">
        <v>3812</v>
      </c>
      <c r="H298" s="261" t="str">
        <f>'Dry_Litterbag Placem_Collection'!C79</f>
        <v>Dry_W2_T5</v>
      </c>
      <c r="I298" s="262" t="s">
        <v>2525</v>
      </c>
      <c r="J298" s="269" t="s">
        <v>298</v>
      </c>
      <c r="K298" s="221" t="str">
        <f>'WetLitterbags placem_collection'!M79</f>
        <v>R137</v>
      </c>
      <c r="L298" s="223">
        <f>IFERROR(INDEX('Green_rooibos initial weight'!$C$5:$C$2000,MATCH(K298, 'Green_rooibos initial weight'!$A$5:$A$2000,0)),"")</f>
        <v>2.198</v>
      </c>
      <c r="M298" s="223">
        <f>IFERROR(L298-(TBIcalc!$H$9+TBIcalc!$H$10),"")</f>
        <v>1.9481999999999999</v>
      </c>
      <c r="N298" s="385">
        <f>AVERAGE(Ashed_controlls!$K$2:$K$11)</f>
        <v>5.5147656768714146</v>
      </c>
      <c r="O298" s="223">
        <f t="shared" si="21"/>
        <v>1.8407613350831911</v>
      </c>
      <c r="P298" s="223">
        <f>IFERROR(INDEX('Both teabags AfterWet'!$C$3:$C$840,MATCH(K298,'Both teabags AfterWet'!$A$3:$A$840,0)),"")</f>
        <v>1.698</v>
      </c>
      <c r="Q298" s="223">
        <f>IFERROR(IF(P298&gt;0,P298-(TBIcalc!$H$9),""),"")</f>
        <v>1.5473999999999999</v>
      </c>
      <c r="R298" s="223">
        <f>IFERROR(INDEX('Ashed teabags wet'!$K$2:$K$2000,MATCH(K298,'Ashed teabags wet'!$A$2:$A$2000,0)),"")</f>
        <v>11.808300395256206</v>
      </c>
      <c r="S298" s="223">
        <f t="shared" si="22"/>
        <v>1.3646783596838055</v>
      </c>
      <c r="T298" s="224">
        <f>'WetLitterbags placem_collection'!E79</f>
        <v>42767</v>
      </c>
      <c r="U298" s="224">
        <f>IF('WetLitterbags placem_collection'!G79="","",'WetLitterbags placem_collection'!G79)</f>
        <v>42818</v>
      </c>
      <c r="V298" s="225">
        <f t="shared" si="20"/>
        <v>51</v>
      </c>
      <c r="W298" s="223">
        <f t="shared" si="23"/>
        <v>0.40080000000000005</v>
      </c>
      <c r="X298" s="223">
        <f t="shared" si="24"/>
        <v>0.4760829753993856</v>
      </c>
      <c r="Y298">
        <f>IFERROR(INDEX(Rainfall_Wet!$O$2:$O$217,MATCH(B298, Rainfall_Wet!$A$2:$A$217,0)),"")</f>
        <v>185.630065823</v>
      </c>
      <c r="Z298" s="228">
        <v>45.272914521112256</v>
      </c>
      <c r="AA298" s="228">
        <v>23.604531410916575</v>
      </c>
      <c r="AB298" s="228">
        <v>31.122554067971166</v>
      </c>
      <c r="AC298" s="229" t="s">
        <v>2657</v>
      </c>
      <c r="AD298" s="228">
        <v>6.0547560374568796</v>
      </c>
      <c r="AE298">
        <f>IF('WetLitterbags placem_collection'!AB79="","",'WetLitterbags placem_collection'!AB79)</f>
        <v>3.1</v>
      </c>
      <c r="AF298">
        <f>IF('WetLitterbags placem_collection'!Z79="","",'WetLitterbags placem_collection'!Z79)</f>
        <v>9.8000000000000007</v>
      </c>
      <c r="AG298" s="243" t="str">
        <f>IF('WetLitterbags placem_collection'!AA79="","",'WetLitterbags placem_collection'!AA79)</f>
        <v>O</v>
      </c>
      <c r="AH298">
        <f>IF('WetLitterbags placem_collection'!AC79="","",'WetLitterbags placem_collection'!AC79)</f>
        <v>1</v>
      </c>
      <c r="AI298" s="237">
        <f>AVERAGE('WetLitterbags placem_collection'!S79,'WetLitterbags placem_collection'!U79)</f>
        <v>25.950000000000003</v>
      </c>
      <c r="AJ298">
        <f>AVERAGE('WetLitterbags placem_collection'!R79,'WetLitterbags placem_collection'!T79)</f>
        <v>25.950000000000003</v>
      </c>
      <c r="AK298">
        <f>INDEX(Coordinates!$B$2:$B$197,MATCH(H298,Coordinates!$J$2:$J$197,0))</f>
        <v>-3.3023280279999998</v>
      </c>
      <c r="AL298">
        <f>INDEX(Coordinates!$C$2:$C$197,MATCH(H298,Coordinates!$J$2:$J$197,0))</f>
        <v>34.848223019999999</v>
      </c>
      <c r="AM298" t="str">
        <f>IF(ISNUMBER(SEARCH("C", 'WetLitterbags placem_collection'!$W79)),"YES","NO")</f>
        <v>NO</v>
      </c>
      <c r="AN298" t="str">
        <f>IF(ISNUMBER(SEARCH("H", 'WetLitterbags placem_collection'!$W79)),"YES","NO")</f>
        <v>NO</v>
      </c>
      <c r="AO298" t="str">
        <f>IF(ISNUMBER(SEARCH("R", 'WetLitterbags placem_collection'!$W79)),"YES","NO")</f>
        <v>YES</v>
      </c>
    </row>
    <row r="299" spans="1:41" ht="15" customHeight="1">
      <c r="A299" s="255" t="s">
        <v>2454</v>
      </c>
      <c r="B299" s="260">
        <f>'Dry_Litterbag Placem_Collection'!A80</f>
        <v>78</v>
      </c>
      <c r="C299" s="260" t="str">
        <f>'Dry_Litterbag Placem_Collection'!B80</f>
        <v>Maswa</v>
      </c>
      <c r="D299" s="260" t="s">
        <v>2643</v>
      </c>
      <c r="E299" s="260" t="s">
        <v>2645</v>
      </c>
      <c r="F299" s="260">
        <v>2</v>
      </c>
      <c r="G299" s="260" t="s">
        <v>3812</v>
      </c>
      <c r="H299" s="261" t="str">
        <f>'Dry_Litterbag Placem_Collection'!C80</f>
        <v>Dry_W2_T6</v>
      </c>
      <c r="I299" s="262" t="s">
        <v>2525</v>
      </c>
      <c r="J299" s="269" t="s">
        <v>298</v>
      </c>
      <c r="K299" s="221" t="str">
        <f>'WetLitterbags placem_collection'!M80</f>
        <v>R278</v>
      </c>
      <c r="L299" s="223">
        <f>IFERROR(INDEX('Green_rooibos initial weight'!$C$5:$C$2000,MATCH(K299, 'Green_rooibos initial weight'!$A$5:$A$2000,0)),"")</f>
        <v>2.198</v>
      </c>
      <c r="M299" s="223">
        <f>IFERROR(L299-(TBIcalc!$H$9+TBIcalc!$H$10),"")</f>
        <v>1.9481999999999999</v>
      </c>
      <c r="N299" s="385">
        <f>AVERAGE(Ashed_controlls!$K$2:$K$11)</f>
        <v>5.5147656768714146</v>
      </c>
      <c r="O299" s="223">
        <f t="shared" si="21"/>
        <v>1.8407613350831911</v>
      </c>
      <c r="P299" s="223">
        <f>IFERROR(INDEX('Both teabags AfterWet'!$C$3:$C$840,MATCH(K299,'Both teabags AfterWet'!$A$3:$A$840,0)),"")</f>
        <v>1.6845000000000001</v>
      </c>
      <c r="Q299" s="223">
        <f>IFERROR(IF(P299&gt;0,P299-(TBIcalc!$H$9),""),"")</f>
        <v>1.5339</v>
      </c>
      <c r="R299" s="223">
        <f>IFERROR(INDEX('Ashed teabags wet'!$K$2:$K$2000,MATCH(K299,'Ashed teabags wet'!$A$2:$A$2000,0)),"")</f>
        <v>0</v>
      </c>
      <c r="S299" s="223">
        <f t="shared" si="22"/>
        <v>1.5339</v>
      </c>
      <c r="T299" s="224">
        <f>'WetLitterbags placem_collection'!E80</f>
        <v>42767</v>
      </c>
      <c r="U299" s="224">
        <f>IF('WetLitterbags placem_collection'!G80="","",'WetLitterbags placem_collection'!G80)</f>
        <v>42818</v>
      </c>
      <c r="V299" s="225">
        <f t="shared" si="20"/>
        <v>51</v>
      </c>
      <c r="W299" s="223">
        <f t="shared" si="23"/>
        <v>0.41429999999999989</v>
      </c>
      <c r="X299" s="223">
        <f t="shared" si="24"/>
        <v>0.30686133508319102</v>
      </c>
      <c r="Y299">
        <f>IFERROR(INDEX(Rainfall_Wet!$O$2:$O$217,MATCH(B299, Rainfall_Wet!$A$2:$A$217,0)),"")</f>
        <v>185.630065823</v>
      </c>
      <c r="Z299" s="228">
        <v>45.272914521112256</v>
      </c>
      <c r="AA299" s="228">
        <v>23.604531410916575</v>
      </c>
      <c r="AB299" s="228">
        <v>31.122554067971166</v>
      </c>
      <c r="AC299" s="229" t="s">
        <v>2657</v>
      </c>
      <c r="AD299" s="228">
        <v>7.0547560374568796</v>
      </c>
      <c r="AE299">
        <f>IF('WetLitterbags placem_collection'!AB80="","",'WetLitterbags placem_collection'!AB80)</f>
        <v>10.4</v>
      </c>
      <c r="AF299">
        <f>IF('WetLitterbags placem_collection'!Z80="","",'WetLitterbags placem_collection'!Z80)</f>
        <v>15.4</v>
      </c>
      <c r="AG299" s="243" t="str">
        <f>IF('WetLitterbags placem_collection'!AA80="","",'WetLitterbags placem_collection'!AA80)</f>
        <v>M</v>
      </c>
      <c r="AH299">
        <f>IF('WetLitterbags placem_collection'!AC80="","",'WetLitterbags placem_collection'!AC80)</f>
        <v>1</v>
      </c>
      <c r="AI299" s="237">
        <f>AVERAGE('WetLitterbags placem_collection'!S80,'WetLitterbags placem_collection'!U80)</f>
        <v>24.15</v>
      </c>
      <c r="AJ299">
        <f>AVERAGE('WetLitterbags placem_collection'!R80,'WetLitterbags placem_collection'!T80)</f>
        <v>27.75</v>
      </c>
      <c r="AK299">
        <f>INDEX(Coordinates!$B$2:$B$197,MATCH(H299,Coordinates!$J$2:$J$197,0))</f>
        <v>-3.3025680020000001</v>
      </c>
      <c r="AL299">
        <f>INDEX(Coordinates!$C$2:$C$197,MATCH(H299,Coordinates!$J$2:$J$197,0))</f>
        <v>34.848167029999999</v>
      </c>
      <c r="AM299" t="str">
        <f>IF(ISNUMBER(SEARCH("C", 'WetLitterbags placem_collection'!$W80)),"YES","NO")</f>
        <v>NO</v>
      </c>
      <c r="AN299" t="str">
        <f>IF(ISNUMBER(SEARCH("H", 'WetLitterbags placem_collection'!$W80)),"YES","NO")</f>
        <v>NO</v>
      </c>
      <c r="AO299" t="str">
        <f>IF(ISNUMBER(SEARCH("R", 'WetLitterbags placem_collection'!$W80)),"YES","NO")</f>
        <v>YES</v>
      </c>
    </row>
    <row r="300" spans="1:41" ht="15" customHeight="1">
      <c r="A300" s="255" t="s">
        <v>2454</v>
      </c>
      <c r="B300" s="260">
        <f>'Dry_Litterbag Placem_Collection'!A81</f>
        <v>79</v>
      </c>
      <c r="C300" s="260" t="str">
        <f>'Dry_Litterbag Placem_Collection'!B81</f>
        <v>Maswa</v>
      </c>
      <c r="D300" s="260" t="s">
        <v>2643</v>
      </c>
      <c r="E300" s="260" t="s">
        <v>2645</v>
      </c>
      <c r="F300" s="260">
        <v>2</v>
      </c>
      <c r="G300" s="260" t="s">
        <v>3812</v>
      </c>
      <c r="H300" s="261" t="str">
        <f>'Dry_Litterbag Placem_Collection'!C81</f>
        <v>Dry_W2_T7</v>
      </c>
      <c r="I300" s="262" t="s">
        <v>2525</v>
      </c>
      <c r="J300" s="269" t="s">
        <v>298</v>
      </c>
      <c r="K300" s="221" t="str">
        <f>'WetLitterbags placem_collection'!M81</f>
        <v>R235</v>
      </c>
      <c r="L300" s="223">
        <f>IFERROR(INDEX('Green_rooibos initial weight'!$C$5:$C$2000,MATCH(K300, 'Green_rooibos initial weight'!$A$5:$A$2000,0)),"")</f>
        <v>2.169</v>
      </c>
      <c r="M300" s="223">
        <f>IFERROR(L300-(TBIcalc!$H$9+TBIcalc!$H$10),"")</f>
        <v>1.9192</v>
      </c>
      <c r="N300" s="385">
        <f>AVERAGE(Ashed_controlls!$K$2:$K$11)</f>
        <v>5.5147656768714146</v>
      </c>
      <c r="O300" s="223">
        <f t="shared" si="21"/>
        <v>1.8133606171294838</v>
      </c>
      <c r="P300" s="223">
        <f>IFERROR(INDEX('Both teabags AfterWet'!$C$3:$C$840,MATCH(K300,'Both teabags AfterWet'!$A$3:$A$840,0)),"")</f>
        <v>1.5528</v>
      </c>
      <c r="Q300" s="223">
        <f>IFERROR(IF(P300&gt;0,P300-(TBIcalc!$H$9),""),"")</f>
        <v>1.4021999999999999</v>
      </c>
      <c r="R300" s="223">
        <f>IFERROR(INDEX('Ashed teabags wet'!$K$2:$K$2000,MATCH(K300,'Ashed teabags wet'!$A$2:$A$2000,0)),"")</f>
        <v>8.7084148727974071</v>
      </c>
      <c r="S300" s="223">
        <f t="shared" si="22"/>
        <v>1.2800906066536346</v>
      </c>
      <c r="T300" s="224">
        <f>'WetLitterbags placem_collection'!E81</f>
        <v>42767</v>
      </c>
      <c r="U300" s="224">
        <f>IF('WetLitterbags placem_collection'!G81="","",'WetLitterbags placem_collection'!G81)</f>
        <v>42818</v>
      </c>
      <c r="V300" s="225">
        <f t="shared" si="20"/>
        <v>51</v>
      </c>
      <c r="W300" s="223">
        <f t="shared" si="23"/>
        <v>0.51700000000000013</v>
      </c>
      <c r="X300" s="223">
        <f t="shared" si="24"/>
        <v>0.53327001047584921</v>
      </c>
      <c r="Y300">
        <f>IFERROR(INDEX(Rainfall_Wet!$O$2:$O$217,MATCH(B300, Rainfall_Wet!$A$2:$A$217,0)),"")</f>
        <v>185.630065823</v>
      </c>
      <c r="Z300" s="228">
        <v>45.272914521112256</v>
      </c>
      <c r="AA300" s="228">
        <v>23.604531410916575</v>
      </c>
      <c r="AB300" s="228">
        <v>31.122554067971166</v>
      </c>
      <c r="AC300" s="229" t="s">
        <v>2657</v>
      </c>
      <c r="AD300" s="228">
        <v>8.0547560374568796</v>
      </c>
      <c r="AE300">
        <f>IF('WetLitterbags placem_collection'!AB81="","",'WetLitterbags placem_collection'!AB81)</f>
        <v>3</v>
      </c>
      <c r="AF300">
        <f>IF('WetLitterbags placem_collection'!Z81="","",'WetLitterbags placem_collection'!Z81)</f>
        <v>5</v>
      </c>
      <c r="AG300" s="243" t="str">
        <f>IF('WetLitterbags placem_collection'!AA81="","",'WetLitterbags placem_collection'!AA81)</f>
        <v>G</v>
      </c>
      <c r="AH300">
        <f>IF('WetLitterbags placem_collection'!AC81="","",'WetLitterbags placem_collection'!AC81)</f>
        <v>1</v>
      </c>
      <c r="AI300" s="237">
        <f>AVERAGE('WetLitterbags placem_collection'!S81,'WetLitterbags placem_collection'!U81)</f>
        <v>26.9</v>
      </c>
      <c r="AJ300">
        <f>AVERAGE('WetLitterbags placem_collection'!R81,'WetLitterbags placem_collection'!T81)</f>
        <v>26.25</v>
      </c>
      <c r="AK300">
        <f>INDEX(Coordinates!$B$2:$B$197,MATCH(H300,Coordinates!$J$2:$J$197,0))</f>
        <v>-3.3026270100000001</v>
      </c>
      <c r="AL300">
        <f>INDEX(Coordinates!$C$2:$C$197,MATCH(H300,Coordinates!$J$2:$J$197,0))</f>
        <v>34.84840801</v>
      </c>
      <c r="AM300" t="str">
        <f>IF(ISNUMBER(SEARCH("C", 'WetLitterbags placem_collection'!$W81)),"YES","NO")</f>
        <v>NO</v>
      </c>
      <c r="AN300" t="str">
        <f>IF(ISNUMBER(SEARCH("H", 'WetLitterbags placem_collection'!$W81)),"YES","NO")</f>
        <v>NO</v>
      </c>
      <c r="AO300" t="str">
        <f>IF(ISNUMBER(SEARCH("R", 'WetLitterbags placem_collection'!$W81)),"YES","NO")</f>
        <v>YES</v>
      </c>
    </row>
    <row r="301" spans="1:41" ht="15" customHeight="1">
      <c r="A301" s="255" t="s">
        <v>2454</v>
      </c>
      <c r="B301" s="260">
        <f>'Dry_Litterbag Placem_Collection'!A82</f>
        <v>80</v>
      </c>
      <c r="C301" s="260" t="str">
        <f>'Dry_Litterbag Placem_Collection'!B82</f>
        <v>Maswa</v>
      </c>
      <c r="D301" s="260" t="s">
        <v>2643</v>
      </c>
      <c r="E301" s="260" t="s">
        <v>2645</v>
      </c>
      <c r="F301" s="260">
        <v>2</v>
      </c>
      <c r="G301" s="260" t="s">
        <v>3812</v>
      </c>
      <c r="H301" s="261" t="str">
        <f>'Dry_Litterbag Placem_Collection'!C82</f>
        <v>Dry_W2_T8</v>
      </c>
      <c r="I301" s="262" t="s">
        <v>2525</v>
      </c>
      <c r="J301" s="269" t="s">
        <v>298</v>
      </c>
      <c r="K301" s="221" t="str">
        <f>'WetLitterbags placem_collection'!M82</f>
        <v>R181</v>
      </c>
      <c r="L301" s="223">
        <f>IFERROR(INDEX('Green_rooibos initial weight'!$C$5:$C$2000,MATCH(K301, 'Green_rooibos initial weight'!$A$5:$A$2000,0)),"")</f>
        <v>2.1749999999999998</v>
      </c>
      <c r="M301" s="223">
        <f>IFERROR(L301-(TBIcalc!$H$9+TBIcalc!$H$10),"")</f>
        <v>1.9251999999999998</v>
      </c>
      <c r="N301" s="385">
        <f>AVERAGE(Ashed_controlls!$K$2:$K$11)</f>
        <v>5.5147656768714146</v>
      </c>
      <c r="O301" s="223">
        <f t="shared" si="21"/>
        <v>1.8190297311888712</v>
      </c>
      <c r="P301" s="223">
        <f>IFERROR(INDEX('Both teabags AfterWet'!$C$3:$C$840,MATCH(K301,'Both teabags AfterWet'!$A$3:$A$840,0)),"")</f>
        <v>0.23799999999999999</v>
      </c>
      <c r="Q301" s="223">
        <f>IFERROR(IF(P301&gt;0,P301-(TBIcalc!$H$9),""),"")</f>
        <v>8.7399999999999978E-2</v>
      </c>
      <c r="R301" s="223">
        <f>IFERROR(INDEX('Ashed teabags wet'!$K$2:$K$2000,MATCH(K301,'Ashed teabags wet'!$A$2:$A$2000,0)),"")</f>
        <v>0</v>
      </c>
      <c r="S301" s="223">
        <f t="shared" si="22"/>
        <v>8.7399999999999978E-2</v>
      </c>
      <c r="T301" s="224">
        <f>'WetLitterbags placem_collection'!E82</f>
        <v>42767</v>
      </c>
      <c r="U301" s="224">
        <f>IF('WetLitterbags placem_collection'!G82="","",'WetLitterbags placem_collection'!G82)</f>
        <v>42818</v>
      </c>
      <c r="V301" s="225">
        <f t="shared" si="20"/>
        <v>51</v>
      </c>
      <c r="W301" s="223">
        <f t="shared" si="23"/>
        <v>1.8377999999999999</v>
      </c>
      <c r="X301" s="223">
        <f t="shared" si="24"/>
        <v>1.7316297311888713</v>
      </c>
      <c r="Y301">
        <f>IFERROR(INDEX(Rainfall_Wet!$O$2:$O$217,MATCH(B301, Rainfall_Wet!$A$2:$A$217,0)),"")</f>
        <v>185.630065823</v>
      </c>
      <c r="Z301" s="228">
        <v>45.272914521112256</v>
      </c>
      <c r="AA301" s="228">
        <v>23.604531410916575</v>
      </c>
      <c r="AB301" s="228">
        <v>31.122554067971166</v>
      </c>
      <c r="AC301" s="229" t="s">
        <v>2657</v>
      </c>
      <c r="AD301" s="228">
        <v>9.0547560374568796</v>
      </c>
      <c r="AE301">
        <f>IF('WetLitterbags placem_collection'!AB82="","",'WetLitterbags placem_collection'!AB82)</f>
        <v>2.7</v>
      </c>
      <c r="AF301">
        <f>IF('WetLitterbags placem_collection'!Z82="","",'WetLitterbags placem_collection'!Z82)</f>
        <v>12.4</v>
      </c>
      <c r="AG301" s="243" t="str">
        <f>IF('WetLitterbags placem_collection'!AA82="","",'WetLitterbags placem_collection'!AA82)</f>
        <v>O</v>
      </c>
      <c r="AH301">
        <f>IF('WetLitterbags placem_collection'!AC82="","",'WetLitterbags placem_collection'!AC82)</f>
        <v>1</v>
      </c>
      <c r="AI301" s="237">
        <f>AVERAGE('WetLitterbags placem_collection'!S82,'WetLitterbags placem_collection'!U82)</f>
        <v>28.55</v>
      </c>
      <c r="AJ301">
        <f>AVERAGE('WetLitterbags placem_collection'!R82,'WetLitterbags placem_collection'!T82)</f>
        <v>27.450000000000003</v>
      </c>
      <c r="AK301">
        <f>INDEX(Coordinates!$B$2:$B$197,MATCH(H301,Coordinates!$J$2:$J$197,0))</f>
        <v>-3.3028539920000002</v>
      </c>
      <c r="AL301">
        <f>INDEX(Coordinates!$C$2:$C$197,MATCH(H301,Coordinates!$J$2:$J$197,0))</f>
        <v>34.847988999999998</v>
      </c>
      <c r="AM301" t="str">
        <f>IF(ISNUMBER(SEARCH("C", 'WetLitterbags placem_collection'!$W82)),"YES","NO")</f>
        <v>NO</v>
      </c>
      <c r="AN301" t="str">
        <f>IF(ISNUMBER(SEARCH("H", 'WetLitterbags placem_collection'!$W82)),"YES","NO")</f>
        <v>YES</v>
      </c>
      <c r="AO301" t="str">
        <f>IF(ISNUMBER(SEARCH("R", 'WetLitterbags placem_collection'!$W82)),"YES","NO")</f>
        <v>NO</v>
      </c>
    </row>
    <row r="302" spans="1:41" ht="15" customHeight="1">
      <c r="A302" s="255" t="s">
        <v>2454</v>
      </c>
      <c r="B302" s="260">
        <f>'Dry_Litterbag Placem_Collection'!A83</f>
        <v>81</v>
      </c>
      <c r="C302" s="260" t="str">
        <f>'Dry_Litterbag Placem_Collection'!B83</f>
        <v>Maswa</v>
      </c>
      <c r="D302" s="260" t="s">
        <v>2643</v>
      </c>
      <c r="E302" s="260" t="s">
        <v>2645</v>
      </c>
      <c r="F302" s="260">
        <v>3</v>
      </c>
      <c r="G302" s="260" t="s">
        <v>3813</v>
      </c>
      <c r="H302" s="261" t="str">
        <f>'Dry_Litterbag Placem_Collection'!C83</f>
        <v>Dry_W3_T1</v>
      </c>
      <c r="I302" s="262" t="s">
        <v>2525</v>
      </c>
      <c r="J302" s="269" t="s">
        <v>298</v>
      </c>
      <c r="K302" s="221" t="str">
        <f>'WetLitterbags placem_collection'!M83</f>
        <v>R187</v>
      </c>
      <c r="L302" s="223">
        <f>IFERROR(INDEX('Green_rooibos initial weight'!$C$5:$C$2000,MATCH(K302, 'Green_rooibos initial weight'!$A$5:$A$2000,0)),"")</f>
        <v>2.2210000000000001</v>
      </c>
      <c r="M302" s="223">
        <f>IFERROR(L302-(TBIcalc!$H$9+TBIcalc!$H$10),"")</f>
        <v>1.9712000000000001</v>
      </c>
      <c r="N302" s="385">
        <f>AVERAGE(Ashed_controlls!$K$2:$K$11)</f>
        <v>5.5147656768714146</v>
      </c>
      <c r="O302" s="223">
        <f t="shared" si="21"/>
        <v>1.8624929389775107</v>
      </c>
      <c r="P302" s="223">
        <f>IFERROR(INDEX('Both teabags AfterWet'!$C$3:$C$840,MATCH(K302,'Both teabags AfterWet'!$A$3:$A$840,0)),"")</f>
        <v>1.8420000000000001</v>
      </c>
      <c r="Q302" s="223">
        <f>IFERROR(IF(P302&gt;0,P302-(TBIcalc!$H$9),""),"")</f>
        <v>1.6914</v>
      </c>
      <c r="R302" s="223">
        <f>IFERROR(INDEX('Ashed teabags wet'!$K$2:$K$2000,MATCH(K302,'Ashed teabags wet'!$A$2:$A$2000,0)),"")</f>
        <v>4.2141794744665662</v>
      </c>
      <c r="S302" s="223">
        <f t="shared" si="22"/>
        <v>1.6201213683688724</v>
      </c>
      <c r="T302" s="224">
        <f>'WetLitterbags placem_collection'!E83</f>
        <v>42767</v>
      </c>
      <c r="U302" s="224">
        <f>IF('WetLitterbags placem_collection'!G83="","",'WetLitterbags placem_collection'!G83)</f>
        <v>42818</v>
      </c>
      <c r="V302" s="225">
        <f t="shared" si="20"/>
        <v>51</v>
      </c>
      <c r="W302" s="223">
        <f t="shared" si="23"/>
        <v>0.27980000000000005</v>
      </c>
      <c r="X302" s="223">
        <f t="shared" si="24"/>
        <v>0.24237157060863823</v>
      </c>
      <c r="Y302">
        <f>IFERROR(INDEX(Rainfall_Wet!$O$2:$O$217,MATCH(B302, Rainfall_Wet!$A$2:$A$217,0)),"")</f>
        <v>185.01185076100001</v>
      </c>
      <c r="Z302" s="228">
        <v>38.691629007962128</v>
      </c>
      <c r="AA302" s="228">
        <v>26.81299763288143</v>
      </c>
      <c r="AB302" s="228">
        <v>34.495373359156439</v>
      </c>
      <c r="AC302" s="229" t="s">
        <v>2659</v>
      </c>
      <c r="AD302" s="228">
        <v>2.5483587974371611</v>
      </c>
      <c r="AE302">
        <f>IF('WetLitterbags placem_collection'!AB83="","",'WetLitterbags placem_collection'!AB83)</f>
        <v>6.2</v>
      </c>
      <c r="AF302">
        <f>IF('WetLitterbags placem_collection'!Z83="","",'WetLitterbags placem_collection'!Z83)</f>
        <v>13.3</v>
      </c>
      <c r="AG302" s="243" t="str">
        <f>IF('WetLitterbags placem_collection'!AA83="","",'WetLitterbags placem_collection'!AA83)</f>
        <v>O</v>
      </c>
      <c r="AH302">
        <f>IF('WetLitterbags placem_collection'!AC83="","",'WetLitterbags placem_collection'!AC83)</f>
        <v>0</v>
      </c>
      <c r="AI302" s="237">
        <f>AVERAGE('WetLitterbags placem_collection'!S83,'WetLitterbags placem_collection'!U83)</f>
        <v>26.35</v>
      </c>
      <c r="AJ302">
        <f>AVERAGE('WetLitterbags placem_collection'!R83,'WetLitterbags placem_collection'!T83)</f>
        <v>26.65</v>
      </c>
      <c r="AK302">
        <f>INDEX(Coordinates!$B$2:$B$197,MATCH(H302,Coordinates!$J$2:$J$197,0))</f>
        <v>-3.2957159630000001</v>
      </c>
      <c r="AL302">
        <f>INDEX(Coordinates!$C$2:$C$197,MATCH(H302,Coordinates!$J$2:$J$197,0))</f>
        <v>34.852460999999998</v>
      </c>
      <c r="AM302" t="str">
        <f>IF(ISNUMBER(SEARCH("C", 'WetLitterbags placem_collection'!$W83)),"YES","NO")</f>
        <v>NO</v>
      </c>
      <c r="AN302" t="str">
        <f>IF(ISNUMBER(SEARCH("H", 'WetLitterbags placem_collection'!$W83)),"YES","NO")</f>
        <v>NO</v>
      </c>
      <c r="AO302" t="str">
        <f>IF(ISNUMBER(SEARCH("R", 'WetLitterbags placem_collection'!$W83)),"YES","NO")</f>
        <v>NO</v>
      </c>
    </row>
    <row r="303" spans="1:41" ht="15" customHeight="1">
      <c r="A303" s="255" t="s">
        <v>2454</v>
      </c>
      <c r="B303" s="260">
        <f>'Dry_Litterbag Placem_Collection'!A84</f>
        <v>82</v>
      </c>
      <c r="C303" s="260" t="str">
        <f>'Dry_Litterbag Placem_Collection'!B84</f>
        <v>Maswa</v>
      </c>
      <c r="D303" s="260" t="s">
        <v>2643</v>
      </c>
      <c r="E303" s="260" t="s">
        <v>2645</v>
      </c>
      <c r="F303" s="260">
        <v>3</v>
      </c>
      <c r="G303" s="260" t="s">
        <v>3813</v>
      </c>
      <c r="H303" s="261" t="str">
        <f>'Dry_Litterbag Placem_Collection'!C84</f>
        <v>Dry_W3_T2</v>
      </c>
      <c r="I303" s="262" t="s">
        <v>2525</v>
      </c>
      <c r="J303" s="269" t="s">
        <v>298</v>
      </c>
      <c r="K303" s="221" t="str">
        <f>'WetLitterbags placem_collection'!M84</f>
        <v>R83</v>
      </c>
      <c r="L303" s="223">
        <f>IFERROR(INDEX('Green_rooibos initial weight'!$C$5:$C$2000,MATCH(K303, 'Green_rooibos initial weight'!$A$5:$A$2000,0)),"")</f>
        <v>2.0390000000000001</v>
      </c>
      <c r="M303" s="223">
        <f>IFERROR(L303-(TBIcalc!$H$9+TBIcalc!$H$10),"")</f>
        <v>1.7892000000000001</v>
      </c>
      <c r="N303" s="385">
        <f>AVERAGE(Ashed_controlls!$K$2:$K$11)</f>
        <v>5.5147656768714146</v>
      </c>
      <c r="O303" s="223">
        <f t="shared" si="21"/>
        <v>1.6905298125094168</v>
      </c>
      <c r="P303" s="223">
        <f>IFERROR(INDEX('Both teabags AfterWet'!$C$3:$C$840,MATCH(K303,'Both teabags AfterWet'!$A$3:$A$840,0)),"")</f>
        <v>1.5940000000000001</v>
      </c>
      <c r="Q303" s="223">
        <f>IFERROR(IF(P303&gt;0,P303-(TBIcalc!$H$9),""),"")</f>
        <v>1.4434</v>
      </c>
      <c r="R303" s="223">
        <f>IFERROR(INDEX('Ashed teabags wet'!$K$2:$K$2000,MATCH(K303,'Ashed teabags wet'!$A$2:$A$2000,0)),"")</f>
        <v>4.9489795918371247</v>
      </c>
      <c r="S303" s="223">
        <f t="shared" si="22"/>
        <v>1.371966428571423</v>
      </c>
      <c r="T303" s="224">
        <f>'WetLitterbags placem_collection'!E84</f>
        <v>42767</v>
      </c>
      <c r="U303" s="224">
        <f>IF('WetLitterbags placem_collection'!G84="","",'WetLitterbags placem_collection'!G84)</f>
        <v>42819</v>
      </c>
      <c r="V303" s="225">
        <f t="shared" si="20"/>
        <v>52</v>
      </c>
      <c r="W303" s="223">
        <f t="shared" si="23"/>
        <v>0.34580000000000011</v>
      </c>
      <c r="X303" s="223">
        <f t="shared" si="24"/>
        <v>0.31856338393799377</v>
      </c>
      <c r="Y303">
        <f>IFERROR(INDEX(Rainfall_Wet!$O$2:$O$217,MATCH(B303, Rainfall_Wet!$A$2:$A$217,0)),"")</f>
        <v>194.93009798400001</v>
      </c>
      <c r="Z303" s="228">
        <v>38.691629007962128</v>
      </c>
      <c r="AA303" s="228">
        <v>26.81299763288143</v>
      </c>
      <c r="AB303" s="228">
        <v>34.495373359156439</v>
      </c>
      <c r="AC303" s="229" t="s">
        <v>2659</v>
      </c>
      <c r="AD303" s="228">
        <v>3.5483587974371602</v>
      </c>
      <c r="AE303">
        <f>IF('WetLitterbags placem_collection'!AB84="","",'WetLitterbags placem_collection'!AB84)</f>
        <v>2.4</v>
      </c>
      <c r="AF303">
        <f>IF('WetLitterbags placem_collection'!Z84="","",'WetLitterbags placem_collection'!Z84)</f>
        <v>16.600000000000001</v>
      </c>
      <c r="AG303" s="243" t="str">
        <f>IF('WetLitterbags placem_collection'!AA84="","",'WetLitterbags placem_collection'!AA84)</f>
        <v>O</v>
      </c>
      <c r="AH303" t="str">
        <f>IF('WetLitterbags placem_collection'!AC84="","",'WetLitterbags placem_collection'!AC84)</f>
        <v/>
      </c>
      <c r="AI303" s="237">
        <f>AVERAGE('WetLitterbags placem_collection'!S84,'WetLitterbags placem_collection'!U84)</f>
        <v>26.6</v>
      </c>
      <c r="AJ303">
        <f>AVERAGE('WetLitterbags placem_collection'!R84,'WetLitterbags placem_collection'!T84)</f>
        <v>23.05</v>
      </c>
      <c r="AK303">
        <f>INDEX(Coordinates!$B$2:$B$197,MATCH(H303,Coordinates!$J$2:$J$197,0))</f>
        <v>-3.2957230040000001</v>
      </c>
      <c r="AL303">
        <f>INDEX(Coordinates!$C$2:$C$197,MATCH(H303,Coordinates!$J$2:$J$197,0))</f>
        <v>34.852416990000002</v>
      </c>
      <c r="AM303" t="str">
        <f>IF(ISNUMBER(SEARCH("C", 'WetLitterbags placem_collection'!$W84)),"YES","NO")</f>
        <v>NO</v>
      </c>
      <c r="AN303" t="str">
        <f>IF(ISNUMBER(SEARCH("H", 'WetLitterbags placem_collection'!$W84)),"YES","NO")</f>
        <v>YES</v>
      </c>
      <c r="AO303" t="str">
        <f>IF(ISNUMBER(SEARCH("R", 'WetLitterbags placem_collection'!$W84)),"YES","NO")</f>
        <v>YES</v>
      </c>
    </row>
    <row r="304" spans="1:41" ht="15" customHeight="1">
      <c r="A304" s="255" t="s">
        <v>2454</v>
      </c>
      <c r="B304" s="260">
        <f>'Dry_Litterbag Placem_Collection'!A85</f>
        <v>83</v>
      </c>
      <c r="C304" s="260" t="str">
        <f>'Dry_Litterbag Placem_Collection'!B85</f>
        <v>Maswa</v>
      </c>
      <c r="D304" s="260" t="s">
        <v>2643</v>
      </c>
      <c r="E304" s="260" t="s">
        <v>2645</v>
      </c>
      <c r="F304" s="260">
        <v>3</v>
      </c>
      <c r="G304" s="260" t="s">
        <v>3813</v>
      </c>
      <c r="H304" s="261" t="str">
        <f>'Dry_Litterbag Placem_Collection'!C85</f>
        <v>Dry_W3_T3</v>
      </c>
      <c r="I304" s="262" t="s">
        <v>2525</v>
      </c>
      <c r="J304" s="269" t="s">
        <v>298</v>
      </c>
      <c r="K304" s="221" t="str">
        <f>'WetLitterbags placem_collection'!M85</f>
        <v>R134</v>
      </c>
      <c r="L304" s="223">
        <f>IFERROR(INDEX('Green_rooibos initial weight'!$C$5:$C$2000,MATCH(K304, 'Green_rooibos initial weight'!$A$5:$A$2000,0)),"")</f>
        <v>2.21</v>
      </c>
      <c r="M304" s="223">
        <f>IFERROR(L304-(TBIcalc!$H$9+TBIcalc!$H$10),"")</f>
        <v>1.9601999999999999</v>
      </c>
      <c r="N304" s="385">
        <f>AVERAGE(Ashed_controlls!$K$2:$K$11)</f>
        <v>5.5147656768714146</v>
      </c>
      <c r="O304" s="223">
        <f t="shared" si="21"/>
        <v>1.8520995632019666</v>
      </c>
      <c r="P304" s="223">
        <f>IFERROR(INDEX('Both teabags AfterWet'!$C$3:$C$840,MATCH(K304,'Both teabags AfterWet'!$A$3:$A$840,0)),"")</f>
        <v>0.98799999999999999</v>
      </c>
      <c r="Q304" s="223">
        <f>IFERROR(IF(P304&gt;0,P304-(TBIcalc!$H$9),""),"")</f>
        <v>0.83739999999999992</v>
      </c>
      <c r="R304" s="223">
        <f>IFERROR(INDEX('Ashed teabags wet'!$K$2:$K$2000,MATCH(K304,'Ashed teabags wet'!$A$2:$A$2000,0)),"")</f>
        <v>61.99804113614087</v>
      </c>
      <c r="S304" s="223">
        <f t="shared" si="22"/>
        <v>0.31822840352595638</v>
      </c>
      <c r="T304" s="224">
        <f>'WetLitterbags placem_collection'!E85</f>
        <v>42767</v>
      </c>
      <c r="U304" s="224">
        <f>IF('WetLitterbags placem_collection'!G85="","",'WetLitterbags placem_collection'!G85)</f>
        <v>42819</v>
      </c>
      <c r="V304" s="225">
        <f t="shared" si="20"/>
        <v>52</v>
      </c>
      <c r="W304" s="223">
        <f t="shared" si="23"/>
        <v>1.1228</v>
      </c>
      <c r="X304" s="223">
        <f t="shared" si="24"/>
        <v>1.5338711596760102</v>
      </c>
      <c r="Y304">
        <f>IFERROR(INDEX(Rainfall_Wet!$O$2:$O$217,MATCH(B304, Rainfall_Wet!$A$2:$A$217,0)),"")</f>
        <v>194.93009798400001</v>
      </c>
      <c r="Z304" s="228">
        <v>38.691629007962128</v>
      </c>
      <c r="AA304" s="228">
        <v>26.81299763288143</v>
      </c>
      <c r="AB304" s="228">
        <v>34.495373359156439</v>
      </c>
      <c r="AC304" s="229" t="s">
        <v>2659</v>
      </c>
      <c r="AD304" s="228">
        <v>4.5483587974371602</v>
      </c>
      <c r="AE304">
        <f>IF('WetLitterbags placem_collection'!AB85="","",'WetLitterbags placem_collection'!AB85)</f>
        <v>6.4</v>
      </c>
      <c r="AF304">
        <f>IF('WetLitterbags placem_collection'!Z85="","",'WetLitterbags placem_collection'!Z85)</f>
        <v>42</v>
      </c>
      <c r="AG304" s="243" t="str">
        <f>IF('WetLitterbags placem_collection'!AA85="","",'WetLitterbags placem_collection'!AA85)</f>
        <v>M</v>
      </c>
      <c r="AH304">
        <f>IF('WetLitterbags placem_collection'!AC85="","",'WetLitterbags placem_collection'!AC85)</f>
        <v>1</v>
      </c>
      <c r="AI304" s="237">
        <f>AVERAGE('WetLitterbags placem_collection'!S85,'WetLitterbags placem_collection'!U85)</f>
        <v>30.099999999999998</v>
      </c>
      <c r="AJ304">
        <f>AVERAGE('WetLitterbags placem_collection'!R85,'WetLitterbags placem_collection'!T85)</f>
        <v>25.05</v>
      </c>
      <c r="AK304">
        <f>INDEX(Coordinates!$B$2:$B$197,MATCH(H304,Coordinates!$J$2:$J$197,0))</f>
        <v>-3.2957430369999998</v>
      </c>
      <c r="AL304">
        <f>INDEX(Coordinates!$C$2:$C$197,MATCH(H304,Coordinates!$J$2:$J$197,0))</f>
        <v>34.852309030000001</v>
      </c>
      <c r="AM304" t="str">
        <f>IF(ISNUMBER(SEARCH("C", 'WetLitterbags placem_collection'!$W85)),"YES","NO")</f>
        <v>NO</v>
      </c>
      <c r="AN304" t="str">
        <f>IF(ISNUMBER(SEARCH("H", 'WetLitterbags placem_collection'!$W85)),"YES","NO")</f>
        <v>YES</v>
      </c>
      <c r="AO304" t="str">
        <f>IF(ISNUMBER(SEARCH("R", 'WetLitterbags placem_collection'!$W85)),"YES","NO")</f>
        <v>NO</v>
      </c>
    </row>
    <row r="305" spans="1:41" ht="15" customHeight="1">
      <c r="A305" s="255" t="s">
        <v>2454</v>
      </c>
      <c r="B305" s="260">
        <f>'Dry_Litterbag Placem_Collection'!A86</f>
        <v>84</v>
      </c>
      <c r="C305" s="260" t="str">
        <f>'Dry_Litterbag Placem_Collection'!B86</f>
        <v>Maswa</v>
      </c>
      <c r="D305" s="260" t="s">
        <v>2643</v>
      </c>
      <c r="E305" s="260" t="s">
        <v>2645</v>
      </c>
      <c r="F305" s="260">
        <v>3</v>
      </c>
      <c r="G305" s="260" t="s">
        <v>3813</v>
      </c>
      <c r="H305" s="261" t="str">
        <f>'Dry_Litterbag Placem_Collection'!C86</f>
        <v>Dry_W3_T4</v>
      </c>
      <c r="I305" s="262" t="s">
        <v>2525</v>
      </c>
      <c r="J305" s="269" t="s">
        <v>298</v>
      </c>
      <c r="K305" s="221" t="str">
        <f>'WetLitterbags placem_collection'!M86</f>
        <v>R49</v>
      </c>
      <c r="L305" s="223">
        <f>IFERROR(INDEX('Green_rooibos initial weight'!$C$5:$C$2000,MATCH(K305, 'Green_rooibos initial weight'!$A$5:$A$2000,0)),"")</f>
        <v>2.2999999999999998</v>
      </c>
      <c r="M305" s="223">
        <f>IFERROR(L305-(TBIcalc!$H$9+TBIcalc!$H$10),"")</f>
        <v>2.0501999999999998</v>
      </c>
      <c r="N305" s="385">
        <f>AVERAGE(Ashed_controlls!$K$2:$K$11)</f>
        <v>5.5147656768714146</v>
      </c>
      <c r="O305" s="223">
        <f t="shared" si="21"/>
        <v>1.937136274092782</v>
      </c>
      <c r="P305" s="223">
        <f>IFERROR(INDEX('Both teabags AfterWet'!$C$3:$C$840,MATCH(K305,'Both teabags AfterWet'!$A$3:$A$840,0)),"")</f>
        <v>1.6379999999999999</v>
      </c>
      <c r="Q305" s="223">
        <f>IFERROR(IF(P305&gt;0,P305-(TBIcalc!$H$9),""),"")</f>
        <v>1.4873999999999998</v>
      </c>
      <c r="R305" s="223">
        <f>IFERROR(INDEX('Ashed teabags wet'!$K$2:$K$2000,MATCH(K305,'Ashed teabags wet'!$A$2:$A$2000,0)),"")</f>
        <v>8.8249634324722646</v>
      </c>
      <c r="S305" s="223">
        <f t="shared" si="22"/>
        <v>1.3561374939054074</v>
      </c>
      <c r="T305" s="224">
        <f>'WetLitterbags placem_collection'!E86</f>
        <v>42767</v>
      </c>
      <c r="U305" s="224">
        <f>IF('WetLitterbags placem_collection'!G86="","",'WetLitterbags placem_collection'!G86)</f>
        <v>42819</v>
      </c>
      <c r="V305" s="225">
        <f t="shared" si="20"/>
        <v>52</v>
      </c>
      <c r="W305" s="223">
        <f t="shared" si="23"/>
        <v>0.56279999999999997</v>
      </c>
      <c r="X305" s="223">
        <f t="shared" si="24"/>
        <v>0.58099878018737461</v>
      </c>
      <c r="Y305">
        <f>IFERROR(INDEX(Rainfall_Wet!$O$2:$O$217,MATCH(B305, Rainfall_Wet!$A$2:$A$217,0)),"")</f>
        <v>194.93009798400001</v>
      </c>
      <c r="Z305" s="228">
        <v>38.691629007962128</v>
      </c>
      <c r="AA305" s="228">
        <v>26.81299763288143</v>
      </c>
      <c r="AB305" s="228">
        <v>34.495373359156439</v>
      </c>
      <c r="AC305" s="229" t="s">
        <v>2659</v>
      </c>
      <c r="AD305" s="228">
        <v>5.5483587974371602</v>
      </c>
      <c r="AE305">
        <f>IF('WetLitterbags placem_collection'!AB86="","",'WetLitterbags placem_collection'!AB86)</f>
        <v>5.5</v>
      </c>
      <c r="AF305">
        <f>IF('WetLitterbags placem_collection'!Z86="","",'WetLitterbags placem_collection'!Z86)</f>
        <v>55.8</v>
      </c>
      <c r="AG305" s="243" t="str">
        <f>IF('WetLitterbags placem_collection'!AA86="","",'WetLitterbags placem_collection'!AA86)</f>
        <v>M</v>
      </c>
      <c r="AH305">
        <f>IF('WetLitterbags placem_collection'!AC86="","",'WetLitterbags placem_collection'!AC86)</f>
        <v>1</v>
      </c>
      <c r="AI305" s="237">
        <f>AVERAGE('WetLitterbags placem_collection'!S86,'WetLitterbags placem_collection'!U86)</f>
        <v>27.75</v>
      </c>
      <c r="AJ305">
        <f>AVERAGE('WetLitterbags placem_collection'!R86,'WetLitterbags placem_collection'!T86)</f>
        <v>23.6</v>
      </c>
      <c r="AK305">
        <f>INDEX(Coordinates!$B$2:$B$197,MATCH(H305,Coordinates!$J$2:$J$197,0))</f>
        <v>-3.295795005</v>
      </c>
      <c r="AL305">
        <f>INDEX(Coordinates!$C$2:$C$197,MATCH(H305,Coordinates!$J$2:$J$197,0))</f>
        <v>34.85232001</v>
      </c>
      <c r="AM305" t="str">
        <f>IF(ISNUMBER(SEARCH("C", 'WetLitterbags placem_collection'!$W86)),"YES","NO")</f>
        <v>NO</v>
      </c>
      <c r="AN305" t="str">
        <f>IF(ISNUMBER(SEARCH("H", 'WetLitterbags placem_collection'!$W86)),"YES","NO")</f>
        <v>NO</v>
      </c>
      <c r="AO305" t="str">
        <f>IF(ISNUMBER(SEARCH("R", 'WetLitterbags placem_collection'!$W86)),"YES","NO")</f>
        <v>YES</v>
      </c>
    </row>
    <row r="306" spans="1:41" ht="15" customHeight="1">
      <c r="A306" s="255" t="s">
        <v>2454</v>
      </c>
      <c r="B306" s="260">
        <f>'Dry_Litterbag Placem_Collection'!A87</f>
        <v>85</v>
      </c>
      <c r="C306" s="260" t="str">
        <f>'Dry_Litterbag Placem_Collection'!B87</f>
        <v>Maswa</v>
      </c>
      <c r="D306" s="260" t="s">
        <v>2643</v>
      </c>
      <c r="E306" s="260" t="s">
        <v>2645</v>
      </c>
      <c r="F306" s="260">
        <v>3</v>
      </c>
      <c r="G306" s="260" t="s">
        <v>3813</v>
      </c>
      <c r="H306" s="261" t="str">
        <f>'Dry_Litterbag Placem_Collection'!C87</f>
        <v>Dry_W3_T5</v>
      </c>
      <c r="I306" s="262" t="s">
        <v>2525</v>
      </c>
      <c r="J306" s="269" t="s">
        <v>298</v>
      </c>
      <c r="K306" s="221" t="str">
        <f>'WetLitterbags placem_collection'!M87</f>
        <v>R315</v>
      </c>
      <c r="L306" s="223">
        <f>IFERROR(INDEX('Green_rooibos initial weight'!$C$5:$C$2000,MATCH(K306, 'Green_rooibos initial weight'!$A$5:$A$2000,0)),"")</f>
        <v>2.2440000000000002</v>
      </c>
      <c r="M306" s="223">
        <f>IFERROR(L306-(TBIcalc!$H$9+TBIcalc!$H$10),"")</f>
        <v>1.9942000000000002</v>
      </c>
      <c r="N306" s="385">
        <f>AVERAGE(Ashed_controlls!$K$2:$K$11)</f>
        <v>5.5147656768714146</v>
      </c>
      <c r="O306" s="223">
        <f t="shared" si="21"/>
        <v>1.8842245428718305</v>
      </c>
      <c r="P306" s="223">
        <f>IFERROR(INDEX('Both teabags AfterWet'!$C$3:$C$840,MATCH(K306,'Both teabags AfterWet'!$A$3:$A$840,0)),"")</f>
        <v>1.4850000000000001</v>
      </c>
      <c r="Q306" s="223">
        <f>IFERROR(IF(P306&gt;0,P306-(TBIcalc!$H$9),""),"")</f>
        <v>1.3344</v>
      </c>
      <c r="R306" s="223">
        <f>IFERROR(INDEX('Ashed teabags wet'!$K$2:$K$2000,MATCH(K306,'Ashed teabags wet'!$A$2:$A$2000,0)),"")</f>
        <v>10.368550368550631</v>
      </c>
      <c r="S306" s="223">
        <f t="shared" si="22"/>
        <v>1.1960420638820604</v>
      </c>
      <c r="T306" s="224">
        <f>'WetLitterbags placem_collection'!E87</f>
        <v>42767</v>
      </c>
      <c r="U306" s="224">
        <f>IF('WetLitterbags placem_collection'!G87="","",'WetLitterbags placem_collection'!G87)</f>
        <v>42819</v>
      </c>
      <c r="V306" s="225">
        <f t="shared" si="20"/>
        <v>52</v>
      </c>
      <c r="W306" s="223">
        <f t="shared" si="23"/>
        <v>0.65980000000000016</v>
      </c>
      <c r="X306" s="223">
        <f t="shared" si="24"/>
        <v>0.68818247898977014</v>
      </c>
      <c r="Y306">
        <f>IFERROR(INDEX(Rainfall_Wet!$O$2:$O$217,MATCH(B306, Rainfall_Wet!$A$2:$A$217,0)),"")</f>
        <v>194.93009798400001</v>
      </c>
      <c r="Z306" s="228">
        <v>38.691629007962128</v>
      </c>
      <c r="AA306" s="228">
        <v>26.81299763288143</v>
      </c>
      <c r="AB306" s="228">
        <v>34.495373359156439</v>
      </c>
      <c r="AC306" s="229" t="s">
        <v>2659</v>
      </c>
      <c r="AD306" s="228">
        <v>6.5483587974371602</v>
      </c>
      <c r="AE306">
        <f>IF('WetLitterbags placem_collection'!AB87="","",'WetLitterbags placem_collection'!AB87)</f>
        <v>8.6</v>
      </c>
      <c r="AF306">
        <f>IF('WetLitterbags placem_collection'!Z87="","",'WetLitterbags placem_collection'!Z87)</f>
        <v>3.8</v>
      </c>
      <c r="AG306" s="243" t="str">
        <f>IF('WetLitterbags placem_collection'!AA87="","",'WetLitterbags placem_collection'!AA87)</f>
        <v>O</v>
      </c>
      <c r="AH306">
        <f>IF('WetLitterbags placem_collection'!AC87="","",'WetLitterbags placem_collection'!AC87)</f>
        <v>0</v>
      </c>
      <c r="AI306" s="237">
        <f>AVERAGE('WetLitterbags placem_collection'!S87,'WetLitterbags placem_collection'!U87)</f>
        <v>26.55</v>
      </c>
      <c r="AJ306">
        <f>AVERAGE('WetLitterbags placem_collection'!R87,'WetLitterbags placem_collection'!T87)</f>
        <v>23.15</v>
      </c>
      <c r="AK306">
        <f>INDEX(Coordinates!$B$2:$B$197,MATCH(H306,Coordinates!$J$2:$J$197,0))</f>
        <v>-3.2957100119999998</v>
      </c>
      <c r="AL306">
        <f>INDEX(Coordinates!$C$2:$C$197,MATCH(H306,Coordinates!$J$2:$J$197,0))</f>
        <v>34.852283970000002</v>
      </c>
      <c r="AM306" t="str">
        <f>IF(ISNUMBER(SEARCH("C", 'WetLitterbags placem_collection'!$W87)),"YES","NO")</f>
        <v>YES</v>
      </c>
      <c r="AN306" t="str">
        <f>IF(ISNUMBER(SEARCH("H", 'WetLitterbags placem_collection'!$W87)),"YES","NO")</f>
        <v>YES</v>
      </c>
      <c r="AO306" t="str">
        <f>IF(ISNUMBER(SEARCH("R", 'WetLitterbags placem_collection'!$W87)),"YES","NO")</f>
        <v>YES</v>
      </c>
    </row>
    <row r="307" spans="1:41" ht="15" customHeight="1">
      <c r="A307" s="255" t="s">
        <v>2454</v>
      </c>
      <c r="B307" s="260">
        <f>'Dry_Litterbag Placem_Collection'!A88</f>
        <v>86</v>
      </c>
      <c r="C307" s="260" t="str">
        <f>'Dry_Litterbag Placem_Collection'!B88</f>
        <v>Maswa</v>
      </c>
      <c r="D307" s="260" t="s">
        <v>2643</v>
      </c>
      <c r="E307" s="260" t="s">
        <v>2645</v>
      </c>
      <c r="F307" s="260">
        <v>3</v>
      </c>
      <c r="G307" s="260" t="s">
        <v>3813</v>
      </c>
      <c r="H307" s="261" t="str">
        <f>'Dry_Litterbag Placem_Collection'!C88</f>
        <v>Dry_W3_T6</v>
      </c>
      <c r="I307" s="262" t="s">
        <v>2525</v>
      </c>
      <c r="J307" s="269" t="s">
        <v>298</v>
      </c>
      <c r="K307" s="221" t="str">
        <f>'WetLitterbags placem_collection'!M88</f>
        <v>R1</v>
      </c>
      <c r="L307" s="223">
        <f>IFERROR(INDEX('Green_rooibos initial weight'!$C$5:$C$2000,MATCH(K307, 'Green_rooibos initial weight'!$A$5:$A$2000,0)),"")</f>
        <v>2.2109999999999999</v>
      </c>
      <c r="M307" s="223">
        <f>IFERROR(L307-(TBIcalc!$H$9+TBIcalc!$H$10),"")</f>
        <v>1.9611999999999998</v>
      </c>
      <c r="N307" s="385">
        <f>AVERAGE(Ashed_controlls!$K$2:$K$11)</f>
        <v>5.5147656768714146</v>
      </c>
      <c r="O307" s="223">
        <f t="shared" si="21"/>
        <v>1.8530444155451977</v>
      </c>
      <c r="P307" s="223">
        <f>IFERROR(INDEX('Both teabags AfterWet'!$C$3:$C$840,MATCH(K307,'Both teabags AfterWet'!$A$3:$A$840,0)),"")</f>
        <v>0.38169999999999998</v>
      </c>
      <c r="Q307" s="223">
        <f>IFERROR(IF(P307&gt;0,P307-(TBIcalc!$H$9),""),"")</f>
        <v>0.23109999999999997</v>
      </c>
      <c r="R307" s="223">
        <f>IFERROR(INDEX('Ashed teabags wet'!$K$2:$K$2000,MATCH(K307,'Ashed teabags wet'!$A$2:$A$2000,0)),"")</f>
        <v>0</v>
      </c>
      <c r="S307" s="223">
        <f t="shared" si="22"/>
        <v>0.23109999999999997</v>
      </c>
      <c r="T307" s="224">
        <f>'WetLitterbags placem_collection'!E88</f>
        <v>42767</v>
      </c>
      <c r="U307" s="224">
        <f>IF('WetLitterbags placem_collection'!G88="","",'WetLitterbags placem_collection'!G88)</f>
        <v>42819</v>
      </c>
      <c r="V307" s="225">
        <f t="shared" si="20"/>
        <v>52</v>
      </c>
      <c r="W307" s="223">
        <f t="shared" si="23"/>
        <v>1.7300999999999997</v>
      </c>
      <c r="X307" s="223">
        <f t="shared" si="24"/>
        <v>1.6219444155451979</v>
      </c>
      <c r="Y307">
        <f>IFERROR(INDEX(Rainfall_Wet!$O$2:$O$217,MATCH(B307, Rainfall_Wet!$A$2:$A$217,0)),"")</f>
        <v>194.93009798400001</v>
      </c>
      <c r="Z307" s="228">
        <v>38.691629007962128</v>
      </c>
      <c r="AA307" s="228">
        <v>26.81299763288143</v>
      </c>
      <c r="AB307" s="228">
        <v>34.495373359156439</v>
      </c>
      <c r="AC307" s="229" t="s">
        <v>2659</v>
      </c>
      <c r="AD307" s="228">
        <v>7.5483587974371602</v>
      </c>
      <c r="AE307">
        <f>IF('WetLitterbags placem_collection'!AB88="","",'WetLitterbags placem_collection'!AB88)</f>
        <v>3.7</v>
      </c>
      <c r="AF307">
        <f>IF('WetLitterbags placem_collection'!Z88="","",'WetLitterbags placem_collection'!Z88)</f>
        <v>7.5</v>
      </c>
      <c r="AG307" s="243" t="str">
        <f>IF('WetLitterbags placem_collection'!AA88="","",'WetLitterbags placem_collection'!AA88)</f>
        <v>O</v>
      </c>
      <c r="AH307">
        <f>IF('WetLitterbags placem_collection'!AC88="","",'WetLitterbags placem_collection'!AC88)</f>
        <v>0</v>
      </c>
      <c r="AI307" s="237">
        <f>AVERAGE('WetLitterbags placem_collection'!S88,'WetLitterbags placem_collection'!U88)</f>
        <v>24.05</v>
      </c>
      <c r="AJ307">
        <f>AVERAGE('WetLitterbags placem_collection'!R88,'WetLitterbags placem_collection'!T88)</f>
        <v>25.799999999999997</v>
      </c>
      <c r="AK307">
        <f>INDEX(Coordinates!$B$2:$B$197,MATCH(H307,Coordinates!$J$2:$J$197,0))</f>
        <v>-3.2956140399999998</v>
      </c>
      <c r="AL307">
        <f>INDEX(Coordinates!$C$2:$C$197,MATCH(H307,Coordinates!$J$2:$J$197,0))</f>
        <v>34.852137030000002</v>
      </c>
      <c r="AM307" t="str">
        <f>IF(ISNUMBER(SEARCH("C", 'WetLitterbags placem_collection'!$W88)),"YES","NO")</f>
        <v>YES</v>
      </c>
      <c r="AN307" t="str">
        <f>IF(ISNUMBER(SEARCH("H", 'WetLitterbags placem_collection'!$W88)),"YES","NO")</f>
        <v>YES</v>
      </c>
      <c r="AO307" t="str">
        <f>IF(ISNUMBER(SEARCH("R", 'WetLitterbags placem_collection'!$W88)),"YES","NO")</f>
        <v>YES</v>
      </c>
    </row>
    <row r="308" spans="1:41" ht="15" customHeight="1">
      <c r="A308" s="255" t="s">
        <v>2454</v>
      </c>
      <c r="B308" s="260">
        <f>'Dry_Litterbag Placem_Collection'!A89</f>
        <v>87</v>
      </c>
      <c r="C308" s="260" t="str">
        <f>'Dry_Litterbag Placem_Collection'!B89</f>
        <v>Maswa</v>
      </c>
      <c r="D308" s="260" t="s">
        <v>2643</v>
      </c>
      <c r="E308" s="260" t="s">
        <v>2645</v>
      </c>
      <c r="F308" s="260">
        <v>3</v>
      </c>
      <c r="G308" s="260" t="s">
        <v>3813</v>
      </c>
      <c r="H308" s="261" t="str">
        <f>'Dry_Litterbag Placem_Collection'!C89</f>
        <v>Dry_W3_T7</v>
      </c>
      <c r="I308" s="262" t="s">
        <v>2525</v>
      </c>
      <c r="J308" s="269" t="s">
        <v>298</v>
      </c>
      <c r="K308" s="221" t="str">
        <f>'WetLitterbags placem_collection'!M89</f>
        <v>R408</v>
      </c>
      <c r="L308" s="223">
        <f>IFERROR(INDEX('Green_rooibos initial weight'!$C$5:$C$2000,MATCH(K308, 'Green_rooibos initial weight'!$A$5:$A$2000,0)),"")</f>
        <v>2.2480000000000002</v>
      </c>
      <c r="M308" s="223">
        <f>IFERROR(L308-(TBIcalc!$H$9+TBIcalc!$H$10),"")</f>
        <v>1.9982000000000002</v>
      </c>
      <c r="N308" s="385">
        <f>AVERAGE(Ashed_controlls!$K$2:$K$11)</f>
        <v>5.5147656768714146</v>
      </c>
      <c r="O308" s="223">
        <f t="shared" si="21"/>
        <v>1.8880039522447556</v>
      </c>
      <c r="P308" s="223">
        <f>IFERROR(INDEX('Both teabags AfterWet'!$C$3:$C$840,MATCH(K308,'Both teabags AfterWet'!$A$3:$A$840,0)),"")</f>
        <v>0.3599</v>
      </c>
      <c r="Q308" s="223">
        <f>IFERROR(IF(P308&gt;0,P308-(TBIcalc!$H$9),""),"")</f>
        <v>0.20929999999999999</v>
      </c>
      <c r="R308" s="223">
        <f>IFERROR(INDEX('Ashed teabags wet'!$K$2:$K$2000,MATCH(K308,'Ashed teabags wet'!$A$2:$A$2000,0)),"")</f>
        <v>0</v>
      </c>
      <c r="S308" s="223">
        <f t="shared" si="22"/>
        <v>0.20929999999999999</v>
      </c>
      <c r="T308" s="224">
        <f>'WetLitterbags placem_collection'!E89</f>
        <v>42767</v>
      </c>
      <c r="U308" s="224">
        <f>IF('WetLitterbags placem_collection'!G89="","",'WetLitterbags placem_collection'!G89)</f>
        <v>42819</v>
      </c>
      <c r="V308" s="225">
        <f t="shared" si="20"/>
        <v>52</v>
      </c>
      <c r="W308" s="223">
        <f t="shared" si="23"/>
        <v>1.7889000000000002</v>
      </c>
      <c r="X308" s="223">
        <f t="shared" si="24"/>
        <v>1.6787039522447555</v>
      </c>
      <c r="Y308">
        <f>IFERROR(INDEX(Rainfall_Wet!$O$2:$O$217,MATCH(B308, Rainfall_Wet!$A$2:$A$217,0)),"")</f>
        <v>194.93009798400001</v>
      </c>
      <c r="Z308" s="228">
        <v>38.691629007962128</v>
      </c>
      <c r="AA308" s="228">
        <v>26.81299763288143</v>
      </c>
      <c r="AB308" s="228">
        <v>34.495373359156439</v>
      </c>
      <c r="AC308" s="229" t="s">
        <v>2659</v>
      </c>
      <c r="AD308" s="228">
        <v>8.5483587974371602</v>
      </c>
      <c r="AE308">
        <f>IF('WetLitterbags placem_collection'!AB89="","",'WetLitterbags placem_collection'!AB89)</f>
        <v>7.5</v>
      </c>
      <c r="AF308">
        <f>IF('WetLitterbags placem_collection'!Z89="","",'WetLitterbags placem_collection'!Z89)</f>
        <v>12.6</v>
      </c>
      <c r="AG308" s="243" t="str">
        <f>IF('WetLitterbags placem_collection'!AA89="","",'WetLitterbags placem_collection'!AA89)</f>
        <v>O</v>
      </c>
      <c r="AH308">
        <f>IF('WetLitterbags placem_collection'!AC89="","",'WetLitterbags placem_collection'!AC89)</f>
        <v>1</v>
      </c>
      <c r="AI308" s="237">
        <f>AVERAGE('WetLitterbags placem_collection'!S89,'WetLitterbags placem_collection'!U89)</f>
        <v>25.85</v>
      </c>
      <c r="AJ308">
        <f>AVERAGE('WetLitterbags placem_collection'!R89,'WetLitterbags placem_collection'!T89)</f>
        <v>21.55</v>
      </c>
      <c r="AK308">
        <f>INDEX(Coordinates!$B$2:$B$197,MATCH(H308,Coordinates!$J$2:$J$197,0))</f>
        <v>-3.295904975</v>
      </c>
      <c r="AL308">
        <f>INDEX(Coordinates!$C$2:$C$197,MATCH(H308,Coordinates!$J$2:$J$197,0))</f>
        <v>34.852136029999997</v>
      </c>
      <c r="AM308" t="str">
        <f>IF(ISNUMBER(SEARCH("C", 'WetLitterbags placem_collection'!$W89)),"YES","NO")</f>
        <v>YES</v>
      </c>
      <c r="AN308" t="str">
        <f>IF(ISNUMBER(SEARCH("H", 'WetLitterbags placem_collection'!$W89)),"YES","NO")</f>
        <v>NO</v>
      </c>
      <c r="AO308" t="str">
        <f>IF(ISNUMBER(SEARCH("R", 'WetLitterbags placem_collection'!$W89)),"YES","NO")</f>
        <v>YES</v>
      </c>
    </row>
    <row r="309" spans="1:41" ht="15" customHeight="1">
      <c r="A309" s="255" t="s">
        <v>2454</v>
      </c>
      <c r="B309" s="260">
        <f>'Dry_Litterbag Placem_Collection'!A90</f>
        <v>88</v>
      </c>
      <c r="C309" s="260" t="str">
        <f>'Dry_Litterbag Placem_Collection'!B90</f>
        <v>Maswa</v>
      </c>
      <c r="D309" s="260" t="s">
        <v>2643</v>
      </c>
      <c r="E309" s="260" t="s">
        <v>2645</v>
      </c>
      <c r="F309" s="260">
        <v>3</v>
      </c>
      <c r="G309" s="260" t="s">
        <v>3813</v>
      </c>
      <c r="H309" s="261" t="str">
        <f>'Dry_Litterbag Placem_Collection'!C90</f>
        <v>Dry_W3_T8</v>
      </c>
      <c r="I309" s="262" t="s">
        <v>2525</v>
      </c>
      <c r="J309" s="269" t="s">
        <v>298</v>
      </c>
      <c r="K309" s="221" t="str">
        <f>'WetLitterbags placem_collection'!M90</f>
        <v>R385</v>
      </c>
      <c r="L309" s="223">
        <f>IFERROR(INDEX('Green_rooibos initial weight'!$C$5:$C$2000,MATCH(K309, 'Green_rooibos initial weight'!$A$5:$A$2000,0)),"")</f>
        <v>2.2559999999999998</v>
      </c>
      <c r="M309" s="223">
        <f>IFERROR(L309-(TBIcalc!$H$9+TBIcalc!$H$10),"")</f>
        <v>2.0061999999999998</v>
      </c>
      <c r="N309" s="385">
        <f>AVERAGE(Ashed_controlls!$K$2:$K$11)</f>
        <v>5.5147656768714146</v>
      </c>
      <c r="O309" s="223">
        <f t="shared" si="21"/>
        <v>1.8955627709906056</v>
      </c>
      <c r="P309" s="223" t="str">
        <f>IFERROR(INDEX('Both teabags AfterWet'!$C$3:$C$840,MATCH(K309,'Both teabags AfterWet'!$A$3:$A$840,0)),"")</f>
        <v/>
      </c>
      <c r="Q309" s="223" t="str">
        <f>IFERROR(IF(P309&gt;0,P309-(TBIcalc!$H$9),""),"")</f>
        <v/>
      </c>
      <c r="R309" s="223" t="str">
        <f>IFERROR(INDEX('Ashed teabags wet'!$K$2:$K$2000,MATCH(K309,'Ashed teabags wet'!$A$2:$A$2000,0)),"")</f>
        <v/>
      </c>
      <c r="S309" s="223" t="str">
        <f t="shared" si="22"/>
        <v/>
      </c>
      <c r="T309" s="224">
        <f>'WetLitterbags placem_collection'!E90</f>
        <v>42767</v>
      </c>
      <c r="U309" s="224">
        <f>IF('WetLitterbags placem_collection'!G90="","",'WetLitterbags placem_collection'!G90)</f>
        <v>42819</v>
      </c>
      <c r="V309" s="225">
        <f t="shared" si="20"/>
        <v>52</v>
      </c>
      <c r="W309" s="223" t="str">
        <f t="shared" si="23"/>
        <v/>
      </c>
      <c r="X309" s="223" t="str">
        <f t="shared" si="24"/>
        <v/>
      </c>
      <c r="Y309" t="str">
        <f>IFERROR(INDEX(Rainfall_Wet!$O$2:$O$217,MATCH(B309, Rainfall_Wet!$A$2:$A$217,0)),"")</f>
        <v/>
      </c>
      <c r="Z309" s="228">
        <v>38.691629007962128</v>
      </c>
      <c r="AA309" s="228">
        <v>26.81299763288143</v>
      </c>
      <c r="AB309" s="228">
        <v>34.495373359156439</v>
      </c>
      <c r="AC309" s="229" t="s">
        <v>2659</v>
      </c>
      <c r="AD309" s="228">
        <v>9.5483587974371602</v>
      </c>
      <c r="AE309" t="str">
        <f>IF('WetLitterbags placem_collection'!AB90="","",'WetLitterbags placem_collection'!AB90)</f>
        <v/>
      </c>
      <c r="AF309" t="str">
        <f>IF('WetLitterbags placem_collection'!Z90="","",'WetLitterbags placem_collection'!Z90)</f>
        <v/>
      </c>
      <c r="AG309" s="243" t="str">
        <f>IF('WetLitterbags placem_collection'!AA90="","",'WetLitterbags placem_collection'!AA90)</f>
        <v/>
      </c>
      <c r="AH309" t="str">
        <f>IF('WetLitterbags placem_collection'!AC90="","",'WetLitterbags placem_collection'!AC90)</f>
        <v/>
      </c>
      <c r="AI309" s="237">
        <f>AVERAGE('WetLitterbags placem_collection'!S90,'WetLitterbags placem_collection'!U90)</f>
        <v>29.7</v>
      </c>
      <c r="AJ309">
        <f>AVERAGE('WetLitterbags placem_collection'!R90,'WetLitterbags placem_collection'!T90)</f>
        <v>21.4</v>
      </c>
      <c r="AK309">
        <f>INDEX(Coordinates!$B$2:$B$197,MATCH(H309,Coordinates!$J$2:$J$197,0))</f>
        <v>-3.2959530039999998</v>
      </c>
      <c r="AL309">
        <f>INDEX(Coordinates!$C$2:$C$197,MATCH(H309,Coordinates!$J$2:$J$197,0))</f>
        <v>34.85242504</v>
      </c>
      <c r="AM309" t="str">
        <f>IF(ISNUMBER(SEARCH("C", 'WetLitterbags placem_collection'!$W90)),"YES","NO")</f>
        <v>NO</v>
      </c>
      <c r="AN309" t="str">
        <f>IF(ISNUMBER(SEARCH("H", 'WetLitterbags placem_collection'!$W90)),"YES","NO")</f>
        <v>NO</v>
      </c>
      <c r="AO309" t="str">
        <f>IF(ISNUMBER(SEARCH("R", 'WetLitterbags placem_collection'!$W90)),"YES","NO")</f>
        <v>NO</v>
      </c>
    </row>
    <row r="310" spans="1:41" ht="15" customHeight="1">
      <c r="A310" s="255" t="s">
        <v>2454</v>
      </c>
      <c r="B310" s="260">
        <f>'Dry_Litterbag Placem_Collection'!A91</f>
        <v>89</v>
      </c>
      <c r="C310" s="260" t="str">
        <f>'Dry_Litterbag Placem_Collection'!B91</f>
        <v>Maswa</v>
      </c>
      <c r="D310" s="260" t="s">
        <v>2643</v>
      </c>
      <c r="E310" s="260" t="s">
        <v>2645</v>
      </c>
      <c r="F310" s="260">
        <v>4</v>
      </c>
      <c r="G310" s="260" t="s">
        <v>3814</v>
      </c>
      <c r="H310" s="261" t="str">
        <f>'Dry_Litterbag Placem_Collection'!C91</f>
        <v>Dry_W4_T1</v>
      </c>
      <c r="I310" s="262" t="s">
        <v>2525</v>
      </c>
      <c r="J310" s="269" t="s">
        <v>298</v>
      </c>
      <c r="K310" s="221" t="str">
        <f>'WetLitterbags placem_collection'!M91</f>
        <v>R196</v>
      </c>
      <c r="L310" s="223">
        <f>IFERROR(INDEX('Green_rooibos initial weight'!$C$5:$C$2000,MATCH(K310, 'Green_rooibos initial weight'!$A$5:$A$2000,0)),"")</f>
        <v>2.242</v>
      </c>
      <c r="M310" s="223">
        <f>IFERROR(L310-(TBIcalc!$H$9+TBIcalc!$H$10),"")</f>
        <v>1.9922</v>
      </c>
      <c r="N310" s="385">
        <f>AVERAGE(Ashed_controlls!$K$2:$K$11)</f>
        <v>5.5147656768714146</v>
      </c>
      <c r="O310" s="223">
        <f t="shared" si="21"/>
        <v>1.8823348381853677</v>
      </c>
      <c r="P310" s="223">
        <f>IFERROR(INDEX('Both teabags AfterWet'!$C$3:$C$840,MATCH(K310,'Both teabags AfterWet'!$A$3:$A$840,0)),"")</f>
        <v>0.17399999999999999</v>
      </c>
      <c r="Q310" s="223">
        <f>IFERROR(IF(P310&gt;0,P310-(TBIcalc!$H$9),""),"")</f>
        <v>2.3399999999999976E-2</v>
      </c>
      <c r="R310" s="223">
        <f>IFERROR(INDEX('Ashed teabags wet'!$K$2:$K$2000,MATCH(K310,'Ashed teabags wet'!$A$2:$A$2000,0)),"")</f>
        <v>0</v>
      </c>
      <c r="S310" s="223">
        <f t="shared" si="22"/>
        <v>2.3399999999999976E-2</v>
      </c>
      <c r="T310" s="224">
        <f>'WetLitterbags placem_collection'!E91</f>
        <v>42767</v>
      </c>
      <c r="U310" s="224">
        <f>IF('WetLitterbags placem_collection'!G91="","",'WetLitterbags placem_collection'!G91)</f>
        <v>42819</v>
      </c>
      <c r="V310" s="225">
        <f t="shared" si="20"/>
        <v>52</v>
      </c>
      <c r="W310" s="223">
        <f t="shared" si="23"/>
        <v>1.9687999999999999</v>
      </c>
      <c r="X310" s="223">
        <f t="shared" si="24"/>
        <v>1.8589348381853679</v>
      </c>
      <c r="Y310">
        <f>IFERROR(INDEX(Rainfall_Wet!$O$2:$O$217,MATCH(B310, Rainfall_Wet!$A$2:$A$217,0)),"")</f>
        <v>194.93009798400001</v>
      </c>
      <c r="Z310" s="228">
        <v>28.145762029394</v>
      </c>
      <c r="AA310" s="228">
        <v>25.085564727199518</v>
      </c>
      <c r="AB310" s="228">
        <v>46.768673243406489</v>
      </c>
      <c r="AC310" s="229" t="s">
        <v>2654</v>
      </c>
      <c r="AD310" s="228">
        <v>2.1716214884179394</v>
      </c>
      <c r="AE310">
        <f>IF('WetLitterbags placem_collection'!AB91="","",'WetLitterbags placem_collection'!AB91)</f>
        <v>7.3</v>
      </c>
      <c r="AF310">
        <f>IF('WetLitterbags placem_collection'!Z91="","",'WetLitterbags placem_collection'!Z91)</f>
        <v>35.799999999999997</v>
      </c>
      <c r="AG310" s="243" t="str">
        <f>IF('WetLitterbags placem_collection'!AA91="","",'WetLitterbags placem_collection'!AA91)</f>
        <v>O</v>
      </c>
      <c r="AH310">
        <f>IF('WetLitterbags placem_collection'!AC91="","",'WetLitterbags placem_collection'!AC91)</f>
        <v>0</v>
      </c>
      <c r="AI310" s="237">
        <f>AVERAGE('WetLitterbags placem_collection'!S91,'WetLitterbags placem_collection'!U91)</f>
        <v>20.95</v>
      </c>
      <c r="AJ310">
        <f>AVERAGE('WetLitterbags placem_collection'!R91,'WetLitterbags placem_collection'!T91)</f>
        <v>24.45</v>
      </c>
      <c r="AK310">
        <f>INDEX(Coordinates!$B$2:$B$197,MATCH(H310,Coordinates!$J$2:$J$197,0))</f>
        <v>-3.2966709980000002</v>
      </c>
      <c r="AL310">
        <f>INDEX(Coordinates!$C$2:$C$197,MATCH(H310,Coordinates!$J$2:$J$197,0))</f>
        <v>34.854407019999996</v>
      </c>
      <c r="AM310" t="str">
        <f>IF(ISNUMBER(SEARCH("C", 'WetLitterbags placem_collection'!$W91)),"YES","NO")</f>
        <v>NO</v>
      </c>
      <c r="AN310" t="str">
        <f>IF(ISNUMBER(SEARCH("H", 'WetLitterbags placem_collection'!$W91)),"YES","NO")</f>
        <v>YES</v>
      </c>
      <c r="AO310" t="str">
        <f>IF(ISNUMBER(SEARCH("R", 'WetLitterbags placem_collection'!$W91)),"YES","NO")</f>
        <v>YES</v>
      </c>
    </row>
    <row r="311" spans="1:41" ht="15" customHeight="1">
      <c r="A311" s="255" t="s">
        <v>2454</v>
      </c>
      <c r="B311" s="260">
        <f>'Dry_Litterbag Placem_Collection'!A92</f>
        <v>90</v>
      </c>
      <c r="C311" s="260" t="str">
        <f>'Dry_Litterbag Placem_Collection'!B92</f>
        <v>Maswa</v>
      </c>
      <c r="D311" s="260" t="s">
        <v>2643</v>
      </c>
      <c r="E311" s="260" t="s">
        <v>2645</v>
      </c>
      <c r="F311" s="260">
        <v>4</v>
      </c>
      <c r="G311" s="260" t="s">
        <v>3814</v>
      </c>
      <c r="H311" s="261" t="str">
        <f>'Dry_Litterbag Placem_Collection'!C92</f>
        <v>Dry_W4_T2</v>
      </c>
      <c r="I311" s="262" t="s">
        <v>2525</v>
      </c>
      <c r="J311" s="269" t="s">
        <v>298</v>
      </c>
      <c r="K311" s="221" t="str">
        <f>'WetLitterbags placem_collection'!M92</f>
        <v>R94</v>
      </c>
      <c r="L311" s="223">
        <f>IFERROR(INDEX('Green_rooibos initial weight'!$C$5:$C$2000,MATCH(K311, 'Green_rooibos initial weight'!$A$5:$A$2000,0)),"")</f>
        <v>2.2770000000000001</v>
      </c>
      <c r="M311" s="223">
        <f>IFERROR(L311-(TBIcalc!$H$9+TBIcalc!$H$10),"")</f>
        <v>2.0272000000000001</v>
      </c>
      <c r="N311" s="385">
        <f>AVERAGE(Ashed_controlls!$K$2:$K$11)</f>
        <v>5.5147656768714146</v>
      </c>
      <c r="O311" s="223">
        <f t="shared" si="21"/>
        <v>1.9154046701984628</v>
      </c>
      <c r="P311" s="223" t="str">
        <f>IFERROR(INDEX('Both teabags AfterWet'!$C$3:$C$840,MATCH(K311,'Both teabags AfterWet'!$A$3:$A$840,0)),"")</f>
        <v/>
      </c>
      <c r="Q311" s="223" t="str">
        <f>IFERROR(IF(P311&gt;0,P311-(TBIcalc!$H$9),""),"")</f>
        <v/>
      </c>
      <c r="R311" s="223">
        <f>IFERROR(INDEX('Ashed teabags wet'!$K$2:$K$2000,MATCH(K311,'Ashed teabags wet'!$A$2:$A$2000,0)),"")</f>
        <v>4.0694789081900105</v>
      </c>
      <c r="S311" s="223" t="str">
        <f t="shared" si="22"/>
        <v/>
      </c>
      <c r="T311" s="224">
        <f>'WetLitterbags placem_collection'!E92</f>
        <v>42767</v>
      </c>
      <c r="U311" s="224">
        <f>IF('WetLitterbags placem_collection'!G92="","",'WetLitterbags placem_collection'!G92)</f>
        <v>42819</v>
      </c>
      <c r="V311" s="225">
        <f t="shared" si="20"/>
        <v>52</v>
      </c>
      <c r="W311" s="223" t="str">
        <f t="shared" si="23"/>
        <v/>
      </c>
      <c r="X311" s="223" t="str">
        <f t="shared" si="24"/>
        <v/>
      </c>
      <c r="Y311">
        <f>IFERROR(INDEX(Rainfall_Wet!$O$2:$O$217,MATCH(B311, Rainfall_Wet!$A$2:$A$217,0)),"")</f>
        <v>194.93009798400001</v>
      </c>
      <c r="Z311" s="228">
        <v>28.145762029394</v>
      </c>
      <c r="AA311" s="228">
        <v>25.085564727199518</v>
      </c>
      <c r="AB311" s="228">
        <v>46.768673243406489</v>
      </c>
      <c r="AC311" s="229" t="s">
        <v>2654</v>
      </c>
      <c r="AD311" s="228">
        <v>3.1716214884179399</v>
      </c>
      <c r="AE311">
        <f>IF('WetLitterbags placem_collection'!AB92="","",'WetLitterbags placem_collection'!AB92)</f>
        <v>7.7</v>
      </c>
      <c r="AF311">
        <f>IF('WetLitterbags placem_collection'!Z92="","",'WetLitterbags placem_collection'!Z92)</f>
        <v>30.4</v>
      </c>
      <c r="AG311" s="243" t="str">
        <f>IF('WetLitterbags placem_collection'!AA92="","",'WetLitterbags placem_collection'!AA92)</f>
        <v>O</v>
      </c>
      <c r="AH311">
        <f>IF('WetLitterbags placem_collection'!AC92="","",'WetLitterbags placem_collection'!AC92)</f>
        <v>0</v>
      </c>
      <c r="AI311" s="237">
        <f>AVERAGE('WetLitterbags placem_collection'!S92,'WetLitterbags placem_collection'!U92)</f>
        <v>27.5</v>
      </c>
      <c r="AJ311">
        <f>AVERAGE('WetLitterbags placem_collection'!R92,'WetLitterbags placem_collection'!T92)</f>
        <v>23.85</v>
      </c>
      <c r="AK311">
        <f>INDEX(Coordinates!$B$2:$B$197,MATCH(H311,Coordinates!$J$2:$J$197,0))</f>
        <v>-3.2966860009999999</v>
      </c>
      <c r="AL311">
        <f>INDEX(Coordinates!$C$2:$C$197,MATCH(H311,Coordinates!$J$2:$J$197,0))</f>
        <v>34.854371989999997</v>
      </c>
      <c r="AM311" t="str">
        <f>IF(ISNUMBER(SEARCH("C", 'WetLitterbags placem_collection'!$W92)),"YES","NO")</f>
        <v>NO</v>
      </c>
      <c r="AN311" t="str">
        <f>IF(ISNUMBER(SEARCH("H", 'WetLitterbags placem_collection'!$W92)),"YES","NO")</f>
        <v>NO</v>
      </c>
      <c r="AO311" t="str">
        <f>IF(ISNUMBER(SEARCH("R", 'WetLitterbags placem_collection'!$W92)),"YES","NO")</f>
        <v>YES</v>
      </c>
    </row>
    <row r="312" spans="1:41" ht="15" customHeight="1">
      <c r="A312" s="255" t="s">
        <v>2454</v>
      </c>
      <c r="B312" s="260">
        <f>'Dry_Litterbag Placem_Collection'!A93</f>
        <v>91</v>
      </c>
      <c r="C312" s="260" t="str">
        <f>'Dry_Litterbag Placem_Collection'!B93</f>
        <v>Maswa</v>
      </c>
      <c r="D312" s="260" t="s">
        <v>2643</v>
      </c>
      <c r="E312" s="260" t="s">
        <v>2645</v>
      </c>
      <c r="F312" s="260">
        <v>4</v>
      </c>
      <c r="G312" s="260" t="s">
        <v>3814</v>
      </c>
      <c r="H312" s="261" t="str">
        <f>'Dry_Litterbag Placem_Collection'!C93</f>
        <v>Dry_W4_T3</v>
      </c>
      <c r="I312" s="262" t="s">
        <v>2525</v>
      </c>
      <c r="J312" s="269" t="s">
        <v>298</v>
      </c>
      <c r="K312" s="221" t="str">
        <f>'WetLitterbags placem_collection'!M93</f>
        <v>R343</v>
      </c>
      <c r="L312" s="223">
        <f>IFERROR(INDEX('Green_rooibos initial weight'!$C$5:$C$2000,MATCH(K312, 'Green_rooibos initial weight'!$A$5:$A$2000,0)),"")</f>
        <v>2.2429999999999999</v>
      </c>
      <c r="M312" s="223">
        <f>IFERROR(L312-(TBIcalc!$H$9+TBIcalc!$H$10),"")</f>
        <v>1.9931999999999999</v>
      </c>
      <c r="N312" s="385">
        <f>AVERAGE(Ashed_controlls!$K$2:$K$11)</f>
        <v>5.5147656768714146</v>
      </c>
      <c r="O312" s="223">
        <f t="shared" si="21"/>
        <v>1.8832796905285989</v>
      </c>
      <c r="P312" s="223">
        <f>IFERROR(INDEX('Both teabags AfterWet'!$C$3:$C$840,MATCH(K312,'Both teabags AfterWet'!$A$3:$A$840,0)),"")</f>
        <v>0.16200000000000001</v>
      </c>
      <c r="Q312" s="223">
        <f>IFERROR(IF(P312&gt;0,P312-(TBIcalc!$H$9),""),"")</f>
        <v>1.1399999999999993E-2</v>
      </c>
      <c r="R312" s="223">
        <f>IFERROR(INDEX('Ashed teabags wet'!$K$2:$K$2000,MATCH(K312,'Ashed teabags wet'!$A$2:$A$2000,0)),"")</f>
        <v>83.97683397683403</v>
      </c>
      <c r="S312" s="223">
        <f t="shared" si="22"/>
        <v>1.8266409266409194E-3</v>
      </c>
      <c r="T312" s="224">
        <f>'WetLitterbags placem_collection'!E93</f>
        <v>42767</v>
      </c>
      <c r="U312" s="224">
        <f>IF('WetLitterbags placem_collection'!G93="","",'WetLitterbags placem_collection'!G93)</f>
        <v>42819</v>
      </c>
      <c r="V312" s="225">
        <f t="shared" si="20"/>
        <v>52</v>
      </c>
      <c r="W312" s="223">
        <f t="shared" si="23"/>
        <v>1.9817999999999998</v>
      </c>
      <c r="X312" s="223">
        <f t="shared" si="24"/>
        <v>1.8814530496019579</v>
      </c>
      <c r="Y312">
        <f>IFERROR(INDEX(Rainfall_Wet!$O$2:$O$217,MATCH(B312, Rainfall_Wet!$A$2:$A$217,0)),"")</f>
        <v>194.93009798400001</v>
      </c>
      <c r="Z312" s="228">
        <v>28.145762029394</v>
      </c>
      <c r="AA312" s="228">
        <v>25.085564727199518</v>
      </c>
      <c r="AB312" s="228">
        <v>46.768673243406489</v>
      </c>
      <c r="AC312" s="229" t="s">
        <v>2654</v>
      </c>
      <c r="AD312" s="228">
        <v>4.1716214884179399</v>
      </c>
      <c r="AE312">
        <f>IF('WetLitterbags placem_collection'!AB93="","",'WetLitterbags placem_collection'!AB93)</f>
        <v>6.1</v>
      </c>
      <c r="AF312">
        <f>IF('WetLitterbags placem_collection'!Z93="","",'WetLitterbags placem_collection'!Z93)</f>
        <v>39.4</v>
      </c>
      <c r="AG312" s="243" t="str">
        <f>IF('WetLitterbags placem_collection'!AA93="","",'WetLitterbags placem_collection'!AA93)</f>
        <v>O</v>
      </c>
      <c r="AH312">
        <f>IF('WetLitterbags placem_collection'!AC93="","",'WetLitterbags placem_collection'!AC93)</f>
        <v>1</v>
      </c>
      <c r="AI312" s="237">
        <f>AVERAGE('WetLitterbags placem_collection'!S93,'WetLitterbags placem_collection'!U93)</f>
        <v>26.4</v>
      </c>
      <c r="AJ312">
        <f>AVERAGE('WetLitterbags placem_collection'!R93,'WetLitterbags placem_collection'!T93)</f>
        <v>24.35</v>
      </c>
      <c r="AK312">
        <f>INDEX(Coordinates!$B$2:$B$197,MATCH(H312,Coordinates!$J$2:$J$197,0))</f>
        <v>-3.2966180239999998</v>
      </c>
      <c r="AL312">
        <f>INDEX(Coordinates!$C$2:$C$197,MATCH(H312,Coordinates!$J$2:$J$197,0))</f>
        <v>34.854464020000002</v>
      </c>
      <c r="AM312" t="str">
        <f>IF(ISNUMBER(SEARCH("C", 'WetLitterbags placem_collection'!$W93)),"YES","NO")</f>
        <v>YES</v>
      </c>
      <c r="AN312" t="str">
        <f>IF(ISNUMBER(SEARCH("H", 'WetLitterbags placem_collection'!$W93)),"YES","NO")</f>
        <v>YES</v>
      </c>
      <c r="AO312" t="str">
        <f>IF(ISNUMBER(SEARCH("R", 'WetLitterbags placem_collection'!$W93)),"YES","NO")</f>
        <v>NO</v>
      </c>
    </row>
    <row r="313" spans="1:41" ht="15" customHeight="1">
      <c r="A313" s="255" t="s">
        <v>2454</v>
      </c>
      <c r="B313" s="260">
        <f>'Dry_Litterbag Placem_Collection'!A94</f>
        <v>92</v>
      </c>
      <c r="C313" s="260" t="str">
        <f>'Dry_Litterbag Placem_Collection'!B94</f>
        <v>Maswa</v>
      </c>
      <c r="D313" s="260" t="s">
        <v>2643</v>
      </c>
      <c r="E313" s="260" t="s">
        <v>2645</v>
      </c>
      <c r="F313" s="260">
        <v>4</v>
      </c>
      <c r="G313" s="260" t="s">
        <v>3814</v>
      </c>
      <c r="H313" s="261" t="str">
        <f>'Dry_Litterbag Placem_Collection'!C94</f>
        <v>Dry_W4_T4</v>
      </c>
      <c r="I313" s="262" t="s">
        <v>2525</v>
      </c>
      <c r="J313" s="269" t="s">
        <v>298</v>
      </c>
      <c r="K313" s="221" t="str">
        <f>'WetLitterbags placem_collection'!M94</f>
        <v>R445</v>
      </c>
      <c r="L313" s="223">
        <f>IFERROR(INDEX('Green_rooibos initial weight'!$C$5:$C$2000,MATCH(K313, 'Green_rooibos initial weight'!$A$5:$A$2000,0)),"")</f>
        <v>2.2389999999999999</v>
      </c>
      <c r="M313" s="223">
        <f>IFERROR(L313-(TBIcalc!$H$9+TBIcalc!$H$10),"")</f>
        <v>1.9891999999999999</v>
      </c>
      <c r="N313" s="385">
        <f>AVERAGE(Ashed_controlls!$K$2:$K$11)</f>
        <v>5.5147656768714146</v>
      </c>
      <c r="O313" s="223">
        <f t="shared" si="21"/>
        <v>1.8795002811556736</v>
      </c>
      <c r="P313" s="223">
        <f>IFERROR(INDEX('Both teabags AfterWet'!$C$3:$C$840,MATCH(K313,'Both teabags AfterWet'!$A$3:$A$840,0)),"")</f>
        <v>0.31</v>
      </c>
      <c r="Q313" s="223">
        <f>IFERROR(IF(P313&gt;0,P313-(TBIcalc!$H$9),""),"")</f>
        <v>0.15939999999999999</v>
      </c>
      <c r="R313" s="223">
        <f>IFERROR(INDEX('Ashed teabags wet'!$K$2:$K$2000,MATCH(K313,'Ashed teabags wet'!$A$2:$A$2000,0)),"")</f>
        <v>0</v>
      </c>
      <c r="S313" s="223">
        <f t="shared" si="22"/>
        <v>0.15939999999999999</v>
      </c>
      <c r="T313" s="224">
        <f>'WetLitterbags placem_collection'!E94</f>
        <v>42767</v>
      </c>
      <c r="U313" s="224">
        <f>IF('WetLitterbags placem_collection'!G94="","",'WetLitterbags placem_collection'!G94)</f>
        <v>42819</v>
      </c>
      <c r="V313" s="225">
        <f t="shared" si="20"/>
        <v>52</v>
      </c>
      <c r="W313" s="223">
        <f t="shared" si="23"/>
        <v>1.8297999999999999</v>
      </c>
      <c r="X313" s="223">
        <f t="shared" si="24"/>
        <v>1.7201002811556736</v>
      </c>
      <c r="Y313">
        <f>IFERROR(INDEX(Rainfall_Wet!$O$2:$O$217,MATCH(B313, Rainfall_Wet!$A$2:$A$217,0)),"")</f>
        <v>194.93009798400001</v>
      </c>
      <c r="Z313" s="228">
        <v>28.145762029394</v>
      </c>
      <c r="AA313" s="228">
        <v>25.085564727199518</v>
      </c>
      <c r="AB313" s="228">
        <v>46.768673243406489</v>
      </c>
      <c r="AC313" s="229" t="s">
        <v>2654</v>
      </c>
      <c r="AD313" s="228">
        <v>5.1716214884179399</v>
      </c>
      <c r="AE313">
        <f>IF('WetLitterbags placem_collection'!AB94="","",'WetLitterbags placem_collection'!AB94)</f>
        <v>7.7</v>
      </c>
      <c r="AF313">
        <f>IF('WetLitterbags placem_collection'!Z94="","",'WetLitterbags placem_collection'!Z94)</f>
        <v>24.8</v>
      </c>
      <c r="AG313" s="243" t="str">
        <f>IF('WetLitterbags placem_collection'!AA94="","",'WetLitterbags placem_collection'!AA94)</f>
        <v>O</v>
      </c>
      <c r="AH313">
        <f>IF('WetLitterbags placem_collection'!AC94="","",'WetLitterbags placem_collection'!AC94)</f>
        <v>1</v>
      </c>
      <c r="AI313" s="237">
        <f>AVERAGE('WetLitterbags placem_collection'!S94,'WetLitterbags placem_collection'!U94)</f>
        <v>26.45</v>
      </c>
      <c r="AJ313">
        <f>AVERAGE('WetLitterbags placem_collection'!R94,'WetLitterbags placem_collection'!T94)</f>
        <v>22.6</v>
      </c>
      <c r="AK313">
        <f>INDEX(Coordinates!$B$2:$B$197,MATCH(H313,Coordinates!$J$2:$J$197,0))</f>
        <v>-3.2965539860000002</v>
      </c>
      <c r="AL313">
        <f>INDEX(Coordinates!$C$2:$C$197,MATCH(H313,Coordinates!$J$2:$J$197,0))</f>
        <v>34.854455969999997</v>
      </c>
      <c r="AM313" t="str">
        <f>IF(ISNUMBER(SEARCH("C", 'WetLitterbags placem_collection'!$W94)),"YES","NO")</f>
        <v>YES</v>
      </c>
      <c r="AN313" t="str">
        <f>IF(ISNUMBER(SEARCH("H", 'WetLitterbags placem_collection'!$W94)),"YES","NO")</f>
        <v>YES</v>
      </c>
      <c r="AO313" t="str">
        <f>IF(ISNUMBER(SEARCH("R", 'WetLitterbags placem_collection'!$W94)),"YES","NO")</f>
        <v>NO</v>
      </c>
    </row>
    <row r="314" spans="1:41" ht="15" customHeight="1">
      <c r="A314" s="255" t="s">
        <v>2454</v>
      </c>
      <c r="B314" s="260">
        <f>'Dry_Litterbag Placem_Collection'!A95</f>
        <v>93</v>
      </c>
      <c r="C314" s="260" t="str">
        <f>'Dry_Litterbag Placem_Collection'!B95</f>
        <v>Maswa</v>
      </c>
      <c r="D314" s="260" t="s">
        <v>2643</v>
      </c>
      <c r="E314" s="260" t="s">
        <v>2645</v>
      </c>
      <c r="F314" s="260">
        <v>4</v>
      </c>
      <c r="G314" s="260" t="s">
        <v>3814</v>
      </c>
      <c r="H314" s="261" t="str">
        <f>'Dry_Litterbag Placem_Collection'!C95</f>
        <v>Dry_W4_T5</v>
      </c>
      <c r="I314" s="262" t="s">
        <v>2525</v>
      </c>
      <c r="J314" s="269" t="s">
        <v>298</v>
      </c>
      <c r="K314" s="221" t="str">
        <f>'WetLitterbags placem_collection'!M95</f>
        <v>R12</v>
      </c>
      <c r="L314" s="223">
        <f>IFERROR(INDEX('Green_rooibos initial weight'!$C$5:$C$2000,MATCH(K314, 'Green_rooibos initial weight'!$A$5:$A$2000,0)),"")</f>
        <v>2.1709999999999998</v>
      </c>
      <c r="M314" s="223">
        <f>IFERROR(L314-(TBIcalc!$H$9+TBIcalc!$H$10),"")</f>
        <v>1.9211999999999998</v>
      </c>
      <c r="N314" s="385">
        <f>AVERAGE(Ashed_controlls!$K$2:$K$11)</f>
        <v>5.5147656768714146</v>
      </c>
      <c r="O314" s="223">
        <f t="shared" si="21"/>
        <v>1.8152503218159461</v>
      </c>
      <c r="P314" s="223">
        <f>IFERROR(INDEX('Both teabags AfterWet'!$C$3:$C$840,MATCH(K314,'Both teabags AfterWet'!$A$3:$A$840,0)),"")</f>
        <v>0.17</v>
      </c>
      <c r="Q314" s="223">
        <f>IFERROR(IF(P314&gt;0,P314-(TBIcalc!$H$9),""),"")</f>
        <v>1.9400000000000001E-2</v>
      </c>
      <c r="R314" s="223">
        <f>IFERROR(INDEX('Ashed teabags wet'!$K$2:$K$2000,MATCH(K314,'Ashed teabags wet'!$A$2:$A$2000,0)),"")</f>
        <v>0</v>
      </c>
      <c r="S314" s="223">
        <f t="shared" si="22"/>
        <v>1.9400000000000001E-2</v>
      </c>
      <c r="T314" s="224">
        <f>'WetLitterbags placem_collection'!E95</f>
        <v>42767</v>
      </c>
      <c r="U314" s="224">
        <f>IF('WetLitterbags placem_collection'!G95="","",'WetLitterbags placem_collection'!G95)</f>
        <v>42819</v>
      </c>
      <c r="V314" s="225">
        <f t="shared" si="20"/>
        <v>52</v>
      </c>
      <c r="W314" s="223">
        <f t="shared" si="23"/>
        <v>1.9017999999999997</v>
      </c>
      <c r="X314" s="223">
        <f t="shared" si="24"/>
        <v>1.7958503218159461</v>
      </c>
      <c r="Y314">
        <f>IFERROR(INDEX(Rainfall_Wet!$O$2:$O$217,MATCH(B314, Rainfall_Wet!$A$2:$A$217,0)),"")</f>
        <v>194.93009798400001</v>
      </c>
      <c r="Z314" s="228">
        <v>28.145762029394</v>
      </c>
      <c r="AA314" s="228">
        <v>25.085564727199518</v>
      </c>
      <c r="AB314" s="228">
        <v>46.768673243406489</v>
      </c>
      <c r="AC314" s="229" t="s">
        <v>2654</v>
      </c>
      <c r="AD314" s="228">
        <v>6.1716214884179399</v>
      </c>
      <c r="AE314">
        <f>IF('WetLitterbags placem_collection'!AB95="","",'WetLitterbags placem_collection'!AB95)</f>
        <v>6.6</v>
      </c>
      <c r="AF314">
        <f>IF('WetLitterbags placem_collection'!Z95="","",'WetLitterbags placem_collection'!Z95)</f>
        <v>40</v>
      </c>
      <c r="AG314" s="243" t="str">
        <f>IF('WetLitterbags placem_collection'!AA95="","",'WetLitterbags placem_collection'!AA95)</f>
        <v>O</v>
      </c>
      <c r="AH314">
        <f>IF('WetLitterbags placem_collection'!AC95="","",'WetLitterbags placem_collection'!AC95)</f>
        <v>1</v>
      </c>
      <c r="AI314" s="237">
        <f>AVERAGE('WetLitterbags placem_collection'!S95,'WetLitterbags placem_collection'!U95)</f>
        <v>25.25</v>
      </c>
      <c r="AJ314">
        <f>AVERAGE('WetLitterbags placem_collection'!R95,'WetLitterbags placem_collection'!T95)</f>
        <v>23.5</v>
      </c>
      <c r="AK314">
        <f>INDEX(Coordinates!$B$2:$B$197,MATCH(H314,Coordinates!$J$2:$J$197,0))</f>
        <v>-3.2964789680000002</v>
      </c>
      <c r="AL314">
        <f>INDEX(Coordinates!$C$2:$C$197,MATCH(H314,Coordinates!$J$2:$J$197,0))</f>
        <v>34.854331000000002</v>
      </c>
      <c r="AM314" t="str">
        <f>IF(ISNUMBER(SEARCH("C", 'WetLitterbags placem_collection'!$W95)),"YES","NO")</f>
        <v>NO</v>
      </c>
      <c r="AN314" t="str">
        <f>IF(ISNUMBER(SEARCH("H", 'WetLitterbags placem_collection'!$W95)),"YES","NO")</f>
        <v>YES</v>
      </c>
      <c r="AO314" t="str">
        <f>IF(ISNUMBER(SEARCH("R", 'WetLitterbags placem_collection'!$W95)),"YES","NO")</f>
        <v>NO</v>
      </c>
    </row>
    <row r="315" spans="1:41" ht="15" customHeight="1">
      <c r="A315" s="255" t="s">
        <v>2454</v>
      </c>
      <c r="B315" s="260">
        <f>'Dry_Litterbag Placem_Collection'!A96</f>
        <v>94</v>
      </c>
      <c r="C315" s="260" t="str">
        <f>'Dry_Litterbag Placem_Collection'!B96</f>
        <v>Maswa</v>
      </c>
      <c r="D315" s="260" t="s">
        <v>2643</v>
      </c>
      <c r="E315" s="260" t="s">
        <v>2645</v>
      </c>
      <c r="F315" s="260">
        <v>4</v>
      </c>
      <c r="G315" s="260" t="s">
        <v>3814</v>
      </c>
      <c r="H315" s="261" t="str">
        <f>'Dry_Litterbag Placem_Collection'!C96</f>
        <v>Dry_W4_T6</v>
      </c>
      <c r="I315" s="262" t="s">
        <v>2525</v>
      </c>
      <c r="J315" s="269" t="s">
        <v>298</v>
      </c>
      <c r="K315" s="221" t="str">
        <f>'WetLitterbags placem_collection'!M96</f>
        <v>R244</v>
      </c>
      <c r="L315" s="223">
        <f>IFERROR(INDEX('Green_rooibos initial weight'!$C$5:$C$2000,MATCH(K315, 'Green_rooibos initial weight'!$A$5:$A$2000,0)),"")</f>
        <v>2.2490000000000001</v>
      </c>
      <c r="M315" s="223">
        <f>IFERROR(L315-(TBIcalc!$H$9+TBIcalc!$H$10),"")</f>
        <v>1.9992000000000001</v>
      </c>
      <c r="N315" s="385">
        <f>AVERAGE(Ashed_controlls!$K$2:$K$11)</f>
        <v>5.5147656768714146</v>
      </c>
      <c r="O315" s="223">
        <f t="shared" si="21"/>
        <v>1.8889488045879868</v>
      </c>
      <c r="P315" s="223" t="str">
        <f>IFERROR(INDEX('Both teabags AfterWet'!$C$3:$C$840,MATCH(K315,'Both teabags AfterWet'!$A$3:$A$840,0)),"")</f>
        <v/>
      </c>
      <c r="Q315" s="223" t="str">
        <f>IFERROR(IF(P315&gt;0,P315-(TBIcalc!$H$9),""),"")</f>
        <v/>
      </c>
      <c r="R315" s="223" t="str">
        <f>IFERROR(INDEX('Ashed teabags wet'!$K$2:$K$2000,MATCH(K315,'Ashed teabags wet'!$A$2:$A$2000,0)),"")</f>
        <v/>
      </c>
      <c r="S315" s="223" t="str">
        <f t="shared" si="22"/>
        <v/>
      </c>
      <c r="T315" s="224">
        <f>'WetLitterbags placem_collection'!E96</f>
        <v>42767</v>
      </c>
      <c r="U315" s="224">
        <f>IF('WetLitterbags placem_collection'!G96="","",'WetLitterbags placem_collection'!G96)</f>
        <v>42819</v>
      </c>
      <c r="V315" s="225">
        <f t="shared" si="20"/>
        <v>52</v>
      </c>
      <c r="W315" s="223" t="str">
        <f t="shared" si="23"/>
        <v/>
      </c>
      <c r="X315" s="223" t="str">
        <f t="shared" si="24"/>
        <v/>
      </c>
      <c r="Y315" t="str">
        <f>IFERROR(INDEX(Rainfall_Wet!$O$2:$O$217,MATCH(B315, Rainfall_Wet!$A$2:$A$217,0)),"")</f>
        <v/>
      </c>
      <c r="Z315" s="228">
        <v>28.145762029394</v>
      </c>
      <c r="AA315" s="228">
        <v>25.085564727199518</v>
      </c>
      <c r="AB315" s="228">
        <v>46.768673243406489</v>
      </c>
      <c r="AC315" s="229" t="s">
        <v>2654</v>
      </c>
      <c r="AD315" s="228">
        <v>7.1716214884179399</v>
      </c>
      <c r="AE315" t="str">
        <f>IF('WetLitterbags placem_collection'!AB96="","",'WetLitterbags placem_collection'!AB96)</f>
        <v/>
      </c>
      <c r="AF315" t="str">
        <f>IF('WetLitterbags placem_collection'!Z96="","",'WetLitterbags placem_collection'!Z96)</f>
        <v/>
      </c>
      <c r="AG315" s="243" t="str">
        <f>IF('WetLitterbags placem_collection'!AA96="","",'WetLitterbags placem_collection'!AA96)</f>
        <v/>
      </c>
      <c r="AH315" t="str">
        <f>IF('WetLitterbags placem_collection'!AC96="","",'WetLitterbags placem_collection'!AC96)</f>
        <v/>
      </c>
      <c r="AI315" s="237">
        <f>AVERAGE('WetLitterbags placem_collection'!S96,'WetLitterbags placem_collection'!U96)</f>
        <v>36.200000000000003</v>
      </c>
      <c r="AJ315">
        <f>AVERAGE('WetLitterbags placem_collection'!R96,'WetLitterbags placem_collection'!T96)</f>
        <v>22</v>
      </c>
      <c r="AK315">
        <f>INDEX(Coordinates!$B$2:$B$197,MATCH(H315,Coordinates!$J$2:$J$197,0))</f>
        <v>-3.2964649700000002</v>
      </c>
      <c r="AL315">
        <f>INDEX(Coordinates!$C$2:$C$197,MATCH(H315,Coordinates!$J$2:$J$197,0))</f>
        <v>34.854340970000003</v>
      </c>
      <c r="AM315" t="str">
        <f>IF(ISNUMBER(SEARCH("C", 'WetLitterbags placem_collection'!$W96)),"YES","NO")</f>
        <v>NO</v>
      </c>
      <c r="AN315" t="str">
        <f>IF(ISNUMBER(SEARCH("H", 'WetLitterbags placem_collection'!$W96)),"YES","NO")</f>
        <v>NO</v>
      </c>
      <c r="AO315" t="str">
        <f>IF(ISNUMBER(SEARCH("R", 'WetLitterbags placem_collection'!$W96)),"YES","NO")</f>
        <v>NO</v>
      </c>
    </row>
    <row r="316" spans="1:41" ht="15" customHeight="1">
      <c r="A316" s="255" t="s">
        <v>2454</v>
      </c>
      <c r="B316" s="260">
        <f>'Dry_Litterbag Placem_Collection'!A97</f>
        <v>95</v>
      </c>
      <c r="C316" s="260" t="str">
        <f>'Dry_Litterbag Placem_Collection'!B97</f>
        <v>Maswa</v>
      </c>
      <c r="D316" s="260" t="s">
        <v>2643</v>
      </c>
      <c r="E316" s="260" t="s">
        <v>2645</v>
      </c>
      <c r="F316" s="260">
        <v>4</v>
      </c>
      <c r="G316" s="260" t="s">
        <v>3814</v>
      </c>
      <c r="H316" s="261" t="str">
        <f>'Dry_Litterbag Placem_Collection'!C97</f>
        <v>Dry_W4_T7</v>
      </c>
      <c r="I316" s="262" t="s">
        <v>2525</v>
      </c>
      <c r="J316" s="269" t="s">
        <v>298</v>
      </c>
      <c r="K316" s="221" t="str">
        <f>'WetLitterbags placem_collection'!M97</f>
        <v>R360</v>
      </c>
      <c r="L316" s="223">
        <f>IFERROR(INDEX('Green_rooibos initial weight'!$C$5:$C$2000,MATCH(K316, 'Green_rooibos initial weight'!$A$5:$A$2000,0)),"")</f>
        <v>2.206</v>
      </c>
      <c r="M316" s="223">
        <f>IFERROR(L316-(TBIcalc!$H$9+TBIcalc!$H$10),"")</f>
        <v>1.9561999999999999</v>
      </c>
      <c r="N316" s="385">
        <f>AVERAGE(Ashed_controlls!$K$2:$K$11)</f>
        <v>5.5147656768714146</v>
      </c>
      <c r="O316" s="223">
        <f t="shared" si="21"/>
        <v>1.8483201538290412</v>
      </c>
      <c r="P316" s="223">
        <f>IFERROR(INDEX('Both teabags AfterWet'!$C$3:$C$840,MATCH(K316,'Both teabags AfterWet'!$A$3:$A$840,0)),"")</f>
        <v>0.45800000000000002</v>
      </c>
      <c r="Q316" s="223">
        <f>IFERROR(IF(P316&gt;0,P316-(TBIcalc!$H$9),""),"")</f>
        <v>0.30740000000000001</v>
      </c>
      <c r="R316" s="223">
        <f>IFERROR(INDEX('Ashed teabags wet'!$K$2:$K$2000,MATCH(K316,'Ashed teabags wet'!$A$2:$A$2000,0)),"")</f>
        <v>89.327146171693883</v>
      </c>
      <c r="S316" s="223">
        <f t="shared" si="22"/>
        <v>3.2808352668213026E-2</v>
      </c>
      <c r="T316" s="224">
        <f>'WetLitterbags placem_collection'!E97</f>
        <v>42767</v>
      </c>
      <c r="U316" s="224">
        <f>IF('WetLitterbags placem_collection'!G97="","",'WetLitterbags placem_collection'!G97)</f>
        <v>42819</v>
      </c>
      <c r="V316" s="225">
        <f t="shared" si="20"/>
        <v>52</v>
      </c>
      <c r="W316" s="223">
        <f t="shared" si="23"/>
        <v>1.6488</v>
      </c>
      <c r="X316" s="223">
        <f t="shared" si="24"/>
        <v>1.8155118011608282</v>
      </c>
      <c r="Y316">
        <f>IFERROR(INDEX(Rainfall_Wet!$O$2:$O$217,MATCH(B316, Rainfall_Wet!$A$2:$A$217,0)),"")</f>
        <v>194.93009798400001</v>
      </c>
      <c r="Z316" s="228">
        <v>28.145762029394</v>
      </c>
      <c r="AA316" s="228">
        <v>25.085564727199518</v>
      </c>
      <c r="AB316" s="228">
        <v>46.768673243406489</v>
      </c>
      <c r="AC316" s="229" t="s">
        <v>2654</v>
      </c>
      <c r="AD316" s="228">
        <v>8.1716214884179408</v>
      </c>
      <c r="AE316">
        <f>IF('WetLitterbags placem_collection'!AB97="","",'WetLitterbags placem_collection'!AB97)</f>
        <v>5.4</v>
      </c>
      <c r="AF316">
        <f>IF('WetLitterbags placem_collection'!Z97="","",'WetLitterbags placem_collection'!Z97)</f>
        <v>15.2</v>
      </c>
      <c r="AG316" s="243" t="str">
        <f>IF('WetLitterbags placem_collection'!AA97="","",'WetLitterbags placem_collection'!AA97)</f>
        <v>O</v>
      </c>
      <c r="AH316">
        <f>IF('WetLitterbags placem_collection'!AC97="","",'WetLitterbags placem_collection'!AC97)</f>
        <v>0</v>
      </c>
      <c r="AI316" s="237">
        <f>AVERAGE('WetLitterbags placem_collection'!S97,'WetLitterbags placem_collection'!U97)</f>
        <v>28.85</v>
      </c>
      <c r="AJ316">
        <f>AVERAGE('WetLitterbags placem_collection'!R97,'WetLitterbags placem_collection'!T97)</f>
        <v>23.2</v>
      </c>
      <c r="AK316">
        <f>INDEX(Coordinates!$B$2:$B$197,MATCH(H316,Coordinates!$J$2:$J$197,0))</f>
        <v>-3.296725983</v>
      </c>
      <c r="AL316">
        <f>INDEX(Coordinates!$C$2:$C$197,MATCH(H316,Coordinates!$J$2:$J$197,0))</f>
        <v>34.854216000000001</v>
      </c>
      <c r="AM316" t="str">
        <f>IF(ISNUMBER(SEARCH("C", 'WetLitterbags placem_collection'!$W97)),"YES","NO")</f>
        <v>NO</v>
      </c>
      <c r="AN316" t="str">
        <f>IF(ISNUMBER(SEARCH("H", 'WetLitterbags placem_collection'!$W97)),"YES","NO")</f>
        <v>YES</v>
      </c>
      <c r="AO316" t="str">
        <f>IF(ISNUMBER(SEARCH("R", 'WetLitterbags placem_collection'!$W97)),"YES","NO")</f>
        <v>YES</v>
      </c>
    </row>
    <row r="317" spans="1:41" ht="15" customHeight="1">
      <c r="A317" s="255" t="s">
        <v>2454</v>
      </c>
      <c r="B317" s="260">
        <f>'Dry_Litterbag Placem_Collection'!A98</f>
        <v>96</v>
      </c>
      <c r="C317" s="260" t="str">
        <f>'Dry_Litterbag Placem_Collection'!B98</f>
        <v>Maswa</v>
      </c>
      <c r="D317" s="260" t="s">
        <v>2643</v>
      </c>
      <c r="E317" s="260" t="s">
        <v>2645</v>
      </c>
      <c r="F317" s="260">
        <v>4</v>
      </c>
      <c r="G317" s="260" t="s">
        <v>3814</v>
      </c>
      <c r="H317" s="261" t="str">
        <f>'Dry_Litterbag Placem_Collection'!C98</f>
        <v>Dry_W4_T8</v>
      </c>
      <c r="I317" s="262" t="s">
        <v>2525</v>
      </c>
      <c r="J317" s="269" t="s">
        <v>298</v>
      </c>
      <c r="K317" s="221" t="str">
        <f>'WetLitterbags placem_collection'!M98</f>
        <v>R318</v>
      </c>
      <c r="L317" s="223">
        <f>IFERROR(INDEX('Green_rooibos initial weight'!$C$5:$C$2000,MATCH(K317, 'Green_rooibos initial weight'!$A$5:$A$2000,0)),"")</f>
        <v>2.23</v>
      </c>
      <c r="M317" s="223">
        <f>IFERROR(L317-(TBIcalc!$H$9+TBIcalc!$H$10),"")</f>
        <v>1.9802</v>
      </c>
      <c r="N317" s="385">
        <f>AVERAGE(Ashed_controlls!$K$2:$K$11)</f>
        <v>5.5147656768714146</v>
      </c>
      <c r="O317" s="223">
        <f t="shared" si="21"/>
        <v>1.8709966100665922</v>
      </c>
      <c r="P317" s="223">
        <f>IFERROR(INDEX('Both teabags AfterWet'!$C$3:$C$840,MATCH(K317,'Both teabags AfterWet'!$A$3:$A$840,0)),"")</f>
        <v>1.748</v>
      </c>
      <c r="Q317" s="223">
        <f>IFERROR(IF(P317&gt;0,P317-(TBIcalc!$H$9),""),"")</f>
        <v>1.5973999999999999</v>
      </c>
      <c r="R317" s="223">
        <f>IFERROR(INDEX('Ashed teabags wet'!$K$2:$K$2000,MATCH(K317,'Ashed teabags wet'!$A$2:$A$2000,0)),"")</f>
        <v>11.127670144063339</v>
      </c>
      <c r="S317" s="223">
        <f t="shared" si="22"/>
        <v>1.4196465971187322</v>
      </c>
      <c r="T317" s="224">
        <f>'WetLitterbags placem_collection'!E98</f>
        <v>42767</v>
      </c>
      <c r="U317" s="224">
        <f>IF('WetLitterbags placem_collection'!G98="","",'WetLitterbags placem_collection'!G98)</f>
        <v>42819</v>
      </c>
      <c r="V317" s="225">
        <f t="shared" si="20"/>
        <v>52</v>
      </c>
      <c r="W317" s="223">
        <f t="shared" si="23"/>
        <v>0.38280000000000003</v>
      </c>
      <c r="X317" s="223">
        <f t="shared" si="24"/>
        <v>0.45135001294786004</v>
      </c>
      <c r="Y317">
        <f>IFERROR(INDEX(Rainfall_Wet!$O$2:$O$217,MATCH(B317, Rainfall_Wet!$A$2:$A$217,0)),"")</f>
        <v>194.93009798400001</v>
      </c>
      <c r="Z317" s="228">
        <v>28.145762029394</v>
      </c>
      <c r="AA317" s="228">
        <v>25.085564727199518</v>
      </c>
      <c r="AB317" s="228">
        <v>46.768673243406489</v>
      </c>
      <c r="AC317" s="229" t="s">
        <v>2654</v>
      </c>
      <c r="AD317" s="228">
        <v>9.1716214884179408</v>
      </c>
      <c r="AE317">
        <f>IF('WetLitterbags placem_collection'!AB98="","",'WetLitterbags placem_collection'!AB98)</f>
        <v>4</v>
      </c>
      <c r="AF317">
        <f>IF('WetLitterbags placem_collection'!Z98="","",'WetLitterbags placem_collection'!Z98)</f>
        <v>34.4</v>
      </c>
      <c r="AG317" s="243" t="str">
        <f>IF('WetLitterbags placem_collection'!AA98="","",'WetLitterbags placem_collection'!AA98)</f>
        <v>O</v>
      </c>
      <c r="AH317">
        <f>IF('WetLitterbags placem_collection'!AC98="","",'WetLitterbags placem_collection'!AC98)</f>
        <v>0</v>
      </c>
      <c r="AI317" s="237">
        <f>AVERAGE('WetLitterbags placem_collection'!S98,'WetLitterbags placem_collection'!U98)</f>
        <v>16.799999999999997</v>
      </c>
      <c r="AJ317">
        <f>AVERAGE('WetLitterbags placem_collection'!R98,'WetLitterbags placem_collection'!T98)</f>
        <v>24.3</v>
      </c>
      <c r="AK317">
        <f>INDEX(Coordinates!$B$2:$B$197,MATCH(H317,Coordinates!$J$2:$J$197,0))</f>
        <v>-3.2968360369999998</v>
      </c>
      <c r="AL317">
        <f>INDEX(Coordinates!$C$2:$C$197,MATCH(H317,Coordinates!$J$2:$J$197,0))</f>
        <v>34.854462009999999</v>
      </c>
      <c r="AM317" t="str">
        <f>IF(ISNUMBER(SEARCH("C", 'WetLitterbags placem_collection'!$W98)),"YES","NO")</f>
        <v>YES</v>
      </c>
      <c r="AN317" t="str">
        <f>IF(ISNUMBER(SEARCH("H", 'WetLitterbags placem_collection'!$W98)),"YES","NO")</f>
        <v>YES</v>
      </c>
      <c r="AO317" t="str">
        <f>IF(ISNUMBER(SEARCH("R", 'WetLitterbags placem_collection'!$W98)),"YES","NO")</f>
        <v>NO</v>
      </c>
    </row>
    <row r="318" spans="1:41" ht="15" customHeight="1">
      <c r="A318" s="255" t="s">
        <v>2454</v>
      </c>
      <c r="B318" s="260">
        <f>'Dry_Litterbag Placem_Collection'!A99</f>
        <v>97</v>
      </c>
      <c r="C318" s="260" t="str">
        <f>'Dry_Litterbag Placem_Collection'!B99</f>
        <v xml:space="preserve">Mwantimba
</v>
      </c>
      <c r="D318" s="260" t="s">
        <v>2454</v>
      </c>
      <c r="E318" s="260" t="s">
        <v>2644</v>
      </c>
      <c r="F318" s="260">
        <v>1</v>
      </c>
      <c r="G318" s="260" t="s">
        <v>3815</v>
      </c>
      <c r="H318" s="261" t="str">
        <f>'Dry_Litterbag Placem_Collection'!C99</f>
        <v>Wet_Ag1_T1</v>
      </c>
      <c r="I318" s="262" t="s">
        <v>2525</v>
      </c>
      <c r="J318" s="269" t="s">
        <v>298</v>
      </c>
      <c r="K318" s="221" t="str">
        <f>'WetLitterbags placem_collection'!M99</f>
        <v>R518</v>
      </c>
      <c r="L318" s="223">
        <f>IFERROR(INDEX('Green_rooibos initial weight'!$C$5:$C$2000,MATCH(K318, 'Green_rooibos initial weight'!$A$5:$A$2000,0)),"")</f>
        <v>2.198</v>
      </c>
      <c r="M318" s="223">
        <f>IFERROR(L318-(TBIcalc!$H$9+TBIcalc!$H$10),"")</f>
        <v>1.9481999999999999</v>
      </c>
      <c r="N318" s="385">
        <f>AVERAGE(Ashed_controlls!$K$2:$K$11)</f>
        <v>5.5147656768714146</v>
      </c>
      <c r="O318" s="223">
        <f t="shared" si="21"/>
        <v>1.8407613350831911</v>
      </c>
      <c r="P318" s="223">
        <f>IFERROR(INDEX('Both teabags AfterWet'!$C$3:$C$840,MATCH(K318,'Both teabags AfterWet'!$A$3:$A$840,0)),"")</f>
        <v>0</v>
      </c>
      <c r="Q318" s="223" t="str">
        <f>IFERROR(IF(P318&gt;0,P318-(TBIcalc!$H$9),""),"")</f>
        <v/>
      </c>
      <c r="R318" s="223">
        <f>IFERROR(INDEX('Ashed teabags wet'!$K$2:$K$2000,MATCH(K318,'Ashed teabags wet'!$A$2:$A$2000,0)),"")</f>
        <v>0</v>
      </c>
      <c r="S318" s="223" t="str">
        <f t="shared" si="22"/>
        <v/>
      </c>
      <c r="T318" s="224">
        <f>'WetLitterbags placem_collection'!E99</f>
        <v>42762</v>
      </c>
      <c r="U318" s="224">
        <f>IF('WetLitterbags placem_collection'!G99="","",'WetLitterbags placem_collection'!G99)</f>
        <v>42816</v>
      </c>
      <c r="V318" s="225">
        <f t="shared" si="20"/>
        <v>54</v>
      </c>
      <c r="W318" s="223" t="str">
        <f t="shared" si="23"/>
        <v/>
      </c>
      <c r="X318" s="223" t="str">
        <f t="shared" si="24"/>
        <v/>
      </c>
      <c r="Y318">
        <f>IFERROR(INDEX(Rainfall_Wet!$O$2:$O$217,MATCH(B318, Rainfall_Wet!$A$2:$A$217,0)),"")</f>
        <v>206.85140822299999</v>
      </c>
      <c r="Z318" s="228">
        <v>45.96</v>
      </c>
      <c r="AA318" s="228">
        <v>14.920000000000003</v>
      </c>
      <c r="AB318" s="228">
        <v>39.119999999999997</v>
      </c>
      <c r="AC318" s="229" t="s">
        <v>2657</v>
      </c>
      <c r="AD318" s="228">
        <v>2.0374568753080333</v>
      </c>
      <c r="AE318">
        <f>IF('WetLitterbags placem_collection'!AB99="","",'WetLitterbags placem_collection'!AB99)</f>
        <v>2.4</v>
      </c>
      <c r="AF318">
        <f>IF('WetLitterbags placem_collection'!Z99="","",'WetLitterbags placem_collection'!Z99)</f>
        <v>8.9</v>
      </c>
      <c r="AG318" s="243" t="str">
        <f>IF('WetLitterbags placem_collection'!AA99="","",'WetLitterbags placem_collection'!AA99)</f>
        <v>G</v>
      </c>
      <c r="AH318">
        <f>IF('WetLitterbags placem_collection'!AC99="","",'WetLitterbags placem_collection'!AC99)</f>
        <v>1</v>
      </c>
      <c r="AI318" s="237">
        <f>AVERAGE('WetLitterbags placem_collection'!S99,'WetLitterbags placem_collection'!U99)</f>
        <v>19.25</v>
      </c>
      <c r="AJ318">
        <f>AVERAGE('WetLitterbags placem_collection'!R99,'WetLitterbags placem_collection'!T99)</f>
        <v>28.75</v>
      </c>
      <c r="AK318">
        <f>INDEX(Coordinates!$B$2:$B$197,MATCH(H318,Coordinates!$J$2:$J$197,0))</f>
        <v>-2.3691620310000001</v>
      </c>
      <c r="AL318">
        <f>INDEX(Coordinates!$C$2:$C$197,MATCH(H318,Coordinates!$J$2:$J$197,0))</f>
        <v>34.06028104</v>
      </c>
      <c r="AM318" t="str">
        <f>IF(ISNUMBER(SEARCH("C", 'WetLitterbags placem_collection'!$W99)),"YES","NO")</f>
        <v>YES</v>
      </c>
      <c r="AN318" t="str">
        <f>IF(ISNUMBER(SEARCH("H", 'WetLitterbags placem_collection'!$W99)),"YES","NO")</f>
        <v>YES</v>
      </c>
      <c r="AO318" t="str">
        <f>IF(ISNUMBER(SEARCH("R", 'WetLitterbags placem_collection'!$W99)),"YES","NO")</f>
        <v>NO</v>
      </c>
    </row>
    <row r="319" spans="1:41" ht="15" customHeight="1">
      <c r="A319" s="255" t="s">
        <v>2454</v>
      </c>
      <c r="B319" s="260">
        <f>'Dry_Litterbag Placem_Collection'!A100</f>
        <v>98</v>
      </c>
      <c r="C319" s="260" t="str">
        <f>'Dry_Litterbag Placem_Collection'!B100</f>
        <v xml:space="preserve">Mwantimba
</v>
      </c>
      <c r="D319" s="260" t="s">
        <v>2454</v>
      </c>
      <c r="E319" s="260" t="s">
        <v>2644</v>
      </c>
      <c r="F319" s="260">
        <v>1</v>
      </c>
      <c r="G319" s="260" t="s">
        <v>3815</v>
      </c>
      <c r="H319" s="261" t="str">
        <f>'Dry_Litterbag Placem_Collection'!C100</f>
        <v>Wet_Ag1_T2</v>
      </c>
      <c r="I319" s="262" t="s">
        <v>2525</v>
      </c>
      <c r="J319" s="269" t="s">
        <v>298</v>
      </c>
      <c r="K319" s="221" t="str">
        <f>'WetLitterbags placem_collection'!M100</f>
        <v>R489</v>
      </c>
      <c r="L319" s="223">
        <f>IFERROR(INDEX('Green_rooibos initial weight'!$C$5:$C$2000,MATCH(K319, 'Green_rooibos initial weight'!$A$5:$A$2000,0)),"")</f>
        <v>2.157</v>
      </c>
      <c r="M319" s="223">
        <f>IFERROR(L319-(TBIcalc!$H$9+TBIcalc!$H$10),"")</f>
        <v>1.9072</v>
      </c>
      <c r="N319" s="385">
        <f>AVERAGE(Ashed_controlls!$K$2:$K$11)</f>
        <v>5.5147656768714146</v>
      </c>
      <c r="O319" s="223">
        <f t="shared" si="21"/>
        <v>1.8020223890107083</v>
      </c>
      <c r="P319" s="223">
        <f>IFERROR(INDEX('Both teabags AfterWet'!$C$3:$C$840,MATCH(K319,'Both teabags AfterWet'!$A$3:$A$840,0)),"")</f>
        <v>1.5389999999999999</v>
      </c>
      <c r="Q319" s="223">
        <f>IFERROR(IF(P319&gt;0,P319-(TBIcalc!$H$9),""),"")</f>
        <v>1.3883999999999999</v>
      </c>
      <c r="R319" s="223">
        <f>IFERROR(INDEX('Ashed teabags wet'!$K$2:$K$2000,MATCH(K319,'Ashed teabags wet'!$A$2:$A$2000,0)),"")</f>
        <v>12.679544328875947</v>
      </c>
      <c r="S319" s="223">
        <f t="shared" si="22"/>
        <v>1.2123572065378863</v>
      </c>
      <c r="T319" s="224">
        <f>'WetLitterbags placem_collection'!E100</f>
        <v>42762</v>
      </c>
      <c r="U319" s="224">
        <f>IF('WetLitterbags placem_collection'!G100="","",'WetLitterbags placem_collection'!G100)</f>
        <v>42816</v>
      </c>
      <c r="V319" s="225">
        <f t="shared" si="20"/>
        <v>54</v>
      </c>
      <c r="W319" s="223">
        <f t="shared" si="23"/>
        <v>0.51880000000000015</v>
      </c>
      <c r="X319" s="223">
        <f t="shared" si="24"/>
        <v>0.58966518247282207</v>
      </c>
      <c r="Y319">
        <f>IFERROR(INDEX(Rainfall_Wet!$O$2:$O$217,MATCH(B319, Rainfall_Wet!$A$2:$A$217,0)),"")</f>
        <v>206.85140822299999</v>
      </c>
      <c r="Z319" s="228">
        <v>45.96</v>
      </c>
      <c r="AA319" s="228">
        <v>14.920000000000003</v>
      </c>
      <c r="AB319" s="228">
        <v>39.119999999999997</v>
      </c>
      <c r="AC319" s="229" t="s">
        <v>2657</v>
      </c>
      <c r="AD319" s="228">
        <v>3.0374568753080302</v>
      </c>
      <c r="AE319">
        <f>IF('WetLitterbags placem_collection'!AB100="","",'WetLitterbags placem_collection'!AB100)</f>
        <v>7.8</v>
      </c>
      <c r="AF319">
        <f>IF('WetLitterbags placem_collection'!Z100="","",'WetLitterbags placem_collection'!Z100)</f>
        <v>4.45</v>
      </c>
      <c r="AG319" s="243" t="str">
        <f>IF('WetLitterbags placem_collection'!AA100="","",'WetLitterbags placem_collection'!AA100)</f>
        <v>G</v>
      </c>
      <c r="AH319">
        <f>IF('WetLitterbags placem_collection'!AC100="","",'WetLitterbags placem_collection'!AC100)</f>
        <v>1</v>
      </c>
      <c r="AI319" s="237">
        <f>AVERAGE('WetLitterbags placem_collection'!S100,'WetLitterbags placem_collection'!U100)</f>
        <v>22.25</v>
      </c>
      <c r="AJ319">
        <f>AVERAGE('WetLitterbags placem_collection'!R100,'WetLitterbags placem_collection'!T100)</f>
        <v>29.85</v>
      </c>
      <c r="AK319">
        <f>INDEX(Coordinates!$B$2:$B$197,MATCH(H319,Coordinates!$J$2:$J$197,0))</f>
        <v>-2.3692249790000002</v>
      </c>
      <c r="AL319">
        <f>INDEX(Coordinates!$C$2:$C$197,MATCH(H319,Coordinates!$J$2:$J$197,0))</f>
        <v>34.060285989999997</v>
      </c>
      <c r="AM319" t="str">
        <f>IF(ISNUMBER(SEARCH("C", 'WetLitterbags placem_collection'!$W100)),"YES","NO")</f>
        <v>NO</v>
      </c>
      <c r="AN319" t="str">
        <f>IF(ISNUMBER(SEARCH("H", 'WetLitterbags placem_collection'!$W100)),"YES","NO")</f>
        <v>NO</v>
      </c>
      <c r="AO319" t="str">
        <f>IF(ISNUMBER(SEARCH("R", 'WetLitterbags placem_collection'!$W100)),"YES","NO")</f>
        <v>NO</v>
      </c>
    </row>
    <row r="320" spans="1:41" ht="15" customHeight="1">
      <c r="A320" s="255" t="s">
        <v>2454</v>
      </c>
      <c r="B320" s="260">
        <f>'Dry_Litterbag Placem_Collection'!A101</f>
        <v>99</v>
      </c>
      <c r="C320" s="260" t="str">
        <f>'Dry_Litterbag Placem_Collection'!B101</f>
        <v xml:space="preserve">Mwantimba
</v>
      </c>
      <c r="D320" s="260" t="s">
        <v>2454</v>
      </c>
      <c r="E320" s="260" t="s">
        <v>2644</v>
      </c>
      <c r="F320" s="260">
        <v>1</v>
      </c>
      <c r="G320" s="260" t="s">
        <v>3815</v>
      </c>
      <c r="H320" s="261" t="str">
        <f>'Dry_Litterbag Placem_Collection'!C101</f>
        <v>Wet_Ag1_T3</v>
      </c>
      <c r="I320" s="262" t="s">
        <v>2525</v>
      </c>
      <c r="J320" s="269" t="s">
        <v>298</v>
      </c>
      <c r="K320" s="221" t="str">
        <f>'WetLitterbags placem_collection'!M101</f>
        <v>R549</v>
      </c>
      <c r="L320" s="223">
        <f>IFERROR(INDEX('Green_rooibos initial weight'!$C$5:$C$2000,MATCH(K320, 'Green_rooibos initial weight'!$A$5:$A$2000,0)),"")</f>
        <v>2.2320000000000002</v>
      </c>
      <c r="M320" s="223">
        <f>IFERROR(L320-(TBIcalc!$H$9+TBIcalc!$H$10),"")</f>
        <v>1.9822000000000002</v>
      </c>
      <c r="N320" s="385">
        <f>AVERAGE(Ashed_controlls!$K$2:$K$11)</f>
        <v>5.5147656768714146</v>
      </c>
      <c r="O320" s="223">
        <f t="shared" si="21"/>
        <v>1.872886314753055</v>
      </c>
      <c r="P320" s="223">
        <f>IFERROR(INDEX('Both teabags AfterWet'!$C$3:$C$840,MATCH(K320,'Both teabags AfterWet'!$A$3:$A$840,0)),"")</f>
        <v>1.5992</v>
      </c>
      <c r="Q320" s="223">
        <f>IFERROR(IF(P320&gt;0,P320-(TBIcalc!$H$9),""),"")</f>
        <v>1.4485999999999999</v>
      </c>
      <c r="R320" s="223">
        <f>IFERROR(INDEX('Ashed teabags wet'!$K$2:$K$2000,MATCH(K320,'Ashed teabags wet'!$A$2:$A$2000,0)),"")</f>
        <v>3.4003831417629944</v>
      </c>
      <c r="S320" s="223">
        <f t="shared" si="22"/>
        <v>1.3993420498084213</v>
      </c>
      <c r="T320" s="224">
        <f>'WetLitterbags placem_collection'!E101</f>
        <v>42762</v>
      </c>
      <c r="U320" s="224">
        <f>IF('WetLitterbags placem_collection'!G101="","",'WetLitterbags placem_collection'!G101)</f>
        <v>42816</v>
      </c>
      <c r="V320" s="225">
        <f t="shared" si="20"/>
        <v>54</v>
      </c>
      <c r="W320" s="223">
        <f t="shared" si="23"/>
        <v>0.5336000000000003</v>
      </c>
      <c r="X320" s="223">
        <f t="shared" si="24"/>
        <v>0.47354426494463375</v>
      </c>
      <c r="Y320">
        <f>IFERROR(INDEX(Rainfall_Wet!$O$2:$O$217,MATCH(B320, Rainfall_Wet!$A$2:$A$217,0)),"")</f>
        <v>206.85140822299999</v>
      </c>
      <c r="Z320" s="228">
        <v>45.96</v>
      </c>
      <c r="AA320" s="228">
        <v>14.920000000000003</v>
      </c>
      <c r="AB320" s="228">
        <v>39.119999999999997</v>
      </c>
      <c r="AC320" s="229" t="s">
        <v>2657</v>
      </c>
      <c r="AD320" s="228">
        <v>4.0374568753080302</v>
      </c>
      <c r="AE320">
        <f>IF('WetLitterbags placem_collection'!AB101="","",'WetLitterbags placem_collection'!AB101)</f>
        <v>5.0999999999999996</v>
      </c>
      <c r="AF320">
        <f>IF('WetLitterbags placem_collection'!Z101="","",'WetLitterbags placem_collection'!Z101)</f>
        <v>2.2999999999999998</v>
      </c>
      <c r="AG320" s="243" t="str">
        <f>IF('WetLitterbags placem_collection'!AA101="","",'WetLitterbags placem_collection'!AA101)</f>
        <v>G</v>
      </c>
      <c r="AH320">
        <f>IF('WetLitterbags placem_collection'!AC101="","",'WetLitterbags placem_collection'!AC101)</f>
        <v>0</v>
      </c>
      <c r="AI320" s="237">
        <f>AVERAGE('WetLitterbags placem_collection'!S101,'WetLitterbags placem_collection'!U101)</f>
        <v>17.95</v>
      </c>
      <c r="AJ320">
        <f>AVERAGE('WetLitterbags placem_collection'!R101,'WetLitterbags placem_collection'!T101)</f>
        <v>30.85</v>
      </c>
      <c r="AK320">
        <f>INDEX(Coordinates!$B$2:$B$197,MATCH(H320,Coordinates!$J$2:$J$197,0))</f>
        <v>-2.369284993</v>
      </c>
      <c r="AL320">
        <f>INDEX(Coordinates!$C$2:$C$197,MATCH(H320,Coordinates!$J$2:$J$197,0))</f>
        <v>34.06028104</v>
      </c>
      <c r="AM320" t="str">
        <f>IF(ISNUMBER(SEARCH("C", 'WetLitterbags placem_collection'!$W101)),"YES","NO")</f>
        <v>NO</v>
      </c>
      <c r="AN320" t="str">
        <f>IF(ISNUMBER(SEARCH("H", 'WetLitterbags placem_collection'!$W101)),"YES","NO")</f>
        <v>NO</v>
      </c>
      <c r="AO320" t="str">
        <f>IF(ISNUMBER(SEARCH("R", 'WetLitterbags placem_collection'!$W101)),"YES","NO")</f>
        <v>YES</v>
      </c>
    </row>
    <row r="321" spans="1:41" ht="15" customHeight="1">
      <c r="A321" s="255" t="s">
        <v>2454</v>
      </c>
      <c r="B321" s="260">
        <f>'Dry_Litterbag Placem_Collection'!A102</f>
        <v>100</v>
      </c>
      <c r="C321" s="260" t="str">
        <f>'Dry_Litterbag Placem_Collection'!B102</f>
        <v xml:space="preserve">Mwantimba
</v>
      </c>
      <c r="D321" s="260" t="s">
        <v>2454</v>
      </c>
      <c r="E321" s="260" t="s">
        <v>2644</v>
      </c>
      <c r="F321" s="260">
        <v>1</v>
      </c>
      <c r="G321" s="260" t="s">
        <v>3815</v>
      </c>
      <c r="H321" s="261" t="str">
        <f>'Dry_Litterbag Placem_Collection'!C102</f>
        <v>Wet_Ag1_T4</v>
      </c>
      <c r="I321" s="262" t="s">
        <v>2525</v>
      </c>
      <c r="J321" s="269" t="s">
        <v>298</v>
      </c>
      <c r="K321" s="221" t="str">
        <f>'WetLitterbags placem_collection'!M102</f>
        <v>R500</v>
      </c>
      <c r="L321" s="223">
        <f>IFERROR(INDEX('Green_rooibos initial weight'!$C$5:$C$2000,MATCH(K321, 'Green_rooibos initial weight'!$A$5:$A$2000,0)),"")</f>
        <v>2.2069999999999999</v>
      </c>
      <c r="M321" s="223">
        <f>IFERROR(L321-(TBIcalc!$H$9+TBIcalc!$H$10),"")</f>
        <v>1.9571999999999998</v>
      </c>
      <c r="N321" s="385">
        <f>AVERAGE(Ashed_controlls!$K$2:$K$11)</f>
        <v>5.5147656768714146</v>
      </c>
      <c r="O321" s="223">
        <f t="shared" si="21"/>
        <v>1.8492650061722724</v>
      </c>
      <c r="P321" s="223">
        <f>IFERROR(INDEX('Both teabags AfterWet'!$C$3:$C$840,MATCH(K321,'Both teabags AfterWet'!$A$3:$A$840,0)),"")</f>
        <v>1.764</v>
      </c>
      <c r="Q321" s="223">
        <f>IFERROR(IF(P321&gt;0,P321-(TBIcalc!$H$9),""),"")</f>
        <v>1.6133999999999999</v>
      </c>
      <c r="R321" s="223">
        <f>IFERROR(INDEX('Ashed teabags wet'!$K$2:$K$2000,MATCH(K321,'Ashed teabags wet'!$A$2:$A$2000,0)),"")</f>
        <v>22.316525212181858</v>
      </c>
      <c r="S321" s="223">
        <f t="shared" si="22"/>
        <v>1.2533451822266579</v>
      </c>
      <c r="T321" s="224">
        <f>'WetLitterbags placem_collection'!E102</f>
        <v>42762</v>
      </c>
      <c r="U321" s="224">
        <f>IF('WetLitterbags placem_collection'!G102="","",'WetLitterbags placem_collection'!G102)</f>
        <v>42816</v>
      </c>
      <c r="V321" s="225">
        <f t="shared" si="20"/>
        <v>54</v>
      </c>
      <c r="W321" s="223">
        <f t="shared" si="23"/>
        <v>0.34379999999999988</v>
      </c>
      <c r="X321" s="223">
        <f t="shared" si="24"/>
        <v>0.59591982394561449</v>
      </c>
      <c r="Y321">
        <f>IFERROR(INDEX(Rainfall_Wet!$O$2:$O$217,MATCH(B321, Rainfall_Wet!$A$2:$A$217,0)),"")</f>
        <v>206.85140822299999</v>
      </c>
      <c r="Z321" s="228">
        <v>45.96</v>
      </c>
      <c r="AA321" s="228">
        <v>14.920000000000003</v>
      </c>
      <c r="AB321" s="228">
        <v>39.119999999999997</v>
      </c>
      <c r="AC321" s="229" t="s">
        <v>2657</v>
      </c>
      <c r="AD321" s="228">
        <v>5.0374568753080302</v>
      </c>
      <c r="AE321">
        <f>IF('WetLitterbags placem_collection'!AB102="","",'WetLitterbags placem_collection'!AB102)</f>
        <v>1.6</v>
      </c>
      <c r="AF321">
        <f>IF('WetLitterbags placem_collection'!Z102="","",'WetLitterbags placem_collection'!Z102)</f>
        <v>15</v>
      </c>
      <c r="AG321" s="243" t="str">
        <f>IF('WetLitterbags placem_collection'!AA102="","",'WetLitterbags placem_collection'!AA102)</f>
        <v>G</v>
      </c>
      <c r="AH321">
        <f>IF('WetLitterbags placem_collection'!AC102="","",'WetLitterbags placem_collection'!AC102)</f>
        <v>1</v>
      </c>
      <c r="AI321" s="237">
        <f>AVERAGE('WetLitterbags placem_collection'!S102,'WetLitterbags placem_collection'!U102)</f>
        <v>16.5</v>
      </c>
      <c r="AJ321">
        <f>AVERAGE('WetLitterbags placem_collection'!R102,'WetLitterbags placem_collection'!T102)</f>
        <v>29.85</v>
      </c>
      <c r="AK321">
        <f>INDEX(Coordinates!$B$2:$B$197,MATCH(H321,Coordinates!$J$2:$J$197,0))</f>
        <v>-2.3691989950000001</v>
      </c>
      <c r="AL321">
        <f>INDEX(Coordinates!$C$2:$C$197,MATCH(H321,Coordinates!$J$2:$J$197,0))</f>
        <v>34.060208029999998</v>
      </c>
      <c r="AM321" t="str">
        <f>IF(ISNUMBER(SEARCH("C", 'WetLitterbags placem_collection'!$W102)),"YES","NO")</f>
        <v>YES</v>
      </c>
      <c r="AN321" t="str">
        <f>IF(ISNUMBER(SEARCH("H", 'WetLitterbags placem_collection'!$W102)),"YES","NO")</f>
        <v>YES</v>
      </c>
      <c r="AO321" t="str">
        <f>IF(ISNUMBER(SEARCH("R", 'WetLitterbags placem_collection'!$W102)),"YES","NO")</f>
        <v>NO</v>
      </c>
    </row>
    <row r="322" spans="1:41" ht="15" customHeight="1">
      <c r="A322" s="255" t="s">
        <v>2454</v>
      </c>
      <c r="B322" s="260">
        <f>'Dry_Litterbag Placem_Collection'!A103</f>
        <v>101</v>
      </c>
      <c r="C322" s="260" t="str">
        <f>'Dry_Litterbag Placem_Collection'!B103</f>
        <v xml:space="preserve">Mwantimba
</v>
      </c>
      <c r="D322" s="260" t="s">
        <v>2454</v>
      </c>
      <c r="E322" s="260" t="s">
        <v>2644</v>
      </c>
      <c r="F322" s="260">
        <v>1</v>
      </c>
      <c r="G322" s="260" t="s">
        <v>3815</v>
      </c>
      <c r="H322" s="261" t="str">
        <f>'Dry_Litterbag Placem_Collection'!C103</f>
        <v>Wet_Ag1_T5</v>
      </c>
      <c r="I322" s="262" t="s">
        <v>2525</v>
      </c>
      <c r="J322" s="269" t="s">
        <v>298</v>
      </c>
      <c r="K322" s="221" t="str">
        <f>'WetLitterbags placem_collection'!M103</f>
        <v>R482</v>
      </c>
      <c r="L322" s="223">
        <f>IFERROR(INDEX('Green_rooibos initial weight'!$C$5:$C$2000,MATCH(K322, 'Green_rooibos initial weight'!$A$5:$A$2000,0)),"")</f>
        <v>2.17</v>
      </c>
      <c r="M322" s="223">
        <f>IFERROR(L322-(TBIcalc!$H$9+TBIcalc!$H$10),"")</f>
        <v>1.9201999999999999</v>
      </c>
      <c r="N322" s="385">
        <f>AVERAGE(Ashed_controlls!$K$2:$K$11)</f>
        <v>5.5147656768714146</v>
      </c>
      <c r="O322" s="223">
        <f t="shared" si="21"/>
        <v>1.814305469472715</v>
      </c>
      <c r="P322" s="223">
        <f>IFERROR(INDEX('Both teabags AfterWet'!$C$3:$C$840,MATCH(K322,'Both teabags AfterWet'!$A$3:$A$840,0)),"")</f>
        <v>1.6348</v>
      </c>
      <c r="Q322" s="223">
        <f>IFERROR(IF(P322&gt;0,P322-(TBIcalc!$H$9),""),"")</f>
        <v>1.4842</v>
      </c>
      <c r="R322" s="223">
        <f>IFERROR(INDEX('Ashed teabags wet'!$K$2:$K$2000,MATCH(K322,'Ashed teabags wet'!$A$2:$A$2000,0)),"")</f>
        <v>8.9805825242718385</v>
      </c>
      <c r="S322" s="223">
        <f t="shared" si="22"/>
        <v>1.3509101941747574</v>
      </c>
      <c r="T322" s="224">
        <f>'WetLitterbags placem_collection'!E103</f>
        <v>42762</v>
      </c>
      <c r="U322" s="224">
        <f>IF('WetLitterbags placem_collection'!G103="","",'WetLitterbags placem_collection'!G103)</f>
        <v>42816</v>
      </c>
      <c r="V322" s="225">
        <f t="shared" ref="V322:V385" si="25">IFERROR(U322-T322,"")</f>
        <v>54</v>
      </c>
      <c r="W322" s="223">
        <f t="shared" si="23"/>
        <v>0.43599999999999994</v>
      </c>
      <c r="X322" s="223">
        <f t="shared" si="24"/>
        <v>0.46339527529795754</v>
      </c>
      <c r="Y322">
        <f>IFERROR(INDEX(Rainfall_Wet!$O$2:$O$217,MATCH(B322, Rainfall_Wet!$A$2:$A$217,0)),"")</f>
        <v>206.85140822299999</v>
      </c>
      <c r="Z322" s="228">
        <v>45.96</v>
      </c>
      <c r="AA322" s="228">
        <v>14.920000000000003</v>
      </c>
      <c r="AB322" s="228">
        <v>39.119999999999997</v>
      </c>
      <c r="AC322" s="229" t="s">
        <v>2657</v>
      </c>
      <c r="AD322" s="228">
        <v>6.0374568753080302</v>
      </c>
      <c r="AE322">
        <f>IF('WetLitterbags placem_collection'!AB103="","",'WetLitterbags placem_collection'!AB103)</f>
        <v>4.3499999999999996</v>
      </c>
      <c r="AF322">
        <f>IF('WetLitterbags placem_collection'!Z103="","",'WetLitterbags placem_collection'!Z103)</f>
        <v>17</v>
      </c>
      <c r="AG322" s="243" t="str">
        <f>IF('WetLitterbags placem_collection'!AA103="","",'WetLitterbags placem_collection'!AA103)</f>
        <v>G</v>
      </c>
      <c r="AH322">
        <f>IF('WetLitterbags placem_collection'!AC103="","",'WetLitterbags placem_collection'!AC103)</f>
        <v>1</v>
      </c>
      <c r="AI322" s="237">
        <f>AVERAGE('WetLitterbags placem_collection'!S103,'WetLitterbags placem_collection'!U103)</f>
        <v>22.549999999999997</v>
      </c>
      <c r="AJ322">
        <f>AVERAGE('WetLitterbags placem_collection'!R103,'WetLitterbags placem_collection'!T103)</f>
        <v>31.150000000000002</v>
      </c>
      <c r="AK322">
        <f>INDEX(Coordinates!$B$2:$B$197,MATCH(H322,Coordinates!$J$2:$J$197,0))</f>
        <v>-2.3691900260000001</v>
      </c>
      <c r="AL322">
        <f>INDEX(Coordinates!$C$2:$C$197,MATCH(H322,Coordinates!$J$2:$J$197,0))</f>
        <v>34.060177019999998</v>
      </c>
      <c r="AM322" t="str">
        <f>IF(ISNUMBER(SEARCH("C", 'WetLitterbags placem_collection'!$W103)),"YES","NO")</f>
        <v>NO</v>
      </c>
      <c r="AN322" t="str">
        <f>IF(ISNUMBER(SEARCH("H", 'WetLitterbags placem_collection'!$W103)),"YES","NO")</f>
        <v>NO</v>
      </c>
      <c r="AO322" t="str">
        <f>IF(ISNUMBER(SEARCH("R", 'WetLitterbags placem_collection'!$W103)),"YES","NO")</f>
        <v>NO</v>
      </c>
    </row>
    <row r="323" spans="1:41" ht="15" customHeight="1">
      <c r="A323" s="255" t="s">
        <v>2454</v>
      </c>
      <c r="B323" s="260">
        <f>'Dry_Litterbag Placem_Collection'!A104</f>
        <v>102</v>
      </c>
      <c r="C323" s="260" t="str">
        <f>'Dry_Litterbag Placem_Collection'!B104</f>
        <v xml:space="preserve">Mwantimba
</v>
      </c>
      <c r="D323" s="260" t="s">
        <v>2454</v>
      </c>
      <c r="E323" s="260" t="s">
        <v>2644</v>
      </c>
      <c r="F323" s="260">
        <v>1</v>
      </c>
      <c r="G323" s="260" t="s">
        <v>3815</v>
      </c>
      <c r="H323" s="261" t="str">
        <f>'Dry_Litterbag Placem_Collection'!C104</f>
        <v>Wet_Ag1_T6</v>
      </c>
      <c r="I323" s="262" t="s">
        <v>2525</v>
      </c>
      <c r="J323" s="269" t="s">
        <v>298</v>
      </c>
      <c r="K323" s="221" t="str">
        <f>'WetLitterbags placem_collection'!M104</f>
        <v>R569</v>
      </c>
      <c r="L323" s="223">
        <f>IFERROR(INDEX('Green_rooibos initial weight'!$C$5:$C$2000,MATCH(K323, 'Green_rooibos initial weight'!$A$5:$A$2000,0)),"")</f>
        <v>2.0960000000000001</v>
      </c>
      <c r="M323" s="223">
        <f>IFERROR(L323-(TBIcalc!$H$9+TBIcalc!$H$10),"")</f>
        <v>1.8462000000000001</v>
      </c>
      <c r="N323" s="385">
        <f>AVERAGE(Ashed_controlls!$K$2:$K$11)</f>
        <v>5.5147656768714146</v>
      </c>
      <c r="O323" s="223">
        <f t="shared" ref="O323:O386" si="26">IFERROR(M323-(N323/100)*M323,"")</f>
        <v>1.7443863960735999</v>
      </c>
      <c r="P323" s="223">
        <f>IFERROR(INDEX('Both teabags AfterWet'!$C$3:$C$840,MATCH(K323,'Both teabags AfterWet'!$A$3:$A$840,0)),"")</f>
        <v>1.655</v>
      </c>
      <c r="Q323" s="223">
        <f>IFERROR(IF(P323&gt;0,P323-(TBIcalc!$H$9),""),"")</f>
        <v>1.5044</v>
      </c>
      <c r="R323" s="223">
        <f>IFERROR(INDEX('Ashed teabags wet'!$K$2:$K$2000,MATCH(K323,'Ashed teabags wet'!$A$2:$A$2000,0)),"")</f>
        <v>6.4211050273764974</v>
      </c>
      <c r="S323" s="223">
        <f t="shared" ref="S323:S386" si="27">IFERROR(Q323-(R323/100)*Q323,"")</f>
        <v>1.4078008959681478</v>
      </c>
      <c r="T323" s="224">
        <f>'WetLitterbags placem_collection'!E104</f>
        <v>42762</v>
      </c>
      <c r="U323" s="224">
        <f>IF('WetLitterbags placem_collection'!G104="","",'WetLitterbags placem_collection'!G104)</f>
        <v>42816</v>
      </c>
      <c r="V323" s="225">
        <f t="shared" si="25"/>
        <v>54</v>
      </c>
      <c r="W323" s="223">
        <f t="shared" ref="W323:W386" si="28">IFERROR(M323-Q323,"")</f>
        <v>0.3418000000000001</v>
      </c>
      <c r="X323" s="223">
        <f t="shared" ref="X323:X386" si="29">IFERROR(O323-S323,"")</f>
        <v>0.33658550010545207</v>
      </c>
      <c r="Y323">
        <f>IFERROR(INDEX(Rainfall_Wet!$O$2:$O$217,MATCH(B323, Rainfall_Wet!$A$2:$A$217,0)),"")</f>
        <v>206.85140822299999</v>
      </c>
      <c r="Z323" s="228">
        <v>45.96</v>
      </c>
      <c r="AA323" s="228">
        <v>14.920000000000003</v>
      </c>
      <c r="AB323" s="228">
        <v>39.119999999999997</v>
      </c>
      <c r="AC323" s="229" t="s">
        <v>2657</v>
      </c>
      <c r="AD323" s="228">
        <v>7.0374568753080302</v>
      </c>
      <c r="AE323">
        <f>IF('WetLitterbags placem_collection'!AB104="","",'WetLitterbags placem_collection'!AB104)</f>
        <v>7.7</v>
      </c>
      <c r="AF323">
        <f>IF('WetLitterbags placem_collection'!Z104="","",'WetLitterbags placem_collection'!Z104)</f>
        <v>21</v>
      </c>
      <c r="AG323" s="243" t="str">
        <f>IF('WetLitterbags placem_collection'!AA104="","",'WetLitterbags placem_collection'!AA104)</f>
        <v>G</v>
      </c>
      <c r="AH323">
        <f>IF('WetLitterbags placem_collection'!AC104="","",'WetLitterbags placem_collection'!AC104)</f>
        <v>1</v>
      </c>
      <c r="AI323" s="237">
        <f>AVERAGE('WetLitterbags placem_collection'!S104,'WetLitterbags placem_collection'!U104)</f>
        <v>21.099999999999998</v>
      </c>
      <c r="AJ323">
        <f>AVERAGE('WetLitterbags placem_collection'!R104,'WetLitterbags placem_collection'!T104)</f>
        <v>31.8</v>
      </c>
      <c r="AK323">
        <f>INDEX(Coordinates!$B$2:$B$197,MATCH(H323,Coordinates!$J$2:$J$197,0))</f>
        <v>-2.3691350409999998</v>
      </c>
      <c r="AL323">
        <f>INDEX(Coordinates!$C$2:$C$197,MATCH(H323,Coordinates!$J$2:$J$197,0))</f>
        <v>34.06018297</v>
      </c>
      <c r="AM323" t="str">
        <f>IF(ISNUMBER(SEARCH("C", 'WetLitterbags placem_collection'!$W104)),"YES","NO")</f>
        <v>NO</v>
      </c>
      <c r="AN323" t="str">
        <f>IF(ISNUMBER(SEARCH("H", 'WetLitterbags placem_collection'!$W104)),"YES","NO")</f>
        <v>NO</v>
      </c>
      <c r="AO323" t="str">
        <f>IF(ISNUMBER(SEARCH("R", 'WetLitterbags placem_collection'!$W104)),"YES","NO")</f>
        <v>NO</v>
      </c>
    </row>
    <row r="324" spans="1:41" ht="15" customHeight="1">
      <c r="A324" s="255" t="s">
        <v>2454</v>
      </c>
      <c r="B324" s="260">
        <f>'Dry_Litterbag Placem_Collection'!A105</f>
        <v>103</v>
      </c>
      <c r="C324" s="260" t="str">
        <f>'Dry_Litterbag Placem_Collection'!B105</f>
        <v xml:space="preserve">Mwantimba
</v>
      </c>
      <c r="D324" s="260" t="s">
        <v>2454</v>
      </c>
      <c r="E324" s="260" t="s">
        <v>2644</v>
      </c>
      <c r="F324" s="260">
        <v>1</v>
      </c>
      <c r="G324" s="260" t="s">
        <v>3815</v>
      </c>
      <c r="H324" s="261" t="str">
        <f>'Dry_Litterbag Placem_Collection'!C105</f>
        <v>Wet_Ag1_T7</v>
      </c>
      <c r="I324" s="262" t="s">
        <v>2525</v>
      </c>
      <c r="J324" s="269" t="s">
        <v>298</v>
      </c>
      <c r="K324" s="221" t="str">
        <f>'WetLitterbags placem_collection'!M105</f>
        <v>R430</v>
      </c>
      <c r="L324" s="223">
        <f>IFERROR(INDEX('Green_rooibos initial weight'!$C$5:$C$2000,MATCH(K324, 'Green_rooibos initial weight'!$A$5:$A$2000,0)),"")</f>
        <v>2.1829999999999998</v>
      </c>
      <c r="M324" s="223">
        <f>IFERROR(L324-(TBIcalc!$H$9+TBIcalc!$H$10),"")</f>
        <v>1.9331999999999998</v>
      </c>
      <c r="N324" s="385">
        <f>AVERAGE(Ashed_controlls!$K$2:$K$11)</f>
        <v>5.5147656768714146</v>
      </c>
      <c r="O324" s="223">
        <f t="shared" si="26"/>
        <v>1.8265885499347216</v>
      </c>
      <c r="P324" s="223">
        <f>IFERROR(INDEX('Both teabags AfterWet'!$C$3:$C$840,MATCH(K324,'Both teabags AfterWet'!$A$3:$A$840,0)),"")</f>
        <v>1.629</v>
      </c>
      <c r="Q324" s="223">
        <f>IFERROR(IF(P324&gt;0,P324-(TBIcalc!$H$9),""),"")</f>
        <v>1.4783999999999999</v>
      </c>
      <c r="R324" s="223">
        <f>IFERROR(INDEX('Ashed teabags wet'!$K$2:$K$2000,MATCH(K324,'Ashed teabags wet'!$A$2:$A$2000,0)),"")</f>
        <v>4.7409579667641673</v>
      </c>
      <c r="S324" s="223">
        <f t="shared" si="27"/>
        <v>1.4083096774193584</v>
      </c>
      <c r="T324" s="224">
        <f>'WetLitterbags placem_collection'!E105</f>
        <v>42762</v>
      </c>
      <c r="U324" s="224">
        <f>IF('WetLitterbags placem_collection'!G105="","",'WetLitterbags placem_collection'!G105)</f>
        <v>42816</v>
      </c>
      <c r="V324" s="225">
        <f t="shared" si="25"/>
        <v>54</v>
      </c>
      <c r="W324" s="223">
        <f t="shared" si="28"/>
        <v>0.45479999999999987</v>
      </c>
      <c r="X324" s="223">
        <f t="shared" si="29"/>
        <v>0.41827887251536322</v>
      </c>
      <c r="Y324">
        <f>IFERROR(INDEX(Rainfall_Wet!$O$2:$O$217,MATCH(B324, Rainfall_Wet!$A$2:$A$217,0)),"")</f>
        <v>206.85140822299999</v>
      </c>
      <c r="Z324" s="228">
        <v>45.96</v>
      </c>
      <c r="AA324" s="228">
        <v>14.920000000000003</v>
      </c>
      <c r="AB324" s="228">
        <v>39.119999999999997</v>
      </c>
      <c r="AC324" s="229" t="s">
        <v>2657</v>
      </c>
      <c r="AD324" s="228">
        <v>8.0374568753080293</v>
      </c>
      <c r="AE324">
        <f>IF('WetLitterbags placem_collection'!AB105="","",'WetLitterbags placem_collection'!AB105)</f>
        <v>3.25</v>
      </c>
      <c r="AF324">
        <f>IF('WetLitterbags placem_collection'!Z105="","",'WetLitterbags placem_collection'!Z105)</f>
        <v>16</v>
      </c>
      <c r="AG324" s="243" t="str">
        <f>IF('WetLitterbags placem_collection'!AA105="","",'WetLitterbags placem_collection'!AA105)</f>
        <v>G</v>
      </c>
      <c r="AH324">
        <f>IF('WetLitterbags placem_collection'!AC105="","",'WetLitterbags placem_collection'!AC105)</f>
        <v>1</v>
      </c>
      <c r="AI324" s="237">
        <f>AVERAGE('WetLitterbags placem_collection'!S105,'WetLitterbags placem_collection'!U105)</f>
        <v>20.450000000000003</v>
      </c>
      <c r="AJ324">
        <f>AVERAGE('WetLitterbags placem_collection'!R105,'WetLitterbags placem_collection'!T105)</f>
        <v>30.25</v>
      </c>
      <c r="AK324">
        <f>INDEX(Coordinates!$B$2:$B$197,MATCH(H324,Coordinates!$J$2:$J$197,0))</f>
        <v>-2.3691330289999999</v>
      </c>
      <c r="AL324">
        <f>INDEX(Coordinates!$C$2:$C$197,MATCH(H324,Coordinates!$J$2:$J$197,0))</f>
        <v>34.060233009999997</v>
      </c>
      <c r="AM324" t="str">
        <f>IF(ISNUMBER(SEARCH("C", 'WetLitterbags placem_collection'!$W105)),"YES","NO")</f>
        <v>NO</v>
      </c>
      <c r="AN324" t="str">
        <f>IF(ISNUMBER(SEARCH("H", 'WetLitterbags placem_collection'!$W105)),"YES","NO")</f>
        <v>NO</v>
      </c>
      <c r="AO324" t="str">
        <f>IF(ISNUMBER(SEARCH("R", 'WetLitterbags placem_collection'!$W105)),"YES","NO")</f>
        <v>NO</v>
      </c>
    </row>
    <row r="325" spans="1:41" ht="15" customHeight="1">
      <c r="A325" s="255" t="s">
        <v>2454</v>
      </c>
      <c r="B325" s="260">
        <f>'Dry_Litterbag Placem_Collection'!A106</f>
        <v>104</v>
      </c>
      <c r="C325" s="260" t="str">
        <f>'Dry_Litterbag Placem_Collection'!B106</f>
        <v xml:space="preserve">Mwantimba
</v>
      </c>
      <c r="D325" s="260" t="s">
        <v>2454</v>
      </c>
      <c r="E325" s="260" t="s">
        <v>2644</v>
      </c>
      <c r="F325" s="260">
        <v>1</v>
      </c>
      <c r="G325" s="260" t="s">
        <v>3815</v>
      </c>
      <c r="H325" s="261" t="str">
        <f>'Dry_Litterbag Placem_Collection'!C106</f>
        <v>Wet_Ag1_T8</v>
      </c>
      <c r="I325" s="262" t="s">
        <v>2525</v>
      </c>
      <c r="J325" s="269" t="s">
        <v>298</v>
      </c>
      <c r="K325" s="221" t="str">
        <f>'WetLitterbags placem_collection'!M106</f>
        <v>R577</v>
      </c>
      <c r="L325" s="223">
        <f>IFERROR(INDEX('Green_rooibos initial weight'!$C$5:$C$2000,MATCH(K325, 'Green_rooibos initial weight'!$A$5:$A$2000,0)),"")</f>
        <v>2.0859999999999999</v>
      </c>
      <c r="M325" s="223">
        <f>IFERROR(L325-(TBIcalc!$H$9+TBIcalc!$H$10),"")</f>
        <v>1.8361999999999998</v>
      </c>
      <c r="N325" s="385">
        <f>AVERAGE(Ashed_controlls!$K$2:$K$11)</f>
        <v>5.5147656768714146</v>
      </c>
      <c r="O325" s="223">
        <f t="shared" si="26"/>
        <v>1.734937872641287</v>
      </c>
      <c r="P325" s="223">
        <f>IFERROR(INDEX('Both teabags AfterWet'!$C$3:$C$840,MATCH(K325,'Both teabags AfterWet'!$A$3:$A$840,0)),"")</f>
        <v>1.4470000000000001</v>
      </c>
      <c r="Q325" s="223">
        <f>IFERROR(IF(P325&gt;0,P325-(TBIcalc!$H$9),""),"")</f>
        <v>1.2964</v>
      </c>
      <c r="R325" s="223">
        <f>IFERROR(INDEX('Ashed teabags wet'!$K$2:$K$2000,MATCH(K325,'Ashed teabags wet'!$A$2:$A$2000,0)),"")</f>
        <v>6.3583815028902215</v>
      </c>
      <c r="S325" s="223">
        <f t="shared" si="27"/>
        <v>1.2139699421965311</v>
      </c>
      <c r="T325" s="224">
        <f>'WetLitterbags placem_collection'!E106</f>
        <v>42762</v>
      </c>
      <c r="U325" s="224">
        <f>IF('WetLitterbags placem_collection'!G106="","",'WetLitterbags placem_collection'!G106)</f>
        <v>42816</v>
      </c>
      <c r="V325" s="225">
        <f t="shared" si="25"/>
        <v>54</v>
      </c>
      <c r="W325" s="223">
        <f t="shared" si="28"/>
        <v>0.53979999999999984</v>
      </c>
      <c r="X325" s="223">
        <f t="shared" si="29"/>
        <v>0.52096793044475587</v>
      </c>
      <c r="Y325">
        <f>IFERROR(INDEX(Rainfall_Wet!$O$2:$O$217,MATCH(B325, Rainfall_Wet!$A$2:$A$217,0)),"")</f>
        <v>206.85140822299999</v>
      </c>
      <c r="Z325" s="228">
        <v>45.96</v>
      </c>
      <c r="AA325" s="228">
        <v>14.920000000000003</v>
      </c>
      <c r="AB325" s="228">
        <v>39.119999999999997</v>
      </c>
      <c r="AC325" s="229" t="s">
        <v>2657</v>
      </c>
      <c r="AD325" s="228">
        <v>9.0374568753080293</v>
      </c>
      <c r="AE325">
        <f>IF('WetLitterbags placem_collection'!AB106="","",'WetLitterbags placem_collection'!AB106)</f>
        <v>10.5</v>
      </c>
      <c r="AF325">
        <f>IF('WetLitterbags placem_collection'!Z106="","",'WetLitterbags placem_collection'!Z106)</f>
        <v>17</v>
      </c>
      <c r="AG325" s="243" t="str">
        <f>IF('WetLitterbags placem_collection'!AA106="","",'WetLitterbags placem_collection'!AA106)</f>
        <v>G</v>
      </c>
      <c r="AH325">
        <f>IF('WetLitterbags placem_collection'!AC106="","",'WetLitterbags placem_collection'!AC106)</f>
        <v>1</v>
      </c>
      <c r="AI325" s="237">
        <f>AVERAGE('WetLitterbags placem_collection'!S106,'WetLitterbags placem_collection'!U106)</f>
        <v>21.6</v>
      </c>
      <c r="AJ325">
        <f>AVERAGE('WetLitterbags placem_collection'!R106,'WetLitterbags placem_collection'!T106)</f>
        <v>29.3</v>
      </c>
      <c r="AK325">
        <f>INDEX(Coordinates!$B$2:$B$197,MATCH(H325,Coordinates!$J$2:$J$197,0))</f>
        <v>-2.3692910280000001</v>
      </c>
      <c r="AL325">
        <f>INDEX(Coordinates!$C$2:$C$197,MATCH(H325,Coordinates!$J$2:$J$197,0))</f>
        <v>34.06016202</v>
      </c>
      <c r="AM325" t="str">
        <f>IF(ISNUMBER(SEARCH("C", 'WetLitterbags placem_collection'!$W106)),"YES","NO")</f>
        <v>NO</v>
      </c>
      <c r="AN325" t="str">
        <f>IF(ISNUMBER(SEARCH("H", 'WetLitterbags placem_collection'!$W106)),"YES","NO")</f>
        <v>NO</v>
      </c>
      <c r="AO325" t="str">
        <f>IF(ISNUMBER(SEARCH("R", 'WetLitterbags placem_collection'!$W106)),"YES","NO")</f>
        <v>NO</v>
      </c>
    </row>
    <row r="326" spans="1:41" ht="15" customHeight="1">
      <c r="A326" s="255" t="s">
        <v>2454</v>
      </c>
      <c r="B326" s="260">
        <f>'Dry_Litterbag Placem_Collection'!A107</f>
        <v>105</v>
      </c>
      <c r="C326" s="260" t="str">
        <f>'Dry_Litterbag Placem_Collection'!B107</f>
        <v xml:space="preserve">Mwantimba
</v>
      </c>
      <c r="D326" s="260" t="s">
        <v>2454</v>
      </c>
      <c r="E326" s="260" t="s">
        <v>2644</v>
      </c>
      <c r="F326" s="260">
        <v>2</v>
      </c>
      <c r="G326" s="260" t="s">
        <v>3817</v>
      </c>
      <c r="H326" s="261" t="str">
        <f>'Dry_Litterbag Placem_Collection'!C107</f>
        <v>Wet_Ag2_T1</v>
      </c>
      <c r="I326" s="262" t="s">
        <v>2525</v>
      </c>
      <c r="J326" s="269" t="s">
        <v>298</v>
      </c>
      <c r="K326" s="221" t="str">
        <f>'WetLitterbags placem_collection'!M107</f>
        <v>R548</v>
      </c>
      <c r="L326" s="223">
        <f>IFERROR(INDEX('Green_rooibos initial weight'!$C$5:$C$2000,MATCH(K326, 'Green_rooibos initial weight'!$A$5:$A$2000,0)),"")</f>
        <v>2.1920000000000002</v>
      </c>
      <c r="M326" s="223">
        <f>IFERROR(L326-(TBIcalc!$H$9+TBIcalc!$H$10),"")</f>
        <v>1.9422000000000001</v>
      </c>
      <c r="N326" s="385">
        <f>AVERAGE(Ashed_controlls!$K$2:$K$11)</f>
        <v>5.5147656768714146</v>
      </c>
      <c r="O326" s="223">
        <f t="shared" si="26"/>
        <v>1.8350922210238034</v>
      </c>
      <c r="P326" s="223">
        <f>IFERROR(INDEX('Both teabags AfterWet'!$C$3:$C$840,MATCH(K326,'Both teabags AfterWet'!$A$3:$A$840,0)),"")</f>
        <v>1.859</v>
      </c>
      <c r="Q326" s="223">
        <f>IFERROR(IF(P326&gt;0,P326-(TBIcalc!$H$9),""),"")</f>
        <v>1.7083999999999999</v>
      </c>
      <c r="R326" s="223">
        <f>IFERROR(INDEX('Ashed teabags wet'!$K$2:$K$2000,MATCH(K326,'Ashed teabags wet'!$A$2:$A$2000,0)),"")</f>
        <v>16.476991588322143</v>
      </c>
      <c r="S326" s="223">
        <f t="shared" si="27"/>
        <v>1.4269070757051043</v>
      </c>
      <c r="T326" s="224">
        <f>'WetLitterbags placem_collection'!E107</f>
        <v>42762</v>
      </c>
      <c r="U326" s="224">
        <f>IF('WetLitterbags placem_collection'!G107="","",'WetLitterbags placem_collection'!G107)</f>
        <v>42816</v>
      </c>
      <c r="V326" s="225">
        <f t="shared" si="25"/>
        <v>54</v>
      </c>
      <c r="W326" s="223">
        <f t="shared" si="28"/>
        <v>0.23380000000000023</v>
      </c>
      <c r="X326" s="223">
        <f t="shared" si="29"/>
        <v>0.40818514531869909</v>
      </c>
      <c r="Y326">
        <f>IFERROR(INDEX(Rainfall_Wet!$O$2:$O$217,MATCH(B326, Rainfall_Wet!$A$2:$A$217,0)),"")</f>
        <v>206.85140822299999</v>
      </c>
      <c r="Z326" s="228">
        <v>34.344660194174757</v>
      </c>
      <c r="AA326" s="228">
        <v>19.22727272727273</v>
      </c>
      <c r="AB326" s="228">
        <v>46.428067078552509</v>
      </c>
      <c r="AC326" s="229" t="s">
        <v>2654</v>
      </c>
      <c r="AD326" s="228">
        <v>1.7452932479053718</v>
      </c>
      <c r="AE326">
        <f>IF('WetLitterbags placem_collection'!AB107="","",'WetLitterbags placem_collection'!AB107)</f>
        <v>5.5</v>
      </c>
      <c r="AF326">
        <f>IF('WetLitterbags placem_collection'!Z107="","",'WetLitterbags placem_collection'!Z107)</f>
        <v>23.5</v>
      </c>
      <c r="AG326" s="243" t="str">
        <f>IF('WetLitterbags placem_collection'!AA107="","",'WetLitterbags placem_collection'!AA107)</f>
        <v>M</v>
      </c>
      <c r="AH326">
        <f>IF('WetLitterbags placem_collection'!AC107="","",'WetLitterbags placem_collection'!AC107)</f>
        <v>0</v>
      </c>
      <c r="AI326" s="237">
        <f>AVERAGE('WetLitterbags placem_collection'!S107,'WetLitterbags placem_collection'!U107)</f>
        <v>11.350000000000001</v>
      </c>
      <c r="AJ326">
        <f>AVERAGE('WetLitterbags placem_collection'!R107,'WetLitterbags placem_collection'!T107)</f>
        <v>32.150000000000006</v>
      </c>
      <c r="AK326">
        <f>INDEX(Coordinates!$B$2:$B$197,MATCH(H326,Coordinates!$J$2:$J$197,0))</f>
        <v>-2.3698080240000001</v>
      </c>
      <c r="AL326">
        <f>INDEX(Coordinates!$C$2:$C$197,MATCH(H326,Coordinates!$J$2:$J$197,0))</f>
        <v>34.059671010000002</v>
      </c>
      <c r="AM326" t="str">
        <f>IF(ISNUMBER(SEARCH("C", 'WetLitterbags placem_collection'!$W107)),"YES","NO")</f>
        <v>NO</v>
      </c>
      <c r="AN326" t="str">
        <f>IF(ISNUMBER(SEARCH("H", 'WetLitterbags placem_collection'!$W107)),"YES","NO")</f>
        <v>NO</v>
      </c>
      <c r="AO326" t="str">
        <f>IF(ISNUMBER(SEARCH("R", 'WetLitterbags placem_collection'!$W107)),"YES","NO")</f>
        <v>YES</v>
      </c>
    </row>
    <row r="327" spans="1:41" ht="15" customHeight="1">
      <c r="A327" s="255" t="s">
        <v>2454</v>
      </c>
      <c r="B327" s="260">
        <f>'Dry_Litterbag Placem_Collection'!A108</f>
        <v>106</v>
      </c>
      <c r="C327" s="260" t="str">
        <f>'Dry_Litterbag Placem_Collection'!B108</f>
        <v xml:space="preserve">Mwantimba
</v>
      </c>
      <c r="D327" s="260" t="s">
        <v>2454</v>
      </c>
      <c r="E327" s="260" t="s">
        <v>2644</v>
      </c>
      <c r="F327" s="260">
        <v>2</v>
      </c>
      <c r="G327" s="260" t="s">
        <v>3817</v>
      </c>
      <c r="H327" s="261" t="str">
        <f>'Dry_Litterbag Placem_Collection'!C108</f>
        <v>Wet_Ag2_T2</v>
      </c>
      <c r="I327" s="262" t="s">
        <v>2525</v>
      </c>
      <c r="J327" s="269" t="s">
        <v>298</v>
      </c>
      <c r="K327" s="221" t="str">
        <f>'WetLitterbags placem_collection'!M108</f>
        <v>R590</v>
      </c>
      <c r="L327" s="223">
        <f>IFERROR(INDEX('Green_rooibos initial weight'!$C$5:$C$2000,MATCH(K327, 'Green_rooibos initial weight'!$A$5:$A$2000,0)),"")</f>
        <v>2.218</v>
      </c>
      <c r="M327" s="223">
        <f>IFERROR(L327-(TBIcalc!$H$9+TBIcalc!$H$10),"")</f>
        <v>1.9681999999999999</v>
      </c>
      <c r="N327" s="385">
        <f>AVERAGE(Ashed_controlls!$K$2:$K$11)</f>
        <v>5.5147656768714146</v>
      </c>
      <c r="O327" s="223">
        <f t="shared" si="26"/>
        <v>1.8596583819478167</v>
      </c>
      <c r="P327" s="223">
        <f>IFERROR(INDEX('Both teabags AfterWet'!$C$3:$C$840,MATCH(K327,'Both teabags AfterWet'!$A$3:$A$840,0)),"")</f>
        <v>1.7769999999999999</v>
      </c>
      <c r="Q327" s="223">
        <f>IFERROR(IF(P327&gt;0,P327-(TBIcalc!$H$9),""),"")</f>
        <v>1.6263999999999998</v>
      </c>
      <c r="R327" s="223">
        <f>IFERROR(INDEX('Ashed teabags wet'!$K$2:$K$2000,MATCH(K327,'Ashed teabags wet'!$A$2:$A$2000,0)),"")</f>
        <v>10.077145612343887</v>
      </c>
      <c r="S327" s="223">
        <f t="shared" si="27"/>
        <v>1.4625053037608389</v>
      </c>
      <c r="T327" s="224">
        <f>'WetLitterbags placem_collection'!E108</f>
        <v>42762</v>
      </c>
      <c r="U327" s="224">
        <f>IF('WetLitterbags placem_collection'!G108="","",'WetLitterbags placem_collection'!G108)</f>
        <v>42816</v>
      </c>
      <c r="V327" s="225">
        <f t="shared" si="25"/>
        <v>54</v>
      </c>
      <c r="W327" s="223">
        <f t="shared" si="28"/>
        <v>0.3418000000000001</v>
      </c>
      <c r="X327" s="223">
        <f t="shared" si="29"/>
        <v>0.39715307818697787</v>
      </c>
      <c r="Y327">
        <f>IFERROR(INDEX(Rainfall_Wet!$O$2:$O$217,MATCH(B327, Rainfall_Wet!$A$2:$A$217,0)),"")</f>
        <v>206.85140822299999</v>
      </c>
      <c r="Z327" s="228">
        <v>34.344660194174757</v>
      </c>
      <c r="AA327" s="228">
        <v>19.22727272727273</v>
      </c>
      <c r="AB327" s="228">
        <v>46.428067078552509</v>
      </c>
      <c r="AC327" s="229" t="s">
        <v>2654</v>
      </c>
      <c r="AD327" s="228">
        <v>2.7452932479053702</v>
      </c>
      <c r="AE327">
        <f>IF('WetLitterbags placem_collection'!AB108="","",'WetLitterbags placem_collection'!AB108)</f>
        <v>8.6</v>
      </c>
      <c r="AF327">
        <f>IF('WetLitterbags placem_collection'!Z108="","",'WetLitterbags placem_collection'!Z108)</f>
        <v>17</v>
      </c>
      <c r="AG327" s="243" t="str">
        <f>IF('WetLitterbags placem_collection'!AA108="","",'WetLitterbags placem_collection'!AA108)</f>
        <v>M</v>
      </c>
      <c r="AH327">
        <f>IF('WetLitterbags placem_collection'!AC108="","",'WetLitterbags placem_collection'!AC108)</f>
        <v>0</v>
      </c>
      <c r="AI327" s="237">
        <f>AVERAGE('WetLitterbags placem_collection'!S108,'WetLitterbags placem_collection'!U108)</f>
        <v>12.4</v>
      </c>
      <c r="AJ327">
        <f>AVERAGE('WetLitterbags placem_collection'!R108,'WetLitterbags placem_collection'!T108)</f>
        <v>32.950000000000003</v>
      </c>
      <c r="AK327">
        <f>INDEX(Coordinates!$B$2:$B$197,MATCH(H327,Coordinates!$J$2:$J$197,0))</f>
        <v>-2.3697620069999998</v>
      </c>
      <c r="AL327">
        <f>INDEX(Coordinates!$C$2:$C$197,MATCH(H327,Coordinates!$J$2:$J$197,0))</f>
        <v>34.059730010000003</v>
      </c>
      <c r="AM327" t="str">
        <f>IF(ISNUMBER(SEARCH("C", 'WetLitterbags placem_collection'!$W108)),"YES","NO")</f>
        <v>NO</v>
      </c>
      <c r="AN327" t="str">
        <f>IF(ISNUMBER(SEARCH("H", 'WetLitterbags placem_collection'!$W108)),"YES","NO")</f>
        <v>NO</v>
      </c>
      <c r="AO327" t="str">
        <f>IF(ISNUMBER(SEARCH("R", 'WetLitterbags placem_collection'!$W108)),"YES","NO")</f>
        <v>YES</v>
      </c>
    </row>
    <row r="328" spans="1:41" ht="15" customHeight="1">
      <c r="A328" s="255" t="s">
        <v>2454</v>
      </c>
      <c r="B328" s="260">
        <f>'Dry_Litterbag Placem_Collection'!A109</f>
        <v>107</v>
      </c>
      <c r="C328" s="260" t="str">
        <f>'Dry_Litterbag Placem_Collection'!B109</f>
        <v xml:space="preserve">Mwantimba
</v>
      </c>
      <c r="D328" s="260" t="s">
        <v>2454</v>
      </c>
      <c r="E328" s="260" t="s">
        <v>2644</v>
      </c>
      <c r="F328" s="260">
        <v>2</v>
      </c>
      <c r="G328" s="260" t="s">
        <v>3817</v>
      </c>
      <c r="H328" s="261" t="str">
        <f>'Dry_Litterbag Placem_Collection'!C109</f>
        <v>Wet_Ag2_T3</v>
      </c>
      <c r="I328" s="262" t="s">
        <v>2525</v>
      </c>
      <c r="J328" s="269" t="s">
        <v>298</v>
      </c>
      <c r="K328" s="221" t="str">
        <f>'WetLitterbags placem_collection'!M109</f>
        <v>R574</v>
      </c>
      <c r="L328" s="223">
        <f>IFERROR(INDEX('Green_rooibos initial weight'!$C$5:$C$2000,MATCH(K328, 'Green_rooibos initial weight'!$A$5:$A$2000,0)),"")</f>
        <v>2.16</v>
      </c>
      <c r="M328" s="223">
        <f>IFERROR(L328-(TBIcalc!$H$9+TBIcalc!$H$10),"")</f>
        <v>1.9102000000000001</v>
      </c>
      <c r="N328" s="385">
        <f>AVERAGE(Ashed_controlls!$K$2:$K$11)</f>
        <v>5.5147656768714146</v>
      </c>
      <c r="O328" s="223">
        <f t="shared" si="26"/>
        <v>1.8048569460404023</v>
      </c>
      <c r="P328" s="223">
        <f>IFERROR(INDEX('Both teabags AfterWet'!$C$3:$C$840,MATCH(K328,'Both teabags AfterWet'!$A$3:$A$840,0)),"")</f>
        <v>1.706</v>
      </c>
      <c r="Q328" s="223">
        <f>IFERROR(IF(P328&gt;0,P328-(TBIcalc!$H$9),""),"")</f>
        <v>1.5553999999999999</v>
      </c>
      <c r="R328" s="223">
        <f>IFERROR(INDEX('Ashed teabags wet'!$K$2:$K$2000,MATCH(K328,'Ashed teabags wet'!$A$2:$A$2000,0)),"")</f>
        <v>6.0532687651327608</v>
      </c>
      <c r="S328" s="223">
        <f t="shared" si="27"/>
        <v>1.461247457627125</v>
      </c>
      <c r="T328" s="224">
        <f>'WetLitterbags placem_collection'!E109</f>
        <v>42762</v>
      </c>
      <c r="U328" s="224">
        <f>IF('WetLitterbags placem_collection'!G109="","",'WetLitterbags placem_collection'!G109)</f>
        <v>42816</v>
      </c>
      <c r="V328" s="225">
        <f t="shared" si="25"/>
        <v>54</v>
      </c>
      <c r="W328" s="223">
        <f t="shared" si="28"/>
        <v>0.35480000000000023</v>
      </c>
      <c r="X328" s="223">
        <f t="shared" si="29"/>
        <v>0.34360948841327721</v>
      </c>
      <c r="Y328">
        <f>IFERROR(INDEX(Rainfall_Wet!$O$2:$O$217,MATCH(B328, Rainfall_Wet!$A$2:$A$217,0)),"")</f>
        <v>206.85140822299999</v>
      </c>
      <c r="Z328" s="228">
        <v>34.344660194174757</v>
      </c>
      <c r="AA328" s="228">
        <v>19.22727272727273</v>
      </c>
      <c r="AB328" s="228">
        <v>46.428067078552509</v>
      </c>
      <c r="AC328" s="229" t="s">
        <v>2654</v>
      </c>
      <c r="AD328" s="228">
        <v>3.7452932479053702</v>
      </c>
      <c r="AE328">
        <f>IF('WetLitterbags placem_collection'!AB109="","",'WetLitterbags placem_collection'!AB109)</f>
        <v>3.85</v>
      </c>
      <c r="AF328">
        <f>IF('WetLitterbags placem_collection'!Z109="","",'WetLitterbags placem_collection'!Z109)</f>
        <v>15.5</v>
      </c>
      <c r="AG328" s="243" t="str">
        <f>IF('WetLitterbags placem_collection'!AA109="","",'WetLitterbags placem_collection'!AA109)</f>
        <v>M</v>
      </c>
      <c r="AH328">
        <f>IF('WetLitterbags placem_collection'!AC109="","",'WetLitterbags placem_collection'!AC109)</f>
        <v>0</v>
      </c>
      <c r="AI328" s="237">
        <f>AVERAGE('WetLitterbags placem_collection'!S109,'WetLitterbags placem_collection'!U109)</f>
        <v>11.299999999999999</v>
      </c>
      <c r="AJ328">
        <f>AVERAGE('WetLitterbags placem_collection'!R109,'WetLitterbags placem_collection'!T109)</f>
        <v>32.450000000000003</v>
      </c>
      <c r="AK328">
        <f>INDEX(Coordinates!$B$2:$B$197,MATCH(H328,Coordinates!$J$2:$J$197,0))</f>
        <v>-2.3698409649999999</v>
      </c>
      <c r="AL328">
        <f>INDEX(Coordinates!$C$2:$C$197,MATCH(H328,Coordinates!$J$2:$J$197,0))</f>
        <v>34.059814000000003</v>
      </c>
      <c r="AM328" t="str">
        <f>IF(ISNUMBER(SEARCH("C", 'WetLitterbags placem_collection'!$W109)),"YES","NO")</f>
        <v>NO</v>
      </c>
      <c r="AN328" t="str">
        <f>IF(ISNUMBER(SEARCH("H", 'WetLitterbags placem_collection'!$W109)),"YES","NO")</f>
        <v>NO</v>
      </c>
      <c r="AO328" t="str">
        <f>IF(ISNUMBER(SEARCH("R", 'WetLitterbags placem_collection'!$W109)),"YES","NO")</f>
        <v>NO</v>
      </c>
    </row>
    <row r="329" spans="1:41" ht="15" customHeight="1">
      <c r="A329" s="255" t="s">
        <v>2454</v>
      </c>
      <c r="B329" s="260">
        <f>'Dry_Litterbag Placem_Collection'!A110</f>
        <v>108</v>
      </c>
      <c r="C329" s="260" t="str">
        <f>'Dry_Litterbag Placem_Collection'!B110</f>
        <v xml:space="preserve">Mwantimba
</v>
      </c>
      <c r="D329" s="260" t="s">
        <v>2454</v>
      </c>
      <c r="E329" s="260" t="s">
        <v>2644</v>
      </c>
      <c r="F329" s="260">
        <v>2</v>
      </c>
      <c r="G329" s="260" t="s">
        <v>3817</v>
      </c>
      <c r="H329" s="261" t="str">
        <f>'Dry_Litterbag Placem_Collection'!C110</f>
        <v>Wet_Ag2_T4</v>
      </c>
      <c r="I329" s="262" t="s">
        <v>2525</v>
      </c>
      <c r="J329" s="269" t="s">
        <v>298</v>
      </c>
      <c r="K329" s="221" t="str">
        <f>'WetLitterbags placem_collection'!M110</f>
        <v>R8</v>
      </c>
      <c r="L329" s="223">
        <f>IFERROR(INDEX('Green_rooibos initial weight'!$C$5:$C$2000,MATCH(K329, 'Green_rooibos initial weight'!$A$5:$A$2000,0)),"")</f>
        <v>2.23</v>
      </c>
      <c r="M329" s="223">
        <f>IFERROR(L329-(TBIcalc!$H$9+TBIcalc!$H$10),"")</f>
        <v>1.9802</v>
      </c>
      <c r="N329" s="385">
        <f>AVERAGE(Ashed_controlls!$K$2:$K$11)</f>
        <v>5.5147656768714146</v>
      </c>
      <c r="O329" s="223">
        <f t="shared" si="26"/>
        <v>1.8709966100665922</v>
      </c>
      <c r="P329" s="223">
        <f>IFERROR(INDEX('Both teabags AfterWet'!$C$3:$C$840,MATCH(K329,'Both teabags AfterWet'!$A$3:$A$840,0)),"")</f>
        <v>1.536</v>
      </c>
      <c r="Q329" s="223">
        <f>IFERROR(IF(P329&gt;0,P329-(TBIcalc!$H$9),""),"")</f>
        <v>1.3854</v>
      </c>
      <c r="R329" s="223">
        <f>IFERROR(INDEX('Ashed teabags wet'!$K$2:$K$2000,MATCH(K329,'Ashed teabags wet'!$A$2:$A$2000,0)),"")</f>
        <v>8.2171314741042973</v>
      </c>
      <c r="S329" s="223">
        <f t="shared" si="27"/>
        <v>1.2715598605577589</v>
      </c>
      <c r="T329" s="224">
        <f>'WetLitterbags placem_collection'!E110</f>
        <v>42762</v>
      </c>
      <c r="U329" s="224">
        <f>IF('WetLitterbags placem_collection'!G110="","",'WetLitterbags placem_collection'!G110)</f>
        <v>42816</v>
      </c>
      <c r="V329" s="225">
        <f t="shared" si="25"/>
        <v>54</v>
      </c>
      <c r="W329" s="223">
        <f t="shared" si="28"/>
        <v>0.5948</v>
      </c>
      <c r="X329" s="223">
        <f t="shared" si="29"/>
        <v>0.5994367495088333</v>
      </c>
      <c r="Y329">
        <f>IFERROR(INDEX(Rainfall_Wet!$O$2:$O$217,MATCH(B329, Rainfall_Wet!$A$2:$A$217,0)),"")</f>
        <v>206.85140822299999</v>
      </c>
      <c r="Z329" s="228">
        <v>34.344660194174757</v>
      </c>
      <c r="AA329" s="228">
        <v>19.22727272727273</v>
      </c>
      <c r="AB329" s="228">
        <v>46.428067078552509</v>
      </c>
      <c r="AC329" s="229" t="s">
        <v>2654</v>
      </c>
      <c r="AD329" s="228">
        <v>4.7452932479053702</v>
      </c>
      <c r="AE329">
        <f>IF('WetLitterbags placem_collection'!AB110="","",'WetLitterbags placem_collection'!AB110)</f>
        <v>9.6999999999999993</v>
      </c>
      <c r="AF329">
        <f>IF('WetLitterbags placem_collection'!Z110="","",'WetLitterbags placem_collection'!Z110)</f>
        <v>22.5</v>
      </c>
      <c r="AG329" s="243" t="str">
        <f>IF('WetLitterbags placem_collection'!AA110="","",'WetLitterbags placem_collection'!AA110)</f>
        <v>M</v>
      </c>
      <c r="AH329">
        <f>IF('WetLitterbags placem_collection'!AC110="","",'WetLitterbags placem_collection'!AC110)</f>
        <v>0</v>
      </c>
      <c r="AI329" s="237">
        <f>AVERAGE('WetLitterbags placem_collection'!S110,'WetLitterbags placem_collection'!U110)</f>
        <v>15.1</v>
      </c>
      <c r="AJ329">
        <f>AVERAGE('WetLitterbags placem_collection'!R110,'WetLitterbags placem_collection'!T110)</f>
        <v>31.55</v>
      </c>
      <c r="AK329">
        <f>INDEX(Coordinates!$B$2:$B$197,MATCH(H329,Coordinates!$J$2:$J$197,0))</f>
        <v>-2.3698620030000002</v>
      </c>
      <c r="AL329">
        <f>INDEX(Coordinates!$C$2:$C$197,MATCH(H329,Coordinates!$J$2:$J$197,0))</f>
        <v>34.059759020000001</v>
      </c>
      <c r="AM329" t="str">
        <f>IF(ISNUMBER(SEARCH("C", 'WetLitterbags placem_collection'!$W110)),"YES","NO")</f>
        <v>NO</v>
      </c>
      <c r="AN329" t="str">
        <f>IF(ISNUMBER(SEARCH("H", 'WetLitterbags placem_collection'!$W110)),"YES","NO")</f>
        <v>YES</v>
      </c>
      <c r="AO329" t="str">
        <f>IF(ISNUMBER(SEARCH("R", 'WetLitterbags placem_collection'!$W110)),"YES","NO")</f>
        <v>NO</v>
      </c>
    </row>
    <row r="330" spans="1:41" ht="15" customHeight="1">
      <c r="A330" s="255" t="s">
        <v>2454</v>
      </c>
      <c r="B330" s="260">
        <f>'Dry_Litterbag Placem_Collection'!A111</f>
        <v>109</v>
      </c>
      <c r="C330" s="260" t="str">
        <f>'Dry_Litterbag Placem_Collection'!B111</f>
        <v xml:space="preserve">Mwantimba
</v>
      </c>
      <c r="D330" s="260" t="s">
        <v>2454</v>
      </c>
      <c r="E330" s="260" t="s">
        <v>2644</v>
      </c>
      <c r="F330" s="260">
        <v>2</v>
      </c>
      <c r="G330" s="260" t="s">
        <v>3817</v>
      </c>
      <c r="H330" s="261" t="str">
        <f>'Dry_Litterbag Placem_Collection'!C111</f>
        <v>Wet_Ag2_T5</v>
      </c>
      <c r="I330" s="262" t="s">
        <v>2525</v>
      </c>
      <c r="J330" s="269" t="s">
        <v>298</v>
      </c>
      <c r="K330" s="221" t="str">
        <f>'WetLitterbags placem_collection'!M111</f>
        <v>R552</v>
      </c>
      <c r="L330" s="223">
        <f>IFERROR(INDEX('Green_rooibos initial weight'!$C$5:$C$2000,MATCH(K330, 'Green_rooibos initial weight'!$A$5:$A$2000,0)),"")</f>
        <v>2.222</v>
      </c>
      <c r="M330" s="223">
        <f>IFERROR(L330-(TBIcalc!$H$9+TBIcalc!$H$10),"")</f>
        <v>1.9722</v>
      </c>
      <c r="N330" s="385">
        <f>AVERAGE(Ashed_controlls!$K$2:$K$11)</f>
        <v>5.5147656768714146</v>
      </c>
      <c r="O330" s="223">
        <f t="shared" si="26"/>
        <v>1.8634377913207418</v>
      </c>
      <c r="P330" s="223">
        <f>IFERROR(INDEX('Both teabags AfterWet'!$C$3:$C$840,MATCH(K330,'Both teabags AfterWet'!$A$3:$A$840,0)),"")</f>
        <v>1.7532000000000001</v>
      </c>
      <c r="Q330" s="223">
        <f>IFERROR(IF(P330&gt;0,P330-(TBIcalc!$H$9),""),"")</f>
        <v>1.6026</v>
      </c>
      <c r="R330" s="223">
        <f>IFERROR(INDEX('Ashed teabags wet'!$K$2:$K$2000,MATCH(K330,'Ashed teabags wet'!$A$2:$A$2000,0)),"")</f>
        <v>9.2346938775513898</v>
      </c>
      <c r="S330" s="223">
        <f t="shared" si="27"/>
        <v>1.4546047959183614</v>
      </c>
      <c r="T330" s="224">
        <f>'WetLitterbags placem_collection'!E111</f>
        <v>42762</v>
      </c>
      <c r="U330" s="224">
        <f>IF('WetLitterbags placem_collection'!G111="","",'WetLitterbags placem_collection'!G111)</f>
        <v>42816</v>
      </c>
      <c r="V330" s="225">
        <f t="shared" si="25"/>
        <v>54</v>
      </c>
      <c r="W330" s="223">
        <f t="shared" si="28"/>
        <v>0.36959999999999993</v>
      </c>
      <c r="X330" s="223">
        <f t="shared" si="29"/>
        <v>0.40883299540238038</v>
      </c>
      <c r="Y330">
        <f>IFERROR(INDEX(Rainfall_Wet!$O$2:$O$217,MATCH(B330, Rainfall_Wet!$A$2:$A$217,0)),"")</f>
        <v>206.85140822299999</v>
      </c>
      <c r="Z330" s="228">
        <v>34.344660194174757</v>
      </c>
      <c r="AA330" s="228">
        <v>19.22727272727273</v>
      </c>
      <c r="AB330" s="228">
        <v>46.428067078552509</v>
      </c>
      <c r="AC330" s="229" t="s">
        <v>2654</v>
      </c>
      <c r="AD330" s="228">
        <v>5.7452932479053702</v>
      </c>
      <c r="AE330">
        <f>IF('WetLitterbags placem_collection'!AB111="","",'WetLitterbags placem_collection'!AB111)</f>
        <v>10.5</v>
      </c>
      <c r="AF330">
        <f>IF('WetLitterbags placem_collection'!Z111="","",'WetLitterbags placem_collection'!Z111)</f>
        <v>22.5</v>
      </c>
      <c r="AG330" s="243" t="str">
        <f>IF('WetLitterbags placem_collection'!AA111="","",'WetLitterbags placem_collection'!AA111)</f>
        <v>M</v>
      </c>
      <c r="AH330">
        <f>IF('WetLitterbags placem_collection'!AC111="","",'WetLitterbags placem_collection'!AC111)</f>
        <v>0</v>
      </c>
      <c r="AI330" s="237">
        <f>AVERAGE('WetLitterbags placem_collection'!S111,'WetLitterbags placem_collection'!U111)</f>
        <v>9</v>
      </c>
      <c r="AJ330">
        <f>AVERAGE('WetLitterbags placem_collection'!R111,'WetLitterbags placem_collection'!T111)</f>
        <v>33.5</v>
      </c>
      <c r="AK330">
        <f>INDEX(Coordinates!$B$2:$B$197,MATCH(H330,Coordinates!$J$2:$J$197,0))</f>
        <v>-2.3698390370000002</v>
      </c>
      <c r="AL330">
        <f>INDEX(Coordinates!$C$2:$C$197,MATCH(H330,Coordinates!$J$2:$J$197,0))</f>
        <v>34.059714</v>
      </c>
      <c r="AM330" t="str">
        <f>IF(ISNUMBER(SEARCH("C", 'WetLitterbags placem_collection'!$W111)),"YES","NO")</f>
        <v>NO</v>
      </c>
      <c r="AN330" t="str">
        <f>IF(ISNUMBER(SEARCH("H", 'WetLitterbags placem_collection'!$W111)),"YES","NO")</f>
        <v>NO</v>
      </c>
      <c r="AO330" t="str">
        <f>IF(ISNUMBER(SEARCH("R", 'WetLitterbags placem_collection'!$W111)),"YES","NO")</f>
        <v>NO</v>
      </c>
    </row>
    <row r="331" spans="1:41" ht="15" customHeight="1">
      <c r="A331" s="255" t="s">
        <v>2454</v>
      </c>
      <c r="B331" s="260">
        <f>'Dry_Litterbag Placem_Collection'!A112</f>
        <v>110</v>
      </c>
      <c r="C331" s="260" t="str">
        <f>'Dry_Litterbag Placem_Collection'!B112</f>
        <v xml:space="preserve">Mwantimba
</v>
      </c>
      <c r="D331" s="260" t="s">
        <v>2454</v>
      </c>
      <c r="E331" s="260" t="s">
        <v>2644</v>
      </c>
      <c r="F331" s="260">
        <v>2</v>
      </c>
      <c r="G331" s="260" t="s">
        <v>3817</v>
      </c>
      <c r="H331" s="261" t="str">
        <f>'Dry_Litterbag Placem_Collection'!C112</f>
        <v>Wet_Ag2_T6</v>
      </c>
      <c r="I331" s="262" t="s">
        <v>2525</v>
      </c>
      <c r="J331" s="269" t="s">
        <v>298</v>
      </c>
      <c r="K331" s="221" t="str">
        <f>'WetLitterbags placem_collection'!M112</f>
        <v>R462</v>
      </c>
      <c r="L331" s="223">
        <f>IFERROR(INDEX('Green_rooibos initial weight'!$C$5:$C$2000,MATCH(K331, 'Green_rooibos initial weight'!$A$5:$A$2000,0)),"")</f>
        <v>2.226</v>
      </c>
      <c r="M331" s="223">
        <f>IFERROR(L331-(TBIcalc!$H$9+TBIcalc!$H$10),"")</f>
        <v>1.9762</v>
      </c>
      <c r="N331" s="385">
        <f>AVERAGE(Ashed_controlls!$K$2:$K$11)</f>
        <v>5.5147656768714146</v>
      </c>
      <c r="O331" s="223">
        <f t="shared" si="26"/>
        <v>1.8672172006936671</v>
      </c>
      <c r="P331" s="223">
        <f>IFERROR(INDEX('Both teabags AfterWet'!$C$3:$C$840,MATCH(K331,'Both teabags AfterWet'!$A$3:$A$840,0)),"")</f>
        <v>1.5465</v>
      </c>
      <c r="Q331" s="223">
        <f>IFERROR(IF(P331&gt;0,P331-(TBIcalc!$H$9),""),"")</f>
        <v>1.3958999999999999</v>
      </c>
      <c r="R331" s="223">
        <f>IFERROR(INDEX('Ashed teabags wet'!$K$2:$K$2000,MATCH(K331,'Ashed teabags wet'!$A$2:$A$2000,0)),"")</f>
        <v>7.3158914728682047</v>
      </c>
      <c r="S331" s="223">
        <f t="shared" si="27"/>
        <v>1.2937774709302325</v>
      </c>
      <c r="T331" s="224">
        <f>'WetLitterbags placem_collection'!E112</f>
        <v>42762</v>
      </c>
      <c r="U331" s="224">
        <f>IF('WetLitterbags placem_collection'!G112="","",'WetLitterbags placem_collection'!G112)</f>
        <v>42816</v>
      </c>
      <c r="V331" s="225">
        <f t="shared" si="25"/>
        <v>54</v>
      </c>
      <c r="W331" s="223">
        <f t="shared" si="28"/>
        <v>0.58030000000000004</v>
      </c>
      <c r="X331" s="223">
        <f t="shared" si="29"/>
        <v>0.5734397297634346</v>
      </c>
      <c r="Y331">
        <f>IFERROR(INDEX(Rainfall_Wet!$O$2:$O$217,MATCH(B331, Rainfall_Wet!$A$2:$A$217,0)),"")</f>
        <v>206.85140822299999</v>
      </c>
      <c r="Z331" s="228">
        <v>34.344660194174757</v>
      </c>
      <c r="AA331" s="228">
        <v>19.22727272727273</v>
      </c>
      <c r="AB331" s="228">
        <v>46.428067078552509</v>
      </c>
      <c r="AC331" s="229" t="s">
        <v>2654</v>
      </c>
      <c r="AD331" s="228">
        <v>6.7452932479053702</v>
      </c>
      <c r="AE331">
        <f>IF('WetLitterbags placem_collection'!AB112="","",'WetLitterbags placem_collection'!AB112)</f>
        <v>5.75</v>
      </c>
      <c r="AF331">
        <f>IF('WetLitterbags placem_collection'!Z112="","",'WetLitterbags placem_collection'!Z112)</f>
        <v>22.5</v>
      </c>
      <c r="AG331" s="243" t="str">
        <f>IF('WetLitterbags placem_collection'!AA112="","",'WetLitterbags placem_collection'!AA112)</f>
        <v>M</v>
      </c>
      <c r="AH331">
        <f>IF('WetLitterbags placem_collection'!AC112="","",'WetLitterbags placem_collection'!AC112)</f>
        <v>0</v>
      </c>
      <c r="AI331" s="237">
        <f>AVERAGE('WetLitterbags placem_collection'!S112,'WetLitterbags placem_collection'!U112)</f>
        <v>16.950000000000003</v>
      </c>
      <c r="AJ331">
        <f>AVERAGE('WetLitterbags placem_collection'!R112,'WetLitterbags placem_collection'!T112)</f>
        <v>30.5</v>
      </c>
      <c r="AK331">
        <f>INDEX(Coordinates!$B$2:$B$197,MATCH(H331,Coordinates!$J$2:$J$197,0))</f>
        <v>-2.3697549659999999</v>
      </c>
      <c r="AL331">
        <f>INDEX(Coordinates!$C$2:$C$197,MATCH(H331,Coordinates!$J$2:$J$197,0))</f>
        <v>34.059668989999999</v>
      </c>
      <c r="AM331" t="str">
        <f>IF(ISNUMBER(SEARCH("C", 'WetLitterbags placem_collection'!$W112)),"YES","NO")</f>
        <v>NO</v>
      </c>
      <c r="AN331" t="str">
        <f>IF(ISNUMBER(SEARCH("H", 'WetLitterbags placem_collection'!$W112)),"YES","NO")</f>
        <v>NO</v>
      </c>
      <c r="AO331" t="str">
        <f>IF(ISNUMBER(SEARCH("R", 'WetLitterbags placem_collection'!$W112)),"YES","NO")</f>
        <v>NO</v>
      </c>
    </row>
    <row r="332" spans="1:41" ht="15" customHeight="1">
      <c r="A332" s="255" t="s">
        <v>2454</v>
      </c>
      <c r="B332" s="260">
        <f>'Dry_Litterbag Placem_Collection'!A113</f>
        <v>111</v>
      </c>
      <c r="C332" s="260" t="str">
        <f>'Dry_Litterbag Placem_Collection'!B113</f>
        <v xml:space="preserve">Mwantimba
</v>
      </c>
      <c r="D332" s="260" t="s">
        <v>2454</v>
      </c>
      <c r="E332" s="260" t="s">
        <v>2644</v>
      </c>
      <c r="F332" s="260">
        <v>2</v>
      </c>
      <c r="G332" s="260" t="s">
        <v>3817</v>
      </c>
      <c r="H332" s="261" t="str">
        <f>'Dry_Litterbag Placem_Collection'!C113</f>
        <v>Wet_Ag2_T7</v>
      </c>
      <c r="I332" s="262" t="s">
        <v>2525</v>
      </c>
      <c r="J332" s="269" t="s">
        <v>298</v>
      </c>
      <c r="K332" s="221" t="str">
        <f>'WetLitterbags placem_collection'!M113</f>
        <v>R505</v>
      </c>
      <c r="L332" s="223">
        <f>IFERROR(INDEX('Green_rooibos initial weight'!$C$5:$C$2000,MATCH(K332, 'Green_rooibos initial weight'!$A$5:$A$2000,0)),"")</f>
        <v>2.198</v>
      </c>
      <c r="M332" s="223">
        <f>IFERROR(L332-(TBIcalc!$H$9+TBIcalc!$H$10),"")</f>
        <v>1.9481999999999999</v>
      </c>
      <c r="N332" s="385">
        <f>AVERAGE(Ashed_controlls!$K$2:$K$11)</f>
        <v>5.5147656768714146</v>
      </c>
      <c r="O332" s="223">
        <f t="shared" si="26"/>
        <v>1.8407613350831911</v>
      </c>
      <c r="P332" s="223">
        <f>IFERROR(INDEX('Both teabags AfterWet'!$C$3:$C$840,MATCH(K332,'Both teabags AfterWet'!$A$3:$A$840,0)),"")</f>
        <v>1.673</v>
      </c>
      <c r="Q332" s="223">
        <f>IFERROR(IF(P332&gt;0,P332-(TBIcalc!$H$9),""),"")</f>
        <v>1.5224</v>
      </c>
      <c r="R332" s="223">
        <f>IFERROR(INDEX('Ashed teabags wet'!$K$2:$K$2000,MATCH(K332,'Ashed teabags wet'!$A$2:$A$2000,0)),"")</f>
        <v>8.7623762376235934</v>
      </c>
      <c r="S332" s="223">
        <f t="shared" si="27"/>
        <v>1.3890015841584185</v>
      </c>
      <c r="T332" s="224">
        <f>'WetLitterbags placem_collection'!E113</f>
        <v>42762</v>
      </c>
      <c r="U332" s="224">
        <f>IF('WetLitterbags placem_collection'!G113="","",'WetLitterbags placem_collection'!G113)</f>
        <v>42816</v>
      </c>
      <c r="V332" s="225">
        <f t="shared" si="25"/>
        <v>54</v>
      </c>
      <c r="W332" s="223">
        <f t="shared" si="28"/>
        <v>0.42579999999999996</v>
      </c>
      <c r="X332" s="223">
        <f t="shared" si="29"/>
        <v>0.45175975092477261</v>
      </c>
      <c r="Y332">
        <f>IFERROR(INDEX(Rainfall_Wet!$O$2:$O$217,MATCH(B332, Rainfall_Wet!$A$2:$A$217,0)),"")</f>
        <v>206.85140822299999</v>
      </c>
      <c r="Z332" s="228">
        <v>34.344660194174757</v>
      </c>
      <c r="AA332" s="228">
        <v>19.22727272727273</v>
      </c>
      <c r="AB332" s="228">
        <v>46.428067078552509</v>
      </c>
      <c r="AC332" s="229" t="s">
        <v>2654</v>
      </c>
      <c r="AD332" s="228">
        <v>7.7452932479053702</v>
      </c>
      <c r="AE332">
        <f>IF('WetLitterbags placem_collection'!AB113="","",'WetLitterbags placem_collection'!AB113)</f>
        <v>6.1</v>
      </c>
      <c r="AF332">
        <f>IF('WetLitterbags placem_collection'!Z113="","",'WetLitterbags placem_collection'!Z113)</f>
        <v>26</v>
      </c>
      <c r="AG332" s="243" t="str">
        <f>IF('WetLitterbags placem_collection'!AA113="","",'WetLitterbags placem_collection'!AA113)</f>
        <v>M</v>
      </c>
      <c r="AH332">
        <f>IF('WetLitterbags placem_collection'!AC113="","",'WetLitterbags placem_collection'!AC113)</f>
        <v>0</v>
      </c>
      <c r="AI332" s="237">
        <f>AVERAGE('WetLitterbags placem_collection'!S113,'WetLitterbags placem_collection'!U113)</f>
        <v>11.1</v>
      </c>
      <c r="AJ332">
        <f>AVERAGE('WetLitterbags placem_collection'!R113,'WetLitterbags placem_collection'!T113)</f>
        <v>32.65</v>
      </c>
      <c r="AK332">
        <f>INDEX(Coordinates!$B$2:$B$197,MATCH(H332,Coordinates!$J$2:$J$197,0))</f>
        <v>-2.3697330060000001</v>
      </c>
      <c r="AL332">
        <f>INDEX(Coordinates!$C$2:$C$197,MATCH(H332,Coordinates!$J$2:$J$197,0))</f>
        <v>34.059615010000002</v>
      </c>
      <c r="AM332" t="str">
        <f>IF(ISNUMBER(SEARCH("C", 'WetLitterbags placem_collection'!$W113)),"YES","NO")</f>
        <v>NO</v>
      </c>
      <c r="AN332" t="str">
        <f>IF(ISNUMBER(SEARCH("H", 'WetLitterbags placem_collection'!$W113)),"YES","NO")</f>
        <v>NO</v>
      </c>
      <c r="AO332" t="str">
        <f>IF(ISNUMBER(SEARCH("R", 'WetLitterbags placem_collection'!$W113)),"YES","NO")</f>
        <v>NO</v>
      </c>
    </row>
    <row r="333" spans="1:41" ht="15" customHeight="1">
      <c r="A333" s="255" t="s">
        <v>2454</v>
      </c>
      <c r="B333" s="260">
        <f>'Dry_Litterbag Placem_Collection'!A114</f>
        <v>112</v>
      </c>
      <c r="C333" s="260" t="str">
        <f>'Dry_Litterbag Placem_Collection'!B114</f>
        <v xml:space="preserve">Mwantimba
</v>
      </c>
      <c r="D333" s="260" t="s">
        <v>2454</v>
      </c>
      <c r="E333" s="260" t="s">
        <v>2644</v>
      </c>
      <c r="F333" s="260">
        <v>2</v>
      </c>
      <c r="G333" s="260" t="s">
        <v>3817</v>
      </c>
      <c r="H333" s="261" t="str">
        <f>'Dry_Litterbag Placem_Collection'!C114</f>
        <v>Wet_Ag2_T8</v>
      </c>
      <c r="I333" s="262" t="s">
        <v>2525</v>
      </c>
      <c r="J333" s="269" t="s">
        <v>298</v>
      </c>
      <c r="K333" s="221" t="str">
        <f>'WetLitterbags placem_collection'!M114</f>
        <v>R41</v>
      </c>
      <c r="L333" s="223">
        <f>IFERROR(INDEX('Green_rooibos initial weight'!$C$5:$C$2000,MATCH(K333, 'Green_rooibos initial weight'!$A$5:$A$2000,0)),"")</f>
        <v>2.2010000000000001</v>
      </c>
      <c r="M333" s="223">
        <f>IFERROR(L333-(TBIcalc!$H$9+TBIcalc!$H$10),"")</f>
        <v>1.9512</v>
      </c>
      <c r="N333" s="385">
        <f>AVERAGE(Ashed_controlls!$K$2:$K$11)</f>
        <v>5.5147656768714146</v>
      </c>
      <c r="O333" s="223">
        <f t="shared" si="26"/>
        <v>1.843595892112885</v>
      </c>
      <c r="P333" s="223">
        <f>IFERROR(INDEX('Both teabags AfterWet'!$C$3:$C$840,MATCH(K333,'Both teabags AfterWet'!$A$3:$A$840,0)),"")</f>
        <v>1.6910000000000001</v>
      </c>
      <c r="Q333" s="223">
        <f>IFERROR(IF(P333&gt;0,P333-(TBIcalc!$H$9),""),"")</f>
        <v>1.5404</v>
      </c>
      <c r="R333" s="223">
        <f>IFERROR(INDEX('Ashed teabags wet'!$K$2:$K$2000,MATCH(K333,'Ashed teabags wet'!$A$2:$A$2000,0)),"")</f>
        <v>6.9995105237407165</v>
      </c>
      <c r="S333" s="223">
        <f t="shared" si="27"/>
        <v>1.432579539892298</v>
      </c>
      <c r="T333" s="224">
        <f>'WetLitterbags placem_collection'!E114</f>
        <v>42762</v>
      </c>
      <c r="U333" s="224">
        <f>IF('WetLitterbags placem_collection'!G114="","",'WetLitterbags placem_collection'!G114)</f>
        <v>42816</v>
      </c>
      <c r="V333" s="225">
        <f t="shared" si="25"/>
        <v>54</v>
      </c>
      <c r="W333" s="223">
        <f t="shared" si="28"/>
        <v>0.41080000000000005</v>
      </c>
      <c r="X333" s="223">
        <f t="shared" si="29"/>
        <v>0.41101635222058697</v>
      </c>
      <c r="Y333">
        <f>IFERROR(INDEX(Rainfall_Wet!$O$2:$O$217,MATCH(B333, Rainfall_Wet!$A$2:$A$217,0)),"")</f>
        <v>206.85140822299999</v>
      </c>
      <c r="Z333" s="228">
        <v>34.344660194174757</v>
      </c>
      <c r="AA333" s="228">
        <v>19.22727272727273</v>
      </c>
      <c r="AB333" s="228">
        <v>46.428067078552509</v>
      </c>
      <c r="AC333" s="229" t="s">
        <v>2654</v>
      </c>
      <c r="AD333" s="228">
        <v>8.7452932479053693</v>
      </c>
      <c r="AE333">
        <f>IF('WetLitterbags placem_collection'!AB114="","",'WetLitterbags placem_collection'!AB114)</f>
        <v>11.5</v>
      </c>
      <c r="AF333">
        <f>IF('WetLitterbags placem_collection'!Z114="","",'WetLitterbags placem_collection'!Z114)</f>
        <v>15</v>
      </c>
      <c r="AG333" s="243" t="str">
        <f>IF('WetLitterbags placem_collection'!AA114="","",'WetLitterbags placem_collection'!AA114)</f>
        <v>M</v>
      </c>
      <c r="AH333">
        <f>IF('WetLitterbags placem_collection'!AC114="","",'WetLitterbags placem_collection'!AC114)</f>
        <v>0</v>
      </c>
      <c r="AI333" s="237">
        <f>AVERAGE('WetLitterbags placem_collection'!S114,'WetLitterbags placem_collection'!U114)</f>
        <v>15.2</v>
      </c>
      <c r="AJ333">
        <f>AVERAGE('WetLitterbags placem_collection'!R114,'WetLitterbags placem_collection'!T114)</f>
        <v>31.450000000000003</v>
      </c>
      <c r="AK333">
        <f>INDEX(Coordinates!$B$2:$B$197,MATCH(H333,Coordinates!$J$2:$J$197,0))</f>
        <v>-2.36967098</v>
      </c>
      <c r="AL333">
        <f>INDEX(Coordinates!$C$2:$C$197,MATCH(H333,Coordinates!$J$2:$J$197,0))</f>
        <v>34.059735959999998</v>
      </c>
      <c r="AM333" t="str">
        <f>IF(ISNUMBER(SEARCH("C", 'WetLitterbags placem_collection'!$W114)),"YES","NO")</f>
        <v>NO</v>
      </c>
      <c r="AN333" t="str">
        <f>IF(ISNUMBER(SEARCH("H", 'WetLitterbags placem_collection'!$W114)),"YES","NO")</f>
        <v>NO</v>
      </c>
      <c r="AO333" t="str">
        <f>IF(ISNUMBER(SEARCH("R", 'WetLitterbags placem_collection'!$W114)),"YES","NO")</f>
        <v>YES</v>
      </c>
    </row>
    <row r="334" spans="1:41" ht="15" customHeight="1">
      <c r="A334" s="255" t="s">
        <v>2454</v>
      </c>
      <c r="B334" s="260">
        <f>'Dry_Litterbag Placem_Collection'!A115</f>
        <v>113</v>
      </c>
      <c r="C334" s="260" t="str">
        <f>'Dry_Litterbag Placem_Collection'!B115</f>
        <v xml:space="preserve">Mwantimba
</v>
      </c>
      <c r="D334" s="260" t="s">
        <v>2454</v>
      </c>
      <c r="E334" s="260" t="s">
        <v>2644</v>
      </c>
      <c r="F334" s="260">
        <v>3</v>
      </c>
      <c r="G334" s="260" t="s">
        <v>3818</v>
      </c>
      <c r="H334" s="261" t="str">
        <f>'Dry_Litterbag Placem_Collection'!C115</f>
        <v>Wet_Ag3_T1</v>
      </c>
      <c r="I334" s="262" t="s">
        <v>2525</v>
      </c>
      <c r="J334" s="269" t="s">
        <v>298</v>
      </c>
      <c r="K334" s="221" t="str">
        <f>'WetLitterbags placem_collection'!M115</f>
        <v>R428</v>
      </c>
      <c r="L334" s="223">
        <f>IFERROR(INDEX('Green_rooibos initial weight'!$C$5:$C$2000,MATCH(K334, 'Green_rooibos initial weight'!$A$5:$A$2000,0)),"")</f>
        <v>2.202</v>
      </c>
      <c r="M334" s="223">
        <f>IFERROR(L334-(TBIcalc!$H$9+TBIcalc!$H$10),"")</f>
        <v>1.9521999999999999</v>
      </c>
      <c r="N334" s="385">
        <f>AVERAGE(Ashed_controlls!$K$2:$K$11)</f>
        <v>5.5147656768714146</v>
      </c>
      <c r="O334" s="223">
        <f t="shared" si="26"/>
        <v>1.8445407444561162</v>
      </c>
      <c r="P334" s="223">
        <f>IFERROR(INDEX('Both teabags AfterWet'!$C$3:$C$840,MATCH(K334,'Both teabags AfterWet'!$A$3:$A$840,0)),"")</f>
        <v>1.768</v>
      </c>
      <c r="Q334" s="223">
        <f>IFERROR(IF(P334&gt;0,P334-(TBIcalc!$H$9),""),"")</f>
        <v>1.6173999999999999</v>
      </c>
      <c r="R334" s="223">
        <f>IFERROR(INDEX('Ashed teabags wet'!$K$2:$K$2000,MATCH(K334,'Ashed teabags wet'!$A$2:$A$2000,0)),"")</f>
        <v>90.530490827962367</v>
      </c>
      <c r="S334" s="223">
        <f t="shared" si="27"/>
        <v>0.15315984134853666</v>
      </c>
      <c r="T334" s="224">
        <f>'WetLitterbags placem_collection'!E115</f>
        <v>42762</v>
      </c>
      <c r="U334" s="224">
        <f>IF('WetLitterbags placem_collection'!G115="","",'WetLitterbags placem_collection'!G115)</f>
        <v>42816</v>
      </c>
      <c r="V334" s="225">
        <f t="shared" si="25"/>
        <v>54</v>
      </c>
      <c r="W334" s="223">
        <f t="shared" si="28"/>
        <v>0.33479999999999999</v>
      </c>
      <c r="X334" s="223">
        <f t="shared" si="29"/>
        <v>1.6913809031075795</v>
      </c>
      <c r="Y334">
        <f>IFERROR(INDEX(Rainfall_Wet!$O$2:$O$217,MATCH(B334, Rainfall_Wet!$A$2:$A$217,0)),"")</f>
        <v>206.85140822299999</v>
      </c>
      <c r="Z334" s="228">
        <v>27.96</v>
      </c>
      <c r="AA334" s="228">
        <v>4.9200000000000017</v>
      </c>
      <c r="AB334" s="228">
        <v>67.12</v>
      </c>
      <c r="AC334" s="229" t="s">
        <v>2654</v>
      </c>
      <c r="AD334" s="228">
        <v>0.88610152784622953</v>
      </c>
      <c r="AE334">
        <f>IF('WetLitterbags placem_collection'!AB115="","",'WetLitterbags placem_collection'!AB115)</f>
        <v>26</v>
      </c>
      <c r="AF334">
        <f>IF('WetLitterbags placem_collection'!Z115="","",'WetLitterbags placem_collection'!Z115)</f>
        <v>88.5</v>
      </c>
      <c r="AG334" s="243" t="str">
        <f>IF('WetLitterbags placem_collection'!AA115="","",'WetLitterbags placem_collection'!AA115)</f>
        <v>G</v>
      </c>
      <c r="AH334">
        <f>IF('WetLitterbags placem_collection'!AC115="","",'WetLitterbags placem_collection'!AC115)</f>
        <v>0</v>
      </c>
      <c r="AI334" s="237">
        <f>AVERAGE('WetLitterbags placem_collection'!S115,'WetLitterbags placem_collection'!U115)</f>
        <v>8.6999999999999993</v>
      </c>
      <c r="AJ334">
        <f>AVERAGE('WetLitterbags placem_collection'!R115,'WetLitterbags placem_collection'!T115)</f>
        <v>32.4</v>
      </c>
      <c r="AK334">
        <f>INDEX(Coordinates!$B$2:$B$197,MATCH(H334,Coordinates!$J$2:$J$197,0))</f>
        <v>-2.3487199940000001</v>
      </c>
      <c r="AL334">
        <f>INDEX(Coordinates!$C$2:$C$197,MATCH(H334,Coordinates!$J$2:$J$197,0))</f>
        <v>34.051391029999998</v>
      </c>
      <c r="AM334" t="str">
        <f>IF(ISNUMBER(SEARCH("C", 'WetLitterbags placem_collection'!$W115)),"YES","NO")</f>
        <v>NO</v>
      </c>
      <c r="AN334" t="str">
        <f>IF(ISNUMBER(SEARCH("H", 'WetLitterbags placem_collection'!$W115)),"YES","NO")</f>
        <v>YES</v>
      </c>
      <c r="AO334" t="str">
        <f>IF(ISNUMBER(SEARCH("R", 'WetLitterbags placem_collection'!$W115)),"YES","NO")</f>
        <v>YES</v>
      </c>
    </row>
    <row r="335" spans="1:41" ht="15" customHeight="1">
      <c r="A335" s="255" t="s">
        <v>2454</v>
      </c>
      <c r="B335" s="260">
        <f>'Dry_Litterbag Placem_Collection'!A116</f>
        <v>114</v>
      </c>
      <c r="C335" s="260" t="str">
        <f>'Dry_Litterbag Placem_Collection'!B116</f>
        <v xml:space="preserve">Mwantimba
</v>
      </c>
      <c r="D335" s="260" t="s">
        <v>2454</v>
      </c>
      <c r="E335" s="260" t="s">
        <v>2644</v>
      </c>
      <c r="F335" s="260">
        <v>3</v>
      </c>
      <c r="G335" s="260" t="s">
        <v>3818</v>
      </c>
      <c r="H335" s="261" t="str">
        <f>'Dry_Litterbag Placem_Collection'!C116</f>
        <v>Wet_Ag3_T2</v>
      </c>
      <c r="I335" s="262" t="s">
        <v>2525</v>
      </c>
      <c r="J335" s="269" t="s">
        <v>298</v>
      </c>
      <c r="K335" s="221" t="str">
        <f>'WetLitterbags placem_collection'!M116</f>
        <v>R601</v>
      </c>
      <c r="L335" s="223">
        <f>IFERROR(INDEX('Green_rooibos initial weight'!$C$5:$C$2000,MATCH(K335, 'Green_rooibos initial weight'!$A$5:$A$2000,0)),"")</f>
        <v>2.198</v>
      </c>
      <c r="M335" s="223">
        <f>IFERROR(L335-(TBIcalc!$H$9+TBIcalc!$H$10),"")</f>
        <v>1.9481999999999999</v>
      </c>
      <c r="N335" s="385">
        <f>AVERAGE(Ashed_controlls!$K$2:$K$11)</f>
        <v>5.5147656768714146</v>
      </c>
      <c r="O335" s="223">
        <f t="shared" si="26"/>
        <v>1.8407613350831911</v>
      </c>
      <c r="P335" s="223">
        <f>IFERROR(INDEX('Both teabags AfterWet'!$C$3:$C$840,MATCH(K335,'Both teabags AfterWet'!$A$3:$A$840,0)),"")</f>
        <v>2.7930000000000001</v>
      </c>
      <c r="Q335" s="223">
        <f>IFERROR(IF(P335&gt;0,P335-(TBIcalc!$H$9),""),"")</f>
        <v>2.6424000000000003</v>
      </c>
      <c r="R335" s="223">
        <f>IFERROR(INDEX('Ashed teabags wet'!$K$2:$K$2000,MATCH(K335,'Ashed teabags wet'!$A$2:$A$2000,0)),"")</f>
        <v>95.101842870998382</v>
      </c>
      <c r="S335" s="223">
        <f t="shared" si="27"/>
        <v>0.12942890397673867</v>
      </c>
      <c r="T335" s="224">
        <f>'WetLitterbags placem_collection'!E116</f>
        <v>42762</v>
      </c>
      <c r="U335" s="224">
        <f>IF('WetLitterbags placem_collection'!G116="","",'WetLitterbags placem_collection'!G116)</f>
        <v>42816</v>
      </c>
      <c r="V335" s="225">
        <f t="shared" si="25"/>
        <v>54</v>
      </c>
      <c r="W335" s="223">
        <f t="shared" si="28"/>
        <v>-0.69420000000000037</v>
      </c>
      <c r="X335" s="223">
        <f t="shared" si="29"/>
        <v>1.7113324311064524</v>
      </c>
      <c r="Y335">
        <f>IFERROR(INDEX(Rainfall_Wet!$O$2:$O$217,MATCH(B335, Rainfall_Wet!$A$2:$A$217,0)),"")</f>
        <v>206.85140822299999</v>
      </c>
      <c r="Z335" s="228">
        <v>27.96</v>
      </c>
      <c r="AA335" s="228">
        <v>4.9200000000000017</v>
      </c>
      <c r="AB335" s="228">
        <v>67.12</v>
      </c>
      <c r="AC335" s="229" t="s">
        <v>2654</v>
      </c>
      <c r="AD335" s="228">
        <v>1.8861015278462301</v>
      </c>
      <c r="AE335">
        <f>IF('WetLitterbags placem_collection'!AB116="","",'WetLitterbags placem_collection'!AB116)</f>
        <v>16.5</v>
      </c>
      <c r="AF335">
        <f>IF('WetLitterbags placem_collection'!Z116="","",'WetLitterbags placem_collection'!Z116)</f>
        <v>87.5</v>
      </c>
      <c r="AG335" s="243" t="str">
        <f>IF('WetLitterbags placem_collection'!AA116="","",'WetLitterbags placem_collection'!AA116)</f>
        <v>G</v>
      </c>
      <c r="AH335">
        <f>IF('WetLitterbags placem_collection'!AC116="","",'WetLitterbags placem_collection'!AC116)</f>
        <v>0</v>
      </c>
      <c r="AI335" s="237">
        <f>AVERAGE('WetLitterbags placem_collection'!S116,'WetLitterbags placem_collection'!U116)</f>
        <v>12.899999999999999</v>
      </c>
      <c r="AJ335">
        <f>AVERAGE('WetLitterbags placem_collection'!R116,'WetLitterbags placem_collection'!T116)</f>
        <v>30.450000000000003</v>
      </c>
      <c r="AK335">
        <f>INDEX(Coordinates!$B$2:$B$197,MATCH(H335,Coordinates!$J$2:$J$197,0))</f>
        <v>-2.348716976</v>
      </c>
      <c r="AL335">
        <f>INDEX(Coordinates!$C$2:$C$197,MATCH(H335,Coordinates!$J$2:$J$197,0))</f>
        <v>34.051484989999999</v>
      </c>
      <c r="AM335" t="str">
        <f>IF(ISNUMBER(SEARCH("C", 'WetLitterbags placem_collection'!$W116)),"YES","NO")</f>
        <v>NO</v>
      </c>
      <c r="AN335" t="str">
        <f>IF(ISNUMBER(SEARCH("H", 'WetLitterbags placem_collection'!$W116)),"YES","NO")</f>
        <v>YES</v>
      </c>
      <c r="AO335" t="str">
        <f>IF(ISNUMBER(SEARCH("R", 'WetLitterbags placem_collection'!$W116)),"YES","NO")</f>
        <v>YES</v>
      </c>
    </row>
    <row r="336" spans="1:41" ht="15" customHeight="1">
      <c r="A336" s="255" t="s">
        <v>2454</v>
      </c>
      <c r="B336" s="260">
        <f>'Dry_Litterbag Placem_Collection'!A117</f>
        <v>115</v>
      </c>
      <c r="C336" s="260" t="str">
        <f>'Dry_Litterbag Placem_Collection'!B117</f>
        <v xml:space="preserve">Mwantimba
</v>
      </c>
      <c r="D336" s="260" t="s">
        <v>2454</v>
      </c>
      <c r="E336" s="260" t="s">
        <v>2644</v>
      </c>
      <c r="F336" s="260">
        <v>3</v>
      </c>
      <c r="G336" s="260" t="s">
        <v>3818</v>
      </c>
      <c r="H336" s="261" t="str">
        <f>'Dry_Litterbag Placem_Collection'!C117</f>
        <v>Wet_Ag3_T3</v>
      </c>
      <c r="I336" s="262" t="s">
        <v>2525</v>
      </c>
      <c r="J336" s="269" t="s">
        <v>298</v>
      </c>
      <c r="K336" s="221" t="str">
        <f>'WetLitterbags placem_collection'!M117</f>
        <v>R553</v>
      </c>
      <c r="L336" s="223">
        <f>IFERROR(INDEX('Green_rooibos initial weight'!$C$5:$C$2000,MATCH(K336, 'Green_rooibos initial weight'!$A$5:$A$2000,0)),"")</f>
        <v>2.1949999999999998</v>
      </c>
      <c r="M336" s="223">
        <f>IFERROR(L336-(TBIcalc!$H$9+TBIcalc!$H$10),"")</f>
        <v>1.9451999999999998</v>
      </c>
      <c r="N336" s="385">
        <f>AVERAGE(Ashed_controlls!$K$2:$K$11)</f>
        <v>5.5147656768714146</v>
      </c>
      <c r="O336" s="223">
        <f t="shared" si="26"/>
        <v>1.8379267780534971</v>
      </c>
      <c r="P336" s="223">
        <f>IFERROR(INDEX('Both teabags AfterWet'!$C$3:$C$840,MATCH(K336,'Both teabags AfterWet'!$A$3:$A$840,0)),"")</f>
        <v>0.99990000000000001</v>
      </c>
      <c r="Q336" s="223">
        <f>IFERROR(IF(P336&gt;0,P336-(TBIcalc!$H$9),""),"")</f>
        <v>0.84929999999999994</v>
      </c>
      <c r="R336" s="223">
        <f>IFERROR(INDEX('Ashed teabags wet'!$K$2:$K$2000,MATCH(K336,'Ashed teabags wet'!$A$2:$A$2000,0)),"")</f>
        <v>91.722365038559602</v>
      </c>
      <c r="S336" s="223">
        <f t="shared" si="27"/>
        <v>7.0301953727513244E-2</v>
      </c>
      <c r="T336" s="224">
        <f>'WetLitterbags placem_collection'!E117</f>
        <v>42762</v>
      </c>
      <c r="U336" s="224">
        <f>IF('WetLitterbags placem_collection'!G117="","",'WetLitterbags placem_collection'!G117)</f>
        <v>42816</v>
      </c>
      <c r="V336" s="225">
        <f t="shared" si="25"/>
        <v>54</v>
      </c>
      <c r="W336" s="223">
        <f t="shared" si="28"/>
        <v>1.0958999999999999</v>
      </c>
      <c r="X336" s="223">
        <f t="shared" si="29"/>
        <v>1.767624824325984</v>
      </c>
      <c r="Y336">
        <f>IFERROR(INDEX(Rainfall_Wet!$O$2:$O$217,MATCH(B336, Rainfall_Wet!$A$2:$A$217,0)),"")</f>
        <v>206.85140822299999</v>
      </c>
      <c r="Z336" s="228">
        <v>27.96</v>
      </c>
      <c r="AA336" s="228">
        <v>4.9200000000000017</v>
      </c>
      <c r="AB336" s="228">
        <v>67.12</v>
      </c>
      <c r="AC336" s="229" t="s">
        <v>2654</v>
      </c>
      <c r="AD336" s="228">
        <v>2.8861015278462299</v>
      </c>
      <c r="AE336">
        <f>IF('WetLitterbags placem_collection'!AB117="","",'WetLitterbags placem_collection'!AB117)</f>
        <v>19</v>
      </c>
      <c r="AF336">
        <f>IF('WetLitterbags placem_collection'!Z117="","",'WetLitterbags placem_collection'!Z117)</f>
        <v>79.5</v>
      </c>
      <c r="AG336" s="243" t="str">
        <f>IF('WetLitterbags placem_collection'!AA117="","",'WetLitterbags placem_collection'!AA117)</f>
        <v>G</v>
      </c>
      <c r="AH336">
        <f>IF('WetLitterbags placem_collection'!AC117="","",'WetLitterbags placem_collection'!AC117)</f>
        <v>1</v>
      </c>
      <c r="AI336" s="237">
        <f>AVERAGE('WetLitterbags placem_collection'!S117,'WetLitterbags placem_collection'!U117)</f>
        <v>9.9499999999999993</v>
      </c>
      <c r="AJ336">
        <f>AVERAGE('WetLitterbags placem_collection'!R117,'WetLitterbags placem_collection'!T117)</f>
        <v>31.7</v>
      </c>
      <c r="AK336">
        <f>INDEX(Coordinates!$B$2:$B$197,MATCH(H336,Coordinates!$J$2:$J$197,0))</f>
        <v>-2.3487800079999999</v>
      </c>
      <c r="AL336">
        <f>INDEX(Coordinates!$C$2:$C$197,MATCH(H336,Coordinates!$J$2:$J$197,0))</f>
        <v>34.051495969999998</v>
      </c>
      <c r="AM336" t="str">
        <f>IF(ISNUMBER(SEARCH("C", 'WetLitterbags placem_collection'!$W117)),"YES","NO")</f>
        <v>NO</v>
      </c>
      <c r="AN336" t="str">
        <f>IF(ISNUMBER(SEARCH("H", 'WetLitterbags placem_collection'!$W117)),"YES","NO")</f>
        <v>YES</v>
      </c>
      <c r="AO336" t="str">
        <f>IF(ISNUMBER(SEARCH("R", 'WetLitterbags placem_collection'!$W117)),"YES","NO")</f>
        <v>YES</v>
      </c>
    </row>
    <row r="337" spans="1:41" ht="15" customHeight="1">
      <c r="A337" s="255" t="s">
        <v>2454</v>
      </c>
      <c r="B337" s="260">
        <f>'Dry_Litterbag Placem_Collection'!A118</f>
        <v>116</v>
      </c>
      <c r="C337" s="260" t="str">
        <f>'Dry_Litterbag Placem_Collection'!B118</f>
        <v xml:space="preserve">Mwantimba
</v>
      </c>
      <c r="D337" s="260" t="s">
        <v>2454</v>
      </c>
      <c r="E337" s="260" t="s">
        <v>2644</v>
      </c>
      <c r="F337" s="260">
        <v>3</v>
      </c>
      <c r="G337" s="260" t="s">
        <v>3818</v>
      </c>
      <c r="H337" s="261" t="str">
        <f>'Dry_Litterbag Placem_Collection'!C118</f>
        <v>Wet_Ag3_T4</v>
      </c>
      <c r="I337" s="262" t="s">
        <v>2525</v>
      </c>
      <c r="J337" s="269" t="s">
        <v>298</v>
      </c>
      <c r="K337" s="221" t="str">
        <f>'WetLitterbags placem_collection'!M118</f>
        <v>R459</v>
      </c>
      <c r="L337" s="223">
        <f>IFERROR(INDEX('Green_rooibos initial weight'!$C$5:$C$2000,MATCH(K337, 'Green_rooibos initial weight'!$A$5:$A$2000,0)),"")</f>
        <v>2.2090000000000001</v>
      </c>
      <c r="M337" s="223">
        <f>IFERROR(L337-(TBIcalc!$H$9+TBIcalc!$H$10),"")</f>
        <v>1.9592000000000001</v>
      </c>
      <c r="N337" s="385">
        <f>AVERAGE(Ashed_controlls!$K$2:$K$11)</f>
        <v>5.5147656768714146</v>
      </c>
      <c r="O337" s="223">
        <f t="shared" si="26"/>
        <v>1.8511547108587354</v>
      </c>
      <c r="P337" s="223">
        <f>IFERROR(INDEX('Both teabags AfterWet'!$C$3:$C$840,MATCH(K337,'Both teabags AfterWet'!$A$3:$A$840,0)),"")</f>
        <v>0.68710000000000004</v>
      </c>
      <c r="Q337" s="223">
        <f>IFERROR(IF(P337&gt;0,P337-(TBIcalc!$H$9),""),"")</f>
        <v>0.53649999999999998</v>
      </c>
      <c r="R337" s="223">
        <f>IFERROR(INDEX('Ashed teabags wet'!$K$2:$K$2000,MATCH(K337,'Ashed teabags wet'!$A$2:$A$2000,0)),"")</f>
        <v>84.783689706613757</v>
      </c>
      <c r="S337" s="223">
        <f t="shared" si="27"/>
        <v>8.1635504724017205E-2</v>
      </c>
      <c r="T337" s="224">
        <f>'WetLitterbags placem_collection'!E118</f>
        <v>42762</v>
      </c>
      <c r="U337" s="224">
        <f>IF('WetLitterbags placem_collection'!G118="","",'WetLitterbags placem_collection'!G118)</f>
        <v>42816</v>
      </c>
      <c r="V337" s="225">
        <f t="shared" si="25"/>
        <v>54</v>
      </c>
      <c r="W337" s="223">
        <f t="shared" si="28"/>
        <v>1.4227000000000001</v>
      </c>
      <c r="X337" s="223">
        <f t="shared" si="29"/>
        <v>1.7695192061347182</v>
      </c>
      <c r="Y337">
        <f>IFERROR(INDEX(Rainfall_Wet!$O$2:$O$217,MATCH(B337, Rainfall_Wet!$A$2:$A$217,0)),"")</f>
        <v>206.85140822299999</v>
      </c>
      <c r="Z337" s="228">
        <v>27.96</v>
      </c>
      <c r="AA337" s="228">
        <v>4.9200000000000017</v>
      </c>
      <c r="AB337" s="228">
        <v>67.12</v>
      </c>
      <c r="AC337" s="229" t="s">
        <v>2654</v>
      </c>
      <c r="AD337" s="228">
        <v>3.8861015278462299</v>
      </c>
      <c r="AE337">
        <f>IF('WetLitterbags placem_collection'!AB118="","",'WetLitterbags placem_collection'!AB118)</f>
        <v>22.5</v>
      </c>
      <c r="AF337">
        <f>IF('WetLitterbags placem_collection'!Z118="","",'WetLitterbags placem_collection'!Z118)</f>
        <v>76</v>
      </c>
      <c r="AG337" s="243" t="str">
        <f>IF('WetLitterbags placem_collection'!AA118="","",'WetLitterbags placem_collection'!AA118)</f>
        <v>G</v>
      </c>
      <c r="AH337">
        <f>IF('WetLitterbags placem_collection'!AC118="","",'WetLitterbags placem_collection'!AC118)</f>
        <v>1</v>
      </c>
      <c r="AI337" s="237">
        <f>AVERAGE('WetLitterbags placem_collection'!S118,'WetLitterbags placem_collection'!U118)</f>
        <v>8.75</v>
      </c>
      <c r="AJ337">
        <f>AVERAGE('WetLitterbags placem_collection'!R118,'WetLitterbags placem_collection'!T118)</f>
        <v>25.6</v>
      </c>
      <c r="AK337">
        <f>INDEX(Coordinates!$B$2:$B$197,MATCH(H337,Coordinates!$J$2:$J$197,0))</f>
        <v>-2.3488120270000001</v>
      </c>
      <c r="AL337">
        <f>INDEX(Coordinates!$C$2:$C$197,MATCH(H337,Coordinates!$J$2:$J$197,0))</f>
        <v>34.05146697</v>
      </c>
      <c r="AM337" t="str">
        <f>IF(ISNUMBER(SEARCH("C", 'WetLitterbags placem_collection'!$W118)),"YES","NO")</f>
        <v>NO</v>
      </c>
      <c r="AN337" t="str">
        <f>IF(ISNUMBER(SEARCH("H", 'WetLitterbags placem_collection'!$W118)),"YES","NO")</f>
        <v>YES</v>
      </c>
      <c r="AO337" t="str">
        <f>IF(ISNUMBER(SEARCH("R", 'WetLitterbags placem_collection'!$W118)),"YES","NO")</f>
        <v>YES</v>
      </c>
    </row>
    <row r="338" spans="1:41" ht="15" customHeight="1">
      <c r="A338" s="255" t="s">
        <v>2454</v>
      </c>
      <c r="B338" s="260">
        <f>'Dry_Litterbag Placem_Collection'!A119</f>
        <v>117</v>
      </c>
      <c r="C338" s="260" t="str">
        <f>'Dry_Litterbag Placem_Collection'!B119</f>
        <v xml:space="preserve">Mwantimba
</v>
      </c>
      <c r="D338" s="260" t="s">
        <v>2454</v>
      </c>
      <c r="E338" s="260" t="s">
        <v>2644</v>
      </c>
      <c r="F338" s="260">
        <v>3</v>
      </c>
      <c r="G338" s="260" t="s">
        <v>3818</v>
      </c>
      <c r="H338" s="261" t="str">
        <f>'Dry_Litterbag Placem_Collection'!C119</f>
        <v>Wet_Ag3_T5</v>
      </c>
      <c r="I338" s="262" t="s">
        <v>2525</v>
      </c>
      <c r="J338" s="269" t="s">
        <v>298</v>
      </c>
      <c r="K338" s="221" t="str">
        <f>'WetLitterbags placem_collection'!M119</f>
        <v>R511</v>
      </c>
      <c r="L338" s="223">
        <f>IFERROR(INDEX('Green_rooibos initial weight'!$C$5:$C$2000,MATCH(K338, 'Green_rooibos initial weight'!$A$5:$A$2000,0)),"")</f>
        <v>2.1779999999999999</v>
      </c>
      <c r="M338" s="223">
        <f>IFERROR(L338-(TBIcalc!$H$9+TBIcalc!$H$10),"")</f>
        <v>1.9281999999999999</v>
      </c>
      <c r="N338" s="385">
        <f>AVERAGE(Ashed_controlls!$K$2:$K$11)</f>
        <v>5.5147656768714146</v>
      </c>
      <c r="O338" s="223">
        <f t="shared" si="26"/>
        <v>1.8218642882185654</v>
      </c>
      <c r="P338" s="223">
        <f>IFERROR(INDEX('Both teabags AfterWet'!$C$3:$C$840,MATCH(K338,'Both teabags AfterWet'!$A$3:$A$840,0)),"")</f>
        <v>0.39700000000000002</v>
      </c>
      <c r="Q338" s="223">
        <f>IFERROR(IF(P338&gt;0,P338-(TBIcalc!$H$9),""),"")</f>
        <v>0.24640000000000001</v>
      </c>
      <c r="R338" s="223">
        <f>IFERROR(INDEX('Ashed teabags wet'!$K$2:$K$2000,MATCH(K338,'Ashed teabags wet'!$A$2:$A$2000,0)),"")</f>
        <v>90.300678952473106</v>
      </c>
      <c r="S338" s="223">
        <f t="shared" si="27"/>
        <v>2.3899127061106279E-2</v>
      </c>
      <c r="T338" s="224">
        <f>'WetLitterbags placem_collection'!E119</f>
        <v>42762</v>
      </c>
      <c r="U338" s="224">
        <f>IF('WetLitterbags placem_collection'!G119="","",'WetLitterbags placem_collection'!G119)</f>
        <v>42816</v>
      </c>
      <c r="V338" s="225">
        <f t="shared" si="25"/>
        <v>54</v>
      </c>
      <c r="W338" s="223">
        <f t="shared" si="28"/>
        <v>1.6818</v>
      </c>
      <c r="X338" s="223">
        <f t="shared" si="29"/>
        <v>1.7979651611574592</v>
      </c>
      <c r="Y338">
        <f>IFERROR(INDEX(Rainfall_Wet!$O$2:$O$217,MATCH(B338, Rainfall_Wet!$A$2:$A$217,0)),"")</f>
        <v>206.85140822299999</v>
      </c>
      <c r="Z338" s="228">
        <v>27.96</v>
      </c>
      <c r="AA338" s="228">
        <v>4.9200000000000017</v>
      </c>
      <c r="AB338" s="228">
        <v>67.12</v>
      </c>
      <c r="AC338" s="229" t="s">
        <v>2654</v>
      </c>
      <c r="AD338" s="228">
        <v>4.8861015278462299</v>
      </c>
      <c r="AE338">
        <f>IF('WetLitterbags placem_collection'!AB119="","",'WetLitterbags placem_collection'!AB119)</f>
        <v>23.5</v>
      </c>
      <c r="AF338">
        <f>IF('WetLitterbags placem_collection'!Z119="","",'WetLitterbags placem_collection'!Z119)</f>
        <v>76</v>
      </c>
      <c r="AG338" s="243" t="str">
        <f>IF('WetLitterbags placem_collection'!AA119="","",'WetLitterbags placem_collection'!AA119)</f>
        <v>G</v>
      </c>
      <c r="AH338">
        <f>IF('WetLitterbags placem_collection'!AC119="","",'WetLitterbags placem_collection'!AC119)</f>
        <v>1</v>
      </c>
      <c r="AI338" s="237">
        <f>AVERAGE('WetLitterbags placem_collection'!S119,'WetLitterbags placem_collection'!U119)</f>
        <v>5.6999999999999993</v>
      </c>
      <c r="AJ338">
        <f>AVERAGE('WetLitterbags placem_collection'!R119,'WetLitterbags placem_collection'!T119)</f>
        <v>31.75</v>
      </c>
      <c r="AK338">
        <f>INDEX(Coordinates!$B$2:$B$197,MATCH(H338,Coordinates!$J$2:$J$197,0))</f>
        <v>-2.348814961</v>
      </c>
      <c r="AL338">
        <f>INDEX(Coordinates!$C$2:$C$197,MATCH(H338,Coordinates!$J$2:$J$197,0))</f>
        <v>34.051439979999998</v>
      </c>
      <c r="AM338" t="str">
        <f>IF(ISNUMBER(SEARCH("C", 'WetLitterbags placem_collection'!$W119)),"YES","NO")</f>
        <v>NO</v>
      </c>
      <c r="AN338" t="str">
        <f>IF(ISNUMBER(SEARCH("H", 'WetLitterbags placem_collection'!$W119)),"YES","NO")</f>
        <v>YES</v>
      </c>
      <c r="AO338" t="str">
        <f>IF(ISNUMBER(SEARCH("R", 'WetLitterbags placem_collection'!$W119)),"YES","NO")</f>
        <v>YES</v>
      </c>
    </row>
    <row r="339" spans="1:41" ht="15" customHeight="1">
      <c r="A339" s="255" t="s">
        <v>2454</v>
      </c>
      <c r="B339" s="260">
        <f>'Dry_Litterbag Placem_Collection'!A120</f>
        <v>118</v>
      </c>
      <c r="C339" s="260" t="str">
        <f>'Dry_Litterbag Placem_Collection'!B120</f>
        <v xml:space="preserve">Mwantimba
</v>
      </c>
      <c r="D339" s="260" t="s">
        <v>2454</v>
      </c>
      <c r="E339" s="260" t="s">
        <v>2644</v>
      </c>
      <c r="F339" s="260">
        <v>3</v>
      </c>
      <c r="G339" s="260" t="s">
        <v>3818</v>
      </c>
      <c r="H339" s="261" t="str">
        <f>'Dry_Litterbag Placem_Collection'!C120</f>
        <v>Wet_Ag3_T6</v>
      </c>
      <c r="I339" s="262" t="s">
        <v>2525</v>
      </c>
      <c r="J339" s="269" t="s">
        <v>298</v>
      </c>
      <c r="K339" s="221" t="str">
        <f>'WetLitterbags placem_collection'!M120</f>
        <v>R495</v>
      </c>
      <c r="L339" s="223">
        <f>IFERROR(INDEX('Green_rooibos initial weight'!$C$5:$C$2000,MATCH(K339, 'Green_rooibos initial weight'!$A$5:$A$2000,0)),"")</f>
        <v>2.25</v>
      </c>
      <c r="M339" s="223">
        <f>IFERROR(L339-(TBIcalc!$H$9+TBIcalc!$H$10),"")</f>
        <v>2.0002</v>
      </c>
      <c r="N339" s="385">
        <f>AVERAGE(Ashed_controlls!$K$2:$K$11)</f>
        <v>5.5147656768714146</v>
      </c>
      <c r="O339" s="223">
        <f t="shared" si="26"/>
        <v>1.8898936569312179</v>
      </c>
      <c r="P339" s="223">
        <f>IFERROR(INDEX('Both teabags AfterWet'!$C$3:$C$840,MATCH(K339,'Both teabags AfterWet'!$A$3:$A$840,0)),"")</f>
        <v>1.468</v>
      </c>
      <c r="Q339" s="223">
        <f>IFERROR(IF(P339&gt;0,P339-(TBIcalc!$H$9),""),"")</f>
        <v>1.3173999999999999</v>
      </c>
      <c r="R339" s="223">
        <f>IFERROR(INDEX('Ashed teabags wet'!$K$2:$K$2000,MATCH(K339,'Ashed teabags wet'!$A$2:$A$2000,0)),"")</f>
        <v>90.558576371725209</v>
      </c>
      <c r="S339" s="223">
        <f t="shared" si="27"/>
        <v>0.12438131487889215</v>
      </c>
      <c r="T339" s="224">
        <f>'WetLitterbags placem_collection'!E120</f>
        <v>42762</v>
      </c>
      <c r="U339" s="224">
        <f>IF('WetLitterbags placem_collection'!G120="","",'WetLitterbags placem_collection'!G120)</f>
        <v>42816</v>
      </c>
      <c r="V339" s="225">
        <f t="shared" si="25"/>
        <v>54</v>
      </c>
      <c r="W339" s="223">
        <f t="shared" si="28"/>
        <v>0.68280000000000007</v>
      </c>
      <c r="X339" s="223">
        <f t="shared" si="29"/>
        <v>1.7655123420523258</v>
      </c>
      <c r="Y339">
        <f>IFERROR(INDEX(Rainfall_Wet!$O$2:$O$217,MATCH(B339, Rainfall_Wet!$A$2:$A$217,0)),"")</f>
        <v>206.85140822299999</v>
      </c>
      <c r="Z339" s="228">
        <v>27.96</v>
      </c>
      <c r="AA339" s="228">
        <v>4.9200000000000017</v>
      </c>
      <c r="AB339" s="228">
        <v>67.12</v>
      </c>
      <c r="AC339" s="229" t="s">
        <v>2654</v>
      </c>
      <c r="AD339" s="228">
        <v>5.8861015278462299</v>
      </c>
      <c r="AE339">
        <f>IF('WetLitterbags placem_collection'!AB120="","",'WetLitterbags placem_collection'!AB120)</f>
        <v>17.5</v>
      </c>
      <c r="AF339">
        <f>IF('WetLitterbags placem_collection'!Z120="","",'WetLitterbags placem_collection'!Z120)</f>
        <v>70.5</v>
      </c>
      <c r="AG339" s="243" t="str">
        <f>IF('WetLitterbags placem_collection'!AA120="","",'WetLitterbags placem_collection'!AA120)</f>
        <v>G</v>
      </c>
      <c r="AH339">
        <f>IF('WetLitterbags placem_collection'!AC120="","",'WetLitterbags placem_collection'!AC120)</f>
        <v>1</v>
      </c>
      <c r="AI339" s="237">
        <f>AVERAGE('WetLitterbags placem_collection'!S120,'WetLitterbags placem_collection'!U120)</f>
        <v>10.7</v>
      </c>
      <c r="AJ339">
        <f>AVERAGE('WetLitterbags placem_collection'!R120,'WetLitterbags placem_collection'!T120)</f>
        <v>30.85</v>
      </c>
      <c r="AK339">
        <f>INDEX(Coordinates!$B$2:$B$197,MATCH(H339,Coordinates!$J$2:$J$197,0))</f>
        <v>-2.3488729629999998</v>
      </c>
      <c r="AL339">
        <f>INDEX(Coordinates!$C$2:$C$197,MATCH(H339,Coordinates!$J$2:$J$197,0))</f>
        <v>34.051454980000003</v>
      </c>
      <c r="AM339" t="str">
        <f>IF(ISNUMBER(SEARCH("C", 'WetLitterbags placem_collection'!$W120)),"YES","NO")</f>
        <v>NO</v>
      </c>
      <c r="AN339" t="str">
        <f>IF(ISNUMBER(SEARCH("H", 'WetLitterbags placem_collection'!$W120)),"YES","NO")</f>
        <v>YES</v>
      </c>
      <c r="AO339" t="str">
        <f>IF(ISNUMBER(SEARCH("R", 'WetLitterbags placem_collection'!$W120)),"YES","NO")</f>
        <v>NO</v>
      </c>
    </row>
    <row r="340" spans="1:41" ht="15" customHeight="1">
      <c r="A340" s="255" t="s">
        <v>2454</v>
      </c>
      <c r="B340" s="260">
        <f>'Dry_Litterbag Placem_Collection'!A121</f>
        <v>119</v>
      </c>
      <c r="C340" s="260" t="str">
        <f>'Dry_Litterbag Placem_Collection'!B121</f>
        <v xml:space="preserve">Mwantimba
</v>
      </c>
      <c r="D340" s="260" t="s">
        <v>2454</v>
      </c>
      <c r="E340" s="260" t="s">
        <v>2644</v>
      </c>
      <c r="F340" s="260">
        <v>3</v>
      </c>
      <c r="G340" s="260" t="s">
        <v>3818</v>
      </c>
      <c r="H340" s="261" t="str">
        <f>'Dry_Litterbag Placem_Collection'!C121</f>
        <v>Wet_Ag3_T7</v>
      </c>
      <c r="I340" s="262" t="s">
        <v>2525</v>
      </c>
      <c r="J340" s="269" t="s">
        <v>298</v>
      </c>
      <c r="K340" s="221" t="str">
        <f>'WetLitterbags placem_collection'!M121</f>
        <v>R584</v>
      </c>
      <c r="L340" s="223">
        <f>IFERROR(INDEX('Green_rooibos initial weight'!$C$5:$C$2000,MATCH(K340, 'Green_rooibos initial weight'!$A$5:$A$2000,0)),"")</f>
        <v>2.2170000000000001</v>
      </c>
      <c r="M340" s="223">
        <f>IFERROR(L340-(TBIcalc!$H$9+TBIcalc!$H$10),"")</f>
        <v>1.9672000000000001</v>
      </c>
      <c r="N340" s="385">
        <f>AVERAGE(Ashed_controlls!$K$2:$K$11)</f>
        <v>5.5147656768714146</v>
      </c>
      <c r="O340" s="223">
        <f t="shared" si="26"/>
        <v>1.8587135296045856</v>
      </c>
      <c r="P340" s="223">
        <f>IFERROR(INDEX('Both teabags AfterWet'!$C$3:$C$840,MATCH(K340,'Both teabags AfterWet'!$A$3:$A$840,0)),"")</f>
        <v>0.435</v>
      </c>
      <c r="Q340" s="223">
        <f>IFERROR(IF(P340&gt;0,P340-(TBIcalc!$H$9),""),"")</f>
        <v>0.28439999999999999</v>
      </c>
      <c r="R340" s="223">
        <f>IFERROR(INDEX('Ashed teabags wet'!$K$2:$K$2000,MATCH(K340,'Ashed teabags wet'!$A$2:$A$2000,0)),"")</f>
        <v>0</v>
      </c>
      <c r="S340" s="223">
        <f t="shared" si="27"/>
        <v>0.28439999999999999</v>
      </c>
      <c r="T340" s="224">
        <f>'WetLitterbags placem_collection'!E121</f>
        <v>42762</v>
      </c>
      <c r="U340" s="224">
        <f>IF('WetLitterbags placem_collection'!G121="","",'WetLitterbags placem_collection'!G121)</f>
        <v>42816</v>
      </c>
      <c r="V340" s="225">
        <f t="shared" si="25"/>
        <v>54</v>
      </c>
      <c r="W340" s="223">
        <f t="shared" si="28"/>
        <v>1.6828000000000001</v>
      </c>
      <c r="X340" s="223">
        <f t="shared" si="29"/>
        <v>1.5743135296045856</v>
      </c>
      <c r="Y340">
        <f>IFERROR(INDEX(Rainfall_Wet!$O$2:$O$217,MATCH(B340, Rainfall_Wet!$A$2:$A$217,0)),"")</f>
        <v>206.85140822299999</v>
      </c>
      <c r="Z340" s="228">
        <v>27.96</v>
      </c>
      <c r="AA340" s="228">
        <v>4.9200000000000017</v>
      </c>
      <c r="AB340" s="228">
        <v>67.12</v>
      </c>
      <c r="AC340" s="229" t="s">
        <v>2654</v>
      </c>
      <c r="AD340" s="228">
        <v>6.8861015278462299</v>
      </c>
      <c r="AE340">
        <f>IF('WetLitterbags placem_collection'!AB121="","",'WetLitterbags placem_collection'!AB121)</f>
        <v>18.5</v>
      </c>
      <c r="AF340">
        <f>IF('WetLitterbags placem_collection'!Z121="","",'WetLitterbags placem_collection'!Z121)</f>
        <v>74.5</v>
      </c>
      <c r="AG340" s="243" t="str">
        <f>IF('WetLitterbags placem_collection'!AA121="","",'WetLitterbags placem_collection'!AA121)</f>
        <v>G</v>
      </c>
      <c r="AH340">
        <f>IF('WetLitterbags placem_collection'!AC121="","",'WetLitterbags placem_collection'!AC121)</f>
        <v>1</v>
      </c>
      <c r="AI340" s="237">
        <f>AVERAGE('WetLitterbags placem_collection'!S121,'WetLitterbags placem_collection'!U121)</f>
        <v>11.05</v>
      </c>
      <c r="AJ340">
        <f>AVERAGE('WetLitterbags placem_collection'!R121,'WetLitterbags placem_collection'!T121)</f>
        <v>30.450000000000003</v>
      </c>
      <c r="AK340">
        <f>INDEX(Coordinates!$B$2:$B$197,MATCH(H340,Coordinates!$J$2:$J$197,0))</f>
        <v>-2.3488589659999999</v>
      </c>
      <c r="AL340">
        <f>INDEX(Coordinates!$C$2:$C$197,MATCH(H340,Coordinates!$J$2:$J$197,0))</f>
        <v>34.051389010000001</v>
      </c>
      <c r="AM340" t="str">
        <f>IF(ISNUMBER(SEARCH("C", 'WetLitterbags placem_collection'!$W121)),"YES","NO")</f>
        <v>NO</v>
      </c>
      <c r="AN340" t="str">
        <f>IF(ISNUMBER(SEARCH("H", 'WetLitterbags placem_collection'!$W121)),"YES","NO")</f>
        <v>YES</v>
      </c>
      <c r="AO340" t="str">
        <f>IF(ISNUMBER(SEARCH("R", 'WetLitterbags placem_collection'!$W121)),"YES","NO")</f>
        <v>NO</v>
      </c>
    </row>
    <row r="341" spans="1:41" ht="15" customHeight="1">
      <c r="A341" s="255" t="s">
        <v>2454</v>
      </c>
      <c r="B341" s="260">
        <f>'Dry_Litterbag Placem_Collection'!A122</f>
        <v>120</v>
      </c>
      <c r="C341" s="260" t="str">
        <f>'Dry_Litterbag Placem_Collection'!B122</f>
        <v xml:space="preserve">Mwantimba
</v>
      </c>
      <c r="D341" s="260" t="s">
        <v>2454</v>
      </c>
      <c r="E341" s="260" t="s">
        <v>2644</v>
      </c>
      <c r="F341" s="260">
        <v>3</v>
      </c>
      <c r="G341" s="260" t="s">
        <v>3818</v>
      </c>
      <c r="H341" s="261" t="str">
        <f>'Dry_Litterbag Placem_Collection'!C122</f>
        <v>Wet_Ag3_T8</v>
      </c>
      <c r="I341" s="262" t="s">
        <v>2525</v>
      </c>
      <c r="J341" s="269" t="s">
        <v>298</v>
      </c>
      <c r="K341" s="221" t="str">
        <f>'WetLitterbags placem_collection'!M122</f>
        <v>R454</v>
      </c>
      <c r="L341" s="223">
        <f>IFERROR(INDEX('Green_rooibos initial weight'!$C$5:$C$2000,MATCH(K341, 'Green_rooibos initial weight'!$A$5:$A$2000,0)),"")</f>
        <v>2.1819999999999999</v>
      </c>
      <c r="M341" s="223">
        <f>IFERROR(L341-(TBIcalc!$H$9+TBIcalc!$H$10),"")</f>
        <v>1.9321999999999999</v>
      </c>
      <c r="N341" s="385">
        <f>AVERAGE(Ashed_controlls!$K$2:$K$11)</f>
        <v>5.5147656768714146</v>
      </c>
      <c r="O341" s="223">
        <f t="shared" si="26"/>
        <v>1.8256436975914905</v>
      </c>
      <c r="P341" s="223">
        <f>IFERROR(INDEX('Both teabags AfterWet'!$C$3:$C$840,MATCH(K341,'Both teabags AfterWet'!$A$3:$A$840,0)),"")</f>
        <v>0.3876</v>
      </c>
      <c r="Q341" s="223">
        <f>IFERROR(IF(P341&gt;0,P341-(TBIcalc!$H$9),""),"")</f>
        <v>0.23699999999999999</v>
      </c>
      <c r="R341" s="223">
        <f>IFERROR(INDEX('Ashed teabags wet'!$K$2:$K$2000,MATCH(K341,'Ashed teabags wet'!$A$2:$A$2000,0)),"")</f>
        <v>0</v>
      </c>
      <c r="S341" s="223">
        <f t="shared" si="27"/>
        <v>0.23699999999999999</v>
      </c>
      <c r="T341" s="224">
        <f>'WetLitterbags placem_collection'!E122</f>
        <v>42762</v>
      </c>
      <c r="U341" s="224">
        <f>IF('WetLitterbags placem_collection'!G122="","",'WetLitterbags placem_collection'!G122)</f>
        <v>42816</v>
      </c>
      <c r="V341" s="225">
        <f t="shared" si="25"/>
        <v>54</v>
      </c>
      <c r="W341" s="223">
        <f t="shared" si="28"/>
        <v>1.6951999999999998</v>
      </c>
      <c r="X341" s="223">
        <f t="shared" si="29"/>
        <v>1.5886436975914906</v>
      </c>
      <c r="Y341">
        <f>IFERROR(INDEX(Rainfall_Wet!$O$2:$O$217,MATCH(B341, Rainfall_Wet!$A$2:$A$217,0)),"")</f>
        <v>206.85140822299999</v>
      </c>
      <c r="Z341" s="228">
        <v>27.96</v>
      </c>
      <c r="AA341" s="228">
        <v>4.9200000000000017</v>
      </c>
      <c r="AB341" s="228">
        <v>67.12</v>
      </c>
      <c r="AC341" s="229" t="s">
        <v>2654</v>
      </c>
      <c r="AD341" s="228">
        <v>7.8861015278462299</v>
      </c>
      <c r="AE341">
        <f>IF('WetLitterbags placem_collection'!AB122="","",'WetLitterbags placem_collection'!AB122)</f>
        <v>19</v>
      </c>
      <c r="AF341">
        <f>IF('WetLitterbags placem_collection'!Z122="","",'WetLitterbags placem_collection'!Z122)</f>
        <v>98.5</v>
      </c>
      <c r="AG341" s="243" t="str">
        <f>IF('WetLitterbags placem_collection'!AA122="","",'WetLitterbags placem_collection'!AA122)</f>
        <v>G</v>
      </c>
      <c r="AH341">
        <f>IF('WetLitterbags placem_collection'!AC122="","",'WetLitterbags placem_collection'!AC122)</f>
        <v>0</v>
      </c>
      <c r="AI341" s="237">
        <f>AVERAGE('WetLitterbags placem_collection'!S122,'WetLitterbags placem_collection'!U122)</f>
        <v>14.95</v>
      </c>
      <c r="AJ341">
        <f>AVERAGE('WetLitterbags placem_collection'!R122,'WetLitterbags placem_collection'!T122)</f>
        <v>30.299999999999997</v>
      </c>
      <c r="AK341">
        <f>INDEX(Coordinates!$B$2:$B$197,MATCH(H341,Coordinates!$J$2:$J$197,0))</f>
        <v>-2.3486449760000001</v>
      </c>
      <c r="AL341">
        <f>INDEX(Coordinates!$C$2:$C$197,MATCH(H341,Coordinates!$J$2:$J$197,0))</f>
        <v>34.051495969999998</v>
      </c>
      <c r="AM341" t="str">
        <f>IF(ISNUMBER(SEARCH("C", 'WetLitterbags placem_collection'!$W122)),"YES","NO")</f>
        <v>NO</v>
      </c>
      <c r="AN341" t="str">
        <f>IF(ISNUMBER(SEARCH("H", 'WetLitterbags placem_collection'!$W122)),"YES","NO")</f>
        <v>YES</v>
      </c>
      <c r="AO341" t="str">
        <f>IF(ISNUMBER(SEARCH("R", 'WetLitterbags placem_collection'!$W122)),"YES","NO")</f>
        <v>NO</v>
      </c>
    </row>
    <row r="342" spans="1:41" ht="15" customHeight="1">
      <c r="A342" s="255" t="s">
        <v>2454</v>
      </c>
      <c r="B342" s="260">
        <f>'Dry_Litterbag Placem_Collection'!A123</f>
        <v>121</v>
      </c>
      <c r="C342" s="260" t="str">
        <f>'Dry_Litterbag Placem_Collection'!B123</f>
        <v xml:space="preserve">Mwantimba
</v>
      </c>
      <c r="D342" s="260" t="s">
        <v>2454</v>
      </c>
      <c r="E342" s="260" t="s">
        <v>2644</v>
      </c>
      <c r="F342" s="260">
        <v>4</v>
      </c>
      <c r="G342" s="260" t="s">
        <v>3819</v>
      </c>
      <c r="H342" s="261" t="str">
        <f>'Dry_Litterbag Placem_Collection'!C123</f>
        <v>Wet_Ag4_T1</v>
      </c>
      <c r="I342" s="262" t="s">
        <v>2525</v>
      </c>
      <c r="J342" s="269" t="s">
        <v>298</v>
      </c>
      <c r="K342" s="221" t="str">
        <f>'WetLitterbags placem_collection'!M123</f>
        <v>R532</v>
      </c>
      <c r="L342" s="223">
        <f>IFERROR(INDEX('Green_rooibos initial weight'!$C$5:$C$2000,MATCH(K342, 'Green_rooibos initial weight'!$A$5:$A$2000,0)),"")</f>
        <v>2.19</v>
      </c>
      <c r="M342" s="223">
        <f>IFERROR(L342-(TBIcalc!$H$9+TBIcalc!$H$10),"")</f>
        <v>1.9401999999999999</v>
      </c>
      <c r="N342" s="385">
        <f>AVERAGE(Ashed_controlls!$K$2:$K$11)</f>
        <v>5.5147656768714146</v>
      </c>
      <c r="O342" s="223">
        <f t="shared" si="26"/>
        <v>1.8332025163373407</v>
      </c>
      <c r="P342" s="223">
        <f>IFERROR(INDEX('Both teabags AfterWet'!$C$3:$C$840,MATCH(K342,'Both teabags AfterWet'!$A$3:$A$840,0)),"")</f>
        <v>1.7050000000000001</v>
      </c>
      <c r="Q342" s="223">
        <f>IFERROR(IF(P342&gt;0,P342-(TBIcalc!$H$9),""),"")</f>
        <v>1.5544</v>
      </c>
      <c r="R342" s="223">
        <f>IFERROR(INDEX('Ashed teabags wet'!$K$2:$K$2000,MATCH(K342,'Ashed teabags wet'!$A$2:$A$2000,0)),"")</f>
        <v>7.423795476892864</v>
      </c>
      <c r="S342" s="223">
        <f t="shared" si="27"/>
        <v>1.4390045231071773</v>
      </c>
      <c r="T342" s="224">
        <f>'WetLitterbags placem_collection'!E123</f>
        <v>42762</v>
      </c>
      <c r="U342" s="224">
        <f>IF('WetLitterbags placem_collection'!G123="","",'WetLitterbags placem_collection'!G123)</f>
        <v>42816</v>
      </c>
      <c r="V342" s="225">
        <f t="shared" si="25"/>
        <v>54</v>
      </c>
      <c r="W342" s="223">
        <f t="shared" si="28"/>
        <v>0.38579999999999992</v>
      </c>
      <c r="X342" s="223">
        <f t="shared" si="29"/>
        <v>0.39419799323016336</v>
      </c>
      <c r="Y342">
        <f>IFERROR(INDEX(Rainfall_Wet!$O$2:$O$217,MATCH(B342, Rainfall_Wet!$A$2:$A$217,0)),"")</f>
        <v>206.85140822299999</v>
      </c>
      <c r="Z342" s="228">
        <v>17.96</v>
      </c>
      <c r="AA342" s="228">
        <v>4.9199999999999982</v>
      </c>
      <c r="AB342" s="228">
        <v>77.12</v>
      </c>
      <c r="AC342" s="229" t="s">
        <v>2655</v>
      </c>
      <c r="AD342" s="228">
        <v>2.0220798422868409</v>
      </c>
      <c r="AE342">
        <f>IF('WetLitterbags placem_collection'!AB123="","",'WetLitterbags placem_collection'!AB123)</f>
        <v>9.65</v>
      </c>
      <c r="AF342">
        <f>IF('WetLitterbags placem_collection'!Z123="","",'WetLitterbags placem_collection'!Z123)</f>
        <v>63</v>
      </c>
      <c r="AG342" s="243" t="str">
        <f>IF('WetLitterbags placem_collection'!AA123="","",'WetLitterbags placem_collection'!AA123)</f>
        <v>G</v>
      </c>
      <c r="AH342">
        <f>IF('WetLitterbags placem_collection'!AC123="","",'WetLitterbags placem_collection'!AC123)</f>
        <v>0</v>
      </c>
      <c r="AI342" s="237">
        <f>AVERAGE('WetLitterbags placem_collection'!S123,'WetLitterbags placem_collection'!U123)</f>
        <v>9.5500000000000007</v>
      </c>
      <c r="AJ342">
        <f>AVERAGE('WetLitterbags placem_collection'!R123,'WetLitterbags placem_collection'!T123)</f>
        <v>30.75</v>
      </c>
      <c r="AK342">
        <f>INDEX(Coordinates!$B$2:$B$197,MATCH(H342,Coordinates!$J$2:$J$197,0))</f>
        <v>-2.3492639789999998</v>
      </c>
      <c r="AL342">
        <f>INDEX(Coordinates!$C$2:$C$197,MATCH(H342,Coordinates!$J$2:$J$197,0))</f>
        <v>34.051464029999998</v>
      </c>
      <c r="AM342" t="str">
        <f>IF(ISNUMBER(SEARCH("C", 'WetLitterbags placem_collection'!$W123)),"YES","NO")</f>
        <v>YES</v>
      </c>
      <c r="AN342" t="str">
        <f>IF(ISNUMBER(SEARCH("H", 'WetLitterbags placem_collection'!$W123)),"YES","NO")</f>
        <v>NO</v>
      </c>
      <c r="AO342" t="str">
        <f>IF(ISNUMBER(SEARCH("R", 'WetLitterbags placem_collection'!$W123)),"YES","NO")</f>
        <v>YES</v>
      </c>
    </row>
    <row r="343" spans="1:41" ht="15" customHeight="1">
      <c r="A343" s="255" t="s">
        <v>2454</v>
      </c>
      <c r="B343" s="260">
        <f>'Dry_Litterbag Placem_Collection'!A124</f>
        <v>122</v>
      </c>
      <c r="C343" s="260" t="str">
        <f>'Dry_Litterbag Placem_Collection'!B124</f>
        <v xml:space="preserve">Mwantimba
</v>
      </c>
      <c r="D343" s="260" t="s">
        <v>2454</v>
      </c>
      <c r="E343" s="260" t="s">
        <v>2644</v>
      </c>
      <c r="F343" s="260">
        <v>4</v>
      </c>
      <c r="G343" s="260" t="s">
        <v>3819</v>
      </c>
      <c r="H343" s="261" t="str">
        <f>'Dry_Litterbag Placem_Collection'!C124</f>
        <v>Wet_Ag4_T2</v>
      </c>
      <c r="I343" s="262" t="s">
        <v>2525</v>
      </c>
      <c r="J343" s="269" t="s">
        <v>298</v>
      </c>
      <c r="K343" s="221" t="str">
        <f>'WetLitterbags placem_collection'!M124</f>
        <v>R11</v>
      </c>
      <c r="L343" s="223">
        <f>IFERROR(INDEX('Green_rooibos initial weight'!$C$5:$C$2000,MATCH(K343, 'Green_rooibos initial weight'!$A$5:$A$2000,0)),"")</f>
        <v>2.2160000000000002</v>
      </c>
      <c r="M343" s="223">
        <f>IFERROR(L343-(TBIcalc!$H$9+TBIcalc!$H$10),"")</f>
        <v>1.9662000000000002</v>
      </c>
      <c r="N343" s="385">
        <f>AVERAGE(Ashed_controlls!$K$2:$K$11)</f>
        <v>5.5147656768714146</v>
      </c>
      <c r="O343" s="223">
        <f t="shared" si="26"/>
        <v>1.8577686772613544</v>
      </c>
      <c r="P343" s="223">
        <f>IFERROR(INDEX('Both teabags AfterWet'!$C$3:$C$840,MATCH(K343,'Both teabags AfterWet'!$A$3:$A$840,0)),"")</f>
        <v>1.25</v>
      </c>
      <c r="Q343" s="223">
        <f>IFERROR(IF(P343&gt;0,P343-(TBIcalc!$H$9),""),"")</f>
        <v>1.0993999999999999</v>
      </c>
      <c r="R343" s="223">
        <f>IFERROR(INDEX('Ashed teabags wet'!$K$2:$K$2000,MATCH(K343,'Ashed teabags wet'!$A$2:$A$2000,0)),"")</f>
        <v>8.4720121028745492</v>
      </c>
      <c r="S343" s="223">
        <f t="shared" si="27"/>
        <v>1.0062586989409972</v>
      </c>
      <c r="T343" s="224">
        <f>'WetLitterbags placem_collection'!E124</f>
        <v>42762</v>
      </c>
      <c r="U343" s="224">
        <f>IF('WetLitterbags placem_collection'!G124="","",'WetLitterbags placem_collection'!G124)</f>
        <v>42816</v>
      </c>
      <c r="V343" s="225">
        <f t="shared" si="25"/>
        <v>54</v>
      </c>
      <c r="W343" s="223">
        <f t="shared" si="28"/>
        <v>0.86680000000000024</v>
      </c>
      <c r="X343" s="223">
        <f t="shared" si="29"/>
        <v>0.85150997832035724</v>
      </c>
      <c r="Y343">
        <f>IFERROR(INDEX(Rainfall_Wet!$O$2:$O$217,MATCH(B343, Rainfall_Wet!$A$2:$A$217,0)),"")</f>
        <v>206.85140822299999</v>
      </c>
      <c r="Z343" s="228">
        <v>17.96</v>
      </c>
      <c r="AA343" s="228">
        <v>4.9199999999999982</v>
      </c>
      <c r="AB343" s="228">
        <v>77.12</v>
      </c>
      <c r="AC343" s="229" t="s">
        <v>2655</v>
      </c>
      <c r="AD343" s="228">
        <v>3.02207984228684</v>
      </c>
      <c r="AE343">
        <f>IF('WetLitterbags placem_collection'!AB124="","",'WetLitterbags placem_collection'!AB124)</f>
        <v>3.1</v>
      </c>
      <c r="AF343">
        <f>IF('WetLitterbags placem_collection'!Z124="","",'WetLitterbags placem_collection'!Z124)</f>
        <v>53</v>
      </c>
      <c r="AG343" s="243" t="str">
        <f>IF('WetLitterbags placem_collection'!AA124="","",'WetLitterbags placem_collection'!AA124)</f>
        <v>G</v>
      </c>
      <c r="AH343">
        <f>IF('WetLitterbags placem_collection'!AC124="","",'WetLitterbags placem_collection'!AC124)</f>
        <v>0</v>
      </c>
      <c r="AI343" s="237">
        <f>AVERAGE('WetLitterbags placem_collection'!S124,'WetLitterbags placem_collection'!U124)</f>
        <v>11.8</v>
      </c>
      <c r="AJ343">
        <f>AVERAGE('WetLitterbags placem_collection'!R124,'WetLitterbags placem_collection'!T124)</f>
        <v>30.650000000000002</v>
      </c>
      <c r="AK343">
        <f>INDEX(Coordinates!$B$2:$B$197,MATCH(H343,Coordinates!$J$2:$J$197,0))</f>
        <v>-2.34923196</v>
      </c>
      <c r="AL343">
        <f>INDEX(Coordinates!$C$2:$C$197,MATCH(H343,Coordinates!$J$2:$J$197,0))</f>
        <v>34.051422039999999</v>
      </c>
      <c r="AM343" t="str">
        <f>IF(ISNUMBER(SEARCH("C", 'WetLitterbags placem_collection'!$W124)),"YES","NO")</f>
        <v>NO</v>
      </c>
      <c r="AN343" t="str">
        <f>IF(ISNUMBER(SEARCH("H", 'WetLitterbags placem_collection'!$W124)),"YES","NO")</f>
        <v>NO</v>
      </c>
      <c r="AO343" t="str">
        <f>IF(ISNUMBER(SEARCH("R", 'WetLitterbags placem_collection'!$W124)),"YES","NO")</f>
        <v>YES</v>
      </c>
    </row>
    <row r="344" spans="1:41" ht="15" customHeight="1">
      <c r="A344" s="255" t="s">
        <v>2454</v>
      </c>
      <c r="B344" s="260">
        <f>'Dry_Litterbag Placem_Collection'!A125</f>
        <v>123</v>
      </c>
      <c r="C344" s="260" t="str">
        <f>'Dry_Litterbag Placem_Collection'!B125</f>
        <v xml:space="preserve">Mwantimba
</v>
      </c>
      <c r="D344" s="260" t="s">
        <v>2454</v>
      </c>
      <c r="E344" s="260" t="s">
        <v>2644</v>
      </c>
      <c r="F344" s="260">
        <v>4</v>
      </c>
      <c r="G344" s="260" t="s">
        <v>3819</v>
      </c>
      <c r="H344" s="261" t="str">
        <f>'Dry_Litterbag Placem_Collection'!C125</f>
        <v>Wet_Ag4_T3</v>
      </c>
      <c r="I344" s="262" t="s">
        <v>2525</v>
      </c>
      <c r="J344" s="269" t="s">
        <v>298</v>
      </c>
      <c r="K344" s="221" t="str">
        <f>'WetLitterbags placem_collection'!M125</f>
        <v>R575</v>
      </c>
      <c r="L344" s="223">
        <f>IFERROR(INDEX('Green_rooibos initial weight'!$C$5:$C$2000,MATCH(K344, 'Green_rooibos initial weight'!$A$5:$A$2000,0)),"")</f>
        <v>2.0990000000000002</v>
      </c>
      <c r="M344" s="223">
        <f>IFERROR(L344-(TBIcalc!$H$9+TBIcalc!$H$10),"")</f>
        <v>1.8492000000000002</v>
      </c>
      <c r="N344" s="385">
        <f>AVERAGE(Ashed_controlls!$K$2:$K$11)</f>
        <v>5.5147656768714146</v>
      </c>
      <c r="O344" s="223">
        <f t="shared" si="26"/>
        <v>1.7472209531032941</v>
      </c>
      <c r="P344" s="223">
        <f>IFERROR(INDEX('Both teabags AfterWet'!$C$3:$C$840,MATCH(K344,'Both teabags AfterWet'!$A$3:$A$840,0)),"")</f>
        <v>1.6872</v>
      </c>
      <c r="Q344" s="223">
        <f>IFERROR(IF(P344&gt;0,P344-(TBIcalc!$H$9),""),"")</f>
        <v>1.5366</v>
      </c>
      <c r="R344" s="223">
        <f>IFERROR(INDEX('Ashed teabags wet'!$K$2:$K$2000,MATCH(K344,'Ashed teabags wet'!$A$2:$A$2000,0)),"")</f>
        <v>26.082677165354383</v>
      </c>
      <c r="S344" s="223">
        <f t="shared" si="27"/>
        <v>1.1358135826771645</v>
      </c>
      <c r="T344" s="224">
        <f>'WetLitterbags placem_collection'!E125</f>
        <v>42762</v>
      </c>
      <c r="U344" s="224">
        <f>IF('WetLitterbags placem_collection'!G125="","",'WetLitterbags placem_collection'!G125)</f>
        <v>42816</v>
      </c>
      <c r="V344" s="225">
        <f t="shared" si="25"/>
        <v>54</v>
      </c>
      <c r="W344" s="223">
        <f t="shared" si="28"/>
        <v>0.31260000000000021</v>
      </c>
      <c r="X344" s="223">
        <f t="shared" si="29"/>
        <v>0.61140737042612958</v>
      </c>
      <c r="Y344">
        <f>IFERROR(INDEX(Rainfall_Wet!$O$2:$O$217,MATCH(B344, Rainfall_Wet!$A$2:$A$217,0)),"")</f>
        <v>206.85140822299999</v>
      </c>
      <c r="Z344" s="228">
        <v>17.96</v>
      </c>
      <c r="AA344" s="228">
        <v>4.9199999999999982</v>
      </c>
      <c r="AB344" s="228">
        <v>77.12</v>
      </c>
      <c r="AC344" s="229" t="s">
        <v>2655</v>
      </c>
      <c r="AD344" s="228">
        <v>4.02207984228684</v>
      </c>
      <c r="AE344">
        <f>IF('WetLitterbags placem_collection'!AB125="","",'WetLitterbags placem_collection'!AB125)</f>
        <v>3.9</v>
      </c>
      <c r="AF344">
        <f>IF('WetLitterbags placem_collection'!Z125="","",'WetLitterbags placem_collection'!Z125)</f>
        <v>51</v>
      </c>
      <c r="AG344" s="243" t="str">
        <f>IF('WetLitterbags placem_collection'!AA125="","",'WetLitterbags placem_collection'!AA125)</f>
        <v>G</v>
      </c>
      <c r="AH344">
        <f>IF('WetLitterbags placem_collection'!AC125="","",'WetLitterbags placem_collection'!AC125)</f>
        <v>1</v>
      </c>
      <c r="AI344" s="237">
        <f>AVERAGE('WetLitterbags placem_collection'!S125,'WetLitterbags placem_collection'!U125)</f>
        <v>13.2</v>
      </c>
      <c r="AJ344">
        <f>AVERAGE('WetLitterbags placem_collection'!R125,'WetLitterbags placem_collection'!T125)</f>
        <v>31.85</v>
      </c>
      <c r="AK344">
        <f>INDEX(Coordinates!$B$2:$B$197,MATCH(H344,Coordinates!$J$2:$J$197,0))</f>
        <v>-2.3492390009999999</v>
      </c>
      <c r="AL344">
        <f>INDEX(Coordinates!$C$2:$C$197,MATCH(H344,Coordinates!$J$2:$J$197,0))</f>
        <v>34.051304020000003</v>
      </c>
      <c r="AM344" t="str">
        <f>IF(ISNUMBER(SEARCH("C", 'WetLitterbags placem_collection'!$W125)),"YES","NO")</f>
        <v>YES</v>
      </c>
      <c r="AN344" t="str">
        <f>IF(ISNUMBER(SEARCH("H", 'WetLitterbags placem_collection'!$W125)),"YES","NO")</f>
        <v>YES</v>
      </c>
      <c r="AO344" t="str">
        <f>IF(ISNUMBER(SEARCH("R", 'WetLitterbags placem_collection'!$W125)),"YES","NO")</f>
        <v>NO</v>
      </c>
    </row>
    <row r="345" spans="1:41" ht="15" customHeight="1">
      <c r="A345" s="255" t="s">
        <v>2454</v>
      </c>
      <c r="B345" s="260">
        <f>'Dry_Litterbag Placem_Collection'!A126</f>
        <v>124</v>
      </c>
      <c r="C345" s="260" t="str">
        <f>'Dry_Litterbag Placem_Collection'!B126</f>
        <v xml:space="preserve">Mwantimba
</v>
      </c>
      <c r="D345" s="260" t="s">
        <v>2454</v>
      </c>
      <c r="E345" s="260" t="s">
        <v>2644</v>
      </c>
      <c r="F345" s="260">
        <v>4</v>
      </c>
      <c r="G345" s="260" t="s">
        <v>3819</v>
      </c>
      <c r="H345" s="261" t="str">
        <f>'Dry_Litterbag Placem_Collection'!C126</f>
        <v>Wet_Ag4_T4</v>
      </c>
      <c r="I345" s="262" t="s">
        <v>2525</v>
      </c>
      <c r="J345" s="269" t="s">
        <v>298</v>
      </c>
      <c r="K345" s="221" t="str">
        <f>'WetLitterbags placem_collection'!M126</f>
        <v>R39</v>
      </c>
      <c r="L345" s="223">
        <f>IFERROR(INDEX('Green_rooibos initial weight'!$C$5:$C$2000,MATCH(K345, 'Green_rooibos initial weight'!$A$5:$A$2000,0)),"")</f>
        <v>2.1429999999999998</v>
      </c>
      <c r="M345" s="223">
        <f>IFERROR(L345-(TBIcalc!$H$9+TBIcalc!$H$10),"")</f>
        <v>1.8931999999999998</v>
      </c>
      <c r="N345" s="385">
        <f>AVERAGE(Ashed_controlls!$K$2:$K$11)</f>
        <v>5.5147656768714146</v>
      </c>
      <c r="O345" s="223">
        <f t="shared" si="26"/>
        <v>1.7887944562054701</v>
      </c>
      <c r="P345" s="223">
        <f>IFERROR(INDEX('Both teabags AfterWet'!$C$3:$C$840,MATCH(K345,'Both teabags AfterWet'!$A$3:$A$840,0)),"")</f>
        <v>1.4910000000000001</v>
      </c>
      <c r="Q345" s="223">
        <f>IFERROR(IF(P345&gt;0,P345-(TBIcalc!$H$9),""),"")</f>
        <v>1.3404</v>
      </c>
      <c r="R345" s="223">
        <f>IFERROR(INDEX('Ashed teabags wet'!$K$2:$K$2000,MATCH(K345,'Ashed teabags wet'!$A$2:$A$2000,0)),"")</f>
        <v>7.1782178217821846</v>
      </c>
      <c r="S345" s="223">
        <f t="shared" si="27"/>
        <v>1.2441831683168316</v>
      </c>
      <c r="T345" s="224">
        <f>'WetLitterbags placem_collection'!E126</f>
        <v>42762</v>
      </c>
      <c r="U345" s="224">
        <f>IF('WetLitterbags placem_collection'!G126="","",'WetLitterbags placem_collection'!G126)</f>
        <v>42816</v>
      </c>
      <c r="V345" s="225">
        <f t="shared" si="25"/>
        <v>54</v>
      </c>
      <c r="W345" s="223">
        <f t="shared" si="28"/>
        <v>0.55279999999999974</v>
      </c>
      <c r="X345" s="223">
        <f t="shared" si="29"/>
        <v>0.54461128788863844</v>
      </c>
      <c r="Y345">
        <f>IFERROR(INDEX(Rainfall_Wet!$O$2:$O$217,MATCH(B345, Rainfall_Wet!$A$2:$A$217,0)),"")</f>
        <v>206.85140822299999</v>
      </c>
      <c r="Z345" s="228">
        <v>17.96</v>
      </c>
      <c r="AA345" s="228">
        <v>4.9199999999999982</v>
      </c>
      <c r="AB345" s="228">
        <v>77.12</v>
      </c>
      <c r="AC345" s="229" t="s">
        <v>2655</v>
      </c>
      <c r="AD345" s="228">
        <v>5.02207984228684</v>
      </c>
      <c r="AE345">
        <f>IF('WetLitterbags placem_collection'!AB126="","",'WetLitterbags placem_collection'!AB126)</f>
        <v>5.45</v>
      </c>
      <c r="AF345">
        <f>IF('WetLitterbags placem_collection'!Z126="","",'WetLitterbags placem_collection'!Z126)</f>
        <v>47</v>
      </c>
      <c r="AG345" s="243" t="str">
        <f>IF('WetLitterbags placem_collection'!AA126="","",'WetLitterbags placem_collection'!AA126)</f>
        <v>G</v>
      </c>
      <c r="AH345">
        <f>IF('WetLitterbags placem_collection'!AC126="","",'WetLitterbags placem_collection'!AC126)</f>
        <v>1</v>
      </c>
      <c r="AI345" s="237">
        <f>AVERAGE('WetLitterbags placem_collection'!S126,'WetLitterbags placem_collection'!U126)</f>
        <v>18.2</v>
      </c>
      <c r="AJ345">
        <f>AVERAGE('WetLitterbags placem_collection'!R126,'WetLitterbags placem_collection'!T126)</f>
        <v>31.1</v>
      </c>
      <c r="AK345">
        <f>INDEX(Coordinates!$B$2:$B$197,MATCH(H345,Coordinates!$J$2:$J$197,0))</f>
        <v>-2.3492799889999998</v>
      </c>
      <c r="AL345">
        <f>INDEX(Coordinates!$C$2:$C$197,MATCH(H345,Coordinates!$J$2:$J$197,0))</f>
        <v>34.051280970000001</v>
      </c>
      <c r="AM345" t="str">
        <f>IF(ISNUMBER(SEARCH("C", 'WetLitterbags placem_collection'!$W126)),"YES","NO")</f>
        <v>NO</v>
      </c>
      <c r="AN345" t="str">
        <f>IF(ISNUMBER(SEARCH("H", 'WetLitterbags placem_collection'!$W126)),"YES","NO")</f>
        <v>NO</v>
      </c>
      <c r="AO345" t="str">
        <f>IF(ISNUMBER(SEARCH("R", 'WetLitterbags placem_collection'!$W126)),"YES","NO")</f>
        <v>YES</v>
      </c>
    </row>
    <row r="346" spans="1:41" ht="15" customHeight="1">
      <c r="A346" s="255" t="s">
        <v>2454</v>
      </c>
      <c r="B346" s="260">
        <f>'Dry_Litterbag Placem_Collection'!A127</f>
        <v>125</v>
      </c>
      <c r="C346" s="260" t="str">
        <f>'Dry_Litterbag Placem_Collection'!B127</f>
        <v xml:space="preserve">Mwantimba
</v>
      </c>
      <c r="D346" s="260" t="s">
        <v>2454</v>
      </c>
      <c r="E346" s="260" t="s">
        <v>2644</v>
      </c>
      <c r="F346" s="260">
        <v>4</v>
      </c>
      <c r="G346" s="260" t="s">
        <v>3819</v>
      </c>
      <c r="H346" s="261" t="str">
        <f>'Dry_Litterbag Placem_Collection'!C127</f>
        <v>Wet_Ag4_T5</v>
      </c>
      <c r="I346" s="262" t="s">
        <v>2525</v>
      </c>
      <c r="J346" s="269" t="s">
        <v>298</v>
      </c>
      <c r="K346" s="221" t="str">
        <f>'WetLitterbags placem_collection'!M127</f>
        <v>R560</v>
      </c>
      <c r="L346" s="223">
        <f>IFERROR(INDEX('Green_rooibos initial weight'!$C$5:$C$2000,MATCH(K346, 'Green_rooibos initial weight'!$A$5:$A$2000,0)),"")</f>
        <v>2.157</v>
      </c>
      <c r="M346" s="223">
        <f>IFERROR(L346-(TBIcalc!$H$9+TBIcalc!$H$10),"")</f>
        <v>1.9072</v>
      </c>
      <c r="N346" s="385">
        <f>AVERAGE(Ashed_controlls!$K$2:$K$11)</f>
        <v>5.5147656768714146</v>
      </c>
      <c r="O346" s="223">
        <f t="shared" si="26"/>
        <v>1.8020223890107083</v>
      </c>
      <c r="P346" s="223">
        <f>IFERROR(INDEX('Both teabags AfterWet'!$C$3:$C$840,MATCH(K346,'Both teabags AfterWet'!$A$3:$A$840,0)),"")</f>
        <v>1.254</v>
      </c>
      <c r="Q346" s="223">
        <f>IFERROR(IF(P346&gt;0,P346-(TBIcalc!$H$9),""),"")</f>
        <v>1.1033999999999999</v>
      </c>
      <c r="R346" s="223">
        <f>IFERROR(INDEX('Ashed teabags wet'!$K$2:$K$2000,MATCH(K346,'Ashed teabags wet'!$A$2:$A$2000,0)),"")</f>
        <v>92.570579494799119</v>
      </c>
      <c r="S346" s="223">
        <f t="shared" si="27"/>
        <v>8.1976225854386575E-2</v>
      </c>
      <c r="T346" s="224">
        <f>'WetLitterbags placem_collection'!E127</f>
        <v>42762</v>
      </c>
      <c r="U346" s="224">
        <f>IF('WetLitterbags placem_collection'!G127="","",'WetLitterbags placem_collection'!G127)</f>
        <v>42816</v>
      </c>
      <c r="V346" s="225">
        <f t="shared" si="25"/>
        <v>54</v>
      </c>
      <c r="W346" s="223">
        <f t="shared" si="28"/>
        <v>0.80380000000000007</v>
      </c>
      <c r="X346" s="223">
        <f t="shared" si="29"/>
        <v>1.7200461631563218</v>
      </c>
      <c r="Y346">
        <f>IFERROR(INDEX(Rainfall_Wet!$O$2:$O$217,MATCH(B346, Rainfall_Wet!$A$2:$A$217,0)),"")</f>
        <v>206.85140822299999</v>
      </c>
      <c r="Z346" s="228">
        <v>17.96</v>
      </c>
      <c r="AA346" s="228">
        <v>4.9199999999999982</v>
      </c>
      <c r="AB346" s="228">
        <v>77.12</v>
      </c>
      <c r="AC346" s="229" t="s">
        <v>2655</v>
      </c>
      <c r="AD346" s="228">
        <v>6.02207984228684</v>
      </c>
      <c r="AE346">
        <f>IF('WetLitterbags placem_collection'!AB127="","",'WetLitterbags placem_collection'!AB127)</f>
        <v>9.3000000000000007</v>
      </c>
      <c r="AF346">
        <f>IF('WetLitterbags placem_collection'!Z127="","",'WetLitterbags placem_collection'!Z127)</f>
        <v>43</v>
      </c>
      <c r="AG346" s="243" t="str">
        <f>IF('WetLitterbags placem_collection'!AA127="","",'WetLitterbags placem_collection'!AA127)</f>
        <v>G</v>
      </c>
      <c r="AH346">
        <f>IF('WetLitterbags placem_collection'!AC127="","",'WetLitterbags placem_collection'!AC127)</f>
        <v>1</v>
      </c>
      <c r="AI346" s="237">
        <f>AVERAGE('WetLitterbags placem_collection'!S127,'WetLitterbags placem_collection'!U127)</f>
        <v>19.25</v>
      </c>
      <c r="AJ346">
        <f>AVERAGE('WetLitterbags placem_collection'!R127,'WetLitterbags placem_collection'!T127)</f>
        <v>32.049999999999997</v>
      </c>
      <c r="AK346">
        <f>INDEX(Coordinates!$B$2:$B$197,MATCH(H346,Coordinates!$J$2:$J$197,0))</f>
        <v>-2.3493320400000002</v>
      </c>
      <c r="AL346">
        <f>INDEX(Coordinates!$C$2:$C$197,MATCH(H346,Coordinates!$J$2:$J$197,0))</f>
        <v>34.051321960000003</v>
      </c>
      <c r="AM346" t="str">
        <f>IF(ISNUMBER(SEARCH("C", 'WetLitterbags placem_collection'!$W127)),"YES","NO")</f>
        <v>NO</v>
      </c>
      <c r="AN346" t="str">
        <f>IF(ISNUMBER(SEARCH("H", 'WetLitterbags placem_collection'!$W127)),"YES","NO")</f>
        <v>YES</v>
      </c>
      <c r="AO346" t="str">
        <f>IF(ISNUMBER(SEARCH("R", 'WetLitterbags placem_collection'!$W127)),"YES","NO")</f>
        <v>YES</v>
      </c>
    </row>
    <row r="347" spans="1:41" ht="15" customHeight="1">
      <c r="A347" s="255" t="s">
        <v>2454</v>
      </c>
      <c r="B347" s="260">
        <f>'Dry_Litterbag Placem_Collection'!A128</f>
        <v>126</v>
      </c>
      <c r="C347" s="260" t="str">
        <f>'Dry_Litterbag Placem_Collection'!B128</f>
        <v xml:space="preserve">Mwantimba
</v>
      </c>
      <c r="D347" s="260" t="s">
        <v>2454</v>
      </c>
      <c r="E347" s="260" t="s">
        <v>2644</v>
      </c>
      <c r="F347" s="260">
        <v>4</v>
      </c>
      <c r="G347" s="260" t="s">
        <v>3819</v>
      </c>
      <c r="H347" s="261" t="str">
        <f>'Dry_Litterbag Placem_Collection'!C128</f>
        <v>Wet_Ag4_T6</v>
      </c>
      <c r="I347" s="262" t="s">
        <v>2525</v>
      </c>
      <c r="J347" s="269" t="s">
        <v>298</v>
      </c>
      <c r="K347" s="221" t="str">
        <f>'WetLitterbags placem_collection'!M128</f>
        <v>R562</v>
      </c>
      <c r="L347" s="223">
        <f>IFERROR(INDEX('Green_rooibos initial weight'!$C$5:$C$2000,MATCH(K347, 'Green_rooibos initial weight'!$A$5:$A$2000,0)),"")</f>
        <v>2.2810000000000001</v>
      </c>
      <c r="M347" s="223">
        <f>IFERROR(L347-(TBIcalc!$H$9+TBIcalc!$H$10),"")</f>
        <v>2.0312000000000001</v>
      </c>
      <c r="N347" s="385">
        <f>AVERAGE(Ashed_controlls!$K$2:$K$11)</f>
        <v>5.5147656768714146</v>
      </c>
      <c r="O347" s="223">
        <f t="shared" si="26"/>
        <v>1.9191840795713879</v>
      </c>
      <c r="P347" s="223">
        <f>IFERROR(INDEX('Both teabags AfterWet'!$C$3:$C$840,MATCH(K347,'Both teabags AfterWet'!$A$3:$A$840,0)),"")</f>
        <v>0.17599999999999999</v>
      </c>
      <c r="Q347" s="223">
        <f>IFERROR(IF(P347&gt;0,P347-(TBIcalc!$H$9),""),"")</f>
        <v>2.5399999999999978E-2</v>
      </c>
      <c r="R347" s="223">
        <f>IFERROR(INDEX('Ashed teabags wet'!$K$2:$K$2000,MATCH(K347,'Ashed teabags wet'!$A$2:$A$2000,0)),"")</f>
        <v>0</v>
      </c>
      <c r="S347" s="223">
        <f t="shared" si="27"/>
        <v>2.5399999999999978E-2</v>
      </c>
      <c r="T347" s="224">
        <f>'WetLitterbags placem_collection'!E128</f>
        <v>42762</v>
      </c>
      <c r="U347" s="224">
        <f>IF('WetLitterbags placem_collection'!G128="","",'WetLitterbags placem_collection'!G128)</f>
        <v>42816</v>
      </c>
      <c r="V347" s="225">
        <f t="shared" si="25"/>
        <v>54</v>
      </c>
      <c r="W347" s="223">
        <f t="shared" si="28"/>
        <v>2.0058000000000002</v>
      </c>
      <c r="X347" s="223">
        <f t="shared" si="29"/>
        <v>1.8937840795713878</v>
      </c>
      <c r="Y347">
        <f>IFERROR(INDEX(Rainfall_Wet!$O$2:$O$217,MATCH(B347, Rainfall_Wet!$A$2:$A$217,0)),"")</f>
        <v>206.85140822299999</v>
      </c>
      <c r="Z347" s="228">
        <v>17.96</v>
      </c>
      <c r="AA347" s="228">
        <v>4.9199999999999982</v>
      </c>
      <c r="AB347" s="228">
        <v>77.12</v>
      </c>
      <c r="AC347" s="229" t="s">
        <v>2655</v>
      </c>
      <c r="AD347" s="228">
        <v>7.02207984228684</v>
      </c>
      <c r="AE347">
        <f>IF('WetLitterbags placem_collection'!AB128="","",'WetLitterbags placem_collection'!AB128)</f>
        <v>10.85</v>
      </c>
      <c r="AF347">
        <f>IF('WetLitterbags placem_collection'!Z128="","",'WetLitterbags placem_collection'!Z128)</f>
        <v>40</v>
      </c>
      <c r="AG347" s="243" t="str">
        <f>IF('WetLitterbags placem_collection'!AA128="","",'WetLitterbags placem_collection'!AA128)</f>
        <v>G</v>
      </c>
      <c r="AH347">
        <f>IF('WetLitterbags placem_collection'!AC128="","",'WetLitterbags placem_collection'!AC128)</f>
        <v>1</v>
      </c>
      <c r="AI347" s="237">
        <f>AVERAGE('WetLitterbags placem_collection'!S128,'WetLitterbags placem_collection'!U128)</f>
        <v>16.649999999999999</v>
      </c>
      <c r="AJ347">
        <f>AVERAGE('WetLitterbags placem_collection'!R128,'WetLitterbags placem_collection'!T128)</f>
        <v>32</v>
      </c>
      <c r="AK347">
        <f>INDEX(Coordinates!$B$2:$B$197,MATCH(H347,Coordinates!$J$2:$J$197,0))</f>
        <v>-2.3493509829999999</v>
      </c>
      <c r="AL347">
        <f>INDEX(Coordinates!$C$2:$C$197,MATCH(H347,Coordinates!$J$2:$J$197,0))</f>
        <v>34.051332019999997</v>
      </c>
      <c r="AM347" t="str">
        <f>IF(ISNUMBER(SEARCH("C", 'WetLitterbags placem_collection'!$W128)),"YES","NO")</f>
        <v>NO</v>
      </c>
      <c r="AN347" t="str">
        <f>IF(ISNUMBER(SEARCH("H", 'WetLitterbags placem_collection'!$W128)),"YES","NO")</f>
        <v>NO</v>
      </c>
      <c r="AO347" t="str">
        <f>IF(ISNUMBER(SEARCH("R", 'WetLitterbags placem_collection'!$W128)),"YES","NO")</f>
        <v>NO</v>
      </c>
    </row>
    <row r="348" spans="1:41" ht="15" customHeight="1">
      <c r="A348" s="255" t="s">
        <v>2454</v>
      </c>
      <c r="B348" s="260">
        <f>'Dry_Litterbag Placem_Collection'!A129</f>
        <v>127</v>
      </c>
      <c r="C348" s="260" t="str">
        <f>'Dry_Litterbag Placem_Collection'!B129</f>
        <v xml:space="preserve">Mwantimba
</v>
      </c>
      <c r="D348" s="260" t="s">
        <v>2454</v>
      </c>
      <c r="E348" s="260" t="s">
        <v>2644</v>
      </c>
      <c r="F348" s="260">
        <v>4</v>
      </c>
      <c r="G348" s="260" t="s">
        <v>3819</v>
      </c>
      <c r="H348" s="261" t="str">
        <f>'Dry_Litterbag Placem_Collection'!C129</f>
        <v>Wet_Ag4_T7</v>
      </c>
      <c r="I348" s="262" t="s">
        <v>2525</v>
      </c>
      <c r="J348" s="269" t="s">
        <v>298</v>
      </c>
      <c r="K348" s="221" t="str">
        <f>'WetLitterbags placem_collection'!M129</f>
        <v>R506</v>
      </c>
      <c r="L348" s="223">
        <f>IFERROR(INDEX('Green_rooibos initial weight'!$C$5:$C$2000,MATCH(K348, 'Green_rooibos initial weight'!$A$5:$A$2000,0)),"")</f>
        <v>2.1579999999999999</v>
      </c>
      <c r="M348" s="223">
        <f>IFERROR(L348-(TBIcalc!$H$9+TBIcalc!$H$10),"")</f>
        <v>1.9081999999999999</v>
      </c>
      <c r="N348" s="385">
        <f>AVERAGE(Ashed_controlls!$K$2:$K$11)</f>
        <v>5.5147656768714146</v>
      </c>
      <c r="O348" s="223">
        <f t="shared" si="26"/>
        <v>1.8029672413539395</v>
      </c>
      <c r="P348" s="223">
        <f>IFERROR(INDEX('Both teabags AfterWet'!$C$3:$C$840,MATCH(K348,'Both teabags AfterWet'!$A$3:$A$840,0)),"")</f>
        <v>1.4710000000000001</v>
      </c>
      <c r="Q348" s="223">
        <f>IFERROR(IF(P348&gt;0,P348-(TBIcalc!$H$9),""),"")</f>
        <v>1.3204</v>
      </c>
      <c r="R348" s="223">
        <f>IFERROR(INDEX('Ashed teabags wet'!$K$2:$K$2000,MATCH(K348,'Ashed teabags wet'!$A$2:$A$2000,0)),"")</f>
        <v>5.8622374206153776</v>
      </c>
      <c r="S348" s="223">
        <f t="shared" si="27"/>
        <v>1.2429950170981945</v>
      </c>
      <c r="T348" s="224">
        <f>'WetLitterbags placem_collection'!E129</f>
        <v>42762</v>
      </c>
      <c r="U348" s="224">
        <f>IF('WetLitterbags placem_collection'!G129="","",'WetLitterbags placem_collection'!G129)</f>
        <v>42816</v>
      </c>
      <c r="V348" s="225">
        <f t="shared" si="25"/>
        <v>54</v>
      </c>
      <c r="W348" s="223">
        <f t="shared" si="28"/>
        <v>0.58779999999999988</v>
      </c>
      <c r="X348" s="223">
        <f t="shared" si="29"/>
        <v>0.559972224255745</v>
      </c>
      <c r="Y348">
        <f>IFERROR(INDEX(Rainfall_Wet!$O$2:$O$217,MATCH(B348, Rainfall_Wet!$A$2:$A$217,0)),"")</f>
        <v>206.85140822299999</v>
      </c>
      <c r="Z348" s="228">
        <v>17.96</v>
      </c>
      <c r="AA348" s="228">
        <v>4.9199999999999982</v>
      </c>
      <c r="AB348" s="228">
        <v>77.12</v>
      </c>
      <c r="AC348" s="229" t="s">
        <v>2655</v>
      </c>
      <c r="AD348" s="228">
        <v>8.0220798422868391</v>
      </c>
      <c r="AE348">
        <f>IF('WetLitterbags placem_collection'!AB129="","",'WetLitterbags placem_collection'!AB129)</f>
        <v>5.35</v>
      </c>
      <c r="AF348">
        <f>IF('WetLitterbags placem_collection'!Z129="","",'WetLitterbags placem_collection'!Z129)</f>
        <v>58</v>
      </c>
      <c r="AG348" s="243" t="str">
        <f>IF('WetLitterbags placem_collection'!AA129="","",'WetLitterbags placem_collection'!AA129)</f>
        <v>G</v>
      </c>
      <c r="AH348">
        <f>IF('WetLitterbags placem_collection'!AC129="","",'WetLitterbags placem_collection'!AC129)</f>
        <v>1</v>
      </c>
      <c r="AI348" s="237">
        <f>AVERAGE('WetLitterbags placem_collection'!S129,'WetLitterbags placem_collection'!U129)</f>
        <v>15.8</v>
      </c>
      <c r="AJ348">
        <f>AVERAGE('WetLitterbags placem_collection'!R129,'WetLitterbags placem_collection'!T129)</f>
        <v>31.55</v>
      </c>
      <c r="AK348">
        <f>INDEX(Coordinates!$B$2:$B$197,MATCH(H348,Coordinates!$J$2:$J$197,0))</f>
        <v>-2.3491850219999999</v>
      </c>
      <c r="AL348">
        <f>INDEX(Coordinates!$C$2:$C$197,MATCH(H348,Coordinates!$J$2:$J$197,0))</f>
        <v>34.051264959999997</v>
      </c>
      <c r="AM348" t="str">
        <f>IF(ISNUMBER(SEARCH("C", 'WetLitterbags placem_collection'!$W129)),"YES","NO")</f>
        <v>NO</v>
      </c>
      <c r="AN348" t="str">
        <f>IF(ISNUMBER(SEARCH("H", 'WetLitterbags placem_collection'!$W129)),"YES","NO")</f>
        <v>NO</v>
      </c>
      <c r="AO348" t="str">
        <f>IF(ISNUMBER(SEARCH("R", 'WetLitterbags placem_collection'!$W129)),"YES","NO")</f>
        <v>NO</v>
      </c>
    </row>
    <row r="349" spans="1:41" ht="15" customHeight="1">
      <c r="A349" s="255" t="s">
        <v>2454</v>
      </c>
      <c r="B349" s="260">
        <f>'Dry_Litterbag Placem_Collection'!A130</f>
        <v>128</v>
      </c>
      <c r="C349" s="260" t="str">
        <f>'Dry_Litterbag Placem_Collection'!B130</f>
        <v xml:space="preserve">Mwantimba
</v>
      </c>
      <c r="D349" s="260" t="s">
        <v>2454</v>
      </c>
      <c r="E349" s="260" t="s">
        <v>2644</v>
      </c>
      <c r="F349" s="260">
        <v>4</v>
      </c>
      <c r="G349" s="260" t="s">
        <v>3819</v>
      </c>
      <c r="H349" s="261" t="str">
        <f>'Dry_Litterbag Placem_Collection'!C130</f>
        <v>Wet_Ag4_T8</v>
      </c>
      <c r="I349" s="262" t="s">
        <v>2525</v>
      </c>
      <c r="J349" s="269" t="s">
        <v>298</v>
      </c>
      <c r="K349" s="221" t="str">
        <f>'WetLitterbags placem_collection'!M130</f>
        <v>R554</v>
      </c>
      <c r="L349" s="223">
        <f>IFERROR(INDEX('Green_rooibos initial weight'!$C$5:$C$2000,MATCH(K349, 'Green_rooibos initial weight'!$A$5:$A$2000,0)),"")</f>
        <v>2.1779999999999999</v>
      </c>
      <c r="M349" s="223">
        <f>IFERROR(L349-(TBIcalc!$H$9+TBIcalc!$H$10),"")</f>
        <v>1.9281999999999999</v>
      </c>
      <c r="N349" s="385">
        <f>AVERAGE(Ashed_controlls!$K$2:$K$11)</f>
        <v>5.5147656768714146</v>
      </c>
      <c r="O349" s="223">
        <f t="shared" si="26"/>
        <v>1.8218642882185654</v>
      </c>
      <c r="P349" s="223">
        <f>IFERROR(INDEX('Both teabags AfterWet'!$C$3:$C$840,MATCH(K349,'Both teabags AfterWet'!$A$3:$A$840,0)),"")</f>
        <v>2.5259999999999998</v>
      </c>
      <c r="Q349" s="223">
        <f>IFERROR(IF(P349&gt;0,P349-(TBIcalc!$H$9),""),"")</f>
        <v>2.3754</v>
      </c>
      <c r="R349" s="223">
        <f>IFERROR(INDEX('Ashed teabags wet'!$K$2:$K$2000,MATCH(K349,'Ashed teabags wet'!$A$2:$A$2000,0)),"")</f>
        <v>66.458433445459406</v>
      </c>
      <c r="S349" s="223">
        <f t="shared" si="27"/>
        <v>0.79674637193655728</v>
      </c>
      <c r="T349" s="224">
        <f>'WetLitterbags placem_collection'!E130</f>
        <v>42762</v>
      </c>
      <c r="U349" s="224">
        <f>IF('WetLitterbags placem_collection'!G130="","",'WetLitterbags placem_collection'!G130)</f>
        <v>42816</v>
      </c>
      <c r="V349" s="225">
        <f t="shared" si="25"/>
        <v>54</v>
      </c>
      <c r="W349" s="223">
        <f t="shared" si="28"/>
        <v>-0.44720000000000004</v>
      </c>
      <c r="X349" s="223">
        <f t="shared" si="29"/>
        <v>1.0251179162820081</v>
      </c>
      <c r="Y349">
        <f>IFERROR(INDEX(Rainfall_Wet!$O$2:$O$217,MATCH(B349, Rainfall_Wet!$A$2:$A$217,0)),"")</f>
        <v>206.85140822299999</v>
      </c>
      <c r="Z349" s="228">
        <v>17.96</v>
      </c>
      <c r="AA349" s="228">
        <v>4.9199999999999982</v>
      </c>
      <c r="AB349" s="228">
        <v>77.12</v>
      </c>
      <c r="AC349" s="229" t="s">
        <v>2655</v>
      </c>
      <c r="AD349" s="228">
        <v>9.0220798422868391</v>
      </c>
      <c r="AE349">
        <f>IF('WetLitterbags placem_collection'!AB130="","",'WetLitterbags placem_collection'!AB130)</f>
        <v>10.9</v>
      </c>
      <c r="AF349">
        <f>IF('WetLitterbags placem_collection'!Z130="","",'WetLitterbags placem_collection'!Z130)</f>
        <v>44</v>
      </c>
      <c r="AG349" s="243" t="str">
        <f>IF('WetLitterbags placem_collection'!AA130="","",'WetLitterbags placem_collection'!AA130)</f>
        <v>G</v>
      </c>
      <c r="AH349">
        <f>IF('WetLitterbags placem_collection'!AC130="","",'WetLitterbags placem_collection'!AC130)</f>
        <v>0</v>
      </c>
      <c r="AI349" s="237">
        <f>AVERAGE('WetLitterbags placem_collection'!S130,'WetLitterbags placem_collection'!U130)</f>
        <v>8.15</v>
      </c>
      <c r="AJ349">
        <f>AVERAGE('WetLitterbags placem_collection'!R130,'WetLitterbags placem_collection'!T130)</f>
        <v>31.650000000000002</v>
      </c>
      <c r="AK349">
        <f>INDEX(Coordinates!$B$2:$B$197,MATCH(H349,Coordinates!$J$2:$J$197,0))</f>
        <v>-2.3493099960000001</v>
      </c>
      <c r="AL349">
        <f>INDEX(Coordinates!$C$2:$C$197,MATCH(H349,Coordinates!$J$2:$J$197,0))</f>
        <v>34.05141802</v>
      </c>
      <c r="AM349" t="str">
        <f>IF(ISNUMBER(SEARCH("C", 'WetLitterbags placem_collection'!$W130)),"YES","NO")</f>
        <v>YES</v>
      </c>
      <c r="AN349" t="str">
        <f>IF(ISNUMBER(SEARCH("H", 'WetLitterbags placem_collection'!$W130)),"YES","NO")</f>
        <v>YES</v>
      </c>
      <c r="AO349" t="str">
        <f>IF(ISNUMBER(SEARCH("R", 'WetLitterbags placem_collection'!$W130)),"YES","NO")</f>
        <v>YES</v>
      </c>
    </row>
    <row r="350" spans="1:41" ht="15" customHeight="1">
      <c r="A350" s="255" t="s">
        <v>2454</v>
      </c>
      <c r="B350" s="260">
        <f>'Dry_Litterbag Placem_Collection'!A131</f>
        <v>129</v>
      </c>
      <c r="C350" s="260" t="str">
        <f>'Dry_Litterbag Placem_Collection'!B131</f>
        <v xml:space="preserve">Mwantimba
</v>
      </c>
      <c r="D350" s="260" t="s">
        <v>2454</v>
      </c>
      <c r="E350" s="260" t="s">
        <v>20</v>
      </c>
      <c r="F350" s="260">
        <v>1</v>
      </c>
      <c r="G350" s="260" t="s">
        <v>3820</v>
      </c>
      <c r="H350" s="261" t="str">
        <f>'Dry_Litterbag Placem_Collection'!C131</f>
        <v>Wet_P1_T1</v>
      </c>
      <c r="I350" s="262" t="s">
        <v>2525</v>
      </c>
      <c r="J350" s="269" t="s">
        <v>298</v>
      </c>
      <c r="K350" s="221" t="str">
        <f>'WetLitterbags placem_collection'!M131</f>
        <v>R46</v>
      </c>
      <c r="L350" s="223">
        <f>IFERROR(INDEX('Green_rooibos initial weight'!$C$5:$C$2000,MATCH(K350, 'Green_rooibos initial weight'!$A$5:$A$2000,0)),"")</f>
        <v>2.2890000000000001</v>
      </c>
      <c r="M350" s="223">
        <f>IFERROR(L350-(TBIcalc!$H$9+TBIcalc!$H$10),"")</f>
        <v>2.0392000000000001</v>
      </c>
      <c r="N350" s="385">
        <f>AVERAGE(Ashed_controlls!$K$2:$K$11)</f>
        <v>5.5147656768714146</v>
      </c>
      <c r="O350" s="223">
        <f t="shared" si="26"/>
        <v>1.9267428983172383</v>
      </c>
      <c r="P350" s="223">
        <f>IFERROR(INDEX('Both teabags AfterWet'!$C$3:$C$840,MATCH(K350,'Both teabags AfterWet'!$A$3:$A$840,0)),"")</f>
        <v>0.48970000000000002</v>
      </c>
      <c r="Q350" s="223">
        <f>IFERROR(IF(P350&gt;0,P350-(TBIcalc!$H$9),""),"")</f>
        <v>0.33910000000000001</v>
      </c>
      <c r="R350" s="223">
        <f>IFERROR(INDEX('Ashed teabags wet'!$K$2:$K$2000,MATCH(K350,'Ashed teabags wet'!$A$2:$A$2000,0)),"")</f>
        <v>0</v>
      </c>
      <c r="S350" s="223">
        <f t="shared" si="27"/>
        <v>0.33910000000000001</v>
      </c>
      <c r="T350" s="224">
        <f>'WetLitterbags placem_collection'!E131</f>
        <v>42762</v>
      </c>
      <c r="U350" s="224">
        <f>IF('WetLitterbags placem_collection'!G131="","",'WetLitterbags placem_collection'!G131)</f>
        <v>42816</v>
      </c>
      <c r="V350" s="225">
        <f t="shared" si="25"/>
        <v>54</v>
      </c>
      <c r="W350" s="223">
        <f t="shared" si="28"/>
        <v>1.7001000000000002</v>
      </c>
      <c r="X350" s="223">
        <f t="shared" si="29"/>
        <v>1.5876428983172384</v>
      </c>
      <c r="Y350">
        <f>IFERROR(INDEX(Rainfall_Wet!$O$2:$O$217,MATCH(B350, Rainfall_Wet!$A$2:$A$217,0)),"")</f>
        <v>206.85140822299999</v>
      </c>
      <c r="Z350" s="228">
        <v>31.214836424255054</v>
      </c>
      <c r="AA350" s="228">
        <v>11.377370285476141</v>
      </c>
      <c r="AB350" s="228">
        <v>57.407793290268799</v>
      </c>
      <c r="AC350" s="229" t="s">
        <v>2654</v>
      </c>
      <c r="AD350" s="228">
        <v>1.7337604731394776</v>
      </c>
      <c r="AE350">
        <f>IF('WetLitterbags placem_collection'!AB131="","",'WetLitterbags placem_collection'!AB131)</f>
        <v>2.4</v>
      </c>
      <c r="AF350">
        <f>IF('WetLitterbags placem_collection'!Z131="","",'WetLitterbags placem_collection'!Z131)</f>
        <v>2.4</v>
      </c>
      <c r="AG350" s="243" t="str">
        <f>IF('WetLitterbags placem_collection'!AA131="","",'WetLitterbags placem_collection'!AA131)</f>
        <v>O</v>
      </c>
      <c r="AH350">
        <f>IF('WetLitterbags placem_collection'!AC131="","",'WetLitterbags placem_collection'!AC131)</f>
        <v>1</v>
      </c>
      <c r="AI350" s="237">
        <f>AVERAGE('WetLitterbags placem_collection'!S131,'WetLitterbags placem_collection'!U131)</f>
        <v>15.05</v>
      </c>
      <c r="AJ350">
        <f>AVERAGE('WetLitterbags placem_collection'!R131,'WetLitterbags placem_collection'!T131)</f>
        <v>28</v>
      </c>
      <c r="AK350">
        <f>INDEX(Coordinates!$B$2:$B$197,MATCH(H350,Coordinates!$J$2:$J$197,0))</f>
        <v>-2.3503360249999998</v>
      </c>
      <c r="AL350">
        <f>INDEX(Coordinates!$C$2:$C$197,MATCH(H350,Coordinates!$J$2:$J$197,0))</f>
        <v>34.049662009999999</v>
      </c>
      <c r="AM350" t="str">
        <f>IF(ISNUMBER(SEARCH("C", 'WetLitterbags placem_collection'!$W131)),"YES","NO")</f>
        <v>NO</v>
      </c>
      <c r="AN350" t="str">
        <f>IF(ISNUMBER(SEARCH("H", 'WetLitterbags placem_collection'!$W131)),"YES","NO")</f>
        <v>YES</v>
      </c>
      <c r="AO350" t="str">
        <f>IF(ISNUMBER(SEARCH("R", 'WetLitterbags placem_collection'!$W131)),"YES","NO")</f>
        <v>NO</v>
      </c>
    </row>
    <row r="351" spans="1:41" ht="15" customHeight="1">
      <c r="A351" s="255" t="s">
        <v>2454</v>
      </c>
      <c r="B351" s="260">
        <f>'Dry_Litterbag Placem_Collection'!A132</f>
        <v>130</v>
      </c>
      <c r="C351" s="260" t="str">
        <f>'Dry_Litterbag Placem_Collection'!B132</f>
        <v xml:space="preserve">Mwantimba
</v>
      </c>
      <c r="D351" s="260" t="s">
        <v>2454</v>
      </c>
      <c r="E351" s="260" t="s">
        <v>20</v>
      </c>
      <c r="F351" s="260">
        <v>1</v>
      </c>
      <c r="G351" s="260" t="s">
        <v>3820</v>
      </c>
      <c r="H351" s="261" t="str">
        <f>'Dry_Litterbag Placem_Collection'!C132</f>
        <v>Wet_P1_T2</v>
      </c>
      <c r="I351" s="262" t="s">
        <v>2525</v>
      </c>
      <c r="J351" s="269" t="s">
        <v>298</v>
      </c>
      <c r="K351" s="221" t="str">
        <f>'WetLitterbags placem_collection'!M132</f>
        <v>R585</v>
      </c>
      <c r="L351" s="223">
        <f>IFERROR(INDEX('Green_rooibos initial weight'!$C$5:$C$2000,MATCH(K351, 'Green_rooibos initial weight'!$A$5:$A$2000,0)),"")</f>
        <v>2.17</v>
      </c>
      <c r="M351" s="223">
        <f>IFERROR(L351-(TBIcalc!$H$9+TBIcalc!$H$10),"")</f>
        <v>1.9201999999999999</v>
      </c>
      <c r="N351" s="385">
        <f>AVERAGE(Ashed_controlls!$K$2:$K$11)</f>
        <v>5.5147656768714146</v>
      </c>
      <c r="O351" s="223">
        <f t="shared" si="26"/>
        <v>1.814305469472715</v>
      </c>
      <c r="P351" s="223">
        <f>IFERROR(INDEX('Both teabags AfterWet'!$C$3:$C$840,MATCH(K351,'Both teabags AfterWet'!$A$3:$A$840,0)),"")</f>
        <v>1.6379999999999999</v>
      </c>
      <c r="Q351" s="223">
        <f>IFERROR(IF(P351&gt;0,P351-(TBIcalc!$H$9),""),"")</f>
        <v>1.4873999999999998</v>
      </c>
      <c r="R351" s="223">
        <f>IFERROR(INDEX('Ashed teabags wet'!$K$2:$K$2000,MATCH(K351,'Ashed teabags wet'!$A$2:$A$2000,0)),"")</f>
        <v>4.8913043478256997</v>
      </c>
      <c r="S351" s="223">
        <f t="shared" si="27"/>
        <v>1.4146467391304405</v>
      </c>
      <c r="T351" s="224">
        <f>'WetLitterbags placem_collection'!E132</f>
        <v>42762</v>
      </c>
      <c r="U351" s="224">
        <f>IF('WetLitterbags placem_collection'!G132="","",'WetLitterbags placem_collection'!G132)</f>
        <v>42816</v>
      </c>
      <c r="V351" s="225">
        <f t="shared" si="25"/>
        <v>54</v>
      </c>
      <c r="W351" s="223">
        <f t="shared" si="28"/>
        <v>0.43280000000000007</v>
      </c>
      <c r="X351" s="223">
        <f t="shared" si="29"/>
        <v>0.3996587303422745</v>
      </c>
      <c r="Y351">
        <f>IFERROR(INDEX(Rainfall_Wet!$O$2:$O$217,MATCH(B351, Rainfall_Wet!$A$2:$A$217,0)),"")</f>
        <v>206.85140822299999</v>
      </c>
      <c r="Z351" s="228">
        <v>31.214836424255054</v>
      </c>
      <c r="AA351" s="228">
        <v>11.377370285476141</v>
      </c>
      <c r="AB351" s="228">
        <v>57.407793290268799</v>
      </c>
      <c r="AC351" s="229" t="s">
        <v>2654</v>
      </c>
      <c r="AD351" s="228">
        <v>2.7337604731394798</v>
      </c>
      <c r="AE351">
        <f>IF('WetLitterbags placem_collection'!AB132="","",'WetLitterbags placem_collection'!AB132)</f>
        <v>2.1</v>
      </c>
      <c r="AF351">
        <f>IF('WetLitterbags placem_collection'!Z132="","",'WetLitterbags placem_collection'!Z132)</f>
        <v>3.5</v>
      </c>
      <c r="AG351" s="243" t="str">
        <f>IF('WetLitterbags placem_collection'!AA132="","",'WetLitterbags placem_collection'!AA132)</f>
        <v>O</v>
      </c>
      <c r="AH351">
        <f>IF('WetLitterbags placem_collection'!AC132="","",'WetLitterbags placem_collection'!AC132)</f>
        <v>0</v>
      </c>
      <c r="AI351" s="237">
        <f>AVERAGE('WetLitterbags placem_collection'!S132,'WetLitterbags placem_collection'!U132)</f>
        <v>16.3</v>
      </c>
      <c r="AJ351">
        <f>AVERAGE('WetLitterbags placem_collection'!R132,'WetLitterbags placem_collection'!T132)</f>
        <v>28.5</v>
      </c>
      <c r="AK351">
        <f>INDEX(Coordinates!$B$2:$B$197,MATCH(H351,Coordinates!$J$2:$J$197,0))</f>
        <v>-2.3503729889999998</v>
      </c>
      <c r="AL351">
        <f>INDEX(Coordinates!$C$2:$C$197,MATCH(H351,Coordinates!$J$2:$J$197,0))</f>
        <v>34.049626969999998</v>
      </c>
      <c r="AM351" t="str">
        <f>IF(ISNUMBER(SEARCH("C", 'WetLitterbags placem_collection'!$W132)),"YES","NO")</f>
        <v>NO</v>
      </c>
      <c r="AN351" t="str">
        <f>IF(ISNUMBER(SEARCH("H", 'WetLitterbags placem_collection'!$W132)),"YES","NO")</f>
        <v>NO</v>
      </c>
      <c r="AO351" t="str">
        <f>IF(ISNUMBER(SEARCH("R", 'WetLitterbags placem_collection'!$W132)),"YES","NO")</f>
        <v>NO</v>
      </c>
    </row>
    <row r="352" spans="1:41" ht="15" customHeight="1">
      <c r="A352" s="255" t="s">
        <v>2454</v>
      </c>
      <c r="B352" s="260">
        <f>'Dry_Litterbag Placem_Collection'!A133</f>
        <v>131</v>
      </c>
      <c r="C352" s="260" t="str">
        <f>'Dry_Litterbag Placem_Collection'!B133</f>
        <v xml:space="preserve">Mwantimba
</v>
      </c>
      <c r="D352" s="260" t="s">
        <v>2454</v>
      </c>
      <c r="E352" s="260" t="s">
        <v>20</v>
      </c>
      <c r="F352" s="260">
        <v>1</v>
      </c>
      <c r="G352" s="260" t="s">
        <v>3820</v>
      </c>
      <c r="H352" s="261" t="str">
        <f>'Dry_Litterbag Placem_Collection'!C133</f>
        <v>Wet_P1_T3</v>
      </c>
      <c r="I352" s="262" t="s">
        <v>2525</v>
      </c>
      <c r="J352" s="269" t="s">
        <v>298</v>
      </c>
      <c r="K352" s="221" t="str">
        <f>'WetLitterbags placem_collection'!M133</f>
        <v>R476</v>
      </c>
      <c r="L352" s="223">
        <f>IFERROR(INDEX('Green_rooibos initial weight'!$C$5:$C$2000,MATCH(K352, 'Green_rooibos initial weight'!$A$5:$A$2000,0)),"")</f>
        <v>2.2429999999999999</v>
      </c>
      <c r="M352" s="223">
        <f>IFERROR(L352-(TBIcalc!$H$9+TBIcalc!$H$10),"")</f>
        <v>1.9931999999999999</v>
      </c>
      <c r="N352" s="385">
        <f>AVERAGE(Ashed_controlls!$K$2:$K$11)</f>
        <v>5.5147656768714146</v>
      </c>
      <c r="O352" s="223">
        <f t="shared" si="26"/>
        <v>1.8832796905285989</v>
      </c>
      <c r="P352" s="223">
        <f>IFERROR(INDEX('Both teabags AfterWet'!$C$3:$C$840,MATCH(K352,'Both teabags AfterWet'!$A$3:$A$840,0)),"")</f>
        <v>0.64019999999999999</v>
      </c>
      <c r="Q352" s="223">
        <f>IFERROR(IF(P352&gt;0,P352-(TBIcalc!$H$9),""),"")</f>
        <v>0.48959999999999998</v>
      </c>
      <c r="R352" s="223">
        <f>IFERROR(INDEX('Ashed teabags wet'!$K$2:$K$2000,MATCH(K352,'Ashed teabags wet'!$A$2:$A$2000,0)),"")</f>
        <v>0</v>
      </c>
      <c r="S352" s="223">
        <f t="shared" si="27"/>
        <v>0.48959999999999998</v>
      </c>
      <c r="T352" s="224">
        <f>'WetLitterbags placem_collection'!E133</f>
        <v>42762</v>
      </c>
      <c r="U352" s="224">
        <f>IF('WetLitterbags placem_collection'!G133="","",'WetLitterbags placem_collection'!G133)</f>
        <v>42816</v>
      </c>
      <c r="V352" s="225">
        <f t="shared" si="25"/>
        <v>54</v>
      </c>
      <c r="W352" s="223">
        <f t="shared" si="28"/>
        <v>1.5035999999999998</v>
      </c>
      <c r="X352" s="223">
        <f t="shared" si="29"/>
        <v>1.3936796905285989</v>
      </c>
      <c r="Y352">
        <f>IFERROR(INDEX(Rainfall_Wet!$O$2:$O$217,MATCH(B352, Rainfall_Wet!$A$2:$A$217,0)),"")</f>
        <v>206.85140822299999</v>
      </c>
      <c r="Z352" s="228">
        <v>31.214836424255054</v>
      </c>
      <c r="AA352" s="228">
        <v>11.377370285476141</v>
      </c>
      <c r="AB352" s="228">
        <v>57.407793290268799</v>
      </c>
      <c r="AC352" s="229" t="s">
        <v>2654</v>
      </c>
      <c r="AD352" s="228">
        <v>3.7337604731394798</v>
      </c>
      <c r="AE352">
        <f>IF('WetLitterbags placem_collection'!AB133="","",'WetLitterbags placem_collection'!AB133)</f>
        <v>4.5</v>
      </c>
      <c r="AF352">
        <f>IF('WetLitterbags placem_collection'!Z133="","",'WetLitterbags placem_collection'!Z133)</f>
        <v>7.5</v>
      </c>
      <c r="AG352" s="243" t="str">
        <f>IF('WetLitterbags placem_collection'!AA133="","",'WetLitterbags placem_collection'!AA133)</f>
        <v>O</v>
      </c>
      <c r="AH352">
        <f>IF('WetLitterbags placem_collection'!AC133="","",'WetLitterbags placem_collection'!AC133)</f>
        <v>0</v>
      </c>
      <c r="AI352" s="237">
        <f>AVERAGE('WetLitterbags placem_collection'!S133,'WetLitterbags placem_collection'!U133)</f>
        <v>9.3000000000000007</v>
      </c>
      <c r="AJ352">
        <f>AVERAGE('WetLitterbags placem_collection'!R133,'WetLitterbags placem_collection'!T133)</f>
        <v>28.950000000000003</v>
      </c>
      <c r="AK352">
        <f>INDEX(Coordinates!$B$2:$B$197,MATCH(H352,Coordinates!$J$2:$J$197,0))</f>
        <v>-2.3503259660000002</v>
      </c>
      <c r="AL352">
        <f>INDEX(Coordinates!$C$2:$C$197,MATCH(H352,Coordinates!$J$2:$J$197,0))</f>
        <v>34.049616999999998</v>
      </c>
      <c r="AM352" t="str">
        <f>IF(ISNUMBER(SEARCH("C", 'WetLitterbags placem_collection'!$W133)),"YES","NO")</f>
        <v>YES</v>
      </c>
      <c r="AN352" t="str">
        <f>IF(ISNUMBER(SEARCH("H", 'WetLitterbags placem_collection'!$W133)),"YES","NO")</f>
        <v>YES</v>
      </c>
      <c r="AO352" t="str">
        <f>IF(ISNUMBER(SEARCH("R", 'WetLitterbags placem_collection'!$W133)),"YES","NO")</f>
        <v>NO</v>
      </c>
    </row>
    <row r="353" spans="1:41" ht="15" customHeight="1">
      <c r="A353" s="255" t="s">
        <v>2454</v>
      </c>
      <c r="B353" s="260">
        <f>'Dry_Litterbag Placem_Collection'!A134</f>
        <v>132</v>
      </c>
      <c r="C353" s="260" t="str">
        <f>'Dry_Litterbag Placem_Collection'!B134</f>
        <v xml:space="preserve">Mwantimba
</v>
      </c>
      <c r="D353" s="260" t="s">
        <v>2454</v>
      </c>
      <c r="E353" s="260" t="s">
        <v>20</v>
      </c>
      <c r="F353" s="260">
        <v>1</v>
      </c>
      <c r="G353" s="260" t="s">
        <v>3820</v>
      </c>
      <c r="H353" s="261" t="str">
        <f>'Dry_Litterbag Placem_Collection'!C134</f>
        <v>Wet_P1_T4</v>
      </c>
      <c r="I353" s="262" t="s">
        <v>2525</v>
      </c>
      <c r="J353" s="269" t="s">
        <v>298</v>
      </c>
      <c r="K353" s="221" t="str">
        <f>'WetLitterbags placem_collection'!M134</f>
        <v>R536</v>
      </c>
      <c r="L353" s="223">
        <f>IFERROR(INDEX('Green_rooibos initial weight'!$C$5:$C$2000,MATCH(K353, 'Green_rooibos initial weight'!$A$5:$A$2000,0)),"")</f>
        <v>2.1970000000000001</v>
      </c>
      <c r="M353" s="223">
        <f>IFERROR(L353-(TBIcalc!$H$9+TBIcalc!$H$10),"")</f>
        <v>1.9472</v>
      </c>
      <c r="N353" s="385">
        <f>AVERAGE(Ashed_controlls!$K$2:$K$11)</f>
        <v>5.5147656768714146</v>
      </c>
      <c r="O353" s="223">
        <f t="shared" si="26"/>
        <v>1.8398164827399599</v>
      </c>
      <c r="P353" s="223">
        <f>IFERROR(INDEX('Both teabags AfterWet'!$C$3:$C$840,MATCH(K353,'Both teabags AfterWet'!$A$3:$A$840,0)),"")</f>
        <v>1.593</v>
      </c>
      <c r="Q353" s="223">
        <f>IFERROR(IF(P353&gt;0,P353-(TBIcalc!$H$9),""),"")</f>
        <v>1.4423999999999999</v>
      </c>
      <c r="R353" s="223">
        <f>IFERROR(INDEX('Ashed teabags wet'!$K$2:$K$2000,MATCH(K353,'Ashed teabags wet'!$A$2:$A$2000,0)),"")</f>
        <v>91.768144179250029</v>
      </c>
      <c r="S353" s="223">
        <f t="shared" si="27"/>
        <v>0.11873628835849748</v>
      </c>
      <c r="T353" s="224">
        <f>'WetLitterbags placem_collection'!E134</f>
        <v>42762</v>
      </c>
      <c r="U353" s="224">
        <f>IF('WetLitterbags placem_collection'!G134="","",'WetLitterbags placem_collection'!G134)</f>
        <v>42816</v>
      </c>
      <c r="V353" s="225">
        <f t="shared" si="25"/>
        <v>54</v>
      </c>
      <c r="W353" s="223">
        <f t="shared" si="28"/>
        <v>0.50480000000000014</v>
      </c>
      <c r="X353" s="223">
        <f t="shared" si="29"/>
        <v>1.7210801943814624</v>
      </c>
      <c r="Y353">
        <f>IFERROR(INDEX(Rainfall_Wet!$O$2:$O$217,MATCH(B353, Rainfall_Wet!$A$2:$A$217,0)),"")</f>
        <v>206.85140822299999</v>
      </c>
      <c r="Z353" s="228">
        <v>31.214836424255054</v>
      </c>
      <c r="AA353" s="228">
        <v>11.377370285476141</v>
      </c>
      <c r="AB353" s="228">
        <v>57.407793290268799</v>
      </c>
      <c r="AC353" s="229" t="s">
        <v>2654</v>
      </c>
      <c r="AD353" s="228">
        <v>4.7337604731394798</v>
      </c>
      <c r="AE353">
        <f>IF('WetLitterbags placem_collection'!AB134="","",'WetLitterbags placem_collection'!AB134)</f>
        <v>0.7</v>
      </c>
      <c r="AF353">
        <f>IF('WetLitterbags placem_collection'!Z134="","",'WetLitterbags placem_collection'!Z134)</f>
        <v>9.8000000000000007</v>
      </c>
      <c r="AG353" s="243" t="str">
        <f>IF('WetLitterbags placem_collection'!AA134="","",'WetLitterbags placem_collection'!AA134)</f>
        <v>G</v>
      </c>
      <c r="AH353">
        <f>IF('WetLitterbags placem_collection'!AC134="","",'WetLitterbags placem_collection'!AC134)</f>
        <v>1</v>
      </c>
      <c r="AI353" s="237">
        <f>AVERAGE('WetLitterbags placem_collection'!S134,'WetLitterbags placem_collection'!U134)</f>
        <v>18.55</v>
      </c>
      <c r="AJ353">
        <f>AVERAGE('WetLitterbags placem_collection'!R134,'WetLitterbags placem_collection'!T134)</f>
        <v>28.95</v>
      </c>
      <c r="AK353">
        <f>INDEX(Coordinates!$B$2:$B$197,MATCH(H353,Coordinates!$J$2:$J$197,0))</f>
        <v>-2.3504800260000001</v>
      </c>
      <c r="AL353">
        <f>INDEX(Coordinates!$C$2:$C$197,MATCH(H353,Coordinates!$J$2:$J$197,0))</f>
        <v>34.049551030000003</v>
      </c>
      <c r="AM353" t="str">
        <f>IF(ISNUMBER(SEARCH("C", 'WetLitterbags placem_collection'!$W134)),"YES","NO")</f>
        <v>YES</v>
      </c>
      <c r="AN353" t="str">
        <f>IF(ISNUMBER(SEARCH("H", 'WetLitterbags placem_collection'!$W134)),"YES","NO")</f>
        <v>YES</v>
      </c>
      <c r="AO353" t="str">
        <f>IF(ISNUMBER(SEARCH("R", 'WetLitterbags placem_collection'!$W134)),"YES","NO")</f>
        <v>NO</v>
      </c>
    </row>
    <row r="354" spans="1:41" ht="15" customHeight="1">
      <c r="A354" s="255" t="s">
        <v>2454</v>
      </c>
      <c r="B354" s="260">
        <f>'Dry_Litterbag Placem_Collection'!A135</f>
        <v>133</v>
      </c>
      <c r="C354" s="260" t="str">
        <f>'Dry_Litterbag Placem_Collection'!B135</f>
        <v xml:space="preserve">Mwantimba
</v>
      </c>
      <c r="D354" s="260" t="s">
        <v>2454</v>
      </c>
      <c r="E354" s="260" t="s">
        <v>20</v>
      </c>
      <c r="F354" s="260">
        <v>1</v>
      </c>
      <c r="G354" s="260" t="s">
        <v>3820</v>
      </c>
      <c r="H354" s="261" t="str">
        <f>'Dry_Litterbag Placem_Collection'!C135</f>
        <v>Wet_P1_T5</v>
      </c>
      <c r="I354" s="262" t="s">
        <v>2525</v>
      </c>
      <c r="J354" s="269" t="s">
        <v>298</v>
      </c>
      <c r="K354" s="221" t="str">
        <f>'WetLitterbags placem_collection'!M135</f>
        <v>R524</v>
      </c>
      <c r="L354" s="223">
        <f>IFERROR(INDEX('Green_rooibos initial weight'!$C$5:$C$2000,MATCH(K354, 'Green_rooibos initial weight'!$A$5:$A$2000,0)),"")</f>
        <v>2.1080000000000001</v>
      </c>
      <c r="M354" s="223">
        <f>IFERROR(L354-(TBIcalc!$H$9+TBIcalc!$H$10),"")</f>
        <v>1.8582000000000001</v>
      </c>
      <c r="N354" s="385">
        <f>AVERAGE(Ashed_controlls!$K$2:$K$11)</f>
        <v>5.5147656768714146</v>
      </c>
      <c r="O354" s="223">
        <f t="shared" si="26"/>
        <v>1.7557246241923754</v>
      </c>
      <c r="P354" s="223">
        <f>IFERROR(INDEX('Both teabags AfterWet'!$C$3:$C$840,MATCH(K354,'Both teabags AfterWet'!$A$3:$A$840,0)),"")</f>
        <v>1.5687</v>
      </c>
      <c r="Q354" s="223">
        <f>IFERROR(IF(P354&gt;0,P354-(TBIcalc!$H$9),""),"")</f>
        <v>1.4180999999999999</v>
      </c>
      <c r="R354" s="223">
        <f>IFERROR(INDEX('Ashed teabags wet'!$K$2:$K$2000,MATCH(K354,'Ashed teabags wet'!$A$2:$A$2000,0)),"")</f>
        <v>2.521432173474186</v>
      </c>
      <c r="S354" s="223">
        <f t="shared" si="27"/>
        <v>1.3823435703479625</v>
      </c>
      <c r="T354" s="224">
        <f>'WetLitterbags placem_collection'!E135</f>
        <v>42762</v>
      </c>
      <c r="U354" s="224">
        <f>IF('WetLitterbags placem_collection'!G135="","",'WetLitterbags placem_collection'!G135)</f>
        <v>42816</v>
      </c>
      <c r="V354" s="225">
        <f t="shared" si="25"/>
        <v>54</v>
      </c>
      <c r="W354" s="223">
        <f t="shared" si="28"/>
        <v>0.44010000000000016</v>
      </c>
      <c r="X354" s="223">
        <f t="shared" si="29"/>
        <v>0.37338105384441289</v>
      </c>
      <c r="Y354">
        <f>IFERROR(INDEX(Rainfall_Wet!$O$2:$O$217,MATCH(B354, Rainfall_Wet!$A$2:$A$217,0)),"")</f>
        <v>206.85140822299999</v>
      </c>
      <c r="Z354" s="228">
        <v>31.214836424255054</v>
      </c>
      <c r="AA354" s="228">
        <v>11.377370285476141</v>
      </c>
      <c r="AB354" s="228">
        <v>57.407793290268799</v>
      </c>
      <c r="AC354" s="229" t="s">
        <v>2654</v>
      </c>
      <c r="AD354" s="228">
        <v>5.7337604731394798</v>
      </c>
      <c r="AE354">
        <f>IF('WetLitterbags placem_collection'!AB135="","",'WetLitterbags placem_collection'!AB135)</f>
        <v>2.2000000000000002</v>
      </c>
      <c r="AF354">
        <f>IF('WetLitterbags placem_collection'!Z135="","",'WetLitterbags placem_collection'!Z135)</f>
        <v>10</v>
      </c>
      <c r="AG354" s="243" t="str">
        <f>IF('WetLitterbags placem_collection'!AA135="","",'WetLitterbags placem_collection'!AA135)</f>
        <v>O</v>
      </c>
      <c r="AH354">
        <f>IF('WetLitterbags placem_collection'!AC135="","",'WetLitterbags placem_collection'!AC135)</f>
        <v>1</v>
      </c>
      <c r="AI354" s="237">
        <f>AVERAGE('WetLitterbags placem_collection'!S135,'WetLitterbags placem_collection'!U135)</f>
        <v>13.399999999999999</v>
      </c>
      <c r="AJ354">
        <f>AVERAGE('WetLitterbags placem_collection'!R135,'WetLitterbags placem_collection'!T135)</f>
        <v>31.349999999999998</v>
      </c>
      <c r="AK354">
        <f>INDEX(Coordinates!$B$2:$B$197,MATCH(H354,Coordinates!$J$2:$J$197,0))</f>
        <v>-2.350474996</v>
      </c>
      <c r="AL354">
        <f>INDEX(Coordinates!$C$2:$C$197,MATCH(H354,Coordinates!$J$2:$J$197,0))</f>
        <v>34.049801979999998</v>
      </c>
      <c r="AM354" t="str">
        <f>IF(ISNUMBER(SEARCH("C", 'WetLitterbags placem_collection'!$W135)),"YES","NO")</f>
        <v>NO</v>
      </c>
      <c r="AN354" t="str">
        <f>IF(ISNUMBER(SEARCH("H", 'WetLitterbags placem_collection'!$W135)),"YES","NO")</f>
        <v>NO</v>
      </c>
      <c r="AO354" t="str">
        <f>IF(ISNUMBER(SEARCH("R", 'WetLitterbags placem_collection'!$W135)),"YES","NO")</f>
        <v>NO</v>
      </c>
    </row>
    <row r="355" spans="1:41" ht="15" customHeight="1">
      <c r="A355" s="255" t="s">
        <v>2454</v>
      </c>
      <c r="B355" s="260">
        <f>'Dry_Litterbag Placem_Collection'!A136</f>
        <v>134</v>
      </c>
      <c r="C355" s="260" t="str">
        <f>'Dry_Litterbag Placem_Collection'!B136</f>
        <v xml:space="preserve">Mwantimba
</v>
      </c>
      <c r="D355" s="260" t="s">
        <v>2454</v>
      </c>
      <c r="E355" s="260" t="s">
        <v>20</v>
      </c>
      <c r="F355" s="260">
        <v>1</v>
      </c>
      <c r="G355" s="260" t="s">
        <v>3820</v>
      </c>
      <c r="H355" s="261" t="str">
        <f>'Dry_Litterbag Placem_Collection'!C136</f>
        <v>Wet_P1_T6</v>
      </c>
      <c r="I355" s="262" t="s">
        <v>2525</v>
      </c>
      <c r="J355" s="269" t="s">
        <v>298</v>
      </c>
      <c r="K355" s="221" t="str">
        <f>'WetLitterbags placem_collection'!M136</f>
        <v>R600</v>
      </c>
      <c r="L355" s="223">
        <f>IFERROR(INDEX('Green_rooibos initial weight'!$C$5:$C$2000,MATCH(K355, 'Green_rooibos initial weight'!$A$5:$A$2000,0)),"")</f>
        <v>2.2440000000000002</v>
      </c>
      <c r="M355" s="223">
        <f>IFERROR(L355-(TBIcalc!$H$9+TBIcalc!$H$10),"")</f>
        <v>1.9942000000000002</v>
      </c>
      <c r="N355" s="385">
        <f>AVERAGE(Ashed_controlls!$K$2:$K$11)</f>
        <v>5.5147656768714146</v>
      </c>
      <c r="O355" s="223">
        <f t="shared" si="26"/>
        <v>1.8842245428718305</v>
      </c>
      <c r="P355" s="223">
        <f>IFERROR(INDEX('Both teabags AfterWet'!$C$3:$C$840,MATCH(K355,'Both teabags AfterWet'!$A$3:$A$840,0)),"")</f>
        <v>1.4419999999999999</v>
      </c>
      <c r="Q355" s="223">
        <f>IFERROR(IF(P355&gt;0,P355-(TBIcalc!$H$9),""),"")</f>
        <v>1.2913999999999999</v>
      </c>
      <c r="R355" s="223">
        <f>IFERROR(INDEX('Ashed teabags wet'!$K$2:$K$2000,MATCH(K355,'Ashed teabags wet'!$A$2:$A$2000,0)),"")</f>
        <v>7.2860635696819331</v>
      </c>
      <c r="S355" s="223">
        <f t="shared" si="27"/>
        <v>1.1973077750611274</v>
      </c>
      <c r="T355" s="224">
        <f>'WetLitterbags placem_collection'!E136</f>
        <v>42762</v>
      </c>
      <c r="U355" s="224">
        <f>IF('WetLitterbags placem_collection'!G136="","",'WetLitterbags placem_collection'!G136)</f>
        <v>42816</v>
      </c>
      <c r="V355" s="225">
        <f t="shared" si="25"/>
        <v>54</v>
      </c>
      <c r="W355" s="223">
        <f t="shared" si="28"/>
        <v>0.70280000000000031</v>
      </c>
      <c r="X355" s="223">
        <f t="shared" si="29"/>
        <v>0.6869167678107031</v>
      </c>
      <c r="Y355">
        <f>IFERROR(INDEX(Rainfall_Wet!$O$2:$O$217,MATCH(B355, Rainfall_Wet!$A$2:$A$217,0)),"")</f>
        <v>206.85140822299999</v>
      </c>
      <c r="Z355" s="228">
        <v>31.214836424255054</v>
      </c>
      <c r="AA355" s="228">
        <v>11.377370285476141</v>
      </c>
      <c r="AB355" s="228">
        <v>57.407793290268799</v>
      </c>
      <c r="AC355" s="229" t="s">
        <v>2654</v>
      </c>
      <c r="AD355" s="228">
        <v>6.7337604731394798</v>
      </c>
      <c r="AE355">
        <f>IF('WetLitterbags placem_collection'!AB136="","",'WetLitterbags placem_collection'!AB136)</f>
        <v>1.1000000000000001</v>
      </c>
      <c r="AF355">
        <f>IF('WetLitterbags placem_collection'!Z136="","",'WetLitterbags placem_collection'!Z136)</f>
        <v>15.4</v>
      </c>
      <c r="AG355" s="243" t="str">
        <f>IF('WetLitterbags placem_collection'!AA136="","",'WetLitterbags placem_collection'!AA136)</f>
        <v>O</v>
      </c>
      <c r="AH355">
        <f>IF('WetLitterbags placem_collection'!AC136="","",'WetLitterbags placem_collection'!AC136)</f>
        <v>1</v>
      </c>
      <c r="AI355" s="237">
        <f>AVERAGE('WetLitterbags placem_collection'!S136,'WetLitterbags placem_collection'!U136)</f>
        <v>12.7</v>
      </c>
      <c r="AJ355">
        <f>AVERAGE('WetLitterbags placem_collection'!R136,'WetLitterbags placem_collection'!T136)</f>
        <v>30.15</v>
      </c>
      <c r="AK355">
        <f>INDEX(Coordinates!$B$2:$B$197,MATCH(H355,Coordinates!$J$2:$J$197,0))</f>
        <v>-2.3503559730000001</v>
      </c>
      <c r="AL355">
        <f>INDEX(Coordinates!$C$2:$C$197,MATCH(H355,Coordinates!$J$2:$J$197,0))</f>
        <v>34.049800980000001</v>
      </c>
      <c r="AM355" t="str">
        <f>IF(ISNUMBER(SEARCH("C", 'WetLitterbags placem_collection'!$W136)),"YES","NO")</f>
        <v>NO</v>
      </c>
      <c r="AN355" t="str">
        <f>IF(ISNUMBER(SEARCH("H", 'WetLitterbags placem_collection'!$W136)),"YES","NO")</f>
        <v>NO</v>
      </c>
      <c r="AO355" t="str">
        <f>IF(ISNUMBER(SEARCH("R", 'WetLitterbags placem_collection'!$W136)),"YES","NO")</f>
        <v>NO</v>
      </c>
    </row>
    <row r="356" spans="1:41" ht="15" customHeight="1">
      <c r="A356" s="255" t="s">
        <v>2454</v>
      </c>
      <c r="B356" s="260">
        <f>'Dry_Litterbag Placem_Collection'!A137</f>
        <v>135</v>
      </c>
      <c r="C356" s="260" t="str">
        <f>'Dry_Litterbag Placem_Collection'!B137</f>
        <v xml:space="preserve">Mwantimba
</v>
      </c>
      <c r="D356" s="260" t="s">
        <v>2454</v>
      </c>
      <c r="E356" s="260" t="s">
        <v>20</v>
      </c>
      <c r="F356" s="260">
        <v>1</v>
      </c>
      <c r="G356" s="260" t="s">
        <v>3820</v>
      </c>
      <c r="H356" s="261" t="str">
        <f>'Dry_Litterbag Placem_Collection'!C137</f>
        <v>Wet_P1_T7</v>
      </c>
      <c r="I356" s="262" t="s">
        <v>2525</v>
      </c>
      <c r="J356" s="269" t="s">
        <v>298</v>
      </c>
      <c r="K356" s="221" t="str">
        <f>'WetLitterbags placem_collection'!M137</f>
        <v>R432</v>
      </c>
      <c r="L356" s="223">
        <f>IFERROR(INDEX('Green_rooibos initial weight'!$C$5:$C$2000,MATCH(K356, 'Green_rooibos initial weight'!$A$5:$A$2000,0)),"")</f>
        <v>2.2240000000000002</v>
      </c>
      <c r="M356" s="223">
        <f>IFERROR(L356-(TBIcalc!$H$9+TBIcalc!$H$10),"")</f>
        <v>1.9742000000000002</v>
      </c>
      <c r="N356" s="385">
        <f>AVERAGE(Ashed_controlls!$K$2:$K$11)</f>
        <v>5.5147656768714146</v>
      </c>
      <c r="O356" s="223">
        <f t="shared" si="26"/>
        <v>1.8653274960072048</v>
      </c>
      <c r="P356" s="223">
        <f>IFERROR(INDEX('Both teabags AfterWet'!$C$3:$C$840,MATCH(K356,'Both teabags AfterWet'!$A$3:$A$840,0)),"")</f>
        <v>1.6830000000000001</v>
      </c>
      <c r="Q356" s="223">
        <f>IFERROR(IF(P356&gt;0,P356-(TBIcalc!$H$9),""),"")</f>
        <v>1.5324</v>
      </c>
      <c r="R356" s="223">
        <f>IFERROR(INDEX('Ashed teabags wet'!$K$2:$K$2000,MATCH(K356,'Ashed teabags wet'!$A$2:$A$2000,0)),"")</f>
        <v>13.470757430488819</v>
      </c>
      <c r="S356" s="223">
        <f t="shared" si="27"/>
        <v>1.3259741131351892</v>
      </c>
      <c r="T356" s="224">
        <f>'WetLitterbags placem_collection'!E137</f>
        <v>42762</v>
      </c>
      <c r="U356" s="224">
        <f>IF('WetLitterbags placem_collection'!G137="","",'WetLitterbags placem_collection'!G137)</f>
        <v>42816</v>
      </c>
      <c r="V356" s="225">
        <f t="shared" si="25"/>
        <v>54</v>
      </c>
      <c r="W356" s="223">
        <f t="shared" si="28"/>
        <v>0.44180000000000019</v>
      </c>
      <c r="X356" s="223">
        <f t="shared" si="29"/>
        <v>0.53935338287201562</v>
      </c>
      <c r="Y356">
        <f>IFERROR(INDEX(Rainfall_Wet!$O$2:$O$217,MATCH(B356, Rainfall_Wet!$A$2:$A$217,0)),"")</f>
        <v>206.85140822299999</v>
      </c>
      <c r="Z356" s="228">
        <v>31.214836424255054</v>
      </c>
      <c r="AA356" s="228">
        <v>11.377370285476141</v>
      </c>
      <c r="AB356" s="228">
        <v>57.407793290268799</v>
      </c>
      <c r="AC356" s="229" t="s">
        <v>2654</v>
      </c>
      <c r="AD356" s="228">
        <v>7.7337604731394798</v>
      </c>
      <c r="AE356">
        <f>IF('WetLitterbags placem_collection'!AB137="","",'WetLitterbags placem_collection'!AB137)</f>
        <v>2.1</v>
      </c>
      <c r="AF356">
        <f>IF('WetLitterbags placem_collection'!Z137="","",'WetLitterbags placem_collection'!Z137)</f>
        <v>5.6</v>
      </c>
      <c r="AG356" s="243" t="str">
        <f>IF('WetLitterbags placem_collection'!AA137="","",'WetLitterbags placem_collection'!AA137)</f>
        <v>O</v>
      </c>
      <c r="AH356">
        <f>IF('WetLitterbags placem_collection'!AC137="","",'WetLitterbags placem_collection'!AC137)</f>
        <v>1</v>
      </c>
      <c r="AI356" s="237">
        <f>AVERAGE('WetLitterbags placem_collection'!S137,'WetLitterbags placem_collection'!U137)</f>
        <v>14.5</v>
      </c>
      <c r="AJ356">
        <f>AVERAGE('WetLitterbags placem_collection'!R137,'WetLitterbags placem_collection'!T137)</f>
        <v>29.65</v>
      </c>
      <c r="AK356">
        <f>INDEX(Coordinates!$B$2:$B$197,MATCH(H356,Coordinates!$J$2:$J$197,0))</f>
        <v>-2.3503589909999998</v>
      </c>
      <c r="AL356">
        <f>INDEX(Coordinates!$C$2:$C$197,MATCH(H356,Coordinates!$J$2:$J$197,0))</f>
        <v>34.049719000000003</v>
      </c>
      <c r="AM356" t="str">
        <f>IF(ISNUMBER(SEARCH("C", 'WetLitterbags placem_collection'!$W137)),"YES","NO")</f>
        <v>NO</v>
      </c>
      <c r="AN356" t="str">
        <f>IF(ISNUMBER(SEARCH("H", 'WetLitterbags placem_collection'!$W137)),"YES","NO")</f>
        <v>NO</v>
      </c>
      <c r="AO356" t="str">
        <f>IF(ISNUMBER(SEARCH("R", 'WetLitterbags placem_collection'!$W137)),"YES","NO")</f>
        <v>YES</v>
      </c>
    </row>
    <row r="357" spans="1:41" ht="15" customHeight="1">
      <c r="A357" s="255" t="s">
        <v>2454</v>
      </c>
      <c r="B357" s="260">
        <f>'Dry_Litterbag Placem_Collection'!A138</f>
        <v>136</v>
      </c>
      <c r="C357" s="260" t="str">
        <f>'Dry_Litterbag Placem_Collection'!B138</f>
        <v xml:space="preserve">Mwantimba
</v>
      </c>
      <c r="D357" s="260" t="s">
        <v>2454</v>
      </c>
      <c r="E357" s="260" t="s">
        <v>20</v>
      </c>
      <c r="F357" s="260">
        <v>1</v>
      </c>
      <c r="G357" s="260" t="s">
        <v>3820</v>
      </c>
      <c r="H357" s="261" t="str">
        <f>'Dry_Litterbag Placem_Collection'!C138</f>
        <v>Wet_P1_T8</v>
      </c>
      <c r="I357" s="262" t="s">
        <v>2525</v>
      </c>
      <c r="J357" s="269" t="s">
        <v>298</v>
      </c>
      <c r="K357" s="221" t="str">
        <f>'WetLitterbags placem_collection'!M138</f>
        <v>R474</v>
      </c>
      <c r="L357" s="223">
        <f>IFERROR(INDEX('Green_rooibos initial weight'!$C$5:$C$2000,MATCH(K357, 'Green_rooibos initial weight'!$A$5:$A$2000,0)),"")</f>
        <v>2.258</v>
      </c>
      <c r="M357" s="223">
        <f>IFERROR(L357-(TBIcalc!$H$9+TBIcalc!$H$10),"")</f>
        <v>2.0082</v>
      </c>
      <c r="N357" s="385">
        <f>AVERAGE(Ashed_controlls!$K$2:$K$11)</f>
        <v>5.5147656768714146</v>
      </c>
      <c r="O357" s="223">
        <f t="shared" si="26"/>
        <v>1.8974524756770683</v>
      </c>
      <c r="P357" s="223">
        <f>IFERROR(INDEX('Both teabags AfterWet'!$C$3:$C$840,MATCH(K357,'Both teabags AfterWet'!$A$3:$A$840,0)),"")</f>
        <v>1.5827</v>
      </c>
      <c r="Q357" s="223">
        <f>IFERROR(IF(P357&gt;0,P357-(TBIcalc!$H$9),""),"")</f>
        <v>1.4320999999999999</v>
      </c>
      <c r="R357" s="223">
        <f>IFERROR(INDEX('Ashed teabags wet'!$K$2:$K$2000,MATCH(K357,'Ashed teabags wet'!$A$2:$A$2000,0)),"")</f>
        <v>5.0395256916988718</v>
      </c>
      <c r="S357" s="223">
        <f t="shared" si="27"/>
        <v>1.3599289525691804</v>
      </c>
      <c r="T357" s="224">
        <f>'WetLitterbags placem_collection'!E138</f>
        <v>42762</v>
      </c>
      <c r="U357" s="224">
        <f>IF('WetLitterbags placem_collection'!G138="","",'WetLitterbags placem_collection'!G138)</f>
        <v>42816</v>
      </c>
      <c r="V357" s="225">
        <f t="shared" si="25"/>
        <v>54</v>
      </c>
      <c r="W357" s="223">
        <f t="shared" si="28"/>
        <v>0.57610000000000006</v>
      </c>
      <c r="X357" s="223">
        <f t="shared" si="29"/>
        <v>0.53752352310788787</v>
      </c>
      <c r="Y357">
        <f>IFERROR(INDEX(Rainfall_Wet!$O$2:$O$217,MATCH(B357, Rainfall_Wet!$A$2:$A$217,0)),"")</f>
        <v>206.85140822299999</v>
      </c>
      <c r="Z357" s="228">
        <v>31.214836424255054</v>
      </c>
      <c r="AA357" s="228">
        <v>11.377370285476141</v>
      </c>
      <c r="AB357" s="228">
        <v>57.407793290268799</v>
      </c>
      <c r="AC357" s="229" t="s">
        <v>2654</v>
      </c>
      <c r="AD357" s="228">
        <v>8.7337604731394798</v>
      </c>
      <c r="AE357">
        <f>IF('WetLitterbags placem_collection'!AB138="","",'WetLitterbags placem_collection'!AB138)</f>
        <v>2.2999999999999998</v>
      </c>
      <c r="AF357">
        <f>IF('WetLitterbags placem_collection'!Z138="","",'WetLitterbags placem_collection'!Z138)</f>
        <v>16.3</v>
      </c>
      <c r="AG357" s="243" t="str">
        <f>IF('WetLitterbags placem_collection'!AA138="","",'WetLitterbags placem_collection'!AA138)</f>
        <v>G</v>
      </c>
      <c r="AH357">
        <f>IF('WetLitterbags placem_collection'!AC138="","",'WetLitterbags placem_collection'!AC138)</f>
        <v>1</v>
      </c>
      <c r="AI357" s="237">
        <f>AVERAGE('WetLitterbags placem_collection'!S138,'WetLitterbags placem_collection'!U138)</f>
        <v>14.65</v>
      </c>
      <c r="AJ357">
        <f>AVERAGE('WetLitterbags placem_collection'!R138,'WetLitterbags placem_collection'!T138)</f>
        <v>30.6</v>
      </c>
      <c r="AK357">
        <f>INDEX(Coordinates!$B$2:$B$197,MATCH(H357,Coordinates!$J$2:$J$197,0))</f>
        <v>-2.3502159960000002</v>
      </c>
      <c r="AL357">
        <f>INDEX(Coordinates!$C$2:$C$197,MATCH(H357,Coordinates!$J$2:$J$197,0))</f>
        <v>34.049822020000001</v>
      </c>
      <c r="AM357" t="str">
        <f>IF(ISNUMBER(SEARCH("C", 'WetLitterbags placem_collection'!$W138)),"YES","NO")</f>
        <v>NO</v>
      </c>
      <c r="AN357" t="str">
        <f>IF(ISNUMBER(SEARCH("H", 'WetLitterbags placem_collection'!$W138)),"YES","NO")</f>
        <v>NO</v>
      </c>
      <c r="AO357" t="str">
        <f>IF(ISNUMBER(SEARCH("R", 'WetLitterbags placem_collection'!$W138)),"YES","NO")</f>
        <v>YES</v>
      </c>
    </row>
    <row r="358" spans="1:41" ht="15" customHeight="1">
      <c r="A358" s="255" t="s">
        <v>2454</v>
      </c>
      <c r="B358" s="260">
        <f>'Dry_Litterbag Placem_Collection'!A139</f>
        <v>137</v>
      </c>
      <c r="C358" s="260" t="str">
        <f>'Dry_Litterbag Placem_Collection'!B139</f>
        <v xml:space="preserve">Mwantimba
</v>
      </c>
      <c r="D358" s="260" t="s">
        <v>2454</v>
      </c>
      <c r="E358" s="260" t="s">
        <v>20</v>
      </c>
      <c r="F358" s="260">
        <v>2</v>
      </c>
      <c r="G358" s="260" t="s">
        <v>3822</v>
      </c>
      <c r="H358" s="261" t="str">
        <f>'Dry_Litterbag Placem_Collection'!C139</f>
        <v>Wet_P2_T1</v>
      </c>
      <c r="I358" s="262" t="s">
        <v>2525</v>
      </c>
      <c r="J358" s="269" t="s">
        <v>298</v>
      </c>
      <c r="K358" s="221" t="str">
        <f>'WetLitterbags placem_collection'!M139</f>
        <v>R34</v>
      </c>
      <c r="L358" s="223">
        <f>IFERROR(INDEX('Green_rooibos initial weight'!$C$5:$C$2000,MATCH(K358, 'Green_rooibos initial weight'!$A$5:$A$2000,0)),"")</f>
        <v>2.1349999999999998</v>
      </c>
      <c r="M358" s="223">
        <f>IFERROR(L358-(TBIcalc!$H$9+TBIcalc!$H$10),"")</f>
        <v>1.8851999999999998</v>
      </c>
      <c r="N358" s="385">
        <f>AVERAGE(Ashed_controlls!$K$2:$K$11)</f>
        <v>5.5147656768714146</v>
      </c>
      <c r="O358" s="223">
        <f t="shared" si="26"/>
        <v>1.7812356374596199</v>
      </c>
      <c r="P358" s="223">
        <f>IFERROR(INDEX('Both teabags AfterWet'!$C$3:$C$840,MATCH(K358,'Both teabags AfterWet'!$A$3:$A$840,0)),"")</f>
        <v>1.571</v>
      </c>
      <c r="Q358" s="223">
        <f>IFERROR(IF(P358&gt;0,P358-(TBIcalc!$H$9),""),"")</f>
        <v>1.4203999999999999</v>
      </c>
      <c r="R358" s="223">
        <f>IFERROR(INDEX('Ashed teabags wet'!$K$2:$K$2000,MATCH(K358,'Ashed teabags wet'!$A$2:$A$2000,0)),"")</f>
        <v>7.897334649555618</v>
      </c>
      <c r="S358" s="223">
        <f t="shared" si="27"/>
        <v>1.3082262586377118</v>
      </c>
      <c r="T358" s="224">
        <f>'WetLitterbags placem_collection'!E139</f>
        <v>42762</v>
      </c>
      <c r="U358" s="224">
        <f>IF('WetLitterbags placem_collection'!G139="","",'WetLitterbags placem_collection'!G139)</f>
        <v>42816</v>
      </c>
      <c r="V358" s="225">
        <f t="shared" si="25"/>
        <v>54</v>
      </c>
      <c r="W358" s="223">
        <f t="shared" si="28"/>
        <v>0.46479999999999988</v>
      </c>
      <c r="X358" s="223">
        <f t="shared" si="29"/>
        <v>0.47300937882190808</v>
      </c>
      <c r="Y358">
        <f>IFERROR(INDEX(Rainfall_Wet!$O$2:$O$217,MATCH(B358, Rainfall_Wet!$A$2:$A$217,0)),"")</f>
        <v>206.85140822299999</v>
      </c>
      <c r="Z358" s="228">
        <v>33.96</v>
      </c>
      <c r="AA358" s="228">
        <v>8.9200000000000017</v>
      </c>
      <c r="AB358" s="228">
        <v>57.12</v>
      </c>
      <c r="AC358" s="229" t="s">
        <v>2654</v>
      </c>
      <c r="AD358" s="228">
        <v>2.072055199605717</v>
      </c>
      <c r="AE358">
        <f>IF('WetLitterbags placem_collection'!AB139="","",'WetLitterbags placem_collection'!AB139)</f>
        <v>1.2</v>
      </c>
      <c r="AF358">
        <f>IF('WetLitterbags placem_collection'!Z139="","",'WetLitterbags placem_collection'!Z139)</f>
        <v>32.4</v>
      </c>
      <c r="AG358" s="243" t="str">
        <f>IF('WetLitterbags placem_collection'!AA139="","",'WetLitterbags placem_collection'!AA139)</f>
        <v>G</v>
      </c>
      <c r="AH358">
        <f>IF('WetLitterbags placem_collection'!AC139="","",'WetLitterbags placem_collection'!AC139)</f>
        <v>1</v>
      </c>
      <c r="AI358" s="237">
        <f>AVERAGE('WetLitterbags placem_collection'!S139,'WetLitterbags placem_collection'!U139)</f>
        <v>15.5</v>
      </c>
      <c r="AJ358">
        <f>AVERAGE('WetLitterbags placem_collection'!R139,'WetLitterbags placem_collection'!T139)</f>
        <v>28.5</v>
      </c>
      <c r="AK358">
        <f>INDEX(Coordinates!$B$2:$B$197,MATCH(H358,Coordinates!$J$2:$J$197,0))</f>
        <v>-2.348596025</v>
      </c>
      <c r="AL358">
        <f>INDEX(Coordinates!$C$2:$C$197,MATCH(H358,Coordinates!$J$2:$J$197,0))</f>
        <v>34.050070959999999</v>
      </c>
      <c r="AM358" t="str">
        <f>IF(ISNUMBER(SEARCH("C", 'WetLitterbags placem_collection'!$W139)),"YES","NO")</f>
        <v>YES</v>
      </c>
      <c r="AN358" t="str">
        <f>IF(ISNUMBER(SEARCH("H", 'WetLitterbags placem_collection'!$W139)),"YES","NO")</f>
        <v>NO</v>
      </c>
      <c r="AO358" t="str">
        <f>IF(ISNUMBER(SEARCH("R", 'WetLitterbags placem_collection'!$W139)),"YES","NO")</f>
        <v>NO</v>
      </c>
    </row>
    <row r="359" spans="1:41" ht="15" customHeight="1">
      <c r="A359" s="255" t="s">
        <v>2454</v>
      </c>
      <c r="B359" s="260">
        <f>'Dry_Litterbag Placem_Collection'!A140</f>
        <v>138</v>
      </c>
      <c r="C359" s="260" t="str">
        <f>'Dry_Litterbag Placem_Collection'!B140</f>
        <v xml:space="preserve">Mwantimba
</v>
      </c>
      <c r="D359" s="260" t="s">
        <v>2454</v>
      </c>
      <c r="E359" s="260" t="s">
        <v>20</v>
      </c>
      <c r="F359" s="260">
        <v>2</v>
      </c>
      <c r="G359" s="260" t="s">
        <v>3822</v>
      </c>
      <c r="H359" s="261" t="str">
        <f>'Dry_Litterbag Placem_Collection'!C140</f>
        <v>Wet_P2_T2</v>
      </c>
      <c r="I359" s="262" t="s">
        <v>2525</v>
      </c>
      <c r="J359" s="269" t="s">
        <v>298</v>
      </c>
      <c r="K359" s="221" t="str">
        <f>'WetLitterbags placem_collection'!M140</f>
        <v>R426</v>
      </c>
      <c r="L359" s="223">
        <f>IFERROR(INDEX('Green_rooibos initial weight'!$C$5:$C$2000,MATCH(K359, 'Green_rooibos initial weight'!$A$5:$A$2000,0)),"")</f>
        <v>2.153</v>
      </c>
      <c r="M359" s="223">
        <f>IFERROR(L359-(TBIcalc!$H$9+TBIcalc!$H$10),"")</f>
        <v>1.9032</v>
      </c>
      <c r="N359" s="385">
        <f>AVERAGE(Ashed_controlls!$K$2:$K$11)</f>
        <v>5.5147656768714146</v>
      </c>
      <c r="O359" s="223">
        <f t="shared" si="26"/>
        <v>1.7982429796377832</v>
      </c>
      <c r="P359" s="223">
        <f>IFERROR(INDEX('Both teabags AfterWet'!$C$3:$C$840,MATCH(K359,'Both teabags AfterWet'!$A$3:$A$840,0)),"")</f>
        <v>1.613</v>
      </c>
      <c r="Q359" s="223">
        <f>IFERROR(IF(P359&gt;0,P359-(TBIcalc!$H$9),""),"")</f>
        <v>1.4623999999999999</v>
      </c>
      <c r="R359" s="223">
        <f>IFERROR(INDEX('Ashed teabags wet'!$K$2:$K$2000,MATCH(K359,'Ashed teabags wet'!$A$2:$A$2000,0)),"")</f>
        <v>4.7996041563577378</v>
      </c>
      <c r="S359" s="223">
        <f t="shared" si="27"/>
        <v>1.3922105888174243</v>
      </c>
      <c r="T359" s="224">
        <f>'WetLitterbags placem_collection'!E140</f>
        <v>42762</v>
      </c>
      <c r="U359" s="224">
        <f>IF('WetLitterbags placem_collection'!G140="","",'WetLitterbags placem_collection'!G140)</f>
        <v>42816</v>
      </c>
      <c r="V359" s="225">
        <f t="shared" si="25"/>
        <v>54</v>
      </c>
      <c r="W359" s="223">
        <f t="shared" si="28"/>
        <v>0.44080000000000008</v>
      </c>
      <c r="X359" s="223">
        <f t="shared" si="29"/>
        <v>0.40603239082035891</v>
      </c>
      <c r="Y359">
        <f>IFERROR(INDEX(Rainfall_Wet!$O$2:$O$217,MATCH(B359, Rainfall_Wet!$A$2:$A$217,0)),"")</f>
        <v>206.85140822299999</v>
      </c>
      <c r="Z359" s="228">
        <v>33.96</v>
      </c>
      <c r="AA359" s="228">
        <v>8.9200000000000017</v>
      </c>
      <c r="AB359" s="228">
        <v>57.12</v>
      </c>
      <c r="AC359" s="229" t="s">
        <v>2654</v>
      </c>
      <c r="AD359" s="228">
        <v>3.0720551996057202</v>
      </c>
      <c r="AE359">
        <f>IF('WetLitterbags placem_collection'!AB140="","",'WetLitterbags placem_collection'!AB140)</f>
        <v>2.8</v>
      </c>
      <c r="AF359">
        <f>IF('WetLitterbags placem_collection'!Z140="","",'WetLitterbags placem_collection'!Z140)</f>
        <v>26.4</v>
      </c>
      <c r="AG359" s="243" t="str">
        <f>IF('WetLitterbags placem_collection'!AA140="","",'WetLitterbags placem_collection'!AA140)</f>
        <v>G</v>
      </c>
      <c r="AH359">
        <f>IF('WetLitterbags placem_collection'!AC140="","",'WetLitterbags placem_collection'!AC140)</f>
        <v>1</v>
      </c>
      <c r="AI359" s="237">
        <f>AVERAGE('WetLitterbags placem_collection'!S140,'WetLitterbags placem_collection'!U140)</f>
        <v>15.5</v>
      </c>
      <c r="AJ359">
        <f>AVERAGE('WetLitterbags placem_collection'!R140,'WetLitterbags placem_collection'!T140)</f>
        <v>29.35</v>
      </c>
      <c r="AK359">
        <f>INDEX(Coordinates!$B$2:$B$197,MATCH(H359,Coordinates!$J$2:$J$197,0))</f>
        <v>-2.3485449790000001</v>
      </c>
      <c r="AL359">
        <f>INDEX(Coordinates!$C$2:$C$197,MATCH(H359,Coordinates!$J$2:$J$197,0))</f>
        <v>34.050146980000001</v>
      </c>
      <c r="AM359" t="str">
        <f>IF(ISNUMBER(SEARCH("C", 'WetLitterbags placem_collection'!$W140)),"YES","NO")</f>
        <v>NO</v>
      </c>
      <c r="AN359" t="str">
        <f>IF(ISNUMBER(SEARCH("H", 'WetLitterbags placem_collection'!$W140)),"YES","NO")</f>
        <v>NO</v>
      </c>
      <c r="AO359" t="str">
        <f>IF(ISNUMBER(SEARCH("R", 'WetLitterbags placem_collection'!$W140)),"YES","NO")</f>
        <v>NO</v>
      </c>
    </row>
    <row r="360" spans="1:41" ht="15" customHeight="1">
      <c r="A360" s="255" t="s">
        <v>2454</v>
      </c>
      <c r="B360" s="260">
        <f>'Dry_Litterbag Placem_Collection'!A141</f>
        <v>139</v>
      </c>
      <c r="C360" s="260" t="str">
        <f>'Dry_Litterbag Placem_Collection'!B141</f>
        <v xml:space="preserve">Mwantimba
</v>
      </c>
      <c r="D360" s="260" t="s">
        <v>2454</v>
      </c>
      <c r="E360" s="260" t="s">
        <v>20</v>
      </c>
      <c r="F360" s="260">
        <v>2</v>
      </c>
      <c r="G360" s="260" t="s">
        <v>3822</v>
      </c>
      <c r="H360" s="261" t="str">
        <f>'Dry_Litterbag Placem_Collection'!C141</f>
        <v>Wet_P2_T3</v>
      </c>
      <c r="I360" s="262" t="s">
        <v>2525</v>
      </c>
      <c r="J360" s="269" t="s">
        <v>298</v>
      </c>
      <c r="K360" s="221" t="str">
        <f>'WetLitterbags placem_collection'!M141</f>
        <v>R563</v>
      </c>
      <c r="L360" s="223">
        <f>IFERROR(INDEX('Green_rooibos initial weight'!$C$5:$C$2000,MATCH(K360, 'Green_rooibos initial weight'!$A$5:$A$2000,0)),"")</f>
        <v>2.1150000000000002</v>
      </c>
      <c r="M360" s="223">
        <f>IFERROR(L360-(TBIcalc!$H$9+TBIcalc!$H$10),"")</f>
        <v>1.8652000000000002</v>
      </c>
      <c r="N360" s="385">
        <f>AVERAGE(Ashed_controlls!$K$2:$K$11)</f>
        <v>5.5147656768714146</v>
      </c>
      <c r="O360" s="223">
        <f t="shared" si="26"/>
        <v>1.7623385905949946</v>
      </c>
      <c r="P360" s="223">
        <f>IFERROR(INDEX('Both teabags AfterWet'!$C$3:$C$840,MATCH(K360,'Both teabags AfterWet'!$A$3:$A$840,0)),"")</f>
        <v>2.5009999999999999</v>
      </c>
      <c r="Q360" s="223">
        <f>IFERROR(IF(P360&gt;0,P360-(TBIcalc!$H$9),""),"")</f>
        <v>2.3504</v>
      </c>
      <c r="R360" s="223">
        <f>IFERROR(INDEX('Ashed teabags wet'!$K$2:$K$2000,MATCH(K360,'Ashed teabags wet'!$A$2:$A$2000,0)),"")</f>
        <v>90.192212912765001</v>
      </c>
      <c r="S360" s="223">
        <f t="shared" si="27"/>
        <v>0.23052222769837138</v>
      </c>
      <c r="T360" s="224">
        <f>'WetLitterbags placem_collection'!E141</f>
        <v>42762</v>
      </c>
      <c r="U360" s="224">
        <f>IF('WetLitterbags placem_collection'!G141="","",'WetLitterbags placem_collection'!G141)</f>
        <v>42816</v>
      </c>
      <c r="V360" s="225">
        <f t="shared" si="25"/>
        <v>54</v>
      </c>
      <c r="W360" s="223">
        <f t="shared" si="28"/>
        <v>-0.48519999999999985</v>
      </c>
      <c r="X360" s="223">
        <f t="shared" si="29"/>
        <v>1.5318163628966233</v>
      </c>
      <c r="Y360">
        <f>IFERROR(INDEX(Rainfall_Wet!$O$2:$O$217,MATCH(B360, Rainfall_Wet!$A$2:$A$217,0)),"")</f>
        <v>206.85140822299999</v>
      </c>
      <c r="Z360" s="228">
        <v>33.96</v>
      </c>
      <c r="AA360" s="228">
        <v>8.9200000000000017</v>
      </c>
      <c r="AB360" s="228">
        <v>57.12</v>
      </c>
      <c r="AC360" s="229" t="s">
        <v>2654</v>
      </c>
      <c r="AD360" s="228">
        <v>4.0720551996057202</v>
      </c>
      <c r="AE360">
        <f>IF('WetLitterbags placem_collection'!AB141="","",'WetLitterbags placem_collection'!AB141)</f>
        <v>5.7</v>
      </c>
      <c r="AF360">
        <f>IF('WetLitterbags placem_collection'!Z141="","",'WetLitterbags placem_collection'!Z141)</f>
        <v>19.399999999999999</v>
      </c>
      <c r="AG360" s="243" t="str">
        <f>IF('WetLitterbags placem_collection'!AA141="","",'WetLitterbags placem_collection'!AA141)</f>
        <v>G</v>
      </c>
      <c r="AH360">
        <f>IF('WetLitterbags placem_collection'!AC141="","",'WetLitterbags placem_collection'!AC141)</f>
        <v>1</v>
      </c>
      <c r="AI360" s="237">
        <f>AVERAGE('WetLitterbags placem_collection'!S141,'WetLitterbags placem_collection'!U141)</f>
        <v>16.850000000000001</v>
      </c>
      <c r="AJ360">
        <f>AVERAGE('WetLitterbags placem_collection'!R141,'WetLitterbags placem_collection'!T141)</f>
        <v>28.65</v>
      </c>
      <c r="AK360">
        <f>INDEX(Coordinates!$B$2:$B$197,MATCH(H360,Coordinates!$J$2:$J$197,0))</f>
        <v>-2.3487209990000002</v>
      </c>
      <c r="AL360">
        <f>INDEX(Coordinates!$C$2:$C$197,MATCH(H360,Coordinates!$J$2:$J$197,0))</f>
        <v>34.050128039999997</v>
      </c>
      <c r="AM360" t="str">
        <f>IF(ISNUMBER(SEARCH("C", 'WetLitterbags placem_collection'!$W141)),"YES","NO")</f>
        <v>YES</v>
      </c>
      <c r="AN360" t="str">
        <f>IF(ISNUMBER(SEARCH("H", 'WetLitterbags placem_collection'!$W141)),"YES","NO")</f>
        <v>YES</v>
      </c>
      <c r="AO360" t="str">
        <f>IF(ISNUMBER(SEARCH("R", 'WetLitterbags placem_collection'!$W141)),"YES","NO")</f>
        <v>YES</v>
      </c>
    </row>
    <row r="361" spans="1:41" ht="15" customHeight="1">
      <c r="A361" s="255" t="s">
        <v>2454</v>
      </c>
      <c r="B361" s="260">
        <f>'Dry_Litterbag Placem_Collection'!A142</f>
        <v>140</v>
      </c>
      <c r="C361" s="260" t="str">
        <f>'Dry_Litterbag Placem_Collection'!B142</f>
        <v xml:space="preserve">Mwantimba
</v>
      </c>
      <c r="D361" s="260" t="s">
        <v>2454</v>
      </c>
      <c r="E361" s="260" t="s">
        <v>20</v>
      </c>
      <c r="F361" s="260">
        <v>2</v>
      </c>
      <c r="G361" s="260" t="s">
        <v>3822</v>
      </c>
      <c r="H361" s="261" t="str">
        <f>'Dry_Litterbag Placem_Collection'!C142</f>
        <v>Wet_P2_T4</v>
      </c>
      <c r="I361" s="262" t="s">
        <v>2525</v>
      </c>
      <c r="J361" s="269" t="s">
        <v>298</v>
      </c>
      <c r="K361" s="221" t="str">
        <f>'WetLitterbags placem_collection'!M142</f>
        <v>R535</v>
      </c>
      <c r="L361" s="223">
        <f>IFERROR(INDEX('Green_rooibos initial weight'!$C$5:$C$2000,MATCH(K361, 'Green_rooibos initial weight'!$A$5:$A$2000,0)),"")</f>
        <v>2.1259999999999999</v>
      </c>
      <c r="M361" s="223">
        <f>IFERROR(L361-(TBIcalc!$H$9+TBIcalc!$H$10),"")</f>
        <v>1.8761999999999999</v>
      </c>
      <c r="N361" s="385">
        <f>AVERAGE(Ashed_controlls!$K$2:$K$11)</f>
        <v>5.5147656768714146</v>
      </c>
      <c r="O361" s="223">
        <f t="shared" si="26"/>
        <v>1.7727319663705383</v>
      </c>
      <c r="P361" s="223">
        <f>IFERROR(INDEX('Both teabags AfterWet'!$C$3:$C$840,MATCH(K361,'Both teabags AfterWet'!$A$3:$A$840,0)),"")</f>
        <v>1.5517000000000001</v>
      </c>
      <c r="Q361" s="223">
        <f>IFERROR(IF(P361&gt;0,P361-(TBIcalc!$H$9),""),"")</f>
        <v>1.4011</v>
      </c>
      <c r="R361" s="223">
        <f>IFERROR(INDEX('Ashed teabags wet'!$K$2:$K$2000,MATCH(K361,'Ashed teabags wet'!$A$2:$A$2000,0)),"")</f>
        <v>6.5646594274426793</v>
      </c>
      <c r="S361" s="223">
        <f t="shared" si="27"/>
        <v>1.3091225567621005</v>
      </c>
      <c r="T361" s="224">
        <f>'WetLitterbags placem_collection'!E142</f>
        <v>42762</v>
      </c>
      <c r="U361" s="224">
        <f>IF('WetLitterbags placem_collection'!G142="","",'WetLitterbags placem_collection'!G142)</f>
        <v>42816</v>
      </c>
      <c r="V361" s="225">
        <f t="shared" si="25"/>
        <v>54</v>
      </c>
      <c r="W361" s="223">
        <f t="shared" si="28"/>
        <v>0.47509999999999986</v>
      </c>
      <c r="X361" s="223">
        <f t="shared" si="29"/>
        <v>0.46360940960843777</v>
      </c>
      <c r="Y361">
        <f>IFERROR(INDEX(Rainfall_Wet!$O$2:$O$217,MATCH(B361, Rainfall_Wet!$A$2:$A$217,0)),"")</f>
        <v>206.85140822299999</v>
      </c>
      <c r="Z361" s="228">
        <v>33.96</v>
      </c>
      <c r="AA361" s="228">
        <v>8.9200000000000017</v>
      </c>
      <c r="AB361" s="228">
        <v>57.12</v>
      </c>
      <c r="AC361" s="229" t="s">
        <v>2654</v>
      </c>
      <c r="AD361" s="228">
        <v>5.0720551996057202</v>
      </c>
      <c r="AE361">
        <f>IF('WetLitterbags placem_collection'!AB142="","",'WetLitterbags placem_collection'!AB142)</f>
        <v>1.4</v>
      </c>
      <c r="AF361">
        <f>IF('WetLitterbags placem_collection'!Z142="","",'WetLitterbags placem_collection'!Z142)</f>
        <v>33.4</v>
      </c>
      <c r="AG361" s="243" t="str">
        <f>IF('WetLitterbags placem_collection'!AA142="","",'WetLitterbags placem_collection'!AA142)</f>
        <v>G</v>
      </c>
      <c r="AH361">
        <f>IF('WetLitterbags placem_collection'!AC142="","",'WetLitterbags placem_collection'!AC142)</f>
        <v>1</v>
      </c>
      <c r="AI361" s="237">
        <f>AVERAGE('WetLitterbags placem_collection'!S142,'WetLitterbags placem_collection'!U142)</f>
        <v>11.55</v>
      </c>
      <c r="AJ361">
        <f>AVERAGE('WetLitterbags placem_collection'!R142,'WetLitterbags placem_collection'!T142)</f>
        <v>30.85</v>
      </c>
      <c r="AK361">
        <f>INDEX(Coordinates!$B$2:$B$197,MATCH(H361,Coordinates!$J$2:$J$197,0))</f>
        <v>-2.3486250270000002</v>
      </c>
      <c r="AL361">
        <f>INDEX(Coordinates!$C$2:$C$197,MATCH(H361,Coordinates!$J$2:$J$197,0))</f>
        <v>34.050070959999999</v>
      </c>
      <c r="AM361" t="str">
        <f>IF(ISNUMBER(SEARCH("C", 'WetLitterbags placem_collection'!$W142)),"YES","NO")</f>
        <v>NO</v>
      </c>
      <c r="AN361" t="str">
        <f>IF(ISNUMBER(SEARCH("H", 'WetLitterbags placem_collection'!$W142)),"YES","NO")</f>
        <v>NO</v>
      </c>
      <c r="AO361" t="str">
        <f>IF(ISNUMBER(SEARCH("R", 'WetLitterbags placem_collection'!$W142)),"YES","NO")</f>
        <v>YES</v>
      </c>
    </row>
    <row r="362" spans="1:41" ht="15" customHeight="1">
      <c r="A362" s="255" t="s">
        <v>2454</v>
      </c>
      <c r="B362" s="260">
        <f>'Dry_Litterbag Placem_Collection'!A143</f>
        <v>141</v>
      </c>
      <c r="C362" s="260" t="str">
        <f>'Dry_Litterbag Placem_Collection'!B143</f>
        <v xml:space="preserve">Mwantimba
</v>
      </c>
      <c r="D362" s="260" t="s">
        <v>2454</v>
      </c>
      <c r="E362" s="260" t="s">
        <v>20</v>
      </c>
      <c r="F362" s="260">
        <v>2</v>
      </c>
      <c r="G362" s="260" t="s">
        <v>3822</v>
      </c>
      <c r="H362" s="261" t="str">
        <f>'Dry_Litterbag Placem_Collection'!C143</f>
        <v>Wet_P2_T5</v>
      </c>
      <c r="I362" s="262" t="s">
        <v>2525</v>
      </c>
      <c r="J362" s="269" t="s">
        <v>298</v>
      </c>
      <c r="K362" s="221" t="str">
        <f>'WetLitterbags placem_collection'!M143</f>
        <v>R581</v>
      </c>
      <c r="L362" s="223">
        <f>IFERROR(INDEX('Green_rooibos initial weight'!$C$5:$C$2000,MATCH(K362, 'Green_rooibos initial weight'!$A$5:$A$2000,0)),"")</f>
        <v>2.069</v>
      </c>
      <c r="M362" s="223">
        <f>IFERROR(L362-(TBIcalc!$H$9+TBIcalc!$H$10),"")</f>
        <v>1.8191999999999999</v>
      </c>
      <c r="N362" s="385">
        <f>AVERAGE(Ashed_controlls!$K$2:$K$11)</f>
        <v>5.5147656768714146</v>
      </c>
      <c r="O362" s="223">
        <f t="shared" si="26"/>
        <v>1.7188753828063552</v>
      </c>
      <c r="P362" s="223">
        <f>IFERROR(INDEX('Both teabags AfterWet'!$C$3:$C$840,MATCH(K362,'Both teabags AfterWet'!$A$3:$A$840,0)),"")</f>
        <v>1.2849999999999999</v>
      </c>
      <c r="Q362" s="223">
        <f>IFERROR(IF(P362&gt;0,P362-(TBIcalc!$H$9),""),"")</f>
        <v>1.1343999999999999</v>
      </c>
      <c r="R362" s="223">
        <f>IFERROR(INDEX('Ashed teabags wet'!$K$2:$K$2000,MATCH(K362,'Ashed teabags wet'!$A$2:$A$2000,0)),"")</f>
        <v>87.823960880195301</v>
      </c>
      <c r="S362" s="223">
        <f t="shared" si="27"/>
        <v>0.13812498777506443</v>
      </c>
      <c r="T362" s="224">
        <f>'WetLitterbags placem_collection'!E143</f>
        <v>42762</v>
      </c>
      <c r="U362" s="224">
        <f>IF('WetLitterbags placem_collection'!G143="","",'WetLitterbags placem_collection'!G143)</f>
        <v>42816</v>
      </c>
      <c r="V362" s="225">
        <f t="shared" si="25"/>
        <v>54</v>
      </c>
      <c r="W362" s="223">
        <f t="shared" si="28"/>
        <v>0.68480000000000008</v>
      </c>
      <c r="X362" s="223">
        <f t="shared" si="29"/>
        <v>1.5807503950312909</v>
      </c>
      <c r="Y362">
        <f>IFERROR(INDEX(Rainfall_Wet!$O$2:$O$217,MATCH(B362, Rainfall_Wet!$A$2:$A$217,0)),"")</f>
        <v>206.85140822299999</v>
      </c>
      <c r="Z362" s="228">
        <v>33.96</v>
      </c>
      <c r="AA362" s="228">
        <v>8.9200000000000017</v>
      </c>
      <c r="AB362" s="228">
        <v>57.12</v>
      </c>
      <c r="AC362" s="229" t="s">
        <v>2654</v>
      </c>
      <c r="AD362" s="228">
        <v>6.0720551996057202</v>
      </c>
      <c r="AE362">
        <f>IF('WetLitterbags placem_collection'!AB143="","",'WetLitterbags placem_collection'!AB143)</f>
        <v>1.4</v>
      </c>
      <c r="AF362">
        <f>IF('WetLitterbags placem_collection'!Z143="","",'WetLitterbags placem_collection'!Z143)</f>
        <v>28.4</v>
      </c>
      <c r="AG362" s="243" t="str">
        <f>IF('WetLitterbags placem_collection'!AA143="","",'WetLitterbags placem_collection'!AA143)</f>
        <v>G</v>
      </c>
      <c r="AH362">
        <f>IF('WetLitterbags placem_collection'!AC143="","",'WetLitterbags placem_collection'!AC143)</f>
        <v>1</v>
      </c>
      <c r="AI362" s="237">
        <f>AVERAGE('WetLitterbags placem_collection'!S143,'WetLitterbags placem_collection'!U143)</f>
        <v>9.6999999999999993</v>
      </c>
      <c r="AJ362">
        <f>AVERAGE('WetLitterbags placem_collection'!R143,'WetLitterbags placem_collection'!T143)</f>
        <v>30.75</v>
      </c>
      <c r="AK362">
        <f>INDEX(Coordinates!$B$2:$B$197,MATCH(H362,Coordinates!$J$2:$J$197,0))</f>
        <v>-2.3486060000000002</v>
      </c>
      <c r="AL362">
        <f>INDEX(Coordinates!$C$2:$C$197,MATCH(H362,Coordinates!$J$2:$J$197,0))</f>
        <v>34.050010020000002</v>
      </c>
      <c r="AM362" t="str">
        <f>IF(ISNUMBER(SEARCH("C", 'WetLitterbags placem_collection'!$W143)),"YES","NO")</f>
        <v>YES</v>
      </c>
      <c r="AN362" t="str">
        <f>IF(ISNUMBER(SEARCH("H", 'WetLitterbags placem_collection'!$W143)),"YES","NO")</f>
        <v>YES</v>
      </c>
      <c r="AO362" t="str">
        <f>IF(ISNUMBER(SEARCH("R", 'WetLitterbags placem_collection'!$W143)),"YES","NO")</f>
        <v>YES</v>
      </c>
    </row>
    <row r="363" spans="1:41" ht="15" customHeight="1">
      <c r="A363" s="255" t="s">
        <v>2454</v>
      </c>
      <c r="B363" s="260">
        <f>'Dry_Litterbag Placem_Collection'!A144</f>
        <v>142</v>
      </c>
      <c r="C363" s="260" t="str">
        <f>'Dry_Litterbag Placem_Collection'!B144</f>
        <v xml:space="preserve">Mwantimba
</v>
      </c>
      <c r="D363" s="260" t="s">
        <v>2454</v>
      </c>
      <c r="E363" s="260" t="s">
        <v>20</v>
      </c>
      <c r="F363" s="260">
        <v>2</v>
      </c>
      <c r="G363" s="260" t="s">
        <v>3822</v>
      </c>
      <c r="H363" s="261" t="str">
        <f>'Dry_Litterbag Placem_Collection'!C144</f>
        <v>Wet_P2_T6</v>
      </c>
      <c r="I363" s="262" t="s">
        <v>2525</v>
      </c>
      <c r="J363" s="269" t="s">
        <v>298</v>
      </c>
      <c r="K363" s="221" t="str">
        <f>'WetLitterbags placem_collection'!M144</f>
        <v>R460</v>
      </c>
      <c r="L363" s="223">
        <f>IFERROR(INDEX('Green_rooibos initial weight'!$C$5:$C$2000,MATCH(K363, 'Green_rooibos initial weight'!$A$5:$A$2000,0)),"")</f>
        <v>2.1659999999999999</v>
      </c>
      <c r="M363" s="223">
        <f>IFERROR(L363-(TBIcalc!$H$9+TBIcalc!$H$10),"")</f>
        <v>1.9161999999999999</v>
      </c>
      <c r="N363" s="385">
        <f>AVERAGE(Ashed_controlls!$K$2:$K$11)</f>
        <v>5.5147656768714146</v>
      </c>
      <c r="O363" s="223">
        <f t="shared" si="26"/>
        <v>1.8105260600997899</v>
      </c>
      <c r="P363" s="223">
        <f>IFERROR(INDEX('Both teabags AfterWet'!$C$3:$C$840,MATCH(K363,'Both teabags AfterWet'!$A$3:$A$840,0)),"")</f>
        <v>0.14299999999999999</v>
      </c>
      <c r="Q363" s="223">
        <f>IFERROR(IF(P363&gt;0,P363-(TBIcalc!$H$9),""),"")</f>
        <v>-7.6000000000000234E-3</v>
      </c>
      <c r="R363" s="223">
        <f>IFERROR(INDEX('Ashed teabags wet'!$K$2:$K$2000,MATCH(K363,'Ashed teabags wet'!$A$2:$A$2000,0)),"")</f>
        <v>0</v>
      </c>
      <c r="S363" s="223">
        <f t="shared" si="27"/>
        <v>-7.6000000000000234E-3</v>
      </c>
      <c r="T363" s="224">
        <f>'WetLitterbags placem_collection'!E144</f>
        <v>42762</v>
      </c>
      <c r="U363" s="224">
        <f>IF('WetLitterbags placem_collection'!G144="","",'WetLitterbags placem_collection'!G144)</f>
        <v>42816</v>
      </c>
      <c r="V363" s="225">
        <f t="shared" si="25"/>
        <v>54</v>
      </c>
      <c r="W363" s="223">
        <f t="shared" si="28"/>
        <v>1.9238</v>
      </c>
      <c r="X363" s="223">
        <f t="shared" si="29"/>
        <v>1.8181260600997899</v>
      </c>
      <c r="Y363">
        <f>IFERROR(INDEX(Rainfall_Wet!$O$2:$O$217,MATCH(B363, Rainfall_Wet!$A$2:$A$217,0)),"")</f>
        <v>206.85140822299999</v>
      </c>
      <c r="Z363" s="228">
        <v>33.96</v>
      </c>
      <c r="AA363" s="228">
        <v>8.9200000000000017</v>
      </c>
      <c r="AB363" s="228">
        <v>57.12</v>
      </c>
      <c r="AC363" s="229" t="s">
        <v>2654</v>
      </c>
      <c r="AD363" s="228">
        <v>7.0720551996057202</v>
      </c>
      <c r="AE363">
        <f>IF('WetLitterbags placem_collection'!AB144="","",'WetLitterbags placem_collection'!AB144)</f>
        <v>1.7</v>
      </c>
      <c r="AF363">
        <f>IF('WetLitterbags placem_collection'!Z144="","",'WetLitterbags placem_collection'!Z144)</f>
        <v>33.799999999999997</v>
      </c>
      <c r="AG363" s="243" t="str">
        <f>IF('WetLitterbags placem_collection'!AA144="","",'WetLitterbags placem_collection'!AA144)</f>
        <v>G</v>
      </c>
      <c r="AH363">
        <f>IF('WetLitterbags placem_collection'!AC144="","",'WetLitterbags placem_collection'!AC144)</f>
        <v>1</v>
      </c>
      <c r="AI363" s="237">
        <f>AVERAGE('WetLitterbags placem_collection'!S144,'WetLitterbags placem_collection'!U144)</f>
        <v>15.5</v>
      </c>
      <c r="AJ363">
        <f>AVERAGE('WetLitterbags placem_collection'!R144,'WetLitterbags placem_collection'!T144)</f>
        <v>28.75</v>
      </c>
      <c r="AK363">
        <f>INDEX(Coordinates!$B$2:$B$197,MATCH(H363,Coordinates!$J$2:$J$197,0))</f>
        <v>-2.348618992</v>
      </c>
      <c r="AL363">
        <f>INDEX(Coordinates!$C$2:$C$197,MATCH(H363,Coordinates!$J$2:$J$197,0))</f>
        <v>34.049996030000003</v>
      </c>
      <c r="AM363" t="str">
        <f>IF(ISNUMBER(SEARCH("C", 'WetLitterbags placem_collection'!$W144)),"YES","NO")</f>
        <v>NO</v>
      </c>
      <c r="AN363" t="str">
        <f>IF(ISNUMBER(SEARCH("H", 'WetLitterbags placem_collection'!$W144)),"YES","NO")</f>
        <v>YES</v>
      </c>
      <c r="AO363" t="str">
        <f>IF(ISNUMBER(SEARCH("R", 'WetLitterbags placem_collection'!$W144)),"YES","NO")</f>
        <v>NO</v>
      </c>
    </row>
    <row r="364" spans="1:41" ht="15" customHeight="1">
      <c r="A364" s="255" t="s">
        <v>2454</v>
      </c>
      <c r="B364" s="260">
        <f>'Dry_Litterbag Placem_Collection'!A145</f>
        <v>143</v>
      </c>
      <c r="C364" s="260" t="str">
        <f>'Dry_Litterbag Placem_Collection'!B145</f>
        <v xml:space="preserve">Mwantimba
</v>
      </c>
      <c r="D364" s="260" t="s">
        <v>2454</v>
      </c>
      <c r="E364" s="260" t="s">
        <v>20</v>
      </c>
      <c r="F364" s="260">
        <v>2</v>
      </c>
      <c r="G364" s="260" t="s">
        <v>3822</v>
      </c>
      <c r="H364" s="261" t="str">
        <f>'Dry_Litterbag Placem_Collection'!C145</f>
        <v>Wet_P2_T7</v>
      </c>
      <c r="I364" s="262" t="s">
        <v>2525</v>
      </c>
      <c r="J364" s="269" t="s">
        <v>298</v>
      </c>
      <c r="K364" s="221" t="str">
        <f>'WetLitterbags placem_collection'!M145</f>
        <v>R456</v>
      </c>
      <c r="L364" s="223">
        <f>IFERROR(INDEX('Green_rooibos initial weight'!$C$5:$C$2000,MATCH(K364, 'Green_rooibos initial weight'!$A$5:$A$2000,0)),"")</f>
        <v>2.23</v>
      </c>
      <c r="M364" s="223">
        <f>IFERROR(L364-(TBIcalc!$H$9+TBIcalc!$H$10),"")</f>
        <v>1.9802</v>
      </c>
      <c r="N364" s="385">
        <f>AVERAGE(Ashed_controlls!$K$2:$K$11)</f>
        <v>5.5147656768714146</v>
      </c>
      <c r="O364" s="223">
        <f t="shared" si="26"/>
        <v>1.8709966100665922</v>
      </c>
      <c r="P364" s="223">
        <f>IFERROR(INDEX('Both teabags AfterWet'!$C$3:$C$840,MATCH(K364,'Both teabags AfterWet'!$A$3:$A$840,0)),"")</f>
        <v>1.6178999999999999</v>
      </c>
      <c r="Q364" s="223">
        <f>IFERROR(IF(P364&gt;0,P364-(TBIcalc!$H$9),""),"")</f>
        <v>1.4672999999999998</v>
      </c>
      <c r="R364" s="223">
        <f>IFERROR(INDEX('Ashed teabags wet'!$K$2:$K$2000,MATCH(K364,'Ashed teabags wet'!$A$2:$A$2000,0)),"")</f>
        <v>1.7996108949419758</v>
      </c>
      <c r="S364" s="223">
        <f t="shared" si="27"/>
        <v>1.4408943093385163</v>
      </c>
      <c r="T364" s="224">
        <f>'WetLitterbags placem_collection'!E145</f>
        <v>42762</v>
      </c>
      <c r="U364" s="224">
        <f>IF('WetLitterbags placem_collection'!G145="","",'WetLitterbags placem_collection'!G145)</f>
        <v>42816</v>
      </c>
      <c r="V364" s="225">
        <f t="shared" si="25"/>
        <v>54</v>
      </c>
      <c r="W364" s="223">
        <f t="shared" si="28"/>
        <v>0.51290000000000013</v>
      </c>
      <c r="X364" s="223">
        <f t="shared" si="29"/>
        <v>0.43010230072807598</v>
      </c>
      <c r="Y364">
        <f>IFERROR(INDEX(Rainfall_Wet!$O$2:$O$217,MATCH(B364, Rainfall_Wet!$A$2:$A$217,0)),"")</f>
        <v>206.85140822299999</v>
      </c>
      <c r="Z364" s="228">
        <v>33.96</v>
      </c>
      <c r="AA364" s="228">
        <v>8.9200000000000017</v>
      </c>
      <c r="AB364" s="228">
        <v>57.12</v>
      </c>
      <c r="AC364" s="229" t="s">
        <v>2654</v>
      </c>
      <c r="AD364" s="228">
        <v>8.0720551996057193</v>
      </c>
      <c r="AE364">
        <f>IF('WetLitterbags placem_collection'!AB145="","",'WetLitterbags placem_collection'!AB145)</f>
        <v>2</v>
      </c>
      <c r="AF364">
        <f>IF('WetLitterbags placem_collection'!Z145="","",'WetLitterbags placem_collection'!Z145)</f>
        <v>23.4</v>
      </c>
      <c r="AG364" s="243" t="str">
        <f>IF('WetLitterbags placem_collection'!AA145="","",'WetLitterbags placem_collection'!AA145)</f>
        <v>G</v>
      </c>
      <c r="AH364">
        <f>IF('WetLitterbags placem_collection'!AC145="","",'WetLitterbags placem_collection'!AC145)</f>
        <v>1</v>
      </c>
      <c r="AI364" s="237">
        <f>AVERAGE('WetLitterbags placem_collection'!S145,'WetLitterbags placem_collection'!U145)</f>
        <v>14.5</v>
      </c>
      <c r="AJ364">
        <f>AVERAGE('WetLitterbags placem_collection'!R145,'WetLitterbags placem_collection'!T145)</f>
        <v>30.9</v>
      </c>
      <c r="AK364">
        <f>INDEX(Coordinates!$B$2:$B$197,MATCH(H364,Coordinates!$J$2:$J$197,0))</f>
        <v>-2.3484970349999998</v>
      </c>
      <c r="AL364">
        <f>INDEX(Coordinates!$C$2:$C$197,MATCH(H364,Coordinates!$J$2:$J$197,0))</f>
        <v>34.049979010000001</v>
      </c>
      <c r="AM364" t="str">
        <f>IF(ISNUMBER(SEARCH("C", 'WetLitterbags placem_collection'!$W145)),"YES","NO")</f>
        <v>NO</v>
      </c>
      <c r="AN364" t="str">
        <f>IF(ISNUMBER(SEARCH("H", 'WetLitterbags placem_collection'!$W145)),"YES","NO")</f>
        <v>NO</v>
      </c>
      <c r="AO364" t="str">
        <f>IF(ISNUMBER(SEARCH("R", 'WetLitterbags placem_collection'!$W145)),"YES","NO")</f>
        <v>NO</v>
      </c>
    </row>
    <row r="365" spans="1:41" ht="15" customHeight="1">
      <c r="A365" s="255" t="s">
        <v>2454</v>
      </c>
      <c r="B365" s="260">
        <f>'Dry_Litterbag Placem_Collection'!A146</f>
        <v>144</v>
      </c>
      <c r="C365" s="260" t="str">
        <f>'Dry_Litterbag Placem_Collection'!B146</f>
        <v xml:space="preserve">Mwantimba
</v>
      </c>
      <c r="D365" s="260" t="s">
        <v>2454</v>
      </c>
      <c r="E365" s="260" t="s">
        <v>20</v>
      </c>
      <c r="F365" s="260">
        <v>2</v>
      </c>
      <c r="G365" s="260" t="s">
        <v>3822</v>
      </c>
      <c r="H365" s="261" t="str">
        <f>'Dry_Litterbag Placem_Collection'!C146</f>
        <v>Wet_P2_T8</v>
      </c>
      <c r="I365" s="262" t="s">
        <v>2525</v>
      </c>
      <c r="J365" s="269" t="s">
        <v>298</v>
      </c>
      <c r="K365" s="221" t="str">
        <f>'WetLitterbags placem_collection'!M146</f>
        <v>R571</v>
      </c>
      <c r="L365" s="223">
        <f>IFERROR(INDEX('Green_rooibos initial weight'!$C$5:$C$2000,MATCH(K365, 'Green_rooibos initial weight'!$A$5:$A$2000,0)),"")</f>
        <v>2.117</v>
      </c>
      <c r="M365" s="223">
        <f>IFERROR(L365-(TBIcalc!$H$9+TBIcalc!$H$10),"")</f>
        <v>1.8672</v>
      </c>
      <c r="N365" s="385">
        <f>AVERAGE(Ashed_controlls!$K$2:$K$11)</f>
        <v>5.5147656768714146</v>
      </c>
      <c r="O365" s="223">
        <f t="shared" si="26"/>
        <v>1.764228295281457</v>
      </c>
      <c r="P365" s="223">
        <f>IFERROR(INDEX('Both teabags AfterWet'!$C$3:$C$840,MATCH(K365,'Both teabags AfterWet'!$A$3:$A$840,0)),"")</f>
        <v>1.365</v>
      </c>
      <c r="Q365" s="223">
        <f>IFERROR(IF(P365&gt;0,P365-(TBIcalc!$H$9),""),"")</f>
        <v>1.2143999999999999</v>
      </c>
      <c r="R365" s="223">
        <f>IFERROR(INDEX('Ashed teabags wet'!$K$2:$K$2000,MATCH(K365,'Ashed teabags wet'!$A$2:$A$2000,0)),"")</f>
        <v>77.783132530120469</v>
      </c>
      <c r="S365" s="223">
        <f t="shared" si="27"/>
        <v>0.26980163855421702</v>
      </c>
      <c r="T365" s="224">
        <f>'WetLitterbags placem_collection'!E146</f>
        <v>42762</v>
      </c>
      <c r="U365" s="224">
        <f>IF('WetLitterbags placem_collection'!G146="","",'WetLitterbags placem_collection'!G146)</f>
        <v>42816</v>
      </c>
      <c r="V365" s="225">
        <f t="shared" si="25"/>
        <v>54</v>
      </c>
      <c r="W365" s="223">
        <f t="shared" si="28"/>
        <v>0.65280000000000005</v>
      </c>
      <c r="X365" s="223">
        <f t="shared" si="29"/>
        <v>1.49442665672724</v>
      </c>
      <c r="Y365">
        <f>IFERROR(INDEX(Rainfall_Wet!$O$2:$O$217,MATCH(B365, Rainfall_Wet!$A$2:$A$217,0)),"")</f>
        <v>206.85140822299999</v>
      </c>
      <c r="Z365" s="228">
        <v>33.96</v>
      </c>
      <c r="AA365" s="228">
        <v>8.9200000000000017</v>
      </c>
      <c r="AB365" s="228">
        <v>57.12</v>
      </c>
      <c r="AC365" s="229" t="s">
        <v>2654</v>
      </c>
      <c r="AD365" s="228">
        <v>9.0720551996057193</v>
      </c>
      <c r="AE365">
        <f>IF('WetLitterbags placem_collection'!AB146="","",'WetLitterbags placem_collection'!AB146)</f>
        <v>2.5</v>
      </c>
      <c r="AF365">
        <f>IF('WetLitterbags placem_collection'!Z146="","",'WetLitterbags placem_collection'!Z146)</f>
        <v>19.8</v>
      </c>
      <c r="AG365" s="243" t="str">
        <f>IF('WetLitterbags placem_collection'!AA146="","",'WetLitterbags placem_collection'!AA146)</f>
        <v>G</v>
      </c>
      <c r="AH365">
        <f>IF('WetLitterbags placem_collection'!AC146="","",'WetLitterbags placem_collection'!AC146)</f>
        <v>1</v>
      </c>
      <c r="AI365" s="237">
        <f>AVERAGE('WetLitterbags placem_collection'!S146,'WetLitterbags placem_collection'!U146)</f>
        <v>17.149999999999999</v>
      </c>
      <c r="AJ365">
        <f>AVERAGE('WetLitterbags placem_collection'!R146,'WetLitterbags placem_collection'!T146)</f>
        <v>31.4</v>
      </c>
      <c r="AK365">
        <f>INDEX(Coordinates!$B$2:$B$197,MATCH(H365,Coordinates!$J$2:$J$197,0))</f>
        <v>-2.3486560399999998</v>
      </c>
      <c r="AL365">
        <f>INDEX(Coordinates!$C$2:$C$197,MATCH(H365,Coordinates!$J$2:$J$197,0))</f>
        <v>34.049895020000001</v>
      </c>
      <c r="AM365" t="str">
        <f>IF(ISNUMBER(SEARCH("C", 'WetLitterbags placem_collection'!$W146)),"YES","NO")</f>
        <v>NO</v>
      </c>
      <c r="AN365" t="str">
        <f>IF(ISNUMBER(SEARCH("H", 'WetLitterbags placem_collection'!$W146)),"YES","NO")</f>
        <v>YES</v>
      </c>
      <c r="AO365" t="str">
        <f>IF(ISNUMBER(SEARCH("R", 'WetLitterbags placem_collection'!$W146)),"YES","NO")</f>
        <v>NO</v>
      </c>
    </row>
    <row r="366" spans="1:41" ht="15" customHeight="1">
      <c r="A366" s="255" t="s">
        <v>2454</v>
      </c>
      <c r="B366" s="260">
        <f>'Dry_Litterbag Placem_Collection'!A147</f>
        <v>145</v>
      </c>
      <c r="C366" s="260" t="str">
        <f>'Dry_Litterbag Placem_Collection'!B147</f>
        <v xml:space="preserve">Mwantimba
</v>
      </c>
      <c r="D366" s="260" t="s">
        <v>2454</v>
      </c>
      <c r="E366" s="260" t="s">
        <v>20</v>
      </c>
      <c r="F366" s="260">
        <v>3</v>
      </c>
      <c r="G366" s="260" t="s">
        <v>3823</v>
      </c>
      <c r="H366" s="261" t="str">
        <f>'Dry_Litterbag Placem_Collection'!C147</f>
        <v>Wet_P3_T1</v>
      </c>
      <c r="I366" s="262" t="s">
        <v>2525</v>
      </c>
      <c r="J366" s="269" t="s">
        <v>298</v>
      </c>
      <c r="K366" s="221" t="str">
        <f>'WetLitterbags placem_collection'!M147</f>
        <v>R27</v>
      </c>
      <c r="L366" s="223">
        <f>IFERROR(INDEX('Green_rooibos initial weight'!$C$5:$C$2000,MATCH(K366, 'Green_rooibos initial weight'!$A$5:$A$2000,0)),"")</f>
        <v>2.0550000000000002</v>
      </c>
      <c r="M366" s="223">
        <f>IFERROR(L366-(TBIcalc!$H$9+TBIcalc!$H$10),"")</f>
        <v>1.8052000000000001</v>
      </c>
      <c r="N366" s="385">
        <f>AVERAGE(Ashed_controlls!$K$2:$K$11)</f>
        <v>5.5147656768714146</v>
      </c>
      <c r="O366" s="223">
        <f t="shared" si="26"/>
        <v>1.7056474500011174</v>
      </c>
      <c r="P366" s="223">
        <f>IFERROR(INDEX('Both teabags AfterWet'!$C$3:$C$840,MATCH(K366,'Both teabags AfterWet'!$A$3:$A$840,0)),"")</f>
        <v>1.6830000000000001</v>
      </c>
      <c r="Q366" s="223">
        <f>IFERROR(IF(P366&gt;0,P366-(TBIcalc!$H$9),""),"")</f>
        <v>1.5324</v>
      </c>
      <c r="R366" s="223">
        <f>IFERROR(INDEX('Ashed teabags wet'!$K$2:$K$2000,MATCH(K366,'Ashed teabags wet'!$A$2:$A$2000,0)),"")</f>
        <v>8.5603112840463975</v>
      </c>
      <c r="S366" s="223">
        <f t="shared" si="27"/>
        <v>1.4012217898832731</v>
      </c>
      <c r="T366" s="224">
        <f>'WetLitterbags placem_collection'!E147</f>
        <v>42762</v>
      </c>
      <c r="U366" s="224">
        <f>IF('WetLitterbags placem_collection'!G147="","",'WetLitterbags placem_collection'!G147)</f>
        <v>42815</v>
      </c>
      <c r="V366" s="225">
        <f t="shared" si="25"/>
        <v>53</v>
      </c>
      <c r="W366" s="223">
        <f t="shared" si="28"/>
        <v>0.27280000000000015</v>
      </c>
      <c r="X366" s="223">
        <f t="shared" si="29"/>
        <v>0.30442566011784433</v>
      </c>
      <c r="Y366">
        <f>IFERROR(INDEX(Rainfall_Wet!$O$2:$O$217,MATCH(B366, Rainfall_Wet!$A$2:$A$217,0)),"")</f>
        <v>205.76139209600001</v>
      </c>
      <c r="Z366" s="228">
        <v>39.96</v>
      </c>
      <c r="AA366" s="228">
        <v>12.920000000000002</v>
      </c>
      <c r="AB366" s="228">
        <v>47.12</v>
      </c>
      <c r="AC366" s="229" t="s">
        <v>2658</v>
      </c>
      <c r="AD366" s="228">
        <v>1.6549531789058647</v>
      </c>
      <c r="AE366">
        <f>IF('WetLitterbags placem_collection'!AB147="","",'WetLitterbags placem_collection'!AB147)</f>
        <v>3.95</v>
      </c>
      <c r="AF366">
        <f>IF('WetLitterbags placem_collection'!Z147="","",'WetLitterbags placem_collection'!Z147)</f>
        <v>13</v>
      </c>
      <c r="AG366" s="243" t="str">
        <f>IF('WetLitterbags placem_collection'!AA147="","",'WetLitterbags placem_collection'!AA147)</f>
        <v>O</v>
      </c>
      <c r="AH366">
        <f>IF('WetLitterbags placem_collection'!AC147="","",'WetLitterbags placem_collection'!AC147)</f>
        <v>0</v>
      </c>
      <c r="AI366" s="237">
        <f>AVERAGE('WetLitterbags placem_collection'!S147,'WetLitterbags placem_collection'!U147)</f>
        <v>27.200000000000003</v>
      </c>
      <c r="AJ366">
        <f>AVERAGE('WetLitterbags placem_collection'!R147,'WetLitterbags placem_collection'!T147)</f>
        <v>30.9</v>
      </c>
      <c r="AK366">
        <f>INDEX(Coordinates!$B$2:$B$197,MATCH(H366,Coordinates!$J$2:$J$197,0))</f>
        <v>-2.3675269729999999</v>
      </c>
      <c r="AL366">
        <f>INDEX(Coordinates!$C$2:$C$197,MATCH(H366,Coordinates!$J$2:$J$197,0))</f>
        <v>34.06035799</v>
      </c>
      <c r="AM366" t="str">
        <f>IF(ISNUMBER(SEARCH("C", 'WetLitterbags placem_collection'!$W147)),"YES","NO")</f>
        <v>NO</v>
      </c>
      <c r="AN366" t="str">
        <f>IF(ISNUMBER(SEARCH("H", 'WetLitterbags placem_collection'!$W147)),"YES","NO")</f>
        <v>NO</v>
      </c>
      <c r="AO366" t="str">
        <f>IF(ISNUMBER(SEARCH("R", 'WetLitterbags placem_collection'!$W147)),"YES","NO")</f>
        <v>NO</v>
      </c>
    </row>
    <row r="367" spans="1:41" ht="15" customHeight="1">
      <c r="A367" s="255" t="s">
        <v>2454</v>
      </c>
      <c r="B367" s="260">
        <f>'Dry_Litterbag Placem_Collection'!A148</f>
        <v>146</v>
      </c>
      <c r="C367" s="260" t="str">
        <f>'Dry_Litterbag Placem_Collection'!B148</f>
        <v xml:space="preserve">Mwantimba
</v>
      </c>
      <c r="D367" s="260" t="s">
        <v>2454</v>
      </c>
      <c r="E367" s="260" t="s">
        <v>20</v>
      </c>
      <c r="F367" s="260">
        <v>3</v>
      </c>
      <c r="G367" s="260" t="s">
        <v>3823</v>
      </c>
      <c r="H367" s="261" t="str">
        <f>'Dry_Litterbag Placem_Collection'!C148</f>
        <v>Wet_P3_T2</v>
      </c>
      <c r="I367" s="262" t="s">
        <v>2525</v>
      </c>
      <c r="J367" s="269" t="s">
        <v>298</v>
      </c>
      <c r="K367" s="221" t="str">
        <f>'WetLitterbags placem_collection'!M148</f>
        <v>R492</v>
      </c>
      <c r="L367" s="223">
        <f>IFERROR(INDEX('Green_rooibos initial weight'!$C$5:$C$2000,MATCH(K367, 'Green_rooibos initial weight'!$A$5:$A$2000,0)),"")</f>
        <v>2.2519999999999998</v>
      </c>
      <c r="M367" s="223">
        <f>IFERROR(L367-(TBIcalc!$H$9+TBIcalc!$H$10),"")</f>
        <v>2.0021999999999998</v>
      </c>
      <c r="N367" s="385">
        <f>AVERAGE(Ashed_controlls!$K$2:$K$11)</f>
        <v>5.5147656768714146</v>
      </c>
      <c r="O367" s="223">
        <f t="shared" si="26"/>
        <v>1.8917833616176802</v>
      </c>
      <c r="P367" s="223">
        <f>IFERROR(INDEX('Both teabags AfterWet'!$C$3:$C$840,MATCH(K367,'Both teabags AfterWet'!$A$3:$A$840,0)),"")</f>
        <v>1.6579999999999999</v>
      </c>
      <c r="Q367" s="223">
        <f>IFERROR(IF(P367&gt;0,P367-(TBIcalc!$H$9),""),"")</f>
        <v>1.5073999999999999</v>
      </c>
      <c r="R367" s="223">
        <f>IFERROR(INDEX('Ashed teabags wet'!$K$2:$K$2000,MATCH(K367,'Ashed teabags wet'!$A$2:$A$2000,0)),"")</f>
        <v>4.0599323344614637</v>
      </c>
      <c r="S367" s="223">
        <f t="shared" si="27"/>
        <v>1.4462005799903277</v>
      </c>
      <c r="T367" s="224">
        <f>'WetLitterbags placem_collection'!E148</f>
        <v>42762</v>
      </c>
      <c r="U367" s="224">
        <f>IF('WetLitterbags placem_collection'!G148="","",'WetLitterbags placem_collection'!G148)</f>
        <v>42815</v>
      </c>
      <c r="V367" s="225">
        <f t="shared" si="25"/>
        <v>53</v>
      </c>
      <c r="W367" s="223">
        <f t="shared" si="28"/>
        <v>0.49479999999999991</v>
      </c>
      <c r="X367" s="223">
        <f t="shared" si="29"/>
        <v>0.44558278162735254</v>
      </c>
      <c r="Y367">
        <f>IFERROR(INDEX(Rainfall_Wet!$O$2:$O$217,MATCH(B367, Rainfall_Wet!$A$2:$A$217,0)),"")</f>
        <v>205.76139209600001</v>
      </c>
      <c r="Z367" s="228">
        <v>39.96</v>
      </c>
      <c r="AA367" s="228">
        <v>12.920000000000002</v>
      </c>
      <c r="AB367" s="228">
        <v>47.12</v>
      </c>
      <c r="AC367" s="229" t="s">
        <v>2658</v>
      </c>
      <c r="AD367" s="228">
        <v>2.6549531789058598</v>
      </c>
      <c r="AE367">
        <f>IF('WetLitterbags placem_collection'!AB148="","",'WetLitterbags placem_collection'!AB148)</f>
        <v>2.75</v>
      </c>
      <c r="AF367">
        <f>IF('WetLitterbags placem_collection'!Z148="","",'WetLitterbags placem_collection'!Z148)</f>
        <v>17.7</v>
      </c>
      <c r="AG367" s="243" t="str">
        <f>IF('WetLitterbags placem_collection'!AA148="","",'WetLitterbags placem_collection'!AA148)</f>
        <v>O</v>
      </c>
      <c r="AH367">
        <f>IF('WetLitterbags placem_collection'!AC148="","",'WetLitterbags placem_collection'!AC148)</f>
        <v>1</v>
      </c>
      <c r="AI367" s="237">
        <f>AVERAGE('WetLitterbags placem_collection'!S148,'WetLitterbags placem_collection'!U148)</f>
        <v>22.65</v>
      </c>
      <c r="AJ367">
        <f>AVERAGE('WetLitterbags placem_collection'!R148,'WetLitterbags placem_collection'!T148)</f>
        <v>30.549999999999997</v>
      </c>
      <c r="AK367">
        <f>INDEX(Coordinates!$B$2:$B$197,MATCH(H367,Coordinates!$J$2:$J$197,0))</f>
        <v>-2.3675380370000001</v>
      </c>
      <c r="AL367">
        <f>INDEX(Coordinates!$C$2:$C$197,MATCH(H367,Coordinates!$J$2:$J$197,0))</f>
        <v>34.060381960000001</v>
      </c>
      <c r="AM367" t="str">
        <f>IF(ISNUMBER(SEARCH("C", 'WetLitterbags placem_collection'!$W148)),"YES","NO")</f>
        <v>NO</v>
      </c>
      <c r="AN367" t="str">
        <f>IF(ISNUMBER(SEARCH("H", 'WetLitterbags placem_collection'!$W148)),"YES","NO")</f>
        <v>NO</v>
      </c>
      <c r="AO367" t="str">
        <f>IF(ISNUMBER(SEARCH("R", 'WetLitterbags placem_collection'!$W148)),"YES","NO")</f>
        <v>NO</v>
      </c>
    </row>
    <row r="368" spans="1:41" ht="15" customHeight="1">
      <c r="A368" s="255" t="s">
        <v>2454</v>
      </c>
      <c r="B368" s="260">
        <f>'Dry_Litterbag Placem_Collection'!A149</f>
        <v>147</v>
      </c>
      <c r="C368" s="260" t="str">
        <f>'Dry_Litterbag Placem_Collection'!B149</f>
        <v xml:space="preserve">Mwantimba
</v>
      </c>
      <c r="D368" s="260" t="s">
        <v>2454</v>
      </c>
      <c r="E368" s="260" t="s">
        <v>20</v>
      </c>
      <c r="F368" s="260">
        <v>3</v>
      </c>
      <c r="G368" s="260" t="s">
        <v>3823</v>
      </c>
      <c r="H368" s="261" t="str">
        <f>'Dry_Litterbag Placem_Collection'!C149</f>
        <v>Wet_P3_T3</v>
      </c>
      <c r="I368" s="262" t="s">
        <v>2525</v>
      </c>
      <c r="J368" s="269" t="s">
        <v>298</v>
      </c>
      <c r="K368" s="221" t="str">
        <f>'WetLitterbags placem_collection'!M149</f>
        <v>R573</v>
      </c>
      <c r="L368" s="223">
        <f>IFERROR(INDEX('Green_rooibos initial weight'!$C$5:$C$2000,MATCH(K368, 'Green_rooibos initial weight'!$A$5:$A$2000,0)),"")</f>
        <v>2.097</v>
      </c>
      <c r="M368" s="223">
        <f>IFERROR(L368-(TBIcalc!$H$9+TBIcalc!$H$10),"")</f>
        <v>1.8472</v>
      </c>
      <c r="N368" s="385">
        <f>AVERAGE(Ashed_controlls!$K$2:$K$11)</f>
        <v>5.5147656768714146</v>
      </c>
      <c r="O368" s="223">
        <f t="shared" si="26"/>
        <v>1.7453312484168313</v>
      </c>
      <c r="P368" s="223">
        <f>IFERROR(INDEX('Both teabags AfterWet'!$C$3:$C$840,MATCH(K368,'Both teabags AfterWet'!$A$3:$A$840,0)),"")</f>
        <v>1.746</v>
      </c>
      <c r="Q368" s="223">
        <f>IFERROR(IF(P368&gt;0,P368-(TBIcalc!$H$9),""),"")</f>
        <v>1.5953999999999999</v>
      </c>
      <c r="R368" s="223">
        <f>IFERROR(INDEX('Ashed teabags wet'!$K$2:$K$2000,MATCH(K368,'Ashed teabags wet'!$A$2:$A$2000,0)),"")</f>
        <v>8.8007736943911006</v>
      </c>
      <c r="S368" s="223">
        <f t="shared" si="27"/>
        <v>1.4549924564796843</v>
      </c>
      <c r="T368" s="224">
        <f>'WetLitterbags placem_collection'!E149</f>
        <v>42762</v>
      </c>
      <c r="U368" s="224">
        <f>IF('WetLitterbags placem_collection'!G149="","",'WetLitterbags placem_collection'!G149)</f>
        <v>42816</v>
      </c>
      <c r="V368" s="225">
        <f t="shared" si="25"/>
        <v>54</v>
      </c>
      <c r="W368" s="223">
        <f t="shared" si="28"/>
        <v>0.25180000000000002</v>
      </c>
      <c r="X368" s="223">
        <f t="shared" si="29"/>
        <v>0.29033879193714696</v>
      </c>
      <c r="Y368">
        <f>IFERROR(INDEX(Rainfall_Wet!$O$2:$O$217,MATCH(B368, Rainfall_Wet!$A$2:$A$217,0)),"")</f>
        <v>206.85140822299999</v>
      </c>
      <c r="Z368" s="228">
        <v>39.96</v>
      </c>
      <c r="AA368" s="228">
        <v>12.920000000000002</v>
      </c>
      <c r="AB368" s="228">
        <v>47.12</v>
      </c>
      <c r="AC368" s="229" t="s">
        <v>2658</v>
      </c>
      <c r="AD368" s="228">
        <v>3.6549531789058598</v>
      </c>
      <c r="AE368">
        <f>IF('WetLitterbags placem_collection'!AB149="","",'WetLitterbags placem_collection'!AB149)</f>
        <v>3.6</v>
      </c>
      <c r="AF368">
        <f>IF('WetLitterbags placem_collection'!Z149="","",'WetLitterbags placem_collection'!Z149)</f>
        <v>19</v>
      </c>
      <c r="AG368" s="243" t="str">
        <f>IF('WetLitterbags placem_collection'!AA149="","",'WetLitterbags placem_collection'!AA149)</f>
        <v>M</v>
      </c>
      <c r="AH368">
        <f>IF('WetLitterbags placem_collection'!AC149="","",'WetLitterbags placem_collection'!AC149)</f>
        <v>1</v>
      </c>
      <c r="AI368" s="237">
        <f>AVERAGE('WetLitterbags placem_collection'!S149,'WetLitterbags placem_collection'!U149)</f>
        <v>23.35</v>
      </c>
      <c r="AJ368">
        <f>AVERAGE('WetLitterbags placem_collection'!R149,'WetLitterbags placem_collection'!T149)</f>
        <v>29.9</v>
      </c>
      <c r="AK368">
        <f>INDEX(Coordinates!$B$2:$B$197,MATCH(H368,Coordinates!$J$2:$J$197,0))</f>
        <v>-2.3675780180000001</v>
      </c>
      <c r="AL368">
        <f>INDEX(Coordinates!$C$2:$C$197,MATCH(H368,Coordinates!$J$2:$J$197,0))</f>
        <v>34.060323029999999</v>
      </c>
      <c r="AM368" t="str">
        <f>IF(ISNUMBER(SEARCH("C", 'WetLitterbags placem_collection'!$W149)),"YES","NO")</f>
        <v>NO</v>
      </c>
      <c r="AN368" t="str">
        <f>IF(ISNUMBER(SEARCH("H", 'WetLitterbags placem_collection'!$W149)),"YES","NO")</f>
        <v>NO</v>
      </c>
      <c r="AO368" t="str">
        <f>IF(ISNUMBER(SEARCH("R", 'WetLitterbags placem_collection'!$W149)),"YES","NO")</f>
        <v>NO</v>
      </c>
    </row>
    <row r="369" spans="1:41" ht="15" customHeight="1">
      <c r="A369" s="255" t="s">
        <v>2454</v>
      </c>
      <c r="B369" s="260">
        <f>'Dry_Litterbag Placem_Collection'!A150</f>
        <v>148</v>
      </c>
      <c r="C369" s="260" t="str">
        <f>'Dry_Litterbag Placem_Collection'!B150</f>
        <v xml:space="preserve">Mwantimba
</v>
      </c>
      <c r="D369" s="260" t="s">
        <v>2454</v>
      </c>
      <c r="E369" s="260" t="s">
        <v>20</v>
      </c>
      <c r="F369" s="260">
        <v>3</v>
      </c>
      <c r="G369" s="260" t="s">
        <v>3823</v>
      </c>
      <c r="H369" s="261" t="str">
        <f>'Dry_Litterbag Placem_Collection'!C150</f>
        <v>Wet_P3_T4</v>
      </c>
      <c r="I369" s="262" t="s">
        <v>2525</v>
      </c>
      <c r="J369" s="269" t="s">
        <v>298</v>
      </c>
      <c r="K369" s="221" t="str">
        <f>'WetLitterbags placem_collection'!M150</f>
        <v>R472</v>
      </c>
      <c r="L369" s="223">
        <f>IFERROR(INDEX('Green_rooibos initial weight'!$C$5:$C$2000,MATCH(K369, 'Green_rooibos initial weight'!$A$5:$A$2000,0)),"")</f>
        <v>2.2679999999999998</v>
      </c>
      <c r="M369" s="223">
        <f>IFERROR(L369-(TBIcalc!$H$9+TBIcalc!$H$10),"")</f>
        <v>2.0181999999999998</v>
      </c>
      <c r="N369" s="385">
        <f>AVERAGE(Ashed_controlls!$K$2:$K$11)</f>
        <v>5.5147656768714146</v>
      </c>
      <c r="O369" s="223">
        <f t="shared" si="26"/>
        <v>1.9069009991093808</v>
      </c>
      <c r="P369" s="223">
        <f>IFERROR(INDEX('Both teabags AfterWet'!$C$3:$C$840,MATCH(K369,'Both teabags AfterWet'!$A$3:$A$840,0)),"")</f>
        <v>0.37559999999999999</v>
      </c>
      <c r="Q369" s="223">
        <f>IFERROR(IF(P369&gt;0,P369-(TBIcalc!$H$9),""),"")</f>
        <v>0.22499999999999998</v>
      </c>
      <c r="R369" s="223">
        <f>IFERROR(INDEX('Ashed teabags wet'!$K$2:$K$2000,MATCH(K369,'Ashed teabags wet'!$A$2:$A$2000,0)),"")</f>
        <v>0</v>
      </c>
      <c r="S369" s="223">
        <f t="shared" si="27"/>
        <v>0.22499999999999998</v>
      </c>
      <c r="T369" s="224">
        <f>'WetLitterbags placem_collection'!E150</f>
        <v>42762</v>
      </c>
      <c r="U369" s="224">
        <f>IF('WetLitterbags placem_collection'!G150="","",'WetLitterbags placem_collection'!G150)</f>
        <v>42816</v>
      </c>
      <c r="V369" s="225">
        <f t="shared" si="25"/>
        <v>54</v>
      </c>
      <c r="W369" s="223">
        <f t="shared" si="28"/>
        <v>1.7931999999999997</v>
      </c>
      <c r="X369" s="223">
        <f t="shared" si="29"/>
        <v>1.6819009991093807</v>
      </c>
      <c r="Y369">
        <f>IFERROR(INDEX(Rainfall_Wet!$O$2:$O$217,MATCH(B369, Rainfall_Wet!$A$2:$A$217,0)),"")</f>
        <v>206.85140822299999</v>
      </c>
      <c r="Z369" s="228">
        <v>39.96</v>
      </c>
      <c r="AA369" s="228">
        <v>12.920000000000002</v>
      </c>
      <c r="AB369" s="228">
        <v>47.12</v>
      </c>
      <c r="AC369" s="229" t="s">
        <v>2658</v>
      </c>
      <c r="AD369" s="228">
        <v>4.6549531789058696</v>
      </c>
      <c r="AE369">
        <f>IF('WetLitterbags placem_collection'!AB150="","",'WetLitterbags placem_collection'!AB150)</f>
        <v>4.9000000000000004</v>
      </c>
      <c r="AF369">
        <f>IF('WetLitterbags placem_collection'!Z150="","",'WetLitterbags placem_collection'!Z150)</f>
        <v>17.489999999999998</v>
      </c>
      <c r="AG369" s="243" t="str">
        <f>IF('WetLitterbags placem_collection'!AA150="","",'WetLitterbags placem_collection'!AA150)</f>
        <v>M</v>
      </c>
      <c r="AH369">
        <f>IF('WetLitterbags placem_collection'!AC150="","",'WetLitterbags placem_collection'!AC150)</f>
        <v>1</v>
      </c>
      <c r="AI369" s="237">
        <f>AVERAGE('WetLitterbags placem_collection'!S150,'WetLitterbags placem_collection'!U150)</f>
        <v>28.2</v>
      </c>
      <c r="AJ369">
        <f>AVERAGE('WetLitterbags placem_collection'!R150,'WetLitterbags placem_collection'!T150)</f>
        <v>25.299999999999997</v>
      </c>
      <c r="AK369">
        <f>INDEX(Coordinates!$B$2:$B$197,MATCH(H369,Coordinates!$J$2:$J$197,0))</f>
        <v>-2.3676269689999998</v>
      </c>
      <c r="AL369">
        <f>INDEX(Coordinates!$C$2:$C$197,MATCH(H369,Coordinates!$J$2:$J$197,0))</f>
        <v>34.060310960000002</v>
      </c>
      <c r="AM369" t="str">
        <f>IF(ISNUMBER(SEARCH("C", 'WetLitterbags placem_collection'!$W150)),"YES","NO")</f>
        <v>NO</v>
      </c>
      <c r="AN369" t="str">
        <f>IF(ISNUMBER(SEARCH("H", 'WetLitterbags placem_collection'!$W150)),"YES","NO")</f>
        <v>YES</v>
      </c>
      <c r="AO369" t="str">
        <f>IF(ISNUMBER(SEARCH("R", 'WetLitterbags placem_collection'!$W150)),"YES","NO")</f>
        <v>NO</v>
      </c>
    </row>
    <row r="370" spans="1:41" ht="15" customHeight="1">
      <c r="A370" s="255" t="s">
        <v>2454</v>
      </c>
      <c r="B370" s="260">
        <f>'Dry_Litterbag Placem_Collection'!A151</f>
        <v>149</v>
      </c>
      <c r="C370" s="260" t="str">
        <f>'Dry_Litterbag Placem_Collection'!B151</f>
        <v xml:space="preserve">Mwantimba
</v>
      </c>
      <c r="D370" s="260" t="s">
        <v>2454</v>
      </c>
      <c r="E370" s="260" t="s">
        <v>20</v>
      </c>
      <c r="F370" s="260">
        <v>3</v>
      </c>
      <c r="G370" s="260" t="s">
        <v>3823</v>
      </c>
      <c r="H370" s="261" t="str">
        <f>'Dry_Litterbag Placem_Collection'!C151</f>
        <v>Wet_P3_T5</v>
      </c>
      <c r="I370" s="262" t="s">
        <v>2525</v>
      </c>
      <c r="J370" s="269" t="s">
        <v>298</v>
      </c>
      <c r="K370" s="221" t="str">
        <f>'WetLitterbags placem_collection'!M151</f>
        <v>R545</v>
      </c>
      <c r="L370" s="223">
        <f>IFERROR(INDEX('Green_rooibos initial weight'!$C$5:$C$2000,MATCH(K370, 'Green_rooibos initial weight'!$A$5:$A$2000,0)),"")</f>
        <v>2.2280000000000002</v>
      </c>
      <c r="M370" s="223">
        <f>IFERROR(L370-(TBIcalc!$H$9+TBIcalc!$H$10),"")</f>
        <v>1.9782000000000002</v>
      </c>
      <c r="N370" s="385">
        <f>AVERAGE(Ashed_controlls!$K$2:$K$11)</f>
        <v>5.5147656768714146</v>
      </c>
      <c r="O370" s="223">
        <f t="shared" si="26"/>
        <v>1.8691069053801299</v>
      </c>
      <c r="P370" s="223">
        <f>IFERROR(INDEX('Both teabags AfterWet'!$C$3:$C$840,MATCH(K370,'Both teabags AfterWet'!$A$3:$A$840,0)),"")</f>
        <v>1.7096</v>
      </c>
      <c r="Q370" s="223">
        <f>IFERROR(IF(P370&gt;0,P370-(TBIcalc!$H$9),""),"")</f>
        <v>1.5589999999999999</v>
      </c>
      <c r="R370" s="223">
        <f>IFERROR(INDEX('Ashed teabags wet'!$K$2:$K$2000,MATCH(K370,'Ashed teabags wet'!$A$2:$A$2000,0)),"")</f>
        <v>8.8976767177461902</v>
      </c>
      <c r="S370" s="223">
        <f t="shared" si="27"/>
        <v>1.4202852199703369</v>
      </c>
      <c r="T370" s="224">
        <f>'WetLitterbags placem_collection'!E151</f>
        <v>42762</v>
      </c>
      <c r="U370" s="224">
        <f>IF('WetLitterbags placem_collection'!G151="","",'WetLitterbags placem_collection'!G151)</f>
        <v>42816</v>
      </c>
      <c r="V370" s="225">
        <f t="shared" si="25"/>
        <v>54</v>
      </c>
      <c r="W370" s="223">
        <f t="shared" si="28"/>
        <v>0.41920000000000024</v>
      </c>
      <c r="X370" s="223">
        <f t="shared" si="29"/>
        <v>0.44882168540979306</v>
      </c>
      <c r="Y370">
        <f>IFERROR(INDEX(Rainfall_Wet!$O$2:$O$217,MATCH(B370, Rainfall_Wet!$A$2:$A$217,0)),"")</f>
        <v>206.85140822299999</v>
      </c>
      <c r="Z370" s="228">
        <v>39.96</v>
      </c>
      <c r="AA370" s="228">
        <v>12.920000000000002</v>
      </c>
      <c r="AB370" s="228">
        <v>47.12</v>
      </c>
      <c r="AC370" s="229" t="s">
        <v>2658</v>
      </c>
      <c r="AD370" s="228">
        <v>5.6549531789058696</v>
      </c>
      <c r="AE370">
        <f>IF('WetLitterbags placem_collection'!AB151="","",'WetLitterbags placem_collection'!AB151)</f>
        <v>2.8</v>
      </c>
      <c r="AF370">
        <f>IF('WetLitterbags placem_collection'!Z151="","",'WetLitterbags placem_collection'!Z151)</f>
        <v>13</v>
      </c>
      <c r="AG370" s="243" t="str">
        <f>IF('WetLitterbags placem_collection'!AA151="","",'WetLitterbags placem_collection'!AA151)</f>
        <v>M</v>
      </c>
      <c r="AH370">
        <f>IF('WetLitterbags placem_collection'!AC151="","",'WetLitterbags placem_collection'!AC151)</f>
        <v>1</v>
      </c>
      <c r="AI370" s="237">
        <f>AVERAGE('WetLitterbags placem_collection'!S151,'WetLitterbags placem_collection'!U151)</f>
        <v>25.4</v>
      </c>
      <c r="AJ370">
        <f>AVERAGE('WetLitterbags placem_collection'!R151,'WetLitterbags placem_collection'!T151)</f>
        <v>26.9</v>
      </c>
      <c r="AK370">
        <f>INDEX(Coordinates!$B$2:$B$197,MATCH(H370,Coordinates!$J$2:$J$197,0))</f>
        <v>-2.3677179960000001</v>
      </c>
      <c r="AL370">
        <f>INDEX(Coordinates!$C$2:$C$197,MATCH(H370,Coordinates!$J$2:$J$197,0))</f>
        <v>34.060324960000003</v>
      </c>
      <c r="AM370" t="str">
        <f>IF(ISNUMBER(SEARCH("C", 'WetLitterbags placem_collection'!$W151)),"YES","NO")</f>
        <v>NO</v>
      </c>
      <c r="AN370" t="str">
        <f>IF(ISNUMBER(SEARCH("H", 'WetLitterbags placem_collection'!$W151)),"YES","NO")</f>
        <v>NO</v>
      </c>
      <c r="AO370" t="str">
        <f>IF(ISNUMBER(SEARCH("R", 'WetLitterbags placem_collection'!$W151)),"YES","NO")</f>
        <v>NO</v>
      </c>
    </row>
    <row r="371" spans="1:41" ht="15" customHeight="1">
      <c r="A371" s="255" t="s">
        <v>2454</v>
      </c>
      <c r="B371" s="260">
        <f>'Dry_Litterbag Placem_Collection'!A152</f>
        <v>150</v>
      </c>
      <c r="C371" s="260" t="str">
        <f>'Dry_Litterbag Placem_Collection'!B152</f>
        <v xml:space="preserve">Mwantimba
</v>
      </c>
      <c r="D371" s="260" t="s">
        <v>2454</v>
      </c>
      <c r="E371" s="260" t="s">
        <v>20</v>
      </c>
      <c r="F371" s="260">
        <v>3</v>
      </c>
      <c r="G371" s="260" t="s">
        <v>3823</v>
      </c>
      <c r="H371" s="261" t="str">
        <f>'Dry_Litterbag Placem_Collection'!C152</f>
        <v>Wet_P3_T6</v>
      </c>
      <c r="I371" s="262" t="s">
        <v>2525</v>
      </c>
      <c r="J371" s="269" t="s">
        <v>298</v>
      </c>
      <c r="K371" s="221" t="str">
        <f>'WetLitterbags placem_collection'!M152</f>
        <v>R7</v>
      </c>
      <c r="L371" s="223">
        <f>IFERROR(INDEX('Green_rooibos initial weight'!$C$5:$C$2000,MATCH(K371, 'Green_rooibos initial weight'!$A$5:$A$2000,0)),"")</f>
        <v>2.2090000000000001</v>
      </c>
      <c r="M371" s="223">
        <f>IFERROR(L371-(TBIcalc!$H$9+TBIcalc!$H$10),"")</f>
        <v>1.9592000000000001</v>
      </c>
      <c r="N371" s="385">
        <f>AVERAGE(Ashed_controlls!$K$2:$K$11)</f>
        <v>5.5147656768714146</v>
      </c>
      <c r="O371" s="223">
        <f t="shared" si="26"/>
        <v>1.8511547108587354</v>
      </c>
      <c r="P371" s="223">
        <f>IFERROR(INDEX('Both teabags AfterWet'!$C$3:$C$840,MATCH(K371,'Both teabags AfterWet'!$A$3:$A$840,0)),"")</f>
        <v>1.718</v>
      </c>
      <c r="Q371" s="223">
        <f>IFERROR(IF(P371&gt;0,P371-(TBIcalc!$H$9),""),"")</f>
        <v>1.5673999999999999</v>
      </c>
      <c r="R371" s="223">
        <f>IFERROR(INDEX('Ashed teabags wet'!$K$2:$K$2000,MATCH(K371,'Ashed teabags wet'!$A$2:$A$2000,0)),"")</f>
        <v>10.190151145782695</v>
      </c>
      <c r="S371" s="223">
        <f t="shared" si="27"/>
        <v>1.4076795709410019</v>
      </c>
      <c r="T371" s="224">
        <f>'WetLitterbags placem_collection'!E152</f>
        <v>42762</v>
      </c>
      <c r="U371" s="224">
        <f>IF('WetLitterbags placem_collection'!G152="","",'WetLitterbags placem_collection'!G152)</f>
        <v>42816</v>
      </c>
      <c r="V371" s="225">
        <f t="shared" si="25"/>
        <v>54</v>
      </c>
      <c r="W371" s="223">
        <f t="shared" si="28"/>
        <v>0.39180000000000015</v>
      </c>
      <c r="X371" s="223">
        <f t="shared" si="29"/>
        <v>0.44347513991773346</v>
      </c>
      <c r="Y371">
        <f>IFERROR(INDEX(Rainfall_Wet!$O$2:$O$217,MATCH(B371, Rainfall_Wet!$A$2:$A$217,0)),"")</f>
        <v>206.85140822299999</v>
      </c>
      <c r="Z371" s="228">
        <v>39.96</v>
      </c>
      <c r="AA371" s="228">
        <v>12.920000000000002</v>
      </c>
      <c r="AB371" s="228">
        <v>47.12</v>
      </c>
      <c r="AC371" s="229" t="s">
        <v>2658</v>
      </c>
      <c r="AD371" s="228">
        <v>6.6549531789058696</v>
      </c>
      <c r="AE371">
        <f>IF('WetLitterbags placem_collection'!AB152="","",'WetLitterbags placem_collection'!AB152)</f>
        <v>2.75</v>
      </c>
      <c r="AF371">
        <f>IF('WetLitterbags placem_collection'!Z152="","",'WetLitterbags placem_collection'!Z152)</f>
        <v>19</v>
      </c>
      <c r="AG371" s="243" t="str">
        <f>IF('WetLitterbags placem_collection'!AA152="","",'WetLitterbags placem_collection'!AA152)</f>
        <v>O</v>
      </c>
      <c r="AH371">
        <f>IF('WetLitterbags placem_collection'!AC152="","",'WetLitterbags placem_collection'!AC152)</f>
        <v>0</v>
      </c>
      <c r="AI371" s="237">
        <f>AVERAGE('WetLitterbags placem_collection'!S152,'WetLitterbags placem_collection'!U152)</f>
        <v>22.55</v>
      </c>
      <c r="AJ371">
        <f>AVERAGE('WetLitterbags placem_collection'!R152,'WetLitterbags placem_collection'!T152)</f>
        <v>24.75</v>
      </c>
      <c r="AK371">
        <f>INDEX(Coordinates!$B$2:$B$197,MATCH(H371,Coordinates!$J$2:$J$197,0))</f>
        <v>-2.3675230329999999</v>
      </c>
      <c r="AL371">
        <f>INDEX(Coordinates!$C$2:$C$197,MATCH(H371,Coordinates!$J$2:$J$197,0))</f>
        <v>34.060512969999998</v>
      </c>
      <c r="AM371" t="str">
        <f>IF(ISNUMBER(SEARCH("C", 'WetLitterbags placem_collection'!$W152)),"YES","NO")</f>
        <v>NO</v>
      </c>
      <c r="AN371" t="str">
        <f>IF(ISNUMBER(SEARCH("H", 'WetLitterbags placem_collection'!$W152)),"YES","NO")</f>
        <v>NO</v>
      </c>
      <c r="AO371" t="str">
        <f>IF(ISNUMBER(SEARCH("R", 'WetLitterbags placem_collection'!$W152)),"YES","NO")</f>
        <v>NO</v>
      </c>
    </row>
    <row r="372" spans="1:41" ht="15" customHeight="1">
      <c r="A372" s="255" t="s">
        <v>2454</v>
      </c>
      <c r="B372" s="260">
        <f>'Dry_Litterbag Placem_Collection'!A153</f>
        <v>151</v>
      </c>
      <c r="C372" s="260" t="str">
        <f>'Dry_Litterbag Placem_Collection'!B153</f>
        <v xml:space="preserve">Mwantimba
</v>
      </c>
      <c r="D372" s="260" t="s">
        <v>2454</v>
      </c>
      <c r="E372" s="260" t="s">
        <v>20</v>
      </c>
      <c r="F372" s="260">
        <v>3</v>
      </c>
      <c r="G372" s="260" t="s">
        <v>3823</v>
      </c>
      <c r="H372" s="261" t="str">
        <f>'Dry_Litterbag Placem_Collection'!C153</f>
        <v>Wet_P3_T7</v>
      </c>
      <c r="I372" s="262" t="s">
        <v>2525</v>
      </c>
      <c r="J372" s="269" t="s">
        <v>298</v>
      </c>
      <c r="K372" s="221" t="str">
        <f>'WetLitterbags placem_collection'!M153</f>
        <v>R447</v>
      </c>
      <c r="L372" s="223">
        <f>IFERROR(INDEX('Green_rooibos initial weight'!$C$5:$C$2000,MATCH(K372, 'Green_rooibos initial weight'!$A$5:$A$2000,0)),"")</f>
        <v>2.206</v>
      </c>
      <c r="M372" s="223">
        <f>IFERROR(L372-(TBIcalc!$H$9+TBIcalc!$H$10),"")</f>
        <v>1.9561999999999999</v>
      </c>
      <c r="N372" s="385">
        <f>AVERAGE(Ashed_controlls!$K$2:$K$11)</f>
        <v>5.5147656768714146</v>
      </c>
      <c r="O372" s="223">
        <f t="shared" si="26"/>
        <v>1.8483201538290412</v>
      </c>
      <c r="P372" s="223">
        <f>IFERROR(INDEX('Both teabags AfterWet'!$C$3:$C$840,MATCH(K372,'Both teabags AfterWet'!$A$3:$A$840,0)),"")</f>
        <v>1.782</v>
      </c>
      <c r="Q372" s="223">
        <f>IFERROR(IF(P372&gt;0,P372-(TBIcalc!$H$9),""),"")</f>
        <v>1.6314</v>
      </c>
      <c r="R372" s="223">
        <f>IFERROR(INDEX('Ashed teabags wet'!$K$2:$K$2000,MATCH(K372,'Ashed teabags wet'!$A$2:$A$2000,0)),"")</f>
        <v>6.4642507345735885</v>
      </c>
      <c r="S372" s="223">
        <f t="shared" si="27"/>
        <v>1.5259422135161664</v>
      </c>
      <c r="T372" s="224">
        <f>'WetLitterbags placem_collection'!E153</f>
        <v>42762</v>
      </c>
      <c r="U372" s="224">
        <f>IF('WetLitterbags placem_collection'!G153="","",'WetLitterbags placem_collection'!G153)</f>
        <v>42816</v>
      </c>
      <c r="V372" s="225">
        <f t="shared" si="25"/>
        <v>54</v>
      </c>
      <c r="W372" s="223">
        <f t="shared" si="28"/>
        <v>0.32479999999999998</v>
      </c>
      <c r="X372" s="223">
        <f t="shared" si="29"/>
        <v>0.32237794031287481</v>
      </c>
      <c r="Y372">
        <f>IFERROR(INDEX(Rainfall_Wet!$O$2:$O$217,MATCH(B372, Rainfall_Wet!$A$2:$A$217,0)),"")</f>
        <v>206.85140822299999</v>
      </c>
      <c r="Z372" s="228">
        <v>39.96</v>
      </c>
      <c r="AA372" s="228">
        <v>12.920000000000002</v>
      </c>
      <c r="AB372" s="228">
        <v>47.12</v>
      </c>
      <c r="AC372" s="229" t="s">
        <v>2658</v>
      </c>
      <c r="AD372" s="228">
        <v>7.6549531789058696</v>
      </c>
      <c r="AE372">
        <f>IF('WetLitterbags placem_collection'!AB153="","",'WetLitterbags placem_collection'!AB153)</f>
        <v>1.4</v>
      </c>
      <c r="AF372">
        <f>IF('WetLitterbags placem_collection'!Z153="","",'WetLitterbags placem_collection'!Z153)</f>
        <v>7.9</v>
      </c>
      <c r="AG372" s="243" t="str">
        <f>IF('WetLitterbags placem_collection'!AA153="","",'WetLitterbags placem_collection'!AA153)</f>
        <v>O</v>
      </c>
      <c r="AH372">
        <f>IF('WetLitterbags placem_collection'!AC153="","",'WetLitterbags placem_collection'!AC153)</f>
        <v>1</v>
      </c>
      <c r="AI372" s="237">
        <f>AVERAGE('WetLitterbags placem_collection'!S153,'WetLitterbags placem_collection'!U153)</f>
        <v>26.049999999999997</v>
      </c>
      <c r="AJ372">
        <f>AVERAGE('WetLitterbags placem_collection'!R153,'WetLitterbags placem_collection'!T153)</f>
        <v>26.5</v>
      </c>
      <c r="AK372">
        <f>INDEX(Coordinates!$B$2:$B$197,MATCH(H372,Coordinates!$J$2:$J$197,0))</f>
        <v>-2.3673460070000001</v>
      </c>
      <c r="AL372">
        <f>INDEX(Coordinates!$C$2:$C$197,MATCH(H372,Coordinates!$J$2:$J$197,0))</f>
        <v>34.060310039999997</v>
      </c>
      <c r="AM372" t="str">
        <f>IF(ISNUMBER(SEARCH("C", 'WetLitterbags placem_collection'!$W153)),"YES","NO")</f>
        <v>NO</v>
      </c>
      <c r="AN372" t="str">
        <f>IF(ISNUMBER(SEARCH("H", 'WetLitterbags placem_collection'!$W153)),"YES","NO")</f>
        <v>NO</v>
      </c>
      <c r="AO372" t="str">
        <f>IF(ISNUMBER(SEARCH("R", 'WetLitterbags placem_collection'!$W153)),"YES","NO")</f>
        <v>NO</v>
      </c>
    </row>
    <row r="373" spans="1:41" ht="15" customHeight="1">
      <c r="A373" s="255" t="s">
        <v>2454</v>
      </c>
      <c r="B373" s="260">
        <f>'Dry_Litterbag Placem_Collection'!A154</f>
        <v>152</v>
      </c>
      <c r="C373" s="260" t="str">
        <f>'Dry_Litterbag Placem_Collection'!B154</f>
        <v xml:space="preserve">Mwantimba
</v>
      </c>
      <c r="D373" s="260" t="s">
        <v>2454</v>
      </c>
      <c r="E373" s="260" t="s">
        <v>20</v>
      </c>
      <c r="F373" s="260">
        <v>3</v>
      </c>
      <c r="G373" s="260" t="s">
        <v>3823</v>
      </c>
      <c r="H373" s="261" t="str">
        <f>'Dry_Litterbag Placem_Collection'!C154</f>
        <v>Wet_P3_T8</v>
      </c>
      <c r="I373" s="262" t="s">
        <v>2525</v>
      </c>
      <c r="J373" s="269" t="s">
        <v>298</v>
      </c>
      <c r="K373" s="221" t="str">
        <f>'WetLitterbags placem_collection'!M154</f>
        <v>R591</v>
      </c>
      <c r="L373" s="223">
        <f>IFERROR(INDEX('Green_rooibos initial weight'!$C$5:$C$2000,MATCH(K373, 'Green_rooibos initial weight'!$A$5:$A$2000,0)),"")</f>
        <v>2.2599999999999998</v>
      </c>
      <c r="M373" s="223">
        <f>IFERROR(L373-(TBIcalc!$H$9+TBIcalc!$H$10),"")</f>
        <v>2.0101999999999998</v>
      </c>
      <c r="N373" s="385">
        <f>AVERAGE(Ashed_controlls!$K$2:$K$11)</f>
        <v>5.5147656768714146</v>
      </c>
      <c r="O373" s="223">
        <f t="shared" si="26"/>
        <v>1.8993421803635306</v>
      </c>
      <c r="P373" s="223">
        <f>IFERROR(INDEX('Both teabags AfterWet'!$C$3:$C$840,MATCH(K373,'Both teabags AfterWet'!$A$3:$A$840,0)),"")</f>
        <v>1.6958</v>
      </c>
      <c r="Q373" s="223">
        <f>IFERROR(IF(P373&gt;0,P373-(TBIcalc!$H$9),""),"")</f>
        <v>1.5451999999999999</v>
      </c>
      <c r="R373" s="223">
        <f>IFERROR(INDEX('Ashed teabags wet'!$K$2:$K$2000,MATCH(K373,'Ashed teabags wet'!$A$2:$A$2000,0)),"")</f>
        <v>6.0969755160831145</v>
      </c>
      <c r="S373" s="223">
        <f t="shared" si="27"/>
        <v>1.4509895343254837</v>
      </c>
      <c r="T373" s="224">
        <f>'WetLitterbags placem_collection'!E154</f>
        <v>42762</v>
      </c>
      <c r="U373" s="224">
        <f>IF('WetLitterbags placem_collection'!G154="","",'WetLitterbags placem_collection'!G154)</f>
        <v>42816</v>
      </c>
      <c r="V373" s="225">
        <f t="shared" si="25"/>
        <v>54</v>
      </c>
      <c r="W373" s="223">
        <f t="shared" si="28"/>
        <v>0.46499999999999986</v>
      </c>
      <c r="X373" s="223">
        <f t="shared" si="29"/>
        <v>0.44835264603804692</v>
      </c>
      <c r="Y373">
        <f>IFERROR(INDEX(Rainfall_Wet!$O$2:$O$217,MATCH(B373, Rainfall_Wet!$A$2:$A$217,0)),"")</f>
        <v>206.85140822299999</v>
      </c>
      <c r="Z373" s="228">
        <v>39.96</v>
      </c>
      <c r="AA373" s="228">
        <v>12.920000000000002</v>
      </c>
      <c r="AB373" s="228">
        <v>47.12</v>
      </c>
      <c r="AC373" s="229" t="s">
        <v>2658</v>
      </c>
      <c r="AD373" s="228">
        <v>8.6549531789058705</v>
      </c>
      <c r="AE373">
        <f>IF('WetLitterbags placem_collection'!AB154="","",'WetLitterbags placem_collection'!AB154)</f>
        <v>2.2000000000000002</v>
      </c>
      <c r="AF373">
        <f>IF('WetLitterbags placem_collection'!Z154="","",'WetLitterbags placem_collection'!Z154)</f>
        <v>15</v>
      </c>
      <c r="AG373" s="243" t="str">
        <f>IF('WetLitterbags placem_collection'!AA154="","",'WetLitterbags placem_collection'!AA154)</f>
        <v>M</v>
      </c>
      <c r="AH373">
        <f>IF('WetLitterbags placem_collection'!AC154="","",'WetLitterbags placem_collection'!AC154)</f>
        <v>0</v>
      </c>
      <c r="AI373" s="237">
        <f>AVERAGE('WetLitterbags placem_collection'!S154,'WetLitterbags placem_collection'!U154)</f>
        <v>18.8</v>
      </c>
      <c r="AJ373">
        <f>AVERAGE('WetLitterbags placem_collection'!R154,'WetLitterbags placem_collection'!T154)</f>
        <v>23.7</v>
      </c>
      <c r="AK373">
        <f>INDEX(Coordinates!$B$2:$B$197,MATCH(H373,Coordinates!$J$2:$J$197,0))</f>
        <v>-2.367543988</v>
      </c>
      <c r="AL373">
        <f>INDEX(Coordinates!$C$2:$C$197,MATCH(H373,Coordinates!$J$2:$J$197,0))</f>
        <v>34.060168969999999</v>
      </c>
      <c r="AM373" t="str">
        <f>IF(ISNUMBER(SEARCH("C", 'WetLitterbags placem_collection'!$W154)),"YES","NO")</f>
        <v>NO</v>
      </c>
      <c r="AN373" t="str">
        <f>IF(ISNUMBER(SEARCH("H", 'WetLitterbags placem_collection'!$W154)),"YES","NO")</f>
        <v>NO</v>
      </c>
      <c r="AO373" t="str">
        <f>IF(ISNUMBER(SEARCH("R", 'WetLitterbags placem_collection'!$W154)),"YES","NO")</f>
        <v>YES</v>
      </c>
    </row>
    <row r="374" spans="1:41" ht="15" customHeight="1">
      <c r="A374" s="255" t="s">
        <v>2454</v>
      </c>
      <c r="B374" s="260">
        <f>'Dry_Litterbag Placem_Collection'!A155</f>
        <v>153</v>
      </c>
      <c r="C374" s="260" t="str">
        <f>'Dry_Litterbag Placem_Collection'!B155</f>
        <v xml:space="preserve">Mwantimba
</v>
      </c>
      <c r="D374" s="260" t="s">
        <v>2454</v>
      </c>
      <c r="E374" s="260" t="s">
        <v>20</v>
      </c>
      <c r="F374" s="260">
        <v>4</v>
      </c>
      <c r="G374" s="260" t="s">
        <v>3824</v>
      </c>
      <c r="H374" s="261" t="str">
        <f>'Dry_Litterbag Placem_Collection'!C155</f>
        <v>Wet_P4_T1</v>
      </c>
      <c r="I374" s="262" t="s">
        <v>2525</v>
      </c>
      <c r="J374" s="269" t="s">
        <v>298</v>
      </c>
      <c r="K374" s="221" t="str">
        <f>'WetLitterbags placem_collection'!M155</f>
        <v>R479</v>
      </c>
      <c r="L374" s="223">
        <f>IFERROR(INDEX('Green_rooibos initial weight'!$C$5:$C$2000,MATCH(K374, 'Green_rooibos initial weight'!$A$5:$A$2000,0)),"")</f>
        <v>2.2749999999999999</v>
      </c>
      <c r="M374" s="223">
        <f>IFERROR(L374-(TBIcalc!$H$9+TBIcalc!$H$10),"")</f>
        <v>2.0251999999999999</v>
      </c>
      <c r="N374" s="385">
        <f>AVERAGE(Ashed_controlls!$K$2:$K$11)</f>
        <v>5.5147656768714146</v>
      </c>
      <c r="O374" s="223">
        <f t="shared" si="26"/>
        <v>1.9135149655120001</v>
      </c>
      <c r="P374" s="223">
        <f>IFERROR(INDEX('Both teabags AfterWet'!$C$3:$C$840,MATCH(K374,'Both teabags AfterWet'!$A$3:$A$840,0)),"")</f>
        <v>1.2541</v>
      </c>
      <c r="Q374" s="223">
        <f>IFERROR(IF(P374&gt;0,P374-(TBIcalc!$H$9),""),"")</f>
        <v>1.1034999999999999</v>
      </c>
      <c r="R374" s="223">
        <f>IFERROR(INDEX('Ashed teabags wet'!$K$2:$K$2000,MATCH(K374,'Ashed teabags wet'!$A$2:$A$2000,0)),"")</f>
        <v>77.007481296757646</v>
      </c>
      <c r="S374" s="223">
        <f t="shared" si="27"/>
        <v>0.25372244389027931</v>
      </c>
      <c r="T374" s="224">
        <f>'WetLitterbags placem_collection'!E155</f>
        <v>42762</v>
      </c>
      <c r="U374" s="224">
        <f>IF('WetLitterbags placem_collection'!G155="","",'WetLitterbags placem_collection'!G155)</f>
        <v>42816</v>
      </c>
      <c r="V374" s="225">
        <f t="shared" si="25"/>
        <v>54</v>
      </c>
      <c r="W374" s="223">
        <f t="shared" si="28"/>
        <v>0.92169999999999996</v>
      </c>
      <c r="X374" s="223">
        <f t="shared" si="29"/>
        <v>1.6597925216217209</v>
      </c>
      <c r="Y374">
        <f>IFERROR(INDEX(Rainfall_Wet!$O$2:$O$217,MATCH(B374, Rainfall_Wet!$A$2:$A$217,0)),"")</f>
        <v>206.85140822299999</v>
      </c>
      <c r="Z374" s="228">
        <v>27.96</v>
      </c>
      <c r="AA374" s="228">
        <v>4.9200000000000017</v>
      </c>
      <c r="AB374" s="228">
        <v>67.12</v>
      </c>
      <c r="AC374" s="229" t="s">
        <v>2654</v>
      </c>
      <c r="AD374" s="228">
        <v>1.0437161163134547</v>
      </c>
      <c r="AE374">
        <f>IF('WetLitterbags placem_collection'!AB155="","",'WetLitterbags placem_collection'!AB155)</f>
        <v>2.1</v>
      </c>
      <c r="AF374">
        <f>IF('WetLitterbags placem_collection'!Z155="","",'WetLitterbags placem_collection'!Z155)</f>
        <v>16.399999999999999</v>
      </c>
      <c r="AG374" s="243" t="str">
        <f>IF('WetLitterbags placem_collection'!AA155="","",'WetLitterbags placem_collection'!AA155)</f>
        <v>G</v>
      </c>
      <c r="AH374">
        <f>IF('WetLitterbags placem_collection'!AC155="","",'WetLitterbags placem_collection'!AC155)</f>
        <v>0</v>
      </c>
      <c r="AI374" s="237">
        <f>AVERAGE('WetLitterbags placem_collection'!S155,'WetLitterbags placem_collection'!U155)</f>
        <v>21.35</v>
      </c>
      <c r="AJ374">
        <f>AVERAGE('WetLitterbags placem_collection'!R155,'WetLitterbags placem_collection'!T155)</f>
        <v>26.700000000000003</v>
      </c>
      <c r="AK374">
        <f>INDEX(Coordinates!$B$2:$B$197,MATCH(H374,Coordinates!$J$2:$J$197,0))</f>
        <v>-2.3676780150000001</v>
      </c>
      <c r="AL374">
        <f>INDEX(Coordinates!$C$2:$C$197,MATCH(H374,Coordinates!$J$2:$J$197,0))</f>
        <v>34.05937797</v>
      </c>
      <c r="AM374" t="str">
        <f>IF(ISNUMBER(SEARCH("C", 'WetLitterbags placem_collection'!$W155)),"YES","NO")</f>
        <v>NO</v>
      </c>
      <c r="AN374" t="str">
        <f>IF(ISNUMBER(SEARCH("H", 'WetLitterbags placem_collection'!$W155)),"YES","NO")</f>
        <v>YES</v>
      </c>
      <c r="AO374" t="str">
        <f>IF(ISNUMBER(SEARCH("R", 'WetLitterbags placem_collection'!$W155)),"YES","NO")</f>
        <v>YES</v>
      </c>
    </row>
    <row r="375" spans="1:41" ht="15" customHeight="1">
      <c r="A375" s="255" t="s">
        <v>2454</v>
      </c>
      <c r="B375" s="260">
        <f>'Dry_Litterbag Placem_Collection'!A156</f>
        <v>154</v>
      </c>
      <c r="C375" s="260" t="str">
        <f>'Dry_Litterbag Placem_Collection'!B156</f>
        <v xml:space="preserve">Mwantimba
</v>
      </c>
      <c r="D375" s="260" t="s">
        <v>2454</v>
      </c>
      <c r="E375" s="260" t="s">
        <v>20</v>
      </c>
      <c r="F375" s="260">
        <v>4</v>
      </c>
      <c r="G375" s="260" t="s">
        <v>3824</v>
      </c>
      <c r="H375" s="261" t="str">
        <f>'Dry_Litterbag Placem_Collection'!C156</f>
        <v>Wet_P4_T2</v>
      </c>
      <c r="I375" s="262" t="s">
        <v>2525</v>
      </c>
      <c r="J375" s="269" t="s">
        <v>298</v>
      </c>
      <c r="K375" s="221" t="str">
        <f>'WetLitterbags placem_collection'!M156</f>
        <v>R493</v>
      </c>
      <c r="L375" s="223">
        <f>IFERROR(INDEX('Green_rooibos initial weight'!$C$5:$C$2000,MATCH(K375, 'Green_rooibos initial weight'!$A$5:$A$2000,0)),"")</f>
        <v>2.2410000000000001</v>
      </c>
      <c r="M375" s="223">
        <f>IFERROR(L375-(TBIcalc!$H$9+TBIcalc!$H$10),"")</f>
        <v>1.9912000000000001</v>
      </c>
      <c r="N375" s="385">
        <f>AVERAGE(Ashed_controlls!$K$2:$K$11)</f>
        <v>5.5147656768714146</v>
      </c>
      <c r="O375" s="223">
        <f t="shared" si="26"/>
        <v>1.8813899858421366</v>
      </c>
      <c r="P375" s="223">
        <f>IFERROR(INDEX('Both teabags AfterWet'!$C$3:$C$840,MATCH(K375,'Both teabags AfterWet'!$A$3:$A$840,0)),"")</f>
        <v>0.69099999999999995</v>
      </c>
      <c r="Q375" s="223">
        <f>IFERROR(IF(P375&gt;0,P375-(TBIcalc!$H$9),""),"")</f>
        <v>0.54039999999999999</v>
      </c>
      <c r="R375" s="223">
        <f>IFERROR(INDEX('Ashed teabags wet'!$K$2:$K$2000,MATCH(K375,'Ashed teabags wet'!$A$2:$A$2000,0)),"")</f>
        <v>0</v>
      </c>
      <c r="S375" s="223">
        <f t="shared" si="27"/>
        <v>0.54039999999999999</v>
      </c>
      <c r="T375" s="224">
        <f>'WetLitterbags placem_collection'!E156</f>
        <v>42762</v>
      </c>
      <c r="U375" s="224">
        <f>IF('WetLitterbags placem_collection'!G156="","",'WetLitterbags placem_collection'!G156)</f>
        <v>42816</v>
      </c>
      <c r="V375" s="225">
        <f t="shared" si="25"/>
        <v>54</v>
      </c>
      <c r="W375" s="223">
        <f t="shared" si="28"/>
        <v>1.4508000000000001</v>
      </c>
      <c r="X375" s="223">
        <f t="shared" si="29"/>
        <v>1.3409899858421366</v>
      </c>
      <c r="Y375">
        <f>IFERROR(INDEX(Rainfall_Wet!$O$2:$O$217,MATCH(B375, Rainfall_Wet!$A$2:$A$217,0)),"")</f>
        <v>206.85140822299999</v>
      </c>
      <c r="Z375" s="228">
        <v>27.96</v>
      </c>
      <c r="AA375" s="228">
        <v>4.9200000000000017</v>
      </c>
      <c r="AB375" s="228">
        <v>67.12</v>
      </c>
      <c r="AC375" s="229" t="s">
        <v>2654</v>
      </c>
      <c r="AD375" s="228">
        <v>2.0437161163134498</v>
      </c>
      <c r="AE375">
        <f>IF('WetLitterbags placem_collection'!AB156="","",'WetLitterbags placem_collection'!AB156)</f>
        <v>2.15</v>
      </c>
      <c r="AF375">
        <f>IF('WetLitterbags placem_collection'!Z156="","",'WetLitterbags placem_collection'!Z156)</f>
        <v>9</v>
      </c>
      <c r="AG375" s="243" t="str">
        <f>IF('WetLitterbags placem_collection'!AA156="","",'WetLitterbags placem_collection'!AA156)</f>
        <v>G</v>
      </c>
      <c r="AH375">
        <f>IF('WetLitterbags placem_collection'!AC156="","",'WetLitterbags placem_collection'!AC156)</f>
        <v>0</v>
      </c>
      <c r="AI375" s="237">
        <f>AVERAGE('WetLitterbags placem_collection'!S156,'WetLitterbags placem_collection'!U156)</f>
        <v>23.5</v>
      </c>
      <c r="AJ375">
        <f>AVERAGE('WetLitterbags placem_collection'!R156,'WetLitterbags placem_collection'!T156)</f>
        <v>25.7</v>
      </c>
      <c r="AK375">
        <f>INDEX(Coordinates!$B$2:$B$197,MATCH(H375,Coordinates!$J$2:$J$197,0))</f>
        <v>-2.3677299820000002</v>
      </c>
      <c r="AL375">
        <f>INDEX(Coordinates!$C$2:$C$197,MATCH(H375,Coordinates!$J$2:$J$197,0))</f>
        <v>34.059351990000003</v>
      </c>
      <c r="AM375" t="str">
        <f>IF(ISNUMBER(SEARCH("C", 'WetLitterbags placem_collection'!$W156)),"YES","NO")</f>
        <v>YES</v>
      </c>
      <c r="AN375" t="str">
        <f>IF(ISNUMBER(SEARCH("H", 'WetLitterbags placem_collection'!$W156)),"YES","NO")</f>
        <v>YES</v>
      </c>
      <c r="AO375" t="str">
        <f>IF(ISNUMBER(SEARCH("R", 'WetLitterbags placem_collection'!$W156)),"YES","NO")</f>
        <v>NO</v>
      </c>
    </row>
    <row r="376" spans="1:41" ht="15" customHeight="1">
      <c r="A376" s="255" t="s">
        <v>2454</v>
      </c>
      <c r="B376" s="260">
        <f>'Dry_Litterbag Placem_Collection'!A157</f>
        <v>155</v>
      </c>
      <c r="C376" s="260" t="str">
        <f>'Dry_Litterbag Placem_Collection'!B157</f>
        <v xml:space="preserve">Mwantimba
</v>
      </c>
      <c r="D376" s="260" t="s">
        <v>2454</v>
      </c>
      <c r="E376" s="260" t="s">
        <v>20</v>
      </c>
      <c r="F376" s="260">
        <v>4</v>
      </c>
      <c r="G376" s="260" t="s">
        <v>3824</v>
      </c>
      <c r="H376" s="261" t="str">
        <f>'Dry_Litterbag Placem_Collection'!C157</f>
        <v>Wet_P4_T3</v>
      </c>
      <c r="I376" s="262" t="s">
        <v>2525</v>
      </c>
      <c r="J376" s="269" t="s">
        <v>298</v>
      </c>
      <c r="K376" s="221" t="str">
        <f>'WetLitterbags placem_collection'!M157</f>
        <v>R484</v>
      </c>
      <c r="L376" s="223">
        <f>IFERROR(INDEX('Green_rooibos initial weight'!$C$5:$C$2000,MATCH(K376, 'Green_rooibos initial weight'!$A$5:$A$2000,0)),"")</f>
        <v>2.1850000000000001</v>
      </c>
      <c r="M376" s="223">
        <f>IFERROR(L376-(TBIcalc!$H$9+TBIcalc!$H$10),"")</f>
        <v>1.9352</v>
      </c>
      <c r="N376" s="385">
        <f>AVERAGE(Ashed_controlls!$K$2:$K$11)</f>
        <v>5.5147656768714146</v>
      </c>
      <c r="O376" s="223">
        <f t="shared" si="26"/>
        <v>1.8284782546211844</v>
      </c>
      <c r="P376" s="223">
        <f>IFERROR(INDEX('Both teabags AfterWet'!$C$3:$C$840,MATCH(K376,'Both teabags AfterWet'!$A$3:$A$840,0)),"")</f>
        <v>1.7509999999999999</v>
      </c>
      <c r="Q376" s="223">
        <f>IFERROR(IF(P376&gt;0,P376-(TBIcalc!$H$9),""),"")</f>
        <v>1.6003999999999998</v>
      </c>
      <c r="R376" s="223">
        <f>IFERROR(INDEX('Ashed teabags wet'!$K$2:$K$2000,MATCH(K376,'Ashed teabags wet'!$A$2:$A$2000,0)),"")</f>
        <v>9.822309970384735</v>
      </c>
      <c r="S376" s="223">
        <f t="shared" si="27"/>
        <v>1.4432037512339626</v>
      </c>
      <c r="T376" s="224">
        <f>'WetLitterbags placem_collection'!E157</f>
        <v>42762</v>
      </c>
      <c r="U376" s="224">
        <f>IF('WetLitterbags placem_collection'!G157="","",'WetLitterbags placem_collection'!G157)</f>
        <v>42816</v>
      </c>
      <c r="V376" s="225">
        <f t="shared" si="25"/>
        <v>54</v>
      </c>
      <c r="W376" s="223">
        <f t="shared" si="28"/>
        <v>0.33480000000000021</v>
      </c>
      <c r="X376" s="223">
        <f t="shared" si="29"/>
        <v>0.3852745033872218</v>
      </c>
      <c r="Y376">
        <f>IFERROR(INDEX(Rainfall_Wet!$O$2:$O$217,MATCH(B376, Rainfall_Wet!$A$2:$A$217,0)),"")</f>
        <v>206.85140822299999</v>
      </c>
      <c r="Z376" s="228">
        <v>27.96</v>
      </c>
      <c r="AA376" s="228">
        <v>4.9200000000000017</v>
      </c>
      <c r="AB376" s="228">
        <v>67.12</v>
      </c>
      <c r="AC376" s="229" t="s">
        <v>2654</v>
      </c>
      <c r="AD376" s="228">
        <v>3.0437161163134498</v>
      </c>
      <c r="AE376">
        <f>IF('WetLitterbags placem_collection'!AB157="","",'WetLitterbags placem_collection'!AB157)</f>
        <v>1.2</v>
      </c>
      <c r="AF376">
        <f>IF('WetLitterbags placem_collection'!Z157="","",'WetLitterbags placem_collection'!Z157)</f>
        <v>11</v>
      </c>
      <c r="AG376" s="243" t="str">
        <f>IF('WetLitterbags placem_collection'!AA157="","",'WetLitterbags placem_collection'!AA157)</f>
        <v>G</v>
      </c>
      <c r="AH376">
        <f>IF('WetLitterbags placem_collection'!AC157="","",'WetLitterbags placem_collection'!AC157)</f>
        <v>0</v>
      </c>
      <c r="AI376" s="237">
        <f>AVERAGE('WetLitterbags placem_collection'!S157,'WetLitterbags placem_collection'!U157)</f>
        <v>23.75</v>
      </c>
      <c r="AJ376">
        <f>AVERAGE('WetLitterbags placem_collection'!R157,'WetLitterbags placem_collection'!T157)</f>
        <v>26.799999999999997</v>
      </c>
      <c r="AK376">
        <f>INDEX(Coordinates!$B$2:$B$197,MATCH(H376,Coordinates!$J$2:$J$197,0))</f>
        <v>-2.3677119609999999</v>
      </c>
      <c r="AL376">
        <f>INDEX(Coordinates!$C$2:$C$197,MATCH(H376,Coordinates!$J$2:$J$197,0))</f>
        <v>34.059339000000001</v>
      </c>
      <c r="AM376" t="str">
        <f>IF(ISNUMBER(SEARCH("C", 'WetLitterbags placem_collection'!$W157)),"YES","NO")</f>
        <v>NO</v>
      </c>
      <c r="AN376" t="str">
        <f>IF(ISNUMBER(SEARCH("H", 'WetLitterbags placem_collection'!$W157)),"YES","NO")</f>
        <v>NO</v>
      </c>
      <c r="AO376" t="str">
        <f>IF(ISNUMBER(SEARCH("R", 'WetLitterbags placem_collection'!$W157)),"YES","NO")</f>
        <v>YES</v>
      </c>
    </row>
    <row r="377" spans="1:41" ht="15" customHeight="1">
      <c r="A377" s="255" t="s">
        <v>2454</v>
      </c>
      <c r="B377" s="260">
        <f>'Dry_Litterbag Placem_Collection'!A158</f>
        <v>156</v>
      </c>
      <c r="C377" s="260" t="str">
        <f>'Dry_Litterbag Placem_Collection'!B158</f>
        <v xml:space="preserve">Mwantimba
</v>
      </c>
      <c r="D377" s="260" t="s">
        <v>2454</v>
      </c>
      <c r="E377" s="260" t="s">
        <v>20</v>
      </c>
      <c r="F377" s="260">
        <v>4</v>
      </c>
      <c r="G377" s="260" t="s">
        <v>3824</v>
      </c>
      <c r="H377" s="261" t="str">
        <f>'Dry_Litterbag Placem_Collection'!C158</f>
        <v>Wet_P4_T4</v>
      </c>
      <c r="I377" s="262" t="s">
        <v>2525</v>
      </c>
      <c r="J377" s="269" t="s">
        <v>298</v>
      </c>
      <c r="K377" s="221" t="str">
        <f>'WetLitterbags placem_collection'!M158</f>
        <v>R598</v>
      </c>
      <c r="L377" s="223">
        <f>IFERROR(INDEX('Green_rooibos initial weight'!$C$5:$C$2000,MATCH(K377, 'Green_rooibos initial weight'!$A$5:$A$2000,0)),"")</f>
        <v>2.206</v>
      </c>
      <c r="M377" s="223">
        <f>IFERROR(L377-(TBIcalc!$H$9+TBIcalc!$H$10),"")</f>
        <v>1.9561999999999999</v>
      </c>
      <c r="N377" s="385">
        <f>AVERAGE(Ashed_controlls!$K$2:$K$11)</f>
        <v>5.5147656768714146</v>
      </c>
      <c r="O377" s="223">
        <f t="shared" si="26"/>
        <v>1.8483201538290412</v>
      </c>
      <c r="P377" s="223">
        <f>IFERROR(INDEX('Both teabags AfterWet'!$C$3:$C$840,MATCH(K377,'Both teabags AfterWet'!$A$3:$A$840,0)),"")</f>
        <v>1.8080000000000001</v>
      </c>
      <c r="Q377" s="223">
        <f>IFERROR(IF(P377&gt;0,P377-(TBIcalc!$H$9),""),"")</f>
        <v>1.6574</v>
      </c>
      <c r="R377" s="223">
        <f>IFERROR(INDEX('Ashed teabags wet'!$K$2:$K$2000,MATCH(K377,'Ashed teabags wet'!$A$2:$A$2000,0)),"")</f>
        <v>7.6581027667986037</v>
      </c>
      <c r="S377" s="223">
        <f t="shared" si="27"/>
        <v>1.5304746047430799</v>
      </c>
      <c r="T377" s="224">
        <f>'WetLitterbags placem_collection'!E158</f>
        <v>42762</v>
      </c>
      <c r="U377" s="224">
        <f>IF('WetLitterbags placem_collection'!G158="","",'WetLitterbags placem_collection'!G158)</f>
        <v>42816</v>
      </c>
      <c r="V377" s="225">
        <f t="shared" si="25"/>
        <v>54</v>
      </c>
      <c r="W377" s="223">
        <f t="shared" si="28"/>
        <v>0.29879999999999995</v>
      </c>
      <c r="X377" s="223">
        <f t="shared" si="29"/>
        <v>0.3178455490859613</v>
      </c>
      <c r="Y377">
        <f>IFERROR(INDEX(Rainfall_Wet!$O$2:$O$217,MATCH(B377, Rainfall_Wet!$A$2:$A$217,0)),"")</f>
        <v>206.85140822299999</v>
      </c>
      <c r="Z377" s="228">
        <v>27.96</v>
      </c>
      <c r="AA377" s="228">
        <v>4.9200000000000017</v>
      </c>
      <c r="AB377" s="228">
        <v>67.12</v>
      </c>
      <c r="AC377" s="229" t="s">
        <v>2654</v>
      </c>
      <c r="AD377" s="228">
        <v>4.0437161163134503</v>
      </c>
      <c r="AE377">
        <f>IF('WetLitterbags placem_collection'!AB158="","",'WetLitterbags placem_collection'!AB158)</f>
        <v>1.55</v>
      </c>
      <c r="AF377">
        <f>IF('WetLitterbags placem_collection'!Z158="","",'WetLitterbags placem_collection'!Z158)</f>
        <v>9.1</v>
      </c>
      <c r="AG377" s="243" t="str">
        <f>IF('WetLitterbags placem_collection'!AA158="","",'WetLitterbags placem_collection'!AA158)</f>
        <v>O</v>
      </c>
      <c r="AH377">
        <f>IF('WetLitterbags placem_collection'!AC158="","",'WetLitterbags placem_collection'!AC158)</f>
        <v>0</v>
      </c>
      <c r="AI377" s="237">
        <f>AVERAGE('WetLitterbags placem_collection'!S158,'WetLitterbags placem_collection'!U158)</f>
        <v>21.700000000000003</v>
      </c>
      <c r="AJ377">
        <f>AVERAGE('WetLitterbags placem_collection'!R158,'WetLitterbags placem_collection'!T158)</f>
        <v>26.95</v>
      </c>
      <c r="AK377">
        <f>INDEX(Coordinates!$B$2:$B$197,MATCH(H377,Coordinates!$J$2:$J$197,0))</f>
        <v>-2.3676950300000001</v>
      </c>
      <c r="AL377">
        <f>INDEX(Coordinates!$C$2:$C$197,MATCH(H377,Coordinates!$J$2:$J$197,0))</f>
        <v>34.059499010000003</v>
      </c>
      <c r="AM377" t="str">
        <f>IF(ISNUMBER(SEARCH("C", 'WetLitterbags placem_collection'!$W158)),"YES","NO")</f>
        <v>NO</v>
      </c>
      <c r="AN377" t="str">
        <f>IF(ISNUMBER(SEARCH("H", 'WetLitterbags placem_collection'!$W158)),"YES","NO")</f>
        <v>NO</v>
      </c>
      <c r="AO377" t="str">
        <f>IF(ISNUMBER(SEARCH("R", 'WetLitterbags placem_collection'!$W158)),"YES","NO")</f>
        <v>YES</v>
      </c>
    </row>
    <row r="378" spans="1:41" ht="15" customHeight="1">
      <c r="A378" s="255" t="s">
        <v>2454</v>
      </c>
      <c r="B378" s="260">
        <f>'Dry_Litterbag Placem_Collection'!A159</f>
        <v>157</v>
      </c>
      <c r="C378" s="260" t="str">
        <f>'Dry_Litterbag Placem_Collection'!B159</f>
        <v xml:space="preserve">Mwantimba
</v>
      </c>
      <c r="D378" s="260" t="s">
        <v>2454</v>
      </c>
      <c r="E378" s="260" t="s">
        <v>20</v>
      </c>
      <c r="F378" s="260">
        <v>4</v>
      </c>
      <c r="G378" s="260" t="s">
        <v>3824</v>
      </c>
      <c r="H378" s="261" t="str">
        <f>'Dry_Litterbag Placem_Collection'!C159</f>
        <v>Wet_P4_T5</v>
      </c>
      <c r="I378" s="262" t="s">
        <v>2525</v>
      </c>
      <c r="J378" s="269" t="s">
        <v>298</v>
      </c>
      <c r="K378" s="221" t="str">
        <f>'WetLitterbags placem_collection'!M159</f>
        <v>R30</v>
      </c>
      <c r="L378" s="223">
        <f>IFERROR(INDEX('Green_rooibos initial weight'!$C$5:$C$2000,MATCH(K378, 'Green_rooibos initial weight'!$A$5:$A$2000,0)),"")</f>
        <v>2.177</v>
      </c>
      <c r="M378" s="223">
        <f>IFERROR(L378-(TBIcalc!$H$9+TBIcalc!$H$10),"")</f>
        <v>1.9272</v>
      </c>
      <c r="N378" s="385">
        <f>AVERAGE(Ashed_controlls!$K$2:$K$11)</f>
        <v>5.5147656768714146</v>
      </c>
      <c r="O378" s="223">
        <f t="shared" si="26"/>
        <v>1.8209194358753342</v>
      </c>
      <c r="P378" s="223">
        <f>IFERROR(INDEX('Both teabags AfterWet'!$C$3:$C$840,MATCH(K378,'Both teabags AfterWet'!$A$3:$A$840,0)),"")</f>
        <v>1.825</v>
      </c>
      <c r="Q378" s="223">
        <f>IFERROR(IF(P378&gt;0,P378-(TBIcalc!$H$9),""),"")</f>
        <v>1.6743999999999999</v>
      </c>
      <c r="R378" s="223">
        <f>IFERROR(INDEX('Ashed teabags wet'!$K$2:$K$2000,MATCH(K378,'Ashed teabags wet'!$A$2:$A$2000,0)),"")</f>
        <v>8.6618004866182261</v>
      </c>
      <c r="S378" s="223">
        <f t="shared" si="27"/>
        <v>1.5293668126520643</v>
      </c>
      <c r="T378" s="224">
        <f>'WetLitterbags placem_collection'!E159</f>
        <v>42762</v>
      </c>
      <c r="U378" s="224">
        <f>IF('WetLitterbags placem_collection'!G159="","",'WetLitterbags placem_collection'!G159)</f>
        <v>42816</v>
      </c>
      <c r="V378" s="225">
        <f t="shared" si="25"/>
        <v>54</v>
      </c>
      <c r="W378" s="223">
        <f t="shared" si="28"/>
        <v>0.25280000000000014</v>
      </c>
      <c r="X378" s="223">
        <f t="shared" si="29"/>
        <v>0.29155262322326991</v>
      </c>
      <c r="Y378">
        <f>IFERROR(INDEX(Rainfall_Wet!$O$2:$O$217,MATCH(B378, Rainfall_Wet!$A$2:$A$217,0)),"")</f>
        <v>206.85140822299999</v>
      </c>
      <c r="Z378" s="228">
        <v>27.96</v>
      </c>
      <c r="AA378" s="228">
        <v>4.9200000000000017</v>
      </c>
      <c r="AB378" s="228">
        <v>67.12</v>
      </c>
      <c r="AC378" s="229" t="s">
        <v>2654</v>
      </c>
      <c r="AD378" s="228">
        <v>5.0437161163134503</v>
      </c>
      <c r="AE378">
        <f>IF('WetLitterbags placem_collection'!AB159="","",'WetLitterbags placem_collection'!AB159)</f>
        <v>2.2999999999999998</v>
      </c>
      <c r="AF378">
        <f>IF('WetLitterbags placem_collection'!Z159="","",'WetLitterbags placem_collection'!Z159)</f>
        <v>7.7</v>
      </c>
      <c r="AG378" s="243" t="str">
        <f>IF('WetLitterbags placem_collection'!AA159="","",'WetLitterbags placem_collection'!AA159)</f>
        <v>O</v>
      </c>
      <c r="AH378">
        <f>IF('WetLitterbags placem_collection'!AC159="","",'WetLitterbags placem_collection'!AC159)</f>
        <v>0</v>
      </c>
      <c r="AI378" s="237">
        <f>AVERAGE('WetLitterbags placem_collection'!S159,'WetLitterbags placem_collection'!U159)</f>
        <v>22.6</v>
      </c>
      <c r="AJ378">
        <f>AVERAGE('WetLitterbags placem_collection'!R159,'WetLitterbags placem_collection'!T159)</f>
        <v>29.2</v>
      </c>
      <c r="AK378">
        <f>INDEX(Coordinates!$B$2:$B$197,MATCH(H378,Coordinates!$J$2:$J$197,0))</f>
        <v>-2.3678019830000001</v>
      </c>
      <c r="AL378">
        <f>INDEX(Coordinates!$C$2:$C$197,MATCH(H378,Coordinates!$J$2:$J$197,0))</f>
        <v>34.059521969999999</v>
      </c>
      <c r="AM378" t="str">
        <f>IF(ISNUMBER(SEARCH("C", 'WetLitterbags placem_collection'!$W159)),"YES","NO")</f>
        <v>YES</v>
      </c>
      <c r="AN378" t="str">
        <f>IF(ISNUMBER(SEARCH("H", 'WetLitterbags placem_collection'!$W159)),"YES","NO")</f>
        <v>NO</v>
      </c>
      <c r="AO378" t="str">
        <f>IF(ISNUMBER(SEARCH("R", 'WetLitterbags placem_collection'!$W159)),"YES","NO")</f>
        <v>YES</v>
      </c>
    </row>
    <row r="379" spans="1:41" ht="15" customHeight="1">
      <c r="A379" s="255" t="s">
        <v>2454</v>
      </c>
      <c r="B379" s="260">
        <f>'Dry_Litterbag Placem_Collection'!A160</f>
        <v>158</v>
      </c>
      <c r="C379" s="260" t="str">
        <f>'Dry_Litterbag Placem_Collection'!B160</f>
        <v xml:space="preserve">Mwantimba
</v>
      </c>
      <c r="D379" s="260" t="s">
        <v>2454</v>
      </c>
      <c r="E379" s="260" t="s">
        <v>20</v>
      </c>
      <c r="F379" s="260">
        <v>4</v>
      </c>
      <c r="G379" s="260" t="s">
        <v>3824</v>
      </c>
      <c r="H379" s="261" t="str">
        <f>'Dry_Litterbag Placem_Collection'!C160</f>
        <v>Wet_P4_T6</v>
      </c>
      <c r="I379" s="262" t="s">
        <v>2525</v>
      </c>
      <c r="J379" s="269" t="s">
        <v>298</v>
      </c>
      <c r="K379" s="221" t="str">
        <f>'WetLitterbags placem_collection'!M160</f>
        <v>R16</v>
      </c>
      <c r="L379" s="223">
        <f>IFERROR(INDEX('Green_rooibos initial weight'!$C$5:$C$2000,MATCH(K379, 'Green_rooibos initial weight'!$A$5:$A$2000,0)),"")</f>
        <v>2.2629999999999999</v>
      </c>
      <c r="M379" s="223">
        <f>IFERROR(L379-(TBIcalc!$H$9+TBIcalc!$H$10),"")</f>
        <v>2.0131999999999999</v>
      </c>
      <c r="N379" s="385">
        <f>AVERAGE(Ashed_controlls!$K$2:$K$11)</f>
        <v>5.5147656768714146</v>
      </c>
      <c r="O379" s="223">
        <f t="shared" si="26"/>
        <v>1.9021767373932246</v>
      </c>
      <c r="P379" s="223">
        <f>IFERROR(INDEX('Both teabags AfterWet'!$C$3:$C$840,MATCH(K379,'Both teabags AfterWet'!$A$3:$A$840,0)),"")</f>
        <v>1.786</v>
      </c>
      <c r="Q379" s="223">
        <f>IFERROR(IF(P379&gt;0,P379-(TBIcalc!$H$9),""),"")</f>
        <v>1.6354</v>
      </c>
      <c r="R379" s="223">
        <f>IFERROR(INDEX('Ashed teabags wet'!$K$2:$K$2000,MATCH(K379,'Ashed teabags wet'!$A$2:$A$2000,0)),"")</f>
        <v>4.8505634492893828</v>
      </c>
      <c r="S379" s="223">
        <f t="shared" si="27"/>
        <v>1.5560738853503213</v>
      </c>
      <c r="T379" s="224">
        <f>'WetLitterbags placem_collection'!E160</f>
        <v>42762</v>
      </c>
      <c r="U379" s="224">
        <f>IF('WetLitterbags placem_collection'!G160="","",'WetLitterbags placem_collection'!G160)</f>
        <v>42816</v>
      </c>
      <c r="V379" s="225">
        <f t="shared" si="25"/>
        <v>54</v>
      </c>
      <c r="W379" s="223">
        <f t="shared" si="28"/>
        <v>0.37779999999999991</v>
      </c>
      <c r="X379" s="223">
        <f t="shared" si="29"/>
        <v>0.34610285204290325</v>
      </c>
      <c r="Y379">
        <f>IFERROR(INDEX(Rainfall_Wet!$O$2:$O$217,MATCH(B379, Rainfall_Wet!$A$2:$A$217,0)),"")</f>
        <v>206.85140822299999</v>
      </c>
      <c r="Z379" s="228">
        <v>27.96</v>
      </c>
      <c r="AA379" s="228">
        <v>4.9200000000000017</v>
      </c>
      <c r="AB379" s="228">
        <v>67.12</v>
      </c>
      <c r="AC379" s="229" t="s">
        <v>2654</v>
      </c>
      <c r="AD379" s="228">
        <v>6.0437161163134503</v>
      </c>
      <c r="AE379">
        <f>IF('WetLitterbags placem_collection'!AB160="","",'WetLitterbags placem_collection'!AB160)</f>
        <v>1.9</v>
      </c>
      <c r="AF379">
        <f>IF('WetLitterbags placem_collection'!Z160="","",'WetLitterbags placem_collection'!Z160)</f>
        <v>4.3</v>
      </c>
      <c r="AG379" s="243" t="str">
        <f>IF('WetLitterbags placem_collection'!AA160="","",'WetLitterbags placem_collection'!AA160)</f>
        <v>O</v>
      </c>
      <c r="AH379">
        <f>IF('WetLitterbags placem_collection'!AC160="","",'WetLitterbags placem_collection'!AC160)</f>
        <v>0</v>
      </c>
      <c r="AI379" s="237">
        <f>AVERAGE('WetLitterbags placem_collection'!S160,'WetLitterbags placem_collection'!U160)</f>
        <v>22.45</v>
      </c>
      <c r="AJ379">
        <f>AVERAGE('WetLitterbags placem_collection'!R160,'WetLitterbags placem_collection'!T160)</f>
        <v>26.35</v>
      </c>
      <c r="AK379">
        <f>INDEX(Coordinates!$B$2:$B$197,MATCH(H379,Coordinates!$J$2:$J$197,0))</f>
        <v>-2.3679270410000002</v>
      </c>
      <c r="AL379">
        <f>INDEX(Coordinates!$C$2:$C$197,MATCH(H379,Coordinates!$J$2:$J$197,0))</f>
        <v>34.059300020000002</v>
      </c>
      <c r="AM379" t="str">
        <f>IF(ISNUMBER(SEARCH("C", 'WetLitterbags placem_collection'!$W160)),"YES","NO")</f>
        <v>NO</v>
      </c>
      <c r="AN379" t="str">
        <f>IF(ISNUMBER(SEARCH("H", 'WetLitterbags placem_collection'!$W160)),"YES","NO")</f>
        <v>NO</v>
      </c>
      <c r="AO379" t="str">
        <f>IF(ISNUMBER(SEARCH("R", 'WetLitterbags placem_collection'!$W160)),"YES","NO")</f>
        <v>YES</v>
      </c>
    </row>
    <row r="380" spans="1:41" ht="15" customHeight="1">
      <c r="A380" s="255" t="s">
        <v>2454</v>
      </c>
      <c r="B380" s="260">
        <f>'Dry_Litterbag Placem_Collection'!A161</f>
        <v>159</v>
      </c>
      <c r="C380" s="260" t="str">
        <f>'Dry_Litterbag Placem_Collection'!B161</f>
        <v xml:space="preserve">Mwantimba
</v>
      </c>
      <c r="D380" s="260" t="s">
        <v>2454</v>
      </c>
      <c r="E380" s="260" t="s">
        <v>20</v>
      </c>
      <c r="F380" s="260">
        <v>4</v>
      </c>
      <c r="G380" s="260" t="s">
        <v>3824</v>
      </c>
      <c r="H380" s="261" t="str">
        <f>'Dry_Litterbag Placem_Collection'!C161</f>
        <v>Wet_P4_T7</v>
      </c>
      <c r="I380" s="262" t="s">
        <v>2525</v>
      </c>
      <c r="J380" s="269" t="s">
        <v>298</v>
      </c>
      <c r="K380" s="221" t="str">
        <f>'WetLitterbags placem_collection'!M161</f>
        <v>R499</v>
      </c>
      <c r="L380" s="223">
        <f>IFERROR(INDEX('Green_rooibos initial weight'!$C$5:$C$2000,MATCH(K380, 'Green_rooibos initial weight'!$A$5:$A$2000,0)),"")</f>
        <v>2.194</v>
      </c>
      <c r="M380" s="223">
        <f>IFERROR(L380-(TBIcalc!$H$9+TBIcalc!$H$10),"")</f>
        <v>1.9441999999999999</v>
      </c>
      <c r="N380" s="385">
        <f>AVERAGE(Ashed_controlls!$K$2:$K$11)</f>
        <v>5.5147656768714146</v>
      </c>
      <c r="O380" s="223">
        <f t="shared" si="26"/>
        <v>1.836981925710266</v>
      </c>
      <c r="P380" s="223" t="str">
        <f>IFERROR(INDEX('Both teabags AfterWet'!$C$3:$C$840,MATCH(K380,'Both teabags AfterWet'!$A$3:$A$840,0)),"")</f>
        <v/>
      </c>
      <c r="Q380" s="223" t="str">
        <f>IFERROR(IF(P380&gt;0,P380-(TBIcalc!$H$9),""),"")</f>
        <v/>
      </c>
      <c r="R380" s="223" t="str">
        <f>IFERROR(INDEX('Ashed teabags wet'!$K$2:$K$2000,MATCH(K380,'Ashed teabags wet'!$A$2:$A$2000,0)),"")</f>
        <v/>
      </c>
      <c r="S380" s="223" t="str">
        <f t="shared" si="27"/>
        <v/>
      </c>
      <c r="T380" s="224">
        <f>'WetLitterbags placem_collection'!E161</f>
        <v>42762</v>
      </c>
      <c r="U380" s="224">
        <f>IF('WetLitterbags placem_collection'!G161="","",'WetLitterbags placem_collection'!G161)</f>
        <v>42816</v>
      </c>
      <c r="V380" s="225">
        <f t="shared" si="25"/>
        <v>54</v>
      </c>
      <c r="W380" s="223" t="str">
        <f t="shared" si="28"/>
        <v/>
      </c>
      <c r="X380" s="223" t="str">
        <f t="shared" si="29"/>
        <v/>
      </c>
      <c r="Y380">
        <f>IFERROR(INDEX(Rainfall_Wet!$O$2:$O$217,MATCH(B380, Rainfall_Wet!$A$2:$A$217,0)),"")</f>
        <v>206.85140822299999</v>
      </c>
      <c r="Z380" s="228">
        <v>27.96</v>
      </c>
      <c r="AA380" s="228">
        <v>4.9200000000000017</v>
      </c>
      <c r="AB380" s="228">
        <v>67.12</v>
      </c>
      <c r="AC380" s="229" t="s">
        <v>2654</v>
      </c>
      <c r="AD380" s="228">
        <v>7.0437161163134503</v>
      </c>
      <c r="AE380">
        <f>IF('WetLitterbags placem_collection'!AB161="","",'WetLitterbags placem_collection'!AB161)</f>
        <v>2.65</v>
      </c>
      <c r="AF380">
        <f>IF('WetLitterbags placem_collection'!Z161="","",'WetLitterbags placem_collection'!Z161)</f>
        <v>0</v>
      </c>
      <c r="AG380" s="243" t="str">
        <f>IF('WetLitterbags placem_collection'!AA161="","",'WetLitterbags placem_collection'!AA161)</f>
        <v>G</v>
      </c>
      <c r="AH380">
        <f>IF('WetLitterbags placem_collection'!AC161="","",'WetLitterbags placem_collection'!AC161)</f>
        <v>1</v>
      </c>
      <c r="AI380" s="237">
        <f>AVERAGE('WetLitterbags placem_collection'!S161,'WetLitterbags placem_collection'!U161)</f>
        <v>14.4</v>
      </c>
      <c r="AJ380">
        <f>AVERAGE('WetLitterbags placem_collection'!R161,'WetLitterbags placem_collection'!T161)</f>
        <v>28</v>
      </c>
      <c r="AK380">
        <f>INDEX(Coordinates!$B$2:$B$197,MATCH(H380,Coordinates!$J$2:$J$197,0))</f>
        <v>-2.3676829599999998</v>
      </c>
      <c r="AL380">
        <f>INDEX(Coordinates!$C$2:$C$197,MATCH(H380,Coordinates!$J$2:$J$197,0))</f>
        <v>34.059236990000002</v>
      </c>
      <c r="AM380" t="str">
        <f>IF(ISNUMBER(SEARCH("C", 'WetLitterbags placem_collection'!$W161)),"YES","NO")</f>
        <v>NO</v>
      </c>
      <c r="AN380" t="str">
        <f>IF(ISNUMBER(SEARCH("H", 'WetLitterbags placem_collection'!$W161)),"YES","NO")</f>
        <v>NO</v>
      </c>
      <c r="AO380" t="str">
        <f>IF(ISNUMBER(SEARCH("R", 'WetLitterbags placem_collection'!$W161)),"YES","NO")</f>
        <v>NO</v>
      </c>
    </row>
    <row r="381" spans="1:41" ht="15" customHeight="1">
      <c r="A381" s="255" t="s">
        <v>2454</v>
      </c>
      <c r="B381" s="260">
        <f>'Dry_Litterbag Placem_Collection'!A162</f>
        <v>160</v>
      </c>
      <c r="C381" s="260" t="str">
        <f>'Dry_Litterbag Placem_Collection'!B162</f>
        <v xml:space="preserve">Mwantimba
</v>
      </c>
      <c r="D381" s="260" t="s">
        <v>2454</v>
      </c>
      <c r="E381" s="260" t="s">
        <v>20</v>
      </c>
      <c r="F381" s="260">
        <v>4</v>
      </c>
      <c r="G381" s="260" t="s">
        <v>3824</v>
      </c>
      <c r="H381" s="261" t="str">
        <f>'Dry_Litterbag Placem_Collection'!C162</f>
        <v>Wet_P4_T8</v>
      </c>
      <c r="I381" s="262" t="s">
        <v>2525</v>
      </c>
      <c r="J381" s="269" t="s">
        <v>298</v>
      </c>
      <c r="K381" s="221" t="str">
        <f>'WetLitterbags placem_collection'!M162</f>
        <v>R421</v>
      </c>
      <c r="L381" s="223">
        <f>IFERROR(INDEX('Green_rooibos initial weight'!$C$5:$C$2000,MATCH(K381, 'Green_rooibos initial weight'!$A$5:$A$2000,0)),"")</f>
        <v>2.2170000000000001</v>
      </c>
      <c r="M381" s="223">
        <f>IFERROR(L381-(TBIcalc!$H$9+TBIcalc!$H$10),"")</f>
        <v>1.9672000000000001</v>
      </c>
      <c r="N381" s="385">
        <f>AVERAGE(Ashed_controlls!$K$2:$K$11)</f>
        <v>5.5147656768714146</v>
      </c>
      <c r="O381" s="223">
        <f t="shared" si="26"/>
        <v>1.8587135296045856</v>
      </c>
      <c r="P381" s="223">
        <f>IFERROR(INDEX('Both teabags AfterWet'!$C$3:$C$840,MATCH(K381,'Both teabags AfterWet'!$A$3:$A$840,0)),"")</f>
        <v>1.744</v>
      </c>
      <c r="Q381" s="223">
        <f>IFERROR(IF(P381&gt;0,P381-(TBIcalc!$H$9),""),"")</f>
        <v>1.5933999999999999</v>
      </c>
      <c r="R381" s="223">
        <f>IFERROR(INDEX('Ashed teabags wet'!$K$2:$K$2000,MATCH(K381,'Ashed teabags wet'!$A$2:$A$2000,0)),"")</f>
        <v>4.8926610084872157</v>
      </c>
      <c r="S381" s="223">
        <f t="shared" si="27"/>
        <v>1.5154403394907647</v>
      </c>
      <c r="T381" s="224">
        <f>'WetLitterbags placem_collection'!E162</f>
        <v>42762</v>
      </c>
      <c r="U381" s="224">
        <f>IF('WetLitterbags placem_collection'!G162="","",'WetLitterbags placem_collection'!G162)</f>
        <v>42816</v>
      </c>
      <c r="V381" s="225">
        <f t="shared" si="25"/>
        <v>54</v>
      </c>
      <c r="W381" s="223">
        <f t="shared" si="28"/>
        <v>0.37380000000000013</v>
      </c>
      <c r="X381" s="223">
        <f t="shared" si="29"/>
        <v>0.34327319011382085</v>
      </c>
      <c r="Y381">
        <f>IFERROR(INDEX(Rainfall_Wet!$O$2:$O$217,MATCH(B381, Rainfall_Wet!$A$2:$A$217,0)),"")</f>
        <v>206.85140822299999</v>
      </c>
      <c r="Z381" s="228">
        <v>27.96</v>
      </c>
      <c r="AA381" s="228">
        <v>4.9200000000000017</v>
      </c>
      <c r="AB381" s="228">
        <v>67.12</v>
      </c>
      <c r="AC381" s="229" t="s">
        <v>2654</v>
      </c>
      <c r="AD381" s="228">
        <v>8.0437161163134494</v>
      </c>
      <c r="AE381">
        <f>IF('WetLitterbags placem_collection'!AB162="","",'WetLitterbags placem_collection'!AB162)</f>
        <v>0.8</v>
      </c>
      <c r="AF381">
        <f>IF('WetLitterbags placem_collection'!Z162="","",'WetLitterbags placem_collection'!Z162)</f>
        <v>10.8</v>
      </c>
      <c r="AG381" s="243" t="str">
        <f>IF('WetLitterbags placem_collection'!AA162="","",'WetLitterbags placem_collection'!AA162)</f>
        <v>O</v>
      </c>
      <c r="AH381">
        <f>IF('WetLitterbags placem_collection'!AC162="","",'WetLitterbags placem_collection'!AC162)</f>
        <v>0</v>
      </c>
      <c r="AI381" s="237">
        <f>AVERAGE('WetLitterbags placem_collection'!S162,'WetLitterbags placem_collection'!U162)</f>
        <v>16.5</v>
      </c>
      <c r="AJ381">
        <f>AVERAGE('WetLitterbags placem_collection'!R162,'WetLitterbags placem_collection'!T162)</f>
        <v>27.15</v>
      </c>
      <c r="AK381">
        <f>INDEX(Coordinates!$B$2:$B$197,MATCH(H381,Coordinates!$J$2:$J$197,0))</f>
        <v>-2.367547005</v>
      </c>
      <c r="AL381">
        <f>INDEX(Coordinates!$C$2:$C$197,MATCH(H381,Coordinates!$J$2:$J$197,0))</f>
        <v>34.059494989999997</v>
      </c>
      <c r="AM381" t="str">
        <f>IF(ISNUMBER(SEARCH("C", 'WetLitterbags placem_collection'!$W162)),"YES","NO")</f>
        <v>NO</v>
      </c>
      <c r="AN381" t="str">
        <f>IF(ISNUMBER(SEARCH("H", 'WetLitterbags placem_collection'!$W162)),"YES","NO")</f>
        <v>NO</v>
      </c>
      <c r="AO381" t="str">
        <f>IF(ISNUMBER(SEARCH("R", 'WetLitterbags placem_collection'!$W162)),"YES","NO")</f>
        <v>YES</v>
      </c>
    </row>
    <row r="382" spans="1:41" ht="15" customHeight="1">
      <c r="A382" s="255" t="s">
        <v>2454</v>
      </c>
      <c r="B382" s="260">
        <f>'Dry_Litterbag Placem_Collection'!A163</f>
        <v>161</v>
      </c>
      <c r="C382" s="260" t="str">
        <f>'Dry_Litterbag Placem_Collection'!B163</f>
        <v>Handajega</v>
      </c>
      <c r="D382" s="260" t="s">
        <v>2454</v>
      </c>
      <c r="E382" s="260" t="s">
        <v>2645</v>
      </c>
      <c r="F382" s="260">
        <v>1</v>
      </c>
      <c r="G382" s="260" t="s">
        <v>3825</v>
      </c>
      <c r="H382" s="261" t="str">
        <f>'Dry_Litterbag Placem_Collection'!C163</f>
        <v>Wet_W1_T1</v>
      </c>
      <c r="I382" s="262" t="s">
        <v>2525</v>
      </c>
      <c r="J382" s="269" t="s">
        <v>298</v>
      </c>
      <c r="K382" s="221" t="str">
        <f>'WetLitterbags placem_collection'!M163</f>
        <v>R124</v>
      </c>
      <c r="L382" s="223">
        <f>IFERROR(INDEX('Green_rooibos initial weight'!$C$5:$C$2000,MATCH(K382, 'Green_rooibos initial weight'!$A$5:$A$2000,0)),"")</f>
        <v>2.2120000000000002</v>
      </c>
      <c r="M382" s="223">
        <f>IFERROR(L382-(TBIcalc!$H$9+TBIcalc!$H$10),"")</f>
        <v>1.9622000000000002</v>
      </c>
      <c r="N382" s="385">
        <f>AVERAGE(Ashed_controlls!$K$2:$K$11)</f>
        <v>5.5147656768714146</v>
      </c>
      <c r="O382" s="223">
        <f t="shared" si="26"/>
        <v>1.8539892678884293</v>
      </c>
      <c r="P382" s="223">
        <f>IFERROR(INDEX('Both teabags AfterWet'!$C$3:$C$840,MATCH(K382,'Both teabags AfterWet'!$A$3:$A$840,0)),"")</f>
        <v>1.6863999999999999</v>
      </c>
      <c r="Q382" s="223">
        <f>IFERROR(IF(P382&gt;0,P382-(TBIcalc!$H$9),""),"")</f>
        <v>1.5357999999999998</v>
      </c>
      <c r="R382" s="223">
        <f>IFERROR(INDEX('Ashed teabags wet'!$K$2:$K$2000,MATCH(K382,'Ashed teabags wet'!$A$2:$A$2000,0)),"")</f>
        <v>1.0140028971511033</v>
      </c>
      <c r="S382" s="223">
        <f t="shared" si="27"/>
        <v>1.5202269435055531</v>
      </c>
      <c r="T382" s="224">
        <f>'WetLitterbags placem_collection'!E163</f>
        <v>42763</v>
      </c>
      <c r="U382" s="224">
        <f>IF('WetLitterbags placem_collection'!G163="","",'WetLitterbags placem_collection'!G163)</f>
        <v>42814</v>
      </c>
      <c r="V382" s="225">
        <f t="shared" si="25"/>
        <v>51</v>
      </c>
      <c r="W382" s="223">
        <f t="shared" si="28"/>
        <v>0.42640000000000033</v>
      </c>
      <c r="X382" s="223">
        <f t="shared" si="29"/>
        <v>0.33376232438287623</v>
      </c>
      <c r="Y382">
        <f>IFERROR(INDEX(Rainfall_Wet!$O$2:$O$217,MATCH(B382, Rainfall_Wet!$A$2:$A$217,0)),"")</f>
        <v>181.383442621</v>
      </c>
      <c r="Z382" s="228">
        <v>21.96</v>
      </c>
      <c r="AA382" s="228">
        <v>4.9199999999999982</v>
      </c>
      <c r="AB382" s="228">
        <v>73.12</v>
      </c>
      <c r="AC382" s="229" t="s">
        <v>2654</v>
      </c>
      <c r="AD382" s="228">
        <v>1.2416954164613114</v>
      </c>
      <c r="AE382">
        <f>IF('WetLitterbags placem_collection'!AB163="","",'WetLitterbags placem_collection'!AB163)</f>
        <v>7.6</v>
      </c>
      <c r="AF382">
        <f>IF('WetLitterbags placem_collection'!Z163="","",'WetLitterbags placem_collection'!Z163)</f>
        <v>35.799999999999997</v>
      </c>
      <c r="AG382" s="243" t="str">
        <f>IF('WetLitterbags placem_collection'!AA163="","",'WetLitterbags placem_collection'!AA163)</f>
        <v>M</v>
      </c>
      <c r="AH382">
        <f>IF('WetLitterbags placem_collection'!AC163="","",'WetLitterbags placem_collection'!AC163)</f>
        <v>0</v>
      </c>
      <c r="AI382" s="237">
        <f>AVERAGE('WetLitterbags placem_collection'!S163,'WetLitterbags placem_collection'!U163)</f>
        <v>11.100000000000001</v>
      </c>
      <c r="AJ382">
        <f>AVERAGE('WetLitterbags placem_collection'!R163,'WetLitterbags placem_collection'!T163)</f>
        <v>33.6</v>
      </c>
      <c r="AK382">
        <f>INDEX(Coordinates!$B$2:$B$197,MATCH(H382,Coordinates!$J$2:$J$197,0))</f>
        <v>-2.272751033</v>
      </c>
      <c r="AL382">
        <f>INDEX(Coordinates!$C$2:$C$197,MATCH(H382,Coordinates!$J$2:$J$197,0))</f>
        <v>34.023176030000002</v>
      </c>
      <c r="AM382" t="str">
        <f>IF(ISNUMBER(SEARCH("C", 'WetLitterbags placem_collection'!$W163)),"YES","NO")</f>
        <v>NO</v>
      </c>
      <c r="AN382" t="str">
        <f>IF(ISNUMBER(SEARCH("H", 'WetLitterbags placem_collection'!$W163)),"YES","NO")</f>
        <v>NO</v>
      </c>
      <c r="AO382" t="str">
        <f>IF(ISNUMBER(SEARCH("R", 'WetLitterbags placem_collection'!$W163)),"YES","NO")</f>
        <v>NO</v>
      </c>
    </row>
    <row r="383" spans="1:41" ht="15" customHeight="1">
      <c r="A383" s="255" t="s">
        <v>2454</v>
      </c>
      <c r="B383" s="260">
        <f>'Dry_Litterbag Placem_Collection'!A164</f>
        <v>162</v>
      </c>
      <c r="C383" s="260" t="str">
        <f>'Dry_Litterbag Placem_Collection'!B164</f>
        <v>Handajega</v>
      </c>
      <c r="D383" s="260" t="s">
        <v>2454</v>
      </c>
      <c r="E383" s="260" t="s">
        <v>2645</v>
      </c>
      <c r="F383" s="260">
        <v>1</v>
      </c>
      <c r="G383" s="260" t="s">
        <v>3825</v>
      </c>
      <c r="H383" s="261" t="str">
        <f>'Dry_Litterbag Placem_Collection'!C164</f>
        <v>Wet_W1_T2</v>
      </c>
      <c r="I383" s="262" t="s">
        <v>2525</v>
      </c>
      <c r="J383" s="269" t="s">
        <v>298</v>
      </c>
      <c r="K383" s="221" t="str">
        <f>'WetLitterbags placem_collection'!M164</f>
        <v>R202</v>
      </c>
      <c r="L383" s="223">
        <f>IFERROR(INDEX('Green_rooibos initial weight'!$C$5:$C$2000,MATCH(K383, 'Green_rooibos initial weight'!$A$5:$A$2000,0)),"")</f>
        <v>2.298</v>
      </c>
      <c r="M383" s="223">
        <f>IFERROR(L383-(TBIcalc!$H$9+TBIcalc!$H$10),"")</f>
        <v>2.0482</v>
      </c>
      <c r="N383" s="385">
        <f>AVERAGE(Ashed_controlls!$K$2:$K$11)</f>
        <v>5.5147656768714146</v>
      </c>
      <c r="O383" s="223">
        <f t="shared" si="26"/>
        <v>1.9352465694063197</v>
      </c>
      <c r="P383" s="223">
        <f>IFERROR(INDEX('Both teabags AfterWet'!$C$3:$C$840,MATCH(K383,'Both teabags AfterWet'!$A$3:$A$840,0)),"")</f>
        <v>0.52</v>
      </c>
      <c r="Q383" s="223">
        <f>IFERROR(IF(P383&gt;0,P383-(TBIcalc!$H$9),""),"")</f>
        <v>0.36940000000000001</v>
      </c>
      <c r="R383" s="223">
        <f>IFERROR(INDEX('Ashed teabags wet'!$K$2:$K$2000,MATCH(K383,'Ashed teabags wet'!$A$2:$A$2000,0)),"")</f>
        <v>79.460269865066508</v>
      </c>
      <c r="S383" s="223">
        <f t="shared" si="27"/>
        <v>7.5873763118444293E-2</v>
      </c>
      <c r="T383" s="224">
        <f>'WetLitterbags placem_collection'!E164</f>
        <v>42763</v>
      </c>
      <c r="U383" s="224">
        <f>IF('WetLitterbags placem_collection'!G164="","",'WetLitterbags placem_collection'!G164)</f>
        <v>42814</v>
      </c>
      <c r="V383" s="225">
        <f t="shared" si="25"/>
        <v>51</v>
      </c>
      <c r="W383" s="223">
        <f t="shared" si="28"/>
        <v>1.6788000000000001</v>
      </c>
      <c r="X383" s="223">
        <f t="shared" si="29"/>
        <v>1.8593728062878754</v>
      </c>
      <c r="Y383">
        <f>IFERROR(INDEX(Rainfall_Wet!$O$2:$O$217,MATCH(B383, Rainfall_Wet!$A$2:$A$217,0)),"")</f>
        <v>181.383442621</v>
      </c>
      <c r="Z383" s="228">
        <v>21.96</v>
      </c>
      <c r="AA383" s="228">
        <v>4.9199999999999982</v>
      </c>
      <c r="AB383" s="228">
        <v>73.12</v>
      </c>
      <c r="AC383" s="229" t="s">
        <v>2654</v>
      </c>
      <c r="AD383" s="228">
        <v>2.2416954164613099</v>
      </c>
      <c r="AE383">
        <f>IF('WetLitterbags placem_collection'!AB164="","",'WetLitterbags placem_collection'!AB164)</f>
        <v>4.0999999999999996</v>
      </c>
      <c r="AF383">
        <f>IF('WetLitterbags placem_collection'!Z164="","",'WetLitterbags placem_collection'!Z164)</f>
        <v>31.4</v>
      </c>
      <c r="AG383" s="243" t="str">
        <f>IF('WetLitterbags placem_collection'!AA164="","",'WetLitterbags placem_collection'!AA164)</f>
        <v>M</v>
      </c>
      <c r="AH383">
        <f>IF('WetLitterbags placem_collection'!AC164="","",'WetLitterbags placem_collection'!AC164)</f>
        <v>0</v>
      </c>
      <c r="AI383" s="237">
        <f>AVERAGE('WetLitterbags placem_collection'!S164,'WetLitterbags placem_collection'!U164)</f>
        <v>9.35</v>
      </c>
      <c r="AJ383">
        <f>AVERAGE('WetLitterbags placem_collection'!R164,'WetLitterbags placem_collection'!T164)</f>
        <v>34.450000000000003</v>
      </c>
      <c r="AK383">
        <f>INDEX(Coordinates!$B$2:$B$197,MATCH(H383,Coordinates!$J$2:$J$197,0))</f>
        <v>-2.2727060219999999</v>
      </c>
      <c r="AL383">
        <f>INDEX(Coordinates!$C$2:$C$197,MATCH(H383,Coordinates!$J$2:$J$197,0))</f>
        <v>34.023162030000002</v>
      </c>
      <c r="AM383" t="str">
        <f>IF(ISNUMBER(SEARCH("C", 'WetLitterbags placem_collection'!$W164)),"YES","NO")</f>
        <v>NO</v>
      </c>
      <c r="AN383" t="str">
        <f>IF(ISNUMBER(SEARCH("H", 'WetLitterbags placem_collection'!$W164)),"YES","NO")</f>
        <v>YES</v>
      </c>
      <c r="AO383" t="str">
        <f>IF(ISNUMBER(SEARCH("R", 'WetLitterbags placem_collection'!$W164)),"YES","NO")</f>
        <v>NO</v>
      </c>
    </row>
    <row r="384" spans="1:41" ht="15" customHeight="1">
      <c r="A384" s="255" t="s">
        <v>2454</v>
      </c>
      <c r="B384" s="260">
        <f>'Dry_Litterbag Placem_Collection'!A165</f>
        <v>163</v>
      </c>
      <c r="C384" s="260" t="str">
        <f>'Dry_Litterbag Placem_Collection'!B165</f>
        <v>Handajega</v>
      </c>
      <c r="D384" s="260" t="s">
        <v>2454</v>
      </c>
      <c r="E384" s="260" t="s">
        <v>2645</v>
      </c>
      <c r="F384" s="260">
        <v>1</v>
      </c>
      <c r="G384" s="260" t="s">
        <v>3825</v>
      </c>
      <c r="H384" s="261" t="str">
        <f>'Dry_Litterbag Placem_Collection'!C165</f>
        <v>Wet_W1_T3</v>
      </c>
      <c r="I384" s="262" t="s">
        <v>2525</v>
      </c>
      <c r="J384" s="269" t="s">
        <v>298</v>
      </c>
      <c r="K384" s="221" t="str">
        <f>'WetLitterbags placem_collection'!M165</f>
        <v>R96</v>
      </c>
      <c r="L384" s="223">
        <f>IFERROR(INDEX('Green_rooibos initial weight'!$C$5:$C$2000,MATCH(K384, 'Green_rooibos initial weight'!$A$5:$A$2000,0)),"")</f>
        <v>2.2309999999999999</v>
      </c>
      <c r="M384" s="223">
        <f>IFERROR(L384-(TBIcalc!$H$9+TBIcalc!$H$10),"")</f>
        <v>1.9811999999999999</v>
      </c>
      <c r="N384" s="385">
        <f>AVERAGE(Ashed_controlls!$K$2:$K$11)</f>
        <v>5.5147656768714146</v>
      </c>
      <c r="O384" s="223">
        <f t="shared" si="26"/>
        <v>1.8719414624098234</v>
      </c>
      <c r="P384" s="223" t="str">
        <f>IFERROR(INDEX('Both teabags AfterWet'!$C$3:$C$840,MATCH(K384,'Both teabags AfterWet'!$A$3:$A$840,0)),"")</f>
        <v/>
      </c>
      <c r="Q384" s="223" t="str">
        <f>IFERROR(IF(P384&gt;0,P384-(TBIcalc!$H$9),""),"")</f>
        <v/>
      </c>
      <c r="R384" s="223">
        <f>IFERROR(INDEX('Ashed teabags wet'!$K$2:$K$2000,MATCH(K384,'Ashed teabags wet'!$A$2:$A$2000,0)),"")</f>
        <v>2.3336643495531879</v>
      </c>
      <c r="S384" s="223" t="str">
        <f t="shared" si="27"/>
        <v/>
      </c>
      <c r="T384" s="224">
        <f>'WetLitterbags placem_collection'!E165</f>
        <v>42763</v>
      </c>
      <c r="U384" s="224">
        <f>IF('WetLitterbags placem_collection'!G165="","",'WetLitterbags placem_collection'!G165)</f>
        <v>42814</v>
      </c>
      <c r="V384" s="225">
        <f t="shared" si="25"/>
        <v>51</v>
      </c>
      <c r="W384" s="223" t="str">
        <f t="shared" si="28"/>
        <v/>
      </c>
      <c r="X384" s="223" t="str">
        <f t="shared" si="29"/>
        <v/>
      </c>
      <c r="Y384">
        <f>IFERROR(INDEX(Rainfall_Wet!$O$2:$O$217,MATCH(B384, Rainfall_Wet!$A$2:$A$217,0)),"")</f>
        <v>181.383442621</v>
      </c>
      <c r="Z384" s="228">
        <v>21.96</v>
      </c>
      <c r="AA384" s="228">
        <v>4.9199999999999982</v>
      </c>
      <c r="AB384" s="228">
        <v>73.12</v>
      </c>
      <c r="AC384" s="229" t="s">
        <v>2654</v>
      </c>
      <c r="AD384" s="228">
        <v>3.2416954164613099</v>
      </c>
      <c r="AE384">
        <f>IF('WetLitterbags placem_collection'!AB165="","",'WetLitterbags placem_collection'!AB165)</f>
        <v>7.8</v>
      </c>
      <c r="AF384">
        <f>IF('WetLitterbags placem_collection'!Z165="","",'WetLitterbags placem_collection'!Z165)</f>
        <v>28.8</v>
      </c>
      <c r="AG384" s="243" t="str">
        <f>IF('WetLitterbags placem_collection'!AA165="","",'WetLitterbags placem_collection'!AA165)</f>
        <v>M</v>
      </c>
      <c r="AH384">
        <f>IF('WetLitterbags placem_collection'!AC165="","",'WetLitterbags placem_collection'!AC165)</f>
        <v>0</v>
      </c>
      <c r="AI384" s="237">
        <f>AVERAGE('WetLitterbags placem_collection'!S165,'WetLitterbags placem_collection'!U165)</f>
        <v>9.3000000000000007</v>
      </c>
      <c r="AJ384">
        <f>AVERAGE('WetLitterbags placem_collection'!R165,'WetLitterbags placem_collection'!T165)</f>
        <v>33.5</v>
      </c>
      <c r="AK384">
        <f>INDEX(Coordinates!$B$2:$B$197,MATCH(H384,Coordinates!$J$2:$J$197,0))</f>
        <v>-2.2726719919999998</v>
      </c>
      <c r="AL384">
        <f>INDEX(Coordinates!$C$2:$C$197,MATCH(H384,Coordinates!$J$2:$J$197,0))</f>
        <v>34.023210980000002</v>
      </c>
      <c r="AM384" t="str">
        <f>IF(ISNUMBER(SEARCH("C", 'WetLitterbags placem_collection'!$W165)),"YES","NO")</f>
        <v>NO</v>
      </c>
      <c r="AN384" t="str">
        <f>IF(ISNUMBER(SEARCH("H", 'WetLitterbags placem_collection'!$W165)),"YES","NO")</f>
        <v>NO</v>
      </c>
      <c r="AO384" t="str">
        <f>IF(ISNUMBER(SEARCH("R", 'WetLitterbags placem_collection'!$W165)),"YES","NO")</f>
        <v>NO</v>
      </c>
    </row>
    <row r="385" spans="1:41" ht="15" customHeight="1">
      <c r="A385" s="255" t="s">
        <v>2454</v>
      </c>
      <c r="B385" s="260">
        <f>'Dry_Litterbag Placem_Collection'!A166</f>
        <v>164</v>
      </c>
      <c r="C385" s="260" t="str">
        <f>'Dry_Litterbag Placem_Collection'!B166</f>
        <v>Handajega</v>
      </c>
      <c r="D385" s="260" t="s">
        <v>2454</v>
      </c>
      <c r="E385" s="260" t="s">
        <v>2645</v>
      </c>
      <c r="F385" s="260">
        <v>1</v>
      </c>
      <c r="G385" s="260" t="s">
        <v>3825</v>
      </c>
      <c r="H385" s="261" t="str">
        <f>'Dry_Litterbag Placem_Collection'!C166</f>
        <v>Wet_W1_T4</v>
      </c>
      <c r="I385" s="262" t="s">
        <v>2525</v>
      </c>
      <c r="J385" s="269" t="s">
        <v>298</v>
      </c>
      <c r="K385" s="221" t="str">
        <f>'WetLitterbags placem_collection'!M166</f>
        <v>R317</v>
      </c>
      <c r="L385" s="223">
        <f>IFERROR(INDEX('Green_rooibos initial weight'!$C$5:$C$2000,MATCH(K385, 'Green_rooibos initial weight'!$A$5:$A$2000,0)),"")</f>
        <v>2.2240000000000002</v>
      </c>
      <c r="M385" s="223">
        <f>IFERROR(L385-(TBIcalc!$H$9+TBIcalc!$H$10),"")</f>
        <v>1.9742000000000002</v>
      </c>
      <c r="N385" s="385">
        <f>AVERAGE(Ashed_controlls!$K$2:$K$11)</f>
        <v>5.5147656768714146</v>
      </c>
      <c r="O385" s="223">
        <f t="shared" si="26"/>
        <v>1.8653274960072048</v>
      </c>
      <c r="P385" s="223">
        <f>IFERROR(INDEX('Both teabags AfterWet'!$C$3:$C$840,MATCH(K385,'Both teabags AfterWet'!$A$3:$A$840,0)),"")</f>
        <v>1.7210000000000001</v>
      </c>
      <c r="Q385" s="223">
        <f>IFERROR(IF(P385&gt;0,P385-(TBIcalc!$H$9),""),"")</f>
        <v>1.5704</v>
      </c>
      <c r="R385" s="223">
        <f>IFERROR(INDEX('Ashed teabags wet'!$K$2:$K$2000,MATCH(K385,'Ashed teabags wet'!$A$2:$A$2000,0)),"")</f>
        <v>2.0937188434697482</v>
      </c>
      <c r="S385" s="223">
        <f t="shared" si="27"/>
        <v>1.5375202392821512</v>
      </c>
      <c r="T385" s="224">
        <f>'WetLitterbags placem_collection'!E166</f>
        <v>42763</v>
      </c>
      <c r="U385" s="224">
        <f>IF('WetLitterbags placem_collection'!G166="","",'WetLitterbags placem_collection'!G166)</f>
        <v>42814</v>
      </c>
      <c r="V385" s="225">
        <f t="shared" si="25"/>
        <v>51</v>
      </c>
      <c r="W385" s="223">
        <f t="shared" si="28"/>
        <v>0.40380000000000016</v>
      </c>
      <c r="X385" s="223">
        <f t="shared" si="29"/>
        <v>0.32780725672505362</v>
      </c>
      <c r="Y385">
        <f>IFERROR(INDEX(Rainfall_Wet!$O$2:$O$217,MATCH(B385, Rainfall_Wet!$A$2:$A$217,0)),"")</f>
        <v>181.383442621</v>
      </c>
      <c r="Z385" s="228">
        <v>21.96</v>
      </c>
      <c r="AA385" s="228">
        <v>4.9199999999999982</v>
      </c>
      <c r="AB385" s="228">
        <v>73.12</v>
      </c>
      <c r="AC385" s="229" t="s">
        <v>2654</v>
      </c>
      <c r="AD385" s="228">
        <v>4.2416954164613099</v>
      </c>
      <c r="AE385">
        <f>IF('WetLitterbags placem_collection'!AB166="","",'WetLitterbags placem_collection'!AB166)</f>
        <v>9.5</v>
      </c>
      <c r="AF385">
        <f>IF('WetLitterbags placem_collection'!Z166="","",'WetLitterbags placem_collection'!Z166)</f>
        <v>20.8</v>
      </c>
      <c r="AG385" s="243" t="str">
        <f>IF('WetLitterbags placem_collection'!AA166="","",'WetLitterbags placem_collection'!AA166)</f>
        <v>M</v>
      </c>
      <c r="AH385">
        <f>IF('WetLitterbags placem_collection'!AC166="","",'WetLitterbags placem_collection'!AC166)</f>
        <v>0</v>
      </c>
      <c r="AI385" s="237">
        <f>AVERAGE('WetLitterbags placem_collection'!S166,'WetLitterbags placem_collection'!U166)</f>
        <v>9.25</v>
      </c>
      <c r="AJ385">
        <f>AVERAGE('WetLitterbags placem_collection'!R166,'WetLitterbags placem_collection'!T166)</f>
        <v>33.799999999999997</v>
      </c>
      <c r="AK385">
        <f>INDEX(Coordinates!$B$2:$B$197,MATCH(H385,Coordinates!$J$2:$J$197,0))</f>
        <v>-2.2726180130000002</v>
      </c>
      <c r="AL385">
        <f>INDEX(Coordinates!$C$2:$C$197,MATCH(H385,Coordinates!$J$2:$J$197,0))</f>
        <v>34.023212999999998</v>
      </c>
      <c r="AM385" t="str">
        <f>IF(ISNUMBER(SEARCH("C", 'WetLitterbags placem_collection'!$W166)),"YES","NO")</f>
        <v>NO</v>
      </c>
      <c r="AN385" t="str">
        <f>IF(ISNUMBER(SEARCH("H", 'WetLitterbags placem_collection'!$W166)),"YES","NO")</f>
        <v>NO</v>
      </c>
      <c r="AO385" t="str">
        <f>IF(ISNUMBER(SEARCH("R", 'WetLitterbags placem_collection'!$W166)),"YES","NO")</f>
        <v>NO</v>
      </c>
    </row>
    <row r="386" spans="1:41" ht="15" customHeight="1">
      <c r="A386" s="255" t="s">
        <v>2454</v>
      </c>
      <c r="B386" s="260">
        <f>'Dry_Litterbag Placem_Collection'!A167</f>
        <v>165</v>
      </c>
      <c r="C386" s="260" t="str">
        <f>'Dry_Litterbag Placem_Collection'!B167</f>
        <v>Handajega</v>
      </c>
      <c r="D386" s="260" t="s">
        <v>2454</v>
      </c>
      <c r="E386" s="260" t="s">
        <v>2645</v>
      </c>
      <c r="F386" s="260">
        <v>1</v>
      </c>
      <c r="G386" s="260" t="s">
        <v>3825</v>
      </c>
      <c r="H386" s="261" t="str">
        <f>'Dry_Litterbag Placem_Collection'!C167</f>
        <v>Wet_W1_T5</v>
      </c>
      <c r="I386" s="262" t="s">
        <v>2525</v>
      </c>
      <c r="J386" s="269" t="s">
        <v>298</v>
      </c>
      <c r="K386" s="221" t="str">
        <f>'WetLitterbags placem_collection'!M167</f>
        <v>R331</v>
      </c>
      <c r="L386" s="223">
        <f>IFERROR(INDEX('Green_rooibos initial weight'!$C$5:$C$2000,MATCH(K386, 'Green_rooibos initial weight'!$A$5:$A$2000,0)),"")</f>
        <v>2.2410000000000001</v>
      </c>
      <c r="M386" s="223">
        <f>IFERROR(L386-(TBIcalc!$H$9+TBIcalc!$H$10),"")</f>
        <v>1.9912000000000001</v>
      </c>
      <c r="N386" s="385">
        <f>AVERAGE(Ashed_controlls!$K$2:$K$11)</f>
        <v>5.5147656768714146</v>
      </c>
      <c r="O386" s="223">
        <f t="shared" si="26"/>
        <v>1.8813899858421366</v>
      </c>
      <c r="P386" s="223">
        <f>IFERROR(INDEX('Both teabags AfterWet'!$C$3:$C$840,MATCH(K386,'Both teabags AfterWet'!$A$3:$A$840,0)),"")</f>
        <v>1.724</v>
      </c>
      <c r="Q386" s="223">
        <f>IFERROR(IF(P386&gt;0,P386-(TBIcalc!$H$9),""),"")</f>
        <v>1.5733999999999999</v>
      </c>
      <c r="R386" s="223">
        <f>IFERROR(INDEX('Ashed teabags wet'!$K$2:$K$2000,MATCH(K386,'Ashed teabags wet'!$A$2:$A$2000,0)),"")</f>
        <v>2.562929061785161</v>
      </c>
      <c r="S386" s="223">
        <f t="shared" si="27"/>
        <v>1.5330748741418723</v>
      </c>
      <c r="T386" s="224">
        <f>'WetLitterbags placem_collection'!E167</f>
        <v>42763</v>
      </c>
      <c r="U386" s="224">
        <f>IF('WetLitterbags placem_collection'!G167="","",'WetLitterbags placem_collection'!G167)</f>
        <v>42814</v>
      </c>
      <c r="V386" s="225">
        <f t="shared" ref="V386:V449" si="30">IFERROR(U386-T386,"")</f>
        <v>51</v>
      </c>
      <c r="W386" s="223">
        <f t="shared" si="28"/>
        <v>0.41780000000000017</v>
      </c>
      <c r="X386" s="223">
        <f t="shared" si="29"/>
        <v>0.3483151117002643</v>
      </c>
      <c r="Y386">
        <f>IFERROR(INDEX(Rainfall_Wet!$O$2:$O$217,MATCH(B386, Rainfall_Wet!$A$2:$A$217,0)),"")</f>
        <v>181.383442621</v>
      </c>
      <c r="Z386" s="228">
        <v>21.96</v>
      </c>
      <c r="AA386" s="228">
        <v>4.9199999999999982</v>
      </c>
      <c r="AB386" s="228">
        <v>73.12</v>
      </c>
      <c r="AC386" s="229" t="s">
        <v>2654</v>
      </c>
      <c r="AD386" s="228">
        <v>5.2416954164613099</v>
      </c>
      <c r="AE386">
        <f>IF('WetLitterbags placem_collection'!AB167="","",'WetLitterbags placem_collection'!AB167)</f>
        <v>10.4</v>
      </c>
      <c r="AF386">
        <f>IF('WetLitterbags placem_collection'!Z167="","",'WetLitterbags placem_collection'!Z167)</f>
        <v>13.8</v>
      </c>
      <c r="AG386" s="243" t="str">
        <f>IF('WetLitterbags placem_collection'!AA167="","",'WetLitterbags placem_collection'!AA167)</f>
        <v>M</v>
      </c>
      <c r="AH386">
        <f>IF('WetLitterbags placem_collection'!AC167="","",'WetLitterbags placem_collection'!AC167)</f>
        <v>0</v>
      </c>
      <c r="AI386" s="237">
        <f>AVERAGE('WetLitterbags placem_collection'!S167,'WetLitterbags placem_collection'!U167)</f>
        <v>12</v>
      </c>
      <c r="AJ386">
        <f>AVERAGE('WetLitterbags placem_collection'!R167,'WetLitterbags placem_collection'!T167)</f>
        <v>31.5</v>
      </c>
      <c r="AK386">
        <f>INDEX(Coordinates!$B$2:$B$197,MATCH(H386,Coordinates!$J$2:$J$197,0))</f>
        <v>-2.2724750170000001</v>
      </c>
      <c r="AL386">
        <f>INDEX(Coordinates!$C$2:$C$197,MATCH(H386,Coordinates!$J$2:$J$197,0))</f>
        <v>34.02334501</v>
      </c>
      <c r="AM386" t="str">
        <f>IF(ISNUMBER(SEARCH("C", 'WetLitterbags placem_collection'!$W167)),"YES","NO")</f>
        <v>NO</v>
      </c>
      <c r="AN386" t="str">
        <f>IF(ISNUMBER(SEARCH("H", 'WetLitterbags placem_collection'!$W167)),"YES","NO")</f>
        <v>YES</v>
      </c>
      <c r="AO386" t="str">
        <f>IF(ISNUMBER(SEARCH("R", 'WetLitterbags placem_collection'!$W167)),"YES","NO")</f>
        <v>NO</v>
      </c>
    </row>
    <row r="387" spans="1:41" ht="15" customHeight="1">
      <c r="A387" s="255" t="s">
        <v>2454</v>
      </c>
      <c r="B387" s="260">
        <f>'Dry_Litterbag Placem_Collection'!A168</f>
        <v>166</v>
      </c>
      <c r="C387" s="260" t="str">
        <f>'Dry_Litterbag Placem_Collection'!B168</f>
        <v>Handajega</v>
      </c>
      <c r="D387" s="260" t="s">
        <v>2454</v>
      </c>
      <c r="E387" s="260" t="s">
        <v>2645</v>
      </c>
      <c r="F387" s="260">
        <v>1</v>
      </c>
      <c r="G387" s="260" t="s">
        <v>3825</v>
      </c>
      <c r="H387" s="261" t="str">
        <f>'Dry_Litterbag Placem_Collection'!C168</f>
        <v>Wet_W1_T6</v>
      </c>
      <c r="I387" s="262" t="s">
        <v>2525</v>
      </c>
      <c r="J387" s="269" t="s">
        <v>298</v>
      </c>
      <c r="K387" s="221" t="str">
        <f>'WetLitterbags placem_collection'!M168</f>
        <v>R287</v>
      </c>
      <c r="L387" s="223">
        <f>IFERROR(INDEX('Green_rooibos initial weight'!$C$5:$C$2000,MATCH(K387, 'Green_rooibos initial weight'!$A$5:$A$2000,0)),"")</f>
        <v>2.1960000000000002</v>
      </c>
      <c r="M387" s="223">
        <f>IFERROR(L387-(TBIcalc!$H$9+TBIcalc!$H$10),"")</f>
        <v>1.9462000000000002</v>
      </c>
      <c r="N387" s="385">
        <f>AVERAGE(Ashed_controlls!$K$2:$K$11)</f>
        <v>5.5147656768714146</v>
      </c>
      <c r="O387" s="223">
        <f t="shared" ref="O387:O450" si="31">IFERROR(M387-(N387/100)*M387,"")</f>
        <v>1.8388716303967287</v>
      </c>
      <c r="P387" s="223">
        <f>IFERROR(INDEX('Both teabags AfterWet'!$C$3:$C$840,MATCH(K387,'Both teabags AfterWet'!$A$3:$A$840,0)),"")</f>
        <v>1.6496999999999999</v>
      </c>
      <c r="Q387" s="223">
        <f>IFERROR(IF(P387&gt;0,P387-(TBIcalc!$H$9),""),"")</f>
        <v>1.4990999999999999</v>
      </c>
      <c r="R387" s="223">
        <f>IFERROR(INDEX('Ashed teabags wet'!$K$2:$K$2000,MATCH(K387,'Ashed teabags wet'!$A$2:$A$2000,0)),"")</f>
        <v>1.9136408243378245</v>
      </c>
      <c r="S387" s="223">
        <f t="shared" ref="S387:S450" si="32">IFERROR(Q387-(R387/100)*Q387,"")</f>
        <v>1.4704126104023516</v>
      </c>
      <c r="T387" s="224">
        <f>'WetLitterbags placem_collection'!E168</f>
        <v>42763</v>
      </c>
      <c r="U387" s="224">
        <f>IF('WetLitterbags placem_collection'!G168="","",'WetLitterbags placem_collection'!G168)</f>
        <v>42814</v>
      </c>
      <c r="V387" s="225">
        <f t="shared" si="30"/>
        <v>51</v>
      </c>
      <c r="W387" s="223">
        <f t="shared" ref="W387:W450" si="33">IFERROR(M387-Q387,"")</f>
        <v>0.44710000000000027</v>
      </c>
      <c r="X387" s="223">
        <f t="shared" ref="X387:X450" si="34">IFERROR(O387-S387,"")</f>
        <v>0.36845901999437713</v>
      </c>
      <c r="Y387">
        <f>IFERROR(INDEX(Rainfall_Wet!$O$2:$O$217,MATCH(B387, Rainfall_Wet!$A$2:$A$217,0)),"")</f>
        <v>181.383442621</v>
      </c>
      <c r="Z387" s="228">
        <v>21.96</v>
      </c>
      <c r="AA387" s="228">
        <v>4.9199999999999982</v>
      </c>
      <c r="AB387" s="228">
        <v>73.12</v>
      </c>
      <c r="AC387" s="229" t="s">
        <v>2654</v>
      </c>
      <c r="AD387" s="228">
        <v>6.2416954164613099</v>
      </c>
      <c r="AE387">
        <f>IF('WetLitterbags placem_collection'!AB168="","",'WetLitterbags placem_collection'!AB168)</f>
        <v>2.1</v>
      </c>
      <c r="AF387">
        <f>IF('WetLitterbags placem_collection'!Z168="","",'WetLitterbags placem_collection'!Z168)</f>
        <v>4.7</v>
      </c>
      <c r="AG387" s="243" t="str">
        <f>IF('WetLitterbags placem_collection'!AA168="","",'WetLitterbags placem_collection'!AA168)</f>
        <v>M</v>
      </c>
      <c r="AH387">
        <f>IF('WetLitterbags placem_collection'!AC168="","",'WetLitterbags placem_collection'!AC168)</f>
        <v>0</v>
      </c>
      <c r="AI387" s="237">
        <f>AVERAGE('WetLitterbags placem_collection'!S168,'WetLitterbags placem_collection'!U168)</f>
        <v>11</v>
      </c>
      <c r="AJ387">
        <f>AVERAGE('WetLitterbags placem_collection'!R168,'WetLitterbags placem_collection'!T168)</f>
        <v>31.5</v>
      </c>
      <c r="AK387">
        <f>INDEX(Coordinates!$B$2:$B$197,MATCH(H387,Coordinates!$J$2:$J$197,0))</f>
        <v>-2.2725490289999999</v>
      </c>
      <c r="AL387">
        <f>INDEX(Coordinates!$C$2:$C$197,MATCH(H387,Coordinates!$J$2:$J$197,0))</f>
        <v>34.022886020000001</v>
      </c>
      <c r="AM387" t="str">
        <f>IF(ISNUMBER(SEARCH("C", 'WetLitterbags placem_collection'!$W168)),"YES","NO")</f>
        <v>NO</v>
      </c>
      <c r="AN387" t="str">
        <f>IF(ISNUMBER(SEARCH("H", 'WetLitterbags placem_collection'!$W168)),"YES","NO")</f>
        <v>NO</v>
      </c>
      <c r="AO387" t="str">
        <f>IF(ISNUMBER(SEARCH("R", 'WetLitterbags placem_collection'!$W168)),"YES","NO")</f>
        <v>NO</v>
      </c>
    </row>
    <row r="388" spans="1:41" ht="15" customHeight="1">
      <c r="A388" s="255" t="s">
        <v>2454</v>
      </c>
      <c r="B388" s="260">
        <f>'Dry_Litterbag Placem_Collection'!A169</f>
        <v>167</v>
      </c>
      <c r="C388" s="260" t="str">
        <f>'Dry_Litterbag Placem_Collection'!B169</f>
        <v>Handajega</v>
      </c>
      <c r="D388" s="260" t="s">
        <v>2454</v>
      </c>
      <c r="E388" s="260" t="s">
        <v>2645</v>
      </c>
      <c r="F388" s="260">
        <v>1</v>
      </c>
      <c r="G388" s="260" t="s">
        <v>3825</v>
      </c>
      <c r="H388" s="261" t="str">
        <f>'Dry_Litterbag Placem_Collection'!C169</f>
        <v>Wet_W1_T7</v>
      </c>
      <c r="I388" s="262" t="s">
        <v>2525</v>
      </c>
      <c r="J388" s="269" t="s">
        <v>298</v>
      </c>
      <c r="K388" s="221" t="str">
        <f>'WetLitterbags placem_collection'!M169</f>
        <v>R255</v>
      </c>
      <c r="L388" s="223">
        <f>IFERROR(INDEX('Green_rooibos initial weight'!$C$5:$C$2000,MATCH(K388, 'Green_rooibos initial weight'!$A$5:$A$2000,0)),"")</f>
        <v>2.1859999999999999</v>
      </c>
      <c r="M388" s="223">
        <f>IFERROR(L388-(TBIcalc!$H$9+TBIcalc!$H$10),"")</f>
        <v>1.9361999999999999</v>
      </c>
      <c r="N388" s="385">
        <f>AVERAGE(Ashed_controlls!$K$2:$K$11)</f>
        <v>5.5147656768714146</v>
      </c>
      <c r="O388" s="223">
        <f t="shared" si="31"/>
        <v>1.8294231069644156</v>
      </c>
      <c r="P388" s="223">
        <f>IFERROR(INDEX('Both teabags AfterWet'!$C$3:$C$840,MATCH(K388,'Both teabags AfterWet'!$A$3:$A$840,0)),"")</f>
        <v>1.7073</v>
      </c>
      <c r="Q388" s="223">
        <f>IFERROR(IF(P388&gt;0,P388-(TBIcalc!$H$9),""),"")</f>
        <v>1.5567</v>
      </c>
      <c r="R388" s="223">
        <f>IFERROR(INDEX('Ashed teabags wet'!$K$2:$K$2000,MATCH(K388,'Ashed teabags wet'!$A$2:$A$2000,0)),"")</f>
        <v>1.7424975798647639</v>
      </c>
      <c r="S388" s="223">
        <f t="shared" si="32"/>
        <v>1.5295745401742451</v>
      </c>
      <c r="T388" s="224">
        <f>'WetLitterbags placem_collection'!E169</f>
        <v>42763</v>
      </c>
      <c r="U388" s="224">
        <f>IF('WetLitterbags placem_collection'!G169="","",'WetLitterbags placem_collection'!G169)</f>
        <v>42814</v>
      </c>
      <c r="V388" s="225">
        <f t="shared" si="30"/>
        <v>51</v>
      </c>
      <c r="W388" s="223">
        <f t="shared" si="33"/>
        <v>0.37949999999999995</v>
      </c>
      <c r="X388" s="223">
        <f t="shared" si="34"/>
        <v>0.29984856679017047</v>
      </c>
      <c r="Y388">
        <f>IFERROR(INDEX(Rainfall_Wet!$O$2:$O$217,MATCH(B388, Rainfall_Wet!$A$2:$A$217,0)),"")</f>
        <v>181.383442621</v>
      </c>
      <c r="Z388" s="228">
        <v>21.96</v>
      </c>
      <c r="AA388" s="228">
        <v>4.9199999999999982</v>
      </c>
      <c r="AB388" s="228">
        <v>73.12</v>
      </c>
      <c r="AC388" s="229" t="s">
        <v>2654</v>
      </c>
      <c r="AD388" s="228">
        <v>7.2416954164613099</v>
      </c>
      <c r="AE388">
        <f>IF('WetLitterbags placem_collection'!AB169="","",'WetLitterbags placem_collection'!AB169)</f>
        <v>5.6</v>
      </c>
      <c r="AF388">
        <f>IF('WetLitterbags placem_collection'!Z169="","",'WetLitterbags placem_collection'!Z169)</f>
        <v>4.2</v>
      </c>
      <c r="AG388" s="243" t="str">
        <f>IF('WetLitterbags placem_collection'!AA169="","",'WetLitterbags placem_collection'!AA169)</f>
        <v>M</v>
      </c>
      <c r="AH388">
        <f>IF('WetLitterbags placem_collection'!AC169="","",'WetLitterbags placem_collection'!AC169)</f>
        <v>1</v>
      </c>
      <c r="AI388" s="237">
        <f>AVERAGE('WetLitterbags placem_collection'!S169,'WetLitterbags placem_collection'!U169)</f>
        <v>10.45</v>
      </c>
      <c r="AJ388">
        <f>AVERAGE('WetLitterbags placem_collection'!R169,'WetLitterbags placem_collection'!T169)</f>
        <v>31</v>
      </c>
      <c r="AK388">
        <f>INDEX(Coordinates!$B$2:$B$197,MATCH(H388,Coordinates!$J$2:$J$197,0))</f>
        <v>-2.2729950310000002</v>
      </c>
      <c r="AL388">
        <f>INDEX(Coordinates!$C$2:$C$197,MATCH(H388,Coordinates!$J$2:$J$197,0))</f>
        <v>34.022923990000002</v>
      </c>
      <c r="AM388" t="str">
        <f>IF(ISNUMBER(SEARCH("C", 'WetLitterbags placem_collection'!$W169)),"YES","NO")</f>
        <v>NO</v>
      </c>
      <c r="AN388" t="str">
        <f>IF(ISNUMBER(SEARCH("H", 'WetLitterbags placem_collection'!$W169)),"YES","NO")</f>
        <v>NO</v>
      </c>
      <c r="AO388" t="str">
        <f>IF(ISNUMBER(SEARCH("R", 'WetLitterbags placem_collection'!$W169)),"YES","NO")</f>
        <v>NO</v>
      </c>
    </row>
    <row r="389" spans="1:41" ht="15" customHeight="1">
      <c r="A389" s="255" t="s">
        <v>2454</v>
      </c>
      <c r="B389" s="260">
        <f>'Dry_Litterbag Placem_Collection'!A170</f>
        <v>168</v>
      </c>
      <c r="C389" s="260" t="str">
        <f>'Dry_Litterbag Placem_Collection'!B170</f>
        <v>Handajega</v>
      </c>
      <c r="D389" s="260" t="s">
        <v>2454</v>
      </c>
      <c r="E389" s="260" t="s">
        <v>2645</v>
      </c>
      <c r="F389" s="260">
        <v>1</v>
      </c>
      <c r="G389" s="260" t="s">
        <v>3825</v>
      </c>
      <c r="H389" s="261" t="str">
        <f>'Dry_Litterbag Placem_Collection'!C170</f>
        <v>Wet_W1_T8</v>
      </c>
      <c r="I389" s="262" t="s">
        <v>2525</v>
      </c>
      <c r="J389" s="269" t="s">
        <v>298</v>
      </c>
      <c r="K389" s="221" t="str">
        <f>'WetLitterbags placem_collection'!M170</f>
        <v>R534</v>
      </c>
      <c r="L389" s="223">
        <f>IFERROR(INDEX('Green_rooibos initial weight'!$C$5:$C$2000,MATCH(K389, 'Green_rooibos initial weight'!$A$5:$A$2000,0)),"")</f>
        <v>2.17</v>
      </c>
      <c r="M389" s="223">
        <f>IFERROR(L389-(TBIcalc!$H$9+TBIcalc!$H$10),"")</f>
        <v>1.9201999999999999</v>
      </c>
      <c r="N389" s="385">
        <f>AVERAGE(Ashed_controlls!$K$2:$K$11)</f>
        <v>5.5147656768714146</v>
      </c>
      <c r="O389" s="223">
        <f t="shared" si="31"/>
        <v>1.814305469472715</v>
      </c>
      <c r="P389" s="223">
        <f>IFERROR(INDEX('Both teabags AfterWet'!$C$3:$C$840,MATCH(K389,'Both teabags AfterWet'!$A$3:$A$840,0)),"")</f>
        <v>1.722</v>
      </c>
      <c r="Q389" s="223">
        <f>IFERROR(IF(P389&gt;0,P389-(TBIcalc!$H$9),""),"")</f>
        <v>1.5713999999999999</v>
      </c>
      <c r="R389" s="223">
        <f>IFERROR(INDEX('Ashed teabags wet'!$K$2:$K$2000,MATCH(K389,'Ashed teabags wet'!$A$2:$A$2000,0)),"")</f>
        <v>1.9733596447958683</v>
      </c>
      <c r="S389" s="223">
        <f t="shared" si="32"/>
        <v>1.5403906265416776</v>
      </c>
      <c r="T389" s="224">
        <f>'WetLitterbags placem_collection'!E170</f>
        <v>42763</v>
      </c>
      <c r="U389" s="224">
        <f>IF('WetLitterbags placem_collection'!G170="","",'WetLitterbags placem_collection'!G170)</f>
        <v>42814</v>
      </c>
      <c r="V389" s="225">
        <f t="shared" si="30"/>
        <v>51</v>
      </c>
      <c r="W389" s="223">
        <f t="shared" si="33"/>
        <v>0.3488</v>
      </c>
      <c r="X389" s="223">
        <f t="shared" si="34"/>
        <v>0.27391484293103741</v>
      </c>
      <c r="Y389">
        <f>IFERROR(INDEX(Rainfall_Wet!$O$2:$O$217,MATCH(B389, Rainfall_Wet!$A$2:$A$217,0)),"")</f>
        <v>181.383442621</v>
      </c>
      <c r="Z389" s="228">
        <v>21.96</v>
      </c>
      <c r="AA389" s="228">
        <v>4.9199999999999982</v>
      </c>
      <c r="AB389" s="228">
        <v>73.12</v>
      </c>
      <c r="AC389" s="229" t="s">
        <v>2654</v>
      </c>
      <c r="AD389" s="228">
        <v>8.2416954164613099</v>
      </c>
      <c r="AE389">
        <f>IF('WetLitterbags placem_collection'!AB170="","",'WetLitterbags placem_collection'!AB170)</f>
        <v>2.4</v>
      </c>
      <c r="AF389">
        <f>IF('WetLitterbags placem_collection'!Z170="","",'WetLitterbags placem_collection'!Z170)</f>
        <v>46</v>
      </c>
      <c r="AG389" s="243" t="str">
        <f>IF('WetLitterbags placem_collection'!AA170="","",'WetLitterbags placem_collection'!AA170)</f>
        <v>M</v>
      </c>
      <c r="AH389">
        <f>IF('WetLitterbags placem_collection'!AC170="","",'WetLitterbags placem_collection'!AC170)</f>
        <v>0</v>
      </c>
      <c r="AI389" s="237">
        <f>AVERAGE('WetLitterbags placem_collection'!S170,'WetLitterbags placem_collection'!U170)</f>
        <v>11.25</v>
      </c>
      <c r="AJ389">
        <f>AVERAGE('WetLitterbags placem_collection'!R170,'WetLitterbags placem_collection'!T170)</f>
        <v>33.299999999999997</v>
      </c>
      <c r="AK389">
        <f>INDEX(Coordinates!$B$2:$B$197,MATCH(H389,Coordinates!$J$2:$J$197,0))</f>
        <v>-2.2729129719999999</v>
      </c>
      <c r="AL389">
        <f>INDEX(Coordinates!$C$2:$C$197,MATCH(H389,Coordinates!$J$2:$J$197,0))</f>
        <v>34.023350039999997</v>
      </c>
      <c r="AM389" t="str">
        <f>IF(ISNUMBER(SEARCH("C", 'WetLitterbags placem_collection'!$W170)),"YES","NO")</f>
        <v>NO</v>
      </c>
      <c r="AN389" t="str">
        <f>IF(ISNUMBER(SEARCH("H", 'WetLitterbags placem_collection'!$W170)),"YES","NO")</f>
        <v>NO</v>
      </c>
      <c r="AO389" t="str">
        <f>IF(ISNUMBER(SEARCH("R", 'WetLitterbags placem_collection'!$W170)),"YES","NO")</f>
        <v>NO</v>
      </c>
    </row>
    <row r="390" spans="1:41" ht="15" customHeight="1">
      <c r="A390" s="255" t="s">
        <v>2454</v>
      </c>
      <c r="B390" s="260">
        <f>'Dry_Litterbag Placem_Collection'!A171</f>
        <v>169</v>
      </c>
      <c r="C390" s="260" t="str">
        <f>'Dry_Litterbag Placem_Collection'!B171</f>
        <v>Handajega</v>
      </c>
      <c r="D390" s="260" t="s">
        <v>2454</v>
      </c>
      <c r="E390" s="260" t="s">
        <v>2645</v>
      </c>
      <c r="F390" s="260">
        <v>2</v>
      </c>
      <c r="G390" s="260" t="s">
        <v>3827</v>
      </c>
      <c r="H390" s="261" t="str">
        <f>'Dry_Litterbag Placem_Collection'!C171</f>
        <v>Wet_W2_T1</v>
      </c>
      <c r="I390" s="262" t="s">
        <v>2525</v>
      </c>
      <c r="J390" s="269" t="s">
        <v>298</v>
      </c>
      <c r="K390" s="221" t="str">
        <f>'WetLitterbags placem_collection'!M171</f>
        <v>R453</v>
      </c>
      <c r="L390" s="223">
        <f>IFERROR(INDEX('Green_rooibos initial weight'!$C$5:$C$2000,MATCH(K390, 'Green_rooibos initial weight'!$A$5:$A$2000,0)),"")</f>
        <v>2.165</v>
      </c>
      <c r="M390" s="223">
        <f>IFERROR(L390-(TBIcalc!$H$9+TBIcalc!$H$10),"")</f>
        <v>1.9152</v>
      </c>
      <c r="N390" s="385">
        <f>AVERAGE(Ashed_controlls!$K$2:$K$11)</f>
        <v>5.5147656768714146</v>
      </c>
      <c r="O390" s="223">
        <f t="shared" si="31"/>
        <v>1.8095812077565587</v>
      </c>
      <c r="P390" s="223">
        <f>IFERROR(INDEX('Both teabags AfterWet'!$C$3:$C$840,MATCH(K390,'Both teabags AfterWet'!$A$3:$A$840,0)),"")</f>
        <v>0.14299999999999999</v>
      </c>
      <c r="Q390" s="223">
        <f>IFERROR(IF(P390&gt;0,P390-(TBIcalc!$H$9),""),"")</f>
        <v>-7.6000000000000234E-3</v>
      </c>
      <c r="R390" s="223">
        <f>IFERROR(INDEX('Ashed teabags wet'!$K$2:$K$2000,MATCH(K390,'Ashed teabags wet'!$A$2:$A$2000,0)),"")</f>
        <v>0</v>
      </c>
      <c r="S390" s="223">
        <f t="shared" si="32"/>
        <v>-7.6000000000000234E-3</v>
      </c>
      <c r="T390" s="224">
        <f>'WetLitterbags placem_collection'!E171</f>
        <v>42763</v>
      </c>
      <c r="U390" s="224">
        <f>IF('WetLitterbags placem_collection'!G171="","",'WetLitterbags placem_collection'!G171)</f>
        <v>42814</v>
      </c>
      <c r="V390" s="225">
        <f t="shared" si="30"/>
        <v>51</v>
      </c>
      <c r="W390" s="223">
        <f t="shared" si="33"/>
        <v>1.9228000000000001</v>
      </c>
      <c r="X390" s="223">
        <f t="shared" si="34"/>
        <v>1.8171812077565588</v>
      </c>
      <c r="Y390">
        <f>IFERROR(INDEX(Rainfall_Wet!$O$2:$O$217,MATCH(B390, Rainfall_Wet!$A$2:$A$217,0)),"")</f>
        <v>181.383442621</v>
      </c>
      <c r="Z390" s="228">
        <v>23.96</v>
      </c>
      <c r="AA390" s="228">
        <v>4.9199999999999982</v>
      </c>
      <c r="AB390" s="228">
        <v>71.12</v>
      </c>
      <c r="AC390" s="229" t="s">
        <v>2654</v>
      </c>
      <c r="AD390" s="228">
        <v>3.30913750616067</v>
      </c>
      <c r="AE390">
        <f>IF('WetLitterbags placem_collection'!AB171="","",'WetLitterbags placem_collection'!AB171)</f>
        <v>8.1999999999999993</v>
      </c>
      <c r="AF390">
        <f>IF('WetLitterbags placem_collection'!Z171="","",'WetLitterbags placem_collection'!Z171)</f>
        <v>11.4</v>
      </c>
      <c r="AG390" s="243" t="str">
        <f>IF('WetLitterbags placem_collection'!AA171="","",'WetLitterbags placem_collection'!AA171)</f>
        <v>O</v>
      </c>
      <c r="AH390">
        <f>IF('WetLitterbags placem_collection'!AC171="","",'WetLitterbags placem_collection'!AC171)</f>
        <v>1</v>
      </c>
      <c r="AI390" s="237">
        <f>AVERAGE('WetLitterbags placem_collection'!S171,'WetLitterbags placem_collection'!U171)</f>
        <v>9.65</v>
      </c>
      <c r="AJ390">
        <f>AVERAGE('WetLitterbags placem_collection'!R171,'WetLitterbags placem_collection'!T171)</f>
        <v>36.200000000000003</v>
      </c>
      <c r="AK390">
        <f>INDEX(Coordinates!$B$2:$B$197,MATCH(H390,Coordinates!$J$2:$J$197,0))</f>
        <v>-2.2784290180000002</v>
      </c>
      <c r="AL390">
        <f>INDEX(Coordinates!$C$2:$C$197,MATCH(H390,Coordinates!$J$2:$J$197,0))</f>
        <v>34.024240030000001</v>
      </c>
      <c r="AM390" t="str">
        <f>IF(ISNUMBER(SEARCH("C", 'WetLitterbags placem_collection'!$W171)),"YES","NO")</f>
        <v>YES</v>
      </c>
      <c r="AN390" t="str">
        <f>IF(ISNUMBER(SEARCH("H", 'WetLitterbags placem_collection'!$W171)),"YES","NO")</f>
        <v>YES</v>
      </c>
      <c r="AO390" t="str">
        <f>IF(ISNUMBER(SEARCH("R", 'WetLitterbags placem_collection'!$W171)),"YES","NO")</f>
        <v>NO</v>
      </c>
    </row>
    <row r="391" spans="1:41" ht="15" customHeight="1">
      <c r="A391" s="255" t="s">
        <v>2454</v>
      </c>
      <c r="B391" s="260">
        <f>'Dry_Litterbag Placem_Collection'!A172</f>
        <v>170</v>
      </c>
      <c r="C391" s="260" t="str">
        <f>'Dry_Litterbag Placem_Collection'!B172</f>
        <v>Handajega</v>
      </c>
      <c r="D391" s="260" t="s">
        <v>2454</v>
      </c>
      <c r="E391" s="260" t="s">
        <v>2645</v>
      </c>
      <c r="F391" s="260">
        <v>2</v>
      </c>
      <c r="G391" s="260" t="s">
        <v>3827</v>
      </c>
      <c r="H391" s="261" t="str">
        <f>'Dry_Litterbag Placem_Collection'!C172</f>
        <v>Wet_W2_T2</v>
      </c>
      <c r="I391" s="262" t="s">
        <v>2525</v>
      </c>
      <c r="J391" s="269" t="s">
        <v>298</v>
      </c>
      <c r="K391" s="221" t="str">
        <f>'WetLitterbags placem_collection'!M172</f>
        <v>R330</v>
      </c>
      <c r="L391" s="223">
        <f>IFERROR(INDEX('Green_rooibos initial weight'!$C$5:$C$2000,MATCH(K391, 'Green_rooibos initial weight'!$A$5:$A$2000,0)),"")</f>
        <v>2.12</v>
      </c>
      <c r="M391" s="223">
        <f>IFERROR(L391-(TBIcalc!$H$9+TBIcalc!$H$10),"")</f>
        <v>1.8702000000000001</v>
      </c>
      <c r="N391" s="385">
        <f>AVERAGE(Ashed_controlls!$K$2:$K$11)</f>
        <v>5.5147656768714146</v>
      </c>
      <c r="O391" s="223">
        <f t="shared" si="31"/>
        <v>1.7670628523111509</v>
      </c>
      <c r="P391" s="223">
        <f>IFERROR(INDEX('Both teabags AfterWet'!$C$3:$C$840,MATCH(K391,'Both teabags AfterWet'!$A$3:$A$840,0)),"")</f>
        <v>1.7769999999999999</v>
      </c>
      <c r="Q391" s="223">
        <f>IFERROR(IF(P391&gt;0,P391-(TBIcalc!$H$9),""),"")</f>
        <v>1.6263999999999998</v>
      </c>
      <c r="R391" s="223">
        <f>IFERROR(INDEX('Ashed teabags wet'!$K$2:$K$2000,MATCH(K391,'Ashed teabags wet'!$A$2:$A$2000,0)),"")</f>
        <v>2.1642892277422194</v>
      </c>
      <c r="S391" s="223">
        <f t="shared" si="32"/>
        <v>1.5912000000000004</v>
      </c>
      <c r="T391" s="224">
        <f>'WetLitterbags placem_collection'!E172</f>
        <v>42763</v>
      </c>
      <c r="U391" s="224">
        <f>IF('WetLitterbags placem_collection'!G172="","",'WetLitterbags placem_collection'!G172)</f>
        <v>42814</v>
      </c>
      <c r="V391" s="225">
        <f t="shared" si="30"/>
        <v>51</v>
      </c>
      <c r="W391" s="223">
        <f t="shared" si="33"/>
        <v>0.24380000000000024</v>
      </c>
      <c r="X391" s="223">
        <f t="shared" si="34"/>
        <v>0.17586285231115051</v>
      </c>
      <c r="Y391">
        <f>IFERROR(INDEX(Rainfall_Wet!$O$2:$O$217,MATCH(B391, Rainfall_Wet!$A$2:$A$217,0)),"")</f>
        <v>181.383442621</v>
      </c>
      <c r="Z391" s="228">
        <v>23.96</v>
      </c>
      <c r="AA391" s="228">
        <v>4.9199999999999982</v>
      </c>
      <c r="AB391" s="228">
        <v>71.12</v>
      </c>
      <c r="AC391" s="229" t="s">
        <v>2654</v>
      </c>
      <c r="AD391" s="228">
        <v>4.3091375061606696</v>
      </c>
      <c r="AE391">
        <f>IF('WetLitterbags placem_collection'!AB172="","",'WetLitterbags placem_collection'!AB172)</f>
        <v>7.7</v>
      </c>
      <c r="AF391">
        <f>IF('WetLitterbags placem_collection'!Z172="","",'WetLitterbags placem_collection'!Z172)</f>
        <v>15.8</v>
      </c>
      <c r="AG391" s="243" t="str">
        <f>IF('WetLitterbags placem_collection'!AA172="","",'WetLitterbags placem_collection'!AA172)</f>
        <v>O</v>
      </c>
      <c r="AH391">
        <f>IF('WetLitterbags placem_collection'!AC172="","",'WetLitterbags placem_collection'!AC172)</f>
        <v>1</v>
      </c>
      <c r="AI391" s="237">
        <f>AVERAGE('WetLitterbags placem_collection'!S172,'WetLitterbags placem_collection'!U172)</f>
        <v>8.1</v>
      </c>
      <c r="AJ391">
        <f>AVERAGE('WetLitterbags placem_collection'!R172,'WetLitterbags placem_collection'!T172)</f>
        <v>33.599999999999994</v>
      </c>
      <c r="AK391">
        <f>INDEX(Coordinates!$B$2:$B$197,MATCH(H391,Coordinates!$J$2:$J$197,0))</f>
        <v>-2.2784629650000001</v>
      </c>
      <c r="AL391">
        <f>INDEX(Coordinates!$C$2:$C$197,MATCH(H391,Coordinates!$J$2:$J$197,0))</f>
        <v>34.024177999999999</v>
      </c>
      <c r="AM391" t="str">
        <f>IF(ISNUMBER(SEARCH("C", 'WetLitterbags placem_collection'!$W172)),"YES","NO")</f>
        <v>NO</v>
      </c>
      <c r="AN391" t="str">
        <f>IF(ISNUMBER(SEARCH("H", 'WetLitterbags placem_collection'!$W172)),"YES","NO")</f>
        <v>NO</v>
      </c>
      <c r="AO391" t="str">
        <f>IF(ISNUMBER(SEARCH("R", 'WetLitterbags placem_collection'!$W172)),"YES","NO")</f>
        <v>NO</v>
      </c>
    </row>
    <row r="392" spans="1:41" ht="15" customHeight="1">
      <c r="A392" s="255" t="s">
        <v>2454</v>
      </c>
      <c r="B392" s="260">
        <f>'Dry_Litterbag Placem_Collection'!A173</f>
        <v>171</v>
      </c>
      <c r="C392" s="260" t="str">
        <f>'Dry_Litterbag Placem_Collection'!B173</f>
        <v>Handajega</v>
      </c>
      <c r="D392" s="260" t="s">
        <v>2454</v>
      </c>
      <c r="E392" s="260" t="s">
        <v>2645</v>
      </c>
      <c r="F392" s="260">
        <v>2</v>
      </c>
      <c r="G392" s="260" t="s">
        <v>3827</v>
      </c>
      <c r="H392" s="261" t="str">
        <f>'Dry_Litterbag Placem_Collection'!C173</f>
        <v>Wet_W2_T3</v>
      </c>
      <c r="I392" s="262" t="s">
        <v>2525</v>
      </c>
      <c r="J392" s="269" t="s">
        <v>298</v>
      </c>
      <c r="K392" s="221" t="str">
        <f>'WetLitterbags placem_collection'!M173</f>
        <v>R558</v>
      </c>
      <c r="L392" s="223">
        <f>IFERROR(INDEX('Green_rooibos initial weight'!$C$5:$C$2000,MATCH(K392, 'Green_rooibos initial weight'!$A$5:$A$2000,0)),"")</f>
        <v>2.1760000000000002</v>
      </c>
      <c r="M392" s="223">
        <f>IFERROR(L392-(TBIcalc!$H$9+TBIcalc!$H$10),"")</f>
        <v>1.9262000000000001</v>
      </c>
      <c r="N392" s="385">
        <f>AVERAGE(Ashed_controlls!$K$2:$K$11)</f>
        <v>5.5147656768714146</v>
      </c>
      <c r="O392" s="223">
        <f t="shared" si="31"/>
        <v>1.8199745835321028</v>
      </c>
      <c r="P392" s="223">
        <f>IFERROR(INDEX('Both teabags AfterWet'!$C$3:$C$840,MATCH(K392,'Both teabags AfterWet'!$A$3:$A$840,0)),"")</f>
        <v>1.61</v>
      </c>
      <c r="Q392" s="223">
        <f>IFERROR(IF(P392&gt;0,P392-(TBIcalc!$H$9),""),"")</f>
        <v>1.4594</v>
      </c>
      <c r="R392" s="223">
        <f>IFERROR(INDEX('Ashed teabags wet'!$K$2:$K$2000,MATCH(K392,'Ashed teabags wet'!$A$2:$A$2000,0)),"")</f>
        <v>2.9640427599611376</v>
      </c>
      <c r="S392" s="223">
        <f t="shared" si="32"/>
        <v>1.4161427599611272</v>
      </c>
      <c r="T392" s="224">
        <f>'WetLitterbags placem_collection'!E173</f>
        <v>42763</v>
      </c>
      <c r="U392" s="224">
        <f>IF('WetLitterbags placem_collection'!G173="","",'WetLitterbags placem_collection'!G173)</f>
        <v>42814</v>
      </c>
      <c r="V392" s="225">
        <f t="shared" si="30"/>
        <v>51</v>
      </c>
      <c r="W392" s="223">
        <f t="shared" si="33"/>
        <v>0.4668000000000001</v>
      </c>
      <c r="X392" s="223">
        <f t="shared" si="34"/>
        <v>0.40383182357097569</v>
      </c>
      <c r="Y392">
        <f>IFERROR(INDEX(Rainfall_Wet!$O$2:$O$217,MATCH(B392, Rainfall_Wet!$A$2:$A$217,0)),"")</f>
        <v>181.383442621</v>
      </c>
      <c r="Z392" s="228">
        <v>23.96</v>
      </c>
      <c r="AA392" s="228">
        <v>4.9199999999999982</v>
      </c>
      <c r="AB392" s="228">
        <v>71.12</v>
      </c>
      <c r="AC392" s="229" t="s">
        <v>2654</v>
      </c>
      <c r="AD392" s="228">
        <v>5.3091375061606696</v>
      </c>
      <c r="AE392">
        <f>IF('WetLitterbags placem_collection'!AB173="","",'WetLitterbags placem_collection'!AB173)</f>
        <v>13.4</v>
      </c>
      <c r="AF392">
        <f>IF('WetLitterbags placem_collection'!Z173="","",'WetLitterbags placem_collection'!Z173)</f>
        <v>7.6</v>
      </c>
      <c r="AG392" s="243" t="str">
        <f>IF('WetLitterbags placem_collection'!AA173="","",'WetLitterbags placem_collection'!AA173)</f>
        <v>O</v>
      </c>
      <c r="AH392">
        <f>IF('WetLitterbags placem_collection'!AC173="","",'WetLitterbags placem_collection'!AC173)</f>
        <v>1</v>
      </c>
      <c r="AI392" s="237">
        <f>AVERAGE('WetLitterbags placem_collection'!S173,'WetLitterbags placem_collection'!U173)</f>
        <v>10.5</v>
      </c>
      <c r="AJ392">
        <f>AVERAGE('WetLitterbags placem_collection'!R173,'WetLitterbags placem_collection'!T173)</f>
        <v>34.15</v>
      </c>
      <c r="AK392">
        <f>INDEX(Coordinates!$B$2:$B$197,MATCH(H392,Coordinates!$J$2:$J$197,0))</f>
        <v>-2.2785389889999998</v>
      </c>
      <c r="AL392">
        <f>INDEX(Coordinates!$C$2:$C$197,MATCH(H392,Coordinates!$J$2:$J$197,0))</f>
        <v>34.024371039999998</v>
      </c>
      <c r="AM392" t="str">
        <f>IF(ISNUMBER(SEARCH("C", 'WetLitterbags placem_collection'!$W173)),"YES","NO")</f>
        <v>NO</v>
      </c>
      <c r="AN392" t="str">
        <f>IF(ISNUMBER(SEARCH("H", 'WetLitterbags placem_collection'!$W173)),"YES","NO")</f>
        <v>NO</v>
      </c>
      <c r="AO392" t="str">
        <f>IF(ISNUMBER(SEARCH("R", 'WetLitterbags placem_collection'!$W173)),"YES","NO")</f>
        <v>NO</v>
      </c>
    </row>
    <row r="393" spans="1:41" ht="15" customHeight="1">
      <c r="A393" s="255" t="s">
        <v>2454</v>
      </c>
      <c r="B393" s="260">
        <f>'Dry_Litterbag Placem_Collection'!A174</f>
        <v>172</v>
      </c>
      <c r="C393" s="260" t="str">
        <f>'Dry_Litterbag Placem_Collection'!B174</f>
        <v>Handajega</v>
      </c>
      <c r="D393" s="260" t="s">
        <v>2454</v>
      </c>
      <c r="E393" s="260" t="s">
        <v>2645</v>
      </c>
      <c r="F393" s="260">
        <v>2</v>
      </c>
      <c r="G393" s="260" t="s">
        <v>3827</v>
      </c>
      <c r="H393" s="261" t="str">
        <f>'Dry_Litterbag Placem_Collection'!C174</f>
        <v>Wet_W2_T4</v>
      </c>
      <c r="I393" s="262" t="s">
        <v>2525</v>
      </c>
      <c r="J393" s="269" t="s">
        <v>298</v>
      </c>
      <c r="K393" s="221" t="str">
        <f>'WetLitterbags placem_collection'!M174</f>
        <v>R157</v>
      </c>
      <c r="L393" s="223">
        <f>IFERROR(INDEX('Green_rooibos initial weight'!$C$5:$C$2000,MATCH(K393, 'Green_rooibos initial weight'!$A$5:$A$2000,0)),"")</f>
        <v>2.1819999999999999</v>
      </c>
      <c r="M393" s="223">
        <f>IFERROR(L393-(TBIcalc!$H$9+TBIcalc!$H$10),"")</f>
        <v>1.9321999999999999</v>
      </c>
      <c r="N393" s="385">
        <f>AVERAGE(Ashed_controlls!$K$2:$K$11)</f>
        <v>5.5147656768714146</v>
      </c>
      <c r="O393" s="223">
        <f t="shared" si="31"/>
        <v>1.8256436975914905</v>
      </c>
      <c r="P393" s="223">
        <f>IFERROR(INDEX('Both teabags AfterWet'!$C$3:$C$840,MATCH(K393,'Both teabags AfterWet'!$A$3:$A$840,0)),"")</f>
        <v>1.6782000000000001</v>
      </c>
      <c r="Q393" s="223">
        <f>IFERROR(IF(P393&gt;0,P393-(TBIcalc!$H$9),""),"")</f>
        <v>1.5276000000000001</v>
      </c>
      <c r="R393" s="223">
        <f>IFERROR(INDEX('Ashed teabags wet'!$K$2:$K$2000,MATCH(K393,'Ashed teabags wet'!$A$2:$A$2000,0)),"")</f>
        <v>4.6332046332039889</v>
      </c>
      <c r="S393" s="223">
        <f t="shared" si="32"/>
        <v>1.4568231660231759</v>
      </c>
      <c r="T393" s="224">
        <f>'WetLitterbags placem_collection'!E174</f>
        <v>42763</v>
      </c>
      <c r="U393" s="224">
        <f>IF('WetLitterbags placem_collection'!G174="","",'WetLitterbags placem_collection'!G174)</f>
        <v>42814</v>
      </c>
      <c r="V393" s="225">
        <f t="shared" si="30"/>
        <v>51</v>
      </c>
      <c r="W393" s="223">
        <f t="shared" si="33"/>
        <v>0.40459999999999985</v>
      </c>
      <c r="X393" s="223">
        <f t="shared" si="34"/>
        <v>0.36882053156831462</v>
      </c>
      <c r="Y393">
        <f>IFERROR(INDEX(Rainfall_Wet!$O$2:$O$217,MATCH(B393, Rainfall_Wet!$A$2:$A$217,0)),"")</f>
        <v>181.383442621</v>
      </c>
      <c r="Z393" s="228">
        <v>23.96</v>
      </c>
      <c r="AA393" s="228">
        <v>4.9199999999999982</v>
      </c>
      <c r="AB393" s="228">
        <v>71.12</v>
      </c>
      <c r="AC393" s="229" t="s">
        <v>2654</v>
      </c>
      <c r="AD393" s="228">
        <v>6.3091375061606696</v>
      </c>
      <c r="AE393">
        <f>IF('WetLitterbags placem_collection'!AB174="","",'WetLitterbags placem_collection'!AB174)</f>
        <v>3.3</v>
      </c>
      <c r="AF393">
        <f>IF('WetLitterbags placem_collection'!Z174="","",'WetLitterbags placem_collection'!Z174)</f>
        <v>28.4</v>
      </c>
      <c r="AG393" s="243" t="str">
        <f>IF('WetLitterbags placem_collection'!AA174="","",'WetLitterbags placem_collection'!AA174)</f>
        <v>G</v>
      </c>
      <c r="AH393">
        <f>IF('WetLitterbags placem_collection'!AC174="","",'WetLitterbags placem_collection'!AC174)</f>
        <v>1</v>
      </c>
      <c r="AI393" s="237">
        <f>AVERAGE('WetLitterbags placem_collection'!S174,'WetLitterbags placem_collection'!U174)</f>
        <v>9.6499999999999986</v>
      </c>
      <c r="AJ393">
        <f>AVERAGE('WetLitterbags placem_collection'!R174,'WetLitterbags placem_collection'!T174)</f>
        <v>35.1</v>
      </c>
      <c r="AK393">
        <f>INDEX(Coordinates!$B$2:$B$197,MATCH(H393,Coordinates!$J$2:$J$197,0))</f>
        <v>-2.2781410160000002</v>
      </c>
      <c r="AL393">
        <f>INDEX(Coordinates!$C$2:$C$197,MATCH(H393,Coordinates!$J$2:$J$197,0))</f>
        <v>34.024136009999999</v>
      </c>
      <c r="AM393" t="str">
        <f>IF(ISNUMBER(SEARCH("C", 'WetLitterbags placem_collection'!$W174)),"YES","NO")</f>
        <v>NO</v>
      </c>
      <c r="AN393" t="str">
        <f>IF(ISNUMBER(SEARCH("H", 'WetLitterbags placem_collection'!$W174)),"YES","NO")</f>
        <v>NO</v>
      </c>
      <c r="AO393" t="str">
        <f>IF(ISNUMBER(SEARCH("R", 'WetLitterbags placem_collection'!$W174)),"YES","NO")</f>
        <v>YES</v>
      </c>
    </row>
    <row r="394" spans="1:41" ht="15" customHeight="1">
      <c r="A394" s="255" t="s">
        <v>2454</v>
      </c>
      <c r="B394" s="260">
        <f>'Dry_Litterbag Placem_Collection'!A175</f>
        <v>173</v>
      </c>
      <c r="C394" s="260" t="str">
        <f>'Dry_Litterbag Placem_Collection'!B175</f>
        <v>Handajega</v>
      </c>
      <c r="D394" s="260" t="s">
        <v>2454</v>
      </c>
      <c r="E394" s="260" t="s">
        <v>2645</v>
      </c>
      <c r="F394" s="260">
        <v>2</v>
      </c>
      <c r="G394" s="260" t="s">
        <v>3827</v>
      </c>
      <c r="H394" s="261" t="str">
        <f>'Dry_Litterbag Placem_Collection'!C175</f>
        <v>Wet_W2_T5</v>
      </c>
      <c r="I394" s="262" t="s">
        <v>2525</v>
      </c>
      <c r="J394" s="269" t="s">
        <v>298</v>
      </c>
      <c r="K394" s="221" t="str">
        <f>'WetLitterbags placem_collection'!M175</f>
        <v>R57</v>
      </c>
      <c r="L394" s="223">
        <f>IFERROR(INDEX('Green_rooibos initial weight'!$C$5:$C$2000,MATCH(K394, 'Green_rooibos initial weight'!$A$5:$A$2000,0)),"")</f>
        <v>2.1890000000000001</v>
      </c>
      <c r="M394" s="223">
        <f>IFERROR(L394-(TBIcalc!$H$9+TBIcalc!$H$10),"")</f>
        <v>1.9392</v>
      </c>
      <c r="N394" s="385">
        <f>AVERAGE(Ashed_controlls!$K$2:$K$11)</f>
        <v>5.5147656768714146</v>
      </c>
      <c r="O394" s="223">
        <f t="shared" si="31"/>
        <v>1.8322576639941095</v>
      </c>
      <c r="P394" s="223">
        <f>IFERROR(INDEX('Both teabags AfterWet'!$C$3:$C$840,MATCH(K394,'Both teabags AfterWet'!$A$3:$A$840,0)),"")</f>
        <v>7.1999999999999995E-2</v>
      </c>
      <c r="Q394" s="223">
        <f>IFERROR(IF(P394&gt;0,P394-(TBIcalc!$H$9),""),"")</f>
        <v>-7.8600000000000017E-2</v>
      </c>
      <c r="R394" s="223">
        <f>IFERROR(INDEX('Ashed teabags wet'!$K$2:$K$2000,MATCH(K394,'Ashed teabags wet'!$A$2:$A$2000,0)),"")</f>
        <v>0</v>
      </c>
      <c r="S394" s="223">
        <f t="shared" si="32"/>
        <v>-7.8600000000000017E-2</v>
      </c>
      <c r="T394" s="224">
        <f>'WetLitterbags placem_collection'!E175</f>
        <v>42763</v>
      </c>
      <c r="U394" s="224">
        <f>IF('WetLitterbags placem_collection'!G175="","",'WetLitterbags placem_collection'!G175)</f>
        <v>42814</v>
      </c>
      <c r="V394" s="225">
        <f t="shared" si="30"/>
        <v>51</v>
      </c>
      <c r="W394" s="223">
        <f t="shared" si="33"/>
        <v>2.0178000000000003</v>
      </c>
      <c r="X394" s="223">
        <f t="shared" si="34"/>
        <v>1.9108576639941095</v>
      </c>
      <c r="Y394">
        <f>IFERROR(INDEX(Rainfall_Wet!$O$2:$O$217,MATCH(B394, Rainfall_Wet!$A$2:$A$217,0)),"")</f>
        <v>181.383442621</v>
      </c>
      <c r="Z394" s="228">
        <v>23.96</v>
      </c>
      <c r="AA394" s="228">
        <v>4.9199999999999982</v>
      </c>
      <c r="AB394" s="228">
        <v>71.12</v>
      </c>
      <c r="AC394" s="229" t="s">
        <v>2654</v>
      </c>
      <c r="AD394" s="228">
        <v>7.3091375061606696</v>
      </c>
      <c r="AE394">
        <f>IF('WetLitterbags placem_collection'!AB175="","",'WetLitterbags placem_collection'!AB175)</f>
        <v>15.4</v>
      </c>
      <c r="AF394">
        <f>IF('WetLitterbags placem_collection'!Z175="","",'WetLitterbags placem_collection'!Z175)</f>
        <v>12.4</v>
      </c>
      <c r="AG394" s="243" t="str">
        <f>IF('WetLitterbags placem_collection'!AA175="","",'WetLitterbags placem_collection'!AA175)</f>
        <v>O</v>
      </c>
      <c r="AH394">
        <f>IF('WetLitterbags placem_collection'!AC175="","",'WetLitterbags placem_collection'!AC175)</f>
        <v>0</v>
      </c>
      <c r="AI394" s="237">
        <f>AVERAGE('WetLitterbags placem_collection'!S175,'WetLitterbags placem_collection'!U175)</f>
        <v>10.450000000000001</v>
      </c>
      <c r="AJ394">
        <f>AVERAGE('WetLitterbags placem_collection'!R175,'WetLitterbags placem_collection'!T175)</f>
        <v>36.349999999999994</v>
      </c>
      <c r="AK394">
        <f>INDEX(Coordinates!$B$2:$B$197,MATCH(H394,Coordinates!$J$2:$J$197,0))</f>
        <v>-2.27856799</v>
      </c>
      <c r="AL394">
        <f>INDEX(Coordinates!$C$2:$C$197,MATCH(H394,Coordinates!$J$2:$J$197,0))</f>
        <v>34.023969970000003</v>
      </c>
      <c r="AM394" t="str">
        <f>IF(ISNUMBER(SEARCH("C", 'WetLitterbags placem_collection'!$W175)),"YES","NO")</f>
        <v>YES</v>
      </c>
      <c r="AN394" t="str">
        <f>IF(ISNUMBER(SEARCH("H", 'WetLitterbags placem_collection'!$W175)),"YES","NO")</f>
        <v>YES</v>
      </c>
      <c r="AO394" t="str">
        <f>IF(ISNUMBER(SEARCH("R", 'WetLitterbags placem_collection'!$W175)),"YES","NO")</f>
        <v>NO</v>
      </c>
    </row>
    <row r="395" spans="1:41" ht="15" customHeight="1">
      <c r="A395" s="255" t="s">
        <v>2454</v>
      </c>
      <c r="B395" s="260">
        <f>'Dry_Litterbag Placem_Collection'!A176</f>
        <v>174</v>
      </c>
      <c r="C395" s="260" t="str">
        <f>'Dry_Litterbag Placem_Collection'!B176</f>
        <v>Handajega</v>
      </c>
      <c r="D395" s="260" t="s">
        <v>2454</v>
      </c>
      <c r="E395" s="260" t="s">
        <v>2645</v>
      </c>
      <c r="F395" s="260">
        <v>2</v>
      </c>
      <c r="G395" s="260" t="s">
        <v>3827</v>
      </c>
      <c r="H395" s="261" t="str">
        <f>'Dry_Litterbag Placem_Collection'!C176</f>
        <v>Wet_W2_T6</v>
      </c>
      <c r="I395" s="262" t="s">
        <v>2525</v>
      </c>
      <c r="J395" s="269" t="s">
        <v>298</v>
      </c>
      <c r="K395" s="221" t="str">
        <f>'WetLitterbags placem_collection'!M176</f>
        <v>R307</v>
      </c>
      <c r="L395" s="223">
        <f>IFERROR(INDEX('Green_rooibos initial weight'!$C$5:$C$2000,MATCH(K395, 'Green_rooibos initial weight'!$A$5:$A$2000,0)),"")</f>
        <v>2.2010000000000001</v>
      </c>
      <c r="M395" s="223">
        <f>IFERROR(L395-(TBIcalc!$H$9+TBIcalc!$H$10),"")</f>
        <v>1.9512</v>
      </c>
      <c r="N395" s="385">
        <f>AVERAGE(Ashed_controlls!$K$2:$K$11)</f>
        <v>5.5147656768714146</v>
      </c>
      <c r="O395" s="223">
        <f t="shared" si="31"/>
        <v>1.843595892112885</v>
      </c>
      <c r="P395" s="223">
        <f>IFERROR(INDEX('Both teabags AfterWet'!$C$3:$C$840,MATCH(K395,'Both teabags AfterWet'!$A$3:$A$840,0)),"")</f>
        <v>1.724</v>
      </c>
      <c r="Q395" s="223">
        <f>IFERROR(IF(P395&gt;0,P395-(TBIcalc!$H$9),""),"")</f>
        <v>1.5733999999999999</v>
      </c>
      <c r="R395" s="223">
        <f>IFERROR(INDEX('Ashed teabags wet'!$K$2:$K$2000,MATCH(K395,'Ashed teabags wet'!$A$2:$A$2000,0)),"")</f>
        <v>1.5880893300249692</v>
      </c>
      <c r="S395" s="223">
        <f t="shared" si="32"/>
        <v>1.5484130024813871</v>
      </c>
      <c r="T395" s="224">
        <f>'WetLitterbags placem_collection'!E176</f>
        <v>42763</v>
      </c>
      <c r="U395" s="224">
        <f>IF('WetLitterbags placem_collection'!G176="","",'WetLitterbags placem_collection'!G176)</f>
        <v>42814</v>
      </c>
      <c r="V395" s="225">
        <f t="shared" si="30"/>
        <v>51</v>
      </c>
      <c r="W395" s="223">
        <f t="shared" si="33"/>
        <v>0.37780000000000014</v>
      </c>
      <c r="X395" s="223">
        <f t="shared" si="34"/>
        <v>0.29518288963149786</v>
      </c>
      <c r="Y395">
        <f>IFERROR(INDEX(Rainfall_Wet!$O$2:$O$217,MATCH(B395, Rainfall_Wet!$A$2:$A$217,0)),"")</f>
        <v>181.383442621</v>
      </c>
      <c r="Z395" s="228">
        <v>23.96</v>
      </c>
      <c r="AA395" s="228">
        <v>4.9199999999999982</v>
      </c>
      <c r="AB395" s="228">
        <v>71.12</v>
      </c>
      <c r="AC395" s="229" t="s">
        <v>2654</v>
      </c>
      <c r="AD395" s="228">
        <v>8.3091375061606705</v>
      </c>
      <c r="AE395">
        <f>IF('WetLitterbags placem_collection'!AB176="","",'WetLitterbags placem_collection'!AB176)</f>
        <v>7.4</v>
      </c>
      <c r="AF395">
        <f>IF('WetLitterbags placem_collection'!Z176="","",'WetLitterbags placem_collection'!Z176)</f>
        <v>7.4</v>
      </c>
      <c r="AG395" s="243" t="str">
        <f>IF('WetLitterbags placem_collection'!AA176="","",'WetLitterbags placem_collection'!AA176)</f>
        <v>O</v>
      </c>
      <c r="AH395">
        <f>IF('WetLitterbags placem_collection'!AC176="","",'WetLitterbags placem_collection'!AC176)</f>
        <v>0</v>
      </c>
      <c r="AI395" s="237">
        <f>AVERAGE('WetLitterbags placem_collection'!S176,'WetLitterbags placem_collection'!U176)</f>
        <v>17.75</v>
      </c>
      <c r="AJ395">
        <f>AVERAGE('WetLitterbags placem_collection'!R176,'WetLitterbags placem_collection'!T176)</f>
        <v>34.85</v>
      </c>
      <c r="AK395">
        <f>INDEX(Coordinates!$B$2:$B$197,MATCH(H395,Coordinates!$J$2:$J$197,0))</f>
        <v>-2.2786809780000001</v>
      </c>
      <c r="AL395">
        <f>INDEX(Coordinates!$C$2:$C$197,MATCH(H395,Coordinates!$J$2:$J$197,0))</f>
        <v>34.02434899</v>
      </c>
      <c r="AM395" t="str">
        <f>IF(ISNUMBER(SEARCH("C", 'WetLitterbags placem_collection'!$W176)),"YES","NO")</f>
        <v>NO</v>
      </c>
      <c r="AN395" t="str">
        <f>IF(ISNUMBER(SEARCH("H", 'WetLitterbags placem_collection'!$W176)),"YES","NO")</f>
        <v>NO</v>
      </c>
      <c r="AO395" t="str">
        <f>IF(ISNUMBER(SEARCH("R", 'WetLitterbags placem_collection'!$W176)),"YES","NO")</f>
        <v>YES</v>
      </c>
    </row>
    <row r="396" spans="1:41" ht="15" customHeight="1">
      <c r="A396" s="255" t="s">
        <v>2454</v>
      </c>
      <c r="B396" s="260">
        <f>'Dry_Litterbag Placem_Collection'!A177</f>
        <v>175</v>
      </c>
      <c r="C396" s="260" t="str">
        <f>'Dry_Litterbag Placem_Collection'!B177</f>
        <v>Handajega</v>
      </c>
      <c r="D396" s="260" t="s">
        <v>2454</v>
      </c>
      <c r="E396" s="260" t="s">
        <v>2645</v>
      </c>
      <c r="F396" s="260">
        <v>2</v>
      </c>
      <c r="G396" s="260" t="s">
        <v>3827</v>
      </c>
      <c r="H396" s="261" t="str">
        <f>'Dry_Litterbag Placem_Collection'!C177</f>
        <v>Wet_W2_T7</v>
      </c>
      <c r="I396" s="262" t="s">
        <v>2525</v>
      </c>
      <c r="J396" s="269" t="s">
        <v>298</v>
      </c>
      <c r="K396" s="221" t="str">
        <f>'WetLitterbags placem_collection'!M177</f>
        <v>R458</v>
      </c>
      <c r="L396" s="223">
        <f>IFERROR(INDEX('Green_rooibos initial weight'!$C$5:$C$2000,MATCH(K396, 'Green_rooibos initial weight'!$A$5:$A$2000,0)),"")</f>
        <v>2.2370000000000001</v>
      </c>
      <c r="M396" s="223">
        <f>IFERROR(L396-(TBIcalc!$H$9+TBIcalc!$H$10),"")</f>
        <v>1.9872000000000001</v>
      </c>
      <c r="N396" s="385">
        <f>AVERAGE(Ashed_controlls!$K$2:$K$11)</f>
        <v>5.5147656768714146</v>
      </c>
      <c r="O396" s="223">
        <f t="shared" si="31"/>
        <v>1.8776105764692113</v>
      </c>
      <c r="P396" s="223">
        <f>IFERROR(INDEX('Both teabags AfterWet'!$C$3:$C$840,MATCH(K396,'Both teabags AfterWet'!$A$3:$A$840,0)),"")</f>
        <v>0.61699999999999999</v>
      </c>
      <c r="Q396" s="223">
        <f>IFERROR(IF(P396&gt;0,P396-(TBIcalc!$H$9),""),"")</f>
        <v>0.46639999999999998</v>
      </c>
      <c r="R396" s="223">
        <f>IFERROR(INDEX('Ashed teabags wet'!$K$2:$K$2000,MATCH(K396,'Ashed teabags wet'!$A$2:$A$2000,0)),"")</f>
        <v>65.665665665665671</v>
      </c>
      <c r="S396" s="223">
        <f t="shared" si="32"/>
        <v>0.1601353353353353</v>
      </c>
      <c r="T396" s="224">
        <f>'WetLitterbags placem_collection'!E177</f>
        <v>42763</v>
      </c>
      <c r="U396" s="224">
        <f>IF('WetLitterbags placem_collection'!G177="","",'WetLitterbags placem_collection'!G177)</f>
        <v>42814</v>
      </c>
      <c r="V396" s="225">
        <f t="shared" si="30"/>
        <v>51</v>
      </c>
      <c r="W396" s="223">
        <f t="shared" si="33"/>
        <v>1.5208000000000002</v>
      </c>
      <c r="X396" s="223">
        <f t="shared" si="34"/>
        <v>1.7174752411338758</v>
      </c>
      <c r="Y396">
        <f>IFERROR(INDEX(Rainfall_Wet!$O$2:$O$217,MATCH(B396, Rainfall_Wet!$A$2:$A$217,0)),"")</f>
        <v>181.383442621</v>
      </c>
      <c r="Z396" s="228">
        <v>23.96</v>
      </c>
      <c r="AA396" s="228">
        <v>4.9199999999999982</v>
      </c>
      <c r="AB396" s="228">
        <v>71.12</v>
      </c>
      <c r="AC396" s="229" t="s">
        <v>2654</v>
      </c>
      <c r="AD396" s="228">
        <v>9.3091375061606705</v>
      </c>
      <c r="AE396">
        <f>IF('WetLitterbags placem_collection'!AB177="","",'WetLitterbags placem_collection'!AB177)</f>
        <v>15.4</v>
      </c>
      <c r="AF396">
        <f>IF('WetLitterbags placem_collection'!Z177="","",'WetLitterbags placem_collection'!Z177)</f>
        <v>9.8000000000000007</v>
      </c>
      <c r="AG396" s="243" t="str">
        <f>IF('WetLitterbags placem_collection'!AA177="","",'WetLitterbags placem_collection'!AA177)</f>
        <v>O</v>
      </c>
      <c r="AH396">
        <f>IF('WetLitterbags placem_collection'!AC177="","",'WetLitterbags placem_collection'!AC177)</f>
        <v>1</v>
      </c>
      <c r="AI396" s="237">
        <f>AVERAGE('WetLitterbags placem_collection'!S177,'WetLitterbags placem_collection'!U177)</f>
        <v>11.55</v>
      </c>
      <c r="AJ396">
        <f>AVERAGE('WetLitterbags placem_collection'!R177,'WetLitterbags placem_collection'!T177)</f>
        <v>36.25</v>
      </c>
      <c r="AK396">
        <f>INDEX(Coordinates!$B$2:$B$197,MATCH(H396,Coordinates!$J$2:$J$197,0))</f>
        <v>-2.2784219779999999</v>
      </c>
      <c r="AL396">
        <f>INDEX(Coordinates!$C$2:$C$197,MATCH(H396,Coordinates!$J$2:$J$197,0))</f>
        <v>34.024374979999997</v>
      </c>
      <c r="AM396" t="str">
        <f>IF(ISNUMBER(SEARCH("C", 'WetLitterbags placem_collection'!$W177)),"YES","NO")</f>
        <v>YES</v>
      </c>
      <c r="AN396" t="str">
        <f>IF(ISNUMBER(SEARCH("H", 'WetLitterbags placem_collection'!$W177)),"YES","NO")</f>
        <v>YES</v>
      </c>
      <c r="AO396" t="str">
        <f>IF(ISNUMBER(SEARCH("R", 'WetLitterbags placem_collection'!$W177)),"YES","NO")</f>
        <v>NO</v>
      </c>
    </row>
    <row r="397" spans="1:41" ht="15" customHeight="1">
      <c r="A397" s="255" t="s">
        <v>2454</v>
      </c>
      <c r="B397" s="260">
        <f>'Dry_Litterbag Placem_Collection'!A178</f>
        <v>176</v>
      </c>
      <c r="C397" s="260" t="str">
        <f>'Dry_Litterbag Placem_Collection'!B178</f>
        <v>Handajega</v>
      </c>
      <c r="D397" s="260" t="s">
        <v>2454</v>
      </c>
      <c r="E397" s="260" t="s">
        <v>2645</v>
      </c>
      <c r="F397" s="260">
        <v>2</v>
      </c>
      <c r="G397" s="260" t="s">
        <v>3827</v>
      </c>
      <c r="H397" s="261" t="str">
        <f>'Dry_Litterbag Placem_Collection'!C178</f>
        <v>Wet_W2_T8</v>
      </c>
      <c r="I397" s="262" t="s">
        <v>2525</v>
      </c>
      <c r="J397" s="269" t="s">
        <v>298</v>
      </c>
      <c r="K397" s="221" t="str">
        <f>'WetLitterbags placem_collection'!M178</f>
        <v>R326</v>
      </c>
      <c r="L397" s="223">
        <f>IFERROR(INDEX('Green_rooibos initial weight'!$C$5:$C$2000,MATCH(K397, 'Green_rooibos initial weight'!$A$5:$A$2000,0)),"")</f>
        <v>2.1890000000000001</v>
      </c>
      <c r="M397" s="223">
        <f>IFERROR(L397-(TBIcalc!$H$9+TBIcalc!$H$10),"")</f>
        <v>1.9392</v>
      </c>
      <c r="N397" s="385">
        <f>AVERAGE(Ashed_controlls!$K$2:$K$11)</f>
        <v>5.5147656768714146</v>
      </c>
      <c r="O397" s="223">
        <f t="shared" si="31"/>
        <v>1.8322576639941095</v>
      </c>
      <c r="P397" s="223">
        <f>IFERROR(INDEX('Both teabags AfterWet'!$C$3:$C$840,MATCH(K397,'Both teabags AfterWet'!$A$3:$A$840,0)),"")</f>
        <v>1.694</v>
      </c>
      <c r="Q397" s="223">
        <f>IFERROR(IF(P397&gt;0,P397-(TBIcalc!$H$9),""),"")</f>
        <v>1.5433999999999999</v>
      </c>
      <c r="R397" s="223">
        <f>IFERROR(INDEX('Ashed teabags wet'!$K$2:$K$2000,MATCH(K397,'Ashed teabags wet'!$A$2:$A$2000,0)),"")</f>
        <v>5.9808612440189712</v>
      </c>
      <c r="S397" s="223">
        <f t="shared" si="32"/>
        <v>1.451091387559811</v>
      </c>
      <c r="T397" s="224">
        <f>'WetLitterbags placem_collection'!E178</f>
        <v>42763</v>
      </c>
      <c r="U397" s="224">
        <f>IF('WetLitterbags placem_collection'!G178="","",'WetLitterbags placem_collection'!G178)</f>
        <v>42814</v>
      </c>
      <c r="V397" s="225">
        <f t="shared" si="30"/>
        <v>51</v>
      </c>
      <c r="W397" s="223">
        <f t="shared" si="33"/>
        <v>0.39580000000000015</v>
      </c>
      <c r="X397" s="223">
        <f t="shared" si="34"/>
        <v>0.38116627643429846</v>
      </c>
      <c r="Y397">
        <f>IFERROR(INDEX(Rainfall_Wet!$O$2:$O$217,MATCH(B397, Rainfall_Wet!$A$2:$A$217,0)),"")</f>
        <v>181.383442621</v>
      </c>
      <c r="Z397" s="228">
        <v>23.96</v>
      </c>
      <c r="AA397" s="228">
        <v>4.9199999999999982</v>
      </c>
      <c r="AB397" s="228">
        <v>71.12</v>
      </c>
      <c r="AC397" s="229" t="s">
        <v>2654</v>
      </c>
      <c r="AD397" s="228">
        <v>10.309137506160701</v>
      </c>
      <c r="AE397">
        <f>IF('WetLitterbags placem_collection'!AB178="","",'WetLitterbags placem_collection'!AB178)</f>
        <v>6.8</v>
      </c>
      <c r="AF397">
        <f>IF('WetLitterbags placem_collection'!Z178="","",'WetLitterbags placem_collection'!Z178)</f>
        <v>6.9</v>
      </c>
      <c r="AG397" s="243" t="str">
        <f>IF('WetLitterbags placem_collection'!AA178="","",'WetLitterbags placem_collection'!AA178)</f>
        <v>O</v>
      </c>
      <c r="AH397">
        <f>IF('WetLitterbags placem_collection'!AC178="","",'WetLitterbags placem_collection'!AC178)</f>
        <v>0</v>
      </c>
      <c r="AI397" s="237">
        <f>AVERAGE('WetLitterbags placem_collection'!S178,'WetLitterbags placem_collection'!U178)</f>
        <v>11.4</v>
      </c>
      <c r="AJ397">
        <f>AVERAGE('WetLitterbags placem_collection'!R178,'WetLitterbags placem_collection'!T178)</f>
        <v>34.15</v>
      </c>
      <c r="AK397">
        <f>INDEX(Coordinates!$B$2:$B$197,MATCH(H397,Coordinates!$J$2:$J$197,0))</f>
        <v>-2.2782909679999999</v>
      </c>
      <c r="AL397">
        <f>INDEX(Coordinates!$C$2:$C$197,MATCH(H397,Coordinates!$J$2:$J$197,0))</f>
        <v>34.024574970000003</v>
      </c>
      <c r="AM397" t="str">
        <f>IF(ISNUMBER(SEARCH("C", 'WetLitterbags placem_collection'!$W178)),"YES","NO")</f>
        <v>NO</v>
      </c>
      <c r="AN397" t="str">
        <f>IF(ISNUMBER(SEARCH("H", 'WetLitterbags placem_collection'!$W178)),"YES","NO")</f>
        <v>NO</v>
      </c>
      <c r="AO397" t="str">
        <f>IF(ISNUMBER(SEARCH("R", 'WetLitterbags placem_collection'!$W178)),"YES","NO")</f>
        <v>NO</v>
      </c>
    </row>
    <row r="398" spans="1:41" ht="15" customHeight="1">
      <c r="A398" s="255" t="s">
        <v>2454</v>
      </c>
      <c r="B398" s="260">
        <f>'Dry_Litterbag Placem_Collection'!A179</f>
        <v>177</v>
      </c>
      <c r="C398" s="260" t="str">
        <f>'Dry_Litterbag Placem_Collection'!B179</f>
        <v>Handajega</v>
      </c>
      <c r="D398" s="260" t="s">
        <v>2454</v>
      </c>
      <c r="E398" s="260" t="s">
        <v>2645</v>
      </c>
      <c r="F398" s="260">
        <v>3</v>
      </c>
      <c r="G398" s="260" t="s">
        <v>3828</v>
      </c>
      <c r="H398" s="261" t="str">
        <f>'Dry_Litterbag Placem_Collection'!C179</f>
        <v>Wet_W3_T1</v>
      </c>
      <c r="I398" s="262" t="s">
        <v>2525</v>
      </c>
      <c r="J398" s="269" t="s">
        <v>298</v>
      </c>
      <c r="K398" s="221" t="str">
        <f>'WetLitterbags placem_collection'!M179</f>
        <v>R262</v>
      </c>
      <c r="L398" s="223">
        <f>IFERROR(INDEX('Green_rooibos initial weight'!$C$5:$C$2000,MATCH(K398, 'Green_rooibos initial weight'!$A$5:$A$2000,0)),"")</f>
        <v>2.1949999999999998</v>
      </c>
      <c r="M398" s="223">
        <f>IFERROR(L398-(TBIcalc!$H$9+TBIcalc!$H$10),"")</f>
        <v>1.9451999999999998</v>
      </c>
      <c r="N398" s="385">
        <f>AVERAGE(Ashed_controlls!$K$2:$K$11)</f>
        <v>5.5147656768714146</v>
      </c>
      <c r="O398" s="223">
        <f t="shared" si="31"/>
        <v>1.8379267780534971</v>
      </c>
      <c r="P398" s="223">
        <f>IFERROR(INDEX('Both teabags AfterWet'!$C$3:$C$840,MATCH(K398,'Both teabags AfterWet'!$A$3:$A$840,0)),"")</f>
        <v>1.671</v>
      </c>
      <c r="Q398" s="223">
        <f>IFERROR(IF(P398&gt;0,P398-(TBIcalc!$H$9),""),"")</f>
        <v>1.5204</v>
      </c>
      <c r="R398" s="223">
        <f>IFERROR(INDEX('Ashed teabags wet'!$K$2:$K$2000,MATCH(K398,'Ashed teabags wet'!$A$2:$A$2000,0)),"")</f>
        <v>2.7363184079606433</v>
      </c>
      <c r="S398" s="223">
        <f t="shared" si="32"/>
        <v>1.4787970149253664</v>
      </c>
      <c r="T398" s="224">
        <f>'WetLitterbags placem_collection'!E179</f>
        <v>42763</v>
      </c>
      <c r="U398" s="224">
        <f>IF('WetLitterbags placem_collection'!G179="","",'WetLitterbags placem_collection'!G179)</f>
        <v>42815</v>
      </c>
      <c r="V398" s="225">
        <f t="shared" si="30"/>
        <v>52</v>
      </c>
      <c r="W398" s="223">
        <f t="shared" si="33"/>
        <v>0.42479999999999984</v>
      </c>
      <c r="X398" s="223">
        <f t="shared" si="34"/>
        <v>0.35912976312813072</v>
      </c>
      <c r="Y398">
        <f>IFERROR(INDEX(Rainfall_Wet!$O$2:$O$217,MATCH(B398, Rainfall_Wet!$A$2:$A$217,0)),"")</f>
        <v>188.24043152799999</v>
      </c>
      <c r="Z398" s="228">
        <v>25.96</v>
      </c>
      <c r="AA398" s="228">
        <v>8.9200000000000017</v>
      </c>
      <c r="AB398" s="228">
        <v>65.12</v>
      </c>
      <c r="AC398" s="229" t="s">
        <v>2654</v>
      </c>
      <c r="AD398" s="228">
        <v>1.614588467225234</v>
      </c>
      <c r="AE398">
        <f>IF('WetLitterbags placem_collection'!AB179="","",'WetLitterbags placem_collection'!AB179)</f>
        <v>17.8</v>
      </c>
      <c r="AF398">
        <f>IF('WetLitterbags placem_collection'!Z179="","",'WetLitterbags placem_collection'!Z179)</f>
        <v>25.8</v>
      </c>
      <c r="AG398" s="243" t="str">
        <f>IF('WetLitterbags placem_collection'!AA179="","",'WetLitterbags placem_collection'!AA179)</f>
        <v>O</v>
      </c>
      <c r="AH398">
        <f>IF('WetLitterbags placem_collection'!AC179="","",'WetLitterbags placem_collection'!AC179)</f>
        <v>0</v>
      </c>
      <c r="AI398" s="237">
        <f>AVERAGE('WetLitterbags placem_collection'!S179,'WetLitterbags placem_collection'!U179)</f>
        <v>19.200000000000003</v>
      </c>
      <c r="AJ398">
        <f>AVERAGE('WetLitterbags placem_collection'!R179,'WetLitterbags placem_collection'!T179)</f>
        <v>32.1</v>
      </c>
      <c r="AK398">
        <f>INDEX(Coordinates!$B$2:$B$197,MATCH(H398,Coordinates!$J$2:$J$197,0))</f>
        <v>-2.277740026</v>
      </c>
      <c r="AL398">
        <f>INDEX(Coordinates!$C$2:$C$197,MATCH(H398,Coordinates!$J$2:$J$197,0))</f>
        <v>34.027640990000002</v>
      </c>
      <c r="AM398" t="str">
        <f>IF(ISNUMBER(SEARCH("C", 'WetLitterbags placem_collection'!$W179)),"YES","NO")</f>
        <v>YES</v>
      </c>
      <c r="AN398" t="str">
        <f>IF(ISNUMBER(SEARCH("H", 'WetLitterbags placem_collection'!$W179)),"YES","NO")</f>
        <v>NO</v>
      </c>
      <c r="AO398" t="str">
        <f>IF(ISNUMBER(SEARCH("R", 'WetLitterbags placem_collection'!$W179)),"YES","NO")</f>
        <v>YES</v>
      </c>
    </row>
    <row r="399" spans="1:41" ht="15" customHeight="1">
      <c r="A399" s="255" t="s">
        <v>2454</v>
      </c>
      <c r="B399" s="260">
        <f>'Dry_Litterbag Placem_Collection'!A180</f>
        <v>178</v>
      </c>
      <c r="C399" s="260" t="str">
        <f>'Dry_Litterbag Placem_Collection'!B180</f>
        <v>Handajega</v>
      </c>
      <c r="D399" s="260" t="s">
        <v>2454</v>
      </c>
      <c r="E399" s="260" t="s">
        <v>2645</v>
      </c>
      <c r="F399" s="260">
        <v>3</v>
      </c>
      <c r="G399" s="260" t="s">
        <v>3828</v>
      </c>
      <c r="H399" s="261" t="str">
        <f>'Dry_Litterbag Placem_Collection'!C180</f>
        <v>Wet_W3_T2</v>
      </c>
      <c r="I399" s="262" t="s">
        <v>2525</v>
      </c>
      <c r="J399" s="269" t="s">
        <v>298</v>
      </c>
      <c r="K399" s="221" t="str">
        <f>'WetLitterbags placem_collection'!M180</f>
        <v>R309</v>
      </c>
      <c r="L399" s="223">
        <f>IFERROR(INDEX('Green_rooibos initial weight'!$C$5:$C$2000,MATCH(K399, 'Green_rooibos initial weight'!$A$5:$A$2000,0)),"")</f>
        <v>2.1960000000000002</v>
      </c>
      <c r="M399" s="223">
        <f>IFERROR(L399-(TBIcalc!$H$9+TBIcalc!$H$10),"")</f>
        <v>1.9462000000000002</v>
      </c>
      <c r="N399" s="385">
        <f>AVERAGE(Ashed_controlls!$K$2:$K$11)</f>
        <v>5.5147656768714146</v>
      </c>
      <c r="O399" s="223">
        <f t="shared" si="31"/>
        <v>1.8388716303967287</v>
      </c>
      <c r="P399" s="223">
        <f>IFERROR(INDEX('Both teabags AfterWet'!$C$3:$C$840,MATCH(K399,'Both teabags AfterWet'!$A$3:$A$840,0)),"")</f>
        <v>1.6866000000000001</v>
      </c>
      <c r="Q399" s="223">
        <f>IFERROR(IF(P399&gt;0,P399-(TBIcalc!$H$9),""),"")</f>
        <v>1.536</v>
      </c>
      <c r="R399" s="223">
        <f>IFERROR(INDEX('Ashed teabags wet'!$K$2:$K$2000,MATCH(K399,'Ashed teabags wet'!$A$2:$A$2000,0)),"")</f>
        <v>0.87633885102250153</v>
      </c>
      <c r="S399" s="223">
        <f t="shared" si="32"/>
        <v>1.5225394352482944</v>
      </c>
      <c r="T399" s="224">
        <f>'WetLitterbags placem_collection'!E180</f>
        <v>42763</v>
      </c>
      <c r="U399" s="224">
        <f>IF('WetLitterbags placem_collection'!G180="","",'WetLitterbags placem_collection'!G180)</f>
        <v>42815</v>
      </c>
      <c r="V399" s="225">
        <f t="shared" si="30"/>
        <v>52</v>
      </c>
      <c r="W399" s="223">
        <f t="shared" si="33"/>
        <v>0.41020000000000012</v>
      </c>
      <c r="X399" s="223">
        <f t="shared" si="34"/>
        <v>0.31633219514843436</v>
      </c>
      <c r="Y399">
        <f>IFERROR(INDEX(Rainfall_Wet!$O$2:$O$217,MATCH(B399, Rainfall_Wet!$A$2:$A$217,0)),"")</f>
        <v>188.24043152799999</v>
      </c>
      <c r="Z399" s="228">
        <v>25.96</v>
      </c>
      <c r="AA399" s="228">
        <v>8.9200000000000017</v>
      </c>
      <c r="AB399" s="228">
        <v>65.12</v>
      </c>
      <c r="AC399" s="229" t="s">
        <v>2654</v>
      </c>
      <c r="AD399" s="228">
        <v>2.61458846722523</v>
      </c>
      <c r="AE399">
        <f>IF('WetLitterbags placem_collection'!AB180="","",'WetLitterbags placem_collection'!AB180)</f>
        <v>15.4</v>
      </c>
      <c r="AF399">
        <f>IF('WetLitterbags placem_collection'!Z180="","",'WetLitterbags placem_collection'!Z180)</f>
        <v>18.8</v>
      </c>
      <c r="AG399" s="243" t="str">
        <f>IF('WetLitterbags placem_collection'!AA180="","",'WetLitterbags placem_collection'!AA180)</f>
        <v>O</v>
      </c>
      <c r="AH399">
        <f>IF('WetLitterbags placem_collection'!AC180="","",'WetLitterbags placem_collection'!AC180)</f>
        <v>1</v>
      </c>
      <c r="AI399" s="237">
        <f>AVERAGE('WetLitterbags placem_collection'!S180,'WetLitterbags placem_collection'!U180)</f>
        <v>17.149999999999999</v>
      </c>
      <c r="AJ399">
        <f>AVERAGE('WetLitterbags placem_collection'!R180,'WetLitterbags placem_collection'!T180)</f>
        <v>32.950000000000003</v>
      </c>
      <c r="AK399">
        <f>INDEX(Coordinates!$B$2:$B$197,MATCH(H399,Coordinates!$J$2:$J$197,0))</f>
        <v>-2.2777889760000001</v>
      </c>
      <c r="AL399">
        <f>INDEX(Coordinates!$C$2:$C$197,MATCH(H399,Coordinates!$J$2:$J$197,0))</f>
        <v>34.027664960000003</v>
      </c>
      <c r="AM399" t="str">
        <f>IF(ISNUMBER(SEARCH("C", 'WetLitterbags placem_collection'!$W180)),"YES","NO")</f>
        <v>NO</v>
      </c>
      <c r="AN399" t="str">
        <f>IF(ISNUMBER(SEARCH("H", 'WetLitterbags placem_collection'!$W180)),"YES","NO")</f>
        <v>NO</v>
      </c>
      <c r="AO399" t="str">
        <f>IF(ISNUMBER(SEARCH("R", 'WetLitterbags placem_collection'!$W180)),"YES","NO")</f>
        <v>NO</v>
      </c>
    </row>
    <row r="400" spans="1:41" ht="15" customHeight="1">
      <c r="A400" s="255" t="s">
        <v>2454</v>
      </c>
      <c r="B400" s="260">
        <f>'Dry_Litterbag Placem_Collection'!A181</f>
        <v>179</v>
      </c>
      <c r="C400" s="260" t="str">
        <f>'Dry_Litterbag Placem_Collection'!B181</f>
        <v>Handajega</v>
      </c>
      <c r="D400" s="260" t="s">
        <v>2454</v>
      </c>
      <c r="E400" s="260" t="s">
        <v>2645</v>
      </c>
      <c r="F400" s="260">
        <v>3</v>
      </c>
      <c r="G400" s="260" t="s">
        <v>3828</v>
      </c>
      <c r="H400" s="261" t="str">
        <f>'Dry_Litterbag Placem_Collection'!C181</f>
        <v>Wet_W3_T3</v>
      </c>
      <c r="I400" s="262" t="s">
        <v>2525</v>
      </c>
      <c r="J400" s="269" t="s">
        <v>298</v>
      </c>
      <c r="K400" s="221" t="str">
        <f>'WetLitterbags placem_collection'!M181</f>
        <v>R32</v>
      </c>
      <c r="L400" s="223">
        <f>IFERROR(INDEX('Green_rooibos initial weight'!$C$5:$C$2000,MATCH(K400, 'Green_rooibos initial weight'!$A$5:$A$2000,0)),"")</f>
        <v>2.2290000000000001</v>
      </c>
      <c r="M400" s="223">
        <f>IFERROR(L400-(TBIcalc!$H$9+TBIcalc!$H$10),"")</f>
        <v>1.9792000000000001</v>
      </c>
      <c r="N400" s="385">
        <f>AVERAGE(Ashed_controlls!$K$2:$K$11)</f>
        <v>5.5147656768714146</v>
      </c>
      <c r="O400" s="223">
        <f t="shared" si="31"/>
        <v>1.8700517577233611</v>
      </c>
      <c r="P400" s="223">
        <f>IFERROR(INDEX('Both teabags AfterWet'!$C$3:$C$840,MATCH(K400,'Both teabags AfterWet'!$A$3:$A$840,0)),"")</f>
        <v>1.6146</v>
      </c>
      <c r="Q400" s="223">
        <f>IFERROR(IF(P400&gt;0,P400-(TBIcalc!$H$9),""),"")</f>
        <v>1.464</v>
      </c>
      <c r="R400" s="223">
        <f>IFERROR(INDEX('Ashed teabags wet'!$K$2:$K$2000,MATCH(K400,'Ashed teabags wet'!$A$2:$A$2000,0)),"")</f>
        <v>1.8482490272371503</v>
      </c>
      <c r="S400" s="223">
        <f t="shared" si="32"/>
        <v>1.436941634241248</v>
      </c>
      <c r="T400" s="224">
        <f>'WetLitterbags placem_collection'!E181</f>
        <v>42763</v>
      </c>
      <c r="U400" s="224">
        <f>IF('WetLitterbags placem_collection'!G181="","",'WetLitterbags placem_collection'!G181)</f>
        <v>42815</v>
      </c>
      <c r="V400" s="225">
        <f t="shared" si="30"/>
        <v>52</v>
      </c>
      <c r="W400" s="223">
        <f t="shared" si="33"/>
        <v>0.5152000000000001</v>
      </c>
      <c r="X400" s="223">
        <f t="shared" si="34"/>
        <v>0.43311012348211309</v>
      </c>
      <c r="Y400">
        <f>IFERROR(INDEX(Rainfall_Wet!$O$2:$O$217,MATCH(B400, Rainfall_Wet!$A$2:$A$217,0)),"")</f>
        <v>188.24043152799999</v>
      </c>
      <c r="Z400" s="228">
        <v>25.96</v>
      </c>
      <c r="AA400" s="228">
        <v>8.9200000000000017</v>
      </c>
      <c r="AB400" s="228">
        <v>65.12</v>
      </c>
      <c r="AC400" s="229" t="s">
        <v>2654</v>
      </c>
      <c r="AD400" s="228">
        <v>3.61458846722523</v>
      </c>
      <c r="AE400">
        <f>IF('WetLitterbags placem_collection'!AB181="","",'WetLitterbags placem_collection'!AB181)</f>
        <v>11.8</v>
      </c>
      <c r="AF400">
        <f>IF('WetLitterbags placem_collection'!Z181="","",'WetLitterbags placem_collection'!Z181)</f>
        <v>15.4</v>
      </c>
      <c r="AG400" s="243" t="str">
        <f>IF('WetLitterbags placem_collection'!AA181="","",'WetLitterbags placem_collection'!AA181)</f>
        <v>O</v>
      </c>
      <c r="AH400">
        <f>IF('WetLitterbags placem_collection'!AC181="","",'WetLitterbags placem_collection'!AC181)</f>
        <v>1</v>
      </c>
      <c r="AI400" s="237">
        <f>AVERAGE('WetLitterbags placem_collection'!S181,'WetLitterbags placem_collection'!U181)</f>
        <v>14.8</v>
      </c>
      <c r="AJ400">
        <f>AVERAGE('WetLitterbags placem_collection'!R181,'WetLitterbags placem_collection'!T181)</f>
        <v>32.150000000000006</v>
      </c>
      <c r="AK400">
        <f>INDEX(Coordinates!$B$2:$B$197,MATCH(H400,Coordinates!$J$2:$J$197,0))</f>
        <v>-2.2778579589999999</v>
      </c>
      <c r="AL400">
        <f>INDEX(Coordinates!$C$2:$C$197,MATCH(H400,Coordinates!$J$2:$J$197,0))</f>
        <v>34.027682980000002</v>
      </c>
      <c r="AM400" t="str">
        <f>IF(ISNUMBER(SEARCH("C", 'WetLitterbags placem_collection'!$W181)),"YES","NO")</f>
        <v>NO</v>
      </c>
      <c r="AN400" t="str">
        <f>IF(ISNUMBER(SEARCH("H", 'WetLitterbags placem_collection'!$W181)),"YES","NO")</f>
        <v>NO</v>
      </c>
      <c r="AO400" t="str">
        <f>IF(ISNUMBER(SEARCH("R", 'WetLitterbags placem_collection'!$W181)),"YES","NO")</f>
        <v>YES</v>
      </c>
    </row>
    <row r="401" spans="1:41" ht="15" customHeight="1">
      <c r="A401" s="255" t="s">
        <v>2454</v>
      </c>
      <c r="B401" s="260">
        <f>'Dry_Litterbag Placem_Collection'!A182</f>
        <v>180</v>
      </c>
      <c r="C401" s="260" t="str">
        <f>'Dry_Litterbag Placem_Collection'!B182</f>
        <v>Handajega</v>
      </c>
      <c r="D401" s="260" t="s">
        <v>2454</v>
      </c>
      <c r="E401" s="260" t="s">
        <v>2645</v>
      </c>
      <c r="F401" s="260">
        <v>3</v>
      </c>
      <c r="G401" s="260" t="s">
        <v>3828</v>
      </c>
      <c r="H401" s="261" t="str">
        <f>'Dry_Litterbag Placem_Collection'!C182</f>
        <v>Wet_W3_T4</v>
      </c>
      <c r="I401" s="262" t="s">
        <v>2525</v>
      </c>
      <c r="J401" s="269" t="s">
        <v>298</v>
      </c>
      <c r="K401" s="221" t="str">
        <f>'WetLitterbags placem_collection'!M182</f>
        <v>R268</v>
      </c>
      <c r="L401" s="223">
        <f>IFERROR(INDEX('Green_rooibos initial weight'!$C$5:$C$2000,MATCH(K401, 'Green_rooibos initial weight'!$A$5:$A$2000,0)),"")</f>
        <v>2.1709999999999998</v>
      </c>
      <c r="M401" s="223">
        <f>IFERROR(L401-(TBIcalc!$H$9+TBIcalc!$H$10),"")</f>
        <v>1.9211999999999998</v>
      </c>
      <c r="N401" s="385">
        <f>AVERAGE(Ashed_controlls!$K$2:$K$11)</f>
        <v>5.5147656768714146</v>
      </c>
      <c r="O401" s="223">
        <f t="shared" si="31"/>
        <v>1.8152503218159461</v>
      </c>
      <c r="P401" s="223">
        <f>IFERROR(INDEX('Both teabags AfterWet'!$C$3:$C$840,MATCH(K401,'Both teabags AfterWet'!$A$3:$A$840,0)),"")</f>
        <v>1.6403000000000001</v>
      </c>
      <c r="Q401" s="223">
        <f>IFERROR(IF(P401&gt;0,P401-(TBIcalc!$H$9),""),"")</f>
        <v>1.4897</v>
      </c>
      <c r="R401" s="223">
        <f>IFERROR(INDEX('Ashed teabags wet'!$K$2:$K$2000,MATCH(K401,'Ashed teabags wet'!$A$2:$A$2000,0)),"")</f>
        <v>2.0588235294118782</v>
      </c>
      <c r="S401" s="223">
        <f t="shared" si="32"/>
        <v>1.4590297058823514</v>
      </c>
      <c r="T401" s="224">
        <f>'WetLitterbags placem_collection'!E182</f>
        <v>42763</v>
      </c>
      <c r="U401" s="224">
        <f>IF('WetLitterbags placem_collection'!G182="","",'WetLitterbags placem_collection'!G182)</f>
        <v>42815</v>
      </c>
      <c r="V401" s="225">
        <f t="shared" si="30"/>
        <v>52</v>
      </c>
      <c r="W401" s="223">
        <f t="shared" si="33"/>
        <v>0.43149999999999977</v>
      </c>
      <c r="X401" s="223">
        <f t="shared" si="34"/>
        <v>0.35622061593359478</v>
      </c>
      <c r="Y401">
        <f>IFERROR(INDEX(Rainfall_Wet!$O$2:$O$217,MATCH(B401, Rainfall_Wet!$A$2:$A$217,0)),"")</f>
        <v>188.24043152799999</v>
      </c>
      <c r="Z401" s="228">
        <v>25.96</v>
      </c>
      <c r="AA401" s="228">
        <v>8.9200000000000017</v>
      </c>
      <c r="AB401" s="228">
        <v>65.12</v>
      </c>
      <c r="AC401" s="229" t="s">
        <v>2654</v>
      </c>
      <c r="AD401" s="228">
        <v>4.6145884672252304</v>
      </c>
      <c r="AE401">
        <f>IF('WetLitterbags placem_collection'!AB182="","",'WetLitterbags placem_collection'!AB182)</f>
        <v>8.3000000000000007</v>
      </c>
      <c r="AF401">
        <f>IF('WetLitterbags placem_collection'!Z182="","",'WetLitterbags placem_collection'!Z182)</f>
        <v>35</v>
      </c>
      <c r="AG401" s="243" t="str">
        <f>IF('WetLitterbags placem_collection'!AA182="","",'WetLitterbags placem_collection'!AA182)</f>
        <v>O</v>
      </c>
      <c r="AH401">
        <f>IF('WetLitterbags placem_collection'!AC182="","",'WetLitterbags placem_collection'!AC182)</f>
        <v>0</v>
      </c>
      <c r="AI401" s="237">
        <f>AVERAGE('WetLitterbags placem_collection'!S182,'WetLitterbags placem_collection'!U182)</f>
        <v>12.85</v>
      </c>
      <c r="AJ401">
        <f>AVERAGE('WetLitterbags placem_collection'!R182,'WetLitterbags placem_collection'!T182)</f>
        <v>32.450000000000003</v>
      </c>
      <c r="AK401">
        <f>INDEX(Coordinates!$B$2:$B$197,MATCH(H401,Coordinates!$J$2:$J$197,0))</f>
        <v>-2.2780199809999999</v>
      </c>
      <c r="AL401">
        <f>INDEX(Coordinates!$C$2:$C$197,MATCH(H401,Coordinates!$J$2:$J$197,0))</f>
        <v>34.027705019999999</v>
      </c>
      <c r="AM401" t="str">
        <f>IF(ISNUMBER(SEARCH("C", 'WetLitterbags placem_collection'!$W182)),"YES","NO")</f>
        <v>NO</v>
      </c>
      <c r="AN401" t="str">
        <f>IF(ISNUMBER(SEARCH("H", 'WetLitterbags placem_collection'!$W182)),"YES","NO")</f>
        <v>NO</v>
      </c>
      <c r="AO401" t="str">
        <f>IF(ISNUMBER(SEARCH("R", 'WetLitterbags placem_collection'!$W182)),"YES","NO")</f>
        <v>NO</v>
      </c>
    </row>
    <row r="402" spans="1:41" ht="15" customHeight="1">
      <c r="A402" s="255" t="s">
        <v>2454</v>
      </c>
      <c r="B402" s="260">
        <f>'Dry_Litterbag Placem_Collection'!A183</f>
        <v>181</v>
      </c>
      <c r="C402" s="260" t="str">
        <f>'Dry_Litterbag Placem_Collection'!B183</f>
        <v>Handajega</v>
      </c>
      <c r="D402" s="260" t="s">
        <v>2454</v>
      </c>
      <c r="E402" s="260" t="s">
        <v>2645</v>
      </c>
      <c r="F402" s="260">
        <v>3</v>
      </c>
      <c r="G402" s="260" t="s">
        <v>3828</v>
      </c>
      <c r="H402" s="261" t="str">
        <f>'Dry_Litterbag Placem_Collection'!C183</f>
        <v>Wet_W3_T5</v>
      </c>
      <c r="I402" s="262" t="s">
        <v>2525</v>
      </c>
      <c r="J402" s="269" t="s">
        <v>298</v>
      </c>
      <c r="K402" s="221" t="str">
        <f>'WetLitterbags placem_collection'!M183</f>
        <v>R587</v>
      </c>
      <c r="L402" s="223">
        <f>IFERROR(INDEX('Green_rooibos initial weight'!$C$5:$C$2000,MATCH(K402, 'Green_rooibos initial weight'!$A$5:$A$2000,0)),"")</f>
        <v>2.2250000000000001</v>
      </c>
      <c r="M402" s="223">
        <f>IFERROR(L402-(TBIcalc!$H$9+TBIcalc!$H$10),"")</f>
        <v>1.9752000000000001</v>
      </c>
      <c r="N402" s="385">
        <f>AVERAGE(Ashed_controlls!$K$2:$K$11)</f>
        <v>5.5147656768714146</v>
      </c>
      <c r="O402" s="223">
        <f t="shared" si="31"/>
        <v>1.866272348350436</v>
      </c>
      <c r="P402" s="223">
        <f>IFERROR(INDEX('Both teabags AfterWet'!$C$3:$C$840,MATCH(K402,'Both teabags AfterWet'!$A$3:$A$840,0)),"")</f>
        <v>1.5119</v>
      </c>
      <c r="Q402" s="223">
        <f>IFERROR(IF(P402&gt;0,P402-(TBIcalc!$H$9),""),"")</f>
        <v>1.3613</v>
      </c>
      <c r="R402" s="223">
        <f>IFERROR(INDEX('Ashed teabags wet'!$K$2:$K$2000,MATCH(K402,'Ashed teabags wet'!$A$2:$A$2000,0)),"")</f>
        <v>1.9743336623894387</v>
      </c>
      <c r="S402" s="223">
        <f t="shared" si="32"/>
        <v>1.3344233958538925</v>
      </c>
      <c r="T402" s="224">
        <f>'WetLitterbags placem_collection'!E183</f>
        <v>42763</v>
      </c>
      <c r="U402" s="224">
        <f>IF('WetLitterbags placem_collection'!G183="","",'WetLitterbags placem_collection'!G183)</f>
        <v>42815</v>
      </c>
      <c r="V402" s="225">
        <f t="shared" si="30"/>
        <v>52</v>
      </c>
      <c r="W402" s="223">
        <f t="shared" si="33"/>
        <v>0.61390000000000011</v>
      </c>
      <c r="X402" s="223">
        <f t="shared" si="34"/>
        <v>0.53184895249654351</v>
      </c>
      <c r="Y402">
        <f>IFERROR(INDEX(Rainfall_Wet!$O$2:$O$217,MATCH(B402, Rainfall_Wet!$A$2:$A$217,0)),"")</f>
        <v>188.24043152799999</v>
      </c>
      <c r="Z402" s="228">
        <v>25.96</v>
      </c>
      <c r="AA402" s="228">
        <v>8.9200000000000017</v>
      </c>
      <c r="AB402" s="228">
        <v>65.12</v>
      </c>
      <c r="AC402" s="229" t="s">
        <v>2654</v>
      </c>
      <c r="AD402" s="228">
        <v>5.6145884672252304</v>
      </c>
      <c r="AE402">
        <f>IF('WetLitterbags placem_collection'!AB183="","",'WetLitterbags placem_collection'!AB183)</f>
        <v>11.4</v>
      </c>
      <c r="AF402">
        <f>IF('WetLitterbags placem_collection'!Z183="","",'WetLitterbags placem_collection'!Z183)</f>
        <v>15.8</v>
      </c>
      <c r="AG402" s="243" t="str">
        <f>IF('WetLitterbags placem_collection'!AA183="","",'WetLitterbags placem_collection'!AA183)</f>
        <v>O</v>
      </c>
      <c r="AH402">
        <f>IF('WetLitterbags placem_collection'!AC183="","",'WetLitterbags placem_collection'!AC183)</f>
        <v>1</v>
      </c>
      <c r="AI402" s="237">
        <f>AVERAGE('WetLitterbags placem_collection'!S183,'WetLitterbags placem_collection'!U183)</f>
        <v>13.75</v>
      </c>
      <c r="AJ402">
        <f>AVERAGE('WetLitterbags placem_collection'!R183,'WetLitterbags placem_collection'!T183)</f>
        <v>32.650000000000006</v>
      </c>
      <c r="AK402">
        <f>INDEX(Coordinates!$B$2:$B$197,MATCH(H402,Coordinates!$J$2:$J$197,0))</f>
        <v>-2.2777329850000001</v>
      </c>
      <c r="AL402">
        <f>INDEX(Coordinates!$C$2:$C$197,MATCH(H402,Coordinates!$J$2:$J$197,0))</f>
        <v>34.027422970000003</v>
      </c>
      <c r="AM402" t="str">
        <f>IF(ISNUMBER(SEARCH("C", 'WetLitterbags placem_collection'!$W183)),"YES","NO")</f>
        <v>NO</v>
      </c>
      <c r="AN402" t="str">
        <f>IF(ISNUMBER(SEARCH("H", 'WetLitterbags placem_collection'!$W183)),"YES","NO")</f>
        <v>NO</v>
      </c>
      <c r="AO402" t="str">
        <f>IF(ISNUMBER(SEARCH("R", 'WetLitterbags placem_collection'!$W183)),"YES","NO")</f>
        <v>NO</v>
      </c>
    </row>
    <row r="403" spans="1:41" ht="15" customHeight="1">
      <c r="A403" s="255" t="s">
        <v>2454</v>
      </c>
      <c r="B403" s="260">
        <f>'Dry_Litterbag Placem_Collection'!A184</f>
        <v>182</v>
      </c>
      <c r="C403" s="260" t="str">
        <f>'Dry_Litterbag Placem_Collection'!B184</f>
        <v>Handajega</v>
      </c>
      <c r="D403" s="260" t="s">
        <v>2454</v>
      </c>
      <c r="E403" s="260" t="s">
        <v>2645</v>
      </c>
      <c r="F403" s="260">
        <v>3</v>
      </c>
      <c r="G403" s="260" t="s">
        <v>3828</v>
      </c>
      <c r="H403" s="261" t="str">
        <f>'Dry_Litterbag Placem_Collection'!C184</f>
        <v>Wet_W3_T6</v>
      </c>
      <c r="I403" s="262" t="s">
        <v>2525</v>
      </c>
      <c r="J403" s="269" t="s">
        <v>298</v>
      </c>
      <c r="K403" s="221" t="str">
        <f>'WetLitterbags placem_collection'!M184</f>
        <v>R444</v>
      </c>
      <c r="L403" s="223">
        <f>IFERROR(INDEX('Green_rooibos initial weight'!$C$5:$C$2000,MATCH(K403, 'Green_rooibos initial weight'!$A$5:$A$2000,0)),"")</f>
        <v>2.2149999999999999</v>
      </c>
      <c r="M403" s="223">
        <f>IFERROR(L403-(TBIcalc!$H$9+TBIcalc!$H$10),"")</f>
        <v>1.9651999999999998</v>
      </c>
      <c r="N403" s="385">
        <f>AVERAGE(Ashed_controlls!$K$2:$K$11)</f>
        <v>5.5147656768714146</v>
      </c>
      <c r="O403" s="223">
        <f t="shared" si="31"/>
        <v>1.8568238249181228</v>
      </c>
      <c r="P403" s="223">
        <f>IFERROR(INDEX('Both teabags AfterWet'!$C$3:$C$840,MATCH(K403,'Both teabags AfterWet'!$A$3:$A$840,0)),"")</f>
        <v>1.7522</v>
      </c>
      <c r="Q403" s="223">
        <f>IFERROR(IF(P403&gt;0,P403-(TBIcalc!$H$9),""),"")</f>
        <v>1.6015999999999999</v>
      </c>
      <c r="R403" s="223">
        <f>IFERROR(INDEX('Ashed teabags wet'!$K$2:$K$2000,MATCH(K403,'Ashed teabags wet'!$A$2:$A$2000,0)),"")</f>
        <v>2.2682445759369214</v>
      </c>
      <c r="S403" s="223">
        <f t="shared" si="32"/>
        <v>1.5652717948717942</v>
      </c>
      <c r="T403" s="224">
        <f>'WetLitterbags placem_collection'!E184</f>
        <v>42763</v>
      </c>
      <c r="U403" s="224">
        <f>IF('WetLitterbags placem_collection'!G184="","",'WetLitterbags placem_collection'!G184)</f>
        <v>42815</v>
      </c>
      <c r="V403" s="225">
        <f t="shared" si="30"/>
        <v>52</v>
      </c>
      <c r="W403" s="223">
        <f t="shared" si="33"/>
        <v>0.36359999999999992</v>
      </c>
      <c r="X403" s="223">
        <f t="shared" si="34"/>
        <v>0.29155203004632857</v>
      </c>
      <c r="Y403">
        <f>IFERROR(INDEX(Rainfall_Wet!$O$2:$O$217,MATCH(B403, Rainfall_Wet!$A$2:$A$217,0)),"")</f>
        <v>188.24043152799999</v>
      </c>
      <c r="Z403" s="228">
        <v>25.96</v>
      </c>
      <c r="AA403" s="228">
        <v>8.9200000000000017</v>
      </c>
      <c r="AB403" s="228">
        <v>65.12</v>
      </c>
      <c r="AC403" s="229" t="s">
        <v>2654</v>
      </c>
      <c r="AD403" s="228">
        <v>6.6145884672252304</v>
      </c>
      <c r="AE403">
        <f>IF('WetLitterbags placem_collection'!AB184="","",'WetLitterbags placem_collection'!AB184)</f>
        <v>8.8000000000000007</v>
      </c>
      <c r="AF403">
        <f>IF('WetLitterbags placem_collection'!Z184="","",'WetLitterbags placem_collection'!Z184)</f>
        <v>15.8</v>
      </c>
      <c r="AG403" s="243" t="str">
        <f>IF('WetLitterbags placem_collection'!AA184="","",'WetLitterbags placem_collection'!AA184)</f>
        <v>O</v>
      </c>
      <c r="AH403">
        <f>IF('WetLitterbags placem_collection'!AC184="","",'WetLitterbags placem_collection'!AC184)</f>
        <v>1</v>
      </c>
      <c r="AI403" s="237">
        <f>AVERAGE('WetLitterbags placem_collection'!S184,'WetLitterbags placem_collection'!U184)</f>
        <v>11.55</v>
      </c>
      <c r="AJ403">
        <f>AVERAGE('WetLitterbags placem_collection'!R184,'WetLitterbags placem_collection'!T184)</f>
        <v>33.299999999999997</v>
      </c>
      <c r="AK403">
        <f>INDEX(Coordinates!$B$2:$B$197,MATCH(H403,Coordinates!$J$2:$J$197,0))</f>
        <v>-2.2777009659999998</v>
      </c>
      <c r="AL403">
        <f>INDEX(Coordinates!$C$2:$C$197,MATCH(H403,Coordinates!$J$2:$J$197,0))</f>
        <v>34.027393969999999</v>
      </c>
      <c r="AM403" t="str">
        <f>IF(ISNUMBER(SEARCH("C", 'WetLitterbags placem_collection'!$W184)),"YES","NO")</f>
        <v>NO</v>
      </c>
      <c r="AN403" t="str">
        <f>IF(ISNUMBER(SEARCH("H", 'WetLitterbags placem_collection'!$W184)),"YES","NO")</f>
        <v>NO</v>
      </c>
      <c r="AO403" t="str">
        <f>IF(ISNUMBER(SEARCH("R", 'WetLitterbags placem_collection'!$W184)),"YES","NO")</f>
        <v>NO</v>
      </c>
    </row>
    <row r="404" spans="1:41" ht="15" customHeight="1">
      <c r="A404" s="255" t="s">
        <v>2454</v>
      </c>
      <c r="B404" s="260">
        <f>'Dry_Litterbag Placem_Collection'!A185</f>
        <v>183</v>
      </c>
      <c r="C404" s="260" t="str">
        <f>'Dry_Litterbag Placem_Collection'!B185</f>
        <v>Handajega</v>
      </c>
      <c r="D404" s="260" t="s">
        <v>2454</v>
      </c>
      <c r="E404" s="260" t="s">
        <v>2645</v>
      </c>
      <c r="F404" s="260">
        <v>3</v>
      </c>
      <c r="G404" s="260" t="s">
        <v>3828</v>
      </c>
      <c r="H404" s="261" t="str">
        <f>'Dry_Litterbag Placem_Collection'!C185</f>
        <v>Wet_W3_T7</v>
      </c>
      <c r="I404" s="262" t="s">
        <v>2525</v>
      </c>
      <c r="J404" s="269" t="s">
        <v>298</v>
      </c>
      <c r="K404" s="221" t="str">
        <f>'WetLitterbags placem_collection'!M185</f>
        <v>R568</v>
      </c>
      <c r="L404" s="223">
        <f>IFERROR(INDEX('Green_rooibos initial weight'!$C$5:$C$2000,MATCH(K404, 'Green_rooibos initial weight'!$A$5:$A$2000,0)),"")</f>
        <v>2.04</v>
      </c>
      <c r="M404" s="223">
        <f>IFERROR(L404-(TBIcalc!$H$9+TBIcalc!$H$10),"")</f>
        <v>1.7902</v>
      </c>
      <c r="N404" s="385">
        <f>AVERAGE(Ashed_controlls!$K$2:$K$11)</f>
        <v>5.5147656768714146</v>
      </c>
      <c r="O404" s="223">
        <f t="shared" si="31"/>
        <v>1.691474664852648</v>
      </c>
      <c r="P404" s="223">
        <f>IFERROR(INDEX('Both teabags AfterWet'!$C$3:$C$840,MATCH(K404,'Both teabags AfterWet'!$A$3:$A$840,0)),"")</f>
        <v>0.30299999999999999</v>
      </c>
      <c r="Q404" s="223">
        <f>IFERROR(IF(P404&gt;0,P404-(TBIcalc!$H$9),""),"")</f>
        <v>0.15239999999999998</v>
      </c>
      <c r="R404" s="223">
        <f>IFERROR(INDEX('Ashed teabags wet'!$K$2:$K$2000,MATCH(K404,'Ashed teabags wet'!$A$2:$A$2000,0)),"")</f>
        <v>0</v>
      </c>
      <c r="S404" s="223">
        <f t="shared" si="32"/>
        <v>0.15239999999999998</v>
      </c>
      <c r="T404" s="224">
        <f>'WetLitterbags placem_collection'!E185</f>
        <v>42763</v>
      </c>
      <c r="U404" s="224">
        <f>IF('WetLitterbags placem_collection'!G185="","",'WetLitterbags placem_collection'!G185)</f>
        <v>42815</v>
      </c>
      <c r="V404" s="225">
        <f t="shared" si="30"/>
        <v>52</v>
      </c>
      <c r="W404" s="223">
        <f t="shared" si="33"/>
        <v>1.6377999999999999</v>
      </c>
      <c r="X404" s="223">
        <f t="shared" si="34"/>
        <v>1.5390746648526479</v>
      </c>
      <c r="Y404">
        <f>IFERROR(INDEX(Rainfall_Wet!$O$2:$O$217,MATCH(B404, Rainfall_Wet!$A$2:$A$217,0)),"")</f>
        <v>188.24043152799999</v>
      </c>
      <c r="Z404" s="228">
        <v>25.96</v>
      </c>
      <c r="AA404" s="228">
        <v>8.9200000000000017</v>
      </c>
      <c r="AB404" s="228">
        <v>65.12</v>
      </c>
      <c r="AC404" s="229" t="s">
        <v>2654</v>
      </c>
      <c r="AD404" s="228">
        <v>7.6145884672252304</v>
      </c>
      <c r="AE404">
        <f>IF('WetLitterbags placem_collection'!AB185="","",'WetLitterbags placem_collection'!AB185)</f>
        <v>11.4</v>
      </c>
      <c r="AF404">
        <f>IF('WetLitterbags placem_collection'!Z185="","",'WetLitterbags placem_collection'!Z185)</f>
        <v>35.799999999999997</v>
      </c>
      <c r="AG404" s="243" t="str">
        <f>IF('WetLitterbags placem_collection'!AA185="","",'WetLitterbags placem_collection'!AA185)</f>
        <v>G</v>
      </c>
      <c r="AH404">
        <f>IF('WetLitterbags placem_collection'!AC185="","",'WetLitterbags placem_collection'!AC185)</f>
        <v>1</v>
      </c>
      <c r="AI404" s="237">
        <f>AVERAGE('WetLitterbags placem_collection'!S185,'WetLitterbags placem_collection'!U185)</f>
        <v>13.4</v>
      </c>
      <c r="AJ404">
        <f>AVERAGE('WetLitterbags placem_collection'!R185,'WetLitterbags placem_collection'!T185)</f>
        <v>33.5</v>
      </c>
      <c r="AK404">
        <f>INDEX(Coordinates!$B$2:$B$197,MATCH(H404,Coordinates!$J$2:$J$197,0))</f>
        <v>-2.2777790019999999</v>
      </c>
      <c r="AL404">
        <f>INDEX(Coordinates!$C$2:$C$197,MATCH(H404,Coordinates!$J$2:$J$197,0))</f>
        <v>34.028066029999998</v>
      </c>
      <c r="AM404" t="str">
        <f>IF(ISNUMBER(SEARCH("C", 'WetLitterbags placem_collection'!$W185)),"YES","NO")</f>
        <v>YES</v>
      </c>
      <c r="AN404" t="str">
        <f>IF(ISNUMBER(SEARCH("H", 'WetLitterbags placem_collection'!$W185)),"YES","NO")</f>
        <v>YES</v>
      </c>
      <c r="AO404" t="str">
        <f>IF(ISNUMBER(SEARCH("R", 'WetLitterbags placem_collection'!$W185)),"YES","NO")</f>
        <v>NO</v>
      </c>
    </row>
    <row r="405" spans="1:41" ht="15" customHeight="1">
      <c r="A405" s="255" t="s">
        <v>2454</v>
      </c>
      <c r="B405" s="260">
        <f>'Dry_Litterbag Placem_Collection'!A186</f>
        <v>184</v>
      </c>
      <c r="C405" s="260" t="str">
        <f>'Dry_Litterbag Placem_Collection'!B186</f>
        <v>Handajega</v>
      </c>
      <c r="D405" s="260" t="s">
        <v>2454</v>
      </c>
      <c r="E405" s="260" t="s">
        <v>2645</v>
      </c>
      <c r="F405" s="260">
        <v>3</v>
      </c>
      <c r="G405" s="260" t="s">
        <v>3828</v>
      </c>
      <c r="H405" s="261" t="str">
        <f>'Dry_Litterbag Placem_Collection'!C186</f>
        <v>Wet_W3_T8</v>
      </c>
      <c r="I405" s="262" t="s">
        <v>2525</v>
      </c>
      <c r="J405" s="269" t="s">
        <v>298</v>
      </c>
      <c r="K405" s="221" t="str">
        <f>'WetLitterbags placem_collection'!M186</f>
        <v>R541</v>
      </c>
      <c r="L405" s="223">
        <f>IFERROR(INDEX('Green_rooibos initial weight'!$C$5:$C$2000,MATCH(K405, 'Green_rooibos initial weight'!$A$5:$A$2000,0)),"")</f>
        <v>2.226</v>
      </c>
      <c r="M405" s="223">
        <f>IFERROR(L405-(TBIcalc!$H$9+TBIcalc!$H$10),"")</f>
        <v>1.9762</v>
      </c>
      <c r="N405" s="385">
        <f>AVERAGE(Ashed_controlls!$K$2:$K$11)</f>
        <v>5.5147656768714146</v>
      </c>
      <c r="O405" s="223">
        <f t="shared" si="31"/>
        <v>1.8672172006936671</v>
      </c>
      <c r="P405" s="223">
        <f>IFERROR(INDEX('Both teabags AfterWet'!$C$3:$C$840,MATCH(K405,'Both teabags AfterWet'!$A$3:$A$840,0)),"")</f>
        <v>1.7278</v>
      </c>
      <c r="Q405" s="223">
        <f>IFERROR(IF(P405&gt;0,P405-(TBIcalc!$H$9),""),"")</f>
        <v>1.5771999999999999</v>
      </c>
      <c r="R405" s="223">
        <f>IFERROR(INDEX('Ashed teabags wet'!$K$2:$K$2000,MATCH(K405,'Ashed teabags wet'!$A$2:$A$2000,0)),"")</f>
        <v>2.6018654884636851</v>
      </c>
      <c r="S405" s="223">
        <f t="shared" si="32"/>
        <v>1.5361633775159507</v>
      </c>
      <c r="T405" s="224">
        <f>'WetLitterbags placem_collection'!E186</f>
        <v>42763</v>
      </c>
      <c r="U405" s="224">
        <f>IF('WetLitterbags placem_collection'!G186="","",'WetLitterbags placem_collection'!G186)</f>
        <v>42815</v>
      </c>
      <c r="V405" s="225">
        <f t="shared" si="30"/>
        <v>52</v>
      </c>
      <c r="W405" s="223">
        <f t="shared" si="33"/>
        <v>0.39900000000000002</v>
      </c>
      <c r="X405" s="223">
        <f t="shared" si="34"/>
        <v>0.33105382317771648</v>
      </c>
      <c r="Y405">
        <f>IFERROR(INDEX(Rainfall_Wet!$O$2:$O$217,MATCH(B405, Rainfall_Wet!$A$2:$A$217,0)),"")</f>
        <v>188.24043152799999</v>
      </c>
      <c r="Z405" s="228">
        <v>25.96</v>
      </c>
      <c r="AA405" s="228">
        <v>8.9200000000000017</v>
      </c>
      <c r="AB405" s="228">
        <v>65.12</v>
      </c>
      <c r="AC405" s="229" t="s">
        <v>2654</v>
      </c>
      <c r="AD405" s="228">
        <v>8.6145884672252304</v>
      </c>
      <c r="AE405">
        <f>IF('WetLitterbags placem_collection'!AB186="","",'WetLitterbags placem_collection'!AB186)</f>
        <v>3.7</v>
      </c>
      <c r="AF405">
        <f>IF('WetLitterbags placem_collection'!Z186="","",'WetLitterbags placem_collection'!Z186)</f>
        <v>16.399999999999999</v>
      </c>
      <c r="AG405" s="243" t="str">
        <f>IF('WetLitterbags placem_collection'!AA186="","",'WetLitterbags placem_collection'!AA186)</f>
        <v>O</v>
      </c>
      <c r="AH405">
        <f>IF('WetLitterbags placem_collection'!AC186="","",'WetLitterbags placem_collection'!AC186)</f>
        <v>0</v>
      </c>
      <c r="AI405" s="237">
        <f>AVERAGE('WetLitterbags placem_collection'!S186,'WetLitterbags placem_collection'!U186)</f>
        <v>13.3</v>
      </c>
      <c r="AJ405">
        <f>AVERAGE('WetLitterbags placem_collection'!R186,'WetLitterbags placem_collection'!T186)</f>
        <v>29.950000000000003</v>
      </c>
      <c r="AK405">
        <f>INDEX(Coordinates!$B$2:$B$197,MATCH(H405,Coordinates!$J$2:$J$197,0))</f>
        <v>-2.2775169829999999</v>
      </c>
      <c r="AL405">
        <f>INDEX(Coordinates!$C$2:$C$197,MATCH(H405,Coordinates!$J$2:$J$197,0))</f>
        <v>34.027766970000002</v>
      </c>
      <c r="AM405" t="str">
        <f>IF(ISNUMBER(SEARCH("C", 'WetLitterbags placem_collection'!$W186)),"YES","NO")</f>
        <v>NO</v>
      </c>
      <c r="AN405" t="str">
        <f>IF(ISNUMBER(SEARCH("H", 'WetLitterbags placem_collection'!$W186)),"YES","NO")</f>
        <v>NO</v>
      </c>
      <c r="AO405" t="str">
        <f>IF(ISNUMBER(SEARCH("R", 'WetLitterbags placem_collection'!$W186)),"YES","NO")</f>
        <v>NO</v>
      </c>
    </row>
    <row r="406" spans="1:41" ht="15" customHeight="1">
      <c r="A406" s="255" t="s">
        <v>2454</v>
      </c>
      <c r="B406" s="260">
        <f>'Dry_Litterbag Placem_Collection'!A187</f>
        <v>185</v>
      </c>
      <c r="C406" s="260" t="str">
        <f>'Dry_Litterbag Placem_Collection'!B187</f>
        <v>Handajega</v>
      </c>
      <c r="D406" s="260" t="s">
        <v>2454</v>
      </c>
      <c r="E406" s="260" t="s">
        <v>2645</v>
      </c>
      <c r="F406" s="260">
        <v>4</v>
      </c>
      <c r="G406" s="260" t="s">
        <v>3829</v>
      </c>
      <c r="H406" s="261" t="str">
        <f>'Dry_Litterbag Placem_Collection'!C187</f>
        <v>Wet_W4_T1</v>
      </c>
      <c r="I406" s="262" t="s">
        <v>2525</v>
      </c>
      <c r="J406" s="269" t="s">
        <v>298</v>
      </c>
      <c r="K406" s="221" t="str">
        <f>'WetLitterbags placem_collection'!M187</f>
        <v>R51</v>
      </c>
      <c r="L406" s="223">
        <f>IFERROR(INDEX('Green_rooibos initial weight'!$C$5:$C$2000,MATCH(K406, 'Green_rooibos initial weight'!$A$5:$A$2000,0)),"")</f>
        <v>2.3149999999999999</v>
      </c>
      <c r="M406" s="223">
        <f>IFERROR(L406-(TBIcalc!$H$9+TBIcalc!$H$10),"")</f>
        <v>2.0651999999999999</v>
      </c>
      <c r="N406" s="385">
        <f>AVERAGE(Ashed_controlls!$K$2:$K$11)</f>
        <v>5.5147656768714146</v>
      </c>
      <c r="O406" s="223">
        <f t="shared" si="31"/>
        <v>1.9513090592412514</v>
      </c>
      <c r="P406" s="223">
        <f>IFERROR(INDEX('Both teabags AfterWet'!$C$3:$C$840,MATCH(K406,'Both teabags AfterWet'!$A$3:$A$840,0)),"")</f>
        <v>1.7762</v>
      </c>
      <c r="Q406" s="223">
        <f>IFERROR(IF(P406&gt;0,P406-(TBIcalc!$H$9),""),"")</f>
        <v>1.6255999999999999</v>
      </c>
      <c r="R406" s="223">
        <f>IFERROR(INDEX('Ashed teabags wet'!$K$2:$K$2000,MATCH(K406,'Ashed teabags wet'!$A$2:$A$2000,0)),"")</f>
        <v>2.0874751491048897</v>
      </c>
      <c r="S406" s="223">
        <f t="shared" si="32"/>
        <v>1.5916660039761508</v>
      </c>
      <c r="T406" s="224">
        <f>'WetLitterbags placem_collection'!E187</f>
        <v>42763</v>
      </c>
      <c r="U406" s="224">
        <f>IF('WetLitterbags placem_collection'!G187="","",'WetLitterbags placem_collection'!G187)</f>
        <v>42815</v>
      </c>
      <c r="V406" s="225">
        <f t="shared" si="30"/>
        <v>52</v>
      </c>
      <c r="W406" s="223">
        <f t="shared" si="33"/>
        <v>0.43959999999999999</v>
      </c>
      <c r="X406" s="223">
        <f t="shared" si="34"/>
        <v>0.35964305526510065</v>
      </c>
      <c r="Y406">
        <f>IFERROR(INDEX(Rainfall_Wet!$O$2:$O$217,MATCH(B406, Rainfall_Wet!$A$2:$A$217,0)),"")</f>
        <v>188.24043152799999</v>
      </c>
      <c r="Z406" s="228">
        <v>25.96</v>
      </c>
      <c r="AA406" s="228">
        <v>8.9200000000000017</v>
      </c>
      <c r="AB406" s="228">
        <v>65.12</v>
      </c>
      <c r="AC406" s="229" t="s">
        <v>2654</v>
      </c>
      <c r="AD406" s="228">
        <v>1.6991621488417901</v>
      </c>
      <c r="AE406">
        <f>IF('WetLitterbags placem_collection'!AB187="","",'WetLitterbags placem_collection'!AB187)</f>
        <v>9.8000000000000007</v>
      </c>
      <c r="AF406">
        <f>IF('WetLitterbags placem_collection'!Z187="","",'WetLitterbags placem_collection'!Z187)</f>
        <v>29.4</v>
      </c>
      <c r="AG406" s="243" t="str">
        <f>IF('WetLitterbags placem_collection'!AA187="","",'WetLitterbags placem_collection'!AA187)</f>
        <v>O</v>
      </c>
      <c r="AH406">
        <f>IF('WetLitterbags placem_collection'!AC187="","",'WetLitterbags placem_collection'!AC187)</f>
        <v>0</v>
      </c>
      <c r="AI406" s="237">
        <f>AVERAGE('WetLitterbags placem_collection'!S187,'WetLitterbags placem_collection'!U187)</f>
        <v>17.850000000000001</v>
      </c>
      <c r="AJ406">
        <f>AVERAGE('WetLitterbags placem_collection'!R187,'WetLitterbags placem_collection'!T187)</f>
        <v>35.400000000000006</v>
      </c>
      <c r="AK406">
        <f>INDEX(Coordinates!$B$2:$B$197,MATCH(H406,Coordinates!$J$2:$J$197,0))</f>
        <v>-2.2787330300000002</v>
      </c>
      <c r="AL406">
        <f>INDEX(Coordinates!$C$2:$C$197,MATCH(H406,Coordinates!$J$2:$J$197,0))</f>
        <v>34.032136029999997</v>
      </c>
      <c r="AM406" t="str">
        <f>IF(ISNUMBER(SEARCH("C", 'WetLitterbags placem_collection'!$W187)),"YES","NO")</f>
        <v>YES</v>
      </c>
      <c r="AN406" t="str">
        <f>IF(ISNUMBER(SEARCH("H", 'WetLitterbags placem_collection'!$W187)),"YES","NO")</f>
        <v>YES</v>
      </c>
      <c r="AO406" t="str">
        <f>IF(ISNUMBER(SEARCH("R", 'WetLitterbags placem_collection'!$W187)),"YES","NO")</f>
        <v>NO</v>
      </c>
    </row>
    <row r="407" spans="1:41" ht="15" customHeight="1">
      <c r="A407" s="255" t="s">
        <v>2454</v>
      </c>
      <c r="B407" s="260">
        <f>'Dry_Litterbag Placem_Collection'!A188</f>
        <v>186</v>
      </c>
      <c r="C407" s="260" t="str">
        <f>'Dry_Litterbag Placem_Collection'!B188</f>
        <v>Handajega</v>
      </c>
      <c r="D407" s="260" t="s">
        <v>2454</v>
      </c>
      <c r="E407" s="260" t="s">
        <v>2645</v>
      </c>
      <c r="F407" s="260">
        <v>4</v>
      </c>
      <c r="G407" s="260" t="s">
        <v>3829</v>
      </c>
      <c r="H407" s="261" t="str">
        <f>'Dry_Litterbag Placem_Collection'!C188</f>
        <v>Wet_W4_T2</v>
      </c>
      <c r="I407" s="262" t="s">
        <v>2525</v>
      </c>
      <c r="J407" s="269" t="s">
        <v>298</v>
      </c>
      <c r="K407" s="221" t="str">
        <f>'WetLitterbags placem_collection'!M188</f>
        <v>R557</v>
      </c>
      <c r="L407" s="223">
        <f>IFERROR(INDEX('Green_rooibos initial weight'!$C$5:$C$2000,MATCH(K407, 'Green_rooibos initial weight'!$A$5:$A$2000,0)),"")</f>
        <v>2.2229999999999999</v>
      </c>
      <c r="M407" s="223">
        <f>IFERROR(L407-(TBIcalc!$H$9+TBIcalc!$H$10),"")</f>
        <v>1.9731999999999998</v>
      </c>
      <c r="N407" s="385">
        <f>AVERAGE(Ashed_controlls!$K$2:$K$11)</f>
        <v>5.5147656768714146</v>
      </c>
      <c r="O407" s="223">
        <f t="shared" si="31"/>
        <v>1.8643826436639732</v>
      </c>
      <c r="P407" s="223">
        <f>IFERROR(INDEX('Both teabags AfterWet'!$C$3:$C$840,MATCH(K407,'Both teabags AfterWet'!$A$3:$A$840,0)),"")</f>
        <v>1.7509999999999999</v>
      </c>
      <c r="Q407" s="223">
        <f>IFERROR(IF(P407&gt;0,P407-(TBIcalc!$H$9),""),"")</f>
        <v>1.6003999999999998</v>
      </c>
      <c r="R407" s="223">
        <f>IFERROR(INDEX('Ashed teabags wet'!$K$2:$K$2000,MATCH(K407,'Ashed teabags wet'!$A$2:$A$2000,0)),"")</f>
        <v>2.1547502448572287</v>
      </c>
      <c r="S407" s="223">
        <f t="shared" si="32"/>
        <v>1.5659153770813048</v>
      </c>
      <c r="T407" s="224">
        <f>'WetLitterbags placem_collection'!E188</f>
        <v>42763</v>
      </c>
      <c r="U407" s="224">
        <f>IF('WetLitterbags placem_collection'!G188="","",'WetLitterbags placem_collection'!G188)</f>
        <v>42815</v>
      </c>
      <c r="V407" s="225">
        <f t="shared" si="30"/>
        <v>52</v>
      </c>
      <c r="W407" s="223">
        <f t="shared" si="33"/>
        <v>0.37280000000000002</v>
      </c>
      <c r="X407" s="223">
        <f t="shared" si="34"/>
        <v>0.29846726658266842</v>
      </c>
      <c r="Y407">
        <f>IFERROR(INDEX(Rainfall_Wet!$O$2:$O$217,MATCH(B407, Rainfall_Wet!$A$2:$A$217,0)),"")</f>
        <v>188.24043152799999</v>
      </c>
      <c r="Z407" s="228">
        <v>25.96</v>
      </c>
      <c r="AA407" s="228">
        <v>8.9200000000000017</v>
      </c>
      <c r="AB407" s="228">
        <v>65.12</v>
      </c>
      <c r="AC407" s="229" t="s">
        <v>2654</v>
      </c>
      <c r="AD407" s="228">
        <v>2.6991621488417898</v>
      </c>
      <c r="AE407">
        <f>IF('WetLitterbags placem_collection'!AB188="","",'WetLitterbags placem_collection'!AB188)</f>
        <v>11.4</v>
      </c>
      <c r="AF407">
        <f>IF('WetLitterbags placem_collection'!Z188="","",'WetLitterbags placem_collection'!Z188)</f>
        <v>45.4</v>
      </c>
      <c r="AG407" s="243" t="str">
        <f>IF('WetLitterbags placem_collection'!AA188="","",'WetLitterbags placem_collection'!AA188)</f>
        <v>O</v>
      </c>
      <c r="AH407">
        <f>IF('WetLitterbags placem_collection'!AC188="","",'WetLitterbags placem_collection'!AC188)</f>
        <v>0</v>
      </c>
      <c r="AI407" s="237">
        <f>AVERAGE('WetLitterbags placem_collection'!S188,'WetLitterbags placem_collection'!U188)</f>
        <v>16.899999999999999</v>
      </c>
      <c r="AJ407">
        <f>AVERAGE('WetLitterbags placem_collection'!R188,'WetLitterbags placem_collection'!T188)</f>
        <v>33.9</v>
      </c>
      <c r="AK407">
        <f>INDEX(Coordinates!$B$2:$B$197,MATCH(H407,Coordinates!$J$2:$J$197,0))</f>
        <v>-2.278763037</v>
      </c>
      <c r="AL407">
        <f>INDEX(Coordinates!$C$2:$C$197,MATCH(H407,Coordinates!$J$2:$J$197,0))</f>
        <v>34.031974009999999</v>
      </c>
      <c r="AM407" t="str">
        <f>IF(ISNUMBER(SEARCH("C", 'WetLitterbags placem_collection'!$W188)),"YES","NO")</f>
        <v>NO</v>
      </c>
      <c r="AN407" t="str">
        <f>IF(ISNUMBER(SEARCH("H", 'WetLitterbags placem_collection'!$W188)),"YES","NO")</f>
        <v>YES</v>
      </c>
      <c r="AO407" t="str">
        <f>IF(ISNUMBER(SEARCH("R", 'WetLitterbags placem_collection'!$W188)),"YES","NO")</f>
        <v>NO</v>
      </c>
    </row>
    <row r="408" spans="1:41" ht="15" customHeight="1">
      <c r="A408" s="255" t="s">
        <v>2454</v>
      </c>
      <c r="B408" s="260">
        <f>'Dry_Litterbag Placem_Collection'!A189</f>
        <v>187</v>
      </c>
      <c r="C408" s="260" t="str">
        <f>'Dry_Litterbag Placem_Collection'!B189</f>
        <v>Handajega</v>
      </c>
      <c r="D408" s="260" t="s">
        <v>2454</v>
      </c>
      <c r="E408" s="260" t="s">
        <v>2645</v>
      </c>
      <c r="F408" s="260">
        <v>4</v>
      </c>
      <c r="G408" s="260" t="s">
        <v>3829</v>
      </c>
      <c r="H408" s="261" t="str">
        <f>'Dry_Litterbag Placem_Collection'!C189</f>
        <v>Wet_W4_T3</v>
      </c>
      <c r="I408" s="262" t="s">
        <v>2525</v>
      </c>
      <c r="J408" s="269" t="s">
        <v>298</v>
      </c>
      <c r="K408" s="221" t="str">
        <f>'WetLitterbags placem_collection'!M189</f>
        <v>R427</v>
      </c>
      <c r="L408" s="223">
        <f>IFERROR(INDEX('Green_rooibos initial weight'!$C$5:$C$2000,MATCH(K408, 'Green_rooibos initial weight'!$A$5:$A$2000,0)),"")</f>
        <v>2.1760000000000002</v>
      </c>
      <c r="M408" s="223">
        <f>IFERROR(L408-(TBIcalc!$H$9+TBIcalc!$H$10),"")</f>
        <v>1.9262000000000001</v>
      </c>
      <c r="N408" s="385">
        <f>AVERAGE(Ashed_controlls!$K$2:$K$11)</f>
        <v>5.5147656768714146</v>
      </c>
      <c r="O408" s="223">
        <f t="shared" si="31"/>
        <v>1.8199745835321028</v>
      </c>
      <c r="P408" s="223">
        <f>IFERROR(INDEX('Both teabags AfterWet'!$C$3:$C$840,MATCH(K408,'Both teabags AfterWet'!$A$3:$A$840,0)),"")</f>
        <v>1.6979</v>
      </c>
      <c r="Q408" s="223">
        <f>IFERROR(IF(P408&gt;0,P408-(TBIcalc!$H$9),""),"")</f>
        <v>1.5472999999999999</v>
      </c>
      <c r="R408" s="223">
        <f>IFERROR(INDEX('Ashed teabags wet'!$K$2:$K$2000,MATCH(K408,'Ashed teabags wet'!$A$2:$A$2000,0)),"")</f>
        <v>1.9455252918283636</v>
      </c>
      <c r="S408" s="223">
        <f t="shared" si="32"/>
        <v>1.5171968871595396</v>
      </c>
      <c r="T408" s="224">
        <f>'WetLitterbags placem_collection'!E189</f>
        <v>42763</v>
      </c>
      <c r="U408" s="224">
        <f>IF('WetLitterbags placem_collection'!G189="","",'WetLitterbags placem_collection'!G189)</f>
        <v>42815</v>
      </c>
      <c r="V408" s="225">
        <f t="shared" si="30"/>
        <v>52</v>
      </c>
      <c r="W408" s="223">
        <f t="shared" si="33"/>
        <v>0.37890000000000024</v>
      </c>
      <c r="X408" s="223">
        <f t="shared" si="34"/>
        <v>0.30277769637256324</v>
      </c>
      <c r="Y408">
        <f>IFERROR(INDEX(Rainfall_Wet!$O$2:$O$217,MATCH(B408, Rainfall_Wet!$A$2:$A$217,0)),"")</f>
        <v>188.24043152799999</v>
      </c>
      <c r="Z408" s="228">
        <v>25.96</v>
      </c>
      <c r="AA408" s="228">
        <v>8.9200000000000017</v>
      </c>
      <c r="AB408" s="228">
        <v>65.12</v>
      </c>
      <c r="AC408" s="229" t="s">
        <v>2654</v>
      </c>
      <c r="AD408" s="228">
        <v>3.6991621488417898</v>
      </c>
      <c r="AE408">
        <f>IF('WetLitterbags placem_collection'!AB189="","",'WetLitterbags placem_collection'!AB189)</f>
        <v>0.6</v>
      </c>
      <c r="AF408">
        <f>IF('WetLitterbags placem_collection'!Z189="","",'WetLitterbags placem_collection'!Z189)</f>
        <v>39.4</v>
      </c>
      <c r="AG408" s="243" t="str">
        <f>IF('WetLitterbags placem_collection'!AA189="","",'WetLitterbags placem_collection'!AA189)</f>
        <v>O</v>
      </c>
      <c r="AH408">
        <f>IF('WetLitterbags placem_collection'!AC189="","",'WetLitterbags placem_collection'!AC189)</f>
        <v>1</v>
      </c>
      <c r="AI408" s="237">
        <f>AVERAGE('WetLitterbags placem_collection'!S189,'WetLitterbags placem_collection'!U189)</f>
        <v>14.2</v>
      </c>
      <c r="AJ408">
        <f>AVERAGE('WetLitterbags placem_collection'!R189,'WetLitterbags placem_collection'!T189)</f>
        <v>33</v>
      </c>
      <c r="AK408">
        <f>INDEX(Coordinates!$B$2:$B$197,MATCH(H408,Coordinates!$J$2:$J$197,0))</f>
        <v>-2.2785890289999999</v>
      </c>
      <c r="AL408">
        <f>INDEX(Coordinates!$C$2:$C$197,MATCH(H408,Coordinates!$J$2:$J$197,0))</f>
        <v>34.031841999999997</v>
      </c>
      <c r="AM408" t="str">
        <f>IF(ISNUMBER(SEARCH("C", 'WetLitterbags placem_collection'!$W189)),"YES","NO")</f>
        <v>NO</v>
      </c>
      <c r="AN408" t="str">
        <f>IF(ISNUMBER(SEARCH("H", 'WetLitterbags placem_collection'!$W189)),"YES","NO")</f>
        <v>NO</v>
      </c>
      <c r="AO408" t="str">
        <f>IF(ISNUMBER(SEARCH("R", 'WetLitterbags placem_collection'!$W189)),"YES","NO")</f>
        <v>NO</v>
      </c>
    </row>
    <row r="409" spans="1:41" ht="15" customHeight="1">
      <c r="A409" s="255" t="s">
        <v>2454</v>
      </c>
      <c r="B409" s="260">
        <f>'Dry_Litterbag Placem_Collection'!A190</f>
        <v>188</v>
      </c>
      <c r="C409" s="260" t="str">
        <f>'Dry_Litterbag Placem_Collection'!B190</f>
        <v>Handajega</v>
      </c>
      <c r="D409" s="260" t="s">
        <v>2454</v>
      </c>
      <c r="E409" s="260" t="s">
        <v>2645</v>
      </c>
      <c r="F409" s="260">
        <v>4</v>
      </c>
      <c r="G409" s="260" t="s">
        <v>3829</v>
      </c>
      <c r="H409" s="261" t="str">
        <f>'Dry_Litterbag Placem_Collection'!C190</f>
        <v>Wet_W4_T4</v>
      </c>
      <c r="I409" s="262" t="s">
        <v>2525</v>
      </c>
      <c r="J409" s="269" t="s">
        <v>298</v>
      </c>
      <c r="K409" s="221" t="str">
        <f>'WetLitterbags placem_collection'!M190</f>
        <v>R523</v>
      </c>
      <c r="L409" s="223">
        <f>IFERROR(INDEX('Green_rooibos initial weight'!$C$5:$C$2000,MATCH(K409, 'Green_rooibos initial weight'!$A$5:$A$2000,0)),"")</f>
        <v>2.1179999999999999</v>
      </c>
      <c r="M409" s="223">
        <f>IFERROR(L409-(TBIcalc!$H$9+TBIcalc!$H$10),"")</f>
        <v>1.8681999999999999</v>
      </c>
      <c r="N409" s="385">
        <f>AVERAGE(Ashed_controlls!$K$2:$K$11)</f>
        <v>5.5147656768714146</v>
      </c>
      <c r="O409" s="223">
        <f t="shared" si="31"/>
        <v>1.7651731476246881</v>
      </c>
      <c r="P409" s="223">
        <f>IFERROR(INDEX('Both teabags AfterWet'!$C$3:$C$840,MATCH(K409,'Both teabags AfterWet'!$A$3:$A$840,0)),"")</f>
        <v>1.54</v>
      </c>
      <c r="Q409" s="223">
        <f>IFERROR(IF(P409&gt;0,P409-(TBIcalc!$H$9),""),"")</f>
        <v>1.3894</v>
      </c>
      <c r="R409" s="223">
        <f>IFERROR(INDEX('Ashed teabags wet'!$K$2:$K$2000,MATCH(K409,'Ashed teabags wet'!$A$2:$A$2000,0)),"")</f>
        <v>2.4709302325582305</v>
      </c>
      <c r="S409" s="223">
        <f t="shared" si="32"/>
        <v>1.3550688953488359</v>
      </c>
      <c r="T409" s="224">
        <f>'WetLitterbags placem_collection'!E190</f>
        <v>42763</v>
      </c>
      <c r="U409" s="224">
        <f>IF('WetLitterbags placem_collection'!G190="","",'WetLitterbags placem_collection'!G190)</f>
        <v>42815</v>
      </c>
      <c r="V409" s="225">
        <f t="shared" si="30"/>
        <v>52</v>
      </c>
      <c r="W409" s="223">
        <f t="shared" si="33"/>
        <v>0.47879999999999989</v>
      </c>
      <c r="X409" s="223">
        <f t="shared" si="34"/>
        <v>0.41010425227585223</v>
      </c>
      <c r="Y409">
        <f>IFERROR(INDEX(Rainfall_Wet!$O$2:$O$217,MATCH(B409, Rainfall_Wet!$A$2:$A$217,0)),"")</f>
        <v>188.24043152799999</v>
      </c>
      <c r="Z409" s="228">
        <v>25.96</v>
      </c>
      <c r="AA409" s="228">
        <v>8.9200000000000017</v>
      </c>
      <c r="AB409" s="228">
        <v>65.12</v>
      </c>
      <c r="AC409" s="229" t="s">
        <v>2654</v>
      </c>
      <c r="AD409" s="228">
        <v>4.6991621488417898</v>
      </c>
      <c r="AE409">
        <f>IF('WetLitterbags placem_collection'!AB190="","",'WetLitterbags placem_collection'!AB190)</f>
        <v>2.2999999999999998</v>
      </c>
      <c r="AF409">
        <f>IF('WetLitterbags placem_collection'!Z190="","",'WetLitterbags placem_collection'!Z190)</f>
        <v>14.4</v>
      </c>
      <c r="AG409" s="243" t="str">
        <f>IF('WetLitterbags placem_collection'!AA190="","",'WetLitterbags placem_collection'!AA190)</f>
        <v>O</v>
      </c>
      <c r="AH409">
        <f>IF('WetLitterbags placem_collection'!AC190="","",'WetLitterbags placem_collection'!AC190)</f>
        <v>0</v>
      </c>
      <c r="AI409" s="237">
        <f>AVERAGE('WetLitterbags placem_collection'!S190,'WetLitterbags placem_collection'!U190)</f>
        <v>10.45</v>
      </c>
      <c r="AJ409">
        <f>AVERAGE('WetLitterbags placem_collection'!R190,'WetLitterbags placem_collection'!T190)</f>
        <v>34.15</v>
      </c>
      <c r="AK409">
        <f>INDEX(Coordinates!$B$2:$B$197,MATCH(H409,Coordinates!$J$2:$J$197,0))</f>
        <v>-2.278422983</v>
      </c>
      <c r="AL409">
        <f>INDEX(Coordinates!$C$2:$C$197,MATCH(H409,Coordinates!$J$2:$J$197,0))</f>
        <v>34.032261009999999</v>
      </c>
      <c r="AM409" t="str">
        <f>IF(ISNUMBER(SEARCH("C", 'WetLitterbags placem_collection'!$W190)),"YES","NO")</f>
        <v>YES</v>
      </c>
      <c r="AN409" t="str">
        <f>IF(ISNUMBER(SEARCH("H", 'WetLitterbags placem_collection'!$W190)),"YES","NO")</f>
        <v>YES</v>
      </c>
      <c r="AO409" t="str">
        <f>IF(ISNUMBER(SEARCH("R", 'WetLitterbags placem_collection'!$W190)),"YES","NO")</f>
        <v>YES</v>
      </c>
    </row>
    <row r="410" spans="1:41" ht="15" customHeight="1">
      <c r="A410" s="255" t="s">
        <v>2454</v>
      </c>
      <c r="B410" s="260">
        <f>'Dry_Litterbag Placem_Collection'!A191</f>
        <v>189</v>
      </c>
      <c r="C410" s="260" t="str">
        <f>'Dry_Litterbag Placem_Collection'!B191</f>
        <v>Handajega</v>
      </c>
      <c r="D410" s="260" t="s">
        <v>2454</v>
      </c>
      <c r="E410" s="260" t="s">
        <v>2645</v>
      </c>
      <c r="F410" s="260">
        <v>4</v>
      </c>
      <c r="G410" s="260" t="s">
        <v>3829</v>
      </c>
      <c r="H410" s="261" t="str">
        <f>'Dry_Litterbag Placem_Collection'!C191</f>
        <v>Wet_W4_T5</v>
      </c>
      <c r="I410" s="262" t="s">
        <v>2525</v>
      </c>
      <c r="J410" s="269" t="s">
        <v>298</v>
      </c>
      <c r="K410" s="221" t="str">
        <f>'WetLitterbags placem_collection'!M191</f>
        <v>R354</v>
      </c>
      <c r="L410" s="223">
        <f>IFERROR(INDEX('Green_rooibos initial weight'!$C$5:$C$2000,MATCH(K410, 'Green_rooibos initial weight'!$A$5:$A$2000,0)),"")</f>
        <v>2.286</v>
      </c>
      <c r="M410" s="223">
        <f>IFERROR(L410-(TBIcalc!$H$9+TBIcalc!$H$10),"")</f>
        <v>2.0362</v>
      </c>
      <c r="N410" s="385">
        <f>AVERAGE(Ashed_controlls!$K$2:$K$11)</f>
        <v>5.5147656768714146</v>
      </c>
      <c r="O410" s="223">
        <f t="shared" si="31"/>
        <v>1.9239083412875442</v>
      </c>
      <c r="P410" s="223">
        <f>IFERROR(INDEX('Both teabags AfterWet'!$C$3:$C$840,MATCH(K410,'Both teabags AfterWet'!$A$3:$A$840,0)),"")</f>
        <v>1.7630999999999999</v>
      </c>
      <c r="Q410" s="223">
        <f>IFERROR(IF(P410&gt;0,P410-(TBIcalc!$H$9),""),"")</f>
        <v>1.6124999999999998</v>
      </c>
      <c r="R410" s="223">
        <f>IFERROR(INDEX('Ashed teabags wet'!$K$2:$K$2000,MATCH(K410,'Ashed teabags wet'!$A$2:$A$2000,0)),"")</f>
        <v>2.4789291026277223</v>
      </c>
      <c r="S410" s="223">
        <f t="shared" si="32"/>
        <v>1.5725272682201279</v>
      </c>
      <c r="T410" s="224">
        <f>'WetLitterbags placem_collection'!E191</f>
        <v>42763</v>
      </c>
      <c r="U410" s="224">
        <f>IF('WetLitterbags placem_collection'!G191="","",'WetLitterbags placem_collection'!G191)</f>
        <v>42815</v>
      </c>
      <c r="V410" s="225">
        <f t="shared" si="30"/>
        <v>52</v>
      </c>
      <c r="W410" s="223">
        <f t="shared" si="33"/>
        <v>0.42370000000000019</v>
      </c>
      <c r="X410" s="223">
        <f t="shared" si="34"/>
        <v>0.35138107306741628</v>
      </c>
      <c r="Y410">
        <f>IFERROR(INDEX(Rainfall_Wet!$O$2:$O$217,MATCH(B410, Rainfall_Wet!$A$2:$A$217,0)),"")</f>
        <v>188.24043152799999</v>
      </c>
      <c r="Z410" s="228">
        <v>25.96</v>
      </c>
      <c r="AA410" s="228">
        <v>8.9200000000000017</v>
      </c>
      <c r="AB410" s="228">
        <v>65.12</v>
      </c>
      <c r="AC410" s="229" t="s">
        <v>2654</v>
      </c>
      <c r="AD410" s="228">
        <v>5.6991621488417898</v>
      </c>
      <c r="AE410">
        <f>IF('WetLitterbags placem_collection'!AB191="","",'WetLitterbags placem_collection'!AB191)</f>
        <v>0.6</v>
      </c>
      <c r="AF410">
        <f>IF('WetLitterbags placem_collection'!Z191="","",'WetLitterbags placem_collection'!Z191)</f>
        <v>7</v>
      </c>
      <c r="AG410" s="243" t="str">
        <f>IF('WetLitterbags placem_collection'!AA191="","",'WetLitterbags placem_collection'!AA191)</f>
        <v>O</v>
      </c>
      <c r="AH410">
        <f>IF('WetLitterbags placem_collection'!AC191="","",'WetLitterbags placem_collection'!AC191)</f>
        <v>1</v>
      </c>
      <c r="AI410" s="237">
        <f>AVERAGE('WetLitterbags placem_collection'!S191,'WetLitterbags placem_collection'!U191)</f>
        <v>13.6</v>
      </c>
      <c r="AJ410">
        <f>AVERAGE('WetLitterbags placem_collection'!R191,'WetLitterbags placem_collection'!T191)</f>
        <v>30.6</v>
      </c>
      <c r="AK410">
        <f>INDEX(Coordinates!$B$2:$B$197,MATCH(H410,Coordinates!$J$2:$J$197,0))</f>
        <v>-2.2787580080000001</v>
      </c>
      <c r="AL410">
        <f>INDEX(Coordinates!$C$2:$C$197,MATCH(H410,Coordinates!$J$2:$J$197,0))</f>
        <v>34.032463010000001</v>
      </c>
      <c r="AM410" t="str">
        <f>IF(ISNUMBER(SEARCH("C", 'WetLitterbags placem_collection'!$W191)),"YES","NO")</f>
        <v>NO</v>
      </c>
      <c r="AN410" t="str">
        <f>IF(ISNUMBER(SEARCH("H", 'WetLitterbags placem_collection'!$W191)),"YES","NO")</f>
        <v>NO</v>
      </c>
      <c r="AO410" t="str">
        <f>IF(ISNUMBER(SEARCH("R", 'WetLitterbags placem_collection'!$W191)),"YES","NO")</f>
        <v>YES</v>
      </c>
    </row>
    <row r="411" spans="1:41" ht="15" customHeight="1">
      <c r="A411" s="255" t="s">
        <v>2454</v>
      </c>
      <c r="B411" s="260">
        <f>'Dry_Litterbag Placem_Collection'!A192</f>
        <v>190</v>
      </c>
      <c r="C411" s="260" t="str">
        <f>'Dry_Litterbag Placem_Collection'!B192</f>
        <v>Handajega</v>
      </c>
      <c r="D411" s="260" t="s">
        <v>2454</v>
      </c>
      <c r="E411" s="260" t="s">
        <v>2645</v>
      </c>
      <c r="F411" s="260">
        <v>4</v>
      </c>
      <c r="G411" s="260" t="s">
        <v>3829</v>
      </c>
      <c r="H411" s="261" t="str">
        <f>'Dry_Litterbag Placem_Collection'!C192</f>
        <v>Wet_W4_T6</v>
      </c>
      <c r="I411" s="262" t="s">
        <v>2525</v>
      </c>
      <c r="J411" s="269" t="s">
        <v>298</v>
      </c>
      <c r="K411" s="221" t="str">
        <f>'WetLitterbags placem_collection'!M192</f>
        <v>R164</v>
      </c>
      <c r="L411" s="223">
        <f>IFERROR(INDEX('Green_rooibos initial weight'!$C$5:$C$2000,MATCH(K411, 'Green_rooibos initial weight'!$A$5:$A$2000,0)),"")</f>
        <v>2.2040000000000002</v>
      </c>
      <c r="M411" s="223">
        <f>IFERROR(L411-(TBIcalc!$H$9+TBIcalc!$H$10),"")</f>
        <v>1.9542000000000002</v>
      </c>
      <c r="N411" s="385">
        <f>AVERAGE(Ashed_controlls!$K$2:$K$11)</f>
        <v>5.5147656768714146</v>
      </c>
      <c r="O411" s="223">
        <f t="shared" si="31"/>
        <v>1.8464304491425789</v>
      </c>
      <c r="P411" s="223">
        <f>IFERROR(INDEX('Both teabags AfterWet'!$C$3:$C$840,MATCH(K411,'Both teabags AfterWet'!$A$3:$A$840,0)),"")</f>
        <v>1.6649</v>
      </c>
      <c r="Q411" s="223">
        <f>IFERROR(IF(P411&gt;0,P411-(TBIcalc!$H$9),""),"")</f>
        <v>1.5143</v>
      </c>
      <c r="R411" s="223">
        <f>IFERROR(INDEX('Ashed teabags wet'!$K$2:$K$2000,MATCH(K411,'Ashed teabags wet'!$A$2:$A$2000,0)),"")</f>
        <v>2.591687041564656</v>
      </c>
      <c r="S411" s="223">
        <f t="shared" si="32"/>
        <v>1.4750540831295864</v>
      </c>
      <c r="T411" s="224">
        <f>'WetLitterbags placem_collection'!E192</f>
        <v>42763</v>
      </c>
      <c r="U411" s="224">
        <f>IF('WetLitterbags placem_collection'!G192="","",'WetLitterbags placem_collection'!G192)</f>
        <v>42815</v>
      </c>
      <c r="V411" s="225">
        <f t="shared" si="30"/>
        <v>52</v>
      </c>
      <c r="W411" s="223">
        <f t="shared" si="33"/>
        <v>0.43990000000000018</v>
      </c>
      <c r="X411" s="223">
        <f t="shared" si="34"/>
        <v>0.37137636601299251</v>
      </c>
      <c r="Y411">
        <f>IFERROR(INDEX(Rainfall_Wet!$O$2:$O$217,MATCH(B411, Rainfall_Wet!$A$2:$A$217,0)),"")</f>
        <v>188.24043152799999</v>
      </c>
      <c r="Z411" s="228">
        <v>25.96</v>
      </c>
      <c r="AA411" s="228">
        <v>8.9200000000000017</v>
      </c>
      <c r="AB411" s="228">
        <v>65.12</v>
      </c>
      <c r="AC411" s="229" t="s">
        <v>2654</v>
      </c>
      <c r="AD411" s="228">
        <v>6.6991621488417898</v>
      </c>
      <c r="AE411">
        <f>IF('WetLitterbags placem_collection'!AB192="","",'WetLitterbags placem_collection'!AB192)</f>
        <v>9.5</v>
      </c>
      <c r="AF411">
        <f>IF('WetLitterbags placem_collection'!Z192="","",'WetLitterbags placem_collection'!Z192)</f>
        <v>17.399999999999999</v>
      </c>
      <c r="AG411" s="243" t="str">
        <f>IF('WetLitterbags placem_collection'!AA192="","",'WetLitterbags placem_collection'!AA192)</f>
        <v>O</v>
      </c>
      <c r="AH411">
        <f>IF('WetLitterbags placem_collection'!AC192="","",'WetLitterbags placem_collection'!AC192)</f>
        <v>0</v>
      </c>
      <c r="AI411" s="237">
        <f>AVERAGE('WetLitterbags placem_collection'!S192,'WetLitterbags placem_collection'!U192)</f>
        <v>13.55</v>
      </c>
      <c r="AJ411">
        <f>AVERAGE('WetLitterbags placem_collection'!R192,'WetLitterbags placem_collection'!T192)</f>
        <v>34.049999999999997</v>
      </c>
      <c r="AK411">
        <f>INDEX(Coordinates!$B$2:$B$197,MATCH(H411,Coordinates!$J$2:$J$197,0))</f>
        <v>-2.2787559960000001</v>
      </c>
      <c r="AL411">
        <f>INDEX(Coordinates!$C$2:$C$197,MATCH(H411,Coordinates!$J$2:$J$197,0))</f>
        <v>34.032268969999997</v>
      </c>
      <c r="AM411" t="str">
        <f>IF(ISNUMBER(SEARCH("C", 'WetLitterbags placem_collection'!$W192)),"YES","NO")</f>
        <v>YES</v>
      </c>
      <c r="AN411" t="str">
        <f>IF(ISNUMBER(SEARCH("H", 'WetLitterbags placem_collection'!$W192)),"YES","NO")</f>
        <v>YES</v>
      </c>
      <c r="AO411" t="str">
        <f>IF(ISNUMBER(SEARCH("R", 'WetLitterbags placem_collection'!$W192)),"YES","NO")</f>
        <v>NO</v>
      </c>
    </row>
    <row r="412" spans="1:41" ht="15" customHeight="1">
      <c r="A412" s="255" t="s">
        <v>2454</v>
      </c>
      <c r="B412" s="260">
        <f>'Dry_Litterbag Placem_Collection'!A193</f>
        <v>191</v>
      </c>
      <c r="C412" s="260" t="str">
        <f>'Dry_Litterbag Placem_Collection'!B193</f>
        <v>Handajega</v>
      </c>
      <c r="D412" s="260" t="s">
        <v>2454</v>
      </c>
      <c r="E412" s="260" t="s">
        <v>2645</v>
      </c>
      <c r="F412" s="260">
        <v>4</v>
      </c>
      <c r="G412" s="260" t="s">
        <v>3829</v>
      </c>
      <c r="H412" s="261" t="str">
        <f>'Dry_Litterbag Placem_Collection'!C193</f>
        <v>Wet_W4_T7</v>
      </c>
      <c r="I412" s="262" t="s">
        <v>2525</v>
      </c>
      <c r="J412" s="269" t="s">
        <v>298</v>
      </c>
      <c r="K412" s="221" t="str">
        <f>'WetLitterbags placem_collection'!M193</f>
        <v>R336</v>
      </c>
      <c r="L412" s="223">
        <f>IFERROR(INDEX('Green_rooibos initial weight'!$C$5:$C$2000,MATCH(K412, 'Green_rooibos initial weight'!$A$5:$A$2000,0)),"")</f>
        <v>2.11</v>
      </c>
      <c r="M412" s="223">
        <f>IFERROR(L412-(TBIcalc!$H$9+TBIcalc!$H$10),"")</f>
        <v>1.8601999999999999</v>
      </c>
      <c r="N412" s="385">
        <f>AVERAGE(Ashed_controlls!$K$2:$K$11)</f>
        <v>5.5147656768714146</v>
      </c>
      <c r="O412" s="223">
        <f t="shared" si="31"/>
        <v>1.7576143288788377</v>
      </c>
      <c r="P412" s="223">
        <f>IFERROR(INDEX('Both teabags AfterWet'!$C$3:$C$840,MATCH(K412,'Both teabags AfterWet'!$A$3:$A$840,0)),"")</f>
        <v>1.671</v>
      </c>
      <c r="Q412" s="223">
        <f>IFERROR(IF(P412&gt;0,P412-(TBIcalc!$H$9),""),"")</f>
        <v>1.5204</v>
      </c>
      <c r="R412" s="223">
        <f>IFERROR(INDEX('Ashed teabags wet'!$K$2:$K$2000,MATCH(K412,'Ashed teabags wet'!$A$2:$A$2000,0)),"")</f>
        <v>1.9089574155652842</v>
      </c>
      <c r="S412" s="223">
        <f t="shared" si="32"/>
        <v>1.4913762114537454</v>
      </c>
      <c r="T412" s="224">
        <f>'WetLitterbags placem_collection'!E193</f>
        <v>42763</v>
      </c>
      <c r="U412" s="224">
        <f>IF('WetLitterbags placem_collection'!G193="","",'WetLitterbags placem_collection'!G193)</f>
        <v>42815</v>
      </c>
      <c r="V412" s="225">
        <f t="shared" si="30"/>
        <v>52</v>
      </c>
      <c r="W412" s="223">
        <f t="shared" si="33"/>
        <v>0.33979999999999988</v>
      </c>
      <c r="X412" s="223">
        <f t="shared" si="34"/>
        <v>0.26623811742509229</v>
      </c>
      <c r="Y412">
        <f>IFERROR(INDEX(Rainfall_Wet!$O$2:$O$217,MATCH(B412, Rainfall_Wet!$A$2:$A$217,0)),"")</f>
        <v>188.24043152799999</v>
      </c>
      <c r="Z412" s="228">
        <v>25.96</v>
      </c>
      <c r="AA412" s="228">
        <v>8.9200000000000017</v>
      </c>
      <c r="AB412" s="228">
        <v>65.12</v>
      </c>
      <c r="AC412" s="229" t="s">
        <v>2654</v>
      </c>
      <c r="AD412" s="228">
        <v>7.6991621488417898</v>
      </c>
      <c r="AE412">
        <f>IF('WetLitterbags placem_collection'!AB193="","",'WetLitterbags placem_collection'!AB193)</f>
        <v>12.4</v>
      </c>
      <c r="AF412">
        <f>IF('WetLitterbags placem_collection'!Z193="","",'WetLitterbags placem_collection'!Z193)</f>
        <v>29.8</v>
      </c>
      <c r="AG412" s="243" t="str">
        <f>IF('WetLitterbags placem_collection'!AA193="","",'WetLitterbags placem_collection'!AA193)</f>
        <v>O</v>
      </c>
      <c r="AH412">
        <f>IF('WetLitterbags placem_collection'!AC193="","",'WetLitterbags placem_collection'!AC193)</f>
        <v>0</v>
      </c>
      <c r="AI412" s="237">
        <f>AVERAGE('WetLitterbags placem_collection'!S193,'WetLitterbags placem_collection'!U193)</f>
        <v>12.350000000000001</v>
      </c>
      <c r="AJ412">
        <f>AVERAGE('WetLitterbags placem_collection'!R193,'WetLitterbags placem_collection'!T193)</f>
        <v>35</v>
      </c>
      <c r="AK412">
        <f>INDEX(Coordinates!$B$2:$B$197,MATCH(H412,Coordinates!$J$2:$J$197,0))</f>
        <v>-2.278704029</v>
      </c>
      <c r="AL412">
        <f>INDEX(Coordinates!$C$2:$C$197,MATCH(H412,Coordinates!$J$2:$J$197,0))</f>
        <v>34.032182970000001</v>
      </c>
      <c r="AM412" t="str">
        <f>IF(ISNUMBER(SEARCH("C", 'WetLitterbags placem_collection'!$W193)),"YES","NO")</f>
        <v>YES</v>
      </c>
      <c r="AN412" t="str">
        <f>IF(ISNUMBER(SEARCH("H", 'WetLitterbags placem_collection'!$W193)),"YES","NO")</f>
        <v>YES</v>
      </c>
      <c r="AO412" t="str">
        <f>IF(ISNUMBER(SEARCH("R", 'WetLitterbags placem_collection'!$W193)),"YES","NO")</f>
        <v>NO</v>
      </c>
    </row>
    <row r="413" spans="1:41" ht="15" customHeight="1">
      <c r="A413" s="255" t="s">
        <v>2454</v>
      </c>
      <c r="B413" s="260">
        <f>'Dry_Litterbag Placem_Collection'!A194</f>
        <v>192</v>
      </c>
      <c r="C413" s="260" t="str">
        <f>'Dry_Litterbag Placem_Collection'!B194</f>
        <v>Handajega</v>
      </c>
      <c r="D413" s="260" t="s">
        <v>2454</v>
      </c>
      <c r="E413" s="260" t="s">
        <v>2645</v>
      </c>
      <c r="F413" s="260">
        <v>4</v>
      </c>
      <c r="G413" s="260" t="s">
        <v>3829</v>
      </c>
      <c r="H413" s="261" t="str">
        <f>'Dry_Litterbag Placem_Collection'!C194</f>
        <v>Wet_W4_T8</v>
      </c>
      <c r="I413" s="262" t="s">
        <v>2525</v>
      </c>
      <c r="J413" s="269" t="s">
        <v>298</v>
      </c>
      <c r="K413" s="221" t="str">
        <f>'WetLitterbags placem_collection'!M194</f>
        <v>R263</v>
      </c>
      <c r="L413" s="223">
        <f>IFERROR(INDEX('Green_rooibos initial weight'!$C$5:$C$2000,MATCH(K413, 'Green_rooibos initial weight'!$A$5:$A$2000,0)),"")</f>
        <v>2.1850000000000001</v>
      </c>
      <c r="M413" s="223">
        <f>IFERROR(L413-(TBIcalc!$H$9+TBIcalc!$H$10),"")</f>
        <v>1.9352</v>
      </c>
      <c r="N413" s="385">
        <f>AVERAGE(Ashed_controlls!$K$2:$K$11)</f>
        <v>5.5147656768714146</v>
      </c>
      <c r="O413" s="223">
        <f t="shared" si="31"/>
        <v>1.8284782546211844</v>
      </c>
      <c r="P413" s="223">
        <f>IFERROR(INDEX('Both teabags AfterWet'!$C$3:$C$840,MATCH(K413,'Both teabags AfterWet'!$A$3:$A$840,0)),"")</f>
        <v>1.0369999999999999</v>
      </c>
      <c r="Q413" s="223">
        <f>IFERROR(IF(P413&gt;0,P413-(TBIcalc!$H$9),""),"")</f>
        <v>0.88639999999999985</v>
      </c>
      <c r="R413" s="223">
        <f>IFERROR(INDEX('Ashed teabags wet'!$K$2:$K$2000,MATCH(K413,'Ashed teabags wet'!$A$2:$A$2000,0)),"")</f>
        <v>44.460570875664885</v>
      </c>
      <c r="S413" s="223">
        <f t="shared" si="32"/>
        <v>0.49230149975810639</v>
      </c>
      <c r="T413" s="224">
        <f>'WetLitterbags placem_collection'!E194</f>
        <v>42763</v>
      </c>
      <c r="U413" s="224">
        <f>IF('WetLitterbags placem_collection'!G194="","",'WetLitterbags placem_collection'!G194)</f>
        <v>42815</v>
      </c>
      <c r="V413" s="225">
        <f t="shared" si="30"/>
        <v>52</v>
      </c>
      <c r="W413" s="223">
        <f t="shared" si="33"/>
        <v>1.0488000000000002</v>
      </c>
      <c r="X413" s="223">
        <f t="shared" si="34"/>
        <v>1.3361767548630781</v>
      </c>
      <c r="Y413">
        <f>IFERROR(INDEX(Rainfall_Wet!$O$2:$O$217,MATCH(B413, Rainfall_Wet!$A$2:$A$217,0)),"")</f>
        <v>188.24043152799999</v>
      </c>
      <c r="Z413" s="228">
        <v>25.96</v>
      </c>
      <c r="AA413" s="228">
        <v>8.9200000000000017</v>
      </c>
      <c r="AB413" s="228">
        <v>65.12</v>
      </c>
      <c r="AC413" s="229" t="s">
        <v>2654</v>
      </c>
      <c r="AD413" s="228">
        <v>8.6991621488417898</v>
      </c>
      <c r="AE413">
        <f>IF('WetLitterbags placem_collection'!AB194="","",'WetLitterbags placem_collection'!AB194)</f>
        <v>3.6</v>
      </c>
      <c r="AF413">
        <f>IF('WetLitterbags placem_collection'!Z194="","",'WetLitterbags placem_collection'!Z194)</f>
        <v>37.799999999999997</v>
      </c>
      <c r="AG413" s="243" t="str">
        <f>IF('WetLitterbags placem_collection'!AA194="","",'WetLitterbags placem_collection'!AA194)</f>
        <v>O</v>
      </c>
      <c r="AH413">
        <f>IF('WetLitterbags placem_collection'!AC194="","",'WetLitterbags placem_collection'!AC194)</f>
        <v>0</v>
      </c>
      <c r="AI413" s="237">
        <f>AVERAGE('WetLitterbags placem_collection'!S194,'WetLitterbags placem_collection'!U194)</f>
        <v>9.25</v>
      </c>
      <c r="AJ413">
        <f>AVERAGE('WetLitterbags placem_collection'!R194,'WetLitterbags placem_collection'!T194)</f>
        <v>33.299999999999997</v>
      </c>
      <c r="AK413">
        <f>INDEX(Coordinates!$B$2:$B$197,MATCH(H413,Coordinates!$J$2:$J$197,0))</f>
        <v>-2.2789770269999998</v>
      </c>
      <c r="AL413">
        <f>INDEX(Coordinates!$C$2:$C$197,MATCH(H413,Coordinates!$J$2:$J$197,0))</f>
        <v>34.032051039999999</v>
      </c>
      <c r="AM413" t="str">
        <f>IF(ISNUMBER(SEARCH("C", 'WetLitterbags placem_collection'!$W194)),"YES","NO")</f>
        <v>YES</v>
      </c>
      <c r="AN413" t="str">
        <f>IF(ISNUMBER(SEARCH("H", 'WetLitterbags placem_collection'!$W194)),"YES","NO")</f>
        <v>YES</v>
      </c>
      <c r="AO413" t="str">
        <f>IF(ISNUMBER(SEARCH("R", 'WetLitterbags placem_collection'!$W194)),"YES","NO")</f>
        <v>NO</v>
      </c>
    </row>
    <row r="414" spans="1:41" ht="15" customHeight="1">
      <c r="A414" s="255" t="s">
        <v>2454</v>
      </c>
      <c r="B414" s="260">
        <f>'Dry_Litterbag Placem_Collection'!A195</f>
        <v>193</v>
      </c>
      <c r="C414" s="260" t="str">
        <f>'Dry_Litterbag Placem_Collection'!B195</f>
        <v>Makao</v>
      </c>
      <c r="D414" s="260" t="s">
        <v>2643</v>
      </c>
      <c r="E414" s="260" t="s">
        <v>2512</v>
      </c>
      <c r="F414" s="260">
        <v>4</v>
      </c>
      <c r="G414" s="260" t="s">
        <v>3798</v>
      </c>
      <c r="H414" s="261" t="str">
        <f>'Dry_Litterbag Placem_Collection'!C195</f>
        <v>Dry_Ag1_CG4</v>
      </c>
      <c r="I414" s="262" t="s">
        <v>2525</v>
      </c>
      <c r="J414" s="269" t="s">
        <v>298</v>
      </c>
      <c r="K414" s="221" t="str">
        <f>'WetLitterbags placem_collection'!M195</f>
        <v>R125</v>
      </c>
      <c r="L414" s="223">
        <f>IFERROR(INDEX('Green_rooibos initial weight'!$C$5:$C$2000,MATCH(K414, 'Green_rooibos initial weight'!$A$5:$A$2000,0)),"")</f>
        <v>2.2040000000000002</v>
      </c>
      <c r="M414" s="223">
        <f>IFERROR(L414-(TBIcalc!$H$9+TBIcalc!$H$10),"")</f>
        <v>1.9542000000000002</v>
      </c>
      <c r="N414" s="385">
        <f>AVERAGE(Ashed_controlls!$K$2:$K$11)</f>
        <v>5.5147656768714146</v>
      </c>
      <c r="O414" s="223">
        <f t="shared" si="31"/>
        <v>1.8464304491425789</v>
      </c>
      <c r="P414" s="223">
        <f>IFERROR(INDEX('Both teabags AfterWet'!$C$3:$C$840,MATCH(K414,'Both teabags AfterWet'!$A$3:$A$840,0)),"")</f>
        <v>1.2266999999999999</v>
      </c>
      <c r="Q414" s="223">
        <f>IFERROR(IF(P414&gt;0,P414-(TBIcalc!$H$9),""),"")</f>
        <v>1.0760999999999998</v>
      </c>
      <c r="R414" s="223">
        <f>IFERROR(INDEX('Ashed teabags wet'!$K$2:$K$2000,MATCH(K414,'Ashed teabags wet'!$A$2:$A$2000,0)),"")</f>
        <v>4.8379052369080275</v>
      </c>
      <c r="S414" s="223">
        <f t="shared" si="32"/>
        <v>1.0240393017456326</v>
      </c>
      <c r="T414" s="224">
        <f>'WetLitterbags placem_collection'!E195</f>
        <v>42769</v>
      </c>
      <c r="U414" s="224">
        <f>IF('WetLitterbags placem_collection'!G195="","",'WetLitterbags placem_collection'!G195)</f>
        <v>42813</v>
      </c>
      <c r="V414" s="225">
        <f t="shared" si="30"/>
        <v>44</v>
      </c>
      <c r="W414" s="223">
        <f t="shared" si="33"/>
        <v>0.87810000000000032</v>
      </c>
      <c r="X414" s="223">
        <f t="shared" si="34"/>
        <v>0.8223911473969463</v>
      </c>
      <c r="Y414">
        <f>IFERROR(INDEX(Rainfall_Wet!$O$2:$O$217,MATCH(B414, Rainfall_Wet!$A$2:$A$217,0)),"")</f>
        <v>175.054685654</v>
      </c>
      <c r="Z414" s="228">
        <v>12.565665055683967</v>
      </c>
      <c r="AA414" s="228">
        <v>0.9665896196679955</v>
      </c>
      <c r="AB414" s="228">
        <v>86.467745324648035</v>
      </c>
      <c r="AC414" s="229" t="s">
        <v>2656</v>
      </c>
      <c r="AD414" s="228">
        <v>1.0225726959093147</v>
      </c>
      <c r="AE414">
        <f>IF('WetLitterbags placem_collection'!AB195="","",'WetLitterbags placem_collection'!AB195)</f>
        <v>15.2</v>
      </c>
      <c r="AF414">
        <f>IF('WetLitterbags placem_collection'!Z195="","",'WetLitterbags placem_collection'!Z195)</f>
        <v>12.2</v>
      </c>
      <c r="AG414" s="243" t="str">
        <f>IF('WetLitterbags placem_collection'!AA195="","",'WetLitterbags placem_collection'!AA195)</f>
        <v>O</v>
      </c>
      <c r="AH414">
        <f>IF('WetLitterbags placem_collection'!AC195="","",'WetLitterbags placem_collection'!AC195)</f>
        <v>1</v>
      </c>
      <c r="AI414" s="237">
        <f>AVERAGE('WetLitterbags placem_collection'!S195,'WetLitterbags placem_collection'!U195)</f>
        <v>22.4</v>
      </c>
      <c r="AJ414">
        <f>AVERAGE('WetLitterbags placem_collection'!R195,'WetLitterbags placem_collection'!T195)</f>
        <v>28.95</v>
      </c>
      <c r="AK414">
        <v>-2.4396949910000001</v>
      </c>
      <c r="AL414">
        <v>34.838574029999997</v>
      </c>
      <c r="AM414" t="str">
        <f>IF(ISNUMBER(SEARCH("C", 'WetLitterbags placem_collection'!$W195)),"YES","NO")</f>
        <v>NO</v>
      </c>
      <c r="AN414" t="str">
        <f>IF(ISNUMBER(SEARCH("H", 'WetLitterbags placem_collection'!$W195)),"YES","NO")</f>
        <v>NO</v>
      </c>
      <c r="AO414" t="str">
        <f>IF(ISNUMBER(SEARCH("R", 'WetLitterbags placem_collection'!$W195)),"YES","NO")</f>
        <v>NO</v>
      </c>
    </row>
    <row r="415" spans="1:41" ht="15" customHeight="1">
      <c r="A415" s="255" t="s">
        <v>2454</v>
      </c>
      <c r="B415" s="260">
        <f>'Dry_Litterbag Placem_Collection'!A196</f>
        <v>194</v>
      </c>
      <c r="C415" s="260" t="str">
        <f>'Dry_Litterbag Placem_Collection'!B196</f>
        <v>Makao</v>
      </c>
      <c r="D415" s="260" t="s">
        <v>2643</v>
      </c>
      <c r="E415" s="260" t="s">
        <v>2512</v>
      </c>
      <c r="F415" s="260">
        <v>3</v>
      </c>
      <c r="G415" s="260" t="s">
        <v>3802</v>
      </c>
      <c r="H415" s="261" t="str">
        <f>'Dry_Litterbag Placem_Collection'!C196</f>
        <v>Dry_Ag2_CG3</v>
      </c>
      <c r="I415" s="262" t="s">
        <v>2525</v>
      </c>
      <c r="J415" s="269" t="s">
        <v>298</v>
      </c>
      <c r="K415" s="221" t="str">
        <f>'WetLitterbags placem_collection'!M196</f>
        <v>R289</v>
      </c>
      <c r="L415" s="223">
        <f>IFERROR(INDEX('Green_rooibos initial weight'!$C$5:$C$2000,MATCH(K415, 'Green_rooibos initial weight'!$A$5:$A$2000,0)),"")</f>
        <v>2.2160000000000002</v>
      </c>
      <c r="M415" s="223">
        <f>IFERROR(L415-(TBIcalc!$H$9+TBIcalc!$H$10),"")</f>
        <v>1.9662000000000002</v>
      </c>
      <c r="N415" s="385">
        <f>AVERAGE(Ashed_controlls!$K$2:$K$11)</f>
        <v>5.5147656768714146</v>
      </c>
      <c r="O415" s="223">
        <f t="shared" si="31"/>
        <v>1.8577686772613544</v>
      </c>
      <c r="P415" s="223">
        <f>IFERROR(INDEX('Both teabags AfterWet'!$C$3:$C$840,MATCH(K415,'Both teabags AfterWet'!$A$3:$A$840,0)),"")</f>
        <v>1.512</v>
      </c>
      <c r="Q415" s="223">
        <f>IFERROR(IF(P415&gt;0,P415-(TBIcalc!$H$9),""),"")</f>
        <v>1.3613999999999999</v>
      </c>
      <c r="R415" s="223">
        <f>IFERROR(INDEX('Ashed teabags wet'!$K$2:$K$2000,MATCH(K415,'Ashed teabags wet'!$A$2:$A$2000,0)),"")</f>
        <v>3.5180722891571889</v>
      </c>
      <c r="S415" s="223">
        <f t="shared" si="32"/>
        <v>1.3135049638554139</v>
      </c>
      <c r="T415" s="224">
        <f>'WetLitterbags placem_collection'!E196</f>
        <v>42769</v>
      </c>
      <c r="U415" s="224">
        <f>IF('WetLitterbags placem_collection'!G196="","",'WetLitterbags placem_collection'!G196)</f>
        <v>42813</v>
      </c>
      <c r="V415" s="225">
        <f t="shared" si="30"/>
        <v>44</v>
      </c>
      <c r="W415" s="223">
        <f t="shared" si="33"/>
        <v>0.60480000000000023</v>
      </c>
      <c r="X415" s="223">
        <f t="shared" si="34"/>
        <v>0.54426371340594049</v>
      </c>
      <c r="Y415">
        <f>IFERROR(INDEX(Rainfall_Wet!$O$2:$O$217,MATCH(B415, Rainfall_Wet!$A$2:$A$217,0)),"")</f>
        <v>175.054685654</v>
      </c>
      <c r="Z415" s="228">
        <v>21.13063730679653</v>
      </c>
      <c r="AA415" s="228">
        <v>3.0912555579081076</v>
      </c>
      <c r="AB415" s="228">
        <v>75.778107135295357</v>
      </c>
      <c r="AC415" s="229" t="s">
        <v>2654</v>
      </c>
      <c r="AD415" s="228">
        <v>0.46131099063578063</v>
      </c>
      <c r="AE415">
        <f>IF('WetLitterbags placem_collection'!AB196="","",'WetLitterbags placem_collection'!AB196)</f>
        <v>7.9</v>
      </c>
      <c r="AF415">
        <f>IF('WetLitterbags placem_collection'!Z196="","",'WetLitterbags placem_collection'!Z196)</f>
        <v>7.9</v>
      </c>
      <c r="AG415" s="243" t="str">
        <f>IF('WetLitterbags placem_collection'!AA196="","",'WetLitterbags placem_collection'!AA196)</f>
        <v>O</v>
      </c>
      <c r="AH415">
        <f>IF('WetLitterbags placem_collection'!AC196="","",'WetLitterbags placem_collection'!AC196)</f>
        <v>1</v>
      </c>
      <c r="AI415" s="237">
        <f>AVERAGE('WetLitterbags placem_collection'!S196,'WetLitterbags placem_collection'!U196)</f>
        <v>19.600000000000001</v>
      </c>
      <c r="AJ415">
        <f>AVERAGE('WetLitterbags placem_collection'!R196,'WetLitterbags placem_collection'!T196)</f>
        <v>29.3</v>
      </c>
      <c r="AK415">
        <v>-2.4395990190000001</v>
      </c>
      <c r="AL415">
        <v>34.838418959999998</v>
      </c>
      <c r="AM415" t="str">
        <f>IF(ISNUMBER(SEARCH("C", 'WetLitterbags placem_collection'!$W196)),"YES","NO")</f>
        <v>NO</v>
      </c>
      <c r="AN415" t="str">
        <f>IF(ISNUMBER(SEARCH("H", 'WetLitterbags placem_collection'!$W196)),"YES","NO")</f>
        <v>NO</v>
      </c>
      <c r="AO415" t="str">
        <f>IF(ISNUMBER(SEARCH("R", 'WetLitterbags placem_collection'!$W196)),"YES","NO")</f>
        <v>YES</v>
      </c>
    </row>
    <row r="416" spans="1:41" ht="15" customHeight="1">
      <c r="A416" s="255" t="s">
        <v>2454</v>
      </c>
      <c r="B416" s="260">
        <f>'Dry_Litterbag Placem_Collection'!A197</f>
        <v>195</v>
      </c>
      <c r="C416" s="260" t="str">
        <f>'Dry_Litterbag Placem_Collection'!B197</f>
        <v>Makao</v>
      </c>
      <c r="D416" s="260" t="s">
        <v>2643</v>
      </c>
      <c r="E416" s="260" t="s">
        <v>2512</v>
      </c>
      <c r="F416" s="260">
        <v>2</v>
      </c>
      <c r="G416" s="260" t="s">
        <v>3803</v>
      </c>
      <c r="H416" s="261" t="str">
        <f>'Dry_Litterbag Placem_Collection'!C197</f>
        <v>Dry_Ag3_CG2</v>
      </c>
      <c r="I416" s="262" t="s">
        <v>2525</v>
      </c>
      <c r="J416" s="269" t="s">
        <v>298</v>
      </c>
      <c r="K416" s="221" t="str">
        <f>'WetLitterbags placem_collection'!M197</f>
        <v>R378</v>
      </c>
      <c r="L416" s="223">
        <f>IFERROR(INDEX('Green_rooibos initial weight'!$C$5:$C$2000,MATCH(K416, 'Green_rooibos initial weight'!$A$5:$A$2000,0)),"")</f>
        <v>2.2320000000000002</v>
      </c>
      <c r="M416" s="223">
        <f>IFERROR(L416-(TBIcalc!$H$9+TBIcalc!$H$10),"")</f>
        <v>1.9822000000000002</v>
      </c>
      <c r="N416" s="385">
        <f>AVERAGE(Ashed_controlls!$K$2:$K$11)</f>
        <v>5.5147656768714146</v>
      </c>
      <c r="O416" s="223">
        <f t="shared" si="31"/>
        <v>1.872886314753055</v>
      </c>
      <c r="P416" s="223">
        <f>IFERROR(INDEX('Both teabags AfterWet'!$C$3:$C$840,MATCH(K416,'Both teabags AfterWet'!$A$3:$A$840,0)),"")</f>
        <v>1.5296000000000001</v>
      </c>
      <c r="Q416" s="223">
        <f>IFERROR(IF(P416&gt;0,P416-(TBIcalc!$H$9),""),"")</f>
        <v>1.379</v>
      </c>
      <c r="R416" s="223">
        <f>IFERROR(INDEX('Ashed teabags wet'!$K$2:$K$2000,MATCH(K416,'Ashed teabags wet'!$A$2:$A$2000,0)),"")</f>
        <v>1.2339585389935566</v>
      </c>
      <c r="S416" s="223">
        <f t="shared" si="32"/>
        <v>1.3619837117472788</v>
      </c>
      <c r="T416" s="224">
        <f>'WetLitterbags placem_collection'!E197</f>
        <v>42769</v>
      </c>
      <c r="U416" s="224">
        <f>IF('WetLitterbags placem_collection'!G197="","",'WetLitterbags placem_collection'!G197)</f>
        <v>42814</v>
      </c>
      <c r="V416" s="225">
        <f t="shared" si="30"/>
        <v>45</v>
      </c>
      <c r="W416" s="223">
        <f t="shared" si="33"/>
        <v>0.60320000000000018</v>
      </c>
      <c r="X416" s="223">
        <f t="shared" si="34"/>
        <v>0.51090260300577617</v>
      </c>
      <c r="Y416">
        <f>IFERROR(INDEX(Rainfall_Wet!$O$2:$O$217,MATCH(B416, Rainfall_Wet!$A$2:$A$217,0)),"")</f>
        <v>175.377105089</v>
      </c>
      <c r="Z416" s="228">
        <v>54.080969906906262</v>
      </c>
      <c r="AA416" s="228">
        <v>21.264484651351896</v>
      </c>
      <c r="AB416" s="228">
        <v>24.654545441741845</v>
      </c>
      <c r="AC416" s="229" t="s">
        <v>2657</v>
      </c>
      <c r="AD416" s="228">
        <v>1.8433218334154755</v>
      </c>
      <c r="AE416">
        <f>IF('WetLitterbags placem_collection'!AB197="","",'WetLitterbags placem_collection'!AB197)</f>
        <v>5.13</v>
      </c>
      <c r="AF416">
        <f>IF('WetLitterbags placem_collection'!Z197="","",'WetLitterbags placem_collection'!Z197)</f>
        <v>5.13</v>
      </c>
      <c r="AG416" s="243" t="str">
        <f>IF('WetLitterbags placem_collection'!AA197="","",'WetLitterbags placem_collection'!AA197)</f>
        <v>O</v>
      </c>
      <c r="AH416">
        <f>IF('WetLitterbags placem_collection'!AC197="","",'WetLitterbags placem_collection'!AC197)</f>
        <v>1</v>
      </c>
      <c r="AI416" s="237">
        <f>AVERAGE('WetLitterbags placem_collection'!S197,'WetLitterbags placem_collection'!U197)</f>
        <v>29.700000000000003</v>
      </c>
      <c r="AJ416">
        <f>AVERAGE('WetLitterbags placem_collection'!R197,'WetLitterbags placem_collection'!T197)</f>
        <v>24.35</v>
      </c>
      <c r="AK416">
        <v>-2.4396450349999999</v>
      </c>
      <c r="AL416">
        <v>34.83836599</v>
      </c>
      <c r="AM416" t="str">
        <f>IF(ISNUMBER(SEARCH("C", 'WetLitterbags placem_collection'!$W197)),"YES","NO")</f>
        <v>YES</v>
      </c>
      <c r="AN416" t="str">
        <f>IF(ISNUMBER(SEARCH("H", 'WetLitterbags placem_collection'!$W197)),"YES","NO")</f>
        <v>NO</v>
      </c>
      <c r="AO416" t="str">
        <f>IF(ISNUMBER(SEARCH("R", 'WetLitterbags placem_collection'!$W197)),"YES","NO")</f>
        <v>YES</v>
      </c>
    </row>
    <row r="417" spans="1:41" ht="15" customHeight="1">
      <c r="A417" s="255" t="s">
        <v>2454</v>
      </c>
      <c r="B417" s="260">
        <f>'Dry_Litterbag Placem_Collection'!A198</f>
        <v>196</v>
      </c>
      <c r="C417" s="260" t="str">
        <f>'Dry_Litterbag Placem_Collection'!B198</f>
        <v>Makao</v>
      </c>
      <c r="D417" s="260" t="s">
        <v>2643</v>
      </c>
      <c r="E417" s="260" t="s">
        <v>2512</v>
      </c>
      <c r="F417" s="260">
        <v>1</v>
      </c>
      <c r="G417" s="260" t="s">
        <v>3804</v>
      </c>
      <c r="H417" s="261" t="str">
        <f>'Dry_Litterbag Placem_Collection'!C198</f>
        <v>Dry_Ag4_CG1</v>
      </c>
      <c r="I417" s="262" t="s">
        <v>2525</v>
      </c>
      <c r="J417" s="269" t="s">
        <v>298</v>
      </c>
      <c r="K417" s="221" t="str">
        <f>'WetLitterbags placem_collection'!M198</f>
        <v>R375</v>
      </c>
      <c r="L417" s="223">
        <f>IFERROR(INDEX('Green_rooibos initial weight'!$C$5:$C$2000,MATCH(K417, 'Green_rooibos initial weight'!$A$5:$A$2000,0)),"")</f>
        <v>2.23</v>
      </c>
      <c r="M417" s="223">
        <f>IFERROR(L417-(TBIcalc!$H$9+TBIcalc!$H$10),"")</f>
        <v>1.9802</v>
      </c>
      <c r="N417" s="385">
        <f>AVERAGE(Ashed_controlls!$K$2:$K$11)</f>
        <v>5.5147656768714146</v>
      </c>
      <c r="O417" s="223">
        <f t="shared" si="31"/>
        <v>1.8709966100665922</v>
      </c>
      <c r="P417" s="223">
        <f>IFERROR(INDEX('Both teabags AfterWet'!$C$3:$C$840,MATCH(K417,'Both teabags AfterWet'!$A$3:$A$840,0)),"")</f>
        <v>1.3742000000000001</v>
      </c>
      <c r="Q417" s="223">
        <f>IFERROR(IF(P417&gt;0,P417-(TBIcalc!$H$9),""),"")</f>
        <v>1.2236</v>
      </c>
      <c r="R417" s="223">
        <f>IFERROR(INDEX('Ashed teabags wet'!$K$2:$K$2000,MATCH(K417,'Ashed teabags wet'!$A$2:$A$2000,0)),"")</f>
        <v>5.0314465408809701</v>
      </c>
      <c r="S417" s="223">
        <f t="shared" si="32"/>
        <v>1.1620352201257804</v>
      </c>
      <c r="T417" s="224">
        <f>'WetLitterbags placem_collection'!E198</f>
        <v>42769</v>
      </c>
      <c r="U417" s="224">
        <f>IF('WetLitterbags placem_collection'!G198="","",'WetLitterbags placem_collection'!G198)</f>
        <v>42814</v>
      </c>
      <c r="V417" s="225">
        <f t="shared" si="30"/>
        <v>45</v>
      </c>
      <c r="W417" s="223">
        <f t="shared" si="33"/>
        <v>0.75659999999999994</v>
      </c>
      <c r="X417" s="223">
        <f t="shared" si="34"/>
        <v>0.70896138994081181</v>
      </c>
      <c r="Y417">
        <f>IFERROR(INDEX(Rainfall_Wet!$O$2:$O$217,MATCH(B417, Rainfall_Wet!$A$2:$A$217,0)),"")</f>
        <v>175.377105089</v>
      </c>
      <c r="Z417" s="228">
        <v>51.960000000000008</v>
      </c>
      <c r="AA417" s="228">
        <v>18.919999999999995</v>
      </c>
      <c r="AB417" s="228">
        <v>29.120000000000005</v>
      </c>
      <c r="AC417" s="229" t="s">
        <v>2657</v>
      </c>
      <c r="AD417" s="228">
        <v>1.85293247905372</v>
      </c>
      <c r="AE417">
        <f>IF('WetLitterbags placem_collection'!AB198="","",'WetLitterbags placem_collection'!AB198)</f>
        <v>13.8</v>
      </c>
      <c r="AF417">
        <f>IF('WetLitterbags placem_collection'!Z198="","",'WetLitterbags placem_collection'!Z198)</f>
        <v>17.399999999999999</v>
      </c>
      <c r="AG417" s="243" t="str">
        <f>IF('WetLitterbags placem_collection'!AA198="","",'WetLitterbags placem_collection'!AA198)</f>
        <v>O</v>
      </c>
      <c r="AH417">
        <f>IF('WetLitterbags placem_collection'!AC198="","",'WetLitterbags placem_collection'!AC198)</f>
        <v>1</v>
      </c>
      <c r="AI417" s="237">
        <f>AVERAGE('WetLitterbags placem_collection'!S198,'WetLitterbags placem_collection'!U198)</f>
        <v>23.75</v>
      </c>
      <c r="AJ417">
        <f>AVERAGE('WetLitterbags placem_collection'!R198,'WetLitterbags placem_collection'!T198)</f>
        <v>25.25</v>
      </c>
      <c r="AK417">
        <v>-2.439403972</v>
      </c>
      <c r="AL417">
        <v>34.838404959999998</v>
      </c>
      <c r="AM417" t="str">
        <f>IF(ISNUMBER(SEARCH("C", 'WetLitterbags placem_collection'!$W198)),"YES","NO")</f>
        <v>NO</v>
      </c>
      <c r="AN417" t="str">
        <f>IF(ISNUMBER(SEARCH("H", 'WetLitterbags placem_collection'!$W198)),"YES","NO")</f>
        <v>NO</v>
      </c>
      <c r="AO417" t="str">
        <f>IF(ISNUMBER(SEARCH("R", 'WetLitterbags placem_collection'!$W198)),"YES","NO")</f>
        <v>NO</v>
      </c>
    </row>
    <row r="418" spans="1:41" ht="15" customHeight="1">
      <c r="A418" s="255" t="s">
        <v>2454</v>
      </c>
      <c r="B418" s="260">
        <f>'Dry_Litterbag Placem_Collection'!A199</f>
        <v>197</v>
      </c>
      <c r="C418" s="260" t="str">
        <f>'Dry_Litterbag Placem_Collection'!B199</f>
        <v>Makao</v>
      </c>
      <c r="D418" s="260" t="s">
        <v>2643</v>
      </c>
      <c r="E418" s="260" t="s">
        <v>2512</v>
      </c>
      <c r="F418" s="260">
        <v>2</v>
      </c>
      <c r="G418" s="260" t="s">
        <v>3805</v>
      </c>
      <c r="H418" s="261" t="str">
        <f>'Dry_Litterbag Placem_Collection'!C199</f>
        <v>Dry_P1_CG2</v>
      </c>
      <c r="I418" s="262" t="s">
        <v>2525</v>
      </c>
      <c r="J418" s="269" t="s">
        <v>298</v>
      </c>
      <c r="K418" s="221" t="str">
        <f>'WetLitterbags placem_collection'!M199</f>
        <v>R219</v>
      </c>
      <c r="L418" s="223">
        <f>IFERROR(INDEX('Green_rooibos initial weight'!$C$5:$C$2000,MATCH(K418, 'Green_rooibos initial weight'!$A$5:$A$2000,0)),"")</f>
        <v>2.2160000000000002</v>
      </c>
      <c r="M418" s="223">
        <f>IFERROR(L418-(TBIcalc!$H$9+TBIcalc!$H$10),"")</f>
        <v>1.9662000000000002</v>
      </c>
      <c r="N418" s="385">
        <f>AVERAGE(Ashed_controlls!$K$2:$K$11)</f>
        <v>5.5147656768714146</v>
      </c>
      <c r="O418" s="223">
        <f t="shared" si="31"/>
        <v>1.8577686772613544</v>
      </c>
      <c r="P418" s="223">
        <f>IFERROR(INDEX('Both teabags AfterWet'!$C$3:$C$840,MATCH(K418,'Both teabags AfterWet'!$A$3:$A$840,0)),"")</f>
        <v>1.5786</v>
      </c>
      <c r="Q418" s="223">
        <f>IFERROR(IF(P418&gt;0,P418-(TBIcalc!$H$9),""),"")</f>
        <v>1.4279999999999999</v>
      </c>
      <c r="R418" s="223">
        <f>IFERROR(INDEX('Ashed teabags wet'!$K$2:$K$2000,MATCH(K418,'Ashed teabags wet'!$A$2:$A$2000,0)),"")</f>
        <v>11.480214948704322</v>
      </c>
      <c r="S418" s="223">
        <f t="shared" si="32"/>
        <v>1.2640625305325022</v>
      </c>
      <c r="T418" s="224">
        <f>'WetLitterbags placem_collection'!E199</f>
        <v>42769</v>
      </c>
      <c r="U418" s="224">
        <f>IF('WetLitterbags placem_collection'!G199="","",'WetLitterbags placem_collection'!G199)</f>
        <v>42814</v>
      </c>
      <c r="V418" s="225">
        <f t="shared" si="30"/>
        <v>45</v>
      </c>
      <c r="W418" s="223">
        <f t="shared" si="33"/>
        <v>0.53820000000000023</v>
      </c>
      <c r="X418" s="223">
        <f t="shared" si="34"/>
        <v>0.59370614672885225</v>
      </c>
      <c r="Y418">
        <f>IFERROR(INDEX(Rainfall_Wet!$O$2:$O$217,MATCH(B418, Rainfall_Wet!$A$2:$A$217,0)),"")</f>
        <v>175.377105089</v>
      </c>
      <c r="Z418" s="228">
        <v>23.96</v>
      </c>
      <c r="AA418" s="228">
        <v>0.91999999999999804</v>
      </c>
      <c r="AB418" s="228">
        <v>75.12</v>
      </c>
      <c r="AC418" s="229" t="s">
        <v>2654</v>
      </c>
      <c r="AD418" s="228">
        <v>1.2493839329719072</v>
      </c>
      <c r="AE418">
        <f>IF('WetLitterbags placem_collection'!AB199="","",'WetLitterbags placem_collection'!AB199)</f>
        <v>5.13</v>
      </c>
      <c r="AF418">
        <f>IF('WetLitterbags placem_collection'!Z199="","",'WetLitterbags placem_collection'!Z199)</f>
        <v>5.13</v>
      </c>
      <c r="AG418" s="243" t="str">
        <f>IF('WetLitterbags placem_collection'!AA199="","",'WetLitterbags placem_collection'!AA199)</f>
        <v>O</v>
      </c>
      <c r="AH418">
        <f>IF('WetLitterbags placem_collection'!AC199="","",'WetLitterbags placem_collection'!AC199)</f>
        <v>1</v>
      </c>
      <c r="AI418" s="237">
        <f>AVERAGE('WetLitterbags placem_collection'!S199,'WetLitterbags placem_collection'!U199)</f>
        <v>22.85</v>
      </c>
      <c r="AJ418">
        <f>AVERAGE('WetLitterbags placem_collection'!R199,'WetLitterbags placem_collection'!T199)</f>
        <v>24.4</v>
      </c>
      <c r="AK418">
        <v>-2.4396450349999999</v>
      </c>
      <c r="AL418">
        <v>34.83836599</v>
      </c>
      <c r="AM418" t="str">
        <f>IF(ISNUMBER(SEARCH("C", 'WetLitterbags placem_collection'!$W199)),"YES","NO")</f>
        <v>YES</v>
      </c>
      <c r="AN418" t="str">
        <f>IF(ISNUMBER(SEARCH("H", 'WetLitterbags placem_collection'!$W199)),"YES","NO")</f>
        <v>YES</v>
      </c>
      <c r="AO418" t="str">
        <f>IF(ISNUMBER(SEARCH("R", 'WetLitterbags placem_collection'!$W199)),"YES","NO")</f>
        <v>YES</v>
      </c>
    </row>
    <row r="419" spans="1:41" ht="15" customHeight="1">
      <c r="A419" s="255" t="s">
        <v>2454</v>
      </c>
      <c r="B419" s="260">
        <f>'Dry_Litterbag Placem_Collection'!A200</f>
        <v>198</v>
      </c>
      <c r="C419" s="260" t="str">
        <f>'Dry_Litterbag Placem_Collection'!B200</f>
        <v>Makao</v>
      </c>
      <c r="D419" s="260" t="s">
        <v>2643</v>
      </c>
      <c r="E419" s="260" t="s">
        <v>2512</v>
      </c>
      <c r="F419" s="260">
        <v>3</v>
      </c>
      <c r="G419" s="260" t="s">
        <v>3807</v>
      </c>
      <c r="H419" s="261" t="str">
        <f>'Dry_Litterbag Placem_Collection'!C200</f>
        <v>Dry_P2_CG3</v>
      </c>
      <c r="I419" s="262" t="s">
        <v>2525</v>
      </c>
      <c r="J419" s="269" t="s">
        <v>298</v>
      </c>
      <c r="K419" s="221" t="str">
        <f>'WetLitterbags placem_collection'!M200</f>
        <v>R463</v>
      </c>
      <c r="L419" s="223">
        <f>IFERROR(INDEX('Green_rooibos initial weight'!$C$5:$C$2000,MATCH(K419, 'Green_rooibos initial weight'!$A$5:$A$2000,0)),"")</f>
        <v>2.1579999999999999</v>
      </c>
      <c r="M419" s="223">
        <f>IFERROR(L419-(TBIcalc!$H$9+TBIcalc!$H$10),"")</f>
        <v>1.9081999999999999</v>
      </c>
      <c r="N419" s="385">
        <f>AVERAGE(Ashed_controlls!$K$2:$K$11)</f>
        <v>5.5147656768714146</v>
      </c>
      <c r="O419" s="223">
        <f t="shared" si="31"/>
        <v>1.8029672413539395</v>
      </c>
      <c r="P419" s="223">
        <f>IFERROR(INDEX('Both teabags AfterWet'!$C$3:$C$840,MATCH(K419,'Both teabags AfterWet'!$A$3:$A$840,0)),"")</f>
        <v>1.5485</v>
      </c>
      <c r="Q419" s="223">
        <f>IFERROR(IF(P419&gt;0,P419-(TBIcalc!$H$9),""),"")</f>
        <v>1.3978999999999999</v>
      </c>
      <c r="R419" s="223">
        <f>IFERROR(INDEX('Ashed teabags wet'!$K$2:$K$2000,MATCH(K419,'Ashed teabags wet'!$A$2:$A$2000,0)),"")</f>
        <v>7.7074128620517337</v>
      </c>
      <c r="S419" s="223">
        <f t="shared" si="32"/>
        <v>1.2901580756013789</v>
      </c>
      <c r="T419" s="224">
        <f>'WetLitterbags placem_collection'!E200</f>
        <v>42769</v>
      </c>
      <c r="U419" s="224">
        <f>IF('WetLitterbags placem_collection'!G200="","",'WetLitterbags placem_collection'!G200)</f>
        <v>42813</v>
      </c>
      <c r="V419" s="225">
        <f t="shared" si="30"/>
        <v>44</v>
      </c>
      <c r="W419" s="223">
        <f t="shared" si="33"/>
        <v>0.51029999999999998</v>
      </c>
      <c r="X419" s="223">
        <f t="shared" si="34"/>
        <v>0.51280916575256064</v>
      </c>
      <c r="Y419">
        <f>IFERROR(INDEX(Rainfall_Wet!$O$2:$O$217,MATCH(B419, Rainfall_Wet!$A$2:$A$217,0)),"")</f>
        <v>175.054685654</v>
      </c>
      <c r="Z419" s="228">
        <v>19.96</v>
      </c>
      <c r="AA419" s="228">
        <v>4.9199999999999982</v>
      </c>
      <c r="AB419" s="228">
        <v>75.12</v>
      </c>
      <c r="AC419" s="229" t="s">
        <v>2655</v>
      </c>
      <c r="AD419" s="228">
        <v>1.641498275012321</v>
      </c>
      <c r="AE419">
        <f>IF('WetLitterbags placem_collection'!AB200="","",'WetLitterbags placem_collection'!AB200)</f>
        <v>7.9</v>
      </c>
      <c r="AF419">
        <f>IF('WetLitterbags placem_collection'!Z200="","",'WetLitterbags placem_collection'!Z200)</f>
        <v>7.9</v>
      </c>
      <c r="AG419" s="243" t="str">
        <f>IF('WetLitterbags placem_collection'!AA200="","",'WetLitterbags placem_collection'!AA200)</f>
        <v>O</v>
      </c>
      <c r="AH419">
        <f>IF('WetLitterbags placem_collection'!AC200="","",'WetLitterbags placem_collection'!AC200)</f>
        <v>1</v>
      </c>
      <c r="AI419" s="237">
        <f>AVERAGE('WetLitterbags placem_collection'!S200,'WetLitterbags placem_collection'!U200)</f>
        <v>20.9</v>
      </c>
      <c r="AJ419">
        <f>AVERAGE('WetLitterbags placem_collection'!R200,'WetLitterbags placem_collection'!T200)</f>
        <v>27.45</v>
      </c>
      <c r="AK419">
        <v>-2.4395990190000001</v>
      </c>
      <c r="AL419">
        <v>34.838418959999998</v>
      </c>
      <c r="AM419" t="str">
        <f>IF(ISNUMBER(SEARCH("C", 'WetLitterbags placem_collection'!$W200)),"YES","NO")</f>
        <v>NO</v>
      </c>
      <c r="AN419" t="str">
        <f>IF(ISNUMBER(SEARCH("H", 'WetLitterbags placem_collection'!$W200)),"YES","NO")</f>
        <v>NO</v>
      </c>
      <c r="AO419" t="str">
        <f>IF(ISNUMBER(SEARCH("R", 'WetLitterbags placem_collection'!$W200)),"YES","NO")</f>
        <v>NO</v>
      </c>
    </row>
    <row r="420" spans="1:41" ht="15" customHeight="1">
      <c r="A420" s="255" t="s">
        <v>2454</v>
      </c>
      <c r="B420" s="260">
        <f>'Dry_Litterbag Placem_Collection'!A201</f>
        <v>199</v>
      </c>
      <c r="C420" s="260" t="str">
        <f>'Dry_Litterbag Placem_Collection'!B201</f>
        <v>Makao</v>
      </c>
      <c r="D420" s="260" t="s">
        <v>2643</v>
      </c>
      <c r="E420" s="260" t="s">
        <v>2512</v>
      </c>
      <c r="F420" s="260">
        <v>1</v>
      </c>
      <c r="G420" s="260" t="s">
        <v>3808</v>
      </c>
      <c r="H420" s="261" t="str">
        <f>'Dry_Litterbag Placem_Collection'!C201</f>
        <v>Dry_P3_CG1</v>
      </c>
      <c r="I420" s="262" t="s">
        <v>2525</v>
      </c>
      <c r="J420" s="269" t="s">
        <v>298</v>
      </c>
      <c r="K420" s="221" t="str">
        <f>'WetLitterbags placem_collection'!M201</f>
        <v>R339</v>
      </c>
      <c r="L420" s="223">
        <f>IFERROR(INDEX('Green_rooibos initial weight'!$C$5:$C$2000,MATCH(K420, 'Green_rooibos initial weight'!$A$5:$A$2000,0)),"")</f>
        <v>2.214</v>
      </c>
      <c r="M420" s="223">
        <f>IFERROR(L420-(TBIcalc!$H$9+TBIcalc!$H$10),"")</f>
        <v>1.9641999999999999</v>
      </c>
      <c r="N420" s="385">
        <f>AVERAGE(Ashed_controlls!$K$2:$K$11)</f>
        <v>5.5147656768714146</v>
      </c>
      <c r="O420" s="223">
        <f t="shared" si="31"/>
        <v>1.8558789725748916</v>
      </c>
      <c r="P420" s="223">
        <f>IFERROR(INDEX('Both teabags AfterWet'!$C$3:$C$840,MATCH(K420,'Both teabags AfterWet'!$A$3:$A$840,0)),"")</f>
        <v>1.6160000000000001</v>
      </c>
      <c r="Q420" s="223">
        <f>IFERROR(IF(P420&gt;0,P420-(TBIcalc!$H$9),""),"")</f>
        <v>1.4654</v>
      </c>
      <c r="R420" s="223">
        <f>IFERROR(INDEX('Ashed teabags wet'!$K$2:$K$2000,MATCH(K420,'Ashed teabags wet'!$A$2:$A$2000,0)),"")</f>
        <v>3.6390101892290181</v>
      </c>
      <c r="S420" s="223">
        <f t="shared" si="32"/>
        <v>1.4120739446870381</v>
      </c>
      <c r="T420" s="224">
        <f>'WetLitterbags placem_collection'!E201</f>
        <v>42769</v>
      </c>
      <c r="U420" s="224">
        <f>IF('WetLitterbags placem_collection'!G201="","",'WetLitterbags placem_collection'!G201)</f>
        <v>42814</v>
      </c>
      <c r="V420" s="225">
        <f t="shared" si="30"/>
        <v>45</v>
      </c>
      <c r="W420" s="223">
        <f t="shared" si="33"/>
        <v>0.49879999999999991</v>
      </c>
      <c r="X420" s="223">
        <f t="shared" si="34"/>
        <v>0.44380502788785359</v>
      </c>
      <c r="Y420">
        <f>IFERROR(INDEX(Rainfall_Wet!$O$2:$O$217,MATCH(B420, Rainfall_Wet!$A$2:$A$217,0)),"")</f>
        <v>175.377105089</v>
      </c>
      <c r="Z420" s="228">
        <v>21.96</v>
      </c>
      <c r="AA420" s="228">
        <v>8.9199999999999982</v>
      </c>
      <c r="AB420" s="228">
        <v>69.12</v>
      </c>
      <c r="AC420" s="229" t="s">
        <v>2654</v>
      </c>
      <c r="AD420" s="228">
        <v>1.7491375061606702</v>
      </c>
      <c r="AE420">
        <f>IF('WetLitterbags placem_collection'!AB201="","",'WetLitterbags placem_collection'!AB201)</f>
        <v>13.8</v>
      </c>
      <c r="AF420">
        <f>IF('WetLitterbags placem_collection'!Z201="","",'WetLitterbags placem_collection'!Z201)</f>
        <v>17.399999999999999</v>
      </c>
      <c r="AG420" s="243" t="str">
        <f>IF('WetLitterbags placem_collection'!AA201="","",'WetLitterbags placem_collection'!AA201)</f>
        <v>O</v>
      </c>
      <c r="AH420">
        <f>IF('WetLitterbags placem_collection'!AC201="","",'WetLitterbags placem_collection'!AC201)</f>
        <v>1</v>
      </c>
      <c r="AI420" s="237">
        <f>AVERAGE('WetLitterbags placem_collection'!S201,'WetLitterbags placem_collection'!U201)</f>
        <v>18.149999999999999</v>
      </c>
      <c r="AJ420">
        <f>AVERAGE('WetLitterbags placem_collection'!R201,'WetLitterbags placem_collection'!T201)</f>
        <v>24.549999999999997</v>
      </c>
      <c r="AK420">
        <v>-2.439403972</v>
      </c>
      <c r="AL420">
        <v>34.838404959999998</v>
      </c>
      <c r="AM420" t="str">
        <f>IF(ISNUMBER(SEARCH("C", 'WetLitterbags placem_collection'!$W201)),"YES","NO")</f>
        <v>NO</v>
      </c>
      <c r="AN420" t="str">
        <f>IF(ISNUMBER(SEARCH("H", 'WetLitterbags placem_collection'!$W201)),"YES","NO")</f>
        <v>NO</v>
      </c>
      <c r="AO420" t="str">
        <f>IF(ISNUMBER(SEARCH("R", 'WetLitterbags placem_collection'!$W201)),"YES","NO")</f>
        <v>YES</v>
      </c>
    </row>
    <row r="421" spans="1:41" ht="15" customHeight="1">
      <c r="A421" s="255" t="s">
        <v>2454</v>
      </c>
      <c r="B421" s="260">
        <f>'Dry_Litterbag Placem_Collection'!A202</f>
        <v>200</v>
      </c>
      <c r="C421" s="260" t="str">
        <f>'Dry_Litterbag Placem_Collection'!B202</f>
        <v>Makao</v>
      </c>
      <c r="D421" s="260" t="s">
        <v>2643</v>
      </c>
      <c r="E421" s="260" t="s">
        <v>2512</v>
      </c>
      <c r="F421" s="260">
        <v>4</v>
      </c>
      <c r="G421" s="260" t="s">
        <v>3809</v>
      </c>
      <c r="H421" s="261" t="str">
        <f>'Dry_Litterbag Placem_Collection'!C202</f>
        <v>Dry_P4_CG4</v>
      </c>
      <c r="I421" s="262" t="s">
        <v>2525</v>
      </c>
      <c r="J421" s="269" t="s">
        <v>298</v>
      </c>
      <c r="K421" s="221" t="str">
        <f>'WetLitterbags placem_collection'!M202</f>
        <v>R303</v>
      </c>
      <c r="L421" s="223">
        <f>IFERROR(INDEX('Green_rooibos initial weight'!$C$5:$C$2000,MATCH(K421, 'Green_rooibos initial weight'!$A$5:$A$2000,0)),"")</f>
        <v>2.2490000000000001</v>
      </c>
      <c r="M421" s="223">
        <f>IFERROR(L421-(TBIcalc!$H$9+TBIcalc!$H$10),"")</f>
        <v>1.9992000000000001</v>
      </c>
      <c r="N421" s="385">
        <f>AVERAGE(Ashed_controlls!$K$2:$K$11)</f>
        <v>5.5147656768714146</v>
      </c>
      <c r="O421" s="223">
        <f t="shared" si="31"/>
        <v>1.8889488045879868</v>
      </c>
      <c r="P421" s="223">
        <f>IFERROR(INDEX('Both teabags AfterWet'!$C$3:$C$840,MATCH(K421,'Both teabags AfterWet'!$A$3:$A$840,0)),"")</f>
        <v>1.5651999999999999</v>
      </c>
      <c r="Q421" s="223">
        <f>IFERROR(IF(P421&gt;0,P421-(TBIcalc!$H$9),""),"")</f>
        <v>1.4145999999999999</v>
      </c>
      <c r="R421" s="223">
        <f>IFERROR(INDEX('Ashed teabags wet'!$K$2:$K$2000,MATCH(K421,'Ashed teabags wet'!$A$2:$A$2000,0)),"")</f>
        <v>4.4411177644712749</v>
      </c>
      <c r="S421" s="223">
        <f t="shared" si="32"/>
        <v>1.3517759481037892</v>
      </c>
      <c r="T421" s="224">
        <f>'WetLitterbags placem_collection'!E202</f>
        <v>42769</v>
      </c>
      <c r="U421" s="224">
        <f>IF('WetLitterbags placem_collection'!G202="","",'WetLitterbags placem_collection'!G202)</f>
        <v>42813</v>
      </c>
      <c r="V421" s="225">
        <f t="shared" si="30"/>
        <v>44</v>
      </c>
      <c r="W421" s="223">
        <f t="shared" si="33"/>
        <v>0.58460000000000023</v>
      </c>
      <c r="X421" s="223">
        <f t="shared" si="34"/>
        <v>0.53717285648419755</v>
      </c>
      <c r="Y421">
        <f>IFERROR(INDEX(Rainfall_Wet!$O$2:$O$217,MATCH(B421, Rainfall_Wet!$A$2:$A$217,0)),"")</f>
        <v>175.054685654</v>
      </c>
      <c r="Z421" s="228">
        <v>25.96</v>
      </c>
      <c r="AA421" s="228">
        <v>6.9200000000000008</v>
      </c>
      <c r="AB421" s="228">
        <v>67.12</v>
      </c>
      <c r="AC421" s="229" t="s">
        <v>2654</v>
      </c>
      <c r="AD421" s="228">
        <v>1.7568260226712666</v>
      </c>
      <c r="AE421">
        <f>IF('WetLitterbags placem_collection'!AB202="","",'WetLitterbags placem_collection'!AB202)</f>
        <v>15.2</v>
      </c>
      <c r="AF421">
        <f>IF('WetLitterbags placem_collection'!Z202="","",'WetLitterbags placem_collection'!Z202)</f>
        <v>12.2</v>
      </c>
      <c r="AG421" s="243" t="str">
        <f>IF('WetLitterbags placem_collection'!AA202="","",'WetLitterbags placem_collection'!AA202)</f>
        <v>O</v>
      </c>
      <c r="AH421">
        <f>IF('WetLitterbags placem_collection'!AC202="","",'WetLitterbags placem_collection'!AC202)</f>
        <v>1</v>
      </c>
      <c r="AI421" s="237">
        <f>AVERAGE('WetLitterbags placem_collection'!S202,'WetLitterbags placem_collection'!U202)</f>
        <v>22.799999999999997</v>
      </c>
      <c r="AJ421">
        <f>AVERAGE('WetLitterbags placem_collection'!R202,'WetLitterbags placem_collection'!T202)</f>
        <v>27.9</v>
      </c>
      <c r="AK421">
        <v>-2.4396949910000001</v>
      </c>
      <c r="AL421">
        <v>34.838574029999997</v>
      </c>
      <c r="AM421" t="str">
        <f>IF(ISNUMBER(SEARCH("C", 'WetLitterbags placem_collection'!$W202)),"YES","NO")</f>
        <v>NO</v>
      </c>
      <c r="AN421" t="str">
        <f>IF(ISNUMBER(SEARCH("H", 'WetLitterbags placem_collection'!$W202)),"YES","NO")</f>
        <v>NO</v>
      </c>
      <c r="AO421" t="str">
        <f>IF(ISNUMBER(SEARCH("R", 'WetLitterbags placem_collection'!$W202)),"YES","NO")</f>
        <v>YES</v>
      </c>
    </row>
    <row r="422" spans="1:41" ht="15" customHeight="1">
      <c r="A422" s="255" t="s">
        <v>2454</v>
      </c>
      <c r="B422" s="260">
        <f>'Dry_Litterbag Placem_Collection'!A203</f>
        <v>201</v>
      </c>
      <c r="C422" s="260" t="str">
        <f>'Dry_Litterbag Placem_Collection'!B203</f>
        <v>Maswa</v>
      </c>
      <c r="D422" s="260" t="s">
        <v>2643</v>
      </c>
      <c r="E422" s="260" t="s">
        <v>2512</v>
      </c>
      <c r="F422" s="260">
        <v>4</v>
      </c>
      <c r="G422" s="260" t="s">
        <v>3813</v>
      </c>
      <c r="H422" s="261" t="str">
        <f>'Dry_Litterbag Placem_Collection'!C203</f>
        <v>Dry_W3_CG4</v>
      </c>
      <c r="I422" s="262" t="s">
        <v>2525</v>
      </c>
      <c r="J422" s="269" t="s">
        <v>298</v>
      </c>
      <c r="K422" s="221" t="str">
        <f>'WetLitterbags placem_collection'!M203</f>
        <v>R218</v>
      </c>
      <c r="L422" s="223">
        <f>IFERROR(INDEX('Green_rooibos initial weight'!$C$5:$C$2000,MATCH(K422, 'Green_rooibos initial weight'!$A$5:$A$2000,0)),"")</f>
        <v>2.2309999999999999</v>
      </c>
      <c r="M422" s="223">
        <f>IFERROR(L422-(TBIcalc!$H$9+TBIcalc!$H$10),"")</f>
        <v>1.9811999999999999</v>
      </c>
      <c r="N422" s="385">
        <f>AVERAGE(Ashed_controlls!$K$2:$K$11)</f>
        <v>5.5147656768714146</v>
      </c>
      <c r="O422" s="223">
        <f t="shared" si="31"/>
        <v>1.8719414624098234</v>
      </c>
      <c r="P422" s="223">
        <f>IFERROR(INDEX('Both teabags AfterWet'!$C$3:$C$840,MATCH(K422,'Both teabags AfterWet'!$A$3:$A$840,0)),"")</f>
        <v>1.5928</v>
      </c>
      <c r="Q422" s="223">
        <f>IFERROR(IF(P422&gt;0,P422-(TBIcalc!$H$9),""),"")</f>
        <v>1.4421999999999999</v>
      </c>
      <c r="R422" s="223">
        <f>IFERROR(INDEX('Ashed teabags wet'!$K$2:$K$2000,MATCH(K422,'Ashed teabags wet'!$A$2:$A$2000,0)),"")</f>
        <v>3.3009708737867043</v>
      </c>
      <c r="S422" s="223">
        <f t="shared" si="32"/>
        <v>1.3945933980582481</v>
      </c>
      <c r="T422" s="224">
        <f>'WetLitterbags placem_collection'!E203</f>
        <v>42769</v>
      </c>
      <c r="U422" s="224">
        <f>IF('WetLitterbags placem_collection'!G203="","",'WetLitterbags placem_collection'!G203)</f>
        <v>42813</v>
      </c>
      <c r="V422" s="225">
        <f t="shared" si="30"/>
        <v>44</v>
      </c>
      <c r="W422" s="223">
        <f t="shared" si="33"/>
        <v>0.53899999999999992</v>
      </c>
      <c r="X422" s="223">
        <f t="shared" si="34"/>
        <v>0.47734806435157529</v>
      </c>
      <c r="Y422">
        <f>IFERROR(INDEX(Rainfall_Wet!$O$2:$O$217,MATCH(B422, Rainfall_Wet!$A$2:$A$217,0)),"")</f>
        <v>175.054685654</v>
      </c>
      <c r="Z422" s="228">
        <v>38.691629007962128</v>
      </c>
      <c r="AA422" s="228">
        <v>26.81299763288143</v>
      </c>
      <c r="AB422" s="228">
        <v>34.495373359156439</v>
      </c>
      <c r="AC422" s="229" t="s">
        <v>2659</v>
      </c>
      <c r="AD422" s="228">
        <v>2.5483587974371611</v>
      </c>
      <c r="AE422">
        <f>IF('WetLitterbags placem_collection'!AB203="","",'WetLitterbags placem_collection'!AB203)</f>
        <v>15.2</v>
      </c>
      <c r="AF422">
        <f>IF('WetLitterbags placem_collection'!Z203="","",'WetLitterbags placem_collection'!Z203)</f>
        <v>12.2</v>
      </c>
      <c r="AG422" s="243" t="str">
        <f>IF('WetLitterbags placem_collection'!AA203="","",'WetLitterbags placem_collection'!AA203)</f>
        <v>O</v>
      </c>
      <c r="AH422">
        <f>IF('WetLitterbags placem_collection'!AC203="","",'WetLitterbags placem_collection'!AC203)</f>
        <v>1</v>
      </c>
      <c r="AI422" s="237">
        <f>AVERAGE('WetLitterbags placem_collection'!S203,'WetLitterbags placem_collection'!U203)</f>
        <v>22</v>
      </c>
      <c r="AJ422">
        <f>AVERAGE('WetLitterbags placem_collection'!R203,'WetLitterbags placem_collection'!T203)</f>
        <v>28</v>
      </c>
      <c r="AK422">
        <v>-2.4396949910000001</v>
      </c>
      <c r="AL422">
        <v>34.838574029999997</v>
      </c>
      <c r="AM422" t="str">
        <f>IF(ISNUMBER(SEARCH("C", 'WetLitterbags placem_collection'!$W203)),"YES","NO")</f>
        <v>NO</v>
      </c>
      <c r="AN422" t="str">
        <f>IF(ISNUMBER(SEARCH("H", 'WetLitterbags placem_collection'!$W203)),"YES","NO")</f>
        <v>NO</v>
      </c>
      <c r="AO422" t="str">
        <f>IF(ISNUMBER(SEARCH("R", 'WetLitterbags placem_collection'!$W203)),"YES","NO")</f>
        <v>YES</v>
      </c>
    </row>
    <row r="423" spans="1:41" ht="15" customHeight="1">
      <c r="A423" s="255" t="s">
        <v>2454</v>
      </c>
      <c r="B423" s="260">
        <f>'Dry_Litterbag Placem_Collection'!A204</f>
        <v>202</v>
      </c>
      <c r="C423" s="260" t="str">
        <f>'Dry_Litterbag Placem_Collection'!B204</f>
        <v>Maswa</v>
      </c>
      <c r="D423" s="260" t="s">
        <v>2643</v>
      </c>
      <c r="E423" s="260" t="s">
        <v>2512</v>
      </c>
      <c r="F423" s="260">
        <v>1</v>
      </c>
      <c r="G423" s="260" t="s">
        <v>3812</v>
      </c>
      <c r="H423" s="261" t="str">
        <f>'Dry_Litterbag Placem_Collection'!C204</f>
        <v>Dry_W2_CG1</v>
      </c>
      <c r="I423" s="262" t="s">
        <v>2525</v>
      </c>
      <c r="J423" s="269" t="s">
        <v>298</v>
      </c>
      <c r="K423" s="221" t="str">
        <f>'WetLitterbags placem_collection'!M204</f>
        <v>R135</v>
      </c>
      <c r="L423" s="223">
        <f>IFERROR(INDEX('Green_rooibos initial weight'!$C$5:$C$2000,MATCH(K423, 'Green_rooibos initial weight'!$A$5:$A$2000,0)),"")</f>
        <v>2.286</v>
      </c>
      <c r="M423" s="223">
        <f>IFERROR(L423-(TBIcalc!$H$9+TBIcalc!$H$10),"")</f>
        <v>2.0362</v>
      </c>
      <c r="N423" s="385">
        <f>AVERAGE(Ashed_controlls!$K$2:$K$11)</f>
        <v>5.5147656768714146</v>
      </c>
      <c r="O423" s="223">
        <f t="shared" si="31"/>
        <v>1.9239083412875442</v>
      </c>
      <c r="P423" s="223">
        <f>IFERROR(INDEX('Both teabags AfterWet'!$C$3:$C$840,MATCH(K423,'Both teabags AfterWet'!$A$3:$A$840,0)),"")</f>
        <v>1.6419999999999999</v>
      </c>
      <c r="Q423" s="223">
        <f>IFERROR(IF(P423&gt;0,P423-(TBIcalc!$H$9),""),"")</f>
        <v>1.4913999999999998</v>
      </c>
      <c r="R423" s="223">
        <f>IFERROR(INDEX('Ashed teabags wet'!$K$2:$K$2000,MATCH(K423,'Ashed teabags wet'!$A$2:$A$2000,0)),"")</f>
        <v>3.9196472317485203</v>
      </c>
      <c r="S423" s="223">
        <f t="shared" si="32"/>
        <v>1.4329423811857025</v>
      </c>
      <c r="T423" s="224">
        <f>'WetLitterbags placem_collection'!E204</f>
        <v>42769</v>
      </c>
      <c r="U423" s="224">
        <f>IF('WetLitterbags placem_collection'!G204="","",'WetLitterbags placem_collection'!G204)</f>
        <v>42814</v>
      </c>
      <c r="V423" s="225">
        <f t="shared" si="30"/>
        <v>45</v>
      </c>
      <c r="W423" s="223">
        <f t="shared" si="33"/>
        <v>0.54480000000000017</v>
      </c>
      <c r="X423" s="223">
        <f t="shared" si="34"/>
        <v>0.49096596010184168</v>
      </c>
      <c r="Y423">
        <f>IFERROR(INDEX(Rainfall_Wet!$O$2:$O$217,MATCH(B423, Rainfall_Wet!$A$2:$A$217,0)),"")</f>
        <v>175.377105089</v>
      </c>
      <c r="Z423" s="228">
        <v>45.272914521112256</v>
      </c>
      <c r="AA423" s="228">
        <v>23.604531410916575</v>
      </c>
      <c r="AB423" s="228">
        <v>31.122554067971166</v>
      </c>
      <c r="AC423" s="229" t="s">
        <v>2657</v>
      </c>
      <c r="AD423" s="228">
        <v>2.0547560374568752</v>
      </c>
      <c r="AE423">
        <f>IF('WetLitterbags placem_collection'!AB204="","",'WetLitterbags placem_collection'!AB204)</f>
        <v>13.8</v>
      </c>
      <c r="AF423">
        <f>IF('WetLitterbags placem_collection'!Z204="","",'WetLitterbags placem_collection'!Z204)</f>
        <v>17.399999999999999</v>
      </c>
      <c r="AG423" s="243" t="str">
        <f>IF('WetLitterbags placem_collection'!AA204="","",'WetLitterbags placem_collection'!AA204)</f>
        <v>O</v>
      </c>
      <c r="AH423">
        <f>IF('WetLitterbags placem_collection'!AC204="","",'WetLitterbags placem_collection'!AC204)</f>
        <v>1</v>
      </c>
      <c r="AI423" s="237">
        <f>AVERAGE('WetLitterbags placem_collection'!S204,'WetLitterbags placem_collection'!U204)</f>
        <v>20.65</v>
      </c>
      <c r="AJ423">
        <f>AVERAGE('WetLitterbags placem_collection'!R204,'WetLitterbags placem_collection'!T204)</f>
        <v>24.1</v>
      </c>
      <c r="AK423">
        <v>-2.439403972</v>
      </c>
      <c r="AL423">
        <v>34.838404959999998</v>
      </c>
      <c r="AM423" t="str">
        <f>IF(ISNUMBER(SEARCH("C", 'WetLitterbags placem_collection'!$W204)),"YES","NO")</f>
        <v>NO</v>
      </c>
      <c r="AN423" t="str">
        <f>IF(ISNUMBER(SEARCH("H", 'WetLitterbags placem_collection'!$W204)),"YES","NO")</f>
        <v>NO</v>
      </c>
      <c r="AO423" t="str">
        <f>IF(ISNUMBER(SEARCH("R", 'WetLitterbags placem_collection'!$W204)),"YES","NO")</f>
        <v>YES</v>
      </c>
    </row>
    <row r="424" spans="1:41" ht="15" customHeight="1">
      <c r="A424" s="255" t="s">
        <v>2454</v>
      </c>
      <c r="B424" s="260">
        <f>'Dry_Litterbag Placem_Collection'!A205</f>
        <v>203</v>
      </c>
      <c r="C424" s="260" t="str">
        <f>'Dry_Litterbag Placem_Collection'!B205</f>
        <v>Maswa</v>
      </c>
      <c r="D424" s="260" t="s">
        <v>2643</v>
      </c>
      <c r="E424" s="260" t="s">
        <v>2512</v>
      </c>
      <c r="F424" s="260">
        <v>2</v>
      </c>
      <c r="G424" s="260" t="s">
        <v>3810</v>
      </c>
      <c r="H424" s="261" t="str">
        <f>'Dry_Litterbag Placem_Collection'!C205</f>
        <v>Dry_W1_CG2</v>
      </c>
      <c r="I424" s="262" t="s">
        <v>2525</v>
      </c>
      <c r="J424" s="269" t="s">
        <v>298</v>
      </c>
      <c r="K424" s="221" t="str">
        <f>'WetLitterbags placem_collection'!M205</f>
        <v>R372</v>
      </c>
      <c r="L424" s="223">
        <f>IFERROR(INDEX('Green_rooibos initial weight'!$C$5:$C$2000,MATCH(K424, 'Green_rooibos initial weight'!$A$5:$A$2000,0)),"")</f>
        <v>2.202</v>
      </c>
      <c r="M424" s="223">
        <f>IFERROR(L424-(TBIcalc!$H$9+TBIcalc!$H$10),"")</f>
        <v>1.9521999999999999</v>
      </c>
      <c r="N424" s="385">
        <f>AVERAGE(Ashed_controlls!$K$2:$K$11)</f>
        <v>5.5147656768714146</v>
      </c>
      <c r="O424" s="223">
        <f t="shared" si="31"/>
        <v>1.8445407444561162</v>
      </c>
      <c r="P424" s="223">
        <f>IFERROR(INDEX('Both teabags AfterWet'!$C$3:$C$840,MATCH(K424,'Both teabags AfterWet'!$A$3:$A$840,0)),"")</f>
        <v>1.6213</v>
      </c>
      <c r="Q424" s="223">
        <f>IFERROR(IF(P424&gt;0,P424-(TBIcalc!$H$9),""),"")</f>
        <v>1.4706999999999999</v>
      </c>
      <c r="R424" s="223">
        <f>IFERROR(INDEX('Ashed teabags wet'!$K$2:$K$2000,MATCH(K424,'Ashed teabags wet'!$A$2:$A$2000,0)),"")</f>
        <v>4.1958041958038725</v>
      </c>
      <c r="S424" s="223">
        <f t="shared" si="32"/>
        <v>1.4089923076923123</v>
      </c>
      <c r="T424" s="224">
        <f>'WetLitterbags placem_collection'!E205</f>
        <v>42769</v>
      </c>
      <c r="U424" s="224">
        <f>IF('WetLitterbags placem_collection'!G205="","",'WetLitterbags placem_collection'!G205)</f>
        <v>42814</v>
      </c>
      <c r="V424" s="225">
        <f t="shared" si="30"/>
        <v>45</v>
      </c>
      <c r="W424" s="223">
        <f t="shared" si="33"/>
        <v>0.48150000000000004</v>
      </c>
      <c r="X424" s="223">
        <f t="shared" si="34"/>
        <v>0.43554843676380384</v>
      </c>
      <c r="Y424">
        <f>IFERROR(INDEX(Rainfall_Wet!$O$2:$O$217,MATCH(B424, Rainfall_Wet!$A$2:$A$217,0)),"")</f>
        <v>175.377105089</v>
      </c>
      <c r="Z424" s="228">
        <v>47.96</v>
      </c>
      <c r="AA424" s="228">
        <v>22.919999999999995</v>
      </c>
      <c r="AB424" s="228">
        <v>29.120000000000012</v>
      </c>
      <c r="AC424" s="229" t="s">
        <v>2657</v>
      </c>
      <c r="AD424" s="228">
        <v>2.8831936914736325</v>
      </c>
      <c r="AE424">
        <f>IF('WetLitterbags placem_collection'!AB205="","",'WetLitterbags placem_collection'!AB205)</f>
        <v>5.13</v>
      </c>
      <c r="AF424">
        <f>IF('WetLitterbags placem_collection'!Z205="","",'WetLitterbags placem_collection'!Z205)</f>
        <v>5.13</v>
      </c>
      <c r="AG424" s="243" t="str">
        <f>IF('WetLitterbags placem_collection'!AA205="","",'WetLitterbags placem_collection'!AA205)</f>
        <v>O</v>
      </c>
      <c r="AH424">
        <f>IF('WetLitterbags placem_collection'!AC205="","",'WetLitterbags placem_collection'!AC205)</f>
        <v>1</v>
      </c>
      <c r="AI424" s="237">
        <f>AVERAGE('WetLitterbags placem_collection'!S205,'WetLitterbags placem_collection'!U205)</f>
        <v>27</v>
      </c>
      <c r="AJ424">
        <f>AVERAGE('WetLitterbags placem_collection'!R205,'WetLitterbags placem_collection'!T205)</f>
        <v>28.4</v>
      </c>
      <c r="AK424">
        <v>-2.4396450349999999</v>
      </c>
      <c r="AL424">
        <v>34.83836599</v>
      </c>
      <c r="AM424" t="str">
        <f>IF(ISNUMBER(SEARCH("C", 'WetLitterbags placem_collection'!$W205)),"YES","NO")</f>
        <v>NO</v>
      </c>
      <c r="AN424" t="str">
        <f>IF(ISNUMBER(SEARCH("H", 'WetLitterbags placem_collection'!$W205)),"YES","NO")</f>
        <v>YES</v>
      </c>
      <c r="AO424" t="str">
        <f>IF(ISNUMBER(SEARCH("R", 'WetLitterbags placem_collection'!$W205)),"YES","NO")</f>
        <v>NO</v>
      </c>
    </row>
    <row r="425" spans="1:41" ht="15" customHeight="1">
      <c r="A425" s="255" t="s">
        <v>2454</v>
      </c>
      <c r="B425" s="260">
        <f>'Dry_Litterbag Placem_Collection'!A206</f>
        <v>204</v>
      </c>
      <c r="C425" s="260" t="str">
        <f>'Dry_Litterbag Placem_Collection'!B206</f>
        <v>Maswa</v>
      </c>
      <c r="D425" s="260" t="s">
        <v>2643</v>
      </c>
      <c r="E425" s="260" t="s">
        <v>2512</v>
      </c>
      <c r="F425" s="260">
        <v>3</v>
      </c>
      <c r="G425" s="260" t="s">
        <v>3814</v>
      </c>
      <c r="H425" s="261" t="str">
        <f>'Dry_Litterbag Placem_Collection'!C206</f>
        <v>Dry_W4_CG3</v>
      </c>
      <c r="I425" s="262" t="s">
        <v>2525</v>
      </c>
      <c r="J425" s="269" t="s">
        <v>298</v>
      </c>
      <c r="K425" s="221" t="str">
        <f>'WetLitterbags placem_collection'!M206</f>
        <v>R334</v>
      </c>
      <c r="L425" s="223">
        <f>IFERROR(INDEX('Green_rooibos initial weight'!$C$5:$C$2000,MATCH(K425, 'Green_rooibos initial weight'!$A$5:$A$2000,0)),"")</f>
        <v>2.1419999999999999</v>
      </c>
      <c r="M425" s="223">
        <f>IFERROR(L425-(TBIcalc!$H$9+TBIcalc!$H$10),"")</f>
        <v>1.8921999999999999</v>
      </c>
      <c r="N425" s="385">
        <f>AVERAGE(Ashed_controlls!$K$2:$K$11)</f>
        <v>5.5147656768714146</v>
      </c>
      <c r="O425" s="223">
        <f t="shared" si="31"/>
        <v>1.7878496038622389</v>
      </c>
      <c r="P425" s="223">
        <f>IFERROR(INDEX('Both teabags AfterWet'!$C$3:$C$840,MATCH(K425,'Both teabags AfterWet'!$A$3:$A$840,0)),"")</f>
        <v>1.544</v>
      </c>
      <c r="Q425" s="223">
        <f>IFERROR(IF(P425&gt;0,P425-(TBIcalc!$H$9),""),"")</f>
        <v>1.3934</v>
      </c>
      <c r="R425" s="223">
        <f>IFERROR(INDEX('Ashed teabags wet'!$K$2:$K$2000,MATCH(K425,'Ashed teabags wet'!$A$2:$A$2000,0)),"")</f>
        <v>5.4642166344294019</v>
      </c>
      <c r="S425" s="223">
        <f t="shared" si="32"/>
        <v>1.3172616054158608</v>
      </c>
      <c r="T425" s="224">
        <f>'WetLitterbags placem_collection'!E206</f>
        <v>42769</v>
      </c>
      <c r="U425" s="224">
        <f>IF('WetLitterbags placem_collection'!G206="","",'WetLitterbags placem_collection'!G206)</f>
        <v>42813</v>
      </c>
      <c r="V425" s="225">
        <f t="shared" si="30"/>
        <v>44</v>
      </c>
      <c r="W425" s="223">
        <f t="shared" si="33"/>
        <v>0.49879999999999991</v>
      </c>
      <c r="X425" s="223">
        <f t="shared" si="34"/>
        <v>0.47058799844637811</v>
      </c>
      <c r="Y425">
        <f>IFERROR(INDEX(Rainfall_Wet!$O$2:$O$217,MATCH(B425, Rainfall_Wet!$A$2:$A$217,0)),"")</f>
        <v>175.054685654</v>
      </c>
      <c r="Z425" s="228">
        <v>28.145762029394</v>
      </c>
      <c r="AA425" s="228">
        <v>25.085564727199518</v>
      </c>
      <c r="AB425" s="228">
        <v>46.768673243406489</v>
      </c>
      <c r="AC425" s="229" t="s">
        <v>2654</v>
      </c>
      <c r="AD425" s="228">
        <v>2.1716214884179394</v>
      </c>
      <c r="AE425">
        <f>IF('WetLitterbags placem_collection'!AB206="","",'WetLitterbags placem_collection'!AB206)</f>
        <v>7.9</v>
      </c>
      <c r="AF425">
        <f>IF('WetLitterbags placem_collection'!Z206="","",'WetLitterbags placem_collection'!Z206)</f>
        <v>7.9</v>
      </c>
      <c r="AG425" s="243" t="str">
        <f>IF('WetLitterbags placem_collection'!AA206="","",'WetLitterbags placem_collection'!AA206)</f>
        <v>O</v>
      </c>
      <c r="AH425">
        <f>IF('WetLitterbags placem_collection'!AC206="","",'WetLitterbags placem_collection'!AC206)</f>
        <v>1</v>
      </c>
      <c r="AI425" s="237">
        <f>AVERAGE('WetLitterbags placem_collection'!S206,'WetLitterbags placem_collection'!U206)</f>
        <v>21.6</v>
      </c>
      <c r="AJ425">
        <f>AVERAGE('WetLitterbags placem_collection'!R206,'WetLitterbags placem_collection'!T206)</f>
        <v>30.950000000000003</v>
      </c>
      <c r="AK425">
        <v>-2.4395990190000001</v>
      </c>
      <c r="AL425">
        <v>34.838418959999998</v>
      </c>
      <c r="AM425" t="str">
        <f>IF(ISNUMBER(SEARCH("C", 'WetLitterbags placem_collection'!$W206)),"YES","NO")</f>
        <v>NO</v>
      </c>
      <c r="AN425" t="str">
        <f>IF(ISNUMBER(SEARCH("H", 'WetLitterbags placem_collection'!$W206)),"YES","NO")</f>
        <v>NO</v>
      </c>
      <c r="AO425" t="str">
        <f>IF(ISNUMBER(SEARCH("R", 'WetLitterbags placem_collection'!$W206)),"YES","NO")</f>
        <v>YES</v>
      </c>
    </row>
    <row r="426" spans="1:41" ht="15" customHeight="1">
      <c r="A426" s="255" t="s">
        <v>2454</v>
      </c>
      <c r="B426" s="260">
        <f>'Dry_Litterbag Placem_Collection'!A207</f>
        <v>205</v>
      </c>
      <c r="C426" s="260" t="str">
        <f>'Dry_Litterbag Placem_Collection'!B207</f>
        <v xml:space="preserve">Mwantimba
</v>
      </c>
      <c r="D426" s="260" t="s">
        <v>2454</v>
      </c>
      <c r="E426" s="260" t="s">
        <v>2512</v>
      </c>
      <c r="F426" s="260">
        <v>2</v>
      </c>
      <c r="G426" s="260" t="s">
        <v>3815</v>
      </c>
      <c r="H426" s="261" t="str">
        <f>'Dry_Litterbag Placem_Collection'!C207</f>
        <v>Wet_Ag1_CG2</v>
      </c>
      <c r="I426" s="262" t="s">
        <v>2525</v>
      </c>
      <c r="J426" s="269" t="s">
        <v>298</v>
      </c>
      <c r="K426" s="221" t="str">
        <f>'WetLitterbags placem_collection'!M207</f>
        <v>R265</v>
      </c>
      <c r="L426" s="223">
        <f>IFERROR(INDEX('Green_rooibos initial weight'!$C$5:$C$2000,MATCH(K426, 'Green_rooibos initial weight'!$A$5:$A$2000,0)),"")</f>
        <v>2.2210000000000001</v>
      </c>
      <c r="M426" s="223">
        <f>IFERROR(L426-(TBIcalc!$H$9+TBIcalc!$H$10),"")</f>
        <v>1.9712000000000001</v>
      </c>
      <c r="N426" s="385">
        <f>AVERAGE(Ashed_controlls!$K$2:$K$11)</f>
        <v>5.5147656768714146</v>
      </c>
      <c r="O426" s="223">
        <f t="shared" si="31"/>
        <v>1.8624929389775107</v>
      </c>
      <c r="P426" s="223">
        <f>IFERROR(INDEX('Both teabags AfterWet'!$C$3:$C$840,MATCH(K426,'Both teabags AfterWet'!$A$3:$A$840,0)),"")</f>
        <v>1.6680999999999999</v>
      </c>
      <c r="Q426" s="223">
        <f>IFERROR(IF(P426&gt;0,P426-(TBIcalc!$H$9),""),"")</f>
        <v>1.5174999999999998</v>
      </c>
      <c r="R426" s="223">
        <f>IFERROR(INDEX('Ashed teabags wet'!$K$2:$K$2000,MATCH(K426,'Ashed teabags wet'!$A$2:$A$2000,0)),"")</f>
        <v>13.867187500000384</v>
      </c>
      <c r="S426" s="223">
        <f t="shared" si="32"/>
        <v>1.3070654296874942</v>
      </c>
      <c r="T426" s="224">
        <f>'WetLitterbags placem_collection'!E207</f>
        <v>42769</v>
      </c>
      <c r="U426" s="224">
        <f>IF('WetLitterbags placem_collection'!G207="","",'WetLitterbags placem_collection'!G207)</f>
        <v>42814</v>
      </c>
      <c r="V426" s="225">
        <f t="shared" si="30"/>
        <v>45</v>
      </c>
      <c r="W426" s="223">
        <f t="shared" si="33"/>
        <v>0.45370000000000021</v>
      </c>
      <c r="X426" s="223">
        <f t="shared" si="34"/>
        <v>0.5554275092900165</v>
      </c>
      <c r="Y426">
        <f>IFERROR(INDEX(Rainfall_Wet!$O$2:$O$217,MATCH(B426, Rainfall_Wet!$A$2:$A$217,0)),"")</f>
        <v>175.377105089</v>
      </c>
      <c r="Z426" s="228">
        <v>45.96</v>
      </c>
      <c r="AA426" s="228">
        <v>14.920000000000003</v>
      </c>
      <c r="AB426" s="228">
        <v>39.119999999999997</v>
      </c>
      <c r="AC426" s="229" t="s">
        <v>2657</v>
      </c>
      <c r="AD426" s="228">
        <v>2.0374568753080333</v>
      </c>
      <c r="AE426">
        <f>IF('WetLitterbags placem_collection'!AB207="","",'WetLitterbags placem_collection'!AB207)</f>
        <v>5.13</v>
      </c>
      <c r="AF426">
        <f>IF('WetLitterbags placem_collection'!Z207="","",'WetLitterbags placem_collection'!Z207)</f>
        <v>5.13</v>
      </c>
      <c r="AG426" s="243" t="str">
        <f>IF('WetLitterbags placem_collection'!AA207="","",'WetLitterbags placem_collection'!AA207)</f>
        <v>O</v>
      </c>
      <c r="AH426">
        <f>IF('WetLitterbags placem_collection'!AC207="","",'WetLitterbags placem_collection'!AC207)</f>
        <v>1</v>
      </c>
      <c r="AI426" s="237">
        <f>AVERAGE('WetLitterbags placem_collection'!S207,'WetLitterbags placem_collection'!U207)</f>
        <v>24.45</v>
      </c>
      <c r="AJ426">
        <f>AVERAGE('WetLitterbags placem_collection'!R207,'WetLitterbags placem_collection'!T207)</f>
        <v>26.299999999999997</v>
      </c>
      <c r="AK426">
        <v>-2.4396450349999999</v>
      </c>
      <c r="AL426">
        <v>34.83836599</v>
      </c>
      <c r="AM426" t="str">
        <f>IF(ISNUMBER(SEARCH("C", 'WetLitterbags placem_collection'!$W207)),"YES","NO")</f>
        <v>NO</v>
      </c>
      <c r="AN426" t="str">
        <f>IF(ISNUMBER(SEARCH("H", 'WetLitterbags placem_collection'!$W207)),"YES","NO")</f>
        <v>NO</v>
      </c>
      <c r="AO426" t="str">
        <f>IF(ISNUMBER(SEARCH("R", 'WetLitterbags placem_collection'!$W207)),"YES","NO")</f>
        <v>YES</v>
      </c>
    </row>
    <row r="427" spans="1:41" ht="15" customHeight="1">
      <c r="A427" s="255" t="s">
        <v>2454</v>
      </c>
      <c r="B427" s="260">
        <f>'Dry_Litterbag Placem_Collection'!A208</f>
        <v>206</v>
      </c>
      <c r="C427" s="260" t="str">
        <f>'Dry_Litterbag Placem_Collection'!B208</f>
        <v xml:space="preserve">Mwantimba
</v>
      </c>
      <c r="D427" s="260" t="s">
        <v>2454</v>
      </c>
      <c r="E427" s="260" t="s">
        <v>2512</v>
      </c>
      <c r="F427" s="260">
        <v>1</v>
      </c>
      <c r="G427" s="260" t="s">
        <v>3817</v>
      </c>
      <c r="H427" s="261" t="str">
        <f>'Dry_Litterbag Placem_Collection'!C208</f>
        <v>Wet_Ag2_CG1</v>
      </c>
      <c r="I427" s="262" t="s">
        <v>2525</v>
      </c>
      <c r="J427" s="269" t="s">
        <v>298</v>
      </c>
      <c r="K427" s="221" t="str">
        <f>'WetLitterbags placem_collection'!M208</f>
        <v>R234</v>
      </c>
      <c r="L427" s="223">
        <f>IFERROR(INDEX('Green_rooibos initial weight'!$C$5:$C$2000,MATCH(K427, 'Green_rooibos initial weight'!$A$5:$A$2000,0)),"")</f>
        <v>2.194</v>
      </c>
      <c r="M427" s="223">
        <f>IFERROR(L427-(TBIcalc!$H$9+TBIcalc!$H$10),"")</f>
        <v>1.9441999999999999</v>
      </c>
      <c r="N427" s="385">
        <f>AVERAGE(Ashed_controlls!$K$2:$K$11)</f>
        <v>5.5147656768714146</v>
      </c>
      <c r="O427" s="223">
        <f t="shared" si="31"/>
        <v>1.836981925710266</v>
      </c>
      <c r="P427" s="223">
        <f>IFERROR(INDEX('Both teabags AfterWet'!$C$3:$C$840,MATCH(K427,'Both teabags AfterWet'!$A$3:$A$840,0)),"")</f>
        <v>1.7410000000000001</v>
      </c>
      <c r="Q427" s="223">
        <f>IFERROR(IF(P427&gt;0,P427-(TBIcalc!$H$9),""),"")</f>
        <v>1.5904</v>
      </c>
      <c r="R427" s="223">
        <f>IFERROR(INDEX('Ashed teabags wet'!$K$2:$K$2000,MATCH(K427,'Ashed teabags wet'!$A$2:$A$2000,0)),"")</f>
        <v>9.9903006789520461</v>
      </c>
      <c r="S427" s="223">
        <f t="shared" si="32"/>
        <v>1.4315142580019466</v>
      </c>
      <c r="T427" s="224">
        <f>'WetLitterbags placem_collection'!E208</f>
        <v>42769</v>
      </c>
      <c r="U427" s="224">
        <f>IF('WetLitterbags placem_collection'!G208="","",'WetLitterbags placem_collection'!G208)</f>
        <v>42814</v>
      </c>
      <c r="V427" s="225">
        <f t="shared" si="30"/>
        <v>45</v>
      </c>
      <c r="W427" s="223">
        <f t="shared" si="33"/>
        <v>0.35379999999999989</v>
      </c>
      <c r="X427" s="223">
        <f t="shared" si="34"/>
        <v>0.40546766770831932</v>
      </c>
      <c r="Y427">
        <f>IFERROR(INDEX(Rainfall_Wet!$O$2:$O$217,MATCH(B427, Rainfall_Wet!$A$2:$A$217,0)),"")</f>
        <v>175.377105089</v>
      </c>
      <c r="Z427" s="228">
        <v>34.344660194174757</v>
      </c>
      <c r="AA427" s="228">
        <v>19.22727272727273</v>
      </c>
      <c r="AB427" s="228">
        <v>46.428067078552509</v>
      </c>
      <c r="AC427" s="229" t="s">
        <v>2654</v>
      </c>
      <c r="AD427" s="228">
        <v>1.7452932479053718</v>
      </c>
      <c r="AE427">
        <f>IF('WetLitterbags placem_collection'!AB208="","",'WetLitterbags placem_collection'!AB208)</f>
        <v>13.8</v>
      </c>
      <c r="AF427">
        <f>IF('WetLitterbags placem_collection'!Z208="","",'WetLitterbags placem_collection'!Z208)</f>
        <v>17.399999999999999</v>
      </c>
      <c r="AG427" s="243" t="str">
        <f>IF('WetLitterbags placem_collection'!AA208="","",'WetLitterbags placem_collection'!AA208)</f>
        <v>O</v>
      </c>
      <c r="AH427">
        <f>IF('WetLitterbags placem_collection'!AC208="","",'WetLitterbags placem_collection'!AC208)</f>
        <v>1</v>
      </c>
      <c r="AI427" s="237">
        <f>AVERAGE('WetLitterbags placem_collection'!S208,'WetLitterbags placem_collection'!U208)</f>
        <v>19.05</v>
      </c>
      <c r="AJ427">
        <f>AVERAGE('WetLitterbags placem_collection'!R208,'WetLitterbags placem_collection'!T208)</f>
        <v>24.15</v>
      </c>
      <c r="AK427">
        <v>-2.439403972</v>
      </c>
      <c r="AL427">
        <v>34.838404959999998</v>
      </c>
      <c r="AM427" t="str">
        <f>IF(ISNUMBER(SEARCH("C", 'WetLitterbags placem_collection'!$W208)),"YES","NO")</f>
        <v>NO</v>
      </c>
      <c r="AN427" t="str">
        <f>IF(ISNUMBER(SEARCH("H", 'WetLitterbags placem_collection'!$W208)),"YES","NO")</f>
        <v>NO</v>
      </c>
      <c r="AO427" t="str">
        <f>IF(ISNUMBER(SEARCH("R", 'WetLitterbags placem_collection'!$W208)),"YES","NO")</f>
        <v>NO</v>
      </c>
    </row>
    <row r="428" spans="1:41" ht="15" customHeight="1">
      <c r="A428" s="255" t="s">
        <v>2454</v>
      </c>
      <c r="B428" s="260">
        <f>'Dry_Litterbag Placem_Collection'!A209</f>
        <v>207</v>
      </c>
      <c r="C428" s="260" t="str">
        <f>'Dry_Litterbag Placem_Collection'!B209</f>
        <v xml:space="preserve">Mwantimba
</v>
      </c>
      <c r="D428" s="260" t="s">
        <v>2454</v>
      </c>
      <c r="E428" s="260" t="s">
        <v>2512</v>
      </c>
      <c r="F428" s="260">
        <v>4</v>
      </c>
      <c r="G428" s="260" t="s">
        <v>3818</v>
      </c>
      <c r="H428" s="261" t="str">
        <f>'Dry_Litterbag Placem_Collection'!C209</f>
        <v>Wet_Ag3_CG4</v>
      </c>
      <c r="I428" s="262" t="s">
        <v>2525</v>
      </c>
      <c r="J428" s="269" t="s">
        <v>298</v>
      </c>
      <c r="K428" s="221" t="str">
        <f>'WetLitterbags placem_collection'!M209</f>
        <v>R258</v>
      </c>
      <c r="L428" s="223">
        <f>IFERROR(INDEX('Green_rooibos initial weight'!$C$5:$C$2000,MATCH(K428, 'Green_rooibos initial weight'!$A$5:$A$2000,0)),"")</f>
        <v>2.17</v>
      </c>
      <c r="M428" s="223">
        <f>IFERROR(L428-(TBIcalc!$H$9+TBIcalc!$H$10),"")</f>
        <v>1.9201999999999999</v>
      </c>
      <c r="N428" s="385">
        <f>AVERAGE(Ashed_controlls!$K$2:$K$11)</f>
        <v>5.5147656768714146</v>
      </c>
      <c r="O428" s="223">
        <f t="shared" si="31"/>
        <v>1.814305469472715</v>
      </c>
      <c r="P428" s="223">
        <f>IFERROR(INDEX('Both teabags AfterWet'!$C$3:$C$840,MATCH(K428,'Both teabags AfterWet'!$A$3:$A$840,0)),"")</f>
        <v>1.5820000000000001</v>
      </c>
      <c r="Q428" s="223">
        <f>IFERROR(IF(P428&gt;0,P428-(TBIcalc!$H$9),""),"")</f>
        <v>1.4314</v>
      </c>
      <c r="R428" s="223">
        <f>IFERROR(INDEX('Ashed teabags wet'!$K$2:$K$2000,MATCH(K428,'Ashed teabags wet'!$A$2:$A$2000,0)),"")</f>
        <v>16.261774913237122</v>
      </c>
      <c r="S428" s="223">
        <f t="shared" si="32"/>
        <v>1.1986289538919239</v>
      </c>
      <c r="T428" s="224">
        <f>'WetLitterbags placem_collection'!E209</f>
        <v>42769</v>
      </c>
      <c r="U428" s="224">
        <f>IF('WetLitterbags placem_collection'!G209="","",'WetLitterbags placem_collection'!G209)</f>
        <v>42813</v>
      </c>
      <c r="V428" s="225">
        <f t="shared" si="30"/>
        <v>44</v>
      </c>
      <c r="W428" s="223">
        <f t="shared" si="33"/>
        <v>0.4887999999999999</v>
      </c>
      <c r="X428" s="223">
        <f t="shared" si="34"/>
        <v>0.61567651558079106</v>
      </c>
      <c r="Y428">
        <f>IFERROR(INDEX(Rainfall_Wet!$O$2:$O$217,MATCH(B428, Rainfall_Wet!$A$2:$A$217,0)),"")</f>
        <v>175.054685654</v>
      </c>
      <c r="Z428" s="228">
        <v>27.96</v>
      </c>
      <c r="AA428" s="228">
        <v>4.9200000000000017</v>
      </c>
      <c r="AB428" s="228">
        <v>67.12</v>
      </c>
      <c r="AC428" s="229" t="s">
        <v>2654</v>
      </c>
      <c r="AD428" s="228">
        <v>0.88610152784622953</v>
      </c>
      <c r="AE428">
        <f>IF('WetLitterbags placem_collection'!AB209="","",'WetLitterbags placem_collection'!AB209)</f>
        <v>15.2</v>
      </c>
      <c r="AF428">
        <f>IF('WetLitterbags placem_collection'!Z209="","",'WetLitterbags placem_collection'!Z209)</f>
        <v>12.2</v>
      </c>
      <c r="AG428" s="243" t="str">
        <f>IF('WetLitterbags placem_collection'!AA209="","",'WetLitterbags placem_collection'!AA209)</f>
        <v>O</v>
      </c>
      <c r="AH428">
        <f>IF('WetLitterbags placem_collection'!AC209="","",'WetLitterbags placem_collection'!AC209)</f>
        <v>1</v>
      </c>
      <c r="AI428" s="237">
        <f>AVERAGE('WetLitterbags placem_collection'!S209,'WetLitterbags placem_collection'!U209)</f>
        <v>19.8</v>
      </c>
      <c r="AJ428">
        <f>AVERAGE('WetLitterbags placem_collection'!R209,'WetLitterbags placem_collection'!T209)</f>
        <v>29.05</v>
      </c>
      <c r="AK428">
        <v>-2.4396949910000001</v>
      </c>
      <c r="AL428">
        <v>34.838574029999997</v>
      </c>
      <c r="AM428" t="str">
        <f>IF(ISNUMBER(SEARCH("C", 'WetLitterbags placem_collection'!$W209)),"YES","NO")</f>
        <v>YES</v>
      </c>
      <c r="AN428" t="str">
        <f>IF(ISNUMBER(SEARCH("H", 'WetLitterbags placem_collection'!$W209)),"YES","NO")</f>
        <v>YES</v>
      </c>
      <c r="AO428" t="str">
        <f>IF(ISNUMBER(SEARCH("R", 'WetLitterbags placem_collection'!$W209)),"YES","NO")</f>
        <v>NO</v>
      </c>
    </row>
    <row r="429" spans="1:41" ht="15" customHeight="1">
      <c r="A429" s="255" t="s">
        <v>2454</v>
      </c>
      <c r="B429" s="260">
        <f>'Dry_Litterbag Placem_Collection'!A210</f>
        <v>208</v>
      </c>
      <c r="C429" s="260" t="str">
        <f>'Dry_Litterbag Placem_Collection'!B210</f>
        <v xml:space="preserve">Mwantimba
</v>
      </c>
      <c r="D429" s="260" t="s">
        <v>2454</v>
      </c>
      <c r="E429" s="260" t="s">
        <v>2512</v>
      </c>
      <c r="F429" s="260">
        <v>3</v>
      </c>
      <c r="G429" s="260" t="s">
        <v>3819</v>
      </c>
      <c r="H429" s="261" t="str">
        <f>'Dry_Litterbag Placem_Collection'!C210</f>
        <v>Wet_Ag4_CG3</v>
      </c>
      <c r="I429" s="262" t="s">
        <v>2525</v>
      </c>
      <c r="J429" s="269" t="s">
        <v>298</v>
      </c>
      <c r="K429" s="221" t="str">
        <f>'WetLitterbags placem_collection'!M210</f>
        <v>R344</v>
      </c>
      <c r="L429" s="223">
        <f>IFERROR(INDEX('Green_rooibos initial weight'!$C$5:$C$2000,MATCH(K429, 'Green_rooibos initial weight'!$A$5:$A$2000,0)),"")</f>
        <v>2.153</v>
      </c>
      <c r="M429" s="223">
        <f>IFERROR(L429-(TBIcalc!$H$9+TBIcalc!$H$10),"")</f>
        <v>1.9032</v>
      </c>
      <c r="N429" s="385">
        <f>AVERAGE(Ashed_controlls!$K$2:$K$11)</f>
        <v>5.5147656768714146</v>
      </c>
      <c r="O429" s="223">
        <f t="shared" si="31"/>
        <v>1.7982429796377832</v>
      </c>
      <c r="P429" s="223">
        <f>IFERROR(INDEX('Both teabags AfterWet'!$C$3:$C$840,MATCH(K429,'Both teabags AfterWet'!$A$3:$A$840,0)),"")</f>
        <v>1.476</v>
      </c>
      <c r="Q429" s="223">
        <f>IFERROR(IF(P429&gt;0,P429-(TBIcalc!$H$9),""),"")</f>
        <v>1.3253999999999999</v>
      </c>
      <c r="R429" s="223">
        <f>IFERROR(INDEX('Ashed teabags wet'!$K$2:$K$2000,MATCH(K429,'Ashed teabags wet'!$A$2:$A$2000,0)),"")</f>
        <v>8.5305719921103496</v>
      </c>
      <c r="S429" s="223">
        <f t="shared" si="32"/>
        <v>1.2123357988165693</v>
      </c>
      <c r="T429" s="224">
        <f>'WetLitterbags placem_collection'!E210</f>
        <v>42769</v>
      </c>
      <c r="U429" s="224">
        <f>IF('WetLitterbags placem_collection'!G210="","",'WetLitterbags placem_collection'!G210)</f>
        <v>42813</v>
      </c>
      <c r="V429" s="225">
        <f t="shared" si="30"/>
        <v>44</v>
      </c>
      <c r="W429" s="223">
        <f t="shared" si="33"/>
        <v>0.57780000000000009</v>
      </c>
      <c r="X429" s="223">
        <f t="shared" si="34"/>
        <v>0.58590718082121396</v>
      </c>
      <c r="Y429">
        <f>IFERROR(INDEX(Rainfall_Wet!$O$2:$O$217,MATCH(B429, Rainfall_Wet!$A$2:$A$217,0)),"")</f>
        <v>175.054685654</v>
      </c>
      <c r="Z429" s="228">
        <v>17.96</v>
      </c>
      <c r="AA429" s="228">
        <v>4.9199999999999982</v>
      </c>
      <c r="AB429" s="228">
        <v>77.12</v>
      </c>
      <c r="AC429" s="229" t="s">
        <v>2655</v>
      </c>
      <c r="AD429" s="228">
        <v>2.0220798422868409</v>
      </c>
      <c r="AE429">
        <f>IF('WetLitterbags placem_collection'!AB210="","",'WetLitterbags placem_collection'!AB210)</f>
        <v>7.9</v>
      </c>
      <c r="AF429">
        <f>IF('WetLitterbags placem_collection'!Z210="","",'WetLitterbags placem_collection'!Z210)</f>
        <v>7.9</v>
      </c>
      <c r="AG429" s="243" t="str">
        <f>IF('WetLitterbags placem_collection'!AA210="","",'WetLitterbags placem_collection'!AA210)</f>
        <v>O</v>
      </c>
      <c r="AH429">
        <f>IF('WetLitterbags placem_collection'!AC210="","",'WetLitterbags placem_collection'!AC210)</f>
        <v>1</v>
      </c>
      <c r="AI429" s="237">
        <f>AVERAGE('WetLitterbags placem_collection'!S210,'WetLitterbags placem_collection'!U210)</f>
        <v>22.200000000000003</v>
      </c>
      <c r="AJ429">
        <f>AVERAGE('WetLitterbags placem_collection'!R210,'WetLitterbags placem_collection'!T210)</f>
        <v>27.45</v>
      </c>
      <c r="AK429">
        <v>-2.4395990190000001</v>
      </c>
      <c r="AL429">
        <v>34.838418959999998</v>
      </c>
      <c r="AM429" t="str">
        <f>IF(ISNUMBER(SEARCH("C", 'WetLitterbags placem_collection'!$W210)),"YES","NO")</f>
        <v>NO</v>
      </c>
      <c r="AN429" t="str">
        <f>IF(ISNUMBER(SEARCH("H", 'WetLitterbags placem_collection'!$W210)),"YES","NO")</f>
        <v>NO</v>
      </c>
      <c r="AO429" t="str">
        <f>IF(ISNUMBER(SEARCH("R", 'WetLitterbags placem_collection'!$W210)),"YES","NO")</f>
        <v>YES</v>
      </c>
    </row>
    <row r="430" spans="1:41" ht="15" customHeight="1">
      <c r="A430" s="255" t="s">
        <v>2454</v>
      </c>
      <c r="B430" s="260">
        <f>'Dry_Litterbag Placem_Collection'!A211</f>
        <v>209</v>
      </c>
      <c r="C430" s="260" t="str">
        <f>'Dry_Litterbag Placem_Collection'!B211</f>
        <v xml:space="preserve">Mwantimba
</v>
      </c>
      <c r="D430" s="260" t="s">
        <v>2454</v>
      </c>
      <c r="E430" s="260" t="s">
        <v>2512</v>
      </c>
      <c r="F430" s="260">
        <v>2</v>
      </c>
      <c r="G430" s="260" t="s">
        <v>3820</v>
      </c>
      <c r="H430" s="261" t="str">
        <f>'Dry_Litterbag Placem_Collection'!C211</f>
        <v>Wet_P1_CG2</v>
      </c>
      <c r="I430" s="262" t="s">
        <v>2525</v>
      </c>
      <c r="J430" s="269" t="s">
        <v>298</v>
      </c>
      <c r="K430" s="221" t="str">
        <f>'WetLitterbags placem_collection'!M211</f>
        <v>R271</v>
      </c>
      <c r="L430" s="223">
        <f>IFERROR(INDEX('Green_rooibos initial weight'!$C$5:$C$2000,MATCH(K430, 'Green_rooibos initial weight'!$A$5:$A$2000,0)),"")</f>
        <v>2.2829999999999999</v>
      </c>
      <c r="M430" s="223">
        <f>IFERROR(L430-(TBIcalc!$H$9+TBIcalc!$H$10),"")</f>
        <v>2.0331999999999999</v>
      </c>
      <c r="N430" s="385">
        <f>AVERAGE(Ashed_controlls!$K$2:$K$11)</f>
        <v>5.5147656768714146</v>
      </c>
      <c r="O430" s="223">
        <f t="shared" si="31"/>
        <v>1.9210737842578502</v>
      </c>
      <c r="P430" s="223">
        <f>IFERROR(INDEX('Both teabags AfterWet'!$C$3:$C$840,MATCH(K430,'Both teabags AfterWet'!$A$3:$A$840,0)),"")</f>
        <v>1.754</v>
      </c>
      <c r="Q430" s="223">
        <f>IFERROR(IF(P430&gt;0,P430-(TBIcalc!$H$9),""),"")</f>
        <v>1.6033999999999999</v>
      </c>
      <c r="R430" s="223">
        <f>IFERROR(INDEX('Ashed teabags wet'!$K$2:$K$2000,MATCH(K430,'Ashed teabags wet'!$A$2:$A$2000,0)),"")</f>
        <v>9.0597453476988878</v>
      </c>
      <c r="S430" s="223">
        <f t="shared" si="32"/>
        <v>1.4581360430949959</v>
      </c>
      <c r="T430" s="224">
        <f>'WetLitterbags placem_collection'!E211</f>
        <v>42769</v>
      </c>
      <c r="U430" s="224">
        <f>IF('WetLitterbags placem_collection'!G211="","",'WetLitterbags placem_collection'!G211)</f>
        <v>42814</v>
      </c>
      <c r="V430" s="225">
        <f t="shared" si="30"/>
        <v>45</v>
      </c>
      <c r="W430" s="223">
        <f t="shared" si="33"/>
        <v>0.42979999999999996</v>
      </c>
      <c r="X430" s="223">
        <f t="shared" si="34"/>
        <v>0.46293774116285435</v>
      </c>
      <c r="Y430">
        <f>IFERROR(INDEX(Rainfall_Wet!$O$2:$O$217,MATCH(B430, Rainfall_Wet!$A$2:$A$217,0)),"")</f>
        <v>175.377105089</v>
      </c>
      <c r="Z430" s="228">
        <v>31.214836424255054</v>
      </c>
      <c r="AA430" s="228">
        <v>11.377370285476141</v>
      </c>
      <c r="AB430" s="228">
        <v>57.407793290268799</v>
      </c>
      <c r="AC430" s="229" t="s">
        <v>2654</v>
      </c>
      <c r="AD430" s="228">
        <v>1.7337604731394776</v>
      </c>
      <c r="AE430">
        <f>IF('WetLitterbags placem_collection'!AB211="","",'WetLitterbags placem_collection'!AB211)</f>
        <v>5.13</v>
      </c>
      <c r="AF430">
        <f>IF('WetLitterbags placem_collection'!Z211="","",'WetLitterbags placem_collection'!Z211)</f>
        <v>5.13</v>
      </c>
      <c r="AG430" s="243" t="str">
        <f>IF('WetLitterbags placem_collection'!AA211="","",'WetLitterbags placem_collection'!AA211)</f>
        <v>O</v>
      </c>
      <c r="AH430">
        <f>IF('WetLitterbags placem_collection'!AC211="","",'WetLitterbags placem_collection'!AC211)</f>
        <v>1</v>
      </c>
      <c r="AI430" s="237">
        <f>AVERAGE('WetLitterbags placem_collection'!S211,'WetLitterbags placem_collection'!U211)</f>
        <v>24.5</v>
      </c>
      <c r="AJ430">
        <f>AVERAGE('WetLitterbags placem_collection'!R211,'WetLitterbags placem_collection'!T211)</f>
        <v>24.4</v>
      </c>
      <c r="AK430">
        <v>-2.4396450349999999</v>
      </c>
      <c r="AL430">
        <v>34.83836599</v>
      </c>
      <c r="AM430" t="str">
        <f>IF(ISNUMBER(SEARCH("C", 'WetLitterbags placem_collection'!$W211)),"YES","NO")</f>
        <v>NO</v>
      </c>
      <c r="AN430" t="str">
        <f>IF(ISNUMBER(SEARCH("H", 'WetLitterbags placem_collection'!$W211)),"YES","NO")</f>
        <v>NO</v>
      </c>
      <c r="AO430" t="str">
        <f>IF(ISNUMBER(SEARCH("R", 'WetLitterbags placem_collection'!$W211)),"YES","NO")</f>
        <v>YES</v>
      </c>
    </row>
    <row r="431" spans="1:41" ht="15" customHeight="1">
      <c r="A431" s="255" t="s">
        <v>2454</v>
      </c>
      <c r="B431" s="260">
        <f>'Dry_Litterbag Placem_Collection'!A212</f>
        <v>210</v>
      </c>
      <c r="C431" s="260" t="str">
        <f>'Dry_Litterbag Placem_Collection'!B212</f>
        <v xml:space="preserve">Mwantimba
</v>
      </c>
      <c r="D431" s="260" t="s">
        <v>2454</v>
      </c>
      <c r="E431" s="260" t="s">
        <v>2512</v>
      </c>
      <c r="F431" s="260">
        <v>4</v>
      </c>
      <c r="G431" s="260" t="s">
        <v>3822</v>
      </c>
      <c r="H431" s="261" t="str">
        <f>'Dry_Litterbag Placem_Collection'!C212</f>
        <v>Wet_P2_CG4</v>
      </c>
      <c r="I431" s="262" t="s">
        <v>2525</v>
      </c>
      <c r="J431" s="269" t="s">
        <v>298</v>
      </c>
      <c r="K431" s="221" t="str">
        <f>'WetLitterbags placem_collection'!M212</f>
        <v>R340</v>
      </c>
      <c r="L431" s="223">
        <f>IFERROR(INDEX('Green_rooibos initial weight'!$C$5:$C$2000,MATCH(K431, 'Green_rooibos initial weight'!$A$5:$A$2000,0)),"")</f>
        <v>2.2130000000000001</v>
      </c>
      <c r="M431" s="223">
        <f>IFERROR(L431-(TBIcalc!$H$9+TBIcalc!$H$10),"")</f>
        <v>1.9632000000000001</v>
      </c>
      <c r="N431" s="385">
        <f>AVERAGE(Ashed_controlls!$K$2:$K$11)</f>
        <v>5.5147656768714146</v>
      </c>
      <c r="O431" s="223">
        <f t="shared" si="31"/>
        <v>1.8549341202316605</v>
      </c>
      <c r="P431" s="223">
        <f>IFERROR(INDEX('Both teabags AfterWet'!$C$3:$C$840,MATCH(K431,'Both teabags AfterWet'!$A$3:$A$840,0)),"")</f>
        <v>1.6197999999999999</v>
      </c>
      <c r="Q431" s="223">
        <f>IFERROR(IF(P431&gt;0,P431-(TBIcalc!$H$9),""),"")</f>
        <v>1.4691999999999998</v>
      </c>
      <c r="R431" s="223">
        <f>IFERROR(INDEX('Ashed teabags wet'!$K$2:$K$2000,MATCH(K431,'Ashed teabags wet'!$A$2:$A$2000,0)),"")</f>
        <v>10.541586073501591</v>
      </c>
      <c r="S431" s="223">
        <f t="shared" si="32"/>
        <v>1.3143230174081144</v>
      </c>
      <c r="T431" s="224">
        <f>'WetLitterbags placem_collection'!E212</f>
        <v>42769</v>
      </c>
      <c r="U431" s="224">
        <f>IF('WetLitterbags placem_collection'!G212="","",'WetLitterbags placem_collection'!G212)</f>
        <v>42813</v>
      </c>
      <c r="V431" s="225">
        <f t="shared" si="30"/>
        <v>44</v>
      </c>
      <c r="W431" s="223">
        <f t="shared" si="33"/>
        <v>0.49400000000000022</v>
      </c>
      <c r="X431" s="223">
        <f t="shared" si="34"/>
        <v>0.54061110282354607</v>
      </c>
      <c r="Y431">
        <f>IFERROR(INDEX(Rainfall_Wet!$O$2:$O$217,MATCH(B431, Rainfall_Wet!$A$2:$A$217,0)),"")</f>
        <v>175.054685654</v>
      </c>
      <c r="Z431" s="228">
        <v>33.96</v>
      </c>
      <c r="AA431" s="228">
        <v>8.9200000000000017</v>
      </c>
      <c r="AB431" s="228">
        <v>57.12</v>
      </c>
      <c r="AC431" s="229" t="s">
        <v>2654</v>
      </c>
      <c r="AD431" s="228">
        <v>2.072055199605717</v>
      </c>
      <c r="AE431">
        <f>IF('WetLitterbags placem_collection'!AB212="","",'WetLitterbags placem_collection'!AB212)</f>
        <v>15.2</v>
      </c>
      <c r="AF431">
        <f>IF('WetLitterbags placem_collection'!Z212="","",'WetLitterbags placem_collection'!Z212)</f>
        <v>12.2</v>
      </c>
      <c r="AG431" s="243" t="str">
        <f>IF('WetLitterbags placem_collection'!AA212="","",'WetLitterbags placem_collection'!AA212)</f>
        <v>O</v>
      </c>
      <c r="AH431">
        <f>IF('WetLitterbags placem_collection'!AC212="","",'WetLitterbags placem_collection'!AC212)</f>
        <v>1</v>
      </c>
      <c r="AI431" s="237">
        <f>AVERAGE('WetLitterbags placem_collection'!S212,'WetLitterbags placem_collection'!U212)</f>
        <v>22.4</v>
      </c>
      <c r="AJ431">
        <f>AVERAGE('WetLitterbags placem_collection'!R212,'WetLitterbags placem_collection'!T212)</f>
        <v>28.400000000000002</v>
      </c>
      <c r="AK431">
        <v>-2.4396949910000001</v>
      </c>
      <c r="AL431">
        <v>34.838574029999997</v>
      </c>
      <c r="AM431" t="str">
        <f>IF(ISNUMBER(SEARCH("C", 'WetLitterbags placem_collection'!$W212)),"YES","NO")</f>
        <v>NO</v>
      </c>
      <c r="AN431" t="str">
        <f>IF(ISNUMBER(SEARCH("H", 'WetLitterbags placem_collection'!$W212)),"YES","NO")</f>
        <v>NO</v>
      </c>
      <c r="AO431" t="str">
        <f>IF(ISNUMBER(SEARCH("R", 'WetLitterbags placem_collection'!$W212)),"YES","NO")</f>
        <v>YES</v>
      </c>
    </row>
    <row r="432" spans="1:41" ht="15" customHeight="1">
      <c r="A432" s="255" t="s">
        <v>2454</v>
      </c>
      <c r="B432" s="260">
        <f>'Dry_Litterbag Placem_Collection'!A213</f>
        <v>211</v>
      </c>
      <c r="C432" s="260" t="str">
        <f>'Dry_Litterbag Placem_Collection'!B213</f>
        <v xml:space="preserve">Mwantimba
</v>
      </c>
      <c r="D432" s="260" t="s">
        <v>2454</v>
      </c>
      <c r="E432" s="260" t="s">
        <v>2512</v>
      </c>
      <c r="F432" s="260">
        <v>1</v>
      </c>
      <c r="G432" s="260" t="s">
        <v>3823</v>
      </c>
      <c r="H432" s="261" t="str">
        <f>'Dry_Litterbag Placem_Collection'!C213</f>
        <v>Wet_P3_CG1</v>
      </c>
      <c r="I432" s="262" t="s">
        <v>2525</v>
      </c>
      <c r="J432" s="269" t="s">
        <v>298</v>
      </c>
      <c r="K432" s="221" t="str">
        <f>'WetLitterbags placem_collection'!M213</f>
        <v>R381</v>
      </c>
      <c r="L432" s="223">
        <f>IFERROR(INDEX('Green_rooibos initial weight'!$C$5:$C$2000,MATCH(K432, 'Green_rooibos initial weight'!$A$5:$A$2000,0)),"")</f>
        <v>2.2349999999999999</v>
      </c>
      <c r="M432" s="223">
        <f>IFERROR(L432-(TBIcalc!$H$9+TBIcalc!$H$10),"")</f>
        <v>1.9851999999999999</v>
      </c>
      <c r="N432" s="385">
        <f>AVERAGE(Ashed_controlls!$K$2:$K$11)</f>
        <v>5.5147656768714146</v>
      </c>
      <c r="O432" s="223">
        <f t="shared" si="31"/>
        <v>1.8757208717827485</v>
      </c>
      <c r="P432" s="223">
        <f>IFERROR(INDEX('Both teabags AfterWet'!$C$3:$C$840,MATCH(K432,'Both teabags AfterWet'!$A$3:$A$840,0)),"")</f>
        <v>1.528</v>
      </c>
      <c r="Q432" s="223">
        <f>IFERROR(IF(P432&gt;0,P432-(TBIcalc!$H$9),""),"")</f>
        <v>1.3774</v>
      </c>
      <c r="R432" s="223">
        <f>IFERROR(INDEX('Ashed teabags wet'!$K$2:$K$2000,MATCH(K432,'Ashed teabags wet'!$A$2:$A$2000,0)),"")</f>
        <v>10.112911143839174</v>
      </c>
      <c r="S432" s="223">
        <f t="shared" si="32"/>
        <v>1.2381047619047592</v>
      </c>
      <c r="T432" s="224">
        <f>'WetLitterbags placem_collection'!E213</f>
        <v>42769</v>
      </c>
      <c r="U432" s="224">
        <f>IF('WetLitterbags placem_collection'!G213="","",'WetLitterbags placem_collection'!G213)</f>
        <v>42814</v>
      </c>
      <c r="V432" s="225">
        <f t="shared" si="30"/>
        <v>45</v>
      </c>
      <c r="W432" s="223">
        <f t="shared" si="33"/>
        <v>0.6077999999999999</v>
      </c>
      <c r="X432" s="223">
        <f t="shared" si="34"/>
        <v>0.63761610987798933</v>
      </c>
      <c r="Y432">
        <f>IFERROR(INDEX(Rainfall_Wet!$O$2:$O$217,MATCH(B432, Rainfall_Wet!$A$2:$A$217,0)),"")</f>
        <v>175.377105089</v>
      </c>
      <c r="Z432" s="228">
        <v>39.96</v>
      </c>
      <c r="AA432" s="228">
        <v>12.920000000000002</v>
      </c>
      <c r="AB432" s="228">
        <v>47.12</v>
      </c>
      <c r="AC432" s="229" t="s">
        <v>2658</v>
      </c>
      <c r="AD432" s="228">
        <v>1.6549531789058647</v>
      </c>
      <c r="AE432">
        <f>IF('WetLitterbags placem_collection'!AB213="","",'WetLitterbags placem_collection'!AB213)</f>
        <v>13.8</v>
      </c>
      <c r="AF432">
        <f>IF('WetLitterbags placem_collection'!Z213="","",'WetLitterbags placem_collection'!Z213)</f>
        <v>17.399999999999999</v>
      </c>
      <c r="AG432" s="243" t="str">
        <f>IF('WetLitterbags placem_collection'!AA213="","",'WetLitterbags placem_collection'!AA213)</f>
        <v>O</v>
      </c>
      <c r="AH432">
        <f>IF('WetLitterbags placem_collection'!AC213="","",'WetLitterbags placem_collection'!AC213)</f>
        <v>1</v>
      </c>
      <c r="AI432" s="237">
        <f>AVERAGE('WetLitterbags placem_collection'!S213,'WetLitterbags placem_collection'!U213)</f>
        <v>16.850000000000001</v>
      </c>
      <c r="AJ432">
        <f>AVERAGE('WetLitterbags placem_collection'!R213,'WetLitterbags placem_collection'!T213)</f>
        <v>23.95</v>
      </c>
      <c r="AK432">
        <v>-2.439403972</v>
      </c>
      <c r="AL432">
        <v>34.838404959999998</v>
      </c>
      <c r="AM432" t="str">
        <f>IF(ISNUMBER(SEARCH("C", 'WetLitterbags placem_collection'!$W213)),"YES","NO")</f>
        <v>NO</v>
      </c>
      <c r="AN432" t="str">
        <f>IF(ISNUMBER(SEARCH("H", 'WetLitterbags placem_collection'!$W213)),"YES","NO")</f>
        <v>NO</v>
      </c>
      <c r="AO432" t="str">
        <f>IF(ISNUMBER(SEARCH("R", 'WetLitterbags placem_collection'!$W213)),"YES","NO")</f>
        <v>YES</v>
      </c>
    </row>
    <row r="433" spans="1:41" ht="15" customHeight="1">
      <c r="A433" s="255" t="s">
        <v>2454</v>
      </c>
      <c r="B433" s="260">
        <f>'Dry_Litterbag Placem_Collection'!A214</f>
        <v>215</v>
      </c>
      <c r="C433" s="260" t="str">
        <f>'Dry_Litterbag Placem_Collection'!B214</f>
        <v xml:space="preserve">Mwantimba
</v>
      </c>
      <c r="D433" s="260" t="s">
        <v>2454</v>
      </c>
      <c r="E433" s="260" t="s">
        <v>2512</v>
      </c>
      <c r="F433" s="260">
        <v>3</v>
      </c>
      <c r="G433" s="260" t="s">
        <v>3828</v>
      </c>
      <c r="H433" s="261" t="str">
        <f>'Dry_Litterbag Placem_Collection'!C214</f>
        <v>Wet_W3_CG1</v>
      </c>
      <c r="I433" s="262" t="s">
        <v>2525</v>
      </c>
      <c r="J433" s="269" t="s">
        <v>298</v>
      </c>
      <c r="K433" s="221" t="str">
        <f>'WetLitterbags placem_collection'!M214</f>
        <v>R93</v>
      </c>
      <c r="L433" s="223">
        <f>IFERROR(INDEX('Green_rooibos initial weight'!$C$5:$C$2000,MATCH(K433, 'Green_rooibos initial weight'!$A$5:$A$2000,0)),"")</f>
        <v>2.1709999999999998</v>
      </c>
      <c r="M433" s="223">
        <f>IFERROR(L433-(TBIcalc!$H$9+TBIcalc!$H$10),"")</f>
        <v>1.9211999999999998</v>
      </c>
      <c r="N433" s="385">
        <f>AVERAGE(Ashed_controlls!$K$2:$K$11)</f>
        <v>5.5147656768714146</v>
      </c>
      <c r="O433" s="223">
        <f t="shared" si="31"/>
        <v>1.8152503218159461</v>
      </c>
      <c r="P433" s="223">
        <f>IFERROR(INDEX('Both teabags AfterWet'!$C$3:$C$840,MATCH(K433,'Both teabags AfterWet'!$A$3:$A$840,0)),"")</f>
        <v>1.5831999999999999</v>
      </c>
      <c r="Q433" s="223">
        <f>IFERROR(IF(P433&gt;0,P433-(TBIcalc!$H$9),""),"")</f>
        <v>1.4325999999999999</v>
      </c>
      <c r="R433" s="223">
        <f>IFERROR(INDEX('Ashed teabags wet'!$K$2:$K$2000,MATCH(K433,'Ashed teabags wet'!$A$2:$A$2000,0)),"")</f>
        <v>7.2365225837790437</v>
      </c>
      <c r="S433" s="223">
        <f t="shared" si="32"/>
        <v>1.3289295774647814</v>
      </c>
      <c r="T433" s="224">
        <f>'WetLitterbags placem_collection'!E214</f>
        <v>42769</v>
      </c>
      <c r="U433" s="224">
        <f>IF('WetLitterbags placem_collection'!G214="","",'WetLitterbags placem_collection'!G214)</f>
        <v>42813</v>
      </c>
      <c r="V433" s="225">
        <f t="shared" si="30"/>
        <v>44</v>
      </c>
      <c r="W433" s="223">
        <f t="shared" si="33"/>
        <v>0.48859999999999992</v>
      </c>
      <c r="X433" s="223">
        <f t="shared" si="34"/>
        <v>0.48632074435116479</v>
      </c>
      <c r="Y433">
        <f>IFERROR(INDEX(Rainfall_Wet!$O$2:$O$217,MATCH(B433, Rainfall_Wet!$A$2:$A$217,0)),"")</f>
        <v>175.377105089</v>
      </c>
      <c r="Z433" s="228">
        <v>27.96</v>
      </c>
      <c r="AA433" s="228">
        <v>4.9200000000000017</v>
      </c>
      <c r="AB433" s="228">
        <v>67.12</v>
      </c>
      <c r="AC433" s="229" t="s">
        <v>2654</v>
      </c>
      <c r="AD433" s="228">
        <v>1.0437161163134547</v>
      </c>
      <c r="AE433">
        <f>IF('WetLitterbags placem_collection'!AB214="","",'WetLitterbags placem_collection'!AB214)</f>
        <v>7.9</v>
      </c>
      <c r="AF433">
        <f>IF('WetLitterbags placem_collection'!Z214="","",'WetLitterbags placem_collection'!Z214)</f>
        <v>7.9</v>
      </c>
      <c r="AG433" s="243" t="str">
        <f>IF('WetLitterbags placem_collection'!AA214="","",'WetLitterbags placem_collection'!AA214)</f>
        <v>O</v>
      </c>
      <c r="AH433">
        <f>IF('WetLitterbags placem_collection'!AC214="","",'WetLitterbags placem_collection'!AC214)</f>
        <v>1</v>
      </c>
      <c r="AI433" s="237">
        <f>AVERAGE('WetLitterbags placem_collection'!S214,'WetLitterbags placem_collection'!U214)</f>
        <v>22.45</v>
      </c>
      <c r="AJ433">
        <f>AVERAGE('WetLitterbags placem_collection'!R214,'WetLitterbags placem_collection'!T214)</f>
        <v>27.450000000000003</v>
      </c>
      <c r="AK433">
        <v>-2.4395990190000001</v>
      </c>
      <c r="AL433">
        <v>34.838418959999998</v>
      </c>
      <c r="AM433" t="str">
        <f>IF(ISNUMBER(SEARCH("C", 'WetLitterbags placem_collection'!$W214)),"YES","NO")</f>
        <v>YES</v>
      </c>
      <c r="AN433" t="str">
        <f>IF(ISNUMBER(SEARCH("H", 'WetLitterbags placem_collection'!$W214)),"YES","NO")</f>
        <v>NO</v>
      </c>
      <c r="AO433" t="str">
        <f>IF(ISNUMBER(SEARCH("R", 'WetLitterbags placem_collection'!$W214)),"YES","NO")</f>
        <v>YES</v>
      </c>
    </row>
    <row r="434" spans="1:41" ht="15" customHeight="1">
      <c r="A434" s="255" t="s">
        <v>2454</v>
      </c>
      <c r="B434" s="260">
        <f>'Dry_Litterbag Placem_Collection'!A215</f>
        <v>212</v>
      </c>
      <c r="C434" s="260" t="str">
        <f>'Dry_Litterbag Placem_Collection'!B215</f>
        <v xml:space="preserve">Mwantimba
</v>
      </c>
      <c r="D434" s="260" t="s">
        <v>2454</v>
      </c>
      <c r="E434" s="260" t="s">
        <v>2512</v>
      </c>
      <c r="F434" s="260">
        <v>4</v>
      </c>
      <c r="G434" s="260" t="s">
        <v>3824</v>
      </c>
      <c r="H434" s="261" t="str">
        <f>'Dry_Litterbag Placem_Collection'!C215</f>
        <v>Wet_P4_CG3</v>
      </c>
      <c r="I434" s="262" t="s">
        <v>2525</v>
      </c>
      <c r="J434" s="269" t="s">
        <v>298</v>
      </c>
      <c r="K434" s="221" t="str">
        <f>'WetLitterbags placem_collection'!M215</f>
        <v>R88</v>
      </c>
      <c r="L434" s="223">
        <f>IFERROR(INDEX('Green_rooibos initial weight'!$C$5:$C$2000,MATCH(K434, 'Green_rooibos initial weight'!$A$5:$A$2000,0)),"")</f>
        <v>2.1520000000000001</v>
      </c>
      <c r="M434" s="223">
        <f>IFERROR(L434-(TBIcalc!$H$9+TBIcalc!$H$10),"")</f>
        <v>1.9022000000000001</v>
      </c>
      <c r="N434" s="385">
        <f>AVERAGE(Ashed_controlls!$K$2:$K$11)</f>
        <v>5.5147656768714146</v>
      </c>
      <c r="O434" s="223">
        <f t="shared" si="31"/>
        <v>1.7972981272945521</v>
      </c>
      <c r="P434" s="223">
        <f>IFERROR(INDEX('Both teabags AfterWet'!$C$3:$C$840,MATCH(K434,'Both teabags AfterWet'!$A$3:$A$840,0)),"")</f>
        <v>1.542</v>
      </c>
      <c r="Q434" s="223">
        <f>IFERROR(IF(P434&gt;0,P434-(TBIcalc!$H$9),""),"")</f>
        <v>1.3914</v>
      </c>
      <c r="R434" s="223">
        <f>IFERROR(INDEX('Ashed teabags wet'!$K$2:$K$2000,MATCH(K434,'Ashed teabags wet'!$A$2:$A$2000,0)),"")</f>
        <v>3.5402521823463347</v>
      </c>
      <c r="S434" s="223">
        <f t="shared" si="32"/>
        <v>1.3421409311348331</v>
      </c>
      <c r="T434" s="224">
        <f>'WetLitterbags placem_collection'!E215</f>
        <v>42769</v>
      </c>
      <c r="U434" s="224">
        <f>IF('WetLitterbags placem_collection'!G215="","",'WetLitterbags placem_collection'!G215)</f>
        <v>42813</v>
      </c>
      <c r="V434" s="225">
        <f t="shared" si="30"/>
        <v>44</v>
      </c>
      <c r="W434" s="223">
        <f t="shared" si="33"/>
        <v>0.51080000000000014</v>
      </c>
      <c r="X434" s="223">
        <f t="shared" si="34"/>
        <v>0.45515719615971895</v>
      </c>
      <c r="Y434">
        <f>IFERROR(INDEX(Rainfall_Wet!$O$2:$O$217,MATCH(B434, Rainfall_Wet!$A$2:$A$217,0)),"")</f>
        <v>175.054685654</v>
      </c>
      <c r="Z434" s="228">
        <v>21.96</v>
      </c>
      <c r="AA434" s="228">
        <v>4.9199999999999982</v>
      </c>
      <c r="AB434" s="228">
        <v>73.12</v>
      </c>
      <c r="AC434" s="229" t="s">
        <v>2654</v>
      </c>
      <c r="AD434" s="228">
        <v>1.2416954164613114</v>
      </c>
      <c r="AE434">
        <f>IF('WetLitterbags placem_collection'!AB215="","",'WetLitterbags placem_collection'!AB215)</f>
        <v>15.2</v>
      </c>
      <c r="AF434">
        <f>IF('WetLitterbags placem_collection'!Z215="","",'WetLitterbags placem_collection'!Z215)</f>
        <v>12.2</v>
      </c>
      <c r="AG434" s="243" t="str">
        <f>IF('WetLitterbags placem_collection'!AA215="","",'WetLitterbags placem_collection'!AA215)</f>
        <v>O</v>
      </c>
      <c r="AH434">
        <f>IF('WetLitterbags placem_collection'!AC215="","",'WetLitterbags placem_collection'!AC215)</f>
        <v>1</v>
      </c>
      <c r="AI434" s="237">
        <f>AVERAGE('WetLitterbags placem_collection'!S215,'WetLitterbags placem_collection'!U215)</f>
        <v>19.75</v>
      </c>
      <c r="AJ434">
        <f>AVERAGE('WetLitterbags placem_collection'!R215,'WetLitterbags placem_collection'!T215)</f>
        <v>28.15</v>
      </c>
      <c r="AK434">
        <v>-2.4396949910000001</v>
      </c>
      <c r="AL434">
        <v>34.838574029999997</v>
      </c>
      <c r="AM434" t="str">
        <f>IF(ISNUMBER(SEARCH("C", 'WetLitterbags placem_collection'!$W215)),"YES","NO")</f>
        <v>NO</v>
      </c>
      <c r="AN434" t="str">
        <f>IF(ISNUMBER(SEARCH("H", 'WetLitterbags placem_collection'!$W215)),"YES","NO")</f>
        <v>NO</v>
      </c>
      <c r="AO434" t="str">
        <f>IF(ISNUMBER(SEARCH("R", 'WetLitterbags placem_collection'!$W215)),"YES","NO")</f>
        <v>YES</v>
      </c>
    </row>
    <row r="435" spans="1:41" ht="15" customHeight="1">
      <c r="A435" s="255" t="s">
        <v>2454</v>
      </c>
      <c r="B435" s="260">
        <f>'Dry_Litterbag Placem_Collection'!A216</f>
        <v>213</v>
      </c>
      <c r="C435" s="260" t="str">
        <f>'Dry_Litterbag Placem_Collection'!B216</f>
        <v>Handajega</v>
      </c>
      <c r="D435" s="260" t="s">
        <v>2454</v>
      </c>
      <c r="E435" s="260" t="s">
        <v>2512</v>
      </c>
      <c r="F435" s="260">
        <v>3</v>
      </c>
      <c r="G435" s="260" t="s">
        <v>3825</v>
      </c>
      <c r="H435" s="261" t="str">
        <f>'Dry_Litterbag Placem_Collection'!C216</f>
        <v>Wet_W1_CG4</v>
      </c>
      <c r="I435" s="262" t="s">
        <v>2525</v>
      </c>
      <c r="J435" s="269" t="s">
        <v>298</v>
      </c>
      <c r="K435" s="221" t="str">
        <f>'WetLitterbags placem_collection'!M216</f>
        <v>R383</v>
      </c>
      <c r="L435" s="223">
        <f>IFERROR(INDEX('Green_rooibos initial weight'!$C$5:$C$2000,MATCH(K435, 'Green_rooibos initial weight'!$A$5:$A$2000,0)),"")</f>
        <v>2.234</v>
      </c>
      <c r="M435" s="223">
        <f>IFERROR(L435-(TBIcalc!$H$9+TBIcalc!$H$10),"")</f>
        <v>1.9842</v>
      </c>
      <c r="N435" s="385">
        <f>AVERAGE(Ashed_controlls!$K$2:$K$11)</f>
        <v>5.5147656768714146</v>
      </c>
      <c r="O435" s="223">
        <f t="shared" si="31"/>
        <v>1.8747760194395173</v>
      </c>
      <c r="P435" s="223">
        <f>IFERROR(INDEX('Both teabags AfterWet'!$C$3:$C$840,MATCH(K435,'Both teabags AfterWet'!$A$3:$A$840,0)),"")</f>
        <v>1.587</v>
      </c>
      <c r="Q435" s="223">
        <f>IFERROR(IF(P435&gt;0,P435-(TBIcalc!$H$9),""),"")</f>
        <v>1.4363999999999999</v>
      </c>
      <c r="R435" s="223">
        <f>IFERROR(INDEX('Ashed teabags wet'!$K$2:$K$2000,MATCH(K435,'Ashed teabags wet'!$A$2:$A$2000,0)),"")</f>
        <v>4.7142857142857366</v>
      </c>
      <c r="S435" s="223">
        <f t="shared" si="32"/>
        <v>1.3686839999999996</v>
      </c>
      <c r="T435" s="224">
        <f>'WetLitterbags placem_collection'!E216</f>
        <v>42769</v>
      </c>
      <c r="U435" s="224">
        <f>IF('WetLitterbags placem_collection'!G216="","",'WetLitterbags placem_collection'!G216)</f>
        <v>42813</v>
      </c>
      <c r="V435" s="225">
        <f t="shared" si="30"/>
        <v>44</v>
      </c>
      <c r="W435" s="223">
        <f t="shared" si="33"/>
        <v>0.54780000000000006</v>
      </c>
      <c r="X435" s="223">
        <f t="shared" si="34"/>
        <v>0.50609201943951776</v>
      </c>
      <c r="Y435">
        <f>IFERROR(INDEX(Rainfall_Wet!$O$2:$O$217,MATCH(B435, Rainfall_Wet!$A$2:$A$217,0)),"")</f>
        <v>175.054685654</v>
      </c>
      <c r="Z435" s="228">
        <v>23.96</v>
      </c>
      <c r="AA435" s="228">
        <v>4.9199999999999982</v>
      </c>
      <c r="AB435" s="228">
        <v>71.12</v>
      </c>
      <c r="AC435" s="229" t="s">
        <v>2654</v>
      </c>
      <c r="AD435" s="228">
        <v>3.30913750616067</v>
      </c>
      <c r="AE435">
        <f>IF('WetLitterbags placem_collection'!AB216="","",'WetLitterbags placem_collection'!AB216)</f>
        <v>7.9</v>
      </c>
      <c r="AF435">
        <f>IF('WetLitterbags placem_collection'!Z216="","",'WetLitterbags placem_collection'!Z216)</f>
        <v>7.9</v>
      </c>
      <c r="AG435" s="243" t="str">
        <f>IF('WetLitterbags placem_collection'!AA216="","",'WetLitterbags placem_collection'!AA216)</f>
        <v>O</v>
      </c>
      <c r="AH435">
        <f>IF('WetLitterbags placem_collection'!AC216="","",'WetLitterbags placem_collection'!AC216)</f>
        <v>1</v>
      </c>
      <c r="AI435" s="237">
        <f>AVERAGE('WetLitterbags placem_collection'!S216,'WetLitterbags placem_collection'!U216)</f>
        <v>19.45</v>
      </c>
      <c r="AJ435">
        <f>AVERAGE('WetLitterbags placem_collection'!R216,'WetLitterbags placem_collection'!T216)</f>
        <v>29.200000000000003</v>
      </c>
      <c r="AK435">
        <v>-2.4396949910000001</v>
      </c>
      <c r="AL435">
        <v>34.838574029999997</v>
      </c>
      <c r="AM435" t="str">
        <f>IF(ISNUMBER(SEARCH("C", 'WetLitterbags placem_collection'!$W216)),"YES","NO")</f>
        <v>NO</v>
      </c>
      <c r="AN435" t="str">
        <f>IF(ISNUMBER(SEARCH("H", 'WetLitterbags placem_collection'!$W216)),"YES","NO")</f>
        <v>NO</v>
      </c>
      <c r="AO435" t="str">
        <f>IF(ISNUMBER(SEARCH("R", 'WetLitterbags placem_collection'!$W216)),"YES","NO")</f>
        <v>YES</v>
      </c>
    </row>
    <row r="436" spans="1:41" ht="15" customHeight="1">
      <c r="A436" s="255" t="s">
        <v>2454</v>
      </c>
      <c r="B436" s="260">
        <f>'Dry_Litterbag Placem_Collection'!A217</f>
        <v>214</v>
      </c>
      <c r="C436" s="260" t="str">
        <f>'Dry_Litterbag Placem_Collection'!B217</f>
        <v>Handajega</v>
      </c>
      <c r="D436" s="260" t="s">
        <v>2454</v>
      </c>
      <c r="E436" s="260" t="s">
        <v>2512</v>
      </c>
      <c r="F436" s="260">
        <v>1</v>
      </c>
      <c r="G436" s="260" t="s">
        <v>3827</v>
      </c>
      <c r="H436" s="261" t="str">
        <f>'Dry_Litterbag Placem_Collection'!C217</f>
        <v>Wet_W2_CG3</v>
      </c>
      <c r="I436" s="262" t="s">
        <v>2525</v>
      </c>
      <c r="J436" s="269" t="s">
        <v>298</v>
      </c>
      <c r="K436" s="221" t="str">
        <f>'WetLitterbags placem_collection'!M217</f>
        <v>R145</v>
      </c>
      <c r="L436" s="223">
        <f>IFERROR(INDEX('Green_rooibos initial weight'!$C$5:$C$2000,MATCH(K436, 'Green_rooibos initial weight'!$A$5:$A$2000,0)),"")</f>
        <v>2.2719999999999998</v>
      </c>
      <c r="M436" s="223">
        <f>IFERROR(L436-(TBIcalc!$H$9+TBIcalc!$H$10),"")</f>
        <v>2.0221999999999998</v>
      </c>
      <c r="N436" s="385">
        <f>AVERAGE(Ashed_controlls!$K$2:$K$11)</f>
        <v>5.5147656768714146</v>
      </c>
      <c r="O436" s="223">
        <f t="shared" si="31"/>
        <v>1.9106804084823061</v>
      </c>
      <c r="P436" s="223">
        <f>IFERROR(INDEX('Both teabags AfterWet'!$C$3:$C$840,MATCH(K436,'Both teabags AfterWet'!$A$3:$A$840,0)),"")</f>
        <v>1.5481</v>
      </c>
      <c r="Q436" s="223">
        <f>IFERROR(IF(P436&gt;0,P436-(TBIcalc!$H$9),""),"")</f>
        <v>1.3975</v>
      </c>
      <c r="R436" s="223">
        <f>IFERROR(INDEX('Ashed teabags wet'!$K$2:$K$2000,MATCH(K436,'Ashed teabags wet'!$A$2:$A$2000,0)),"")</f>
        <v>2.4271844660191637</v>
      </c>
      <c r="S436" s="223">
        <f t="shared" si="32"/>
        <v>1.3635800970873821</v>
      </c>
      <c r="T436" s="224">
        <f>'WetLitterbags placem_collection'!E217</f>
        <v>42769</v>
      </c>
      <c r="U436" s="224">
        <f>IF('WetLitterbags placem_collection'!G217="","",'WetLitterbags placem_collection'!G217)</f>
        <v>42814</v>
      </c>
      <c r="V436" s="225">
        <f t="shared" si="30"/>
        <v>45</v>
      </c>
      <c r="W436" s="223">
        <f t="shared" si="33"/>
        <v>0.62469999999999981</v>
      </c>
      <c r="X436" s="223">
        <f t="shared" si="34"/>
        <v>0.54710031139492399</v>
      </c>
      <c r="Y436">
        <f>IFERROR(INDEX(Rainfall_Wet!$O$2:$O$217,MATCH(B436, Rainfall_Wet!$A$2:$A$217,0)),"")</f>
        <v>175.054685654</v>
      </c>
      <c r="Z436" s="228">
        <v>25.96</v>
      </c>
      <c r="AA436" s="228">
        <v>8.9200000000000017</v>
      </c>
      <c r="AB436" s="228">
        <v>65.12</v>
      </c>
      <c r="AC436" s="229" t="s">
        <v>2654</v>
      </c>
      <c r="AD436" s="228">
        <v>1.614588467225234</v>
      </c>
      <c r="AE436">
        <f>IF('WetLitterbags placem_collection'!AB217="","",'WetLitterbags placem_collection'!AB217)</f>
        <v>13.8</v>
      </c>
      <c r="AF436">
        <f>IF('WetLitterbags placem_collection'!Z217="","",'WetLitterbags placem_collection'!Z217)</f>
        <v>17.399999999999999</v>
      </c>
      <c r="AG436" s="243" t="str">
        <f>IF('WetLitterbags placem_collection'!AA217="","",'WetLitterbags placem_collection'!AA217)</f>
        <v>O</v>
      </c>
      <c r="AH436">
        <f>IF('WetLitterbags placem_collection'!AC217="","",'WetLitterbags placem_collection'!AC217)</f>
        <v>1</v>
      </c>
      <c r="AI436" s="237">
        <f>AVERAGE('WetLitterbags placem_collection'!S217,'WetLitterbags placem_collection'!U217)</f>
        <v>20.3</v>
      </c>
      <c r="AJ436">
        <f>AVERAGE('WetLitterbags placem_collection'!R217,'WetLitterbags placem_collection'!T217)</f>
        <v>26.25</v>
      </c>
      <c r="AK436">
        <v>-2.439403972</v>
      </c>
      <c r="AL436">
        <v>34.838404959999998</v>
      </c>
      <c r="AM436" t="str">
        <f>IF(ISNUMBER(SEARCH("C", 'WetLitterbags placem_collection'!$W217)),"YES","NO")</f>
        <v>NO</v>
      </c>
      <c r="AN436" t="str">
        <f>IF(ISNUMBER(SEARCH("H", 'WetLitterbags placem_collection'!$W217)),"YES","NO")</f>
        <v>NO</v>
      </c>
      <c r="AO436" t="str">
        <f>IF(ISNUMBER(SEARCH("R", 'WetLitterbags placem_collection'!$W217)),"YES","NO")</f>
        <v>NO</v>
      </c>
    </row>
    <row r="437" spans="1:41" ht="15" customHeight="1">
      <c r="A437" s="255" t="s">
        <v>2454</v>
      </c>
      <c r="B437" s="260">
        <f>'Dry_Litterbag Placem_Collection'!A218</f>
        <v>216</v>
      </c>
      <c r="C437" s="260" t="str">
        <f>'Dry_Litterbag Placem_Collection'!B218</f>
        <v>Handajega</v>
      </c>
      <c r="D437" s="260" t="s">
        <v>2454</v>
      </c>
      <c r="E437" s="260" t="s">
        <v>2512</v>
      </c>
      <c r="F437" s="260">
        <v>2</v>
      </c>
      <c r="G437" s="260" t="s">
        <v>3829</v>
      </c>
      <c r="H437" s="261" t="str">
        <f>'Dry_Litterbag Placem_Collection'!C218</f>
        <v>Wet_W4_CG2</v>
      </c>
      <c r="I437" s="262" t="s">
        <v>2525</v>
      </c>
      <c r="J437" s="269" t="s">
        <v>298</v>
      </c>
      <c r="K437" s="221" t="str">
        <f>'WetLitterbags placem_collection'!M218</f>
        <v>R241</v>
      </c>
      <c r="L437" s="223">
        <f>IFERROR(INDEX('Green_rooibos initial weight'!$C$5:$C$2000,MATCH(K437, 'Green_rooibos initial weight'!$A$5:$A$2000,0)),"")</f>
        <v>2.1680000000000001</v>
      </c>
      <c r="M437" s="223">
        <f>IFERROR(L437-(TBIcalc!$H$9+TBIcalc!$H$10),"")</f>
        <v>1.9182000000000001</v>
      </c>
      <c r="N437" s="385">
        <f>AVERAGE(Ashed_controlls!$K$2:$K$11)</f>
        <v>5.5147656768714146</v>
      </c>
      <c r="O437" s="223">
        <f t="shared" si="31"/>
        <v>1.8124157647862527</v>
      </c>
      <c r="P437" s="223">
        <f>IFERROR(INDEX('Both teabags AfterWet'!$C$3:$C$840,MATCH(K437,'Both teabags AfterWet'!$A$3:$A$840,0)),"")</f>
        <v>1.5349999999999999</v>
      </c>
      <c r="Q437" s="223">
        <f>IFERROR(IF(P437&gt;0,P437-(TBIcalc!$H$9),""),"")</f>
        <v>1.3843999999999999</v>
      </c>
      <c r="R437" s="223">
        <f>IFERROR(INDEX('Ashed teabags wet'!$K$2:$K$2000,MATCH(K437,'Ashed teabags wet'!$A$2:$A$2000,0)),"")</f>
        <v>21.520236920039142</v>
      </c>
      <c r="S437" s="223">
        <f t="shared" si="32"/>
        <v>1.086473840078978</v>
      </c>
      <c r="T437" s="224">
        <f>'WetLitterbags placem_collection'!E218</f>
        <v>42769</v>
      </c>
      <c r="U437" s="224">
        <f>IF('WetLitterbags placem_collection'!G218="","",'WetLitterbags placem_collection'!G218)</f>
        <v>42814</v>
      </c>
      <c r="V437" s="225">
        <f t="shared" si="30"/>
        <v>45</v>
      </c>
      <c r="W437" s="223">
        <f t="shared" si="33"/>
        <v>0.53380000000000027</v>
      </c>
      <c r="X437" s="223">
        <f t="shared" si="34"/>
        <v>0.7259419247072747</v>
      </c>
      <c r="Y437">
        <f>IFERROR(INDEX(Rainfall_Wet!$O$2:$O$217,MATCH(B437, Rainfall_Wet!$A$2:$A$217,0)),"")</f>
        <v>175.377105089</v>
      </c>
      <c r="Z437" s="228">
        <v>25.96</v>
      </c>
      <c r="AA437" s="228">
        <v>8.9200000000000017</v>
      </c>
      <c r="AB437" s="228">
        <v>65.12</v>
      </c>
      <c r="AC437" s="229" t="s">
        <v>2654</v>
      </c>
      <c r="AD437" s="228">
        <v>1.6991621488417901</v>
      </c>
      <c r="AE437">
        <f>IF('WetLitterbags placem_collection'!AB218="","",'WetLitterbags placem_collection'!AB218)</f>
        <v>5.13</v>
      </c>
      <c r="AF437">
        <f>IF('WetLitterbags placem_collection'!Z218="","",'WetLitterbags placem_collection'!Z218)</f>
        <v>5.13</v>
      </c>
      <c r="AG437" s="243" t="str">
        <f>IF('WetLitterbags placem_collection'!AA218="","",'WetLitterbags placem_collection'!AA218)</f>
        <v>O</v>
      </c>
      <c r="AH437">
        <f>IF('WetLitterbags placem_collection'!AC218="","",'WetLitterbags placem_collection'!AC218)</f>
        <v>1</v>
      </c>
      <c r="AI437" s="237">
        <f>AVERAGE('WetLitterbags placem_collection'!S218,'WetLitterbags placem_collection'!U218)</f>
        <v>20.65</v>
      </c>
      <c r="AJ437">
        <f>AVERAGE('WetLitterbags placem_collection'!R218,'WetLitterbags placem_collection'!T218)</f>
        <v>25.05</v>
      </c>
      <c r="AK437">
        <v>-2.4396450349999999</v>
      </c>
      <c r="AL437">
        <v>34.83836599</v>
      </c>
      <c r="AM437" t="str">
        <f>IF(ISNUMBER(SEARCH("C", 'WetLitterbags placem_collection'!$W218)),"YES","NO")</f>
        <v>NO</v>
      </c>
      <c r="AN437" t="str">
        <f>IF(ISNUMBER(SEARCH("H", 'WetLitterbags placem_collection'!$W218)),"YES","NO")</f>
        <v>YES</v>
      </c>
      <c r="AO437" t="str">
        <f>IF(ISNUMBER(SEARCH("R", 'WetLitterbags placem_collection'!$W218)),"YES","NO")</f>
        <v>NO</v>
      </c>
    </row>
    <row r="438" spans="1:41" ht="15" customHeight="1">
      <c r="A438" s="255" t="s">
        <v>2454</v>
      </c>
      <c r="B438" s="260">
        <f>'Dry_Litterbag Placem_Collection'!A219</f>
        <v>217</v>
      </c>
      <c r="C438" s="260" t="str">
        <f>'Dry_Litterbag Placem_Collection'!B219</f>
        <v>Seronera</v>
      </c>
      <c r="D438" s="260" t="s">
        <v>2646</v>
      </c>
      <c r="E438" s="260" t="s">
        <v>2512</v>
      </c>
      <c r="F438" s="260">
        <v>1</v>
      </c>
      <c r="G438" s="260" t="s">
        <v>3885</v>
      </c>
      <c r="H438" s="261" t="str">
        <f>'Dry_Litterbag Placem_Collection'!C219</f>
        <v>Local1_CG1</v>
      </c>
      <c r="I438" s="262" t="s">
        <v>2525</v>
      </c>
      <c r="J438" s="269" t="s">
        <v>298</v>
      </c>
      <c r="K438" s="221" t="str">
        <f>'WetLitterbags placem_collection'!M219</f>
        <v>R302</v>
      </c>
      <c r="L438" s="223">
        <f>IFERROR(INDEX('Green_rooibos initial weight'!$C$5:$C$2000,MATCH(K438, 'Green_rooibos initial weight'!$A$5:$A$2000,0)),"")</f>
        <v>2.19</v>
      </c>
      <c r="M438" s="223">
        <f>IFERROR(L438-(TBIcalc!$H$9+TBIcalc!$H$10),"")</f>
        <v>1.9401999999999999</v>
      </c>
      <c r="N438" s="385">
        <f>AVERAGE(Ashed_controlls!$K$2:$K$11)</f>
        <v>5.5147656768714146</v>
      </c>
      <c r="O438" s="223">
        <f t="shared" si="31"/>
        <v>1.8332025163373407</v>
      </c>
      <c r="P438" s="223">
        <f>IFERROR(INDEX('Both teabags AfterWet'!$C$3:$C$840,MATCH(K438,'Both teabags AfterWet'!$A$3:$A$840,0)),"")</f>
        <v>1.38</v>
      </c>
      <c r="Q438" s="223">
        <f>IFERROR(IF(P438&gt;0,P438-(TBIcalc!$H$9),""),"")</f>
        <v>1.2293999999999998</v>
      </c>
      <c r="R438" s="223">
        <f>IFERROR(INDEX('Ashed teabags wet'!$K$2:$K$2000,MATCH(K438,'Ashed teabags wet'!$A$2:$A$2000,0)),"")</f>
        <v>5.5199605717097722</v>
      </c>
      <c r="S438" s="223">
        <f t="shared" si="32"/>
        <v>1.1615376047313999</v>
      </c>
      <c r="T438" s="224">
        <f>'WetLitterbags placem_collection'!E219</f>
        <v>42769</v>
      </c>
      <c r="U438" s="224">
        <f>IF('WetLitterbags placem_collection'!G219="","",'WetLitterbags placem_collection'!G219)</f>
        <v>42814</v>
      </c>
      <c r="V438" s="225">
        <f t="shared" si="30"/>
        <v>45</v>
      </c>
      <c r="W438" s="223">
        <f t="shared" si="33"/>
        <v>0.7108000000000001</v>
      </c>
      <c r="X438" s="223">
        <f t="shared" si="34"/>
        <v>0.67166491160594077</v>
      </c>
      <c r="Y438">
        <f>IFERROR(INDEX(Rainfall_Wet!$O$2:$O$217,MATCH(B438, Rainfall_Wet!$A$2:$A$217,0)),"")</f>
        <v>175.377105089</v>
      </c>
      <c r="Z438" s="228">
        <v>29.076539101497506</v>
      </c>
      <c r="AA438" s="228">
        <v>7.1963394342762079</v>
      </c>
      <c r="AB438" s="228">
        <v>63.727121464226286</v>
      </c>
      <c r="AC438" s="228" t="s">
        <v>2654</v>
      </c>
      <c r="AD438" s="228">
        <v>1.0994578610152781</v>
      </c>
      <c r="AE438">
        <f>IF('WetLitterbags placem_collection'!AB219="","",'WetLitterbags placem_collection'!AB219)</f>
        <v>13.8</v>
      </c>
      <c r="AF438">
        <f>IF('WetLitterbags placem_collection'!Z219="","",'WetLitterbags placem_collection'!Z219)</f>
        <v>17.399999999999999</v>
      </c>
      <c r="AG438" s="243" t="str">
        <f>IF('WetLitterbags placem_collection'!AA219="","",'WetLitterbags placem_collection'!AA219)</f>
        <v>O</v>
      </c>
      <c r="AH438">
        <f>IF('WetLitterbags placem_collection'!AC219="","",'WetLitterbags placem_collection'!AC219)</f>
        <v>1</v>
      </c>
      <c r="AI438" s="237">
        <f>AVERAGE('WetLitterbags placem_collection'!S219,'WetLitterbags placem_collection'!U219)</f>
        <v>20.049999999999997</v>
      </c>
      <c r="AJ438">
        <f>AVERAGE('WetLitterbags placem_collection'!R219,'WetLitterbags placem_collection'!T219)</f>
        <v>25.5</v>
      </c>
      <c r="AK438">
        <v>-2.439403972</v>
      </c>
      <c r="AL438">
        <v>34.838404959999998</v>
      </c>
      <c r="AM438" t="str">
        <f>IF(ISNUMBER(SEARCH("C", 'WetLitterbags placem_collection'!$W219)),"YES","NO")</f>
        <v>NO</v>
      </c>
      <c r="AN438" t="str">
        <f>IF(ISNUMBER(SEARCH("H", 'WetLitterbags placem_collection'!$W219)),"YES","NO")</f>
        <v>NO</v>
      </c>
      <c r="AO438" t="str">
        <f>IF(ISNUMBER(SEARCH("R", 'WetLitterbags placem_collection'!$W219)),"YES","NO")</f>
        <v>YES</v>
      </c>
    </row>
    <row r="439" spans="1:41" ht="15" customHeight="1">
      <c r="A439" s="255" t="s">
        <v>2454</v>
      </c>
      <c r="B439" s="260">
        <f>'Dry_Litterbag Placem_Collection'!A220</f>
        <v>218</v>
      </c>
      <c r="C439" s="260" t="str">
        <f>'Dry_Litterbag Placem_Collection'!B220</f>
        <v>Seronera</v>
      </c>
      <c r="D439" s="260" t="s">
        <v>2646</v>
      </c>
      <c r="E439" s="260" t="s">
        <v>2512</v>
      </c>
      <c r="F439" s="260">
        <v>2</v>
      </c>
      <c r="G439" s="260" t="s">
        <v>3886</v>
      </c>
      <c r="H439" s="261" t="str">
        <f>'Dry_Litterbag Placem_Collection'!C220</f>
        <v>Local2_CG2</v>
      </c>
      <c r="I439" s="262" t="s">
        <v>2525</v>
      </c>
      <c r="J439" s="269" t="s">
        <v>298</v>
      </c>
      <c r="K439" s="221" t="str">
        <f>'WetLitterbags placem_collection'!M220</f>
        <v>R442</v>
      </c>
      <c r="L439" s="223">
        <f>IFERROR(INDEX('Green_rooibos initial weight'!$C$5:$C$2000,MATCH(K439, 'Green_rooibos initial weight'!$A$5:$A$2000,0)),"")</f>
        <v>2.2290000000000001</v>
      </c>
      <c r="M439" s="223">
        <f>IFERROR(L439-(TBIcalc!$H$9+TBIcalc!$H$10),"")</f>
        <v>1.9792000000000001</v>
      </c>
      <c r="N439" s="385">
        <f>AVERAGE(Ashed_controlls!$K$2:$K$11)</f>
        <v>5.5147656768714146</v>
      </c>
      <c r="O439" s="223">
        <f t="shared" si="31"/>
        <v>1.8700517577233611</v>
      </c>
      <c r="P439" s="223">
        <f>IFERROR(INDEX('Both teabags AfterWet'!$C$3:$C$840,MATCH(K439,'Both teabags AfterWet'!$A$3:$A$840,0)),"")</f>
        <v>1.3831</v>
      </c>
      <c r="Q439" s="223">
        <f>IFERROR(IF(P439&gt;0,P439-(TBIcalc!$H$9),""),"")</f>
        <v>1.2324999999999999</v>
      </c>
      <c r="R439" s="223">
        <f>IFERROR(INDEX('Ashed teabags wet'!$K$2:$K$2000,MATCH(K439,'Ashed teabags wet'!$A$2:$A$2000,0)),"")</f>
        <v>6.7454455933042237</v>
      </c>
      <c r="S439" s="223">
        <f t="shared" si="32"/>
        <v>1.1493623830625255</v>
      </c>
      <c r="T439" s="224">
        <f>'WetLitterbags placem_collection'!E220</f>
        <v>42769</v>
      </c>
      <c r="U439" s="224">
        <f>IF('WetLitterbags placem_collection'!G220="","",'WetLitterbags placem_collection'!G220)</f>
        <v>42814</v>
      </c>
      <c r="V439" s="225">
        <f t="shared" si="30"/>
        <v>45</v>
      </c>
      <c r="W439" s="223">
        <f t="shared" si="33"/>
        <v>0.74670000000000014</v>
      </c>
      <c r="X439" s="223">
        <f t="shared" si="34"/>
        <v>0.7206893746608356</v>
      </c>
      <c r="Y439">
        <f>IFERROR(INDEX(Rainfall_Wet!$O$2:$O$217,MATCH(B439, Rainfall_Wet!$A$2:$A$217,0)),"")</f>
        <v>175.377105089</v>
      </c>
      <c r="Z439" s="228">
        <v>21.072635135135137</v>
      </c>
      <c r="AA439" s="228">
        <v>7.3057432432432412</v>
      </c>
      <c r="AB439" s="228">
        <v>71.621621621621614</v>
      </c>
      <c r="AC439" s="228" t="s">
        <v>2654</v>
      </c>
      <c r="AD439" s="228">
        <v>1.4512074913750617</v>
      </c>
      <c r="AE439">
        <f>IF('WetLitterbags placem_collection'!AB220="","",'WetLitterbags placem_collection'!AB220)</f>
        <v>5.13</v>
      </c>
      <c r="AF439">
        <f>IF('WetLitterbags placem_collection'!Z220="","",'WetLitterbags placem_collection'!Z220)</f>
        <v>5.13</v>
      </c>
      <c r="AG439" s="243" t="str">
        <f>IF('WetLitterbags placem_collection'!AA220="","",'WetLitterbags placem_collection'!AA220)</f>
        <v>O</v>
      </c>
      <c r="AH439">
        <f>IF('WetLitterbags placem_collection'!AC220="","",'WetLitterbags placem_collection'!AC220)</f>
        <v>1</v>
      </c>
      <c r="AI439" s="237">
        <f>AVERAGE('WetLitterbags placem_collection'!S220,'WetLitterbags placem_collection'!U220)</f>
        <v>22.1</v>
      </c>
      <c r="AJ439">
        <f>AVERAGE('WetLitterbags placem_collection'!R220,'WetLitterbags placem_collection'!T220)</f>
        <v>24.5</v>
      </c>
      <c r="AK439">
        <v>-2.4396450349999999</v>
      </c>
      <c r="AL439">
        <v>34.83836599</v>
      </c>
      <c r="AM439" t="str">
        <f>IF(ISNUMBER(SEARCH("C", 'WetLitterbags placem_collection'!$W220)),"YES","NO")</f>
        <v>NO</v>
      </c>
      <c r="AN439" t="str">
        <f>IF(ISNUMBER(SEARCH("H", 'WetLitterbags placem_collection'!$W220)),"YES","NO")</f>
        <v>NO</v>
      </c>
      <c r="AO439" t="str">
        <f>IF(ISNUMBER(SEARCH("R", 'WetLitterbags placem_collection'!$W220)),"YES","NO")</f>
        <v>YES</v>
      </c>
    </row>
    <row r="440" spans="1:41" ht="15" customHeight="1">
      <c r="A440" s="255" t="s">
        <v>2454</v>
      </c>
      <c r="B440" s="260">
        <f>'Dry_Litterbag Placem_Collection'!A221</f>
        <v>219</v>
      </c>
      <c r="C440" s="260" t="str">
        <f>'Dry_Litterbag Placem_Collection'!B221</f>
        <v>Seronera</v>
      </c>
      <c r="D440" s="260" t="s">
        <v>2646</v>
      </c>
      <c r="E440" s="260" t="s">
        <v>2512</v>
      </c>
      <c r="F440" s="260">
        <v>3</v>
      </c>
      <c r="G440" s="260" t="s">
        <v>3887</v>
      </c>
      <c r="H440" s="261" t="str">
        <f>'Dry_Litterbag Placem_Collection'!C221</f>
        <v>Local3_CG3</v>
      </c>
      <c r="I440" s="262" t="s">
        <v>2525</v>
      </c>
      <c r="J440" s="269" t="s">
        <v>298</v>
      </c>
      <c r="K440" s="221" t="str">
        <f>'WetLitterbags placem_collection'!M221</f>
        <v>R176</v>
      </c>
      <c r="L440" s="223">
        <f>IFERROR(INDEX('Green_rooibos initial weight'!$C$5:$C$2000,MATCH(K440, 'Green_rooibos initial weight'!$A$5:$A$2000,0)),"")</f>
        <v>2.2160000000000002</v>
      </c>
      <c r="M440" s="223">
        <f>IFERROR(L440-(TBIcalc!$H$9+TBIcalc!$H$10),"")</f>
        <v>1.9662000000000002</v>
      </c>
      <c r="N440" s="385">
        <f>AVERAGE(Ashed_controlls!$K$2:$K$11)</f>
        <v>5.5147656768714146</v>
      </c>
      <c r="O440" s="223">
        <f t="shared" si="31"/>
        <v>1.8577686772613544</v>
      </c>
      <c r="P440" s="223">
        <f>IFERROR(INDEX('Both teabags AfterWet'!$C$3:$C$840,MATCH(K440,'Both teabags AfterWet'!$A$3:$A$840,0)),"")</f>
        <v>1.4293</v>
      </c>
      <c r="Q440" s="223">
        <f>IFERROR(IF(P440&gt;0,P440-(TBIcalc!$H$9),""),"")</f>
        <v>1.2786999999999999</v>
      </c>
      <c r="R440" s="223">
        <f>IFERROR(INDEX('Ashed teabags wet'!$K$2:$K$2000,MATCH(K440,'Ashed teabags wet'!$A$2:$A$2000,0)),"")</f>
        <v>6.3788027477918092</v>
      </c>
      <c r="S440" s="223">
        <f t="shared" si="32"/>
        <v>1.197134249263986</v>
      </c>
      <c r="T440" s="224">
        <f>'WetLitterbags placem_collection'!E221</f>
        <v>42769</v>
      </c>
      <c r="U440" s="224">
        <f>IF('WetLitterbags placem_collection'!G221="","",'WetLitterbags placem_collection'!G221)</f>
        <v>42813</v>
      </c>
      <c r="V440" s="225">
        <f t="shared" si="30"/>
        <v>44</v>
      </c>
      <c r="W440" s="223">
        <f t="shared" si="33"/>
        <v>0.68750000000000022</v>
      </c>
      <c r="X440" s="223">
        <f t="shared" si="34"/>
        <v>0.66063442799736838</v>
      </c>
      <c r="Y440">
        <f>IFERROR(INDEX(Rainfall_Wet!$O$2:$O$217,MATCH(B440, Rainfall_Wet!$A$2:$A$217,0)),"")</f>
        <v>175.054685654</v>
      </c>
      <c r="Z440" s="228">
        <v>21.96</v>
      </c>
      <c r="AA440" s="228">
        <v>4.9199999999999982</v>
      </c>
      <c r="AB440" s="228">
        <v>73.12</v>
      </c>
      <c r="AC440" s="228" t="s">
        <v>2654</v>
      </c>
      <c r="AD440" s="228">
        <v>1.4012321340561851</v>
      </c>
      <c r="AE440">
        <f>IF('WetLitterbags placem_collection'!AB221="","",'WetLitterbags placem_collection'!AB221)</f>
        <v>7.9</v>
      </c>
      <c r="AF440">
        <f>IF('WetLitterbags placem_collection'!Z221="","",'WetLitterbags placem_collection'!Z221)</f>
        <v>7.9</v>
      </c>
      <c r="AG440" s="243" t="str">
        <f>IF('WetLitterbags placem_collection'!AA221="","",'WetLitterbags placem_collection'!AA221)</f>
        <v>O</v>
      </c>
      <c r="AH440">
        <f>IF('WetLitterbags placem_collection'!AC221="","",'WetLitterbags placem_collection'!AC221)</f>
        <v>1</v>
      </c>
      <c r="AI440" s="237">
        <f>AVERAGE('WetLitterbags placem_collection'!S221,'WetLitterbags placem_collection'!U221)</f>
        <v>21.75</v>
      </c>
      <c r="AJ440">
        <f>AVERAGE('WetLitterbags placem_collection'!R221,'WetLitterbags placem_collection'!T221)</f>
        <v>27.55</v>
      </c>
      <c r="AK440">
        <v>-2.4395990190000001</v>
      </c>
      <c r="AL440">
        <v>34.838418959999998</v>
      </c>
      <c r="AM440" t="str">
        <f>IF(ISNUMBER(SEARCH("C", 'WetLitterbags placem_collection'!$W221)),"YES","NO")</f>
        <v>NO</v>
      </c>
      <c r="AN440" t="str">
        <f>IF(ISNUMBER(SEARCH("H", 'WetLitterbags placem_collection'!$W221)),"YES","NO")</f>
        <v>NO</v>
      </c>
      <c r="AO440" t="str">
        <f>IF(ISNUMBER(SEARCH("R", 'WetLitterbags placem_collection'!$W221)),"YES","NO")</f>
        <v>YES</v>
      </c>
    </row>
    <row r="441" spans="1:41" ht="15" customHeight="1">
      <c r="A441" s="255" t="s">
        <v>2454</v>
      </c>
      <c r="B441" s="260">
        <f>'Dry_Litterbag Placem_Collection'!A222</f>
        <v>220</v>
      </c>
      <c r="C441" s="260" t="str">
        <f>'Dry_Litterbag Placem_Collection'!B222</f>
        <v>Seronera</v>
      </c>
      <c r="D441" s="260" t="s">
        <v>2646</v>
      </c>
      <c r="E441" s="260" t="s">
        <v>2512</v>
      </c>
      <c r="F441" s="260">
        <v>4</v>
      </c>
      <c r="G441" s="260" t="s">
        <v>3888</v>
      </c>
      <c r="H441" s="261" t="str">
        <f>'Dry_Litterbag Placem_Collection'!C222</f>
        <v>Local4_CG4</v>
      </c>
      <c r="I441" s="262" t="s">
        <v>2525</v>
      </c>
      <c r="J441" s="269" t="s">
        <v>298</v>
      </c>
      <c r="K441" s="221" t="str">
        <f>'WetLitterbags placem_collection'!M222</f>
        <v>R250</v>
      </c>
      <c r="L441" s="223">
        <f>IFERROR(INDEX('Green_rooibos initial weight'!$C$5:$C$2000,MATCH(K441, 'Green_rooibos initial weight'!$A$5:$A$2000,0)),"")</f>
        <v>2.2639999999999998</v>
      </c>
      <c r="M441" s="223">
        <f>IFERROR(L441-(TBIcalc!$H$9+TBIcalc!$H$10),"")</f>
        <v>2.0141999999999998</v>
      </c>
      <c r="N441" s="385">
        <f>AVERAGE(Ashed_controlls!$K$2:$K$11)</f>
        <v>5.5147656768714146</v>
      </c>
      <c r="O441" s="223">
        <f t="shared" si="31"/>
        <v>1.9031215897364557</v>
      </c>
      <c r="P441" s="223">
        <f>IFERROR(INDEX('Both teabags AfterWet'!$C$3:$C$840,MATCH(K441,'Both teabags AfterWet'!$A$3:$A$840,0)),"")</f>
        <v>1.5303</v>
      </c>
      <c r="Q441" s="223">
        <f>IFERROR(IF(P441&gt;0,P441-(TBIcalc!$H$9),""),"")</f>
        <v>1.3796999999999999</v>
      </c>
      <c r="R441" s="223">
        <f>IFERROR(INDEX('Ashed teabags wet'!$K$2:$K$2000,MATCH(K441,'Ashed teabags wet'!$A$2:$A$2000,0)),"")</f>
        <v>5.6310679611650896</v>
      </c>
      <c r="S441" s="223">
        <f t="shared" si="32"/>
        <v>1.3020081553398053</v>
      </c>
      <c r="T441" s="224">
        <f>'WetLitterbags placem_collection'!E222</f>
        <v>42769</v>
      </c>
      <c r="U441" s="224">
        <f>IF('WetLitterbags placem_collection'!G222="","",'WetLitterbags placem_collection'!G222)</f>
        <v>42813</v>
      </c>
      <c r="V441" s="225">
        <f t="shared" si="30"/>
        <v>44</v>
      </c>
      <c r="W441" s="223">
        <f t="shared" si="33"/>
        <v>0.63449999999999984</v>
      </c>
      <c r="X441" s="223">
        <f t="shared" si="34"/>
        <v>0.60111343439665044</v>
      </c>
      <c r="Y441">
        <f>IFERROR(INDEX(Rainfall_Wet!$O$2:$O$217,MATCH(B441, Rainfall_Wet!$A$2:$A$217,0)),"")</f>
        <v>175.054685654</v>
      </c>
      <c r="Z441" s="228">
        <v>15.960000000000003</v>
      </c>
      <c r="AA441" s="228">
        <v>6.9199999999999982</v>
      </c>
      <c r="AB441" s="228">
        <v>77.11999999999999</v>
      </c>
      <c r="AC441" s="228" t="s">
        <v>2655</v>
      </c>
      <c r="AD441" s="228">
        <v>0.60547067520946207</v>
      </c>
      <c r="AE441">
        <f>IF('WetLitterbags placem_collection'!AB222="","",'WetLitterbags placem_collection'!AB222)</f>
        <v>15.2</v>
      </c>
      <c r="AF441">
        <f>IF('WetLitterbags placem_collection'!Z222="","",'WetLitterbags placem_collection'!Z222)</f>
        <v>12.2</v>
      </c>
      <c r="AG441" s="243" t="str">
        <f>IF('WetLitterbags placem_collection'!AA222="","",'WetLitterbags placem_collection'!AA222)</f>
        <v>O</v>
      </c>
      <c r="AH441">
        <f>IF('WetLitterbags placem_collection'!AC222="","",'WetLitterbags placem_collection'!AC222)</f>
        <v>1</v>
      </c>
      <c r="AI441" s="237">
        <f>AVERAGE('WetLitterbags placem_collection'!S222,'WetLitterbags placem_collection'!U222)</f>
        <v>20.85</v>
      </c>
      <c r="AJ441">
        <f>AVERAGE('WetLitterbags placem_collection'!R222,'WetLitterbags placem_collection'!T222)</f>
        <v>27.950000000000003</v>
      </c>
      <c r="AK441">
        <v>-2.4396949910000001</v>
      </c>
      <c r="AL441">
        <v>34.838574029999997</v>
      </c>
      <c r="AM441" t="str">
        <f>IF(ISNUMBER(SEARCH("C", 'WetLitterbags placem_collection'!$W222)),"YES","NO")</f>
        <v>NO</v>
      </c>
      <c r="AN441" t="str">
        <f>IF(ISNUMBER(SEARCH("H", 'WetLitterbags placem_collection'!$W222)),"YES","NO")</f>
        <v>YES</v>
      </c>
      <c r="AO441" t="str">
        <f>IF(ISNUMBER(SEARCH("R", 'WetLitterbags placem_collection'!$W222)),"YES","NO")</f>
        <v>NO</v>
      </c>
    </row>
    <row r="442" spans="1:41" ht="15" customHeight="1">
      <c r="A442" s="255" t="s">
        <v>2454</v>
      </c>
      <c r="B442" s="260">
        <f>'Dry_Litterbag Placem_Collection'!A3</f>
        <v>1</v>
      </c>
      <c r="C442" s="260" t="str">
        <f>'Dry_Litterbag Placem_Collection'!B3</f>
        <v>Makao</v>
      </c>
      <c r="D442" s="260" t="s">
        <v>2643</v>
      </c>
      <c r="E442" s="260" t="s">
        <v>2644</v>
      </c>
      <c r="F442" s="260">
        <v>1</v>
      </c>
      <c r="G442" s="260" t="s">
        <v>3798</v>
      </c>
      <c r="H442" s="261" t="str">
        <f>'Dry_Litterbag Placem_Collection'!C3</f>
        <v>Dry_Ag1_T1</v>
      </c>
      <c r="I442" s="270" t="s">
        <v>3630</v>
      </c>
      <c r="J442" s="263" t="s">
        <v>1147</v>
      </c>
      <c r="K442" s="221" t="str">
        <f>'WetLitterbags placem_collection'!O3</f>
        <v>G752</v>
      </c>
      <c r="L442" s="223">
        <f>IFERROR(INDEX('Green_rooibos initial weight'!$C$5:$C$2000,MATCH(K442, 'Green_rooibos initial weight'!$A$5:$A$2000,0)),"")</f>
        <v>2.15</v>
      </c>
      <c r="M442" s="223">
        <f>IFERROR(L442-(TBIcalc!$H$9+TBIcalc!$H$10),"")</f>
        <v>1.9001999999999999</v>
      </c>
      <c r="N442" s="385">
        <f>AVERAGE(Ashed_controlls!$K$2:$K$11)</f>
        <v>5.5147656768714146</v>
      </c>
      <c r="O442" s="223">
        <f t="shared" si="31"/>
        <v>1.7954084226080893</v>
      </c>
      <c r="P442" s="223">
        <f>IFERROR(INDEX('Both teabags AfterWet'!$C$3:$C$840,MATCH(K442,'Both teabags AfterWet'!$A$3:$A$840,0)),"")</f>
        <v>0.47</v>
      </c>
      <c r="Q442" s="223">
        <f>IFERROR(IF(P442&gt;0,P442-(TBIcalc!$H$9),""),"")</f>
        <v>0.31939999999999996</v>
      </c>
      <c r="R442" s="223">
        <f>IFERROR(INDEX('Ashed teabags wet'!$K$2:$K$2000,MATCH(K442,'Ashed teabags wet'!$A$2:$A$2000,0)),"")</f>
        <v>15.221674876847116</v>
      </c>
      <c r="S442" s="223">
        <f t="shared" si="32"/>
        <v>0.27078197044335028</v>
      </c>
      <c r="T442" s="224">
        <f>'WetLitterbags placem_collection'!E3</f>
        <v>42766</v>
      </c>
      <c r="U442" s="224">
        <f>IF('WetLitterbags placem_collection'!G3="","",'WetLitterbags placem_collection'!G3)</f>
        <v>42818</v>
      </c>
      <c r="V442" s="225">
        <f t="shared" si="30"/>
        <v>52</v>
      </c>
      <c r="W442" s="223">
        <f t="shared" si="33"/>
        <v>1.5808</v>
      </c>
      <c r="X442" s="223">
        <f t="shared" si="34"/>
        <v>1.524626452164739</v>
      </c>
      <c r="Y442">
        <f>IFERROR(INDEX(Rainfall_Wet!$O$2:$O$217,MATCH(B442, Rainfall_Wet!$A$2:$A$217,0)),"")</f>
        <v>194.43839254400001</v>
      </c>
      <c r="Z442" s="228">
        <v>12.565665055683967</v>
      </c>
      <c r="AA442" s="228">
        <v>0.9665896196679955</v>
      </c>
      <c r="AB442" s="228">
        <v>86.467745324648035</v>
      </c>
      <c r="AC442" s="229" t="s">
        <v>2656</v>
      </c>
      <c r="AD442" s="228">
        <v>1.0225726959093147</v>
      </c>
      <c r="AE442">
        <f>IF('WetLitterbags placem_collection'!AB3="","",'WetLitterbags placem_collection'!AB3)</f>
        <v>26.4</v>
      </c>
      <c r="AF442">
        <f>IF('WetLitterbags placem_collection'!Z3="","",'WetLitterbags placem_collection'!Z3)</f>
        <v>41</v>
      </c>
      <c r="AG442" s="243" t="str">
        <f>IF('WetLitterbags placem_collection'!AA3="","",'WetLitterbags placem_collection'!AA3)</f>
        <v>M</v>
      </c>
      <c r="AH442">
        <f>IF('WetLitterbags placem_collection'!AC3="","",'WetLitterbags placem_collection'!AC3)</f>
        <v>1</v>
      </c>
      <c r="AI442" s="237">
        <f>AVERAGE('WetLitterbags placem_collection'!S3,'WetLitterbags placem_collection'!U3)</f>
        <v>14.75</v>
      </c>
      <c r="AJ442">
        <f>AVERAGE('WetLitterbags placem_collection'!R3,'WetLitterbags placem_collection'!T3)</f>
        <v>24.7</v>
      </c>
      <c r="AK442">
        <f>INDEX(Coordinates!$B$2:$B$197,MATCH(H442,Coordinates!$J$2:$J$197,0))</f>
        <v>-3.3978609999999998</v>
      </c>
      <c r="AL442">
        <f>INDEX(Coordinates!$C$2:$C$197,MATCH(H442,Coordinates!$J$2:$J$197,0))</f>
        <v>34.837608000000003</v>
      </c>
      <c r="AM442" t="str">
        <f>IF(ISNUMBER(SEARCH("C", 'WetLitterbags placem_collection'!$X3)),"YES","NO")</f>
        <v>NO</v>
      </c>
      <c r="AN442" t="str">
        <f>IF(ISNUMBER(SEARCH("H", 'WetLitterbags placem_collection'!$X3)),"YES","NO")</f>
        <v>NO</v>
      </c>
      <c r="AO442" t="str">
        <f>IF(ISNUMBER(SEARCH("R", 'WetLitterbags placem_collection'!$X3)),"YES","NO")</f>
        <v>NO</v>
      </c>
    </row>
    <row r="443" spans="1:41" ht="15" customHeight="1">
      <c r="A443" s="255" t="s">
        <v>2454</v>
      </c>
      <c r="B443" s="260">
        <f>'Dry_Litterbag Placem_Collection'!A4</f>
        <v>2</v>
      </c>
      <c r="C443" s="260" t="str">
        <f>'Dry_Litterbag Placem_Collection'!B4</f>
        <v>Makao</v>
      </c>
      <c r="D443" s="260" t="s">
        <v>2643</v>
      </c>
      <c r="E443" s="260" t="s">
        <v>2644</v>
      </c>
      <c r="F443" s="260">
        <v>1</v>
      </c>
      <c r="G443" s="260" t="s">
        <v>3798</v>
      </c>
      <c r="H443" s="261" t="str">
        <f>'Dry_Litterbag Placem_Collection'!C4</f>
        <v>Dry_Ag1_T2</v>
      </c>
      <c r="I443" s="270" t="s">
        <v>3630</v>
      </c>
      <c r="J443" s="263" t="s">
        <v>1147</v>
      </c>
      <c r="K443" s="221" t="str">
        <f>'WetLitterbags placem_collection'!O4</f>
        <v>G737</v>
      </c>
      <c r="L443" s="223">
        <f>IFERROR(INDEX('Green_rooibos initial weight'!$C$5:$C$2000,MATCH(K443, 'Green_rooibos initial weight'!$A$5:$A$2000,0)),"")</f>
        <v>1.841</v>
      </c>
      <c r="M443" s="223">
        <f>IFERROR(L443-(TBIcalc!$H$9+TBIcalc!$H$10),"")</f>
        <v>1.5911999999999999</v>
      </c>
      <c r="N443" s="385">
        <f>AVERAGE(Ashed_controlls!$K$2:$K$11)</f>
        <v>5.5147656768714146</v>
      </c>
      <c r="O443" s="223">
        <f t="shared" si="31"/>
        <v>1.5034490485496219</v>
      </c>
      <c r="P443" s="223">
        <f>IFERROR(INDEX('Both teabags AfterWet'!$C$3:$C$840,MATCH(K443,'Both teabags AfterWet'!$A$3:$A$840,0)),"")</f>
        <v>0.57869999999999999</v>
      </c>
      <c r="Q443" s="223">
        <f>IFERROR(IF(P443&gt;0,P443-(TBIcalc!$H$9),""),"")</f>
        <v>0.42809999999999998</v>
      </c>
      <c r="R443" s="223">
        <f>IFERROR(INDEX('Ashed teabags wet'!$K$2:$K$2000,MATCH(K443,'Ashed teabags wet'!$A$2:$A$2000,0)),"")</f>
        <v>8.1337325349297291</v>
      </c>
      <c r="S443" s="223">
        <f t="shared" si="32"/>
        <v>0.39327949101796583</v>
      </c>
      <c r="T443" s="224">
        <f>'WetLitterbags placem_collection'!E4</f>
        <v>42766</v>
      </c>
      <c r="U443" s="224">
        <f>IF('WetLitterbags placem_collection'!G4="","",'WetLitterbags placem_collection'!G4)</f>
        <v>42818</v>
      </c>
      <c r="V443" s="225">
        <f t="shared" si="30"/>
        <v>52</v>
      </c>
      <c r="W443" s="223">
        <f t="shared" si="33"/>
        <v>1.1631</v>
      </c>
      <c r="X443" s="223">
        <f t="shared" si="34"/>
        <v>1.1101695575316561</v>
      </c>
      <c r="Y443">
        <f>IFERROR(INDEX(Rainfall_Wet!$O$2:$O$217,MATCH(B443, Rainfall_Wet!$A$2:$A$217,0)),"")</f>
        <v>194.43839254400001</v>
      </c>
      <c r="Z443" s="228">
        <v>12.565665055683967</v>
      </c>
      <c r="AA443" s="228">
        <v>0.9665896196679955</v>
      </c>
      <c r="AB443" s="228">
        <v>86.467745324648035</v>
      </c>
      <c r="AC443" s="229" t="s">
        <v>2656</v>
      </c>
      <c r="AD443" s="228">
        <v>2.02257269590931</v>
      </c>
      <c r="AE443">
        <f>IF('WetLitterbags placem_collection'!AB4="","",'WetLitterbags placem_collection'!AB4)</f>
        <v>22.4</v>
      </c>
      <c r="AF443">
        <f>IF('WetLitterbags placem_collection'!Z4="","",'WetLitterbags placem_collection'!Z4)</f>
        <v>39.799999999999997</v>
      </c>
      <c r="AG443" s="243" t="str">
        <f>IF('WetLitterbags placem_collection'!AA4="","",'WetLitterbags placem_collection'!AA4)</f>
        <v>M</v>
      </c>
      <c r="AH443">
        <f>IF('WetLitterbags placem_collection'!AC4="","",'WetLitterbags placem_collection'!AC4)</f>
        <v>1</v>
      </c>
      <c r="AI443" s="237">
        <f>AVERAGE('WetLitterbags placem_collection'!S4,'WetLitterbags placem_collection'!U4)</f>
        <v>13.1</v>
      </c>
      <c r="AJ443">
        <f>AVERAGE('WetLitterbags placem_collection'!R4,'WetLitterbags placem_collection'!T4)</f>
        <v>24.9</v>
      </c>
      <c r="AK443">
        <f>INDEX(Coordinates!$B$2:$B$197,MATCH(H443,Coordinates!$J$2:$J$197,0))</f>
        <v>-3.397879042</v>
      </c>
      <c r="AL443">
        <f>INDEX(Coordinates!$C$2:$C$197,MATCH(H443,Coordinates!$J$2:$J$197,0))</f>
        <v>34.837536010000001</v>
      </c>
      <c r="AM443" t="str">
        <f>IF(ISNUMBER(SEARCH("C", 'WetLitterbags placem_collection'!$X4)),"YES","NO")</f>
        <v>NO</v>
      </c>
      <c r="AN443" t="str">
        <f>IF(ISNUMBER(SEARCH("H", 'WetLitterbags placem_collection'!$X4)),"YES","NO")</f>
        <v>NO</v>
      </c>
      <c r="AO443" t="str">
        <f>IF(ISNUMBER(SEARCH("R", 'WetLitterbags placem_collection'!$X4)),"YES","NO")</f>
        <v>NO</v>
      </c>
    </row>
    <row r="444" spans="1:41" ht="15" customHeight="1">
      <c r="A444" s="255" t="s">
        <v>2454</v>
      </c>
      <c r="B444" s="260">
        <f>'Dry_Litterbag Placem_Collection'!A5</f>
        <v>3</v>
      </c>
      <c r="C444" s="260" t="str">
        <f>'Dry_Litterbag Placem_Collection'!B5</f>
        <v>Makao</v>
      </c>
      <c r="D444" s="260" t="s">
        <v>2643</v>
      </c>
      <c r="E444" s="260" t="s">
        <v>2644</v>
      </c>
      <c r="F444" s="260">
        <v>1</v>
      </c>
      <c r="G444" s="260" t="s">
        <v>3798</v>
      </c>
      <c r="H444" s="261" t="str">
        <f>'Dry_Litterbag Placem_Collection'!C5</f>
        <v>Dry_Ag1_T3</v>
      </c>
      <c r="I444" s="270" t="s">
        <v>3630</v>
      </c>
      <c r="J444" s="263" t="s">
        <v>1147</v>
      </c>
      <c r="K444" s="221" t="str">
        <f>'WetLitterbags placem_collection'!O5</f>
        <v>G661</v>
      </c>
      <c r="L444" s="223">
        <f>IFERROR(INDEX('Green_rooibos initial weight'!$C$5:$C$2000,MATCH(K444, 'Green_rooibos initial weight'!$A$5:$A$2000,0)),"")</f>
        <v>2.0630000000000002</v>
      </c>
      <c r="M444" s="223">
        <f>IFERROR(L444-(TBIcalc!$H$9+TBIcalc!$H$10),"")</f>
        <v>1.8132000000000001</v>
      </c>
      <c r="N444" s="385">
        <f>AVERAGE(Ashed_controlls!$K$2:$K$11)</f>
        <v>5.5147656768714146</v>
      </c>
      <c r="O444" s="223">
        <f t="shared" si="31"/>
        <v>1.7132062687469676</v>
      </c>
      <c r="P444" s="223" t="str">
        <f>IFERROR(INDEX('Both teabags AfterWet'!$C$3:$C$840,MATCH(K444,'Both teabags AfterWet'!$A$3:$A$840,0)),"")</f>
        <v/>
      </c>
      <c r="Q444" s="223" t="str">
        <f>IFERROR(IF(P444&gt;0,P444-(TBIcalc!$H$9),""),"")</f>
        <v/>
      </c>
      <c r="R444" s="223" t="str">
        <f>IFERROR(INDEX('Ashed teabags wet'!$K$2:$K$2000,MATCH(K444,'Ashed teabags wet'!$A$2:$A$2000,0)),"")</f>
        <v/>
      </c>
      <c r="S444" s="223" t="str">
        <f t="shared" si="32"/>
        <v/>
      </c>
      <c r="T444" s="224">
        <f>'WetLitterbags placem_collection'!E5</f>
        <v>42766</v>
      </c>
      <c r="U444" s="224">
        <f>IF('WetLitterbags placem_collection'!G5="","",'WetLitterbags placem_collection'!G5)</f>
        <v>42819</v>
      </c>
      <c r="V444" s="225">
        <f t="shared" si="30"/>
        <v>53</v>
      </c>
      <c r="W444" s="223" t="str">
        <f t="shared" si="33"/>
        <v/>
      </c>
      <c r="X444" s="223" t="str">
        <f t="shared" si="34"/>
        <v/>
      </c>
      <c r="Y444" t="str">
        <f>IFERROR(INDEX(Rainfall_Wet!$O$2:$O$217,MATCH(B444, Rainfall_Wet!$A$2:$A$217,0)),"")</f>
        <v/>
      </c>
      <c r="Z444" s="228">
        <v>12.565665055683967</v>
      </c>
      <c r="AA444" s="228">
        <v>0.9665896196679955</v>
      </c>
      <c r="AB444" s="228">
        <v>86.467745324648035</v>
      </c>
      <c r="AC444" s="229" t="s">
        <v>2656</v>
      </c>
      <c r="AD444" s="228">
        <v>3.02257269590931</v>
      </c>
      <c r="AE444" t="str">
        <f>IF('WetLitterbags placem_collection'!AB5="","",'WetLitterbags placem_collection'!AB5)</f>
        <v/>
      </c>
      <c r="AF444" t="str">
        <f>IF('WetLitterbags placem_collection'!Z5="","",'WetLitterbags placem_collection'!Z5)</f>
        <v/>
      </c>
      <c r="AG444" s="243" t="str">
        <f>IF('WetLitterbags placem_collection'!AA5="","",'WetLitterbags placem_collection'!AA5)</f>
        <v/>
      </c>
      <c r="AH444" t="str">
        <f>IF('WetLitterbags placem_collection'!AC5="","",'WetLitterbags placem_collection'!AC5)</f>
        <v/>
      </c>
      <c r="AI444" s="237">
        <f>AVERAGE('WetLitterbags placem_collection'!S5,'WetLitterbags placem_collection'!U5)</f>
        <v>14.649999999999999</v>
      </c>
      <c r="AJ444">
        <f>AVERAGE('WetLitterbags placem_collection'!R5,'WetLitterbags placem_collection'!T5)</f>
        <v>24.7</v>
      </c>
      <c r="AK444">
        <f>INDEX(Coordinates!$B$2:$B$197,MATCH(H444,Coordinates!$J$2:$J$197,0))</f>
        <v>-3.3978739999999998</v>
      </c>
      <c r="AL444">
        <f>INDEX(Coordinates!$C$2:$C$197,MATCH(H444,Coordinates!$J$2:$J$197,0))</f>
        <v>34.837578999999998</v>
      </c>
      <c r="AM444" t="str">
        <f>IF(ISNUMBER(SEARCH("C", 'WetLitterbags placem_collection'!$X5)),"YES","NO")</f>
        <v>NO</v>
      </c>
      <c r="AN444" t="str">
        <f>IF(ISNUMBER(SEARCH("H", 'WetLitterbags placem_collection'!$X5)),"YES","NO")</f>
        <v>NO</v>
      </c>
      <c r="AO444" t="str">
        <f>IF(ISNUMBER(SEARCH("R", 'WetLitterbags placem_collection'!$X5)),"YES","NO")</f>
        <v>NO</v>
      </c>
    </row>
    <row r="445" spans="1:41" ht="15" customHeight="1">
      <c r="A445" s="255" t="s">
        <v>2454</v>
      </c>
      <c r="B445" s="260">
        <f>'Dry_Litterbag Placem_Collection'!A6</f>
        <v>4</v>
      </c>
      <c r="C445" s="260" t="str">
        <f>'Dry_Litterbag Placem_Collection'!B6</f>
        <v>Makao</v>
      </c>
      <c r="D445" s="260" t="s">
        <v>2643</v>
      </c>
      <c r="E445" s="260" t="s">
        <v>2644</v>
      </c>
      <c r="F445" s="260">
        <v>1</v>
      </c>
      <c r="G445" s="260" t="s">
        <v>3798</v>
      </c>
      <c r="H445" s="261" t="str">
        <f>'Dry_Litterbag Placem_Collection'!C6</f>
        <v>Dry_Ag1_T4</v>
      </c>
      <c r="I445" s="270" t="s">
        <v>3630</v>
      </c>
      <c r="J445" s="263" t="s">
        <v>1147</v>
      </c>
      <c r="K445" s="221" t="str">
        <f>'WetLitterbags placem_collection'!O6</f>
        <v>G532</v>
      </c>
      <c r="L445" s="223">
        <f>IFERROR(INDEX('Green_rooibos initial weight'!$C$5:$C$2000,MATCH(K445, 'Green_rooibos initial weight'!$A$5:$A$2000,0)),"")</f>
        <v>2.036</v>
      </c>
      <c r="M445" s="223">
        <f>IFERROR(L445-(TBIcalc!$H$9+TBIcalc!$H$10),"")</f>
        <v>1.7862</v>
      </c>
      <c r="N445" s="385">
        <f>AVERAGE(Ashed_controlls!$K$2:$K$11)</f>
        <v>5.5147656768714146</v>
      </c>
      <c r="O445" s="223">
        <f t="shared" si="31"/>
        <v>1.6876952554797229</v>
      </c>
      <c r="P445" s="223">
        <f>IFERROR(INDEX('Both teabags AfterWet'!$C$3:$C$840,MATCH(K445,'Both teabags AfterWet'!$A$3:$A$840,0)),"")</f>
        <v>0.55969999999999998</v>
      </c>
      <c r="Q445" s="223">
        <f>IFERROR(IF(P445&gt;0,P445-(TBIcalc!$H$9),""),"")</f>
        <v>0.40909999999999996</v>
      </c>
      <c r="R445" s="223">
        <f>IFERROR(INDEX('Ashed teabags wet'!$K$2:$K$2000,MATCH(K445,'Ashed teabags wet'!$A$2:$A$2000,0)),"")</f>
        <v>9.5283926852740137</v>
      </c>
      <c r="S445" s="223">
        <f t="shared" si="32"/>
        <v>0.37011934552454395</v>
      </c>
      <c r="T445" s="224">
        <f>'WetLitterbags placem_collection'!E6</f>
        <v>42766</v>
      </c>
      <c r="U445" s="224">
        <f>IF('WetLitterbags placem_collection'!G6="","",'WetLitterbags placem_collection'!G6)</f>
        <v>42818</v>
      </c>
      <c r="V445" s="225">
        <f t="shared" si="30"/>
        <v>52</v>
      </c>
      <c r="W445" s="223">
        <f t="shared" si="33"/>
        <v>1.3771</v>
      </c>
      <c r="X445" s="223">
        <f t="shared" si="34"/>
        <v>1.3175759099551789</v>
      </c>
      <c r="Y445">
        <f>IFERROR(INDEX(Rainfall_Wet!$O$2:$O$217,MATCH(B445, Rainfall_Wet!$A$2:$A$217,0)),"")</f>
        <v>194.43839254400001</v>
      </c>
      <c r="Z445" s="228">
        <v>12.565665055683967</v>
      </c>
      <c r="AA445" s="228">
        <v>0.9665896196679955</v>
      </c>
      <c r="AB445" s="228">
        <v>86.467745324648035</v>
      </c>
      <c r="AC445" s="229" t="s">
        <v>2656</v>
      </c>
      <c r="AD445" s="228">
        <v>4.02257269590931</v>
      </c>
      <c r="AE445" t="str">
        <f>IF('WetLitterbags placem_collection'!AB6="","",'WetLitterbags placem_collection'!AB6)</f>
        <v/>
      </c>
      <c r="AF445" t="str">
        <f>IF('WetLitterbags placem_collection'!Z6="","",'WetLitterbags placem_collection'!Z6)</f>
        <v/>
      </c>
      <c r="AG445" s="243" t="str">
        <f>IF('WetLitterbags placem_collection'!AA6="","",'WetLitterbags placem_collection'!AA6)</f>
        <v/>
      </c>
      <c r="AH445" t="str">
        <f>IF('WetLitterbags placem_collection'!AC6="","",'WetLitterbags placem_collection'!AC6)</f>
        <v/>
      </c>
      <c r="AI445" s="237">
        <f>AVERAGE('WetLitterbags placem_collection'!S6,'WetLitterbags placem_collection'!U6)</f>
        <v>17.399999999999999</v>
      </c>
      <c r="AJ445">
        <f>AVERAGE('WetLitterbags placem_collection'!R6,'WetLitterbags placem_collection'!T6)</f>
        <v>25.549999999999997</v>
      </c>
      <c r="AK445">
        <f>INDEX(Coordinates!$B$2:$B$197,MATCH(H445,Coordinates!$J$2:$J$197,0))</f>
        <v>-3.3977780399999999</v>
      </c>
      <c r="AL445">
        <f>INDEX(Coordinates!$C$2:$C$197,MATCH(H445,Coordinates!$J$2:$J$197,0))</f>
        <v>34.83751204</v>
      </c>
      <c r="AM445" t="str">
        <f>IF(ISNUMBER(SEARCH("C", 'WetLitterbags placem_collection'!$X6)),"YES","NO")</f>
        <v>NO</v>
      </c>
      <c r="AN445" t="str">
        <f>IF(ISNUMBER(SEARCH("H", 'WetLitterbags placem_collection'!$X6)),"YES","NO")</f>
        <v>NO</v>
      </c>
      <c r="AO445" t="str">
        <f>IF(ISNUMBER(SEARCH("R", 'WetLitterbags placem_collection'!$X6)),"YES","NO")</f>
        <v>NO</v>
      </c>
    </row>
    <row r="446" spans="1:41" ht="15" customHeight="1">
      <c r="A446" s="255" t="s">
        <v>2454</v>
      </c>
      <c r="B446" s="260">
        <f>'Dry_Litterbag Placem_Collection'!A7</f>
        <v>5</v>
      </c>
      <c r="C446" s="260" t="str">
        <f>'Dry_Litterbag Placem_Collection'!B7</f>
        <v>Makao</v>
      </c>
      <c r="D446" s="260" t="s">
        <v>2643</v>
      </c>
      <c r="E446" s="260" t="s">
        <v>2644</v>
      </c>
      <c r="F446" s="260">
        <v>1</v>
      </c>
      <c r="G446" s="260" t="s">
        <v>3798</v>
      </c>
      <c r="H446" s="261" t="str">
        <f>'Dry_Litterbag Placem_Collection'!C7</f>
        <v>Dry_Ag1_T5</v>
      </c>
      <c r="I446" s="270" t="s">
        <v>3630</v>
      </c>
      <c r="J446" s="263" t="s">
        <v>1147</v>
      </c>
      <c r="K446" s="221" t="str">
        <f>'WetLitterbags placem_collection'!O7</f>
        <v>G577</v>
      </c>
      <c r="L446" s="223">
        <f>IFERROR(INDEX('Green_rooibos initial weight'!$C$5:$C$2000,MATCH(K446, 'Green_rooibos initial weight'!$A$5:$A$2000,0)),"")</f>
        <v>1.9830000000000001</v>
      </c>
      <c r="M446" s="223">
        <f>IFERROR(L446-(TBIcalc!$H$9+TBIcalc!$H$10),"")</f>
        <v>1.7332000000000001</v>
      </c>
      <c r="N446" s="385">
        <f>AVERAGE(Ashed_controlls!$K$2:$K$11)</f>
        <v>5.5147656768714146</v>
      </c>
      <c r="O446" s="223">
        <f t="shared" si="31"/>
        <v>1.6376180812884646</v>
      </c>
      <c r="P446" s="223">
        <f>IFERROR(INDEX('Both teabags AfterWet'!$C$3:$C$840,MATCH(K446,'Both teabags AfterWet'!$A$3:$A$840,0)),"")</f>
        <v>0.41870000000000002</v>
      </c>
      <c r="Q446" s="223">
        <f>IFERROR(IF(P446&gt;0,P446-(TBIcalc!$H$9),""),"")</f>
        <v>0.2681</v>
      </c>
      <c r="R446" s="223">
        <f>IFERROR(INDEX('Ashed teabags wet'!$K$2:$K$2000,MATCH(K446,'Ashed teabags wet'!$A$2:$A$2000,0)),"")</f>
        <v>14.349775784752945</v>
      </c>
      <c r="S446" s="223">
        <f t="shared" si="32"/>
        <v>0.22962825112107738</v>
      </c>
      <c r="T446" s="224">
        <f>'WetLitterbags placem_collection'!E7</f>
        <v>42766</v>
      </c>
      <c r="U446" s="224">
        <f>IF('WetLitterbags placem_collection'!G7="","",'WetLitterbags placem_collection'!G7)</f>
        <v>42818</v>
      </c>
      <c r="V446" s="225">
        <f t="shared" si="30"/>
        <v>52</v>
      </c>
      <c r="W446" s="223">
        <f t="shared" si="33"/>
        <v>1.4651000000000001</v>
      </c>
      <c r="X446" s="223">
        <f t="shared" si="34"/>
        <v>1.4079898301673872</v>
      </c>
      <c r="Y446">
        <f>IFERROR(INDEX(Rainfall_Wet!$O$2:$O$217,MATCH(B446, Rainfall_Wet!$A$2:$A$217,0)),"")</f>
        <v>194.43839254400001</v>
      </c>
      <c r="Z446" s="228">
        <v>12.565665055683967</v>
      </c>
      <c r="AA446" s="228">
        <v>0.9665896196679955</v>
      </c>
      <c r="AB446" s="228">
        <v>86.467745324648035</v>
      </c>
      <c r="AC446" s="229" t="s">
        <v>2656</v>
      </c>
      <c r="AD446" s="228">
        <v>5.02257269590931</v>
      </c>
      <c r="AE446">
        <f>IF('WetLitterbags placem_collection'!AB7="","",'WetLitterbags placem_collection'!AB7)</f>
        <v>28.4</v>
      </c>
      <c r="AF446">
        <f>IF('WetLitterbags placem_collection'!Z7="","",'WetLitterbags placem_collection'!Z7)</f>
        <v>36.4</v>
      </c>
      <c r="AG446" s="243" t="str">
        <f>IF('WetLitterbags placem_collection'!AA7="","",'WetLitterbags placem_collection'!AA7)</f>
        <v>M</v>
      </c>
      <c r="AH446">
        <f>IF('WetLitterbags placem_collection'!AC7="","",'WetLitterbags placem_collection'!AC7)</f>
        <v>1</v>
      </c>
      <c r="AI446" s="237">
        <f>AVERAGE('WetLitterbags placem_collection'!S7,'WetLitterbags placem_collection'!U7)</f>
        <v>12.100000000000001</v>
      </c>
      <c r="AJ446">
        <f>AVERAGE('WetLitterbags placem_collection'!R7,'WetLitterbags placem_collection'!T7)</f>
        <v>25.1</v>
      </c>
      <c r="AK446">
        <f>INDEX(Coordinates!$B$2:$B$197,MATCH(H446,Coordinates!$J$2:$J$197,0))</f>
        <v>-3.3978020120000001</v>
      </c>
      <c r="AL446">
        <f>INDEX(Coordinates!$C$2:$C$197,MATCH(H446,Coordinates!$J$2:$J$197,0))</f>
        <v>34.83751204</v>
      </c>
      <c r="AM446" t="str">
        <f>IF(ISNUMBER(SEARCH("C", 'WetLitterbags placem_collection'!$X7)),"YES","NO")</f>
        <v>NO</v>
      </c>
      <c r="AN446" t="str">
        <f>IF(ISNUMBER(SEARCH("H", 'WetLitterbags placem_collection'!$X7)),"YES","NO")</f>
        <v>NO</v>
      </c>
      <c r="AO446" t="str">
        <f>IF(ISNUMBER(SEARCH("R", 'WetLitterbags placem_collection'!$X7)),"YES","NO")</f>
        <v>NO</v>
      </c>
    </row>
    <row r="447" spans="1:41" ht="15" customHeight="1">
      <c r="A447" s="255" t="s">
        <v>2454</v>
      </c>
      <c r="B447" s="260">
        <f>'Dry_Litterbag Placem_Collection'!A8</f>
        <v>6</v>
      </c>
      <c r="C447" s="260" t="str">
        <f>'Dry_Litterbag Placem_Collection'!B8</f>
        <v>Makao</v>
      </c>
      <c r="D447" s="260" t="s">
        <v>2643</v>
      </c>
      <c r="E447" s="260" t="s">
        <v>2644</v>
      </c>
      <c r="F447" s="260">
        <v>1</v>
      </c>
      <c r="G447" s="260" t="s">
        <v>3798</v>
      </c>
      <c r="H447" s="261" t="str">
        <f>'Dry_Litterbag Placem_Collection'!C8</f>
        <v>Dry_Ag1_T6</v>
      </c>
      <c r="I447" s="270" t="s">
        <v>3630</v>
      </c>
      <c r="J447" s="263" t="s">
        <v>1147</v>
      </c>
      <c r="K447" s="221" t="str">
        <f>'WetLitterbags placem_collection'!O8</f>
        <v>G634</v>
      </c>
      <c r="L447" s="223">
        <f>IFERROR(INDEX('Green_rooibos initial weight'!$C$5:$C$2000,MATCH(K447, 'Green_rooibos initial weight'!$A$5:$A$2000,0)),"")</f>
        <v>2.02</v>
      </c>
      <c r="M447" s="223">
        <f>IFERROR(L447-(TBIcalc!$H$9+TBIcalc!$H$10),"")</f>
        <v>1.7702</v>
      </c>
      <c r="N447" s="385">
        <f>AVERAGE(Ashed_controlls!$K$2:$K$11)</f>
        <v>5.5147656768714146</v>
      </c>
      <c r="O447" s="223">
        <f t="shared" si="31"/>
        <v>1.6725776179880223</v>
      </c>
      <c r="P447" s="223">
        <f>IFERROR(INDEX('Both teabags AfterWet'!$C$3:$C$840,MATCH(K447,'Both teabags AfterWet'!$A$3:$A$840,0)),"")</f>
        <v>0.60129999999999995</v>
      </c>
      <c r="Q447" s="223">
        <f>IFERROR(IF(P447&gt;0,P447-(TBIcalc!$H$9),""),"")</f>
        <v>0.45069999999999993</v>
      </c>
      <c r="R447" s="223">
        <f>IFERROR(INDEX('Ashed teabags wet'!$K$2:$K$2000,MATCH(K447,'Ashed teabags wet'!$A$2:$A$2000,0)),"")</f>
        <v>9.6630327056488774</v>
      </c>
      <c r="S447" s="223">
        <f t="shared" si="32"/>
        <v>0.40714871159564048</v>
      </c>
      <c r="T447" s="224">
        <f>'WetLitterbags placem_collection'!E8</f>
        <v>42766</v>
      </c>
      <c r="U447" s="224">
        <f>IF('WetLitterbags placem_collection'!G8="","",'WetLitterbags placem_collection'!G8)</f>
        <v>42818</v>
      </c>
      <c r="V447" s="225">
        <f t="shared" si="30"/>
        <v>52</v>
      </c>
      <c r="W447" s="223">
        <f t="shared" si="33"/>
        <v>1.3195000000000001</v>
      </c>
      <c r="X447" s="223">
        <f t="shared" si="34"/>
        <v>1.2654289063923818</v>
      </c>
      <c r="Y447">
        <f>IFERROR(INDEX(Rainfall_Wet!$O$2:$O$217,MATCH(B447, Rainfall_Wet!$A$2:$A$217,0)),"")</f>
        <v>194.43839254400001</v>
      </c>
      <c r="Z447" s="228">
        <v>12.565665055683967</v>
      </c>
      <c r="AA447" s="228">
        <v>0.9665896196679955</v>
      </c>
      <c r="AB447" s="228">
        <v>86.467745324648035</v>
      </c>
      <c r="AC447" s="229" t="s">
        <v>2656</v>
      </c>
      <c r="AD447" s="228">
        <v>6.02257269590931</v>
      </c>
      <c r="AE447">
        <f>IF('WetLitterbags placem_collection'!AB8="","",'WetLitterbags placem_collection'!AB8)</f>
        <v>32.4</v>
      </c>
      <c r="AF447">
        <f>IF('WetLitterbags placem_collection'!Z8="","",'WetLitterbags placem_collection'!Z8)</f>
        <v>31</v>
      </c>
      <c r="AG447" s="243" t="str">
        <f>IF('WetLitterbags placem_collection'!AA8="","",'WetLitterbags placem_collection'!AA8)</f>
        <v>M</v>
      </c>
      <c r="AH447">
        <f>IF('WetLitterbags placem_collection'!AC8="","",'WetLitterbags placem_collection'!AC8)</f>
        <v>1</v>
      </c>
      <c r="AI447" s="237">
        <f>AVERAGE('WetLitterbags placem_collection'!S8,'WetLitterbags placem_collection'!U8)</f>
        <v>13.45</v>
      </c>
      <c r="AJ447">
        <f>AVERAGE('WetLitterbags placem_collection'!R8,'WetLitterbags placem_collection'!T8)</f>
        <v>25.1</v>
      </c>
      <c r="AK447">
        <f>INDEX(Coordinates!$B$2:$B$197,MATCH(H447,Coordinates!$J$2:$J$197,0))</f>
        <v>-3.3977389800000002</v>
      </c>
      <c r="AL447">
        <f>INDEX(Coordinates!$C$2:$C$197,MATCH(H447,Coordinates!$J$2:$J$197,0))</f>
        <v>34.837501979999999</v>
      </c>
      <c r="AM447" t="str">
        <f>IF(ISNUMBER(SEARCH("C", 'WetLitterbags placem_collection'!$X8)),"YES","NO")</f>
        <v>NO</v>
      </c>
      <c r="AN447" t="str">
        <f>IF(ISNUMBER(SEARCH("H", 'WetLitterbags placem_collection'!$X8)),"YES","NO")</f>
        <v>NO</v>
      </c>
      <c r="AO447" t="str">
        <f>IF(ISNUMBER(SEARCH("R", 'WetLitterbags placem_collection'!$X8)),"YES","NO")</f>
        <v>YES</v>
      </c>
    </row>
    <row r="448" spans="1:41" ht="15" customHeight="1">
      <c r="A448" s="255" t="s">
        <v>2454</v>
      </c>
      <c r="B448" s="260">
        <f>'Dry_Litterbag Placem_Collection'!A9</f>
        <v>7</v>
      </c>
      <c r="C448" s="260" t="str">
        <f>'Dry_Litterbag Placem_Collection'!B9</f>
        <v>Makao</v>
      </c>
      <c r="D448" s="260" t="s">
        <v>2643</v>
      </c>
      <c r="E448" s="260" t="s">
        <v>2644</v>
      </c>
      <c r="F448" s="260">
        <v>1</v>
      </c>
      <c r="G448" s="260" t="s">
        <v>3798</v>
      </c>
      <c r="H448" s="261" t="str">
        <f>'Dry_Litterbag Placem_Collection'!C9</f>
        <v>Dry_Ag1_T7</v>
      </c>
      <c r="I448" s="270" t="s">
        <v>3630</v>
      </c>
      <c r="J448" s="263" t="s">
        <v>1147</v>
      </c>
      <c r="K448" s="221" t="str">
        <f>'WetLitterbags placem_collection'!O9</f>
        <v>G665</v>
      </c>
      <c r="L448" s="223">
        <f>IFERROR(INDEX('Green_rooibos initial weight'!$C$5:$C$2000,MATCH(K448, 'Green_rooibos initial weight'!$A$5:$A$2000,0)),"")</f>
        <v>2.09</v>
      </c>
      <c r="M448" s="223">
        <f>IFERROR(L448-(TBIcalc!$H$9+TBIcalc!$H$10),"")</f>
        <v>1.8401999999999998</v>
      </c>
      <c r="N448" s="385">
        <f>AVERAGE(Ashed_controlls!$K$2:$K$11)</f>
        <v>5.5147656768714146</v>
      </c>
      <c r="O448" s="223">
        <f t="shared" si="31"/>
        <v>1.7387172820142121</v>
      </c>
      <c r="P448" s="223">
        <f>IFERROR(INDEX('Both teabags AfterWet'!$C$3:$C$840,MATCH(K448,'Both teabags AfterWet'!$A$3:$A$840,0)),"")</f>
        <v>0.56399999999999995</v>
      </c>
      <c r="Q448" s="223">
        <f>IFERROR(IF(P448&gt;0,P448-(TBIcalc!$H$9),""),"")</f>
        <v>0.41339999999999993</v>
      </c>
      <c r="R448" s="223">
        <f>IFERROR(INDEX('Ashed teabags wet'!$K$2:$K$2000,MATCH(K448,'Ashed teabags wet'!$A$2:$A$2000,0)),"")</f>
        <v>10.694923607688283</v>
      </c>
      <c r="S448" s="223">
        <f t="shared" si="32"/>
        <v>0.36918718580581655</v>
      </c>
      <c r="T448" s="224">
        <f>'WetLitterbags placem_collection'!E9</f>
        <v>42766</v>
      </c>
      <c r="U448" s="224">
        <f>IF('WetLitterbags placem_collection'!G9="","",'WetLitterbags placem_collection'!G9)</f>
        <v>42818</v>
      </c>
      <c r="V448" s="225">
        <f t="shared" si="30"/>
        <v>52</v>
      </c>
      <c r="W448" s="223">
        <f t="shared" si="33"/>
        <v>1.4267999999999998</v>
      </c>
      <c r="X448" s="223">
        <f t="shared" si="34"/>
        <v>1.3695300962083956</v>
      </c>
      <c r="Y448">
        <f>IFERROR(INDEX(Rainfall_Wet!$O$2:$O$217,MATCH(B448, Rainfall_Wet!$A$2:$A$217,0)),"")</f>
        <v>194.43839254400001</v>
      </c>
      <c r="Z448" s="228">
        <v>12.565665055683967</v>
      </c>
      <c r="AA448" s="228">
        <v>0.9665896196679955</v>
      </c>
      <c r="AB448" s="228">
        <v>86.467745324648035</v>
      </c>
      <c r="AC448" s="229" t="s">
        <v>2656</v>
      </c>
      <c r="AD448" s="228">
        <v>7.02257269590931</v>
      </c>
      <c r="AE448">
        <f>IF('WetLitterbags placem_collection'!AB9="","",'WetLitterbags placem_collection'!AB9)</f>
        <v>36</v>
      </c>
      <c r="AF448">
        <f>IF('WetLitterbags placem_collection'!Z9="","",'WetLitterbags placem_collection'!Z9)</f>
        <v>43.4</v>
      </c>
      <c r="AG448" s="243" t="str">
        <f>IF('WetLitterbags placem_collection'!AA9="","",'WetLitterbags placem_collection'!AA9)</f>
        <v>M</v>
      </c>
      <c r="AH448">
        <f>IF('WetLitterbags placem_collection'!AC9="","",'WetLitterbags placem_collection'!AC9)</f>
        <v>1</v>
      </c>
      <c r="AI448" s="237">
        <f>AVERAGE('WetLitterbags placem_collection'!S9,'WetLitterbags placem_collection'!U9)</f>
        <v>9.8500000000000014</v>
      </c>
      <c r="AJ448">
        <f>AVERAGE('WetLitterbags placem_collection'!R9,'WetLitterbags placem_collection'!T9)</f>
        <v>26.2</v>
      </c>
      <c r="AK448">
        <f>INDEX(Coordinates!$B$2:$B$197,MATCH(H448,Coordinates!$J$2:$J$197,0))</f>
        <v>-3.3977630360000002</v>
      </c>
      <c r="AL448">
        <f>INDEX(Coordinates!$C$2:$C$197,MATCH(H448,Coordinates!$J$2:$J$197,0))</f>
        <v>34.837600969999997</v>
      </c>
      <c r="AM448" t="str">
        <f>IF(ISNUMBER(SEARCH("C", 'WetLitterbags placem_collection'!$X9)),"YES","NO")</f>
        <v>NO</v>
      </c>
      <c r="AN448" t="str">
        <f>IF(ISNUMBER(SEARCH("H", 'WetLitterbags placem_collection'!$X9)),"YES","NO")</f>
        <v>NO</v>
      </c>
      <c r="AO448" t="str">
        <f>IF(ISNUMBER(SEARCH("R", 'WetLitterbags placem_collection'!$X9)),"YES","NO")</f>
        <v>YES</v>
      </c>
    </row>
    <row r="449" spans="1:41" ht="15" customHeight="1">
      <c r="A449" s="255" t="s">
        <v>2454</v>
      </c>
      <c r="B449" s="260">
        <f>'Dry_Litterbag Placem_Collection'!A10</f>
        <v>8</v>
      </c>
      <c r="C449" s="260" t="str">
        <f>'Dry_Litterbag Placem_Collection'!B10</f>
        <v>Makao</v>
      </c>
      <c r="D449" s="260" t="s">
        <v>2643</v>
      </c>
      <c r="E449" s="260" t="s">
        <v>2644</v>
      </c>
      <c r="F449" s="260">
        <v>1</v>
      </c>
      <c r="G449" s="260" t="s">
        <v>3798</v>
      </c>
      <c r="H449" s="261" t="str">
        <f>'Dry_Litterbag Placem_Collection'!C10</f>
        <v>Dry_Ag1_T8</v>
      </c>
      <c r="I449" s="270" t="s">
        <v>3630</v>
      </c>
      <c r="J449" s="263" t="s">
        <v>1147</v>
      </c>
      <c r="K449" s="221" t="str">
        <f>'WetLitterbags placem_collection'!O10</f>
        <v>G701</v>
      </c>
      <c r="L449" s="223">
        <f>IFERROR(INDEX('Green_rooibos initial weight'!$C$5:$C$2000,MATCH(K449, 'Green_rooibos initial weight'!$A$5:$A$2000,0)),"")</f>
        <v>1.9159999999999999</v>
      </c>
      <c r="M449" s="223">
        <f>IFERROR(L449-(TBIcalc!$H$9+TBIcalc!$H$10),"")</f>
        <v>1.6661999999999999</v>
      </c>
      <c r="N449" s="385">
        <f>AVERAGE(Ashed_controlls!$K$2:$K$11)</f>
        <v>5.5147656768714146</v>
      </c>
      <c r="O449" s="223">
        <f t="shared" si="31"/>
        <v>1.5743129742919684</v>
      </c>
      <c r="P449" s="223">
        <f>IFERROR(INDEX('Both teabags AfterWet'!$C$3:$C$840,MATCH(K449,'Both teabags AfterWet'!$A$3:$A$840,0)),"")</f>
        <v>0.59260000000000002</v>
      </c>
      <c r="Q449" s="223">
        <f>IFERROR(IF(P449&gt;0,P449-(TBIcalc!$H$9),""),"")</f>
        <v>0.442</v>
      </c>
      <c r="R449" s="223">
        <f>IFERROR(INDEX('Ashed teabags wet'!$K$2:$K$2000,MATCH(K449,'Ashed teabags wet'!$A$2:$A$2000,0)),"")</f>
        <v>8.8163662932295175</v>
      </c>
      <c r="S449" s="223">
        <f t="shared" si="32"/>
        <v>0.40303166098392551</v>
      </c>
      <c r="T449" s="224">
        <f>'WetLitterbags placem_collection'!E10</f>
        <v>42766</v>
      </c>
      <c r="U449" s="224">
        <f>IF('WetLitterbags placem_collection'!G10="","",'WetLitterbags placem_collection'!G10)</f>
        <v>42818</v>
      </c>
      <c r="V449" s="225">
        <f t="shared" si="30"/>
        <v>52</v>
      </c>
      <c r="W449" s="223">
        <f t="shared" si="33"/>
        <v>1.2242</v>
      </c>
      <c r="X449" s="223">
        <f t="shared" si="34"/>
        <v>1.1712813133080429</v>
      </c>
      <c r="Y449">
        <f>IFERROR(INDEX(Rainfall_Wet!$O$2:$O$217,MATCH(B449, Rainfall_Wet!$A$2:$A$217,0)),"")</f>
        <v>194.43839254400001</v>
      </c>
      <c r="Z449" s="228">
        <v>12.565665055683967</v>
      </c>
      <c r="AA449" s="228">
        <v>0.9665896196679955</v>
      </c>
      <c r="AB449" s="228">
        <v>86.467745324648035</v>
      </c>
      <c r="AC449" s="229" t="s">
        <v>2656</v>
      </c>
      <c r="AD449" s="228">
        <v>8.0225726959093109</v>
      </c>
      <c r="AE449">
        <f>IF('WetLitterbags placem_collection'!AB10="","",'WetLitterbags placem_collection'!AB10)</f>
        <v>36</v>
      </c>
      <c r="AF449">
        <f>IF('WetLitterbags placem_collection'!Z10="","",'WetLitterbags placem_collection'!Z10)</f>
        <v>38.4</v>
      </c>
      <c r="AG449" s="243" t="str">
        <f>IF('WetLitterbags placem_collection'!AA10="","",'WetLitterbags placem_collection'!AA10)</f>
        <v>M</v>
      </c>
      <c r="AH449" t="str">
        <f>IF('WetLitterbags placem_collection'!AC10="","",'WetLitterbags placem_collection'!AC10)</f>
        <v/>
      </c>
      <c r="AI449" s="237">
        <f>AVERAGE('WetLitterbags placem_collection'!S10,'WetLitterbags placem_collection'!U10)</f>
        <v>10.600000000000001</v>
      </c>
      <c r="AJ449">
        <f>AVERAGE('WetLitterbags placem_collection'!R10,'WetLitterbags placem_collection'!T10)</f>
        <v>25.5</v>
      </c>
      <c r="AK449">
        <f>INDEX(Coordinates!$B$2:$B$197,MATCH(H449,Coordinates!$J$2:$J$197,0))</f>
        <v>-3.3977320230000001</v>
      </c>
      <c r="AL449">
        <f>INDEX(Coordinates!$C$2:$C$197,MATCH(H449,Coordinates!$J$2:$J$197,0))</f>
        <v>34.837561989999998</v>
      </c>
      <c r="AM449" t="str">
        <f>IF(ISNUMBER(SEARCH("C", 'WetLitterbags placem_collection'!$X10)),"YES","NO")</f>
        <v>NO</v>
      </c>
      <c r="AN449" t="str">
        <f>IF(ISNUMBER(SEARCH("H", 'WetLitterbags placem_collection'!$X10)),"YES","NO")</f>
        <v>NO</v>
      </c>
      <c r="AO449" t="str">
        <f>IF(ISNUMBER(SEARCH("R", 'WetLitterbags placem_collection'!$X10)),"YES","NO")</f>
        <v>NO</v>
      </c>
    </row>
    <row r="450" spans="1:41" ht="15" customHeight="1">
      <c r="A450" s="255" t="s">
        <v>2454</v>
      </c>
      <c r="B450" s="260">
        <f>'Dry_Litterbag Placem_Collection'!A11</f>
        <v>9</v>
      </c>
      <c r="C450" s="260" t="str">
        <f>'Dry_Litterbag Placem_Collection'!B11</f>
        <v>Makao</v>
      </c>
      <c r="D450" s="260" t="s">
        <v>2643</v>
      </c>
      <c r="E450" s="260" t="s">
        <v>2644</v>
      </c>
      <c r="F450" s="260">
        <v>2</v>
      </c>
      <c r="G450" s="260" t="s">
        <v>3802</v>
      </c>
      <c r="H450" s="261" t="str">
        <f>'Dry_Litterbag Placem_Collection'!C11</f>
        <v>Dry_Ag2_T1</v>
      </c>
      <c r="I450" s="270" t="s">
        <v>3630</v>
      </c>
      <c r="J450" s="263" t="s">
        <v>1147</v>
      </c>
      <c r="K450" s="221" t="str">
        <f>'WetLitterbags placem_collection'!O11</f>
        <v>G476</v>
      </c>
      <c r="L450" s="223">
        <f>IFERROR(INDEX('Green_rooibos initial weight'!$C$5:$C$2000,MATCH(K450, 'Green_rooibos initial weight'!$A$5:$A$2000,0)),"")</f>
        <v>2.121</v>
      </c>
      <c r="M450" s="223">
        <f>IFERROR(L450-(TBIcalc!$H$9+TBIcalc!$H$10),"")</f>
        <v>1.8712</v>
      </c>
      <c r="N450" s="385">
        <f>AVERAGE(Ashed_controlls!$K$2:$K$11)</f>
        <v>5.5147656768714146</v>
      </c>
      <c r="O450" s="223">
        <f t="shared" si="31"/>
        <v>1.7680077046543821</v>
      </c>
      <c r="P450" s="223">
        <f>IFERROR(INDEX('Both teabags AfterWet'!$C$3:$C$840,MATCH(K450,'Both teabags AfterWet'!$A$3:$A$840,0)),"")</f>
        <v>0.66479999999999995</v>
      </c>
      <c r="Q450" s="223">
        <f>IFERROR(IF(P450&gt;0,P450-(TBIcalc!$H$9),""),"")</f>
        <v>0.51419999999999999</v>
      </c>
      <c r="R450" s="223">
        <f>IFERROR(INDEX('Ashed teabags wet'!$K$2:$K$2000,MATCH(K450,'Ashed teabags wet'!$A$2:$A$2000,0)),"")</f>
        <v>18.05555555555533</v>
      </c>
      <c r="S450" s="223">
        <f t="shared" si="32"/>
        <v>0.4213583333333345</v>
      </c>
      <c r="T450" s="224">
        <f>'WetLitterbags placem_collection'!E11</f>
        <v>42766</v>
      </c>
      <c r="U450" s="224">
        <f>IF('WetLitterbags placem_collection'!G11="","",'WetLitterbags placem_collection'!G11)</f>
        <v>42818</v>
      </c>
      <c r="V450" s="225">
        <f t="shared" ref="V450:V513" si="35">IFERROR(U450-T450,"")</f>
        <v>52</v>
      </c>
      <c r="W450" s="223">
        <f t="shared" si="33"/>
        <v>1.357</v>
      </c>
      <c r="X450" s="223">
        <f t="shared" si="34"/>
        <v>1.3466493713210475</v>
      </c>
      <c r="Y450">
        <f>IFERROR(INDEX(Rainfall_Wet!$O$2:$O$217,MATCH(B450, Rainfall_Wet!$A$2:$A$217,0)),"")</f>
        <v>194.43839254400001</v>
      </c>
      <c r="Z450" s="228">
        <v>21.13063730679653</v>
      </c>
      <c r="AA450" s="228">
        <v>3.0912555579081076</v>
      </c>
      <c r="AB450" s="228">
        <v>75.778107135295357</v>
      </c>
      <c r="AC450" s="229" t="s">
        <v>2654</v>
      </c>
      <c r="AD450" s="228">
        <v>0.46131099063578063</v>
      </c>
      <c r="AE450">
        <f>IF('WetLitterbags placem_collection'!AB11="","",'WetLitterbags placem_collection'!AB11)</f>
        <v>10.8</v>
      </c>
      <c r="AF450">
        <f>IF('WetLitterbags placem_collection'!Z11="","",'WetLitterbags placem_collection'!Z11)</f>
        <v>28.4</v>
      </c>
      <c r="AG450" s="243" t="str">
        <f>IF('WetLitterbags placem_collection'!AA11="","",'WetLitterbags placem_collection'!AA11)</f>
        <v>M</v>
      </c>
      <c r="AH450">
        <f>IF('WetLitterbags placem_collection'!AC11="","",'WetLitterbags placem_collection'!AC11)</f>
        <v>0</v>
      </c>
      <c r="AI450" s="237">
        <f>AVERAGE('WetLitterbags placem_collection'!S11,'WetLitterbags placem_collection'!U11)</f>
        <v>14.5</v>
      </c>
      <c r="AJ450">
        <f>AVERAGE('WetLitterbags placem_collection'!R11,'WetLitterbags placem_collection'!T11)</f>
        <v>24.4</v>
      </c>
      <c r="AK450">
        <f>INDEX(Coordinates!$B$2:$B$197,MATCH(H450,Coordinates!$J$2:$J$197,0))</f>
        <v>-3.3978290019999999</v>
      </c>
      <c r="AL450">
        <f>INDEX(Coordinates!$C$2:$C$197,MATCH(H450,Coordinates!$J$2:$J$197,0))</f>
        <v>34.837011969999999</v>
      </c>
      <c r="AM450" t="str">
        <f>IF(ISNUMBER(SEARCH("C", 'WetLitterbags placem_collection'!$X11)),"YES","NO")</f>
        <v>NO</v>
      </c>
      <c r="AN450" t="str">
        <f>IF(ISNUMBER(SEARCH("H", 'WetLitterbags placem_collection'!$X11)),"YES","NO")</f>
        <v>NO</v>
      </c>
      <c r="AO450" t="str">
        <f>IF(ISNUMBER(SEARCH("R", 'WetLitterbags placem_collection'!$X11)),"YES","NO")</f>
        <v>NO</v>
      </c>
    </row>
    <row r="451" spans="1:41" ht="15" customHeight="1">
      <c r="A451" s="255" t="s">
        <v>2454</v>
      </c>
      <c r="B451" s="260">
        <f>'Dry_Litterbag Placem_Collection'!A12</f>
        <v>10</v>
      </c>
      <c r="C451" s="260" t="str">
        <f>'Dry_Litterbag Placem_Collection'!B12</f>
        <v>Makao</v>
      </c>
      <c r="D451" s="260" t="s">
        <v>2643</v>
      </c>
      <c r="E451" s="260" t="s">
        <v>2644</v>
      </c>
      <c r="F451" s="260">
        <v>2</v>
      </c>
      <c r="G451" s="260" t="s">
        <v>3802</v>
      </c>
      <c r="H451" s="261" t="str">
        <f>'Dry_Litterbag Placem_Collection'!C12</f>
        <v>Dry_Ag2_T2</v>
      </c>
      <c r="I451" s="270" t="s">
        <v>3630</v>
      </c>
      <c r="J451" s="263" t="s">
        <v>1147</v>
      </c>
      <c r="K451" s="221" t="str">
        <f>'WetLitterbags placem_collection'!O12</f>
        <v>G606</v>
      </c>
      <c r="L451" s="223">
        <f>IFERROR(INDEX('Green_rooibos initial weight'!$C$5:$C$2000,MATCH(K451, 'Green_rooibos initial weight'!$A$5:$A$2000,0)),"")</f>
        <v>1.921</v>
      </c>
      <c r="M451" s="223">
        <f>IFERROR(L451-(TBIcalc!$H$9+TBIcalc!$H$10),"")</f>
        <v>1.6712</v>
      </c>
      <c r="N451" s="385">
        <f>AVERAGE(Ashed_controlls!$K$2:$K$11)</f>
        <v>5.5147656768714146</v>
      </c>
      <c r="O451" s="223">
        <f t="shared" ref="O451:O514" si="36">IFERROR(M451-(N451/100)*M451,"")</f>
        <v>1.5790372360081248</v>
      </c>
      <c r="P451" s="223">
        <f>IFERROR(INDEX('Both teabags AfterWet'!$C$3:$C$840,MATCH(K451,'Both teabags AfterWet'!$A$3:$A$840,0)),"")</f>
        <v>0.63539999999999996</v>
      </c>
      <c r="Q451" s="223">
        <f>IFERROR(IF(P451&gt;0,P451-(TBIcalc!$H$9),""),"")</f>
        <v>0.48479999999999995</v>
      </c>
      <c r="R451" s="223">
        <f>IFERROR(INDEX('Ashed teabags wet'!$K$2:$K$2000,MATCH(K451,'Ashed teabags wet'!$A$2:$A$2000,0)),"")</f>
        <v>10.416666666666313</v>
      </c>
      <c r="S451" s="223">
        <f t="shared" ref="S451:S514" si="37">IFERROR(Q451-(R451/100)*Q451,"")</f>
        <v>0.43430000000000168</v>
      </c>
      <c r="T451" s="224">
        <f>'WetLitterbags placem_collection'!E12</f>
        <v>42766</v>
      </c>
      <c r="U451" s="224">
        <f>IF('WetLitterbags placem_collection'!G12="","",'WetLitterbags placem_collection'!G12)</f>
        <v>42818</v>
      </c>
      <c r="V451" s="225">
        <f t="shared" si="35"/>
        <v>52</v>
      </c>
      <c r="W451" s="223">
        <f t="shared" ref="W451:W514" si="38">IFERROR(M451-Q451,"")</f>
        <v>1.1864000000000001</v>
      </c>
      <c r="X451" s="223">
        <f t="shared" ref="X451:X514" si="39">IFERROR(O451-S451,"")</f>
        <v>1.1447372360081232</v>
      </c>
      <c r="Y451">
        <f>IFERROR(INDEX(Rainfall_Wet!$O$2:$O$217,MATCH(B451, Rainfall_Wet!$A$2:$A$217,0)),"")</f>
        <v>194.43839254400001</v>
      </c>
      <c r="Z451" s="228">
        <v>21.13063730679653</v>
      </c>
      <c r="AA451" s="228">
        <v>3.0912555579081076</v>
      </c>
      <c r="AB451" s="228">
        <v>75.778107135295357</v>
      </c>
      <c r="AC451" s="229" t="s">
        <v>2654</v>
      </c>
      <c r="AD451" s="228">
        <v>1.46131099063578</v>
      </c>
      <c r="AE451">
        <f>IF('WetLitterbags placem_collection'!AB12="","",'WetLitterbags placem_collection'!AB12)</f>
        <v>16.8</v>
      </c>
      <c r="AF451">
        <f>IF('WetLitterbags placem_collection'!Z12="","",'WetLitterbags placem_collection'!Z12)</f>
        <v>30</v>
      </c>
      <c r="AG451" s="243" t="str">
        <f>IF('WetLitterbags placem_collection'!AA12="","",'WetLitterbags placem_collection'!AA12)</f>
        <v>M</v>
      </c>
      <c r="AH451">
        <f>IF('WetLitterbags placem_collection'!AC12="","",'WetLitterbags placem_collection'!AC12)</f>
        <v>0</v>
      </c>
      <c r="AI451" s="237">
        <f>AVERAGE('WetLitterbags placem_collection'!S12,'WetLitterbags placem_collection'!U12)</f>
        <v>14.649999999999999</v>
      </c>
      <c r="AJ451">
        <f>AVERAGE('WetLitterbags placem_collection'!R12,'WetLitterbags placem_collection'!T12)</f>
        <v>24.299999999999997</v>
      </c>
      <c r="AK451">
        <f>INDEX(Coordinates!$B$2:$B$197,MATCH(H451,Coordinates!$J$2:$J$197,0))</f>
        <v>-3.3978119869999999</v>
      </c>
      <c r="AL451">
        <f>INDEX(Coordinates!$C$2:$C$197,MATCH(H451,Coordinates!$J$2:$J$197,0))</f>
        <v>34.836968980000002</v>
      </c>
      <c r="AM451" t="str">
        <f>IF(ISNUMBER(SEARCH("C", 'WetLitterbags placem_collection'!$X12)),"YES","NO")</f>
        <v>NO</v>
      </c>
      <c r="AN451" t="str">
        <f>IF(ISNUMBER(SEARCH("H", 'WetLitterbags placem_collection'!$X12)),"YES","NO")</f>
        <v>NO</v>
      </c>
      <c r="AO451" t="str">
        <f>IF(ISNUMBER(SEARCH("R", 'WetLitterbags placem_collection'!$X12)),"YES","NO")</f>
        <v>NO</v>
      </c>
    </row>
    <row r="452" spans="1:41" ht="15" customHeight="1">
      <c r="A452" s="255" t="s">
        <v>2454</v>
      </c>
      <c r="B452" s="260">
        <f>'Dry_Litterbag Placem_Collection'!A13</f>
        <v>11</v>
      </c>
      <c r="C452" s="260" t="str">
        <f>'Dry_Litterbag Placem_Collection'!B13</f>
        <v>Makao</v>
      </c>
      <c r="D452" s="260" t="s">
        <v>2643</v>
      </c>
      <c r="E452" s="260" t="s">
        <v>2644</v>
      </c>
      <c r="F452" s="260">
        <v>2</v>
      </c>
      <c r="G452" s="260" t="s">
        <v>3802</v>
      </c>
      <c r="H452" s="261" t="str">
        <f>'Dry_Litterbag Placem_Collection'!C13</f>
        <v>Dry_Ag2_T3</v>
      </c>
      <c r="I452" s="270" t="s">
        <v>3630</v>
      </c>
      <c r="J452" s="263" t="s">
        <v>1147</v>
      </c>
      <c r="K452" s="221" t="str">
        <f>'WetLitterbags placem_collection'!O13</f>
        <v>G523</v>
      </c>
      <c r="L452" s="223">
        <f>IFERROR(INDEX('Green_rooibos initial weight'!$C$5:$C$2000,MATCH(K452, 'Green_rooibos initial weight'!$A$5:$A$2000,0)),"")</f>
        <v>2.1419999999999999</v>
      </c>
      <c r="M452" s="223">
        <f>IFERROR(L452-(TBIcalc!$H$9+TBIcalc!$H$10),"")</f>
        <v>1.8921999999999999</v>
      </c>
      <c r="N452" s="385">
        <f>AVERAGE(Ashed_controlls!$K$2:$K$11)</f>
        <v>5.5147656768714146</v>
      </c>
      <c r="O452" s="223">
        <f t="shared" si="36"/>
        <v>1.7878496038622389</v>
      </c>
      <c r="P452" s="223">
        <f>IFERROR(INDEX('Both teabags AfterWet'!$C$3:$C$840,MATCH(K452,'Both teabags AfterWet'!$A$3:$A$840,0)),"")</f>
        <v>0.63119999999999998</v>
      </c>
      <c r="Q452" s="223">
        <f>IFERROR(IF(P452&gt;0,P452-(TBIcalc!$H$9),""),"")</f>
        <v>0.48059999999999997</v>
      </c>
      <c r="R452" s="223">
        <f>IFERROR(INDEX('Ashed teabags wet'!$K$2:$K$2000,MATCH(K452,'Ashed teabags wet'!$A$2:$A$2000,0)),"")</f>
        <v>9.5734126984128558</v>
      </c>
      <c r="S452" s="223">
        <f t="shared" si="37"/>
        <v>0.43459017857142779</v>
      </c>
      <c r="T452" s="224">
        <f>'WetLitterbags placem_collection'!E13</f>
        <v>42766</v>
      </c>
      <c r="U452" s="224">
        <f>IF('WetLitterbags placem_collection'!G13="","",'WetLitterbags placem_collection'!G13)</f>
        <v>42818</v>
      </c>
      <c r="V452" s="225">
        <f t="shared" si="35"/>
        <v>52</v>
      </c>
      <c r="W452" s="223">
        <f t="shared" si="38"/>
        <v>1.4116</v>
      </c>
      <c r="X452" s="223">
        <f t="shared" si="39"/>
        <v>1.353259425290811</v>
      </c>
      <c r="Y452">
        <f>IFERROR(INDEX(Rainfall_Wet!$O$2:$O$217,MATCH(B452, Rainfall_Wet!$A$2:$A$217,0)),"")</f>
        <v>194.43839254400001</v>
      </c>
      <c r="Z452" s="228">
        <v>21.13063730679653</v>
      </c>
      <c r="AA452" s="228">
        <v>3.0912555579081076</v>
      </c>
      <c r="AB452" s="228">
        <v>75.778107135295357</v>
      </c>
      <c r="AC452" s="229" t="s">
        <v>2654</v>
      </c>
      <c r="AD452" s="228">
        <v>2.4613109906357802</v>
      </c>
      <c r="AE452">
        <f>IF('WetLitterbags placem_collection'!AB13="","",'WetLitterbags placem_collection'!AB13)</f>
        <v>11.4</v>
      </c>
      <c r="AF452">
        <f>IF('WetLitterbags placem_collection'!Z13="","",'WetLitterbags placem_collection'!Z13)</f>
        <v>24.4</v>
      </c>
      <c r="AG452" s="243" t="str">
        <f>IF('WetLitterbags placem_collection'!AA13="","",'WetLitterbags placem_collection'!AA13)</f>
        <v>M</v>
      </c>
      <c r="AH452">
        <f>IF('WetLitterbags placem_collection'!AC13="","",'WetLitterbags placem_collection'!AC13)</f>
        <v>0</v>
      </c>
      <c r="AI452" s="237">
        <f>AVERAGE('WetLitterbags placem_collection'!S13,'WetLitterbags placem_collection'!U13)</f>
        <v>21.1</v>
      </c>
      <c r="AJ452">
        <f>AVERAGE('WetLitterbags placem_collection'!R13,'WetLitterbags placem_collection'!T13)</f>
        <v>24.05</v>
      </c>
      <c r="AK452">
        <f>INDEX(Coordinates!$B$2:$B$197,MATCH(H452,Coordinates!$J$2:$J$197,0))</f>
        <v>-3.3977929599999999</v>
      </c>
      <c r="AL452">
        <f>INDEX(Coordinates!$C$2:$C$197,MATCH(H452,Coordinates!$J$2:$J$197,0))</f>
        <v>34.837102999999999</v>
      </c>
      <c r="AM452" t="str">
        <f>IF(ISNUMBER(SEARCH("C", 'WetLitterbags placem_collection'!$X13)),"YES","NO")</f>
        <v>NO</v>
      </c>
      <c r="AN452" t="str">
        <f>IF(ISNUMBER(SEARCH("H", 'WetLitterbags placem_collection'!$X13)),"YES","NO")</f>
        <v>NO</v>
      </c>
      <c r="AO452" t="str">
        <f>IF(ISNUMBER(SEARCH("R", 'WetLitterbags placem_collection'!$X13)),"YES","NO")</f>
        <v>NO</v>
      </c>
    </row>
    <row r="453" spans="1:41" ht="15" customHeight="1">
      <c r="A453" s="255" t="s">
        <v>2454</v>
      </c>
      <c r="B453" s="260">
        <f>'Dry_Litterbag Placem_Collection'!A14</f>
        <v>12</v>
      </c>
      <c r="C453" s="260" t="str">
        <f>'Dry_Litterbag Placem_Collection'!B14</f>
        <v>Makao</v>
      </c>
      <c r="D453" s="260" t="s">
        <v>2643</v>
      </c>
      <c r="E453" s="260" t="s">
        <v>2644</v>
      </c>
      <c r="F453" s="260">
        <v>2</v>
      </c>
      <c r="G453" s="260" t="s">
        <v>3802</v>
      </c>
      <c r="H453" s="261" t="str">
        <f>'Dry_Litterbag Placem_Collection'!C14</f>
        <v>Dry_Ag2_T4</v>
      </c>
      <c r="I453" s="270" t="s">
        <v>3630</v>
      </c>
      <c r="J453" s="263" t="s">
        <v>1147</v>
      </c>
      <c r="K453" s="221" t="str">
        <f>'WetLitterbags placem_collection'!O14</f>
        <v>G510</v>
      </c>
      <c r="L453" s="223">
        <f>IFERROR(INDEX('Green_rooibos initial weight'!$C$5:$C$2000,MATCH(K453, 'Green_rooibos initial weight'!$A$5:$A$2000,0)),"")</f>
        <v>1.91</v>
      </c>
      <c r="M453" s="223">
        <f>IFERROR(L453-(TBIcalc!$H$9+TBIcalc!$H$10),"")</f>
        <v>1.6601999999999999</v>
      </c>
      <c r="N453" s="385">
        <f>AVERAGE(Ashed_controlls!$K$2:$K$11)</f>
        <v>5.5147656768714146</v>
      </c>
      <c r="O453" s="223">
        <f t="shared" si="36"/>
        <v>1.5686438602325807</v>
      </c>
      <c r="P453" s="223" t="str">
        <f>IFERROR(INDEX('Both teabags AfterWet'!$C$3:$C$840,MATCH(K453,'Both teabags AfterWet'!$A$3:$A$840,0)),"")</f>
        <v/>
      </c>
      <c r="Q453" s="223" t="str">
        <f>IFERROR(IF(P453&gt;0,P453-(TBIcalc!$H$9),""),"")</f>
        <v/>
      </c>
      <c r="R453" s="223" t="str">
        <f>IFERROR(INDEX('Ashed teabags wet'!$K$2:$K$2000,MATCH(K453,'Ashed teabags wet'!$A$2:$A$2000,0)),"")</f>
        <v/>
      </c>
      <c r="S453" s="223" t="str">
        <f t="shared" si="37"/>
        <v/>
      </c>
      <c r="T453" s="224">
        <f>'WetLitterbags placem_collection'!E14</f>
        <v>42766</v>
      </c>
      <c r="U453" s="224">
        <f>IF('WetLitterbags placem_collection'!G14="","",'WetLitterbags placem_collection'!G14)</f>
        <v>42818</v>
      </c>
      <c r="V453" s="225">
        <f t="shared" si="35"/>
        <v>52</v>
      </c>
      <c r="W453" s="223" t="str">
        <f t="shared" si="38"/>
        <v/>
      </c>
      <c r="X453" s="223" t="str">
        <f t="shared" si="39"/>
        <v/>
      </c>
      <c r="Y453" t="str">
        <f>IFERROR(INDEX(Rainfall_Wet!$O$2:$O$217,MATCH(B453, Rainfall_Wet!$A$2:$A$217,0)),"")</f>
        <v/>
      </c>
      <c r="Z453" s="228">
        <v>21.13063730679653</v>
      </c>
      <c r="AA453" s="228">
        <v>3.0912555579081076</v>
      </c>
      <c r="AB453" s="228">
        <v>75.778107135295357</v>
      </c>
      <c r="AC453" s="229" t="s">
        <v>2654</v>
      </c>
      <c r="AD453" s="228">
        <v>3.4613109906357802</v>
      </c>
      <c r="AE453" t="str">
        <f>IF('WetLitterbags placem_collection'!AB14="","",'WetLitterbags placem_collection'!AB14)</f>
        <v/>
      </c>
      <c r="AF453" t="str">
        <f>IF('WetLitterbags placem_collection'!Z14="","",'WetLitterbags placem_collection'!Z14)</f>
        <v/>
      </c>
      <c r="AG453" s="243" t="str">
        <f>IF('WetLitterbags placem_collection'!AA14="","",'WetLitterbags placem_collection'!AA14)</f>
        <v/>
      </c>
      <c r="AH453" t="str">
        <f>IF('WetLitterbags placem_collection'!AC14="","",'WetLitterbags placem_collection'!AC14)</f>
        <v/>
      </c>
      <c r="AI453" s="237">
        <f>AVERAGE('WetLitterbags placem_collection'!S14,'WetLitterbags placem_collection'!U14)</f>
        <v>25.8</v>
      </c>
      <c r="AJ453">
        <f>AVERAGE('WetLitterbags placem_collection'!R14,'WetLitterbags placem_collection'!T14)</f>
        <v>21.7</v>
      </c>
      <c r="AK453">
        <f>INDEX(Coordinates!$B$2:$B$197,MATCH(H453,Coordinates!$J$2:$J$197,0))</f>
        <v>-3.3979050260000001</v>
      </c>
      <c r="AL453">
        <f>INDEX(Coordinates!$C$2:$C$197,MATCH(H453,Coordinates!$J$2:$J$197,0))</f>
        <v>34.837123030000001</v>
      </c>
      <c r="AM453" t="str">
        <f>IF(ISNUMBER(SEARCH("C", 'WetLitterbags placem_collection'!$X14)),"YES","NO")</f>
        <v>NO</v>
      </c>
      <c r="AN453" t="str">
        <f>IF(ISNUMBER(SEARCH("H", 'WetLitterbags placem_collection'!$X14)),"YES","NO")</f>
        <v>NO</v>
      </c>
      <c r="AO453" t="str">
        <f>IF(ISNUMBER(SEARCH("R", 'WetLitterbags placem_collection'!$X14)),"YES","NO")</f>
        <v>NO</v>
      </c>
    </row>
    <row r="454" spans="1:41" ht="15" customHeight="1">
      <c r="A454" s="255" t="s">
        <v>2454</v>
      </c>
      <c r="B454" s="260">
        <f>'Dry_Litterbag Placem_Collection'!A15</f>
        <v>13</v>
      </c>
      <c r="C454" s="260" t="str">
        <f>'Dry_Litterbag Placem_Collection'!B15</f>
        <v>Makao</v>
      </c>
      <c r="D454" s="260" t="s">
        <v>2643</v>
      </c>
      <c r="E454" s="260" t="s">
        <v>2644</v>
      </c>
      <c r="F454" s="260">
        <v>2</v>
      </c>
      <c r="G454" s="260" t="s">
        <v>3802</v>
      </c>
      <c r="H454" s="261" t="str">
        <f>'Dry_Litterbag Placem_Collection'!C15</f>
        <v>Dry_Ag2_T5</v>
      </c>
      <c r="I454" s="270" t="s">
        <v>3630</v>
      </c>
      <c r="J454" s="263" t="s">
        <v>1147</v>
      </c>
      <c r="K454" s="221" t="str">
        <f>'WetLitterbags placem_collection'!O15</f>
        <v>G241</v>
      </c>
      <c r="L454" s="223">
        <f>IFERROR(INDEX('Green_rooibos initial weight'!$C$5:$C$2000,MATCH(K454, 'Green_rooibos initial weight'!$A$5:$A$2000,0)),"")</f>
        <v>2.0179999999999998</v>
      </c>
      <c r="M454" s="223">
        <f>IFERROR(L454-(TBIcalc!$H$9+TBIcalc!$H$10),"")</f>
        <v>1.7681999999999998</v>
      </c>
      <c r="N454" s="385">
        <f>AVERAGE(Ashed_controlls!$K$2:$K$11)</f>
        <v>5.5147656768714146</v>
      </c>
      <c r="O454" s="223">
        <f t="shared" si="36"/>
        <v>1.6706879133015595</v>
      </c>
      <c r="P454" s="223">
        <f>IFERROR(INDEX('Both teabags AfterWet'!$C$3:$C$840,MATCH(K454,'Both teabags AfterWet'!$A$3:$A$840,0)),"")</f>
        <v>0.52059999999999995</v>
      </c>
      <c r="Q454" s="223">
        <f>IFERROR(IF(P454&gt;0,P454-(TBIcalc!$H$9),""),"")</f>
        <v>0.36999999999999994</v>
      </c>
      <c r="R454" s="223">
        <f>IFERROR(INDEX('Ashed teabags wet'!$K$2:$K$2000,MATCH(K454,'Ashed teabags wet'!$A$2:$A$2000,0)),"")</f>
        <v>17.872968980798372</v>
      </c>
      <c r="S454" s="223">
        <f t="shared" si="37"/>
        <v>0.30387001477104597</v>
      </c>
      <c r="T454" s="224">
        <f>'WetLitterbags placem_collection'!E15</f>
        <v>42766</v>
      </c>
      <c r="U454" s="224">
        <f>IF('WetLitterbags placem_collection'!G15="","",'WetLitterbags placem_collection'!G15)</f>
        <v>42818</v>
      </c>
      <c r="V454" s="225">
        <f t="shared" si="35"/>
        <v>52</v>
      </c>
      <c r="W454" s="223">
        <f t="shared" si="38"/>
        <v>1.3981999999999999</v>
      </c>
      <c r="X454" s="223">
        <f t="shared" si="39"/>
        <v>1.3668178985305135</v>
      </c>
      <c r="Y454">
        <f>IFERROR(INDEX(Rainfall_Wet!$O$2:$O$217,MATCH(B454, Rainfall_Wet!$A$2:$A$217,0)),"")</f>
        <v>194.43839254400001</v>
      </c>
      <c r="Z454" s="228">
        <v>21.13063730679653</v>
      </c>
      <c r="AA454" s="228">
        <v>3.0912555579081076</v>
      </c>
      <c r="AB454" s="228">
        <v>75.778107135295357</v>
      </c>
      <c r="AC454" s="229" t="s">
        <v>2654</v>
      </c>
      <c r="AD454" s="228">
        <v>4.4613109906357797</v>
      </c>
      <c r="AE454">
        <f>IF('WetLitterbags placem_collection'!AB15="","",'WetLitterbags placem_collection'!AB15)</f>
        <v>11.4</v>
      </c>
      <c r="AF454">
        <f>IF('WetLitterbags placem_collection'!Z15="","",'WetLitterbags placem_collection'!Z15)</f>
        <v>31</v>
      </c>
      <c r="AG454" s="243" t="str">
        <f>IF('WetLitterbags placem_collection'!AA15="","",'WetLitterbags placem_collection'!AA15)</f>
        <v>M</v>
      </c>
      <c r="AH454">
        <f>IF('WetLitterbags placem_collection'!AC15="","",'WetLitterbags placem_collection'!AC15)</f>
        <v>0</v>
      </c>
      <c r="AI454" s="237">
        <f>AVERAGE('WetLitterbags placem_collection'!S15,'WetLitterbags placem_collection'!U15)</f>
        <v>20.8</v>
      </c>
      <c r="AJ454">
        <f>AVERAGE('WetLitterbags placem_collection'!R15,'WetLitterbags placem_collection'!T15)</f>
        <v>23.4</v>
      </c>
      <c r="AK454">
        <f>INDEX(Coordinates!$B$2:$B$197,MATCH(H454,Coordinates!$J$2:$J$197,0))</f>
        <v>-3.3979040199999999</v>
      </c>
      <c r="AL454">
        <f>INDEX(Coordinates!$C$2:$C$197,MATCH(H454,Coordinates!$J$2:$J$197,0))</f>
        <v>34.837027980000002</v>
      </c>
      <c r="AM454" t="str">
        <f>IF(ISNUMBER(SEARCH("C", 'WetLitterbags placem_collection'!$X15)),"YES","NO")</f>
        <v>NO</v>
      </c>
      <c r="AN454" t="str">
        <f>IF(ISNUMBER(SEARCH("H", 'WetLitterbags placem_collection'!$X15)),"YES","NO")</f>
        <v>NO</v>
      </c>
      <c r="AO454" t="str">
        <f>IF(ISNUMBER(SEARCH("R", 'WetLitterbags placem_collection'!$X15)),"YES","NO")</f>
        <v>NO</v>
      </c>
    </row>
    <row r="455" spans="1:41" ht="15" customHeight="1">
      <c r="A455" s="255" t="s">
        <v>2454</v>
      </c>
      <c r="B455" s="260">
        <f>'Dry_Litterbag Placem_Collection'!A16</f>
        <v>14</v>
      </c>
      <c r="C455" s="260" t="str">
        <f>'Dry_Litterbag Placem_Collection'!B16</f>
        <v>Makao</v>
      </c>
      <c r="D455" s="260" t="s">
        <v>2643</v>
      </c>
      <c r="E455" s="260" t="s">
        <v>2644</v>
      </c>
      <c r="F455" s="260">
        <v>2</v>
      </c>
      <c r="G455" s="260" t="s">
        <v>3802</v>
      </c>
      <c r="H455" s="261" t="str">
        <f>'Dry_Litterbag Placem_Collection'!C16</f>
        <v>Dry_Ag2_T6</v>
      </c>
      <c r="I455" s="270" t="s">
        <v>3630</v>
      </c>
      <c r="J455" s="263" t="s">
        <v>1147</v>
      </c>
      <c r="K455" s="221" t="str">
        <f>'WetLitterbags placem_collection'!O16</f>
        <v>G503</v>
      </c>
      <c r="L455" s="223">
        <f>IFERROR(INDEX('Green_rooibos initial weight'!$C$5:$C$2000,MATCH(K455, 'Green_rooibos initial weight'!$A$5:$A$2000,0)),"")</f>
        <v>1.9810000000000001</v>
      </c>
      <c r="M455" s="223">
        <f>IFERROR(L455-(TBIcalc!$H$9+TBIcalc!$H$10),"")</f>
        <v>1.7312000000000001</v>
      </c>
      <c r="N455" s="385">
        <f>AVERAGE(Ashed_controlls!$K$2:$K$11)</f>
        <v>5.5147656768714146</v>
      </c>
      <c r="O455" s="223">
        <f t="shared" si="36"/>
        <v>1.6357283766020021</v>
      </c>
      <c r="P455" s="223">
        <f>IFERROR(INDEX('Both teabags AfterWet'!$C$3:$C$840,MATCH(K455,'Both teabags AfterWet'!$A$3:$A$840,0)),"")</f>
        <v>0.501</v>
      </c>
      <c r="Q455" s="223">
        <f>IFERROR(IF(P455&gt;0,P455-(TBIcalc!$H$9),""),"")</f>
        <v>0.35039999999999999</v>
      </c>
      <c r="R455" s="223">
        <f>IFERROR(INDEX('Ashed teabags wet'!$K$2:$K$2000,MATCH(K455,'Ashed teabags wet'!$A$2:$A$2000,0)),"")</f>
        <v>12.970297029702667</v>
      </c>
      <c r="S455" s="223">
        <f t="shared" si="37"/>
        <v>0.30495207920792183</v>
      </c>
      <c r="T455" s="224">
        <f>'WetLitterbags placem_collection'!E16</f>
        <v>42766</v>
      </c>
      <c r="U455" s="224">
        <f>IF('WetLitterbags placem_collection'!G16="","",'WetLitterbags placem_collection'!G16)</f>
        <v>42818</v>
      </c>
      <c r="V455" s="225">
        <f t="shared" si="35"/>
        <v>52</v>
      </c>
      <c r="W455" s="223">
        <f t="shared" si="38"/>
        <v>1.3808</v>
      </c>
      <c r="X455" s="223">
        <f t="shared" si="39"/>
        <v>1.3307762973940802</v>
      </c>
      <c r="Y455">
        <f>IFERROR(INDEX(Rainfall_Wet!$O$2:$O$217,MATCH(B455, Rainfall_Wet!$A$2:$A$217,0)),"")</f>
        <v>194.43839254400001</v>
      </c>
      <c r="Z455" s="228">
        <v>21.13063730679653</v>
      </c>
      <c r="AA455" s="228">
        <v>3.0912555579081076</v>
      </c>
      <c r="AB455" s="228">
        <v>75.778107135295357</v>
      </c>
      <c r="AC455" s="229" t="s">
        <v>2654</v>
      </c>
      <c r="AD455" s="228">
        <v>5.4613109906357797</v>
      </c>
      <c r="AE455">
        <f>IF('WetLitterbags placem_collection'!AB16="","",'WetLitterbags placem_collection'!AB16)</f>
        <v>28.4</v>
      </c>
      <c r="AF455">
        <f>IF('WetLitterbags placem_collection'!Z16="","",'WetLitterbags placem_collection'!Z16)</f>
        <v>42.4</v>
      </c>
      <c r="AG455" s="243" t="str">
        <f>IF('WetLitterbags placem_collection'!AA16="","",'WetLitterbags placem_collection'!AA16)</f>
        <v>M</v>
      </c>
      <c r="AH455">
        <f>IF('WetLitterbags placem_collection'!AC16="","",'WetLitterbags placem_collection'!AC16)</f>
        <v>0</v>
      </c>
      <c r="AI455" s="237">
        <f>AVERAGE('WetLitterbags placem_collection'!S16,'WetLitterbags placem_collection'!U16)</f>
        <v>15.7</v>
      </c>
      <c r="AJ455">
        <f>AVERAGE('WetLitterbags placem_collection'!R16,'WetLitterbags placem_collection'!T16)</f>
        <v>24.1</v>
      </c>
      <c r="AK455">
        <f>INDEX(Coordinates!$B$2:$B$197,MATCH(H455,Coordinates!$J$2:$J$197,0))</f>
        <v>-3.397854986</v>
      </c>
      <c r="AL455">
        <f>INDEX(Coordinates!$C$2:$C$197,MATCH(H455,Coordinates!$J$2:$J$197,0))</f>
        <v>34.836874010000002</v>
      </c>
      <c r="AM455" t="str">
        <f>IF(ISNUMBER(SEARCH("C", 'WetLitterbags placem_collection'!$X16)),"YES","NO")</f>
        <v>NO</v>
      </c>
      <c r="AN455" t="str">
        <f>IF(ISNUMBER(SEARCH("H", 'WetLitterbags placem_collection'!$X16)),"YES","NO")</f>
        <v>NO</v>
      </c>
      <c r="AO455" t="str">
        <f>IF(ISNUMBER(SEARCH("R", 'WetLitterbags placem_collection'!$X16)),"YES","NO")</f>
        <v>NO</v>
      </c>
    </row>
    <row r="456" spans="1:41" ht="15" customHeight="1">
      <c r="A456" s="255" t="s">
        <v>2454</v>
      </c>
      <c r="B456" s="260">
        <f>'Dry_Litterbag Placem_Collection'!A17</f>
        <v>15</v>
      </c>
      <c r="C456" s="260" t="str">
        <f>'Dry_Litterbag Placem_Collection'!B17</f>
        <v>Makao</v>
      </c>
      <c r="D456" s="260" t="s">
        <v>2643</v>
      </c>
      <c r="E456" s="260" t="s">
        <v>2644</v>
      </c>
      <c r="F456" s="260">
        <v>2</v>
      </c>
      <c r="G456" s="260" t="s">
        <v>3802</v>
      </c>
      <c r="H456" s="261" t="str">
        <f>'Dry_Litterbag Placem_Collection'!C17</f>
        <v>Dry_Ag2_T7</v>
      </c>
      <c r="I456" s="270" t="s">
        <v>3630</v>
      </c>
      <c r="J456" s="263" t="s">
        <v>1147</v>
      </c>
      <c r="K456" s="221" t="str">
        <f>'WetLitterbags placem_collection'!O17</f>
        <v>G685</v>
      </c>
      <c r="L456" s="223">
        <f>IFERROR(INDEX('Green_rooibos initial weight'!$C$5:$C$2000,MATCH(K456, 'Green_rooibos initial weight'!$A$5:$A$2000,0)),"")</f>
        <v>1.9810000000000001</v>
      </c>
      <c r="M456" s="223">
        <f>IFERROR(L456-(TBIcalc!$H$9+TBIcalc!$H$10),"")</f>
        <v>1.7312000000000001</v>
      </c>
      <c r="N456" s="385">
        <f>AVERAGE(Ashed_controlls!$K$2:$K$11)</f>
        <v>5.5147656768714146</v>
      </c>
      <c r="O456" s="223">
        <f t="shared" si="36"/>
        <v>1.6357283766020021</v>
      </c>
      <c r="P456" s="223">
        <f>IFERROR(INDEX('Both teabags AfterWet'!$C$3:$C$840,MATCH(K456,'Both teabags AfterWet'!$A$3:$A$840,0)),"")</f>
        <v>0.72199999999999998</v>
      </c>
      <c r="Q456" s="223">
        <f>IFERROR(IF(P456&gt;0,P456-(TBIcalc!$H$9),""),"")</f>
        <v>0.57139999999999991</v>
      </c>
      <c r="R456" s="223">
        <f>IFERROR(INDEX('Ashed teabags wet'!$K$2:$K$2000,MATCH(K456,'Ashed teabags wet'!$A$2:$A$2000,0)),"")</f>
        <v>22.716049382715465</v>
      </c>
      <c r="S456" s="223">
        <f t="shared" si="37"/>
        <v>0.44160049382716376</v>
      </c>
      <c r="T456" s="224">
        <f>'WetLitterbags placem_collection'!E17</f>
        <v>42766</v>
      </c>
      <c r="U456" s="224">
        <f>IF('WetLitterbags placem_collection'!G17="","",'WetLitterbags placem_collection'!G17)</f>
        <v>42818</v>
      </c>
      <c r="V456" s="225">
        <f t="shared" si="35"/>
        <v>52</v>
      </c>
      <c r="W456" s="223">
        <f t="shared" si="38"/>
        <v>1.1598000000000002</v>
      </c>
      <c r="X456" s="223">
        <f t="shared" si="39"/>
        <v>1.1941278827748383</v>
      </c>
      <c r="Y456">
        <f>IFERROR(INDEX(Rainfall_Wet!$O$2:$O$217,MATCH(B456, Rainfall_Wet!$A$2:$A$217,0)),"")</f>
        <v>194.43839254400001</v>
      </c>
      <c r="Z456" s="228">
        <v>21.13063730679653</v>
      </c>
      <c r="AA456" s="228">
        <v>3.0912555579081076</v>
      </c>
      <c r="AB456" s="228">
        <v>75.778107135295357</v>
      </c>
      <c r="AC456" s="229" t="s">
        <v>2654</v>
      </c>
      <c r="AD456" s="228">
        <v>6.4613109906357797</v>
      </c>
      <c r="AE456">
        <f>IF('WetLitterbags placem_collection'!AB17="","",'WetLitterbags placem_collection'!AB17)</f>
        <v>15.8</v>
      </c>
      <c r="AF456">
        <f>IF('WetLitterbags placem_collection'!Z17="","",'WetLitterbags placem_collection'!Z17)</f>
        <v>30.4</v>
      </c>
      <c r="AG456" s="243" t="str">
        <f>IF('WetLitterbags placem_collection'!AA17="","",'WetLitterbags placem_collection'!AA17)</f>
        <v>M</v>
      </c>
      <c r="AH456">
        <f>IF('WetLitterbags placem_collection'!AC17="","",'WetLitterbags placem_collection'!AC17)</f>
        <v>0</v>
      </c>
      <c r="AI456" s="237">
        <f>AVERAGE('WetLitterbags placem_collection'!S17,'WetLitterbags placem_collection'!U17)</f>
        <v>23.9</v>
      </c>
      <c r="AJ456">
        <f>AVERAGE('WetLitterbags placem_collection'!R17,'WetLitterbags placem_collection'!T17)</f>
        <v>23.95</v>
      </c>
      <c r="AK456">
        <f>INDEX(Coordinates!$B$2:$B$197,MATCH(H456,Coordinates!$J$2:$J$197,0))</f>
        <v>-3.3978060349999999</v>
      </c>
      <c r="AL456">
        <f>INDEX(Coordinates!$C$2:$C$197,MATCH(H456,Coordinates!$J$2:$J$197,0))</f>
        <v>34.837023960000003</v>
      </c>
      <c r="AM456" t="str">
        <f>IF(ISNUMBER(SEARCH("C", 'WetLitterbags placem_collection'!$X17)),"YES","NO")</f>
        <v>NO</v>
      </c>
      <c r="AN456" t="str">
        <f>IF(ISNUMBER(SEARCH("H", 'WetLitterbags placem_collection'!$X17)),"YES","NO")</f>
        <v>NO</v>
      </c>
      <c r="AO456" t="str">
        <f>IF(ISNUMBER(SEARCH("R", 'WetLitterbags placem_collection'!$X17)),"YES","NO")</f>
        <v>YES</v>
      </c>
    </row>
    <row r="457" spans="1:41" ht="15" customHeight="1">
      <c r="A457" s="255" t="s">
        <v>2454</v>
      </c>
      <c r="B457" s="260">
        <f>'Dry_Litterbag Placem_Collection'!A18</f>
        <v>16</v>
      </c>
      <c r="C457" s="260" t="str">
        <f>'Dry_Litterbag Placem_Collection'!B18</f>
        <v>Makao</v>
      </c>
      <c r="D457" s="260" t="s">
        <v>2643</v>
      </c>
      <c r="E457" s="260" t="s">
        <v>2644</v>
      </c>
      <c r="F457" s="260">
        <v>2</v>
      </c>
      <c r="G457" s="260" t="s">
        <v>3802</v>
      </c>
      <c r="H457" s="261" t="str">
        <f>'Dry_Litterbag Placem_Collection'!C18</f>
        <v>Dry_Ag2_T8</v>
      </c>
      <c r="I457" s="270" t="s">
        <v>3630</v>
      </c>
      <c r="J457" s="263" t="s">
        <v>1147</v>
      </c>
      <c r="K457" s="221" t="str">
        <f>'WetLitterbags placem_collection'!O18</f>
        <v>G644</v>
      </c>
      <c r="L457" s="223">
        <f>IFERROR(INDEX('Green_rooibos initial weight'!$C$5:$C$2000,MATCH(K457, 'Green_rooibos initial weight'!$A$5:$A$2000,0)),"")</f>
        <v>2.157</v>
      </c>
      <c r="M457" s="223">
        <f>IFERROR(L457-(TBIcalc!$H$9+TBIcalc!$H$10),"")</f>
        <v>1.9072</v>
      </c>
      <c r="N457" s="385">
        <f>AVERAGE(Ashed_controlls!$K$2:$K$11)</f>
        <v>5.5147656768714146</v>
      </c>
      <c r="O457" s="223">
        <f t="shared" si="36"/>
        <v>1.8020223890107083</v>
      </c>
      <c r="P457" s="223">
        <f>IFERROR(INDEX('Both teabags AfterWet'!$C$3:$C$840,MATCH(K457,'Both teabags AfterWet'!$A$3:$A$840,0)),"")</f>
        <v>0.65410000000000001</v>
      </c>
      <c r="Q457" s="223">
        <f>IFERROR(IF(P457&gt;0,P457-(TBIcalc!$H$9),""),"")</f>
        <v>0.50350000000000006</v>
      </c>
      <c r="R457" s="223">
        <f>IFERROR(INDEX('Ashed teabags wet'!$K$2:$K$2000,MATCH(K457,'Ashed teabags wet'!$A$2:$A$2000,0)),"")</f>
        <v>8.8551859099799302</v>
      </c>
      <c r="S457" s="223">
        <f t="shared" si="37"/>
        <v>0.45891413894325112</v>
      </c>
      <c r="T457" s="224">
        <f>'WetLitterbags placem_collection'!E18</f>
        <v>42766</v>
      </c>
      <c r="U457" s="224">
        <f>IF('WetLitterbags placem_collection'!G18="","",'WetLitterbags placem_collection'!G18)</f>
        <v>42818</v>
      </c>
      <c r="V457" s="225">
        <f t="shared" si="35"/>
        <v>52</v>
      </c>
      <c r="W457" s="223">
        <f t="shared" si="38"/>
        <v>1.4036999999999999</v>
      </c>
      <c r="X457" s="223">
        <f t="shared" si="39"/>
        <v>1.3431082500674572</v>
      </c>
      <c r="Y457">
        <f>IFERROR(INDEX(Rainfall_Wet!$O$2:$O$217,MATCH(B457, Rainfall_Wet!$A$2:$A$217,0)),"")</f>
        <v>194.43839254400001</v>
      </c>
      <c r="Z457" s="228">
        <v>21.13063730679653</v>
      </c>
      <c r="AA457" s="228">
        <v>3.0912555579081076</v>
      </c>
      <c r="AB457" s="228">
        <v>75.778107135295357</v>
      </c>
      <c r="AC457" s="229" t="s">
        <v>2654</v>
      </c>
      <c r="AD457" s="228">
        <v>7.4613109906357797</v>
      </c>
      <c r="AE457">
        <f>IF('WetLitterbags placem_collection'!AB18="","",'WetLitterbags placem_collection'!AB18)</f>
        <v>8</v>
      </c>
      <c r="AF457">
        <f>IF('WetLitterbags placem_collection'!Z18="","",'WetLitterbags placem_collection'!Z18)</f>
        <v>12.4</v>
      </c>
      <c r="AG457" s="243" t="str">
        <f>IF('WetLitterbags placem_collection'!AA18="","",'WetLitterbags placem_collection'!AA18)</f>
        <v>M</v>
      </c>
      <c r="AH457">
        <f>IF('WetLitterbags placem_collection'!AC18="","",'WetLitterbags placem_collection'!AC18)</f>
        <v>0</v>
      </c>
      <c r="AI457" s="237">
        <f>AVERAGE('WetLitterbags placem_collection'!S18,'WetLitterbags placem_collection'!U18)</f>
        <v>17.5</v>
      </c>
      <c r="AJ457">
        <f>AVERAGE('WetLitterbags placem_collection'!R18,'WetLitterbags placem_collection'!T18)</f>
        <v>24.05</v>
      </c>
      <c r="AK457">
        <f>INDEX(Coordinates!$B$2:$B$197,MATCH(H457,Coordinates!$J$2:$J$197,0))</f>
        <v>-3.3977669760000002</v>
      </c>
      <c r="AL457">
        <f>INDEX(Coordinates!$C$2:$C$197,MATCH(H457,Coordinates!$J$2:$J$197,0))</f>
        <v>34.837181039999997</v>
      </c>
      <c r="AM457" t="str">
        <f>IF(ISNUMBER(SEARCH("C", 'WetLitterbags placem_collection'!$X18)),"YES","NO")</f>
        <v>NO</v>
      </c>
      <c r="AN457" t="str">
        <f>IF(ISNUMBER(SEARCH("H", 'WetLitterbags placem_collection'!$X18)),"YES","NO")</f>
        <v>NO</v>
      </c>
      <c r="AO457" t="str">
        <f>IF(ISNUMBER(SEARCH("R", 'WetLitterbags placem_collection'!$X18)),"YES","NO")</f>
        <v>YES</v>
      </c>
    </row>
    <row r="458" spans="1:41" ht="15" customHeight="1">
      <c r="A458" s="255" t="s">
        <v>2454</v>
      </c>
      <c r="B458" s="260">
        <f>'Dry_Litterbag Placem_Collection'!A19</f>
        <v>17</v>
      </c>
      <c r="C458" s="260" t="str">
        <f>'Dry_Litterbag Placem_Collection'!B19</f>
        <v>Makao</v>
      </c>
      <c r="D458" s="260" t="s">
        <v>2643</v>
      </c>
      <c r="E458" s="260" t="s">
        <v>2644</v>
      </c>
      <c r="F458" s="260">
        <v>3</v>
      </c>
      <c r="G458" s="260" t="s">
        <v>3803</v>
      </c>
      <c r="H458" s="261" t="str">
        <f>'Dry_Litterbag Placem_Collection'!C19</f>
        <v>Dry_Ag3_T1</v>
      </c>
      <c r="I458" s="270" t="s">
        <v>3630</v>
      </c>
      <c r="J458" s="263" t="s">
        <v>1147</v>
      </c>
      <c r="K458" s="221" t="str">
        <f>'WetLitterbags placem_collection'!O19</f>
        <v>G648</v>
      </c>
      <c r="L458" s="223">
        <f>IFERROR(INDEX('Green_rooibos initial weight'!$C$5:$C$2000,MATCH(K458, 'Green_rooibos initial weight'!$A$5:$A$2000,0)),"")</f>
        <v>2.0249999999999999</v>
      </c>
      <c r="M458" s="223">
        <f>IFERROR(L458-(TBIcalc!$H$9+TBIcalc!$H$10),"")</f>
        <v>1.7751999999999999</v>
      </c>
      <c r="N458" s="385">
        <f>AVERAGE(Ashed_controlls!$K$2:$K$11)</f>
        <v>5.5147656768714146</v>
      </c>
      <c r="O458" s="223">
        <f t="shared" si="36"/>
        <v>1.6773018797041785</v>
      </c>
      <c r="P458" s="223">
        <f>IFERROR(INDEX('Both teabags AfterWet'!$C$3:$C$840,MATCH(K458,'Both teabags AfterWet'!$A$3:$A$840,0)),"")</f>
        <v>0.6905</v>
      </c>
      <c r="Q458" s="223">
        <f>IFERROR(IF(P458&gt;0,P458-(TBIcalc!$H$9),""),"")</f>
        <v>0.53990000000000005</v>
      </c>
      <c r="R458" s="223">
        <f>IFERROR(INDEX('Ashed teabags wet'!$K$2:$K$2000,MATCH(K458,'Ashed teabags wet'!$A$2:$A$2000,0)),"")</f>
        <v>10.088582677165091</v>
      </c>
      <c r="S458" s="223">
        <f t="shared" si="37"/>
        <v>0.48543174212598572</v>
      </c>
      <c r="T458" s="224">
        <f>'WetLitterbags placem_collection'!E19</f>
        <v>42767</v>
      </c>
      <c r="U458" s="224">
        <f>IF('WetLitterbags placem_collection'!G19="","",'WetLitterbags placem_collection'!G19)</f>
        <v>42818</v>
      </c>
      <c r="V458" s="225">
        <f t="shared" si="35"/>
        <v>51</v>
      </c>
      <c r="W458" s="223">
        <f t="shared" si="38"/>
        <v>1.2352999999999998</v>
      </c>
      <c r="X458" s="223">
        <f t="shared" si="39"/>
        <v>1.1918701375781928</v>
      </c>
      <c r="Y458">
        <f>IFERROR(INDEX(Rainfall_Wet!$O$2:$O$217,MATCH(B458, Rainfall_Wet!$A$2:$A$217,0)),"")</f>
        <v>185.630065823</v>
      </c>
      <c r="Z458" s="228">
        <v>54.080969906906262</v>
      </c>
      <c r="AA458" s="228">
        <v>21.264484651351896</v>
      </c>
      <c r="AB458" s="228">
        <v>24.654545441741845</v>
      </c>
      <c r="AC458" s="229" t="s">
        <v>2657</v>
      </c>
      <c r="AD458" s="228">
        <v>1.8433218334154755</v>
      </c>
      <c r="AE458" t="str">
        <f>IF('WetLitterbags placem_collection'!AB19="","",'WetLitterbags placem_collection'!AB19)</f>
        <v/>
      </c>
      <c r="AF458" t="str">
        <f>IF('WetLitterbags placem_collection'!Z19="","",'WetLitterbags placem_collection'!Z19)</f>
        <v/>
      </c>
      <c r="AG458" s="243" t="str">
        <f>IF('WetLitterbags placem_collection'!AA19="","",'WetLitterbags placem_collection'!AA19)</f>
        <v/>
      </c>
      <c r="AH458" t="str">
        <f>IF('WetLitterbags placem_collection'!AC19="","",'WetLitterbags placem_collection'!AC19)</f>
        <v/>
      </c>
      <c r="AI458" s="237">
        <f>AVERAGE('WetLitterbags placem_collection'!S19,'WetLitterbags placem_collection'!U19)</f>
        <v>35.9</v>
      </c>
      <c r="AJ458">
        <f>AVERAGE('WetLitterbags placem_collection'!R19,'WetLitterbags placem_collection'!T19)</f>
        <v>21.35</v>
      </c>
      <c r="AK458">
        <f>INDEX(Coordinates!$B$2:$B$197,MATCH(H458,Coordinates!$J$2:$J$197,0))</f>
        <v>-3.3854090330000002</v>
      </c>
      <c r="AL458">
        <f>INDEX(Coordinates!$C$2:$C$197,MATCH(H458,Coordinates!$J$2:$J$197,0))</f>
        <v>34.818901029999999</v>
      </c>
      <c r="AM458" t="str">
        <f>IF(ISNUMBER(SEARCH("C", 'WetLitterbags placem_collection'!$X19)),"YES","NO")</f>
        <v>NO</v>
      </c>
      <c r="AN458" t="str">
        <f>IF(ISNUMBER(SEARCH("H", 'WetLitterbags placem_collection'!$X19)),"YES","NO")</f>
        <v>NO</v>
      </c>
      <c r="AO458" t="str">
        <f>IF(ISNUMBER(SEARCH("R", 'WetLitterbags placem_collection'!$X19)),"YES","NO")</f>
        <v>YES</v>
      </c>
    </row>
    <row r="459" spans="1:41" ht="15" customHeight="1">
      <c r="A459" s="255" t="s">
        <v>2454</v>
      </c>
      <c r="B459" s="260">
        <f>'Dry_Litterbag Placem_Collection'!A20</f>
        <v>18</v>
      </c>
      <c r="C459" s="260" t="str">
        <f>'Dry_Litterbag Placem_Collection'!B20</f>
        <v>Makao</v>
      </c>
      <c r="D459" s="260" t="s">
        <v>2643</v>
      </c>
      <c r="E459" s="260" t="s">
        <v>2644</v>
      </c>
      <c r="F459" s="260">
        <v>3</v>
      </c>
      <c r="G459" s="260" t="s">
        <v>3803</v>
      </c>
      <c r="H459" s="261" t="str">
        <f>'Dry_Litterbag Placem_Collection'!C20</f>
        <v>Dry_Ag3_T2</v>
      </c>
      <c r="I459" s="270" t="s">
        <v>3630</v>
      </c>
      <c r="J459" s="263" t="s">
        <v>1147</v>
      </c>
      <c r="K459" s="221" t="str">
        <f>'WetLitterbags placem_collection'!O20</f>
        <v>G573</v>
      </c>
      <c r="L459" s="223">
        <f>IFERROR(INDEX('Green_rooibos initial weight'!$C$5:$C$2000,MATCH(K459, 'Green_rooibos initial weight'!$A$5:$A$2000,0)),"")</f>
        <v>2.0019999999999998</v>
      </c>
      <c r="M459" s="223">
        <f>IFERROR(L459-(TBIcalc!$H$9+TBIcalc!$H$10),"")</f>
        <v>1.7521999999999998</v>
      </c>
      <c r="N459" s="385">
        <f>AVERAGE(Ashed_controlls!$K$2:$K$11)</f>
        <v>5.5147656768714146</v>
      </c>
      <c r="O459" s="223">
        <f t="shared" si="36"/>
        <v>1.6555702758098589</v>
      </c>
      <c r="P459" s="223">
        <f>IFERROR(INDEX('Both teabags AfterWet'!$C$3:$C$840,MATCH(K459,'Both teabags AfterWet'!$A$3:$A$840,0)),"")</f>
        <v>0.72099999999999997</v>
      </c>
      <c r="Q459" s="223">
        <f>IFERROR(IF(P459&gt;0,P459-(TBIcalc!$H$9),""),"")</f>
        <v>0.57040000000000002</v>
      </c>
      <c r="R459" s="223">
        <f>IFERROR(INDEX('Ashed teabags wet'!$K$2:$K$2000,MATCH(K459,'Ashed teabags wet'!$A$2:$A$2000,0)),"")</f>
        <v>14.100096246390503</v>
      </c>
      <c r="S459" s="223">
        <f t="shared" si="37"/>
        <v>0.48997305101058858</v>
      </c>
      <c r="T459" s="224">
        <f>'WetLitterbags placem_collection'!E20</f>
        <v>42767</v>
      </c>
      <c r="U459" s="224">
        <f>IF('WetLitterbags placem_collection'!G20="","",'WetLitterbags placem_collection'!G20)</f>
        <v>42818</v>
      </c>
      <c r="V459" s="225">
        <f t="shared" si="35"/>
        <v>51</v>
      </c>
      <c r="W459" s="223">
        <f t="shared" si="38"/>
        <v>1.1817999999999997</v>
      </c>
      <c r="X459" s="223">
        <f t="shared" si="39"/>
        <v>1.1655972247992703</v>
      </c>
      <c r="Y459">
        <f>IFERROR(INDEX(Rainfall_Wet!$O$2:$O$217,MATCH(B459, Rainfall_Wet!$A$2:$A$217,0)),"")</f>
        <v>185.630065823</v>
      </c>
      <c r="Z459" s="228">
        <v>54.080969906906262</v>
      </c>
      <c r="AA459" s="228">
        <v>21.264484651351896</v>
      </c>
      <c r="AB459" s="228">
        <v>24.654545441741845</v>
      </c>
      <c r="AC459" s="229" t="s">
        <v>2657</v>
      </c>
      <c r="AD459" s="228">
        <v>2.8433218334154802</v>
      </c>
      <c r="AE459" t="str">
        <f>IF('WetLitterbags placem_collection'!AB20="","",'WetLitterbags placem_collection'!AB20)</f>
        <v/>
      </c>
      <c r="AF459" t="str">
        <f>IF('WetLitterbags placem_collection'!Z20="","",'WetLitterbags placem_collection'!Z20)</f>
        <v/>
      </c>
      <c r="AG459" s="243" t="str">
        <f>IF('WetLitterbags placem_collection'!AA20="","",'WetLitterbags placem_collection'!AA20)</f>
        <v/>
      </c>
      <c r="AH459" t="str">
        <f>IF('WetLitterbags placem_collection'!AC20="","",'WetLitterbags placem_collection'!AC20)</f>
        <v/>
      </c>
      <c r="AI459" s="237">
        <f>AVERAGE('WetLitterbags placem_collection'!S20,'WetLitterbags placem_collection'!U20)</f>
        <v>36.950000000000003</v>
      </c>
      <c r="AJ459">
        <f>AVERAGE('WetLitterbags placem_collection'!R20,'WetLitterbags placem_collection'!T20)</f>
        <v>21.35</v>
      </c>
      <c r="AK459">
        <f>INDEX(Coordinates!$B$2:$B$197,MATCH(H459,Coordinates!$J$2:$J$197,0))</f>
        <v>-3.385375002</v>
      </c>
      <c r="AL459">
        <f>INDEX(Coordinates!$C$2:$C$197,MATCH(H459,Coordinates!$J$2:$J$197,0))</f>
        <v>34.818939999999998</v>
      </c>
      <c r="AM459" t="str">
        <f>IF(ISNUMBER(SEARCH("C", 'WetLitterbags placem_collection'!$X20)),"YES","NO")</f>
        <v>NO</v>
      </c>
      <c r="AN459" t="str">
        <f>IF(ISNUMBER(SEARCH("H", 'WetLitterbags placem_collection'!$X20)),"YES","NO")</f>
        <v>NO</v>
      </c>
      <c r="AO459" t="str">
        <f>IF(ISNUMBER(SEARCH("R", 'WetLitterbags placem_collection'!$X20)),"YES","NO")</f>
        <v>YES</v>
      </c>
    </row>
    <row r="460" spans="1:41" ht="15" customHeight="1">
      <c r="A460" s="255" t="s">
        <v>2454</v>
      </c>
      <c r="B460" s="260">
        <f>'Dry_Litterbag Placem_Collection'!A21</f>
        <v>19</v>
      </c>
      <c r="C460" s="260" t="str">
        <f>'Dry_Litterbag Placem_Collection'!B21</f>
        <v>Makao</v>
      </c>
      <c r="D460" s="260" t="s">
        <v>2643</v>
      </c>
      <c r="E460" s="260" t="s">
        <v>2644</v>
      </c>
      <c r="F460" s="260">
        <v>3</v>
      </c>
      <c r="G460" s="260" t="s">
        <v>3803</v>
      </c>
      <c r="H460" s="261" t="str">
        <f>'Dry_Litterbag Placem_Collection'!C21</f>
        <v>Dry_Ag3_T3</v>
      </c>
      <c r="I460" s="270" t="s">
        <v>3630</v>
      </c>
      <c r="J460" s="263" t="s">
        <v>1147</v>
      </c>
      <c r="K460" s="221" t="str">
        <f>'WetLitterbags placem_collection'!O21</f>
        <v>G639</v>
      </c>
      <c r="L460" s="223">
        <f>IFERROR(INDEX('Green_rooibos initial weight'!$C$5:$C$2000,MATCH(K460, 'Green_rooibos initial weight'!$A$5:$A$2000,0)),"")</f>
        <v>2.1909999999999998</v>
      </c>
      <c r="M460" s="223">
        <f>IFERROR(L460-(TBIcalc!$H$9+TBIcalc!$H$10),"")</f>
        <v>1.9411999999999998</v>
      </c>
      <c r="N460" s="385">
        <f>AVERAGE(Ashed_controlls!$K$2:$K$11)</f>
        <v>5.5147656768714146</v>
      </c>
      <c r="O460" s="223">
        <f t="shared" si="36"/>
        <v>1.834147368680572</v>
      </c>
      <c r="P460" s="223">
        <f>IFERROR(INDEX('Both teabags AfterWet'!$C$3:$C$840,MATCH(K460,'Both teabags AfterWet'!$A$3:$A$840,0)),"")</f>
        <v>0.89200000000000002</v>
      </c>
      <c r="Q460" s="223">
        <f>IFERROR(IF(P460&gt;0,P460-(TBIcalc!$H$9),""),"")</f>
        <v>0.74140000000000006</v>
      </c>
      <c r="R460" s="223">
        <f>IFERROR(INDEX('Ashed teabags wet'!$K$2:$K$2000,MATCH(K460,'Ashed teabags wet'!$A$2:$A$2000,0)),"")</f>
        <v>16.616616616617133</v>
      </c>
      <c r="S460" s="223">
        <f t="shared" si="37"/>
        <v>0.61820440440440061</v>
      </c>
      <c r="T460" s="224">
        <f>'WetLitterbags placem_collection'!E21</f>
        <v>42767</v>
      </c>
      <c r="U460" s="224">
        <f>IF('WetLitterbags placem_collection'!G21="","",'WetLitterbags placem_collection'!G21)</f>
        <v>42818</v>
      </c>
      <c r="V460" s="225">
        <f t="shared" si="35"/>
        <v>51</v>
      </c>
      <c r="W460" s="223">
        <f t="shared" si="38"/>
        <v>1.1997999999999998</v>
      </c>
      <c r="X460" s="223">
        <f t="shared" si="39"/>
        <v>1.2159429642761714</v>
      </c>
      <c r="Y460">
        <f>IFERROR(INDEX(Rainfall_Wet!$O$2:$O$217,MATCH(B460, Rainfall_Wet!$A$2:$A$217,0)),"")</f>
        <v>185.630065823</v>
      </c>
      <c r="Z460" s="228">
        <v>54.080969906906262</v>
      </c>
      <c r="AA460" s="228">
        <v>21.264484651351896</v>
      </c>
      <c r="AB460" s="228">
        <v>24.654545441741845</v>
      </c>
      <c r="AC460" s="229" t="s">
        <v>2657</v>
      </c>
      <c r="AD460" s="228">
        <v>3.8433218334154802</v>
      </c>
      <c r="AE460" t="str">
        <f>IF('WetLitterbags placem_collection'!AB21="","",'WetLitterbags placem_collection'!AB21)</f>
        <v/>
      </c>
      <c r="AF460" t="str">
        <f>IF('WetLitterbags placem_collection'!Z21="","",'WetLitterbags placem_collection'!Z21)</f>
        <v/>
      </c>
      <c r="AG460" s="243" t="str">
        <f>IF('WetLitterbags placem_collection'!AA21="","",'WetLitterbags placem_collection'!AA21)</f>
        <v/>
      </c>
      <c r="AH460" t="str">
        <f>IF('WetLitterbags placem_collection'!AC21="","",'WetLitterbags placem_collection'!AC21)</f>
        <v/>
      </c>
      <c r="AI460" s="237">
        <f>AVERAGE('WetLitterbags placem_collection'!S21,'WetLitterbags placem_collection'!U21)</f>
        <v>39.299999999999997</v>
      </c>
      <c r="AJ460">
        <f>AVERAGE('WetLitterbags placem_collection'!R21,'WetLitterbags placem_collection'!T21)</f>
        <v>21.1</v>
      </c>
      <c r="AK460">
        <f>INDEX(Coordinates!$B$2:$B$197,MATCH(H460,Coordinates!$J$2:$J$197,0))</f>
        <v>-3.3853589930000001</v>
      </c>
      <c r="AL460">
        <f>INDEX(Coordinates!$C$2:$C$197,MATCH(H460,Coordinates!$J$2:$J$197,0))</f>
        <v>34.818991969999999</v>
      </c>
      <c r="AM460" t="str">
        <f>IF(ISNUMBER(SEARCH("C", 'WetLitterbags placem_collection'!$X21)),"YES","NO")</f>
        <v>NO</v>
      </c>
      <c r="AN460" t="str">
        <f>IF(ISNUMBER(SEARCH("H", 'WetLitterbags placem_collection'!$X21)),"YES","NO")</f>
        <v>NO</v>
      </c>
      <c r="AO460" t="str">
        <f>IF(ISNUMBER(SEARCH("R", 'WetLitterbags placem_collection'!$X21)),"YES","NO")</f>
        <v>NO</v>
      </c>
    </row>
    <row r="461" spans="1:41" ht="15" customHeight="1">
      <c r="A461" s="255" t="s">
        <v>2454</v>
      </c>
      <c r="B461" s="260">
        <f>'Dry_Litterbag Placem_Collection'!A22</f>
        <v>20</v>
      </c>
      <c r="C461" s="260" t="str">
        <f>'Dry_Litterbag Placem_Collection'!B22</f>
        <v>Makao</v>
      </c>
      <c r="D461" s="260" t="s">
        <v>2643</v>
      </c>
      <c r="E461" s="260" t="s">
        <v>2644</v>
      </c>
      <c r="F461" s="260">
        <v>3</v>
      </c>
      <c r="G461" s="260" t="s">
        <v>3803</v>
      </c>
      <c r="H461" s="261" t="str">
        <f>'Dry_Litterbag Placem_Collection'!C22</f>
        <v>Dry_Ag3_T4</v>
      </c>
      <c r="I461" s="270" t="s">
        <v>3630</v>
      </c>
      <c r="J461" s="263" t="s">
        <v>1147</v>
      </c>
      <c r="K461" s="221" t="str">
        <f>'WetLitterbags placem_collection'!O22</f>
        <v>G505</v>
      </c>
      <c r="L461" s="223">
        <f>IFERROR(INDEX('Green_rooibos initial weight'!$C$5:$C$2000,MATCH(K461, 'Green_rooibos initial weight'!$A$5:$A$2000,0)),"")</f>
        <v>2.0510000000000002</v>
      </c>
      <c r="M461" s="223">
        <f>IFERROR(L461-(TBIcalc!$H$9+TBIcalc!$H$10),"")</f>
        <v>1.8012000000000001</v>
      </c>
      <c r="N461" s="385">
        <f>AVERAGE(Ashed_controlls!$K$2:$K$11)</f>
        <v>5.5147656768714146</v>
      </c>
      <c r="O461" s="223">
        <f t="shared" si="36"/>
        <v>1.7018680406281923</v>
      </c>
      <c r="P461" s="223">
        <f>IFERROR(INDEX('Both teabags AfterWet'!$C$3:$C$840,MATCH(K461,'Both teabags AfterWet'!$A$3:$A$840,0)),"")</f>
        <v>0.70330000000000004</v>
      </c>
      <c r="Q461" s="223">
        <f>IFERROR(IF(P461&gt;0,P461-(TBIcalc!$H$9),""),"")</f>
        <v>0.55269999999999997</v>
      </c>
      <c r="R461" s="223">
        <f>IFERROR(INDEX('Ashed teabags wet'!$K$2:$K$2000,MATCH(K461,'Ashed teabags wet'!$A$2:$A$2000,0)),"")</f>
        <v>10.945273631841108</v>
      </c>
      <c r="S461" s="223">
        <f t="shared" si="37"/>
        <v>0.49220547263681419</v>
      </c>
      <c r="T461" s="224">
        <f>'WetLitterbags placem_collection'!E22</f>
        <v>42767</v>
      </c>
      <c r="U461" s="224">
        <f>IF('WetLitterbags placem_collection'!G22="","",'WetLitterbags placem_collection'!G22)</f>
        <v>42818</v>
      </c>
      <c r="V461" s="225">
        <f t="shared" si="35"/>
        <v>51</v>
      </c>
      <c r="W461" s="223">
        <f t="shared" si="38"/>
        <v>1.2485000000000002</v>
      </c>
      <c r="X461" s="223">
        <f t="shared" si="39"/>
        <v>1.2096625679913782</v>
      </c>
      <c r="Y461">
        <f>IFERROR(INDEX(Rainfall_Wet!$O$2:$O$217,MATCH(B461, Rainfall_Wet!$A$2:$A$217,0)),"")</f>
        <v>185.630065823</v>
      </c>
      <c r="Z461" s="228">
        <v>54.080969906906262</v>
      </c>
      <c r="AA461" s="228">
        <v>21.264484651351896</v>
      </c>
      <c r="AB461" s="228">
        <v>24.654545441741845</v>
      </c>
      <c r="AC461" s="229" t="s">
        <v>2657</v>
      </c>
      <c r="AD461" s="228">
        <v>4.8433218334154802</v>
      </c>
      <c r="AE461" t="str">
        <f>IF('WetLitterbags placem_collection'!AB22="","",'WetLitterbags placem_collection'!AB22)</f>
        <v/>
      </c>
      <c r="AF461" t="str">
        <f>IF('WetLitterbags placem_collection'!Z22="","",'WetLitterbags placem_collection'!Z22)</f>
        <v/>
      </c>
      <c r="AG461" s="243" t="str">
        <f>IF('WetLitterbags placem_collection'!AA22="","",'WetLitterbags placem_collection'!AA22)</f>
        <v/>
      </c>
      <c r="AH461" t="str">
        <f>IF('WetLitterbags placem_collection'!AC22="","",'WetLitterbags placem_collection'!AC22)</f>
        <v/>
      </c>
      <c r="AI461" s="237">
        <f>AVERAGE('WetLitterbags placem_collection'!S22,'WetLitterbags placem_collection'!U22)</f>
        <v>40.049999999999997</v>
      </c>
      <c r="AJ461">
        <f>AVERAGE('WetLitterbags placem_collection'!R22,'WetLitterbags placem_collection'!T22)</f>
        <v>21.35</v>
      </c>
      <c r="AK461">
        <f>INDEX(Coordinates!$B$2:$B$197,MATCH(H461,Coordinates!$J$2:$J$197,0))</f>
        <v>-3.3853969629999998</v>
      </c>
      <c r="AL461">
        <f>INDEX(Coordinates!$C$2:$C$197,MATCH(H461,Coordinates!$J$2:$J$197,0))</f>
        <v>34.818977969999999</v>
      </c>
      <c r="AM461" t="str">
        <f>IF(ISNUMBER(SEARCH("C", 'WetLitterbags placem_collection'!$X22)),"YES","NO")</f>
        <v>NO</v>
      </c>
      <c r="AN461" t="str">
        <f>IF(ISNUMBER(SEARCH("H", 'WetLitterbags placem_collection'!$X22)),"YES","NO")</f>
        <v>NO</v>
      </c>
      <c r="AO461" t="str">
        <f>IF(ISNUMBER(SEARCH("R", 'WetLitterbags placem_collection'!$X22)),"YES","NO")</f>
        <v>NO</v>
      </c>
    </row>
    <row r="462" spans="1:41" ht="15" customHeight="1">
      <c r="A462" s="255" t="s">
        <v>2454</v>
      </c>
      <c r="B462" s="260">
        <f>'Dry_Litterbag Placem_Collection'!A23</f>
        <v>21</v>
      </c>
      <c r="C462" s="260" t="str">
        <f>'Dry_Litterbag Placem_Collection'!B23</f>
        <v>Makao</v>
      </c>
      <c r="D462" s="260" t="s">
        <v>2643</v>
      </c>
      <c r="E462" s="260" t="s">
        <v>2644</v>
      </c>
      <c r="F462" s="260">
        <v>3</v>
      </c>
      <c r="G462" s="260" t="s">
        <v>3803</v>
      </c>
      <c r="H462" s="261" t="str">
        <f>'Dry_Litterbag Placem_Collection'!C23</f>
        <v>Dry_Ag3_T5</v>
      </c>
      <c r="I462" s="270" t="s">
        <v>3630</v>
      </c>
      <c r="J462" s="263" t="s">
        <v>1147</v>
      </c>
      <c r="K462" s="221" t="str">
        <f>'WetLitterbags placem_collection'!O23</f>
        <v>G721</v>
      </c>
      <c r="L462" s="223">
        <f>IFERROR(INDEX('Green_rooibos initial weight'!$C$5:$C$2000,MATCH(K462, 'Green_rooibos initial weight'!$A$5:$A$2000,0)),"")</f>
        <v>1.9910000000000001</v>
      </c>
      <c r="M462" s="223">
        <f>IFERROR(L462-(TBIcalc!$H$9+TBIcalc!$H$10),"")</f>
        <v>1.7412000000000001</v>
      </c>
      <c r="N462" s="385">
        <f>AVERAGE(Ashed_controlls!$K$2:$K$11)</f>
        <v>5.5147656768714146</v>
      </c>
      <c r="O462" s="223">
        <f t="shared" si="36"/>
        <v>1.645176900034315</v>
      </c>
      <c r="P462" s="223">
        <f>IFERROR(INDEX('Both teabags AfterWet'!$C$3:$C$840,MATCH(K462,'Both teabags AfterWet'!$A$3:$A$840,0)),"")</f>
        <v>0.66739999999999999</v>
      </c>
      <c r="Q462" s="223">
        <f>IFERROR(IF(P462&gt;0,P462-(TBIcalc!$H$9),""),"")</f>
        <v>0.51679999999999993</v>
      </c>
      <c r="R462" s="223">
        <f>IFERROR(INDEX('Ashed teabags wet'!$K$2:$K$2000,MATCH(K462,'Ashed teabags wet'!$A$2:$A$2000,0)),"")</f>
        <v>10.415623435152472</v>
      </c>
      <c r="S462" s="223">
        <f t="shared" si="37"/>
        <v>0.46297205808713193</v>
      </c>
      <c r="T462" s="224">
        <f>'WetLitterbags placem_collection'!E23</f>
        <v>42767</v>
      </c>
      <c r="U462" s="224">
        <f>IF('WetLitterbags placem_collection'!G23="","",'WetLitterbags placem_collection'!G23)</f>
        <v>42818</v>
      </c>
      <c r="V462" s="225">
        <f t="shared" si="35"/>
        <v>51</v>
      </c>
      <c r="W462" s="223">
        <f t="shared" si="38"/>
        <v>1.2244000000000002</v>
      </c>
      <c r="X462" s="223">
        <f t="shared" si="39"/>
        <v>1.1822048419471831</v>
      </c>
      <c r="Y462">
        <f>IFERROR(INDEX(Rainfall_Wet!$O$2:$O$217,MATCH(B462, Rainfall_Wet!$A$2:$A$217,0)),"")</f>
        <v>185.630065823</v>
      </c>
      <c r="Z462" s="228">
        <v>54.080969906906262</v>
      </c>
      <c r="AA462" s="228">
        <v>21.264484651351896</v>
      </c>
      <c r="AB462" s="228">
        <v>24.654545441741845</v>
      </c>
      <c r="AC462" s="229" t="s">
        <v>2657</v>
      </c>
      <c r="AD462" s="228">
        <v>5.8433218334154802</v>
      </c>
      <c r="AE462" t="str">
        <f>IF('WetLitterbags placem_collection'!AB23="","",'WetLitterbags placem_collection'!AB23)</f>
        <v/>
      </c>
      <c r="AF462" t="str">
        <f>IF('WetLitterbags placem_collection'!Z23="","",'WetLitterbags placem_collection'!Z23)</f>
        <v/>
      </c>
      <c r="AG462" s="243" t="str">
        <f>IF('WetLitterbags placem_collection'!AA23="","",'WetLitterbags placem_collection'!AA23)</f>
        <v/>
      </c>
      <c r="AH462" t="str">
        <f>IF('WetLitterbags placem_collection'!AC23="","",'WetLitterbags placem_collection'!AC23)</f>
        <v/>
      </c>
      <c r="AI462" s="237">
        <f>AVERAGE('WetLitterbags placem_collection'!S23,'WetLitterbags placem_collection'!U23)</f>
        <v>34.150000000000006</v>
      </c>
      <c r="AJ462">
        <f>AVERAGE('WetLitterbags placem_collection'!R23,'WetLitterbags placem_collection'!T23)</f>
        <v>20.6</v>
      </c>
      <c r="AK462">
        <f>INDEX(Coordinates!$B$2:$B$197,MATCH(H462,Coordinates!$J$2:$J$197,0))</f>
        <v>-3.3854019919999998</v>
      </c>
      <c r="AL462">
        <f>INDEX(Coordinates!$C$2:$C$197,MATCH(H462,Coordinates!$J$2:$J$197,0))</f>
        <v>34.81894604</v>
      </c>
      <c r="AM462" t="str">
        <f>IF(ISNUMBER(SEARCH("C", 'WetLitterbags placem_collection'!$X23)),"YES","NO")</f>
        <v>NO</v>
      </c>
      <c r="AN462" t="str">
        <f>IF(ISNUMBER(SEARCH("H", 'WetLitterbags placem_collection'!$X23)),"YES","NO")</f>
        <v>NO</v>
      </c>
      <c r="AO462" t="str">
        <f>IF(ISNUMBER(SEARCH("R", 'WetLitterbags placem_collection'!$X23)),"YES","NO")</f>
        <v>NO</v>
      </c>
    </row>
    <row r="463" spans="1:41" ht="15" customHeight="1">
      <c r="A463" s="255" t="s">
        <v>2454</v>
      </c>
      <c r="B463" s="260">
        <f>'Dry_Litterbag Placem_Collection'!A24</f>
        <v>22</v>
      </c>
      <c r="C463" s="260" t="str">
        <f>'Dry_Litterbag Placem_Collection'!B24</f>
        <v>Makao</v>
      </c>
      <c r="D463" s="260" t="s">
        <v>2643</v>
      </c>
      <c r="E463" s="260" t="s">
        <v>2644</v>
      </c>
      <c r="F463" s="260">
        <v>3</v>
      </c>
      <c r="G463" s="260" t="s">
        <v>3803</v>
      </c>
      <c r="H463" s="261" t="str">
        <f>'Dry_Litterbag Placem_Collection'!C24</f>
        <v>Dry_Ag3_T6</v>
      </c>
      <c r="I463" s="270" t="s">
        <v>3630</v>
      </c>
      <c r="J463" s="263" t="s">
        <v>1147</v>
      </c>
      <c r="K463" s="221" t="str">
        <f>'WetLitterbags placem_collection'!O24</f>
        <v>G552</v>
      </c>
      <c r="L463" s="223">
        <f>IFERROR(INDEX('Green_rooibos initial weight'!$C$5:$C$2000,MATCH(K463, 'Green_rooibos initial weight'!$A$5:$A$2000,0)),"")</f>
        <v>2.1110000000000002</v>
      </c>
      <c r="M463" s="223">
        <f>IFERROR(L463-(TBIcalc!$H$9+TBIcalc!$H$10),"")</f>
        <v>1.8612000000000002</v>
      </c>
      <c r="N463" s="385">
        <f>AVERAGE(Ashed_controlls!$K$2:$K$11)</f>
        <v>5.5147656768714146</v>
      </c>
      <c r="O463" s="223">
        <f t="shared" si="36"/>
        <v>1.7585591812220693</v>
      </c>
      <c r="P463" s="223">
        <f>IFERROR(INDEX('Both teabags AfterWet'!$C$3:$C$840,MATCH(K463,'Both teabags AfterWet'!$A$3:$A$840,0)),"")</f>
        <v>0.75929999999999997</v>
      </c>
      <c r="Q463" s="223">
        <f>IFERROR(IF(P463&gt;0,P463-(TBIcalc!$H$9),""),"")</f>
        <v>0.60870000000000002</v>
      </c>
      <c r="R463" s="223">
        <f>IFERROR(INDEX('Ashed teabags wet'!$K$2:$K$2000,MATCH(K463,'Ashed teabags wet'!$A$2:$A$2000,0)),"")</f>
        <v>12.068965517241553</v>
      </c>
      <c r="S463" s="223">
        <f t="shared" si="37"/>
        <v>0.53523620689655071</v>
      </c>
      <c r="T463" s="224">
        <f>'WetLitterbags placem_collection'!E24</f>
        <v>42767</v>
      </c>
      <c r="U463" s="224">
        <f>IF('WetLitterbags placem_collection'!G24="","",'WetLitterbags placem_collection'!G24)</f>
        <v>42818</v>
      </c>
      <c r="V463" s="225">
        <f t="shared" si="35"/>
        <v>51</v>
      </c>
      <c r="W463" s="223">
        <f t="shared" si="38"/>
        <v>1.2525000000000002</v>
      </c>
      <c r="X463" s="223">
        <f t="shared" si="39"/>
        <v>1.2233229743255185</v>
      </c>
      <c r="Y463">
        <f>IFERROR(INDEX(Rainfall_Wet!$O$2:$O$217,MATCH(B463, Rainfall_Wet!$A$2:$A$217,0)),"")</f>
        <v>185.630065823</v>
      </c>
      <c r="Z463" s="228">
        <v>54.080969906906262</v>
      </c>
      <c r="AA463" s="228">
        <v>21.264484651351896</v>
      </c>
      <c r="AB463" s="228">
        <v>24.654545441741845</v>
      </c>
      <c r="AC463" s="229" t="s">
        <v>2657</v>
      </c>
      <c r="AD463" s="228">
        <v>6.8433218334154802</v>
      </c>
      <c r="AE463" t="str">
        <f>IF('WetLitterbags placem_collection'!AB24="","",'WetLitterbags placem_collection'!AB24)</f>
        <v/>
      </c>
      <c r="AF463" t="str">
        <f>IF('WetLitterbags placem_collection'!Z24="","",'WetLitterbags placem_collection'!Z24)</f>
        <v/>
      </c>
      <c r="AG463" s="243" t="str">
        <f>IF('WetLitterbags placem_collection'!AA24="","",'WetLitterbags placem_collection'!AA24)</f>
        <v/>
      </c>
      <c r="AH463" t="str">
        <f>IF('WetLitterbags placem_collection'!AC24="","",'WetLitterbags placem_collection'!AC24)</f>
        <v/>
      </c>
      <c r="AI463" s="237">
        <f>AVERAGE('WetLitterbags placem_collection'!S24,'WetLitterbags placem_collection'!U24)</f>
        <v>34.549999999999997</v>
      </c>
      <c r="AJ463">
        <f>AVERAGE('WetLitterbags placem_collection'!R24,'WetLitterbags placem_collection'!T24)</f>
        <v>21.5</v>
      </c>
      <c r="AK463">
        <f>INDEX(Coordinates!$B$2:$B$197,MATCH(H463,Coordinates!$J$2:$J$197,0))</f>
        <v>-3.3854470029999999</v>
      </c>
      <c r="AL463">
        <f>INDEX(Coordinates!$C$2:$C$197,MATCH(H463,Coordinates!$J$2:$J$197,0))</f>
        <v>34.818946959999998</v>
      </c>
      <c r="AM463" t="str">
        <f>IF(ISNUMBER(SEARCH("C", 'WetLitterbags placem_collection'!$X24)),"YES","NO")</f>
        <v>NO</v>
      </c>
      <c r="AN463" t="str">
        <f>IF(ISNUMBER(SEARCH("H", 'WetLitterbags placem_collection'!$X24)),"YES","NO")</f>
        <v>NO</v>
      </c>
      <c r="AO463" t="str">
        <f>IF(ISNUMBER(SEARCH("R", 'WetLitterbags placem_collection'!$X24)),"YES","NO")</f>
        <v>NO</v>
      </c>
    </row>
    <row r="464" spans="1:41" ht="15" customHeight="1">
      <c r="A464" s="255" t="s">
        <v>2454</v>
      </c>
      <c r="B464" s="260">
        <f>'Dry_Litterbag Placem_Collection'!A25</f>
        <v>23</v>
      </c>
      <c r="C464" s="260" t="str">
        <f>'Dry_Litterbag Placem_Collection'!B25</f>
        <v>Makao</v>
      </c>
      <c r="D464" s="260" t="s">
        <v>2643</v>
      </c>
      <c r="E464" s="260" t="s">
        <v>2644</v>
      </c>
      <c r="F464" s="260">
        <v>3</v>
      </c>
      <c r="G464" s="260" t="s">
        <v>3803</v>
      </c>
      <c r="H464" s="261" t="str">
        <f>'Dry_Litterbag Placem_Collection'!C25</f>
        <v>Dry_Ag3_T7</v>
      </c>
      <c r="I464" s="270" t="s">
        <v>3630</v>
      </c>
      <c r="J464" s="263" t="s">
        <v>1147</v>
      </c>
      <c r="K464" s="221" t="str">
        <f>'WetLitterbags placem_collection'!O25</f>
        <v>G456</v>
      </c>
      <c r="L464" s="223">
        <f>IFERROR(INDEX('Green_rooibos initial weight'!$C$5:$C$2000,MATCH(K464, 'Green_rooibos initial weight'!$A$5:$A$2000,0)),"")</f>
        <v>2.117</v>
      </c>
      <c r="M464" s="223">
        <f>IFERROR(L464-(TBIcalc!$H$9+TBIcalc!$H$10),"")</f>
        <v>1.8672</v>
      </c>
      <c r="N464" s="385">
        <f>AVERAGE(Ashed_controlls!$K$2:$K$11)</f>
        <v>5.5147656768714146</v>
      </c>
      <c r="O464" s="223">
        <f t="shared" si="36"/>
        <v>1.764228295281457</v>
      </c>
      <c r="P464" s="223">
        <f>IFERROR(INDEX('Both teabags AfterWet'!$C$3:$C$840,MATCH(K464,'Both teabags AfterWet'!$A$3:$A$840,0)),"")</f>
        <v>0.72629999999999995</v>
      </c>
      <c r="Q464" s="223">
        <f>IFERROR(IF(P464&gt;0,P464-(TBIcalc!$H$9),""),"")</f>
        <v>0.57569999999999988</v>
      </c>
      <c r="R464" s="223">
        <f>IFERROR(INDEX('Ashed teabags wet'!$K$2:$K$2000,MATCH(K464,'Ashed teabags wet'!$A$2:$A$2000,0)),"")</f>
        <v>5.4787506400411408</v>
      </c>
      <c r="S464" s="223">
        <f t="shared" si="37"/>
        <v>0.54415883256528308</v>
      </c>
      <c r="T464" s="224">
        <f>'WetLitterbags placem_collection'!E25</f>
        <v>42767</v>
      </c>
      <c r="U464" s="224">
        <f>IF('WetLitterbags placem_collection'!G25="","",'WetLitterbags placem_collection'!G25)</f>
        <v>42818</v>
      </c>
      <c r="V464" s="225">
        <f t="shared" si="35"/>
        <v>51</v>
      </c>
      <c r="W464" s="223">
        <f t="shared" si="38"/>
        <v>1.2915000000000001</v>
      </c>
      <c r="X464" s="223">
        <f t="shared" si="39"/>
        <v>1.2200694627161739</v>
      </c>
      <c r="Y464">
        <f>IFERROR(INDEX(Rainfall_Wet!$O$2:$O$217,MATCH(B464, Rainfall_Wet!$A$2:$A$217,0)),"")</f>
        <v>185.630065823</v>
      </c>
      <c r="Z464" s="228">
        <v>54.080969906906262</v>
      </c>
      <c r="AA464" s="228">
        <v>21.264484651351896</v>
      </c>
      <c r="AB464" s="228">
        <v>24.654545441741845</v>
      </c>
      <c r="AC464" s="229" t="s">
        <v>2657</v>
      </c>
      <c r="AD464" s="228">
        <v>7.8433218334154802</v>
      </c>
      <c r="AE464" t="str">
        <f>IF('WetLitterbags placem_collection'!AB25="","",'WetLitterbags placem_collection'!AB25)</f>
        <v/>
      </c>
      <c r="AF464" t="str">
        <f>IF('WetLitterbags placem_collection'!Z25="","",'WetLitterbags placem_collection'!Z25)</f>
        <v/>
      </c>
      <c r="AG464" s="243" t="str">
        <f>IF('WetLitterbags placem_collection'!AA25="","",'WetLitterbags placem_collection'!AA25)</f>
        <v/>
      </c>
      <c r="AH464" t="str">
        <f>IF('WetLitterbags placem_collection'!AC25="","",'WetLitterbags placem_collection'!AC25)</f>
        <v/>
      </c>
      <c r="AI464" s="237">
        <f>AVERAGE('WetLitterbags placem_collection'!S25,'WetLitterbags placem_collection'!U25)</f>
        <v>34.5</v>
      </c>
      <c r="AJ464">
        <f>AVERAGE('WetLitterbags placem_collection'!R25,'WetLitterbags placem_collection'!T25)</f>
        <v>20.65</v>
      </c>
      <c r="AK464">
        <f>INDEX(Coordinates!$B$2:$B$197,MATCH(H464,Coordinates!$J$2:$J$197,0))</f>
        <v>-3.3854200130000001</v>
      </c>
      <c r="AL464">
        <f>INDEX(Coordinates!$C$2:$C$197,MATCH(H464,Coordinates!$J$2:$J$197,0))</f>
        <v>34.818856019999998</v>
      </c>
      <c r="AM464" t="str">
        <f>IF(ISNUMBER(SEARCH("C", 'WetLitterbags placem_collection'!$X25)),"YES","NO")</f>
        <v>NO</v>
      </c>
      <c r="AN464" t="str">
        <f>IF(ISNUMBER(SEARCH("H", 'WetLitterbags placem_collection'!$X25)),"YES","NO")</f>
        <v>NO</v>
      </c>
      <c r="AO464" t="str">
        <f>IF(ISNUMBER(SEARCH("R", 'WetLitterbags placem_collection'!$X25)),"YES","NO")</f>
        <v>NO</v>
      </c>
    </row>
    <row r="465" spans="1:41" ht="15" customHeight="1">
      <c r="A465" s="255" t="s">
        <v>2454</v>
      </c>
      <c r="B465" s="260">
        <f>'Dry_Litterbag Placem_Collection'!A26</f>
        <v>24</v>
      </c>
      <c r="C465" s="260" t="str">
        <f>'Dry_Litterbag Placem_Collection'!B26</f>
        <v>Makao</v>
      </c>
      <c r="D465" s="260" t="s">
        <v>2643</v>
      </c>
      <c r="E465" s="260" t="s">
        <v>2644</v>
      </c>
      <c r="F465" s="260">
        <v>3</v>
      </c>
      <c r="G465" s="260" t="s">
        <v>3803</v>
      </c>
      <c r="H465" s="261" t="str">
        <f>'Dry_Litterbag Placem_Collection'!C26</f>
        <v>Dry_Ag3_T8</v>
      </c>
      <c r="I465" s="270" t="s">
        <v>3630</v>
      </c>
      <c r="J465" s="263" t="s">
        <v>1147</v>
      </c>
      <c r="K465" s="221" t="str">
        <f>'WetLitterbags placem_collection'!O26</f>
        <v>G421</v>
      </c>
      <c r="L465" s="223">
        <f>IFERROR(INDEX('Green_rooibos initial weight'!$C$5:$C$2000,MATCH(K465, 'Green_rooibos initial weight'!$A$5:$A$2000,0)),"")</f>
        <v>2.052</v>
      </c>
      <c r="M465" s="223">
        <f>IFERROR(L465-(TBIcalc!$H$9+TBIcalc!$H$10),"")</f>
        <v>1.8022</v>
      </c>
      <c r="N465" s="385">
        <f>AVERAGE(Ashed_controlls!$K$2:$K$11)</f>
        <v>5.5147656768714146</v>
      </c>
      <c r="O465" s="223">
        <f t="shared" si="36"/>
        <v>1.7028128929714235</v>
      </c>
      <c r="P465" s="223">
        <f>IFERROR(INDEX('Both teabags AfterWet'!$C$3:$C$840,MATCH(K465,'Both teabags AfterWet'!$A$3:$A$840,0)),"")</f>
        <v>0.67</v>
      </c>
      <c r="Q465" s="223">
        <f>IFERROR(IF(P465&gt;0,P465-(TBIcalc!$H$9),""),"")</f>
        <v>0.51940000000000008</v>
      </c>
      <c r="R465" s="223">
        <f>IFERROR(INDEX('Ashed teabags wet'!$K$2:$K$2000,MATCH(K465,'Ashed teabags wet'!$A$2:$A$2000,0)),"")</f>
        <v>10.957551826258362</v>
      </c>
      <c r="S465" s="223">
        <f t="shared" si="37"/>
        <v>0.46248647581441416</v>
      </c>
      <c r="T465" s="224">
        <f>'WetLitterbags placem_collection'!E26</f>
        <v>42767</v>
      </c>
      <c r="U465" s="224">
        <f>IF('WetLitterbags placem_collection'!G26="","",'WetLitterbags placem_collection'!G26)</f>
        <v>42818</v>
      </c>
      <c r="V465" s="225">
        <f t="shared" si="35"/>
        <v>51</v>
      </c>
      <c r="W465" s="223">
        <f t="shared" si="38"/>
        <v>1.2827999999999999</v>
      </c>
      <c r="X465" s="223">
        <f t="shared" si="39"/>
        <v>1.2403264171570094</v>
      </c>
      <c r="Y465">
        <f>IFERROR(INDEX(Rainfall_Wet!$O$2:$O$217,MATCH(B465, Rainfall_Wet!$A$2:$A$217,0)),"")</f>
        <v>185.630065823</v>
      </c>
      <c r="Z465" s="228">
        <v>54.080969906906262</v>
      </c>
      <c r="AA465" s="228">
        <v>21.264484651351896</v>
      </c>
      <c r="AB465" s="228">
        <v>24.654545441741845</v>
      </c>
      <c r="AC465" s="229" t="s">
        <v>2657</v>
      </c>
      <c r="AD465" s="228">
        <v>8.8433218334154695</v>
      </c>
      <c r="AE465" t="str">
        <f>IF('WetLitterbags placem_collection'!AB26="","",'WetLitterbags placem_collection'!AB26)</f>
        <v/>
      </c>
      <c r="AF465" t="str">
        <f>IF('WetLitterbags placem_collection'!Z26="","",'WetLitterbags placem_collection'!Z26)</f>
        <v/>
      </c>
      <c r="AG465" s="243" t="str">
        <f>IF('WetLitterbags placem_collection'!AA26="","",'WetLitterbags placem_collection'!AA26)</f>
        <v/>
      </c>
      <c r="AH465" t="str">
        <f>IF('WetLitterbags placem_collection'!AC26="","",'WetLitterbags placem_collection'!AC26)</f>
        <v/>
      </c>
      <c r="AI465" s="237">
        <f>AVERAGE('WetLitterbags placem_collection'!S26,'WetLitterbags placem_collection'!U26)</f>
        <v>36.950000000000003</v>
      </c>
      <c r="AJ465">
        <f>AVERAGE('WetLitterbags placem_collection'!R26,'WetLitterbags placem_collection'!T26)</f>
        <v>21.1</v>
      </c>
      <c r="AK465">
        <f>INDEX(Coordinates!$B$2:$B$197,MATCH(H465,Coordinates!$J$2:$J$197,0))</f>
        <v>-3.3853829649999998</v>
      </c>
      <c r="AL465">
        <f>INDEX(Coordinates!$C$2:$C$197,MATCH(H465,Coordinates!$J$2:$J$197,0))</f>
        <v>34.818877980000003</v>
      </c>
      <c r="AM465" t="str">
        <f>IF(ISNUMBER(SEARCH("C", 'WetLitterbags placem_collection'!$X26)),"YES","NO")</f>
        <v>NO</v>
      </c>
      <c r="AN465" t="str">
        <f>IF(ISNUMBER(SEARCH("H", 'WetLitterbags placem_collection'!$X26)),"YES","NO")</f>
        <v>NO</v>
      </c>
      <c r="AO465" t="str">
        <f>IF(ISNUMBER(SEARCH("R", 'WetLitterbags placem_collection'!$X26)),"YES","NO")</f>
        <v>NO</v>
      </c>
    </row>
    <row r="466" spans="1:41" ht="15" customHeight="1">
      <c r="A466" s="255" t="s">
        <v>2454</v>
      </c>
      <c r="B466" s="260">
        <f>'Dry_Litterbag Placem_Collection'!A27</f>
        <v>25</v>
      </c>
      <c r="C466" s="260" t="str">
        <f>'Dry_Litterbag Placem_Collection'!B27</f>
        <v>Makao</v>
      </c>
      <c r="D466" s="260" t="s">
        <v>2643</v>
      </c>
      <c r="E466" s="260" t="s">
        <v>2644</v>
      </c>
      <c r="F466" s="260">
        <v>4</v>
      </c>
      <c r="G466" s="260" t="s">
        <v>3804</v>
      </c>
      <c r="H466" s="261" t="str">
        <f>'Dry_Litterbag Placem_Collection'!C27</f>
        <v>Dry_Ag4_T1</v>
      </c>
      <c r="I466" s="270" t="s">
        <v>3630</v>
      </c>
      <c r="J466" s="263" t="s">
        <v>1147</v>
      </c>
      <c r="K466" s="221" t="str">
        <f>'WetLitterbags placem_collection'!O27</f>
        <v>G864</v>
      </c>
      <c r="L466" s="223">
        <f>IFERROR(INDEX('Green_rooibos initial weight'!$C$5:$C$2000,MATCH(K466, 'Green_rooibos initial weight'!$A$5:$A$2000,0)),"")</f>
        <v>2.0310000000000001</v>
      </c>
      <c r="M466" s="223">
        <f>IFERROR(L466-(TBIcalc!$H$9+TBIcalc!$H$10),"")</f>
        <v>1.7812000000000001</v>
      </c>
      <c r="N466" s="385">
        <f>AVERAGE(Ashed_controlls!$K$2:$K$11)</f>
        <v>5.5147656768714146</v>
      </c>
      <c r="O466" s="223">
        <f t="shared" si="36"/>
        <v>1.6829709937635664</v>
      </c>
      <c r="P466" s="223">
        <f>IFERROR(INDEX('Both teabags AfterWet'!$C$3:$C$840,MATCH(K466,'Both teabags AfterWet'!$A$3:$A$840,0)),"")</f>
        <v>0.65839999999999999</v>
      </c>
      <c r="Q466" s="223">
        <f>IFERROR(IF(P466&gt;0,P466-(TBIcalc!$H$9),""),"")</f>
        <v>0.50780000000000003</v>
      </c>
      <c r="R466" s="223">
        <f>IFERROR(INDEX('Ashed teabags wet'!$K$2:$K$2000,MATCH(K466,'Ashed teabags wet'!$A$2:$A$2000,0)),"")</f>
        <v>15.647921760391469</v>
      </c>
      <c r="S466" s="223">
        <f t="shared" si="37"/>
        <v>0.42833985330073215</v>
      </c>
      <c r="T466" s="224">
        <f>'WetLitterbags placem_collection'!E27</f>
        <v>42767</v>
      </c>
      <c r="U466" s="224">
        <f>IF('WetLitterbags placem_collection'!G27="","",'WetLitterbags placem_collection'!G27)</f>
        <v>42818</v>
      </c>
      <c r="V466" s="225">
        <f t="shared" si="35"/>
        <v>51</v>
      </c>
      <c r="W466" s="223">
        <f t="shared" si="38"/>
        <v>1.2734000000000001</v>
      </c>
      <c r="X466" s="223">
        <f t="shared" si="39"/>
        <v>1.2546311404628343</v>
      </c>
      <c r="Y466">
        <f>IFERROR(INDEX(Rainfall_Wet!$O$2:$O$217,MATCH(B466, Rainfall_Wet!$A$2:$A$217,0)),"")</f>
        <v>185.630065823</v>
      </c>
      <c r="Z466" s="228">
        <v>51.960000000000008</v>
      </c>
      <c r="AA466" s="228">
        <v>18.919999999999995</v>
      </c>
      <c r="AB466" s="228">
        <v>29.120000000000005</v>
      </c>
      <c r="AC466" s="229" t="s">
        <v>2657</v>
      </c>
      <c r="AD466" s="228">
        <v>1.85293247905372</v>
      </c>
      <c r="AE466" t="str">
        <f>IF('WetLitterbags placem_collection'!AB27="","",'WetLitterbags placem_collection'!AB27)</f>
        <v/>
      </c>
      <c r="AF466" t="str">
        <f>IF('WetLitterbags placem_collection'!Z27="","",'WetLitterbags placem_collection'!Z27)</f>
        <v/>
      </c>
      <c r="AG466" s="243" t="str">
        <f>IF('WetLitterbags placem_collection'!AA27="","",'WetLitterbags placem_collection'!AA27)</f>
        <v/>
      </c>
      <c r="AH466" t="str">
        <f>IF('WetLitterbags placem_collection'!AC27="","",'WetLitterbags placem_collection'!AC27)</f>
        <v/>
      </c>
      <c r="AI466" s="237">
        <f>AVERAGE('WetLitterbags placem_collection'!S27,'WetLitterbags placem_collection'!U27)</f>
        <v>36.85</v>
      </c>
      <c r="AJ466">
        <f>AVERAGE('WetLitterbags placem_collection'!R27,'WetLitterbags placem_collection'!T27)</f>
        <v>21.35</v>
      </c>
      <c r="AK466">
        <f>INDEX(Coordinates!$B$2:$B$197,MATCH(H466,Coordinates!$J$2:$J$197,0))</f>
        <v>-3.3849129919999998</v>
      </c>
      <c r="AL466">
        <f>INDEX(Coordinates!$C$2:$C$197,MATCH(H466,Coordinates!$J$2:$J$197,0))</f>
        <v>34.818899020000003</v>
      </c>
      <c r="AM466" t="str">
        <f>IF(ISNUMBER(SEARCH("C", 'WetLitterbags placem_collection'!$X27)),"YES","NO")</f>
        <v>NO</v>
      </c>
      <c r="AN466" t="str">
        <f>IF(ISNUMBER(SEARCH("H", 'WetLitterbags placem_collection'!$X27)),"YES","NO")</f>
        <v>NO</v>
      </c>
      <c r="AO466" t="str">
        <f>IF(ISNUMBER(SEARCH("R", 'WetLitterbags placem_collection'!$X27)),"YES","NO")</f>
        <v>NO</v>
      </c>
    </row>
    <row r="467" spans="1:41" ht="15" customHeight="1">
      <c r="A467" s="255" t="s">
        <v>2454</v>
      </c>
      <c r="B467" s="260">
        <f>'Dry_Litterbag Placem_Collection'!A28</f>
        <v>26</v>
      </c>
      <c r="C467" s="260" t="str">
        <f>'Dry_Litterbag Placem_Collection'!B28</f>
        <v>Makao</v>
      </c>
      <c r="D467" s="260" t="s">
        <v>2643</v>
      </c>
      <c r="E467" s="260" t="s">
        <v>2644</v>
      </c>
      <c r="F467" s="260">
        <v>4</v>
      </c>
      <c r="G467" s="260" t="s">
        <v>3804</v>
      </c>
      <c r="H467" s="261" t="str">
        <f>'Dry_Litterbag Placem_Collection'!C28</f>
        <v>Dry_Ag4_T2</v>
      </c>
      <c r="I467" s="270" t="s">
        <v>3630</v>
      </c>
      <c r="J467" s="263" t="s">
        <v>1147</v>
      </c>
      <c r="K467" s="221" t="str">
        <f>'WetLitterbags placem_collection'!O28</f>
        <v>G506</v>
      </c>
      <c r="L467" s="223">
        <f>IFERROR(INDEX('Green_rooibos initial weight'!$C$5:$C$2000,MATCH(K467, 'Green_rooibos initial weight'!$A$5:$A$2000,0)),"")</f>
        <v>1.9079999999999999</v>
      </c>
      <c r="M467" s="223">
        <f>IFERROR(L467-(TBIcalc!$H$9+TBIcalc!$H$10),"")</f>
        <v>1.6581999999999999</v>
      </c>
      <c r="N467" s="385">
        <f>AVERAGE(Ashed_controlls!$K$2:$K$11)</f>
        <v>5.5147656768714146</v>
      </c>
      <c r="O467" s="223">
        <f t="shared" si="36"/>
        <v>1.5667541555461182</v>
      </c>
      <c r="P467" s="223">
        <f>IFERROR(INDEX('Both teabags AfterWet'!$C$3:$C$840,MATCH(K467,'Both teabags AfterWet'!$A$3:$A$840,0)),"")</f>
        <v>0.67589999999999995</v>
      </c>
      <c r="Q467" s="223">
        <f>IFERROR(IF(P467&gt;0,P467-(TBIcalc!$H$9),""),"")</f>
        <v>0.52529999999999988</v>
      </c>
      <c r="R467" s="223">
        <f>IFERROR(INDEX('Ashed teabags wet'!$K$2:$K$2000,MATCH(K467,'Ashed teabags wet'!$A$2:$A$2000,0)),"")</f>
        <v>8.561473369835749</v>
      </c>
      <c r="S467" s="223">
        <f t="shared" si="37"/>
        <v>0.48032658038825271</v>
      </c>
      <c r="T467" s="224">
        <f>'WetLitterbags placem_collection'!E28</f>
        <v>42767</v>
      </c>
      <c r="U467" s="224">
        <f>IF('WetLitterbags placem_collection'!G28="","",'WetLitterbags placem_collection'!G28)</f>
        <v>42818</v>
      </c>
      <c r="V467" s="225">
        <f t="shared" si="35"/>
        <v>51</v>
      </c>
      <c r="W467" s="223">
        <f t="shared" si="38"/>
        <v>1.1329</v>
      </c>
      <c r="X467" s="223">
        <f t="shared" si="39"/>
        <v>1.0864275751578654</v>
      </c>
      <c r="Y467">
        <f>IFERROR(INDEX(Rainfall_Wet!$O$2:$O$217,MATCH(B467, Rainfall_Wet!$A$2:$A$217,0)),"")</f>
        <v>185.630065823</v>
      </c>
      <c r="Z467" s="228">
        <v>51.960000000000008</v>
      </c>
      <c r="AA467" s="228">
        <v>18.919999999999995</v>
      </c>
      <c r="AB467" s="228">
        <v>29.120000000000005</v>
      </c>
      <c r="AC467" s="229" t="s">
        <v>2657</v>
      </c>
      <c r="AD467" s="228">
        <v>2.8529324790537198</v>
      </c>
      <c r="AE467" t="str">
        <f>IF('WetLitterbags placem_collection'!AB28="","",'WetLitterbags placem_collection'!AB28)</f>
        <v/>
      </c>
      <c r="AF467" t="str">
        <f>IF('WetLitterbags placem_collection'!Z28="","",'WetLitterbags placem_collection'!Z28)</f>
        <v/>
      </c>
      <c r="AG467" s="243" t="str">
        <f>IF('WetLitterbags placem_collection'!AA28="","",'WetLitterbags placem_collection'!AA28)</f>
        <v/>
      </c>
      <c r="AH467" t="str">
        <f>IF('WetLitterbags placem_collection'!AC28="","",'WetLitterbags placem_collection'!AC28)</f>
        <v/>
      </c>
      <c r="AI467" s="237">
        <f>AVERAGE('WetLitterbags placem_collection'!S28,'WetLitterbags placem_collection'!U28)</f>
        <v>31.3</v>
      </c>
      <c r="AJ467">
        <f>AVERAGE('WetLitterbags placem_collection'!R28,'WetLitterbags placem_collection'!T28)</f>
        <v>20.7</v>
      </c>
      <c r="AK467">
        <f>INDEX(Coordinates!$B$2:$B$197,MATCH(H467,Coordinates!$J$2:$J$197,0))</f>
        <v>-3.3849689999999999</v>
      </c>
      <c r="AL467">
        <f>INDEX(Coordinates!$C$2:$C$197,MATCH(H467,Coordinates!$J$2:$J$197,0))</f>
        <v>34.818908</v>
      </c>
      <c r="AM467" t="str">
        <f>IF(ISNUMBER(SEARCH("C", 'WetLitterbags placem_collection'!$X28)),"YES","NO")</f>
        <v>NO</v>
      </c>
      <c r="AN467" t="str">
        <f>IF(ISNUMBER(SEARCH("H", 'WetLitterbags placem_collection'!$X28)),"YES","NO")</f>
        <v>NO</v>
      </c>
      <c r="AO467" t="str">
        <f>IF(ISNUMBER(SEARCH("R", 'WetLitterbags placem_collection'!$X28)),"YES","NO")</f>
        <v>NO</v>
      </c>
    </row>
    <row r="468" spans="1:41" ht="15" customHeight="1">
      <c r="A468" s="255" t="s">
        <v>2454</v>
      </c>
      <c r="B468" s="260">
        <f>'Dry_Litterbag Placem_Collection'!A29</f>
        <v>27</v>
      </c>
      <c r="C468" s="260" t="str">
        <f>'Dry_Litterbag Placem_Collection'!B29</f>
        <v>Makao</v>
      </c>
      <c r="D468" s="260" t="s">
        <v>2643</v>
      </c>
      <c r="E468" s="260" t="s">
        <v>2644</v>
      </c>
      <c r="F468" s="260">
        <v>4</v>
      </c>
      <c r="G468" s="260" t="s">
        <v>3804</v>
      </c>
      <c r="H468" s="261" t="str">
        <f>'Dry_Litterbag Placem_Collection'!C29</f>
        <v>Dry_Ag4_T3</v>
      </c>
      <c r="I468" s="270" t="s">
        <v>3630</v>
      </c>
      <c r="J468" s="263" t="s">
        <v>1147</v>
      </c>
      <c r="K468" s="221" t="str">
        <f>'WetLitterbags placem_collection'!O29</f>
        <v>G449</v>
      </c>
      <c r="L468" s="223">
        <f>IFERROR(INDEX('Green_rooibos initial weight'!$C$5:$C$2000,MATCH(K468, 'Green_rooibos initial weight'!$A$5:$A$2000,0)),"")</f>
        <v>2.1749999999999998</v>
      </c>
      <c r="M468" s="223">
        <f>IFERROR(L468-(TBIcalc!$H$9+TBIcalc!$H$10),"")</f>
        <v>1.9251999999999998</v>
      </c>
      <c r="N468" s="385">
        <f>AVERAGE(Ashed_controlls!$K$2:$K$11)</f>
        <v>5.5147656768714146</v>
      </c>
      <c r="O468" s="223">
        <f t="shared" si="36"/>
        <v>1.8190297311888712</v>
      </c>
      <c r="P468" s="223">
        <f>IFERROR(INDEX('Both teabags AfterWet'!$C$3:$C$840,MATCH(K468,'Both teabags AfterWet'!$A$3:$A$840,0)),"")</f>
        <v>0.73760000000000003</v>
      </c>
      <c r="Q468" s="223">
        <f>IFERROR(IF(P468&gt;0,P468-(TBIcalc!$H$9),""),"")</f>
        <v>0.58699999999999997</v>
      </c>
      <c r="R468" s="223">
        <f>IFERROR(INDEX('Ashed teabags wet'!$K$2:$K$2000,MATCH(K468,'Ashed teabags wet'!$A$2:$A$2000,0)),"")</f>
        <v>10.444777611194501</v>
      </c>
      <c r="S468" s="223">
        <f t="shared" si="37"/>
        <v>0.52568915542228822</v>
      </c>
      <c r="T468" s="224">
        <f>'WetLitterbags placem_collection'!E29</f>
        <v>42767</v>
      </c>
      <c r="U468" s="224">
        <f>IF('WetLitterbags placem_collection'!G29="","",'WetLitterbags placem_collection'!G29)</f>
        <v>42818</v>
      </c>
      <c r="V468" s="225">
        <f t="shared" si="35"/>
        <v>51</v>
      </c>
      <c r="W468" s="223">
        <f t="shared" si="38"/>
        <v>1.3381999999999998</v>
      </c>
      <c r="X468" s="223">
        <f t="shared" si="39"/>
        <v>1.293340575766583</v>
      </c>
      <c r="Y468">
        <f>IFERROR(INDEX(Rainfall_Wet!$O$2:$O$217,MATCH(B468, Rainfall_Wet!$A$2:$A$217,0)),"")</f>
        <v>185.630065823</v>
      </c>
      <c r="Z468" s="228">
        <v>51.960000000000008</v>
      </c>
      <c r="AA468" s="228">
        <v>18.919999999999995</v>
      </c>
      <c r="AB468" s="228">
        <v>29.120000000000005</v>
      </c>
      <c r="AC468" s="229" t="s">
        <v>2657</v>
      </c>
      <c r="AD468" s="228">
        <v>3.8529324790537198</v>
      </c>
      <c r="AE468" t="str">
        <f>IF('WetLitterbags placem_collection'!AB29="","",'WetLitterbags placem_collection'!AB29)</f>
        <v/>
      </c>
      <c r="AF468" t="str">
        <f>IF('WetLitterbags placem_collection'!Z29="","",'WetLitterbags placem_collection'!Z29)</f>
        <v/>
      </c>
      <c r="AG468" s="243" t="str">
        <f>IF('WetLitterbags placem_collection'!AA29="","",'WetLitterbags placem_collection'!AA29)</f>
        <v/>
      </c>
      <c r="AH468" t="str">
        <f>IF('WetLitterbags placem_collection'!AC29="","",'WetLitterbags placem_collection'!AC29)</f>
        <v/>
      </c>
      <c r="AI468" s="237">
        <f>AVERAGE('WetLitterbags placem_collection'!S29,'WetLitterbags placem_collection'!U29)</f>
        <v>28.900000000000002</v>
      </c>
      <c r="AJ468">
        <f>AVERAGE('WetLitterbags placem_collection'!R29,'WetLitterbags placem_collection'!T29)</f>
        <v>21.4</v>
      </c>
      <c r="AK468">
        <f>INDEX(Coordinates!$B$2:$B$197,MATCH(H468,Coordinates!$J$2:$J$197,0))</f>
        <v>-3.3849350359999999</v>
      </c>
      <c r="AL468">
        <f>INDEX(Coordinates!$C$2:$C$197,MATCH(H468,Coordinates!$J$2:$J$197,0))</f>
        <v>34.818943019999999</v>
      </c>
      <c r="AM468" t="str">
        <f>IF(ISNUMBER(SEARCH("C", 'WetLitterbags placem_collection'!$X29)),"YES","NO")</f>
        <v>NO</v>
      </c>
      <c r="AN468" t="str">
        <f>IF(ISNUMBER(SEARCH("H", 'WetLitterbags placem_collection'!$X29)),"YES","NO")</f>
        <v>NO</v>
      </c>
      <c r="AO468" t="str">
        <f>IF(ISNUMBER(SEARCH("R", 'WetLitterbags placem_collection'!$X29)),"YES","NO")</f>
        <v>NO</v>
      </c>
    </row>
    <row r="469" spans="1:41" ht="15" customHeight="1">
      <c r="A469" s="255" t="s">
        <v>2454</v>
      </c>
      <c r="B469" s="260">
        <f>'Dry_Litterbag Placem_Collection'!A30</f>
        <v>28</v>
      </c>
      <c r="C469" s="260" t="str">
        <f>'Dry_Litterbag Placem_Collection'!B30</f>
        <v>Makao</v>
      </c>
      <c r="D469" s="260" t="s">
        <v>2643</v>
      </c>
      <c r="E469" s="260" t="s">
        <v>2644</v>
      </c>
      <c r="F469" s="260">
        <v>4</v>
      </c>
      <c r="G469" s="260" t="s">
        <v>3804</v>
      </c>
      <c r="H469" s="261" t="str">
        <f>'Dry_Litterbag Placem_Collection'!C30</f>
        <v>Dry_Ag4_T4</v>
      </c>
      <c r="I469" s="270" t="s">
        <v>3630</v>
      </c>
      <c r="J469" s="263" t="s">
        <v>1147</v>
      </c>
      <c r="K469" s="221" t="str">
        <f>'WetLitterbags placem_collection'!O30</f>
        <v>G502</v>
      </c>
      <c r="L469" s="223">
        <f>IFERROR(INDEX('Green_rooibos initial weight'!$C$5:$C$2000,MATCH(K469, 'Green_rooibos initial weight'!$A$5:$A$2000,0)),"")</f>
        <v>1.929</v>
      </c>
      <c r="M469" s="223">
        <f>IFERROR(L469-(TBIcalc!$H$9+TBIcalc!$H$10),"")</f>
        <v>1.6792</v>
      </c>
      <c r="N469" s="385">
        <f>AVERAGE(Ashed_controlls!$K$2:$K$11)</f>
        <v>5.5147656768714146</v>
      </c>
      <c r="O469" s="223">
        <f t="shared" si="36"/>
        <v>1.5865960547539752</v>
      </c>
      <c r="P469" s="223">
        <f>IFERROR(INDEX('Both teabags AfterWet'!$C$3:$C$840,MATCH(K469,'Both teabags AfterWet'!$A$3:$A$840,0)),"")</f>
        <v>0.60960000000000003</v>
      </c>
      <c r="Q469" s="223">
        <f>IFERROR(IF(P469&gt;0,P469-(TBIcalc!$H$9),""),"")</f>
        <v>0.45900000000000002</v>
      </c>
      <c r="R469" s="223">
        <f>IFERROR(INDEX('Ashed teabags wet'!$K$2:$K$2000,MATCH(K469,'Ashed teabags wet'!$A$2:$A$2000,0)),"")</f>
        <v>10.16121152906673</v>
      </c>
      <c r="S469" s="223">
        <f t="shared" si="37"/>
        <v>0.41236003908158375</v>
      </c>
      <c r="T469" s="224">
        <f>'WetLitterbags placem_collection'!E30</f>
        <v>42767</v>
      </c>
      <c r="U469" s="224">
        <f>IF('WetLitterbags placem_collection'!G30="","",'WetLitterbags placem_collection'!G30)</f>
        <v>42818</v>
      </c>
      <c r="V469" s="225">
        <f t="shared" si="35"/>
        <v>51</v>
      </c>
      <c r="W469" s="223">
        <f t="shared" si="38"/>
        <v>1.2202</v>
      </c>
      <c r="X469" s="223">
        <f t="shared" si="39"/>
        <v>1.1742360156723914</v>
      </c>
      <c r="Y469">
        <f>IFERROR(INDEX(Rainfall_Wet!$O$2:$O$217,MATCH(B469, Rainfall_Wet!$A$2:$A$217,0)),"")</f>
        <v>185.630065823</v>
      </c>
      <c r="Z469" s="228">
        <v>51.960000000000008</v>
      </c>
      <c r="AA469" s="228">
        <v>18.919999999999995</v>
      </c>
      <c r="AB469" s="228">
        <v>29.120000000000005</v>
      </c>
      <c r="AC469" s="229" t="s">
        <v>2657</v>
      </c>
      <c r="AD469" s="228">
        <v>4.8529324790537203</v>
      </c>
      <c r="AE469" t="str">
        <f>IF('WetLitterbags placem_collection'!AB30="","",'WetLitterbags placem_collection'!AB30)</f>
        <v/>
      </c>
      <c r="AF469" t="str">
        <f>IF('WetLitterbags placem_collection'!Z30="","",'WetLitterbags placem_collection'!Z30)</f>
        <v/>
      </c>
      <c r="AG469" s="243" t="str">
        <f>IF('WetLitterbags placem_collection'!AA30="","",'WetLitterbags placem_collection'!AA30)</f>
        <v/>
      </c>
      <c r="AH469" t="str">
        <f>IF('WetLitterbags placem_collection'!AC30="","",'WetLitterbags placem_collection'!AC30)</f>
        <v/>
      </c>
      <c r="AI469" s="237">
        <f>AVERAGE('WetLitterbags placem_collection'!S30,'WetLitterbags placem_collection'!U30)</f>
        <v>33.4</v>
      </c>
      <c r="AJ469">
        <f>AVERAGE('WetLitterbags placem_collection'!R30,'WetLitterbags placem_collection'!T30)</f>
        <v>20.6</v>
      </c>
      <c r="AK469">
        <f>INDEX(Coordinates!$B$2:$B$197,MATCH(H469,Coordinates!$J$2:$J$197,0))</f>
        <v>-3.3850070369999998</v>
      </c>
      <c r="AL469">
        <f>INDEX(Coordinates!$C$2:$C$197,MATCH(H469,Coordinates!$J$2:$J$197,0))</f>
        <v>34.818888960000002</v>
      </c>
      <c r="AM469" t="str">
        <f>IF(ISNUMBER(SEARCH("C", 'WetLitterbags placem_collection'!$X30)),"YES","NO")</f>
        <v>NO</v>
      </c>
      <c r="AN469" t="str">
        <f>IF(ISNUMBER(SEARCH("H", 'WetLitterbags placem_collection'!$X30)),"YES","NO")</f>
        <v>NO</v>
      </c>
      <c r="AO469" t="str">
        <f>IF(ISNUMBER(SEARCH("R", 'WetLitterbags placem_collection'!$X30)),"YES","NO")</f>
        <v>NO</v>
      </c>
    </row>
    <row r="470" spans="1:41" ht="15" customHeight="1">
      <c r="A470" s="255" t="s">
        <v>2454</v>
      </c>
      <c r="B470" s="260">
        <f>'Dry_Litterbag Placem_Collection'!A31</f>
        <v>29</v>
      </c>
      <c r="C470" s="260" t="str">
        <f>'Dry_Litterbag Placem_Collection'!B31</f>
        <v>Makao</v>
      </c>
      <c r="D470" s="260" t="s">
        <v>2643</v>
      </c>
      <c r="E470" s="260" t="s">
        <v>2644</v>
      </c>
      <c r="F470" s="260">
        <v>4</v>
      </c>
      <c r="G470" s="260" t="s">
        <v>3804</v>
      </c>
      <c r="H470" s="261" t="str">
        <f>'Dry_Litterbag Placem_Collection'!C31</f>
        <v>Dry_Ag4_T5</v>
      </c>
      <c r="I470" s="270" t="s">
        <v>3630</v>
      </c>
      <c r="J470" s="263" t="s">
        <v>1147</v>
      </c>
      <c r="K470" s="221" t="str">
        <f>'WetLitterbags placem_collection'!O31</f>
        <v>G345</v>
      </c>
      <c r="L470" s="223">
        <f>IFERROR(INDEX('Green_rooibos initial weight'!$C$5:$C$2000,MATCH(K470, 'Green_rooibos initial weight'!$A$5:$A$2000,0)),"")</f>
        <v>2.012</v>
      </c>
      <c r="M470" s="223">
        <f>IFERROR(L470-(TBIcalc!$H$9+TBIcalc!$H$10),"")</f>
        <v>1.7622</v>
      </c>
      <c r="N470" s="385">
        <f>AVERAGE(Ashed_controlls!$K$2:$K$11)</f>
        <v>5.5147656768714146</v>
      </c>
      <c r="O470" s="223">
        <f t="shared" si="36"/>
        <v>1.6650187992421719</v>
      </c>
      <c r="P470" s="223">
        <f>IFERROR(INDEX('Both teabags AfterWet'!$C$3:$C$840,MATCH(K470,'Both teabags AfterWet'!$A$3:$A$840,0)),"")</f>
        <v>0.64829999999999999</v>
      </c>
      <c r="Q470" s="223">
        <f>IFERROR(IF(P470&gt;0,P470-(TBIcalc!$H$9),""),"")</f>
        <v>0.49769999999999998</v>
      </c>
      <c r="R470" s="223">
        <f>IFERROR(INDEX('Ashed teabags wet'!$K$2:$K$2000,MATCH(K470,'Ashed teabags wet'!$A$2:$A$2000,0)),"")</f>
        <v>9.5937347038662821</v>
      </c>
      <c r="S470" s="223">
        <f t="shared" si="37"/>
        <v>0.44995198237885747</v>
      </c>
      <c r="T470" s="224">
        <f>'WetLitterbags placem_collection'!E31</f>
        <v>42767</v>
      </c>
      <c r="U470" s="224">
        <f>IF('WetLitterbags placem_collection'!G31="","",'WetLitterbags placem_collection'!G31)</f>
        <v>42818</v>
      </c>
      <c r="V470" s="225">
        <f t="shared" si="35"/>
        <v>51</v>
      </c>
      <c r="W470" s="223">
        <f t="shared" si="38"/>
        <v>1.2645</v>
      </c>
      <c r="X470" s="223">
        <f t="shared" si="39"/>
        <v>1.2150668168633145</v>
      </c>
      <c r="Y470">
        <f>IFERROR(INDEX(Rainfall_Wet!$O$2:$O$217,MATCH(B470, Rainfall_Wet!$A$2:$A$217,0)),"")</f>
        <v>185.630065823</v>
      </c>
      <c r="Z470" s="228">
        <v>51.960000000000008</v>
      </c>
      <c r="AA470" s="228">
        <v>18.919999999999995</v>
      </c>
      <c r="AB470" s="228">
        <v>29.120000000000005</v>
      </c>
      <c r="AC470" s="229" t="s">
        <v>2657</v>
      </c>
      <c r="AD470" s="228">
        <v>5.8529324790537203</v>
      </c>
      <c r="AE470" t="str">
        <f>IF('WetLitterbags placem_collection'!AB31="","",'WetLitterbags placem_collection'!AB31)</f>
        <v/>
      </c>
      <c r="AF470" t="str">
        <f>IF('WetLitterbags placem_collection'!Z31="","",'WetLitterbags placem_collection'!Z31)</f>
        <v/>
      </c>
      <c r="AG470" s="243" t="str">
        <f>IF('WetLitterbags placem_collection'!AA31="","",'WetLitterbags placem_collection'!AA31)</f>
        <v/>
      </c>
      <c r="AH470" t="str">
        <f>IF('WetLitterbags placem_collection'!AC31="","",'WetLitterbags placem_collection'!AC31)</f>
        <v/>
      </c>
      <c r="AI470" s="237">
        <f>AVERAGE('WetLitterbags placem_collection'!S31,'WetLitterbags placem_collection'!U31)</f>
        <v>28.4</v>
      </c>
      <c r="AJ470">
        <f>AVERAGE('WetLitterbags placem_collection'!R31,'WetLitterbags placem_collection'!T31)</f>
        <v>21.049999999999997</v>
      </c>
      <c r="AK470">
        <f>INDEX(Coordinates!$B$2:$B$197,MATCH(H470,Coordinates!$J$2:$J$197,0))</f>
        <v>-3.3849480280000002</v>
      </c>
      <c r="AL470">
        <f>INDEX(Coordinates!$C$2:$C$197,MATCH(H470,Coordinates!$J$2:$J$197,0))</f>
        <v>34.818854010000003</v>
      </c>
      <c r="AM470" t="str">
        <f>IF(ISNUMBER(SEARCH("C", 'WetLitterbags placem_collection'!$X31)),"YES","NO")</f>
        <v>NO</v>
      </c>
      <c r="AN470" t="str">
        <f>IF(ISNUMBER(SEARCH("H", 'WetLitterbags placem_collection'!$X31)),"YES","NO")</f>
        <v>NO</v>
      </c>
      <c r="AO470" t="str">
        <f>IF(ISNUMBER(SEARCH("R", 'WetLitterbags placem_collection'!$X31)),"YES","NO")</f>
        <v>NO</v>
      </c>
    </row>
    <row r="471" spans="1:41" ht="15" customHeight="1">
      <c r="A471" s="255" t="s">
        <v>2454</v>
      </c>
      <c r="B471" s="260">
        <f>'Dry_Litterbag Placem_Collection'!A32</f>
        <v>30</v>
      </c>
      <c r="C471" s="260" t="str">
        <f>'Dry_Litterbag Placem_Collection'!B32</f>
        <v>Makao</v>
      </c>
      <c r="D471" s="260" t="s">
        <v>2643</v>
      </c>
      <c r="E471" s="260" t="s">
        <v>2644</v>
      </c>
      <c r="F471" s="260">
        <v>4</v>
      </c>
      <c r="G471" s="260" t="s">
        <v>3804</v>
      </c>
      <c r="H471" s="261" t="str">
        <f>'Dry_Litterbag Placem_Collection'!C32</f>
        <v>Dry_Ag4_T6</v>
      </c>
      <c r="I471" s="270" t="s">
        <v>3630</v>
      </c>
      <c r="J471" s="263" t="s">
        <v>1147</v>
      </c>
      <c r="K471" s="221" t="str">
        <f>'WetLitterbags placem_collection'!O32</f>
        <v>G500</v>
      </c>
      <c r="L471" s="223">
        <f>IFERROR(INDEX('Green_rooibos initial weight'!$C$5:$C$2000,MATCH(K471, 'Green_rooibos initial weight'!$A$5:$A$2000,0)),"")</f>
        <v>2.0830000000000002</v>
      </c>
      <c r="M471" s="223">
        <f>IFERROR(L471-(TBIcalc!$H$9+TBIcalc!$H$10),"")</f>
        <v>1.8332000000000002</v>
      </c>
      <c r="N471" s="385">
        <f>AVERAGE(Ashed_controlls!$K$2:$K$11)</f>
        <v>5.5147656768714146</v>
      </c>
      <c r="O471" s="223">
        <f t="shared" si="36"/>
        <v>1.7321033156115935</v>
      </c>
      <c r="P471" s="223">
        <f>IFERROR(INDEX('Both teabags AfterWet'!$C$3:$C$840,MATCH(K471,'Both teabags AfterWet'!$A$3:$A$840,0)),"")</f>
        <v>0.61909999999999998</v>
      </c>
      <c r="Q471" s="223">
        <f>IFERROR(IF(P471&gt;0,P471-(TBIcalc!$H$9),""),"")</f>
        <v>0.46849999999999997</v>
      </c>
      <c r="R471" s="223">
        <f>IFERROR(INDEX('Ashed teabags wet'!$K$2:$K$2000,MATCH(K471,'Ashed teabags wet'!$A$2:$A$2000,0)),"")</f>
        <v>10.952848722986133</v>
      </c>
      <c r="S471" s="223">
        <f t="shared" si="37"/>
        <v>0.41718590373280995</v>
      </c>
      <c r="T471" s="224">
        <f>'WetLitterbags placem_collection'!E32</f>
        <v>42767</v>
      </c>
      <c r="U471" s="224">
        <f>IF('WetLitterbags placem_collection'!G32="","",'WetLitterbags placem_collection'!G32)</f>
        <v>42818</v>
      </c>
      <c r="V471" s="225">
        <f t="shared" si="35"/>
        <v>51</v>
      </c>
      <c r="W471" s="223">
        <f t="shared" si="38"/>
        <v>1.3647000000000002</v>
      </c>
      <c r="X471" s="223">
        <f t="shared" si="39"/>
        <v>1.3149174118787834</v>
      </c>
      <c r="Y471">
        <f>IFERROR(INDEX(Rainfall_Wet!$O$2:$O$217,MATCH(B471, Rainfall_Wet!$A$2:$A$217,0)),"")</f>
        <v>185.630065823</v>
      </c>
      <c r="Z471" s="228">
        <v>51.960000000000008</v>
      </c>
      <c r="AA471" s="228">
        <v>18.919999999999995</v>
      </c>
      <c r="AB471" s="228">
        <v>29.120000000000005</v>
      </c>
      <c r="AC471" s="229" t="s">
        <v>2657</v>
      </c>
      <c r="AD471" s="228">
        <v>6.8529324790537203</v>
      </c>
      <c r="AE471" t="str">
        <f>IF('WetLitterbags placem_collection'!AB32="","",'WetLitterbags placem_collection'!AB32)</f>
        <v/>
      </c>
      <c r="AF471" t="str">
        <f>IF('WetLitterbags placem_collection'!Z32="","",'WetLitterbags placem_collection'!Z32)</f>
        <v/>
      </c>
      <c r="AG471" s="243" t="str">
        <f>IF('WetLitterbags placem_collection'!AA32="","",'WetLitterbags placem_collection'!AA32)</f>
        <v/>
      </c>
      <c r="AH471" t="str">
        <f>IF('WetLitterbags placem_collection'!AC32="","",'WetLitterbags placem_collection'!AC32)</f>
        <v/>
      </c>
      <c r="AI471" s="237">
        <f>AVERAGE('WetLitterbags placem_collection'!S32,'WetLitterbags placem_collection'!U32)</f>
        <v>26.9</v>
      </c>
      <c r="AJ471">
        <f>AVERAGE('WetLitterbags placem_collection'!R32,'WetLitterbags placem_collection'!T32)</f>
        <v>20.7</v>
      </c>
      <c r="AK471">
        <f>INDEX(Coordinates!$B$2:$B$197,MATCH(H471,Coordinates!$J$2:$J$197,0))</f>
        <v>-3.38496496</v>
      </c>
      <c r="AL471">
        <f>INDEX(Coordinates!$C$2:$C$197,MATCH(H471,Coordinates!$J$2:$J$197,0))</f>
        <v>34.818790970000002</v>
      </c>
      <c r="AM471" t="str">
        <f>IF(ISNUMBER(SEARCH("C", 'WetLitterbags placem_collection'!$X32)),"YES","NO")</f>
        <v>NO</v>
      </c>
      <c r="AN471" t="str">
        <f>IF(ISNUMBER(SEARCH("H", 'WetLitterbags placem_collection'!$X32)),"YES","NO")</f>
        <v>NO</v>
      </c>
      <c r="AO471" t="str">
        <f>IF(ISNUMBER(SEARCH("R", 'WetLitterbags placem_collection'!$X32)),"YES","NO")</f>
        <v>NO</v>
      </c>
    </row>
    <row r="472" spans="1:41" ht="15" customHeight="1">
      <c r="A472" s="255" t="s">
        <v>2454</v>
      </c>
      <c r="B472" s="260">
        <f>'Dry_Litterbag Placem_Collection'!A33</f>
        <v>31</v>
      </c>
      <c r="C472" s="260" t="str">
        <f>'Dry_Litterbag Placem_Collection'!B33</f>
        <v>Makao</v>
      </c>
      <c r="D472" s="260" t="s">
        <v>2643</v>
      </c>
      <c r="E472" s="260" t="s">
        <v>2644</v>
      </c>
      <c r="F472" s="260">
        <v>4</v>
      </c>
      <c r="G472" s="260" t="s">
        <v>3804</v>
      </c>
      <c r="H472" s="261" t="str">
        <f>'Dry_Litterbag Placem_Collection'!C33</f>
        <v>Dry_Ag4_T7</v>
      </c>
      <c r="I472" s="270" t="s">
        <v>3630</v>
      </c>
      <c r="J472" s="263" t="s">
        <v>1147</v>
      </c>
      <c r="K472" s="221" t="str">
        <f>'WetLitterbags placem_collection'!O33</f>
        <v>G521</v>
      </c>
      <c r="L472" s="223">
        <f>IFERROR(INDEX('Green_rooibos initial weight'!$C$5:$C$2000,MATCH(K472, 'Green_rooibos initial weight'!$A$5:$A$2000,0)),"")</f>
        <v>2.1709999999999998</v>
      </c>
      <c r="M472" s="223">
        <f>IFERROR(L472-(TBIcalc!$H$9+TBIcalc!$H$10),"")</f>
        <v>1.9211999999999998</v>
      </c>
      <c r="N472" s="385">
        <f>AVERAGE(Ashed_controlls!$K$2:$K$11)</f>
        <v>5.5147656768714146</v>
      </c>
      <c r="O472" s="223">
        <f t="shared" si="36"/>
        <v>1.8152503218159461</v>
      </c>
      <c r="P472" s="223">
        <f>IFERROR(INDEX('Both teabags AfterWet'!$C$3:$C$840,MATCH(K472,'Both teabags AfterWet'!$A$3:$A$840,0)),"")</f>
        <v>0.71479999999999999</v>
      </c>
      <c r="Q472" s="223">
        <f>IFERROR(IF(P472&gt;0,P472-(TBIcalc!$H$9),""),"")</f>
        <v>0.56420000000000003</v>
      </c>
      <c r="R472" s="223">
        <f>IFERROR(INDEX('Ashed teabags wet'!$K$2:$K$2000,MATCH(K472,'Ashed teabags wet'!$A$2:$A$2000,0)),"")</f>
        <v>14.161008729389133</v>
      </c>
      <c r="S472" s="223">
        <f t="shared" si="37"/>
        <v>0.48430358874878654</v>
      </c>
      <c r="T472" s="224">
        <f>'WetLitterbags placem_collection'!E33</f>
        <v>42767</v>
      </c>
      <c r="U472" s="224">
        <f>IF('WetLitterbags placem_collection'!G33="","",'WetLitterbags placem_collection'!G33)</f>
        <v>42818</v>
      </c>
      <c r="V472" s="225">
        <f t="shared" si="35"/>
        <v>51</v>
      </c>
      <c r="W472" s="223">
        <f t="shared" si="38"/>
        <v>1.3569999999999998</v>
      </c>
      <c r="X472" s="223">
        <f t="shared" si="39"/>
        <v>1.3309467330671596</v>
      </c>
      <c r="Y472">
        <f>IFERROR(INDEX(Rainfall_Wet!$O$2:$O$217,MATCH(B472, Rainfall_Wet!$A$2:$A$217,0)),"")</f>
        <v>185.630065823</v>
      </c>
      <c r="Z472" s="228">
        <v>51.960000000000008</v>
      </c>
      <c r="AA472" s="228">
        <v>18.919999999999995</v>
      </c>
      <c r="AB472" s="228">
        <v>29.120000000000005</v>
      </c>
      <c r="AC472" s="229" t="s">
        <v>2657</v>
      </c>
      <c r="AD472" s="228">
        <v>7.8529324790537203</v>
      </c>
      <c r="AE472" t="str">
        <f>IF('WetLitterbags placem_collection'!AB33="","",'WetLitterbags placem_collection'!AB33)</f>
        <v/>
      </c>
      <c r="AF472" t="str">
        <f>IF('WetLitterbags placem_collection'!Z33="","",'WetLitterbags placem_collection'!Z33)</f>
        <v/>
      </c>
      <c r="AG472" s="243" t="str">
        <f>IF('WetLitterbags placem_collection'!AA33="","",'WetLitterbags placem_collection'!AA33)</f>
        <v/>
      </c>
      <c r="AH472" t="str">
        <f>IF('WetLitterbags placem_collection'!AC33="","",'WetLitterbags placem_collection'!AC33)</f>
        <v/>
      </c>
      <c r="AI472" s="237">
        <f>AVERAGE('WetLitterbags placem_collection'!S33,'WetLitterbags placem_collection'!U33)</f>
        <v>33</v>
      </c>
      <c r="AJ472">
        <f>AVERAGE('WetLitterbags placem_collection'!R33,'WetLitterbags placem_collection'!T33)</f>
        <v>20.950000000000003</v>
      </c>
      <c r="AK472">
        <f>INDEX(Coordinates!$B$2:$B$197,MATCH(H472,Coordinates!$J$2:$J$197,0))</f>
        <v>-3.3848409909999999</v>
      </c>
      <c r="AL472">
        <f>INDEX(Coordinates!$C$2:$C$197,MATCH(H472,Coordinates!$J$2:$J$197,0))</f>
        <v>34.818838999999997</v>
      </c>
      <c r="AM472" t="str">
        <f>IF(ISNUMBER(SEARCH("C", 'WetLitterbags placem_collection'!$X33)),"YES","NO")</f>
        <v>NO</v>
      </c>
      <c r="AN472" t="str">
        <f>IF(ISNUMBER(SEARCH("H", 'WetLitterbags placem_collection'!$X33)),"YES","NO")</f>
        <v>NO</v>
      </c>
      <c r="AO472" t="str">
        <f>IF(ISNUMBER(SEARCH("R", 'WetLitterbags placem_collection'!$X33)),"YES","NO")</f>
        <v>YES</v>
      </c>
    </row>
    <row r="473" spans="1:41" ht="15" customHeight="1">
      <c r="A473" s="255" t="s">
        <v>2454</v>
      </c>
      <c r="B473" s="260">
        <f>'Dry_Litterbag Placem_Collection'!A34</f>
        <v>32</v>
      </c>
      <c r="C473" s="260" t="str">
        <f>'Dry_Litterbag Placem_Collection'!B34</f>
        <v>Makao</v>
      </c>
      <c r="D473" s="260" t="s">
        <v>2643</v>
      </c>
      <c r="E473" s="260" t="s">
        <v>2644</v>
      </c>
      <c r="F473" s="260">
        <v>4</v>
      </c>
      <c r="G473" s="260" t="s">
        <v>3804</v>
      </c>
      <c r="H473" s="261" t="str">
        <f>'Dry_Litterbag Placem_Collection'!C34</f>
        <v>Dry_Ag4_T8</v>
      </c>
      <c r="I473" s="270" t="s">
        <v>3630</v>
      </c>
      <c r="J473" s="263" t="s">
        <v>1147</v>
      </c>
      <c r="K473" s="221" t="str">
        <f>'WetLitterbags placem_collection'!O34</f>
        <v>G201</v>
      </c>
      <c r="L473" s="223">
        <f>IFERROR(INDEX('Green_rooibos initial weight'!$C$5:$C$2000,MATCH(K473, 'Green_rooibos initial weight'!$A$5:$A$2000,0)),"")</f>
        <v>2.2370000000000001</v>
      </c>
      <c r="M473" s="223">
        <f>IFERROR(L473-(TBIcalc!$H$9+TBIcalc!$H$10),"")</f>
        <v>1.9872000000000001</v>
      </c>
      <c r="N473" s="385">
        <f>AVERAGE(Ashed_controlls!$K$2:$K$11)</f>
        <v>5.5147656768714146</v>
      </c>
      <c r="O473" s="223">
        <f t="shared" si="36"/>
        <v>1.8776105764692113</v>
      </c>
      <c r="P473" s="223" t="str">
        <f>IFERROR(INDEX('Both teabags AfterWet'!$C$3:$C$840,MATCH(K473,'Both teabags AfterWet'!$A$3:$A$840,0)),"")</f>
        <v/>
      </c>
      <c r="Q473" s="223" t="str">
        <f>IFERROR(IF(P473&gt;0,P473-(TBIcalc!$H$9),""),"")</f>
        <v/>
      </c>
      <c r="R473" s="223">
        <f>IFERROR(INDEX('Ashed teabags wet'!$K$2:$K$2000,MATCH(K473,'Ashed teabags wet'!$A$2:$A$2000,0)),"")</f>
        <v>7.292707292707294</v>
      </c>
      <c r="S473" s="223" t="str">
        <f t="shared" si="37"/>
        <v/>
      </c>
      <c r="T473" s="224">
        <f>'WetLitterbags placem_collection'!E34</f>
        <v>42767</v>
      </c>
      <c r="U473" s="224">
        <f>IF('WetLitterbags placem_collection'!G34="","",'WetLitterbags placem_collection'!G34)</f>
        <v>42818</v>
      </c>
      <c r="V473" s="225">
        <f t="shared" si="35"/>
        <v>51</v>
      </c>
      <c r="W473" s="223" t="str">
        <f t="shared" si="38"/>
        <v/>
      </c>
      <c r="X473" s="223" t="str">
        <f t="shared" si="39"/>
        <v/>
      </c>
      <c r="Y473">
        <f>IFERROR(INDEX(Rainfall_Wet!$O$2:$O$217,MATCH(B473, Rainfall_Wet!$A$2:$A$217,0)),"")</f>
        <v>185.630065823</v>
      </c>
      <c r="Z473" s="228">
        <v>51.960000000000008</v>
      </c>
      <c r="AA473" s="228">
        <v>18.919999999999995</v>
      </c>
      <c r="AB473" s="228">
        <v>29.120000000000005</v>
      </c>
      <c r="AC473" s="229" t="s">
        <v>2657</v>
      </c>
      <c r="AD473" s="228">
        <v>8.8529324790537203</v>
      </c>
      <c r="AE473" t="str">
        <f>IF('WetLitterbags placem_collection'!AB34="","",'WetLitterbags placem_collection'!AB34)</f>
        <v/>
      </c>
      <c r="AF473" t="str">
        <f>IF('WetLitterbags placem_collection'!Z34="","",'WetLitterbags placem_collection'!Z34)</f>
        <v/>
      </c>
      <c r="AG473" s="243" t="str">
        <f>IF('WetLitterbags placem_collection'!AA34="","",'WetLitterbags placem_collection'!AA34)</f>
        <v/>
      </c>
      <c r="AH473" t="str">
        <f>IF('WetLitterbags placem_collection'!AC34="","",'WetLitterbags placem_collection'!AC34)</f>
        <v/>
      </c>
      <c r="AI473" s="237">
        <f>AVERAGE('WetLitterbags placem_collection'!S34,'WetLitterbags placem_collection'!U34)</f>
        <v>32.849999999999994</v>
      </c>
      <c r="AJ473">
        <f>AVERAGE('WetLitterbags placem_collection'!R34,'WetLitterbags placem_collection'!T34)</f>
        <v>20.9</v>
      </c>
      <c r="AK473">
        <f>INDEX(Coordinates!$B$2:$B$197,MATCH(H473,Coordinates!$J$2:$J$197,0))</f>
        <v>-3.3849010060000002</v>
      </c>
      <c r="AL473">
        <f>INDEX(Coordinates!$C$2:$C$197,MATCH(H473,Coordinates!$J$2:$J$197,0))</f>
        <v>34.818979990000003</v>
      </c>
      <c r="AM473" t="str">
        <f>IF(ISNUMBER(SEARCH("C", 'WetLitterbags placem_collection'!$X34)),"YES","NO")</f>
        <v>NO</v>
      </c>
      <c r="AN473" t="str">
        <f>IF(ISNUMBER(SEARCH("H", 'WetLitterbags placem_collection'!$X34)),"YES","NO")</f>
        <v>NO</v>
      </c>
      <c r="AO473" t="str">
        <f>IF(ISNUMBER(SEARCH("R", 'WetLitterbags placem_collection'!$X34)),"YES","NO")</f>
        <v>YES</v>
      </c>
    </row>
    <row r="474" spans="1:41" ht="15" customHeight="1">
      <c r="A474" s="255" t="s">
        <v>2454</v>
      </c>
      <c r="B474" s="260">
        <f>'Dry_Litterbag Placem_Collection'!A35</f>
        <v>33</v>
      </c>
      <c r="C474" s="260" t="str">
        <f>'Dry_Litterbag Placem_Collection'!B35</f>
        <v>Makao</v>
      </c>
      <c r="D474" s="260" t="s">
        <v>2643</v>
      </c>
      <c r="E474" s="260" t="s">
        <v>20</v>
      </c>
      <c r="F474" s="260">
        <v>1</v>
      </c>
      <c r="G474" s="260" t="s">
        <v>3805</v>
      </c>
      <c r="H474" s="261" t="str">
        <f>'Dry_Litterbag Placem_Collection'!C35</f>
        <v>Dry_P1_T1</v>
      </c>
      <c r="I474" s="270" t="s">
        <v>3630</v>
      </c>
      <c r="J474" s="263" t="s">
        <v>1147</v>
      </c>
      <c r="K474" s="221" t="str">
        <f>'WetLitterbags placem_collection'!O35</f>
        <v>G556</v>
      </c>
      <c r="L474" s="223">
        <f>IFERROR(INDEX('Green_rooibos initial weight'!$C$5:$C$2000,MATCH(K474, 'Green_rooibos initial weight'!$A$5:$A$2000,0)),"")</f>
        <v>2.0329999999999999</v>
      </c>
      <c r="M474" s="223">
        <f>IFERROR(L474-(TBIcalc!$H$9+TBIcalc!$H$10),"")</f>
        <v>1.7831999999999999</v>
      </c>
      <c r="N474" s="385">
        <f>AVERAGE(Ashed_controlls!$K$2:$K$11)</f>
        <v>5.5147656768714146</v>
      </c>
      <c r="O474" s="223">
        <f t="shared" si="36"/>
        <v>1.6848606984500289</v>
      </c>
      <c r="P474" s="223">
        <f>IFERROR(INDEX('Both teabags AfterWet'!$C$3:$C$840,MATCH(K474,'Both teabags AfterWet'!$A$3:$A$840,0)),"")</f>
        <v>0.64400000000000002</v>
      </c>
      <c r="Q474" s="223">
        <f>IFERROR(IF(P474&gt;0,P474-(TBIcalc!$H$9),""),"")</f>
        <v>0.49340000000000001</v>
      </c>
      <c r="R474" s="223">
        <f>IFERROR(INDEX('Ashed teabags wet'!$K$2:$K$2000,MATCH(K474,'Ashed teabags wet'!$A$2:$A$2000,0)),"")</f>
        <v>10.776075135937448</v>
      </c>
      <c r="S474" s="223">
        <f t="shared" si="37"/>
        <v>0.44023084527928463</v>
      </c>
      <c r="T474" s="224">
        <f>'WetLitterbags placem_collection'!E35</f>
        <v>42765</v>
      </c>
      <c r="U474" s="224">
        <f>IF('WetLitterbags placem_collection'!G35="","",'WetLitterbags placem_collection'!G35)</f>
        <v>42820</v>
      </c>
      <c r="V474" s="225">
        <f t="shared" si="35"/>
        <v>55</v>
      </c>
      <c r="W474" s="223">
        <f t="shared" si="38"/>
        <v>1.2897999999999998</v>
      </c>
      <c r="X474" s="223">
        <f t="shared" si="39"/>
        <v>1.2446298531707443</v>
      </c>
      <c r="Y474">
        <f>IFERROR(INDEX(Rainfall_Wet!$O$2:$O$217,MATCH(B474, Rainfall_Wet!$A$2:$A$217,0)),"")</f>
        <v>228.324359195</v>
      </c>
      <c r="Z474" s="228">
        <v>23.96</v>
      </c>
      <c r="AA474" s="228">
        <v>0.91999999999999804</v>
      </c>
      <c r="AB474" s="228">
        <v>75.12</v>
      </c>
      <c r="AC474" s="229" t="s">
        <v>2654</v>
      </c>
      <c r="AD474" s="228">
        <v>1.2493839329719072</v>
      </c>
      <c r="AE474">
        <f>IF('WetLitterbags placem_collection'!AB35="","",'WetLitterbags placem_collection'!AB35)</f>
        <v>9.5</v>
      </c>
      <c r="AF474">
        <f>IF('WetLitterbags placem_collection'!Z35="","",'WetLitterbags placem_collection'!Z35)</f>
        <v>17.2</v>
      </c>
      <c r="AG474" s="243" t="str">
        <f>IF('WetLitterbags placem_collection'!AA35="","",'WetLitterbags placem_collection'!AA35)</f>
        <v>G</v>
      </c>
      <c r="AH474">
        <f>IF('WetLitterbags placem_collection'!AC35="","",'WetLitterbags placem_collection'!AC35)</f>
        <v>0</v>
      </c>
      <c r="AI474" s="237">
        <f>AVERAGE('WetLitterbags placem_collection'!S35,'WetLitterbags placem_collection'!U35)</f>
        <v>30.5</v>
      </c>
      <c r="AJ474">
        <f>AVERAGE('WetLitterbags placem_collection'!R35,'WetLitterbags placem_collection'!T35)</f>
        <v>25.25</v>
      </c>
      <c r="AK474">
        <f>INDEX(Coordinates!$B$2:$B$197,MATCH(H474,Coordinates!$J$2:$J$197,0))</f>
        <v>-3.4092039989999998</v>
      </c>
      <c r="AL474">
        <f>INDEX(Coordinates!$C$2:$C$197,MATCH(H474,Coordinates!$J$2:$J$197,0))</f>
        <v>34.852751009999999</v>
      </c>
      <c r="AM474" t="str">
        <f>IF(ISNUMBER(SEARCH("C", 'WetLitterbags placem_collection'!$X35)),"YES","NO")</f>
        <v>NO</v>
      </c>
      <c r="AN474" t="str">
        <f>IF(ISNUMBER(SEARCH("H", 'WetLitterbags placem_collection'!$X35)),"YES","NO")</f>
        <v>NO</v>
      </c>
      <c r="AO474" t="str">
        <f>IF(ISNUMBER(SEARCH("R", 'WetLitterbags placem_collection'!$X35)),"YES","NO")</f>
        <v>YES</v>
      </c>
    </row>
    <row r="475" spans="1:41" ht="15" customHeight="1">
      <c r="A475" s="255" t="s">
        <v>2454</v>
      </c>
      <c r="B475" s="260">
        <f>'Dry_Litterbag Placem_Collection'!A36</f>
        <v>34</v>
      </c>
      <c r="C475" s="260" t="str">
        <f>'Dry_Litterbag Placem_Collection'!B36</f>
        <v>Makao</v>
      </c>
      <c r="D475" s="260" t="s">
        <v>2643</v>
      </c>
      <c r="E475" s="260" t="s">
        <v>20</v>
      </c>
      <c r="F475" s="260">
        <v>1</v>
      </c>
      <c r="G475" s="260" t="s">
        <v>3805</v>
      </c>
      <c r="H475" s="261" t="str">
        <f>'Dry_Litterbag Placem_Collection'!C36</f>
        <v>Dry_P1_T2</v>
      </c>
      <c r="I475" s="270" t="s">
        <v>3630</v>
      </c>
      <c r="J475" s="263" t="s">
        <v>1147</v>
      </c>
      <c r="K475" s="221" t="str">
        <f>'WetLitterbags placem_collection'!O36</f>
        <v>G649</v>
      </c>
      <c r="L475" s="223">
        <f>IFERROR(INDEX('Green_rooibos initial weight'!$C$5:$C$2000,MATCH(K475, 'Green_rooibos initial weight'!$A$5:$A$2000,0)),"")</f>
        <v>2.1379999999999999</v>
      </c>
      <c r="M475" s="223">
        <f>IFERROR(L475-(TBIcalc!$H$9+TBIcalc!$H$10),"")</f>
        <v>1.8881999999999999</v>
      </c>
      <c r="N475" s="385">
        <f>AVERAGE(Ashed_controlls!$K$2:$K$11)</f>
        <v>5.5147656768714146</v>
      </c>
      <c r="O475" s="223">
        <f t="shared" si="36"/>
        <v>1.7840701944893138</v>
      </c>
      <c r="P475" s="223">
        <f>IFERROR(INDEX('Both teabags AfterWet'!$C$3:$C$840,MATCH(K475,'Both teabags AfterWet'!$A$3:$A$840,0)),"")</f>
        <v>0.80259999999999998</v>
      </c>
      <c r="Q475" s="223">
        <f>IFERROR(IF(P475&gt;0,P475-(TBIcalc!$H$9),""),"")</f>
        <v>0.65199999999999991</v>
      </c>
      <c r="R475" s="223">
        <f>IFERROR(INDEX('Ashed teabags wet'!$K$2:$K$2000,MATCH(K475,'Ashed teabags wet'!$A$2:$A$2000,0)),"")</f>
        <v>11.012345679011846</v>
      </c>
      <c r="S475" s="223">
        <f t="shared" si="37"/>
        <v>0.58019950617284266</v>
      </c>
      <c r="T475" s="224">
        <f>'WetLitterbags placem_collection'!E36</f>
        <v>42765</v>
      </c>
      <c r="U475" s="224">
        <f>IF('WetLitterbags placem_collection'!G36="","",'WetLitterbags placem_collection'!G36)</f>
        <v>42820</v>
      </c>
      <c r="V475" s="225">
        <f t="shared" si="35"/>
        <v>55</v>
      </c>
      <c r="W475" s="223">
        <f t="shared" si="38"/>
        <v>1.2362</v>
      </c>
      <c r="X475" s="223">
        <f t="shared" si="39"/>
        <v>1.2038706883164711</v>
      </c>
      <c r="Y475">
        <f>IFERROR(INDEX(Rainfall_Wet!$O$2:$O$217,MATCH(B475, Rainfall_Wet!$A$2:$A$217,0)),"")</f>
        <v>228.324359195</v>
      </c>
      <c r="Z475" s="228">
        <v>23.96</v>
      </c>
      <c r="AA475" s="228">
        <v>0.91999999999999804</v>
      </c>
      <c r="AB475" s="228">
        <v>75.12</v>
      </c>
      <c r="AC475" s="229" t="s">
        <v>2654</v>
      </c>
      <c r="AD475" s="228">
        <v>1.2493839329719072</v>
      </c>
      <c r="AE475">
        <f>IF('WetLitterbags placem_collection'!AB36="","",'WetLitterbags placem_collection'!AB36)</f>
        <v>6.5</v>
      </c>
      <c r="AF475">
        <f>IF('WetLitterbags placem_collection'!Z36="","",'WetLitterbags placem_collection'!Z36)</f>
        <v>14.2</v>
      </c>
      <c r="AG475" s="243" t="str">
        <f>IF('WetLitterbags placem_collection'!AA36="","",'WetLitterbags placem_collection'!AA36)</f>
        <v>G</v>
      </c>
      <c r="AH475">
        <f>IF('WetLitterbags placem_collection'!AC36="","",'WetLitterbags placem_collection'!AC36)</f>
        <v>0</v>
      </c>
      <c r="AI475" s="237">
        <f>AVERAGE('WetLitterbags placem_collection'!S36,'WetLitterbags placem_collection'!U36)</f>
        <v>21</v>
      </c>
      <c r="AJ475">
        <f>AVERAGE('WetLitterbags placem_collection'!R36,'WetLitterbags placem_collection'!T36)</f>
        <v>25.55</v>
      </c>
      <c r="AK475">
        <f>INDEX(Coordinates!$B$2:$B$197,MATCH(H475,Coordinates!$J$2:$J$197,0))</f>
        <v>-3.4092350119999999</v>
      </c>
      <c r="AL475">
        <f>INDEX(Coordinates!$C$2:$C$197,MATCH(H475,Coordinates!$J$2:$J$197,0))</f>
        <v>34.852782019999999</v>
      </c>
      <c r="AM475" t="str">
        <f>IF(ISNUMBER(SEARCH("C", 'WetLitterbags placem_collection'!$X36)),"YES","NO")</f>
        <v>NO</v>
      </c>
      <c r="AN475" t="str">
        <f>IF(ISNUMBER(SEARCH("H", 'WetLitterbags placem_collection'!$X36)),"YES","NO")</f>
        <v>NO</v>
      </c>
      <c r="AO475" t="str">
        <f>IF(ISNUMBER(SEARCH("R", 'WetLitterbags placem_collection'!$X36)),"YES","NO")</f>
        <v>YES</v>
      </c>
    </row>
    <row r="476" spans="1:41" ht="15" customHeight="1">
      <c r="A476" s="255" t="s">
        <v>2454</v>
      </c>
      <c r="B476" s="260">
        <f>'Dry_Litterbag Placem_Collection'!A37</f>
        <v>35</v>
      </c>
      <c r="C476" s="260" t="str">
        <f>'Dry_Litterbag Placem_Collection'!B37</f>
        <v>Makao</v>
      </c>
      <c r="D476" s="260" t="s">
        <v>2643</v>
      </c>
      <c r="E476" s="260" t="s">
        <v>20</v>
      </c>
      <c r="F476" s="260">
        <v>1</v>
      </c>
      <c r="G476" s="260" t="s">
        <v>3805</v>
      </c>
      <c r="H476" s="261" t="str">
        <f>'Dry_Litterbag Placem_Collection'!C37</f>
        <v>Dry_P1_T3</v>
      </c>
      <c r="I476" s="270" t="s">
        <v>3630</v>
      </c>
      <c r="J476" s="263" t="s">
        <v>1147</v>
      </c>
      <c r="K476" s="221" t="str">
        <f>'WetLitterbags placem_collection'!O37</f>
        <v>G732</v>
      </c>
      <c r="L476" s="223">
        <f>IFERROR(INDEX('Green_rooibos initial weight'!$C$5:$C$2000,MATCH(K476, 'Green_rooibos initial weight'!$A$5:$A$2000,0)),"")</f>
        <v>2.0880000000000001</v>
      </c>
      <c r="M476" s="223">
        <f>IFERROR(L476-(TBIcalc!$H$9+TBIcalc!$H$10),"")</f>
        <v>1.8382000000000001</v>
      </c>
      <c r="N476" s="385">
        <f>AVERAGE(Ashed_controlls!$K$2:$K$11)</f>
        <v>5.5147656768714146</v>
      </c>
      <c r="O476" s="223">
        <f t="shared" si="36"/>
        <v>1.7368275773277497</v>
      </c>
      <c r="P476" s="223">
        <f>IFERROR(INDEX('Both teabags AfterWet'!$C$3:$C$840,MATCH(K476,'Both teabags AfterWet'!$A$3:$A$840,0)),"")</f>
        <v>0.71699999999999997</v>
      </c>
      <c r="Q476" s="223">
        <f>IFERROR(IF(P476&gt;0,P476-(TBIcalc!$H$9),""),"")</f>
        <v>0.56640000000000001</v>
      </c>
      <c r="R476" s="223">
        <f>IFERROR(INDEX('Ashed teabags wet'!$K$2:$K$2000,MATCH(K476,'Ashed teabags wet'!$A$2:$A$2000,0)),"")</f>
        <v>10.182896688086906</v>
      </c>
      <c r="S476" s="223">
        <f t="shared" si="37"/>
        <v>0.50872407315867574</v>
      </c>
      <c r="T476" s="224">
        <f>'WetLitterbags placem_collection'!E37</f>
        <v>42765</v>
      </c>
      <c r="U476" s="224">
        <f>IF('WetLitterbags placem_collection'!G37="","",'WetLitterbags placem_collection'!G37)</f>
        <v>42820</v>
      </c>
      <c r="V476" s="225">
        <f t="shared" si="35"/>
        <v>55</v>
      </c>
      <c r="W476" s="223">
        <f t="shared" si="38"/>
        <v>1.2718</v>
      </c>
      <c r="X476" s="223">
        <f t="shared" si="39"/>
        <v>1.228103504169074</v>
      </c>
      <c r="Y476">
        <f>IFERROR(INDEX(Rainfall_Wet!$O$2:$O$217,MATCH(B476, Rainfall_Wet!$A$2:$A$217,0)),"")</f>
        <v>228.324359195</v>
      </c>
      <c r="Z476" s="228">
        <v>23.96</v>
      </c>
      <c r="AA476" s="228">
        <v>0.91999999999999804</v>
      </c>
      <c r="AB476" s="228">
        <v>75.12</v>
      </c>
      <c r="AC476" s="229" t="s">
        <v>2654</v>
      </c>
      <c r="AD476" s="228">
        <v>1.2493839329719072</v>
      </c>
      <c r="AE476">
        <f>IF('WetLitterbags placem_collection'!AB37="","",'WetLitterbags placem_collection'!AB37)</f>
        <v>0.7</v>
      </c>
      <c r="AF476">
        <f>IF('WetLitterbags placem_collection'!Z37="","",'WetLitterbags placem_collection'!Z37)</f>
        <v>10.6</v>
      </c>
      <c r="AG476" s="243" t="str">
        <f>IF('WetLitterbags placem_collection'!AA37="","",'WetLitterbags placem_collection'!AA37)</f>
        <v>G</v>
      </c>
      <c r="AH476">
        <f>IF('WetLitterbags placem_collection'!AC37="","",'WetLitterbags placem_collection'!AC37)</f>
        <v>0</v>
      </c>
      <c r="AI476" s="237">
        <f>AVERAGE('WetLitterbags placem_collection'!S37,'WetLitterbags placem_collection'!U37)</f>
        <v>10.9</v>
      </c>
      <c r="AJ476">
        <f>AVERAGE('WetLitterbags placem_collection'!R37,'WetLitterbags placem_collection'!T37)</f>
        <v>24.45</v>
      </c>
      <c r="AK476">
        <f>INDEX(Coordinates!$B$2:$B$197,MATCH(H476,Coordinates!$J$2:$J$197,0))</f>
        <v>-3.409177009</v>
      </c>
      <c r="AL476">
        <f>INDEX(Coordinates!$C$2:$C$197,MATCH(H476,Coordinates!$J$2:$J$197,0))</f>
        <v>34.852818990000003</v>
      </c>
      <c r="AM476" t="str">
        <f>IF(ISNUMBER(SEARCH("C", 'WetLitterbags placem_collection'!$X37)),"YES","NO")</f>
        <v>NO</v>
      </c>
      <c r="AN476" t="str">
        <f>IF(ISNUMBER(SEARCH("H", 'WetLitterbags placem_collection'!$X37)),"YES","NO")</f>
        <v>NO</v>
      </c>
      <c r="AO476" t="str">
        <f>IF(ISNUMBER(SEARCH("R", 'WetLitterbags placem_collection'!$X37)),"YES","NO")</f>
        <v>YES</v>
      </c>
    </row>
    <row r="477" spans="1:41" ht="15" customHeight="1">
      <c r="A477" s="255" t="s">
        <v>2454</v>
      </c>
      <c r="B477" s="260">
        <f>'Dry_Litterbag Placem_Collection'!A38</f>
        <v>36</v>
      </c>
      <c r="C477" s="260" t="str">
        <f>'Dry_Litterbag Placem_Collection'!B38</f>
        <v>Makao</v>
      </c>
      <c r="D477" s="260" t="s">
        <v>2643</v>
      </c>
      <c r="E477" s="260" t="s">
        <v>20</v>
      </c>
      <c r="F477" s="260">
        <v>1</v>
      </c>
      <c r="G477" s="260" t="s">
        <v>3805</v>
      </c>
      <c r="H477" s="261" t="str">
        <f>'Dry_Litterbag Placem_Collection'!C38</f>
        <v>Dry_P1_T4</v>
      </c>
      <c r="I477" s="270" t="s">
        <v>3630</v>
      </c>
      <c r="J477" s="263" t="s">
        <v>1147</v>
      </c>
      <c r="K477" s="221" t="str">
        <f>'WetLitterbags placem_collection'!O38</f>
        <v>G550</v>
      </c>
      <c r="L477" s="223">
        <f>IFERROR(INDEX('Green_rooibos initial weight'!$C$5:$C$2000,MATCH(K477, 'Green_rooibos initial weight'!$A$5:$A$2000,0)),"")</f>
        <v>2.097</v>
      </c>
      <c r="M477" s="223">
        <f>IFERROR(L477-(TBIcalc!$H$9+TBIcalc!$H$10),"")</f>
        <v>1.8472</v>
      </c>
      <c r="N477" s="385">
        <f>AVERAGE(Ashed_controlls!$K$2:$K$11)</f>
        <v>5.5147656768714146</v>
      </c>
      <c r="O477" s="223">
        <f t="shared" si="36"/>
        <v>1.7453312484168313</v>
      </c>
      <c r="P477" s="223">
        <f>IFERROR(INDEX('Both teabags AfterWet'!$C$3:$C$840,MATCH(K477,'Both teabags AfterWet'!$A$3:$A$840,0)),"")</f>
        <v>0.72199999999999998</v>
      </c>
      <c r="Q477" s="223">
        <f>IFERROR(IF(P477&gt;0,P477-(TBIcalc!$H$9),""),"")</f>
        <v>0.57139999999999991</v>
      </c>
      <c r="R477" s="223">
        <f>IFERROR(INDEX('Ashed teabags wet'!$K$2:$K$2000,MATCH(K477,'Ashed teabags wet'!$A$2:$A$2000,0)),"")</f>
        <v>6.3737324963780466</v>
      </c>
      <c r="S477" s="223">
        <f t="shared" si="37"/>
        <v>0.53498049251569579</v>
      </c>
      <c r="T477" s="224">
        <f>'WetLitterbags placem_collection'!E38</f>
        <v>42765</v>
      </c>
      <c r="U477" s="224">
        <f>IF('WetLitterbags placem_collection'!G38="","",'WetLitterbags placem_collection'!G38)</f>
        <v>42820</v>
      </c>
      <c r="V477" s="225">
        <f t="shared" si="35"/>
        <v>55</v>
      </c>
      <c r="W477" s="223">
        <f t="shared" si="38"/>
        <v>1.2758</v>
      </c>
      <c r="X477" s="223">
        <f t="shared" si="39"/>
        <v>1.2103507559011355</v>
      </c>
      <c r="Y477">
        <f>IFERROR(INDEX(Rainfall_Wet!$O$2:$O$217,MATCH(B477, Rainfall_Wet!$A$2:$A$217,0)),"")</f>
        <v>228.324359195</v>
      </c>
      <c r="Z477" s="228">
        <v>23.96</v>
      </c>
      <c r="AA477" s="228">
        <v>0.91999999999999804</v>
      </c>
      <c r="AB477" s="228">
        <v>75.12</v>
      </c>
      <c r="AC477" s="229" t="s">
        <v>2654</v>
      </c>
      <c r="AD477" s="228">
        <v>1.2493839329719072</v>
      </c>
      <c r="AE477">
        <f>IF('WetLitterbags placem_collection'!AB38="","",'WetLitterbags placem_collection'!AB38)</f>
        <v>3.3</v>
      </c>
      <c r="AF477">
        <f>IF('WetLitterbags placem_collection'!Z38="","",'WetLitterbags placem_collection'!Z38)</f>
        <v>4.9000000000000004</v>
      </c>
      <c r="AG477" s="243" t="str">
        <f>IF('WetLitterbags placem_collection'!AA38="","",'WetLitterbags placem_collection'!AA38)</f>
        <v>G</v>
      </c>
      <c r="AH477">
        <f>IF('WetLitterbags placem_collection'!AC38="","",'WetLitterbags placem_collection'!AC38)</f>
        <v>1</v>
      </c>
      <c r="AI477" s="237">
        <f>AVERAGE('WetLitterbags placem_collection'!S38,'WetLitterbags placem_collection'!U38)</f>
        <v>14.1</v>
      </c>
      <c r="AJ477">
        <f>AVERAGE('WetLitterbags placem_collection'!R38,'WetLitterbags placem_collection'!T38)</f>
        <v>24.75</v>
      </c>
      <c r="AK477">
        <f>INDEX(Coordinates!$B$2:$B$197,MATCH(H477,Coordinates!$J$2:$J$197,0))</f>
        <v>-3.40917198</v>
      </c>
      <c r="AL477">
        <f>INDEX(Coordinates!$C$2:$C$197,MATCH(H477,Coordinates!$J$2:$J$197,0))</f>
        <v>34.852960979999999</v>
      </c>
      <c r="AM477" t="str">
        <f>IF(ISNUMBER(SEARCH("C", 'WetLitterbags placem_collection'!$X38)),"YES","NO")</f>
        <v>NO</v>
      </c>
      <c r="AN477" t="str">
        <f>IF(ISNUMBER(SEARCH("H", 'WetLitterbags placem_collection'!$X38)),"YES","NO")</f>
        <v>NO</v>
      </c>
      <c r="AO477" t="str">
        <f>IF(ISNUMBER(SEARCH("R", 'WetLitterbags placem_collection'!$X38)),"YES","NO")</f>
        <v>YES</v>
      </c>
    </row>
    <row r="478" spans="1:41" ht="15" customHeight="1">
      <c r="A478" s="255" t="s">
        <v>2454</v>
      </c>
      <c r="B478" s="260">
        <f>'Dry_Litterbag Placem_Collection'!A39</f>
        <v>37</v>
      </c>
      <c r="C478" s="260" t="str">
        <f>'Dry_Litterbag Placem_Collection'!B39</f>
        <v>Makao</v>
      </c>
      <c r="D478" s="260" t="s">
        <v>2643</v>
      </c>
      <c r="E478" s="260" t="s">
        <v>20</v>
      </c>
      <c r="F478" s="260">
        <v>1</v>
      </c>
      <c r="G478" s="260" t="s">
        <v>3805</v>
      </c>
      <c r="H478" s="261" t="str">
        <f>'Dry_Litterbag Placem_Collection'!C39</f>
        <v>Dry_P1_T5</v>
      </c>
      <c r="I478" s="270" t="s">
        <v>3630</v>
      </c>
      <c r="J478" s="263" t="s">
        <v>1147</v>
      </c>
      <c r="K478" s="221" t="str">
        <f>'WetLitterbags placem_collection'!O39</f>
        <v>G528</v>
      </c>
      <c r="L478" s="223">
        <f>IFERROR(INDEX('Green_rooibos initial weight'!$C$5:$C$2000,MATCH(K478, 'Green_rooibos initial weight'!$A$5:$A$2000,0)),"")</f>
        <v>2.14</v>
      </c>
      <c r="M478" s="223">
        <f>IFERROR(L478-(TBIcalc!$H$9+TBIcalc!$H$10),"")</f>
        <v>1.8902000000000001</v>
      </c>
      <c r="N478" s="385">
        <f>AVERAGE(Ashed_controlls!$K$2:$K$11)</f>
        <v>5.5147656768714146</v>
      </c>
      <c r="O478" s="223">
        <f t="shared" si="36"/>
        <v>1.7859598991757766</v>
      </c>
      <c r="P478" s="223">
        <f>IFERROR(INDEX('Both teabags AfterWet'!$C$3:$C$840,MATCH(K478,'Both teabags AfterWet'!$A$3:$A$840,0)),"")</f>
        <v>0.89600000000000002</v>
      </c>
      <c r="Q478" s="223">
        <f>IFERROR(IF(P478&gt;0,P478-(TBIcalc!$H$9),""),"")</f>
        <v>0.74540000000000006</v>
      </c>
      <c r="R478" s="223">
        <f>IFERROR(INDEX('Ashed teabags wet'!$K$2:$K$2000,MATCH(K478,'Ashed teabags wet'!$A$2:$A$2000,0)),"")</f>
        <v>15.032354405176665</v>
      </c>
      <c r="S478" s="223">
        <f t="shared" si="37"/>
        <v>0.63334883026381317</v>
      </c>
      <c r="T478" s="224">
        <f>'WetLitterbags placem_collection'!E39</f>
        <v>42765</v>
      </c>
      <c r="U478" s="224">
        <f>IF('WetLitterbags placem_collection'!G39="","",'WetLitterbags placem_collection'!G39)</f>
        <v>42820</v>
      </c>
      <c r="V478" s="225">
        <f t="shared" si="35"/>
        <v>55</v>
      </c>
      <c r="W478" s="223">
        <f t="shared" si="38"/>
        <v>1.1448</v>
      </c>
      <c r="X478" s="223">
        <f t="shared" si="39"/>
        <v>1.1526110689119635</v>
      </c>
      <c r="Y478">
        <f>IFERROR(INDEX(Rainfall_Wet!$O$2:$O$217,MATCH(B478, Rainfall_Wet!$A$2:$A$217,0)),"")</f>
        <v>228.324359195</v>
      </c>
      <c r="Z478" s="228">
        <v>23.96</v>
      </c>
      <c r="AA478" s="228">
        <v>0.91999999999999804</v>
      </c>
      <c r="AB478" s="228">
        <v>75.12</v>
      </c>
      <c r="AC478" s="229" t="s">
        <v>2654</v>
      </c>
      <c r="AD478" s="228">
        <v>1.2493839329719072</v>
      </c>
      <c r="AE478">
        <f>IF('WetLitterbags placem_collection'!AB39="","",'WetLitterbags placem_collection'!AB39)</f>
        <v>8.3000000000000007</v>
      </c>
      <c r="AF478">
        <f>IF('WetLitterbags placem_collection'!Z39="","",'WetLitterbags placem_collection'!Z39)</f>
        <v>27.8</v>
      </c>
      <c r="AG478" s="243" t="str">
        <f>IF('WetLitterbags placem_collection'!AA39="","",'WetLitterbags placem_collection'!AA39)</f>
        <v>G</v>
      </c>
      <c r="AH478">
        <f>IF('WetLitterbags placem_collection'!AC39="","",'WetLitterbags placem_collection'!AC39)</f>
        <v>0</v>
      </c>
      <c r="AI478" s="237">
        <f>AVERAGE('WetLitterbags placem_collection'!S39,'WetLitterbags placem_collection'!U39)</f>
        <v>19.299999999999997</v>
      </c>
      <c r="AJ478">
        <f>AVERAGE('WetLitterbags placem_collection'!R39,'WetLitterbags placem_collection'!T39)</f>
        <v>24.55</v>
      </c>
      <c r="AK478">
        <f>INDEX(Coordinates!$B$2:$B$197,MATCH(H478,Coordinates!$J$2:$J$197,0))</f>
        <v>-3.4090709779999999</v>
      </c>
      <c r="AL478">
        <f>INDEX(Coordinates!$C$2:$C$197,MATCH(H478,Coordinates!$J$2:$J$197,0))</f>
        <v>34.852712029999999</v>
      </c>
      <c r="AM478" t="str">
        <f>IF(ISNUMBER(SEARCH("C", 'WetLitterbags placem_collection'!$X39)),"YES","NO")</f>
        <v>NO</v>
      </c>
      <c r="AN478" t="str">
        <f>IF(ISNUMBER(SEARCH("H", 'WetLitterbags placem_collection'!$X39)),"YES","NO")</f>
        <v>NO</v>
      </c>
      <c r="AO478" t="str">
        <f>IF(ISNUMBER(SEARCH("R", 'WetLitterbags placem_collection'!$X39)),"YES","NO")</f>
        <v>YES</v>
      </c>
    </row>
    <row r="479" spans="1:41" ht="15" customHeight="1">
      <c r="A479" s="255" t="s">
        <v>2454</v>
      </c>
      <c r="B479" s="260">
        <f>'Dry_Litterbag Placem_Collection'!A40</f>
        <v>38</v>
      </c>
      <c r="C479" s="260" t="str">
        <f>'Dry_Litterbag Placem_Collection'!B40</f>
        <v>Makao</v>
      </c>
      <c r="D479" s="260" t="s">
        <v>2643</v>
      </c>
      <c r="E479" s="260" t="s">
        <v>20</v>
      </c>
      <c r="F479" s="260">
        <v>1</v>
      </c>
      <c r="G479" s="260" t="s">
        <v>3805</v>
      </c>
      <c r="H479" s="261" t="str">
        <f>'Dry_Litterbag Placem_Collection'!C40</f>
        <v>Dry_P1_T6</v>
      </c>
      <c r="I479" s="270" t="s">
        <v>3630</v>
      </c>
      <c r="J479" s="263" t="s">
        <v>1147</v>
      </c>
      <c r="K479" s="221" t="str">
        <f>'WetLitterbags placem_collection'!O40</f>
        <v>G703</v>
      </c>
      <c r="L479" s="223">
        <f>IFERROR(INDEX('Green_rooibos initial weight'!$C$5:$C$2000,MATCH(K479, 'Green_rooibos initial weight'!$A$5:$A$2000,0)),"")</f>
        <v>1.9159999999999999</v>
      </c>
      <c r="M479" s="223">
        <f>IFERROR(L479-(TBIcalc!$H$9+TBIcalc!$H$10),"")</f>
        <v>1.6661999999999999</v>
      </c>
      <c r="N479" s="385">
        <f>AVERAGE(Ashed_controlls!$K$2:$K$11)</f>
        <v>5.5147656768714146</v>
      </c>
      <c r="O479" s="223">
        <f t="shared" si="36"/>
        <v>1.5743129742919684</v>
      </c>
      <c r="P479" s="223">
        <f>IFERROR(INDEX('Both teabags AfterWet'!$C$3:$C$840,MATCH(K479,'Both teabags AfterWet'!$A$3:$A$840,0)),"")</f>
        <v>0.81899999999999995</v>
      </c>
      <c r="Q479" s="223">
        <f>IFERROR(IF(P479&gt;0,P479-(TBIcalc!$H$9),""),"")</f>
        <v>0.66839999999999988</v>
      </c>
      <c r="R479" s="223">
        <f>IFERROR(INDEX('Ashed teabags wet'!$K$2:$K$2000,MATCH(K479,'Ashed teabags wet'!$A$2:$A$2000,0)),"")</f>
        <v>13.181367690782835</v>
      </c>
      <c r="S479" s="223">
        <f t="shared" si="37"/>
        <v>0.58029573835480741</v>
      </c>
      <c r="T479" s="224">
        <f>'WetLitterbags placem_collection'!E40</f>
        <v>42765</v>
      </c>
      <c r="U479" s="224">
        <f>IF('WetLitterbags placem_collection'!G40="","",'WetLitterbags placem_collection'!G40)</f>
        <v>42820</v>
      </c>
      <c r="V479" s="225">
        <f t="shared" si="35"/>
        <v>55</v>
      </c>
      <c r="W479" s="223">
        <f t="shared" si="38"/>
        <v>0.99780000000000002</v>
      </c>
      <c r="X479" s="223">
        <f t="shared" si="39"/>
        <v>0.99401723593716096</v>
      </c>
      <c r="Y479">
        <f>IFERROR(INDEX(Rainfall_Wet!$O$2:$O$217,MATCH(B479, Rainfall_Wet!$A$2:$A$217,0)),"")</f>
        <v>228.324359195</v>
      </c>
      <c r="Z479" s="228">
        <v>23.96</v>
      </c>
      <c r="AA479" s="228">
        <v>0.91999999999999804</v>
      </c>
      <c r="AB479" s="228">
        <v>75.12</v>
      </c>
      <c r="AC479" s="229" t="s">
        <v>2654</v>
      </c>
      <c r="AD479" s="228">
        <v>1.2493839329719072</v>
      </c>
      <c r="AE479">
        <f>IF('WetLitterbags placem_collection'!AB40="","",'WetLitterbags placem_collection'!AB40)</f>
        <v>2</v>
      </c>
      <c r="AF479">
        <f>IF('WetLitterbags placem_collection'!Z40="","",'WetLitterbags placem_collection'!Z40)</f>
        <v>20.399999999999999</v>
      </c>
      <c r="AG479" s="243" t="str">
        <f>IF('WetLitterbags placem_collection'!AA40="","",'WetLitterbags placem_collection'!AA40)</f>
        <v>O</v>
      </c>
      <c r="AH479">
        <f>IF('WetLitterbags placem_collection'!AC40="","",'WetLitterbags placem_collection'!AC40)</f>
        <v>0</v>
      </c>
      <c r="AI479" s="237">
        <f>AVERAGE('WetLitterbags placem_collection'!S40,'WetLitterbags placem_collection'!U40)</f>
        <v>20.9</v>
      </c>
      <c r="AJ479">
        <f>AVERAGE('WetLitterbags placem_collection'!R40,'WetLitterbags placem_collection'!T40)</f>
        <v>24.1</v>
      </c>
      <c r="AK479">
        <f>INDEX(Coordinates!$B$2:$B$197,MATCH(H479,Coordinates!$J$2:$J$197,0))</f>
        <v>-3.409280023</v>
      </c>
      <c r="AL479">
        <f>INDEX(Coordinates!$C$2:$C$197,MATCH(H479,Coordinates!$J$2:$J$197,0))</f>
        <v>34.852612960000002</v>
      </c>
      <c r="AM479" t="str">
        <f>IF(ISNUMBER(SEARCH("C", 'WetLitterbags placem_collection'!$X40)),"YES","NO")</f>
        <v>NO</v>
      </c>
      <c r="AN479" t="str">
        <f>IF(ISNUMBER(SEARCH("H", 'WetLitterbags placem_collection'!$X40)),"YES","NO")</f>
        <v>NO</v>
      </c>
      <c r="AO479" t="str">
        <f>IF(ISNUMBER(SEARCH("R", 'WetLitterbags placem_collection'!$X40)),"YES","NO")</f>
        <v>YES</v>
      </c>
    </row>
    <row r="480" spans="1:41" ht="15" customHeight="1">
      <c r="A480" s="255" t="s">
        <v>2454</v>
      </c>
      <c r="B480" s="260">
        <f>'Dry_Litterbag Placem_Collection'!A41</f>
        <v>39</v>
      </c>
      <c r="C480" s="260" t="str">
        <f>'Dry_Litterbag Placem_Collection'!B41</f>
        <v>Makao</v>
      </c>
      <c r="D480" s="260" t="s">
        <v>2643</v>
      </c>
      <c r="E480" s="260" t="s">
        <v>20</v>
      </c>
      <c r="F480" s="260">
        <v>1</v>
      </c>
      <c r="G480" s="260" t="s">
        <v>3805</v>
      </c>
      <c r="H480" s="261" t="str">
        <f>'Dry_Litterbag Placem_Collection'!C41</f>
        <v>Dry_P1_T7</v>
      </c>
      <c r="I480" s="270" t="s">
        <v>3630</v>
      </c>
      <c r="J480" s="263" t="s">
        <v>1147</v>
      </c>
      <c r="K480" s="221" t="str">
        <f>'WetLitterbags placem_collection'!O41</f>
        <v>G566</v>
      </c>
      <c r="L480" s="223">
        <f>IFERROR(INDEX('Green_rooibos initial weight'!$C$5:$C$2000,MATCH(K480, 'Green_rooibos initial weight'!$A$5:$A$2000,0)),"")</f>
        <v>2.0449999999999999</v>
      </c>
      <c r="M480" s="223">
        <f>IFERROR(L480-(TBIcalc!$H$9+TBIcalc!$H$10),"")</f>
        <v>1.7951999999999999</v>
      </c>
      <c r="N480" s="385">
        <f>AVERAGE(Ashed_controlls!$K$2:$K$11)</f>
        <v>5.5147656768714146</v>
      </c>
      <c r="O480" s="223">
        <f t="shared" si="36"/>
        <v>1.6961989265688042</v>
      </c>
      <c r="P480" s="223">
        <f>IFERROR(INDEX('Both teabags AfterWet'!$C$3:$C$840,MATCH(K480,'Both teabags AfterWet'!$A$3:$A$840,0)),"")</f>
        <v>0.78520000000000001</v>
      </c>
      <c r="Q480" s="223">
        <f>IFERROR(IF(P480&gt;0,P480-(TBIcalc!$H$9),""),"")</f>
        <v>0.63460000000000005</v>
      </c>
      <c r="R480" s="223">
        <f>IFERROR(INDEX('Ashed teabags wet'!$K$2:$K$2000,MATCH(K480,'Ashed teabags wet'!$A$2:$A$2000,0)),"")</f>
        <v>4.4278606965170084</v>
      </c>
      <c r="S480" s="223">
        <f t="shared" si="37"/>
        <v>0.60650079601990314</v>
      </c>
      <c r="T480" s="224">
        <f>'WetLitterbags placem_collection'!E41</f>
        <v>42765</v>
      </c>
      <c r="U480" s="224">
        <f>IF('WetLitterbags placem_collection'!G41="","",'WetLitterbags placem_collection'!G41)</f>
        <v>42820</v>
      </c>
      <c r="V480" s="225">
        <f t="shared" si="35"/>
        <v>55</v>
      </c>
      <c r="W480" s="223">
        <f t="shared" si="38"/>
        <v>1.1605999999999999</v>
      </c>
      <c r="X480" s="223">
        <f t="shared" si="39"/>
        <v>1.0896981305489011</v>
      </c>
      <c r="Y480">
        <f>IFERROR(INDEX(Rainfall_Wet!$O$2:$O$217,MATCH(B480, Rainfall_Wet!$A$2:$A$217,0)),"")</f>
        <v>228.324359195</v>
      </c>
      <c r="Z480" s="228">
        <v>23.96</v>
      </c>
      <c r="AA480" s="228">
        <v>0.91999999999999804</v>
      </c>
      <c r="AB480" s="228">
        <v>75.12</v>
      </c>
      <c r="AC480" s="229" t="s">
        <v>2654</v>
      </c>
      <c r="AD480" s="228">
        <v>1.2493839329719072</v>
      </c>
      <c r="AE480">
        <f>IF('WetLitterbags placem_collection'!AB41="","",'WetLitterbags placem_collection'!AB41)</f>
        <v>2.4</v>
      </c>
      <c r="AF480">
        <f>IF('WetLitterbags placem_collection'!Z41="","",'WetLitterbags placem_collection'!Z41)</f>
        <v>18</v>
      </c>
      <c r="AG480" s="243" t="str">
        <f>IF('WetLitterbags placem_collection'!AA41="","",'WetLitterbags placem_collection'!AA41)</f>
        <v>G</v>
      </c>
      <c r="AH480">
        <f>IF('WetLitterbags placem_collection'!AC41="","",'WetLitterbags placem_collection'!AC41)</f>
        <v>1</v>
      </c>
      <c r="AI480" s="237">
        <f>AVERAGE('WetLitterbags placem_collection'!S41,'WetLitterbags placem_collection'!U41)</f>
        <v>26.9</v>
      </c>
      <c r="AJ480">
        <f>AVERAGE('WetLitterbags placem_collection'!R41,'WetLitterbags placem_collection'!T41)</f>
        <v>23.299999999999997</v>
      </c>
      <c r="AK480">
        <f>INDEX(Coordinates!$B$2:$B$197,MATCH(H480,Coordinates!$J$2:$J$197,0))</f>
        <v>-3.4093859700000002</v>
      </c>
      <c r="AL480">
        <f>INDEX(Coordinates!$C$2:$C$197,MATCH(H480,Coordinates!$J$2:$J$197,0))</f>
        <v>34.852855030000001</v>
      </c>
      <c r="AM480" t="str">
        <f>IF(ISNUMBER(SEARCH("C", 'WetLitterbags placem_collection'!$X41)),"YES","NO")</f>
        <v>NO</v>
      </c>
      <c r="AN480" t="str">
        <f>IF(ISNUMBER(SEARCH("H", 'WetLitterbags placem_collection'!$X41)),"YES","NO")</f>
        <v>NO</v>
      </c>
      <c r="AO480" t="str">
        <f>IF(ISNUMBER(SEARCH("R", 'WetLitterbags placem_collection'!$X41)),"YES","NO")</f>
        <v>YES</v>
      </c>
    </row>
    <row r="481" spans="1:41" ht="15" customHeight="1">
      <c r="A481" s="255" t="s">
        <v>2454</v>
      </c>
      <c r="B481" s="260">
        <f>'Dry_Litterbag Placem_Collection'!A42</f>
        <v>40</v>
      </c>
      <c r="C481" s="260" t="str">
        <f>'Dry_Litterbag Placem_Collection'!B42</f>
        <v>Makao</v>
      </c>
      <c r="D481" s="260" t="s">
        <v>2643</v>
      </c>
      <c r="E481" s="260" t="s">
        <v>20</v>
      </c>
      <c r="F481" s="260">
        <v>1</v>
      </c>
      <c r="G481" s="260" t="s">
        <v>3805</v>
      </c>
      <c r="H481" s="261" t="str">
        <f>'Dry_Litterbag Placem_Collection'!C42</f>
        <v>Dry_P1_T8</v>
      </c>
      <c r="I481" s="270" t="s">
        <v>3630</v>
      </c>
      <c r="J481" s="263" t="s">
        <v>1147</v>
      </c>
      <c r="K481" s="221" t="str">
        <f>'WetLitterbags placem_collection'!O42</f>
        <v>G619</v>
      </c>
      <c r="L481" s="223">
        <f>IFERROR(INDEX('Green_rooibos initial weight'!$C$5:$C$2000,MATCH(K481, 'Green_rooibos initial weight'!$A$5:$A$2000,0)),"")</f>
        <v>2.036</v>
      </c>
      <c r="M481" s="223">
        <f>IFERROR(L481-(TBIcalc!$H$9+TBIcalc!$H$10),"")</f>
        <v>1.7862</v>
      </c>
      <c r="N481" s="385">
        <f>AVERAGE(Ashed_controlls!$K$2:$K$11)</f>
        <v>5.5147656768714146</v>
      </c>
      <c r="O481" s="223">
        <f t="shared" si="36"/>
        <v>1.6876952554797229</v>
      </c>
      <c r="P481" s="223">
        <f>IFERROR(INDEX('Both teabags AfterWet'!$C$3:$C$840,MATCH(K481,'Both teabags AfterWet'!$A$3:$A$840,0)),"")</f>
        <v>0.70599999999999996</v>
      </c>
      <c r="Q481" s="223">
        <f>IFERROR(IF(P481&gt;0,P481-(TBIcalc!$H$9),""),"")</f>
        <v>0.55539999999999989</v>
      </c>
      <c r="R481" s="223">
        <f>IFERROR(INDEX('Ashed teabags wet'!$K$2:$K$2000,MATCH(K481,'Ashed teabags wet'!$A$2:$A$2000,0)),"")</f>
        <v>8.6005830903788301</v>
      </c>
      <c r="S481" s="223">
        <f t="shared" si="37"/>
        <v>0.50763236151603586</v>
      </c>
      <c r="T481" s="224">
        <f>'WetLitterbags placem_collection'!E42</f>
        <v>42765</v>
      </c>
      <c r="U481" s="224">
        <f>IF('WetLitterbags placem_collection'!G42="","",'WetLitterbags placem_collection'!G42)</f>
        <v>42820</v>
      </c>
      <c r="V481" s="225">
        <f t="shared" si="35"/>
        <v>55</v>
      </c>
      <c r="W481" s="223">
        <f t="shared" si="38"/>
        <v>1.2308000000000001</v>
      </c>
      <c r="X481" s="223">
        <f t="shared" si="39"/>
        <v>1.180062893963687</v>
      </c>
      <c r="Y481">
        <f>IFERROR(INDEX(Rainfall_Wet!$O$2:$O$217,MATCH(B481, Rainfall_Wet!$A$2:$A$217,0)),"")</f>
        <v>228.324359195</v>
      </c>
      <c r="Z481" s="228">
        <v>23.96</v>
      </c>
      <c r="AA481" s="228">
        <v>0.91999999999999804</v>
      </c>
      <c r="AB481" s="228">
        <v>75.12</v>
      </c>
      <c r="AC481" s="229" t="s">
        <v>2654</v>
      </c>
      <c r="AD481" s="228">
        <v>1.2493839329719072</v>
      </c>
      <c r="AE481">
        <f>IF('WetLitterbags placem_collection'!AB42="","",'WetLitterbags placem_collection'!AB42)</f>
        <v>8.6999999999999993</v>
      </c>
      <c r="AF481">
        <f>IF('WetLitterbags placem_collection'!Z42="","",'WetLitterbags placem_collection'!Z42)</f>
        <v>19.3</v>
      </c>
      <c r="AG481" s="243" t="str">
        <f>IF('WetLitterbags placem_collection'!AA42="","",'WetLitterbags placem_collection'!AA42)</f>
        <v>G</v>
      </c>
      <c r="AH481">
        <f>IF('WetLitterbags placem_collection'!AC42="","",'WetLitterbags placem_collection'!AC42)</f>
        <v>0</v>
      </c>
      <c r="AI481" s="237">
        <f>AVERAGE('WetLitterbags placem_collection'!S42,'WetLitterbags placem_collection'!U42)</f>
        <v>31.9</v>
      </c>
      <c r="AJ481">
        <f>AVERAGE('WetLitterbags placem_collection'!R42,'WetLitterbags placem_collection'!T42)</f>
        <v>23.9</v>
      </c>
      <c r="AK481">
        <f>INDEX(Coordinates!$B$2:$B$197,MATCH(H481,Coordinates!$J$2:$J$197,0))</f>
        <v>-3.4091539590000002</v>
      </c>
      <c r="AL481">
        <f>INDEX(Coordinates!$C$2:$C$197,MATCH(H481,Coordinates!$J$2:$J$197,0))</f>
        <v>34.852755029999997</v>
      </c>
      <c r="AM481" t="str">
        <f>IF(ISNUMBER(SEARCH("C", 'WetLitterbags placem_collection'!$X42)),"YES","NO")</f>
        <v>NO</v>
      </c>
      <c r="AN481" t="str">
        <f>IF(ISNUMBER(SEARCH("H", 'WetLitterbags placem_collection'!$X42)),"YES","NO")</f>
        <v>NO</v>
      </c>
      <c r="AO481" t="str">
        <f>IF(ISNUMBER(SEARCH("R", 'WetLitterbags placem_collection'!$X42)),"YES","NO")</f>
        <v>YES</v>
      </c>
    </row>
    <row r="482" spans="1:41" ht="15" customHeight="1">
      <c r="A482" s="255" t="s">
        <v>2454</v>
      </c>
      <c r="B482" s="260">
        <f>'Dry_Litterbag Placem_Collection'!A43</f>
        <v>41</v>
      </c>
      <c r="C482" s="260" t="str">
        <f>'Dry_Litterbag Placem_Collection'!B43</f>
        <v>Makao</v>
      </c>
      <c r="D482" s="260" t="s">
        <v>2643</v>
      </c>
      <c r="E482" s="260" t="s">
        <v>20</v>
      </c>
      <c r="F482" s="260">
        <v>2</v>
      </c>
      <c r="G482" s="260" t="s">
        <v>3807</v>
      </c>
      <c r="H482" s="261" t="str">
        <f>'Dry_Litterbag Placem_Collection'!C43</f>
        <v>Dry_P2_T1</v>
      </c>
      <c r="I482" s="270" t="s">
        <v>3630</v>
      </c>
      <c r="J482" s="263" t="s">
        <v>1147</v>
      </c>
      <c r="K482" s="221" t="str">
        <f>'WetLitterbags placem_collection'!O43</f>
        <v>G626</v>
      </c>
      <c r="L482" s="223">
        <f>IFERROR(INDEX('Green_rooibos initial weight'!$C$5:$C$2000,MATCH(K482, 'Green_rooibos initial weight'!$A$5:$A$2000,0)),"")</f>
        <v>2.1179999999999999</v>
      </c>
      <c r="M482" s="223">
        <f>IFERROR(L482-(TBIcalc!$H$9+TBIcalc!$H$10),"")</f>
        <v>1.8681999999999999</v>
      </c>
      <c r="N482" s="385">
        <f>AVERAGE(Ashed_controlls!$K$2:$K$11)</f>
        <v>5.5147656768714146</v>
      </c>
      <c r="O482" s="223">
        <f t="shared" si="36"/>
        <v>1.7651731476246881</v>
      </c>
      <c r="P482" s="223">
        <f>IFERROR(INDEX('Both teabags AfterWet'!$C$3:$C$840,MATCH(K482,'Both teabags AfterWet'!$A$3:$A$840,0)),"")</f>
        <v>0.82899999999999996</v>
      </c>
      <c r="Q482" s="223">
        <f>IFERROR(IF(P482&gt;0,P482-(TBIcalc!$H$9),""),"")</f>
        <v>0.67839999999999989</v>
      </c>
      <c r="R482" s="223">
        <f>IFERROR(INDEX('Ashed teabags wet'!$K$2:$K$2000,MATCH(K482,'Ashed teabags wet'!$A$2:$A$2000,0)),"")</f>
        <v>11.014911014910776</v>
      </c>
      <c r="S482" s="223">
        <f t="shared" si="37"/>
        <v>0.60367484367484514</v>
      </c>
      <c r="T482" s="224">
        <f>'WetLitterbags placem_collection'!E43</f>
        <v>42766</v>
      </c>
      <c r="U482" s="224">
        <f>IF('WetLitterbags placem_collection'!G43="","",'WetLitterbags placem_collection'!G43)</f>
        <v>42820</v>
      </c>
      <c r="V482" s="225">
        <f t="shared" si="35"/>
        <v>54</v>
      </c>
      <c r="W482" s="223">
        <f t="shared" si="38"/>
        <v>1.1898</v>
      </c>
      <c r="X482" s="223">
        <f t="shared" si="39"/>
        <v>1.161498303949843</v>
      </c>
      <c r="Y482">
        <f>IFERROR(INDEX(Rainfall_Wet!$O$2:$O$217,MATCH(B482, Rainfall_Wet!$A$2:$A$217,0)),"")</f>
        <v>214.262898705</v>
      </c>
      <c r="Z482" s="228">
        <v>19.96</v>
      </c>
      <c r="AA482" s="228">
        <v>4.9199999999999982</v>
      </c>
      <c r="AB482" s="228">
        <v>75.12</v>
      </c>
      <c r="AC482" s="229" t="s">
        <v>2655</v>
      </c>
      <c r="AD482" s="228">
        <v>1.641498275012321</v>
      </c>
      <c r="AE482">
        <f>IF('WetLitterbags placem_collection'!AB43="","",'WetLitterbags placem_collection'!AB43)</f>
        <v>4</v>
      </c>
      <c r="AF482">
        <f>IF('WetLitterbags placem_collection'!Z43="","",'WetLitterbags placem_collection'!Z43)</f>
        <v>19.100000000000001</v>
      </c>
      <c r="AG482" s="243" t="str">
        <f>IF('WetLitterbags placem_collection'!AA43="","",'WetLitterbags placem_collection'!AA43)</f>
        <v>G</v>
      </c>
      <c r="AH482">
        <f>IF('WetLitterbags placem_collection'!AC43="","",'WetLitterbags placem_collection'!AC43)</f>
        <v>0</v>
      </c>
      <c r="AI482" s="237">
        <f>AVERAGE('WetLitterbags placem_collection'!S43,'WetLitterbags placem_collection'!U43)</f>
        <v>21.9</v>
      </c>
      <c r="AJ482">
        <f>AVERAGE('WetLitterbags placem_collection'!R43,'WetLitterbags placem_collection'!T43)</f>
        <v>24.5</v>
      </c>
      <c r="AK482">
        <f>INDEX(Coordinates!$B$2:$B$197,MATCH(H482,Coordinates!$J$2:$J$197,0))</f>
        <v>-3.4083420040000001</v>
      </c>
      <c r="AL482">
        <f>INDEX(Coordinates!$C$2:$C$197,MATCH(H482,Coordinates!$J$2:$J$197,0))</f>
        <v>34.850283040000001</v>
      </c>
      <c r="AM482" t="str">
        <f>IF(ISNUMBER(SEARCH("C", 'WetLitterbags placem_collection'!$X43)),"YES","NO")</f>
        <v>NO</v>
      </c>
      <c r="AN482" t="str">
        <f>IF(ISNUMBER(SEARCH("H", 'WetLitterbags placem_collection'!$X43)),"YES","NO")</f>
        <v>NO</v>
      </c>
      <c r="AO482" t="str">
        <f>IF(ISNUMBER(SEARCH("R", 'WetLitterbags placem_collection'!$X43)),"YES","NO")</f>
        <v>YES</v>
      </c>
    </row>
    <row r="483" spans="1:41" ht="15" customHeight="1">
      <c r="A483" s="255" t="s">
        <v>2454</v>
      </c>
      <c r="B483" s="260">
        <f>'Dry_Litterbag Placem_Collection'!A44</f>
        <v>42</v>
      </c>
      <c r="C483" s="260" t="str">
        <f>'Dry_Litterbag Placem_Collection'!B44</f>
        <v>Makao</v>
      </c>
      <c r="D483" s="260" t="s">
        <v>2643</v>
      </c>
      <c r="E483" s="260" t="s">
        <v>20</v>
      </c>
      <c r="F483" s="260">
        <v>2</v>
      </c>
      <c r="G483" s="260" t="s">
        <v>3807</v>
      </c>
      <c r="H483" s="261" t="str">
        <f>'Dry_Litterbag Placem_Collection'!C44</f>
        <v>Dry_P2_T2</v>
      </c>
      <c r="I483" s="270" t="s">
        <v>3630</v>
      </c>
      <c r="J483" s="263" t="s">
        <v>1147</v>
      </c>
      <c r="K483" s="221" t="str">
        <f>'WetLitterbags placem_collection'!O44</f>
        <v>G437</v>
      </c>
      <c r="L483" s="223">
        <f>IFERROR(INDEX('Green_rooibos initial weight'!$C$5:$C$2000,MATCH(K483, 'Green_rooibos initial weight'!$A$5:$A$2000,0)),"")</f>
        <v>2.1230000000000002</v>
      </c>
      <c r="M483" s="223">
        <f>IFERROR(L483-(TBIcalc!$H$9+TBIcalc!$H$10),"")</f>
        <v>1.8732000000000002</v>
      </c>
      <c r="N483" s="385">
        <f>AVERAGE(Ashed_controlls!$K$2:$K$11)</f>
        <v>5.5147656768714146</v>
      </c>
      <c r="O483" s="223">
        <f t="shared" si="36"/>
        <v>1.7698974093408448</v>
      </c>
      <c r="P483" s="223">
        <f>IFERROR(INDEX('Both teabags AfterWet'!$C$3:$C$840,MATCH(K483,'Both teabags AfterWet'!$A$3:$A$840,0)),"")</f>
        <v>0.64</v>
      </c>
      <c r="Q483" s="223">
        <f>IFERROR(IF(P483&gt;0,P483-(TBIcalc!$H$9),""),"")</f>
        <v>0.4894</v>
      </c>
      <c r="R483" s="223">
        <f>IFERROR(INDEX('Ashed teabags wet'!$K$2:$K$2000,MATCH(K483,'Ashed teabags wet'!$A$2:$A$2000,0)),"")</f>
        <v>8.5335948994602457</v>
      </c>
      <c r="S483" s="223">
        <f t="shared" si="37"/>
        <v>0.44763658656204158</v>
      </c>
      <c r="T483" s="224">
        <f>'WetLitterbags placem_collection'!E44</f>
        <v>42766</v>
      </c>
      <c r="U483" s="224">
        <f>IF('WetLitterbags placem_collection'!G44="","",'WetLitterbags placem_collection'!G44)</f>
        <v>42820</v>
      </c>
      <c r="V483" s="225">
        <f t="shared" si="35"/>
        <v>54</v>
      </c>
      <c r="W483" s="223">
        <f t="shared" si="38"/>
        <v>1.3838000000000001</v>
      </c>
      <c r="X483" s="223">
        <f t="shared" si="39"/>
        <v>1.3222608227788033</v>
      </c>
      <c r="Y483">
        <f>IFERROR(INDEX(Rainfall_Wet!$O$2:$O$217,MATCH(B483, Rainfall_Wet!$A$2:$A$217,0)),"")</f>
        <v>214.262898705</v>
      </c>
      <c r="Z483" s="228">
        <v>19.96</v>
      </c>
      <c r="AA483" s="228">
        <v>4.9199999999999982</v>
      </c>
      <c r="AB483" s="228">
        <v>75.12</v>
      </c>
      <c r="AC483" s="229" t="s">
        <v>2655</v>
      </c>
      <c r="AD483" s="228">
        <v>1.641498275012321</v>
      </c>
      <c r="AE483">
        <f>IF('WetLitterbags placem_collection'!AB44="","",'WetLitterbags placem_collection'!AB44)</f>
        <v>5.9</v>
      </c>
      <c r="AF483">
        <f>IF('WetLitterbags placem_collection'!Z44="","",'WetLitterbags placem_collection'!Z44)</f>
        <v>12.7</v>
      </c>
      <c r="AG483" s="243" t="str">
        <f>IF('WetLitterbags placem_collection'!AA44="","",'WetLitterbags placem_collection'!AA44)</f>
        <v>G</v>
      </c>
      <c r="AH483">
        <f>IF('WetLitterbags placem_collection'!AC44="","",'WetLitterbags placem_collection'!AC44)</f>
        <v>0</v>
      </c>
      <c r="AI483" s="237">
        <f>AVERAGE('WetLitterbags placem_collection'!S44,'WetLitterbags placem_collection'!U44)</f>
        <v>19</v>
      </c>
      <c r="AJ483">
        <f>AVERAGE('WetLitterbags placem_collection'!R44,'WetLitterbags placem_collection'!T44)</f>
        <v>22.950000000000003</v>
      </c>
      <c r="AK483">
        <f>INDEX(Coordinates!$B$2:$B$197,MATCH(H483,Coordinates!$J$2:$J$197,0))</f>
        <v>-3.4084079690000002</v>
      </c>
      <c r="AL483">
        <f>INDEX(Coordinates!$C$2:$C$197,MATCH(H483,Coordinates!$J$2:$J$197,0))</f>
        <v>34.850295029999998</v>
      </c>
      <c r="AM483" t="str">
        <f>IF(ISNUMBER(SEARCH("C", 'WetLitterbags placem_collection'!$X44)),"YES","NO")</f>
        <v>NO</v>
      </c>
      <c r="AN483" t="str">
        <f>IF(ISNUMBER(SEARCH("H", 'WetLitterbags placem_collection'!$X44)),"YES","NO")</f>
        <v>NO</v>
      </c>
      <c r="AO483" t="str">
        <f>IF(ISNUMBER(SEARCH("R", 'WetLitterbags placem_collection'!$X44)),"YES","NO")</f>
        <v>NO</v>
      </c>
    </row>
    <row r="484" spans="1:41" ht="15" customHeight="1">
      <c r="A484" s="255" t="s">
        <v>2454</v>
      </c>
      <c r="B484" s="260">
        <f>'Dry_Litterbag Placem_Collection'!A45</f>
        <v>43</v>
      </c>
      <c r="C484" s="260" t="str">
        <f>'Dry_Litterbag Placem_Collection'!B45</f>
        <v>Makao</v>
      </c>
      <c r="D484" s="260" t="s">
        <v>2643</v>
      </c>
      <c r="E484" s="260" t="s">
        <v>20</v>
      </c>
      <c r="F484" s="260">
        <v>2</v>
      </c>
      <c r="G484" s="260" t="s">
        <v>3807</v>
      </c>
      <c r="H484" s="261" t="str">
        <f>'Dry_Litterbag Placem_Collection'!C45</f>
        <v>Dry_P2_T3</v>
      </c>
      <c r="I484" s="270" t="s">
        <v>3630</v>
      </c>
      <c r="J484" s="263" t="s">
        <v>1147</v>
      </c>
      <c r="K484" s="221" t="str">
        <f>'WetLitterbags placem_collection'!O45</f>
        <v>G643</v>
      </c>
      <c r="L484" s="223">
        <f>IFERROR(INDEX('Green_rooibos initial weight'!$C$5:$C$2000,MATCH(K484, 'Green_rooibos initial weight'!$A$5:$A$2000,0)),"")</f>
        <v>2.0510000000000002</v>
      </c>
      <c r="M484" s="223">
        <f>IFERROR(L484-(TBIcalc!$H$9+TBIcalc!$H$10),"")</f>
        <v>1.8012000000000001</v>
      </c>
      <c r="N484" s="385">
        <f>AVERAGE(Ashed_controlls!$K$2:$K$11)</f>
        <v>5.5147656768714146</v>
      </c>
      <c r="O484" s="223">
        <f t="shared" si="36"/>
        <v>1.7018680406281923</v>
      </c>
      <c r="P484" s="223">
        <f>IFERROR(INDEX('Both teabags AfterWet'!$C$3:$C$840,MATCH(K484,'Both teabags AfterWet'!$A$3:$A$840,0)),"")</f>
        <v>0.74509999999999998</v>
      </c>
      <c r="Q484" s="223">
        <f>IFERROR(IF(P484&gt;0,P484-(TBIcalc!$H$9),""),"")</f>
        <v>0.59450000000000003</v>
      </c>
      <c r="R484" s="223">
        <f>IFERROR(INDEX('Ashed teabags wet'!$K$2:$K$2000,MATCH(K484,'Ashed teabags wet'!$A$2:$A$2000,0)),"")</f>
        <v>7.6658476658481174</v>
      </c>
      <c r="S484" s="223">
        <f t="shared" si="37"/>
        <v>0.54892653562653293</v>
      </c>
      <c r="T484" s="224">
        <f>'WetLitterbags placem_collection'!E45</f>
        <v>42766</v>
      </c>
      <c r="U484" s="224">
        <f>IF('WetLitterbags placem_collection'!G45="","",'WetLitterbags placem_collection'!G45)</f>
        <v>42820</v>
      </c>
      <c r="V484" s="225">
        <f t="shared" si="35"/>
        <v>54</v>
      </c>
      <c r="W484" s="223">
        <f t="shared" si="38"/>
        <v>1.2067000000000001</v>
      </c>
      <c r="X484" s="223">
        <f t="shared" si="39"/>
        <v>1.1529415050016594</v>
      </c>
      <c r="Y484">
        <f>IFERROR(INDEX(Rainfall_Wet!$O$2:$O$217,MATCH(B484, Rainfall_Wet!$A$2:$A$217,0)),"")</f>
        <v>214.262898705</v>
      </c>
      <c r="Z484" s="228">
        <v>19.96</v>
      </c>
      <c r="AA484" s="228">
        <v>4.9199999999999982</v>
      </c>
      <c r="AB484" s="228">
        <v>75.12</v>
      </c>
      <c r="AC484" s="229" t="s">
        <v>2655</v>
      </c>
      <c r="AD484" s="228">
        <v>1.641498275012321</v>
      </c>
      <c r="AE484">
        <f>IF('WetLitterbags placem_collection'!AB45="","",'WetLitterbags placem_collection'!AB45)</f>
        <v>5</v>
      </c>
      <c r="AF484">
        <f>IF('WetLitterbags placem_collection'!Z45="","",'WetLitterbags placem_collection'!Z45)</f>
        <v>26.3</v>
      </c>
      <c r="AG484" s="243" t="str">
        <f>IF('WetLitterbags placem_collection'!AA45="","",'WetLitterbags placem_collection'!AA45)</f>
        <v>G</v>
      </c>
      <c r="AH484">
        <f>IF('WetLitterbags placem_collection'!AC45="","",'WetLitterbags placem_collection'!AC45)</f>
        <v>0</v>
      </c>
      <c r="AI484" s="237">
        <f>AVERAGE('WetLitterbags placem_collection'!S45,'WetLitterbags placem_collection'!U45)</f>
        <v>18.3</v>
      </c>
      <c r="AJ484">
        <f>AVERAGE('WetLitterbags placem_collection'!R45,'WetLitterbags placem_collection'!T45)</f>
        <v>21.799999999999997</v>
      </c>
      <c r="AK484">
        <f>INDEX(Coordinates!$B$2:$B$197,MATCH(H484,Coordinates!$J$2:$J$197,0))</f>
        <v>-3.4082369789999998</v>
      </c>
      <c r="AL484">
        <f>INDEX(Coordinates!$C$2:$C$197,MATCH(H484,Coordinates!$J$2:$J$197,0))</f>
        <v>34.850189999999998</v>
      </c>
      <c r="AM484" t="str">
        <f>IF(ISNUMBER(SEARCH("C", 'WetLitterbags placem_collection'!$X45)),"YES","NO")</f>
        <v>NO</v>
      </c>
      <c r="AN484" t="str">
        <f>IF(ISNUMBER(SEARCH("H", 'WetLitterbags placem_collection'!$X45)),"YES","NO")</f>
        <v>NO</v>
      </c>
      <c r="AO484" t="str">
        <f>IF(ISNUMBER(SEARCH("R", 'WetLitterbags placem_collection'!$X45)),"YES","NO")</f>
        <v>YES</v>
      </c>
    </row>
    <row r="485" spans="1:41" ht="15" customHeight="1">
      <c r="A485" s="255" t="s">
        <v>2454</v>
      </c>
      <c r="B485" s="260">
        <f>'Dry_Litterbag Placem_Collection'!A46</f>
        <v>44</v>
      </c>
      <c r="C485" s="260" t="str">
        <f>'Dry_Litterbag Placem_Collection'!B46</f>
        <v>Makao</v>
      </c>
      <c r="D485" s="260" t="s">
        <v>2643</v>
      </c>
      <c r="E485" s="260" t="s">
        <v>20</v>
      </c>
      <c r="F485" s="260">
        <v>2</v>
      </c>
      <c r="G485" s="260" t="s">
        <v>3807</v>
      </c>
      <c r="H485" s="261" t="str">
        <f>'Dry_Litterbag Placem_Collection'!C46</f>
        <v>Dry_P2_T4</v>
      </c>
      <c r="I485" s="270" t="s">
        <v>3630</v>
      </c>
      <c r="J485" s="263" t="s">
        <v>1147</v>
      </c>
      <c r="K485" s="221" t="str">
        <f>'WetLitterbags placem_collection'!O46</f>
        <v>G283</v>
      </c>
      <c r="L485" s="223">
        <f>IFERROR(INDEX('Green_rooibos initial weight'!$C$5:$C$2000,MATCH(K485, 'Green_rooibos initial weight'!$A$5:$A$2000,0)),"")</f>
        <v>1.8660000000000001</v>
      </c>
      <c r="M485" s="223">
        <f>IFERROR(L485-(TBIcalc!$H$9+TBIcalc!$H$10),"")</f>
        <v>1.6162000000000001</v>
      </c>
      <c r="N485" s="385">
        <f>AVERAGE(Ashed_controlls!$K$2:$K$11)</f>
        <v>5.5147656768714146</v>
      </c>
      <c r="O485" s="223">
        <f t="shared" si="36"/>
        <v>1.5270703571304043</v>
      </c>
      <c r="P485" s="223">
        <f>IFERROR(INDEX('Both teabags AfterWet'!$C$3:$C$840,MATCH(K485,'Both teabags AfterWet'!$A$3:$A$840,0)),"")</f>
        <v>0.80830000000000002</v>
      </c>
      <c r="Q485" s="223">
        <f>IFERROR(IF(P485&gt;0,P485-(TBIcalc!$H$9),""),"")</f>
        <v>0.65769999999999995</v>
      </c>
      <c r="R485" s="223">
        <f>IFERROR(INDEX('Ashed teabags wet'!$K$2:$K$2000,MATCH(K485,'Ashed teabags wet'!$A$2:$A$2000,0)),"")</f>
        <v>10.544217687075299</v>
      </c>
      <c r="S485" s="223">
        <f t="shared" si="37"/>
        <v>0.58835068027210569</v>
      </c>
      <c r="T485" s="224">
        <f>'WetLitterbags placem_collection'!E46</f>
        <v>42766</v>
      </c>
      <c r="U485" s="224">
        <f>IF('WetLitterbags placem_collection'!G46="","",'WetLitterbags placem_collection'!G46)</f>
        <v>42820</v>
      </c>
      <c r="V485" s="225">
        <f t="shared" si="35"/>
        <v>54</v>
      </c>
      <c r="W485" s="223">
        <f t="shared" si="38"/>
        <v>0.95850000000000013</v>
      </c>
      <c r="X485" s="223">
        <f t="shared" si="39"/>
        <v>0.9387196768582986</v>
      </c>
      <c r="Y485">
        <f>IFERROR(INDEX(Rainfall_Wet!$O$2:$O$217,MATCH(B485, Rainfall_Wet!$A$2:$A$217,0)),"")</f>
        <v>214.262898705</v>
      </c>
      <c r="Z485" s="228">
        <v>19.96</v>
      </c>
      <c r="AA485" s="228">
        <v>4.9199999999999982</v>
      </c>
      <c r="AB485" s="228">
        <v>75.12</v>
      </c>
      <c r="AC485" s="229" t="s">
        <v>2655</v>
      </c>
      <c r="AD485" s="228">
        <v>1.641498275012321</v>
      </c>
      <c r="AE485">
        <f>IF('WetLitterbags placem_collection'!AB46="","",'WetLitterbags placem_collection'!AB46)</f>
        <v>2.6</v>
      </c>
      <c r="AF485">
        <f>IF('WetLitterbags placem_collection'!Z46="","",'WetLitterbags placem_collection'!Z46)</f>
        <v>39.200000000000003</v>
      </c>
      <c r="AG485" s="243" t="str">
        <f>IF('WetLitterbags placem_collection'!AA46="","",'WetLitterbags placem_collection'!AA46)</f>
        <v>G</v>
      </c>
      <c r="AH485">
        <f>IF('WetLitterbags placem_collection'!AC46="","",'WetLitterbags placem_collection'!AC46)</f>
        <v>0</v>
      </c>
      <c r="AI485" s="237">
        <f>AVERAGE('WetLitterbags placem_collection'!S46,'WetLitterbags placem_collection'!U46)</f>
        <v>20.6</v>
      </c>
      <c r="AJ485">
        <f>AVERAGE('WetLitterbags placem_collection'!R46,'WetLitterbags placem_collection'!T46)</f>
        <v>22.65</v>
      </c>
      <c r="AK485">
        <f>INDEX(Coordinates!$B$2:$B$197,MATCH(H485,Coordinates!$J$2:$J$197,0))</f>
        <v>-3.4081529920000002</v>
      </c>
      <c r="AL485">
        <f>INDEX(Coordinates!$C$2:$C$197,MATCH(H485,Coordinates!$J$2:$J$197,0))</f>
        <v>34.850168959999998</v>
      </c>
      <c r="AM485" t="str">
        <f>IF(ISNUMBER(SEARCH("C", 'WetLitterbags placem_collection'!$X46)),"YES","NO")</f>
        <v>NO</v>
      </c>
      <c r="AN485" t="str">
        <f>IF(ISNUMBER(SEARCH("H", 'WetLitterbags placem_collection'!$X46)),"YES","NO")</f>
        <v>NO</v>
      </c>
      <c r="AO485" t="str">
        <f>IF(ISNUMBER(SEARCH("R", 'WetLitterbags placem_collection'!$X46)),"YES","NO")</f>
        <v>YES</v>
      </c>
    </row>
    <row r="486" spans="1:41" ht="15" customHeight="1">
      <c r="A486" s="255" t="s">
        <v>2454</v>
      </c>
      <c r="B486" s="260">
        <f>'Dry_Litterbag Placem_Collection'!A47</f>
        <v>45</v>
      </c>
      <c r="C486" s="260" t="str">
        <f>'Dry_Litterbag Placem_Collection'!B47</f>
        <v>Makao</v>
      </c>
      <c r="D486" s="260" t="s">
        <v>2643</v>
      </c>
      <c r="E486" s="260" t="s">
        <v>20</v>
      </c>
      <c r="F486" s="260">
        <v>2</v>
      </c>
      <c r="G486" s="260" t="s">
        <v>3807</v>
      </c>
      <c r="H486" s="261" t="str">
        <f>'Dry_Litterbag Placem_Collection'!C47</f>
        <v>Dry_P2_T5</v>
      </c>
      <c r="I486" s="270" t="s">
        <v>3630</v>
      </c>
      <c r="J486" s="263" t="s">
        <v>1147</v>
      </c>
      <c r="K486" s="221" t="str">
        <f>'WetLitterbags placem_collection'!O47</f>
        <v>G602</v>
      </c>
      <c r="L486" s="223">
        <f>IFERROR(INDEX('Green_rooibos initial weight'!$C$5:$C$2000,MATCH(K486, 'Green_rooibos initial weight'!$A$5:$A$2000,0)),"")</f>
        <v>2.1030000000000002</v>
      </c>
      <c r="M486" s="223">
        <f>IFERROR(L486-(TBIcalc!$H$9+TBIcalc!$H$10),"")</f>
        <v>1.8532000000000002</v>
      </c>
      <c r="N486" s="385">
        <f>AVERAGE(Ashed_controlls!$K$2:$K$11)</f>
        <v>5.5147656768714146</v>
      </c>
      <c r="O486" s="223">
        <f t="shared" si="36"/>
        <v>1.7510003624762192</v>
      </c>
      <c r="P486" s="223">
        <f>IFERROR(INDEX('Both teabags AfterWet'!$C$3:$C$840,MATCH(K486,'Both teabags AfterWet'!$A$3:$A$840,0)),"")</f>
        <v>0.77400000000000002</v>
      </c>
      <c r="Q486" s="223">
        <f>IFERROR(IF(P486&gt;0,P486-(TBIcalc!$H$9),""),"")</f>
        <v>0.62339999999999995</v>
      </c>
      <c r="R486" s="223">
        <f>IFERROR(INDEX('Ashed teabags wet'!$K$2:$K$2000,MATCH(K486,'Ashed teabags wet'!$A$2:$A$2000,0)),"")</f>
        <v>5.9288537549396603</v>
      </c>
      <c r="S486" s="223">
        <f t="shared" si="37"/>
        <v>0.5864395256917061</v>
      </c>
      <c r="T486" s="224">
        <f>'WetLitterbags placem_collection'!E47</f>
        <v>42766</v>
      </c>
      <c r="U486" s="224">
        <f>IF('WetLitterbags placem_collection'!G47="","",'WetLitterbags placem_collection'!G47)</f>
        <v>42820</v>
      </c>
      <c r="V486" s="225">
        <f t="shared" si="35"/>
        <v>54</v>
      </c>
      <c r="W486" s="223">
        <f t="shared" si="38"/>
        <v>1.2298000000000002</v>
      </c>
      <c r="X486" s="223">
        <f t="shared" si="39"/>
        <v>1.1645608367845131</v>
      </c>
      <c r="Y486">
        <f>IFERROR(INDEX(Rainfall_Wet!$O$2:$O$217,MATCH(B486, Rainfall_Wet!$A$2:$A$217,0)),"")</f>
        <v>214.262898705</v>
      </c>
      <c r="Z486" s="228">
        <v>19.96</v>
      </c>
      <c r="AA486" s="228">
        <v>4.9199999999999982</v>
      </c>
      <c r="AB486" s="228">
        <v>75.12</v>
      </c>
      <c r="AC486" s="229" t="s">
        <v>2655</v>
      </c>
      <c r="AD486" s="228">
        <v>1.641498275012321</v>
      </c>
      <c r="AE486">
        <f>IF('WetLitterbags placem_collection'!AB47="","",'WetLitterbags placem_collection'!AB47)</f>
        <v>2.2999999999999998</v>
      </c>
      <c r="AF486">
        <f>IF('WetLitterbags placem_collection'!Z47="","",'WetLitterbags placem_collection'!Z47)</f>
        <v>9.3000000000000007</v>
      </c>
      <c r="AG486" s="243" t="str">
        <f>IF('WetLitterbags placem_collection'!AA47="","",'WetLitterbags placem_collection'!AA47)</f>
        <v>O</v>
      </c>
      <c r="AH486">
        <f>IF('WetLitterbags placem_collection'!AC47="","",'WetLitterbags placem_collection'!AC47)</f>
        <v>0</v>
      </c>
      <c r="AI486" s="237">
        <f>AVERAGE('WetLitterbags placem_collection'!S47,'WetLitterbags placem_collection'!U47)</f>
        <v>24.4</v>
      </c>
      <c r="AJ486">
        <f>AVERAGE('WetLitterbags placem_collection'!R47,'WetLitterbags placem_collection'!T47)</f>
        <v>22.15</v>
      </c>
      <c r="AK486">
        <f>INDEX(Coordinates!$B$2:$B$197,MATCH(H486,Coordinates!$J$2:$J$197,0))</f>
        <v>-3.4081789759999999</v>
      </c>
      <c r="AL486">
        <f>INDEX(Coordinates!$C$2:$C$197,MATCH(H486,Coordinates!$J$2:$J$197,0))</f>
        <v>34.850516980000002</v>
      </c>
      <c r="AM486" t="str">
        <f>IF(ISNUMBER(SEARCH("C", 'WetLitterbags placem_collection'!$X47)),"YES","NO")</f>
        <v>NO</v>
      </c>
      <c r="AN486" t="str">
        <f>IF(ISNUMBER(SEARCH("H", 'WetLitterbags placem_collection'!$X47)),"YES","NO")</f>
        <v>NO</v>
      </c>
      <c r="AO486" t="str">
        <f>IF(ISNUMBER(SEARCH("R", 'WetLitterbags placem_collection'!$X47)),"YES","NO")</f>
        <v>YES</v>
      </c>
    </row>
    <row r="487" spans="1:41" ht="15" customHeight="1">
      <c r="A487" s="255" t="s">
        <v>2454</v>
      </c>
      <c r="B487" s="260">
        <f>'Dry_Litterbag Placem_Collection'!A48</f>
        <v>46</v>
      </c>
      <c r="C487" s="260" t="str">
        <f>'Dry_Litterbag Placem_Collection'!B48</f>
        <v>Makao</v>
      </c>
      <c r="D487" s="260" t="s">
        <v>2643</v>
      </c>
      <c r="E487" s="260" t="s">
        <v>20</v>
      </c>
      <c r="F487" s="260">
        <v>2</v>
      </c>
      <c r="G487" s="260" t="s">
        <v>3807</v>
      </c>
      <c r="H487" s="261" t="str">
        <f>'Dry_Litterbag Placem_Collection'!C48</f>
        <v>Dry_P2_T6</v>
      </c>
      <c r="I487" s="270" t="s">
        <v>3630</v>
      </c>
      <c r="J487" s="263" t="s">
        <v>1147</v>
      </c>
      <c r="K487" s="221" t="str">
        <f>'WetLitterbags placem_collection'!O48</f>
        <v>G427</v>
      </c>
      <c r="L487" s="223">
        <f>IFERROR(INDEX('Green_rooibos initial weight'!$C$5:$C$2000,MATCH(K487, 'Green_rooibos initial weight'!$A$5:$A$2000,0)),"")</f>
        <v>1.8959999999999999</v>
      </c>
      <c r="M487" s="223">
        <f>IFERROR(L487-(TBIcalc!$H$9+TBIcalc!$H$10),"")</f>
        <v>1.6461999999999999</v>
      </c>
      <c r="N487" s="385">
        <f>AVERAGE(Ashed_controlls!$K$2:$K$11)</f>
        <v>5.5147656768714146</v>
      </c>
      <c r="O487" s="223">
        <f t="shared" si="36"/>
        <v>1.5554159274273427</v>
      </c>
      <c r="P487" s="223" t="str">
        <f>IFERROR(INDEX('Both teabags AfterWet'!$C$3:$C$840,MATCH(K487,'Both teabags AfterWet'!$A$3:$A$840,0)),"")</f>
        <v/>
      </c>
      <c r="Q487" s="223" t="str">
        <f>IFERROR(IF(P487&gt;0,P487-(TBIcalc!$H$9),""),"")</f>
        <v/>
      </c>
      <c r="R487" s="223" t="str">
        <f>IFERROR(INDEX('Ashed teabags wet'!$K$2:$K$2000,MATCH(K487,'Ashed teabags wet'!$A$2:$A$2000,0)),"")</f>
        <v/>
      </c>
      <c r="S487" s="223" t="str">
        <f t="shared" si="37"/>
        <v/>
      </c>
      <c r="T487" s="224">
        <f>'WetLitterbags placem_collection'!E48</f>
        <v>42766</v>
      </c>
      <c r="U487" s="224">
        <f>IF('WetLitterbags placem_collection'!G48="","",'WetLitterbags placem_collection'!G48)</f>
        <v>42820</v>
      </c>
      <c r="V487" s="225">
        <f t="shared" si="35"/>
        <v>54</v>
      </c>
      <c r="W487" s="223" t="str">
        <f t="shared" si="38"/>
        <v/>
      </c>
      <c r="X487" s="223" t="str">
        <f t="shared" si="39"/>
        <v/>
      </c>
      <c r="Y487">
        <f>IFERROR(INDEX(Rainfall_Wet!$O$2:$O$217,MATCH(B487, Rainfall_Wet!$A$2:$A$217,0)),"")</f>
        <v>214.262898705</v>
      </c>
      <c r="Z487" s="228">
        <v>19.96</v>
      </c>
      <c r="AA487" s="228">
        <v>4.9199999999999982</v>
      </c>
      <c r="AB487" s="228">
        <v>75.12</v>
      </c>
      <c r="AC487" s="229" t="s">
        <v>2655</v>
      </c>
      <c r="AD487" s="228">
        <v>1.641498275012321</v>
      </c>
      <c r="AE487" t="str">
        <f>IF('WetLitterbags placem_collection'!AB48="","",'WetLitterbags placem_collection'!AB48)</f>
        <v/>
      </c>
      <c r="AF487" t="str">
        <f>IF('WetLitterbags placem_collection'!Z48="","",'WetLitterbags placem_collection'!Z48)</f>
        <v/>
      </c>
      <c r="AG487" s="243" t="str">
        <f>IF('WetLitterbags placem_collection'!AA48="","",'WetLitterbags placem_collection'!AA48)</f>
        <v/>
      </c>
      <c r="AH487" t="str">
        <f>IF('WetLitterbags placem_collection'!AC48="","",'WetLitterbags placem_collection'!AC48)</f>
        <v/>
      </c>
      <c r="AI487" s="237">
        <f>AVERAGE('WetLitterbags placem_collection'!S48,'WetLitterbags placem_collection'!U48)</f>
        <v>22.5</v>
      </c>
      <c r="AJ487">
        <f>AVERAGE('WetLitterbags placem_collection'!R48,'WetLitterbags placem_collection'!T48)</f>
        <v>20.100000000000001</v>
      </c>
      <c r="AK487">
        <f>INDEX(Coordinates!$B$2:$B$197,MATCH(H487,Coordinates!$J$2:$J$197,0))</f>
        <v>-3.4084730130000001</v>
      </c>
      <c r="AL487">
        <f>INDEX(Coordinates!$C$2:$C$197,MATCH(H487,Coordinates!$J$2:$J$197,0))</f>
        <v>34.850401980000001</v>
      </c>
      <c r="AM487" t="str">
        <f>IF(ISNUMBER(SEARCH("C", 'WetLitterbags placem_collection'!$X48)),"YES","NO")</f>
        <v>NO</v>
      </c>
      <c r="AN487" t="str">
        <f>IF(ISNUMBER(SEARCH("H", 'WetLitterbags placem_collection'!$X48)),"YES","NO")</f>
        <v>NO</v>
      </c>
      <c r="AO487" t="str">
        <f>IF(ISNUMBER(SEARCH("R", 'WetLitterbags placem_collection'!$X48)),"YES","NO")</f>
        <v>NO</v>
      </c>
    </row>
    <row r="488" spans="1:41" ht="15" customHeight="1">
      <c r="A488" s="255" t="s">
        <v>2454</v>
      </c>
      <c r="B488" s="260">
        <f>'Dry_Litterbag Placem_Collection'!A49</f>
        <v>47</v>
      </c>
      <c r="C488" s="260" t="str">
        <f>'Dry_Litterbag Placem_Collection'!B49</f>
        <v>Makao</v>
      </c>
      <c r="D488" s="260" t="s">
        <v>2643</v>
      </c>
      <c r="E488" s="260" t="s">
        <v>20</v>
      </c>
      <c r="F488" s="260">
        <v>2</v>
      </c>
      <c r="G488" s="260" t="s">
        <v>3807</v>
      </c>
      <c r="H488" s="261" t="str">
        <f>'Dry_Litterbag Placem_Collection'!C49</f>
        <v>Dry_P2_T7</v>
      </c>
      <c r="I488" s="270" t="s">
        <v>3630</v>
      </c>
      <c r="J488" s="263" t="s">
        <v>1147</v>
      </c>
      <c r="K488" s="221" t="str">
        <f>'WetLitterbags placem_collection'!O49</f>
        <v>G512</v>
      </c>
      <c r="L488" s="223">
        <f>IFERROR(INDEX('Green_rooibos initial weight'!$C$5:$C$2000,MATCH(K488, 'Green_rooibos initial weight'!$A$5:$A$2000,0)),"")</f>
        <v>2.0939999999999999</v>
      </c>
      <c r="M488" s="223">
        <f>IFERROR(L488-(TBIcalc!$H$9+TBIcalc!$H$10),"")</f>
        <v>1.8441999999999998</v>
      </c>
      <c r="N488" s="385">
        <f>AVERAGE(Ashed_controlls!$K$2:$K$11)</f>
        <v>5.5147656768714146</v>
      </c>
      <c r="O488" s="223">
        <f t="shared" si="36"/>
        <v>1.7424966913871371</v>
      </c>
      <c r="P488" s="223">
        <f>IFERROR(INDEX('Both teabags AfterWet'!$C$3:$C$840,MATCH(K488,'Both teabags AfterWet'!$A$3:$A$840,0)),"")</f>
        <v>0.77500000000000002</v>
      </c>
      <c r="Q488" s="223">
        <f>IFERROR(IF(P488&gt;0,P488-(TBIcalc!$H$9),""),"")</f>
        <v>0.62440000000000007</v>
      </c>
      <c r="R488" s="223">
        <f>IFERROR(INDEX('Ashed teabags wet'!$K$2:$K$2000,MATCH(K488,'Ashed teabags wet'!$A$2:$A$2000,0)),"")</f>
        <v>8.2123184777170053</v>
      </c>
      <c r="S488" s="223">
        <f t="shared" si="37"/>
        <v>0.57312228342513505</v>
      </c>
      <c r="T488" s="224">
        <f>'WetLitterbags placem_collection'!E49</f>
        <v>42766</v>
      </c>
      <c r="U488" s="224">
        <f>IF('WetLitterbags placem_collection'!G49="","",'WetLitterbags placem_collection'!G49)</f>
        <v>42820</v>
      </c>
      <c r="V488" s="225">
        <f t="shared" si="35"/>
        <v>54</v>
      </c>
      <c r="W488" s="223">
        <f t="shared" si="38"/>
        <v>1.2197999999999998</v>
      </c>
      <c r="X488" s="223">
        <f t="shared" si="39"/>
        <v>1.1693744079620021</v>
      </c>
      <c r="Y488">
        <f>IFERROR(INDEX(Rainfall_Wet!$O$2:$O$217,MATCH(B488, Rainfall_Wet!$A$2:$A$217,0)),"")</f>
        <v>214.262898705</v>
      </c>
      <c r="Z488" s="228">
        <v>19.96</v>
      </c>
      <c r="AA488" s="228">
        <v>4.9199999999999982</v>
      </c>
      <c r="AB488" s="228">
        <v>75.12</v>
      </c>
      <c r="AC488" s="229" t="s">
        <v>2655</v>
      </c>
      <c r="AD488" s="228">
        <v>1.641498275012321</v>
      </c>
      <c r="AE488">
        <f>IF('WetLitterbags placem_collection'!AB49="","",'WetLitterbags placem_collection'!AB49)</f>
        <v>5.2</v>
      </c>
      <c r="AF488">
        <f>IF('WetLitterbags placem_collection'!Z49="","",'WetLitterbags placem_collection'!Z49)</f>
        <v>5.2</v>
      </c>
      <c r="AG488" s="243" t="str">
        <f>IF('WetLitterbags placem_collection'!AA49="","",'WetLitterbags placem_collection'!AA49)</f>
        <v>G</v>
      </c>
      <c r="AH488">
        <f>IF('WetLitterbags placem_collection'!AC49="","",'WetLitterbags placem_collection'!AC49)</f>
        <v>0</v>
      </c>
      <c r="AI488" s="237">
        <f>AVERAGE('WetLitterbags placem_collection'!S49,'WetLitterbags placem_collection'!U49)</f>
        <v>23.7</v>
      </c>
      <c r="AJ488">
        <f>AVERAGE('WetLitterbags placem_collection'!R49,'WetLitterbags placem_collection'!T49)</f>
        <v>22.6</v>
      </c>
      <c r="AK488">
        <f>INDEX(Coordinates!$B$2:$B$197,MATCH(H488,Coordinates!$J$2:$J$197,0))</f>
        <v>-3.4084819820000001</v>
      </c>
      <c r="AL488">
        <f>INDEX(Coordinates!$C$2:$C$197,MATCH(H488,Coordinates!$J$2:$J$197,0))</f>
        <v>34.850024040000001</v>
      </c>
      <c r="AM488" t="str">
        <f>IF(ISNUMBER(SEARCH("C", 'WetLitterbags placem_collection'!$X49)),"YES","NO")</f>
        <v>NO</v>
      </c>
      <c r="AN488" t="str">
        <f>IF(ISNUMBER(SEARCH("H", 'WetLitterbags placem_collection'!$X49)),"YES","NO")</f>
        <v>NO</v>
      </c>
      <c r="AO488" t="str">
        <f>IF(ISNUMBER(SEARCH("R", 'WetLitterbags placem_collection'!$X49)),"YES","NO")</f>
        <v>YES</v>
      </c>
    </row>
    <row r="489" spans="1:41" ht="15" customHeight="1">
      <c r="A489" s="255" t="s">
        <v>2454</v>
      </c>
      <c r="B489" s="260">
        <f>'Dry_Litterbag Placem_Collection'!A50</f>
        <v>48</v>
      </c>
      <c r="C489" s="260" t="str">
        <f>'Dry_Litterbag Placem_Collection'!B50</f>
        <v>Makao</v>
      </c>
      <c r="D489" s="260" t="s">
        <v>2643</v>
      </c>
      <c r="E489" s="260" t="s">
        <v>20</v>
      </c>
      <c r="F489" s="260">
        <v>2</v>
      </c>
      <c r="G489" s="260" t="s">
        <v>3807</v>
      </c>
      <c r="H489" s="261" t="str">
        <f>'Dry_Litterbag Placem_Collection'!C50</f>
        <v>Dry_P2_T8</v>
      </c>
      <c r="I489" s="270" t="s">
        <v>3630</v>
      </c>
      <c r="J489" s="263" t="s">
        <v>1147</v>
      </c>
      <c r="K489" s="221" t="str">
        <f>'WetLitterbags placem_collection'!O50</f>
        <v>G299</v>
      </c>
      <c r="L489" s="223">
        <f>IFERROR(INDEX('Green_rooibos initial weight'!$C$5:$C$2000,MATCH(K489, 'Green_rooibos initial weight'!$A$5:$A$2000,0)),"")</f>
        <v>2.0110000000000001</v>
      </c>
      <c r="M489" s="223">
        <f>IFERROR(L489-(TBIcalc!$H$9+TBIcalc!$H$10),"")</f>
        <v>1.7612000000000001</v>
      </c>
      <c r="N489" s="385">
        <f>AVERAGE(Ashed_controlls!$K$2:$K$11)</f>
        <v>5.5147656768714146</v>
      </c>
      <c r="O489" s="223">
        <f t="shared" si="36"/>
        <v>1.6640739468989407</v>
      </c>
      <c r="P489" s="223">
        <f>IFERROR(INDEX('Both teabags AfterWet'!$C$3:$C$840,MATCH(K489,'Both teabags AfterWet'!$A$3:$A$840,0)),"")</f>
        <v>0.88100000000000001</v>
      </c>
      <c r="Q489" s="223">
        <f>IFERROR(IF(P489&gt;0,P489-(TBIcalc!$H$9),""),"")</f>
        <v>0.73039999999999994</v>
      </c>
      <c r="R489" s="223">
        <f>IFERROR(INDEX('Ashed teabags wet'!$K$2:$K$2000,MATCH(K489,'Ashed teabags wet'!$A$2:$A$2000,0)),"")</f>
        <v>7.4656188605105287</v>
      </c>
      <c r="S489" s="223">
        <f t="shared" si="37"/>
        <v>0.67587111984283099</v>
      </c>
      <c r="T489" s="224">
        <f>'WetLitterbags placem_collection'!E50</f>
        <v>42766</v>
      </c>
      <c r="U489" s="224">
        <f>IF('WetLitterbags placem_collection'!G50="","",'WetLitterbags placem_collection'!G50)</f>
        <v>42820</v>
      </c>
      <c r="V489" s="225">
        <f t="shared" si="35"/>
        <v>54</v>
      </c>
      <c r="W489" s="223">
        <f t="shared" si="38"/>
        <v>1.0308000000000002</v>
      </c>
      <c r="X489" s="223">
        <f t="shared" si="39"/>
        <v>0.98820282705610973</v>
      </c>
      <c r="Y489">
        <f>IFERROR(INDEX(Rainfall_Wet!$O$2:$O$217,MATCH(B489, Rainfall_Wet!$A$2:$A$217,0)),"")</f>
        <v>214.262898705</v>
      </c>
      <c r="Z489" s="228">
        <v>19.96</v>
      </c>
      <c r="AA489" s="228">
        <v>4.9199999999999982</v>
      </c>
      <c r="AB489" s="228">
        <v>75.12</v>
      </c>
      <c r="AC489" s="229" t="s">
        <v>2655</v>
      </c>
      <c r="AD489" s="228">
        <v>1.641498275012321</v>
      </c>
      <c r="AE489">
        <f>IF('WetLitterbags placem_collection'!AB50="","",'WetLitterbags placem_collection'!AB50)</f>
        <v>7.3</v>
      </c>
      <c r="AF489">
        <f>IF('WetLitterbags placem_collection'!Z50="","",'WetLitterbags placem_collection'!Z50)</f>
        <v>27.2</v>
      </c>
      <c r="AG489" s="243" t="str">
        <f>IF('WetLitterbags placem_collection'!AA50="","",'WetLitterbags placem_collection'!AA50)</f>
        <v>M</v>
      </c>
      <c r="AH489">
        <f>IF('WetLitterbags placem_collection'!AC50="","",'WetLitterbags placem_collection'!AC50)</f>
        <v>0</v>
      </c>
      <c r="AI489" s="237">
        <f>AVERAGE('WetLitterbags placem_collection'!S50,'WetLitterbags placem_collection'!U50)</f>
        <v>21.8</v>
      </c>
      <c r="AJ489">
        <f>AVERAGE('WetLitterbags placem_collection'!R50,'WetLitterbags placem_collection'!T50)</f>
        <v>21.65</v>
      </c>
      <c r="AK489">
        <f>INDEX(Coordinates!$B$2:$B$197,MATCH(H489,Coordinates!$J$2:$J$197,0))</f>
        <v>-3.4081990090000001</v>
      </c>
      <c r="AL489">
        <f>INDEX(Coordinates!$C$2:$C$197,MATCH(H489,Coordinates!$J$2:$J$197,0))</f>
        <v>34.850254960000001</v>
      </c>
      <c r="AM489" t="str">
        <f>IF(ISNUMBER(SEARCH("C", 'WetLitterbags placem_collection'!$X50)),"YES","NO")</f>
        <v>NO</v>
      </c>
      <c r="AN489" t="str">
        <f>IF(ISNUMBER(SEARCH("H", 'WetLitterbags placem_collection'!$X50)),"YES","NO")</f>
        <v>NO</v>
      </c>
      <c r="AO489" t="str">
        <f>IF(ISNUMBER(SEARCH("R", 'WetLitterbags placem_collection'!$X50)),"YES","NO")</f>
        <v>YES</v>
      </c>
    </row>
    <row r="490" spans="1:41" ht="15" customHeight="1">
      <c r="A490" s="255" t="s">
        <v>2454</v>
      </c>
      <c r="B490" s="260">
        <f>'Dry_Litterbag Placem_Collection'!A51</f>
        <v>49</v>
      </c>
      <c r="C490" s="260" t="str">
        <f>'Dry_Litterbag Placem_Collection'!B51</f>
        <v>Makao</v>
      </c>
      <c r="D490" s="260" t="s">
        <v>2643</v>
      </c>
      <c r="E490" s="260" t="s">
        <v>20</v>
      </c>
      <c r="F490" s="260">
        <v>3</v>
      </c>
      <c r="G490" s="260" t="s">
        <v>3808</v>
      </c>
      <c r="H490" s="261" t="str">
        <f>'Dry_Litterbag Placem_Collection'!C51</f>
        <v>Dry_P3_T1</v>
      </c>
      <c r="I490" s="270" t="s">
        <v>3630</v>
      </c>
      <c r="J490" s="263" t="s">
        <v>1147</v>
      </c>
      <c r="K490" s="221" t="str">
        <f>'WetLitterbags placem_collection'!O51</f>
        <v>G739</v>
      </c>
      <c r="L490" s="223">
        <f>IFERROR(INDEX('Green_rooibos initial weight'!$C$5:$C$2000,MATCH(K490, 'Green_rooibos initial weight'!$A$5:$A$2000,0)),"")</f>
        <v>2.0499999999999998</v>
      </c>
      <c r="M490" s="223">
        <f>IFERROR(L490-(TBIcalc!$H$9+TBIcalc!$H$10),"")</f>
        <v>1.8001999999999998</v>
      </c>
      <c r="N490" s="385">
        <f>AVERAGE(Ashed_controlls!$K$2:$K$11)</f>
        <v>5.5147656768714146</v>
      </c>
      <c r="O490" s="223">
        <f t="shared" si="36"/>
        <v>1.7009231882849607</v>
      </c>
      <c r="P490" s="223">
        <f>IFERROR(INDEX('Both teabags AfterWet'!$C$3:$C$840,MATCH(K490,'Both teabags AfterWet'!$A$3:$A$840,0)),"")</f>
        <v>0.87490000000000001</v>
      </c>
      <c r="Q490" s="223">
        <f>IFERROR(IF(P490&gt;0,P490-(TBIcalc!$H$9),""),"")</f>
        <v>0.72429999999999994</v>
      </c>
      <c r="R490" s="223">
        <f>IFERROR(INDEX('Ashed teabags wet'!$K$2:$K$2000,MATCH(K490,'Ashed teabags wet'!$A$2:$A$2000,0)),"")</f>
        <v>16.486751717369803</v>
      </c>
      <c r="S490" s="223">
        <f t="shared" si="37"/>
        <v>0.60488645731109048</v>
      </c>
      <c r="T490" s="224">
        <f>'WetLitterbags placem_collection'!E51</f>
        <v>42766</v>
      </c>
      <c r="U490" s="224">
        <f>IF('WetLitterbags placem_collection'!G51="","",'WetLitterbags placem_collection'!G51)</f>
        <v>42820</v>
      </c>
      <c r="V490" s="225">
        <f t="shared" si="35"/>
        <v>54</v>
      </c>
      <c r="W490" s="223">
        <f t="shared" si="38"/>
        <v>1.0758999999999999</v>
      </c>
      <c r="X490" s="223">
        <f t="shared" si="39"/>
        <v>1.0960367309738701</v>
      </c>
      <c r="Y490">
        <f>IFERROR(INDEX(Rainfall_Wet!$O$2:$O$217,MATCH(B490, Rainfall_Wet!$A$2:$A$217,0)),"")</f>
        <v>214.262898705</v>
      </c>
      <c r="Z490" s="228">
        <v>21.96</v>
      </c>
      <c r="AA490" s="228">
        <v>8.9199999999999982</v>
      </c>
      <c r="AB490" s="228">
        <v>69.12</v>
      </c>
      <c r="AC490" s="229" t="s">
        <v>2654</v>
      </c>
      <c r="AD490" s="228">
        <v>1.7491375061606702</v>
      </c>
      <c r="AE490">
        <f>IF('WetLitterbags placem_collection'!AB51="","",'WetLitterbags placem_collection'!AB51)</f>
        <v>10.4</v>
      </c>
      <c r="AF490">
        <f>IF('WetLitterbags placem_collection'!Z51="","",'WetLitterbags placem_collection'!Z51)</f>
        <v>36</v>
      </c>
      <c r="AG490" s="243" t="str">
        <f>IF('WetLitterbags placem_collection'!AA51="","",'WetLitterbags placem_collection'!AA51)</f>
        <v>M</v>
      </c>
      <c r="AH490">
        <f>IF('WetLitterbags placem_collection'!AC51="","",'WetLitterbags placem_collection'!AC51)</f>
        <v>1</v>
      </c>
      <c r="AI490" s="237">
        <f>AVERAGE('WetLitterbags placem_collection'!S51,'WetLitterbags placem_collection'!U51)</f>
        <v>26.2</v>
      </c>
      <c r="AJ490">
        <f>AVERAGE('WetLitterbags placem_collection'!R51,'WetLitterbags placem_collection'!T51)</f>
        <v>26.55</v>
      </c>
      <c r="AK490">
        <f>INDEX(Coordinates!$B$2:$B$197,MATCH(H490,Coordinates!$J$2:$J$197,0))</f>
        <v>-3.406225992</v>
      </c>
      <c r="AL490">
        <f>INDEX(Coordinates!$C$2:$C$197,MATCH(H490,Coordinates!$J$2:$J$197,0))</f>
        <v>34.85055998</v>
      </c>
      <c r="AM490" t="str">
        <f>IF(ISNUMBER(SEARCH("C", 'WetLitterbags placem_collection'!$X51)),"YES","NO")</f>
        <v>NO</v>
      </c>
      <c r="AN490" t="str">
        <f>IF(ISNUMBER(SEARCH("H", 'WetLitterbags placem_collection'!$X51)),"YES","NO")</f>
        <v>NO</v>
      </c>
      <c r="AO490" t="str">
        <f>IF(ISNUMBER(SEARCH("R", 'WetLitterbags placem_collection'!$X51)),"YES","NO")</f>
        <v>YES</v>
      </c>
    </row>
    <row r="491" spans="1:41" ht="15" customHeight="1">
      <c r="A491" s="255" t="s">
        <v>2454</v>
      </c>
      <c r="B491" s="260">
        <f>'Dry_Litterbag Placem_Collection'!A52</f>
        <v>50</v>
      </c>
      <c r="C491" s="260" t="str">
        <f>'Dry_Litterbag Placem_Collection'!B52</f>
        <v>Makao</v>
      </c>
      <c r="D491" s="260" t="s">
        <v>2643</v>
      </c>
      <c r="E491" s="260" t="s">
        <v>20</v>
      </c>
      <c r="F491" s="260">
        <v>3</v>
      </c>
      <c r="G491" s="260" t="s">
        <v>3808</v>
      </c>
      <c r="H491" s="261" t="str">
        <f>'Dry_Litterbag Placem_Collection'!C52</f>
        <v>Dry_P3_T2</v>
      </c>
      <c r="I491" s="270" t="s">
        <v>3630</v>
      </c>
      <c r="J491" s="263" t="s">
        <v>1147</v>
      </c>
      <c r="K491" s="221" t="str">
        <f>'WetLitterbags placem_collection'!O52</f>
        <v>G559</v>
      </c>
      <c r="L491" s="223">
        <f>IFERROR(INDEX('Green_rooibos initial weight'!$C$5:$C$2000,MATCH(K491, 'Green_rooibos initial weight'!$A$5:$A$2000,0)),"")</f>
        <v>2.085</v>
      </c>
      <c r="M491" s="223">
        <f>IFERROR(L491-(TBIcalc!$H$9+TBIcalc!$H$10),"")</f>
        <v>1.8351999999999999</v>
      </c>
      <c r="N491" s="385">
        <f>AVERAGE(Ashed_controlls!$K$2:$K$11)</f>
        <v>5.5147656768714146</v>
      </c>
      <c r="O491" s="223">
        <f t="shared" si="36"/>
        <v>1.7339930202980558</v>
      </c>
      <c r="P491" s="223" t="str">
        <f>IFERROR(INDEX('Both teabags AfterWet'!$C$3:$C$840,MATCH(K491,'Both teabags AfterWet'!$A$3:$A$840,0)),"")</f>
        <v/>
      </c>
      <c r="Q491" s="223" t="str">
        <f>IFERROR(IF(P491&gt;0,P491-(TBIcalc!$H$9),""),"")</f>
        <v/>
      </c>
      <c r="R491" s="223" t="str">
        <f>IFERROR(INDEX('Ashed teabags wet'!$K$2:$K$2000,MATCH(K491,'Ashed teabags wet'!$A$2:$A$2000,0)),"")</f>
        <v/>
      </c>
      <c r="S491" s="223" t="str">
        <f t="shared" si="37"/>
        <v/>
      </c>
      <c r="T491" s="224">
        <f>'WetLitterbags placem_collection'!E52</f>
        <v>42766</v>
      </c>
      <c r="U491" s="224">
        <f>IF('WetLitterbags placem_collection'!G52="","",'WetLitterbags placem_collection'!G52)</f>
        <v>42820</v>
      </c>
      <c r="V491" s="225">
        <f t="shared" si="35"/>
        <v>54</v>
      </c>
      <c r="W491" s="223" t="str">
        <f t="shared" si="38"/>
        <v/>
      </c>
      <c r="X491" s="223" t="str">
        <f t="shared" si="39"/>
        <v/>
      </c>
      <c r="Y491">
        <f>IFERROR(INDEX(Rainfall_Wet!$O$2:$O$217,MATCH(B491, Rainfall_Wet!$A$2:$A$217,0)),"")</f>
        <v>214.262898705</v>
      </c>
      <c r="Z491" s="228">
        <v>21.96</v>
      </c>
      <c r="AA491" s="228">
        <v>8.9199999999999982</v>
      </c>
      <c r="AB491" s="228">
        <v>69.12</v>
      </c>
      <c r="AC491" s="229" t="s">
        <v>2654</v>
      </c>
      <c r="AD491" s="228">
        <v>1.7491375061606702</v>
      </c>
      <c r="AE491">
        <f>IF('WetLitterbags placem_collection'!AB52="","",'WetLitterbags placem_collection'!AB52)</f>
        <v>10</v>
      </c>
      <c r="AF491">
        <f>IF('WetLitterbags placem_collection'!Z52="","",'WetLitterbags placem_collection'!Z52)</f>
        <v>22.5</v>
      </c>
      <c r="AG491" s="243" t="str">
        <f>IF('WetLitterbags placem_collection'!AA52="","",'WetLitterbags placem_collection'!AA52)</f>
        <v>M</v>
      </c>
      <c r="AH491">
        <f>IF('WetLitterbags placem_collection'!AC52="","",'WetLitterbags placem_collection'!AC52)</f>
        <v>1</v>
      </c>
      <c r="AI491" s="237">
        <f>AVERAGE('WetLitterbags placem_collection'!S52,'WetLitterbags placem_collection'!U52)</f>
        <v>31.4</v>
      </c>
      <c r="AJ491">
        <f>AVERAGE('WetLitterbags placem_collection'!R52,'WetLitterbags placem_collection'!T52)</f>
        <v>22.4</v>
      </c>
      <c r="AK491">
        <f>INDEX(Coordinates!$B$2:$B$197,MATCH(H491,Coordinates!$J$2:$J$197,0))</f>
        <v>-3.4062630399999998</v>
      </c>
      <c r="AL491">
        <f>INDEX(Coordinates!$C$2:$C$197,MATCH(H491,Coordinates!$J$2:$J$197,0))</f>
        <v>34.850566010000001</v>
      </c>
      <c r="AM491" t="str">
        <f>IF(ISNUMBER(SEARCH("C", 'WetLitterbags placem_collection'!$X52)),"YES","NO")</f>
        <v>NO</v>
      </c>
      <c r="AN491" t="str">
        <f>IF(ISNUMBER(SEARCH("H", 'WetLitterbags placem_collection'!$X52)),"YES","NO")</f>
        <v>NO</v>
      </c>
      <c r="AO491" t="str">
        <f>IF(ISNUMBER(SEARCH("R", 'WetLitterbags placem_collection'!$X52)),"YES","NO")</f>
        <v>NO</v>
      </c>
    </row>
    <row r="492" spans="1:41" ht="15" customHeight="1">
      <c r="A492" s="255" t="s">
        <v>2454</v>
      </c>
      <c r="B492" s="260">
        <f>'Dry_Litterbag Placem_Collection'!A53</f>
        <v>51</v>
      </c>
      <c r="C492" s="260" t="str">
        <f>'Dry_Litterbag Placem_Collection'!B53</f>
        <v>Makao</v>
      </c>
      <c r="D492" s="260" t="s">
        <v>2643</v>
      </c>
      <c r="E492" s="260" t="s">
        <v>20</v>
      </c>
      <c r="F492" s="260">
        <v>3</v>
      </c>
      <c r="G492" s="260" t="s">
        <v>3808</v>
      </c>
      <c r="H492" s="261" t="str">
        <f>'Dry_Litterbag Placem_Collection'!C53</f>
        <v>Dry_P3_T3</v>
      </c>
      <c r="I492" s="270" t="s">
        <v>3630</v>
      </c>
      <c r="J492" s="263" t="s">
        <v>1147</v>
      </c>
      <c r="K492" s="221" t="str">
        <f>'WetLitterbags placem_collection'!O53</f>
        <v>G856</v>
      </c>
      <c r="L492" s="223">
        <f>IFERROR(INDEX('Green_rooibos initial weight'!$C$5:$C$2000,MATCH(K492, 'Green_rooibos initial weight'!$A$5:$A$2000,0)),"")</f>
        <v>1.9370000000000001</v>
      </c>
      <c r="M492" s="223">
        <f>IFERROR(L492-(TBIcalc!$H$9+TBIcalc!$H$10),"")</f>
        <v>1.6872</v>
      </c>
      <c r="N492" s="385">
        <f>AVERAGE(Ashed_controlls!$K$2:$K$11)</f>
        <v>5.5147656768714146</v>
      </c>
      <c r="O492" s="223">
        <f t="shared" si="36"/>
        <v>1.5941548734998254</v>
      </c>
      <c r="P492" s="223">
        <f>IFERROR(INDEX('Both teabags AfterWet'!$C$3:$C$840,MATCH(K492,'Both teabags AfterWet'!$A$3:$A$840,0)),"")</f>
        <v>0.77600000000000002</v>
      </c>
      <c r="Q492" s="223">
        <f>IFERROR(IF(P492&gt;0,P492-(TBIcalc!$H$9),""),"")</f>
        <v>0.62539999999999996</v>
      </c>
      <c r="R492" s="223">
        <f>IFERROR(INDEX('Ashed teabags wet'!$K$2:$K$2000,MATCH(K492,'Ashed teabags wet'!$A$2:$A$2000,0)),"")</f>
        <v>9.5957135898680637</v>
      </c>
      <c r="S492" s="223">
        <f t="shared" si="37"/>
        <v>0.5653884072089651</v>
      </c>
      <c r="T492" s="224">
        <f>'WetLitterbags placem_collection'!E53</f>
        <v>42766</v>
      </c>
      <c r="U492" s="224">
        <f>IF('WetLitterbags placem_collection'!G53="","",'WetLitterbags placem_collection'!G53)</f>
        <v>42820</v>
      </c>
      <c r="V492" s="225">
        <f t="shared" si="35"/>
        <v>54</v>
      </c>
      <c r="W492" s="223">
        <f t="shared" si="38"/>
        <v>1.0618000000000001</v>
      </c>
      <c r="X492" s="223">
        <f t="shared" si="39"/>
        <v>1.0287664662908602</v>
      </c>
      <c r="Y492">
        <f>IFERROR(INDEX(Rainfall_Wet!$O$2:$O$217,MATCH(B492, Rainfall_Wet!$A$2:$A$217,0)),"")</f>
        <v>214.262898705</v>
      </c>
      <c r="Z492" s="228">
        <v>21.96</v>
      </c>
      <c r="AA492" s="228">
        <v>8.9199999999999982</v>
      </c>
      <c r="AB492" s="228">
        <v>69.12</v>
      </c>
      <c r="AC492" s="229" t="s">
        <v>2654</v>
      </c>
      <c r="AD492" s="228">
        <v>1.7491375061606702</v>
      </c>
      <c r="AE492">
        <f>IF('WetLitterbags placem_collection'!AB53="","",'WetLitterbags placem_collection'!AB53)</f>
        <v>3</v>
      </c>
      <c r="AF492">
        <f>IF('WetLitterbags placem_collection'!Z53="","",'WetLitterbags placem_collection'!Z53)</f>
        <v>18</v>
      </c>
      <c r="AG492" s="243" t="str">
        <f>IF('WetLitterbags placem_collection'!AA53="","",'WetLitterbags placem_collection'!AA53)</f>
        <v>O</v>
      </c>
      <c r="AH492">
        <f>IF('WetLitterbags placem_collection'!AC53="","",'WetLitterbags placem_collection'!AC53)</f>
        <v>0</v>
      </c>
      <c r="AI492" s="237">
        <f>AVERAGE('WetLitterbags placem_collection'!S53,'WetLitterbags placem_collection'!U53)</f>
        <v>20.2</v>
      </c>
      <c r="AJ492">
        <f>AVERAGE('WetLitterbags placem_collection'!R53,'WetLitterbags placem_collection'!T53)</f>
        <v>27.4</v>
      </c>
      <c r="AK492">
        <f>INDEX(Coordinates!$B$2:$B$197,MATCH(H492,Coordinates!$J$2:$J$197,0))</f>
        <v>-3.4063920379999999</v>
      </c>
      <c r="AL492">
        <f>INDEX(Coordinates!$C$2:$C$197,MATCH(H492,Coordinates!$J$2:$J$197,0))</f>
        <v>34.850696020000001</v>
      </c>
      <c r="AM492" t="str">
        <f>IF(ISNUMBER(SEARCH("C", 'WetLitterbags placem_collection'!$X53)),"YES","NO")</f>
        <v>NO</v>
      </c>
      <c r="AN492" t="str">
        <f>IF(ISNUMBER(SEARCH("H", 'WetLitterbags placem_collection'!$X53)),"YES","NO")</f>
        <v>NO</v>
      </c>
      <c r="AO492" t="str">
        <f>IF(ISNUMBER(SEARCH("R", 'WetLitterbags placem_collection'!$X53)),"YES","NO")</f>
        <v>YES</v>
      </c>
    </row>
    <row r="493" spans="1:41" ht="15" customHeight="1">
      <c r="A493" s="255" t="s">
        <v>2454</v>
      </c>
      <c r="B493" s="260">
        <f>'Dry_Litterbag Placem_Collection'!A54</f>
        <v>52</v>
      </c>
      <c r="C493" s="260" t="str">
        <f>'Dry_Litterbag Placem_Collection'!B54</f>
        <v>Makao</v>
      </c>
      <c r="D493" s="260" t="s">
        <v>2643</v>
      </c>
      <c r="E493" s="260" t="s">
        <v>20</v>
      </c>
      <c r="F493" s="260">
        <v>3</v>
      </c>
      <c r="G493" s="260" t="s">
        <v>3808</v>
      </c>
      <c r="H493" s="261" t="str">
        <f>'Dry_Litterbag Placem_Collection'!C54</f>
        <v>Dry_P3_T4</v>
      </c>
      <c r="I493" s="270" t="s">
        <v>3630</v>
      </c>
      <c r="J493" s="263" t="s">
        <v>1147</v>
      </c>
      <c r="K493" s="221" t="str">
        <f>'WetLitterbags placem_collection'!O54</f>
        <v>G599</v>
      </c>
      <c r="L493" s="223">
        <f>IFERROR(INDEX('Green_rooibos initial weight'!$C$5:$C$2000,MATCH(K493, 'Green_rooibos initial weight'!$A$5:$A$2000,0)),"")</f>
        <v>2.0760000000000001</v>
      </c>
      <c r="M493" s="223">
        <f>IFERROR(L493-(TBIcalc!$H$9+TBIcalc!$H$10),"")</f>
        <v>1.8262</v>
      </c>
      <c r="N493" s="385">
        <f>AVERAGE(Ashed_controlls!$K$2:$K$11)</f>
        <v>5.5147656768714146</v>
      </c>
      <c r="O493" s="223">
        <f t="shared" si="36"/>
        <v>1.7254893492089742</v>
      </c>
      <c r="P493" s="223">
        <f>IFERROR(INDEX('Both teabags AfterWet'!$C$3:$C$840,MATCH(K493,'Both teabags AfterWet'!$A$3:$A$840,0)),"")</f>
        <v>0.88200000000000001</v>
      </c>
      <c r="Q493" s="223">
        <f>IFERROR(IF(P493&gt;0,P493-(TBIcalc!$H$9),""),"")</f>
        <v>0.73140000000000005</v>
      </c>
      <c r="R493" s="223">
        <f>IFERROR(INDEX('Ashed teabags wet'!$K$2:$K$2000,MATCH(K493,'Ashed teabags wet'!$A$2:$A$2000,0)),"")</f>
        <v>14.285714285714219</v>
      </c>
      <c r="S493" s="223">
        <f t="shared" si="37"/>
        <v>0.6269142857142862</v>
      </c>
      <c r="T493" s="224">
        <f>'WetLitterbags placem_collection'!E54</f>
        <v>42766</v>
      </c>
      <c r="U493" s="224">
        <f>IF('WetLitterbags placem_collection'!G54="","",'WetLitterbags placem_collection'!G54)</f>
        <v>42820</v>
      </c>
      <c r="V493" s="225">
        <f t="shared" si="35"/>
        <v>54</v>
      </c>
      <c r="W493" s="223">
        <f t="shared" si="38"/>
        <v>1.0948</v>
      </c>
      <c r="X493" s="223">
        <f t="shared" si="39"/>
        <v>1.098575063494688</v>
      </c>
      <c r="Y493">
        <f>IFERROR(INDEX(Rainfall_Wet!$O$2:$O$217,MATCH(B493, Rainfall_Wet!$A$2:$A$217,0)),"")</f>
        <v>214.262898705</v>
      </c>
      <c r="Z493" s="228">
        <v>21.96</v>
      </c>
      <c r="AA493" s="228">
        <v>8.9199999999999982</v>
      </c>
      <c r="AB493" s="228">
        <v>69.12</v>
      </c>
      <c r="AC493" s="229" t="s">
        <v>2654</v>
      </c>
      <c r="AD493" s="228">
        <v>1.7491375061606702</v>
      </c>
      <c r="AE493">
        <f>IF('WetLitterbags placem_collection'!AB54="","",'WetLitterbags placem_collection'!AB54)</f>
        <v>13.4</v>
      </c>
      <c r="AF493">
        <f>IF('WetLitterbags placem_collection'!Z54="","",'WetLitterbags placem_collection'!Z54)</f>
        <v>67</v>
      </c>
      <c r="AG493" s="243" t="str">
        <f>IF('WetLitterbags placem_collection'!AA54="","",'WetLitterbags placem_collection'!AA54)</f>
        <v>M</v>
      </c>
      <c r="AH493">
        <f>IF('WetLitterbags placem_collection'!AC54="","",'WetLitterbags placem_collection'!AC54)</f>
        <v>1</v>
      </c>
      <c r="AI493" s="237">
        <f>AVERAGE('WetLitterbags placem_collection'!S54,'WetLitterbags placem_collection'!U54)</f>
        <v>29.8</v>
      </c>
      <c r="AJ493">
        <f>AVERAGE('WetLitterbags placem_collection'!R54,'WetLitterbags placem_collection'!T54)</f>
        <v>25.799999999999997</v>
      </c>
      <c r="AK493">
        <f>INDEX(Coordinates!$B$2:$B$197,MATCH(H493,Coordinates!$J$2:$J$197,0))</f>
        <v>-3.4061569999999999</v>
      </c>
      <c r="AL493">
        <f>INDEX(Coordinates!$C$2:$C$197,MATCH(H493,Coordinates!$J$2:$J$197,0))</f>
        <v>34.850738999999997</v>
      </c>
      <c r="AM493" t="str">
        <f>IF(ISNUMBER(SEARCH("C", 'WetLitterbags placem_collection'!$X54)),"YES","NO")</f>
        <v>NO</v>
      </c>
      <c r="AN493" t="str">
        <f>IF(ISNUMBER(SEARCH("H", 'WetLitterbags placem_collection'!$X54)),"YES","NO")</f>
        <v>NO</v>
      </c>
      <c r="AO493" t="str">
        <f>IF(ISNUMBER(SEARCH("R", 'WetLitterbags placem_collection'!$X54)),"YES","NO")</f>
        <v>YES</v>
      </c>
    </row>
    <row r="494" spans="1:41" ht="15" customHeight="1">
      <c r="A494" s="255" t="s">
        <v>2454</v>
      </c>
      <c r="B494" s="260">
        <f>'Dry_Litterbag Placem_Collection'!A55</f>
        <v>53</v>
      </c>
      <c r="C494" s="260" t="str">
        <f>'Dry_Litterbag Placem_Collection'!B55</f>
        <v>Makao</v>
      </c>
      <c r="D494" s="260" t="s">
        <v>2643</v>
      </c>
      <c r="E494" s="260" t="s">
        <v>20</v>
      </c>
      <c r="F494" s="260">
        <v>3</v>
      </c>
      <c r="G494" s="260" t="s">
        <v>3808</v>
      </c>
      <c r="H494" s="261" t="str">
        <f>'Dry_Litterbag Placem_Collection'!C55</f>
        <v>Dry_P3_T5</v>
      </c>
      <c r="I494" s="270" t="s">
        <v>3630</v>
      </c>
      <c r="J494" s="263" t="s">
        <v>1147</v>
      </c>
      <c r="K494" s="221" t="str">
        <f>'WetLitterbags placem_collection'!O55</f>
        <v>G683</v>
      </c>
      <c r="L494" s="223">
        <f>IFERROR(INDEX('Green_rooibos initial weight'!$C$5:$C$2000,MATCH(K494, 'Green_rooibos initial weight'!$A$5:$A$2000,0)),"")</f>
        <v>2.1179999999999999</v>
      </c>
      <c r="M494" s="223">
        <f>IFERROR(L494-(TBIcalc!$H$9+TBIcalc!$H$10),"")</f>
        <v>1.8681999999999999</v>
      </c>
      <c r="N494" s="385">
        <f>AVERAGE(Ashed_controlls!$K$2:$K$11)</f>
        <v>5.5147656768714146</v>
      </c>
      <c r="O494" s="223">
        <f t="shared" si="36"/>
        <v>1.7651731476246881</v>
      </c>
      <c r="P494" s="223" t="str">
        <f>IFERROR(INDEX('Both teabags AfterWet'!$C$3:$C$840,MATCH(K494,'Both teabags AfterWet'!$A$3:$A$840,0)),"")</f>
        <v/>
      </c>
      <c r="Q494" s="223" t="str">
        <f>IFERROR(IF(P494&gt;0,P494-(TBIcalc!$H$9),""),"")</f>
        <v/>
      </c>
      <c r="R494" s="223" t="str">
        <f>IFERROR(INDEX('Ashed teabags wet'!$K$2:$K$2000,MATCH(K494,'Ashed teabags wet'!$A$2:$A$2000,0)),"")</f>
        <v/>
      </c>
      <c r="S494" s="223" t="str">
        <f t="shared" si="37"/>
        <v/>
      </c>
      <c r="T494" s="224">
        <f>'WetLitterbags placem_collection'!E55</f>
        <v>42766</v>
      </c>
      <c r="U494" s="224">
        <f>IF('WetLitterbags placem_collection'!G55="","",'WetLitterbags placem_collection'!G55)</f>
        <v>42820</v>
      </c>
      <c r="V494" s="225">
        <f t="shared" si="35"/>
        <v>54</v>
      </c>
      <c r="W494" s="223" t="str">
        <f t="shared" si="38"/>
        <v/>
      </c>
      <c r="X494" s="223" t="str">
        <f t="shared" si="39"/>
        <v/>
      </c>
      <c r="Y494">
        <f>IFERROR(INDEX(Rainfall_Wet!$O$2:$O$217,MATCH(B494, Rainfall_Wet!$A$2:$A$217,0)),"")</f>
        <v>214.262898705</v>
      </c>
      <c r="Z494" s="228">
        <v>21.96</v>
      </c>
      <c r="AA494" s="228">
        <v>8.9199999999999982</v>
      </c>
      <c r="AB494" s="228">
        <v>69.12</v>
      </c>
      <c r="AC494" s="229" t="s">
        <v>2654</v>
      </c>
      <c r="AD494" s="228">
        <v>1.7491375061606702</v>
      </c>
      <c r="AE494" t="str">
        <f>IF('WetLitterbags placem_collection'!AB55="","",'WetLitterbags placem_collection'!AB55)</f>
        <v/>
      </c>
      <c r="AF494" t="str">
        <f>IF('WetLitterbags placem_collection'!Z55="","",'WetLitterbags placem_collection'!Z55)</f>
        <v/>
      </c>
      <c r="AG494" s="243" t="str">
        <f>IF('WetLitterbags placem_collection'!AA55="","",'WetLitterbags placem_collection'!AA55)</f>
        <v/>
      </c>
      <c r="AH494" t="str">
        <f>IF('WetLitterbags placem_collection'!AC55="","",'WetLitterbags placem_collection'!AC55)</f>
        <v/>
      </c>
      <c r="AI494" s="237">
        <f>AVERAGE('WetLitterbags placem_collection'!S55,'WetLitterbags placem_collection'!U55)</f>
        <v>20.2</v>
      </c>
      <c r="AJ494">
        <f>AVERAGE('WetLitterbags placem_collection'!R55,'WetLitterbags placem_collection'!T55)</f>
        <v>22.2</v>
      </c>
      <c r="AK494">
        <f>INDEX(Coordinates!$B$2:$B$197,MATCH(H494,Coordinates!$J$2:$J$197,0))</f>
        <v>-3.4061140000000001</v>
      </c>
      <c r="AL494">
        <f>INDEX(Coordinates!$C$2:$C$197,MATCH(H494,Coordinates!$J$2:$J$197,0))</f>
        <v>34.850596000000003</v>
      </c>
      <c r="AM494" t="str">
        <f>IF(ISNUMBER(SEARCH("C", 'WetLitterbags placem_collection'!$X55)),"YES","NO")</f>
        <v>NO</v>
      </c>
      <c r="AN494" t="str">
        <f>IF(ISNUMBER(SEARCH("H", 'WetLitterbags placem_collection'!$X55)),"YES","NO")</f>
        <v>NO</v>
      </c>
      <c r="AO494" t="str">
        <f>IF(ISNUMBER(SEARCH("R", 'WetLitterbags placem_collection'!$X55)),"YES","NO")</f>
        <v>NO</v>
      </c>
    </row>
    <row r="495" spans="1:41" ht="15" customHeight="1">
      <c r="A495" s="255" t="s">
        <v>2454</v>
      </c>
      <c r="B495" s="260">
        <f>'Dry_Litterbag Placem_Collection'!A56</f>
        <v>54</v>
      </c>
      <c r="C495" s="260" t="str">
        <f>'Dry_Litterbag Placem_Collection'!B56</f>
        <v>Makao</v>
      </c>
      <c r="D495" s="260" t="s">
        <v>2643</v>
      </c>
      <c r="E495" s="260" t="s">
        <v>20</v>
      </c>
      <c r="F495" s="260">
        <v>3</v>
      </c>
      <c r="G495" s="260" t="s">
        <v>3808</v>
      </c>
      <c r="H495" s="261" t="str">
        <f>'Dry_Litterbag Placem_Collection'!C56</f>
        <v>Dry_P3_T6</v>
      </c>
      <c r="I495" s="270" t="s">
        <v>3630</v>
      </c>
      <c r="J495" s="263" t="s">
        <v>1147</v>
      </c>
      <c r="K495" s="221" t="str">
        <f>'WetLitterbags placem_collection'!O56</f>
        <v>G288</v>
      </c>
      <c r="L495" s="223">
        <f>IFERROR(INDEX('Green_rooibos initial weight'!$C$5:$C$2000,MATCH(K495, 'Green_rooibos initial weight'!$A$5:$A$2000,0)),"")</f>
        <v>1.9830000000000001</v>
      </c>
      <c r="M495" s="223">
        <f>IFERROR(L495-(TBIcalc!$H$9+TBIcalc!$H$10),"")</f>
        <v>1.7332000000000001</v>
      </c>
      <c r="N495" s="385">
        <f>AVERAGE(Ashed_controlls!$K$2:$K$11)</f>
        <v>5.5147656768714146</v>
      </c>
      <c r="O495" s="223">
        <f t="shared" si="36"/>
        <v>1.6376180812884646</v>
      </c>
      <c r="P495" s="223" t="str">
        <f>IFERROR(INDEX('Both teabags AfterWet'!$C$3:$C$840,MATCH(K495,'Both teabags AfterWet'!$A$3:$A$840,0)),"")</f>
        <v/>
      </c>
      <c r="Q495" s="223" t="str">
        <f>IFERROR(IF(P495&gt;0,P495-(TBIcalc!$H$9),""),"")</f>
        <v/>
      </c>
      <c r="R495" s="223" t="str">
        <f>IFERROR(INDEX('Ashed teabags wet'!$K$2:$K$2000,MATCH(K495,'Ashed teabags wet'!$A$2:$A$2000,0)),"")</f>
        <v/>
      </c>
      <c r="S495" s="223" t="str">
        <f t="shared" si="37"/>
        <v/>
      </c>
      <c r="T495" s="224">
        <f>'WetLitterbags placem_collection'!E56</f>
        <v>42766</v>
      </c>
      <c r="U495" s="224">
        <f>IF('WetLitterbags placem_collection'!G56="","",'WetLitterbags placem_collection'!G56)</f>
        <v>42820</v>
      </c>
      <c r="V495" s="225">
        <f t="shared" si="35"/>
        <v>54</v>
      </c>
      <c r="W495" s="223" t="str">
        <f t="shared" si="38"/>
        <v/>
      </c>
      <c r="X495" s="223" t="str">
        <f t="shared" si="39"/>
        <v/>
      </c>
      <c r="Y495">
        <f>IFERROR(INDEX(Rainfall_Wet!$O$2:$O$217,MATCH(B495, Rainfall_Wet!$A$2:$A$217,0)),"")</f>
        <v>214.262898705</v>
      </c>
      <c r="Z495" s="228">
        <v>21.96</v>
      </c>
      <c r="AA495" s="228">
        <v>8.9199999999999982</v>
      </c>
      <c r="AB495" s="228">
        <v>69.12</v>
      </c>
      <c r="AC495" s="229" t="s">
        <v>2654</v>
      </c>
      <c r="AD495" s="228">
        <v>1.7491375061606702</v>
      </c>
      <c r="AE495" t="str">
        <f>IF('WetLitterbags placem_collection'!AB56="","",'WetLitterbags placem_collection'!AB56)</f>
        <v/>
      </c>
      <c r="AF495" t="str">
        <f>IF('WetLitterbags placem_collection'!Z56="","",'WetLitterbags placem_collection'!Z56)</f>
        <v/>
      </c>
      <c r="AG495" s="243" t="str">
        <f>IF('WetLitterbags placem_collection'!AA56="","",'WetLitterbags placem_collection'!AA56)</f>
        <v/>
      </c>
      <c r="AH495" t="str">
        <f>IF('WetLitterbags placem_collection'!AC56="","",'WetLitterbags placem_collection'!AC56)</f>
        <v/>
      </c>
      <c r="AI495" s="237">
        <f>AVERAGE('WetLitterbags placem_collection'!S56,'WetLitterbags placem_collection'!U56)</f>
        <v>30.1</v>
      </c>
      <c r="AJ495">
        <f>AVERAGE('WetLitterbags placem_collection'!R56,'WetLitterbags placem_collection'!T56)</f>
        <v>22.2</v>
      </c>
      <c r="AK495">
        <f>INDEX(Coordinates!$B$2:$B$197,MATCH(H495,Coordinates!$J$2:$J$197,0))</f>
        <v>-3.406058019</v>
      </c>
      <c r="AL495">
        <f>INDEX(Coordinates!$C$2:$C$197,MATCH(H495,Coordinates!$J$2:$J$197,0))</f>
        <v>34.850466019999999</v>
      </c>
      <c r="AM495" t="str">
        <f>IF(ISNUMBER(SEARCH("C", 'WetLitterbags placem_collection'!$X56)),"YES","NO")</f>
        <v>NO</v>
      </c>
      <c r="AN495" t="str">
        <f>IF(ISNUMBER(SEARCH("H", 'WetLitterbags placem_collection'!$X56)),"YES","NO")</f>
        <v>NO</v>
      </c>
      <c r="AO495" t="str">
        <f>IF(ISNUMBER(SEARCH("R", 'WetLitterbags placem_collection'!$X56)),"YES","NO")</f>
        <v>NO</v>
      </c>
    </row>
    <row r="496" spans="1:41" ht="15" customHeight="1">
      <c r="A496" s="255" t="s">
        <v>2454</v>
      </c>
      <c r="B496" s="260">
        <f>'Dry_Litterbag Placem_Collection'!A57</f>
        <v>55</v>
      </c>
      <c r="C496" s="260" t="str">
        <f>'Dry_Litterbag Placem_Collection'!B57</f>
        <v>Makao</v>
      </c>
      <c r="D496" s="260" t="s">
        <v>2643</v>
      </c>
      <c r="E496" s="260" t="s">
        <v>20</v>
      </c>
      <c r="F496" s="260">
        <v>3</v>
      </c>
      <c r="G496" s="260" t="s">
        <v>3808</v>
      </c>
      <c r="H496" s="261" t="str">
        <f>'Dry_Litterbag Placem_Collection'!C57</f>
        <v>Dry_P3_T7</v>
      </c>
      <c r="I496" s="270" t="s">
        <v>3630</v>
      </c>
      <c r="J496" s="263" t="s">
        <v>1147</v>
      </c>
      <c r="K496" s="221" t="str">
        <f>'WetLitterbags placem_collection'!O57</f>
        <v>G616</v>
      </c>
      <c r="L496" s="223">
        <f>IFERROR(INDEX('Green_rooibos initial weight'!$C$5:$C$2000,MATCH(K496, 'Green_rooibos initial weight'!$A$5:$A$2000,0)),"")</f>
        <v>1.978</v>
      </c>
      <c r="M496" s="223">
        <f>IFERROR(L496-(TBIcalc!$H$9+TBIcalc!$H$10),"")</f>
        <v>1.7282</v>
      </c>
      <c r="N496" s="385">
        <f>AVERAGE(Ashed_controlls!$K$2:$K$11)</f>
        <v>5.5147656768714146</v>
      </c>
      <c r="O496" s="223">
        <f t="shared" si="36"/>
        <v>1.6328938195723082</v>
      </c>
      <c r="P496" s="223">
        <f>IFERROR(INDEX('Both teabags AfterWet'!$C$3:$C$840,MATCH(K496,'Both teabags AfterWet'!$A$3:$A$840,0)),"")</f>
        <v>0.93200000000000005</v>
      </c>
      <c r="Q496" s="223">
        <f>IFERROR(IF(P496&gt;0,P496-(TBIcalc!$H$9),""),"")</f>
        <v>0.78140000000000009</v>
      </c>
      <c r="R496" s="223">
        <f>IFERROR(INDEX('Ashed teabags wet'!$K$2:$K$2000,MATCH(K496,'Ashed teabags wet'!$A$2:$A$2000,0)),"")</f>
        <v>25.927734375000028</v>
      </c>
      <c r="S496" s="223">
        <f t="shared" si="37"/>
        <v>0.57880068359374981</v>
      </c>
      <c r="T496" s="224">
        <f>'WetLitterbags placem_collection'!E57</f>
        <v>42766</v>
      </c>
      <c r="U496" s="224">
        <f>IF('WetLitterbags placem_collection'!G57="","",'WetLitterbags placem_collection'!G57)</f>
        <v>42820</v>
      </c>
      <c r="V496" s="225">
        <f t="shared" si="35"/>
        <v>54</v>
      </c>
      <c r="W496" s="223">
        <f t="shared" si="38"/>
        <v>0.94679999999999986</v>
      </c>
      <c r="X496" s="223">
        <f t="shared" si="39"/>
        <v>1.0540931359785584</v>
      </c>
      <c r="Y496">
        <f>IFERROR(INDEX(Rainfall_Wet!$O$2:$O$217,MATCH(B496, Rainfall_Wet!$A$2:$A$217,0)),"")</f>
        <v>214.262898705</v>
      </c>
      <c r="Z496" s="228">
        <v>21.96</v>
      </c>
      <c r="AA496" s="228">
        <v>8.9199999999999982</v>
      </c>
      <c r="AB496" s="228">
        <v>69.12</v>
      </c>
      <c r="AC496" s="229" t="s">
        <v>2654</v>
      </c>
      <c r="AD496" s="228">
        <v>1.7491375061606702</v>
      </c>
      <c r="AE496">
        <f>IF('WetLitterbags placem_collection'!AB57="","",'WetLitterbags placem_collection'!AB57)</f>
        <v>15.8</v>
      </c>
      <c r="AF496">
        <f>IF('WetLitterbags placem_collection'!Z57="","",'WetLitterbags placem_collection'!Z57)</f>
        <v>45</v>
      </c>
      <c r="AG496" s="243" t="str">
        <f>IF('WetLitterbags placem_collection'!AA57="","",'WetLitterbags placem_collection'!AA57)</f>
        <v>M</v>
      </c>
      <c r="AH496">
        <f>IF('WetLitterbags placem_collection'!AC57="","",'WetLitterbags placem_collection'!AC57)</f>
        <v>1</v>
      </c>
      <c r="AI496" s="237">
        <f>AVERAGE('WetLitterbags placem_collection'!S57,'WetLitterbags placem_collection'!U57)</f>
        <v>33</v>
      </c>
      <c r="AJ496">
        <f>AVERAGE('WetLitterbags placem_collection'!R57,'WetLitterbags placem_collection'!T57)</f>
        <v>25.9</v>
      </c>
      <c r="AK496">
        <f>INDEX(Coordinates!$B$2:$B$197,MATCH(H496,Coordinates!$J$2:$J$197,0))</f>
        <v>-3.4061389879999999</v>
      </c>
      <c r="AL496">
        <f>INDEX(Coordinates!$C$2:$C$197,MATCH(H496,Coordinates!$J$2:$J$197,0))</f>
        <v>34.850574979999998</v>
      </c>
      <c r="AM496" t="str">
        <f>IF(ISNUMBER(SEARCH("C", 'WetLitterbags placem_collection'!$X57)),"YES","NO")</f>
        <v>NO</v>
      </c>
      <c r="AN496" t="str">
        <f>IF(ISNUMBER(SEARCH("H", 'WetLitterbags placem_collection'!$X57)),"YES","NO")</f>
        <v>NO</v>
      </c>
      <c r="AO496" t="str">
        <f>IF(ISNUMBER(SEARCH("R", 'WetLitterbags placem_collection'!$X57)),"YES","NO")</f>
        <v>YES</v>
      </c>
    </row>
    <row r="497" spans="1:41" ht="15" customHeight="1">
      <c r="A497" s="255" t="s">
        <v>2454</v>
      </c>
      <c r="B497" s="260">
        <f>'Dry_Litterbag Placem_Collection'!A58</f>
        <v>56</v>
      </c>
      <c r="C497" s="260" t="str">
        <f>'Dry_Litterbag Placem_Collection'!B58</f>
        <v>Makao</v>
      </c>
      <c r="D497" s="260" t="s">
        <v>2643</v>
      </c>
      <c r="E497" s="260" t="s">
        <v>20</v>
      </c>
      <c r="F497" s="260">
        <v>3</v>
      </c>
      <c r="G497" s="260" t="s">
        <v>3808</v>
      </c>
      <c r="H497" s="261" t="str">
        <f>'Dry_Litterbag Placem_Collection'!C58</f>
        <v>Dry_P3_T8</v>
      </c>
      <c r="I497" s="270" t="s">
        <v>3630</v>
      </c>
      <c r="J497" s="263" t="s">
        <v>1147</v>
      </c>
      <c r="K497" s="221" t="str">
        <f>'WetLitterbags placem_collection'!O58</f>
        <v>G557</v>
      </c>
      <c r="L497" s="223">
        <f>IFERROR(INDEX('Green_rooibos initial weight'!$C$5:$C$2000,MATCH(K497, 'Green_rooibos initial weight'!$A$5:$A$2000,0)),"")</f>
        <v>2.12</v>
      </c>
      <c r="M497" s="223">
        <f>IFERROR(L497-(TBIcalc!$H$9+TBIcalc!$H$10),"")</f>
        <v>1.8702000000000001</v>
      </c>
      <c r="N497" s="385">
        <f>AVERAGE(Ashed_controlls!$K$2:$K$11)</f>
        <v>5.5147656768714146</v>
      </c>
      <c r="O497" s="223">
        <f t="shared" si="36"/>
        <v>1.7670628523111509</v>
      </c>
      <c r="P497" s="223">
        <f>IFERROR(INDEX('Both teabags AfterWet'!$C$3:$C$840,MATCH(K497,'Both teabags AfterWet'!$A$3:$A$840,0)),"")</f>
        <v>0.74399999999999999</v>
      </c>
      <c r="Q497" s="223">
        <f>IFERROR(IF(P497&gt;0,P497-(TBIcalc!$H$9),""),"")</f>
        <v>0.59339999999999993</v>
      </c>
      <c r="R497" s="223">
        <f>IFERROR(INDEX('Ashed teabags wet'!$K$2:$K$2000,MATCH(K497,'Ashed teabags wet'!$A$2:$A$2000,0)),"")</f>
        <v>11.235408560310804</v>
      </c>
      <c r="S497" s="223">
        <f t="shared" si="37"/>
        <v>0.5267290856031156</v>
      </c>
      <c r="T497" s="224">
        <f>'WetLitterbags placem_collection'!E58</f>
        <v>42766</v>
      </c>
      <c r="U497" s="224">
        <f>IF('WetLitterbags placem_collection'!G58="","",'WetLitterbags placem_collection'!G58)</f>
        <v>42820</v>
      </c>
      <c r="V497" s="225">
        <f t="shared" si="35"/>
        <v>54</v>
      </c>
      <c r="W497" s="223">
        <f t="shared" si="38"/>
        <v>1.2768000000000002</v>
      </c>
      <c r="X497" s="223">
        <f t="shared" si="39"/>
        <v>1.2403337667080354</v>
      </c>
      <c r="Y497">
        <f>IFERROR(INDEX(Rainfall_Wet!$O$2:$O$217,MATCH(B497, Rainfall_Wet!$A$2:$A$217,0)),"")</f>
        <v>214.262898705</v>
      </c>
      <c r="Z497" s="228">
        <v>21.96</v>
      </c>
      <c r="AA497" s="228">
        <v>8.9199999999999982</v>
      </c>
      <c r="AB497" s="228">
        <v>69.12</v>
      </c>
      <c r="AC497" s="229" t="s">
        <v>2654</v>
      </c>
      <c r="AD497" s="228">
        <v>1.7491375061606702</v>
      </c>
      <c r="AE497">
        <f>IF('WetLitterbags placem_collection'!AB58="","",'WetLitterbags placem_collection'!AB58)</f>
        <v>15.4</v>
      </c>
      <c r="AF497">
        <f>IF('WetLitterbags placem_collection'!Z58="","",'WetLitterbags placem_collection'!Z58)</f>
        <v>30.8</v>
      </c>
      <c r="AG497" s="243" t="str">
        <f>IF('WetLitterbags placem_collection'!AA58="","",'WetLitterbags placem_collection'!AA58)</f>
        <v>M</v>
      </c>
      <c r="AH497">
        <f>IF('WetLitterbags placem_collection'!AC58="","",'WetLitterbags placem_collection'!AC58)</f>
        <v>0</v>
      </c>
      <c r="AI497" s="237">
        <f>AVERAGE('WetLitterbags placem_collection'!S58,'WetLitterbags placem_collection'!U58)</f>
        <v>29.5</v>
      </c>
      <c r="AJ497">
        <f>AVERAGE('WetLitterbags placem_collection'!R58,'WetLitterbags placem_collection'!T58)</f>
        <v>27.6</v>
      </c>
      <c r="AK497">
        <f>INDEX(Coordinates!$B$2:$B$197,MATCH(H497,Coordinates!$J$2:$J$197,0))</f>
        <v>-3.4062900300000001</v>
      </c>
      <c r="AL497">
        <f>INDEX(Coordinates!$C$2:$C$197,MATCH(H497,Coordinates!$J$2:$J$197,0))</f>
        <v>34.850441959999998</v>
      </c>
      <c r="AM497" t="str">
        <f>IF(ISNUMBER(SEARCH("C", 'WetLitterbags placem_collection'!$X58)),"YES","NO")</f>
        <v>NO</v>
      </c>
      <c r="AN497" t="str">
        <f>IF(ISNUMBER(SEARCH("H", 'WetLitterbags placem_collection'!$X58)),"YES","NO")</f>
        <v>NO</v>
      </c>
      <c r="AO497" t="str">
        <f>IF(ISNUMBER(SEARCH("R", 'WetLitterbags placem_collection'!$X58)),"YES","NO")</f>
        <v>YES</v>
      </c>
    </row>
    <row r="498" spans="1:41" ht="15" customHeight="1">
      <c r="A498" s="255" t="s">
        <v>2454</v>
      </c>
      <c r="B498" s="260">
        <f>'Dry_Litterbag Placem_Collection'!A59</f>
        <v>57</v>
      </c>
      <c r="C498" s="260" t="str">
        <f>'Dry_Litterbag Placem_Collection'!B59</f>
        <v>Makao</v>
      </c>
      <c r="D498" s="260" t="s">
        <v>2643</v>
      </c>
      <c r="E498" s="260" t="s">
        <v>20</v>
      </c>
      <c r="F498" s="260">
        <v>4</v>
      </c>
      <c r="G498" s="260" t="s">
        <v>3809</v>
      </c>
      <c r="H498" s="261" t="str">
        <f>'Dry_Litterbag Placem_Collection'!C59</f>
        <v>Dry_P4_T1</v>
      </c>
      <c r="I498" s="270" t="s">
        <v>3630</v>
      </c>
      <c r="J498" s="263" t="s">
        <v>1147</v>
      </c>
      <c r="K498" s="221" t="str">
        <f>'WetLitterbags placem_collection'!O59</f>
        <v>G618</v>
      </c>
      <c r="L498" s="223">
        <f>IFERROR(INDEX('Green_rooibos initial weight'!$C$5:$C$2000,MATCH(K498, 'Green_rooibos initial weight'!$A$5:$A$2000,0)),"")</f>
        <v>2.0449999999999999</v>
      </c>
      <c r="M498" s="223">
        <f>IFERROR(L498-(TBIcalc!$H$9+TBIcalc!$H$10),"")</f>
        <v>1.7951999999999999</v>
      </c>
      <c r="N498" s="385">
        <f>AVERAGE(Ashed_controlls!$K$2:$K$11)</f>
        <v>5.5147656768714146</v>
      </c>
      <c r="O498" s="223">
        <f t="shared" si="36"/>
        <v>1.6961989265688042</v>
      </c>
      <c r="P498" s="223">
        <f>IFERROR(INDEX('Both teabags AfterWet'!$C$3:$C$840,MATCH(K498,'Both teabags AfterWet'!$A$3:$A$840,0)),"")</f>
        <v>0.88129999999999997</v>
      </c>
      <c r="Q498" s="223">
        <f>IFERROR(IF(P498&gt;0,P498-(TBIcalc!$H$9),""),"")</f>
        <v>0.73069999999999991</v>
      </c>
      <c r="R498" s="223">
        <f>IFERROR(INDEX('Ashed teabags wet'!$K$2:$K$2000,MATCH(K498,'Ashed teabags wet'!$A$2:$A$2000,0)),"")</f>
        <v>11.534653465346061</v>
      </c>
      <c r="S498" s="223">
        <f t="shared" si="37"/>
        <v>0.64641628712871624</v>
      </c>
      <c r="T498" s="224">
        <f>'WetLitterbags placem_collection'!E59</f>
        <v>42766</v>
      </c>
      <c r="U498" s="224">
        <f>IF('WetLitterbags placem_collection'!G59="","",'WetLitterbags placem_collection'!G59)</f>
        <v>42820</v>
      </c>
      <c r="V498" s="225">
        <f t="shared" si="35"/>
        <v>54</v>
      </c>
      <c r="W498" s="223">
        <f t="shared" si="38"/>
        <v>1.0645</v>
      </c>
      <c r="X498" s="223">
        <f t="shared" si="39"/>
        <v>1.049782639440088</v>
      </c>
      <c r="Y498">
        <f>IFERROR(INDEX(Rainfall_Wet!$O$2:$O$217,MATCH(B498, Rainfall_Wet!$A$2:$A$217,0)),"")</f>
        <v>214.262898705</v>
      </c>
      <c r="Z498" s="228">
        <v>25.96</v>
      </c>
      <c r="AA498" s="228">
        <v>6.9200000000000008</v>
      </c>
      <c r="AB498" s="228">
        <v>67.12</v>
      </c>
      <c r="AC498" s="229" t="s">
        <v>2654</v>
      </c>
      <c r="AD498" s="228">
        <v>1.7568260226712666</v>
      </c>
      <c r="AE498">
        <f>IF('WetLitterbags placem_collection'!AB59="","",'WetLitterbags placem_collection'!AB59)</f>
        <v>3.3</v>
      </c>
      <c r="AF498">
        <f>IF('WetLitterbags placem_collection'!Z59="","",'WetLitterbags placem_collection'!Z59)</f>
        <v>28.4</v>
      </c>
      <c r="AG498" s="243" t="str">
        <f>IF('WetLitterbags placem_collection'!AA59="","",'WetLitterbags placem_collection'!AA59)</f>
        <v>O</v>
      </c>
      <c r="AH498">
        <f>IF('WetLitterbags placem_collection'!AC59="","",'WetLitterbags placem_collection'!AC59)</f>
        <v>1</v>
      </c>
      <c r="AI498" s="237">
        <f>AVERAGE('WetLitterbags placem_collection'!S59,'WetLitterbags placem_collection'!U59)</f>
        <v>31.6</v>
      </c>
      <c r="AJ498">
        <f>AVERAGE('WetLitterbags placem_collection'!R59,'WetLitterbags placem_collection'!T59)</f>
        <v>26.9</v>
      </c>
      <c r="AK498">
        <f>INDEX(Coordinates!$B$2:$B$197,MATCH(H498,Coordinates!$J$2:$J$197,0))</f>
        <v>-3.4064239729999999</v>
      </c>
      <c r="AL498">
        <f>INDEX(Coordinates!$C$2:$C$197,MATCH(H498,Coordinates!$J$2:$J$197,0))</f>
        <v>34.851213010000002</v>
      </c>
      <c r="AM498" t="str">
        <f>IF(ISNUMBER(SEARCH("C", 'WetLitterbags placem_collection'!$X59)),"YES","NO")</f>
        <v>NO</v>
      </c>
      <c r="AN498" t="str">
        <f>IF(ISNUMBER(SEARCH("H", 'WetLitterbags placem_collection'!$X59)),"YES","NO")</f>
        <v>NO</v>
      </c>
      <c r="AO498" t="str">
        <f>IF(ISNUMBER(SEARCH("R", 'WetLitterbags placem_collection'!$X59)),"YES","NO")</f>
        <v>YES</v>
      </c>
    </row>
    <row r="499" spans="1:41" ht="15" customHeight="1">
      <c r="A499" s="255" t="s">
        <v>2454</v>
      </c>
      <c r="B499" s="260">
        <f>'Dry_Litterbag Placem_Collection'!A60</f>
        <v>58</v>
      </c>
      <c r="C499" s="260" t="str">
        <f>'Dry_Litterbag Placem_Collection'!B60</f>
        <v>Makao</v>
      </c>
      <c r="D499" s="260" t="s">
        <v>2643</v>
      </c>
      <c r="E499" s="260" t="s">
        <v>20</v>
      </c>
      <c r="F499" s="260">
        <v>4</v>
      </c>
      <c r="G499" s="260" t="s">
        <v>3809</v>
      </c>
      <c r="H499" s="261" t="str">
        <f>'Dry_Litterbag Placem_Collection'!C60</f>
        <v>Dry_P4_T2</v>
      </c>
      <c r="I499" s="270" t="s">
        <v>3630</v>
      </c>
      <c r="J499" s="263" t="s">
        <v>1147</v>
      </c>
      <c r="K499" s="221" t="str">
        <f>'WetLitterbags placem_collection'!O60</f>
        <v>G593</v>
      </c>
      <c r="L499" s="223">
        <f>IFERROR(INDEX('Green_rooibos initial weight'!$C$5:$C$2000,MATCH(K499, 'Green_rooibos initial weight'!$A$5:$A$2000,0)),"")</f>
        <v>2.093</v>
      </c>
      <c r="M499" s="223">
        <f>IFERROR(L499-(TBIcalc!$H$9+TBIcalc!$H$10),"")</f>
        <v>1.8431999999999999</v>
      </c>
      <c r="N499" s="385">
        <f>AVERAGE(Ashed_controlls!$K$2:$K$11)</f>
        <v>5.5147656768714146</v>
      </c>
      <c r="O499" s="223">
        <f t="shared" si="36"/>
        <v>1.741551839043906</v>
      </c>
      <c r="P499" s="223">
        <f>IFERROR(INDEX('Both teabags AfterWet'!$C$3:$C$840,MATCH(K499,'Both teabags AfterWet'!$A$3:$A$840,0)),"")</f>
        <v>0.97009999999999996</v>
      </c>
      <c r="Q499" s="223">
        <f>IFERROR(IF(P499&gt;0,P499-(TBIcalc!$H$9),""),"")</f>
        <v>0.8194999999999999</v>
      </c>
      <c r="R499" s="223">
        <f>IFERROR(INDEX('Ashed teabags wet'!$K$2:$K$2000,MATCH(K499,'Ashed teabags wet'!$A$2:$A$2000,0)),"")</f>
        <v>12.412761714855449</v>
      </c>
      <c r="S499" s="223">
        <f t="shared" si="37"/>
        <v>0.71777741774675952</v>
      </c>
      <c r="T499" s="224">
        <f>'WetLitterbags placem_collection'!E60</f>
        <v>42766</v>
      </c>
      <c r="U499" s="224">
        <f>IF('WetLitterbags placem_collection'!G60="","",'WetLitterbags placem_collection'!G60)</f>
        <v>42820</v>
      </c>
      <c r="V499" s="225">
        <f t="shared" si="35"/>
        <v>54</v>
      </c>
      <c r="W499" s="223">
        <f t="shared" si="38"/>
        <v>1.0237000000000001</v>
      </c>
      <c r="X499" s="223">
        <f t="shared" si="39"/>
        <v>1.0237744212971465</v>
      </c>
      <c r="Y499">
        <f>IFERROR(INDEX(Rainfall_Wet!$O$2:$O$217,MATCH(B499, Rainfall_Wet!$A$2:$A$217,0)),"")</f>
        <v>214.262898705</v>
      </c>
      <c r="Z499" s="228">
        <v>25.96</v>
      </c>
      <c r="AA499" s="228">
        <v>6.9200000000000008</v>
      </c>
      <c r="AB499" s="228">
        <v>67.12</v>
      </c>
      <c r="AC499" s="229" t="s">
        <v>2654</v>
      </c>
      <c r="AD499" s="228">
        <v>1.7568260226712666</v>
      </c>
      <c r="AE499">
        <f>IF('WetLitterbags placem_collection'!AB60="","",'WetLitterbags placem_collection'!AB60)</f>
        <v>1.4</v>
      </c>
      <c r="AF499">
        <f>IF('WetLitterbags placem_collection'!Z60="","",'WetLitterbags placem_collection'!Z60)</f>
        <v>54.4</v>
      </c>
      <c r="AG499" s="243" t="str">
        <f>IF('WetLitterbags placem_collection'!AA60="","",'WetLitterbags placem_collection'!AA60)</f>
        <v>O</v>
      </c>
      <c r="AH499">
        <f>IF('WetLitterbags placem_collection'!AC60="","",'WetLitterbags placem_collection'!AC60)</f>
        <v>0</v>
      </c>
      <c r="AI499" s="237">
        <f>AVERAGE('WetLitterbags placem_collection'!S60,'WetLitterbags placem_collection'!U60)</f>
        <v>31.6</v>
      </c>
      <c r="AJ499">
        <f>AVERAGE('WetLitterbags placem_collection'!R60,'WetLitterbags placem_collection'!T60)</f>
        <v>26.700000000000003</v>
      </c>
      <c r="AK499">
        <f>INDEX(Coordinates!$B$2:$B$197,MATCH(H499,Coordinates!$J$2:$J$197,0))</f>
        <v>-3.4065020079999999</v>
      </c>
      <c r="AL499">
        <f>INDEX(Coordinates!$C$2:$C$197,MATCH(H499,Coordinates!$J$2:$J$197,0))</f>
        <v>34.851056020000001</v>
      </c>
      <c r="AM499" t="str">
        <f>IF(ISNUMBER(SEARCH("C", 'WetLitterbags placem_collection'!$X60)),"YES","NO")</f>
        <v>NO</v>
      </c>
      <c r="AN499" t="str">
        <f>IF(ISNUMBER(SEARCH("H", 'WetLitterbags placem_collection'!$X60)),"YES","NO")</f>
        <v>NO</v>
      </c>
      <c r="AO499" t="str">
        <f>IF(ISNUMBER(SEARCH("R", 'WetLitterbags placem_collection'!$X60)),"YES","NO")</f>
        <v>YES</v>
      </c>
    </row>
    <row r="500" spans="1:41" ht="15" customHeight="1">
      <c r="A500" s="255" t="s">
        <v>2454</v>
      </c>
      <c r="B500" s="260">
        <f>'Dry_Litterbag Placem_Collection'!A61</f>
        <v>59</v>
      </c>
      <c r="C500" s="260" t="str">
        <f>'Dry_Litterbag Placem_Collection'!B61</f>
        <v>Makao</v>
      </c>
      <c r="D500" s="260" t="s">
        <v>2643</v>
      </c>
      <c r="E500" s="260" t="s">
        <v>20</v>
      </c>
      <c r="F500" s="260">
        <v>4</v>
      </c>
      <c r="G500" s="260" t="s">
        <v>3809</v>
      </c>
      <c r="H500" s="261" t="str">
        <f>'Dry_Litterbag Placem_Collection'!C61</f>
        <v>Dry_P4_T3</v>
      </c>
      <c r="I500" s="270" t="s">
        <v>3630</v>
      </c>
      <c r="J500" s="263" t="s">
        <v>1147</v>
      </c>
      <c r="K500" s="221" t="str">
        <f>'WetLitterbags placem_collection'!O61</f>
        <v>G600</v>
      </c>
      <c r="L500" s="223">
        <f>IFERROR(INDEX('Green_rooibos initial weight'!$C$5:$C$2000,MATCH(K500, 'Green_rooibos initial weight'!$A$5:$A$2000,0)),"")</f>
        <v>2.0049999999999999</v>
      </c>
      <c r="M500" s="223">
        <f>IFERROR(L500-(TBIcalc!$H$9+TBIcalc!$H$10),"")</f>
        <v>1.7551999999999999</v>
      </c>
      <c r="N500" s="385">
        <f>AVERAGE(Ashed_controlls!$K$2:$K$11)</f>
        <v>5.5147656768714146</v>
      </c>
      <c r="O500" s="223">
        <f t="shared" si="36"/>
        <v>1.6584048328395529</v>
      </c>
      <c r="P500" s="223">
        <f>IFERROR(INDEX('Both teabags AfterWet'!$C$3:$C$840,MATCH(K500,'Both teabags AfterWet'!$A$3:$A$840,0)),"")</f>
        <v>0.90200000000000002</v>
      </c>
      <c r="Q500" s="223">
        <f>IFERROR(IF(P500&gt;0,P500-(TBIcalc!$H$9),""),"")</f>
        <v>0.75140000000000007</v>
      </c>
      <c r="R500" s="223">
        <f>IFERROR(INDEX('Ashed teabags wet'!$K$2:$K$2000,MATCH(K500,'Ashed teabags wet'!$A$2:$A$2000,0)),"")</f>
        <v>13.942071674030428</v>
      </c>
      <c r="S500" s="223">
        <f t="shared" si="37"/>
        <v>0.64663927344133543</v>
      </c>
      <c r="T500" s="224">
        <f>'WetLitterbags placem_collection'!E61</f>
        <v>42766</v>
      </c>
      <c r="U500" s="224">
        <f>IF('WetLitterbags placem_collection'!G61="","",'WetLitterbags placem_collection'!G61)</f>
        <v>42820</v>
      </c>
      <c r="V500" s="225">
        <f t="shared" si="35"/>
        <v>54</v>
      </c>
      <c r="W500" s="223">
        <f t="shared" si="38"/>
        <v>1.0037999999999998</v>
      </c>
      <c r="X500" s="223">
        <f t="shared" si="39"/>
        <v>1.0117655593982176</v>
      </c>
      <c r="Y500">
        <f>IFERROR(INDEX(Rainfall_Wet!$O$2:$O$217,MATCH(B500, Rainfall_Wet!$A$2:$A$217,0)),"")</f>
        <v>214.262898705</v>
      </c>
      <c r="Z500" s="228">
        <v>25.96</v>
      </c>
      <c r="AA500" s="228">
        <v>6.9200000000000008</v>
      </c>
      <c r="AB500" s="228">
        <v>67.12</v>
      </c>
      <c r="AC500" s="229" t="s">
        <v>2654</v>
      </c>
      <c r="AD500" s="228">
        <v>1.7568260226712666</v>
      </c>
      <c r="AE500">
        <f>IF('WetLitterbags placem_collection'!AB61="","",'WetLitterbags placem_collection'!AB61)</f>
        <v>3.3</v>
      </c>
      <c r="AF500">
        <f>IF('WetLitterbags placem_collection'!Z61="","",'WetLitterbags placem_collection'!Z61)</f>
        <v>46</v>
      </c>
      <c r="AG500" s="243" t="str">
        <f>IF('WetLitterbags placem_collection'!AA61="","",'WetLitterbags placem_collection'!AA61)</f>
        <v>O</v>
      </c>
      <c r="AH500">
        <f>IF('WetLitterbags placem_collection'!AC61="","",'WetLitterbags placem_collection'!AC61)</f>
        <v>0</v>
      </c>
      <c r="AI500" s="237">
        <f>AVERAGE('WetLitterbags placem_collection'!S61,'WetLitterbags placem_collection'!U61)</f>
        <v>27.9</v>
      </c>
      <c r="AJ500">
        <f>AVERAGE('WetLitterbags placem_collection'!R61,'WetLitterbags placem_collection'!T61)</f>
        <v>27.049999999999997</v>
      </c>
      <c r="AK500">
        <f>INDEX(Coordinates!$B$2:$B$197,MATCH(H500,Coordinates!$J$2:$J$197,0))</f>
        <v>-3.4062359670000002</v>
      </c>
      <c r="AL500">
        <f>INDEX(Coordinates!$C$2:$C$197,MATCH(H500,Coordinates!$J$2:$J$197,0))</f>
        <v>34.851107990000003</v>
      </c>
      <c r="AM500" t="str">
        <f>IF(ISNUMBER(SEARCH("C", 'WetLitterbags placem_collection'!$X61)),"YES","NO")</f>
        <v>NO</v>
      </c>
      <c r="AN500" t="str">
        <f>IF(ISNUMBER(SEARCH("H", 'WetLitterbags placem_collection'!$X61)),"YES","NO")</f>
        <v>NO</v>
      </c>
      <c r="AO500" t="str">
        <f>IF(ISNUMBER(SEARCH("R", 'WetLitterbags placem_collection'!$X61)),"YES","NO")</f>
        <v>NO</v>
      </c>
    </row>
    <row r="501" spans="1:41" ht="15" customHeight="1">
      <c r="A501" s="255" t="s">
        <v>2454</v>
      </c>
      <c r="B501" s="260">
        <f>'Dry_Litterbag Placem_Collection'!A62</f>
        <v>60</v>
      </c>
      <c r="C501" s="260" t="str">
        <f>'Dry_Litterbag Placem_Collection'!B62</f>
        <v>Makao</v>
      </c>
      <c r="D501" s="260" t="s">
        <v>2643</v>
      </c>
      <c r="E501" s="260" t="s">
        <v>20</v>
      </c>
      <c r="F501" s="260">
        <v>4</v>
      </c>
      <c r="G501" s="260" t="s">
        <v>3809</v>
      </c>
      <c r="H501" s="261" t="str">
        <f>'Dry_Litterbag Placem_Collection'!C62</f>
        <v>Dry_P4_T4</v>
      </c>
      <c r="I501" s="270" t="s">
        <v>3630</v>
      </c>
      <c r="J501" s="263" t="s">
        <v>1147</v>
      </c>
      <c r="K501" s="221" t="str">
        <f>'WetLitterbags placem_collection'!O62</f>
        <v>G535</v>
      </c>
      <c r="L501" s="223">
        <f>IFERROR(INDEX('Green_rooibos initial weight'!$C$5:$C$2000,MATCH(K501, 'Green_rooibos initial weight'!$A$5:$A$2000,0)),"")</f>
        <v>2.0920000000000001</v>
      </c>
      <c r="M501" s="223">
        <f>IFERROR(L501-(TBIcalc!$H$9+TBIcalc!$H$10),"")</f>
        <v>1.8422000000000001</v>
      </c>
      <c r="N501" s="385">
        <f>AVERAGE(Ashed_controlls!$K$2:$K$11)</f>
        <v>5.5147656768714146</v>
      </c>
      <c r="O501" s="223">
        <f t="shared" si="36"/>
        <v>1.7406069867006748</v>
      </c>
      <c r="P501" s="223">
        <f>IFERROR(INDEX('Both teabags AfterWet'!$C$3:$C$840,MATCH(K501,'Both teabags AfterWet'!$A$3:$A$840,0)),"")</f>
        <v>0.78</v>
      </c>
      <c r="Q501" s="223">
        <f>IFERROR(IF(P501&gt;0,P501-(TBIcalc!$H$9),""),"")</f>
        <v>0.62939999999999996</v>
      </c>
      <c r="R501" s="223">
        <f>IFERROR(INDEX('Ashed teabags wet'!$K$2:$K$2000,MATCH(K501,'Ashed teabags wet'!$A$2:$A$2000,0)),"")</f>
        <v>10.099009900990334</v>
      </c>
      <c r="S501" s="223">
        <f t="shared" si="37"/>
        <v>0.56583683168316679</v>
      </c>
      <c r="T501" s="224">
        <f>'WetLitterbags placem_collection'!E62</f>
        <v>42766</v>
      </c>
      <c r="U501" s="224">
        <f>IF('WetLitterbags placem_collection'!G62="","",'WetLitterbags placem_collection'!G62)</f>
        <v>42820</v>
      </c>
      <c r="V501" s="225">
        <f t="shared" si="35"/>
        <v>54</v>
      </c>
      <c r="W501" s="223">
        <f t="shared" si="38"/>
        <v>1.2128000000000001</v>
      </c>
      <c r="X501" s="223">
        <f t="shared" si="39"/>
        <v>1.174770155017508</v>
      </c>
      <c r="Y501">
        <f>IFERROR(INDEX(Rainfall_Wet!$O$2:$O$217,MATCH(B501, Rainfall_Wet!$A$2:$A$217,0)),"")</f>
        <v>214.262898705</v>
      </c>
      <c r="Z501" s="228">
        <v>25.96</v>
      </c>
      <c r="AA501" s="228">
        <v>6.9200000000000008</v>
      </c>
      <c r="AB501" s="228">
        <v>67.12</v>
      </c>
      <c r="AC501" s="229" t="s">
        <v>2654</v>
      </c>
      <c r="AD501" s="228">
        <v>1.7568260226712666</v>
      </c>
      <c r="AE501">
        <f>IF('WetLitterbags placem_collection'!AB62="","",'WetLitterbags placem_collection'!AB62)</f>
        <v>2.4</v>
      </c>
      <c r="AF501">
        <f>IF('WetLitterbags placem_collection'!Z62="","",'WetLitterbags placem_collection'!Z62)</f>
        <v>10.199999999999999</v>
      </c>
      <c r="AG501" s="243" t="str">
        <f>IF('WetLitterbags placem_collection'!AA62="","",'WetLitterbags placem_collection'!AA62)</f>
        <v>O</v>
      </c>
      <c r="AH501">
        <f>IF('WetLitterbags placem_collection'!AC62="","",'WetLitterbags placem_collection'!AC62)</f>
        <v>0</v>
      </c>
      <c r="AI501" s="237">
        <f>AVERAGE('WetLitterbags placem_collection'!S62,'WetLitterbags placem_collection'!U62)</f>
        <v>22.5</v>
      </c>
      <c r="AJ501">
        <f>AVERAGE('WetLitterbags placem_collection'!R62,'WetLitterbags placem_collection'!T62)</f>
        <v>28.6</v>
      </c>
      <c r="AK501">
        <f>INDEX(Coordinates!$B$2:$B$197,MATCH(H501,Coordinates!$J$2:$J$197,0))</f>
        <v>-3.406281983</v>
      </c>
      <c r="AL501">
        <f>INDEX(Coordinates!$C$2:$C$197,MATCH(H501,Coordinates!$J$2:$J$197,0))</f>
        <v>34.85137898</v>
      </c>
      <c r="AM501" t="str">
        <f>IF(ISNUMBER(SEARCH("C", 'WetLitterbags placem_collection'!$X62)),"YES","NO")</f>
        <v>NO</v>
      </c>
      <c r="AN501" t="str">
        <f>IF(ISNUMBER(SEARCH("H", 'WetLitterbags placem_collection'!$X62)),"YES","NO")</f>
        <v>NO</v>
      </c>
      <c r="AO501" t="str">
        <f>IF(ISNUMBER(SEARCH("R", 'WetLitterbags placem_collection'!$X62)),"YES","NO")</f>
        <v>NO</v>
      </c>
    </row>
    <row r="502" spans="1:41" ht="15" customHeight="1">
      <c r="A502" s="255" t="s">
        <v>2454</v>
      </c>
      <c r="B502" s="260">
        <f>'Dry_Litterbag Placem_Collection'!A63</f>
        <v>61</v>
      </c>
      <c r="C502" s="260" t="str">
        <f>'Dry_Litterbag Placem_Collection'!B63</f>
        <v>Makao</v>
      </c>
      <c r="D502" s="260" t="s">
        <v>2643</v>
      </c>
      <c r="E502" s="260" t="s">
        <v>20</v>
      </c>
      <c r="F502" s="260">
        <v>4</v>
      </c>
      <c r="G502" s="260" t="s">
        <v>3809</v>
      </c>
      <c r="H502" s="261" t="str">
        <f>'Dry_Litterbag Placem_Collection'!C63</f>
        <v>Dry_P4_T5</v>
      </c>
      <c r="I502" s="270" t="s">
        <v>3630</v>
      </c>
      <c r="J502" s="263" t="s">
        <v>1147</v>
      </c>
      <c r="K502" s="221" t="str">
        <f>'WetLitterbags placem_collection'!O63</f>
        <v>G391</v>
      </c>
      <c r="L502" s="223">
        <f>IFERROR(INDEX('Green_rooibos initial weight'!$C$5:$C$2000,MATCH(K502, 'Green_rooibos initial weight'!$A$5:$A$2000,0)),"")</f>
        <v>1.9419999999999999</v>
      </c>
      <c r="M502" s="223">
        <f>IFERROR(L502-(TBIcalc!$H$9+TBIcalc!$H$10),"")</f>
        <v>1.6921999999999999</v>
      </c>
      <c r="N502" s="385">
        <f>AVERAGE(Ashed_controlls!$K$2:$K$11)</f>
        <v>5.5147656768714146</v>
      </c>
      <c r="O502" s="223">
        <f t="shared" si="36"/>
        <v>1.5988791352159819</v>
      </c>
      <c r="P502" s="223">
        <f>IFERROR(INDEX('Both teabags AfterWet'!$C$3:$C$840,MATCH(K502,'Both teabags AfterWet'!$A$3:$A$840,0)),"")</f>
        <v>0.628</v>
      </c>
      <c r="Q502" s="223">
        <f>IFERROR(IF(P502&gt;0,P502-(TBIcalc!$H$9),""),"")</f>
        <v>0.47739999999999999</v>
      </c>
      <c r="R502" s="223">
        <f>IFERROR(INDEX('Ashed teabags wet'!$K$2:$K$2000,MATCH(K502,'Ashed teabags wet'!$A$2:$A$2000,0)),"")</f>
        <v>8.0533596837941683</v>
      </c>
      <c r="S502" s="223">
        <f t="shared" si="37"/>
        <v>0.43895326086956665</v>
      </c>
      <c r="T502" s="224">
        <f>'WetLitterbags placem_collection'!E63</f>
        <v>42766</v>
      </c>
      <c r="U502" s="224">
        <f>IF('WetLitterbags placem_collection'!G63="","",'WetLitterbags placem_collection'!G63)</f>
        <v>42820</v>
      </c>
      <c r="V502" s="225">
        <f t="shared" si="35"/>
        <v>54</v>
      </c>
      <c r="W502" s="223">
        <f t="shared" si="38"/>
        <v>1.2147999999999999</v>
      </c>
      <c r="X502" s="223">
        <f t="shared" si="39"/>
        <v>1.1599258743464151</v>
      </c>
      <c r="Y502">
        <f>IFERROR(INDEX(Rainfall_Wet!$O$2:$O$217,MATCH(B502, Rainfall_Wet!$A$2:$A$217,0)),"")</f>
        <v>214.262898705</v>
      </c>
      <c r="Z502" s="228">
        <v>25.96</v>
      </c>
      <c r="AA502" s="228">
        <v>6.9200000000000008</v>
      </c>
      <c r="AB502" s="228">
        <v>67.12</v>
      </c>
      <c r="AC502" s="229" t="s">
        <v>2654</v>
      </c>
      <c r="AD502" s="228">
        <v>1.7568260226712666</v>
      </c>
      <c r="AE502">
        <f>IF('WetLitterbags placem_collection'!AB63="","",'WetLitterbags placem_collection'!AB63)</f>
        <v>5.6</v>
      </c>
      <c r="AF502">
        <f>IF('WetLitterbags placem_collection'!Z63="","",'WetLitterbags placem_collection'!Z63)</f>
        <v>34.200000000000003</v>
      </c>
      <c r="AG502" s="243" t="str">
        <f>IF('WetLitterbags placem_collection'!AA63="","",'WetLitterbags placem_collection'!AA63)</f>
        <v>O</v>
      </c>
      <c r="AH502">
        <f>IF('WetLitterbags placem_collection'!AC63="","",'WetLitterbags placem_collection'!AC63)</f>
        <v>0</v>
      </c>
      <c r="AI502" s="237">
        <f>AVERAGE('WetLitterbags placem_collection'!S63,'WetLitterbags placem_collection'!U63)</f>
        <v>20.399999999999999</v>
      </c>
      <c r="AJ502">
        <f>AVERAGE('WetLitterbags placem_collection'!R63,'WetLitterbags placem_collection'!T63)</f>
        <v>27.450000000000003</v>
      </c>
      <c r="AK502">
        <f>INDEX(Coordinates!$B$2:$B$197,MATCH(H502,Coordinates!$J$2:$J$197,0))</f>
        <v>-3.406569986</v>
      </c>
      <c r="AL502">
        <f>INDEX(Coordinates!$C$2:$C$197,MATCH(H502,Coordinates!$J$2:$J$197,0))</f>
        <v>34.851323989999997</v>
      </c>
      <c r="AM502" t="str">
        <f>IF(ISNUMBER(SEARCH("C", 'WetLitterbags placem_collection'!$X63)),"YES","NO")</f>
        <v>NO</v>
      </c>
      <c r="AN502" t="str">
        <f>IF(ISNUMBER(SEARCH("H", 'WetLitterbags placem_collection'!$X63)),"YES","NO")</f>
        <v>NO</v>
      </c>
      <c r="AO502" t="str">
        <f>IF(ISNUMBER(SEARCH("R", 'WetLitterbags placem_collection'!$X63)),"YES","NO")</f>
        <v>YES</v>
      </c>
    </row>
    <row r="503" spans="1:41" ht="15" customHeight="1">
      <c r="A503" s="255" t="s">
        <v>2454</v>
      </c>
      <c r="B503" s="260">
        <f>'Dry_Litterbag Placem_Collection'!A64</f>
        <v>62</v>
      </c>
      <c r="C503" s="260" t="str">
        <f>'Dry_Litterbag Placem_Collection'!B64</f>
        <v>Makao</v>
      </c>
      <c r="D503" s="260" t="s">
        <v>2643</v>
      </c>
      <c r="E503" s="260" t="s">
        <v>20</v>
      </c>
      <c r="F503" s="260">
        <v>4</v>
      </c>
      <c r="G503" s="260" t="s">
        <v>3809</v>
      </c>
      <c r="H503" s="261" t="str">
        <f>'Dry_Litterbag Placem_Collection'!C64</f>
        <v>Dry_P4_T6</v>
      </c>
      <c r="I503" s="270" t="s">
        <v>3630</v>
      </c>
      <c r="J503" s="263" t="s">
        <v>1147</v>
      </c>
      <c r="K503" s="221" t="str">
        <f>'WetLitterbags placem_collection'!O64</f>
        <v>G445</v>
      </c>
      <c r="L503" s="223">
        <f>IFERROR(INDEX('Green_rooibos initial weight'!$C$5:$C$2000,MATCH(K503, 'Green_rooibos initial weight'!$A$5:$A$2000,0)),"")</f>
        <v>2.1150000000000002</v>
      </c>
      <c r="M503" s="223">
        <f>IFERROR(L503-(TBIcalc!$H$9+TBIcalc!$H$10),"")</f>
        <v>1.8652000000000002</v>
      </c>
      <c r="N503" s="385">
        <f>AVERAGE(Ashed_controlls!$K$2:$K$11)</f>
        <v>5.5147656768714146</v>
      </c>
      <c r="O503" s="223">
        <f t="shared" si="36"/>
        <v>1.7623385905949946</v>
      </c>
      <c r="P503" s="223">
        <f>IFERROR(INDEX('Both teabags AfterWet'!$C$3:$C$840,MATCH(K503,'Both teabags AfterWet'!$A$3:$A$840,0)),"")</f>
        <v>0.80569999999999997</v>
      </c>
      <c r="Q503" s="223">
        <f>IFERROR(IF(P503&gt;0,P503-(TBIcalc!$H$9),""),"")</f>
        <v>0.65510000000000002</v>
      </c>
      <c r="R503" s="223">
        <f>IFERROR(INDEX('Ashed teabags wet'!$K$2:$K$2000,MATCH(K503,'Ashed teabags wet'!$A$2:$A$2000,0)),"")</f>
        <v>12.3862487360974</v>
      </c>
      <c r="S503" s="223">
        <f t="shared" si="37"/>
        <v>0.57395768452982598</v>
      </c>
      <c r="T503" s="224">
        <f>'WetLitterbags placem_collection'!E64</f>
        <v>42766</v>
      </c>
      <c r="U503" s="224">
        <f>IF('WetLitterbags placem_collection'!G64="","",'WetLitterbags placem_collection'!G64)</f>
        <v>42820</v>
      </c>
      <c r="V503" s="225">
        <f t="shared" si="35"/>
        <v>54</v>
      </c>
      <c r="W503" s="223">
        <f t="shared" si="38"/>
        <v>1.2101000000000002</v>
      </c>
      <c r="X503" s="223">
        <f t="shared" si="39"/>
        <v>1.1883809060651687</v>
      </c>
      <c r="Y503">
        <f>IFERROR(INDEX(Rainfall_Wet!$O$2:$O$217,MATCH(B503, Rainfall_Wet!$A$2:$A$217,0)),"")</f>
        <v>214.262898705</v>
      </c>
      <c r="Z503" s="228">
        <v>25.96</v>
      </c>
      <c r="AA503" s="228">
        <v>6.9200000000000008</v>
      </c>
      <c r="AB503" s="228">
        <v>67.12</v>
      </c>
      <c r="AC503" s="229" t="s">
        <v>2654</v>
      </c>
      <c r="AD503" s="228">
        <v>1.7568260226712666</v>
      </c>
      <c r="AE503">
        <f>IF('WetLitterbags placem_collection'!AB64="","",'WetLitterbags placem_collection'!AB64)</f>
        <v>4.2</v>
      </c>
      <c r="AF503">
        <f>IF('WetLitterbags placem_collection'!Z64="","",'WetLitterbags placem_collection'!Z64)</f>
        <v>40.4</v>
      </c>
      <c r="AG503" s="243" t="str">
        <f>IF('WetLitterbags placem_collection'!AA64="","",'WetLitterbags placem_collection'!AA64)</f>
        <v>O</v>
      </c>
      <c r="AH503">
        <f>IF('WetLitterbags placem_collection'!AC64="","",'WetLitterbags placem_collection'!AC64)</f>
        <v>0</v>
      </c>
      <c r="AI503" s="237">
        <f>AVERAGE('WetLitterbags placem_collection'!S64,'WetLitterbags placem_collection'!U64)</f>
        <v>24.7</v>
      </c>
      <c r="AJ503">
        <f>AVERAGE('WetLitterbags placem_collection'!R64,'WetLitterbags placem_collection'!T64)</f>
        <v>26.799999999999997</v>
      </c>
      <c r="AK503">
        <f>INDEX(Coordinates!$B$2:$B$197,MATCH(H503,Coordinates!$J$2:$J$197,0))</f>
        <v>-3.4065180179999999</v>
      </c>
      <c r="AL503">
        <f>INDEX(Coordinates!$C$2:$C$197,MATCH(H503,Coordinates!$J$2:$J$197,0))</f>
        <v>34.85121402</v>
      </c>
      <c r="AM503" t="str">
        <f>IF(ISNUMBER(SEARCH("C", 'WetLitterbags placem_collection'!$X64)),"YES","NO")</f>
        <v>NO</v>
      </c>
      <c r="AN503" t="str">
        <f>IF(ISNUMBER(SEARCH("H", 'WetLitterbags placem_collection'!$X64)),"YES","NO")</f>
        <v>NO</v>
      </c>
      <c r="AO503" t="str">
        <f>IF(ISNUMBER(SEARCH("R", 'WetLitterbags placem_collection'!$X64)),"YES","NO")</f>
        <v>NO</v>
      </c>
    </row>
    <row r="504" spans="1:41" ht="15" customHeight="1">
      <c r="A504" s="255" t="s">
        <v>2454</v>
      </c>
      <c r="B504" s="260">
        <f>'Dry_Litterbag Placem_Collection'!A65</f>
        <v>63</v>
      </c>
      <c r="C504" s="260" t="str">
        <f>'Dry_Litterbag Placem_Collection'!B65</f>
        <v>Makao</v>
      </c>
      <c r="D504" s="260" t="s">
        <v>2643</v>
      </c>
      <c r="E504" s="260" t="s">
        <v>20</v>
      </c>
      <c r="F504" s="260">
        <v>4</v>
      </c>
      <c r="G504" s="260" t="s">
        <v>3809</v>
      </c>
      <c r="H504" s="261" t="str">
        <f>'Dry_Litterbag Placem_Collection'!C65</f>
        <v>Dry_P4_T7</v>
      </c>
      <c r="I504" s="270" t="s">
        <v>3630</v>
      </c>
      <c r="J504" s="263" t="s">
        <v>1147</v>
      </c>
      <c r="K504" s="221" t="str">
        <f>'WetLitterbags placem_collection'!O65</f>
        <v>G440</v>
      </c>
      <c r="L504" s="223">
        <f>IFERROR(INDEX('Green_rooibos initial weight'!$C$5:$C$2000,MATCH(K504, 'Green_rooibos initial weight'!$A$5:$A$2000,0)),"")</f>
        <v>2.1070000000000002</v>
      </c>
      <c r="M504" s="223">
        <f>IFERROR(L504-(TBIcalc!$H$9+TBIcalc!$H$10),"")</f>
        <v>1.8572000000000002</v>
      </c>
      <c r="N504" s="385">
        <f>AVERAGE(Ashed_controlls!$K$2:$K$11)</f>
        <v>5.5147656768714146</v>
      </c>
      <c r="O504" s="223">
        <f t="shared" si="36"/>
        <v>1.7547797718491442</v>
      </c>
      <c r="P504" s="223">
        <f>IFERROR(INDEX('Both teabags AfterWet'!$C$3:$C$840,MATCH(K504,'Both teabags AfterWet'!$A$3:$A$840,0)),"")</f>
        <v>0.94199999999999995</v>
      </c>
      <c r="Q504" s="223">
        <f>IFERROR(IF(P504&gt;0,P504-(TBIcalc!$H$9),""),"")</f>
        <v>0.79139999999999988</v>
      </c>
      <c r="R504" s="223">
        <f>IFERROR(INDEX('Ashed teabags wet'!$K$2:$K$2000,MATCH(K504,'Ashed teabags wet'!$A$2:$A$2000,0)),"")</f>
        <v>14.278728606356959</v>
      </c>
      <c r="S504" s="223">
        <f t="shared" si="37"/>
        <v>0.67839814180929092</v>
      </c>
      <c r="T504" s="224">
        <f>'WetLitterbags placem_collection'!E65</f>
        <v>42766</v>
      </c>
      <c r="U504" s="224">
        <f>IF('WetLitterbags placem_collection'!G65="","",'WetLitterbags placem_collection'!G65)</f>
        <v>42820</v>
      </c>
      <c r="V504" s="225">
        <f t="shared" si="35"/>
        <v>54</v>
      </c>
      <c r="W504" s="223">
        <f t="shared" si="38"/>
        <v>1.0658000000000003</v>
      </c>
      <c r="X504" s="223">
        <f t="shared" si="39"/>
        <v>1.0763816300398532</v>
      </c>
      <c r="Y504">
        <f>IFERROR(INDEX(Rainfall_Wet!$O$2:$O$217,MATCH(B504, Rainfall_Wet!$A$2:$A$217,0)),"")</f>
        <v>214.262898705</v>
      </c>
      <c r="Z504" s="228">
        <v>25.96</v>
      </c>
      <c r="AA504" s="228">
        <v>6.9200000000000008</v>
      </c>
      <c r="AB504" s="228">
        <v>67.12</v>
      </c>
      <c r="AC504" s="229" t="s">
        <v>2654</v>
      </c>
      <c r="AD504" s="228">
        <v>1.7568260226712666</v>
      </c>
      <c r="AE504">
        <f>IF('WetLitterbags placem_collection'!AB65="","",'WetLitterbags placem_collection'!AB65)</f>
        <v>4.9000000000000004</v>
      </c>
      <c r="AF504">
        <f>IF('WetLitterbags placem_collection'!Z65="","",'WetLitterbags placem_collection'!Z65)</f>
        <v>45</v>
      </c>
      <c r="AG504" s="243" t="str">
        <f>IF('WetLitterbags placem_collection'!AA65="","",'WetLitterbags placem_collection'!AA65)</f>
        <v>O</v>
      </c>
      <c r="AH504">
        <f>IF('WetLitterbags placem_collection'!AC65="","",'WetLitterbags placem_collection'!AC65)</f>
        <v>0</v>
      </c>
      <c r="AI504" s="237">
        <f>AVERAGE('WetLitterbags placem_collection'!S65,'WetLitterbags placem_collection'!U65)</f>
        <v>22.9</v>
      </c>
      <c r="AJ504">
        <f>AVERAGE('WetLitterbags placem_collection'!R65,'WetLitterbags placem_collection'!T65)</f>
        <v>28.25</v>
      </c>
      <c r="AK504">
        <f>INDEX(Coordinates!$B$2:$B$197,MATCH(H504,Coordinates!$J$2:$J$197,0))</f>
        <v>-3.406334035</v>
      </c>
      <c r="AL504">
        <f>INDEX(Coordinates!$C$2:$C$197,MATCH(H504,Coordinates!$J$2:$J$197,0))</f>
        <v>34.851172030000001</v>
      </c>
      <c r="AM504" t="str">
        <f>IF(ISNUMBER(SEARCH("C", 'WetLitterbags placem_collection'!$X65)),"YES","NO")</f>
        <v>NO</v>
      </c>
      <c r="AN504" t="str">
        <f>IF(ISNUMBER(SEARCH("H", 'WetLitterbags placem_collection'!$X65)),"YES","NO")</f>
        <v>NO</v>
      </c>
      <c r="AO504" t="str">
        <f>IF(ISNUMBER(SEARCH("R", 'WetLitterbags placem_collection'!$X65)),"YES","NO")</f>
        <v>YES</v>
      </c>
    </row>
    <row r="505" spans="1:41" ht="15" customHeight="1">
      <c r="A505" s="255" t="s">
        <v>2454</v>
      </c>
      <c r="B505" s="260">
        <f>'Dry_Litterbag Placem_Collection'!A66</f>
        <v>64</v>
      </c>
      <c r="C505" s="260" t="str">
        <f>'Dry_Litterbag Placem_Collection'!B66</f>
        <v>Makao</v>
      </c>
      <c r="D505" s="260" t="s">
        <v>2643</v>
      </c>
      <c r="E505" s="260" t="s">
        <v>20</v>
      </c>
      <c r="F505" s="260">
        <v>4</v>
      </c>
      <c r="G505" s="260" t="s">
        <v>3809</v>
      </c>
      <c r="H505" s="261" t="str">
        <f>'Dry_Litterbag Placem_Collection'!C66</f>
        <v>Dry_P4_T8</v>
      </c>
      <c r="I505" s="270" t="s">
        <v>3630</v>
      </c>
      <c r="J505" s="263" t="s">
        <v>1147</v>
      </c>
      <c r="K505" s="221" t="str">
        <f>'WetLitterbags placem_collection'!O66</f>
        <v>G673</v>
      </c>
      <c r="L505" s="223">
        <f>IFERROR(INDEX('Green_rooibos initial weight'!$C$5:$C$2000,MATCH(K505, 'Green_rooibos initial weight'!$A$5:$A$2000,0)),"")</f>
        <v>2.1160000000000001</v>
      </c>
      <c r="M505" s="223">
        <f>IFERROR(L505-(TBIcalc!$H$9+TBIcalc!$H$10),"")</f>
        <v>1.8662000000000001</v>
      </c>
      <c r="N505" s="385">
        <f>AVERAGE(Ashed_controlls!$K$2:$K$11)</f>
        <v>5.5147656768714146</v>
      </c>
      <c r="O505" s="223">
        <f t="shared" si="36"/>
        <v>1.7632834429382258</v>
      </c>
      <c r="P505" s="223">
        <f>IFERROR(INDEX('Both teabags AfterWet'!$C$3:$C$840,MATCH(K505,'Both teabags AfterWet'!$A$3:$A$840,0)),"")</f>
        <v>1.0449999999999999</v>
      </c>
      <c r="Q505" s="223">
        <f>IFERROR(IF(P505&gt;0,P505-(TBIcalc!$H$9),""),"")</f>
        <v>0.89439999999999986</v>
      </c>
      <c r="R505" s="223">
        <f>IFERROR(INDEX('Ashed teabags wet'!$K$2:$K$2000,MATCH(K505,'Ashed teabags wet'!$A$2:$A$2000,0)),"")</f>
        <v>23.760932944607156</v>
      </c>
      <c r="S505" s="223">
        <f t="shared" si="37"/>
        <v>0.68188221574343344</v>
      </c>
      <c r="T505" s="224">
        <f>'WetLitterbags placem_collection'!E66</f>
        <v>42766</v>
      </c>
      <c r="U505" s="224">
        <f>IF('WetLitterbags placem_collection'!G66="","",'WetLitterbags placem_collection'!G66)</f>
        <v>42820</v>
      </c>
      <c r="V505" s="225">
        <f t="shared" si="35"/>
        <v>54</v>
      </c>
      <c r="W505" s="223">
        <f t="shared" si="38"/>
        <v>0.97180000000000022</v>
      </c>
      <c r="X505" s="223">
        <f t="shared" si="39"/>
        <v>1.0814012271947924</v>
      </c>
      <c r="Y505">
        <f>IFERROR(INDEX(Rainfall_Wet!$O$2:$O$217,MATCH(B505, Rainfall_Wet!$A$2:$A$217,0)),"")</f>
        <v>214.262898705</v>
      </c>
      <c r="Z505" s="228">
        <v>25.96</v>
      </c>
      <c r="AA505" s="228">
        <v>6.9200000000000008</v>
      </c>
      <c r="AB505" s="228">
        <v>67.12</v>
      </c>
      <c r="AC505" s="229" t="s">
        <v>2654</v>
      </c>
      <c r="AD505" s="228">
        <v>1.7568260226712666</v>
      </c>
      <c r="AE505">
        <f>IF('WetLitterbags placem_collection'!AB66="","",'WetLitterbags placem_collection'!AB66)</f>
        <v>3</v>
      </c>
      <c r="AF505">
        <f>IF('WetLitterbags placem_collection'!Z66="","",'WetLitterbags placem_collection'!Z66)</f>
        <v>22.8</v>
      </c>
      <c r="AG505" s="243" t="str">
        <f>IF('WetLitterbags placem_collection'!AA66="","",'WetLitterbags placem_collection'!AA66)</f>
        <v>O</v>
      </c>
      <c r="AH505">
        <f>IF('WetLitterbags placem_collection'!AC66="","",'WetLitterbags placem_collection'!AC66)</f>
        <v>1</v>
      </c>
      <c r="AI505" s="237">
        <f>AVERAGE('WetLitterbags placem_collection'!S66,'WetLitterbags placem_collection'!U66)</f>
        <v>34.6</v>
      </c>
      <c r="AJ505">
        <f>AVERAGE('WetLitterbags placem_collection'!R66,'WetLitterbags placem_collection'!T66)</f>
        <v>22.7</v>
      </c>
      <c r="AK505">
        <f>INDEX(Coordinates!$B$2:$B$197,MATCH(H505,Coordinates!$J$2:$J$197,0))</f>
        <v>-3.4063409920000001</v>
      </c>
      <c r="AL505">
        <f>INDEX(Coordinates!$C$2:$C$197,MATCH(H505,Coordinates!$J$2:$J$197,0))</f>
        <v>34.85126004</v>
      </c>
      <c r="AM505" t="str">
        <f>IF(ISNUMBER(SEARCH("C", 'WetLitterbags placem_collection'!$X66)),"YES","NO")</f>
        <v>NO</v>
      </c>
      <c r="AN505" t="str">
        <f>IF(ISNUMBER(SEARCH("H", 'WetLitterbags placem_collection'!$X66)),"YES","NO")</f>
        <v>NO</v>
      </c>
      <c r="AO505" t="str">
        <f>IF(ISNUMBER(SEARCH("R", 'WetLitterbags placem_collection'!$X66)),"YES","NO")</f>
        <v>NO</v>
      </c>
    </row>
    <row r="506" spans="1:41" ht="15" customHeight="1">
      <c r="A506" s="255" t="s">
        <v>2454</v>
      </c>
      <c r="B506" s="260">
        <f>'Dry_Litterbag Placem_Collection'!A67</f>
        <v>65</v>
      </c>
      <c r="C506" s="260" t="str">
        <f>'Dry_Litterbag Placem_Collection'!B67</f>
        <v>Maswa</v>
      </c>
      <c r="D506" s="260" t="s">
        <v>2643</v>
      </c>
      <c r="E506" s="260" t="s">
        <v>2645</v>
      </c>
      <c r="F506" s="260">
        <v>1</v>
      </c>
      <c r="G506" s="260" t="s">
        <v>3810</v>
      </c>
      <c r="H506" s="261" t="str">
        <f>'Dry_Litterbag Placem_Collection'!C67</f>
        <v>Dry_W1_T1</v>
      </c>
      <c r="I506" s="270" t="s">
        <v>3630</v>
      </c>
      <c r="J506" s="263" t="s">
        <v>1147</v>
      </c>
      <c r="K506" s="221" t="str">
        <f>'WetLitterbags placem_collection'!O67</f>
        <v>G700</v>
      </c>
      <c r="L506" s="223">
        <f>IFERROR(INDEX('Green_rooibos initial weight'!$C$5:$C$2000,MATCH(K506, 'Green_rooibos initial weight'!$A$5:$A$2000,0)),"")</f>
        <v>2.0190000000000001</v>
      </c>
      <c r="M506" s="223">
        <f>IFERROR(L506-(TBIcalc!$H$9+TBIcalc!$H$10),"")</f>
        <v>1.7692000000000001</v>
      </c>
      <c r="N506" s="385">
        <f>AVERAGE(Ashed_controlls!$K$2:$K$11)</f>
        <v>5.5147656768714146</v>
      </c>
      <c r="O506" s="223">
        <f t="shared" si="36"/>
        <v>1.6716327656447911</v>
      </c>
      <c r="P506" s="223">
        <f>IFERROR(INDEX('Both teabags AfterWet'!$C$3:$C$840,MATCH(K506,'Both teabags AfterWet'!$A$3:$A$840,0)),"")</f>
        <v>0.82299999999999995</v>
      </c>
      <c r="Q506" s="223">
        <f>IFERROR(IF(P506&gt;0,P506-(TBIcalc!$H$9),""),"")</f>
        <v>0.67239999999999989</v>
      </c>
      <c r="R506" s="223">
        <f>IFERROR(INDEX('Ashed teabags wet'!$K$2:$K$2000,MATCH(K506,'Ashed teabags wet'!$A$2:$A$2000,0)),"")</f>
        <v>15.626560159760119</v>
      </c>
      <c r="S506" s="223">
        <f t="shared" si="37"/>
        <v>0.56732700948577286</v>
      </c>
      <c r="T506" s="224">
        <f>'WetLitterbags placem_collection'!E67</f>
        <v>42767</v>
      </c>
      <c r="U506" s="224">
        <f>IF('WetLitterbags placem_collection'!G67="","",'WetLitterbags placem_collection'!G67)</f>
        <v>42818</v>
      </c>
      <c r="V506" s="225">
        <f t="shared" si="35"/>
        <v>51</v>
      </c>
      <c r="W506" s="223">
        <f t="shared" si="38"/>
        <v>1.0968000000000002</v>
      </c>
      <c r="X506" s="223">
        <f t="shared" si="39"/>
        <v>1.1043057561590182</v>
      </c>
      <c r="Y506">
        <f>IFERROR(INDEX(Rainfall_Wet!$O$2:$O$217,MATCH(B506, Rainfall_Wet!$A$2:$A$217,0)),"")</f>
        <v>185.630065823</v>
      </c>
      <c r="Z506" s="228">
        <v>47.96</v>
      </c>
      <c r="AA506" s="228">
        <v>22.919999999999995</v>
      </c>
      <c r="AB506" s="228">
        <v>29.120000000000012</v>
      </c>
      <c r="AC506" s="229" t="s">
        <v>2657</v>
      </c>
      <c r="AD506" s="228">
        <v>2.8831936914736325</v>
      </c>
      <c r="AE506">
        <f>IF('WetLitterbags placem_collection'!AB67="","",'WetLitterbags placem_collection'!AB67)</f>
        <v>13.8</v>
      </c>
      <c r="AF506">
        <f>IF('WetLitterbags placem_collection'!Z67="","",'WetLitterbags placem_collection'!Z67)</f>
        <v>13.8</v>
      </c>
      <c r="AG506" s="243" t="str">
        <f>IF('WetLitterbags placem_collection'!AA67="","",'WetLitterbags placem_collection'!AA67)</f>
        <v>O</v>
      </c>
      <c r="AH506">
        <f>IF('WetLitterbags placem_collection'!AC67="","",'WetLitterbags placem_collection'!AC67)</f>
        <v>1</v>
      </c>
      <c r="AI506" s="237">
        <f>AVERAGE('WetLitterbags placem_collection'!S67,'WetLitterbags placem_collection'!U67)</f>
        <v>32.299999999999997</v>
      </c>
      <c r="AJ506">
        <f>AVERAGE('WetLitterbags placem_collection'!R67,'WetLitterbags placem_collection'!T67)</f>
        <v>22.75</v>
      </c>
      <c r="AK506">
        <f>INDEX(Coordinates!$B$2:$B$197,MATCH(H506,Coordinates!$J$2:$J$197,0))</f>
        <v>-3.2993960379999998</v>
      </c>
      <c r="AL506">
        <f>INDEX(Coordinates!$C$2:$C$197,MATCH(H506,Coordinates!$J$2:$J$197,0))</f>
        <v>34.848240959999998</v>
      </c>
      <c r="AM506" t="str">
        <f>IF(ISNUMBER(SEARCH("C", 'WetLitterbags placem_collection'!$X67)),"YES","NO")</f>
        <v>NO</v>
      </c>
      <c r="AN506" t="str">
        <f>IF(ISNUMBER(SEARCH("H", 'WetLitterbags placem_collection'!$X67)),"YES","NO")</f>
        <v>NO</v>
      </c>
      <c r="AO506" t="str">
        <f>IF(ISNUMBER(SEARCH("R", 'WetLitterbags placem_collection'!$X67)),"YES","NO")</f>
        <v>YES</v>
      </c>
    </row>
    <row r="507" spans="1:41" ht="15" customHeight="1">
      <c r="A507" s="255" t="s">
        <v>2454</v>
      </c>
      <c r="B507" s="260">
        <f>'Dry_Litterbag Placem_Collection'!A68</f>
        <v>66</v>
      </c>
      <c r="C507" s="260" t="str">
        <f>'Dry_Litterbag Placem_Collection'!B68</f>
        <v>Maswa</v>
      </c>
      <c r="D507" s="260" t="s">
        <v>2643</v>
      </c>
      <c r="E507" s="260" t="s">
        <v>2645</v>
      </c>
      <c r="F507" s="260">
        <v>1</v>
      </c>
      <c r="G507" s="260" t="s">
        <v>3810</v>
      </c>
      <c r="H507" s="261" t="str">
        <f>'Dry_Litterbag Placem_Collection'!C68</f>
        <v>Dry_W1_T2</v>
      </c>
      <c r="I507" s="270" t="s">
        <v>3630</v>
      </c>
      <c r="J507" s="263" t="s">
        <v>1147</v>
      </c>
      <c r="K507" s="221" t="str">
        <f>'WetLitterbags placem_collection'!O68</f>
        <v>G760</v>
      </c>
      <c r="L507" s="223">
        <f>IFERROR(INDEX('Green_rooibos initial weight'!$C$5:$C$2000,MATCH(K507, 'Green_rooibos initial weight'!$A$5:$A$2000,0)),"")</f>
        <v>1.948</v>
      </c>
      <c r="M507" s="223">
        <f>IFERROR(L507-(TBIcalc!$H$9+TBIcalc!$H$10),"")</f>
        <v>1.6981999999999999</v>
      </c>
      <c r="N507" s="385">
        <f>AVERAGE(Ashed_controlls!$K$2:$K$11)</f>
        <v>5.5147656768714146</v>
      </c>
      <c r="O507" s="223">
        <f t="shared" si="36"/>
        <v>1.6045482492753695</v>
      </c>
      <c r="P507" s="223">
        <f>IFERROR(INDEX('Both teabags AfterWet'!$C$3:$C$840,MATCH(K507,'Both teabags AfterWet'!$A$3:$A$840,0)),"")</f>
        <v>0.93500000000000005</v>
      </c>
      <c r="Q507" s="223">
        <f>IFERROR(IF(P507&gt;0,P507-(TBIcalc!$H$9),""),"")</f>
        <v>0.78439999999999999</v>
      </c>
      <c r="R507" s="223">
        <f>IFERROR(INDEX('Ashed teabags wet'!$K$2:$K$2000,MATCH(K507,'Ashed teabags wet'!$A$2:$A$2000,0)),"")</f>
        <v>12.432959531935326</v>
      </c>
      <c r="S507" s="223">
        <f t="shared" si="37"/>
        <v>0.68687586543149926</v>
      </c>
      <c r="T507" s="224">
        <f>'WetLitterbags placem_collection'!E68</f>
        <v>42767</v>
      </c>
      <c r="U507" s="224">
        <f>IF('WetLitterbags placem_collection'!G68="","",'WetLitterbags placem_collection'!G68)</f>
        <v>42818</v>
      </c>
      <c r="V507" s="225">
        <f t="shared" si="35"/>
        <v>51</v>
      </c>
      <c r="W507" s="223">
        <f t="shared" si="38"/>
        <v>0.91379999999999995</v>
      </c>
      <c r="X507" s="223">
        <f t="shared" si="39"/>
        <v>0.91767238384387029</v>
      </c>
      <c r="Y507">
        <f>IFERROR(INDEX(Rainfall_Wet!$O$2:$O$217,MATCH(B507, Rainfall_Wet!$A$2:$A$217,0)),"")</f>
        <v>185.630065823</v>
      </c>
      <c r="Z507" s="228">
        <v>47.96</v>
      </c>
      <c r="AA507" s="228">
        <v>22.919999999999995</v>
      </c>
      <c r="AB507" s="228">
        <v>29.120000000000012</v>
      </c>
      <c r="AC507" s="229" t="s">
        <v>2657</v>
      </c>
      <c r="AD507" s="228">
        <v>3.8831936914736298</v>
      </c>
      <c r="AE507">
        <f>IF('WetLitterbags placem_collection'!AB68="","",'WetLitterbags placem_collection'!AB68)</f>
        <v>8</v>
      </c>
      <c r="AF507">
        <f>IF('WetLitterbags placem_collection'!Z68="","",'WetLitterbags placem_collection'!Z68)</f>
        <v>19.8</v>
      </c>
      <c r="AG507" s="243" t="str">
        <f>IF('WetLitterbags placem_collection'!AA68="","",'WetLitterbags placem_collection'!AA68)</f>
        <v>O</v>
      </c>
      <c r="AH507">
        <f>IF('WetLitterbags placem_collection'!AC68="","",'WetLitterbags placem_collection'!AC68)</f>
        <v>1</v>
      </c>
      <c r="AI507" s="237">
        <f>AVERAGE('WetLitterbags placem_collection'!S68,'WetLitterbags placem_collection'!U68)</f>
        <v>30.6</v>
      </c>
      <c r="AJ507">
        <f>AVERAGE('WetLitterbags placem_collection'!R68,'WetLitterbags placem_collection'!T68)</f>
        <v>21.95</v>
      </c>
      <c r="AK507">
        <f>INDEX(Coordinates!$B$2:$B$197,MATCH(H507,Coordinates!$J$2:$J$197,0))</f>
        <v>-3.2993090340000002</v>
      </c>
      <c r="AL507">
        <f>INDEX(Coordinates!$C$2:$C$197,MATCH(H507,Coordinates!$J$2:$J$197,0))</f>
        <v>34.848404989999999</v>
      </c>
      <c r="AM507" t="str">
        <f>IF(ISNUMBER(SEARCH("C", 'WetLitterbags placem_collection'!$X68)),"YES","NO")</f>
        <v>NO</v>
      </c>
      <c r="AN507" t="str">
        <f>IF(ISNUMBER(SEARCH("H", 'WetLitterbags placem_collection'!$X68)),"YES","NO")</f>
        <v>NO</v>
      </c>
      <c r="AO507" t="str">
        <f>IF(ISNUMBER(SEARCH("R", 'WetLitterbags placem_collection'!$X68)),"YES","NO")</f>
        <v>YES</v>
      </c>
    </row>
    <row r="508" spans="1:41" ht="15" customHeight="1">
      <c r="A508" s="255" t="s">
        <v>2454</v>
      </c>
      <c r="B508" s="260">
        <f>'Dry_Litterbag Placem_Collection'!A69</f>
        <v>67</v>
      </c>
      <c r="C508" s="260" t="str">
        <f>'Dry_Litterbag Placem_Collection'!B69</f>
        <v>Maswa</v>
      </c>
      <c r="D508" s="260" t="s">
        <v>2643</v>
      </c>
      <c r="E508" s="260" t="s">
        <v>2645</v>
      </c>
      <c r="F508" s="260">
        <v>1</v>
      </c>
      <c r="G508" s="260" t="s">
        <v>3810</v>
      </c>
      <c r="H508" s="261" t="str">
        <f>'Dry_Litterbag Placem_Collection'!C69</f>
        <v>Dry_W1_T3</v>
      </c>
      <c r="I508" s="270" t="s">
        <v>3630</v>
      </c>
      <c r="J508" s="263" t="s">
        <v>1147</v>
      </c>
      <c r="K508" s="221" t="str">
        <f>'WetLitterbags placem_collection'!O69</f>
        <v>G660</v>
      </c>
      <c r="L508" s="223">
        <f>IFERROR(INDEX('Green_rooibos initial weight'!$C$5:$C$2000,MATCH(K508, 'Green_rooibos initial weight'!$A$5:$A$2000,0)),"")</f>
        <v>2.0339999999999998</v>
      </c>
      <c r="M508" s="223">
        <f>IFERROR(L508-(TBIcalc!$H$9+TBIcalc!$H$10),"")</f>
        <v>1.7841999999999998</v>
      </c>
      <c r="N508" s="385">
        <f>AVERAGE(Ashed_controlls!$K$2:$K$11)</f>
        <v>5.5147656768714146</v>
      </c>
      <c r="O508" s="223">
        <f t="shared" si="36"/>
        <v>1.6858055507932601</v>
      </c>
      <c r="P508" s="223">
        <f>IFERROR(INDEX('Both teabags AfterWet'!$C$3:$C$840,MATCH(K508,'Both teabags AfterWet'!$A$3:$A$840,0)),"")</f>
        <v>0.92510000000000003</v>
      </c>
      <c r="Q508" s="223">
        <f>IFERROR(IF(P508&gt;0,P508-(TBIcalc!$H$9),""),"")</f>
        <v>0.77449999999999997</v>
      </c>
      <c r="R508" s="223">
        <f>IFERROR(INDEX('Ashed teabags wet'!$K$2:$K$2000,MATCH(K508,'Ashed teabags wet'!$A$2:$A$2000,0)),"")</f>
        <v>10.402684563757722</v>
      </c>
      <c r="S508" s="223">
        <f t="shared" si="37"/>
        <v>0.69393120805369646</v>
      </c>
      <c r="T508" s="224">
        <f>'WetLitterbags placem_collection'!E69</f>
        <v>42767</v>
      </c>
      <c r="U508" s="224">
        <f>IF('WetLitterbags placem_collection'!G69="","",'WetLitterbags placem_collection'!G69)</f>
        <v>42818</v>
      </c>
      <c r="V508" s="225">
        <f t="shared" si="35"/>
        <v>51</v>
      </c>
      <c r="W508" s="223">
        <f t="shared" si="38"/>
        <v>1.0096999999999998</v>
      </c>
      <c r="X508" s="223">
        <f t="shared" si="39"/>
        <v>0.99187434273956365</v>
      </c>
      <c r="Y508">
        <f>IFERROR(INDEX(Rainfall_Wet!$O$2:$O$217,MATCH(B508, Rainfall_Wet!$A$2:$A$217,0)),"")</f>
        <v>185.630065823</v>
      </c>
      <c r="Z508" s="228">
        <v>47.96</v>
      </c>
      <c r="AA508" s="228">
        <v>22.919999999999995</v>
      </c>
      <c r="AB508" s="228">
        <v>29.120000000000012</v>
      </c>
      <c r="AC508" s="229" t="s">
        <v>2657</v>
      </c>
      <c r="AD508" s="228">
        <v>4.8831936914736298</v>
      </c>
      <c r="AE508">
        <f>IF('WetLitterbags placem_collection'!AB69="","",'WetLitterbags placem_collection'!AB69)</f>
        <v>5.5</v>
      </c>
      <c r="AF508">
        <f>IF('WetLitterbags placem_collection'!Z69="","",'WetLitterbags placem_collection'!Z69)</f>
        <v>5.5</v>
      </c>
      <c r="AG508" s="243" t="str">
        <f>IF('WetLitterbags placem_collection'!AA69="","",'WetLitterbags placem_collection'!AA69)</f>
        <v>O</v>
      </c>
      <c r="AH508">
        <f>IF('WetLitterbags placem_collection'!AC69="","",'WetLitterbags placem_collection'!AC69)</f>
        <v>1</v>
      </c>
      <c r="AI508" s="237">
        <f>AVERAGE('WetLitterbags placem_collection'!S69,'WetLitterbags placem_collection'!U69)</f>
        <v>29.9</v>
      </c>
      <c r="AJ508">
        <f>AVERAGE('WetLitterbags placem_collection'!R69,'WetLitterbags placem_collection'!T69)</f>
        <v>20.7</v>
      </c>
      <c r="AK508">
        <f>INDEX(Coordinates!$B$2:$B$197,MATCH(H508,Coordinates!$J$2:$J$197,0))</f>
        <v>-3.299434008</v>
      </c>
      <c r="AL508">
        <f>INDEX(Coordinates!$C$2:$C$197,MATCH(H508,Coordinates!$J$2:$J$197,0))</f>
        <v>34.848514960000003</v>
      </c>
      <c r="AM508" t="str">
        <f>IF(ISNUMBER(SEARCH("C", 'WetLitterbags placem_collection'!$X69)),"YES","NO")</f>
        <v>NO</v>
      </c>
      <c r="AN508" t="str">
        <f>IF(ISNUMBER(SEARCH("H", 'WetLitterbags placem_collection'!$X69)),"YES","NO")</f>
        <v>NO</v>
      </c>
      <c r="AO508" t="str">
        <f>IF(ISNUMBER(SEARCH("R", 'WetLitterbags placem_collection'!$X69)),"YES","NO")</f>
        <v>YES</v>
      </c>
    </row>
    <row r="509" spans="1:41" ht="15" customHeight="1">
      <c r="A509" s="255" t="s">
        <v>2454</v>
      </c>
      <c r="B509" s="260">
        <f>'Dry_Litterbag Placem_Collection'!A70</f>
        <v>68</v>
      </c>
      <c r="C509" s="260" t="str">
        <f>'Dry_Litterbag Placem_Collection'!B70</f>
        <v>Maswa</v>
      </c>
      <c r="D509" s="260" t="s">
        <v>2643</v>
      </c>
      <c r="E509" s="260" t="s">
        <v>2645</v>
      </c>
      <c r="F509" s="260">
        <v>1</v>
      </c>
      <c r="G509" s="260" t="s">
        <v>3810</v>
      </c>
      <c r="H509" s="261" t="str">
        <f>'Dry_Litterbag Placem_Collection'!C70</f>
        <v>Dry_W1_T4</v>
      </c>
      <c r="I509" s="270" t="s">
        <v>3630</v>
      </c>
      <c r="J509" s="263" t="s">
        <v>1147</v>
      </c>
      <c r="K509" s="221" t="str">
        <f>'WetLitterbags placem_collection'!O70</f>
        <v>G477</v>
      </c>
      <c r="L509" s="223">
        <f>IFERROR(INDEX('Green_rooibos initial weight'!$C$5:$C$2000,MATCH(K509, 'Green_rooibos initial weight'!$A$5:$A$2000,0)),"")</f>
        <v>2.073</v>
      </c>
      <c r="M509" s="223">
        <f>IFERROR(L509-(TBIcalc!$H$9+TBIcalc!$H$10),"")</f>
        <v>1.8231999999999999</v>
      </c>
      <c r="N509" s="385">
        <f>AVERAGE(Ashed_controlls!$K$2:$K$11)</f>
        <v>5.5147656768714146</v>
      </c>
      <c r="O509" s="223">
        <f t="shared" si="36"/>
        <v>1.7226547921792803</v>
      </c>
      <c r="P509" s="223">
        <f>IFERROR(INDEX('Both teabags AfterWet'!$C$3:$C$840,MATCH(K509,'Both teabags AfterWet'!$A$3:$A$840,0)),"")</f>
        <v>0.90500000000000003</v>
      </c>
      <c r="Q509" s="223">
        <f>IFERROR(IF(P509&gt;0,P509-(TBIcalc!$H$9),""),"")</f>
        <v>0.75439999999999996</v>
      </c>
      <c r="R509" s="223">
        <f>IFERROR(INDEX('Ashed teabags wet'!$K$2:$K$2000,MATCH(K509,'Ashed teabags wet'!$A$2:$A$2000,0)),"")</f>
        <v>16.691358024691656</v>
      </c>
      <c r="S509" s="223">
        <f t="shared" si="37"/>
        <v>0.62848039506172615</v>
      </c>
      <c r="T509" s="224">
        <f>'WetLitterbags placem_collection'!E70</f>
        <v>42767</v>
      </c>
      <c r="U509" s="224">
        <f>IF('WetLitterbags placem_collection'!G70="","",'WetLitterbags placem_collection'!G70)</f>
        <v>42818</v>
      </c>
      <c r="V509" s="225">
        <f t="shared" si="35"/>
        <v>51</v>
      </c>
      <c r="W509" s="223">
        <f t="shared" si="38"/>
        <v>1.0688</v>
      </c>
      <c r="X509" s="223">
        <f t="shared" si="39"/>
        <v>1.0941743971175542</v>
      </c>
      <c r="Y509">
        <f>IFERROR(INDEX(Rainfall_Wet!$O$2:$O$217,MATCH(B509, Rainfall_Wet!$A$2:$A$217,0)),"")</f>
        <v>185.630065823</v>
      </c>
      <c r="Z509" s="228">
        <v>47.96</v>
      </c>
      <c r="AA509" s="228">
        <v>22.919999999999995</v>
      </c>
      <c r="AB509" s="228">
        <v>29.120000000000012</v>
      </c>
      <c r="AC509" s="229" t="s">
        <v>2657</v>
      </c>
      <c r="AD509" s="228">
        <v>5.8831936914736298</v>
      </c>
      <c r="AE509">
        <f>IF('WetLitterbags placem_collection'!AB70="","",'WetLitterbags placem_collection'!AB70)</f>
        <v>9.6999999999999993</v>
      </c>
      <c r="AF509">
        <f>IF('WetLitterbags placem_collection'!Z70="","",'WetLitterbags placem_collection'!Z70)</f>
        <v>23.4</v>
      </c>
      <c r="AG509" s="243" t="str">
        <f>IF('WetLitterbags placem_collection'!AA70="","",'WetLitterbags placem_collection'!AA70)</f>
        <v>O</v>
      </c>
      <c r="AH509">
        <f>IF('WetLitterbags placem_collection'!AC70="","",'WetLitterbags placem_collection'!AC70)</f>
        <v>1</v>
      </c>
      <c r="AI509" s="237">
        <f>AVERAGE('WetLitterbags placem_collection'!S70,'WetLitterbags placem_collection'!U70)</f>
        <v>29.85</v>
      </c>
      <c r="AJ509">
        <f>AVERAGE('WetLitterbags placem_collection'!R70,'WetLitterbags placem_collection'!T70)</f>
        <v>21.2</v>
      </c>
      <c r="AK509">
        <f>INDEX(Coordinates!$B$2:$B$197,MATCH(H509,Coordinates!$J$2:$J$197,0))</f>
        <v>-3.2991180099999999</v>
      </c>
      <c r="AL509">
        <f>INDEX(Coordinates!$C$2:$C$197,MATCH(H509,Coordinates!$J$2:$J$197,0))</f>
        <v>34.84824699</v>
      </c>
      <c r="AM509" t="str">
        <f>IF(ISNUMBER(SEARCH("C", 'WetLitterbags placem_collection'!$X70)),"YES","NO")</f>
        <v>NO</v>
      </c>
      <c r="AN509" t="str">
        <f>IF(ISNUMBER(SEARCH("H", 'WetLitterbags placem_collection'!$X70)),"YES","NO")</f>
        <v>NO</v>
      </c>
      <c r="AO509" t="str">
        <f>IF(ISNUMBER(SEARCH("R", 'WetLitterbags placem_collection'!$X70)),"YES","NO")</f>
        <v>YES</v>
      </c>
    </row>
    <row r="510" spans="1:41" ht="15" customHeight="1">
      <c r="A510" s="255" t="s">
        <v>2454</v>
      </c>
      <c r="B510" s="260">
        <f>'Dry_Litterbag Placem_Collection'!A71</f>
        <v>69</v>
      </c>
      <c r="C510" s="260" t="str">
        <f>'Dry_Litterbag Placem_Collection'!B71</f>
        <v>Maswa</v>
      </c>
      <c r="D510" s="260" t="s">
        <v>2643</v>
      </c>
      <c r="E510" s="260" t="s">
        <v>2645</v>
      </c>
      <c r="F510" s="260">
        <v>1</v>
      </c>
      <c r="G510" s="260" t="s">
        <v>3810</v>
      </c>
      <c r="H510" s="261" t="str">
        <f>'Dry_Litterbag Placem_Collection'!C71</f>
        <v>Dry_W1_T5</v>
      </c>
      <c r="I510" s="270" t="s">
        <v>3630</v>
      </c>
      <c r="J510" s="263" t="s">
        <v>1147</v>
      </c>
      <c r="K510" s="221" t="str">
        <f>'WetLitterbags placem_collection'!O71</f>
        <v>G386</v>
      </c>
      <c r="L510" s="223">
        <f>IFERROR(INDEX('Green_rooibos initial weight'!$C$5:$C$2000,MATCH(K510, 'Green_rooibos initial weight'!$A$5:$A$2000,0)),"")</f>
        <v>1.897</v>
      </c>
      <c r="M510" s="223">
        <f>IFERROR(L510-(TBIcalc!$H$9+TBIcalc!$H$10),"")</f>
        <v>1.6472</v>
      </c>
      <c r="N510" s="385">
        <f>AVERAGE(Ashed_controlls!$K$2:$K$11)</f>
        <v>5.5147656768714146</v>
      </c>
      <c r="O510" s="223">
        <f t="shared" si="36"/>
        <v>1.5563607797705741</v>
      </c>
      <c r="P510" s="223">
        <f>IFERROR(INDEX('Both teabags AfterWet'!$C$3:$C$840,MATCH(K510,'Both teabags AfterWet'!$A$3:$A$840,0)),"")</f>
        <v>0.98899999999999999</v>
      </c>
      <c r="Q510" s="223">
        <f>IFERROR(IF(P510&gt;0,P510-(TBIcalc!$H$9),""),"")</f>
        <v>0.83840000000000003</v>
      </c>
      <c r="R510" s="223">
        <f>IFERROR(INDEX('Ashed teabags wet'!$K$2:$K$2000,MATCH(K510,'Ashed teabags wet'!$A$2:$A$2000,0)),"")</f>
        <v>28.64945382323781</v>
      </c>
      <c r="S510" s="223">
        <f t="shared" si="37"/>
        <v>0.5982029791459742</v>
      </c>
      <c r="T510" s="224">
        <f>'WetLitterbags placem_collection'!E71</f>
        <v>42767</v>
      </c>
      <c r="U510" s="224">
        <f>IF('WetLitterbags placem_collection'!G71="","",'WetLitterbags placem_collection'!G71)</f>
        <v>42818</v>
      </c>
      <c r="V510" s="225">
        <f t="shared" si="35"/>
        <v>51</v>
      </c>
      <c r="W510" s="223">
        <f t="shared" si="38"/>
        <v>0.80879999999999996</v>
      </c>
      <c r="X510" s="223">
        <f t="shared" si="39"/>
        <v>0.95815780062459988</v>
      </c>
      <c r="Y510">
        <f>IFERROR(INDEX(Rainfall_Wet!$O$2:$O$217,MATCH(B510, Rainfall_Wet!$A$2:$A$217,0)),"")</f>
        <v>185.630065823</v>
      </c>
      <c r="Z510" s="228">
        <v>47.96</v>
      </c>
      <c r="AA510" s="228">
        <v>22.919999999999995</v>
      </c>
      <c r="AB510" s="228">
        <v>29.120000000000012</v>
      </c>
      <c r="AC510" s="229" t="s">
        <v>2657</v>
      </c>
      <c r="AD510" s="228">
        <v>6.8831936914736298</v>
      </c>
      <c r="AE510">
        <f>IF('WetLitterbags placem_collection'!AB71="","",'WetLitterbags placem_collection'!AB71)</f>
        <v>14.4</v>
      </c>
      <c r="AF510">
        <f>IF('WetLitterbags placem_collection'!Z71="","",'WetLitterbags placem_collection'!Z71)</f>
        <v>24.4</v>
      </c>
      <c r="AG510" s="243" t="str">
        <f>IF('WetLitterbags placem_collection'!AA71="","",'WetLitterbags placem_collection'!AA71)</f>
        <v>O</v>
      </c>
      <c r="AH510">
        <f>IF('WetLitterbags placem_collection'!AC71="","",'WetLitterbags placem_collection'!AC71)</f>
        <v>1</v>
      </c>
      <c r="AI510" s="237">
        <f>AVERAGE('WetLitterbags placem_collection'!S71,'WetLitterbags placem_collection'!U71)</f>
        <v>31.25</v>
      </c>
      <c r="AJ510">
        <f>AVERAGE('WetLitterbags placem_collection'!R71,'WetLitterbags placem_collection'!T71)</f>
        <v>23.450000000000003</v>
      </c>
      <c r="AK510">
        <f>INDEX(Coordinates!$B$2:$B$197,MATCH(H510,Coordinates!$J$2:$J$197,0))</f>
        <v>-3.2993180030000002</v>
      </c>
      <c r="AL510">
        <f>INDEX(Coordinates!$C$2:$C$197,MATCH(H510,Coordinates!$J$2:$J$197,0))</f>
        <v>34.848235010000003</v>
      </c>
      <c r="AM510" t="str">
        <f>IF(ISNUMBER(SEARCH("C", 'WetLitterbags placem_collection'!$X71)),"YES","NO")</f>
        <v>NO</v>
      </c>
      <c r="AN510" t="str">
        <f>IF(ISNUMBER(SEARCH("H", 'WetLitterbags placem_collection'!$X71)),"YES","NO")</f>
        <v>NO</v>
      </c>
      <c r="AO510" t="str">
        <f>IF(ISNUMBER(SEARCH("R", 'WetLitterbags placem_collection'!$X71)),"YES","NO")</f>
        <v>YES</v>
      </c>
    </row>
    <row r="511" spans="1:41" ht="15" customHeight="1">
      <c r="A511" s="255" t="s">
        <v>2454</v>
      </c>
      <c r="B511" s="260">
        <f>'Dry_Litterbag Placem_Collection'!A72</f>
        <v>70</v>
      </c>
      <c r="C511" s="260" t="str">
        <f>'Dry_Litterbag Placem_Collection'!B72</f>
        <v>Maswa</v>
      </c>
      <c r="D511" s="260" t="s">
        <v>2643</v>
      </c>
      <c r="E511" s="260" t="s">
        <v>2645</v>
      </c>
      <c r="F511" s="260">
        <v>1</v>
      </c>
      <c r="G511" s="260" t="s">
        <v>3810</v>
      </c>
      <c r="H511" s="261" t="str">
        <f>'Dry_Litterbag Placem_Collection'!C72</f>
        <v>Dry_W1_T6</v>
      </c>
      <c r="I511" s="270" t="s">
        <v>3630</v>
      </c>
      <c r="J511" s="263" t="s">
        <v>1147</v>
      </c>
      <c r="K511" s="221" t="str">
        <f>'WetLitterbags placem_collection'!O72</f>
        <v>G414</v>
      </c>
      <c r="L511" s="223">
        <f>IFERROR(INDEX('Green_rooibos initial weight'!$C$5:$C$2000,MATCH(K511, 'Green_rooibos initial weight'!$A$5:$A$2000,0)),"")</f>
        <v>2.0590000000000002</v>
      </c>
      <c r="M511" s="223">
        <f>IFERROR(L511-(TBIcalc!$H$9+TBIcalc!$H$10),"")</f>
        <v>1.8092000000000001</v>
      </c>
      <c r="N511" s="385">
        <f>AVERAGE(Ashed_controlls!$K$2:$K$11)</f>
        <v>5.5147656768714146</v>
      </c>
      <c r="O511" s="223">
        <f t="shared" si="36"/>
        <v>1.7094268593740425</v>
      </c>
      <c r="P511" s="223">
        <f>IFERROR(INDEX('Both teabags AfterWet'!$C$3:$C$840,MATCH(K511,'Both teabags AfterWet'!$A$3:$A$840,0)),"")</f>
        <v>0.84099999999999997</v>
      </c>
      <c r="Q511" s="223">
        <f>IFERROR(IF(P511&gt;0,P511-(TBIcalc!$H$9),""),"")</f>
        <v>0.6903999999999999</v>
      </c>
      <c r="R511" s="223">
        <f>IFERROR(INDEX('Ashed teabags wet'!$K$2:$K$2000,MATCH(K511,'Ashed teabags wet'!$A$2:$A$2000,0)),"")</f>
        <v>8.7493821057836652</v>
      </c>
      <c r="S511" s="223">
        <f t="shared" si="37"/>
        <v>0.62999426594166952</v>
      </c>
      <c r="T511" s="224">
        <f>'WetLitterbags placem_collection'!E72</f>
        <v>42767</v>
      </c>
      <c r="U511" s="224">
        <f>IF('WetLitterbags placem_collection'!G72="","",'WetLitterbags placem_collection'!G72)</f>
        <v>42818</v>
      </c>
      <c r="V511" s="225">
        <f t="shared" si="35"/>
        <v>51</v>
      </c>
      <c r="W511" s="223">
        <f t="shared" si="38"/>
        <v>1.1188000000000002</v>
      </c>
      <c r="X511" s="223">
        <f t="shared" si="39"/>
        <v>1.079432593432373</v>
      </c>
      <c r="Y511">
        <f>IFERROR(INDEX(Rainfall_Wet!$O$2:$O$217,MATCH(B511, Rainfall_Wet!$A$2:$A$217,0)),"")</f>
        <v>185.630065823</v>
      </c>
      <c r="Z511" s="228">
        <v>47.96</v>
      </c>
      <c r="AA511" s="228">
        <v>22.919999999999995</v>
      </c>
      <c r="AB511" s="228">
        <v>29.120000000000012</v>
      </c>
      <c r="AC511" s="229" t="s">
        <v>2657</v>
      </c>
      <c r="AD511" s="228">
        <v>7.8831936914736298</v>
      </c>
      <c r="AE511">
        <f>IF('WetLitterbags placem_collection'!AB72="","",'WetLitterbags placem_collection'!AB72)</f>
        <v>15</v>
      </c>
      <c r="AF511">
        <f>IF('WetLitterbags placem_collection'!Z72="","",'WetLitterbags placem_collection'!Z72)</f>
        <v>28</v>
      </c>
      <c r="AG511" s="243" t="str">
        <f>IF('WetLitterbags placem_collection'!AA72="","",'WetLitterbags placem_collection'!AA72)</f>
        <v>O</v>
      </c>
      <c r="AH511">
        <f>IF('WetLitterbags placem_collection'!AC72="","",'WetLitterbags placem_collection'!AC72)</f>
        <v>0</v>
      </c>
      <c r="AI511" s="237">
        <f>AVERAGE('WetLitterbags placem_collection'!S72,'WetLitterbags placem_collection'!U72)</f>
        <v>32.15</v>
      </c>
      <c r="AJ511">
        <f>AVERAGE('WetLitterbags placem_collection'!R72,'WetLitterbags placem_collection'!T72)</f>
        <v>23.7</v>
      </c>
      <c r="AK511">
        <f>INDEX(Coordinates!$B$2:$B$197,MATCH(H511,Coordinates!$J$2:$J$197,0))</f>
        <v>-3.299381034</v>
      </c>
      <c r="AL511">
        <f>INDEX(Coordinates!$C$2:$C$197,MATCH(H511,Coordinates!$J$2:$J$197,0))</f>
        <v>34.848312040000003</v>
      </c>
      <c r="AM511" t="str">
        <f>IF(ISNUMBER(SEARCH("C", 'WetLitterbags placem_collection'!$X72)),"YES","NO")</f>
        <v>NO</v>
      </c>
      <c r="AN511" t="str">
        <f>IF(ISNUMBER(SEARCH("H", 'WetLitterbags placem_collection'!$X72)),"YES","NO")</f>
        <v>NO</v>
      </c>
      <c r="AO511" t="str">
        <f>IF(ISNUMBER(SEARCH("R", 'WetLitterbags placem_collection'!$X72)),"YES","NO")</f>
        <v>YES</v>
      </c>
    </row>
    <row r="512" spans="1:41" ht="15" customHeight="1">
      <c r="A512" s="255" t="s">
        <v>2454</v>
      </c>
      <c r="B512" s="260">
        <f>'Dry_Litterbag Placem_Collection'!A73</f>
        <v>71</v>
      </c>
      <c r="C512" s="260" t="str">
        <f>'Dry_Litterbag Placem_Collection'!B73</f>
        <v>Maswa</v>
      </c>
      <c r="D512" s="260" t="s">
        <v>2643</v>
      </c>
      <c r="E512" s="260" t="s">
        <v>2645</v>
      </c>
      <c r="F512" s="260">
        <v>1</v>
      </c>
      <c r="G512" s="260" t="s">
        <v>3810</v>
      </c>
      <c r="H512" s="261" t="str">
        <f>'Dry_Litterbag Placem_Collection'!C73</f>
        <v>Dry_W1_T7</v>
      </c>
      <c r="I512" s="270" t="s">
        <v>3630</v>
      </c>
      <c r="J512" s="263" t="s">
        <v>1147</v>
      </c>
      <c r="K512" s="221" t="str">
        <f>'WetLitterbags placem_collection'!O73</f>
        <v>G459</v>
      </c>
      <c r="L512" s="223">
        <f>IFERROR(INDEX('Green_rooibos initial weight'!$C$5:$C$2000,MATCH(K512, 'Green_rooibos initial weight'!$A$5:$A$2000,0)),"")</f>
        <v>2.0449999999999999</v>
      </c>
      <c r="M512" s="223">
        <f>IFERROR(L512-(TBIcalc!$H$9+TBIcalc!$H$10),"")</f>
        <v>1.7951999999999999</v>
      </c>
      <c r="N512" s="385">
        <f>AVERAGE(Ashed_controlls!$K$2:$K$11)</f>
        <v>5.5147656768714146</v>
      </c>
      <c r="O512" s="223">
        <f t="shared" si="36"/>
        <v>1.6961989265688042</v>
      </c>
      <c r="P512" s="223">
        <f>IFERROR(INDEX('Both teabags AfterWet'!$C$3:$C$840,MATCH(K512,'Both teabags AfterWet'!$A$3:$A$840,0)),"")</f>
        <v>0.89149999999999996</v>
      </c>
      <c r="Q512" s="223">
        <f>IFERROR(IF(P512&gt;0,P512-(TBIcalc!$H$9),""),"")</f>
        <v>0.74089999999999989</v>
      </c>
      <c r="R512" s="223">
        <f>IFERROR(INDEX('Ashed teabags wet'!$K$2:$K$2000,MATCH(K512,'Ashed teabags wet'!$A$2:$A$2000,0)),"")</f>
        <v>7.7519379844959557</v>
      </c>
      <c r="S512" s="223">
        <f t="shared" si="37"/>
        <v>0.6834658914728694</v>
      </c>
      <c r="T512" s="224">
        <f>'WetLitterbags placem_collection'!E73</f>
        <v>42767</v>
      </c>
      <c r="U512" s="224">
        <f>IF('WetLitterbags placem_collection'!G73="","",'WetLitterbags placem_collection'!G73)</f>
        <v>42818</v>
      </c>
      <c r="V512" s="225">
        <f t="shared" si="35"/>
        <v>51</v>
      </c>
      <c r="W512" s="223">
        <f t="shared" si="38"/>
        <v>1.0543</v>
      </c>
      <c r="X512" s="223">
        <f t="shared" si="39"/>
        <v>1.0127330350959349</v>
      </c>
      <c r="Y512">
        <f>IFERROR(INDEX(Rainfall_Wet!$O$2:$O$217,MATCH(B512, Rainfall_Wet!$A$2:$A$217,0)),"")</f>
        <v>185.630065823</v>
      </c>
      <c r="Z512" s="228">
        <v>47.96</v>
      </c>
      <c r="AA512" s="228">
        <v>22.919999999999995</v>
      </c>
      <c r="AB512" s="228">
        <v>29.120000000000012</v>
      </c>
      <c r="AC512" s="229" t="s">
        <v>2657</v>
      </c>
      <c r="AD512" s="228">
        <v>8.8831936914736307</v>
      </c>
      <c r="AE512">
        <f>IF('WetLitterbags placem_collection'!AB73="","",'WetLitterbags placem_collection'!AB73)</f>
        <v>15.5</v>
      </c>
      <c r="AF512">
        <f>IF('WetLitterbags placem_collection'!Z73="","",'WetLitterbags placem_collection'!Z73)</f>
        <v>32</v>
      </c>
      <c r="AG512" s="243" t="str">
        <f>IF('WetLitterbags placem_collection'!AA73="","",'WetLitterbags placem_collection'!AA73)</f>
        <v>O</v>
      </c>
      <c r="AH512">
        <f>IF('WetLitterbags placem_collection'!AC73="","",'WetLitterbags placem_collection'!AC73)</f>
        <v>1</v>
      </c>
      <c r="AI512" s="237">
        <f>AVERAGE('WetLitterbags placem_collection'!S73,'WetLitterbags placem_collection'!U73)</f>
        <v>29.35</v>
      </c>
      <c r="AJ512">
        <f>AVERAGE('WetLitterbags placem_collection'!R73,'WetLitterbags placem_collection'!T73)</f>
        <v>21.95</v>
      </c>
      <c r="AK512">
        <f>INDEX(Coordinates!$B$2:$B$197,MATCH(H512,Coordinates!$J$2:$J$197,0))</f>
        <v>-3.2992429849999998</v>
      </c>
      <c r="AL512">
        <f>INDEX(Coordinates!$C$2:$C$197,MATCH(H512,Coordinates!$J$2:$J$197,0))</f>
        <v>34.847900989999999</v>
      </c>
      <c r="AM512" t="str">
        <f>IF(ISNUMBER(SEARCH("C", 'WetLitterbags placem_collection'!$X73)),"YES","NO")</f>
        <v>NO</v>
      </c>
      <c r="AN512" t="str">
        <f>IF(ISNUMBER(SEARCH("H", 'WetLitterbags placem_collection'!$X73)),"YES","NO")</f>
        <v>NO</v>
      </c>
      <c r="AO512" t="str">
        <f>IF(ISNUMBER(SEARCH("R", 'WetLitterbags placem_collection'!$X73)),"YES","NO")</f>
        <v>YES</v>
      </c>
    </row>
    <row r="513" spans="1:41" ht="15" customHeight="1">
      <c r="A513" s="255" t="s">
        <v>2454</v>
      </c>
      <c r="B513" s="260">
        <f>'Dry_Litterbag Placem_Collection'!A74</f>
        <v>72</v>
      </c>
      <c r="C513" s="260" t="str">
        <f>'Dry_Litterbag Placem_Collection'!B74</f>
        <v>Maswa</v>
      </c>
      <c r="D513" s="260" t="s">
        <v>2643</v>
      </c>
      <c r="E513" s="260" t="s">
        <v>2645</v>
      </c>
      <c r="F513" s="260">
        <v>1</v>
      </c>
      <c r="G513" s="260" t="s">
        <v>3810</v>
      </c>
      <c r="H513" s="261" t="str">
        <f>'Dry_Litterbag Placem_Collection'!C74</f>
        <v>Dry_W1_T8</v>
      </c>
      <c r="I513" s="270" t="s">
        <v>3630</v>
      </c>
      <c r="J513" s="263" t="s">
        <v>1147</v>
      </c>
      <c r="K513" s="221" t="str">
        <f>'WetLitterbags placem_collection'!O74</f>
        <v>G627</v>
      </c>
      <c r="L513" s="223">
        <f>IFERROR(INDEX('Green_rooibos initial weight'!$C$5:$C$2000,MATCH(K513, 'Green_rooibos initial weight'!$A$5:$A$2000,0)),"")</f>
        <v>2.153</v>
      </c>
      <c r="M513" s="223">
        <f>IFERROR(L513-(TBIcalc!$H$9+TBIcalc!$H$10),"")</f>
        <v>1.9032</v>
      </c>
      <c r="N513" s="385">
        <f>AVERAGE(Ashed_controlls!$K$2:$K$11)</f>
        <v>5.5147656768714146</v>
      </c>
      <c r="O513" s="223">
        <f t="shared" si="36"/>
        <v>1.7982429796377832</v>
      </c>
      <c r="P513" s="223">
        <f>IFERROR(INDEX('Both teabags AfterWet'!$C$3:$C$840,MATCH(K513,'Both teabags AfterWet'!$A$3:$A$840,0)),"")</f>
        <v>0.86350000000000005</v>
      </c>
      <c r="Q513" s="223">
        <f>IFERROR(IF(P513&gt;0,P513-(TBIcalc!$H$9),""),"")</f>
        <v>0.71290000000000009</v>
      </c>
      <c r="R513" s="223">
        <f>IFERROR(INDEX('Ashed teabags wet'!$K$2:$K$2000,MATCH(K513,'Ashed teabags wet'!$A$2:$A$2000,0)),"")</f>
        <v>8.0899952130205044</v>
      </c>
      <c r="S513" s="223">
        <f t="shared" si="37"/>
        <v>0.65522642412637688</v>
      </c>
      <c r="T513" s="224">
        <f>'WetLitterbags placem_collection'!E74</f>
        <v>42767</v>
      </c>
      <c r="U513" s="224">
        <f>IF('WetLitterbags placem_collection'!G74="","",'WetLitterbags placem_collection'!G74)</f>
        <v>42818</v>
      </c>
      <c r="V513" s="225">
        <f t="shared" si="35"/>
        <v>51</v>
      </c>
      <c r="W513" s="223">
        <f t="shared" si="38"/>
        <v>1.1902999999999999</v>
      </c>
      <c r="X513" s="223">
        <f t="shared" si="39"/>
        <v>1.1430165555114065</v>
      </c>
      <c r="Y513">
        <f>IFERROR(INDEX(Rainfall_Wet!$O$2:$O$217,MATCH(B513, Rainfall_Wet!$A$2:$A$217,0)),"")</f>
        <v>185.630065823</v>
      </c>
      <c r="Z513" s="228">
        <v>47.96</v>
      </c>
      <c r="AA513" s="228">
        <v>22.919999999999995</v>
      </c>
      <c r="AB513" s="228">
        <v>29.120000000000012</v>
      </c>
      <c r="AC513" s="229" t="s">
        <v>2657</v>
      </c>
      <c r="AD513" s="228">
        <v>9.8831936914736307</v>
      </c>
      <c r="AE513">
        <f>IF('WetLitterbags placem_collection'!AB74="","",'WetLitterbags placem_collection'!AB74)</f>
        <v>2.6</v>
      </c>
      <c r="AF513">
        <f>IF('WetLitterbags placem_collection'!Z74="","",'WetLitterbags placem_collection'!Z74)</f>
        <v>44</v>
      </c>
      <c r="AG513" s="243" t="str">
        <f>IF('WetLitterbags placem_collection'!AA74="","",'WetLitterbags placem_collection'!AA74)</f>
        <v>O</v>
      </c>
      <c r="AH513">
        <f>IF('WetLitterbags placem_collection'!AC74="","",'WetLitterbags placem_collection'!AC74)</f>
        <v>1</v>
      </c>
      <c r="AI513" s="237">
        <f>AVERAGE('WetLitterbags placem_collection'!S74,'WetLitterbags placem_collection'!U74)</f>
        <v>32</v>
      </c>
      <c r="AJ513">
        <f>AVERAGE('WetLitterbags placem_collection'!R74,'WetLitterbags placem_collection'!T74)</f>
        <v>21.9</v>
      </c>
      <c r="AK513">
        <f>INDEX(Coordinates!$B$2:$B$197,MATCH(H513,Coordinates!$J$2:$J$197,0))</f>
        <v>-3.2996540329999999</v>
      </c>
      <c r="AL513">
        <f>INDEX(Coordinates!$C$2:$C$197,MATCH(H513,Coordinates!$J$2:$J$197,0))</f>
        <v>34.848151020000003</v>
      </c>
      <c r="AM513" t="str">
        <f>IF(ISNUMBER(SEARCH("C", 'WetLitterbags placem_collection'!$X74)),"YES","NO")</f>
        <v>NO</v>
      </c>
      <c r="AN513" t="str">
        <f>IF(ISNUMBER(SEARCH("H", 'WetLitterbags placem_collection'!$X74)),"YES","NO")</f>
        <v>NO</v>
      </c>
      <c r="AO513" t="str">
        <f>IF(ISNUMBER(SEARCH("R", 'WetLitterbags placem_collection'!$X74)),"YES","NO")</f>
        <v>YES</v>
      </c>
    </row>
    <row r="514" spans="1:41" ht="15" customHeight="1">
      <c r="A514" s="255" t="s">
        <v>2454</v>
      </c>
      <c r="B514" s="260">
        <f>'Dry_Litterbag Placem_Collection'!A75</f>
        <v>73</v>
      </c>
      <c r="C514" s="260" t="str">
        <f>'Dry_Litterbag Placem_Collection'!B75</f>
        <v>Maswa</v>
      </c>
      <c r="D514" s="260" t="s">
        <v>2643</v>
      </c>
      <c r="E514" s="260" t="s">
        <v>2645</v>
      </c>
      <c r="F514" s="260">
        <v>2</v>
      </c>
      <c r="G514" s="260" t="s">
        <v>3812</v>
      </c>
      <c r="H514" s="261" t="str">
        <f>'Dry_Litterbag Placem_Collection'!C75</f>
        <v>Dry_W2_T1</v>
      </c>
      <c r="I514" s="270" t="s">
        <v>3630</v>
      </c>
      <c r="J514" s="263" t="s">
        <v>1147</v>
      </c>
      <c r="K514" s="221" t="str">
        <f>'WetLitterbags placem_collection'!O75</f>
        <v>G498</v>
      </c>
      <c r="L514" s="223">
        <f>IFERROR(INDEX('Green_rooibos initial weight'!$C$5:$C$2000,MATCH(K514, 'Green_rooibos initial weight'!$A$5:$A$2000,0)),"")</f>
        <v>1.744</v>
      </c>
      <c r="M514" s="223">
        <f>IFERROR(L514-(TBIcalc!$H$9+TBIcalc!$H$10),"")</f>
        <v>1.4942</v>
      </c>
      <c r="N514" s="385">
        <f>AVERAGE(Ashed_controlls!$K$2:$K$11)</f>
        <v>5.5147656768714146</v>
      </c>
      <c r="O514" s="223">
        <f t="shared" si="36"/>
        <v>1.4117983712561872</v>
      </c>
      <c r="P514" s="223">
        <f>IFERROR(INDEX('Both teabags AfterWet'!$C$3:$C$840,MATCH(K514,'Both teabags AfterWet'!$A$3:$A$840,0)),"")</f>
        <v>0.73209999999999997</v>
      </c>
      <c r="Q514" s="223">
        <f>IFERROR(IF(P514&gt;0,P514-(TBIcalc!$H$9),""),"")</f>
        <v>0.58149999999999991</v>
      </c>
      <c r="R514" s="223">
        <f>IFERROR(INDEX('Ashed teabags wet'!$K$2:$K$2000,MATCH(K514,'Ashed teabags wet'!$A$2:$A$2000,0)),"")</f>
        <v>8.2123184777161153</v>
      </c>
      <c r="S514" s="223">
        <f t="shared" si="37"/>
        <v>0.53374536805208073</v>
      </c>
      <c r="T514" s="224">
        <f>'WetLitterbags placem_collection'!E75</f>
        <v>42767</v>
      </c>
      <c r="U514" s="224">
        <f>IF('WetLitterbags placem_collection'!G75="","",'WetLitterbags placem_collection'!G75)</f>
        <v>42818</v>
      </c>
      <c r="V514" s="225">
        <f t="shared" ref="V514:V577" si="40">IFERROR(U514-T514,"")</f>
        <v>51</v>
      </c>
      <c r="W514" s="223">
        <f t="shared" si="38"/>
        <v>0.91270000000000007</v>
      </c>
      <c r="X514" s="223">
        <f t="shared" si="39"/>
        <v>0.87805300320410651</v>
      </c>
      <c r="Y514">
        <f>IFERROR(INDEX(Rainfall_Wet!$O$2:$O$217,MATCH(B514, Rainfall_Wet!$A$2:$A$217,0)),"")</f>
        <v>185.630065823</v>
      </c>
      <c r="Z514" s="228">
        <v>45.272914521112256</v>
      </c>
      <c r="AA514" s="228">
        <v>23.604531410916575</v>
      </c>
      <c r="AB514" s="228">
        <v>31.122554067971166</v>
      </c>
      <c r="AC514" s="229" t="s">
        <v>2657</v>
      </c>
      <c r="AD514" s="228">
        <v>2.0547560374568752</v>
      </c>
      <c r="AE514">
        <f>IF('WetLitterbags placem_collection'!AB75="","",'WetLitterbags placem_collection'!AB75)</f>
        <v>9.1</v>
      </c>
      <c r="AF514">
        <f>IF('WetLitterbags placem_collection'!Z75="","",'WetLitterbags placem_collection'!Z75)</f>
        <v>10</v>
      </c>
      <c r="AG514" s="243" t="str">
        <f>IF('WetLitterbags placem_collection'!AA75="","",'WetLitterbags placem_collection'!AA75)</f>
        <v>M</v>
      </c>
      <c r="AH514">
        <f>IF('WetLitterbags placem_collection'!AC75="","",'WetLitterbags placem_collection'!AC75)</f>
        <v>1</v>
      </c>
      <c r="AI514" s="237">
        <f>AVERAGE('WetLitterbags placem_collection'!S75,'WetLitterbags placem_collection'!U75)</f>
        <v>27.85</v>
      </c>
      <c r="AJ514">
        <f>AVERAGE('WetLitterbags placem_collection'!R75,'WetLitterbags placem_collection'!T75)</f>
        <v>26.15</v>
      </c>
      <c r="AK514">
        <f>INDEX(Coordinates!$B$2:$B$197,MATCH(H514,Coordinates!$J$2:$J$197,0))</f>
        <v>-3.3025860229999999</v>
      </c>
      <c r="AL514">
        <f>INDEX(Coordinates!$C$2:$C$197,MATCH(H514,Coordinates!$J$2:$J$197,0))</f>
        <v>34.848048009999999</v>
      </c>
      <c r="AM514" t="str">
        <f>IF(ISNUMBER(SEARCH("C", 'WetLitterbags placem_collection'!$X75)),"YES","NO")</f>
        <v>NO</v>
      </c>
      <c r="AN514" t="str">
        <f>IF(ISNUMBER(SEARCH("H", 'WetLitterbags placem_collection'!$X75)),"YES","NO")</f>
        <v>NO</v>
      </c>
      <c r="AO514" t="str">
        <f>IF(ISNUMBER(SEARCH("R", 'WetLitterbags placem_collection'!$X75)),"YES","NO")</f>
        <v>YES</v>
      </c>
    </row>
    <row r="515" spans="1:41" ht="15" customHeight="1">
      <c r="A515" s="255" t="s">
        <v>2454</v>
      </c>
      <c r="B515" s="260">
        <f>'Dry_Litterbag Placem_Collection'!A76</f>
        <v>74</v>
      </c>
      <c r="C515" s="260" t="str">
        <f>'Dry_Litterbag Placem_Collection'!B76</f>
        <v>Maswa</v>
      </c>
      <c r="D515" s="260" t="s">
        <v>2643</v>
      </c>
      <c r="E515" s="260" t="s">
        <v>2645</v>
      </c>
      <c r="F515" s="260">
        <v>2</v>
      </c>
      <c r="G515" s="260" t="s">
        <v>3812</v>
      </c>
      <c r="H515" s="261" t="str">
        <f>'Dry_Litterbag Placem_Collection'!C76</f>
        <v>Dry_W2_T2</v>
      </c>
      <c r="I515" s="270" t="s">
        <v>3630</v>
      </c>
      <c r="J515" s="263" t="s">
        <v>1147</v>
      </c>
      <c r="K515" s="221" t="str">
        <f>'WetLitterbags placem_collection'!O76</f>
        <v>G579</v>
      </c>
      <c r="L515" s="223">
        <f>IFERROR(INDEX('Green_rooibos initial weight'!$C$5:$C$2000,MATCH(K515, 'Green_rooibos initial weight'!$A$5:$A$2000,0)),"")</f>
        <v>2.012</v>
      </c>
      <c r="M515" s="223">
        <f>IFERROR(L515-(TBIcalc!$H$9+TBIcalc!$H$10),"")</f>
        <v>1.7622</v>
      </c>
      <c r="N515" s="385">
        <f>AVERAGE(Ashed_controlls!$K$2:$K$11)</f>
        <v>5.5147656768714146</v>
      </c>
      <c r="O515" s="223">
        <f t="shared" ref="O515:O578" si="41">IFERROR(M515-(N515/100)*M515,"")</f>
        <v>1.6650187992421719</v>
      </c>
      <c r="P515" s="223">
        <f>IFERROR(INDEX('Both teabags AfterWet'!$C$3:$C$840,MATCH(K515,'Both teabags AfterWet'!$A$3:$A$840,0)),"")</f>
        <v>0.74199999999999999</v>
      </c>
      <c r="Q515" s="223">
        <f>IFERROR(IF(P515&gt;0,P515-(TBIcalc!$H$9),""),"")</f>
        <v>0.59139999999999993</v>
      </c>
      <c r="R515" s="223">
        <f>IFERROR(INDEX('Ashed teabags wet'!$K$2:$K$2000,MATCH(K515,'Ashed teabags wet'!$A$2:$A$2000,0)),"")</f>
        <v>9.0817862518813506</v>
      </c>
      <c r="S515" s="223">
        <f t="shared" ref="S515:S578" si="42">IFERROR(Q515-(R515/100)*Q515,"")</f>
        <v>0.53769031610637363</v>
      </c>
      <c r="T515" s="224">
        <f>'WetLitterbags placem_collection'!E76</f>
        <v>42767</v>
      </c>
      <c r="U515" s="224">
        <f>IF('WetLitterbags placem_collection'!G76="","",'WetLitterbags placem_collection'!G76)</f>
        <v>42818</v>
      </c>
      <c r="V515" s="225">
        <f t="shared" si="40"/>
        <v>51</v>
      </c>
      <c r="W515" s="223">
        <f t="shared" ref="W515:W578" si="43">IFERROR(M515-Q515,"")</f>
        <v>1.1708000000000001</v>
      </c>
      <c r="X515" s="223">
        <f t="shared" ref="X515:X578" si="44">IFERROR(O515-S515,"")</f>
        <v>1.1273284831357984</v>
      </c>
      <c r="Y515">
        <f>IFERROR(INDEX(Rainfall_Wet!$O$2:$O$217,MATCH(B515, Rainfall_Wet!$A$2:$A$217,0)),"")</f>
        <v>185.630065823</v>
      </c>
      <c r="Z515" s="228">
        <v>45.272914521112256</v>
      </c>
      <c r="AA515" s="228">
        <v>23.604531410916575</v>
      </c>
      <c r="AB515" s="228">
        <v>31.122554067971166</v>
      </c>
      <c r="AC515" s="229" t="s">
        <v>2657</v>
      </c>
      <c r="AD515" s="228">
        <v>3.0547560374568801</v>
      </c>
      <c r="AE515">
        <f>IF('WetLitterbags placem_collection'!AB76="","",'WetLitterbags placem_collection'!AB76)</f>
        <v>7.7</v>
      </c>
      <c r="AF515">
        <f>IF('WetLitterbags placem_collection'!Z76="","",'WetLitterbags placem_collection'!Z76)</f>
        <v>9.4</v>
      </c>
      <c r="AG515" s="243" t="str">
        <f>IF('WetLitterbags placem_collection'!AA76="","",'WetLitterbags placem_collection'!AA76)</f>
        <v>M</v>
      </c>
      <c r="AH515">
        <f>IF('WetLitterbags placem_collection'!AC76="","",'WetLitterbags placem_collection'!AC76)</f>
        <v>1</v>
      </c>
      <c r="AI515" s="237">
        <f>AVERAGE('WetLitterbags placem_collection'!S76,'WetLitterbags placem_collection'!U76)</f>
        <v>24.65</v>
      </c>
      <c r="AJ515">
        <f>AVERAGE('WetLitterbags placem_collection'!R76,'WetLitterbags placem_collection'!T76)</f>
        <v>24.35</v>
      </c>
      <c r="AK515">
        <f>INDEX(Coordinates!$B$2:$B$197,MATCH(H515,Coordinates!$J$2:$J$197,0))</f>
        <v>-3.3025779759999998</v>
      </c>
      <c r="AL515">
        <f>INDEX(Coordinates!$C$2:$C$197,MATCH(H515,Coordinates!$J$2:$J$197,0))</f>
        <v>34.848041969999997</v>
      </c>
      <c r="AM515" t="str">
        <f>IF(ISNUMBER(SEARCH("C", 'WetLitterbags placem_collection'!$X76)),"YES","NO")</f>
        <v>NO</v>
      </c>
      <c r="AN515" t="str">
        <f>IF(ISNUMBER(SEARCH("H", 'WetLitterbags placem_collection'!$X76)),"YES","NO")</f>
        <v>NO</v>
      </c>
      <c r="AO515" t="str">
        <f>IF(ISNUMBER(SEARCH("R", 'WetLitterbags placem_collection'!$X76)),"YES","NO")</f>
        <v>YES</v>
      </c>
    </row>
    <row r="516" spans="1:41" ht="15" customHeight="1">
      <c r="A516" s="255" t="s">
        <v>2454</v>
      </c>
      <c r="B516" s="260">
        <f>'Dry_Litterbag Placem_Collection'!A77</f>
        <v>75</v>
      </c>
      <c r="C516" s="260" t="str">
        <f>'Dry_Litterbag Placem_Collection'!B77</f>
        <v>Maswa</v>
      </c>
      <c r="D516" s="260" t="s">
        <v>2643</v>
      </c>
      <c r="E516" s="260" t="s">
        <v>2645</v>
      </c>
      <c r="F516" s="260">
        <v>2</v>
      </c>
      <c r="G516" s="260" t="s">
        <v>3812</v>
      </c>
      <c r="H516" s="261" t="str">
        <f>'Dry_Litterbag Placem_Collection'!C77</f>
        <v>Dry_W2_T3</v>
      </c>
      <c r="I516" s="270" t="s">
        <v>3630</v>
      </c>
      <c r="J516" s="263" t="s">
        <v>1147</v>
      </c>
      <c r="K516" s="221" t="str">
        <f>'WetLitterbags placem_collection'!O77</f>
        <v>G373</v>
      </c>
      <c r="L516" s="223">
        <f>IFERROR(INDEX('Green_rooibos initial weight'!$C$5:$C$2000,MATCH(K516, 'Green_rooibos initial weight'!$A$5:$A$2000,0)),"")</f>
        <v>2.1</v>
      </c>
      <c r="M516" s="223">
        <f>IFERROR(L516-(TBIcalc!$H$9+TBIcalc!$H$10),"")</f>
        <v>1.8502000000000001</v>
      </c>
      <c r="N516" s="385">
        <f>AVERAGE(Ashed_controlls!$K$2:$K$11)</f>
        <v>5.5147656768714146</v>
      </c>
      <c r="O516" s="223">
        <f t="shared" si="41"/>
        <v>1.7481658054465252</v>
      </c>
      <c r="P516" s="223">
        <f>IFERROR(INDEX('Both teabags AfterWet'!$C$3:$C$840,MATCH(K516,'Both teabags AfterWet'!$A$3:$A$840,0)),"")</f>
        <v>0.93330000000000002</v>
      </c>
      <c r="Q516" s="223">
        <f>IFERROR(IF(P516&gt;0,P516-(TBIcalc!$H$9),""),"")</f>
        <v>0.78269999999999995</v>
      </c>
      <c r="R516" s="223">
        <f>IFERROR(INDEX('Ashed teabags wet'!$K$2:$K$2000,MATCH(K516,'Ashed teabags wet'!$A$2:$A$2000,0)),"")</f>
        <v>10.547263681591955</v>
      </c>
      <c r="S516" s="223">
        <f t="shared" si="42"/>
        <v>0.70014656716417978</v>
      </c>
      <c r="T516" s="224">
        <f>'WetLitterbags placem_collection'!E77</f>
        <v>42767</v>
      </c>
      <c r="U516" s="224">
        <f>IF('WetLitterbags placem_collection'!G77="","",'WetLitterbags placem_collection'!G77)</f>
        <v>42818</v>
      </c>
      <c r="V516" s="225">
        <f t="shared" si="40"/>
        <v>51</v>
      </c>
      <c r="W516" s="223">
        <f t="shared" si="43"/>
        <v>1.0675000000000001</v>
      </c>
      <c r="X516" s="223">
        <f t="shared" si="44"/>
        <v>1.0480192382823454</v>
      </c>
      <c r="Y516">
        <f>IFERROR(INDEX(Rainfall_Wet!$O$2:$O$217,MATCH(B516, Rainfall_Wet!$A$2:$A$217,0)),"")</f>
        <v>185.630065823</v>
      </c>
      <c r="Z516" s="228">
        <v>45.272914521112256</v>
      </c>
      <c r="AA516" s="228">
        <v>23.604531410916575</v>
      </c>
      <c r="AB516" s="228">
        <v>31.122554067971166</v>
      </c>
      <c r="AC516" s="229" t="s">
        <v>2657</v>
      </c>
      <c r="AD516" s="228">
        <v>4.0547560374568796</v>
      </c>
      <c r="AE516">
        <f>IF('WetLitterbags placem_collection'!AB77="","",'WetLitterbags placem_collection'!AB77)</f>
        <v>6.1</v>
      </c>
      <c r="AF516">
        <f>IF('WetLitterbags placem_collection'!Z77="","",'WetLitterbags placem_collection'!Z77)</f>
        <v>13.8</v>
      </c>
      <c r="AG516" s="243" t="str">
        <f>IF('WetLitterbags placem_collection'!AA77="","",'WetLitterbags placem_collection'!AA77)</f>
        <v>O</v>
      </c>
      <c r="AH516">
        <f>IF('WetLitterbags placem_collection'!AC77="","",'WetLitterbags placem_collection'!AC77)</f>
        <v>0</v>
      </c>
      <c r="AI516" s="237">
        <f>AVERAGE('WetLitterbags placem_collection'!S77,'WetLitterbags placem_collection'!U77)</f>
        <v>27.150000000000002</v>
      </c>
      <c r="AJ516">
        <f>AVERAGE('WetLitterbags placem_collection'!R77,'WetLitterbags placem_collection'!T77)</f>
        <v>25.65</v>
      </c>
      <c r="AK516">
        <f>INDEX(Coordinates!$B$2:$B$197,MATCH(H516,Coordinates!$J$2:$J$197,0))</f>
        <v>-3.302687025</v>
      </c>
      <c r="AL516">
        <f>INDEX(Coordinates!$C$2:$C$197,MATCH(H516,Coordinates!$J$2:$J$197,0))</f>
        <v>34.847926970000003</v>
      </c>
      <c r="AM516" t="str">
        <f>IF(ISNUMBER(SEARCH("C", 'WetLitterbags placem_collection'!$X77)),"YES","NO")</f>
        <v>NO</v>
      </c>
      <c r="AN516" t="str">
        <f>IF(ISNUMBER(SEARCH("H", 'WetLitterbags placem_collection'!$X77)),"YES","NO")</f>
        <v>NO</v>
      </c>
      <c r="AO516" t="str">
        <f>IF(ISNUMBER(SEARCH("R", 'WetLitterbags placem_collection'!$X77)),"YES","NO")</f>
        <v>YES</v>
      </c>
    </row>
    <row r="517" spans="1:41" ht="15" customHeight="1">
      <c r="A517" s="255" t="s">
        <v>2454</v>
      </c>
      <c r="B517" s="260">
        <f>'Dry_Litterbag Placem_Collection'!A78</f>
        <v>76</v>
      </c>
      <c r="C517" s="260" t="str">
        <f>'Dry_Litterbag Placem_Collection'!B78</f>
        <v>Maswa</v>
      </c>
      <c r="D517" s="260" t="s">
        <v>2643</v>
      </c>
      <c r="E517" s="260" t="s">
        <v>2645</v>
      </c>
      <c r="F517" s="260">
        <v>2</v>
      </c>
      <c r="G517" s="260" t="s">
        <v>3812</v>
      </c>
      <c r="H517" s="261" t="str">
        <f>'Dry_Litterbag Placem_Collection'!C78</f>
        <v>Dry_W2_T4</v>
      </c>
      <c r="I517" s="270" t="s">
        <v>3630</v>
      </c>
      <c r="J517" s="263" t="s">
        <v>1147</v>
      </c>
      <c r="K517" s="221" t="str">
        <f>'WetLitterbags placem_collection'!O78</f>
        <v>G603</v>
      </c>
      <c r="L517" s="223">
        <f>IFERROR(INDEX('Green_rooibos initial weight'!$C$5:$C$2000,MATCH(K517, 'Green_rooibos initial weight'!$A$5:$A$2000,0)),"")</f>
        <v>2.0430000000000001</v>
      </c>
      <c r="M517" s="223">
        <f>IFERROR(L517-(TBIcalc!$H$9+TBIcalc!$H$10),"")</f>
        <v>1.7932000000000001</v>
      </c>
      <c r="N517" s="385">
        <f>AVERAGE(Ashed_controlls!$K$2:$K$11)</f>
        <v>5.5147656768714146</v>
      </c>
      <c r="O517" s="223">
        <f t="shared" si="41"/>
        <v>1.6943092218823419</v>
      </c>
      <c r="P517" s="223">
        <f>IFERROR(INDEX('Both teabags AfterWet'!$C$3:$C$840,MATCH(K517,'Both teabags AfterWet'!$A$3:$A$840,0)),"")</f>
        <v>0.82299999999999995</v>
      </c>
      <c r="Q517" s="223">
        <f>IFERROR(IF(P517&gt;0,P517-(TBIcalc!$H$9),""),"")</f>
        <v>0.67239999999999989</v>
      </c>
      <c r="R517" s="223">
        <f>IFERROR(INDEX('Ashed teabags wet'!$K$2:$K$2000,MATCH(K517,'Ashed teabags wet'!$A$2:$A$2000,0)),"")</f>
        <v>8.9330024813902469</v>
      </c>
      <c r="S517" s="223">
        <f t="shared" si="42"/>
        <v>0.61233449131513185</v>
      </c>
      <c r="T517" s="224">
        <f>'WetLitterbags placem_collection'!E78</f>
        <v>42767</v>
      </c>
      <c r="U517" s="224">
        <f>IF('WetLitterbags placem_collection'!G78="","",'WetLitterbags placem_collection'!G78)</f>
        <v>42818</v>
      </c>
      <c r="V517" s="225">
        <f t="shared" si="40"/>
        <v>51</v>
      </c>
      <c r="W517" s="223">
        <f t="shared" si="43"/>
        <v>1.1208000000000002</v>
      </c>
      <c r="X517" s="223">
        <f t="shared" si="44"/>
        <v>1.0819747305672101</v>
      </c>
      <c r="Y517">
        <f>IFERROR(INDEX(Rainfall_Wet!$O$2:$O$217,MATCH(B517, Rainfall_Wet!$A$2:$A$217,0)),"")</f>
        <v>185.630065823</v>
      </c>
      <c r="Z517" s="228">
        <v>45.272914521112256</v>
      </c>
      <c r="AA517" s="228">
        <v>23.604531410916575</v>
      </c>
      <c r="AB517" s="228">
        <v>31.122554067971166</v>
      </c>
      <c r="AC517" s="229" t="s">
        <v>2657</v>
      </c>
      <c r="AD517" s="228">
        <v>5.0547560374568796</v>
      </c>
      <c r="AE517">
        <f>IF('WetLitterbags placem_collection'!AB78="","",'WetLitterbags placem_collection'!AB78)</f>
        <v>6.7</v>
      </c>
      <c r="AF517">
        <f>IF('WetLitterbags placem_collection'!Z78="","",'WetLitterbags placem_collection'!Z78)</f>
        <v>19.3</v>
      </c>
      <c r="AG517" s="243" t="str">
        <f>IF('WetLitterbags placem_collection'!AA78="","",'WetLitterbags placem_collection'!AA78)</f>
        <v>M</v>
      </c>
      <c r="AH517">
        <f>IF('WetLitterbags placem_collection'!AC78="","",'WetLitterbags placem_collection'!AC78)</f>
        <v>1</v>
      </c>
      <c r="AI517" s="237">
        <f>AVERAGE('WetLitterbags placem_collection'!S78,'WetLitterbags placem_collection'!U78)</f>
        <v>26.8</v>
      </c>
      <c r="AJ517">
        <f>AVERAGE('WetLitterbags placem_collection'!R78,'WetLitterbags placem_collection'!T78)</f>
        <v>23.7</v>
      </c>
      <c r="AK517">
        <f>INDEX(Coordinates!$B$2:$B$197,MATCH(H517,Coordinates!$J$2:$J$197,0))</f>
        <v>-3.3024560190000001</v>
      </c>
      <c r="AL517">
        <f>INDEX(Coordinates!$C$2:$C$197,MATCH(H517,Coordinates!$J$2:$J$197,0))</f>
        <v>34.847871990000002</v>
      </c>
      <c r="AM517" t="str">
        <f>IF(ISNUMBER(SEARCH("C", 'WetLitterbags placem_collection'!$X78)),"YES","NO")</f>
        <v>NO</v>
      </c>
      <c r="AN517" t="str">
        <f>IF(ISNUMBER(SEARCH("H", 'WetLitterbags placem_collection'!$X78)),"YES","NO")</f>
        <v>NO</v>
      </c>
      <c r="AO517" t="str">
        <f>IF(ISNUMBER(SEARCH("R", 'WetLitterbags placem_collection'!$X78)),"YES","NO")</f>
        <v>YES</v>
      </c>
    </row>
    <row r="518" spans="1:41" ht="15" customHeight="1">
      <c r="A518" s="255" t="s">
        <v>2454</v>
      </c>
      <c r="B518" s="260">
        <f>'Dry_Litterbag Placem_Collection'!A79</f>
        <v>77</v>
      </c>
      <c r="C518" s="260" t="str">
        <f>'Dry_Litterbag Placem_Collection'!B79</f>
        <v>Maswa</v>
      </c>
      <c r="D518" s="260" t="s">
        <v>2643</v>
      </c>
      <c r="E518" s="260" t="s">
        <v>2645</v>
      </c>
      <c r="F518" s="260">
        <v>2</v>
      </c>
      <c r="G518" s="260" t="s">
        <v>3812</v>
      </c>
      <c r="H518" s="261" t="str">
        <f>'Dry_Litterbag Placem_Collection'!C79</f>
        <v>Dry_W2_T5</v>
      </c>
      <c r="I518" s="270" t="s">
        <v>3630</v>
      </c>
      <c r="J518" s="263" t="s">
        <v>1147</v>
      </c>
      <c r="K518" s="221" t="str">
        <f>'WetLitterbags placem_collection'!O79</f>
        <v>G509</v>
      </c>
      <c r="L518" s="223">
        <f>IFERROR(INDEX('Green_rooibos initial weight'!$C$5:$C$2000,MATCH(K518, 'Green_rooibos initial weight'!$A$5:$A$2000,0)),"")</f>
        <v>2.048</v>
      </c>
      <c r="M518" s="223">
        <f>IFERROR(L518-(TBIcalc!$H$9+TBIcalc!$H$10),"")</f>
        <v>1.7982</v>
      </c>
      <c r="N518" s="385">
        <f>AVERAGE(Ashed_controlls!$K$2:$K$11)</f>
        <v>5.5147656768714146</v>
      </c>
      <c r="O518" s="223">
        <f t="shared" si="41"/>
        <v>1.6990334835984982</v>
      </c>
      <c r="P518" s="223">
        <f>IFERROR(INDEX('Both teabags AfterWet'!$C$3:$C$840,MATCH(K518,'Both teabags AfterWet'!$A$3:$A$840,0)),"")</f>
        <v>1.012</v>
      </c>
      <c r="Q518" s="223">
        <f>IFERROR(IF(P518&gt;0,P518-(TBIcalc!$H$9),""),"")</f>
        <v>0.86139999999999994</v>
      </c>
      <c r="R518" s="223">
        <f>IFERROR(INDEX('Ashed teabags wet'!$K$2:$K$2000,MATCH(K518,'Ashed teabags wet'!$A$2:$A$2000,0)),"")</f>
        <v>0.1847000000000012</v>
      </c>
      <c r="S518" s="223">
        <f t="shared" si="42"/>
        <v>0.8598089941999999</v>
      </c>
      <c r="T518" s="224">
        <f>'WetLitterbags placem_collection'!E79</f>
        <v>42767</v>
      </c>
      <c r="U518" s="224">
        <f>IF('WetLitterbags placem_collection'!G79="","",'WetLitterbags placem_collection'!G79)</f>
        <v>42818</v>
      </c>
      <c r="V518" s="225">
        <f t="shared" si="40"/>
        <v>51</v>
      </c>
      <c r="W518" s="223">
        <f t="shared" si="43"/>
        <v>0.93680000000000008</v>
      </c>
      <c r="X518" s="223">
        <f t="shared" si="44"/>
        <v>0.83922448939849825</v>
      </c>
      <c r="Y518">
        <f>IFERROR(INDEX(Rainfall_Wet!$O$2:$O$217,MATCH(B518, Rainfall_Wet!$A$2:$A$217,0)),"")</f>
        <v>185.630065823</v>
      </c>
      <c r="Z518" s="228">
        <v>45.272914521112256</v>
      </c>
      <c r="AA518" s="228">
        <v>23.604531410916575</v>
      </c>
      <c r="AB518" s="228">
        <v>31.122554067971166</v>
      </c>
      <c r="AC518" s="229" t="s">
        <v>2657</v>
      </c>
      <c r="AD518" s="228">
        <v>6.0547560374568796</v>
      </c>
      <c r="AE518">
        <f>IF('WetLitterbags placem_collection'!AB79="","",'WetLitterbags placem_collection'!AB79)</f>
        <v>3.1</v>
      </c>
      <c r="AF518">
        <f>IF('WetLitterbags placem_collection'!Z79="","",'WetLitterbags placem_collection'!Z79)</f>
        <v>9.8000000000000007</v>
      </c>
      <c r="AG518" s="243" t="str">
        <f>IF('WetLitterbags placem_collection'!AA79="","",'WetLitterbags placem_collection'!AA79)</f>
        <v>O</v>
      </c>
      <c r="AH518">
        <f>IF('WetLitterbags placem_collection'!AC79="","",'WetLitterbags placem_collection'!AC79)</f>
        <v>1</v>
      </c>
      <c r="AI518" s="237">
        <f>AVERAGE('WetLitterbags placem_collection'!S79,'WetLitterbags placem_collection'!U79)</f>
        <v>25.950000000000003</v>
      </c>
      <c r="AJ518">
        <f>AVERAGE('WetLitterbags placem_collection'!R79,'WetLitterbags placem_collection'!T79)</f>
        <v>25.950000000000003</v>
      </c>
      <c r="AK518">
        <f>INDEX(Coordinates!$B$2:$B$197,MATCH(H518,Coordinates!$J$2:$J$197,0))</f>
        <v>-3.3023280279999998</v>
      </c>
      <c r="AL518">
        <f>INDEX(Coordinates!$C$2:$C$197,MATCH(H518,Coordinates!$J$2:$J$197,0))</f>
        <v>34.848223019999999</v>
      </c>
      <c r="AM518" t="str">
        <f>IF(ISNUMBER(SEARCH("C", 'WetLitterbags placem_collection'!$X79)),"YES","NO")</f>
        <v>NO</v>
      </c>
      <c r="AN518" t="str">
        <f>IF(ISNUMBER(SEARCH("H", 'WetLitterbags placem_collection'!$X79)),"YES","NO")</f>
        <v>NO</v>
      </c>
      <c r="AO518" t="str">
        <f>IF(ISNUMBER(SEARCH("R", 'WetLitterbags placem_collection'!$X79)),"YES","NO")</f>
        <v>YES</v>
      </c>
    </row>
    <row r="519" spans="1:41" ht="15" customHeight="1">
      <c r="A519" s="255" t="s">
        <v>2454</v>
      </c>
      <c r="B519" s="260">
        <f>'Dry_Litterbag Placem_Collection'!A80</f>
        <v>78</v>
      </c>
      <c r="C519" s="260" t="str">
        <f>'Dry_Litterbag Placem_Collection'!B80</f>
        <v>Maswa</v>
      </c>
      <c r="D519" s="260" t="s">
        <v>2643</v>
      </c>
      <c r="E519" s="260" t="s">
        <v>2645</v>
      </c>
      <c r="F519" s="260">
        <v>2</v>
      </c>
      <c r="G519" s="260" t="s">
        <v>3812</v>
      </c>
      <c r="H519" s="261" t="str">
        <f>'Dry_Litterbag Placem_Collection'!C80</f>
        <v>Dry_W2_T6</v>
      </c>
      <c r="I519" s="270" t="s">
        <v>3630</v>
      </c>
      <c r="J519" s="263" t="s">
        <v>1147</v>
      </c>
      <c r="K519" s="221" t="str">
        <f>'WetLitterbags placem_collection'!O80</f>
        <v>G446</v>
      </c>
      <c r="L519" s="223">
        <f>IFERROR(INDEX('Green_rooibos initial weight'!$C$5:$C$2000,MATCH(K519, 'Green_rooibos initial weight'!$A$5:$A$2000,0)),"")</f>
        <v>1.9319999999999999</v>
      </c>
      <c r="M519" s="223">
        <f>IFERROR(L519-(TBIcalc!$H$9+TBIcalc!$H$10),"")</f>
        <v>1.6821999999999999</v>
      </c>
      <c r="N519" s="385">
        <f>AVERAGE(Ashed_controlls!$K$2:$K$11)</f>
        <v>5.5147656768714146</v>
      </c>
      <c r="O519" s="223">
        <f t="shared" si="41"/>
        <v>1.589430611783669</v>
      </c>
      <c r="P519" s="223">
        <f>IFERROR(INDEX('Both teabags AfterWet'!$C$3:$C$840,MATCH(K519,'Both teabags AfterWet'!$A$3:$A$840,0)),"")</f>
        <v>0.77859999999999996</v>
      </c>
      <c r="Q519" s="223">
        <f>IFERROR(IF(P519&gt;0,P519-(TBIcalc!$H$9),""),"")</f>
        <v>0.62799999999999989</v>
      </c>
      <c r="R519" s="223">
        <f>IFERROR(INDEX('Ashed teabags wet'!$K$2:$K$2000,MATCH(K519,'Ashed teabags wet'!$A$2:$A$2000,0)),"")</f>
        <v>9.6451774112936519</v>
      </c>
      <c r="S519" s="223">
        <f t="shared" si="42"/>
        <v>0.56742828585707572</v>
      </c>
      <c r="T519" s="224">
        <f>'WetLitterbags placem_collection'!E80</f>
        <v>42767</v>
      </c>
      <c r="U519" s="224">
        <f>IF('WetLitterbags placem_collection'!G80="","",'WetLitterbags placem_collection'!G80)</f>
        <v>42818</v>
      </c>
      <c r="V519" s="225">
        <f t="shared" si="40"/>
        <v>51</v>
      </c>
      <c r="W519" s="223">
        <f t="shared" si="43"/>
        <v>1.0542</v>
      </c>
      <c r="X519" s="223">
        <f t="shared" si="44"/>
        <v>1.0220023259265933</v>
      </c>
      <c r="Y519">
        <f>IFERROR(INDEX(Rainfall_Wet!$O$2:$O$217,MATCH(B519, Rainfall_Wet!$A$2:$A$217,0)),"")</f>
        <v>185.630065823</v>
      </c>
      <c r="Z519" s="228">
        <v>45.272914521112256</v>
      </c>
      <c r="AA519" s="228">
        <v>23.604531410916575</v>
      </c>
      <c r="AB519" s="228">
        <v>31.122554067971166</v>
      </c>
      <c r="AC519" s="229" t="s">
        <v>2657</v>
      </c>
      <c r="AD519" s="228">
        <v>7.0547560374568796</v>
      </c>
      <c r="AE519">
        <f>IF('WetLitterbags placem_collection'!AB80="","",'WetLitterbags placem_collection'!AB80)</f>
        <v>10.4</v>
      </c>
      <c r="AF519">
        <f>IF('WetLitterbags placem_collection'!Z80="","",'WetLitterbags placem_collection'!Z80)</f>
        <v>15.4</v>
      </c>
      <c r="AG519" s="243" t="str">
        <f>IF('WetLitterbags placem_collection'!AA80="","",'WetLitterbags placem_collection'!AA80)</f>
        <v>M</v>
      </c>
      <c r="AH519">
        <f>IF('WetLitterbags placem_collection'!AC80="","",'WetLitterbags placem_collection'!AC80)</f>
        <v>1</v>
      </c>
      <c r="AI519" s="237">
        <f>AVERAGE('WetLitterbags placem_collection'!S80,'WetLitterbags placem_collection'!U80)</f>
        <v>24.15</v>
      </c>
      <c r="AJ519">
        <f>AVERAGE('WetLitterbags placem_collection'!R80,'WetLitterbags placem_collection'!T80)</f>
        <v>27.75</v>
      </c>
      <c r="AK519">
        <f>INDEX(Coordinates!$B$2:$B$197,MATCH(H519,Coordinates!$J$2:$J$197,0))</f>
        <v>-3.3025680020000001</v>
      </c>
      <c r="AL519">
        <f>INDEX(Coordinates!$C$2:$C$197,MATCH(H519,Coordinates!$J$2:$J$197,0))</f>
        <v>34.848167029999999</v>
      </c>
      <c r="AM519" t="str">
        <f>IF(ISNUMBER(SEARCH("C", 'WetLitterbags placem_collection'!$X80)),"YES","NO")</f>
        <v>NO</v>
      </c>
      <c r="AN519" t="str">
        <f>IF(ISNUMBER(SEARCH("H", 'WetLitterbags placem_collection'!$X80)),"YES","NO")</f>
        <v>NO</v>
      </c>
      <c r="AO519" t="str">
        <f>IF(ISNUMBER(SEARCH("R", 'WetLitterbags placem_collection'!$X80)),"YES","NO")</f>
        <v>YES</v>
      </c>
    </row>
    <row r="520" spans="1:41" ht="15" customHeight="1">
      <c r="A520" s="255" t="s">
        <v>2454</v>
      </c>
      <c r="B520" s="260">
        <f>'Dry_Litterbag Placem_Collection'!A81</f>
        <v>79</v>
      </c>
      <c r="C520" s="260" t="str">
        <f>'Dry_Litterbag Placem_Collection'!B81</f>
        <v>Maswa</v>
      </c>
      <c r="D520" s="260" t="s">
        <v>2643</v>
      </c>
      <c r="E520" s="260" t="s">
        <v>2645</v>
      </c>
      <c r="F520" s="260">
        <v>2</v>
      </c>
      <c r="G520" s="260" t="s">
        <v>3812</v>
      </c>
      <c r="H520" s="261" t="str">
        <f>'Dry_Litterbag Placem_Collection'!C81</f>
        <v>Dry_W2_T7</v>
      </c>
      <c r="I520" s="270" t="s">
        <v>3630</v>
      </c>
      <c r="J520" s="263" t="s">
        <v>1147</v>
      </c>
      <c r="K520" s="221" t="str">
        <f>'WetLitterbags placem_collection'!O81</f>
        <v>G249</v>
      </c>
      <c r="L520" s="223">
        <f>IFERROR(INDEX('Green_rooibos initial weight'!$C$5:$C$2000,MATCH(K520, 'Green_rooibos initial weight'!$A$5:$A$2000,0)),"")</f>
        <v>2.0219999999999998</v>
      </c>
      <c r="M520" s="223">
        <f>IFERROR(L520-(TBIcalc!$H$9+TBIcalc!$H$10),"")</f>
        <v>1.7721999999999998</v>
      </c>
      <c r="N520" s="385">
        <f>AVERAGE(Ashed_controlls!$K$2:$K$11)</f>
        <v>5.5147656768714146</v>
      </c>
      <c r="O520" s="223">
        <f t="shared" si="41"/>
        <v>1.6744673226744846</v>
      </c>
      <c r="P520" s="223">
        <f>IFERROR(INDEX('Both teabags AfterWet'!$C$3:$C$840,MATCH(K520,'Both teabags AfterWet'!$A$3:$A$840,0)),"")</f>
        <v>0.97550000000000003</v>
      </c>
      <c r="Q520" s="223">
        <f>IFERROR(IF(P520&gt;0,P520-(TBIcalc!$H$9),""),"")</f>
        <v>0.82489999999999997</v>
      </c>
      <c r="R520" s="223">
        <f>IFERROR(INDEX('Ashed teabags wet'!$K$2:$K$2000,MATCH(K520,'Ashed teabags wet'!$A$2:$A$2000,0)),"")</f>
        <v>18.702865761691211</v>
      </c>
      <c r="S520" s="223">
        <f t="shared" si="42"/>
        <v>0.6706200603318091</v>
      </c>
      <c r="T520" s="224">
        <f>'WetLitterbags placem_collection'!E81</f>
        <v>42767</v>
      </c>
      <c r="U520" s="224">
        <f>IF('WetLitterbags placem_collection'!G81="","",'WetLitterbags placem_collection'!G81)</f>
        <v>42818</v>
      </c>
      <c r="V520" s="225">
        <f t="shared" si="40"/>
        <v>51</v>
      </c>
      <c r="W520" s="223">
        <f t="shared" si="43"/>
        <v>0.94729999999999981</v>
      </c>
      <c r="X520" s="223">
        <f t="shared" si="44"/>
        <v>1.0038472623426755</v>
      </c>
      <c r="Y520">
        <f>IFERROR(INDEX(Rainfall_Wet!$O$2:$O$217,MATCH(B520, Rainfall_Wet!$A$2:$A$217,0)),"")</f>
        <v>185.630065823</v>
      </c>
      <c r="Z520" s="228">
        <v>45.272914521112256</v>
      </c>
      <c r="AA520" s="228">
        <v>23.604531410916575</v>
      </c>
      <c r="AB520" s="228">
        <v>31.122554067971166</v>
      </c>
      <c r="AC520" s="229" t="s">
        <v>2657</v>
      </c>
      <c r="AD520" s="228">
        <v>8.0547560374568796</v>
      </c>
      <c r="AE520">
        <f>IF('WetLitterbags placem_collection'!AB81="","",'WetLitterbags placem_collection'!AB81)</f>
        <v>3</v>
      </c>
      <c r="AF520">
        <f>IF('WetLitterbags placem_collection'!Z81="","",'WetLitterbags placem_collection'!Z81)</f>
        <v>5</v>
      </c>
      <c r="AG520" s="243" t="str">
        <f>IF('WetLitterbags placem_collection'!AA81="","",'WetLitterbags placem_collection'!AA81)</f>
        <v>G</v>
      </c>
      <c r="AH520">
        <f>IF('WetLitterbags placem_collection'!AC81="","",'WetLitterbags placem_collection'!AC81)</f>
        <v>1</v>
      </c>
      <c r="AI520" s="237">
        <f>AVERAGE('WetLitterbags placem_collection'!S81,'WetLitterbags placem_collection'!U81)</f>
        <v>26.9</v>
      </c>
      <c r="AJ520">
        <f>AVERAGE('WetLitterbags placem_collection'!R81,'WetLitterbags placem_collection'!T81)</f>
        <v>26.25</v>
      </c>
      <c r="AK520">
        <f>INDEX(Coordinates!$B$2:$B$197,MATCH(H520,Coordinates!$J$2:$J$197,0))</f>
        <v>-3.3026270100000001</v>
      </c>
      <c r="AL520">
        <f>INDEX(Coordinates!$C$2:$C$197,MATCH(H520,Coordinates!$J$2:$J$197,0))</f>
        <v>34.84840801</v>
      </c>
      <c r="AM520" t="str">
        <f>IF(ISNUMBER(SEARCH("C", 'WetLitterbags placem_collection'!$X81)),"YES","NO")</f>
        <v>NO</v>
      </c>
      <c r="AN520" t="str">
        <f>IF(ISNUMBER(SEARCH("H", 'WetLitterbags placem_collection'!$X81)),"YES","NO")</f>
        <v>NO</v>
      </c>
      <c r="AO520" t="str">
        <f>IF(ISNUMBER(SEARCH("R", 'WetLitterbags placem_collection'!$X81)),"YES","NO")</f>
        <v>YES</v>
      </c>
    </row>
    <row r="521" spans="1:41" ht="15" customHeight="1">
      <c r="A521" s="255" t="s">
        <v>2454</v>
      </c>
      <c r="B521" s="260">
        <f>'Dry_Litterbag Placem_Collection'!A82</f>
        <v>80</v>
      </c>
      <c r="C521" s="260" t="str">
        <f>'Dry_Litterbag Placem_Collection'!B82</f>
        <v>Maswa</v>
      </c>
      <c r="D521" s="260" t="s">
        <v>2643</v>
      </c>
      <c r="E521" s="260" t="s">
        <v>2645</v>
      </c>
      <c r="F521" s="260">
        <v>2</v>
      </c>
      <c r="G521" s="260" t="s">
        <v>3812</v>
      </c>
      <c r="H521" s="261" t="str">
        <f>'Dry_Litterbag Placem_Collection'!C82</f>
        <v>Dry_W2_T8</v>
      </c>
      <c r="I521" s="270" t="s">
        <v>3630</v>
      </c>
      <c r="J521" s="263" t="s">
        <v>1147</v>
      </c>
      <c r="K521" s="221" t="str">
        <f>'WetLitterbags placem_collection'!O82</f>
        <v>G474</v>
      </c>
      <c r="L521" s="223">
        <f>IFERROR(INDEX('Green_rooibos initial weight'!$C$5:$C$2000,MATCH(K521, 'Green_rooibos initial weight'!$A$5:$A$2000,0)),"")</f>
        <v>2.1930000000000001</v>
      </c>
      <c r="M521" s="223">
        <f>IFERROR(L521-(TBIcalc!$H$9+TBIcalc!$H$10),"")</f>
        <v>1.9432</v>
      </c>
      <c r="N521" s="385">
        <f>AVERAGE(Ashed_controlls!$K$2:$K$11)</f>
        <v>5.5147656768714146</v>
      </c>
      <c r="O521" s="223">
        <f t="shared" si="41"/>
        <v>1.8360370733670348</v>
      </c>
      <c r="P521" s="223">
        <f>IFERROR(INDEX('Both teabags AfterWet'!$C$3:$C$840,MATCH(K521,'Both teabags AfterWet'!$A$3:$A$840,0)),"")</f>
        <v>1.0009999999999999</v>
      </c>
      <c r="Q521" s="223">
        <f>IFERROR(IF(P521&gt;0,P521-(TBIcalc!$H$9),""),"")</f>
        <v>0.85039999999999982</v>
      </c>
      <c r="R521" s="223">
        <f>IFERROR(INDEX('Ashed teabags wet'!$K$2:$K$2000,MATCH(K521,'Ashed teabags wet'!$A$2:$A$2000,0)),"")</f>
        <v>5.8354114713218834</v>
      </c>
      <c r="S521" s="223">
        <f t="shared" si="42"/>
        <v>0.80077566084787855</v>
      </c>
      <c r="T521" s="224">
        <f>'WetLitterbags placem_collection'!E82</f>
        <v>42767</v>
      </c>
      <c r="U521" s="224">
        <f>IF('WetLitterbags placem_collection'!G82="","",'WetLitterbags placem_collection'!G82)</f>
        <v>42818</v>
      </c>
      <c r="V521" s="225">
        <f t="shared" si="40"/>
        <v>51</v>
      </c>
      <c r="W521" s="223">
        <f t="shared" si="43"/>
        <v>1.0928000000000002</v>
      </c>
      <c r="X521" s="223">
        <f t="shared" si="44"/>
        <v>1.0352614125191564</v>
      </c>
      <c r="Y521">
        <f>IFERROR(INDEX(Rainfall_Wet!$O$2:$O$217,MATCH(B521, Rainfall_Wet!$A$2:$A$217,0)),"")</f>
        <v>185.630065823</v>
      </c>
      <c r="Z521" s="228">
        <v>45.272914521112256</v>
      </c>
      <c r="AA521" s="228">
        <v>23.604531410916575</v>
      </c>
      <c r="AB521" s="228">
        <v>31.122554067971166</v>
      </c>
      <c r="AC521" s="229" t="s">
        <v>2657</v>
      </c>
      <c r="AD521" s="228">
        <v>9.0547560374568796</v>
      </c>
      <c r="AE521">
        <f>IF('WetLitterbags placem_collection'!AB82="","",'WetLitterbags placem_collection'!AB82)</f>
        <v>2.7</v>
      </c>
      <c r="AF521">
        <f>IF('WetLitterbags placem_collection'!Z82="","",'WetLitterbags placem_collection'!Z82)</f>
        <v>12.4</v>
      </c>
      <c r="AG521" s="243" t="str">
        <f>IF('WetLitterbags placem_collection'!AA82="","",'WetLitterbags placem_collection'!AA82)</f>
        <v>O</v>
      </c>
      <c r="AH521">
        <f>IF('WetLitterbags placem_collection'!AC82="","",'WetLitterbags placem_collection'!AC82)</f>
        <v>1</v>
      </c>
      <c r="AI521" s="237">
        <f>AVERAGE('WetLitterbags placem_collection'!S82,'WetLitterbags placem_collection'!U82)</f>
        <v>28.55</v>
      </c>
      <c r="AJ521">
        <f>AVERAGE('WetLitterbags placem_collection'!R82,'WetLitterbags placem_collection'!T82)</f>
        <v>27.450000000000003</v>
      </c>
      <c r="AK521">
        <f>INDEX(Coordinates!$B$2:$B$197,MATCH(H521,Coordinates!$J$2:$J$197,0))</f>
        <v>-3.3028539920000002</v>
      </c>
      <c r="AL521">
        <f>INDEX(Coordinates!$C$2:$C$197,MATCH(H521,Coordinates!$J$2:$J$197,0))</f>
        <v>34.847988999999998</v>
      </c>
      <c r="AM521" t="str">
        <f>IF(ISNUMBER(SEARCH("C", 'WetLitterbags placem_collection'!$X82)),"YES","NO")</f>
        <v>NO</v>
      </c>
      <c r="AN521" t="str">
        <f>IF(ISNUMBER(SEARCH("H", 'WetLitterbags placem_collection'!$X82)),"YES","NO")</f>
        <v>NO</v>
      </c>
      <c r="AO521" t="str">
        <f>IF(ISNUMBER(SEARCH("R", 'WetLitterbags placem_collection'!$X82)),"YES","NO")</f>
        <v>YES</v>
      </c>
    </row>
    <row r="522" spans="1:41" ht="15" customHeight="1">
      <c r="A522" s="255" t="s">
        <v>2454</v>
      </c>
      <c r="B522" s="260">
        <f>'Dry_Litterbag Placem_Collection'!A83</f>
        <v>81</v>
      </c>
      <c r="C522" s="260" t="str">
        <f>'Dry_Litterbag Placem_Collection'!B83</f>
        <v>Maswa</v>
      </c>
      <c r="D522" s="260" t="s">
        <v>2643</v>
      </c>
      <c r="E522" s="260" t="s">
        <v>2645</v>
      </c>
      <c r="F522" s="260">
        <v>3</v>
      </c>
      <c r="G522" s="260" t="s">
        <v>3813</v>
      </c>
      <c r="H522" s="261" t="str">
        <f>'Dry_Litterbag Placem_Collection'!C83</f>
        <v>Dry_W3_T1</v>
      </c>
      <c r="I522" s="270" t="s">
        <v>3630</v>
      </c>
      <c r="J522" s="263" t="s">
        <v>1147</v>
      </c>
      <c r="K522" s="221" t="str">
        <f>'WetLitterbags placem_collection'!O83</f>
        <v>G475</v>
      </c>
      <c r="L522" s="223">
        <f>IFERROR(INDEX('Green_rooibos initial weight'!$C$5:$C$2000,MATCH(K522, 'Green_rooibos initial weight'!$A$5:$A$2000,0)),"")</f>
        <v>2.0110000000000001</v>
      </c>
      <c r="M522" s="223">
        <f>IFERROR(L522-(TBIcalc!$H$9+TBIcalc!$H$10),"")</f>
        <v>1.7612000000000001</v>
      </c>
      <c r="N522" s="385">
        <f>AVERAGE(Ashed_controlls!$K$2:$K$11)</f>
        <v>5.5147656768714146</v>
      </c>
      <c r="O522" s="223">
        <f t="shared" si="41"/>
        <v>1.6640739468989407</v>
      </c>
      <c r="P522" s="223">
        <f>IFERROR(INDEX('Both teabags AfterWet'!$C$3:$C$840,MATCH(K522,'Both teabags AfterWet'!$A$3:$A$840,0)),"")</f>
        <v>0.65200000000000002</v>
      </c>
      <c r="Q522" s="223">
        <f>IFERROR(IF(P522&gt;0,P522-(TBIcalc!$H$9),""),"")</f>
        <v>0.50140000000000007</v>
      </c>
      <c r="R522" s="223">
        <f>IFERROR(INDEX('Ashed teabags wet'!$K$2:$K$2000,MATCH(K522,'Ashed teabags wet'!$A$2:$A$2000,0)),"")</f>
        <v>11.582626060908067</v>
      </c>
      <c r="S522" s="223">
        <f t="shared" si="42"/>
        <v>0.44332471293060699</v>
      </c>
      <c r="T522" s="224">
        <f>'WetLitterbags placem_collection'!E83</f>
        <v>42767</v>
      </c>
      <c r="U522" s="224">
        <f>IF('WetLitterbags placem_collection'!G83="","",'WetLitterbags placem_collection'!G83)</f>
        <v>42818</v>
      </c>
      <c r="V522" s="225">
        <f t="shared" si="40"/>
        <v>51</v>
      </c>
      <c r="W522" s="223">
        <f t="shared" si="43"/>
        <v>1.2598</v>
      </c>
      <c r="X522" s="223">
        <f t="shared" si="44"/>
        <v>1.2207492339683337</v>
      </c>
      <c r="Y522">
        <f>IFERROR(INDEX(Rainfall_Wet!$O$2:$O$217,MATCH(B522, Rainfall_Wet!$A$2:$A$217,0)),"")</f>
        <v>185.01185076100001</v>
      </c>
      <c r="Z522" s="228">
        <v>38.691629007962128</v>
      </c>
      <c r="AA522" s="228">
        <v>26.81299763288143</v>
      </c>
      <c r="AB522" s="228">
        <v>34.495373359156439</v>
      </c>
      <c r="AC522" s="229" t="s">
        <v>2659</v>
      </c>
      <c r="AD522" s="228">
        <v>2.5483587974371611</v>
      </c>
      <c r="AE522">
        <f>IF('WetLitterbags placem_collection'!AB83="","",'WetLitterbags placem_collection'!AB83)</f>
        <v>6.2</v>
      </c>
      <c r="AF522">
        <f>IF('WetLitterbags placem_collection'!Z83="","",'WetLitterbags placem_collection'!Z83)</f>
        <v>13.3</v>
      </c>
      <c r="AG522" s="243" t="str">
        <f>IF('WetLitterbags placem_collection'!AA83="","",'WetLitterbags placem_collection'!AA83)</f>
        <v>O</v>
      </c>
      <c r="AH522">
        <f>IF('WetLitterbags placem_collection'!AC83="","",'WetLitterbags placem_collection'!AC83)</f>
        <v>0</v>
      </c>
      <c r="AI522" s="237">
        <f>AVERAGE('WetLitterbags placem_collection'!S83,'WetLitterbags placem_collection'!U83)</f>
        <v>26.35</v>
      </c>
      <c r="AJ522">
        <f>AVERAGE('WetLitterbags placem_collection'!R83,'WetLitterbags placem_collection'!T83)</f>
        <v>26.65</v>
      </c>
      <c r="AK522">
        <f>INDEX(Coordinates!$B$2:$B$197,MATCH(H522,Coordinates!$J$2:$J$197,0))</f>
        <v>-3.2957159630000001</v>
      </c>
      <c r="AL522">
        <f>INDEX(Coordinates!$C$2:$C$197,MATCH(H522,Coordinates!$J$2:$J$197,0))</f>
        <v>34.852460999999998</v>
      </c>
      <c r="AM522" t="str">
        <f>IF(ISNUMBER(SEARCH("C", 'WetLitterbags placem_collection'!$X83)),"YES","NO")</f>
        <v>NO</v>
      </c>
      <c r="AN522" t="str">
        <f>IF(ISNUMBER(SEARCH("H", 'WetLitterbags placem_collection'!$X83)),"YES","NO")</f>
        <v>NO</v>
      </c>
      <c r="AO522" t="str">
        <f>IF(ISNUMBER(SEARCH("R", 'WetLitterbags placem_collection'!$X83)),"YES","NO")</f>
        <v>YES</v>
      </c>
    </row>
    <row r="523" spans="1:41" ht="15" customHeight="1">
      <c r="A523" s="255" t="s">
        <v>2454</v>
      </c>
      <c r="B523" s="260">
        <f>'Dry_Litterbag Placem_Collection'!A84</f>
        <v>82</v>
      </c>
      <c r="C523" s="260" t="str">
        <f>'Dry_Litterbag Placem_Collection'!B84</f>
        <v>Maswa</v>
      </c>
      <c r="D523" s="260" t="s">
        <v>2643</v>
      </c>
      <c r="E523" s="260" t="s">
        <v>2645</v>
      </c>
      <c r="F523" s="260">
        <v>3</v>
      </c>
      <c r="G523" s="260" t="s">
        <v>3813</v>
      </c>
      <c r="H523" s="261" t="str">
        <f>'Dry_Litterbag Placem_Collection'!C84</f>
        <v>Dry_W3_T2</v>
      </c>
      <c r="I523" s="270" t="s">
        <v>3630</v>
      </c>
      <c r="J523" s="263" t="s">
        <v>1147</v>
      </c>
      <c r="K523" s="221" t="str">
        <f>'WetLitterbags placem_collection'!O84</f>
        <v>G840</v>
      </c>
      <c r="L523" s="223">
        <f>IFERROR(INDEX('Green_rooibos initial weight'!$C$5:$C$2000,MATCH(K523, 'Green_rooibos initial weight'!$A$5:$A$2000,0)),"")</f>
        <v>2.056</v>
      </c>
      <c r="M523" s="223">
        <f>IFERROR(L523-(TBIcalc!$H$9+TBIcalc!$H$10),"")</f>
        <v>1.8062</v>
      </c>
      <c r="N523" s="385">
        <f>AVERAGE(Ashed_controlls!$K$2:$K$11)</f>
        <v>5.5147656768714146</v>
      </c>
      <c r="O523" s="223">
        <f t="shared" si="41"/>
        <v>1.7065923023443486</v>
      </c>
      <c r="P523" s="223">
        <f>IFERROR(INDEX('Both teabags AfterWet'!$C$3:$C$840,MATCH(K523,'Both teabags AfterWet'!$A$3:$A$840,0)),"")</f>
        <v>0.74299999999999999</v>
      </c>
      <c r="Q523" s="223">
        <f>IFERROR(IF(P523&gt;0,P523-(TBIcalc!$H$9),""),"")</f>
        <v>0.59240000000000004</v>
      </c>
      <c r="R523" s="223">
        <f>IFERROR(INDEX('Ashed teabags wet'!$K$2:$K$2000,MATCH(K523,'Ashed teabags wet'!$A$2:$A$2000,0)),"")</f>
        <v>8.3909180651525794</v>
      </c>
      <c r="S523" s="223">
        <f t="shared" si="42"/>
        <v>0.54269220138203611</v>
      </c>
      <c r="T523" s="224">
        <f>'WetLitterbags placem_collection'!E84</f>
        <v>42767</v>
      </c>
      <c r="U523" s="224">
        <f>IF('WetLitterbags placem_collection'!G84="","",'WetLitterbags placem_collection'!G84)</f>
        <v>42819</v>
      </c>
      <c r="V523" s="225">
        <f t="shared" si="40"/>
        <v>52</v>
      </c>
      <c r="W523" s="223">
        <f t="shared" si="43"/>
        <v>1.2138</v>
      </c>
      <c r="X523" s="223">
        <f t="shared" si="44"/>
        <v>1.1639001009623124</v>
      </c>
      <c r="Y523">
        <f>IFERROR(INDEX(Rainfall_Wet!$O$2:$O$217,MATCH(B523, Rainfall_Wet!$A$2:$A$217,0)),"")</f>
        <v>194.93009798400001</v>
      </c>
      <c r="Z523" s="228">
        <v>38.691629007962128</v>
      </c>
      <c r="AA523" s="228">
        <v>26.81299763288143</v>
      </c>
      <c r="AB523" s="228">
        <v>34.495373359156439</v>
      </c>
      <c r="AC523" s="229" t="s">
        <v>2659</v>
      </c>
      <c r="AD523" s="228">
        <v>3.5483587974371602</v>
      </c>
      <c r="AE523">
        <f>IF('WetLitterbags placem_collection'!AB84="","",'WetLitterbags placem_collection'!AB84)</f>
        <v>2.4</v>
      </c>
      <c r="AF523">
        <f>IF('WetLitterbags placem_collection'!Z84="","",'WetLitterbags placem_collection'!Z84)</f>
        <v>16.600000000000001</v>
      </c>
      <c r="AG523" s="243" t="str">
        <f>IF('WetLitterbags placem_collection'!AA84="","",'WetLitterbags placem_collection'!AA84)</f>
        <v>O</v>
      </c>
      <c r="AH523" t="str">
        <f>IF('WetLitterbags placem_collection'!AC84="","",'WetLitterbags placem_collection'!AC84)</f>
        <v/>
      </c>
      <c r="AI523" s="237">
        <f>AVERAGE('WetLitterbags placem_collection'!S84,'WetLitterbags placem_collection'!U84)</f>
        <v>26.6</v>
      </c>
      <c r="AJ523">
        <f>AVERAGE('WetLitterbags placem_collection'!R84,'WetLitterbags placem_collection'!T84)</f>
        <v>23.05</v>
      </c>
      <c r="AK523">
        <f>INDEX(Coordinates!$B$2:$B$197,MATCH(H523,Coordinates!$J$2:$J$197,0))</f>
        <v>-3.2957230040000001</v>
      </c>
      <c r="AL523">
        <f>INDEX(Coordinates!$C$2:$C$197,MATCH(H523,Coordinates!$J$2:$J$197,0))</f>
        <v>34.852416990000002</v>
      </c>
      <c r="AM523" t="str">
        <f>IF(ISNUMBER(SEARCH("C", 'WetLitterbags placem_collection'!$X84)),"YES","NO")</f>
        <v>NO</v>
      </c>
      <c r="AN523" t="str">
        <f>IF(ISNUMBER(SEARCH("H", 'WetLitterbags placem_collection'!$X84)),"YES","NO")</f>
        <v>NO</v>
      </c>
      <c r="AO523" t="str">
        <f>IF(ISNUMBER(SEARCH("R", 'WetLitterbags placem_collection'!$X84)),"YES","NO")</f>
        <v>YES</v>
      </c>
    </row>
    <row r="524" spans="1:41" ht="15" customHeight="1">
      <c r="A524" s="255" t="s">
        <v>2454</v>
      </c>
      <c r="B524" s="260">
        <f>'Dry_Litterbag Placem_Collection'!A85</f>
        <v>83</v>
      </c>
      <c r="C524" s="260" t="str">
        <f>'Dry_Litterbag Placem_Collection'!B85</f>
        <v>Maswa</v>
      </c>
      <c r="D524" s="260" t="s">
        <v>2643</v>
      </c>
      <c r="E524" s="260" t="s">
        <v>2645</v>
      </c>
      <c r="F524" s="260">
        <v>3</v>
      </c>
      <c r="G524" s="260" t="s">
        <v>3813</v>
      </c>
      <c r="H524" s="261" t="str">
        <f>'Dry_Litterbag Placem_Collection'!C85</f>
        <v>Dry_W3_T3</v>
      </c>
      <c r="I524" s="270" t="s">
        <v>3630</v>
      </c>
      <c r="J524" s="263" t="s">
        <v>1147</v>
      </c>
      <c r="K524" s="221" t="str">
        <f>'WetLitterbags placem_collection'!O85</f>
        <v>G298</v>
      </c>
      <c r="L524" s="223">
        <f>IFERROR(INDEX('Green_rooibos initial weight'!$C$5:$C$2000,MATCH(K524, 'Green_rooibos initial weight'!$A$5:$A$2000,0)),"")</f>
        <v>2.0550000000000002</v>
      </c>
      <c r="M524" s="223">
        <f>IFERROR(L524-(TBIcalc!$H$9+TBIcalc!$H$10),"")</f>
        <v>1.8052000000000001</v>
      </c>
      <c r="N524" s="385">
        <f>AVERAGE(Ashed_controlls!$K$2:$K$11)</f>
        <v>5.5147656768714146</v>
      </c>
      <c r="O524" s="223">
        <f t="shared" si="41"/>
        <v>1.7056474500011174</v>
      </c>
      <c r="P524" s="223">
        <f>IFERROR(INDEX('Both teabags AfterWet'!$C$3:$C$840,MATCH(K524,'Both teabags AfterWet'!$A$3:$A$840,0)),"")</f>
        <v>0.88800000000000001</v>
      </c>
      <c r="Q524" s="223">
        <f>IFERROR(IF(P524&gt;0,P524-(TBIcalc!$H$9),""),"")</f>
        <v>0.73740000000000006</v>
      </c>
      <c r="R524" s="223">
        <f>IFERROR(INDEX('Ashed teabags wet'!$K$2:$K$2000,MATCH(K524,'Ashed teabags wet'!$A$2:$A$2000,0)),"")</f>
        <v>14.849074975657658</v>
      </c>
      <c r="S524" s="223">
        <f t="shared" si="42"/>
        <v>0.62790292112950041</v>
      </c>
      <c r="T524" s="224">
        <f>'WetLitterbags placem_collection'!E85</f>
        <v>42767</v>
      </c>
      <c r="U524" s="224">
        <f>IF('WetLitterbags placem_collection'!G85="","",'WetLitterbags placem_collection'!G85)</f>
        <v>42819</v>
      </c>
      <c r="V524" s="225">
        <f t="shared" si="40"/>
        <v>52</v>
      </c>
      <c r="W524" s="223">
        <f t="shared" si="43"/>
        <v>1.0678000000000001</v>
      </c>
      <c r="X524" s="223">
        <f t="shared" si="44"/>
        <v>1.077744528871617</v>
      </c>
      <c r="Y524">
        <f>IFERROR(INDEX(Rainfall_Wet!$O$2:$O$217,MATCH(B524, Rainfall_Wet!$A$2:$A$217,0)),"")</f>
        <v>194.93009798400001</v>
      </c>
      <c r="Z524" s="228">
        <v>38.691629007962128</v>
      </c>
      <c r="AA524" s="228">
        <v>26.81299763288143</v>
      </c>
      <c r="AB524" s="228">
        <v>34.495373359156439</v>
      </c>
      <c r="AC524" s="229" t="s">
        <v>2659</v>
      </c>
      <c r="AD524" s="228">
        <v>4.5483587974371602</v>
      </c>
      <c r="AE524">
        <f>IF('WetLitterbags placem_collection'!AB85="","",'WetLitterbags placem_collection'!AB85)</f>
        <v>6.4</v>
      </c>
      <c r="AF524">
        <f>IF('WetLitterbags placem_collection'!Z85="","",'WetLitterbags placem_collection'!Z85)</f>
        <v>42</v>
      </c>
      <c r="AG524" s="243" t="str">
        <f>IF('WetLitterbags placem_collection'!AA85="","",'WetLitterbags placem_collection'!AA85)</f>
        <v>M</v>
      </c>
      <c r="AH524">
        <f>IF('WetLitterbags placem_collection'!AC85="","",'WetLitterbags placem_collection'!AC85)</f>
        <v>1</v>
      </c>
      <c r="AI524" s="237">
        <f>AVERAGE('WetLitterbags placem_collection'!S85,'WetLitterbags placem_collection'!U85)</f>
        <v>30.099999999999998</v>
      </c>
      <c r="AJ524">
        <f>AVERAGE('WetLitterbags placem_collection'!R85,'WetLitterbags placem_collection'!T85)</f>
        <v>25.05</v>
      </c>
      <c r="AK524">
        <f>INDEX(Coordinates!$B$2:$B$197,MATCH(H524,Coordinates!$J$2:$J$197,0))</f>
        <v>-3.2957430369999998</v>
      </c>
      <c r="AL524">
        <f>INDEX(Coordinates!$C$2:$C$197,MATCH(H524,Coordinates!$J$2:$J$197,0))</f>
        <v>34.852309030000001</v>
      </c>
      <c r="AM524" t="str">
        <f>IF(ISNUMBER(SEARCH("C", 'WetLitterbags placem_collection'!$X85)),"YES","NO")</f>
        <v>NO</v>
      </c>
      <c r="AN524" t="str">
        <f>IF(ISNUMBER(SEARCH("H", 'WetLitterbags placem_collection'!$X85)),"YES","NO")</f>
        <v>NO</v>
      </c>
      <c r="AO524" t="str">
        <f>IF(ISNUMBER(SEARCH("R", 'WetLitterbags placem_collection'!$X85)),"YES","NO")</f>
        <v>YES</v>
      </c>
    </row>
    <row r="525" spans="1:41" ht="15" customHeight="1">
      <c r="A525" s="255" t="s">
        <v>2454</v>
      </c>
      <c r="B525" s="260">
        <f>'Dry_Litterbag Placem_Collection'!A86</f>
        <v>84</v>
      </c>
      <c r="C525" s="260" t="str">
        <f>'Dry_Litterbag Placem_Collection'!B86</f>
        <v>Maswa</v>
      </c>
      <c r="D525" s="260" t="s">
        <v>2643</v>
      </c>
      <c r="E525" s="260" t="s">
        <v>2645</v>
      </c>
      <c r="F525" s="260">
        <v>3</v>
      </c>
      <c r="G525" s="260" t="s">
        <v>3813</v>
      </c>
      <c r="H525" s="261" t="str">
        <f>'Dry_Litterbag Placem_Collection'!C86</f>
        <v>Dry_W3_T4</v>
      </c>
      <c r="I525" s="270" t="s">
        <v>3630</v>
      </c>
      <c r="J525" s="263" t="s">
        <v>1147</v>
      </c>
      <c r="K525" s="221" t="str">
        <f>'WetLitterbags placem_collection'!O86</f>
        <v>G520</v>
      </c>
      <c r="L525" s="223">
        <f>IFERROR(INDEX('Green_rooibos initial weight'!$C$5:$C$2000,MATCH(K525, 'Green_rooibos initial weight'!$A$5:$A$2000,0)),"")</f>
        <v>1.929</v>
      </c>
      <c r="M525" s="223">
        <f>IFERROR(L525-(TBIcalc!$H$9+TBIcalc!$H$10),"")</f>
        <v>1.6792</v>
      </c>
      <c r="N525" s="385">
        <f>AVERAGE(Ashed_controlls!$K$2:$K$11)</f>
        <v>5.5147656768714146</v>
      </c>
      <c r="O525" s="223">
        <f t="shared" si="41"/>
        <v>1.5865960547539752</v>
      </c>
      <c r="P525" s="223">
        <f>IFERROR(INDEX('Both teabags AfterWet'!$C$3:$C$840,MATCH(K525,'Both teabags AfterWet'!$A$3:$A$840,0)),"")</f>
        <v>0.81299999999999994</v>
      </c>
      <c r="Q525" s="223">
        <f>IFERROR(IF(P525&gt;0,P525-(TBIcalc!$H$9),""),"")</f>
        <v>0.66239999999999988</v>
      </c>
      <c r="R525" s="223">
        <f>IFERROR(INDEX('Ashed teabags wet'!$K$2:$K$2000,MATCH(K525,'Ashed teabags wet'!$A$2:$A$2000,0)),"")</f>
        <v>10.723192019949995</v>
      </c>
      <c r="S525" s="223">
        <f t="shared" si="42"/>
        <v>0.59136957605985108</v>
      </c>
      <c r="T525" s="224">
        <f>'WetLitterbags placem_collection'!E86</f>
        <v>42767</v>
      </c>
      <c r="U525" s="224">
        <f>IF('WetLitterbags placem_collection'!G86="","",'WetLitterbags placem_collection'!G86)</f>
        <v>42819</v>
      </c>
      <c r="V525" s="225">
        <f t="shared" si="40"/>
        <v>52</v>
      </c>
      <c r="W525" s="223">
        <f t="shared" si="43"/>
        <v>1.0168000000000001</v>
      </c>
      <c r="X525" s="223">
        <f t="shared" si="44"/>
        <v>0.99522647869412417</v>
      </c>
      <c r="Y525">
        <f>IFERROR(INDEX(Rainfall_Wet!$O$2:$O$217,MATCH(B525, Rainfall_Wet!$A$2:$A$217,0)),"")</f>
        <v>194.93009798400001</v>
      </c>
      <c r="Z525" s="228">
        <v>38.691629007962128</v>
      </c>
      <c r="AA525" s="228">
        <v>26.81299763288143</v>
      </c>
      <c r="AB525" s="228">
        <v>34.495373359156439</v>
      </c>
      <c r="AC525" s="229" t="s">
        <v>2659</v>
      </c>
      <c r="AD525" s="228">
        <v>5.5483587974371602</v>
      </c>
      <c r="AE525">
        <f>IF('WetLitterbags placem_collection'!AB86="","",'WetLitterbags placem_collection'!AB86)</f>
        <v>5.5</v>
      </c>
      <c r="AF525">
        <f>IF('WetLitterbags placem_collection'!Z86="","",'WetLitterbags placem_collection'!Z86)</f>
        <v>55.8</v>
      </c>
      <c r="AG525" s="243" t="str">
        <f>IF('WetLitterbags placem_collection'!AA86="","",'WetLitterbags placem_collection'!AA86)</f>
        <v>M</v>
      </c>
      <c r="AH525">
        <f>IF('WetLitterbags placem_collection'!AC86="","",'WetLitterbags placem_collection'!AC86)</f>
        <v>1</v>
      </c>
      <c r="AI525" s="237">
        <f>AVERAGE('WetLitterbags placem_collection'!S86,'WetLitterbags placem_collection'!U86)</f>
        <v>27.75</v>
      </c>
      <c r="AJ525">
        <f>AVERAGE('WetLitterbags placem_collection'!R86,'WetLitterbags placem_collection'!T86)</f>
        <v>23.6</v>
      </c>
      <c r="AK525">
        <f>INDEX(Coordinates!$B$2:$B$197,MATCH(H525,Coordinates!$J$2:$J$197,0))</f>
        <v>-3.295795005</v>
      </c>
      <c r="AL525">
        <f>INDEX(Coordinates!$C$2:$C$197,MATCH(H525,Coordinates!$J$2:$J$197,0))</f>
        <v>34.85232001</v>
      </c>
      <c r="AM525" t="str">
        <f>IF(ISNUMBER(SEARCH("C", 'WetLitterbags placem_collection'!$X86)),"YES","NO")</f>
        <v>NO</v>
      </c>
      <c r="AN525" t="str">
        <f>IF(ISNUMBER(SEARCH("H", 'WetLitterbags placem_collection'!$X86)),"YES","NO")</f>
        <v>NO</v>
      </c>
      <c r="AO525" t="str">
        <f>IF(ISNUMBER(SEARCH("R", 'WetLitterbags placem_collection'!$X86)),"YES","NO")</f>
        <v>YES</v>
      </c>
    </row>
    <row r="526" spans="1:41" ht="15" customHeight="1">
      <c r="A526" s="255" t="s">
        <v>2454</v>
      </c>
      <c r="B526" s="260">
        <f>'Dry_Litterbag Placem_Collection'!A87</f>
        <v>85</v>
      </c>
      <c r="C526" s="260" t="str">
        <f>'Dry_Litterbag Placem_Collection'!B87</f>
        <v>Maswa</v>
      </c>
      <c r="D526" s="260" t="s">
        <v>2643</v>
      </c>
      <c r="E526" s="260" t="s">
        <v>2645</v>
      </c>
      <c r="F526" s="260">
        <v>3</v>
      </c>
      <c r="G526" s="260" t="s">
        <v>3813</v>
      </c>
      <c r="H526" s="261" t="str">
        <f>'Dry_Litterbag Placem_Collection'!C87</f>
        <v>Dry_W3_T5</v>
      </c>
      <c r="I526" s="270" t="s">
        <v>3630</v>
      </c>
      <c r="J526" s="263" t="s">
        <v>1147</v>
      </c>
      <c r="K526" s="221" t="str">
        <f>'WetLitterbags placem_collection'!O87</f>
        <v>G441</v>
      </c>
      <c r="L526" s="223">
        <f>IFERROR(INDEX('Green_rooibos initial weight'!$C$5:$C$2000,MATCH(K526, 'Green_rooibos initial weight'!$A$5:$A$2000,0)),"")</f>
        <v>2.1040000000000001</v>
      </c>
      <c r="M526" s="223">
        <f>IFERROR(L526-(TBIcalc!$H$9+TBIcalc!$H$10),"")</f>
        <v>1.8542000000000001</v>
      </c>
      <c r="N526" s="385">
        <f>AVERAGE(Ashed_controlls!$K$2:$K$11)</f>
        <v>5.5147656768714146</v>
      </c>
      <c r="O526" s="223">
        <f t="shared" si="41"/>
        <v>1.7519452148194503</v>
      </c>
      <c r="P526" s="223">
        <f>IFERROR(INDEX('Both teabags AfterWet'!$C$3:$C$840,MATCH(K526,'Both teabags AfterWet'!$A$3:$A$840,0)),"")</f>
        <v>0.96599999999999997</v>
      </c>
      <c r="Q526" s="223">
        <f>IFERROR(IF(P526&gt;0,P526-(TBIcalc!$H$9),""),"")</f>
        <v>0.8153999999999999</v>
      </c>
      <c r="R526" s="223">
        <f>IFERROR(INDEX('Ashed teabags wet'!$K$2:$K$2000,MATCH(K526,'Ashed teabags wet'!$A$2:$A$2000,0)),"")</f>
        <v>11.595639246779045</v>
      </c>
      <c r="S526" s="223">
        <f t="shared" si="42"/>
        <v>0.7208491575817636</v>
      </c>
      <c r="T526" s="224">
        <f>'WetLitterbags placem_collection'!E87</f>
        <v>42767</v>
      </c>
      <c r="U526" s="224">
        <f>IF('WetLitterbags placem_collection'!G87="","",'WetLitterbags placem_collection'!G87)</f>
        <v>42819</v>
      </c>
      <c r="V526" s="225">
        <f t="shared" si="40"/>
        <v>52</v>
      </c>
      <c r="W526" s="223">
        <f t="shared" si="43"/>
        <v>1.0388000000000002</v>
      </c>
      <c r="X526" s="223">
        <f t="shared" si="44"/>
        <v>1.0310960572376868</v>
      </c>
      <c r="Y526">
        <f>IFERROR(INDEX(Rainfall_Wet!$O$2:$O$217,MATCH(B526, Rainfall_Wet!$A$2:$A$217,0)),"")</f>
        <v>194.93009798400001</v>
      </c>
      <c r="Z526" s="228">
        <v>38.691629007962128</v>
      </c>
      <c r="AA526" s="228">
        <v>26.81299763288143</v>
      </c>
      <c r="AB526" s="228">
        <v>34.495373359156439</v>
      </c>
      <c r="AC526" s="229" t="s">
        <v>2659</v>
      </c>
      <c r="AD526" s="228">
        <v>6.5483587974371602</v>
      </c>
      <c r="AE526">
        <f>IF('WetLitterbags placem_collection'!AB87="","",'WetLitterbags placem_collection'!AB87)</f>
        <v>8.6</v>
      </c>
      <c r="AF526">
        <f>IF('WetLitterbags placem_collection'!Z87="","",'WetLitterbags placem_collection'!Z87)</f>
        <v>3.8</v>
      </c>
      <c r="AG526" s="243" t="str">
        <f>IF('WetLitterbags placem_collection'!AA87="","",'WetLitterbags placem_collection'!AA87)</f>
        <v>O</v>
      </c>
      <c r="AH526">
        <f>IF('WetLitterbags placem_collection'!AC87="","",'WetLitterbags placem_collection'!AC87)</f>
        <v>0</v>
      </c>
      <c r="AI526" s="237">
        <f>AVERAGE('WetLitterbags placem_collection'!S87,'WetLitterbags placem_collection'!U87)</f>
        <v>26.55</v>
      </c>
      <c r="AJ526">
        <f>AVERAGE('WetLitterbags placem_collection'!R87,'WetLitterbags placem_collection'!T87)</f>
        <v>23.15</v>
      </c>
      <c r="AK526">
        <f>INDEX(Coordinates!$B$2:$B$197,MATCH(H526,Coordinates!$J$2:$J$197,0))</f>
        <v>-3.2957100119999998</v>
      </c>
      <c r="AL526">
        <f>INDEX(Coordinates!$C$2:$C$197,MATCH(H526,Coordinates!$J$2:$J$197,0))</f>
        <v>34.852283970000002</v>
      </c>
      <c r="AM526" t="str">
        <f>IF(ISNUMBER(SEARCH("C", 'WetLitterbags placem_collection'!$X87)),"YES","NO")</f>
        <v>NO</v>
      </c>
      <c r="AN526" t="str">
        <f>IF(ISNUMBER(SEARCH("H", 'WetLitterbags placem_collection'!$X87)),"YES","NO")</f>
        <v>NO</v>
      </c>
      <c r="AO526" t="str">
        <f>IF(ISNUMBER(SEARCH("R", 'WetLitterbags placem_collection'!$X87)),"YES","NO")</f>
        <v>YES</v>
      </c>
    </row>
    <row r="527" spans="1:41" ht="15" customHeight="1">
      <c r="A527" s="255" t="s">
        <v>2454</v>
      </c>
      <c r="B527" s="260">
        <f>'Dry_Litterbag Placem_Collection'!A88</f>
        <v>86</v>
      </c>
      <c r="C527" s="260" t="str">
        <f>'Dry_Litterbag Placem_Collection'!B88</f>
        <v>Maswa</v>
      </c>
      <c r="D527" s="260" t="s">
        <v>2643</v>
      </c>
      <c r="E527" s="260" t="s">
        <v>2645</v>
      </c>
      <c r="F527" s="260">
        <v>3</v>
      </c>
      <c r="G527" s="260" t="s">
        <v>3813</v>
      </c>
      <c r="H527" s="261" t="str">
        <f>'Dry_Litterbag Placem_Collection'!C88</f>
        <v>Dry_W3_T6</v>
      </c>
      <c r="I527" s="270" t="s">
        <v>3630</v>
      </c>
      <c r="J527" s="263" t="s">
        <v>1147</v>
      </c>
      <c r="K527" s="221" t="str">
        <f>'WetLitterbags placem_collection'!O88</f>
        <v>G561</v>
      </c>
      <c r="L527" s="223">
        <f>IFERROR(INDEX('Green_rooibos initial weight'!$C$5:$C$2000,MATCH(K527, 'Green_rooibos initial weight'!$A$5:$A$2000,0)),"")</f>
        <v>2.1259999999999999</v>
      </c>
      <c r="M527" s="223">
        <f>IFERROR(L527-(TBIcalc!$H$9+TBIcalc!$H$10),"")</f>
        <v>1.8761999999999999</v>
      </c>
      <c r="N527" s="385">
        <f>AVERAGE(Ashed_controlls!$K$2:$K$11)</f>
        <v>5.5147656768714146</v>
      </c>
      <c r="O527" s="223">
        <f t="shared" si="41"/>
        <v>1.7727319663705383</v>
      </c>
      <c r="P527" s="223">
        <f>IFERROR(INDEX('Both teabags AfterWet'!$C$3:$C$840,MATCH(K527,'Both teabags AfterWet'!$A$3:$A$840,0)),"")</f>
        <v>0.74650000000000005</v>
      </c>
      <c r="Q527" s="223">
        <f>IFERROR(IF(P527&gt;0,P527-(TBIcalc!$H$9),""),"")</f>
        <v>0.5959000000000001</v>
      </c>
      <c r="R527" s="223">
        <f>IFERROR(INDEX('Ashed teabags wet'!$K$2:$K$2000,MATCH(K527,'Ashed teabags wet'!$A$2:$A$2000,0)),"")</f>
        <v>8.6978131212732563</v>
      </c>
      <c r="S527" s="223">
        <f t="shared" si="42"/>
        <v>0.54406973161033279</v>
      </c>
      <c r="T527" s="224">
        <f>'WetLitterbags placem_collection'!E88</f>
        <v>42767</v>
      </c>
      <c r="U527" s="224">
        <f>IF('WetLitterbags placem_collection'!G88="","",'WetLitterbags placem_collection'!G88)</f>
        <v>42819</v>
      </c>
      <c r="V527" s="225">
        <f t="shared" si="40"/>
        <v>52</v>
      </c>
      <c r="W527" s="223">
        <f t="shared" si="43"/>
        <v>1.2802999999999998</v>
      </c>
      <c r="X527" s="223">
        <f t="shared" si="44"/>
        <v>1.2286622347602054</v>
      </c>
      <c r="Y527">
        <f>IFERROR(INDEX(Rainfall_Wet!$O$2:$O$217,MATCH(B527, Rainfall_Wet!$A$2:$A$217,0)),"")</f>
        <v>194.93009798400001</v>
      </c>
      <c r="Z527" s="228">
        <v>38.691629007962128</v>
      </c>
      <c r="AA527" s="228">
        <v>26.81299763288143</v>
      </c>
      <c r="AB527" s="228">
        <v>34.495373359156439</v>
      </c>
      <c r="AC527" s="229" t="s">
        <v>2659</v>
      </c>
      <c r="AD527" s="228">
        <v>7.5483587974371602</v>
      </c>
      <c r="AE527">
        <f>IF('WetLitterbags placem_collection'!AB88="","",'WetLitterbags placem_collection'!AB88)</f>
        <v>3.7</v>
      </c>
      <c r="AF527">
        <f>IF('WetLitterbags placem_collection'!Z88="","",'WetLitterbags placem_collection'!Z88)</f>
        <v>7.5</v>
      </c>
      <c r="AG527" s="243" t="str">
        <f>IF('WetLitterbags placem_collection'!AA88="","",'WetLitterbags placem_collection'!AA88)</f>
        <v>O</v>
      </c>
      <c r="AH527">
        <f>IF('WetLitterbags placem_collection'!AC88="","",'WetLitterbags placem_collection'!AC88)</f>
        <v>0</v>
      </c>
      <c r="AI527" s="237">
        <f>AVERAGE('WetLitterbags placem_collection'!S88,'WetLitterbags placem_collection'!U88)</f>
        <v>24.05</v>
      </c>
      <c r="AJ527">
        <f>AVERAGE('WetLitterbags placem_collection'!R88,'WetLitterbags placem_collection'!T88)</f>
        <v>25.799999999999997</v>
      </c>
      <c r="AK527">
        <f>INDEX(Coordinates!$B$2:$B$197,MATCH(H527,Coordinates!$J$2:$J$197,0))</f>
        <v>-3.2956140399999998</v>
      </c>
      <c r="AL527">
        <f>INDEX(Coordinates!$C$2:$C$197,MATCH(H527,Coordinates!$J$2:$J$197,0))</f>
        <v>34.852137030000002</v>
      </c>
      <c r="AM527" t="str">
        <f>IF(ISNUMBER(SEARCH("C", 'WetLitterbags placem_collection'!$X88)),"YES","NO")</f>
        <v>NO</v>
      </c>
      <c r="AN527" t="str">
        <f>IF(ISNUMBER(SEARCH("H", 'WetLitterbags placem_collection'!$X88)),"YES","NO")</f>
        <v>NO</v>
      </c>
      <c r="AO527" t="str">
        <f>IF(ISNUMBER(SEARCH("R", 'WetLitterbags placem_collection'!$X88)),"YES","NO")</f>
        <v>YES</v>
      </c>
    </row>
    <row r="528" spans="1:41" ht="15" customHeight="1">
      <c r="A528" s="255" t="s">
        <v>2454</v>
      </c>
      <c r="B528" s="260">
        <f>'Dry_Litterbag Placem_Collection'!A89</f>
        <v>87</v>
      </c>
      <c r="C528" s="260" t="str">
        <f>'Dry_Litterbag Placem_Collection'!B89</f>
        <v>Maswa</v>
      </c>
      <c r="D528" s="260" t="s">
        <v>2643</v>
      </c>
      <c r="E528" s="260" t="s">
        <v>2645</v>
      </c>
      <c r="F528" s="260">
        <v>3</v>
      </c>
      <c r="G528" s="260" t="s">
        <v>3813</v>
      </c>
      <c r="H528" s="261" t="str">
        <f>'Dry_Litterbag Placem_Collection'!C89</f>
        <v>Dry_W3_T7</v>
      </c>
      <c r="I528" s="270" t="s">
        <v>3630</v>
      </c>
      <c r="J528" s="263" t="s">
        <v>1147</v>
      </c>
      <c r="K528" s="221" t="str">
        <f>'WetLitterbags placem_collection'!O89</f>
        <v>G632</v>
      </c>
      <c r="L528" s="223">
        <f>IFERROR(INDEX('Green_rooibos initial weight'!$C$5:$C$2000,MATCH(K528, 'Green_rooibos initial weight'!$A$5:$A$2000,0)),"")</f>
        <v>2.0779999999999998</v>
      </c>
      <c r="M528" s="223">
        <f>IFERROR(L528-(TBIcalc!$H$9+TBIcalc!$H$10),"")</f>
        <v>1.8281999999999998</v>
      </c>
      <c r="N528" s="385">
        <f>AVERAGE(Ashed_controlls!$K$2:$K$11)</f>
        <v>5.5147656768714146</v>
      </c>
      <c r="O528" s="223">
        <f t="shared" si="41"/>
        <v>1.7273790538954366</v>
      </c>
      <c r="P528" s="223">
        <f>IFERROR(INDEX('Both teabags AfterWet'!$C$3:$C$840,MATCH(K528,'Both teabags AfterWet'!$A$3:$A$840,0)),"")</f>
        <v>0.81640000000000001</v>
      </c>
      <c r="Q528" s="223">
        <f>IFERROR(IF(P528&gt;0,P528-(TBIcalc!$H$9),""),"")</f>
        <v>0.66579999999999995</v>
      </c>
      <c r="R528" s="223">
        <f>IFERROR(INDEX('Ashed teabags wet'!$K$2:$K$2000,MATCH(K528,'Ashed teabags wet'!$A$2:$A$2000,0)),"")</f>
        <v>14.564493098524098</v>
      </c>
      <c r="S528" s="223">
        <f t="shared" si="42"/>
        <v>0.56882960495002655</v>
      </c>
      <c r="T528" s="224">
        <f>'WetLitterbags placem_collection'!E89</f>
        <v>42767</v>
      </c>
      <c r="U528" s="224">
        <f>IF('WetLitterbags placem_collection'!G89="","",'WetLitterbags placem_collection'!G89)</f>
        <v>42819</v>
      </c>
      <c r="V528" s="225">
        <f t="shared" si="40"/>
        <v>52</v>
      </c>
      <c r="W528" s="223">
        <f t="shared" si="43"/>
        <v>1.1623999999999999</v>
      </c>
      <c r="X528" s="223">
        <f t="shared" si="44"/>
        <v>1.15854944894541</v>
      </c>
      <c r="Y528">
        <f>IFERROR(INDEX(Rainfall_Wet!$O$2:$O$217,MATCH(B528, Rainfall_Wet!$A$2:$A$217,0)),"")</f>
        <v>194.93009798400001</v>
      </c>
      <c r="Z528" s="228">
        <v>38.691629007962128</v>
      </c>
      <c r="AA528" s="228">
        <v>26.81299763288143</v>
      </c>
      <c r="AB528" s="228">
        <v>34.495373359156439</v>
      </c>
      <c r="AC528" s="229" t="s">
        <v>2659</v>
      </c>
      <c r="AD528" s="228">
        <v>8.5483587974371602</v>
      </c>
      <c r="AE528">
        <f>IF('WetLitterbags placem_collection'!AB89="","",'WetLitterbags placem_collection'!AB89)</f>
        <v>7.5</v>
      </c>
      <c r="AF528">
        <f>IF('WetLitterbags placem_collection'!Z89="","",'WetLitterbags placem_collection'!Z89)</f>
        <v>12.6</v>
      </c>
      <c r="AG528" s="243" t="str">
        <f>IF('WetLitterbags placem_collection'!AA89="","",'WetLitterbags placem_collection'!AA89)</f>
        <v>O</v>
      </c>
      <c r="AH528">
        <f>IF('WetLitterbags placem_collection'!AC89="","",'WetLitterbags placem_collection'!AC89)</f>
        <v>1</v>
      </c>
      <c r="AI528" s="237">
        <f>AVERAGE('WetLitterbags placem_collection'!S89,'WetLitterbags placem_collection'!U89)</f>
        <v>25.85</v>
      </c>
      <c r="AJ528">
        <f>AVERAGE('WetLitterbags placem_collection'!R89,'WetLitterbags placem_collection'!T89)</f>
        <v>21.55</v>
      </c>
      <c r="AK528">
        <f>INDEX(Coordinates!$B$2:$B$197,MATCH(H528,Coordinates!$J$2:$J$197,0))</f>
        <v>-3.295904975</v>
      </c>
      <c r="AL528">
        <f>INDEX(Coordinates!$C$2:$C$197,MATCH(H528,Coordinates!$J$2:$J$197,0))</f>
        <v>34.852136029999997</v>
      </c>
      <c r="AM528" t="str">
        <f>IF(ISNUMBER(SEARCH("C", 'WetLitterbags placem_collection'!$X89)),"YES","NO")</f>
        <v>NO</v>
      </c>
      <c r="AN528" t="str">
        <f>IF(ISNUMBER(SEARCH("H", 'WetLitterbags placem_collection'!$X89)),"YES","NO")</f>
        <v>NO</v>
      </c>
      <c r="AO528" t="str">
        <f>IF(ISNUMBER(SEARCH("R", 'WetLitterbags placem_collection'!$X89)),"YES","NO")</f>
        <v>YES</v>
      </c>
    </row>
    <row r="529" spans="1:41" ht="15" customHeight="1">
      <c r="A529" s="255" t="s">
        <v>2454</v>
      </c>
      <c r="B529" s="260">
        <f>'Dry_Litterbag Placem_Collection'!A90</f>
        <v>88</v>
      </c>
      <c r="C529" s="260" t="str">
        <f>'Dry_Litterbag Placem_Collection'!B90</f>
        <v>Maswa</v>
      </c>
      <c r="D529" s="260" t="s">
        <v>2643</v>
      </c>
      <c r="E529" s="260" t="s">
        <v>2645</v>
      </c>
      <c r="F529" s="260">
        <v>3</v>
      </c>
      <c r="G529" s="260" t="s">
        <v>3813</v>
      </c>
      <c r="H529" s="261" t="str">
        <f>'Dry_Litterbag Placem_Collection'!C90</f>
        <v>Dry_W3_T8</v>
      </c>
      <c r="I529" s="270" t="s">
        <v>3630</v>
      </c>
      <c r="J529" s="263" t="s">
        <v>1147</v>
      </c>
      <c r="K529" s="221" t="str">
        <f>'WetLitterbags placem_collection'!O90</f>
        <v>G611</v>
      </c>
      <c r="L529" s="223">
        <f>IFERROR(INDEX('Green_rooibos initial weight'!$C$5:$C$2000,MATCH(K529, 'Green_rooibos initial weight'!$A$5:$A$2000,0)),"")</f>
        <v>1.99</v>
      </c>
      <c r="M529" s="223">
        <f>IFERROR(L529-(TBIcalc!$H$9+TBIcalc!$H$10),"")</f>
        <v>1.7402</v>
      </c>
      <c r="N529" s="385">
        <f>AVERAGE(Ashed_controlls!$K$2:$K$11)</f>
        <v>5.5147656768714146</v>
      </c>
      <c r="O529" s="223">
        <f t="shared" si="41"/>
        <v>1.6442320476910837</v>
      </c>
      <c r="P529" s="223">
        <f>IFERROR(INDEX('Both teabags AfterWet'!$C$3:$C$840,MATCH(K529,'Both teabags AfterWet'!$A$3:$A$840,0)),"")</f>
        <v>0.89510000000000001</v>
      </c>
      <c r="Q529" s="223">
        <f>IFERROR(IF(P529&gt;0,P529-(TBIcalc!$H$9),""),"")</f>
        <v>0.74449999999999994</v>
      </c>
      <c r="R529" s="223">
        <f>IFERROR(INDEX('Ashed teabags wet'!$K$2:$K$2000,MATCH(K529,'Ashed teabags wet'!$A$2:$A$2000,0)),"")</f>
        <v>16.371681415929352</v>
      </c>
      <c r="S529" s="223">
        <f t="shared" si="42"/>
        <v>0.62261283185840588</v>
      </c>
      <c r="T529" s="224">
        <f>'WetLitterbags placem_collection'!E90</f>
        <v>42767</v>
      </c>
      <c r="U529" s="224">
        <f>IF('WetLitterbags placem_collection'!G90="","",'WetLitterbags placem_collection'!G90)</f>
        <v>42819</v>
      </c>
      <c r="V529" s="225">
        <f t="shared" si="40"/>
        <v>52</v>
      </c>
      <c r="W529" s="223">
        <f t="shared" si="43"/>
        <v>0.99570000000000003</v>
      </c>
      <c r="X529" s="223">
        <f t="shared" si="44"/>
        <v>1.0216192158326778</v>
      </c>
      <c r="Y529" t="str">
        <f>IFERROR(INDEX(Rainfall_Wet!$O$2:$O$217,MATCH(B529, Rainfall_Wet!$A$2:$A$217,0)),"")</f>
        <v/>
      </c>
      <c r="Z529" s="228">
        <v>38.691629007962128</v>
      </c>
      <c r="AA529" s="228">
        <v>26.81299763288143</v>
      </c>
      <c r="AB529" s="228">
        <v>34.495373359156439</v>
      </c>
      <c r="AC529" s="229" t="s">
        <v>2659</v>
      </c>
      <c r="AD529" s="228">
        <v>9.5483587974371602</v>
      </c>
      <c r="AE529" t="str">
        <f>IF('WetLitterbags placem_collection'!AB90="","",'WetLitterbags placem_collection'!AB90)</f>
        <v/>
      </c>
      <c r="AF529" t="str">
        <f>IF('WetLitterbags placem_collection'!Z90="","",'WetLitterbags placem_collection'!Z90)</f>
        <v/>
      </c>
      <c r="AG529" s="243" t="str">
        <f>IF('WetLitterbags placem_collection'!AA90="","",'WetLitterbags placem_collection'!AA90)</f>
        <v/>
      </c>
      <c r="AH529" t="str">
        <f>IF('WetLitterbags placem_collection'!AC90="","",'WetLitterbags placem_collection'!AC90)</f>
        <v/>
      </c>
      <c r="AI529" s="237">
        <f>AVERAGE('WetLitterbags placem_collection'!S90,'WetLitterbags placem_collection'!U90)</f>
        <v>29.7</v>
      </c>
      <c r="AJ529">
        <f>AVERAGE('WetLitterbags placem_collection'!R90,'WetLitterbags placem_collection'!T90)</f>
        <v>21.4</v>
      </c>
      <c r="AK529">
        <f>INDEX(Coordinates!$B$2:$B$197,MATCH(H529,Coordinates!$J$2:$J$197,0))</f>
        <v>-3.2959530039999998</v>
      </c>
      <c r="AL529">
        <f>INDEX(Coordinates!$C$2:$C$197,MATCH(H529,Coordinates!$J$2:$J$197,0))</f>
        <v>34.85242504</v>
      </c>
      <c r="AM529" t="str">
        <f>IF(ISNUMBER(SEARCH("C", 'WetLitterbags placem_collection'!$X90)),"YES","NO")</f>
        <v>NO</v>
      </c>
      <c r="AN529" t="str">
        <f>IF(ISNUMBER(SEARCH("H", 'WetLitterbags placem_collection'!$X90)),"YES","NO")</f>
        <v>NO</v>
      </c>
      <c r="AO529" t="str">
        <f>IF(ISNUMBER(SEARCH("R", 'WetLitterbags placem_collection'!$X90)),"YES","NO")</f>
        <v>NO</v>
      </c>
    </row>
    <row r="530" spans="1:41" ht="15" customHeight="1">
      <c r="A530" s="255" t="s">
        <v>2454</v>
      </c>
      <c r="B530" s="260">
        <f>'Dry_Litterbag Placem_Collection'!A91</f>
        <v>89</v>
      </c>
      <c r="C530" s="260" t="str">
        <f>'Dry_Litterbag Placem_Collection'!B91</f>
        <v>Maswa</v>
      </c>
      <c r="D530" s="260" t="s">
        <v>2643</v>
      </c>
      <c r="E530" s="260" t="s">
        <v>2645</v>
      </c>
      <c r="F530" s="260">
        <v>4</v>
      </c>
      <c r="G530" s="260" t="s">
        <v>3814</v>
      </c>
      <c r="H530" s="261" t="str">
        <f>'Dry_Litterbag Placem_Collection'!C91</f>
        <v>Dry_W4_T1</v>
      </c>
      <c r="I530" s="270" t="s">
        <v>3630</v>
      </c>
      <c r="J530" s="263" t="s">
        <v>1147</v>
      </c>
      <c r="K530" s="221" t="str">
        <f>'WetLitterbags placem_collection'!O91</f>
        <v>G469</v>
      </c>
      <c r="L530" s="223">
        <f>IFERROR(INDEX('Green_rooibos initial weight'!$C$5:$C$2000,MATCH(K530, 'Green_rooibos initial weight'!$A$5:$A$2000,0)),"")</f>
        <v>1.9630000000000001</v>
      </c>
      <c r="M530" s="223">
        <f>IFERROR(L530-(TBIcalc!$H$9+TBIcalc!$H$10),"")</f>
        <v>1.7132000000000001</v>
      </c>
      <c r="N530" s="385">
        <f>AVERAGE(Ashed_controlls!$K$2:$K$11)</f>
        <v>5.5147656768714146</v>
      </c>
      <c r="O530" s="223">
        <f t="shared" si="41"/>
        <v>1.618721034423839</v>
      </c>
      <c r="P530" s="223">
        <f>IFERROR(INDEX('Both teabags AfterWet'!$C$3:$C$840,MATCH(K530,'Both teabags AfterWet'!$A$3:$A$840,0)),"")</f>
        <v>1.5169999999999999</v>
      </c>
      <c r="Q530" s="223">
        <f>IFERROR(IF(P530&gt;0,P530-(TBIcalc!$H$9),""),"")</f>
        <v>1.3663999999999998</v>
      </c>
      <c r="R530" s="223">
        <f>IFERROR(INDEX('Ashed teabags wet'!$K$2:$K$2000,MATCH(K530,'Ashed teabags wet'!$A$2:$A$2000,0)),"")</f>
        <v>48.044965786901678</v>
      </c>
      <c r="S530" s="223">
        <f t="shared" si="42"/>
        <v>0.70991358748777544</v>
      </c>
      <c r="T530" s="224">
        <f>'WetLitterbags placem_collection'!E91</f>
        <v>42767</v>
      </c>
      <c r="U530" s="224">
        <f>IF('WetLitterbags placem_collection'!G91="","",'WetLitterbags placem_collection'!G91)</f>
        <v>42819</v>
      </c>
      <c r="V530" s="225">
        <f t="shared" si="40"/>
        <v>52</v>
      </c>
      <c r="W530" s="223">
        <f t="shared" si="43"/>
        <v>0.34680000000000022</v>
      </c>
      <c r="X530" s="223">
        <f t="shared" si="44"/>
        <v>0.90880744693606352</v>
      </c>
      <c r="Y530">
        <f>IFERROR(INDEX(Rainfall_Wet!$O$2:$O$217,MATCH(B530, Rainfall_Wet!$A$2:$A$217,0)),"")</f>
        <v>194.93009798400001</v>
      </c>
      <c r="Z530" s="228">
        <v>28.145762029394</v>
      </c>
      <c r="AA530" s="228">
        <v>25.085564727199518</v>
      </c>
      <c r="AB530" s="228">
        <v>46.768673243406489</v>
      </c>
      <c r="AC530" s="229" t="s">
        <v>2654</v>
      </c>
      <c r="AD530" s="228">
        <v>2.1716214884179394</v>
      </c>
      <c r="AE530">
        <f>IF('WetLitterbags placem_collection'!AB91="","",'WetLitterbags placem_collection'!AB91)</f>
        <v>7.3</v>
      </c>
      <c r="AF530">
        <f>IF('WetLitterbags placem_collection'!Z91="","",'WetLitterbags placem_collection'!Z91)</f>
        <v>35.799999999999997</v>
      </c>
      <c r="AG530" s="243" t="str">
        <f>IF('WetLitterbags placem_collection'!AA91="","",'WetLitterbags placem_collection'!AA91)</f>
        <v>O</v>
      </c>
      <c r="AH530">
        <f>IF('WetLitterbags placem_collection'!AC91="","",'WetLitterbags placem_collection'!AC91)</f>
        <v>0</v>
      </c>
      <c r="AI530" s="237">
        <f>AVERAGE('WetLitterbags placem_collection'!S91,'WetLitterbags placem_collection'!U91)</f>
        <v>20.95</v>
      </c>
      <c r="AJ530">
        <f>AVERAGE('WetLitterbags placem_collection'!R91,'WetLitterbags placem_collection'!T91)</f>
        <v>24.45</v>
      </c>
      <c r="AK530">
        <f>INDEX(Coordinates!$B$2:$B$197,MATCH(H530,Coordinates!$J$2:$J$197,0))</f>
        <v>-3.2966709980000002</v>
      </c>
      <c r="AL530">
        <f>INDEX(Coordinates!$C$2:$C$197,MATCH(H530,Coordinates!$J$2:$J$197,0))</f>
        <v>34.854407019999996</v>
      </c>
      <c r="AM530" t="str">
        <f>IF(ISNUMBER(SEARCH("C", 'WetLitterbags placem_collection'!$X91)),"YES","NO")</f>
        <v>NO</v>
      </c>
      <c r="AN530" t="str">
        <f>IF(ISNUMBER(SEARCH("H", 'WetLitterbags placem_collection'!$X91)),"YES","NO")</f>
        <v>NO</v>
      </c>
      <c r="AO530" t="str">
        <f>IF(ISNUMBER(SEARCH("R", 'WetLitterbags placem_collection'!$X91)),"YES","NO")</f>
        <v>YES</v>
      </c>
    </row>
    <row r="531" spans="1:41" ht="15" customHeight="1">
      <c r="A531" s="255" t="s">
        <v>2454</v>
      </c>
      <c r="B531" s="260">
        <f>'Dry_Litterbag Placem_Collection'!A92</f>
        <v>90</v>
      </c>
      <c r="C531" s="260" t="str">
        <f>'Dry_Litterbag Placem_Collection'!B92</f>
        <v>Maswa</v>
      </c>
      <c r="D531" s="260" t="s">
        <v>2643</v>
      </c>
      <c r="E531" s="260" t="s">
        <v>2645</v>
      </c>
      <c r="F531" s="260">
        <v>4</v>
      </c>
      <c r="G531" s="260" t="s">
        <v>3814</v>
      </c>
      <c r="H531" s="261" t="str">
        <f>'Dry_Litterbag Placem_Collection'!C92</f>
        <v>Dry_W4_T2</v>
      </c>
      <c r="I531" s="270" t="s">
        <v>3630</v>
      </c>
      <c r="J531" s="263" t="s">
        <v>1147</v>
      </c>
      <c r="K531" s="221" t="str">
        <f>'WetLitterbags placem_collection'!O92</f>
        <v>G355</v>
      </c>
      <c r="L531" s="223">
        <f>IFERROR(INDEX('Green_rooibos initial weight'!$C$5:$C$2000,MATCH(K531, 'Green_rooibos initial weight'!$A$5:$A$2000,0)),"")</f>
        <v>2.0489999999999999</v>
      </c>
      <c r="M531" s="223">
        <f>IFERROR(L531-(TBIcalc!$H$9+TBIcalc!$H$10),"")</f>
        <v>1.7991999999999999</v>
      </c>
      <c r="N531" s="385">
        <f>AVERAGE(Ashed_controlls!$K$2:$K$11)</f>
        <v>5.5147656768714146</v>
      </c>
      <c r="O531" s="223">
        <f t="shared" si="41"/>
        <v>1.6999783359417293</v>
      </c>
      <c r="P531" s="223">
        <f>IFERROR(INDEX('Both teabags AfterWet'!$C$3:$C$840,MATCH(K531,'Both teabags AfterWet'!$A$3:$A$840,0)),"")</f>
        <v>0.78380000000000005</v>
      </c>
      <c r="Q531" s="223">
        <f>IFERROR(IF(P531&gt;0,P531-(TBIcalc!$H$9),""),"")</f>
        <v>0.63319999999999999</v>
      </c>
      <c r="R531" s="223">
        <f>IFERROR(INDEX('Ashed teabags wet'!$K$2:$K$2000,MATCH(K531,'Ashed teabags wet'!$A$2:$A$2000,0)),"")</f>
        <v>6.6735644076571221</v>
      </c>
      <c r="S531" s="223">
        <f t="shared" si="42"/>
        <v>0.59094299017071505</v>
      </c>
      <c r="T531" s="224">
        <f>'WetLitterbags placem_collection'!E92</f>
        <v>42767</v>
      </c>
      <c r="U531" s="224">
        <f>IF('WetLitterbags placem_collection'!G92="","",'WetLitterbags placem_collection'!G92)</f>
        <v>42819</v>
      </c>
      <c r="V531" s="225">
        <f t="shared" si="40"/>
        <v>52</v>
      </c>
      <c r="W531" s="223">
        <f t="shared" si="43"/>
        <v>1.1659999999999999</v>
      </c>
      <c r="X531" s="223">
        <f t="shared" si="44"/>
        <v>1.1090353457710143</v>
      </c>
      <c r="Y531">
        <f>IFERROR(INDEX(Rainfall_Wet!$O$2:$O$217,MATCH(B531, Rainfall_Wet!$A$2:$A$217,0)),"")</f>
        <v>194.93009798400001</v>
      </c>
      <c r="Z531" s="228">
        <v>28.145762029394</v>
      </c>
      <c r="AA531" s="228">
        <v>25.085564727199518</v>
      </c>
      <c r="AB531" s="228">
        <v>46.768673243406489</v>
      </c>
      <c r="AC531" s="229" t="s">
        <v>2654</v>
      </c>
      <c r="AD531" s="228">
        <v>3.1716214884179399</v>
      </c>
      <c r="AE531">
        <f>IF('WetLitterbags placem_collection'!AB92="","",'WetLitterbags placem_collection'!AB92)</f>
        <v>7.7</v>
      </c>
      <c r="AF531">
        <f>IF('WetLitterbags placem_collection'!Z92="","",'WetLitterbags placem_collection'!Z92)</f>
        <v>30.4</v>
      </c>
      <c r="AG531" s="243" t="str">
        <f>IF('WetLitterbags placem_collection'!AA92="","",'WetLitterbags placem_collection'!AA92)</f>
        <v>O</v>
      </c>
      <c r="AH531">
        <f>IF('WetLitterbags placem_collection'!AC92="","",'WetLitterbags placem_collection'!AC92)</f>
        <v>0</v>
      </c>
      <c r="AI531" s="237">
        <f>AVERAGE('WetLitterbags placem_collection'!S92,'WetLitterbags placem_collection'!U92)</f>
        <v>27.5</v>
      </c>
      <c r="AJ531">
        <f>AVERAGE('WetLitterbags placem_collection'!R92,'WetLitterbags placem_collection'!T92)</f>
        <v>23.85</v>
      </c>
      <c r="AK531">
        <f>INDEX(Coordinates!$B$2:$B$197,MATCH(H531,Coordinates!$J$2:$J$197,0))</f>
        <v>-3.2966860009999999</v>
      </c>
      <c r="AL531">
        <f>INDEX(Coordinates!$C$2:$C$197,MATCH(H531,Coordinates!$J$2:$J$197,0))</f>
        <v>34.854371989999997</v>
      </c>
      <c r="AM531" t="str">
        <f>IF(ISNUMBER(SEARCH("C", 'WetLitterbags placem_collection'!$X92)),"YES","NO")</f>
        <v>NO</v>
      </c>
      <c r="AN531" t="str">
        <f>IF(ISNUMBER(SEARCH("H", 'WetLitterbags placem_collection'!$X92)),"YES","NO")</f>
        <v>NO</v>
      </c>
      <c r="AO531" t="str">
        <f>IF(ISNUMBER(SEARCH("R", 'WetLitterbags placem_collection'!$X92)),"YES","NO")</f>
        <v>NO</v>
      </c>
    </row>
    <row r="532" spans="1:41" ht="15" customHeight="1">
      <c r="A532" s="255" t="s">
        <v>2454</v>
      </c>
      <c r="B532" s="260">
        <f>'Dry_Litterbag Placem_Collection'!A93</f>
        <v>91</v>
      </c>
      <c r="C532" s="260" t="str">
        <f>'Dry_Litterbag Placem_Collection'!B93</f>
        <v>Maswa</v>
      </c>
      <c r="D532" s="260" t="s">
        <v>2643</v>
      </c>
      <c r="E532" s="260" t="s">
        <v>2645</v>
      </c>
      <c r="F532" s="260">
        <v>4</v>
      </c>
      <c r="G532" s="260" t="s">
        <v>3814</v>
      </c>
      <c r="H532" s="261" t="str">
        <f>'Dry_Litterbag Placem_Collection'!C93</f>
        <v>Dry_W4_T3</v>
      </c>
      <c r="I532" s="270" t="s">
        <v>3630</v>
      </c>
      <c r="J532" s="263" t="s">
        <v>1147</v>
      </c>
      <c r="K532" s="221" t="str">
        <f>'WetLitterbags placem_collection'!O93</f>
        <v>G547</v>
      </c>
      <c r="L532" s="223">
        <f>IFERROR(INDEX('Green_rooibos initial weight'!$C$5:$C$2000,MATCH(K532, 'Green_rooibos initial weight'!$A$5:$A$2000,0)),"")</f>
        <v>2.121</v>
      </c>
      <c r="M532" s="223">
        <f>IFERROR(L532-(TBIcalc!$H$9+TBIcalc!$H$10),"")</f>
        <v>1.8712</v>
      </c>
      <c r="N532" s="385">
        <f>AVERAGE(Ashed_controlls!$K$2:$K$11)</f>
        <v>5.5147656768714146</v>
      </c>
      <c r="O532" s="223">
        <f t="shared" si="41"/>
        <v>1.7680077046543821</v>
      </c>
      <c r="P532" s="223">
        <f>IFERROR(INDEX('Both teabags AfterWet'!$C$3:$C$840,MATCH(K532,'Both teabags AfterWet'!$A$3:$A$840,0)),"")</f>
        <v>1.069</v>
      </c>
      <c r="Q532" s="223">
        <f>IFERROR(IF(P532&gt;0,P532-(TBIcalc!$H$9),""),"")</f>
        <v>0.91839999999999988</v>
      </c>
      <c r="R532" s="223">
        <f>IFERROR(INDEX('Ashed teabags wet'!$K$2:$K$2000,MATCH(K532,'Ashed teabags wet'!$A$2:$A$2000,0)),"")</f>
        <v>26.348448687350785</v>
      </c>
      <c r="S532" s="223">
        <f t="shared" si="42"/>
        <v>0.67641584725537029</v>
      </c>
      <c r="T532" s="224">
        <f>'WetLitterbags placem_collection'!E93</f>
        <v>42767</v>
      </c>
      <c r="U532" s="224">
        <f>IF('WetLitterbags placem_collection'!G93="","",'WetLitterbags placem_collection'!G93)</f>
        <v>42819</v>
      </c>
      <c r="V532" s="225">
        <f t="shared" si="40"/>
        <v>52</v>
      </c>
      <c r="W532" s="223">
        <f t="shared" si="43"/>
        <v>0.95280000000000009</v>
      </c>
      <c r="X532" s="223">
        <f t="shared" si="44"/>
        <v>1.0915918573990118</v>
      </c>
      <c r="Y532">
        <f>IFERROR(INDEX(Rainfall_Wet!$O$2:$O$217,MATCH(B532, Rainfall_Wet!$A$2:$A$217,0)),"")</f>
        <v>194.93009798400001</v>
      </c>
      <c r="Z532" s="228">
        <v>28.145762029394</v>
      </c>
      <c r="AA532" s="228">
        <v>25.085564727199518</v>
      </c>
      <c r="AB532" s="228">
        <v>46.768673243406489</v>
      </c>
      <c r="AC532" s="229" t="s">
        <v>2654</v>
      </c>
      <c r="AD532" s="228">
        <v>4.1716214884179399</v>
      </c>
      <c r="AE532">
        <f>IF('WetLitterbags placem_collection'!AB93="","",'WetLitterbags placem_collection'!AB93)</f>
        <v>6.1</v>
      </c>
      <c r="AF532">
        <f>IF('WetLitterbags placem_collection'!Z93="","",'WetLitterbags placem_collection'!Z93)</f>
        <v>39.4</v>
      </c>
      <c r="AG532" s="243" t="str">
        <f>IF('WetLitterbags placem_collection'!AA93="","",'WetLitterbags placem_collection'!AA93)</f>
        <v>O</v>
      </c>
      <c r="AH532">
        <f>IF('WetLitterbags placem_collection'!AC93="","",'WetLitterbags placem_collection'!AC93)</f>
        <v>1</v>
      </c>
      <c r="AI532" s="237">
        <f>AVERAGE('WetLitterbags placem_collection'!S93,'WetLitterbags placem_collection'!U93)</f>
        <v>26.4</v>
      </c>
      <c r="AJ532">
        <f>AVERAGE('WetLitterbags placem_collection'!R93,'WetLitterbags placem_collection'!T93)</f>
        <v>24.35</v>
      </c>
      <c r="AK532">
        <f>INDEX(Coordinates!$B$2:$B$197,MATCH(H532,Coordinates!$J$2:$J$197,0))</f>
        <v>-3.2966180239999998</v>
      </c>
      <c r="AL532">
        <f>INDEX(Coordinates!$C$2:$C$197,MATCH(H532,Coordinates!$J$2:$J$197,0))</f>
        <v>34.854464020000002</v>
      </c>
      <c r="AM532" t="str">
        <f>IF(ISNUMBER(SEARCH("C", 'WetLitterbags placem_collection'!$X93)),"YES","NO")</f>
        <v>NO</v>
      </c>
      <c r="AN532" t="str">
        <f>IF(ISNUMBER(SEARCH("H", 'WetLitterbags placem_collection'!$X93)),"YES","NO")</f>
        <v>NO</v>
      </c>
      <c r="AO532" t="str">
        <f>IF(ISNUMBER(SEARCH("R", 'WetLitterbags placem_collection'!$X93)),"YES","NO")</f>
        <v>YES</v>
      </c>
    </row>
    <row r="533" spans="1:41" ht="15" customHeight="1">
      <c r="A533" s="255" t="s">
        <v>2454</v>
      </c>
      <c r="B533" s="260">
        <f>'Dry_Litterbag Placem_Collection'!A94</f>
        <v>92</v>
      </c>
      <c r="C533" s="260" t="str">
        <f>'Dry_Litterbag Placem_Collection'!B94</f>
        <v>Maswa</v>
      </c>
      <c r="D533" s="260" t="s">
        <v>2643</v>
      </c>
      <c r="E533" s="260" t="s">
        <v>2645</v>
      </c>
      <c r="F533" s="260">
        <v>4</v>
      </c>
      <c r="G533" s="260" t="s">
        <v>3814</v>
      </c>
      <c r="H533" s="261" t="str">
        <f>'Dry_Litterbag Placem_Collection'!C94</f>
        <v>Dry_W4_T4</v>
      </c>
      <c r="I533" s="270" t="s">
        <v>3630</v>
      </c>
      <c r="J533" s="263" t="s">
        <v>1147</v>
      </c>
      <c r="K533" s="221" t="str">
        <f>'WetLitterbags placem_collection'!O94</f>
        <v>G763</v>
      </c>
      <c r="L533" s="223">
        <f>IFERROR(INDEX('Green_rooibos initial weight'!$C$5:$C$2000,MATCH(K533, 'Green_rooibos initial weight'!$A$5:$A$2000,0)),"")</f>
        <v>2.0590000000000002</v>
      </c>
      <c r="M533" s="223">
        <f>IFERROR(L533-(TBIcalc!$H$9+TBIcalc!$H$10),"")</f>
        <v>1.8092000000000001</v>
      </c>
      <c r="N533" s="385">
        <f>AVERAGE(Ashed_controlls!$K$2:$K$11)</f>
        <v>5.5147656768714146</v>
      </c>
      <c r="O533" s="223">
        <f t="shared" si="41"/>
        <v>1.7094268593740425</v>
      </c>
      <c r="P533" s="223">
        <f>IFERROR(INDEX('Both teabags AfterWet'!$C$3:$C$840,MATCH(K533,'Both teabags AfterWet'!$A$3:$A$840,0)),"")</f>
        <v>1.448</v>
      </c>
      <c r="Q533" s="223">
        <f>IFERROR(IF(P533&gt;0,P533-(TBIcalc!$H$9),""),"")</f>
        <v>1.2973999999999999</v>
      </c>
      <c r="R533" s="223">
        <f>IFERROR(INDEX('Ashed teabags wet'!$K$2:$K$2000,MATCH(K533,'Ashed teabags wet'!$A$2:$A$2000,0)),"")</f>
        <v>39.468503937007327</v>
      </c>
      <c r="S533" s="223">
        <f t="shared" si="42"/>
        <v>0.78533562992126693</v>
      </c>
      <c r="T533" s="224">
        <f>'WetLitterbags placem_collection'!E94</f>
        <v>42767</v>
      </c>
      <c r="U533" s="224">
        <f>IF('WetLitterbags placem_collection'!G94="","",'WetLitterbags placem_collection'!G94)</f>
        <v>42819</v>
      </c>
      <c r="V533" s="225">
        <f t="shared" si="40"/>
        <v>52</v>
      </c>
      <c r="W533" s="223">
        <f t="shared" si="43"/>
        <v>0.51180000000000025</v>
      </c>
      <c r="X533" s="223">
        <f t="shared" si="44"/>
        <v>0.92409122945277555</v>
      </c>
      <c r="Y533">
        <f>IFERROR(INDEX(Rainfall_Wet!$O$2:$O$217,MATCH(B533, Rainfall_Wet!$A$2:$A$217,0)),"")</f>
        <v>194.93009798400001</v>
      </c>
      <c r="Z533" s="228">
        <v>28.145762029394</v>
      </c>
      <c r="AA533" s="228">
        <v>25.085564727199518</v>
      </c>
      <c r="AB533" s="228">
        <v>46.768673243406489</v>
      </c>
      <c r="AC533" s="229" t="s">
        <v>2654</v>
      </c>
      <c r="AD533" s="228">
        <v>5.1716214884179399</v>
      </c>
      <c r="AE533">
        <f>IF('WetLitterbags placem_collection'!AB94="","",'WetLitterbags placem_collection'!AB94)</f>
        <v>7.7</v>
      </c>
      <c r="AF533">
        <f>IF('WetLitterbags placem_collection'!Z94="","",'WetLitterbags placem_collection'!Z94)</f>
        <v>24.8</v>
      </c>
      <c r="AG533" s="243" t="str">
        <f>IF('WetLitterbags placem_collection'!AA94="","",'WetLitterbags placem_collection'!AA94)</f>
        <v>O</v>
      </c>
      <c r="AH533">
        <f>IF('WetLitterbags placem_collection'!AC94="","",'WetLitterbags placem_collection'!AC94)</f>
        <v>1</v>
      </c>
      <c r="AI533" s="237">
        <f>AVERAGE('WetLitterbags placem_collection'!S94,'WetLitterbags placem_collection'!U94)</f>
        <v>26.45</v>
      </c>
      <c r="AJ533">
        <f>AVERAGE('WetLitterbags placem_collection'!R94,'WetLitterbags placem_collection'!T94)</f>
        <v>22.6</v>
      </c>
      <c r="AK533">
        <f>INDEX(Coordinates!$B$2:$B$197,MATCH(H533,Coordinates!$J$2:$J$197,0))</f>
        <v>-3.2965539860000002</v>
      </c>
      <c r="AL533">
        <f>INDEX(Coordinates!$C$2:$C$197,MATCH(H533,Coordinates!$J$2:$J$197,0))</f>
        <v>34.854455969999997</v>
      </c>
      <c r="AM533" t="str">
        <f>IF(ISNUMBER(SEARCH("C", 'WetLitterbags placem_collection'!$X94)),"YES","NO")</f>
        <v>NO</v>
      </c>
      <c r="AN533" t="str">
        <f>IF(ISNUMBER(SEARCH("H", 'WetLitterbags placem_collection'!$X94)),"YES","NO")</f>
        <v>NO</v>
      </c>
      <c r="AO533" t="str">
        <f>IF(ISNUMBER(SEARCH("R", 'WetLitterbags placem_collection'!$X94)),"YES","NO")</f>
        <v>YES</v>
      </c>
    </row>
    <row r="534" spans="1:41" ht="15" customHeight="1">
      <c r="A534" s="255" t="s">
        <v>2454</v>
      </c>
      <c r="B534" s="260">
        <f>'Dry_Litterbag Placem_Collection'!A95</f>
        <v>93</v>
      </c>
      <c r="C534" s="260" t="str">
        <f>'Dry_Litterbag Placem_Collection'!B95</f>
        <v>Maswa</v>
      </c>
      <c r="D534" s="260" t="s">
        <v>2643</v>
      </c>
      <c r="E534" s="260" t="s">
        <v>2645</v>
      </c>
      <c r="F534" s="260">
        <v>4</v>
      </c>
      <c r="G534" s="260" t="s">
        <v>3814</v>
      </c>
      <c r="H534" s="261" t="str">
        <f>'Dry_Litterbag Placem_Collection'!C95</f>
        <v>Dry_W4_T5</v>
      </c>
      <c r="I534" s="270" t="s">
        <v>3630</v>
      </c>
      <c r="J534" s="263" t="s">
        <v>1147</v>
      </c>
      <c r="K534" s="221" t="str">
        <f>'WetLitterbags placem_collection'!O95</f>
        <v>G424</v>
      </c>
      <c r="L534" s="223">
        <f>IFERROR(INDEX('Green_rooibos initial weight'!$C$5:$C$2000,MATCH(K534, 'Green_rooibos initial weight'!$A$5:$A$2000,0)),"")</f>
        <v>1.9590000000000001</v>
      </c>
      <c r="M534" s="223">
        <f>IFERROR(L534-(TBIcalc!$H$9+TBIcalc!$H$10),"")</f>
        <v>1.7092000000000001</v>
      </c>
      <c r="N534" s="385">
        <f>AVERAGE(Ashed_controlls!$K$2:$K$11)</f>
        <v>5.5147656768714146</v>
      </c>
      <c r="O534" s="223">
        <f t="shared" si="41"/>
        <v>1.6149416250509139</v>
      </c>
      <c r="P534" s="223">
        <f>IFERROR(INDEX('Both teabags AfterWet'!$C$3:$C$840,MATCH(K534,'Both teabags AfterWet'!$A$3:$A$840,0)),"")</f>
        <v>0.66039999999999999</v>
      </c>
      <c r="Q534" s="223">
        <f>IFERROR(IF(P534&gt;0,P534-(TBIcalc!$H$9),""),"")</f>
        <v>0.50980000000000003</v>
      </c>
      <c r="R534" s="223">
        <f>IFERROR(INDEX('Ashed teabags wet'!$K$2:$K$2000,MATCH(K534,'Ashed teabags wet'!$A$2:$A$2000,0)),"")</f>
        <v>9.5166915794729583</v>
      </c>
      <c r="S534" s="223">
        <f t="shared" si="42"/>
        <v>0.46128390632784688</v>
      </c>
      <c r="T534" s="224">
        <f>'WetLitterbags placem_collection'!E95</f>
        <v>42767</v>
      </c>
      <c r="U534" s="224">
        <f>IF('WetLitterbags placem_collection'!G95="","",'WetLitterbags placem_collection'!G95)</f>
        <v>42819</v>
      </c>
      <c r="V534" s="225">
        <f t="shared" si="40"/>
        <v>52</v>
      </c>
      <c r="W534" s="223">
        <f t="shared" si="43"/>
        <v>1.1994</v>
      </c>
      <c r="X534" s="223">
        <f t="shared" si="44"/>
        <v>1.153657718723067</v>
      </c>
      <c r="Y534">
        <f>IFERROR(INDEX(Rainfall_Wet!$O$2:$O$217,MATCH(B534, Rainfall_Wet!$A$2:$A$217,0)),"")</f>
        <v>194.93009798400001</v>
      </c>
      <c r="Z534" s="228">
        <v>28.145762029394</v>
      </c>
      <c r="AA534" s="228">
        <v>25.085564727199518</v>
      </c>
      <c r="AB534" s="228">
        <v>46.768673243406489</v>
      </c>
      <c r="AC534" s="229" t="s">
        <v>2654</v>
      </c>
      <c r="AD534" s="228">
        <v>6.1716214884179399</v>
      </c>
      <c r="AE534">
        <f>IF('WetLitterbags placem_collection'!AB95="","",'WetLitterbags placem_collection'!AB95)</f>
        <v>6.6</v>
      </c>
      <c r="AF534">
        <f>IF('WetLitterbags placem_collection'!Z95="","",'WetLitterbags placem_collection'!Z95)</f>
        <v>40</v>
      </c>
      <c r="AG534" s="243" t="str">
        <f>IF('WetLitterbags placem_collection'!AA95="","",'WetLitterbags placem_collection'!AA95)</f>
        <v>O</v>
      </c>
      <c r="AH534">
        <f>IF('WetLitterbags placem_collection'!AC95="","",'WetLitterbags placem_collection'!AC95)</f>
        <v>1</v>
      </c>
      <c r="AI534" s="237">
        <f>AVERAGE('WetLitterbags placem_collection'!S95,'WetLitterbags placem_collection'!U95)</f>
        <v>25.25</v>
      </c>
      <c r="AJ534">
        <f>AVERAGE('WetLitterbags placem_collection'!R95,'WetLitterbags placem_collection'!T95)</f>
        <v>23.5</v>
      </c>
      <c r="AK534">
        <f>INDEX(Coordinates!$B$2:$B$197,MATCH(H534,Coordinates!$J$2:$J$197,0))</f>
        <v>-3.2964789680000002</v>
      </c>
      <c r="AL534">
        <f>INDEX(Coordinates!$C$2:$C$197,MATCH(H534,Coordinates!$J$2:$J$197,0))</f>
        <v>34.854331000000002</v>
      </c>
      <c r="AM534" t="str">
        <f>IF(ISNUMBER(SEARCH("C", 'WetLitterbags placem_collection'!$X95)),"YES","NO")</f>
        <v>NO</v>
      </c>
      <c r="AN534" t="str">
        <f>IF(ISNUMBER(SEARCH("H", 'WetLitterbags placem_collection'!$X95)),"YES","NO")</f>
        <v>NO</v>
      </c>
      <c r="AO534" t="str">
        <f>IF(ISNUMBER(SEARCH("R", 'WetLitterbags placem_collection'!$X95)),"YES","NO")</f>
        <v>YES</v>
      </c>
    </row>
    <row r="535" spans="1:41" ht="15" customHeight="1">
      <c r="A535" s="255" t="s">
        <v>2454</v>
      </c>
      <c r="B535" s="260">
        <f>'Dry_Litterbag Placem_Collection'!A96</f>
        <v>94</v>
      </c>
      <c r="C535" s="260" t="str">
        <f>'Dry_Litterbag Placem_Collection'!B96</f>
        <v>Maswa</v>
      </c>
      <c r="D535" s="260" t="s">
        <v>2643</v>
      </c>
      <c r="E535" s="260" t="s">
        <v>2645</v>
      </c>
      <c r="F535" s="260">
        <v>4</v>
      </c>
      <c r="G535" s="260" t="s">
        <v>3814</v>
      </c>
      <c r="H535" s="261" t="str">
        <f>'Dry_Litterbag Placem_Collection'!C96</f>
        <v>Dry_W4_T6</v>
      </c>
      <c r="I535" s="270" t="s">
        <v>3630</v>
      </c>
      <c r="J535" s="263" t="s">
        <v>1147</v>
      </c>
      <c r="K535" s="221" t="str">
        <f>'WetLitterbags placem_collection'!O96</f>
        <v>G588</v>
      </c>
      <c r="L535" s="223">
        <f>IFERROR(INDEX('Green_rooibos initial weight'!$C$5:$C$2000,MATCH(K535, 'Green_rooibos initial weight'!$A$5:$A$2000,0)),"")</f>
        <v>2.14</v>
      </c>
      <c r="M535" s="223">
        <f>IFERROR(L535-(TBIcalc!$H$9+TBIcalc!$H$10),"")</f>
        <v>1.8902000000000001</v>
      </c>
      <c r="N535" s="385">
        <f>AVERAGE(Ashed_controlls!$K$2:$K$11)</f>
        <v>5.5147656768714146</v>
      </c>
      <c r="O535" s="223">
        <f t="shared" si="41"/>
        <v>1.7859598991757766</v>
      </c>
      <c r="P535" s="223" t="str">
        <f>IFERROR(INDEX('Both teabags AfterWet'!$C$3:$C$840,MATCH(K535,'Both teabags AfterWet'!$A$3:$A$840,0)),"")</f>
        <v/>
      </c>
      <c r="Q535" s="223" t="str">
        <f>IFERROR(IF(P535&gt;0,P535-(TBIcalc!$H$9),""),"")</f>
        <v/>
      </c>
      <c r="R535" s="223" t="str">
        <f>IFERROR(INDEX('Ashed teabags wet'!$K$2:$K$2000,MATCH(K535,'Ashed teabags wet'!$A$2:$A$2000,0)),"")</f>
        <v/>
      </c>
      <c r="S535" s="223" t="str">
        <f t="shared" si="42"/>
        <v/>
      </c>
      <c r="T535" s="224">
        <f>'WetLitterbags placem_collection'!E96</f>
        <v>42767</v>
      </c>
      <c r="U535" s="224">
        <f>IF('WetLitterbags placem_collection'!G96="","",'WetLitterbags placem_collection'!G96)</f>
        <v>42819</v>
      </c>
      <c r="V535" s="225">
        <f t="shared" si="40"/>
        <v>52</v>
      </c>
      <c r="W535" s="223" t="str">
        <f t="shared" si="43"/>
        <v/>
      </c>
      <c r="X535" s="223" t="str">
        <f t="shared" si="44"/>
        <v/>
      </c>
      <c r="Y535" t="str">
        <f>IFERROR(INDEX(Rainfall_Wet!$O$2:$O$217,MATCH(B535, Rainfall_Wet!$A$2:$A$217,0)),"")</f>
        <v/>
      </c>
      <c r="Z535" s="228">
        <v>28.145762029394</v>
      </c>
      <c r="AA535" s="228">
        <v>25.085564727199518</v>
      </c>
      <c r="AB535" s="228">
        <v>46.768673243406489</v>
      </c>
      <c r="AC535" s="229" t="s">
        <v>2654</v>
      </c>
      <c r="AD535" s="228">
        <v>7.1716214884179399</v>
      </c>
      <c r="AE535" t="str">
        <f>IF('WetLitterbags placem_collection'!AB96="","",'WetLitterbags placem_collection'!AB96)</f>
        <v/>
      </c>
      <c r="AF535" t="str">
        <f>IF('WetLitterbags placem_collection'!Z96="","",'WetLitterbags placem_collection'!Z96)</f>
        <v/>
      </c>
      <c r="AG535" s="243" t="str">
        <f>IF('WetLitterbags placem_collection'!AA96="","",'WetLitterbags placem_collection'!AA96)</f>
        <v/>
      </c>
      <c r="AH535" t="str">
        <f>IF('WetLitterbags placem_collection'!AC96="","",'WetLitterbags placem_collection'!AC96)</f>
        <v/>
      </c>
      <c r="AI535" s="237">
        <f>AVERAGE('WetLitterbags placem_collection'!S96,'WetLitterbags placem_collection'!U96)</f>
        <v>36.200000000000003</v>
      </c>
      <c r="AJ535">
        <f>AVERAGE('WetLitterbags placem_collection'!R96,'WetLitterbags placem_collection'!T96)</f>
        <v>22</v>
      </c>
      <c r="AK535">
        <f>INDEX(Coordinates!$B$2:$B$197,MATCH(H535,Coordinates!$J$2:$J$197,0))</f>
        <v>-3.2964649700000002</v>
      </c>
      <c r="AL535">
        <f>INDEX(Coordinates!$C$2:$C$197,MATCH(H535,Coordinates!$J$2:$J$197,0))</f>
        <v>34.854340970000003</v>
      </c>
      <c r="AM535" t="str">
        <f>IF(ISNUMBER(SEARCH("C", 'WetLitterbags placem_collection'!$X96)),"YES","NO")</f>
        <v>NO</v>
      </c>
      <c r="AN535" t="str">
        <f>IF(ISNUMBER(SEARCH("H", 'WetLitterbags placem_collection'!$X96)),"YES","NO")</f>
        <v>NO</v>
      </c>
      <c r="AO535" t="str">
        <f>IF(ISNUMBER(SEARCH("R", 'WetLitterbags placem_collection'!$X96)),"YES","NO")</f>
        <v>NO</v>
      </c>
    </row>
    <row r="536" spans="1:41" ht="15" customHeight="1">
      <c r="A536" s="255" t="s">
        <v>2454</v>
      </c>
      <c r="B536" s="260">
        <f>'Dry_Litterbag Placem_Collection'!A97</f>
        <v>95</v>
      </c>
      <c r="C536" s="260" t="str">
        <f>'Dry_Litterbag Placem_Collection'!B97</f>
        <v>Maswa</v>
      </c>
      <c r="D536" s="260" t="s">
        <v>2643</v>
      </c>
      <c r="E536" s="260" t="s">
        <v>2645</v>
      </c>
      <c r="F536" s="260">
        <v>4</v>
      </c>
      <c r="G536" s="260" t="s">
        <v>3814</v>
      </c>
      <c r="H536" s="261" t="str">
        <f>'Dry_Litterbag Placem_Collection'!C97</f>
        <v>Dry_W4_T7</v>
      </c>
      <c r="I536" s="270" t="s">
        <v>3630</v>
      </c>
      <c r="J536" s="263" t="s">
        <v>1147</v>
      </c>
      <c r="K536" s="221" t="str">
        <f>'WetLitterbags placem_collection'!O97</f>
        <v>G486</v>
      </c>
      <c r="L536" s="223">
        <f>IFERROR(INDEX('Green_rooibos initial weight'!$C$5:$C$2000,MATCH(K536, 'Green_rooibos initial weight'!$A$5:$A$2000,0)),"")</f>
        <v>2.0049999999999999</v>
      </c>
      <c r="M536" s="223">
        <f>IFERROR(L536-(TBIcalc!$H$9+TBIcalc!$H$10),"")</f>
        <v>1.7551999999999999</v>
      </c>
      <c r="N536" s="385">
        <f>AVERAGE(Ashed_controlls!$K$2:$K$11)</f>
        <v>5.5147656768714146</v>
      </c>
      <c r="O536" s="223">
        <f t="shared" si="41"/>
        <v>1.6584048328395529</v>
      </c>
      <c r="P536" s="223">
        <f>IFERROR(INDEX('Both teabags AfterWet'!$C$3:$C$840,MATCH(K536,'Both teabags AfterWet'!$A$3:$A$840,0)),"")</f>
        <v>0.90400000000000003</v>
      </c>
      <c r="Q536" s="223">
        <f>IFERROR(IF(P536&gt;0,P536-(TBIcalc!$H$9),""),"")</f>
        <v>0.75340000000000007</v>
      </c>
      <c r="R536" s="223">
        <f>IFERROR(INDEX('Ashed teabags wet'!$K$2:$K$2000,MATCH(K536,'Ashed teabags wet'!$A$2:$A$2000,0)),"")</f>
        <v>17.120622568093445</v>
      </c>
      <c r="S536" s="223">
        <f t="shared" si="42"/>
        <v>0.62441322957198397</v>
      </c>
      <c r="T536" s="224">
        <f>'WetLitterbags placem_collection'!E97</f>
        <v>42767</v>
      </c>
      <c r="U536" s="224">
        <f>IF('WetLitterbags placem_collection'!G97="","",'WetLitterbags placem_collection'!G97)</f>
        <v>42819</v>
      </c>
      <c r="V536" s="225">
        <f t="shared" si="40"/>
        <v>52</v>
      </c>
      <c r="W536" s="223">
        <f t="shared" si="43"/>
        <v>1.0017999999999998</v>
      </c>
      <c r="X536" s="223">
        <f t="shared" si="44"/>
        <v>1.0339916032675689</v>
      </c>
      <c r="Y536">
        <f>IFERROR(INDEX(Rainfall_Wet!$O$2:$O$217,MATCH(B536, Rainfall_Wet!$A$2:$A$217,0)),"")</f>
        <v>194.93009798400001</v>
      </c>
      <c r="Z536" s="228">
        <v>28.145762029394</v>
      </c>
      <c r="AA536" s="228">
        <v>25.085564727199518</v>
      </c>
      <c r="AB536" s="228">
        <v>46.768673243406489</v>
      </c>
      <c r="AC536" s="229" t="s">
        <v>2654</v>
      </c>
      <c r="AD536" s="228">
        <v>8.1716214884179408</v>
      </c>
      <c r="AE536">
        <f>IF('WetLitterbags placem_collection'!AB97="","",'WetLitterbags placem_collection'!AB97)</f>
        <v>5.4</v>
      </c>
      <c r="AF536">
        <f>IF('WetLitterbags placem_collection'!Z97="","",'WetLitterbags placem_collection'!Z97)</f>
        <v>15.2</v>
      </c>
      <c r="AG536" s="243" t="str">
        <f>IF('WetLitterbags placem_collection'!AA97="","",'WetLitterbags placem_collection'!AA97)</f>
        <v>O</v>
      </c>
      <c r="AH536">
        <f>IF('WetLitterbags placem_collection'!AC97="","",'WetLitterbags placem_collection'!AC97)</f>
        <v>0</v>
      </c>
      <c r="AI536" s="237">
        <f>AVERAGE('WetLitterbags placem_collection'!S97,'WetLitterbags placem_collection'!U97)</f>
        <v>28.85</v>
      </c>
      <c r="AJ536">
        <f>AVERAGE('WetLitterbags placem_collection'!R97,'WetLitterbags placem_collection'!T97)</f>
        <v>23.2</v>
      </c>
      <c r="AK536">
        <f>INDEX(Coordinates!$B$2:$B$197,MATCH(H536,Coordinates!$J$2:$J$197,0))</f>
        <v>-3.296725983</v>
      </c>
      <c r="AL536">
        <f>INDEX(Coordinates!$C$2:$C$197,MATCH(H536,Coordinates!$J$2:$J$197,0))</f>
        <v>34.854216000000001</v>
      </c>
      <c r="AM536" t="str">
        <f>IF(ISNUMBER(SEARCH("C", 'WetLitterbags placem_collection'!$X97)),"YES","NO")</f>
        <v>NO</v>
      </c>
      <c r="AN536" t="str">
        <f>IF(ISNUMBER(SEARCH("H", 'WetLitterbags placem_collection'!$X97)),"YES","NO")</f>
        <v>NO</v>
      </c>
      <c r="AO536" t="str">
        <f>IF(ISNUMBER(SEARCH("R", 'WetLitterbags placem_collection'!$X97)),"YES","NO")</f>
        <v>YES</v>
      </c>
    </row>
    <row r="537" spans="1:41" ht="15" customHeight="1">
      <c r="A537" s="255" t="s">
        <v>2454</v>
      </c>
      <c r="B537" s="260">
        <f>'Dry_Litterbag Placem_Collection'!A98</f>
        <v>96</v>
      </c>
      <c r="C537" s="260" t="str">
        <f>'Dry_Litterbag Placem_Collection'!B98</f>
        <v>Maswa</v>
      </c>
      <c r="D537" s="260" t="s">
        <v>2643</v>
      </c>
      <c r="E537" s="260" t="s">
        <v>2645</v>
      </c>
      <c r="F537" s="260">
        <v>4</v>
      </c>
      <c r="G537" s="260" t="s">
        <v>3814</v>
      </c>
      <c r="H537" s="261" t="str">
        <f>'Dry_Litterbag Placem_Collection'!C98</f>
        <v>Dry_W4_T8</v>
      </c>
      <c r="I537" s="270" t="s">
        <v>3630</v>
      </c>
      <c r="J537" s="263" t="s">
        <v>1147</v>
      </c>
      <c r="K537" s="221" t="str">
        <f>'WetLitterbags placem_collection'!O98</f>
        <v>G545</v>
      </c>
      <c r="L537" s="223">
        <f>IFERROR(INDEX('Green_rooibos initial weight'!$C$5:$C$2000,MATCH(K537, 'Green_rooibos initial weight'!$A$5:$A$2000,0)),"")</f>
        <v>2.0720000000000001</v>
      </c>
      <c r="M537" s="223">
        <f>IFERROR(L537-(TBIcalc!$H$9+TBIcalc!$H$10),"")</f>
        <v>1.8222</v>
      </c>
      <c r="N537" s="385">
        <f>AVERAGE(Ashed_controlls!$K$2:$K$11)</f>
        <v>5.5147656768714146</v>
      </c>
      <c r="O537" s="223">
        <f t="shared" si="41"/>
        <v>1.7217099398360491</v>
      </c>
      <c r="P537" s="223">
        <f>IFERROR(INDEX('Both teabags AfterWet'!$C$3:$C$840,MATCH(K537,'Both teabags AfterWet'!$A$3:$A$840,0)),"")</f>
        <v>0.73950000000000005</v>
      </c>
      <c r="Q537" s="223">
        <f>IFERROR(IF(P537&gt;0,P537-(TBIcalc!$H$9),""),"")</f>
        <v>0.58889999999999998</v>
      </c>
      <c r="R537" s="223">
        <f>IFERROR(INDEX('Ashed teabags wet'!$K$2:$K$2000,MATCH(K537,'Ashed teabags wet'!$A$2:$A$2000,0)),"")</f>
        <v>13.426156141222759</v>
      </c>
      <c r="S537" s="223">
        <f t="shared" si="42"/>
        <v>0.50983336648433919</v>
      </c>
      <c r="T537" s="224">
        <f>'WetLitterbags placem_collection'!E98</f>
        <v>42767</v>
      </c>
      <c r="U537" s="224">
        <f>IF('WetLitterbags placem_collection'!G98="","",'WetLitterbags placem_collection'!G98)</f>
        <v>42819</v>
      </c>
      <c r="V537" s="225">
        <f t="shared" si="40"/>
        <v>52</v>
      </c>
      <c r="W537" s="223">
        <f t="shared" si="43"/>
        <v>1.2333000000000001</v>
      </c>
      <c r="X537" s="223">
        <f t="shared" si="44"/>
        <v>1.2118765733517098</v>
      </c>
      <c r="Y537">
        <f>IFERROR(INDEX(Rainfall_Wet!$O$2:$O$217,MATCH(B537, Rainfall_Wet!$A$2:$A$217,0)),"")</f>
        <v>194.93009798400001</v>
      </c>
      <c r="Z537" s="228">
        <v>28.145762029394</v>
      </c>
      <c r="AA537" s="228">
        <v>25.085564727199518</v>
      </c>
      <c r="AB537" s="228">
        <v>46.768673243406489</v>
      </c>
      <c r="AC537" s="229" t="s">
        <v>2654</v>
      </c>
      <c r="AD537" s="228">
        <v>9.1716214884179408</v>
      </c>
      <c r="AE537">
        <f>IF('WetLitterbags placem_collection'!AB98="","",'WetLitterbags placem_collection'!AB98)</f>
        <v>4</v>
      </c>
      <c r="AF537">
        <f>IF('WetLitterbags placem_collection'!Z98="","",'WetLitterbags placem_collection'!Z98)</f>
        <v>34.4</v>
      </c>
      <c r="AG537" s="243" t="str">
        <f>IF('WetLitterbags placem_collection'!AA98="","",'WetLitterbags placem_collection'!AA98)</f>
        <v>O</v>
      </c>
      <c r="AH537">
        <f>IF('WetLitterbags placem_collection'!AC98="","",'WetLitterbags placem_collection'!AC98)</f>
        <v>0</v>
      </c>
      <c r="AI537" s="237">
        <f>AVERAGE('WetLitterbags placem_collection'!S98,'WetLitterbags placem_collection'!U98)</f>
        <v>16.799999999999997</v>
      </c>
      <c r="AJ537">
        <f>AVERAGE('WetLitterbags placem_collection'!R98,'WetLitterbags placem_collection'!T98)</f>
        <v>24.3</v>
      </c>
      <c r="AK537">
        <f>INDEX(Coordinates!$B$2:$B$197,MATCH(H537,Coordinates!$J$2:$J$197,0))</f>
        <v>-3.2968360369999998</v>
      </c>
      <c r="AL537">
        <f>INDEX(Coordinates!$C$2:$C$197,MATCH(H537,Coordinates!$J$2:$J$197,0))</f>
        <v>34.854462009999999</v>
      </c>
      <c r="AM537" t="str">
        <f>IF(ISNUMBER(SEARCH("C", 'WetLitterbags placem_collection'!$X98)),"YES","NO")</f>
        <v>NO</v>
      </c>
      <c r="AN537" t="str">
        <f>IF(ISNUMBER(SEARCH("H", 'WetLitterbags placem_collection'!$X98)),"YES","NO")</f>
        <v>NO</v>
      </c>
      <c r="AO537" t="str">
        <f>IF(ISNUMBER(SEARCH("R", 'WetLitterbags placem_collection'!$X98)),"YES","NO")</f>
        <v>YES</v>
      </c>
    </row>
    <row r="538" spans="1:41" ht="15" customHeight="1">
      <c r="A538" s="255" t="s">
        <v>2454</v>
      </c>
      <c r="B538" s="260">
        <f>'Dry_Litterbag Placem_Collection'!A99</f>
        <v>97</v>
      </c>
      <c r="C538" s="260" t="str">
        <f>'Dry_Litterbag Placem_Collection'!B99</f>
        <v xml:space="preserve">Mwantimba
</v>
      </c>
      <c r="D538" s="260" t="s">
        <v>2454</v>
      </c>
      <c r="E538" s="260" t="s">
        <v>2644</v>
      </c>
      <c r="F538" s="260">
        <v>1</v>
      </c>
      <c r="G538" s="260" t="s">
        <v>3815</v>
      </c>
      <c r="H538" s="261" t="str">
        <f>'Dry_Litterbag Placem_Collection'!C99</f>
        <v>Wet_Ag1_T1</v>
      </c>
      <c r="I538" s="270" t="s">
        <v>3630</v>
      </c>
      <c r="J538" s="263" t="s">
        <v>1147</v>
      </c>
      <c r="K538" s="221" t="str">
        <f>'WetLitterbags placem_collection'!O99</f>
        <v>G847</v>
      </c>
      <c r="L538" s="223">
        <f>IFERROR(INDEX('Green_rooibos initial weight'!$C$5:$C$2000,MATCH(K538, 'Green_rooibos initial weight'!$A$5:$A$2000,0)),"")</f>
        <v>2.1019999999999999</v>
      </c>
      <c r="M538" s="223">
        <f>IFERROR(L538-(TBIcalc!$H$9+TBIcalc!$H$10),"")</f>
        <v>1.8521999999999998</v>
      </c>
      <c r="N538" s="385">
        <f>AVERAGE(Ashed_controlls!$K$2:$K$11)</f>
        <v>5.5147656768714146</v>
      </c>
      <c r="O538" s="223">
        <f t="shared" si="41"/>
        <v>1.7500555101329875</v>
      </c>
      <c r="P538" s="223">
        <f>IFERROR(INDEX('Both teabags AfterWet'!$C$3:$C$840,MATCH(K538,'Both teabags AfterWet'!$A$3:$A$840,0)),"")</f>
        <v>0.61809999999999998</v>
      </c>
      <c r="Q538" s="223">
        <f>IFERROR(IF(P538&gt;0,P538-(TBIcalc!$H$9),""),"")</f>
        <v>0.46749999999999997</v>
      </c>
      <c r="R538" s="223">
        <f>IFERROR(INDEX('Ashed teabags wet'!$K$2:$K$2000,MATCH(K538,'Ashed teabags wet'!$A$2:$A$2000,0)),"")</f>
        <v>21.620325982741679</v>
      </c>
      <c r="S538" s="223">
        <f t="shared" si="42"/>
        <v>0.36642497603068264</v>
      </c>
      <c r="T538" s="224">
        <f>'WetLitterbags placem_collection'!E99</f>
        <v>42762</v>
      </c>
      <c r="U538" s="224">
        <f>IF('WetLitterbags placem_collection'!G99="","",'WetLitterbags placem_collection'!G99)</f>
        <v>42816</v>
      </c>
      <c r="V538" s="225">
        <f t="shared" si="40"/>
        <v>54</v>
      </c>
      <c r="W538" s="223">
        <f t="shared" si="43"/>
        <v>1.3846999999999998</v>
      </c>
      <c r="X538" s="223">
        <f t="shared" si="44"/>
        <v>1.383630534102305</v>
      </c>
      <c r="Y538">
        <f>IFERROR(INDEX(Rainfall_Wet!$O$2:$O$217,MATCH(B538, Rainfall_Wet!$A$2:$A$217,0)),"")</f>
        <v>206.85140822299999</v>
      </c>
      <c r="Z538" s="228">
        <v>45.96</v>
      </c>
      <c r="AA538" s="228">
        <v>14.920000000000003</v>
      </c>
      <c r="AB538" s="228">
        <v>39.119999999999997</v>
      </c>
      <c r="AC538" s="229" t="s">
        <v>2657</v>
      </c>
      <c r="AD538" s="228">
        <v>2.0374568753080333</v>
      </c>
      <c r="AE538">
        <f>IF('WetLitterbags placem_collection'!AB99="","",'WetLitterbags placem_collection'!AB99)</f>
        <v>2.4</v>
      </c>
      <c r="AF538">
        <f>IF('WetLitterbags placem_collection'!Z99="","",'WetLitterbags placem_collection'!Z99)</f>
        <v>8.9</v>
      </c>
      <c r="AG538" s="243" t="str">
        <f>IF('WetLitterbags placem_collection'!AA99="","",'WetLitterbags placem_collection'!AA99)</f>
        <v>G</v>
      </c>
      <c r="AH538">
        <f>IF('WetLitterbags placem_collection'!AC99="","",'WetLitterbags placem_collection'!AC99)</f>
        <v>1</v>
      </c>
      <c r="AI538" s="237">
        <f>AVERAGE('WetLitterbags placem_collection'!S99,'WetLitterbags placem_collection'!U99)</f>
        <v>19.25</v>
      </c>
      <c r="AJ538">
        <f>AVERAGE('WetLitterbags placem_collection'!R99,'WetLitterbags placem_collection'!T99)</f>
        <v>28.75</v>
      </c>
      <c r="AK538">
        <f>INDEX(Coordinates!$B$2:$B$197,MATCH(H538,Coordinates!$J$2:$J$197,0))</f>
        <v>-2.3691620310000001</v>
      </c>
      <c r="AL538">
        <f>INDEX(Coordinates!$C$2:$C$197,MATCH(H538,Coordinates!$J$2:$J$197,0))</f>
        <v>34.06028104</v>
      </c>
      <c r="AM538" t="str">
        <f>IF(ISNUMBER(SEARCH("C", 'WetLitterbags placem_collection'!$X99)),"YES","NO")</f>
        <v>NO</v>
      </c>
      <c r="AN538" t="str">
        <f>IF(ISNUMBER(SEARCH("H", 'WetLitterbags placem_collection'!$X99)),"YES","NO")</f>
        <v>NO</v>
      </c>
      <c r="AO538" t="str">
        <f>IF(ISNUMBER(SEARCH("R", 'WetLitterbags placem_collection'!$X99)),"YES","NO")</f>
        <v>NO</v>
      </c>
    </row>
    <row r="539" spans="1:41" ht="15" customHeight="1">
      <c r="A539" s="255" t="s">
        <v>2454</v>
      </c>
      <c r="B539" s="260">
        <f>'Dry_Litterbag Placem_Collection'!A100</f>
        <v>98</v>
      </c>
      <c r="C539" s="260" t="str">
        <f>'Dry_Litterbag Placem_Collection'!B100</f>
        <v xml:space="preserve">Mwantimba
</v>
      </c>
      <c r="D539" s="260" t="s">
        <v>2454</v>
      </c>
      <c r="E539" s="260" t="s">
        <v>2644</v>
      </c>
      <c r="F539" s="260">
        <v>1</v>
      </c>
      <c r="G539" s="260" t="s">
        <v>3815</v>
      </c>
      <c r="H539" s="261" t="str">
        <f>'Dry_Litterbag Placem_Collection'!C100</f>
        <v>Wet_Ag1_T2</v>
      </c>
      <c r="I539" s="270" t="s">
        <v>3630</v>
      </c>
      <c r="J539" s="263" t="s">
        <v>1147</v>
      </c>
      <c r="K539" s="221" t="str">
        <f>'WetLitterbags placem_collection'!O100</f>
        <v>G730</v>
      </c>
      <c r="L539" s="223">
        <f>IFERROR(INDEX('Green_rooibos initial weight'!$C$5:$C$2000,MATCH(K539, 'Green_rooibos initial weight'!$A$5:$A$2000,0)),"")</f>
        <v>2.048</v>
      </c>
      <c r="M539" s="223">
        <f>IFERROR(L539-(TBIcalc!$H$9+TBIcalc!$H$10),"")</f>
        <v>1.7982</v>
      </c>
      <c r="N539" s="385">
        <f>AVERAGE(Ashed_controlls!$K$2:$K$11)</f>
        <v>5.5147656768714146</v>
      </c>
      <c r="O539" s="223">
        <f t="shared" si="41"/>
        <v>1.6990334835984982</v>
      </c>
      <c r="P539" s="223">
        <f>IFERROR(INDEX('Both teabags AfterWet'!$C$3:$C$840,MATCH(K539,'Both teabags AfterWet'!$A$3:$A$840,0)),"")</f>
        <v>0.629</v>
      </c>
      <c r="Q539" s="223">
        <f>IFERROR(IF(P539&gt;0,P539-(TBIcalc!$H$9),""),"")</f>
        <v>0.47839999999999999</v>
      </c>
      <c r="R539" s="223">
        <f>IFERROR(INDEX('Ashed teabags wet'!$K$2:$K$2000,MATCH(K539,'Ashed teabags wet'!$A$2:$A$2000,0)),"")</f>
        <v>15.206692913385</v>
      </c>
      <c r="S539" s="223">
        <f t="shared" si="42"/>
        <v>0.40565118110236614</v>
      </c>
      <c r="T539" s="224">
        <f>'WetLitterbags placem_collection'!E100</f>
        <v>42762</v>
      </c>
      <c r="U539" s="224">
        <f>IF('WetLitterbags placem_collection'!G100="","",'WetLitterbags placem_collection'!G100)</f>
        <v>42816</v>
      </c>
      <c r="V539" s="225">
        <f t="shared" si="40"/>
        <v>54</v>
      </c>
      <c r="W539" s="223">
        <f t="shared" si="43"/>
        <v>1.3198000000000001</v>
      </c>
      <c r="X539" s="223">
        <f t="shared" si="44"/>
        <v>1.293382302496132</v>
      </c>
      <c r="Y539">
        <f>IFERROR(INDEX(Rainfall_Wet!$O$2:$O$217,MATCH(B539, Rainfall_Wet!$A$2:$A$217,0)),"")</f>
        <v>206.85140822299999</v>
      </c>
      <c r="Z539" s="228">
        <v>45.96</v>
      </c>
      <c r="AA539" s="228">
        <v>14.920000000000003</v>
      </c>
      <c r="AB539" s="228">
        <v>39.119999999999997</v>
      </c>
      <c r="AC539" s="229" t="s">
        <v>2657</v>
      </c>
      <c r="AD539" s="228">
        <v>3.0374568753080302</v>
      </c>
      <c r="AE539">
        <f>IF('WetLitterbags placem_collection'!AB100="","",'WetLitterbags placem_collection'!AB100)</f>
        <v>7.8</v>
      </c>
      <c r="AF539">
        <f>IF('WetLitterbags placem_collection'!Z100="","",'WetLitterbags placem_collection'!Z100)</f>
        <v>4.45</v>
      </c>
      <c r="AG539" s="243" t="str">
        <f>IF('WetLitterbags placem_collection'!AA100="","",'WetLitterbags placem_collection'!AA100)</f>
        <v>G</v>
      </c>
      <c r="AH539">
        <f>IF('WetLitterbags placem_collection'!AC100="","",'WetLitterbags placem_collection'!AC100)</f>
        <v>1</v>
      </c>
      <c r="AI539" s="237">
        <f>AVERAGE('WetLitterbags placem_collection'!S100,'WetLitterbags placem_collection'!U100)</f>
        <v>22.25</v>
      </c>
      <c r="AJ539">
        <f>AVERAGE('WetLitterbags placem_collection'!R100,'WetLitterbags placem_collection'!T100)</f>
        <v>29.85</v>
      </c>
      <c r="AK539">
        <f>INDEX(Coordinates!$B$2:$B$197,MATCH(H539,Coordinates!$J$2:$J$197,0))</f>
        <v>-2.3692249790000002</v>
      </c>
      <c r="AL539">
        <f>INDEX(Coordinates!$C$2:$C$197,MATCH(H539,Coordinates!$J$2:$J$197,0))</f>
        <v>34.060285989999997</v>
      </c>
      <c r="AM539" t="str">
        <f>IF(ISNUMBER(SEARCH("C", 'WetLitterbags placem_collection'!$X100)),"YES","NO")</f>
        <v>NO</v>
      </c>
      <c r="AN539" t="str">
        <f>IF(ISNUMBER(SEARCH("H", 'WetLitterbags placem_collection'!$X100)),"YES","NO")</f>
        <v>NO</v>
      </c>
      <c r="AO539" t="str">
        <f>IF(ISNUMBER(SEARCH("R", 'WetLitterbags placem_collection'!$X100)),"YES","NO")</f>
        <v>NO</v>
      </c>
    </row>
    <row r="540" spans="1:41" ht="15" customHeight="1">
      <c r="A540" s="255" t="s">
        <v>2454</v>
      </c>
      <c r="B540" s="260">
        <f>'Dry_Litterbag Placem_Collection'!A101</f>
        <v>99</v>
      </c>
      <c r="C540" s="260" t="str">
        <f>'Dry_Litterbag Placem_Collection'!B101</f>
        <v xml:space="preserve">Mwantimba
</v>
      </c>
      <c r="D540" s="260" t="s">
        <v>2454</v>
      </c>
      <c r="E540" s="260" t="s">
        <v>2644</v>
      </c>
      <c r="F540" s="260">
        <v>1</v>
      </c>
      <c r="G540" s="260" t="s">
        <v>3815</v>
      </c>
      <c r="H540" s="261" t="str">
        <f>'Dry_Litterbag Placem_Collection'!C101</f>
        <v>Wet_Ag1_T3</v>
      </c>
      <c r="I540" s="270" t="s">
        <v>3630</v>
      </c>
      <c r="J540" s="263" t="s">
        <v>1147</v>
      </c>
      <c r="K540" s="221" t="str">
        <f>'WetLitterbags placem_collection'!O101</f>
        <v>G691</v>
      </c>
      <c r="L540" s="223">
        <f>IFERROR(INDEX('Green_rooibos initial weight'!$C$5:$C$2000,MATCH(K540, 'Green_rooibos initial weight'!$A$5:$A$2000,0)),"")</f>
        <v>2.0950000000000002</v>
      </c>
      <c r="M540" s="223">
        <f>IFERROR(L540-(TBIcalc!$H$9+TBIcalc!$H$10),"")</f>
        <v>1.8452000000000002</v>
      </c>
      <c r="N540" s="385">
        <f>AVERAGE(Ashed_controlls!$K$2:$K$11)</f>
        <v>5.5147656768714146</v>
      </c>
      <c r="O540" s="223">
        <f t="shared" si="41"/>
        <v>1.7434415437303687</v>
      </c>
      <c r="P540" s="223">
        <f>IFERROR(INDEX('Both teabags AfterWet'!$C$3:$C$840,MATCH(K540,'Both teabags AfterWet'!$A$3:$A$840,0)),"")</f>
        <v>0.52829999999999999</v>
      </c>
      <c r="Q540" s="223">
        <f>IFERROR(IF(P540&gt;0,P540-(TBIcalc!$H$9),""),"")</f>
        <v>0.37769999999999998</v>
      </c>
      <c r="R540" s="223">
        <f>IFERROR(INDEX('Ashed teabags wet'!$K$2:$K$2000,MATCH(K540,'Ashed teabags wet'!$A$2:$A$2000,0)),"")</f>
        <v>10.554371002128548</v>
      </c>
      <c r="S540" s="223">
        <f t="shared" si="42"/>
        <v>0.33783614072496049</v>
      </c>
      <c r="T540" s="224">
        <f>'WetLitterbags placem_collection'!E101</f>
        <v>42762</v>
      </c>
      <c r="U540" s="224">
        <f>IF('WetLitterbags placem_collection'!G101="","",'WetLitterbags placem_collection'!G101)</f>
        <v>42816</v>
      </c>
      <c r="V540" s="225">
        <f t="shared" si="40"/>
        <v>54</v>
      </c>
      <c r="W540" s="223">
        <f t="shared" si="43"/>
        <v>1.4675000000000002</v>
      </c>
      <c r="X540" s="223">
        <f t="shared" si="44"/>
        <v>1.4056054030054081</v>
      </c>
      <c r="Y540">
        <f>IFERROR(INDEX(Rainfall_Wet!$O$2:$O$217,MATCH(B540, Rainfall_Wet!$A$2:$A$217,0)),"")</f>
        <v>206.85140822299999</v>
      </c>
      <c r="Z540" s="228">
        <v>45.96</v>
      </c>
      <c r="AA540" s="228">
        <v>14.920000000000003</v>
      </c>
      <c r="AB540" s="228">
        <v>39.119999999999997</v>
      </c>
      <c r="AC540" s="229" t="s">
        <v>2657</v>
      </c>
      <c r="AD540" s="228">
        <v>4.0374568753080302</v>
      </c>
      <c r="AE540">
        <f>IF('WetLitterbags placem_collection'!AB101="","",'WetLitterbags placem_collection'!AB101)</f>
        <v>5.0999999999999996</v>
      </c>
      <c r="AF540">
        <f>IF('WetLitterbags placem_collection'!Z101="","",'WetLitterbags placem_collection'!Z101)</f>
        <v>2.2999999999999998</v>
      </c>
      <c r="AG540" s="243" t="str">
        <f>IF('WetLitterbags placem_collection'!AA101="","",'WetLitterbags placem_collection'!AA101)</f>
        <v>G</v>
      </c>
      <c r="AH540">
        <f>IF('WetLitterbags placem_collection'!AC101="","",'WetLitterbags placem_collection'!AC101)</f>
        <v>0</v>
      </c>
      <c r="AI540" s="237">
        <f>AVERAGE('WetLitterbags placem_collection'!S101,'WetLitterbags placem_collection'!U101)</f>
        <v>17.95</v>
      </c>
      <c r="AJ540">
        <f>AVERAGE('WetLitterbags placem_collection'!R101,'WetLitterbags placem_collection'!T101)</f>
        <v>30.85</v>
      </c>
      <c r="AK540">
        <f>INDEX(Coordinates!$B$2:$B$197,MATCH(H540,Coordinates!$J$2:$J$197,0))</f>
        <v>-2.369284993</v>
      </c>
      <c r="AL540">
        <f>INDEX(Coordinates!$C$2:$C$197,MATCH(H540,Coordinates!$J$2:$J$197,0))</f>
        <v>34.06028104</v>
      </c>
      <c r="AM540" t="str">
        <f>IF(ISNUMBER(SEARCH("C", 'WetLitterbags placem_collection'!$X101)),"YES","NO")</f>
        <v>NO</v>
      </c>
      <c r="AN540" t="str">
        <f>IF(ISNUMBER(SEARCH("H", 'WetLitterbags placem_collection'!$X101)),"YES","NO")</f>
        <v>NO</v>
      </c>
      <c r="AO540" t="str">
        <f>IF(ISNUMBER(SEARCH("R", 'WetLitterbags placem_collection'!$X101)),"YES","NO")</f>
        <v>NO</v>
      </c>
    </row>
    <row r="541" spans="1:41" ht="15" customHeight="1">
      <c r="A541" s="255" t="s">
        <v>2454</v>
      </c>
      <c r="B541" s="260">
        <f>'Dry_Litterbag Placem_Collection'!A102</f>
        <v>100</v>
      </c>
      <c r="C541" s="260" t="str">
        <f>'Dry_Litterbag Placem_Collection'!B102</f>
        <v xml:space="preserve">Mwantimba
</v>
      </c>
      <c r="D541" s="260" t="s">
        <v>2454</v>
      </c>
      <c r="E541" s="260" t="s">
        <v>2644</v>
      </c>
      <c r="F541" s="260">
        <v>1</v>
      </c>
      <c r="G541" s="260" t="s">
        <v>3815</v>
      </c>
      <c r="H541" s="261" t="str">
        <f>'Dry_Litterbag Placem_Collection'!C102</f>
        <v>Wet_Ag1_T4</v>
      </c>
      <c r="I541" s="270" t="s">
        <v>3630</v>
      </c>
      <c r="J541" s="263" t="s">
        <v>1147</v>
      </c>
      <c r="K541" s="221" t="str">
        <f>'WetLitterbags placem_collection'!O102</f>
        <v>G828</v>
      </c>
      <c r="L541" s="223">
        <f>IFERROR(INDEX('Green_rooibos initial weight'!$C$5:$C$2000,MATCH(K541, 'Green_rooibos initial weight'!$A$5:$A$2000,0)),"")</f>
        <v>1.986</v>
      </c>
      <c r="M541" s="223">
        <f>IFERROR(L541-(TBIcalc!$H$9+TBIcalc!$H$10),"")</f>
        <v>1.7362</v>
      </c>
      <c r="N541" s="385">
        <f>AVERAGE(Ashed_controlls!$K$2:$K$11)</f>
        <v>5.5147656768714146</v>
      </c>
      <c r="O541" s="223">
        <f t="shared" si="41"/>
        <v>1.6404526383181586</v>
      </c>
      <c r="P541" s="223">
        <f>IFERROR(INDEX('Both teabags AfterWet'!$C$3:$C$840,MATCH(K541,'Both teabags AfterWet'!$A$3:$A$840,0)),"")</f>
        <v>0.57399999999999995</v>
      </c>
      <c r="Q541" s="223">
        <f>IFERROR(IF(P541&gt;0,P541-(TBIcalc!$H$9),""),"")</f>
        <v>0.42339999999999994</v>
      </c>
      <c r="R541" s="223">
        <f>IFERROR(INDEX('Ashed teabags wet'!$K$2:$K$2000,MATCH(K541,'Ashed teabags wet'!$A$2:$A$2000,0)),"")</f>
        <v>14.012096774192942</v>
      </c>
      <c r="S541" s="223">
        <f t="shared" si="42"/>
        <v>0.36407278225806705</v>
      </c>
      <c r="T541" s="224">
        <f>'WetLitterbags placem_collection'!E102</f>
        <v>42762</v>
      </c>
      <c r="U541" s="224">
        <f>IF('WetLitterbags placem_collection'!G102="","",'WetLitterbags placem_collection'!G102)</f>
        <v>42816</v>
      </c>
      <c r="V541" s="225">
        <f t="shared" si="40"/>
        <v>54</v>
      </c>
      <c r="W541" s="223">
        <f t="shared" si="43"/>
        <v>1.3128</v>
      </c>
      <c r="X541" s="223">
        <f t="shared" si="44"/>
        <v>1.2763798560600916</v>
      </c>
      <c r="Y541">
        <f>IFERROR(INDEX(Rainfall_Wet!$O$2:$O$217,MATCH(B541, Rainfall_Wet!$A$2:$A$217,0)),"")</f>
        <v>206.85140822299999</v>
      </c>
      <c r="Z541" s="228">
        <v>45.96</v>
      </c>
      <c r="AA541" s="228">
        <v>14.920000000000003</v>
      </c>
      <c r="AB541" s="228">
        <v>39.119999999999997</v>
      </c>
      <c r="AC541" s="229" t="s">
        <v>2657</v>
      </c>
      <c r="AD541" s="228">
        <v>5.0374568753080302</v>
      </c>
      <c r="AE541">
        <f>IF('WetLitterbags placem_collection'!AB102="","",'WetLitterbags placem_collection'!AB102)</f>
        <v>1.6</v>
      </c>
      <c r="AF541">
        <f>IF('WetLitterbags placem_collection'!Z102="","",'WetLitterbags placem_collection'!Z102)</f>
        <v>15</v>
      </c>
      <c r="AG541" s="243" t="str">
        <f>IF('WetLitterbags placem_collection'!AA102="","",'WetLitterbags placem_collection'!AA102)</f>
        <v>G</v>
      </c>
      <c r="AH541">
        <f>IF('WetLitterbags placem_collection'!AC102="","",'WetLitterbags placem_collection'!AC102)</f>
        <v>1</v>
      </c>
      <c r="AI541" s="237">
        <f>AVERAGE('WetLitterbags placem_collection'!S102,'WetLitterbags placem_collection'!U102)</f>
        <v>16.5</v>
      </c>
      <c r="AJ541">
        <f>AVERAGE('WetLitterbags placem_collection'!R102,'WetLitterbags placem_collection'!T102)</f>
        <v>29.85</v>
      </c>
      <c r="AK541">
        <f>INDEX(Coordinates!$B$2:$B$197,MATCH(H541,Coordinates!$J$2:$J$197,0))</f>
        <v>-2.3691989950000001</v>
      </c>
      <c r="AL541">
        <f>INDEX(Coordinates!$C$2:$C$197,MATCH(H541,Coordinates!$J$2:$J$197,0))</f>
        <v>34.060208029999998</v>
      </c>
      <c r="AM541" t="str">
        <f>IF(ISNUMBER(SEARCH("C", 'WetLitterbags placem_collection'!$X102)),"YES","NO")</f>
        <v>NO</v>
      </c>
      <c r="AN541" t="str">
        <f>IF(ISNUMBER(SEARCH("H", 'WetLitterbags placem_collection'!$X102)),"YES","NO")</f>
        <v>NO</v>
      </c>
      <c r="AO541" t="str">
        <f>IF(ISNUMBER(SEARCH("R", 'WetLitterbags placem_collection'!$X102)),"YES","NO")</f>
        <v>NO</v>
      </c>
    </row>
    <row r="542" spans="1:41" ht="15" customHeight="1">
      <c r="A542" s="255" t="s">
        <v>2454</v>
      </c>
      <c r="B542" s="260">
        <f>'Dry_Litterbag Placem_Collection'!A103</f>
        <v>101</v>
      </c>
      <c r="C542" s="260" t="str">
        <f>'Dry_Litterbag Placem_Collection'!B103</f>
        <v xml:space="preserve">Mwantimba
</v>
      </c>
      <c r="D542" s="260" t="s">
        <v>2454</v>
      </c>
      <c r="E542" s="260" t="s">
        <v>2644</v>
      </c>
      <c r="F542" s="260">
        <v>1</v>
      </c>
      <c r="G542" s="260" t="s">
        <v>3815</v>
      </c>
      <c r="H542" s="261" t="str">
        <f>'Dry_Litterbag Placem_Collection'!C103</f>
        <v>Wet_Ag1_T5</v>
      </c>
      <c r="I542" s="270" t="s">
        <v>3630</v>
      </c>
      <c r="J542" s="263" t="s">
        <v>1147</v>
      </c>
      <c r="K542" s="221" t="str">
        <f>'WetLitterbags placem_collection'!O103</f>
        <v>G875</v>
      </c>
      <c r="L542" s="223">
        <f>IFERROR(INDEX('Green_rooibos initial weight'!$C$5:$C$2000,MATCH(K542, 'Green_rooibos initial weight'!$A$5:$A$2000,0)),"")</f>
        <v>2.0880000000000001</v>
      </c>
      <c r="M542" s="223">
        <f>IFERROR(L542-(TBIcalc!$H$9+TBIcalc!$H$10),"")</f>
        <v>1.8382000000000001</v>
      </c>
      <c r="N542" s="385">
        <f>AVERAGE(Ashed_controlls!$K$2:$K$11)</f>
        <v>5.5147656768714146</v>
      </c>
      <c r="O542" s="223">
        <f t="shared" si="41"/>
        <v>1.7368275773277497</v>
      </c>
      <c r="P542" s="223">
        <f>IFERROR(INDEX('Both teabags AfterWet'!$C$3:$C$840,MATCH(K542,'Both teabags AfterWet'!$A$3:$A$840,0)),"")</f>
        <v>0.62450000000000006</v>
      </c>
      <c r="Q542" s="223">
        <f>IFERROR(IF(P542&gt;0,P542-(TBIcalc!$H$9),""),"")</f>
        <v>0.47390000000000004</v>
      </c>
      <c r="R542" s="223">
        <f>IFERROR(INDEX('Ashed teabags wet'!$K$2:$K$2000,MATCH(K542,'Ashed teabags wet'!$A$2:$A$2000,0)),"")</f>
        <v>13.73786407767002</v>
      </c>
      <c r="S542" s="223">
        <f t="shared" si="42"/>
        <v>0.4087962621359218</v>
      </c>
      <c r="T542" s="224">
        <f>'WetLitterbags placem_collection'!E103</f>
        <v>42762</v>
      </c>
      <c r="U542" s="224">
        <f>IF('WetLitterbags placem_collection'!G103="","",'WetLitterbags placem_collection'!G103)</f>
        <v>42816</v>
      </c>
      <c r="V542" s="225">
        <f t="shared" si="40"/>
        <v>54</v>
      </c>
      <c r="W542" s="223">
        <f t="shared" si="43"/>
        <v>1.3643000000000001</v>
      </c>
      <c r="X542" s="223">
        <f t="shared" si="44"/>
        <v>1.3280313151918279</v>
      </c>
      <c r="Y542">
        <f>IFERROR(INDEX(Rainfall_Wet!$O$2:$O$217,MATCH(B542, Rainfall_Wet!$A$2:$A$217,0)),"")</f>
        <v>206.85140822299999</v>
      </c>
      <c r="Z542" s="228">
        <v>45.96</v>
      </c>
      <c r="AA542" s="228">
        <v>14.920000000000003</v>
      </c>
      <c r="AB542" s="228">
        <v>39.119999999999997</v>
      </c>
      <c r="AC542" s="229" t="s">
        <v>2657</v>
      </c>
      <c r="AD542" s="228">
        <v>6.0374568753080302</v>
      </c>
      <c r="AE542">
        <f>IF('WetLitterbags placem_collection'!AB103="","",'WetLitterbags placem_collection'!AB103)</f>
        <v>4.3499999999999996</v>
      </c>
      <c r="AF542">
        <f>IF('WetLitterbags placem_collection'!Z103="","",'WetLitterbags placem_collection'!Z103)</f>
        <v>17</v>
      </c>
      <c r="AG542" s="243" t="str">
        <f>IF('WetLitterbags placem_collection'!AA103="","",'WetLitterbags placem_collection'!AA103)</f>
        <v>G</v>
      </c>
      <c r="AH542">
        <f>IF('WetLitterbags placem_collection'!AC103="","",'WetLitterbags placem_collection'!AC103)</f>
        <v>1</v>
      </c>
      <c r="AI542" s="237">
        <f>AVERAGE('WetLitterbags placem_collection'!S103,'WetLitterbags placem_collection'!U103)</f>
        <v>22.549999999999997</v>
      </c>
      <c r="AJ542">
        <f>AVERAGE('WetLitterbags placem_collection'!R103,'WetLitterbags placem_collection'!T103)</f>
        <v>31.150000000000002</v>
      </c>
      <c r="AK542">
        <f>INDEX(Coordinates!$B$2:$B$197,MATCH(H542,Coordinates!$J$2:$J$197,0))</f>
        <v>-2.3691900260000001</v>
      </c>
      <c r="AL542">
        <f>INDEX(Coordinates!$C$2:$C$197,MATCH(H542,Coordinates!$J$2:$J$197,0))</f>
        <v>34.060177019999998</v>
      </c>
      <c r="AM542" t="str">
        <f>IF(ISNUMBER(SEARCH("C", 'WetLitterbags placem_collection'!$X103)),"YES","NO")</f>
        <v>NO</v>
      </c>
      <c r="AN542" t="str">
        <f>IF(ISNUMBER(SEARCH("H", 'WetLitterbags placem_collection'!$X103)),"YES","NO")</f>
        <v>NO</v>
      </c>
      <c r="AO542" t="str">
        <f>IF(ISNUMBER(SEARCH("R", 'WetLitterbags placem_collection'!$X103)),"YES","NO")</f>
        <v>NO</v>
      </c>
    </row>
    <row r="543" spans="1:41" ht="15" customHeight="1">
      <c r="A543" s="255" t="s">
        <v>2454</v>
      </c>
      <c r="B543" s="260">
        <f>'Dry_Litterbag Placem_Collection'!A104</f>
        <v>102</v>
      </c>
      <c r="C543" s="260" t="str">
        <f>'Dry_Litterbag Placem_Collection'!B104</f>
        <v xml:space="preserve">Mwantimba
</v>
      </c>
      <c r="D543" s="260" t="s">
        <v>2454</v>
      </c>
      <c r="E543" s="260" t="s">
        <v>2644</v>
      </c>
      <c r="F543" s="260">
        <v>1</v>
      </c>
      <c r="G543" s="260" t="s">
        <v>3815</v>
      </c>
      <c r="H543" s="261" t="str">
        <f>'Dry_Litterbag Placem_Collection'!C104</f>
        <v>Wet_Ag1_T6</v>
      </c>
      <c r="I543" s="270" t="s">
        <v>3630</v>
      </c>
      <c r="J543" s="263" t="s">
        <v>1147</v>
      </c>
      <c r="K543" s="221" t="str">
        <f>'WetLitterbags placem_collection'!O104</f>
        <v>G824</v>
      </c>
      <c r="L543" s="223">
        <f>IFERROR(INDEX('Green_rooibos initial weight'!$C$5:$C$2000,MATCH(K543, 'Green_rooibos initial weight'!$A$5:$A$2000,0)),"")</f>
        <v>1.931</v>
      </c>
      <c r="M543" s="223">
        <f>IFERROR(L543-(TBIcalc!$H$9+TBIcalc!$H$10),"")</f>
        <v>1.6812</v>
      </c>
      <c r="N543" s="385">
        <f>AVERAGE(Ashed_controlls!$K$2:$K$11)</f>
        <v>5.5147656768714146</v>
      </c>
      <c r="O543" s="223">
        <f t="shared" si="41"/>
        <v>1.5884857594404378</v>
      </c>
      <c r="P543" s="223">
        <f>IFERROR(INDEX('Both teabags AfterWet'!$C$3:$C$840,MATCH(K543,'Both teabags AfterWet'!$A$3:$A$840,0)),"")</f>
        <v>0.56499999999999995</v>
      </c>
      <c r="Q543" s="223">
        <f>IFERROR(IF(P543&gt;0,P543-(TBIcalc!$H$9),""),"")</f>
        <v>0.41439999999999994</v>
      </c>
      <c r="R543" s="223">
        <f>IFERROR(INDEX('Ashed teabags wet'!$K$2:$K$2000,MATCH(K543,'Ashed teabags wet'!$A$2:$A$2000,0)),"")</f>
        <v>12.710187932739478</v>
      </c>
      <c r="S543" s="223">
        <f t="shared" si="42"/>
        <v>0.36172898120672753</v>
      </c>
      <c r="T543" s="224">
        <f>'WetLitterbags placem_collection'!E104</f>
        <v>42762</v>
      </c>
      <c r="U543" s="224">
        <f>IF('WetLitterbags placem_collection'!G104="","",'WetLitterbags placem_collection'!G104)</f>
        <v>42816</v>
      </c>
      <c r="V543" s="225">
        <f t="shared" si="40"/>
        <v>54</v>
      </c>
      <c r="W543" s="223">
        <f t="shared" si="43"/>
        <v>1.2668000000000001</v>
      </c>
      <c r="X543" s="223">
        <f t="shared" si="44"/>
        <v>1.2267567782337103</v>
      </c>
      <c r="Y543">
        <f>IFERROR(INDEX(Rainfall_Wet!$O$2:$O$217,MATCH(B543, Rainfall_Wet!$A$2:$A$217,0)),"")</f>
        <v>206.85140822299999</v>
      </c>
      <c r="Z543" s="228">
        <v>45.96</v>
      </c>
      <c r="AA543" s="228">
        <v>14.920000000000003</v>
      </c>
      <c r="AB543" s="228">
        <v>39.119999999999997</v>
      </c>
      <c r="AC543" s="229" t="s">
        <v>2657</v>
      </c>
      <c r="AD543" s="228">
        <v>7.0374568753080302</v>
      </c>
      <c r="AE543">
        <f>IF('WetLitterbags placem_collection'!AB104="","",'WetLitterbags placem_collection'!AB104)</f>
        <v>7.7</v>
      </c>
      <c r="AF543">
        <f>IF('WetLitterbags placem_collection'!Z104="","",'WetLitterbags placem_collection'!Z104)</f>
        <v>21</v>
      </c>
      <c r="AG543" s="243" t="str">
        <f>IF('WetLitterbags placem_collection'!AA104="","",'WetLitterbags placem_collection'!AA104)</f>
        <v>G</v>
      </c>
      <c r="AH543">
        <f>IF('WetLitterbags placem_collection'!AC104="","",'WetLitterbags placem_collection'!AC104)</f>
        <v>1</v>
      </c>
      <c r="AI543" s="237">
        <f>AVERAGE('WetLitterbags placem_collection'!S104,'WetLitterbags placem_collection'!U104)</f>
        <v>21.099999999999998</v>
      </c>
      <c r="AJ543">
        <f>AVERAGE('WetLitterbags placem_collection'!R104,'WetLitterbags placem_collection'!T104)</f>
        <v>31.8</v>
      </c>
      <c r="AK543">
        <f>INDEX(Coordinates!$B$2:$B$197,MATCH(H543,Coordinates!$J$2:$J$197,0))</f>
        <v>-2.3691350409999998</v>
      </c>
      <c r="AL543">
        <f>INDEX(Coordinates!$C$2:$C$197,MATCH(H543,Coordinates!$J$2:$J$197,0))</f>
        <v>34.06018297</v>
      </c>
      <c r="AM543" t="str">
        <f>IF(ISNUMBER(SEARCH("C", 'WetLitterbags placem_collection'!$X104)),"YES","NO")</f>
        <v>NO</v>
      </c>
      <c r="AN543" t="str">
        <f>IF(ISNUMBER(SEARCH("H", 'WetLitterbags placem_collection'!$X104)),"YES","NO")</f>
        <v>NO</v>
      </c>
      <c r="AO543" t="str">
        <f>IF(ISNUMBER(SEARCH("R", 'WetLitterbags placem_collection'!$X104)),"YES","NO")</f>
        <v>NO</v>
      </c>
    </row>
    <row r="544" spans="1:41" ht="15" customHeight="1">
      <c r="A544" s="255" t="s">
        <v>2454</v>
      </c>
      <c r="B544" s="260">
        <f>'Dry_Litterbag Placem_Collection'!A105</f>
        <v>103</v>
      </c>
      <c r="C544" s="260" t="str">
        <f>'Dry_Litterbag Placem_Collection'!B105</f>
        <v xml:space="preserve">Mwantimba
</v>
      </c>
      <c r="D544" s="260" t="s">
        <v>2454</v>
      </c>
      <c r="E544" s="260" t="s">
        <v>2644</v>
      </c>
      <c r="F544" s="260">
        <v>1</v>
      </c>
      <c r="G544" s="260" t="s">
        <v>3815</v>
      </c>
      <c r="H544" s="261" t="str">
        <f>'Dry_Litterbag Placem_Collection'!C105</f>
        <v>Wet_Ag1_T7</v>
      </c>
      <c r="I544" s="270" t="s">
        <v>3630</v>
      </c>
      <c r="J544" s="263" t="s">
        <v>1147</v>
      </c>
      <c r="K544" s="221" t="str">
        <f>'WetLitterbags placem_collection'!O105</f>
        <v>G692</v>
      </c>
      <c r="L544" s="223">
        <f>IFERROR(INDEX('Green_rooibos initial weight'!$C$5:$C$2000,MATCH(K544, 'Green_rooibos initial weight'!$A$5:$A$2000,0)),"")</f>
        <v>2.028</v>
      </c>
      <c r="M544" s="223">
        <f>IFERROR(L544-(TBIcalc!$H$9+TBIcalc!$H$10),"")</f>
        <v>1.7782</v>
      </c>
      <c r="N544" s="385">
        <f>AVERAGE(Ashed_controlls!$K$2:$K$11)</f>
        <v>5.5147656768714146</v>
      </c>
      <c r="O544" s="223">
        <f t="shared" si="41"/>
        <v>1.6801364367338725</v>
      </c>
      <c r="P544" s="223">
        <f>IFERROR(INDEX('Both teabags AfterWet'!$C$3:$C$840,MATCH(K544,'Both teabags AfterWet'!$A$3:$A$840,0)),"")</f>
        <v>0.58699999999999997</v>
      </c>
      <c r="Q544" s="223">
        <f>IFERROR(IF(P544&gt;0,P544-(TBIcalc!$H$9),""),"")</f>
        <v>0.43639999999999995</v>
      </c>
      <c r="R544" s="223">
        <f>IFERROR(INDEX('Ashed teabags wet'!$K$2:$K$2000,MATCH(K544,'Ashed teabags wet'!$A$2:$A$2000,0)),"")</f>
        <v>13.793103448275259</v>
      </c>
      <c r="S544" s="223">
        <f t="shared" si="42"/>
        <v>0.37620689655172673</v>
      </c>
      <c r="T544" s="224">
        <f>'WetLitterbags placem_collection'!E105</f>
        <v>42762</v>
      </c>
      <c r="U544" s="224">
        <f>IF('WetLitterbags placem_collection'!G105="","",'WetLitterbags placem_collection'!G105)</f>
        <v>42816</v>
      </c>
      <c r="V544" s="225">
        <f t="shared" si="40"/>
        <v>54</v>
      </c>
      <c r="W544" s="223">
        <f t="shared" si="43"/>
        <v>1.3418000000000001</v>
      </c>
      <c r="X544" s="223">
        <f t="shared" si="44"/>
        <v>1.3039295401821458</v>
      </c>
      <c r="Y544">
        <f>IFERROR(INDEX(Rainfall_Wet!$O$2:$O$217,MATCH(B544, Rainfall_Wet!$A$2:$A$217,0)),"")</f>
        <v>206.85140822299999</v>
      </c>
      <c r="Z544" s="228">
        <v>45.96</v>
      </c>
      <c r="AA544" s="228">
        <v>14.920000000000003</v>
      </c>
      <c r="AB544" s="228">
        <v>39.119999999999997</v>
      </c>
      <c r="AC544" s="229" t="s">
        <v>2657</v>
      </c>
      <c r="AD544" s="228">
        <v>8.0374568753080293</v>
      </c>
      <c r="AE544">
        <f>IF('WetLitterbags placem_collection'!AB105="","",'WetLitterbags placem_collection'!AB105)</f>
        <v>3.25</v>
      </c>
      <c r="AF544">
        <f>IF('WetLitterbags placem_collection'!Z105="","",'WetLitterbags placem_collection'!Z105)</f>
        <v>16</v>
      </c>
      <c r="AG544" s="243" t="str">
        <f>IF('WetLitterbags placem_collection'!AA105="","",'WetLitterbags placem_collection'!AA105)</f>
        <v>G</v>
      </c>
      <c r="AH544">
        <f>IF('WetLitterbags placem_collection'!AC105="","",'WetLitterbags placem_collection'!AC105)</f>
        <v>1</v>
      </c>
      <c r="AI544" s="237">
        <f>AVERAGE('WetLitterbags placem_collection'!S105,'WetLitterbags placem_collection'!U105)</f>
        <v>20.450000000000003</v>
      </c>
      <c r="AJ544">
        <f>AVERAGE('WetLitterbags placem_collection'!R105,'WetLitterbags placem_collection'!T105)</f>
        <v>30.25</v>
      </c>
      <c r="AK544">
        <f>INDEX(Coordinates!$B$2:$B$197,MATCH(H544,Coordinates!$J$2:$J$197,0))</f>
        <v>-2.3691330289999999</v>
      </c>
      <c r="AL544">
        <f>INDEX(Coordinates!$C$2:$C$197,MATCH(H544,Coordinates!$J$2:$J$197,0))</f>
        <v>34.060233009999997</v>
      </c>
      <c r="AM544" t="str">
        <f>IF(ISNUMBER(SEARCH("C", 'WetLitterbags placem_collection'!$X105)),"YES","NO")</f>
        <v>NO</v>
      </c>
      <c r="AN544" t="str">
        <f>IF(ISNUMBER(SEARCH("H", 'WetLitterbags placem_collection'!$X105)),"YES","NO")</f>
        <v>NO</v>
      </c>
      <c r="AO544" t="str">
        <f>IF(ISNUMBER(SEARCH("R", 'WetLitterbags placem_collection'!$X105)),"YES","NO")</f>
        <v>NO</v>
      </c>
    </row>
    <row r="545" spans="1:41" ht="15" customHeight="1">
      <c r="A545" s="255" t="s">
        <v>2454</v>
      </c>
      <c r="B545" s="260">
        <f>'Dry_Litterbag Placem_Collection'!A106</f>
        <v>104</v>
      </c>
      <c r="C545" s="260" t="str">
        <f>'Dry_Litterbag Placem_Collection'!B106</f>
        <v xml:space="preserve">Mwantimba
</v>
      </c>
      <c r="D545" s="260" t="s">
        <v>2454</v>
      </c>
      <c r="E545" s="260" t="s">
        <v>2644</v>
      </c>
      <c r="F545" s="260">
        <v>1</v>
      </c>
      <c r="G545" s="260" t="s">
        <v>3815</v>
      </c>
      <c r="H545" s="261" t="str">
        <f>'Dry_Litterbag Placem_Collection'!C106</f>
        <v>Wet_Ag1_T8</v>
      </c>
      <c r="I545" s="270" t="s">
        <v>3630</v>
      </c>
      <c r="J545" s="263" t="s">
        <v>1147</v>
      </c>
      <c r="K545" s="221" t="str">
        <f>'WetLitterbags placem_collection'!O106</f>
        <v>G806</v>
      </c>
      <c r="L545" s="223">
        <f>IFERROR(INDEX('Green_rooibos initial weight'!$C$5:$C$2000,MATCH(K545, 'Green_rooibos initial weight'!$A$5:$A$2000,0)),"")</f>
        <v>2.0419999999999998</v>
      </c>
      <c r="M545" s="223">
        <f>IFERROR(L545-(TBIcalc!$H$9+TBIcalc!$H$10),"")</f>
        <v>1.7921999999999998</v>
      </c>
      <c r="N545" s="385">
        <f>AVERAGE(Ashed_controlls!$K$2:$K$11)</f>
        <v>5.5147656768714146</v>
      </c>
      <c r="O545" s="223">
        <f t="shared" si="41"/>
        <v>1.6933643695391103</v>
      </c>
      <c r="P545" s="223">
        <f>IFERROR(INDEX('Both teabags AfterWet'!$C$3:$C$840,MATCH(K545,'Both teabags AfterWet'!$A$3:$A$840,0)),"")</f>
        <v>0.72499999999999998</v>
      </c>
      <c r="Q545" s="223">
        <f>IFERROR(IF(P545&gt;0,P545-(TBIcalc!$H$9),""),"")</f>
        <v>0.57440000000000002</v>
      </c>
      <c r="R545" s="223">
        <f>IFERROR(INDEX('Ashed teabags wet'!$K$2:$K$2000,MATCH(K545,'Ashed teabags wet'!$A$2:$A$2000,0)),"")</f>
        <v>16.853385289820611</v>
      </c>
      <c r="S545" s="223">
        <f t="shared" si="42"/>
        <v>0.47759415489527046</v>
      </c>
      <c r="T545" s="224">
        <f>'WetLitterbags placem_collection'!E106</f>
        <v>42762</v>
      </c>
      <c r="U545" s="224">
        <f>IF('WetLitterbags placem_collection'!G106="","",'WetLitterbags placem_collection'!G106)</f>
        <v>42816</v>
      </c>
      <c r="V545" s="225">
        <f t="shared" si="40"/>
        <v>54</v>
      </c>
      <c r="W545" s="223">
        <f t="shared" si="43"/>
        <v>1.2177999999999998</v>
      </c>
      <c r="X545" s="223">
        <f t="shared" si="44"/>
        <v>1.2157702146438398</v>
      </c>
      <c r="Y545">
        <f>IFERROR(INDEX(Rainfall_Wet!$O$2:$O$217,MATCH(B545, Rainfall_Wet!$A$2:$A$217,0)),"")</f>
        <v>206.85140822299999</v>
      </c>
      <c r="Z545" s="228">
        <v>45.96</v>
      </c>
      <c r="AA545" s="228">
        <v>14.920000000000003</v>
      </c>
      <c r="AB545" s="228">
        <v>39.119999999999997</v>
      </c>
      <c r="AC545" s="229" t="s">
        <v>2657</v>
      </c>
      <c r="AD545" s="228">
        <v>9.0374568753080293</v>
      </c>
      <c r="AE545">
        <f>IF('WetLitterbags placem_collection'!AB106="","",'WetLitterbags placem_collection'!AB106)</f>
        <v>10.5</v>
      </c>
      <c r="AF545">
        <f>IF('WetLitterbags placem_collection'!Z106="","",'WetLitterbags placem_collection'!Z106)</f>
        <v>17</v>
      </c>
      <c r="AG545" s="243" t="str">
        <f>IF('WetLitterbags placem_collection'!AA106="","",'WetLitterbags placem_collection'!AA106)</f>
        <v>G</v>
      </c>
      <c r="AH545">
        <f>IF('WetLitterbags placem_collection'!AC106="","",'WetLitterbags placem_collection'!AC106)</f>
        <v>1</v>
      </c>
      <c r="AI545" s="237">
        <f>AVERAGE('WetLitterbags placem_collection'!S106,'WetLitterbags placem_collection'!U106)</f>
        <v>21.6</v>
      </c>
      <c r="AJ545">
        <f>AVERAGE('WetLitterbags placem_collection'!R106,'WetLitterbags placem_collection'!T106)</f>
        <v>29.3</v>
      </c>
      <c r="AK545">
        <f>INDEX(Coordinates!$B$2:$B$197,MATCH(H545,Coordinates!$J$2:$J$197,0))</f>
        <v>-2.3692910280000001</v>
      </c>
      <c r="AL545">
        <f>INDEX(Coordinates!$C$2:$C$197,MATCH(H545,Coordinates!$J$2:$J$197,0))</f>
        <v>34.06016202</v>
      </c>
      <c r="AM545" t="str">
        <f>IF(ISNUMBER(SEARCH("C", 'WetLitterbags placem_collection'!$X106)),"YES","NO")</f>
        <v>NO</v>
      </c>
      <c r="AN545" t="str">
        <f>IF(ISNUMBER(SEARCH("H", 'WetLitterbags placem_collection'!$X106)),"YES","NO")</f>
        <v>NO</v>
      </c>
      <c r="AO545" t="str">
        <f>IF(ISNUMBER(SEARCH("R", 'WetLitterbags placem_collection'!$X106)),"YES","NO")</f>
        <v>NO</v>
      </c>
    </row>
    <row r="546" spans="1:41" ht="15" customHeight="1">
      <c r="A546" s="255" t="s">
        <v>2454</v>
      </c>
      <c r="B546" s="260">
        <f>'Dry_Litterbag Placem_Collection'!A107</f>
        <v>105</v>
      </c>
      <c r="C546" s="260" t="str">
        <f>'Dry_Litterbag Placem_Collection'!B107</f>
        <v xml:space="preserve">Mwantimba
</v>
      </c>
      <c r="D546" s="260" t="s">
        <v>2454</v>
      </c>
      <c r="E546" s="260" t="s">
        <v>2644</v>
      </c>
      <c r="F546" s="260">
        <v>2</v>
      </c>
      <c r="G546" s="260" t="s">
        <v>3817</v>
      </c>
      <c r="H546" s="261" t="str">
        <f>'Dry_Litterbag Placem_Collection'!C107</f>
        <v>Wet_Ag2_T1</v>
      </c>
      <c r="I546" s="270" t="s">
        <v>3630</v>
      </c>
      <c r="J546" s="263" t="s">
        <v>1147</v>
      </c>
      <c r="K546" s="221" t="str">
        <f>'WetLitterbags placem_collection'!O107</f>
        <v>G861</v>
      </c>
      <c r="L546" s="223">
        <f>IFERROR(INDEX('Green_rooibos initial weight'!$C$5:$C$2000,MATCH(K546, 'Green_rooibos initial weight'!$A$5:$A$2000,0)),"")</f>
        <v>1.9339999999999999</v>
      </c>
      <c r="M546" s="223">
        <f>IFERROR(L546-(TBIcalc!$H$9+TBIcalc!$H$10),"")</f>
        <v>1.6841999999999999</v>
      </c>
      <c r="N546" s="385">
        <f>AVERAGE(Ashed_controlls!$K$2:$K$11)</f>
        <v>5.5147656768714146</v>
      </c>
      <c r="O546" s="223">
        <f t="shared" si="41"/>
        <v>1.5913203164701315</v>
      </c>
      <c r="P546" s="223">
        <f>IFERROR(INDEX('Both teabags AfterWet'!$C$3:$C$840,MATCH(K546,'Both teabags AfterWet'!$A$3:$A$840,0)),"")</f>
        <v>0.626</v>
      </c>
      <c r="Q546" s="223">
        <f>IFERROR(IF(P546&gt;0,P546-(TBIcalc!$H$9),""),"")</f>
        <v>0.47539999999999999</v>
      </c>
      <c r="R546" s="223">
        <f>IFERROR(INDEX('Ashed teabags wet'!$K$2:$K$2000,MATCH(K546,'Ashed teabags wet'!$A$2:$A$2000,0)),"")</f>
        <v>20.431034482760303</v>
      </c>
      <c r="S546" s="223">
        <f t="shared" si="42"/>
        <v>0.37827086206895755</v>
      </c>
      <c r="T546" s="224">
        <f>'WetLitterbags placem_collection'!E107</f>
        <v>42762</v>
      </c>
      <c r="U546" s="224">
        <f>IF('WetLitterbags placem_collection'!G107="","",'WetLitterbags placem_collection'!G107)</f>
        <v>42816</v>
      </c>
      <c r="V546" s="225">
        <f t="shared" si="40"/>
        <v>54</v>
      </c>
      <c r="W546" s="223">
        <f t="shared" si="43"/>
        <v>1.2087999999999999</v>
      </c>
      <c r="X546" s="223">
        <f t="shared" si="44"/>
        <v>1.2130494544011738</v>
      </c>
      <c r="Y546">
        <f>IFERROR(INDEX(Rainfall_Wet!$O$2:$O$217,MATCH(B546, Rainfall_Wet!$A$2:$A$217,0)),"")</f>
        <v>206.85140822299999</v>
      </c>
      <c r="Z546" s="228">
        <v>34.344660194174757</v>
      </c>
      <c r="AA546" s="228">
        <v>19.22727272727273</v>
      </c>
      <c r="AB546" s="228">
        <v>46.428067078552509</v>
      </c>
      <c r="AC546" s="229" t="s">
        <v>2654</v>
      </c>
      <c r="AD546" s="228">
        <v>1.7452932479053718</v>
      </c>
      <c r="AE546">
        <f>IF('WetLitterbags placem_collection'!AB107="","",'WetLitterbags placem_collection'!AB107)</f>
        <v>5.5</v>
      </c>
      <c r="AF546">
        <f>IF('WetLitterbags placem_collection'!Z107="","",'WetLitterbags placem_collection'!Z107)</f>
        <v>23.5</v>
      </c>
      <c r="AG546" s="243" t="str">
        <f>IF('WetLitterbags placem_collection'!AA107="","",'WetLitterbags placem_collection'!AA107)</f>
        <v>M</v>
      </c>
      <c r="AH546">
        <f>IF('WetLitterbags placem_collection'!AC107="","",'WetLitterbags placem_collection'!AC107)</f>
        <v>0</v>
      </c>
      <c r="AI546" s="237">
        <f>AVERAGE('WetLitterbags placem_collection'!S107,'WetLitterbags placem_collection'!U107)</f>
        <v>11.350000000000001</v>
      </c>
      <c r="AJ546">
        <f>AVERAGE('WetLitterbags placem_collection'!R107,'WetLitterbags placem_collection'!T107)</f>
        <v>32.150000000000006</v>
      </c>
      <c r="AK546">
        <f>INDEX(Coordinates!$B$2:$B$197,MATCH(H546,Coordinates!$J$2:$J$197,0))</f>
        <v>-2.3698080240000001</v>
      </c>
      <c r="AL546">
        <f>INDEX(Coordinates!$C$2:$C$197,MATCH(H546,Coordinates!$J$2:$J$197,0))</f>
        <v>34.059671010000002</v>
      </c>
      <c r="AM546" t="str">
        <f>IF(ISNUMBER(SEARCH("C", 'WetLitterbags placem_collection'!$X107)),"YES","NO")</f>
        <v>NO</v>
      </c>
      <c r="AN546" t="str">
        <f>IF(ISNUMBER(SEARCH("H", 'WetLitterbags placem_collection'!$X107)),"YES","NO")</f>
        <v>NO</v>
      </c>
      <c r="AO546" t="str">
        <f>IF(ISNUMBER(SEARCH("R", 'WetLitterbags placem_collection'!$X107)),"YES","NO")</f>
        <v>NO</v>
      </c>
    </row>
    <row r="547" spans="1:41" ht="15" customHeight="1">
      <c r="A547" s="255" t="s">
        <v>2454</v>
      </c>
      <c r="B547" s="260">
        <f>'Dry_Litterbag Placem_Collection'!A108</f>
        <v>106</v>
      </c>
      <c r="C547" s="260" t="str">
        <f>'Dry_Litterbag Placem_Collection'!B108</f>
        <v xml:space="preserve">Mwantimba
</v>
      </c>
      <c r="D547" s="260" t="s">
        <v>2454</v>
      </c>
      <c r="E547" s="260" t="s">
        <v>2644</v>
      </c>
      <c r="F547" s="260">
        <v>2</v>
      </c>
      <c r="G547" s="260" t="s">
        <v>3817</v>
      </c>
      <c r="H547" s="261" t="str">
        <f>'Dry_Litterbag Placem_Collection'!C108</f>
        <v>Wet_Ag2_T2</v>
      </c>
      <c r="I547" s="270" t="s">
        <v>3630</v>
      </c>
      <c r="J547" s="263" t="s">
        <v>1147</v>
      </c>
      <c r="K547" s="221" t="str">
        <f>'WetLitterbags placem_collection'!O108</f>
        <v>G738</v>
      </c>
      <c r="L547" s="223">
        <f>IFERROR(INDEX('Green_rooibos initial weight'!$C$5:$C$2000,MATCH(K547, 'Green_rooibos initial weight'!$A$5:$A$2000,0)),"")</f>
        <v>2.0089999999999999</v>
      </c>
      <c r="M547" s="223">
        <f>IFERROR(L547-(TBIcalc!$H$9+TBIcalc!$H$10),"")</f>
        <v>1.7591999999999999</v>
      </c>
      <c r="N547" s="385">
        <f>AVERAGE(Ashed_controlls!$K$2:$K$11)</f>
        <v>5.5147656768714146</v>
      </c>
      <c r="O547" s="223">
        <f t="shared" si="41"/>
        <v>1.662184242212478</v>
      </c>
      <c r="P547" s="223">
        <f>IFERROR(INDEX('Both teabags AfterWet'!$C$3:$C$840,MATCH(K547,'Both teabags AfterWet'!$A$3:$A$840,0)),"")</f>
        <v>0.626</v>
      </c>
      <c r="Q547" s="223">
        <f>IFERROR(IF(P547&gt;0,P547-(TBIcalc!$H$9),""),"")</f>
        <v>0.47539999999999999</v>
      </c>
      <c r="R547" s="223">
        <f>IFERROR(INDEX('Ashed teabags wet'!$K$2:$K$2000,MATCH(K547,'Ashed teabags wet'!$A$2:$A$2000,0)),"")</f>
        <v>15.46906187624684</v>
      </c>
      <c r="S547" s="223">
        <f t="shared" si="42"/>
        <v>0.40186007984032251</v>
      </c>
      <c r="T547" s="224">
        <f>'WetLitterbags placem_collection'!E108</f>
        <v>42762</v>
      </c>
      <c r="U547" s="224">
        <f>IF('WetLitterbags placem_collection'!G108="","",'WetLitterbags placem_collection'!G108)</f>
        <v>42816</v>
      </c>
      <c r="V547" s="225">
        <f t="shared" si="40"/>
        <v>54</v>
      </c>
      <c r="W547" s="223">
        <f t="shared" si="43"/>
        <v>1.2837999999999998</v>
      </c>
      <c r="X547" s="223">
        <f t="shared" si="44"/>
        <v>1.2603241623721555</v>
      </c>
      <c r="Y547">
        <f>IFERROR(INDEX(Rainfall_Wet!$O$2:$O$217,MATCH(B547, Rainfall_Wet!$A$2:$A$217,0)),"")</f>
        <v>206.85140822299999</v>
      </c>
      <c r="Z547" s="228">
        <v>34.344660194174757</v>
      </c>
      <c r="AA547" s="228">
        <v>19.22727272727273</v>
      </c>
      <c r="AB547" s="228">
        <v>46.428067078552509</v>
      </c>
      <c r="AC547" s="229" t="s">
        <v>2654</v>
      </c>
      <c r="AD547" s="228">
        <v>2.7452932479053702</v>
      </c>
      <c r="AE547">
        <f>IF('WetLitterbags placem_collection'!AB108="","",'WetLitterbags placem_collection'!AB108)</f>
        <v>8.6</v>
      </c>
      <c r="AF547">
        <f>IF('WetLitterbags placem_collection'!Z108="","",'WetLitterbags placem_collection'!Z108)</f>
        <v>17</v>
      </c>
      <c r="AG547" s="243" t="str">
        <f>IF('WetLitterbags placem_collection'!AA108="","",'WetLitterbags placem_collection'!AA108)</f>
        <v>M</v>
      </c>
      <c r="AH547">
        <f>IF('WetLitterbags placem_collection'!AC108="","",'WetLitterbags placem_collection'!AC108)</f>
        <v>0</v>
      </c>
      <c r="AI547" s="237">
        <f>AVERAGE('WetLitterbags placem_collection'!S108,'WetLitterbags placem_collection'!U108)</f>
        <v>12.4</v>
      </c>
      <c r="AJ547">
        <f>AVERAGE('WetLitterbags placem_collection'!R108,'WetLitterbags placem_collection'!T108)</f>
        <v>32.950000000000003</v>
      </c>
      <c r="AK547">
        <f>INDEX(Coordinates!$B$2:$B$197,MATCH(H547,Coordinates!$J$2:$J$197,0))</f>
        <v>-2.3697620069999998</v>
      </c>
      <c r="AL547">
        <f>INDEX(Coordinates!$C$2:$C$197,MATCH(H547,Coordinates!$J$2:$J$197,0))</f>
        <v>34.059730010000003</v>
      </c>
      <c r="AM547" t="str">
        <f>IF(ISNUMBER(SEARCH("C", 'WetLitterbags placem_collection'!$X108)),"YES","NO")</f>
        <v>NO</v>
      </c>
      <c r="AN547" t="str">
        <f>IF(ISNUMBER(SEARCH("H", 'WetLitterbags placem_collection'!$X108)),"YES","NO")</f>
        <v>NO</v>
      </c>
      <c r="AO547" t="str">
        <f>IF(ISNUMBER(SEARCH("R", 'WetLitterbags placem_collection'!$X108)),"YES","NO")</f>
        <v>YES</v>
      </c>
    </row>
    <row r="548" spans="1:41" ht="15" customHeight="1">
      <c r="A548" s="255" t="s">
        <v>2454</v>
      </c>
      <c r="B548" s="260">
        <f>'Dry_Litterbag Placem_Collection'!A109</f>
        <v>107</v>
      </c>
      <c r="C548" s="260" t="str">
        <f>'Dry_Litterbag Placem_Collection'!B109</f>
        <v xml:space="preserve">Mwantimba
</v>
      </c>
      <c r="D548" s="260" t="s">
        <v>2454</v>
      </c>
      <c r="E548" s="260" t="s">
        <v>2644</v>
      </c>
      <c r="F548" s="260">
        <v>2</v>
      </c>
      <c r="G548" s="260" t="s">
        <v>3817</v>
      </c>
      <c r="H548" s="261" t="str">
        <f>'Dry_Litterbag Placem_Collection'!C109</f>
        <v>Wet_Ag2_T3</v>
      </c>
      <c r="I548" s="270" t="s">
        <v>3630</v>
      </c>
      <c r="J548" s="263" t="s">
        <v>1147</v>
      </c>
      <c r="K548" s="221" t="str">
        <f>'WetLitterbags placem_collection'!O109</f>
        <v>G676</v>
      </c>
      <c r="L548" s="223">
        <f>IFERROR(INDEX('Green_rooibos initial weight'!$C$5:$C$2000,MATCH(K548, 'Green_rooibos initial weight'!$A$5:$A$2000,0)),"")</f>
        <v>2.048</v>
      </c>
      <c r="M548" s="223">
        <f>IFERROR(L548-(TBIcalc!$H$9+TBIcalc!$H$10),"")</f>
        <v>1.7982</v>
      </c>
      <c r="N548" s="385">
        <f>AVERAGE(Ashed_controlls!$K$2:$K$11)</f>
        <v>5.5147656768714146</v>
      </c>
      <c r="O548" s="223">
        <f t="shared" si="41"/>
        <v>1.6990334835984982</v>
      </c>
      <c r="P548" s="223">
        <f>IFERROR(INDEX('Both teabags AfterWet'!$C$3:$C$840,MATCH(K548,'Both teabags AfterWet'!$A$3:$A$840,0)),"")</f>
        <v>0.67630000000000001</v>
      </c>
      <c r="Q548" s="223">
        <f>IFERROR(IF(P548&gt;0,P548-(TBIcalc!$H$9),""),"")</f>
        <v>0.52570000000000006</v>
      </c>
      <c r="R548" s="223">
        <f>IFERROR(INDEX('Ashed teabags wet'!$K$2:$K$2000,MATCH(K548,'Ashed teabags wet'!$A$2:$A$2000,0)),"")</f>
        <v>16.393442622950655</v>
      </c>
      <c r="S548" s="223">
        <f t="shared" si="42"/>
        <v>0.43951967213114845</v>
      </c>
      <c r="T548" s="224">
        <f>'WetLitterbags placem_collection'!E109</f>
        <v>42762</v>
      </c>
      <c r="U548" s="224">
        <f>IF('WetLitterbags placem_collection'!G109="","",'WetLitterbags placem_collection'!G109)</f>
        <v>42816</v>
      </c>
      <c r="V548" s="225">
        <f t="shared" si="40"/>
        <v>54</v>
      </c>
      <c r="W548" s="223">
        <f t="shared" si="43"/>
        <v>1.2725</v>
      </c>
      <c r="X548" s="223">
        <f t="shared" si="44"/>
        <v>1.2595138114673496</v>
      </c>
      <c r="Y548">
        <f>IFERROR(INDEX(Rainfall_Wet!$O$2:$O$217,MATCH(B548, Rainfall_Wet!$A$2:$A$217,0)),"")</f>
        <v>206.85140822299999</v>
      </c>
      <c r="Z548" s="228">
        <v>34.344660194174757</v>
      </c>
      <c r="AA548" s="228">
        <v>19.22727272727273</v>
      </c>
      <c r="AB548" s="228">
        <v>46.428067078552509</v>
      </c>
      <c r="AC548" s="229" t="s">
        <v>2654</v>
      </c>
      <c r="AD548" s="228">
        <v>3.7452932479053702</v>
      </c>
      <c r="AE548">
        <f>IF('WetLitterbags placem_collection'!AB109="","",'WetLitterbags placem_collection'!AB109)</f>
        <v>3.85</v>
      </c>
      <c r="AF548">
        <f>IF('WetLitterbags placem_collection'!Z109="","",'WetLitterbags placem_collection'!Z109)</f>
        <v>15.5</v>
      </c>
      <c r="AG548" s="243" t="str">
        <f>IF('WetLitterbags placem_collection'!AA109="","",'WetLitterbags placem_collection'!AA109)</f>
        <v>M</v>
      </c>
      <c r="AH548">
        <f>IF('WetLitterbags placem_collection'!AC109="","",'WetLitterbags placem_collection'!AC109)</f>
        <v>0</v>
      </c>
      <c r="AI548" s="237">
        <f>AVERAGE('WetLitterbags placem_collection'!S109,'WetLitterbags placem_collection'!U109)</f>
        <v>11.299999999999999</v>
      </c>
      <c r="AJ548">
        <f>AVERAGE('WetLitterbags placem_collection'!R109,'WetLitterbags placem_collection'!T109)</f>
        <v>32.450000000000003</v>
      </c>
      <c r="AK548">
        <f>INDEX(Coordinates!$B$2:$B$197,MATCH(H548,Coordinates!$J$2:$J$197,0))</f>
        <v>-2.3698409649999999</v>
      </c>
      <c r="AL548">
        <f>INDEX(Coordinates!$C$2:$C$197,MATCH(H548,Coordinates!$J$2:$J$197,0))</f>
        <v>34.059814000000003</v>
      </c>
      <c r="AM548" t="str">
        <f>IF(ISNUMBER(SEARCH("C", 'WetLitterbags placem_collection'!$X109)),"YES","NO")</f>
        <v>NO</v>
      </c>
      <c r="AN548" t="str">
        <f>IF(ISNUMBER(SEARCH("H", 'WetLitterbags placem_collection'!$X109)),"YES","NO")</f>
        <v>NO</v>
      </c>
      <c r="AO548" t="str">
        <f>IF(ISNUMBER(SEARCH("R", 'WetLitterbags placem_collection'!$X109)),"YES","NO")</f>
        <v>YES</v>
      </c>
    </row>
    <row r="549" spans="1:41" ht="15" customHeight="1">
      <c r="A549" s="255" t="s">
        <v>2454</v>
      </c>
      <c r="B549" s="260">
        <f>'Dry_Litterbag Placem_Collection'!A110</f>
        <v>108</v>
      </c>
      <c r="C549" s="260" t="str">
        <f>'Dry_Litterbag Placem_Collection'!B110</f>
        <v xml:space="preserve">Mwantimba
</v>
      </c>
      <c r="D549" s="260" t="s">
        <v>2454</v>
      </c>
      <c r="E549" s="260" t="s">
        <v>2644</v>
      </c>
      <c r="F549" s="260">
        <v>2</v>
      </c>
      <c r="G549" s="260" t="s">
        <v>3817</v>
      </c>
      <c r="H549" s="261" t="str">
        <f>'Dry_Litterbag Placem_Collection'!C110</f>
        <v>Wet_Ag2_T4</v>
      </c>
      <c r="I549" s="270" t="s">
        <v>3630</v>
      </c>
      <c r="J549" s="263" t="s">
        <v>1147</v>
      </c>
      <c r="K549" s="221" t="str">
        <f>'WetLitterbags placem_collection'!O110</f>
        <v>G845</v>
      </c>
      <c r="L549" s="223">
        <f>IFERROR(INDEX('Green_rooibos initial weight'!$C$5:$C$2000,MATCH(K549, 'Green_rooibos initial weight'!$A$5:$A$2000,0)),"")</f>
        <v>2.0459999999999998</v>
      </c>
      <c r="M549" s="223">
        <f>IFERROR(L549-(TBIcalc!$H$9+TBIcalc!$H$10),"")</f>
        <v>1.7961999999999998</v>
      </c>
      <c r="N549" s="385">
        <f>AVERAGE(Ashed_controlls!$K$2:$K$11)</f>
        <v>5.5147656768714146</v>
      </c>
      <c r="O549" s="223">
        <f t="shared" si="41"/>
        <v>1.6971437789120354</v>
      </c>
      <c r="P549" s="223">
        <f>IFERROR(INDEX('Both teabags AfterWet'!$C$3:$C$840,MATCH(K549,'Both teabags AfterWet'!$A$3:$A$840,0)),"")</f>
        <v>0.57699999999999996</v>
      </c>
      <c r="Q549" s="223">
        <f>IFERROR(IF(P549&gt;0,P549-(TBIcalc!$H$9),""),"")</f>
        <v>0.42639999999999995</v>
      </c>
      <c r="R549" s="223">
        <f>IFERROR(INDEX('Ashed teabags wet'!$K$2:$K$2000,MATCH(K549,'Ashed teabags wet'!$A$2:$A$2000,0)),"")</f>
        <v>13.078070611635859</v>
      </c>
      <c r="S549" s="223">
        <f t="shared" si="42"/>
        <v>0.37063510691198465</v>
      </c>
      <c r="T549" s="224">
        <f>'WetLitterbags placem_collection'!E110</f>
        <v>42762</v>
      </c>
      <c r="U549" s="224">
        <f>IF('WetLitterbags placem_collection'!G110="","",'WetLitterbags placem_collection'!G110)</f>
        <v>42816</v>
      </c>
      <c r="V549" s="225">
        <f t="shared" si="40"/>
        <v>54</v>
      </c>
      <c r="W549" s="223">
        <f t="shared" si="43"/>
        <v>1.3697999999999999</v>
      </c>
      <c r="X549" s="223">
        <f t="shared" si="44"/>
        <v>1.3265086720000507</v>
      </c>
      <c r="Y549">
        <f>IFERROR(INDEX(Rainfall_Wet!$O$2:$O$217,MATCH(B549, Rainfall_Wet!$A$2:$A$217,0)),"")</f>
        <v>206.85140822299999</v>
      </c>
      <c r="Z549" s="228">
        <v>34.344660194174757</v>
      </c>
      <c r="AA549" s="228">
        <v>19.22727272727273</v>
      </c>
      <c r="AB549" s="228">
        <v>46.428067078552509</v>
      </c>
      <c r="AC549" s="229" t="s">
        <v>2654</v>
      </c>
      <c r="AD549" s="228">
        <v>4.7452932479053702</v>
      </c>
      <c r="AE549">
        <f>IF('WetLitterbags placem_collection'!AB110="","",'WetLitterbags placem_collection'!AB110)</f>
        <v>9.6999999999999993</v>
      </c>
      <c r="AF549">
        <f>IF('WetLitterbags placem_collection'!Z110="","",'WetLitterbags placem_collection'!Z110)</f>
        <v>22.5</v>
      </c>
      <c r="AG549" s="243" t="str">
        <f>IF('WetLitterbags placem_collection'!AA110="","",'WetLitterbags placem_collection'!AA110)</f>
        <v>M</v>
      </c>
      <c r="AH549">
        <f>IF('WetLitterbags placem_collection'!AC110="","",'WetLitterbags placem_collection'!AC110)</f>
        <v>0</v>
      </c>
      <c r="AI549" s="237">
        <f>AVERAGE('WetLitterbags placem_collection'!S110,'WetLitterbags placem_collection'!U110)</f>
        <v>15.1</v>
      </c>
      <c r="AJ549">
        <f>AVERAGE('WetLitterbags placem_collection'!R110,'WetLitterbags placem_collection'!T110)</f>
        <v>31.55</v>
      </c>
      <c r="AK549">
        <f>INDEX(Coordinates!$B$2:$B$197,MATCH(H549,Coordinates!$J$2:$J$197,0))</f>
        <v>-2.3698620030000002</v>
      </c>
      <c r="AL549">
        <f>INDEX(Coordinates!$C$2:$C$197,MATCH(H549,Coordinates!$J$2:$J$197,0))</f>
        <v>34.059759020000001</v>
      </c>
      <c r="AM549" t="str">
        <f>IF(ISNUMBER(SEARCH("C", 'WetLitterbags placem_collection'!$X110)),"YES","NO")</f>
        <v>NO</v>
      </c>
      <c r="AN549" t="str">
        <f>IF(ISNUMBER(SEARCH("H", 'WetLitterbags placem_collection'!$X110)),"YES","NO")</f>
        <v>NO</v>
      </c>
      <c r="AO549" t="str">
        <f>IF(ISNUMBER(SEARCH("R", 'WetLitterbags placem_collection'!$X110)),"YES","NO")</f>
        <v>YES</v>
      </c>
    </row>
    <row r="550" spans="1:41" ht="15" customHeight="1">
      <c r="A550" s="255" t="s">
        <v>2454</v>
      </c>
      <c r="B550" s="260">
        <f>'Dry_Litterbag Placem_Collection'!A111</f>
        <v>109</v>
      </c>
      <c r="C550" s="260" t="str">
        <f>'Dry_Litterbag Placem_Collection'!B111</f>
        <v xml:space="preserve">Mwantimba
</v>
      </c>
      <c r="D550" s="260" t="s">
        <v>2454</v>
      </c>
      <c r="E550" s="260" t="s">
        <v>2644</v>
      </c>
      <c r="F550" s="260">
        <v>2</v>
      </c>
      <c r="G550" s="260" t="s">
        <v>3817</v>
      </c>
      <c r="H550" s="261" t="str">
        <f>'Dry_Litterbag Placem_Collection'!C111</f>
        <v>Wet_Ag2_T5</v>
      </c>
      <c r="I550" s="270" t="s">
        <v>3630</v>
      </c>
      <c r="J550" s="263" t="s">
        <v>1147</v>
      </c>
      <c r="K550" s="221" t="str">
        <f>'WetLitterbags placem_collection'!O111</f>
        <v>G887</v>
      </c>
      <c r="L550" s="223">
        <f>IFERROR(INDEX('Green_rooibos initial weight'!$C$5:$C$2000,MATCH(K550, 'Green_rooibos initial weight'!$A$5:$A$2000,0)),"")</f>
        <v>1.998</v>
      </c>
      <c r="M550" s="223">
        <f>IFERROR(L550-(TBIcalc!$H$9+TBIcalc!$H$10),"")</f>
        <v>1.7482</v>
      </c>
      <c r="N550" s="385">
        <f>AVERAGE(Ashed_controlls!$K$2:$K$11)</f>
        <v>5.5147656768714146</v>
      </c>
      <c r="O550" s="223">
        <f t="shared" si="41"/>
        <v>1.6517908664369338</v>
      </c>
      <c r="P550" s="223">
        <f>IFERROR(INDEX('Both teabags AfterWet'!$C$3:$C$840,MATCH(K550,'Both teabags AfterWet'!$A$3:$A$840,0)),"")</f>
        <v>0.64870000000000005</v>
      </c>
      <c r="Q550" s="223">
        <f>IFERROR(IF(P550&gt;0,P550-(TBIcalc!$H$9),""),"")</f>
        <v>0.49810000000000004</v>
      </c>
      <c r="R550" s="223">
        <f>IFERROR(INDEX('Ashed teabags wet'!$K$2:$K$2000,MATCH(K550,'Ashed teabags wet'!$A$2:$A$2000,0)),"")</f>
        <v>12.548449612403372</v>
      </c>
      <c r="S550" s="223">
        <f t="shared" si="42"/>
        <v>0.43559617248061883</v>
      </c>
      <c r="T550" s="224">
        <f>'WetLitterbags placem_collection'!E111</f>
        <v>42762</v>
      </c>
      <c r="U550" s="224">
        <f>IF('WetLitterbags placem_collection'!G111="","",'WetLitterbags placem_collection'!G111)</f>
        <v>42816</v>
      </c>
      <c r="V550" s="225">
        <f t="shared" si="40"/>
        <v>54</v>
      </c>
      <c r="W550" s="223">
        <f t="shared" si="43"/>
        <v>1.2501</v>
      </c>
      <c r="X550" s="223">
        <f t="shared" si="44"/>
        <v>1.2161946939563151</v>
      </c>
      <c r="Y550">
        <f>IFERROR(INDEX(Rainfall_Wet!$O$2:$O$217,MATCH(B550, Rainfall_Wet!$A$2:$A$217,0)),"")</f>
        <v>206.85140822299999</v>
      </c>
      <c r="Z550" s="228">
        <v>34.344660194174757</v>
      </c>
      <c r="AA550" s="228">
        <v>19.22727272727273</v>
      </c>
      <c r="AB550" s="228">
        <v>46.428067078552509</v>
      </c>
      <c r="AC550" s="229" t="s">
        <v>2654</v>
      </c>
      <c r="AD550" s="228">
        <v>5.7452932479053702</v>
      </c>
      <c r="AE550">
        <f>IF('WetLitterbags placem_collection'!AB111="","",'WetLitterbags placem_collection'!AB111)</f>
        <v>10.5</v>
      </c>
      <c r="AF550">
        <f>IF('WetLitterbags placem_collection'!Z111="","",'WetLitterbags placem_collection'!Z111)</f>
        <v>22.5</v>
      </c>
      <c r="AG550" s="243" t="str">
        <f>IF('WetLitterbags placem_collection'!AA111="","",'WetLitterbags placem_collection'!AA111)</f>
        <v>M</v>
      </c>
      <c r="AH550">
        <f>IF('WetLitterbags placem_collection'!AC111="","",'WetLitterbags placem_collection'!AC111)</f>
        <v>0</v>
      </c>
      <c r="AI550" s="237">
        <f>AVERAGE('WetLitterbags placem_collection'!S111,'WetLitterbags placem_collection'!U111)</f>
        <v>9</v>
      </c>
      <c r="AJ550">
        <f>AVERAGE('WetLitterbags placem_collection'!R111,'WetLitterbags placem_collection'!T111)</f>
        <v>33.5</v>
      </c>
      <c r="AK550">
        <f>INDEX(Coordinates!$B$2:$B$197,MATCH(H550,Coordinates!$J$2:$J$197,0))</f>
        <v>-2.3698390370000002</v>
      </c>
      <c r="AL550">
        <f>INDEX(Coordinates!$C$2:$C$197,MATCH(H550,Coordinates!$J$2:$J$197,0))</f>
        <v>34.059714</v>
      </c>
      <c r="AM550" t="str">
        <f>IF(ISNUMBER(SEARCH("C", 'WetLitterbags placem_collection'!$X111)),"YES","NO")</f>
        <v>NO</v>
      </c>
      <c r="AN550" t="str">
        <f>IF(ISNUMBER(SEARCH("H", 'WetLitterbags placem_collection'!$X111)),"YES","NO")</f>
        <v>NO</v>
      </c>
      <c r="AO550" t="str">
        <f>IF(ISNUMBER(SEARCH("R", 'WetLitterbags placem_collection'!$X111)),"YES","NO")</f>
        <v>NO</v>
      </c>
    </row>
    <row r="551" spans="1:41" ht="15" customHeight="1">
      <c r="A551" s="255" t="s">
        <v>2454</v>
      </c>
      <c r="B551" s="260">
        <f>'Dry_Litterbag Placem_Collection'!A112</f>
        <v>110</v>
      </c>
      <c r="C551" s="260" t="str">
        <f>'Dry_Litterbag Placem_Collection'!B112</f>
        <v xml:space="preserve">Mwantimba
</v>
      </c>
      <c r="D551" s="260" t="s">
        <v>2454</v>
      </c>
      <c r="E551" s="260" t="s">
        <v>2644</v>
      </c>
      <c r="F551" s="260">
        <v>2</v>
      </c>
      <c r="G551" s="260" t="s">
        <v>3817</v>
      </c>
      <c r="H551" s="261" t="str">
        <f>'Dry_Litterbag Placem_Collection'!C112</f>
        <v>Wet_Ag2_T6</v>
      </c>
      <c r="I551" s="270" t="s">
        <v>3630</v>
      </c>
      <c r="J551" s="263" t="s">
        <v>1147</v>
      </c>
      <c r="K551" s="221" t="str">
        <f>'WetLitterbags placem_collection'!O112</f>
        <v>G882</v>
      </c>
      <c r="L551" s="223">
        <f>IFERROR(INDEX('Green_rooibos initial weight'!$C$5:$C$2000,MATCH(K551, 'Green_rooibos initial weight'!$A$5:$A$2000,0)),"")</f>
        <v>2.0979999999999999</v>
      </c>
      <c r="M551" s="223">
        <f>IFERROR(L551-(TBIcalc!$H$9+TBIcalc!$H$10),"")</f>
        <v>1.8481999999999998</v>
      </c>
      <c r="N551" s="385">
        <f>AVERAGE(Ashed_controlls!$K$2:$K$11)</f>
        <v>5.5147656768714146</v>
      </c>
      <c r="O551" s="223">
        <f t="shared" si="41"/>
        <v>1.7462761007600625</v>
      </c>
      <c r="P551" s="223">
        <f>IFERROR(INDEX('Both teabags AfterWet'!$C$3:$C$840,MATCH(K551,'Both teabags AfterWet'!$A$3:$A$840,0)),"")</f>
        <v>0.56669999999999998</v>
      </c>
      <c r="Q551" s="223">
        <f>IFERROR(IF(P551&gt;0,P551-(TBIcalc!$H$9),""),"")</f>
        <v>0.41609999999999997</v>
      </c>
      <c r="R551" s="223">
        <f>IFERROR(INDEX('Ashed teabags wet'!$K$2:$K$2000,MATCH(K551,'Ashed teabags wet'!$A$2:$A$2000,0)),"")</f>
        <v>13.300248138958004</v>
      </c>
      <c r="S551" s="223">
        <f t="shared" si="42"/>
        <v>0.36075766749379573</v>
      </c>
      <c r="T551" s="224">
        <f>'WetLitterbags placem_collection'!E112</f>
        <v>42762</v>
      </c>
      <c r="U551" s="224">
        <f>IF('WetLitterbags placem_collection'!G112="","",'WetLitterbags placem_collection'!G112)</f>
        <v>42816</v>
      </c>
      <c r="V551" s="225">
        <f t="shared" si="40"/>
        <v>54</v>
      </c>
      <c r="W551" s="223">
        <f t="shared" si="43"/>
        <v>1.4320999999999999</v>
      </c>
      <c r="X551" s="223">
        <f t="shared" si="44"/>
        <v>1.3855184332662667</v>
      </c>
      <c r="Y551">
        <f>IFERROR(INDEX(Rainfall_Wet!$O$2:$O$217,MATCH(B551, Rainfall_Wet!$A$2:$A$217,0)),"")</f>
        <v>206.85140822299999</v>
      </c>
      <c r="Z551" s="228">
        <v>34.344660194174757</v>
      </c>
      <c r="AA551" s="228">
        <v>19.22727272727273</v>
      </c>
      <c r="AB551" s="228">
        <v>46.428067078552509</v>
      </c>
      <c r="AC551" s="229" t="s">
        <v>2654</v>
      </c>
      <c r="AD551" s="228">
        <v>6.7452932479053702</v>
      </c>
      <c r="AE551">
        <f>IF('WetLitterbags placem_collection'!AB112="","",'WetLitterbags placem_collection'!AB112)</f>
        <v>5.75</v>
      </c>
      <c r="AF551">
        <f>IF('WetLitterbags placem_collection'!Z112="","",'WetLitterbags placem_collection'!Z112)</f>
        <v>22.5</v>
      </c>
      <c r="AG551" s="243" t="str">
        <f>IF('WetLitterbags placem_collection'!AA112="","",'WetLitterbags placem_collection'!AA112)</f>
        <v>M</v>
      </c>
      <c r="AH551">
        <f>IF('WetLitterbags placem_collection'!AC112="","",'WetLitterbags placem_collection'!AC112)</f>
        <v>0</v>
      </c>
      <c r="AI551" s="237">
        <f>AVERAGE('WetLitterbags placem_collection'!S112,'WetLitterbags placem_collection'!U112)</f>
        <v>16.950000000000003</v>
      </c>
      <c r="AJ551">
        <f>AVERAGE('WetLitterbags placem_collection'!R112,'WetLitterbags placem_collection'!T112)</f>
        <v>30.5</v>
      </c>
      <c r="AK551">
        <f>INDEX(Coordinates!$B$2:$B$197,MATCH(H551,Coordinates!$J$2:$J$197,0))</f>
        <v>-2.3697549659999999</v>
      </c>
      <c r="AL551">
        <f>INDEX(Coordinates!$C$2:$C$197,MATCH(H551,Coordinates!$J$2:$J$197,0))</f>
        <v>34.059668989999999</v>
      </c>
      <c r="AM551" t="str">
        <f>IF(ISNUMBER(SEARCH("C", 'WetLitterbags placem_collection'!$X112)),"YES","NO")</f>
        <v>NO</v>
      </c>
      <c r="AN551" t="str">
        <f>IF(ISNUMBER(SEARCH("H", 'WetLitterbags placem_collection'!$X112)),"YES","NO")</f>
        <v>NO</v>
      </c>
      <c r="AO551" t="str">
        <f>IF(ISNUMBER(SEARCH("R", 'WetLitterbags placem_collection'!$X112)),"YES","NO")</f>
        <v>NO</v>
      </c>
    </row>
    <row r="552" spans="1:41" ht="15" customHeight="1">
      <c r="A552" s="255" t="s">
        <v>2454</v>
      </c>
      <c r="B552" s="260">
        <f>'Dry_Litterbag Placem_Collection'!A113</f>
        <v>111</v>
      </c>
      <c r="C552" s="260" t="str">
        <f>'Dry_Litterbag Placem_Collection'!B113</f>
        <v xml:space="preserve">Mwantimba
</v>
      </c>
      <c r="D552" s="260" t="s">
        <v>2454</v>
      </c>
      <c r="E552" s="260" t="s">
        <v>2644</v>
      </c>
      <c r="F552" s="260">
        <v>2</v>
      </c>
      <c r="G552" s="260" t="s">
        <v>3817</v>
      </c>
      <c r="H552" s="261" t="str">
        <f>'Dry_Litterbag Placem_Collection'!C113</f>
        <v>Wet_Ag2_T7</v>
      </c>
      <c r="I552" s="270" t="s">
        <v>3630</v>
      </c>
      <c r="J552" s="263" t="s">
        <v>1147</v>
      </c>
      <c r="K552" s="221" t="str">
        <f>'WetLitterbags placem_collection'!O113</f>
        <v>G695</v>
      </c>
      <c r="L552" s="223">
        <f>IFERROR(INDEX('Green_rooibos initial weight'!$C$5:$C$2000,MATCH(K552, 'Green_rooibos initial weight'!$A$5:$A$2000,0)),"")</f>
        <v>2.0190000000000001</v>
      </c>
      <c r="M552" s="223">
        <f>IFERROR(L552-(TBIcalc!$H$9+TBIcalc!$H$10),"")</f>
        <v>1.7692000000000001</v>
      </c>
      <c r="N552" s="385">
        <f>AVERAGE(Ashed_controlls!$K$2:$K$11)</f>
        <v>5.5147656768714146</v>
      </c>
      <c r="O552" s="223">
        <f t="shared" si="41"/>
        <v>1.6716327656447911</v>
      </c>
      <c r="P552" s="223">
        <f>IFERROR(INDEX('Both teabags AfterWet'!$C$3:$C$840,MATCH(K552,'Both teabags AfterWet'!$A$3:$A$840,0)),"")</f>
        <v>0.621</v>
      </c>
      <c r="Q552" s="223">
        <f>IFERROR(IF(P552&gt;0,P552-(TBIcalc!$H$9),""),"")</f>
        <v>0.47039999999999998</v>
      </c>
      <c r="R552" s="223">
        <f>IFERROR(INDEX('Ashed teabags wet'!$K$2:$K$2000,MATCH(K552,'Ashed teabags wet'!$A$2:$A$2000,0)),"")</f>
        <v>13.185185185184883</v>
      </c>
      <c r="S552" s="223">
        <f t="shared" si="42"/>
        <v>0.40837688888889029</v>
      </c>
      <c r="T552" s="224">
        <f>'WetLitterbags placem_collection'!E113</f>
        <v>42762</v>
      </c>
      <c r="U552" s="224">
        <f>IF('WetLitterbags placem_collection'!G113="","",'WetLitterbags placem_collection'!G113)</f>
        <v>42816</v>
      </c>
      <c r="V552" s="225">
        <f t="shared" si="40"/>
        <v>54</v>
      </c>
      <c r="W552" s="223">
        <f t="shared" si="43"/>
        <v>1.2988000000000002</v>
      </c>
      <c r="X552" s="223">
        <f t="shared" si="44"/>
        <v>1.2632558767559008</v>
      </c>
      <c r="Y552">
        <f>IFERROR(INDEX(Rainfall_Wet!$O$2:$O$217,MATCH(B552, Rainfall_Wet!$A$2:$A$217,0)),"")</f>
        <v>206.85140822299999</v>
      </c>
      <c r="Z552" s="228">
        <v>34.344660194174757</v>
      </c>
      <c r="AA552" s="228">
        <v>19.22727272727273</v>
      </c>
      <c r="AB552" s="228">
        <v>46.428067078552509</v>
      </c>
      <c r="AC552" s="229" t="s">
        <v>2654</v>
      </c>
      <c r="AD552" s="228">
        <v>7.7452932479053702</v>
      </c>
      <c r="AE552">
        <f>IF('WetLitterbags placem_collection'!AB113="","",'WetLitterbags placem_collection'!AB113)</f>
        <v>6.1</v>
      </c>
      <c r="AF552">
        <f>IF('WetLitterbags placem_collection'!Z113="","",'WetLitterbags placem_collection'!Z113)</f>
        <v>26</v>
      </c>
      <c r="AG552" s="243" t="str">
        <f>IF('WetLitterbags placem_collection'!AA113="","",'WetLitterbags placem_collection'!AA113)</f>
        <v>M</v>
      </c>
      <c r="AH552">
        <f>IF('WetLitterbags placem_collection'!AC113="","",'WetLitterbags placem_collection'!AC113)</f>
        <v>0</v>
      </c>
      <c r="AI552" s="237">
        <f>AVERAGE('WetLitterbags placem_collection'!S113,'WetLitterbags placem_collection'!U113)</f>
        <v>11.1</v>
      </c>
      <c r="AJ552">
        <f>AVERAGE('WetLitterbags placem_collection'!R113,'WetLitterbags placem_collection'!T113)</f>
        <v>32.65</v>
      </c>
      <c r="AK552">
        <f>INDEX(Coordinates!$B$2:$B$197,MATCH(H552,Coordinates!$J$2:$J$197,0))</f>
        <v>-2.3697330060000001</v>
      </c>
      <c r="AL552">
        <f>INDEX(Coordinates!$C$2:$C$197,MATCH(H552,Coordinates!$J$2:$J$197,0))</f>
        <v>34.059615010000002</v>
      </c>
      <c r="AM552" t="str">
        <f>IF(ISNUMBER(SEARCH("C", 'WetLitterbags placem_collection'!$X113)),"YES","NO")</f>
        <v>NO</v>
      </c>
      <c r="AN552" t="str">
        <f>IF(ISNUMBER(SEARCH("H", 'WetLitterbags placem_collection'!$X113)),"YES","NO")</f>
        <v>NO</v>
      </c>
      <c r="AO552" t="str">
        <f>IF(ISNUMBER(SEARCH("R", 'WetLitterbags placem_collection'!$X113)),"YES","NO")</f>
        <v>YES</v>
      </c>
    </row>
    <row r="553" spans="1:41" ht="15" customHeight="1">
      <c r="A553" s="255" t="s">
        <v>2454</v>
      </c>
      <c r="B553" s="260">
        <f>'Dry_Litterbag Placem_Collection'!A114</f>
        <v>112</v>
      </c>
      <c r="C553" s="260" t="str">
        <f>'Dry_Litterbag Placem_Collection'!B114</f>
        <v xml:space="preserve">Mwantimba
</v>
      </c>
      <c r="D553" s="260" t="s">
        <v>2454</v>
      </c>
      <c r="E553" s="260" t="s">
        <v>2644</v>
      </c>
      <c r="F553" s="260">
        <v>2</v>
      </c>
      <c r="G553" s="260" t="s">
        <v>3817</v>
      </c>
      <c r="H553" s="261" t="str">
        <f>'Dry_Litterbag Placem_Collection'!C114</f>
        <v>Wet_Ag2_T8</v>
      </c>
      <c r="I553" s="270" t="s">
        <v>3630</v>
      </c>
      <c r="J553" s="263" t="s">
        <v>1147</v>
      </c>
      <c r="K553" s="221" t="str">
        <f>'WetLitterbags placem_collection'!O114</f>
        <v>G852</v>
      </c>
      <c r="L553" s="223">
        <f>IFERROR(INDEX('Green_rooibos initial weight'!$C$5:$C$2000,MATCH(K553, 'Green_rooibos initial weight'!$A$5:$A$2000,0)),"")</f>
        <v>2.0630000000000002</v>
      </c>
      <c r="M553" s="223">
        <f>IFERROR(L553-(TBIcalc!$H$9+TBIcalc!$H$10),"")</f>
        <v>1.8132000000000001</v>
      </c>
      <c r="N553" s="385">
        <f>AVERAGE(Ashed_controlls!$K$2:$K$11)</f>
        <v>5.5147656768714146</v>
      </c>
      <c r="O553" s="223">
        <f t="shared" si="41"/>
        <v>1.7132062687469676</v>
      </c>
      <c r="P553" s="223">
        <f>IFERROR(INDEX('Both teabags AfterWet'!$C$3:$C$840,MATCH(K553,'Both teabags AfterWet'!$A$3:$A$840,0)),"")</f>
        <v>0.69799999999999995</v>
      </c>
      <c r="Q553" s="223">
        <f>IFERROR(IF(P553&gt;0,P553-(TBIcalc!$H$9),""),"")</f>
        <v>0.54739999999999989</v>
      </c>
      <c r="R553" s="223">
        <f>IFERROR(INDEX('Ashed teabags wet'!$K$2:$K$2000,MATCH(K553,'Ashed teabags wet'!$A$2:$A$2000,0)),"")</f>
        <v>13.745704467352656</v>
      </c>
      <c r="S553" s="223">
        <f t="shared" si="42"/>
        <v>0.47215601374571148</v>
      </c>
      <c r="T553" s="224">
        <f>'WetLitterbags placem_collection'!E114</f>
        <v>42762</v>
      </c>
      <c r="U553" s="224">
        <f>IF('WetLitterbags placem_collection'!G114="","",'WetLitterbags placem_collection'!G114)</f>
        <v>42816</v>
      </c>
      <c r="V553" s="225">
        <f t="shared" si="40"/>
        <v>54</v>
      </c>
      <c r="W553" s="223">
        <f t="shared" si="43"/>
        <v>1.2658000000000003</v>
      </c>
      <c r="X553" s="223">
        <f t="shared" si="44"/>
        <v>1.2410502550012561</v>
      </c>
      <c r="Y553">
        <f>IFERROR(INDEX(Rainfall_Wet!$O$2:$O$217,MATCH(B553, Rainfall_Wet!$A$2:$A$217,0)),"")</f>
        <v>206.85140822299999</v>
      </c>
      <c r="Z553" s="228">
        <v>34.344660194174757</v>
      </c>
      <c r="AA553" s="228">
        <v>19.22727272727273</v>
      </c>
      <c r="AB553" s="228">
        <v>46.428067078552509</v>
      </c>
      <c r="AC553" s="229" t="s">
        <v>2654</v>
      </c>
      <c r="AD553" s="228">
        <v>8.7452932479053693</v>
      </c>
      <c r="AE553">
        <f>IF('WetLitterbags placem_collection'!AB114="","",'WetLitterbags placem_collection'!AB114)</f>
        <v>11.5</v>
      </c>
      <c r="AF553">
        <f>IF('WetLitterbags placem_collection'!Z114="","",'WetLitterbags placem_collection'!Z114)</f>
        <v>15</v>
      </c>
      <c r="AG553" s="243" t="str">
        <f>IF('WetLitterbags placem_collection'!AA114="","",'WetLitterbags placem_collection'!AA114)</f>
        <v>M</v>
      </c>
      <c r="AH553">
        <f>IF('WetLitterbags placem_collection'!AC114="","",'WetLitterbags placem_collection'!AC114)</f>
        <v>0</v>
      </c>
      <c r="AI553" s="237">
        <f>AVERAGE('WetLitterbags placem_collection'!S114,'WetLitterbags placem_collection'!U114)</f>
        <v>15.2</v>
      </c>
      <c r="AJ553">
        <f>AVERAGE('WetLitterbags placem_collection'!R114,'WetLitterbags placem_collection'!T114)</f>
        <v>31.450000000000003</v>
      </c>
      <c r="AK553">
        <f>INDEX(Coordinates!$B$2:$B$197,MATCH(H553,Coordinates!$J$2:$J$197,0))</f>
        <v>-2.36967098</v>
      </c>
      <c r="AL553">
        <f>INDEX(Coordinates!$C$2:$C$197,MATCH(H553,Coordinates!$J$2:$J$197,0))</f>
        <v>34.059735959999998</v>
      </c>
      <c r="AM553" t="str">
        <f>IF(ISNUMBER(SEARCH("C", 'WetLitterbags placem_collection'!$X114)),"YES","NO")</f>
        <v>NO</v>
      </c>
      <c r="AN553" t="str">
        <f>IF(ISNUMBER(SEARCH("H", 'WetLitterbags placem_collection'!$X114)),"YES","NO")</f>
        <v>NO</v>
      </c>
      <c r="AO553" t="str">
        <f>IF(ISNUMBER(SEARCH("R", 'WetLitterbags placem_collection'!$X114)),"YES","NO")</f>
        <v>NO</v>
      </c>
    </row>
    <row r="554" spans="1:41" ht="15" customHeight="1">
      <c r="A554" s="255" t="s">
        <v>2454</v>
      </c>
      <c r="B554" s="260">
        <f>'Dry_Litterbag Placem_Collection'!A115</f>
        <v>113</v>
      </c>
      <c r="C554" s="260" t="str">
        <f>'Dry_Litterbag Placem_Collection'!B115</f>
        <v xml:space="preserve">Mwantimba
</v>
      </c>
      <c r="D554" s="260" t="s">
        <v>2454</v>
      </c>
      <c r="E554" s="260" t="s">
        <v>2644</v>
      </c>
      <c r="F554" s="260">
        <v>3</v>
      </c>
      <c r="G554" s="260" t="s">
        <v>3818</v>
      </c>
      <c r="H554" s="261" t="str">
        <f>'Dry_Litterbag Placem_Collection'!C115</f>
        <v>Wet_Ag3_T1</v>
      </c>
      <c r="I554" s="270" t="s">
        <v>3630</v>
      </c>
      <c r="J554" s="263" t="s">
        <v>1147</v>
      </c>
      <c r="K554" s="221" t="str">
        <f>'WetLitterbags placem_collection'!O115</f>
        <v>G769</v>
      </c>
      <c r="L554" s="223">
        <f>IFERROR(INDEX('Green_rooibos initial weight'!$C$5:$C$2000,MATCH(K554, 'Green_rooibos initial weight'!$A$5:$A$2000,0)),"")</f>
        <v>2.0550000000000002</v>
      </c>
      <c r="M554" s="223">
        <f>IFERROR(L554-(TBIcalc!$H$9+TBIcalc!$H$10),"")</f>
        <v>1.8052000000000001</v>
      </c>
      <c r="N554" s="385">
        <f>AVERAGE(Ashed_controlls!$K$2:$K$11)</f>
        <v>5.5147656768714146</v>
      </c>
      <c r="O554" s="223">
        <f t="shared" si="41"/>
        <v>1.7056474500011174</v>
      </c>
      <c r="P554" s="223">
        <f>IFERROR(INDEX('Both teabags AfterWet'!$C$3:$C$840,MATCH(K554,'Both teabags AfterWet'!$A$3:$A$840,0)),"")</f>
        <v>0.70799999999999996</v>
      </c>
      <c r="Q554" s="223">
        <f>IFERROR(IF(P554&gt;0,P554-(TBIcalc!$H$9),""),"")</f>
        <v>0.5573999999999999</v>
      </c>
      <c r="R554" s="223">
        <f>IFERROR(INDEX('Ashed teabags wet'!$K$2:$K$2000,MATCH(K554,'Ashed teabags wet'!$A$2:$A$2000,0)),"")</f>
        <v>20.028887818970457</v>
      </c>
      <c r="S554" s="223">
        <f t="shared" si="42"/>
        <v>0.4457589792970586</v>
      </c>
      <c r="T554" s="224">
        <f>'WetLitterbags placem_collection'!E115</f>
        <v>42762</v>
      </c>
      <c r="U554" s="224">
        <f>IF('WetLitterbags placem_collection'!G115="","",'WetLitterbags placem_collection'!G115)</f>
        <v>42816</v>
      </c>
      <c r="V554" s="225">
        <f t="shared" si="40"/>
        <v>54</v>
      </c>
      <c r="W554" s="223">
        <f t="shared" si="43"/>
        <v>1.2478000000000002</v>
      </c>
      <c r="X554" s="223">
        <f t="shared" si="44"/>
        <v>1.2598884707040587</v>
      </c>
      <c r="Y554">
        <f>IFERROR(INDEX(Rainfall_Wet!$O$2:$O$217,MATCH(B554, Rainfall_Wet!$A$2:$A$217,0)),"")</f>
        <v>206.85140822299999</v>
      </c>
      <c r="Z554" s="228">
        <v>27.96</v>
      </c>
      <c r="AA554" s="228">
        <v>4.9200000000000017</v>
      </c>
      <c r="AB554" s="228">
        <v>67.12</v>
      </c>
      <c r="AC554" s="229" t="s">
        <v>2654</v>
      </c>
      <c r="AD554" s="228">
        <v>0.88610152784622953</v>
      </c>
      <c r="AE554">
        <f>IF('WetLitterbags placem_collection'!AB115="","",'WetLitterbags placem_collection'!AB115)</f>
        <v>26</v>
      </c>
      <c r="AF554">
        <f>IF('WetLitterbags placem_collection'!Z115="","",'WetLitterbags placem_collection'!Z115)</f>
        <v>88.5</v>
      </c>
      <c r="AG554" s="243" t="str">
        <f>IF('WetLitterbags placem_collection'!AA115="","",'WetLitterbags placem_collection'!AA115)</f>
        <v>G</v>
      </c>
      <c r="AH554">
        <f>IF('WetLitterbags placem_collection'!AC115="","",'WetLitterbags placem_collection'!AC115)</f>
        <v>0</v>
      </c>
      <c r="AI554" s="237">
        <f>AVERAGE('WetLitterbags placem_collection'!S115,'WetLitterbags placem_collection'!U115)</f>
        <v>8.6999999999999993</v>
      </c>
      <c r="AJ554">
        <f>AVERAGE('WetLitterbags placem_collection'!R115,'WetLitterbags placem_collection'!T115)</f>
        <v>32.4</v>
      </c>
      <c r="AK554">
        <f>INDEX(Coordinates!$B$2:$B$197,MATCH(H554,Coordinates!$J$2:$J$197,0))</f>
        <v>-2.3487199940000001</v>
      </c>
      <c r="AL554">
        <f>INDEX(Coordinates!$C$2:$C$197,MATCH(H554,Coordinates!$J$2:$J$197,0))</f>
        <v>34.051391029999998</v>
      </c>
      <c r="AM554" t="str">
        <f>IF(ISNUMBER(SEARCH("C", 'WetLitterbags placem_collection'!$X115)),"YES","NO")</f>
        <v>NO</v>
      </c>
      <c r="AN554" t="str">
        <f>IF(ISNUMBER(SEARCH("H", 'WetLitterbags placem_collection'!$X115)),"YES","NO")</f>
        <v>NO</v>
      </c>
      <c r="AO554" t="str">
        <f>IF(ISNUMBER(SEARCH("R", 'WetLitterbags placem_collection'!$X115)),"YES","NO")</f>
        <v>YES</v>
      </c>
    </row>
    <row r="555" spans="1:41" ht="15" customHeight="1">
      <c r="A555" s="255" t="s">
        <v>2454</v>
      </c>
      <c r="B555" s="260">
        <f>'Dry_Litterbag Placem_Collection'!A116</f>
        <v>114</v>
      </c>
      <c r="C555" s="260" t="str">
        <f>'Dry_Litterbag Placem_Collection'!B116</f>
        <v xml:space="preserve">Mwantimba
</v>
      </c>
      <c r="D555" s="260" t="s">
        <v>2454</v>
      </c>
      <c r="E555" s="260" t="s">
        <v>2644</v>
      </c>
      <c r="F555" s="260">
        <v>3</v>
      </c>
      <c r="G555" s="260" t="s">
        <v>3818</v>
      </c>
      <c r="H555" s="261" t="str">
        <f>'Dry_Litterbag Placem_Collection'!C116</f>
        <v>Wet_Ag3_T2</v>
      </c>
      <c r="I555" s="270" t="s">
        <v>3630</v>
      </c>
      <c r="J555" s="263" t="s">
        <v>1147</v>
      </c>
      <c r="K555" s="221" t="str">
        <f>'WetLitterbags placem_collection'!O116</f>
        <v>G889</v>
      </c>
      <c r="L555" s="223">
        <f>IFERROR(INDEX('Green_rooibos initial weight'!$C$5:$C$2000,MATCH(K555, 'Green_rooibos initial weight'!$A$5:$A$2000,0)),"")</f>
        <v>1.9830000000000001</v>
      </c>
      <c r="M555" s="223">
        <f>IFERROR(L555-(TBIcalc!$H$9+TBIcalc!$H$10),"")</f>
        <v>1.7332000000000001</v>
      </c>
      <c r="N555" s="385">
        <f>AVERAGE(Ashed_controlls!$K$2:$K$11)</f>
        <v>5.5147656768714146</v>
      </c>
      <c r="O555" s="223">
        <f t="shared" si="41"/>
        <v>1.6376180812884646</v>
      </c>
      <c r="P555" s="223">
        <f>IFERROR(INDEX('Both teabags AfterWet'!$C$3:$C$840,MATCH(K555,'Both teabags AfterWet'!$A$3:$A$840,0)),"")</f>
        <v>0.65700000000000003</v>
      </c>
      <c r="Q555" s="223">
        <f>IFERROR(IF(P555&gt;0,P555-(TBIcalc!$H$9),""),"")</f>
        <v>0.50639999999999996</v>
      </c>
      <c r="R555" s="223">
        <f>IFERROR(INDEX('Ashed teabags wet'!$K$2:$K$2000,MATCH(K555,'Ashed teabags wet'!$A$2:$A$2000,0)),"")</f>
        <v>20.433734939759127</v>
      </c>
      <c r="S555" s="223">
        <f t="shared" si="42"/>
        <v>0.40292356626505976</v>
      </c>
      <c r="T555" s="224">
        <f>'WetLitterbags placem_collection'!E116</f>
        <v>42762</v>
      </c>
      <c r="U555" s="224">
        <f>IF('WetLitterbags placem_collection'!G116="","",'WetLitterbags placem_collection'!G116)</f>
        <v>42816</v>
      </c>
      <c r="V555" s="225">
        <f t="shared" si="40"/>
        <v>54</v>
      </c>
      <c r="W555" s="223">
        <f t="shared" si="43"/>
        <v>1.2268000000000001</v>
      </c>
      <c r="X555" s="223">
        <f t="shared" si="44"/>
        <v>1.234694515023405</v>
      </c>
      <c r="Y555">
        <f>IFERROR(INDEX(Rainfall_Wet!$O$2:$O$217,MATCH(B555, Rainfall_Wet!$A$2:$A$217,0)),"")</f>
        <v>206.85140822299999</v>
      </c>
      <c r="Z555" s="228">
        <v>27.96</v>
      </c>
      <c r="AA555" s="228">
        <v>4.9200000000000017</v>
      </c>
      <c r="AB555" s="228">
        <v>67.12</v>
      </c>
      <c r="AC555" s="229" t="s">
        <v>2654</v>
      </c>
      <c r="AD555" s="228">
        <v>1.8861015278462301</v>
      </c>
      <c r="AE555">
        <f>IF('WetLitterbags placem_collection'!AB116="","",'WetLitterbags placem_collection'!AB116)</f>
        <v>16.5</v>
      </c>
      <c r="AF555">
        <f>IF('WetLitterbags placem_collection'!Z116="","",'WetLitterbags placem_collection'!Z116)</f>
        <v>87.5</v>
      </c>
      <c r="AG555" s="243" t="str">
        <f>IF('WetLitterbags placem_collection'!AA116="","",'WetLitterbags placem_collection'!AA116)</f>
        <v>G</v>
      </c>
      <c r="AH555">
        <f>IF('WetLitterbags placem_collection'!AC116="","",'WetLitterbags placem_collection'!AC116)</f>
        <v>0</v>
      </c>
      <c r="AI555" s="237">
        <f>AVERAGE('WetLitterbags placem_collection'!S116,'WetLitterbags placem_collection'!U116)</f>
        <v>12.899999999999999</v>
      </c>
      <c r="AJ555">
        <f>AVERAGE('WetLitterbags placem_collection'!R116,'WetLitterbags placem_collection'!T116)</f>
        <v>30.450000000000003</v>
      </c>
      <c r="AK555">
        <f>INDEX(Coordinates!$B$2:$B$197,MATCH(H555,Coordinates!$J$2:$J$197,0))</f>
        <v>-2.348716976</v>
      </c>
      <c r="AL555">
        <f>INDEX(Coordinates!$C$2:$C$197,MATCH(H555,Coordinates!$J$2:$J$197,0))</f>
        <v>34.051484989999999</v>
      </c>
      <c r="AM555" t="str">
        <f>IF(ISNUMBER(SEARCH("C", 'WetLitterbags placem_collection'!$X116)),"YES","NO")</f>
        <v>NO</v>
      </c>
      <c r="AN555" t="str">
        <f>IF(ISNUMBER(SEARCH("H", 'WetLitterbags placem_collection'!$X116)),"YES","NO")</f>
        <v>NO</v>
      </c>
      <c r="AO555" t="str">
        <f>IF(ISNUMBER(SEARCH("R", 'WetLitterbags placem_collection'!$X116)),"YES","NO")</f>
        <v>YES</v>
      </c>
    </row>
    <row r="556" spans="1:41" ht="15" customHeight="1">
      <c r="A556" s="255" t="s">
        <v>2454</v>
      </c>
      <c r="B556" s="260">
        <f>'Dry_Litterbag Placem_Collection'!A117</f>
        <v>115</v>
      </c>
      <c r="C556" s="260" t="str">
        <f>'Dry_Litterbag Placem_Collection'!B117</f>
        <v xml:space="preserve">Mwantimba
</v>
      </c>
      <c r="D556" s="260" t="s">
        <v>2454</v>
      </c>
      <c r="E556" s="260" t="s">
        <v>2644</v>
      </c>
      <c r="F556" s="260">
        <v>3</v>
      </c>
      <c r="G556" s="260" t="s">
        <v>3818</v>
      </c>
      <c r="H556" s="261" t="str">
        <f>'Dry_Litterbag Placem_Collection'!C117</f>
        <v>Wet_Ag3_T3</v>
      </c>
      <c r="I556" s="270" t="s">
        <v>3630</v>
      </c>
      <c r="J556" s="263" t="s">
        <v>1147</v>
      </c>
      <c r="K556" s="221" t="str">
        <f>'WetLitterbags placem_collection'!O117</f>
        <v>G778</v>
      </c>
      <c r="L556" s="223">
        <f>IFERROR(INDEX('Green_rooibos initial weight'!$C$5:$C$2000,MATCH(K556, 'Green_rooibos initial weight'!$A$5:$A$2000,0)),"")</f>
        <v>1.992</v>
      </c>
      <c r="M556" s="223">
        <f>IFERROR(L556-(TBIcalc!$H$9+TBIcalc!$H$10),"")</f>
        <v>1.7422</v>
      </c>
      <c r="N556" s="385">
        <f>AVERAGE(Ashed_controlls!$K$2:$K$11)</f>
        <v>5.5147656768714146</v>
      </c>
      <c r="O556" s="223">
        <f t="shared" si="41"/>
        <v>1.6461217523775462</v>
      </c>
      <c r="P556" s="223">
        <f>IFERROR(INDEX('Both teabags AfterWet'!$C$3:$C$840,MATCH(K556,'Both teabags AfterWet'!$A$3:$A$840,0)),"")</f>
        <v>0.73709999999999998</v>
      </c>
      <c r="Q556" s="223">
        <f>IFERROR(IF(P556&gt;0,P556-(TBIcalc!$H$9),""),"")</f>
        <v>0.58650000000000002</v>
      </c>
      <c r="R556" s="223">
        <f>IFERROR(INDEX('Ashed teabags wet'!$K$2:$K$2000,MATCH(K556,'Ashed teabags wet'!$A$2:$A$2000,0)),"")</f>
        <v>26.575476306790591</v>
      </c>
      <c r="S556" s="223">
        <f t="shared" si="42"/>
        <v>0.43063483146067316</v>
      </c>
      <c r="T556" s="224">
        <f>'WetLitterbags placem_collection'!E117</f>
        <v>42762</v>
      </c>
      <c r="U556" s="224">
        <f>IF('WetLitterbags placem_collection'!G117="","",'WetLitterbags placem_collection'!G117)</f>
        <v>42816</v>
      </c>
      <c r="V556" s="225">
        <f t="shared" si="40"/>
        <v>54</v>
      </c>
      <c r="W556" s="223">
        <f t="shared" si="43"/>
        <v>1.1556999999999999</v>
      </c>
      <c r="X556" s="223">
        <f t="shared" si="44"/>
        <v>1.215486920916873</v>
      </c>
      <c r="Y556">
        <f>IFERROR(INDEX(Rainfall_Wet!$O$2:$O$217,MATCH(B556, Rainfall_Wet!$A$2:$A$217,0)),"")</f>
        <v>206.85140822299999</v>
      </c>
      <c r="Z556" s="228">
        <v>27.96</v>
      </c>
      <c r="AA556" s="228">
        <v>4.9200000000000017</v>
      </c>
      <c r="AB556" s="228">
        <v>67.12</v>
      </c>
      <c r="AC556" s="229" t="s">
        <v>2654</v>
      </c>
      <c r="AD556" s="228">
        <v>2.8861015278462299</v>
      </c>
      <c r="AE556">
        <f>IF('WetLitterbags placem_collection'!AB117="","",'WetLitterbags placem_collection'!AB117)</f>
        <v>19</v>
      </c>
      <c r="AF556">
        <f>IF('WetLitterbags placem_collection'!Z117="","",'WetLitterbags placem_collection'!Z117)</f>
        <v>79.5</v>
      </c>
      <c r="AG556" s="243" t="str">
        <f>IF('WetLitterbags placem_collection'!AA117="","",'WetLitterbags placem_collection'!AA117)</f>
        <v>G</v>
      </c>
      <c r="AH556">
        <f>IF('WetLitterbags placem_collection'!AC117="","",'WetLitterbags placem_collection'!AC117)</f>
        <v>1</v>
      </c>
      <c r="AI556" s="237">
        <f>AVERAGE('WetLitterbags placem_collection'!S117,'WetLitterbags placem_collection'!U117)</f>
        <v>9.9499999999999993</v>
      </c>
      <c r="AJ556">
        <f>AVERAGE('WetLitterbags placem_collection'!R117,'WetLitterbags placem_collection'!T117)</f>
        <v>31.7</v>
      </c>
      <c r="AK556">
        <f>INDEX(Coordinates!$B$2:$B$197,MATCH(H556,Coordinates!$J$2:$J$197,0))</f>
        <v>-2.3487800079999999</v>
      </c>
      <c r="AL556">
        <f>INDEX(Coordinates!$C$2:$C$197,MATCH(H556,Coordinates!$J$2:$J$197,0))</f>
        <v>34.051495969999998</v>
      </c>
      <c r="AM556" t="str">
        <f>IF(ISNUMBER(SEARCH("C", 'WetLitterbags placem_collection'!$X117)),"YES","NO")</f>
        <v>NO</v>
      </c>
      <c r="AN556" t="str">
        <f>IF(ISNUMBER(SEARCH("H", 'WetLitterbags placem_collection'!$X117)),"YES","NO")</f>
        <v>NO</v>
      </c>
      <c r="AO556" t="str">
        <f>IF(ISNUMBER(SEARCH("R", 'WetLitterbags placem_collection'!$X117)),"YES","NO")</f>
        <v>YES</v>
      </c>
    </row>
    <row r="557" spans="1:41" ht="15" customHeight="1">
      <c r="A557" s="255" t="s">
        <v>2454</v>
      </c>
      <c r="B557" s="260">
        <f>'Dry_Litterbag Placem_Collection'!A118</f>
        <v>116</v>
      </c>
      <c r="C557" s="260" t="str">
        <f>'Dry_Litterbag Placem_Collection'!B118</f>
        <v xml:space="preserve">Mwantimba
</v>
      </c>
      <c r="D557" s="260" t="s">
        <v>2454</v>
      </c>
      <c r="E557" s="260" t="s">
        <v>2644</v>
      </c>
      <c r="F557" s="260">
        <v>3</v>
      </c>
      <c r="G557" s="260" t="s">
        <v>3818</v>
      </c>
      <c r="H557" s="261" t="str">
        <f>'Dry_Litterbag Placem_Collection'!C118</f>
        <v>Wet_Ag3_T4</v>
      </c>
      <c r="I557" s="270" t="s">
        <v>3630</v>
      </c>
      <c r="J557" s="263" t="s">
        <v>1147</v>
      </c>
      <c r="K557" s="221" t="str">
        <f>'WetLitterbags placem_collection'!O118</f>
        <v>G563</v>
      </c>
      <c r="L557" s="223">
        <f>IFERROR(INDEX('Green_rooibos initial weight'!$C$5:$C$2000,MATCH(K557, 'Green_rooibos initial weight'!$A$5:$A$2000,0)),"")</f>
        <v>1.9390000000000001</v>
      </c>
      <c r="M557" s="223">
        <f>IFERROR(L557-(TBIcalc!$H$9+TBIcalc!$H$10),"")</f>
        <v>1.6892</v>
      </c>
      <c r="N557" s="385">
        <f>AVERAGE(Ashed_controlls!$K$2:$K$11)</f>
        <v>5.5147656768714146</v>
      </c>
      <c r="O557" s="223">
        <f t="shared" si="41"/>
        <v>1.5960445781862882</v>
      </c>
      <c r="P557" s="223">
        <f>IFERROR(INDEX('Both teabags AfterWet'!$C$3:$C$840,MATCH(K557,'Both teabags AfterWet'!$A$3:$A$840,0)),"")</f>
        <v>0.61660000000000004</v>
      </c>
      <c r="Q557" s="223">
        <f>IFERROR(IF(P557&gt;0,P557-(TBIcalc!$H$9),""),"")</f>
        <v>0.46600000000000003</v>
      </c>
      <c r="R557" s="223">
        <f>IFERROR(INDEX('Ashed teabags wet'!$K$2:$K$2000,MATCH(K557,'Ashed teabags wet'!$A$2:$A$2000,0)),"")</f>
        <v>16.467661691542546</v>
      </c>
      <c r="S557" s="223">
        <f t="shared" si="42"/>
        <v>0.38926069651741174</v>
      </c>
      <c r="T557" s="224">
        <f>'WetLitterbags placem_collection'!E118</f>
        <v>42762</v>
      </c>
      <c r="U557" s="224">
        <f>IF('WetLitterbags placem_collection'!G118="","",'WetLitterbags placem_collection'!G118)</f>
        <v>42816</v>
      </c>
      <c r="V557" s="225">
        <f t="shared" si="40"/>
        <v>54</v>
      </c>
      <c r="W557" s="223">
        <f t="shared" si="43"/>
        <v>1.2232000000000001</v>
      </c>
      <c r="X557" s="223">
        <f t="shared" si="44"/>
        <v>1.2067838816688765</v>
      </c>
      <c r="Y557">
        <f>IFERROR(INDEX(Rainfall_Wet!$O$2:$O$217,MATCH(B557, Rainfall_Wet!$A$2:$A$217,0)),"")</f>
        <v>206.85140822299999</v>
      </c>
      <c r="Z557" s="228">
        <v>27.96</v>
      </c>
      <c r="AA557" s="228">
        <v>4.9200000000000017</v>
      </c>
      <c r="AB557" s="228">
        <v>67.12</v>
      </c>
      <c r="AC557" s="229" t="s">
        <v>2654</v>
      </c>
      <c r="AD557" s="228">
        <v>3.8861015278462299</v>
      </c>
      <c r="AE557">
        <f>IF('WetLitterbags placem_collection'!AB118="","",'WetLitterbags placem_collection'!AB118)</f>
        <v>22.5</v>
      </c>
      <c r="AF557">
        <f>IF('WetLitterbags placem_collection'!Z118="","",'WetLitterbags placem_collection'!Z118)</f>
        <v>76</v>
      </c>
      <c r="AG557" s="243" t="str">
        <f>IF('WetLitterbags placem_collection'!AA118="","",'WetLitterbags placem_collection'!AA118)</f>
        <v>G</v>
      </c>
      <c r="AH557">
        <f>IF('WetLitterbags placem_collection'!AC118="","",'WetLitterbags placem_collection'!AC118)</f>
        <v>1</v>
      </c>
      <c r="AI557" s="237">
        <f>AVERAGE('WetLitterbags placem_collection'!S118,'WetLitterbags placem_collection'!U118)</f>
        <v>8.75</v>
      </c>
      <c r="AJ557">
        <f>AVERAGE('WetLitterbags placem_collection'!R118,'WetLitterbags placem_collection'!T118)</f>
        <v>25.6</v>
      </c>
      <c r="AK557">
        <f>INDEX(Coordinates!$B$2:$B$197,MATCH(H557,Coordinates!$J$2:$J$197,0))</f>
        <v>-2.3488120270000001</v>
      </c>
      <c r="AL557">
        <f>INDEX(Coordinates!$C$2:$C$197,MATCH(H557,Coordinates!$J$2:$J$197,0))</f>
        <v>34.05146697</v>
      </c>
      <c r="AM557" t="str">
        <f>IF(ISNUMBER(SEARCH("C", 'WetLitterbags placem_collection'!$X118)),"YES","NO")</f>
        <v>NO</v>
      </c>
      <c r="AN557" t="str">
        <f>IF(ISNUMBER(SEARCH("H", 'WetLitterbags placem_collection'!$X118)),"YES","NO")</f>
        <v>NO</v>
      </c>
      <c r="AO557" t="str">
        <f>IF(ISNUMBER(SEARCH("R", 'WetLitterbags placem_collection'!$X118)),"YES","NO")</f>
        <v>YES</v>
      </c>
    </row>
    <row r="558" spans="1:41" ht="15" customHeight="1">
      <c r="A558" s="255" t="s">
        <v>2454</v>
      </c>
      <c r="B558" s="260">
        <f>'Dry_Litterbag Placem_Collection'!A119</f>
        <v>117</v>
      </c>
      <c r="C558" s="260" t="str">
        <f>'Dry_Litterbag Placem_Collection'!B119</f>
        <v xml:space="preserve">Mwantimba
</v>
      </c>
      <c r="D558" s="260" t="s">
        <v>2454</v>
      </c>
      <c r="E558" s="260" t="s">
        <v>2644</v>
      </c>
      <c r="F558" s="260">
        <v>3</v>
      </c>
      <c r="G558" s="260" t="s">
        <v>3818</v>
      </c>
      <c r="H558" s="261" t="str">
        <f>'Dry_Litterbag Placem_Collection'!C119</f>
        <v>Wet_Ag3_T5</v>
      </c>
      <c r="I558" s="270" t="s">
        <v>3630</v>
      </c>
      <c r="J558" s="263" t="s">
        <v>1147</v>
      </c>
      <c r="K558" s="221" t="str">
        <f>'WetLitterbags placem_collection'!O119</f>
        <v>G901</v>
      </c>
      <c r="L558" s="223">
        <f>IFERROR(INDEX('Green_rooibos initial weight'!$C$5:$C$2000,MATCH(K558, 'Green_rooibos initial weight'!$A$5:$A$2000,0)),"")</f>
        <v>2.0270000000000001</v>
      </c>
      <c r="M558" s="223">
        <f>IFERROR(L558-(TBIcalc!$H$9+TBIcalc!$H$10),"")</f>
        <v>1.7772000000000001</v>
      </c>
      <c r="N558" s="385">
        <f>AVERAGE(Ashed_controlls!$K$2:$K$11)</f>
        <v>5.5147656768714146</v>
      </c>
      <c r="O558" s="223">
        <f t="shared" si="41"/>
        <v>1.6791915843906413</v>
      </c>
      <c r="P558" s="223">
        <f>IFERROR(INDEX('Both teabags AfterWet'!$C$3:$C$840,MATCH(K558,'Both teabags AfterWet'!$A$3:$A$840,0)),"")</f>
        <v>0.621</v>
      </c>
      <c r="Q558" s="223">
        <f>IFERROR(IF(P558&gt;0,P558-(TBIcalc!$H$9),""),"")</f>
        <v>0.47039999999999998</v>
      </c>
      <c r="R558" s="223">
        <f>IFERROR(INDEX('Ashed teabags wet'!$K$2:$K$2000,MATCH(K558,'Ashed teabags wet'!$A$2:$A$2000,0)),"")</f>
        <v>13.244047619047592</v>
      </c>
      <c r="S558" s="223">
        <f t="shared" si="42"/>
        <v>0.40810000000000013</v>
      </c>
      <c r="T558" s="224">
        <f>'WetLitterbags placem_collection'!E119</f>
        <v>42762</v>
      </c>
      <c r="U558" s="224">
        <f>IF('WetLitterbags placem_collection'!G119="","",'WetLitterbags placem_collection'!G119)</f>
        <v>42816</v>
      </c>
      <c r="V558" s="225">
        <f t="shared" si="40"/>
        <v>54</v>
      </c>
      <c r="W558" s="223">
        <f t="shared" si="43"/>
        <v>1.3068000000000002</v>
      </c>
      <c r="X558" s="223">
        <f t="shared" si="44"/>
        <v>1.2710915843906412</v>
      </c>
      <c r="Y558">
        <f>IFERROR(INDEX(Rainfall_Wet!$O$2:$O$217,MATCH(B558, Rainfall_Wet!$A$2:$A$217,0)),"")</f>
        <v>206.85140822299999</v>
      </c>
      <c r="Z558" s="228">
        <v>27.96</v>
      </c>
      <c r="AA558" s="228">
        <v>4.9200000000000017</v>
      </c>
      <c r="AB558" s="228">
        <v>67.12</v>
      </c>
      <c r="AC558" s="229" t="s">
        <v>2654</v>
      </c>
      <c r="AD558" s="228">
        <v>4.8861015278462299</v>
      </c>
      <c r="AE558">
        <f>IF('WetLitterbags placem_collection'!AB119="","",'WetLitterbags placem_collection'!AB119)</f>
        <v>23.5</v>
      </c>
      <c r="AF558">
        <f>IF('WetLitterbags placem_collection'!Z119="","",'WetLitterbags placem_collection'!Z119)</f>
        <v>76</v>
      </c>
      <c r="AG558" s="243" t="str">
        <f>IF('WetLitterbags placem_collection'!AA119="","",'WetLitterbags placem_collection'!AA119)</f>
        <v>G</v>
      </c>
      <c r="AH558">
        <f>IF('WetLitterbags placem_collection'!AC119="","",'WetLitterbags placem_collection'!AC119)</f>
        <v>1</v>
      </c>
      <c r="AI558" s="237">
        <f>AVERAGE('WetLitterbags placem_collection'!S119,'WetLitterbags placem_collection'!U119)</f>
        <v>5.6999999999999993</v>
      </c>
      <c r="AJ558">
        <f>AVERAGE('WetLitterbags placem_collection'!R119,'WetLitterbags placem_collection'!T119)</f>
        <v>31.75</v>
      </c>
      <c r="AK558">
        <f>INDEX(Coordinates!$B$2:$B$197,MATCH(H558,Coordinates!$J$2:$J$197,0))</f>
        <v>-2.348814961</v>
      </c>
      <c r="AL558">
        <f>INDEX(Coordinates!$C$2:$C$197,MATCH(H558,Coordinates!$J$2:$J$197,0))</f>
        <v>34.051439979999998</v>
      </c>
      <c r="AM558" t="str">
        <f>IF(ISNUMBER(SEARCH("C", 'WetLitterbags placem_collection'!$X119)),"YES","NO")</f>
        <v>NO</v>
      </c>
      <c r="AN558" t="str">
        <f>IF(ISNUMBER(SEARCH("H", 'WetLitterbags placem_collection'!$X119)),"YES","NO")</f>
        <v>NO</v>
      </c>
      <c r="AO558" t="str">
        <f>IF(ISNUMBER(SEARCH("R", 'WetLitterbags placem_collection'!$X119)),"YES","NO")</f>
        <v>YES</v>
      </c>
    </row>
    <row r="559" spans="1:41" ht="15" customHeight="1">
      <c r="A559" s="255" t="s">
        <v>2454</v>
      </c>
      <c r="B559" s="260">
        <f>'Dry_Litterbag Placem_Collection'!A120</f>
        <v>118</v>
      </c>
      <c r="C559" s="260" t="str">
        <f>'Dry_Litterbag Placem_Collection'!B120</f>
        <v xml:space="preserve">Mwantimba
</v>
      </c>
      <c r="D559" s="260" t="s">
        <v>2454</v>
      </c>
      <c r="E559" s="260" t="s">
        <v>2644</v>
      </c>
      <c r="F559" s="260">
        <v>3</v>
      </c>
      <c r="G559" s="260" t="s">
        <v>3818</v>
      </c>
      <c r="H559" s="261" t="str">
        <f>'Dry_Litterbag Placem_Collection'!C120</f>
        <v>Wet_Ag3_T6</v>
      </c>
      <c r="I559" s="270" t="s">
        <v>3630</v>
      </c>
      <c r="J559" s="263" t="s">
        <v>1147</v>
      </c>
      <c r="K559" s="221" t="str">
        <f>'WetLitterbags placem_collection'!O120</f>
        <v>G791</v>
      </c>
      <c r="L559" s="223">
        <f>IFERROR(INDEX('Green_rooibos initial weight'!$C$5:$C$2000,MATCH(K559, 'Green_rooibos initial weight'!$A$5:$A$2000,0)),"")</f>
        <v>2.0680000000000001</v>
      </c>
      <c r="M559" s="223">
        <f>IFERROR(L559-(TBIcalc!$H$9+TBIcalc!$H$10),"")</f>
        <v>1.8182</v>
      </c>
      <c r="N559" s="385">
        <f>AVERAGE(Ashed_controlls!$K$2:$K$11)</f>
        <v>5.5147656768714146</v>
      </c>
      <c r="O559" s="223">
        <f t="shared" si="41"/>
        <v>1.7179305304631241</v>
      </c>
      <c r="P559" s="223">
        <f>IFERROR(INDEX('Both teabags AfterWet'!$C$3:$C$840,MATCH(K559,'Both teabags AfterWet'!$A$3:$A$840,0)),"")</f>
        <v>0.64600000000000002</v>
      </c>
      <c r="Q559" s="223">
        <f>IFERROR(IF(P559&gt;0,P559-(TBIcalc!$H$9),""),"")</f>
        <v>0.49540000000000001</v>
      </c>
      <c r="R559" s="223">
        <f>IFERROR(INDEX('Ashed teabags wet'!$K$2:$K$2000,MATCH(K559,'Ashed teabags wet'!$A$2:$A$2000,0)),"")</f>
        <v>12.418952618454213</v>
      </c>
      <c r="S559" s="223">
        <f t="shared" si="42"/>
        <v>0.43387650872817785</v>
      </c>
      <c r="T559" s="224">
        <f>'WetLitterbags placem_collection'!E120</f>
        <v>42762</v>
      </c>
      <c r="U559" s="224">
        <f>IF('WetLitterbags placem_collection'!G120="","",'WetLitterbags placem_collection'!G120)</f>
        <v>42816</v>
      </c>
      <c r="V559" s="225">
        <f t="shared" si="40"/>
        <v>54</v>
      </c>
      <c r="W559" s="223">
        <f t="shared" si="43"/>
        <v>1.3228</v>
      </c>
      <c r="X559" s="223">
        <f t="shared" si="44"/>
        <v>1.2840540217349461</v>
      </c>
      <c r="Y559">
        <f>IFERROR(INDEX(Rainfall_Wet!$O$2:$O$217,MATCH(B559, Rainfall_Wet!$A$2:$A$217,0)),"")</f>
        <v>206.85140822299999</v>
      </c>
      <c r="Z559" s="228">
        <v>27.96</v>
      </c>
      <c r="AA559" s="228">
        <v>4.9200000000000017</v>
      </c>
      <c r="AB559" s="228">
        <v>67.12</v>
      </c>
      <c r="AC559" s="229" t="s">
        <v>2654</v>
      </c>
      <c r="AD559" s="228">
        <v>5.8861015278462299</v>
      </c>
      <c r="AE559">
        <f>IF('WetLitterbags placem_collection'!AB120="","",'WetLitterbags placem_collection'!AB120)</f>
        <v>17.5</v>
      </c>
      <c r="AF559">
        <f>IF('WetLitterbags placem_collection'!Z120="","",'WetLitterbags placem_collection'!Z120)</f>
        <v>70.5</v>
      </c>
      <c r="AG559" s="243" t="str">
        <f>IF('WetLitterbags placem_collection'!AA120="","",'WetLitterbags placem_collection'!AA120)</f>
        <v>G</v>
      </c>
      <c r="AH559">
        <f>IF('WetLitterbags placem_collection'!AC120="","",'WetLitterbags placem_collection'!AC120)</f>
        <v>1</v>
      </c>
      <c r="AI559" s="237">
        <f>AVERAGE('WetLitterbags placem_collection'!S120,'WetLitterbags placem_collection'!U120)</f>
        <v>10.7</v>
      </c>
      <c r="AJ559">
        <f>AVERAGE('WetLitterbags placem_collection'!R120,'WetLitterbags placem_collection'!T120)</f>
        <v>30.85</v>
      </c>
      <c r="AK559">
        <f>INDEX(Coordinates!$B$2:$B$197,MATCH(H559,Coordinates!$J$2:$J$197,0))</f>
        <v>-2.3488729629999998</v>
      </c>
      <c r="AL559">
        <f>INDEX(Coordinates!$C$2:$C$197,MATCH(H559,Coordinates!$J$2:$J$197,0))</f>
        <v>34.051454980000003</v>
      </c>
      <c r="AM559" t="str">
        <f>IF(ISNUMBER(SEARCH("C", 'WetLitterbags placem_collection'!$X120)),"YES","NO")</f>
        <v>NO</v>
      </c>
      <c r="AN559" t="str">
        <f>IF(ISNUMBER(SEARCH("H", 'WetLitterbags placem_collection'!$X120)),"YES","NO")</f>
        <v>NO</v>
      </c>
      <c r="AO559" t="str">
        <f>IF(ISNUMBER(SEARCH("R", 'WetLitterbags placem_collection'!$X120)),"YES","NO")</f>
        <v>YES</v>
      </c>
    </row>
    <row r="560" spans="1:41" ht="15" customHeight="1">
      <c r="A560" s="255" t="s">
        <v>2454</v>
      </c>
      <c r="B560" s="260">
        <f>'Dry_Litterbag Placem_Collection'!A121</f>
        <v>119</v>
      </c>
      <c r="C560" s="260" t="str">
        <f>'Dry_Litterbag Placem_Collection'!B121</f>
        <v xml:space="preserve">Mwantimba
</v>
      </c>
      <c r="D560" s="260" t="s">
        <v>2454</v>
      </c>
      <c r="E560" s="260" t="s">
        <v>2644</v>
      </c>
      <c r="F560" s="260">
        <v>3</v>
      </c>
      <c r="G560" s="260" t="s">
        <v>3818</v>
      </c>
      <c r="H560" s="261" t="str">
        <f>'Dry_Litterbag Placem_Collection'!C121</f>
        <v>Wet_Ag3_T7</v>
      </c>
      <c r="I560" s="270" t="s">
        <v>3630</v>
      </c>
      <c r="J560" s="263" t="s">
        <v>1147</v>
      </c>
      <c r="K560" s="221" t="str">
        <f>'WetLitterbags placem_collection'!O121</f>
        <v>G802</v>
      </c>
      <c r="L560" s="223">
        <f>IFERROR(INDEX('Green_rooibos initial weight'!$C$5:$C$2000,MATCH(K560, 'Green_rooibos initial weight'!$A$5:$A$2000,0)),"")</f>
        <v>2.194</v>
      </c>
      <c r="M560" s="223">
        <f>IFERROR(L560-(TBIcalc!$H$9+TBIcalc!$H$10),"")</f>
        <v>1.9441999999999999</v>
      </c>
      <c r="N560" s="385">
        <f>AVERAGE(Ashed_controlls!$K$2:$K$11)</f>
        <v>5.5147656768714146</v>
      </c>
      <c r="O560" s="223">
        <f t="shared" si="41"/>
        <v>1.836981925710266</v>
      </c>
      <c r="P560" s="223">
        <f>IFERROR(INDEX('Both teabags AfterWet'!$C$3:$C$840,MATCH(K560,'Both teabags AfterWet'!$A$3:$A$840,0)),"")</f>
        <v>0.65200000000000002</v>
      </c>
      <c r="Q560" s="223">
        <f>IFERROR(IF(P560&gt;0,P560-(TBIcalc!$H$9),""),"")</f>
        <v>0.50140000000000007</v>
      </c>
      <c r="R560" s="223">
        <f>IFERROR(INDEX('Ashed teabags wet'!$K$2:$K$2000,MATCH(K560,'Ashed teabags wet'!$A$2:$A$2000,0)),"")</f>
        <v>10.497512437810975</v>
      </c>
      <c r="S560" s="223">
        <f t="shared" si="42"/>
        <v>0.44876547263681582</v>
      </c>
      <c r="T560" s="224">
        <f>'WetLitterbags placem_collection'!E121</f>
        <v>42762</v>
      </c>
      <c r="U560" s="224">
        <f>IF('WetLitterbags placem_collection'!G121="","",'WetLitterbags placem_collection'!G121)</f>
        <v>42816</v>
      </c>
      <c r="V560" s="225">
        <f t="shared" si="40"/>
        <v>54</v>
      </c>
      <c r="W560" s="223">
        <f t="shared" si="43"/>
        <v>1.4427999999999999</v>
      </c>
      <c r="X560" s="223">
        <f t="shared" si="44"/>
        <v>1.3882164530734502</v>
      </c>
      <c r="Y560">
        <f>IFERROR(INDEX(Rainfall_Wet!$O$2:$O$217,MATCH(B560, Rainfall_Wet!$A$2:$A$217,0)),"")</f>
        <v>206.85140822299999</v>
      </c>
      <c r="Z560" s="228">
        <v>27.96</v>
      </c>
      <c r="AA560" s="228">
        <v>4.9200000000000017</v>
      </c>
      <c r="AB560" s="228">
        <v>67.12</v>
      </c>
      <c r="AC560" s="229" t="s">
        <v>2654</v>
      </c>
      <c r="AD560" s="228">
        <v>6.8861015278462299</v>
      </c>
      <c r="AE560">
        <f>IF('WetLitterbags placem_collection'!AB121="","",'WetLitterbags placem_collection'!AB121)</f>
        <v>18.5</v>
      </c>
      <c r="AF560">
        <f>IF('WetLitterbags placem_collection'!Z121="","",'WetLitterbags placem_collection'!Z121)</f>
        <v>74.5</v>
      </c>
      <c r="AG560" s="243" t="str">
        <f>IF('WetLitterbags placem_collection'!AA121="","",'WetLitterbags placem_collection'!AA121)</f>
        <v>G</v>
      </c>
      <c r="AH560">
        <f>IF('WetLitterbags placem_collection'!AC121="","",'WetLitterbags placem_collection'!AC121)</f>
        <v>1</v>
      </c>
      <c r="AI560" s="237">
        <f>AVERAGE('WetLitterbags placem_collection'!S121,'WetLitterbags placem_collection'!U121)</f>
        <v>11.05</v>
      </c>
      <c r="AJ560">
        <f>AVERAGE('WetLitterbags placem_collection'!R121,'WetLitterbags placem_collection'!T121)</f>
        <v>30.450000000000003</v>
      </c>
      <c r="AK560">
        <f>INDEX(Coordinates!$B$2:$B$197,MATCH(H560,Coordinates!$J$2:$J$197,0))</f>
        <v>-2.3488589659999999</v>
      </c>
      <c r="AL560">
        <f>INDEX(Coordinates!$C$2:$C$197,MATCH(H560,Coordinates!$J$2:$J$197,0))</f>
        <v>34.051389010000001</v>
      </c>
      <c r="AM560" t="str">
        <f>IF(ISNUMBER(SEARCH("C", 'WetLitterbags placem_collection'!$X121)),"YES","NO")</f>
        <v>NO</v>
      </c>
      <c r="AN560" t="str">
        <f>IF(ISNUMBER(SEARCH("H", 'WetLitterbags placem_collection'!$X121)),"YES","NO")</f>
        <v>NO</v>
      </c>
      <c r="AO560" t="str">
        <f>IF(ISNUMBER(SEARCH("R", 'WetLitterbags placem_collection'!$X121)),"YES","NO")</f>
        <v>YES</v>
      </c>
    </row>
    <row r="561" spans="1:41" ht="15" customHeight="1">
      <c r="A561" s="255" t="s">
        <v>2454</v>
      </c>
      <c r="B561" s="260">
        <f>'Dry_Litterbag Placem_Collection'!A122</f>
        <v>120</v>
      </c>
      <c r="C561" s="260" t="str">
        <f>'Dry_Litterbag Placem_Collection'!B122</f>
        <v xml:space="preserve">Mwantimba
</v>
      </c>
      <c r="D561" s="260" t="s">
        <v>2454</v>
      </c>
      <c r="E561" s="260" t="s">
        <v>2644</v>
      </c>
      <c r="F561" s="260">
        <v>3</v>
      </c>
      <c r="G561" s="260" t="s">
        <v>3818</v>
      </c>
      <c r="H561" s="261" t="str">
        <f>'Dry_Litterbag Placem_Collection'!C122</f>
        <v>Wet_Ag3_T8</v>
      </c>
      <c r="I561" s="270" t="s">
        <v>3630</v>
      </c>
      <c r="J561" s="263" t="s">
        <v>1147</v>
      </c>
      <c r="K561" s="221" t="str">
        <f>'WetLitterbags placem_collection'!O122</f>
        <v>G698</v>
      </c>
      <c r="L561" s="223">
        <f>IFERROR(INDEX('Green_rooibos initial weight'!$C$5:$C$2000,MATCH(K561, 'Green_rooibos initial weight'!$A$5:$A$2000,0)),"")</f>
        <v>2.085</v>
      </c>
      <c r="M561" s="223">
        <f>IFERROR(L561-(TBIcalc!$H$9+TBIcalc!$H$10),"")</f>
        <v>1.8351999999999999</v>
      </c>
      <c r="N561" s="385">
        <f>AVERAGE(Ashed_controlls!$K$2:$K$11)</f>
        <v>5.5147656768714146</v>
      </c>
      <c r="O561" s="223">
        <f t="shared" si="41"/>
        <v>1.7339930202980558</v>
      </c>
      <c r="P561" s="223">
        <f>IFERROR(INDEX('Both teabags AfterWet'!$C$3:$C$840,MATCH(K561,'Both teabags AfterWet'!$A$3:$A$840,0)),"")</f>
        <v>0.55310000000000004</v>
      </c>
      <c r="Q561" s="223">
        <f>IFERROR(IF(P561&gt;0,P561-(TBIcalc!$H$9),""),"")</f>
        <v>0.40250000000000002</v>
      </c>
      <c r="R561" s="223">
        <f>IFERROR(INDEX('Ashed teabags wet'!$K$2:$K$2000,MATCH(K561,'Ashed teabags wet'!$A$2:$A$2000,0)),"")</f>
        <v>14.853452558370487</v>
      </c>
      <c r="S561" s="223">
        <f t="shared" si="42"/>
        <v>0.34271485345255881</v>
      </c>
      <c r="T561" s="224">
        <f>'WetLitterbags placem_collection'!E122</f>
        <v>42762</v>
      </c>
      <c r="U561" s="224">
        <f>IF('WetLitterbags placem_collection'!G122="","",'WetLitterbags placem_collection'!G122)</f>
        <v>42816</v>
      </c>
      <c r="V561" s="225">
        <f t="shared" si="40"/>
        <v>54</v>
      </c>
      <c r="W561" s="223">
        <f t="shared" si="43"/>
        <v>1.4326999999999999</v>
      </c>
      <c r="X561" s="223">
        <f t="shared" si="44"/>
        <v>1.391278166845497</v>
      </c>
      <c r="Y561">
        <f>IFERROR(INDEX(Rainfall_Wet!$O$2:$O$217,MATCH(B561, Rainfall_Wet!$A$2:$A$217,0)),"")</f>
        <v>206.85140822299999</v>
      </c>
      <c r="Z561" s="228">
        <v>27.96</v>
      </c>
      <c r="AA561" s="228">
        <v>4.9200000000000017</v>
      </c>
      <c r="AB561" s="228">
        <v>67.12</v>
      </c>
      <c r="AC561" s="229" t="s">
        <v>2654</v>
      </c>
      <c r="AD561" s="228">
        <v>7.8861015278462299</v>
      </c>
      <c r="AE561">
        <f>IF('WetLitterbags placem_collection'!AB122="","",'WetLitterbags placem_collection'!AB122)</f>
        <v>19</v>
      </c>
      <c r="AF561">
        <f>IF('WetLitterbags placem_collection'!Z122="","",'WetLitterbags placem_collection'!Z122)</f>
        <v>98.5</v>
      </c>
      <c r="AG561" s="243" t="str">
        <f>IF('WetLitterbags placem_collection'!AA122="","",'WetLitterbags placem_collection'!AA122)</f>
        <v>G</v>
      </c>
      <c r="AH561">
        <f>IF('WetLitterbags placem_collection'!AC122="","",'WetLitterbags placem_collection'!AC122)</f>
        <v>0</v>
      </c>
      <c r="AI561" s="237">
        <f>AVERAGE('WetLitterbags placem_collection'!S122,'WetLitterbags placem_collection'!U122)</f>
        <v>14.95</v>
      </c>
      <c r="AJ561">
        <f>AVERAGE('WetLitterbags placem_collection'!R122,'WetLitterbags placem_collection'!T122)</f>
        <v>30.299999999999997</v>
      </c>
      <c r="AK561">
        <f>INDEX(Coordinates!$B$2:$B$197,MATCH(H561,Coordinates!$J$2:$J$197,0))</f>
        <v>-2.3486449760000001</v>
      </c>
      <c r="AL561">
        <f>INDEX(Coordinates!$C$2:$C$197,MATCH(H561,Coordinates!$J$2:$J$197,0))</f>
        <v>34.051495969999998</v>
      </c>
      <c r="AM561" t="str">
        <f>IF(ISNUMBER(SEARCH("C", 'WetLitterbags placem_collection'!$X122)),"YES","NO")</f>
        <v>NO</v>
      </c>
      <c r="AN561" t="str">
        <f>IF(ISNUMBER(SEARCH("H", 'WetLitterbags placem_collection'!$X122)),"YES","NO")</f>
        <v>NO</v>
      </c>
      <c r="AO561" t="str">
        <f>IF(ISNUMBER(SEARCH("R", 'WetLitterbags placem_collection'!$X122)),"YES","NO")</f>
        <v>NO</v>
      </c>
    </row>
    <row r="562" spans="1:41" ht="15" customHeight="1">
      <c r="A562" s="255" t="s">
        <v>2454</v>
      </c>
      <c r="B562" s="260">
        <f>'Dry_Litterbag Placem_Collection'!A123</f>
        <v>121</v>
      </c>
      <c r="C562" s="260" t="str">
        <f>'Dry_Litterbag Placem_Collection'!B123</f>
        <v xml:space="preserve">Mwantimba
</v>
      </c>
      <c r="D562" s="260" t="s">
        <v>2454</v>
      </c>
      <c r="E562" s="260" t="s">
        <v>2644</v>
      </c>
      <c r="F562" s="260">
        <v>4</v>
      </c>
      <c r="G562" s="260" t="s">
        <v>3819</v>
      </c>
      <c r="H562" s="261" t="str">
        <f>'Dry_Litterbag Placem_Collection'!C123</f>
        <v>Wet_Ag4_T1</v>
      </c>
      <c r="I562" s="270" t="s">
        <v>3630</v>
      </c>
      <c r="J562" s="263" t="s">
        <v>1147</v>
      </c>
      <c r="K562" s="221" t="str">
        <f>'WetLitterbags placem_collection'!O123</f>
        <v>G825</v>
      </c>
      <c r="L562" s="223">
        <f>IFERROR(INDEX('Green_rooibos initial weight'!$C$5:$C$2000,MATCH(K562, 'Green_rooibos initial weight'!$A$5:$A$2000,0)),"")</f>
        <v>2.1240000000000001</v>
      </c>
      <c r="M562" s="223">
        <f>IFERROR(L562-(TBIcalc!$H$9+TBIcalc!$H$10),"")</f>
        <v>1.8742000000000001</v>
      </c>
      <c r="N562" s="385">
        <f>AVERAGE(Ashed_controlls!$K$2:$K$11)</f>
        <v>5.5147656768714146</v>
      </c>
      <c r="O562" s="223">
        <f t="shared" si="41"/>
        <v>1.770842261684076</v>
      </c>
      <c r="P562" s="223">
        <f>IFERROR(INDEX('Both teabags AfterWet'!$C$3:$C$840,MATCH(K562,'Both teabags AfterWet'!$A$3:$A$840,0)),"")</f>
        <v>0.61199999999999999</v>
      </c>
      <c r="Q562" s="223">
        <f>IFERROR(IF(P562&gt;0,P562-(TBIcalc!$H$9),""),"")</f>
        <v>0.46139999999999998</v>
      </c>
      <c r="R562" s="223">
        <f>IFERROR(INDEX('Ashed teabags wet'!$K$2:$K$2000,MATCH(K562,'Ashed teabags wet'!$A$2:$A$2000,0)),"")</f>
        <v>10.131514856308767</v>
      </c>
      <c r="S562" s="223">
        <f t="shared" si="42"/>
        <v>0.41465319045299132</v>
      </c>
      <c r="T562" s="224">
        <f>'WetLitterbags placem_collection'!E123</f>
        <v>42762</v>
      </c>
      <c r="U562" s="224">
        <f>IF('WetLitterbags placem_collection'!G123="","",'WetLitterbags placem_collection'!G123)</f>
        <v>42816</v>
      </c>
      <c r="V562" s="225">
        <f t="shared" si="40"/>
        <v>54</v>
      </c>
      <c r="W562" s="223">
        <f t="shared" si="43"/>
        <v>1.4128000000000001</v>
      </c>
      <c r="X562" s="223">
        <f t="shared" si="44"/>
        <v>1.3561890712310847</v>
      </c>
      <c r="Y562">
        <f>IFERROR(INDEX(Rainfall_Wet!$O$2:$O$217,MATCH(B562, Rainfall_Wet!$A$2:$A$217,0)),"")</f>
        <v>206.85140822299999</v>
      </c>
      <c r="Z562" s="228">
        <v>17.96</v>
      </c>
      <c r="AA562" s="228">
        <v>4.9199999999999982</v>
      </c>
      <c r="AB562" s="228">
        <v>77.12</v>
      </c>
      <c r="AC562" s="229" t="s">
        <v>2655</v>
      </c>
      <c r="AD562" s="228">
        <v>2.0220798422868409</v>
      </c>
      <c r="AE562">
        <f>IF('WetLitterbags placem_collection'!AB123="","",'WetLitterbags placem_collection'!AB123)</f>
        <v>9.65</v>
      </c>
      <c r="AF562">
        <f>IF('WetLitterbags placem_collection'!Z123="","",'WetLitterbags placem_collection'!Z123)</f>
        <v>63</v>
      </c>
      <c r="AG562" s="243" t="str">
        <f>IF('WetLitterbags placem_collection'!AA123="","",'WetLitterbags placem_collection'!AA123)</f>
        <v>G</v>
      </c>
      <c r="AH562">
        <f>IF('WetLitterbags placem_collection'!AC123="","",'WetLitterbags placem_collection'!AC123)</f>
        <v>0</v>
      </c>
      <c r="AI562" s="237">
        <f>AVERAGE('WetLitterbags placem_collection'!S123,'WetLitterbags placem_collection'!U123)</f>
        <v>9.5500000000000007</v>
      </c>
      <c r="AJ562">
        <f>AVERAGE('WetLitterbags placem_collection'!R123,'WetLitterbags placem_collection'!T123)</f>
        <v>30.75</v>
      </c>
      <c r="AK562">
        <f>INDEX(Coordinates!$B$2:$B$197,MATCH(H562,Coordinates!$J$2:$J$197,0))</f>
        <v>-2.3492639789999998</v>
      </c>
      <c r="AL562">
        <f>INDEX(Coordinates!$C$2:$C$197,MATCH(H562,Coordinates!$J$2:$J$197,0))</f>
        <v>34.051464029999998</v>
      </c>
      <c r="AM562" t="str">
        <f>IF(ISNUMBER(SEARCH("C", 'WetLitterbags placem_collection'!$X123)),"YES","NO")</f>
        <v>NO</v>
      </c>
      <c r="AN562" t="str">
        <f>IF(ISNUMBER(SEARCH("H", 'WetLitterbags placem_collection'!$X123)),"YES","NO")</f>
        <v>NO</v>
      </c>
      <c r="AO562" t="str">
        <f>IF(ISNUMBER(SEARCH("R", 'WetLitterbags placem_collection'!$X123)),"YES","NO")</f>
        <v>YES</v>
      </c>
    </row>
    <row r="563" spans="1:41" ht="15" customHeight="1">
      <c r="A563" s="255" t="s">
        <v>2454</v>
      </c>
      <c r="B563" s="260">
        <f>'Dry_Litterbag Placem_Collection'!A124</f>
        <v>122</v>
      </c>
      <c r="C563" s="260" t="str">
        <f>'Dry_Litterbag Placem_Collection'!B124</f>
        <v xml:space="preserve">Mwantimba
</v>
      </c>
      <c r="D563" s="260" t="s">
        <v>2454</v>
      </c>
      <c r="E563" s="260" t="s">
        <v>2644</v>
      </c>
      <c r="F563" s="260">
        <v>4</v>
      </c>
      <c r="G563" s="260" t="s">
        <v>3819</v>
      </c>
      <c r="H563" s="261" t="str">
        <f>'Dry_Litterbag Placem_Collection'!C124</f>
        <v>Wet_Ag4_T2</v>
      </c>
      <c r="I563" s="270" t="s">
        <v>3630</v>
      </c>
      <c r="J563" s="263" t="s">
        <v>1147</v>
      </c>
      <c r="K563" s="221" t="str">
        <f>'WetLitterbags placem_collection'!O124</f>
        <v>G839</v>
      </c>
      <c r="L563" s="223">
        <f>IFERROR(INDEX('Green_rooibos initial weight'!$C$5:$C$2000,MATCH(K563, 'Green_rooibos initial weight'!$A$5:$A$2000,0)),"")</f>
        <v>2.0230000000000001</v>
      </c>
      <c r="M563" s="223">
        <f>IFERROR(L563-(TBIcalc!$H$9+TBIcalc!$H$10),"")</f>
        <v>1.7732000000000001</v>
      </c>
      <c r="N563" s="385">
        <f>AVERAGE(Ashed_controlls!$K$2:$K$11)</f>
        <v>5.5147656768714146</v>
      </c>
      <c r="O563" s="223">
        <f t="shared" si="41"/>
        <v>1.6754121750177162</v>
      </c>
      <c r="P563" s="223">
        <f>IFERROR(INDEX('Both teabags AfterWet'!$C$3:$C$840,MATCH(K563,'Both teabags AfterWet'!$A$3:$A$840,0)),"")</f>
        <v>0.64200000000000002</v>
      </c>
      <c r="Q563" s="223">
        <f>IFERROR(IF(P563&gt;0,P563-(TBIcalc!$H$9),""),"")</f>
        <v>0.4914</v>
      </c>
      <c r="R563" s="223">
        <f>IFERROR(INDEX('Ashed teabags wet'!$K$2:$K$2000,MATCH(K563,'Ashed teabags wet'!$A$2:$A$2000,0)),"")</f>
        <v>16.267465069859526</v>
      </c>
      <c r="S563" s="223">
        <f t="shared" si="42"/>
        <v>0.41146167664671029</v>
      </c>
      <c r="T563" s="224">
        <f>'WetLitterbags placem_collection'!E124</f>
        <v>42762</v>
      </c>
      <c r="U563" s="224">
        <f>IF('WetLitterbags placem_collection'!G124="","",'WetLitterbags placem_collection'!G124)</f>
        <v>42816</v>
      </c>
      <c r="V563" s="225">
        <f t="shared" si="40"/>
        <v>54</v>
      </c>
      <c r="W563" s="223">
        <f t="shared" si="43"/>
        <v>1.2818000000000001</v>
      </c>
      <c r="X563" s="223">
        <f t="shared" si="44"/>
        <v>1.2639504983710059</v>
      </c>
      <c r="Y563">
        <f>IFERROR(INDEX(Rainfall_Wet!$O$2:$O$217,MATCH(B563, Rainfall_Wet!$A$2:$A$217,0)),"")</f>
        <v>206.85140822299999</v>
      </c>
      <c r="Z563" s="228">
        <v>17.96</v>
      </c>
      <c r="AA563" s="228">
        <v>4.9199999999999982</v>
      </c>
      <c r="AB563" s="228">
        <v>77.12</v>
      </c>
      <c r="AC563" s="229" t="s">
        <v>2655</v>
      </c>
      <c r="AD563" s="228">
        <v>3.02207984228684</v>
      </c>
      <c r="AE563">
        <f>IF('WetLitterbags placem_collection'!AB124="","",'WetLitterbags placem_collection'!AB124)</f>
        <v>3.1</v>
      </c>
      <c r="AF563">
        <f>IF('WetLitterbags placem_collection'!Z124="","",'WetLitterbags placem_collection'!Z124)</f>
        <v>53</v>
      </c>
      <c r="AG563" s="243" t="str">
        <f>IF('WetLitterbags placem_collection'!AA124="","",'WetLitterbags placem_collection'!AA124)</f>
        <v>G</v>
      </c>
      <c r="AH563">
        <f>IF('WetLitterbags placem_collection'!AC124="","",'WetLitterbags placem_collection'!AC124)</f>
        <v>0</v>
      </c>
      <c r="AI563" s="237">
        <f>AVERAGE('WetLitterbags placem_collection'!S124,'WetLitterbags placem_collection'!U124)</f>
        <v>11.8</v>
      </c>
      <c r="AJ563">
        <f>AVERAGE('WetLitterbags placem_collection'!R124,'WetLitterbags placem_collection'!T124)</f>
        <v>30.650000000000002</v>
      </c>
      <c r="AK563">
        <f>INDEX(Coordinates!$B$2:$B$197,MATCH(H563,Coordinates!$J$2:$J$197,0))</f>
        <v>-2.34923196</v>
      </c>
      <c r="AL563">
        <f>INDEX(Coordinates!$C$2:$C$197,MATCH(H563,Coordinates!$J$2:$J$197,0))</f>
        <v>34.051422039999999</v>
      </c>
      <c r="AM563" t="str">
        <f>IF(ISNUMBER(SEARCH("C", 'WetLitterbags placem_collection'!$X124)),"YES","NO")</f>
        <v>NO</v>
      </c>
      <c r="AN563" t="str">
        <f>IF(ISNUMBER(SEARCH("H", 'WetLitterbags placem_collection'!$X124)),"YES","NO")</f>
        <v>NO</v>
      </c>
      <c r="AO563" t="str">
        <f>IF(ISNUMBER(SEARCH("R", 'WetLitterbags placem_collection'!$X124)),"YES","NO")</f>
        <v>YES</v>
      </c>
    </row>
    <row r="564" spans="1:41" ht="15" customHeight="1">
      <c r="A564" s="255" t="s">
        <v>2454</v>
      </c>
      <c r="B564" s="260">
        <f>'Dry_Litterbag Placem_Collection'!A125</f>
        <v>123</v>
      </c>
      <c r="C564" s="260" t="str">
        <f>'Dry_Litterbag Placem_Collection'!B125</f>
        <v xml:space="preserve">Mwantimba
</v>
      </c>
      <c r="D564" s="260" t="s">
        <v>2454</v>
      </c>
      <c r="E564" s="260" t="s">
        <v>2644</v>
      </c>
      <c r="F564" s="260">
        <v>4</v>
      </c>
      <c r="G564" s="260" t="s">
        <v>3819</v>
      </c>
      <c r="H564" s="261" t="str">
        <f>'Dry_Litterbag Placem_Collection'!C125</f>
        <v>Wet_Ag4_T3</v>
      </c>
      <c r="I564" s="270" t="s">
        <v>3630</v>
      </c>
      <c r="J564" s="263" t="s">
        <v>1147</v>
      </c>
      <c r="K564" s="221" t="str">
        <f>'WetLitterbags placem_collection'!O125</f>
        <v>G895</v>
      </c>
      <c r="L564" s="223">
        <f>IFERROR(INDEX('Green_rooibos initial weight'!$C$5:$C$2000,MATCH(K564, 'Green_rooibos initial weight'!$A$5:$A$2000,0)),"")</f>
        <v>1.9259999999999999</v>
      </c>
      <c r="M564" s="223">
        <f>IFERROR(L564-(TBIcalc!$H$9+TBIcalc!$H$10),"")</f>
        <v>1.6761999999999999</v>
      </c>
      <c r="N564" s="385">
        <f>AVERAGE(Ashed_controlls!$K$2:$K$11)</f>
        <v>5.5147656768714146</v>
      </c>
      <c r="O564" s="223">
        <f t="shared" si="41"/>
        <v>1.5837614977242813</v>
      </c>
      <c r="P564" s="223">
        <f>IFERROR(INDEX('Both teabags AfterWet'!$C$3:$C$840,MATCH(K564,'Both teabags AfterWet'!$A$3:$A$840,0)),"")</f>
        <v>0.878</v>
      </c>
      <c r="Q564" s="223">
        <f>IFERROR(IF(P564&gt;0,P564-(TBIcalc!$H$9),""),"")</f>
        <v>0.72740000000000005</v>
      </c>
      <c r="R564" s="223">
        <f>IFERROR(INDEX('Ashed teabags wet'!$K$2:$K$2000,MATCH(K564,'Ashed teabags wet'!$A$2:$A$2000,0)),"")</f>
        <v>13.555233960443902</v>
      </c>
      <c r="S564" s="223">
        <f t="shared" si="42"/>
        <v>0.62879922817173106</v>
      </c>
      <c r="T564" s="224">
        <f>'WetLitterbags placem_collection'!E125</f>
        <v>42762</v>
      </c>
      <c r="U564" s="224">
        <f>IF('WetLitterbags placem_collection'!G125="","",'WetLitterbags placem_collection'!G125)</f>
        <v>42816</v>
      </c>
      <c r="V564" s="225">
        <f t="shared" si="40"/>
        <v>54</v>
      </c>
      <c r="W564" s="223">
        <f t="shared" si="43"/>
        <v>0.94879999999999987</v>
      </c>
      <c r="X564" s="223">
        <f t="shared" si="44"/>
        <v>0.95496226955255026</v>
      </c>
      <c r="Y564">
        <f>IFERROR(INDEX(Rainfall_Wet!$O$2:$O$217,MATCH(B564, Rainfall_Wet!$A$2:$A$217,0)),"")</f>
        <v>206.85140822299999</v>
      </c>
      <c r="Z564" s="228">
        <v>17.96</v>
      </c>
      <c r="AA564" s="228">
        <v>4.9199999999999982</v>
      </c>
      <c r="AB564" s="228">
        <v>77.12</v>
      </c>
      <c r="AC564" s="229" t="s">
        <v>2655</v>
      </c>
      <c r="AD564" s="228">
        <v>4.02207984228684</v>
      </c>
      <c r="AE564">
        <f>IF('WetLitterbags placem_collection'!AB125="","",'WetLitterbags placem_collection'!AB125)</f>
        <v>3.9</v>
      </c>
      <c r="AF564">
        <f>IF('WetLitterbags placem_collection'!Z125="","",'WetLitterbags placem_collection'!Z125)</f>
        <v>51</v>
      </c>
      <c r="AG564" s="243" t="str">
        <f>IF('WetLitterbags placem_collection'!AA125="","",'WetLitterbags placem_collection'!AA125)</f>
        <v>G</v>
      </c>
      <c r="AH564">
        <f>IF('WetLitterbags placem_collection'!AC125="","",'WetLitterbags placem_collection'!AC125)</f>
        <v>1</v>
      </c>
      <c r="AI564" s="237">
        <f>AVERAGE('WetLitterbags placem_collection'!S125,'WetLitterbags placem_collection'!U125)</f>
        <v>13.2</v>
      </c>
      <c r="AJ564">
        <f>AVERAGE('WetLitterbags placem_collection'!R125,'WetLitterbags placem_collection'!T125)</f>
        <v>31.85</v>
      </c>
      <c r="AK564">
        <f>INDEX(Coordinates!$B$2:$B$197,MATCH(H564,Coordinates!$J$2:$J$197,0))</f>
        <v>-2.3492390009999999</v>
      </c>
      <c r="AL564">
        <f>INDEX(Coordinates!$C$2:$C$197,MATCH(H564,Coordinates!$J$2:$J$197,0))</f>
        <v>34.051304020000003</v>
      </c>
      <c r="AM564" t="str">
        <f>IF(ISNUMBER(SEARCH("C", 'WetLitterbags placem_collection'!$X125)),"YES","NO")</f>
        <v>NO</v>
      </c>
      <c r="AN564" t="str">
        <f>IF(ISNUMBER(SEARCH("H", 'WetLitterbags placem_collection'!$X125)),"YES","NO")</f>
        <v>NO</v>
      </c>
      <c r="AO564" t="str">
        <f>IF(ISNUMBER(SEARCH("R", 'WetLitterbags placem_collection'!$X125)),"YES","NO")</f>
        <v>NO</v>
      </c>
    </row>
    <row r="565" spans="1:41" ht="15" customHeight="1">
      <c r="A565" s="255" t="s">
        <v>2454</v>
      </c>
      <c r="B565" s="260">
        <f>'Dry_Litterbag Placem_Collection'!A126</f>
        <v>124</v>
      </c>
      <c r="C565" s="260" t="str">
        <f>'Dry_Litterbag Placem_Collection'!B126</f>
        <v xml:space="preserve">Mwantimba
</v>
      </c>
      <c r="D565" s="260" t="s">
        <v>2454</v>
      </c>
      <c r="E565" s="260" t="s">
        <v>2644</v>
      </c>
      <c r="F565" s="260">
        <v>4</v>
      </c>
      <c r="G565" s="260" t="s">
        <v>3819</v>
      </c>
      <c r="H565" s="261" t="str">
        <f>'Dry_Litterbag Placem_Collection'!C126</f>
        <v>Wet_Ag4_T4</v>
      </c>
      <c r="I565" s="270" t="s">
        <v>3630</v>
      </c>
      <c r="J565" s="263" t="s">
        <v>1147</v>
      </c>
      <c r="K565" s="221" t="str">
        <f>'WetLitterbags placem_collection'!O126</f>
        <v>G682</v>
      </c>
      <c r="L565" s="223">
        <f>IFERROR(INDEX('Green_rooibos initial weight'!$C$5:$C$2000,MATCH(K565, 'Green_rooibos initial weight'!$A$5:$A$2000,0)),"")</f>
        <v>2.0230000000000001</v>
      </c>
      <c r="M565" s="223">
        <f>IFERROR(L565-(TBIcalc!$H$9+TBIcalc!$H$10),"")</f>
        <v>1.7732000000000001</v>
      </c>
      <c r="N565" s="385">
        <f>AVERAGE(Ashed_controlls!$K$2:$K$11)</f>
        <v>5.5147656768714146</v>
      </c>
      <c r="O565" s="223">
        <f t="shared" si="41"/>
        <v>1.6754121750177162</v>
      </c>
      <c r="P565" s="223">
        <f>IFERROR(INDEX('Both teabags AfterWet'!$C$3:$C$840,MATCH(K565,'Both teabags AfterWet'!$A$3:$A$840,0)),"")</f>
        <v>0.61199999999999999</v>
      </c>
      <c r="Q565" s="223">
        <f>IFERROR(IF(P565&gt;0,P565-(TBIcalc!$H$9),""),"")</f>
        <v>0.46139999999999998</v>
      </c>
      <c r="R565" s="223">
        <f>IFERROR(INDEX('Ashed teabags wet'!$K$2:$K$2000,MATCH(K565,'Ashed teabags wet'!$A$2:$A$2000,0)),"")</f>
        <v>12.30079681274993</v>
      </c>
      <c r="S565" s="223">
        <f t="shared" si="42"/>
        <v>0.40464412350597179</v>
      </c>
      <c r="T565" s="224">
        <f>'WetLitterbags placem_collection'!E126</f>
        <v>42762</v>
      </c>
      <c r="U565" s="224">
        <f>IF('WetLitterbags placem_collection'!G126="","",'WetLitterbags placem_collection'!G126)</f>
        <v>42816</v>
      </c>
      <c r="V565" s="225">
        <f t="shared" si="40"/>
        <v>54</v>
      </c>
      <c r="W565" s="223">
        <f t="shared" si="43"/>
        <v>1.3118000000000001</v>
      </c>
      <c r="X565" s="223">
        <f t="shared" si="44"/>
        <v>1.2707680515117445</v>
      </c>
      <c r="Y565">
        <f>IFERROR(INDEX(Rainfall_Wet!$O$2:$O$217,MATCH(B565, Rainfall_Wet!$A$2:$A$217,0)),"")</f>
        <v>206.85140822299999</v>
      </c>
      <c r="Z565" s="228">
        <v>17.96</v>
      </c>
      <c r="AA565" s="228">
        <v>4.9199999999999982</v>
      </c>
      <c r="AB565" s="228">
        <v>77.12</v>
      </c>
      <c r="AC565" s="229" t="s">
        <v>2655</v>
      </c>
      <c r="AD565" s="228">
        <v>5.02207984228684</v>
      </c>
      <c r="AE565">
        <f>IF('WetLitterbags placem_collection'!AB126="","",'WetLitterbags placem_collection'!AB126)</f>
        <v>5.45</v>
      </c>
      <c r="AF565">
        <f>IF('WetLitterbags placem_collection'!Z126="","",'WetLitterbags placem_collection'!Z126)</f>
        <v>47</v>
      </c>
      <c r="AG565" s="243" t="str">
        <f>IF('WetLitterbags placem_collection'!AA126="","",'WetLitterbags placem_collection'!AA126)</f>
        <v>G</v>
      </c>
      <c r="AH565">
        <f>IF('WetLitterbags placem_collection'!AC126="","",'WetLitterbags placem_collection'!AC126)</f>
        <v>1</v>
      </c>
      <c r="AI565" s="237">
        <f>AVERAGE('WetLitterbags placem_collection'!S126,'WetLitterbags placem_collection'!U126)</f>
        <v>18.2</v>
      </c>
      <c r="AJ565">
        <f>AVERAGE('WetLitterbags placem_collection'!R126,'WetLitterbags placem_collection'!T126)</f>
        <v>31.1</v>
      </c>
      <c r="AK565">
        <f>INDEX(Coordinates!$B$2:$B$197,MATCH(H565,Coordinates!$J$2:$J$197,0))</f>
        <v>-2.3492799889999998</v>
      </c>
      <c r="AL565">
        <f>INDEX(Coordinates!$C$2:$C$197,MATCH(H565,Coordinates!$J$2:$J$197,0))</f>
        <v>34.051280970000001</v>
      </c>
      <c r="AM565" t="str">
        <f>IF(ISNUMBER(SEARCH("C", 'WetLitterbags placem_collection'!$X126)),"YES","NO")</f>
        <v>NO</v>
      </c>
      <c r="AN565" t="str">
        <f>IF(ISNUMBER(SEARCH("H", 'WetLitterbags placem_collection'!$X126)),"YES","NO")</f>
        <v>NO</v>
      </c>
      <c r="AO565" t="str">
        <f>IF(ISNUMBER(SEARCH("R", 'WetLitterbags placem_collection'!$X126)),"YES","NO")</f>
        <v>NO</v>
      </c>
    </row>
    <row r="566" spans="1:41" ht="15" customHeight="1">
      <c r="A566" s="255" t="s">
        <v>2454</v>
      </c>
      <c r="B566" s="260">
        <f>'Dry_Litterbag Placem_Collection'!A127</f>
        <v>125</v>
      </c>
      <c r="C566" s="260" t="str">
        <f>'Dry_Litterbag Placem_Collection'!B127</f>
        <v xml:space="preserve">Mwantimba
</v>
      </c>
      <c r="D566" s="260" t="s">
        <v>2454</v>
      </c>
      <c r="E566" s="260" t="s">
        <v>2644</v>
      </c>
      <c r="F566" s="260">
        <v>4</v>
      </c>
      <c r="G566" s="260" t="s">
        <v>3819</v>
      </c>
      <c r="H566" s="261" t="str">
        <f>'Dry_Litterbag Placem_Collection'!C127</f>
        <v>Wet_Ag4_T5</v>
      </c>
      <c r="I566" s="270" t="s">
        <v>3630</v>
      </c>
      <c r="J566" s="263" t="s">
        <v>1147</v>
      </c>
      <c r="K566" s="221" t="str">
        <f>'WetLitterbags placem_collection'!O127</f>
        <v>G740</v>
      </c>
      <c r="L566" s="223">
        <f>IFERROR(INDEX('Green_rooibos initial weight'!$C$5:$C$2000,MATCH(K566, 'Green_rooibos initial weight'!$A$5:$A$2000,0)),"")</f>
        <v>1.915</v>
      </c>
      <c r="M566" s="223">
        <f>IFERROR(L566-(TBIcalc!$H$9+TBIcalc!$H$10),"")</f>
        <v>1.6652</v>
      </c>
      <c r="N566" s="385">
        <f>AVERAGE(Ashed_controlls!$K$2:$K$11)</f>
        <v>5.5147656768714146</v>
      </c>
      <c r="O566" s="223">
        <f t="shared" si="41"/>
        <v>1.5733681219487372</v>
      </c>
      <c r="P566" s="223">
        <f>IFERROR(INDEX('Both teabags AfterWet'!$C$3:$C$840,MATCH(K566,'Both teabags AfterWet'!$A$3:$A$840,0)),"")</f>
        <v>0.60099999999999998</v>
      </c>
      <c r="Q566" s="223">
        <f>IFERROR(IF(P566&gt;0,P566-(TBIcalc!$H$9),""),"")</f>
        <v>0.45039999999999997</v>
      </c>
      <c r="R566" s="223">
        <f>IFERROR(INDEX('Ashed teabags wet'!$K$2:$K$2000,MATCH(K566,'Ashed teabags wet'!$A$2:$A$2000,0)),"")</f>
        <v>14.222658165767069</v>
      </c>
      <c r="S566" s="223">
        <f t="shared" si="42"/>
        <v>0.38634114762138511</v>
      </c>
      <c r="T566" s="224">
        <f>'WetLitterbags placem_collection'!E127</f>
        <v>42762</v>
      </c>
      <c r="U566" s="224">
        <f>IF('WetLitterbags placem_collection'!G127="","",'WetLitterbags placem_collection'!G127)</f>
        <v>42816</v>
      </c>
      <c r="V566" s="225">
        <f t="shared" si="40"/>
        <v>54</v>
      </c>
      <c r="W566" s="223">
        <f t="shared" si="43"/>
        <v>1.2148000000000001</v>
      </c>
      <c r="X566" s="223">
        <f t="shared" si="44"/>
        <v>1.187026974327352</v>
      </c>
      <c r="Y566">
        <f>IFERROR(INDEX(Rainfall_Wet!$O$2:$O$217,MATCH(B566, Rainfall_Wet!$A$2:$A$217,0)),"")</f>
        <v>206.85140822299999</v>
      </c>
      <c r="Z566" s="228">
        <v>17.96</v>
      </c>
      <c r="AA566" s="228">
        <v>4.9199999999999982</v>
      </c>
      <c r="AB566" s="228">
        <v>77.12</v>
      </c>
      <c r="AC566" s="229" t="s">
        <v>2655</v>
      </c>
      <c r="AD566" s="228">
        <v>6.02207984228684</v>
      </c>
      <c r="AE566">
        <f>IF('WetLitterbags placem_collection'!AB127="","",'WetLitterbags placem_collection'!AB127)</f>
        <v>9.3000000000000007</v>
      </c>
      <c r="AF566">
        <f>IF('WetLitterbags placem_collection'!Z127="","",'WetLitterbags placem_collection'!Z127)</f>
        <v>43</v>
      </c>
      <c r="AG566" s="243" t="str">
        <f>IF('WetLitterbags placem_collection'!AA127="","",'WetLitterbags placem_collection'!AA127)</f>
        <v>G</v>
      </c>
      <c r="AH566">
        <f>IF('WetLitterbags placem_collection'!AC127="","",'WetLitterbags placem_collection'!AC127)</f>
        <v>1</v>
      </c>
      <c r="AI566" s="237">
        <f>AVERAGE('WetLitterbags placem_collection'!S127,'WetLitterbags placem_collection'!U127)</f>
        <v>19.25</v>
      </c>
      <c r="AJ566">
        <f>AVERAGE('WetLitterbags placem_collection'!R127,'WetLitterbags placem_collection'!T127)</f>
        <v>32.049999999999997</v>
      </c>
      <c r="AK566">
        <f>INDEX(Coordinates!$B$2:$B$197,MATCH(H566,Coordinates!$J$2:$J$197,0))</f>
        <v>-2.3493320400000002</v>
      </c>
      <c r="AL566">
        <f>INDEX(Coordinates!$C$2:$C$197,MATCH(H566,Coordinates!$J$2:$J$197,0))</f>
        <v>34.051321960000003</v>
      </c>
      <c r="AM566" t="str">
        <f>IF(ISNUMBER(SEARCH("C", 'WetLitterbags placem_collection'!$X127)),"YES","NO")</f>
        <v>NO</v>
      </c>
      <c r="AN566" t="str">
        <f>IF(ISNUMBER(SEARCH("H", 'WetLitterbags placem_collection'!$X127)),"YES","NO")</f>
        <v>NO</v>
      </c>
      <c r="AO566" t="str">
        <f>IF(ISNUMBER(SEARCH("R", 'WetLitterbags placem_collection'!$X127)),"YES","NO")</f>
        <v>YES</v>
      </c>
    </row>
    <row r="567" spans="1:41" ht="15" customHeight="1">
      <c r="A567" s="255" t="s">
        <v>2454</v>
      </c>
      <c r="B567" s="260">
        <f>'Dry_Litterbag Placem_Collection'!A128</f>
        <v>126</v>
      </c>
      <c r="C567" s="260" t="str">
        <f>'Dry_Litterbag Placem_Collection'!B128</f>
        <v xml:space="preserve">Mwantimba
</v>
      </c>
      <c r="D567" s="260" t="s">
        <v>2454</v>
      </c>
      <c r="E567" s="260" t="s">
        <v>2644</v>
      </c>
      <c r="F567" s="260">
        <v>4</v>
      </c>
      <c r="G567" s="260" t="s">
        <v>3819</v>
      </c>
      <c r="H567" s="261" t="str">
        <f>'Dry_Litterbag Placem_Collection'!C128</f>
        <v>Wet_Ag4_T6</v>
      </c>
      <c r="I567" s="270" t="s">
        <v>3630</v>
      </c>
      <c r="J567" s="263" t="s">
        <v>1147</v>
      </c>
      <c r="K567" s="221" t="str">
        <f>'WetLitterbags placem_collection'!O128</f>
        <v>G841</v>
      </c>
      <c r="L567" s="223">
        <f>IFERROR(INDEX('Green_rooibos initial weight'!$C$5:$C$2000,MATCH(K567, 'Green_rooibos initial weight'!$A$5:$A$2000,0)),"")</f>
        <v>1.96</v>
      </c>
      <c r="M567" s="223">
        <f>IFERROR(L567-(TBIcalc!$H$9+TBIcalc!$H$10),"")</f>
        <v>1.7101999999999999</v>
      </c>
      <c r="N567" s="385">
        <f>AVERAGE(Ashed_controlls!$K$2:$K$11)</f>
        <v>5.5147656768714146</v>
      </c>
      <c r="O567" s="223">
        <f t="shared" si="41"/>
        <v>1.615886477394145</v>
      </c>
      <c r="P567" s="223">
        <f>IFERROR(INDEX('Both teabags AfterWet'!$C$3:$C$840,MATCH(K567,'Both teabags AfterWet'!$A$3:$A$840,0)),"")</f>
        <v>0.58499999999999996</v>
      </c>
      <c r="Q567" s="223">
        <f>IFERROR(IF(P567&gt;0,P567-(TBIcalc!$H$9),""),"")</f>
        <v>0.43439999999999995</v>
      </c>
      <c r="R567" s="223">
        <f>IFERROR(INDEX('Ashed teabags wet'!$K$2:$K$2000,MATCH(K567,'Ashed teabags wet'!$A$2:$A$2000,0)),"")</f>
        <v>12.570260602963709</v>
      </c>
      <c r="S567" s="223">
        <f t="shared" si="42"/>
        <v>0.37979478794072563</v>
      </c>
      <c r="T567" s="224">
        <f>'WetLitterbags placem_collection'!E128</f>
        <v>42762</v>
      </c>
      <c r="U567" s="224">
        <f>IF('WetLitterbags placem_collection'!G128="","",'WetLitterbags placem_collection'!G128)</f>
        <v>42816</v>
      </c>
      <c r="V567" s="225">
        <f t="shared" si="40"/>
        <v>54</v>
      </c>
      <c r="W567" s="223">
        <f t="shared" si="43"/>
        <v>1.2758</v>
      </c>
      <c r="X567" s="223">
        <f t="shared" si="44"/>
        <v>1.2360916894534193</v>
      </c>
      <c r="Y567">
        <f>IFERROR(INDEX(Rainfall_Wet!$O$2:$O$217,MATCH(B567, Rainfall_Wet!$A$2:$A$217,0)),"")</f>
        <v>206.85140822299999</v>
      </c>
      <c r="Z567" s="228">
        <v>17.96</v>
      </c>
      <c r="AA567" s="228">
        <v>4.9199999999999982</v>
      </c>
      <c r="AB567" s="228">
        <v>77.12</v>
      </c>
      <c r="AC567" s="229" t="s">
        <v>2655</v>
      </c>
      <c r="AD567" s="228">
        <v>7.02207984228684</v>
      </c>
      <c r="AE567">
        <f>IF('WetLitterbags placem_collection'!AB128="","",'WetLitterbags placem_collection'!AB128)</f>
        <v>10.85</v>
      </c>
      <c r="AF567">
        <f>IF('WetLitterbags placem_collection'!Z128="","",'WetLitterbags placem_collection'!Z128)</f>
        <v>40</v>
      </c>
      <c r="AG567" s="243" t="str">
        <f>IF('WetLitterbags placem_collection'!AA128="","",'WetLitterbags placem_collection'!AA128)</f>
        <v>G</v>
      </c>
      <c r="AH567">
        <f>IF('WetLitterbags placem_collection'!AC128="","",'WetLitterbags placem_collection'!AC128)</f>
        <v>1</v>
      </c>
      <c r="AI567" s="237">
        <f>AVERAGE('WetLitterbags placem_collection'!S128,'WetLitterbags placem_collection'!U128)</f>
        <v>16.649999999999999</v>
      </c>
      <c r="AJ567">
        <f>AVERAGE('WetLitterbags placem_collection'!R128,'WetLitterbags placem_collection'!T128)</f>
        <v>32</v>
      </c>
      <c r="AK567">
        <f>INDEX(Coordinates!$B$2:$B$197,MATCH(H567,Coordinates!$J$2:$J$197,0))</f>
        <v>-2.3493509829999999</v>
      </c>
      <c r="AL567">
        <f>INDEX(Coordinates!$C$2:$C$197,MATCH(H567,Coordinates!$J$2:$J$197,0))</f>
        <v>34.051332019999997</v>
      </c>
      <c r="AM567" t="str">
        <f>IF(ISNUMBER(SEARCH("C", 'WetLitterbags placem_collection'!$X128)),"YES","NO")</f>
        <v>NO</v>
      </c>
      <c r="AN567" t="str">
        <f>IF(ISNUMBER(SEARCH("H", 'WetLitterbags placem_collection'!$X128)),"YES","NO")</f>
        <v>NO</v>
      </c>
      <c r="AO567" t="str">
        <f>IF(ISNUMBER(SEARCH("R", 'WetLitterbags placem_collection'!$X128)),"YES","NO")</f>
        <v>YES</v>
      </c>
    </row>
    <row r="568" spans="1:41" ht="15" customHeight="1">
      <c r="A568" s="255" t="s">
        <v>2454</v>
      </c>
      <c r="B568" s="260">
        <f>'Dry_Litterbag Placem_Collection'!A129</f>
        <v>127</v>
      </c>
      <c r="C568" s="260" t="str">
        <f>'Dry_Litterbag Placem_Collection'!B129</f>
        <v xml:space="preserve">Mwantimba
</v>
      </c>
      <c r="D568" s="260" t="s">
        <v>2454</v>
      </c>
      <c r="E568" s="260" t="s">
        <v>2644</v>
      </c>
      <c r="F568" s="260">
        <v>4</v>
      </c>
      <c r="G568" s="260" t="s">
        <v>3819</v>
      </c>
      <c r="H568" s="261" t="str">
        <f>'Dry_Litterbag Placem_Collection'!C129</f>
        <v>Wet_Ag4_T7</v>
      </c>
      <c r="I568" s="270" t="s">
        <v>3630</v>
      </c>
      <c r="J568" s="263" t="s">
        <v>1147</v>
      </c>
      <c r="K568" s="221" t="str">
        <f>'WetLitterbags placem_collection'!O129</f>
        <v>G687</v>
      </c>
      <c r="L568" s="223">
        <f>IFERROR(INDEX('Green_rooibos initial weight'!$C$5:$C$2000,MATCH(K568, 'Green_rooibos initial weight'!$A$5:$A$2000,0)),"")</f>
        <v>2.0649999999999999</v>
      </c>
      <c r="M568" s="223">
        <f>IFERROR(L568-(TBIcalc!$H$9+TBIcalc!$H$10),"")</f>
        <v>1.8151999999999999</v>
      </c>
      <c r="N568" s="385">
        <f>AVERAGE(Ashed_controlls!$K$2:$K$11)</f>
        <v>5.5147656768714146</v>
      </c>
      <c r="O568" s="223">
        <f t="shared" si="41"/>
        <v>1.7150959734334301</v>
      </c>
      <c r="P568" s="223">
        <f>IFERROR(INDEX('Both teabags AfterWet'!$C$3:$C$840,MATCH(K568,'Both teabags AfterWet'!$A$3:$A$840,0)),"")</f>
        <v>0.57699999999999996</v>
      </c>
      <c r="Q568" s="223">
        <f>IFERROR(IF(P568&gt;0,P568-(TBIcalc!$H$9),""),"")</f>
        <v>0.42639999999999995</v>
      </c>
      <c r="R568" s="223">
        <f>IFERROR(INDEX('Ashed teabags wet'!$K$2:$K$2000,MATCH(K568,'Ashed teabags wet'!$A$2:$A$2000,0)),"")</f>
        <v>17.513566847558284</v>
      </c>
      <c r="S568" s="223">
        <f t="shared" si="42"/>
        <v>0.35172215096201143</v>
      </c>
      <c r="T568" s="224">
        <f>'WetLitterbags placem_collection'!E129</f>
        <v>42762</v>
      </c>
      <c r="U568" s="224">
        <f>IF('WetLitterbags placem_collection'!G129="","",'WetLitterbags placem_collection'!G129)</f>
        <v>42816</v>
      </c>
      <c r="V568" s="225">
        <f t="shared" si="40"/>
        <v>54</v>
      </c>
      <c r="W568" s="223">
        <f t="shared" si="43"/>
        <v>1.3888</v>
      </c>
      <c r="X568" s="223">
        <f t="shared" si="44"/>
        <v>1.3633738224714187</v>
      </c>
      <c r="Y568">
        <f>IFERROR(INDEX(Rainfall_Wet!$O$2:$O$217,MATCH(B568, Rainfall_Wet!$A$2:$A$217,0)),"")</f>
        <v>206.85140822299999</v>
      </c>
      <c r="Z568" s="228">
        <v>17.96</v>
      </c>
      <c r="AA568" s="228">
        <v>4.9199999999999982</v>
      </c>
      <c r="AB568" s="228">
        <v>77.12</v>
      </c>
      <c r="AC568" s="229" t="s">
        <v>2655</v>
      </c>
      <c r="AD568" s="228">
        <v>8.0220798422868391</v>
      </c>
      <c r="AE568">
        <f>IF('WetLitterbags placem_collection'!AB129="","",'WetLitterbags placem_collection'!AB129)</f>
        <v>5.35</v>
      </c>
      <c r="AF568">
        <f>IF('WetLitterbags placem_collection'!Z129="","",'WetLitterbags placem_collection'!Z129)</f>
        <v>58</v>
      </c>
      <c r="AG568" s="243" t="str">
        <f>IF('WetLitterbags placem_collection'!AA129="","",'WetLitterbags placem_collection'!AA129)</f>
        <v>G</v>
      </c>
      <c r="AH568">
        <f>IF('WetLitterbags placem_collection'!AC129="","",'WetLitterbags placem_collection'!AC129)</f>
        <v>1</v>
      </c>
      <c r="AI568" s="237">
        <f>AVERAGE('WetLitterbags placem_collection'!S129,'WetLitterbags placem_collection'!U129)</f>
        <v>15.8</v>
      </c>
      <c r="AJ568">
        <f>AVERAGE('WetLitterbags placem_collection'!R129,'WetLitterbags placem_collection'!T129)</f>
        <v>31.55</v>
      </c>
      <c r="AK568">
        <f>INDEX(Coordinates!$B$2:$B$197,MATCH(H568,Coordinates!$J$2:$J$197,0))</f>
        <v>-2.3491850219999999</v>
      </c>
      <c r="AL568">
        <f>INDEX(Coordinates!$C$2:$C$197,MATCH(H568,Coordinates!$J$2:$J$197,0))</f>
        <v>34.051264959999997</v>
      </c>
      <c r="AM568" t="str">
        <f>IF(ISNUMBER(SEARCH("C", 'WetLitterbags placem_collection'!$X129)),"YES","NO")</f>
        <v>NO</v>
      </c>
      <c r="AN568" t="str">
        <f>IF(ISNUMBER(SEARCH("H", 'WetLitterbags placem_collection'!$X129)),"YES","NO")</f>
        <v>NO</v>
      </c>
      <c r="AO568" t="str">
        <f>IF(ISNUMBER(SEARCH("R", 'WetLitterbags placem_collection'!$X129)),"YES","NO")</f>
        <v>YES</v>
      </c>
    </row>
    <row r="569" spans="1:41" ht="15" customHeight="1">
      <c r="A569" s="255" t="s">
        <v>2454</v>
      </c>
      <c r="B569" s="260">
        <f>'Dry_Litterbag Placem_Collection'!A130</f>
        <v>128</v>
      </c>
      <c r="C569" s="260" t="str">
        <f>'Dry_Litterbag Placem_Collection'!B130</f>
        <v xml:space="preserve">Mwantimba
</v>
      </c>
      <c r="D569" s="260" t="s">
        <v>2454</v>
      </c>
      <c r="E569" s="260" t="s">
        <v>2644</v>
      </c>
      <c r="F569" s="260">
        <v>4</v>
      </c>
      <c r="G569" s="260" t="s">
        <v>3819</v>
      </c>
      <c r="H569" s="261" t="str">
        <f>'Dry_Litterbag Placem_Collection'!C130</f>
        <v>Wet_Ag4_T8</v>
      </c>
      <c r="I569" s="270" t="s">
        <v>3630</v>
      </c>
      <c r="J569" s="263" t="s">
        <v>1147</v>
      </c>
      <c r="K569" s="221" t="str">
        <f>'WetLitterbags placem_collection'!O130</f>
        <v>G833</v>
      </c>
      <c r="L569" s="223">
        <f>IFERROR(INDEX('Green_rooibos initial weight'!$C$5:$C$2000,MATCH(K569, 'Green_rooibos initial weight'!$A$5:$A$2000,0)),"")</f>
        <v>1.964</v>
      </c>
      <c r="M569" s="223">
        <f>IFERROR(L569-(TBIcalc!$H$9+TBIcalc!$H$10),"")</f>
        <v>1.7141999999999999</v>
      </c>
      <c r="N569" s="385">
        <f>AVERAGE(Ashed_controlls!$K$2:$K$11)</f>
        <v>5.5147656768714146</v>
      </c>
      <c r="O569" s="223">
        <f t="shared" si="41"/>
        <v>1.6196658867670701</v>
      </c>
      <c r="P569" s="223">
        <f>IFERROR(INDEX('Both teabags AfterWet'!$C$3:$C$840,MATCH(K569,'Both teabags AfterWet'!$A$3:$A$840,0)),"")</f>
        <v>0.57199999999999995</v>
      </c>
      <c r="Q569" s="223">
        <f>IFERROR(IF(P569&gt;0,P569-(TBIcalc!$H$9),""),"")</f>
        <v>0.42139999999999994</v>
      </c>
      <c r="R569" s="223">
        <f>IFERROR(INDEX('Ashed teabags wet'!$K$2:$K$2000,MATCH(K569,'Ashed teabags wet'!$A$2:$A$2000,0)),"")</f>
        <v>10.010111223457624</v>
      </c>
      <c r="S569" s="223">
        <f t="shared" si="42"/>
        <v>0.3792173913043495</v>
      </c>
      <c r="T569" s="224">
        <f>'WetLitterbags placem_collection'!E130</f>
        <v>42762</v>
      </c>
      <c r="U569" s="224">
        <f>IF('WetLitterbags placem_collection'!G130="","",'WetLitterbags placem_collection'!G130)</f>
        <v>42816</v>
      </c>
      <c r="V569" s="225">
        <f t="shared" si="40"/>
        <v>54</v>
      </c>
      <c r="W569" s="223">
        <f t="shared" si="43"/>
        <v>1.2927999999999999</v>
      </c>
      <c r="X569" s="223">
        <f t="shared" si="44"/>
        <v>1.2404484954627206</v>
      </c>
      <c r="Y569">
        <f>IFERROR(INDEX(Rainfall_Wet!$O$2:$O$217,MATCH(B569, Rainfall_Wet!$A$2:$A$217,0)),"")</f>
        <v>206.85140822299999</v>
      </c>
      <c r="Z569" s="228">
        <v>17.96</v>
      </c>
      <c r="AA569" s="228">
        <v>4.9199999999999982</v>
      </c>
      <c r="AB569" s="228">
        <v>77.12</v>
      </c>
      <c r="AC569" s="229" t="s">
        <v>2655</v>
      </c>
      <c r="AD569" s="228">
        <v>9.0220798422868391</v>
      </c>
      <c r="AE569">
        <f>IF('WetLitterbags placem_collection'!AB130="","",'WetLitterbags placem_collection'!AB130)</f>
        <v>10.9</v>
      </c>
      <c r="AF569">
        <f>IF('WetLitterbags placem_collection'!Z130="","",'WetLitterbags placem_collection'!Z130)</f>
        <v>44</v>
      </c>
      <c r="AG569" s="243" t="str">
        <f>IF('WetLitterbags placem_collection'!AA130="","",'WetLitterbags placem_collection'!AA130)</f>
        <v>G</v>
      </c>
      <c r="AH569">
        <f>IF('WetLitterbags placem_collection'!AC130="","",'WetLitterbags placem_collection'!AC130)</f>
        <v>0</v>
      </c>
      <c r="AI569" s="237">
        <f>AVERAGE('WetLitterbags placem_collection'!S130,'WetLitterbags placem_collection'!U130)</f>
        <v>8.15</v>
      </c>
      <c r="AJ569">
        <f>AVERAGE('WetLitterbags placem_collection'!R130,'WetLitterbags placem_collection'!T130)</f>
        <v>31.650000000000002</v>
      </c>
      <c r="AK569">
        <f>INDEX(Coordinates!$B$2:$B$197,MATCH(H569,Coordinates!$J$2:$J$197,0))</f>
        <v>-2.3493099960000001</v>
      </c>
      <c r="AL569">
        <f>INDEX(Coordinates!$C$2:$C$197,MATCH(H569,Coordinates!$J$2:$J$197,0))</f>
        <v>34.05141802</v>
      </c>
      <c r="AM569" t="str">
        <f>IF(ISNUMBER(SEARCH("C", 'WetLitterbags placem_collection'!$X130)),"YES","NO")</f>
        <v>NO</v>
      </c>
      <c r="AN569" t="str">
        <f>IF(ISNUMBER(SEARCH("H", 'WetLitterbags placem_collection'!$X130)),"YES","NO")</f>
        <v>NO</v>
      </c>
      <c r="AO569" t="str">
        <f>IF(ISNUMBER(SEARCH("R", 'WetLitterbags placem_collection'!$X130)),"YES","NO")</f>
        <v>YES</v>
      </c>
    </row>
    <row r="570" spans="1:41" ht="15" customHeight="1">
      <c r="A570" s="255" t="s">
        <v>2454</v>
      </c>
      <c r="B570" s="260">
        <f>'Dry_Litterbag Placem_Collection'!A131</f>
        <v>129</v>
      </c>
      <c r="C570" s="260" t="str">
        <f>'Dry_Litterbag Placem_Collection'!B131</f>
        <v xml:space="preserve">Mwantimba
</v>
      </c>
      <c r="D570" s="260" t="s">
        <v>2454</v>
      </c>
      <c r="E570" s="260" t="s">
        <v>20</v>
      </c>
      <c r="F570" s="260">
        <v>1</v>
      </c>
      <c r="G570" s="260" t="s">
        <v>3820</v>
      </c>
      <c r="H570" s="261" t="str">
        <f>'Dry_Litterbag Placem_Collection'!C131</f>
        <v>Wet_P1_T1</v>
      </c>
      <c r="I570" s="270" t="s">
        <v>3630</v>
      </c>
      <c r="J570" s="263" t="s">
        <v>1147</v>
      </c>
      <c r="K570" s="221" t="str">
        <f>'WetLitterbags placem_collection'!O131</f>
        <v>G888</v>
      </c>
      <c r="L570" s="223">
        <f>IFERROR(INDEX('Green_rooibos initial weight'!$C$5:$C$2000,MATCH(K570, 'Green_rooibos initial weight'!$A$5:$A$2000,0)),"")</f>
        <v>2.089</v>
      </c>
      <c r="M570" s="223">
        <f>IFERROR(L570-(TBIcalc!$H$9+TBIcalc!$H$10),"")</f>
        <v>1.8391999999999999</v>
      </c>
      <c r="N570" s="385">
        <f>AVERAGE(Ashed_controlls!$K$2:$K$11)</f>
        <v>5.5147656768714146</v>
      </c>
      <c r="O570" s="223">
        <f t="shared" si="41"/>
        <v>1.7377724296709809</v>
      </c>
      <c r="P570" s="223">
        <f>IFERROR(INDEX('Both teabags AfterWet'!$C$3:$C$840,MATCH(K570,'Both teabags AfterWet'!$A$3:$A$840,0)),"")</f>
        <v>0.59440000000000004</v>
      </c>
      <c r="Q570" s="223">
        <f>IFERROR(IF(P570&gt;0,P570-(TBIcalc!$H$9),""),"")</f>
        <v>0.44380000000000003</v>
      </c>
      <c r="R570" s="223">
        <f>IFERROR(INDEX('Ashed teabags wet'!$K$2:$K$2000,MATCH(K570,'Ashed teabags wet'!$A$2:$A$2000,0)),"")</f>
        <v>15.186104218362484</v>
      </c>
      <c r="S570" s="223">
        <f t="shared" si="42"/>
        <v>0.37640406947890731</v>
      </c>
      <c r="T570" s="224">
        <f>'WetLitterbags placem_collection'!E131</f>
        <v>42762</v>
      </c>
      <c r="U570" s="224">
        <f>IF('WetLitterbags placem_collection'!G131="","",'WetLitterbags placem_collection'!G131)</f>
        <v>42816</v>
      </c>
      <c r="V570" s="225">
        <f t="shared" si="40"/>
        <v>54</v>
      </c>
      <c r="W570" s="223">
        <f t="shared" si="43"/>
        <v>1.3954</v>
      </c>
      <c r="X570" s="223">
        <f t="shared" si="44"/>
        <v>1.3613683601920736</v>
      </c>
      <c r="Y570">
        <f>IFERROR(INDEX(Rainfall_Wet!$O$2:$O$217,MATCH(B570, Rainfall_Wet!$A$2:$A$217,0)),"")</f>
        <v>206.85140822299999</v>
      </c>
      <c r="Z570" s="228">
        <v>31.214836424255054</v>
      </c>
      <c r="AA570" s="228">
        <v>11.377370285476141</v>
      </c>
      <c r="AB570" s="228">
        <v>57.407793290268799</v>
      </c>
      <c r="AC570" s="229" t="s">
        <v>2654</v>
      </c>
      <c r="AD570" s="228">
        <v>1.7337604731394776</v>
      </c>
      <c r="AE570">
        <f>IF('WetLitterbags placem_collection'!AB131="","",'WetLitterbags placem_collection'!AB131)</f>
        <v>2.4</v>
      </c>
      <c r="AF570">
        <f>IF('WetLitterbags placem_collection'!Z131="","",'WetLitterbags placem_collection'!Z131)</f>
        <v>2.4</v>
      </c>
      <c r="AG570" s="243" t="str">
        <f>IF('WetLitterbags placem_collection'!AA131="","",'WetLitterbags placem_collection'!AA131)</f>
        <v>O</v>
      </c>
      <c r="AH570">
        <f>IF('WetLitterbags placem_collection'!AC131="","",'WetLitterbags placem_collection'!AC131)</f>
        <v>1</v>
      </c>
      <c r="AI570" s="237">
        <f>AVERAGE('WetLitterbags placem_collection'!S131,'WetLitterbags placem_collection'!U131)</f>
        <v>15.05</v>
      </c>
      <c r="AJ570">
        <f>AVERAGE('WetLitterbags placem_collection'!R131,'WetLitterbags placem_collection'!T131)</f>
        <v>28</v>
      </c>
      <c r="AK570">
        <f>INDEX(Coordinates!$B$2:$B$197,MATCH(H570,Coordinates!$J$2:$J$197,0))</f>
        <v>-2.3503360249999998</v>
      </c>
      <c r="AL570">
        <f>INDEX(Coordinates!$C$2:$C$197,MATCH(H570,Coordinates!$J$2:$J$197,0))</f>
        <v>34.049662009999999</v>
      </c>
      <c r="AM570" t="str">
        <f>IF(ISNUMBER(SEARCH("C", 'WetLitterbags placem_collection'!$X131)),"YES","NO")</f>
        <v>NO</v>
      </c>
      <c r="AN570" t="str">
        <f>IF(ISNUMBER(SEARCH("H", 'WetLitterbags placem_collection'!$X131)),"YES","NO")</f>
        <v>NO</v>
      </c>
      <c r="AO570" t="str">
        <f>IF(ISNUMBER(SEARCH("R", 'WetLitterbags placem_collection'!$X131)),"YES","NO")</f>
        <v>YES</v>
      </c>
    </row>
    <row r="571" spans="1:41" ht="15" customHeight="1">
      <c r="A571" s="255" t="s">
        <v>2454</v>
      </c>
      <c r="B571" s="260">
        <f>'Dry_Litterbag Placem_Collection'!A132</f>
        <v>130</v>
      </c>
      <c r="C571" s="260" t="str">
        <f>'Dry_Litterbag Placem_Collection'!B132</f>
        <v xml:space="preserve">Mwantimba
</v>
      </c>
      <c r="D571" s="260" t="s">
        <v>2454</v>
      </c>
      <c r="E571" s="260" t="s">
        <v>20</v>
      </c>
      <c r="F571" s="260">
        <v>1</v>
      </c>
      <c r="G571" s="260" t="s">
        <v>3820</v>
      </c>
      <c r="H571" s="261" t="str">
        <f>'Dry_Litterbag Placem_Collection'!C132</f>
        <v>Wet_P1_T2</v>
      </c>
      <c r="I571" s="270" t="s">
        <v>3630</v>
      </c>
      <c r="J571" s="263" t="s">
        <v>1147</v>
      </c>
      <c r="K571" s="221" t="str">
        <f>'WetLitterbags placem_collection'!O132</f>
        <v>G708</v>
      </c>
      <c r="L571" s="223">
        <f>IFERROR(INDEX('Green_rooibos initial weight'!$C$5:$C$2000,MATCH(K571, 'Green_rooibos initial weight'!$A$5:$A$2000,0)),"")</f>
        <v>2.0030000000000001</v>
      </c>
      <c r="M571" s="223">
        <f>IFERROR(L571-(TBIcalc!$H$9+TBIcalc!$H$10),"")</f>
        <v>1.7532000000000001</v>
      </c>
      <c r="N571" s="385">
        <f>AVERAGE(Ashed_controlls!$K$2:$K$11)</f>
        <v>5.5147656768714146</v>
      </c>
      <c r="O571" s="223">
        <f t="shared" si="41"/>
        <v>1.6565151281530905</v>
      </c>
      <c r="P571" s="223">
        <f>IFERROR(INDEX('Both teabags AfterWet'!$C$3:$C$840,MATCH(K571,'Both teabags AfterWet'!$A$3:$A$840,0)),"")</f>
        <v>0.56599999999999995</v>
      </c>
      <c r="Q571" s="223">
        <f>IFERROR(IF(P571&gt;0,P571-(TBIcalc!$H$9),""),"")</f>
        <v>0.41539999999999994</v>
      </c>
      <c r="R571" s="223">
        <f>IFERROR(INDEX('Ashed teabags wet'!$K$2:$K$2000,MATCH(K571,'Ashed teabags wet'!$A$2:$A$2000,0)),"")</f>
        <v>17.737917289487331</v>
      </c>
      <c r="S571" s="223">
        <f t="shared" si="42"/>
        <v>0.3417166915794696</v>
      </c>
      <c r="T571" s="224">
        <f>'WetLitterbags placem_collection'!E132</f>
        <v>42762</v>
      </c>
      <c r="U571" s="224">
        <f>IF('WetLitterbags placem_collection'!G132="","",'WetLitterbags placem_collection'!G132)</f>
        <v>42816</v>
      </c>
      <c r="V571" s="225">
        <f t="shared" si="40"/>
        <v>54</v>
      </c>
      <c r="W571" s="223">
        <f t="shared" si="43"/>
        <v>1.3378000000000001</v>
      </c>
      <c r="X571" s="223">
        <f t="shared" si="44"/>
        <v>1.3147984365736209</v>
      </c>
      <c r="Y571">
        <f>IFERROR(INDEX(Rainfall_Wet!$O$2:$O$217,MATCH(B571, Rainfall_Wet!$A$2:$A$217,0)),"")</f>
        <v>206.85140822299999</v>
      </c>
      <c r="Z571" s="228">
        <v>31.214836424255054</v>
      </c>
      <c r="AA571" s="228">
        <v>11.377370285476141</v>
      </c>
      <c r="AB571" s="228">
        <v>57.407793290268799</v>
      </c>
      <c r="AC571" s="229" t="s">
        <v>2654</v>
      </c>
      <c r="AD571" s="228">
        <v>2.7337604731394798</v>
      </c>
      <c r="AE571">
        <f>IF('WetLitterbags placem_collection'!AB132="","",'WetLitterbags placem_collection'!AB132)</f>
        <v>2.1</v>
      </c>
      <c r="AF571">
        <f>IF('WetLitterbags placem_collection'!Z132="","",'WetLitterbags placem_collection'!Z132)</f>
        <v>3.5</v>
      </c>
      <c r="AG571" s="243" t="str">
        <f>IF('WetLitterbags placem_collection'!AA132="","",'WetLitterbags placem_collection'!AA132)</f>
        <v>O</v>
      </c>
      <c r="AH571">
        <f>IF('WetLitterbags placem_collection'!AC132="","",'WetLitterbags placem_collection'!AC132)</f>
        <v>0</v>
      </c>
      <c r="AI571" s="237">
        <f>AVERAGE('WetLitterbags placem_collection'!S132,'WetLitterbags placem_collection'!U132)</f>
        <v>16.3</v>
      </c>
      <c r="AJ571">
        <f>AVERAGE('WetLitterbags placem_collection'!R132,'WetLitterbags placem_collection'!T132)</f>
        <v>28.5</v>
      </c>
      <c r="AK571">
        <f>INDEX(Coordinates!$B$2:$B$197,MATCH(H571,Coordinates!$J$2:$J$197,0))</f>
        <v>-2.3503729889999998</v>
      </c>
      <c r="AL571">
        <f>INDEX(Coordinates!$C$2:$C$197,MATCH(H571,Coordinates!$J$2:$J$197,0))</f>
        <v>34.049626969999998</v>
      </c>
      <c r="AM571" t="str">
        <f>IF(ISNUMBER(SEARCH("C", 'WetLitterbags placem_collection'!$X132)),"YES","NO")</f>
        <v>NO</v>
      </c>
      <c r="AN571" t="str">
        <f>IF(ISNUMBER(SEARCH("H", 'WetLitterbags placem_collection'!$X132)),"YES","NO")</f>
        <v>NO</v>
      </c>
      <c r="AO571" t="str">
        <f>IF(ISNUMBER(SEARCH("R", 'WetLitterbags placem_collection'!$X132)),"YES","NO")</f>
        <v>NO</v>
      </c>
    </row>
    <row r="572" spans="1:41" ht="15" customHeight="1">
      <c r="A572" s="255" t="s">
        <v>2454</v>
      </c>
      <c r="B572" s="260">
        <f>'Dry_Litterbag Placem_Collection'!A133</f>
        <v>131</v>
      </c>
      <c r="C572" s="260" t="str">
        <f>'Dry_Litterbag Placem_Collection'!B133</f>
        <v xml:space="preserve">Mwantimba
</v>
      </c>
      <c r="D572" s="260" t="s">
        <v>2454</v>
      </c>
      <c r="E572" s="260" t="s">
        <v>20</v>
      </c>
      <c r="F572" s="260">
        <v>1</v>
      </c>
      <c r="G572" s="260" t="s">
        <v>3820</v>
      </c>
      <c r="H572" s="261" t="str">
        <f>'Dry_Litterbag Placem_Collection'!C133</f>
        <v>Wet_P1_T3</v>
      </c>
      <c r="I572" s="270" t="s">
        <v>3630</v>
      </c>
      <c r="J572" s="263" t="s">
        <v>1147</v>
      </c>
      <c r="K572" s="221" t="str">
        <f>'WetLitterbags placem_collection'!O133</f>
        <v>G768</v>
      </c>
      <c r="L572" s="223">
        <f>IFERROR(INDEX('Green_rooibos initial weight'!$C$5:$C$2000,MATCH(K572, 'Green_rooibos initial weight'!$A$5:$A$2000,0)),"")</f>
        <v>2.0089999999999999</v>
      </c>
      <c r="M572" s="223">
        <f>IFERROR(L572-(TBIcalc!$H$9+TBIcalc!$H$10),"")</f>
        <v>1.7591999999999999</v>
      </c>
      <c r="N572" s="385">
        <f>AVERAGE(Ashed_controlls!$K$2:$K$11)</f>
        <v>5.5147656768714146</v>
      </c>
      <c r="O572" s="223">
        <f t="shared" si="41"/>
        <v>1.662184242212478</v>
      </c>
      <c r="P572" s="223">
        <f>IFERROR(INDEX('Both teabags AfterWet'!$C$3:$C$840,MATCH(K572,'Both teabags AfterWet'!$A$3:$A$840,0)),"")</f>
        <v>0.62819999999999998</v>
      </c>
      <c r="Q572" s="223">
        <f>IFERROR(IF(P572&gt;0,P572-(TBIcalc!$H$9),""),"")</f>
        <v>0.47759999999999997</v>
      </c>
      <c r="R572" s="223">
        <f>IFERROR(INDEX('Ashed teabags wet'!$K$2:$K$2000,MATCH(K572,'Ashed teabags wet'!$A$2:$A$2000,0)),"")</f>
        <v>13.671875000000405</v>
      </c>
      <c r="S572" s="223">
        <f t="shared" si="42"/>
        <v>0.41230312499999805</v>
      </c>
      <c r="T572" s="224">
        <f>'WetLitterbags placem_collection'!E133</f>
        <v>42762</v>
      </c>
      <c r="U572" s="224">
        <f>IF('WetLitterbags placem_collection'!G133="","",'WetLitterbags placem_collection'!G133)</f>
        <v>42816</v>
      </c>
      <c r="V572" s="225">
        <f t="shared" si="40"/>
        <v>54</v>
      </c>
      <c r="W572" s="223">
        <f t="shared" si="43"/>
        <v>1.2815999999999999</v>
      </c>
      <c r="X572" s="223">
        <f t="shared" si="44"/>
        <v>1.24988111721248</v>
      </c>
      <c r="Y572">
        <f>IFERROR(INDEX(Rainfall_Wet!$O$2:$O$217,MATCH(B572, Rainfall_Wet!$A$2:$A$217,0)),"")</f>
        <v>206.85140822299999</v>
      </c>
      <c r="Z572" s="228">
        <v>31.214836424255054</v>
      </c>
      <c r="AA572" s="228">
        <v>11.377370285476141</v>
      </c>
      <c r="AB572" s="228">
        <v>57.407793290268799</v>
      </c>
      <c r="AC572" s="229" t="s">
        <v>2654</v>
      </c>
      <c r="AD572" s="228">
        <v>3.7337604731394798</v>
      </c>
      <c r="AE572">
        <f>IF('WetLitterbags placem_collection'!AB133="","",'WetLitterbags placem_collection'!AB133)</f>
        <v>4.5</v>
      </c>
      <c r="AF572">
        <f>IF('WetLitterbags placem_collection'!Z133="","",'WetLitterbags placem_collection'!Z133)</f>
        <v>7.5</v>
      </c>
      <c r="AG572" s="243" t="str">
        <f>IF('WetLitterbags placem_collection'!AA133="","",'WetLitterbags placem_collection'!AA133)</f>
        <v>O</v>
      </c>
      <c r="AH572">
        <f>IF('WetLitterbags placem_collection'!AC133="","",'WetLitterbags placem_collection'!AC133)</f>
        <v>0</v>
      </c>
      <c r="AI572" s="237">
        <f>AVERAGE('WetLitterbags placem_collection'!S133,'WetLitterbags placem_collection'!U133)</f>
        <v>9.3000000000000007</v>
      </c>
      <c r="AJ572">
        <f>AVERAGE('WetLitterbags placem_collection'!R133,'WetLitterbags placem_collection'!T133)</f>
        <v>28.950000000000003</v>
      </c>
      <c r="AK572">
        <f>INDEX(Coordinates!$B$2:$B$197,MATCH(H572,Coordinates!$J$2:$J$197,0))</f>
        <v>-2.3503259660000002</v>
      </c>
      <c r="AL572">
        <f>INDEX(Coordinates!$C$2:$C$197,MATCH(H572,Coordinates!$J$2:$J$197,0))</f>
        <v>34.049616999999998</v>
      </c>
      <c r="AM572" t="str">
        <f>IF(ISNUMBER(SEARCH("C", 'WetLitterbags placem_collection'!$X133)),"YES","NO")</f>
        <v>NO</v>
      </c>
      <c r="AN572" t="str">
        <f>IF(ISNUMBER(SEARCH("H", 'WetLitterbags placem_collection'!$X133)),"YES","NO")</f>
        <v>NO</v>
      </c>
      <c r="AO572" t="str">
        <f>IF(ISNUMBER(SEARCH("R", 'WetLitterbags placem_collection'!$X133)),"YES","NO")</f>
        <v>NO</v>
      </c>
    </row>
    <row r="573" spans="1:41" ht="15" customHeight="1">
      <c r="A573" s="255" t="s">
        <v>2454</v>
      </c>
      <c r="B573" s="260">
        <f>'Dry_Litterbag Placem_Collection'!A134</f>
        <v>132</v>
      </c>
      <c r="C573" s="260" t="str">
        <f>'Dry_Litterbag Placem_Collection'!B134</f>
        <v xml:space="preserve">Mwantimba
</v>
      </c>
      <c r="D573" s="260" t="s">
        <v>2454</v>
      </c>
      <c r="E573" s="260" t="s">
        <v>20</v>
      </c>
      <c r="F573" s="260">
        <v>1</v>
      </c>
      <c r="G573" s="260" t="s">
        <v>3820</v>
      </c>
      <c r="H573" s="261" t="str">
        <f>'Dry_Litterbag Placem_Collection'!C134</f>
        <v>Wet_P1_T4</v>
      </c>
      <c r="I573" s="270" t="s">
        <v>3630</v>
      </c>
      <c r="J573" s="263" t="s">
        <v>1147</v>
      </c>
      <c r="K573" s="221" t="str">
        <f>'WetLitterbags placem_collection'!O134</f>
        <v>G779</v>
      </c>
      <c r="L573" s="223">
        <f>IFERROR(INDEX('Green_rooibos initial weight'!$C$5:$C$2000,MATCH(K573, 'Green_rooibos initial weight'!$A$5:$A$2000,0)),"")</f>
        <v>2.0110000000000001</v>
      </c>
      <c r="M573" s="223">
        <f>IFERROR(L573-(TBIcalc!$H$9+TBIcalc!$H$10),"")</f>
        <v>1.7612000000000001</v>
      </c>
      <c r="N573" s="385">
        <f>AVERAGE(Ashed_controlls!$K$2:$K$11)</f>
        <v>5.5147656768714146</v>
      </c>
      <c r="O573" s="223">
        <f t="shared" si="41"/>
        <v>1.6640739468989407</v>
      </c>
      <c r="P573" s="223">
        <f>IFERROR(INDEX('Both teabags AfterWet'!$C$3:$C$840,MATCH(K573,'Both teabags AfterWet'!$A$3:$A$840,0)),"")</f>
        <v>0.63490000000000002</v>
      </c>
      <c r="Q573" s="223">
        <f>IFERROR(IF(P573&gt;0,P573-(TBIcalc!$H$9),""),"")</f>
        <v>0.48430000000000001</v>
      </c>
      <c r="R573" s="223">
        <f>IFERROR(INDEX('Ashed teabags wet'!$K$2:$K$2000,MATCH(K573,'Ashed teabags wet'!$A$2:$A$2000,0)),"")</f>
        <v>13.853028798411678</v>
      </c>
      <c r="S573" s="223">
        <f t="shared" si="42"/>
        <v>0.41720978152929222</v>
      </c>
      <c r="T573" s="224">
        <f>'WetLitterbags placem_collection'!E134</f>
        <v>42762</v>
      </c>
      <c r="U573" s="224">
        <f>IF('WetLitterbags placem_collection'!G134="","",'WetLitterbags placem_collection'!G134)</f>
        <v>42816</v>
      </c>
      <c r="V573" s="225">
        <f t="shared" si="40"/>
        <v>54</v>
      </c>
      <c r="W573" s="223">
        <f t="shared" si="43"/>
        <v>1.2769000000000001</v>
      </c>
      <c r="X573" s="223">
        <f t="shared" si="44"/>
        <v>1.2468641653696486</v>
      </c>
      <c r="Y573">
        <f>IFERROR(INDEX(Rainfall_Wet!$O$2:$O$217,MATCH(B573, Rainfall_Wet!$A$2:$A$217,0)),"")</f>
        <v>206.85140822299999</v>
      </c>
      <c r="Z573" s="228">
        <v>31.214836424255054</v>
      </c>
      <c r="AA573" s="228">
        <v>11.377370285476141</v>
      </c>
      <c r="AB573" s="228">
        <v>57.407793290268799</v>
      </c>
      <c r="AC573" s="229" t="s">
        <v>2654</v>
      </c>
      <c r="AD573" s="228">
        <v>4.7337604731394798</v>
      </c>
      <c r="AE573">
        <f>IF('WetLitterbags placem_collection'!AB134="","",'WetLitterbags placem_collection'!AB134)</f>
        <v>0.7</v>
      </c>
      <c r="AF573">
        <f>IF('WetLitterbags placem_collection'!Z134="","",'WetLitterbags placem_collection'!Z134)</f>
        <v>9.8000000000000007</v>
      </c>
      <c r="AG573" s="243" t="str">
        <f>IF('WetLitterbags placem_collection'!AA134="","",'WetLitterbags placem_collection'!AA134)</f>
        <v>G</v>
      </c>
      <c r="AH573">
        <f>IF('WetLitterbags placem_collection'!AC134="","",'WetLitterbags placem_collection'!AC134)</f>
        <v>1</v>
      </c>
      <c r="AI573" s="237">
        <f>AVERAGE('WetLitterbags placem_collection'!S134,'WetLitterbags placem_collection'!U134)</f>
        <v>18.55</v>
      </c>
      <c r="AJ573">
        <f>AVERAGE('WetLitterbags placem_collection'!R134,'WetLitterbags placem_collection'!T134)</f>
        <v>28.95</v>
      </c>
      <c r="AK573">
        <f>INDEX(Coordinates!$B$2:$B$197,MATCH(H573,Coordinates!$J$2:$J$197,0))</f>
        <v>-2.3504800260000001</v>
      </c>
      <c r="AL573">
        <f>INDEX(Coordinates!$C$2:$C$197,MATCH(H573,Coordinates!$J$2:$J$197,0))</f>
        <v>34.049551030000003</v>
      </c>
      <c r="AM573" t="str">
        <f>IF(ISNUMBER(SEARCH("C", 'WetLitterbags placem_collection'!$X134)),"YES","NO")</f>
        <v>NO</v>
      </c>
      <c r="AN573" t="str">
        <f>IF(ISNUMBER(SEARCH("H", 'WetLitterbags placem_collection'!$X134)),"YES","NO")</f>
        <v>NO</v>
      </c>
      <c r="AO573" t="str">
        <f>IF(ISNUMBER(SEARCH("R", 'WetLitterbags placem_collection'!$X134)),"YES","NO")</f>
        <v>NO</v>
      </c>
    </row>
    <row r="574" spans="1:41" ht="15" customHeight="1">
      <c r="A574" s="255" t="s">
        <v>2454</v>
      </c>
      <c r="B574" s="260">
        <f>'Dry_Litterbag Placem_Collection'!A135</f>
        <v>133</v>
      </c>
      <c r="C574" s="260" t="str">
        <f>'Dry_Litterbag Placem_Collection'!B135</f>
        <v xml:space="preserve">Mwantimba
</v>
      </c>
      <c r="D574" s="260" t="s">
        <v>2454</v>
      </c>
      <c r="E574" s="260" t="s">
        <v>20</v>
      </c>
      <c r="F574" s="260">
        <v>1</v>
      </c>
      <c r="G574" s="260" t="s">
        <v>3820</v>
      </c>
      <c r="H574" s="261" t="str">
        <f>'Dry_Litterbag Placem_Collection'!C135</f>
        <v>Wet_P1_T5</v>
      </c>
      <c r="I574" s="270" t="s">
        <v>3630</v>
      </c>
      <c r="J574" s="263" t="s">
        <v>1147</v>
      </c>
      <c r="K574" s="221" t="str">
        <f>'WetLitterbags placem_collection'!O135</f>
        <v>G799</v>
      </c>
      <c r="L574" s="223">
        <f>IFERROR(INDEX('Green_rooibos initial weight'!$C$5:$C$2000,MATCH(K574, 'Green_rooibos initial weight'!$A$5:$A$2000,0)),"")</f>
        <v>2.093</v>
      </c>
      <c r="M574" s="223">
        <f>IFERROR(L574-(TBIcalc!$H$9+TBIcalc!$H$10),"")</f>
        <v>1.8431999999999999</v>
      </c>
      <c r="N574" s="385">
        <f>AVERAGE(Ashed_controlls!$K$2:$K$11)</f>
        <v>5.5147656768714146</v>
      </c>
      <c r="O574" s="223">
        <f t="shared" si="41"/>
        <v>1.741551839043906</v>
      </c>
      <c r="P574" s="223">
        <f>IFERROR(INDEX('Both teabags AfterWet'!$C$3:$C$840,MATCH(K574,'Both teabags AfterWet'!$A$3:$A$840,0)),"")</f>
        <v>0.63380000000000003</v>
      </c>
      <c r="Q574" s="223">
        <f>IFERROR(IF(P574&gt;0,P574-(TBIcalc!$H$9),""),"")</f>
        <v>0.48320000000000002</v>
      </c>
      <c r="R574" s="223">
        <f>IFERROR(INDEX('Ashed teabags wet'!$K$2:$K$2000,MATCH(K574,'Ashed teabags wet'!$A$2:$A$2000,0)),"")</f>
        <v>14.024691358025066</v>
      </c>
      <c r="S574" s="223">
        <f t="shared" si="42"/>
        <v>0.41543269135802291</v>
      </c>
      <c r="T574" s="224">
        <f>'WetLitterbags placem_collection'!E135</f>
        <v>42762</v>
      </c>
      <c r="U574" s="224">
        <f>IF('WetLitterbags placem_collection'!G135="","",'WetLitterbags placem_collection'!G135)</f>
        <v>42816</v>
      </c>
      <c r="V574" s="225">
        <f t="shared" si="40"/>
        <v>54</v>
      </c>
      <c r="W574" s="223">
        <f t="shared" si="43"/>
        <v>1.3599999999999999</v>
      </c>
      <c r="X574" s="223">
        <f t="shared" si="44"/>
        <v>1.3261191476858831</v>
      </c>
      <c r="Y574">
        <f>IFERROR(INDEX(Rainfall_Wet!$O$2:$O$217,MATCH(B574, Rainfall_Wet!$A$2:$A$217,0)),"")</f>
        <v>206.85140822299999</v>
      </c>
      <c r="Z574" s="228">
        <v>31.214836424255054</v>
      </c>
      <c r="AA574" s="228">
        <v>11.377370285476141</v>
      </c>
      <c r="AB574" s="228">
        <v>57.407793290268799</v>
      </c>
      <c r="AC574" s="229" t="s">
        <v>2654</v>
      </c>
      <c r="AD574" s="228">
        <v>5.7337604731394798</v>
      </c>
      <c r="AE574">
        <f>IF('WetLitterbags placem_collection'!AB135="","",'WetLitterbags placem_collection'!AB135)</f>
        <v>2.2000000000000002</v>
      </c>
      <c r="AF574">
        <f>IF('WetLitterbags placem_collection'!Z135="","",'WetLitterbags placem_collection'!Z135)</f>
        <v>10</v>
      </c>
      <c r="AG574" s="243" t="str">
        <f>IF('WetLitterbags placem_collection'!AA135="","",'WetLitterbags placem_collection'!AA135)</f>
        <v>O</v>
      </c>
      <c r="AH574">
        <f>IF('WetLitterbags placem_collection'!AC135="","",'WetLitterbags placem_collection'!AC135)</f>
        <v>1</v>
      </c>
      <c r="AI574" s="237">
        <f>AVERAGE('WetLitterbags placem_collection'!S135,'WetLitterbags placem_collection'!U135)</f>
        <v>13.399999999999999</v>
      </c>
      <c r="AJ574">
        <f>AVERAGE('WetLitterbags placem_collection'!R135,'WetLitterbags placem_collection'!T135)</f>
        <v>31.349999999999998</v>
      </c>
      <c r="AK574">
        <f>INDEX(Coordinates!$B$2:$B$197,MATCH(H574,Coordinates!$J$2:$J$197,0))</f>
        <v>-2.350474996</v>
      </c>
      <c r="AL574">
        <f>INDEX(Coordinates!$C$2:$C$197,MATCH(H574,Coordinates!$J$2:$J$197,0))</f>
        <v>34.049801979999998</v>
      </c>
      <c r="AM574" t="str">
        <f>IF(ISNUMBER(SEARCH("C", 'WetLitterbags placem_collection'!$X135)),"YES","NO")</f>
        <v>NO</v>
      </c>
      <c r="AN574" t="str">
        <f>IF(ISNUMBER(SEARCH("H", 'WetLitterbags placem_collection'!$X135)),"YES","NO")</f>
        <v>NO</v>
      </c>
      <c r="AO574" t="str">
        <f>IF(ISNUMBER(SEARCH("R", 'WetLitterbags placem_collection'!$X135)),"YES","NO")</f>
        <v>NO</v>
      </c>
    </row>
    <row r="575" spans="1:41" ht="15" customHeight="1">
      <c r="A575" s="255" t="s">
        <v>2454</v>
      </c>
      <c r="B575" s="260">
        <f>'Dry_Litterbag Placem_Collection'!A136</f>
        <v>134</v>
      </c>
      <c r="C575" s="260" t="str">
        <f>'Dry_Litterbag Placem_Collection'!B136</f>
        <v xml:space="preserve">Mwantimba
</v>
      </c>
      <c r="D575" s="260" t="s">
        <v>2454</v>
      </c>
      <c r="E575" s="260" t="s">
        <v>20</v>
      </c>
      <c r="F575" s="260">
        <v>1</v>
      </c>
      <c r="G575" s="260" t="s">
        <v>3820</v>
      </c>
      <c r="H575" s="261" t="str">
        <f>'Dry_Litterbag Placem_Collection'!C136</f>
        <v>Wet_P1_T6</v>
      </c>
      <c r="I575" s="270" t="s">
        <v>3630</v>
      </c>
      <c r="J575" s="263" t="s">
        <v>1147</v>
      </c>
      <c r="K575" s="221" t="str">
        <f>'WetLitterbags placem_collection'!O136</f>
        <v>G820</v>
      </c>
      <c r="L575" s="223">
        <f>IFERROR(INDEX('Green_rooibos initial weight'!$C$5:$C$2000,MATCH(K575, 'Green_rooibos initial weight'!$A$5:$A$2000,0)),"")</f>
        <v>1.927</v>
      </c>
      <c r="M575" s="223">
        <f>IFERROR(L575-(TBIcalc!$H$9+TBIcalc!$H$10),"")</f>
        <v>1.6772</v>
      </c>
      <c r="N575" s="385">
        <f>AVERAGE(Ashed_controlls!$K$2:$K$11)</f>
        <v>5.5147656768714146</v>
      </c>
      <c r="O575" s="223">
        <f t="shared" si="41"/>
        <v>1.5847063500675127</v>
      </c>
      <c r="P575" s="223">
        <f>IFERROR(INDEX('Both teabags AfterWet'!$C$3:$C$840,MATCH(K575,'Both teabags AfterWet'!$A$3:$A$840,0)),"")</f>
        <v>0.53400000000000003</v>
      </c>
      <c r="Q575" s="223">
        <f>IFERROR(IF(P575&gt;0,P575-(TBIcalc!$H$9),""),"")</f>
        <v>0.38340000000000002</v>
      </c>
      <c r="R575" s="223">
        <f>IFERROR(INDEX('Ashed teabags wet'!$K$2:$K$2000,MATCH(K575,'Ashed teabags wet'!$A$2:$A$2000,0)),"")</f>
        <v>12.606303151575968</v>
      </c>
      <c r="S575" s="223">
        <f t="shared" si="42"/>
        <v>0.33506743371685777</v>
      </c>
      <c r="T575" s="224">
        <f>'WetLitterbags placem_collection'!E136</f>
        <v>42762</v>
      </c>
      <c r="U575" s="224">
        <f>IF('WetLitterbags placem_collection'!G136="","",'WetLitterbags placem_collection'!G136)</f>
        <v>42816</v>
      </c>
      <c r="V575" s="225">
        <f t="shared" si="40"/>
        <v>54</v>
      </c>
      <c r="W575" s="223">
        <f t="shared" si="43"/>
        <v>1.2938000000000001</v>
      </c>
      <c r="X575" s="223">
        <f t="shared" si="44"/>
        <v>1.2496389163506549</v>
      </c>
      <c r="Y575">
        <f>IFERROR(INDEX(Rainfall_Wet!$O$2:$O$217,MATCH(B575, Rainfall_Wet!$A$2:$A$217,0)),"")</f>
        <v>206.85140822299999</v>
      </c>
      <c r="Z575" s="228">
        <v>31.214836424255054</v>
      </c>
      <c r="AA575" s="228">
        <v>11.377370285476141</v>
      </c>
      <c r="AB575" s="228">
        <v>57.407793290268799</v>
      </c>
      <c r="AC575" s="229" t="s">
        <v>2654</v>
      </c>
      <c r="AD575" s="228">
        <v>6.7337604731394798</v>
      </c>
      <c r="AE575">
        <f>IF('WetLitterbags placem_collection'!AB136="","",'WetLitterbags placem_collection'!AB136)</f>
        <v>1.1000000000000001</v>
      </c>
      <c r="AF575">
        <f>IF('WetLitterbags placem_collection'!Z136="","",'WetLitterbags placem_collection'!Z136)</f>
        <v>15.4</v>
      </c>
      <c r="AG575" s="243" t="str">
        <f>IF('WetLitterbags placem_collection'!AA136="","",'WetLitterbags placem_collection'!AA136)</f>
        <v>O</v>
      </c>
      <c r="AH575">
        <f>IF('WetLitterbags placem_collection'!AC136="","",'WetLitterbags placem_collection'!AC136)</f>
        <v>1</v>
      </c>
      <c r="AI575" s="237">
        <f>AVERAGE('WetLitterbags placem_collection'!S136,'WetLitterbags placem_collection'!U136)</f>
        <v>12.7</v>
      </c>
      <c r="AJ575">
        <f>AVERAGE('WetLitterbags placem_collection'!R136,'WetLitterbags placem_collection'!T136)</f>
        <v>30.15</v>
      </c>
      <c r="AK575">
        <f>INDEX(Coordinates!$B$2:$B$197,MATCH(H575,Coordinates!$J$2:$J$197,0))</f>
        <v>-2.3503559730000001</v>
      </c>
      <c r="AL575">
        <f>INDEX(Coordinates!$C$2:$C$197,MATCH(H575,Coordinates!$J$2:$J$197,0))</f>
        <v>34.049800980000001</v>
      </c>
      <c r="AM575" t="str">
        <f>IF(ISNUMBER(SEARCH("C", 'WetLitterbags placem_collection'!$X136)),"YES","NO")</f>
        <v>NO</v>
      </c>
      <c r="AN575" t="str">
        <f>IF(ISNUMBER(SEARCH("H", 'WetLitterbags placem_collection'!$X136)),"YES","NO")</f>
        <v>NO</v>
      </c>
      <c r="AO575" t="str">
        <f>IF(ISNUMBER(SEARCH("R", 'WetLitterbags placem_collection'!$X136)),"YES","NO")</f>
        <v>NO</v>
      </c>
    </row>
    <row r="576" spans="1:41" ht="15" customHeight="1">
      <c r="A576" s="255" t="s">
        <v>2454</v>
      </c>
      <c r="B576" s="260">
        <f>'Dry_Litterbag Placem_Collection'!A137</f>
        <v>135</v>
      </c>
      <c r="C576" s="260" t="str">
        <f>'Dry_Litterbag Placem_Collection'!B137</f>
        <v xml:space="preserve">Mwantimba
</v>
      </c>
      <c r="D576" s="260" t="s">
        <v>2454</v>
      </c>
      <c r="E576" s="260" t="s">
        <v>20</v>
      </c>
      <c r="F576" s="260">
        <v>1</v>
      </c>
      <c r="G576" s="260" t="s">
        <v>3820</v>
      </c>
      <c r="H576" s="261" t="str">
        <f>'Dry_Litterbag Placem_Collection'!C137</f>
        <v>Wet_P1_T7</v>
      </c>
      <c r="I576" s="270" t="s">
        <v>3630</v>
      </c>
      <c r="J576" s="263" t="s">
        <v>1147</v>
      </c>
      <c r="K576" s="221" t="str">
        <f>'WetLitterbags placem_collection'!O137</f>
        <v>G842</v>
      </c>
      <c r="L576" s="223">
        <f>IFERROR(INDEX('Green_rooibos initial weight'!$C$5:$C$2000,MATCH(K576, 'Green_rooibos initial weight'!$A$5:$A$2000,0)),"")</f>
        <v>1.9670000000000001</v>
      </c>
      <c r="M576" s="223">
        <f>IFERROR(L576-(TBIcalc!$H$9+TBIcalc!$H$10),"")</f>
        <v>1.7172000000000001</v>
      </c>
      <c r="N576" s="385">
        <f>AVERAGE(Ashed_controlls!$K$2:$K$11)</f>
        <v>5.5147656768714146</v>
      </c>
      <c r="O576" s="223">
        <f t="shared" si="41"/>
        <v>1.6225004437967641</v>
      </c>
      <c r="P576" s="223">
        <f>IFERROR(INDEX('Both teabags AfterWet'!$C$3:$C$840,MATCH(K576,'Both teabags AfterWet'!$A$3:$A$840,0)),"")</f>
        <v>0.56399999999999995</v>
      </c>
      <c r="Q576" s="223">
        <f>IFERROR(IF(P576&gt;0,P576-(TBIcalc!$H$9),""),"")</f>
        <v>0.41339999999999993</v>
      </c>
      <c r="R576" s="223">
        <f>IFERROR(INDEX('Ashed teabags wet'!$K$2:$K$2000,MATCH(K576,'Ashed teabags wet'!$A$2:$A$2000,0)),"")</f>
        <v>14.385614385613385</v>
      </c>
      <c r="S576" s="223">
        <f t="shared" si="42"/>
        <v>0.3539298701298742</v>
      </c>
      <c r="T576" s="224">
        <f>'WetLitterbags placem_collection'!E137</f>
        <v>42762</v>
      </c>
      <c r="U576" s="224">
        <f>IF('WetLitterbags placem_collection'!G137="","",'WetLitterbags placem_collection'!G137)</f>
        <v>42816</v>
      </c>
      <c r="V576" s="225">
        <f t="shared" si="40"/>
        <v>54</v>
      </c>
      <c r="W576" s="223">
        <f t="shared" si="43"/>
        <v>1.3038000000000001</v>
      </c>
      <c r="X576" s="223">
        <f t="shared" si="44"/>
        <v>1.26857057366689</v>
      </c>
      <c r="Y576">
        <f>IFERROR(INDEX(Rainfall_Wet!$O$2:$O$217,MATCH(B576, Rainfall_Wet!$A$2:$A$217,0)),"")</f>
        <v>206.85140822299999</v>
      </c>
      <c r="Z576" s="228">
        <v>31.214836424255054</v>
      </c>
      <c r="AA576" s="228">
        <v>11.377370285476141</v>
      </c>
      <c r="AB576" s="228">
        <v>57.407793290268799</v>
      </c>
      <c r="AC576" s="229" t="s">
        <v>2654</v>
      </c>
      <c r="AD576" s="228">
        <v>7.7337604731394798</v>
      </c>
      <c r="AE576">
        <f>IF('WetLitterbags placem_collection'!AB137="","",'WetLitterbags placem_collection'!AB137)</f>
        <v>2.1</v>
      </c>
      <c r="AF576">
        <f>IF('WetLitterbags placem_collection'!Z137="","",'WetLitterbags placem_collection'!Z137)</f>
        <v>5.6</v>
      </c>
      <c r="AG576" s="243" t="str">
        <f>IF('WetLitterbags placem_collection'!AA137="","",'WetLitterbags placem_collection'!AA137)</f>
        <v>O</v>
      </c>
      <c r="AH576">
        <f>IF('WetLitterbags placem_collection'!AC137="","",'WetLitterbags placem_collection'!AC137)</f>
        <v>1</v>
      </c>
      <c r="AI576" s="237">
        <f>AVERAGE('WetLitterbags placem_collection'!S137,'WetLitterbags placem_collection'!U137)</f>
        <v>14.5</v>
      </c>
      <c r="AJ576">
        <f>AVERAGE('WetLitterbags placem_collection'!R137,'WetLitterbags placem_collection'!T137)</f>
        <v>29.65</v>
      </c>
      <c r="AK576">
        <f>INDEX(Coordinates!$B$2:$B$197,MATCH(H576,Coordinates!$J$2:$J$197,0))</f>
        <v>-2.3503589909999998</v>
      </c>
      <c r="AL576">
        <f>INDEX(Coordinates!$C$2:$C$197,MATCH(H576,Coordinates!$J$2:$J$197,0))</f>
        <v>34.049719000000003</v>
      </c>
      <c r="AM576" t="str">
        <f>IF(ISNUMBER(SEARCH("C", 'WetLitterbags placem_collection'!$X137)),"YES","NO")</f>
        <v>NO</v>
      </c>
      <c r="AN576" t="str">
        <f>IF(ISNUMBER(SEARCH("H", 'WetLitterbags placem_collection'!$X137)),"YES","NO")</f>
        <v>NO</v>
      </c>
      <c r="AO576" t="str">
        <f>IF(ISNUMBER(SEARCH("R", 'WetLitterbags placem_collection'!$X137)),"YES","NO")</f>
        <v>NO</v>
      </c>
    </row>
    <row r="577" spans="1:41" ht="15" customHeight="1">
      <c r="A577" s="255" t="s">
        <v>2454</v>
      </c>
      <c r="B577" s="260">
        <f>'Dry_Litterbag Placem_Collection'!A138</f>
        <v>136</v>
      </c>
      <c r="C577" s="260" t="str">
        <f>'Dry_Litterbag Placem_Collection'!B138</f>
        <v xml:space="preserve">Mwantimba
</v>
      </c>
      <c r="D577" s="260" t="s">
        <v>2454</v>
      </c>
      <c r="E577" s="260" t="s">
        <v>20</v>
      </c>
      <c r="F577" s="260">
        <v>1</v>
      </c>
      <c r="G577" s="260" t="s">
        <v>3820</v>
      </c>
      <c r="H577" s="261" t="str">
        <f>'Dry_Litterbag Placem_Collection'!C138</f>
        <v>Wet_P1_T8</v>
      </c>
      <c r="I577" s="270" t="s">
        <v>3630</v>
      </c>
      <c r="J577" s="263" t="s">
        <v>1147</v>
      </c>
      <c r="K577" s="221" t="str">
        <f>'WetLitterbags placem_collection'!O138</f>
        <v>G747</v>
      </c>
      <c r="L577" s="223">
        <f>IFERROR(INDEX('Green_rooibos initial weight'!$C$5:$C$2000,MATCH(K577, 'Green_rooibos initial weight'!$A$5:$A$2000,0)),"")</f>
        <v>2.044</v>
      </c>
      <c r="M577" s="223">
        <f>IFERROR(L577-(TBIcalc!$H$9+TBIcalc!$H$10),"")</f>
        <v>1.7942</v>
      </c>
      <c r="N577" s="385">
        <f>AVERAGE(Ashed_controlls!$K$2:$K$11)</f>
        <v>5.5147656768714146</v>
      </c>
      <c r="O577" s="223">
        <f t="shared" si="41"/>
        <v>1.6952540742255731</v>
      </c>
      <c r="P577" s="223">
        <f>IFERROR(INDEX('Both teabags AfterWet'!$C$3:$C$840,MATCH(K577,'Both teabags AfterWet'!$A$3:$A$840,0)),"")</f>
        <v>0.59630000000000005</v>
      </c>
      <c r="Q577" s="223">
        <f>IFERROR(IF(P577&gt;0,P577-(TBIcalc!$H$9),""),"")</f>
        <v>0.44570000000000004</v>
      </c>
      <c r="R577" s="223">
        <f>IFERROR(INDEX('Ashed teabags wet'!$K$2:$K$2000,MATCH(K577,'Ashed teabags wet'!$A$2:$A$2000,0)),"")</f>
        <v>12.676056338028079</v>
      </c>
      <c r="S577" s="223">
        <f t="shared" si="42"/>
        <v>0.3892028169014089</v>
      </c>
      <c r="T577" s="224">
        <f>'WetLitterbags placem_collection'!E138</f>
        <v>42762</v>
      </c>
      <c r="U577" s="224">
        <f>IF('WetLitterbags placem_collection'!G138="","",'WetLitterbags placem_collection'!G138)</f>
        <v>42816</v>
      </c>
      <c r="V577" s="225">
        <f t="shared" si="40"/>
        <v>54</v>
      </c>
      <c r="W577" s="223">
        <f t="shared" si="43"/>
        <v>1.3485</v>
      </c>
      <c r="X577" s="223">
        <f t="shared" si="44"/>
        <v>1.3060512573241643</v>
      </c>
      <c r="Y577">
        <f>IFERROR(INDEX(Rainfall_Wet!$O$2:$O$217,MATCH(B577, Rainfall_Wet!$A$2:$A$217,0)),"")</f>
        <v>206.85140822299999</v>
      </c>
      <c r="Z577" s="228">
        <v>31.214836424255054</v>
      </c>
      <c r="AA577" s="228">
        <v>11.377370285476141</v>
      </c>
      <c r="AB577" s="228">
        <v>57.407793290268799</v>
      </c>
      <c r="AC577" s="229" t="s">
        <v>2654</v>
      </c>
      <c r="AD577" s="228">
        <v>8.7337604731394798</v>
      </c>
      <c r="AE577">
        <f>IF('WetLitterbags placem_collection'!AB138="","",'WetLitterbags placem_collection'!AB138)</f>
        <v>2.2999999999999998</v>
      </c>
      <c r="AF577">
        <f>IF('WetLitterbags placem_collection'!Z138="","",'WetLitterbags placem_collection'!Z138)</f>
        <v>16.3</v>
      </c>
      <c r="AG577" s="243" t="str">
        <f>IF('WetLitterbags placem_collection'!AA138="","",'WetLitterbags placem_collection'!AA138)</f>
        <v>G</v>
      </c>
      <c r="AH577">
        <f>IF('WetLitterbags placem_collection'!AC138="","",'WetLitterbags placem_collection'!AC138)</f>
        <v>1</v>
      </c>
      <c r="AI577" s="237">
        <f>AVERAGE('WetLitterbags placem_collection'!S138,'WetLitterbags placem_collection'!U138)</f>
        <v>14.65</v>
      </c>
      <c r="AJ577">
        <f>AVERAGE('WetLitterbags placem_collection'!R138,'WetLitterbags placem_collection'!T138)</f>
        <v>30.6</v>
      </c>
      <c r="AK577">
        <f>INDEX(Coordinates!$B$2:$B$197,MATCH(H577,Coordinates!$J$2:$J$197,0))</f>
        <v>-2.3502159960000002</v>
      </c>
      <c r="AL577">
        <f>INDEX(Coordinates!$C$2:$C$197,MATCH(H577,Coordinates!$J$2:$J$197,0))</f>
        <v>34.049822020000001</v>
      </c>
      <c r="AM577" t="str">
        <f>IF(ISNUMBER(SEARCH("C", 'WetLitterbags placem_collection'!$X138)),"YES","NO")</f>
        <v>NO</v>
      </c>
      <c r="AN577" t="str">
        <f>IF(ISNUMBER(SEARCH("H", 'WetLitterbags placem_collection'!$X138)),"YES","NO")</f>
        <v>NO</v>
      </c>
      <c r="AO577" t="str">
        <f>IF(ISNUMBER(SEARCH("R", 'WetLitterbags placem_collection'!$X138)),"YES","NO")</f>
        <v>YES</v>
      </c>
    </row>
    <row r="578" spans="1:41" ht="15" customHeight="1">
      <c r="A578" s="255" t="s">
        <v>2454</v>
      </c>
      <c r="B578" s="260">
        <f>'Dry_Litterbag Placem_Collection'!A139</f>
        <v>137</v>
      </c>
      <c r="C578" s="260" t="str">
        <f>'Dry_Litterbag Placem_Collection'!B139</f>
        <v xml:space="preserve">Mwantimba
</v>
      </c>
      <c r="D578" s="260" t="s">
        <v>2454</v>
      </c>
      <c r="E578" s="260" t="s">
        <v>20</v>
      </c>
      <c r="F578" s="260">
        <v>2</v>
      </c>
      <c r="G578" s="260" t="s">
        <v>3822</v>
      </c>
      <c r="H578" s="261" t="str">
        <f>'Dry_Litterbag Placem_Collection'!C139</f>
        <v>Wet_P2_T1</v>
      </c>
      <c r="I578" s="270" t="s">
        <v>3630</v>
      </c>
      <c r="J578" s="263" t="s">
        <v>1147</v>
      </c>
      <c r="K578" s="221" t="str">
        <f>'WetLitterbags placem_collection'!O139</f>
        <v>G857</v>
      </c>
      <c r="L578" s="223">
        <f>IFERROR(INDEX('Green_rooibos initial weight'!$C$5:$C$2000,MATCH(K578, 'Green_rooibos initial weight'!$A$5:$A$2000,0)),"")</f>
        <v>1.927</v>
      </c>
      <c r="M578" s="223">
        <f>IFERROR(L578-(TBIcalc!$H$9+TBIcalc!$H$10),"")</f>
        <v>1.6772</v>
      </c>
      <c r="N578" s="385">
        <f>AVERAGE(Ashed_controlls!$K$2:$K$11)</f>
        <v>5.5147656768714146</v>
      </c>
      <c r="O578" s="223">
        <f t="shared" si="41"/>
        <v>1.5847063500675127</v>
      </c>
      <c r="P578" s="223">
        <f>IFERROR(INDEX('Both teabags AfterWet'!$C$3:$C$840,MATCH(K578,'Both teabags AfterWet'!$A$3:$A$840,0)),"")</f>
        <v>0.6</v>
      </c>
      <c r="Q578" s="223">
        <f>IFERROR(IF(P578&gt;0,P578-(TBIcalc!$H$9),""),"")</f>
        <v>0.44939999999999997</v>
      </c>
      <c r="R578" s="223">
        <f>IFERROR(INDEX('Ashed teabags wet'!$K$2:$K$2000,MATCH(K578,'Ashed teabags wet'!$A$2:$A$2000,0)),"")</f>
        <v>14.85963213939962</v>
      </c>
      <c r="S578" s="223">
        <f t="shared" si="42"/>
        <v>0.38262081316553809</v>
      </c>
      <c r="T578" s="224">
        <f>'WetLitterbags placem_collection'!E139</f>
        <v>42762</v>
      </c>
      <c r="U578" s="224">
        <f>IF('WetLitterbags placem_collection'!G139="","",'WetLitterbags placem_collection'!G139)</f>
        <v>42816</v>
      </c>
      <c r="V578" s="225">
        <f t="shared" ref="V578:V641" si="45">IFERROR(U578-T578,"")</f>
        <v>54</v>
      </c>
      <c r="W578" s="223">
        <f t="shared" si="43"/>
        <v>1.2278</v>
      </c>
      <c r="X578" s="223">
        <f t="shared" si="44"/>
        <v>1.2020855369019747</v>
      </c>
      <c r="Y578">
        <f>IFERROR(INDEX(Rainfall_Wet!$O$2:$O$217,MATCH(B578, Rainfall_Wet!$A$2:$A$217,0)),"")</f>
        <v>206.85140822299999</v>
      </c>
      <c r="Z578" s="228">
        <v>33.96</v>
      </c>
      <c r="AA578" s="228">
        <v>8.9200000000000017</v>
      </c>
      <c r="AB578" s="228">
        <v>57.12</v>
      </c>
      <c r="AC578" s="229" t="s">
        <v>2654</v>
      </c>
      <c r="AD578" s="228">
        <v>2.072055199605717</v>
      </c>
      <c r="AE578">
        <f>IF('WetLitterbags placem_collection'!AB139="","",'WetLitterbags placem_collection'!AB139)</f>
        <v>1.2</v>
      </c>
      <c r="AF578">
        <f>IF('WetLitterbags placem_collection'!Z139="","",'WetLitterbags placem_collection'!Z139)</f>
        <v>32.4</v>
      </c>
      <c r="AG578" s="243" t="str">
        <f>IF('WetLitterbags placem_collection'!AA139="","",'WetLitterbags placem_collection'!AA139)</f>
        <v>G</v>
      </c>
      <c r="AH578">
        <f>IF('WetLitterbags placem_collection'!AC139="","",'WetLitterbags placem_collection'!AC139)</f>
        <v>1</v>
      </c>
      <c r="AI578" s="237">
        <f>AVERAGE('WetLitterbags placem_collection'!S139,'WetLitterbags placem_collection'!U139)</f>
        <v>15.5</v>
      </c>
      <c r="AJ578">
        <f>AVERAGE('WetLitterbags placem_collection'!R139,'WetLitterbags placem_collection'!T139)</f>
        <v>28.5</v>
      </c>
      <c r="AK578">
        <f>INDEX(Coordinates!$B$2:$B$197,MATCH(H578,Coordinates!$J$2:$J$197,0))</f>
        <v>-2.348596025</v>
      </c>
      <c r="AL578">
        <f>INDEX(Coordinates!$C$2:$C$197,MATCH(H578,Coordinates!$J$2:$J$197,0))</f>
        <v>34.050070959999999</v>
      </c>
      <c r="AM578" t="str">
        <f>IF(ISNUMBER(SEARCH("C", 'WetLitterbags placem_collection'!$X139)),"YES","NO")</f>
        <v>NO</v>
      </c>
      <c r="AN578" t="str">
        <f>IF(ISNUMBER(SEARCH("H", 'WetLitterbags placem_collection'!$X139)),"YES","NO")</f>
        <v>NO</v>
      </c>
      <c r="AO578" t="str">
        <f>IF(ISNUMBER(SEARCH("R", 'WetLitterbags placem_collection'!$X139)),"YES","NO")</f>
        <v>NO</v>
      </c>
    </row>
    <row r="579" spans="1:41" ht="15" customHeight="1">
      <c r="A579" s="255" t="s">
        <v>2454</v>
      </c>
      <c r="B579" s="260">
        <f>'Dry_Litterbag Placem_Collection'!A140</f>
        <v>138</v>
      </c>
      <c r="C579" s="260" t="str">
        <f>'Dry_Litterbag Placem_Collection'!B140</f>
        <v xml:space="preserve">Mwantimba
</v>
      </c>
      <c r="D579" s="260" t="s">
        <v>2454</v>
      </c>
      <c r="E579" s="260" t="s">
        <v>20</v>
      </c>
      <c r="F579" s="260">
        <v>2</v>
      </c>
      <c r="G579" s="260" t="s">
        <v>3822</v>
      </c>
      <c r="H579" s="261" t="str">
        <f>'Dry_Litterbag Placem_Collection'!C140</f>
        <v>Wet_P2_T2</v>
      </c>
      <c r="I579" s="270" t="s">
        <v>3630</v>
      </c>
      <c r="J579" s="263" t="s">
        <v>1147</v>
      </c>
      <c r="K579" s="221" t="str">
        <f>'WetLitterbags placem_collection'!O140</f>
        <v>G623</v>
      </c>
      <c r="L579" s="223">
        <f>IFERROR(INDEX('Green_rooibos initial weight'!$C$5:$C$2000,MATCH(K579, 'Green_rooibos initial weight'!$A$5:$A$2000,0)),"")</f>
        <v>2.1040000000000001</v>
      </c>
      <c r="M579" s="223">
        <f>IFERROR(L579-(TBIcalc!$H$9+TBIcalc!$H$10),"")</f>
        <v>1.8542000000000001</v>
      </c>
      <c r="N579" s="385">
        <f>AVERAGE(Ashed_controlls!$K$2:$K$11)</f>
        <v>5.5147656768714146</v>
      </c>
      <c r="O579" s="223">
        <f t="shared" ref="O579:O642" si="46">IFERROR(M579-(N579/100)*M579,"")</f>
        <v>1.7519452148194503</v>
      </c>
      <c r="P579" s="223">
        <f>IFERROR(INDEX('Both teabags AfterWet'!$C$3:$C$840,MATCH(K579,'Both teabags AfterWet'!$A$3:$A$840,0)),"")</f>
        <v>0.64800000000000002</v>
      </c>
      <c r="Q579" s="223">
        <f>IFERROR(IF(P579&gt;0,P579-(TBIcalc!$H$9),""),"")</f>
        <v>0.49740000000000001</v>
      </c>
      <c r="R579" s="223">
        <f>IFERROR(INDEX('Ashed teabags wet'!$K$2:$K$2000,MATCH(K579,'Ashed teabags wet'!$A$2:$A$2000,0)),"")</f>
        <v>12.94176207068146</v>
      </c>
      <c r="S579" s="223">
        <f t="shared" ref="S579:S642" si="47">IFERROR(Q579-(R579/100)*Q579,"")</f>
        <v>0.43302767546043042</v>
      </c>
      <c r="T579" s="224">
        <f>'WetLitterbags placem_collection'!E140</f>
        <v>42762</v>
      </c>
      <c r="U579" s="224">
        <f>IF('WetLitterbags placem_collection'!G140="","",'WetLitterbags placem_collection'!G140)</f>
        <v>42816</v>
      </c>
      <c r="V579" s="225">
        <f t="shared" si="45"/>
        <v>54</v>
      </c>
      <c r="W579" s="223">
        <f t="shared" ref="W579:W642" si="48">IFERROR(M579-Q579,"")</f>
        <v>1.3568</v>
      </c>
      <c r="X579" s="223">
        <f t="shared" ref="X579:X642" si="49">IFERROR(O579-S579,"")</f>
        <v>1.31891753935902</v>
      </c>
      <c r="Y579">
        <f>IFERROR(INDEX(Rainfall_Wet!$O$2:$O$217,MATCH(B579, Rainfall_Wet!$A$2:$A$217,0)),"")</f>
        <v>206.85140822299999</v>
      </c>
      <c r="Z579" s="228">
        <v>33.96</v>
      </c>
      <c r="AA579" s="228">
        <v>8.9200000000000017</v>
      </c>
      <c r="AB579" s="228">
        <v>57.12</v>
      </c>
      <c r="AC579" s="229" t="s">
        <v>2654</v>
      </c>
      <c r="AD579" s="228">
        <v>3.0720551996057202</v>
      </c>
      <c r="AE579">
        <f>IF('WetLitterbags placem_collection'!AB140="","",'WetLitterbags placem_collection'!AB140)</f>
        <v>2.8</v>
      </c>
      <c r="AF579">
        <f>IF('WetLitterbags placem_collection'!Z140="","",'WetLitterbags placem_collection'!Z140)</f>
        <v>26.4</v>
      </c>
      <c r="AG579" s="243" t="str">
        <f>IF('WetLitterbags placem_collection'!AA140="","",'WetLitterbags placem_collection'!AA140)</f>
        <v>G</v>
      </c>
      <c r="AH579">
        <f>IF('WetLitterbags placem_collection'!AC140="","",'WetLitterbags placem_collection'!AC140)</f>
        <v>1</v>
      </c>
      <c r="AI579" s="237">
        <f>AVERAGE('WetLitterbags placem_collection'!S140,'WetLitterbags placem_collection'!U140)</f>
        <v>15.5</v>
      </c>
      <c r="AJ579">
        <f>AVERAGE('WetLitterbags placem_collection'!R140,'WetLitterbags placem_collection'!T140)</f>
        <v>29.35</v>
      </c>
      <c r="AK579">
        <f>INDEX(Coordinates!$B$2:$B$197,MATCH(H579,Coordinates!$J$2:$J$197,0))</f>
        <v>-2.3485449790000001</v>
      </c>
      <c r="AL579">
        <f>INDEX(Coordinates!$C$2:$C$197,MATCH(H579,Coordinates!$J$2:$J$197,0))</f>
        <v>34.050146980000001</v>
      </c>
      <c r="AM579" t="str">
        <f>IF(ISNUMBER(SEARCH("C", 'WetLitterbags placem_collection'!$X140)),"YES","NO")</f>
        <v>NO</v>
      </c>
      <c r="AN579" t="str">
        <f>IF(ISNUMBER(SEARCH("H", 'WetLitterbags placem_collection'!$X140)),"YES","NO")</f>
        <v>NO</v>
      </c>
      <c r="AO579" t="str">
        <f>IF(ISNUMBER(SEARCH("R", 'WetLitterbags placem_collection'!$X140)),"YES","NO")</f>
        <v>YES</v>
      </c>
    </row>
    <row r="580" spans="1:41" ht="15" customHeight="1">
      <c r="A580" s="255" t="s">
        <v>2454</v>
      </c>
      <c r="B580" s="260">
        <f>'Dry_Litterbag Placem_Collection'!A141</f>
        <v>139</v>
      </c>
      <c r="C580" s="260" t="str">
        <f>'Dry_Litterbag Placem_Collection'!B141</f>
        <v xml:space="preserve">Mwantimba
</v>
      </c>
      <c r="D580" s="260" t="s">
        <v>2454</v>
      </c>
      <c r="E580" s="260" t="s">
        <v>20</v>
      </c>
      <c r="F580" s="260">
        <v>2</v>
      </c>
      <c r="G580" s="260" t="s">
        <v>3822</v>
      </c>
      <c r="H580" s="261" t="str">
        <f>'Dry_Litterbag Placem_Collection'!C141</f>
        <v>Wet_P2_T3</v>
      </c>
      <c r="I580" s="270" t="s">
        <v>3630</v>
      </c>
      <c r="J580" s="263" t="s">
        <v>1147</v>
      </c>
      <c r="K580" s="221" t="str">
        <f>'WetLitterbags placem_collection'!O141</f>
        <v>G880</v>
      </c>
      <c r="L580" s="223">
        <f>IFERROR(INDEX('Green_rooibos initial weight'!$C$5:$C$2000,MATCH(K580, 'Green_rooibos initial weight'!$A$5:$A$2000,0)),"")</f>
        <v>2.1030000000000002</v>
      </c>
      <c r="M580" s="223">
        <f>IFERROR(L580-(TBIcalc!$H$9+TBIcalc!$H$10),"")</f>
        <v>1.8532000000000002</v>
      </c>
      <c r="N580" s="385">
        <f>AVERAGE(Ashed_controlls!$K$2:$K$11)</f>
        <v>5.5147656768714146</v>
      </c>
      <c r="O580" s="223">
        <f t="shared" si="46"/>
        <v>1.7510003624762192</v>
      </c>
      <c r="P580" s="223">
        <f>IFERROR(INDEX('Both teabags AfterWet'!$C$3:$C$840,MATCH(K580,'Both teabags AfterWet'!$A$3:$A$840,0)),"")</f>
        <v>0.73599999999999999</v>
      </c>
      <c r="Q580" s="223">
        <f>IFERROR(IF(P580&gt;0,P580-(TBIcalc!$H$9),""),"")</f>
        <v>0.58539999999999992</v>
      </c>
      <c r="R580" s="223">
        <f>IFERROR(INDEX('Ashed teabags wet'!$K$2:$K$2000,MATCH(K580,'Ashed teabags wet'!$A$2:$A$2000,0)),"")</f>
        <v>26.073926073925342</v>
      </c>
      <c r="S580" s="223">
        <f t="shared" si="47"/>
        <v>0.43276323676324102</v>
      </c>
      <c r="T580" s="224">
        <f>'WetLitterbags placem_collection'!E141</f>
        <v>42762</v>
      </c>
      <c r="U580" s="224">
        <f>IF('WetLitterbags placem_collection'!G141="","",'WetLitterbags placem_collection'!G141)</f>
        <v>42816</v>
      </c>
      <c r="V580" s="225">
        <f t="shared" si="45"/>
        <v>54</v>
      </c>
      <c r="W580" s="223">
        <f t="shared" si="48"/>
        <v>1.2678000000000003</v>
      </c>
      <c r="X580" s="223">
        <f t="shared" si="49"/>
        <v>1.3182371257129781</v>
      </c>
      <c r="Y580">
        <f>IFERROR(INDEX(Rainfall_Wet!$O$2:$O$217,MATCH(B580, Rainfall_Wet!$A$2:$A$217,0)),"")</f>
        <v>206.85140822299999</v>
      </c>
      <c r="Z580" s="228">
        <v>33.96</v>
      </c>
      <c r="AA580" s="228">
        <v>8.9200000000000017</v>
      </c>
      <c r="AB580" s="228">
        <v>57.12</v>
      </c>
      <c r="AC580" s="229" t="s">
        <v>2654</v>
      </c>
      <c r="AD580" s="228">
        <v>4.0720551996057202</v>
      </c>
      <c r="AE580">
        <f>IF('WetLitterbags placem_collection'!AB141="","",'WetLitterbags placem_collection'!AB141)</f>
        <v>5.7</v>
      </c>
      <c r="AF580">
        <f>IF('WetLitterbags placem_collection'!Z141="","",'WetLitterbags placem_collection'!Z141)</f>
        <v>19.399999999999999</v>
      </c>
      <c r="AG580" s="243" t="str">
        <f>IF('WetLitterbags placem_collection'!AA141="","",'WetLitterbags placem_collection'!AA141)</f>
        <v>G</v>
      </c>
      <c r="AH580">
        <f>IF('WetLitterbags placem_collection'!AC141="","",'WetLitterbags placem_collection'!AC141)</f>
        <v>1</v>
      </c>
      <c r="AI580" s="237">
        <f>AVERAGE('WetLitterbags placem_collection'!S141,'WetLitterbags placem_collection'!U141)</f>
        <v>16.850000000000001</v>
      </c>
      <c r="AJ580">
        <f>AVERAGE('WetLitterbags placem_collection'!R141,'WetLitterbags placem_collection'!T141)</f>
        <v>28.65</v>
      </c>
      <c r="AK580">
        <f>INDEX(Coordinates!$B$2:$B$197,MATCH(H580,Coordinates!$J$2:$J$197,0))</f>
        <v>-2.3487209990000002</v>
      </c>
      <c r="AL580">
        <f>INDEX(Coordinates!$C$2:$C$197,MATCH(H580,Coordinates!$J$2:$J$197,0))</f>
        <v>34.050128039999997</v>
      </c>
      <c r="AM580" t="str">
        <f>IF(ISNUMBER(SEARCH("C", 'WetLitterbags placem_collection'!$X141)),"YES","NO")</f>
        <v>NO</v>
      </c>
      <c r="AN580" t="str">
        <f>IF(ISNUMBER(SEARCH("H", 'WetLitterbags placem_collection'!$X141)),"YES","NO")</f>
        <v>NO</v>
      </c>
      <c r="AO580" t="str">
        <f>IF(ISNUMBER(SEARCH("R", 'WetLitterbags placem_collection'!$X141)),"YES","NO")</f>
        <v>YES</v>
      </c>
    </row>
    <row r="581" spans="1:41" ht="15" customHeight="1">
      <c r="A581" s="255" t="s">
        <v>2454</v>
      </c>
      <c r="B581" s="260">
        <f>'Dry_Litterbag Placem_Collection'!A142</f>
        <v>140</v>
      </c>
      <c r="C581" s="260" t="str">
        <f>'Dry_Litterbag Placem_Collection'!B142</f>
        <v xml:space="preserve">Mwantimba
</v>
      </c>
      <c r="D581" s="260" t="s">
        <v>2454</v>
      </c>
      <c r="E581" s="260" t="s">
        <v>20</v>
      </c>
      <c r="F581" s="260">
        <v>2</v>
      </c>
      <c r="G581" s="260" t="s">
        <v>3822</v>
      </c>
      <c r="H581" s="261" t="str">
        <f>'Dry_Litterbag Placem_Collection'!C142</f>
        <v>Wet_P2_T4</v>
      </c>
      <c r="I581" s="270" t="s">
        <v>3630</v>
      </c>
      <c r="J581" s="263" t="s">
        <v>1147</v>
      </c>
      <c r="K581" s="221" t="str">
        <f>'WetLitterbags placem_collection'!O142</f>
        <v>G706</v>
      </c>
      <c r="L581" s="223">
        <f>IFERROR(INDEX('Green_rooibos initial weight'!$C$5:$C$2000,MATCH(K581, 'Green_rooibos initial weight'!$A$5:$A$2000,0)),"")</f>
        <v>1.9450000000000001</v>
      </c>
      <c r="M581" s="223">
        <f>IFERROR(L581-(TBIcalc!$H$9+TBIcalc!$H$10),"")</f>
        <v>1.6952</v>
      </c>
      <c r="N581" s="385">
        <f>AVERAGE(Ashed_controlls!$K$2:$K$11)</f>
        <v>5.5147656768714146</v>
      </c>
      <c r="O581" s="223">
        <f t="shared" si="46"/>
        <v>1.6017136922456758</v>
      </c>
      <c r="P581" s="223">
        <f>IFERROR(INDEX('Both teabags AfterWet'!$C$3:$C$840,MATCH(K581,'Both teabags AfterWet'!$A$3:$A$840,0)),"")</f>
        <v>0.60780000000000001</v>
      </c>
      <c r="Q581" s="223">
        <f>IFERROR(IF(P581&gt;0,P581-(TBIcalc!$H$9),""),"")</f>
        <v>0.4572</v>
      </c>
      <c r="R581" s="223">
        <f>IFERROR(INDEX('Ashed teabags wet'!$K$2:$K$2000,MATCH(K581,'Ashed teabags wet'!$A$2:$A$2000,0)),"")</f>
        <v>17.486338797814145</v>
      </c>
      <c r="S581" s="223">
        <f t="shared" si="47"/>
        <v>0.3772524590163937</v>
      </c>
      <c r="T581" s="224">
        <f>'WetLitterbags placem_collection'!E142</f>
        <v>42762</v>
      </c>
      <c r="U581" s="224">
        <f>IF('WetLitterbags placem_collection'!G142="","",'WetLitterbags placem_collection'!G142)</f>
        <v>42816</v>
      </c>
      <c r="V581" s="225">
        <f t="shared" si="45"/>
        <v>54</v>
      </c>
      <c r="W581" s="223">
        <f t="shared" si="48"/>
        <v>1.238</v>
      </c>
      <c r="X581" s="223">
        <f t="shared" si="49"/>
        <v>1.2244612332292821</v>
      </c>
      <c r="Y581">
        <f>IFERROR(INDEX(Rainfall_Wet!$O$2:$O$217,MATCH(B581, Rainfall_Wet!$A$2:$A$217,0)),"")</f>
        <v>206.85140822299999</v>
      </c>
      <c r="Z581" s="228">
        <v>33.96</v>
      </c>
      <c r="AA581" s="228">
        <v>8.9200000000000017</v>
      </c>
      <c r="AB581" s="228">
        <v>57.12</v>
      </c>
      <c r="AC581" s="229" t="s">
        <v>2654</v>
      </c>
      <c r="AD581" s="228">
        <v>5.0720551996057202</v>
      </c>
      <c r="AE581">
        <f>IF('WetLitterbags placem_collection'!AB142="","",'WetLitterbags placem_collection'!AB142)</f>
        <v>1.4</v>
      </c>
      <c r="AF581">
        <f>IF('WetLitterbags placem_collection'!Z142="","",'WetLitterbags placem_collection'!Z142)</f>
        <v>33.4</v>
      </c>
      <c r="AG581" s="243" t="str">
        <f>IF('WetLitterbags placem_collection'!AA142="","",'WetLitterbags placem_collection'!AA142)</f>
        <v>G</v>
      </c>
      <c r="AH581">
        <f>IF('WetLitterbags placem_collection'!AC142="","",'WetLitterbags placem_collection'!AC142)</f>
        <v>1</v>
      </c>
      <c r="AI581" s="237">
        <f>AVERAGE('WetLitterbags placem_collection'!S142,'WetLitterbags placem_collection'!U142)</f>
        <v>11.55</v>
      </c>
      <c r="AJ581">
        <f>AVERAGE('WetLitterbags placem_collection'!R142,'WetLitterbags placem_collection'!T142)</f>
        <v>30.85</v>
      </c>
      <c r="AK581">
        <f>INDEX(Coordinates!$B$2:$B$197,MATCH(H581,Coordinates!$J$2:$J$197,0))</f>
        <v>-2.3486250270000002</v>
      </c>
      <c r="AL581">
        <f>INDEX(Coordinates!$C$2:$C$197,MATCH(H581,Coordinates!$J$2:$J$197,0))</f>
        <v>34.050070959999999</v>
      </c>
      <c r="AM581" t="str">
        <f>IF(ISNUMBER(SEARCH("C", 'WetLitterbags placem_collection'!$X142)),"YES","NO")</f>
        <v>NO</v>
      </c>
      <c r="AN581" t="str">
        <f>IF(ISNUMBER(SEARCH("H", 'WetLitterbags placem_collection'!$X142)),"YES","NO")</f>
        <v>NO</v>
      </c>
      <c r="AO581" t="str">
        <f>IF(ISNUMBER(SEARCH("R", 'WetLitterbags placem_collection'!$X142)),"YES","NO")</f>
        <v>NO</v>
      </c>
    </row>
    <row r="582" spans="1:41" ht="15" customHeight="1">
      <c r="A582" s="255" t="s">
        <v>2454</v>
      </c>
      <c r="B582" s="260">
        <f>'Dry_Litterbag Placem_Collection'!A143</f>
        <v>141</v>
      </c>
      <c r="C582" s="260" t="str">
        <f>'Dry_Litterbag Placem_Collection'!B143</f>
        <v xml:space="preserve">Mwantimba
</v>
      </c>
      <c r="D582" s="260" t="s">
        <v>2454</v>
      </c>
      <c r="E582" s="260" t="s">
        <v>20</v>
      </c>
      <c r="F582" s="260">
        <v>2</v>
      </c>
      <c r="G582" s="260" t="s">
        <v>3822</v>
      </c>
      <c r="H582" s="261" t="str">
        <f>'Dry_Litterbag Placem_Collection'!C143</f>
        <v>Wet_P2_T5</v>
      </c>
      <c r="I582" s="270" t="s">
        <v>3630</v>
      </c>
      <c r="J582" s="263" t="s">
        <v>1147</v>
      </c>
      <c r="K582" s="221" t="str">
        <f>'WetLitterbags placem_collection'!O143</f>
        <v>G775</v>
      </c>
      <c r="L582" s="223">
        <f>IFERROR(INDEX('Green_rooibos initial weight'!$C$5:$C$2000,MATCH(K582, 'Green_rooibos initial weight'!$A$5:$A$2000,0)),"")</f>
        <v>2.1389999999999998</v>
      </c>
      <c r="M582" s="223">
        <f>IFERROR(L582-(TBIcalc!$H$9+TBIcalc!$H$10),"")</f>
        <v>1.8891999999999998</v>
      </c>
      <c r="N582" s="385">
        <f>AVERAGE(Ashed_controlls!$K$2:$K$11)</f>
        <v>5.5147656768714146</v>
      </c>
      <c r="O582" s="223">
        <f t="shared" si="46"/>
        <v>1.785015046832545</v>
      </c>
      <c r="P582" s="223">
        <f>IFERROR(INDEX('Both teabags AfterWet'!$C$3:$C$840,MATCH(K582,'Both teabags AfterWet'!$A$3:$A$840,0)),"")</f>
        <v>0.69099999999999995</v>
      </c>
      <c r="Q582" s="223">
        <f>IFERROR(IF(P582&gt;0,P582-(TBIcalc!$H$9),""),"")</f>
        <v>0.54039999999999999</v>
      </c>
      <c r="R582" s="223">
        <f>IFERROR(INDEX('Ashed teabags wet'!$K$2:$K$2000,MATCH(K582,'Ashed teabags wet'!$A$2:$A$2000,0)),"")</f>
        <v>23.031496062992296</v>
      </c>
      <c r="S582" s="223">
        <f t="shared" si="47"/>
        <v>0.41593779527558961</v>
      </c>
      <c r="T582" s="224">
        <f>'WetLitterbags placem_collection'!E143</f>
        <v>42762</v>
      </c>
      <c r="U582" s="224">
        <f>IF('WetLitterbags placem_collection'!G143="","",'WetLitterbags placem_collection'!G143)</f>
        <v>42816</v>
      </c>
      <c r="V582" s="225">
        <f t="shared" si="45"/>
        <v>54</v>
      </c>
      <c r="W582" s="223">
        <f t="shared" si="48"/>
        <v>1.3487999999999998</v>
      </c>
      <c r="X582" s="223">
        <f t="shared" si="49"/>
        <v>1.3690772515569554</v>
      </c>
      <c r="Y582">
        <f>IFERROR(INDEX(Rainfall_Wet!$O$2:$O$217,MATCH(B582, Rainfall_Wet!$A$2:$A$217,0)),"")</f>
        <v>206.85140822299999</v>
      </c>
      <c r="Z582" s="228">
        <v>33.96</v>
      </c>
      <c r="AA582" s="228">
        <v>8.9200000000000017</v>
      </c>
      <c r="AB582" s="228">
        <v>57.12</v>
      </c>
      <c r="AC582" s="229" t="s">
        <v>2654</v>
      </c>
      <c r="AD582" s="228">
        <v>6.0720551996057202</v>
      </c>
      <c r="AE582">
        <f>IF('WetLitterbags placem_collection'!AB143="","",'WetLitterbags placem_collection'!AB143)</f>
        <v>1.4</v>
      </c>
      <c r="AF582">
        <f>IF('WetLitterbags placem_collection'!Z143="","",'WetLitterbags placem_collection'!Z143)</f>
        <v>28.4</v>
      </c>
      <c r="AG582" s="243" t="str">
        <f>IF('WetLitterbags placem_collection'!AA143="","",'WetLitterbags placem_collection'!AA143)</f>
        <v>G</v>
      </c>
      <c r="AH582">
        <f>IF('WetLitterbags placem_collection'!AC143="","",'WetLitterbags placem_collection'!AC143)</f>
        <v>1</v>
      </c>
      <c r="AI582" s="237">
        <f>AVERAGE('WetLitterbags placem_collection'!S143,'WetLitterbags placem_collection'!U143)</f>
        <v>9.6999999999999993</v>
      </c>
      <c r="AJ582">
        <f>AVERAGE('WetLitterbags placem_collection'!R143,'WetLitterbags placem_collection'!T143)</f>
        <v>30.75</v>
      </c>
      <c r="AK582">
        <f>INDEX(Coordinates!$B$2:$B$197,MATCH(H582,Coordinates!$J$2:$J$197,0))</f>
        <v>-2.3486060000000002</v>
      </c>
      <c r="AL582">
        <f>INDEX(Coordinates!$C$2:$C$197,MATCH(H582,Coordinates!$J$2:$J$197,0))</f>
        <v>34.050010020000002</v>
      </c>
      <c r="AM582" t="str">
        <f>IF(ISNUMBER(SEARCH("C", 'WetLitterbags placem_collection'!$X143)),"YES","NO")</f>
        <v>NO</v>
      </c>
      <c r="AN582" t="str">
        <f>IF(ISNUMBER(SEARCH("H", 'WetLitterbags placem_collection'!$X143)),"YES","NO")</f>
        <v>NO</v>
      </c>
      <c r="AO582" t="str">
        <f>IF(ISNUMBER(SEARCH("R", 'WetLitterbags placem_collection'!$X143)),"YES","NO")</f>
        <v>NO</v>
      </c>
    </row>
    <row r="583" spans="1:41" ht="15" customHeight="1">
      <c r="A583" s="255" t="s">
        <v>2454</v>
      </c>
      <c r="B583" s="260">
        <f>'Dry_Litterbag Placem_Collection'!A144</f>
        <v>142</v>
      </c>
      <c r="C583" s="260" t="str">
        <f>'Dry_Litterbag Placem_Collection'!B144</f>
        <v xml:space="preserve">Mwantimba
</v>
      </c>
      <c r="D583" s="260" t="s">
        <v>2454</v>
      </c>
      <c r="E583" s="260" t="s">
        <v>20</v>
      </c>
      <c r="F583" s="260">
        <v>2</v>
      </c>
      <c r="G583" s="260" t="s">
        <v>3822</v>
      </c>
      <c r="H583" s="261" t="str">
        <f>'Dry_Litterbag Placem_Collection'!C144</f>
        <v>Wet_P2_T6</v>
      </c>
      <c r="I583" s="270" t="s">
        <v>3630</v>
      </c>
      <c r="J583" s="263" t="s">
        <v>1147</v>
      </c>
      <c r="K583" s="221" t="str">
        <f>'WetLitterbags placem_collection'!O144</f>
        <v>G850</v>
      </c>
      <c r="L583" s="223">
        <f>IFERROR(INDEX('Green_rooibos initial weight'!$C$5:$C$2000,MATCH(K583, 'Green_rooibos initial weight'!$A$5:$A$2000,0)),"")</f>
        <v>2.0379999999999998</v>
      </c>
      <c r="M583" s="223">
        <f>IFERROR(L583-(TBIcalc!$H$9+TBIcalc!$H$10),"")</f>
        <v>1.7881999999999998</v>
      </c>
      <c r="N583" s="385">
        <f>AVERAGE(Ashed_controlls!$K$2:$K$11)</f>
        <v>5.5147656768714146</v>
      </c>
      <c r="O583" s="223">
        <f t="shared" si="46"/>
        <v>1.6895849601661852</v>
      </c>
      <c r="P583" s="223">
        <f>IFERROR(INDEX('Both teabags AfterWet'!$C$3:$C$840,MATCH(K583,'Both teabags AfterWet'!$A$3:$A$840,0)),"")</f>
        <v>0.78500000000000003</v>
      </c>
      <c r="Q583" s="223">
        <f>IFERROR(IF(P583&gt;0,P583-(TBIcalc!$H$9),""),"")</f>
        <v>0.63440000000000007</v>
      </c>
      <c r="R583" s="223">
        <f>IFERROR(INDEX('Ashed teabags wet'!$K$2:$K$2000,MATCH(K583,'Ashed teabags wet'!$A$2:$A$2000,0)),"")</f>
        <v>14.780029658923441</v>
      </c>
      <c r="S583" s="223">
        <f t="shared" si="47"/>
        <v>0.54063549184378978</v>
      </c>
      <c r="T583" s="224">
        <f>'WetLitterbags placem_collection'!E144</f>
        <v>42762</v>
      </c>
      <c r="U583" s="224">
        <f>IF('WetLitterbags placem_collection'!G144="","",'WetLitterbags placem_collection'!G144)</f>
        <v>42816</v>
      </c>
      <c r="V583" s="225">
        <f t="shared" si="45"/>
        <v>54</v>
      </c>
      <c r="W583" s="223">
        <f t="shared" si="48"/>
        <v>1.1537999999999997</v>
      </c>
      <c r="X583" s="223">
        <f t="shared" si="49"/>
        <v>1.1489494683223955</v>
      </c>
      <c r="Y583">
        <f>IFERROR(INDEX(Rainfall_Wet!$O$2:$O$217,MATCH(B583, Rainfall_Wet!$A$2:$A$217,0)),"")</f>
        <v>206.85140822299999</v>
      </c>
      <c r="Z583" s="228">
        <v>33.96</v>
      </c>
      <c r="AA583" s="228">
        <v>8.9200000000000017</v>
      </c>
      <c r="AB583" s="228">
        <v>57.12</v>
      </c>
      <c r="AC583" s="229" t="s">
        <v>2654</v>
      </c>
      <c r="AD583" s="228">
        <v>7.0720551996057202</v>
      </c>
      <c r="AE583">
        <f>IF('WetLitterbags placem_collection'!AB144="","",'WetLitterbags placem_collection'!AB144)</f>
        <v>1.7</v>
      </c>
      <c r="AF583">
        <f>IF('WetLitterbags placem_collection'!Z144="","",'WetLitterbags placem_collection'!Z144)</f>
        <v>33.799999999999997</v>
      </c>
      <c r="AG583" s="243" t="str">
        <f>IF('WetLitterbags placem_collection'!AA144="","",'WetLitterbags placem_collection'!AA144)</f>
        <v>G</v>
      </c>
      <c r="AH583">
        <f>IF('WetLitterbags placem_collection'!AC144="","",'WetLitterbags placem_collection'!AC144)</f>
        <v>1</v>
      </c>
      <c r="AI583" s="237">
        <f>AVERAGE('WetLitterbags placem_collection'!S144,'WetLitterbags placem_collection'!U144)</f>
        <v>15.5</v>
      </c>
      <c r="AJ583">
        <f>AVERAGE('WetLitterbags placem_collection'!R144,'WetLitterbags placem_collection'!T144)</f>
        <v>28.75</v>
      </c>
      <c r="AK583">
        <f>INDEX(Coordinates!$B$2:$B$197,MATCH(H583,Coordinates!$J$2:$J$197,0))</f>
        <v>-2.348618992</v>
      </c>
      <c r="AL583">
        <f>INDEX(Coordinates!$C$2:$C$197,MATCH(H583,Coordinates!$J$2:$J$197,0))</f>
        <v>34.049996030000003</v>
      </c>
      <c r="AM583" t="str">
        <f>IF(ISNUMBER(SEARCH("C", 'WetLitterbags placem_collection'!$X144)),"YES","NO")</f>
        <v>NO</v>
      </c>
      <c r="AN583" t="str">
        <f>IF(ISNUMBER(SEARCH("H", 'WetLitterbags placem_collection'!$X144)),"YES","NO")</f>
        <v>NO</v>
      </c>
      <c r="AO583" t="str">
        <f>IF(ISNUMBER(SEARCH("R", 'WetLitterbags placem_collection'!$X144)),"YES","NO")</f>
        <v>NO</v>
      </c>
    </row>
    <row r="584" spans="1:41" ht="15" customHeight="1">
      <c r="A584" s="255" t="s">
        <v>2454</v>
      </c>
      <c r="B584" s="260">
        <f>'Dry_Litterbag Placem_Collection'!A145</f>
        <v>143</v>
      </c>
      <c r="C584" s="260" t="str">
        <f>'Dry_Litterbag Placem_Collection'!B145</f>
        <v xml:space="preserve">Mwantimba
</v>
      </c>
      <c r="D584" s="260" t="s">
        <v>2454</v>
      </c>
      <c r="E584" s="260" t="s">
        <v>20</v>
      </c>
      <c r="F584" s="260">
        <v>2</v>
      </c>
      <c r="G584" s="260" t="s">
        <v>3822</v>
      </c>
      <c r="H584" s="261" t="str">
        <f>'Dry_Litterbag Placem_Collection'!C145</f>
        <v>Wet_P2_T7</v>
      </c>
      <c r="I584" s="270" t="s">
        <v>3630</v>
      </c>
      <c r="J584" s="263" t="s">
        <v>1147</v>
      </c>
      <c r="K584" s="221" t="str">
        <f>'WetLitterbags placem_collection'!O145</f>
        <v>G697</v>
      </c>
      <c r="L584" s="223">
        <f>IFERROR(INDEX('Green_rooibos initial weight'!$C$5:$C$2000,MATCH(K584, 'Green_rooibos initial weight'!$A$5:$A$2000,0)),"")</f>
        <v>2.1110000000000002</v>
      </c>
      <c r="M584" s="223">
        <f>IFERROR(L584-(TBIcalc!$H$9+TBIcalc!$H$10),"")</f>
        <v>1.8612000000000002</v>
      </c>
      <c r="N584" s="385">
        <f>AVERAGE(Ashed_controlls!$K$2:$K$11)</f>
        <v>5.5147656768714146</v>
      </c>
      <c r="O584" s="223">
        <f t="shared" si="46"/>
        <v>1.7585591812220693</v>
      </c>
      <c r="P584" s="223">
        <f>IFERROR(INDEX('Both teabags AfterWet'!$C$3:$C$840,MATCH(K584,'Both teabags AfterWet'!$A$3:$A$840,0)),"")</f>
        <v>0.67500000000000004</v>
      </c>
      <c r="Q584" s="223">
        <f>IFERROR(IF(P584&gt;0,P584-(TBIcalc!$H$9),""),"")</f>
        <v>0.52439999999999998</v>
      </c>
      <c r="R584" s="223">
        <f>IFERROR(INDEX('Ashed teabags wet'!$K$2:$K$2000,MATCH(K584,'Ashed teabags wet'!$A$2:$A$2000,0)),"")</f>
        <v>17.52988047808789</v>
      </c>
      <c r="S584" s="223">
        <f t="shared" si="47"/>
        <v>0.43247330677290707</v>
      </c>
      <c r="T584" s="224">
        <f>'WetLitterbags placem_collection'!E145</f>
        <v>42762</v>
      </c>
      <c r="U584" s="224">
        <f>IF('WetLitterbags placem_collection'!G145="","",'WetLitterbags placem_collection'!G145)</f>
        <v>42816</v>
      </c>
      <c r="V584" s="225">
        <f t="shared" si="45"/>
        <v>54</v>
      </c>
      <c r="W584" s="223">
        <f t="shared" si="48"/>
        <v>1.3368000000000002</v>
      </c>
      <c r="X584" s="223">
        <f t="shared" si="49"/>
        <v>1.3260858744491624</v>
      </c>
      <c r="Y584">
        <f>IFERROR(INDEX(Rainfall_Wet!$O$2:$O$217,MATCH(B584, Rainfall_Wet!$A$2:$A$217,0)),"")</f>
        <v>206.85140822299999</v>
      </c>
      <c r="Z584" s="228">
        <v>33.96</v>
      </c>
      <c r="AA584" s="228">
        <v>8.9200000000000017</v>
      </c>
      <c r="AB584" s="228">
        <v>57.12</v>
      </c>
      <c r="AC584" s="229" t="s">
        <v>2654</v>
      </c>
      <c r="AD584" s="228">
        <v>8.0720551996057193</v>
      </c>
      <c r="AE584">
        <f>IF('WetLitterbags placem_collection'!AB145="","",'WetLitterbags placem_collection'!AB145)</f>
        <v>2</v>
      </c>
      <c r="AF584">
        <f>IF('WetLitterbags placem_collection'!Z145="","",'WetLitterbags placem_collection'!Z145)</f>
        <v>23.4</v>
      </c>
      <c r="AG584" s="243" t="str">
        <f>IF('WetLitterbags placem_collection'!AA145="","",'WetLitterbags placem_collection'!AA145)</f>
        <v>G</v>
      </c>
      <c r="AH584">
        <f>IF('WetLitterbags placem_collection'!AC145="","",'WetLitterbags placem_collection'!AC145)</f>
        <v>1</v>
      </c>
      <c r="AI584" s="237">
        <f>AVERAGE('WetLitterbags placem_collection'!S145,'WetLitterbags placem_collection'!U145)</f>
        <v>14.5</v>
      </c>
      <c r="AJ584">
        <f>AVERAGE('WetLitterbags placem_collection'!R145,'WetLitterbags placem_collection'!T145)</f>
        <v>30.9</v>
      </c>
      <c r="AK584">
        <f>INDEX(Coordinates!$B$2:$B$197,MATCH(H584,Coordinates!$J$2:$J$197,0))</f>
        <v>-2.3484970349999998</v>
      </c>
      <c r="AL584">
        <f>INDEX(Coordinates!$C$2:$C$197,MATCH(H584,Coordinates!$J$2:$J$197,0))</f>
        <v>34.049979010000001</v>
      </c>
      <c r="AM584" t="str">
        <f>IF(ISNUMBER(SEARCH("C", 'WetLitterbags placem_collection'!$X145)),"YES","NO")</f>
        <v>NO</v>
      </c>
      <c r="AN584" t="str">
        <f>IF(ISNUMBER(SEARCH("H", 'WetLitterbags placem_collection'!$X145)),"YES","NO")</f>
        <v>NO</v>
      </c>
      <c r="AO584" t="str">
        <f>IF(ISNUMBER(SEARCH("R", 'WetLitterbags placem_collection'!$X145)),"YES","NO")</f>
        <v>YES</v>
      </c>
    </row>
    <row r="585" spans="1:41" ht="15" customHeight="1">
      <c r="A585" s="255" t="s">
        <v>2454</v>
      </c>
      <c r="B585" s="260">
        <f>'Dry_Litterbag Placem_Collection'!A146</f>
        <v>144</v>
      </c>
      <c r="C585" s="260" t="str">
        <f>'Dry_Litterbag Placem_Collection'!B146</f>
        <v xml:space="preserve">Mwantimba
</v>
      </c>
      <c r="D585" s="260" t="s">
        <v>2454</v>
      </c>
      <c r="E585" s="260" t="s">
        <v>20</v>
      </c>
      <c r="F585" s="260">
        <v>2</v>
      </c>
      <c r="G585" s="260" t="s">
        <v>3822</v>
      </c>
      <c r="H585" s="261" t="str">
        <f>'Dry_Litterbag Placem_Collection'!C146</f>
        <v>Wet_P2_T8</v>
      </c>
      <c r="I585" s="270" t="s">
        <v>3630</v>
      </c>
      <c r="J585" s="263" t="s">
        <v>1147</v>
      </c>
      <c r="K585" s="221" t="str">
        <f>'WetLitterbags placem_collection'!O146</f>
        <v>G894</v>
      </c>
      <c r="L585" s="223">
        <f>IFERROR(INDEX('Green_rooibos initial weight'!$C$5:$C$2000,MATCH(K585, 'Green_rooibos initial weight'!$A$5:$A$2000,0)),"")</f>
        <v>1.9630000000000001</v>
      </c>
      <c r="M585" s="223">
        <f>IFERROR(L585-(TBIcalc!$H$9+TBIcalc!$H$10),"")</f>
        <v>1.7132000000000001</v>
      </c>
      <c r="N585" s="385">
        <f>AVERAGE(Ashed_controlls!$K$2:$K$11)</f>
        <v>5.5147656768714146</v>
      </c>
      <c r="O585" s="223">
        <f t="shared" si="46"/>
        <v>1.618721034423839</v>
      </c>
      <c r="P585" s="223">
        <f>IFERROR(INDEX('Both teabags AfterWet'!$C$3:$C$840,MATCH(K585,'Both teabags AfterWet'!$A$3:$A$840,0)),"")</f>
        <v>0.68200000000000005</v>
      </c>
      <c r="Q585" s="223">
        <f>IFERROR(IF(P585&gt;0,P585-(TBIcalc!$H$9),""),"")</f>
        <v>0.53140000000000009</v>
      </c>
      <c r="R585" s="223">
        <f>IFERROR(INDEX('Ashed teabags wet'!$K$2:$K$2000,MATCH(K585,'Ashed teabags wet'!$A$2:$A$2000,0)),"")</f>
        <v>21.010901883052647</v>
      </c>
      <c r="S585" s="223">
        <f t="shared" si="47"/>
        <v>0.41974806739345832</v>
      </c>
      <c r="T585" s="224">
        <f>'WetLitterbags placem_collection'!E146</f>
        <v>42762</v>
      </c>
      <c r="U585" s="224">
        <f>IF('WetLitterbags placem_collection'!G146="","",'WetLitterbags placem_collection'!G146)</f>
        <v>42816</v>
      </c>
      <c r="V585" s="225">
        <f t="shared" si="45"/>
        <v>54</v>
      </c>
      <c r="W585" s="223">
        <f t="shared" si="48"/>
        <v>1.1818</v>
      </c>
      <c r="X585" s="223">
        <f t="shared" si="49"/>
        <v>1.1989729670303806</v>
      </c>
      <c r="Y585">
        <f>IFERROR(INDEX(Rainfall_Wet!$O$2:$O$217,MATCH(B585, Rainfall_Wet!$A$2:$A$217,0)),"")</f>
        <v>206.85140822299999</v>
      </c>
      <c r="Z585" s="228">
        <v>33.96</v>
      </c>
      <c r="AA585" s="228">
        <v>8.9200000000000017</v>
      </c>
      <c r="AB585" s="228">
        <v>57.12</v>
      </c>
      <c r="AC585" s="229" t="s">
        <v>2654</v>
      </c>
      <c r="AD585" s="228">
        <v>9.0720551996057193</v>
      </c>
      <c r="AE585">
        <f>IF('WetLitterbags placem_collection'!AB146="","",'WetLitterbags placem_collection'!AB146)</f>
        <v>2.5</v>
      </c>
      <c r="AF585">
        <f>IF('WetLitterbags placem_collection'!Z146="","",'WetLitterbags placem_collection'!Z146)</f>
        <v>19.8</v>
      </c>
      <c r="AG585" s="243" t="str">
        <f>IF('WetLitterbags placem_collection'!AA146="","",'WetLitterbags placem_collection'!AA146)</f>
        <v>G</v>
      </c>
      <c r="AH585">
        <f>IF('WetLitterbags placem_collection'!AC146="","",'WetLitterbags placem_collection'!AC146)</f>
        <v>1</v>
      </c>
      <c r="AI585" s="237">
        <f>AVERAGE('WetLitterbags placem_collection'!S146,'WetLitterbags placem_collection'!U146)</f>
        <v>17.149999999999999</v>
      </c>
      <c r="AJ585">
        <f>AVERAGE('WetLitterbags placem_collection'!R146,'WetLitterbags placem_collection'!T146)</f>
        <v>31.4</v>
      </c>
      <c r="AK585">
        <f>INDEX(Coordinates!$B$2:$B$197,MATCH(H585,Coordinates!$J$2:$J$197,0))</f>
        <v>-2.3486560399999998</v>
      </c>
      <c r="AL585">
        <f>INDEX(Coordinates!$C$2:$C$197,MATCH(H585,Coordinates!$J$2:$J$197,0))</f>
        <v>34.049895020000001</v>
      </c>
      <c r="AM585" t="str">
        <f>IF(ISNUMBER(SEARCH("C", 'WetLitterbags placem_collection'!$X146)),"YES","NO")</f>
        <v>NO</v>
      </c>
      <c r="AN585" t="str">
        <f>IF(ISNUMBER(SEARCH("H", 'WetLitterbags placem_collection'!$X146)),"YES","NO")</f>
        <v>NO</v>
      </c>
      <c r="AO585" t="str">
        <f>IF(ISNUMBER(SEARCH("R", 'WetLitterbags placem_collection'!$X146)),"YES","NO")</f>
        <v>YES</v>
      </c>
    </row>
    <row r="586" spans="1:41" ht="15" customHeight="1">
      <c r="A586" s="255" t="s">
        <v>2454</v>
      </c>
      <c r="B586" s="260">
        <f>'Dry_Litterbag Placem_Collection'!A147</f>
        <v>145</v>
      </c>
      <c r="C586" s="260" t="str">
        <f>'Dry_Litterbag Placem_Collection'!B147</f>
        <v xml:space="preserve">Mwantimba
</v>
      </c>
      <c r="D586" s="260" t="s">
        <v>2454</v>
      </c>
      <c r="E586" s="260" t="s">
        <v>20</v>
      </c>
      <c r="F586" s="260">
        <v>3</v>
      </c>
      <c r="G586" s="260" t="s">
        <v>3823</v>
      </c>
      <c r="H586" s="261" t="str">
        <f>'Dry_Litterbag Placem_Collection'!C147</f>
        <v>Wet_P3_T1</v>
      </c>
      <c r="I586" s="270" t="s">
        <v>3630</v>
      </c>
      <c r="J586" s="263" t="s">
        <v>1147</v>
      </c>
      <c r="K586" s="221" t="str">
        <f>'WetLitterbags placem_collection'!O147</f>
        <v>G653</v>
      </c>
      <c r="L586" s="223">
        <f>IFERROR(INDEX('Green_rooibos initial weight'!$C$5:$C$2000,MATCH(K586, 'Green_rooibos initial weight'!$A$5:$A$2000,0)),"")</f>
        <v>2.089</v>
      </c>
      <c r="M586" s="223">
        <f>IFERROR(L586-(TBIcalc!$H$9+TBIcalc!$H$10),"")</f>
        <v>1.8391999999999999</v>
      </c>
      <c r="N586" s="385">
        <f>AVERAGE(Ashed_controlls!$K$2:$K$11)</f>
        <v>5.5147656768714146</v>
      </c>
      <c r="O586" s="223">
        <f t="shared" si="46"/>
        <v>1.7377724296709809</v>
      </c>
      <c r="P586" s="223">
        <f>IFERROR(INDEX('Both teabags AfterWet'!$C$3:$C$840,MATCH(K586,'Both teabags AfterWet'!$A$3:$A$840,0)),"")</f>
        <v>0.69799999999999995</v>
      </c>
      <c r="Q586" s="223">
        <f>IFERROR(IF(P586&gt;0,P586-(TBIcalc!$H$9),""),"")</f>
        <v>0.54739999999999989</v>
      </c>
      <c r="R586" s="223">
        <f>IFERROR(INDEX('Ashed teabags wet'!$K$2:$K$2000,MATCH(K586,'Ashed teabags wet'!$A$2:$A$2000,0)),"")</f>
        <v>19.630709426627803</v>
      </c>
      <c r="S586" s="223">
        <f t="shared" si="47"/>
        <v>0.43994149659863935</v>
      </c>
      <c r="T586" s="224">
        <f>'WetLitterbags placem_collection'!E147</f>
        <v>42762</v>
      </c>
      <c r="U586" s="224">
        <f>IF('WetLitterbags placem_collection'!G147="","",'WetLitterbags placem_collection'!G147)</f>
        <v>42815</v>
      </c>
      <c r="V586" s="225">
        <f t="shared" si="45"/>
        <v>53</v>
      </c>
      <c r="W586" s="223">
        <f t="shared" si="48"/>
        <v>1.2918000000000001</v>
      </c>
      <c r="X586" s="223">
        <f t="shared" si="49"/>
        <v>1.2978309330723414</v>
      </c>
      <c r="Y586">
        <f>IFERROR(INDEX(Rainfall_Wet!$O$2:$O$217,MATCH(B586, Rainfall_Wet!$A$2:$A$217,0)),"")</f>
        <v>205.76139209600001</v>
      </c>
      <c r="Z586" s="228">
        <v>39.96</v>
      </c>
      <c r="AA586" s="228">
        <v>12.920000000000002</v>
      </c>
      <c r="AB586" s="228">
        <v>47.12</v>
      </c>
      <c r="AC586" s="229" t="s">
        <v>2658</v>
      </c>
      <c r="AD586" s="228">
        <v>1.6549531789058647</v>
      </c>
      <c r="AE586">
        <f>IF('WetLitterbags placem_collection'!AB147="","",'WetLitterbags placem_collection'!AB147)</f>
        <v>3.95</v>
      </c>
      <c r="AF586">
        <f>IF('WetLitterbags placem_collection'!Z147="","",'WetLitterbags placem_collection'!Z147)</f>
        <v>13</v>
      </c>
      <c r="AG586" s="243" t="str">
        <f>IF('WetLitterbags placem_collection'!AA147="","",'WetLitterbags placem_collection'!AA147)</f>
        <v>O</v>
      </c>
      <c r="AH586">
        <f>IF('WetLitterbags placem_collection'!AC147="","",'WetLitterbags placem_collection'!AC147)</f>
        <v>0</v>
      </c>
      <c r="AI586" s="237">
        <f>AVERAGE('WetLitterbags placem_collection'!S147,'WetLitterbags placem_collection'!U147)</f>
        <v>27.200000000000003</v>
      </c>
      <c r="AJ586">
        <f>AVERAGE('WetLitterbags placem_collection'!R147,'WetLitterbags placem_collection'!T147)</f>
        <v>30.9</v>
      </c>
      <c r="AK586">
        <f>INDEX(Coordinates!$B$2:$B$197,MATCH(H586,Coordinates!$J$2:$J$197,0))</f>
        <v>-2.3675269729999999</v>
      </c>
      <c r="AL586">
        <f>INDEX(Coordinates!$C$2:$C$197,MATCH(H586,Coordinates!$J$2:$J$197,0))</f>
        <v>34.06035799</v>
      </c>
      <c r="AM586" t="str">
        <f>IF(ISNUMBER(SEARCH("C", 'WetLitterbags placem_collection'!$X147)),"YES","NO")</f>
        <v>NO</v>
      </c>
      <c r="AN586" t="str">
        <f>IF(ISNUMBER(SEARCH("H", 'WetLitterbags placem_collection'!$X147)),"YES","NO")</f>
        <v>NO</v>
      </c>
      <c r="AO586" t="str">
        <f>IF(ISNUMBER(SEARCH("R", 'WetLitterbags placem_collection'!$X147)),"YES","NO")</f>
        <v>NO</v>
      </c>
    </row>
    <row r="587" spans="1:41" ht="15" customHeight="1">
      <c r="A587" s="255" t="s">
        <v>2454</v>
      </c>
      <c r="B587" s="260">
        <f>'Dry_Litterbag Placem_Collection'!A148</f>
        <v>146</v>
      </c>
      <c r="C587" s="260" t="str">
        <f>'Dry_Litterbag Placem_Collection'!B148</f>
        <v xml:space="preserve">Mwantimba
</v>
      </c>
      <c r="D587" s="260" t="s">
        <v>2454</v>
      </c>
      <c r="E587" s="260" t="s">
        <v>20</v>
      </c>
      <c r="F587" s="260">
        <v>3</v>
      </c>
      <c r="G587" s="260" t="s">
        <v>3823</v>
      </c>
      <c r="H587" s="261" t="str">
        <f>'Dry_Litterbag Placem_Collection'!C148</f>
        <v>Wet_P3_T2</v>
      </c>
      <c r="I587" s="270" t="s">
        <v>3630</v>
      </c>
      <c r="J587" s="263" t="s">
        <v>1147</v>
      </c>
      <c r="K587" s="221" t="str">
        <f>'WetLitterbags placem_collection'!O148</f>
        <v>G762</v>
      </c>
      <c r="L587" s="223">
        <f>IFERROR(INDEX('Green_rooibos initial weight'!$C$5:$C$2000,MATCH(K587, 'Green_rooibos initial weight'!$A$5:$A$2000,0)),"")</f>
        <v>2.016</v>
      </c>
      <c r="M587" s="223">
        <f>IFERROR(L587-(TBIcalc!$H$9+TBIcalc!$H$10),"")</f>
        <v>1.7662</v>
      </c>
      <c r="N587" s="385">
        <f>AVERAGE(Ashed_controlls!$K$2:$K$11)</f>
        <v>5.5147656768714146</v>
      </c>
      <c r="O587" s="223">
        <f t="shared" si="46"/>
        <v>1.668798208615097</v>
      </c>
      <c r="P587" s="223">
        <f>IFERROR(INDEX('Both teabags AfterWet'!$C$3:$C$840,MATCH(K587,'Both teabags AfterWet'!$A$3:$A$840,0)),"")</f>
        <v>0.59199999999999997</v>
      </c>
      <c r="Q587" s="223">
        <f>IFERROR(IF(P587&gt;0,P587-(TBIcalc!$H$9),""),"")</f>
        <v>0.44139999999999996</v>
      </c>
      <c r="R587" s="223">
        <f>IFERROR(INDEX('Ashed teabags wet'!$K$2:$K$2000,MATCH(K587,'Ashed teabags wet'!$A$2:$A$2000,0)),"")</f>
        <v>17.030567685589826</v>
      </c>
      <c r="S587" s="223">
        <f t="shared" si="47"/>
        <v>0.36622707423580647</v>
      </c>
      <c r="T587" s="224">
        <f>'WetLitterbags placem_collection'!E148</f>
        <v>42762</v>
      </c>
      <c r="U587" s="224">
        <f>IF('WetLitterbags placem_collection'!G148="","",'WetLitterbags placem_collection'!G148)</f>
        <v>42815</v>
      </c>
      <c r="V587" s="225">
        <f t="shared" si="45"/>
        <v>53</v>
      </c>
      <c r="W587" s="223">
        <f t="shared" si="48"/>
        <v>1.3248</v>
      </c>
      <c r="X587" s="223">
        <f t="shared" si="49"/>
        <v>1.3025711343792905</v>
      </c>
      <c r="Y587">
        <f>IFERROR(INDEX(Rainfall_Wet!$O$2:$O$217,MATCH(B587, Rainfall_Wet!$A$2:$A$217,0)),"")</f>
        <v>205.76139209600001</v>
      </c>
      <c r="Z587" s="228">
        <v>39.96</v>
      </c>
      <c r="AA587" s="228">
        <v>12.920000000000002</v>
      </c>
      <c r="AB587" s="228">
        <v>47.12</v>
      </c>
      <c r="AC587" s="229" t="s">
        <v>2658</v>
      </c>
      <c r="AD587" s="228">
        <v>2.6549531789058598</v>
      </c>
      <c r="AE587">
        <f>IF('WetLitterbags placem_collection'!AB148="","",'WetLitterbags placem_collection'!AB148)</f>
        <v>2.75</v>
      </c>
      <c r="AF587">
        <f>IF('WetLitterbags placem_collection'!Z148="","",'WetLitterbags placem_collection'!Z148)</f>
        <v>17.7</v>
      </c>
      <c r="AG587" s="243" t="str">
        <f>IF('WetLitterbags placem_collection'!AA148="","",'WetLitterbags placem_collection'!AA148)</f>
        <v>O</v>
      </c>
      <c r="AH587">
        <f>IF('WetLitterbags placem_collection'!AC148="","",'WetLitterbags placem_collection'!AC148)</f>
        <v>1</v>
      </c>
      <c r="AI587" s="237">
        <f>AVERAGE('WetLitterbags placem_collection'!S148,'WetLitterbags placem_collection'!U148)</f>
        <v>22.65</v>
      </c>
      <c r="AJ587">
        <f>AVERAGE('WetLitterbags placem_collection'!R148,'WetLitterbags placem_collection'!T148)</f>
        <v>30.549999999999997</v>
      </c>
      <c r="AK587">
        <f>INDEX(Coordinates!$B$2:$B$197,MATCH(H587,Coordinates!$J$2:$J$197,0))</f>
        <v>-2.3675380370000001</v>
      </c>
      <c r="AL587">
        <f>INDEX(Coordinates!$C$2:$C$197,MATCH(H587,Coordinates!$J$2:$J$197,0))</f>
        <v>34.060381960000001</v>
      </c>
      <c r="AM587" t="str">
        <f>IF(ISNUMBER(SEARCH("C", 'WetLitterbags placem_collection'!$X148)),"YES","NO")</f>
        <v>NO</v>
      </c>
      <c r="AN587" t="str">
        <f>IF(ISNUMBER(SEARCH("H", 'WetLitterbags placem_collection'!$X148)),"YES","NO")</f>
        <v>NO</v>
      </c>
      <c r="AO587" t="str">
        <f>IF(ISNUMBER(SEARCH("R", 'WetLitterbags placem_collection'!$X148)),"YES","NO")</f>
        <v>YES</v>
      </c>
    </row>
    <row r="588" spans="1:41" ht="15" customHeight="1">
      <c r="A588" s="255" t="s">
        <v>2454</v>
      </c>
      <c r="B588" s="260">
        <f>'Dry_Litterbag Placem_Collection'!A149</f>
        <v>147</v>
      </c>
      <c r="C588" s="260" t="str">
        <f>'Dry_Litterbag Placem_Collection'!B149</f>
        <v xml:space="preserve">Mwantimba
</v>
      </c>
      <c r="D588" s="260" t="s">
        <v>2454</v>
      </c>
      <c r="E588" s="260" t="s">
        <v>20</v>
      </c>
      <c r="F588" s="260">
        <v>3</v>
      </c>
      <c r="G588" s="260" t="s">
        <v>3823</v>
      </c>
      <c r="H588" s="261" t="str">
        <f>'Dry_Litterbag Placem_Collection'!C149</f>
        <v>Wet_P3_T3</v>
      </c>
      <c r="I588" s="270" t="s">
        <v>3630</v>
      </c>
      <c r="J588" s="263" t="s">
        <v>1147</v>
      </c>
      <c r="K588" s="221" t="str">
        <f>'WetLitterbags placem_collection'!O149</f>
        <v>G878</v>
      </c>
      <c r="L588" s="223">
        <f>IFERROR(INDEX('Green_rooibos initial weight'!$C$5:$C$2000,MATCH(K588, 'Green_rooibos initial weight'!$A$5:$A$2000,0)),"")</f>
        <v>2.0939999999999999</v>
      </c>
      <c r="M588" s="223">
        <f>IFERROR(L588-(TBIcalc!$H$9+TBIcalc!$H$10),"")</f>
        <v>1.8441999999999998</v>
      </c>
      <c r="N588" s="385">
        <f>AVERAGE(Ashed_controlls!$K$2:$K$11)</f>
        <v>5.5147656768714146</v>
      </c>
      <c r="O588" s="223">
        <f t="shared" si="46"/>
        <v>1.7424966913871371</v>
      </c>
      <c r="P588" s="223">
        <f>IFERROR(INDEX('Both teabags AfterWet'!$C$3:$C$840,MATCH(K588,'Both teabags AfterWet'!$A$3:$A$840,0)),"")</f>
        <v>0.628</v>
      </c>
      <c r="Q588" s="223">
        <f>IFERROR(IF(P588&gt;0,P588-(TBIcalc!$H$9),""),"")</f>
        <v>0.47739999999999999</v>
      </c>
      <c r="R588" s="223">
        <f>IFERROR(INDEX('Ashed teabags wet'!$K$2:$K$2000,MATCH(K588,'Ashed teabags wet'!$A$2:$A$2000,0)),"")</f>
        <v>18.664047151277249</v>
      </c>
      <c r="S588" s="223">
        <f t="shared" si="47"/>
        <v>0.38829783889980241</v>
      </c>
      <c r="T588" s="224">
        <f>'WetLitterbags placem_collection'!E149</f>
        <v>42762</v>
      </c>
      <c r="U588" s="224">
        <f>IF('WetLitterbags placem_collection'!G149="","",'WetLitterbags placem_collection'!G149)</f>
        <v>42816</v>
      </c>
      <c r="V588" s="225">
        <f t="shared" si="45"/>
        <v>54</v>
      </c>
      <c r="W588" s="223">
        <f t="shared" si="48"/>
        <v>1.3667999999999998</v>
      </c>
      <c r="X588" s="223">
        <f t="shared" si="49"/>
        <v>1.3541988524873347</v>
      </c>
      <c r="Y588">
        <f>IFERROR(INDEX(Rainfall_Wet!$O$2:$O$217,MATCH(B588, Rainfall_Wet!$A$2:$A$217,0)),"")</f>
        <v>206.85140822299999</v>
      </c>
      <c r="Z588" s="228">
        <v>39.96</v>
      </c>
      <c r="AA588" s="228">
        <v>12.920000000000002</v>
      </c>
      <c r="AB588" s="228">
        <v>47.12</v>
      </c>
      <c r="AC588" s="229" t="s">
        <v>2658</v>
      </c>
      <c r="AD588" s="228">
        <v>3.6549531789058598</v>
      </c>
      <c r="AE588">
        <f>IF('WetLitterbags placem_collection'!AB149="","",'WetLitterbags placem_collection'!AB149)</f>
        <v>3.6</v>
      </c>
      <c r="AF588">
        <f>IF('WetLitterbags placem_collection'!Z149="","",'WetLitterbags placem_collection'!Z149)</f>
        <v>19</v>
      </c>
      <c r="AG588" s="243" t="str">
        <f>IF('WetLitterbags placem_collection'!AA149="","",'WetLitterbags placem_collection'!AA149)</f>
        <v>M</v>
      </c>
      <c r="AH588">
        <f>IF('WetLitterbags placem_collection'!AC149="","",'WetLitterbags placem_collection'!AC149)</f>
        <v>1</v>
      </c>
      <c r="AI588" s="237">
        <f>AVERAGE('WetLitterbags placem_collection'!S149,'WetLitterbags placem_collection'!U149)</f>
        <v>23.35</v>
      </c>
      <c r="AJ588">
        <f>AVERAGE('WetLitterbags placem_collection'!R149,'WetLitterbags placem_collection'!T149)</f>
        <v>29.9</v>
      </c>
      <c r="AK588">
        <f>INDEX(Coordinates!$B$2:$B$197,MATCH(H588,Coordinates!$J$2:$J$197,0))</f>
        <v>-2.3675780180000001</v>
      </c>
      <c r="AL588">
        <f>INDEX(Coordinates!$C$2:$C$197,MATCH(H588,Coordinates!$J$2:$J$197,0))</f>
        <v>34.060323029999999</v>
      </c>
      <c r="AM588" t="str">
        <f>IF(ISNUMBER(SEARCH("C", 'WetLitterbags placem_collection'!$X149)),"YES","NO")</f>
        <v>NO</v>
      </c>
      <c r="AN588" t="str">
        <f>IF(ISNUMBER(SEARCH("H", 'WetLitterbags placem_collection'!$X149)),"YES","NO")</f>
        <v>NO</v>
      </c>
      <c r="AO588" t="str">
        <f>IF(ISNUMBER(SEARCH("R", 'WetLitterbags placem_collection'!$X149)),"YES","NO")</f>
        <v>NO</v>
      </c>
    </row>
    <row r="589" spans="1:41" ht="15" customHeight="1">
      <c r="A589" s="255" t="s">
        <v>2454</v>
      </c>
      <c r="B589" s="260">
        <f>'Dry_Litterbag Placem_Collection'!A150</f>
        <v>148</v>
      </c>
      <c r="C589" s="260" t="str">
        <f>'Dry_Litterbag Placem_Collection'!B150</f>
        <v xml:space="preserve">Mwantimba
</v>
      </c>
      <c r="D589" s="260" t="s">
        <v>2454</v>
      </c>
      <c r="E589" s="260" t="s">
        <v>20</v>
      </c>
      <c r="F589" s="260">
        <v>3</v>
      </c>
      <c r="G589" s="260" t="s">
        <v>3823</v>
      </c>
      <c r="H589" s="261" t="str">
        <f>'Dry_Litterbag Placem_Collection'!C150</f>
        <v>Wet_P3_T4</v>
      </c>
      <c r="I589" s="270" t="s">
        <v>3630</v>
      </c>
      <c r="J589" s="263" t="s">
        <v>1147</v>
      </c>
      <c r="K589" s="221" t="str">
        <f>'WetLitterbags placem_collection'!O150</f>
        <v>G807</v>
      </c>
      <c r="L589" s="223">
        <f>IFERROR(INDEX('Green_rooibos initial weight'!$C$5:$C$2000,MATCH(K589, 'Green_rooibos initial weight'!$A$5:$A$2000,0)),"")</f>
        <v>2.0310000000000001</v>
      </c>
      <c r="M589" s="223">
        <f>IFERROR(L589-(TBIcalc!$H$9+TBIcalc!$H$10),"")</f>
        <v>1.7812000000000001</v>
      </c>
      <c r="N589" s="385">
        <f>AVERAGE(Ashed_controlls!$K$2:$K$11)</f>
        <v>5.5147656768714146</v>
      </c>
      <c r="O589" s="223">
        <f t="shared" si="46"/>
        <v>1.6829709937635664</v>
      </c>
      <c r="P589" s="223">
        <f>IFERROR(INDEX('Both teabags AfterWet'!$C$3:$C$840,MATCH(K589,'Both teabags AfterWet'!$A$3:$A$840,0)),"")</f>
        <v>0.74309999999999998</v>
      </c>
      <c r="Q589" s="223">
        <f>IFERROR(IF(P589&gt;0,P589-(TBIcalc!$H$9),""),"")</f>
        <v>0.59250000000000003</v>
      </c>
      <c r="R589" s="223">
        <f>IFERROR(INDEX('Ashed teabags wet'!$K$2:$K$2000,MATCH(K589,'Ashed teabags wet'!$A$2:$A$2000,0)),"")</f>
        <v>19.203072491598501</v>
      </c>
      <c r="S589" s="223">
        <f t="shared" si="47"/>
        <v>0.47872179548727889</v>
      </c>
      <c r="T589" s="224">
        <f>'WetLitterbags placem_collection'!E150</f>
        <v>42762</v>
      </c>
      <c r="U589" s="224">
        <f>IF('WetLitterbags placem_collection'!G150="","",'WetLitterbags placem_collection'!G150)</f>
        <v>42816</v>
      </c>
      <c r="V589" s="225">
        <f t="shared" si="45"/>
        <v>54</v>
      </c>
      <c r="W589" s="223">
        <f t="shared" si="48"/>
        <v>1.1887000000000001</v>
      </c>
      <c r="X589" s="223">
        <f t="shared" si="49"/>
        <v>1.2042491982762875</v>
      </c>
      <c r="Y589">
        <f>IFERROR(INDEX(Rainfall_Wet!$O$2:$O$217,MATCH(B589, Rainfall_Wet!$A$2:$A$217,0)),"")</f>
        <v>206.85140822299999</v>
      </c>
      <c r="Z589" s="228">
        <v>39.96</v>
      </c>
      <c r="AA589" s="228">
        <v>12.920000000000002</v>
      </c>
      <c r="AB589" s="228">
        <v>47.12</v>
      </c>
      <c r="AC589" s="229" t="s">
        <v>2658</v>
      </c>
      <c r="AD589" s="228">
        <v>4.6549531789058696</v>
      </c>
      <c r="AE589">
        <f>IF('WetLitterbags placem_collection'!AB150="","",'WetLitterbags placem_collection'!AB150)</f>
        <v>4.9000000000000004</v>
      </c>
      <c r="AF589">
        <f>IF('WetLitterbags placem_collection'!Z150="","",'WetLitterbags placem_collection'!Z150)</f>
        <v>17.489999999999998</v>
      </c>
      <c r="AG589" s="243" t="str">
        <f>IF('WetLitterbags placem_collection'!AA150="","",'WetLitterbags placem_collection'!AA150)</f>
        <v>M</v>
      </c>
      <c r="AH589">
        <f>IF('WetLitterbags placem_collection'!AC150="","",'WetLitterbags placem_collection'!AC150)</f>
        <v>1</v>
      </c>
      <c r="AI589" s="237">
        <f>AVERAGE('WetLitterbags placem_collection'!S150,'WetLitterbags placem_collection'!U150)</f>
        <v>28.2</v>
      </c>
      <c r="AJ589">
        <f>AVERAGE('WetLitterbags placem_collection'!R150,'WetLitterbags placem_collection'!T150)</f>
        <v>25.299999999999997</v>
      </c>
      <c r="AK589">
        <f>INDEX(Coordinates!$B$2:$B$197,MATCH(H589,Coordinates!$J$2:$J$197,0))</f>
        <v>-2.3676269689999998</v>
      </c>
      <c r="AL589">
        <f>INDEX(Coordinates!$C$2:$C$197,MATCH(H589,Coordinates!$J$2:$J$197,0))</f>
        <v>34.060310960000002</v>
      </c>
      <c r="AM589" t="str">
        <f>IF(ISNUMBER(SEARCH("C", 'WetLitterbags placem_collection'!$X150)),"YES","NO")</f>
        <v>NO</v>
      </c>
      <c r="AN589" t="str">
        <f>IF(ISNUMBER(SEARCH("H", 'WetLitterbags placem_collection'!$X150)),"YES","NO")</f>
        <v>NO</v>
      </c>
      <c r="AO589" t="str">
        <f>IF(ISNUMBER(SEARCH("R", 'WetLitterbags placem_collection'!$X150)),"YES","NO")</f>
        <v>YES</v>
      </c>
    </row>
    <row r="590" spans="1:41" ht="15" customHeight="1">
      <c r="A590" s="255" t="s">
        <v>2454</v>
      </c>
      <c r="B590" s="260">
        <f>'Dry_Litterbag Placem_Collection'!A151</f>
        <v>149</v>
      </c>
      <c r="C590" s="260" t="str">
        <f>'Dry_Litterbag Placem_Collection'!B151</f>
        <v xml:space="preserve">Mwantimba
</v>
      </c>
      <c r="D590" s="260" t="s">
        <v>2454</v>
      </c>
      <c r="E590" s="260" t="s">
        <v>20</v>
      </c>
      <c r="F590" s="260">
        <v>3</v>
      </c>
      <c r="G590" s="260" t="s">
        <v>3823</v>
      </c>
      <c r="H590" s="261" t="str">
        <f>'Dry_Litterbag Placem_Collection'!C151</f>
        <v>Wet_P3_T5</v>
      </c>
      <c r="I590" s="270" t="s">
        <v>3630</v>
      </c>
      <c r="J590" s="263" t="s">
        <v>1147</v>
      </c>
      <c r="K590" s="221" t="str">
        <f>'WetLitterbags placem_collection'!O151</f>
        <v>G696</v>
      </c>
      <c r="L590" s="223">
        <f>IFERROR(INDEX('Green_rooibos initial weight'!$C$5:$C$2000,MATCH(K590, 'Green_rooibos initial weight'!$A$5:$A$2000,0)),"")</f>
        <v>2.036</v>
      </c>
      <c r="M590" s="223">
        <f>IFERROR(L590-(TBIcalc!$H$9+TBIcalc!$H$10),"")</f>
        <v>1.7862</v>
      </c>
      <c r="N590" s="385">
        <f>AVERAGE(Ashed_controlls!$K$2:$K$11)</f>
        <v>5.5147656768714146</v>
      </c>
      <c r="O590" s="223">
        <f t="shared" si="46"/>
        <v>1.6876952554797229</v>
      </c>
      <c r="P590" s="223">
        <f>IFERROR(INDEX('Both teabags AfterWet'!$C$3:$C$840,MATCH(K590,'Both teabags AfterWet'!$A$3:$A$840,0)),"")</f>
        <v>0.82469999999999999</v>
      </c>
      <c r="Q590" s="223">
        <f>IFERROR(IF(P590&gt;0,P590-(TBIcalc!$H$9),""),"")</f>
        <v>0.67409999999999992</v>
      </c>
      <c r="R590" s="223">
        <f>IFERROR(INDEX('Ashed teabags wet'!$K$2:$K$2000,MATCH(K590,'Ashed teabags wet'!$A$2:$A$2000,0)),"")</f>
        <v>31.23781676413266</v>
      </c>
      <c r="S590" s="223">
        <f t="shared" si="47"/>
        <v>0.46352587719298166</v>
      </c>
      <c r="T590" s="224">
        <f>'WetLitterbags placem_collection'!E151</f>
        <v>42762</v>
      </c>
      <c r="U590" s="224">
        <f>IF('WetLitterbags placem_collection'!G151="","",'WetLitterbags placem_collection'!G151)</f>
        <v>42816</v>
      </c>
      <c r="V590" s="225">
        <f t="shared" si="45"/>
        <v>54</v>
      </c>
      <c r="W590" s="223">
        <f t="shared" si="48"/>
        <v>1.1121000000000001</v>
      </c>
      <c r="X590" s="223">
        <f t="shared" si="49"/>
        <v>1.2241693782867413</v>
      </c>
      <c r="Y590">
        <f>IFERROR(INDEX(Rainfall_Wet!$O$2:$O$217,MATCH(B590, Rainfall_Wet!$A$2:$A$217,0)),"")</f>
        <v>206.85140822299999</v>
      </c>
      <c r="Z590" s="228">
        <v>39.96</v>
      </c>
      <c r="AA590" s="228">
        <v>12.920000000000002</v>
      </c>
      <c r="AB590" s="228">
        <v>47.12</v>
      </c>
      <c r="AC590" s="229" t="s">
        <v>2658</v>
      </c>
      <c r="AD590" s="228">
        <v>5.6549531789058696</v>
      </c>
      <c r="AE590">
        <f>IF('WetLitterbags placem_collection'!AB151="","",'WetLitterbags placem_collection'!AB151)</f>
        <v>2.8</v>
      </c>
      <c r="AF590">
        <f>IF('WetLitterbags placem_collection'!Z151="","",'WetLitterbags placem_collection'!Z151)</f>
        <v>13</v>
      </c>
      <c r="AG590" s="243" t="str">
        <f>IF('WetLitterbags placem_collection'!AA151="","",'WetLitterbags placem_collection'!AA151)</f>
        <v>M</v>
      </c>
      <c r="AH590">
        <f>IF('WetLitterbags placem_collection'!AC151="","",'WetLitterbags placem_collection'!AC151)</f>
        <v>1</v>
      </c>
      <c r="AI590" s="237">
        <f>AVERAGE('WetLitterbags placem_collection'!S151,'WetLitterbags placem_collection'!U151)</f>
        <v>25.4</v>
      </c>
      <c r="AJ590">
        <f>AVERAGE('WetLitterbags placem_collection'!R151,'WetLitterbags placem_collection'!T151)</f>
        <v>26.9</v>
      </c>
      <c r="AK590">
        <f>INDEX(Coordinates!$B$2:$B$197,MATCH(H590,Coordinates!$J$2:$J$197,0))</f>
        <v>-2.3677179960000001</v>
      </c>
      <c r="AL590">
        <f>INDEX(Coordinates!$C$2:$C$197,MATCH(H590,Coordinates!$J$2:$J$197,0))</f>
        <v>34.060324960000003</v>
      </c>
      <c r="AM590" t="str">
        <f>IF(ISNUMBER(SEARCH("C", 'WetLitterbags placem_collection'!$X151)),"YES","NO")</f>
        <v>NO</v>
      </c>
      <c r="AN590" t="str">
        <f>IF(ISNUMBER(SEARCH("H", 'WetLitterbags placem_collection'!$X151)),"YES","NO")</f>
        <v>NO</v>
      </c>
      <c r="AO590" t="str">
        <f>IF(ISNUMBER(SEARCH("R", 'WetLitterbags placem_collection'!$X151)),"YES","NO")</f>
        <v>NO</v>
      </c>
    </row>
    <row r="591" spans="1:41" ht="15" customHeight="1">
      <c r="A591" s="255" t="s">
        <v>2454</v>
      </c>
      <c r="B591" s="260">
        <f>'Dry_Litterbag Placem_Collection'!A152</f>
        <v>150</v>
      </c>
      <c r="C591" s="260" t="str">
        <f>'Dry_Litterbag Placem_Collection'!B152</f>
        <v xml:space="preserve">Mwantimba
</v>
      </c>
      <c r="D591" s="260" t="s">
        <v>2454</v>
      </c>
      <c r="E591" s="260" t="s">
        <v>20</v>
      </c>
      <c r="F591" s="260">
        <v>3</v>
      </c>
      <c r="G591" s="260" t="s">
        <v>3823</v>
      </c>
      <c r="H591" s="261" t="str">
        <f>'Dry_Litterbag Placem_Collection'!C152</f>
        <v>Wet_P3_T6</v>
      </c>
      <c r="I591" s="270" t="s">
        <v>3630</v>
      </c>
      <c r="J591" s="263" t="s">
        <v>1147</v>
      </c>
      <c r="K591" s="221" t="str">
        <f>'WetLitterbags placem_collection'!O152</f>
        <v>G801</v>
      </c>
      <c r="L591" s="223">
        <f>IFERROR(INDEX('Green_rooibos initial weight'!$C$5:$C$2000,MATCH(K591, 'Green_rooibos initial weight'!$A$5:$A$2000,0)),"")</f>
        <v>2.0720000000000001</v>
      </c>
      <c r="M591" s="223">
        <f>IFERROR(L591-(TBIcalc!$H$9+TBIcalc!$H$10),"")</f>
        <v>1.8222</v>
      </c>
      <c r="N591" s="385">
        <f>AVERAGE(Ashed_controlls!$K$2:$K$11)</f>
        <v>5.5147656768714146</v>
      </c>
      <c r="O591" s="223">
        <f t="shared" si="46"/>
        <v>1.7217099398360491</v>
      </c>
      <c r="P591" s="223">
        <f>IFERROR(INDEX('Both teabags AfterWet'!$C$3:$C$840,MATCH(K591,'Both teabags AfterWet'!$A$3:$A$840,0)),"")</f>
        <v>0.60099999999999998</v>
      </c>
      <c r="Q591" s="223">
        <f>IFERROR(IF(P591&gt;0,P591-(TBIcalc!$H$9),""),"")</f>
        <v>0.45039999999999997</v>
      </c>
      <c r="R591" s="223">
        <f>IFERROR(INDEX('Ashed teabags wet'!$K$2:$K$2000,MATCH(K591,'Ashed teabags wet'!$A$2:$A$2000,0)),"")</f>
        <v>20.08862629246671</v>
      </c>
      <c r="S591" s="223">
        <f t="shared" si="47"/>
        <v>0.35992082717872992</v>
      </c>
      <c r="T591" s="224">
        <f>'WetLitterbags placem_collection'!E152</f>
        <v>42762</v>
      </c>
      <c r="U591" s="224">
        <f>IF('WetLitterbags placem_collection'!G152="","",'WetLitterbags placem_collection'!G152)</f>
        <v>42816</v>
      </c>
      <c r="V591" s="225">
        <f t="shared" si="45"/>
        <v>54</v>
      </c>
      <c r="W591" s="223">
        <f t="shared" si="48"/>
        <v>1.3718000000000001</v>
      </c>
      <c r="X591" s="223">
        <f t="shared" si="49"/>
        <v>1.3617891126573192</v>
      </c>
      <c r="Y591">
        <f>IFERROR(INDEX(Rainfall_Wet!$O$2:$O$217,MATCH(B591, Rainfall_Wet!$A$2:$A$217,0)),"")</f>
        <v>206.85140822299999</v>
      </c>
      <c r="Z591" s="228">
        <v>39.96</v>
      </c>
      <c r="AA591" s="228">
        <v>12.920000000000002</v>
      </c>
      <c r="AB591" s="228">
        <v>47.12</v>
      </c>
      <c r="AC591" s="229" t="s">
        <v>2658</v>
      </c>
      <c r="AD591" s="228">
        <v>6.6549531789058696</v>
      </c>
      <c r="AE591">
        <f>IF('WetLitterbags placem_collection'!AB152="","",'WetLitterbags placem_collection'!AB152)</f>
        <v>2.75</v>
      </c>
      <c r="AF591">
        <f>IF('WetLitterbags placem_collection'!Z152="","",'WetLitterbags placem_collection'!Z152)</f>
        <v>19</v>
      </c>
      <c r="AG591" s="243" t="str">
        <f>IF('WetLitterbags placem_collection'!AA152="","",'WetLitterbags placem_collection'!AA152)</f>
        <v>O</v>
      </c>
      <c r="AH591">
        <f>IF('WetLitterbags placem_collection'!AC152="","",'WetLitterbags placem_collection'!AC152)</f>
        <v>0</v>
      </c>
      <c r="AI591" s="237">
        <f>AVERAGE('WetLitterbags placem_collection'!S152,'WetLitterbags placem_collection'!U152)</f>
        <v>22.55</v>
      </c>
      <c r="AJ591">
        <f>AVERAGE('WetLitterbags placem_collection'!R152,'WetLitterbags placem_collection'!T152)</f>
        <v>24.75</v>
      </c>
      <c r="AK591">
        <f>INDEX(Coordinates!$B$2:$B$197,MATCH(H591,Coordinates!$J$2:$J$197,0))</f>
        <v>-2.3675230329999999</v>
      </c>
      <c r="AL591">
        <f>INDEX(Coordinates!$C$2:$C$197,MATCH(H591,Coordinates!$J$2:$J$197,0))</f>
        <v>34.060512969999998</v>
      </c>
      <c r="AM591" t="str">
        <f>IF(ISNUMBER(SEARCH("C", 'WetLitterbags placem_collection'!$X152)),"YES","NO")</f>
        <v>NO</v>
      </c>
      <c r="AN591" t="str">
        <f>IF(ISNUMBER(SEARCH("H", 'WetLitterbags placem_collection'!$X152)),"YES","NO")</f>
        <v>NO</v>
      </c>
      <c r="AO591" t="str">
        <f>IF(ISNUMBER(SEARCH("R", 'WetLitterbags placem_collection'!$X152)),"YES","NO")</f>
        <v>NO</v>
      </c>
    </row>
    <row r="592" spans="1:41" ht="15" customHeight="1">
      <c r="A592" s="255" t="s">
        <v>2454</v>
      </c>
      <c r="B592" s="260">
        <f>'Dry_Litterbag Placem_Collection'!A153</f>
        <v>151</v>
      </c>
      <c r="C592" s="260" t="str">
        <f>'Dry_Litterbag Placem_Collection'!B153</f>
        <v xml:space="preserve">Mwantimba
</v>
      </c>
      <c r="D592" s="260" t="s">
        <v>2454</v>
      </c>
      <c r="E592" s="260" t="s">
        <v>20</v>
      </c>
      <c r="F592" s="260">
        <v>3</v>
      </c>
      <c r="G592" s="260" t="s">
        <v>3823</v>
      </c>
      <c r="H592" s="261" t="str">
        <f>'Dry_Litterbag Placem_Collection'!C153</f>
        <v>Wet_P3_T7</v>
      </c>
      <c r="I592" s="270" t="s">
        <v>3630</v>
      </c>
      <c r="J592" s="263" t="s">
        <v>1147</v>
      </c>
      <c r="K592" s="221" t="str">
        <f>'WetLitterbags placem_collection'!O153</f>
        <v>G647</v>
      </c>
      <c r="L592" s="223">
        <f>IFERROR(INDEX('Green_rooibos initial weight'!$C$5:$C$2000,MATCH(K592, 'Green_rooibos initial weight'!$A$5:$A$2000,0)),"")</f>
        <v>2.1240000000000001</v>
      </c>
      <c r="M592" s="223">
        <f>IFERROR(L592-(TBIcalc!$H$9+TBIcalc!$H$10),"")</f>
        <v>1.8742000000000001</v>
      </c>
      <c r="N592" s="385">
        <f>AVERAGE(Ashed_controlls!$K$2:$K$11)</f>
        <v>5.5147656768714146</v>
      </c>
      <c r="O592" s="223">
        <f t="shared" si="46"/>
        <v>1.770842261684076</v>
      </c>
      <c r="P592" s="223">
        <f>IFERROR(INDEX('Both teabags AfterWet'!$C$3:$C$840,MATCH(K592,'Both teabags AfterWet'!$A$3:$A$840,0)),"")</f>
        <v>0.78700000000000003</v>
      </c>
      <c r="Q592" s="223">
        <f>IFERROR(IF(P592&gt;0,P592-(TBIcalc!$H$9),""),"")</f>
        <v>0.63640000000000008</v>
      </c>
      <c r="R592" s="223">
        <f>IFERROR(INDEX('Ashed teabags wet'!$K$2:$K$2000,MATCH(K592,'Ashed teabags wet'!$A$2:$A$2000,0)),"")</f>
        <v>20.305781175346262</v>
      </c>
      <c r="S592" s="223">
        <f t="shared" si="47"/>
        <v>0.50717400860009643</v>
      </c>
      <c r="T592" s="224">
        <f>'WetLitterbags placem_collection'!E153</f>
        <v>42762</v>
      </c>
      <c r="U592" s="224">
        <f>IF('WetLitterbags placem_collection'!G153="","",'WetLitterbags placem_collection'!G153)</f>
        <v>42816</v>
      </c>
      <c r="V592" s="225">
        <f t="shared" si="45"/>
        <v>54</v>
      </c>
      <c r="W592" s="223">
        <f t="shared" si="48"/>
        <v>1.2378</v>
      </c>
      <c r="X592" s="223">
        <f t="shared" si="49"/>
        <v>1.2636682530839796</v>
      </c>
      <c r="Y592">
        <f>IFERROR(INDEX(Rainfall_Wet!$O$2:$O$217,MATCH(B592, Rainfall_Wet!$A$2:$A$217,0)),"")</f>
        <v>206.85140822299999</v>
      </c>
      <c r="Z592" s="228">
        <v>39.96</v>
      </c>
      <c r="AA592" s="228">
        <v>12.920000000000002</v>
      </c>
      <c r="AB592" s="228">
        <v>47.12</v>
      </c>
      <c r="AC592" s="229" t="s">
        <v>2658</v>
      </c>
      <c r="AD592" s="228">
        <v>7.6549531789058696</v>
      </c>
      <c r="AE592">
        <f>IF('WetLitterbags placem_collection'!AB153="","",'WetLitterbags placem_collection'!AB153)</f>
        <v>1.4</v>
      </c>
      <c r="AF592">
        <f>IF('WetLitterbags placem_collection'!Z153="","",'WetLitterbags placem_collection'!Z153)</f>
        <v>7.9</v>
      </c>
      <c r="AG592" s="243" t="str">
        <f>IF('WetLitterbags placem_collection'!AA153="","",'WetLitterbags placem_collection'!AA153)</f>
        <v>O</v>
      </c>
      <c r="AH592">
        <f>IF('WetLitterbags placem_collection'!AC153="","",'WetLitterbags placem_collection'!AC153)</f>
        <v>1</v>
      </c>
      <c r="AI592" s="237">
        <f>AVERAGE('WetLitterbags placem_collection'!S153,'WetLitterbags placem_collection'!U153)</f>
        <v>26.049999999999997</v>
      </c>
      <c r="AJ592">
        <f>AVERAGE('WetLitterbags placem_collection'!R153,'WetLitterbags placem_collection'!T153)</f>
        <v>26.5</v>
      </c>
      <c r="AK592">
        <f>INDEX(Coordinates!$B$2:$B$197,MATCH(H592,Coordinates!$J$2:$J$197,0))</f>
        <v>-2.3673460070000001</v>
      </c>
      <c r="AL592">
        <f>INDEX(Coordinates!$C$2:$C$197,MATCH(H592,Coordinates!$J$2:$J$197,0))</f>
        <v>34.060310039999997</v>
      </c>
      <c r="AM592" t="str">
        <f>IF(ISNUMBER(SEARCH("C", 'WetLitterbags placem_collection'!$X153)),"YES","NO")</f>
        <v>NO</v>
      </c>
      <c r="AN592" t="str">
        <f>IF(ISNUMBER(SEARCH("H", 'WetLitterbags placem_collection'!$X153)),"YES","NO")</f>
        <v>NO</v>
      </c>
      <c r="AO592" t="str">
        <f>IF(ISNUMBER(SEARCH("R", 'WetLitterbags placem_collection'!$X153)),"YES","NO")</f>
        <v>YES</v>
      </c>
    </row>
    <row r="593" spans="1:41" ht="15" customHeight="1">
      <c r="A593" s="255" t="s">
        <v>2454</v>
      </c>
      <c r="B593" s="260">
        <f>'Dry_Litterbag Placem_Collection'!A154</f>
        <v>152</v>
      </c>
      <c r="C593" s="260" t="str">
        <f>'Dry_Litterbag Placem_Collection'!B154</f>
        <v xml:space="preserve">Mwantimba
</v>
      </c>
      <c r="D593" s="260" t="s">
        <v>2454</v>
      </c>
      <c r="E593" s="260" t="s">
        <v>20</v>
      </c>
      <c r="F593" s="260">
        <v>3</v>
      </c>
      <c r="G593" s="260" t="s">
        <v>3823</v>
      </c>
      <c r="H593" s="261" t="str">
        <f>'Dry_Litterbag Placem_Collection'!C154</f>
        <v>Wet_P3_T8</v>
      </c>
      <c r="I593" s="270" t="s">
        <v>3630</v>
      </c>
      <c r="J593" s="263" t="s">
        <v>1147</v>
      </c>
      <c r="K593" s="221" t="str">
        <f>'WetLitterbags placem_collection'!O154</f>
        <v>G744</v>
      </c>
      <c r="L593" s="223">
        <f>IFERROR(INDEX('Green_rooibos initial weight'!$C$5:$C$2000,MATCH(K593, 'Green_rooibos initial weight'!$A$5:$A$2000,0)),"")</f>
        <v>2.085</v>
      </c>
      <c r="M593" s="223">
        <f>IFERROR(L593-(TBIcalc!$H$9+TBIcalc!$H$10),"")</f>
        <v>1.8351999999999999</v>
      </c>
      <c r="N593" s="385">
        <f>AVERAGE(Ashed_controlls!$K$2:$K$11)</f>
        <v>5.5147656768714146</v>
      </c>
      <c r="O593" s="223">
        <f t="shared" si="46"/>
        <v>1.7339930202980558</v>
      </c>
      <c r="P593" s="223">
        <f>IFERROR(INDEX('Both teabags AfterWet'!$C$3:$C$840,MATCH(K593,'Both teabags AfterWet'!$A$3:$A$840,0)),"")</f>
        <v>0.62919999999999998</v>
      </c>
      <c r="Q593" s="223">
        <f>IFERROR(IF(P593&gt;0,P593-(TBIcalc!$H$9),""),"")</f>
        <v>0.47859999999999997</v>
      </c>
      <c r="R593" s="223">
        <f>IFERROR(INDEX('Ashed teabags wet'!$K$2:$K$2000,MATCH(K593,'Ashed teabags wet'!$A$2:$A$2000,0)),"")</f>
        <v>13.529411764705387</v>
      </c>
      <c r="S593" s="223">
        <f t="shared" si="47"/>
        <v>0.41384823529411996</v>
      </c>
      <c r="T593" s="224">
        <f>'WetLitterbags placem_collection'!E154</f>
        <v>42762</v>
      </c>
      <c r="U593" s="224">
        <f>IF('WetLitterbags placem_collection'!G154="","",'WetLitterbags placem_collection'!G154)</f>
        <v>42816</v>
      </c>
      <c r="V593" s="225">
        <f t="shared" si="45"/>
        <v>54</v>
      </c>
      <c r="W593" s="223">
        <f t="shared" si="48"/>
        <v>1.3566</v>
      </c>
      <c r="X593" s="223">
        <f t="shared" si="49"/>
        <v>1.3201447850039358</v>
      </c>
      <c r="Y593">
        <f>IFERROR(INDEX(Rainfall_Wet!$O$2:$O$217,MATCH(B593, Rainfall_Wet!$A$2:$A$217,0)),"")</f>
        <v>206.85140822299999</v>
      </c>
      <c r="Z593" s="228">
        <v>39.96</v>
      </c>
      <c r="AA593" s="228">
        <v>12.920000000000002</v>
      </c>
      <c r="AB593" s="228">
        <v>47.12</v>
      </c>
      <c r="AC593" s="229" t="s">
        <v>2658</v>
      </c>
      <c r="AD593" s="228">
        <v>8.6549531789058705</v>
      </c>
      <c r="AE593">
        <f>IF('WetLitterbags placem_collection'!AB154="","",'WetLitterbags placem_collection'!AB154)</f>
        <v>2.2000000000000002</v>
      </c>
      <c r="AF593">
        <f>IF('WetLitterbags placem_collection'!Z154="","",'WetLitterbags placem_collection'!Z154)</f>
        <v>15</v>
      </c>
      <c r="AG593" s="243" t="str">
        <f>IF('WetLitterbags placem_collection'!AA154="","",'WetLitterbags placem_collection'!AA154)</f>
        <v>M</v>
      </c>
      <c r="AH593">
        <f>IF('WetLitterbags placem_collection'!AC154="","",'WetLitterbags placem_collection'!AC154)</f>
        <v>0</v>
      </c>
      <c r="AI593" s="237">
        <f>AVERAGE('WetLitterbags placem_collection'!S154,'WetLitterbags placem_collection'!U154)</f>
        <v>18.8</v>
      </c>
      <c r="AJ593">
        <f>AVERAGE('WetLitterbags placem_collection'!R154,'WetLitterbags placem_collection'!T154)</f>
        <v>23.7</v>
      </c>
      <c r="AK593">
        <f>INDEX(Coordinates!$B$2:$B$197,MATCH(H593,Coordinates!$J$2:$J$197,0))</f>
        <v>-2.367543988</v>
      </c>
      <c r="AL593">
        <f>INDEX(Coordinates!$C$2:$C$197,MATCH(H593,Coordinates!$J$2:$J$197,0))</f>
        <v>34.060168969999999</v>
      </c>
      <c r="AM593" t="str">
        <f>IF(ISNUMBER(SEARCH("C", 'WetLitterbags placem_collection'!$X154)),"YES","NO")</f>
        <v>NO</v>
      </c>
      <c r="AN593" t="str">
        <f>IF(ISNUMBER(SEARCH("H", 'WetLitterbags placem_collection'!$X154)),"YES","NO")</f>
        <v>NO</v>
      </c>
      <c r="AO593" t="str">
        <f>IF(ISNUMBER(SEARCH("R", 'WetLitterbags placem_collection'!$X154)),"YES","NO")</f>
        <v>YES</v>
      </c>
    </row>
    <row r="594" spans="1:41" ht="15" customHeight="1">
      <c r="A594" s="255" t="s">
        <v>2454</v>
      </c>
      <c r="B594" s="260">
        <f>'Dry_Litterbag Placem_Collection'!A155</f>
        <v>153</v>
      </c>
      <c r="C594" s="260" t="str">
        <f>'Dry_Litterbag Placem_Collection'!B155</f>
        <v xml:space="preserve">Mwantimba
</v>
      </c>
      <c r="D594" s="260" t="s">
        <v>2454</v>
      </c>
      <c r="E594" s="260" t="s">
        <v>20</v>
      </c>
      <c r="F594" s="260">
        <v>4</v>
      </c>
      <c r="G594" s="260" t="s">
        <v>3824</v>
      </c>
      <c r="H594" s="261" t="str">
        <f>'Dry_Litterbag Placem_Collection'!C155</f>
        <v>Wet_P4_T1</v>
      </c>
      <c r="I594" s="270" t="s">
        <v>3630</v>
      </c>
      <c r="J594" s="263" t="s">
        <v>1147</v>
      </c>
      <c r="K594" s="221" t="str">
        <f>'WetLitterbags placem_collection'!O155</f>
        <v>G885</v>
      </c>
      <c r="L594" s="223">
        <f>IFERROR(INDEX('Green_rooibos initial weight'!$C$5:$C$2000,MATCH(K594, 'Green_rooibos initial weight'!$A$5:$A$2000,0)),"")</f>
        <v>1.8939999999999999</v>
      </c>
      <c r="M594" s="223">
        <f>IFERROR(L594-(TBIcalc!$H$9+TBIcalc!$H$10),"")</f>
        <v>1.6441999999999999</v>
      </c>
      <c r="N594" s="385">
        <f>AVERAGE(Ashed_controlls!$K$2:$K$11)</f>
        <v>5.5147656768714146</v>
      </c>
      <c r="O594" s="223">
        <f t="shared" si="46"/>
        <v>1.5535262227408801</v>
      </c>
      <c r="P594" s="223">
        <f>IFERROR(INDEX('Both teabags AfterWet'!$C$3:$C$840,MATCH(K594,'Both teabags AfterWet'!$A$3:$A$840,0)),"")</f>
        <v>0.5756</v>
      </c>
      <c r="Q594" s="223">
        <f>IFERROR(IF(P594&gt;0,P594-(TBIcalc!$H$9),""),"")</f>
        <v>0.42499999999999999</v>
      </c>
      <c r="R594" s="223">
        <f>IFERROR(INDEX('Ashed teabags wet'!$K$2:$K$2000,MATCH(K594,'Ashed teabags wet'!$A$2:$A$2000,0)),"")</f>
        <v>12.119700748128949</v>
      </c>
      <c r="S594" s="223">
        <f t="shared" si="47"/>
        <v>0.37349127182045194</v>
      </c>
      <c r="T594" s="224">
        <f>'WetLitterbags placem_collection'!E155</f>
        <v>42762</v>
      </c>
      <c r="U594" s="224">
        <f>IF('WetLitterbags placem_collection'!G155="","",'WetLitterbags placem_collection'!G155)</f>
        <v>42816</v>
      </c>
      <c r="V594" s="225">
        <f t="shared" si="45"/>
        <v>54</v>
      </c>
      <c r="W594" s="223">
        <f t="shared" si="48"/>
        <v>1.2191999999999998</v>
      </c>
      <c r="X594" s="223">
        <f t="shared" si="49"/>
        <v>1.1800349509204282</v>
      </c>
      <c r="Y594">
        <f>IFERROR(INDEX(Rainfall_Wet!$O$2:$O$217,MATCH(B594, Rainfall_Wet!$A$2:$A$217,0)),"")</f>
        <v>206.85140822299999</v>
      </c>
      <c r="Z594" s="228">
        <v>27.96</v>
      </c>
      <c r="AA594" s="228">
        <v>4.9200000000000017</v>
      </c>
      <c r="AB594" s="228">
        <v>67.12</v>
      </c>
      <c r="AC594" s="229" t="s">
        <v>2654</v>
      </c>
      <c r="AD594" s="228">
        <v>1.0437161163134547</v>
      </c>
      <c r="AE594">
        <f>IF('WetLitterbags placem_collection'!AB155="","",'WetLitterbags placem_collection'!AB155)</f>
        <v>2.1</v>
      </c>
      <c r="AF594">
        <f>IF('WetLitterbags placem_collection'!Z155="","",'WetLitterbags placem_collection'!Z155)</f>
        <v>16.399999999999999</v>
      </c>
      <c r="AG594" s="243" t="str">
        <f>IF('WetLitterbags placem_collection'!AA155="","",'WetLitterbags placem_collection'!AA155)</f>
        <v>G</v>
      </c>
      <c r="AH594">
        <f>IF('WetLitterbags placem_collection'!AC155="","",'WetLitterbags placem_collection'!AC155)</f>
        <v>0</v>
      </c>
      <c r="AI594" s="237">
        <f>AVERAGE('WetLitterbags placem_collection'!S155,'WetLitterbags placem_collection'!U155)</f>
        <v>21.35</v>
      </c>
      <c r="AJ594">
        <f>AVERAGE('WetLitterbags placem_collection'!R155,'WetLitterbags placem_collection'!T155)</f>
        <v>26.700000000000003</v>
      </c>
      <c r="AK594">
        <f>INDEX(Coordinates!$B$2:$B$197,MATCH(H594,Coordinates!$J$2:$J$197,0))</f>
        <v>-2.3676780150000001</v>
      </c>
      <c r="AL594">
        <f>INDEX(Coordinates!$C$2:$C$197,MATCH(H594,Coordinates!$J$2:$J$197,0))</f>
        <v>34.05937797</v>
      </c>
      <c r="AM594" t="str">
        <f>IF(ISNUMBER(SEARCH("C", 'WetLitterbags placem_collection'!$X155)),"YES","NO")</f>
        <v>NO</v>
      </c>
      <c r="AN594" t="str">
        <f>IF(ISNUMBER(SEARCH("H", 'WetLitterbags placem_collection'!$X155)),"YES","NO")</f>
        <v>NO</v>
      </c>
      <c r="AO594" t="str">
        <f>IF(ISNUMBER(SEARCH("R", 'WetLitterbags placem_collection'!$X155)),"YES","NO")</f>
        <v>YES</v>
      </c>
    </row>
    <row r="595" spans="1:41" ht="15" customHeight="1">
      <c r="A595" s="255" t="s">
        <v>2454</v>
      </c>
      <c r="B595" s="260">
        <f>'Dry_Litterbag Placem_Collection'!A156</f>
        <v>154</v>
      </c>
      <c r="C595" s="260" t="str">
        <f>'Dry_Litterbag Placem_Collection'!B156</f>
        <v xml:space="preserve">Mwantimba
</v>
      </c>
      <c r="D595" s="260" t="s">
        <v>2454</v>
      </c>
      <c r="E595" s="260" t="s">
        <v>20</v>
      </c>
      <c r="F595" s="260">
        <v>4</v>
      </c>
      <c r="G595" s="260" t="s">
        <v>3824</v>
      </c>
      <c r="H595" s="261" t="str">
        <f>'Dry_Litterbag Placem_Collection'!C156</f>
        <v>Wet_P4_T2</v>
      </c>
      <c r="I595" s="270" t="s">
        <v>3630</v>
      </c>
      <c r="J595" s="263" t="s">
        <v>1147</v>
      </c>
      <c r="K595" s="221" t="str">
        <f>'WetLitterbags placem_collection'!O156</f>
        <v>G684</v>
      </c>
      <c r="L595" s="223">
        <f>IFERROR(INDEX('Green_rooibos initial weight'!$C$5:$C$2000,MATCH(K595, 'Green_rooibos initial weight'!$A$5:$A$2000,0)),"")</f>
        <v>2.0819999999999999</v>
      </c>
      <c r="M595" s="223">
        <f>IFERROR(L595-(TBIcalc!$H$9+TBIcalc!$H$10),"")</f>
        <v>1.8321999999999998</v>
      </c>
      <c r="N595" s="385">
        <f>AVERAGE(Ashed_controlls!$K$2:$K$11)</f>
        <v>5.5147656768714146</v>
      </c>
      <c r="O595" s="223">
        <f t="shared" si="46"/>
        <v>1.7311584632683619</v>
      </c>
      <c r="P595" s="223">
        <f>IFERROR(INDEX('Both teabags AfterWet'!$C$3:$C$840,MATCH(K595,'Both teabags AfterWet'!$A$3:$A$840,0)),"")</f>
        <v>0.60499999999999998</v>
      </c>
      <c r="Q595" s="223">
        <f>IFERROR(IF(P595&gt;0,P595-(TBIcalc!$H$9),""),"")</f>
        <v>0.45439999999999997</v>
      </c>
      <c r="R595" s="223">
        <f>IFERROR(INDEX('Ashed teabags wet'!$K$2:$K$2000,MATCH(K595,'Ashed teabags wet'!$A$2:$A$2000,0)),"")</f>
        <v>17.540322580645736</v>
      </c>
      <c r="S595" s="223">
        <f t="shared" si="47"/>
        <v>0.37469677419354575</v>
      </c>
      <c r="T595" s="224">
        <f>'WetLitterbags placem_collection'!E156</f>
        <v>42762</v>
      </c>
      <c r="U595" s="224">
        <f>IF('WetLitterbags placem_collection'!G156="","",'WetLitterbags placem_collection'!G156)</f>
        <v>42816</v>
      </c>
      <c r="V595" s="225">
        <f t="shared" si="45"/>
        <v>54</v>
      </c>
      <c r="W595" s="223">
        <f t="shared" si="48"/>
        <v>1.3777999999999999</v>
      </c>
      <c r="X595" s="223">
        <f t="shared" si="49"/>
        <v>1.3564616890748162</v>
      </c>
      <c r="Y595">
        <f>IFERROR(INDEX(Rainfall_Wet!$O$2:$O$217,MATCH(B595, Rainfall_Wet!$A$2:$A$217,0)),"")</f>
        <v>206.85140822299999</v>
      </c>
      <c r="Z595" s="228">
        <v>27.96</v>
      </c>
      <c r="AA595" s="228">
        <v>4.9200000000000017</v>
      </c>
      <c r="AB595" s="228">
        <v>67.12</v>
      </c>
      <c r="AC595" s="229" t="s">
        <v>2654</v>
      </c>
      <c r="AD595" s="228">
        <v>2.0437161163134498</v>
      </c>
      <c r="AE595">
        <f>IF('WetLitterbags placem_collection'!AB156="","",'WetLitterbags placem_collection'!AB156)</f>
        <v>2.15</v>
      </c>
      <c r="AF595">
        <f>IF('WetLitterbags placem_collection'!Z156="","",'WetLitterbags placem_collection'!Z156)</f>
        <v>9</v>
      </c>
      <c r="AG595" s="243" t="str">
        <f>IF('WetLitterbags placem_collection'!AA156="","",'WetLitterbags placem_collection'!AA156)</f>
        <v>G</v>
      </c>
      <c r="AH595">
        <f>IF('WetLitterbags placem_collection'!AC156="","",'WetLitterbags placem_collection'!AC156)</f>
        <v>0</v>
      </c>
      <c r="AI595" s="237">
        <f>AVERAGE('WetLitterbags placem_collection'!S156,'WetLitterbags placem_collection'!U156)</f>
        <v>23.5</v>
      </c>
      <c r="AJ595">
        <f>AVERAGE('WetLitterbags placem_collection'!R156,'WetLitterbags placem_collection'!T156)</f>
        <v>25.7</v>
      </c>
      <c r="AK595">
        <f>INDEX(Coordinates!$B$2:$B$197,MATCH(H595,Coordinates!$J$2:$J$197,0))</f>
        <v>-2.3677299820000002</v>
      </c>
      <c r="AL595">
        <f>INDEX(Coordinates!$C$2:$C$197,MATCH(H595,Coordinates!$J$2:$J$197,0))</f>
        <v>34.059351990000003</v>
      </c>
      <c r="AM595" t="str">
        <f>IF(ISNUMBER(SEARCH("C", 'WetLitterbags placem_collection'!$X156)),"YES","NO")</f>
        <v>NO</v>
      </c>
      <c r="AN595" t="str">
        <f>IF(ISNUMBER(SEARCH("H", 'WetLitterbags placem_collection'!$X156)),"YES","NO")</f>
        <v>NO</v>
      </c>
      <c r="AO595" t="str">
        <f>IF(ISNUMBER(SEARCH("R", 'WetLitterbags placem_collection'!$X156)),"YES","NO")</f>
        <v>YES</v>
      </c>
    </row>
    <row r="596" spans="1:41" ht="15" customHeight="1">
      <c r="A596" s="255" t="s">
        <v>2454</v>
      </c>
      <c r="B596" s="260">
        <f>'Dry_Litterbag Placem_Collection'!A157</f>
        <v>155</v>
      </c>
      <c r="C596" s="260" t="str">
        <f>'Dry_Litterbag Placem_Collection'!B157</f>
        <v xml:space="preserve">Mwantimba
</v>
      </c>
      <c r="D596" s="260" t="s">
        <v>2454</v>
      </c>
      <c r="E596" s="260" t="s">
        <v>20</v>
      </c>
      <c r="F596" s="260">
        <v>4</v>
      </c>
      <c r="G596" s="260" t="s">
        <v>3824</v>
      </c>
      <c r="H596" s="261" t="str">
        <f>'Dry_Litterbag Placem_Collection'!C157</f>
        <v>Wet_P4_T3</v>
      </c>
      <c r="I596" s="270" t="s">
        <v>3630</v>
      </c>
      <c r="J596" s="263" t="s">
        <v>1147</v>
      </c>
      <c r="K596" s="221" t="str">
        <f>'WetLitterbags placem_collection'!O157</f>
        <v>G827</v>
      </c>
      <c r="L596" s="223">
        <f>IFERROR(INDEX('Green_rooibos initial weight'!$C$5:$C$2000,MATCH(K596, 'Green_rooibos initial weight'!$A$5:$A$2000,0)),"")</f>
        <v>1.883</v>
      </c>
      <c r="M596" s="223">
        <f>IFERROR(L596-(TBIcalc!$H$9+TBIcalc!$H$10),"")</f>
        <v>1.6332</v>
      </c>
      <c r="N596" s="385">
        <f>AVERAGE(Ashed_controlls!$K$2:$K$11)</f>
        <v>5.5147656768714146</v>
      </c>
      <c r="O596" s="223">
        <f t="shared" si="46"/>
        <v>1.543132846965336</v>
      </c>
      <c r="P596" s="223">
        <f>IFERROR(INDEX('Both teabags AfterWet'!$C$3:$C$840,MATCH(K596,'Both teabags AfterWet'!$A$3:$A$840,0)),"")</f>
        <v>0.63800000000000001</v>
      </c>
      <c r="Q596" s="223">
        <f>IFERROR(IF(P596&gt;0,P596-(TBIcalc!$H$9),""),"")</f>
        <v>0.4874</v>
      </c>
      <c r="R596" s="223">
        <f>IFERROR(INDEX('Ashed teabags wet'!$K$2:$K$2000,MATCH(K596,'Ashed teabags wet'!$A$2:$A$2000,0)),"")</f>
        <v>19.219219219219006</v>
      </c>
      <c r="S596" s="223">
        <f t="shared" si="47"/>
        <v>0.39372552552552659</v>
      </c>
      <c r="T596" s="224">
        <f>'WetLitterbags placem_collection'!E157</f>
        <v>42762</v>
      </c>
      <c r="U596" s="224">
        <f>IF('WetLitterbags placem_collection'!G157="","",'WetLitterbags placem_collection'!G157)</f>
        <v>42816</v>
      </c>
      <c r="V596" s="225">
        <f t="shared" si="45"/>
        <v>54</v>
      </c>
      <c r="W596" s="223">
        <f t="shared" si="48"/>
        <v>1.1457999999999999</v>
      </c>
      <c r="X596" s="223">
        <f t="shared" si="49"/>
        <v>1.1494073214398095</v>
      </c>
      <c r="Y596">
        <f>IFERROR(INDEX(Rainfall_Wet!$O$2:$O$217,MATCH(B596, Rainfall_Wet!$A$2:$A$217,0)),"")</f>
        <v>206.85140822299999</v>
      </c>
      <c r="Z596" s="228">
        <v>27.96</v>
      </c>
      <c r="AA596" s="228">
        <v>4.9200000000000017</v>
      </c>
      <c r="AB596" s="228">
        <v>67.12</v>
      </c>
      <c r="AC596" s="229" t="s">
        <v>2654</v>
      </c>
      <c r="AD596" s="228">
        <v>3.0437161163134498</v>
      </c>
      <c r="AE596">
        <f>IF('WetLitterbags placem_collection'!AB157="","",'WetLitterbags placem_collection'!AB157)</f>
        <v>1.2</v>
      </c>
      <c r="AF596">
        <f>IF('WetLitterbags placem_collection'!Z157="","",'WetLitterbags placem_collection'!Z157)</f>
        <v>11</v>
      </c>
      <c r="AG596" s="243" t="str">
        <f>IF('WetLitterbags placem_collection'!AA157="","",'WetLitterbags placem_collection'!AA157)</f>
        <v>G</v>
      </c>
      <c r="AH596">
        <f>IF('WetLitterbags placem_collection'!AC157="","",'WetLitterbags placem_collection'!AC157)</f>
        <v>0</v>
      </c>
      <c r="AI596" s="237">
        <f>AVERAGE('WetLitterbags placem_collection'!S157,'WetLitterbags placem_collection'!U157)</f>
        <v>23.75</v>
      </c>
      <c r="AJ596">
        <f>AVERAGE('WetLitterbags placem_collection'!R157,'WetLitterbags placem_collection'!T157)</f>
        <v>26.799999999999997</v>
      </c>
      <c r="AK596">
        <f>INDEX(Coordinates!$B$2:$B$197,MATCH(H596,Coordinates!$J$2:$J$197,0))</f>
        <v>-2.3677119609999999</v>
      </c>
      <c r="AL596">
        <f>INDEX(Coordinates!$C$2:$C$197,MATCH(H596,Coordinates!$J$2:$J$197,0))</f>
        <v>34.059339000000001</v>
      </c>
      <c r="AM596" t="str">
        <f>IF(ISNUMBER(SEARCH("C", 'WetLitterbags placem_collection'!$X157)),"YES","NO")</f>
        <v>NO</v>
      </c>
      <c r="AN596" t="str">
        <f>IF(ISNUMBER(SEARCH("H", 'WetLitterbags placem_collection'!$X157)),"YES","NO")</f>
        <v>NO</v>
      </c>
      <c r="AO596" t="str">
        <f>IF(ISNUMBER(SEARCH("R", 'WetLitterbags placem_collection'!$X157)),"YES","NO")</f>
        <v>NO</v>
      </c>
    </row>
    <row r="597" spans="1:41" ht="15" customHeight="1">
      <c r="A597" s="255" t="s">
        <v>2454</v>
      </c>
      <c r="B597" s="260">
        <f>'Dry_Litterbag Placem_Collection'!A158</f>
        <v>156</v>
      </c>
      <c r="C597" s="260" t="str">
        <f>'Dry_Litterbag Placem_Collection'!B158</f>
        <v xml:space="preserve">Mwantimba
</v>
      </c>
      <c r="D597" s="260" t="s">
        <v>2454</v>
      </c>
      <c r="E597" s="260" t="s">
        <v>20</v>
      </c>
      <c r="F597" s="260">
        <v>4</v>
      </c>
      <c r="G597" s="260" t="s">
        <v>3824</v>
      </c>
      <c r="H597" s="261" t="str">
        <f>'Dry_Litterbag Placem_Collection'!C158</f>
        <v>Wet_P4_T4</v>
      </c>
      <c r="I597" s="270" t="s">
        <v>3630</v>
      </c>
      <c r="J597" s="263" t="s">
        <v>1147</v>
      </c>
      <c r="K597" s="221" t="str">
        <f>'WetLitterbags placem_collection'!O158</f>
        <v>G667</v>
      </c>
      <c r="L597" s="223">
        <f>IFERROR(INDEX('Green_rooibos initial weight'!$C$5:$C$2000,MATCH(K597, 'Green_rooibos initial weight'!$A$5:$A$2000,0)),"")</f>
        <v>2.048</v>
      </c>
      <c r="M597" s="223">
        <f>IFERROR(L597-(TBIcalc!$H$9+TBIcalc!$H$10),"")</f>
        <v>1.7982</v>
      </c>
      <c r="N597" s="385">
        <f>AVERAGE(Ashed_controlls!$K$2:$K$11)</f>
        <v>5.5147656768714146</v>
      </c>
      <c r="O597" s="223">
        <f t="shared" si="46"/>
        <v>1.6990334835984982</v>
      </c>
      <c r="P597" s="223">
        <f>IFERROR(INDEX('Both teabags AfterWet'!$C$3:$C$840,MATCH(K597,'Both teabags AfterWet'!$A$3:$A$840,0)),"")</f>
        <v>0.65800000000000003</v>
      </c>
      <c r="Q597" s="223">
        <f>IFERROR(IF(P597&gt;0,P597-(TBIcalc!$H$9),""),"")</f>
        <v>0.50740000000000007</v>
      </c>
      <c r="R597" s="223">
        <f>IFERROR(INDEX('Ashed teabags wet'!$K$2:$K$2000,MATCH(K597,'Ashed teabags wet'!$A$2:$A$2000,0)),"")</f>
        <v>27.494061757718864</v>
      </c>
      <c r="S597" s="223">
        <f t="shared" si="47"/>
        <v>0.36789513064133456</v>
      </c>
      <c r="T597" s="224">
        <f>'WetLitterbags placem_collection'!E158</f>
        <v>42762</v>
      </c>
      <c r="U597" s="224">
        <f>IF('WetLitterbags placem_collection'!G158="","",'WetLitterbags placem_collection'!G158)</f>
        <v>42816</v>
      </c>
      <c r="V597" s="225">
        <f t="shared" si="45"/>
        <v>54</v>
      </c>
      <c r="W597" s="223">
        <f t="shared" si="48"/>
        <v>1.2907999999999999</v>
      </c>
      <c r="X597" s="223">
        <f t="shared" si="49"/>
        <v>1.3311383529571637</v>
      </c>
      <c r="Y597">
        <f>IFERROR(INDEX(Rainfall_Wet!$O$2:$O$217,MATCH(B597, Rainfall_Wet!$A$2:$A$217,0)),"")</f>
        <v>206.85140822299999</v>
      </c>
      <c r="Z597" s="228">
        <v>27.96</v>
      </c>
      <c r="AA597" s="228">
        <v>4.9200000000000017</v>
      </c>
      <c r="AB597" s="228">
        <v>67.12</v>
      </c>
      <c r="AC597" s="229" t="s">
        <v>2654</v>
      </c>
      <c r="AD597" s="228">
        <v>4.0437161163134503</v>
      </c>
      <c r="AE597">
        <f>IF('WetLitterbags placem_collection'!AB158="","",'WetLitterbags placem_collection'!AB158)</f>
        <v>1.55</v>
      </c>
      <c r="AF597">
        <f>IF('WetLitterbags placem_collection'!Z158="","",'WetLitterbags placem_collection'!Z158)</f>
        <v>9.1</v>
      </c>
      <c r="AG597" s="243" t="str">
        <f>IF('WetLitterbags placem_collection'!AA158="","",'WetLitterbags placem_collection'!AA158)</f>
        <v>O</v>
      </c>
      <c r="AH597">
        <f>IF('WetLitterbags placem_collection'!AC158="","",'WetLitterbags placem_collection'!AC158)</f>
        <v>0</v>
      </c>
      <c r="AI597" s="237">
        <f>AVERAGE('WetLitterbags placem_collection'!S158,'WetLitterbags placem_collection'!U158)</f>
        <v>21.700000000000003</v>
      </c>
      <c r="AJ597">
        <f>AVERAGE('WetLitterbags placem_collection'!R158,'WetLitterbags placem_collection'!T158)</f>
        <v>26.95</v>
      </c>
      <c r="AK597">
        <f>INDEX(Coordinates!$B$2:$B$197,MATCH(H597,Coordinates!$J$2:$J$197,0))</f>
        <v>-2.3676950300000001</v>
      </c>
      <c r="AL597">
        <f>INDEX(Coordinates!$C$2:$C$197,MATCH(H597,Coordinates!$J$2:$J$197,0))</f>
        <v>34.059499010000003</v>
      </c>
      <c r="AM597" t="str">
        <f>IF(ISNUMBER(SEARCH("C", 'WetLitterbags placem_collection'!$X158)),"YES","NO")</f>
        <v>NO</v>
      </c>
      <c r="AN597" t="str">
        <f>IF(ISNUMBER(SEARCH("H", 'WetLitterbags placem_collection'!$X158)),"YES","NO")</f>
        <v>NO</v>
      </c>
      <c r="AO597" t="str">
        <f>IF(ISNUMBER(SEARCH("R", 'WetLitterbags placem_collection'!$X158)),"YES","NO")</f>
        <v>YES</v>
      </c>
    </row>
    <row r="598" spans="1:41" ht="15" customHeight="1">
      <c r="A598" s="255" t="s">
        <v>2454</v>
      </c>
      <c r="B598" s="260">
        <f>'Dry_Litterbag Placem_Collection'!A159</f>
        <v>157</v>
      </c>
      <c r="C598" s="260" t="str">
        <f>'Dry_Litterbag Placem_Collection'!B159</f>
        <v xml:space="preserve">Mwantimba
</v>
      </c>
      <c r="D598" s="260" t="s">
        <v>2454</v>
      </c>
      <c r="E598" s="260" t="s">
        <v>20</v>
      </c>
      <c r="F598" s="260">
        <v>4</v>
      </c>
      <c r="G598" s="260" t="s">
        <v>3824</v>
      </c>
      <c r="H598" s="261" t="str">
        <f>'Dry_Litterbag Placem_Collection'!C159</f>
        <v>Wet_P4_T5</v>
      </c>
      <c r="I598" s="270" t="s">
        <v>3630</v>
      </c>
      <c r="J598" s="263" t="s">
        <v>1147</v>
      </c>
      <c r="K598" s="221" t="str">
        <f>'WetLitterbags placem_collection'!O159</f>
        <v>G777</v>
      </c>
      <c r="L598" s="223">
        <f>IFERROR(INDEX('Green_rooibos initial weight'!$C$5:$C$2000,MATCH(K598, 'Green_rooibos initial weight'!$A$5:$A$2000,0)),"")</f>
        <v>2.0470000000000002</v>
      </c>
      <c r="M598" s="223">
        <f>IFERROR(L598-(TBIcalc!$H$9+TBIcalc!$H$10),"")</f>
        <v>1.7972000000000001</v>
      </c>
      <c r="N598" s="385">
        <f>AVERAGE(Ashed_controlls!$K$2:$K$11)</f>
        <v>5.5147656768714146</v>
      </c>
      <c r="O598" s="223">
        <f t="shared" si="46"/>
        <v>1.698088631255267</v>
      </c>
      <c r="P598" s="223">
        <f>IFERROR(INDEX('Both teabags AfterWet'!$C$3:$C$840,MATCH(K598,'Both teabags AfterWet'!$A$3:$A$840,0)),"")</f>
        <v>0.70499999999999996</v>
      </c>
      <c r="Q598" s="223">
        <f>IFERROR(IF(P598&gt;0,P598-(TBIcalc!$H$9),""),"")</f>
        <v>0.5544</v>
      </c>
      <c r="R598" s="223">
        <f>IFERROR(INDEX('Ashed teabags wet'!$K$2:$K$2000,MATCH(K598,'Ashed teabags wet'!$A$2:$A$2000,0)),"")</f>
        <v>15.610972568578548</v>
      </c>
      <c r="S598" s="223">
        <f t="shared" si="47"/>
        <v>0.46785276807980053</v>
      </c>
      <c r="T598" s="224">
        <f>'WetLitterbags placem_collection'!E159</f>
        <v>42762</v>
      </c>
      <c r="U598" s="224">
        <f>IF('WetLitterbags placem_collection'!G159="","",'WetLitterbags placem_collection'!G159)</f>
        <v>42816</v>
      </c>
      <c r="V598" s="225">
        <f t="shared" si="45"/>
        <v>54</v>
      </c>
      <c r="W598" s="223">
        <f t="shared" si="48"/>
        <v>1.2428000000000001</v>
      </c>
      <c r="X598" s="223">
        <f t="shared" si="49"/>
        <v>1.2302358631754664</v>
      </c>
      <c r="Y598">
        <f>IFERROR(INDEX(Rainfall_Wet!$O$2:$O$217,MATCH(B598, Rainfall_Wet!$A$2:$A$217,0)),"")</f>
        <v>206.85140822299999</v>
      </c>
      <c r="Z598" s="228">
        <v>27.96</v>
      </c>
      <c r="AA598" s="228">
        <v>4.9200000000000017</v>
      </c>
      <c r="AB598" s="228">
        <v>67.12</v>
      </c>
      <c r="AC598" s="229" t="s">
        <v>2654</v>
      </c>
      <c r="AD598" s="228">
        <v>5.0437161163134503</v>
      </c>
      <c r="AE598">
        <f>IF('WetLitterbags placem_collection'!AB159="","",'WetLitterbags placem_collection'!AB159)</f>
        <v>2.2999999999999998</v>
      </c>
      <c r="AF598">
        <f>IF('WetLitterbags placem_collection'!Z159="","",'WetLitterbags placem_collection'!Z159)</f>
        <v>7.7</v>
      </c>
      <c r="AG598" s="243" t="str">
        <f>IF('WetLitterbags placem_collection'!AA159="","",'WetLitterbags placem_collection'!AA159)</f>
        <v>O</v>
      </c>
      <c r="AH598">
        <f>IF('WetLitterbags placem_collection'!AC159="","",'WetLitterbags placem_collection'!AC159)</f>
        <v>0</v>
      </c>
      <c r="AI598" s="237">
        <f>AVERAGE('WetLitterbags placem_collection'!S159,'WetLitterbags placem_collection'!U159)</f>
        <v>22.6</v>
      </c>
      <c r="AJ598">
        <f>AVERAGE('WetLitterbags placem_collection'!R159,'WetLitterbags placem_collection'!T159)</f>
        <v>29.2</v>
      </c>
      <c r="AK598">
        <f>INDEX(Coordinates!$B$2:$B$197,MATCH(H598,Coordinates!$J$2:$J$197,0))</f>
        <v>-2.3678019830000001</v>
      </c>
      <c r="AL598">
        <f>INDEX(Coordinates!$C$2:$C$197,MATCH(H598,Coordinates!$J$2:$J$197,0))</f>
        <v>34.059521969999999</v>
      </c>
      <c r="AM598" t="str">
        <f>IF(ISNUMBER(SEARCH("C", 'WetLitterbags placem_collection'!$X159)),"YES","NO")</f>
        <v>NO</v>
      </c>
      <c r="AN598" t="str">
        <f>IF(ISNUMBER(SEARCH("H", 'WetLitterbags placem_collection'!$X159)),"YES","NO")</f>
        <v>NO</v>
      </c>
      <c r="AO598" t="str">
        <f>IF(ISNUMBER(SEARCH("R", 'WetLitterbags placem_collection'!$X159)),"YES","NO")</f>
        <v>YES</v>
      </c>
    </row>
    <row r="599" spans="1:41" ht="15" customHeight="1">
      <c r="A599" s="255" t="s">
        <v>2454</v>
      </c>
      <c r="B599" s="260">
        <f>'Dry_Litterbag Placem_Collection'!A160</f>
        <v>158</v>
      </c>
      <c r="C599" s="260" t="str">
        <f>'Dry_Litterbag Placem_Collection'!B160</f>
        <v xml:space="preserve">Mwantimba
</v>
      </c>
      <c r="D599" s="260" t="s">
        <v>2454</v>
      </c>
      <c r="E599" s="260" t="s">
        <v>20</v>
      </c>
      <c r="F599" s="260">
        <v>4</v>
      </c>
      <c r="G599" s="260" t="s">
        <v>3824</v>
      </c>
      <c r="H599" s="261" t="str">
        <f>'Dry_Litterbag Placem_Collection'!C160</f>
        <v>Wet_P4_T6</v>
      </c>
      <c r="I599" s="270" t="s">
        <v>3630</v>
      </c>
      <c r="J599" s="263" t="s">
        <v>1147</v>
      </c>
      <c r="K599" s="221" t="str">
        <f>'WetLitterbags placem_collection'!O160</f>
        <v>G884</v>
      </c>
      <c r="L599" s="223">
        <f>IFERROR(INDEX('Green_rooibos initial weight'!$C$5:$C$2000,MATCH(K599, 'Green_rooibos initial weight'!$A$5:$A$2000,0)),"")</f>
        <v>2.0710000000000002</v>
      </c>
      <c r="M599" s="223">
        <f>IFERROR(L599-(TBIcalc!$H$9+TBIcalc!$H$10),"")</f>
        <v>1.8212000000000002</v>
      </c>
      <c r="N599" s="385">
        <f>AVERAGE(Ashed_controlls!$K$2:$K$11)</f>
        <v>5.5147656768714146</v>
      </c>
      <c r="O599" s="223">
        <f t="shared" si="46"/>
        <v>1.720765087492818</v>
      </c>
      <c r="P599" s="223">
        <f>IFERROR(INDEX('Both teabags AfterWet'!$C$3:$C$840,MATCH(K599,'Both teabags AfterWet'!$A$3:$A$840,0)),"")</f>
        <v>0.629</v>
      </c>
      <c r="Q599" s="223">
        <f>IFERROR(IF(P599&gt;0,P599-(TBIcalc!$H$9),""),"")</f>
        <v>0.47839999999999999</v>
      </c>
      <c r="R599" s="223">
        <f>IFERROR(INDEX('Ashed teabags wet'!$K$2:$K$2000,MATCH(K599,'Ashed teabags wet'!$A$2:$A$2000,0)),"")</f>
        <v>11.313330054107281</v>
      </c>
      <c r="S599" s="223">
        <f t="shared" si="47"/>
        <v>0.42427702902115078</v>
      </c>
      <c r="T599" s="224">
        <f>'WetLitterbags placem_collection'!E160</f>
        <v>42762</v>
      </c>
      <c r="U599" s="224">
        <f>IF('WetLitterbags placem_collection'!G160="","",'WetLitterbags placem_collection'!G160)</f>
        <v>42816</v>
      </c>
      <c r="V599" s="225">
        <f t="shared" si="45"/>
        <v>54</v>
      </c>
      <c r="W599" s="223">
        <f t="shared" si="48"/>
        <v>1.3428000000000002</v>
      </c>
      <c r="X599" s="223">
        <f t="shared" si="49"/>
        <v>1.2964880584716671</v>
      </c>
      <c r="Y599">
        <f>IFERROR(INDEX(Rainfall_Wet!$O$2:$O$217,MATCH(B599, Rainfall_Wet!$A$2:$A$217,0)),"")</f>
        <v>206.85140822299999</v>
      </c>
      <c r="Z599" s="228">
        <v>27.96</v>
      </c>
      <c r="AA599" s="228">
        <v>4.9200000000000017</v>
      </c>
      <c r="AB599" s="228">
        <v>67.12</v>
      </c>
      <c r="AC599" s="229" t="s">
        <v>2654</v>
      </c>
      <c r="AD599" s="228">
        <v>6.0437161163134503</v>
      </c>
      <c r="AE599">
        <f>IF('WetLitterbags placem_collection'!AB160="","",'WetLitterbags placem_collection'!AB160)</f>
        <v>1.9</v>
      </c>
      <c r="AF599">
        <f>IF('WetLitterbags placem_collection'!Z160="","",'WetLitterbags placem_collection'!Z160)</f>
        <v>4.3</v>
      </c>
      <c r="AG599" s="243" t="str">
        <f>IF('WetLitterbags placem_collection'!AA160="","",'WetLitterbags placem_collection'!AA160)</f>
        <v>O</v>
      </c>
      <c r="AH599">
        <f>IF('WetLitterbags placem_collection'!AC160="","",'WetLitterbags placem_collection'!AC160)</f>
        <v>0</v>
      </c>
      <c r="AI599" s="237">
        <f>AVERAGE('WetLitterbags placem_collection'!S160,'WetLitterbags placem_collection'!U160)</f>
        <v>22.45</v>
      </c>
      <c r="AJ599">
        <f>AVERAGE('WetLitterbags placem_collection'!R160,'WetLitterbags placem_collection'!T160)</f>
        <v>26.35</v>
      </c>
      <c r="AK599">
        <f>INDEX(Coordinates!$B$2:$B$197,MATCH(H599,Coordinates!$J$2:$J$197,0))</f>
        <v>-2.3679270410000002</v>
      </c>
      <c r="AL599">
        <f>INDEX(Coordinates!$C$2:$C$197,MATCH(H599,Coordinates!$J$2:$J$197,0))</f>
        <v>34.059300020000002</v>
      </c>
      <c r="AM599" t="str">
        <f>IF(ISNUMBER(SEARCH("C", 'WetLitterbags placem_collection'!$X160)),"YES","NO")</f>
        <v>NO</v>
      </c>
      <c r="AN599" t="str">
        <f>IF(ISNUMBER(SEARCH("H", 'WetLitterbags placem_collection'!$X160)),"YES","NO")</f>
        <v>NO</v>
      </c>
      <c r="AO599" t="str">
        <f>IF(ISNUMBER(SEARCH("R", 'WetLitterbags placem_collection'!$X160)),"YES","NO")</f>
        <v>YES</v>
      </c>
    </row>
    <row r="600" spans="1:41" ht="15" customHeight="1">
      <c r="A600" s="255" t="s">
        <v>2454</v>
      </c>
      <c r="B600" s="260">
        <f>'Dry_Litterbag Placem_Collection'!A161</f>
        <v>159</v>
      </c>
      <c r="C600" s="260" t="str">
        <f>'Dry_Litterbag Placem_Collection'!B161</f>
        <v xml:space="preserve">Mwantimba
</v>
      </c>
      <c r="D600" s="260" t="s">
        <v>2454</v>
      </c>
      <c r="E600" s="260" t="s">
        <v>20</v>
      </c>
      <c r="F600" s="260">
        <v>4</v>
      </c>
      <c r="G600" s="260" t="s">
        <v>3824</v>
      </c>
      <c r="H600" s="261" t="str">
        <f>'Dry_Litterbag Placem_Collection'!C161</f>
        <v>Wet_P4_T7</v>
      </c>
      <c r="I600" s="270" t="s">
        <v>3630</v>
      </c>
      <c r="J600" s="263" t="s">
        <v>1147</v>
      </c>
      <c r="K600" s="221" t="str">
        <f>'WetLitterbags placem_collection'!O161</f>
        <v>G731</v>
      </c>
      <c r="L600" s="223">
        <f>IFERROR(INDEX('Green_rooibos initial weight'!$C$5:$C$2000,MATCH(K600, 'Green_rooibos initial weight'!$A$5:$A$2000,0)),"")</f>
        <v>2.14</v>
      </c>
      <c r="M600" s="223">
        <f>IFERROR(L600-(TBIcalc!$H$9+TBIcalc!$H$10),"")</f>
        <v>1.8902000000000001</v>
      </c>
      <c r="N600" s="385">
        <f>AVERAGE(Ashed_controlls!$K$2:$K$11)</f>
        <v>5.5147656768714146</v>
      </c>
      <c r="O600" s="223">
        <f t="shared" si="46"/>
        <v>1.7859598991757766</v>
      </c>
      <c r="P600" s="223" t="str">
        <f>IFERROR(INDEX('Both teabags AfterWet'!$C$3:$C$840,MATCH(K600,'Both teabags AfterWet'!$A$3:$A$840,0)),"")</f>
        <v/>
      </c>
      <c r="Q600" s="223" t="str">
        <f>IFERROR(IF(P600&gt;0,P600-(TBIcalc!$H$9),""),"")</f>
        <v/>
      </c>
      <c r="R600" s="223" t="str">
        <f>IFERROR(INDEX('Ashed teabags wet'!$K$2:$K$2000,MATCH(K600,'Ashed teabags wet'!$A$2:$A$2000,0)),"")</f>
        <v/>
      </c>
      <c r="S600" s="223" t="str">
        <f t="shared" si="47"/>
        <v/>
      </c>
      <c r="T600" s="224">
        <f>'WetLitterbags placem_collection'!E161</f>
        <v>42762</v>
      </c>
      <c r="U600" s="224">
        <f>IF('WetLitterbags placem_collection'!G161="","",'WetLitterbags placem_collection'!G161)</f>
        <v>42816</v>
      </c>
      <c r="V600" s="225">
        <f t="shared" si="45"/>
        <v>54</v>
      </c>
      <c r="W600" s="223" t="str">
        <f t="shared" si="48"/>
        <v/>
      </c>
      <c r="X600" s="223" t="str">
        <f t="shared" si="49"/>
        <v/>
      </c>
      <c r="Y600">
        <f>IFERROR(INDEX(Rainfall_Wet!$O$2:$O$217,MATCH(B600, Rainfall_Wet!$A$2:$A$217,0)),"")</f>
        <v>206.85140822299999</v>
      </c>
      <c r="Z600" s="228">
        <v>27.96</v>
      </c>
      <c r="AA600" s="228">
        <v>4.9200000000000017</v>
      </c>
      <c r="AB600" s="228">
        <v>67.12</v>
      </c>
      <c r="AC600" s="229" t="s">
        <v>2654</v>
      </c>
      <c r="AD600" s="228">
        <v>7.0437161163134503</v>
      </c>
      <c r="AE600">
        <f>IF('WetLitterbags placem_collection'!AB161="","",'WetLitterbags placem_collection'!AB161)</f>
        <v>2.65</v>
      </c>
      <c r="AF600">
        <f>IF('WetLitterbags placem_collection'!Z161="","",'WetLitterbags placem_collection'!Z161)</f>
        <v>0</v>
      </c>
      <c r="AG600" s="243" t="str">
        <f>IF('WetLitterbags placem_collection'!AA161="","",'WetLitterbags placem_collection'!AA161)</f>
        <v>G</v>
      </c>
      <c r="AH600">
        <f>IF('WetLitterbags placem_collection'!AC161="","",'WetLitterbags placem_collection'!AC161)</f>
        <v>1</v>
      </c>
      <c r="AI600" s="237">
        <f>AVERAGE('WetLitterbags placem_collection'!S161,'WetLitterbags placem_collection'!U161)</f>
        <v>14.4</v>
      </c>
      <c r="AJ600">
        <f>AVERAGE('WetLitterbags placem_collection'!R161,'WetLitterbags placem_collection'!T161)</f>
        <v>28</v>
      </c>
      <c r="AK600">
        <f>INDEX(Coordinates!$B$2:$B$197,MATCH(H600,Coordinates!$J$2:$J$197,0))</f>
        <v>-2.3676829599999998</v>
      </c>
      <c r="AL600">
        <f>INDEX(Coordinates!$C$2:$C$197,MATCH(H600,Coordinates!$J$2:$J$197,0))</f>
        <v>34.059236990000002</v>
      </c>
      <c r="AM600" t="str">
        <f>IF(ISNUMBER(SEARCH("C", 'WetLitterbags placem_collection'!$X161)),"YES","NO")</f>
        <v>NO</v>
      </c>
      <c r="AN600" t="str">
        <f>IF(ISNUMBER(SEARCH("H", 'WetLitterbags placem_collection'!$X161)),"YES","NO")</f>
        <v>NO</v>
      </c>
      <c r="AO600" t="str">
        <f>IF(ISNUMBER(SEARCH("R", 'WetLitterbags placem_collection'!$X161)),"YES","NO")</f>
        <v>NO</v>
      </c>
    </row>
    <row r="601" spans="1:41" ht="15" customHeight="1">
      <c r="A601" s="255" t="s">
        <v>2454</v>
      </c>
      <c r="B601" s="260">
        <f>'Dry_Litterbag Placem_Collection'!A162</f>
        <v>160</v>
      </c>
      <c r="C601" s="260" t="str">
        <f>'Dry_Litterbag Placem_Collection'!B162</f>
        <v xml:space="preserve">Mwantimba
</v>
      </c>
      <c r="D601" s="260" t="s">
        <v>2454</v>
      </c>
      <c r="E601" s="260" t="s">
        <v>20</v>
      </c>
      <c r="F601" s="260">
        <v>4</v>
      </c>
      <c r="G601" s="260" t="s">
        <v>3824</v>
      </c>
      <c r="H601" s="261" t="str">
        <f>'Dry_Litterbag Placem_Collection'!C162</f>
        <v>Wet_P4_T8</v>
      </c>
      <c r="I601" s="270" t="s">
        <v>3630</v>
      </c>
      <c r="J601" s="263" t="s">
        <v>1147</v>
      </c>
      <c r="K601" s="221" t="str">
        <f>'WetLitterbags placem_collection'!O162</f>
        <v>G876</v>
      </c>
      <c r="L601" s="223">
        <f>IFERROR(INDEX('Green_rooibos initial weight'!$C$5:$C$2000,MATCH(K601, 'Green_rooibos initial weight'!$A$5:$A$2000,0)),"")</f>
        <v>1.9550000000000001</v>
      </c>
      <c r="M601" s="223">
        <f>IFERROR(L601-(TBIcalc!$H$9+TBIcalc!$H$10),"")</f>
        <v>1.7052</v>
      </c>
      <c r="N601" s="385">
        <f>AVERAGE(Ashed_controlls!$K$2:$K$11)</f>
        <v>5.5147656768714146</v>
      </c>
      <c r="O601" s="223">
        <f t="shared" si="46"/>
        <v>1.6111622156779888</v>
      </c>
      <c r="P601" s="223">
        <f>IFERROR(INDEX('Both teabags AfterWet'!$C$3:$C$840,MATCH(K601,'Both teabags AfterWet'!$A$3:$A$840,0)),"")</f>
        <v>0.68100000000000005</v>
      </c>
      <c r="Q601" s="223">
        <f>IFERROR(IF(P601&gt;0,P601-(TBIcalc!$H$9),""),"")</f>
        <v>0.53039999999999998</v>
      </c>
      <c r="R601" s="223">
        <f>IFERROR(INDEX('Ashed teabags wet'!$K$2:$K$2000,MATCH(K601,'Ashed teabags wet'!$A$2:$A$2000,0)),"")</f>
        <v>12.187812187811872</v>
      </c>
      <c r="S601" s="223">
        <f t="shared" si="47"/>
        <v>0.46575584415584581</v>
      </c>
      <c r="T601" s="224">
        <f>'WetLitterbags placem_collection'!E162</f>
        <v>42762</v>
      </c>
      <c r="U601" s="224">
        <f>IF('WetLitterbags placem_collection'!G162="","",'WetLitterbags placem_collection'!G162)</f>
        <v>42816</v>
      </c>
      <c r="V601" s="225">
        <f t="shared" si="45"/>
        <v>54</v>
      </c>
      <c r="W601" s="223">
        <f t="shared" si="48"/>
        <v>1.1748000000000001</v>
      </c>
      <c r="X601" s="223">
        <f t="shared" si="49"/>
        <v>1.145406371522143</v>
      </c>
      <c r="Y601">
        <f>IFERROR(INDEX(Rainfall_Wet!$O$2:$O$217,MATCH(B601, Rainfall_Wet!$A$2:$A$217,0)),"")</f>
        <v>206.85140822299999</v>
      </c>
      <c r="Z601" s="228">
        <v>27.96</v>
      </c>
      <c r="AA601" s="228">
        <v>4.9200000000000017</v>
      </c>
      <c r="AB601" s="228">
        <v>67.12</v>
      </c>
      <c r="AC601" s="229" t="s">
        <v>2654</v>
      </c>
      <c r="AD601" s="228">
        <v>8.0437161163134494</v>
      </c>
      <c r="AE601">
        <f>IF('WetLitterbags placem_collection'!AB162="","",'WetLitterbags placem_collection'!AB162)</f>
        <v>0.8</v>
      </c>
      <c r="AF601">
        <f>IF('WetLitterbags placem_collection'!Z162="","",'WetLitterbags placem_collection'!Z162)</f>
        <v>10.8</v>
      </c>
      <c r="AG601" s="243" t="str">
        <f>IF('WetLitterbags placem_collection'!AA162="","",'WetLitterbags placem_collection'!AA162)</f>
        <v>O</v>
      </c>
      <c r="AH601">
        <f>IF('WetLitterbags placem_collection'!AC162="","",'WetLitterbags placem_collection'!AC162)</f>
        <v>0</v>
      </c>
      <c r="AI601" s="237">
        <f>AVERAGE('WetLitterbags placem_collection'!S162,'WetLitterbags placem_collection'!U162)</f>
        <v>16.5</v>
      </c>
      <c r="AJ601">
        <f>AVERAGE('WetLitterbags placem_collection'!R162,'WetLitterbags placem_collection'!T162)</f>
        <v>27.15</v>
      </c>
      <c r="AK601">
        <f>INDEX(Coordinates!$B$2:$B$197,MATCH(H601,Coordinates!$J$2:$J$197,0))</f>
        <v>-2.367547005</v>
      </c>
      <c r="AL601">
        <f>INDEX(Coordinates!$C$2:$C$197,MATCH(H601,Coordinates!$J$2:$J$197,0))</f>
        <v>34.059494989999997</v>
      </c>
      <c r="AM601" t="str">
        <f>IF(ISNUMBER(SEARCH("C", 'WetLitterbags placem_collection'!$X162)),"YES","NO")</f>
        <v>NO</v>
      </c>
      <c r="AN601" t="str">
        <f>IF(ISNUMBER(SEARCH("H", 'WetLitterbags placem_collection'!$X162)),"YES","NO")</f>
        <v>NO</v>
      </c>
      <c r="AO601" t="str">
        <f>IF(ISNUMBER(SEARCH("R", 'WetLitterbags placem_collection'!$X162)),"YES","NO")</f>
        <v>YES</v>
      </c>
    </row>
    <row r="602" spans="1:41" ht="15" customHeight="1">
      <c r="A602" s="255" t="s">
        <v>2454</v>
      </c>
      <c r="B602" s="260">
        <f>'Dry_Litterbag Placem_Collection'!A163</f>
        <v>161</v>
      </c>
      <c r="C602" s="260" t="str">
        <f>'Dry_Litterbag Placem_Collection'!B163</f>
        <v>Handajega</v>
      </c>
      <c r="D602" s="260" t="s">
        <v>2454</v>
      </c>
      <c r="E602" s="260" t="s">
        <v>2645</v>
      </c>
      <c r="F602" s="260">
        <v>1</v>
      </c>
      <c r="G602" s="260" t="s">
        <v>3825</v>
      </c>
      <c r="H602" s="261" t="str">
        <f>'Dry_Litterbag Placem_Collection'!C163</f>
        <v>Wet_W1_T1</v>
      </c>
      <c r="I602" s="270" t="s">
        <v>3630</v>
      </c>
      <c r="J602" s="263" t="s">
        <v>1147</v>
      </c>
      <c r="K602" s="221" t="str">
        <f>'WetLitterbags placem_collection'!O163</f>
        <v>G351</v>
      </c>
      <c r="L602" s="223">
        <f>IFERROR(INDEX('Green_rooibos initial weight'!$C$5:$C$2000,MATCH(K602, 'Green_rooibos initial weight'!$A$5:$A$2000,0)),"")</f>
        <v>1.909</v>
      </c>
      <c r="M602" s="223">
        <f>IFERROR(L602-(TBIcalc!$H$9+TBIcalc!$H$10),"")</f>
        <v>1.6592</v>
      </c>
      <c r="N602" s="385">
        <f>AVERAGE(Ashed_controlls!$K$2:$K$11)</f>
        <v>5.5147656768714146</v>
      </c>
      <c r="O602" s="223">
        <f t="shared" si="46"/>
        <v>1.5676990078893496</v>
      </c>
      <c r="P602" s="223">
        <f>IFERROR(INDEX('Both teabags AfterWet'!$C$3:$C$840,MATCH(K602,'Both teabags AfterWet'!$A$3:$A$840,0)),"")</f>
        <v>0.58709999999999996</v>
      </c>
      <c r="Q602" s="223">
        <f>IFERROR(IF(P602&gt;0,P602-(TBIcalc!$H$9),""),"")</f>
        <v>0.43649999999999994</v>
      </c>
      <c r="R602" s="223">
        <f>IFERROR(INDEX('Ashed teabags wet'!$K$2:$K$2000,MATCH(K602,'Ashed teabags wet'!$A$2:$A$2000,0)),"")</f>
        <v>11.028315946348718</v>
      </c>
      <c r="S602" s="223">
        <f t="shared" si="47"/>
        <v>0.3883614008941878</v>
      </c>
      <c r="T602" s="224">
        <f>'WetLitterbags placem_collection'!E163</f>
        <v>42763</v>
      </c>
      <c r="U602" s="224">
        <f>IF('WetLitterbags placem_collection'!G163="","",'WetLitterbags placem_collection'!G163)</f>
        <v>42814</v>
      </c>
      <c r="V602" s="225">
        <f t="shared" si="45"/>
        <v>51</v>
      </c>
      <c r="W602" s="223">
        <f t="shared" si="48"/>
        <v>1.2227000000000001</v>
      </c>
      <c r="X602" s="223">
        <f t="shared" si="49"/>
        <v>1.1793376069951618</v>
      </c>
      <c r="Y602">
        <f>IFERROR(INDEX(Rainfall_Wet!$O$2:$O$217,MATCH(B602, Rainfall_Wet!$A$2:$A$217,0)),"")</f>
        <v>181.383442621</v>
      </c>
      <c r="Z602" s="228">
        <v>21.96</v>
      </c>
      <c r="AA602" s="228">
        <v>4.9199999999999982</v>
      </c>
      <c r="AB602" s="228">
        <v>73.12</v>
      </c>
      <c r="AC602" s="229" t="s">
        <v>2654</v>
      </c>
      <c r="AD602" s="228">
        <v>1.2416954164613114</v>
      </c>
      <c r="AE602">
        <f>IF('WetLitterbags placem_collection'!AB163="","",'WetLitterbags placem_collection'!AB163)</f>
        <v>7.6</v>
      </c>
      <c r="AF602">
        <f>IF('WetLitterbags placem_collection'!Z163="","",'WetLitterbags placem_collection'!Z163)</f>
        <v>35.799999999999997</v>
      </c>
      <c r="AG602" s="243" t="str">
        <f>IF('WetLitterbags placem_collection'!AA163="","",'WetLitterbags placem_collection'!AA163)</f>
        <v>M</v>
      </c>
      <c r="AH602">
        <f>IF('WetLitterbags placem_collection'!AC163="","",'WetLitterbags placem_collection'!AC163)</f>
        <v>0</v>
      </c>
      <c r="AI602" s="237">
        <f>AVERAGE('WetLitterbags placem_collection'!S163,'WetLitterbags placem_collection'!U163)</f>
        <v>11.100000000000001</v>
      </c>
      <c r="AJ602">
        <f>AVERAGE('WetLitterbags placem_collection'!R163,'WetLitterbags placem_collection'!T163)</f>
        <v>33.6</v>
      </c>
      <c r="AK602">
        <f>INDEX(Coordinates!$B$2:$B$197,MATCH(H602,Coordinates!$J$2:$J$197,0))</f>
        <v>-2.272751033</v>
      </c>
      <c r="AL602">
        <f>INDEX(Coordinates!$C$2:$C$197,MATCH(H602,Coordinates!$J$2:$J$197,0))</f>
        <v>34.023176030000002</v>
      </c>
      <c r="AM602" t="str">
        <f>IF(ISNUMBER(SEARCH("C", 'WetLitterbags placem_collection'!$X163)),"YES","NO")</f>
        <v>NO</v>
      </c>
      <c r="AN602" t="str">
        <f>IF(ISNUMBER(SEARCH("H", 'WetLitterbags placem_collection'!$X163)),"YES","NO")</f>
        <v>NO</v>
      </c>
      <c r="AO602" t="str">
        <f>IF(ISNUMBER(SEARCH("R", 'WetLitterbags placem_collection'!$X163)),"YES","NO")</f>
        <v>NO</v>
      </c>
    </row>
    <row r="603" spans="1:41" ht="15" customHeight="1">
      <c r="A603" s="255" t="s">
        <v>2454</v>
      </c>
      <c r="B603" s="260">
        <f>'Dry_Litterbag Placem_Collection'!A164</f>
        <v>162</v>
      </c>
      <c r="C603" s="260" t="str">
        <f>'Dry_Litterbag Placem_Collection'!B164</f>
        <v>Handajega</v>
      </c>
      <c r="D603" s="260" t="s">
        <v>2454</v>
      </c>
      <c r="E603" s="260" t="s">
        <v>2645</v>
      </c>
      <c r="F603" s="260">
        <v>1</v>
      </c>
      <c r="G603" s="260" t="s">
        <v>3825</v>
      </c>
      <c r="H603" s="261" t="str">
        <f>'Dry_Litterbag Placem_Collection'!C164</f>
        <v>Wet_W1_T2</v>
      </c>
      <c r="I603" s="270" t="s">
        <v>3630</v>
      </c>
      <c r="J603" s="263" t="s">
        <v>1147</v>
      </c>
      <c r="K603" s="221" t="str">
        <f>'WetLitterbags placem_collection'!O164</f>
        <v>G442</v>
      </c>
      <c r="L603" s="223">
        <f>IFERROR(INDEX('Green_rooibos initial weight'!$C$5:$C$2000,MATCH(K603, 'Green_rooibos initial weight'!$A$5:$A$2000,0)),"")</f>
        <v>2.056</v>
      </c>
      <c r="M603" s="223">
        <f>IFERROR(L603-(TBIcalc!$H$9+TBIcalc!$H$10),"")</f>
        <v>1.8062</v>
      </c>
      <c r="N603" s="385">
        <f>AVERAGE(Ashed_controlls!$K$2:$K$11)</f>
        <v>5.5147656768714146</v>
      </c>
      <c r="O603" s="223">
        <f t="shared" si="46"/>
        <v>1.7065923023443486</v>
      </c>
      <c r="P603" s="223">
        <f>IFERROR(INDEX('Both teabags AfterWet'!$C$3:$C$840,MATCH(K603,'Both teabags AfterWet'!$A$3:$A$840,0)),"")</f>
        <v>0.66290000000000004</v>
      </c>
      <c r="Q603" s="223">
        <f>IFERROR(IF(P603&gt;0,P603-(TBIcalc!$H$9),""),"")</f>
        <v>0.51229999999999998</v>
      </c>
      <c r="R603" s="223">
        <f>IFERROR(INDEX('Ashed teabags wet'!$K$2:$K$2000,MATCH(K603,'Ashed teabags wet'!$A$2:$A$2000,0)),"")</f>
        <v>7.6199901039089131</v>
      </c>
      <c r="S603" s="223">
        <f t="shared" si="47"/>
        <v>0.47326279069767463</v>
      </c>
      <c r="T603" s="224">
        <f>'WetLitterbags placem_collection'!E164</f>
        <v>42763</v>
      </c>
      <c r="U603" s="224">
        <f>IF('WetLitterbags placem_collection'!G164="","",'WetLitterbags placem_collection'!G164)</f>
        <v>42814</v>
      </c>
      <c r="V603" s="225">
        <f t="shared" si="45"/>
        <v>51</v>
      </c>
      <c r="W603" s="223">
        <f t="shared" si="48"/>
        <v>1.2939000000000001</v>
      </c>
      <c r="X603" s="223">
        <f t="shared" si="49"/>
        <v>1.2333295116466738</v>
      </c>
      <c r="Y603">
        <f>IFERROR(INDEX(Rainfall_Wet!$O$2:$O$217,MATCH(B603, Rainfall_Wet!$A$2:$A$217,0)),"")</f>
        <v>181.383442621</v>
      </c>
      <c r="Z603" s="228">
        <v>21.96</v>
      </c>
      <c r="AA603" s="228">
        <v>4.9199999999999982</v>
      </c>
      <c r="AB603" s="228">
        <v>73.12</v>
      </c>
      <c r="AC603" s="229" t="s">
        <v>2654</v>
      </c>
      <c r="AD603" s="228">
        <v>2.2416954164613099</v>
      </c>
      <c r="AE603">
        <f>IF('WetLitterbags placem_collection'!AB164="","",'WetLitterbags placem_collection'!AB164)</f>
        <v>4.0999999999999996</v>
      </c>
      <c r="AF603">
        <f>IF('WetLitterbags placem_collection'!Z164="","",'WetLitterbags placem_collection'!Z164)</f>
        <v>31.4</v>
      </c>
      <c r="AG603" s="243" t="str">
        <f>IF('WetLitterbags placem_collection'!AA164="","",'WetLitterbags placem_collection'!AA164)</f>
        <v>M</v>
      </c>
      <c r="AH603">
        <f>IF('WetLitterbags placem_collection'!AC164="","",'WetLitterbags placem_collection'!AC164)</f>
        <v>0</v>
      </c>
      <c r="AI603" s="237">
        <f>AVERAGE('WetLitterbags placem_collection'!S164,'WetLitterbags placem_collection'!U164)</f>
        <v>9.35</v>
      </c>
      <c r="AJ603">
        <f>AVERAGE('WetLitterbags placem_collection'!R164,'WetLitterbags placem_collection'!T164)</f>
        <v>34.450000000000003</v>
      </c>
      <c r="AK603">
        <f>INDEX(Coordinates!$B$2:$B$197,MATCH(H603,Coordinates!$J$2:$J$197,0))</f>
        <v>-2.2727060219999999</v>
      </c>
      <c r="AL603">
        <f>INDEX(Coordinates!$C$2:$C$197,MATCH(H603,Coordinates!$J$2:$J$197,0))</f>
        <v>34.023162030000002</v>
      </c>
      <c r="AM603" t="str">
        <f>IF(ISNUMBER(SEARCH("C", 'WetLitterbags placem_collection'!$X164)),"YES","NO")</f>
        <v>NO</v>
      </c>
      <c r="AN603" t="str">
        <f>IF(ISNUMBER(SEARCH("H", 'WetLitterbags placem_collection'!$X164)),"YES","NO")</f>
        <v>NO</v>
      </c>
      <c r="AO603" t="str">
        <f>IF(ISNUMBER(SEARCH("R", 'WetLitterbags placem_collection'!$X164)),"YES","NO")</f>
        <v>NO</v>
      </c>
    </row>
    <row r="604" spans="1:41" ht="15" customHeight="1">
      <c r="A604" s="255" t="s">
        <v>2454</v>
      </c>
      <c r="B604" s="260">
        <f>'Dry_Litterbag Placem_Collection'!A165</f>
        <v>163</v>
      </c>
      <c r="C604" s="260" t="str">
        <f>'Dry_Litterbag Placem_Collection'!B165</f>
        <v>Handajega</v>
      </c>
      <c r="D604" s="260" t="s">
        <v>2454</v>
      </c>
      <c r="E604" s="260" t="s">
        <v>2645</v>
      </c>
      <c r="F604" s="260">
        <v>1</v>
      </c>
      <c r="G604" s="260" t="s">
        <v>3825</v>
      </c>
      <c r="H604" s="261" t="str">
        <f>'Dry_Litterbag Placem_Collection'!C165</f>
        <v>Wet_W1_T3</v>
      </c>
      <c r="I604" s="270" t="s">
        <v>3630</v>
      </c>
      <c r="J604" s="263" t="s">
        <v>1147</v>
      </c>
      <c r="K604" s="221" t="str">
        <f>'WetLitterbags placem_collection'!O165</f>
        <v>G743</v>
      </c>
      <c r="L604" s="223">
        <f>IFERROR(INDEX('Green_rooibos initial weight'!$C$5:$C$2000,MATCH(K604, 'Green_rooibos initial weight'!$A$5:$A$2000,0)),"")</f>
        <v>2.0339999999999998</v>
      </c>
      <c r="M604" s="223">
        <f>IFERROR(L604-(TBIcalc!$H$9+TBIcalc!$H$10),"")</f>
        <v>1.7841999999999998</v>
      </c>
      <c r="N604" s="385">
        <f>AVERAGE(Ashed_controlls!$K$2:$K$11)</f>
        <v>5.5147656768714146</v>
      </c>
      <c r="O604" s="223">
        <f t="shared" si="46"/>
        <v>1.6858055507932601</v>
      </c>
      <c r="P604" s="223">
        <f>IFERROR(INDEX('Both teabags AfterWet'!$C$3:$C$840,MATCH(K604,'Both teabags AfterWet'!$A$3:$A$840,0)),"")</f>
        <v>0.68700000000000006</v>
      </c>
      <c r="Q604" s="223">
        <f>IFERROR(IF(P604&gt;0,P604-(TBIcalc!$H$9),""),"")</f>
        <v>0.53639999999999999</v>
      </c>
      <c r="R604" s="223">
        <f>IFERROR(INDEX('Ashed teabags wet'!$K$2:$K$2000,MATCH(K604,'Ashed teabags wet'!$A$2:$A$2000,0)),"")</f>
        <v>7.8343313373247501</v>
      </c>
      <c r="S604" s="223">
        <f t="shared" si="47"/>
        <v>0.49437664670659004</v>
      </c>
      <c r="T604" s="224">
        <f>'WetLitterbags placem_collection'!E165</f>
        <v>42763</v>
      </c>
      <c r="U604" s="224">
        <f>IF('WetLitterbags placem_collection'!G165="","",'WetLitterbags placem_collection'!G165)</f>
        <v>42814</v>
      </c>
      <c r="V604" s="225">
        <f t="shared" si="45"/>
        <v>51</v>
      </c>
      <c r="W604" s="223">
        <f t="shared" si="48"/>
        <v>1.2477999999999998</v>
      </c>
      <c r="X604" s="223">
        <f t="shared" si="49"/>
        <v>1.1914289040866701</v>
      </c>
      <c r="Y604">
        <f>IFERROR(INDEX(Rainfall_Wet!$O$2:$O$217,MATCH(B604, Rainfall_Wet!$A$2:$A$217,0)),"")</f>
        <v>181.383442621</v>
      </c>
      <c r="Z604" s="228">
        <v>21.96</v>
      </c>
      <c r="AA604" s="228">
        <v>4.9199999999999982</v>
      </c>
      <c r="AB604" s="228">
        <v>73.12</v>
      </c>
      <c r="AC604" s="229" t="s">
        <v>2654</v>
      </c>
      <c r="AD604" s="228">
        <v>3.2416954164613099</v>
      </c>
      <c r="AE604">
        <f>IF('WetLitterbags placem_collection'!AB165="","",'WetLitterbags placem_collection'!AB165)</f>
        <v>7.8</v>
      </c>
      <c r="AF604">
        <f>IF('WetLitterbags placem_collection'!Z165="","",'WetLitterbags placem_collection'!Z165)</f>
        <v>28.8</v>
      </c>
      <c r="AG604" s="243" t="str">
        <f>IF('WetLitterbags placem_collection'!AA165="","",'WetLitterbags placem_collection'!AA165)</f>
        <v>M</v>
      </c>
      <c r="AH604">
        <f>IF('WetLitterbags placem_collection'!AC165="","",'WetLitterbags placem_collection'!AC165)</f>
        <v>0</v>
      </c>
      <c r="AI604" s="237">
        <f>AVERAGE('WetLitterbags placem_collection'!S165,'WetLitterbags placem_collection'!U165)</f>
        <v>9.3000000000000007</v>
      </c>
      <c r="AJ604">
        <f>AVERAGE('WetLitterbags placem_collection'!R165,'WetLitterbags placem_collection'!T165)</f>
        <v>33.5</v>
      </c>
      <c r="AK604">
        <f>INDEX(Coordinates!$B$2:$B$197,MATCH(H604,Coordinates!$J$2:$J$197,0))</f>
        <v>-2.2726719919999998</v>
      </c>
      <c r="AL604">
        <f>INDEX(Coordinates!$C$2:$C$197,MATCH(H604,Coordinates!$J$2:$J$197,0))</f>
        <v>34.023210980000002</v>
      </c>
      <c r="AM604" t="str">
        <f>IF(ISNUMBER(SEARCH("C", 'WetLitterbags placem_collection'!$X165)),"YES","NO")</f>
        <v>NO</v>
      </c>
      <c r="AN604" t="str">
        <f>IF(ISNUMBER(SEARCH("H", 'WetLitterbags placem_collection'!$X165)),"YES","NO")</f>
        <v>NO</v>
      </c>
      <c r="AO604" t="str">
        <f>IF(ISNUMBER(SEARCH("R", 'WetLitterbags placem_collection'!$X165)),"YES","NO")</f>
        <v>NO</v>
      </c>
    </row>
    <row r="605" spans="1:41" ht="15" customHeight="1">
      <c r="A605" s="255" t="s">
        <v>2454</v>
      </c>
      <c r="B605" s="260">
        <f>'Dry_Litterbag Placem_Collection'!A166</f>
        <v>164</v>
      </c>
      <c r="C605" s="260" t="str">
        <f>'Dry_Litterbag Placem_Collection'!B166</f>
        <v>Handajega</v>
      </c>
      <c r="D605" s="260" t="s">
        <v>2454</v>
      </c>
      <c r="E605" s="260" t="s">
        <v>2645</v>
      </c>
      <c r="F605" s="260">
        <v>1</v>
      </c>
      <c r="G605" s="260" t="s">
        <v>3825</v>
      </c>
      <c r="H605" s="261" t="str">
        <f>'Dry_Litterbag Placem_Collection'!C166</f>
        <v>Wet_W1_T4</v>
      </c>
      <c r="I605" s="270" t="s">
        <v>3630</v>
      </c>
      <c r="J605" s="263" t="s">
        <v>1147</v>
      </c>
      <c r="K605" s="221" t="str">
        <f>'WetLitterbags placem_collection'!O166</f>
        <v>G390</v>
      </c>
      <c r="L605" s="223">
        <f>IFERROR(INDEX('Green_rooibos initial weight'!$C$5:$C$2000,MATCH(K605, 'Green_rooibos initial weight'!$A$5:$A$2000,0)),"")</f>
        <v>2.0630000000000002</v>
      </c>
      <c r="M605" s="223">
        <f>IFERROR(L605-(TBIcalc!$H$9+TBIcalc!$H$10),"")</f>
        <v>1.8132000000000001</v>
      </c>
      <c r="N605" s="385">
        <f>AVERAGE(Ashed_controlls!$K$2:$K$11)</f>
        <v>5.5147656768714146</v>
      </c>
      <c r="O605" s="223">
        <f t="shared" si="46"/>
        <v>1.7132062687469676</v>
      </c>
      <c r="P605" s="223">
        <f>IFERROR(INDEX('Both teabags AfterWet'!$C$3:$C$840,MATCH(K605,'Both teabags AfterWet'!$A$3:$A$840,0)),"")</f>
        <v>0.63800000000000001</v>
      </c>
      <c r="Q605" s="223">
        <f>IFERROR(IF(P605&gt;0,P605-(TBIcalc!$H$9),""),"")</f>
        <v>0.4874</v>
      </c>
      <c r="R605" s="223">
        <f>IFERROR(INDEX('Ashed teabags wet'!$K$2:$K$2000,MATCH(K605,'Ashed teabags wet'!$A$2:$A$2000,0)),"")</f>
        <v>9.1180866965623011</v>
      </c>
      <c r="S605" s="223">
        <f t="shared" si="47"/>
        <v>0.44295844544095536</v>
      </c>
      <c r="T605" s="224">
        <f>'WetLitterbags placem_collection'!E166</f>
        <v>42763</v>
      </c>
      <c r="U605" s="224">
        <f>IF('WetLitterbags placem_collection'!G166="","",'WetLitterbags placem_collection'!G166)</f>
        <v>42814</v>
      </c>
      <c r="V605" s="225">
        <f t="shared" si="45"/>
        <v>51</v>
      </c>
      <c r="W605" s="223">
        <f t="shared" si="48"/>
        <v>1.3258000000000001</v>
      </c>
      <c r="X605" s="223">
        <f t="shared" si="49"/>
        <v>1.2702478233060122</v>
      </c>
      <c r="Y605">
        <f>IFERROR(INDEX(Rainfall_Wet!$O$2:$O$217,MATCH(B605, Rainfall_Wet!$A$2:$A$217,0)),"")</f>
        <v>181.383442621</v>
      </c>
      <c r="Z605" s="228">
        <v>21.96</v>
      </c>
      <c r="AA605" s="228">
        <v>4.9199999999999982</v>
      </c>
      <c r="AB605" s="228">
        <v>73.12</v>
      </c>
      <c r="AC605" s="229" t="s">
        <v>2654</v>
      </c>
      <c r="AD605" s="228">
        <v>4.2416954164613099</v>
      </c>
      <c r="AE605">
        <f>IF('WetLitterbags placem_collection'!AB166="","",'WetLitterbags placem_collection'!AB166)</f>
        <v>9.5</v>
      </c>
      <c r="AF605">
        <f>IF('WetLitterbags placem_collection'!Z166="","",'WetLitterbags placem_collection'!Z166)</f>
        <v>20.8</v>
      </c>
      <c r="AG605" s="243" t="str">
        <f>IF('WetLitterbags placem_collection'!AA166="","",'WetLitterbags placem_collection'!AA166)</f>
        <v>M</v>
      </c>
      <c r="AH605">
        <f>IF('WetLitterbags placem_collection'!AC166="","",'WetLitterbags placem_collection'!AC166)</f>
        <v>0</v>
      </c>
      <c r="AI605" s="237">
        <f>AVERAGE('WetLitterbags placem_collection'!S166,'WetLitterbags placem_collection'!U166)</f>
        <v>9.25</v>
      </c>
      <c r="AJ605">
        <f>AVERAGE('WetLitterbags placem_collection'!R166,'WetLitterbags placem_collection'!T166)</f>
        <v>33.799999999999997</v>
      </c>
      <c r="AK605">
        <f>INDEX(Coordinates!$B$2:$B$197,MATCH(H605,Coordinates!$J$2:$J$197,0))</f>
        <v>-2.2726180130000002</v>
      </c>
      <c r="AL605">
        <f>INDEX(Coordinates!$C$2:$C$197,MATCH(H605,Coordinates!$J$2:$J$197,0))</f>
        <v>34.023212999999998</v>
      </c>
      <c r="AM605" t="str">
        <f>IF(ISNUMBER(SEARCH("C", 'WetLitterbags placem_collection'!$X166)),"YES","NO")</f>
        <v>NO</v>
      </c>
      <c r="AN605" t="str">
        <f>IF(ISNUMBER(SEARCH("H", 'WetLitterbags placem_collection'!$X166)),"YES","NO")</f>
        <v>NO</v>
      </c>
      <c r="AO605" t="str">
        <f>IF(ISNUMBER(SEARCH("R", 'WetLitterbags placem_collection'!$X166)),"YES","NO")</f>
        <v>NO</v>
      </c>
    </row>
    <row r="606" spans="1:41" ht="15" customHeight="1">
      <c r="A606" s="255" t="s">
        <v>2454</v>
      </c>
      <c r="B606" s="260">
        <f>'Dry_Litterbag Placem_Collection'!A167</f>
        <v>165</v>
      </c>
      <c r="C606" s="260" t="str">
        <f>'Dry_Litterbag Placem_Collection'!B167</f>
        <v>Handajega</v>
      </c>
      <c r="D606" s="260" t="s">
        <v>2454</v>
      </c>
      <c r="E606" s="260" t="s">
        <v>2645</v>
      </c>
      <c r="F606" s="260">
        <v>1</v>
      </c>
      <c r="G606" s="260" t="s">
        <v>3825</v>
      </c>
      <c r="H606" s="261" t="str">
        <f>'Dry_Litterbag Placem_Collection'!C167</f>
        <v>Wet_W1_T5</v>
      </c>
      <c r="I606" s="270" t="s">
        <v>3630</v>
      </c>
      <c r="J606" s="263" t="s">
        <v>1147</v>
      </c>
      <c r="K606" s="221" t="str">
        <f>'WetLitterbags placem_collection'!O167</f>
        <v>G810</v>
      </c>
      <c r="L606" s="223">
        <f>IFERROR(INDEX('Green_rooibos initial weight'!$C$5:$C$2000,MATCH(K606, 'Green_rooibos initial weight'!$A$5:$A$2000,0)),"")</f>
        <v>1.946</v>
      </c>
      <c r="M606" s="223">
        <f>IFERROR(L606-(TBIcalc!$H$9+TBIcalc!$H$10),"")</f>
        <v>1.6961999999999999</v>
      </c>
      <c r="N606" s="385">
        <f>AVERAGE(Ashed_controlls!$K$2:$K$11)</f>
        <v>5.5147656768714146</v>
      </c>
      <c r="O606" s="223">
        <f t="shared" si="46"/>
        <v>1.602658544588907</v>
      </c>
      <c r="P606" s="223">
        <f>IFERROR(INDEX('Both teabags AfterWet'!$C$3:$C$840,MATCH(K606,'Both teabags AfterWet'!$A$3:$A$840,0)),"")</f>
        <v>0.64800000000000002</v>
      </c>
      <c r="Q606" s="223">
        <f>IFERROR(IF(P606&gt;0,P606-(TBIcalc!$H$9),""),"")</f>
        <v>0.49740000000000001</v>
      </c>
      <c r="R606" s="223">
        <f>IFERROR(INDEX('Ashed teabags wet'!$K$2:$K$2000,MATCH(K606,'Ashed teabags wet'!$A$2:$A$2000,0)),"")</f>
        <v>7.6693227091631231</v>
      </c>
      <c r="S606" s="223">
        <f t="shared" si="47"/>
        <v>0.45925278884462262</v>
      </c>
      <c r="T606" s="224">
        <f>'WetLitterbags placem_collection'!E167</f>
        <v>42763</v>
      </c>
      <c r="U606" s="224">
        <f>IF('WetLitterbags placem_collection'!G167="","",'WetLitterbags placem_collection'!G167)</f>
        <v>42814</v>
      </c>
      <c r="V606" s="225">
        <f t="shared" si="45"/>
        <v>51</v>
      </c>
      <c r="W606" s="223">
        <f t="shared" si="48"/>
        <v>1.1987999999999999</v>
      </c>
      <c r="X606" s="223">
        <f t="shared" si="49"/>
        <v>1.1434057557442845</v>
      </c>
      <c r="Y606">
        <f>IFERROR(INDEX(Rainfall_Wet!$O$2:$O$217,MATCH(B606, Rainfall_Wet!$A$2:$A$217,0)),"")</f>
        <v>181.383442621</v>
      </c>
      <c r="Z606" s="228">
        <v>21.96</v>
      </c>
      <c r="AA606" s="228">
        <v>4.9199999999999982</v>
      </c>
      <c r="AB606" s="228">
        <v>73.12</v>
      </c>
      <c r="AC606" s="229" t="s">
        <v>2654</v>
      </c>
      <c r="AD606" s="228">
        <v>5.2416954164613099</v>
      </c>
      <c r="AE606">
        <f>IF('WetLitterbags placem_collection'!AB167="","",'WetLitterbags placem_collection'!AB167)</f>
        <v>10.4</v>
      </c>
      <c r="AF606">
        <f>IF('WetLitterbags placem_collection'!Z167="","",'WetLitterbags placem_collection'!Z167)</f>
        <v>13.8</v>
      </c>
      <c r="AG606" s="243" t="str">
        <f>IF('WetLitterbags placem_collection'!AA167="","",'WetLitterbags placem_collection'!AA167)</f>
        <v>M</v>
      </c>
      <c r="AH606">
        <f>IF('WetLitterbags placem_collection'!AC167="","",'WetLitterbags placem_collection'!AC167)</f>
        <v>0</v>
      </c>
      <c r="AI606" s="237">
        <f>AVERAGE('WetLitterbags placem_collection'!S167,'WetLitterbags placem_collection'!U167)</f>
        <v>12</v>
      </c>
      <c r="AJ606">
        <f>AVERAGE('WetLitterbags placem_collection'!R167,'WetLitterbags placem_collection'!T167)</f>
        <v>31.5</v>
      </c>
      <c r="AK606">
        <f>INDEX(Coordinates!$B$2:$B$197,MATCH(H606,Coordinates!$J$2:$J$197,0))</f>
        <v>-2.2724750170000001</v>
      </c>
      <c r="AL606">
        <f>INDEX(Coordinates!$C$2:$C$197,MATCH(H606,Coordinates!$J$2:$J$197,0))</f>
        <v>34.02334501</v>
      </c>
      <c r="AM606" t="str">
        <f>IF(ISNUMBER(SEARCH("C", 'WetLitterbags placem_collection'!$X167)),"YES","NO")</f>
        <v>NO</v>
      </c>
      <c r="AN606" t="str">
        <f>IF(ISNUMBER(SEARCH("H", 'WetLitterbags placem_collection'!$X167)),"YES","NO")</f>
        <v>NO</v>
      </c>
      <c r="AO606" t="str">
        <f>IF(ISNUMBER(SEARCH("R", 'WetLitterbags placem_collection'!$X167)),"YES","NO")</f>
        <v>NO</v>
      </c>
    </row>
    <row r="607" spans="1:41" ht="15" customHeight="1">
      <c r="A607" s="255" t="s">
        <v>2454</v>
      </c>
      <c r="B607" s="260">
        <f>'Dry_Litterbag Placem_Collection'!A168</f>
        <v>166</v>
      </c>
      <c r="C607" s="260" t="str">
        <f>'Dry_Litterbag Placem_Collection'!B168</f>
        <v>Handajega</v>
      </c>
      <c r="D607" s="260" t="s">
        <v>2454</v>
      </c>
      <c r="E607" s="260" t="s">
        <v>2645</v>
      </c>
      <c r="F607" s="260">
        <v>1</v>
      </c>
      <c r="G607" s="260" t="s">
        <v>3825</v>
      </c>
      <c r="H607" s="261" t="str">
        <f>'Dry_Litterbag Placem_Collection'!C168</f>
        <v>Wet_W1_T6</v>
      </c>
      <c r="I607" s="270" t="s">
        <v>3630</v>
      </c>
      <c r="J607" s="263" t="s">
        <v>1147</v>
      </c>
      <c r="K607" s="221" t="str">
        <f>'WetLitterbags placem_collection'!O168</f>
        <v>G287</v>
      </c>
      <c r="L607" s="223">
        <f>IFERROR(INDEX('Green_rooibos initial weight'!$C$5:$C$2000,MATCH(K607, 'Green_rooibos initial weight'!$A$5:$A$2000,0)),"")</f>
        <v>1.9970000000000001</v>
      </c>
      <c r="M607" s="223">
        <f>IFERROR(L607-(TBIcalc!$H$9+TBIcalc!$H$10),"")</f>
        <v>1.7472000000000001</v>
      </c>
      <c r="N607" s="385">
        <f>AVERAGE(Ashed_controlls!$K$2:$K$11)</f>
        <v>5.5147656768714146</v>
      </c>
      <c r="O607" s="223">
        <f t="shared" si="46"/>
        <v>1.6508460140937027</v>
      </c>
      <c r="P607" s="223">
        <f>IFERROR(INDEX('Both teabags AfterWet'!$C$3:$C$840,MATCH(K607,'Both teabags AfterWet'!$A$3:$A$840,0)),"")</f>
        <v>0.72240000000000004</v>
      </c>
      <c r="Q607" s="223">
        <f>IFERROR(IF(P607&gt;0,P607-(TBIcalc!$H$9),""),"")</f>
        <v>0.57180000000000009</v>
      </c>
      <c r="R607" s="223">
        <f>IFERROR(INDEX('Ashed teabags wet'!$K$2:$K$2000,MATCH(K607,'Ashed teabags wet'!$A$2:$A$2000,0)),"")</f>
        <v>8.1175298804781466</v>
      </c>
      <c r="S607" s="223">
        <f t="shared" si="47"/>
        <v>0.52538396414342603</v>
      </c>
      <c r="T607" s="224">
        <f>'WetLitterbags placem_collection'!E168</f>
        <v>42763</v>
      </c>
      <c r="U607" s="224">
        <f>IF('WetLitterbags placem_collection'!G168="","",'WetLitterbags placem_collection'!G168)</f>
        <v>42814</v>
      </c>
      <c r="V607" s="225">
        <f t="shared" si="45"/>
        <v>51</v>
      </c>
      <c r="W607" s="223">
        <f t="shared" si="48"/>
        <v>1.1754</v>
      </c>
      <c r="X607" s="223">
        <f t="shared" si="49"/>
        <v>1.1254620499502765</v>
      </c>
      <c r="Y607">
        <f>IFERROR(INDEX(Rainfall_Wet!$O$2:$O$217,MATCH(B607, Rainfall_Wet!$A$2:$A$217,0)),"")</f>
        <v>181.383442621</v>
      </c>
      <c r="Z607" s="228">
        <v>21.96</v>
      </c>
      <c r="AA607" s="228">
        <v>4.9199999999999982</v>
      </c>
      <c r="AB607" s="228">
        <v>73.12</v>
      </c>
      <c r="AC607" s="229" t="s">
        <v>2654</v>
      </c>
      <c r="AD607" s="228">
        <v>6.2416954164613099</v>
      </c>
      <c r="AE607">
        <f>IF('WetLitterbags placem_collection'!AB168="","",'WetLitterbags placem_collection'!AB168)</f>
        <v>2.1</v>
      </c>
      <c r="AF607">
        <f>IF('WetLitterbags placem_collection'!Z168="","",'WetLitterbags placem_collection'!Z168)</f>
        <v>4.7</v>
      </c>
      <c r="AG607" s="243" t="str">
        <f>IF('WetLitterbags placem_collection'!AA168="","",'WetLitterbags placem_collection'!AA168)</f>
        <v>M</v>
      </c>
      <c r="AH607">
        <f>IF('WetLitterbags placem_collection'!AC168="","",'WetLitterbags placem_collection'!AC168)</f>
        <v>0</v>
      </c>
      <c r="AI607" s="237">
        <f>AVERAGE('WetLitterbags placem_collection'!S168,'WetLitterbags placem_collection'!U168)</f>
        <v>11</v>
      </c>
      <c r="AJ607">
        <f>AVERAGE('WetLitterbags placem_collection'!R168,'WetLitterbags placem_collection'!T168)</f>
        <v>31.5</v>
      </c>
      <c r="AK607">
        <f>INDEX(Coordinates!$B$2:$B$197,MATCH(H607,Coordinates!$J$2:$J$197,0))</f>
        <v>-2.2725490289999999</v>
      </c>
      <c r="AL607">
        <f>INDEX(Coordinates!$C$2:$C$197,MATCH(H607,Coordinates!$J$2:$J$197,0))</f>
        <v>34.022886020000001</v>
      </c>
      <c r="AM607" t="str">
        <f>IF(ISNUMBER(SEARCH("C", 'WetLitterbags placem_collection'!$X168)),"YES","NO")</f>
        <v>NO</v>
      </c>
      <c r="AN607" t="str">
        <f>IF(ISNUMBER(SEARCH("H", 'WetLitterbags placem_collection'!$X168)),"YES","NO")</f>
        <v>NO</v>
      </c>
      <c r="AO607" t="str">
        <f>IF(ISNUMBER(SEARCH("R", 'WetLitterbags placem_collection'!$X168)),"YES","NO")</f>
        <v>NO</v>
      </c>
    </row>
    <row r="608" spans="1:41" ht="15" customHeight="1">
      <c r="A608" s="255" t="s">
        <v>2454</v>
      </c>
      <c r="B608" s="260">
        <f>'Dry_Litterbag Placem_Collection'!A169</f>
        <v>167</v>
      </c>
      <c r="C608" s="260" t="str">
        <f>'Dry_Litterbag Placem_Collection'!B169</f>
        <v>Handajega</v>
      </c>
      <c r="D608" s="260" t="s">
        <v>2454</v>
      </c>
      <c r="E608" s="260" t="s">
        <v>2645</v>
      </c>
      <c r="F608" s="260">
        <v>1</v>
      </c>
      <c r="G608" s="260" t="s">
        <v>3825</v>
      </c>
      <c r="H608" s="261" t="str">
        <f>'Dry_Litterbag Placem_Collection'!C169</f>
        <v>Wet_W1_T7</v>
      </c>
      <c r="I608" s="270" t="s">
        <v>3630</v>
      </c>
      <c r="J608" s="263" t="s">
        <v>1147</v>
      </c>
      <c r="K608" s="221" t="str">
        <f>'WetLitterbags placem_collection'!O169</f>
        <v>G443</v>
      </c>
      <c r="L608" s="223">
        <f>IFERROR(INDEX('Green_rooibos initial weight'!$C$5:$C$2000,MATCH(K608, 'Green_rooibos initial weight'!$A$5:$A$2000,0)),"")</f>
        <v>2.0310000000000001</v>
      </c>
      <c r="M608" s="223">
        <f>IFERROR(L608-(TBIcalc!$H$9+TBIcalc!$H$10),"")</f>
        <v>1.7812000000000001</v>
      </c>
      <c r="N608" s="385">
        <f>AVERAGE(Ashed_controlls!$K$2:$K$11)</f>
        <v>5.5147656768714146</v>
      </c>
      <c r="O608" s="223">
        <f t="shared" si="46"/>
        <v>1.6829709937635664</v>
      </c>
      <c r="P608" s="223">
        <f>IFERROR(INDEX('Both teabags AfterWet'!$C$3:$C$840,MATCH(K608,'Both teabags AfterWet'!$A$3:$A$840,0)),"")</f>
        <v>0.69789999999999996</v>
      </c>
      <c r="Q608" s="223">
        <f>IFERROR(IF(P608&gt;0,P608-(TBIcalc!$H$9),""),"")</f>
        <v>0.5472999999999999</v>
      </c>
      <c r="R608" s="223">
        <f>IFERROR(INDEX('Ashed teabags wet'!$K$2:$K$2000,MATCH(K608,'Ashed teabags wet'!$A$2:$A$2000,0)),"")</f>
        <v>8.5487077534794818</v>
      </c>
      <c r="S608" s="223">
        <f t="shared" si="47"/>
        <v>0.50051292246520673</v>
      </c>
      <c r="T608" s="224">
        <f>'WetLitterbags placem_collection'!E169</f>
        <v>42763</v>
      </c>
      <c r="U608" s="224">
        <f>IF('WetLitterbags placem_collection'!G169="","",'WetLitterbags placem_collection'!G169)</f>
        <v>42814</v>
      </c>
      <c r="V608" s="225">
        <f t="shared" si="45"/>
        <v>51</v>
      </c>
      <c r="W608" s="223">
        <f t="shared" si="48"/>
        <v>1.2339000000000002</v>
      </c>
      <c r="X608" s="223">
        <f t="shared" si="49"/>
        <v>1.1824580712983597</v>
      </c>
      <c r="Y608">
        <f>IFERROR(INDEX(Rainfall_Wet!$O$2:$O$217,MATCH(B608, Rainfall_Wet!$A$2:$A$217,0)),"")</f>
        <v>181.383442621</v>
      </c>
      <c r="Z608" s="228">
        <v>21.96</v>
      </c>
      <c r="AA608" s="228">
        <v>4.9199999999999982</v>
      </c>
      <c r="AB608" s="228">
        <v>73.12</v>
      </c>
      <c r="AC608" s="229" t="s">
        <v>2654</v>
      </c>
      <c r="AD608" s="228">
        <v>7.2416954164613099</v>
      </c>
      <c r="AE608">
        <f>IF('WetLitterbags placem_collection'!AB169="","",'WetLitterbags placem_collection'!AB169)</f>
        <v>5.6</v>
      </c>
      <c r="AF608">
        <f>IF('WetLitterbags placem_collection'!Z169="","",'WetLitterbags placem_collection'!Z169)</f>
        <v>4.2</v>
      </c>
      <c r="AG608" s="243" t="str">
        <f>IF('WetLitterbags placem_collection'!AA169="","",'WetLitterbags placem_collection'!AA169)</f>
        <v>M</v>
      </c>
      <c r="AH608">
        <f>IF('WetLitterbags placem_collection'!AC169="","",'WetLitterbags placem_collection'!AC169)</f>
        <v>1</v>
      </c>
      <c r="AI608" s="237">
        <f>AVERAGE('WetLitterbags placem_collection'!S169,'WetLitterbags placem_collection'!U169)</f>
        <v>10.45</v>
      </c>
      <c r="AJ608">
        <f>AVERAGE('WetLitterbags placem_collection'!R169,'WetLitterbags placem_collection'!T169)</f>
        <v>31</v>
      </c>
      <c r="AK608">
        <f>INDEX(Coordinates!$B$2:$B$197,MATCH(H608,Coordinates!$J$2:$J$197,0))</f>
        <v>-2.2729950310000002</v>
      </c>
      <c r="AL608">
        <f>INDEX(Coordinates!$C$2:$C$197,MATCH(H608,Coordinates!$J$2:$J$197,0))</f>
        <v>34.022923990000002</v>
      </c>
      <c r="AM608" t="str">
        <f>IF(ISNUMBER(SEARCH("C", 'WetLitterbags placem_collection'!$X169)),"YES","NO")</f>
        <v>NO</v>
      </c>
      <c r="AN608" t="str">
        <f>IF(ISNUMBER(SEARCH("H", 'WetLitterbags placem_collection'!$X169)),"YES","NO")</f>
        <v>NO</v>
      </c>
      <c r="AO608" t="str">
        <f>IF(ISNUMBER(SEARCH("R", 'WetLitterbags placem_collection'!$X169)),"YES","NO")</f>
        <v>NO</v>
      </c>
    </row>
    <row r="609" spans="1:41" ht="15" customHeight="1">
      <c r="A609" s="255" t="s">
        <v>2454</v>
      </c>
      <c r="B609" s="260">
        <f>'Dry_Litterbag Placem_Collection'!A170</f>
        <v>168</v>
      </c>
      <c r="C609" s="260" t="str">
        <f>'Dry_Litterbag Placem_Collection'!B170</f>
        <v>Handajega</v>
      </c>
      <c r="D609" s="260" t="s">
        <v>2454</v>
      </c>
      <c r="E609" s="260" t="s">
        <v>2645</v>
      </c>
      <c r="F609" s="260">
        <v>1</v>
      </c>
      <c r="G609" s="260" t="s">
        <v>3825</v>
      </c>
      <c r="H609" s="261" t="str">
        <f>'Dry_Litterbag Placem_Collection'!C170</f>
        <v>Wet_W1_T8</v>
      </c>
      <c r="I609" s="270" t="s">
        <v>3630</v>
      </c>
      <c r="J609" s="263" t="s">
        <v>1147</v>
      </c>
      <c r="K609" s="221" t="str">
        <f>'WetLitterbags placem_collection'!O170</f>
        <v>G680</v>
      </c>
      <c r="L609" s="223">
        <f>IFERROR(INDEX('Green_rooibos initial weight'!$C$5:$C$2000,MATCH(K609, 'Green_rooibos initial weight'!$A$5:$A$2000,0)),"")</f>
        <v>2.0049999999999999</v>
      </c>
      <c r="M609" s="223">
        <f>IFERROR(L609-(TBIcalc!$H$9+TBIcalc!$H$10),"")</f>
        <v>1.7551999999999999</v>
      </c>
      <c r="N609" s="385">
        <f>AVERAGE(Ashed_controlls!$K$2:$K$11)</f>
        <v>5.5147656768714146</v>
      </c>
      <c r="O609" s="223">
        <f t="shared" si="46"/>
        <v>1.6584048328395529</v>
      </c>
      <c r="P609" s="223">
        <f>IFERROR(INDEX('Both teabags AfterWet'!$C$3:$C$840,MATCH(K609,'Both teabags AfterWet'!$A$3:$A$840,0)),"")</f>
        <v>0.998</v>
      </c>
      <c r="Q609" s="223">
        <f>IFERROR(IF(P609&gt;0,P609-(TBIcalc!$H$9),""),"")</f>
        <v>0.84739999999999993</v>
      </c>
      <c r="R609" s="223">
        <f>IFERROR(INDEX('Ashed teabags wet'!$K$2:$K$2000,MATCH(K609,'Ashed teabags wet'!$A$2:$A$2000,0)),"")</f>
        <v>7.5706756109248428</v>
      </c>
      <c r="S609" s="223">
        <f t="shared" si="47"/>
        <v>0.78324609487302277</v>
      </c>
      <c r="T609" s="224">
        <f>'WetLitterbags placem_collection'!E170</f>
        <v>42763</v>
      </c>
      <c r="U609" s="224">
        <f>IF('WetLitterbags placem_collection'!G170="","",'WetLitterbags placem_collection'!G170)</f>
        <v>42814</v>
      </c>
      <c r="V609" s="225">
        <f t="shared" si="45"/>
        <v>51</v>
      </c>
      <c r="W609" s="223">
        <f t="shared" si="48"/>
        <v>0.90779999999999994</v>
      </c>
      <c r="X609" s="223">
        <f t="shared" si="49"/>
        <v>0.8751587379665301</v>
      </c>
      <c r="Y609">
        <f>IFERROR(INDEX(Rainfall_Wet!$O$2:$O$217,MATCH(B609, Rainfall_Wet!$A$2:$A$217,0)),"")</f>
        <v>181.383442621</v>
      </c>
      <c r="Z609" s="228">
        <v>21.96</v>
      </c>
      <c r="AA609" s="228">
        <v>4.9199999999999982</v>
      </c>
      <c r="AB609" s="228">
        <v>73.12</v>
      </c>
      <c r="AC609" s="229" t="s">
        <v>2654</v>
      </c>
      <c r="AD609" s="228">
        <v>8.2416954164613099</v>
      </c>
      <c r="AE609">
        <f>IF('WetLitterbags placem_collection'!AB170="","",'WetLitterbags placem_collection'!AB170)</f>
        <v>2.4</v>
      </c>
      <c r="AF609">
        <f>IF('WetLitterbags placem_collection'!Z170="","",'WetLitterbags placem_collection'!Z170)</f>
        <v>46</v>
      </c>
      <c r="AG609" s="243" t="str">
        <f>IF('WetLitterbags placem_collection'!AA170="","",'WetLitterbags placem_collection'!AA170)</f>
        <v>M</v>
      </c>
      <c r="AH609">
        <f>IF('WetLitterbags placem_collection'!AC170="","",'WetLitterbags placem_collection'!AC170)</f>
        <v>0</v>
      </c>
      <c r="AI609" s="237">
        <f>AVERAGE('WetLitterbags placem_collection'!S170,'WetLitterbags placem_collection'!U170)</f>
        <v>11.25</v>
      </c>
      <c r="AJ609">
        <f>AVERAGE('WetLitterbags placem_collection'!R170,'WetLitterbags placem_collection'!T170)</f>
        <v>33.299999999999997</v>
      </c>
      <c r="AK609">
        <f>INDEX(Coordinates!$B$2:$B$197,MATCH(H609,Coordinates!$J$2:$J$197,0))</f>
        <v>-2.2729129719999999</v>
      </c>
      <c r="AL609">
        <f>INDEX(Coordinates!$C$2:$C$197,MATCH(H609,Coordinates!$J$2:$J$197,0))</f>
        <v>34.023350039999997</v>
      </c>
      <c r="AM609" t="str">
        <f>IF(ISNUMBER(SEARCH("C", 'WetLitterbags placem_collection'!$X170)),"YES","NO")</f>
        <v>NO</v>
      </c>
      <c r="AN609" t="str">
        <f>IF(ISNUMBER(SEARCH("H", 'WetLitterbags placem_collection'!$X170)),"YES","NO")</f>
        <v>NO</v>
      </c>
      <c r="AO609" t="str">
        <f>IF(ISNUMBER(SEARCH("R", 'WetLitterbags placem_collection'!$X170)),"YES","NO")</f>
        <v>NO</v>
      </c>
    </row>
    <row r="610" spans="1:41" ht="15" customHeight="1">
      <c r="A610" s="255" t="s">
        <v>2454</v>
      </c>
      <c r="B610" s="260">
        <f>'Dry_Litterbag Placem_Collection'!A171</f>
        <v>169</v>
      </c>
      <c r="C610" s="260" t="str">
        <f>'Dry_Litterbag Placem_Collection'!B171</f>
        <v>Handajega</v>
      </c>
      <c r="D610" s="260" t="s">
        <v>2454</v>
      </c>
      <c r="E610" s="260" t="s">
        <v>2645</v>
      </c>
      <c r="F610" s="260">
        <v>2</v>
      </c>
      <c r="G610" s="260" t="s">
        <v>3827</v>
      </c>
      <c r="H610" s="261" t="str">
        <f>'Dry_Litterbag Placem_Collection'!C171</f>
        <v>Wet_W2_T1</v>
      </c>
      <c r="I610" s="270" t="s">
        <v>3630</v>
      </c>
      <c r="J610" s="263" t="s">
        <v>1147</v>
      </c>
      <c r="K610" s="221" t="str">
        <f>'WetLitterbags placem_collection'!O171</f>
        <v>G496</v>
      </c>
      <c r="L610" s="223">
        <f>IFERROR(INDEX('Green_rooibos initial weight'!$C$5:$C$2000,MATCH(K610, 'Green_rooibos initial weight'!$A$5:$A$2000,0)),"")</f>
        <v>1.8480000000000001</v>
      </c>
      <c r="M610" s="223">
        <f>IFERROR(L610-(TBIcalc!$H$9+TBIcalc!$H$10),"")</f>
        <v>1.5982000000000001</v>
      </c>
      <c r="N610" s="385">
        <f>AVERAGE(Ashed_controlls!$K$2:$K$11)</f>
        <v>5.5147656768714146</v>
      </c>
      <c r="O610" s="223">
        <f t="shared" si="46"/>
        <v>1.5100630149522412</v>
      </c>
      <c r="P610" s="223">
        <f>IFERROR(INDEX('Both teabags AfterWet'!$C$3:$C$840,MATCH(K610,'Both teabags AfterWet'!$A$3:$A$840,0)),"")</f>
        <v>0.57199999999999995</v>
      </c>
      <c r="Q610" s="223">
        <f>IFERROR(IF(P610&gt;0,P610-(TBIcalc!$H$9),""),"")</f>
        <v>0.42139999999999994</v>
      </c>
      <c r="R610" s="223">
        <f>IFERROR(INDEX('Ashed teabags wet'!$K$2:$K$2000,MATCH(K610,'Ashed teabags wet'!$A$2:$A$2000,0)),"")</f>
        <v>9.4256259204713331</v>
      </c>
      <c r="S610" s="223">
        <f t="shared" si="47"/>
        <v>0.38168041237113376</v>
      </c>
      <c r="T610" s="224">
        <f>'WetLitterbags placem_collection'!E171</f>
        <v>42763</v>
      </c>
      <c r="U610" s="224">
        <f>IF('WetLitterbags placem_collection'!G171="","",'WetLitterbags placem_collection'!G171)</f>
        <v>42814</v>
      </c>
      <c r="V610" s="225">
        <f t="shared" si="45"/>
        <v>51</v>
      </c>
      <c r="W610" s="223">
        <f t="shared" si="48"/>
        <v>1.1768000000000001</v>
      </c>
      <c r="X610" s="223">
        <f t="shared" si="49"/>
        <v>1.1283826025811075</v>
      </c>
      <c r="Y610">
        <f>IFERROR(INDEX(Rainfall_Wet!$O$2:$O$217,MATCH(B610, Rainfall_Wet!$A$2:$A$217,0)),"")</f>
        <v>181.383442621</v>
      </c>
      <c r="Z610" s="228">
        <v>23.96</v>
      </c>
      <c r="AA610" s="228">
        <v>4.9199999999999982</v>
      </c>
      <c r="AB610" s="228">
        <v>71.12</v>
      </c>
      <c r="AC610" s="229" t="s">
        <v>2654</v>
      </c>
      <c r="AD610" s="228">
        <v>3.30913750616067</v>
      </c>
      <c r="AE610">
        <f>IF('WetLitterbags placem_collection'!AB171="","",'WetLitterbags placem_collection'!AB171)</f>
        <v>8.1999999999999993</v>
      </c>
      <c r="AF610">
        <f>IF('WetLitterbags placem_collection'!Z171="","",'WetLitterbags placem_collection'!Z171)</f>
        <v>11.4</v>
      </c>
      <c r="AG610" s="243" t="str">
        <f>IF('WetLitterbags placem_collection'!AA171="","",'WetLitterbags placem_collection'!AA171)</f>
        <v>O</v>
      </c>
      <c r="AH610">
        <f>IF('WetLitterbags placem_collection'!AC171="","",'WetLitterbags placem_collection'!AC171)</f>
        <v>1</v>
      </c>
      <c r="AI610" s="237">
        <f>AVERAGE('WetLitterbags placem_collection'!S171,'WetLitterbags placem_collection'!U171)</f>
        <v>9.65</v>
      </c>
      <c r="AJ610">
        <f>AVERAGE('WetLitterbags placem_collection'!R171,'WetLitterbags placem_collection'!T171)</f>
        <v>36.200000000000003</v>
      </c>
      <c r="AK610">
        <f>INDEX(Coordinates!$B$2:$B$197,MATCH(H610,Coordinates!$J$2:$J$197,0))</f>
        <v>-2.2784290180000002</v>
      </c>
      <c r="AL610">
        <f>INDEX(Coordinates!$C$2:$C$197,MATCH(H610,Coordinates!$J$2:$J$197,0))</f>
        <v>34.024240030000001</v>
      </c>
      <c r="AM610" t="str">
        <f>IF(ISNUMBER(SEARCH("C", 'WetLitterbags placem_collection'!$X171)),"YES","NO")</f>
        <v>NO</v>
      </c>
      <c r="AN610" t="str">
        <f>IF(ISNUMBER(SEARCH("H", 'WetLitterbags placem_collection'!$X171)),"YES","NO")</f>
        <v>NO</v>
      </c>
      <c r="AO610" t="str">
        <f>IF(ISNUMBER(SEARCH("R", 'WetLitterbags placem_collection'!$X171)),"YES","NO")</f>
        <v>NO</v>
      </c>
    </row>
    <row r="611" spans="1:41" ht="15" customHeight="1">
      <c r="A611" s="255" t="s">
        <v>2454</v>
      </c>
      <c r="B611" s="260">
        <f>'Dry_Litterbag Placem_Collection'!A172</f>
        <v>170</v>
      </c>
      <c r="C611" s="260" t="str">
        <f>'Dry_Litterbag Placem_Collection'!B172</f>
        <v>Handajega</v>
      </c>
      <c r="D611" s="260" t="s">
        <v>2454</v>
      </c>
      <c r="E611" s="260" t="s">
        <v>2645</v>
      </c>
      <c r="F611" s="260">
        <v>2</v>
      </c>
      <c r="G611" s="260" t="s">
        <v>3827</v>
      </c>
      <c r="H611" s="261" t="str">
        <f>'Dry_Litterbag Placem_Collection'!C172</f>
        <v>Wet_W2_T2</v>
      </c>
      <c r="I611" s="270" t="s">
        <v>3630</v>
      </c>
      <c r="J611" s="263" t="s">
        <v>1147</v>
      </c>
      <c r="K611" s="221" t="str">
        <f>'WetLitterbags placem_collection'!O172</f>
        <v>G674</v>
      </c>
      <c r="L611" s="223">
        <f>IFERROR(INDEX('Green_rooibos initial weight'!$C$5:$C$2000,MATCH(K611, 'Green_rooibos initial weight'!$A$5:$A$2000,0)),"")</f>
        <v>1.9950000000000001</v>
      </c>
      <c r="M611" s="223">
        <f>IFERROR(L611-(TBIcalc!$H$9+TBIcalc!$H$10),"")</f>
        <v>1.7452000000000001</v>
      </c>
      <c r="N611" s="385">
        <f>AVERAGE(Ashed_controlls!$K$2:$K$11)</f>
        <v>5.5147656768714146</v>
      </c>
      <c r="O611" s="223">
        <f t="shared" si="46"/>
        <v>1.6489563094072401</v>
      </c>
      <c r="P611" s="223">
        <f>IFERROR(INDEX('Both teabags AfterWet'!$C$3:$C$840,MATCH(K611,'Both teabags AfterWet'!$A$3:$A$840,0)),"")</f>
        <v>0.61299999999999999</v>
      </c>
      <c r="Q611" s="223">
        <f>IFERROR(IF(P611&gt;0,P611-(TBIcalc!$H$9),""),"")</f>
        <v>0.46239999999999998</v>
      </c>
      <c r="R611" s="223">
        <f>IFERROR(INDEX('Ashed teabags wet'!$K$2:$K$2000,MATCH(K611,'Ashed teabags wet'!$A$2:$A$2000,0)),"")</f>
        <v>8.7857847976303241</v>
      </c>
      <c r="S611" s="223">
        <f t="shared" si="47"/>
        <v>0.42177453109575735</v>
      </c>
      <c r="T611" s="224">
        <f>'WetLitterbags placem_collection'!E172</f>
        <v>42763</v>
      </c>
      <c r="U611" s="224">
        <f>IF('WetLitterbags placem_collection'!G172="","",'WetLitterbags placem_collection'!G172)</f>
        <v>42814</v>
      </c>
      <c r="V611" s="225">
        <f t="shared" si="45"/>
        <v>51</v>
      </c>
      <c r="W611" s="223">
        <f t="shared" si="48"/>
        <v>1.2828000000000002</v>
      </c>
      <c r="X611" s="223">
        <f t="shared" si="49"/>
        <v>1.2271817783114827</v>
      </c>
      <c r="Y611">
        <f>IFERROR(INDEX(Rainfall_Wet!$O$2:$O$217,MATCH(B611, Rainfall_Wet!$A$2:$A$217,0)),"")</f>
        <v>181.383442621</v>
      </c>
      <c r="Z611" s="228">
        <v>23.96</v>
      </c>
      <c r="AA611" s="228">
        <v>4.9199999999999982</v>
      </c>
      <c r="AB611" s="228">
        <v>71.12</v>
      </c>
      <c r="AC611" s="229" t="s">
        <v>2654</v>
      </c>
      <c r="AD611" s="228">
        <v>4.3091375061606696</v>
      </c>
      <c r="AE611">
        <f>IF('WetLitterbags placem_collection'!AB172="","",'WetLitterbags placem_collection'!AB172)</f>
        <v>7.7</v>
      </c>
      <c r="AF611">
        <f>IF('WetLitterbags placem_collection'!Z172="","",'WetLitterbags placem_collection'!Z172)</f>
        <v>15.8</v>
      </c>
      <c r="AG611" s="243" t="str">
        <f>IF('WetLitterbags placem_collection'!AA172="","",'WetLitterbags placem_collection'!AA172)</f>
        <v>O</v>
      </c>
      <c r="AH611">
        <f>IF('WetLitterbags placem_collection'!AC172="","",'WetLitterbags placem_collection'!AC172)</f>
        <v>1</v>
      </c>
      <c r="AI611" s="237">
        <f>AVERAGE('WetLitterbags placem_collection'!S172,'WetLitterbags placem_collection'!U172)</f>
        <v>8.1</v>
      </c>
      <c r="AJ611">
        <f>AVERAGE('WetLitterbags placem_collection'!R172,'WetLitterbags placem_collection'!T172)</f>
        <v>33.599999999999994</v>
      </c>
      <c r="AK611">
        <f>INDEX(Coordinates!$B$2:$B$197,MATCH(H611,Coordinates!$J$2:$J$197,0))</f>
        <v>-2.2784629650000001</v>
      </c>
      <c r="AL611">
        <f>INDEX(Coordinates!$C$2:$C$197,MATCH(H611,Coordinates!$J$2:$J$197,0))</f>
        <v>34.024177999999999</v>
      </c>
      <c r="AM611" t="str">
        <f>IF(ISNUMBER(SEARCH("C", 'WetLitterbags placem_collection'!$X172)),"YES","NO")</f>
        <v>NO</v>
      </c>
      <c r="AN611" t="str">
        <f>IF(ISNUMBER(SEARCH("H", 'WetLitterbags placem_collection'!$X172)),"YES","NO")</f>
        <v>NO</v>
      </c>
      <c r="AO611" t="str">
        <f>IF(ISNUMBER(SEARCH("R", 'WetLitterbags placem_collection'!$X172)),"YES","NO")</f>
        <v>NO</v>
      </c>
    </row>
    <row r="612" spans="1:41" ht="15" customHeight="1">
      <c r="A612" s="255" t="s">
        <v>2454</v>
      </c>
      <c r="B612" s="260">
        <f>'Dry_Litterbag Placem_Collection'!A173</f>
        <v>171</v>
      </c>
      <c r="C612" s="260" t="str">
        <f>'Dry_Litterbag Placem_Collection'!B173</f>
        <v>Handajega</v>
      </c>
      <c r="D612" s="260" t="s">
        <v>2454</v>
      </c>
      <c r="E612" s="260" t="s">
        <v>2645</v>
      </c>
      <c r="F612" s="260">
        <v>2</v>
      </c>
      <c r="G612" s="260" t="s">
        <v>3827</v>
      </c>
      <c r="H612" s="261" t="str">
        <f>'Dry_Litterbag Placem_Collection'!C173</f>
        <v>Wet_W2_T3</v>
      </c>
      <c r="I612" s="270" t="s">
        <v>3630</v>
      </c>
      <c r="J612" s="263" t="s">
        <v>1147</v>
      </c>
      <c r="K612" s="221" t="str">
        <f>'WetLitterbags placem_collection'!O173</f>
        <v>G504</v>
      </c>
      <c r="L612" s="223">
        <f>IFERROR(INDEX('Green_rooibos initial weight'!$C$5:$C$2000,MATCH(K612, 'Green_rooibos initial weight'!$A$5:$A$2000,0)),"")</f>
        <v>2.0009999999999999</v>
      </c>
      <c r="M612" s="223">
        <f>IFERROR(L612-(TBIcalc!$H$9+TBIcalc!$H$10),"")</f>
        <v>1.7511999999999999</v>
      </c>
      <c r="N612" s="385">
        <f>AVERAGE(Ashed_controlls!$K$2:$K$11)</f>
        <v>5.5147656768714146</v>
      </c>
      <c r="O612" s="223">
        <f t="shared" si="46"/>
        <v>1.6546254234666278</v>
      </c>
      <c r="P612" s="223">
        <f>IFERROR(INDEX('Both teabags AfterWet'!$C$3:$C$840,MATCH(K612,'Both teabags AfterWet'!$A$3:$A$840,0)),"")</f>
        <v>0.53500000000000003</v>
      </c>
      <c r="Q612" s="223">
        <f>IFERROR(IF(P612&gt;0,P612-(TBIcalc!$H$9),""),"")</f>
        <v>0.38440000000000002</v>
      </c>
      <c r="R612" s="223">
        <f>IFERROR(INDEX('Ashed teabags wet'!$K$2:$K$2000,MATCH(K612,'Ashed teabags wet'!$A$2:$A$2000,0)),"")</f>
        <v>8.6370444333500629</v>
      </c>
      <c r="S612" s="223">
        <f t="shared" si="47"/>
        <v>0.35119920119820236</v>
      </c>
      <c r="T612" s="224">
        <f>'WetLitterbags placem_collection'!E173</f>
        <v>42763</v>
      </c>
      <c r="U612" s="224">
        <f>IF('WetLitterbags placem_collection'!G173="","",'WetLitterbags placem_collection'!G173)</f>
        <v>42814</v>
      </c>
      <c r="V612" s="225">
        <f t="shared" si="45"/>
        <v>51</v>
      </c>
      <c r="W612" s="223">
        <f t="shared" si="48"/>
        <v>1.3667999999999998</v>
      </c>
      <c r="X612" s="223">
        <f t="shared" si="49"/>
        <v>1.3034262222684254</v>
      </c>
      <c r="Y612">
        <f>IFERROR(INDEX(Rainfall_Wet!$O$2:$O$217,MATCH(B612, Rainfall_Wet!$A$2:$A$217,0)),"")</f>
        <v>181.383442621</v>
      </c>
      <c r="Z612" s="228">
        <v>23.96</v>
      </c>
      <c r="AA612" s="228">
        <v>4.9199999999999982</v>
      </c>
      <c r="AB612" s="228">
        <v>71.12</v>
      </c>
      <c r="AC612" s="229" t="s">
        <v>2654</v>
      </c>
      <c r="AD612" s="228">
        <v>5.3091375061606696</v>
      </c>
      <c r="AE612">
        <f>IF('WetLitterbags placem_collection'!AB173="","",'WetLitterbags placem_collection'!AB173)</f>
        <v>13.4</v>
      </c>
      <c r="AF612">
        <f>IF('WetLitterbags placem_collection'!Z173="","",'WetLitterbags placem_collection'!Z173)</f>
        <v>7.6</v>
      </c>
      <c r="AG612" s="243" t="str">
        <f>IF('WetLitterbags placem_collection'!AA173="","",'WetLitterbags placem_collection'!AA173)</f>
        <v>O</v>
      </c>
      <c r="AH612">
        <f>IF('WetLitterbags placem_collection'!AC173="","",'WetLitterbags placem_collection'!AC173)</f>
        <v>1</v>
      </c>
      <c r="AI612" s="237">
        <f>AVERAGE('WetLitterbags placem_collection'!S173,'WetLitterbags placem_collection'!U173)</f>
        <v>10.5</v>
      </c>
      <c r="AJ612">
        <f>AVERAGE('WetLitterbags placem_collection'!R173,'WetLitterbags placem_collection'!T173)</f>
        <v>34.15</v>
      </c>
      <c r="AK612">
        <f>INDEX(Coordinates!$B$2:$B$197,MATCH(H612,Coordinates!$J$2:$J$197,0))</f>
        <v>-2.2785389889999998</v>
      </c>
      <c r="AL612">
        <f>INDEX(Coordinates!$C$2:$C$197,MATCH(H612,Coordinates!$J$2:$J$197,0))</f>
        <v>34.024371039999998</v>
      </c>
      <c r="AM612" t="str">
        <f>IF(ISNUMBER(SEARCH("C", 'WetLitterbags placem_collection'!$X173)),"YES","NO")</f>
        <v>NO</v>
      </c>
      <c r="AN612" t="str">
        <f>IF(ISNUMBER(SEARCH("H", 'WetLitterbags placem_collection'!$X173)),"YES","NO")</f>
        <v>NO</v>
      </c>
      <c r="AO612" t="str">
        <f>IF(ISNUMBER(SEARCH("R", 'WetLitterbags placem_collection'!$X173)),"YES","NO")</f>
        <v>NO</v>
      </c>
    </row>
    <row r="613" spans="1:41" ht="15" customHeight="1">
      <c r="A613" s="255" t="s">
        <v>2454</v>
      </c>
      <c r="B613" s="260">
        <f>'Dry_Litterbag Placem_Collection'!A174</f>
        <v>172</v>
      </c>
      <c r="C613" s="260" t="str">
        <f>'Dry_Litterbag Placem_Collection'!B174</f>
        <v>Handajega</v>
      </c>
      <c r="D613" s="260" t="s">
        <v>2454</v>
      </c>
      <c r="E613" s="260" t="s">
        <v>2645</v>
      </c>
      <c r="F613" s="260">
        <v>2</v>
      </c>
      <c r="G613" s="260" t="s">
        <v>3827</v>
      </c>
      <c r="H613" s="261" t="str">
        <f>'Dry_Litterbag Placem_Collection'!C174</f>
        <v>Wet_W2_T4</v>
      </c>
      <c r="I613" s="270" t="s">
        <v>3630</v>
      </c>
      <c r="J613" s="263" t="s">
        <v>1147</v>
      </c>
      <c r="K613" s="221" t="str">
        <f>'WetLitterbags placem_collection'!O174</f>
        <v>G439</v>
      </c>
      <c r="L613" s="223">
        <f>IFERROR(INDEX('Green_rooibos initial weight'!$C$5:$C$2000,MATCH(K613, 'Green_rooibos initial weight'!$A$5:$A$2000,0)),"")</f>
        <v>2.069</v>
      </c>
      <c r="M613" s="223">
        <f>IFERROR(L613-(TBIcalc!$H$9+TBIcalc!$H$10),"")</f>
        <v>1.8191999999999999</v>
      </c>
      <c r="N613" s="385">
        <f>AVERAGE(Ashed_controlls!$K$2:$K$11)</f>
        <v>5.5147656768714146</v>
      </c>
      <c r="O613" s="223">
        <f t="shared" si="46"/>
        <v>1.7188753828063552</v>
      </c>
      <c r="P613" s="223">
        <f>IFERROR(INDEX('Both teabags AfterWet'!$C$3:$C$840,MATCH(K613,'Both teabags AfterWet'!$A$3:$A$840,0)),"")</f>
        <v>0.59599999999999997</v>
      </c>
      <c r="Q613" s="223">
        <f>IFERROR(IF(P613&gt;0,P613-(TBIcalc!$H$9),""),"")</f>
        <v>0.44539999999999996</v>
      </c>
      <c r="R613" s="223">
        <f>IFERROR(INDEX('Ashed teabags wet'!$K$2:$K$2000,MATCH(K613,'Ashed teabags wet'!$A$2:$A$2000,0)),"")</f>
        <v>9.0602409638559092</v>
      </c>
      <c r="S613" s="223">
        <f t="shared" si="47"/>
        <v>0.40504568674698577</v>
      </c>
      <c r="T613" s="224">
        <f>'WetLitterbags placem_collection'!E174</f>
        <v>42763</v>
      </c>
      <c r="U613" s="224">
        <f>IF('WetLitterbags placem_collection'!G174="","",'WetLitterbags placem_collection'!G174)</f>
        <v>42814</v>
      </c>
      <c r="V613" s="225">
        <f t="shared" si="45"/>
        <v>51</v>
      </c>
      <c r="W613" s="223">
        <f t="shared" si="48"/>
        <v>1.3737999999999999</v>
      </c>
      <c r="X613" s="223">
        <f t="shared" si="49"/>
        <v>1.3138296960593694</v>
      </c>
      <c r="Y613">
        <f>IFERROR(INDEX(Rainfall_Wet!$O$2:$O$217,MATCH(B613, Rainfall_Wet!$A$2:$A$217,0)),"")</f>
        <v>181.383442621</v>
      </c>
      <c r="Z613" s="228">
        <v>23.96</v>
      </c>
      <c r="AA613" s="228">
        <v>4.9199999999999982</v>
      </c>
      <c r="AB613" s="228">
        <v>71.12</v>
      </c>
      <c r="AC613" s="229" t="s">
        <v>2654</v>
      </c>
      <c r="AD613" s="228">
        <v>6.3091375061606696</v>
      </c>
      <c r="AE613">
        <f>IF('WetLitterbags placem_collection'!AB174="","",'WetLitterbags placem_collection'!AB174)</f>
        <v>3.3</v>
      </c>
      <c r="AF613">
        <f>IF('WetLitterbags placem_collection'!Z174="","",'WetLitterbags placem_collection'!Z174)</f>
        <v>28.4</v>
      </c>
      <c r="AG613" s="243" t="str">
        <f>IF('WetLitterbags placem_collection'!AA174="","",'WetLitterbags placem_collection'!AA174)</f>
        <v>G</v>
      </c>
      <c r="AH613">
        <f>IF('WetLitterbags placem_collection'!AC174="","",'WetLitterbags placem_collection'!AC174)</f>
        <v>1</v>
      </c>
      <c r="AI613" s="237">
        <f>AVERAGE('WetLitterbags placem_collection'!S174,'WetLitterbags placem_collection'!U174)</f>
        <v>9.6499999999999986</v>
      </c>
      <c r="AJ613">
        <f>AVERAGE('WetLitterbags placem_collection'!R174,'WetLitterbags placem_collection'!T174)</f>
        <v>35.1</v>
      </c>
      <c r="AK613">
        <f>INDEX(Coordinates!$B$2:$B$197,MATCH(H613,Coordinates!$J$2:$J$197,0))</f>
        <v>-2.2781410160000002</v>
      </c>
      <c r="AL613">
        <f>INDEX(Coordinates!$C$2:$C$197,MATCH(H613,Coordinates!$J$2:$J$197,0))</f>
        <v>34.024136009999999</v>
      </c>
      <c r="AM613" t="str">
        <f>IF(ISNUMBER(SEARCH("C", 'WetLitterbags placem_collection'!$X174)),"YES","NO")</f>
        <v>NO</v>
      </c>
      <c r="AN613" t="str">
        <f>IF(ISNUMBER(SEARCH("H", 'WetLitterbags placem_collection'!$X174)),"YES","NO")</f>
        <v>NO</v>
      </c>
      <c r="AO613" t="str">
        <f>IF(ISNUMBER(SEARCH("R", 'WetLitterbags placem_collection'!$X174)),"YES","NO")</f>
        <v>NO</v>
      </c>
    </row>
    <row r="614" spans="1:41" ht="15" customHeight="1">
      <c r="A614" s="255" t="s">
        <v>2454</v>
      </c>
      <c r="B614" s="260">
        <f>'Dry_Litterbag Placem_Collection'!A175</f>
        <v>173</v>
      </c>
      <c r="C614" s="260" t="str">
        <f>'Dry_Litterbag Placem_Collection'!B175</f>
        <v>Handajega</v>
      </c>
      <c r="D614" s="260" t="s">
        <v>2454</v>
      </c>
      <c r="E614" s="260" t="s">
        <v>2645</v>
      </c>
      <c r="F614" s="260">
        <v>2</v>
      </c>
      <c r="G614" s="260" t="s">
        <v>3827</v>
      </c>
      <c r="H614" s="261" t="str">
        <f>'Dry_Litterbag Placem_Collection'!C175</f>
        <v>Wet_W2_T5</v>
      </c>
      <c r="I614" s="270" t="s">
        <v>3630</v>
      </c>
      <c r="J614" s="263" t="s">
        <v>1147</v>
      </c>
      <c r="K614" s="221" t="str">
        <f>'WetLitterbags placem_collection'!O175</f>
        <v>G865</v>
      </c>
      <c r="L614" s="223">
        <f>IFERROR(INDEX('Green_rooibos initial weight'!$C$5:$C$2000,MATCH(K614, 'Green_rooibos initial weight'!$A$5:$A$2000,0)),"")</f>
        <v>2.036</v>
      </c>
      <c r="M614" s="223">
        <f>IFERROR(L614-(TBIcalc!$H$9+TBIcalc!$H$10),"")</f>
        <v>1.7862</v>
      </c>
      <c r="N614" s="385">
        <f>AVERAGE(Ashed_controlls!$K$2:$K$11)</f>
        <v>5.5147656768714146</v>
      </c>
      <c r="O614" s="223">
        <f t="shared" si="46"/>
        <v>1.6876952554797229</v>
      </c>
      <c r="P614" s="223">
        <f>IFERROR(INDEX('Both teabags AfterWet'!$C$3:$C$840,MATCH(K614,'Both teabags AfterWet'!$A$3:$A$840,0)),"")</f>
        <v>0.65549999999999997</v>
      </c>
      <c r="Q614" s="223">
        <f>IFERROR(IF(P614&gt;0,P614-(TBIcalc!$H$9),""),"")</f>
        <v>0.5048999999999999</v>
      </c>
      <c r="R614" s="223">
        <f>IFERROR(INDEX('Ashed teabags wet'!$K$2:$K$2000,MATCH(K614,'Ashed teabags wet'!$A$2:$A$2000,0)),"")</f>
        <v>9.1408591408588276</v>
      </c>
      <c r="S614" s="223">
        <f t="shared" si="47"/>
        <v>0.4587478021978037</v>
      </c>
      <c r="T614" s="224">
        <f>'WetLitterbags placem_collection'!E175</f>
        <v>42763</v>
      </c>
      <c r="U614" s="224">
        <f>IF('WetLitterbags placem_collection'!G175="","",'WetLitterbags placem_collection'!G175)</f>
        <v>42814</v>
      </c>
      <c r="V614" s="225">
        <f t="shared" si="45"/>
        <v>51</v>
      </c>
      <c r="W614" s="223">
        <f t="shared" si="48"/>
        <v>1.2813000000000001</v>
      </c>
      <c r="X614" s="223">
        <f t="shared" si="49"/>
        <v>1.2289474532819191</v>
      </c>
      <c r="Y614">
        <f>IFERROR(INDEX(Rainfall_Wet!$O$2:$O$217,MATCH(B614, Rainfall_Wet!$A$2:$A$217,0)),"")</f>
        <v>181.383442621</v>
      </c>
      <c r="Z614" s="228">
        <v>23.96</v>
      </c>
      <c r="AA614" s="228">
        <v>4.9199999999999982</v>
      </c>
      <c r="AB614" s="228">
        <v>71.12</v>
      </c>
      <c r="AC614" s="229" t="s">
        <v>2654</v>
      </c>
      <c r="AD614" s="228">
        <v>7.3091375061606696</v>
      </c>
      <c r="AE614">
        <f>IF('WetLitterbags placem_collection'!AB175="","",'WetLitterbags placem_collection'!AB175)</f>
        <v>15.4</v>
      </c>
      <c r="AF614">
        <f>IF('WetLitterbags placem_collection'!Z175="","",'WetLitterbags placem_collection'!Z175)</f>
        <v>12.4</v>
      </c>
      <c r="AG614" s="243" t="str">
        <f>IF('WetLitterbags placem_collection'!AA175="","",'WetLitterbags placem_collection'!AA175)</f>
        <v>O</v>
      </c>
      <c r="AH614">
        <f>IF('WetLitterbags placem_collection'!AC175="","",'WetLitterbags placem_collection'!AC175)</f>
        <v>0</v>
      </c>
      <c r="AI614" s="237">
        <f>AVERAGE('WetLitterbags placem_collection'!S175,'WetLitterbags placem_collection'!U175)</f>
        <v>10.450000000000001</v>
      </c>
      <c r="AJ614">
        <f>AVERAGE('WetLitterbags placem_collection'!R175,'WetLitterbags placem_collection'!T175)</f>
        <v>36.349999999999994</v>
      </c>
      <c r="AK614">
        <f>INDEX(Coordinates!$B$2:$B$197,MATCH(H614,Coordinates!$J$2:$J$197,0))</f>
        <v>-2.27856799</v>
      </c>
      <c r="AL614">
        <f>INDEX(Coordinates!$C$2:$C$197,MATCH(H614,Coordinates!$J$2:$J$197,0))</f>
        <v>34.023969970000003</v>
      </c>
      <c r="AM614" t="str">
        <f>IF(ISNUMBER(SEARCH("C", 'WetLitterbags placem_collection'!$X175)),"YES","NO")</f>
        <v>NO</v>
      </c>
      <c r="AN614" t="str">
        <f>IF(ISNUMBER(SEARCH("H", 'WetLitterbags placem_collection'!$X175)),"YES","NO")</f>
        <v>NO</v>
      </c>
      <c r="AO614" t="str">
        <f>IF(ISNUMBER(SEARCH("R", 'WetLitterbags placem_collection'!$X175)),"YES","NO")</f>
        <v>NO</v>
      </c>
    </row>
    <row r="615" spans="1:41" ht="15" customHeight="1">
      <c r="A615" s="255" t="s">
        <v>2454</v>
      </c>
      <c r="B615" s="260">
        <f>'Dry_Litterbag Placem_Collection'!A176</f>
        <v>174</v>
      </c>
      <c r="C615" s="260" t="str">
        <f>'Dry_Litterbag Placem_Collection'!B176</f>
        <v>Handajega</v>
      </c>
      <c r="D615" s="260" t="s">
        <v>2454</v>
      </c>
      <c r="E615" s="260" t="s">
        <v>2645</v>
      </c>
      <c r="F615" s="260">
        <v>2</v>
      </c>
      <c r="G615" s="260" t="s">
        <v>3827</v>
      </c>
      <c r="H615" s="261" t="str">
        <f>'Dry_Litterbag Placem_Collection'!C176</f>
        <v>Wet_W2_T6</v>
      </c>
      <c r="I615" s="270" t="s">
        <v>3630</v>
      </c>
      <c r="J615" s="263" t="s">
        <v>1147</v>
      </c>
      <c r="K615" s="221" t="str">
        <f>'WetLitterbags placem_collection'!O176</f>
        <v>G736</v>
      </c>
      <c r="L615" s="223">
        <f>IFERROR(INDEX('Green_rooibos initial weight'!$C$5:$C$2000,MATCH(K615, 'Green_rooibos initial weight'!$A$5:$A$2000,0)),"")</f>
        <v>2.0760000000000001</v>
      </c>
      <c r="M615" s="223">
        <f>IFERROR(L615-(TBIcalc!$H$9+TBIcalc!$H$10),"")</f>
        <v>1.8262</v>
      </c>
      <c r="N615" s="385">
        <f>AVERAGE(Ashed_controlls!$K$2:$K$11)</f>
        <v>5.5147656768714146</v>
      </c>
      <c r="O615" s="223">
        <f t="shared" si="46"/>
        <v>1.7254893492089742</v>
      </c>
      <c r="P615" s="223">
        <f>IFERROR(INDEX('Both teabags AfterWet'!$C$3:$C$840,MATCH(K615,'Both teabags AfterWet'!$A$3:$A$840,0)),"")</f>
        <v>0.63500000000000001</v>
      </c>
      <c r="Q615" s="223">
        <f>IFERROR(IF(P615&gt;0,P615-(TBIcalc!$H$9),""),"")</f>
        <v>0.4844</v>
      </c>
      <c r="R615" s="223">
        <f>IFERROR(INDEX('Ashed teabags wet'!$K$2:$K$2000,MATCH(K615,'Ashed teabags wet'!$A$2:$A$2000,0)),"")</f>
        <v>8.7727944800392965</v>
      </c>
      <c r="S615" s="223">
        <f t="shared" si="47"/>
        <v>0.44190458353868967</v>
      </c>
      <c r="T615" s="224">
        <f>'WetLitterbags placem_collection'!E176</f>
        <v>42763</v>
      </c>
      <c r="U615" s="224">
        <f>IF('WetLitterbags placem_collection'!G176="","",'WetLitterbags placem_collection'!G176)</f>
        <v>42814</v>
      </c>
      <c r="V615" s="225">
        <f t="shared" si="45"/>
        <v>51</v>
      </c>
      <c r="W615" s="223">
        <f t="shared" si="48"/>
        <v>1.3418000000000001</v>
      </c>
      <c r="X615" s="223">
        <f t="shared" si="49"/>
        <v>1.2835847656702846</v>
      </c>
      <c r="Y615">
        <f>IFERROR(INDEX(Rainfall_Wet!$O$2:$O$217,MATCH(B615, Rainfall_Wet!$A$2:$A$217,0)),"")</f>
        <v>181.383442621</v>
      </c>
      <c r="Z615" s="228">
        <v>23.96</v>
      </c>
      <c r="AA615" s="228">
        <v>4.9199999999999982</v>
      </c>
      <c r="AB615" s="228">
        <v>71.12</v>
      </c>
      <c r="AC615" s="229" t="s">
        <v>2654</v>
      </c>
      <c r="AD615" s="228">
        <v>8.3091375061606705</v>
      </c>
      <c r="AE615">
        <f>IF('WetLitterbags placem_collection'!AB176="","",'WetLitterbags placem_collection'!AB176)</f>
        <v>7.4</v>
      </c>
      <c r="AF615">
        <f>IF('WetLitterbags placem_collection'!Z176="","",'WetLitterbags placem_collection'!Z176)</f>
        <v>7.4</v>
      </c>
      <c r="AG615" s="243" t="str">
        <f>IF('WetLitterbags placem_collection'!AA176="","",'WetLitterbags placem_collection'!AA176)</f>
        <v>O</v>
      </c>
      <c r="AH615">
        <f>IF('WetLitterbags placem_collection'!AC176="","",'WetLitterbags placem_collection'!AC176)</f>
        <v>0</v>
      </c>
      <c r="AI615" s="237">
        <f>AVERAGE('WetLitterbags placem_collection'!S176,'WetLitterbags placem_collection'!U176)</f>
        <v>17.75</v>
      </c>
      <c r="AJ615">
        <f>AVERAGE('WetLitterbags placem_collection'!R176,'WetLitterbags placem_collection'!T176)</f>
        <v>34.85</v>
      </c>
      <c r="AK615">
        <f>INDEX(Coordinates!$B$2:$B$197,MATCH(H615,Coordinates!$J$2:$J$197,0))</f>
        <v>-2.2786809780000001</v>
      </c>
      <c r="AL615">
        <f>INDEX(Coordinates!$C$2:$C$197,MATCH(H615,Coordinates!$J$2:$J$197,0))</f>
        <v>34.02434899</v>
      </c>
      <c r="AM615" t="str">
        <f>IF(ISNUMBER(SEARCH("C", 'WetLitterbags placem_collection'!$X176)),"YES","NO")</f>
        <v>NO</v>
      </c>
      <c r="AN615" t="str">
        <f>IF(ISNUMBER(SEARCH("H", 'WetLitterbags placem_collection'!$X176)),"YES","NO")</f>
        <v>NO</v>
      </c>
      <c r="AO615" t="str">
        <f>IF(ISNUMBER(SEARCH("R", 'WetLitterbags placem_collection'!$X176)),"YES","NO")</f>
        <v>NO</v>
      </c>
    </row>
    <row r="616" spans="1:41" ht="15" customHeight="1">
      <c r="A616" s="255" t="s">
        <v>2454</v>
      </c>
      <c r="B616" s="260">
        <f>'Dry_Litterbag Placem_Collection'!A177</f>
        <v>175</v>
      </c>
      <c r="C616" s="260" t="str">
        <f>'Dry_Litterbag Placem_Collection'!B177</f>
        <v>Handajega</v>
      </c>
      <c r="D616" s="260" t="s">
        <v>2454</v>
      </c>
      <c r="E616" s="260" t="s">
        <v>2645</v>
      </c>
      <c r="F616" s="260">
        <v>2</v>
      </c>
      <c r="G616" s="260" t="s">
        <v>3827</v>
      </c>
      <c r="H616" s="261" t="str">
        <f>'Dry_Litterbag Placem_Collection'!C177</f>
        <v>Wet_W2_T7</v>
      </c>
      <c r="I616" s="270" t="s">
        <v>3630</v>
      </c>
      <c r="J616" s="263" t="s">
        <v>1147</v>
      </c>
      <c r="K616" s="221" t="str">
        <f>'WetLitterbags placem_collection'!O177</f>
        <v>G772</v>
      </c>
      <c r="L616" s="223">
        <f>IFERROR(INDEX('Green_rooibos initial weight'!$C$5:$C$2000,MATCH(K616, 'Green_rooibos initial weight'!$A$5:$A$2000,0)),"")</f>
        <v>2.0419999999999998</v>
      </c>
      <c r="M616" s="223">
        <f>IFERROR(L616-(TBIcalc!$H$9+TBIcalc!$H$10),"")</f>
        <v>1.7921999999999998</v>
      </c>
      <c r="N616" s="385">
        <f>AVERAGE(Ashed_controlls!$K$2:$K$11)</f>
        <v>5.5147656768714146</v>
      </c>
      <c r="O616" s="223">
        <f t="shared" si="46"/>
        <v>1.6933643695391103</v>
      </c>
      <c r="P616" s="223">
        <f>IFERROR(INDEX('Both teabags AfterWet'!$C$3:$C$840,MATCH(K616,'Both teabags AfterWet'!$A$3:$A$840,0)),"")</f>
        <v>0.58099999999999996</v>
      </c>
      <c r="Q616" s="223">
        <f>IFERROR(IF(P616&gt;0,P616-(TBIcalc!$H$9),""),"")</f>
        <v>0.43039999999999995</v>
      </c>
      <c r="R616" s="223">
        <f>IFERROR(INDEX('Ashed teabags wet'!$K$2:$K$2000,MATCH(K616,'Ashed teabags wet'!$A$2:$A$2000,0)),"")</f>
        <v>9.0770015298325593</v>
      </c>
      <c r="S616" s="223">
        <f t="shared" si="47"/>
        <v>0.39133258541560062</v>
      </c>
      <c r="T616" s="224">
        <f>'WetLitterbags placem_collection'!E177</f>
        <v>42763</v>
      </c>
      <c r="U616" s="224">
        <f>IF('WetLitterbags placem_collection'!G177="","",'WetLitterbags placem_collection'!G177)</f>
        <v>42814</v>
      </c>
      <c r="V616" s="225">
        <f t="shared" si="45"/>
        <v>51</v>
      </c>
      <c r="W616" s="223">
        <f t="shared" si="48"/>
        <v>1.3617999999999999</v>
      </c>
      <c r="X616" s="223">
        <f t="shared" si="49"/>
        <v>1.3020317841235096</v>
      </c>
      <c r="Y616">
        <f>IFERROR(INDEX(Rainfall_Wet!$O$2:$O$217,MATCH(B616, Rainfall_Wet!$A$2:$A$217,0)),"")</f>
        <v>181.383442621</v>
      </c>
      <c r="Z616" s="228">
        <v>23.96</v>
      </c>
      <c r="AA616" s="228">
        <v>4.9199999999999982</v>
      </c>
      <c r="AB616" s="228">
        <v>71.12</v>
      </c>
      <c r="AC616" s="229" t="s">
        <v>2654</v>
      </c>
      <c r="AD616" s="228">
        <v>9.3091375061606705</v>
      </c>
      <c r="AE616">
        <f>IF('WetLitterbags placem_collection'!AB177="","",'WetLitterbags placem_collection'!AB177)</f>
        <v>15.4</v>
      </c>
      <c r="AF616">
        <f>IF('WetLitterbags placem_collection'!Z177="","",'WetLitterbags placem_collection'!Z177)</f>
        <v>9.8000000000000007</v>
      </c>
      <c r="AG616" s="243" t="str">
        <f>IF('WetLitterbags placem_collection'!AA177="","",'WetLitterbags placem_collection'!AA177)</f>
        <v>O</v>
      </c>
      <c r="AH616">
        <f>IF('WetLitterbags placem_collection'!AC177="","",'WetLitterbags placem_collection'!AC177)</f>
        <v>1</v>
      </c>
      <c r="AI616" s="237">
        <f>AVERAGE('WetLitterbags placem_collection'!S177,'WetLitterbags placem_collection'!U177)</f>
        <v>11.55</v>
      </c>
      <c r="AJ616">
        <f>AVERAGE('WetLitterbags placem_collection'!R177,'WetLitterbags placem_collection'!T177)</f>
        <v>36.25</v>
      </c>
      <c r="AK616">
        <f>INDEX(Coordinates!$B$2:$B$197,MATCH(H616,Coordinates!$J$2:$J$197,0))</f>
        <v>-2.2784219779999999</v>
      </c>
      <c r="AL616">
        <f>INDEX(Coordinates!$C$2:$C$197,MATCH(H616,Coordinates!$J$2:$J$197,0))</f>
        <v>34.024374979999997</v>
      </c>
      <c r="AM616" t="str">
        <f>IF(ISNUMBER(SEARCH("C", 'WetLitterbags placem_collection'!$X177)),"YES","NO")</f>
        <v>NO</v>
      </c>
      <c r="AN616" t="str">
        <f>IF(ISNUMBER(SEARCH("H", 'WetLitterbags placem_collection'!$X177)),"YES","NO")</f>
        <v>NO</v>
      </c>
      <c r="AO616" t="str">
        <f>IF(ISNUMBER(SEARCH("R", 'WetLitterbags placem_collection'!$X177)),"YES","NO")</f>
        <v>NO</v>
      </c>
    </row>
    <row r="617" spans="1:41" ht="15" customHeight="1">
      <c r="A617" s="255" t="s">
        <v>2454</v>
      </c>
      <c r="B617" s="260">
        <f>'Dry_Litterbag Placem_Collection'!A178</f>
        <v>176</v>
      </c>
      <c r="C617" s="260" t="str">
        <f>'Dry_Litterbag Placem_Collection'!B178</f>
        <v>Handajega</v>
      </c>
      <c r="D617" s="260" t="s">
        <v>2454</v>
      </c>
      <c r="E617" s="260" t="s">
        <v>2645</v>
      </c>
      <c r="F617" s="260">
        <v>2</v>
      </c>
      <c r="G617" s="260" t="s">
        <v>3827</v>
      </c>
      <c r="H617" s="261" t="str">
        <f>'Dry_Litterbag Placem_Collection'!C178</f>
        <v>Wet_W2_T8</v>
      </c>
      <c r="I617" s="270" t="s">
        <v>3630</v>
      </c>
      <c r="J617" s="263" t="s">
        <v>1147</v>
      </c>
      <c r="K617" s="221" t="str">
        <f>'WetLitterbags placem_collection'!O178</f>
        <v>G470</v>
      </c>
      <c r="L617" s="223">
        <f>IFERROR(INDEX('Green_rooibos initial weight'!$C$5:$C$2000,MATCH(K617, 'Green_rooibos initial weight'!$A$5:$A$2000,0)),"")</f>
        <v>1.9970000000000001</v>
      </c>
      <c r="M617" s="223">
        <f>IFERROR(L617-(TBIcalc!$H$9+TBIcalc!$H$10),"")</f>
        <v>1.7472000000000001</v>
      </c>
      <c r="N617" s="385">
        <f>AVERAGE(Ashed_controlls!$K$2:$K$11)</f>
        <v>5.5147656768714146</v>
      </c>
      <c r="O617" s="223">
        <f t="shared" si="46"/>
        <v>1.6508460140937027</v>
      </c>
      <c r="P617" s="223">
        <f>IFERROR(INDEX('Both teabags AfterWet'!$C$3:$C$840,MATCH(K617,'Both teabags AfterWet'!$A$3:$A$840,0)),"")</f>
        <v>0.60299999999999998</v>
      </c>
      <c r="Q617" s="223">
        <f>IFERROR(IF(P617&gt;0,P617-(TBIcalc!$H$9),""),"")</f>
        <v>0.45239999999999997</v>
      </c>
      <c r="R617" s="223">
        <f>IFERROR(INDEX('Ashed teabags wet'!$K$2:$K$2000,MATCH(K617,'Ashed teabags wet'!$A$2:$A$2000,0)),"")</f>
        <v>9.3558282208585464</v>
      </c>
      <c r="S617" s="223">
        <f t="shared" si="47"/>
        <v>0.4100742331288359</v>
      </c>
      <c r="T617" s="224">
        <f>'WetLitterbags placem_collection'!E178</f>
        <v>42763</v>
      </c>
      <c r="U617" s="224">
        <f>IF('WetLitterbags placem_collection'!G178="","",'WetLitterbags placem_collection'!G178)</f>
        <v>42814</v>
      </c>
      <c r="V617" s="225">
        <f t="shared" si="45"/>
        <v>51</v>
      </c>
      <c r="W617" s="223">
        <f t="shared" si="48"/>
        <v>1.2948000000000002</v>
      </c>
      <c r="X617" s="223">
        <f t="shared" si="49"/>
        <v>1.2407717809648668</v>
      </c>
      <c r="Y617">
        <f>IFERROR(INDEX(Rainfall_Wet!$O$2:$O$217,MATCH(B617, Rainfall_Wet!$A$2:$A$217,0)),"")</f>
        <v>181.383442621</v>
      </c>
      <c r="Z617" s="228">
        <v>23.96</v>
      </c>
      <c r="AA617" s="228">
        <v>4.9199999999999982</v>
      </c>
      <c r="AB617" s="228">
        <v>71.12</v>
      </c>
      <c r="AC617" s="229" t="s">
        <v>2654</v>
      </c>
      <c r="AD617" s="228">
        <v>10.309137506160701</v>
      </c>
      <c r="AE617">
        <f>IF('WetLitterbags placem_collection'!AB178="","",'WetLitterbags placem_collection'!AB178)</f>
        <v>6.8</v>
      </c>
      <c r="AF617">
        <f>IF('WetLitterbags placem_collection'!Z178="","",'WetLitterbags placem_collection'!Z178)</f>
        <v>6.9</v>
      </c>
      <c r="AG617" s="243" t="str">
        <f>IF('WetLitterbags placem_collection'!AA178="","",'WetLitterbags placem_collection'!AA178)</f>
        <v>O</v>
      </c>
      <c r="AH617">
        <f>IF('WetLitterbags placem_collection'!AC178="","",'WetLitterbags placem_collection'!AC178)</f>
        <v>0</v>
      </c>
      <c r="AI617" s="237">
        <f>AVERAGE('WetLitterbags placem_collection'!S178,'WetLitterbags placem_collection'!U178)</f>
        <v>11.4</v>
      </c>
      <c r="AJ617">
        <f>AVERAGE('WetLitterbags placem_collection'!R178,'WetLitterbags placem_collection'!T178)</f>
        <v>34.15</v>
      </c>
      <c r="AK617">
        <f>INDEX(Coordinates!$B$2:$B$197,MATCH(H617,Coordinates!$J$2:$J$197,0))</f>
        <v>-2.2782909679999999</v>
      </c>
      <c r="AL617">
        <f>INDEX(Coordinates!$C$2:$C$197,MATCH(H617,Coordinates!$J$2:$J$197,0))</f>
        <v>34.024574970000003</v>
      </c>
      <c r="AM617" t="str">
        <f>IF(ISNUMBER(SEARCH("C", 'WetLitterbags placem_collection'!$X178)),"YES","NO")</f>
        <v>NO</v>
      </c>
      <c r="AN617" t="str">
        <f>IF(ISNUMBER(SEARCH("H", 'WetLitterbags placem_collection'!$X178)),"YES","NO")</f>
        <v>NO</v>
      </c>
      <c r="AO617" t="str">
        <f>IF(ISNUMBER(SEARCH("R", 'WetLitterbags placem_collection'!$X178)),"YES","NO")</f>
        <v>NO</v>
      </c>
    </row>
    <row r="618" spans="1:41" ht="15" customHeight="1">
      <c r="A618" s="255" t="s">
        <v>2454</v>
      </c>
      <c r="B618" s="260">
        <f>'Dry_Litterbag Placem_Collection'!A179</f>
        <v>177</v>
      </c>
      <c r="C618" s="260" t="str">
        <f>'Dry_Litterbag Placem_Collection'!B179</f>
        <v>Handajega</v>
      </c>
      <c r="D618" s="260" t="s">
        <v>2454</v>
      </c>
      <c r="E618" s="260" t="s">
        <v>2645</v>
      </c>
      <c r="F618" s="260">
        <v>3</v>
      </c>
      <c r="G618" s="260" t="s">
        <v>3828</v>
      </c>
      <c r="H618" s="261" t="str">
        <f>'Dry_Litterbag Placem_Collection'!C179</f>
        <v>Wet_W3_T1</v>
      </c>
      <c r="I618" s="270" t="s">
        <v>3630</v>
      </c>
      <c r="J618" s="263" t="s">
        <v>1147</v>
      </c>
      <c r="K618" s="221" t="str">
        <f>'WetLitterbags placem_collection'!O179</f>
        <v>G483</v>
      </c>
      <c r="L618" s="223">
        <f>IFERROR(INDEX('Green_rooibos initial weight'!$C$5:$C$2000,MATCH(K618, 'Green_rooibos initial weight'!$A$5:$A$2000,0)),"")</f>
        <v>1.9750000000000001</v>
      </c>
      <c r="M618" s="223">
        <f>IFERROR(L618-(TBIcalc!$H$9+TBIcalc!$H$10),"")</f>
        <v>1.7252000000000001</v>
      </c>
      <c r="N618" s="385">
        <f>AVERAGE(Ashed_controlls!$K$2:$K$11)</f>
        <v>5.5147656768714146</v>
      </c>
      <c r="O618" s="223">
        <f t="shared" si="46"/>
        <v>1.6300592625426145</v>
      </c>
      <c r="P618" s="223">
        <f>IFERROR(INDEX('Both teabags AfterWet'!$C$3:$C$840,MATCH(K618,'Both teabags AfterWet'!$A$3:$A$840,0)),"")</f>
        <v>0.58399999999999996</v>
      </c>
      <c r="Q618" s="223">
        <f>IFERROR(IF(P618&gt;0,P618-(TBIcalc!$H$9),""),"")</f>
        <v>0.43339999999999995</v>
      </c>
      <c r="R618" s="223">
        <f>IFERROR(INDEX('Ashed teabags wet'!$K$2:$K$2000,MATCH(K618,'Ashed teabags wet'!$A$2:$A$2000,0)),"")</f>
        <v>8.5170340681363346</v>
      </c>
      <c r="S618" s="223">
        <f t="shared" si="47"/>
        <v>0.39648717434869707</v>
      </c>
      <c r="T618" s="224">
        <f>'WetLitterbags placem_collection'!E179</f>
        <v>42763</v>
      </c>
      <c r="U618" s="224">
        <f>IF('WetLitterbags placem_collection'!G179="","",'WetLitterbags placem_collection'!G179)</f>
        <v>42815</v>
      </c>
      <c r="V618" s="225">
        <f t="shared" si="45"/>
        <v>52</v>
      </c>
      <c r="W618" s="223">
        <f t="shared" si="48"/>
        <v>1.2918000000000001</v>
      </c>
      <c r="X618" s="223">
        <f t="shared" si="49"/>
        <v>1.2335720881939174</v>
      </c>
      <c r="Y618">
        <f>IFERROR(INDEX(Rainfall_Wet!$O$2:$O$217,MATCH(B618, Rainfall_Wet!$A$2:$A$217,0)),"")</f>
        <v>188.24043152799999</v>
      </c>
      <c r="Z618" s="228">
        <v>25.96</v>
      </c>
      <c r="AA618" s="228">
        <v>8.9200000000000017</v>
      </c>
      <c r="AB618" s="228">
        <v>65.12</v>
      </c>
      <c r="AC618" s="229" t="s">
        <v>2654</v>
      </c>
      <c r="AD618" s="228">
        <v>1.614588467225234</v>
      </c>
      <c r="AE618">
        <f>IF('WetLitterbags placem_collection'!AB179="","",'WetLitterbags placem_collection'!AB179)</f>
        <v>17.8</v>
      </c>
      <c r="AF618">
        <f>IF('WetLitterbags placem_collection'!Z179="","",'WetLitterbags placem_collection'!Z179)</f>
        <v>25.8</v>
      </c>
      <c r="AG618" s="243" t="str">
        <f>IF('WetLitterbags placem_collection'!AA179="","",'WetLitterbags placem_collection'!AA179)</f>
        <v>O</v>
      </c>
      <c r="AH618">
        <f>IF('WetLitterbags placem_collection'!AC179="","",'WetLitterbags placem_collection'!AC179)</f>
        <v>0</v>
      </c>
      <c r="AI618" s="237">
        <f>AVERAGE('WetLitterbags placem_collection'!S179,'WetLitterbags placem_collection'!U179)</f>
        <v>19.200000000000003</v>
      </c>
      <c r="AJ618">
        <f>AVERAGE('WetLitterbags placem_collection'!R179,'WetLitterbags placem_collection'!T179)</f>
        <v>32.1</v>
      </c>
      <c r="AK618">
        <f>INDEX(Coordinates!$B$2:$B$197,MATCH(H618,Coordinates!$J$2:$J$197,0))</f>
        <v>-2.277740026</v>
      </c>
      <c r="AL618">
        <f>INDEX(Coordinates!$C$2:$C$197,MATCH(H618,Coordinates!$J$2:$J$197,0))</f>
        <v>34.027640990000002</v>
      </c>
      <c r="AM618" t="str">
        <f>IF(ISNUMBER(SEARCH("C", 'WetLitterbags placem_collection'!$X179)),"YES","NO")</f>
        <v>NO</v>
      </c>
      <c r="AN618" t="str">
        <f>IF(ISNUMBER(SEARCH("H", 'WetLitterbags placem_collection'!$X179)),"YES","NO")</f>
        <v>NO</v>
      </c>
      <c r="AO618" t="str">
        <f>IF(ISNUMBER(SEARCH("R", 'WetLitterbags placem_collection'!$X179)),"YES","NO")</f>
        <v>NO</v>
      </c>
    </row>
    <row r="619" spans="1:41" ht="15" customHeight="1">
      <c r="A619" s="255" t="s">
        <v>2454</v>
      </c>
      <c r="B619" s="260">
        <f>'Dry_Litterbag Placem_Collection'!A180</f>
        <v>178</v>
      </c>
      <c r="C619" s="260" t="str">
        <f>'Dry_Litterbag Placem_Collection'!B180</f>
        <v>Handajega</v>
      </c>
      <c r="D619" s="260" t="s">
        <v>2454</v>
      </c>
      <c r="E619" s="260" t="s">
        <v>2645</v>
      </c>
      <c r="F619" s="260">
        <v>3</v>
      </c>
      <c r="G619" s="260" t="s">
        <v>3828</v>
      </c>
      <c r="H619" s="261" t="str">
        <f>'Dry_Litterbag Placem_Collection'!C180</f>
        <v>Wet_W3_T2</v>
      </c>
      <c r="I619" s="270" t="s">
        <v>3630</v>
      </c>
      <c r="J619" s="263" t="s">
        <v>1147</v>
      </c>
      <c r="K619" s="221" t="str">
        <f>'WetLitterbags placem_collection'!O180</f>
        <v>G893</v>
      </c>
      <c r="L619" s="223">
        <f>IFERROR(INDEX('Green_rooibos initial weight'!$C$5:$C$2000,MATCH(K619, 'Green_rooibos initial weight'!$A$5:$A$2000,0)),"")</f>
        <v>2.036</v>
      </c>
      <c r="M619" s="223">
        <f>IFERROR(L619-(TBIcalc!$H$9+TBIcalc!$H$10),"")</f>
        <v>1.7862</v>
      </c>
      <c r="N619" s="385">
        <f>AVERAGE(Ashed_controlls!$K$2:$K$11)</f>
        <v>5.5147656768714146</v>
      </c>
      <c r="O619" s="223">
        <f t="shared" si="46"/>
        <v>1.6876952554797229</v>
      </c>
      <c r="P619" s="223">
        <f>IFERROR(INDEX('Both teabags AfterWet'!$C$3:$C$840,MATCH(K619,'Both teabags AfterWet'!$A$3:$A$840,0)),"")</f>
        <v>0.60699999999999998</v>
      </c>
      <c r="Q619" s="223">
        <f>IFERROR(IF(P619&gt;0,P619-(TBIcalc!$H$9),""),"")</f>
        <v>0.45639999999999997</v>
      </c>
      <c r="R619" s="223">
        <f>IFERROR(INDEX('Ashed teabags wet'!$K$2:$K$2000,MATCH(K619,'Ashed teabags wet'!$A$2:$A$2000,0)),"")</f>
        <v>8.1265206812653794</v>
      </c>
      <c r="S619" s="223">
        <f t="shared" si="47"/>
        <v>0.41931055961070479</v>
      </c>
      <c r="T619" s="224">
        <f>'WetLitterbags placem_collection'!E180</f>
        <v>42763</v>
      </c>
      <c r="U619" s="224">
        <f>IF('WetLitterbags placem_collection'!G180="","",'WetLitterbags placem_collection'!G180)</f>
        <v>42815</v>
      </c>
      <c r="V619" s="225">
        <f t="shared" si="45"/>
        <v>52</v>
      </c>
      <c r="W619" s="223">
        <f t="shared" si="48"/>
        <v>1.3298000000000001</v>
      </c>
      <c r="X619" s="223">
        <f t="shared" si="49"/>
        <v>1.2683846958690181</v>
      </c>
      <c r="Y619">
        <f>IFERROR(INDEX(Rainfall_Wet!$O$2:$O$217,MATCH(B619, Rainfall_Wet!$A$2:$A$217,0)),"")</f>
        <v>188.24043152799999</v>
      </c>
      <c r="Z619" s="228">
        <v>25.96</v>
      </c>
      <c r="AA619" s="228">
        <v>8.9200000000000017</v>
      </c>
      <c r="AB619" s="228">
        <v>65.12</v>
      </c>
      <c r="AC619" s="229" t="s">
        <v>2654</v>
      </c>
      <c r="AD619" s="228">
        <v>2.61458846722523</v>
      </c>
      <c r="AE619">
        <f>IF('WetLitterbags placem_collection'!AB180="","",'WetLitterbags placem_collection'!AB180)</f>
        <v>15.4</v>
      </c>
      <c r="AF619">
        <f>IF('WetLitterbags placem_collection'!Z180="","",'WetLitterbags placem_collection'!Z180)</f>
        <v>18.8</v>
      </c>
      <c r="AG619" s="243" t="str">
        <f>IF('WetLitterbags placem_collection'!AA180="","",'WetLitterbags placem_collection'!AA180)</f>
        <v>O</v>
      </c>
      <c r="AH619">
        <f>IF('WetLitterbags placem_collection'!AC180="","",'WetLitterbags placem_collection'!AC180)</f>
        <v>1</v>
      </c>
      <c r="AI619" s="237">
        <f>AVERAGE('WetLitterbags placem_collection'!S180,'WetLitterbags placem_collection'!U180)</f>
        <v>17.149999999999999</v>
      </c>
      <c r="AJ619">
        <f>AVERAGE('WetLitterbags placem_collection'!R180,'WetLitterbags placem_collection'!T180)</f>
        <v>32.950000000000003</v>
      </c>
      <c r="AK619">
        <f>INDEX(Coordinates!$B$2:$B$197,MATCH(H619,Coordinates!$J$2:$J$197,0))</f>
        <v>-2.2777889760000001</v>
      </c>
      <c r="AL619">
        <f>INDEX(Coordinates!$C$2:$C$197,MATCH(H619,Coordinates!$J$2:$J$197,0))</f>
        <v>34.027664960000003</v>
      </c>
      <c r="AM619" t="str">
        <f>IF(ISNUMBER(SEARCH("C", 'WetLitterbags placem_collection'!$X180)),"YES","NO")</f>
        <v>NO</v>
      </c>
      <c r="AN619" t="str">
        <f>IF(ISNUMBER(SEARCH("H", 'WetLitterbags placem_collection'!$X180)),"YES","NO")</f>
        <v>NO</v>
      </c>
      <c r="AO619" t="str">
        <f>IF(ISNUMBER(SEARCH("R", 'WetLitterbags placem_collection'!$X180)),"YES","NO")</f>
        <v>YES</v>
      </c>
    </row>
    <row r="620" spans="1:41" ht="15" customHeight="1">
      <c r="A620" s="255" t="s">
        <v>2454</v>
      </c>
      <c r="B620" s="260">
        <f>'Dry_Litterbag Placem_Collection'!A181</f>
        <v>179</v>
      </c>
      <c r="C620" s="260" t="str">
        <f>'Dry_Litterbag Placem_Collection'!B181</f>
        <v>Handajega</v>
      </c>
      <c r="D620" s="260" t="s">
        <v>2454</v>
      </c>
      <c r="E620" s="260" t="s">
        <v>2645</v>
      </c>
      <c r="F620" s="260">
        <v>3</v>
      </c>
      <c r="G620" s="260" t="s">
        <v>3828</v>
      </c>
      <c r="H620" s="261" t="str">
        <f>'Dry_Litterbag Placem_Collection'!C181</f>
        <v>Wet_W3_T3</v>
      </c>
      <c r="I620" s="270" t="s">
        <v>3630</v>
      </c>
      <c r="J620" s="263" t="s">
        <v>1147</v>
      </c>
      <c r="K620" s="221" t="str">
        <f>'WetLitterbags placem_collection'!O181</f>
        <v>G826</v>
      </c>
      <c r="L620" s="223">
        <f>IFERROR(INDEX('Green_rooibos initial weight'!$C$5:$C$2000,MATCH(K620, 'Green_rooibos initial weight'!$A$5:$A$2000,0)),"")</f>
        <v>2.15</v>
      </c>
      <c r="M620" s="223">
        <f>IFERROR(L620-(TBIcalc!$H$9+TBIcalc!$H$10),"")</f>
        <v>1.9001999999999999</v>
      </c>
      <c r="N620" s="385">
        <f>AVERAGE(Ashed_controlls!$K$2:$K$11)</f>
        <v>5.5147656768714146</v>
      </c>
      <c r="O620" s="223">
        <f t="shared" si="46"/>
        <v>1.7954084226080893</v>
      </c>
      <c r="P620" s="223">
        <f>IFERROR(INDEX('Both teabags AfterWet'!$C$3:$C$840,MATCH(K620,'Both teabags AfterWet'!$A$3:$A$840,0)),"")</f>
        <v>0.60060000000000002</v>
      </c>
      <c r="Q620" s="223">
        <f>IFERROR(IF(P620&gt;0,P620-(TBIcalc!$H$9),""),"")</f>
        <v>0.45</v>
      </c>
      <c r="R620" s="223">
        <f>IFERROR(INDEX('Ashed teabags wet'!$K$2:$K$2000,MATCH(K620,'Ashed teabags wet'!$A$2:$A$2000,0)),"")</f>
        <v>8.7676570871892565</v>
      </c>
      <c r="S620" s="223">
        <f t="shared" si="47"/>
        <v>0.41054554310764835</v>
      </c>
      <c r="T620" s="224">
        <f>'WetLitterbags placem_collection'!E181</f>
        <v>42763</v>
      </c>
      <c r="U620" s="224">
        <f>IF('WetLitterbags placem_collection'!G181="","",'WetLitterbags placem_collection'!G181)</f>
        <v>42815</v>
      </c>
      <c r="V620" s="225">
        <f t="shared" si="45"/>
        <v>52</v>
      </c>
      <c r="W620" s="223">
        <f t="shared" si="48"/>
        <v>1.4501999999999999</v>
      </c>
      <c r="X620" s="223">
        <f t="shared" si="49"/>
        <v>1.384862879500441</v>
      </c>
      <c r="Y620">
        <f>IFERROR(INDEX(Rainfall_Wet!$O$2:$O$217,MATCH(B620, Rainfall_Wet!$A$2:$A$217,0)),"")</f>
        <v>188.24043152799999</v>
      </c>
      <c r="Z620" s="228">
        <v>25.96</v>
      </c>
      <c r="AA620" s="228">
        <v>8.9200000000000017</v>
      </c>
      <c r="AB620" s="228">
        <v>65.12</v>
      </c>
      <c r="AC620" s="229" t="s">
        <v>2654</v>
      </c>
      <c r="AD620" s="228">
        <v>3.61458846722523</v>
      </c>
      <c r="AE620">
        <f>IF('WetLitterbags placem_collection'!AB181="","",'WetLitterbags placem_collection'!AB181)</f>
        <v>11.8</v>
      </c>
      <c r="AF620">
        <f>IF('WetLitterbags placem_collection'!Z181="","",'WetLitterbags placem_collection'!Z181)</f>
        <v>15.4</v>
      </c>
      <c r="AG620" s="243" t="str">
        <f>IF('WetLitterbags placem_collection'!AA181="","",'WetLitterbags placem_collection'!AA181)</f>
        <v>O</v>
      </c>
      <c r="AH620">
        <f>IF('WetLitterbags placem_collection'!AC181="","",'WetLitterbags placem_collection'!AC181)</f>
        <v>1</v>
      </c>
      <c r="AI620" s="237">
        <f>AVERAGE('WetLitterbags placem_collection'!S181,'WetLitterbags placem_collection'!U181)</f>
        <v>14.8</v>
      </c>
      <c r="AJ620">
        <f>AVERAGE('WetLitterbags placem_collection'!R181,'WetLitterbags placem_collection'!T181)</f>
        <v>32.150000000000006</v>
      </c>
      <c r="AK620">
        <f>INDEX(Coordinates!$B$2:$B$197,MATCH(H620,Coordinates!$J$2:$J$197,0))</f>
        <v>-2.2778579589999999</v>
      </c>
      <c r="AL620">
        <f>INDEX(Coordinates!$C$2:$C$197,MATCH(H620,Coordinates!$J$2:$J$197,0))</f>
        <v>34.027682980000002</v>
      </c>
      <c r="AM620" t="str">
        <f>IF(ISNUMBER(SEARCH("C", 'WetLitterbags placem_collection'!$X181)),"YES","NO")</f>
        <v>NO</v>
      </c>
      <c r="AN620" t="str">
        <f>IF(ISNUMBER(SEARCH("H", 'WetLitterbags placem_collection'!$X181)),"YES","NO")</f>
        <v>NO</v>
      </c>
      <c r="AO620" t="str">
        <f>IF(ISNUMBER(SEARCH("R", 'WetLitterbags placem_collection'!$X181)),"YES","NO")</f>
        <v>NO</v>
      </c>
    </row>
    <row r="621" spans="1:41" ht="15" customHeight="1">
      <c r="A621" s="255" t="s">
        <v>2454</v>
      </c>
      <c r="B621" s="260">
        <f>'Dry_Litterbag Placem_Collection'!A182</f>
        <v>180</v>
      </c>
      <c r="C621" s="260" t="str">
        <f>'Dry_Litterbag Placem_Collection'!B182</f>
        <v>Handajega</v>
      </c>
      <c r="D621" s="260" t="s">
        <v>2454</v>
      </c>
      <c r="E621" s="260" t="s">
        <v>2645</v>
      </c>
      <c r="F621" s="260">
        <v>3</v>
      </c>
      <c r="G621" s="260" t="s">
        <v>3828</v>
      </c>
      <c r="H621" s="261" t="str">
        <f>'Dry_Litterbag Placem_Collection'!C182</f>
        <v>Wet_W3_T4</v>
      </c>
      <c r="I621" s="270" t="s">
        <v>3630</v>
      </c>
      <c r="J621" s="263" t="s">
        <v>1147</v>
      </c>
      <c r="K621" s="221" t="str">
        <f>'WetLitterbags placem_collection'!O182</f>
        <v>G783</v>
      </c>
      <c r="L621" s="223">
        <f>IFERROR(INDEX('Green_rooibos initial weight'!$C$5:$C$2000,MATCH(K621, 'Green_rooibos initial weight'!$A$5:$A$2000,0)),"")</f>
        <v>1.976</v>
      </c>
      <c r="M621" s="223">
        <f>IFERROR(L621-(TBIcalc!$H$9+TBIcalc!$H$10),"")</f>
        <v>1.7262</v>
      </c>
      <c r="N621" s="385">
        <f>AVERAGE(Ashed_controlls!$K$2:$K$11)</f>
        <v>5.5147656768714146</v>
      </c>
      <c r="O621" s="223">
        <f t="shared" si="46"/>
        <v>1.6310041148858456</v>
      </c>
      <c r="P621" s="223">
        <f>IFERROR(INDEX('Both teabags AfterWet'!$C$3:$C$840,MATCH(K621,'Both teabags AfterWet'!$A$3:$A$840,0)),"")</f>
        <v>0.627</v>
      </c>
      <c r="Q621" s="223">
        <f>IFERROR(IF(P621&gt;0,P621-(TBIcalc!$H$9),""),"")</f>
        <v>0.47639999999999999</v>
      </c>
      <c r="R621" s="223">
        <f>IFERROR(INDEX('Ashed teabags wet'!$K$2:$K$2000,MATCH(K621,'Ashed teabags wet'!$A$2:$A$2000,0)),"")</f>
        <v>8.7719298245612158</v>
      </c>
      <c r="S621" s="223">
        <f t="shared" si="47"/>
        <v>0.43461052631579034</v>
      </c>
      <c r="T621" s="224">
        <f>'WetLitterbags placem_collection'!E182</f>
        <v>42763</v>
      </c>
      <c r="U621" s="224">
        <f>IF('WetLitterbags placem_collection'!G182="","",'WetLitterbags placem_collection'!G182)</f>
        <v>42815</v>
      </c>
      <c r="V621" s="225">
        <f t="shared" si="45"/>
        <v>52</v>
      </c>
      <c r="W621" s="223">
        <f t="shared" si="48"/>
        <v>1.2498</v>
      </c>
      <c r="X621" s="223">
        <f t="shared" si="49"/>
        <v>1.1963935885700554</v>
      </c>
      <c r="Y621">
        <f>IFERROR(INDEX(Rainfall_Wet!$O$2:$O$217,MATCH(B621, Rainfall_Wet!$A$2:$A$217,0)),"")</f>
        <v>188.24043152799999</v>
      </c>
      <c r="Z621" s="228">
        <v>25.96</v>
      </c>
      <c r="AA621" s="228">
        <v>8.9200000000000017</v>
      </c>
      <c r="AB621" s="228">
        <v>65.12</v>
      </c>
      <c r="AC621" s="229" t="s">
        <v>2654</v>
      </c>
      <c r="AD621" s="228">
        <v>4.6145884672252304</v>
      </c>
      <c r="AE621">
        <f>IF('WetLitterbags placem_collection'!AB182="","",'WetLitterbags placem_collection'!AB182)</f>
        <v>8.3000000000000007</v>
      </c>
      <c r="AF621">
        <f>IF('WetLitterbags placem_collection'!Z182="","",'WetLitterbags placem_collection'!Z182)</f>
        <v>35</v>
      </c>
      <c r="AG621" s="243" t="str">
        <f>IF('WetLitterbags placem_collection'!AA182="","",'WetLitterbags placem_collection'!AA182)</f>
        <v>O</v>
      </c>
      <c r="AH621">
        <f>IF('WetLitterbags placem_collection'!AC182="","",'WetLitterbags placem_collection'!AC182)</f>
        <v>0</v>
      </c>
      <c r="AI621" s="237">
        <f>AVERAGE('WetLitterbags placem_collection'!S182,'WetLitterbags placem_collection'!U182)</f>
        <v>12.85</v>
      </c>
      <c r="AJ621">
        <f>AVERAGE('WetLitterbags placem_collection'!R182,'WetLitterbags placem_collection'!T182)</f>
        <v>32.450000000000003</v>
      </c>
      <c r="AK621">
        <f>INDEX(Coordinates!$B$2:$B$197,MATCH(H621,Coordinates!$J$2:$J$197,0))</f>
        <v>-2.2780199809999999</v>
      </c>
      <c r="AL621">
        <f>INDEX(Coordinates!$C$2:$C$197,MATCH(H621,Coordinates!$J$2:$J$197,0))</f>
        <v>34.027705019999999</v>
      </c>
      <c r="AM621" t="str">
        <f>IF(ISNUMBER(SEARCH("C", 'WetLitterbags placem_collection'!$X182)),"YES","NO")</f>
        <v>NO</v>
      </c>
      <c r="AN621" t="str">
        <f>IF(ISNUMBER(SEARCH("H", 'WetLitterbags placem_collection'!$X182)),"YES","NO")</f>
        <v>NO</v>
      </c>
      <c r="AO621" t="str">
        <f>IF(ISNUMBER(SEARCH("R", 'WetLitterbags placem_collection'!$X182)),"YES","NO")</f>
        <v>NO</v>
      </c>
    </row>
    <row r="622" spans="1:41" ht="15" customHeight="1">
      <c r="A622" s="255" t="s">
        <v>2454</v>
      </c>
      <c r="B622" s="260">
        <f>'Dry_Litterbag Placem_Collection'!A183</f>
        <v>181</v>
      </c>
      <c r="C622" s="260" t="str">
        <f>'Dry_Litterbag Placem_Collection'!B183</f>
        <v>Handajega</v>
      </c>
      <c r="D622" s="260" t="s">
        <v>2454</v>
      </c>
      <c r="E622" s="260" t="s">
        <v>2645</v>
      </c>
      <c r="F622" s="260">
        <v>3</v>
      </c>
      <c r="G622" s="260" t="s">
        <v>3828</v>
      </c>
      <c r="H622" s="261" t="str">
        <f>'Dry_Litterbag Placem_Collection'!C183</f>
        <v>Wet_W3_T5</v>
      </c>
      <c r="I622" s="270" t="s">
        <v>3630</v>
      </c>
      <c r="J622" s="263" t="s">
        <v>1147</v>
      </c>
      <c r="K622" s="221" t="str">
        <f>'WetLitterbags placem_collection'!O183</f>
        <v>G551</v>
      </c>
      <c r="L622" s="223">
        <f>IFERROR(INDEX('Green_rooibos initial weight'!$C$5:$C$2000,MATCH(K622, 'Green_rooibos initial weight'!$A$5:$A$2000,0)),"")</f>
        <v>2.1160000000000001</v>
      </c>
      <c r="M622" s="223">
        <f>IFERROR(L622-(TBIcalc!$H$9+TBIcalc!$H$10),"")</f>
        <v>1.8662000000000001</v>
      </c>
      <c r="N622" s="385">
        <f>AVERAGE(Ashed_controlls!$K$2:$K$11)</f>
        <v>5.5147656768714146</v>
      </c>
      <c r="O622" s="223">
        <f t="shared" si="46"/>
        <v>1.7632834429382258</v>
      </c>
      <c r="P622" s="223">
        <f>IFERROR(INDEX('Both teabags AfterWet'!$C$3:$C$840,MATCH(K622,'Both teabags AfterWet'!$A$3:$A$840,0)),"")</f>
        <v>0.61199999999999999</v>
      </c>
      <c r="Q622" s="223">
        <f>IFERROR(IF(P622&gt;0,P622-(TBIcalc!$H$9),""),"")</f>
        <v>0.46139999999999998</v>
      </c>
      <c r="R622" s="223">
        <f>IFERROR(INDEX('Ashed teabags wet'!$K$2:$K$2000,MATCH(K622,'Ashed teabags wet'!$A$2:$A$2000,0)),"")</f>
        <v>8.5532746823073538</v>
      </c>
      <c r="S622" s="223">
        <f t="shared" si="47"/>
        <v>0.42193519061583384</v>
      </c>
      <c r="T622" s="224">
        <f>'WetLitterbags placem_collection'!E183</f>
        <v>42763</v>
      </c>
      <c r="U622" s="224">
        <f>IF('WetLitterbags placem_collection'!G183="","",'WetLitterbags placem_collection'!G183)</f>
        <v>42815</v>
      </c>
      <c r="V622" s="225">
        <f t="shared" si="45"/>
        <v>52</v>
      </c>
      <c r="W622" s="223">
        <f t="shared" si="48"/>
        <v>1.4048</v>
      </c>
      <c r="X622" s="223">
        <f t="shared" si="49"/>
        <v>1.3413482523223919</v>
      </c>
      <c r="Y622">
        <f>IFERROR(INDEX(Rainfall_Wet!$O$2:$O$217,MATCH(B622, Rainfall_Wet!$A$2:$A$217,0)),"")</f>
        <v>188.24043152799999</v>
      </c>
      <c r="Z622" s="228">
        <v>25.96</v>
      </c>
      <c r="AA622" s="228">
        <v>8.9200000000000017</v>
      </c>
      <c r="AB622" s="228">
        <v>65.12</v>
      </c>
      <c r="AC622" s="229" t="s">
        <v>2654</v>
      </c>
      <c r="AD622" s="228">
        <v>5.6145884672252304</v>
      </c>
      <c r="AE622">
        <f>IF('WetLitterbags placem_collection'!AB183="","",'WetLitterbags placem_collection'!AB183)</f>
        <v>11.4</v>
      </c>
      <c r="AF622">
        <f>IF('WetLitterbags placem_collection'!Z183="","",'WetLitterbags placem_collection'!Z183)</f>
        <v>15.8</v>
      </c>
      <c r="AG622" s="243" t="str">
        <f>IF('WetLitterbags placem_collection'!AA183="","",'WetLitterbags placem_collection'!AA183)</f>
        <v>O</v>
      </c>
      <c r="AH622">
        <f>IF('WetLitterbags placem_collection'!AC183="","",'WetLitterbags placem_collection'!AC183)</f>
        <v>1</v>
      </c>
      <c r="AI622" s="237">
        <f>AVERAGE('WetLitterbags placem_collection'!S183,'WetLitterbags placem_collection'!U183)</f>
        <v>13.75</v>
      </c>
      <c r="AJ622">
        <f>AVERAGE('WetLitterbags placem_collection'!R183,'WetLitterbags placem_collection'!T183)</f>
        <v>32.650000000000006</v>
      </c>
      <c r="AK622">
        <f>INDEX(Coordinates!$B$2:$B$197,MATCH(H622,Coordinates!$J$2:$J$197,0))</f>
        <v>-2.2777329850000001</v>
      </c>
      <c r="AL622">
        <f>INDEX(Coordinates!$C$2:$C$197,MATCH(H622,Coordinates!$J$2:$J$197,0))</f>
        <v>34.027422970000003</v>
      </c>
      <c r="AM622" t="str">
        <f>IF(ISNUMBER(SEARCH("C", 'WetLitterbags placem_collection'!$X183)),"YES","NO")</f>
        <v>NO</v>
      </c>
      <c r="AN622" t="str">
        <f>IF(ISNUMBER(SEARCH("H", 'WetLitterbags placem_collection'!$X183)),"YES","NO")</f>
        <v>NO</v>
      </c>
      <c r="AO622" t="str">
        <f>IF(ISNUMBER(SEARCH("R", 'WetLitterbags placem_collection'!$X183)),"YES","NO")</f>
        <v>NO</v>
      </c>
    </row>
    <row r="623" spans="1:41" ht="15" customHeight="1">
      <c r="A623" s="255" t="s">
        <v>2454</v>
      </c>
      <c r="B623" s="260">
        <f>'Dry_Litterbag Placem_Collection'!A184</f>
        <v>182</v>
      </c>
      <c r="C623" s="260" t="str">
        <f>'Dry_Litterbag Placem_Collection'!B184</f>
        <v>Handajega</v>
      </c>
      <c r="D623" s="260" t="s">
        <v>2454</v>
      </c>
      <c r="E623" s="260" t="s">
        <v>2645</v>
      </c>
      <c r="F623" s="260">
        <v>3</v>
      </c>
      <c r="G623" s="260" t="s">
        <v>3828</v>
      </c>
      <c r="H623" s="261" t="str">
        <f>'Dry_Litterbag Placem_Collection'!C184</f>
        <v>Wet_W3_T6</v>
      </c>
      <c r="I623" s="270" t="s">
        <v>3630</v>
      </c>
      <c r="J623" s="263" t="s">
        <v>1147</v>
      </c>
      <c r="K623" s="221" t="str">
        <f>'WetLitterbags placem_collection'!O184</f>
        <v>G818</v>
      </c>
      <c r="L623" s="223">
        <f>IFERROR(INDEX('Green_rooibos initial weight'!$C$5:$C$2000,MATCH(K623, 'Green_rooibos initial weight'!$A$5:$A$2000,0)),"")</f>
        <v>2.0099999999999998</v>
      </c>
      <c r="M623" s="223">
        <f>IFERROR(L623-(TBIcalc!$H$9+TBIcalc!$H$10),"")</f>
        <v>1.7601999999999998</v>
      </c>
      <c r="N623" s="385">
        <f>AVERAGE(Ashed_controlls!$K$2:$K$11)</f>
        <v>5.5147656768714146</v>
      </c>
      <c r="O623" s="223">
        <f t="shared" si="46"/>
        <v>1.6631290945557091</v>
      </c>
      <c r="P623" s="223">
        <f>IFERROR(INDEX('Both teabags AfterWet'!$C$3:$C$840,MATCH(K623,'Both teabags AfterWet'!$A$3:$A$840,0)),"")</f>
        <v>0.60450000000000004</v>
      </c>
      <c r="Q623" s="223">
        <f>IFERROR(IF(P623&gt;0,P623-(TBIcalc!$H$9),""),"")</f>
        <v>0.45390000000000003</v>
      </c>
      <c r="R623" s="223">
        <f>IFERROR(INDEX('Ashed teabags wet'!$K$2:$K$2000,MATCH(K623,'Ashed teabags wet'!$A$2:$A$2000,0)),"")</f>
        <v>10.028790786949029</v>
      </c>
      <c r="S623" s="223">
        <f t="shared" si="47"/>
        <v>0.40837931861803839</v>
      </c>
      <c r="T623" s="224">
        <f>'WetLitterbags placem_collection'!E184</f>
        <v>42763</v>
      </c>
      <c r="U623" s="224">
        <f>IF('WetLitterbags placem_collection'!G184="","",'WetLitterbags placem_collection'!G184)</f>
        <v>42815</v>
      </c>
      <c r="V623" s="225">
        <f t="shared" si="45"/>
        <v>52</v>
      </c>
      <c r="W623" s="223">
        <f t="shared" si="48"/>
        <v>1.3062999999999998</v>
      </c>
      <c r="X623" s="223">
        <f t="shared" si="49"/>
        <v>1.2547497759376707</v>
      </c>
      <c r="Y623">
        <f>IFERROR(INDEX(Rainfall_Wet!$O$2:$O$217,MATCH(B623, Rainfall_Wet!$A$2:$A$217,0)),"")</f>
        <v>188.24043152799999</v>
      </c>
      <c r="Z623" s="228">
        <v>25.96</v>
      </c>
      <c r="AA623" s="228">
        <v>8.9200000000000017</v>
      </c>
      <c r="AB623" s="228">
        <v>65.12</v>
      </c>
      <c r="AC623" s="229" t="s">
        <v>2654</v>
      </c>
      <c r="AD623" s="228">
        <v>6.6145884672252304</v>
      </c>
      <c r="AE623">
        <f>IF('WetLitterbags placem_collection'!AB184="","",'WetLitterbags placem_collection'!AB184)</f>
        <v>8.8000000000000007</v>
      </c>
      <c r="AF623">
        <f>IF('WetLitterbags placem_collection'!Z184="","",'WetLitterbags placem_collection'!Z184)</f>
        <v>15.8</v>
      </c>
      <c r="AG623" s="243" t="str">
        <f>IF('WetLitterbags placem_collection'!AA184="","",'WetLitterbags placem_collection'!AA184)</f>
        <v>O</v>
      </c>
      <c r="AH623">
        <f>IF('WetLitterbags placem_collection'!AC184="","",'WetLitterbags placem_collection'!AC184)</f>
        <v>1</v>
      </c>
      <c r="AI623" s="237">
        <f>AVERAGE('WetLitterbags placem_collection'!S184,'WetLitterbags placem_collection'!U184)</f>
        <v>11.55</v>
      </c>
      <c r="AJ623">
        <f>AVERAGE('WetLitterbags placem_collection'!R184,'WetLitterbags placem_collection'!T184)</f>
        <v>33.299999999999997</v>
      </c>
      <c r="AK623">
        <f>INDEX(Coordinates!$B$2:$B$197,MATCH(H623,Coordinates!$J$2:$J$197,0))</f>
        <v>-2.2777009659999998</v>
      </c>
      <c r="AL623">
        <f>INDEX(Coordinates!$C$2:$C$197,MATCH(H623,Coordinates!$J$2:$J$197,0))</f>
        <v>34.027393969999999</v>
      </c>
      <c r="AM623" t="str">
        <f>IF(ISNUMBER(SEARCH("C", 'WetLitterbags placem_collection'!$X184)),"YES","NO")</f>
        <v>NO</v>
      </c>
      <c r="AN623" t="str">
        <f>IF(ISNUMBER(SEARCH("H", 'WetLitterbags placem_collection'!$X184)),"YES","NO")</f>
        <v>NO</v>
      </c>
      <c r="AO623" t="str">
        <f>IF(ISNUMBER(SEARCH("R", 'WetLitterbags placem_collection'!$X184)),"YES","NO")</f>
        <v>NO</v>
      </c>
    </row>
    <row r="624" spans="1:41" ht="15" customHeight="1">
      <c r="A624" s="255" t="s">
        <v>2454</v>
      </c>
      <c r="B624" s="260">
        <f>'Dry_Litterbag Placem_Collection'!A185</f>
        <v>183</v>
      </c>
      <c r="C624" s="260" t="str">
        <f>'Dry_Litterbag Placem_Collection'!B185</f>
        <v>Handajega</v>
      </c>
      <c r="D624" s="260" t="s">
        <v>2454</v>
      </c>
      <c r="E624" s="260" t="s">
        <v>2645</v>
      </c>
      <c r="F624" s="260">
        <v>3</v>
      </c>
      <c r="G624" s="260" t="s">
        <v>3828</v>
      </c>
      <c r="H624" s="261" t="str">
        <f>'Dry_Litterbag Placem_Collection'!C185</f>
        <v>Wet_W3_T7</v>
      </c>
      <c r="I624" s="270" t="s">
        <v>3630</v>
      </c>
      <c r="J624" s="263" t="s">
        <v>1147</v>
      </c>
      <c r="K624" s="221" t="str">
        <f>'WetLitterbags placem_collection'!O185</f>
        <v>G896</v>
      </c>
      <c r="L624" s="223">
        <f>IFERROR(INDEX('Green_rooibos initial weight'!$C$5:$C$2000,MATCH(K624, 'Green_rooibos initial weight'!$A$5:$A$2000,0)),"")</f>
        <v>1.982</v>
      </c>
      <c r="M624" s="223">
        <f>IFERROR(L624-(TBIcalc!$H$9+TBIcalc!$H$10),"")</f>
        <v>1.7322</v>
      </c>
      <c r="N624" s="385">
        <f>AVERAGE(Ashed_controlls!$K$2:$K$11)</f>
        <v>5.5147656768714146</v>
      </c>
      <c r="O624" s="223">
        <f t="shared" si="46"/>
        <v>1.6366732289452333</v>
      </c>
      <c r="P624" s="223">
        <f>IFERROR(INDEX('Both teabags AfterWet'!$C$3:$C$840,MATCH(K624,'Both teabags AfterWet'!$A$3:$A$840,0)),"")</f>
        <v>0.61</v>
      </c>
      <c r="Q624" s="223">
        <f>IFERROR(IF(P624&gt;0,P624-(TBIcalc!$H$9),""),"")</f>
        <v>0.45939999999999998</v>
      </c>
      <c r="R624" s="223">
        <f>IFERROR(INDEX('Ashed teabags wet'!$K$2:$K$2000,MATCH(K624,'Ashed teabags wet'!$A$2:$A$2000,0)),"")</f>
        <v>9.3827160493825037</v>
      </c>
      <c r="S624" s="223">
        <f t="shared" si="47"/>
        <v>0.41629580246913678</v>
      </c>
      <c r="T624" s="224">
        <f>'WetLitterbags placem_collection'!E185</f>
        <v>42763</v>
      </c>
      <c r="U624" s="224">
        <f>IF('WetLitterbags placem_collection'!G185="","",'WetLitterbags placem_collection'!G185)</f>
        <v>42815</v>
      </c>
      <c r="V624" s="225">
        <f t="shared" si="45"/>
        <v>52</v>
      </c>
      <c r="W624" s="223">
        <f t="shared" si="48"/>
        <v>1.2727999999999999</v>
      </c>
      <c r="X624" s="223">
        <f t="shared" si="49"/>
        <v>1.2203774264760965</v>
      </c>
      <c r="Y624">
        <f>IFERROR(INDEX(Rainfall_Wet!$O$2:$O$217,MATCH(B624, Rainfall_Wet!$A$2:$A$217,0)),"")</f>
        <v>188.24043152799999</v>
      </c>
      <c r="Z624" s="228">
        <v>25.96</v>
      </c>
      <c r="AA624" s="228">
        <v>8.9200000000000017</v>
      </c>
      <c r="AB624" s="228">
        <v>65.12</v>
      </c>
      <c r="AC624" s="229" t="s">
        <v>2654</v>
      </c>
      <c r="AD624" s="228">
        <v>7.6145884672252304</v>
      </c>
      <c r="AE624">
        <f>IF('WetLitterbags placem_collection'!AB185="","",'WetLitterbags placem_collection'!AB185)</f>
        <v>11.4</v>
      </c>
      <c r="AF624">
        <f>IF('WetLitterbags placem_collection'!Z185="","",'WetLitterbags placem_collection'!Z185)</f>
        <v>35.799999999999997</v>
      </c>
      <c r="AG624" s="243" t="str">
        <f>IF('WetLitterbags placem_collection'!AA185="","",'WetLitterbags placem_collection'!AA185)</f>
        <v>G</v>
      </c>
      <c r="AH624">
        <f>IF('WetLitterbags placem_collection'!AC185="","",'WetLitterbags placem_collection'!AC185)</f>
        <v>1</v>
      </c>
      <c r="AI624" s="237">
        <f>AVERAGE('WetLitterbags placem_collection'!S185,'WetLitterbags placem_collection'!U185)</f>
        <v>13.4</v>
      </c>
      <c r="AJ624">
        <f>AVERAGE('WetLitterbags placem_collection'!R185,'WetLitterbags placem_collection'!T185)</f>
        <v>33.5</v>
      </c>
      <c r="AK624">
        <f>INDEX(Coordinates!$B$2:$B$197,MATCH(H624,Coordinates!$J$2:$J$197,0))</f>
        <v>-2.2777790019999999</v>
      </c>
      <c r="AL624">
        <f>INDEX(Coordinates!$C$2:$C$197,MATCH(H624,Coordinates!$J$2:$J$197,0))</f>
        <v>34.028066029999998</v>
      </c>
      <c r="AM624" t="str">
        <f>IF(ISNUMBER(SEARCH("C", 'WetLitterbags placem_collection'!$X185)),"YES","NO")</f>
        <v>NO</v>
      </c>
      <c r="AN624" t="str">
        <f>IF(ISNUMBER(SEARCH("H", 'WetLitterbags placem_collection'!$X185)),"YES","NO")</f>
        <v>NO</v>
      </c>
      <c r="AO624" t="str">
        <f>IF(ISNUMBER(SEARCH("R", 'WetLitterbags placem_collection'!$X185)),"YES","NO")</f>
        <v>NO</v>
      </c>
    </row>
    <row r="625" spans="1:41" ht="15" customHeight="1">
      <c r="A625" s="255" t="s">
        <v>2454</v>
      </c>
      <c r="B625" s="260">
        <f>'Dry_Litterbag Placem_Collection'!A186</f>
        <v>184</v>
      </c>
      <c r="C625" s="260" t="str">
        <f>'Dry_Litterbag Placem_Collection'!B186</f>
        <v>Handajega</v>
      </c>
      <c r="D625" s="260" t="s">
        <v>2454</v>
      </c>
      <c r="E625" s="260" t="s">
        <v>2645</v>
      </c>
      <c r="F625" s="260">
        <v>3</v>
      </c>
      <c r="G625" s="260" t="s">
        <v>3828</v>
      </c>
      <c r="H625" s="261" t="str">
        <f>'Dry_Litterbag Placem_Collection'!C186</f>
        <v>Wet_W3_T8</v>
      </c>
      <c r="I625" s="270" t="s">
        <v>3630</v>
      </c>
      <c r="J625" s="263" t="s">
        <v>1147</v>
      </c>
      <c r="K625" s="221" t="str">
        <f>'WetLitterbags placem_collection'!O186</f>
        <v>G337</v>
      </c>
      <c r="L625" s="223">
        <f>IFERROR(INDEX('Green_rooibos initial weight'!$C$5:$C$2000,MATCH(K625, 'Green_rooibos initial weight'!$A$5:$A$2000,0)),"")</f>
        <v>1.8680000000000001</v>
      </c>
      <c r="M625" s="223">
        <f>IFERROR(L625-(TBIcalc!$H$9+TBIcalc!$H$10),"")</f>
        <v>1.6182000000000001</v>
      </c>
      <c r="N625" s="385">
        <f>AVERAGE(Ashed_controlls!$K$2:$K$11)</f>
        <v>5.5147656768714146</v>
      </c>
      <c r="O625" s="223">
        <f t="shared" si="46"/>
        <v>1.5289600618168668</v>
      </c>
      <c r="P625" s="223">
        <f>IFERROR(INDEX('Both teabags AfterWet'!$C$3:$C$840,MATCH(K625,'Both teabags AfterWet'!$A$3:$A$840,0)),"")</f>
        <v>0.63060000000000005</v>
      </c>
      <c r="Q625" s="223">
        <f>IFERROR(IF(P625&gt;0,P625-(TBIcalc!$H$9),""),"")</f>
        <v>0.48000000000000004</v>
      </c>
      <c r="R625" s="223">
        <f>IFERROR(INDEX('Ashed teabags wet'!$K$2:$K$2000,MATCH(K625,'Ashed teabags wet'!$A$2:$A$2000,0)),"")</f>
        <v>10.824230387289536</v>
      </c>
      <c r="S625" s="223">
        <f t="shared" si="47"/>
        <v>0.42804369414101029</v>
      </c>
      <c r="T625" s="224">
        <f>'WetLitterbags placem_collection'!E186</f>
        <v>42763</v>
      </c>
      <c r="U625" s="224">
        <f>IF('WetLitterbags placem_collection'!G186="","",'WetLitterbags placem_collection'!G186)</f>
        <v>42815</v>
      </c>
      <c r="V625" s="225">
        <f t="shared" si="45"/>
        <v>52</v>
      </c>
      <c r="W625" s="223">
        <f t="shared" si="48"/>
        <v>1.1382000000000001</v>
      </c>
      <c r="X625" s="223">
        <f t="shared" si="49"/>
        <v>1.1009163676758567</v>
      </c>
      <c r="Y625">
        <f>IFERROR(INDEX(Rainfall_Wet!$O$2:$O$217,MATCH(B625, Rainfall_Wet!$A$2:$A$217,0)),"")</f>
        <v>188.24043152799999</v>
      </c>
      <c r="Z625" s="228">
        <v>25.96</v>
      </c>
      <c r="AA625" s="228">
        <v>8.9200000000000017</v>
      </c>
      <c r="AB625" s="228">
        <v>65.12</v>
      </c>
      <c r="AC625" s="229" t="s">
        <v>2654</v>
      </c>
      <c r="AD625" s="228">
        <v>8.6145884672252304</v>
      </c>
      <c r="AE625">
        <f>IF('WetLitterbags placem_collection'!AB186="","",'WetLitterbags placem_collection'!AB186)</f>
        <v>3.7</v>
      </c>
      <c r="AF625">
        <f>IF('WetLitterbags placem_collection'!Z186="","",'WetLitterbags placem_collection'!Z186)</f>
        <v>16.399999999999999</v>
      </c>
      <c r="AG625" s="243" t="str">
        <f>IF('WetLitterbags placem_collection'!AA186="","",'WetLitterbags placem_collection'!AA186)</f>
        <v>O</v>
      </c>
      <c r="AH625">
        <f>IF('WetLitterbags placem_collection'!AC186="","",'WetLitterbags placem_collection'!AC186)</f>
        <v>0</v>
      </c>
      <c r="AI625" s="237">
        <f>AVERAGE('WetLitterbags placem_collection'!S186,'WetLitterbags placem_collection'!U186)</f>
        <v>13.3</v>
      </c>
      <c r="AJ625">
        <f>AVERAGE('WetLitterbags placem_collection'!R186,'WetLitterbags placem_collection'!T186)</f>
        <v>29.950000000000003</v>
      </c>
      <c r="AK625">
        <f>INDEX(Coordinates!$B$2:$B$197,MATCH(H625,Coordinates!$J$2:$J$197,0))</f>
        <v>-2.2775169829999999</v>
      </c>
      <c r="AL625">
        <f>INDEX(Coordinates!$C$2:$C$197,MATCH(H625,Coordinates!$J$2:$J$197,0))</f>
        <v>34.027766970000002</v>
      </c>
      <c r="AM625" t="str">
        <f>IF(ISNUMBER(SEARCH("C", 'WetLitterbags placem_collection'!$X186)),"YES","NO")</f>
        <v>NO</v>
      </c>
      <c r="AN625" t="str">
        <f>IF(ISNUMBER(SEARCH("H", 'WetLitterbags placem_collection'!$X186)),"YES","NO")</f>
        <v>YES</v>
      </c>
      <c r="AO625" t="str">
        <f>IF(ISNUMBER(SEARCH("R", 'WetLitterbags placem_collection'!$X186)),"YES","NO")</f>
        <v>NO</v>
      </c>
    </row>
    <row r="626" spans="1:41" ht="15" customHeight="1">
      <c r="A626" s="255" t="s">
        <v>2454</v>
      </c>
      <c r="B626" s="260">
        <f>'Dry_Litterbag Placem_Collection'!A187</f>
        <v>185</v>
      </c>
      <c r="C626" s="260" t="str">
        <f>'Dry_Litterbag Placem_Collection'!B187</f>
        <v>Handajega</v>
      </c>
      <c r="D626" s="260" t="s">
        <v>2454</v>
      </c>
      <c r="E626" s="260" t="s">
        <v>2645</v>
      </c>
      <c r="F626" s="260">
        <v>4</v>
      </c>
      <c r="G626" s="260" t="s">
        <v>3829</v>
      </c>
      <c r="H626" s="261" t="str">
        <f>'Dry_Litterbag Placem_Collection'!C187</f>
        <v>Wet_W4_T1</v>
      </c>
      <c r="I626" s="270" t="s">
        <v>3630</v>
      </c>
      <c r="J626" s="263" t="s">
        <v>1147</v>
      </c>
      <c r="K626" s="221" t="str">
        <f>'WetLitterbags placem_collection'!O187</f>
        <v>G564</v>
      </c>
      <c r="L626" s="223">
        <f>IFERROR(INDEX('Green_rooibos initial weight'!$C$5:$C$2000,MATCH(K626, 'Green_rooibos initial weight'!$A$5:$A$2000,0)),"")</f>
        <v>1.95</v>
      </c>
      <c r="M626" s="223">
        <f>IFERROR(L626-(TBIcalc!$H$9+TBIcalc!$H$10),"")</f>
        <v>1.7001999999999999</v>
      </c>
      <c r="N626" s="385">
        <f>AVERAGE(Ashed_controlls!$K$2:$K$11)</f>
        <v>5.5147656768714146</v>
      </c>
      <c r="O626" s="223">
        <f t="shared" si="46"/>
        <v>1.6064379539618321</v>
      </c>
      <c r="P626" s="223">
        <f>IFERROR(INDEX('Both teabags AfterWet'!$C$3:$C$840,MATCH(K626,'Both teabags AfterWet'!$A$3:$A$840,0)),"")</f>
        <v>0.626</v>
      </c>
      <c r="Q626" s="223">
        <f>IFERROR(IF(P626&gt;0,P626-(TBIcalc!$H$9),""),"")</f>
        <v>0.47539999999999999</v>
      </c>
      <c r="R626" s="223">
        <f>IFERROR(INDEX('Ashed teabags wet'!$K$2:$K$2000,MATCH(K626,'Ashed teabags wet'!$A$2:$A$2000,0)),"")</f>
        <v>8.4325396825389731</v>
      </c>
      <c r="S626" s="223">
        <f t="shared" si="47"/>
        <v>0.43531170634920974</v>
      </c>
      <c r="T626" s="224">
        <f>'WetLitterbags placem_collection'!E187</f>
        <v>42763</v>
      </c>
      <c r="U626" s="224">
        <f>IF('WetLitterbags placem_collection'!G187="","",'WetLitterbags placem_collection'!G187)</f>
        <v>42815</v>
      </c>
      <c r="V626" s="225">
        <f t="shared" si="45"/>
        <v>52</v>
      </c>
      <c r="W626" s="223">
        <f t="shared" si="48"/>
        <v>1.2247999999999999</v>
      </c>
      <c r="X626" s="223">
        <f t="shared" si="49"/>
        <v>1.1711262476126223</v>
      </c>
      <c r="Y626">
        <f>IFERROR(INDEX(Rainfall_Wet!$O$2:$O$217,MATCH(B626, Rainfall_Wet!$A$2:$A$217,0)),"")</f>
        <v>188.24043152799999</v>
      </c>
      <c r="Z626" s="228">
        <v>25.96</v>
      </c>
      <c r="AA626" s="228">
        <v>8.9200000000000017</v>
      </c>
      <c r="AB626" s="228">
        <v>65.12</v>
      </c>
      <c r="AC626" s="229" t="s">
        <v>2654</v>
      </c>
      <c r="AD626" s="228">
        <v>1.6991621488417901</v>
      </c>
      <c r="AE626">
        <f>IF('WetLitterbags placem_collection'!AB187="","",'WetLitterbags placem_collection'!AB187)</f>
        <v>9.8000000000000007</v>
      </c>
      <c r="AF626">
        <f>IF('WetLitterbags placem_collection'!Z187="","",'WetLitterbags placem_collection'!Z187)</f>
        <v>29.4</v>
      </c>
      <c r="AG626" s="243" t="str">
        <f>IF('WetLitterbags placem_collection'!AA187="","",'WetLitterbags placem_collection'!AA187)</f>
        <v>O</v>
      </c>
      <c r="AH626">
        <f>IF('WetLitterbags placem_collection'!AC187="","",'WetLitterbags placem_collection'!AC187)</f>
        <v>0</v>
      </c>
      <c r="AI626" s="237">
        <f>AVERAGE('WetLitterbags placem_collection'!S187,'WetLitterbags placem_collection'!U187)</f>
        <v>17.850000000000001</v>
      </c>
      <c r="AJ626">
        <f>AVERAGE('WetLitterbags placem_collection'!R187,'WetLitterbags placem_collection'!T187)</f>
        <v>35.400000000000006</v>
      </c>
      <c r="AK626">
        <f>INDEX(Coordinates!$B$2:$B$197,MATCH(H626,Coordinates!$J$2:$J$197,0))</f>
        <v>-2.2787330300000002</v>
      </c>
      <c r="AL626">
        <f>INDEX(Coordinates!$C$2:$C$197,MATCH(H626,Coordinates!$J$2:$J$197,0))</f>
        <v>34.032136029999997</v>
      </c>
      <c r="AM626" t="str">
        <f>IF(ISNUMBER(SEARCH("C", 'WetLitterbags placem_collection'!$X187)),"YES","NO")</f>
        <v>NO</v>
      </c>
      <c r="AN626" t="str">
        <f>IF(ISNUMBER(SEARCH("H", 'WetLitterbags placem_collection'!$X187)),"YES","NO")</f>
        <v>NO</v>
      </c>
      <c r="AO626" t="str">
        <f>IF(ISNUMBER(SEARCH("R", 'WetLitterbags placem_collection'!$X187)),"YES","NO")</f>
        <v>NO</v>
      </c>
    </row>
    <row r="627" spans="1:41" ht="15" customHeight="1">
      <c r="A627" s="255" t="s">
        <v>2454</v>
      </c>
      <c r="B627" s="260">
        <f>'Dry_Litterbag Placem_Collection'!A188</f>
        <v>186</v>
      </c>
      <c r="C627" s="260" t="str">
        <f>'Dry_Litterbag Placem_Collection'!B188</f>
        <v>Handajega</v>
      </c>
      <c r="D627" s="260" t="s">
        <v>2454</v>
      </c>
      <c r="E627" s="260" t="s">
        <v>2645</v>
      </c>
      <c r="F627" s="260">
        <v>4</v>
      </c>
      <c r="G627" s="260" t="s">
        <v>3829</v>
      </c>
      <c r="H627" s="261" t="str">
        <f>'Dry_Litterbag Placem_Collection'!C188</f>
        <v>Wet_W4_T2</v>
      </c>
      <c r="I627" s="270" t="s">
        <v>3630</v>
      </c>
      <c r="J627" s="263" t="s">
        <v>1147</v>
      </c>
      <c r="K627" s="221" t="str">
        <f>'WetLitterbags placem_collection'!O188</f>
        <v>G608</v>
      </c>
      <c r="L627" s="223">
        <f>IFERROR(INDEX('Green_rooibos initial weight'!$C$5:$C$2000,MATCH(K627, 'Green_rooibos initial weight'!$A$5:$A$2000,0)),"")</f>
        <v>2.0259999999999998</v>
      </c>
      <c r="M627" s="223">
        <f>IFERROR(L627-(TBIcalc!$H$9+TBIcalc!$H$10),"")</f>
        <v>1.7761999999999998</v>
      </c>
      <c r="N627" s="385">
        <f>AVERAGE(Ashed_controlls!$K$2:$K$11)</f>
        <v>5.5147656768714146</v>
      </c>
      <c r="O627" s="223">
        <f t="shared" si="46"/>
        <v>1.6782467320474097</v>
      </c>
      <c r="P627" s="223">
        <f>IFERROR(INDEX('Both teabags AfterWet'!$C$3:$C$840,MATCH(K627,'Both teabags AfterWet'!$A$3:$A$840,0)),"")</f>
        <v>0.61599999999999999</v>
      </c>
      <c r="Q627" s="223">
        <f>IFERROR(IF(P627&gt;0,P627-(TBIcalc!$H$9),""),"")</f>
        <v>0.46539999999999998</v>
      </c>
      <c r="R627" s="223">
        <f>IFERROR(INDEX('Ashed teabags wet'!$K$2:$K$2000,MATCH(K627,'Ashed teabags wet'!$A$2:$A$2000,0)),"")</f>
        <v>9.0274314214466642</v>
      </c>
      <c r="S627" s="223">
        <f t="shared" si="47"/>
        <v>0.42338633416458721</v>
      </c>
      <c r="T627" s="224">
        <f>'WetLitterbags placem_collection'!E188</f>
        <v>42763</v>
      </c>
      <c r="U627" s="224">
        <f>IF('WetLitterbags placem_collection'!G188="","",'WetLitterbags placem_collection'!G188)</f>
        <v>42815</v>
      </c>
      <c r="V627" s="225">
        <f t="shared" si="45"/>
        <v>52</v>
      </c>
      <c r="W627" s="223">
        <f t="shared" si="48"/>
        <v>1.3107999999999997</v>
      </c>
      <c r="X627" s="223">
        <f t="shared" si="49"/>
        <v>1.2548603978828226</v>
      </c>
      <c r="Y627">
        <f>IFERROR(INDEX(Rainfall_Wet!$O$2:$O$217,MATCH(B627, Rainfall_Wet!$A$2:$A$217,0)),"")</f>
        <v>188.24043152799999</v>
      </c>
      <c r="Z627" s="228">
        <v>25.96</v>
      </c>
      <c r="AA627" s="228">
        <v>8.9200000000000017</v>
      </c>
      <c r="AB627" s="228">
        <v>65.12</v>
      </c>
      <c r="AC627" s="229" t="s">
        <v>2654</v>
      </c>
      <c r="AD627" s="228">
        <v>2.6991621488417898</v>
      </c>
      <c r="AE627">
        <f>IF('WetLitterbags placem_collection'!AB188="","",'WetLitterbags placem_collection'!AB188)</f>
        <v>11.4</v>
      </c>
      <c r="AF627">
        <f>IF('WetLitterbags placem_collection'!Z188="","",'WetLitterbags placem_collection'!Z188)</f>
        <v>45.4</v>
      </c>
      <c r="AG627" s="243" t="str">
        <f>IF('WetLitterbags placem_collection'!AA188="","",'WetLitterbags placem_collection'!AA188)</f>
        <v>O</v>
      </c>
      <c r="AH627">
        <f>IF('WetLitterbags placem_collection'!AC188="","",'WetLitterbags placem_collection'!AC188)</f>
        <v>0</v>
      </c>
      <c r="AI627" s="237">
        <f>AVERAGE('WetLitterbags placem_collection'!S188,'WetLitterbags placem_collection'!U188)</f>
        <v>16.899999999999999</v>
      </c>
      <c r="AJ627">
        <f>AVERAGE('WetLitterbags placem_collection'!R188,'WetLitterbags placem_collection'!T188)</f>
        <v>33.9</v>
      </c>
      <c r="AK627">
        <f>INDEX(Coordinates!$B$2:$B$197,MATCH(H627,Coordinates!$J$2:$J$197,0))</f>
        <v>-2.278763037</v>
      </c>
      <c r="AL627">
        <f>INDEX(Coordinates!$C$2:$C$197,MATCH(H627,Coordinates!$J$2:$J$197,0))</f>
        <v>34.031974009999999</v>
      </c>
      <c r="AM627" t="str">
        <f>IF(ISNUMBER(SEARCH("C", 'WetLitterbags placem_collection'!$X188)),"YES","NO")</f>
        <v>NO</v>
      </c>
      <c r="AN627" t="str">
        <f>IF(ISNUMBER(SEARCH("H", 'WetLitterbags placem_collection'!$X188)),"YES","NO")</f>
        <v>NO</v>
      </c>
      <c r="AO627" t="str">
        <f>IF(ISNUMBER(SEARCH("R", 'WetLitterbags placem_collection'!$X188)),"YES","NO")</f>
        <v>NO</v>
      </c>
    </row>
    <row r="628" spans="1:41" ht="15" customHeight="1">
      <c r="A628" s="255" t="s">
        <v>2454</v>
      </c>
      <c r="B628" s="260">
        <f>'Dry_Litterbag Placem_Collection'!A189</f>
        <v>187</v>
      </c>
      <c r="C628" s="260" t="str">
        <f>'Dry_Litterbag Placem_Collection'!B189</f>
        <v>Handajega</v>
      </c>
      <c r="D628" s="260" t="s">
        <v>2454</v>
      </c>
      <c r="E628" s="260" t="s">
        <v>2645</v>
      </c>
      <c r="F628" s="260">
        <v>4</v>
      </c>
      <c r="G628" s="260" t="s">
        <v>3829</v>
      </c>
      <c r="H628" s="261" t="str">
        <f>'Dry_Litterbag Placem_Collection'!C189</f>
        <v>Wet_W4_T3</v>
      </c>
      <c r="I628" s="270" t="s">
        <v>3630</v>
      </c>
      <c r="J628" s="263" t="s">
        <v>1147</v>
      </c>
      <c r="K628" s="221" t="str">
        <f>'WetLitterbags placem_collection'!O189</f>
        <v>G365</v>
      </c>
      <c r="L628" s="223">
        <f>IFERROR(INDEX('Green_rooibos initial weight'!$C$5:$C$2000,MATCH(K628, 'Green_rooibos initial weight'!$A$5:$A$2000,0)),"")</f>
        <v>1.954</v>
      </c>
      <c r="M628" s="223">
        <f>IFERROR(L628-(TBIcalc!$H$9+TBIcalc!$H$10),"")</f>
        <v>1.7041999999999999</v>
      </c>
      <c r="N628" s="385">
        <f>AVERAGE(Ashed_controlls!$K$2:$K$11)</f>
        <v>5.5147656768714146</v>
      </c>
      <c r="O628" s="223">
        <f t="shared" si="46"/>
        <v>1.6102173633347574</v>
      </c>
      <c r="P628" s="223">
        <f>IFERROR(INDEX('Both teabags AfterWet'!$C$3:$C$840,MATCH(K628,'Both teabags AfterWet'!$A$3:$A$840,0)),"")</f>
        <v>0.6714</v>
      </c>
      <c r="Q628" s="223">
        <f>IFERROR(IF(P628&gt;0,P628-(TBIcalc!$H$9),""),"")</f>
        <v>0.52079999999999993</v>
      </c>
      <c r="R628" s="223">
        <f>IFERROR(INDEX('Ashed teabags wet'!$K$2:$K$2000,MATCH(K628,'Ashed teabags wet'!$A$2:$A$2000,0)),"")</f>
        <v>8.8162456661709641</v>
      </c>
      <c r="S628" s="223">
        <f t="shared" si="47"/>
        <v>0.47488499257058153</v>
      </c>
      <c r="T628" s="224">
        <f>'WetLitterbags placem_collection'!E189</f>
        <v>42763</v>
      </c>
      <c r="U628" s="224">
        <f>IF('WetLitterbags placem_collection'!G189="","",'WetLitterbags placem_collection'!G189)</f>
        <v>42815</v>
      </c>
      <c r="V628" s="225">
        <f t="shared" si="45"/>
        <v>52</v>
      </c>
      <c r="W628" s="223">
        <f t="shared" si="48"/>
        <v>1.1834</v>
      </c>
      <c r="X628" s="223">
        <f t="shared" si="49"/>
        <v>1.1353323707641758</v>
      </c>
      <c r="Y628">
        <f>IFERROR(INDEX(Rainfall_Wet!$O$2:$O$217,MATCH(B628, Rainfall_Wet!$A$2:$A$217,0)),"")</f>
        <v>188.24043152799999</v>
      </c>
      <c r="Z628" s="228">
        <v>25.96</v>
      </c>
      <c r="AA628" s="228">
        <v>8.9200000000000017</v>
      </c>
      <c r="AB628" s="228">
        <v>65.12</v>
      </c>
      <c r="AC628" s="229" t="s">
        <v>2654</v>
      </c>
      <c r="AD628" s="228">
        <v>3.6991621488417898</v>
      </c>
      <c r="AE628">
        <f>IF('WetLitterbags placem_collection'!AB189="","",'WetLitterbags placem_collection'!AB189)</f>
        <v>0.6</v>
      </c>
      <c r="AF628">
        <f>IF('WetLitterbags placem_collection'!Z189="","",'WetLitterbags placem_collection'!Z189)</f>
        <v>39.4</v>
      </c>
      <c r="AG628" s="243" t="str">
        <f>IF('WetLitterbags placem_collection'!AA189="","",'WetLitterbags placem_collection'!AA189)</f>
        <v>O</v>
      </c>
      <c r="AH628">
        <f>IF('WetLitterbags placem_collection'!AC189="","",'WetLitterbags placem_collection'!AC189)</f>
        <v>1</v>
      </c>
      <c r="AI628" s="237">
        <f>AVERAGE('WetLitterbags placem_collection'!S189,'WetLitterbags placem_collection'!U189)</f>
        <v>14.2</v>
      </c>
      <c r="AJ628">
        <f>AVERAGE('WetLitterbags placem_collection'!R189,'WetLitterbags placem_collection'!T189)</f>
        <v>33</v>
      </c>
      <c r="AK628">
        <f>INDEX(Coordinates!$B$2:$B$197,MATCH(H628,Coordinates!$J$2:$J$197,0))</f>
        <v>-2.2785890289999999</v>
      </c>
      <c r="AL628">
        <f>INDEX(Coordinates!$C$2:$C$197,MATCH(H628,Coordinates!$J$2:$J$197,0))</f>
        <v>34.031841999999997</v>
      </c>
      <c r="AM628" t="str">
        <f>IF(ISNUMBER(SEARCH("C", 'WetLitterbags placem_collection'!$X189)),"YES","NO")</f>
        <v>NO</v>
      </c>
      <c r="AN628" t="str">
        <f>IF(ISNUMBER(SEARCH("H", 'WetLitterbags placem_collection'!$X189)),"YES","NO")</f>
        <v>NO</v>
      </c>
      <c r="AO628" t="str">
        <f>IF(ISNUMBER(SEARCH("R", 'WetLitterbags placem_collection'!$X189)),"YES","NO")</f>
        <v>NO</v>
      </c>
    </row>
    <row r="629" spans="1:41" ht="15" customHeight="1">
      <c r="A629" s="255" t="s">
        <v>2454</v>
      </c>
      <c r="B629" s="260">
        <f>'Dry_Litterbag Placem_Collection'!A190</f>
        <v>188</v>
      </c>
      <c r="C629" s="260" t="str">
        <f>'Dry_Litterbag Placem_Collection'!B190</f>
        <v>Handajega</v>
      </c>
      <c r="D629" s="260" t="s">
        <v>2454</v>
      </c>
      <c r="E629" s="260" t="s">
        <v>2645</v>
      </c>
      <c r="F629" s="260">
        <v>4</v>
      </c>
      <c r="G629" s="260" t="s">
        <v>3829</v>
      </c>
      <c r="H629" s="261" t="str">
        <f>'Dry_Litterbag Placem_Collection'!C190</f>
        <v>Wet_W4_T4</v>
      </c>
      <c r="I629" s="270" t="s">
        <v>3630</v>
      </c>
      <c r="J629" s="263" t="s">
        <v>1147</v>
      </c>
      <c r="K629" s="221" t="str">
        <f>'WetLitterbags placem_collection'!O190</f>
        <v>G375</v>
      </c>
      <c r="L629" s="223">
        <f>IFERROR(INDEX('Green_rooibos initial weight'!$C$5:$C$2000,MATCH(K629, 'Green_rooibos initial weight'!$A$5:$A$2000,0)),"")</f>
        <v>1.9810000000000001</v>
      </c>
      <c r="M629" s="223">
        <f>IFERROR(L629-(TBIcalc!$H$9+TBIcalc!$H$10),"")</f>
        <v>1.7312000000000001</v>
      </c>
      <c r="N629" s="385">
        <f>AVERAGE(Ashed_controlls!$K$2:$K$11)</f>
        <v>5.5147656768714146</v>
      </c>
      <c r="O629" s="223">
        <f t="shared" si="46"/>
        <v>1.6357283766020021</v>
      </c>
      <c r="P629" s="223">
        <f>IFERROR(INDEX('Both teabags AfterWet'!$C$3:$C$840,MATCH(K629,'Both teabags AfterWet'!$A$3:$A$840,0)),"")</f>
        <v>0.55700000000000005</v>
      </c>
      <c r="Q629" s="223">
        <f>IFERROR(IF(P629&gt;0,P629-(TBIcalc!$H$9),""),"")</f>
        <v>0.40640000000000004</v>
      </c>
      <c r="R629" s="223">
        <f>IFERROR(INDEX('Ashed teabags wet'!$K$2:$K$2000,MATCH(K629,'Ashed teabags wet'!$A$2:$A$2000,0)),"")</f>
        <v>8.3130772970344644</v>
      </c>
      <c r="S629" s="223">
        <f t="shared" si="47"/>
        <v>0.37261565386485196</v>
      </c>
      <c r="T629" s="224">
        <f>'WetLitterbags placem_collection'!E190</f>
        <v>42763</v>
      </c>
      <c r="U629" s="224">
        <f>IF('WetLitterbags placem_collection'!G190="","",'WetLitterbags placem_collection'!G190)</f>
        <v>42815</v>
      </c>
      <c r="V629" s="225">
        <f t="shared" si="45"/>
        <v>52</v>
      </c>
      <c r="W629" s="223">
        <f t="shared" si="48"/>
        <v>1.3248</v>
      </c>
      <c r="X629" s="223">
        <f t="shared" si="49"/>
        <v>1.2631127227371501</v>
      </c>
      <c r="Y629">
        <f>IFERROR(INDEX(Rainfall_Wet!$O$2:$O$217,MATCH(B629, Rainfall_Wet!$A$2:$A$217,0)),"")</f>
        <v>188.24043152799999</v>
      </c>
      <c r="Z629" s="228">
        <v>25.96</v>
      </c>
      <c r="AA629" s="228">
        <v>8.9200000000000017</v>
      </c>
      <c r="AB629" s="228">
        <v>65.12</v>
      </c>
      <c r="AC629" s="229" t="s">
        <v>2654</v>
      </c>
      <c r="AD629" s="228">
        <v>4.6991621488417898</v>
      </c>
      <c r="AE629">
        <f>IF('WetLitterbags placem_collection'!AB190="","",'WetLitterbags placem_collection'!AB190)</f>
        <v>2.2999999999999998</v>
      </c>
      <c r="AF629">
        <f>IF('WetLitterbags placem_collection'!Z190="","",'WetLitterbags placem_collection'!Z190)</f>
        <v>14.4</v>
      </c>
      <c r="AG629" s="243" t="str">
        <f>IF('WetLitterbags placem_collection'!AA190="","",'WetLitterbags placem_collection'!AA190)</f>
        <v>O</v>
      </c>
      <c r="AH629">
        <f>IF('WetLitterbags placem_collection'!AC190="","",'WetLitterbags placem_collection'!AC190)</f>
        <v>0</v>
      </c>
      <c r="AI629" s="237">
        <f>AVERAGE('WetLitterbags placem_collection'!S190,'WetLitterbags placem_collection'!U190)</f>
        <v>10.45</v>
      </c>
      <c r="AJ629">
        <f>AVERAGE('WetLitterbags placem_collection'!R190,'WetLitterbags placem_collection'!T190)</f>
        <v>34.15</v>
      </c>
      <c r="AK629">
        <f>INDEX(Coordinates!$B$2:$B$197,MATCH(H629,Coordinates!$J$2:$J$197,0))</f>
        <v>-2.278422983</v>
      </c>
      <c r="AL629">
        <f>INDEX(Coordinates!$C$2:$C$197,MATCH(H629,Coordinates!$J$2:$J$197,0))</f>
        <v>34.032261009999999</v>
      </c>
      <c r="AM629" t="str">
        <f>IF(ISNUMBER(SEARCH("C", 'WetLitterbags placem_collection'!$X190)),"YES","NO")</f>
        <v>NO</v>
      </c>
      <c r="AN629" t="str">
        <f>IF(ISNUMBER(SEARCH("H", 'WetLitterbags placem_collection'!$X190)),"YES","NO")</f>
        <v>NO</v>
      </c>
      <c r="AO629" t="str">
        <f>IF(ISNUMBER(SEARCH("R", 'WetLitterbags placem_collection'!$X190)),"YES","NO")</f>
        <v>NO</v>
      </c>
    </row>
    <row r="630" spans="1:41" ht="15" customHeight="1">
      <c r="A630" s="255" t="s">
        <v>2454</v>
      </c>
      <c r="B630" s="260">
        <f>'Dry_Litterbag Placem_Collection'!A191</f>
        <v>189</v>
      </c>
      <c r="C630" s="260" t="str">
        <f>'Dry_Litterbag Placem_Collection'!B191</f>
        <v>Handajega</v>
      </c>
      <c r="D630" s="260" t="s">
        <v>2454</v>
      </c>
      <c r="E630" s="260" t="s">
        <v>2645</v>
      </c>
      <c r="F630" s="260">
        <v>4</v>
      </c>
      <c r="G630" s="260" t="s">
        <v>3829</v>
      </c>
      <c r="H630" s="261" t="str">
        <f>'Dry_Litterbag Placem_Collection'!C191</f>
        <v>Wet_W4_T5</v>
      </c>
      <c r="I630" s="270" t="s">
        <v>3630</v>
      </c>
      <c r="J630" s="263" t="s">
        <v>1147</v>
      </c>
      <c r="K630" s="221" t="str">
        <f>'WetLitterbags placem_collection'!O191</f>
        <v>G537</v>
      </c>
      <c r="L630" s="223">
        <f>IFERROR(INDEX('Green_rooibos initial weight'!$C$5:$C$2000,MATCH(K630, 'Green_rooibos initial weight'!$A$5:$A$2000,0)),"")</f>
        <v>1.9630000000000001</v>
      </c>
      <c r="M630" s="223">
        <f>IFERROR(L630-(TBIcalc!$H$9+TBIcalc!$H$10),"")</f>
        <v>1.7132000000000001</v>
      </c>
      <c r="N630" s="385">
        <f>AVERAGE(Ashed_controlls!$K$2:$K$11)</f>
        <v>5.5147656768714146</v>
      </c>
      <c r="O630" s="223">
        <f t="shared" si="46"/>
        <v>1.618721034423839</v>
      </c>
      <c r="P630" s="223">
        <f>IFERROR(INDEX('Both teabags AfterWet'!$C$3:$C$840,MATCH(K630,'Both teabags AfterWet'!$A$3:$A$840,0)),"")</f>
        <v>0.72030000000000005</v>
      </c>
      <c r="Q630" s="223">
        <f>IFERROR(IF(P630&gt;0,P630-(TBIcalc!$H$9),""),"")</f>
        <v>0.5697000000000001</v>
      </c>
      <c r="R630" s="223">
        <f>IFERROR(INDEX('Ashed teabags wet'!$K$2:$K$2000,MATCH(K630,'Ashed teabags wet'!$A$2:$A$2000,0)),"")</f>
        <v>9.0167865707433048</v>
      </c>
      <c r="S630" s="223">
        <f t="shared" si="47"/>
        <v>0.51833136690647552</v>
      </c>
      <c r="T630" s="224">
        <f>'WetLitterbags placem_collection'!E191</f>
        <v>42763</v>
      </c>
      <c r="U630" s="224">
        <f>IF('WetLitterbags placem_collection'!G191="","",'WetLitterbags placem_collection'!G191)</f>
        <v>42815</v>
      </c>
      <c r="V630" s="225">
        <f t="shared" si="45"/>
        <v>52</v>
      </c>
      <c r="W630" s="223">
        <f t="shared" si="48"/>
        <v>1.1435</v>
      </c>
      <c r="X630" s="223">
        <f t="shared" si="49"/>
        <v>1.1003896675173634</v>
      </c>
      <c r="Y630">
        <f>IFERROR(INDEX(Rainfall_Wet!$O$2:$O$217,MATCH(B630, Rainfall_Wet!$A$2:$A$217,0)),"")</f>
        <v>188.24043152799999</v>
      </c>
      <c r="Z630" s="228">
        <v>25.96</v>
      </c>
      <c r="AA630" s="228">
        <v>8.9200000000000017</v>
      </c>
      <c r="AB630" s="228">
        <v>65.12</v>
      </c>
      <c r="AC630" s="229" t="s">
        <v>2654</v>
      </c>
      <c r="AD630" s="228">
        <v>5.6991621488417898</v>
      </c>
      <c r="AE630">
        <f>IF('WetLitterbags placem_collection'!AB191="","",'WetLitterbags placem_collection'!AB191)</f>
        <v>0.6</v>
      </c>
      <c r="AF630">
        <f>IF('WetLitterbags placem_collection'!Z191="","",'WetLitterbags placem_collection'!Z191)</f>
        <v>7</v>
      </c>
      <c r="AG630" s="243" t="str">
        <f>IF('WetLitterbags placem_collection'!AA191="","",'WetLitterbags placem_collection'!AA191)</f>
        <v>O</v>
      </c>
      <c r="AH630">
        <f>IF('WetLitterbags placem_collection'!AC191="","",'WetLitterbags placem_collection'!AC191)</f>
        <v>1</v>
      </c>
      <c r="AI630" s="237">
        <f>AVERAGE('WetLitterbags placem_collection'!S191,'WetLitterbags placem_collection'!U191)</f>
        <v>13.6</v>
      </c>
      <c r="AJ630">
        <f>AVERAGE('WetLitterbags placem_collection'!R191,'WetLitterbags placem_collection'!T191)</f>
        <v>30.6</v>
      </c>
      <c r="AK630">
        <f>INDEX(Coordinates!$B$2:$B$197,MATCH(H630,Coordinates!$J$2:$J$197,0))</f>
        <v>-2.2787580080000001</v>
      </c>
      <c r="AL630">
        <f>INDEX(Coordinates!$C$2:$C$197,MATCH(H630,Coordinates!$J$2:$J$197,0))</f>
        <v>34.032463010000001</v>
      </c>
      <c r="AM630" t="str">
        <f>IF(ISNUMBER(SEARCH("C", 'WetLitterbags placem_collection'!$X191)),"YES","NO")</f>
        <v>NO</v>
      </c>
      <c r="AN630" t="str">
        <f>IF(ISNUMBER(SEARCH("H", 'WetLitterbags placem_collection'!$X191)),"YES","NO")</f>
        <v>NO</v>
      </c>
      <c r="AO630" t="str">
        <f>IF(ISNUMBER(SEARCH("R", 'WetLitterbags placem_collection'!$X191)),"YES","NO")</f>
        <v>NO</v>
      </c>
    </row>
    <row r="631" spans="1:41" ht="15" customHeight="1">
      <c r="A631" s="255" t="s">
        <v>2454</v>
      </c>
      <c r="B631" s="260">
        <f>'Dry_Litterbag Placem_Collection'!A192</f>
        <v>190</v>
      </c>
      <c r="C631" s="260" t="str">
        <f>'Dry_Litterbag Placem_Collection'!B192</f>
        <v>Handajega</v>
      </c>
      <c r="D631" s="260" t="s">
        <v>2454</v>
      </c>
      <c r="E631" s="260" t="s">
        <v>2645</v>
      </c>
      <c r="F631" s="260">
        <v>4</v>
      </c>
      <c r="G631" s="260" t="s">
        <v>3829</v>
      </c>
      <c r="H631" s="261" t="str">
        <f>'Dry_Litterbag Placem_Collection'!C192</f>
        <v>Wet_W4_T6</v>
      </c>
      <c r="I631" s="270" t="s">
        <v>3630</v>
      </c>
      <c r="J631" s="263" t="s">
        <v>1147</v>
      </c>
      <c r="K631" s="221" t="str">
        <f>'WetLitterbags placem_collection'!O192</f>
        <v>G393</v>
      </c>
      <c r="L631" s="223">
        <f>IFERROR(INDEX('Green_rooibos initial weight'!$C$5:$C$2000,MATCH(K631, 'Green_rooibos initial weight'!$A$5:$A$2000,0)),"")</f>
        <v>2.0089999999999999</v>
      </c>
      <c r="M631" s="223">
        <f>IFERROR(L631-(TBIcalc!$H$9+TBIcalc!$H$10),"")</f>
        <v>1.7591999999999999</v>
      </c>
      <c r="N631" s="385">
        <f>AVERAGE(Ashed_controlls!$K$2:$K$11)</f>
        <v>5.5147656768714146</v>
      </c>
      <c r="O631" s="223">
        <f t="shared" si="46"/>
        <v>1.662184242212478</v>
      </c>
      <c r="P631" s="223">
        <f>IFERROR(INDEX('Both teabags AfterWet'!$C$3:$C$840,MATCH(K631,'Both teabags AfterWet'!$A$3:$A$840,0)),"")</f>
        <v>0.62090000000000001</v>
      </c>
      <c r="Q631" s="223">
        <f>IFERROR(IF(P631&gt;0,P631-(TBIcalc!$H$9),""),"")</f>
        <v>0.4703</v>
      </c>
      <c r="R631" s="223">
        <f>IFERROR(INDEX('Ashed teabags wet'!$K$2:$K$2000,MATCH(K631,'Ashed teabags wet'!$A$2:$A$2000,0)),"")</f>
        <v>9.5497278574961424</v>
      </c>
      <c r="S631" s="223">
        <f t="shared" si="47"/>
        <v>0.42538762988619561</v>
      </c>
      <c r="T631" s="224">
        <f>'WetLitterbags placem_collection'!E192</f>
        <v>42763</v>
      </c>
      <c r="U631" s="224">
        <f>IF('WetLitterbags placem_collection'!G192="","",'WetLitterbags placem_collection'!G192)</f>
        <v>42815</v>
      </c>
      <c r="V631" s="225">
        <f t="shared" si="45"/>
        <v>52</v>
      </c>
      <c r="W631" s="223">
        <f t="shared" si="48"/>
        <v>1.2888999999999999</v>
      </c>
      <c r="X631" s="223">
        <f t="shared" si="49"/>
        <v>1.2367966123262824</v>
      </c>
      <c r="Y631">
        <f>IFERROR(INDEX(Rainfall_Wet!$O$2:$O$217,MATCH(B631, Rainfall_Wet!$A$2:$A$217,0)),"")</f>
        <v>188.24043152799999</v>
      </c>
      <c r="Z631" s="228">
        <v>25.96</v>
      </c>
      <c r="AA631" s="228">
        <v>8.9200000000000017</v>
      </c>
      <c r="AB631" s="228">
        <v>65.12</v>
      </c>
      <c r="AC631" s="229" t="s">
        <v>2654</v>
      </c>
      <c r="AD631" s="228">
        <v>6.6991621488417898</v>
      </c>
      <c r="AE631">
        <f>IF('WetLitterbags placem_collection'!AB192="","",'WetLitterbags placem_collection'!AB192)</f>
        <v>9.5</v>
      </c>
      <c r="AF631">
        <f>IF('WetLitterbags placem_collection'!Z192="","",'WetLitterbags placem_collection'!Z192)</f>
        <v>17.399999999999999</v>
      </c>
      <c r="AG631" s="243" t="str">
        <f>IF('WetLitterbags placem_collection'!AA192="","",'WetLitterbags placem_collection'!AA192)</f>
        <v>O</v>
      </c>
      <c r="AH631">
        <f>IF('WetLitterbags placem_collection'!AC192="","",'WetLitterbags placem_collection'!AC192)</f>
        <v>0</v>
      </c>
      <c r="AI631" s="237">
        <f>AVERAGE('WetLitterbags placem_collection'!S192,'WetLitterbags placem_collection'!U192)</f>
        <v>13.55</v>
      </c>
      <c r="AJ631">
        <f>AVERAGE('WetLitterbags placem_collection'!R192,'WetLitterbags placem_collection'!T192)</f>
        <v>34.049999999999997</v>
      </c>
      <c r="AK631">
        <f>INDEX(Coordinates!$B$2:$B$197,MATCH(H631,Coordinates!$J$2:$J$197,0))</f>
        <v>-2.2787559960000001</v>
      </c>
      <c r="AL631">
        <f>INDEX(Coordinates!$C$2:$C$197,MATCH(H631,Coordinates!$J$2:$J$197,0))</f>
        <v>34.032268969999997</v>
      </c>
      <c r="AM631" t="str">
        <f>IF(ISNUMBER(SEARCH("C", 'WetLitterbags placem_collection'!$X192)),"YES","NO")</f>
        <v>NO</v>
      </c>
      <c r="AN631" t="str">
        <f>IF(ISNUMBER(SEARCH("H", 'WetLitterbags placem_collection'!$X192)),"YES","NO")</f>
        <v>NO</v>
      </c>
      <c r="AO631" t="str">
        <f>IF(ISNUMBER(SEARCH("R", 'WetLitterbags placem_collection'!$X192)),"YES","NO")</f>
        <v>NO</v>
      </c>
    </row>
    <row r="632" spans="1:41" ht="15" customHeight="1">
      <c r="A632" s="255" t="s">
        <v>2454</v>
      </c>
      <c r="B632" s="260">
        <f>'Dry_Litterbag Placem_Collection'!A193</f>
        <v>191</v>
      </c>
      <c r="C632" s="260" t="str">
        <f>'Dry_Litterbag Placem_Collection'!B193</f>
        <v>Handajega</v>
      </c>
      <c r="D632" s="260" t="s">
        <v>2454</v>
      </c>
      <c r="E632" s="260" t="s">
        <v>2645</v>
      </c>
      <c r="F632" s="260">
        <v>4</v>
      </c>
      <c r="G632" s="260" t="s">
        <v>3829</v>
      </c>
      <c r="H632" s="261" t="str">
        <f>'Dry_Litterbag Placem_Collection'!C193</f>
        <v>Wet_W4_T7</v>
      </c>
      <c r="I632" s="270" t="s">
        <v>3630</v>
      </c>
      <c r="J632" s="263" t="s">
        <v>1147</v>
      </c>
      <c r="K632" s="221" t="str">
        <f>'WetLitterbags placem_collection'!O193</f>
        <v>G417</v>
      </c>
      <c r="L632" s="223">
        <f>IFERROR(INDEX('Green_rooibos initial weight'!$C$5:$C$2000,MATCH(K632, 'Green_rooibos initial weight'!$A$5:$A$2000,0)),"")</f>
        <v>2.0209999999999999</v>
      </c>
      <c r="M632" s="223">
        <f>IFERROR(L632-(TBIcalc!$H$9+TBIcalc!$H$10),"")</f>
        <v>1.7711999999999999</v>
      </c>
      <c r="N632" s="385">
        <f>AVERAGE(Ashed_controlls!$K$2:$K$11)</f>
        <v>5.5147656768714146</v>
      </c>
      <c r="O632" s="223">
        <f t="shared" si="46"/>
        <v>1.6735224703312535</v>
      </c>
      <c r="P632" s="223">
        <f>IFERROR(INDEX('Both teabags AfterWet'!$C$3:$C$840,MATCH(K632,'Both teabags AfterWet'!$A$3:$A$840,0)),"")</f>
        <v>0.62309999999999999</v>
      </c>
      <c r="Q632" s="223">
        <f>IFERROR(IF(P632&gt;0,P632-(TBIcalc!$H$9),""),"")</f>
        <v>0.47249999999999998</v>
      </c>
      <c r="R632" s="223">
        <f>IFERROR(INDEX('Ashed teabags wet'!$K$2:$K$2000,MATCH(K632,'Ashed teabags wet'!$A$2:$A$2000,0)),"")</f>
        <v>9.0547263681590628</v>
      </c>
      <c r="S632" s="223">
        <f t="shared" si="47"/>
        <v>0.4297164179104484</v>
      </c>
      <c r="T632" s="224">
        <f>'WetLitterbags placem_collection'!E193</f>
        <v>42763</v>
      </c>
      <c r="U632" s="224">
        <f>IF('WetLitterbags placem_collection'!G193="","",'WetLitterbags placem_collection'!G193)</f>
        <v>42815</v>
      </c>
      <c r="V632" s="225">
        <f t="shared" si="45"/>
        <v>52</v>
      </c>
      <c r="W632" s="223">
        <f t="shared" si="48"/>
        <v>1.2987</v>
      </c>
      <c r="X632" s="223">
        <f t="shared" si="49"/>
        <v>1.243806052420805</v>
      </c>
      <c r="Y632">
        <f>IFERROR(INDEX(Rainfall_Wet!$O$2:$O$217,MATCH(B632, Rainfall_Wet!$A$2:$A$217,0)),"")</f>
        <v>188.24043152799999</v>
      </c>
      <c r="Z632" s="228">
        <v>25.96</v>
      </c>
      <c r="AA632" s="228">
        <v>8.9200000000000017</v>
      </c>
      <c r="AB632" s="228">
        <v>65.12</v>
      </c>
      <c r="AC632" s="229" t="s">
        <v>2654</v>
      </c>
      <c r="AD632" s="228">
        <v>7.6991621488417898</v>
      </c>
      <c r="AE632">
        <f>IF('WetLitterbags placem_collection'!AB193="","",'WetLitterbags placem_collection'!AB193)</f>
        <v>12.4</v>
      </c>
      <c r="AF632">
        <f>IF('WetLitterbags placem_collection'!Z193="","",'WetLitterbags placem_collection'!Z193)</f>
        <v>29.8</v>
      </c>
      <c r="AG632" s="243" t="str">
        <f>IF('WetLitterbags placem_collection'!AA193="","",'WetLitterbags placem_collection'!AA193)</f>
        <v>O</v>
      </c>
      <c r="AH632">
        <f>IF('WetLitterbags placem_collection'!AC193="","",'WetLitterbags placem_collection'!AC193)</f>
        <v>0</v>
      </c>
      <c r="AI632" s="237">
        <f>AVERAGE('WetLitterbags placem_collection'!S193,'WetLitterbags placem_collection'!U193)</f>
        <v>12.350000000000001</v>
      </c>
      <c r="AJ632">
        <f>AVERAGE('WetLitterbags placem_collection'!R193,'WetLitterbags placem_collection'!T193)</f>
        <v>35</v>
      </c>
      <c r="AK632">
        <f>INDEX(Coordinates!$B$2:$B$197,MATCH(H632,Coordinates!$J$2:$J$197,0))</f>
        <v>-2.278704029</v>
      </c>
      <c r="AL632">
        <f>INDEX(Coordinates!$C$2:$C$197,MATCH(H632,Coordinates!$J$2:$J$197,0))</f>
        <v>34.032182970000001</v>
      </c>
      <c r="AM632" t="str">
        <f>IF(ISNUMBER(SEARCH("C", 'WetLitterbags placem_collection'!$X193)),"YES","NO")</f>
        <v>NO</v>
      </c>
      <c r="AN632" t="str">
        <f>IF(ISNUMBER(SEARCH("H", 'WetLitterbags placem_collection'!$X193)),"YES","NO")</f>
        <v>NO</v>
      </c>
      <c r="AO632" t="str">
        <f>IF(ISNUMBER(SEARCH("R", 'WetLitterbags placem_collection'!$X193)),"YES","NO")</f>
        <v>NO</v>
      </c>
    </row>
    <row r="633" spans="1:41" ht="15" customHeight="1">
      <c r="A633" s="255" t="s">
        <v>2454</v>
      </c>
      <c r="B633" s="260">
        <f>'Dry_Litterbag Placem_Collection'!A194</f>
        <v>192</v>
      </c>
      <c r="C633" s="260" t="str">
        <f>'Dry_Litterbag Placem_Collection'!B194</f>
        <v>Handajega</v>
      </c>
      <c r="D633" s="260" t="s">
        <v>2454</v>
      </c>
      <c r="E633" s="260" t="s">
        <v>2645</v>
      </c>
      <c r="F633" s="260">
        <v>4</v>
      </c>
      <c r="G633" s="260" t="s">
        <v>3829</v>
      </c>
      <c r="H633" s="261" t="str">
        <f>'Dry_Litterbag Placem_Collection'!C194</f>
        <v>Wet_W4_T8</v>
      </c>
      <c r="I633" s="270" t="s">
        <v>3630</v>
      </c>
      <c r="J633" s="263" t="s">
        <v>1147</v>
      </c>
      <c r="K633" s="221" t="str">
        <f>'WetLitterbags placem_collection'!O194</f>
        <v>G297</v>
      </c>
      <c r="L633" s="223">
        <f>IFERROR(INDEX('Green_rooibos initial weight'!$C$5:$C$2000,MATCH(K633, 'Green_rooibos initial weight'!$A$5:$A$2000,0)),"")</f>
        <v>1.9419999999999999</v>
      </c>
      <c r="M633" s="223">
        <f>IFERROR(L633-(TBIcalc!$H$9+TBIcalc!$H$10),"")</f>
        <v>1.6921999999999999</v>
      </c>
      <c r="N633" s="385">
        <f>AVERAGE(Ashed_controlls!$K$2:$K$11)</f>
        <v>5.5147656768714146</v>
      </c>
      <c r="O633" s="223">
        <f t="shared" si="46"/>
        <v>1.5988791352159819</v>
      </c>
      <c r="P633" s="223">
        <f>IFERROR(INDEX('Both teabags AfterWet'!$C$3:$C$840,MATCH(K633,'Both teabags AfterWet'!$A$3:$A$840,0)),"")</f>
        <v>0.60899999999999999</v>
      </c>
      <c r="Q633" s="223">
        <f>IFERROR(IF(P633&gt;0,P633-(TBIcalc!$H$9),""),"")</f>
        <v>0.45839999999999997</v>
      </c>
      <c r="R633" s="223">
        <f>IFERROR(INDEX('Ashed teabags wet'!$K$2:$K$2000,MATCH(K633,'Ashed teabags wet'!$A$2:$A$2000,0)),"")</f>
        <v>9.3406593406594496</v>
      </c>
      <c r="S633" s="223">
        <f t="shared" si="47"/>
        <v>0.41558241758241704</v>
      </c>
      <c r="T633" s="224">
        <f>'WetLitterbags placem_collection'!E194</f>
        <v>42763</v>
      </c>
      <c r="U633" s="224">
        <f>IF('WetLitterbags placem_collection'!G194="","",'WetLitterbags placem_collection'!G194)</f>
        <v>42815</v>
      </c>
      <c r="V633" s="225">
        <f t="shared" si="45"/>
        <v>52</v>
      </c>
      <c r="W633" s="223">
        <f t="shared" si="48"/>
        <v>1.2338</v>
      </c>
      <c r="X633" s="223">
        <f t="shared" si="49"/>
        <v>1.1832967176335649</v>
      </c>
      <c r="Y633">
        <f>IFERROR(INDEX(Rainfall_Wet!$O$2:$O$217,MATCH(B633, Rainfall_Wet!$A$2:$A$217,0)),"")</f>
        <v>188.24043152799999</v>
      </c>
      <c r="Z633" s="228">
        <v>25.96</v>
      </c>
      <c r="AA633" s="228">
        <v>8.9200000000000017</v>
      </c>
      <c r="AB633" s="228">
        <v>65.12</v>
      </c>
      <c r="AC633" s="229" t="s">
        <v>2654</v>
      </c>
      <c r="AD633" s="228">
        <v>8.6991621488417898</v>
      </c>
      <c r="AE633">
        <f>IF('WetLitterbags placem_collection'!AB194="","",'WetLitterbags placem_collection'!AB194)</f>
        <v>3.6</v>
      </c>
      <c r="AF633">
        <f>IF('WetLitterbags placem_collection'!Z194="","",'WetLitterbags placem_collection'!Z194)</f>
        <v>37.799999999999997</v>
      </c>
      <c r="AG633" s="243" t="str">
        <f>IF('WetLitterbags placem_collection'!AA194="","",'WetLitterbags placem_collection'!AA194)</f>
        <v>O</v>
      </c>
      <c r="AH633">
        <f>IF('WetLitterbags placem_collection'!AC194="","",'WetLitterbags placem_collection'!AC194)</f>
        <v>0</v>
      </c>
      <c r="AI633" s="237">
        <f>AVERAGE('WetLitterbags placem_collection'!S194,'WetLitterbags placem_collection'!U194)</f>
        <v>9.25</v>
      </c>
      <c r="AJ633">
        <f>AVERAGE('WetLitterbags placem_collection'!R194,'WetLitterbags placem_collection'!T194)</f>
        <v>33.299999999999997</v>
      </c>
      <c r="AK633">
        <f>INDEX(Coordinates!$B$2:$B$197,MATCH(H633,Coordinates!$J$2:$J$197,0))</f>
        <v>-2.2789770269999998</v>
      </c>
      <c r="AL633">
        <f>INDEX(Coordinates!$C$2:$C$197,MATCH(H633,Coordinates!$J$2:$J$197,0))</f>
        <v>34.032051039999999</v>
      </c>
      <c r="AM633" t="str">
        <f>IF(ISNUMBER(SEARCH("C", 'WetLitterbags placem_collection'!$X194)),"YES","NO")</f>
        <v>NO</v>
      </c>
      <c r="AN633" t="str">
        <f>IF(ISNUMBER(SEARCH("H", 'WetLitterbags placem_collection'!$X194)),"YES","NO")</f>
        <v>NO</v>
      </c>
      <c r="AO633" t="str">
        <f>IF(ISNUMBER(SEARCH("R", 'WetLitterbags placem_collection'!$X194)),"YES","NO")</f>
        <v>NO</v>
      </c>
    </row>
    <row r="634" spans="1:41" ht="15" customHeight="1">
      <c r="A634" s="255" t="s">
        <v>2454</v>
      </c>
      <c r="B634" s="260">
        <f>'Dry_Litterbag Placem_Collection'!A195</f>
        <v>193</v>
      </c>
      <c r="C634" s="260" t="str">
        <f>'Dry_Litterbag Placem_Collection'!B195</f>
        <v>Makao</v>
      </c>
      <c r="D634" s="260" t="s">
        <v>2643</v>
      </c>
      <c r="E634" s="260" t="s">
        <v>2512</v>
      </c>
      <c r="F634" s="260">
        <v>4</v>
      </c>
      <c r="G634" s="260" t="s">
        <v>3798</v>
      </c>
      <c r="H634" s="261" t="str">
        <f>'Dry_Litterbag Placem_Collection'!C195</f>
        <v>Dry_Ag1_CG4</v>
      </c>
      <c r="I634" s="270" t="s">
        <v>3630</v>
      </c>
      <c r="J634" s="263" t="s">
        <v>1147</v>
      </c>
      <c r="K634" s="221" t="str">
        <f>'WetLitterbags placem_collection'!O195</f>
        <v>G584</v>
      </c>
      <c r="L634" s="223">
        <f>IFERROR(INDEX('Green_rooibos initial weight'!$C$5:$C$2000,MATCH(K634, 'Green_rooibos initial weight'!$A$5:$A$2000,0)),"")</f>
        <v>2.1960000000000002</v>
      </c>
      <c r="M634" s="223">
        <f>IFERROR(L634-(TBIcalc!$H$9+TBIcalc!$H$10),"")</f>
        <v>1.9462000000000002</v>
      </c>
      <c r="N634" s="385">
        <f>AVERAGE(Ashed_controlls!$K$2:$K$11)</f>
        <v>5.5147656768714146</v>
      </c>
      <c r="O634" s="223">
        <f t="shared" si="46"/>
        <v>1.8388716303967287</v>
      </c>
      <c r="P634" s="223">
        <f>IFERROR(INDEX('Both teabags AfterWet'!$C$3:$C$840,MATCH(K634,'Both teabags AfterWet'!$A$3:$A$840,0)),"")</f>
        <v>0.63959999999999995</v>
      </c>
      <c r="Q634" s="223">
        <f>IFERROR(IF(P634&gt;0,P634-(TBIcalc!$H$9),""),"")</f>
        <v>0.48899999999999993</v>
      </c>
      <c r="R634" s="223">
        <f>IFERROR(INDEX('Ashed teabags wet'!$K$2:$K$2000,MATCH(K634,'Ashed teabags wet'!$A$2:$A$2000,0)),"")</f>
        <v>7.9232283464562308</v>
      </c>
      <c r="S634" s="223">
        <f t="shared" si="47"/>
        <v>0.45025541338582897</v>
      </c>
      <c r="T634" s="224">
        <f>'WetLitterbags placem_collection'!E195</f>
        <v>42769</v>
      </c>
      <c r="U634" s="224">
        <f>IF('WetLitterbags placem_collection'!G195="","",'WetLitterbags placem_collection'!G195)</f>
        <v>42813</v>
      </c>
      <c r="V634" s="225">
        <f t="shared" si="45"/>
        <v>44</v>
      </c>
      <c r="W634" s="223">
        <f t="shared" si="48"/>
        <v>1.4572000000000003</v>
      </c>
      <c r="X634" s="223">
        <f t="shared" si="49"/>
        <v>1.3886162170108998</v>
      </c>
      <c r="Y634">
        <f>IFERROR(INDEX(Rainfall_Wet!$O$2:$O$217,MATCH(B634, Rainfall_Wet!$A$2:$A$217,0)),"")</f>
        <v>175.054685654</v>
      </c>
      <c r="Z634" s="228">
        <v>12.565665055683967</v>
      </c>
      <c r="AA634" s="228">
        <v>0.9665896196679955</v>
      </c>
      <c r="AB634" s="228">
        <v>86.467745324648035</v>
      </c>
      <c r="AC634" s="229" t="s">
        <v>2656</v>
      </c>
      <c r="AD634" s="228">
        <v>1.0225726959093147</v>
      </c>
      <c r="AE634">
        <f>IF('WetLitterbags placem_collection'!AB195="","",'WetLitterbags placem_collection'!AB195)</f>
        <v>15.2</v>
      </c>
      <c r="AF634">
        <f>IF('WetLitterbags placem_collection'!Z195="","",'WetLitterbags placem_collection'!Z195)</f>
        <v>12.2</v>
      </c>
      <c r="AG634" s="243" t="str">
        <f>IF('WetLitterbags placem_collection'!AA195="","",'WetLitterbags placem_collection'!AA195)</f>
        <v>O</v>
      </c>
      <c r="AH634">
        <f>IF('WetLitterbags placem_collection'!AC195="","",'WetLitterbags placem_collection'!AC195)</f>
        <v>1</v>
      </c>
      <c r="AI634" s="237">
        <f>AVERAGE('WetLitterbags placem_collection'!S195,'WetLitterbags placem_collection'!U195)</f>
        <v>22.4</v>
      </c>
      <c r="AJ634">
        <f>AVERAGE('WetLitterbags placem_collection'!R195,'WetLitterbags placem_collection'!T195)</f>
        <v>28.95</v>
      </c>
      <c r="AK634">
        <v>-2.4396949910000001</v>
      </c>
      <c r="AL634">
        <v>34.838574029999997</v>
      </c>
      <c r="AM634" t="str">
        <f>IF(ISNUMBER(SEARCH("C", 'WetLitterbags placem_collection'!$X195)),"YES","NO")</f>
        <v>NO</v>
      </c>
      <c r="AN634" t="str">
        <f>IF(ISNUMBER(SEARCH("H", 'WetLitterbags placem_collection'!$X195)),"YES","NO")</f>
        <v>NO</v>
      </c>
      <c r="AO634" t="str">
        <f>IF(ISNUMBER(SEARCH("R", 'WetLitterbags placem_collection'!$X195)),"YES","NO")</f>
        <v>YES</v>
      </c>
    </row>
    <row r="635" spans="1:41" ht="15" customHeight="1">
      <c r="A635" s="255" t="s">
        <v>2454</v>
      </c>
      <c r="B635" s="260">
        <f>'Dry_Litterbag Placem_Collection'!A196</f>
        <v>194</v>
      </c>
      <c r="C635" s="260" t="str">
        <f>'Dry_Litterbag Placem_Collection'!B196</f>
        <v>Makao</v>
      </c>
      <c r="D635" s="260" t="s">
        <v>2643</v>
      </c>
      <c r="E635" s="260" t="s">
        <v>2512</v>
      </c>
      <c r="F635" s="260">
        <v>3</v>
      </c>
      <c r="G635" s="260" t="s">
        <v>3802</v>
      </c>
      <c r="H635" s="261" t="str">
        <f>'Dry_Litterbag Placem_Collection'!C196</f>
        <v>Dry_Ag2_CG3</v>
      </c>
      <c r="I635" s="270" t="s">
        <v>3630</v>
      </c>
      <c r="J635" s="263" t="s">
        <v>1147</v>
      </c>
      <c r="K635" s="221" t="str">
        <f>'WetLitterbags placem_collection'!O196</f>
        <v>G713</v>
      </c>
      <c r="L635" s="223">
        <f>IFERROR(INDEX('Green_rooibos initial weight'!$C$5:$C$2000,MATCH(K635, 'Green_rooibos initial weight'!$A$5:$A$2000,0)),"")</f>
        <v>2.1779999999999999</v>
      </c>
      <c r="M635" s="223">
        <f>IFERROR(L635-(TBIcalc!$H$9+TBIcalc!$H$10),"")</f>
        <v>1.9281999999999999</v>
      </c>
      <c r="N635" s="385">
        <f>AVERAGE(Ashed_controlls!$K$2:$K$11)</f>
        <v>5.5147656768714146</v>
      </c>
      <c r="O635" s="223">
        <f t="shared" si="46"/>
        <v>1.8218642882185654</v>
      </c>
      <c r="P635" s="223">
        <f>IFERROR(INDEX('Both teabags AfterWet'!$C$3:$C$840,MATCH(K635,'Both teabags AfterWet'!$A$3:$A$840,0)),"")</f>
        <v>0.63500000000000001</v>
      </c>
      <c r="Q635" s="223">
        <f>IFERROR(IF(P635&gt;0,P635-(TBIcalc!$H$9),""),"")</f>
        <v>0.4844</v>
      </c>
      <c r="R635" s="223">
        <f>IFERROR(INDEX('Ashed teabags wet'!$K$2:$K$2000,MATCH(K635,'Ashed teabags wet'!$A$2:$A$2000,0)),"")</f>
        <v>8.6567164179103493</v>
      </c>
      <c r="S635" s="223">
        <f t="shared" si="47"/>
        <v>0.44246686567164228</v>
      </c>
      <c r="T635" s="224">
        <f>'WetLitterbags placem_collection'!E196</f>
        <v>42769</v>
      </c>
      <c r="U635" s="224">
        <f>IF('WetLitterbags placem_collection'!G196="","",'WetLitterbags placem_collection'!G196)</f>
        <v>42813</v>
      </c>
      <c r="V635" s="225">
        <f t="shared" si="45"/>
        <v>44</v>
      </c>
      <c r="W635" s="223">
        <f t="shared" si="48"/>
        <v>1.4438</v>
      </c>
      <c r="X635" s="223">
        <f t="shared" si="49"/>
        <v>1.3793974225469232</v>
      </c>
      <c r="Y635">
        <f>IFERROR(INDEX(Rainfall_Wet!$O$2:$O$217,MATCH(B635, Rainfall_Wet!$A$2:$A$217,0)),"")</f>
        <v>175.054685654</v>
      </c>
      <c r="Z635" s="228">
        <v>21.13063730679653</v>
      </c>
      <c r="AA635" s="228">
        <v>3.0912555579081076</v>
      </c>
      <c r="AB635" s="228">
        <v>75.778107135295357</v>
      </c>
      <c r="AC635" s="229" t="s">
        <v>2654</v>
      </c>
      <c r="AD635" s="228">
        <v>0.46131099063578063</v>
      </c>
      <c r="AE635">
        <f>IF('WetLitterbags placem_collection'!AB196="","",'WetLitterbags placem_collection'!AB196)</f>
        <v>7.9</v>
      </c>
      <c r="AF635">
        <f>IF('WetLitterbags placem_collection'!Z196="","",'WetLitterbags placem_collection'!Z196)</f>
        <v>7.9</v>
      </c>
      <c r="AG635" s="243" t="str">
        <f>IF('WetLitterbags placem_collection'!AA196="","",'WetLitterbags placem_collection'!AA196)</f>
        <v>O</v>
      </c>
      <c r="AH635">
        <f>IF('WetLitterbags placem_collection'!AC196="","",'WetLitterbags placem_collection'!AC196)</f>
        <v>1</v>
      </c>
      <c r="AI635" s="237">
        <f>AVERAGE('WetLitterbags placem_collection'!S196,'WetLitterbags placem_collection'!U196)</f>
        <v>19.600000000000001</v>
      </c>
      <c r="AJ635">
        <f>AVERAGE('WetLitterbags placem_collection'!R196,'WetLitterbags placem_collection'!T196)</f>
        <v>29.3</v>
      </c>
      <c r="AK635">
        <v>-2.4395990190000001</v>
      </c>
      <c r="AL635">
        <v>34.838418959999998</v>
      </c>
      <c r="AM635" t="str">
        <f>IF(ISNUMBER(SEARCH("C", 'WetLitterbags placem_collection'!$X196)),"YES","NO")</f>
        <v>NO</v>
      </c>
      <c r="AN635" t="str">
        <f>IF(ISNUMBER(SEARCH("H", 'WetLitterbags placem_collection'!$X196)),"YES","NO")</f>
        <v>NO</v>
      </c>
      <c r="AO635" t="str">
        <f>IF(ISNUMBER(SEARCH("R", 'WetLitterbags placem_collection'!$X196)),"YES","NO")</f>
        <v>YES</v>
      </c>
    </row>
    <row r="636" spans="1:41" ht="15" customHeight="1">
      <c r="A636" s="255" t="s">
        <v>2454</v>
      </c>
      <c r="B636" s="260">
        <f>'Dry_Litterbag Placem_Collection'!A197</f>
        <v>195</v>
      </c>
      <c r="C636" s="260" t="str">
        <f>'Dry_Litterbag Placem_Collection'!B197</f>
        <v>Makao</v>
      </c>
      <c r="D636" s="260" t="s">
        <v>2643</v>
      </c>
      <c r="E636" s="260" t="s">
        <v>2512</v>
      </c>
      <c r="F636" s="260">
        <v>2</v>
      </c>
      <c r="G636" s="260" t="s">
        <v>3803</v>
      </c>
      <c r="H636" s="261" t="str">
        <f>'Dry_Litterbag Placem_Collection'!C197</f>
        <v>Dry_Ag3_CG2</v>
      </c>
      <c r="I636" s="270" t="s">
        <v>3630</v>
      </c>
      <c r="J636" s="263" t="s">
        <v>1147</v>
      </c>
      <c r="K636" s="221" t="str">
        <f>'WetLitterbags placem_collection'!O197</f>
        <v>G525</v>
      </c>
      <c r="L636" s="223">
        <f>IFERROR(INDEX('Green_rooibos initial weight'!$C$5:$C$2000,MATCH(K636, 'Green_rooibos initial weight'!$A$5:$A$2000,0)),"")</f>
        <v>2.0790000000000002</v>
      </c>
      <c r="M636" s="223">
        <f>IFERROR(L636-(TBIcalc!$H$9+TBIcalc!$H$10),"")</f>
        <v>1.8292000000000002</v>
      </c>
      <c r="N636" s="385">
        <f>AVERAGE(Ashed_controlls!$K$2:$K$11)</f>
        <v>5.5147656768714146</v>
      </c>
      <c r="O636" s="223">
        <f t="shared" si="46"/>
        <v>1.7283239062386682</v>
      </c>
      <c r="P636" s="223">
        <f>IFERROR(INDEX('Both teabags AfterWet'!$C$3:$C$840,MATCH(K636,'Both teabags AfterWet'!$A$3:$A$840,0)),"")</f>
        <v>0.67859999999999998</v>
      </c>
      <c r="Q636" s="223">
        <f>IFERROR(IF(P636&gt;0,P636-(TBIcalc!$H$9),""),"")</f>
        <v>0.52800000000000002</v>
      </c>
      <c r="R636" s="223">
        <f>IFERROR(INDEX('Ashed teabags wet'!$K$2:$K$2000,MATCH(K636,'Ashed teabags wet'!$A$2:$A$2000,0)),"")</f>
        <v>12.793603198399861</v>
      </c>
      <c r="S636" s="223">
        <f t="shared" si="47"/>
        <v>0.46044977511244878</v>
      </c>
      <c r="T636" s="224">
        <f>'WetLitterbags placem_collection'!E197</f>
        <v>42769</v>
      </c>
      <c r="U636" s="224">
        <f>IF('WetLitterbags placem_collection'!G197="","",'WetLitterbags placem_collection'!G197)</f>
        <v>42814</v>
      </c>
      <c r="V636" s="225">
        <f t="shared" si="45"/>
        <v>45</v>
      </c>
      <c r="W636" s="223">
        <f t="shared" si="48"/>
        <v>1.3012000000000001</v>
      </c>
      <c r="X636" s="223">
        <f t="shared" si="49"/>
        <v>1.2678741311262194</v>
      </c>
      <c r="Y636">
        <f>IFERROR(INDEX(Rainfall_Wet!$O$2:$O$217,MATCH(B636, Rainfall_Wet!$A$2:$A$217,0)),"")</f>
        <v>175.377105089</v>
      </c>
      <c r="Z636" s="228">
        <v>54.080969906906262</v>
      </c>
      <c r="AA636" s="228">
        <v>21.264484651351896</v>
      </c>
      <c r="AB636" s="228">
        <v>24.654545441741845</v>
      </c>
      <c r="AC636" s="229" t="s">
        <v>2657</v>
      </c>
      <c r="AD636" s="228">
        <v>1.8433218334154755</v>
      </c>
      <c r="AE636">
        <f>IF('WetLitterbags placem_collection'!AB197="","",'WetLitterbags placem_collection'!AB197)</f>
        <v>5.13</v>
      </c>
      <c r="AF636">
        <f>IF('WetLitterbags placem_collection'!Z197="","",'WetLitterbags placem_collection'!Z197)</f>
        <v>5.13</v>
      </c>
      <c r="AG636" s="243" t="str">
        <f>IF('WetLitterbags placem_collection'!AA197="","",'WetLitterbags placem_collection'!AA197)</f>
        <v>O</v>
      </c>
      <c r="AH636">
        <f>IF('WetLitterbags placem_collection'!AC197="","",'WetLitterbags placem_collection'!AC197)</f>
        <v>1</v>
      </c>
      <c r="AI636" s="237">
        <f>AVERAGE('WetLitterbags placem_collection'!S197,'WetLitterbags placem_collection'!U197)</f>
        <v>29.700000000000003</v>
      </c>
      <c r="AJ636">
        <f>AVERAGE('WetLitterbags placem_collection'!R197,'WetLitterbags placem_collection'!T197)</f>
        <v>24.35</v>
      </c>
      <c r="AK636">
        <v>-2.4396450349999999</v>
      </c>
      <c r="AL636">
        <v>34.83836599</v>
      </c>
      <c r="AM636" t="str">
        <f>IF(ISNUMBER(SEARCH("C", 'WetLitterbags placem_collection'!$X197)),"YES","NO")</f>
        <v>NO</v>
      </c>
      <c r="AN636" t="str">
        <f>IF(ISNUMBER(SEARCH("H", 'WetLitterbags placem_collection'!$X197)),"YES","NO")</f>
        <v>NO</v>
      </c>
      <c r="AO636" t="str">
        <f>IF(ISNUMBER(SEARCH("R", 'WetLitterbags placem_collection'!$X197)),"YES","NO")</f>
        <v>YES</v>
      </c>
    </row>
    <row r="637" spans="1:41" ht="15" customHeight="1">
      <c r="A637" s="255" t="s">
        <v>2454</v>
      </c>
      <c r="B637" s="260">
        <f>'Dry_Litterbag Placem_Collection'!A198</f>
        <v>196</v>
      </c>
      <c r="C637" s="260" t="str">
        <f>'Dry_Litterbag Placem_Collection'!B198</f>
        <v>Makao</v>
      </c>
      <c r="D637" s="260" t="s">
        <v>2643</v>
      </c>
      <c r="E637" s="260" t="s">
        <v>2512</v>
      </c>
      <c r="F637" s="260">
        <v>1</v>
      </c>
      <c r="G637" s="260" t="s">
        <v>3804</v>
      </c>
      <c r="H637" s="261" t="str">
        <f>'Dry_Litterbag Placem_Collection'!C198</f>
        <v>Dry_Ag4_CG1</v>
      </c>
      <c r="I637" s="270" t="s">
        <v>3630</v>
      </c>
      <c r="J637" s="263" t="s">
        <v>1147</v>
      </c>
      <c r="K637" s="221" t="str">
        <f>'WetLitterbags placem_collection'!O198</f>
        <v>G886</v>
      </c>
      <c r="L637" s="223">
        <f>IFERROR(INDEX('Green_rooibos initial weight'!$C$5:$C$2000,MATCH(K637, 'Green_rooibos initial weight'!$A$5:$A$2000,0)),"")</f>
        <v>1.9590000000000001</v>
      </c>
      <c r="M637" s="223">
        <f>IFERROR(L637-(TBIcalc!$H$9+TBIcalc!$H$10),"")</f>
        <v>1.7092000000000001</v>
      </c>
      <c r="N637" s="385">
        <f>AVERAGE(Ashed_controlls!$K$2:$K$11)</f>
        <v>5.5147656768714146</v>
      </c>
      <c r="O637" s="223">
        <f t="shared" si="46"/>
        <v>1.6149416250509139</v>
      </c>
      <c r="P637" s="223">
        <f>IFERROR(INDEX('Both teabags AfterWet'!$C$3:$C$840,MATCH(K637,'Both teabags AfterWet'!$A$3:$A$840,0)),"")</f>
        <v>0.58389999999999997</v>
      </c>
      <c r="Q637" s="223">
        <f>IFERROR(IF(P637&gt;0,P637-(TBIcalc!$H$9),""),"")</f>
        <v>0.43329999999999996</v>
      </c>
      <c r="R637" s="223">
        <f>IFERROR(INDEX('Ashed teabags wet'!$K$2:$K$2000,MATCH(K637,'Ashed teabags wet'!$A$2:$A$2000,0)),"")</f>
        <v>11.60846040334461</v>
      </c>
      <c r="S637" s="223">
        <f t="shared" si="47"/>
        <v>0.38300054107230774</v>
      </c>
      <c r="T637" s="224">
        <f>'WetLitterbags placem_collection'!E198</f>
        <v>42769</v>
      </c>
      <c r="U637" s="224">
        <f>IF('WetLitterbags placem_collection'!G198="","",'WetLitterbags placem_collection'!G198)</f>
        <v>42814</v>
      </c>
      <c r="V637" s="225">
        <f t="shared" si="45"/>
        <v>45</v>
      </c>
      <c r="W637" s="223">
        <f t="shared" si="48"/>
        <v>1.2759</v>
      </c>
      <c r="X637" s="223">
        <f t="shared" si="49"/>
        <v>1.2319410839786062</v>
      </c>
      <c r="Y637">
        <f>IFERROR(INDEX(Rainfall_Wet!$O$2:$O$217,MATCH(B637, Rainfall_Wet!$A$2:$A$217,0)),"")</f>
        <v>175.377105089</v>
      </c>
      <c r="Z637" s="228">
        <v>51.960000000000008</v>
      </c>
      <c r="AA637" s="228">
        <v>18.919999999999995</v>
      </c>
      <c r="AB637" s="228">
        <v>29.120000000000005</v>
      </c>
      <c r="AC637" s="229" t="s">
        <v>2657</v>
      </c>
      <c r="AD637" s="228">
        <v>1.85293247905372</v>
      </c>
      <c r="AE637">
        <f>IF('WetLitterbags placem_collection'!AB198="","",'WetLitterbags placem_collection'!AB198)</f>
        <v>13.8</v>
      </c>
      <c r="AF637">
        <f>IF('WetLitterbags placem_collection'!Z198="","",'WetLitterbags placem_collection'!Z198)</f>
        <v>17.399999999999999</v>
      </c>
      <c r="AG637" s="243" t="str">
        <f>IF('WetLitterbags placem_collection'!AA198="","",'WetLitterbags placem_collection'!AA198)</f>
        <v>O</v>
      </c>
      <c r="AH637">
        <f>IF('WetLitterbags placem_collection'!AC198="","",'WetLitterbags placem_collection'!AC198)</f>
        <v>1</v>
      </c>
      <c r="AI637" s="237">
        <f>AVERAGE('WetLitterbags placem_collection'!S198,'WetLitterbags placem_collection'!U198)</f>
        <v>23.75</v>
      </c>
      <c r="AJ637">
        <f>AVERAGE('WetLitterbags placem_collection'!R198,'WetLitterbags placem_collection'!T198)</f>
        <v>25.25</v>
      </c>
      <c r="AK637">
        <v>-2.439403972</v>
      </c>
      <c r="AL637">
        <v>34.838404959999998</v>
      </c>
      <c r="AM637" t="str">
        <f>IF(ISNUMBER(SEARCH("C", 'WetLitterbags placem_collection'!$X198)),"YES","NO")</f>
        <v>NO</v>
      </c>
      <c r="AN637" t="str">
        <f>IF(ISNUMBER(SEARCH("H", 'WetLitterbags placem_collection'!$X198)),"YES","NO")</f>
        <v>NO</v>
      </c>
      <c r="AO637" t="str">
        <f>IF(ISNUMBER(SEARCH("R", 'WetLitterbags placem_collection'!$X198)),"YES","NO")</f>
        <v>NO</v>
      </c>
    </row>
    <row r="638" spans="1:41" ht="15" customHeight="1">
      <c r="A638" s="255" t="s">
        <v>2454</v>
      </c>
      <c r="B638" s="260">
        <f>'Dry_Litterbag Placem_Collection'!A199</f>
        <v>197</v>
      </c>
      <c r="C638" s="260" t="str">
        <f>'Dry_Litterbag Placem_Collection'!B199</f>
        <v>Makao</v>
      </c>
      <c r="D638" s="260" t="s">
        <v>2643</v>
      </c>
      <c r="E638" s="260" t="s">
        <v>2512</v>
      </c>
      <c r="F638" s="260">
        <v>2</v>
      </c>
      <c r="G638" s="260" t="s">
        <v>3805</v>
      </c>
      <c r="H638" s="261" t="str">
        <f>'Dry_Litterbag Placem_Collection'!C199</f>
        <v>Dry_P1_CG2</v>
      </c>
      <c r="I638" s="270" t="s">
        <v>3630</v>
      </c>
      <c r="J638" s="263" t="s">
        <v>1147</v>
      </c>
      <c r="K638" s="221" t="str">
        <f>'WetLitterbags placem_collection'!O199</f>
        <v>G388</v>
      </c>
      <c r="L638" s="223">
        <f>IFERROR(INDEX('Green_rooibos initial weight'!$C$5:$C$2000,MATCH(K638, 'Green_rooibos initial weight'!$A$5:$A$2000,0)),"")</f>
        <v>2.024</v>
      </c>
      <c r="M638" s="223">
        <f>IFERROR(L638-(TBIcalc!$H$9+TBIcalc!$H$10),"")</f>
        <v>1.7742</v>
      </c>
      <c r="N638" s="385">
        <f>AVERAGE(Ashed_controlls!$K$2:$K$11)</f>
        <v>5.5147656768714146</v>
      </c>
      <c r="O638" s="223">
        <f t="shared" si="46"/>
        <v>1.6763570273609474</v>
      </c>
      <c r="P638" s="223">
        <f>IFERROR(INDEX('Both teabags AfterWet'!$C$3:$C$840,MATCH(K638,'Both teabags AfterWet'!$A$3:$A$840,0)),"")</f>
        <v>0.7046</v>
      </c>
      <c r="Q638" s="223">
        <f>IFERROR(IF(P638&gt;0,P638-(TBIcalc!$H$9),""),"")</f>
        <v>0.55400000000000005</v>
      </c>
      <c r="R638" s="223">
        <f>IFERROR(INDEX('Ashed teabags wet'!$K$2:$K$2000,MATCH(K638,'Ashed teabags wet'!$A$2:$A$2000,0)),"")</f>
        <v>10.565110565110372</v>
      </c>
      <c r="S638" s="223">
        <f t="shared" si="47"/>
        <v>0.49546928746928859</v>
      </c>
      <c r="T638" s="224">
        <f>'WetLitterbags placem_collection'!E199</f>
        <v>42769</v>
      </c>
      <c r="U638" s="224">
        <f>IF('WetLitterbags placem_collection'!G199="","",'WetLitterbags placem_collection'!G199)</f>
        <v>42814</v>
      </c>
      <c r="V638" s="225">
        <f t="shared" si="45"/>
        <v>45</v>
      </c>
      <c r="W638" s="223">
        <f t="shared" si="48"/>
        <v>1.2202</v>
      </c>
      <c r="X638" s="223">
        <f t="shared" si="49"/>
        <v>1.1808877398916588</v>
      </c>
      <c r="Y638">
        <f>IFERROR(INDEX(Rainfall_Wet!$O$2:$O$217,MATCH(B638, Rainfall_Wet!$A$2:$A$217,0)),"")</f>
        <v>175.377105089</v>
      </c>
      <c r="Z638" s="228">
        <v>23.96</v>
      </c>
      <c r="AA638" s="228">
        <v>0.91999999999999804</v>
      </c>
      <c r="AB638" s="228">
        <v>75.12</v>
      </c>
      <c r="AC638" s="229" t="s">
        <v>2654</v>
      </c>
      <c r="AD638" s="228">
        <v>1.2493839329719072</v>
      </c>
      <c r="AE638">
        <f>IF('WetLitterbags placem_collection'!AB199="","",'WetLitterbags placem_collection'!AB199)</f>
        <v>5.13</v>
      </c>
      <c r="AF638">
        <f>IF('WetLitterbags placem_collection'!Z199="","",'WetLitterbags placem_collection'!Z199)</f>
        <v>5.13</v>
      </c>
      <c r="AG638" s="243" t="str">
        <f>IF('WetLitterbags placem_collection'!AA199="","",'WetLitterbags placem_collection'!AA199)</f>
        <v>O</v>
      </c>
      <c r="AH638">
        <f>IF('WetLitterbags placem_collection'!AC199="","",'WetLitterbags placem_collection'!AC199)</f>
        <v>1</v>
      </c>
      <c r="AI638" s="237">
        <f>AVERAGE('WetLitterbags placem_collection'!S199,'WetLitterbags placem_collection'!U199)</f>
        <v>22.85</v>
      </c>
      <c r="AJ638">
        <f>AVERAGE('WetLitterbags placem_collection'!R199,'WetLitterbags placem_collection'!T199)</f>
        <v>24.4</v>
      </c>
      <c r="AK638">
        <v>-2.4396450349999999</v>
      </c>
      <c r="AL638">
        <v>34.83836599</v>
      </c>
      <c r="AM638" t="str">
        <f>IF(ISNUMBER(SEARCH("C", 'WetLitterbags placem_collection'!$X199)),"YES","NO")</f>
        <v>NO</v>
      </c>
      <c r="AN638" t="str">
        <f>IF(ISNUMBER(SEARCH("H", 'WetLitterbags placem_collection'!$X199)),"YES","NO")</f>
        <v>NO</v>
      </c>
      <c r="AO638" t="str">
        <f>IF(ISNUMBER(SEARCH("R", 'WetLitterbags placem_collection'!$X199)),"YES","NO")</f>
        <v>YES</v>
      </c>
    </row>
    <row r="639" spans="1:41" ht="15" customHeight="1">
      <c r="A639" s="255" t="s">
        <v>2454</v>
      </c>
      <c r="B639" s="260">
        <f>'Dry_Litterbag Placem_Collection'!A200</f>
        <v>198</v>
      </c>
      <c r="C639" s="260" t="str">
        <f>'Dry_Litterbag Placem_Collection'!B200</f>
        <v>Makao</v>
      </c>
      <c r="D639" s="260" t="s">
        <v>2643</v>
      </c>
      <c r="E639" s="260" t="s">
        <v>2512</v>
      </c>
      <c r="F639" s="260">
        <v>3</v>
      </c>
      <c r="G639" s="260" t="s">
        <v>3807</v>
      </c>
      <c r="H639" s="261" t="str">
        <f>'Dry_Litterbag Placem_Collection'!C200</f>
        <v>Dry_P2_CG3</v>
      </c>
      <c r="I639" s="270" t="s">
        <v>3630</v>
      </c>
      <c r="J639" s="263" t="s">
        <v>1147</v>
      </c>
      <c r="K639" s="221" t="str">
        <f>'WetLitterbags placem_collection'!O200</f>
        <v>G462</v>
      </c>
      <c r="L639" s="223">
        <f>IFERROR(INDEX('Green_rooibos initial weight'!$C$5:$C$2000,MATCH(K639, 'Green_rooibos initial weight'!$A$5:$A$2000,0)),"")</f>
        <v>2.169</v>
      </c>
      <c r="M639" s="223">
        <f>IFERROR(L639-(TBIcalc!$H$9+TBIcalc!$H$10),"")</f>
        <v>1.9192</v>
      </c>
      <c r="N639" s="385">
        <f>AVERAGE(Ashed_controlls!$K$2:$K$11)</f>
        <v>5.5147656768714146</v>
      </c>
      <c r="O639" s="223">
        <f t="shared" si="46"/>
        <v>1.8133606171294838</v>
      </c>
      <c r="P639" s="223">
        <f>IFERROR(INDEX('Both teabags AfterWet'!$C$3:$C$840,MATCH(K639,'Both teabags AfterWet'!$A$3:$A$840,0)),"")</f>
        <v>0.71250000000000002</v>
      </c>
      <c r="Q639" s="223">
        <f>IFERROR(IF(P639&gt;0,P639-(TBIcalc!$H$9),""),"")</f>
        <v>0.56190000000000007</v>
      </c>
      <c r="R639" s="223">
        <f>IFERROR(INDEX('Ashed teabags wet'!$K$2:$K$2000,MATCH(K639,'Ashed teabags wet'!$A$2:$A$2000,0)),"")</f>
        <v>8.7537091988131088</v>
      </c>
      <c r="S639" s="223">
        <f t="shared" si="47"/>
        <v>0.5127129080118692</v>
      </c>
      <c r="T639" s="224">
        <f>'WetLitterbags placem_collection'!E200</f>
        <v>42769</v>
      </c>
      <c r="U639" s="224">
        <f>IF('WetLitterbags placem_collection'!G200="","",'WetLitterbags placem_collection'!G200)</f>
        <v>42813</v>
      </c>
      <c r="V639" s="225">
        <f t="shared" si="45"/>
        <v>44</v>
      </c>
      <c r="W639" s="223">
        <f t="shared" si="48"/>
        <v>1.3573</v>
      </c>
      <c r="X639" s="223">
        <f t="shared" si="49"/>
        <v>1.3006477091176145</v>
      </c>
      <c r="Y639">
        <f>IFERROR(INDEX(Rainfall_Wet!$O$2:$O$217,MATCH(B639, Rainfall_Wet!$A$2:$A$217,0)),"")</f>
        <v>175.054685654</v>
      </c>
      <c r="Z639" s="228">
        <v>19.96</v>
      </c>
      <c r="AA639" s="228">
        <v>4.9199999999999982</v>
      </c>
      <c r="AB639" s="228">
        <v>75.12</v>
      </c>
      <c r="AC639" s="229" t="s">
        <v>2655</v>
      </c>
      <c r="AD639" s="228">
        <v>1.641498275012321</v>
      </c>
      <c r="AE639">
        <f>IF('WetLitterbags placem_collection'!AB200="","",'WetLitterbags placem_collection'!AB200)</f>
        <v>7.9</v>
      </c>
      <c r="AF639">
        <f>IF('WetLitterbags placem_collection'!Z200="","",'WetLitterbags placem_collection'!Z200)</f>
        <v>7.9</v>
      </c>
      <c r="AG639" s="243" t="str">
        <f>IF('WetLitterbags placem_collection'!AA200="","",'WetLitterbags placem_collection'!AA200)</f>
        <v>O</v>
      </c>
      <c r="AH639">
        <f>IF('WetLitterbags placem_collection'!AC200="","",'WetLitterbags placem_collection'!AC200)</f>
        <v>1</v>
      </c>
      <c r="AI639" s="237">
        <f>AVERAGE('WetLitterbags placem_collection'!S200,'WetLitterbags placem_collection'!U200)</f>
        <v>20.9</v>
      </c>
      <c r="AJ639">
        <f>AVERAGE('WetLitterbags placem_collection'!R200,'WetLitterbags placem_collection'!T200)</f>
        <v>27.45</v>
      </c>
      <c r="AK639">
        <v>-2.4395990190000001</v>
      </c>
      <c r="AL639">
        <v>34.838418959999998</v>
      </c>
      <c r="AM639" t="str">
        <f>IF(ISNUMBER(SEARCH("C", 'WetLitterbags placem_collection'!$X200)),"YES","NO")</f>
        <v>NO</v>
      </c>
      <c r="AN639" t="str">
        <f>IF(ISNUMBER(SEARCH("H", 'WetLitterbags placem_collection'!$X200)),"YES","NO")</f>
        <v>NO</v>
      </c>
      <c r="AO639" t="str">
        <f>IF(ISNUMBER(SEARCH("R", 'WetLitterbags placem_collection'!$X200)),"YES","NO")</f>
        <v>YES</v>
      </c>
    </row>
    <row r="640" spans="1:41" ht="15" customHeight="1">
      <c r="A640" s="255" t="s">
        <v>2454</v>
      </c>
      <c r="B640" s="260">
        <f>'Dry_Litterbag Placem_Collection'!A201</f>
        <v>199</v>
      </c>
      <c r="C640" s="260" t="str">
        <f>'Dry_Litterbag Placem_Collection'!B201</f>
        <v>Makao</v>
      </c>
      <c r="D640" s="260" t="s">
        <v>2643</v>
      </c>
      <c r="E640" s="260" t="s">
        <v>2512</v>
      </c>
      <c r="F640" s="260">
        <v>1</v>
      </c>
      <c r="G640" s="260" t="s">
        <v>3808</v>
      </c>
      <c r="H640" s="261" t="str">
        <f>'Dry_Litterbag Placem_Collection'!C201</f>
        <v>Dry_P3_CG1</v>
      </c>
      <c r="I640" s="270" t="s">
        <v>3630</v>
      </c>
      <c r="J640" s="263" t="s">
        <v>1147</v>
      </c>
      <c r="K640" s="221" t="str">
        <f>'WetLitterbags placem_collection'!O201</f>
        <v>G712</v>
      </c>
      <c r="L640" s="223">
        <f>IFERROR(INDEX('Green_rooibos initial weight'!$C$5:$C$2000,MATCH(K640, 'Green_rooibos initial weight'!$A$5:$A$2000,0)),"")</f>
        <v>2.0630000000000002</v>
      </c>
      <c r="M640" s="223">
        <f>IFERROR(L640-(TBIcalc!$H$9+TBIcalc!$H$10),"")</f>
        <v>1.8132000000000001</v>
      </c>
      <c r="N640" s="385">
        <f>AVERAGE(Ashed_controlls!$K$2:$K$11)</f>
        <v>5.5147656768714146</v>
      </c>
      <c r="O640" s="223">
        <f t="shared" si="46"/>
        <v>1.7132062687469676</v>
      </c>
      <c r="P640" s="223">
        <f>IFERROR(INDEX('Both teabags AfterWet'!$C$3:$C$840,MATCH(K640,'Both teabags AfterWet'!$A$3:$A$840,0)),"")</f>
        <v>0.65500000000000003</v>
      </c>
      <c r="Q640" s="223">
        <f>IFERROR(IF(P640&gt;0,P640-(TBIcalc!$H$9),""),"")</f>
        <v>0.50439999999999996</v>
      </c>
      <c r="R640" s="223">
        <f>IFERROR(INDEX('Ashed teabags wet'!$K$2:$K$2000,MATCH(K640,'Ashed teabags wet'!$A$2:$A$2000,0)),"")</f>
        <v>8.8717454194792413</v>
      </c>
      <c r="S640" s="223">
        <f t="shared" si="47"/>
        <v>0.45965091610414666</v>
      </c>
      <c r="T640" s="224">
        <f>'WetLitterbags placem_collection'!E201</f>
        <v>42769</v>
      </c>
      <c r="U640" s="224">
        <f>IF('WetLitterbags placem_collection'!G201="","",'WetLitterbags placem_collection'!G201)</f>
        <v>42814</v>
      </c>
      <c r="V640" s="225">
        <f t="shared" si="45"/>
        <v>45</v>
      </c>
      <c r="W640" s="223">
        <f t="shared" si="48"/>
        <v>1.3088000000000002</v>
      </c>
      <c r="X640" s="223">
        <f t="shared" si="49"/>
        <v>1.2535553526428209</v>
      </c>
      <c r="Y640">
        <f>IFERROR(INDEX(Rainfall_Wet!$O$2:$O$217,MATCH(B640, Rainfall_Wet!$A$2:$A$217,0)),"")</f>
        <v>175.377105089</v>
      </c>
      <c r="Z640" s="228">
        <v>21.96</v>
      </c>
      <c r="AA640" s="228">
        <v>8.9199999999999982</v>
      </c>
      <c r="AB640" s="228">
        <v>69.12</v>
      </c>
      <c r="AC640" s="229" t="s">
        <v>2654</v>
      </c>
      <c r="AD640" s="228">
        <v>1.7491375061606702</v>
      </c>
      <c r="AE640">
        <f>IF('WetLitterbags placem_collection'!AB201="","",'WetLitterbags placem_collection'!AB201)</f>
        <v>13.8</v>
      </c>
      <c r="AF640">
        <f>IF('WetLitterbags placem_collection'!Z201="","",'WetLitterbags placem_collection'!Z201)</f>
        <v>17.399999999999999</v>
      </c>
      <c r="AG640" s="243" t="str">
        <f>IF('WetLitterbags placem_collection'!AA201="","",'WetLitterbags placem_collection'!AA201)</f>
        <v>O</v>
      </c>
      <c r="AH640">
        <f>IF('WetLitterbags placem_collection'!AC201="","",'WetLitterbags placem_collection'!AC201)</f>
        <v>1</v>
      </c>
      <c r="AI640" s="237">
        <f>AVERAGE('WetLitterbags placem_collection'!S201,'WetLitterbags placem_collection'!U201)</f>
        <v>18.149999999999999</v>
      </c>
      <c r="AJ640">
        <f>AVERAGE('WetLitterbags placem_collection'!R201,'WetLitterbags placem_collection'!T201)</f>
        <v>24.549999999999997</v>
      </c>
      <c r="AK640">
        <v>-2.439403972</v>
      </c>
      <c r="AL640">
        <v>34.838404959999998</v>
      </c>
      <c r="AM640" t="str">
        <f>IF(ISNUMBER(SEARCH("C", 'WetLitterbags placem_collection'!$X201)),"YES","NO")</f>
        <v>NO</v>
      </c>
      <c r="AN640" t="str">
        <f>IF(ISNUMBER(SEARCH("H", 'WetLitterbags placem_collection'!$X201)),"YES","NO")</f>
        <v>NO</v>
      </c>
      <c r="AO640" t="str">
        <f>IF(ISNUMBER(SEARCH("R", 'WetLitterbags placem_collection'!$X201)),"YES","NO")</f>
        <v>NO</v>
      </c>
    </row>
    <row r="641" spans="1:41" ht="15" customHeight="1">
      <c r="A641" s="255" t="s">
        <v>2454</v>
      </c>
      <c r="B641" s="260">
        <f>'Dry_Litterbag Placem_Collection'!A202</f>
        <v>200</v>
      </c>
      <c r="C641" s="260" t="str">
        <f>'Dry_Litterbag Placem_Collection'!B202</f>
        <v>Makao</v>
      </c>
      <c r="D641" s="260" t="s">
        <v>2643</v>
      </c>
      <c r="E641" s="260" t="s">
        <v>2512</v>
      </c>
      <c r="F641" s="260">
        <v>4</v>
      </c>
      <c r="G641" s="260" t="s">
        <v>3809</v>
      </c>
      <c r="H641" s="261" t="str">
        <f>'Dry_Litterbag Placem_Collection'!C202</f>
        <v>Dry_P4_CG4</v>
      </c>
      <c r="I641" s="270" t="s">
        <v>3630</v>
      </c>
      <c r="J641" s="263" t="s">
        <v>1147</v>
      </c>
      <c r="K641" s="221" t="str">
        <f>'WetLitterbags placem_collection'!O202</f>
        <v>G709</v>
      </c>
      <c r="L641" s="223">
        <f>IFERROR(INDEX('Green_rooibos initial weight'!$C$5:$C$2000,MATCH(K641, 'Green_rooibos initial weight'!$A$5:$A$2000,0)),"")</f>
        <v>1.9670000000000001</v>
      </c>
      <c r="M641" s="223">
        <f>IFERROR(L641-(TBIcalc!$H$9+TBIcalc!$H$10),"")</f>
        <v>1.7172000000000001</v>
      </c>
      <c r="N641" s="385">
        <f>AVERAGE(Ashed_controlls!$K$2:$K$11)</f>
        <v>5.5147656768714146</v>
      </c>
      <c r="O641" s="223">
        <f t="shared" si="46"/>
        <v>1.6225004437967641</v>
      </c>
      <c r="P641" s="223">
        <f>IFERROR(INDEX('Both teabags AfterWet'!$C$3:$C$840,MATCH(K641,'Both teabags AfterWet'!$A$3:$A$840,0)),"")</f>
        <v>0.56469999999999998</v>
      </c>
      <c r="Q641" s="223">
        <f>IFERROR(IF(P641&gt;0,P641-(TBIcalc!$H$9),""),"")</f>
        <v>0.41409999999999997</v>
      </c>
      <c r="R641" s="223">
        <f>IFERROR(INDEX('Ashed teabags wet'!$K$2:$K$2000,MATCH(K641,'Ashed teabags wet'!$A$2:$A$2000,0)),"")</f>
        <v>9.8409542743538694</v>
      </c>
      <c r="S641" s="223">
        <f t="shared" si="47"/>
        <v>0.37334860834990058</v>
      </c>
      <c r="T641" s="224">
        <f>'WetLitterbags placem_collection'!E202</f>
        <v>42769</v>
      </c>
      <c r="U641" s="224">
        <f>IF('WetLitterbags placem_collection'!G202="","",'WetLitterbags placem_collection'!G202)</f>
        <v>42813</v>
      </c>
      <c r="V641" s="225">
        <f t="shared" si="45"/>
        <v>44</v>
      </c>
      <c r="W641" s="223">
        <f t="shared" si="48"/>
        <v>1.3031000000000001</v>
      </c>
      <c r="X641" s="223">
        <f t="shared" si="49"/>
        <v>1.2491518354468636</v>
      </c>
      <c r="Y641">
        <f>IFERROR(INDEX(Rainfall_Wet!$O$2:$O$217,MATCH(B641, Rainfall_Wet!$A$2:$A$217,0)),"")</f>
        <v>175.054685654</v>
      </c>
      <c r="Z641" s="228">
        <v>25.96</v>
      </c>
      <c r="AA641" s="228">
        <v>6.9200000000000008</v>
      </c>
      <c r="AB641" s="228">
        <v>67.12</v>
      </c>
      <c r="AC641" s="229" t="s">
        <v>2654</v>
      </c>
      <c r="AD641" s="228">
        <v>1.7568260226712666</v>
      </c>
      <c r="AE641">
        <f>IF('WetLitterbags placem_collection'!AB202="","",'WetLitterbags placem_collection'!AB202)</f>
        <v>15.2</v>
      </c>
      <c r="AF641">
        <f>IF('WetLitterbags placem_collection'!Z202="","",'WetLitterbags placem_collection'!Z202)</f>
        <v>12.2</v>
      </c>
      <c r="AG641" s="243" t="str">
        <f>IF('WetLitterbags placem_collection'!AA202="","",'WetLitterbags placem_collection'!AA202)</f>
        <v>O</v>
      </c>
      <c r="AH641">
        <f>IF('WetLitterbags placem_collection'!AC202="","",'WetLitterbags placem_collection'!AC202)</f>
        <v>1</v>
      </c>
      <c r="AI641" s="237">
        <f>AVERAGE('WetLitterbags placem_collection'!S202,'WetLitterbags placem_collection'!U202)</f>
        <v>22.799999999999997</v>
      </c>
      <c r="AJ641">
        <f>AVERAGE('WetLitterbags placem_collection'!R202,'WetLitterbags placem_collection'!T202)</f>
        <v>27.9</v>
      </c>
      <c r="AK641">
        <v>-2.4396949910000001</v>
      </c>
      <c r="AL641">
        <v>34.838574029999997</v>
      </c>
      <c r="AM641" t="str">
        <f>IF(ISNUMBER(SEARCH("C", 'WetLitterbags placem_collection'!$X202)),"YES","NO")</f>
        <v>NO</v>
      </c>
      <c r="AN641" t="str">
        <f>IF(ISNUMBER(SEARCH("H", 'WetLitterbags placem_collection'!$X202)),"YES","NO")</f>
        <v>NO</v>
      </c>
      <c r="AO641" t="str">
        <f>IF(ISNUMBER(SEARCH("R", 'WetLitterbags placem_collection'!$X202)),"YES","NO")</f>
        <v>YES</v>
      </c>
    </row>
    <row r="642" spans="1:41" ht="15" customHeight="1">
      <c r="A642" s="255" t="s">
        <v>2454</v>
      </c>
      <c r="B642" s="260">
        <f>'Dry_Litterbag Placem_Collection'!A203</f>
        <v>201</v>
      </c>
      <c r="C642" s="260" t="str">
        <f>'Dry_Litterbag Placem_Collection'!B203</f>
        <v>Maswa</v>
      </c>
      <c r="D642" s="260" t="s">
        <v>2643</v>
      </c>
      <c r="E642" s="260" t="s">
        <v>2512</v>
      </c>
      <c r="F642" s="260">
        <v>4</v>
      </c>
      <c r="G642" s="260" t="s">
        <v>3813</v>
      </c>
      <c r="H642" s="261" t="str">
        <f>'Dry_Litterbag Placem_Collection'!C203</f>
        <v>Dry_W3_CG4</v>
      </c>
      <c r="I642" s="270" t="s">
        <v>3630</v>
      </c>
      <c r="J642" s="263" t="s">
        <v>1147</v>
      </c>
      <c r="K642" s="221" t="str">
        <f>'WetLitterbags placem_collection'!O203</f>
        <v>G707</v>
      </c>
      <c r="L642" s="223">
        <f>IFERROR(INDEX('Green_rooibos initial weight'!$C$5:$C$2000,MATCH(K642, 'Green_rooibos initial weight'!$A$5:$A$2000,0)),"")</f>
        <v>2.008</v>
      </c>
      <c r="M642" s="223">
        <f>IFERROR(L642-(TBIcalc!$H$9+TBIcalc!$H$10),"")</f>
        <v>1.7582</v>
      </c>
      <c r="N642" s="385">
        <f>AVERAGE(Ashed_controlls!$K$2:$K$11)</f>
        <v>5.5147656768714146</v>
      </c>
      <c r="O642" s="223">
        <f t="shared" si="46"/>
        <v>1.6612393898692468</v>
      </c>
      <c r="P642" s="223">
        <f>IFERROR(INDEX('Both teabags AfterWet'!$C$3:$C$840,MATCH(K642,'Both teabags AfterWet'!$A$3:$A$840,0)),"")</f>
        <v>0.63959999999999995</v>
      </c>
      <c r="Q642" s="223">
        <f>IFERROR(IF(P642&gt;0,P642-(TBIcalc!$H$9),""),"")</f>
        <v>0.48899999999999993</v>
      </c>
      <c r="R642" s="223">
        <f>IFERROR(INDEX('Ashed teabags wet'!$K$2:$K$2000,MATCH(K642,'Ashed teabags wet'!$A$2:$A$2000,0)),"")</f>
        <v>12.14457831325316</v>
      </c>
      <c r="S642" s="223">
        <f t="shared" si="47"/>
        <v>0.42961301204819197</v>
      </c>
      <c r="T642" s="224">
        <f>'WetLitterbags placem_collection'!E203</f>
        <v>42769</v>
      </c>
      <c r="U642" s="224">
        <f>IF('WetLitterbags placem_collection'!G203="","",'WetLitterbags placem_collection'!G203)</f>
        <v>42813</v>
      </c>
      <c r="V642" s="225">
        <f t="shared" ref="V642:V705" si="50">IFERROR(U642-T642,"")</f>
        <v>44</v>
      </c>
      <c r="W642" s="223">
        <f t="shared" si="48"/>
        <v>1.2692000000000001</v>
      </c>
      <c r="X642" s="223">
        <f t="shared" si="49"/>
        <v>1.2316263778210548</v>
      </c>
      <c r="Y642">
        <f>IFERROR(INDEX(Rainfall_Wet!$O$2:$O$217,MATCH(B642, Rainfall_Wet!$A$2:$A$217,0)),"")</f>
        <v>175.054685654</v>
      </c>
      <c r="Z642" s="228">
        <v>38.691629007962128</v>
      </c>
      <c r="AA642" s="228">
        <v>26.81299763288143</v>
      </c>
      <c r="AB642" s="228">
        <v>34.495373359156439</v>
      </c>
      <c r="AC642" s="229" t="s">
        <v>2659</v>
      </c>
      <c r="AD642" s="228">
        <v>2.5483587974371611</v>
      </c>
      <c r="AE642">
        <f>IF('WetLitterbags placem_collection'!AB203="","",'WetLitterbags placem_collection'!AB203)</f>
        <v>15.2</v>
      </c>
      <c r="AF642">
        <f>IF('WetLitterbags placem_collection'!Z203="","",'WetLitterbags placem_collection'!Z203)</f>
        <v>12.2</v>
      </c>
      <c r="AG642" s="243" t="str">
        <f>IF('WetLitterbags placem_collection'!AA203="","",'WetLitterbags placem_collection'!AA203)</f>
        <v>O</v>
      </c>
      <c r="AH642">
        <f>IF('WetLitterbags placem_collection'!AC203="","",'WetLitterbags placem_collection'!AC203)</f>
        <v>1</v>
      </c>
      <c r="AI642" s="237">
        <f>AVERAGE('WetLitterbags placem_collection'!S203,'WetLitterbags placem_collection'!U203)</f>
        <v>22</v>
      </c>
      <c r="AJ642">
        <f>AVERAGE('WetLitterbags placem_collection'!R203,'WetLitterbags placem_collection'!T203)</f>
        <v>28</v>
      </c>
      <c r="AK642">
        <v>-2.4396949910000001</v>
      </c>
      <c r="AL642">
        <v>34.838574029999997</v>
      </c>
      <c r="AM642" t="str">
        <f>IF(ISNUMBER(SEARCH("C", 'WetLitterbags placem_collection'!$X203)),"YES","NO")</f>
        <v>NO</v>
      </c>
      <c r="AN642" t="str">
        <f>IF(ISNUMBER(SEARCH("H", 'WetLitterbags placem_collection'!$X203)),"YES","NO")</f>
        <v>NO</v>
      </c>
      <c r="AO642" t="str">
        <f>IF(ISNUMBER(SEARCH("R", 'WetLitterbags placem_collection'!$X203)),"YES","NO")</f>
        <v>YES</v>
      </c>
    </row>
    <row r="643" spans="1:41" ht="15" customHeight="1">
      <c r="A643" s="255" t="s">
        <v>2454</v>
      </c>
      <c r="B643" s="260">
        <f>'Dry_Litterbag Placem_Collection'!A204</f>
        <v>202</v>
      </c>
      <c r="C643" s="260" t="str">
        <f>'Dry_Litterbag Placem_Collection'!B204</f>
        <v>Maswa</v>
      </c>
      <c r="D643" s="260" t="s">
        <v>2643</v>
      </c>
      <c r="E643" s="260" t="s">
        <v>2512</v>
      </c>
      <c r="F643" s="260">
        <v>1</v>
      </c>
      <c r="G643" s="260" t="s">
        <v>3812</v>
      </c>
      <c r="H643" s="261" t="str">
        <f>'Dry_Litterbag Placem_Collection'!C204</f>
        <v>Dry_W2_CG1</v>
      </c>
      <c r="I643" s="270" t="s">
        <v>3630</v>
      </c>
      <c r="J643" s="263" t="s">
        <v>1147</v>
      </c>
      <c r="K643" s="221" t="str">
        <f>'WetLitterbags placem_collection'!O204</f>
        <v>G770</v>
      </c>
      <c r="L643" s="223">
        <f>IFERROR(INDEX('Green_rooibos initial weight'!$C$5:$C$2000,MATCH(K643, 'Green_rooibos initial weight'!$A$5:$A$2000,0)),"")</f>
        <v>1.958</v>
      </c>
      <c r="M643" s="223">
        <f>IFERROR(L643-(TBIcalc!$H$9+TBIcalc!$H$10),"")</f>
        <v>1.7081999999999999</v>
      </c>
      <c r="N643" s="385">
        <f>AVERAGE(Ashed_controlls!$K$2:$K$11)</f>
        <v>5.5147656768714146</v>
      </c>
      <c r="O643" s="223">
        <f t="shared" ref="O643:O706" si="51">IFERROR(M643-(N643/100)*M643,"")</f>
        <v>1.6139967727076825</v>
      </c>
      <c r="P643" s="223">
        <f>IFERROR(INDEX('Both teabags AfterWet'!$C$3:$C$840,MATCH(K643,'Both teabags AfterWet'!$A$3:$A$840,0)),"")</f>
        <v>0.98199999999999998</v>
      </c>
      <c r="Q643" s="223">
        <f>IFERROR(IF(P643&gt;0,P643-(TBIcalc!$H$9),""),"")</f>
        <v>0.83139999999999992</v>
      </c>
      <c r="R643" s="223">
        <f>IFERROR(INDEX('Ashed teabags wet'!$K$2:$K$2000,MATCH(K643,'Ashed teabags wet'!$A$2:$A$2000,0)),"")</f>
        <v>31.965648854961913</v>
      </c>
      <c r="S643" s="223">
        <f t="shared" ref="S643:S706" si="52">IFERROR(Q643-(R643/100)*Q643,"")</f>
        <v>0.56563759541984659</v>
      </c>
      <c r="T643" s="224">
        <f>'WetLitterbags placem_collection'!E204</f>
        <v>42769</v>
      </c>
      <c r="U643" s="224">
        <f>IF('WetLitterbags placem_collection'!G204="","",'WetLitterbags placem_collection'!G204)</f>
        <v>42814</v>
      </c>
      <c r="V643" s="225">
        <f t="shared" si="50"/>
        <v>45</v>
      </c>
      <c r="W643" s="223">
        <f t="shared" ref="W643:W706" si="53">IFERROR(M643-Q643,"")</f>
        <v>0.87680000000000002</v>
      </c>
      <c r="X643" s="223">
        <f t="shared" ref="X643:X706" si="54">IFERROR(O643-S643,"")</f>
        <v>1.048359177287836</v>
      </c>
      <c r="Y643">
        <f>IFERROR(INDEX(Rainfall_Wet!$O$2:$O$217,MATCH(B643, Rainfall_Wet!$A$2:$A$217,0)),"")</f>
        <v>175.377105089</v>
      </c>
      <c r="Z643" s="228">
        <v>45.272914521112256</v>
      </c>
      <c r="AA643" s="228">
        <v>23.604531410916575</v>
      </c>
      <c r="AB643" s="228">
        <v>31.122554067971166</v>
      </c>
      <c r="AC643" s="229" t="s">
        <v>2657</v>
      </c>
      <c r="AD643" s="228">
        <v>2.0547560374568752</v>
      </c>
      <c r="AE643">
        <f>IF('WetLitterbags placem_collection'!AB204="","",'WetLitterbags placem_collection'!AB204)</f>
        <v>13.8</v>
      </c>
      <c r="AF643">
        <f>IF('WetLitterbags placem_collection'!Z204="","",'WetLitterbags placem_collection'!Z204)</f>
        <v>17.399999999999999</v>
      </c>
      <c r="AG643" s="243" t="str">
        <f>IF('WetLitterbags placem_collection'!AA204="","",'WetLitterbags placem_collection'!AA204)</f>
        <v>O</v>
      </c>
      <c r="AH643">
        <f>IF('WetLitterbags placem_collection'!AC204="","",'WetLitterbags placem_collection'!AC204)</f>
        <v>1</v>
      </c>
      <c r="AI643" s="237">
        <f>AVERAGE('WetLitterbags placem_collection'!S204,'WetLitterbags placem_collection'!U204)</f>
        <v>20.65</v>
      </c>
      <c r="AJ643">
        <f>AVERAGE('WetLitterbags placem_collection'!R204,'WetLitterbags placem_collection'!T204)</f>
        <v>24.1</v>
      </c>
      <c r="AK643">
        <v>-2.439403972</v>
      </c>
      <c r="AL643">
        <v>34.838404959999998</v>
      </c>
      <c r="AM643" t="str">
        <f>IF(ISNUMBER(SEARCH("C", 'WetLitterbags placem_collection'!$X204)),"YES","NO")</f>
        <v>NO</v>
      </c>
      <c r="AN643" t="str">
        <f>IF(ISNUMBER(SEARCH("H", 'WetLitterbags placem_collection'!$X204)),"YES","NO")</f>
        <v>NO</v>
      </c>
      <c r="AO643" t="str">
        <f>IF(ISNUMBER(SEARCH("R", 'WetLitterbags placem_collection'!$X204)),"YES","NO")</f>
        <v>YES</v>
      </c>
    </row>
    <row r="644" spans="1:41" ht="15" customHeight="1">
      <c r="A644" s="255" t="s">
        <v>2454</v>
      </c>
      <c r="B644" s="260">
        <f>'Dry_Litterbag Placem_Collection'!A205</f>
        <v>203</v>
      </c>
      <c r="C644" s="260" t="str">
        <f>'Dry_Litterbag Placem_Collection'!B205</f>
        <v>Maswa</v>
      </c>
      <c r="D644" s="260" t="s">
        <v>2643</v>
      </c>
      <c r="E644" s="260" t="s">
        <v>2512</v>
      </c>
      <c r="F644" s="260">
        <v>2</v>
      </c>
      <c r="G644" s="260" t="s">
        <v>3810</v>
      </c>
      <c r="H644" s="261" t="str">
        <f>'Dry_Litterbag Placem_Collection'!C205</f>
        <v>Dry_W1_CG2</v>
      </c>
      <c r="I644" s="270" t="s">
        <v>3630</v>
      </c>
      <c r="J644" s="263" t="s">
        <v>1147</v>
      </c>
      <c r="K644" s="221" t="str">
        <f>'WetLitterbags placem_collection'!O205</f>
        <v>G753</v>
      </c>
      <c r="L644" s="223">
        <f>IFERROR(INDEX('Green_rooibos initial weight'!$C$5:$C$2000,MATCH(K644, 'Green_rooibos initial weight'!$A$5:$A$2000,0)),"")</f>
        <v>2.0649999999999999</v>
      </c>
      <c r="M644" s="223">
        <f>IFERROR(L644-(TBIcalc!$H$9+TBIcalc!$H$10),"")</f>
        <v>1.8151999999999999</v>
      </c>
      <c r="N644" s="385">
        <f>AVERAGE(Ashed_controlls!$K$2:$K$11)</f>
        <v>5.5147656768714146</v>
      </c>
      <c r="O644" s="223">
        <f t="shared" si="51"/>
        <v>1.7150959734334301</v>
      </c>
      <c r="P644" s="223">
        <f>IFERROR(INDEX('Both teabags AfterWet'!$C$3:$C$840,MATCH(K644,'Both teabags AfterWet'!$A$3:$A$840,0)),"")</f>
        <v>0.7681</v>
      </c>
      <c r="Q644" s="223">
        <f>IFERROR(IF(P644&gt;0,P644-(TBIcalc!$H$9),""),"")</f>
        <v>0.61749999999999994</v>
      </c>
      <c r="R644" s="223">
        <f>IFERROR(INDEX('Ashed teabags wet'!$K$2:$K$2000,MATCH(K644,'Ashed teabags wet'!$A$2:$A$2000,0)),"")</f>
        <v>9.4330155544412708</v>
      </c>
      <c r="S644" s="223">
        <f t="shared" si="52"/>
        <v>0.55925112895132512</v>
      </c>
      <c r="T644" s="224">
        <f>'WetLitterbags placem_collection'!E205</f>
        <v>42769</v>
      </c>
      <c r="U644" s="224">
        <f>IF('WetLitterbags placem_collection'!G205="","",'WetLitterbags placem_collection'!G205)</f>
        <v>42814</v>
      </c>
      <c r="V644" s="225">
        <f t="shared" si="50"/>
        <v>45</v>
      </c>
      <c r="W644" s="223">
        <f t="shared" si="53"/>
        <v>1.1977</v>
      </c>
      <c r="X644" s="223">
        <f t="shared" si="54"/>
        <v>1.155844844482105</v>
      </c>
      <c r="Y644">
        <f>IFERROR(INDEX(Rainfall_Wet!$O$2:$O$217,MATCH(B644, Rainfall_Wet!$A$2:$A$217,0)),"")</f>
        <v>175.377105089</v>
      </c>
      <c r="Z644" s="228">
        <v>47.96</v>
      </c>
      <c r="AA644" s="228">
        <v>22.919999999999995</v>
      </c>
      <c r="AB644" s="228">
        <v>29.120000000000012</v>
      </c>
      <c r="AC644" s="229" t="s">
        <v>2657</v>
      </c>
      <c r="AD644" s="228">
        <v>2.8831936914736325</v>
      </c>
      <c r="AE644">
        <f>IF('WetLitterbags placem_collection'!AB205="","",'WetLitterbags placem_collection'!AB205)</f>
        <v>5.13</v>
      </c>
      <c r="AF644">
        <f>IF('WetLitterbags placem_collection'!Z205="","",'WetLitterbags placem_collection'!Z205)</f>
        <v>5.13</v>
      </c>
      <c r="AG644" s="243" t="str">
        <f>IF('WetLitterbags placem_collection'!AA205="","",'WetLitterbags placem_collection'!AA205)</f>
        <v>O</v>
      </c>
      <c r="AH644">
        <f>IF('WetLitterbags placem_collection'!AC205="","",'WetLitterbags placem_collection'!AC205)</f>
        <v>1</v>
      </c>
      <c r="AI644" s="237">
        <f>AVERAGE('WetLitterbags placem_collection'!S205,'WetLitterbags placem_collection'!U205)</f>
        <v>27</v>
      </c>
      <c r="AJ644">
        <f>AVERAGE('WetLitterbags placem_collection'!R205,'WetLitterbags placem_collection'!T205)</f>
        <v>28.4</v>
      </c>
      <c r="AK644">
        <v>-2.4396450349999999</v>
      </c>
      <c r="AL644">
        <v>34.83836599</v>
      </c>
      <c r="AM644" t="str">
        <f>IF(ISNUMBER(SEARCH("C", 'WetLitterbags placem_collection'!$X205)),"YES","NO")</f>
        <v>NO</v>
      </c>
      <c r="AN644" t="str">
        <f>IF(ISNUMBER(SEARCH("H", 'WetLitterbags placem_collection'!$X205)),"YES","NO")</f>
        <v>NO</v>
      </c>
      <c r="AO644" t="str">
        <f>IF(ISNUMBER(SEARCH("R", 'WetLitterbags placem_collection'!$X205)),"YES","NO")</f>
        <v>YES</v>
      </c>
    </row>
    <row r="645" spans="1:41" ht="15" customHeight="1">
      <c r="A645" s="255" t="s">
        <v>2454</v>
      </c>
      <c r="B645" s="260">
        <f>'Dry_Litterbag Placem_Collection'!A206</f>
        <v>204</v>
      </c>
      <c r="C645" s="260" t="str">
        <f>'Dry_Litterbag Placem_Collection'!B206</f>
        <v>Maswa</v>
      </c>
      <c r="D645" s="260" t="s">
        <v>2643</v>
      </c>
      <c r="E645" s="260" t="s">
        <v>2512</v>
      </c>
      <c r="F645" s="260">
        <v>3</v>
      </c>
      <c r="G645" s="260" t="s">
        <v>3814</v>
      </c>
      <c r="H645" s="261" t="str">
        <f>'Dry_Litterbag Placem_Collection'!C206</f>
        <v>Dry_W4_CG3</v>
      </c>
      <c r="I645" s="270" t="s">
        <v>3630</v>
      </c>
      <c r="J645" s="263" t="s">
        <v>1147</v>
      </c>
      <c r="K645" s="221" t="str">
        <f>'WetLitterbags placem_collection'!O206</f>
        <v>G640</v>
      </c>
      <c r="L645" s="223">
        <f>IFERROR(INDEX('Green_rooibos initial weight'!$C$5:$C$2000,MATCH(K645, 'Green_rooibos initial weight'!$A$5:$A$2000,0)),"")</f>
        <v>2.0640000000000001</v>
      </c>
      <c r="M645" s="223">
        <f>IFERROR(L645-(TBIcalc!$H$9+TBIcalc!$H$10),"")</f>
        <v>1.8142</v>
      </c>
      <c r="N645" s="385">
        <f>AVERAGE(Ashed_controlls!$K$2:$K$11)</f>
        <v>5.5147656768714146</v>
      </c>
      <c r="O645" s="223">
        <f t="shared" si="51"/>
        <v>1.7141511210901987</v>
      </c>
      <c r="P645" s="223">
        <f>IFERROR(INDEX('Both teabags AfterWet'!$C$3:$C$840,MATCH(K645,'Both teabags AfterWet'!$A$3:$A$840,0)),"")</f>
        <v>0.72450000000000003</v>
      </c>
      <c r="Q645" s="223">
        <f>IFERROR(IF(P645&gt;0,P645-(TBIcalc!$H$9),""),"")</f>
        <v>0.57390000000000008</v>
      </c>
      <c r="R645" s="223">
        <f>IFERROR(INDEX('Ashed teabags wet'!$K$2:$K$2000,MATCH(K645,'Ashed teabags wet'!$A$2:$A$2000,0)),"")</f>
        <v>11.573849878934253</v>
      </c>
      <c r="S645" s="223">
        <f t="shared" si="52"/>
        <v>0.50747767554479639</v>
      </c>
      <c r="T645" s="224">
        <f>'WetLitterbags placem_collection'!E206</f>
        <v>42769</v>
      </c>
      <c r="U645" s="224">
        <f>IF('WetLitterbags placem_collection'!G206="","",'WetLitterbags placem_collection'!G206)</f>
        <v>42813</v>
      </c>
      <c r="V645" s="225">
        <f t="shared" si="50"/>
        <v>44</v>
      </c>
      <c r="W645" s="223">
        <f t="shared" si="53"/>
        <v>1.2403</v>
      </c>
      <c r="X645" s="223">
        <f t="shared" si="54"/>
        <v>1.2066734455454022</v>
      </c>
      <c r="Y645">
        <f>IFERROR(INDEX(Rainfall_Wet!$O$2:$O$217,MATCH(B645, Rainfall_Wet!$A$2:$A$217,0)),"")</f>
        <v>175.054685654</v>
      </c>
      <c r="Z645" s="228">
        <v>28.145762029394</v>
      </c>
      <c r="AA645" s="228">
        <v>25.085564727199518</v>
      </c>
      <c r="AB645" s="228">
        <v>46.768673243406489</v>
      </c>
      <c r="AC645" s="229" t="s">
        <v>2654</v>
      </c>
      <c r="AD645" s="228">
        <v>2.1716214884179394</v>
      </c>
      <c r="AE645">
        <f>IF('WetLitterbags placem_collection'!AB206="","",'WetLitterbags placem_collection'!AB206)</f>
        <v>7.9</v>
      </c>
      <c r="AF645">
        <f>IF('WetLitterbags placem_collection'!Z206="","",'WetLitterbags placem_collection'!Z206)</f>
        <v>7.9</v>
      </c>
      <c r="AG645" s="243" t="str">
        <f>IF('WetLitterbags placem_collection'!AA206="","",'WetLitterbags placem_collection'!AA206)</f>
        <v>O</v>
      </c>
      <c r="AH645">
        <f>IF('WetLitterbags placem_collection'!AC206="","",'WetLitterbags placem_collection'!AC206)</f>
        <v>1</v>
      </c>
      <c r="AI645" s="237">
        <f>AVERAGE('WetLitterbags placem_collection'!S206,'WetLitterbags placem_collection'!U206)</f>
        <v>21.6</v>
      </c>
      <c r="AJ645">
        <f>AVERAGE('WetLitterbags placem_collection'!R206,'WetLitterbags placem_collection'!T206)</f>
        <v>30.950000000000003</v>
      </c>
      <c r="AK645">
        <v>-2.4395990190000001</v>
      </c>
      <c r="AL645">
        <v>34.838418959999998</v>
      </c>
      <c r="AM645" t="str">
        <f>IF(ISNUMBER(SEARCH("C", 'WetLitterbags placem_collection'!$X206)),"YES","NO")</f>
        <v>NO</v>
      </c>
      <c r="AN645" t="str">
        <f>IF(ISNUMBER(SEARCH("H", 'WetLitterbags placem_collection'!$X206)),"YES","NO")</f>
        <v>NO</v>
      </c>
      <c r="AO645" t="str">
        <f>IF(ISNUMBER(SEARCH("R", 'WetLitterbags placem_collection'!$X206)),"YES","NO")</f>
        <v>YES</v>
      </c>
    </row>
    <row r="646" spans="1:41" ht="15" customHeight="1">
      <c r="A646" s="255" t="s">
        <v>2454</v>
      </c>
      <c r="B646" s="260">
        <f>'Dry_Litterbag Placem_Collection'!A207</f>
        <v>205</v>
      </c>
      <c r="C646" s="260" t="str">
        <f>'Dry_Litterbag Placem_Collection'!B207</f>
        <v xml:space="preserve">Mwantimba
</v>
      </c>
      <c r="D646" s="260" t="s">
        <v>2454</v>
      </c>
      <c r="E646" s="260" t="s">
        <v>2512</v>
      </c>
      <c r="F646" s="260">
        <v>2</v>
      </c>
      <c r="G646" s="260" t="s">
        <v>3815</v>
      </c>
      <c r="H646" s="261" t="str">
        <f>'Dry_Litterbag Placem_Collection'!C207</f>
        <v>Wet_Ag1_CG2</v>
      </c>
      <c r="I646" s="270" t="s">
        <v>3630</v>
      </c>
      <c r="J646" s="263" t="s">
        <v>1147</v>
      </c>
      <c r="K646" s="221" t="str">
        <f>'WetLitterbags placem_collection'!O207</f>
        <v>G668</v>
      </c>
      <c r="L646" s="223">
        <f>IFERROR(INDEX('Green_rooibos initial weight'!$C$5:$C$2000,MATCH(K646, 'Green_rooibos initial weight'!$A$5:$A$2000,0)),"")</f>
        <v>2.0299999999999998</v>
      </c>
      <c r="M646" s="223">
        <f>IFERROR(L646-(TBIcalc!$H$9+TBIcalc!$H$10),"")</f>
        <v>1.7801999999999998</v>
      </c>
      <c r="N646" s="385">
        <f>AVERAGE(Ashed_controlls!$K$2:$K$11)</f>
        <v>5.5147656768714146</v>
      </c>
      <c r="O646" s="223">
        <f t="shared" si="51"/>
        <v>1.6820261414203348</v>
      </c>
      <c r="P646" s="223">
        <f>IFERROR(INDEX('Both teabags AfterWet'!$C$3:$C$840,MATCH(K646,'Both teabags AfterWet'!$A$3:$A$840,0)),"")</f>
        <v>0.71</v>
      </c>
      <c r="Q646" s="223">
        <f>IFERROR(IF(P646&gt;0,P646-(TBIcalc!$H$9),""),"")</f>
        <v>0.5593999999999999</v>
      </c>
      <c r="R646" s="223">
        <f>IFERROR(INDEX('Ashed teabags wet'!$K$2:$K$2000,MATCH(K646,'Ashed teabags wet'!$A$2:$A$2000,0)),"")</f>
        <v>17.813567593948214</v>
      </c>
      <c r="S646" s="223">
        <f t="shared" si="52"/>
        <v>0.45975090287945358</v>
      </c>
      <c r="T646" s="224">
        <f>'WetLitterbags placem_collection'!E207</f>
        <v>42769</v>
      </c>
      <c r="U646" s="224">
        <f>IF('WetLitterbags placem_collection'!G207="","",'WetLitterbags placem_collection'!G207)</f>
        <v>42814</v>
      </c>
      <c r="V646" s="225">
        <f t="shared" si="50"/>
        <v>45</v>
      </c>
      <c r="W646" s="223">
        <f t="shared" si="53"/>
        <v>1.2207999999999999</v>
      </c>
      <c r="X646" s="223">
        <f t="shared" si="54"/>
        <v>1.2222752385408813</v>
      </c>
      <c r="Y646">
        <f>IFERROR(INDEX(Rainfall_Wet!$O$2:$O$217,MATCH(B646, Rainfall_Wet!$A$2:$A$217,0)),"")</f>
        <v>175.377105089</v>
      </c>
      <c r="Z646" s="228">
        <v>45.96</v>
      </c>
      <c r="AA646" s="228">
        <v>14.920000000000003</v>
      </c>
      <c r="AB646" s="228">
        <v>39.119999999999997</v>
      </c>
      <c r="AC646" s="229" t="s">
        <v>2657</v>
      </c>
      <c r="AD646" s="228">
        <v>2.0374568753080333</v>
      </c>
      <c r="AE646">
        <f>IF('WetLitterbags placem_collection'!AB207="","",'WetLitterbags placem_collection'!AB207)</f>
        <v>5.13</v>
      </c>
      <c r="AF646">
        <f>IF('WetLitterbags placem_collection'!Z207="","",'WetLitterbags placem_collection'!Z207)</f>
        <v>5.13</v>
      </c>
      <c r="AG646" s="243" t="str">
        <f>IF('WetLitterbags placem_collection'!AA207="","",'WetLitterbags placem_collection'!AA207)</f>
        <v>O</v>
      </c>
      <c r="AH646">
        <f>IF('WetLitterbags placem_collection'!AC207="","",'WetLitterbags placem_collection'!AC207)</f>
        <v>1</v>
      </c>
      <c r="AI646" s="237">
        <f>AVERAGE('WetLitterbags placem_collection'!S207,'WetLitterbags placem_collection'!U207)</f>
        <v>24.45</v>
      </c>
      <c r="AJ646">
        <f>AVERAGE('WetLitterbags placem_collection'!R207,'WetLitterbags placem_collection'!T207)</f>
        <v>26.299999999999997</v>
      </c>
      <c r="AK646">
        <v>-2.4396450349999999</v>
      </c>
      <c r="AL646">
        <v>34.83836599</v>
      </c>
      <c r="AM646" t="str">
        <f>IF(ISNUMBER(SEARCH("C", 'WetLitterbags placem_collection'!$X207)),"YES","NO")</f>
        <v>NO</v>
      </c>
      <c r="AN646" t="str">
        <f>IF(ISNUMBER(SEARCH("H", 'WetLitterbags placem_collection'!$X207)),"YES","NO")</f>
        <v>NO</v>
      </c>
      <c r="AO646" t="str">
        <f>IF(ISNUMBER(SEARCH("R", 'WetLitterbags placem_collection'!$X207)),"YES","NO")</f>
        <v>YES</v>
      </c>
    </row>
    <row r="647" spans="1:41" ht="15" customHeight="1">
      <c r="A647" s="255" t="s">
        <v>2454</v>
      </c>
      <c r="B647" s="260">
        <f>'Dry_Litterbag Placem_Collection'!A208</f>
        <v>206</v>
      </c>
      <c r="C647" s="260" t="str">
        <f>'Dry_Litterbag Placem_Collection'!B208</f>
        <v xml:space="preserve">Mwantimba
</v>
      </c>
      <c r="D647" s="260" t="s">
        <v>2454</v>
      </c>
      <c r="E647" s="260" t="s">
        <v>2512</v>
      </c>
      <c r="F647" s="260">
        <v>1</v>
      </c>
      <c r="G647" s="260" t="s">
        <v>3817</v>
      </c>
      <c r="H647" s="261" t="str">
        <f>'Dry_Litterbag Placem_Collection'!C208</f>
        <v>Wet_Ag2_CG1</v>
      </c>
      <c r="I647" s="270" t="s">
        <v>3630</v>
      </c>
      <c r="J647" s="263" t="s">
        <v>1147</v>
      </c>
      <c r="K647" s="221" t="str">
        <f>'WetLitterbags placem_collection'!O208</f>
        <v>G891</v>
      </c>
      <c r="L647" s="223">
        <f>IFERROR(INDEX('Green_rooibos initial weight'!$C$5:$C$2000,MATCH(K647, 'Green_rooibos initial weight'!$A$5:$A$2000,0)),"")</f>
        <v>2.0169999999999999</v>
      </c>
      <c r="M647" s="223">
        <f>IFERROR(L647-(TBIcalc!$H$9+TBIcalc!$H$10),"")</f>
        <v>1.7671999999999999</v>
      </c>
      <c r="N647" s="385">
        <f>AVERAGE(Ashed_controlls!$K$2:$K$11)</f>
        <v>5.5147656768714146</v>
      </c>
      <c r="O647" s="223">
        <f t="shared" si="51"/>
        <v>1.6697430609583281</v>
      </c>
      <c r="P647" s="223">
        <f>IFERROR(INDEX('Both teabags AfterWet'!$C$3:$C$840,MATCH(K647,'Both teabags AfterWet'!$A$3:$A$840,0)),"")</f>
        <v>0.70199999999999996</v>
      </c>
      <c r="Q647" s="223">
        <f>IFERROR(IF(P647&gt;0,P647-(TBIcalc!$H$9),""),"")</f>
        <v>0.55139999999999989</v>
      </c>
      <c r="R647" s="223">
        <f>IFERROR(INDEX('Ashed teabags wet'!$K$2:$K$2000,MATCH(K647,'Ashed teabags wet'!$A$2:$A$2000,0)),"")</f>
        <v>13.415841584158834</v>
      </c>
      <c r="S647" s="223">
        <f t="shared" si="52"/>
        <v>0.47742504950494813</v>
      </c>
      <c r="T647" s="224">
        <f>'WetLitterbags placem_collection'!E208</f>
        <v>42769</v>
      </c>
      <c r="U647" s="224">
        <f>IF('WetLitterbags placem_collection'!G208="","",'WetLitterbags placem_collection'!G208)</f>
        <v>42814</v>
      </c>
      <c r="V647" s="225">
        <f t="shared" si="50"/>
        <v>45</v>
      </c>
      <c r="W647" s="223">
        <f t="shared" si="53"/>
        <v>1.2158</v>
      </c>
      <c r="X647" s="223">
        <f t="shared" si="54"/>
        <v>1.19231801145338</v>
      </c>
      <c r="Y647">
        <f>IFERROR(INDEX(Rainfall_Wet!$O$2:$O$217,MATCH(B647, Rainfall_Wet!$A$2:$A$217,0)),"")</f>
        <v>175.377105089</v>
      </c>
      <c r="Z647" s="228">
        <v>34.344660194174757</v>
      </c>
      <c r="AA647" s="228">
        <v>19.22727272727273</v>
      </c>
      <c r="AB647" s="228">
        <v>46.428067078552509</v>
      </c>
      <c r="AC647" s="229" t="s">
        <v>2654</v>
      </c>
      <c r="AD647" s="228">
        <v>1.7452932479053718</v>
      </c>
      <c r="AE647">
        <f>IF('WetLitterbags placem_collection'!AB208="","",'WetLitterbags placem_collection'!AB208)</f>
        <v>13.8</v>
      </c>
      <c r="AF647">
        <f>IF('WetLitterbags placem_collection'!Z208="","",'WetLitterbags placem_collection'!Z208)</f>
        <v>17.399999999999999</v>
      </c>
      <c r="AG647" s="243" t="str">
        <f>IF('WetLitterbags placem_collection'!AA208="","",'WetLitterbags placem_collection'!AA208)</f>
        <v>O</v>
      </c>
      <c r="AH647">
        <f>IF('WetLitterbags placem_collection'!AC208="","",'WetLitterbags placem_collection'!AC208)</f>
        <v>1</v>
      </c>
      <c r="AI647" s="237">
        <f>AVERAGE('WetLitterbags placem_collection'!S208,'WetLitterbags placem_collection'!U208)</f>
        <v>19.05</v>
      </c>
      <c r="AJ647">
        <f>AVERAGE('WetLitterbags placem_collection'!R208,'WetLitterbags placem_collection'!T208)</f>
        <v>24.15</v>
      </c>
      <c r="AK647">
        <v>-2.439403972</v>
      </c>
      <c r="AL647">
        <v>34.838404959999998</v>
      </c>
      <c r="AM647" t="str">
        <f>IF(ISNUMBER(SEARCH("C", 'WetLitterbags placem_collection'!$X208)),"YES","NO")</f>
        <v>NO</v>
      </c>
      <c r="AN647" t="str">
        <f>IF(ISNUMBER(SEARCH("H", 'WetLitterbags placem_collection'!$X208)),"YES","NO")</f>
        <v>NO</v>
      </c>
      <c r="AO647" t="str">
        <f>IF(ISNUMBER(SEARCH("R", 'WetLitterbags placem_collection'!$X208)),"YES","NO")</f>
        <v>YES</v>
      </c>
    </row>
    <row r="648" spans="1:41" ht="15" customHeight="1">
      <c r="A648" s="255" t="s">
        <v>2454</v>
      </c>
      <c r="B648" s="260">
        <f>'Dry_Litterbag Placem_Collection'!A209</f>
        <v>207</v>
      </c>
      <c r="C648" s="260" t="str">
        <f>'Dry_Litterbag Placem_Collection'!B209</f>
        <v xml:space="preserve">Mwantimba
</v>
      </c>
      <c r="D648" s="260" t="s">
        <v>2454</v>
      </c>
      <c r="E648" s="260" t="s">
        <v>2512</v>
      </c>
      <c r="F648" s="260">
        <v>4</v>
      </c>
      <c r="G648" s="260" t="s">
        <v>3818</v>
      </c>
      <c r="H648" s="261" t="str">
        <f>'Dry_Litterbag Placem_Collection'!C209</f>
        <v>Wet_Ag3_CG4</v>
      </c>
      <c r="I648" s="270" t="s">
        <v>3630</v>
      </c>
      <c r="J648" s="263" t="s">
        <v>1147</v>
      </c>
      <c r="K648" s="221" t="str">
        <f>'WetLitterbags placem_collection'!O209</f>
        <v>G540</v>
      </c>
      <c r="L648" s="223">
        <f>IFERROR(INDEX('Green_rooibos initial weight'!$C$5:$C$2000,MATCH(K648, 'Green_rooibos initial weight'!$A$5:$A$2000,0)),"")</f>
        <v>2.0830000000000002</v>
      </c>
      <c r="M648" s="223">
        <f>IFERROR(L648-(TBIcalc!$H$9+TBIcalc!$H$10),"")</f>
        <v>1.8332000000000002</v>
      </c>
      <c r="N648" s="385">
        <f>AVERAGE(Ashed_controlls!$K$2:$K$11)</f>
        <v>5.5147656768714146</v>
      </c>
      <c r="O648" s="223">
        <f t="shared" si="51"/>
        <v>1.7321033156115935</v>
      </c>
      <c r="P648" s="223">
        <f>IFERROR(INDEX('Both teabags AfterWet'!$C$3:$C$840,MATCH(K648,'Both teabags AfterWet'!$A$3:$A$840,0)),"")</f>
        <v>0.73299999999999998</v>
      </c>
      <c r="Q648" s="223">
        <f>IFERROR(IF(P648&gt;0,P648-(TBIcalc!$H$9),""),"")</f>
        <v>0.58240000000000003</v>
      </c>
      <c r="R648" s="223">
        <f>IFERROR(INDEX('Ashed teabags wet'!$K$2:$K$2000,MATCH(K648,'Ashed teabags wet'!$A$2:$A$2000,0)),"")</f>
        <v>21.550000000000765</v>
      </c>
      <c r="S648" s="223">
        <f t="shared" si="52"/>
        <v>0.45689279999999555</v>
      </c>
      <c r="T648" s="224">
        <f>'WetLitterbags placem_collection'!E209</f>
        <v>42769</v>
      </c>
      <c r="U648" s="224">
        <f>IF('WetLitterbags placem_collection'!G209="","",'WetLitterbags placem_collection'!G209)</f>
        <v>42813</v>
      </c>
      <c r="V648" s="225">
        <f t="shared" si="50"/>
        <v>44</v>
      </c>
      <c r="W648" s="223">
        <f t="shared" si="53"/>
        <v>1.2508000000000001</v>
      </c>
      <c r="X648" s="223">
        <f t="shared" si="54"/>
        <v>1.2752105156115978</v>
      </c>
      <c r="Y648">
        <f>IFERROR(INDEX(Rainfall_Wet!$O$2:$O$217,MATCH(B648, Rainfall_Wet!$A$2:$A$217,0)),"")</f>
        <v>175.054685654</v>
      </c>
      <c r="Z648" s="228">
        <v>27.96</v>
      </c>
      <c r="AA648" s="228">
        <v>4.9200000000000017</v>
      </c>
      <c r="AB648" s="228">
        <v>67.12</v>
      </c>
      <c r="AC648" s="229" t="s">
        <v>2654</v>
      </c>
      <c r="AD648" s="228">
        <v>0.88610152784622953</v>
      </c>
      <c r="AE648">
        <f>IF('WetLitterbags placem_collection'!AB209="","",'WetLitterbags placem_collection'!AB209)</f>
        <v>15.2</v>
      </c>
      <c r="AF648">
        <f>IF('WetLitterbags placem_collection'!Z209="","",'WetLitterbags placem_collection'!Z209)</f>
        <v>12.2</v>
      </c>
      <c r="AG648" s="243" t="str">
        <f>IF('WetLitterbags placem_collection'!AA209="","",'WetLitterbags placem_collection'!AA209)</f>
        <v>O</v>
      </c>
      <c r="AH648">
        <f>IF('WetLitterbags placem_collection'!AC209="","",'WetLitterbags placem_collection'!AC209)</f>
        <v>1</v>
      </c>
      <c r="AI648" s="237">
        <f>AVERAGE('WetLitterbags placem_collection'!S209,'WetLitterbags placem_collection'!U209)</f>
        <v>19.8</v>
      </c>
      <c r="AJ648">
        <f>AVERAGE('WetLitterbags placem_collection'!R209,'WetLitterbags placem_collection'!T209)</f>
        <v>29.05</v>
      </c>
      <c r="AK648">
        <v>-2.4396949910000001</v>
      </c>
      <c r="AL648">
        <v>34.838574029999997</v>
      </c>
      <c r="AM648" t="str">
        <f>IF(ISNUMBER(SEARCH("C", 'WetLitterbags placem_collection'!$X209)),"YES","NO")</f>
        <v>NO</v>
      </c>
      <c r="AN648" t="str">
        <f>IF(ISNUMBER(SEARCH("H", 'WetLitterbags placem_collection'!$X209)),"YES","NO")</f>
        <v>NO</v>
      </c>
      <c r="AO648" t="str">
        <f>IF(ISNUMBER(SEARCH("R", 'WetLitterbags placem_collection'!$X209)),"YES","NO")</f>
        <v>YES</v>
      </c>
    </row>
    <row r="649" spans="1:41" ht="15" customHeight="1">
      <c r="A649" s="255" t="s">
        <v>2454</v>
      </c>
      <c r="B649" s="260">
        <f>'Dry_Litterbag Placem_Collection'!A210</f>
        <v>208</v>
      </c>
      <c r="C649" s="260" t="str">
        <f>'Dry_Litterbag Placem_Collection'!B210</f>
        <v xml:space="preserve">Mwantimba
</v>
      </c>
      <c r="D649" s="260" t="s">
        <v>2454</v>
      </c>
      <c r="E649" s="260" t="s">
        <v>2512</v>
      </c>
      <c r="F649" s="260">
        <v>3</v>
      </c>
      <c r="G649" s="260" t="s">
        <v>3819</v>
      </c>
      <c r="H649" s="261" t="str">
        <f>'Dry_Litterbag Placem_Collection'!C210</f>
        <v>Wet_Ag4_CG3</v>
      </c>
      <c r="I649" s="270" t="s">
        <v>3630</v>
      </c>
      <c r="J649" s="263" t="s">
        <v>1147</v>
      </c>
      <c r="K649" s="221" t="str">
        <f>'WetLitterbags placem_collection'!O210</f>
        <v>G508</v>
      </c>
      <c r="L649" s="223">
        <f>IFERROR(INDEX('Green_rooibos initial weight'!$C$5:$C$2000,MATCH(K649, 'Green_rooibos initial weight'!$A$5:$A$2000,0)),"")</f>
        <v>1.9910000000000001</v>
      </c>
      <c r="M649" s="223">
        <f>IFERROR(L649-(TBIcalc!$H$9+TBIcalc!$H$10),"")</f>
        <v>1.7412000000000001</v>
      </c>
      <c r="N649" s="385">
        <f>AVERAGE(Ashed_controlls!$K$2:$K$11)</f>
        <v>5.5147656768714146</v>
      </c>
      <c r="O649" s="223">
        <f t="shared" si="51"/>
        <v>1.645176900034315</v>
      </c>
      <c r="P649" s="223">
        <f>IFERROR(INDEX('Both teabags AfterWet'!$C$3:$C$840,MATCH(K649,'Both teabags AfterWet'!$A$3:$A$840,0)),"")</f>
        <v>0.84599999999999997</v>
      </c>
      <c r="Q649" s="223">
        <f>IFERROR(IF(P649&gt;0,P649-(TBIcalc!$H$9),""),"")</f>
        <v>0.69540000000000002</v>
      </c>
      <c r="R649" s="223">
        <f>IFERROR(INDEX('Ashed teabags wet'!$K$2:$K$2000,MATCH(K649,'Ashed teabags wet'!$A$2:$A$2000,0)),"")</f>
        <v>12.276341948309753</v>
      </c>
      <c r="S649" s="223">
        <f t="shared" si="52"/>
        <v>0.61003031809145403</v>
      </c>
      <c r="T649" s="224">
        <f>'WetLitterbags placem_collection'!E210</f>
        <v>42769</v>
      </c>
      <c r="U649" s="224">
        <f>IF('WetLitterbags placem_collection'!G210="","",'WetLitterbags placem_collection'!G210)</f>
        <v>42813</v>
      </c>
      <c r="V649" s="225">
        <f t="shared" si="50"/>
        <v>44</v>
      </c>
      <c r="W649" s="223">
        <f t="shared" si="53"/>
        <v>1.0458000000000001</v>
      </c>
      <c r="X649" s="223">
        <f t="shared" si="54"/>
        <v>1.0351465819428611</v>
      </c>
      <c r="Y649">
        <f>IFERROR(INDEX(Rainfall_Wet!$O$2:$O$217,MATCH(B649, Rainfall_Wet!$A$2:$A$217,0)),"")</f>
        <v>175.054685654</v>
      </c>
      <c r="Z649" s="228">
        <v>17.96</v>
      </c>
      <c r="AA649" s="228">
        <v>4.9199999999999982</v>
      </c>
      <c r="AB649" s="228">
        <v>77.12</v>
      </c>
      <c r="AC649" s="229" t="s">
        <v>2655</v>
      </c>
      <c r="AD649" s="228">
        <v>2.0220798422868409</v>
      </c>
      <c r="AE649">
        <f>IF('WetLitterbags placem_collection'!AB210="","",'WetLitterbags placem_collection'!AB210)</f>
        <v>7.9</v>
      </c>
      <c r="AF649">
        <f>IF('WetLitterbags placem_collection'!Z210="","",'WetLitterbags placem_collection'!Z210)</f>
        <v>7.9</v>
      </c>
      <c r="AG649" s="243" t="str">
        <f>IF('WetLitterbags placem_collection'!AA210="","",'WetLitterbags placem_collection'!AA210)</f>
        <v>O</v>
      </c>
      <c r="AH649">
        <f>IF('WetLitterbags placem_collection'!AC210="","",'WetLitterbags placem_collection'!AC210)</f>
        <v>1</v>
      </c>
      <c r="AI649" s="237">
        <f>AVERAGE('WetLitterbags placem_collection'!S210,'WetLitterbags placem_collection'!U210)</f>
        <v>22.200000000000003</v>
      </c>
      <c r="AJ649">
        <f>AVERAGE('WetLitterbags placem_collection'!R210,'WetLitterbags placem_collection'!T210)</f>
        <v>27.45</v>
      </c>
      <c r="AK649">
        <v>-2.4395990190000001</v>
      </c>
      <c r="AL649">
        <v>34.838418959999998</v>
      </c>
      <c r="AM649" t="str">
        <f>IF(ISNUMBER(SEARCH("C", 'WetLitterbags placem_collection'!$X210)),"YES","NO")</f>
        <v>NO</v>
      </c>
      <c r="AN649" t="str">
        <f>IF(ISNUMBER(SEARCH("H", 'WetLitterbags placem_collection'!$X210)),"YES","NO")</f>
        <v>NO</v>
      </c>
      <c r="AO649" t="str">
        <f>IF(ISNUMBER(SEARCH("R", 'WetLitterbags placem_collection'!$X210)),"YES","NO")</f>
        <v>YES</v>
      </c>
    </row>
    <row r="650" spans="1:41" ht="15" customHeight="1">
      <c r="A650" s="255" t="s">
        <v>2454</v>
      </c>
      <c r="B650" s="260">
        <f>'Dry_Litterbag Placem_Collection'!A211</f>
        <v>209</v>
      </c>
      <c r="C650" s="260" t="str">
        <f>'Dry_Litterbag Placem_Collection'!B211</f>
        <v xml:space="preserve">Mwantimba
</v>
      </c>
      <c r="D650" s="260" t="s">
        <v>2454</v>
      </c>
      <c r="E650" s="260" t="s">
        <v>2512</v>
      </c>
      <c r="F650" s="260">
        <v>2</v>
      </c>
      <c r="G650" s="260" t="s">
        <v>3820</v>
      </c>
      <c r="H650" s="261" t="str">
        <f>'Dry_Litterbag Placem_Collection'!C211</f>
        <v>Wet_P1_CG2</v>
      </c>
      <c r="I650" s="270" t="s">
        <v>3630</v>
      </c>
      <c r="J650" s="263" t="s">
        <v>1147</v>
      </c>
      <c r="K650" s="221" t="str">
        <f>'WetLitterbags placem_collection'!O211</f>
        <v>G637</v>
      </c>
      <c r="L650" s="223">
        <f>IFERROR(INDEX('Green_rooibos initial weight'!$C$5:$C$2000,MATCH(K650, 'Green_rooibos initial weight'!$A$5:$A$2000,0)),"")</f>
        <v>2.1110000000000002</v>
      </c>
      <c r="M650" s="223">
        <f>IFERROR(L650-(TBIcalc!$H$9+TBIcalc!$H$10),"")</f>
        <v>1.8612000000000002</v>
      </c>
      <c r="N650" s="385">
        <f>AVERAGE(Ashed_controlls!$K$2:$K$11)</f>
        <v>5.5147656768714146</v>
      </c>
      <c r="O650" s="223">
        <f t="shared" si="51"/>
        <v>1.7585591812220693</v>
      </c>
      <c r="P650" s="223">
        <f>IFERROR(INDEX('Both teabags AfterWet'!$C$3:$C$840,MATCH(K650,'Both teabags AfterWet'!$A$3:$A$840,0)),"")</f>
        <v>0.86399999999999999</v>
      </c>
      <c r="Q650" s="223">
        <f>IFERROR(IF(P650&gt;0,P650-(TBIcalc!$H$9),""),"")</f>
        <v>0.71340000000000003</v>
      </c>
      <c r="R650" s="223">
        <f>IFERROR(INDEX('Ashed teabags wet'!$K$2:$K$2000,MATCH(K650,'Ashed teabags wet'!$A$2:$A$2000,0)),"")</f>
        <v>17.471937530502561</v>
      </c>
      <c r="S650" s="223">
        <f t="shared" si="52"/>
        <v>0.5887551976573947</v>
      </c>
      <c r="T650" s="224">
        <f>'WetLitterbags placem_collection'!E211</f>
        <v>42769</v>
      </c>
      <c r="U650" s="224">
        <f>IF('WetLitterbags placem_collection'!G211="","",'WetLitterbags placem_collection'!G211)</f>
        <v>42814</v>
      </c>
      <c r="V650" s="225">
        <f t="shared" si="50"/>
        <v>45</v>
      </c>
      <c r="W650" s="223">
        <f t="shared" si="53"/>
        <v>1.1478000000000002</v>
      </c>
      <c r="X650" s="223">
        <f t="shared" si="54"/>
        <v>1.1698039835646745</v>
      </c>
      <c r="Y650">
        <f>IFERROR(INDEX(Rainfall_Wet!$O$2:$O$217,MATCH(B650, Rainfall_Wet!$A$2:$A$217,0)),"")</f>
        <v>175.377105089</v>
      </c>
      <c r="Z650" s="228">
        <v>31.214836424255054</v>
      </c>
      <c r="AA650" s="228">
        <v>11.377370285476141</v>
      </c>
      <c r="AB650" s="228">
        <v>57.407793290268799</v>
      </c>
      <c r="AC650" s="229" t="s">
        <v>2654</v>
      </c>
      <c r="AD650" s="228">
        <v>1.7337604731394776</v>
      </c>
      <c r="AE650">
        <f>IF('WetLitterbags placem_collection'!AB211="","",'WetLitterbags placem_collection'!AB211)</f>
        <v>5.13</v>
      </c>
      <c r="AF650">
        <f>IF('WetLitterbags placem_collection'!Z211="","",'WetLitterbags placem_collection'!Z211)</f>
        <v>5.13</v>
      </c>
      <c r="AG650" s="243" t="str">
        <f>IF('WetLitterbags placem_collection'!AA211="","",'WetLitterbags placem_collection'!AA211)</f>
        <v>O</v>
      </c>
      <c r="AH650">
        <f>IF('WetLitterbags placem_collection'!AC211="","",'WetLitterbags placem_collection'!AC211)</f>
        <v>1</v>
      </c>
      <c r="AI650" s="237">
        <f>AVERAGE('WetLitterbags placem_collection'!S211,'WetLitterbags placem_collection'!U211)</f>
        <v>24.5</v>
      </c>
      <c r="AJ650">
        <f>AVERAGE('WetLitterbags placem_collection'!R211,'WetLitterbags placem_collection'!T211)</f>
        <v>24.4</v>
      </c>
      <c r="AK650">
        <v>-2.4396450349999999</v>
      </c>
      <c r="AL650">
        <v>34.83836599</v>
      </c>
      <c r="AM650" t="str">
        <f>IF(ISNUMBER(SEARCH("C", 'WetLitterbags placem_collection'!$X211)),"YES","NO")</f>
        <v>YES</v>
      </c>
      <c r="AN650" t="str">
        <f>IF(ISNUMBER(SEARCH("H", 'WetLitterbags placem_collection'!$X211)),"YES","NO")</f>
        <v>NO</v>
      </c>
      <c r="AO650" t="str">
        <f>IF(ISNUMBER(SEARCH("R", 'WetLitterbags placem_collection'!$X211)),"YES","NO")</f>
        <v>YES</v>
      </c>
    </row>
    <row r="651" spans="1:41" ht="15" customHeight="1">
      <c r="A651" s="255" t="s">
        <v>2454</v>
      </c>
      <c r="B651" s="260">
        <f>'Dry_Litterbag Placem_Collection'!A212</f>
        <v>210</v>
      </c>
      <c r="C651" s="260" t="str">
        <f>'Dry_Litterbag Placem_Collection'!B212</f>
        <v xml:space="preserve">Mwantimba
</v>
      </c>
      <c r="D651" s="260" t="s">
        <v>2454</v>
      </c>
      <c r="E651" s="260" t="s">
        <v>2512</v>
      </c>
      <c r="F651" s="260">
        <v>4</v>
      </c>
      <c r="G651" s="260" t="s">
        <v>3822</v>
      </c>
      <c r="H651" s="261" t="str">
        <f>'Dry_Litterbag Placem_Collection'!C212</f>
        <v>Wet_P2_CG4</v>
      </c>
      <c r="I651" s="270" t="s">
        <v>3630</v>
      </c>
      <c r="J651" s="263" t="s">
        <v>1147</v>
      </c>
      <c r="K651" s="221" t="str">
        <f>'WetLitterbags placem_collection'!O212</f>
        <v>G720</v>
      </c>
      <c r="L651" s="223">
        <f>IFERROR(INDEX('Green_rooibos initial weight'!$C$5:$C$2000,MATCH(K651, 'Green_rooibos initial weight'!$A$5:$A$2000,0)),"")</f>
        <v>2.0350000000000001</v>
      </c>
      <c r="M651" s="223">
        <f>IFERROR(L651-(TBIcalc!$H$9+TBIcalc!$H$10),"")</f>
        <v>1.7852000000000001</v>
      </c>
      <c r="N651" s="385">
        <f>AVERAGE(Ashed_controlls!$K$2:$K$11)</f>
        <v>5.5147656768714146</v>
      </c>
      <c r="O651" s="223">
        <f t="shared" si="51"/>
        <v>1.6867504031364917</v>
      </c>
      <c r="P651" s="223">
        <f>IFERROR(INDEX('Both teabags AfterWet'!$C$3:$C$840,MATCH(K651,'Both teabags AfterWet'!$A$3:$A$840,0)),"")</f>
        <v>0.72160000000000002</v>
      </c>
      <c r="Q651" s="223">
        <f>IFERROR(IF(P651&gt;0,P651-(TBIcalc!$H$9),""),"")</f>
        <v>0.57099999999999995</v>
      </c>
      <c r="R651" s="223">
        <f>IFERROR(INDEX('Ashed teabags wet'!$K$2:$K$2000,MATCH(K651,'Ashed teabags wet'!$A$2:$A$2000,0)),"")</f>
        <v>16.057692307692367</v>
      </c>
      <c r="S651" s="223">
        <f t="shared" si="52"/>
        <v>0.47931057692307655</v>
      </c>
      <c r="T651" s="224">
        <f>'WetLitterbags placem_collection'!E212</f>
        <v>42769</v>
      </c>
      <c r="U651" s="224">
        <f>IF('WetLitterbags placem_collection'!G212="","",'WetLitterbags placem_collection'!G212)</f>
        <v>42813</v>
      </c>
      <c r="V651" s="225">
        <f t="shared" si="50"/>
        <v>44</v>
      </c>
      <c r="W651" s="223">
        <f t="shared" si="53"/>
        <v>1.2142000000000002</v>
      </c>
      <c r="X651" s="223">
        <f t="shared" si="54"/>
        <v>1.2074398262134152</v>
      </c>
      <c r="Y651">
        <f>IFERROR(INDEX(Rainfall_Wet!$O$2:$O$217,MATCH(B651, Rainfall_Wet!$A$2:$A$217,0)),"")</f>
        <v>175.054685654</v>
      </c>
      <c r="Z651" s="228">
        <v>33.96</v>
      </c>
      <c r="AA651" s="228">
        <v>8.9200000000000017</v>
      </c>
      <c r="AB651" s="228">
        <v>57.12</v>
      </c>
      <c r="AC651" s="229" t="s">
        <v>2654</v>
      </c>
      <c r="AD651" s="228">
        <v>2.072055199605717</v>
      </c>
      <c r="AE651">
        <f>IF('WetLitterbags placem_collection'!AB212="","",'WetLitterbags placem_collection'!AB212)</f>
        <v>15.2</v>
      </c>
      <c r="AF651">
        <f>IF('WetLitterbags placem_collection'!Z212="","",'WetLitterbags placem_collection'!Z212)</f>
        <v>12.2</v>
      </c>
      <c r="AG651" s="243" t="str">
        <f>IF('WetLitterbags placem_collection'!AA212="","",'WetLitterbags placem_collection'!AA212)</f>
        <v>O</v>
      </c>
      <c r="AH651">
        <f>IF('WetLitterbags placem_collection'!AC212="","",'WetLitterbags placem_collection'!AC212)</f>
        <v>1</v>
      </c>
      <c r="AI651" s="237">
        <f>AVERAGE('WetLitterbags placem_collection'!S212,'WetLitterbags placem_collection'!U212)</f>
        <v>22.4</v>
      </c>
      <c r="AJ651">
        <f>AVERAGE('WetLitterbags placem_collection'!R212,'WetLitterbags placem_collection'!T212)</f>
        <v>28.400000000000002</v>
      </c>
      <c r="AK651">
        <v>-2.4396949910000001</v>
      </c>
      <c r="AL651">
        <v>34.838574029999997</v>
      </c>
      <c r="AM651" t="str">
        <f>IF(ISNUMBER(SEARCH("C", 'WetLitterbags placem_collection'!$X212)),"YES","NO")</f>
        <v>NO</v>
      </c>
      <c r="AN651" t="str">
        <f>IF(ISNUMBER(SEARCH("H", 'WetLitterbags placem_collection'!$X212)),"YES","NO")</f>
        <v>NO</v>
      </c>
      <c r="AO651" t="str">
        <f>IF(ISNUMBER(SEARCH("R", 'WetLitterbags placem_collection'!$X212)),"YES","NO")</f>
        <v>YES</v>
      </c>
    </row>
    <row r="652" spans="1:41" ht="15" customHeight="1">
      <c r="A652" s="255" t="s">
        <v>2454</v>
      </c>
      <c r="B652" s="260">
        <f>'Dry_Litterbag Placem_Collection'!A213</f>
        <v>211</v>
      </c>
      <c r="C652" s="260" t="str">
        <f>'Dry_Litterbag Placem_Collection'!B213</f>
        <v xml:space="preserve">Mwantimba
</v>
      </c>
      <c r="D652" s="260" t="s">
        <v>2454</v>
      </c>
      <c r="E652" s="260" t="s">
        <v>2512</v>
      </c>
      <c r="F652" s="260">
        <v>1</v>
      </c>
      <c r="G652" s="260" t="s">
        <v>3823</v>
      </c>
      <c r="H652" s="261" t="str">
        <f>'Dry_Litterbag Placem_Collection'!C213</f>
        <v>Wet_P3_CG1</v>
      </c>
      <c r="I652" s="270" t="s">
        <v>3630</v>
      </c>
      <c r="J652" s="263" t="s">
        <v>1147</v>
      </c>
      <c r="K652" s="221" t="str">
        <f>'WetLitterbags placem_collection'!O213</f>
        <v>G796</v>
      </c>
      <c r="L652" s="223">
        <f>IFERROR(INDEX('Green_rooibos initial weight'!$C$5:$C$2000,MATCH(K652, 'Green_rooibos initial weight'!$A$5:$A$2000,0)),"")</f>
        <v>2.1070000000000002</v>
      </c>
      <c r="M652" s="223">
        <f>IFERROR(L652-(TBIcalc!$H$9+TBIcalc!$H$10),"")</f>
        <v>1.8572000000000002</v>
      </c>
      <c r="N652" s="385">
        <f>AVERAGE(Ashed_controlls!$K$2:$K$11)</f>
        <v>5.5147656768714146</v>
      </c>
      <c r="O652" s="223">
        <f t="shared" si="51"/>
        <v>1.7547797718491442</v>
      </c>
      <c r="P652" s="223">
        <f>IFERROR(INDEX('Both teabags AfterWet'!$C$3:$C$840,MATCH(K652,'Both teabags AfterWet'!$A$3:$A$840,0)),"")</f>
        <v>0.67200000000000004</v>
      </c>
      <c r="Q652" s="223">
        <f>IFERROR(IF(P652&gt;0,P652-(TBIcalc!$H$9),""),"")</f>
        <v>0.52140000000000009</v>
      </c>
      <c r="R652" s="223">
        <f>IFERROR(INDEX('Ashed teabags wet'!$K$2:$K$2000,MATCH(K652,'Ashed teabags wet'!$A$2:$A$2000,0)),"")</f>
        <v>40.67127344521198</v>
      </c>
      <c r="S652" s="223">
        <f t="shared" si="52"/>
        <v>0.30933998025666476</v>
      </c>
      <c r="T652" s="224">
        <f>'WetLitterbags placem_collection'!E213</f>
        <v>42769</v>
      </c>
      <c r="U652" s="224">
        <f>IF('WetLitterbags placem_collection'!G213="","",'WetLitterbags placem_collection'!G213)</f>
        <v>42814</v>
      </c>
      <c r="V652" s="225">
        <f t="shared" si="50"/>
        <v>45</v>
      </c>
      <c r="W652" s="223">
        <f t="shared" si="53"/>
        <v>1.3358000000000001</v>
      </c>
      <c r="X652" s="223">
        <f t="shared" si="54"/>
        <v>1.4454397915924795</v>
      </c>
      <c r="Y652">
        <f>IFERROR(INDEX(Rainfall_Wet!$O$2:$O$217,MATCH(B652, Rainfall_Wet!$A$2:$A$217,0)),"")</f>
        <v>175.377105089</v>
      </c>
      <c r="Z652" s="228">
        <v>39.96</v>
      </c>
      <c r="AA652" s="228">
        <v>12.920000000000002</v>
      </c>
      <c r="AB652" s="228">
        <v>47.12</v>
      </c>
      <c r="AC652" s="229" t="s">
        <v>2658</v>
      </c>
      <c r="AD652" s="228">
        <v>1.6549531789058647</v>
      </c>
      <c r="AE652">
        <f>IF('WetLitterbags placem_collection'!AB213="","",'WetLitterbags placem_collection'!AB213)</f>
        <v>13.8</v>
      </c>
      <c r="AF652">
        <f>IF('WetLitterbags placem_collection'!Z213="","",'WetLitterbags placem_collection'!Z213)</f>
        <v>17.399999999999999</v>
      </c>
      <c r="AG652" s="243" t="str">
        <f>IF('WetLitterbags placem_collection'!AA213="","",'WetLitterbags placem_collection'!AA213)</f>
        <v>O</v>
      </c>
      <c r="AH652">
        <f>IF('WetLitterbags placem_collection'!AC213="","",'WetLitterbags placem_collection'!AC213)</f>
        <v>1</v>
      </c>
      <c r="AI652" s="237">
        <f>AVERAGE('WetLitterbags placem_collection'!S213,'WetLitterbags placem_collection'!U213)</f>
        <v>16.850000000000001</v>
      </c>
      <c r="AJ652">
        <f>AVERAGE('WetLitterbags placem_collection'!R213,'WetLitterbags placem_collection'!T213)</f>
        <v>23.95</v>
      </c>
      <c r="AK652">
        <v>-2.439403972</v>
      </c>
      <c r="AL652">
        <v>34.838404959999998</v>
      </c>
      <c r="AM652" t="str">
        <f>IF(ISNUMBER(SEARCH("C", 'WetLitterbags placem_collection'!$X213)),"YES","NO")</f>
        <v>NO</v>
      </c>
      <c r="AN652" t="str">
        <f>IF(ISNUMBER(SEARCH("H", 'WetLitterbags placem_collection'!$X213)),"YES","NO")</f>
        <v>NO</v>
      </c>
      <c r="AO652" t="str">
        <f>IF(ISNUMBER(SEARCH("R", 'WetLitterbags placem_collection'!$X213)),"YES","NO")</f>
        <v>YES</v>
      </c>
    </row>
    <row r="653" spans="1:41" ht="15" customHeight="1">
      <c r="A653" s="255" t="s">
        <v>2454</v>
      </c>
      <c r="B653" s="260">
        <f>'Dry_Litterbag Placem_Collection'!A214</f>
        <v>215</v>
      </c>
      <c r="C653" s="260" t="str">
        <f>'Dry_Litterbag Placem_Collection'!B214</f>
        <v xml:space="preserve">Mwantimba
</v>
      </c>
      <c r="D653" s="260" t="s">
        <v>2454</v>
      </c>
      <c r="E653" s="260" t="s">
        <v>2512</v>
      </c>
      <c r="F653" s="260">
        <v>3</v>
      </c>
      <c r="G653" s="260" t="s">
        <v>3828</v>
      </c>
      <c r="H653" s="261" t="str">
        <f>'Dry_Litterbag Placem_Collection'!C214</f>
        <v>Wet_W3_CG1</v>
      </c>
      <c r="I653" s="270" t="s">
        <v>3630</v>
      </c>
      <c r="J653" s="263" t="s">
        <v>1147</v>
      </c>
      <c r="K653" s="221" t="str">
        <f>'WetLitterbags placem_collection'!O214</f>
        <v>G560</v>
      </c>
      <c r="L653" s="223">
        <f>IFERROR(INDEX('Green_rooibos initial weight'!$C$5:$C$2000,MATCH(K653, 'Green_rooibos initial weight'!$A$5:$A$2000,0)),"")</f>
        <v>2.1219999999999999</v>
      </c>
      <c r="M653" s="223">
        <f>IFERROR(L653-(TBIcalc!$H$9+TBIcalc!$H$10),"")</f>
        <v>1.8721999999999999</v>
      </c>
      <c r="N653" s="385">
        <f>AVERAGE(Ashed_controlls!$K$2:$K$11)</f>
        <v>5.5147656768714146</v>
      </c>
      <c r="O653" s="223">
        <f t="shared" si="51"/>
        <v>1.7689525569976132</v>
      </c>
      <c r="P653" s="223">
        <f>IFERROR(INDEX('Both teabags AfterWet'!$C$3:$C$840,MATCH(K653,'Both teabags AfterWet'!$A$3:$A$840,0)),"")</f>
        <v>1.4097999999999999</v>
      </c>
      <c r="Q653" s="223">
        <f>IFERROR(IF(P653&gt;0,P653-(TBIcalc!$H$9),""),"")</f>
        <v>1.2591999999999999</v>
      </c>
      <c r="R653" s="223">
        <f>IFERROR(INDEX('Ashed teabags wet'!$K$2:$K$2000,MATCH(K653,'Ashed teabags wet'!$A$2:$A$2000,0)),"")</f>
        <v>39.082656473960213</v>
      </c>
      <c r="S653" s="223">
        <f t="shared" si="52"/>
        <v>0.76707118967989296</v>
      </c>
      <c r="T653" s="224">
        <f>'WetLitterbags placem_collection'!E214</f>
        <v>42769</v>
      </c>
      <c r="U653" s="224">
        <f>IF('WetLitterbags placem_collection'!G214="","",'WetLitterbags placem_collection'!G214)</f>
        <v>42813</v>
      </c>
      <c r="V653" s="225">
        <f t="shared" si="50"/>
        <v>44</v>
      </c>
      <c r="W653" s="223">
        <f t="shared" si="53"/>
        <v>0.61299999999999999</v>
      </c>
      <c r="X653" s="223">
        <f t="shared" si="54"/>
        <v>1.0018813673177203</v>
      </c>
      <c r="Y653">
        <f>IFERROR(INDEX(Rainfall_Wet!$O$2:$O$217,MATCH(B653, Rainfall_Wet!$A$2:$A$217,0)),"")</f>
        <v>175.377105089</v>
      </c>
      <c r="Z653" s="228">
        <v>27.96</v>
      </c>
      <c r="AA653" s="228">
        <v>4.9200000000000017</v>
      </c>
      <c r="AB653" s="228">
        <v>67.12</v>
      </c>
      <c r="AC653" s="229" t="s">
        <v>2654</v>
      </c>
      <c r="AD653" s="228">
        <v>1.0437161163134547</v>
      </c>
      <c r="AE653">
        <f>IF('WetLitterbags placem_collection'!AB214="","",'WetLitterbags placem_collection'!AB214)</f>
        <v>7.9</v>
      </c>
      <c r="AF653">
        <f>IF('WetLitterbags placem_collection'!Z214="","",'WetLitterbags placem_collection'!Z214)</f>
        <v>7.9</v>
      </c>
      <c r="AG653" s="243" t="str">
        <f>IF('WetLitterbags placem_collection'!AA214="","",'WetLitterbags placem_collection'!AA214)</f>
        <v>O</v>
      </c>
      <c r="AH653">
        <f>IF('WetLitterbags placem_collection'!AC214="","",'WetLitterbags placem_collection'!AC214)</f>
        <v>1</v>
      </c>
      <c r="AI653" s="237">
        <f>AVERAGE('WetLitterbags placem_collection'!S214,'WetLitterbags placem_collection'!U214)</f>
        <v>22.45</v>
      </c>
      <c r="AJ653">
        <f>AVERAGE('WetLitterbags placem_collection'!R214,'WetLitterbags placem_collection'!T214)</f>
        <v>27.450000000000003</v>
      </c>
      <c r="AK653">
        <v>-2.4395990190000001</v>
      </c>
      <c r="AL653">
        <v>34.838418959999998</v>
      </c>
      <c r="AM653" t="str">
        <f>IF(ISNUMBER(SEARCH("C", 'WetLitterbags placem_collection'!$X214)),"YES","NO")</f>
        <v>NO</v>
      </c>
      <c r="AN653" t="str">
        <f>IF(ISNUMBER(SEARCH("H", 'WetLitterbags placem_collection'!$X214)),"YES","NO")</f>
        <v>NO</v>
      </c>
      <c r="AO653" t="str">
        <f>IF(ISNUMBER(SEARCH("R", 'WetLitterbags placem_collection'!$X214)),"YES","NO")</f>
        <v>YES</v>
      </c>
    </row>
    <row r="654" spans="1:41" ht="15" customHeight="1">
      <c r="A654" s="255" t="s">
        <v>2454</v>
      </c>
      <c r="B654" s="260">
        <f>'Dry_Litterbag Placem_Collection'!A215</f>
        <v>212</v>
      </c>
      <c r="C654" s="260" t="str">
        <f>'Dry_Litterbag Placem_Collection'!B215</f>
        <v xml:space="preserve">Mwantimba
</v>
      </c>
      <c r="D654" s="260" t="s">
        <v>2454</v>
      </c>
      <c r="E654" s="260" t="s">
        <v>2512</v>
      </c>
      <c r="F654" s="260">
        <v>4</v>
      </c>
      <c r="G654" s="260" t="s">
        <v>3824</v>
      </c>
      <c r="H654" s="261" t="str">
        <f>'Dry_Litterbag Placem_Collection'!C215</f>
        <v>Wet_P4_CG3</v>
      </c>
      <c r="I654" s="270" t="s">
        <v>3630</v>
      </c>
      <c r="J654" s="263" t="s">
        <v>1147</v>
      </c>
      <c r="K654" s="221" t="str">
        <f>'WetLitterbags placem_collection'!O215</f>
        <v>G716</v>
      </c>
      <c r="L654" s="223">
        <f>IFERROR(INDEX('Green_rooibos initial weight'!$C$5:$C$2000,MATCH(K654, 'Green_rooibos initial weight'!$A$5:$A$2000,0)),"")</f>
        <v>2.117</v>
      </c>
      <c r="M654" s="223">
        <f>IFERROR(L654-(TBIcalc!$H$9+TBIcalc!$H$10),"")</f>
        <v>1.8672</v>
      </c>
      <c r="N654" s="385">
        <f>AVERAGE(Ashed_controlls!$K$2:$K$11)</f>
        <v>5.5147656768714146</v>
      </c>
      <c r="O654" s="223">
        <f t="shared" si="51"/>
        <v>1.764228295281457</v>
      </c>
      <c r="P654" s="223">
        <f>IFERROR(INDEX('Both teabags AfterWet'!$C$3:$C$840,MATCH(K654,'Both teabags AfterWet'!$A$3:$A$840,0)),"")</f>
        <v>0.83</v>
      </c>
      <c r="Q654" s="223">
        <f>IFERROR(IF(P654&gt;0,P654-(TBIcalc!$H$9),""),"")</f>
        <v>0.6794</v>
      </c>
      <c r="R654" s="223">
        <f>IFERROR(INDEX('Ashed teabags wet'!$K$2:$K$2000,MATCH(K654,'Ashed teabags wet'!$A$2:$A$2000,0)),"")</f>
        <v>8.2922013820333618</v>
      </c>
      <c r="S654" s="223">
        <f t="shared" si="52"/>
        <v>0.62306278381046531</v>
      </c>
      <c r="T654" s="224">
        <f>'WetLitterbags placem_collection'!E215</f>
        <v>42769</v>
      </c>
      <c r="U654" s="224">
        <f>IF('WetLitterbags placem_collection'!G215="","",'WetLitterbags placem_collection'!G215)</f>
        <v>42813</v>
      </c>
      <c r="V654" s="225">
        <f t="shared" si="50"/>
        <v>44</v>
      </c>
      <c r="W654" s="223">
        <f t="shared" si="53"/>
        <v>1.1878</v>
      </c>
      <c r="X654" s="223">
        <f t="shared" si="54"/>
        <v>1.1411655114709918</v>
      </c>
      <c r="Y654">
        <f>IFERROR(INDEX(Rainfall_Wet!$O$2:$O$217,MATCH(B654, Rainfall_Wet!$A$2:$A$217,0)),"")</f>
        <v>175.054685654</v>
      </c>
      <c r="Z654" s="228">
        <v>21.96</v>
      </c>
      <c r="AA654" s="228">
        <v>4.9199999999999982</v>
      </c>
      <c r="AB654" s="228">
        <v>73.12</v>
      </c>
      <c r="AC654" s="229" t="s">
        <v>2654</v>
      </c>
      <c r="AD654" s="228">
        <v>1.2416954164613114</v>
      </c>
      <c r="AE654">
        <f>IF('WetLitterbags placem_collection'!AB215="","",'WetLitterbags placem_collection'!AB215)</f>
        <v>15.2</v>
      </c>
      <c r="AF654">
        <f>IF('WetLitterbags placem_collection'!Z215="","",'WetLitterbags placem_collection'!Z215)</f>
        <v>12.2</v>
      </c>
      <c r="AG654" s="243" t="str">
        <f>IF('WetLitterbags placem_collection'!AA215="","",'WetLitterbags placem_collection'!AA215)</f>
        <v>O</v>
      </c>
      <c r="AH654">
        <f>IF('WetLitterbags placem_collection'!AC215="","",'WetLitterbags placem_collection'!AC215)</f>
        <v>1</v>
      </c>
      <c r="AI654" s="237">
        <f>AVERAGE('WetLitterbags placem_collection'!S215,'WetLitterbags placem_collection'!U215)</f>
        <v>19.75</v>
      </c>
      <c r="AJ654">
        <f>AVERAGE('WetLitterbags placem_collection'!R215,'WetLitterbags placem_collection'!T215)</f>
        <v>28.15</v>
      </c>
      <c r="AK654">
        <v>-2.4396949910000001</v>
      </c>
      <c r="AL654">
        <v>34.838574029999997</v>
      </c>
      <c r="AM654" t="str">
        <f>IF(ISNUMBER(SEARCH("C", 'WetLitterbags placem_collection'!$X215)),"YES","NO")</f>
        <v>NO</v>
      </c>
      <c r="AN654" t="str">
        <f>IF(ISNUMBER(SEARCH("H", 'WetLitterbags placem_collection'!$X215)),"YES","NO")</f>
        <v>NO</v>
      </c>
      <c r="AO654" t="str">
        <f>IF(ISNUMBER(SEARCH("R", 'WetLitterbags placem_collection'!$X215)),"YES","NO")</f>
        <v>YES</v>
      </c>
    </row>
    <row r="655" spans="1:41" ht="15" customHeight="1">
      <c r="A655" s="255" t="s">
        <v>2454</v>
      </c>
      <c r="B655" s="260">
        <f>'Dry_Litterbag Placem_Collection'!A216</f>
        <v>213</v>
      </c>
      <c r="C655" s="260" t="str">
        <f>'Dry_Litterbag Placem_Collection'!B216</f>
        <v>Handajega</v>
      </c>
      <c r="D655" s="260" t="s">
        <v>2454</v>
      </c>
      <c r="E655" s="260" t="s">
        <v>2512</v>
      </c>
      <c r="F655" s="260">
        <v>3</v>
      </c>
      <c r="G655" s="260" t="s">
        <v>3825</v>
      </c>
      <c r="H655" s="261" t="str">
        <f>'Dry_Litterbag Placem_Collection'!C216</f>
        <v>Wet_W1_CG4</v>
      </c>
      <c r="I655" s="270" t="s">
        <v>3630</v>
      </c>
      <c r="J655" s="263" t="s">
        <v>1147</v>
      </c>
      <c r="K655" s="221" t="str">
        <f>'WetLitterbags placem_collection'!O216</f>
        <v>G581</v>
      </c>
      <c r="L655" s="223">
        <f>IFERROR(INDEX('Green_rooibos initial weight'!$C$5:$C$2000,MATCH(K655, 'Green_rooibos initial weight'!$A$5:$A$2000,0)),"")</f>
        <v>2.0070000000000001</v>
      </c>
      <c r="M655" s="223">
        <f>IFERROR(L655-(TBIcalc!$H$9+TBIcalc!$H$10),"")</f>
        <v>1.7572000000000001</v>
      </c>
      <c r="N655" s="385">
        <f>AVERAGE(Ashed_controlls!$K$2:$K$11)</f>
        <v>5.5147656768714146</v>
      </c>
      <c r="O655" s="223">
        <f t="shared" si="51"/>
        <v>1.6602945375260156</v>
      </c>
      <c r="P655" s="223">
        <f>IFERROR(INDEX('Both teabags AfterWet'!$C$3:$C$840,MATCH(K655,'Both teabags AfterWet'!$A$3:$A$840,0)),"")</f>
        <v>0.63400000000000001</v>
      </c>
      <c r="Q655" s="223">
        <f>IFERROR(IF(P655&gt;0,P655-(TBIcalc!$H$9),""),"")</f>
        <v>0.4834</v>
      </c>
      <c r="R655" s="223">
        <f>IFERROR(INDEX('Ashed teabags wet'!$K$2:$K$2000,MATCH(K655,'Ashed teabags wet'!$A$2:$A$2000,0)),"")</f>
        <v>8.3576287657915547</v>
      </c>
      <c r="S655" s="223">
        <f t="shared" si="52"/>
        <v>0.44299922254616364</v>
      </c>
      <c r="T655" s="224">
        <f>'WetLitterbags placem_collection'!E216</f>
        <v>42769</v>
      </c>
      <c r="U655" s="224">
        <f>IF('WetLitterbags placem_collection'!G216="","",'WetLitterbags placem_collection'!G216)</f>
        <v>42813</v>
      </c>
      <c r="V655" s="225">
        <f t="shared" si="50"/>
        <v>44</v>
      </c>
      <c r="W655" s="223">
        <f t="shared" si="53"/>
        <v>1.2738</v>
      </c>
      <c r="X655" s="223">
        <f t="shared" si="54"/>
        <v>1.217295314979852</v>
      </c>
      <c r="Y655">
        <f>IFERROR(INDEX(Rainfall_Wet!$O$2:$O$217,MATCH(B655, Rainfall_Wet!$A$2:$A$217,0)),"")</f>
        <v>175.054685654</v>
      </c>
      <c r="Z655" s="228">
        <v>23.96</v>
      </c>
      <c r="AA655" s="228">
        <v>4.9199999999999982</v>
      </c>
      <c r="AB655" s="228">
        <v>71.12</v>
      </c>
      <c r="AC655" s="229" t="s">
        <v>2654</v>
      </c>
      <c r="AD655" s="228">
        <v>3.30913750616067</v>
      </c>
      <c r="AE655">
        <f>IF('WetLitterbags placem_collection'!AB216="","",'WetLitterbags placem_collection'!AB216)</f>
        <v>7.9</v>
      </c>
      <c r="AF655">
        <f>IF('WetLitterbags placem_collection'!Z216="","",'WetLitterbags placem_collection'!Z216)</f>
        <v>7.9</v>
      </c>
      <c r="AG655" s="243" t="str">
        <f>IF('WetLitterbags placem_collection'!AA216="","",'WetLitterbags placem_collection'!AA216)</f>
        <v>O</v>
      </c>
      <c r="AH655">
        <f>IF('WetLitterbags placem_collection'!AC216="","",'WetLitterbags placem_collection'!AC216)</f>
        <v>1</v>
      </c>
      <c r="AI655" s="237">
        <f>AVERAGE('WetLitterbags placem_collection'!S216,'WetLitterbags placem_collection'!U216)</f>
        <v>19.45</v>
      </c>
      <c r="AJ655">
        <f>AVERAGE('WetLitterbags placem_collection'!R216,'WetLitterbags placem_collection'!T216)</f>
        <v>29.200000000000003</v>
      </c>
      <c r="AK655">
        <v>-2.4396949910000001</v>
      </c>
      <c r="AL655">
        <v>34.838574029999997</v>
      </c>
      <c r="AM655" t="str">
        <f>IF(ISNUMBER(SEARCH("C", 'WetLitterbags placem_collection'!$X216)),"YES","NO")</f>
        <v>NO</v>
      </c>
      <c r="AN655" t="str">
        <f>IF(ISNUMBER(SEARCH("H", 'WetLitterbags placem_collection'!$X216)),"YES","NO")</f>
        <v>NO</v>
      </c>
      <c r="AO655" t="str">
        <f>IF(ISNUMBER(SEARCH("R", 'WetLitterbags placem_collection'!$X216)),"YES","NO")</f>
        <v>YES</v>
      </c>
    </row>
    <row r="656" spans="1:41" ht="15" customHeight="1">
      <c r="A656" s="255" t="s">
        <v>2454</v>
      </c>
      <c r="B656" s="260">
        <f>'Dry_Litterbag Placem_Collection'!A217</f>
        <v>214</v>
      </c>
      <c r="C656" s="260" t="str">
        <f>'Dry_Litterbag Placem_Collection'!B217</f>
        <v>Handajega</v>
      </c>
      <c r="D656" s="260" t="s">
        <v>2454</v>
      </c>
      <c r="E656" s="260" t="s">
        <v>2512</v>
      </c>
      <c r="F656" s="260">
        <v>1</v>
      </c>
      <c r="G656" s="260" t="s">
        <v>3827</v>
      </c>
      <c r="H656" s="261" t="str">
        <f>'Dry_Litterbag Placem_Collection'!C217</f>
        <v>Wet_W2_CG3</v>
      </c>
      <c r="I656" s="270" t="s">
        <v>3630</v>
      </c>
      <c r="J656" s="263" t="s">
        <v>1147</v>
      </c>
      <c r="K656" s="221" t="str">
        <f>'WetLitterbags placem_collection'!O217</f>
        <v>G718</v>
      </c>
      <c r="L656" s="223">
        <f>IFERROR(INDEX('Green_rooibos initial weight'!$C$5:$C$2000,MATCH(K656, 'Green_rooibos initial weight'!$A$5:$A$2000,0)),"")</f>
        <v>2.0369999999999999</v>
      </c>
      <c r="M656" s="223">
        <f>IFERROR(L656-(TBIcalc!$H$9+TBIcalc!$H$10),"")</f>
        <v>1.7871999999999999</v>
      </c>
      <c r="N656" s="385">
        <f>AVERAGE(Ashed_controlls!$K$2:$K$11)</f>
        <v>5.5147656768714146</v>
      </c>
      <c r="O656" s="223">
        <f t="shared" si="51"/>
        <v>1.688640107822954</v>
      </c>
      <c r="P656" s="223">
        <f>IFERROR(INDEX('Both teabags AfterWet'!$C$3:$C$840,MATCH(K656,'Both teabags AfterWet'!$A$3:$A$840,0)),"")</f>
        <v>0.67769999999999997</v>
      </c>
      <c r="Q656" s="223">
        <f>IFERROR(IF(P656&gt;0,P656-(TBIcalc!$H$9),""),"")</f>
        <v>0.5270999999999999</v>
      </c>
      <c r="R656" s="223">
        <f>IFERROR(INDEX('Ashed teabags wet'!$K$2:$K$2000,MATCH(K656,'Ashed teabags wet'!$A$2:$A$2000,0)),"")</f>
        <v>7.2942336126168659</v>
      </c>
      <c r="S656" s="223">
        <f t="shared" si="52"/>
        <v>0.48865209462789638</v>
      </c>
      <c r="T656" s="224">
        <f>'WetLitterbags placem_collection'!E217</f>
        <v>42769</v>
      </c>
      <c r="U656" s="224">
        <f>IF('WetLitterbags placem_collection'!G217="","",'WetLitterbags placem_collection'!G217)</f>
        <v>42814</v>
      </c>
      <c r="V656" s="225">
        <f t="shared" si="50"/>
        <v>45</v>
      </c>
      <c r="W656" s="223">
        <f t="shared" si="53"/>
        <v>1.2601</v>
      </c>
      <c r="X656" s="223">
        <f t="shared" si="54"/>
        <v>1.1999880131950578</v>
      </c>
      <c r="Y656">
        <f>IFERROR(INDEX(Rainfall_Wet!$O$2:$O$217,MATCH(B656, Rainfall_Wet!$A$2:$A$217,0)),"")</f>
        <v>175.054685654</v>
      </c>
      <c r="Z656" s="228">
        <v>25.96</v>
      </c>
      <c r="AA656" s="228">
        <v>8.9200000000000017</v>
      </c>
      <c r="AB656" s="228">
        <v>65.12</v>
      </c>
      <c r="AC656" s="229" t="s">
        <v>2654</v>
      </c>
      <c r="AD656" s="228">
        <v>1.614588467225234</v>
      </c>
      <c r="AE656">
        <f>IF('WetLitterbags placem_collection'!AB217="","",'WetLitterbags placem_collection'!AB217)</f>
        <v>13.8</v>
      </c>
      <c r="AF656">
        <f>IF('WetLitterbags placem_collection'!Z217="","",'WetLitterbags placem_collection'!Z217)</f>
        <v>17.399999999999999</v>
      </c>
      <c r="AG656" s="243" t="str">
        <f>IF('WetLitterbags placem_collection'!AA217="","",'WetLitterbags placem_collection'!AA217)</f>
        <v>O</v>
      </c>
      <c r="AH656">
        <f>IF('WetLitterbags placem_collection'!AC217="","",'WetLitterbags placem_collection'!AC217)</f>
        <v>1</v>
      </c>
      <c r="AI656" s="237">
        <f>AVERAGE('WetLitterbags placem_collection'!S217,'WetLitterbags placem_collection'!U217)</f>
        <v>20.3</v>
      </c>
      <c r="AJ656">
        <f>AVERAGE('WetLitterbags placem_collection'!R217,'WetLitterbags placem_collection'!T217)</f>
        <v>26.25</v>
      </c>
      <c r="AK656">
        <v>-2.439403972</v>
      </c>
      <c r="AL656">
        <v>34.838404959999998</v>
      </c>
      <c r="AM656" t="str">
        <f>IF(ISNUMBER(SEARCH("C", 'WetLitterbags placem_collection'!$X217)),"YES","NO")</f>
        <v>NO</v>
      </c>
      <c r="AN656" t="str">
        <f>IF(ISNUMBER(SEARCH("H", 'WetLitterbags placem_collection'!$X217)),"YES","NO")</f>
        <v>NO</v>
      </c>
      <c r="AO656" t="str">
        <f>IF(ISNUMBER(SEARCH("R", 'WetLitterbags placem_collection'!$X217)),"YES","NO")</f>
        <v>YES</v>
      </c>
    </row>
    <row r="657" spans="1:41" ht="15" customHeight="1">
      <c r="A657" s="255" t="s">
        <v>2454</v>
      </c>
      <c r="B657" s="260">
        <f>'Dry_Litterbag Placem_Collection'!A218</f>
        <v>216</v>
      </c>
      <c r="C657" s="260" t="str">
        <f>'Dry_Litterbag Placem_Collection'!B218</f>
        <v>Handajega</v>
      </c>
      <c r="D657" s="260" t="s">
        <v>2454</v>
      </c>
      <c r="E657" s="260" t="s">
        <v>2512</v>
      </c>
      <c r="F657" s="260">
        <v>2</v>
      </c>
      <c r="G657" s="260" t="s">
        <v>3829</v>
      </c>
      <c r="H657" s="261" t="str">
        <f>'Dry_Litterbag Placem_Collection'!C218</f>
        <v>Wet_W4_CG2</v>
      </c>
      <c r="I657" s="270" t="s">
        <v>3630</v>
      </c>
      <c r="J657" s="263" t="s">
        <v>1147</v>
      </c>
      <c r="K657" s="221" t="str">
        <f>'WetLitterbags placem_collection'!O218</f>
        <v>G613</v>
      </c>
      <c r="L657" s="223">
        <f>IFERROR(INDEX('Green_rooibos initial weight'!$C$5:$C$2000,MATCH(K657, 'Green_rooibos initial weight'!$A$5:$A$2000,0)),"")</f>
        <v>2.0339999999999998</v>
      </c>
      <c r="M657" s="223">
        <f>IFERROR(L657-(TBIcalc!$H$9+TBIcalc!$H$10),"")</f>
        <v>1.7841999999999998</v>
      </c>
      <c r="N657" s="385">
        <f>AVERAGE(Ashed_controlls!$K$2:$K$11)</f>
        <v>5.5147656768714146</v>
      </c>
      <c r="O657" s="223">
        <f t="shared" si="51"/>
        <v>1.6858055507932601</v>
      </c>
      <c r="P657" s="223">
        <f>IFERROR(INDEX('Both teabags AfterWet'!$C$3:$C$840,MATCH(K657,'Both teabags AfterWet'!$A$3:$A$840,0)),"")</f>
        <v>0.82499999999999996</v>
      </c>
      <c r="Q657" s="223">
        <f>IFERROR(IF(P657&gt;0,P657-(TBIcalc!$H$9),""),"")</f>
        <v>0.67439999999999989</v>
      </c>
      <c r="R657" s="223">
        <f>IFERROR(INDEX('Ashed teabags wet'!$K$2:$K$2000,MATCH(K657,'Ashed teabags wet'!$A$2:$A$2000,0)),"")</f>
        <v>7.3429951690818136</v>
      </c>
      <c r="S657" s="223">
        <f t="shared" si="52"/>
        <v>0.6248788405797121</v>
      </c>
      <c r="T657" s="224">
        <f>'WetLitterbags placem_collection'!E218</f>
        <v>42769</v>
      </c>
      <c r="U657" s="224">
        <f>IF('WetLitterbags placem_collection'!G218="","",'WetLitterbags placem_collection'!G218)</f>
        <v>42814</v>
      </c>
      <c r="V657" s="225">
        <f t="shared" si="50"/>
        <v>45</v>
      </c>
      <c r="W657" s="223">
        <f t="shared" si="53"/>
        <v>1.1097999999999999</v>
      </c>
      <c r="X657" s="223">
        <f t="shared" si="54"/>
        <v>1.060926710213548</v>
      </c>
      <c r="Y657">
        <f>IFERROR(INDEX(Rainfall_Wet!$O$2:$O$217,MATCH(B657, Rainfall_Wet!$A$2:$A$217,0)),"")</f>
        <v>175.377105089</v>
      </c>
      <c r="Z657" s="228">
        <v>25.96</v>
      </c>
      <c r="AA657" s="228">
        <v>8.9200000000000017</v>
      </c>
      <c r="AB657" s="228">
        <v>65.12</v>
      </c>
      <c r="AC657" s="229" t="s">
        <v>2654</v>
      </c>
      <c r="AD657" s="228">
        <v>1.6991621488417901</v>
      </c>
      <c r="AE657">
        <f>IF('WetLitterbags placem_collection'!AB218="","",'WetLitterbags placem_collection'!AB218)</f>
        <v>5.13</v>
      </c>
      <c r="AF657">
        <f>IF('WetLitterbags placem_collection'!Z218="","",'WetLitterbags placem_collection'!Z218)</f>
        <v>5.13</v>
      </c>
      <c r="AG657" s="243" t="str">
        <f>IF('WetLitterbags placem_collection'!AA218="","",'WetLitterbags placem_collection'!AA218)</f>
        <v>O</v>
      </c>
      <c r="AH657">
        <f>IF('WetLitterbags placem_collection'!AC218="","",'WetLitterbags placem_collection'!AC218)</f>
        <v>1</v>
      </c>
      <c r="AI657" s="237">
        <f>AVERAGE('WetLitterbags placem_collection'!S218,'WetLitterbags placem_collection'!U218)</f>
        <v>20.65</v>
      </c>
      <c r="AJ657">
        <f>AVERAGE('WetLitterbags placem_collection'!R218,'WetLitterbags placem_collection'!T218)</f>
        <v>25.05</v>
      </c>
      <c r="AK657">
        <v>-2.4396450349999999</v>
      </c>
      <c r="AL657">
        <v>34.83836599</v>
      </c>
      <c r="AM657" t="str">
        <f>IF(ISNUMBER(SEARCH("C", 'WetLitterbags placem_collection'!$X218)),"YES","NO")</f>
        <v>NO</v>
      </c>
      <c r="AN657" t="str">
        <f>IF(ISNUMBER(SEARCH("H", 'WetLitterbags placem_collection'!$X218)),"YES","NO")</f>
        <v>NO</v>
      </c>
      <c r="AO657" t="str">
        <f>IF(ISNUMBER(SEARCH("R", 'WetLitterbags placem_collection'!$X218)),"YES","NO")</f>
        <v>YES</v>
      </c>
    </row>
    <row r="658" spans="1:41" ht="15" customHeight="1">
      <c r="A658" s="255" t="s">
        <v>2454</v>
      </c>
      <c r="B658" s="260">
        <f>'Dry_Litterbag Placem_Collection'!A219</f>
        <v>217</v>
      </c>
      <c r="C658" s="260" t="str">
        <f>'Dry_Litterbag Placem_Collection'!B219</f>
        <v>Seronera</v>
      </c>
      <c r="D658" s="260" t="s">
        <v>2646</v>
      </c>
      <c r="E658" s="260" t="s">
        <v>2512</v>
      </c>
      <c r="F658" s="260">
        <v>1</v>
      </c>
      <c r="G658" s="260" t="s">
        <v>3885</v>
      </c>
      <c r="H658" s="261" t="str">
        <f>'Dry_Litterbag Placem_Collection'!C219</f>
        <v>Local1_CG1</v>
      </c>
      <c r="I658" s="270" t="s">
        <v>3630</v>
      </c>
      <c r="J658" s="263" t="s">
        <v>1147</v>
      </c>
      <c r="K658" s="221" t="str">
        <f>'WetLitterbags placem_collection'!O219</f>
        <v>G804</v>
      </c>
      <c r="L658" s="223">
        <f>IFERROR(INDEX('Green_rooibos initial weight'!$C$5:$C$2000,MATCH(K658, 'Green_rooibos initial weight'!$A$5:$A$2000,0)),"")</f>
        <v>2.028</v>
      </c>
      <c r="M658" s="223">
        <f>IFERROR(L658-(TBIcalc!$H$9+TBIcalc!$H$10),"")</f>
        <v>1.7782</v>
      </c>
      <c r="N658" s="385">
        <f>AVERAGE(Ashed_controlls!$K$2:$K$11)</f>
        <v>5.5147656768714146</v>
      </c>
      <c r="O658" s="223">
        <f t="shared" si="51"/>
        <v>1.6801364367338725</v>
      </c>
      <c r="P658" s="223">
        <f>IFERROR(INDEX('Both teabags AfterWet'!$C$3:$C$840,MATCH(K658,'Both teabags AfterWet'!$A$3:$A$840,0)),"")</f>
        <v>0.66200000000000003</v>
      </c>
      <c r="Q658" s="223">
        <f>IFERROR(IF(P658&gt;0,P658-(TBIcalc!$H$9),""),"")</f>
        <v>0.51140000000000008</v>
      </c>
      <c r="R658" s="223">
        <f>IFERROR(INDEX('Ashed teabags wet'!$K$2:$K$2000,MATCH(K658,'Ashed teabags wet'!$A$2:$A$2000,0)),"")</f>
        <v>8.5770946950907749</v>
      </c>
      <c r="S658" s="223">
        <f t="shared" si="52"/>
        <v>0.46753673772930582</v>
      </c>
      <c r="T658" s="224">
        <f>'WetLitterbags placem_collection'!E219</f>
        <v>42769</v>
      </c>
      <c r="U658" s="224">
        <f>IF('WetLitterbags placem_collection'!G219="","",'WetLitterbags placem_collection'!G219)</f>
        <v>42814</v>
      </c>
      <c r="V658" s="225">
        <f t="shared" si="50"/>
        <v>45</v>
      </c>
      <c r="W658" s="223">
        <f t="shared" si="53"/>
        <v>1.2667999999999999</v>
      </c>
      <c r="X658" s="223">
        <f t="shared" si="54"/>
        <v>1.2125996990045667</v>
      </c>
      <c r="Y658">
        <f>IFERROR(INDEX(Rainfall_Wet!$O$2:$O$217,MATCH(B658, Rainfall_Wet!$A$2:$A$217,0)),"")</f>
        <v>175.377105089</v>
      </c>
      <c r="Z658" s="228">
        <v>29.076539101497506</v>
      </c>
      <c r="AA658" s="228">
        <v>7.1963394342762079</v>
      </c>
      <c r="AB658" s="228">
        <v>63.727121464226286</v>
      </c>
      <c r="AC658" s="228" t="s">
        <v>2654</v>
      </c>
      <c r="AD658" s="228">
        <v>1.0994578610152781</v>
      </c>
      <c r="AE658">
        <f>IF('WetLitterbags placem_collection'!AB219="","",'WetLitterbags placem_collection'!AB219)</f>
        <v>13.8</v>
      </c>
      <c r="AF658">
        <f>IF('WetLitterbags placem_collection'!Z219="","",'WetLitterbags placem_collection'!Z219)</f>
        <v>17.399999999999999</v>
      </c>
      <c r="AG658" s="243" t="str">
        <f>IF('WetLitterbags placem_collection'!AA219="","",'WetLitterbags placem_collection'!AA219)</f>
        <v>O</v>
      </c>
      <c r="AH658">
        <f>IF('WetLitterbags placem_collection'!AC219="","",'WetLitterbags placem_collection'!AC219)</f>
        <v>1</v>
      </c>
      <c r="AI658" s="237">
        <f>AVERAGE('WetLitterbags placem_collection'!S219,'WetLitterbags placem_collection'!U219)</f>
        <v>20.049999999999997</v>
      </c>
      <c r="AJ658">
        <f>AVERAGE('WetLitterbags placem_collection'!R219,'WetLitterbags placem_collection'!T219)</f>
        <v>25.5</v>
      </c>
      <c r="AK658">
        <v>-2.439403972</v>
      </c>
      <c r="AL658">
        <v>34.838404959999998</v>
      </c>
      <c r="AM658" t="str">
        <f>IF(ISNUMBER(SEARCH("C", 'WetLitterbags placem_collection'!$X219)),"YES","NO")</f>
        <v>NO</v>
      </c>
      <c r="AN658" t="str">
        <f>IF(ISNUMBER(SEARCH("H", 'WetLitterbags placem_collection'!$X219)),"YES","NO")</f>
        <v>NO</v>
      </c>
      <c r="AO658" t="str">
        <f>IF(ISNUMBER(SEARCH("R", 'WetLitterbags placem_collection'!$X219)),"YES","NO")</f>
        <v>YES</v>
      </c>
    </row>
    <row r="659" spans="1:41" ht="15" customHeight="1">
      <c r="A659" s="255" t="s">
        <v>2454</v>
      </c>
      <c r="B659" s="260">
        <f>'Dry_Litterbag Placem_Collection'!A220</f>
        <v>218</v>
      </c>
      <c r="C659" s="260" t="str">
        <f>'Dry_Litterbag Placem_Collection'!B220</f>
        <v>Seronera</v>
      </c>
      <c r="D659" s="260" t="s">
        <v>2646</v>
      </c>
      <c r="E659" s="260" t="s">
        <v>2512</v>
      </c>
      <c r="F659" s="260">
        <v>2</v>
      </c>
      <c r="G659" s="260" t="s">
        <v>3886</v>
      </c>
      <c r="H659" s="261" t="str">
        <f>'Dry_Litterbag Placem_Collection'!C220</f>
        <v>Local2_CG2</v>
      </c>
      <c r="I659" s="270" t="s">
        <v>3630</v>
      </c>
      <c r="J659" s="263" t="s">
        <v>1147</v>
      </c>
      <c r="K659" s="221" t="str">
        <f>'WetLitterbags placem_collection'!O220</f>
        <v>G587</v>
      </c>
      <c r="L659" s="223">
        <f>IFERROR(INDEX('Green_rooibos initial weight'!$C$5:$C$2000,MATCH(K659, 'Green_rooibos initial weight'!$A$5:$A$2000,0)),"")</f>
        <v>2.0640000000000001</v>
      </c>
      <c r="M659" s="223">
        <f>IFERROR(L659-(TBIcalc!$H$9+TBIcalc!$H$10),"")</f>
        <v>1.8142</v>
      </c>
      <c r="N659" s="385">
        <f>AVERAGE(Ashed_controlls!$K$2:$K$11)</f>
        <v>5.5147656768714146</v>
      </c>
      <c r="O659" s="223">
        <f t="shared" si="51"/>
        <v>1.7141511210901987</v>
      </c>
      <c r="P659" s="223">
        <f>IFERROR(INDEX('Both teabags AfterWet'!$C$3:$C$840,MATCH(K659,'Both teabags AfterWet'!$A$3:$A$840,0)),"")</f>
        <v>0.7167</v>
      </c>
      <c r="Q659" s="223">
        <f>IFERROR(IF(P659&gt;0,P659-(TBIcalc!$H$9),""),"")</f>
        <v>0.56610000000000005</v>
      </c>
      <c r="R659" s="223">
        <f>IFERROR(INDEX('Ashed teabags wet'!$K$2:$K$2000,MATCH(K659,'Ashed teabags wet'!$A$2:$A$2000,0)),"")</f>
        <v>13.067061143984493</v>
      </c>
      <c r="S659" s="223">
        <f t="shared" si="52"/>
        <v>0.49212736686390379</v>
      </c>
      <c r="T659" s="224">
        <f>'WetLitterbags placem_collection'!E220</f>
        <v>42769</v>
      </c>
      <c r="U659" s="224">
        <f>IF('WetLitterbags placem_collection'!G220="","",'WetLitterbags placem_collection'!G220)</f>
        <v>42814</v>
      </c>
      <c r="V659" s="225">
        <f t="shared" si="50"/>
        <v>45</v>
      </c>
      <c r="W659" s="223">
        <f t="shared" si="53"/>
        <v>1.2481</v>
      </c>
      <c r="X659" s="223">
        <f t="shared" si="54"/>
        <v>1.2220237542262948</v>
      </c>
      <c r="Y659">
        <f>IFERROR(INDEX(Rainfall_Wet!$O$2:$O$217,MATCH(B659, Rainfall_Wet!$A$2:$A$217,0)),"")</f>
        <v>175.377105089</v>
      </c>
      <c r="Z659" s="228">
        <v>21.072635135135137</v>
      </c>
      <c r="AA659" s="228">
        <v>7.3057432432432412</v>
      </c>
      <c r="AB659" s="228">
        <v>71.621621621621614</v>
      </c>
      <c r="AC659" s="228" t="s">
        <v>2654</v>
      </c>
      <c r="AD659" s="228">
        <v>1.4512074913750617</v>
      </c>
      <c r="AE659">
        <f>IF('WetLitterbags placem_collection'!AB220="","",'WetLitterbags placem_collection'!AB220)</f>
        <v>5.13</v>
      </c>
      <c r="AF659">
        <f>IF('WetLitterbags placem_collection'!Z220="","",'WetLitterbags placem_collection'!Z220)</f>
        <v>5.13</v>
      </c>
      <c r="AG659" s="243" t="str">
        <f>IF('WetLitterbags placem_collection'!AA220="","",'WetLitterbags placem_collection'!AA220)</f>
        <v>O</v>
      </c>
      <c r="AH659">
        <f>IF('WetLitterbags placem_collection'!AC220="","",'WetLitterbags placem_collection'!AC220)</f>
        <v>1</v>
      </c>
      <c r="AI659" s="237">
        <f>AVERAGE('WetLitterbags placem_collection'!S220,'WetLitterbags placem_collection'!U220)</f>
        <v>22.1</v>
      </c>
      <c r="AJ659">
        <f>AVERAGE('WetLitterbags placem_collection'!R220,'WetLitterbags placem_collection'!T220)</f>
        <v>24.5</v>
      </c>
      <c r="AK659">
        <v>-2.4396450349999999</v>
      </c>
      <c r="AL659">
        <v>34.83836599</v>
      </c>
      <c r="AM659" t="str">
        <f>IF(ISNUMBER(SEARCH("C", 'WetLitterbags placem_collection'!$X220)),"YES","NO")</f>
        <v>NO</v>
      </c>
      <c r="AN659" t="str">
        <f>IF(ISNUMBER(SEARCH("H", 'WetLitterbags placem_collection'!$X220)),"YES","NO")</f>
        <v>NO</v>
      </c>
      <c r="AO659" t="str">
        <f>IF(ISNUMBER(SEARCH("R", 'WetLitterbags placem_collection'!$X220)),"YES","NO")</f>
        <v>YES</v>
      </c>
    </row>
    <row r="660" spans="1:41" ht="15" customHeight="1">
      <c r="A660" s="255" t="s">
        <v>2454</v>
      </c>
      <c r="B660" s="260">
        <f>'Dry_Litterbag Placem_Collection'!A221</f>
        <v>219</v>
      </c>
      <c r="C660" s="260" t="str">
        <f>'Dry_Litterbag Placem_Collection'!B221</f>
        <v>Seronera</v>
      </c>
      <c r="D660" s="260" t="s">
        <v>2646</v>
      </c>
      <c r="E660" s="260" t="s">
        <v>2512</v>
      </c>
      <c r="F660" s="260">
        <v>3</v>
      </c>
      <c r="G660" s="260" t="s">
        <v>3887</v>
      </c>
      <c r="H660" s="261" t="str">
        <f>'Dry_Litterbag Placem_Collection'!C221</f>
        <v>Local3_CG3</v>
      </c>
      <c r="I660" s="270" t="s">
        <v>3630</v>
      </c>
      <c r="J660" s="263" t="s">
        <v>1147</v>
      </c>
      <c r="K660" s="221" t="str">
        <f>'WetLitterbags placem_collection'!O221</f>
        <v>G491</v>
      </c>
      <c r="L660" s="223">
        <f>IFERROR(INDEX('Green_rooibos initial weight'!$C$5:$C$2000,MATCH(K660, 'Green_rooibos initial weight'!$A$5:$A$2000,0)),"")</f>
        <v>2.0249999999999999</v>
      </c>
      <c r="M660" s="223">
        <f>IFERROR(L660-(TBIcalc!$H$9+TBIcalc!$H$10),"")</f>
        <v>1.7751999999999999</v>
      </c>
      <c r="N660" s="385">
        <f>AVERAGE(Ashed_controlls!$K$2:$K$11)</f>
        <v>5.5147656768714146</v>
      </c>
      <c r="O660" s="223">
        <f t="shared" si="51"/>
        <v>1.6773018797041785</v>
      </c>
      <c r="P660" s="223">
        <f>IFERROR(INDEX('Both teabags AfterWet'!$C$3:$C$840,MATCH(K660,'Both teabags AfterWet'!$A$3:$A$840,0)),"")</f>
        <v>0.65569999999999995</v>
      </c>
      <c r="Q660" s="223">
        <f>IFERROR(IF(P660&gt;0,P660-(TBIcalc!$H$9),""),"")</f>
        <v>0.50509999999999988</v>
      </c>
      <c r="R660" s="223">
        <f>IFERROR(INDEX('Ashed teabags wet'!$K$2:$K$2000,MATCH(K660,'Ashed teabags wet'!$A$2:$A$2000,0)),"")</f>
        <v>11.643835616438309</v>
      </c>
      <c r="S660" s="223">
        <f t="shared" si="52"/>
        <v>0.44628698630136998</v>
      </c>
      <c r="T660" s="224">
        <f>'WetLitterbags placem_collection'!E221</f>
        <v>42769</v>
      </c>
      <c r="U660" s="224">
        <f>IF('WetLitterbags placem_collection'!G221="","",'WetLitterbags placem_collection'!G221)</f>
        <v>42813</v>
      </c>
      <c r="V660" s="225">
        <f t="shared" si="50"/>
        <v>44</v>
      </c>
      <c r="W660" s="223">
        <f t="shared" si="53"/>
        <v>1.2701</v>
      </c>
      <c r="X660" s="223">
        <f t="shared" si="54"/>
        <v>1.2310148934028087</v>
      </c>
      <c r="Y660">
        <f>IFERROR(INDEX(Rainfall_Wet!$O$2:$O$217,MATCH(B660, Rainfall_Wet!$A$2:$A$217,0)),"")</f>
        <v>175.054685654</v>
      </c>
      <c r="Z660" s="228">
        <v>21.96</v>
      </c>
      <c r="AA660" s="228">
        <v>4.9199999999999982</v>
      </c>
      <c r="AB660" s="228">
        <v>73.12</v>
      </c>
      <c r="AC660" s="228" t="s">
        <v>2654</v>
      </c>
      <c r="AD660" s="228">
        <v>1.4012321340561851</v>
      </c>
      <c r="AE660">
        <f>IF('WetLitterbags placem_collection'!AB221="","",'WetLitterbags placem_collection'!AB221)</f>
        <v>7.9</v>
      </c>
      <c r="AF660">
        <f>IF('WetLitterbags placem_collection'!Z221="","",'WetLitterbags placem_collection'!Z221)</f>
        <v>7.9</v>
      </c>
      <c r="AG660" s="243" t="str">
        <f>IF('WetLitterbags placem_collection'!AA221="","",'WetLitterbags placem_collection'!AA221)</f>
        <v>O</v>
      </c>
      <c r="AH660">
        <f>IF('WetLitterbags placem_collection'!AC221="","",'WetLitterbags placem_collection'!AC221)</f>
        <v>1</v>
      </c>
      <c r="AI660" s="237">
        <f>AVERAGE('WetLitterbags placem_collection'!S221,'WetLitterbags placem_collection'!U221)</f>
        <v>21.75</v>
      </c>
      <c r="AJ660">
        <f>AVERAGE('WetLitterbags placem_collection'!R221,'WetLitterbags placem_collection'!T221)</f>
        <v>27.55</v>
      </c>
      <c r="AK660">
        <v>-2.4395990190000001</v>
      </c>
      <c r="AL660">
        <v>34.838418959999998</v>
      </c>
      <c r="AM660" t="str">
        <f>IF(ISNUMBER(SEARCH("C", 'WetLitterbags placem_collection'!$X221)),"YES","NO")</f>
        <v>NO</v>
      </c>
      <c r="AN660" t="str">
        <f>IF(ISNUMBER(SEARCH("H", 'WetLitterbags placem_collection'!$X221)),"YES","NO")</f>
        <v>NO</v>
      </c>
      <c r="AO660" t="str">
        <f>IF(ISNUMBER(SEARCH("R", 'WetLitterbags placem_collection'!$X221)),"YES","NO")</f>
        <v>YES</v>
      </c>
    </row>
    <row r="661" spans="1:41" ht="15" customHeight="1">
      <c r="A661" s="255" t="s">
        <v>2454</v>
      </c>
      <c r="B661" s="260">
        <f>'Dry_Litterbag Placem_Collection'!A222</f>
        <v>220</v>
      </c>
      <c r="C661" s="260" t="str">
        <f>'Dry_Litterbag Placem_Collection'!B222</f>
        <v>Seronera</v>
      </c>
      <c r="D661" s="260" t="s">
        <v>2646</v>
      </c>
      <c r="E661" s="260" t="s">
        <v>2512</v>
      </c>
      <c r="F661" s="260">
        <v>4</v>
      </c>
      <c r="G661" s="260" t="s">
        <v>3888</v>
      </c>
      <c r="H661" s="261" t="str">
        <f>'Dry_Litterbag Placem_Collection'!C222</f>
        <v>Local4_CG4</v>
      </c>
      <c r="I661" s="270" t="s">
        <v>3630</v>
      </c>
      <c r="J661" s="263" t="s">
        <v>1147</v>
      </c>
      <c r="K661" s="221" t="str">
        <f>'WetLitterbags placem_collection'!O222</f>
        <v>G849</v>
      </c>
      <c r="L661" s="223">
        <f>IFERROR(INDEX('Green_rooibos initial weight'!$C$5:$C$2000,MATCH(K661, 'Green_rooibos initial weight'!$A$5:$A$2000,0)),"")</f>
        <v>2.1070000000000002</v>
      </c>
      <c r="M661" s="223">
        <f>IFERROR(L661-(TBIcalc!$H$9+TBIcalc!$H$10),"")</f>
        <v>1.8572000000000002</v>
      </c>
      <c r="N661" s="385">
        <f>AVERAGE(Ashed_controlls!$K$2:$K$11)</f>
        <v>5.5147656768714146</v>
      </c>
      <c r="O661" s="223">
        <f t="shared" si="51"/>
        <v>1.7547797718491442</v>
      </c>
      <c r="P661" s="223">
        <f>IFERROR(INDEX('Both teabags AfterWet'!$C$3:$C$840,MATCH(K661,'Both teabags AfterWet'!$A$3:$A$840,0)),"")</f>
        <v>0.65239999999999998</v>
      </c>
      <c r="Q661" s="223">
        <f>IFERROR(IF(P661&gt;0,P661-(TBIcalc!$H$9),""),"")</f>
        <v>0.50180000000000002</v>
      </c>
      <c r="R661" s="223">
        <f>IFERROR(INDEX('Ashed teabags wet'!$K$2:$K$2000,MATCH(K661,'Ashed teabags wet'!$A$2:$A$2000,0)),"")</f>
        <v>11.566979733070331</v>
      </c>
      <c r="S661" s="223">
        <f t="shared" si="52"/>
        <v>0.44375689569945309</v>
      </c>
      <c r="T661" s="224">
        <f>'WetLitterbags placem_collection'!E222</f>
        <v>42769</v>
      </c>
      <c r="U661" s="224">
        <f>IF('WetLitterbags placem_collection'!G222="","",'WetLitterbags placem_collection'!G222)</f>
        <v>42813</v>
      </c>
      <c r="V661" s="225">
        <f t="shared" si="50"/>
        <v>44</v>
      </c>
      <c r="W661" s="223">
        <f t="shared" si="53"/>
        <v>1.3554000000000002</v>
      </c>
      <c r="X661" s="223">
        <f t="shared" si="54"/>
        <v>1.3110228761496912</v>
      </c>
      <c r="Y661">
        <f>IFERROR(INDEX(Rainfall_Wet!$O$2:$O$217,MATCH(B661, Rainfall_Wet!$A$2:$A$217,0)),"")</f>
        <v>175.054685654</v>
      </c>
      <c r="Z661" s="228">
        <v>15.960000000000003</v>
      </c>
      <c r="AA661" s="228">
        <v>6.9199999999999982</v>
      </c>
      <c r="AB661" s="228">
        <v>77.11999999999999</v>
      </c>
      <c r="AC661" s="228" t="s">
        <v>2655</v>
      </c>
      <c r="AD661" s="228">
        <v>0.60547067520946207</v>
      </c>
      <c r="AE661">
        <f>IF('WetLitterbags placem_collection'!AB222="","",'WetLitterbags placem_collection'!AB222)</f>
        <v>15.2</v>
      </c>
      <c r="AF661">
        <f>IF('WetLitterbags placem_collection'!Z222="","",'WetLitterbags placem_collection'!Z222)</f>
        <v>12.2</v>
      </c>
      <c r="AG661" s="243" t="str">
        <f>IF('WetLitterbags placem_collection'!AA222="","",'WetLitterbags placem_collection'!AA222)</f>
        <v>O</v>
      </c>
      <c r="AH661">
        <f>IF('WetLitterbags placem_collection'!AC222="","",'WetLitterbags placem_collection'!AC222)</f>
        <v>1</v>
      </c>
      <c r="AI661" s="237">
        <f>AVERAGE('WetLitterbags placem_collection'!S222,'WetLitterbags placem_collection'!U222)</f>
        <v>20.85</v>
      </c>
      <c r="AJ661">
        <f>AVERAGE('WetLitterbags placem_collection'!R222,'WetLitterbags placem_collection'!T222)</f>
        <v>27.950000000000003</v>
      </c>
      <c r="AK661">
        <v>-2.4396949910000001</v>
      </c>
      <c r="AL661">
        <v>34.838574029999997</v>
      </c>
      <c r="AM661" t="str">
        <f>IF(ISNUMBER(SEARCH("C", 'WetLitterbags placem_collection'!$X222)),"YES","NO")</f>
        <v>NO</v>
      </c>
      <c r="AN661" t="str">
        <f>IF(ISNUMBER(SEARCH("H", 'WetLitterbags placem_collection'!$X222)),"YES","NO")</f>
        <v>NO</v>
      </c>
      <c r="AO661" t="str">
        <f>IF(ISNUMBER(SEARCH("R", 'WetLitterbags placem_collection'!$X222)),"YES","NO")</f>
        <v>YES</v>
      </c>
    </row>
    <row r="662" spans="1:41" ht="15" customHeight="1">
      <c r="A662" s="255" t="s">
        <v>2454</v>
      </c>
      <c r="B662" s="260">
        <f>'Dry_Litterbag Placem_Collection'!A3</f>
        <v>1</v>
      </c>
      <c r="C662" s="260" t="str">
        <f>'Dry_Litterbag Placem_Collection'!B3</f>
        <v>Makao</v>
      </c>
      <c r="D662" s="260" t="s">
        <v>2643</v>
      </c>
      <c r="E662" s="260" t="s">
        <v>2644</v>
      </c>
      <c r="F662" s="260">
        <v>1</v>
      </c>
      <c r="G662" s="260" t="s">
        <v>3798</v>
      </c>
      <c r="H662" s="261" t="str">
        <f>'Dry_Litterbag Placem_Collection'!C3</f>
        <v>Dry_Ag1_T1</v>
      </c>
      <c r="I662" s="270" t="s">
        <v>3630</v>
      </c>
      <c r="J662" s="271" t="s">
        <v>298</v>
      </c>
      <c r="K662" s="221" t="str">
        <f>'WetLitterbags placem_collection'!Q3</f>
        <v>R133</v>
      </c>
      <c r="L662" s="223">
        <f>IFERROR(INDEX('Green_rooibos initial weight'!$C$5:$C$2000,MATCH(K662, 'Green_rooibos initial weight'!$A$5:$A$2000,0)),"")</f>
        <v>2.1760000000000002</v>
      </c>
      <c r="M662" s="223">
        <f>IFERROR(L662-(TBIcalc!$H$9+TBIcalc!$H$10),"")</f>
        <v>1.9262000000000001</v>
      </c>
      <c r="N662" s="385">
        <f>AVERAGE(Ashed_controlls!$K$2:$K$11)</f>
        <v>5.5147656768714146</v>
      </c>
      <c r="O662" s="223">
        <f t="shared" si="51"/>
        <v>1.8199745835321028</v>
      </c>
      <c r="P662" s="223">
        <f>IFERROR(INDEX('Both teabags AfterWet'!$C$3:$C$840,MATCH(K662,'Both teabags AfterWet'!$A$3:$A$840,0)),"")</f>
        <v>1.4104000000000001</v>
      </c>
      <c r="Q662" s="223">
        <f>IFERROR(IF(P662&gt;0,P662-(TBIcalc!$H$9),""),"")</f>
        <v>1.2598</v>
      </c>
      <c r="R662" s="223">
        <f>IFERROR(INDEX('Ashed teabags wet'!$K$2:$K$2000,MATCH(K662,'Ashed teabags wet'!$A$2:$A$2000,0)),"")</f>
        <v>2.8344107409252359</v>
      </c>
      <c r="S662" s="223">
        <f t="shared" si="52"/>
        <v>1.2240920934858239</v>
      </c>
      <c r="T662" s="224">
        <f>'WetLitterbags placem_collection'!E3</f>
        <v>42766</v>
      </c>
      <c r="U662" s="224">
        <f>IF('WetLitterbags placem_collection'!G3="","",'WetLitterbags placem_collection'!G3)</f>
        <v>42818</v>
      </c>
      <c r="V662" s="225">
        <f t="shared" si="50"/>
        <v>52</v>
      </c>
      <c r="W662" s="223">
        <f t="shared" si="53"/>
        <v>0.6664000000000001</v>
      </c>
      <c r="X662" s="223">
        <f t="shared" si="54"/>
        <v>0.59588249004627891</v>
      </c>
      <c r="Y662">
        <f>IFERROR(INDEX(Rainfall_Wet!$O$2:$O$217,MATCH(B662, Rainfall_Wet!$A$2:$A$217,0)),"")</f>
        <v>194.43839254400001</v>
      </c>
      <c r="Z662" s="228">
        <v>12.565665055683967</v>
      </c>
      <c r="AA662" s="228">
        <v>0.9665896196679955</v>
      </c>
      <c r="AB662" s="228">
        <v>86.467745324648035</v>
      </c>
      <c r="AC662" s="229" t="s">
        <v>2656</v>
      </c>
      <c r="AD662" s="228">
        <v>1.0225726959093147</v>
      </c>
      <c r="AE662">
        <f>IF('WetLitterbags placem_collection'!AB3="","",'WetLitterbags placem_collection'!AB3)</f>
        <v>26.4</v>
      </c>
      <c r="AF662">
        <f>IF('WetLitterbags placem_collection'!Z3="","",'WetLitterbags placem_collection'!Z3)</f>
        <v>41</v>
      </c>
      <c r="AG662" s="243" t="str">
        <f>IF('WetLitterbags placem_collection'!AA3="","",'WetLitterbags placem_collection'!AA3)</f>
        <v>M</v>
      </c>
      <c r="AH662">
        <f>IF('WetLitterbags placem_collection'!AC3="","",'WetLitterbags placem_collection'!AC3)</f>
        <v>1</v>
      </c>
      <c r="AI662">
        <f>AVERAGE('WetLitterbags placem_collection'!S3,'WetLitterbags placem_collection'!U3)</f>
        <v>14.75</v>
      </c>
      <c r="AJ662">
        <f>AVERAGE('WetLitterbags placem_collection'!R3,'WetLitterbags placem_collection'!T3)</f>
        <v>24.7</v>
      </c>
      <c r="AK662">
        <f>INDEX(Coordinates!$B$2:$B$197,MATCH(H662,Coordinates!$J$2:$J$197,0))</f>
        <v>-3.3978609999999998</v>
      </c>
      <c r="AL662">
        <f>INDEX(Coordinates!$C$2:$C$197,MATCH(H662,Coordinates!$J$2:$J$197,0))</f>
        <v>34.837608000000003</v>
      </c>
      <c r="AM662" t="str">
        <f>IF(ISNUMBER(SEARCH("C", 'WetLitterbags placem_collection'!$Y3)),"YES","NO")</f>
        <v>NO</v>
      </c>
      <c r="AN662" t="str">
        <f>IF(ISNUMBER(SEARCH("H", 'WetLitterbags placem_collection'!$Y3)),"YES","NO")</f>
        <v>NO</v>
      </c>
      <c r="AO662" t="str">
        <f>IF(ISNUMBER(SEARCH("R", 'WetLitterbags placem_collection'!$Y3)),"YES","NO")</f>
        <v>NO</v>
      </c>
    </row>
    <row r="663" spans="1:41" ht="15" customHeight="1">
      <c r="A663" s="255" t="s">
        <v>2454</v>
      </c>
      <c r="B663" s="260">
        <f>'Dry_Litterbag Placem_Collection'!A4</f>
        <v>2</v>
      </c>
      <c r="C663" s="260" t="str">
        <f>'Dry_Litterbag Placem_Collection'!B4</f>
        <v>Makao</v>
      </c>
      <c r="D663" s="260" t="s">
        <v>2643</v>
      </c>
      <c r="E663" s="260" t="s">
        <v>2644</v>
      </c>
      <c r="F663" s="260">
        <v>1</v>
      </c>
      <c r="G663" s="260" t="s">
        <v>3798</v>
      </c>
      <c r="H663" s="261" t="str">
        <f>'Dry_Litterbag Placem_Collection'!C4</f>
        <v>Dry_Ag1_T2</v>
      </c>
      <c r="I663" s="270" t="s">
        <v>3630</v>
      </c>
      <c r="J663" s="271" t="s">
        <v>298</v>
      </c>
      <c r="K663" s="221" t="str">
        <f>'WetLitterbags placem_collection'!Q4</f>
        <v>R527</v>
      </c>
      <c r="L663" s="223">
        <f>IFERROR(INDEX('Green_rooibos initial weight'!$C$5:$C$2000,MATCH(K663, 'Green_rooibos initial weight'!$A$5:$A$2000,0)),"")</f>
        <v>2.1859999999999999</v>
      </c>
      <c r="M663" s="223">
        <f>IFERROR(L663-(TBIcalc!$H$9+TBIcalc!$H$10),"")</f>
        <v>1.9361999999999999</v>
      </c>
      <c r="N663" s="385">
        <f>AVERAGE(Ashed_controlls!$K$2:$K$11)</f>
        <v>5.5147656768714146</v>
      </c>
      <c r="O663" s="223">
        <f t="shared" si="51"/>
        <v>1.8294231069644156</v>
      </c>
      <c r="P663" s="223">
        <f>IFERROR(INDEX('Both teabags AfterWet'!$C$3:$C$840,MATCH(K663,'Both teabags AfterWet'!$A$3:$A$840,0)),"")</f>
        <v>1.3275999999999999</v>
      </c>
      <c r="Q663" s="223">
        <f>IFERROR(IF(P663&gt;0,P663-(TBIcalc!$H$9),""),"")</f>
        <v>1.1769999999999998</v>
      </c>
      <c r="R663" s="223">
        <f>IFERROR(INDEX('Ashed teabags wet'!$K$2:$K$2000,MATCH(K663,'Ashed teabags wet'!$A$2:$A$2000,0)),"")</f>
        <v>4.4433349975038503</v>
      </c>
      <c r="S663" s="223">
        <f t="shared" si="52"/>
        <v>1.1247019470793795</v>
      </c>
      <c r="T663" s="224">
        <f>'WetLitterbags placem_collection'!E4</f>
        <v>42766</v>
      </c>
      <c r="U663" s="224">
        <f>IF('WetLitterbags placem_collection'!G4="","",'WetLitterbags placem_collection'!G4)</f>
        <v>42818</v>
      </c>
      <c r="V663" s="225">
        <f t="shared" si="50"/>
        <v>52</v>
      </c>
      <c r="W663" s="223">
        <f t="shared" si="53"/>
        <v>0.7592000000000001</v>
      </c>
      <c r="X663" s="223">
        <f t="shared" si="54"/>
        <v>0.70472115988503603</v>
      </c>
      <c r="Y663">
        <f>IFERROR(INDEX(Rainfall_Wet!$O$2:$O$217,MATCH(B663, Rainfall_Wet!$A$2:$A$217,0)),"")</f>
        <v>194.43839254400001</v>
      </c>
      <c r="Z663" s="228">
        <v>12.565665055683967</v>
      </c>
      <c r="AA663" s="228">
        <v>0.9665896196679955</v>
      </c>
      <c r="AB663" s="228">
        <v>86.467745324648035</v>
      </c>
      <c r="AC663" s="229" t="s">
        <v>2656</v>
      </c>
      <c r="AD663" s="228">
        <v>2.02257269590931</v>
      </c>
      <c r="AE663">
        <f>IF('WetLitterbags placem_collection'!AB4="","",'WetLitterbags placem_collection'!AB4)</f>
        <v>22.4</v>
      </c>
      <c r="AF663">
        <f>IF('WetLitterbags placem_collection'!Z4="","",'WetLitterbags placem_collection'!Z4)</f>
        <v>39.799999999999997</v>
      </c>
      <c r="AG663" s="243" t="str">
        <f>IF('WetLitterbags placem_collection'!AA4="","",'WetLitterbags placem_collection'!AA4)</f>
        <v>M</v>
      </c>
      <c r="AH663">
        <f>IF('WetLitterbags placem_collection'!AC4="","",'WetLitterbags placem_collection'!AC4)</f>
        <v>1</v>
      </c>
      <c r="AI663">
        <f>AVERAGE('WetLitterbags placem_collection'!S4,'WetLitterbags placem_collection'!U4)</f>
        <v>13.1</v>
      </c>
      <c r="AJ663">
        <f>AVERAGE('WetLitterbags placem_collection'!R4,'WetLitterbags placem_collection'!T4)</f>
        <v>24.9</v>
      </c>
      <c r="AK663">
        <f>INDEX(Coordinates!$B$2:$B$197,MATCH(H663,Coordinates!$J$2:$J$197,0))</f>
        <v>-3.397879042</v>
      </c>
      <c r="AL663">
        <f>INDEX(Coordinates!$C$2:$C$197,MATCH(H663,Coordinates!$J$2:$J$197,0))</f>
        <v>34.837536010000001</v>
      </c>
      <c r="AM663" t="str">
        <f>IF(ISNUMBER(SEARCH("C", 'WetLitterbags placem_collection'!$Y4)),"YES","NO")</f>
        <v>NO</v>
      </c>
      <c r="AN663" t="str">
        <f>IF(ISNUMBER(SEARCH("H", 'WetLitterbags placem_collection'!$Y4)),"YES","NO")</f>
        <v>NO</v>
      </c>
      <c r="AO663" t="str">
        <f>IF(ISNUMBER(SEARCH("R", 'WetLitterbags placem_collection'!$Y4)),"YES","NO")</f>
        <v>NO</v>
      </c>
    </row>
    <row r="664" spans="1:41" ht="15" customHeight="1">
      <c r="A664" s="255" t="s">
        <v>2454</v>
      </c>
      <c r="B664" s="260">
        <f>'Dry_Litterbag Placem_Collection'!A5</f>
        <v>3</v>
      </c>
      <c r="C664" s="260" t="str">
        <f>'Dry_Litterbag Placem_Collection'!B5</f>
        <v>Makao</v>
      </c>
      <c r="D664" s="260" t="s">
        <v>2643</v>
      </c>
      <c r="E664" s="260" t="s">
        <v>2644</v>
      </c>
      <c r="F664" s="260">
        <v>1</v>
      </c>
      <c r="G664" s="260" t="s">
        <v>3798</v>
      </c>
      <c r="H664" s="261" t="str">
        <f>'Dry_Litterbag Placem_Collection'!C5</f>
        <v>Dry_Ag1_T3</v>
      </c>
      <c r="I664" s="270" t="s">
        <v>3630</v>
      </c>
      <c r="J664" s="271" t="s">
        <v>298</v>
      </c>
      <c r="K664" s="221" t="str">
        <f>'WetLitterbags placem_collection'!Q5</f>
        <v>R498</v>
      </c>
      <c r="L664" s="223">
        <f>IFERROR(INDEX('Green_rooibos initial weight'!$C$5:$C$2000,MATCH(K664, 'Green_rooibos initial weight'!$A$5:$A$2000,0)),"")</f>
        <v>2.1520000000000001</v>
      </c>
      <c r="M664" s="223">
        <f>IFERROR(L664-(TBIcalc!$H$9+TBIcalc!$H$10),"")</f>
        <v>1.9022000000000001</v>
      </c>
      <c r="N664" s="385">
        <f>AVERAGE(Ashed_controlls!$K$2:$K$11)</f>
        <v>5.5147656768714146</v>
      </c>
      <c r="O664" s="223">
        <f t="shared" si="51"/>
        <v>1.7972981272945521</v>
      </c>
      <c r="P664" s="223" t="str">
        <f>IFERROR(INDEX('Both teabags AfterWet'!$C$3:$C$840,MATCH(K664,'Both teabags AfterWet'!$A$3:$A$840,0)),"")</f>
        <v/>
      </c>
      <c r="Q664" s="223" t="str">
        <f>IFERROR(IF(P664&gt;0,P664-(TBIcalc!$H$9),""),"")</f>
        <v/>
      </c>
      <c r="R664" s="223" t="str">
        <f>IFERROR(INDEX('Ashed teabags wet'!$K$2:$K$2000,MATCH(K664,'Ashed teabags wet'!$A$2:$A$2000,0)),"")</f>
        <v/>
      </c>
      <c r="S664" s="223" t="str">
        <f t="shared" si="52"/>
        <v/>
      </c>
      <c r="T664" s="224">
        <f>'WetLitterbags placem_collection'!E5</f>
        <v>42766</v>
      </c>
      <c r="U664" s="224">
        <f>IF('WetLitterbags placem_collection'!G5="","",'WetLitterbags placem_collection'!G5)</f>
        <v>42819</v>
      </c>
      <c r="V664" s="225">
        <f t="shared" si="50"/>
        <v>53</v>
      </c>
      <c r="W664" s="223" t="str">
        <f t="shared" si="53"/>
        <v/>
      </c>
      <c r="X664" s="223" t="str">
        <f t="shared" si="54"/>
        <v/>
      </c>
      <c r="Y664" t="str">
        <f>IFERROR(INDEX(Rainfall_Wet!$O$2:$O$217,MATCH(B664, Rainfall_Wet!$A$2:$A$217,0)),"")</f>
        <v/>
      </c>
      <c r="Z664" s="228">
        <v>12.565665055683967</v>
      </c>
      <c r="AA664" s="228">
        <v>0.9665896196679955</v>
      </c>
      <c r="AB664" s="228">
        <v>86.467745324648035</v>
      </c>
      <c r="AC664" s="229" t="s">
        <v>2656</v>
      </c>
      <c r="AD664" s="228">
        <v>3.02257269590931</v>
      </c>
      <c r="AE664" t="str">
        <f>IF('WetLitterbags placem_collection'!AB5="","",'WetLitterbags placem_collection'!AB5)</f>
        <v/>
      </c>
      <c r="AF664" t="str">
        <f>IF('WetLitterbags placem_collection'!Z5="","",'WetLitterbags placem_collection'!Z5)</f>
        <v/>
      </c>
      <c r="AG664" s="243" t="str">
        <f>IF('WetLitterbags placem_collection'!AA5="","",'WetLitterbags placem_collection'!AA5)</f>
        <v/>
      </c>
      <c r="AH664" t="str">
        <f>IF('WetLitterbags placem_collection'!AC5="","",'WetLitterbags placem_collection'!AC5)</f>
        <v/>
      </c>
      <c r="AI664">
        <f>AVERAGE('WetLitterbags placem_collection'!S5,'WetLitterbags placem_collection'!U5)</f>
        <v>14.649999999999999</v>
      </c>
      <c r="AJ664">
        <f>AVERAGE('WetLitterbags placem_collection'!R5,'WetLitterbags placem_collection'!T5)</f>
        <v>24.7</v>
      </c>
      <c r="AK664">
        <f>INDEX(Coordinates!$B$2:$B$197,MATCH(H664,Coordinates!$J$2:$J$197,0))</f>
        <v>-3.3978739999999998</v>
      </c>
      <c r="AL664">
        <f>INDEX(Coordinates!$C$2:$C$197,MATCH(H664,Coordinates!$J$2:$J$197,0))</f>
        <v>34.837578999999998</v>
      </c>
      <c r="AM664" t="str">
        <f>IF(ISNUMBER(SEARCH("C", 'WetLitterbags placem_collection'!$Y5)),"YES","NO")</f>
        <v>NO</v>
      </c>
      <c r="AN664" t="str">
        <f>IF(ISNUMBER(SEARCH("H", 'WetLitterbags placem_collection'!$Y5)),"YES","NO")</f>
        <v>NO</v>
      </c>
      <c r="AO664" t="str">
        <f>IF(ISNUMBER(SEARCH("R", 'WetLitterbags placem_collection'!$Y5)),"YES","NO")</f>
        <v>NO</v>
      </c>
    </row>
    <row r="665" spans="1:41" ht="15" customHeight="1">
      <c r="A665" s="255" t="s">
        <v>2454</v>
      </c>
      <c r="B665" s="260">
        <f>'Dry_Litterbag Placem_Collection'!A6</f>
        <v>4</v>
      </c>
      <c r="C665" s="260" t="str">
        <f>'Dry_Litterbag Placem_Collection'!B6</f>
        <v>Makao</v>
      </c>
      <c r="D665" s="260" t="s">
        <v>2643</v>
      </c>
      <c r="E665" s="260" t="s">
        <v>2644</v>
      </c>
      <c r="F665" s="260">
        <v>1</v>
      </c>
      <c r="G665" s="260" t="s">
        <v>3798</v>
      </c>
      <c r="H665" s="261" t="str">
        <f>'Dry_Litterbag Placem_Collection'!C6</f>
        <v>Dry_Ag1_T4</v>
      </c>
      <c r="I665" s="270" t="s">
        <v>3630</v>
      </c>
      <c r="J665" s="271" t="s">
        <v>298</v>
      </c>
      <c r="K665" s="221" t="str">
        <f>'WetLitterbags placem_collection'!Q6</f>
        <v>R508</v>
      </c>
      <c r="L665" s="223">
        <f>IFERROR(INDEX('Green_rooibos initial weight'!$C$5:$C$2000,MATCH(K665, 'Green_rooibos initial weight'!$A$5:$A$2000,0)),"")</f>
        <v>2.169</v>
      </c>
      <c r="M665" s="223">
        <f>IFERROR(L665-(TBIcalc!$H$9+TBIcalc!$H$10),"")</f>
        <v>1.9192</v>
      </c>
      <c r="N665" s="385">
        <f>AVERAGE(Ashed_controlls!$K$2:$K$11)</f>
        <v>5.5147656768714146</v>
      </c>
      <c r="O665" s="223">
        <f t="shared" si="51"/>
        <v>1.8133606171294838</v>
      </c>
      <c r="P665" s="223">
        <f>IFERROR(INDEX('Both teabags AfterWet'!$C$3:$C$840,MATCH(K665,'Both teabags AfterWet'!$A$3:$A$840,0)),"")</f>
        <v>1.3392999999999999</v>
      </c>
      <c r="Q665" s="223">
        <f>IFERROR(IF(P665&gt;0,P665-(TBIcalc!$H$9),""),"")</f>
        <v>1.1886999999999999</v>
      </c>
      <c r="R665" s="223">
        <f>IFERROR(INDEX('Ashed teabags wet'!$K$2:$K$2000,MATCH(K665,'Ashed teabags wet'!$A$2:$A$2000,0)),"")</f>
        <v>4.9578582052553344</v>
      </c>
      <c r="S665" s="223">
        <f t="shared" si="52"/>
        <v>1.1297659395141297</v>
      </c>
      <c r="T665" s="224">
        <f>'WetLitterbags placem_collection'!E6</f>
        <v>42766</v>
      </c>
      <c r="U665" s="224">
        <f>IF('WetLitterbags placem_collection'!G6="","",'WetLitterbags placem_collection'!G6)</f>
        <v>42818</v>
      </c>
      <c r="V665" s="225">
        <f t="shared" si="50"/>
        <v>52</v>
      </c>
      <c r="W665" s="223">
        <f t="shared" si="53"/>
        <v>0.73050000000000015</v>
      </c>
      <c r="X665" s="223">
        <f t="shared" si="54"/>
        <v>0.68359467761535408</v>
      </c>
      <c r="Y665">
        <f>IFERROR(INDEX(Rainfall_Wet!$O$2:$O$217,MATCH(B665, Rainfall_Wet!$A$2:$A$217,0)),"")</f>
        <v>194.43839254400001</v>
      </c>
      <c r="Z665" s="228">
        <v>12.565665055683967</v>
      </c>
      <c r="AA665" s="228">
        <v>0.9665896196679955</v>
      </c>
      <c r="AB665" s="228">
        <v>86.467745324648035</v>
      </c>
      <c r="AC665" s="229" t="s">
        <v>2656</v>
      </c>
      <c r="AD665" s="228">
        <v>4.02257269590931</v>
      </c>
      <c r="AE665" t="str">
        <f>IF('WetLitterbags placem_collection'!AB6="","",'WetLitterbags placem_collection'!AB6)</f>
        <v/>
      </c>
      <c r="AF665" t="str">
        <f>IF('WetLitterbags placem_collection'!Z6="","",'WetLitterbags placem_collection'!Z6)</f>
        <v/>
      </c>
      <c r="AG665" s="243" t="str">
        <f>IF('WetLitterbags placem_collection'!AA6="","",'WetLitterbags placem_collection'!AA6)</f>
        <v/>
      </c>
      <c r="AH665" t="str">
        <f>IF('WetLitterbags placem_collection'!AC6="","",'WetLitterbags placem_collection'!AC6)</f>
        <v/>
      </c>
      <c r="AI665">
        <f>AVERAGE('WetLitterbags placem_collection'!S6,'WetLitterbags placem_collection'!U6)</f>
        <v>17.399999999999999</v>
      </c>
      <c r="AJ665">
        <f>AVERAGE('WetLitterbags placem_collection'!R6,'WetLitterbags placem_collection'!T6)</f>
        <v>25.549999999999997</v>
      </c>
      <c r="AK665">
        <f>INDEX(Coordinates!$B$2:$B$197,MATCH(H665,Coordinates!$J$2:$J$197,0))</f>
        <v>-3.3977780399999999</v>
      </c>
      <c r="AL665">
        <f>INDEX(Coordinates!$C$2:$C$197,MATCH(H665,Coordinates!$J$2:$J$197,0))</f>
        <v>34.83751204</v>
      </c>
      <c r="AM665" t="str">
        <f>IF(ISNUMBER(SEARCH("C", 'WetLitterbags placem_collection'!$Y6)),"YES","NO")</f>
        <v>NO</v>
      </c>
      <c r="AN665" t="str">
        <f>IF(ISNUMBER(SEARCH("H", 'WetLitterbags placem_collection'!$Y6)),"YES","NO")</f>
        <v>NO</v>
      </c>
      <c r="AO665" t="str">
        <f>IF(ISNUMBER(SEARCH("R", 'WetLitterbags placem_collection'!$Y6)),"YES","NO")</f>
        <v>NO</v>
      </c>
    </row>
    <row r="666" spans="1:41" ht="15" customHeight="1">
      <c r="A666" s="255" t="s">
        <v>2454</v>
      </c>
      <c r="B666" s="260">
        <f>'Dry_Litterbag Placem_Collection'!A7</f>
        <v>5</v>
      </c>
      <c r="C666" s="260" t="str">
        <f>'Dry_Litterbag Placem_Collection'!B7</f>
        <v>Makao</v>
      </c>
      <c r="D666" s="260" t="s">
        <v>2643</v>
      </c>
      <c r="E666" s="260" t="s">
        <v>2644</v>
      </c>
      <c r="F666" s="260">
        <v>1</v>
      </c>
      <c r="G666" s="260" t="s">
        <v>3798</v>
      </c>
      <c r="H666" s="261" t="str">
        <f>'Dry_Litterbag Placem_Collection'!C7</f>
        <v>Dry_Ag1_T5</v>
      </c>
      <c r="I666" s="270" t="s">
        <v>3630</v>
      </c>
      <c r="J666" s="271" t="s">
        <v>298</v>
      </c>
      <c r="K666" s="221" t="str">
        <f>'WetLitterbags placem_collection'!Q7</f>
        <v>R38</v>
      </c>
      <c r="L666" s="223">
        <f>IFERROR(INDEX('Green_rooibos initial weight'!$C$5:$C$2000,MATCH(K666, 'Green_rooibos initial weight'!$A$5:$A$2000,0)),"")</f>
        <v>2.12</v>
      </c>
      <c r="M666" s="223">
        <f>IFERROR(L666-(TBIcalc!$H$9+TBIcalc!$H$10),"")</f>
        <v>1.8702000000000001</v>
      </c>
      <c r="N666" s="385">
        <f>AVERAGE(Ashed_controlls!$K$2:$K$11)</f>
        <v>5.5147656768714146</v>
      </c>
      <c r="O666" s="223">
        <f t="shared" si="51"/>
        <v>1.7670628523111509</v>
      </c>
      <c r="P666" s="223">
        <f>IFERROR(INDEX('Both teabags AfterWet'!$C$3:$C$840,MATCH(K666,'Both teabags AfterWet'!$A$3:$A$840,0)),"")</f>
        <v>1.2627999999999999</v>
      </c>
      <c r="Q666" s="223">
        <f>IFERROR(IF(P666&gt;0,P666-(TBIcalc!$H$9),""),"")</f>
        <v>1.1121999999999999</v>
      </c>
      <c r="R666" s="223">
        <f>IFERROR(INDEX('Ashed teabags wet'!$K$2:$K$2000,MATCH(K666,'Ashed teabags wet'!$A$2:$A$2000,0)),"")</f>
        <v>5.8070866141733264</v>
      </c>
      <c r="S666" s="223">
        <f t="shared" si="52"/>
        <v>1.0476135826771642</v>
      </c>
      <c r="T666" s="224">
        <f>'WetLitterbags placem_collection'!E7</f>
        <v>42766</v>
      </c>
      <c r="U666" s="224">
        <f>IF('WetLitterbags placem_collection'!G7="","",'WetLitterbags placem_collection'!G7)</f>
        <v>42818</v>
      </c>
      <c r="V666" s="225">
        <f t="shared" si="50"/>
        <v>52</v>
      </c>
      <c r="W666" s="223">
        <f t="shared" si="53"/>
        <v>0.75800000000000023</v>
      </c>
      <c r="X666" s="223">
        <f t="shared" si="54"/>
        <v>0.7194492696339867</v>
      </c>
      <c r="Y666">
        <f>IFERROR(INDEX(Rainfall_Wet!$O$2:$O$217,MATCH(B666, Rainfall_Wet!$A$2:$A$217,0)),"")</f>
        <v>194.43839254400001</v>
      </c>
      <c r="Z666" s="228">
        <v>12.565665055683967</v>
      </c>
      <c r="AA666" s="228">
        <v>0.9665896196679955</v>
      </c>
      <c r="AB666" s="228">
        <v>86.467745324648035</v>
      </c>
      <c r="AC666" s="229" t="s">
        <v>2656</v>
      </c>
      <c r="AD666" s="228">
        <v>5.02257269590931</v>
      </c>
      <c r="AE666">
        <f>IF('WetLitterbags placem_collection'!AB7="","",'WetLitterbags placem_collection'!AB7)</f>
        <v>28.4</v>
      </c>
      <c r="AF666">
        <f>IF('WetLitterbags placem_collection'!Z7="","",'WetLitterbags placem_collection'!Z7)</f>
        <v>36.4</v>
      </c>
      <c r="AG666" s="243" t="str">
        <f>IF('WetLitterbags placem_collection'!AA7="","",'WetLitterbags placem_collection'!AA7)</f>
        <v>M</v>
      </c>
      <c r="AH666">
        <f>IF('WetLitterbags placem_collection'!AC7="","",'WetLitterbags placem_collection'!AC7)</f>
        <v>1</v>
      </c>
      <c r="AI666">
        <f>AVERAGE('WetLitterbags placem_collection'!S7,'WetLitterbags placem_collection'!U7)</f>
        <v>12.100000000000001</v>
      </c>
      <c r="AJ666">
        <f>AVERAGE('WetLitterbags placem_collection'!R7,'WetLitterbags placem_collection'!T7)</f>
        <v>25.1</v>
      </c>
      <c r="AK666">
        <f>INDEX(Coordinates!$B$2:$B$197,MATCH(H666,Coordinates!$J$2:$J$197,0))</f>
        <v>-3.3978020120000001</v>
      </c>
      <c r="AL666">
        <f>INDEX(Coordinates!$C$2:$C$197,MATCH(H666,Coordinates!$J$2:$J$197,0))</f>
        <v>34.83751204</v>
      </c>
      <c r="AM666" t="str">
        <f>IF(ISNUMBER(SEARCH("C", 'WetLitterbags placem_collection'!$Y7)),"YES","NO")</f>
        <v>NO</v>
      </c>
      <c r="AN666" t="str">
        <f>IF(ISNUMBER(SEARCH("H", 'WetLitterbags placem_collection'!$Y7)),"YES","NO")</f>
        <v>NO</v>
      </c>
      <c r="AO666" t="str">
        <f>IF(ISNUMBER(SEARCH("R", 'WetLitterbags placem_collection'!$Y7)),"YES","NO")</f>
        <v>NO</v>
      </c>
    </row>
    <row r="667" spans="1:41" ht="15" customHeight="1">
      <c r="A667" s="255" t="s">
        <v>2454</v>
      </c>
      <c r="B667" s="260">
        <f>'Dry_Litterbag Placem_Collection'!A8</f>
        <v>6</v>
      </c>
      <c r="C667" s="260" t="str">
        <f>'Dry_Litterbag Placem_Collection'!B8</f>
        <v>Makao</v>
      </c>
      <c r="D667" s="260" t="s">
        <v>2643</v>
      </c>
      <c r="E667" s="260" t="s">
        <v>2644</v>
      </c>
      <c r="F667" s="260">
        <v>1</v>
      </c>
      <c r="G667" s="260" t="s">
        <v>3798</v>
      </c>
      <c r="H667" s="261" t="str">
        <f>'Dry_Litterbag Placem_Collection'!C8</f>
        <v>Dry_Ag1_T6</v>
      </c>
      <c r="I667" s="270" t="s">
        <v>3630</v>
      </c>
      <c r="J667" s="271" t="s">
        <v>298</v>
      </c>
      <c r="K667" s="221" t="str">
        <f>'WetLitterbags placem_collection'!Q8</f>
        <v>R59</v>
      </c>
      <c r="L667" s="223">
        <f>IFERROR(INDEX('Green_rooibos initial weight'!$C$5:$C$2000,MATCH(K667, 'Green_rooibos initial weight'!$A$5:$A$2000,0)),"")</f>
        <v>2.2029999999999998</v>
      </c>
      <c r="M667" s="223">
        <f>IFERROR(L667-(TBIcalc!$H$9+TBIcalc!$H$10),"")</f>
        <v>1.9531999999999998</v>
      </c>
      <c r="N667" s="385">
        <f>AVERAGE(Ashed_controlls!$K$2:$K$11)</f>
        <v>5.5147656768714146</v>
      </c>
      <c r="O667" s="223">
        <f t="shared" si="51"/>
        <v>1.8454855967993473</v>
      </c>
      <c r="P667" s="223">
        <f>IFERROR(INDEX('Both teabags AfterWet'!$C$3:$C$840,MATCH(K667,'Both teabags AfterWet'!$A$3:$A$840,0)),"")</f>
        <v>1.4990000000000001</v>
      </c>
      <c r="Q667" s="223">
        <f>IFERROR(IF(P667&gt;0,P667-(TBIcalc!$H$9),""),"")</f>
        <v>1.3484</v>
      </c>
      <c r="R667" s="223">
        <f>IFERROR(INDEX('Ashed teabags wet'!$K$2:$K$2000,MATCH(K667,'Ashed teabags wet'!$A$2:$A$2000,0)),"")</f>
        <v>5.3641732283467132</v>
      </c>
      <c r="S667" s="223">
        <f t="shared" si="52"/>
        <v>1.2760694881889729</v>
      </c>
      <c r="T667" s="224">
        <f>'WetLitterbags placem_collection'!E8</f>
        <v>42766</v>
      </c>
      <c r="U667" s="224">
        <f>IF('WetLitterbags placem_collection'!G8="","",'WetLitterbags placem_collection'!G8)</f>
        <v>42818</v>
      </c>
      <c r="V667" s="225">
        <f t="shared" si="50"/>
        <v>52</v>
      </c>
      <c r="W667" s="223">
        <f t="shared" si="53"/>
        <v>0.60479999999999978</v>
      </c>
      <c r="X667" s="223">
        <f t="shared" si="54"/>
        <v>0.56941610861037439</v>
      </c>
      <c r="Y667">
        <f>IFERROR(INDEX(Rainfall_Wet!$O$2:$O$217,MATCH(B667, Rainfall_Wet!$A$2:$A$217,0)),"")</f>
        <v>194.43839254400001</v>
      </c>
      <c r="Z667" s="228">
        <v>12.565665055683967</v>
      </c>
      <c r="AA667" s="228">
        <v>0.9665896196679955</v>
      </c>
      <c r="AB667" s="228">
        <v>86.467745324648035</v>
      </c>
      <c r="AC667" s="229" t="s">
        <v>2656</v>
      </c>
      <c r="AD667" s="228">
        <v>6.02257269590931</v>
      </c>
      <c r="AE667">
        <f>IF('WetLitterbags placem_collection'!AB8="","",'WetLitterbags placem_collection'!AB8)</f>
        <v>32.4</v>
      </c>
      <c r="AF667">
        <f>IF('WetLitterbags placem_collection'!Z8="","",'WetLitterbags placem_collection'!Z8)</f>
        <v>31</v>
      </c>
      <c r="AG667" s="243" t="str">
        <f>IF('WetLitterbags placem_collection'!AA8="","",'WetLitterbags placem_collection'!AA8)</f>
        <v>M</v>
      </c>
      <c r="AH667">
        <f>IF('WetLitterbags placem_collection'!AC8="","",'WetLitterbags placem_collection'!AC8)</f>
        <v>1</v>
      </c>
      <c r="AI667">
        <f>AVERAGE('WetLitterbags placem_collection'!S8,'WetLitterbags placem_collection'!U8)</f>
        <v>13.45</v>
      </c>
      <c r="AJ667">
        <f>AVERAGE('WetLitterbags placem_collection'!R8,'WetLitterbags placem_collection'!T8)</f>
        <v>25.1</v>
      </c>
      <c r="AK667">
        <f>INDEX(Coordinates!$B$2:$B$197,MATCH(H667,Coordinates!$J$2:$J$197,0))</f>
        <v>-3.3977389800000002</v>
      </c>
      <c r="AL667">
        <f>INDEX(Coordinates!$C$2:$C$197,MATCH(H667,Coordinates!$J$2:$J$197,0))</f>
        <v>34.837501979999999</v>
      </c>
      <c r="AM667" t="str">
        <f>IF(ISNUMBER(SEARCH("C", 'WetLitterbags placem_collection'!$Y8)),"YES","NO")</f>
        <v>NO</v>
      </c>
      <c r="AN667" t="str">
        <f>IF(ISNUMBER(SEARCH("H", 'WetLitterbags placem_collection'!$Y8)),"YES","NO")</f>
        <v>NO</v>
      </c>
      <c r="AO667" t="str">
        <f>IF(ISNUMBER(SEARCH("R", 'WetLitterbags placem_collection'!$Y8)),"YES","NO")</f>
        <v>YES</v>
      </c>
    </row>
    <row r="668" spans="1:41" ht="15" customHeight="1">
      <c r="A668" s="255" t="s">
        <v>2454</v>
      </c>
      <c r="B668" s="260">
        <f>'Dry_Litterbag Placem_Collection'!A9</f>
        <v>7</v>
      </c>
      <c r="C668" s="260" t="str">
        <f>'Dry_Litterbag Placem_Collection'!B9</f>
        <v>Makao</v>
      </c>
      <c r="D668" s="260" t="s">
        <v>2643</v>
      </c>
      <c r="E668" s="260" t="s">
        <v>2644</v>
      </c>
      <c r="F668" s="260">
        <v>1</v>
      </c>
      <c r="G668" s="260" t="s">
        <v>3798</v>
      </c>
      <c r="H668" s="261" t="str">
        <f>'Dry_Litterbag Placem_Collection'!C9</f>
        <v>Dry_Ag1_T7</v>
      </c>
      <c r="I668" s="270" t="s">
        <v>3630</v>
      </c>
      <c r="J668" s="271" t="s">
        <v>298</v>
      </c>
      <c r="K668" s="221" t="str">
        <f>'WetLitterbags placem_collection'!Q9</f>
        <v>R398</v>
      </c>
      <c r="L668" s="223">
        <f>IFERROR(INDEX('Green_rooibos initial weight'!$C$5:$C$2000,MATCH(K668, 'Green_rooibos initial weight'!$A$5:$A$2000,0)),"")</f>
        <v>2.19</v>
      </c>
      <c r="M668" s="223">
        <f>IFERROR(L668-(TBIcalc!$H$9+TBIcalc!$H$10),"")</f>
        <v>1.9401999999999999</v>
      </c>
      <c r="N668" s="385">
        <f>AVERAGE(Ashed_controlls!$K$2:$K$11)</f>
        <v>5.5147656768714146</v>
      </c>
      <c r="O668" s="223">
        <f t="shared" si="51"/>
        <v>1.8332025163373407</v>
      </c>
      <c r="P668" s="223">
        <f>IFERROR(INDEX('Both teabags AfterWet'!$C$3:$C$840,MATCH(K668,'Both teabags AfterWet'!$A$3:$A$840,0)),"")</f>
        <v>1.518</v>
      </c>
      <c r="Q668" s="223">
        <f>IFERROR(IF(P668&gt;0,P668-(TBIcalc!$H$9),""),"")</f>
        <v>1.3673999999999999</v>
      </c>
      <c r="R668" s="223">
        <f>IFERROR(INDEX('Ashed teabags wet'!$K$2:$K$2000,MATCH(K668,'Ashed teabags wet'!$A$2:$A$2000,0)),"")</f>
        <v>3.7092731829574301</v>
      </c>
      <c r="S668" s="223">
        <f t="shared" si="52"/>
        <v>1.3166793984962402</v>
      </c>
      <c r="T668" s="224">
        <f>'WetLitterbags placem_collection'!E9</f>
        <v>42766</v>
      </c>
      <c r="U668" s="224">
        <f>IF('WetLitterbags placem_collection'!G9="","",'WetLitterbags placem_collection'!G9)</f>
        <v>42818</v>
      </c>
      <c r="V668" s="225">
        <f t="shared" si="50"/>
        <v>52</v>
      </c>
      <c r="W668" s="223">
        <f t="shared" si="53"/>
        <v>0.57279999999999998</v>
      </c>
      <c r="X668" s="223">
        <f t="shared" si="54"/>
        <v>0.5165231178411005</v>
      </c>
      <c r="Y668">
        <f>IFERROR(INDEX(Rainfall_Wet!$O$2:$O$217,MATCH(B668, Rainfall_Wet!$A$2:$A$217,0)),"")</f>
        <v>194.43839254400001</v>
      </c>
      <c r="Z668" s="228">
        <v>12.565665055683967</v>
      </c>
      <c r="AA668" s="228">
        <v>0.9665896196679955</v>
      </c>
      <c r="AB668" s="228">
        <v>86.467745324648035</v>
      </c>
      <c r="AC668" s="229" t="s">
        <v>2656</v>
      </c>
      <c r="AD668" s="228">
        <v>7.02257269590931</v>
      </c>
      <c r="AE668">
        <f>IF('WetLitterbags placem_collection'!AB9="","",'WetLitterbags placem_collection'!AB9)</f>
        <v>36</v>
      </c>
      <c r="AF668">
        <f>IF('WetLitterbags placem_collection'!Z9="","",'WetLitterbags placem_collection'!Z9)</f>
        <v>43.4</v>
      </c>
      <c r="AG668" s="243" t="str">
        <f>IF('WetLitterbags placem_collection'!AA9="","",'WetLitterbags placem_collection'!AA9)</f>
        <v>M</v>
      </c>
      <c r="AH668">
        <f>IF('WetLitterbags placem_collection'!AC9="","",'WetLitterbags placem_collection'!AC9)</f>
        <v>1</v>
      </c>
      <c r="AI668">
        <f>AVERAGE('WetLitterbags placem_collection'!S9,'WetLitterbags placem_collection'!U9)</f>
        <v>9.8500000000000014</v>
      </c>
      <c r="AJ668">
        <f>AVERAGE('WetLitterbags placem_collection'!R9,'WetLitterbags placem_collection'!T9)</f>
        <v>26.2</v>
      </c>
      <c r="AK668">
        <f>INDEX(Coordinates!$B$2:$B$197,MATCH(H668,Coordinates!$J$2:$J$197,0))</f>
        <v>-3.3977630360000002</v>
      </c>
      <c r="AL668">
        <f>INDEX(Coordinates!$C$2:$C$197,MATCH(H668,Coordinates!$J$2:$J$197,0))</f>
        <v>34.837600969999997</v>
      </c>
      <c r="AM668" t="str">
        <f>IF(ISNUMBER(SEARCH("C", 'WetLitterbags placem_collection'!$Y9)),"YES","NO")</f>
        <v>NO</v>
      </c>
      <c r="AN668" t="str">
        <f>IF(ISNUMBER(SEARCH("H", 'WetLitterbags placem_collection'!$Y9)),"YES","NO")</f>
        <v>NO</v>
      </c>
      <c r="AO668" t="str">
        <f>IF(ISNUMBER(SEARCH("R", 'WetLitterbags placem_collection'!$Y9)),"YES","NO")</f>
        <v>YES</v>
      </c>
    </row>
    <row r="669" spans="1:41" ht="15" customHeight="1">
      <c r="A669" s="255" t="s">
        <v>2454</v>
      </c>
      <c r="B669" s="260">
        <f>'Dry_Litterbag Placem_Collection'!A10</f>
        <v>8</v>
      </c>
      <c r="C669" s="260" t="str">
        <f>'Dry_Litterbag Placem_Collection'!B10</f>
        <v>Makao</v>
      </c>
      <c r="D669" s="260" t="s">
        <v>2643</v>
      </c>
      <c r="E669" s="260" t="s">
        <v>2644</v>
      </c>
      <c r="F669" s="260">
        <v>1</v>
      </c>
      <c r="G669" s="260" t="s">
        <v>3798</v>
      </c>
      <c r="H669" s="261" t="str">
        <f>'Dry_Litterbag Placem_Collection'!C10</f>
        <v>Dry_Ag1_T8</v>
      </c>
      <c r="I669" s="270" t="s">
        <v>3630</v>
      </c>
      <c r="J669" s="271" t="s">
        <v>298</v>
      </c>
      <c r="K669" s="221" t="str">
        <f>'WetLitterbags placem_collection'!Q10</f>
        <v>R512</v>
      </c>
      <c r="L669" s="223">
        <f>IFERROR(INDEX('Green_rooibos initial weight'!$C$5:$C$2000,MATCH(K669, 'Green_rooibos initial weight'!$A$5:$A$2000,0)),"")</f>
        <v>2.1509999999999998</v>
      </c>
      <c r="M669" s="223">
        <f>IFERROR(L669-(TBIcalc!$H$9+TBIcalc!$H$10),"")</f>
        <v>1.9011999999999998</v>
      </c>
      <c r="N669" s="385">
        <f>AVERAGE(Ashed_controlls!$K$2:$K$11)</f>
        <v>5.5147656768714146</v>
      </c>
      <c r="O669" s="223">
        <f t="shared" si="51"/>
        <v>1.7963532749513205</v>
      </c>
      <c r="P669" s="223">
        <f>IFERROR(INDEX('Both teabags AfterWet'!$C$3:$C$840,MATCH(K669,'Both teabags AfterWet'!$A$3:$A$840,0)),"")</f>
        <v>1.4733000000000001</v>
      </c>
      <c r="Q669" s="223">
        <f>IFERROR(IF(P669&gt;0,P669-(TBIcalc!$H$9),""),"")</f>
        <v>1.3227</v>
      </c>
      <c r="R669" s="223">
        <f>IFERROR(INDEX('Ashed teabags wet'!$K$2:$K$2000,MATCH(K669,'Ashed teabags wet'!$A$2:$A$2000,0)),"")</f>
        <v>3.0097087378641909</v>
      </c>
      <c r="S669" s="223">
        <f t="shared" si="52"/>
        <v>1.2828905825242702</v>
      </c>
      <c r="T669" s="224">
        <f>'WetLitterbags placem_collection'!E10</f>
        <v>42766</v>
      </c>
      <c r="U669" s="224">
        <f>IF('WetLitterbags placem_collection'!G10="","",'WetLitterbags placem_collection'!G10)</f>
        <v>42818</v>
      </c>
      <c r="V669" s="225">
        <f t="shared" si="50"/>
        <v>52</v>
      </c>
      <c r="W669" s="223">
        <f t="shared" si="53"/>
        <v>0.57849999999999979</v>
      </c>
      <c r="X669" s="223">
        <f t="shared" si="54"/>
        <v>0.51346269242705023</v>
      </c>
      <c r="Y669">
        <f>IFERROR(INDEX(Rainfall_Wet!$O$2:$O$217,MATCH(B669, Rainfall_Wet!$A$2:$A$217,0)),"")</f>
        <v>194.43839254400001</v>
      </c>
      <c r="Z669" s="228">
        <v>12.565665055683967</v>
      </c>
      <c r="AA669" s="228">
        <v>0.9665896196679955</v>
      </c>
      <c r="AB669" s="228">
        <v>86.467745324648035</v>
      </c>
      <c r="AC669" s="229" t="s">
        <v>2656</v>
      </c>
      <c r="AD669" s="228">
        <v>8.0225726959093109</v>
      </c>
      <c r="AE669">
        <f>IF('WetLitterbags placem_collection'!AB10="","",'WetLitterbags placem_collection'!AB10)</f>
        <v>36</v>
      </c>
      <c r="AF669">
        <f>IF('WetLitterbags placem_collection'!Z10="","",'WetLitterbags placem_collection'!Z10)</f>
        <v>38.4</v>
      </c>
      <c r="AG669" s="243" t="str">
        <f>IF('WetLitterbags placem_collection'!AA10="","",'WetLitterbags placem_collection'!AA10)</f>
        <v>M</v>
      </c>
      <c r="AH669" t="str">
        <f>IF('WetLitterbags placem_collection'!AC10="","",'WetLitterbags placem_collection'!AC10)</f>
        <v/>
      </c>
      <c r="AI669">
        <f>AVERAGE('WetLitterbags placem_collection'!S10,'WetLitterbags placem_collection'!U10)</f>
        <v>10.600000000000001</v>
      </c>
      <c r="AJ669">
        <f>AVERAGE('WetLitterbags placem_collection'!R10,'WetLitterbags placem_collection'!T10)</f>
        <v>25.5</v>
      </c>
      <c r="AK669">
        <f>INDEX(Coordinates!$B$2:$B$197,MATCH(H669,Coordinates!$J$2:$J$197,0))</f>
        <v>-3.3977320230000001</v>
      </c>
      <c r="AL669">
        <f>INDEX(Coordinates!$C$2:$C$197,MATCH(H669,Coordinates!$J$2:$J$197,0))</f>
        <v>34.837561989999998</v>
      </c>
      <c r="AM669" t="str">
        <f>IF(ISNUMBER(SEARCH("C", 'WetLitterbags placem_collection'!$Y10)),"YES","NO")</f>
        <v>NO</v>
      </c>
      <c r="AN669" t="str">
        <f>IF(ISNUMBER(SEARCH("H", 'WetLitterbags placem_collection'!$Y10)),"YES","NO")</f>
        <v>NO</v>
      </c>
      <c r="AO669" t="str">
        <f>IF(ISNUMBER(SEARCH("R", 'WetLitterbags placem_collection'!$Y10)),"YES","NO")</f>
        <v>NO</v>
      </c>
    </row>
    <row r="670" spans="1:41" ht="15" customHeight="1">
      <c r="A670" s="255" t="s">
        <v>2454</v>
      </c>
      <c r="B670" s="260">
        <f>'Dry_Litterbag Placem_Collection'!A11</f>
        <v>9</v>
      </c>
      <c r="C670" s="260" t="str">
        <f>'Dry_Litterbag Placem_Collection'!B11</f>
        <v>Makao</v>
      </c>
      <c r="D670" s="260" t="s">
        <v>2643</v>
      </c>
      <c r="E670" s="260" t="s">
        <v>2644</v>
      </c>
      <c r="F670" s="260">
        <v>2</v>
      </c>
      <c r="G670" s="260" t="s">
        <v>3802</v>
      </c>
      <c r="H670" s="261" t="str">
        <f>'Dry_Litterbag Placem_Collection'!C11</f>
        <v>Dry_Ag2_T1</v>
      </c>
      <c r="I670" s="270" t="s">
        <v>3630</v>
      </c>
      <c r="J670" s="271" t="s">
        <v>298</v>
      </c>
      <c r="K670" s="221" t="str">
        <f>'WetLitterbags placem_collection'!Q11</f>
        <v>R101</v>
      </c>
      <c r="L670" s="223">
        <f>IFERROR(INDEX('Green_rooibos initial weight'!$C$5:$C$2000,MATCH(K670, 'Green_rooibos initial weight'!$A$5:$A$2000,0)),"")</f>
        <v>2.3039999999999998</v>
      </c>
      <c r="M670" s="223">
        <f>IFERROR(L670-(TBIcalc!$H$9+TBIcalc!$H$10),"")</f>
        <v>2.0541999999999998</v>
      </c>
      <c r="N670" s="385">
        <f>AVERAGE(Ashed_controlls!$K$2:$K$11)</f>
        <v>5.5147656768714146</v>
      </c>
      <c r="O670" s="223">
        <f t="shared" si="51"/>
        <v>1.9409156834657073</v>
      </c>
      <c r="P670" s="223">
        <f>IFERROR(INDEX('Both teabags AfterWet'!$C$3:$C$840,MATCH(K670,'Both teabags AfterWet'!$A$3:$A$840,0)),"")</f>
        <v>1.5383</v>
      </c>
      <c r="Q670" s="223">
        <f>IFERROR(IF(P670&gt;0,P670-(TBIcalc!$H$9),""),"")</f>
        <v>1.3876999999999999</v>
      </c>
      <c r="R670" s="223">
        <f>IFERROR(INDEX('Ashed teabags wet'!$K$2:$K$2000,MATCH(K670,'Ashed teabags wet'!$A$2:$A$2000,0)),"")</f>
        <v>6.1446977205149187</v>
      </c>
      <c r="S670" s="223">
        <f t="shared" si="52"/>
        <v>1.3024300297324145</v>
      </c>
      <c r="T670" s="224">
        <f>'WetLitterbags placem_collection'!E11</f>
        <v>42766</v>
      </c>
      <c r="U670" s="224">
        <f>IF('WetLitterbags placem_collection'!G11="","",'WetLitterbags placem_collection'!G11)</f>
        <v>42818</v>
      </c>
      <c r="V670" s="225">
        <f t="shared" si="50"/>
        <v>52</v>
      </c>
      <c r="W670" s="223">
        <f t="shared" si="53"/>
        <v>0.66649999999999987</v>
      </c>
      <c r="X670" s="223">
        <f t="shared" si="54"/>
        <v>0.6384856537332928</v>
      </c>
      <c r="Y670">
        <f>IFERROR(INDEX(Rainfall_Wet!$O$2:$O$217,MATCH(B670, Rainfall_Wet!$A$2:$A$217,0)),"")</f>
        <v>194.43839254400001</v>
      </c>
      <c r="Z670" s="228">
        <v>21.13063730679653</v>
      </c>
      <c r="AA670" s="228">
        <v>3.0912555579081076</v>
      </c>
      <c r="AB670" s="228">
        <v>75.778107135295357</v>
      </c>
      <c r="AC670" s="229" t="s">
        <v>2654</v>
      </c>
      <c r="AD670" s="228">
        <v>0.46131099063578063</v>
      </c>
      <c r="AE670">
        <f>IF('WetLitterbags placem_collection'!AB11="","",'WetLitterbags placem_collection'!AB11)</f>
        <v>10.8</v>
      </c>
      <c r="AF670">
        <f>IF('WetLitterbags placem_collection'!Z11="","",'WetLitterbags placem_collection'!Z11)</f>
        <v>28.4</v>
      </c>
      <c r="AG670" s="243" t="str">
        <f>IF('WetLitterbags placem_collection'!AA11="","",'WetLitterbags placem_collection'!AA11)</f>
        <v>M</v>
      </c>
      <c r="AH670">
        <f>IF('WetLitterbags placem_collection'!AC11="","",'WetLitterbags placem_collection'!AC11)</f>
        <v>0</v>
      </c>
      <c r="AI670">
        <f>AVERAGE('WetLitterbags placem_collection'!S11,'WetLitterbags placem_collection'!U11)</f>
        <v>14.5</v>
      </c>
      <c r="AJ670">
        <f>AVERAGE('WetLitterbags placem_collection'!R11,'WetLitterbags placem_collection'!T11)</f>
        <v>24.4</v>
      </c>
      <c r="AK670">
        <f>INDEX(Coordinates!$B$2:$B$197,MATCH(H670,Coordinates!$J$2:$J$197,0))</f>
        <v>-3.3978290019999999</v>
      </c>
      <c r="AL670">
        <f>INDEX(Coordinates!$C$2:$C$197,MATCH(H670,Coordinates!$J$2:$J$197,0))</f>
        <v>34.837011969999999</v>
      </c>
      <c r="AM670" t="str">
        <f>IF(ISNUMBER(SEARCH("C", 'WetLitterbags placem_collection'!$Y11)),"YES","NO")</f>
        <v>NO</v>
      </c>
      <c r="AN670" t="str">
        <f>IF(ISNUMBER(SEARCH("H", 'WetLitterbags placem_collection'!$Y11)),"YES","NO")</f>
        <v>NO</v>
      </c>
      <c r="AO670" t="str">
        <f>IF(ISNUMBER(SEARCH("R", 'WetLitterbags placem_collection'!$Y11)),"YES","NO")</f>
        <v>NO</v>
      </c>
    </row>
    <row r="671" spans="1:41" ht="15" customHeight="1">
      <c r="A671" s="255" t="s">
        <v>2454</v>
      </c>
      <c r="B671" s="260">
        <f>'Dry_Litterbag Placem_Collection'!A12</f>
        <v>10</v>
      </c>
      <c r="C671" s="260" t="str">
        <f>'Dry_Litterbag Placem_Collection'!B12</f>
        <v>Makao</v>
      </c>
      <c r="D671" s="260" t="s">
        <v>2643</v>
      </c>
      <c r="E671" s="260" t="s">
        <v>2644</v>
      </c>
      <c r="F671" s="260">
        <v>2</v>
      </c>
      <c r="G671" s="260" t="s">
        <v>3802</v>
      </c>
      <c r="H671" s="261" t="str">
        <f>'Dry_Litterbag Placem_Collection'!C12</f>
        <v>Dry_Ag2_T2</v>
      </c>
      <c r="I671" s="270" t="s">
        <v>3630</v>
      </c>
      <c r="J671" s="271" t="s">
        <v>298</v>
      </c>
      <c r="K671" s="221" t="str">
        <f>'WetLitterbags placem_collection'!Q12</f>
        <v>R515</v>
      </c>
      <c r="L671" s="223">
        <f>IFERROR(INDEX('Green_rooibos initial weight'!$C$5:$C$2000,MATCH(K671, 'Green_rooibos initial weight'!$A$5:$A$2000,0)),"")</f>
        <v>2.2050000000000001</v>
      </c>
      <c r="M671" s="223">
        <f>IFERROR(L671-(TBIcalc!$H$9+TBIcalc!$H$10),"")</f>
        <v>1.9552</v>
      </c>
      <c r="N671" s="385">
        <f>AVERAGE(Ashed_controlls!$K$2:$K$11)</f>
        <v>5.5147656768714146</v>
      </c>
      <c r="O671" s="223">
        <f t="shared" si="51"/>
        <v>1.8473753014858101</v>
      </c>
      <c r="P671" s="223">
        <f>IFERROR(INDEX('Both teabags AfterWet'!$C$3:$C$840,MATCH(K671,'Both teabags AfterWet'!$A$3:$A$840,0)),"")</f>
        <v>1.3853</v>
      </c>
      <c r="Q671" s="223">
        <f>IFERROR(IF(P671&gt;0,P671-(TBIcalc!$H$9),""),"")</f>
        <v>1.2346999999999999</v>
      </c>
      <c r="R671" s="223">
        <f>IFERROR(INDEX('Ashed teabags wet'!$K$2:$K$2000,MATCH(K671,'Ashed teabags wet'!$A$2:$A$2000,0)),"")</f>
        <v>4.2016806722691449</v>
      </c>
      <c r="S671" s="223">
        <f t="shared" si="52"/>
        <v>1.1828218487394928</v>
      </c>
      <c r="T671" s="224">
        <f>'WetLitterbags placem_collection'!E12</f>
        <v>42766</v>
      </c>
      <c r="U671" s="224">
        <f>IF('WetLitterbags placem_collection'!G12="","",'WetLitterbags placem_collection'!G12)</f>
        <v>42818</v>
      </c>
      <c r="V671" s="225">
        <f t="shared" si="50"/>
        <v>52</v>
      </c>
      <c r="W671" s="223">
        <f t="shared" si="53"/>
        <v>0.72050000000000014</v>
      </c>
      <c r="X671" s="223">
        <f t="shared" si="54"/>
        <v>0.66455345274631727</v>
      </c>
      <c r="Y671">
        <f>IFERROR(INDEX(Rainfall_Wet!$O$2:$O$217,MATCH(B671, Rainfall_Wet!$A$2:$A$217,0)),"")</f>
        <v>194.43839254400001</v>
      </c>
      <c r="Z671" s="228">
        <v>21.13063730679653</v>
      </c>
      <c r="AA671" s="228">
        <v>3.0912555579081076</v>
      </c>
      <c r="AB671" s="228">
        <v>75.778107135295357</v>
      </c>
      <c r="AC671" s="229" t="s">
        <v>2654</v>
      </c>
      <c r="AD671" s="228">
        <v>1.46131099063578</v>
      </c>
      <c r="AE671">
        <f>IF('WetLitterbags placem_collection'!AB12="","",'WetLitterbags placem_collection'!AB12)</f>
        <v>16.8</v>
      </c>
      <c r="AF671">
        <f>IF('WetLitterbags placem_collection'!Z12="","",'WetLitterbags placem_collection'!Z12)</f>
        <v>30</v>
      </c>
      <c r="AG671" s="243" t="str">
        <f>IF('WetLitterbags placem_collection'!AA12="","",'WetLitterbags placem_collection'!AA12)</f>
        <v>M</v>
      </c>
      <c r="AH671">
        <f>IF('WetLitterbags placem_collection'!AC12="","",'WetLitterbags placem_collection'!AC12)</f>
        <v>0</v>
      </c>
      <c r="AI671">
        <f>AVERAGE('WetLitterbags placem_collection'!S12,'WetLitterbags placem_collection'!U12)</f>
        <v>14.649999999999999</v>
      </c>
      <c r="AJ671">
        <f>AVERAGE('WetLitterbags placem_collection'!R12,'WetLitterbags placem_collection'!T12)</f>
        <v>24.299999999999997</v>
      </c>
      <c r="AK671">
        <f>INDEX(Coordinates!$B$2:$B$197,MATCH(H671,Coordinates!$J$2:$J$197,0))</f>
        <v>-3.3978119869999999</v>
      </c>
      <c r="AL671">
        <f>INDEX(Coordinates!$C$2:$C$197,MATCH(H671,Coordinates!$J$2:$J$197,0))</f>
        <v>34.836968980000002</v>
      </c>
      <c r="AM671" t="str">
        <f>IF(ISNUMBER(SEARCH("C", 'WetLitterbags placem_collection'!$Y12)),"YES","NO")</f>
        <v>NO</v>
      </c>
      <c r="AN671" t="str">
        <f>IF(ISNUMBER(SEARCH("H", 'WetLitterbags placem_collection'!$Y12)),"YES","NO")</f>
        <v>NO</v>
      </c>
      <c r="AO671" t="str">
        <f>IF(ISNUMBER(SEARCH("R", 'WetLitterbags placem_collection'!$Y12)),"YES","NO")</f>
        <v>NO</v>
      </c>
    </row>
    <row r="672" spans="1:41" ht="15" customHeight="1">
      <c r="A672" s="255" t="s">
        <v>2454</v>
      </c>
      <c r="B672" s="260">
        <f>'Dry_Litterbag Placem_Collection'!A13</f>
        <v>11</v>
      </c>
      <c r="C672" s="260" t="str">
        <f>'Dry_Litterbag Placem_Collection'!B13</f>
        <v>Makao</v>
      </c>
      <c r="D672" s="260" t="s">
        <v>2643</v>
      </c>
      <c r="E672" s="260" t="s">
        <v>2644</v>
      </c>
      <c r="F672" s="260">
        <v>2</v>
      </c>
      <c r="G672" s="260" t="s">
        <v>3802</v>
      </c>
      <c r="H672" s="261" t="str">
        <f>'Dry_Litterbag Placem_Collection'!C13</f>
        <v>Dry_Ag2_T3</v>
      </c>
      <c r="I672" s="270" t="s">
        <v>3630</v>
      </c>
      <c r="J672" s="271" t="s">
        <v>298</v>
      </c>
      <c r="K672" s="221" t="str">
        <f>'WetLitterbags placem_collection'!Q13</f>
        <v>R2</v>
      </c>
      <c r="L672" s="223">
        <f>IFERROR(INDEX('Green_rooibos initial weight'!$C$5:$C$2000,MATCH(K672, 'Green_rooibos initial weight'!$A$5:$A$2000,0)),"")</f>
        <v>2.2679999999999998</v>
      </c>
      <c r="M672" s="223">
        <f>IFERROR(L672-(TBIcalc!$H$9+TBIcalc!$H$10),"")</f>
        <v>2.0181999999999998</v>
      </c>
      <c r="N672" s="385">
        <f>AVERAGE(Ashed_controlls!$K$2:$K$11)</f>
        <v>5.5147656768714146</v>
      </c>
      <c r="O672" s="223">
        <f t="shared" si="51"/>
        <v>1.9069009991093808</v>
      </c>
      <c r="P672" s="223">
        <f>IFERROR(INDEX('Both teabags AfterWet'!$C$3:$C$840,MATCH(K672,'Both teabags AfterWet'!$A$3:$A$840,0)),"")</f>
        <v>1.43</v>
      </c>
      <c r="Q672" s="223">
        <f>IFERROR(IF(P672&gt;0,P672-(TBIcalc!$H$9),""),"")</f>
        <v>1.2793999999999999</v>
      </c>
      <c r="R672" s="223">
        <f>IFERROR(INDEX('Ashed teabags wet'!$K$2:$K$2000,MATCH(K672,'Ashed teabags wet'!$A$2:$A$2000,0)),"")</f>
        <v>4.6087373979834227</v>
      </c>
      <c r="S672" s="223">
        <f t="shared" si="52"/>
        <v>1.2204358137302</v>
      </c>
      <c r="T672" s="224">
        <f>'WetLitterbags placem_collection'!E13</f>
        <v>42766</v>
      </c>
      <c r="U672" s="224">
        <f>IF('WetLitterbags placem_collection'!G13="","",'WetLitterbags placem_collection'!G13)</f>
        <v>42818</v>
      </c>
      <c r="V672" s="225">
        <f t="shared" si="50"/>
        <v>52</v>
      </c>
      <c r="W672" s="223">
        <f t="shared" si="53"/>
        <v>0.7387999999999999</v>
      </c>
      <c r="X672" s="223">
        <f t="shared" si="54"/>
        <v>0.68646518537918078</v>
      </c>
      <c r="Y672">
        <f>IFERROR(INDEX(Rainfall_Wet!$O$2:$O$217,MATCH(B672, Rainfall_Wet!$A$2:$A$217,0)),"")</f>
        <v>194.43839254400001</v>
      </c>
      <c r="Z672" s="228">
        <v>21.13063730679653</v>
      </c>
      <c r="AA672" s="228">
        <v>3.0912555579081076</v>
      </c>
      <c r="AB672" s="228">
        <v>75.778107135295357</v>
      </c>
      <c r="AC672" s="229" t="s">
        <v>2654</v>
      </c>
      <c r="AD672" s="228">
        <v>2.4613109906357802</v>
      </c>
      <c r="AE672">
        <f>IF('WetLitterbags placem_collection'!AB13="","",'WetLitterbags placem_collection'!AB13)</f>
        <v>11.4</v>
      </c>
      <c r="AF672">
        <f>IF('WetLitterbags placem_collection'!Z13="","",'WetLitterbags placem_collection'!Z13)</f>
        <v>24.4</v>
      </c>
      <c r="AG672" s="243" t="str">
        <f>IF('WetLitterbags placem_collection'!AA13="","",'WetLitterbags placem_collection'!AA13)</f>
        <v>M</v>
      </c>
      <c r="AH672">
        <f>IF('WetLitterbags placem_collection'!AC13="","",'WetLitterbags placem_collection'!AC13)</f>
        <v>0</v>
      </c>
      <c r="AI672">
        <f>AVERAGE('WetLitterbags placem_collection'!S13,'WetLitterbags placem_collection'!U13)</f>
        <v>21.1</v>
      </c>
      <c r="AJ672">
        <f>AVERAGE('WetLitterbags placem_collection'!R13,'WetLitterbags placem_collection'!T13)</f>
        <v>24.05</v>
      </c>
      <c r="AK672">
        <f>INDEX(Coordinates!$B$2:$B$197,MATCH(H672,Coordinates!$J$2:$J$197,0))</f>
        <v>-3.3977929599999999</v>
      </c>
      <c r="AL672">
        <f>INDEX(Coordinates!$C$2:$C$197,MATCH(H672,Coordinates!$J$2:$J$197,0))</f>
        <v>34.837102999999999</v>
      </c>
      <c r="AM672" t="str">
        <f>IF(ISNUMBER(SEARCH("C", 'WetLitterbags placem_collection'!$Y13)),"YES","NO")</f>
        <v>NO</v>
      </c>
      <c r="AN672" t="str">
        <f>IF(ISNUMBER(SEARCH("H", 'WetLitterbags placem_collection'!$Y13)),"YES","NO")</f>
        <v>NO</v>
      </c>
      <c r="AO672" t="str">
        <f>IF(ISNUMBER(SEARCH("R", 'WetLitterbags placem_collection'!$Y13)),"YES","NO")</f>
        <v>NO</v>
      </c>
    </row>
    <row r="673" spans="1:41" ht="15" customHeight="1">
      <c r="A673" s="255" t="s">
        <v>2454</v>
      </c>
      <c r="B673" s="260">
        <f>'Dry_Litterbag Placem_Collection'!A14</f>
        <v>12</v>
      </c>
      <c r="C673" s="260" t="str">
        <f>'Dry_Litterbag Placem_Collection'!B14</f>
        <v>Makao</v>
      </c>
      <c r="D673" s="260" t="s">
        <v>2643</v>
      </c>
      <c r="E673" s="260" t="s">
        <v>2644</v>
      </c>
      <c r="F673" s="260">
        <v>2</v>
      </c>
      <c r="G673" s="260" t="s">
        <v>3802</v>
      </c>
      <c r="H673" s="261" t="str">
        <f>'Dry_Litterbag Placem_Collection'!C14</f>
        <v>Dry_Ag2_T4</v>
      </c>
      <c r="I673" s="270" t="s">
        <v>3630</v>
      </c>
      <c r="J673" s="271" t="s">
        <v>298</v>
      </c>
      <c r="K673" s="221" t="str">
        <f>'WetLitterbags placem_collection'!Q14</f>
        <v>R123</v>
      </c>
      <c r="L673" s="223">
        <f>IFERROR(INDEX('Green_rooibos initial weight'!$C$5:$C$2000,MATCH(K673, 'Green_rooibos initial weight'!$A$5:$A$2000,0)),"")</f>
        <v>2.2610000000000001</v>
      </c>
      <c r="M673" s="223">
        <f>IFERROR(L673-(TBIcalc!$H$9+TBIcalc!$H$10),"")</f>
        <v>2.0112000000000001</v>
      </c>
      <c r="N673" s="385">
        <f>AVERAGE(Ashed_controlls!$K$2:$K$11)</f>
        <v>5.5147656768714146</v>
      </c>
      <c r="O673" s="223">
        <f t="shared" si="51"/>
        <v>1.9002870327067622</v>
      </c>
      <c r="P673" s="223" t="str">
        <f>IFERROR(INDEX('Both teabags AfterWet'!$C$3:$C$840,MATCH(K673,'Both teabags AfterWet'!$A$3:$A$840,0)),"")</f>
        <v/>
      </c>
      <c r="Q673" s="223" t="str">
        <f>IFERROR(IF(P673&gt;0,P673-(TBIcalc!$H$9),""),"")</f>
        <v/>
      </c>
      <c r="R673" s="223" t="str">
        <f>IFERROR(INDEX('Ashed teabags wet'!$K$2:$K$2000,MATCH(K673,'Ashed teabags wet'!$A$2:$A$2000,0)),"")</f>
        <v/>
      </c>
      <c r="S673" s="223" t="str">
        <f t="shared" si="52"/>
        <v/>
      </c>
      <c r="T673" s="224">
        <f>'WetLitterbags placem_collection'!E14</f>
        <v>42766</v>
      </c>
      <c r="U673" s="224">
        <f>IF('WetLitterbags placem_collection'!G14="","",'WetLitterbags placem_collection'!G14)</f>
        <v>42818</v>
      </c>
      <c r="V673" s="225">
        <f t="shared" si="50"/>
        <v>52</v>
      </c>
      <c r="W673" s="223" t="str">
        <f t="shared" si="53"/>
        <v/>
      </c>
      <c r="X673" s="223" t="str">
        <f t="shared" si="54"/>
        <v/>
      </c>
      <c r="Y673" t="str">
        <f>IFERROR(INDEX(Rainfall_Wet!$O$2:$O$217,MATCH(B673, Rainfall_Wet!$A$2:$A$217,0)),"")</f>
        <v/>
      </c>
      <c r="Z673" s="228">
        <v>21.13063730679653</v>
      </c>
      <c r="AA673" s="228">
        <v>3.0912555579081076</v>
      </c>
      <c r="AB673" s="228">
        <v>75.778107135295357</v>
      </c>
      <c r="AC673" s="229" t="s">
        <v>2654</v>
      </c>
      <c r="AD673" s="228">
        <v>3.4613109906357802</v>
      </c>
      <c r="AE673" t="str">
        <f>IF('WetLitterbags placem_collection'!AB14="","",'WetLitterbags placem_collection'!AB14)</f>
        <v/>
      </c>
      <c r="AF673" t="str">
        <f>IF('WetLitterbags placem_collection'!Z14="","",'WetLitterbags placem_collection'!Z14)</f>
        <v/>
      </c>
      <c r="AG673" s="243" t="str">
        <f>IF('WetLitterbags placem_collection'!AA14="","",'WetLitterbags placem_collection'!AA14)</f>
        <v/>
      </c>
      <c r="AH673" t="str">
        <f>IF('WetLitterbags placem_collection'!AC14="","",'WetLitterbags placem_collection'!AC14)</f>
        <v/>
      </c>
      <c r="AI673">
        <f>AVERAGE('WetLitterbags placem_collection'!S14,'WetLitterbags placem_collection'!U14)</f>
        <v>25.8</v>
      </c>
      <c r="AJ673">
        <f>AVERAGE('WetLitterbags placem_collection'!R14,'WetLitterbags placem_collection'!T14)</f>
        <v>21.7</v>
      </c>
      <c r="AK673">
        <f>INDEX(Coordinates!$B$2:$B$197,MATCH(H673,Coordinates!$J$2:$J$197,0))</f>
        <v>-3.3979050260000001</v>
      </c>
      <c r="AL673">
        <f>INDEX(Coordinates!$C$2:$C$197,MATCH(H673,Coordinates!$J$2:$J$197,0))</f>
        <v>34.837123030000001</v>
      </c>
      <c r="AM673" t="str">
        <f>IF(ISNUMBER(SEARCH("C", 'WetLitterbags placem_collection'!$Y14)),"YES","NO")</f>
        <v>NO</v>
      </c>
      <c r="AN673" t="str">
        <f>IF(ISNUMBER(SEARCH("H", 'WetLitterbags placem_collection'!$Y14)),"YES","NO")</f>
        <v>NO</v>
      </c>
      <c r="AO673" t="str">
        <f>IF(ISNUMBER(SEARCH("R", 'WetLitterbags placem_collection'!$Y14)),"YES","NO")</f>
        <v>NO</v>
      </c>
    </row>
    <row r="674" spans="1:41" ht="15" customHeight="1">
      <c r="A674" s="255" t="s">
        <v>2454</v>
      </c>
      <c r="B674" s="260">
        <f>'Dry_Litterbag Placem_Collection'!A15</f>
        <v>13</v>
      </c>
      <c r="C674" s="260" t="str">
        <f>'Dry_Litterbag Placem_Collection'!B15</f>
        <v>Makao</v>
      </c>
      <c r="D674" s="260" t="s">
        <v>2643</v>
      </c>
      <c r="E674" s="260" t="s">
        <v>2644</v>
      </c>
      <c r="F674" s="260">
        <v>2</v>
      </c>
      <c r="G674" s="260" t="s">
        <v>3802</v>
      </c>
      <c r="H674" s="261" t="str">
        <f>'Dry_Litterbag Placem_Collection'!C15</f>
        <v>Dry_Ag2_T5</v>
      </c>
      <c r="I674" s="270" t="s">
        <v>3630</v>
      </c>
      <c r="J674" s="271" t="s">
        <v>298</v>
      </c>
      <c r="K674" s="221" t="str">
        <f>'WetLitterbags placem_collection'!Q15</f>
        <v>R3</v>
      </c>
      <c r="L674" s="223">
        <f>IFERROR(INDEX('Green_rooibos initial weight'!$C$5:$C$2000,MATCH(K674, 'Green_rooibos initial weight'!$A$5:$A$2000,0)),"")</f>
        <v>2.242</v>
      </c>
      <c r="M674" s="223">
        <f>IFERROR(L674-(TBIcalc!$H$9+TBIcalc!$H$10),"")</f>
        <v>1.9922</v>
      </c>
      <c r="N674" s="385">
        <f>AVERAGE(Ashed_controlls!$K$2:$K$11)</f>
        <v>5.5147656768714146</v>
      </c>
      <c r="O674" s="223">
        <f t="shared" si="51"/>
        <v>1.8823348381853677</v>
      </c>
      <c r="P674" s="223">
        <f>IFERROR(INDEX('Both teabags AfterWet'!$C$3:$C$840,MATCH(K674,'Both teabags AfterWet'!$A$3:$A$840,0)),"")</f>
        <v>1.4899</v>
      </c>
      <c r="Q674" s="223">
        <f>IFERROR(IF(P674&gt;0,P674-(TBIcalc!$H$9),""),"")</f>
        <v>1.3392999999999999</v>
      </c>
      <c r="R674" s="223">
        <f>IFERROR(INDEX('Ashed teabags wet'!$K$2:$K$2000,MATCH(K674,'Ashed teabags wet'!$A$2:$A$2000,0)),"")</f>
        <v>3.0078895463511506</v>
      </c>
      <c r="S674" s="223">
        <f t="shared" si="52"/>
        <v>1.299015335305719</v>
      </c>
      <c r="T674" s="224">
        <f>'WetLitterbags placem_collection'!E15</f>
        <v>42766</v>
      </c>
      <c r="U674" s="224">
        <f>IF('WetLitterbags placem_collection'!G15="","",'WetLitterbags placem_collection'!G15)</f>
        <v>42818</v>
      </c>
      <c r="V674" s="225">
        <f t="shared" si="50"/>
        <v>52</v>
      </c>
      <c r="W674" s="223">
        <f t="shared" si="53"/>
        <v>0.65290000000000004</v>
      </c>
      <c r="X674" s="223">
        <f t="shared" si="54"/>
        <v>0.58331950287964873</v>
      </c>
      <c r="Y674">
        <f>IFERROR(INDEX(Rainfall_Wet!$O$2:$O$217,MATCH(B674, Rainfall_Wet!$A$2:$A$217,0)),"")</f>
        <v>194.43839254400001</v>
      </c>
      <c r="Z674" s="228">
        <v>21.13063730679653</v>
      </c>
      <c r="AA674" s="228">
        <v>3.0912555579081076</v>
      </c>
      <c r="AB674" s="228">
        <v>75.778107135295357</v>
      </c>
      <c r="AC674" s="229" t="s">
        <v>2654</v>
      </c>
      <c r="AD674" s="228">
        <v>4.4613109906357797</v>
      </c>
      <c r="AE674">
        <f>IF('WetLitterbags placem_collection'!AB15="","",'WetLitterbags placem_collection'!AB15)</f>
        <v>11.4</v>
      </c>
      <c r="AF674">
        <f>IF('WetLitterbags placem_collection'!Z15="","",'WetLitterbags placem_collection'!Z15)</f>
        <v>31</v>
      </c>
      <c r="AG674" s="243" t="str">
        <f>IF('WetLitterbags placem_collection'!AA15="","",'WetLitterbags placem_collection'!AA15)</f>
        <v>M</v>
      </c>
      <c r="AH674">
        <f>IF('WetLitterbags placem_collection'!AC15="","",'WetLitterbags placem_collection'!AC15)</f>
        <v>0</v>
      </c>
      <c r="AI674">
        <f>AVERAGE('WetLitterbags placem_collection'!S15,'WetLitterbags placem_collection'!U15)</f>
        <v>20.8</v>
      </c>
      <c r="AJ674">
        <f>AVERAGE('WetLitterbags placem_collection'!R15,'WetLitterbags placem_collection'!T15)</f>
        <v>23.4</v>
      </c>
      <c r="AK674">
        <f>INDEX(Coordinates!$B$2:$B$197,MATCH(H674,Coordinates!$J$2:$J$197,0))</f>
        <v>-3.3979040199999999</v>
      </c>
      <c r="AL674">
        <f>INDEX(Coordinates!$C$2:$C$197,MATCH(H674,Coordinates!$J$2:$J$197,0))</f>
        <v>34.837027980000002</v>
      </c>
      <c r="AM674" t="str">
        <f>IF(ISNUMBER(SEARCH("C", 'WetLitterbags placem_collection'!$Y15)),"YES","NO")</f>
        <v>NO</v>
      </c>
      <c r="AN674" t="str">
        <f>IF(ISNUMBER(SEARCH("H", 'WetLitterbags placem_collection'!$Y15)),"YES","NO")</f>
        <v>NO</v>
      </c>
      <c r="AO674" t="str">
        <f>IF(ISNUMBER(SEARCH("R", 'WetLitterbags placem_collection'!$Y15)),"YES","NO")</f>
        <v>NO</v>
      </c>
    </row>
    <row r="675" spans="1:41" ht="15" customHeight="1">
      <c r="A675" s="255" t="s">
        <v>2454</v>
      </c>
      <c r="B675" s="260">
        <f>'Dry_Litterbag Placem_Collection'!A16</f>
        <v>14</v>
      </c>
      <c r="C675" s="260" t="str">
        <f>'Dry_Litterbag Placem_Collection'!B16</f>
        <v>Makao</v>
      </c>
      <c r="D675" s="260" t="s">
        <v>2643</v>
      </c>
      <c r="E675" s="260" t="s">
        <v>2644</v>
      </c>
      <c r="F675" s="260">
        <v>2</v>
      </c>
      <c r="G675" s="260" t="s">
        <v>3802</v>
      </c>
      <c r="H675" s="261" t="str">
        <f>'Dry_Litterbag Placem_Collection'!C16</f>
        <v>Dry_Ag2_T6</v>
      </c>
      <c r="I675" s="270" t="s">
        <v>3630</v>
      </c>
      <c r="J675" s="271" t="s">
        <v>298</v>
      </c>
      <c r="K675" s="221" t="str">
        <f>'WetLitterbags placem_collection'!Q16</f>
        <v>R282</v>
      </c>
      <c r="L675" s="223">
        <f>IFERROR(INDEX('Green_rooibos initial weight'!$C$5:$C$2000,MATCH(K675, 'Green_rooibos initial weight'!$A$5:$A$2000,0)),"")</f>
        <v>2.1829999999999998</v>
      </c>
      <c r="M675" s="223">
        <f>IFERROR(L675-(TBIcalc!$H$9+TBIcalc!$H$10),"")</f>
        <v>1.9331999999999998</v>
      </c>
      <c r="N675" s="385">
        <f>AVERAGE(Ashed_controlls!$K$2:$K$11)</f>
        <v>5.5147656768714146</v>
      </c>
      <c r="O675" s="223">
        <f t="shared" si="51"/>
        <v>1.8265885499347216</v>
      </c>
      <c r="P675" s="223">
        <f>IFERROR(INDEX('Both teabags AfterWet'!$C$3:$C$840,MATCH(K675,'Both teabags AfterWet'!$A$3:$A$840,0)),"")</f>
        <v>1.5669999999999999</v>
      </c>
      <c r="Q675" s="223">
        <f>IFERROR(IF(P675&gt;0,P675-(TBIcalc!$H$9),""),"")</f>
        <v>1.4163999999999999</v>
      </c>
      <c r="R675" s="223">
        <f>IFERROR(INDEX('Ashed teabags wet'!$K$2:$K$2000,MATCH(K675,'Ashed teabags wet'!$A$2:$A$2000,0)),"")</f>
        <v>2.903543307086486</v>
      </c>
      <c r="S675" s="223">
        <f t="shared" si="52"/>
        <v>1.375274212598427</v>
      </c>
      <c r="T675" s="224">
        <f>'WetLitterbags placem_collection'!E16</f>
        <v>42766</v>
      </c>
      <c r="U675" s="224">
        <f>IF('WetLitterbags placem_collection'!G16="","",'WetLitterbags placem_collection'!G16)</f>
        <v>42818</v>
      </c>
      <c r="V675" s="225">
        <f t="shared" si="50"/>
        <v>52</v>
      </c>
      <c r="W675" s="223">
        <f t="shared" si="53"/>
        <v>0.51679999999999993</v>
      </c>
      <c r="X675" s="223">
        <f t="shared" si="54"/>
        <v>0.45131433733629467</v>
      </c>
      <c r="Y675">
        <f>IFERROR(INDEX(Rainfall_Wet!$O$2:$O$217,MATCH(B675, Rainfall_Wet!$A$2:$A$217,0)),"")</f>
        <v>194.43839254400001</v>
      </c>
      <c r="Z675" s="228">
        <v>21.13063730679653</v>
      </c>
      <c r="AA675" s="228">
        <v>3.0912555579081076</v>
      </c>
      <c r="AB675" s="228">
        <v>75.778107135295357</v>
      </c>
      <c r="AC675" s="229" t="s">
        <v>2654</v>
      </c>
      <c r="AD675" s="228">
        <v>5.4613109906357797</v>
      </c>
      <c r="AE675">
        <f>IF('WetLitterbags placem_collection'!AB16="","",'WetLitterbags placem_collection'!AB16)</f>
        <v>28.4</v>
      </c>
      <c r="AF675">
        <f>IF('WetLitterbags placem_collection'!Z16="","",'WetLitterbags placem_collection'!Z16)</f>
        <v>42.4</v>
      </c>
      <c r="AG675" s="243" t="str">
        <f>IF('WetLitterbags placem_collection'!AA16="","",'WetLitterbags placem_collection'!AA16)</f>
        <v>M</v>
      </c>
      <c r="AH675">
        <f>IF('WetLitterbags placem_collection'!AC16="","",'WetLitterbags placem_collection'!AC16)</f>
        <v>0</v>
      </c>
      <c r="AI675">
        <f>AVERAGE('WetLitterbags placem_collection'!S16,'WetLitterbags placem_collection'!U16)</f>
        <v>15.7</v>
      </c>
      <c r="AJ675">
        <f>AVERAGE('WetLitterbags placem_collection'!R16,'WetLitterbags placem_collection'!T16)</f>
        <v>24.1</v>
      </c>
      <c r="AK675">
        <f>INDEX(Coordinates!$B$2:$B$197,MATCH(H675,Coordinates!$J$2:$J$197,0))</f>
        <v>-3.397854986</v>
      </c>
      <c r="AL675">
        <f>INDEX(Coordinates!$C$2:$C$197,MATCH(H675,Coordinates!$J$2:$J$197,0))</f>
        <v>34.836874010000002</v>
      </c>
      <c r="AM675" t="str">
        <f>IF(ISNUMBER(SEARCH("C", 'WetLitterbags placem_collection'!$Y16)),"YES","NO")</f>
        <v>NO</v>
      </c>
      <c r="AN675" t="str">
        <f>IF(ISNUMBER(SEARCH("H", 'WetLitterbags placem_collection'!$Y16)),"YES","NO")</f>
        <v>NO</v>
      </c>
      <c r="AO675" t="str">
        <f>IF(ISNUMBER(SEARCH("R", 'WetLitterbags placem_collection'!$Y16)),"YES","NO")</f>
        <v>NO</v>
      </c>
    </row>
    <row r="676" spans="1:41" ht="15" customHeight="1">
      <c r="A676" s="255" t="s">
        <v>2454</v>
      </c>
      <c r="B676" s="260">
        <f>'Dry_Litterbag Placem_Collection'!A17</f>
        <v>15</v>
      </c>
      <c r="C676" s="260" t="str">
        <f>'Dry_Litterbag Placem_Collection'!B17</f>
        <v>Makao</v>
      </c>
      <c r="D676" s="260" t="s">
        <v>2643</v>
      </c>
      <c r="E676" s="260" t="s">
        <v>2644</v>
      </c>
      <c r="F676" s="260">
        <v>2</v>
      </c>
      <c r="G676" s="260" t="s">
        <v>3802</v>
      </c>
      <c r="H676" s="261" t="str">
        <f>'Dry_Litterbag Placem_Collection'!C17</f>
        <v>Dry_Ag2_T7</v>
      </c>
      <c r="I676" s="270" t="s">
        <v>3630</v>
      </c>
      <c r="J676" s="271" t="s">
        <v>298</v>
      </c>
      <c r="K676" s="221" t="str">
        <f>'WetLitterbags placem_collection'!Q17</f>
        <v>R99</v>
      </c>
      <c r="L676" s="223">
        <f>IFERROR(INDEX('Green_rooibos initial weight'!$C$5:$C$2000,MATCH(K676, 'Green_rooibos initial weight'!$A$5:$A$2000,0)),"")</f>
        <v>2.1920000000000002</v>
      </c>
      <c r="M676" s="223">
        <f>IFERROR(L676-(TBIcalc!$H$9+TBIcalc!$H$10),"")</f>
        <v>1.9422000000000001</v>
      </c>
      <c r="N676" s="385">
        <f>AVERAGE(Ashed_controlls!$K$2:$K$11)</f>
        <v>5.5147656768714146</v>
      </c>
      <c r="O676" s="223">
        <f t="shared" si="51"/>
        <v>1.8350922210238034</v>
      </c>
      <c r="P676" s="223" t="str">
        <f>IFERROR(INDEX('Both teabags AfterWet'!$C$3:$C$840,MATCH(K676,'Both teabags AfterWet'!$A$3:$A$840,0)),"")</f>
        <v/>
      </c>
      <c r="Q676" s="223" t="str">
        <f>IFERROR(IF(P676&gt;0,P676-(TBIcalc!$H$9),""),"")</f>
        <v/>
      </c>
      <c r="R676" s="223">
        <f>IFERROR(INDEX('Ashed teabags wet'!$K$2:$K$2000,MATCH(K676,'Ashed teabags wet'!$A$2:$A$2000,0)),"")</f>
        <v>7.6999503229018247</v>
      </c>
      <c r="S676" s="223" t="str">
        <f t="shared" si="52"/>
        <v/>
      </c>
      <c r="T676" s="224">
        <f>'WetLitterbags placem_collection'!E17</f>
        <v>42766</v>
      </c>
      <c r="U676" s="224">
        <f>IF('WetLitterbags placem_collection'!G17="","",'WetLitterbags placem_collection'!G17)</f>
        <v>42818</v>
      </c>
      <c r="V676" s="225">
        <f t="shared" si="50"/>
        <v>52</v>
      </c>
      <c r="W676" s="223" t="str">
        <f t="shared" si="53"/>
        <v/>
      </c>
      <c r="X676" s="223" t="str">
        <f t="shared" si="54"/>
        <v/>
      </c>
      <c r="Y676">
        <f>IFERROR(INDEX(Rainfall_Wet!$O$2:$O$217,MATCH(B676, Rainfall_Wet!$A$2:$A$217,0)),"")</f>
        <v>194.43839254400001</v>
      </c>
      <c r="Z676" s="228">
        <v>21.13063730679653</v>
      </c>
      <c r="AA676" s="228">
        <v>3.0912555579081076</v>
      </c>
      <c r="AB676" s="228">
        <v>75.778107135295357</v>
      </c>
      <c r="AC676" s="229" t="s">
        <v>2654</v>
      </c>
      <c r="AD676" s="228">
        <v>6.4613109906357797</v>
      </c>
      <c r="AE676">
        <f>IF('WetLitterbags placem_collection'!AB17="","",'WetLitterbags placem_collection'!AB17)</f>
        <v>15.8</v>
      </c>
      <c r="AF676">
        <f>IF('WetLitterbags placem_collection'!Z17="","",'WetLitterbags placem_collection'!Z17)</f>
        <v>30.4</v>
      </c>
      <c r="AG676" s="243" t="str">
        <f>IF('WetLitterbags placem_collection'!AA17="","",'WetLitterbags placem_collection'!AA17)</f>
        <v>M</v>
      </c>
      <c r="AH676">
        <f>IF('WetLitterbags placem_collection'!AC17="","",'WetLitterbags placem_collection'!AC17)</f>
        <v>0</v>
      </c>
      <c r="AI676">
        <f>AVERAGE('WetLitterbags placem_collection'!S17,'WetLitterbags placem_collection'!U17)</f>
        <v>23.9</v>
      </c>
      <c r="AJ676">
        <f>AVERAGE('WetLitterbags placem_collection'!R17,'WetLitterbags placem_collection'!T17)</f>
        <v>23.95</v>
      </c>
      <c r="AK676">
        <f>INDEX(Coordinates!$B$2:$B$197,MATCH(H676,Coordinates!$J$2:$J$197,0))</f>
        <v>-3.3978060349999999</v>
      </c>
      <c r="AL676">
        <f>INDEX(Coordinates!$C$2:$C$197,MATCH(H676,Coordinates!$J$2:$J$197,0))</f>
        <v>34.837023960000003</v>
      </c>
      <c r="AM676" t="str">
        <f>IF(ISNUMBER(SEARCH("C", 'WetLitterbags placem_collection'!$Y17)),"YES","NO")</f>
        <v>NO</v>
      </c>
      <c r="AN676" t="str">
        <f>IF(ISNUMBER(SEARCH("H", 'WetLitterbags placem_collection'!$Y17)),"YES","NO")</f>
        <v>NO</v>
      </c>
      <c r="AO676" t="str">
        <f>IF(ISNUMBER(SEARCH("R", 'WetLitterbags placem_collection'!$Y17)),"YES","NO")</f>
        <v>YES</v>
      </c>
    </row>
    <row r="677" spans="1:41" ht="15" customHeight="1">
      <c r="A677" s="255" t="s">
        <v>2454</v>
      </c>
      <c r="B677" s="260">
        <f>'Dry_Litterbag Placem_Collection'!A18</f>
        <v>16</v>
      </c>
      <c r="C677" s="260" t="str">
        <f>'Dry_Litterbag Placem_Collection'!B18</f>
        <v>Makao</v>
      </c>
      <c r="D677" s="260" t="s">
        <v>2643</v>
      </c>
      <c r="E677" s="260" t="s">
        <v>2644</v>
      </c>
      <c r="F677" s="260">
        <v>2</v>
      </c>
      <c r="G677" s="260" t="s">
        <v>3802</v>
      </c>
      <c r="H677" s="261" t="str">
        <f>'Dry_Litterbag Placem_Collection'!C18</f>
        <v>Dry_Ag2_T8</v>
      </c>
      <c r="I677" s="270" t="s">
        <v>3630</v>
      </c>
      <c r="J677" s="271" t="s">
        <v>298</v>
      </c>
      <c r="K677" s="221" t="str">
        <f>'WetLitterbags placem_collection'!Q18</f>
        <v>R154</v>
      </c>
      <c r="L677" s="223">
        <f>IFERROR(INDEX('Green_rooibos initial weight'!$C$5:$C$2000,MATCH(K677, 'Green_rooibos initial weight'!$A$5:$A$2000,0)),"")</f>
        <v>2.2010000000000001</v>
      </c>
      <c r="M677" s="223">
        <f>IFERROR(L677-(TBIcalc!$H$9+TBIcalc!$H$10),"")</f>
        <v>1.9512</v>
      </c>
      <c r="N677" s="385">
        <f>AVERAGE(Ashed_controlls!$K$2:$K$11)</f>
        <v>5.5147656768714146</v>
      </c>
      <c r="O677" s="223">
        <f t="shared" si="51"/>
        <v>1.843595892112885</v>
      </c>
      <c r="P677" s="223">
        <f>IFERROR(INDEX('Both teabags AfterWet'!$C$3:$C$840,MATCH(K677,'Both teabags AfterWet'!$A$3:$A$840,0)),"")</f>
        <v>1.421</v>
      </c>
      <c r="Q677" s="223">
        <f>IFERROR(IF(P677&gt;0,P677-(TBIcalc!$H$9),""),"")</f>
        <v>1.2704</v>
      </c>
      <c r="R677" s="223">
        <f>IFERROR(INDEX('Ashed teabags wet'!$K$2:$K$2000,MATCH(K677,'Ashed teabags wet'!$A$2:$A$2000,0)),"")</f>
        <v>4.0579710144928036</v>
      </c>
      <c r="S677" s="223">
        <f t="shared" si="52"/>
        <v>1.2188475362318834</v>
      </c>
      <c r="T677" s="224">
        <f>'WetLitterbags placem_collection'!E18</f>
        <v>42766</v>
      </c>
      <c r="U677" s="224">
        <f>IF('WetLitterbags placem_collection'!G18="","",'WetLitterbags placem_collection'!G18)</f>
        <v>42818</v>
      </c>
      <c r="V677" s="225">
        <f t="shared" si="50"/>
        <v>52</v>
      </c>
      <c r="W677" s="223">
        <f t="shared" si="53"/>
        <v>0.68080000000000007</v>
      </c>
      <c r="X677" s="223">
        <f t="shared" si="54"/>
        <v>0.62474835588100164</v>
      </c>
      <c r="Y677">
        <f>IFERROR(INDEX(Rainfall_Wet!$O$2:$O$217,MATCH(B677, Rainfall_Wet!$A$2:$A$217,0)),"")</f>
        <v>194.43839254400001</v>
      </c>
      <c r="Z677" s="228">
        <v>21.13063730679653</v>
      </c>
      <c r="AA677" s="228">
        <v>3.0912555579081076</v>
      </c>
      <c r="AB677" s="228">
        <v>75.778107135295357</v>
      </c>
      <c r="AC677" s="229" t="s">
        <v>2654</v>
      </c>
      <c r="AD677" s="228">
        <v>7.4613109906357797</v>
      </c>
      <c r="AE677">
        <f>IF('WetLitterbags placem_collection'!AB18="","",'WetLitterbags placem_collection'!AB18)</f>
        <v>8</v>
      </c>
      <c r="AF677">
        <f>IF('WetLitterbags placem_collection'!Z18="","",'WetLitterbags placem_collection'!Z18)</f>
        <v>12.4</v>
      </c>
      <c r="AG677" s="243" t="str">
        <f>IF('WetLitterbags placem_collection'!AA18="","",'WetLitterbags placem_collection'!AA18)</f>
        <v>M</v>
      </c>
      <c r="AH677">
        <f>IF('WetLitterbags placem_collection'!AC18="","",'WetLitterbags placem_collection'!AC18)</f>
        <v>0</v>
      </c>
      <c r="AI677">
        <f>AVERAGE('WetLitterbags placem_collection'!S18,'WetLitterbags placem_collection'!U18)</f>
        <v>17.5</v>
      </c>
      <c r="AJ677">
        <f>AVERAGE('WetLitterbags placem_collection'!R18,'WetLitterbags placem_collection'!T18)</f>
        <v>24.05</v>
      </c>
      <c r="AK677">
        <f>INDEX(Coordinates!$B$2:$B$197,MATCH(H677,Coordinates!$J$2:$J$197,0))</f>
        <v>-3.3977669760000002</v>
      </c>
      <c r="AL677">
        <f>INDEX(Coordinates!$C$2:$C$197,MATCH(H677,Coordinates!$J$2:$J$197,0))</f>
        <v>34.837181039999997</v>
      </c>
      <c r="AM677" t="str">
        <f>IF(ISNUMBER(SEARCH("C", 'WetLitterbags placem_collection'!$Y18)),"YES","NO")</f>
        <v>NO</v>
      </c>
      <c r="AN677" t="str">
        <f>IF(ISNUMBER(SEARCH("H", 'WetLitterbags placem_collection'!$Y18)),"YES","NO")</f>
        <v>NO</v>
      </c>
      <c r="AO677" t="str">
        <f>IF(ISNUMBER(SEARCH("R", 'WetLitterbags placem_collection'!$Y18)),"YES","NO")</f>
        <v>YES</v>
      </c>
    </row>
    <row r="678" spans="1:41" ht="15" customHeight="1">
      <c r="A678" s="255" t="s">
        <v>2454</v>
      </c>
      <c r="B678" s="260">
        <f>'Dry_Litterbag Placem_Collection'!A19</f>
        <v>17</v>
      </c>
      <c r="C678" s="260" t="str">
        <f>'Dry_Litterbag Placem_Collection'!B19</f>
        <v>Makao</v>
      </c>
      <c r="D678" s="260" t="s">
        <v>2643</v>
      </c>
      <c r="E678" s="260" t="s">
        <v>2644</v>
      </c>
      <c r="F678" s="260">
        <v>3</v>
      </c>
      <c r="G678" s="260" t="s">
        <v>3803</v>
      </c>
      <c r="H678" s="261" t="str">
        <f>'Dry_Litterbag Placem_Collection'!C19</f>
        <v>Dry_Ag3_T1</v>
      </c>
      <c r="I678" s="270" t="s">
        <v>3630</v>
      </c>
      <c r="J678" s="271" t="s">
        <v>298</v>
      </c>
      <c r="K678" s="221" t="str">
        <f>'WetLitterbags placem_collection'!Q19</f>
        <v>R380</v>
      </c>
      <c r="L678" s="223">
        <f>IFERROR(INDEX('Green_rooibos initial weight'!$C$5:$C$2000,MATCH(K678, 'Green_rooibos initial weight'!$A$5:$A$2000,0)),"")</f>
        <v>2.2799999999999998</v>
      </c>
      <c r="M678" s="223">
        <f>IFERROR(L678-(TBIcalc!$H$9+TBIcalc!$H$10),"")</f>
        <v>2.0301999999999998</v>
      </c>
      <c r="N678" s="385">
        <f>AVERAGE(Ashed_controlls!$K$2:$K$11)</f>
        <v>5.5147656768714146</v>
      </c>
      <c r="O678" s="223">
        <f t="shared" si="51"/>
        <v>1.9182392272281563</v>
      </c>
      <c r="P678" s="223">
        <f>IFERROR(INDEX('Both teabags AfterWet'!$C$3:$C$840,MATCH(K678,'Both teabags AfterWet'!$A$3:$A$840,0)),"")</f>
        <v>1.6271</v>
      </c>
      <c r="Q678" s="223">
        <f>IFERROR(IF(P678&gt;0,P678-(TBIcalc!$H$9),""),"")</f>
        <v>1.4764999999999999</v>
      </c>
      <c r="R678" s="223">
        <f>IFERROR(INDEX('Ashed teabags wet'!$K$2:$K$2000,MATCH(K678,'Ashed teabags wet'!$A$2:$A$2000,0)),"")</f>
        <v>3.3600802407224508</v>
      </c>
      <c r="S678" s="223">
        <f t="shared" si="52"/>
        <v>1.4268884152457328</v>
      </c>
      <c r="T678" s="224">
        <f>'WetLitterbags placem_collection'!E19</f>
        <v>42767</v>
      </c>
      <c r="U678" s="224">
        <f>IF('WetLitterbags placem_collection'!G19="","",'WetLitterbags placem_collection'!G19)</f>
        <v>42818</v>
      </c>
      <c r="V678" s="225">
        <f t="shared" si="50"/>
        <v>51</v>
      </c>
      <c r="W678" s="223">
        <f t="shared" si="53"/>
        <v>0.55369999999999986</v>
      </c>
      <c r="X678" s="223">
        <f t="shared" si="54"/>
        <v>0.49135081198242347</v>
      </c>
      <c r="Y678">
        <f>IFERROR(INDEX(Rainfall_Wet!$O$2:$O$217,MATCH(B678, Rainfall_Wet!$A$2:$A$217,0)),"")</f>
        <v>185.630065823</v>
      </c>
      <c r="Z678" s="228">
        <v>54.080969906906262</v>
      </c>
      <c r="AA678" s="228">
        <v>21.264484651351896</v>
      </c>
      <c r="AB678" s="228">
        <v>24.654545441741845</v>
      </c>
      <c r="AC678" s="229" t="s">
        <v>2657</v>
      </c>
      <c r="AD678" s="228">
        <v>1.8433218334154755</v>
      </c>
      <c r="AE678" t="str">
        <f>IF('WetLitterbags placem_collection'!AB19="","",'WetLitterbags placem_collection'!AB19)</f>
        <v/>
      </c>
      <c r="AF678" t="str">
        <f>IF('WetLitterbags placem_collection'!Z19="","",'WetLitterbags placem_collection'!Z19)</f>
        <v/>
      </c>
      <c r="AG678" s="243" t="str">
        <f>IF('WetLitterbags placem_collection'!AA19="","",'WetLitterbags placem_collection'!AA19)</f>
        <v/>
      </c>
      <c r="AH678" t="str">
        <f>IF('WetLitterbags placem_collection'!AC19="","",'WetLitterbags placem_collection'!AC19)</f>
        <v/>
      </c>
      <c r="AI678">
        <f>AVERAGE('WetLitterbags placem_collection'!S19,'WetLitterbags placem_collection'!U19)</f>
        <v>35.9</v>
      </c>
      <c r="AJ678">
        <f>AVERAGE('WetLitterbags placem_collection'!R19,'WetLitterbags placem_collection'!T19)</f>
        <v>21.35</v>
      </c>
      <c r="AK678">
        <f>INDEX(Coordinates!$B$2:$B$197,MATCH(H678,Coordinates!$J$2:$J$197,0))</f>
        <v>-3.3854090330000002</v>
      </c>
      <c r="AL678">
        <f>INDEX(Coordinates!$C$2:$C$197,MATCH(H678,Coordinates!$J$2:$J$197,0))</f>
        <v>34.818901029999999</v>
      </c>
      <c r="AM678" t="str">
        <f>IF(ISNUMBER(SEARCH("C", 'WetLitterbags placem_collection'!$Y19)),"YES","NO")</f>
        <v>NO</v>
      </c>
      <c r="AN678" t="str">
        <f>IF(ISNUMBER(SEARCH("H", 'WetLitterbags placem_collection'!$Y19)),"YES","NO")</f>
        <v>NO</v>
      </c>
      <c r="AO678" t="str">
        <f>IF(ISNUMBER(SEARCH("R", 'WetLitterbags placem_collection'!$Y19)),"YES","NO")</f>
        <v>YES</v>
      </c>
    </row>
    <row r="679" spans="1:41" ht="15" customHeight="1">
      <c r="A679" s="255" t="s">
        <v>2454</v>
      </c>
      <c r="B679" s="260">
        <f>'Dry_Litterbag Placem_Collection'!A20</f>
        <v>18</v>
      </c>
      <c r="C679" s="260" t="str">
        <f>'Dry_Litterbag Placem_Collection'!B20</f>
        <v>Makao</v>
      </c>
      <c r="D679" s="260" t="s">
        <v>2643</v>
      </c>
      <c r="E679" s="260" t="s">
        <v>2644</v>
      </c>
      <c r="F679" s="260">
        <v>3</v>
      </c>
      <c r="G679" s="260" t="s">
        <v>3803</v>
      </c>
      <c r="H679" s="261" t="str">
        <f>'Dry_Litterbag Placem_Collection'!C20</f>
        <v>Dry_Ag3_T2</v>
      </c>
      <c r="I679" s="270" t="s">
        <v>3630</v>
      </c>
      <c r="J679" s="271" t="s">
        <v>298</v>
      </c>
      <c r="K679" s="221" t="str">
        <f>'WetLitterbags placem_collection'!Q20</f>
        <v>R274</v>
      </c>
      <c r="L679" s="223">
        <f>IFERROR(INDEX('Green_rooibos initial weight'!$C$5:$C$2000,MATCH(K679, 'Green_rooibos initial weight'!$A$5:$A$2000,0)),"")</f>
        <v>2.1880000000000002</v>
      </c>
      <c r="M679" s="223">
        <f>IFERROR(L679-(TBIcalc!$H$9+TBIcalc!$H$10),"")</f>
        <v>1.9382000000000001</v>
      </c>
      <c r="N679" s="385">
        <f>AVERAGE(Ashed_controlls!$K$2:$K$11)</f>
        <v>5.5147656768714146</v>
      </c>
      <c r="O679" s="223">
        <f t="shared" si="51"/>
        <v>1.8313128116508783</v>
      </c>
      <c r="P679" s="223">
        <f>IFERROR(INDEX('Both teabags AfterWet'!$C$3:$C$840,MATCH(K679,'Both teabags AfterWet'!$A$3:$A$840,0)),"")</f>
        <v>1.6060000000000001</v>
      </c>
      <c r="Q679" s="223">
        <f>IFERROR(IF(P679&gt;0,P679-(TBIcalc!$H$9),""),"")</f>
        <v>1.4554</v>
      </c>
      <c r="R679" s="223">
        <f>IFERROR(INDEX('Ashed teabags wet'!$K$2:$K$2000,MATCH(K679,'Ashed teabags wet'!$A$2:$A$2000,0)),"")</f>
        <v>4.6344959388436653</v>
      </c>
      <c r="S679" s="223">
        <f t="shared" si="52"/>
        <v>1.3879495461060694</v>
      </c>
      <c r="T679" s="224">
        <f>'WetLitterbags placem_collection'!E20</f>
        <v>42767</v>
      </c>
      <c r="U679" s="224">
        <f>IF('WetLitterbags placem_collection'!G20="","",'WetLitterbags placem_collection'!G20)</f>
        <v>42818</v>
      </c>
      <c r="V679" s="225">
        <f t="shared" si="50"/>
        <v>51</v>
      </c>
      <c r="W679" s="223">
        <f t="shared" si="53"/>
        <v>0.48280000000000012</v>
      </c>
      <c r="X679" s="223">
        <f t="shared" si="54"/>
        <v>0.44336326554480898</v>
      </c>
      <c r="Y679">
        <f>IFERROR(INDEX(Rainfall_Wet!$O$2:$O$217,MATCH(B679, Rainfall_Wet!$A$2:$A$217,0)),"")</f>
        <v>185.630065823</v>
      </c>
      <c r="Z679" s="228">
        <v>54.080969906906262</v>
      </c>
      <c r="AA679" s="228">
        <v>21.264484651351896</v>
      </c>
      <c r="AB679" s="228">
        <v>24.654545441741845</v>
      </c>
      <c r="AC679" s="229" t="s">
        <v>2657</v>
      </c>
      <c r="AD679" s="228">
        <v>2.8433218334154802</v>
      </c>
      <c r="AE679" t="str">
        <f>IF('WetLitterbags placem_collection'!AB20="","",'WetLitterbags placem_collection'!AB20)</f>
        <v/>
      </c>
      <c r="AF679" t="str">
        <f>IF('WetLitterbags placem_collection'!Z20="","",'WetLitterbags placem_collection'!Z20)</f>
        <v/>
      </c>
      <c r="AG679" s="243" t="str">
        <f>IF('WetLitterbags placem_collection'!AA20="","",'WetLitterbags placem_collection'!AA20)</f>
        <v/>
      </c>
      <c r="AH679" t="str">
        <f>IF('WetLitterbags placem_collection'!AC20="","",'WetLitterbags placem_collection'!AC20)</f>
        <v/>
      </c>
      <c r="AI679">
        <f>AVERAGE('WetLitterbags placem_collection'!S20,'WetLitterbags placem_collection'!U20)</f>
        <v>36.950000000000003</v>
      </c>
      <c r="AJ679">
        <f>AVERAGE('WetLitterbags placem_collection'!R20,'WetLitterbags placem_collection'!T20)</f>
        <v>21.35</v>
      </c>
      <c r="AK679">
        <f>INDEX(Coordinates!$B$2:$B$197,MATCH(H679,Coordinates!$J$2:$J$197,0))</f>
        <v>-3.385375002</v>
      </c>
      <c r="AL679">
        <f>INDEX(Coordinates!$C$2:$C$197,MATCH(H679,Coordinates!$J$2:$J$197,0))</f>
        <v>34.818939999999998</v>
      </c>
      <c r="AM679" t="str">
        <f>IF(ISNUMBER(SEARCH("C", 'WetLitterbags placem_collection'!$Y20)),"YES","NO")</f>
        <v>NO</v>
      </c>
      <c r="AN679" t="str">
        <f>IF(ISNUMBER(SEARCH("H", 'WetLitterbags placem_collection'!$Y20)),"YES","NO")</f>
        <v>NO</v>
      </c>
      <c r="AO679" t="str">
        <f>IF(ISNUMBER(SEARCH("R", 'WetLitterbags placem_collection'!$Y20)),"YES","NO")</f>
        <v>YES</v>
      </c>
    </row>
    <row r="680" spans="1:41" ht="15" customHeight="1">
      <c r="A680" s="255" t="s">
        <v>2454</v>
      </c>
      <c r="B680" s="260">
        <f>'Dry_Litterbag Placem_Collection'!A21</f>
        <v>19</v>
      </c>
      <c r="C680" s="260" t="str">
        <f>'Dry_Litterbag Placem_Collection'!B21</f>
        <v>Makao</v>
      </c>
      <c r="D680" s="260" t="s">
        <v>2643</v>
      </c>
      <c r="E680" s="260" t="s">
        <v>2644</v>
      </c>
      <c r="F680" s="260">
        <v>3</v>
      </c>
      <c r="G680" s="260" t="s">
        <v>3803</v>
      </c>
      <c r="H680" s="261" t="str">
        <f>'Dry_Litterbag Placem_Collection'!C21</f>
        <v>Dry_Ag3_T3</v>
      </c>
      <c r="I680" s="270" t="s">
        <v>3630</v>
      </c>
      <c r="J680" s="271" t="s">
        <v>298</v>
      </c>
      <c r="K680" s="221" t="str">
        <f>'WetLitterbags placem_collection'!Q21</f>
        <v>R566</v>
      </c>
      <c r="L680" s="223">
        <f>IFERROR(INDEX('Green_rooibos initial weight'!$C$5:$C$2000,MATCH(K680, 'Green_rooibos initial weight'!$A$5:$A$2000,0)),"")</f>
        <v>2.117</v>
      </c>
      <c r="M680" s="223">
        <f>IFERROR(L680-(TBIcalc!$H$9+TBIcalc!$H$10),"")</f>
        <v>1.8672</v>
      </c>
      <c r="N680" s="385">
        <f>AVERAGE(Ashed_controlls!$K$2:$K$11)</f>
        <v>5.5147656768714146</v>
      </c>
      <c r="O680" s="223">
        <f t="shared" si="51"/>
        <v>1.764228295281457</v>
      </c>
      <c r="P680" s="223">
        <f>IFERROR(INDEX('Both teabags AfterWet'!$C$3:$C$840,MATCH(K680,'Both teabags AfterWet'!$A$3:$A$840,0)),"")</f>
        <v>1.4496</v>
      </c>
      <c r="Q680" s="223">
        <f>IFERROR(IF(P680&gt;0,P680-(TBIcalc!$H$9),""),"")</f>
        <v>1.2989999999999999</v>
      </c>
      <c r="R680" s="223">
        <f>IFERROR(INDEX('Ashed teabags wet'!$K$2:$K$2000,MATCH(K680,'Ashed teabags wet'!$A$2:$A$2000,0)),"")</f>
        <v>8.439646712463917</v>
      </c>
      <c r="S680" s="223">
        <f t="shared" si="52"/>
        <v>1.1893689892050936</v>
      </c>
      <c r="T680" s="224">
        <f>'WetLitterbags placem_collection'!E21</f>
        <v>42767</v>
      </c>
      <c r="U680" s="224">
        <f>IF('WetLitterbags placem_collection'!G21="","",'WetLitterbags placem_collection'!G21)</f>
        <v>42818</v>
      </c>
      <c r="V680" s="225">
        <f t="shared" si="50"/>
        <v>51</v>
      </c>
      <c r="W680" s="223">
        <f t="shared" si="53"/>
        <v>0.56820000000000004</v>
      </c>
      <c r="X680" s="223">
        <f t="shared" si="54"/>
        <v>0.57485930607636337</v>
      </c>
      <c r="Y680">
        <f>IFERROR(INDEX(Rainfall_Wet!$O$2:$O$217,MATCH(B680, Rainfall_Wet!$A$2:$A$217,0)),"")</f>
        <v>185.630065823</v>
      </c>
      <c r="Z680" s="228">
        <v>54.080969906906262</v>
      </c>
      <c r="AA680" s="228">
        <v>21.264484651351896</v>
      </c>
      <c r="AB680" s="228">
        <v>24.654545441741845</v>
      </c>
      <c r="AC680" s="229" t="s">
        <v>2657</v>
      </c>
      <c r="AD680" s="228">
        <v>3.8433218334154802</v>
      </c>
      <c r="AE680" t="str">
        <f>IF('WetLitterbags placem_collection'!AB21="","",'WetLitterbags placem_collection'!AB21)</f>
        <v/>
      </c>
      <c r="AF680" t="str">
        <f>IF('WetLitterbags placem_collection'!Z21="","",'WetLitterbags placem_collection'!Z21)</f>
        <v/>
      </c>
      <c r="AG680" s="243" t="str">
        <f>IF('WetLitterbags placem_collection'!AA21="","",'WetLitterbags placem_collection'!AA21)</f>
        <v/>
      </c>
      <c r="AH680" t="str">
        <f>IF('WetLitterbags placem_collection'!AC21="","",'WetLitterbags placem_collection'!AC21)</f>
        <v/>
      </c>
      <c r="AI680">
        <f>AVERAGE('WetLitterbags placem_collection'!S21,'WetLitterbags placem_collection'!U21)</f>
        <v>39.299999999999997</v>
      </c>
      <c r="AJ680">
        <f>AVERAGE('WetLitterbags placem_collection'!R21,'WetLitterbags placem_collection'!T21)</f>
        <v>21.1</v>
      </c>
      <c r="AK680">
        <f>INDEX(Coordinates!$B$2:$B$197,MATCH(H680,Coordinates!$J$2:$J$197,0))</f>
        <v>-3.3853589930000001</v>
      </c>
      <c r="AL680">
        <f>INDEX(Coordinates!$C$2:$C$197,MATCH(H680,Coordinates!$J$2:$J$197,0))</f>
        <v>34.818991969999999</v>
      </c>
      <c r="AM680" t="str">
        <f>IF(ISNUMBER(SEARCH("C", 'WetLitterbags placem_collection'!$Y21)),"YES","NO")</f>
        <v>NO</v>
      </c>
      <c r="AN680" t="str">
        <f>IF(ISNUMBER(SEARCH("H", 'WetLitterbags placem_collection'!$Y21)),"YES","NO")</f>
        <v>NO</v>
      </c>
      <c r="AO680" t="str">
        <f>IF(ISNUMBER(SEARCH("R", 'WetLitterbags placem_collection'!$Y21)),"YES","NO")</f>
        <v>NO</v>
      </c>
    </row>
    <row r="681" spans="1:41" ht="15" customHeight="1">
      <c r="A681" s="255" t="s">
        <v>2454</v>
      </c>
      <c r="B681" s="260">
        <f>'Dry_Litterbag Placem_Collection'!A22</f>
        <v>20</v>
      </c>
      <c r="C681" s="260" t="str">
        <f>'Dry_Litterbag Placem_Collection'!B22</f>
        <v>Makao</v>
      </c>
      <c r="D681" s="260" t="s">
        <v>2643</v>
      </c>
      <c r="E681" s="260" t="s">
        <v>2644</v>
      </c>
      <c r="F681" s="260">
        <v>3</v>
      </c>
      <c r="G681" s="260" t="s">
        <v>3803</v>
      </c>
      <c r="H681" s="261" t="str">
        <f>'Dry_Litterbag Placem_Collection'!C22</f>
        <v>Dry_Ag3_T4</v>
      </c>
      <c r="I681" s="270" t="s">
        <v>3630</v>
      </c>
      <c r="J681" s="271" t="s">
        <v>298</v>
      </c>
      <c r="K681" s="221" t="str">
        <f>'WetLitterbags placem_collection'!Q22</f>
        <v>R110</v>
      </c>
      <c r="L681" s="223">
        <f>IFERROR(INDEX('Green_rooibos initial weight'!$C$5:$C$2000,MATCH(K681, 'Green_rooibos initial weight'!$A$5:$A$2000,0)),"")</f>
        <v>2.2530000000000001</v>
      </c>
      <c r="M681" s="223">
        <f>IFERROR(L681-(TBIcalc!$H$9+TBIcalc!$H$10),"")</f>
        <v>2.0032000000000001</v>
      </c>
      <c r="N681" s="385">
        <f>AVERAGE(Ashed_controlls!$K$2:$K$11)</f>
        <v>5.5147656768714146</v>
      </c>
      <c r="O681" s="223">
        <f t="shared" si="51"/>
        <v>1.8927282139609118</v>
      </c>
      <c r="P681" s="223">
        <f>IFERROR(INDEX('Both teabags AfterWet'!$C$3:$C$840,MATCH(K681,'Both teabags AfterWet'!$A$3:$A$840,0)),"")</f>
        <v>1.6778999999999999</v>
      </c>
      <c r="Q681" s="223">
        <f>IFERROR(IF(P681&gt;0,P681-(TBIcalc!$H$9),""),"")</f>
        <v>1.5272999999999999</v>
      </c>
      <c r="R681" s="223">
        <f>IFERROR(INDEX('Ashed teabags wet'!$K$2:$K$2000,MATCH(K681,'Ashed teabags wet'!$A$2:$A$2000,0)),"")</f>
        <v>6.496631376323327</v>
      </c>
      <c r="S681" s="223">
        <f t="shared" si="52"/>
        <v>1.4280769489894136</v>
      </c>
      <c r="T681" s="224">
        <f>'WetLitterbags placem_collection'!E22</f>
        <v>42767</v>
      </c>
      <c r="U681" s="224">
        <f>IF('WetLitterbags placem_collection'!G22="","",'WetLitterbags placem_collection'!G22)</f>
        <v>42818</v>
      </c>
      <c r="V681" s="225">
        <f t="shared" si="50"/>
        <v>51</v>
      </c>
      <c r="W681" s="223">
        <f t="shared" si="53"/>
        <v>0.47590000000000021</v>
      </c>
      <c r="X681" s="223">
        <f t="shared" si="54"/>
        <v>0.46465126497149822</v>
      </c>
      <c r="Y681">
        <f>IFERROR(INDEX(Rainfall_Wet!$O$2:$O$217,MATCH(B681, Rainfall_Wet!$A$2:$A$217,0)),"")</f>
        <v>185.630065823</v>
      </c>
      <c r="Z681" s="228">
        <v>54.080969906906262</v>
      </c>
      <c r="AA681" s="228">
        <v>21.264484651351896</v>
      </c>
      <c r="AB681" s="228">
        <v>24.654545441741845</v>
      </c>
      <c r="AC681" s="229" t="s">
        <v>2657</v>
      </c>
      <c r="AD681" s="228">
        <v>4.8433218334154802</v>
      </c>
      <c r="AE681" t="str">
        <f>IF('WetLitterbags placem_collection'!AB22="","",'WetLitterbags placem_collection'!AB22)</f>
        <v/>
      </c>
      <c r="AF681" t="str">
        <f>IF('WetLitterbags placem_collection'!Z22="","",'WetLitterbags placem_collection'!Z22)</f>
        <v/>
      </c>
      <c r="AG681" s="243" t="str">
        <f>IF('WetLitterbags placem_collection'!AA22="","",'WetLitterbags placem_collection'!AA22)</f>
        <v/>
      </c>
      <c r="AH681" t="str">
        <f>IF('WetLitterbags placem_collection'!AC22="","",'WetLitterbags placem_collection'!AC22)</f>
        <v/>
      </c>
      <c r="AI681">
        <f>AVERAGE('WetLitterbags placem_collection'!S22,'WetLitterbags placem_collection'!U22)</f>
        <v>40.049999999999997</v>
      </c>
      <c r="AJ681">
        <f>AVERAGE('WetLitterbags placem_collection'!R22,'WetLitterbags placem_collection'!T22)</f>
        <v>21.35</v>
      </c>
      <c r="AK681">
        <f>INDEX(Coordinates!$B$2:$B$197,MATCH(H681,Coordinates!$J$2:$J$197,0))</f>
        <v>-3.3853969629999998</v>
      </c>
      <c r="AL681">
        <f>INDEX(Coordinates!$C$2:$C$197,MATCH(H681,Coordinates!$J$2:$J$197,0))</f>
        <v>34.818977969999999</v>
      </c>
      <c r="AM681" t="str">
        <f>IF(ISNUMBER(SEARCH("C", 'WetLitterbags placem_collection'!$Y22)),"YES","NO")</f>
        <v>NO</v>
      </c>
      <c r="AN681" t="str">
        <f>IF(ISNUMBER(SEARCH("H", 'WetLitterbags placem_collection'!$Y22)),"YES","NO")</f>
        <v>NO</v>
      </c>
      <c r="AO681" t="str">
        <f>IF(ISNUMBER(SEARCH("R", 'WetLitterbags placem_collection'!$Y22)),"YES","NO")</f>
        <v>NO</v>
      </c>
    </row>
    <row r="682" spans="1:41" ht="15" customHeight="1">
      <c r="A682" s="255" t="s">
        <v>2454</v>
      </c>
      <c r="B682" s="260">
        <f>'Dry_Litterbag Placem_Collection'!A23</f>
        <v>21</v>
      </c>
      <c r="C682" s="260" t="str">
        <f>'Dry_Litterbag Placem_Collection'!B23</f>
        <v>Makao</v>
      </c>
      <c r="D682" s="260" t="s">
        <v>2643</v>
      </c>
      <c r="E682" s="260" t="s">
        <v>2644</v>
      </c>
      <c r="F682" s="260">
        <v>3</v>
      </c>
      <c r="G682" s="260" t="s">
        <v>3803</v>
      </c>
      <c r="H682" s="261" t="str">
        <f>'Dry_Litterbag Placem_Collection'!C23</f>
        <v>Dry_Ag3_T5</v>
      </c>
      <c r="I682" s="270" t="s">
        <v>3630</v>
      </c>
      <c r="J682" s="271" t="s">
        <v>298</v>
      </c>
      <c r="K682" s="221" t="str">
        <f>'WetLitterbags placem_collection'!Q23</f>
        <v>R79</v>
      </c>
      <c r="L682" s="223">
        <f>IFERROR(INDEX('Green_rooibos initial weight'!$C$5:$C$2000,MATCH(K682, 'Green_rooibos initial weight'!$A$5:$A$2000,0)),"")</f>
        <v>2.1890000000000001</v>
      </c>
      <c r="M682" s="223">
        <f>IFERROR(L682-(TBIcalc!$H$9+TBIcalc!$H$10),"")</f>
        <v>1.9392</v>
      </c>
      <c r="N682" s="385">
        <f>AVERAGE(Ashed_controlls!$K$2:$K$11)</f>
        <v>5.5147656768714146</v>
      </c>
      <c r="O682" s="223">
        <f t="shared" si="51"/>
        <v>1.8322576639941095</v>
      </c>
      <c r="P682" s="223">
        <f>IFERROR(INDEX('Both teabags AfterWet'!$C$3:$C$840,MATCH(K682,'Both teabags AfterWet'!$A$3:$A$840,0)),"")</f>
        <v>1.4087000000000001</v>
      </c>
      <c r="Q682" s="223">
        <f>IFERROR(IF(P682&gt;0,P682-(TBIcalc!$H$9),""),"")</f>
        <v>1.2581</v>
      </c>
      <c r="R682" s="223">
        <f>IFERROR(INDEX('Ashed teabags wet'!$K$2:$K$2000,MATCH(K682,'Ashed teabags wet'!$A$2:$A$2000,0)),"")</f>
        <v>6.7426871591461754</v>
      </c>
      <c r="S682" s="223">
        <f t="shared" si="52"/>
        <v>1.1732702528507819</v>
      </c>
      <c r="T682" s="224">
        <f>'WetLitterbags placem_collection'!E23</f>
        <v>42767</v>
      </c>
      <c r="U682" s="224">
        <f>IF('WetLitterbags placem_collection'!G23="","",'WetLitterbags placem_collection'!G23)</f>
        <v>42818</v>
      </c>
      <c r="V682" s="225">
        <f t="shared" si="50"/>
        <v>51</v>
      </c>
      <c r="W682" s="223">
        <f t="shared" si="53"/>
        <v>0.68110000000000004</v>
      </c>
      <c r="X682" s="223">
        <f t="shared" si="54"/>
        <v>0.65898741114332759</v>
      </c>
      <c r="Y682">
        <f>IFERROR(INDEX(Rainfall_Wet!$O$2:$O$217,MATCH(B682, Rainfall_Wet!$A$2:$A$217,0)),"")</f>
        <v>185.630065823</v>
      </c>
      <c r="Z682" s="228">
        <v>54.080969906906262</v>
      </c>
      <c r="AA682" s="228">
        <v>21.264484651351896</v>
      </c>
      <c r="AB682" s="228">
        <v>24.654545441741845</v>
      </c>
      <c r="AC682" s="229" t="s">
        <v>2657</v>
      </c>
      <c r="AD682" s="228">
        <v>5.8433218334154802</v>
      </c>
      <c r="AE682" t="str">
        <f>IF('WetLitterbags placem_collection'!AB23="","",'WetLitterbags placem_collection'!AB23)</f>
        <v/>
      </c>
      <c r="AF682" t="str">
        <f>IF('WetLitterbags placem_collection'!Z23="","",'WetLitterbags placem_collection'!Z23)</f>
        <v/>
      </c>
      <c r="AG682" s="243" t="str">
        <f>IF('WetLitterbags placem_collection'!AA23="","",'WetLitterbags placem_collection'!AA23)</f>
        <v/>
      </c>
      <c r="AH682" t="str">
        <f>IF('WetLitterbags placem_collection'!AC23="","",'WetLitterbags placem_collection'!AC23)</f>
        <v/>
      </c>
      <c r="AI682">
        <f>AVERAGE('WetLitterbags placem_collection'!S23,'WetLitterbags placem_collection'!U23)</f>
        <v>34.150000000000006</v>
      </c>
      <c r="AJ682">
        <f>AVERAGE('WetLitterbags placem_collection'!R23,'WetLitterbags placem_collection'!T23)</f>
        <v>20.6</v>
      </c>
      <c r="AK682">
        <f>INDEX(Coordinates!$B$2:$B$197,MATCH(H682,Coordinates!$J$2:$J$197,0))</f>
        <v>-3.3854019919999998</v>
      </c>
      <c r="AL682">
        <f>INDEX(Coordinates!$C$2:$C$197,MATCH(H682,Coordinates!$J$2:$J$197,0))</f>
        <v>34.81894604</v>
      </c>
      <c r="AM682" t="str">
        <f>IF(ISNUMBER(SEARCH("C", 'WetLitterbags placem_collection'!$Y23)),"YES","NO")</f>
        <v>NO</v>
      </c>
      <c r="AN682" t="str">
        <f>IF(ISNUMBER(SEARCH("H", 'WetLitterbags placem_collection'!$Y23)),"YES","NO")</f>
        <v>NO</v>
      </c>
      <c r="AO682" t="str">
        <f>IF(ISNUMBER(SEARCH("R", 'WetLitterbags placem_collection'!$Y23)),"YES","NO")</f>
        <v>NO</v>
      </c>
    </row>
    <row r="683" spans="1:41" ht="15" customHeight="1">
      <c r="A683" s="255" t="s">
        <v>2454</v>
      </c>
      <c r="B683" s="260">
        <f>'Dry_Litterbag Placem_Collection'!A24</f>
        <v>22</v>
      </c>
      <c r="C683" s="260" t="str">
        <f>'Dry_Litterbag Placem_Collection'!B24</f>
        <v>Makao</v>
      </c>
      <c r="D683" s="260" t="s">
        <v>2643</v>
      </c>
      <c r="E683" s="260" t="s">
        <v>2644</v>
      </c>
      <c r="F683" s="260">
        <v>3</v>
      </c>
      <c r="G683" s="260" t="s">
        <v>3803</v>
      </c>
      <c r="H683" s="261" t="str">
        <f>'Dry_Litterbag Placem_Collection'!C24</f>
        <v>Dry_Ag3_T6</v>
      </c>
      <c r="I683" s="270" t="s">
        <v>3630</v>
      </c>
      <c r="J683" s="271" t="s">
        <v>298</v>
      </c>
      <c r="K683" s="221" t="str">
        <f>'WetLitterbags placem_collection'!Q24</f>
        <v>R45</v>
      </c>
      <c r="L683" s="223">
        <f>IFERROR(INDEX('Green_rooibos initial weight'!$C$5:$C$2000,MATCH(K683, 'Green_rooibos initial weight'!$A$5:$A$2000,0)),"")</f>
        <v>2.1989999999999998</v>
      </c>
      <c r="M683" s="223">
        <f>IFERROR(L683-(TBIcalc!$H$9+TBIcalc!$H$10),"")</f>
        <v>1.9491999999999998</v>
      </c>
      <c r="N683" s="385">
        <f>AVERAGE(Ashed_controlls!$K$2:$K$11)</f>
        <v>5.5147656768714146</v>
      </c>
      <c r="O683" s="223">
        <f t="shared" si="51"/>
        <v>1.8417061874264222</v>
      </c>
      <c r="P683" s="223">
        <f>IFERROR(INDEX('Both teabags AfterWet'!$C$3:$C$840,MATCH(K683,'Both teabags AfterWet'!$A$3:$A$840,0)),"")</f>
        <v>1.4908999999999999</v>
      </c>
      <c r="Q683" s="223">
        <f>IFERROR(IF(P683&gt;0,P683-(TBIcalc!$H$9),""),"")</f>
        <v>1.3402999999999998</v>
      </c>
      <c r="R683" s="223">
        <f>IFERROR(INDEX('Ashed teabags wet'!$K$2:$K$2000,MATCH(K683,'Ashed teabags wet'!$A$2:$A$2000,0)),"")</f>
        <v>3.3797216699801611</v>
      </c>
      <c r="S683" s="223">
        <f t="shared" si="52"/>
        <v>1.2950015904572558</v>
      </c>
      <c r="T683" s="224">
        <f>'WetLitterbags placem_collection'!E24</f>
        <v>42767</v>
      </c>
      <c r="U683" s="224">
        <f>IF('WetLitterbags placem_collection'!G24="","",'WetLitterbags placem_collection'!G24)</f>
        <v>42818</v>
      </c>
      <c r="V683" s="225">
        <f t="shared" si="50"/>
        <v>51</v>
      </c>
      <c r="W683" s="223">
        <f t="shared" si="53"/>
        <v>0.6089</v>
      </c>
      <c r="X683" s="223">
        <f t="shared" si="54"/>
        <v>0.5467045969691664</v>
      </c>
      <c r="Y683">
        <f>IFERROR(INDEX(Rainfall_Wet!$O$2:$O$217,MATCH(B683, Rainfall_Wet!$A$2:$A$217,0)),"")</f>
        <v>185.630065823</v>
      </c>
      <c r="Z683" s="228">
        <v>54.080969906906262</v>
      </c>
      <c r="AA683" s="228">
        <v>21.264484651351896</v>
      </c>
      <c r="AB683" s="228">
        <v>24.654545441741845</v>
      </c>
      <c r="AC683" s="229" t="s">
        <v>2657</v>
      </c>
      <c r="AD683" s="228">
        <v>6.8433218334154802</v>
      </c>
      <c r="AE683" t="str">
        <f>IF('WetLitterbags placem_collection'!AB24="","",'WetLitterbags placem_collection'!AB24)</f>
        <v/>
      </c>
      <c r="AF683" t="str">
        <f>IF('WetLitterbags placem_collection'!Z24="","",'WetLitterbags placem_collection'!Z24)</f>
        <v/>
      </c>
      <c r="AG683" s="243" t="str">
        <f>IF('WetLitterbags placem_collection'!AA24="","",'WetLitterbags placem_collection'!AA24)</f>
        <v/>
      </c>
      <c r="AH683" t="str">
        <f>IF('WetLitterbags placem_collection'!AC24="","",'WetLitterbags placem_collection'!AC24)</f>
        <v/>
      </c>
      <c r="AI683">
        <f>AVERAGE('WetLitterbags placem_collection'!S24,'WetLitterbags placem_collection'!U24)</f>
        <v>34.549999999999997</v>
      </c>
      <c r="AJ683">
        <f>AVERAGE('WetLitterbags placem_collection'!R24,'WetLitterbags placem_collection'!T24)</f>
        <v>21.5</v>
      </c>
      <c r="AK683">
        <f>INDEX(Coordinates!$B$2:$B$197,MATCH(H683,Coordinates!$J$2:$J$197,0))</f>
        <v>-3.3854470029999999</v>
      </c>
      <c r="AL683">
        <f>INDEX(Coordinates!$C$2:$C$197,MATCH(H683,Coordinates!$J$2:$J$197,0))</f>
        <v>34.818946959999998</v>
      </c>
      <c r="AM683" t="str">
        <f>IF(ISNUMBER(SEARCH("C", 'WetLitterbags placem_collection'!$Y24)),"YES","NO")</f>
        <v>NO</v>
      </c>
      <c r="AN683" t="str">
        <f>IF(ISNUMBER(SEARCH("H", 'WetLitterbags placem_collection'!$Y24)),"YES","NO")</f>
        <v>NO</v>
      </c>
      <c r="AO683" t="str">
        <f>IF(ISNUMBER(SEARCH("R", 'WetLitterbags placem_collection'!$Y24)),"YES","NO")</f>
        <v>NO</v>
      </c>
    </row>
    <row r="684" spans="1:41" ht="15" customHeight="1">
      <c r="A684" s="255" t="s">
        <v>2454</v>
      </c>
      <c r="B684" s="260">
        <f>'Dry_Litterbag Placem_Collection'!A25</f>
        <v>23</v>
      </c>
      <c r="C684" s="260" t="str">
        <f>'Dry_Litterbag Placem_Collection'!B25</f>
        <v>Makao</v>
      </c>
      <c r="D684" s="260" t="s">
        <v>2643</v>
      </c>
      <c r="E684" s="260" t="s">
        <v>2644</v>
      </c>
      <c r="F684" s="260">
        <v>3</v>
      </c>
      <c r="G684" s="260" t="s">
        <v>3803</v>
      </c>
      <c r="H684" s="261" t="str">
        <f>'Dry_Litterbag Placem_Collection'!C25</f>
        <v>Dry_Ag3_T7</v>
      </c>
      <c r="I684" s="270" t="s">
        <v>3630</v>
      </c>
      <c r="J684" s="271" t="s">
        <v>298</v>
      </c>
      <c r="K684" s="221" t="str">
        <f>'WetLitterbags placem_collection'!Q25</f>
        <v>R132</v>
      </c>
      <c r="L684" s="223">
        <f>IFERROR(INDEX('Green_rooibos initial weight'!$C$5:$C$2000,MATCH(K684, 'Green_rooibos initial weight'!$A$5:$A$2000,0)),"")</f>
        <v>2.133</v>
      </c>
      <c r="M684" s="223">
        <f>IFERROR(L684-(TBIcalc!$H$9+TBIcalc!$H$10),"")</f>
        <v>1.8832</v>
      </c>
      <c r="N684" s="385">
        <f>AVERAGE(Ashed_controlls!$K$2:$K$11)</f>
        <v>5.5147656768714146</v>
      </c>
      <c r="O684" s="223">
        <f t="shared" si="51"/>
        <v>1.7793459327731576</v>
      </c>
      <c r="P684" s="223">
        <f>IFERROR(INDEX('Both teabags AfterWet'!$C$3:$C$840,MATCH(K684,'Both teabags AfterWet'!$A$3:$A$840,0)),"")</f>
        <v>1.5238</v>
      </c>
      <c r="Q684" s="223">
        <f>IFERROR(IF(P684&gt;0,P684-(TBIcalc!$H$9),""),"")</f>
        <v>1.3732</v>
      </c>
      <c r="R684" s="223">
        <f>IFERROR(INDEX('Ashed teabags wet'!$K$2:$K$2000,MATCH(K684,'Ashed teabags wet'!$A$2:$A$2000,0)),"")</f>
        <v>1.7982017982017391</v>
      </c>
      <c r="S684" s="223">
        <f t="shared" si="52"/>
        <v>1.3485070929070937</v>
      </c>
      <c r="T684" s="224">
        <f>'WetLitterbags placem_collection'!E25</f>
        <v>42767</v>
      </c>
      <c r="U684" s="224">
        <f>IF('WetLitterbags placem_collection'!G25="","",'WetLitterbags placem_collection'!G25)</f>
        <v>42818</v>
      </c>
      <c r="V684" s="225">
        <f t="shared" si="50"/>
        <v>51</v>
      </c>
      <c r="W684" s="223">
        <f t="shared" si="53"/>
        <v>0.51</v>
      </c>
      <c r="X684" s="223">
        <f t="shared" si="54"/>
        <v>0.43083883986606386</v>
      </c>
      <c r="Y684">
        <f>IFERROR(INDEX(Rainfall_Wet!$O$2:$O$217,MATCH(B684, Rainfall_Wet!$A$2:$A$217,0)),"")</f>
        <v>185.630065823</v>
      </c>
      <c r="Z684" s="228">
        <v>54.080969906906262</v>
      </c>
      <c r="AA684" s="228">
        <v>21.264484651351896</v>
      </c>
      <c r="AB684" s="228">
        <v>24.654545441741845</v>
      </c>
      <c r="AC684" s="229" t="s">
        <v>2657</v>
      </c>
      <c r="AD684" s="228">
        <v>7.8433218334154802</v>
      </c>
      <c r="AE684" t="str">
        <f>IF('WetLitterbags placem_collection'!AB25="","",'WetLitterbags placem_collection'!AB25)</f>
        <v/>
      </c>
      <c r="AF684" t="str">
        <f>IF('WetLitterbags placem_collection'!Z25="","",'WetLitterbags placem_collection'!Z25)</f>
        <v/>
      </c>
      <c r="AG684" s="243" t="str">
        <f>IF('WetLitterbags placem_collection'!AA25="","",'WetLitterbags placem_collection'!AA25)</f>
        <v/>
      </c>
      <c r="AH684" t="str">
        <f>IF('WetLitterbags placem_collection'!AC25="","",'WetLitterbags placem_collection'!AC25)</f>
        <v/>
      </c>
      <c r="AI684">
        <f>AVERAGE('WetLitterbags placem_collection'!S25,'WetLitterbags placem_collection'!U25)</f>
        <v>34.5</v>
      </c>
      <c r="AJ684">
        <f>AVERAGE('WetLitterbags placem_collection'!R25,'WetLitterbags placem_collection'!T25)</f>
        <v>20.65</v>
      </c>
      <c r="AK684">
        <f>INDEX(Coordinates!$B$2:$B$197,MATCH(H684,Coordinates!$J$2:$J$197,0))</f>
        <v>-3.3854200130000001</v>
      </c>
      <c r="AL684">
        <f>INDEX(Coordinates!$C$2:$C$197,MATCH(H684,Coordinates!$J$2:$J$197,0))</f>
        <v>34.818856019999998</v>
      </c>
      <c r="AM684" t="str">
        <f>IF(ISNUMBER(SEARCH("C", 'WetLitterbags placem_collection'!$Y25)),"YES","NO")</f>
        <v>NO</v>
      </c>
      <c r="AN684" t="str">
        <f>IF(ISNUMBER(SEARCH("H", 'WetLitterbags placem_collection'!$Y25)),"YES","NO")</f>
        <v>NO</v>
      </c>
      <c r="AO684" t="str">
        <f>IF(ISNUMBER(SEARCH("R", 'WetLitterbags placem_collection'!$Y25)),"YES","NO")</f>
        <v>NO</v>
      </c>
    </row>
    <row r="685" spans="1:41" ht="15" customHeight="1">
      <c r="A685" s="255" t="s">
        <v>2454</v>
      </c>
      <c r="B685" s="260">
        <f>'Dry_Litterbag Placem_Collection'!A26</f>
        <v>24</v>
      </c>
      <c r="C685" s="260" t="str">
        <f>'Dry_Litterbag Placem_Collection'!B26</f>
        <v>Makao</v>
      </c>
      <c r="D685" s="260" t="s">
        <v>2643</v>
      </c>
      <c r="E685" s="260" t="s">
        <v>2644</v>
      </c>
      <c r="F685" s="260">
        <v>3</v>
      </c>
      <c r="G685" s="260" t="s">
        <v>3803</v>
      </c>
      <c r="H685" s="261" t="str">
        <f>'Dry_Litterbag Placem_Collection'!C26</f>
        <v>Dry_Ag3_T8</v>
      </c>
      <c r="I685" s="270" t="s">
        <v>3630</v>
      </c>
      <c r="J685" s="271" t="s">
        <v>298</v>
      </c>
      <c r="K685" s="221" t="str">
        <f>'WetLitterbags placem_collection'!Q26</f>
        <v>R71</v>
      </c>
      <c r="L685" s="223">
        <f>IFERROR(INDEX('Green_rooibos initial weight'!$C$5:$C$2000,MATCH(K685, 'Green_rooibos initial weight'!$A$5:$A$2000,0)),"")</f>
        <v>2.2440000000000002</v>
      </c>
      <c r="M685" s="223">
        <f>IFERROR(L685-(TBIcalc!$H$9+TBIcalc!$H$10),"")</f>
        <v>1.9942000000000002</v>
      </c>
      <c r="N685" s="385">
        <f>AVERAGE(Ashed_controlls!$K$2:$K$11)</f>
        <v>5.5147656768714146</v>
      </c>
      <c r="O685" s="223">
        <f t="shared" si="51"/>
        <v>1.8842245428718305</v>
      </c>
      <c r="P685" s="223">
        <f>IFERROR(INDEX('Both teabags AfterWet'!$C$3:$C$840,MATCH(K685,'Both teabags AfterWet'!$A$3:$A$840,0)),"")</f>
        <v>1.3083</v>
      </c>
      <c r="Q685" s="223">
        <f>IFERROR(IF(P685&gt;0,P685-(TBIcalc!$H$9),""),"")</f>
        <v>1.1577</v>
      </c>
      <c r="R685" s="223">
        <f>IFERROR(INDEX('Ashed teabags wet'!$K$2:$K$2000,MATCH(K685,'Ashed teabags wet'!$A$2:$A$2000,0)),"")</f>
        <v>5.6575682382137682</v>
      </c>
      <c r="S685" s="223">
        <f t="shared" si="52"/>
        <v>1.0922023325061991</v>
      </c>
      <c r="T685" s="224">
        <f>'WetLitterbags placem_collection'!E26</f>
        <v>42767</v>
      </c>
      <c r="U685" s="224">
        <f>IF('WetLitterbags placem_collection'!G26="","",'WetLitterbags placem_collection'!G26)</f>
        <v>42818</v>
      </c>
      <c r="V685" s="225">
        <f t="shared" si="50"/>
        <v>51</v>
      </c>
      <c r="W685" s="223">
        <f t="shared" si="53"/>
        <v>0.83650000000000024</v>
      </c>
      <c r="X685" s="223">
        <f t="shared" si="54"/>
        <v>0.79202221036563136</v>
      </c>
      <c r="Y685">
        <f>IFERROR(INDEX(Rainfall_Wet!$O$2:$O$217,MATCH(B685, Rainfall_Wet!$A$2:$A$217,0)),"")</f>
        <v>185.630065823</v>
      </c>
      <c r="Z685" s="228">
        <v>54.080969906906262</v>
      </c>
      <c r="AA685" s="228">
        <v>21.264484651351896</v>
      </c>
      <c r="AB685" s="228">
        <v>24.654545441741845</v>
      </c>
      <c r="AC685" s="229" t="s">
        <v>2657</v>
      </c>
      <c r="AD685" s="228">
        <v>8.8433218334154695</v>
      </c>
      <c r="AE685" t="str">
        <f>IF('WetLitterbags placem_collection'!AB26="","",'WetLitterbags placem_collection'!AB26)</f>
        <v/>
      </c>
      <c r="AF685" t="str">
        <f>IF('WetLitterbags placem_collection'!Z26="","",'WetLitterbags placem_collection'!Z26)</f>
        <v/>
      </c>
      <c r="AG685" s="243" t="str">
        <f>IF('WetLitterbags placem_collection'!AA26="","",'WetLitterbags placem_collection'!AA26)</f>
        <v/>
      </c>
      <c r="AH685" t="str">
        <f>IF('WetLitterbags placem_collection'!AC26="","",'WetLitterbags placem_collection'!AC26)</f>
        <v/>
      </c>
      <c r="AI685">
        <f>AVERAGE('WetLitterbags placem_collection'!S26,'WetLitterbags placem_collection'!U26)</f>
        <v>36.950000000000003</v>
      </c>
      <c r="AJ685">
        <f>AVERAGE('WetLitterbags placem_collection'!R26,'WetLitterbags placem_collection'!T26)</f>
        <v>21.1</v>
      </c>
      <c r="AK685">
        <f>INDEX(Coordinates!$B$2:$B$197,MATCH(H685,Coordinates!$J$2:$J$197,0))</f>
        <v>-3.3853829649999998</v>
      </c>
      <c r="AL685">
        <f>INDEX(Coordinates!$C$2:$C$197,MATCH(H685,Coordinates!$J$2:$J$197,0))</f>
        <v>34.818877980000003</v>
      </c>
      <c r="AM685" t="str">
        <f>IF(ISNUMBER(SEARCH("C", 'WetLitterbags placem_collection'!$Y26)),"YES","NO")</f>
        <v>NO</v>
      </c>
      <c r="AN685" t="str">
        <f>IF(ISNUMBER(SEARCH("H", 'WetLitterbags placem_collection'!$Y26)),"YES","NO")</f>
        <v>NO</v>
      </c>
      <c r="AO685" t="str">
        <f>IF(ISNUMBER(SEARCH("R", 'WetLitterbags placem_collection'!$Y26)),"YES","NO")</f>
        <v>NO</v>
      </c>
    </row>
    <row r="686" spans="1:41" ht="15" customHeight="1">
      <c r="A686" s="255" t="s">
        <v>2454</v>
      </c>
      <c r="B686" s="260">
        <f>'Dry_Litterbag Placem_Collection'!A27</f>
        <v>25</v>
      </c>
      <c r="C686" s="260" t="str">
        <f>'Dry_Litterbag Placem_Collection'!B27</f>
        <v>Makao</v>
      </c>
      <c r="D686" s="260" t="s">
        <v>2643</v>
      </c>
      <c r="E686" s="260" t="s">
        <v>2644</v>
      </c>
      <c r="F686" s="260">
        <v>4</v>
      </c>
      <c r="G686" s="260" t="s">
        <v>3804</v>
      </c>
      <c r="H686" s="261" t="str">
        <f>'Dry_Litterbag Placem_Collection'!C27</f>
        <v>Dry_Ag4_T1</v>
      </c>
      <c r="I686" s="270" t="s">
        <v>3630</v>
      </c>
      <c r="J686" s="271" t="s">
        <v>298</v>
      </c>
      <c r="K686" s="221" t="str">
        <f>'WetLitterbags placem_collection'!Q27</f>
        <v>R104</v>
      </c>
      <c r="L686" s="223">
        <f>IFERROR(INDEX('Green_rooibos initial weight'!$C$5:$C$2000,MATCH(K686, 'Green_rooibos initial weight'!$A$5:$A$2000,0)),"")</f>
        <v>2.2109999999999999</v>
      </c>
      <c r="M686" s="223">
        <f>IFERROR(L686-(TBIcalc!$H$9+TBIcalc!$H$10),"")</f>
        <v>1.9611999999999998</v>
      </c>
      <c r="N686" s="385">
        <f>AVERAGE(Ashed_controlls!$K$2:$K$11)</f>
        <v>5.5147656768714146</v>
      </c>
      <c r="O686" s="223">
        <f t="shared" si="51"/>
        <v>1.8530444155451977</v>
      </c>
      <c r="P686" s="223">
        <f>IFERROR(INDEX('Both teabags AfterWet'!$C$3:$C$840,MATCH(K686,'Both teabags AfterWet'!$A$3:$A$840,0)),"")</f>
        <v>1.4184000000000001</v>
      </c>
      <c r="Q686" s="223">
        <f>IFERROR(IF(P686&gt;0,P686-(TBIcalc!$H$9),""),"")</f>
        <v>1.2678</v>
      </c>
      <c r="R686" s="223">
        <f>IFERROR(INDEX('Ashed teabags wet'!$K$2:$K$2000,MATCH(K686,'Ashed teabags wet'!$A$2:$A$2000,0)),"")</f>
        <v>3.8194444444447946</v>
      </c>
      <c r="S686" s="223">
        <f t="shared" si="52"/>
        <v>1.2193770833333288</v>
      </c>
      <c r="T686" s="224">
        <f>'WetLitterbags placem_collection'!E27</f>
        <v>42767</v>
      </c>
      <c r="U686" s="224">
        <f>IF('WetLitterbags placem_collection'!G27="","",'WetLitterbags placem_collection'!G27)</f>
        <v>42818</v>
      </c>
      <c r="V686" s="225">
        <f t="shared" si="50"/>
        <v>51</v>
      </c>
      <c r="W686" s="223">
        <f t="shared" si="53"/>
        <v>0.69339999999999979</v>
      </c>
      <c r="X686" s="223">
        <f t="shared" si="54"/>
        <v>0.63366733221186888</v>
      </c>
      <c r="Y686">
        <f>IFERROR(INDEX(Rainfall_Wet!$O$2:$O$217,MATCH(B686, Rainfall_Wet!$A$2:$A$217,0)),"")</f>
        <v>185.630065823</v>
      </c>
      <c r="Z686" s="228">
        <v>51.960000000000008</v>
      </c>
      <c r="AA686" s="228">
        <v>18.919999999999995</v>
      </c>
      <c r="AB686" s="228">
        <v>29.120000000000005</v>
      </c>
      <c r="AC686" s="229" t="s">
        <v>2657</v>
      </c>
      <c r="AD686" s="228">
        <v>1.85293247905372</v>
      </c>
      <c r="AE686" t="str">
        <f>IF('WetLitterbags placem_collection'!AB27="","",'WetLitterbags placem_collection'!AB27)</f>
        <v/>
      </c>
      <c r="AF686" t="str">
        <f>IF('WetLitterbags placem_collection'!Z27="","",'WetLitterbags placem_collection'!Z27)</f>
        <v/>
      </c>
      <c r="AG686" s="243" t="str">
        <f>IF('WetLitterbags placem_collection'!AA27="","",'WetLitterbags placem_collection'!AA27)</f>
        <v/>
      </c>
      <c r="AH686" t="str">
        <f>IF('WetLitterbags placem_collection'!AC27="","",'WetLitterbags placem_collection'!AC27)</f>
        <v/>
      </c>
      <c r="AI686">
        <f>AVERAGE('WetLitterbags placem_collection'!S27,'WetLitterbags placem_collection'!U27)</f>
        <v>36.85</v>
      </c>
      <c r="AJ686">
        <f>AVERAGE('WetLitterbags placem_collection'!R27,'WetLitterbags placem_collection'!T27)</f>
        <v>21.35</v>
      </c>
      <c r="AK686">
        <f>INDEX(Coordinates!$B$2:$B$197,MATCH(H686,Coordinates!$J$2:$J$197,0))</f>
        <v>-3.3849129919999998</v>
      </c>
      <c r="AL686">
        <f>INDEX(Coordinates!$C$2:$C$197,MATCH(H686,Coordinates!$J$2:$J$197,0))</f>
        <v>34.818899020000003</v>
      </c>
      <c r="AM686" t="str">
        <f>IF(ISNUMBER(SEARCH("C", 'WetLitterbags placem_collection'!$Y27)),"YES","NO")</f>
        <v>NO</v>
      </c>
      <c r="AN686" t="str">
        <f>IF(ISNUMBER(SEARCH("H", 'WetLitterbags placem_collection'!$Y27)),"YES","NO")</f>
        <v>NO</v>
      </c>
      <c r="AO686" t="str">
        <f>IF(ISNUMBER(SEARCH("R", 'WetLitterbags placem_collection'!$Y27)),"YES","NO")</f>
        <v>NO</v>
      </c>
    </row>
    <row r="687" spans="1:41" ht="15" customHeight="1">
      <c r="A687" s="255" t="s">
        <v>2454</v>
      </c>
      <c r="B687" s="260">
        <f>'Dry_Litterbag Placem_Collection'!A28</f>
        <v>26</v>
      </c>
      <c r="C687" s="260" t="str">
        <f>'Dry_Litterbag Placem_Collection'!B28</f>
        <v>Makao</v>
      </c>
      <c r="D687" s="260" t="s">
        <v>2643</v>
      </c>
      <c r="E687" s="260" t="s">
        <v>2644</v>
      </c>
      <c r="F687" s="260">
        <v>4</v>
      </c>
      <c r="G687" s="260" t="s">
        <v>3804</v>
      </c>
      <c r="H687" s="261" t="str">
        <f>'Dry_Litterbag Placem_Collection'!C28</f>
        <v>Dry_Ag4_T2</v>
      </c>
      <c r="I687" s="270" t="s">
        <v>3630</v>
      </c>
      <c r="J687" s="271" t="s">
        <v>298</v>
      </c>
      <c r="K687" s="221" t="str">
        <f>'WetLitterbags placem_collection'!Q28</f>
        <v>R189</v>
      </c>
      <c r="L687" s="223">
        <f>IFERROR(INDEX('Green_rooibos initial weight'!$C$5:$C$2000,MATCH(K687, 'Green_rooibos initial weight'!$A$5:$A$2000,0)),"")</f>
        <v>2.274</v>
      </c>
      <c r="M687" s="223">
        <f>IFERROR(L687-(TBIcalc!$H$9+TBIcalc!$H$10),"")</f>
        <v>2.0242</v>
      </c>
      <c r="N687" s="385">
        <f>AVERAGE(Ashed_controlls!$K$2:$K$11)</f>
        <v>5.5147656768714146</v>
      </c>
      <c r="O687" s="223">
        <f t="shared" si="51"/>
        <v>1.9125701131687689</v>
      </c>
      <c r="P687" s="223">
        <f>IFERROR(INDEX('Both teabags AfterWet'!$C$3:$C$840,MATCH(K687,'Both teabags AfterWet'!$A$3:$A$840,0)),"")</f>
        <v>1.464</v>
      </c>
      <c r="Q687" s="223">
        <f>IFERROR(IF(P687&gt;0,P687-(TBIcalc!$H$9),""),"")</f>
        <v>1.3133999999999999</v>
      </c>
      <c r="R687" s="223">
        <f>IFERROR(INDEX('Ashed teabags wet'!$K$2:$K$2000,MATCH(K687,'Ashed teabags wet'!$A$2:$A$2000,0)),"")</f>
        <v>2.9721955896448731</v>
      </c>
      <c r="S687" s="223">
        <f t="shared" si="52"/>
        <v>1.2743631831256041</v>
      </c>
      <c r="T687" s="224">
        <f>'WetLitterbags placem_collection'!E28</f>
        <v>42767</v>
      </c>
      <c r="U687" s="224">
        <f>IF('WetLitterbags placem_collection'!G28="","",'WetLitterbags placem_collection'!G28)</f>
        <v>42818</v>
      </c>
      <c r="V687" s="225">
        <f t="shared" si="50"/>
        <v>51</v>
      </c>
      <c r="W687" s="223">
        <f t="shared" si="53"/>
        <v>0.7108000000000001</v>
      </c>
      <c r="X687" s="223">
        <f t="shared" si="54"/>
        <v>0.63820693004316476</v>
      </c>
      <c r="Y687">
        <f>IFERROR(INDEX(Rainfall_Wet!$O$2:$O$217,MATCH(B687, Rainfall_Wet!$A$2:$A$217,0)),"")</f>
        <v>185.630065823</v>
      </c>
      <c r="Z687" s="228">
        <v>51.960000000000008</v>
      </c>
      <c r="AA687" s="228">
        <v>18.919999999999995</v>
      </c>
      <c r="AB687" s="228">
        <v>29.120000000000005</v>
      </c>
      <c r="AC687" s="229" t="s">
        <v>2657</v>
      </c>
      <c r="AD687" s="228">
        <v>2.8529324790537198</v>
      </c>
      <c r="AE687" t="str">
        <f>IF('WetLitterbags placem_collection'!AB28="","",'WetLitterbags placem_collection'!AB28)</f>
        <v/>
      </c>
      <c r="AF687" t="str">
        <f>IF('WetLitterbags placem_collection'!Z28="","",'WetLitterbags placem_collection'!Z28)</f>
        <v/>
      </c>
      <c r="AG687" s="243" t="str">
        <f>IF('WetLitterbags placem_collection'!AA28="","",'WetLitterbags placem_collection'!AA28)</f>
        <v/>
      </c>
      <c r="AH687" t="str">
        <f>IF('WetLitterbags placem_collection'!AC28="","",'WetLitterbags placem_collection'!AC28)</f>
        <v/>
      </c>
      <c r="AI687">
        <f>AVERAGE('WetLitterbags placem_collection'!S28,'WetLitterbags placem_collection'!U28)</f>
        <v>31.3</v>
      </c>
      <c r="AJ687">
        <f>AVERAGE('WetLitterbags placem_collection'!R28,'WetLitterbags placem_collection'!T28)</f>
        <v>20.7</v>
      </c>
      <c r="AK687">
        <f>INDEX(Coordinates!$B$2:$B$197,MATCH(H687,Coordinates!$J$2:$J$197,0))</f>
        <v>-3.3849689999999999</v>
      </c>
      <c r="AL687">
        <f>INDEX(Coordinates!$C$2:$C$197,MATCH(H687,Coordinates!$J$2:$J$197,0))</f>
        <v>34.818908</v>
      </c>
      <c r="AM687" t="str">
        <f>IF(ISNUMBER(SEARCH("C", 'WetLitterbags placem_collection'!$Y28)),"YES","NO")</f>
        <v>NO</v>
      </c>
      <c r="AN687" t="str">
        <f>IF(ISNUMBER(SEARCH("H", 'WetLitterbags placem_collection'!$Y28)),"YES","NO")</f>
        <v>NO</v>
      </c>
      <c r="AO687" t="str">
        <f>IF(ISNUMBER(SEARCH("R", 'WetLitterbags placem_collection'!$Y28)),"YES","NO")</f>
        <v>NO</v>
      </c>
    </row>
    <row r="688" spans="1:41" ht="15" customHeight="1">
      <c r="A688" s="255" t="s">
        <v>2454</v>
      </c>
      <c r="B688" s="260">
        <f>'Dry_Litterbag Placem_Collection'!A29</f>
        <v>27</v>
      </c>
      <c r="C688" s="260" t="str">
        <f>'Dry_Litterbag Placem_Collection'!B29</f>
        <v>Makao</v>
      </c>
      <c r="D688" s="260" t="s">
        <v>2643</v>
      </c>
      <c r="E688" s="260" t="s">
        <v>2644</v>
      </c>
      <c r="F688" s="260">
        <v>4</v>
      </c>
      <c r="G688" s="260" t="s">
        <v>3804</v>
      </c>
      <c r="H688" s="261" t="str">
        <f>'Dry_Litterbag Placem_Collection'!C29</f>
        <v>Dry_Ag4_T3</v>
      </c>
      <c r="I688" s="270" t="s">
        <v>3630</v>
      </c>
      <c r="J688" s="271" t="s">
        <v>298</v>
      </c>
      <c r="K688" s="221" t="str">
        <f>'WetLitterbags placem_collection'!Q29</f>
        <v>R217</v>
      </c>
      <c r="L688" s="223">
        <f>IFERROR(INDEX('Green_rooibos initial weight'!$C$5:$C$2000,MATCH(K688, 'Green_rooibos initial weight'!$A$5:$A$2000,0)),"")</f>
        <v>2.2109999999999999</v>
      </c>
      <c r="M688" s="223">
        <f>IFERROR(L688-(TBIcalc!$H$9+TBIcalc!$H$10),"")</f>
        <v>1.9611999999999998</v>
      </c>
      <c r="N688" s="385">
        <f>AVERAGE(Ashed_controlls!$K$2:$K$11)</f>
        <v>5.5147656768714146</v>
      </c>
      <c r="O688" s="223">
        <f t="shared" si="51"/>
        <v>1.8530444155451977</v>
      </c>
      <c r="P688" s="223">
        <f>IFERROR(INDEX('Both teabags AfterWet'!$C$3:$C$840,MATCH(K688,'Both teabags AfterWet'!$A$3:$A$840,0)),"")</f>
        <v>1.5392999999999999</v>
      </c>
      <c r="Q688" s="223">
        <f>IFERROR(IF(P688&gt;0,P688-(TBIcalc!$H$9),""),"")</f>
        <v>1.3886999999999998</v>
      </c>
      <c r="R688" s="223">
        <f>IFERROR(INDEX('Ashed teabags wet'!$K$2:$K$2000,MATCH(K688,'Ashed teabags wet'!$A$2:$A$2000,0)),"")</f>
        <v>3.5156250000002229</v>
      </c>
      <c r="S688" s="223">
        <f t="shared" si="52"/>
        <v>1.3398785156249968</v>
      </c>
      <c r="T688" s="224">
        <f>'WetLitterbags placem_collection'!E29</f>
        <v>42767</v>
      </c>
      <c r="U688" s="224">
        <f>IF('WetLitterbags placem_collection'!G29="","",'WetLitterbags placem_collection'!G29)</f>
        <v>42818</v>
      </c>
      <c r="V688" s="225">
        <f t="shared" si="50"/>
        <v>51</v>
      </c>
      <c r="W688" s="223">
        <f t="shared" si="53"/>
        <v>0.57250000000000001</v>
      </c>
      <c r="X688" s="223">
        <f t="shared" si="54"/>
        <v>0.5131658999202009</v>
      </c>
      <c r="Y688">
        <f>IFERROR(INDEX(Rainfall_Wet!$O$2:$O$217,MATCH(B688, Rainfall_Wet!$A$2:$A$217,0)),"")</f>
        <v>185.630065823</v>
      </c>
      <c r="Z688" s="228">
        <v>51.960000000000008</v>
      </c>
      <c r="AA688" s="228">
        <v>18.919999999999995</v>
      </c>
      <c r="AB688" s="228">
        <v>29.120000000000005</v>
      </c>
      <c r="AC688" s="229" t="s">
        <v>2657</v>
      </c>
      <c r="AD688" s="228">
        <v>3.8529324790537198</v>
      </c>
      <c r="AE688" t="str">
        <f>IF('WetLitterbags placem_collection'!AB29="","",'WetLitterbags placem_collection'!AB29)</f>
        <v/>
      </c>
      <c r="AF688" t="str">
        <f>IF('WetLitterbags placem_collection'!Z29="","",'WetLitterbags placem_collection'!Z29)</f>
        <v/>
      </c>
      <c r="AG688" s="243" t="str">
        <f>IF('WetLitterbags placem_collection'!AA29="","",'WetLitterbags placem_collection'!AA29)</f>
        <v/>
      </c>
      <c r="AH688" t="str">
        <f>IF('WetLitterbags placem_collection'!AC29="","",'WetLitterbags placem_collection'!AC29)</f>
        <v/>
      </c>
      <c r="AI688">
        <f>AVERAGE('WetLitterbags placem_collection'!S29,'WetLitterbags placem_collection'!U29)</f>
        <v>28.900000000000002</v>
      </c>
      <c r="AJ688">
        <f>AVERAGE('WetLitterbags placem_collection'!R29,'WetLitterbags placem_collection'!T29)</f>
        <v>21.4</v>
      </c>
      <c r="AK688">
        <f>INDEX(Coordinates!$B$2:$B$197,MATCH(H688,Coordinates!$J$2:$J$197,0))</f>
        <v>-3.3849350359999999</v>
      </c>
      <c r="AL688">
        <f>INDEX(Coordinates!$C$2:$C$197,MATCH(H688,Coordinates!$J$2:$J$197,0))</f>
        <v>34.818943019999999</v>
      </c>
      <c r="AM688" t="str">
        <f>IF(ISNUMBER(SEARCH("C", 'WetLitterbags placem_collection'!$Y29)),"YES","NO")</f>
        <v>NO</v>
      </c>
      <c r="AN688" t="str">
        <f>IF(ISNUMBER(SEARCH("H", 'WetLitterbags placem_collection'!$Y29)),"YES","NO")</f>
        <v>NO</v>
      </c>
      <c r="AO688" t="str">
        <f>IF(ISNUMBER(SEARCH("R", 'WetLitterbags placem_collection'!$Y29)),"YES","NO")</f>
        <v>NO</v>
      </c>
    </row>
    <row r="689" spans="1:41" ht="15" customHeight="1">
      <c r="A689" s="255" t="s">
        <v>2454</v>
      </c>
      <c r="B689" s="260">
        <f>'Dry_Litterbag Placem_Collection'!A30</f>
        <v>28</v>
      </c>
      <c r="C689" s="260" t="str">
        <f>'Dry_Litterbag Placem_Collection'!B30</f>
        <v>Makao</v>
      </c>
      <c r="D689" s="260" t="s">
        <v>2643</v>
      </c>
      <c r="E689" s="260" t="s">
        <v>2644</v>
      </c>
      <c r="F689" s="260">
        <v>4</v>
      </c>
      <c r="G689" s="260" t="s">
        <v>3804</v>
      </c>
      <c r="H689" s="261" t="str">
        <f>'Dry_Litterbag Placem_Collection'!C30</f>
        <v>Dry_Ag4_T4</v>
      </c>
      <c r="I689" s="270" t="s">
        <v>3630</v>
      </c>
      <c r="J689" s="271" t="s">
        <v>298</v>
      </c>
      <c r="K689" s="221" t="str">
        <f>'WetLitterbags placem_collection'!Q30</f>
        <v>R172</v>
      </c>
      <c r="L689" s="223">
        <f>IFERROR(INDEX('Green_rooibos initial weight'!$C$5:$C$2000,MATCH(K689, 'Green_rooibos initial weight'!$A$5:$A$2000,0)),"")</f>
        <v>2.1520000000000001</v>
      </c>
      <c r="M689" s="223">
        <f>IFERROR(L689-(TBIcalc!$H$9+TBIcalc!$H$10),"")</f>
        <v>1.9022000000000001</v>
      </c>
      <c r="N689" s="385">
        <f>AVERAGE(Ashed_controlls!$K$2:$K$11)</f>
        <v>5.5147656768714146</v>
      </c>
      <c r="O689" s="223">
        <f t="shared" si="51"/>
        <v>1.7972981272945521</v>
      </c>
      <c r="P689" s="223">
        <f>IFERROR(INDEX('Both teabags AfterWet'!$C$3:$C$840,MATCH(K689,'Both teabags AfterWet'!$A$3:$A$840,0)),"")</f>
        <v>1.4665999999999999</v>
      </c>
      <c r="Q689" s="223">
        <f>IFERROR(IF(P689&gt;0,P689-(TBIcalc!$H$9),""),"")</f>
        <v>1.3159999999999998</v>
      </c>
      <c r="R689" s="223">
        <f>IFERROR(INDEX('Ashed teabags wet'!$K$2:$K$2000,MATCH(K689,'Ashed teabags wet'!$A$2:$A$2000,0)),"")</f>
        <v>4.6569854782171465</v>
      </c>
      <c r="S689" s="223">
        <f t="shared" si="52"/>
        <v>1.2547140711066622</v>
      </c>
      <c r="T689" s="224">
        <f>'WetLitterbags placem_collection'!E30</f>
        <v>42767</v>
      </c>
      <c r="U689" s="224">
        <f>IF('WetLitterbags placem_collection'!G30="","",'WetLitterbags placem_collection'!G30)</f>
        <v>42818</v>
      </c>
      <c r="V689" s="225">
        <f t="shared" si="50"/>
        <v>51</v>
      </c>
      <c r="W689" s="223">
        <f t="shared" si="53"/>
        <v>0.58620000000000028</v>
      </c>
      <c r="X689" s="223">
        <f t="shared" si="54"/>
        <v>0.54258405618788985</v>
      </c>
      <c r="Y689">
        <f>IFERROR(INDEX(Rainfall_Wet!$O$2:$O$217,MATCH(B689, Rainfall_Wet!$A$2:$A$217,0)),"")</f>
        <v>185.630065823</v>
      </c>
      <c r="Z689" s="228">
        <v>51.960000000000008</v>
      </c>
      <c r="AA689" s="228">
        <v>18.919999999999995</v>
      </c>
      <c r="AB689" s="228">
        <v>29.120000000000005</v>
      </c>
      <c r="AC689" s="229" t="s">
        <v>2657</v>
      </c>
      <c r="AD689" s="228">
        <v>4.8529324790537203</v>
      </c>
      <c r="AE689" t="str">
        <f>IF('WetLitterbags placem_collection'!AB30="","",'WetLitterbags placem_collection'!AB30)</f>
        <v/>
      </c>
      <c r="AF689" t="str">
        <f>IF('WetLitterbags placem_collection'!Z30="","",'WetLitterbags placem_collection'!Z30)</f>
        <v/>
      </c>
      <c r="AG689" s="243" t="str">
        <f>IF('WetLitterbags placem_collection'!AA30="","",'WetLitterbags placem_collection'!AA30)</f>
        <v/>
      </c>
      <c r="AH689" t="str">
        <f>IF('WetLitterbags placem_collection'!AC30="","",'WetLitterbags placem_collection'!AC30)</f>
        <v/>
      </c>
      <c r="AI689">
        <f>AVERAGE('WetLitterbags placem_collection'!S30,'WetLitterbags placem_collection'!U30)</f>
        <v>33.4</v>
      </c>
      <c r="AJ689">
        <f>AVERAGE('WetLitterbags placem_collection'!R30,'WetLitterbags placem_collection'!T30)</f>
        <v>20.6</v>
      </c>
      <c r="AK689">
        <f>INDEX(Coordinates!$B$2:$B$197,MATCH(H689,Coordinates!$J$2:$J$197,0))</f>
        <v>-3.3850070369999998</v>
      </c>
      <c r="AL689">
        <f>INDEX(Coordinates!$C$2:$C$197,MATCH(H689,Coordinates!$J$2:$J$197,0))</f>
        <v>34.818888960000002</v>
      </c>
      <c r="AM689" t="str">
        <f>IF(ISNUMBER(SEARCH("C", 'WetLitterbags placem_collection'!$Y30)),"YES","NO")</f>
        <v>NO</v>
      </c>
      <c r="AN689" t="str">
        <f>IF(ISNUMBER(SEARCH("H", 'WetLitterbags placem_collection'!$Y30)),"YES","NO")</f>
        <v>NO</v>
      </c>
      <c r="AO689" t="str">
        <f>IF(ISNUMBER(SEARCH("R", 'WetLitterbags placem_collection'!$Y30)),"YES","NO")</f>
        <v>NO</v>
      </c>
    </row>
    <row r="690" spans="1:41" ht="15" customHeight="1">
      <c r="A690" s="255" t="s">
        <v>2454</v>
      </c>
      <c r="B690" s="260">
        <f>'Dry_Litterbag Placem_Collection'!A31</f>
        <v>29</v>
      </c>
      <c r="C690" s="260" t="str">
        <f>'Dry_Litterbag Placem_Collection'!B31</f>
        <v>Makao</v>
      </c>
      <c r="D690" s="260" t="s">
        <v>2643</v>
      </c>
      <c r="E690" s="260" t="s">
        <v>2644</v>
      </c>
      <c r="F690" s="260">
        <v>4</v>
      </c>
      <c r="G690" s="260" t="s">
        <v>3804</v>
      </c>
      <c r="H690" s="261" t="str">
        <f>'Dry_Litterbag Placem_Collection'!C31</f>
        <v>Dry_Ag4_T5</v>
      </c>
      <c r="I690" s="270" t="s">
        <v>3630</v>
      </c>
      <c r="J690" s="271" t="s">
        <v>298</v>
      </c>
      <c r="K690" s="221" t="str">
        <f>'WetLitterbags placem_collection'!Q31</f>
        <v>R349</v>
      </c>
      <c r="L690" s="223">
        <f>IFERROR(INDEX('Green_rooibos initial weight'!$C$5:$C$2000,MATCH(K690, 'Green_rooibos initial weight'!$A$5:$A$2000,0)),"")</f>
        <v>2.2469999999999999</v>
      </c>
      <c r="M690" s="223">
        <f>IFERROR(L690-(TBIcalc!$H$9+TBIcalc!$H$10),"")</f>
        <v>1.9971999999999999</v>
      </c>
      <c r="N690" s="385">
        <f>AVERAGE(Ashed_controlls!$K$2:$K$11)</f>
        <v>5.5147656768714146</v>
      </c>
      <c r="O690" s="223">
        <f t="shared" si="51"/>
        <v>1.887059099901524</v>
      </c>
      <c r="P690" s="223">
        <f>IFERROR(INDEX('Both teabags AfterWet'!$C$3:$C$840,MATCH(K690,'Both teabags AfterWet'!$A$3:$A$840,0)),"")</f>
        <v>1.4108000000000001</v>
      </c>
      <c r="Q690" s="223">
        <f>IFERROR(IF(P690&gt;0,P690-(TBIcalc!$H$9),""),"")</f>
        <v>1.2602</v>
      </c>
      <c r="R690" s="223">
        <f>IFERROR(INDEX('Ashed teabags wet'!$K$2:$K$2000,MATCH(K690,'Ashed teabags wet'!$A$2:$A$2000,0)),"")</f>
        <v>3.0821917808218364</v>
      </c>
      <c r="S690" s="223">
        <f t="shared" si="52"/>
        <v>1.2213582191780832</v>
      </c>
      <c r="T690" s="224">
        <f>'WetLitterbags placem_collection'!E31</f>
        <v>42767</v>
      </c>
      <c r="U690" s="224">
        <f>IF('WetLitterbags placem_collection'!G31="","",'WetLitterbags placem_collection'!G31)</f>
        <v>42818</v>
      </c>
      <c r="V690" s="225">
        <f t="shared" si="50"/>
        <v>51</v>
      </c>
      <c r="W690" s="223">
        <f t="shared" si="53"/>
        <v>0.73699999999999988</v>
      </c>
      <c r="X690" s="223">
        <f t="shared" si="54"/>
        <v>0.6657008807234408</v>
      </c>
      <c r="Y690">
        <f>IFERROR(INDEX(Rainfall_Wet!$O$2:$O$217,MATCH(B690, Rainfall_Wet!$A$2:$A$217,0)),"")</f>
        <v>185.630065823</v>
      </c>
      <c r="Z690" s="228">
        <v>51.960000000000008</v>
      </c>
      <c r="AA690" s="228">
        <v>18.919999999999995</v>
      </c>
      <c r="AB690" s="228">
        <v>29.120000000000005</v>
      </c>
      <c r="AC690" s="229" t="s">
        <v>2657</v>
      </c>
      <c r="AD690" s="228">
        <v>5.8529324790537203</v>
      </c>
      <c r="AE690" t="str">
        <f>IF('WetLitterbags placem_collection'!AB31="","",'WetLitterbags placem_collection'!AB31)</f>
        <v/>
      </c>
      <c r="AF690" t="str">
        <f>IF('WetLitterbags placem_collection'!Z31="","",'WetLitterbags placem_collection'!Z31)</f>
        <v/>
      </c>
      <c r="AG690" s="243" t="str">
        <f>IF('WetLitterbags placem_collection'!AA31="","",'WetLitterbags placem_collection'!AA31)</f>
        <v/>
      </c>
      <c r="AH690" t="str">
        <f>IF('WetLitterbags placem_collection'!AC31="","",'WetLitterbags placem_collection'!AC31)</f>
        <v/>
      </c>
      <c r="AI690">
        <f>AVERAGE('WetLitterbags placem_collection'!S31,'WetLitterbags placem_collection'!U31)</f>
        <v>28.4</v>
      </c>
      <c r="AJ690">
        <f>AVERAGE('WetLitterbags placem_collection'!R31,'WetLitterbags placem_collection'!T31)</f>
        <v>21.049999999999997</v>
      </c>
      <c r="AK690">
        <f>INDEX(Coordinates!$B$2:$B$197,MATCH(H690,Coordinates!$J$2:$J$197,0))</f>
        <v>-3.3849480280000002</v>
      </c>
      <c r="AL690">
        <f>INDEX(Coordinates!$C$2:$C$197,MATCH(H690,Coordinates!$J$2:$J$197,0))</f>
        <v>34.818854010000003</v>
      </c>
      <c r="AM690" t="str">
        <f>IF(ISNUMBER(SEARCH("C", 'WetLitterbags placem_collection'!$Y31)),"YES","NO")</f>
        <v>NO</v>
      </c>
      <c r="AN690" t="str">
        <f>IF(ISNUMBER(SEARCH("H", 'WetLitterbags placem_collection'!$Y31)),"YES","NO")</f>
        <v>NO</v>
      </c>
      <c r="AO690" t="str">
        <f>IF(ISNUMBER(SEARCH("R", 'WetLitterbags placem_collection'!$Y31)),"YES","NO")</f>
        <v>NO</v>
      </c>
    </row>
    <row r="691" spans="1:41" ht="15" customHeight="1">
      <c r="A691" s="255" t="s">
        <v>2454</v>
      </c>
      <c r="B691" s="260">
        <f>'Dry_Litterbag Placem_Collection'!A32</f>
        <v>30</v>
      </c>
      <c r="C691" s="260" t="str">
        <f>'Dry_Litterbag Placem_Collection'!B32</f>
        <v>Makao</v>
      </c>
      <c r="D691" s="260" t="s">
        <v>2643</v>
      </c>
      <c r="E691" s="260" t="s">
        <v>2644</v>
      </c>
      <c r="F691" s="260">
        <v>4</v>
      </c>
      <c r="G691" s="260" t="s">
        <v>3804</v>
      </c>
      <c r="H691" s="261" t="str">
        <f>'Dry_Litterbag Placem_Collection'!C32</f>
        <v>Dry_Ag4_T6</v>
      </c>
      <c r="I691" s="270" t="s">
        <v>3630</v>
      </c>
      <c r="J691" s="271" t="s">
        <v>298</v>
      </c>
      <c r="K691" s="221" t="str">
        <f>'WetLitterbags placem_collection'!Q32</f>
        <v>R296</v>
      </c>
      <c r="L691" s="223">
        <f>IFERROR(INDEX('Green_rooibos initial weight'!$C$5:$C$2000,MATCH(K691, 'Green_rooibos initial weight'!$A$5:$A$2000,0)),"")</f>
        <v>2.226</v>
      </c>
      <c r="M691" s="223">
        <f>IFERROR(L691-(TBIcalc!$H$9+TBIcalc!$H$10),"")</f>
        <v>1.9762</v>
      </c>
      <c r="N691" s="385">
        <f>AVERAGE(Ashed_controlls!$K$2:$K$11)</f>
        <v>5.5147656768714146</v>
      </c>
      <c r="O691" s="223">
        <f t="shared" si="51"/>
        <v>1.8672172006936671</v>
      </c>
      <c r="P691" s="223">
        <f>IFERROR(INDEX('Both teabags AfterWet'!$C$3:$C$840,MATCH(K691,'Both teabags AfterWet'!$A$3:$A$840,0)),"")</f>
        <v>1.3653</v>
      </c>
      <c r="Q691" s="223">
        <f>IFERROR(IF(P691&gt;0,P691-(TBIcalc!$H$9),""),"")</f>
        <v>1.2146999999999999</v>
      </c>
      <c r="R691" s="223">
        <f>IFERROR(INDEX('Ashed teabags wet'!$K$2:$K$2000,MATCH(K691,'Ashed teabags wet'!$A$2:$A$2000,0)),"")</f>
        <v>3.9301310043674835</v>
      </c>
      <c r="S691" s="223">
        <f t="shared" si="52"/>
        <v>1.1669606986899481</v>
      </c>
      <c r="T691" s="224">
        <f>'WetLitterbags placem_collection'!E32</f>
        <v>42767</v>
      </c>
      <c r="U691" s="224">
        <f>IF('WetLitterbags placem_collection'!G32="","",'WetLitterbags placem_collection'!G32)</f>
        <v>42818</v>
      </c>
      <c r="V691" s="225">
        <f t="shared" si="50"/>
        <v>51</v>
      </c>
      <c r="W691" s="223">
        <f t="shared" si="53"/>
        <v>0.76150000000000007</v>
      </c>
      <c r="X691" s="223">
        <f t="shared" si="54"/>
        <v>0.70025650200371903</v>
      </c>
      <c r="Y691">
        <f>IFERROR(INDEX(Rainfall_Wet!$O$2:$O$217,MATCH(B691, Rainfall_Wet!$A$2:$A$217,0)),"")</f>
        <v>185.630065823</v>
      </c>
      <c r="Z691" s="228">
        <v>51.960000000000008</v>
      </c>
      <c r="AA691" s="228">
        <v>18.919999999999995</v>
      </c>
      <c r="AB691" s="228">
        <v>29.120000000000005</v>
      </c>
      <c r="AC691" s="229" t="s">
        <v>2657</v>
      </c>
      <c r="AD691" s="228">
        <v>6.8529324790537203</v>
      </c>
      <c r="AE691" t="str">
        <f>IF('WetLitterbags placem_collection'!AB32="","",'WetLitterbags placem_collection'!AB32)</f>
        <v/>
      </c>
      <c r="AF691" t="str">
        <f>IF('WetLitterbags placem_collection'!Z32="","",'WetLitterbags placem_collection'!Z32)</f>
        <v/>
      </c>
      <c r="AG691" s="243" t="str">
        <f>IF('WetLitterbags placem_collection'!AA32="","",'WetLitterbags placem_collection'!AA32)</f>
        <v/>
      </c>
      <c r="AH691" t="str">
        <f>IF('WetLitterbags placem_collection'!AC32="","",'WetLitterbags placem_collection'!AC32)</f>
        <v/>
      </c>
      <c r="AI691">
        <f>AVERAGE('WetLitterbags placem_collection'!S32,'WetLitterbags placem_collection'!U32)</f>
        <v>26.9</v>
      </c>
      <c r="AJ691">
        <f>AVERAGE('WetLitterbags placem_collection'!R32,'WetLitterbags placem_collection'!T32)</f>
        <v>20.7</v>
      </c>
      <c r="AK691">
        <f>INDEX(Coordinates!$B$2:$B$197,MATCH(H691,Coordinates!$J$2:$J$197,0))</f>
        <v>-3.38496496</v>
      </c>
      <c r="AL691">
        <f>INDEX(Coordinates!$C$2:$C$197,MATCH(H691,Coordinates!$J$2:$J$197,0))</f>
        <v>34.818790970000002</v>
      </c>
      <c r="AM691" t="str">
        <f>IF(ISNUMBER(SEARCH("C", 'WetLitterbags placem_collection'!$Y32)),"YES","NO")</f>
        <v>NO</v>
      </c>
      <c r="AN691" t="str">
        <f>IF(ISNUMBER(SEARCH("H", 'WetLitterbags placem_collection'!$Y32)),"YES","NO")</f>
        <v>NO</v>
      </c>
      <c r="AO691" t="str">
        <f>IF(ISNUMBER(SEARCH("R", 'WetLitterbags placem_collection'!$Y32)),"YES","NO")</f>
        <v>NO</v>
      </c>
    </row>
    <row r="692" spans="1:41" ht="15" customHeight="1">
      <c r="A692" s="255" t="s">
        <v>2454</v>
      </c>
      <c r="B692" s="260">
        <f>'Dry_Litterbag Placem_Collection'!A33</f>
        <v>31</v>
      </c>
      <c r="C692" s="260" t="str">
        <f>'Dry_Litterbag Placem_Collection'!B33</f>
        <v>Makao</v>
      </c>
      <c r="D692" s="260" t="s">
        <v>2643</v>
      </c>
      <c r="E692" s="260" t="s">
        <v>2644</v>
      </c>
      <c r="F692" s="260">
        <v>4</v>
      </c>
      <c r="G692" s="260" t="s">
        <v>3804</v>
      </c>
      <c r="H692" s="261" t="str">
        <f>'Dry_Litterbag Placem_Collection'!C33</f>
        <v>Dry_Ag4_T7</v>
      </c>
      <c r="I692" s="270" t="s">
        <v>3630</v>
      </c>
      <c r="J692" s="271" t="s">
        <v>298</v>
      </c>
      <c r="K692" s="221" t="str">
        <f>'WetLitterbags placem_collection'!Q33</f>
        <v>R323</v>
      </c>
      <c r="L692" s="223">
        <f>IFERROR(INDEX('Green_rooibos initial weight'!$C$5:$C$2000,MATCH(K692, 'Green_rooibos initial weight'!$A$5:$A$2000,0)),"")</f>
        <v>2.1949999999999998</v>
      </c>
      <c r="M692" s="223">
        <f>IFERROR(L692-(TBIcalc!$H$9+TBIcalc!$H$10),"")</f>
        <v>1.9451999999999998</v>
      </c>
      <c r="N692" s="385">
        <f>AVERAGE(Ashed_controlls!$K$2:$K$11)</f>
        <v>5.5147656768714146</v>
      </c>
      <c r="O692" s="223">
        <f t="shared" si="51"/>
        <v>1.8379267780534971</v>
      </c>
      <c r="P692" s="223">
        <f>IFERROR(INDEX('Both teabags AfterWet'!$C$3:$C$840,MATCH(K692,'Both teabags AfterWet'!$A$3:$A$840,0)),"")</f>
        <v>1.425</v>
      </c>
      <c r="Q692" s="223">
        <f>IFERROR(IF(P692&gt;0,P692-(TBIcalc!$H$9),""),"")</f>
        <v>1.2744</v>
      </c>
      <c r="R692" s="223">
        <f>IFERROR(INDEX('Ashed teabags wet'!$K$2:$K$2000,MATCH(K692,'Ashed teabags wet'!$A$2:$A$2000,0)),"")</f>
        <v>20.058139534884134</v>
      </c>
      <c r="S692" s="223">
        <f t="shared" si="52"/>
        <v>1.0187790697674366</v>
      </c>
      <c r="T692" s="224">
        <f>'WetLitterbags placem_collection'!E33</f>
        <v>42767</v>
      </c>
      <c r="U692" s="224">
        <f>IF('WetLitterbags placem_collection'!G33="","",'WetLitterbags placem_collection'!G33)</f>
        <v>42818</v>
      </c>
      <c r="V692" s="225">
        <f t="shared" si="50"/>
        <v>51</v>
      </c>
      <c r="W692" s="223">
        <f t="shared" si="53"/>
        <v>0.67079999999999984</v>
      </c>
      <c r="X692" s="223">
        <f t="shared" si="54"/>
        <v>0.81914770828606054</v>
      </c>
      <c r="Y692">
        <f>IFERROR(INDEX(Rainfall_Wet!$O$2:$O$217,MATCH(B692, Rainfall_Wet!$A$2:$A$217,0)),"")</f>
        <v>185.630065823</v>
      </c>
      <c r="Z692" s="228">
        <v>51.960000000000008</v>
      </c>
      <c r="AA692" s="228">
        <v>18.919999999999995</v>
      </c>
      <c r="AB692" s="228">
        <v>29.120000000000005</v>
      </c>
      <c r="AC692" s="229" t="s">
        <v>2657</v>
      </c>
      <c r="AD692" s="228">
        <v>7.8529324790537203</v>
      </c>
      <c r="AE692" t="str">
        <f>IF('WetLitterbags placem_collection'!AB33="","",'WetLitterbags placem_collection'!AB33)</f>
        <v/>
      </c>
      <c r="AF692" t="str">
        <f>IF('WetLitterbags placem_collection'!Z33="","",'WetLitterbags placem_collection'!Z33)</f>
        <v/>
      </c>
      <c r="AG692" s="243" t="str">
        <f>IF('WetLitterbags placem_collection'!AA33="","",'WetLitterbags placem_collection'!AA33)</f>
        <v/>
      </c>
      <c r="AH692" t="str">
        <f>IF('WetLitterbags placem_collection'!AC33="","",'WetLitterbags placem_collection'!AC33)</f>
        <v/>
      </c>
      <c r="AI692">
        <f>AVERAGE('WetLitterbags placem_collection'!S33,'WetLitterbags placem_collection'!U33)</f>
        <v>33</v>
      </c>
      <c r="AJ692">
        <f>AVERAGE('WetLitterbags placem_collection'!R33,'WetLitterbags placem_collection'!T33)</f>
        <v>20.950000000000003</v>
      </c>
      <c r="AK692">
        <f>INDEX(Coordinates!$B$2:$B$197,MATCH(H692,Coordinates!$J$2:$J$197,0))</f>
        <v>-3.3848409909999999</v>
      </c>
      <c r="AL692">
        <f>INDEX(Coordinates!$C$2:$C$197,MATCH(H692,Coordinates!$J$2:$J$197,0))</f>
        <v>34.818838999999997</v>
      </c>
      <c r="AM692" t="str">
        <f>IF(ISNUMBER(SEARCH("C", 'WetLitterbags placem_collection'!$Y33)),"YES","NO")</f>
        <v>NO</v>
      </c>
      <c r="AN692" t="str">
        <f>IF(ISNUMBER(SEARCH("H", 'WetLitterbags placem_collection'!$Y33)),"YES","NO")</f>
        <v>NO</v>
      </c>
      <c r="AO692" t="str">
        <f>IF(ISNUMBER(SEARCH("R", 'WetLitterbags placem_collection'!$Y33)),"YES","NO")</f>
        <v>YES</v>
      </c>
    </row>
    <row r="693" spans="1:41" ht="15" customHeight="1">
      <c r="A693" s="255" t="s">
        <v>2454</v>
      </c>
      <c r="B693" s="260">
        <f>'Dry_Litterbag Placem_Collection'!A34</f>
        <v>32</v>
      </c>
      <c r="C693" s="260" t="str">
        <f>'Dry_Litterbag Placem_Collection'!B34</f>
        <v>Makao</v>
      </c>
      <c r="D693" s="260" t="s">
        <v>2643</v>
      </c>
      <c r="E693" s="260" t="s">
        <v>2644</v>
      </c>
      <c r="F693" s="260">
        <v>4</v>
      </c>
      <c r="G693" s="260" t="s">
        <v>3804</v>
      </c>
      <c r="H693" s="261" t="str">
        <f>'Dry_Litterbag Placem_Collection'!C34</f>
        <v>Dry_Ag4_T8</v>
      </c>
      <c r="I693" s="270" t="s">
        <v>3630</v>
      </c>
      <c r="J693" s="271" t="s">
        <v>298</v>
      </c>
      <c r="K693" s="221" t="str">
        <f>'WetLitterbags placem_collection'!Q34</f>
        <v>R156</v>
      </c>
      <c r="L693" s="223">
        <f>IFERROR(INDEX('Green_rooibos initial weight'!$C$5:$C$2000,MATCH(K693, 'Green_rooibos initial weight'!$A$5:$A$2000,0)),"")</f>
        <v>2.246</v>
      </c>
      <c r="M693" s="223">
        <f>IFERROR(L693-(TBIcalc!$H$9+TBIcalc!$H$10),"")</f>
        <v>1.9962</v>
      </c>
      <c r="N693" s="385">
        <f>AVERAGE(Ashed_controlls!$K$2:$K$11)</f>
        <v>5.5147656768714146</v>
      </c>
      <c r="O693" s="223">
        <f t="shared" si="51"/>
        <v>1.8861142475582928</v>
      </c>
      <c r="P693" s="223">
        <f>IFERROR(INDEX('Both teabags AfterWet'!$C$3:$C$840,MATCH(K693,'Both teabags AfterWet'!$A$3:$A$840,0)),"")</f>
        <v>1.2625999999999999</v>
      </c>
      <c r="Q693" s="223">
        <f>IFERROR(IF(P693&gt;0,P693-(TBIcalc!$H$9),""),"")</f>
        <v>1.1119999999999999</v>
      </c>
      <c r="R693" s="223">
        <f>IFERROR(INDEX('Ashed teabags wet'!$K$2:$K$2000,MATCH(K693,'Ashed teabags wet'!$A$2:$A$2000,0)),"")</f>
        <v>5.5555555555557818</v>
      </c>
      <c r="S693" s="223">
        <f t="shared" si="52"/>
        <v>1.0502222222222195</v>
      </c>
      <c r="T693" s="224">
        <f>'WetLitterbags placem_collection'!E34</f>
        <v>42767</v>
      </c>
      <c r="U693" s="224">
        <f>IF('WetLitterbags placem_collection'!G34="","",'WetLitterbags placem_collection'!G34)</f>
        <v>42818</v>
      </c>
      <c r="V693" s="225">
        <f t="shared" si="50"/>
        <v>51</v>
      </c>
      <c r="W693" s="223">
        <f t="shared" si="53"/>
        <v>0.8842000000000001</v>
      </c>
      <c r="X693" s="223">
        <f t="shared" si="54"/>
        <v>0.83589202533607332</v>
      </c>
      <c r="Y693">
        <f>IFERROR(INDEX(Rainfall_Wet!$O$2:$O$217,MATCH(B693, Rainfall_Wet!$A$2:$A$217,0)),"")</f>
        <v>185.630065823</v>
      </c>
      <c r="Z693" s="228">
        <v>51.960000000000008</v>
      </c>
      <c r="AA693" s="228">
        <v>18.919999999999995</v>
      </c>
      <c r="AB693" s="228">
        <v>29.120000000000005</v>
      </c>
      <c r="AC693" s="229" t="s">
        <v>2657</v>
      </c>
      <c r="AD693" s="228">
        <v>8.8529324790537203</v>
      </c>
      <c r="AE693" t="str">
        <f>IF('WetLitterbags placem_collection'!AB34="","",'WetLitterbags placem_collection'!AB34)</f>
        <v/>
      </c>
      <c r="AF693" t="str">
        <f>IF('WetLitterbags placem_collection'!Z34="","",'WetLitterbags placem_collection'!Z34)</f>
        <v/>
      </c>
      <c r="AG693" s="243" t="str">
        <f>IF('WetLitterbags placem_collection'!AA34="","",'WetLitterbags placem_collection'!AA34)</f>
        <v/>
      </c>
      <c r="AH693" t="str">
        <f>IF('WetLitterbags placem_collection'!AC34="","",'WetLitterbags placem_collection'!AC34)</f>
        <v/>
      </c>
      <c r="AI693">
        <f>AVERAGE('WetLitterbags placem_collection'!S34,'WetLitterbags placem_collection'!U34)</f>
        <v>32.849999999999994</v>
      </c>
      <c r="AJ693">
        <f>AVERAGE('WetLitterbags placem_collection'!R34,'WetLitterbags placem_collection'!T34)</f>
        <v>20.9</v>
      </c>
      <c r="AK693">
        <f>INDEX(Coordinates!$B$2:$B$197,MATCH(H693,Coordinates!$J$2:$J$197,0))</f>
        <v>-3.3849010060000002</v>
      </c>
      <c r="AL693">
        <f>INDEX(Coordinates!$C$2:$C$197,MATCH(H693,Coordinates!$J$2:$J$197,0))</f>
        <v>34.818979990000003</v>
      </c>
      <c r="AM693" t="str">
        <f>IF(ISNUMBER(SEARCH("C", 'WetLitterbags placem_collection'!$Y34)),"YES","NO")</f>
        <v>NO</v>
      </c>
      <c r="AN693" t="str">
        <f>IF(ISNUMBER(SEARCH("H", 'WetLitterbags placem_collection'!$Y34)),"YES","NO")</f>
        <v>NO</v>
      </c>
      <c r="AO693" t="str">
        <f>IF(ISNUMBER(SEARCH("R", 'WetLitterbags placem_collection'!$Y34)),"YES","NO")</f>
        <v>YES</v>
      </c>
    </row>
    <row r="694" spans="1:41" ht="15" customHeight="1">
      <c r="A694" s="255" t="s">
        <v>2454</v>
      </c>
      <c r="B694" s="260">
        <f>'Dry_Litterbag Placem_Collection'!A35</f>
        <v>33</v>
      </c>
      <c r="C694" s="260" t="str">
        <f>'Dry_Litterbag Placem_Collection'!B35</f>
        <v>Makao</v>
      </c>
      <c r="D694" s="260" t="s">
        <v>2643</v>
      </c>
      <c r="E694" s="260" t="s">
        <v>20</v>
      </c>
      <c r="F694" s="260">
        <v>1</v>
      </c>
      <c r="G694" s="260" t="s">
        <v>3805</v>
      </c>
      <c r="H694" s="261" t="str">
        <f>'Dry_Litterbag Placem_Collection'!C35</f>
        <v>Dry_P1_T1</v>
      </c>
      <c r="I694" s="270" t="s">
        <v>3630</v>
      </c>
      <c r="J694" s="271" t="s">
        <v>298</v>
      </c>
      <c r="K694" s="221" t="str">
        <f>'WetLitterbags placem_collection'!Q35</f>
        <v>R452</v>
      </c>
      <c r="L694" s="223">
        <f>IFERROR(INDEX('Green_rooibos initial weight'!$C$5:$C$2000,MATCH(K694, 'Green_rooibos initial weight'!$A$5:$A$2000,0)),"")</f>
        <v>2.2320000000000002</v>
      </c>
      <c r="M694" s="223">
        <f>IFERROR(L694-(TBIcalc!$H$9+TBIcalc!$H$10),"")</f>
        <v>1.9822000000000002</v>
      </c>
      <c r="N694" s="385">
        <f>AVERAGE(Ashed_controlls!$K$2:$K$11)</f>
        <v>5.5147656768714146</v>
      </c>
      <c r="O694" s="223">
        <f t="shared" si="51"/>
        <v>1.872886314753055</v>
      </c>
      <c r="P694" s="223">
        <f>IFERROR(INDEX('Both teabags AfterWet'!$C$3:$C$840,MATCH(K694,'Both teabags AfterWet'!$A$3:$A$840,0)),"")</f>
        <v>1.6020000000000001</v>
      </c>
      <c r="Q694" s="223">
        <f>IFERROR(IF(P694&gt;0,P694-(TBIcalc!$H$9),""),"")</f>
        <v>1.4514</v>
      </c>
      <c r="R694" s="223">
        <f>IFERROR(INDEX('Ashed teabags wet'!$K$2:$K$2000,MATCH(K694,'Ashed teabags wet'!$A$2:$A$2000,0)),"")</f>
        <v>4.5318725099597295</v>
      </c>
      <c r="S694" s="223">
        <f t="shared" si="52"/>
        <v>1.3856244023904445</v>
      </c>
      <c r="T694" s="224">
        <f>'WetLitterbags placem_collection'!E35</f>
        <v>42765</v>
      </c>
      <c r="U694" s="224">
        <f>IF('WetLitterbags placem_collection'!G35="","",'WetLitterbags placem_collection'!G35)</f>
        <v>42820</v>
      </c>
      <c r="V694" s="225">
        <f t="shared" si="50"/>
        <v>55</v>
      </c>
      <c r="W694" s="223">
        <f t="shared" si="53"/>
        <v>0.53080000000000016</v>
      </c>
      <c r="X694" s="223">
        <f t="shared" si="54"/>
        <v>0.48726191236261052</v>
      </c>
      <c r="Y694">
        <f>IFERROR(INDEX(Rainfall_Wet!$O$2:$O$217,MATCH(B694, Rainfall_Wet!$A$2:$A$217,0)),"")</f>
        <v>228.324359195</v>
      </c>
      <c r="Z694" s="228">
        <v>23.96</v>
      </c>
      <c r="AA694" s="228">
        <v>0.91999999999999804</v>
      </c>
      <c r="AB694" s="228">
        <v>75.12</v>
      </c>
      <c r="AC694" s="229" t="s">
        <v>2654</v>
      </c>
      <c r="AD694" s="228">
        <v>1.2493839329719072</v>
      </c>
      <c r="AE694">
        <f>IF('WetLitterbags placem_collection'!AB35="","",'WetLitterbags placem_collection'!AB35)</f>
        <v>9.5</v>
      </c>
      <c r="AF694">
        <f>IF('WetLitterbags placem_collection'!Z35="","",'WetLitterbags placem_collection'!Z35)</f>
        <v>17.2</v>
      </c>
      <c r="AG694" s="243" t="str">
        <f>IF('WetLitterbags placem_collection'!AA35="","",'WetLitterbags placem_collection'!AA35)</f>
        <v>G</v>
      </c>
      <c r="AH694">
        <f>IF('WetLitterbags placem_collection'!AC35="","",'WetLitterbags placem_collection'!AC35)</f>
        <v>0</v>
      </c>
      <c r="AI694">
        <f>AVERAGE('WetLitterbags placem_collection'!S35,'WetLitterbags placem_collection'!U35)</f>
        <v>30.5</v>
      </c>
      <c r="AJ694">
        <f>AVERAGE('WetLitterbags placem_collection'!R35,'WetLitterbags placem_collection'!T35)</f>
        <v>25.25</v>
      </c>
      <c r="AK694">
        <f>INDEX(Coordinates!$B$2:$B$197,MATCH(H694,Coordinates!$J$2:$J$197,0))</f>
        <v>-3.4092039989999998</v>
      </c>
      <c r="AL694">
        <f>INDEX(Coordinates!$C$2:$C$197,MATCH(H694,Coordinates!$J$2:$J$197,0))</f>
        <v>34.852751009999999</v>
      </c>
      <c r="AM694" t="str">
        <f>IF(ISNUMBER(SEARCH("C", 'WetLitterbags placem_collection'!$Y35)),"YES","NO")</f>
        <v>NO</v>
      </c>
      <c r="AN694" t="str">
        <f>IF(ISNUMBER(SEARCH("H", 'WetLitterbags placem_collection'!$Y35)),"YES","NO")</f>
        <v>NO</v>
      </c>
      <c r="AO694" t="str">
        <f>IF(ISNUMBER(SEARCH("R", 'WetLitterbags placem_collection'!$Y35)),"YES","NO")</f>
        <v>YES</v>
      </c>
    </row>
    <row r="695" spans="1:41" ht="15" customHeight="1">
      <c r="A695" s="255" t="s">
        <v>2454</v>
      </c>
      <c r="B695" s="260">
        <f>'Dry_Litterbag Placem_Collection'!A36</f>
        <v>34</v>
      </c>
      <c r="C695" s="260" t="str">
        <f>'Dry_Litterbag Placem_Collection'!B36</f>
        <v>Makao</v>
      </c>
      <c r="D695" s="260" t="s">
        <v>2643</v>
      </c>
      <c r="E695" s="260" t="s">
        <v>20</v>
      </c>
      <c r="F695" s="260">
        <v>1</v>
      </c>
      <c r="G695" s="260" t="s">
        <v>3805</v>
      </c>
      <c r="H695" s="261" t="str">
        <f>'Dry_Litterbag Placem_Collection'!C36</f>
        <v>Dry_P1_T2</v>
      </c>
      <c r="I695" s="270" t="s">
        <v>3630</v>
      </c>
      <c r="J695" s="271" t="s">
        <v>298</v>
      </c>
      <c r="K695" s="221" t="str">
        <f>'WetLitterbags placem_collection'!Q36</f>
        <v>R24</v>
      </c>
      <c r="L695" s="223">
        <f>IFERROR(INDEX('Green_rooibos initial weight'!$C$5:$C$2000,MATCH(K695, 'Green_rooibos initial weight'!$A$5:$A$2000,0)),"")</f>
        <v>2.14</v>
      </c>
      <c r="M695" s="223">
        <f>IFERROR(L695-(TBIcalc!$H$9+TBIcalc!$H$10),"")</f>
        <v>1.8902000000000001</v>
      </c>
      <c r="N695" s="385">
        <f>AVERAGE(Ashed_controlls!$K$2:$K$11)</f>
        <v>5.5147656768714146</v>
      </c>
      <c r="O695" s="223">
        <f t="shared" si="51"/>
        <v>1.7859598991757766</v>
      </c>
      <c r="P695" s="223">
        <f>IFERROR(INDEX('Both teabags AfterWet'!$C$3:$C$840,MATCH(K695,'Both teabags AfterWet'!$A$3:$A$840,0)),"")</f>
        <v>1.4662999999999999</v>
      </c>
      <c r="Q695" s="223">
        <f>IFERROR(IF(P695&gt;0,P695-(TBIcalc!$H$9),""),"")</f>
        <v>1.3156999999999999</v>
      </c>
      <c r="R695" s="223">
        <f>IFERROR(INDEX('Ashed teabags wet'!$K$2:$K$2000,MATCH(K695,'Ashed teabags wet'!$A$2:$A$2000,0)),"")</f>
        <v>7.4839980305272942</v>
      </c>
      <c r="S695" s="223">
        <f t="shared" si="52"/>
        <v>1.2172330379123522</v>
      </c>
      <c r="T695" s="224">
        <f>'WetLitterbags placem_collection'!E36</f>
        <v>42765</v>
      </c>
      <c r="U695" s="224">
        <f>IF('WetLitterbags placem_collection'!G36="","",'WetLitterbags placem_collection'!G36)</f>
        <v>42820</v>
      </c>
      <c r="V695" s="225">
        <f t="shared" si="50"/>
        <v>55</v>
      </c>
      <c r="W695" s="223">
        <f t="shared" si="53"/>
        <v>0.57450000000000023</v>
      </c>
      <c r="X695" s="223">
        <f t="shared" si="54"/>
        <v>0.56872686126342442</v>
      </c>
      <c r="Y695">
        <f>IFERROR(INDEX(Rainfall_Wet!$O$2:$O$217,MATCH(B695, Rainfall_Wet!$A$2:$A$217,0)),"")</f>
        <v>228.324359195</v>
      </c>
      <c r="Z695" s="228">
        <v>23.96</v>
      </c>
      <c r="AA695" s="228">
        <v>0.91999999999999804</v>
      </c>
      <c r="AB695" s="228">
        <v>75.12</v>
      </c>
      <c r="AC695" s="229" t="s">
        <v>2654</v>
      </c>
      <c r="AD695" s="228">
        <v>1.2493839329719072</v>
      </c>
      <c r="AE695">
        <f>IF('WetLitterbags placem_collection'!AB36="","",'WetLitterbags placem_collection'!AB36)</f>
        <v>6.5</v>
      </c>
      <c r="AF695">
        <f>IF('WetLitterbags placem_collection'!Z36="","",'WetLitterbags placem_collection'!Z36)</f>
        <v>14.2</v>
      </c>
      <c r="AG695" s="243" t="str">
        <f>IF('WetLitterbags placem_collection'!AA36="","",'WetLitterbags placem_collection'!AA36)</f>
        <v>G</v>
      </c>
      <c r="AH695">
        <f>IF('WetLitterbags placem_collection'!AC36="","",'WetLitterbags placem_collection'!AC36)</f>
        <v>0</v>
      </c>
      <c r="AI695">
        <f>AVERAGE('WetLitterbags placem_collection'!S36,'WetLitterbags placem_collection'!U36)</f>
        <v>21</v>
      </c>
      <c r="AJ695">
        <f>AVERAGE('WetLitterbags placem_collection'!R36,'WetLitterbags placem_collection'!T36)</f>
        <v>25.55</v>
      </c>
      <c r="AK695">
        <f>INDEX(Coordinates!$B$2:$B$197,MATCH(H695,Coordinates!$J$2:$J$197,0))</f>
        <v>-3.4092350119999999</v>
      </c>
      <c r="AL695">
        <f>INDEX(Coordinates!$C$2:$C$197,MATCH(H695,Coordinates!$J$2:$J$197,0))</f>
        <v>34.852782019999999</v>
      </c>
      <c r="AM695" t="str">
        <f>IF(ISNUMBER(SEARCH("C", 'WetLitterbags placem_collection'!$Y36)),"YES","NO")</f>
        <v>NO</v>
      </c>
      <c r="AN695" t="str">
        <f>IF(ISNUMBER(SEARCH("H", 'WetLitterbags placem_collection'!$Y36)),"YES","NO")</f>
        <v>NO</v>
      </c>
      <c r="AO695" t="str">
        <f>IF(ISNUMBER(SEARCH("R", 'WetLitterbags placem_collection'!$Y36)),"YES","NO")</f>
        <v>YES</v>
      </c>
    </row>
    <row r="696" spans="1:41" ht="15" customHeight="1">
      <c r="A696" s="255" t="s">
        <v>2454</v>
      </c>
      <c r="B696" s="260">
        <f>'Dry_Litterbag Placem_Collection'!A37</f>
        <v>35</v>
      </c>
      <c r="C696" s="260" t="str">
        <f>'Dry_Litterbag Placem_Collection'!B37</f>
        <v>Makao</v>
      </c>
      <c r="D696" s="260" t="s">
        <v>2643</v>
      </c>
      <c r="E696" s="260" t="s">
        <v>20</v>
      </c>
      <c r="F696" s="260">
        <v>1</v>
      </c>
      <c r="G696" s="260" t="s">
        <v>3805</v>
      </c>
      <c r="H696" s="261" t="str">
        <f>'Dry_Litterbag Placem_Collection'!C37</f>
        <v>Dry_P1_T3</v>
      </c>
      <c r="I696" s="270" t="s">
        <v>3630</v>
      </c>
      <c r="J696" s="271" t="s">
        <v>298</v>
      </c>
      <c r="K696" s="221" t="str">
        <f>'WetLitterbags placem_collection'!Q37</f>
        <v>R69</v>
      </c>
      <c r="L696" s="223">
        <f>IFERROR(INDEX('Green_rooibos initial weight'!$C$5:$C$2000,MATCH(K696, 'Green_rooibos initial weight'!$A$5:$A$2000,0)),"")</f>
        <v>2.2149999999999999</v>
      </c>
      <c r="M696" s="223">
        <f>IFERROR(L696-(TBIcalc!$H$9+TBIcalc!$H$10),"")</f>
        <v>1.9651999999999998</v>
      </c>
      <c r="N696" s="385">
        <f>AVERAGE(Ashed_controlls!$K$2:$K$11)</f>
        <v>5.5147656768714146</v>
      </c>
      <c r="O696" s="223">
        <f t="shared" si="51"/>
        <v>1.8568238249181228</v>
      </c>
      <c r="P696" s="223">
        <f>IFERROR(INDEX('Both teabags AfterWet'!$C$3:$C$840,MATCH(K696,'Both teabags AfterWet'!$A$3:$A$840,0)),"")</f>
        <v>1.498</v>
      </c>
      <c r="Q696" s="223">
        <f>IFERROR(IF(P696&gt;0,P696-(TBIcalc!$H$9),""),"")</f>
        <v>1.3473999999999999</v>
      </c>
      <c r="R696" s="223">
        <f>IFERROR(INDEX('Ashed teabags wet'!$K$2:$K$2000,MATCH(K696,'Ashed teabags wet'!$A$2:$A$2000,0)),"")</f>
        <v>7.3362875430821557</v>
      </c>
      <c r="S696" s="223">
        <f t="shared" si="52"/>
        <v>1.2485508616445109</v>
      </c>
      <c r="T696" s="224">
        <f>'WetLitterbags placem_collection'!E37</f>
        <v>42765</v>
      </c>
      <c r="U696" s="224">
        <f>IF('WetLitterbags placem_collection'!G37="","",'WetLitterbags placem_collection'!G37)</f>
        <v>42820</v>
      </c>
      <c r="V696" s="225">
        <f t="shared" si="50"/>
        <v>55</v>
      </c>
      <c r="W696" s="223">
        <f t="shared" si="53"/>
        <v>0.6177999999999999</v>
      </c>
      <c r="X696" s="223">
        <f t="shared" si="54"/>
        <v>0.60827296327361191</v>
      </c>
      <c r="Y696">
        <f>IFERROR(INDEX(Rainfall_Wet!$O$2:$O$217,MATCH(B696, Rainfall_Wet!$A$2:$A$217,0)),"")</f>
        <v>228.324359195</v>
      </c>
      <c r="Z696" s="228">
        <v>23.96</v>
      </c>
      <c r="AA696" s="228">
        <v>0.91999999999999804</v>
      </c>
      <c r="AB696" s="228">
        <v>75.12</v>
      </c>
      <c r="AC696" s="229" t="s">
        <v>2654</v>
      </c>
      <c r="AD696" s="228">
        <v>1.2493839329719072</v>
      </c>
      <c r="AE696">
        <f>IF('WetLitterbags placem_collection'!AB37="","",'WetLitterbags placem_collection'!AB37)</f>
        <v>0.7</v>
      </c>
      <c r="AF696">
        <f>IF('WetLitterbags placem_collection'!Z37="","",'WetLitterbags placem_collection'!Z37)</f>
        <v>10.6</v>
      </c>
      <c r="AG696" s="243" t="str">
        <f>IF('WetLitterbags placem_collection'!AA37="","",'WetLitterbags placem_collection'!AA37)</f>
        <v>G</v>
      </c>
      <c r="AH696">
        <f>IF('WetLitterbags placem_collection'!AC37="","",'WetLitterbags placem_collection'!AC37)</f>
        <v>0</v>
      </c>
      <c r="AI696">
        <f>AVERAGE('WetLitterbags placem_collection'!S37,'WetLitterbags placem_collection'!U37)</f>
        <v>10.9</v>
      </c>
      <c r="AJ696">
        <f>AVERAGE('WetLitterbags placem_collection'!R37,'WetLitterbags placem_collection'!T37)</f>
        <v>24.45</v>
      </c>
      <c r="AK696">
        <f>INDEX(Coordinates!$B$2:$B$197,MATCH(H696,Coordinates!$J$2:$J$197,0))</f>
        <v>-3.409177009</v>
      </c>
      <c r="AL696">
        <f>INDEX(Coordinates!$C$2:$C$197,MATCH(H696,Coordinates!$J$2:$J$197,0))</f>
        <v>34.852818990000003</v>
      </c>
      <c r="AM696" t="str">
        <f>IF(ISNUMBER(SEARCH("C", 'WetLitterbags placem_collection'!$Y37)),"YES","NO")</f>
        <v>NO</v>
      </c>
      <c r="AN696" t="str">
        <f>IF(ISNUMBER(SEARCH("H", 'WetLitterbags placem_collection'!$Y37)),"YES","NO")</f>
        <v>NO</v>
      </c>
      <c r="AO696" t="str">
        <f>IF(ISNUMBER(SEARCH("R", 'WetLitterbags placem_collection'!$Y37)),"YES","NO")</f>
        <v>YES</v>
      </c>
    </row>
    <row r="697" spans="1:41" ht="15" customHeight="1">
      <c r="A697" s="255" t="s">
        <v>2454</v>
      </c>
      <c r="B697" s="260">
        <f>'Dry_Litterbag Placem_Collection'!A38</f>
        <v>36</v>
      </c>
      <c r="C697" s="260" t="str">
        <f>'Dry_Litterbag Placem_Collection'!B38</f>
        <v>Makao</v>
      </c>
      <c r="D697" s="260" t="s">
        <v>2643</v>
      </c>
      <c r="E697" s="260" t="s">
        <v>20</v>
      </c>
      <c r="F697" s="260">
        <v>1</v>
      </c>
      <c r="G697" s="260" t="s">
        <v>3805</v>
      </c>
      <c r="H697" s="261" t="str">
        <f>'Dry_Litterbag Placem_Collection'!C38</f>
        <v>Dry_P1_T4</v>
      </c>
      <c r="I697" s="270" t="s">
        <v>3630</v>
      </c>
      <c r="J697" s="271" t="s">
        <v>298</v>
      </c>
      <c r="K697" s="221" t="str">
        <f>'WetLitterbags placem_collection'!Q38</f>
        <v>R97</v>
      </c>
      <c r="L697" s="223">
        <f>IFERROR(INDEX('Green_rooibos initial weight'!$C$5:$C$2000,MATCH(K697, 'Green_rooibos initial weight'!$A$5:$A$2000,0)),"")</f>
        <v>2.2959999999999998</v>
      </c>
      <c r="M697" s="223">
        <f>IFERROR(L697-(TBIcalc!$H$9+TBIcalc!$H$10),"")</f>
        <v>2.0461999999999998</v>
      </c>
      <c r="N697" s="385">
        <f>AVERAGE(Ashed_controlls!$K$2:$K$11)</f>
        <v>5.5147656768714146</v>
      </c>
      <c r="O697" s="223">
        <f t="shared" si="51"/>
        <v>1.9333568647198569</v>
      </c>
      <c r="P697" s="223" t="str">
        <f>IFERROR(INDEX('Both teabags AfterWet'!$C$3:$C$840,MATCH(K697,'Both teabags AfterWet'!$A$3:$A$840,0)),"")</f>
        <v/>
      </c>
      <c r="Q697" s="223" t="str">
        <f>IFERROR(IF(P697&gt;0,P697-(TBIcalc!$H$9),""),"")</f>
        <v/>
      </c>
      <c r="R697" s="223">
        <f>IFERROR(INDEX('Ashed teabags wet'!$K$2:$K$2000,MATCH(K697,'Ashed teabags wet'!$A$2:$A$2000,0)),"")</f>
        <v>2.0873786407763748</v>
      </c>
      <c r="S697" s="223" t="str">
        <f t="shared" si="52"/>
        <v/>
      </c>
      <c r="T697" s="224">
        <f>'WetLitterbags placem_collection'!E38</f>
        <v>42765</v>
      </c>
      <c r="U697" s="224">
        <f>IF('WetLitterbags placem_collection'!G38="","",'WetLitterbags placem_collection'!G38)</f>
        <v>42820</v>
      </c>
      <c r="V697" s="225">
        <f t="shared" si="50"/>
        <v>55</v>
      </c>
      <c r="W697" s="223" t="str">
        <f t="shared" si="53"/>
        <v/>
      </c>
      <c r="X697" s="223" t="str">
        <f t="shared" si="54"/>
        <v/>
      </c>
      <c r="Y697">
        <f>IFERROR(INDEX(Rainfall_Wet!$O$2:$O$217,MATCH(B697, Rainfall_Wet!$A$2:$A$217,0)),"")</f>
        <v>228.324359195</v>
      </c>
      <c r="Z697" s="228">
        <v>23.96</v>
      </c>
      <c r="AA697" s="228">
        <v>0.91999999999999804</v>
      </c>
      <c r="AB697" s="228">
        <v>75.12</v>
      </c>
      <c r="AC697" s="229" t="s">
        <v>2654</v>
      </c>
      <c r="AD697" s="228">
        <v>1.2493839329719072</v>
      </c>
      <c r="AE697">
        <f>IF('WetLitterbags placem_collection'!AB38="","",'WetLitterbags placem_collection'!AB38)</f>
        <v>3.3</v>
      </c>
      <c r="AF697">
        <f>IF('WetLitterbags placem_collection'!Z38="","",'WetLitterbags placem_collection'!Z38)</f>
        <v>4.9000000000000004</v>
      </c>
      <c r="AG697" s="243" t="str">
        <f>IF('WetLitterbags placem_collection'!AA38="","",'WetLitterbags placem_collection'!AA38)</f>
        <v>G</v>
      </c>
      <c r="AH697">
        <f>IF('WetLitterbags placem_collection'!AC38="","",'WetLitterbags placem_collection'!AC38)</f>
        <v>1</v>
      </c>
      <c r="AI697">
        <f>AVERAGE('WetLitterbags placem_collection'!S38,'WetLitterbags placem_collection'!U38)</f>
        <v>14.1</v>
      </c>
      <c r="AJ697">
        <f>AVERAGE('WetLitterbags placem_collection'!R38,'WetLitterbags placem_collection'!T38)</f>
        <v>24.75</v>
      </c>
      <c r="AK697">
        <f>INDEX(Coordinates!$B$2:$B$197,MATCH(H697,Coordinates!$J$2:$J$197,0))</f>
        <v>-3.40917198</v>
      </c>
      <c r="AL697">
        <f>INDEX(Coordinates!$C$2:$C$197,MATCH(H697,Coordinates!$J$2:$J$197,0))</f>
        <v>34.852960979999999</v>
      </c>
      <c r="AM697" t="str">
        <f>IF(ISNUMBER(SEARCH("C", 'WetLitterbags placem_collection'!$Y38)),"YES","NO")</f>
        <v>NO</v>
      </c>
      <c r="AN697" t="str">
        <f>IF(ISNUMBER(SEARCH("H", 'WetLitterbags placem_collection'!$Y38)),"YES","NO")</f>
        <v>NO</v>
      </c>
      <c r="AO697" t="str">
        <f>IF(ISNUMBER(SEARCH("R", 'WetLitterbags placem_collection'!$Y38)),"YES","NO")</f>
        <v>YES</v>
      </c>
    </row>
    <row r="698" spans="1:41" ht="15" customHeight="1">
      <c r="A698" s="255" t="s">
        <v>2454</v>
      </c>
      <c r="B698" s="260">
        <f>'Dry_Litterbag Placem_Collection'!A39</f>
        <v>37</v>
      </c>
      <c r="C698" s="260" t="str">
        <f>'Dry_Litterbag Placem_Collection'!B39</f>
        <v>Makao</v>
      </c>
      <c r="D698" s="260" t="s">
        <v>2643</v>
      </c>
      <c r="E698" s="260" t="s">
        <v>20</v>
      </c>
      <c r="F698" s="260">
        <v>1</v>
      </c>
      <c r="G698" s="260" t="s">
        <v>3805</v>
      </c>
      <c r="H698" s="261" t="str">
        <f>'Dry_Litterbag Placem_Collection'!C39</f>
        <v>Dry_P1_T5</v>
      </c>
      <c r="I698" s="270" t="s">
        <v>3630</v>
      </c>
      <c r="J698" s="271" t="s">
        <v>298</v>
      </c>
      <c r="K698" s="221" t="str">
        <f>'WetLitterbags placem_collection'!Q39</f>
        <v>R89</v>
      </c>
      <c r="L698" s="223">
        <f>IFERROR(INDEX('Green_rooibos initial weight'!$C$5:$C$2000,MATCH(K698, 'Green_rooibos initial weight'!$A$5:$A$2000,0)),"")</f>
        <v>2.1949999999999998</v>
      </c>
      <c r="M698" s="223">
        <f>IFERROR(L698-(TBIcalc!$H$9+TBIcalc!$H$10),"")</f>
        <v>1.9451999999999998</v>
      </c>
      <c r="N698" s="385">
        <f>AVERAGE(Ashed_controlls!$K$2:$K$11)</f>
        <v>5.5147656768714146</v>
      </c>
      <c r="O698" s="223">
        <f t="shared" si="51"/>
        <v>1.8379267780534971</v>
      </c>
      <c r="P698" s="223">
        <f>IFERROR(INDEX('Both teabags AfterWet'!$C$3:$C$840,MATCH(K698,'Both teabags AfterWet'!$A$3:$A$840,0)),"")</f>
        <v>1.425</v>
      </c>
      <c r="Q698" s="223">
        <f>IFERROR(IF(P698&gt;0,P698-(TBIcalc!$H$9),""),"")</f>
        <v>1.2744</v>
      </c>
      <c r="R698" s="223">
        <f>IFERROR(INDEX('Ashed teabags wet'!$K$2:$K$2000,MATCH(K698,'Ashed teabags wet'!$A$2:$A$2000,0)),"")</f>
        <v>8.2721488007830519</v>
      </c>
      <c r="S698" s="223">
        <f t="shared" si="52"/>
        <v>1.1689797356828207</v>
      </c>
      <c r="T698" s="224">
        <f>'WetLitterbags placem_collection'!E39</f>
        <v>42765</v>
      </c>
      <c r="U698" s="224">
        <f>IF('WetLitterbags placem_collection'!G39="","",'WetLitterbags placem_collection'!G39)</f>
        <v>42820</v>
      </c>
      <c r="V698" s="225">
        <f t="shared" si="50"/>
        <v>55</v>
      </c>
      <c r="W698" s="223">
        <f t="shared" si="53"/>
        <v>0.67079999999999984</v>
      </c>
      <c r="X698" s="223">
        <f t="shared" si="54"/>
        <v>0.66894704237067648</v>
      </c>
      <c r="Y698">
        <f>IFERROR(INDEX(Rainfall_Wet!$O$2:$O$217,MATCH(B698, Rainfall_Wet!$A$2:$A$217,0)),"")</f>
        <v>228.324359195</v>
      </c>
      <c r="Z698" s="228">
        <v>23.96</v>
      </c>
      <c r="AA698" s="228">
        <v>0.91999999999999804</v>
      </c>
      <c r="AB698" s="228">
        <v>75.12</v>
      </c>
      <c r="AC698" s="229" t="s">
        <v>2654</v>
      </c>
      <c r="AD698" s="228">
        <v>1.2493839329719072</v>
      </c>
      <c r="AE698">
        <f>IF('WetLitterbags placem_collection'!AB39="","",'WetLitterbags placem_collection'!AB39)</f>
        <v>8.3000000000000007</v>
      </c>
      <c r="AF698">
        <f>IF('WetLitterbags placem_collection'!Z39="","",'WetLitterbags placem_collection'!Z39)</f>
        <v>27.8</v>
      </c>
      <c r="AG698" s="243" t="str">
        <f>IF('WetLitterbags placem_collection'!AA39="","",'WetLitterbags placem_collection'!AA39)</f>
        <v>G</v>
      </c>
      <c r="AH698">
        <f>IF('WetLitterbags placem_collection'!AC39="","",'WetLitterbags placem_collection'!AC39)</f>
        <v>0</v>
      </c>
      <c r="AI698">
        <f>AVERAGE('WetLitterbags placem_collection'!S39,'WetLitterbags placem_collection'!U39)</f>
        <v>19.299999999999997</v>
      </c>
      <c r="AJ698">
        <f>AVERAGE('WetLitterbags placem_collection'!R39,'WetLitterbags placem_collection'!T39)</f>
        <v>24.55</v>
      </c>
      <c r="AK698">
        <f>INDEX(Coordinates!$B$2:$B$197,MATCH(H698,Coordinates!$J$2:$J$197,0))</f>
        <v>-3.4090709779999999</v>
      </c>
      <c r="AL698">
        <f>INDEX(Coordinates!$C$2:$C$197,MATCH(H698,Coordinates!$J$2:$J$197,0))</f>
        <v>34.852712029999999</v>
      </c>
      <c r="AM698" t="str">
        <f>IF(ISNUMBER(SEARCH("C", 'WetLitterbags placem_collection'!$Y39)),"YES","NO")</f>
        <v>NO</v>
      </c>
      <c r="AN698" t="str">
        <f>IF(ISNUMBER(SEARCH("H", 'WetLitterbags placem_collection'!$Y39)),"YES","NO")</f>
        <v>NO</v>
      </c>
      <c r="AO698" t="str">
        <f>IF(ISNUMBER(SEARCH("R", 'WetLitterbags placem_collection'!$Y39)),"YES","NO")</f>
        <v>YES</v>
      </c>
    </row>
    <row r="699" spans="1:41" ht="15" customHeight="1">
      <c r="A699" s="255" t="s">
        <v>2454</v>
      </c>
      <c r="B699" s="260">
        <f>'Dry_Litterbag Placem_Collection'!A40</f>
        <v>38</v>
      </c>
      <c r="C699" s="260" t="str">
        <f>'Dry_Litterbag Placem_Collection'!B40</f>
        <v>Makao</v>
      </c>
      <c r="D699" s="260" t="s">
        <v>2643</v>
      </c>
      <c r="E699" s="260" t="s">
        <v>20</v>
      </c>
      <c r="F699" s="260">
        <v>1</v>
      </c>
      <c r="G699" s="260" t="s">
        <v>3805</v>
      </c>
      <c r="H699" s="261" t="str">
        <f>'Dry_Litterbag Placem_Collection'!C40</f>
        <v>Dry_P1_T6</v>
      </c>
      <c r="I699" s="270" t="s">
        <v>3630</v>
      </c>
      <c r="J699" s="271" t="s">
        <v>298</v>
      </c>
      <c r="K699" s="221" t="str">
        <f>'WetLitterbags placem_collection'!Q40</f>
        <v>R147</v>
      </c>
      <c r="L699" s="223">
        <f>IFERROR(INDEX('Green_rooibos initial weight'!$C$5:$C$2000,MATCH(K699, 'Green_rooibos initial weight'!$A$5:$A$2000,0)),"")</f>
        <v>2.1960000000000002</v>
      </c>
      <c r="M699" s="223">
        <f>IFERROR(L699-(TBIcalc!$H$9+TBIcalc!$H$10),"")</f>
        <v>1.9462000000000002</v>
      </c>
      <c r="N699" s="385">
        <f>AVERAGE(Ashed_controlls!$K$2:$K$11)</f>
        <v>5.5147656768714146</v>
      </c>
      <c r="O699" s="223">
        <f t="shared" si="51"/>
        <v>1.8388716303967287</v>
      </c>
      <c r="P699" s="223">
        <f>IFERROR(INDEX('Both teabags AfterWet'!$C$3:$C$840,MATCH(K699,'Both teabags AfterWet'!$A$3:$A$840,0)),"")</f>
        <v>1.381</v>
      </c>
      <c r="Q699" s="223">
        <f>IFERROR(IF(P699&gt;0,P699-(TBIcalc!$H$9),""),"")</f>
        <v>1.2303999999999999</v>
      </c>
      <c r="R699" s="223">
        <f>IFERROR(INDEX('Ashed teabags wet'!$K$2:$K$2000,MATCH(K699,'Ashed teabags wet'!$A$2:$A$2000,0)),"")</f>
        <v>6.8948891031825541</v>
      </c>
      <c r="S699" s="223">
        <f t="shared" si="52"/>
        <v>1.1455652844744417</v>
      </c>
      <c r="T699" s="224">
        <f>'WetLitterbags placem_collection'!E40</f>
        <v>42765</v>
      </c>
      <c r="U699" s="224">
        <f>IF('WetLitterbags placem_collection'!G40="","",'WetLitterbags placem_collection'!G40)</f>
        <v>42820</v>
      </c>
      <c r="V699" s="225">
        <f t="shared" si="50"/>
        <v>55</v>
      </c>
      <c r="W699" s="223">
        <f t="shared" si="53"/>
        <v>0.71580000000000021</v>
      </c>
      <c r="X699" s="223">
        <f t="shared" si="54"/>
        <v>0.69330634592228702</v>
      </c>
      <c r="Y699">
        <f>IFERROR(INDEX(Rainfall_Wet!$O$2:$O$217,MATCH(B699, Rainfall_Wet!$A$2:$A$217,0)),"")</f>
        <v>228.324359195</v>
      </c>
      <c r="Z699" s="228">
        <v>23.96</v>
      </c>
      <c r="AA699" s="228">
        <v>0.91999999999999804</v>
      </c>
      <c r="AB699" s="228">
        <v>75.12</v>
      </c>
      <c r="AC699" s="229" t="s">
        <v>2654</v>
      </c>
      <c r="AD699" s="228">
        <v>1.2493839329719072</v>
      </c>
      <c r="AE699">
        <f>IF('WetLitterbags placem_collection'!AB40="","",'WetLitterbags placem_collection'!AB40)</f>
        <v>2</v>
      </c>
      <c r="AF699">
        <f>IF('WetLitterbags placem_collection'!Z40="","",'WetLitterbags placem_collection'!Z40)</f>
        <v>20.399999999999999</v>
      </c>
      <c r="AG699" s="243" t="str">
        <f>IF('WetLitterbags placem_collection'!AA40="","",'WetLitterbags placem_collection'!AA40)</f>
        <v>O</v>
      </c>
      <c r="AH699">
        <f>IF('WetLitterbags placem_collection'!AC40="","",'WetLitterbags placem_collection'!AC40)</f>
        <v>0</v>
      </c>
      <c r="AI699">
        <f>AVERAGE('WetLitterbags placem_collection'!S40,'WetLitterbags placem_collection'!U40)</f>
        <v>20.9</v>
      </c>
      <c r="AJ699">
        <f>AVERAGE('WetLitterbags placem_collection'!R40,'WetLitterbags placem_collection'!T40)</f>
        <v>24.1</v>
      </c>
      <c r="AK699">
        <f>INDEX(Coordinates!$B$2:$B$197,MATCH(H699,Coordinates!$J$2:$J$197,0))</f>
        <v>-3.409280023</v>
      </c>
      <c r="AL699">
        <f>INDEX(Coordinates!$C$2:$C$197,MATCH(H699,Coordinates!$J$2:$J$197,0))</f>
        <v>34.852612960000002</v>
      </c>
      <c r="AM699" t="str">
        <f>IF(ISNUMBER(SEARCH("C", 'WetLitterbags placem_collection'!$Y40)),"YES","NO")</f>
        <v>NO</v>
      </c>
      <c r="AN699" t="str">
        <f>IF(ISNUMBER(SEARCH("H", 'WetLitterbags placem_collection'!$Y40)),"YES","NO")</f>
        <v>NO</v>
      </c>
      <c r="AO699" t="str">
        <f>IF(ISNUMBER(SEARCH("R", 'WetLitterbags placem_collection'!$Y40)),"YES","NO")</f>
        <v>NO</v>
      </c>
    </row>
    <row r="700" spans="1:41" ht="15" customHeight="1">
      <c r="A700" s="255" t="s">
        <v>2454</v>
      </c>
      <c r="B700" s="260">
        <f>'Dry_Litterbag Placem_Collection'!A41</f>
        <v>39</v>
      </c>
      <c r="C700" s="260" t="str">
        <f>'Dry_Litterbag Placem_Collection'!B41</f>
        <v>Makao</v>
      </c>
      <c r="D700" s="260" t="s">
        <v>2643</v>
      </c>
      <c r="E700" s="260" t="s">
        <v>20</v>
      </c>
      <c r="F700" s="260">
        <v>1</v>
      </c>
      <c r="G700" s="260" t="s">
        <v>3805</v>
      </c>
      <c r="H700" s="261" t="str">
        <f>'Dry_Litterbag Placem_Collection'!C41</f>
        <v>Dry_P1_T7</v>
      </c>
      <c r="I700" s="270" t="s">
        <v>3630</v>
      </c>
      <c r="J700" s="271" t="s">
        <v>298</v>
      </c>
      <c r="K700" s="221" t="str">
        <f>'WetLitterbags placem_collection'!Q41</f>
        <v>R65</v>
      </c>
      <c r="L700" s="223">
        <f>IFERROR(INDEX('Green_rooibos initial weight'!$C$5:$C$2000,MATCH(K700, 'Green_rooibos initial weight'!$A$5:$A$2000,0)),"")</f>
        <v>2.2559999999999998</v>
      </c>
      <c r="M700" s="223">
        <f>IFERROR(L700-(TBIcalc!$H$9+TBIcalc!$H$10),"")</f>
        <v>2.0061999999999998</v>
      </c>
      <c r="N700" s="385">
        <f>AVERAGE(Ashed_controlls!$K$2:$K$11)</f>
        <v>5.5147656768714146</v>
      </c>
      <c r="O700" s="223">
        <f t="shared" si="51"/>
        <v>1.8955627709906056</v>
      </c>
      <c r="P700" s="223">
        <f>IFERROR(INDEX('Both teabags AfterWet'!$C$3:$C$840,MATCH(K700,'Both teabags AfterWet'!$A$3:$A$840,0)),"")</f>
        <v>1.5185</v>
      </c>
      <c r="Q700" s="223">
        <f>IFERROR(IF(P700&gt;0,P700-(TBIcalc!$H$9),""),"")</f>
        <v>1.3678999999999999</v>
      </c>
      <c r="R700" s="223">
        <f>IFERROR(INDEX('Ashed teabags wet'!$K$2:$K$2000,MATCH(K700,'Ashed teabags wet'!$A$2:$A$2000,0)),"")</f>
        <v>3.3680039623575757</v>
      </c>
      <c r="S700" s="223">
        <f t="shared" si="52"/>
        <v>1.3218290737989107</v>
      </c>
      <c r="T700" s="224">
        <f>'WetLitterbags placem_collection'!E41</f>
        <v>42765</v>
      </c>
      <c r="U700" s="224">
        <f>IF('WetLitterbags placem_collection'!G41="","",'WetLitterbags placem_collection'!G41)</f>
        <v>42820</v>
      </c>
      <c r="V700" s="225">
        <f t="shared" si="50"/>
        <v>55</v>
      </c>
      <c r="W700" s="223">
        <f t="shared" si="53"/>
        <v>0.63829999999999987</v>
      </c>
      <c r="X700" s="223">
        <f t="shared" si="54"/>
        <v>0.57373369719169487</v>
      </c>
      <c r="Y700">
        <f>IFERROR(INDEX(Rainfall_Wet!$O$2:$O$217,MATCH(B700, Rainfall_Wet!$A$2:$A$217,0)),"")</f>
        <v>228.324359195</v>
      </c>
      <c r="Z700" s="228">
        <v>23.96</v>
      </c>
      <c r="AA700" s="228">
        <v>0.91999999999999804</v>
      </c>
      <c r="AB700" s="228">
        <v>75.12</v>
      </c>
      <c r="AC700" s="229" t="s">
        <v>2654</v>
      </c>
      <c r="AD700" s="228">
        <v>1.2493839329719072</v>
      </c>
      <c r="AE700">
        <f>IF('WetLitterbags placem_collection'!AB41="","",'WetLitterbags placem_collection'!AB41)</f>
        <v>2.4</v>
      </c>
      <c r="AF700">
        <f>IF('WetLitterbags placem_collection'!Z41="","",'WetLitterbags placem_collection'!Z41)</f>
        <v>18</v>
      </c>
      <c r="AG700" s="243" t="str">
        <f>IF('WetLitterbags placem_collection'!AA41="","",'WetLitterbags placem_collection'!AA41)</f>
        <v>G</v>
      </c>
      <c r="AH700">
        <f>IF('WetLitterbags placem_collection'!AC41="","",'WetLitterbags placem_collection'!AC41)</f>
        <v>1</v>
      </c>
      <c r="AI700">
        <f>AVERAGE('WetLitterbags placem_collection'!S41,'WetLitterbags placem_collection'!U41)</f>
        <v>26.9</v>
      </c>
      <c r="AJ700">
        <f>AVERAGE('WetLitterbags placem_collection'!R41,'WetLitterbags placem_collection'!T41)</f>
        <v>23.299999999999997</v>
      </c>
      <c r="AK700">
        <f>INDEX(Coordinates!$B$2:$B$197,MATCH(H700,Coordinates!$J$2:$J$197,0))</f>
        <v>-3.4093859700000002</v>
      </c>
      <c r="AL700">
        <f>INDEX(Coordinates!$C$2:$C$197,MATCH(H700,Coordinates!$J$2:$J$197,0))</f>
        <v>34.852855030000001</v>
      </c>
      <c r="AM700" t="str">
        <f>IF(ISNUMBER(SEARCH("C", 'WetLitterbags placem_collection'!$Y41)),"YES","NO")</f>
        <v>NO</v>
      </c>
      <c r="AN700" t="str">
        <f>IF(ISNUMBER(SEARCH("H", 'WetLitterbags placem_collection'!$Y41)),"YES","NO")</f>
        <v>NO</v>
      </c>
      <c r="AO700" t="str">
        <f>IF(ISNUMBER(SEARCH("R", 'WetLitterbags placem_collection'!$Y41)),"YES","NO")</f>
        <v>YES</v>
      </c>
    </row>
    <row r="701" spans="1:41" ht="15" customHeight="1">
      <c r="A701" s="255" t="s">
        <v>2454</v>
      </c>
      <c r="B701" s="260">
        <f>'Dry_Litterbag Placem_Collection'!A42</f>
        <v>40</v>
      </c>
      <c r="C701" s="260" t="str">
        <f>'Dry_Litterbag Placem_Collection'!B42</f>
        <v>Makao</v>
      </c>
      <c r="D701" s="260" t="s">
        <v>2643</v>
      </c>
      <c r="E701" s="260" t="s">
        <v>20</v>
      </c>
      <c r="F701" s="260">
        <v>1</v>
      </c>
      <c r="G701" s="260" t="s">
        <v>3805</v>
      </c>
      <c r="H701" s="261" t="str">
        <f>'Dry_Litterbag Placem_Collection'!C42</f>
        <v>Dry_P1_T8</v>
      </c>
      <c r="I701" s="270" t="s">
        <v>3630</v>
      </c>
      <c r="J701" s="271" t="s">
        <v>298</v>
      </c>
      <c r="K701" s="221" t="str">
        <f>'WetLitterbags placem_collection'!Q42</f>
        <v>R420</v>
      </c>
      <c r="L701" s="223">
        <f>IFERROR(INDEX('Green_rooibos initial weight'!$C$5:$C$2000,MATCH(K701, 'Green_rooibos initial weight'!$A$5:$A$2000,0)),"")</f>
        <v>2.2749999999999999</v>
      </c>
      <c r="M701" s="223">
        <f>IFERROR(L701-(TBIcalc!$H$9+TBIcalc!$H$10),"")</f>
        <v>2.0251999999999999</v>
      </c>
      <c r="N701" s="385">
        <f>AVERAGE(Ashed_controlls!$K$2:$K$11)</f>
        <v>5.5147656768714146</v>
      </c>
      <c r="O701" s="223">
        <f t="shared" si="51"/>
        <v>1.9135149655120001</v>
      </c>
      <c r="P701" s="223">
        <f>IFERROR(INDEX('Both teabags AfterWet'!$C$3:$C$840,MATCH(K701,'Both teabags AfterWet'!$A$3:$A$840,0)),"")</f>
        <v>1.66</v>
      </c>
      <c r="Q701" s="223">
        <f>IFERROR(IF(P701&gt;0,P701-(TBIcalc!$H$9),""),"")</f>
        <v>1.5093999999999999</v>
      </c>
      <c r="R701" s="223">
        <f>IFERROR(INDEX('Ashed teabags wet'!$K$2:$K$2000,MATCH(K701,'Ashed teabags wet'!$A$2:$A$2000,0)),"")</f>
        <v>4.7856430707881614</v>
      </c>
      <c r="S701" s="223">
        <f t="shared" si="52"/>
        <v>1.4371655034895234</v>
      </c>
      <c r="T701" s="224">
        <f>'WetLitterbags placem_collection'!E42</f>
        <v>42765</v>
      </c>
      <c r="U701" s="224">
        <f>IF('WetLitterbags placem_collection'!G42="","",'WetLitterbags placem_collection'!G42)</f>
        <v>42820</v>
      </c>
      <c r="V701" s="225">
        <f t="shared" si="50"/>
        <v>55</v>
      </c>
      <c r="W701" s="223">
        <f t="shared" si="53"/>
        <v>0.51580000000000004</v>
      </c>
      <c r="X701" s="223">
        <f t="shared" si="54"/>
        <v>0.47634946202247663</v>
      </c>
      <c r="Y701">
        <f>IFERROR(INDEX(Rainfall_Wet!$O$2:$O$217,MATCH(B701, Rainfall_Wet!$A$2:$A$217,0)),"")</f>
        <v>228.324359195</v>
      </c>
      <c r="Z701" s="228">
        <v>23.96</v>
      </c>
      <c r="AA701" s="228">
        <v>0.91999999999999804</v>
      </c>
      <c r="AB701" s="228">
        <v>75.12</v>
      </c>
      <c r="AC701" s="229" t="s">
        <v>2654</v>
      </c>
      <c r="AD701" s="228">
        <v>1.2493839329719072</v>
      </c>
      <c r="AE701">
        <f>IF('WetLitterbags placem_collection'!AB42="","",'WetLitterbags placem_collection'!AB42)</f>
        <v>8.6999999999999993</v>
      </c>
      <c r="AF701">
        <f>IF('WetLitterbags placem_collection'!Z42="","",'WetLitterbags placem_collection'!Z42)</f>
        <v>19.3</v>
      </c>
      <c r="AG701" s="243" t="str">
        <f>IF('WetLitterbags placem_collection'!AA42="","",'WetLitterbags placem_collection'!AA42)</f>
        <v>G</v>
      </c>
      <c r="AH701">
        <f>IF('WetLitterbags placem_collection'!AC42="","",'WetLitterbags placem_collection'!AC42)</f>
        <v>0</v>
      </c>
      <c r="AI701">
        <f>AVERAGE('WetLitterbags placem_collection'!S42,'WetLitterbags placem_collection'!U42)</f>
        <v>31.9</v>
      </c>
      <c r="AJ701">
        <f>AVERAGE('WetLitterbags placem_collection'!R42,'WetLitterbags placem_collection'!T42)</f>
        <v>23.9</v>
      </c>
      <c r="AK701">
        <f>INDEX(Coordinates!$B$2:$B$197,MATCH(H701,Coordinates!$J$2:$J$197,0))</f>
        <v>-3.4091539590000002</v>
      </c>
      <c r="AL701">
        <f>INDEX(Coordinates!$C$2:$C$197,MATCH(H701,Coordinates!$J$2:$J$197,0))</f>
        <v>34.852755029999997</v>
      </c>
      <c r="AM701" t="str">
        <f>IF(ISNUMBER(SEARCH("C", 'WetLitterbags placem_collection'!$Y42)),"YES","NO")</f>
        <v>NO</v>
      </c>
      <c r="AN701" t="str">
        <f>IF(ISNUMBER(SEARCH("H", 'WetLitterbags placem_collection'!$Y42)),"YES","NO")</f>
        <v>NO</v>
      </c>
      <c r="AO701" t="str">
        <f>IF(ISNUMBER(SEARCH("R", 'WetLitterbags placem_collection'!$Y42)),"YES","NO")</f>
        <v>NO</v>
      </c>
    </row>
    <row r="702" spans="1:41" ht="15" customHeight="1">
      <c r="A702" s="255" t="s">
        <v>2454</v>
      </c>
      <c r="B702" s="260">
        <f>'Dry_Litterbag Placem_Collection'!A43</f>
        <v>41</v>
      </c>
      <c r="C702" s="260" t="str">
        <f>'Dry_Litterbag Placem_Collection'!B43</f>
        <v>Makao</v>
      </c>
      <c r="D702" s="260" t="s">
        <v>2643</v>
      </c>
      <c r="E702" s="260" t="s">
        <v>20</v>
      </c>
      <c r="F702" s="260">
        <v>2</v>
      </c>
      <c r="G702" s="260" t="s">
        <v>3807</v>
      </c>
      <c r="H702" s="261" t="str">
        <f>'Dry_Litterbag Placem_Collection'!C43</f>
        <v>Dry_P2_T1</v>
      </c>
      <c r="I702" s="270" t="s">
        <v>3630</v>
      </c>
      <c r="J702" s="271" t="s">
        <v>298</v>
      </c>
      <c r="K702" s="221" t="str">
        <f>'WetLitterbags placem_collection'!Q43</f>
        <v>R77</v>
      </c>
      <c r="L702" s="223">
        <f>IFERROR(INDEX('Green_rooibos initial weight'!$C$5:$C$2000,MATCH(K702, 'Green_rooibos initial weight'!$A$5:$A$2000,0)),"")</f>
        <v>2.1749999999999998</v>
      </c>
      <c r="M702" s="223">
        <f>IFERROR(L702-(TBIcalc!$H$9+TBIcalc!$H$10),"")</f>
        <v>1.9251999999999998</v>
      </c>
      <c r="N702" s="385">
        <f>AVERAGE(Ashed_controlls!$K$2:$K$11)</f>
        <v>5.5147656768714146</v>
      </c>
      <c r="O702" s="223">
        <f t="shared" si="51"/>
        <v>1.8190297311888712</v>
      </c>
      <c r="P702" s="223">
        <f>IFERROR(INDEX('Both teabags AfterWet'!$C$3:$C$840,MATCH(K702,'Both teabags AfterWet'!$A$3:$A$840,0)),"")</f>
        <v>1.5429999999999999</v>
      </c>
      <c r="Q702" s="223">
        <f>IFERROR(IF(P702&gt;0,P702-(TBIcalc!$H$9),""),"")</f>
        <v>1.3923999999999999</v>
      </c>
      <c r="R702" s="223">
        <f>IFERROR(INDEX('Ashed teabags wet'!$K$2:$K$2000,MATCH(K702,'Ashed teabags wet'!$A$2:$A$2000,0)),"")</f>
        <v>6.0530265132569756</v>
      </c>
      <c r="S702" s="223">
        <f t="shared" si="52"/>
        <v>1.3081176588294097</v>
      </c>
      <c r="T702" s="224">
        <f>'WetLitterbags placem_collection'!E43</f>
        <v>42766</v>
      </c>
      <c r="U702" s="224">
        <f>IF('WetLitterbags placem_collection'!G43="","",'WetLitterbags placem_collection'!G43)</f>
        <v>42820</v>
      </c>
      <c r="V702" s="225">
        <f t="shared" si="50"/>
        <v>54</v>
      </c>
      <c r="W702" s="223">
        <f t="shared" si="53"/>
        <v>0.53279999999999994</v>
      </c>
      <c r="X702" s="223">
        <f t="shared" si="54"/>
        <v>0.51091207235946157</v>
      </c>
      <c r="Y702">
        <f>IFERROR(INDEX(Rainfall_Wet!$O$2:$O$217,MATCH(B702, Rainfall_Wet!$A$2:$A$217,0)),"")</f>
        <v>214.262898705</v>
      </c>
      <c r="Z702" s="228">
        <v>19.96</v>
      </c>
      <c r="AA702" s="228">
        <v>4.9199999999999982</v>
      </c>
      <c r="AB702" s="228">
        <v>75.12</v>
      </c>
      <c r="AC702" s="229" t="s">
        <v>2655</v>
      </c>
      <c r="AD702" s="228">
        <v>1.641498275012321</v>
      </c>
      <c r="AE702">
        <f>IF('WetLitterbags placem_collection'!AB43="","",'WetLitterbags placem_collection'!AB43)</f>
        <v>4</v>
      </c>
      <c r="AF702">
        <f>IF('WetLitterbags placem_collection'!Z43="","",'WetLitterbags placem_collection'!Z43)</f>
        <v>19.100000000000001</v>
      </c>
      <c r="AG702" s="243" t="str">
        <f>IF('WetLitterbags placem_collection'!AA43="","",'WetLitterbags placem_collection'!AA43)</f>
        <v>G</v>
      </c>
      <c r="AH702">
        <f>IF('WetLitterbags placem_collection'!AC43="","",'WetLitterbags placem_collection'!AC43)</f>
        <v>0</v>
      </c>
      <c r="AI702">
        <f>AVERAGE('WetLitterbags placem_collection'!S43,'WetLitterbags placem_collection'!U43)</f>
        <v>21.9</v>
      </c>
      <c r="AJ702">
        <f>AVERAGE('WetLitterbags placem_collection'!R43,'WetLitterbags placem_collection'!T43)</f>
        <v>24.5</v>
      </c>
      <c r="AK702">
        <f>INDEX(Coordinates!$B$2:$B$197,MATCH(H702,Coordinates!$J$2:$J$197,0))</f>
        <v>-3.4083420040000001</v>
      </c>
      <c r="AL702">
        <f>INDEX(Coordinates!$C$2:$C$197,MATCH(H702,Coordinates!$J$2:$J$197,0))</f>
        <v>34.850283040000001</v>
      </c>
      <c r="AM702" t="str">
        <f>IF(ISNUMBER(SEARCH("C", 'WetLitterbags placem_collection'!$Y43)),"YES","NO")</f>
        <v>NO</v>
      </c>
      <c r="AN702" t="str">
        <f>IF(ISNUMBER(SEARCH("H", 'WetLitterbags placem_collection'!$Y43)),"YES","NO")</f>
        <v>NO</v>
      </c>
      <c r="AO702" t="str">
        <f>IF(ISNUMBER(SEARCH("R", 'WetLitterbags placem_collection'!$Y43)),"YES","NO")</f>
        <v>YES</v>
      </c>
    </row>
    <row r="703" spans="1:41" ht="15" customHeight="1">
      <c r="A703" s="255" t="s">
        <v>2454</v>
      </c>
      <c r="B703" s="260">
        <f>'Dry_Litterbag Placem_Collection'!A44</f>
        <v>42</v>
      </c>
      <c r="C703" s="260" t="str">
        <f>'Dry_Litterbag Placem_Collection'!B44</f>
        <v>Makao</v>
      </c>
      <c r="D703" s="260" t="s">
        <v>2643</v>
      </c>
      <c r="E703" s="260" t="s">
        <v>20</v>
      </c>
      <c r="F703" s="260">
        <v>2</v>
      </c>
      <c r="G703" s="260" t="s">
        <v>3807</v>
      </c>
      <c r="H703" s="261" t="str">
        <f>'Dry_Litterbag Placem_Collection'!C44</f>
        <v>Dry_P2_T2</v>
      </c>
      <c r="I703" s="270" t="s">
        <v>3630</v>
      </c>
      <c r="J703" s="271" t="s">
        <v>298</v>
      </c>
      <c r="K703" s="221" t="str">
        <f>'WetLitterbags placem_collection'!Q44</f>
        <v>R81</v>
      </c>
      <c r="L703" s="223">
        <f>IFERROR(INDEX('Green_rooibos initial weight'!$C$5:$C$2000,MATCH(K703, 'Green_rooibos initial weight'!$A$5:$A$2000,0)),"")</f>
        <v>2.004</v>
      </c>
      <c r="M703" s="223">
        <f>IFERROR(L703-(TBIcalc!$H$9+TBIcalc!$H$10),"")</f>
        <v>1.7542</v>
      </c>
      <c r="N703" s="385">
        <f>AVERAGE(Ashed_controlls!$K$2:$K$11)</f>
        <v>5.5147656768714146</v>
      </c>
      <c r="O703" s="223">
        <f t="shared" si="51"/>
        <v>1.6574599804963217</v>
      </c>
      <c r="P703" s="223">
        <f>IFERROR(INDEX('Both teabags AfterWet'!$C$3:$C$840,MATCH(K703,'Both teabags AfterWet'!$A$3:$A$840,0)),"")</f>
        <v>1.528</v>
      </c>
      <c r="Q703" s="223">
        <f>IFERROR(IF(P703&gt;0,P703-(TBIcalc!$H$9),""),"")</f>
        <v>1.3774</v>
      </c>
      <c r="R703" s="223">
        <f>IFERROR(INDEX('Ashed teabags wet'!$K$2:$K$2000,MATCH(K703,'Ashed teabags wet'!$A$2:$A$2000,0)),"")</f>
        <v>2.5036109773709327</v>
      </c>
      <c r="S703" s="223">
        <f t="shared" si="52"/>
        <v>1.3429152623976928</v>
      </c>
      <c r="T703" s="224">
        <f>'WetLitterbags placem_collection'!E44</f>
        <v>42766</v>
      </c>
      <c r="U703" s="224">
        <f>IF('WetLitterbags placem_collection'!G44="","",'WetLitterbags placem_collection'!G44)</f>
        <v>42820</v>
      </c>
      <c r="V703" s="225">
        <f t="shared" si="50"/>
        <v>54</v>
      </c>
      <c r="W703" s="223">
        <f t="shared" si="53"/>
        <v>0.37680000000000002</v>
      </c>
      <c r="X703" s="223">
        <f t="shared" si="54"/>
        <v>0.31454471809862894</v>
      </c>
      <c r="Y703">
        <f>IFERROR(INDEX(Rainfall_Wet!$O$2:$O$217,MATCH(B703, Rainfall_Wet!$A$2:$A$217,0)),"")</f>
        <v>214.262898705</v>
      </c>
      <c r="Z703" s="228">
        <v>19.96</v>
      </c>
      <c r="AA703" s="228">
        <v>4.9199999999999982</v>
      </c>
      <c r="AB703" s="228">
        <v>75.12</v>
      </c>
      <c r="AC703" s="229" t="s">
        <v>2655</v>
      </c>
      <c r="AD703" s="228">
        <v>1.641498275012321</v>
      </c>
      <c r="AE703">
        <f>IF('WetLitterbags placem_collection'!AB44="","",'WetLitterbags placem_collection'!AB44)</f>
        <v>5.9</v>
      </c>
      <c r="AF703">
        <f>IF('WetLitterbags placem_collection'!Z44="","",'WetLitterbags placem_collection'!Z44)</f>
        <v>12.7</v>
      </c>
      <c r="AG703" s="243" t="str">
        <f>IF('WetLitterbags placem_collection'!AA44="","",'WetLitterbags placem_collection'!AA44)</f>
        <v>G</v>
      </c>
      <c r="AH703">
        <f>IF('WetLitterbags placem_collection'!AC44="","",'WetLitterbags placem_collection'!AC44)</f>
        <v>0</v>
      </c>
      <c r="AI703">
        <f>AVERAGE('WetLitterbags placem_collection'!S44,'WetLitterbags placem_collection'!U44)</f>
        <v>19</v>
      </c>
      <c r="AJ703">
        <f>AVERAGE('WetLitterbags placem_collection'!R44,'WetLitterbags placem_collection'!T44)</f>
        <v>22.950000000000003</v>
      </c>
      <c r="AK703">
        <f>INDEX(Coordinates!$B$2:$B$197,MATCH(H703,Coordinates!$J$2:$J$197,0))</f>
        <v>-3.4084079690000002</v>
      </c>
      <c r="AL703">
        <f>INDEX(Coordinates!$C$2:$C$197,MATCH(H703,Coordinates!$J$2:$J$197,0))</f>
        <v>34.850295029999998</v>
      </c>
      <c r="AM703" t="str">
        <f>IF(ISNUMBER(SEARCH("C", 'WetLitterbags placem_collection'!$Y44)),"YES","NO")</f>
        <v>NO</v>
      </c>
      <c r="AN703" t="str">
        <f>IF(ISNUMBER(SEARCH("H", 'WetLitterbags placem_collection'!$Y44)),"YES","NO")</f>
        <v>NO</v>
      </c>
      <c r="AO703" t="str">
        <f>IF(ISNUMBER(SEARCH("R", 'WetLitterbags placem_collection'!$Y44)),"YES","NO")</f>
        <v>NO</v>
      </c>
    </row>
    <row r="704" spans="1:41" ht="15" customHeight="1">
      <c r="A704" s="255" t="s">
        <v>2454</v>
      </c>
      <c r="B704" s="260">
        <f>'Dry_Litterbag Placem_Collection'!A45</f>
        <v>43</v>
      </c>
      <c r="C704" s="260" t="str">
        <f>'Dry_Litterbag Placem_Collection'!B45</f>
        <v>Makao</v>
      </c>
      <c r="D704" s="260" t="s">
        <v>2643</v>
      </c>
      <c r="E704" s="260" t="s">
        <v>20</v>
      </c>
      <c r="F704" s="260">
        <v>2</v>
      </c>
      <c r="G704" s="260" t="s">
        <v>3807</v>
      </c>
      <c r="H704" s="261" t="str">
        <f>'Dry_Litterbag Placem_Collection'!C45</f>
        <v>Dry_P2_T3</v>
      </c>
      <c r="I704" s="270" t="s">
        <v>3630</v>
      </c>
      <c r="J704" s="271" t="s">
        <v>298</v>
      </c>
      <c r="K704" s="221" t="str">
        <f>'WetLitterbags placem_collection'!Q45</f>
        <v>R117</v>
      </c>
      <c r="L704" s="223">
        <f>IFERROR(INDEX('Green_rooibos initial weight'!$C$5:$C$2000,MATCH(K704, 'Green_rooibos initial weight'!$A$5:$A$2000,0)),"")</f>
        <v>2.2029999999999998</v>
      </c>
      <c r="M704" s="223">
        <f>IFERROR(L704-(TBIcalc!$H$9+TBIcalc!$H$10),"")</f>
        <v>1.9531999999999998</v>
      </c>
      <c r="N704" s="385">
        <f>AVERAGE(Ashed_controlls!$K$2:$K$11)</f>
        <v>5.5147656768714146</v>
      </c>
      <c r="O704" s="223">
        <f t="shared" si="51"/>
        <v>1.8454855967993473</v>
      </c>
      <c r="P704" s="223">
        <f>IFERROR(INDEX('Both teabags AfterWet'!$C$3:$C$840,MATCH(K704,'Both teabags AfterWet'!$A$3:$A$840,0)),"")</f>
        <v>1.6155999999999999</v>
      </c>
      <c r="Q704" s="223">
        <f>IFERROR(IF(P704&gt;0,P704-(TBIcalc!$H$9),""),"")</f>
        <v>1.4649999999999999</v>
      </c>
      <c r="R704" s="223">
        <f>IFERROR(INDEX('Ashed teabags wet'!$K$2:$K$2000,MATCH(K704,'Ashed teabags wet'!$A$2:$A$2000,0)),"")</f>
        <v>1.8435475834578603</v>
      </c>
      <c r="S704" s="223">
        <f t="shared" si="52"/>
        <v>1.4379920279023422</v>
      </c>
      <c r="T704" s="224">
        <f>'WetLitterbags placem_collection'!E45</f>
        <v>42766</v>
      </c>
      <c r="U704" s="224">
        <f>IF('WetLitterbags placem_collection'!G45="","",'WetLitterbags placem_collection'!G45)</f>
        <v>42820</v>
      </c>
      <c r="V704" s="225">
        <f t="shared" si="50"/>
        <v>54</v>
      </c>
      <c r="W704" s="223">
        <f t="shared" si="53"/>
        <v>0.48819999999999997</v>
      </c>
      <c r="X704" s="223">
        <f t="shared" si="54"/>
        <v>0.40749356889700517</v>
      </c>
      <c r="Y704">
        <f>IFERROR(INDEX(Rainfall_Wet!$O$2:$O$217,MATCH(B704, Rainfall_Wet!$A$2:$A$217,0)),"")</f>
        <v>214.262898705</v>
      </c>
      <c r="Z704" s="228">
        <v>19.96</v>
      </c>
      <c r="AA704" s="228">
        <v>4.9199999999999982</v>
      </c>
      <c r="AB704" s="228">
        <v>75.12</v>
      </c>
      <c r="AC704" s="229" t="s">
        <v>2655</v>
      </c>
      <c r="AD704" s="228">
        <v>1.641498275012321</v>
      </c>
      <c r="AE704">
        <f>IF('WetLitterbags placem_collection'!AB45="","",'WetLitterbags placem_collection'!AB45)</f>
        <v>5</v>
      </c>
      <c r="AF704">
        <f>IF('WetLitterbags placem_collection'!Z45="","",'WetLitterbags placem_collection'!Z45)</f>
        <v>26.3</v>
      </c>
      <c r="AG704" s="243" t="str">
        <f>IF('WetLitterbags placem_collection'!AA45="","",'WetLitterbags placem_collection'!AA45)</f>
        <v>G</v>
      </c>
      <c r="AH704">
        <f>IF('WetLitterbags placem_collection'!AC45="","",'WetLitterbags placem_collection'!AC45)</f>
        <v>0</v>
      </c>
      <c r="AI704">
        <f>AVERAGE('WetLitterbags placem_collection'!S45,'WetLitterbags placem_collection'!U45)</f>
        <v>18.3</v>
      </c>
      <c r="AJ704">
        <f>AVERAGE('WetLitterbags placem_collection'!R45,'WetLitterbags placem_collection'!T45)</f>
        <v>21.799999999999997</v>
      </c>
      <c r="AK704">
        <f>INDEX(Coordinates!$B$2:$B$197,MATCH(H704,Coordinates!$J$2:$J$197,0))</f>
        <v>-3.4082369789999998</v>
      </c>
      <c r="AL704">
        <f>INDEX(Coordinates!$C$2:$C$197,MATCH(H704,Coordinates!$J$2:$J$197,0))</f>
        <v>34.850189999999998</v>
      </c>
      <c r="AM704" t="str">
        <f>IF(ISNUMBER(SEARCH("C", 'WetLitterbags placem_collection'!$Y45)),"YES","NO")</f>
        <v>NO</v>
      </c>
      <c r="AN704" t="str">
        <f>IF(ISNUMBER(SEARCH("H", 'WetLitterbags placem_collection'!$Y45)),"YES","NO")</f>
        <v>NO</v>
      </c>
      <c r="AO704" t="str">
        <f>IF(ISNUMBER(SEARCH("R", 'WetLitterbags placem_collection'!$Y45)),"YES","NO")</f>
        <v>YES</v>
      </c>
    </row>
    <row r="705" spans="1:41" ht="15" customHeight="1">
      <c r="A705" s="255" t="s">
        <v>2454</v>
      </c>
      <c r="B705" s="260">
        <f>'Dry_Litterbag Placem_Collection'!A46</f>
        <v>44</v>
      </c>
      <c r="C705" s="260" t="str">
        <f>'Dry_Litterbag Placem_Collection'!B46</f>
        <v>Makao</v>
      </c>
      <c r="D705" s="260" t="s">
        <v>2643</v>
      </c>
      <c r="E705" s="260" t="s">
        <v>20</v>
      </c>
      <c r="F705" s="260">
        <v>2</v>
      </c>
      <c r="G705" s="260" t="s">
        <v>3807</v>
      </c>
      <c r="H705" s="261" t="str">
        <f>'Dry_Litterbag Placem_Collection'!C46</f>
        <v>Dry_P2_T4</v>
      </c>
      <c r="I705" s="270" t="s">
        <v>3630</v>
      </c>
      <c r="J705" s="271" t="s">
        <v>298</v>
      </c>
      <c r="K705" s="221" t="str">
        <f>'WetLitterbags placem_collection'!Q46</f>
        <v>R6</v>
      </c>
      <c r="L705" s="223">
        <f>IFERROR(INDEX('Green_rooibos initial weight'!$C$5:$C$2000,MATCH(K705, 'Green_rooibos initial weight'!$A$5:$A$2000,0)),"")</f>
        <v>2.226</v>
      </c>
      <c r="M705" s="223">
        <f>IFERROR(L705-(TBIcalc!$H$9+TBIcalc!$H$10),"")</f>
        <v>1.9762</v>
      </c>
      <c r="N705" s="385">
        <f>AVERAGE(Ashed_controlls!$K$2:$K$11)</f>
        <v>5.5147656768714146</v>
      </c>
      <c r="O705" s="223">
        <f t="shared" si="51"/>
        <v>1.8672172006936671</v>
      </c>
      <c r="P705" s="223">
        <f>IFERROR(INDEX('Both teabags AfterWet'!$C$3:$C$840,MATCH(K705,'Both teabags AfterWet'!$A$3:$A$840,0)),"")</f>
        <v>1.5294000000000001</v>
      </c>
      <c r="Q705" s="223">
        <f>IFERROR(IF(P705&gt;0,P705-(TBIcalc!$H$9),""),"")</f>
        <v>1.3788</v>
      </c>
      <c r="R705" s="223">
        <f>IFERROR(INDEX('Ashed teabags wet'!$K$2:$K$2000,MATCH(K705,'Ashed teabags wet'!$A$2:$A$2000,0)),"")</f>
        <v>3.8782523318604794</v>
      </c>
      <c r="S705" s="223">
        <f t="shared" si="52"/>
        <v>1.3253266568483077</v>
      </c>
      <c r="T705" s="224">
        <f>'WetLitterbags placem_collection'!E46</f>
        <v>42766</v>
      </c>
      <c r="U705" s="224">
        <f>IF('WetLitterbags placem_collection'!G46="","",'WetLitterbags placem_collection'!G46)</f>
        <v>42820</v>
      </c>
      <c r="V705" s="225">
        <f t="shared" si="50"/>
        <v>54</v>
      </c>
      <c r="W705" s="223">
        <f t="shared" si="53"/>
        <v>0.59739999999999993</v>
      </c>
      <c r="X705" s="223">
        <f t="shared" si="54"/>
        <v>0.5418905438453594</v>
      </c>
      <c r="Y705">
        <f>IFERROR(INDEX(Rainfall_Wet!$O$2:$O$217,MATCH(B705, Rainfall_Wet!$A$2:$A$217,0)),"")</f>
        <v>214.262898705</v>
      </c>
      <c r="Z705" s="228">
        <v>19.96</v>
      </c>
      <c r="AA705" s="228">
        <v>4.9199999999999982</v>
      </c>
      <c r="AB705" s="228">
        <v>75.12</v>
      </c>
      <c r="AC705" s="229" t="s">
        <v>2655</v>
      </c>
      <c r="AD705" s="228">
        <v>1.641498275012321</v>
      </c>
      <c r="AE705">
        <f>IF('WetLitterbags placem_collection'!AB46="","",'WetLitterbags placem_collection'!AB46)</f>
        <v>2.6</v>
      </c>
      <c r="AF705">
        <f>IF('WetLitterbags placem_collection'!Z46="","",'WetLitterbags placem_collection'!Z46)</f>
        <v>39.200000000000003</v>
      </c>
      <c r="AG705" s="243" t="str">
        <f>IF('WetLitterbags placem_collection'!AA46="","",'WetLitterbags placem_collection'!AA46)</f>
        <v>G</v>
      </c>
      <c r="AH705">
        <f>IF('WetLitterbags placem_collection'!AC46="","",'WetLitterbags placem_collection'!AC46)</f>
        <v>0</v>
      </c>
      <c r="AI705">
        <f>AVERAGE('WetLitterbags placem_collection'!S46,'WetLitterbags placem_collection'!U46)</f>
        <v>20.6</v>
      </c>
      <c r="AJ705">
        <f>AVERAGE('WetLitterbags placem_collection'!R46,'WetLitterbags placem_collection'!T46)</f>
        <v>22.65</v>
      </c>
      <c r="AK705">
        <f>INDEX(Coordinates!$B$2:$B$197,MATCH(H705,Coordinates!$J$2:$J$197,0))</f>
        <v>-3.4081529920000002</v>
      </c>
      <c r="AL705">
        <f>INDEX(Coordinates!$C$2:$C$197,MATCH(H705,Coordinates!$J$2:$J$197,0))</f>
        <v>34.850168959999998</v>
      </c>
      <c r="AM705" t="str">
        <f>IF(ISNUMBER(SEARCH("C", 'WetLitterbags placem_collection'!$Y46)),"YES","NO")</f>
        <v>NO</v>
      </c>
      <c r="AN705" t="str">
        <f>IF(ISNUMBER(SEARCH("H", 'WetLitterbags placem_collection'!$Y46)),"YES","NO")</f>
        <v>NO</v>
      </c>
      <c r="AO705" t="str">
        <f>IF(ISNUMBER(SEARCH("R", 'WetLitterbags placem_collection'!$Y46)),"YES","NO")</f>
        <v>NO</v>
      </c>
    </row>
    <row r="706" spans="1:41" ht="15" customHeight="1">
      <c r="A706" s="255" t="s">
        <v>2454</v>
      </c>
      <c r="B706" s="260">
        <f>'Dry_Litterbag Placem_Collection'!A47</f>
        <v>45</v>
      </c>
      <c r="C706" s="260" t="str">
        <f>'Dry_Litterbag Placem_Collection'!B47</f>
        <v>Makao</v>
      </c>
      <c r="D706" s="260" t="s">
        <v>2643</v>
      </c>
      <c r="E706" s="260" t="s">
        <v>20</v>
      </c>
      <c r="F706" s="260">
        <v>2</v>
      </c>
      <c r="G706" s="260" t="s">
        <v>3807</v>
      </c>
      <c r="H706" s="261" t="str">
        <f>'Dry_Litterbag Placem_Collection'!C47</f>
        <v>Dry_P2_T5</v>
      </c>
      <c r="I706" s="270" t="s">
        <v>3630</v>
      </c>
      <c r="J706" s="271" t="s">
        <v>298</v>
      </c>
      <c r="K706" s="221" t="str">
        <f>'WetLitterbags placem_collection'!Q47</f>
        <v>R74</v>
      </c>
      <c r="L706" s="223">
        <f>IFERROR(INDEX('Green_rooibos initial weight'!$C$5:$C$2000,MATCH(K706, 'Green_rooibos initial weight'!$A$5:$A$2000,0)),"")</f>
        <v>2.3340000000000001</v>
      </c>
      <c r="M706" s="223">
        <f>IFERROR(L706-(TBIcalc!$H$9+TBIcalc!$H$10),"")</f>
        <v>2.0842000000000001</v>
      </c>
      <c r="N706" s="385">
        <f>AVERAGE(Ashed_controlls!$K$2:$K$11)</f>
        <v>5.5147656768714146</v>
      </c>
      <c r="O706" s="223">
        <f t="shared" si="51"/>
        <v>1.9692612537626459</v>
      </c>
      <c r="P706" s="223">
        <f>IFERROR(INDEX('Both teabags AfterWet'!$C$3:$C$840,MATCH(K706,'Both teabags AfterWet'!$A$3:$A$840,0)),"")</f>
        <v>1.5923</v>
      </c>
      <c r="Q706" s="223">
        <f>IFERROR(IF(P706&gt;0,P706-(TBIcalc!$H$9),""),"")</f>
        <v>1.4417</v>
      </c>
      <c r="R706" s="223">
        <f>IFERROR(INDEX('Ashed teabags wet'!$K$2:$K$2000,MATCH(K706,'Ashed teabags wet'!$A$2:$A$2000,0)),"")</f>
        <v>3.1049778215869339</v>
      </c>
      <c r="S706" s="223">
        <f t="shared" si="52"/>
        <v>1.3969355347461812</v>
      </c>
      <c r="T706" s="224">
        <f>'WetLitterbags placem_collection'!E47</f>
        <v>42766</v>
      </c>
      <c r="U706" s="224">
        <f>IF('WetLitterbags placem_collection'!G47="","",'WetLitterbags placem_collection'!G47)</f>
        <v>42820</v>
      </c>
      <c r="V706" s="225">
        <f t="shared" ref="V706:V769" si="55">IFERROR(U706-T706,"")</f>
        <v>54</v>
      </c>
      <c r="W706" s="223">
        <f t="shared" si="53"/>
        <v>0.64250000000000007</v>
      </c>
      <c r="X706" s="223">
        <f t="shared" si="54"/>
        <v>0.57232571901646478</v>
      </c>
      <c r="Y706">
        <f>IFERROR(INDEX(Rainfall_Wet!$O$2:$O$217,MATCH(B706, Rainfall_Wet!$A$2:$A$217,0)),"")</f>
        <v>214.262898705</v>
      </c>
      <c r="Z706" s="228">
        <v>19.96</v>
      </c>
      <c r="AA706" s="228">
        <v>4.9199999999999982</v>
      </c>
      <c r="AB706" s="228">
        <v>75.12</v>
      </c>
      <c r="AC706" s="229" t="s">
        <v>2655</v>
      </c>
      <c r="AD706" s="228">
        <v>1.641498275012321</v>
      </c>
      <c r="AE706">
        <f>IF('WetLitterbags placem_collection'!AB47="","",'WetLitterbags placem_collection'!AB47)</f>
        <v>2.2999999999999998</v>
      </c>
      <c r="AF706">
        <f>IF('WetLitterbags placem_collection'!Z47="","",'WetLitterbags placem_collection'!Z47)</f>
        <v>9.3000000000000007</v>
      </c>
      <c r="AG706" s="243" t="str">
        <f>IF('WetLitterbags placem_collection'!AA47="","",'WetLitterbags placem_collection'!AA47)</f>
        <v>O</v>
      </c>
      <c r="AH706">
        <f>IF('WetLitterbags placem_collection'!AC47="","",'WetLitterbags placem_collection'!AC47)</f>
        <v>0</v>
      </c>
      <c r="AI706">
        <f>AVERAGE('WetLitterbags placem_collection'!S47,'WetLitterbags placem_collection'!U47)</f>
        <v>24.4</v>
      </c>
      <c r="AJ706">
        <f>AVERAGE('WetLitterbags placem_collection'!R47,'WetLitterbags placem_collection'!T47)</f>
        <v>22.15</v>
      </c>
      <c r="AK706">
        <f>INDEX(Coordinates!$B$2:$B$197,MATCH(H706,Coordinates!$J$2:$J$197,0))</f>
        <v>-3.4081789759999999</v>
      </c>
      <c r="AL706">
        <f>INDEX(Coordinates!$C$2:$C$197,MATCH(H706,Coordinates!$J$2:$J$197,0))</f>
        <v>34.850516980000002</v>
      </c>
      <c r="AM706" t="str">
        <f>IF(ISNUMBER(SEARCH("C", 'WetLitterbags placem_collection'!$Y47)),"YES","NO")</f>
        <v>NO</v>
      </c>
      <c r="AN706" t="str">
        <f>IF(ISNUMBER(SEARCH("H", 'WetLitterbags placem_collection'!$Y47)),"YES","NO")</f>
        <v>NO</v>
      </c>
      <c r="AO706" t="str">
        <f>IF(ISNUMBER(SEARCH("R", 'WetLitterbags placem_collection'!$Y47)),"YES","NO")</f>
        <v>NO</v>
      </c>
    </row>
    <row r="707" spans="1:41" ht="15" customHeight="1">
      <c r="A707" s="255" t="s">
        <v>2454</v>
      </c>
      <c r="B707" s="260">
        <f>'Dry_Litterbag Placem_Collection'!A48</f>
        <v>46</v>
      </c>
      <c r="C707" s="260" t="str">
        <f>'Dry_Litterbag Placem_Collection'!B48</f>
        <v>Makao</v>
      </c>
      <c r="D707" s="260" t="s">
        <v>2643</v>
      </c>
      <c r="E707" s="260" t="s">
        <v>20</v>
      </c>
      <c r="F707" s="260">
        <v>2</v>
      </c>
      <c r="G707" s="260" t="s">
        <v>3807</v>
      </c>
      <c r="H707" s="261" t="str">
        <f>'Dry_Litterbag Placem_Collection'!C48</f>
        <v>Dry_P2_T6</v>
      </c>
      <c r="I707" s="270" t="s">
        <v>3630</v>
      </c>
      <c r="J707" s="271" t="s">
        <v>298</v>
      </c>
      <c r="K707" s="221" t="str">
        <f>'WetLitterbags placem_collection'!Q48</f>
        <v>R102</v>
      </c>
      <c r="L707" s="223">
        <f>IFERROR(INDEX('Green_rooibos initial weight'!$C$5:$C$2000,MATCH(K707, 'Green_rooibos initial weight'!$A$5:$A$2000,0)),"")</f>
        <v>2.2469999999999999</v>
      </c>
      <c r="M707" s="223">
        <f>IFERROR(L707-(TBIcalc!$H$9+TBIcalc!$H$10),"")</f>
        <v>1.9971999999999999</v>
      </c>
      <c r="N707" s="385">
        <f>AVERAGE(Ashed_controlls!$K$2:$K$11)</f>
        <v>5.5147656768714146</v>
      </c>
      <c r="O707" s="223">
        <f t="shared" ref="O707:O770" si="56">IFERROR(M707-(N707/100)*M707,"")</f>
        <v>1.887059099901524</v>
      </c>
      <c r="P707" s="223" t="str">
        <f>IFERROR(INDEX('Both teabags AfterWet'!$C$3:$C$840,MATCH(K707,'Both teabags AfterWet'!$A$3:$A$840,0)),"")</f>
        <v/>
      </c>
      <c r="Q707" s="223" t="str">
        <f>IFERROR(IF(P707&gt;0,P707-(TBIcalc!$H$9),""),"")</f>
        <v/>
      </c>
      <c r="R707" s="223" t="str">
        <f>IFERROR(INDEX('Ashed teabags wet'!$K$2:$K$2000,MATCH(K707,'Ashed teabags wet'!$A$2:$A$2000,0)),"")</f>
        <v/>
      </c>
      <c r="S707" s="223" t="str">
        <f t="shared" ref="S707:S770" si="57">IFERROR(Q707-(R707/100)*Q707,"")</f>
        <v/>
      </c>
      <c r="T707" s="224">
        <f>'WetLitterbags placem_collection'!E48</f>
        <v>42766</v>
      </c>
      <c r="U707" s="224">
        <f>IF('WetLitterbags placem_collection'!G48="","",'WetLitterbags placem_collection'!G48)</f>
        <v>42820</v>
      </c>
      <c r="V707" s="225">
        <f t="shared" si="55"/>
        <v>54</v>
      </c>
      <c r="W707" s="223" t="str">
        <f t="shared" ref="W707:W770" si="58">IFERROR(M707-Q707,"")</f>
        <v/>
      </c>
      <c r="X707" s="223" t="str">
        <f t="shared" ref="X707:X770" si="59">IFERROR(O707-S707,"")</f>
        <v/>
      </c>
      <c r="Y707">
        <f>IFERROR(INDEX(Rainfall_Wet!$O$2:$O$217,MATCH(B707, Rainfall_Wet!$A$2:$A$217,0)),"")</f>
        <v>214.262898705</v>
      </c>
      <c r="Z707" s="228">
        <v>19.96</v>
      </c>
      <c r="AA707" s="228">
        <v>4.9199999999999982</v>
      </c>
      <c r="AB707" s="228">
        <v>75.12</v>
      </c>
      <c r="AC707" s="229" t="s">
        <v>2655</v>
      </c>
      <c r="AD707" s="228">
        <v>1.641498275012321</v>
      </c>
      <c r="AE707" t="str">
        <f>IF('WetLitterbags placem_collection'!AB48="","",'WetLitterbags placem_collection'!AB48)</f>
        <v/>
      </c>
      <c r="AF707" t="str">
        <f>IF('WetLitterbags placem_collection'!Z48="","",'WetLitterbags placem_collection'!Z48)</f>
        <v/>
      </c>
      <c r="AG707" s="243" t="str">
        <f>IF('WetLitterbags placem_collection'!AA48="","",'WetLitterbags placem_collection'!AA48)</f>
        <v/>
      </c>
      <c r="AH707" t="str">
        <f>IF('WetLitterbags placem_collection'!AC48="","",'WetLitterbags placem_collection'!AC48)</f>
        <v/>
      </c>
      <c r="AI707">
        <f>AVERAGE('WetLitterbags placem_collection'!S48,'WetLitterbags placem_collection'!U48)</f>
        <v>22.5</v>
      </c>
      <c r="AJ707">
        <f>AVERAGE('WetLitterbags placem_collection'!R48,'WetLitterbags placem_collection'!T48)</f>
        <v>20.100000000000001</v>
      </c>
      <c r="AK707">
        <f>INDEX(Coordinates!$B$2:$B$197,MATCH(H707,Coordinates!$J$2:$J$197,0))</f>
        <v>-3.4084730130000001</v>
      </c>
      <c r="AL707">
        <f>INDEX(Coordinates!$C$2:$C$197,MATCH(H707,Coordinates!$J$2:$J$197,0))</f>
        <v>34.850401980000001</v>
      </c>
      <c r="AM707" t="str">
        <f>IF(ISNUMBER(SEARCH("C", 'WetLitterbags placem_collection'!$Y48)),"YES","NO")</f>
        <v>NO</v>
      </c>
      <c r="AN707" t="str">
        <f>IF(ISNUMBER(SEARCH("H", 'WetLitterbags placem_collection'!$Y48)),"YES","NO")</f>
        <v>NO</v>
      </c>
      <c r="AO707" t="str">
        <f>IF(ISNUMBER(SEARCH("R", 'WetLitterbags placem_collection'!$Y48)),"YES","NO")</f>
        <v>NO</v>
      </c>
    </row>
    <row r="708" spans="1:41" ht="15" customHeight="1">
      <c r="A708" s="255" t="s">
        <v>2454</v>
      </c>
      <c r="B708" s="260">
        <f>'Dry_Litterbag Placem_Collection'!A49</f>
        <v>47</v>
      </c>
      <c r="C708" s="260" t="str">
        <f>'Dry_Litterbag Placem_Collection'!B49</f>
        <v>Makao</v>
      </c>
      <c r="D708" s="260" t="s">
        <v>2643</v>
      </c>
      <c r="E708" s="260" t="s">
        <v>20</v>
      </c>
      <c r="F708" s="260">
        <v>2</v>
      </c>
      <c r="G708" s="260" t="s">
        <v>3807</v>
      </c>
      <c r="H708" s="261" t="str">
        <f>'Dry_Litterbag Placem_Collection'!C49</f>
        <v>Dry_P2_T7</v>
      </c>
      <c r="I708" s="270" t="s">
        <v>3630</v>
      </c>
      <c r="J708" s="271" t="s">
        <v>298</v>
      </c>
      <c r="K708" s="221" t="str">
        <f>'WetLitterbags placem_collection'!Q49</f>
        <v>R76</v>
      </c>
      <c r="L708" s="223">
        <f>IFERROR(INDEX('Green_rooibos initial weight'!$C$5:$C$2000,MATCH(K708, 'Green_rooibos initial weight'!$A$5:$A$2000,0)),"")</f>
        <v>2.2970000000000002</v>
      </c>
      <c r="M708" s="223">
        <f>IFERROR(L708-(TBIcalc!$H$9+TBIcalc!$H$10),"")</f>
        <v>2.0472000000000001</v>
      </c>
      <c r="N708" s="385">
        <f>AVERAGE(Ashed_controlls!$K$2:$K$11)</f>
        <v>5.5147656768714146</v>
      </c>
      <c r="O708" s="223">
        <f t="shared" si="56"/>
        <v>1.9343017170630885</v>
      </c>
      <c r="P708" s="223">
        <f>IFERROR(INDEX('Both teabags AfterWet'!$C$3:$C$840,MATCH(K708,'Both teabags AfterWet'!$A$3:$A$840,0)),"")</f>
        <v>1.665</v>
      </c>
      <c r="Q708" s="223">
        <f>IFERROR(IF(P708&gt;0,P708-(TBIcalc!$H$9),""),"")</f>
        <v>1.5144</v>
      </c>
      <c r="R708" s="223">
        <f>IFERROR(INDEX('Ashed teabags wet'!$K$2:$K$2000,MATCH(K708,'Ashed teabags wet'!$A$2:$A$2000,0)),"")</f>
        <v>3.0587074494324868</v>
      </c>
      <c r="S708" s="223">
        <f t="shared" si="57"/>
        <v>1.4680789343857943</v>
      </c>
      <c r="T708" s="224">
        <f>'WetLitterbags placem_collection'!E49</f>
        <v>42766</v>
      </c>
      <c r="U708" s="224">
        <f>IF('WetLitterbags placem_collection'!G49="","",'WetLitterbags placem_collection'!G49)</f>
        <v>42820</v>
      </c>
      <c r="V708" s="225">
        <f t="shared" si="55"/>
        <v>54</v>
      </c>
      <c r="W708" s="223">
        <f t="shared" si="58"/>
        <v>0.53280000000000016</v>
      </c>
      <c r="X708" s="223">
        <f t="shared" si="59"/>
        <v>0.46622278267729422</v>
      </c>
      <c r="Y708">
        <f>IFERROR(INDEX(Rainfall_Wet!$O$2:$O$217,MATCH(B708, Rainfall_Wet!$A$2:$A$217,0)),"")</f>
        <v>214.262898705</v>
      </c>
      <c r="Z708" s="228">
        <v>19.96</v>
      </c>
      <c r="AA708" s="228">
        <v>4.9199999999999982</v>
      </c>
      <c r="AB708" s="228">
        <v>75.12</v>
      </c>
      <c r="AC708" s="229" t="s">
        <v>2655</v>
      </c>
      <c r="AD708" s="228">
        <v>1.641498275012321</v>
      </c>
      <c r="AE708">
        <f>IF('WetLitterbags placem_collection'!AB49="","",'WetLitterbags placem_collection'!AB49)</f>
        <v>5.2</v>
      </c>
      <c r="AF708">
        <f>IF('WetLitterbags placem_collection'!Z49="","",'WetLitterbags placem_collection'!Z49)</f>
        <v>5.2</v>
      </c>
      <c r="AG708" s="243" t="str">
        <f>IF('WetLitterbags placem_collection'!AA49="","",'WetLitterbags placem_collection'!AA49)</f>
        <v>G</v>
      </c>
      <c r="AH708">
        <f>IF('WetLitterbags placem_collection'!AC49="","",'WetLitterbags placem_collection'!AC49)</f>
        <v>0</v>
      </c>
      <c r="AI708">
        <f>AVERAGE('WetLitterbags placem_collection'!S49,'WetLitterbags placem_collection'!U49)</f>
        <v>23.7</v>
      </c>
      <c r="AJ708">
        <f>AVERAGE('WetLitterbags placem_collection'!R49,'WetLitterbags placem_collection'!T49)</f>
        <v>22.6</v>
      </c>
      <c r="AK708">
        <f>INDEX(Coordinates!$B$2:$B$197,MATCH(H708,Coordinates!$J$2:$J$197,0))</f>
        <v>-3.4084819820000001</v>
      </c>
      <c r="AL708">
        <f>INDEX(Coordinates!$C$2:$C$197,MATCH(H708,Coordinates!$J$2:$J$197,0))</f>
        <v>34.850024040000001</v>
      </c>
      <c r="AM708" t="str">
        <f>IF(ISNUMBER(SEARCH("C", 'WetLitterbags placem_collection'!$Y49)),"YES","NO")</f>
        <v>NO</v>
      </c>
      <c r="AN708" t="str">
        <f>IF(ISNUMBER(SEARCH("H", 'WetLitterbags placem_collection'!$Y49)),"YES","NO")</f>
        <v>NO</v>
      </c>
      <c r="AO708" t="str">
        <f>IF(ISNUMBER(SEARCH("R", 'WetLitterbags placem_collection'!$Y49)),"YES","NO")</f>
        <v>NO</v>
      </c>
    </row>
    <row r="709" spans="1:41" ht="15" customHeight="1">
      <c r="A709" s="255" t="s">
        <v>2454</v>
      </c>
      <c r="B709" s="260">
        <f>'Dry_Litterbag Placem_Collection'!A50</f>
        <v>48</v>
      </c>
      <c r="C709" s="260" t="str">
        <f>'Dry_Litterbag Placem_Collection'!B50</f>
        <v>Makao</v>
      </c>
      <c r="D709" s="260" t="s">
        <v>2643</v>
      </c>
      <c r="E709" s="260" t="s">
        <v>20</v>
      </c>
      <c r="F709" s="260">
        <v>2</v>
      </c>
      <c r="G709" s="260" t="s">
        <v>3807</v>
      </c>
      <c r="H709" s="261" t="str">
        <f>'Dry_Litterbag Placem_Collection'!C50</f>
        <v>Dry_P2_T8</v>
      </c>
      <c r="I709" s="270" t="s">
        <v>3630</v>
      </c>
      <c r="J709" s="271" t="s">
        <v>298</v>
      </c>
      <c r="K709" s="221" t="str">
        <f>'WetLitterbags placem_collection'!Q50</f>
        <v>R107</v>
      </c>
      <c r="L709" s="223">
        <f>IFERROR(INDEX('Green_rooibos initial weight'!$C$5:$C$2000,MATCH(K709, 'Green_rooibos initial weight'!$A$5:$A$2000,0)),"")</f>
        <v>2.19</v>
      </c>
      <c r="M709" s="223">
        <f>IFERROR(L709-(TBIcalc!$H$9+TBIcalc!$H$10),"")</f>
        <v>1.9401999999999999</v>
      </c>
      <c r="N709" s="385">
        <f>AVERAGE(Ashed_controlls!$K$2:$K$11)</f>
        <v>5.5147656768714146</v>
      </c>
      <c r="O709" s="223">
        <f t="shared" si="56"/>
        <v>1.8332025163373407</v>
      </c>
      <c r="P709" s="223">
        <f>IFERROR(INDEX('Both teabags AfterWet'!$C$3:$C$840,MATCH(K709,'Both teabags AfterWet'!$A$3:$A$840,0)),"")</f>
        <v>1.5349999999999999</v>
      </c>
      <c r="Q709" s="223">
        <f>IFERROR(IF(P709&gt;0,P709-(TBIcalc!$H$9),""),"")</f>
        <v>1.3843999999999999</v>
      </c>
      <c r="R709" s="223">
        <f>IFERROR(INDEX('Ashed teabags wet'!$K$2:$K$2000,MATCH(K709,'Ashed teabags wet'!$A$2:$A$2000,0)),"")</f>
        <v>3.4431137724549741</v>
      </c>
      <c r="S709" s="223">
        <f t="shared" si="57"/>
        <v>1.3367335329341332</v>
      </c>
      <c r="T709" s="224">
        <f>'WetLitterbags placem_collection'!E50</f>
        <v>42766</v>
      </c>
      <c r="U709" s="224">
        <f>IF('WetLitterbags placem_collection'!G50="","",'WetLitterbags placem_collection'!G50)</f>
        <v>42820</v>
      </c>
      <c r="V709" s="225">
        <f t="shared" si="55"/>
        <v>54</v>
      </c>
      <c r="W709" s="223">
        <f t="shared" si="58"/>
        <v>0.55580000000000007</v>
      </c>
      <c r="X709" s="223">
        <f t="shared" si="59"/>
        <v>0.49646898340320744</v>
      </c>
      <c r="Y709">
        <f>IFERROR(INDEX(Rainfall_Wet!$O$2:$O$217,MATCH(B709, Rainfall_Wet!$A$2:$A$217,0)),"")</f>
        <v>214.262898705</v>
      </c>
      <c r="Z709" s="228">
        <v>19.96</v>
      </c>
      <c r="AA709" s="228">
        <v>4.9199999999999982</v>
      </c>
      <c r="AB709" s="228">
        <v>75.12</v>
      </c>
      <c r="AC709" s="229" t="s">
        <v>2655</v>
      </c>
      <c r="AD709" s="228">
        <v>1.641498275012321</v>
      </c>
      <c r="AE709">
        <f>IF('WetLitterbags placem_collection'!AB50="","",'WetLitterbags placem_collection'!AB50)</f>
        <v>7.3</v>
      </c>
      <c r="AF709">
        <f>IF('WetLitterbags placem_collection'!Z50="","",'WetLitterbags placem_collection'!Z50)</f>
        <v>27.2</v>
      </c>
      <c r="AG709" s="243" t="str">
        <f>IF('WetLitterbags placem_collection'!AA50="","",'WetLitterbags placem_collection'!AA50)</f>
        <v>M</v>
      </c>
      <c r="AH709">
        <f>IF('WetLitterbags placem_collection'!AC50="","",'WetLitterbags placem_collection'!AC50)</f>
        <v>0</v>
      </c>
      <c r="AI709">
        <f>AVERAGE('WetLitterbags placem_collection'!S50,'WetLitterbags placem_collection'!U50)</f>
        <v>21.8</v>
      </c>
      <c r="AJ709">
        <f>AVERAGE('WetLitterbags placem_collection'!R50,'WetLitterbags placem_collection'!T50)</f>
        <v>21.65</v>
      </c>
      <c r="AK709">
        <f>INDEX(Coordinates!$B$2:$B$197,MATCH(H709,Coordinates!$J$2:$J$197,0))</f>
        <v>-3.4081990090000001</v>
      </c>
      <c r="AL709">
        <f>INDEX(Coordinates!$C$2:$C$197,MATCH(H709,Coordinates!$J$2:$J$197,0))</f>
        <v>34.850254960000001</v>
      </c>
      <c r="AM709" t="str">
        <f>IF(ISNUMBER(SEARCH("C", 'WetLitterbags placem_collection'!$Y50)),"YES","NO")</f>
        <v>NO</v>
      </c>
      <c r="AN709" t="str">
        <f>IF(ISNUMBER(SEARCH("H", 'WetLitterbags placem_collection'!$Y50)),"YES","NO")</f>
        <v>NO</v>
      </c>
      <c r="AO709" t="str">
        <f>IF(ISNUMBER(SEARCH("R", 'WetLitterbags placem_collection'!$Y50)),"YES","NO")</f>
        <v>NO</v>
      </c>
    </row>
    <row r="710" spans="1:41" ht="15" customHeight="1">
      <c r="A710" s="255" t="s">
        <v>2454</v>
      </c>
      <c r="B710" s="260">
        <f>'Dry_Litterbag Placem_Collection'!A51</f>
        <v>49</v>
      </c>
      <c r="C710" s="260" t="str">
        <f>'Dry_Litterbag Placem_Collection'!B51</f>
        <v>Makao</v>
      </c>
      <c r="D710" s="260" t="s">
        <v>2643</v>
      </c>
      <c r="E710" s="260" t="s">
        <v>20</v>
      </c>
      <c r="F710" s="260">
        <v>3</v>
      </c>
      <c r="G710" s="260" t="s">
        <v>3808</v>
      </c>
      <c r="H710" s="261" t="str">
        <f>'Dry_Litterbag Placem_Collection'!C51</f>
        <v>Dry_P3_T1</v>
      </c>
      <c r="I710" s="270" t="s">
        <v>3630</v>
      </c>
      <c r="J710" s="271" t="s">
        <v>298</v>
      </c>
      <c r="K710" s="221" t="str">
        <f>'WetLitterbags placem_collection'!Q51</f>
        <v>R155</v>
      </c>
      <c r="L710" s="223">
        <f>IFERROR(INDEX('Green_rooibos initial weight'!$C$5:$C$2000,MATCH(K710, 'Green_rooibos initial weight'!$A$5:$A$2000,0)),"")</f>
        <v>2.206</v>
      </c>
      <c r="M710" s="223">
        <f>IFERROR(L710-(TBIcalc!$H$9+TBIcalc!$H$10),"")</f>
        <v>1.9561999999999999</v>
      </c>
      <c r="N710" s="385">
        <f>AVERAGE(Ashed_controlls!$K$2:$K$11)</f>
        <v>5.5147656768714146</v>
      </c>
      <c r="O710" s="223">
        <f t="shared" si="56"/>
        <v>1.8483201538290412</v>
      </c>
      <c r="P710" s="223">
        <f>IFERROR(INDEX('Both teabags AfterWet'!$C$3:$C$840,MATCH(K710,'Both teabags AfterWet'!$A$3:$A$840,0)),"")</f>
        <v>1.5909</v>
      </c>
      <c r="Q710" s="223">
        <f>IFERROR(IF(P710&gt;0,P710-(TBIcalc!$H$9),""),"")</f>
        <v>1.4402999999999999</v>
      </c>
      <c r="R710" s="223">
        <f>IFERROR(INDEX('Ashed teabags wet'!$K$2:$K$2000,MATCH(K710,'Ashed teabags wet'!$A$2:$A$2000,0)),"")</f>
        <v>10.705352676338336</v>
      </c>
      <c r="S710" s="223">
        <f t="shared" si="57"/>
        <v>1.2861108054026988</v>
      </c>
      <c r="T710" s="224">
        <f>'WetLitterbags placem_collection'!E51</f>
        <v>42766</v>
      </c>
      <c r="U710" s="224">
        <f>IF('WetLitterbags placem_collection'!G51="","",'WetLitterbags placem_collection'!G51)</f>
        <v>42820</v>
      </c>
      <c r="V710" s="225">
        <f t="shared" si="55"/>
        <v>54</v>
      </c>
      <c r="W710" s="223">
        <f t="shared" si="58"/>
        <v>0.51590000000000003</v>
      </c>
      <c r="X710" s="223">
        <f t="shared" si="59"/>
        <v>0.5622093484263424</v>
      </c>
      <c r="Y710">
        <f>IFERROR(INDEX(Rainfall_Wet!$O$2:$O$217,MATCH(B710, Rainfall_Wet!$A$2:$A$217,0)),"")</f>
        <v>214.262898705</v>
      </c>
      <c r="Z710" s="228">
        <v>21.96</v>
      </c>
      <c r="AA710" s="228">
        <v>8.9199999999999982</v>
      </c>
      <c r="AB710" s="228">
        <v>69.12</v>
      </c>
      <c r="AC710" s="229" t="s">
        <v>2654</v>
      </c>
      <c r="AD710" s="228">
        <v>1.7491375061606702</v>
      </c>
      <c r="AE710">
        <f>IF('WetLitterbags placem_collection'!AB51="","",'WetLitterbags placem_collection'!AB51)</f>
        <v>10.4</v>
      </c>
      <c r="AF710">
        <f>IF('WetLitterbags placem_collection'!Z51="","",'WetLitterbags placem_collection'!Z51)</f>
        <v>36</v>
      </c>
      <c r="AG710" s="243" t="str">
        <f>IF('WetLitterbags placem_collection'!AA51="","",'WetLitterbags placem_collection'!AA51)</f>
        <v>M</v>
      </c>
      <c r="AH710">
        <f>IF('WetLitterbags placem_collection'!AC51="","",'WetLitterbags placem_collection'!AC51)</f>
        <v>1</v>
      </c>
      <c r="AI710">
        <f>AVERAGE('WetLitterbags placem_collection'!S51,'WetLitterbags placem_collection'!U51)</f>
        <v>26.2</v>
      </c>
      <c r="AJ710">
        <f>AVERAGE('WetLitterbags placem_collection'!R51,'WetLitterbags placem_collection'!T51)</f>
        <v>26.55</v>
      </c>
      <c r="AK710">
        <f>INDEX(Coordinates!$B$2:$B$197,MATCH(H710,Coordinates!$J$2:$J$197,0))</f>
        <v>-3.406225992</v>
      </c>
      <c r="AL710">
        <f>INDEX(Coordinates!$C$2:$C$197,MATCH(H710,Coordinates!$J$2:$J$197,0))</f>
        <v>34.85055998</v>
      </c>
      <c r="AM710" t="str">
        <f>IF(ISNUMBER(SEARCH("C", 'WetLitterbags placem_collection'!$Y51)),"YES","NO")</f>
        <v>NO</v>
      </c>
      <c r="AN710" t="str">
        <f>IF(ISNUMBER(SEARCH("H", 'WetLitterbags placem_collection'!$Y51)),"YES","NO")</f>
        <v>NO</v>
      </c>
      <c r="AO710" t="str">
        <f>IF(ISNUMBER(SEARCH("R", 'WetLitterbags placem_collection'!$Y51)),"YES","NO")</f>
        <v>YES</v>
      </c>
    </row>
    <row r="711" spans="1:41" ht="15" customHeight="1">
      <c r="A711" s="255" t="s">
        <v>2454</v>
      </c>
      <c r="B711" s="260">
        <f>'Dry_Litterbag Placem_Collection'!A52</f>
        <v>50</v>
      </c>
      <c r="C711" s="260" t="str">
        <f>'Dry_Litterbag Placem_Collection'!B52</f>
        <v>Makao</v>
      </c>
      <c r="D711" s="260" t="s">
        <v>2643</v>
      </c>
      <c r="E711" s="260" t="s">
        <v>20</v>
      </c>
      <c r="F711" s="260">
        <v>3</v>
      </c>
      <c r="G711" s="260" t="s">
        <v>3808</v>
      </c>
      <c r="H711" s="261" t="str">
        <f>'Dry_Litterbag Placem_Collection'!C52</f>
        <v>Dry_P3_T2</v>
      </c>
      <c r="I711" s="270" t="s">
        <v>3630</v>
      </c>
      <c r="J711" s="271" t="s">
        <v>298</v>
      </c>
      <c r="K711" s="221" t="str">
        <f>'WetLitterbags placem_collection'!Q52</f>
        <v>R98</v>
      </c>
      <c r="L711" s="223">
        <f>IFERROR(INDEX('Green_rooibos initial weight'!$C$5:$C$2000,MATCH(K711, 'Green_rooibos initial weight'!$A$5:$A$2000,0)),"")</f>
        <v>2.1960000000000002</v>
      </c>
      <c r="M711" s="223">
        <f>IFERROR(L711-(TBIcalc!$H$9+TBIcalc!$H$10),"")</f>
        <v>1.9462000000000002</v>
      </c>
      <c r="N711" s="385">
        <f>AVERAGE(Ashed_controlls!$K$2:$K$11)</f>
        <v>5.5147656768714146</v>
      </c>
      <c r="O711" s="223">
        <f t="shared" si="56"/>
        <v>1.8388716303967287</v>
      </c>
      <c r="P711" s="223" t="str">
        <f>IFERROR(INDEX('Both teabags AfterWet'!$C$3:$C$840,MATCH(K711,'Both teabags AfterWet'!$A$3:$A$840,0)),"")</f>
        <v/>
      </c>
      <c r="Q711" s="223" t="str">
        <f>IFERROR(IF(P711&gt;0,P711-(TBIcalc!$H$9),""),"")</f>
        <v/>
      </c>
      <c r="R711" s="223" t="str">
        <f>IFERROR(INDEX('Ashed teabags wet'!$K$2:$K$2000,MATCH(K711,'Ashed teabags wet'!$A$2:$A$2000,0)),"")</f>
        <v/>
      </c>
      <c r="S711" s="223" t="str">
        <f t="shared" si="57"/>
        <v/>
      </c>
      <c r="T711" s="224">
        <f>'WetLitterbags placem_collection'!E52</f>
        <v>42766</v>
      </c>
      <c r="U711" s="224">
        <f>IF('WetLitterbags placem_collection'!G52="","",'WetLitterbags placem_collection'!G52)</f>
        <v>42820</v>
      </c>
      <c r="V711" s="225">
        <f t="shared" si="55"/>
        <v>54</v>
      </c>
      <c r="W711" s="223" t="str">
        <f t="shared" si="58"/>
        <v/>
      </c>
      <c r="X711" s="223" t="str">
        <f t="shared" si="59"/>
        <v/>
      </c>
      <c r="Y711">
        <f>IFERROR(INDEX(Rainfall_Wet!$O$2:$O$217,MATCH(B711, Rainfall_Wet!$A$2:$A$217,0)),"")</f>
        <v>214.262898705</v>
      </c>
      <c r="Z711" s="228">
        <v>21.96</v>
      </c>
      <c r="AA711" s="228">
        <v>8.9199999999999982</v>
      </c>
      <c r="AB711" s="228">
        <v>69.12</v>
      </c>
      <c r="AC711" s="229" t="s">
        <v>2654</v>
      </c>
      <c r="AD711" s="228">
        <v>1.7491375061606702</v>
      </c>
      <c r="AE711">
        <f>IF('WetLitterbags placem_collection'!AB52="","",'WetLitterbags placem_collection'!AB52)</f>
        <v>10</v>
      </c>
      <c r="AF711">
        <f>IF('WetLitterbags placem_collection'!Z52="","",'WetLitterbags placem_collection'!Z52)</f>
        <v>22.5</v>
      </c>
      <c r="AG711" s="243" t="str">
        <f>IF('WetLitterbags placem_collection'!AA52="","",'WetLitterbags placem_collection'!AA52)</f>
        <v>M</v>
      </c>
      <c r="AH711">
        <f>IF('WetLitterbags placem_collection'!AC52="","",'WetLitterbags placem_collection'!AC52)</f>
        <v>1</v>
      </c>
      <c r="AI711">
        <f>AVERAGE('WetLitterbags placem_collection'!S52,'WetLitterbags placem_collection'!U52)</f>
        <v>31.4</v>
      </c>
      <c r="AJ711">
        <f>AVERAGE('WetLitterbags placem_collection'!R52,'WetLitterbags placem_collection'!T52)</f>
        <v>22.4</v>
      </c>
      <c r="AK711">
        <f>INDEX(Coordinates!$B$2:$B$197,MATCH(H711,Coordinates!$J$2:$J$197,0))</f>
        <v>-3.4062630399999998</v>
      </c>
      <c r="AL711">
        <f>INDEX(Coordinates!$C$2:$C$197,MATCH(H711,Coordinates!$J$2:$J$197,0))</f>
        <v>34.850566010000001</v>
      </c>
      <c r="AM711" t="str">
        <f>IF(ISNUMBER(SEARCH("C", 'WetLitterbags placem_collection'!$Y52)),"YES","NO")</f>
        <v>NO</v>
      </c>
      <c r="AN711" t="str">
        <f>IF(ISNUMBER(SEARCH("H", 'WetLitterbags placem_collection'!$Y52)),"YES","NO")</f>
        <v>NO</v>
      </c>
      <c r="AO711" t="str">
        <f>IF(ISNUMBER(SEARCH("R", 'WetLitterbags placem_collection'!$Y52)),"YES","NO")</f>
        <v>NO</v>
      </c>
    </row>
    <row r="712" spans="1:41" ht="15" customHeight="1">
      <c r="A712" s="255" t="s">
        <v>2454</v>
      </c>
      <c r="B712" s="260">
        <f>'Dry_Litterbag Placem_Collection'!A53</f>
        <v>51</v>
      </c>
      <c r="C712" s="260" t="str">
        <f>'Dry_Litterbag Placem_Collection'!B53</f>
        <v>Makao</v>
      </c>
      <c r="D712" s="260" t="s">
        <v>2643</v>
      </c>
      <c r="E712" s="260" t="s">
        <v>20</v>
      </c>
      <c r="F712" s="260">
        <v>3</v>
      </c>
      <c r="G712" s="260" t="s">
        <v>3808</v>
      </c>
      <c r="H712" s="261" t="str">
        <f>'Dry_Litterbag Placem_Collection'!C53</f>
        <v>Dry_P3_T3</v>
      </c>
      <c r="I712" s="270" t="s">
        <v>3630</v>
      </c>
      <c r="J712" s="271" t="s">
        <v>298</v>
      </c>
      <c r="K712" s="221" t="str">
        <f>'WetLitterbags placem_collection'!Q53</f>
        <v>R29</v>
      </c>
      <c r="L712" s="223">
        <f>IFERROR(INDEX('Green_rooibos initial weight'!$C$5:$C$2000,MATCH(K712, 'Green_rooibos initial weight'!$A$5:$A$2000,0)),"")</f>
        <v>2.2400000000000002</v>
      </c>
      <c r="M712" s="223">
        <f>IFERROR(L712-(TBIcalc!$H$9+TBIcalc!$H$10),"")</f>
        <v>1.9902000000000002</v>
      </c>
      <c r="N712" s="385">
        <f>AVERAGE(Ashed_controlls!$K$2:$K$11)</f>
        <v>5.5147656768714146</v>
      </c>
      <c r="O712" s="223">
        <f t="shared" si="56"/>
        <v>1.8804451334989052</v>
      </c>
      <c r="P712" s="223">
        <f>IFERROR(INDEX('Both teabags AfterWet'!$C$3:$C$840,MATCH(K712,'Both teabags AfterWet'!$A$3:$A$840,0)),"")</f>
        <v>1.4950000000000001</v>
      </c>
      <c r="Q712" s="223">
        <f>IFERROR(IF(P712&gt;0,P712-(TBIcalc!$H$9),""),"")</f>
        <v>1.3444</v>
      </c>
      <c r="R712" s="223">
        <f>IFERROR(INDEX('Ashed teabags wet'!$K$2:$K$2000,MATCH(K712,'Ashed teabags wet'!$A$2:$A$2000,0)),"")</f>
        <v>3.8327526132399545</v>
      </c>
      <c r="S712" s="223">
        <f t="shared" si="57"/>
        <v>1.2928724738676021</v>
      </c>
      <c r="T712" s="224">
        <f>'WetLitterbags placem_collection'!E53</f>
        <v>42766</v>
      </c>
      <c r="U712" s="224">
        <f>IF('WetLitterbags placem_collection'!G53="","",'WetLitterbags placem_collection'!G53)</f>
        <v>42820</v>
      </c>
      <c r="V712" s="225">
        <f t="shared" si="55"/>
        <v>54</v>
      </c>
      <c r="W712" s="223">
        <f t="shared" si="58"/>
        <v>0.64580000000000015</v>
      </c>
      <c r="X712" s="223">
        <f t="shared" si="59"/>
        <v>0.58757265963130312</v>
      </c>
      <c r="Y712">
        <f>IFERROR(INDEX(Rainfall_Wet!$O$2:$O$217,MATCH(B712, Rainfall_Wet!$A$2:$A$217,0)),"")</f>
        <v>214.262898705</v>
      </c>
      <c r="Z712" s="228">
        <v>21.96</v>
      </c>
      <c r="AA712" s="228">
        <v>8.9199999999999982</v>
      </c>
      <c r="AB712" s="228">
        <v>69.12</v>
      </c>
      <c r="AC712" s="229" t="s">
        <v>2654</v>
      </c>
      <c r="AD712" s="228">
        <v>1.7491375061606702</v>
      </c>
      <c r="AE712">
        <f>IF('WetLitterbags placem_collection'!AB53="","",'WetLitterbags placem_collection'!AB53)</f>
        <v>3</v>
      </c>
      <c r="AF712">
        <f>IF('WetLitterbags placem_collection'!Z53="","",'WetLitterbags placem_collection'!Z53)</f>
        <v>18</v>
      </c>
      <c r="AG712" s="243" t="str">
        <f>IF('WetLitterbags placem_collection'!AA53="","",'WetLitterbags placem_collection'!AA53)</f>
        <v>O</v>
      </c>
      <c r="AH712">
        <f>IF('WetLitterbags placem_collection'!AC53="","",'WetLitterbags placem_collection'!AC53)</f>
        <v>0</v>
      </c>
      <c r="AI712">
        <f>AVERAGE('WetLitterbags placem_collection'!S53,'WetLitterbags placem_collection'!U53)</f>
        <v>20.2</v>
      </c>
      <c r="AJ712">
        <f>AVERAGE('WetLitterbags placem_collection'!R53,'WetLitterbags placem_collection'!T53)</f>
        <v>27.4</v>
      </c>
      <c r="AK712">
        <f>INDEX(Coordinates!$B$2:$B$197,MATCH(H712,Coordinates!$J$2:$J$197,0))</f>
        <v>-3.4063920379999999</v>
      </c>
      <c r="AL712">
        <f>INDEX(Coordinates!$C$2:$C$197,MATCH(H712,Coordinates!$J$2:$J$197,0))</f>
        <v>34.850696020000001</v>
      </c>
      <c r="AM712" t="str">
        <f>IF(ISNUMBER(SEARCH("C", 'WetLitterbags placem_collection'!$Y53)),"YES","NO")</f>
        <v>NO</v>
      </c>
      <c r="AN712" t="str">
        <f>IF(ISNUMBER(SEARCH("H", 'WetLitterbags placem_collection'!$Y53)),"YES","NO")</f>
        <v>NO</v>
      </c>
      <c r="AO712" t="str">
        <f>IF(ISNUMBER(SEARCH("R", 'WetLitterbags placem_collection'!$Y53)),"YES","NO")</f>
        <v>YES</v>
      </c>
    </row>
    <row r="713" spans="1:41" ht="15" customHeight="1">
      <c r="A713" s="255" t="s">
        <v>2454</v>
      </c>
      <c r="B713" s="260">
        <f>'Dry_Litterbag Placem_Collection'!A54</f>
        <v>52</v>
      </c>
      <c r="C713" s="260" t="str">
        <f>'Dry_Litterbag Placem_Collection'!B54</f>
        <v>Makao</v>
      </c>
      <c r="D713" s="260" t="s">
        <v>2643</v>
      </c>
      <c r="E713" s="260" t="s">
        <v>20</v>
      </c>
      <c r="F713" s="260">
        <v>3</v>
      </c>
      <c r="G713" s="260" t="s">
        <v>3808</v>
      </c>
      <c r="H713" s="261" t="str">
        <f>'Dry_Litterbag Placem_Collection'!C54</f>
        <v>Dry_P3_T4</v>
      </c>
      <c r="I713" s="270" t="s">
        <v>3630</v>
      </c>
      <c r="J713" s="271" t="s">
        <v>298</v>
      </c>
      <c r="K713" s="221" t="str">
        <f>'WetLitterbags placem_collection'!Q54</f>
        <v>R312</v>
      </c>
      <c r="L713" s="223">
        <f>IFERROR(INDEX('Green_rooibos initial weight'!$C$5:$C$2000,MATCH(K713, 'Green_rooibos initial weight'!$A$5:$A$2000,0)),"")</f>
        <v>2.2360000000000002</v>
      </c>
      <c r="M713" s="223">
        <f>IFERROR(L713-(TBIcalc!$H$9+TBIcalc!$H$10),"")</f>
        <v>1.9862000000000002</v>
      </c>
      <c r="N713" s="385">
        <f>AVERAGE(Ashed_controlls!$K$2:$K$11)</f>
        <v>5.5147656768714146</v>
      </c>
      <c r="O713" s="223">
        <f t="shared" si="56"/>
        <v>1.8766657241259801</v>
      </c>
      <c r="P713" s="223">
        <f>IFERROR(INDEX('Both teabags AfterWet'!$C$3:$C$840,MATCH(K713,'Both teabags AfterWet'!$A$3:$A$840,0)),"")</f>
        <v>1.546</v>
      </c>
      <c r="Q713" s="223">
        <f>IFERROR(IF(P713&gt;0,P713-(TBIcalc!$H$9),""),"")</f>
        <v>1.3954</v>
      </c>
      <c r="R713" s="223">
        <f>IFERROR(INDEX('Ashed teabags wet'!$K$2:$K$2000,MATCH(K713,'Ashed teabags wet'!$A$2:$A$2000,0)),"")</f>
        <v>9.8235574630425244</v>
      </c>
      <c r="S713" s="223">
        <f t="shared" si="57"/>
        <v>1.2583220791607046</v>
      </c>
      <c r="T713" s="224">
        <f>'WetLitterbags placem_collection'!E54</f>
        <v>42766</v>
      </c>
      <c r="U713" s="224">
        <f>IF('WetLitterbags placem_collection'!G54="","",'WetLitterbags placem_collection'!G54)</f>
        <v>42820</v>
      </c>
      <c r="V713" s="225">
        <f t="shared" si="55"/>
        <v>54</v>
      </c>
      <c r="W713" s="223">
        <f t="shared" si="58"/>
        <v>0.59080000000000021</v>
      </c>
      <c r="X713" s="223">
        <f t="shared" si="59"/>
        <v>0.6183436449652755</v>
      </c>
      <c r="Y713">
        <f>IFERROR(INDEX(Rainfall_Wet!$O$2:$O$217,MATCH(B713, Rainfall_Wet!$A$2:$A$217,0)),"")</f>
        <v>214.262898705</v>
      </c>
      <c r="Z713" s="228">
        <v>21.96</v>
      </c>
      <c r="AA713" s="228">
        <v>8.9199999999999982</v>
      </c>
      <c r="AB713" s="228">
        <v>69.12</v>
      </c>
      <c r="AC713" s="229" t="s">
        <v>2654</v>
      </c>
      <c r="AD713" s="228">
        <v>1.7491375061606702</v>
      </c>
      <c r="AE713">
        <f>IF('WetLitterbags placem_collection'!AB54="","",'WetLitterbags placem_collection'!AB54)</f>
        <v>13.4</v>
      </c>
      <c r="AF713">
        <f>IF('WetLitterbags placem_collection'!Z54="","",'WetLitterbags placem_collection'!Z54)</f>
        <v>67</v>
      </c>
      <c r="AG713" s="243" t="str">
        <f>IF('WetLitterbags placem_collection'!AA54="","",'WetLitterbags placem_collection'!AA54)</f>
        <v>M</v>
      </c>
      <c r="AH713">
        <f>IF('WetLitterbags placem_collection'!AC54="","",'WetLitterbags placem_collection'!AC54)</f>
        <v>1</v>
      </c>
      <c r="AI713">
        <f>AVERAGE('WetLitterbags placem_collection'!S54,'WetLitterbags placem_collection'!U54)</f>
        <v>29.8</v>
      </c>
      <c r="AJ713">
        <f>AVERAGE('WetLitterbags placem_collection'!R54,'WetLitterbags placem_collection'!T54)</f>
        <v>25.799999999999997</v>
      </c>
      <c r="AK713">
        <f>INDEX(Coordinates!$B$2:$B$197,MATCH(H713,Coordinates!$J$2:$J$197,0))</f>
        <v>-3.4061569999999999</v>
      </c>
      <c r="AL713">
        <f>INDEX(Coordinates!$C$2:$C$197,MATCH(H713,Coordinates!$J$2:$J$197,0))</f>
        <v>34.850738999999997</v>
      </c>
      <c r="AM713" t="str">
        <f>IF(ISNUMBER(SEARCH("C", 'WetLitterbags placem_collection'!$Y54)),"YES","NO")</f>
        <v>NO</v>
      </c>
      <c r="AN713" t="str">
        <f>IF(ISNUMBER(SEARCH("H", 'WetLitterbags placem_collection'!$Y54)),"YES","NO")</f>
        <v>NO</v>
      </c>
      <c r="AO713" t="str">
        <f>IF(ISNUMBER(SEARCH("R", 'WetLitterbags placem_collection'!$Y54)),"YES","NO")</f>
        <v>YES</v>
      </c>
    </row>
    <row r="714" spans="1:41" ht="15" customHeight="1">
      <c r="A714" s="255" t="s">
        <v>2454</v>
      </c>
      <c r="B714" s="260">
        <f>'Dry_Litterbag Placem_Collection'!A55</f>
        <v>53</v>
      </c>
      <c r="C714" s="260" t="str">
        <f>'Dry_Litterbag Placem_Collection'!B55</f>
        <v>Makao</v>
      </c>
      <c r="D714" s="260" t="s">
        <v>2643</v>
      </c>
      <c r="E714" s="260" t="s">
        <v>20</v>
      </c>
      <c r="F714" s="260">
        <v>3</v>
      </c>
      <c r="G714" s="260" t="s">
        <v>3808</v>
      </c>
      <c r="H714" s="261" t="str">
        <f>'Dry_Litterbag Placem_Collection'!C55</f>
        <v>Dry_P3_T5</v>
      </c>
      <c r="I714" s="270" t="s">
        <v>3630</v>
      </c>
      <c r="J714" s="271" t="s">
        <v>298</v>
      </c>
      <c r="K714" s="221" t="str">
        <f>'WetLitterbags placem_collection'!Q55</f>
        <v>R113</v>
      </c>
      <c r="L714" s="223">
        <f>IFERROR(INDEX('Green_rooibos initial weight'!$C$5:$C$2000,MATCH(K714, 'Green_rooibos initial weight'!$A$5:$A$2000,0)),"")</f>
        <v>2.202</v>
      </c>
      <c r="M714" s="223">
        <f>IFERROR(L714-(TBIcalc!$H$9+TBIcalc!$H$10),"")</f>
        <v>1.9521999999999999</v>
      </c>
      <c r="N714" s="385">
        <f>AVERAGE(Ashed_controlls!$K$2:$K$11)</f>
        <v>5.5147656768714146</v>
      </c>
      <c r="O714" s="223">
        <f t="shared" si="56"/>
        <v>1.8445407444561162</v>
      </c>
      <c r="P714" s="223" t="str">
        <f>IFERROR(INDEX('Both teabags AfterWet'!$C$3:$C$840,MATCH(K714,'Both teabags AfterWet'!$A$3:$A$840,0)),"")</f>
        <v/>
      </c>
      <c r="Q714" s="223" t="str">
        <f>IFERROR(IF(P714&gt;0,P714-(TBIcalc!$H$9),""),"")</f>
        <v/>
      </c>
      <c r="R714" s="223" t="str">
        <f>IFERROR(INDEX('Ashed teabags wet'!$K$2:$K$2000,MATCH(K714,'Ashed teabags wet'!$A$2:$A$2000,0)),"")</f>
        <v/>
      </c>
      <c r="S714" s="223" t="str">
        <f t="shared" si="57"/>
        <v/>
      </c>
      <c r="T714" s="224">
        <f>'WetLitterbags placem_collection'!E55</f>
        <v>42766</v>
      </c>
      <c r="U714" s="224">
        <f>IF('WetLitterbags placem_collection'!G55="","",'WetLitterbags placem_collection'!G55)</f>
        <v>42820</v>
      </c>
      <c r="V714" s="225">
        <f t="shared" si="55"/>
        <v>54</v>
      </c>
      <c r="W714" s="223" t="str">
        <f t="shared" si="58"/>
        <v/>
      </c>
      <c r="X714" s="223" t="str">
        <f t="shared" si="59"/>
        <v/>
      </c>
      <c r="Y714">
        <f>IFERROR(INDEX(Rainfall_Wet!$O$2:$O$217,MATCH(B714, Rainfall_Wet!$A$2:$A$217,0)),"")</f>
        <v>214.262898705</v>
      </c>
      <c r="Z714" s="228">
        <v>21.96</v>
      </c>
      <c r="AA714" s="228">
        <v>8.9199999999999982</v>
      </c>
      <c r="AB714" s="228">
        <v>69.12</v>
      </c>
      <c r="AC714" s="229" t="s">
        <v>2654</v>
      </c>
      <c r="AD714" s="228">
        <v>1.7491375061606702</v>
      </c>
      <c r="AE714" t="str">
        <f>IF('WetLitterbags placem_collection'!AB55="","",'WetLitterbags placem_collection'!AB55)</f>
        <v/>
      </c>
      <c r="AF714" t="str">
        <f>IF('WetLitterbags placem_collection'!Z55="","",'WetLitterbags placem_collection'!Z55)</f>
        <v/>
      </c>
      <c r="AG714" s="243" t="str">
        <f>IF('WetLitterbags placem_collection'!AA55="","",'WetLitterbags placem_collection'!AA55)</f>
        <v/>
      </c>
      <c r="AH714" t="str">
        <f>IF('WetLitterbags placem_collection'!AC55="","",'WetLitterbags placem_collection'!AC55)</f>
        <v/>
      </c>
      <c r="AI714">
        <f>AVERAGE('WetLitterbags placem_collection'!S55,'WetLitterbags placem_collection'!U55)</f>
        <v>20.2</v>
      </c>
      <c r="AJ714">
        <f>AVERAGE('WetLitterbags placem_collection'!R55,'WetLitterbags placem_collection'!T55)</f>
        <v>22.2</v>
      </c>
      <c r="AK714">
        <f>INDEX(Coordinates!$B$2:$B$197,MATCH(H714,Coordinates!$J$2:$J$197,0))</f>
        <v>-3.4061140000000001</v>
      </c>
      <c r="AL714">
        <f>INDEX(Coordinates!$C$2:$C$197,MATCH(H714,Coordinates!$J$2:$J$197,0))</f>
        <v>34.850596000000003</v>
      </c>
      <c r="AM714" t="str">
        <f>IF(ISNUMBER(SEARCH("C", 'WetLitterbags placem_collection'!$Y55)),"YES","NO")</f>
        <v>NO</v>
      </c>
      <c r="AN714" t="str">
        <f>IF(ISNUMBER(SEARCH("H", 'WetLitterbags placem_collection'!$Y55)),"YES","NO")</f>
        <v>NO</v>
      </c>
      <c r="AO714" t="str">
        <f>IF(ISNUMBER(SEARCH("R", 'WetLitterbags placem_collection'!$Y55)),"YES","NO")</f>
        <v>NO</v>
      </c>
    </row>
    <row r="715" spans="1:41" ht="15" customHeight="1">
      <c r="A715" s="255" t="s">
        <v>2454</v>
      </c>
      <c r="B715" s="260">
        <f>'Dry_Litterbag Placem_Collection'!A56</f>
        <v>54</v>
      </c>
      <c r="C715" s="260" t="str">
        <f>'Dry_Litterbag Placem_Collection'!B56</f>
        <v>Makao</v>
      </c>
      <c r="D715" s="260" t="s">
        <v>2643</v>
      </c>
      <c r="E715" s="260" t="s">
        <v>20</v>
      </c>
      <c r="F715" s="260">
        <v>3</v>
      </c>
      <c r="G715" s="260" t="s">
        <v>3808</v>
      </c>
      <c r="H715" s="261" t="str">
        <f>'Dry_Litterbag Placem_Collection'!C56</f>
        <v>Dry_P3_T6</v>
      </c>
      <c r="I715" s="270" t="s">
        <v>3630</v>
      </c>
      <c r="J715" s="271" t="s">
        <v>298</v>
      </c>
      <c r="K715" s="221" t="str">
        <f>'WetLitterbags placem_collection'!Q56</f>
        <v>R441</v>
      </c>
      <c r="L715" s="223">
        <f>IFERROR(INDEX('Green_rooibos initial weight'!$C$5:$C$2000,MATCH(K715, 'Green_rooibos initial weight'!$A$5:$A$2000,0)),"")</f>
        <v>2.1280000000000001</v>
      </c>
      <c r="M715" s="223">
        <f>IFERROR(L715-(TBIcalc!$H$9+TBIcalc!$H$10),"")</f>
        <v>1.8782000000000001</v>
      </c>
      <c r="N715" s="385">
        <f>AVERAGE(Ashed_controlls!$K$2:$K$11)</f>
        <v>5.5147656768714146</v>
      </c>
      <c r="O715" s="223">
        <f t="shared" si="56"/>
        <v>1.7746216710570011</v>
      </c>
      <c r="P715" s="223" t="str">
        <f>IFERROR(INDEX('Both teabags AfterWet'!$C$3:$C$840,MATCH(K715,'Both teabags AfterWet'!$A$3:$A$840,0)),"")</f>
        <v/>
      </c>
      <c r="Q715" s="223" t="str">
        <f>IFERROR(IF(P715&gt;0,P715-(TBIcalc!$H$9),""),"")</f>
        <v/>
      </c>
      <c r="R715" s="223" t="str">
        <f>IFERROR(INDEX('Ashed teabags wet'!$K$2:$K$2000,MATCH(K715,'Ashed teabags wet'!$A$2:$A$2000,0)),"")</f>
        <v/>
      </c>
      <c r="S715" s="223" t="str">
        <f t="shared" si="57"/>
        <v/>
      </c>
      <c r="T715" s="224">
        <f>'WetLitterbags placem_collection'!E56</f>
        <v>42766</v>
      </c>
      <c r="U715" s="224">
        <f>IF('WetLitterbags placem_collection'!G56="","",'WetLitterbags placem_collection'!G56)</f>
        <v>42820</v>
      </c>
      <c r="V715" s="225">
        <f t="shared" si="55"/>
        <v>54</v>
      </c>
      <c r="W715" s="223" t="str">
        <f t="shared" si="58"/>
        <v/>
      </c>
      <c r="X715" s="223" t="str">
        <f t="shared" si="59"/>
        <v/>
      </c>
      <c r="Y715">
        <f>IFERROR(INDEX(Rainfall_Wet!$O$2:$O$217,MATCH(B715, Rainfall_Wet!$A$2:$A$217,0)),"")</f>
        <v>214.262898705</v>
      </c>
      <c r="Z715" s="228">
        <v>21.96</v>
      </c>
      <c r="AA715" s="228">
        <v>8.9199999999999982</v>
      </c>
      <c r="AB715" s="228">
        <v>69.12</v>
      </c>
      <c r="AC715" s="229" t="s">
        <v>2654</v>
      </c>
      <c r="AD715" s="228">
        <v>1.7491375061606702</v>
      </c>
      <c r="AE715" t="str">
        <f>IF('WetLitterbags placem_collection'!AB56="","",'WetLitterbags placem_collection'!AB56)</f>
        <v/>
      </c>
      <c r="AF715" t="str">
        <f>IF('WetLitterbags placem_collection'!Z56="","",'WetLitterbags placem_collection'!Z56)</f>
        <v/>
      </c>
      <c r="AG715" s="243" t="str">
        <f>IF('WetLitterbags placem_collection'!AA56="","",'WetLitterbags placem_collection'!AA56)</f>
        <v/>
      </c>
      <c r="AH715" t="str">
        <f>IF('WetLitterbags placem_collection'!AC56="","",'WetLitterbags placem_collection'!AC56)</f>
        <v/>
      </c>
      <c r="AI715">
        <f>AVERAGE('WetLitterbags placem_collection'!S56,'WetLitterbags placem_collection'!U56)</f>
        <v>30.1</v>
      </c>
      <c r="AJ715">
        <f>AVERAGE('WetLitterbags placem_collection'!R56,'WetLitterbags placem_collection'!T56)</f>
        <v>22.2</v>
      </c>
      <c r="AK715">
        <f>INDEX(Coordinates!$B$2:$B$197,MATCH(H715,Coordinates!$J$2:$J$197,0))</f>
        <v>-3.406058019</v>
      </c>
      <c r="AL715">
        <f>INDEX(Coordinates!$C$2:$C$197,MATCH(H715,Coordinates!$J$2:$J$197,0))</f>
        <v>34.850466019999999</v>
      </c>
      <c r="AM715" t="str">
        <f>IF(ISNUMBER(SEARCH("C", 'WetLitterbags placem_collection'!$Y56)),"YES","NO")</f>
        <v>NO</v>
      </c>
      <c r="AN715" t="str">
        <f>IF(ISNUMBER(SEARCH("H", 'WetLitterbags placem_collection'!$Y56)),"YES","NO")</f>
        <v>NO</v>
      </c>
      <c r="AO715" t="str">
        <f>IF(ISNUMBER(SEARCH("R", 'WetLitterbags placem_collection'!$Y56)),"YES","NO")</f>
        <v>NO</v>
      </c>
    </row>
    <row r="716" spans="1:41" ht="15" customHeight="1">
      <c r="A716" s="255" t="s">
        <v>2454</v>
      </c>
      <c r="B716" s="260">
        <f>'Dry_Litterbag Placem_Collection'!A57</f>
        <v>55</v>
      </c>
      <c r="C716" s="260" t="str">
        <f>'Dry_Litterbag Placem_Collection'!B57</f>
        <v>Makao</v>
      </c>
      <c r="D716" s="260" t="s">
        <v>2643</v>
      </c>
      <c r="E716" s="260" t="s">
        <v>20</v>
      </c>
      <c r="F716" s="260">
        <v>3</v>
      </c>
      <c r="G716" s="260" t="s">
        <v>3808</v>
      </c>
      <c r="H716" s="261" t="str">
        <f>'Dry_Litterbag Placem_Collection'!C57</f>
        <v>Dry_P3_T7</v>
      </c>
      <c r="I716" s="270" t="s">
        <v>3630</v>
      </c>
      <c r="J716" s="271" t="s">
        <v>298</v>
      </c>
      <c r="K716" s="221" t="str">
        <f>'WetLitterbags placem_collection'!Q57</f>
        <v>R53</v>
      </c>
      <c r="L716" s="223">
        <f>IFERROR(INDEX('Green_rooibos initial weight'!$C$5:$C$2000,MATCH(K716, 'Green_rooibos initial weight'!$A$5:$A$2000,0)),"")</f>
        <v>2.2829999999999999</v>
      </c>
      <c r="M716" s="223">
        <f>IFERROR(L716-(TBIcalc!$H$9+TBIcalc!$H$10),"")</f>
        <v>2.0331999999999999</v>
      </c>
      <c r="N716" s="385">
        <f>AVERAGE(Ashed_controlls!$K$2:$K$11)</f>
        <v>5.5147656768714146</v>
      </c>
      <c r="O716" s="223">
        <f t="shared" si="56"/>
        <v>1.9210737842578502</v>
      </c>
      <c r="P716" s="223">
        <f>IFERROR(INDEX('Both teabags AfterWet'!$C$3:$C$840,MATCH(K716,'Both teabags AfterWet'!$A$3:$A$840,0)),"")</f>
        <v>1.5207999999999999</v>
      </c>
      <c r="Q716" s="223">
        <f>IFERROR(IF(P716&gt;0,P716-(TBIcalc!$H$9),""),"")</f>
        <v>1.3701999999999999</v>
      </c>
      <c r="R716" s="223">
        <f>IFERROR(INDEX('Ashed teabags wet'!$K$2:$K$2000,MATCH(K716,'Ashed teabags wet'!$A$2:$A$2000,0)),"")</f>
        <v>10.692124105011484</v>
      </c>
      <c r="S716" s="223">
        <f t="shared" si="57"/>
        <v>1.2236965155131325</v>
      </c>
      <c r="T716" s="224">
        <f>'WetLitterbags placem_collection'!E57</f>
        <v>42766</v>
      </c>
      <c r="U716" s="224">
        <f>IF('WetLitterbags placem_collection'!G57="","",'WetLitterbags placem_collection'!G57)</f>
        <v>42820</v>
      </c>
      <c r="V716" s="225">
        <f t="shared" si="55"/>
        <v>54</v>
      </c>
      <c r="W716" s="223">
        <f t="shared" si="58"/>
        <v>0.66300000000000003</v>
      </c>
      <c r="X716" s="223">
        <f t="shared" si="59"/>
        <v>0.69737726874471773</v>
      </c>
      <c r="Y716">
        <f>IFERROR(INDEX(Rainfall_Wet!$O$2:$O$217,MATCH(B716, Rainfall_Wet!$A$2:$A$217,0)),"")</f>
        <v>214.262898705</v>
      </c>
      <c r="Z716" s="228">
        <v>21.96</v>
      </c>
      <c r="AA716" s="228">
        <v>8.9199999999999982</v>
      </c>
      <c r="AB716" s="228">
        <v>69.12</v>
      </c>
      <c r="AC716" s="229" t="s">
        <v>2654</v>
      </c>
      <c r="AD716" s="228">
        <v>1.7491375061606702</v>
      </c>
      <c r="AE716">
        <f>IF('WetLitterbags placem_collection'!AB57="","",'WetLitterbags placem_collection'!AB57)</f>
        <v>15.8</v>
      </c>
      <c r="AF716">
        <f>IF('WetLitterbags placem_collection'!Z57="","",'WetLitterbags placem_collection'!Z57)</f>
        <v>45</v>
      </c>
      <c r="AG716" s="243" t="str">
        <f>IF('WetLitterbags placem_collection'!AA57="","",'WetLitterbags placem_collection'!AA57)</f>
        <v>M</v>
      </c>
      <c r="AH716">
        <f>IF('WetLitterbags placem_collection'!AC57="","",'WetLitterbags placem_collection'!AC57)</f>
        <v>1</v>
      </c>
      <c r="AI716">
        <f>AVERAGE('WetLitterbags placem_collection'!S57,'WetLitterbags placem_collection'!U57)</f>
        <v>33</v>
      </c>
      <c r="AJ716">
        <f>AVERAGE('WetLitterbags placem_collection'!R57,'WetLitterbags placem_collection'!T57)</f>
        <v>25.9</v>
      </c>
      <c r="AK716">
        <f>INDEX(Coordinates!$B$2:$B$197,MATCH(H716,Coordinates!$J$2:$J$197,0))</f>
        <v>-3.4061389879999999</v>
      </c>
      <c r="AL716">
        <f>INDEX(Coordinates!$C$2:$C$197,MATCH(H716,Coordinates!$J$2:$J$197,0))</f>
        <v>34.850574979999998</v>
      </c>
      <c r="AM716" t="str">
        <f>IF(ISNUMBER(SEARCH("C", 'WetLitterbags placem_collection'!$Y57)),"YES","NO")</f>
        <v>NO</v>
      </c>
      <c r="AN716" t="str">
        <f>IF(ISNUMBER(SEARCH("H", 'WetLitterbags placem_collection'!$Y57)),"YES","NO")</f>
        <v>NO</v>
      </c>
      <c r="AO716" t="str">
        <f>IF(ISNUMBER(SEARCH("R", 'WetLitterbags placem_collection'!$Y57)),"YES","NO")</f>
        <v>NO</v>
      </c>
    </row>
    <row r="717" spans="1:41" ht="15" customHeight="1">
      <c r="A717" s="255" t="s">
        <v>2454</v>
      </c>
      <c r="B717" s="260">
        <f>'Dry_Litterbag Placem_Collection'!A58</f>
        <v>56</v>
      </c>
      <c r="C717" s="260" t="str">
        <f>'Dry_Litterbag Placem_Collection'!B58</f>
        <v>Makao</v>
      </c>
      <c r="D717" s="260" t="s">
        <v>2643</v>
      </c>
      <c r="E717" s="260" t="s">
        <v>20</v>
      </c>
      <c r="F717" s="260">
        <v>3</v>
      </c>
      <c r="G717" s="260" t="s">
        <v>3808</v>
      </c>
      <c r="H717" s="261" t="str">
        <f>'Dry_Litterbag Placem_Collection'!C58</f>
        <v>Dry_P3_T8</v>
      </c>
      <c r="I717" s="270" t="s">
        <v>3630</v>
      </c>
      <c r="J717" s="271" t="s">
        <v>298</v>
      </c>
      <c r="K717" s="221" t="str">
        <f>'WetLitterbags placem_collection'!Q58</f>
        <v>R58</v>
      </c>
      <c r="L717" s="223">
        <f>IFERROR(INDEX('Green_rooibos initial weight'!$C$5:$C$2000,MATCH(K717, 'Green_rooibos initial weight'!$A$5:$A$2000,0)),"")</f>
        <v>2.1760000000000002</v>
      </c>
      <c r="M717" s="223">
        <f>IFERROR(L717-(TBIcalc!$H$9+TBIcalc!$H$10),"")</f>
        <v>1.9262000000000001</v>
      </c>
      <c r="N717" s="385">
        <f>AVERAGE(Ashed_controlls!$K$2:$K$11)</f>
        <v>5.5147656768714146</v>
      </c>
      <c r="O717" s="223">
        <f t="shared" si="56"/>
        <v>1.8199745835321028</v>
      </c>
      <c r="P717" s="223">
        <f>IFERROR(INDEX('Both teabags AfterWet'!$C$3:$C$840,MATCH(K717,'Both teabags AfterWet'!$A$3:$A$840,0)),"")</f>
        <v>1.5980000000000001</v>
      </c>
      <c r="Q717" s="223">
        <f>IFERROR(IF(P717&gt;0,P717-(TBIcalc!$H$9),""),"")</f>
        <v>1.4474</v>
      </c>
      <c r="R717" s="223">
        <f>IFERROR(INDEX('Ashed teabags wet'!$K$2:$K$2000,MATCH(K717,'Ashed teabags wet'!$A$2:$A$2000,0)),"")</f>
        <v>3.1372549019609965</v>
      </c>
      <c r="S717" s="223">
        <f t="shared" si="57"/>
        <v>1.4019913725490165</v>
      </c>
      <c r="T717" s="224">
        <f>'WetLitterbags placem_collection'!E58</f>
        <v>42766</v>
      </c>
      <c r="U717" s="224">
        <f>IF('WetLitterbags placem_collection'!G58="","",'WetLitterbags placem_collection'!G58)</f>
        <v>42820</v>
      </c>
      <c r="V717" s="225">
        <f t="shared" si="55"/>
        <v>54</v>
      </c>
      <c r="W717" s="223">
        <f t="shared" si="58"/>
        <v>0.47880000000000011</v>
      </c>
      <c r="X717" s="223">
        <f t="shared" si="59"/>
        <v>0.41798321098308633</v>
      </c>
      <c r="Y717">
        <f>IFERROR(INDEX(Rainfall_Wet!$O$2:$O$217,MATCH(B717, Rainfall_Wet!$A$2:$A$217,0)),"")</f>
        <v>214.262898705</v>
      </c>
      <c r="Z717" s="228">
        <v>21.96</v>
      </c>
      <c r="AA717" s="228">
        <v>8.9199999999999982</v>
      </c>
      <c r="AB717" s="228">
        <v>69.12</v>
      </c>
      <c r="AC717" s="229" t="s">
        <v>2654</v>
      </c>
      <c r="AD717" s="228">
        <v>1.7491375061606702</v>
      </c>
      <c r="AE717">
        <f>IF('WetLitterbags placem_collection'!AB58="","",'WetLitterbags placem_collection'!AB58)</f>
        <v>15.4</v>
      </c>
      <c r="AF717">
        <f>IF('WetLitterbags placem_collection'!Z58="","",'WetLitterbags placem_collection'!Z58)</f>
        <v>30.8</v>
      </c>
      <c r="AG717" s="243" t="str">
        <f>IF('WetLitterbags placem_collection'!AA58="","",'WetLitterbags placem_collection'!AA58)</f>
        <v>M</v>
      </c>
      <c r="AH717">
        <f>IF('WetLitterbags placem_collection'!AC58="","",'WetLitterbags placem_collection'!AC58)</f>
        <v>0</v>
      </c>
      <c r="AI717">
        <f>AVERAGE('WetLitterbags placem_collection'!S58,'WetLitterbags placem_collection'!U58)</f>
        <v>29.5</v>
      </c>
      <c r="AJ717">
        <f>AVERAGE('WetLitterbags placem_collection'!R58,'WetLitterbags placem_collection'!T58)</f>
        <v>27.6</v>
      </c>
      <c r="AK717">
        <f>INDEX(Coordinates!$B$2:$B$197,MATCH(H717,Coordinates!$J$2:$J$197,0))</f>
        <v>-3.4062900300000001</v>
      </c>
      <c r="AL717">
        <f>INDEX(Coordinates!$C$2:$C$197,MATCH(H717,Coordinates!$J$2:$J$197,0))</f>
        <v>34.850441959999998</v>
      </c>
      <c r="AM717" t="str">
        <f>IF(ISNUMBER(SEARCH("C", 'WetLitterbags placem_collection'!$Y58)),"YES","NO")</f>
        <v>NO</v>
      </c>
      <c r="AN717" t="str">
        <f>IF(ISNUMBER(SEARCH("H", 'WetLitterbags placem_collection'!$Y58)),"YES","NO")</f>
        <v>NO</v>
      </c>
      <c r="AO717" t="str">
        <f>IF(ISNUMBER(SEARCH("R", 'WetLitterbags placem_collection'!$Y58)),"YES","NO")</f>
        <v>NO</v>
      </c>
    </row>
    <row r="718" spans="1:41" ht="15" customHeight="1">
      <c r="A718" s="255" t="s">
        <v>2454</v>
      </c>
      <c r="B718" s="260">
        <f>'Dry_Litterbag Placem_Collection'!A59</f>
        <v>57</v>
      </c>
      <c r="C718" s="260" t="str">
        <f>'Dry_Litterbag Placem_Collection'!B59</f>
        <v>Makao</v>
      </c>
      <c r="D718" s="260" t="s">
        <v>2643</v>
      </c>
      <c r="E718" s="260" t="s">
        <v>20</v>
      </c>
      <c r="F718" s="260">
        <v>4</v>
      </c>
      <c r="G718" s="260" t="s">
        <v>3809</v>
      </c>
      <c r="H718" s="261" t="str">
        <f>'Dry_Litterbag Placem_Collection'!C59</f>
        <v>Dry_P4_T1</v>
      </c>
      <c r="I718" s="270" t="s">
        <v>3630</v>
      </c>
      <c r="J718" s="271" t="s">
        <v>298</v>
      </c>
      <c r="K718" s="221" t="str">
        <f>'WetLitterbags placem_collection'!Q59</f>
        <v>R435</v>
      </c>
      <c r="L718" s="223">
        <f>IFERROR(INDEX('Green_rooibos initial weight'!$C$5:$C$2000,MATCH(K718, 'Green_rooibos initial weight'!$A$5:$A$2000,0)),"")</f>
        <v>2.141</v>
      </c>
      <c r="M718" s="223">
        <f>IFERROR(L718-(TBIcalc!$H$9+TBIcalc!$H$10),"")</f>
        <v>1.8912</v>
      </c>
      <c r="N718" s="385">
        <f>AVERAGE(Ashed_controlls!$K$2:$K$11)</f>
        <v>5.5147656768714146</v>
      </c>
      <c r="O718" s="223">
        <f t="shared" si="56"/>
        <v>1.7869047515190077</v>
      </c>
      <c r="P718" s="223">
        <f>IFERROR(INDEX('Both teabags AfterWet'!$C$3:$C$840,MATCH(K718,'Both teabags AfterWet'!$A$3:$A$840,0)),"")</f>
        <v>1.4594</v>
      </c>
      <c r="Q718" s="223">
        <f>IFERROR(IF(P718&gt;0,P718-(TBIcalc!$H$9),""),"")</f>
        <v>1.3088</v>
      </c>
      <c r="R718" s="223">
        <f>IFERROR(INDEX('Ashed teabags wet'!$K$2:$K$2000,MATCH(K718,'Ashed teabags wet'!$A$2:$A$2000,0)),"")</f>
        <v>7.3673870333987725</v>
      </c>
      <c r="S718" s="223">
        <f t="shared" si="57"/>
        <v>1.2123756385068769</v>
      </c>
      <c r="T718" s="224">
        <f>'WetLitterbags placem_collection'!E59</f>
        <v>42766</v>
      </c>
      <c r="U718" s="224">
        <f>IF('WetLitterbags placem_collection'!G59="","",'WetLitterbags placem_collection'!G59)</f>
        <v>42820</v>
      </c>
      <c r="V718" s="225">
        <f t="shared" si="55"/>
        <v>54</v>
      </c>
      <c r="W718" s="223">
        <f t="shared" si="58"/>
        <v>0.58240000000000003</v>
      </c>
      <c r="X718" s="223">
        <f t="shared" si="59"/>
        <v>0.57452911301213083</v>
      </c>
      <c r="Y718">
        <f>IFERROR(INDEX(Rainfall_Wet!$O$2:$O$217,MATCH(B718, Rainfall_Wet!$A$2:$A$217,0)),"")</f>
        <v>214.262898705</v>
      </c>
      <c r="Z718" s="228">
        <v>25.96</v>
      </c>
      <c r="AA718" s="228">
        <v>6.9200000000000008</v>
      </c>
      <c r="AB718" s="228">
        <v>67.12</v>
      </c>
      <c r="AC718" s="229" t="s">
        <v>2654</v>
      </c>
      <c r="AD718" s="228">
        <v>1.7568260226712666</v>
      </c>
      <c r="AE718">
        <f>IF('WetLitterbags placem_collection'!AB59="","",'WetLitterbags placem_collection'!AB59)</f>
        <v>3.3</v>
      </c>
      <c r="AF718">
        <f>IF('WetLitterbags placem_collection'!Z59="","",'WetLitterbags placem_collection'!Z59)</f>
        <v>28.4</v>
      </c>
      <c r="AG718" s="243" t="str">
        <f>IF('WetLitterbags placem_collection'!AA59="","",'WetLitterbags placem_collection'!AA59)</f>
        <v>O</v>
      </c>
      <c r="AH718">
        <f>IF('WetLitterbags placem_collection'!AC59="","",'WetLitterbags placem_collection'!AC59)</f>
        <v>1</v>
      </c>
      <c r="AI718">
        <f>AVERAGE('WetLitterbags placem_collection'!S59,'WetLitterbags placem_collection'!U59)</f>
        <v>31.6</v>
      </c>
      <c r="AJ718">
        <f>AVERAGE('WetLitterbags placem_collection'!R59,'WetLitterbags placem_collection'!T59)</f>
        <v>26.9</v>
      </c>
      <c r="AK718">
        <f>INDEX(Coordinates!$B$2:$B$197,MATCH(H718,Coordinates!$J$2:$J$197,0))</f>
        <v>-3.4064239729999999</v>
      </c>
      <c r="AL718">
        <f>INDEX(Coordinates!$C$2:$C$197,MATCH(H718,Coordinates!$J$2:$J$197,0))</f>
        <v>34.851213010000002</v>
      </c>
      <c r="AM718" t="str">
        <f>IF(ISNUMBER(SEARCH("C", 'WetLitterbags placem_collection'!$Y59)),"YES","NO")</f>
        <v>NO</v>
      </c>
      <c r="AN718" t="str">
        <f>IF(ISNUMBER(SEARCH("H", 'WetLitterbags placem_collection'!$Y59)),"YES","NO")</f>
        <v>NO</v>
      </c>
      <c r="AO718" t="str">
        <f>IF(ISNUMBER(SEARCH("R", 'WetLitterbags placem_collection'!$Y59)),"YES","NO")</f>
        <v>YES</v>
      </c>
    </row>
    <row r="719" spans="1:41" ht="15" customHeight="1">
      <c r="A719" s="255" t="s">
        <v>2454</v>
      </c>
      <c r="B719" s="260">
        <f>'Dry_Litterbag Placem_Collection'!A60</f>
        <v>58</v>
      </c>
      <c r="C719" s="260" t="str">
        <f>'Dry_Litterbag Placem_Collection'!B60</f>
        <v>Makao</v>
      </c>
      <c r="D719" s="260" t="s">
        <v>2643</v>
      </c>
      <c r="E719" s="260" t="s">
        <v>20</v>
      </c>
      <c r="F719" s="260">
        <v>4</v>
      </c>
      <c r="G719" s="260" t="s">
        <v>3809</v>
      </c>
      <c r="H719" s="261" t="str">
        <f>'Dry_Litterbag Placem_Collection'!C60</f>
        <v>Dry_P4_T2</v>
      </c>
      <c r="I719" s="270" t="s">
        <v>3630</v>
      </c>
      <c r="J719" s="271" t="s">
        <v>298</v>
      </c>
      <c r="K719" s="221" t="str">
        <f>'WetLitterbags placem_collection'!Q60</f>
        <v>R31</v>
      </c>
      <c r="L719" s="223">
        <f>IFERROR(INDEX('Green_rooibos initial weight'!$C$5:$C$2000,MATCH(K719, 'Green_rooibos initial weight'!$A$5:$A$2000,0)),"")</f>
        <v>2.1589999999999998</v>
      </c>
      <c r="M719" s="223">
        <f>IFERROR(L719-(TBIcalc!$H$9+TBIcalc!$H$10),"")</f>
        <v>1.9091999999999998</v>
      </c>
      <c r="N719" s="385">
        <f>AVERAGE(Ashed_controlls!$K$2:$K$11)</f>
        <v>5.5147656768714146</v>
      </c>
      <c r="O719" s="223">
        <f t="shared" si="56"/>
        <v>1.8039120936971709</v>
      </c>
      <c r="P719" s="223">
        <f>IFERROR(INDEX('Both teabags AfterWet'!$C$3:$C$840,MATCH(K719,'Both teabags AfterWet'!$A$3:$A$840,0)),"")</f>
        <v>1.1857</v>
      </c>
      <c r="Q719" s="223">
        <f>IFERROR(IF(P719&gt;0,P719-(TBIcalc!$H$9),""),"")</f>
        <v>1.0350999999999999</v>
      </c>
      <c r="R719" s="223">
        <f>IFERROR(INDEX('Ashed teabags wet'!$K$2:$K$2000,MATCH(K719,'Ashed teabags wet'!$A$2:$A$2000,0)),"")</f>
        <v>14.436090225563877</v>
      </c>
      <c r="S719" s="223">
        <f t="shared" si="57"/>
        <v>0.88567203007518824</v>
      </c>
      <c r="T719" s="224">
        <f>'WetLitterbags placem_collection'!E60</f>
        <v>42766</v>
      </c>
      <c r="U719" s="224">
        <f>IF('WetLitterbags placem_collection'!G60="","",'WetLitterbags placem_collection'!G60)</f>
        <v>42820</v>
      </c>
      <c r="V719" s="225">
        <f t="shared" si="55"/>
        <v>54</v>
      </c>
      <c r="W719" s="223">
        <f t="shared" si="58"/>
        <v>0.87409999999999988</v>
      </c>
      <c r="X719" s="223">
        <f t="shared" si="59"/>
        <v>0.91824006362198263</v>
      </c>
      <c r="Y719">
        <f>IFERROR(INDEX(Rainfall_Wet!$O$2:$O$217,MATCH(B719, Rainfall_Wet!$A$2:$A$217,0)),"")</f>
        <v>214.262898705</v>
      </c>
      <c r="Z719" s="228">
        <v>25.96</v>
      </c>
      <c r="AA719" s="228">
        <v>6.9200000000000008</v>
      </c>
      <c r="AB719" s="228">
        <v>67.12</v>
      </c>
      <c r="AC719" s="229" t="s">
        <v>2654</v>
      </c>
      <c r="AD719" s="228">
        <v>1.7568260226712666</v>
      </c>
      <c r="AE719">
        <f>IF('WetLitterbags placem_collection'!AB60="","",'WetLitterbags placem_collection'!AB60)</f>
        <v>1.4</v>
      </c>
      <c r="AF719">
        <f>IF('WetLitterbags placem_collection'!Z60="","",'WetLitterbags placem_collection'!Z60)</f>
        <v>54.4</v>
      </c>
      <c r="AG719" s="243" t="str">
        <f>IF('WetLitterbags placem_collection'!AA60="","",'WetLitterbags placem_collection'!AA60)</f>
        <v>O</v>
      </c>
      <c r="AH719">
        <f>IF('WetLitterbags placem_collection'!AC60="","",'WetLitterbags placem_collection'!AC60)</f>
        <v>0</v>
      </c>
      <c r="AI719">
        <f>AVERAGE('WetLitterbags placem_collection'!S60,'WetLitterbags placem_collection'!U60)</f>
        <v>31.6</v>
      </c>
      <c r="AJ719">
        <f>AVERAGE('WetLitterbags placem_collection'!R60,'WetLitterbags placem_collection'!T60)</f>
        <v>26.700000000000003</v>
      </c>
      <c r="AK719">
        <f>INDEX(Coordinates!$B$2:$B$197,MATCH(H719,Coordinates!$J$2:$J$197,0))</f>
        <v>-3.4065020079999999</v>
      </c>
      <c r="AL719">
        <f>INDEX(Coordinates!$C$2:$C$197,MATCH(H719,Coordinates!$J$2:$J$197,0))</f>
        <v>34.851056020000001</v>
      </c>
      <c r="AM719" t="str">
        <f>IF(ISNUMBER(SEARCH("C", 'WetLitterbags placem_collection'!$Y60)),"YES","NO")</f>
        <v>NO</v>
      </c>
      <c r="AN719" t="str">
        <f>IF(ISNUMBER(SEARCH("H", 'WetLitterbags placem_collection'!$Y60)),"YES","NO")</f>
        <v>NO</v>
      </c>
      <c r="AO719" t="str">
        <f>IF(ISNUMBER(SEARCH("R", 'WetLitterbags placem_collection'!$Y60)),"YES","NO")</f>
        <v>NO</v>
      </c>
    </row>
    <row r="720" spans="1:41" ht="15" customHeight="1">
      <c r="A720" s="255" t="s">
        <v>2454</v>
      </c>
      <c r="B720" s="260">
        <f>'Dry_Litterbag Placem_Collection'!A61</f>
        <v>59</v>
      </c>
      <c r="C720" s="260" t="str">
        <f>'Dry_Litterbag Placem_Collection'!B61</f>
        <v>Makao</v>
      </c>
      <c r="D720" s="260" t="s">
        <v>2643</v>
      </c>
      <c r="E720" s="260" t="s">
        <v>20</v>
      </c>
      <c r="F720" s="260">
        <v>4</v>
      </c>
      <c r="G720" s="260" t="s">
        <v>3809</v>
      </c>
      <c r="H720" s="261" t="str">
        <f>'Dry_Litterbag Placem_Collection'!C61</f>
        <v>Dry_P4_T3</v>
      </c>
      <c r="I720" s="270" t="s">
        <v>3630</v>
      </c>
      <c r="J720" s="271" t="s">
        <v>298</v>
      </c>
      <c r="K720" s="221" t="str">
        <f>'WetLitterbags placem_collection'!Q61</f>
        <v>R120</v>
      </c>
      <c r="L720" s="223">
        <f>IFERROR(INDEX('Green_rooibos initial weight'!$C$5:$C$2000,MATCH(K720, 'Green_rooibos initial weight'!$A$5:$A$2000,0)),"")</f>
        <v>2.2450000000000001</v>
      </c>
      <c r="M720" s="223">
        <f>IFERROR(L720-(TBIcalc!$H$9+TBIcalc!$H$10),"")</f>
        <v>1.9952000000000001</v>
      </c>
      <c r="N720" s="385">
        <f>AVERAGE(Ashed_controlls!$K$2:$K$11)</f>
        <v>5.5147656768714146</v>
      </c>
      <c r="O720" s="223">
        <f t="shared" si="56"/>
        <v>1.8851693952150617</v>
      </c>
      <c r="P720" s="223">
        <f>IFERROR(INDEX('Both teabags AfterWet'!$C$3:$C$840,MATCH(K720,'Both teabags AfterWet'!$A$3:$A$840,0)),"")</f>
        <v>1.4690000000000001</v>
      </c>
      <c r="Q720" s="223">
        <f>IFERROR(IF(P720&gt;0,P720-(TBIcalc!$H$9),""),"")</f>
        <v>1.3184</v>
      </c>
      <c r="R720" s="223">
        <f>IFERROR(INDEX('Ashed teabags wet'!$K$2:$K$2000,MATCH(K720,'Ashed teabags wet'!$A$2:$A$2000,0)),"")</f>
        <v>3.836571998007162</v>
      </c>
      <c r="S720" s="223">
        <f t="shared" si="57"/>
        <v>1.2678186347782736</v>
      </c>
      <c r="T720" s="224">
        <f>'WetLitterbags placem_collection'!E61</f>
        <v>42766</v>
      </c>
      <c r="U720" s="224">
        <f>IF('WetLitterbags placem_collection'!G61="","",'WetLitterbags placem_collection'!G61)</f>
        <v>42820</v>
      </c>
      <c r="V720" s="225">
        <f t="shared" si="55"/>
        <v>54</v>
      </c>
      <c r="W720" s="223">
        <f t="shared" si="58"/>
        <v>0.67680000000000007</v>
      </c>
      <c r="X720" s="223">
        <f t="shared" si="59"/>
        <v>0.61735076043678805</v>
      </c>
      <c r="Y720">
        <f>IFERROR(INDEX(Rainfall_Wet!$O$2:$O$217,MATCH(B720, Rainfall_Wet!$A$2:$A$217,0)),"")</f>
        <v>214.262898705</v>
      </c>
      <c r="Z720" s="228">
        <v>25.96</v>
      </c>
      <c r="AA720" s="228">
        <v>6.9200000000000008</v>
      </c>
      <c r="AB720" s="228">
        <v>67.12</v>
      </c>
      <c r="AC720" s="229" t="s">
        <v>2654</v>
      </c>
      <c r="AD720" s="228">
        <v>1.7568260226712666</v>
      </c>
      <c r="AE720">
        <f>IF('WetLitterbags placem_collection'!AB61="","",'WetLitterbags placem_collection'!AB61)</f>
        <v>3.3</v>
      </c>
      <c r="AF720">
        <f>IF('WetLitterbags placem_collection'!Z61="","",'WetLitterbags placem_collection'!Z61)</f>
        <v>46</v>
      </c>
      <c r="AG720" s="243" t="str">
        <f>IF('WetLitterbags placem_collection'!AA61="","",'WetLitterbags placem_collection'!AA61)</f>
        <v>O</v>
      </c>
      <c r="AH720">
        <f>IF('WetLitterbags placem_collection'!AC61="","",'WetLitterbags placem_collection'!AC61)</f>
        <v>0</v>
      </c>
      <c r="AI720">
        <f>AVERAGE('WetLitterbags placem_collection'!S61,'WetLitterbags placem_collection'!U61)</f>
        <v>27.9</v>
      </c>
      <c r="AJ720">
        <f>AVERAGE('WetLitterbags placem_collection'!R61,'WetLitterbags placem_collection'!T61)</f>
        <v>27.049999999999997</v>
      </c>
      <c r="AK720">
        <f>INDEX(Coordinates!$B$2:$B$197,MATCH(H720,Coordinates!$J$2:$J$197,0))</f>
        <v>-3.4062359670000002</v>
      </c>
      <c r="AL720">
        <f>INDEX(Coordinates!$C$2:$C$197,MATCH(H720,Coordinates!$J$2:$J$197,0))</f>
        <v>34.851107990000003</v>
      </c>
      <c r="AM720" t="str">
        <f>IF(ISNUMBER(SEARCH("C", 'WetLitterbags placem_collection'!$Y61)),"YES","NO")</f>
        <v>NO</v>
      </c>
      <c r="AN720" t="str">
        <f>IF(ISNUMBER(SEARCH("H", 'WetLitterbags placem_collection'!$Y61)),"YES","NO")</f>
        <v>NO</v>
      </c>
      <c r="AO720" t="str">
        <f>IF(ISNUMBER(SEARCH("R", 'WetLitterbags placem_collection'!$Y61)),"YES","NO")</f>
        <v>NO</v>
      </c>
    </row>
    <row r="721" spans="1:41" ht="15" customHeight="1">
      <c r="A721" s="255" t="s">
        <v>2454</v>
      </c>
      <c r="B721" s="260">
        <f>'Dry_Litterbag Placem_Collection'!A62</f>
        <v>60</v>
      </c>
      <c r="C721" s="260" t="str">
        <f>'Dry_Litterbag Placem_Collection'!B62</f>
        <v>Makao</v>
      </c>
      <c r="D721" s="260" t="s">
        <v>2643</v>
      </c>
      <c r="E721" s="260" t="s">
        <v>20</v>
      </c>
      <c r="F721" s="260">
        <v>4</v>
      </c>
      <c r="G721" s="260" t="s">
        <v>3809</v>
      </c>
      <c r="H721" s="261" t="str">
        <f>'Dry_Litterbag Placem_Collection'!C62</f>
        <v>Dry_P4_T4</v>
      </c>
      <c r="I721" s="270" t="s">
        <v>3630</v>
      </c>
      <c r="J721" s="271" t="s">
        <v>298</v>
      </c>
      <c r="K721" s="221" t="str">
        <f>'WetLitterbags placem_collection'!Q62</f>
        <v>R390</v>
      </c>
      <c r="L721" s="223">
        <f>IFERROR(INDEX('Green_rooibos initial weight'!$C$5:$C$2000,MATCH(K721, 'Green_rooibos initial weight'!$A$5:$A$2000,0)),"")</f>
        <v>2.2480000000000002</v>
      </c>
      <c r="M721" s="223">
        <f>IFERROR(L721-(TBIcalc!$H$9+TBIcalc!$H$10),"")</f>
        <v>1.9982000000000002</v>
      </c>
      <c r="N721" s="385">
        <f>AVERAGE(Ashed_controlls!$K$2:$K$11)</f>
        <v>5.5147656768714146</v>
      </c>
      <c r="O721" s="223">
        <f t="shared" si="56"/>
        <v>1.8880039522447556</v>
      </c>
      <c r="P721" s="223">
        <f>IFERROR(INDEX('Both teabags AfterWet'!$C$3:$C$840,MATCH(K721,'Both teabags AfterWet'!$A$3:$A$840,0)),"")</f>
        <v>1.5309999999999999</v>
      </c>
      <c r="Q721" s="223">
        <f>IFERROR(IF(P721&gt;0,P721-(TBIcalc!$H$9),""),"")</f>
        <v>1.3803999999999998</v>
      </c>
      <c r="R721" s="223">
        <f>IFERROR(INDEX('Ashed teabags wet'!$K$2:$K$2000,MATCH(K721,'Ashed teabags wet'!$A$2:$A$2000,0)),"")</f>
        <v>9.7068716962994532</v>
      </c>
      <c r="S721" s="223">
        <f t="shared" si="57"/>
        <v>1.2464063431042822</v>
      </c>
      <c r="T721" s="224">
        <f>'WetLitterbags placem_collection'!E62</f>
        <v>42766</v>
      </c>
      <c r="U721" s="224">
        <f>IF('WetLitterbags placem_collection'!G62="","",'WetLitterbags placem_collection'!G62)</f>
        <v>42820</v>
      </c>
      <c r="V721" s="225">
        <f t="shared" si="55"/>
        <v>54</v>
      </c>
      <c r="W721" s="223">
        <f t="shared" si="58"/>
        <v>0.61780000000000035</v>
      </c>
      <c r="X721" s="223">
        <f t="shared" si="59"/>
        <v>0.64159760914047337</v>
      </c>
      <c r="Y721">
        <f>IFERROR(INDEX(Rainfall_Wet!$O$2:$O$217,MATCH(B721, Rainfall_Wet!$A$2:$A$217,0)),"")</f>
        <v>214.262898705</v>
      </c>
      <c r="Z721" s="228">
        <v>25.96</v>
      </c>
      <c r="AA721" s="228">
        <v>6.9200000000000008</v>
      </c>
      <c r="AB721" s="228">
        <v>67.12</v>
      </c>
      <c r="AC721" s="229" t="s">
        <v>2654</v>
      </c>
      <c r="AD721" s="228">
        <v>1.7568260226712666</v>
      </c>
      <c r="AE721">
        <f>IF('WetLitterbags placem_collection'!AB62="","",'WetLitterbags placem_collection'!AB62)</f>
        <v>2.4</v>
      </c>
      <c r="AF721">
        <f>IF('WetLitterbags placem_collection'!Z62="","",'WetLitterbags placem_collection'!Z62)</f>
        <v>10.199999999999999</v>
      </c>
      <c r="AG721" s="243" t="str">
        <f>IF('WetLitterbags placem_collection'!AA62="","",'WetLitterbags placem_collection'!AA62)</f>
        <v>O</v>
      </c>
      <c r="AH721">
        <f>IF('WetLitterbags placem_collection'!AC62="","",'WetLitterbags placem_collection'!AC62)</f>
        <v>0</v>
      </c>
      <c r="AI721">
        <f>AVERAGE('WetLitterbags placem_collection'!S62,'WetLitterbags placem_collection'!U62)</f>
        <v>22.5</v>
      </c>
      <c r="AJ721">
        <f>AVERAGE('WetLitterbags placem_collection'!R62,'WetLitterbags placem_collection'!T62)</f>
        <v>28.6</v>
      </c>
      <c r="AK721">
        <f>INDEX(Coordinates!$B$2:$B$197,MATCH(H721,Coordinates!$J$2:$J$197,0))</f>
        <v>-3.406281983</v>
      </c>
      <c r="AL721">
        <f>INDEX(Coordinates!$C$2:$C$197,MATCH(H721,Coordinates!$J$2:$J$197,0))</f>
        <v>34.85137898</v>
      </c>
      <c r="AM721" t="str">
        <f>IF(ISNUMBER(SEARCH("C", 'WetLitterbags placem_collection'!$Y62)),"YES","NO")</f>
        <v>NO</v>
      </c>
      <c r="AN721" t="str">
        <f>IF(ISNUMBER(SEARCH("H", 'WetLitterbags placem_collection'!$Y62)),"YES","NO")</f>
        <v>YES</v>
      </c>
      <c r="AO721" t="str">
        <f>IF(ISNUMBER(SEARCH("R", 'WetLitterbags placem_collection'!$Y62)),"YES","NO")</f>
        <v>NO</v>
      </c>
    </row>
    <row r="722" spans="1:41" ht="15" customHeight="1">
      <c r="A722" s="255" t="s">
        <v>2454</v>
      </c>
      <c r="B722" s="260">
        <f>'Dry_Litterbag Placem_Collection'!A63</f>
        <v>61</v>
      </c>
      <c r="C722" s="260" t="str">
        <f>'Dry_Litterbag Placem_Collection'!B63</f>
        <v>Makao</v>
      </c>
      <c r="D722" s="260" t="s">
        <v>2643</v>
      </c>
      <c r="E722" s="260" t="s">
        <v>20</v>
      </c>
      <c r="F722" s="260">
        <v>4</v>
      </c>
      <c r="G722" s="260" t="s">
        <v>3809</v>
      </c>
      <c r="H722" s="261" t="str">
        <f>'Dry_Litterbag Placem_Collection'!C63</f>
        <v>Dry_P4_T5</v>
      </c>
      <c r="I722" s="270" t="s">
        <v>3630</v>
      </c>
      <c r="J722" s="271" t="s">
        <v>298</v>
      </c>
      <c r="K722" s="221" t="str">
        <f>'WetLitterbags placem_collection'!Q63</f>
        <v>R143</v>
      </c>
      <c r="L722" s="223">
        <f>IFERROR(INDEX('Green_rooibos initial weight'!$C$5:$C$2000,MATCH(K722, 'Green_rooibos initial weight'!$A$5:$A$2000,0)),"")</f>
        <v>2.1560000000000001</v>
      </c>
      <c r="M722" s="223">
        <f>IFERROR(L722-(TBIcalc!$H$9+TBIcalc!$H$10),"")</f>
        <v>1.9062000000000001</v>
      </c>
      <c r="N722" s="385">
        <f>AVERAGE(Ashed_controlls!$K$2:$K$11)</f>
        <v>5.5147656768714146</v>
      </c>
      <c r="O722" s="223">
        <f t="shared" si="56"/>
        <v>1.8010775366674772</v>
      </c>
      <c r="P722" s="223">
        <f>IFERROR(INDEX('Both teabags AfterWet'!$C$3:$C$840,MATCH(K722,'Both teabags AfterWet'!$A$3:$A$840,0)),"")</f>
        <v>1.581</v>
      </c>
      <c r="Q722" s="223">
        <f>IFERROR(IF(P722&gt;0,P722-(TBIcalc!$H$9),""),"")</f>
        <v>1.4303999999999999</v>
      </c>
      <c r="R722" s="223">
        <f>IFERROR(INDEX('Ashed teabags wet'!$K$2:$K$2000,MATCH(K722,'Ashed teabags wet'!$A$2:$A$2000,0)),"")</f>
        <v>5.6762092793688481</v>
      </c>
      <c r="S722" s="223">
        <f t="shared" si="57"/>
        <v>1.349207502467908</v>
      </c>
      <c r="T722" s="224">
        <f>'WetLitterbags placem_collection'!E63</f>
        <v>42766</v>
      </c>
      <c r="U722" s="224">
        <f>IF('WetLitterbags placem_collection'!G63="","",'WetLitterbags placem_collection'!G63)</f>
        <v>42820</v>
      </c>
      <c r="V722" s="225">
        <f t="shared" si="55"/>
        <v>54</v>
      </c>
      <c r="W722" s="223">
        <f t="shared" si="58"/>
        <v>0.47580000000000022</v>
      </c>
      <c r="X722" s="223">
        <f t="shared" si="59"/>
        <v>0.45187003419956917</v>
      </c>
      <c r="Y722">
        <f>IFERROR(INDEX(Rainfall_Wet!$O$2:$O$217,MATCH(B722, Rainfall_Wet!$A$2:$A$217,0)),"")</f>
        <v>214.262898705</v>
      </c>
      <c r="Z722" s="228">
        <v>25.96</v>
      </c>
      <c r="AA722" s="228">
        <v>6.9200000000000008</v>
      </c>
      <c r="AB722" s="228">
        <v>67.12</v>
      </c>
      <c r="AC722" s="229" t="s">
        <v>2654</v>
      </c>
      <c r="AD722" s="228">
        <v>1.7568260226712666</v>
      </c>
      <c r="AE722">
        <f>IF('WetLitterbags placem_collection'!AB63="","",'WetLitterbags placem_collection'!AB63)</f>
        <v>5.6</v>
      </c>
      <c r="AF722">
        <f>IF('WetLitterbags placem_collection'!Z63="","",'WetLitterbags placem_collection'!Z63)</f>
        <v>34.200000000000003</v>
      </c>
      <c r="AG722" s="243" t="str">
        <f>IF('WetLitterbags placem_collection'!AA63="","",'WetLitterbags placem_collection'!AA63)</f>
        <v>O</v>
      </c>
      <c r="AH722">
        <f>IF('WetLitterbags placem_collection'!AC63="","",'WetLitterbags placem_collection'!AC63)</f>
        <v>0</v>
      </c>
      <c r="AI722">
        <f>AVERAGE('WetLitterbags placem_collection'!S63,'WetLitterbags placem_collection'!U63)</f>
        <v>20.399999999999999</v>
      </c>
      <c r="AJ722">
        <f>AVERAGE('WetLitterbags placem_collection'!R63,'WetLitterbags placem_collection'!T63)</f>
        <v>27.450000000000003</v>
      </c>
      <c r="AK722">
        <f>INDEX(Coordinates!$B$2:$B$197,MATCH(H722,Coordinates!$J$2:$J$197,0))</f>
        <v>-3.406569986</v>
      </c>
      <c r="AL722">
        <f>INDEX(Coordinates!$C$2:$C$197,MATCH(H722,Coordinates!$J$2:$J$197,0))</f>
        <v>34.851323989999997</v>
      </c>
      <c r="AM722" t="str">
        <f>IF(ISNUMBER(SEARCH("C", 'WetLitterbags placem_collection'!$Y63)),"YES","NO")</f>
        <v>NO</v>
      </c>
      <c r="AN722" t="str">
        <f>IF(ISNUMBER(SEARCH("H", 'WetLitterbags placem_collection'!$Y63)),"YES","NO")</f>
        <v>NO</v>
      </c>
      <c r="AO722" t="str">
        <f>IF(ISNUMBER(SEARCH("R", 'WetLitterbags placem_collection'!$Y63)),"YES","NO")</f>
        <v>NO</v>
      </c>
    </row>
    <row r="723" spans="1:41" ht="15" customHeight="1">
      <c r="A723" s="255" t="s">
        <v>2454</v>
      </c>
      <c r="B723" s="260">
        <f>'Dry_Litterbag Placem_Collection'!A64</f>
        <v>62</v>
      </c>
      <c r="C723" s="260" t="str">
        <f>'Dry_Litterbag Placem_Collection'!B64</f>
        <v>Makao</v>
      </c>
      <c r="D723" s="260" t="s">
        <v>2643</v>
      </c>
      <c r="E723" s="260" t="s">
        <v>20</v>
      </c>
      <c r="F723" s="260">
        <v>4</v>
      </c>
      <c r="G723" s="260" t="s">
        <v>3809</v>
      </c>
      <c r="H723" s="261" t="str">
        <f>'Dry_Litterbag Placem_Collection'!C64</f>
        <v>Dry_P4_T6</v>
      </c>
      <c r="I723" s="270" t="s">
        <v>3630</v>
      </c>
      <c r="J723" s="271" t="s">
        <v>298</v>
      </c>
      <c r="K723" s="221" t="str">
        <f>'WetLitterbags placem_collection'!Q64</f>
        <v>R448</v>
      </c>
      <c r="L723" s="223">
        <f>IFERROR(INDEX('Green_rooibos initial weight'!$C$5:$C$2000,MATCH(K723, 'Green_rooibos initial weight'!$A$5:$A$2000,0)),"")</f>
        <v>2.2029999999999998</v>
      </c>
      <c r="M723" s="223">
        <f>IFERROR(L723-(TBIcalc!$H$9+TBIcalc!$H$10),"")</f>
        <v>1.9531999999999998</v>
      </c>
      <c r="N723" s="385">
        <f>AVERAGE(Ashed_controlls!$K$2:$K$11)</f>
        <v>5.5147656768714146</v>
      </c>
      <c r="O723" s="223">
        <f t="shared" si="56"/>
        <v>1.8454855967993473</v>
      </c>
      <c r="P723" s="223">
        <f>IFERROR(INDEX('Both teabags AfterWet'!$C$3:$C$840,MATCH(K723,'Both teabags AfterWet'!$A$3:$A$840,0)),"")</f>
        <v>1.5379</v>
      </c>
      <c r="Q723" s="223">
        <f>IFERROR(IF(P723&gt;0,P723-(TBIcalc!$H$9),""),"")</f>
        <v>1.3873</v>
      </c>
      <c r="R723" s="223">
        <f>IFERROR(INDEX('Ashed teabags wet'!$K$2:$K$2000,MATCH(K723,'Ashed teabags wet'!$A$2:$A$2000,0)),"")</f>
        <v>6.7460317460323242</v>
      </c>
      <c r="S723" s="223">
        <f t="shared" si="57"/>
        <v>1.2937123015872936</v>
      </c>
      <c r="T723" s="224">
        <f>'WetLitterbags placem_collection'!E64</f>
        <v>42766</v>
      </c>
      <c r="U723" s="224">
        <f>IF('WetLitterbags placem_collection'!G64="","",'WetLitterbags placem_collection'!G64)</f>
        <v>42820</v>
      </c>
      <c r="V723" s="225">
        <f t="shared" si="55"/>
        <v>54</v>
      </c>
      <c r="W723" s="223">
        <f t="shared" si="58"/>
        <v>0.56589999999999985</v>
      </c>
      <c r="X723" s="223">
        <f t="shared" si="59"/>
        <v>0.55177329521205376</v>
      </c>
      <c r="Y723">
        <f>IFERROR(INDEX(Rainfall_Wet!$O$2:$O$217,MATCH(B723, Rainfall_Wet!$A$2:$A$217,0)),"")</f>
        <v>214.262898705</v>
      </c>
      <c r="Z723" s="228">
        <v>25.96</v>
      </c>
      <c r="AA723" s="228">
        <v>6.9200000000000008</v>
      </c>
      <c r="AB723" s="228">
        <v>67.12</v>
      </c>
      <c r="AC723" s="229" t="s">
        <v>2654</v>
      </c>
      <c r="AD723" s="228">
        <v>1.7568260226712666</v>
      </c>
      <c r="AE723">
        <f>IF('WetLitterbags placem_collection'!AB64="","",'WetLitterbags placem_collection'!AB64)</f>
        <v>4.2</v>
      </c>
      <c r="AF723">
        <f>IF('WetLitterbags placem_collection'!Z64="","",'WetLitterbags placem_collection'!Z64)</f>
        <v>40.4</v>
      </c>
      <c r="AG723" s="243" t="str">
        <f>IF('WetLitterbags placem_collection'!AA64="","",'WetLitterbags placem_collection'!AA64)</f>
        <v>O</v>
      </c>
      <c r="AH723">
        <f>IF('WetLitterbags placem_collection'!AC64="","",'WetLitterbags placem_collection'!AC64)</f>
        <v>0</v>
      </c>
      <c r="AI723">
        <f>AVERAGE('WetLitterbags placem_collection'!S64,'WetLitterbags placem_collection'!U64)</f>
        <v>24.7</v>
      </c>
      <c r="AJ723">
        <f>AVERAGE('WetLitterbags placem_collection'!R64,'WetLitterbags placem_collection'!T64)</f>
        <v>26.799999999999997</v>
      </c>
      <c r="AK723">
        <f>INDEX(Coordinates!$B$2:$B$197,MATCH(H723,Coordinates!$J$2:$J$197,0))</f>
        <v>-3.4065180179999999</v>
      </c>
      <c r="AL723">
        <f>INDEX(Coordinates!$C$2:$C$197,MATCH(H723,Coordinates!$J$2:$J$197,0))</f>
        <v>34.85121402</v>
      </c>
      <c r="AM723" t="str">
        <f>IF(ISNUMBER(SEARCH("C", 'WetLitterbags placem_collection'!$Y64)),"YES","NO")</f>
        <v>NO</v>
      </c>
      <c r="AN723" t="str">
        <f>IF(ISNUMBER(SEARCH("H", 'WetLitterbags placem_collection'!$Y64)),"YES","NO")</f>
        <v>NO</v>
      </c>
      <c r="AO723" t="str">
        <f>IF(ISNUMBER(SEARCH("R", 'WetLitterbags placem_collection'!$Y64)),"YES","NO")</f>
        <v>NO</v>
      </c>
    </row>
    <row r="724" spans="1:41" ht="15" customHeight="1">
      <c r="A724" s="255" t="s">
        <v>2454</v>
      </c>
      <c r="B724" s="260">
        <f>'Dry_Litterbag Placem_Collection'!A65</f>
        <v>63</v>
      </c>
      <c r="C724" s="260" t="str">
        <f>'Dry_Litterbag Placem_Collection'!B65</f>
        <v>Makao</v>
      </c>
      <c r="D724" s="260" t="s">
        <v>2643</v>
      </c>
      <c r="E724" s="260" t="s">
        <v>20</v>
      </c>
      <c r="F724" s="260">
        <v>4</v>
      </c>
      <c r="G724" s="260" t="s">
        <v>3809</v>
      </c>
      <c r="H724" s="261" t="str">
        <f>'Dry_Litterbag Placem_Collection'!C65</f>
        <v>Dry_P4_T7</v>
      </c>
      <c r="I724" s="270" t="s">
        <v>3630</v>
      </c>
      <c r="J724" s="271" t="s">
        <v>298</v>
      </c>
      <c r="K724" s="221" t="str">
        <f>'WetLitterbags placem_collection'!Q65</f>
        <v>R423</v>
      </c>
      <c r="L724" s="223">
        <f>IFERROR(INDEX('Green_rooibos initial weight'!$C$5:$C$2000,MATCH(K724, 'Green_rooibos initial weight'!$A$5:$A$2000,0)),"")</f>
        <v>2.1760000000000002</v>
      </c>
      <c r="M724" s="223">
        <f>IFERROR(L724-(TBIcalc!$H$9+TBIcalc!$H$10),"")</f>
        <v>1.9262000000000001</v>
      </c>
      <c r="N724" s="385">
        <f>AVERAGE(Ashed_controlls!$K$2:$K$11)</f>
        <v>5.5147656768714146</v>
      </c>
      <c r="O724" s="223">
        <f t="shared" si="56"/>
        <v>1.8199745835321028</v>
      </c>
      <c r="P724" s="223">
        <f>IFERROR(INDEX('Both teabags AfterWet'!$C$3:$C$840,MATCH(K724,'Both teabags AfterWet'!$A$3:$A$840,0)),"")</f>
        <v>1.6359999999999999</v>
      </c>
      <c r="Q724" s="223">
        <f>IFERROR(IF(P724&gt;0,P724-(TBIcalc!$H$9),""),"")</f>
        <v>1.4853999999999998</v>
      </c>
      <c r="R724" s="223">
        <f>IFERROR(INDEX('Ashed teabags wet'!$K$2:$K$2000,MATCH(K724,'Ashed teabags wet'!$A$2:$A$2000,0)),"")</f>
        <v>8.0404429465571852</v>
      </c>
      <c r="S724" s="223">
        <f t="shared" si="57"/>
        <v>1.3659672604718394</v>
      </c>
      <c r="T724" s="224">
        <f>'WetLitterbags placem_collection'!E65</f>
        <v>42766</v>
      </c>
      <c r="U724" s="224">
        <f>IF('WetLitterbags placem_collection'!G65="","",'WetLitterbags placem_collection'!G65)</f>
        <v>42820</v>
      </c>
      <c r="V724" s="225">
        <f t="shared" si="55"/>
        <v>54</v>
      </c>
      <c r="W724" s="223">
        <f t="shared" si="58"/>
        <v>0.4408000000000003</v>
      </c>
      <c r="X724" s="223">
        <f t="shared" si="59"/>
        <v>0.45400732306026348</v>
      </c>
      <c r="Y724">
        <f>IFERROR(INDEX(Rainfall_Wet!$O$2:$O$217,MATCH(B724, Rainfall_Wet!$A$2:$A$217,0)),"")</f>
        <v>214.262898705</v>
      </c>
      <c r="Z724" s="228">
        <v>25.96</v>
      </c>
      <c r="AA724" s="228">
        <v>6.9200000000000008</v>
      </c>
      <c r="AB724" s="228">
        <v>67.12</v>
      </c>
      <c r="AC724" s="229" t="s">
        <v>2654</v>
      </c>
      <c r="AD724" s="228">
        <v>1.7568260226712666</v>
      </c>
      <c r="AE724">
        <f>IF('WetLitterbags placem_collection'!AB65="","",'WetLitterbags placem_collection'!AB65)</f>
        <v>4.9000000000000004</v>
      </c>
      <c r="AF724">
        <f>IF('WetLitterbags placem_collection'!Z65="","",'WetLitterbags placem_collection'!Z65)</f>
        <v>45</v>
      </c>
      <c r="AG724" s="243" t="str">
        <f>IF('WetLitterbags placem_collection'!AA65="","",'WetLitterbags placem_collection'!AA65)</f>
        <v>O</v>
      </c>
      <c r="AH724">
        <f>IF('WetLitterbags placem_collection'!AC65="","",'WetLitterbags placem_collection'!AC65)</f>
        <v>0</v>
      </c>
      <c r="AI724">
        <f>AVERAGE('WetLitterbags placem_collection'!S65,'WetLitterbags placem_collection'!U65)</f>
        <v>22.9</v>
      </c>
      <c r="AJ724">
        <f>AVERAGE('WetLitterbags placem_collection'!R65,'WetLitterbags placem_collection'!T65)</f>
        <v>28.25</v>
      </c>
      <c r="AK724">
        <f>INDEX(Coordinates!$B$2:$B$197,MATCH(H724,Coordinates!$J$2:$J$197,0))</f>
        <v>-3.406334035</v>
      </c>
      <c r="AL724">
        <f>INDEX(Coordinates!$C$2:$C$197,MATCH(H724,Coordinates!$J$2:$J$197,0))</f>
        <v>34.851172030000001</v>
      </c>
      <c r="AM724" t="str">
        <f>IF(ISNUMBER(SEARCH("C", 'WetLitterbags placem_collection'!$Y65)),"YES","NO")</f>
        <v>NO</v>
      </c>
      <c r="AN724" t="str">
        <f>IF(ISNUMBER(SEARCH("H", 'WetLitterbags placem_collection'!$Y65)),"YES","NO")</f>
        <v>NO</v>
      </c>
      <c r="AO724" t="str">
        <f>IF(ISNUMBER(SEARCH("R", 'WetLitterbags placem_collection'!$Y65)),"YES","NO")</f>
        <v>YES</v>
      </c>
    </row>
    <row r="725" spans="1:41" ht="15" customHeight="1">
      <c r="A725" s="255" t="s">
        <v>2454</v>
      </c>
      <c r="B725" s="260">
        <f>'Dry_Litterbag Placem_Collection'!A66</f>
        <v>64</v>
      </c>
      <c r="C725" s="260" t="str">
        <f>'Dry_Litterbag Placem_Collection'!B66</f>
        <v>Makao</v>
      </c>
      <c r="D725" s="260" t="s">
        <v>2643</v>
      </c>
      <c r="E725" s="260" t="s">
        <v>20</v>
      </c>
      <c r="F725" s="260">
        <v>4</v>
      </c>
      <c r="G725" s="260" t="s">
        <v>3809</v>
      </c>
      <c r="H725" s="261" t="str">
        <f>'Dry_Litterbag Placem_Collection'!C66</f>
        <v>Dry_P4_T8</v>
      </c>
      <c r="I725" s="270" t="s">
        <v>3630</v>
      </c>
      <c r="J725" s="271" t="s">
        <v>298</v>
      </c>
      <c r="K725" s="221" t="str">
        <f>'WetLitterbags placem_collection'!Q66</f>
        <v>R550</v>
      </c>
      <c r="L725" s="223">
        <f>IFERROR(INDEX('Green_rooibos initial weight'!$C$5:$C$2000,MATCH(K725, 'Green_rooibos initial weight'!$A$5:$A$2000,0)),"")</f>
        <v>2.177</v>
      </c>
      <c r="M725" s="223">
        <f>IFERROR(L725-(TBIcalc!$H$9+TBIcalc!$H$10),"")</f>
        <v>1.9272</v>
      </c>
      <c r="N725" s="385">
        <f>AVERAGE(Ashed_controlls!$K$2:$K$11)</f>
        <v>5.5147656768714146</v>
      </c>
      <c r="O725" s="223">
        <f t="shared" si="56"/>
        <v>1.8209194358753342</v>
      </c>
      <c r="P725" s="223">
        <f>IFERROR(INDEX('Both teabags AfterWet'!$C$3:$C$840,MATCH(K725,'Both teabags AfterWet'!$A$3:$A$840,0)),"")</f>
        <v>1.6930000000000001</v>
      </c>
      <c r="Q725" s="223">
        <f>IFERROR(IF(P725&gt;0,P725-(TBIcalc!$H$9),""),"")</f>
        <v>1.5424</v>
      </c>
      <c r="R725" s="223">
        <f>IFERROR(INDEX('Ashed teabags wet'!$K$2:$K$2000,MATCH(K725,'Ashed teabags wet'!$A$2:$A$2000,0)),"")</f>
        <v>15.844027640671007</v>
      </c>
      <c r="S725" s="223">
        <f t="shared" si="57"/>
        <v>1.2980217176702904</v>
      </c>
      <c r="T725" s="224">
        <f>'WetLitterbags placem_collection'!E66</f>
        <v>42766</v>
      </c>
      <c r="U725" s="224">
        <f>IF('WetLitterbags placem_collection'!G66="","",'WetLitterbags placem_collection'!G66)</f>
        <v>42820</v>
      </c>
      <c r="V725" s="225">
        <f t="shared" si="55"/>
        <v>54</v>
      </c>
      <c r="W725" s="223">
        <f t="shared" si="58"/>
        <v>0.38480000000000003</v>
      </c>
      <c r="X725" s="223">
        <f t="shared" si="59"/>
        <v>0.52289771820504383</v>
      </c>
      <c r="Y725">
        <f>IFERROR(INDEX(Rainfall_Wet!$O$2:$O$217,MATCH(B725, Rainfall_Wet!$A$2:$A$217,0)),"")</f>
        <v>214.262898705</v>
      </c>
      <c r="Z725" s="228">
        <v>25.96</v>
      </c>
      <c r="AA725" s="228">
        <v>6.9200000000000008</v>
      </c>
      <c r="AB725" s="228">
        <v>67.12</v>
      </c>
      <c r="AC725" s="229" t="s">
        <v>2654</v>
      </c>
      <c r="AD725" s="228">
        <v>1.7568260226712666</v>
      </c>
      <c r="AE725">
        <f>IF('WetLitterbags placem_collection'!AB66="","",'WetLitterbags placem_collection'!AB66)</f>
        <v>3</v>
      </c>
      <c r="AF725">
        <f>IF('WetLitterbags placem_collection'!Z66="","",'WetLitterbags placem_collection'!Z66)</f>
        <v>22.8</v>
      </c>
      <c r="AG725" s="243" t="str">
        <f>IF('WetLitterbags placem_collection'!AA66="","",'WetLitterbags placem_collection'!AA66)</f>
        <v>O</v>
      </c>
      <c r="AH725">
        <f>IF('WetLitterbags placem_collection'!AC66="","",'WetLitterbags placem_collection'!AC66)</f>
        <v>1</v>
      </c>
      <c r="AI725">
        <f>AVERAGE('WetLitterbags placem_collection'!S66,'WetLitterbags placem_collection'!U66)</f>
        <v>34.6</v>
      </c>
      <c r="AJ725">
        <f>AVERAGE('WetLitterbags placem_collection'!R66,'WetLitterbags placem_collection'!T66)</f>
        <v>22.7</v>
      </c>
      <c r="AK725">
        <f>INDEX(Coordinates!$B$2:$B$197,MATCH(H725,Coordinates!$J$2:$J$197,0))</f>
        <v>-3.4063409920000001</v>
      </c>
      <c r="AL725">
        <f>INDEX(Coordinates!$C$2:$C$197,MATCH(H725,Coordinates!$J$2:$J$197,0))</f>
        <v>34.85126004</v>
      </c>
      <c r="AM725" t="str">
        <f>IF(ISNUMBER(SEARCH("C", 'WetLitterbags placem_collection'!$Y66)),"YES","NO")</f>
        <v>NO</v>
      </c>
      <c r="AN725" t="str">
        <f>IF(ISNUMBER(SEARCH("H", 'WetLitterbags placem_collection'!$Y66)),"YES","NO")</f>
        <v>NO</v>
      </c>
      <c r="AO725" t="str">
        <f>IF(ISNUMBER(SEARCH("R", 'WetLitterbags placem_collection'!$Y66)),"YES","NO")</f>
        <v>NO</v>
      </c>
    </row>
    <row r="726" spans="1:41" ht="15" customHeight="1">
      <c r="A726" s="255" t="s">
        <v>2454</v>
      </c>
      <c r="B726" s="260">
        <f>'Dry_Litterbag Placem_Collection'!A67</f>
        <v>65</v>
      </c>
      <c r="C726" s="260" t="str">
        <f>'Dry_Litterbag Placem_Collection'!B67</f>
        <v>Maswa</v>
      </c>
      <c r="D726" s="260" t="s">
        <v>2643</v>
      </c>
      <c r="E726" s="260" t="s">
        <v>2645</v>
      </c>
      <c r="F726" s="260">
        <v>1</v>
      </c>
      <c r="G726" s="260" t="s">
        <v>3810</v>
      </c>
      <c r="H726" s="261" t="str">
        <f>'Dry_Litterbag Placem_Collection'!C67</f>
        <v>Dry_W1_T1</v>
      </c>
      <c r="I726" s="270" t="s">
        <v>3630</v>
      </c>
      <c r="J726" s="271" t="s">
        <v>298</v>
      </c>
      <c r="K726" s="221" t="str">
        <f>'WetLitterbags placem_collection'!Q67</f>
        <v>R333</v>
      </c>
      <c r="L726" s="223">
        <f>IFERROR(INDEX('Green_rooibos initial weight'!$C$5:$C$2000,MATCH(K726, 'Green_rooibos initial weight'!$A$5:$A$2000,0)),"")</f>
        <v>2.27</v>
      </c>
      <c r="M726" s="223">
        <f>IFERROR(L726-(TBIcalc!$H$9+TBIcalc!$H$10),"")</f>
        <v>2.0202</v>
      </c>
      <c r="N726" s="385">
        <f>AVERAGE(Ashed_controlls!$K$2:$K$11)</f>
        <v>5.5147656768714146</v>
      </c>
      <c r="O726" s="223">
        <f t="shared" si="56"/>
        <v>1.9087907037958436</v>
      </c>
      <c r="P726" s="223">
        <f>IFERROR(INDEX('Both teabags AfterWet'!$C$3:$C$840,MATCH(K726,'Both teabags AfterWet'!$A$3:$A$840,0)),"")</f>
        <v>1.6319999999999999</v>
      </c>
      <c r="Q726" s="223">
        <f>IFERROR(IF(P726&gt;0,P726-(TBIcalc!$H$9),""),"")</f>
        <v>1.4813999999999998</v>
      </c>
      <c r="R726" s="223">
        <f>IFERROR(INDEX('Ashed teabags wet'!$K$2:$K$2000,MATCH(K726,'Ashed teabags wet'!$A$2:$A$2000,0)),"")</f>
        <v>3.9440838741890998</v>
      </c>
      <c r="S726" s="223">
        <f t="shared" si="57"/>
        <v>1.4229723414877624</v>
      </c>
      <c r="T726" s="224">
        <f>'WetLitterbags placem_collection'!E67</f>
        <v>42767</v>
      </c>
      <c r="U726" s="224">
        <f>IF('WetLitterbags placem_collection'!G67="","",'WetLitterbags placem_collection'!G67)</f>
        <v>42818</v>
      </c>
      <c r="V726" s="225">
        <f t="shared" si="55"/>
        <v>51</v>
      </c>
      <c r="W726" s="223">
        <f t="shared" si="58"/>
        <v>0.53880000000000017</v>
      </c>
      <c r="X726" s="223">
        <f t="shared" si="59"/>
        <v>0.48581836230808118</v>
      </c>
      <c r="Y726">
        <f>IFERROR(INDEX(Rainfall_Wet!$O$2:$O$217,MATCH(B726, Rainfall_Wet!$A$2:$A$217,0)),"")</f>
        <v>185.630065823</v>
      </c>
      <c r="Z726" s="228">
        <v>47.96</v>
      </c>
      <c r="AA726" s="228">
        <v>22.919999999999995</v>
      </c>
      <c r="AB726" s="228">
        <v>29.120000000000012</v>
      </c>
      <c r="AC726" s="229" t="s">
        <v>2657</v>
      </c>
      <c r="AD726" s="228">
        <v>2.8831936914736325</v>
      </c>
      <c r="AE726">
        <f>IF('WetLitterbags placem_collection'!AB67="","",'WetLitterbags placem_collection'!AB67)</f>
        <v>13.8</v>
      </c>
      <c r="AF726">
        <f>IF('WetLitterbags placem_collection'!Z67="","",'WetLitterbags placem_collection'!Z67)</f>
        <v>13.8</v>
      </c>
      <c r="AG726" s="243" t="str">
        <f>IF('WetLitterbags placem_collection'!AA67="","",'WetLitterbags placem_collection'!AA67)</f>
        <v>O</v>
      </c>
      <c r="AH726">
        <f>IF('WetLitterbags placem_collection'!AC67="","",'WetLitterbags placem_collection'!AC67)</f>
        <v>1</v>
      </c>
      <c r="AI726">
        <f>AVERAGE('WetLitterbags placem_collection'!S67,'WetLitterbags placem_collection'!U67)</f>
        <v>32.299999999999997</v>
      </c>
      <c r="AJ726">
        <f>AVERAGE('WetLitterbags placem_collection'!R67,'WetLitterbags placem_collection'!T67)</f>
        <v>22.75</v>
      </c>
      <c r="AK726">
        <f>INDEX(Coordinates!$B$2:$B$197,MATCH(H726,Coordinates!$J$2:$J$197,0))</f>
        <v>-3.2993960379999998</v>
      </c>
      <c r="AL726">
        <f>INDEX(Coordinates!$C$2:$C$197,MATCH(H726,Coordinates!$J$2:$J$197,0))</f>
        <v>34.848240959999998</v>
      </c>
      <c r="AM726" t="str">
        <f>IF(ISNUMBER(SEARCH("C", 'WetLitterbags placem_collection'!$Y67)),"YES","NO")</f>
        <v>NO</v>
      </c>
      <c r="AN726" t="str">
        <f>IF(ISNUMBER(SEARCH("H", 'WetLitterbags placem_collection'!$Y67)),"YES","NO")</f>
        <v>NO</v>
      </c>
      <c r="AO726" t="str">
        <f>IF(ISNUMBER(SEARCH("R", 'WetLitterbags placem_collection'!$Y67)),"YES","NO")</f>
        <v>YES</v>
      </c>
    </row>
    <row r="727" spans="1:41" ht="15" customHeight="1">
      <c r="A727" s="255" t="s">
        <v>2454</v>
      </c>
      <c r="B727" s="260">
        <f>'Dry_Litterbag Placem_Collection'!A68</f>
        <v>66</v>
      </c>
      <c r="C727" s="260" t="str">
        <f>'Dry_Litterbag Placem_Collection'!B68</f>
        <v>Maswa</v>
      </c>
      <c r="D727" s="260" t="s">
        <v>2643</v>
      </c>
      <c r="E727" s="260" t="s">
        <v>2645</v>
      </c>
      <c r="F727" s="260">
        <v>1</v>
      </c>
      <c r="G727" s="260" t="s">
        <v>3810</v>
      </c>
      <c r="H727" s="261" t="str">
        <f>'Dry_Litterbag Placem_Collection'!C68</f>
        <v>Dry_W1_T2</v>
      </c>
      <c r="I727" s="270" t="s">
        <v>3630</v>
      </c>
      <c r="J727" s="271" t="s">
        <v>298</v>
      </c>
      <c r="K727" s="221" t="str">
        <f>'WetLitterbags placem_collection'!Q68</f>
        <v>R252</v>
      </c>
      <c r="L727" s="223">
        <f>IFERROR(INDEX('Green_rooibos initial weight'!$C$5:$C$2000,MATCH(K727, 'Green_rooibos initial weight'!$A$5:$A$2000,0)),"")</f>
        <v>2.2069999999999999</v>
      </c>
      <c r="M727" s="223">
        <f>IFERROR(L727-(TBIcalc!$H$9+TBIcalc!$H$10),"")</f>
        <v>1.9571999999999998</v>
      </c>
      <c r="N727" s="385">
        <f>AVERAGE(Ashed_controlls!$K$2:$K$11)</f>
        <v>5.5147656768714146</v>
      </c>
      <c r="O727" s="223">
        <f t="shared" si="56"/>
        <v>1.8492650061722724</v>
      </c>
      <c r="P727" s="223">
        <f>IFERROR(INDEX('Both teabags AfterWet'!$C$3:$C$840,MATCH(K727,'Both teabags AfterWet'!$A$3:$A$840,0)),"")</f>
        <v>1.6584000000000001</v>
      </c>
      <c r="Q727" s="223">
        <f>IFERROR(IF(P727&gt;0,P727-(TBIcalc!$H$9),""),"")</f>
        <v>1.5078</v>
      </c>
      <c r="R727" s="223">
        <f>IFERROR(INDEX('Ashed teabags wet'!$K$2:$K$2000,MATCH(K727,'Ashed teabags wet'!$A$2:$A$2000,0)),"")</f>
        <v>8.0431584109849048</v>
      </c>
      <c r="S727" s="223">
        <f t="shared" si="57"/>
        <v>1.3865252574791695</v>
      </c>
      <c r="T727" s="224">
        <f>'WetLitterbags placem_collection'!E68</f>
        <v>42767</v>
      </c>
      <c r="U727" s="224">
        <f>IF('WetLitterbags placem_collection'!G68="","",'WetLitterbags placem_collection'!G68)</f>
        <v>42818</v>
      </c>
      <c r="V727" s="225">
        <f t="shared" si="55"/>
        <v>51</v>
      </c>
      <c r="W727" s="223">
        <f t="shared" si="58"/>
        <v>0.4493999999999998</v>
      </c>
      <c r="X727" s="223">
        <f t="shared" si="59"/>
        <v>0.46273974869310286</v>
      </c>
      <c r="Y727">
        <f>IFERROR(INDEX(Rainfall_Wet!$O$2:$O$217,MATCH(B727, Rainfall_Wet!$A$2:$A$217,0)),"")</f>
        <v>185.630065823</v>
      </c>
      <c r="Z727" s="228">
        <v>47.96</v>
      </c>
      <c r="AA727" s="228">
        <v>22.919999999999995</v>
      </c>
      <c r="AB727" s="228">
        <v>29.120000000000012</v>
      </c>
      <c r="AC727" s="229" t="s">
        <v>2657</v>
      </c>
      <c r="AD727" s="228">
        <v>3.8831936914736298</v>
      </c>
      <c r="AE727">
        <f>IF('WetLitterbags placem_collection'!AB68="","",'WetLitterbags placem_collection'!AB68)</f>
        <v>8</v>
      </c>
      <c r="AF727">
        <f>IF('WetLitterbags placem_collection'!Z68="","",'WetLitterbags placem_collection'!Z68)</f>
        <v>19.8</v>
      </c>
      <c r="AG727" s="243" t="str">
        <f>IF('WetLitterbags placem_collection'!AA68="","",'WetLitterbags placem_collection'!AA68)</f>
        <v>O</v>
      </c>
      <c r="AH727">
        <f>IF('WetLitterbags placem_collection'!AC68="","",'WetLitterbags placem_collection'!AC68)</f>
        <v>1</v>
      </c>
      <c r="AI727">
        <f>AVERAGE('WetLitterbags placem_collection'!S68,'WetLitterbags placem_collection'!U68)</f>
        <v>30.6</v>
      </c>
      <c r="AJ727">
        <f>AVERAGE('WetLitterbags placem_collection'!R68,'WetLitterbags placem_collection'!T68)</f>
        <v>21.95</v>
      </c>
      <c r="AK727">
        <f>INDEX(Coordinates!$B$2:$B$197,MATCH(H727,Coordinates!$J$2:$J$197,0))</f>
        <v>-3.2993090340000002</v>
      </c>
      <c r="AL727">
        <f>INDEX(Coordinates!$C$2:$C$197,MATCH(H727,Coordinates!$J$2:$J$197,0))</f>
        <v>34.848404989999999</v>
      </c>
      <c r="AM727" t="str">
        <f>IF(ISNUMBER(SEARCH("C", 'WetLitterbags placem_collection'!$Y68)),"YES","NO")</f>
        <v>NO</v>
      </c>
      <c r="AN727" t="str">
        <f>IF(ISNUMBER(SEARCH("H", 'WetLitterbags placem_collection'!$Y68)),"YES","NO")</f>
        <v>NO</v>
      </c>
      <c r="AO727" t="str">
        <f>IF(ISNUMBER(SEARCH("R", 'WetLitterbags placem_collection'!$Y68)),"YES","NO")</f>
        <v>NO</v>
      </c>
    </row>
    <row r="728" spans="1:41" ht="15" customHeight="1">
      <c r="A728" s="255" t="s">
        <v>2454</v>
      </c>
      <c r="B728" s="260">
        <f>'Dry_Litterbag Placem_Collection'!A69</f>
        <v>67</v>
      </c>
      <c r="C728" s="260" t="str">
        <f>'Dry_Litterbag Placem_Collection'!B69</f>
        <v>Maswa</v>
      </c>
      <c r="D728" s="260" t="s">
        <v>2643</v>
      </c>
      <c r="E728" s="260" t="s">
        <v>2645</v>
      </c>
      <c r="F728" s="260">
        <v>1</v>
      </c>
      <c r="G728" s="260" t="s">
        <v>3810</v>
      </c>
      <c r="H728" s="261" t="str">
        <f>'Dry_Litterbag Placem_Collection'!C69</f>
        <v>Dry_W1_T3</v>
      </c>
      <c r="I728" s="270" t="s">
        <v>3630</v>
      </c>
      <c r="J728" s="271" t="s">
        <v>298</v>
      </c>
      <c r="K728" s="221" t="str">
        <f>'WetLitterbags placem_collection'!Q69</f>
        <v>R44</v>
      </c>
      <c r="L728" s="223">
        <f>IFERROR(INDEX('Green_rooibos initial weight'!$C$5:$C$2000,MATCH(K728, 'Green_rooibos initial weight'!$A$5:$A$2000,0)),"")</f>
        <v>2.2480000000000002</v>
      </c>
      <c r="M728" s="223">
        <f>IFERROR(L728-(TBIcalc!$H$9+TBIcalc!$H$10),"")</f>
        <v>1.9982000000000002</v>
      </c>
      <c r="N728" s="385">
        <f>AVERAGE(Ashed_controlls!$K$2:$K$11)</f>
        <v>5.5147656768714146</v>
      </c>
      <c r="O728" s="223">
        <f t="shared" si="56"/>
        <v>1.8880039522447556</v>
      </c>
      <c r="P728" s="223">
        <f>IFERROR(INDEX('Both teabags AfterWet'!$C$3:$C$840,MATCH(K728,'Both teabags AfterWet'!$A$3:$A$840,0)),"")</f>
        <v>1.5427999999999999</v>
      </c>
      <c r="Q728" s="223">
        <f>IFERROR(IF(P728&gt;0,P728-(TBIcalc!$H$9),""),"")</f>
        <v>1.3921999999999999</v>
      </c>
      <c r="R728" s="223">
        <f>IFERROR(INDEX('Ashed teabags wet'!$K$2:$K$2000,MATCH(K728,'Ashed teabags wet'!$A$2:$A$2000,0)),"")</f>
        <v>3.2098765432091394</v>
      </c>
      <c r="S728" s="223">
        <f t="shared" si="57"/>
        <v>1.3475120987654423</v>
      </c>
      <c r="T728" s="224">
        <f>'WetLitterbags placem_collection'!E69</f>
        <v>42767</v>
      </c>
      <c r="U728" s="224">
        <f>IF('WetLitterbags placem_collection'!G69="","",'WetLitterbags placem_collection'!G69)</f>
        <v>42818</v>
      </c>
      <c r="V728" s="225">
        <f t="shared" si="55"/>
        <v>51</v>
      </c>
      <c r="W728" s="223">
        <f t="shared" si="58"/>
        <v>0.60600000000000032</v>
      </c>
      <c r="X728" s="223">
        <f t="shared" si="59"/>
        <v>0.54049185347931328</v>
      </c>
      <c r="Y728">
        <f>IFERROR(INDEX(Rainfall_Wet!$O$2:$O$217,MATCH(B728, Rainfall_Wet!$A$2:$A$217,0)),"")</f>
        <v>185.630065823</v>
      </c>
      <c r="Z728" s="228">
        <v>47.96</v>
      </c>
      <c r="AA728" s="228">
        <v>22.919999999999995</v>
      </c>
      <c r="AB728" s="228">
        <v>29.120000000000012</v>
      </c>
      <c r="AC728" s="229" t="s">
        <v>2657</v>
      </c>
      <c r="AD728" s="228">
        <v>4.8831936914736298</v>
      </c>
      <c r="AE728">
        <f>IF('WetLitterbags placem_collection'!AB69="","",'WetLitterbags placem_collection'!AB69)</f>
        <v>5.5</v>
      </c>
      <c r="AF728">
        <f>IF('WetLitterbags placem_collection'!Z69="","",'WetLitterbags placem_collection'!Z69)</f>
        <v>5.5</v>
      </c>
      <c r="AG728" s="243" t="str">
        <f>IF('WetLitterbags placem_collection'!AA69="","",'WetLitterbags placem_collection'!AA69)</f>
        <v>O</v>
      </c>
      <c r="AH728">
        <f>IF('WetLitterbags placem_collection'!AC69="","",'WetLitterbags placem_collection'!AC69)</f>
        <v>1</v>
      </c>
      <c r="AI728">
        <f>AVERAGE('WetLitterbags placem_collection'!S69,'WetLitterbags placem_collection'!U69)</f>
        <v>29.9</v>
      </c>
      <c r="AJ728">
        <f>AVERAGE('WetLitterbags placem_collection'!R69,'WetLitterbags placem_collection'!T69)</f>
        <v>20.7</v>
      </c>
      <c r="AK728">
        <f>INDEX(Coordinates!$B$2:$B$197,MATCH(H728,Coordinates!$J$2:$J$197,0))</f>
        <v>-3.299434008</v>
      </c>
      <c r="AL728">
        <f>INDEX(Coordinates!$C$2:$C$197,MATCH(H728,Coordinates!$J$2:$J$197,0))</f>
        <v>34.848514960000003</v>
      </c>
      <c r="AM728" t="str">
        <f>IF(ISNUMBER(SEARCH("C", 'WetLitterbags placem_collection'!$Y69)),"YES","NO")</f>
        <v>NO</v>
      </c>
      <c r="AN728" t="str">
        <f>IF(ISNUMBER(SEARCH("H", 'WetLitterbags placem_collection'!$Y69)),"YES","NO")</f>
        <v>NO</v>
      </c>
      <c r="AO728" t="str">
        <f>IF(ISNUMBER(SEARCH("R", 'WetLitterbags placem_collection'!$Y69)),"YES","NO")</f>
        <v>NO</v>
      </c>
    </row>
    <row r="729" spans="1:41" ht="15" customHeight="1">
      <c r="A729" s="255" t="s">
        <v>2454</v>
      </c>
      <c r="B729" s="260">
        <f>'Dry_Litterbag Placem_Collection'!A70</f>
        <v>68</v>
      </c>
      <c r="C729" s="260" t="str">
        <f>'Dry_Litterbag Placem_Collection'!B70</f>
        <v>Maswa</v>
      </c>
      <c r="D729" s="260" t="s">
        <v>2643</v>
      </c>
      <c r="E729" s="260" t="s">
        <v>2645</v>
      </c>
      <c r="F729" s="260">
        <v>1</v>
      </c>
      <c r="G729" s="260" t="s">
        <v>3810</v>
      </c>
      <c r="H729" s="261" t="str">
        <f>'Dry_Litterbag Placem_Collection'!C70</f>
        <v>Dry_W1_T4</v>
      </c>
      <c r="I729" s="270" t="s">
        <v>3630</v>
      </c>
      <c r="J729" s="271" t="s">
        <v>298</v>
      </c>
      <c r="K729" s="221" t="str">
        <f>'WetLitterbags placem_collection'!Q70</f>
        <v>R9</v>
      </c>
      <c r="L729" s="223">
        <f>IFERROR(INDEX('Green_rooibos initial weight'!$C$5:$C$2000,MATCH(K729, 'Green_rooibos initial weight'!$A$5:$A$2000,0)),"")</f>
        <v>2.2679999999999998</v>
      </c>
      <c r="M729" s="223">
        <f>IFERROR(L729-(TBIcalc!$H$9+TBIcalc!$H$10),"")</f>
        <v>2.0181999999999998</v>
      </c>
      <c r="N729" s="385">
        <f>AVERAGE(Ashed_controlls!$K$2:$K$11)</f>
        <v>5.5147656768714146</v>
      </c>
      <c r="O729" s="223">
        <f t="shared" si="56"/>
        <v>1.9069009991093808</v>
      </c>
      <c r="P729" s="223">
        <f>IFERROR(INDEX('Both teabags AfterWet'!$C$3:$C$840,MATCH(K729,'Both teabags AfterWet'!$A$3:$A$840,0)),"")</f>
        <v>1.7050000000000001</v>
      </c>
      <c r="Q729" s="223">
        <f>IFERROR(IF(P729&gt;0,P729-(TBIcalc!$H$9),""),"")</f>
        <v>1.5544</v>
      </c>
      <c r="R729" s="223">
        <f>IFERROR(INDEX('Ashed teabags wet'!$K$2:$K$2000,MATCH(K729,'Ashed teabags wet'!$A$2:$A$2000,0)),"")</f>
        <v>6.1938061938065374</v>
      </c>
      <c r="S729" s="223">
        <f t="shared" si="57"/>
        <v>1.4581234765234712</v>
      </c>
      <c r="T729" s="224">
        <f>'WetLitterbags placem_collection'!E70</f>
        <v>42767</v>
      </c>
      <c r="U729" s="224">
        <f>IF('WetLitterbags placem_collection'!G70="","",'WetLitterbags placem_collection'!G70)</f>
        <v>42818</v>
      </c>
      <c r="V729" s="225">
        <f t="shared" si="55"/>
        <v>51</v>
      </c>
      <c r="W729" s="223">
        <f t="shared" si="58"/>
        <v>0.46379999999999977</v>
      </c>
      <c r="X729" s="223">
        <f t="shared" si="59"/>
        <v>0.44877752258590964</v>
      </c>
      <c r="Y729">
        <f>IFERROR(INDEX(Rainfall_Wet!$O$2:$O$217,MATCH(B729, Rainfall_Wet!$A$2:$A$217,0)),"")</f>
        <v>185.630065823</v>
      </c>
      <c r="Z729" s="228">
        <v>47.96</v>
      </c>
      <c r="AA729" s="228">
        <v>22.919999999999995</v>
      </c>
      <c r="AB729" s="228">
        <v>29.120000000000012</v>
      </c>
      <c r="AC729" s="229" t="s">
        <v>2657</v>
      </c>
      <c r="AD729" s="228">
        <v>5.8831936914736298</v>
      </c>
      <c r="AE729">
        <f>IF('WetLitterbags placem_collection'!AB70="","",'WetLitterbags placem_collection'!AB70)</f>
        <v>9.6999999999999993</v>
      </c>
      <c r="AF729">
        <f>IF('WetLitterbags placem_collection'!Z70="","",'WetLitterbags placem_collection'!Z70)</f>
        <v>23.4</v>
      </c>
      <c r="AG729" s="243" t="str">
        <f>IF('WetLitterbags placem_collection'!AA70="","",'WetLitterbags placem_collection'!AA70)</f>
        <v>O</v>
      </c>
      <c r="AH729">
        <f>IF('WetLitterbags placem_collection'!AC70="","",'WetLitterbags placem_collection'!AC70)</f>
        <v>1</v>
      </c>
      <c r="AI729">
        <f>AVERAGE('WetLitterbags placem_collection'!S70,'WetLitterbags placem_collection'!U70)</f>
        <v>29.85</v>
      </c>
      <c r="AJ729">
        <f>AVERAGE('WetLitterbags placem_collection'!R70,'WetLitterbags placem_collection'!T70)</f>
        <v>21.2</v>
      </c>
      <c r="AK729">
        <f>INDEX(Coordinates!$B$2:$B$197,MATCH(H729,Coordinates!$J$2:$J$197,0))</f>
        <v>-3.2991180099999999</v>
      </c>
      <c r="AL729">
        <f>INDEX(Coordinates!$C$2:$C$197,MATCH(H729,Coordinates!$J$2:$J$197,0))</f>
        <v>34.84824699</v>
      </c>
      <c r="AM729" t="str">
        <f>IF(ISNUMBER(SEARCH("C", 'WetLitterbags placem_collection'!$Y70)),"YES","NO")</f>
        <v>NO</v>
      </c>
      <c r="AN729" t="str">
        <f>IF(ISNUMBER(SEARCH("H", 'WetLitterbags placem_collection'!$Y70)),"YES","NO")</f>
        <v>NO</v>
      </c>
      <c r="AO729" t="str">
        <f>IF(ISNUMBER(SEARCH("R", 'WetLitterbags placem_collection'!$Y70)),"YES","NO")</f>
        <v>NO</v>
      </c>
    </row>
    <row r="730" spans="1:41" ht="15" customHeight="1">
      <c r="A730" s="255" t="s">
        <v>2454</v>
      </c>
      <c r="B730" s="260">
        <f>'Dry_Litterbag Placem_Collection'!A71</f>
        <v>69</v>
      </c>
      <c r="C730" s="260" t="str">
        <f>'Dry_Litterbag Placem_Collection'!B71</f>
        <v>Maswa</v>
      </c>
      <c r="D730" s="260" t="s">
        <v>2643</v>
      </c>
      <c r="E730" s="260" t="s">
        <v>2645</v>
      </c>
      <c r="F730" s="260">
        <v>1</v>
      </c>
      <c r="G730" s="260" t="s">
        <v>3810</v>
      </c>
      <c r="H730" s="261" t="str">
        <f>'Dry_Litterbag Placem_Collection'!C71</f>
        <v>Dry_W1_T5</v>
      </c>
      <c r="I730" s="270" t="s">
        <v>3630</v>
      </c>
      <c r="J730" s="271" t="s">
        <v>298</v>
      </c>
      <c r="K730" s="221" t="str">
        <f>'WetLitterbags placem_collection'!Q71</f>
        <v>R251</v>
      </c>
      <c r="L730" s="223">
        <f>IFERROR(INDEX('Green_rooibos initial weight'!$C$5:$C$2000,MATCH(K730, 'Green_rooibos initial weight'!$A$5:$A$2000,0)),"")</f>
        <v>2.266</v>
      </c>
      <c r="M730" s="223">
        <f>IFERROR(L730-(TBIcalc!$H$9+TBIcalc!$H$10),"")</f>
        <v>2.0162</v>
      </c>
      <c r="N730" s="385">
        <f>AVERAGE(Ashed_controlls!$K$2:$K$11)</f>
        <v>5.5147656768714146</v>
      </c>
      <c r="O730" s="223">
        <f t="shared" si="56"/>
        <v>1.9050112944229185</v>
      </c>
      <c r="P730" s="223">
        <f>IFERROR(INDEX('Both teabags AfterWet'!$C$3:$C$840,MATCH(K730,'Both teabags AfterWet'!$A$3:$A$840,0)),"")</f>
        <v>1.8979999999999999</v>
      </c>
      <c r="Q730" s="223">
        <f>IFERROR(IF(P730&gt;0,P730-(TBIcalc!$H$9),""),"")</f>
        <v>1.7473999999999998</v>
      </c>
      <c r="R730" s="223">
        <f>IFERROR(INDEX('Ashed teabags wet'!$K$2:$K$2000,MATCH(K730,'Ashed teabags wet'!$A$2:$A$2000,0)),"")</f>
        <v>14.026483570377628</v>
      </c>
      <c r="S730" s="223">
        <f t="shared" si="57"/>
        <v>1.5023012260912212</v>
      </c>
      <c r="T730" s="224">
        <f>'WetLitterbags placem_collection'!E71</f>
        <v>42767</v>
      </c>
      <c r="U730" s="224">
        <f>IF('WetLitterbags placem_collection'!G71="","",'WetLitterbags placem_collection'!G71)</f>
        <v>42818</v>
      </c>
      <c r="V730" s="225">
        <f t="shared" si="55"/>
        <v>51</v>
      </c>
      <c r="W730" s="223">
        <f t="shared" si="58"/>
        <v>0.26880000000000015</v>
      </c>
      <c r="X730" s="223">
        <f t="shared" si="59"/>
        <v>0.40271006833169731</v>
      </c>
      <c r="Y730">
        <f>IFERROR(INDEX(Rainfall_Wet!$O$2:$O$217,MATCH(B730, Rainfall_Wet!$A$2:$A$217,0)),"")</f>
        <v>185.630065823</v>
      </c>
      <c r="Z730" s="228">
        <v>47.96</v>
      </c>
      <c r="AA730" s="228">
        <v>22.919999999999995</v>
      </c>
      <c r="AB730" s="228">
        <v>29.120000000000012</v>
      </c>
      <c r="AC730" s="229" t="s">
        <v>2657</v>
      </c>
      <c r="AD730" s="228">
        <v>6.8831936914736298</v>
      </c>
      <c r="AE730">
        <f>IF('WetLitterbags placem_collection'!AB71="","",'WetLitterbags placem_collection'!AB71)</f>
        <v>14.4</v>
      </c>
      <c r="AF730">
        <f>IF('WetLitterbags placem_collection'!Z71="","",'WetLitterbags placem_collection'!Z71)</f>
        <v>24.4</v>
      </c>
      <c r="AG730" s="243" t="str">
        <f>IF('WetLitterbags placem_collection'!AA71="","",'WetLitterbags placem_collection'!AA71)</f>
        <v>O</v>
      </c>
      <c r="AH730">
        <f>IF('WetLitterbags placem_collection'!AC71="","",'WetLitterbags placem_collection'!AC71)</f>
        <v>1</v>
      </c>
      <c r="AI730">
        <f>AVERAGE('WetLitterbags placem_collection'!S71,'WetLitterbags placem_collection'!U71)</f>
        <v>31.25</v>
      </c>
      <c r="AJ730">
        <f>AVERAGE('WetLitterbags placem_collection'!R71,'WetLitterbags placem_collection'!T71)</f>
        <v>23.450000000000003</v>
      </c>
      <c r="AK730">
        <f>INDEX(Coordinates!$B$2:$B$197,MATCH(H730,Coordinates!$J$2:$J$197,0))</f>
        <v>-3.2993180030000002</v>
      </c>
      <c r="AL730">
        <f>INDEX(Coordinates!$C$2:$C$197,MATCH(H730,Coordinates!$J$2:$J$197,0))</f>
        <v>34.848235010000003</v>
      </c>
      <c r="AM730" t="str">
        <f>IF(ISNUMBER(SEARCH("C", 'WetLitterbags placem_collection'!$Y71)),"YES","NO")</f>
        <v>NO</v>
      </c>
      <c r="AN730" t="str">
        <f>IF(ISNUMBER(SEARCH("H", 'WetLitterbags placem_collection'!$Y71)),"YES","NO")</f>
        <v>NO</v>
      </c>
      <c r="AO730" t="str">
        <f>IF(ISNUMBER(SEARCH("R", 'WetLitterbags placem_collection'!$Y71)),"YES","NO")</f>
        <v>YES</v>
      </c>
    </row>
    <row r="731" spans="1:41" ht="15" customHeight="1">
      <c r="A731" s="255" t="s">
        <v>2454</v>
      </c>
      <c r="B731" s="260">
        <f>'Dry_Litterbag Placem_Collection'!A72</f>
        <v>70</v>
      </c>
      <c r="C731" s="260" t="str">
        <f>'Dry_Litterbag Placem_Collection'!B72</f>
        <v>Maswa</v>
      </c>
      <c r="D731" s="260" t="s">
        <v>2643</v>
      </c>
      <c r="E731" s="260" t="s">
        <v>2645</v>
      </c>
      <c r="F731" s="260">
        <v>1</v>
      </c>
      <c r="G731" s="260" t="s">
        <v>3810</v>
      </c>
      <c r="H731" s="261" t="str">
        <f>'Dry_Litterbag Placem_Collection'!C72</f>
        <v>Dry_W1_T6</v>
      </c>
      <c r="I731" s="270" t="s">
        <v>3630</v>
      </c>
      <c r="J731" s="271" t="s">
        <v>298</v>
      </c>
      <c r="K731" s="221" t="str">
        <f>'WetLitterbags placem_collection'!Q72</f>
        <v>R266</v>
      </c>
      <c r="L731" s="223">
        <f>IFERROR(INDEX('Green_rooibos initial weight'!$C$5:$C$2000,MATCH(K731, 'Green_rooibos initial weight'!$A$5:$A$2000,0)),"")</f>
        <v>2.1720000000000002</v>
      </c>
      <c r="M731" s="223">
        <f>IFERROR(L731-(TBIcalc!$H$9+TBIcalc!$H$10),"")</f>
        <v>1.9222000000000001</v>
      </c>
      <c r="N731" s="385">
        <f>AVERAGE(Ashed_controlls!$K$2:$K$11)</f>
        <v>5.5147656768714146</v>
      </c>
      <c r="O731" s="223">
        <f t="shared" si="56"/>
        <v>1.8161951741591777</v>
      </c>
      <c r="P731" s="223">
        <f>IFERROR(INDEX('Both teabags AfterWet'!$C$3:$C$840,MATCH(K731,'Both teabags AfterWet'!$A$3:$A$840,0)),"")</f>
        <v>1.599</v>
      </c>
      <c r="Q731" s="223">
        <f>IFERROR(IF(P731&gt;0,P731-(TBIcalc!$H$9),""),"")</f>
        <v>1.4483999999999999</v>
      </c>
      <c r="R731" s="223">
        <f>IFERROR(INDEX('Ashed teabags wet'!$K$2:$K$2000,MATCH(K731,'Ashed teabags wet'!$A$2:$A$2000,0)),"")</f>
        <v>2.9397110114603966</v>
      </c>
      <c r="S731" s="223">
        <f t="shared" si="57"/>
        <v>1.4058212257100076</v>
      </c>
      <c r="T731" s="224">
        <f>'WetLitterbags placem_collection'!E72</f>
        <v>42767</v>
      </c>
      <c r="U731" s="224">
        <f>IF('WetLitterbags placem_collection'!G72="","",'WetLitterbags placem_collection'!G72)</f>
        <v>42818</v>
      </c>
      <c r="V731" s="225">
        <f t="shared" si="55"/>
        <v>51</v>
      </c>
      <c r="W731" s="223">
        <f t="shared" si="58"/>
        <v>0.47380000000000022</v>
      </c>
      <c r="X731" s="223">
        <f t="shared" si="59"/>
        <v>0.41037394844917019</v>
      </c>
      <c r="Y731">
        <f>IFERROR(INDEX(Rainfall_Wet!$O$2:$O$217,MATCH(B731, Rainfall_Wet!$A$2:$A$217,0)),"")</f>
        <v>185.630065823</v>
      </c>
      <c r="Z731" s="228">
        <v>47.96</v>
      </c>
      <c r="AA731" s="228">
        <v>22.919999999999995</v>
      </c>
      <c r="AB731" s="228">
        <v>29.120000000000012</v>
      </c>
      <c r="AC731" s="229" t="s">
        <v>2657</v>
      </c>
      <c r="AD731" s="228">
        <v>7.8831936914736298</v>
      </c>
      <c r="AE731">
        <f>IF('WetLitterbags placem_collection'!AB72="","",'WetLitterbags placem_collection'!AB72)</f>
        <v>15</v>
      </c>
      <c r="AF731">
        <f>IF('WetLitterbags placem_collection'!Z72="","",'WetLitterbags placem_collection'!Z72)</f>
        <v>28</v>
      </c>
      <c r="AG731" s="243" t="str">
        <f>IF('WetLitterbags placem_collection'!AA72="","",'WetLitterbags placem_collection'!AA72)</f>
        <v>O</v>
      </c>
      <c r="AH731">
        <f>IF('WetLitterbags placem_collection'!AC72="","",'WetLitterbags placem_collection'!AC72)</f>
        <v>0</v>
      </c>
      <c r="AI731">
        <f>AVERAGE('WetLitterbags placem_collection'!S72,'WetLitterbags placem_collection'!U72)</f>
        <v>32.15</v>
      </c>
      <c r="AJ731">
        <f>AVERAGE('WetLitterbags placem_collection'!R72,'WetLitterbags placem_collection'!T72)</f>
        <v>23.7</v>
      </c>
      <c r="AK731">
        <f>INDEX(Coordinates!$B$2:$B$197,MATCH(H731,Coordinates!$J$2:$J$197,0))</f>
        <v>-3.299381034</v>
      </c>
      <c r="AL731">
        <f>INDEX(Coordinates!$C$2:$C$197,MATCH(H731,Coordinates!$J$2:$J$197,0))</f>
        <v>34.848312040000003</v>
      </c>
      <c r="AM731" t="str">
        <f>IF(ISNUMBER(SEARCH("C", 'WetLitterbags placem_collection'!$Y72)),"YES","NO")</f>
        <v>NO</v>
      </c>
      <c r="AN731" t="str">
        <f>IF(ISNUMBER(SEARCH("H", 'WetLitterbags placem_collection'!$Y72)),"YES","NO")</f>
        <v>NO</v>
      </c>
      <c r="AO731" t="str">
        <f>IF(ISNUMBER(SEARCH("R", 'WetLitterbags placem_collection'!$Y72)),"YES","NO")</f>
        <v>YES</v>
      </c>
    </row>
    <row r="732" spans="1:41" ht="15" customHeight="1">
      <c r="A732" s="255" t="s">
        <v>2454</v>
      </c>
      <c r="B732" s="260">
        <f>'Dry_Litterbag Placem_Collection'!A73</f>
        <v>71</v>
      </c>
      <c r="C732" s="260" t="str">
        <f>'Dry_Litterbag Placem_Collection'!B73</f>
        <v>Maswa</v>
      </c>
      <c r="D732" s="260" t="s">
        <v>2643</v>
      </c>
      <c r="E732" s="260" t="s">
        <v>2645</v>
      </c>
      <c r="F732" s="260">
        <v>1</v>
      </c>
      <c r="G732" s="260" t="s">
        <v>3810</v>
      </c>
      <c r="H732" s="261" t="str">
        <f>'Dry_Litterbag Placem_Collection'!C73</f>
        <v>Dry_W1_T7</v>
      </c>
      <c r="I732" s="270" t="s">
        <v>3630</v>
      </c>
      <c r="J732" s="271" t="s">
        <v>298</v>
      </c>
      <c r="K732" s="221" t="str">
        <f>'WetLitterbags placem_collection'!Q73</f>
        <v>R528</v>
      </c>
      <c r="L732" s="223">
        <f>IFERROR(INDEX('Green_rooibos initial weight'!$C$5:$C$2000,MATCH(K732, 'Green_rooibos initial weight'!$A$5:$A$2000,0)),"")</f>
        <v>2.1019999999999999</v>
      </c>
      <c r="M732" s="223">
        <f>IFERROR(L732-(TBIcalc!$H$9+TBIcalc!$H$10),"")</f>
        <v>1.8521999999999998</v>
      </c>
      <c r="N732" s="385">
        <f>AVERAGE(Ashed_controlls!$K$2:$K$11)</f>
        <v>5.5147656768714146</v>
      </c>
      <c r="O732" s="223">
        <f t="shared" si="56"/>
        <v>1.7500555101329875</v>
      </c>
      <c r="P732" s="223">
        <f>IFERROR(INDEX('Both teabags AfterWet'!$C$3:$C$840,MATCH(K732,'Both teabags AfterWet'!$A$3:$A$840,0)),"")</f>
        <v>1.5779000000000001</v>
      </c>
      <c r="Q732" s="223">
        <f>IFERROR(IF(P732&gt;0,P732-(TBIcalc!$H$9),""),"")</f>
        <v>1.4273</v>
      </c>
      <c r="R732" s="223">
        <f>IFERROR(INDEX('Ashed teabags wet'!$K$2:$K$2000,MATCH(K732,'Ashed teabags wet'!$A$2:$A$2000,0)),"")</f>
        <v>2.689243027888772</v>
      </c>
      <c r="S732" s="223">
        <f t="shared" si="57"/>
        <v>1.3889164342629436</v>
      </c>
      <c r="T732" s="224">
        <f>'WetLitterbags placem_collection'!E73</f>
        <v>42767</v>
      </c>
      <c r="U732" s="224">
        <f>IF('WetLitterbags placem_collection'!G73="","",'WetLitterbags placem_collection'!G73)</f>
        <v>42818</v>
      </c>
      <c r="V732" s="225">
        <f t="shared" si="55"/>
        <v>51</v>
      </c>
      <c r="W732" s="223">
        <f t="shared" si="58"/>
        <v>0.42489999999999983</v>
      </c>
      <c r="X732" s="223">
        <f t="shared" si="59"/>
        <v>0.3611390758700439</v>
      </c>
      <c r="Y732">
        <f>IFERROR(INDEX(Rainfall_Wet!$O$2:$O$217,MATCH(B732, Rainfall_Wet!$A$2:$A$217,0)),"")</f>
        <v>185.630065823</v>
      </c>
      <c r="Z732" s="228">
        <v>47.96</v>
      </c>
      <c r="AA732" s="228">
        <v>22.919999999999995</v>
      </c>
      <c r="AB732" s="228">
        <v>29.120000000000012</v>
      </c>
      <c r="AC732" s="229" t="s">
        <v>2657</v>
      </c>
      <c r="AD732" s="228">
        <v>8.8831936914736307</v>
      </c>
      <c r="AE732">
        <f>IF('WetLitterbags placem_collection'!AB73="","",'WetLitterbags placem_collection'!AB73)</f>
        <v>15.5</v>
      </c>
      <c r="AF732">
        <f>IF('WetLitterbags placem_collection'!Z73="","",'WetLitterbags placem_collection'!Z73)</f>
        <v>32</v>
      </c>
      <c r="AG732" s="243" t="str">
        <f>IF('WetLitterbags placem_collection'!AA73="","",'WetLitterbags placem_collection'!AA73)</f>
        <v>O</v>
      </c>
      <c r="AH732">
        <f>IF('WetLitterbags placem_collection'!AC73="","",'WetLitterbags placem_collection'!AC73)</f>
        <v>1</v>
      </c>
      <c r="AI732">
        <f>AVERAGE('WetLitterbags placem_collection'!S73,'WetLitterbags placem_collection'!U73)</f>
        <v>29.35</v>
      </c>
      <c r="AJ732">
        <f>AVERAGE('WetLitterbags placem_collection'!R73,'WetLitterbags placem_collection'!T73)</f>
        <v>21.95</v>
      </c>
      <c r="AK732">
        <f>INDEX(Coordinates!$B$2:$B$197,MATCH(H732,Coordinates!$J$2:$J$197,0))</f>
        <v>-3.2992429849999998</v>
      </c>
      <c r="AL732">
        <f>INDEX(Coordinates!$C$2:$C$197,MATCH(H732,Coordinates!$J$2:$J$197,0))</f>
        <v>34.847900989999999</v>
      </c>
      <c r="AM732" t="str">
        <f>IF(ISNUMBER(SEARCH("C", 'WetLitterbags placem_collection'!$Y73)),"YES","NO")</f>
        <v>NO</v>
      </c>
      <c r="AN732" t="str">
        <f>IF(ISNUMBER(SEARCH("H", 'WetLitterbags placem_collection'!$Y73)),"YES","NO")</f>
        <v>NO</v>
      </c>
      <c r="AO732" t="str">
        <f>IF(ISNUMBER(SEARCH("R", 'WetLitterbags placem_collection'!$Y73)),"YES","NO")</f>
        <v>NO</v>
      </c>
    </row>
    <row r="733" spans="1:41" ht="15" customHeight="1">
      <c r="A733" s="255" t="s">
        <v>2454</v>
      </c>
      <c r="B733" s="260">
        <f>'Dry_Litterbag Placem_Collection'!A74</f>
        <v>72</v>
      </c>
      <c r="C733" s="260" t="str">
        <f>'Dry_Litterbag Placem_Collection'!B74</f>
        <v>Maswa</v>
      </c>
      <c r="D733" s="260" t="s">
        <v>2643</v>
      </c>
      <c r="E733" s="260" t="s">
        <v>2645</v>
      </c>
      <c r="F733" s="260">
        <v>1</v>
      </c>
      <c r="G733" s="260" t="s">
        <v>3810</v>
      </c>
      <c r="H733" s="261" t="str">
        <f>'Dry_Litterbag Placem_Collection'!C74</f>
        <v>Dry_W1_T8</v>
      </c>
      <c r="I733" s="270" t="s">
        <v>3630</v>
      </c>
      <c r="J733" s="271" t="s">
        <v>298</v>
      </c>
      <c r="K733" s="221" t="str">
        <f>'WetLitterbags placem_collection'!Q74</f>
        <v>R14</v>
      </c>
      <c r="L733" s="223">
        <f>IFERROR(INDEX('Green_rooibos initial weight'!$C$5:$C$2000,MATCH(K733, 'Green_rooibos initial weight'!$A$5:$A$2000,0)),"")</f>
        <v>2.181</v>
      </c>
      <c r="M733" s="223">
        <f>IFERROR(L733-(TBIcalc!$H$9+TBIcalc!$H$10),"")</f>
        <v>1.9312</v>
      </c>
      <c r="N733" s="385">
        <f>AVERAGE(Ashed_controlls!$K$2:$K$11)</f>
        <v>5.5147656768714146</v>
      </c>
      <c r="O733" s="223">
        <f t="shared" si="56"/>
        <v>1.8246988452482593</v>
      </c>
      <c r="P733" s="223">
        <f>IFERROR(INDEX('Both teabags AfterWet'!$C$3:$C$840,MATCH(K733,'Both teabags AfterWet'!$A$3:$A$840,0)),"")</f>
        <v>1.5603</v>
      </c>
      <c r="Q733" s="223">
        <f>IFERROR(IF(P733&gt;0,P733-(TBIcalc!$H$9),""),"")</f>
        <v>1.4097</v>
      </c>
      <c r="R733" s="223">
        <f>IFERROR(INDEX('Ashed teabags wet'!$K$2:$K$2000,MATCH(K733,'Ashed teabags wet'!$A$2:$A$2000,0)),"")</f>
        <v>3.0571992110453157</v>
      </c>
      <c r="S733" s="223">
        <f t="shared" si="57"/>
        <v>1.3666026627218941</v>
      </c>
      <c r="T733" s="224">
        <f>'WetLitterbags placem_collection'!E74</f>
        <v>42767</v>
      </c>
      <c r="U733" s="224">
        <f>IF('WetLitterbags placem_collection'!G74="","",'WetLitterbags placem_collection'!G74)</f>
        <v>42818</v>
      </c>
      <c r="V733" s="225">
        <f t="shared" si="55"/>
        <v>51</v>
      </c>
      <c r="W733" s="223">
        <f t="shared" si="58"/>
        <v>0.52150000000000007</v>
      </c>
      <c r="X733" s="223">
        <f t="shared" si="59"/>
        <v>0.45809618252636519</v>
      </c>
      <c r="Y733">
        <f>IFERROR(INDEX(Rainfall_Wet!$O$2:$O$217,MATCH(B733, Rainfall_Wet!$A$2:$A$217,0)),"")</f>
        <v>185.630065823</v>
      </c>
      <c r="Z733" s="228">
        <v>47.96</v>
      </c>
      <c r="AA733" s="228">
        <v>22.919999999999995</v>
      </c>
      <c r="AB733" s="228">
        <v>29.120000000000012</v>
      </c>
      <c r="AC733" s="229" t="s">
        <v>2657</v>
      </c>
      <c r="AD733" s="228">
        <v>9.8831936914736307</v>
      </c>
      <c r="AE733">
        <f>IF('WetLitterbags placem_collection'!AB74="","",'WetLitterbags placem_collection'!AB74)</f>
        <v>2.6</v>
      </c>
      <c r="AF733">
        <f>IF('WetLitterbags placem_collection'!Z74="","",'WetLitterbags placem_collection'!Z74)</f>
        <v>44</v>
      </c>
      <c r="AG733" s="243" t="str">
        <f>IF('WetLitterbags placem_collection'!AA74="","",'WetLitterbags placem_collection'!AA74)</f>
        <v>O</v>
      </c>
      <c r="AH733">
        <f>IF('WetLitterbags placem_collection'!AC74="","",'WetLitterbags placem_collection'!AC74)</f>
        <v>1</v>
      </c>
      <c r="AI733">
        <f>AVERAGE('WetLitterbags placem_collection'!S74,'WetLitterbags placem_collection'!U74)</f>
        <v>32</v>
      </c>
      <c r="AJ733">
        <f>AVERAGE('WetLitterbags placem_collection'!R74,'WetLitterbags placem_collection'!T74)</f>
        <v>21.9</v>
      </c>
      <c r="AK733">
        <f>INDEX(Coordinates!$B$2:$B$197,MATCH(H733,Coordinates!$J$2:$J$197,0))</f>
        <v>-3.2996540329999999</v>
      </c>
      <c r="AL733">
        <f>INDEX(Coordinates!$C$2:$C$197,MATCH(H733,Coordinates!$J$2:$J$197,0))</f>
        <v>34.848151020000003</v>
      </c>
      <c r="AM733" t="str">
        <f>IF(ISNUMBER(SEARCH("C", 'WetLitterbags placem_collection'!$Y74)),"YES","NO")</f>
        <v>NO</v>
      </c>
      <c r="AN733" t="str">
        <f>IF(ISNUMBER(SEARCH("H", 'WetLitterbags placem_collection'!$Y74)),"YES","NO")</f>
        <v>NO</v>
      </c>
      <c r="AO733" t="str">
        <f>IF(ISNUMBER(SEARCH("R", 'WetLitterbags placem_collection'!$Y74)),"YES","NO")</f>
        <v>NO</v>
      </c>
    </row>
    <row r="734" spans="1:41" ht="15" customHeight="1">
      <c r="A734" s="255" t="s">
        <v>2454</v>
      </c>
      <c r="B734" s="260">
        <f>'Dry_Litterbag Placem_Collection'!A75</f>
        <v>73</v>
      </c>
      <c r="C734" s="260" t="str">
        <f>'Dry_Litterbag Placem_Collection'!B75</f>
        <v>Maswa</v>
      </c>
      <c r="D734" s="260" t="s">
        <v>2643</v>
      </c>
      <c r="E734" s="260" t="s">
        <v>2645</v>
      </c>
      <c r="F734" s="260">
        <v>2</v>
      </c>
      <c r="G734" s="260" t="s">
        <v>3812</v>
      </c>
      <c r="H734" s="261" t="str">
        <f>'Dry_Litterbag Placem_Collection'!C75</f>
        <v>Dry_W2_T1</v>
      </c>
      <c r="I734" s="270" t="s">
        <v>3630</v>
      </c>
      <c r="J734" s="271" t="s">
        <v>298</v>
      </c>
      <c r="K734" s="221" t="str">
        <f>'WetLitterbags placem_collection'!Q75</f>
        <v>R393</v>
      </c>
      <c r="L734" s="223">
        <f>IFERROR(INDEX('Green_rooibos initial weight'!$C$5:$C$2000,MATCH(K734, 'Green_rooibos initial weight'!$A$5:$A$2000,0)),"")</f>
        <v>2.1829999999999998</v>
      </c>
      <c r="M734" s="223">
        <f>IFERROR(L734-(TBIcalc!$H$9+TBIcalc!$H$10),"")</f>
        <v>1.9331999999999998</v>
      </c>
      <c r="N734" s="385">
        <f>AVERAGE(Ashed_controlls!$K$2:$K$11)</f>
        <v>5.5147656768714146</v>
      </c>
      <c r="O734" s="223">
        <f t="shared" si="56"/>
        <v>1.8265885499347216</v>
      </c>
      <c r="P734" s="223">
        <f>IFERROR(INDEX('Both teabags AfterWet'!$C$3:$C$840,MATCH(K734,'Both teabags AfterWet'!$A$3:$A$840,0)),"")</f>
        <v>1.6598999999999999</v>
      </c>
      <c r="Q734" s="223">
        <f>IFERROR(IF(P734&gt;0,P734-(TBIcalc!$H$9),""),"")</f>
        <v>1.5092999999999999</v>
      </c>
      <c r="R734" s="223">
        <f>IFERROR(INDEX('Ashed teabags wet'!$K$2:$K$2000,MATCH(K734,'Ashed teabags wet'!$A$2:$A$2000,0)),"")</f>
        <v>2.4769305488104898</v>
      </c>
      <c r="S734" s="223">
        <f t="shared" si="57"/>
        <v>1.4719156872268031</v>
      </c>
      <c r="T734" s="224">
        <f>'WetLitterbags placem_collection'!E75</f>
        <v>42767</v>
      </c>
      <c r="U734" s="224">
        <f>IF('WetLitterbags placem_collection'!G75="","",'WetLitterbags placem_collection'!G75)</f>
        <v>42818</v>
      </c>
      <c r="V734" s="225">
        <f t="shared" si="55"/>
        <v>51</v>
      </c>
      <c r="W734" s="223">
        <f t="shared" si="58"/>
        <v>0.42389999999999994</v>
      </c>
      <c r="X734" s="223">
        <f t="shared" si="59"/>
        <v>0.35467286270791853</v>
      </c>
      <c r="Y734">
        <f>IFERROR(INDEX(Rainfall_Wet!$O$2:$O$217,MATCH(B734, Rainfall_Wet!$A$2:$A$217,0)),"")</f>
        <v>185.630065823</v>
      </c>
      <c r="Z734" s="228">
        <v>45.272914521112256</v>
      </c>
      <c r="AA734" s="228">
        <v>23.604531410916575</v>
      </c>
      <c r="AB734" s="228">
        <v>31.122554067971166</v>
      </c>
      <c r="AC734" s="229" t="s">
        <v>2657</v>
      </c>
      <c r="AD734" s="228">
        <v>2.0547560374568752</v>
      </c>
      <c r="AE734">
        <f>IF('WetLitterbags placem_collection'!AB75="","",'WetLitterbags placem_collection'!AB75)</f>
        <v>9.1</v>
      </c>
      <c r="AF734">
        <f>IF('WetLitterbags placem_collection'!Z75="","",'WetLitterbags placem_collection'!Z75)</f>
        <v>10</v>
      </c>
      <c r="AG734" s="243" t="str">
        <f>IF('WetLitterbags placem_collection'!AA75="","",'WetLitterbags placem_collection'!AA75)</f>
        <v>M</v>
      </c>
      <c r="AH734">
        <f>IF('WetLitterbags placem_collection'!AC75="","",'WetLitterbags placem_collection'!AC75)</f>
        <v>1</v>
      </c>
      <c r="AI734">
        <f>AVERAGE('WetLitterbags placem_collection'!S75,'WetLitterbags placem_collection'!U75)</f>
        <v>27.85</v>
      </c>
      <c r="AJ734">
        <f>AVERAGE('WetLitterbags placem_collection'!R75,'WetLitterbags placem_collection'!T75)</f>
        <v>26.15</v>
      </c>
      <c r="AK734">
        <f>INDEX(Coordinates!$B$2:$B$197,MATCH(H734,Coordinates!$J$2:$J$197,0))</f>
        <v>-3.3025860229999999</v>
      </c>
      <c r="AL734">
        <f>INDEX(Coordinates!$C$2:$C$197,MATCH(H734,Coordinates!$J$2:$J$197,0))</f>
        <v>34.848048009999999</v>
      </c>
      <c r="AM734" t="str">
        <f>IF(ISNUMBER(SEARCH("C", 'WetLitterbags placem_collection'!$Y75)),"YES","NO")</f>
        <v>NO</v>
      </c>
      <c r="AN734" t="str">
        <f>IF(ISNUMBER(SEARCH("H", 'WetLitterbags placem_collection'!$Y75)),"YES","NO")</f>
        <v>NO</v>
      </c>
      <c r="AO734" t="str">
        <f>IF(ISNUMBER(SEARCH("R", 'WetLitterbags placem_collection'!$Y75)),"YES","NO")</f>
        <v>YES</v>
      </c>
    </row>
    <row r="735" spans="1:41" ht="15" customHeight="1">
      <c r="A735" s="255" t="s">
        <v>2454</v>
      </c>
      <c r="B735" s="260">
        <f>'Dry_Litterbag Placem_Collection'!A76</f>
        <v>74</v>
      </c>
      <c r="C735" s="260" t="str">
        <f>'Dry_Litterbag Placem_Collection'!B76</f>
        <v>Maswa</v>
      </c>
      <c r="D735" s="260" t="s">
        <v>2643</v>
      </c>
      <c r="E735" s="260" t="s">
        <v>2645</v>
      </c>
      <c r="F735" s="260">
        <v>2</v>
      </c>
      <c r="G735" s="260" t="s">
        <v>3812</v>
      </c>
      <c r="H735" s="261" t="str">
        <f>'Dry_Litterbag Placem_Collection'!C76</f>
        <v>Dry_W2_T2</v>
      </c>
      <c r="I735" s="270" t="s">
        <v>3630</v>
      </c>
      <c r="J735" s="271" t="s">
        <v>298</v>
      </c>
      <c r="K735" s="221" t="str">
        <f>'WetLitterbags placem_collection'!Q76</f>
        <v>R138</v>
      </c>
      <c r="L735" s="223">
        <f>IFERROR(INDEX('Green_rooibos initial weight'!$C$5:$C$2000,MATCH(K735, 'Green_rooibos initial weight'!$A$5:$A$2000,0)),"")</f>
        <v>2.3140000000000001</v>
      </c>
      <c r="M735" s="223">
        <f>IFERROR(L735-(TBIcalc!$H$9+TBIcalc!$H$10),"")</f>
        <v>2.0642</v>
      </c>
      <c r="N735" s="385">
        <f>AVERAGE(Ashed_controlls!$K$2:$K$11)</f>
        <v>5.5147656768714146</v>
      </c>
      <c r="O735" s="223">
        <f t="shared" si="56"/>
        <v>1.9503642068980203</v>
      </c>
      <c r="P735" s="223">
        <f>IFERROR(INDEX('Both teabags AfterWet'!$C$3:$C$840,MATCH(K735,'Both teabags AfterWet'!$A$3:$A$840,0)),"")</f>
        <v>1.6850000000000001</v>
      </c>
      <c r="Q735" s="223">
        <f>IFERROR(IF(P735&gt;0,P735-(TBIcalc!$H$9),""),"")</f>
        <v>1.5344</v>
      </c>
      <c r="R735" s="223">
        <f>IFERROR(INDEX('Ashed teabags wet'!$K$2:$K$2000,MATCH(K735,'Ashed teabags wet'!$A$2:$A$2000,0)),"")</f>
        <v>3.6873156342174327</v>
      </c>
      <c r="S735" s="223">
        <f t="shared" si="57"/>
        <v>1.4778218289085676</v>
      </c>
      <c r="T735" s="224">
        <f>'WetLitterbags placem_collection'!E76</f>
        <v>42767</v>
      </c>
      <c r="U735" s="224">
        <f>IF('WetLitterbags placem_collection'!G76="","",'WetLitterbags placem_collection'!G76)</f>
        <v>42818</v>
      </c>
      <c r="V735" s="225">
        <f t="shared" si="55"/>
        <v>51</v>
      </c>
      <c r="W735" s="223">
        <f t="shared" si="58"/>
        <v>0.52980000000000005</v>
      </c>
      <c r="X735" s="223">
        <f t="shared" si="59"/>
        <v>0.47254237798945264</v>
      </c>
      <c r="Y735">
        <f>IFERROR(INDEX(Rainfall_Wet!$O$2:$O$217,MATCH(B735, Rainfall_Wet!$A$2:$A$217,0)),"")</f>
        <v>185.630065823</v>
      </c>
      <c r="Z735" s="228">
        <v>45.272914521112256</v>
      </c>
      <c r="AA735" s="228">
        <v>23.604531410916575</v>
      </c>
      <c r="AB735" s="228">
        <v>31.122554067971166</v>
      </c>
      <c r="AC735" s="229" t="s">
        <v>2657</v>
      </c>
      <c r="AD735" s="228">
        <v>3.0547560374568801</v>
      </c>
      <c r="AE735">
        <f>IF('WetLitterbags placem_collection'!AB76="","",'WetLitterbags placem_collection'!AB76)</f>
        <v>7.7</v>
      </c>
      <c r="AF735">
        <f>IF('WetLitterbags placem_collection'!Z76="","",'WetLitterbags placem_collection'!Z76)</f>
        <v>9.4</v>
      </c>
      <c r="AG735" s="243" t="str">
        <f>IF('WetLitterbags placem_collection'!AA76="","",'WetLitterbags placem_collection'!AA76)</f>
        <v>M</v>
      </c>
      <c r="AH735">
        <f>IF('WetLitterbags placem_collection'!AC76="","",'WetLitterbags placem_collection'!AC76)</f>
        <v>1</v>
      </c>
      <c r="AI735">
        <f>AVERAGE('WetLitterbags placem_collection'!S76,'WetLitterbags placem_collection'!U76)</f>
        <v>24.65</v>
      </c>
      <c r="AJ735">
        <f>AVERAGE('WetLitterbags placem_collection'!R76,'WetLitterbags placem_collection'!T76)</f>
        <v>24.35</v>
      </c>
      <c r="AK735">
        <f>INDEX(Coordinates!$B$2:$B$197,MATCH(H735,Coordinates!$J$2:$J$197,0))</f>
        <v>-3.3025779759999998</v>
      </c>
      <c r="AL735">
        <f>INDEX(Coordinates!$C$2:$C$197,MATCH(H735,Coordinates!$J$2:$J$197,0))</f>
        <v>34.848041969999997</v>
      </c>
      <c r="AM735" t="str">
        <f>IF(ISNUMBER(SEARCH("C", 'WetLitterbags placem_collection'!$Y76)),"YES","NO")</f>
        <v>NO</v>
      </c>
      <c r="AN735" t="str">
        <f>IF(ISNUMBER(SEARCH("H", 'WetLitterbags placem_collection'!$Y76)),"YES","NO")</f>
        <v>NO</v>
      </c>
      <c r="AO735" t="str">
        <f>IF(ISNUMBER(SEARCH("R", 'WetLitterbags placem_collection'!$Y76)),"YES","NO")</f>
        <v>NO</v>
      </c>
    </row>
    <row r="736" spans="1:41" ht="15" customHeight="1">
      <c r="A736" s="255" t="s">
        <v>2454</v>
      </c>
      <c r="B736" s="260">
        <f>'Dry_Litterbag Placem_Collection'!A77</f>
        <v>75</v>
      </c>
      <c r="C736" s="260" t="str">
        <f>'Dry_Litterbag Placem_Collection'!B77</f>
        <v>Maswa</v>
      </c>
      <c r="D736" s="260" t="s">
        <v>2643</v>
      </c>
      <c r="E736" s="260" t="s">
        <v>2645</v>
      </c>
      <c r="F736" s="260">
        <v>2</v>
      </c>
      <c r="G736" s="260" t="s">
        <v>3812</v>
      </c>
      <c r="H736" s="261" t="str">
        <f>'Dry_Litterbag Placem_Collection'!C77</f>
        <v>Dry_W2_T3</v>
      </c>
      <c r="I736" s="270" t="s">
        <v>3630</v>
      </c>
      <c r="J736" s="271" t="s">
        <v>298</v>
      </c>
      <c r="K736" s="221" t="str">
        <f>'WetLitterbags placem_collection'!Q77</f>
        <v>R311</v>
      </c>
      <c r="L736" s="223">
        <f>IFERROR(INDEX('Green_rooibos initial weight'!$C$5:$C$2000,MATCH(K736, 'Green_rooibos initial weight'!$A$5:$A$2000,0)),"")</f>
        <v>2.2719999999999998</v>
      </c>
      <c r="M736" s="223">
        <f>IFERROR(L736-(TBIcalc!$H$9+TBIcalc!$H$10),"")</f>
        <v>2.0221999999999998</v>
      </c>
      <c r="N736" s="385">
        <f>AVERAGE(Ashed_controlls!$K$2:$K$11)</f>
        <v>5.5147656768714146</v>
      </c>
      <c r="O736" s="223">
        <f t="shared" si="56"/>
        <v>1.9106804084823061</v>
      </c>
      <c r="P736" s="223">
        <f>IFERROR(INDEX('Both teabags AfterWet'!$C$3:$C$840,MATCH(K736,'Both teabags AfterWet'!$A$3:$A$840,0)),"")</f>
        <v>1.6715</v>
      </c>
      <c r="Q736" s="223">
        <f>IFERROR(IF(P736&gt;0,P736-(TBIcalc!$H$9),""),"")</f>
        <v>1.5208999999999999</v>
      </c>
      <c r="R736" s="223">
        <f>IFERROR(INDEX('Ashed teabags wet'!$K$2:$K$2000,MATCH(K736,'Ashed teabags wet'!$A$2:$A$2000,0)),"")</f>
        <v>3.5363457760311539</v>
      </c>
      <c r="S736" s="223">
        <f t="shared" si="57"/>
        <v>1.4671157170923421</v>
      </c>
      <c r="T736" s="224">
        <f>'WetLitterbags placem_collection'!E77</f>
        <v>42767</v>
      </c>
      <c r="U736" s="224">
        <f>IF('WetLitterbags placem_collection'!G77="","",'WetLitterbags placem_collection'!G77)</f>
        <v>42818</v>
      </c>
      <c r="V736" s="225">
        <f t="shared" si="55"/>
        <v>51</v>
      </c>
      <c r="W736" s="223">
        <f t="shared" si="58"/>
        <v>0.50129999999999986</v>
      </c>
      <c r="X736" s="223">
        <f t="shared" si="59"/>
        <v>0.44356469138996402</v>
      </c>
      <c r="Y736">
        <f>IFERROR(INDEX(Rainfall_Wet!$O$2:$O$217,MATCH(B736, Rainfall_Wet!$A$2:$A$217,0)),"")</f>
        <v>185.630065823</v>
      </c>
      <c r="Z736" s="228">
        <v>45.272914521112256</v>
      </c>
      <c r="AA736" s="228">
        <v>23.604531410916575</v>
      </c>
      <c r="AB736" s="228">
        <v>31.122554067971166</v>
      </c>
      <c r="AC736" s="229" t="s">
        <v>2657</v>
      </c>
      <c r="AD736" s="228">
        <v>4.0547560374568796</v>
      </c>
      <c r="AE736">
        <f>IF('WetLitterbags placem_collection'!AB77="","",'WetLitterbags placem_collection'!AB77)</f>
        <v>6.1</v>
      </c>
      <c r="AF736">
        <f>IF('WetLitterbags placem_collection'!Z77="","",'WetLitterbags placem_collection'!Z77)</f>
        <v>13.8</v>
      </c>
      <c r="AG736" s="243" t="str">
        <f>IF('WetLitterbags placem_collection'!AA77="","",'WetLitterbags placem_collection'!AA77)</f>
        <v>O</v>
      </c>
      <c r="AH736">
        <f>IF('WetLitterbags placem_collection'!AC77="","",'WetLitterbags placem_collection'!AC77)</f>
        <v>0</v>
      </c>
      <c r="AI736">
        <f>AVERAGE('WetLitterbags placem_collection'!S77,'WetLitterbags placem_collection'!U77)</f>
        <v>27.150000000000002</v>
      </c>
      <c r="AJ736">
        <f>AVERAGE('WetLitterbags placem_collection'!R77,'WetLitterbags placem_collection'!T77)</f>
        <v>25.65</v>
      </c>
      <c r="AK736">
        <f>INDEX(Coordinates!$B$2:$B$197,MATCH(H736,Coordinates!$J$2:$J$197,0))</f>
        <v>-3.302687025</v>
      </c>
      <c r="AL736">
        <f>INDEX(Coordinates!$C$2:$C$197,MATCH(H736,Coordinates!$J$2:$J$197,0))</f>
        <v>34.847926970000003</v>
      </c>
      <c r="AM736" t="str">
        <f>IF(ISNUMBER(SEARCH("C", 'WetLitterbags placem_collection'!$Y77)),"YES","NO")</f>
        <v>NO</v>
      </c>
      <c r="AN736" t="str">
        <f>IF(ISNUMBER(SEARCH("H", 'WetLitterbags placem_collection'!$Y77)),"YES","NO")</f>
        <v>NO</v>
      </c>
      <c r="AO736" t="str">
        <f>IF(ISNUMBER(SEARCH("R", 'WetLitterbags placem_collection'!$Y77)),"YES","NO")</f>
        <v>NO</v>
      </c>
    </row>
    <row r="737" spans="1:41" ht="15" customHeight="1">
      <c r="A737" s="255" t="s">
        <v>2454</v>
      </c>
      <c r="B737" s="260">
        <f>'Dry_Litterbag Placem_Collection'!A78</f>
        <v>76</v>
      </c>
      <c r="C737" s="260" t="str">
        <f>'Dry_Litterbag Placem_Collection'!B78</f>
        <v>Maswa</v>
      </c>
      <c r="D737" s="260" t="s">
        <v>2643</v>
      </c>
      <c r="E737" s="260" t="s">
        <v>2645</v>
      </c>
      <c r="F737" s="260">
        <v>2</v>
      </c>
      <c r="G737" s="260" t="s">
        <v>3812</v>
      </c>
      <c r="H737" s="261" t="str">
        <f>'Dry_Litterbag Placem_Collection'!C78</f>
        <v>Dry_W2_T4</v>
      </c>
      <c r="I737" s="270" t="s">
        <v>3630</v>
      </c>
      <c r="J737" s="271" t="s">
        <v>298</v>
      </c>
      <c r="K737" s="221" t="str">
        <f>'WetLitterbags placem_collection'!Q78</f>
        <v>R183</v>
      </c>
      <c r="L737" s="223">
        <f>IFERROR(INDEX('Green_rooibos initial weight'!$C$5:$C$2000,MATCH(K737, 'Green_rooibos initial weight'!$A$5:$A$2000,0)),"")</f>
        <v>2.262</v>
      </c>
      <c r="M737" s="223">
        <f>IFERROR(L737-(TBIcalc!$H$9+TBIcalc!$H$10),"")</f>
        <v>2.0122</v>
      </c>
      <c r="N737" s="385">
        <f>AVERAGE(Ashed_controlls!$K$2:$K$11)</f>
        <v>5.5147656768714146</v>
      </c>
      <c r="O737" s="223">
        <f t="shared" si="56"/>
        <v>1.9012318850499934</v>
      </c>
      <c r="P737" s="223">
        <f>IFERROR(INDEX('Both teabags AfterWet'!$C$3:$C$840,MATCH(K737,'Both teabags AfterWet'!$A$3:$A$840,0)),"")</f>
        <v>1.7490000000000001</v>
      </c>
      <c r="Q737" s="223">
        <f>IFERROR(IF(P737&gt;0,P737-(TBIcalc!$H$9),""),"")</f>
        <v>1.5984</v>
      </c>
      <c r="R737" s="223">
        <f>IFERROR(INDEX('Ashed teabags wet'!$K$2:$K$2000,MATCH(K737,'Ashed teabags wet'!$A$2:$A$2000,0)),"")</f>
        <v>2.262879152624262</v>
      </c>
      <c r="S737" s="223">
        <f t="shared" si="57"/>
        <v>1.5622301396244538</v>
      </c>
      <c r="T737" s="224">
        <f>'WetLitterbags placem_collection'!E78</f>
        <v>42767</v>
      </c>
      <c r="U737" s="224">
        <f>IF('WetLitterbags placem_collection'!G78="","",'WetLitterbags placem_collection'!G78)</f>
        <v>42818</v>
      </c>
      <c r="V737" s="225">
        <f t="shared" si="55"/>
        <v>51</v>
      </c>
      <c r="W737" s="223">
        <f t="shared" si="58"/>
        <v>0.41379999999999995</v>
      </c>
      <c r="X737" s="223">
        <f t="shared" si="59"/>
        <v>0.33900174542553962</v>
      </c>
      <c r="Y737">
        <f>IFERROR(INDEX(Rainfall_Wet!$O$2:$O$217,MATCH(B737, Rainfall_Wet!$A$2:$A$217,0)),"")</f>
        <v>185.630065823</v>
      </c>
      <c r="Z737" s="228">
        <v>45.272914521112256</v>
      </c>
      <c r="AA737" s="228">
        <v>23.604531410916575</v>
      </c>
      <c r="AB737" s="228">
        <v>31.122554067971166</v>
      </c>
      <c r="AC737" s="229" t="s">
        <v>2657</v>
      </c>
      <c r="AD737" s="228">
        <v>5.0547560374568796</v>
      </c>
      <c r="AE737">
        <f>IF('WetLitterbags placem_collection'!AB78="","",'WetLitterbags placem_collection'!AB78)</f>
        <v>6.7</v>
      </c>
      <c r="AF737">
        <f>IF('WetLitterbags placem_collection'!Z78="","",'WetLitterbags placem_collection'!Z78)</f>
        <v>19.3</v>
      </c>
      <c r="AG737" s="243" t="str">
        <f>IF('WetLitterbags placem_collection'!AA78="","",'WetLitterbags placem_collection'!AA78)</f>
        <v>M</v>
      </c>
      <c r="AH737">
        <f>IF('WetLitterbags placem_collection'!AC78="","",'WetLitterbags placem_collection'!AC78)</f>
        <v>1</v>
      </c>
      <c r="AI737">
        <f>AVERAGE('WetLitterbags placem_collection'!S78,'WetLitterbags placem_collection'!U78)</f>
        <v>26.8</v>
      </c>
      <c r="AJ737">
        <f>AVERAGE('WetLitterbags placem_collection'!R78,'WetLitterbags placem_collection'!T78)</f>
        <v>23.7</v>
      </c>
      <c r="AK737">
        <f>INDEX(Coordinates!$B$2:$B$197,MATCH(H737,Coordinates!$J$2:$J$197,0))</f>
        <v>-3.3024560190000001</v>
      </c>
      <c r="AL737">
        <f>INDEX(Coordinates!$C$2:$C$197,MATCH(H737,Coordinates!$J$2:$J$197,0))</f>
        <v>34.847871990000002</v>
      </c>
      <c r="AM737" t="str">
        <f>IF(ISNUMBER(SEARCH("C", 'WetLitterbags placem_collection'!$Y78)),"YES","NO")</f>
        <v>NO</v>
      </c>
      <c r="AN737" t="str">
        <f>IF(ISNUMBER(SEARCH("H", 'WetLitterbags placem_collection'!$Y78)),"YES","NO")</f>
        <v>NO</v>
      </c>
      <c r="AO737" t="str">
        <f>IF(ISNUMBER(SEARCH("R", 'WetLitterbags placem_collection'!$Y78)),"YES","NO")</f>
        <v>NO</v>
      </c>
    </row>
    <row r="738" spans="1:41" ht="15" customHeight="1">
      <c r="A738" s="255" t="s">
        <v>2454</v>
      </c>
      <c r="B738" s="260">
        <f>'Dry_Litterbag Placem_Collection'!A79</f>
        <v>77</v>
      </c>
      <c r="C738" s="260" t="str">
        <f>'Dry_Litterbag Placem_Collection'!B79</f>
        <v>Maswa</v>
      </c>
      <c r="D738" s="260" t="s">
        <v>2643</v>
      </c>
      <c r="E738" s="260" t="s">
        <v>2645</v>
      </c>
      <c r="F738" s="260">
        <v>2</v>
      </c>
      <c r="G738" s="260" t="s">
        <v>3812</v>
      </c>
      <c r="H738" s="261" t="str">
        <f>'Dry_Litterbag Placem_Collection'!C79</f>
        <v>Dry_W2_T5</v>
      </c>
      <c r="I738" s="270" t="s">
        <v>3630</v>
      </c>
      <c r="J738" s="271" t="s">
        <v>298</v>
      </c>
      <c r="K738" s="221" t="str">
        <f>'WetLitterbags placem_collection'!Q79</f>
        <v>R228</v>
      </c>
      <c r="L738" s="223">
        <f>IFERROR(INDEX('Green_rooibos initial weight'!$C$5:$C$2000,MATCH(K738, 'Green_rooibos initial weight'!$A$5:$A$2000,0)),"")</f>
        <v>2.2040000000000002</v>
      </c>
      <c r="M738" s="223">
        <f>IFERROR(L738-(TBIcalc!$H$9+TBIcalc!$H$10),"")</f>
        <v>1.9542000000000002</v>
      </c>
      <c r="N738" s="385">
        <f>AVERAGE(Ashed_controlls!$K$2:$K$11)</f>
        <v>5.5147656768714146</v>
      </c>
      <c r="O738" s="223">
        <f t="shared" si="56"/>
        <v>1.8464304491425789</v>
      </c>
      <c r="P738" s="223">
        <f>IFERROR(INDEX('Both teabags AfterWet'!$C$3:$C$840,MATCH(K738,'Both teabags AfterWet'!$A$3:$A$840,0)),"")</f>
        <v>2.2429999999999999</v>
      </c>
      <c r="Q738" s="223">
        <f>IFERROR(IF(P738&gt;0,P738-(TBIcalc!$H$9),""),"")</f>
        <v>2.0924</v>
      </c>
      <c r="R738" s="223">
        <f>IFERROR(INDEX('Ashed teabags wet'!$K$2:$K$2000,MATCH(K738,'Ashed teabags wet'!$A$2:$A$2000,0)),"")</f>
        <v>25.765054294176</v>
      </c>
      <c r="S738" s="223">
        <f t="shared" si="57"/>
        <v>1.5532920039486613</v>
      </c>
      <c r="T738" s="224">
        <f>'WetLitterbags placem_collection'!E79</f>
        <v>42767</v>
      </c>
      <c r="U738" s="224">
        <f>IF('WetLitterbags placem_collection'!G79="","",'WetLitterbags placem_collection'!G79)</f>
        <v>42818</v>
      </c>
      <c r="V738" s="225">
        <f t="shared" si="55"/>
        <v>51</v>
      </c>
      <c r="W738" s="223">
        <f t="shared" si="58"/>
        <v>-0.13819999999999988</v>
      </c>
      <c r="X738" s="223">
        <f t="shared" si="59"/>
        <v>0.29313844519391763</v>
      </c>
      <c r="Y738">
        <f>IFERROR(INDEX(Rainfall_Wet!$O$2:$O$217,MATCH(B738, Rainfall_Wet!$A$2:$A$217,0)),"")</f>
        <v>185.630065823</v>
      </c>
      <c r="Z738" s="228">
        <v>45.272914521112256</v>
      </c>
      <c r="AA738" s="228">
        <v>23.604531410916575</v>
      </c>
      <c r="AB738" s="228">
        <v>31.122554067971166</v>
      </c>
      <c r="AC738" s="229" t="s">
        <v>2657</v>
      </c>
      <c r="AD738" s="228">
        <v>6.0547560374568796</v>
      </c>
      <c r="AE738">
        <f>IF('WetLitterbags placem_collection'!AB79="","",'WetLitterbags placem_collection'!AB79)</f>
        <v>3.1</v>
      </c>
      <c r="AF738">
        <f>IF('WetLitterbags placem_collection'!Z79="","",'WetLitterbags placem_collection'!Z79)</f>
        <v>9.8000000000000007</v>
      </c>
      <c r="AG738" s="243" t="str">
        <f>IF('WetLitterbags placem_collection'!AA79="","",'WetLitterbags placem_collection'!AA79)</f>
        <v>O</v>
      </c>
      <c r="AH738">
        <f>IF('WetLitterbags placem_collection'!AC79="","",'WetLitterbags placem_collection'!AC79)</f>
        <v>1</v>
      </c>
      <c r="AI738">
        <f>AVERAGE('WetLitterbags placem_collection'!S79,'WetLitterbags placem_collection'!U79)</f>
        <v>25.950000000000003</v>
      </c>
      <c r="AJ738">
        <f>AVERAGE('WetLitterbags placem_collection'!R79,'WetLitterbags placem_collection'!T79)</f>
        <v>25.950000000000003</v>
      </c>
      <c r="AK738">
        <f>INDEX(Coordinates!$B$2:$B$197,MATCH(H738,Coordinates!$J$2:$J$197,0))</f>
        <v>-3.3023280279999998</v>
      </c>
      <c r="AL738">
        <f>INDEX(Coordinates!$C$2:$C$197,MATCH(H738,Coordinates!$J$2:$J$197,0))</f>
        <v>34.848223019999999</v>
      </c>
      <c r="AM738" t="str">
        <f>IF(ISNUMBER(SEARCH("C", 'WetLitterbags placem_collection'!$Y79)),"YES","NO")</f>
        <v>NO</v>
      </c>
      <c r="AN738" t="str">
        <f>IF(ISNUMBER(SEARCH("H", 'WetLitterbags placem_collection'!$Y79)),"YES","NO")</f>
        <v>NO</v>
      </c>
      <c r="AO738" t="str">
        <f>IF(ISNUMBER(SEARCH("R", 'WetLitterbags placem_collection'!$Y79)),"YES","NO")</f>
        <v>NO</v>
      </c>
    </row>
    <row r="739" spans="1:41" ht="15" customHeight="1">
      <c r="A739" s="255" t="s">
        <v>2454</v>
      </c>
      <c r="B739" s="260">
        <f>'Dry_Litterbag Placem_Collection'!A80</f>
        <v>78</v>
      </c>
      <c r="C739" s="260" t="str">
        <f>'Dry_Litterbag Placem_Collection'!B80</f>
        <v>Maswa</v>
      </c>
      <c r="D739" s="260" t="s">
        <v>2643</v>
      </c>
      <c r="E739" s="260" t="s">
        <v>2645</v>
      </c>
      <c r="F739" s="260">
        <v>2</v>
      </c>
      <c r="G739" s="260" t="s">
        <v>3812</v>
      </c>
      <c r="H739" s="261" t="str">
        <f>'Dry_Litterbag Placem_Collection'!C80</f>
        <v>Dry_W2_T6</v>
      </c>
      <c r="I739" s="270" t="s">
        <v>3630</v>
      </c>
      <c r="J739" s="271" t="s">
        <v>298</v>
      </c>
      <c r="K739" s="221" t="str">
        <f>'WetLitterbags placem_collection'!Q80</f>
        <v>R100</v>
      </c>
      <c r="L739" s="223">
        <f>IFERROR(INDEX('Green_rooibos initial weight'!$C$5:$C$2000,MATCH(K739, 'Green_rooibos initial weight'!$A$5:$A$2000,0)),"")</f>
        <v>2.2549999999999999</v>
      </c>
      <c r="M739" s="223">
        <f>IFERROR(L739-(TBIcalc!$H$9+TBIcalc!$H$10),"")</f>
        <v>2.0051999999999999</v>
      </c>
      <c r="N739" s="385">
        <f>AVERAGE(Ashed_controlls!$K$2:$K$11)</f>
        <v>5.5147656768714146</v>
      </c>
      <c r="O739" s="223">
        <f t="shared" si="56"/>
        <v>1.8946179186473744</v>
      </c>
      <c r="P739" s="223">
        <f>IFERROR(INDEX('Both teabags AfterWet'!$C$3:$C$840,MATCH(K739,'Both teabags AfterWet'!$A$3:$A$840,0)),"")</f>
        <v>1.7222999999999999</v>
      </c>
      <c r="Q739" s="223">
        <f>IFERROR(IF(P739&gt;0,P739-(TBIcalc!$H$9),""),"")</f>
        <v>1.5716999999999999</v>
      </c>
      <c r="R739" s="223">
        <f>IFERROR(INDEX('Ashed teabags wet'!$K$2:$K$2000,MATCH(K739,'Ashed teabags wet'!$A$2:$A$2000,0)),"")</f>
        <v>2.8361858190706335</v>
      </c>
      <c r="S739" s="223">
        <f t="shared" si="57"/>
        <v>1.5271236674816668</v>
      </c>
      <c r="T739" s="224">
        <f>'WetLitterbags placem_collection'!E80</f>
        <v>42767</v>
      </c>
      <c r="U739" s="224">
        <f>IF('WetLitterbags placem_collection'!G80="","",'WetLitterbags placem_collection'!G80)</f>
        <v>42818</v>
      </c>
      <c r="V739" s="225">
        <f t="shared" si="55"/>
        <v>51</v>
      </c>
      <c r="W739" s="223">
        <f t="shared" si="58"/>
        <v>0.4335</v>
      </c>
      <c r="X739" s="223">
        <f t="shared" si="59"/>
        <v>0.36749425116570755</v>
      </c>
      <c r="Y739">
        <f>IFERROR(INDEX(Rainfall_Wet!$O$2:$O$217,MATCH(B739, Rainfall_Wet!$A$2:$A$217,0)),"")</f>
        <v>185.630065823</v>
      </c>
      <c r="Z739" s="228">
        <v>45.272914521112256</v>
      </c>
      <c r="AA739" s="228">
        <v>23.604531410916575</v>
      </c>
      <c r="AB739" s="228">
        <v>31.122554067971166</v>
      </c>
      <c r="AC739" s="229" t="s">
        <v>2657</v>
      </c>
      <c r="AD739" s="228">
        <v>7.0547560374568796</v>
      </c>
      <c r="AE739">
        <f>IF('WetLitterbags placem_collection'!AB80="","",'WetLitterbags placem_collection'!AB80)</f>
        <v>10.4</v>
      </c>
      <c r="AF739">
        <f>IF('WetLitterbags placem_collection'!Z80="","",'WetLitterbags placem_collection'!Z80)</f>
        <v>15.4</v>
      </c>
      <c r="AG739" s="243" t="str">
        <f>IF('WetLitterbags placem_collection'!AA80="","",'WetLitterbags placem_collection'!AA80)</f>
        <v>M</v>
      </c>
      <c r="AH739">
        <f>IF('WetLitterbags placem_collection'!AC80="","",'WetLitterbags placem_collection'!AC80)</f>
        <v>1</v>
      </c>
      <c r="AI739">
        <f>AVERAGE('WetLitterbags placem_collection'!S80,'WetLitterbags placem_collection'!U80)</f>
        <v>24.15</v>
      </c>
      <c r="AJ739">
        <f>AVERAGE('WetLitterbags placem_collection'!R80,'WetLitterbags placem_collection'!T80)</f>
        <v>27.75</v>
      </c>
      <c r="AK739">
        <f>INDEX(Coordinates!$B$2:$B$197,MATCH(H739,Coordinates!$J$2:$J$197,0))</f>
        <v>-3.3025680020000001</v>
      </c>
      <c r="AL739">
        <f>INDEX(Coordinates!$C$2:$C$197,MATCH(H739,Coordinates!$J$2:$J$197,0))</f>
        <v>34.848167029999999</v>
      </c>
      <c r="AM739" t="str">
        <f>IF(ISNUMBER(SEARCH("C", 'WetLitterbags placem_collection'!$Y80)),"YES","NO")</f>
        <v>NO</v>
      </c>
      <c r="AN739" t="str">
        <f>IF(ISNUMBER(SEARCH("H", 'WetLitterbags placem_collection'!$Y80)),"YES","NO")</f>
        <v>NO</v>
      </c>
      <c r="AO739" t="str">
        <f>IF(ISNUMBER(SEARCH("R", 'WetLitterbags placem_collection'!$Y80)),"YES","NO")</f>
        <v>NO</v>
      </c>
    </row>
    <row r="740" spans="1:41" ht="15" customHeight="1">
      <c r="A740" s="255" t="s">
        <v>2454</v>
      </c>
      <c r="B740" s="260">
        <f>'Dry_Litterbag Placem_Collection'!A81</f>
        <v>79</v>
      </c>
      <c r="C740" s="260" t="str">
        <f>'Dry_Litterbag Placem_Collection'!B81</f>
        <v>Maswa</v>
      </c>
      <c r="D740" s="260" t="s">
        <v>2643</v>
      </c>
      <c r="E740" s="260" t="s">
        <v>2645</v>
      </c>
      <c r="F740" s="260">
        <v>2</v>
      </c>
      <c r="G740" s="260" t="s">
        <v>3812</v>
      </c>
      <c r="H740" s="261" t="str">
        <f>'Dry_Litterbag Placem_Collection'!C81</f>
        <v>Dry_W2_T7</v>
      </c>
      <c r="I740" s="270" t="s">
        <v>3630</v>
      </c>
      <c r="J740" s="271" t="s">
        <v>298</v>
      </c>
      <c r="K740" s="221" t="str">
        <f>'WetLitterbags placem_collection'!Q81</f>
        <v>R56</v>
      </c>
      <c r="L740" s="223">
        <f>IFERROR(INDEX('Green_rooibos initial weight'!$C$5:$C$2000,MATCH(K740, 'Green_rooibos initial weight'!$A$5:$A$2000,0)),"")</f>
        <v>2.1829999999999998</v>
      </c>
      <c r="M740" s="223">
        <f>IFERROR(L740-(TBIcalc!$H$9+TBIcalc!$H$10),"")</f>
        <v>1.9331999999999998</v>
      </c>
      <c r="N740" s="385">
        <f>AVERAGE(Ashed_controlls!$K$2:$K$11)</f>
        <v>5.5147656768714146</v>
      </c>
      <c r="O740" s="223">
        <f t="shared" si="56"/>
        <v>1.8265885499347216</v>
      </c>
      <c r="P740" s="223">
        <f>IFERROR(INDEX('Both teabags AfterWet'!$C$3:$C$840,MATCH(K740,'Both teabags AfterWet'!$A$3:$A$840,0)),"")</f>
        <v>1.6438999999999999</v>
      </c>
      <c r="Q740" s="223">
        <f>IFERROR(IF(P740&gt;0,P740-(TBIcalc!$H$9),""),"")</f>
        <v>1.4932999999999998</v>
      </c>
      <c r="R740" s="223">
        <f>IFERROR(INDEX('Ashed teabags wet'!$K$2:$K$2000,MATCH(K740,'Ashed teabags wet'!$A$2:$A$2000,0)),"")</f>
        <v>1.8838304552590228</v>
      </c>
      <c r="S740" s="223">
        <f t="shared" si="57"/>
        <v>1.4651687598116168</v>
      </c>
      <c r="T740" s="224">
        <f>'WetLitterbags placem_collection'!E81</f>
        <v>42767</v>
      </c>
      <c r="U740" s="224">
        <f>IF('WetLitterbags placem_collection'!G81="","",'WetLitterbags placem_collection'!G81)</f>
        <v>42818</v>
      </c>
      <c r="V740" s="225">
        <f t="shared" si="55"/>
        <v>51</v>
      </c>
      <c r="W740" s="223">
        <f t="shared" si="58"/>
        <v>0.43989999999999996</v>
      </c>
      <c r="X740" s="223">
        <f t="shared" si="59"/>
        <v>0.36141979012310488</v>
      </c>
      <c r="Y740">
        <f>IFERROR(INDEX(Rainfall_Wet!$O$2:$O$217,MATCH(B740, Rainfall_Wet!$A$2:$A$217,0)),"")</f>
        <v>185.630065823</v>
      </c>
      <c r="Z740" s="228">
        <v>45.272914521112256</v>
      </c>
      <c r="AA740" s="228">
        <v>23.604531410916575</v>
      </c>
      <c r="AB740" s="228">
        <v>31.122554067971166</v>
      </c>
      <c r="AC740" s="229" t="s">
        <v>2657</v>
      </c>
      <c r="AD740" s="228">
        <v>8.0547560374568796</v>
      </c>
      <c r="AE740">
        <f>IF('WetLitterbags placem_collection'!AB81="","",'WetLitterbags placem_collection'!AB81)</f>
        <v>3</v>
      </c>
      <c r="AF740">
        <f>IF('WetLitterbags placem_collection'!Z81="","",'WetLitterbags placem_collection'!Z81)</f>
        <v>5</v>
      </c>
      <c r="AG740" s="243" t="str">
        <f>IF('WetLitterbags placem_collection'!AA81="","",'WetLitterbags placem_collection'!AA81)</f>
        <v>G</v>
      </c>
      <c r="AH740">
        <f>IF('WetLitterbags placem_collection'!AC81="","",'WetLitterbags placem_collection'!AC81)</f>
        <v>1</v>
      </c>
      <c r="AI740">
        <f>AVERAGE('WetLitterbags placem_collection'!S81,'WetLitterbags placem_collection'!U81)</f>
        <v>26.9</v>
      </c>
      <c r="AJ740">
        <f>AVERAGE('WetLitterbags placem_collection'!R81,'WetLitterbags placem_collection'!T81)</f>
        <v>26.25</v>
      </c>
      <c r="AK740">
        <f>INDEX(Coordinates!$B$2:$B$197,MATCH(H740,Coordinates!$J$2:$J$197,0))</f>
        <v>-3.3026270100000001</v>
      </c>
      <c r="AL740">
        <f>INDEX(Coordinates!$C$2:$C$197,MATCH(H740,Coordinates!$J$2:$J$197,0))</f>
        <v>34.84840801</v>
      </c>
      <c r="AM740" t="str">
        <f>IF(ISNUMBER(SEARCH("C", 'WetLitterbags placem_collection'!$Y81)),"YES","NO")</f>
        <v>NO</v>
      </c>
      <c r="AN740" t="str">
        <f>IF(ISNUMBER(SEARCH("H", 'WetLitterbags placem_collection'!$Y81)),"YES","NO")</f>
        <v>NO</v>
      </c>
      <c r="AO740" t="str">
        <f>IF(ISNUMBER(SEARCH("R", 'WetLitterbags placem_collection'!$Y81)),"YES","NO")</f>
        <v>NO</v>
      </c>
    </row>
    <row r="741" spans="1:41" ht="15" customHeight="1">
      <c r="A741" s="255" t="s">
        <v>2454</v>
      </c>
      <c r="B741" s="260">
        <f>'Dry_Litterbag Placem_Collection'!A82</f>
        <v>80</v>
      </c>
      <c r="C741" s="260" t="str">
        <f>'Dry_Litterbag Placem_Collection'!B82</f>
        <v>Maswa</v>
      </c>
      <c r="D741" s="260" t="s">
        <v>2643</v>
      </c>
      <c r="E741" s="260" t="s">
        <v>2645</v>
      </c>
      <c r="F741" s="260">
        <v>2</v>
      </c>
      <c r="G741" s="260" t="s">
        <v>3812</v>
      </c>
      <c r="H741" s="261" t="str">
        <f>'Dry_Litterbag Placem_Collection'!C82</f>
        <v>Dry_W2_T8</v>
      </c>
      <c r="I741" s="270" t="s">
        <v>3630</v>
      </c>
      <c r="J741" s="271" t="s">
        <v>298</v>
      </c>
      <c r="K741" s="221" t="str">
        <f>'WetLitterbags placem_collection'!Q82</f>
        <v>R68</v>
      </c>
      <c r="L741" s="223">
        <f>IFERROR(INDEX('Green_rooibos initial weight'!$C$5:$C$2000,MATCH(K741, 'Green_rooibos initial weight'!$A$5:$A$2000,0)),"")</f>
        <v>2.2370000000000001</v>
      </c>
      <c r="M741" s="223">
        <f>IFERROR(L741-(TBIcalc!$H$9+TBIcalc!$H$10),"")</f>
        <v>1.9872000000000001</v>
      </c>
      <c r="N741" s="385">
        <f>AVERAGE(Ashed_controlls!$K$2:$K$11)</f>
        <v>5.5147656768714146</v>
      </c>
      <c r="O741" s="223">
        <f t="shared" si="56"/>
        <v>1.8776105764692113</v>
      </c>
      <c r="P741" s="223">
        <f>IFERROR(INDEX('Both teabags AfterWet'!$C$3:$C$840,MATCH(K741,'Both teabags AfterWet'!$A$3:$A$840,0)),"")</f>
        <v>1.639</v>
      </c>
      <c r="Q741" s="223">
        <f>IFERROR(IF(P741&gt;0,P741-(TBIcalc!$H$9),""),"")</f>
        <v>1.4883999999999999</v>
      </c>
      <c r="R741" s="223">
        <f>IFERROR(INDEX('Ashed teabags wet'!$K$2:$K$2000,MATCH(K741,'Ashed teabags wet'!$A$2:$A$2000,0)),"")</f>
        <v>10.359922178988159</v>
      </c>
      <c r="S741" s="223">
        <f t="shared" si="57"/>
        <v>1.3342029182879402</v>
      </c>
      <c r="T741" s="224">
        <f>'WetLitterbags placem_collection'!E82</f>
        <v>42767</v>
      </c>
      <c r="U741" s="224">
        <f>IF('WetLitterbags placem_collection'!G82="","",'WetLitterbags placem_collection'!G82)</f>
        <v>42818</v>
      </c>
      <c r="V741" s="225">
        <f t="shared" si="55"/>
        <v>51</v>
      </c>
      <c r="W741" s="223">
        <f t="shared" si="58"/>
        <v>0.49880000000000013</v>
      </c>
      <c r="X741" s="223">
        <f t="shared" si="59"/>
        <v>0.54340765818127101</v>
      </c>
      <c r="Y741">
        <f>IFERROR(INDEX(Rainfall_Wet!$O$2:$O$217,MATCH(B741, Rainfall_Wet!$A$2:$A$217,0)),"")</f>
        <v>185.630065823</v>
      </c>
      <c r="Z741" s="228">
        <v>45.272914521112256</v>
      </c>
      <c r="AA741" s="228">
        <v>23.604531410916575</v>
      </c>
      <c r="AB741" s="228">
        <v>31.122554067971166</v>
      </c>
      <c r="AC741" s="229" t="s">
        <v>2657</v>
      </c>
      <c r="AD741" s="228">
        <v>9.0547560374568796</v>
      </c>
      <c r="AE741">
        <f>IF('WetLitterbags placem_collection'!AB82="","",'WetLitterbags placem_collection'!AB82)</f>
        <v>2.7</v>
      </c>
      <c r="AF741">
        <f>IF('WetLitterbags placem_collection'!Z82="","",'WetLitterbags placem_collection'!Z82)</f>
        <v>12.4</v>
      </c>
      <c r="AG741" s="243" t="str">
        <f>IF('WetLitterbags placem_collection'!AA82="","",'WetLitterbags placem_collection'!AA82)</f>
        <v>O</v>
      </c>
      <c r="AH741">
        <f>IF('WetLitterbags placem_collection'!AC82="","",'WetLitterbags placem_collection'!AC82)</f>
        <v>1</v>
      </c>
      <c r="AI741">
        <f>AVERAGE('WetLitterbags placem_collection'!S82,'WetLitterbags placem_collection'!U82)</f>
        <v>28.55</v>
      </c>
      <c r="AJ741">
        <f>AVERAGE('WetLitterbags placem_collection'!R82,'WetLitterbags placem_collection'!T82)</f>
        <v>27.450000000000003</v>
      </c>
      <c r="AK741">
        <f>INDEX(Coordinates!$B$2:$B$197,MATCH(H741,Coordinates!$J$2:$J$197,0))</f>
        <v>-3.3028539920000002</v>
      </c>
      <c r="AL741">
        <f>INDEX(Coordinates!$C$2:$C$197,MATCH(H741,Coordinates!$J$2:$J$197,0))</f>
        <v>34.847988999999998</v>
      </c>
      <c r="AM741" t="str">
        <f>IF(ISNUMBER(SEARCH("C", 'WetLitterbags placem_collection'!$Y82)),"YES","NO")</f>
        <v>NO</v>
      </c>
      <c r="AN741" t="str">
        <f>IF(ISNUMBER(SEARCH("H", 'WetLitterbags placem_collection'!$Y82)),"YES","NO")</f>
        <v>NO</v>
      </c>
      <c r="AO741" t="str">
        <f>IF(ISNUMBER(SEARCH("R", 'WetLitterbags placem_collection'!$Y82)),"YES","NO")</f>
        <v>NO</v>
      </c>
    </row>
    <row r="742" spans="1:41" ht="15" customHeight="1">
      <c r="A742" s="255" t="s">
        <v>2454</v>
      </c>
      <c r="B742" s="260">
        <f>'Dry_Litterbag Placem_Collection'!A83</f>
        <v>81</v>
      </c>
      <c r="C742" s="260" t="str">
        <f>'Dry_Litterbag Placem_Collection'!B83</f>
        <v>Maswa</v>
      </c>
      <c r="D742" s="260" t="s">
        <v>2643</v>
      </c>
      <c r="E742" s="260" t="s">
        <v>2645</v>
      </c>
      <c r="F742" s="260">
        <v>3</v>
      </c>
      <c r="G742" s="260" t="s">
        <v>3813</v>
      </c>
      <c r="H742" s="261" t="str">
        <f>'Dry_Litterbag Placem_Collection'!C83</f>
        <v>Dry_W3_T1</v>
      </c>
      <c r="I742" s="270" t="s">
        <v>3630</v>
      </c>
      <c r="J742" s="271" t="s">
        <v>298</v>
      </c>
      <c r="K742" s="221" t="str">
        <f>'WetLitterbags placem_collection'!Q83</f>
        <v>R293</v>
      </c>
      <c r="L742" s="223">
        <f>IFERROR(INDEX('Green_rooibos initial weight'!$C$5:$C$2000,MATCH(K742, 'Green_rooibos initial weight'!$A$5:$A$2000,0)),"")</f>
        <v>2.165</v>
      </c>
      <c r="M742" s="223">
        <f>IFERROR(L742-(TBIcalc!$H$9+TBIcalc!$H$10),"")</f>
        <v>1.9152</v>
      </c>
      <c r="N742" s="385">
        <f>AVERAGE(Ashed_controlls!$K$2:$K$11)</f>
        <v>5.5147656768714146</v>
      </c>
      <c r="O742" s="223">
        <f t="shared" si="56"/>
        <v>1.8095812077565587</v>
      </c>
      <c r="P742" s="223">
        <f>IFERROR(INDEX('Both teabags AfterWet'!$C$3:$C$840,MATCH(K742,'Both teabags AfterWet'!$A$3:$A$840,0)),"")</f>
        <v>1.736</v>
      </c>
      <c r="Q742" s="223">
        <f>IFERROR(IF(P742&gt;0,P742-(TBIcalc!$H$9),""),"")</f>
        <v>1.5853999999999999</v>
      </c>
      <c r="R742" s="223">
        <f>IFERROR(INDEX('Ashed teabags wet'!$K$2:$K$2000,MATCH(K742,'Ashed teabags wet'!$A$2:$A$2000,0)),"")</f>
        <v>2.1037181996090717</v>
      </c>
      <c r="S742" s="223">
        <f t="shared" si="57"/>
        <v>1.5520476516633976</v>
      </c>
      <c r="T742" s="224">
        <f>'WetLitterbags placem_collection'!E83</f>
        <v>42767</v>
      </c>
      <c r="U742" s="224">
        <f>IF('WetLitterbags placem_collection'!G83="","",'WetLitterbags placem_collection'!G83)</f>
        <v>42818</v>
      </c>
      <c r="V742" s="225">
        <f t="shared" si="55"/>
        <v>51</v>
      </c>
      <c r="W742" s="223">
        <f t="shared" si="58"/>
        <v>0.32980000000000009</v>
      </c>
      <c r="X742" s="223">
        <f t="shared" si="59"/>
        <v>0.25753355609316109</v>
      </c>
      <c r="Y742">
        <f>IFERROR(INDEX(Rainfall_Wet!$O$2:$O$217,MATCH(B742, Rainfall_Wet!$A$2:$A$217,0)),"")</f>
        <v>185.01185076100001</v>
      </c>
      <c r="Z742" s="228">
        <v>38.691629007962128</v>
      </c>
      <c r="AA742" s="228">
        <v>26.81299763288143</v>
      </c>
      <c r="AB742" s="228">
        <v>34.495373359156439</v>
      </c>
      <c r="AC742" s="229" t="s">
        <v>2659</v>
      </c>
      <c r="AD742" s="228">
        <v>2.5483587974371611</v>
      </c>
      <c r="AE742">
        <f>IF('WetLitterbags placem_collection'!AB83="","",'WetLitterbags placem_collection'!AB83)</f>
        <v>6.2</v>
      </c>
      <c r="AF742">
        <f>IF('WetLitterbags placem_collection'!Z83="","",'WetLitterbags placem_collection'!Z83)</f>
        <v>13.3</v>
      </c>
      <c r="AG742" s="243" t="str">
        <f>IF('WetLitterbags placem_collection'!AA83="","",'WetLitterbags placem_collection'!AA83)</f>
        <v>O</v>
      </c>
      <c r="AH742">
        <f>IF('WetLitterbags placem_collection'!AC83="","",'WetLitterbags placem_collection'!AC83)</f>
        <v>0</v>
      </c>
      <c r="AI742">
        <f>AVERAGE('WetLitterbags placem_collection'!S83,'WetLitterbags placem_collection'!U83)</f>
        <v>26.35</v>
      </c>
      <c r="AJ742">
        <f>AVERAGE('WetLitterbags placem_collection'!R83,'WetLitterbags placem_collection'!T83)</f>
        <v>26.65</v>
      </c>
      <c r="AK742">
        <f>INDEX(Coordinates!$B$2:$B$197,MATCH(H742,Coordinates!$J$2:$J$197,0))</f>
        <v>-3.2957159630000001</v>
      </c>
      <c r="AL742">
        <f>INDEX(Coordinates!$C$2:$C$197,MATCH(H742,Coordinates!$J$2:$J$197,0))</f>
        <v>34.852460999999998</v>
      </c>
      <c r="AM742" t="str">
        <f>IF(ISNUMBER(SEARCH("C", 'WetLitterbags placem_collection'!$Y83)),"YES","NO")</f>
        <v>NO</v>
      </c>
      <c r="AN742" t="str">
        <f>IF(ISNUMBER(SEARCH("H", 'WetLitterbags placem_collection'!$Y83)),"YES","NO")</f>
        <v>NO</v>
      </c>
      <c r="AO742" t="str">
        <f>IF(ISNUMBER(SEARCH("R", 'WetLitterbags placem_collection'!$Y83)),"YES","NO")</f>
        <v>YES</v>
      </c>
    </row>
    <row r="743" spans="1:41" ht="15" customHeight="1">
      <c r="A743" s="255" t="s">
        <v>2454</v>
      </c>
      <c r="B743" s="260">
        <f>'Dry_Litterbag Placem_Collection'!A84</f>
        <v>82</v>
      </c>
      <c r="C743" s="260" t="str">
        <f>'Dry_Litterbag Placem_Collection'!B84</f>
        <v>Maswa</v>
      </c>
      <c r="D743" s="260" t="s">
        <v>2643</v>
      </c>
      <c r="E743" s="260" t="s">
        <v>2645</v>
      </c>
      <c r="F743" s="260">
        <v>3</v>
      </c>
      <c r="G743" s="260" t="s">
        <v>3813</v>
      </c>
      <c r="H743" s="261" t="str">
        <f>'Dry_Litterbag Placem_Collection'!C84</f>
        <v>Dry_W3_T2</v>
      </c>
      <c r="I743" s="270" t="s">
        <v>3630</v>
      </c>
      <c r="J743" s="271" t="s">
        <v>298</v>
      </c>
      <c r="K743" s="221" t="str">
        <f>'WetLitterbags placem_collection'!Q84</f>
        <v>R368</v>
      </c>
      <c r="L743" s="223">
        <f>IFERROR(INDEX('Green_rooibos initial weight'!$C$5:$C$2000,MATCH(K743, 'Green_rooibos initial weight'!$A$5:$A$2000,0)),"")</f>
        <v>2.2549999999999999</v>
      </c>
      <c r="M743" s="223">
        <f>IFERROR(L743-(TBIcalc!$H$9+TBIcalc!$H$10),"")</f>
        <v>2.0051999999999999</v>
      </c>
      <c r="N743" s="385">
        <f>AVERAGE(Ashed_controlls!$K$2:$K$11)</f>
        <v>5.5147656768714146</v>
      </c>
      <c r="O743" s="223">
        <f t="shared" si="56"/>
        <v>1.8946179186473744</v>
      </c>
      <c r="P743" s="223">
        <f>IFERROR(INDEX('Both teabags AfterWet'!$C$3:$C$840,MATCH(K743,'Both teabags AfterWet'!$A$3:$A$840,0)),"")</f>
        <v>1.704</v>
      </c>
      <c r="Q743" s="223">
        <f>IFERROR(IF(P743&gt;0,P743-(TBIcalc!$H$9),""),"")</f>
        <v>1.5533999999999999</v>
      </c>
      <c r="R743" s="223">
        <f>IFERROR(INDEX('Ashed teabags wet'!$K$2:$K$2000,MATCH(K743,'Ashed teabags wet'!$A$2:$A$2000,0)),"")</f>
        <v>4.0756914119362859</v>
      </c>
      <c r="S743" s="223">
        <f t="shared" si="57"/>
        <v>1.4900882096069816</v>
      </c>
      <c r="T743" s="224">
        <f>'WetLitterbags placem_collection'!E84</f>
        <v>42767</v>
      </c>
      <c r="U743" s="224">
        <f>IF('WetLitterbags placem_collection'!G84="","",'WetLitterbags placem_collection'!G84)</f>
        <v>42819</v>
      </c>
      <c r="V743" s="225">
        <f t="shared" si="55"/>
        <v>52</v>
      </c>
      <c r="W743" s="223">
        <f t="shared" si="58"/>
        <v>0.45179999999999998</v>
      </c>
      <c r="X743" s="223">
        <f t="shared" si="59"/>
        <v>0.40452970904039276</v>
      </c>
      <c r="Y743">
        <f>IFERROR(INDEX(Rainfall_Wet!$O$2:$O$217,MATCH(B743, Rainfall_Wet!$A$2:$A$217,0)),"")</f>
        <v>194.93009798400001</v>
      </c>
      <c r="Z743" s="228">
        <v>38.691629007962128</v>
      </c>
      <c r="AA743" s="228">
        <v>26.81299763288143</v>
      </c>
      <c r="AB743" s="228">
        <v>34.495373359156439</v>
      </c>
      <c r="AC743" s="229" t="s">
        <v>2659</v>
      </c>
      <c r="AD743" s="228">
        <v>3.5483587974371602</v>
      </c>
      <c r="AE743">
        <f>IF('WetLitterbags placem_collection'!AB84="","",'WetLitterbags placem_collection'!AB84)</f>
        <v>2.4</v>
      </c>
      <c r="AF743">
        <f>IF('WetLitterbags placem_collection'!Z84="","",'WetLitterbags placem_collection'!Z84)</f>
        <v>16.600000000000001</v>
      </c>
      <c r="AG743" s="243" t="str">
        <f>IF('WetLitterbags placem_collection'!AA84="","",'WetLitterbags placem_collection'!AA84)</f>
        <v>O</v>
      </c>
      <c r="AH743" t="str">
        <f>IF('WetLitterbags placem_collection'!AC84="","",'WetLitterbags placem_collection'!AC84)</f>
        <v/>
      </c>
      <c r="AI743">
        <f>AVERAGE('WetLitterbags placem_collection'!S84,'WetLitterbags placem_collection'!U84)</f>
        <v>26.6</v>
      </c>
      <c r="AJ743">
        <f>AVERAGE('WetLitterbags placem_collection'!R84,'WetLitterbags placem_collection'!T84)</f>
        <v>23.05</v>
      </c>
      <c r="AK743">
        <f>INDEX(Coordinates!$B$2:$B$197,MATCH(H743,Coordinates!$J$2:$J$197,0))</f>
        <v>-3.2957230040000001</v>
      </c>
      <c r="AL743">
        <f>INDEX(Coordinates!$C$2:$C$197,MATCH(H743,Coordinates!$J$2:$J$197,0))</f>
        <v>34.852416990000002</v>
      </c>
      <c r="AM743" t="str">
        <f>IF(ISNUMBER(SEARCH("C", 'WetLitterbags placem_collection'!$Y84)),"YES","NO")</f>
        <v>NO</v>
      </c>
      <c r="AN743" t="str">
        <f>IF(ISNUMBER(SEARCH("H", 'WetLitterbags placem_collection'!$Y84)),"YES","NO")</f>
        <v>NO</v>
      </c>
      <c r="AO743" t="str">
        <f>IF(ISNUMBER(SEARCH("R", 'WetLitterbags placem_collection'!$Y84)),"YES","NO")</f>
        <v>NO</v>
      </c>
    </row>
    <row r="744" spans="1:41" ht="15" customHeight="1">
      <c r="A744" s="255" t="s">
        <v>2454</v>
      </c>
      <c r="B744" s="260">
        <f>'Dry_Litterbag Placem_Collection'!A85</f>
        <v>83</v>
      </c>
      <c r="C744" s="260" t="str">
        <f>'Dry_Litterbag Placem_Collection'!B85</f>
        <v>Maswa</v>
      </c>
      <c r="D744" s="260" t="s">
        <v>2643</v>
      </c>
      <c r="E744" s="260" t="s">
        <v>2645</v>
      </c>
      <c r="F744" s="260">
        <v>3</v>
      </c>
      <c r="G744" s="260" t="s">
        <v>3813</v>
      </c>
      <c r="H744" s="261" t="str">
        <f>'Dry_Litterbag Placem_Collection'!C85</f>
        <v>Dry_W3_T3</v>
      </c>
      <c r="I744" s="270" t="s">
        <v>3630</v>
      </c>
      <c r="J744" s="271" t="s">
        <v>298</v>
      </c>
      <c r="K744" s="221" t="str">
        <f>'WetLitterbags placem_collection'!Q85</f>
        <v>R22</v>
      </c>
      <c r="L744" s="223">
        <f>IFERROR(INDEX('Green_rooibos initial weight'!$C$5:$C$2000,MATCH(K744, 'Green_rooibos initial weight'!$A$5:$A$2000,0)),"")</f>
        <v>2.0590000000000002</v>
      </c>
      <c r="M744" s="223">
        <f>IFERROR(L744-(TBIcalc!$H$9+TBIcalc!$H$10),"")</f>
        <v>1.8092000000000001</v>
      </c>
      <c r="N744" s="385">
        <f>AVERAGE(Ashed_controlls!$K$2:$K$11)</f>
        <v>5.5147656768714146</v>
      </c>
      <c r="O744" s="223">
        <f t="shared" si="56"/>
        <v>1.7094268593740425</v>
      </c>
      <c r="P744" s="223">
        <f>IFERROR(INDEX('Both teabags AfterWet'!$C$3:$C$840,MATCH(K744,'Both teabags AfterWet'!$A$3:$A$840,0)),"")</f>
        <v>1.637</v>
      </c>
      <c r="Q744" s="223">
        <f>IFERROR(IF(P744&gt;0,P744-(TBIcalc!$H$9),""),"")</f>
        <v>1.4863999999999999</v>
      </c>
      <c r="R744" s="223">
        <f>IFERROR(INDEX('Ashed teabags wet'!$K$2:$K$2000,MATCH(K744,'Ashed teabags wet'!$A$2:$A$2000,0)),"")</f>
        <v>7.3339940535177606</v>
      </c>
      <c r="S744" s="223">
        <f t="shared" si="57"/>
        <v>1.377387512388512</v>
      </c>
      <c r="T744" s="224">
        <f>'WetLitterbags placem_collection'!E85</f>
        <v>42767</v>
      </c>
      <c r="U744" s="224">
        <f>IF('WetLitterbags placem_collection'!G85="","",'WetLitterbags placem_collection'!G85)</f>
        <v>42819</v>
      </c>
      <c r="V744" s="225">
        <f t="shared" si="55"/>
        <v>52</v>
      </c>
      <c r="W744" s="223">
        <f t="shared" si="58"/>
        <v>0.3228000000000002</v>
      </c>
      <c r="X744" s="223">
        <f t="shared" si="59"/>
        <v>0.3320393469855305</v>
      </c>
      <c r="Y744">
        <f>IFERROR(INDEX(Rainfall_Wet!$O$2:$O$217,MATCH(B744, Rainfall_Wet!$A$2:$A$217,0)),"")</f>
        <v>194.93009798400001</v>
      </c>
      <c r="Z744" s="228">
        <v>38.691629007962128</v>
      </c>
      <c r="AA744" s="228">
        <v>26.81299763288143</v>
      </c>
      <c r="AB744" s="228">
        <v>34.495373359156439</v>
      </c>
      <c r="AC744" s="229" t="s">
        <v>2659</v>
      </c>
      <c r="AD744" s="228">
        <v>4.5483587974371602</v>
      </c>
      <c r="AE744">
        <f>IF('WetLitterbags placem_collection'!AB85="","",'WetLitterbags placem_collection'!AB85)</f>
        <v>6.4</v>
      </c>
      <c r="AF744">
        <f>IF('WetLitterbags placem_collection'!Z85="","",'WetLitterbags placem_collection'!Z85)</f>
        <v>42</v>
      </c>
      <c r="AG744" s="243" t="str">
        <f>IF('WetLitterbags placem_collection'!AA85="","",'WetLitterbags placem_collection'!AA85)</f>
        <v>M</v>
      </c>
      <c r="AH744">
        <f>IF('WetLitterbags placem_collection'!AC85="","",'WetLitterbags placem_collection'!AC85)</f>
        <v>1</v>
      </c>
      <c r="AI744">
        <f>AVERAGE('WetLitterbags placem_collection'!S85,'WetLitterbags placem_collection'!U85)</f>
        <v>30.099999999999998</v>
      </c>
      <c r="AJ744">
        <f>AVERAGE('WetLitterbags placem_collection'!R85,'WetLitterbags placem_collection'!T85)</f>
        <v>25.05</v>
      </c>
      <c r="AK744">
        <f>INDEX(Coordinates!$B$2:$B$197,MATCH(H744,Coordinates!$J$2:$J$197,0))</f>
        <v>-3.2957430369999998</v>
      </c>
      <c r="AL744">
        <f>INDEX(Coordinates!$C$2:$C$197,MATCH(H744,Coordinates!$J$2:$J$197,0))</f>
        <v>34.852309030000001</v>
      </c>
      <c r="AM744" t="str">
        <f>IF(ISNUMBER(SEARCH("C", 'WetLitterbags placem_collection'!$Y85)),"YES","NO")</f>
        <v>NO</v>
      </c>
      <c r="AN744" t="str">
        <f>IF(ISNUMBER(SEARCH("H", 'WetLitterbags placem_collection'!$Y85)),"YES","NO")</f>
        <v>NO</v>
      </c>
      <c r="AO744" t="str">
        <f>IF(ISNUMBER(SEARCH("R", 'WetLitterbags placem_collection'!$Y85)),"YES","NO")</f>
        <v>NO</v>
      </c>
    </row>
    <row r="745" spans="1:41" ht="15" customHeight="1">
      <c r="A745" s="255" t="s">
        <v>2454</v>
      </c>
      <c r="B745" s="260">
        <f>'Dry_Litterbag Placem_Collection'!A86</f>
        <v>84</v>
      </c>
      <c r="C745" s="260" t="str">
        <f>'Dry_Litterbag Placem_Collection'!B86</f>
        <v>Maswa</v>
      </c>
      <c r="D745" s="260" t="s">
        <v>2643</v>
      </c>
      <c r="E745" s="260" t="s">
        <v>2645</v>
      </c>
      <c r="F745" s="260">
        <v>3</v>
      </c>
      <c r="G745" s="260" t="s">
        <v>3813</v>
      </c>
      <c r="H745" s="261" t="str">
        <f>'Dry_Litterbag Placem_Collection'!C86</f>
        <v>Dry_W3_T4</v>
      </c>
      <c r="I745" s="270" t="s">
        <v>3630</v>
      </c>
      <c r="J745" s="271" t="s">
        <v>298</v>
      </c>
      <c r="K745" s="221" t="str">
        <f>'WetLitterbags placem_collection'!Q86</f>
        <v>R417</v>
      </c>
      <c r="L745" s="223">
        <f>IFERROR(INDEX('Green_rooibos initial weight'!$C$5:$C$2000,MATCH(K745, 'Green_rooibos initial weight'!$A$5:$A$2000,0)),"")</f>
        <v>2.2269999999999999</v>
      </c>
      <c r="M745" s="223">
        <f>IFERROR(L745-(TBIcalc!$H$9+TBIcalc!$H$10),"")</f>
        <v>1.9771999999999998</v>
      </c>
      <c r="N745" s="385">
        <f>AVERAGE(Ashed_controlls!$K$2:$K$11)</f>
        <v>5.5147656768714146</v>
      </c>
      <c r="O745" s="223">
        <f t="shared" si="56"/>
        <v>1.8681620530368983</v>
      </c>
      <c r="P745" s="223">
        <f>IFERROR(INDEX('Both teabags AfterWet'!$C$3:$C$840,MATCH(K745,'Both teabags AfterWet'!$A$3:$A$840,0)),"")</f>
        <v>1.5820000000000001</v>
      </c>
      <c r="Q745" s="223">
        <f>IFERROR(IF(P745&gt;0,P745-(TBIcalc!$H$9),""),"")</f>
        <v>1.4314</v>
      </c>
      <c r="R745" s="223">
        <f>IFERROR(INDEX('Ashed teabags wet'!$K$2:$K$2000,MATCH(K745,'Ashed teabags wet'!$A$2:$A$2000,0)),"")</f>
        <v>7.3412698412690327</v>
      </c>
      <c r="S745" s="223">
        <f t="shared" si="57"/>
        <v>1.3263170634920751</v>
      </c>
      <c r="T745" s="224">
        <f>'WetLitterbags placem_collection'!E86</f>
        <v>42767</v>
      </c>
      <c r="U745" s="224">
        <f>IF('WetLitterbags placem_collection'!G86="","",'WetLitterbags placem_collection'!G86)</f>
        <v>42819</v>
      </c>
      <c r="V745" s="225">
        <f t="shared" si="55"/>
        <v>52</v>
      </c>
      <c r="W745" s="223">
        <f t="shared" si="58"/>
        <v>0.54579999999999984</v>
      </c>
      <c r="X745" s="223">
        <f t="shared" si="59"/>
        <v>0.54184498954482319</v>
      </c>
      <c r="Y745">
        <f>IFERROR(INDEX(Rainfall_Wet!$O$2:$O$217,MATCH(B745, Rainfall_Wet!$A$2:$A$217,0)),"")</f>
        <v>194.93009798400001</v>
      </c>
      <c r="Z745" s="228">
        <v>38.691629007962128</v>
      </c>
      <c r="AA745" s="228">
        <v>26.81299763288143</v>
      </c>
      <c r="AB745" s="228">
        <v>34.495373359156439</v>
      </c>
      <c r="AC745" s="229" t="s">
        <v>2659</v>
      </c>
      <c r="AD745" s="228">
        <v>5.5483587974371602</v>
      </c>
      <c r="AE745">
        <f>IF('WetLitterbags placem_collection'!AB86="","",'WetLitterbags placem_collection'!AB86)</f>
        <v>5.5</v>
      </c>
      <c r="AF745">
        <f>IF('WetLitterbags placem_collection'!Z86="","",'WetLitterbags placem_collection'!Z86)</f>
        <v>55.8</v>
      </c>
      <c r="AG745" s="243" t="str">
        <f>IF('WetLitterbags placem_collection'!AA86="","",'WetLitterbags placem_collection'!AA86)</f>
        <v>M</v>
      </c>
      <c r="AH745">
        <f>IF('WetLitterbags placem_collection'!AC86="","",'WetLitterbags placem_collection'!AC86)</f>
        <v>1</v>
      </c>
      <c r="AI745">
        <f>AVERAGE('WetLitterbags placem_collection'!S86,'WetLitterbags placem_collection'!U86)</f>
        <v>27.75</v>
      </c>
      <c r="AJ745">
        <f>AVERAGE('WetLitterbags placem_collection'!R86,'WetLitterbags placem_collection'!T86)</f>
        <v>23.6</v>
      </c>
      <c r="AK745">
        <f>INDEX(Coordinates!$B$2:$B$197,MATCH(H745,Coordinates!$J$2:$J$197,0))</f>
        <v>-3.295795005</v>
      </c>
      <c r="AL745">
        <f>INDEX(Coordinates!$C$2:$C$197,MATCH(H745,Coordinates!$J$2:$J$197,0))</f>
        <v>34.85232001</v>
      </c>
      <c r="AM745" t="str">
        <f>IF(ISNUMBER(SEARCH("C", 'WetLitterbags placem_collection'!$Y86)),"YES","NO")</f>
        <v>NO</v>
      </c>
      <c r="AN745" t="str">
        <f>IF(ISNUMBER(SEARCH("H", 'WetLitterbags placem_collection'!$Y86)),"YES","NO")</f>
        <v>NO</v>
      </c>
      <c r="AO745" t="str">
        <f>IF(ISNUMBER(SEARCH("R", 'WetLitterbags placem_collection'!$Y86)),"YES","NO")</f>
        <v>YES</v>
      </c>
    </row>
    <row r="746" spans="1:41" ht="15" customHeight="1">
      <c r="A746" s="255" t="s">
        <v>2454</v>
      </c>
      <c r="B746" s="260">
        <f>'Dry_Litterbag Placem_Collection'!A87</f>
        <v>85</v>
      </c>
      <c r="C746" s="260" t="str">
        <f>'Dry_Litterbag Placem_Collection'!B87</f>
        <v>Maswa</v>
      </c>
      <c r="D746" s="260" t="s">
        <v>2643</v>
      </c>
      <c r="E746" s="260" t="s">
        <v>2645</v>
      </c>
      <c r="F746" s="260">
        <v>3</v>
      </c>
      <c r="G746" s="260" t="s">
        <v>3813</v>
      </c>
      <c r="H746" s="261" t="str">
        <f>'Dry_Litterbag Placem_Collection'!C87</f>
        <v>Dry_W3_T5</v>
      </c>
      <c r="I746" s="270" t="s">
        <v>3630</v>
      </c>
      <c r="J746" s="271" t="s">
        <v>298</v>
      </c>
      <c r="K746" s="221" t="str">
        <f>'WetLitterbags placem_collection'!Q87</f>
        <v>R391</v>
      </c>
      <c r="L746" s="223">
        <f>IFERROR(INDEX('Green_rooibos initial weight'!$C$5:$C$2000,MATCH(K746, 'Green_rooibos initial weight'!$A$5:$A$2000,0)),"")</f>
        <v>2.1960000000000002</v>
      </c>
      <c r="M746" s="223">
        <f>IFERROR(L746-(TBIcalc!$H$9+TBIcalc!$H$10),"")</f>
        <v>1.9462000000000002</v>
      </c>
      <c r="N746" s="385">
        <f>AVERAGE(Ashed_controlls!$K$2:$K$11)</f>
        <v>5.5147656768714146</v>
      </c>
      <c r="O746" s="223">
        <f t="shared" si="56"/>
        <v>1.8388716303967287</v>
      </c>
      <c r="P746" s="223">
        <f>IFERROR(INDEX('Both teabags AfterWet'!$C$3:$C$840,MATCH(K746,'Both teabags AfterWet'!$A$3:$A$840,0)),"")</f>
        <v>1.6220000000000001</v>
      </c>
      <c r="Q746" s="223">
        <f>IFERROR(IF(P746&gt;0,P746-(TBIcalc!$H$9),""),"")</f>
        <v>1.4714</v>
      </c>
      <c r="R746" s="223">
        <f>IFERROR(INDEX('Ashed teabags wet'!$K$2:$K$2000,MATCH(K746,'Ashed teabags wet'!$A$2:$A$2000,0)),"")</f>
        <v>3.6463536463541599</v>
      </c>
      <c r="S746" s="223">
        <f t="shared" si="57"/>
        <v>1.4177475524475449</v>
      </c>
      <c r="T746" s="224">
        <f>'WetLitterbags placem_collection'!E87</f>
        <v>42767</v>
      </c>
      <c r="U746" s="224">
        <f>IF('WetLitterbags placem_collection'!G87="","",'WetLitterbags placem_collection'!G87)</f>
        <v>42819</v>
      </c>
      <c r="V746" s="225">
        <f t="shared" si="55"/>
        <v>52</v>
      </c>
      <c r="W746" s="223">
        <f t="shared" si="58"/>
        <v>0.47480000000000011</v>
      </c>
      <c r="X746" s="223">
        <f t="shared" si="59"/>
        <v>0.42112407794918383</v>
      </c>
      <c r="Y746">
        <f>IFERROR(INDEX(Rainfall_Wet!$O$2:$O$217,MATCH(B746, Rainfall_Wet!$A$2:$A$217,0)),"")</f>
        <v>194.93009798400001</v>
      </c>
      <c r="Z746" s="228">
        <v>38.691629007962128</v>
      </c>
      <c r="AA746" s="228">
        <v>26.81299763288143</v>
      </c>
      <c r="AB746" s="228">
        <v>34.495373359156439</v>
      </c>
      <c r="AC746" s="229" t="s">
        <v>2659</v>
      </c>
      <c r="AD746" s="228">
        <v>6.5483587974371602</v>
      </c>
      <c r="AE746">
        <f>IF('WetLitterbags placem_collection'!AB87="","",'WetLitterbags placem_collection'!AB87)</f>
        <v>8.6</v>
      </c>
      <c r="AF746">
        <f>IF('WetLitterbags placem_collection'!Z87="","",'WetLitterbags placem_collection'!Z87)</f>
        <v>3.8</v>
      </c>
      <c r="AG746" s="243" t="str">
        <f>IF('WetLitterbags placem_collection'!AA87="","",'WetLitterbags placem_collection'!AA87)</f>
        <v>O</v>
      </c>
      <c r="AH746">
        <f>IF('WetLitterbags placem_collection'!AC87="","",'WetLitterbags placem_collection'!AC87)</f>
        <v>0</v>
      </c>
      <c r="AI746">
        <f>AVERAGE('WetLitterbags placem_collection'!S87,'WetLitterbags placem_collection'!U87)</f>
        <v>26.55</v>
      </c>
      <c r="AJ746">
        <f>AVERAGE('WetLitterbags placem_collection'!R87,'WetLitterbags placem_collection'!T87)</f>
        <v>23.15</v>
      </c>
      <c r="AK746">
        <f>INDEX(Coordinates!$B$2:$B$197,MATCH(H746,Coordinates!$J$2:$J$197,0))</f>
        <v>-3.2957100119999998</v>
      </c>
      <c r="AL746">
        <f>INDEX(Coordinates!$C$2:$C$197,MATCH(H746,Coordinates!$J$2:$J$197,0))</f>
        <v>34.852283970000002</v>
      </c>
      <c r="AM746" t="str">
        <f>IF(ISNUMBER(SEARCH("C", 'WetLitterbags placem_collection'!$Y87)),"YES","NO")</f>
        <v>NO</v>
      </c>
      <c r="AN746" t="str">
        <f>IF(ISNUMBER(SEARCH("H", 'WetLitterbags placem_collection'!$Y87)),"YES","NO")</f>
        <v>NO</v>
      </c>
      <c r="AO746" t="str">
        <f>IF(ISNUMBER(SEARCH("R", 'WetLitterbags placem_collection'!$Y87)),"YES","NO")</f>
        <v>NO</v>
      </c>
    </row>
    <row r="747" spans="1:41" ht="15" customHeight="1">
      <c r="A747" s="255" t="s">
        <v>2454</v>
      </c>
      <c r="B747" s="260">
        <f>'Dry_Litterbag Placem_Collection'!A88</f>
        <v>86</v>
      </c>
      <c r="C747" s="260" t="str">
        <f>'Dry_Litterbag Placem_Collection'!B88</f>
        <v>Maswa</v>
      </c>
      <c r="D747" s="260" t="s">
        <v>2643</v>
      </c>
      <c r="E747" s="260" t="s">
        <v>2645</v>
      </c>
      <c r="F747" s="260">
        <v>3</v>
      </c>
      <c r="G747" s="260" t="s">
        <v>3813</v>
      </c>
      <c r="H747" s="261" t="str">
        <f>'Dry_Litterbag Placem_Collection'!C88</f>
        <v>Dry_W3_T6</v>
      </c>
      <c r="I747" s="270" t="s">
        <v>3630</v>
      </c>
      <c r="J747" s="271" t="s">
        <v>298</v>
      </c>
      <c r="K747" s="221" t="str">
        <f>'WetLitterbags placem_collection'!Q88</f>
        <v>R62</v>
      </c>
      <c r="L747" s="223">
        <f>IFERROR(INDEX('Green_rooibos initial weight'!$C$5:$C$2000,MATCH(K747, 'Green_rooibos initial weight'!$A$5:$A$2000,0)),"")</f>
        <v>2.3660000000000001</v>
      </c>
      <c r="M747" s="223">
        <f>IFERROR(L747-(TBIcalc!$H$9+TBIcalc!$H$10),"")</f>
        <v>2.1162000000000001</v>
      </c>
      <c r="N747" s="385">
        <f>AVERAGE(Ashed_controlls!$K$2:$K$11)</f>
        <v>5.5147656768714146</v>
      </c>
      <c r="O747" s="223">
        <f t="shared" si="56"/>
        <v>1.9994965287460471</v>
      </c>
      <c r="P747" s="223">
        <f>IFERROR(INDEX('Both teabags AfterWet'!$C$3:$C$840,MATCH(K747,'Both teabags AfterWet'!$A$3:$A$840,0)),"")</f>
        <v>1.6786000000000001</v>
      </c>
      <c r="Q747" s="223">
        <f>IFERROR(IF(P747&gt;0,P747-(TBIcalc!$H$9),""),"")</f>
        <v>1.528</v>
      </c>
      <c r="R747" s="223">
        <f>IFERROR(INDEX('Ashed teabags wet'!$K$2:$K$2000,MATCH(K747,'Ashed teabags wet'!$A$2:$A$2000,0)),"")</f>
        <v>28.338278931750832</v>
      </c>
      <c r="S747" s="223">
        <f t="shared" si="57"/>
        <v>1.0949910979228474</v>
      </c>
      <c r="T747" s="224">
        <f>'WetLitterbags placem_collection'!E88</f>
        <v>42767</v>
      </c>
      <c r="U747" s="224">
        <f>IF('WetLitterbags placem_collection'!G88="","",'WetLitterbags placem_collection'!G88)</f>
        <v>42819</v>
      </c>
      <c r="V747" s="225">
        <f t="shared" si="55"/>
        <v>52</v>
      </c>
      <c r="W747" s="223">
        <f t="shared" si="58"/>
        <v>0.58820000000000006</v>
      </c>
      <c r="X747" s="223">
        <f t="shared" si="59"/>
        <v>0.90450543082319967</v>
      </c>
      <c r="Y747">
        <f>IFERROR(INDEX(Rainfall_Wet!$O$2:$O$217,MATCH(B747, Rainfall_Wet!$A$2:$A$217,0)),"")</f>
        <v>194.93009798400001</v>
      </c>
      <c r="Z747" s="228">
        <v>38.691629007962128</v>
      </c>
      <c r="AA747" s="228">
        <v>26.81299763288143</v>
      </c>
      <c r="AB747" s="228">
        <v>34.495373359156439</v>
      </c>
      <c r="AC747" s="229" t="s">
        <v>2659</v>
      </c>
      <c r="AD747" s="228">
        <v>7.5483587974371602</v>
      </c>
      <c r="AE747">
        <f>IF('WetLitterbags placem_collection'!AB88="","",'WetLitterbags placem_collection'!AB88)</f>
        <v>3.7</v>
      </c>
      <c r="AF747">
        <f>IF('WetLitterbags placem_collection'!Z88="","",'WetLitterbags placem_collection'!Z88)</f>
        <v>7.5</v>
      </c>
      <c r="AG747" s="243" t="str">
        <f>IF('WetLitterbags placem_collection'!AA88="","",'WetLitterbags placem_collection'!AA88)</f>
        <v>O</v>
      </c>
      <c r="AH747">
        <f>IF('WetLitterbags placem_collection'!AC88="","",'WetLitterbags placem_collection'!AC88)</f>
        <v>0</v>
      </c>
      <c r="AI747">
        <f>AVERAGE('WetLitterbags placem_collection'!S88,'WetLitterbags placem_collection'!U88)</f>
        <v>24.05</v>
      </c>
      <c r="AJ747">
        <f>AVERAGE('WetLitterbags placem_collection'!R88,'WetLitterbags placem_collection'!T88)</f>
        <v>25.799999999999997</v>
      </c>
      <c r="AK747">
        <f>INDEX(Coordinates!$B$2:$B$197,MATCH(H747,Coordinates!$J$2:$J$197,0))</f>
        <v>-3.2956140399999998</v>
      </c>
      <c r="AL747">
        <f>INDEX(Coordinates!$C$2:$C$197,MATCH(H747,Coordinates!$J$2:$J$197,0))</f>
        <v>34.852137030000002</v>
      </c>
      <c r="AM747" t="str">
        <f>IF(ISNUMBER(SEARCH("C", 'WetLitterbags placem_collection'!$Y88)),"YES","NO")</f>
        <v>NO</v>
      </c>
      <c r="AN747" t="str">
        <f>IF(ISNUMBER(SEARCH("H", 'WetLitterbags placem_collection'!$Y88)),"YES","NO")</f>
        <v>NO</v>
      </c>
      <c r="AO747" t="str">
        <f>IF(ISNUMBER(SEARCH("R", 'WetLitterbags placem_collection'!$Y88)),"YES","NO")</f>
        <v>NO</v>
      </c>
    </row>
    <row r="748" spans="1:41" ht="15" customHeight="1">
      <c r="A748" s="255" t="s">
        <v>2454</v>
      </c>
      <c r="B748" s="260">
        <f>'Dry_Litterbag Placem_Collection'!A89</f>
        <v>87</v>
      </c>
      <c r="C748" s="260" t="str">
        <f>'Dry_Litterbag Placem_Collection'!B89</f>
        <v>Maswa</v>
      </c>
      <c r="D748" s="260" t="s">
        <v>2643</v>
      </c>
      <c r="E748" s="260" t="s">
        <v>2645</v>
      </c>
      <c r="F748" s="260">
        <v>3</v>
      </c>
      <c r="G748" s="260" t="s">
        <v>3813</v>
      </c>
      <c r="H748" s="261" t="str">
        <f>'Dry_Litterbag Placem_Collection'!C89</f>
        <v>Dry_W3_T7</v>
      </c>
      <c r="I748" s="270" t="s">
        <v>3630</v>
      </c>
      <c r="J748" s="271" t="s">
        <v>298</v>
      </c>
      <c r="K748" s="221" t="str">
        <f>'WetLitterbags placem_collection'!Q89</f>
        <v>R329</v>
      </c>
      <c r="L748" s="223">
        <f>IFERROR(INDEX('Green_rooibos initial weight'!$C$5:$C$2000,MATCH(K748, 'Green_rooibos initial weight'!$A$5:$A$2000,0)),"")</f>
        <v>2.2120000000000002</v>
      </c>
      <c r="M748" s="223">
        <f>IFERROR(L748-(TBIcalc!$H$9+TBIcalc!$H$10),"")</f>
        <v>1.9622000000000002</v>
      </c>
      <c r="N748" s="385">
        <f>AVERAGE(Ashed_controlls!$K$2:$K$11)</f>
        <v>5.5147656768714146</v>
      </c>
      <c r="O748" s="223">
        <f t="shared" si="56"/>
        <v>1.8539892678884293</v>
      </c>
      <c r="P748" s="223">
        <f>IFERROR(INDEX('Both teabags AfterWet'!$C$3:$C$840,MATCH(K748,'Both teabags AfterWet'!$A$3:$A$840,0)),"")</f>
        <v>1.7085999999999999</v>
      </c>
      <c r="Q748" s="223">
        <f>IFERROR(IF(P748&gt;0,P748-(TBIcalc!$H$9),""),"")</f>
        <v>1.5579999999999998</v>
      </c>
      <c r="R748" s="223">
        <f>IFERROR(INDEX('Ashed teabags wet'!$K$2:$K$2000,MATCH(K748,'Ashed teabags wet'!$A$2:$A$2000,0)),"")</f>
        <v>5.7663873829462604</v>
      </c>
      <c r="S748" s="223">
        <f t="shared" si="57"/>
        <v>1.4681596845736971</v>
      </c>
      <c r="T748" s="224">
        <f>'WetLitterbags placem_collection'!E89</f>
        <v>42767</v>
      </c>
      <c r="U748" s="224">
        <f>IF('WetLitterbags placem_collection'!G89="","",'WetLitterbags placem_collection'!G89)</f>
        <v>42819</v>
      </c>
      <c r="V748" s="225">
        <f t="shared" si="55"/>
        <v>52</v>
      </c>
      <c r="W748" s="223">
        <f t="shared" si="58"/>
        <v>0.40420000000000034</v>
      </c>
      <c r="X748" s="223">
        <f t="shared" si="59"/>
        <v>0.38582958331473227</v>
      </c>
      <c r="Y748">
        <f>IFERROR(INDEX(Rainfall_Wet!$O$2:$O$217,MATCH(B748, Rainfall_Wet!$A$2:$A$217,0)),"")</f>
        <v>194.93009798400001</v>
      </c>
      <c r="Z748" s="228">
        <v>38.691629007962128</v>
      </c>
      <c r="AA748" s="228">
        <v>26.81299763288143</v>
      </c>
      <c r="AB748" s="228">
        <v>34.495373359156439</v>
      </c>
      <c r="AC748" s="229" t="s">
        <v>2659</v>
      </c>
      <c r="AD748" s="228">
        <v>8.5483587974371602</v>
      </c>
      <c r="AE748">
        <f>IF('WetLitterbags placem_collection'!AB89="","",'WetLitterbags placem_collection'!AB89)</f>
        <v>7.5</v>
      </c>
      <c r="AF748">
        <f>IF('WetLitterbags placem_collection'!Z89="","",'WetLitterbags placem_collection'!Z89)</f>
        <v>12.6</v>
      </c>
      <c r="AG748" s="243" t="str">
        <f>IF('WetLitterbags placem_collection'!AA89="","",'WetLitterbags placem_collection'!AA89)</f>
        <v>O</v>
      </c>
      <c r="AH748">
        <f>IF('WetLitterbags placem_collection'!AC89="","",'WetLitterbags placem_collection'!AC89)</f>
        <v>1</v>
      </c>
      <c r="AI748">
        <f>AVERAGE('WetLitterbags placem_collection'!S89,'WetLitterbags placem_collection'!U89)</f>
        <v>25.85</v>
      </c>
      <c r="AJ748">
        <f>AVERAGE('WetLitterbags placem_collection'!R89,'WetLitterbags placem_collection'!T89)</f>
        <v>21.55</v>
      </c>
      <c r="AK748">
        <f>INDEX(Coordinates!$B$2:$B$197,MATCH(H748,Coordinates!$J$2:$J$197,0))</f>
        <v>-3.295904975</v>
      </c>
      <c r="AL748">
        <f>INDEX(Coordinates!$C$2:$C$197,MATCH(H748,Coordinates!$J$2:$J$197,0))</f>
        <v>34.852136029999997</v>
      </c>
      <c r="AM748" t="str">
        <f>IF(ISNUMBER(SEARCH("C", 'WetLitterbags placem_collection'!$Y89)),"YES","NO")</f>
        <v>NO</v>
      </c>
      <c r="AN748" t="str">
        <f>IF(ISNUMBER(SEARCH("H", 'WetLitterbags placem_collection'!$Y89)),"YES","NO")</f>
        <v>NO</v>
      </c>
      <c r="AO748" t="str">
        <f>IF(ISNUMBER(SEARCH("R", 'WetLitterbags placem_collection'!$Y89)),"YES","NO")</f>
        <v>NO</v>
      </c>
    </row>
    <row r="749" spans="1:41" ht="15" customHeight="1">
      <c r="A749" s="255" t="s">
        <v>2454</v>
      </c>
      <c r="B749" s="260">
        <f>'Dry_Litterbag Placem_Collection'!A90</f>
        <v>88</v>
      </c>
      <c r="C749" s="260" t="str">
        <f>'Dry_Litterbag Placem_Collection'!B90</f>
        <v>Maswa</v>
      </c>
      <c r="D749" s="260" t="s">
        <v>2643</v>
      </c>
      <c r="E749" s="260" t="s">
        <v>2645</v>
      </c>
      <c r="F749" s="260">
        <v>3</v>
      </c>
      <c r="G749" s="260" t="s">
        <v>3813</v>
      </c>
      <c r="H749" s="261" t="str">
        <f>'Dry_Litterbag Placem_Collection'!C90</f>
        <v>Dry_W3_T8</v>
      </c>
      <c r="I749" s="270" t="s">
        <v>3630</v>
      </c>
      <c r="J749" s="271" t="s">
        <v>298</v>
      </c>
      <c r="K749" s="221" t="str">
        <f>'WetLitterbags placem_collection'!Q90</f>
        <v>R288</v>
      </c>
      <c r="L749" s="223">
        <f>IFERROR(INDEX('Green_rooibos initial weight'!$C$5:$C$2000,MATCH(K749, 'Green_rooibos initial weight'!$A$5:$A$2000,0)),"")</f>
        <v>2.2450000000000001</v>
      </c>
      <c r="M749" s="223">
        <f>IFERROR(L749-(TBIcalc!$H$9+TBIcalc!$H$10),"")</f>
        <v>1.9952000000000001</v>
      </c>
      <c r="N749" s="385">
        <f>AVERAGE(Ashed_controlls!$K$2:$K$11)</f>
        <v>5.5147656768714146</v>
      </c>
      <c r="O749" s="223">
        <f t="shared" si="56"/>
        <v>1.8851693952150617</v>
      </c>
      <c r="P749" s="223">
        <f>IFERROR(INDEX('Both teabags AfterWet'!$C$3:$C$840,MATCH(K749,'Both teabags AfterWet'!$A$3:$A$840,0)),"")</f>
        <v>1.514</v>
      </c>
      <c r="Q749" s="223">
        <f>IFERROR(IF(P749&gt;0,P749-(TBIcalc!$H$9),""),"")</f>
        <v>1.3633999999999999</v>
      </c>
      <c r="R749" s="223">
        <f>IFERROR(INDEX('Ashed teabags wet'!$K$2:$K$2000,MATCH(K749,'Ashed teabags wet'!$A$2:$A$2000,0)),"")</f>
        <v>4.106972301815091</v>
      </c>
      <c r="S749" s="223">
        <f t="shared" si="57"/>
        <v>1.307405539637053</v>
      </c>
      <c r="T749" s="224">
        <f>'WetLitterbags placem_collection'!E90</f>
        <v>42767</v>
      </c>
      <c r="U749" s="224">
        <f>IF('WetLitterbags placem_collection'!G90="","",'WetLitterbags placem_collection'!G90)</f>
        <v>42819</v>
      </c>
      <c r="V749" s="225">
        <f t="shared" si="55"/>
        <v>52</v>
      </c>
      <c r="W749" s="223">
        <f t="shared" si="58"/>
        <v>0.63180000000000014</v>
      </c>
      <c r="X749" s="223">
        <f t="shared" si="59"/>
        <v>0.57776385557800869</v>
      </c>
      <c r="Y749" t="str">
        <f>IFERROR(INDEX(Rainfall_Wet!$O$2:$O$217,MATCH(B749, Rainfall_Wet!$A$2:$A$217,0)),"")</f>
        <v/>
      </c>
      <c r="Z749" s="228">
        <v>38.691629007962128</v>
      </c>
      <c r="AA749" s="228">
        <v>26.81299763288143</v>
      </c>
      <c r="AB749" s="228">
        <v>34.495373359156439</v>
      </c>
      <c r="AC749" s="229" t="s">
        <v>2659</v>
      </c>
      <c r="AD749" s="228">
        <v>9.5483587974371602</v>
      </c>
      <c r="AE749" t="str">
        <f>IF('WetLitterbags placem_collection'!AB90="","",'WetLitterbags placem_collection'!AB90)</f>
        <v/>
      </c>
      <c r="AF749" t="str">
        <f>IF('WetLitterbags placem_collection'!Z90="","",'WetLitterbags placem_collection'!Z90)</f>
        <v/>
      </c>
      <c r="AG749" s="243" t="str">
        <f>IF('WetLitterbags placem_collection'!AA90="","",'WetLitterbags placem_collection'!AA90)</f>
        <v/>
      </c>
      <c r="AH749" t="str">
        <f>IF('WetLitterbags placem_collection'!AC90="","",'WetLitterbags placem_collection'!AC90)</f>
        <v/>
      </c>
      <c r="AI749">
        <f>AVERAGE('WetLitterbags placem_collection'!S90,'WetLitterbags placem_collection'!U90)</f>
        <v>29.7</v>
      </c>
      <c r="AJ749">
        <f>AVERAGE('WetLitterbags placem_collection'!R90,'WetLitterbags placem_collection'!T90)</f>
        <v>21.4</v>
      </c>
      <c r="AK749">
        <f>INDEX(Coordinates!$B$2:$B$197,MATCH(H749,Coordinates!$J$2:$J$197,0))</f>
        <v>-3.2959530039999998</v>
      </c>
      <c r="AL749">
        <f>INDEX(Coordinates!$C$2:$C$197,MATCH(H749,Coordinates!$J$2:$J$197,0))</f>
        <v>34.85242504</v>
      </c>
      <c r="AM749" t="str">
        <f>IF(ISNUMBER(SEARCH("C", 'WetLitterbags placem_collection'!$Y90)),"YES","NO")</f>
        <v>NO</v>
      </c>
      <c r="AN749" t="str">
        <f>IF(ISNUMBER(SEARCH("H", 'WetLitterbags placem_collection'!$Y90)),"YES","NO")</f>
        <v>NO</v>
      </c>
      <c r="AO749" t="str">
        <f>IF(ISNUMBER(SEARCH("R", 'WetLitterbags placem_collection'!$Y90)),"YES","NO")</f>
        <v>NO</v>
      </c>
    </row>
    <row r="750" spans="1:41" ht="15" customHeight="1">
      <c r="A750" s="255" t="s">
        <v>2454</v>
      </c>
      <c r="B750" s="260">
        <f>'Dry_Litterbag Placem_Collection'!A91</f>
        <v>89</v>
      </c>
      <c r="C750" s="260" t="str">
        <f>'Dry_Litterbag Placem_Collection'!B91</f>
        <v>Maswa</v>
      </c>
      <c r="D750" s="260" t="s">
        <v>2643</v>
      </c>
      <c r="E750" s="260" t="s">
        <v>2645</v>
      </c>
      <c r="F750" s="260">
        <v>4</v>
      </c>
      <c r="G750" s="260" t="s">
        <v>3814</v>
      </c>
      <c r="H750" s="261" t="str">
        <f>'Dry_Litterbag Placem_Collection'!C91</f>
        <v>Dry_W4_T1</v>
      </c>
      <c r="I750" s="270" t="s">
        <v>3630</v>
      </c>
      <c r="J750" s="271" t="s">
        <v>298</v>
      </c>
      <c r="K750" s="221" t="str">
        <f>'WetLitterbags placem_collection'!Q91</f>
        <v>R171</v>
      </c>
      <c r="L750" s="223">
        <f>IFERROR(INDEX('Green_rooibos initial weight'!$C$5:$C$2000,MATCH(K750, 'Green_rooibos initial weight'!$A$5:$A$2000,0)),"")</f>
        <v>2.1160000000000001</v>
      </c>
      <c r="M750" s="223">
        <f>IFERROR(L750-(TBIcalc!$H$9+TBIcalc!$H$10),"")</f>
        <v>1.8662000000000001</v>
      </c>
      <c r="N750" s="385">
        <f>AVERAGE(Ashed_controlls!$K$2:$K$11)</f>
        <v>5.5147656768714146</v>
      </c>
      <c r="O750" s="223">
        <f t="shared" si="56"/>
        <v>1.7632834429382258</v>
      </c>
      <c r="P750" s="223">
        <f>IFERROR(INDEX('Both teabags AfterWet'!$C$3:$C$840,MATCH(K750,'Both teabags AfterWet'!$A$3:$A$840,0)),"")</f>
        <v>2.0529999999999999</v>
      </c>
      <c r="Q750" s="223">
        <f>IFERROR(IF(P750&gt;0,P750-(TBIcalc!$H$9),""),"")</f>
        <v>1.9023999999999999</v>
      </c>
      <c r="R750" s="223">
        <f>IFERROR(INDEX('Ashed teabags wet'!$K$2:$K$2000,MATCH(K750,'Ashed teabags wet'!$A$2:$A$2000,0)),"")</f>
        <v>19.890873015872916</v>
      </c>
      <c r="S750" s="223">
        <f t="shared" si="57"/>
        <v>1.5239960317460335</v>
      </c>
      <c r="T750" s="224">
        <f>'WetLitterbags placem_collection'!E91</f>
        <v>42767</v>
      </c>
      <c r="U750" s="224">
        <f>IF('WetLitterbags placem_collection'!G91="","",'WetLitterbags placem_collection'!G91)</f>
        <v>42819</v>
      </c>
      <c r="V750" s="225">
        <f t="shared" si="55"/>
        <v>52</v>
      </c>
      <c r="W750" s="223">
        <f t="shared" si="58"/>
        <v>-3.6199999999999788E-2</v>
      </c>
      <c r="X750" s="223">
        <f t="shared" si="59"/>
        <v>0.23928741119219232</v>
      </c>
      <c r="Y750">
        <f>IFERROR(INDEX(Rainfall_Wet!$O$2:$O$217,MATCH(B750, Rainfall_Wet!$A$2:$A$217,0)),"")</f>
        <v>194.93009798400001</v>
      </c>
      <c r="Z750" s="228">
        <v>28.145762029394</v>
      </c>
      <c r="AA750" s="228">
        <v>25.085564727199518</v>
      </c>
      <c r="AB750" s="228">
        <v>46.768673243406489</v>
      </c>
      <c r="AC750" s="229" t="s">
        <v>2654</v>
      </c>
      <c r="AD750" s="228">
        <v>2.1716214884179394</v>
      </c>
      <c r="AE750">
        <f>IF('WetLitterbags placem_collection'!AB91="","",'WetLitterbags placem_collection'!AB91)</f>
        <v>7.3</v>
      </c>
      <c r="AF750">
        <f>IF('WetLitterbags placem_collection'!Z91="","",'WetLitterbags placem_collection'!Z91)</f>
        <v>35.799999999999997</v>
      </c>
      <c r="AG750" s="243" t="str">
        <f>IF('WetLitterbags placem_collection'!AA91="","",'WetLitterbags placem_collection'!AA91)</f>
        <v>O</v>
      </c>
      <c r="AH750">
        <f>IF('WetLitterbags placem_collection'!AC91="","",'WetLitterbags placem_collection'!AC91)</f>
        <v>0</v>
      </c>
      <c r="AI750">
        <f>AVERAGE('WetLitterbags placem_collection'!S91,'WetLitterbags placem_collection'!U91)</f>
        <v>20.95</v>
      </c>
      <c r="AJ750">
        <f>AVERAGE('WetLitterbags placem_collection'!R91,'WetLitterbags placem_collection'!T91)</f>
        <v>24.45</v>
      </c>
      <c r="AK750">
        <f>INDEX(Coordinates!$B$2:$B$197,MATCH(H750,Coordinates!$J$2:$J$197,0))</f>
        <v>-3.2966709980000002</v>
      </c>
      <c r="AL750">
        <f>INDEX(Coordinates!$C$2:$C$197,MATCH(H750,Coordinates!$J$2:$J$197,0))</f>
        <v>34.854407019999996</v>
      </c>
      <c r="AM750" t="str">
        <f>IF(ISNUMBER(SEARCH("C", 'WetLitterbags placem_collection'!$Y91)),"YES","NO")</f>
        <v>NO</v>
      </c>
      <c r="AN750" t="str">
        <f>IF(ISNUMBER(SEARCH("H", 'WetLitterbags placem_collection'!$Y91)),"YES","NO")</f>
        <v>NO</v>
      </c>
      <c r="AO750" t="str">
        <f>IF(ISNUMBER(SEARCH("R", 'WetLitterbags placem_collection'!$Y91)),"YES","NO")</f>
        <v>NO</v>
      </c>
    </row>
    <row r="751" spans="1:41" ht="15" customHeight="1">
      <c r="A751" s="255" t="s">
        <v>2454</v>
      </c>
      <c r="B751" s="260">
        <f>'Dry_Litterbag Placem_Collection'!A92</f>
        <v>90</v>
      </c>
      <c r="C751" s="260" t="str">
        <f>'Dry_Litterbag Placem_Collection'!B92</f>
        <v>Maswa</v>
      </c>
      <c r="D751" s="260" t="s">
        <v>2643</v>
      </c>
      <c r="E751" s="260" t="s">
        <v>2645</v>
      </c>
      <c r="F751" s="260">
        <v>4</v>
      </c>
      <c r="G751" s="260" t="s">
        <v>3814</v>
      </c>
      <c r="H751" s="261" t="str">
        <f>'Dry_Litterbag Placem_Collection'!C92</f>
        <v>Dry_W4_T2</v>
      </c>
      <c r="I751" s="270" t="s">
        <v>3630</v>
      </c>
      <c r="J751" s="271" t="s">
        <v>298</v>
      </c>
      <c r="K751" s="221" t="str">
        <f>'WetLitterbags placem_collection'!Q92</f>
        <v>R517</v>
      </c>
      <c r="L751" s="223">
        <f>IFERROR(INDEX('Green_rooibos initial weight'!$C$5:$C$2000,MATCH(K751, 'Green_rooibos initial weight'!$A$5:$A$2000,0)),"")</f>
        <v>2.222</v>
      </c>
      <c r="M751" s="223">
        <f>IFERROR(L751-(TBIcalc!$H$9+TBIcalc!$H$10),"")</f>
        <v>1.9722</v>
      </c>
      <c r="N751" s="385">
        <f>AVERAGE(Ashed_controlls!$K$2:$K$11)</f>
        <v>5.5147656768714146</v>
      </c>
      <c r="O751" s="223">
        <f t="shared" si="56"/>
        <v>1.8634377913207418</v>
      </c>
      <c r="P751" s="223">
        <f>IFERROR(INDEX('Both teabags AfterWet'!$C$3:$C$840,MATCH(K751,'Both teabags AfterWet'!$A$3:$A$840,0)),"")</f>
        <v>2.2749000000000001</v>
      </c>
      <c r="Q751" s="223">
        <f>IFERROR(IF(P751&gt;0,P751-(TBIcalc!$H$9),""),"")</f>
        <v>2.1243000000000003</v>
      </c>
      <c r="R751" s="223">
        <f>IFERROR(INDEX('Ashed teabags wet'!$K$2:$K$2000,MATCH(K751,'Ashed teabags wet'!$A$2:$A$2000,0)),"")</f>
        <v>22.544750846637683</v>
      </c>
      <c r="S751" s="223">
        <f t="shared" si="57"/>
        <v>1.645381857764876</v>
      </c>
      <c r="T751" s="224">
        <f>'WetLitterbags placem_collection'!E92</f>
        <v>42767</v>
      </c>
      <c r="U751" s="224">
        <f>IF('WetLitterbags placem_collection'!G92="","",'WetLitterbags placem_collection'!G92)</f>
        <v>42819</v>
      </c>
      <c r="V751" s="225">
        <f t="shared" si="55"/>
        <v>52</v>
      </c>
      <c r="W751" s="223">
        <f t="shared" si="58"/>
        <v>-0.15210000000000035</v>
      </c>
      <c r="X751" s="223">
        <f t="shared" si="59"/>
        <v>0.21805593355586583</v>
      </c>
      <c r="Y751">
        <f>IFERROR(INDEX(Rainfall_Wet!$O$2:$O$217,MATCH(B751, Rainfall_Wet!$A$2:$A$217,0)),"")</f>
        <v>194.93009798400001</v>
      </c>
      <c r="Z751" s="228">
        <v>28.145762029394</v>
      </c>
      <c r="AA751" s="228">
        <v>25.085564727199518</v>
      </c>
      <c r="AB751" s="228">
        <v>46.768673243406489</v>
      </c>
      <c r="AC751" s="229" t="s">
        <v>2654</v>
      </c>
      <c r="AD751" s="228">
        <v>3.1716214884179399</v>
      </c>
      <c r="AE751">
        <f>IF('WetLitterbags placem_collection'!AB92="","",'WetLitterbags placem_collection'!AB92)</f>
        <v>7.7</v>
      </c>
      <c r="AF751">
        <f>IF('WetLitterbags placem_collection'!Z92="","",'WetLitterbags placem_collection'!Z92)</f>
        <v>30.4</v>
      </c>
      <c r="AG751" s="243" t="str">
        <f>IF('WetLitterbags placem_collection'!AA92="","",'WetLitterbags placem_collection'!AA92)</f>
        <v>O</v>
      </c>
      <c r="AH751">
        <f>IF('WetLitterbags placem_collection'!AC92="","",'WetLitterbags placem_collection'!AC92)</f>
        <v>0</v>
      </c>
      <c r="AI751">
        <f>AVERAGE('WetLitterbags placem_collection'!S92,'WetLitterbags placem_collection'!U92)</f>
        <v>27.5</v>
      </c>
      <c r="AJ751">
        <f>AVERAGE('WetLitterbags placem_collection'!R92,'WetLitterbags placem_collection'!T92)</f>
        <v>23.85</v>
      </c>
      <c r="AK751">
        <f>INDEX(Coordinates!$B$2:$B$197,MATCH(H751,Coordinates!$J$2:$J$197,0))</f>
        <v>-3.2966860009999999</v>
      </c>
      <c r="AL751">
        <f>INDEX(Coordinates!$C$2:$C$197,MATCH(H751,Coordinates!$J$2:$J$197,0))</f>
        <v>34.854371989999997</v>
      </c>
      <c r="AM751" t="str">
        <f>IF(ISNUMBER(SEARCH("C", 'WetLitterbags placem_collection'!$Y92)),"YES","NO")</f>
        <v>NO</v>
      </c>
      <c r="AN751" t="str">
        <f>IF(ISNUMBER(SEARCH("H", 'WetLitterbags placem_collection'!$Y92)),"YES","NO")</f>
        <v>NO</v>
      </c>
      <c r="AO751" t="str">
        <f>IF(ISNUMBER(SEARCH("R", 'WetLitterbags placem_collection'!$Y92)),"YES","NO")</f>
        <v>YES</v>
      </c>
    </row>
    <row r="752" spans="1:41" ht="15" customHeight="1">
      <c r="A752" s="255" t="s">
        <v>2454</v>
      </c>
      <c r="B752" s="260">
        <f>'Dry_Litterbag Placem_Collection'!A93</f>
        <v>91</v>
      </c>
      <c r="C752" s="260" t="str">
        <f>'Dry_Litterbag Placem_Collection'!B93</f>
        <v>Maswa</v>
      </c>
      <c r="D752" s="260" t="s">
        <v>2643</v>
      </c>
      <c r="E752" s="260" t="s">
        <v>2645</v>
      </c>
      <c r="F752" s="260">
        <v>4</v>
      </c>
      <c r="G752" s="260" t="s">
        <v>3814</v>
      </c>
      <c r="H752" s="261" t="str">
        <f>'Dry_Litterbag Placem_Collection'!C93</f>
        <v>Dry_W4_T3</v>
      </c>
      <c r="I752" s="270" t="s">
        <v>3630</v>
      </c>
      <c r="J752" s="271" t="s">
        <v>298</v>
      </c>
      <c r="K752" s="221" t="str">
        <f>'WetLitterbags placem_collection'!Q93</f>
        <v>R73</v>
      </c>
      <c r="L752" s="223">
        <f>IFERROR(INDEX('Green_rooibos initial weight'!$C$5:$C$2000,MATCH(K752, 'Green_rooibos initial weight'!$A$5:$A$2000,0)),"")</f>
        <v>2.1459999999999999</v>
      </c>
      <c r="M752" s="223">
        <f>IFERROR(L752-(TBIcalc!$H$9+TBIcalc!$H$10),"")</f>
        <v>1.8961999999999999</v>
      </c>
      <c r="N752" s="385">
        <f>AVERAGE(Ashed_controlls!$K$2:$K$11)</f>
        <v>5.5147656768714146</v>
      </c>
      <c r="O752" s="223">
        <f t="shared" si="56"/>
        <v>1.7916290132351642</v>
      </c>
      <c r="P752" s="223">
        <f>IFERROR(INDEX('Both teabags AfterWet'!$C$3:$C$840,MATCH(K752,'Both teabags AfterWet'!$A$3:$A$840,0)),"")</f>
        <v>1.663</v>
      </c>
      <c r="Q752" s="223">
        <f>IFERROR(IF(P752&gt;0,P752-(TBIcalc!$H$9),""),"")</f>
        <v>1.5124</v>
      </c>
      <c r="R752" s="223">
        <f>IFERROR(INDEX('Ashed teabags wet'!$K$2:$K$2000,MATCH(K752,'Ashed teabags wet'!$A$2:$A$2000,0)),"")</f>
        <v>3.2402791625130467</v>
      </c>
      <c r="S752" s="223">
        <f t="shared" si="57"/>
        <v>1.4633940179461526</v>
      </c>
      <c r="T752" s="224">
        <f>'WetLitterbags placem_collection'!E93</f>
        <v>42767</v>
      </c>
      <c r="U752" s="224">
        <f>IF('WetLitterbags placem_collection'!G93="","",'WetLitterbags placem_collection'!G93)</f>
        <v>42819</v>
      </c>
      <c r="V752" s="225">
        <f t="shared" si="55"/>
        <v>52</v>
      </c>
      <c r="W752" s="223">
        <f t="shared" si="58"/>
        <v>0.38379999999999992</v>
      </c>
      <c r="X752" s="223">
        <f t="shared" si="59"/>
        <v>0.32823499528901157</v>
      </c>
      <c r="Y752">
        <f>IFERROR(INDEX(Rainfall_Wet!$O$2:$O$217,MATCH(B752, Rainfall_Wet!$A$2:$A$217,0)),"")</f>
        <v>194.93009798400001</v>
      </c>
      <c r="Z752" s="228">
        <v>28.145762029394</v>
      </c>
      <c r="AA752" s="228">
        <v>25.085564727199518</v>
      </c>
      <c r="AB752" s="228">
        <v>46.768673243406489</v>
      </c>
      <c r="AC752" s="229" t="s">
        <v>2654</v>
      </c>
      <c r="AD752" s="228">
        <v>4.1716214884179399</v>
      </c>
      <c r="AE752">
        <f>IF('WetLitterbags placem_collection'!AB93="","",'WetLitterbags placem_collection'!AB93)</f>
        <v>6.1</v>
      </c>
      <c r="AF752">
        <f>IF('WetLitterbags placem_collection'!Z93="","",'WetLitterbags placem_collection'!Z93)</f>
        <v>39.4</v>
      </c>
      <c r="AG752" s="243" t="str">
        <f>IF('WetLitterbags placem_collection'!AA93="","",'WetLitterbags placem_collection'!AA93)</f>
        <v>O</v>
      </c>
      <c r="AH752">
        <f>IF('WetLitterbags placem_collection'!AC93="","",'WetLitterbags placem_collection'!AC93)</f>
        <v>1</v>
      </c>
      <c r="AI752">
        <f>AVERAGE('WetLitterbags placem_collection'!S93,'WetLitterbags placem_collection'!U93)</f>
        <v>26.4</v>
      </c>
      <c r="AJ752">
        <f>AVERAGE('WetLitterbags placem_collection'!R93,'WetLitterbags placem_collection'!T93)</f>
        <v>24.35</v>
      </c>
      <c r="AK752">
        <f>INDEX(Coordinates!$B$2:$B$197,MATCH(H752,Coordinates!$J$2:$J$197,0))</f>
        <v>-3.2966180239999998</v>
      </c>
      <c r="AL752">
        <f>INDEX(Coordinates!$C$2:$C$197,MATCH(H752,Coordinates!$J$2:$J$197,0))</f>
        <v>34.854464020000002</v>
      </c>
      <c r="AM752" t="str">
        <f>IF(ISNUMBER(SEARCH("C", 'WetLitterbags placem_collection'!$Y93)),"YES","NO")</f>
        <v>NO</v>
      </c>
      <c r="AN752" t="str">
        <f>IF(ISNUMBER(SEARCH("H", 'WetLitterbags placem_collection'!$Y93)),"YES","NO")</f>
        <v>NO</v>
      </c>
      <c r="AO752" t="str">
        <f>IF(ISNUMBER(SEARCH("R", 'WetLitterbags placem_collection'!$Y93)),"YES","NO")</f>
        <v>NO</v>
      </c>
    </row>
    <row r="753" spans="1:41" ht="15" customHeight="1">
      <c r="A753" s="255" t="s">
        <v>2454</v>
      </c>
      <c r="B753" s="260">
        <f>'Dry_Litterbag Placem_Collection'!A94</f>
        <v>92</v>
      </c>
      <c r="C753" s="260" t="str">
        <f>'Dry_Litterbag Placem_Collection'!B94</f>
        <v>Maswa</v>
      </c>
      <c r="D753" s="260" t="s">
        <v>2643</v>
      </c>
      <c r="E753" s="260" t="s">
        <v>2645</v>
      </c>
      <c r="F753" s="260">
        <v>4</v>
      </c>
      <c r="G753" s="260" t="s">
        <v>3814</v>
      </c>
      <c r="H753" s="261" t="str">
        <f>'Dry_Litterbag Placem_Collection'!C94</f>
        <v>Dry_W4_T4</v>
      </c>
      <c r="I753" s="270" t="s">
        <v>3630</v>
      </c>
      <c r="J753" s="271" t="s">
        <v>298</v>
      </c>
      <c r="K753" s="221" t="str">
        <f>'WetLitterbags placem_collection'!Q94</f>
        <v>R4</v>
      </c>
      <c r="L753" s="223">
        <f>IFERROR(INDEX('Green_rooibos initial weight'!$C$5:$C$2000,MATCH(K753, 'Green_rooibos initial weight'!$A$5:$A$2000,0)),"")</f>
        <v>2.1549999999999998</v>
      </c>
      <c r="M753" s="223">
        <f>IFERROR(L753-(TBIcalc!$H$9+TBIcalc!$H$10),"")</f>
        <v>1.9051999999999998</v>
      </c>
      <c r="N753" s="385">
        <f>AVERAGE(Ashed_controlls!$K$2:$K$11)</f>
        <v>5.5147656768714146</v>
      </c>
      <c r="O753" s="223">
        <f t="shared" si="56"/>
        <v>1.8001326843242456</v>
      </c>
      <c r="P753" s="223">
        <f>IFERROR(INDEX('Both teabags AfterWet'!$C$3:$C$840,MATCH(K753,'Both teabags AfterWet'!$A$3:$A$840,0)),"")</f>
        <v>1.6779999999999999</v>
      </c>
      <c r="Q753" s="223">
        <f>IFERROR(IF(P753&gt;0,P753-(TBIcalc!$H$9),""),"")</f>
        <v>1.5273999999999999</v>
      </c>
      <c r="R753" s="223">
        <f>IFERROR(INDEX('Ashed teabags wet'!$K$2:$K$2000,MATCH(K753,'Ashed teabags wet'!$A$2:$A$2000,0)),"")</f>
        <v>2.4590163934421247</v>
      </c>
      <c r="S753" s="223">
        <f t="shared" si="57"/>
        <v>1.4898409836065649</v>
      </c>
      <c r="T753" s="224">
        <f>'WetLitterbags placem_collection'!E94</f>
        <v>42767</v>
      </c>
      <c r="U753" s="224">
        <f>IF('WetLitterbags placem_collection'!G94="","",'WetLitterbags placem_collection'!G94)</f>
        <v>42819</v>
      </c>
      <c r="V753" s="225">
        <f t="shared" si="55"/>
        <v>52</v>
      </c>
      <c r="W753" s="223">
        <f t="shared" si="58"/>
        <v>0.37779999999999991</v>
      </c>
      <c r="X753" s="223">
        <f t="shared" si="59"/>
        <v>0.31029170071768064</v>
      </c>
      <c r="Y753">
        <f>IFERROR(INDEX(Rainfall_Wet!$O$2:$O$217,MATCH(B753, Rainfall_Wet!$A$2:$A$217,0)),"")</f>
        <v>194.93009798400001</v>
      </c>
      <c r="Z753" s="228">
        <v>28.145762029394</v>
      </c>
      <c r="AA753" s="228">
        <v>25.085564727199518</v>
      </c>
      <c r="AB753" s="228">
        <v>46.768673243406489</v>
      </c>
      <c r="AC753" s="229" t="s">
        <v>2654</v>
      </c>
      <c r="AD753" s="228">
        <v>5.1716214884179399</v>
      </c>
      <c r="AE753">
        <f>IF('WetLitterbags placem_collection'!AB94="","",'WetLitterbags placem_collection'!AB94)</f>
        <v>7.7</v>
      </c>
      <c r="AF753">
        <f>IF('WetLitterbags placem_collection'!Z94="","",'WetLitterbags placem_collection'!Z94)</f>
        <v>24.8</v>
      </c>
      <c r="AG753" s="243" t="str">
        <f>IF('WetLitterbags placem_collection'!AA94="","",'WetLitterbags placem_collection'!AA94)</f>
        <v>O</v>
      </c>
      <c r="AH753">
        <f>IF('WetLitterbags placem_collection'!AC94="","",'WetLitterbags placem_collection'!AC94)</f>
        <v>1</v>
      </c>
      <c r="AI753">
        <f>AVERAGE('WetLitterbags placem_collection'!S94,'WetLitterbags placem_collection'!U94)</f>
        <v>26.45</v>
      </c>
      <c r="AJ753">
        <f>AVERAGE('WetLitterbags placem_collection'!R94,'WetLitterbags placem_collection'!T94)</f>
        <v>22.6</v>
      </c>
      <c r="AK753">
        <f>INDEX(Coordinates!$B$2:$B$197,MATCH(H753,Coordinates!$J$2:$J$197,0))</f>
        <v>-3.2965539860000002</v>
      </c>
      <c r="AL753">
        <f>INDEX(Coordinates!$C$2:$C$197,MATCH(H753,Coordinates!$J$2:$J$197,0))</f>
        <v>34.854455969999997</v>
      </c>
      <c r="AM753" t="str">
        <f>IF(ISNUMBER(SEARCH("C", 'WetLitterbags placem_collection'!$Y94)),"YES","NO")</f>
        <v>NO</v>
      </c>
      <c r="AN753" t="str">
        <f>IF(ISNUMBER(SEARCH("H", 'WetLitterbags placem_collection'!$Y94)),"YES","NO")</f>
        <v>NO</v>
      </c>
      <c r="AO753" t="str">
        <f>IF(ISNUMBER(SEARCH("R", 'WetLitterbags placem_collection'!$Y94)),"YES","NO")</f>
        <v>YES</v>
      </c>
    </row>
    <row r="754" spans="1:41" ht="15" customHeight="1">
      <c r="A754" s="255" t="s">
        <v>2454</v>
      </c>
      <c r="B754" s="260">
        <f>'Dry_Litterbag Placem_Collection'!A95</f>
        <v>93</v>
      </c>
      <c r="C754" s="260" t="str">
        <f>'Dry_Litterbag Placem_Collection'!B95</f>
        <v>Maswa</v>
      </c>
      <c r="D754" s="260" t="s">
        <v>2643</v>
      </c>
      <c r="E754" s="260" t="s">
        <v>2645</v>
      </c>
      <c r="F754" s="260">
        <v>4</v>
      </c>
      <c r="G754" s="260" t="s">
        <v>3814</v>
      </c>
      <c r="H754" s="261" t="str">
        <f>'Dry_Litterbag Placem_Collection'!C95</f>
        <v>Dry_W4_T5</v>
      </c>
      <c r="I754" s="270" t="s">
        <v>3630</v>
      </c>
      <c r="J754" s="271" t="s">
        <v>298</v>
      </c>
      <c r="K754" s="221" t="str">
        <f>'WetLitterbags placem_collection'!Q95</f>
        <v>R136</v>
      </c>
      <c r="L754" s="223">
        <f>IFERROR(INDEX('Green_rooibos initial weight'!$C$5:$C$2000,MATCH(K754, 'Green_rooibos initial weight'!$A$5:$A$2000,0)),"")</f>
        <v>2.21</v>
      </c>
      <c r="M754" s="223">
        <f>IFERROR(L754-(TBIcalc!$H$9+TBIcalc!$H$10),"")</f>
        <v>1.9601999999999999</v>
      </c>
      <c r="N754" s="385">
        <f>AVERAGE(Ashed_controlls!$K$2:$K$11)</f>
        <v>5.5147656768714146</v>
      </c>
      <c r="O754" s="223">
        <f t="shared" si="56"/>
        <v>1.8520995632019666</v>
      </c>
      <c r="P754" s="223">
        <f>IFERROR(INDEX('Both teabags AfterWet'!$C$3:$C$840,MATCH(K754,'Both teabags AfterWet'!$A$3:$A$840,0)),"")</f>
        <v>1.6368</v>
      </c>
      <c r="Q754" s="223">
        <f>IFERROR(IF(P754&gt;0,P754-(TBIcalc!$H$9),""),"")</f>
        <v>1.4862</v>
      </c>
      <c r="R754" s="223">
        <f>IFERROR(INDEX('Ashed teabags wet'!$K$2:$K$2000,MATCH(K754,'Ashed teabags wet'!$A$2:$A$2000,0)),"")</f>
        <v>2.2232962783957189</v>
      </c>
      <c r="S754" s="223">
        <f t="shared" si="57"/>
        <v>1.4531573707104828</v>
      </c>
      <c r="T754" s="224">
        <f>'WetLitterbags placem_collection'!E95</f>
        <v>42767</v>
      </c>
      <c r="U754" s="224">
        <f>IF('WetLitterbags placem_collection'!G95="","",'WetLitterbags placem_collection'!G95)</f>
        <v>42819</v>
      </c>
      <c r="V754" s="225">
        <f t="shared" si="55"/>
        <v>52</v>
      </c>
      <c r="W754" s="223">
        <f t="shared" si="58"/>
        <v>0.47399999999999998</v>
      </c>
      <c r="X754" s="223">
        <f t="shared" si="59"/>
        <v>0.39894219249148377</v>
      </c>
      <c r="Y754">
        <f>IFERROR(INDEX(Rainfall_Wet!$O$2:$O$217,MATCH(B754, Rainfall_Wet!$A$2:$A$217,0)),"")</f>
        <v>194.93009798400001</v>
      </c>
      <c r="Z754" s="228">
        <v>28.145762029394</v>
      </c>
      <c r="AA754" s="228">
        <v>25.085564727199518</v>
      </c>
      <c r="AB754" s="228">
        <v>46.768673243406489</v>
      </c>
      <c r="AC754" s="229" t="s">
        <v>2654</v>
      </c>
      <c r="AD754" s="228">
        <v>6.1716214884179399</v>
      </c>
      <c r="AE754">
        <f>IF('WetLitterbags placem_collection'!AB95="","",'WetLitterbags placem_collection'!AB95)</f>
        <v>6.6</v>
      </c>
      <c r="AF754">
        <f>IF('WetLitterbags placem_collection'!Z95="","",'WetLitterbags placem_collection'!Z95)</f>
        <v>40</v>
      </c>
      <c r="AG754" s="243" t="str">
        <f>IF('WetLitterbags placem_collection'!AA95="","",'WetLitterbags placem_collection'!AA95)</f>
        <v>O</v>
      </c>
      <c r="AH754">
        <f>IF('WetLitterbags placem_collection'!AC95="","",'WetLitterbags placem_collection'!AC95)</f>
        <v>1</v>
      </c>
      <c r="AI754">
        <f>AVERAGE('WetLitterbags placem_collection'!S95,'WetLitterbags placem_collection'!U95)</f>
        <v>25.25</v>
      </c>
      <c r="AJ754">
        <f>AVERAGE('WetLitterbags placem_collection'!R95,'WetLitterbags placem_collection'!T95)</f>
        <v>23.5</v>
      </c>
      <c r="AK754">
        <f>INDEX(Coordinates!$B$2:$B$197,MATCH(H754,Coordinates!$J$2:$J$197,0))</f>
        <v>-3.2964789680000002</v>
      </c>
      <c r="AL754">
        <f>INDEX(Coordinates!$C$2:$C$197,MATCH(H754,Coordinates!$J$2:$J$197,0))</f>
        <v>34.854331000000002</v>
      </c>
      <c r="AM754" t="str">
        <f>IF(ISNUMBER(SEARCH("C", 'WetLitterbags placem_collection'!$Y95)),"YES","NO")</f>
        <v>NO</v>
      </c>
      <c r="AN754" t="str">
        <f>IF(ISNUMBER(SEARCH("H", 'WetLitterbags placem_collection'!$Y95)),"YES","NO")</f>
        <v>NO</v>
      </c>
      <c r="AO754" t="str">
        <f>IF(ISNUMBER(SEARCH("R", 'WetLitterbags placem_collection'!$Y95)),"YES","NO")</f>
        <v>YES</v>
      </c>
    </row>
    <row r="755" spans="1:41" ht="15" customHeight="1">
      <c r="A755" s="255" t="s">
        <v>2454</v>
      </c>
      <c r="B755" s="260">
        <f>'Dry_Litterbag Placem_Collection'!A96</f>
        <v>94</v>
      </c>
      <c r="C755" s="260" t="str">
        <f>'Dry_Litterbag Placem_Collection'!B96</f>
        <v>Maswa</v>
      </c>
      <c r="D755" s="260" t="s">
        <v>2643</v>
      </c>
      <c r="E755" s="260" t="s">
        <v>2645</v>
      </c>
      <c r="F755" s="260">
        <v>4</v>
      </c>
      <c r="G755" s="260" t="s">
        <v>3814</v>
      </c>
      <c r="H755" s="261" t="str">
        <f>'Dry_Litterbag Placem_Collection'!C96</f>
        <v>Dry_W4_T6</v>
      </c>
      <c r="I755" s="270" t="s">
        <v>3630</v>
      </c>
      <c r="J755" s="271" t="s">
        <v>298</v>
      </c>
      <c r="K755" s="221" t="str">
        <f>'WetLitterbags placem_collection'!Q96</f>
        <v>R358</v>
      </c>
      <c r="L755" s="223">
        <f>IFERROR(INDEX('Green_rooibos initial weight'!$C$5:$C$2000,MATCH(K755, 'Green_rooibos initial weight'!$A$5:$A$2000,0)),"")</f>
        <v>2.2210000000000001</v>
      </c>
      <c r="M755" s="223">
        <f>IFERROR(L755-(TBIcalc!$H$9+TBIcalc!$H$10),"")</f>
        <v>1.9712000000000001</v>
      </c>
      <c r="N755" s="385">
        <f>AVERAGE(Ashed_controlls!$K$2:$K$11)</f>
        <v>5.5147656768714146</v>
      </c>
      <c r="O755" s="223">
        <f t="shared" si="56"/>
        <v>1.8624929389775107</v>
      </c>
      <c r="P755" s="223" t="str">
        <f>IFERROR(INDEX('Both teabags AfterWet'!$C$3:$C$840,MATCH(K755,'Both teabags AfterWet'!$A$3:$A$840,0)),"")</f>
        <v/>
      </c>
      <c r="Q755" s="223" t="str">
        <f>IFERROR(IF(P755&gt;0,P755-(TBIcalc!$H$9),""),"")</f>
        <v/>
      </c>
      <c r="R755" s="223" t="str">
        <f>IFERROR(INDEX('Ashed teabags wet'!$K$2:$K$2000,MATCH(K755,'Ashed teabags wet'!$A$2:$A$2000,0)),"")</f>
        <v/>
      </c>
      <c r="S755" s="223" t="str">
        <f t="shared" si="57"/>
        <v/>
      </c>
      <c r="T755" s="224">
        <f>'WetLitterbags placem_collection'!E96</f>
        <v>42767</v>
      </c>
      <c r="U755" s="224">
        <f>IF('WetLitterbags placem_collection'!G96="","",'WetLitterbags placem_collection'!G96)</f>
        <v>42819</v>
      </c>
      <c r="V755" s="225">
        <f t="shared" si="55"/>
        <v>52</v>
      </c>
      <c r="W755" s="223" t="str">
        <f t="shared" si="58"/>
        <v/>
      </c>
      <c r="X755" s="223" t="str">
        <f t="shared" si="59"/>
        <v/>
      </c>
      <c r="Y755" t="str">
        <f>IFERROR(INDEX(Rainfall_Wet!$O$2:$O$217,MATCH(B755, Rainfall_Wet!$A$2:$A$217,0)),"")</f>
        <v/>
      </c>
      <c r="Z755" s="228">
        <v>28.145762029394</v>
      </c>
      <c r="AA755" s="228">
        <v>25.085564727199518</v>
      </c>
      <c r="AB755" s="228">
        <v>46.768673243406489</v>
      </c>
      <c r="AC755" s="229" t="s">
        <v>2654</v>
      </c>
      <c r="AD755" s="228">
        <v>7.1716214884179399</v>
      </c>
      <c r="AE755" t="str">
        <f>IF('WetLitterbags placem_collection'!AB96="","",'WetLitterbags placem_collection'!AB96)</f>
        <v/>
      </c>
      <c r="AF755" t="str">
        <f>IF('WetLitterbags placem_collection'!Z96="","",'WetLitterbags placem_collection'!Z96)</f>
        <v/>
      </c>
      <c r="AG755" s="243" t="str">
        <f>IF('WetLitterbags placem_collection'!AA96="","",'WetLitterbags placem_collection'!AA96)</f>
        <v/>
      </c>
      <c r="AH755" t="str">
        <f>IF('WetLitterbags placem_collection'!AC96="","",'WetLitterbags placem_collection'!AC96)</f>
        <v/>
      </c>
      <c r="AI755">
        <f>AVERAGE('WetLitterbags placem_collection'!S96,'WetLitterbags placem_collection'!U96)</f>
        <v>36.200000000000003</v>
      </c>
      <c r="AJ755">
        <f>AVERAGE('WetLitterbags placem_collection'!R96,'WetLitterbags placem_collection'!T96)</f>
        <v>22</v>
      </c>
      <c r="AK755">
        <f>INDEX(Coordinates!$B$2:$B$197,MATCH(H755,Coordinates!$J$2:$J$197,0))</f>
        <v>-3.2964649700000002</v>
      </c>
      <c r="AL755">
        <f>INDEX(Coordinates!$C$2:$C$197,MATCH(H755,Coordinates!$J$2:$J$197,0))</f>
        <v>34.854340970000003</v>
      </c>
      <c r="AM755" t="str">
        <f>IF(ISNUMBER(SEARCH("C", 'WetLitterbags placem_collection'!$Y96)),"YES","NO")</f>
        <v>NO</v>
      </c>
      <c r="AN755" t="str">
        <f>IF(ISNUMBER(SEARCH("H", 'WetLitterbags placem_collection'!$Y96)),"YES","NO")</f>
        <v>NO</v>
      </c>
      <c r="AO755" t="str">
        <f>IF(ISNUMBER(SEARCH("R", 'WetLitterbags placem_collection'!$Y96)),"YES","NO")</f>
        <v>NO</v>
      </c>
    </row>
    <row r="756" spans="1:41" ht="15" customHeight="1">
      <c r="A756" s="255" t="s">
        <v>2454</v>
      </c>
      <c r="B756" s="260">
        <f>'Dry_Litterbag Placem_Collection'!A97</f>
        <v>95</v>
      </c>
      <c r="C756" s="260" t="str">
        <f>'Dry_Litterbag Placem_Collection'!B97</f>
        <v>Maswa</v>
      </c>
      <c r="D756" s="260" t="s">
        <v>2643</v>
      </c>
      <c r="E756" s="260" t="s">
        <v>2645</v>
      </c>
      <c r="F756" s="260">
        <v>4</v>
      </c>
      <c r="G756" s="260" t="s">
        <v>3814</v>
      </c>
      <c r="H756" s="261" t="str">
        <f>'Dry_Litterbag Placem_Collection'!C97</f>
        <v>Dry_W4_T7</v>
      </c>
      <c r="I756" s="270" t="s">
        <v>3630</v>
      </c>
      <c r="J756" s="271" t="s">
        <v>298</v>
      </c>
      <c r="K756" s="221" t="str">
        <f>'WetLitterbags placem_collection'!Q97</f>
        <v>R547</v>
      </c>
      <c r="L756" s="223">
        <f>IFERROR(INDEX('Green_rooibos initial weight'!$C$5:$C$2000,MATCH(K756, 'Green_rooibos initial weight'!$A$5:$A$2000,0)),"")</f>
        <v>2.194</v>
      </c>
      <c r="M756" s="223">
        <f>IFERROR(L756-(TBIcalc!$H$9+TBIcalc!$H$10),"")</f>
        <v>1.9441999999999999</v>
      </c>
      <c r="N756" s="385">
        <f>AVERAGE(Ashed_controlls!$K$2:$K$11)</f>
        <v>5.5147656768714146</v>
      </c>
      <c r="O756" s="223">
        <f t="shared" si="56"/>
        <v>1.836981925710266</v>
      </c>
      <c r="P756" s="223">
        <f>IFERROR(INDEX('Both teabags AfterWet'!$C$3:$C$840,MATCH(K756,'Both teabags AfterWet'!$A$3:$A$840,0)),"")</f>
        <v>1.5620000000000001</v>
      </c>
      <c r="Q756" s="223">
        <f>IFERROR(IF(P756&gt;0,P756-(TBIcalc!$H$9),""),"")</f>
        <v>1.4114</v>
      </c>
      <c r="R756" s="223">
        <f>IFERROR(INDEX('Ashed teabags wet'!$K$2:$K$2000,MATCH(K756,'Ashed teabags wet'!$A$2:$A$2000,0)),"")</f>
        <v>13.011335633317401</v>
      </c>
      <c r="S756" s="223">
        <f t="shared" si="57"/>
        <v>1.2277580088713582</v>
      </c>
      <c r="T756" s="224">
        <f>'WetLitterbags placem_collection'!E97</f>
        <v>42767</v>
      </c>
      <c r="U756" s="224">
        <f>IF('WetLitterbags placem_collection'!G97="","",'WetLitterbags placem_collection'!G97)</f>
        <v>42819</v>
      </c>
      <c r="V756" s="225">
        <f t="shared" si="55"/>
        <v>52</v>
      </c>
      <c r="W756" s="223">
        <f t="shared" si="58"/>
        <v>0.53279999999999994</v>
      </c>
      <c r="X756" s="223">
        <f t="shared" si="59"/>
        <v>0.60922391683890775</v>
      </c>
      <c r="Y756">
        <f>IFERROR(INDEX(Rainfall_Wet!$O$2:$O$217,MATCH(B756, Rainfall_Wet!$A$2:$A$217,0)),"")</f>
        <v>194.93009798400001</v>
      </c>
      <c r="Z756" s="228">
        <v>28.145762029394</v>
      </c>
      <c r="AA756" s="228">
        <v>25.085564727199518</v>
      </c>
      <c r="AB756" s="228">
        <v>46.768673243406489</v>
      </c>
      <c r="AC756" s="229" t="s">
        <v>2654</v>
      </c>
      <c r="AD756" s="228">
        <v>8.1716214884179408</v>
      </c>
      <c r="AE756">
        <f>IF('WetLitterbags placem_collection'!AB97="","",'WetLitterbags placem_collection'!AB97)</f>
        <v>5.4</v>
      </c>
      <c r="AF756">
        <f>IF('WetLitterbags placem_collection'!Z97="","",'WetLitterbags placem_collection'!Z97)</f>
        <v>15.2</v>
      </c>
      <c r="AG756" s="243" t="str">
        <f>IF('WetLitterbags placem_collection'!AA97="","",'WetLitterbags placem_collection'!AA97)</f>
        <v>O</v>
      </c>
      <c r="AH756">
        <f>IF('WetLitterbags placem_collection'!AC97="","",'WetLitterbags placem_collection'!AC97)</f>
        <v>0</v>
      </c>
      <c r="AI756">
        <f>AVERAGE('WetLitterbags placem_collection'!S97,'WetLitterbags placem_collection'!U97)</f>
        <v>28.85</v>
      </c>
      <c r="AJ756">
        <f>AVERAGE('WetLitterbags placem_collection'!R97,'WetLitterbags placem_collection'!T97)</f>
        <v>23.2</v>
      </c>
      <c r="AK756">
        <f>INDEX(Coordinates!$B$2:$B$197,MATCH(H756,Coordinates!$J$2:$J$197,0))</f>
        <v>-3.296725983</v>
      </c>
      <c r="AL756">
        <f>INDEX(Coordinates!$C$2:$C$197,MATCH(H756,Coordinates!$J$2:$J$197,0))</f>
        <v>34.854216000000001</v>
      </c>
      <c r="AM756" t="str">
        <f>IF(ISNUMBER(SEARCH("C", 'WetLitterbags placem_collection'!$Y97)),"YES","NO")</f>
        <v>NO</v>
      </c>
      <c r="AN756" t="str">
        <f>IF(ISNUMBER(SEARCH("H", 'WetLitterbags placem_collection'!$Y97)),"YES","NO")</f>
        <v>NO</v>
      </c>
      <c r="AO756" t="str">
        <f>IF(ISNUMBER(SEARCH("R", 'WetLitterbags placem_collection'!$Y97)),"YES","NO")</f>
        <v>YES</v>
      </c>
    </row>
    <row r="757" spans="1:41" ht="15" customHeight="1">
      <c r="A757" s="255" t="s">
        <v>2454</v>
      </c>
      <c r="B757" s="260">
        <f>'Dry_Litterbag Placem_Collection'!A98</f>
        <v>96</v>
      </c>
      <c r="C757" s="260" t="str">
        <f>'Dry_Litterbag Placem_Collection'!B98</f>
        <v>Maswa</v>
      </c>
      <c r="D757" s="260" t="s">
        <v>2643</v>
      </c>
      <c r="E757" s="260" t="s">
        <v>2645</v>
      </c>
      <c r="F757" s="260">
        <v>4</v>
      </c>
      <c r="G757" s="260" t="s">
        <v>3814</v>
      </c>
      <c r="H757" s="261" t="str">
        <f>'Dry_Litterbag Placem_Collection'!C98</f>
        <v>Dry_W4_T8</v>
      </c>
      <c r="I757" s="270" t="s">
        <v>3630</v>
      </c>
      <c r="J757" s="271" t="s">
        <v>298</v>
      </c>
      <c r="K757" s="221" t="str">
        <f>'WetLitterbags placem_collection'!Q98</f>
        <v>R588</v>
      </c>
      <c r="L757" s="223">
        <f>IFERROR(INDEX('Green_rooibos initial weight'!$C$5:$C$2000,MATCH(K757, 'Green_rooibos initial weight'!$A$5:$A$2000,0)),"")</f>
        <v>2.1360000000000001</v>
      </c>
      <c r="M757" s="223">
        <f>IFERROR(L757-(TBIcalc!$H$9+TBIcalc!$H$10),"")</f>
        <v>1.8862000000000001</v>
      </c>
      <c r="N757" s="385">
        <f>AVERAGE(Ashed_controlls!$K$2:$K$11)</f>
        <v>5.5147656768714146</v>
      </c>
      <c r="O757" s="223">
        <f t="shared" si="56"/>
        <v>1.7821804898028515</v>
      </c>
      <c r="P757" s="223">
        <f>IFERROR(INDEX('Both teabags AfterWet'!$C$3:$C$840,MATCH(K757,'Both teabags AfterWet'!$A$3:$A$840,0)),"")</f>
        <v>0.87350000000000005</v>
      </c>
      <c r="Q757" s="223">
        <f>IFERROR(IF(P757&gt;0,P757-(TBIcalc!$H$9),""),"")</f>
        <v>0.7229000000000001</v>
      </c>
      <c r="R757" s="223">
        <f>IFERROR(INDEX('Ashed teabags wet'!$K$2:$K$2000,MATCH(K757,'Ashed teabags wet'!$A$2:$A$2000,0)),"")</f>
        <v>6.1660865241169791</v>
      </c>
      <c r="S757" s="223">
        <f t="shared" si="57"/>
        <v>0.67832536051715842</v>
      </c>
      <c r="T757" s="224">
        <f>'WetLitterbags placem_collection'!E98</f>
        <v>42767</v>
      </c>
      <c r="U757" s="224">
        <f>IF('WetLitterbags placem_collection'!G98="","",'WetLitterbags placem_collection'!G98)</f>
        <v>42819</v>
      </c>
      <c r="V757" s="225">
        <f t="shared" si="55"/>
        <v>52</v>
      </c>
      <c r="W757" s="223">
        <f t="shared" si="58"/>
        <v>1.1633</v>
      </c>
      <c r="X757" s="223">
        <f t="shared" si="59"/>
        <v>1.1038551292856931</v>
      </c>
      <c r="Y757">
        <f>IFERROR(INDEX(Rainfall_Wet!$O$2:$O$217,MATCH(B757, Rainfall_Wet!$A$2:$A$217,0)),"")</f>
        <v>194.93009798400001</v>
      </c>
      <c r="Z757" s="228">
        <v>28.145762029394</v>
      </c>
      <c r="AA757" s="228">
        <v>25.085564727199518</v>
      </c>
      <c r="AB757" s="228">
        <v>46.768673243406489</v>
      </c>
      <c r="AC757" s="229" t="s">
        <v>2654</v>
      </c>
      <c r="AD757" s="228">
        <v>9.1716214884179408</v>
      </c>
      <c r="AE757">
        <f>IF('WetLitterbags placem_collection'!AB98="","",'WetLitterbags placem_collection'!AB98)</f>
        <v>4</v>
      </c>
      <c r="AF757">
        <f>IF('WetLitterbags placem_collection'!Z98="","",'WetLitterbags placem_collection'!Z98)</f>
        <v>34.4</v>
      </c>
      <c r="AG757" s="243" t="str">
        <f>IF('WetLitterbags placem_collection'!AA98="","",'WetLitterbags placem_collection'!AA98)</f>
        <v>O</v>
      </c>
      <c r="AH757">
        <f>IF('WetLitterbags placem_collection'!AC98="","",'WetLitterbags placem_collection'!AC98)</f>
        <v>0</v>
      </c>
      <c r="AI757">
        <f>AVERAGE('WetLitterbags placem_collection'!S98,'WetLitterbags placem_collection'!U98)</f>
        <v>16.799999999999997</v>
      </c>
      <c r="AJ757">
        <f>AVERAGE('WetLitterbags placem_collection'!R98,'WetLitterbags placem_collection'!T98)</f>
        <v>24.3</v>
      </c>
      <c r="AK757">
        <f>INDEX(Coordinates!$B$2:$B$197,MATCH(H757,Coordinates!$J$2:$J$197,0))</f>
        <v>-3.2968360369999998</v>
      </c>
      <c r="AL757">
        <f>INDEX(Coordinates!$C$2:$C$197,MATCH(H757,Coordinates!$J$2:$J$197,0))</f>
        <v>34.854462009999999</v>
      </c>
      <c r="AM757" t="str">
        <f>IF(ISNUMBER(SEARCH("C", 'WetLitterbags placem_collection'!$Y98)),"YES","NO")</f>
        <v>NO</v>
      </c>
      <c r="AN757" t="str">
        <f>IF(ISNUMBER(SEARCH("H", 'WetLitterbags placem_collection'!$Y98)),"YES","NO")</f>
        <v>NO</v>
      </c>
      <c r="AO757" t="str">
        <f>IF(ISNUMBER(SEARCH("R", 'WetLitterbags placem_collection'!$Y98)),"YES","NO")</f>
        <v>NO</v>
      </c>
    </row>
    <row r="758" spans="1:41" ht="15" customHeight="1">
      <c r="A758" s="255" t="s">
        <v>2454</v>
      </c>
      <c r="B758" s="260">
        <f>'Dry_Litterbag Placem_Collection'!A99</f>
        <v>97</v>
      </c>
      <c r="C758" s="260" t="str">
        <f>'Dry_Litterbag Placem_Collection'!B99</f>
        <v xml:space="preserve">Mwantimba
</v>
      </c>
      <c r="D758" s="260" t="s">
        <v>2454</v>
      </c>
      <c r="E758" s="260" t="s">
        <v>2644</v>
      </c>
      <c r="F758" s="260">
        <v>1</v>
      </c>
      <c r="G758" s="260" t="s">
        <v>3815</v>
      </c>
      <c r="H758" s="261" t="str">
        <f>'Dry_Litterbag Placem_Collection'!C99</f>
        <v>Wet_Ag1_T1</v>
      </c>
      <c r="I758" s="270" t="s">
        <v>3630</v>
      </c>
      <c r="J758" s="271" t="s">
        <v>298</v>
      </c>
      <c r="K758" s="221" t="str">
        <f>'WetLitterbags placem_collection'!Q99</f>
        <v>R576</v>
      </c>
      <c r="L758" s="223">
        <f>IFERROR(INDEX('Green_rooibos initial weight'!$C$5:$C$2000,MATCH(K758, 'Green_rooibos initial weight'!$A$5:$A$2000,0)),"")</f>
        <v>2.109</v>
      </c>
      <c r="M758" s="223">
        <f>IFERROR(L758-(TBIcalc!$H$9+TBIcalc!$H$10),"")</f>
        <v>1.8592</v>
      </c>
      <c r="N758" s="385">
        <f>AVERAGE(Ashed_controlls!$K$2:$K$11)</f>
        <v>5.5147656768714146</v>
      </c>
      <c r="O758" s="223">
        <f t="shared" si="56"/>
        <v>1.7566694765356066</v>
      </c>
      <c r="P758" s="223">
        <f>IFERROR(INDEX('Both teabags AfterWet'!$C$3:$C$840,MATCH(K758,'Both teabags AfterWet'!$A$3:$A$840,0)),"")</f>
        <v>1.6898</v>
      </c>
      <c r="Q758" s="223">
        <f>IFERROR(IF(P758&gt;0,P758-(TBIcalc!$H$9),""),"")</f>
        <v>1.5391999999999999</v>
      </c>
      <c r="R758" s="223">
        <f>IFERROR(INDEX('Ashed teabags wet'!$K$2:$K$2000,MATCH(K758,'Ashed teabags wet'!$A$2:$A$2000,0)),"")</f>
        <v>8.4409136047665729</v>
      </c>
      <c r="S758" s="223">
        <f t="shared" si="57"/>
        <v>1.4092774577954328</v>
      </c>
      <c r="T758" s="224">
        <f>'WetLitterbags placem_collection'!E99</f>
        <v>42762</v>
      </c>
      <c r="U758" s="224">
        <f>IF('WetLitterbags placem_collection'!G99="","",'WetLitterbags placem_collection'!G99)</f>
        <v>42816</v>
      </c>
      <c r="V758" s="225">
        <f t="shared" si="55"/>
        <v>54</v>
      </c>
      <c r="W758" s="223">
        <f t="shared" si="58"/>
        <v>0.32000000000000006</v>
      </c>
      <c r="X758" s="223">
        <f t="shared" si="59"/>
        <v>0.34739201874017378</v>
      </c>
      <c r="Y758">
        <f>IFERROR(INDEX(Rainfall_Wet!$O$2:$O$217,MATCH(B758, Rainfall_Wet!$A$2:$A$217,0)),"")</f>
        <v>206.85140822299999</v>
      </c>
      <c r="Z758" s="228">
        <v>45.96</v>
      </c>
      <c r="AA758" s="228">
        <v>14.920000000000003</v>
      </c>
      <c r="AB758" s="228">
        <v>39.119999999999997</v>
      </c>
      <c r="AC758" s="229" t="s">
        <v>2657</v>
      </c>
      <c r="AD758" s="228">
        <v>2.0374568753080333</v>
      </c>
      <c r="AE758">
        <f>IF('WetLitterbags placem_collection'!AB99="","",'WetLitterbags placem_collection'!AB99)</f>
        <v>2.4</v>
      </c>
      <c r="AF758">
        <f>IF('WetLitterbags placem_collection'!Z99="","",'WetLitterbags placem_collection'!Z99)</f>
        <v>8.9</v>
      </c>
      <c r="AG758" s="243" t="str">
        <f>IF('WetLitterbags placem_collection'!AA99="","",'WetLitterbags placem_collection'!AA99)</f>
        <v>G</v>
      </c>
      <c r="AH758">
        <f>IF('WetLitterbags placem_collection'!AC99="","",'WetLitterbags placem_collection'!AC99)</f>
        <v>1</v>
      </c>
      <c r="AI758">
        <f>AVERAGE('WetLitterbags placem_collection'!S99,'WetLitterbags placem_collection'!U99)</f>
        <v>19.25</v>
      </c>
      <c r="AJ758">
        <f>AVERAGE('WetLitterbags placem_collection'!R99,'WetLitterbags placem_collection'!T99)</f>
        <v>28.75</v>
      </c>
      <c r="AK758">
        <f>INDEX(Coordinates!$B$2:$B$197,MATCH(H758,Coordinates!$J$2:$J$197,0))</f>
        <v>-2.3691620310000001</v>
      </c>
      <c r="AL758">
        <f>INDEX(Coordinates!$C$2:$C$197,MATCH(H758,Coordinates!$J$2:$J$197,0))</f>
        <v>34.06028104</v>
      </c>
      <c r="AM758" t="str">
        <f>IF(ISNUMBER(SEARCH("C", 'WetLitterbags placem_collection'!$Y99)),"YES","NO")</f>
        <v>NO</v>
      </c>
      <c r="AN758" t="str">
        <f>IF(ISNUMBER(SEARCH("H", 'WetLitterbags placem_collection'!$Y99)),"YES","NO")</f>
        <v>NO</v>
      </c>
      <c r="AO758" t="str">
        <f>IF(ISNUMBER(SEARCH("R", 'WetLitterbags placem_collection'!$Y99)),"YES","NO")</f>
        <v>NO</v>
      </c>
    </row>
    <row r="759" spans="1:41" ht="15" customHeight="1">
      <c r="A759" s="255" t="s">
        <v>2454</v>
      </c>
      <c r="B759" s="260">
        <f>'Dry_Litterbag Placem_Collection'!A100</f>
        <v>98</v>
      </c>
      <c r="C759" s="260" t="str">
        <f>'Dry_Litterbag Placem_Collection'!B100</f>
        <v xml:space="preserve">Mwantimba
</v>
      </c>
      <c r="D759" s="260" t="s">
        <v>2454</v>
      </c>
      <c r="E759" s="260" t="s">
        <v>2644</v>
      </c>
      <c r="F759" s="260">
        <v>1</v>
      </c>
      <c r="G759" s="260" t="s">
        <v>3815</v>
      </c>
      <c r="H759" s="261" t="str">
        <f>'Dry_Litterbag Placem_Collection'!C100</f>
        <v>Wet_Ag1_T2</v>
      </c>
      <c r="I759" s="270" t="s">
        <v>3630</v>
      </c>
      <c r="J759" s="271" t="s">
        <v>298</v>
      </c>
      <c r="K759" s="221" t="str">
        <f>'WetLitterbags placem_collection'!Q100</f>
        <v>R561</v>
      </c>
      <c r="L759" s="223">
        <f>IFERROR(INDEX('Green_rooibos initial weight'!$C$5:$C$2000,MATCH(K759, 'Green_rooibos initial weight'!$A$5:$A$2000,0)),"")</f>
        <v>2.0760000000000001</v>
      </c>
      <c r="M759" s="223">
        <f>IFERROR(L759-(TBIcalc!$H$9+TBIcalc!$H$10),"")</f>
        <v>1.8262</v>
      </c>
      <c r="N759" s="385">
        <f>AVERAGE(Ashed_controlls!$K$2:$K$11)</f>
        <v>5.5147656768714146</v>
      </c>
      <c r="O759" s="223">
        <f t="shared" si="56"/>
        <v>1.7254893492089742</v>
      </c>
      <c r="P759" s="223">
        <f>IFERROR(INDEX('Both teabags AfterWet'!$C$3:$C$840,MATCH(K759,'Both teabags AfterWet'!$A$3:$A$840,0)),"")</f>
        <v>1.661</v>
      </c>
      <c r="Q759" s="223">
        <f>IFERROR(IF(P759&gt;0,P759-(TBIcalc!$H$9),""),"")</f>
        <v>1.5104</v>
      </c>
      <c r="R759" s="223">
        <f>IFERROR(INDEX('Ashed teabags wet'!$K$2:$K$2000,MATCH(K759,'Ashed teabags wet'!$A$2:$A$2000,0)),"")</f>
        <v>12.28244654400746</v>
      </c>
      <c r="S759" s="223">
        <f t="shared" si="57"/>
        <v>1.3248859273993112</v>
      </c>
      <c r="T759" s="224">
        <f>'WetLitterbags placem_collection'!E100</f>
        <v>42762</v>
      </c>
      <c r="U759" s="224">
        <f>IF('WetLitterbags placem_collection'!G100="","",'WetLitterbags placem_collection'!G100)</f>
        <v>42816</v>
      </c>
      <c r="V759" s="225">
        <f t="shared" si="55"/>
        <v>54</v>
      </c>
      <c r="W759" s="223">
        <f t="shared" si="58"/>
        <v>0.31580000000000008</v>
      </c>
      <c r="X759" s="223">
        <f t="shared" si="59"/>
        <v>0.40060342180966302</v>
      </c>
      <c r="Y759">
        <f>IFERROR(INDEX(Rainfall_Wet!$O$2:$O$217,MATCH(B759, Rainfall_Wet!$A$2:$A$217,0)),"")</f>
        <v>206.85140822299999</v>
      </c>
      <c r="Z759" s="228">
        <v>45.96</v>
      </c>
      <c r="AA759" s="228">
        <v>14.920000000000003</v>
      </c>
      <c r="AB759" s="228">
        <v>39.119999999999997</v>
      </c>
      <c r="AC759" s="229" t="s">
        <v>2657</v>
      </c>
      <c r="AD759" s="228">
        <v>3.0374568753080302</v>
      </c>
      <c r="AE759">
        <f>IF('WetLitterbags placem_collection'!AB100="","",'WetLitterbags placem_collection'!AB100)</f>
        <v>7.8</v>
      </c>
      <c r="AF759">
        <f>IF('WetLitterbags placem_collection'!Z100="","",'WetLitterbags placem_collection'!Z100)</f>
        <v>4.45</v>
      </c>
      <c r="AG759" s="243" t="str">
        <f>IF('WetLitterbags placem_collection'!AA100="","",'WetLitterbags placem_collection'!AA100)</f>
        <v>G</v>
      </c>
      <c r="AH759">
        <f>IF('WetLitterbags placem_collection'!AC100="","",'WetLitterbags placem_collection'!AC100)</f>
        <v>1</v>
      </c>
      <c r="AI759">
        <f>AVERAGE('WetLitterbags placem_collection'!S100,'WetLitterbags placem_collection'!U100)</f>
        <v>22.25</v>
      </c>
      <c r="AJ759">
        <f>AVERAGE('WetLitterbags placem_collection'!R100,'WetLitterbags placem_collection'!T100)</f>
        <v>29.85</v>
      </c>
      <c r="AK759">
        <f>INDEX(Coordinates!$B$2:$B$197,MATCH(H759,Coordinates!$J$2:$J$197,0))</f>
        <v>-2.3692249790000002</v>
      </c>
      <c r="AL759">
        <f>INDEX(Coordinates!$C$2:$C$197,MATCH(H759,Coordinates!$J$2:$J$197,0))</f>
        <v>34.060285989999997</v>
      </c>
      <c r="AM759" t="str">
        <f>IF(ISNUMBER(SEARCH("C", 'WetLitterbags placem_collection'!$Y100)),"YES","NO")</f>
        <v>NO</v>
      </c>
      <c r="AN759" t="str">
        <f>IF(ISNUMBER(SEARCH("H", 'WetLitterbags placem_collection'!$Y100)),"YES","NO")</f>
        <v>NO</v>
      </c>
      <c r="AO759" t="str">
        <f>IF(ISNUMBER(SEARCH("R", 'WetLitterbags placem_collection'!$Y100)),"YES","NO")</f>
        <v>NO</v>
      </c>
    </row>
    <row r="760" spans="1:41" ht="15" customHeight="1">
      <c r="A760" s="255" t="s">
        <v>2454</v>
      </c>
      <c r="B760" s="260">
        <f>'Dry_Litterbag Placem_Collection'!A101</f>
        <v>99</v>
      </c>
      <c r="C760" s="260" t="str">
        <f>'Dry_Litterbag Placem_Collection'!B101</f>
        <v xml:space="preserve">Mwantimba
</v>
      </c>
      <c r="D760" s="260" t="s">
        <v>2454</v>
      </c>
      <c r="E760" s="260" t="s">
        <v>2644</v>
      </c>
      <c r="F760" s="260">
        <v>1</v>
      </c>
      <c r="G760" s="260" t="s">
        <v>3815</v>
      </c>
      <c r="H760" s="261" t="str">
        <f>'Dry_Litterbag Placem_Collection'!C101</f>
        <v>Wet_Ag1_T3</v>
      </c>
      <c r="I760" s="270" t="s">
        <v>3630</v>
      </c>
      <c r="J760" s="271" t="s">
        <v>298</v>
      </c>
      <c r="K760" s="221" t="str">
        <f>'WetLitterbags placem_collection'!Q101</f>
        <v>R496</v>
      </c>
      <c r="L760" s="223">
        <f>IFERROR(INDEX('Green_rooibos initial weight'!$C$5:$C$2000,MATCH(K760, 'Green_rooibos initial weight'!$A$5:$A$2000,0)),"")</f>
        <v>2.2389999999999999</v>
      </c>
      <c r="M760" s="223">
        <f>IFERROR(L760-(TBIcalc!$H$9+TBIcalc!$H$10),"")</f>
        <v>1.9891999999999999</v>
      </c>
      <c r="N760" s="385">
        <f>AVERAGE(Ashed_controlls!$K$2:$K$11)</f>
        <v>5.5147656768714146</v>
      </c>
      <c r="O760" s="223">
        <f t="shared" si="56"/>
        <v>1.8795002811556736</v>
      </c>
      <c r="P760" s="223">
        <f>IFERROR(INDEX('Both teabags AfterWet'!$C$3:$C$840,MATCH(K760,'Both teabags AfterWet'!$A$3:$A$840,0)),"")</f>
        <v>1.5016</v>
      </c>
      <c r="Q760" s="223">
        <f>IFERROR(IF(P760&gt;0,P760-(TBIcalc!$H$9),""),"")</f>
        <v>1.351</v>
      </c>
      <c r="R760" s="223">
        <f>IFERROR(INDEX('Ashed teabags wet'!$K$2:$K$2000,MATCH(K760,'Ashed teabags wet'!$A$2:$A$2000,0)),"")</f>
        <v>7.3182711198407153</v>
      </c>
      <c r="S760" s="223">
        <f t="shared" si="57"/>
        <v>1.252130157170952</v>
      </c>
      <c r="T760" s="224">
        <f>'WetLitterbags placem_collection'!E101</f>
        <v>42762</v>
      </c>
      <c r="U760" s="224">
        <f>IF('WetLitterbags placem_collection'!G101="","",'WetLitterbags placem_collection'!G101)</f>
        <v>42816</v>
      </c>
      <c r="V760" s="225">
        <f t="shared" si="55"/>
        <v>54</v>
      </c>
      <c r="W760" s="223">
        <f t="shared" si="58"/>
        <v>0.63819999999999988</v>
      </c>
      <c r="X760" s="223">
        <f t="shared" si="59"/>
        <v>0.62737012398472158</v>
      </c>
      <c r="Y760">
        <f>IFERROR(INDEX(Rainfall_Wet!$O$2:$O$217,MATCH(B760, Rainfall_Wet!$A$2:$A$217,0)),"")</f>
        <v>206.85140822299999</v>
      </c>
      <c r="Z760" s="228">
        <v>45.96</v>
      </c>
      <c r="AA760" s="228">
        <v>14.920000000000003</v>
      </c>
      <c r="AB760" s="228">
        <v>39.119999999999997</v>
      </c>
      <c r="AC760" s="229" t="s">
        <v>2657</v>
      </c>
      <c r="AD760" s="228">
        <v>4.0374568753080302</v>
      </c>
      <c r="AE760">
        <f>IF('WetLitterbags placem_collection'!AB101="","",'WetLitterbags placem_collection'!AB101)</f>
        <v>5.0999999999999996</v>
      </c>
      <c r="AF760">
        <f>IF('WetLitterbags placem_collection'!Z101="","",'WetLitterbags placem_collection'!Z101)</f>
        <v>2.2999999999999998</v>
      </c>
      <c r="AG760" s="243" t="str">
        <f>IF('WetLitterbags placem_collection'!AA101="","",'WetLitterbags placem_collection'!AA101)</f>
        <v>G</v>
      </c>
      <c r="AH760">
        <f>IF('WetLitterbags placem_collection'!AC101="","",'WetLitterbags placem_collection'!AC101)</f>
        <v>0</v>
      </c>
      <c r="AI760">
        <f>AVERAGE('WetLitterbags placem_collection'!S101,'WetLitterbags placem_collection'!U101)</f>
        <v>17.95</v>
      </c>
      <c r="AJ760">
        <f>AVERAGE('WetLitterbags placem_collection'!R101,'WetLitterbags placem_collection'!T101)</f>
        <v>30.85</v>
      </c>
      <c r="AK760">
        <f>INDEX(Coordinates!$B$2:$B$197,MATCH(H760,Coordinates!$J$2:$J$197,0))</f>
        <v>-2.369284993</v>
      </c>
      <c r="AL760">
        <f>INDEX(Coordinates!$C$2:$C$197,MATCH(H760,Coordinates!$J$2:$J$197,0))</f>
        <v>34.06028104</v>
      </c>
      <c r="AM760" t="str">
        <f>IF(ISNUMBER(SEARCH("C", 'WetLitterbags placem_collection'!$Y101)),"YES","NO")</f>
        <v>NO</v>
      </c>
      <c r="AN760" t="str">
        <f>IF(ISNUMBER(SEARCH("H", 'WetLitterbags placem_collection'!$Y101)),"YES","NO")</f>
        <v>NO</v>
      </c>
      <c r="AO760" t="str">
        <f>IF(ISNUMBER(SEARCH("R", 'WetLitterbags placem_collection'!$Y101)),"YES","NO")</f>
        <v>NO</v>
      </c>
    </row>
    <row r="761" spans="1:41" ht="15" customHeight="1">
      <c r="A761" s="255" t="s">
        <v>2454</v>
      </c>
      <c r="B761" s="260">
        <f>'Dry_Litterbag Placem_Collection'!A102</f>
        <v>100</v>
      </c>
      <c r="C761" s="260" t="str">
        <f>'Dry_Litterbag Placem_Collection'!B102</f>
        <v xml:space="preserve">Mwantimba
</v>
      </c>
      <c r="D761" s="260" t="s">
        <v>2454</v>
      </c>
      <c r="E761" s="260" t="s">
        <v>2644</v>
      </c>
      <c r="F761" s="260">
        <v>1</v>
      </c>
      <c r="G761" s="260" t="s">
        <v>3815</v>
      </c>
      <c r="H761" s="261" t="str">
        <f>'Dry_Litterbag Placem_Collection'!C102</f>
        <v>Wet_Ag1_T4</v>
      </c>
      <c r="I761" s="270" t="s">
        <v>3630</v>
      </c>
      <c r="J761" s="271" t="s">
        <v>298</v>
      </c>
      <c r="K761" s="221" t="str">
        <f>'WetLitterbags placem_collection'!Q102</f>
        <v>R497</v>
      </c>
      <c r="L761" s="223">
        <f>IFERROR(INDEX('Green_rooibos initial weight'!$C$5:$C$2000,MATCH(K761, 'Green_rooibos initial weight'!$A$5:$A$2000,0)),"")</f>
        <v>2.2240000000000002</v>
      </c>
      <c r="M761" s="223">
        <f>IFERROR(L761-(TBIcalc!$H$9+TBIcalc!$H$10),"")</f>
        <v>1.9742000000000002</v>
      </c>
      <c r="N761" s="385">
        <f>AVERAGE(Ashed_controlls!$K$2:$K$11)</f>
        <v>5.5147656768714146</v>
      </c>
      <c r="O761" s="223">
        <f t="shared" si="56"/>
        <v>1.8653274960072048</v>
      </c>
      <c r="P761" s="223">
        <f>IFERROR(INDEX('Both teabags AfterWet'!$C$3:$C$840,MATCH(K761,'Both teabags AfterWet'!$A$3:$A$840,0)),"")</f>
        <v>1.66</v>
      </c>
      <c r="Q761" s="223">
        <f>IFERROR(IF(P761&gt;0,P761-(TBIcalc!$H$9),""),"")</f>
        <v>1.5093999999999999</v>
      </c>
      <c r="R761" s="223">
        <f>IFERROR(INDEX('Ashed teabags wet'!$K$2:$K$2000,MATCH(K761,'Ashed teabags wet'!$A$2:$A$2000,0)),"")</f>
        <v>7.3426573426567847</v>
      </c>
      <c r="S761" s="223">
        <f t="shared" si="57"/>
        <v>1.3985699300699383</v>
      </c>
      <c r="T761" s="224">
        <f>'WetLitterbags placem_collection'!E102</f>
        <v>42762</v>
      </c>
      <c r="U761" s="224">
        <f>IF('WetLitterbags placem_collection'!G102="","",'WetLitterbags placem_collection'!G102)</f>
        <v>42816</v>
      </c>
      <c r="V761" s="225">
        <f t="shared" si="55"/>
        <v>54</v>
      </c>
      <c r="W761" s="223">
        <f t="shared" si="58"/>
        <v>0.46480000000000032</v>
      </c>
      <c r="X761" s="223">
        <f t="shared" si="59"/>
        <v>0.46675756593726647</v>
      </c>
      <c r="Y761">
        <f>IFERROR(INDEX(Rainfall_Wet!$O$2:$O$217,MATCH(B761, Rainfall_Wet!$A$2:$A$217,0)),"")</f>
        <v>206.85140822299999</v>
      </c>
      <c r="Z761" s="228">
        <v>45.96</v>
      </c>
      <c r="AA761" s="228">
        <v>14.920000000000003</v>
      </c>
      <c r="AB761" s="228">
        <v>39.119999999999997</v>
      </c>
      <c r="AC761" s="229" t="s">
        <v>2657</v>
      </c>
      <c r="AD761" s="228">
        <v>5.0374568753080302</v>
      </c>
      <c r="AE761">
        <f>IF('WetLitterbags placem_collection'!AB102="","",'WetLitterbags placem_collection'!AB102)</f>
        <v>1.6</v>
      </c>
      <c r="AF761">
        <f>IF('WetLitterbags placem_collection'!Z102="","",'WetLitterbags placem_collection'!Z102)</f>
        <v>15</v>
      </c>
      <c r="AG761" s="243" t="str">
        <f>IF('WetLitterbags placem_collection'!AA102="","",'WetLitterbags placem_collection'!AA102)</f>
        <v>G</v>
      </c>
      <c r="AH761">
        <f>IF('WetLitterbags placem_collection'!AC102="","",'WetLitterbags placem_collection'!AC102)</f>
        <v>1</v>
      </c>
      <c r="AI761">
        <f>AVERAGE('WetLitterbags placem_collection'!S102,'WetLitterbags placem_collection'!U102)</f>
        <v>16.5</v>
      </c>
      <c r="AJ761">
        <f>AVERAGE('WetLitterbags placem_collection'!R102,'WetLitterbags placem_collection'!T102)</f>
        <v>29.85</v>
      </c>
      <c r="AK761">
        <f>INDEX(Coordinates!$B$2:$B$197,MATCH(H761,Coordinates!$J$2:$J$197,0))</f>
        <v>-2.3691989950000001</v>
      </c>
      <c r="AL761">
        <f>INDEX(Coordinates!$C$2:$C$197,MATCH(H761,Coordinates!$J$2:$J$197,0))</f>
        <v>34.060208029999998</v>
      </c>
      <c r="AM761" t="str">
        <f>IF(ISNUMBER(SEARCH("C", 'WetLitterbags placem_collection'!$Y102)),"YES","NO")</f>
        <v>NO</v>
      </c>
      <c r="AN761" t="str">
        <f>IF(ISNUMBER(SEARCH("H", 'WetLitterbags placem_collection'!$Y102)),"YES","NO")</f>
        <v>NO</v>
      </c>
      <c r="AO761" t="str">
        <f>IF(ISNUMBER(SEARCH("R", 'WetLitterbags placem_collection'!$Y102)),"YES","NO")</f>
        <v>NO</v>
      </c>
    </row>
    <row r="762" spans="1:41" ht="15" customHeight="1">
      <c r="A762" s="255" t="s">
        <v>2454</v>
      </c>
      <c r="B762" s="260">
        <f>'Dry_Litterbag Placem_Collection'!A103</f>
        <v>101</v>
      </c>
      <c r="C762" s="260" t="str">
        <f>'Dry_Litterbag Placem_Collection'!B103</f>
        <v xml:space="preserve">Mwantimba
</v>
      </c>
      <c r="D762" s="260" t="s">
        <v>2454</v>
      </c>
      <c r="E762" s="260" t="s">
        <v>2644</v>
      </c>
      <c r="F762" s="260">
        <v>1</v>
      </c>
      <c r="G762" s="260" t="s">
        <v>3815</v>
      </c>
      <c r="H762" s="261" t="str">
        <f>'Dry_Litterbag Placem_Collection'!C103</f>
        <v>Wet_Ag1_T5</v>
      </c>
      <c r="I762" s="270" t="s">
        <v>3630</v>
      </c>
      <c r="J762" s="271" t="s">
        <v>298</v>
      </c>
      <c r="K762" s="221" t="str">
        <f>'WetLitterbags placem_collection'!Q103</f>
        <v>R10</v>
      </c>
      <c r="L762" s="223">
        <f>IFERROR(INDEX('Green_rooibos initial weight'!$C$5:$C$2000,MATCH(K762, 'Green_rooibos initial weight'!$A$5:$A$2000,0)),"")</f>
        <v>2.29</v>
      </c>
      <c r="M762" s="223">
        <f>IFERROR(L762-(TBIcalc!$H$9+TBIcalc!$H$10),"")</f>
        <v>2.0402</v>
      </c>
      <c r="N762" s="385">
        <f>AVERAGE(Ashed_controlls!$K$2:$K$11)</f>
        <v>5.5147656768714146</v>
      </c>
      <c r="O762" s="223">
        <f t="shared" si="56"/>
        <v>1.9276877506604695</v>
      </c>
      <c r="P762" s="223">
        <f>IFERROR(INDEX('Both teabags AfterWet'!$C$3:$C$840,MATCH(K762,'Both teabags AfterWet'!$A$3:$A$840,0)),"")</f>
        <v>1.5687</v>
      </c>
      <c r="Q762" s="223">
        <f>IFERROR(IF(P762&gt;0,P762-(TBIcalc!$H$9),""),"")</f>
        <v>1.4180999999999999</v>
      </c>
      <c r="R762" s="223">
        <f>IFERROR(INDEX('Ashed teabags wet'!$K$2:$K$2000,MATCH(K762,'Ashed teabags wet'!$A$2:$A$2000,0)),"")</f>
        <v>7.5048732943469902</v>
      </c>
      <c r="S762" s="223">
        <f t="shared" si="57"/>
        <v>1.3116733918128651</v>
      </c>
      <c r="T762" s="224">
        <f>'WetLitterbags placem_collection'!E103</f>
        <v>42762</v>
      </c>
      <c r="U762" s="224">
        <f>IF('WetLitterbags placem_collection'!G103="","",'WetLitterbags placem_collection'!G103)</f>
        <v>42816</v>
      </c>
      <c r="V762" s="225">
        <f t="shared" si="55"/>
        <v>54</v>
      </c>
      <c r="W762" s="223">
        <f t="shared" si="58"/>
        <v>0.6221000000000001</v>
      </c>
      <c r="X762" s="223">
        <f t="shared" si="59"/>
        <v>0.61601435884760436</v>
      </c>
      <c r="Y762">
        <f>IFERROR(INDEX(Rainfall_Wet!$O$2:$O$217,MATCH(B762, Rainfall_Wet!$A$2:$A$217,0)),"")</f>
        <v>206.85140822299999</v>
      </c>
      <c r="Z762" s="228">
        <v>45.96</v>
      </c>
      <c r="AA762" s="228">
        <v>14.920000000000003</v>
      </c>
      <c r="AB762" s="228">
        <v>39.119999999999997</v>
      </c>
      <c r="AC762" s="229" t="s">
        <v>2657</v>
      </c>
      <c r="AD762" s="228">
        <v>6.0374568753080302</v>
      </c>
      <c r="AE762">
        <f>IF('WetLitterbags placem_collection'!AB103="","",'WetLitterbags placem_collection'!AB103)</f>
        <v>4.3499999999999996</v>
      </c>
      <c r="AF762">
        <f>IF('WetLitterbags placem_collection'!Z103="","",'WetLitterbags placem_collection'!Z103)</f>
        <v>17</v>
      </c>
      <c r="AG762" s="243" t="str">
        <f>IF('WetLitterbags placem_collection'!AA103="","",'WetLitterbags placem_collection'!AA103)</f>
        <v>G</v>
      </c>
      <c r="AH762">
        <f>IF('WetLitterbags placem_collection'!AC103="","",'WetLitterbags placem_collection'!AC103)</f>
        <v>1</v>
      </c>
      <c r="AI762">
        <f>AVERAGE('WetLitterbags placem_collection'!S103,'WetLitterbags placem_collection'!U103)</f>
        <v>22.549999999999997</v>
      </c>
      <c r="AJ762">
        <f>AVERAGE('WetLitterbags placem_collection'!R103,'WetLitterbags placem_collection'!T103)</f>
        <v>31.150000000000002</v>
      </c>
      <c r="AK762">
        <f>INDEX(Coordinates!$B$2:$B$197,MATCH(H762,Coordinates!$J$2:$J$197,0))</f>
        <v>-2.3691900260000001</v>
      </c>
      <c r="AL762">
        <f>INDEX(Coordinates!$C$2:$C$197,MATCH(H762,Coordinates!$J$2:$J$197,0))</f>
        <v>34.060177019999998</v>
      </c>
      <c r="AM762" t="str">
        <f>IF(ISNUMBER(SEARCH("C", 'WetLitterbags placem_collection'!$Y103)),"YES","NO")</f>
        <v>NO</v>
      </c>
      <c r="AN762" t="str">
        <f>IF(ISNUMBER(SEARCH("H", 'WetLitterbags placem_collection'!$Y103)),"YES","NO")</f>
        <v>NO</v>
      </c>
      <c r="AO762" t="str">
        <f>IF(ISNUMBER(SEARCH("R", 'WetLitterbags placem_collection'!$Y103)),"YES","NO")</f>
        <v>NO</v>
      </c>
    </row>
    <row r="763" spans="1:41" ht="15" customHeight="1">
      <c r="A763" s="255" t="s">
        <v>2454</v>
      </c>
      <c r="B763" s="260">
        <f>'Dry_Litterbag Placem_Collection'!A104</f>
        <v>102</v>
      </c>
      <c r="C763" s="260" t="str">
        <f>'Dry_Litterbag Placem_Collection'!B104</f>
        <v xml:space="preserve">Mwantimba
</v>
      </c>
      <c r="D763" s="260" t="s">
        <v>2454</v>
      </c>
      <c r="E763" s="260" t="s">
        <v>2644</v>
      </c>
      <c r="F763" s="260">
        <v>1</v>
      </c>
      <c r="G763" s="260" t="s">
        <v>3815</v>
      </c>
      <c r="H763" s="261" t="str">
        <f>'Dry_Litterbag Placem_Collection'!C104</f>
        <v>Wet_Ag1_T6</v>
      </c>
      <c r="I763" s="270" t="s">
        <v>3630</v>
      </c>
      <c r="J763" s="271" t="s">
        <v>298</v>
      </c>
      <c r="K763" s="221" t="str">
        <f>'WetLitterbags placem_collection'!Q104</f>
        <v>R26</v>
      </c>
      <c r="L763" s="223">
        <f>IFERROR(INDEX('Green_rooibos initial weight'!$C$5:$C$2000,MATCH(K763, 'Green_rooibos initial weight'!$A$5:$A$2000,0)),"")</f>
        <v>2.2559999999999998</v>
      </c>
      <c r="M763" s="223">
        <f>IFERROR(L763-(TBIcalc!$H$9+TBIcalc!$H$10),"")</f>
        <v>2.0061999999999998</v>
      </c>
      <c r="N763" s="385">
        <f>AVERAGE(Ashed_controlls!$K$2:$K$11)</f>
        <v>5.5147656768714146</v>
      </c>
      <c r="O763" s="223">
        <f t="shared" si="56"/>
        <v>1.8955627709906056</v>
      </c>
      <c r="P763" s="223">
        <f>IFERROR(INDEX('Both teabags AfterWet'!$C$3:$C$840,MATCH(K763,'Both teabags AfterWet'!$A$3:$A$840,0)),"")</f>
        <v>1.6240000000000001</v>
      </c>
      <c r="Q763" s="223">
        <f>IFERROR(IF(P763&gt;0,P763-(TBIcalc!$H$9),""),"")</f>
        <v>1.4734</v>
      </c>
      <c r="R763" s="223">
        <f>IFERROR(INDEX('Ashed teabags wet'!$K$2:$K$2000,MATCH(K763,'Ashed teabags wet'!$A$2:$A$2000,0)),"")</f>
        <v>5.4671968190859612</v>
      </c>
      <c r="S763" s="223">
        <f t="shared" si="57"/>
        <v>1.3928463220675875</v>
      </c>
      <c r="T763" s="224">
        <f>'WetLitterbags placem_collection'!E104</f>
        <v>42762</v>
      </c>
      <c r="U763" s="224">
        <f>IF('WetLitterbags placem_collection'!G104="","",'WetLitterbags placem_collection'!G104)</f>
        <v>42816</v>
      </c>
      <c r="V763" s="225">
        <f t="shared" si="55"/>
        <v>54</v>
      </c>
      <c r="W763" s="223">
        <f t="shared" si="58"/>
        <v>0.53279999999999972</v>
      </c>
      <c r="X763" s="223">
        <f t="shared" si="59"/>
        <v>0.50271644892301803</v>
      </c>
      <c r="Y763">
        <f>IFERROR(INDEX(Rainfall_Wet!$O$2:$O$217,MATCH(B763, Rainfall_Wet!$A$2:$A$217,0)),"")</f>
        <v>206.85140822299999</v>
      </c>
      <c r="Z763" s="228">
        <v>45.96</v>
      </c>
      <c r="AA763" s="228">
        <v>14.920000000000003</v>
      </c>
      <c r="AB763" s="228">
        <v>39.119999999999997</v>
      </c>
      <c r="AC763" s="229" t="s">
        <v>2657</v>
      </c>
      <c r="AD763" s="228">
        <v>7.0374568753080302</v>
      </c>
      <c r="AE763">
        <f>IF('WetLitterbags placem_collection'!AB104="","",'WetLitterbags placem_collection'!AB104)</f>
        <v>7.7</v>
      </c>
      <c r="AF763">
        <f>IF('WetLitterbags placem_collection'!Z104="","",'WetLitterbags placem_collection'!Z104)</f>
        <v>21</v>
      </c>
      <c r="AG763" s="243" t="str">
        <f>IF('WetLitterbags placem_collection'!AA104="","",'WetLitterbags placem_collection'!AA104)</f>
        <v>G</v>
      </c>
      <c r="AH763">
        <f>IF('WetLitterbags placem_collection'!AC104="","",'WetLitterbags placem_collection'!AC104)</f>
        <v>1</v>
      </c>
      <c r="AI763">
        <f>AVERAGE('WetLitterbags placem_collection'!S104,'WetLitterbags placem_collection'!U104)</f>
        <v>21.099999999999998</v>
      </c>
      <c r="AJ763">
        <f>AVERAGE('WetLitterbags placem_collection'!R104,'WetLitterbags placem_collection'!T104)</f>
        <v>31.8</v>
      </c>
      <c r="AK763">
        <f>INDEX(Coordinates!$B$2:$B$197,MATCH(H763,Coordinates!$J$2:$J$197,0))</f>
        <v>-2.3691350409999998</v>
      </c>
      <c r="AL763">
        <f>INDEX(Coordinates!$C$2:$C$197,MATCH(H763,Coordinates!$J$2:$J$197,0))</f>
        <v>34.06018297</v>
      </c>
      <c r="AM763" t="str">
        <f>IF(ISNUMBER(SEARCH("C", 'WetLitterbags placem_collection'!$Y104)),"YES","NO")</f>
        <v>NO</v>
      </c>
      <c r="AN763" t="str">
        <f>IF(ISNUMBER(SEARCH("H", 'WetLitterbags placem_collection'!$Y104)),"YES","NO")</f>
        <v>NO</v>
      </c>
      <c r="AO763" t="str">
        <f>IF(ISNUMBER(SEARCH("R", 'WetLitterbags placem_collection'!$Y104)),"YES","NO")</f>
        <v>NO</v>
      </c>
    </row>
    <row r="764" spans="1:41" ht="15" customHeight="1">
      <c r="A764" s="255" t="s">
        <v>2454</v>
      </c>
      <c r="B764" s="260">
        <f>'Dry_Litterbag Placem_Collection'!A105</f>
        <v>103</v>
      </c>
      <c r="C764" s="260" t="str">
        <f>'Dry_Litterbag Placem_Collection'!B105</f>
        <v xml:space="preserve">Mwantimba
</v>
      </c>
      <c r="D764" s="260" t="s">
        <v>2454</v>
      </c>
      <c r="E764" s="260" t="s">
        <v>2644</v>
      </c>
      <c r="F764" s="260">
        <v>1</v>
      </c>
      <c r="G764" s="260" t="s">
        <v>3815</v>
      </c>
      <c r="H764" s="261" t="str">
        <f>'Dry_Litterbag Placem_Collection'!C105</f>
        <v>Wet_Ag1_T7</v>
      </c>
      <c r="I764" s="270" t="s">
        <v>3630</v>
      </c>
      <c r="J764" s="271" t="s">
        <v>298</v>
      </c>
      <c r="K764" s="221" t="str">
        <f>'WetLitterbags placem_collection'!Q105</f>
        <v>R494</v>
      </c>
      <c r="L764" s="223">
        <f>IFERROR(INDEX('Green_rooibos initial weight'!$C$5:$C$2000,MATCH(K764, 'Green_rooibos initial weight'!$A$5:$A$2000,0)),"")</f>
        <v>2.2130000000000001</v>
      </c>
      <c r="M764" s="223">
        <f>IFERROR(L764-(TBIcalc!$H$9+TBIcalc!$H$10),"")</f>
        <v>1.9632000000000001</v>
      </c>
      <c r="N764" s="385">
        <f>AVERAGE(Ashed_controlls!$K$2:$K$11)</f>
        <v>5.5147656768714146</v>
      </c>
      <c r="O764" s="223">
        <f t="shared" si="56"/>
        <v>1.8549341202316605</v>
      </c>
      <c r="P764" s="223">
        <f>IFERROR(INDEX('Both teabags AfterWet'!$C$3:$C$840,MATCH(K764,'Both teabags AfterWet'!$A$3:$A$840,0)),"")</f>
        <v>1.6919999999999999</v>
      </c>
      <c r="Q764" s="223">
        <f>IFERROR(IF(P764&gt;0,P764-(TBIcalc!$H$9),""),"")</f>
        <v>1.5413999999999999</v>
      </c>
      <c r="R764" s="223">
        <f>IFERROR(INDEX('Ashed teabags wet'!$K$2:$K$2000,MATCH(K764,'Ashed teabags wet'!$A$2:$A$2000,0)),"")</f>
        <v>5.3175775480057332</v>
      </c>
      <c r="S764" s="223">
        <f t="shared" si="57"/>
        <v>1.4594348596750395</v>
      </c>
      <c r="T764" s="224">
        <f>'WetLitterbags placem_collection'!E105</f>
        <v>42762</v>
      </c>
      <c r="U764" s="224">
        <f>IF('WetLitterbags placem_collection'!G105="","",'WetLitterbags placem_collection'!G105)</f>
        <v>42816</v>
      </c>
      <c r="V764" s="225">
        <f t="shared" si="55"/>
        <v>54</v>
      </c>
      <c r="W764" s="223">
        <f t="shared" si="58"/>
        <v>0.42180000000000017</v>
      </c>
      <c r="X764" s="223">
        <f t="shared" si="59"/>
        <v>0.39549926055662099</v>
      </c>
      <c r="Y764">
        <f>IFERROR(INDEX(Rainfall_Wet!$O$2:$O$217,MATCH(B764, Rainfall_Wet!$A$2:$A$217,0)),"")</f>
        <v>206.85140822299999</v>
      </c>
      <c r="Z764" s="228">
        <v>45.96</v>
      </c>
      <c r="AA764" s="228">
        <v>14.920000000000003</v>
      </c>
      <c r="AB764" s="228">
        <v>39.119999999999997</v>
      </c>
      <c r="AC764" s="229" t="s">
        <v>2657</v>
      </c>
      <c r="AD764" s="228">
        <v>8.0374568753080293</v>
      </c>
      <c r="AE764">
        <f>IF('WetLitterbags placem_collection'!AB105="","",'WetLitterbags placem_collection'!AB105)</f>
        <v>3.25</v>
      </c>
      <c r="AF764">
        <f>IF('WetLitterbags placem_collection'!Z105="","",'WetLitterbags placem_collection'!Z105)</f>
        <v>16</v>
      </c>
      <c r="AG764" s="243" t="str">
        <f>IF('WetLitterbags placem_collection'!AA105="","",'WetLitterbags placem_collection'!AA105)</f>
        <v>G</v>
      </c>
      <c r="AH764">
        <f>IF('WetLitterbags placem_collection'!AC105="","",'WetLitterbags placem_collection'!AC105)</f>
        <v>1</v>
      </c>
      <c r="AI764">
        <f>AVERAGE('WetLitterbags placem_collection'!S105,'WetLitterbags placem_collection'!U105)</f>
        <v>20.450000000000003</v>
      </c>
      <c r="AJ764">
        <f>AVERAGE('WetLitterbags placem_collection'!R105,'WetLitterbags placem_collection'!T105)</f>
        <v>30.25</v>
      </c>
      <c r="AK764">
        <f>INDEX(Coordinates!$B$2:$B$197,MATCH(H764,Coordinates!$J$2:$J$197,0))</f>
        <v>-2.3691330289999999</v>
      </c>
      <c r="AL764">
        <f>INDEX(Coordinates!$C$2:$C$197,MATCH(H764,Coordinates!$J$2:$J$197,0))</f>
        <v>34.060233009999997</v>
      </c>
      <c r="AM764" t="str">
        <f>IF(ISNUMBER(SEARCH("C", 'WetLitterbags placem_collection'!$Y105)),"YES","NO")</f>
        <v>NO</v>
      </c>
      <c r="AN764" t="str">
        <f>IF(ISNUMBER(SEARCH("H", 'WetLitterbags placem_collection'!$Y105)),"YES","NO")</f>
        <v>NO</v>
      </c>
      <c r="AO764" t="str">
        <f>IF(ISNUMBER(SEARCH("R", 'WetLitterbags placem_collection'!$Y105)),"YES","NO")</f>
        <v>YES</v>
      </c>
    </row>
    <row r="765" spans="1:41" ht="15" customHeight="1">
      <c r="A765" s="255" t="s">
        <v>2454</v>
      </c>
      <c r="B765" s="260">
        <f>'Dry_Litterbag Placem_Collection'!A106</f>
        <v>104</v>
      </c>
      <c r="C765" s="260" t="str">
        <f>'Dry_Litterbag Placem_Collection'!B106</f>
        <v xml:space="preserve">Mwantimba
</v>
      </c>
      <c r="D765" s="260" t="s">
        <v>2454</v>
      </c>
      <c r="E765" s="260" t="s">
        <v>2644</v>
      </c>
      <c r="F765" s="260">
        <v>1</v>
      </c>
      <c r="G765" s="260" t="s">
        <v>3815</v>
      </c>
      <c r="H765" s="261" t="str">
        <f>'Dry_Litterbag Placem_Collection'!C106</f>
        <v>Wet_Ag1_T8</v>
      </c>
      <c r="I765" s="270" t="s">
        <v>3630</v>
      </c>
      <c r="J765" s="271" t="s">
        <v>298</v>
      </c>
      <c r="K765" s="221" t="str">
        <f>'WetLitterbags placem_collection'!Q106</f>
        <v>R475</v>
      </c>
      <c r="L765" s="223">
        <f>IFERROR(INDEX('Green_rooibos initial weight'!$C$5:$C$2000,MATCH(K765, 'Green_rooibos initial weight'!$A$5:$A$2000,0)),"")</f>
        <v>2.2210000000000001</v>
      </c>
      <c r="M765" s="223">
        <f>IFERROR(L765-(TBIcalc!$H$9+TBIcalc!$H$10),"")</f>
        <v>1.9712000000000001</v>
      </c>
      <c r="N765" s="385">
        <f>AVERAGE(Ashed_controlls!$K$2:$K$11)</f>
        <v>5.5147656768714146</v>
      </c>
      <c r="O765" s="223">
        <f t="shared" si="56"/>
        <v>1.8624929389775107</v>
      </c>
      <c r="P765" s="223">
        <f>IFERROR(INDEX('Both teabags AfterWet'!$C$3:$C$840,MATCH(K765,'Both teabags AfterWet'!$A$3:$A$840,0)),"")</f>
        <v>1.4970000000000001</v>
      </c>
      <c r="Q765" s="223">
        <f>IFERROR(IF(P765&gt;0,P765-(TBIcalc!$H$9),""),"")</f>
        <v>1.3464</v>
      </c>
      <c r="R765" s="223">
        <f>IFERROR(INDEX('Ashed teabags wet'!$K$2:$K$2000,MATCH(K765,'Ashed teabags wet'!$A$2:$A$2000,0)),"")</f>
        <v>9.2474176094433584</v>
      </c>
      <c r="S765" s="223">
        <f t="shared" si="57"/>
        <v>1.2218927693064547</v>
      </c>
      <c r="T765" s="224">
        <f>'WetLitterbags placem_collection'!E106</f>
        <v>42762</v>
      </c>
      <c r="U765" s="224">
        <f>IF('WetLitterbags placem_collection'!G106="","",'WetLitterbags placem_collection'!G106)</f>
        <v>42816</v>
      </c>
      <c r="V765" s="225">
        <f t="shared" si="55"/>
        <v>54</v>
      </c>
      <c r="W765" s="223">
        <f t="shared" si="58"/>
        <v>0.62480000000000002</v>
      </c>
      <c r="X765" s="223">
        <f t="shared" si="59"/>
        <v>0.64060016967105593</v>
      </c>
      <c r="Y765">
        <f>IFERROR(INDEX(Rainfall_Wet!$O$2:$O$217,MATCH(B765, Rainfall_Wet!$A$2:$A$217,0)),"")</f>
        <v>206.85140822299999</v>
      </c>
      <c r="Z765" s="228">
        <v>45.96</v>
      </c>
      <c r="AA765" s="228">
        <v>14.920000000000003</v>
      </c>
      <c r="AB765" s="228">
        <v>39.119999999999997</v>
      </c>
      <c r="AC765" s="229" t="s">
        <v>2657</v>
      </c>
      <c r="AD765" s="228">
        <v>9.0374568753080293</v>
      </c>
      <c r="AE765">
        <f>IF('WetLitterbags placem_collection'!AB106="","",'WetLitterbags placem_collection'!AB106)</f>
        <v>10.5</v>
      </c>
      <c r="AF765">
        <f>IF('WetLitterbags placem_collection'!Z106="","",'WetLitterbags placem_collection'!Z106)</f>
        <v>17</v>
      </c>
      <c r="AG765" s="243" t="str">
        <f>IF('WetLitterbags placem_collection'!AA106="","",'WetLitterbags placem_collection'!AA106)</f>
        <v>G</v>
      </c>
      <c r="AH765">
        <f>IF('WetLitterbags placem_collection'!AC106="","",'WetLitterbags placem_collection'!AC106)</f>
        <v>1</v>
      </c>
      <c r="AI765">
        <f>AVERAGE('WetLitterbags placem_collection'!S106,'WetLitterbags placem_collection'!U106)</f>
        <v>21.6</v>
      </c>
      <c r="AJ765">
        <f>AVERAGE('WetLitterbags placem_collection'!R106,'WetLitterbags placem_collection'!T106)</f>
        <v>29.3</v>
      </c>
      <c r="AK765">
        <f>INDEX(Coordinates!$B$2:$B$197,MATCH(H765,Coordinates!$J$2:$J$197,0))</f>
        <v>-2.3692910280000001</v>
      </c>
      <c r="AL765">
        <f>INDEX(Coordinates!$C$2:$C$197,MATCH(H765,Coordinates!$J$2:$J$197,0))</f>
        <v>34.06016202</v>
      </c>
      <c r="AM765" t="str">
        <f>IF(ISNUMBER(SEARCH("C", 'WetLitterbags placem_collection'!$Y106)),"YES","NO")</f>
        <v>NO</v>
      </c>
      <c r="AN765" t="str">
        <f>IF(ISNUMBER(SEARCH("H", 'WetLitterbags placem_collection'!$Y106)),"YES","NO")</f>
        <v>NO</v>
      </c>
      <c r="AO765" t="str">
        <f>IF(ISNUMBER(SEARCH("R", 'WetLitterbags placem_collection'!$Y106)),"YES","NO")</f>
        <v>NO</v>
      </c>
    </row>
    <row r="766" spans="1:41" ht="15" customHeight="1">
      <c r="A766" s="255" t="s">
        <v>2454</v>
      </c>
      <c r="B766" s="260">
        <f>'Dry_Litterbag Placem_Collection'!A107</f>
        <v>105</v>
      </c>
      <c r="C766" s="260" t="str">
        <f>'Dry_Litterbag Placem_Collection'!B107</f>
        <v xml:space="preserve">Mwantimba
</v>
      </c>
      <c r="D766" s="260" t="s">
        <v>2454</v>
      </c>
      <c r="E766" s="260" t="s">
        <v>2644</v>
      </c>
      <c r="F766" s="260">
        <v>2</v>
      </c>
      <c r="G766" s="260" t="s">
        <v>3817</v>
      </c>
      <c r="H766" s="261" t="str">
        <f>'Dry_Litterbag Placem_Collection'!C107</f>
        <v>Wet_Ag2_T1</v>
      </c>
      <c r="I766" s="270" t="s">
        <v>3630</v>
      </c>
      <c r="J766" s="271" t="s">
        <v>298</v>
      </c>
      <c r="K766" s="221" t="str">
        <f>'WetLitterbags placem_collection'!Q107</f>
        <v>R540</v>
      </c>
      <c r="L766" s="223">
        <f>IFERROR(INDEX('Green_rooibos initial weight'!$C$5:$C$2000,MATCH(K766, 'Green_rooibos initial weight'!$A$5:$A$2000,0)),"")</f>
        <v>2.194</v>
      </c>
      <c r="M766" s="223">
        <f>IFERROR(L766-(TBIcalc!$H$9+TBIcalc!$H$10),"")</f>
        <v>1.9441999999999999</v>
      </c>
      <c r="N766" s="385">
        <f>AVERAGE(Ashed_controlls!$K$2:$K$11)</f>
        <v>5.5147656768714146</v>
      </c>
      <c r="O766" s="223">
        <f t="shared" si="56"/>
        <v>1.836981925710266</v>
      </c>
      <c r="P766" s="223">
        <f>IFERROR(INDEX('Both teabags AfterWet'!$C$3:$C$840,MATCH(K766,'Both teabags AfterWet'!$A$3:$A$840,0)),"")</f>
        <v>1.8080000000000001</v>
      </c>
      <c r="Q766" s="223">
        <f>IFERROR(IF(P766&gt;0,P766-(TBIcalc!$H$9),""),"")</f>
        <v>1.6574</v>
      </c>
      <c r="R766" s="223">
        <f>IFERROR(INDEX('Ashed teabags wet'!$K$2:$K$2000,MATCH(K766,'Ashed teabags wet'!$A$2:$A$2000,0)),"")</f>
        <v>5.7625434674605209</v>
      </c>
      <c r="S766" s="223">
        <f t="shared" si="57"/>
        <v>1.5618916045703093</v>
      </c>
      <c r="T766" s="224">
        <f>'WetLitterbags placem_collection'!E107</f>
        <v>42762</v>
      </c>
      <c r="U766" s="224">
        <f>IF('WetLitterbags placem_collection'!G107="","",'WetLitterbags placem_collection'!G107)</f>
        <v>42816</v>
      </c>
      <c r="V766" s="225">
        <f t="shared" si="55"/>
        <v>54</v>
      </c>
      <c r="W766" s="223">
        <f t="shared" si="58"/>
        <v>0.28679999999999994</v>
      </c>
      <c r="X766" s="223">
        <f t="shared" si="59"/>
        <v>0.27509032113995668</v>
      </c>
      <c r="Y766">
        <f>IFERROR(INDEX(Rainfall_Wet!$O$2:$O$217,MATCH(B766, Rainfall_Wet!$A$2:$A$217,0)),"")</f>
        <v>206.85140822299999</v>
      </c>
      <c r="Z766" s="228">
        <v>34.344660194174757</v>
      </c>
      <c r="AA766" s="228">
        <v>19.22727272727273</v>
      </c>
      <c r="AB766" s="228">
        <v>46.428067078552509</v>
      </c>
      <c r="AC766" s="229" t="s">
        <v>2654</v>
      </c>
      <c r="AD766" s="228">
        <v>1.7452932479053718</v>
      </c>
      <c r="AE766">
        <f>IF('WetLitterbags placem_collection'!AB107="","",'WetLitterbags placem_collection'!AB107)</f>
        <v>5.5</v>
      </c>
      <c r="AF766">
        <f>IF('WetLitterbags placem_collection'!Z107="","",'WetLitterbags placem_collection'!Z107)</f>
        <v>23.5</v>
      </c>
      <c r="AG766" s="243" t="str">
        <f>IF('WetLitterbags placem_collection'!AA107="","",'WetLitterbags placem_collection'!AA107)</f>
        <v>M</v>
      </c>
      <c r="AH766">
        <f>IF('WetLitterbags placem_collection'!AC107="","",'WetLitterbags placem_collection'!AC107)</f>
        <v>0</v>
      </c>
      <c r="AI766">
        <f>AVERAGE('WetLitterbags placem_collection'!S107,'WetLitterbags placem_collection'!U107)</f>
        <v>11.350000000000001</v>
      </c>
      <c r="AJ766">
        <f>AVERAGE('WetLitterbags placem_collection'!R107,'WetLitterbags placem_collection'!T107)</f>
        <v>32.150000000000006</v>
      </c>
      <c r="AK766">
        <f>INDEX(Coordinates!$B$2:$B$197,MATCH(H766,Coordinates!$J$2:$J$197,0))</f>
        <v>-2.3698080240000001</v>
      </c>
      <c r="AL766">
        <f>INDEX(Coordinates!$C$2:$C$197,MATCH(H766,Coordinates!$J$2:$J$197,0))</f>
        <v>34.059671010000002</v>
      </c>
      <c r="AM766" t="str">
        <f>IF(ISNUMBER(SEARCH("C", 'WetLitterbags placem_collection'!$Y107)),"YES","NO")</f>
        <v>NO</v>
      </c>
      <c r="AN766" t="str">
        <f>IF(ISNUMBER(SEARCH("H", 'WetLitterbags placem_collection'!$Y107)),"YES","NO")</f>
        <v>NO</v>
      </c>
      <c r="AO766" t="str">
        <f>IF(ISNUMBER(SEARCH("R", 'WetLitterbags placem_collection'!$Y107)),"YES","NO")</f>
        <v>YES</v>
      </c>
    </row>
    <row r="767" spans="1:41" ht="15" customHeight="1">
      <c r="A767" s="255" t="s">
        <v>2454</v>
      </c>
      <c r="B767" s="260">
        <f>'Dry_Litterbag Placem_Collection'!A108</f>
        <v>106</v>
      </c>
      <c r="C767" s="260" t="str">
        <f>'Dry_Litterbag Placem_Collection'!B108</f>
        <v xml:space="preserve">Mwantimba
</v>
      </c>
      <c r="D767" s="260" t="s">
        <v>2454</v>
      </c>
      <c r="E767" s="260" t="s">
        <v>2644</v>
      </c>
      <c r="F767" s="260">
        <v>2</v>
      </c>
      <c r="G767" s="260" t="s">
        <v>3817</v>
      </c>
      <c r="H767" s="261" t="str">
        <f>'Dry_Litterbag Placem_Collection'!C108</f>
        <v>Wet_Ag2_T2</v>
      </c>
      <c r="I767" s="270" t="s">
        <v>3630</v>
      </c>
      <c r="J767" s="271" t="s">
        <v>298</v>
      </c>
      <c r="K767" s="221" t="str">
        <f>'WetLitterbags placem_collection'!Q108</f>
        <v>R593</v>
      </c>
      <c r="L767" s="223">
        <f>IFERROR(INDEX('Green_rooibos initial weight'!$C$5:$C$2000,MATCH(K767, 'Green_rooibos initial weight'!$A$5:$A$2000,0)),"")</f>
        <v>2.2090000000000001</v>
      </c>
      <c r="M767" s="223">
        <f>IFERROR(L767-(TBIcalc!$H$9+TBIcalc!$H$10),"")</f>
        <v>1.9592000000000001</v>
      </c>
      <c r="N767" s="385">
        <f>AVERAGE(Ashed_controlls!$K$2:$K$11)</f>
        <v>5.5147656768714146</v>
      </c>
      <c r="O767" s="223">
        <f t="shared" si="56"/>
        <v>1.8511547108587354</v>
      </c>
      <c r="P767" s="223">
        <f>IFERROR(INDEX('Both teabags AfterWet'!$C$3:$C$840,MATCH(K767,'Both teabags AfterWet'!$A$3:$A$840,0)),"")</f>
        <v>1.7729999999999999</v>
      </c>
      <c r="Q767" s="223">
        <f>IFERROR(IF(P767&gt;0,P767-(TBIcalc!$H$9),""),"")</f>
        <v>1.6223999999999998</v>
      </c>
      <c r="R767" s="223">
        <f>IFERROR(INDEX('Ashed teabags wet'!$K$2:$K$2000,MATCH(K767,'Ashed teabags wet'!$A$2:$A$2000,0)),"")</f>
        <v>5.062034739454969</v>
      </c>
      <c r="S767" s="223">
        <f t="shared" si="57"/>
        <v>1.5402735483870824</v>
      </c>
      <c r="T767" s="224">
        <f>'WetLitterbags placem_collection'!E108</f>
        <v>42762</v>
      </c>
      <c r="U767" s="224">
        <f>IF('WetLitterbags placem_collection'!G108="","",'WetLitterbags placem_collection'!G108)</f>
        <v>42816</v>
      </c>
      <c r="V767" s="225">
        <f t="shared" si="55"/>
        <v>54</v>
      </c>
      <c r="W767" s="223">
        <f t="shared" si="58"/>
        <v>0.33680000000000021</v>
      </c>
      <c r="X767" s="223">
        <f t="shared" si="59"/>
        <v>0.31088116247165298</v>
      </c>
      <c r="Y767">
        <f>IFERROR(INDEX(Rainfall_Wet!$O$2:$O$217,MATCH(B767, Rainfall_Wet!$A$2:$A$217,0)),"")</f>
        <v>206.85140822299999</v>
      </c>
      <c r="Z767" s="228">
        <v>34.344660194174757</v>
      </c>
      <c r="AA767" s="228">
        <v>19.22727272727273</v>
      </c>
      <c r="AB767" s="228">
        <v>46.428067078552509</v>
      </c>
      <c r="AC767" s="229" t="s">
        <v>2654</v>
      </c>
      <c r="AD767" s="228">
        <v>2.7452932479053702</v>
      </c>
      <c r="AE767">
        <f>IF('WetLitterbags placem_collection'!AB108="","",'WetLitterbags placem_collection'!AB108)</f>
        <v>8.6</v>
      </c>
      <c r="AF767">
        <f>IF('WetLitterbags placem_collection'!Z108="","",'WetLitterbags placem_collection'!Z108)</f>
        <v>17</v>
      </c>
      <c r="AG767" s="243" t="str">
        <f>IF('WetLitterbags placem_collection'!AA108="","",'WetLitterbags placem_collection'!AA108)</f>
        <v>M</v>
      </c>
      <c r="AH767">
        <f>IF('WetLitterbags placem_collection'!AC108="","",'WetLitterbags placem_collection'!AC108)</f>
        <v>0</v>
      </c>
      <c r="AI767">
        <f>AVERAGE('WetLitterbags placem_collection'!S108,'WetLitterbags placem_collection'!U108)</f>
        <v>12.4</v>
      </c>
      <c r="AJ767">
        <f>AVERAGE('WetLitterbags placem_collection'!R108,'WetLitterbags placem_collection'!T108)</f>
        <v>32.950000000000003</v>
      </c>
      <c r="AK767">
        <f>INDEX(Coordinates!$B$2:$B$197,MATCH(H767,Coordinates!$J$2:$J$197,0))</f>
        <v>-2.3697620069999998</v>
      </c>
      <c r="AL767">
        <f>INDEX(Coordinates!$C$2:$C$197,MATCH(H767,Coordinates!$J$2:$J$197,0))</f>
        <v>34.059730010000003</v>
      </c>
      <c r="AM767" t="str">
        <f>IF(ISNUMBER(SEARCH("C", 'WetLitterbags placem_collection'!$Y108)),"YES","NO")</f>
        <v>NO</v>
      </c>
      <c r="AN767" t="str">
        <f>IF(ISNUMBER(SEARCH("H", 'WetLitterbags placem_collection'!$Y108)),"YES","NO")</f>
        <v>NO</v>
      </c>
      <c r="AO767" t="str">
        <f>IF(ISNUMBER(SEARCH("R", 'WetLitterbags placem_collection'!$Y108)),"YES","NO")</f>
        <v>YES</v>
      </c>
    </row>
    <row r="768" spans="1:41" ht="15" customHeight="1">
      <c r="A768" s="255" t="s">
        <v>2454</v>
      </c>
      <c r="B768" s="260">
        <f>'Dry_Litterbag Placem_Collection'!A109</f>
        <v>107</v>
      </c>
      <c r="C768" s="260" t="str">
        <f>'Dry_Litterbag Placem_Collection'!B109</f>
        <v xml:space="preserve">Mwantimba
</v>
      </c>
      <c r="D768" s="260" t="s">
        <v>2454</v>
      </c>
      <c r="E768" s="260" t="s">
        <v>2644</v>
      </c>
      <c r="F768" s="260">
        <v>2</v>
      </c>
      <c r="G768" s="260" t="s">
        <v>3817</v>
      </c>
      <c r="H768" s="261" t="str">
        <f>'Dry_Litterbag Placem_Collection'!C109</f>
        <v>Wet_Ag2_T3</v>
      </c>
      <c r="I768" s="270" t="s">
        <v>3630</v>
      </c>
      <c r="J768" s="271" t="s">
        <v>298</v>
      </c>
      <c r="K768" s="221" t="str">
        <f>'WetLitterbags placem_collection'!Q109</f>
        <v>R510</v>
      </c>
      <c r="L768" s="223">
        <f>IFERROR(INDEX('Green_rooibos initial weight'!$C$5:$C$2000,MATCH(K768, 'Green_rooibos initial weight'!$A$5:$A$2000,0)),"")</f>
        <v>2.2349999999999999</v>
      </c>
      <c r="M768" s="223">
        <f>IFERROR(L768-(TBIcalc!$H$9+TBIcalc!$H$10),"")</f>
        <v>1.9851999999999999</v>
      </c>
      <c r="N768" s="385">
        <f>AVERAGE(Ashed_controlls!$K$2:$K$11)</f>
        <v>5.5147656768714146</v>
      </c>
      <c r="O768" s="223">
        <f t="shared" si="56"/>
        <v>1.8757208717827485</v>
      </c>
      <c r="P768" s="223">
        <f>IFERROR(INDEX('Both teabags AfterWet'!$C$3:$C$840,MATCH(K768,'Both teabags AfterWet'!$A$3:$A$840,0)),"")</f>
        <v>1.5944</v>
      </c>
      <c r="Q768" s="223">
        <f>IFERROR(IF(P768&gt;0,P768-(TBIcalc!$H$9),""),"")</f>
        <v>1.4438</v>
      </c>
      <c r="R768" s="223">
        <f>IFERROR(INDEX('Ashed teabags wet'!$K$2:$K$2000,MATCH(K768,'Ashed teabags wet'!$A$2:$A$2000,0)),"")</f>
        <v>5.2605210420842559</v>
      </c>
      <c r="S768" s="223">
        <f t="shared" si="57"/>
        <v>1.3678485971943874</v>
      </c>
      <c r="T768" s="224">
        <f>'WetLitterbags placem_collection'!E109</f>
        <v>42762</v>
      </c>
      <c r="U768" s="224">
        <f>IF('WetLitterbags placem_collection'!G109="","",'WetLitterbags placem_collection'!G109)</f>
        <v>42816</v>
      </c>
      <c r="V768" s="225">
        <f t="shared" si="55"/>
        <v>54</v>
      </c>
      <c r="W768" s="223">
        <f t="shared" si="58"/>
        <v>0.54139999999999988</v>
      </c>
      <c r="X768" s="223">
        <f t="shared" si="59"/>
        <v>0.50787227458836104</v>
      </c>
      <c r="Y768">
        <f>IFERROR(INDEX(Rainfall_Wet!$O$2:$O$217,MATCH(B768, Rainfall_Wet!$A$2:$A$217,0)),"")</f>
        <v>206.85140822299999</v>
      </c>
      <c r="Z768" s="228">
        <v>34.344660194174757</v>
      </c>
      <c r="AA768" s="228">
        <v>19.22727272727273</v>
      </c>
      <c r="AB768" s="228">
        <v>46.428067078552509</v>
      </c>
      <c r="AC768" s="229" t="s">
        <v>2654</v>
      </c>
      <c r="AD768" s="228">
        <v>3.7452932479053702</v>
      </c>
      <c r="AE768">
        <f>IF('WetLitterbags placem_collection'!AB109="","",'WetLitterbags placem_collection'!AB109)</f>
        <v>3.85</v>
      </c>
      <c r="AF768">
        <f>IF('WetLitterbags placem_collection'!Z109="","",'WetLitterbags placem_collection'!Z109)</f>
        <v>15.5</v>
      </c>
      <c r="AG768" s="243" t="str">
        <f>IF('WetLitterbags placem_collection'!AA109="","",'WetLitterbags placem_collection'!AA109)</f>
        <v>M</v>
      </c>
      <c r="AH768">
        <f>IF('WetLitterbags placem_collection'!AC109="","",'WetLitterbags placem_collection'!AC109)</f>
        <v>0</v>
      </c>
      <c r="AI768">
        <f>AVERAGE('WetLitterbags placem_collection'!S109,'WetLitterbags placem_collection'!U109)</f>
        <v>11.299999999999999</v>
      </c>
      <c r="AJ768">
        <f>AVERAGE('WetLitterbags placem_collection'!R109,'WetLitterbags placem_collection'!T109)</f>
        <v>32.450000000000003</v>
      </c>
      <c r="AK768">
        <f>INDEX(Coordinates!$B$2:$B$197,MATCH(H768,Coordinates!$J$2:$J$197,0))</f>
        <v>-2.3698409649999999</v>
      </c>
      <c r="AL768">
        <f>INDEX(Coordinates!$C$2:$C$197,MATCH(H768,Coordinates!$J$2:$J$197,0))</f>
        <v>34.059814000000003</v>
      </c>
      <c r="AM768" t="str">
        <f>IF(ISNUMBER(SEARCH("C", 'WetLitterbags placem_collection'!$Y109)),"YES","NO")</f>
        <v>NO</v>
      </c>
      <c r="AN768" t="str">
        <f>IF(ISNUMBER(SEARCH("H", 'WetLitterbags placem_collection'!$Y109)),"YES","NO")</f>
        <v>NO</v>
      </c>
      <c r="AO768" t="str">
        <f>IF(ISNUMBER(SEARCH("R", 'WetLitterbags placem_collection'!$Y109)),"YES","NO")</f>
        <v>NO</v>
      </c>
    </row>
    <row r="769" spans="1:41" ht="15" customHeight="1">
      <c r="A769" s="255" t="s">
        <v>2454</v>
      </c>
      <c r="B769" s="260">
        <f>'Dry_Litterbag Placem_Collection'!A110</f>
        <v>108</v>
      </c>
      <c r="C769" s="260" t="str">
        <f>'Dry_Litterbag Placem_Collection'!B110</f>
        <v xml:space="preserve">Mwantimba
</v>
      </c>
      <c r="D769" s="260" t="s">
        <v>2454</v>
      </c>
      <c r="E769" s="260" t="s">
        <v>2644</v>
      </c>
      <c r="F769" s="260">
        <v>2</v>
      </c>
      <c r="G769" s="260" t="s">
        <v>3817</v>
      </c>
      <c r="H769" s="261" t="str">
        <f>'Dry_Litterbag Placem_Collection'!C110</f>
        <v>Wet_Ag2_T4</v>
      </c>
      <c r="I769" s="270" t="s">
        <v>3630</v>
      </c>
      <c r="J769" s="271" t="s">
        <v>298</v>
      </c>
      <c r="K769" s="221" t="str">
        <f>'WetLitterbags placem_collection'!Q110</f>
        <v>R509</v>
      </c>
      <c r="L769" s="223">
        <f>IFERROR(INDEX('Green_rooibos initial weight'!$C$5:$C$2000,MATCH(K769, 'Green_rooibos initial weight'!$A$5:$A$2000,0)),"")</f>
        <v>2.161</v>
      </c>
      <c r="M769" s="223">
        <f>IFERROR(L769-(TBIcalc!$H$9+TBIcalc!$H$10),"")</f>
        <v>1.9112</v>
      </c>
      <c r="N769" s="385">
        <f>AVERAGE(Ashed_controlls!$K$2:$K$11)</f>
        <v>5.5147656768714146</v>
      </c>
      <c r="O769" s="223">
        <f t="shared" si="56"/>
        <v>1.8058017983836336</v>
      </c>
      <c r="P769" s="223">
        <f>IFERROR(INDEX('Both teabags AfterWet'!$C$3:$C$840,MATCH(K769,'Both teabags AfterWet'!$A$3:$A$840,0)),"")</f>
        <v>1.6739999999999999</v>
      </c>
      <c r="Q769" s="223">
        <f>IFERROR(IF(P769&gt;0,P769-(TBIcalc!$H$9),""),"")</f>
        <v>1.5233999999999999</v>
      </c>
      <c r="R769" s="223">
        <f>IFERROR(INDEX('Ashed teabags wet'!$K$2:$K$2000,MATCH(K769,'Ashed teabags wet'!$A$2:$A$2000,0)),"")</f>
        <v>5.6567593480338392</v>
      </c>
      <c r="S769" s="223">
        <f t="shared" si="57"/>
        <v>1.4372249280920524</v>
      </c>
      <c r="T769" s="224">
        <f>'WetLitterbags placem_collection'!E110</f>
        <v>42762</v>
      </c>
      <c r="U769" s="224">
        <f>IF('WetLitterbags placem_collection'!G110="","",'WetLitterbags placem_collection'!G110)</f>
        <v>42816</v>
      </c>
      <c r="V769" s="225">
        <f t="shared" si="55"/>
        <v>54</v>
      </c>
      <c r="W769" s="223">
        <f t="shared" si="58"/>
        <v>0.38780000000000014</v>
      </c>
      <c r="X769" s="223">
        <f t="shared" si="59"/>
        <v>0.36857687029158126</v>
      </c>
      <c r="Y769">
        <f>IFERROR(INDEX(Rainfall_Wet!$O$2:$O$217,MATCH(B769, Rainfall_Wet!$A$2:$A$217,0)),"")</f>
        <v>206.85140822299999</v>
      </c>
      <c r="Z769" s="228">
        <v>34.344660194174757</v>
      </c>
      <c r="AA769" s="228">
        <v>19.22727272727273</v>
      </c>
      <c r="AB769" s="228">
        <v>46.428067078552509</v>
      </c>
      <c r="AC769" s="229" t="s">
        <v>2654</v>
      </c>
      <c r="AD769" s="228">
        <v>4.7452932479053702</v>
      </c>
      <c r="AE769">
        <f>IF('WetLitterbags placem_collection'!AB110="","",'WetLitterbags placem_collection'!AB110)</f>
        <v>9.6999999999999993</v>
      </c>
      <c r="AF769">
        <f>IF('WetLitterbags placem_collection'!Z110="","",'WetLitterbags placem_collection'!Z110)</f>
        <v>22.5</v>
      </c>
      <c r="AG769" s="243" t="str">
        <f>IF('WetLitterbags placem_collection'!AA110="","",'WetLitterbags placem_collection'!AA110)</f>
        <v>M</v>
      </c>
      <c r="AH769">
        <f>IF('WetLitterbags placem_collection'!AC110="","",'WetLitterbags placem_collection'!AC110)</f>
        <v>0</v>
      </c>
      <c r="AI769">
        <f>AVERAGE('WetLitterbags placem_collection'!S110,'WetLitterbags placem_collection'!U110)</f>
        <v>15.1</v>
      </c>
      <c r="AJ769">
        <f>AVERAGE('WetLitterbags placem_collection'!R110,'WetLitterbags placem_collection'!T110)</f>
        <v>31.55</v>
      </c>
      <c r="AK769">
        <f>INDEX(Coordinates!$B$2:$B$197,MATCH(H769,Coordinates!$J$2:$J$197,0))</f>
        <v>-2.3698620030000002</v>
      </c>
      <c r="AL769">
        <f>INDEX(Coordinates!$C$2:$C$197,MATCH(H769,Coordinates!$J$2:$J$197,0))</f>
        <v>34.059759020000001</v>
      </c>
      <c r="AM769" t="str">
        <f>IF(ISNUMBER(SEARCH("C", 'WetLitterbags placem_collection'!$Y110)),"YES","NO")</f>
        <v>NO</v>
      </c>
      <c r="AN769" t="str">
        <f>IF(ISNUMBER(SEARCH("H", 'WetLitterbags placem_collection'!$Y110)),"YES","NO")</f>
        <v>NO</v>
      </c>
      <c r="AO769" t="str">
        <f>IF(ISNUMBER(SEARCH("R", 'WetLitterbags placem_collection'!$Y110)),"YES","NO")</f>
        <v>YES</v>
      </c>
    </row>
    <row r="770" spans="1:41" ht="15" customHeight="1">
      <c r="A770" s="255" t="s">
        <v>2454</v>
      </c>
      <c r="B770" s="260">
        <f>'Dry_Litterbag Placem_Collection'!A111</f>
        <v>109</v>
      </c>
      <c r="C770" s="260" t="str">
        <f>'Dry_Litterbag Placem_Collection'!B111</f>
        <v xml:space="preserve">Mwantimba
</v>
      </c>
      <c r="D770" s="260" t="s">
        <v>2454</v>
      </c>
      <c r="E770" s="260" t="s">
        <v>2644</v>
      </c>
      <c r="F770" s="260">
        <v>2</v>
      </c>
      <c r="G770" s="260" t="s">
        <v>3817</v>
      </c>
      <c r="H770" s="261" t="str">
        <f>'Dry_Litterbag Placem_Collection'!C111</f>
        <v>Wet_Ag2_T5</v>
      </c>
      <c r="I770" s="270" t="s">
        <v>3630</v>
      </c>
      <c r="J770" s="271" t="s">
        <v>298</v>
      </c>
      <c r="K770" s="221" t="str">
        <f>'WetLitterbags placem_collection'!Q111</f>
        <v>R33</v>
      </c>
      <c r="L770" s="223">
        <f>IFERROR(INDEX('Green_rooibos initial weight'!$C$5:$C$2000,MATCH(K770, 'Green_rooibos initial weight'!$A$5:$A$2000,0)),"")</f>
        <v>2.1989999999999998</v>
      </c>
      <c r="M770" s="223">
        <f>IFERROR(L770-(TBIcalc!$H$9+TBIcalc!$H$10),"")</f>
        <v>1.9491999999999998</v>
      </c>
      <c r="N770" s="385">
        <f>AVERAGE(Ashed_controlls!$K$2:$K$11)</f>
        <v>5.5147656768714146</v>
      </c>
      <c r="O770" s="223">
        <f t="shared" si="56"/>
        <v>1.8417061874264222</v>
      </c>
      <c r="P770" s="223">
        <f>IFERROR(INDEX('Both teabags AfterWet'!$C$3:$C$840,MATCH(K770,'Both teabags AfterWet'!$A$3:$A$840,0)),"")</f>
        <v>1.5922000000000001</v>
      </c>
      <c r="Q770" s="223">
        <f>IFERROR(IF(P770&gt;0,P770-(TBIcalc!$H$9),""),"")</f>
        <v>1.4416</v>
      </c>
      <c r="R770" s="223">
        <f>IFERROR(INDEX('Ashed teabags wet'!$K$2:$K$2000,MATCH(K770,'Ashed teabags wet'!$A$2:$A$2000,0)),"")</f>
        <v>7.2896281800392453</v>
      </c>
      <c r="S770" s="223">
        <f t="shared" si="57"/>
        <v>1.3365127201565543</v>
      </c>
      <c r="T770" s="224">
        <f>'WetLitterbags placem_collection'!E111</f>
        <v>42762</v>
      </c>
      <c r="U770" s="224">
        <f>IF('WetLitterbags placem_collection'!G111="","",'WetLitterbags placem_collection'!G111)</f>
        <v>42816</v>
      </c>
      <c r="V770" s="225">
        <f t="shared" ref="V770:V833" si="60">IFERROR(U770-T770,"")</f>
        <v>54</v>
      </c>
      <c r="W770" s="223">
        <f t="shared" si="58"/>
        <v>0.50759999999999983</v>
      </c>
      <c r="X770" s="223">
        <f t="shared" si="59"/>
        <v>0.50519346726986791</v>
      </c>
      <c r="Y770">
        <f>IFERROR(INDEX(Rainfall_Wet!$O$2:$O$217,MATCH(B770, Rainfall_Wet!$A$2:$A$217,0)),"")</f>
        <v>206.85140822299999</v>
      </c>
      <c r="Z770" s="228">
        <v>34.344660194174757</v>
      </c>
      <c r="AA770" s="228">
        <v>19.22727272727273</v>
      </c>
      <c r="AB770" s="228">
        <v>46.428067078552509</v>
      </c>
      <c r="AC770" s="229" t="s">
        <v>2654</v>
      </c>
      <c r="AD770" s="228">
        <v>5.7452932479053702</v>
      </c>
      <c r="AE770">
        <f>IF('WetLitterbags placem_collection'!AB111="","",'WetLitterbags placem_collection'!AB111)</f>
        <v>10.5</v>
      </c>
      <c r="AF770">
        <f>IF('WetLitterbags placem_collection'!Z111="","",'WetLitterbags placem_collection'!Z111)</f>
        <v>22.5</v>
      </c>
      <c r="AG770" s="243" t="str">
        <f>IF('WetLitterbags placem_collection'!AA111="","",'WetLitterbags placem_collection'!AA111)</f>
        <v>M</v>
      </c>
      <c r="AH770">
        <f>IF('WetLitterbags placem_collection'!AC111="","",'WetLitterbags placem_collection'!AC111)</f>
        <v>0</v>
      </c>
      <c r="AI770">
        <f>AVERAGE('WetLitterbags placem_collection'!S111,'WetLitterbags placem_collection'!U111)</f>
        <v>9</v>
      </c>
      <c r="AJ770">
        <f>AVERAGE('WetLitterbags placem_collection'!R111,'WetLitterbags placem_collection'!T111)</f>
        <v>33.5</v>
      </c>
      <c r="AK770">
        <f>INDEX(Coordinates!$B$2:$B$197,MATCH(H770,Coordinates!$J$2:$J$197,0))</f>
        <v>-2.3698390370000002</v>
      </c>
      <c r="AL770">
        <f>INDEX(Coordinates!$C$2:$C$197,MATCH(H770,Coordinates!$J$2:$J$197,0))</f>
        <v>34.059714</v>
      </c>
      <c r="AM770" t="str">
        <f>IF(ISNUMBER(SEARCH("C", 'WetLitterbags placem_collection'!$Y111)),"YES","NO")</f>
        <v>NO</v>
      </c>
      <c r="AN770" t="str">
        <f>IF(ISNUMBER(SEARCH("H", 'WetLitterbags placem_collection'!$Y111)),"YES","NO")</f>
        <v>NO</v>
      </c>
      <c r="AO770" t="str">
        <f>IF(ISNUMBER(SEARCH("R", 'WetLitterbags placem_collection'!$Y111)),"YES","NO")</f>
        <v>NO</v>
      </c>
    </row>
    <row r="771" spans="1:41" ht="15" customHeight="1">
      <c r="A771" s="255" t="s">
        <v>2454</v>
      </c>
      <c r="B771" s="260">
        <f>'Dry_Litterbag Placem_Collection'!A112</f>
        <v>110</v>
      </c>
      <c r="C771" s="260" t="str">
        <f>'Dry_Litterbag Placem_Collection'!B112</f>
        <v xml:space="preserve">Mwantimba
</v>
      </c>
      <c r="D771" s="260" t="s">
        <v>2454</v>
      </c>
      <c r="E771" s="260" t="s">
        <v>2644</v>
      </c>
      <c r="F771" s="260">
        <v>2</v>
      </c>
      <c r="G771" s="260" t="s">
        <v>3817</v>
      </c>
      <c r="H771" s="261" t="str">
        <f>'Dry_Litterbag Placem_Collection'!C112</f>
        <v>Wet_Ag2_T6</v>
      </c>
      <c r="I771" s="270" t="s">
        <v>3630</v>
      </c>
      <c r="J771" s="271" t="s">
        <v>298</v>
      </c>
      <c r="K771" s="221" t="str">
        <f>'WetLitterbags placem_collection'!Q112</f>
        <v>R54</v>
      </c>
      <c r="L771" s="223">
        <f>IFERROR(INDEX('Green_rooibos initial weight'!$C$5:$C$2000,MATCH(K771, 'Green_rooibos initial weight'!$A$5:$A$2000,0)),"")</f>
        <v>2.2069999999999999</v>
      </c>
      <c r="M771" s="223">
        <f>IFERROR(L771-(TBIcalc!$H$9+TBIcalc!$H$10),"")</f>
        <v>1.9571999999999998</v>
      </c>
      <c r="N771" s="385">
        <f>AVERAGE(Ashed_controlls!$K$2:$K$11)</f>
        <v>5.5147656768714146</v>
      </c>
      <c r="O771" s="223">
        <f t="shared" ref="O771:O834" si="61">IFERROR(M771-(N771/100)*M771,"")</f>
        <v>1.8492650061722724</v>
      </c>
      <c r="P771" s="223">
        <f>IFERROR(INDEX('Both teabags AfterWet'!$C$3:$C$840,MATCH(K771,'Both teabags AfterWet'!$A$3:$A$840,0)),"")</f>
        <v>1.4870000000000001</v>
      </c>
      <c r="Q771" s="223">
        <f>IFERROR(IF(P771&gt;0,P771-(TBIcalc!$H$9),""),"")</f>
        <v>1.3364</v>
      </c>
      <c r="R771" s="223">
        <f>IFERROR(INDEX('Ashed teabags wet'!$K$2:$K$2000,MATCH(K771,'Ashed teabags wet'!$A$2:$A$2000,0)),"")</f>
        <v>4.8934108527127869</v>
      </c>
      <c r="S771" s="223">
        <f t="shared" ref="S771:S834" si="62">IFERROR(Q771-(R771/100)*Q771,"")</f>
        <v>1.2710044573643464</v>
      </c>
      <c r="T771" s="224">
        <f>'WetLitterbags placem_collection'!E112</f>
        <v>42762</v>
      </c>
      <c r="U771" s="224">
        <f>IF('WetLitterbags placem_collection'!G112="","",'WetLitterbags placem_collection'!G112)</f>
        <v>42816</v>
      </c>
      <c r="V771" s="225">
        <f t="shared" si="60"/>
        <v>54</v>
      </c>
      <c r="W771" s="223">
        <f t="shared" ref="W771:W834" si="63">IFERROR(M771-Q771,"")</f>
        <v>0.6207999999999998</v>
      </c>
      <c r="X771" s="223">
        <f t="shared" ref="X771:X834" si="64">IFERROR(O771-S771,"")</f>
        <v>0.57826054880792599</v>
      </c>
      <c r="Y771">
        <f>IFERROR(INDEX(Rainfall_Wet!$O$2:$O$217,MATCH(B771, Rainfall_Wet!$A$2:$A$217,0)),"")</f>
        <v>206.85140822299999</v>
      </c>
      <c r="Z771" s="228">
        <v>34.344660194174757</v>
      </c>
      <c r="AA771" s="228">
        <v>19.22727272727273</v>
      </c>
      <c r="AB771" s="228">
        <v>46.428067078552509</v>
      </c>
      <c r="AC771" s="229" t="s">
        <v>2654</v>
      </c>
      <c r="AD771" s="228">
        <v>6.7452932479053702</v>
      </c>
      <c r="AE771">
        <f>IF('WetLitterbags placem_collection'!AB112="","",'WetLitterbags placem_collection'!AB112)</f>
        <v>5.75</v>
      </c>
      <c r="AF771">
        <f>IF('WetLitterbags placem_collection'!Z112="","",'WetLitterbags placem_collection'!Z112)</f>
        <v>22.5</v>
      </c>
      <c r="AG771" s="243" t="str">
        <f>IF('WetLitterbags placem_collection'!AA112="","",'WetLitterbags placem_collection'!AA112)</f>
        <v>M</v>
      </c>
      <c r="AH771">
        <f>IF('WetLitterbags placem_collection'!AC112="","",'WetLitterbags placem_collection'!AC112)</f>
        <v>0</v>
      </c>
      <c r="AI771">
        <f>AVERAGE('WetLitterbags placem_collection'!S112,'WetLitterbags placem_collection'!U112)</f>
        <v>16.950000000000003</v>
      </c>
      <c r="AJ771">
        <f>AVERAGE('WetLitterbags placem_collection'!R112,'WetLitterbags placem_collection'!T112)</f>
        <v>30.5</v>
      </c>
      <c r="AK771">
        <f>INDEX(Coordinates!$B$2:$B$197,MATCH(H771,Coordinates!$J$2:$J$197,0))</f>
        <v>-2.3697549659999999</v>
      </c>
      <c r="AL771">
        <f>INDEX(Coordinates!$C$2:$C$197,MATCH(H771,Coordinates!$J$2:$J$197,0))</f>
        <v>34.059668989999999</v>
      </c>
      <c r="AM771" t="str">
        <f>IF(ISNUMBER(SEARCH("C", 'WetLitterbags placem_collection'!$Y112)),"YES","NO")</f>
        <v>NO</v>
      </c>
      <c r="AN771" t="str">
        <f>IF(ISNUMBER(SEARCH("H", 'WetLitterbags placem_collection'!$Y112)),"YES","NO")</f>
        <v>NO</v>
      </c>
      <c r="AO771" t="str">
        <f>IF(ISNUMBER(SEARCH("R", 'WetLitterbags placem_collection'!$Y112)),"YES","NO")</f>
        <v>YES</v>
      </c>
    </row>
    <row r="772" spans="1:41" ht="15" customHeight="1">
      <c r="A772" s="255" t="s">
        <v>2454</v>
      </c>
      <c r="B772" s="260">
        <f>'Dry_Litterbag Placem_Collection'!A113</f>
        <v>111</v>
      </c>
      <c r="C772" s="260" t="str">
        <f>'Dry_Litterbag Placem_Collection'!B113</f>
        <v xml:space="preserve">Mwantimba
</v>
      </c>
      <c r="D772" s="260" t="s">
        <v>2454</v>
      </c>
      <c r="E772" s="260" t="s">
        <v>2644</v>
      </c>
      <c r="F772" s="260">
        <v>2</v>
      </c>
      <c r="G772" s="260" t="s">
        <v>3817</v>
      </c>
      <c r="H772" s="261" t="str">
        <f>'Dry_Litterbag Placem_Collection'!C113</f>
        <v>Wet_Ag2_T7</v>
      </c>
      <c r="I772" s="270" t="s">
        <v>3630</v>
      </c>
      <c r="J772" s="271" t="s">
        <v>298</v>
      </c>
      <c r="K772" s="221" t="str">
        <f>'WetLitterbags placem_collection'!Q113</f>
        <v>R487</v>
      </c>
      <c r="L772" s="223">
        <f>IFERROR(INDEX('Green_rooibos initial weight'!$C$5:$C$2000,MATCH(K772, 'Green_rooibos initial weight'!$A$5:$A$2000,0)),"")</f>
        <v>2.222</v>
      </c>
      <c r="M772" s="223">
        <f>IFERROR(L772-(TBIcalc!$H$9+TBIcalc!$H$10),"")</f>
        <v>1.9722</v>
      </c>
      <c r="N772" s="385">
        <f>AVERAGE(Ashed_controlls!$K$2:$K$11)</f>
        <v>5.5147656768714146</v>
      </c>
      <c r="O772" s="223">
        <f t="shared" si="61"/>
        <v>1.8634377913207418</v>
      </c>
      <c r="P772" s="223">
        <f>IFERROR(INDEX('Both teabags AfterWet'!$C$3:$C$840,MATCH(K772,'Both teabags AfterWet'!$A$3:$A$840,0)),"")</f>
        <v>1.609</v>
      </c>
      <c r="Q772" s="223">
        <f>IFERROR(IF(P772&gt;0,P772-(TBIcalc!$H$9),""),"")</f>
        <v>1.4583999999999999</v>
      </c>
      <c r="R772" s="223">
        <f>IFERROR(INDEX('Ashed teabags wet'!$K$2:$K$2000,MATCH(K772,'Ashed teabags wet'!$A$2:$A$2000,0)),"")</f>
        <v>6.2961141170683206</v>
      </c>
      <c r="S772" s="223">
        <f t="shared" si="62"/>
        <v>1.3665774717166754</v>
      </c>
      <c r="T772" s="224">
        <f>'WetLitterbags placem_collection'!E113</f>
        <v>42762</v>
      </c>
      <c r="U772" s="224">
        <f>IF('WetLitterbags placem_collection'!G113="","",'WetLitterbags placem_collection'!G113)</f>
        <v>42816</v>
      </c>
      <c r="V772" s="225">
        <f t="shared" si="60"/>
        <v>54</v>
      </c>
      <c r="W772" s="223">
        <f t="shared" si="63"/>
        <v>0.51380000000000003</v>
      </c>
      <c r="X772" s="223">
        <f t="shared" si="64"/>
        <v>0.4968603196040664</v>
      </c>
      <c r="Y772">
        <f>IFERROR(INDEX(Rainfall_Wet!$O$2:$O$217,MATCH(B772, Rainfall_Wet!$A$2:$A$217,0)),"")</f>
        <v>206.85140822299999</v>
      </c>
      <c r="Z772" s="228">
        <v>34.344660194174757</v>
      </c>
      <c r="AA772" s="228">
        <v>19.22727272727273</v>
      </c>
      <c r="AB772" s="228">
        <v>46.428067078552509</v>
      </c>
      <c r="AC772" s="229" t="s">
        <v>2654</v>
      </c>
      <c r="AD772" s="228">
        <v>7.7452932479053702</v>
      </c>
      <c r="AE772">
        <f>IF('WetLitterbags placem_collection'!AB113="","",'WetLitterbags placem_collection'!AB113)</f>
        <v>6.1</v>
      </c>
      <c r="AF772">
        <f>IF('WetLitterbags placem_collection'!Z113="","",'WetLitterbags placem_collection'!Z113)</f>
        <v>26</v>
      </c>
      <c r="AG772" s="243" t="str">
        <f>IF('WetLitterbags placem_collection'!AA113="","",'WetLitterbags placem_collection'!AA113)</f>
        <v>M</v>
      </c>
      <c r="AH772">
        <f>IF('WetLitterbags placem_collection'!AC113="","",'WetLitterbags placem_collection'!AC113)</f>
        <v>0</v>
      </c>
      <c r="AI772">
        <f>AVERAGE('WetLitterbags placem_collection'!S113,'WetLitterbags placem_collection'!U113)</f>
        <v>11.1</v>
      </c>
      <c r="AJ772">
        <f>AVERAGE('WetLitterbags placem_collection'!R113,'WetLitterbags placem_collection'!T113)</f>
        <v>32.65</v>
      </c>
      <c r="AK772">
        <f>INDEX(Coordinates!$B$2:$B$197,MATCH(H772,Coordinates!$J$2:$J$197,0))</f>
        <v>-2.3697330060000001</v>
      </c>
      <c r="AL772">
        <f>INDEX(Coordinates!$C$2:$C$197,MATCH(H772,Coordinates!$J$2:$J$197,0))</f>
        <v>34.059615010000002</v>
      </c>
      <c r="AM772" t="str">
        <f>IF(ISNUMBER(SEARCH("C", 'WetLitterbags placem_collection'!$Y113)),"YES","NO")</f>
        <v>NO</v>
      </c>
      <c r="AN772" t="str">
        <f>IF(ISNUMBER(SEARCH("H", 'WetLitterbags placem_collection'!$Y113)),"YES","NO")</f>
        <v>NO</v>
      </c>
      <c r="AO772" t="str">
        <f>IF(ISNUMBER(SEARCH("R", 'WetLitterbags placem_collection'!$Y113)),"YES","NO")</f>
        <v>NO</v>
      </c>
    </row>
    <row r="773" spans="1:41" ht="15" customHeight="1">
      <c r="A773" s="255" t="s">
        <v>2454</v>
      </c>
      <c r="B773" s="260">
        <f>'Dry_Litterbag Placem_Collection'!A114</f>
        <v>112</v>
      </c>
      <c r="C773" s="260" t="str">
        <f>'Dry_Litterbag Placem_Collection'!B114</f>
        <v xml:space="preserve">Mwantimba
</v>
      </c>
      <c r="D773" s="260" t="s">
        <v>2454</v>
      </c>
      <c r="E773" s="260" t="s">
        <v>2644</v>
      </c>
      <c r="F773" s="260">
        <v>2</v>
      </c>
      <c r="G773" s="260" t="s">
        <v>3817</v>
      </c>
      <c r="H773" s="261" t="str">
        <f>'Dry_Litterbag Placem_Collection'!C114</f>
        <v>Wet_Ag2_T8</v>
      </c>
      <c r="I773" s="270" t="s">
        <v>3630</v>
      </c>
      <c r="J773" s="271" t="s">
        <v>298</v>
      </c>
      <c r="K773" s="221" t="str">
        <f>'WetLitterbags placem_collection'!Q114</f>
        <v>R530</v>
      </c>
      <c r="L773" s="223">
        <f>IFERROR(INDEX('Green_rooibos initial weight'!$C$5:$C$2000,MATCH(K773, 'Green_rooibos initial weight'!$A$5:$A$2000,0)),"")</f>
        <v>2.1659999999999999</v>
      </c>
      <c r="M773" s="223">
        <f>IFERROR(L773-(TBIcalc!$H$9+TBIcalc!$H$10),"")</f>
        <v>1.9161999999999999</v>
      </c>
      <c r="N773" s="385">
        <f>AVERAGE(Ashed_controlls!$K$2:$K$11)</f>
        <v>5.5147656768714146</v>
      </c>
      <c r="O773" s="223">
        <f t="shared" si="61"/>
        <v>1.8105260600997899</v>
      </c>
      <c r="P773" s="223">
        <f>IFERROR(INDEX('Both teabags AfterWet'!$C$3:$C$840,MATCH(K773,'Both teabags AfterWet'!$A$3:$A$840,0)),"")</f>
        <v>1.627</v>
      </c>
      <c r="Q773" s="223">
        <f>IFERROR(IF(P773&gt;0,P773-(TBIcalc!$H$9),""),"")</f>
        <v>1.4763999999999999</v>
      </c>
      <c r="R773" s="223">
        <f>IFERROR(INDEX('Ashed teabags wet'!$K$2:$K$2000,MATCH(K773,'Ashed teabags wet'!$A$2:$A$2000,0)),"")</f>
        <v>4.6511627906973203</v>
      </c>
      <c r="S773" s="223">
        <f t="shared" si="62"/>
        <v>1.4077302325581447</v>
      </c>
      <c r="T773" s="224">
        <f>'WetLitterbags placem_collection'!E114</f>
        <v>42762</v>
      </c>
      <c r="U773" s="224">
        <f>IF('WetLitterbags placem_collection'!G114="","",'WetLitterbags placem_collection'!G114)</f>
        <v>42816</v>
      </c>
      <c r="V773" s="225">
        <f t="shared" si="60"/>
        <v>54</v>
      </c>
      <c r="W773" s="223">
        <f t="shared" si="63"/>
        <v>0.43979999999999997</v>
      </c>
      <c r="X773" s="223">
        <f t="shared" si="64"/>
        <v>0.40279582754164522</v>
      </c>
      <c r="Y773">
        <f>IFERROR(INDEX(Rainfall_Wet!$O$2:$O$217,MATCH(B773, Rainfall_Wet!$A$2:$A$217,0)),"")</f>
        <v>206.85140822299999</v>
      </c>
      <c r="Z773" s="228">
        <v>34.344660194174757</v>
      </c>
      <c r="AA773" s="228">
        <v>19.22727272727273</v>
      </c>
      <c r="AB773" s="228">
        <v>46.428067078552509</v>
      </c>
      <c r="AC773" s="229" t="s">
        <v>2654</v>
      </c>
      <c r="AD773" s="228">
        <v>8.7452932479053693</v>
      </c>
      <c r="AE773">
        <f>IF('WetLitterbags placem_collection'!AB114="","",'WetLitterbags placem_collection'!AB114)</f>
        <v>11.5</v>
      </c>
      <c r="AF773">
        <f>IF('WetLitterbags placem_collection'!Z114="","",'WetLitterbags placem_collection'!Z114)</f>
        <v>15</v>
      </c>
      <c r="AG773" s="243" t="str">
        <f>IF('WetLitterbags placem_collection'!AA114="","",'WetLitterbags placem_collection'!AA114)</f>
        <v>M</v>
      </c>
      <c r="AH773">
        <f>IF('WetLitterbags placem_collection'!AC114="","",'WetLitterbags placem_collection'!AC114)</f>
        <v>0</v>
      </c>
      <c r="AI773">
        <f>AVERAGE('WetLitterbags placem_collection'!S114,'WetLitterbags placem_collection'!U114)</f>
        <v>15.2</v>
      </c>
      <c r="AJ773">
        <f>AVERAGE('WetLitterbags placem_collection'!R114,'WetLitterbags placem_collection'!T114)</f>
        <v>31.450000000000003</v>
      </c>
      <c r="AK773">
        <f>INDEX(Coordinates!$B$2:$B$197,MATCH(H773,Coordinates!$J$2:$J$197,0))</f>
        <v>-2.36967098</v>
      </c>
      <c r="AL773">
        <f>INDEX(Coordinates!$C$2:$C$197,MATCH(H773,Coordinates!$J$2:$J$197,0))</f>
        <v>34.059735959999998</v>
      </c>
      <c r="AM773" t="str">
        <f>IF(ISNUMBER(SEARCH("C", 'WetLitterbags placem_collection'!$Y114)),"YES","NO")</f>
        <v>NO</v>
      </c>
      <c r="AN773" t="str">
        <f>IF(ISNUMBER(SEARCH("H", 'WetLitterbags placem_collection'!$Y114)),"YES","NO")</f>
        <v>NO</v>
      </c>
      <c r="AO773" t="str">
        <f>IF(ISNUMBER(SEARCH("R", 'WetLitterbags placem_collection'!$Y114)),"YES","NO")</f>
        <v>NO</v>
      </c>
    </row>
    <row r="774" spans="1:41" ht="15" customHeight="1">
      <c r="A774" s="255" t="s">
        <v>2454</v>
      </c>
      <c r="B774" s="260">
        <f>'Dry_Litterbag Placem_Collection'!A115</f>
        <v>113</v>
      </c>
      <c r="C774" s="260" t="str">
        <f>'Dry_Litterbag Placem_Collection'!B115</f>
        <v xml:space="preserve">Mwantimba
</v>
      </c>
      <c r="D774" s="260" t="s">
        <v>2454</v>
      </c>
      <c r="E774" s="260" t="s">
        <v>2644</v>
      </c>
      <c r="F774" s="260">
        <v>3</v>
      </c>
      <c r="G774" s="260" t="s">
        <v>3818</v>
      </c>
      <c r="H774" s="261" t="str">
        <f>'Dry_Litterbag Placem_Collection'!C115</f>
        <v>Wet_Ag3_T1</v>
      </c>
      <c r="I774" s="270" t="s">
        <v>3630</v>
      </c>
      <c r="J774" s="271" t="s">
        <v>298</v>
      </c>
      <c r="K774" s="221" t="str">
        <f>'WetLitterbags placem_collection'!Q115</f>
        <v>R578</v>
      </c>
      <c r="L774" s="223">
        <f>IFERROR(INDEX('Green_rooibos initial weight'!$C$5:$C$2000,MATCH(K774, 'Green_rooibos initial weight'!$A$5:$A$2000,0)),"")</f>
        <v>2.1259999999999999</v>
      </c>
      <c r="M774" s="223">
        <f>IFERROR(L774-(TBIcalc!$H$9+TBIcalc!$H$10),"")</f>
        <v>1.8761999999999999</v>
      </c>
      <c r="N774" s="385">
        <f>AVERAGE(Ashed_controlls!$K$2:$K$11)</f>
        <v>5.5147656768714146</v>
      </c>
      <c r="O774" s="223">
        <f t="shared" si="61"/>
        <v>1.7727319663705383</v>
      </c>
      <c r="P774" s="223">
        <f>IFERROR(INDEX('Both teabags AfterWet'!$C$3:$C$840,MATCH(K774,'Both teabags AfterWet'!$A$3:$A$840,0)),"")</f>
        <v>1.421</v>
      </c>
      <c r="Q774" s="223">
        <f>IFERROR(IF(P774&gt;0,P774-(TBIcalc!$H$9),""),"")</f>
        <v>1.2704</v>
      </c>
      <c r="R774" s="223">
        <f>IFERROR(INDEX('Ashed teabags wet'!$K$2:$K$2000,MATCH(K774,'Ashed teabags wet'!$A$2:$A$2000,0)),"")</f>
        <v>12.371134020618721</v>
      </c>
      <c r="S774" s="223">
        <f t="shared" si="62"/>
        <v>1.1132371134020598</v>
      </c>
      <c r="T774" s="224">
        <f>'WetLitterbags placem_collection'!E115</f>
        <v>42762</v>
      </c>
      <c r="U774" s="224">
        <f>IF('WetLitterbags placem_collection'!G115="","",'WetLitterbags placem_collection'!G115)</f>
        <v>42816</v>
      </c>
      <c r="V774" s="225">
        <f t="shared" si="60"/>
        <v>54</v>
      </c>
      <c r="W774" s="223">
        <f t="shared" si="63"/>
        <v>0.60579999999999989</v>
      </c>
      <c r="X774" s="223">
        <f t="shared" si="64"/>
        <v>0.65949485296847854</v>
      </c>
      <c r="Y774">
        <f>IFERROR(INDEX(Rainfall_Wet!$O$2:$O$217,MATCH(B774, Rainfall_Wet!$A$2:$A$217,0)),"")</f>
        <v>206.85140822299999</v>
      </c>
      <c r="Z774" s="228">
        <v>27.96</v>
      </c>
      <c r="AA774" s="228">
        <v>4.9200000000000017</v>
      </c>
      <c r="AB774" s="228">
        <v>67.12</v>
      </c>
      <c r="AC774" s="229" t="s">
        <v>2654</v>
      </c>
      <c r="AD774" s="228">
        <v>0.88610152784622953</v>
      </c>
      <c r="AE774">
        <f>IF('WetLitterbags placem_collection'!AB115="","",'WetLitterbags placem_collection'!AB115)</f>
        <v>26</v>
      </c>
      <c r="AF774">
        <f>IF('WetLitterbags placem_collection'!Z115="","",'WetLitterbags placem_collection'!Z115)</f>
        <v>88.5</v>
      </c>
      <c r="AG774" s="243" t="str">
        <f>IF('WetLitterbags placem_collection'!AA115="","",'WetLitterbags placem_collection'!AA115)</f>
        <v>G</v>
      </c>
      <c r="AH774">
        <f>IF('WetLitterbags placem_collection'!AC115="","",'WetLitterbags placem_collection'!AC115)</f>
        <v>0</v>
      </c>
      <c r="AI774">
        <f>AVERAGE('WetLitterbags placem_collection'!S115,'WetLitterbags placem_collection'!U115)</f>
        <v>8.6999999999999993</v>
      </c>
      <c r="AJ774">
        <f>AVERAGE('WetLitterbags placem_collection'!R115,'WetLitterbags placem_collection'!T115)</f>
        <v>32.4</v>
      </c>
      <c r="AK774">
        <f>INDEX(Coordinates!$B$2:$B$197,MATCH(H774,Coordinates!$J$2:$J$197,0))</f>
        <v>-2.3487199940000001</v>
      </c>
      <c r="AL774">
        <f>INDEX(Coordinates!$C$2:$C$197,MATCH(H774,Coordinates!$J$2:$J$197,0))</f>
        <v>34.051391029999998</v>
      </c>
      <c r="AM774" t="str">
        <f>IF(ISNUMBER(SEARCH("C", 'WetLitterbags placem_collection'!$Y115)),"YES","NO")</f>
        <v>NO</v>
      </c>
      <c r="AN774" t="str">
        <f>IF(ISNUMBER(SEARCH("H", 'WetLitterbags placem_collection'!$Y115)),"YES","NO")</f>
        <v>NO</v>
      </c>
      <c r="AO774" t="str">
        <f>IF(ISNUMBER(SEARCH("R", 'WetLitterbags placem_collection'!$Y115)),"YES","NO")</f>
        <v>YES</v>
      </c>
    </row>
    <row r="775" spans="1:41" ht="15" customHeight="1">
      <c r="A775" s="255" t="s">
        <v>2454</v>
      </c>
      <c r="B775" s="260">
        <f>'Dry_Litterbag Placem_Collection'!A116</f>
        <v>114</v>
      </c>
      <c r="C775" s="260" t="str">
        <f>'Dry_Litterbag Placem_Collection'!B116</f>
        <v xml:space="preserve">Mwantimba
</v>
      </c>
      <c r="D775" s="260" t="s">
        <v>2454</v>
      </c>
      <c r="E775" s="260" t="s">
        <v>2644</v>
      </c>
      <c r="F775" s="260">
        <v>3</v>
      </c>
      <c r="G775" s="260" t="s">
        <v>3818</v>
      </c>
      <c r="H775" s="261" t="str">
        <f>'Dry_Litterbag Placem_Collection'!C116</f>
        <v>Wet_Ag3_T2</v>
      </c>
      <c r="I775" s="270" t="s">
        <v>3630</v>
      </c>
      <c r="J775" s="271" t="s">
        <v>298</v>
      </c>
      <c r="K775" s="221" t="str">
        <f>'WetLitterbags placem_collection'!Q116</f>
        <v>R37</v>
      </c>
      <c r="L775" s="223">
        <f>IFERROR(INDEX('Green_rooibos initial weight'!$C$5:$C$2000,MATCH(K775, 'Green_rooibos initial weight'!$A$5:$A$2000,0)),"")</f>
        <v>2.0979999999999999</v>
      </c>
      <c r="M775" s="223">
        <f>IFERROR(L775-(TBIcalc!$H$9+TBIcalc!$H$10),"")</f>
        <v>1.8481999999999998</v>
      </c>
      <c r="N775" s="385">
        <f>AVERAGE(Ashed_controlls!$K$2:$K$11)</f>
        <v>5.5147656768714146</v>
      </c>
      <c r="O775" s="223">
        <f t="shared" si="61"/>
        <v>1.7462761007600625</v>
      </c>
      <c r="P775" s="223">
        <f>IFERROR(INDEX('Both teabags AfterWet'!$C$3:$C$840,MATCH(K775,'Both teabags AfterWet'!$A$3:$A$840,0)),"")</f>
        <v>1.504</v>
      </c>
      <c r="Q775" s="223">
        <f>IFERROR(IF(P775&gt;0,P775-(TBIcalc!$H$9),""),"")</f>
        <v>1.3533999999999999</v>
      </c>
      <c r="R775" s="223">
        <f>IFERROR(INDEX('Ashed teabags wet'!$K$2:$K$2000,MATCH(K775,'Ashed teabags wet'!$A$2:$A$2000,0)),"")</f>
        <v>11.717576364547087</v>
      </c>
      <c r="S775" s="223">
        <f t="shared" si="62"/>
        <v>1.1948143214822196</v>
      </c>
      <c r="T775" s="224">
        <f>'WetLitterbags placem_collection'!E116</f>
        <v>42762</v>
      </c>
      <c r="U775" s="224">
        <f>IF('WetLitterbags placem_collection'!G116="","",'WetLitterbags placem_collection'!G116)</f>
        <v>42816</v>
      </c>
      <c r="V775" s="225">
        <f t="shared" si="60"/>
        <v>54</v>
      </c>
      <c r="W775" s="223">
        <f t="shared" si="63"/>
        <v>0.49479999999999991</v>
      </c>
      <c r="X775" s="223">
        <f t="shared" si="64"/>
        <v>0.5514617792778429</v>
      </c>
      <c r="Y775">
        <f>IFERROR(INDEX(Rainfall_Wet!$O$2:$O$217,MATCH(B775, Rainfall_Wet!$A$2:$A$217,0)),"")</f>
        <v>206.85140822299999</v>
      </c>
      <c r="Z775" s="228">
        <v>27.96</v>
      </c>
      <c r="AA775" s="228">
        <v>4.9200000000000017</v>
      </c>
      <c r="AB775" s="228">
        <v>67.12</v>
      </c>
      <c r="AC775" s="229" t="s">
        <v>2654</v>
      </c>
      <c r="AD775" s="228">
        <v>1.8861015278462301</v>
      </c>
      <c r="AE775">
        <f>IF('WetLitterbags placem_collection'!AB116="","",'WetLitterbags placem_collection'!AB116)</f>
        <v>16.5</v>
      </c>
      <c r="AF775">
        <f>IF('WetLitterbags placem_collection'!Z116="","",'WetLitterbags placem_collection'!Z116)</f>
        <v>87.5</v>
      </c>
      <c r="AG775" s="243" t="str">
        <f>IF('WetLitterbags placem_collection'!AA116="","",'WetLitterbags placem_collection'!AA116)</f>
        <v>G</v>
      </c>
      <c r="AH775">
        <f>IF('WetLitterbags placem_collection'!AC116="","",'WetLitterbags placem_collection'!AC116)</f>
        <v>0</v>
      </c>
      <c r="AI775">
        <f>AVERAGE('WetLitterbags placem_collection'!S116,'WetLitterbags placem_collection'!U116)</f>
        <v>12.899999999999999</v>
      </c>
      <c r="AJ775">
        <f>AVERAGE('WetLitterbags placem_collection'!R116,'WetLitterbags placem_collection'!T116)</f>
        <v>30.450000000000003</v>
      </c>
      <c r="AK775">
        <f>INDEX(Coordinates!$B$2:$B$197,MATCH(H775,Coordinates!$J$2:$J$197,0))</f>
        <v>-2.348716976</v>
      </c>
      <c r="AL775">
        <f>INDEX(Coordinates!$C$2:$C$197,MATCH(H775,Coordinates!$J$2:$J$197,0))</f>
        <v>34.051484989999999</v>
      </c>
      <c r="AM775" t="str">
        <f>IF(ISNUMBER(SEARCH("C", 'WetLitterbags placem_collection'!$Y116)),"YES","NO")</f>
        <v>NO</v>
      </c>
      <c r="AN775" t="str">
        <f>IF(ISNUMBER(SEARCH("H", 'WetLitterbags placem_collection'!$Y116)),"YES","NO")</f>
        <v>NO</v>
      </c>
      <c r="AO775" t="str">
        <f>IF(ISNUMBER(SEARCH("R", 'WetLitterbags placem_collection'!$Y116)),"YES","NO")</f>
        <v>NO</v>
      </c>
    </row>
    <row r="776" spans="1:41" ht="15" customHeight="1">
      <c r="A776" s="255" t="s">
        <v>2454</v>
      </c>
      <c r="B776" s="260">
        <f>'Dry_Litterbag Placem_Collection'!A117</f>
        <v>115</v>
      </c>
      <c r="C776" s="260" t="str">
        <f>'Dry_Litterbag Placem_Collection'!B117</f>
        <v xml:space="preserve">Mwantimba
</v>
      </c>
      <c r="D776" s="260" t="s">
        <v>2454</v>
      </c>
      <c r="E776" s="260" t="s">
        <v>2644</v>
      </c>
      <c r="F776" s="260">
        <v>3</v>
      </c>
      <c r="G776" s="260" t="s">
        <v>3818</v>
      </c>
      <c r="H776" s="261" t="str">
        <f>'Dry_Litterbag Placem_Collection'!C117</f>
        <v>Wet_Ag3_T3</v>
      </c>
      <c r="I776" s="270" t="s">
        <v>3630</v>
      </c>
      <c r="J776" s="271" t="s">
        <v>298</v>
      </c>
      <c r="K776" s="221" t="str">
        <f>'WetLitterbags placem_collection'!Q117</f>
        <v>R522</v>
      </c>
      <c r="L776" s="223">
        <f>IFERROR(INDEX('Green_rooibos initial weight'!$C$5:$C$2000,MATCH(K776, 'Green_rooibos initial weight'!$A$5:$A$2000,0)),"")</f>
        <v>2.1819999999999999</v>
      </c>
      <c r="M776" s="223">
        <f>IFERROR(L776-(TBIcalc!$H$9+TBIcalc!$H$10),"")</f>
        <v>1.9321999999999999</v>
      </c>
      <c r="N776" s="385">
        <f>AVERAGE(Ashed_controlls!$K$2:$K$11)</f>
        <v>5.5147656768714146</v>
      </c>
      <c r="O776" s="223">
        <f t="shared" si="61"/>
        <v>1.8256436975914905</v>
      </c>
      <c r="P776" s="223">
        <f>IFERROR(INDEX('Both teabags AfterWet'!$C$3:$C$840,MATCH(K776,'Both teabags AfterWet'!$A$3:$A$840,0)),"")</f>
        <v>1.401</v>
      </c>
      <c r="Q776" s="223">
        <f>IFERROR(IF(P776&gt;0,P776-(TBIcalc!$H$9),""),"")</f>
        <v>1.2504</v>
      </c>
      <c r="R776" s="223">
        <f>IFERROR(INDEX('Ashed teabags wet'!$K$2:$K$2000,MATCH(K776,'Ashed teabags wet'!$A$2:$A$2000,0)),"")</f>
        <v>3.9292730844799202</v>
      </c>
      <c r="S776" s="223">
        <f t="shared" si="62"/>
        <v>1.201268369351663</v>
      </c>
      <c r="T776" s="224">
        <f>'WetLitterbags placem_collection'!E117</f>
        <v>42762</v>
      </c>
      <c r="U776" s="224">
        <f>IF('WetLitterbags placem_collection'!G117="","",'WetLitterbags placem_collection'!G117)</f>
        <v>42816</v>
      </c>
      <c r="V776" s="225">
        <f t="shared" si="60"/>
        <v>54</v>
      </c>
      <c r="W776" s="223">
        <f t="shared" si="63"/>
        <v>0.68179999999999996</v>
      </c>
      <c r="X776" s="223">
        <f t="shared" si="64"/>
        <v>0.62437532823982744</v>
      </c>
      <c r="Y776">
        <f>IFERROR(INDEX(Rainfall_Wet!$O$2:$O$217,MATCH(B776, Rainfall_Wet!$A$2:$A$217,0)),"")</f>
        <v>206.85140822299999</v>
      </c>
      <c r="Z776" s="228">
        <v>27.96</v>
      </c>
      <c r="AA776" s="228">
        <v>4.9200000000000017</v>
      </c>
      <c r="AB776" s="228">
        <v>67.12</v>
      </c>
      <c r="AC776" s="229" t="s">
        <v>2654</v>
      </c>
      <c r="AD776" s="228">
        <v>2.8861015278462299</v>
      </c>
      <c r="AE776">
        <f>IF('WetLitterbags placem_collection'!AB117="","",'WetLitterbags placem_collection'!AB117)</f>
        <v>19</v>
      </c>
      <c r="AF776">
        <f>IF('WetLitterbags placem_collection'!Z117="","",'WetLitterbags placem_collection'!Z117)</f>
        <v>79.5</v>
      </c>
      <c r="AG776" s="243" t="str">
        <f>IF('WetLitterbags placem_collection'!AA117="","",'WetLitterbags placem_collection'!AA117)</f>
        <v>G</v>
      </c>
      <c r="AH776">
        <f>IF('WetLitterbags placem_collection'!AC117="","",'WetLitterbags placem_collection'!AC117)</f>
        <v>1</v>
      </c>
      <c r="AI776">
        <f>AVERAGE('WetLitterbags placem_collection'!S117,'WetLitterbags placem_collection'!U117)</f>
        <v>9.9499999999999993</v>
      </c>
      <c r="AJ776">
        <f>AVERAGE('WetLitterbags placem_collection'!R117,'WetLitterbags placem_collection'!T117)</f>
        <v>31.7</v>
      </c>
      <c r="AK776">
        <f>INDEX(Coordinates!$B$2:$B$197,MATCH(H776,Coordinates!$J$2:$J$197,0))</f>
        <v>-2.3487800079999999</v>
      </c>
      <c r="AL776">
        <f>INDEX(Coordinates!$C$2:$C$197,MATCH(H776,Coordinates!$J$2:$J$197,0))</f>
        <v>34.051495969999998</v>
      </c>
      <c r="AM776" t="str">
        <f>IF(ISNUMBER(SEARCH("C", 'WetLitterbags placem_collection'!$Y117)),"YES","NO")</f>
        <v>NO</v>
      </c>
      <c r="AN776" t="str">
        <f>IF(ISNUMBER(SEARCH("H", 'WetLitterbags placem_collection'!$Y117)),"YES","NO")</f>
        <v>NO</v>
      </c>
      <c r="AO776" t="str">
        <f>IF(ISNUMBER(SEARCH("R", 'WetLitterbags placem_collection'!$Y117)),"YES","NO")</f>
        <v>YES</v>
      </c>
    </row>
    <row r="777" spans="1:41" ht="15" customHeight="1">
      <c r="A777" s="255" t="s">
        <v>2454</v>
      </c>
      <c r="B777" s="260">
        <f>'Dry_Litterbag Placem_Collection'!A118</f>
        <v>116</v>
      </c>
      <c r="C777" s="260" t="str">
        <f>'Dry_Litterbag Placem_Collection'!B118</f>
        <v xml:space="preserve">Mwantimba
</v>
      </c>
      <c r="D777" s="260" t="s">
        <v>2454</v>
      </c>
      <c r="E777" s="260" t="s">
        <v>2644</v>
      </c>
      <c r="F777" s="260">
        <v>3</v>
      </c>
      <c r="G777" s="260" t="s">
        <v>3818</v>
      </c>
      <c r="H777" s="261" t="str">
        <f>'Dry_Litterbag Placem_Collection'!C118</f>
        <v>Wet_Ag3_T4</v>
      </c>
      <c r="I777" s="270" t="s">
        <v>3630</v>
      </c>
      <c r="J777" s="271" t="s">
        <v>298</v>
      </c>
      <c r="K777" s="221" t="str">
        <f>'WetLitterbags placem_collection'!Q118</f>
        <v>R480</v>
      </c>
      <c r="L777" s="223">
        <f>IFERROR(INDEX('Green_rooibos initial weight'!$C$5:$C$2000,MATCH(K777, 'Green_rooibos initial weight'!$A$5:$A$2000,0)),"")</f>
        <v>2.17</v>
      </c>
      <c r="M777" s="223">
        <f>IFERROR(L777-(TBIcalc!$H$9+TBIcalc!$H$10),"")</f>
        <v>1.9201999999999999</v>
      </c>
      <c r="N777" s="385">
        <f>AVERAGE(Ashed_controlls!$K$2:$K$11)</f>
        <v>5.5147656768714146</v>
      </c>
      <c r="O777" s="223">
        <f t="shared" si="61"/>
        <v>1.814305469472715</v>
      </c>
      <c r="P777" s="223">
        <f>IFERROR(INDEX('Both teabags AfterWet'!$C$3:$C$840,MATCH(K777,'Both teabags AfterWet'!$A$3:$A$840,0)),"")</f>
        <v>1.4859</v>
      </c>
      <c r="Q777" s="223">
        <f>IFERROR(IF(P777&gt;0,P777-(TBIcalc!$H$9),""),"")</f>
        <v>1.3352999999999999</v>
      </c>
      <c r="R777" s="223">
        <f>IFERROR(INDEX('Ashed teabags wet'!$K$2:$K$2000,MATCH(K777,'Ashed teabags wet'!$A$2:$A$2000,0)),"")</f>
        <v>9.0863704443334274</v>
      </c>
      <c r="S777" s="223">
        <f t="shared" si="62"/>
        <v>1.2139696954568158</v>
      </c>
      <c r="T777" s="224">
        <f>'WetLitterbags placem_collection'!E118</f>
        <v>42762</v>
      </c>
      <c r="U777" s="224">
        <f>IF('WetLitterbags placem_collection'!G118="","",'WetLitterbags placem_collection'!G118)</f>
        <v>42816</v>
      </c>
      <c r="V777" s="225">
        <f t="shared" si="60"/>
        <v>54</v>
      </c>
      <c r="W777" s="223">
        <f t="shared" si="63"/>
        <v>0.58489999999999998</v>
      </c>
      <c r="X777" s="223">
        <f t="shared" si="64"/>
        <v>0.60033577401589922</v>
      </c>
      <c r="Y777">
        <f>IFERROR(INDEX(Rainfall_Wet!$O$2:$O$217,MATCH(B777, Rainfall_Wet!$A$2:$A$217,0)),"")</f>
        <v>206.85140822299999</v>
      </c>
      <c r="Z777" s="228">
        <v>27.96</v>
      </c>
      <c r="AA777" s="228">
        <v>4.9200000000000017</v>
      </c>
      <c r="AB777" s="228">
        <v>67.12</v>
      </c>
      <c r="AC777" s="229" t="s">
        <v>2654</v>
      </c>
      <c r="AD777" s="228">
        <v>3.8861015278462299</v>
      </c>
      <c r="AE777">
        <f>IF('WetLitterbags placem_collection'!AB118="","",'WetLitterbags placem_collection'!AB118)</f>
        <v>22.5</v>
      </c>
      <c r="AF777">
        <f>IF('WetLitterbags placem_collection'!Z118="","",'WetLitterbags placem_collection'!Z118)</f>
        <v>76</v>
      </c>
      <c r="AG777" s="243" t="str">
        <f>IF('WetLitterbags placem_collection'!AA118="","",'WetLitterbags placem_collection'!AA118)</f>
        <v>G</v>
      </c>
      <c r="AH777">
        <f>IF('WetLitterbags placem_collection'!AC118="","",'WetLitterbags placem_collection'!AC118)</f>
        <v>1</v>
      </c>
      <c r="AI777">
        <f>AVERAGE('WetLitterbags placem_collection'!S118,'WetLitterbags placem_collection'!U118)</f>
        <v>8.75</v>
      </c>
      <c r="AJ777">
        <f>AVERAGE('WetLitterbags placem_collection'!R118,'WetLitterbags placem_collection'!T118)</f>
        <v>25.6</v>
      </c>
      <c r="AK777">
        <f>INDEX(Coordinates!$B$2:$B$197,MATCH(H777,Coordinates!$J$2:$J$197,0))</f>
        <v>-2.3488120270000001</v>
      </c>
      <c r="AL777">
        <f>INDEX(Coordinates!$C$2:$C$197,MATCH(H777,Coordinates!$J$2:$J$197,0))</f>
        <v>34.05146697</v>
      </c>
      <c r="AM777" t="str">
        <f>IF(ISNUMBER(SEARCH("C", 'WetLitterbags placem_collection'!$Y118)),"YES","NO")</f>
        <v>NO</v>
      </c>
      <c r="AN777" t="str">
        <f>IF(ISNUMBER(SEARCH("H", 'WetLitterbags placem_collection'!$Y118)),"YES","NO")</f>
        <v>NO</v>
      </c>
      <c r="AO777" t="str">
        <f>IF(ISNUMBER(SEARCH("R", 'WetLitterbags placem_collection'!$Y118)),"YES","NO")</f>
        <v>YES</v>
      </c>
    </row>
    <row r="778" spans="1:41" ht="15" customHeight="1">
      <c r="A778" s="255" t="s">
        <v>2454</v>
      </c>
      <c r="B778" s="260">
        <f>'Dry_Litterbag Placem_Collection'!A119</f>
        <v>117</v>
      </c>
      <c r="C778" s="260" t="str">
        <f>'Dry_Litterbag Placem_Collection'!B119</f>
        <v xml:space="preserve">Mwantimba
</v>
      </c>
      <c r="D778" s="260" t="s">
        <v>2454</v>
      </c>
      <c r="E778" s="260" t="s">
        <v>2644</v>
      </c>
      <c r="F778" s="260">
        <v>3</v>
      </c>
      <c r="G778" s="260" t="s">
        <v>3818</v>
      </c>
      <c r="H778" s="261" t="str">
        <f>'Dry_Litterbag Placem_Collection'!C119</f>
        <v>Wet_Ag3_T5</v>
      </c>
      <c r="I778" s="270" t="s">
        <v>3630</v>
      </c>
      <c r="J778" s="271" t="s">
        <v>298</v>
      </c>
      <c r="K778" s="221" t="str">
        <f>'WetLitterbags placem_collection'!Q119</f>
        <v>R565</v>
      </c>
      <c r="L778" s="223">
        <f>IFERROR(INDEX('Green_rooibos initial weight'!$C$5:$C$2000,MATCH(K778, 'Green_rooibos initial weight'!$A$5:$A$2000,0)),"")</f>
        <v>2.0649999999999999</v>
      </c>
      <c r="M778" s="223">
        <f>IFERROR(L778-(TBIcalc!$H$9+TBIcalc!$H$10),"")</f>
        <v>1.8151999999999999</v>
      </c>
      <c r="N778" s="385">
        <f>AVERAGE(Ashed_controlls!$K$2:$K$11)</f>
        <v>5.5147656768714146</v>
      </c>
      <c r="O778" s="223">
        <f t="shared" si="61"/>
        <v>1.7150959734334301</v>
      </c>
      <c r="P778" s="223">
        <f>IFERROR(INDEX('Both teabags AfterWet'!$C$3:$C$840,MATCH(K778,'Both teabags AfterWet'!$A$3:$A$840,0)),"")</f>
        <v>1.343</v>
      </c>
      <c r="Q778" s="223">
        <f>IFERROR(IF(P778&gt;0,P778-(TBIcalc!$H$9),""),"")</f>
        <v>1.1923999999999999</v>
      </c>
      <c r="R778" s="223">
        <f>IFERROR(INDEX('Ashed teabags wet'!$K$2:$K$2000,MATCH(K778,'Ashed teabags wet'!$A$2:$A$2000,0)),"")</f>
        <v>4.0755467196820945</v>
      </c>
      <c r="S778" s="223">
        <f t="shared" si="62"/>
        <v>1.1438031809145106</v>
      </c>
      <c r="T778" s="224">
        <f>'WetLitterbags placem_collection'!E119</f>
        <v>42762</v>
      </c>
      <c r="U778" s="224">
        <f>IF('WetLitterbags placem_collection'!G119="","",'WetLitterbags placem_collection'!G119)</f>
        <v>42816</v>
      </c>
      <c r="V778" s="225">
        <f t="shared" si="60"/>
        <v>54</v>
      </c>
      <c r="W778" s="223">
        <f t="shared" si="63"/>
        <v>0.62280000000000002</v>
      </c>
      <c r="X778" s="223">
        <f t="shared" si="64"/>
        <v>0.57129279251891951</v>
      </c>
      <c r="Y778">
        <f>IFERROR(INDEX(Rainfall_Wet!$O$2:$O$217,MATCH(B778, Rainfall_Wet!$A$2:$A$217,0)),"")</f>
        <v>206.85140822299999</v>
      </c>
      <c r="Z778" s="228">
        <v>27.96</v>
      </c>
      <c r="AA778" s="228">
        <v>4.9200000000000017</v>
      </c>
      <c r="AB778" s="228">
        <v>67.12</v>
      </c>
      <c r="AC778" s="229" t="s">
        <v>2654</v>
      </c>
      <c r="AD778" s="228">
        <v>4.8861015278462299</v>
      </c>
      <c r="AE778">
        <f>IF('WetLitterbags placem_collection'!AB119="","",'WetLitterbags placem_collection'!AB119)</f>
        <v>23.5</v>
      </c>
      <c r="AF778">
        <f>IF('WetLitterbags placem_collection'!Z119="","",'WetLitterbags placem_collection'!Z119)</f>
        <v>76</v>
      </c>
      <c r="AG778" s="243" t="str">
        <f>IF('WetLitterbags placem_collection'!AA119="","",'WetLitterbags placem_collection'!AA119)</f>
        <v>G</v>
      </c>
      <c r="AH778">
        <f>IF('WetLitterbags placem_collection'!AC119="","",'WetLitterbags placem_collection'!AC119)</f>
        <v>1</v>
      </c>
      <c r="AI778">
        <f>AVERAGE('WetLitterbags placem_collection'!S119,'WetLitterbags placem_collection'!U119)</f>
        <v>5.6999999999999993</v>
      </c>
      <c r="AJ778">
        <f>AVERAGE('WetLitterbags placem_collection'!R119,'WetLitterbags placem_collection'!T119)</f>
        <v>31.75</v>
      </c>
      <c r="AK778">
        <f>INDEX(Coordinates!$B$2:$B$197,MATCH(H778,Coordinates!$J$2:$J$197,0))</f>
        <v>-2.348814961</v>
      </c>
      <c r="AL778">
        <f>INDEX(Coordinates!$C$2:$C$197,MATCH(H778,Coordinates!$J$2:$J$197,0))</f>
        <v>34.051439979999998</v>
      </c>
      <c r="AM778" t="str">
        <f>IF(ISNUMBER(SEARCH("C", 'WetLitterbags placem_collection'!$Y119)),"YES","NO")</f>
        <v>NO</v>
      </c>
      <c r="AN778" t="str">
        <f>IF(ISNUMBER(SEARCH("H", 'WetLitterbags placem_collection'!$Y119)),"YES","NO")</f>
        <v>NO</v>
      </c>
      <c r="AO778" t="str">
        <f>IF(ISNUMBER(SEARCH("R", 'WetLitterbags placem_collection'!$Y119)),"YES","NO")</f>
        <v>NO</v>
      </c>
    </row>
    <row r="779" spans="1:41" ht="15" customHeight="1">
      <c r="A779" s="255" t="s">
        <v>2454</v>
      </c>
      <c r="B779" s="260">
        <f>'Dry_Litterbag Placem_Collection'!A120</f>
        <v>118</v>
      </c>
      <c r="C779" s="260" t="str">
        <f>'Dry_Litterbag Placem_Collection'!B120</f>
        <v xml:space="preserve">Mwantimba
</v>
      </c>
      <c r="D779" s="260" t="s">
        <v>2454</v>
      </c>
      <c r="E779" s="260" t="s">
        <v>2644</v>
      </c>
      <c r="F779" s="260">
        <v>3</v>
      </c>
      <c r="G779" s="260" t="s">
        <v>3818</v>
      </c>
      <c r="H779" s="261" t="str">
        <f>'Dry_Litterbag Placem_Collection'!C120</f>
        <v>Wet_Ag3_T6</v>
      </c>
      <c r="I779" s="270" t="s">
        <v>3630</v>
      </c>
      <c r="J779" s="271" t="s">
        <v>298</v>
      </c>
      <c r="K779" s="221" t="str">
        <f>'WetLitterbags placem_collection'!Q120</f>
        <v>R544</v>
      </c>
      <c r="L779" s="223">
        <f>IFERROR(INDEX('Green_rooibos initial weight'!$C$5:$C$2000,MATCH(K779, 'Green_rooibos initial weight'!$A$5:$A$2000,0)),"")</f>
        <v>2.2109999999999999</v>
      </c>
      <c r="M779" s="223">
        <f>IFERROR(L779-(TBIcalc!$H$9+TBIcalc!$H$10),"")</f>
        <v>1.9611999999999998</v>
      </c>
      <c r="N779" s="385">
        <f>AVERAGE(Ashed_controlls!$K$2:$K$11)</f>
        <v>5.5147656768714146</v>
      </c>
      <c r="O779" s="223">
        <f t="shared" si="61"/>
        <v>1.8530444155451977</v>
      </c>
      <c r="P779" s="223">
        <f>IFERROR(INDEX('Both teabags AfterWet'!$C$3:$C$840,MATCH(K779,'Both teabags AfterWet'!$A$3:$A$840,0)),"")</f>
        <v>1.599</v>
      </c>
      <c r="Q779" s="223">
        <f>IFERROR(IF(P779&gt;0,P779-(TBIcalc!$H$9),""),"")</f>
        <v>1.4483999999999999</v>
      </c>
      <c r="R779" s="223">
        <f>IFERROR(INDEX('Ashed teabags wet'!$K$2:$K$2000,MATCH(K779,'Ashed teabags wet'!$A$2:$A$2000,0)),"")</f>
        <v>4.604604604605111</v>
      </c>
      <c r="S779" s="223">
        <f t="shared" si="62"/>
        <v>1.3817069069068995</v>
      </c>
      <c r="T779" s="224">
        <f>'WetLitterbags placem_collection'!E120</f>
        <v>42762</v>
      </c>
      <c r="U779" s="224">
        <f>IF('WetLitterbags placem_collection'!G120="","",'WetLitterbags placem_collection'!G120)</f>
        <v>42816</v>
      </c>
      <c r="V779" s="225">
        <f t="shared" si="60"/>
        <v>54</v>
      </c>
      <c r="W779" s="223">
        <f t="shared" si="63"/>
        <v>0.51279999999999992</v>
      </c>
      <c r="X779" s="223">
        <f t="shared" si="64"/>
        <v>0.47133750863829826</v>
      </c>
      <c r="Y779">
        <f>IFERROR(INDEX(Rainfall_Wet!$O$2:$O$217,MATCH(B779, Rainfall_Wet!$A$2:$A$217,0)),"")</f>
        <v>206.85140822299999</v>
      </c>
      <c r="Z779" s="228">
        <v>27.96</v>
      </c>
      <c r="AA779" s="228">
        <v>4.9200000000000017</v>
      </c>
      <c r="AB779" s="228">
        <v>67.12</v>
      </c>
      <c r="AC779" s="229" t="s">
        <v>2654</v>
      </c>
      <c r="AD779" s="228">
        <v>5.8861015278462299</v>
      </c>
      <c r="AE779">
        <f>IF('WetLitterbags placem_collection'!AB120="","",'WetLitterbags placem_collection'!AB120)</f>
        <v>17.5</v>
      </c>
      <c r="AF779">
        <f>IF('WetLitterbags placem_collection'!Z120="","",'WetLitterbags placem_collection'!Z120)</f>
        <v>70.5</v>
      </c>
      <c r="AG779" s="243" t="str">
        <f>IF('WetLitterbags placem_collection'!AA120="","",'WetLitterbags placem_collection'!AA120)</f>
        <v>G</v>
      </c>
      <c r="AH779">
        <f>IF('WetLitterbags placem_collection'!AC120="","",'WetLitterbags placem_collection'!AC120)</f>
        <v>1</v>
      </c>
      <c r="AI779">
        <f>AVERAGE('WetLitterbags placem_collection'!S120,'WetLitterbags placem_collection'!U120)</f>
        <v>10.7</v>
      </c>
      <c r="AJ779">
        <f>AVERAGE('WetLitterbags placem_collection'!R120,'WetLitterbags placem_collection'!T120)</f>
        <v>30.85</v>
      </c>
      <c r="AK779">
        <f>INDEX(Coordinates!$B$2:$B$197,MATCH(H779,Coordinates!$J$2:$J$197,0))</f>
        <v>-2.3488729629999998</v>
      </c>
      <c r="AL779">
        <f>INDEX(Coordinates!$C$2:$C$197,MATCH(H779,Coordinates!$J$2:$J$197,0))</f>
        <v>34.051454980000003</v>
      </c>
      <c r="AM779" t="str">
        <f>IF(ISNUMBER(SEARCH("C", 'WetLitterbags placem_collection'!$Y120)),"YES","NO")</f>
        <v>NO</v>
      </c>
      <c r="AN779" t="str">
        <f>IF(ISNUMBER(SEARCH("H", 'WetLitterbags placem_collection'!$Y120)),"YES","NO")</f>
        <v>NO</v>
      </c>
      <c r="AO779" t="str">
        <f>IF(ISNUMBER(SEARCH("R", 'WetLitterbags placem_collection'!$Y120)),"YES","NO")</f>
        <v>NO</v>
      </c>
    </row>
    <row r="780" spans="1:41" ht="15" customHeight="1">
      <c r="A780" s="255" t="s">
        <v>2454</v>
      </c>
      <c r="B780" s="260">
        <f>'Dry_Litterbag Placem_Collection'!A121</f>
        <v>119</v>
      </c>
      <c r="C780" s="260" t="str">
        <f>'Dry_Litterbag Placem_Collection'!B121</f>
        <v xml:space="preserve">Mwantimba
</v>
      </c>
      <c r="D780" s="260" t="s">
        <v>2454</v>
      </c>
      <c r="E780" s="260" t="s">
        <v>2644</v>
      </c>
      <c r="F780" s="260">
        <v>3</v>
      </c>
      <c r="G780" s="260" t="s">
        <v>3818</v>
      </c>
      <c r="H780" s="261" t="str">
        <f>'Dry_Litterbag Placem_Collection'!C121</f>
        <v>Wet_Ag3_T7</v>
      </c>
      <c r="I780" s="270" t="s">
        <v>3630</v>
      </c>
      <c r="J780" s="271" t="s">
        <v>298</v>
      </c>
      <c r="K780" s="221" t="str">
        <f>'WetLitterbags placem_collection'!Q121</f>
        <v>R526</v>
      </c>
      <c r="L780" s="223">
        <f>IFERROR(INDEX('Green_rooibos initial weight'!$C$5:$C$2000,MATCH(K780, 'Green_rooibos initial weight'!$A$5:$A$2000,0)),"")</f>
        <v>2.0960000000000001</v>
      </c>
      <c r="M780" s="223">
        <f>IFERROR(L780-(TBIcalc!$H$9+TBIcalc!$H$10),"")</f>
        <v>1.8462000000000001</v>
      </c>
      <c r="N780" s="385">
        <f>AVERAGE(Ashed_controlls!$K$2:$K$11)</f>
        <v>5.5147656768714146</v>
      </c>
      <c r="O780" s="223">
        <f t="shared" si="61"/>
        <v>1.7443863960735999</v>
      </c>
      <c r="P780" s="223">
        <f>IFERROR(INDEX('Both teabags AfterWet'!$C$3:$C$840,MATCH(K780,'Both teabags AfterWet'!$A$3:$A$840,0)),"")</f>
        <v>1.3</v>
      </c>
      <c r="Q780" s="223">
        <f>IFERROR(IF(P780&gt;0,P780-(TBIcalc!$H$9),""),"")</f>
        <v>1.1494</v>
      </c>
      <c r="R780" s="223">
        <f>IFERROR(INDEX('Ashed teabags wet'!$K$2:$K$2000,MATCH(K780,'Ashed teabags wet'!$A$2:$A$2000,0)),"")</f>
        <v>6.4671814671816925</v>
      </c>
      <c r="S780" s="223">
        <f t="shared" si="62"/>
        <v>1.0750662162162137</v>
      </c>
      <c r="T780" s="224">
        <f>'WetLitterbags placem_collection'!E121</f>
        <v>42762</v>
      </c>
      <c r="U780" s="224">
        <f>IF('WetLitterbags placem_collection'!G121="","",'WetLitterbags placem_collection'!G121)</f>
        <v>42816</v>
      </c>
      <c r="V780" s="225">
        <f t="shared" si="60"/>
        <v>54</v>
      </c>
      <c r="W780" s="223">
        <f t="shared" si="63"/>
        <v>0.69680000000000009</v>
      </c>
      <c r="X780" s="223">
        <f t="shared" si="64"/>
        <v>0.66932017985738623</v>
      </c>
      <c r="Y780">
        <f>IFERROR(INDEX(Rainfall_Wet!$O$2:$O$217,MATCH(B780, Rainfall_Wet!$A$2:$A$217,0)),"")</f>
        <v>206.85140822299999</v>
      </c>
      <c r="Z780" s="228">
        <v>27.96</v>
      </c>
      <c r="AA780" s="228">
        <v>4.9200000000000017</v>
      </c>
      <c r="AB780" s="228">
        <v>67.12</v>
      </c>
      <c r="AC780" s="229" t="s">
        <v>2654</v>
      </c>
      <c r="AD780" s="228">
        <v>6.8861015278462299</v>
      </c>
      <c r="AE780">
        <f>IF('WetLitterbags placem_collection'!AB121="","",'WetLitterbags placem_collection'!AB121)</f>
        <v>18.5</v>
      </c>
      <c r="AF780">
        <f>IF('WetLitterbags placem_collection'!Z121="","",'WetLitterbags placem_collection'!Z121)</f>
        <v>74.5</v>
      </c>
      <c r="AG780" s="243" t="str">
        <f>IF('WetLitterbags placem_collection'!AA121="","",'WetLitterbags placem_collection'!AA121)</f>
        <v>G</v>
      </c>
      <c r="AH780">
        <f>IF('WetLitterbags placem_collection'!AC121="","",'WetLitterbags placem_collection'!AC121)</f>
        <v>1</v>
      </c>
      <c r="AI780">
        <f>AVERAGE('WetLitterbags placem_collection'!S121,'WetLitterbags placem_collection'!U121)</f>
        <v>11.05</v>
      </c>
      <c r="AJ780">
        <f>AVERAGE('WetLitterbags placem_collection'!R121,'WetLitterbags placem_collection'!T121)</f>
        <v>30.450000000000003</v>
      </c>
      <c r="AK780">
        <f>INDEX(Coordinates!$B$2:$B$197,MATCH(H780,Coordinates!$J$2:$J$197,0))</f>
        <v>-2.3488589659999999</v>
      </c>
      <c r="AL780">
        <f>INDEX(Coordinates!$C$2:$C$197,MATCH(H780,Coordinates!$J$2:$J$197,0))</f>
        <v>34.051389010000001</v>
      </c>
      <c r="AM780" t="str">
        <f>IF(ISNUMBER(SEARCH("C", 'WetLitterbags placem_collection'!$Y121)),"YES","NO")</f>
        <v>NO</v>
      </c>
      <c r="AN780" t="str">
        <f>IF(ISNUMBER(SEARCH("H", 'WetLitterbags placem_collection'!$Y121)),"YES","NO")</f>
        <v>NO</v>
      </c>
      <c r="AO780" t="str">
        <f>IF(ISNUMBER(SEARCH("R", 'WetLitterbags placem_collection'!$Y121)),"YES","NO")</f>
        <v>YES</v>
      </c>
    </row>
    <row r="781" spans="1:41" ht="15" customHeight="1">
      <c r="A781" s="255" t="s">
        <v>2454</v>
      </c>
      <c r="B781" s="260">
        <f>'Dry_Litterbag Placem_Collection'!A122</f>
        <v>120</v>
      </c>
      <c r="C781" s="260" t="str">
        <f>'Dry_Litterbag Placem_Collection'!B122</f>
        <v xml:space="preserve">Mwantimba
</v>
      </c>
      <c r="D781" s="260" t="s">
        <v>2454</v>
      </c>
      <c r="E781" s="260" t="s">
        <v>2644</v>
      </c>
      <c r="F781" s="260">
        <v>3</v>
      </c>
      <c r="G781" s="260" t="s">
        <v>3818</v>
      </c>
      <c r="H781" s="261" t="str">
        <f>'Dry_Litterbag Placem_Collection'!C122</f>
        <v>Wet_Ag3_T8</v>
      </c>
      <c r="I781" s="270" t="s">
        <v>3630</v>
      </c>
      <c r="J781" s="271" t="s">
        <v>298</v>
      </c>
      <c r="K781" s="221" t="str">
        <f>'WetLitterbags placem_collection'!Q122</f>
        <v>R594</v>
      </c>
      <c r="L781" s="223">
        <f>IFERROR(INDEX('Green_rooibos initial weight'!$C$5:$C$2000,MATCH(K781, 'Green_rooibos initial weight'!$A$5:$A$2000,0)),"")</f>
        <v>2.2400000000000002</v>
      </c>
      <c r="M781" s="223">
        <f>IFERROR(L781-(TBIcalc!$H$9+TBIcalc!$H$10),"")</f>
        <v>1.9902000000000002</v>
      </c>
      <c r="N781" s="385">
        <f>AVERAGE(Ashed_controlls!$K$2:$K$11)</f>
        <v>5.5147656768714146</v>
      </c>
      <c r="O781" s="223">
        <f t="shared" si="61"/>
        <v>1.8804451334989052</v>
      </c>
      <c r="P781" s="223">
        <f>IFERROR(INDEX('Both teabags AfterWet'!$C$3:$C$840,MATCH(K781,'Both teabags AfterWet'!$A$3:$A$840,0)),"")</f>
        <v>1.4142999999999999</v>
      </c>
      <c r="Q781" s="223">
        <f>IFERROR(IF(P781&gt;0,P781-(TBIcalc!$H$9),""),"")</f>
        <v>1.2636999999999998</v>
      </c>
      <c r="R781" s="223">
        <f>IFERROR(INDEX('Ashed teabags wet'!$K$2:$K$2000,MATCH(K781,'Ashed teabags wet'!$A$2:$A$2000,0)),"")</f>
        <v>4.3540669856461571</v>
      </c>
      <c r="S781" s="223">
        <f t="shared" si="62"/>
        <v>1.2086776555023893</v>
      </c>
      <c r="T781" s="224">
        <f>'WetLitterbags placem_collection'!E122</f>
        <v>42762</v>
      </c>
      <c r="U781" s="224">
        <f>IF('WetLitterbags placem_collection'!G122="","",'WetLitterbags placem_collection'!G122)</f>
        <v>42816</v>
      </c>
      <c r="V781" s="225">
        <f t="shared" si="60"/>
        <v>54</v>
      </c>
      <c r="W781" s="223">
        <f t="shared" si="63"/>
        <v>0.72650000000000037</v>
      </c>
      <c r="X781" s="223">
        <f t="shared" si="64"/>
        <v>0.67176747799651593</v>
      </c>
      <c r="Y781">
        <f>IFERROR(INDEX(Rainfall_Wet!$O$2:$O$217,MATCH(B781, Rainfall_Wet!$A$2:$A$217,0)),"")</f>
        <v>206.85140822299999</v>
      </c>
      <c r="Z781" s="228">
        <v>27.96</v>
      </c>
      <c r="AA781" s="228">
        <v>4.9200000000000017</v>
      </c>
      <c r="AB781" s="228">
        <v>67.12</v>
      </c>
      <c r="AC781" s="229" t="s">
        <v>2654</v>
      </c>
      <c r="AD781" s="228">
        <v>7.8861015278462299</v>
      </c>
      <c r="AE781">
        <f>IF('WetLitterbags placem_collection'!AB122="","",'WetLitterbags placem_collection'!AB122)</f>
        <v>19</v>
      </c>
      <c r="AF781">
        <f>IF('WetLitterbags placem_collection'!Z122="","",'WetLitterbags placem_collection'!Z122)</f>
        <v>98.5</v>
      </c>
      <c r="AG781" s="243" t="str">
        <f>IF('WetLitterbags placem_collection'!AA122="","",'WetLitterbags placem_collection'!AA122)</f>
        <v>G</v>
      </c>
      <c r="AH781">
        <f>IF('WetLitterbags placem_collection'!AC122="","",'WetLitterbags placem_collection'!AC122)</f>
        <v>0</v>
      </c>
      <c r="AI781">
        <f>AVERAGE('WetLitterbags placem_collection'!S122,'WetLitterbags placem_collection'!U122)</f>
        <v>14.95</v>
      </c>
      <c r="AJ781">
        <f>AVERAGE('WetLitterbags placem_collection'!R122,'WetLitterbags placem_collection'!T122)</f>
        <v>30.299999999999997</v>
      </c>
      <c r="AK781">
        <f>INDEX(Coordinates!$B$2:$B$197,MATCH(H781,Coordinates!$J$2:$J$197,0))</f>
        <v>-2.3486449760000001</v>
      </c>
      <c r="AL781">
        <f>INDEX(Coordinates!$C$2:$C$197,MATCH(H781,Coordinates!$J$2:$J$197,0))</f>
        <v>34.051495969999998</v>
      </c>
      <c r="AM781" t="str">
        <f>IF(ISNUMBER(SEARCH("C", 'WetLitterbags placem_collection'!$Y122)),"YES","NO")</f>
        <v>NO</v>
      </c>
      <c r="AN781" t="str">
        <f>IF(ISNUMBER(SEARCH("H", 'WetLitterbags placem_collection'!$Y122)),"YES","NO")</f>
        <v>NO</v>
      </c>
      <c r="AO781" t="str">
        <f>IF(ISNUMBER(SEARCH("R", 'WetLitterbags placem_collection'!$Y122)),"YES","NO")</f>
        <v>YES</v>
      </c>
    </row>
    <row r="782" spans="1:41" ht="15" customHeight="1">
      <c r="A782" s="255" t="s">
        <v>2454</v>
      </c>
      <c r="B782" s="260">
        <f>'Dry_Litterbag Placem_Collection'!A123</f>
        <v>121</v>
      </c>
      <c r="C782" s="260" t="str">
        <f>'Dry_Litterbag Placem_Collection'!B123</f>
        <v xml:space="preserve">Mwantimba
</v>
      </c>
      <c r="D782" s="260" t="s">
        <v>2454</v>
      </c>
      <c r="E782" s="260" t="s">
        <v>2644</v>
      </c>
      <c r="F782" s="260">
        <v>4</v>
      </c>
      <c r="G782" s="260" t="s">
        <v>3819</v>
      </c>
      <c r="H782" s="261" t="str">
        <f>'Dry_Litterbag Placem_Collection'!C123</f>
        <v>Wet_Ag4_T1</v>
      </c>
      <c r="I782" s="270" t="s">
        <v>3630</v>
      </c>
      <c r="J782" s="271" t="s">
        <v>298</v>
      </c>
      <c r="K782" s="221" t="str">
        <f>'WetLitterbags placem_collection'!Q123</f>
        <v>R564</v>
      </c>
      <c r="L782" s="223">
        <f>IFERROR(INDEX('Green_rooibos initial weight'!$C$5:$C$2000,MATCH(K782, 'Green_rooibos initial weight'!$A$5:$A$2000,0)),"")</f>
        <v>2.145</v>
      </c>
      <c r="M782" s="223">
        <f>IFERROR(L782-(TBIcalc!$H$9+TBIcalc!$H$10),"")</f>
        <v>1.8952</v>
      </c>
      <c r="N782" s="385">
        <f>AVERAGE(Ashed_controlls!$K$2:$K$11)</f>
        <v>5.5147656768714146</v>
      </c>
      <c r="O782" s="223">
        <f t="shared" si="61"/>
        <v>1.7906841608919331</v>
      </c>
      <c r="P782" s="223">
        <f>IFERROR(INDEX('Both teabags AfterWet'!$C$3:$C$840,MATCH(K782,'Both teabags AfterWet'!$A$3:$A$840,0)),"")</f>
        <v>1.53</v>
      </c>
      <c r="Q782" s="223">
        <f>IFERROR(IF(P782&gt;0,P782-(TBIcalc!$H$9),""),"")</f>
        <v>1.3794</v>
      </c>
      <c r="R782" s="223">
        <f>IFERROR(INDEX('Ashed teabags wet'!$K$2:$K$2000,MATCH(K782,'Ashed teabags wet'!$A$2:$A$2000,0)),"")</f>
        <v>7.5161772025872624</v>
      </c>
      <c r="S782" s="223">
        <f t="shared" si="62"/>
        <v>1.2757218516675113</v>
      </c>
      <c r="T782" s="224">
        <f>'WetLitterbags placem_collection'!E123</f>
        <v>42762</v>
      </c>
      <c r="U782" s="224">
        <f>IF('WetLitterbags placem_collection'!G123="","",'WetLitterbags placem_collection'!G123)</f>
        <v>42816</v>
      </c>
      <c r="V782" s="225">
        <f t="shared" si="60"/>
        <v>54</v>
      </c>
      <c r="W782" s="223">
        <f t="shared" si="63"/>
        <v>0.51580000000000004</v>
      </c>
      <c r="X782" s="223">
        <f t="shared" si="64"/>
        <v>0.51496230922442177</v>
      </c>
      <c r="Y782">
        <f>IFERROR(INDEX(Rainfall_Wet!$O$2:$O$217,MATCH(B782, Rainfall_Wet!$A$2:$A$217,0)),"")</f>
        <v>206.85140822299999</v>
      </c>
      <c r="Z782" s="228">
        <v>17.96</v>
      </c>
      <c r="AA782" s="228">
        <v>4.9199999999999982</v>
      </c>
      <c r="AB782" s="228">
        <v>77.12</v>
      </c>
      <c r="AC782" s="229" t="s">
        <v>2655</v>
      </c>
      <c r="AD782" s="228">
        <v>2.0220798422868409</v>
      </c>
      <c r="AE782">
        <f>IF('WetLitterbags placem_collection'!AB123="","",'WetLitterbags placem_collection'!AB123)</f>
        <v>9.65</v>
      </c>
      <c r="AF782">
        <f>IF('WetLitterbags placem_collection'!Z123="","",'WetLitterbags placem_collection'!Z123)</f>
        <v>63</v>
      </c>
      <c r="AG782" s="243" t="str">
        <f>IF('WetLitterbags placem_collection'!AA123="","",'WetLitterbags placem_collection'!AA123)</f>
        <v>G</v>
      </c>
      <c r="AH782">
        <f>IF('WetLitterbags placem_collection'!AC123="","",'WetLitterbags placem_collection'!AC123)</f>
        <v>0</v>
      </c>
      <c r="AI782">
        <f>AVERAGE('WetLitterbags placem_collection'!S123,'WetLitterbags placem_collection'!U123)</f>
        <v>9.5500000000000007</v>
      </c>
      <c r="AJ782">
        <f>AVERAGE('WetLitterbags placem_collection'!R123,'WetLitterbags placem_collection'!T123)</f>
        <v>30.75</v>
      </c>
      <c r="AK782">
        <f>INDEX(Coordinates!$B$2:$B$197,MATCH(H782,Coordinates!$J$2:$J$197,0))</f>
        <v>-2.3492639789999998</v>
      </c>
      <c r="AL782">
        <f>INDEX(Coordinates!$C$2:$C$197,MATCH(H782,Coordinates!$J$2:$J$197,0))</f>
        <v>34.051464029999998</v>
      </c>
      <c r="AM782" t="str">
        <f>IF(ISNUMBER(SEARCH("C", 'WetLitterbags placem_collection'!$Y123)),"YES","NO")</f>
        <v>NO</v>
      </c>
      <c r="AN782" t="str">
        <f>IF(ISNUMBER(SEARCH("H", 'WetLitterbags placem_collection'!$Y123)),"YES","NO")</f>
        <v>NO</v>
      </c>
      <c r="AO782" t="str">
        <f>IF(ISNUMBER(SEARCH("R", 'WetLitterbags placem_collection'!$Y123)),"YES","NO")</f>
        <v>YES</v>
      </c>
    </row>
    <row r="783" spans="1:41" ht="15" customHeight="1">
      <c r="A783" s="255" t="s">
        <v>2454</v>
      </c>
      <c r="B783" s="260">
        <f>'Dry_Litterbag Placem_Collection'!A124</f>
        <v>122</v>
      </c>
      <c r="C783" s="260" t="str">
        <f>'Dry_Litterbag Placem_Collection'!B124</f>
        <v xml:space="preserve">Mwantimba
</v>
      </c>
      <c r="D783" s="260" t="s">
        <v>2454</v>
      </c>
      <c r="E783" s="260" t="s">
        <v>2644</v>
      </c>
      <c r="F783" s="260">
        <v>4</v>
      </c>
      <c r="G783" s="260" t="s">
        <v>3819</v>
      </c>
      <c r="H783" s="261" t="str">
        <f>'Dry_Litterbag Placem_Collection'!C124</f>
        <v>Wet_Ag4_T2</v>
      </c>
      <c r="I783" s="270" t="s">
        <v>3630</v>
      </c>
      <c r="J783" s="271" t="s">
        <v>298</v>
      </c>
      <c r="K783" s="221" t="str">
        <f>'WetLitterbags placem_collection'!Q124</f>
        <v>R429</v>
      </c>
      <c r="L783" s="223">
        <f>IFERROR(INDEX('Green_rooibos initial weight'!$C$5:$C$2000,MATCH(K783, 'Green_rooibos initial weight'!$A$5:$A$2000,0)),"")</f>
        <v>2.21</v>
      </c>
      <c r="M783" s="223">
        <f>IFERROR(L783-(TBIcalc!$H$9+TBIcalc!$H$10),"")</f>
        <v>1.9601999999999999</v>
      </c>
      <c r="N783" s="385">
        <f>AVERAGE(Ashed_controlls!$K$2:$K$11)</f>
        <v>5.5147656768714146</v>
      </c>
      <c r="O783" s="223">
        <f t="shared" si="61"/>
        <v>1.8520995632019666</v>
      </c>
      <c r="P783" s="223">
        <f>IFERROR(INDEX('Both teabags AfterWet'!$C$3:$C$840,MATCH(K783,'Both teabags AfterWet'!$A$3:$A$840,0)),"")</f>
        <v>1.2190000000000001</v>
      </c>
      <c r="Q783" s="223">
        <f>IFERROR(IF(P783&gt;0,P783-(TBIcalc!$H$9),""),"")</f>
        <v>1.0684</v>
      </c>
      <c r="R783" s="223">
        <f>IFERROR(INDEX('Ashed teabags wet'!$K$2:$K$2000,MATCH(K783,'Ashed teabags wet'!$A$2:$A$2000,0)),"")</f>
        <v>8.6138613861387903</v>
      </c>
      <c r="S783" s="223">
        <f t="shared" si="62"/>
        <v>0.97636950495049313</v>
      </c>
      <c r="T783" s="224">
        <f>'WetLitterbags placem_collection'!E124</f>
        <v>42762</v>
      </c>
      <c r="U783" s="224">
        <f>IF('WetLitterbags placem_collection'!G124="","",'WetLitterbags placem_collection'!G124)</f>
        <v>42816</v>
      </c>
      <c r="V783" s="225">
        <f t="shared" si="60"/>
        <v>54</v>
      </c>
      <c r="W783" s="223">
        <f t="shared" si="63"/>
        <v>0.89179999999999993</v>
      </c>
      <c r="X783" s="223">
        <f t="shared" si="64"/>
        <v>0.87573005825147343</v>
      </c>
      <c r="Y783">
        <f>IFERROR(INDEX(Rainfall_Wet!$O$2:$O$217,MATCH(B783, Rainfall_Wet!$A$2:$A$217,0)),"")</f>
        <v>206.85140822299999</v>
      </c>
      <c r="Z783" s="228">
        <v>17.96</v>
      </c>
      <c r="AA783" s="228">
        <v>4.9199999999999982</v>
      </c>
      <c r="AB783" s="228">
        <v>77.12</v>
      </c>
      <c r="AC783" s="229" t="s">
        <v>2655</v>
      </c>
      <c r="AD783" s="228">
        <v>3.02207984228684</v>
      </c>
      <c r="AE783">
        <f>IF('WetLitterbags placem_collection'!AB124="","",'WetLitterbags placem_collection'!AB124)</f>
        <v>3.1</v>
      </c>
      <c r="AF783">
        <f>IF('WetLitterbags placem_collection'!Z124="","",'WetLitterbags placem_collection'!Z124)</f>
        <v>53</v>
      </c>
      <c r="AG783" s="243" t="str">
        <f>IF('WetLitterbags placem_collection'!AA124="","",'WetLitterbags placem_collection'!AA124)</f>
        <v>G</v>
      </c>
      <c r="AH783">
        <f>IF('WetLitterbags placem_collection'!AC124="","",'WetLitterbags placem_collection'!AC124)</f>
        <v>0</v>
      </c>
      <c r="AI783">
        <f>AVERAGE('WetLitterbags placem_collection'!S124,'WetLitterbags placem_collection'!U124)</f>
        <v>11.8</v>
      </c>
      <c r="AJ783">
        <f>AVERAGE('WetLitterbags placem_collection'!R124,'WetLitterbags placem_collection'!T124)</f>
        <v>30.650000000000002</v>
      </c>
      <c r="AK783">
        <f>INDEX(Coordinates!$B$2:$B$197,MATCH(H783,Coordinates!$J$2:$J$197,0))</f>
        <v>-2.34923196</v>
      </c>
      <c r="AL783">
        <f>INDEX(Coordinates!$C$2:$C$197,MATCH(H783,Coordinates!$J$2:$J$197,0))</f>
        <v>34.051422039999999</v>
      </c>
      <c r="AM783" t="str">
        <f>IF(ISNUMBER(SEARCH("C", 'WetLitterbags placem_collection'!$Y124)),"YES","NO")</f>
        <v>NO</v>
      </c>
      <c r="AN783" t="str">
        <f>IF(ISNUMBER(SEARCH("H", 'WetLitterbags placem_collection'!$Y124)),"YES","NO")</f>
        <v>NO</v>
      </c>
      <c r="AO783" t="str">
        <f>IF(ISNUMBER(SEARCH("R", 'WetLitterbags placem_collection'!$Y124)),"YES","NO")</f>
        <v>YES</v>
      </c>
    </row>
    <row r="784" spans="1:41" ht="15" customHeight="1">
      <c r="A784" s="255" t="s">
        <v>2454</v>
      </c>
      <c r="B784" s="260">
        <f>'Dry_Litterbag Placem_Collection'!A125</f>
        <v>123</v>
      </c>
      <c r="C784" s="260" t="str">
        <f>'Dry_Litterbag Placem_Collection'!B125</f>
        <v xml:space="preserve">Mwantimba
</v>
      </c>
      <c r="D784" s="260" t="s">
        <v>2454</v>
      </c>
      <c r="E784" s="260" t="s">
        <v>2644</v>
      </c>
      <c r="F784" s="260">
        <v>4</v>
      </c>
      <c r="G784" s="260" t="s">
        <v>3819</v>
      </c>
      <c r="H784" s="261" t="str">
        <f>'Dry_Litterbag Placem_Collection'!C125</f>
        <v>Wet_Ag4_T3</v>
      </c>
      <c r="I784" s="270" t="s">
        <v>3630</v>
      </c>
      <c r="J784" s="271" t="s">
        <v>298</v>
      </c>
      <c r="K784" s="221" t="str">
        <f>'WetLitterbags placem_collection'!Q125</f>
        <v>R466</v>
      </c>
      <c r="L784" s="223">
        <f>IFERROR(INDEX('Green_rooibos initial weight'!$C$5:$C$2000,MATCH(K784, 'Green_rooibos initial weight'!$A$5:$A$2000,0)),"")</f>
        <v>2.2269999999999999</v>
      </c>
      <c r="M784" s="223">
        <f>IFERROR(L784-(TBIcalc!$H$9+TBIcalc!$H$10),"")</f>
        <v>1.9771999999999998</v>
      </c>
      <c r="N784" s="385">
        <f>AVERAGE(Ashed_controlls!$K$2:$K$11)</f>
        <v>5.5147656768714146</v>
      </c>
      <c r="O784" s="223">
        <f t="shared" si="61"/>
        <v>1.8681620530368983</v>
      </c>
      <c r="P784" s="223">
        <f>IFERROR(INDEX('Both teabags AfterWet'!$C$3:$C$840,MATCH(K784,'Both teabags AfterWet'!$A$3:$A$840,0)),"")</f>
        <v>1.5760000000000001</v>
      </c>
      <c r="Q784" s="223">
        <f>IFERROR(IF(P784&gt;0,P784-(TBIcalc!$H$9),""),"")</f>
        <v>1.4254</v>
      </c>
      <c r="R784" s="223">
        <f>IFERROR(INDEX('Ashed teabags wet'!$K$2:$K$2000,MATCH(K784,'Ashed teabags wet'!$A$2:$A$2000,0)),"")</f>
        <v>3.9460539460533175</v>
      </c>
      <c r="S784" s="223">
        <f t="shared" si="62"/>
        <v>1.369152947052956</v>
      </c>
      <c r="T784" s="224">
        <f>'WetLitterbags placem_collection'!E125</f>
        <v>42762</v>
      </c>
      <c r="U784" s="224">
        <f>IF('WetLitterbags placem_collection'!G125="","",'WetLitterbags placem_collection'!G125)</f>
        <v>42816</v>
      </c>
      <c r="V784" s="225">
        <f t="shared" si="60"/>
        <v>54</v>
      </c>
      <c r="W784" s="223">
        <f t="shared" si="63"/>
        <v>0.55179999999999985</v>
      </c>
      <c r="X784" s="223">
        <f t="shared" si="64"/>
        <v>0.49900910598394232</v>
      </c>
      <c r="Y784">
        <f>IFERROR(INDEX(Rainfall_Wet!$O$2:$O$217,MATCH(B784, Rainfall_Wet!$A$2:$A$217,0)),"")</f>
        <v>206.85140822299999</v>
      </c>
      <c r="Z784" s="228">
        <v>17.96</v>
      </c>
      <c r="AA784" s="228">
        <v>4.9199999999999982</v>
      </c>
      <c r="AB784" s="228">
        <v>77.12</v>
      </c>
      <c r="AC784" s="229" t="s">
        <v>2655</v>
      </c>
      <c r="AD784" s="228">
        <v>4.02207984228684</v>
      </c>
      <c r="AE784">
        <f>IF('WetLitterbags placem_collection'!AB125="","",'WetLitterbags placem_collection'!AB125)</f>
        <v>3.9</v>
      </c>
      <c r="AF784">
        <f>IF('WetLitterbags placem_collection'!Z125="","",'WetLitterbags placem_collection'!Z125)</f>
        <v>51</v>
      </c>
      <c r="AG784" s="243" t="str">
        <f>IF('WetLitterbags placem_collection'!AA125="","",'WetLitterbags placem_collection'!AA125)</f>
        <v>G</v>
      </c>
      <c r="AH784">
        <f>IF('WetLitterbags placem_collection'!AC125="","",'WetLitterbags placem_collection'!AC125)</f>
        <v>1</v>
      </c>
      <c r="AI784">
        <f>AVERAGE('WetLitterbags placem_collection'!S125,'WetLitterbags placem_collection'!U125)</f>
        <v>13.2</v>
      </c>
      <c r="AJ784">
        <f>AVERAGE('WetLitterbags placem_collection'!R125,'WetLitterbags placem_collection'!T125)</f>
        <v>31.85</v>
      </c>
      <c r="AK784">
        <f>INDEX(Coordinates!$B$2:$B$197,MATCH(H784,Coordinates!$J$2:$J$197,0))</f>
        <v>-2.3492390009999999</v>
      </c>
      <c r="AL784">
        <f>INDEX(Coordinates!$C$2:$C$197,MATCH(H784,Coordinates!$J$2:$J$197,0))</f>
        <v>34.051304020000003</v>
      </c>
      <c r="AM784" t="str">
        <f>IF(ISNUMBER(SEARCH("C", 'WetLitterbags placem_collection'!$Y125)),"YES","NO")</f>
        <v>NO</v>
      </c>
      <c r="AN784" t="str">
        <f>IF(ISNUMBER(SEARCH("H", 'WetLitterbags placem_collection'!$Y125)),"YES","NO")</f>
        <v>NO</v>
      </c>
      <c r="AO784" t="str">
        <f>IF(ISNUMBER(SEARCH("R", 'WetLitterbags placem_collection'!$Y125)),"YES","NO")</f>
        <v>NO</v>
      </c>
    </row>
    <row r="785" spans="1:41" ht="15" customHeight="1">
      <c r="A785" s="255" t="s">
        <v>2454</v>
      </c>
      <c r="B785" s="260">
        <f>'Dry_Litterbag Placem_Collection'!A126</f>
        <v>124</v>
      </c>
      <c r="C785" s="260" t="str">
        <f>'Dry_Litterbag Placem_Collection'!B126</f>
        <v xml:space="preserve">Mwantimba
</v>
      </c>
      <c r="D785" s="260" t="s">
        <v>2454</v>
      </c>
      <c r="E785" s="260" t="s">
        <v>2644</v>
      </c>
      <c r="F785" s="260">
        <v>4</v>
      </c>
      <c r="G785" s="260" t="s">
        <v>3819</v>
      </c>
      <c r="H785" s="261" t="str">
        <f>'Dry_Litterbag Placem_Collection'!C126</f>
        <v>Wet_Ag4_T4</v>
      </c>
      <c r="I785" s="270" t="s">
        <v>3630</v>
      </c>
      <c r="J785" s="271" t="s">
        <v>298</v>
      </c>
      <c r="K785" s="221" t="str">
        <f>'WetLitterbags placem_collection'!Q126</f>
        <v>R471</v>
      </c>
      <c r="L785" s="223">
        <f>IFERROR(INDEX('Green_rooibos initial weight'!$C$5:$C$2000,MATCH(K785, 'Green_rooibos initial weight'!$A$5:$A$2000,0)),"")</f>
        <v>2.238</v>
      </c>
      <c r="M785" s="223">
        <f>IFERROR(L785-(TBIcalc!$H$9+TBIcalc!$H$10),"")</f>
        <v>1.9882</v>
      </c>
      <c r="N785" s="385">
        <f>AVERAGE(Ashed_controlls!$K$2:$K$11)</f>
        <v>5.5147656768714146</v>
      </c>
      <c r="O785" s="223">
        <f t="shared" si="61"/>
        <v>1.8785554288124424</v>
      </c>
      <c r="P785" s="223">
        <f>IFERROR(INDEX('Both teabags AfterWet'!$C$3:$C$840,MATCH(K785,'Both teabags AfterWet'!$A$3:$A$840,0)),"")</f>
        <v>1.518</v>
      </c>
      <c r="Q785" s="223">
        <f>IFERROR(IF(P785&gt;0,P785-(TBIcalc!$H$9),""),"")</f>
        <v>1.3673999999999999</v>
      </c>
      <c r="R785" s="223">
        <f>IFERROR(INDEX('Ashed teabags wet'!$K$2:$K$2000,MATCH(K785,'Ashed teabags wet'!$A$2:$A$2000,0)),"")</f>
        <v>3.762376237623815</v>
      </c>
      <c r="S785" s="223">
        <f t="shared" si="62"/>
        <v>1.3159532673267318</v>
      </c>
      <c r="T785" s="224">
        <f>'WetLitterbags placem_collection'!E126</f>
        <v>42762</v>
      </c>
      <c r="U785" s="224">
        <f>IF('WetLitterbags placem_collection'!G126="","",'WetLitterbags placem_collection'!G126)</f>
        <v>42816</v>
      </c>
      <c r="V785" s="225">
        <f t="shared" si="60"/>
        <v>54</v>
      </c>
      <c r="W785" s="223">
        <f t="shared" si="63"/>
        <v>0.62080000000000002</v>
      </c>
      <c r="X785" s="223">
        <f t="shared" si="64"/>
        <v>0.56260216148571063</v>
      </c>
      <c r="Y785">
        <f>IFERROR(INDEX(Rainfall_Wet!$O$2:$O$217,MATCH(B785, Rainfall_Wet!$A$2:$A$217,0)),"")</f>
        <v>206.85140822299999</v>
      </c>
      <c r="Z785" s="228">
        <v>17.96</v>
      </c>
      <c r="AA785" s="228">
        <v>4.9199999999999982</v>
      </c>
      <c r="AB785" s="228">
        <v>77.12</v>
      </c>
      <c r="AC785" s="229" t="s">
        <v>2655</v>
      </c>
      <c r="AD785" s="228">
        <v>5.02207984228684</v>
      </c>
      <c r="AE785">
        <f>IF('WetLitterbags placem_collection'!AB126="","",'WetLitterbags placem_collection'!AB126)</f>
        <v>5.45</v>
      </c>
      <c r="AF785">
        <f>IF('WetLitterbags placem_collection'!Z126="","",'WetLitterbags placem_collection'!Z126)</f>
        <v>47</v>
      </c>
      <c r="AG785" s="243" t="str">
        <f>IF('WetLitterbags placem_collection'!AA126="","",'WetLitterbags placem_collection'!AA126)</f>
        <v>G</v>
      </c>
      <c r="AH785">
        <f>IF('WetLitterbags placem_collection'!AC126="","",'WetLitterbags placem_collection'!AC126)</f>
        <v>1</v>
      </c>
      <c r="AI785">
        <f>AVERAGE('WetLitterbags placem_collection'!S126,'WetLitterbags placem_collection'!U126)</f>
        <v>18.2</v>
      </c>
      <c r="AJ785">
        <f>AVERAGE('WetLitterbags placem_collection'!R126,'WetLitterbags placem_collection'!T126)</f>
        <v>31.1</v>
      </c>
      <c r="AK785">
        <f>INDEX(Coordinates!$B$2:$B$197,MATCH(H785,Coordinates!$J$2:$J$197,0))</f>
        <v>-2.3492799889999998</v>
      </c>
      <c r="AL785">
        <f>INDEX(Coordinates!$C$2:$C$197,MATCH(H785,Coordinates!$J$2:$J$197,0))</f>
        <v>34.051280970000001</v>
      </c>
      <c r="AM785" t="str">
        <f>IF(ISNUMBER(SEARCH("C", 'WetLitterbags placem_collection'!$Y126)),"YES","NO")</f>
        <v>NO</v>
      </c>
      <c r="AN785" t="str">
        <f>IF(ISNUMBER(SEARCH("H", 'WetLitterbags placem_collection'!$Y126)),"YES","NO")</f>
        <v>NO</v>
      </c>
      <c r="AO785" t="str">
        <f>IF(ISNUMBER(SEARCH("R", 'WetLitterbags placem_collection'!$Y126)),"YES","NO")</f>
        <v>NO</v>
      </c>
    </row>
    <row r="786" spans="1:41" ht="15" customHeight="1">
      <c r="A786" s="255" t="s">
        <v>2454</v>
      </c>
      <c r="B786" s="260">
        <f>'Dry_Litterbag Placem_Collection'!A127</f>
        <v>125</v>
      </c>
      <c r="C786" s="260" t="str">
        <f>'Dry_Litterbag Placem_Collection'!B127</f>
        <v xml:space="preserve">Mwantimba
</v>
      </c>
      <c r="D786" s="260" t="s">
        <v>2454</v>
      </c>
      <c r="E786" s="260" t="s">
        <v>2644</v>
      </c>
      <c r="F786" s="260">
        <v>4</v>
      </c>
      <c r="G786" s="260" t="s">
        <v>3819</v>
      </c>
      <c r="H786" s="261" t="str">
        <f>'Dry_Litterbag Placem_Collection'!C127</f>
        <v>Wet_Ag4_T5</v>
      </c>
      <c r="I786" s="270" t="s">
        <v>3630</v>
      </c>
      <c r="J786" s="271" t="s">
        <v>298</v>
      </c>
      <c r="K786" s="221" t="str">
        <f>'WetLitterbags placem_collection'!Q127</f>
        <v>R486</v>
      </c>
      <c r="L786" s="223">
        <f>IFERROR(INDEX('Green_rooibos initial weight'!$C$5:$C$2000,MATCH(K786, 'Green_rooibos initial weight'!$A$5:$A$2000,0)),"")</f>
        <v>2.218</v>
      </c>
      <c r="M786" s="223">
        <f>IFERROR(L786-(TBIcalc!$H$9+TBIcalc!$H$10),"")</f>
        <v>1.9681999999999999</v>
      </c>
      <c r="N786" s="385">
        <f>AVERAGE(Ashed_controlls!$K$2:$K$11)</f>
        <v>5.5147656768714146</v>
      </c>
      <c r="O786" s="223">
        <f t="shared" si="61"/>
        <v>1.8596583819478167</v>
      </c>
      <c r="P786" s="223">
        <f>IFERROR(INDEX('Both teabags AfterWet'!$C$3:$C$840,MATCH(K786,'Both teabags AfterWet'!$A$3:$A$840,0)),"")</f>
        <v>1.389</v>
      </c>
      <c r="Q786" s="223">
        <f>IFERROR(IF(P786&gt;0,P786-(TBIcalc!$H$9),""),"")</f>
        <v>1.2383999999999999</v>
      </c>
      <c r="R786" s="223">
        <f>IFERROR(INDEX('Ashed teabags wet'!$K$2:$K$2000,MATCH(K786,'Ashed teabags wet'!$A$2:$A$2000,0)),"")</f>
        <v>4.2372881355932517</v>
      </c>
      <c r="S786" s="223">
        <f t="shared" si="62"/>
        <v>1.185925423728813</v>
      </c>
      <c r="T786" s="224">
        <f>'WetLitterbags placem_collection'!E127</f>
        <v>42762</v>
      </c>
      <c r="U786" s="224">
        <f>IF('WetLitterbags placem_collection'!G127="","",'WetLitterbags placem_collection'!G127)</f>
        <v>42816</v>
      </c>
      <c r="V786" s="225">
        <f t="shared" si="60"/>
        <v>54</v>
      </c>
      <c r="W786" s="223">
        <f t="shared" si="63"/>
        <v>0.7298</v>
      </c>
      <c r="X786" s="223">
        <f t="shared" si="64"/>
        <v>0.6737329582190037</v>
      </c>
      <c r="Y786">
        <f>IFERROR(INDEX(Rainfall_Wet!$O$2:$O$217,MATCH(B786, Rainfall_Wet!$A$2:$A$217,0)),"")</f>
        <v>206.85140822299999</v>
      </c>
      <c r="Z786" s="228">
        <v>17.96</v>
      </c>
      <c r="AA786" s="228">
        <v>4.9199999999999982</v>
      </c>
      <c r="AB786" s="228">
        <v>77.12</v>
      </c>
      <c r="AC786" s="229" t="s">
        <v>2655</v>
      </c>
      <c r="AD786" s="228">
        <v>6.02207984228684</v>
      </c>
      <c r="AE786">
        <f>IF('WetLitterbags placem_collection'!AB127="","",'WetLitterbags placem_collection'!AB127)</f>
        <v>9.3000000000000007</v>
      </c>
      <c r="AF786">
        <f>IF('WetLitterbags placem_collection'!Z127="","",'WetLitterbags placem_collection'!Z127)</f>
        <v>43</v>
      </c>
      <c r="AG786" s="243" t="str">
        <f>IF('WetLitterbags placem_collection'!AA127="","",'WetLitterbags placem_collection'!AA127)</f>
        <v>G</v>
      </c>
      <c r="AH786">
        <f>IF('WetLitterbags placem_collection'!AC127="","",'WetLitterbags placem_collection'!AC127)</f>
        <v>1</v>
      </c>
      <c r="AI786">
        <f>AVERAGE('WetLitterbags placem_collection'!S127,'WetLitterbags placem_collection'!U127)</f>
        <v>19.25</v>
      </c>
      <c r="AJ786">
        <f>AVERAGE('WetLitterbags placem_collection'!R127,'WetLitterbags placem_collection'!T127)</f>
        <v>32.049999999999997</v>
      </c>
      <c r="AK786">
        <f>INDEX(Coordinates!$B$2:$B$197,MATCH(H786,Coordinates!$J$2:$J$197,0))</f>
        <v>-2.3493320400000002</v>
      </c>
      <c r="AL786">
        <f>INDEX(Coordinates!$C$2:$C$197,MATCH(H786,Coordinates!$J$2:$J$197,0))</f>
        <v>34.051321960000003</v>
      </c>
      <c r="AM786" t="str">
        <f>IF(ISNUMBER(SEARCH("C", 'WetLitterbags placem_collection'!$Y127)),"YES","NO")</f>
        <v>NO</v>
      </c>
      <c r="AN786" t="str">
        <f>IF(ISNUMBER(SEARCH("H", 'WetLitterbags placem_collection'!$Y127)),"YES","NO")</f>
        <v>NO</v>
      </c>
      <c r="AO786" t="str">
        <f>IF(ISNUMBER(SEARCH("R", 'WetLitterbags placem_collection'!$Y127)),"YES","NO")</f>
        <v>YES</v>
      </c>
    </row>
    <row r="787" spans="1:41" ht="15" customHeight="1">
      <c r="A787" s="255" t="s">
        <v>2454</v>
      </c>
      <c r="B787" s="260">
        <f>'Dry_Litterbag Placem_Collection'!A128</f>
        <v>126</v>
      </c>
      <c r="C787" s="260" t="str">
        <f>'Dry_Litterbag Placem_Collection'!B128</f>
        <v xml:space="preserve">Mwantimba
</v>
      </c>
      <c r="D787" s="260" t="s">
        <v>2454</v>
      </c>
      <c r="E787" s="260" t="s">
        <v>2644</v>
      </c>
      <c r="F787" s="260">
        <v>4</v>
      </c>
      <c r="G787" s="260" t="s">
        <v>3819</v>
      </c>
      <c r="H787" s="261" t="str">
        <f>'Dry_Litterbag Placem_Collection'!C128</f>
        <v>Wet_Ag4_T6</v>
      </c>
      <c r="I787" s="270" t="s">
        <v>3630</v>
      </c>
      <c r="J787" s="271" t="s">
        <v>298</v>
      </c>
      <c r="K787" s="221" t="str">
        <f>'WetLitterbags placem_collection'!Q128</f>
        <v>R55</v>
      </c>
      <c r="L787" s="223">
        <f>IFERROR(INDEX('Green_rooibos initial weight'!$C$5:$C$2000,MATCH(K787, 'Green_rooibos initial weight'!$A$5:$A$2000,0)),"")</f>
        <v>2.2010000000000001</v>
      </c>
      <c r="M787" s="223">
        <f>IFERROR(L787-(TBIcalc!$H$9+TBIcalc!$H$10),"")</f>
        <v>1.9512</v>
      </c>
      <c r="N787" s="385">
        <f>AVERAGE(Ashed_controlls!$K$2:$K$11)</f>
        <v>5.5147656768714146</v>
      </c>
      <c r="O787" s="223">
        <f t="shared" si="61"/>
        <v>1.843595892112885</v>
      </c>
      <c r="P787" s="223">
        <f>IFERROR(INDEX('Both teabags AfterWet'!$C$3:$C$840,MATCH(K787,'Both teabags AfterWet'!$A$3:$A$840,0)),"")</f>
        <v>1.4419999999999999</v>
      </c>
      <c r="Q787" s="223">
        <f>IFERROR(IF(P787&gt;0,P787-(TBIcalc!$H$9),""),"")</f>
        <v>1.2913999999999999</v>
      </c>
      <c r="R787" s="223">
        <f>IFERROR(INDEX('Ashed teabags wet'!$K$2:$K$2000,MATCH(K787,'Ashed teabags wet'!$A$2:$A$2000,0)),"")</f>
        <v>3.9111540318678832</v>
      </c>
      <c r="S787" s="223">
        <f t="shared" si="62"/>
        <v>1.240891356832458</v>
      </c>
      <c r="T787" s="224">
        <f>'WetLitterbags placem_collection'!E128</f>
        <v>42762</v>
      </c>
      <c r="U787" s="224">
        <f>IF('WetLitterbags placem_collection'!G128="","",'WetLitterbags placem_collection'!G128)</f>
        <v>42816</v>
      </c>
      <c r="V787" s="225">
        <f t="shared" si="60"/>
        <v>54</v>
      </c>
      <c r="W787" s="223">
        <f t="shared" si="63"/>
        <v>0.65980000000000016</v>
      </c>
      <c r="X787" s="223">
        <f t="shared" si="64"/>
        <v>0.602704535280427</v>
      </c>
      <c r="Y787">
        <f>IFERROR(INDEX(Rainfall_Wet!$O$2:$O$217,MATCH(B787, Rainfall_Wet!$A$2:$A$217,0)),"")</f>
        <v>206.85140822299999</v>
      </c>
      <c r="Z787" s="228">
        <v>17.96</v>
      </c>
      <c r="AA787" s="228">
        <v>4.9199999999999982</v>
      </c>
      <c r="AB787" s="228">
        <v>77.12</v>
      </c>
      <c r="AC787" s="229" t="s">
        <v>2655</v>
      </c>
      <c r="AD787" s="228">
        <v>7.02207984228684</v>
      </c>
      <c r="AE787">
        <f>IF('WetLitterbags placem_collection'!AB128="","",'WetLitterbags placem_collection'!AB128)</f>
        <v>10.85</v>
      </c>
      <c r="AF787">
        <f>IF('WetLitterbags placem_collection'!Z128="","",'WetLitterbags placem_collection'!Z128)</f>
        <v>40</v>
      </c>
      <c r="AG787" s="243" t="str">
        <f>IF('WetLitterbags placem_collection'!AA128="","",'WetLitterbags placem_collection'!AA128)</f>
        <v>G</v>
      </c>
      <c r="AH787">
        <f>IF('WetLitterbags placem_collection'!AC128="","",'WetLitterbags placem_collection'!AC128)</f>
        <v>1</v>
      </c>
      <c r="AI787">
        <f>AVERAGE('WetLitterbags placem_collection'!S128,'WetLitterbags placem_collection'!U128)</f>
        <v>16.649999999999999</v>
      </c>
      <c r="AJ787">
        <f>AVERAGE('WetLitterbags placem_collection'!R128,'WetLitterbags placem_collection'!T128)</f>
        <v>32</v>
      </c>
      <c r="AK787">
        <f>INDEX(Coordinates!$B$2:$B$197,MATCH(H787,Coordinates!$J$2:$J$197,0))</f>
        <v>-2.3493509829999999</v>
      </c>
      <c r="AL787">
        <f>INDEX(Coordinates!$C$2:$C$197,MATCH(H787,Coordinates!$J$2:$J$197,0))</f>
        <v>34.051332019999997</v>
      </c>
      <c r="AM787" t="str">
        <f>IF(ISNUMBER(SEARCH("C", 'WetLitterbags placem_collection'!$Y128)),"YES","NO")</f>
        <v>NO</v>
      </c>
      <c r="AN787" t="str">
        <f>IF(ISNUMBER(SEARCH("H", 'WetLitterbags placem_collection'!$Y128)),"YES","NO")</f>
        <v>NO</v>
      </c>
      <c r="AO787" t="str">
        <f>IF(ISNUMBER(SEARCH("R", 'WetLitterbags placem_collection'!$Y128)),"YES","NO")</f>
        <v>YES</v>
      </c>
    </row>
    <row r="788" spans="1:41" ht="15" customHeight="1">
      <c r="A788" s="255" t="s">
        <v>2454</v>
      </c>
      <c r="B788" s="260">
        <f>'Dry_Litterbag Placem_Collection'!A129</f>
        <v>127</v>
      </c>
      <c r="C788" s="260" t="str">
        <f>'Dry_Litterbag Placem_Collection'!B129</f>
        <v xml:space="preserve">Mwantimba
</v>
      </c>
      <c r="D788" s="260" t="s">
        <v>2454</v>
      </c>
      <c r="E788" s="260" t="s">
        <v>2644</v>
      </c>
      <c r="F788" s="260">
        <v>4</v>
      </c>
      <c r="G788" s="260" t="s">
        <v>3819</v>
      </c>
      <c r="H788" s="261" t="str">
        <f>'Dry_Litterbag Placem_Collection'!C129</f>
        <v>Wet_Ag4_T7</v>
      </c>
      <c r="I788" s="270" t="s">
        <v>3630</v>
      </c>
      <c r="J788" s="271" t="s">
        <v>298</v>
      </c>
      <c r="K788" s="221" t="str">
        <f>'WetLitterbags placem_collection'!Q129</f>
        <v>R424</v>
      </c>
      <c r="L788" s="223">
        <f>IFERROR(INDEX('Green_rooibos initial weight'!$C$5:$C$2000,MATCH(K788, 'Green_rooibos initial weight'!$A$5:$A$2000,0)),"")</f>
        <v>2.214</v>
      </c>
      <c r="M788" s="223">
        <f>IFERROR(L788-(TBIcalc!$H$9+TBIcalc!$H$10),"")</f>
        <v>1.9641999999999999</v>
      </c>
      <c r="N788" s="385">
        <f>AVERAGE(Ashed_controlls!$K$2:$K$11)</f>
        <v>5.5147656768714146</v>
      </c>
      <c r="O788" s="223">
        <f t="shared" si="61"/>
        <v>1.8558789725748916</v>
      </c>
      <c r="P788" s="223">
        <f>IFERROR(INDEX('Both teabags AfterWet'!$C$3:$C$840,MATCH(K788,'Both teabags AfterWet'!$A$3:$A$840,0)),"")</f>
        <v>1.552</v>
      </c>
      <c r="Q788" s="223">
        <f>IFERROR(IF(P788&gt;0,P788-(TBIcalc!$H$9),""),"")</f>
        <v>1.4014</v>
      </c>
      <c r="R788" s="223">
        <f>IFERROR(INDEX('Ashed teabags wet'!$K$2:$K$2000,MATCH(K788,'Ashed teabags wet'!$A$2:$A$2000,0)),"")</f>
        <v>7.3429951690818136</v>
      </c>
      <c r="S788" s="223">
        <f t="shared" si="62"/>
        <v>1.2984952657004873</v>
      </c>
      <c r="T788" s="224">
        <f>'WetLitterbags placem_collection'!E129</f>
        <v>42762</v>
      </c>
      <c r="U788" s="224">
        <f>IF('WetLitterbags placem_collection'!G129="","",'WetLitterbags placem_collection'!G129)</f>
        <v>42816</v>
      </c>
      <c r="V788" s="225">
        <f t="shared" si="60"/>
        <v>54</v>
      </c>
      <c r="W788" s="223">
        <f t="shared" si="63"/>
        <v>0.56279999999999997</v>
      </c>
      <c r="X788" s="223">
        <f t="shared" si="64"/>
        <v>0.55738370687440431</v>
      </c>
      <c r="Y788">
        <f>IFERROR(INDEX(Rainfall_Wet!$O$2:$O$217,MATCH(B788, Rainfall_Wet!$A$2:$A$217,0)),"")</f>
        <v>206.85140822299999</v>
      </c>
      <c r="Z788" s="228">
        <v>17.96</v>
      </c>
      <c r="AA788" s="228">
        <v>4.9199999999999982</v>
      </c>
      <c r="AB788" s="228">
        <v>77.12</v>
      </c>
      <c r="AC788" s="229" t="s">
        <v>2655</v>
      </c>
      <c r="AD788" s="228">
        <v>8.0220798422868391</v>
      </c>
      <c r="AE788">
        <f>IF('WetLitterbags placem_collection'!AB129="","",'WetLitterbags placem_collection'!AB129)</f>
        <v>5.35</v>
      </c>
      <c r="AF788">
        <f>IF('WetLitterbags placem_collection'!Z129="","",'WetLitterbags placem_collection'!Z129)</f>
        <v>58</v>
      </c>
      <c r="AG788" s="243" t="str">
        <f>IF('WetLitterbags placem_collection'!AA129="","",'WetLitterbags placem_collection'!AA129)</f>
        <v>G</v>
      </c>
      <c r="AH788">
        <f>IF('WetLitterbags placem_collection'!AC129="","",'WetLitterbags placem_collection'!AC129)</f>
        <v>1</v>
      </c>
      <c r="AI788">
        <f>AVERAGE('WetLitterbags placem_collection'!S129,'WetLitterbags placem_collection'!U129)</f>
        <v>15.8</v>
      </c>
      <c r="AJ788">
        <f>AVERAGE('WetLitterbags placem_collection'!R129,'WetLitterbags placem_collection'!T129)</f>
        <v>31.55</v>
      </c>
      <c r="AK788">
        <f>INDEX(Coordinates!$B$2:$B$197,MATCH(H788,Coordinates!$J$2:$J$197,0))</f>
        <v>-2.3491850219999999</v>
      </c>
      <c r="AL788">
        <f>INDEX(Coordinates!$C$2:$C$197,MATCH(H788,Coordinates!$J$2:$J$197,0))</f>
        <v>34.051264959999997</v>
      </c>
      <c r="AM788" t="str">
        <f>IF(ISNUMBER(SEARCH("C", 'WetLitterbags placem_collection'!$Y129)),"YES","NO")</f>
        <v>NO</v>
      </c>
      <c r="AN788" t="str">
        <f>IF(ISNUMBER(SEARCH("H", 'WetLitterbags placem_collection'!$Y129)),"YES","NO")</f>
        <v>NO</v>
      </c>
      <c r="AO788" t="str">
        <f>IF(ISNUMBER(SEARCH("R", 'WetLitterbags placem_collection'!$Y129)),"YES","NO")</f>
        <v>YES</v>
      </c>
    </row>
    <row r="789" spans="1:41" ht="15" customHeight="1">
      <c r="A789" s="255" t="s">
        <v>2454</v>
      </c>
      <c r="B789" s="260">
        <f>'Dry_Litterbag Placem_Collection'!A130</f>
        <v>128</v>
      </c>
      <c r="C789" s="260" t="str">
        <f>'Dry_Litterbag Placem_Collection'!B130</f>
        <v xml:space="preserve">Mwantimba
</v>
      </c>
      <c r="D789" s="260" t="s">
        <v>2454</v>
      </c>
      <c r="E789" s="260" t="s">
        <v>2644</v>
      </c>
      <c r="F789" s="260">
        <v>4</v>
      </c>
      <c r="G789" s="260" t="s">
        <v>3819</v>
      </c>
      <c r="H789" s="261" t="str">
        <f>'Dry_Litterbag Placem_Collection'!C130</f>
        <v>Wet_Ag4_T8</v>
      </c>
      <c r="I789" s="270" t="s">
        <v>3630</v>
      </c>
      <c r="J789" s="271" t="s">
        <v>298</v>
      </c>
      <c r="K789" s="221" t="str">
        <f>'WetLitterbags placem_collection'!Q130</f>
        <v>R418</v>
      </c>
      <c r="L789" s="223">
        <f>IFERROR(INDEX('Green_rooibos initial weight'!$C$5:$C$2000,MATCH(K789, 'Green_rooibos initial weight'!$A$5:$A$2000,0)),"")</f>
        <v>2.2029999999999998</v>
      </c>
      <c r="M789" s="223">
        <f>IFERROR(L789-(TBIcalc!$H$9+TBIcalc!$H$10),"")</f>
        <v>1.9531999999999998</v>
      </c>
      <c r="N789" s="385">
        <f>AVERAGE(Ashed_controlls!$K$2:$K$11)</f>
        <v>5.5147656768714146</v>
      </c>
      <c r="O789" s="223">
        <f t="shared" si="61"/>
        <v>1.8454855967993473</v>
      </c>
      <c r="P789" s="223">
        <f>IFERROR(INDEX('Both teabags AfterWet'!$C$3:$C$840,MATCH(K789,'Both teabags AfterWet'!$A$3:$A$840,0)),"")</f>
        <v>1.4119999999999999</v>
      </c>
      <c r="Q789" s="223">
        <f>IFERROR(IF(P789&gt;0,P789-(TBIcalc!$H$9),""),"")</f>
        <v>1.2613999999999999</v>
      </c>
      <c r="R789" s="223">
        <f>IFERROR(INDEX('Ashed teabags wet'!$K$2:$K$2000,MATCH(K789,'Ashed teabags wet'!$A$2:$A$2000,0)),"")</f>
        <v>4.4282238442810895</v>
      </c>
      <c r="S789" s="223">
        <f t="shared" si="62"/>
        <v>1.2055423844282382</v>
      </c>
      <c r="T789" s="224">
        <f>'WetLitterbags placem_collection'!E130</f>
        <v>42762</v>
      </c>
      <c r="U789" s="224">
        <f>IF('WetLitterbags placem_collection'!G130="","",'WetLitterbags placem_collection'!G130)</f>
        <v>42816</v>
      </c>
      <c r="V789" s="225">
        <f t="shared" si="60"/>
        <v>54</v>
      </c>
      <c r="W789" s="223">
        <f t="shared" si="63"/>
        <v>0.69179999999999997</v>
      </c>
      <c r="X789" s="223">
        <f t="shared" si="64"/>
        <v>0.63994321237110907</v>
      </c>
      <c r="Y789">
        <f>IFERROR(INDEX(Rainfall_Wet!$O$2:$O$217,MATCH(B789, Rainfall_Wet!$A$2:$A$217,0)),"")</f>
        <v>206.85140822299999</v>
      </c>
      <c r="Z789" s="228">
        <v>17.96</v>
      </c>
      <c r="AA789" s="228">
        <v>4.9199999999999982</v>
      </c>
      <c r="AB789" s="228">
        <v>77.12</v>
      </c>
      <c r="AC789" s="229" t="s">
        <v>2655</v>
      </c>
      <c r="AD789" s="228">
        <v>9.0220798422868391</v>
      </c>
      <c r="AE789">
        <f>IF('WetLitterbags placem_collection'!AB130="","",'WetLitterbags placem_collection'!AB130)</f>
        <v>10.9</v>
      </c>
      <c r="AF789">
        <f>IF('WetLitterbags placem_collection'!Z130="","",'WetLitterbags placem_collection'!Z130)</f>
        <v>44</v>
      </c>
      <c r="AG789" s="243" t="str">
        <f>IF('WetLitterbags placem_collection'!AA130="","",'WetLitterbags placem_collection'!AA130)</f>
        <v>G</v>
      </c>
      <c r="AH789">
        <f>IF('WetLitterbags placem_collection'!AC130="","",'WetLitterbags placem_collection'!AC130)</f>
        <v>0</v>
      </c>
      <c r="AI789">
        <f>AVERAGE('WetLitterbags placem_collection'!S130,'WetLitterbags placem_collection'!U130)</f>
        <v>8.15</v>
      </c>
      <c r="AJ789">
        <f>AVERAGE('WetLitterbags placem_collection'!R130,'WetLitterbags placem_collection'!T130)</f>
        <v>31.650000000000002</v>
      </c>
      <c r="AK789">
        <f>INDEX(Coordinates!$B$2:$B$197,MATCH(H789,Coordinates!$J$2:$J$197,0))</f>
        <v>-2.3493099960000001</v>
      </c>
      <c r="AL789">
        <f>INDEX(Coordinates!$C$2:$C$197,MATCH(H789,Coordinates!$J$2:$J$197,0))</f>
        <v>34.05141802</v>
      </c>
      <c r="AM789" t="str">
        <f>IF(ISNUMBER(SEARCH("C", 'WetLitterbags placem_collection'!$Y130)),"YES","NO")</f>
        <v>NO</v>
      </c>
      <c r="AN789" t="str">
        <f>IF(ISNUMBER(SEARCH("H", 'WetLitterbags placem_collection'!$Y130)),"YES","NO")</f>
        <v>NO</v>
      </c>
      <c r="AO789" t="str">
        <f>IF(ISNUMBER(SEARCH("R", 'WetLitterbags placem_collection'!$Y130)),"YES","NO")</f>
        <v>YES</v>
      </c>
    </row>
    <row r="790" spans="1:41" ht="15" customHeight="1">
      <c r="A790" s="255" t="s">
        <v>2454</v>
      </c>
      <c r="B790" s="260">
        <f>'Dry_Litterbag Placem_Collection'!A131</f>
        <v>129</v>
      </c>
      <c r="C790" s="260" t="str">
        <f>'Dry_Litterbag Placem_Collection'!B131</f>
        <v xml:space="preserve">Mwantimba
</v>
      </c>
      <c r="D790" s="260" t="s">
        <v>2454</v>
      </c>
      <c r="E790" s="260" t="s">
        <v>20</v>
      </c>
      <c r="F790" s="260">
        <v>1</v>
      </c>
      <c r="G790" s="260" t="s">
        <v>3820</v>
      </c>
      <c r="H790" s="261" t="str">
        <f>'Dry_Litterbag Placem_Collection'!C131</f>
        <v>Wet_P1_T1</v>
      </c>
      <c r="I790" s="270" t="s">
        <v>3630</v>
      </c>
      <c r="J790" s="271" t="s">
        <v>298</v>
      </c>
      <c r="K790" s="221" t="str">
        <f>'WetLitterbags placem_collection'!Q131</f>
        <v>R520</v>
      </c>
      <c r="L790" s="223">
        <f>IFERROR(INDEX('Green_rooibos initial weight'!$C$5:$C$2000,MATCH(K790, 'Green_rooibos initial weight'!$A$5:$A$2000,0)),"")</f>
        <v>2.2210000000000001</v>
      </c>
      <c r="M790" s="223">
        <f>IFERROR(L790-(TBIcalc!$H$9+TBIcalc!$H$10),"")</f>
        <v>1.9712000000000001</v>
      </c>
      <c r="N790" s="385">
        <f>AVERAGE(Ashed_controlls!$K$2:$K$11)</f>
        <v>5.5147656768714146</v>
      </c>
      <c r="O790" s="223">
        <f t="shared" si="61"/>
        <v>1.8624929389775107</v>
      </c>
      <c r="P790" s="223">
        <f>IFERROR(INDEX('Both teabags AfterWet'!$C$3:$C$840,MATCH(K790,'Both teabags AfterWet'!$A$3:$A$840,0)),"")</f>
        <v>1.5878000000000001</v>
      </c>
      <c r="Q790" s="223">
        <f>IFERROR(IF(P790&gt;0,P790-(TBIcalc!$H$9),""),"")</f>
        <v>1.4372</v>
      </c>
      <c r="R790" s="223">
        <f>IFERROR(INDEX('Ashed teabags wet'!$K$2:$K$2000,MATCH(K790,'Ashed teabags wet'!$A$2:$A$2000,0)),"")</f>
        <v>5.5940594059407749</v>
      </c>
      <c r="S790" s="223">
        <f t="shared" si="62"/>
        <v>1.3568021782178192</v>
      </c>
      <c r="T790" s="224">
        <f>'WetLitterbags placem_collection'!E131</f>
        <v>42762</v>
      </c>
      <c r="U790" s="224">
        <f>IF('WetLitterbags placem_collection'!G131="","",'WetLitterbags placem_collection'!G131)</f>
        <v>42816</v>
      </c>
      <c r="V790" s="225">
        <f t="shared" si="60"/>
        <v>54</v>
      </c>
      <c r="W790" s="223">
        <f t="shared" si="63"/>
        <v>0.53400000000000003</v>
      </c>
      <c r="X790" s="223">
        <f t="shared" si="64"/>
        <v>0.50569076075969144</v>
      </c>
      <c r="Y790">
        <f>IFERROR(INDEX(Rainfall_Wet!$O$2:$O$217,MATCH(B790, Rainfall_Wet!$A$2:$A$217,0)),"")</f>
        <v>206.85140822299999</v>
      </c>
      <c r="Z790" s="228">
        <v>31.214836424255054</v>
      </c>
      <c r="AA790" s="228">
        <v>11.377370285476141</v>
      </c>
      <c r="AB790" s="228">
        <v>57.407793290268799</v>
      </c>
      <c r="AC790" s="229" t="s">
        <v>2654</v>
      </c>
      <c r="AD790" s="228">
        <v>1.7337604731394776</v>
      </c>
      <c r="AE790">
        <f>IF('WetLitterbags placem_collection'!AB131="","",'WetLitterbags placem_collection'!AB131)</f>
        <v>2.4</v>
      </c>
      <c r="AF790">
        <f>IF('WetLitterbags placem_collection'!Z131="","",'WetLitterbags placem_collection'!Z131)</f>
        <v>2.4</v>
      </c>
      <c r="AG790" s="243" t="str">
        <f>IF('WetLitterbags placem_collection'!AA131="","",'WetLitterbags placem_collection'!AA131)</f>
        <v>O</v>
      </c>
      <c r="AH790">
        <f>IF('WetLitterbags placem_collection'!AC131="","",'WetLitterbags placem_collection'!AC131)</f>
        <v>1</v>
      </c>
      <c r="AI790">
        <f>AVERAGE('WetLitterbags placem_collection'!S131,'WetLitterbags placem_collection'!U131)</f>
        <v>15.05</v>
      </c>
      <c r="AJ790">
        <f>AVERAGE('WetLitterbags placem_collection'!R131,'WetLitterbags placem_collection'!T131)</f>
        <v>28</v>
      </c>
      <c r="AK790">
        <f>INDEX(Coordinates!$B$2:$B$197,MATCH(H790,Coordinates!$J$2:$J$197,0))</f>
        <v>-2.3503360249999998</v>
      </c>
      <c r="AL790">
        <f>INDEX(Coordinates!$C$2:$C$197,MATCH(H790,Coordinates!$J$2:$J$197,0))</f>
        <v>34.049662009999999</v>
      </c>
      <c r="AM790" t="str">
        <f>IF(ISNUMBER(SEARCH("C", 'WetLitterbags placem_collection'!$Y131)),"YES","NO")</f>
        <v>NO</v>
      </c>
      <c r="AN790" t="str">
        <f>IF(ISNUMBER(SEARCH("H", 'WetLitterbags placem_collection'!$Y131)),"YES","NO")</f>
        <v>NO</v>
      </c>
      <c r="AO790" t="str">
        <f>IF(ISNUMBER(SEARCH("R", 'WetLitterbags placem_collection'!$Y131)),"YES","NO")</f>
        <v>NO</v>
      </c>
    </row>
    <row r="791" spans="1:41" ht="15" customHeight="1">
      <c r="A791" s="255" t="s">
        <v>2454</v>
      </c>
      <c r="B791" s="260">
        <f>'Dry_Litterbag Placem_Collection'!A132</f>
        <v>130</v>
      </c>
      <c r="C791" s="260" t="str">
        <f>'Dry_Litterbag Placem_Collection'!B132</f>
        <v xml:space="preserve">Mwantimba
</v>
      </c>
      <c r="D791" s="260" t="s">
        <v>2454</v>
      </c>
      <c r="E791" s="260" t="s">
        <v>20</v>
      </c>
      <c r="F791" s="260">
        <v>1</v>
      </c>
      <c r="G791" s="260" t="s">
        <v>3820</v>
      </c>
      <c r="H791" s="261" t="str">
        <f>'Dry_Litterbag Placem_Collection'!C132</f>
        <v>Wet_P1_T2</v>
      </c>
      <c r="I791" s="270" t="s">
        <v>3630</v>
      </c>
      <c r="J791" s="271" t="s">
        <v>298</v>
      </c>
      <c r="K791" s="221" t="str">
        <f>'WetLitterbags placem_collection'!Q132</f>
        <v>R433</v>
      </c>
      <c r="L791" s="223">
        <f>IFERROR(INDEX('Green_rooibos initial weight'!$C$5:$C$2000,MATCH(K791, 'Green_rooibos initial weight'!$A$5:$A$2000,0)),"")</f>
        <v>2.0750000000000002</v>
      </c>
      <c r="M791" s="223">
        <f>IFERROR(L791-(TBIcalc!$H$9+TBIcalc!$H$10),"")</f>
        <v>1.8252000000000002</v>
      </c>
      <c r="N791" s="385">
        <f>AVERAGE(Ashed_controlls!$K$2:$K$11)</f>
        <v>5.5147656768714146</v>
      </c>
      <c r="O791" s="223">
        <f t="shared" si="61"/>
        <v>1.7245444968657431</v>
      </c>
      <c r="P791" s="223">
        <f>IFERROR(INDEX('Both teabags AfterWet'!$C$3:$C$840,MATCH(K791,'Both teabags AfterWet'!$A$3:$A$840,0)),"")</f>
        <v>1.5069999999999999</v>
      </c>
      <c r="Q791" s="223">
        <f>IFERROR(IF(P791&gt;0,P791-(TBIcalc!$H$9),""),"")</f>
        <v>1.3563999999999998</v>
      </c>
      <c r="R791" s="223">
        <f>IFERROR(INDEX('Ashed teabags wet'!$K$2:$K$2000,MATCH(K791,'Ashed teabags wet'!$A$2:$A$2000,0)),"")</f>
        <v>5.1420176297748439</v>
      </c>
      <c r="S791" s="223">
        <f t="shared" si="62"/>
        <v>1.2866536728697338</v>
      </c>
      <c r="T791" s="224">
        <f>'WetLitterbags placem_collection'!E132</f>
        <v>42762</v>
      </c>
      <c r="U791" s="224">
        <f>IF('WetLitterbags placem_collection'!G132="","",'WetLitterbags placem_collection'!G132)</f>
        <v>42816</v>
      </c>
      <c r="V791" s="225">
        <f t="shared" si="60"/>
        <v>54</v>
      </c>
      <c r="W791" s="223">
        <f t="shared" si="63"/>
        <v>0.46880000000000033</v>
      </c>
      <c r="X791" s="223">
        <f t="shared" si="64"/>
        <v>0.43789082399600932</v>
      </c>
      <c r="Y791">
        <f>IFERROR(INDEX(Rainfall_Wet!$O$2:$O$217,MATCH(B791, Rainfall_Wet!$A$2:$A$217,0)),"")</f>
        <v>206.85140822299999</v>
      </c>
      <c r="Z791" s="228">
        <v>31.214836424255054</v>
      </c>
      <c r="AA791" s="228">
        <v>11.377370285476141</v>
      </c>
      <c r="AB791" s="228">
        <v>57.407793290268799</v>
      </c>
      <c r="AC791" s="229" t="s">
        <v>2654</v>
      </c>
      <c r="AD791" s="228">
        <v>2.7337604731394798</v>
      </c>
      <c r="AE791">
        <f>IF('WetLitterbags placem_collection'!AB132="","",'WetLitterbags placem_collection'!AB132)</f>
        <v>2.1</v>
      </c>
      <c r="AF791">
        <f>IF('WetLitterbags placem_collection'!Z132="","",'WetLitterbags placem_collection'!Z132)</f>
        <v>3.5</v>
      </c>
      <c r="AG791" s="243" t="str">
        <f>IF('WetLitterbags placem_collection'!AA132="","",'WetLitterbags placem_collection'!AA132)</f>
        <v>O</v>
      </c>
      <c r="AH791">
        <f>IF('WetLitterbags placem_collection'!AC132="","",'WetLitterbags placem_collection'!AC132)</f>
        <v>0</v>
      </c>
      <c r="AI791">
        <f>AVERAGE('WetLitterbags placem_collection'!S132,'WetLitterbags placem_collection'!U132)</f>
        <v>16.3</v>
      </c>
      <c r="AJ791">
        <f>AVERAGE('WetLitterbags placem_collection'!R132,'WetLitterbags placem_collection'!T132)</f>
        <v>28.5</v>
      </c>
      <c r="AK791">
        <f>INDEX(Coordinates!$B$2:$B$197,MATCH(H791,Coordinates!$J$2:$J$197,0))</f>
        <v>-2.3503729889999998</v>
      </c>
      <c r="AL791">
        <f>INDEX(Coordinates!$C$2:$C$197,MATCH(H791,Coordinates!$J$2:$J$197,0))</f>
        <v>34.049626969999998</v>
      </c>
      <c r="AM791" t="str">
        <f>IF(ISNUMBER(SEARCH("C", 'WetLitterbags placem_collection'!$Y132)),"YES","NO")</f>
        <v>NO</v>
      </c>
      <c r="AN791" t="str">
        <f>IF(ISNUMBER(SEARCH("H", 'WetLitterbags placem_collection'!$Y132)),"YES","NO")</f>
        <v>NO</v>
      </c>
      <c r="AO791" t="str">
        <f>IF(ISNUMBER(SEARCH("R", 'WetLitterbags placem_collection'!$Y132)),"YES","NO")</f>
        <v>NO</v>
      </c>
    </row>
    <row r="792" spans="1:41" ht="15" customHeight="1">
      <c r="A792" s="255" t="s">
        <v>2454</v>
      </c>
      <c r="B792" s="260">
        <f>'Dry_Litterbag Placem_Collection'!A133</f>
        <v>131</v>
      </c>
      <c r="C792" s="260" t="str">
        <f>'Dry_Litterbag Placem_Collection'!B133</f>
        <v xml:space="preserve">Mwantimba
</v>
      </c>
      <c r="D792" s="260" t="s">
        <v>2454</v>
      </c>
      <c r="E792" s="260" t="s">
        <v>20</v>
      </c>
      <c r="F792" s="260">
        <v>1</v>
      </c>
      <c r="G792" s="260" t="s">
        <v>3820</v>
      </c>
      <c r="H792" s="261" t="str">
        <f>'Dry_Litterbag Placem_Collection'!C133</f>
        <v>Wet_P1_T3</v>
      </c>
      <c r="I792" s="270" t="s">
        <v>3630</v>
      </c>
      <c r="J792" s="271" t="s">
        <v>298</v>
      </c>
      <c r="K792" s="221" t="str">
        <f>'WetLitterbags placem_collection'!Q133</f>
        <v>R592</v>
      </c>
      <c r="L792" s="223">
        <f>IFERROR(INDEX('Green_rooibos initial weight'!$C$5:$C$2000,MATCH(K792, 'Green_rooibos initial weight'!$A$5:$A$2000,0)),"")</f>
        <v>2.2549999999999999</v>
      </c>
      <c r="M792" s="223">
        <f>IFERROR(L792-(TBIcalc!$H$9+TBIcalc!$H$10),"")</f>
        <v>2.0051999999999999</v>
      </c>
      <c r="N792" s="385">
        <f>AVERAGE(Ashed_controlls!$K$2:$K$11)</f>
        <v>5.5147656768714146</v>
      </c>
      <c r="O792" s="223">
        <f t="shared" si="61"/>
        <v>1.8946179186473744</v>
      </c>
      <c r="P792" s="223">
        <f>IFERROR(INDEX('Both teabags AfterWet'!$C$3:$C$840,MATCH(K792,'Both teabags AfterWet'!$A$3:$A$840,0)),"")</f>
        <v>1.6073999999999999</v>
      </c>
      <c r="Q792" s="223">
        <f>IFERROR(IF(P792&gt;0,P792-(TBIcalc!$H$9),""),"")</f>
        <v>1.4567999999999999</v>
      </c>
      <c r="R792" s="223">
        <f>IFERROR(INDEX('Ashed teabags wet'!$K$2:$K$2000,MATCH(K792,'Ashed teabags wet'!$A$2:$A$2000,0)),"")</f>
        <v>3.7601142313182434</v>
      </c>
      <c r="S792" s="223">
        <f t="shared" si="62"/>
        <v>1.4020226558781557</v>
      </c>
      <c r="T792" s="224">
        <f>'WetLitterbags placem_collection'!E133</f>
        <v>42762</v>
      </c>
      <c r="U792" s="224">
        <f>IF('WetLitterbags placem_collection'!G133="","",'WetLitterbags placem_collection'!G133)</f>
        <v>42816</v>
      </c>
      <c r="V792" s="225">
        <f t="shared" si="60"/>
        <v>54</v>
      </c>
      <c r="W792" s="223">
        <f t="shared" si="63"/>
        <v>0.5484</v>
      </c>
      <c r="X792" s="223">
        <f t="shared" si="64"/>
        <v>0.49259526276921872</v>
      </c>
      <c r="Y792">
        <f>IFERROR(INDEX(Rainfall_Wet!$O$2:$O$217,MATCH(B792, Rainfall_Wet!$A$2:$A$217,0)),"")</f>
        <v>206.85140822299999</v>
      </c>
      <c r="Z792" s="228">
        <v>31.214836424255054</v>
      </c>
      <c r="AA792" s="228">
        <v>11.377370285476141</v>
      </c>
      <c r="AB792" s="228">
        <v>57.407793290268799</v>
      </c>
      <c r="AC792" s="229" t="s">
        <v>2654</v>
      </c>
      <c r="AD792" s="228">
        <v>3.7337604731394798</v>
      </c>
      <c r="AE792">
        <f>IF('WetLitterbags placem_collection'!AB133="","",'WetLitterbags placem_collection'!AB133)</f>
        <v>4.5</v>
      </c>
      <c r="AF792">
        <f>IF('WetLitterbags placem_collection'!Z133="","",'WetLitterbags placem_collection'!Z133)</f>
        <v>7.5</v>
      </c>
      <c r="AG792" s="243" t="str">
        <f>IF('WetLitterbags placem_collection'!AA133="","",'WetLitterbags placem_collection'!AA133)</f>
        <v>O</v>
      </c>
      <c r="AH792">
        <f>IF('WetLitterbags placem_collection'!AC133="","",'WetLitterbags placem_collection'!AC133)</f>
        <v>0</v>
      </c>
      <c r="AI792">
        <f>AVERAGE('WetLitterbags placem_collection'!S133,'WetLitterbags placem_collection'!U133)</f>
        <v>9.3000000000000007</v>
      </c>
      <c r="AJ792">
        <f>AVERAGE('WetLitterbags placem_collection'!R133,'WetLitterbags placem_collection'!T133)</f>
        <v>28.950000000000003</v>
      </c>
      <c r="AK792">
        <f>INDEX(Coordinates!$B$2:$B$197,MATCH(H792,Coordinates!$J$2:$J$197,0))</f>
        <v>-2.3503259660000002</v>
      </c>
      <c r="AL792">
        <f>INDEX(Coordinates!$C$2:$C$197,MATCH(H792,Coordinates!$J$2:$J$197,0))</f>
        <v>34.049616999999998</v>
      </c>
      <c r="AM792" t="str">
        <f>IF(ISNUMBER(SEARCH("C", 'WetLitterbags placem_collection'!$Y133)),"YES","NO")</f>
        <v>NO</v>
      </c>
      <c r="AN792" t="str">
        <f>IF(ISNUMBER(SEARCH("H", 'WetLitterbags placem_collection'!$Y133)),"YES","NO")</f>
        <v>NO</v>
      </c>
      <c r="AO792" t="str">
        <f>IF(ISNUMBER(SEARCH("R", 'WetLitterbags placem_collection'!$Y133)),"YES","NO")</f>
        <v>NO</v>
      </c>
    </row>
    <row r="793" spans="1:41" ht="15" customHeight="1">
      <c r="A793" s="255" t="s">
        <v>2454</v>
      </c>
      <c r="B793" s="260">
        <f>'Dry_Litterbag Placem_Collection'!A134</f>
        <v>132</v>
      </c>
      <c r="C793" s="260" t="str">
        <f>'Dry_Litterbag Placem_Collection'!B134</f>
        <v xml:space="preserve">Mwantimba
</v>
      </c>
      <c r="D793" s="260" t="s">
        <v>2454</v>
      </c>
      <c r="E793" s="260" t="s">
        <v>20</v>
      </c>
      <c r="F793" s="260">
        <v>1</v>
      </c>
      <c r="G793" s="260" t="s">
        <v>3820</v>
      </c>
      <c r="H793" s="261" t="str">
        <f>'Dry_Litterbag Placem_Collection'!C134</f>
        <v>Wet_P1_T4</v>
      </c>
      <c r="I793" s="270" t="s">
        <v>3630</v>
      </c>
      <c r="J793" s="271" t="s">
        <v>298</v>
      </c>
      <c r="K793" s="221" t="str">
        <f>'WetLitterbags placem_collection'!Q134</f>
        <v>R477</v>
      </c>
      <c r="L793" s="223">
        <f>IFERROR(INDEX('Green_rooibos initial weight'!$C$5:$C$2000,MATCH(K793, 'Green_rooibos initial weight'!$A$5:$A$2000,0)),"")</f>
        <v>2.169</v>
      </c>
      <c r="M793" s="223">
        <f>IFERROR(L793-(TBIcalc!$H$9+TBIcalc!$H$10),"")</f>
        <v>1.9192</v>
      </c>
      <c r="N793" s="385">
        <f>AVERAGE(Ashed_controlls!$K$2:$K$11)</f>
        <v>5.5147656768714146</v>
      </c>
      <c r="O793" s="223">
        <f t="shared" si="61"/>
        <v>1.8133606171294838</v>
      </c>
      <c r="P793" s="223">
        <f>IFERROR(INDEX('Both teabags AfterWet'!$C$3:$C$840,MATCH(K793,'Both teabags AfterWet'!$A$3:$A$840,0)),"")</f>
        <v>1.573</v>
      </c>
      <c r="Q793" s="223">
        <f>IFERROR(IF(P793&gt;0,P793-(TBIcalc!$H$9),""),"")</f>
        <v>1.4223999999999999</v>
      </c>
      <c r="R793" s="223">
        <f>IFERROR(INDEX('Ashed teabags wet'!$K$2:$K$2000,MATCH(K793,'Ashed teabags wet'!$A$2:$A$2000,0)),"")</f>
        <v>4.5098039215686896</v>
      </c>
      <c r="S793" s="223">
        <f t="shared" si="62"/>
        <v>1.3582525490196069</v>
      </c>
      <c r="T793" s="224">
        <f>'WetLitterbags placem_collection'!E134</f>
        <v>42762</v>
      </c>
      <c r="U793" s="224">
        <f>IF('WetLitterbags placem_collection'!G134="","",'WetLitterbags placem_collection'!G134)</f>
        <v>42816</v>
      </c>
      <c r="V793" s="225">
        <f t="shared" si="60"/>
        <v>54</v>
      </c>
      <c r="W793" s="223">
        <f t="shared" si="63"/>
        <v>0.49680000000000013</v>
      </c>
      <c r="X793" s="223">
        <f t="shared" si="64"/>
        <v>0.45510806810987692</v>
      </c>
      <c r="Y793">
        <f>IFERROR(INDEX(Rainfall_Wet!$O$2:$O$217,MATCH(B793, Rainfall_Wet!$A$2:$A$217,0)),"")</f>
        <v>206.85140822299999</v>
      </c>
      <c r="Z793" s="228">
        <v>31.214836424255054</v>
      </c>
      <c r="AA793" s="228">
        <v>11.377370285476141</v>
      </c>
      <c r="AB793" s="228">
        <v>57.407793290268799</v>
      </c>
      <c r="AC793" s="229" t="s">
        <v>2654</v>
      </c>
      <c r="AD793" s="228">
        <v>4.7337604731394798</v>
      </c>
      <c r="AE793">
        <f>IF('WetLitterbags placem_collection'!AB134="","",'WetLitterbags placem_collection'!AB134)</f>
        <v>0.7</v>
      </c>
      <c r="AF793">
        <f>IF('WetLitterbags placem_collection'!Z134="","",'WetLitterbags placem_collection'!Z134)</f>
        <v>9.8000000000000007</v>
      </c>
      <c r="AG793" s="243" t="str">
        <f>IF('WetLitterbags placem_collection'!AA134="","",'WetLitterbags placem_collection'!AA134)</f>
        <v>G</v>
      </c>
      <c r="AH793">
        <f>IF('WetLitterbags placem_collection'!AC134="","",'WetLitterbags placem_collection'!AC134)</f>
        <v>1</v>
      </c>
      <c r="AI793">
        <f>AVERAGE('WetLitterbags placem_collection'!S134,'WetLitterbags placem_collection'!U134)</f>
        <v>18.55</v>
      </c>
      <c r="AJ793">
        <f>AVERAGE('WetLitterbags placem_collection'!R134,'WetLitterbags placem_collection'!T134)</f>
        <v>28.95</v>
      </c>
      <c r="AK793">
        <f>INDEX(Coordinates!$B$2:$B$197,MATCH(H793,Coordinates!$J$2:$J$197,0))</f>
        <v>-2.3504800260000001</v>
      </c>
      <c r="AL793">
        <f>INDEX(Coordinates!$C$2:$C$197,MATCH(H793,Coordinates!$J$2:$J$197,0))</f>
        <v>34.049551030000003</v>
      </c>
      <c r="AM793" t="str">
        <f>IF(ISNUMBER(SEARCH("C", 'WetLitterbags placem_collection'!$Y134)),"YES","NO")</f>
        <v>NO</v>
      </c>
      <c r="AN793" t="str">
        <f>IF(ISNUMBER(SEARCH("H", 'WetLitterbags placem_collection'!$Y134)),"YES","NO")</f>
        <v>NO</v>
      </c>
      <c r="AO793" t="str">
        <f>IF(ISNUMBER(SEARCH("R", 'WetLitterbags placem_collection'!$Y134)),"YES","NO")</f>
        <v>NO</v>
      </c>
    </row>
    <row r="794" spans="1:41" ht="15" customHeight="1">
      <c r="A794" s="255" t="s">
        <v>2454</v>
      </c>
      <c r="B794" s="260">
        <f>'Dry_Litterbag Placem_Collection'!A135</f>
        <v>133</v>
      </c>
      <c r="C794" s="260" t="str">
        <f>'Dry_Litterbag Placem_Collection'!B135</f>
        <v xml:space="preserve">Mwantimba
</v>
      </c>
      <c r="D794" s="260" t="s">
        <v>2454</v>
      </c>
      <c r="E794" s="260" t="s">
        <v>20</v>
      </c>
      <c r="F794" s="260">
        <v>1</v>
      </c>
      <c r="G794" s="260" t="s">
        <v>3820</v>
      </c>
      <c r="H794" s="261" t="str">
        <f>'Dry_Litterbag Placem_Collection'!C135</f>
        <v>Wet_P1_T5</v>
      </c>
      <c r="I794" s="270" t="s">
        <v>3630</v>
      </c>
      <c r="J794" s="271" t="s">
        <v>298</v>
      </c>
      <c r="K794" s="221" t="str">
        <f>'WetLitterbags placem_collection'!Q135</f>
        <v>R597</v>
      </c>
      <c r="L794" s="223">
        <f>IFERROR(INDEX('Green_rooibos initial weight'!$C$5:$C$2000,MATCH(K794, 'Green_rooibos initial weight'!$A$5:$A$2000,0)),"")</f>
        <v>2.165</v>
      </c>
      <c r="M794" s="223">
        <f>IFERROR(L794-(TBIcalc!$H$9+TBIcalc!$H$10),"")</f>
        <v>1.9152</v>
      </c>
      <c r="N794" s="385">
        <f>AVERAGE(Ashed_controlls!$K$2:$K$11)</f>
        <v>5.5147656768714146</v>
      </c>
      <c r="O794" s="223">
        <f t="shared" si="61"/>
        <v>1.8095812077565587</v>
      </c>
      <c r="P794" s="223">
        <f>IFERROR(INDEX('Both teabags AfterWet'!$C$3:$C$840,MATCH(K794,'Both teabags AfterWet'!$A$3:$A$840,0)),"")</f>
        <v>1.5714999999999999</v>
      </c>
      <c r="Q794" s="223">
        <f>IFERROR(IF(P794&gt;0,P794-(TBIcalc!$H$9),""),"")</f>
        <v>1.4208999999999998</v>
      </c>
      <c r="R794" s="223">
        <f>IFERROR(INDEX('Ashed teabags wet'!$K$2:$K$2000,MATCH(K794,'Ashed teabags wet'!$A$2:$A$2000,0)),"")</f>
        <v>7.7152812344452117</v>
      </c>
      <c r="S794" s="223">
        <f t="shared" si="62"/>
        <v>1.3112735689397679</v>
      </c>
      <c r="T794" s="224">
        <f>'WetLitterbags placem_collection'!E135</f>
        <v>42762</v>
      </c>
      <c r="U794" s="224">
        <f>IF('WetLitterbags placem_collection'!G135="","",'WetLitterbags placem_collection'!G135)</f>
        <v>42816</v>
      </c>
      <c r="V794" s="225">
        <f t="shared" si="60"/>
        <v>54</v>
      </c>
      <c r="W794" s="223">
        <f t="shared" si="63"/>
        <v>0.49430000000000018</v>
      </c>
      <c r="X794" s="223">
        <f t="shared" si="64"/>
        <v>0.49830763881679085</v>
      </c>
      <c r="Y794">
        <f>IFERROR(INDEX(Rainfall_Wet!$O$2:$O$217,MATCH(B794, Rainfall_Wet!$A$2:$A$217,0)),"")</f>
        <v>206.85140822299999</v>
      </c>
      <c r="Z794" s="228">
        <v>31.214836424255054</v>
      </c>
      <c r="AA794" s="228">
        <v>11.377370285476141</v>
      </c>
      <c r="AB794" s="228">
        <v>57.407793290268799</v>
      </c>
      <c r="AC794" s="229" t="s">
        <v>2654</v>
      </c>
      <c r="AD794" s="228">
        <v>5.7337604731394798</v>
      </c>
      <c r="AE794">
        <f>IF('WetLitterbags placem_collection'!AB135="","",'WetLitterbags placem_collection'!AB135)</f>
        <v>2.2000000000000002</v>
      </c>
      <c r="AF794">
        <f>IF('WetLitterbags placem_collection'!Z135="","",'WetLitterbags placem_collection'!Z135)</f>
        <v>10</v>
      </c>
      <c r="AG794" s="243" t="str">
        <f>IF('WetLitterbags placem_collection'!AA135="","",'WetLitterbags placem_collection'!AA135)</f>
        <v>O</v>
      </c>
      <c r="AH794">
        <f>IF('WetLitterbags placem_collection'!AC135="","",'WetLitterbags placem_collection'!AC135)</f>
        <v>1</v>
      </c>
      <c r="AI794">
        <f>AVERAGE('WetLitterbags placem_collection'!S135,'WetLitterbags placem_collection'!U135)</f>
        <v>13.399999999999999</v>
      </c>
      <c r="AJ794">
        <f>AVERAGE('WetLitterbags placem_collection'!R135,'WetLitterbags placem_collection'!T135)</f>
        <v>31.349999999999998</v>
      </c>
      <c r="AK794">
        <f>INDEX(Coordinates!$B$2:$B$197,MATCH(H794,Coordinates!$J$2:$J$197,0))</f>
        <v>-2.350474996</v>
      </c>
      <c r="AL794">
        <f>INDEX(Coordinates!$C$2:$C$197,MATCH(H794,Coordinates!$J$2:$J$197,0))</f>
        <v>34.049801979999998</v>
      </c>
      <c r="AM794" t="str">
        <f>IF(ISNUMBER(SEARCH("C", 'WetLitterbags placem_collection'!$Y135)),"YES","NO")</f>
        <v>NO</v>
      </c>
      <c r="AN794" t="str">
        <f>IF(ISNUMBER(SEARCH("H", 'WetLitterbags placem_collection'!$Y135)),"YES","NO")</f>
        <v>NO</v>
      </c>
      <c r="AO794" t="str">
        <f>IF(ISNUMBER(SEARCH("R", 'WetLitterbags placem_collection'!$Y135)),"YES","NO")</f>
        <v>NO</v>
      </c>
    </row>
    <row r="795" spans="1:41" ht="15" customHeight="1">
      <c r="A795" s="255" t="s">
        <v>2454</v>
      </c>
      <c r="B795" s="260">
        <f>'Dry_Litterbag Placem_Collection'!A136</f>
        <v>134</v>
      </c>
      <c r="C795" s="260" t="str">
        <f>'Dry_Litterbag Placem_Collection'!B136</f>
        <v xml:space="preserve">Mwantimba
</v>
      </c>
      <c r="D795" s="260" t="s">
        <v>2454</v>
      </c>
      <c r="E795" s="260" t="s">
        <v>20</v>
      </c>
      <c r="F795" s="260">
        <v>1</v>
      </c>
      <c r="G795" s="260" t="s">
        <v>3820</v>
      </c>
      <c r="H795" s="261" t="str">
        <f>'Dry_Litterbag Placem_Collection'!C136</f>
        <v>Wet_P1_T6</v>
      </c>
      <c r="I795" s="270" t="s">
        <v>3630</v>
      </c>
      <c r="J795" s="271" t="s">
        <v>298</v>
      </c>
      <c r="K795" s="221" t="str">
        <f>'WetLitterbags placem_collection'!Q136</f>
        <v>R467</v>
      </c>
      <c r="L795" s="223">
        <f>IFERROR(INDEX('Green_rooibos initial weight'!$C$5:$C$2000,MATCH(K795, 'Green_rooibos initial weight'!$A$5:$A$2000,0)),"")</f>
        <v>2.3140000000000001</v>
      </c>
      <c r="M795" s="223">
        <f>IFERROR(L795-(TBIcalc!$H$9+TBIcalc!$H$10),"")</f>
        <v>2.0642</v>
      </c>
      <c r="N795" s="385">
        <f>AVERAGE(Ashed_controlls!$K$2:$K$11)</f>
        <v>5.5147656768714146</v>
      </c>
      <c r="O795" s="223">
        <f t="shared" si="61"/>
        <v>1.9503642068980203</v>
      </c>
      <c r="P795" s="223">
        <f>IFERROR(INDEX('Both teabags AfterWet'!$C$3:$C$840,MATCH(K795,'Both teabags AfterWet'!$A$3:$A$840,0)),"")</f>
        <v>1.591</v>
      </c>
      <c r="Q795" s="223">
        <f>IFERROR(IF(P795&gt;0,P795-(TBIcalc!$H$9),""),"")</f>
        <v>1.4403999999999999</v>
      </c>
      <c r="R795" s="223">
        <f>IFERROR(INDEX('Ashed teabags wet'!$K$2:$K$2000,MATCH(K795,'Ashed teabags wet'!$A$2:$A$2000,0)),"")</f>
        <v>3.4619188921860404</v>
      </c>
      <c r="S795" s="223">
        <f t="shared" si="62"/>
        <v>1.3905345202769521</v>
      </c>
      <c r="T795" s="224">
        <f>'WetLitterbags placem_collection'!E136</f>
        <v>42762</v>
      </c>
      <c r="U795" s="224">
        <f>IF('WetLitterbags placem_collection'!G136="","",'WetLitterbags placem_collection'!G136)</f>
        <v>42816</v>
      </c>
      <c r="V795" s="225">
        <f t="shared" si="60"/>
        <v>54</v>
      </c>
      <c r="W795" s="223">
        <f t="shared" si="63"/>
        <v>0.62380000000000013</v>
      </c>
      <c r="X795" s="223">
        <f t="shared" si="64"/>
        <v>0.55982968662106813</v>
      </c>
      <c r="Y795">
        <f>IFERROR(INDEX(Rainfall_Wet!$O$2:$O$217,MATCH(B795, Rainfall_Wet!$A$2:$A$217,0)),"")</f>
        <v>206.85140822299999</v>
      </c>
      <c r="Z795" s="228">
        <v>31.214836424255054</v>
      </c>
      <c r="AA795" s="228">
        <v>11.377370285476141</v>
      </c>
      <c r="AB795" s="228">
        <v>57.407793290268799</v>
      </c>
      <c r="AC795" s="229" t="s">
        <v>2654</v>
      </c>
      <c r="AD795" s="228">
        <v>6.7337604731394798</v>
      </c>
      <c r="AE795">
        <f>IF('WetLitterbags placem_collection'!AB136="","",'WetLitterbags placem_collection'!AB136)</f>
        <v>1.1000000000000001</v>
      </c>
      <c r="AF795">
        <f>IF('WetLitterbags placem_collection'!Z136="","",'WetLitterbags placem_collection'!Z136)</f>
        <v>15.4</v>
      </c>
      <c r="AG795" s="243" t="str">
        <f>IF('WetLitterbags placem_collection'!AA136="","",'WetLitterbags placem_collection'!AA136)</f>
        <v>O</v>
      </c>
      <c r="AH795">
        <f>IF('WetLitterbags placem_collection'!AC136="","",'WetLitterbags placem_collection'!AC136)</f>
        <v>1</v>
      </c>
      <c r="AI795">
        <f>AVERAGE('WetLitterbags placem_collection'!S136,'WetLitterbags placem_collection'!U136)</f>
        <v>12.7</v>
      </c>
      <c r="AJ795">
        <f>AVERAGE('WetLitterbags placem_collection'!R136,'WetLitterbags placem_collection'!T136)</f>
        <v>30.15</v>
      </c>
      <c r="AK795">
        <f>INDEX(Coordinates!$B$2:$B$197,MATCH(H795,Coordinates!$J$2:$J$197,0))</f>
        <v>-2.3503559730000001</v>
      </c>
      <c r="AL795">
        <f>INDEX(Coordinates!$C$2:$C$197,MATCH(H795,Coordinates!$J$2:$J$197,0))</f>
        <v>34.049800980000001</v>
      </c>
      <c r="AM795" t="str">
        <f>IF(ISNUMBER(SEARCH("C", 'WetLitterbags placem_collection'!$Y136)),"YES","NO")</f>
        <v>NO</v>
      </c>
      <c r="AN795" t="str">
        <f>IF(ISNUMBER(SEARCH("H", 'WetLitterbags placem_collection'!$Y136)),"YES","NO")</f>
        <v>NO</v>
      </c>
      <c r="AO795" t="str">
        <f>IF(ISNUMBER(SEARCH("R", 'WetLitterbags placem_collection'!$Y136)),"YES","NO")</f>
        <v>NO</v>
      </c>
    </row>
    <row r="796" spans="1:41" ht="15" customHeight="1">
      <c r="A796" s="255" t="s">
        <v>2454</v>
      </c>
      <c r="B796" s="260">
        <f>'Dry_Litterbag Placem_Collection'!A137</f>
        <v>135</v>
      </c>
      <c r="C796" s="260" t="str">
        <f>'Dry_Litterbag Placem_Collection'!B137</f>
        <v xml:space="preserve">Mwantimba
</v>
      </c>
      <c r="D796" s="260" t="s">
        <v>2454</v>
      </c>
      <c r="E796" s="260" t="s">
        <v>20</v>
      </c>
      <c r="F796" s="260">
        <v>1</v>
      </c>
      <c r="G796" s="260" t="s">
        <v>3820</v>
      </c>
      <c r="H796" s="261" t="str">
        <f>'Dry_Litterbag Placem_Collection'!C137</f>
        <v>Wet_P1_T7</v>
      </c>
      <c r="I796" s="270" t="s">
        <v>3630</v>
      </c>
      <c r="J796" s="271" t="s">
        <v>298</v>
      </c>
      <c r="K796" s="221" t="str">
        <f>'WetLitterbags placem_collection'!Q137</f>
        <v>R596</v>
      </c>
      <c r="L796" s="223">
        <f>IFERROR(INDEX('Green_rooibos initial weight'!$C$5:$C$2000,MATCH(K796, 'Green_rooibos initial weight'!$A$5:$A$2000,0)),"")</f>
        <v>2.1749999999999998</v>
      </c>
      <c r="M796" s="223">
        <f>IFERROR(L796-(TBIcalc!$H$9+TBIcalc!$H$10),"")</f>
        <v>1.9251999999999998</v>
      </c>
      <c r="N796" s="385">
        <f>AVERAGE(Ashed_controlls!$K$2:$K$11)</f>
        <v>5.5147656768714146</v>
      </c>
      <c r="O796" s="223">
        <f t="shared" si="61"/>
        <v>1.8190297311888712</v>
      </c>
      <c r="P796" s="223">
        <f>IFERROR(INDEX('Both teabags AfterWet'!$C$3:$C$840,MATCH(K796,'Both teabags AfterWet'!$A$3:$A$840,0)),"")</f>
        <v>1.512</v>
      </c>
      <c r="Q796" s="223">
        <f>IFERROR(IF(P796&gt;0,P796-(TBIcalc!$H$9),""),"")</f>
        <v>1.3613999999999999</v>
      </c>
      <c r="R796" s="223">
        <f>IFERROR(INDEX('Ashed teabags wet'!$K$2:$K$2000,MATCH(K796,'Ashed teabags wet'!$A$2:$A$2000,0)),"")</f>
        <v>6.95609274790369</v>
      </c>
      <c r="S796" s="223">
        <f t="shared" si="62"/>
        <v>1.266699753330039</v>
      </c>
      <c r="T796" s="224">
        <f>'WetLitterbags placem_collection'!E137</f>
        <v>42762</v>
      </c>
      <c r="U796" s="224">
        <f>IF('WetLitterbags placem_collection'!G137="","",'WetLitterbags placem_collection'!G137)</f>
        <v>42816</v>
      </c>
      <c r="V796" s="225">
        <f t="shared" si="60"/>
        <v>54</v>
      </c>
      <c r="W796" s="223">
        <f t="shared" si="63"/>
        <v>0.56379999999999986</v>
      </c>
      <c r="X796" s="223">
        <f t="shared" si="64"/>
        <v>0.5523299778588322</v>
      </c>
      <c r="Y796">
        <f>IFERROR(INDEX(Rainfall_Wet!$O$2:$O$217,MATCH(B796, Rainfall_Wet!$A$2:$A$217,0)),"")</f>
        <v>206.85140822299999</v>
      </c>
      <c r="Z796" s="228">
        <v>31.214836424255054</v>
      </c>
      <c r="AA796" s="228">
        <v>11.377370285476141</v>
      </c>
      <c r="AB796" s="228">
        <v>57.407793290268799</v>
      </c>
      <c r="AC796" s="229" t="s">
        <v>2654</v>
      </c>
      <c r="AD796" s="228">
        <v>7.7337604731394798</v>
      </c>
      <c r="AE796">
        <f>IF('WetLitterbags placem_collection'!AB137="","",'WetLitterbags placem_collection'!AB137)</f>
        <v>2.1</v>
      </c>
      <c r="AF796">
        <f>IF('WetLitterbags placem_collection'!Z137="","",'WetLitterbags placem_collection'!Z137)</f>
        <v>5.6</v>
      </c>
      <c r="AG796" s="243" t="str">
        <f>IF('WetLitterbags placem_collection'!AA137="","",'WetLitterbags placem_collection'!AA137)</f>
        <v>O</v>
      </c>
      <c r="AH796">
        <f>IF('WetLitterbags placem_collection'!AC137="","",'WetLitterbags placem_collection'!AC137)</f>
        <v>1</v>
      </c>
      <c r="AI796">
        <f>AVERAGE('WetLitterbags placem_collection'!S137,'WetLitterbags placem_collection'!U137)</f>
        <v>14.5</v>
      </c>
      <c r="AJ796">
        <f>AVERAGE('WetLitterbags placem_collection'!R137,'WetLitterbags placem_collection'!T137)</f>
        <v>29.65</v>
      </c>
      <c r="AK796">
        <f>INDEX(Coordinates!$B$2:$B$197,MATCH(H796,Coordinates!$J$2:$J$197,0))</f>
        <v>-2.3503589909999998</v>
      </c>
      <c r="AL796">
        <f>INDEX(Coordinates!$C$2:$C$197,MATCH(H796,Coordinates!$J$2:$J$197,0))</f>
        <v>34.049719000000003</v>
      </c>
      <c r="AM796" t="str">
        <f>IF(ISNUMBER(SEARCH("C", 'WetLitterbags placem_collection'!$Y137)),"YES","NO")</f>
        <v>NO</v>
      </c>
      <c r="AN796" t="str">
        <f>IF(ISNUMBER(SEARCH("H", 'WetLitterbags placem_collection'!$Y137)),"YES","NO")</f>
        <v>NO</v>
      </c>
      <c r="AO796" t="str">
        <f>IF(ISNUMBER(SEARCH("R", 'WetLitterbags placem_collection'!$Y137)),"YES","NO")</f>
        <v>NO</v>
      </c>
    </row>
    <row r="797" spans="1:41" ht="15" customHeight="1">
      <c r="A797" s="255" t="s">
        <v>2454</v>
      </c>
      <c r="B797" s="260">
        <f>'Dry_Litterbag Placem_Collection'!A138</f>
        <v>136</v>
      </c>
      <c r="C797" s="260" t="str">
        <f>'Dry_Litterbag Placem_Collection'!B138</f>
        <v xml:space="preserve">Mwantimba
</v>
      </c>
      <c r="D797" s="260" t="s">
        <v>2454</v>
      </c>
      <c r="E797" s="260" t="s">
        <v>20</v>
      </c>
      <c r="F797" s="260">
        <v>1</v>
      </c>
      <c r="G797" s="260" t="s">
        <v>3820</v>
      </c>
      <c r="H797" s="261" t="str">
        <f>'Dry_Litterbag Placem_Collection'!C138</f>
        <v>Wet_P1_T8</v>
      </c>
      <c r="I797" s="270" t="s">
        <v>3630</v>
      </c>
      <c r="J797" s="271" t="s">
        <v>298</v>
      </c>
      <c r="K797" s="221" t="str">
        <f>'WetLitterbags placem_collection'!Q138</f>
        <v>R543</v>
      </c>
      <c r="L797" s="223">
        <f>IFERROR(INDEX('Green_rooibos initial weight'!$C$5:$C$2000,MATCH(K797, 'Green_rooibos initial weight'!$A$5:$A$2000,0)),"")</f>
        <v>2.2730000000000001</v>
      </c>
      <c r="M797" s="223">
        <f>IFERROR(L797-(TBIcalc!$H$9+TBIcalc!$H$10),"")</f>
        <v>2.0232000000000001</v>
      </c>
      <c r="N797" s="385">
        <f>AVERAGE(Ashed_controlls!$K$2:$K$11)</f>
        <v>5.5147656768714146</v>
      </c>
      <c r="O797" s="223">
        <f t="shared" si="61"/>
        <v>1.9116252608255377</v>
      </c>
      <c r="P797" s="223">
        <f>IFERROR(INDEX('Both teabags AfterWet'!$C$3:$C$840,MATCH(K797,'Both teabags AfterWet'!$A$3:$A$840,0)),"")</f>
        <v>1.5604</v>
      </c>
      <c r="Q797" s="223">
        <f>IFERROR(IF(P797&gt;0,P797-(TBIcalc!$H$9),""),"")</f>
        <v>1.4097999999999999</v>
      </c>
      <c r="R797" s="223">
        <f>IFERROR(INDEX('Ashed teabags wet'!$K$2:$K$2000,MATCH(K797,'Ashed teabags wet'!$A$2:$A$2000,0)),"")</f>
        <v>6.5917968749991243</v>
      </c>
      <c r="S797" s="223">
        <f t="shared" si="62"/>
        <v>1.3168688476562622</v>
      </c>
      <c r="T797" s="224">
        <f>'WetLitterbags placem_collection'!E138</f>
        <v>42762</v>
      </c>
      <c r="U797" s="224">
        <f>IF('WetLitterbags placem_collection'!G138="","",'WetLitterbags placem_collection'!G138)</f>
        <v>42816</v>
      </c>
      <c r="V797" s="225">
        <f t="shared" si="60"/>
        <v>54</v>
      </c>
      <c r="W797" s="223">
        <f t="shared" si="63"/>
        <v>0.61340000000000017</v>
      </c>
      <c r="X797" s="223">
        <f t="shared" si="64"/>
        <v>0.59475641316927552</v>
      </c>
      <c r="Y797">
        <f>IFERROR(INDEX(Rainfall_Wet!$O$2:$O$217,MATCH(B797, Rainfall_Wet!$A$2:$A$217,0)),"")</f>
        <v>206.85140822299999</v>
      </c>
      <c r="Z797" s="228">
        <v>31.214836424255054</v>
      </c>
      <c r="AA797" s="228">
        <v>11.377370285476141</v>
      </c>
      <c r="AB797" s="228">
        <v>57.407793290268799</v>
      </c>
      <c r="AC797" s="229" t="s">
        <v>2654</v>
      </c>
      <c r="AD797" s="228">
        <v>8.7337604731394798</v>
      </c>
      <c r="AE797">
        <f>IF('WetLitterbags placem_collection'!AB138="","",'WetLitterbags placem_collection'!AB138)</f>
        <v>2.2999999999999998</v>
      </c>
      <c r="AF797">
        <f>IF('WetLitterbags placem_collection'!Z138="","",'WetLitterbags placem_collection'!Z138)</f>
        <v>16.3</v>
      </c>
      <c r="AG797" s="243" t="str">
        <f>IF('WetLitterbags placem_collection'!AA138="","",'WetLitterbags placem_collection'!AA138)</f>
        <v>G</v>
      </c>
      <c r="AH797">
        <f>IF('WetLitterbags placem_collection'!AC138="","",'WetLitterbags placem_collection'!AC138)</f>
        <v>1</v>
      </c>
      <c r="AI797">
        <f>AVERAGE('WetLitterbags placem_collection'!S138,'WetLitterbags placem_collection'!U138)</f>
        <v>14.65</v>
      </c>
      <c r="AJ797">
        <f>AVERAGE('WetLitterbags placem_collection'!R138,'WetLitterbags placem_collection'!T138)</f>
        <v>30.6</v>
      </c>
      <c r="AK797">
        <f>INDEX(Coordinates!$B$2:$B$197,MATCH(H797,Coordinates!$J$2:$J$197,0))</f>
        <v>-2.3502159960000002</v>
      </c>
      <c r="AL797">
        <f>INDEX(Coordinates!$C$2:$C$197,MATCH(H797,Coordinates!$J$2:$J$197,0))</f>
        <v>34.049822020000001</v>
      </c>
      <c r="AM797" t="str">
        <f>IF(ISNUMBER(SEARCH("C", 'WetLitterbags placem_collection'!$Y138)),"YES","NO")</f>
        <v>NO</v>
      </c>
      <c r="AN797" t="str">
        <f>IF(ISNUMBER(SEARCH("H", 'WetLitterbags placem_collection'!$Y138)),"YES","NO")</f>
        <v>NO</v>
      </c>
      <c r="AO797" t="str">
        <f>IF(ISNUMBER(SEARCH("R", 'WetLitterbags placem_collection'!$Y138)),"YES","NO")</f>
        <v>YES</v>
      </c>
    </row>
    <row r="798" spans="1:41" ht="15" customHeight="1">
      <c r="A798" s="255" t="s">
        <v>2454</v>
      </c>
      <c r="B798" s="260">
        <f>'Dry_Litterbag Placem_Collection'!A139</f>
        <v>137</v>
      </c>
      <c r="C798" s="260" t="str">
        <f>'Dry_Litterbag Placem_Collection'!B139</f>
        <v xml:space="preserve">Mwantimba
</v>
      </c>
      <c r="D798" s="260" t="s">
        <v>2454</v>
      </c>
      <c r="E798" s="260" t="s">
        <v>20</v>
      </c>
      <c r="F798" s="260">
        <v>2</v>
      </c>
      <c r="G798" s="260" t="s">
        <v>3822</v>
      </c>
      <c r="H798" s="261" t="str">
        <f>'Dry_Litterbag Placem_Collection'!C139</f>
        <v>Wet_P2_T1</v>
      </c>
      <c r="I798" s="270" t="s">
        <v>3630</v>
      </c>
      <c r="J798" s="271" t="s">
        <v>298</v>
      </c>
      <c r="K798" s="221" t="str">
        <f>'WetLitterbags placem_collection'!Q139</f>
        <v>R483</v>
      </c>
      <c r="L798" s="223">
        <f>IFERROR(INDEX('Green_rooibos initial weight'!$C$5:$C$2000,MATCH(K798, 'Green_rooibos initial weight'!$A$5:$A$2000,0)),"")</f>
        <v>2.1970000000000001</v>
      </c>
      <c r="M798" s="223">
        <f>IFERROR(L798-(TBIcalc!$H$9+TBIcalc!$H$10),"")</f>
        <v>1.9472</v>
      </c>
      <c r="N798" s="385">
        <f>AVERAGE(Ashed_controlls!$K$2:$K$11)</f>
        <v>5.5147656768714146</v>
      </c>
      <c r="O798" s="223">
        <f t="shared" si="61"/>
        <v>1.8398164827399599</v>
      </c>
      <c r="P798" s="223">
        <f>IFERROR(INDEX('Both teabags AfterWet'!$C$3:$C$840,MATCH(K798,'Both teabags AfterWet'!$A$3:$A$840,0)),"")</f>
        <v>1.778</v>
      </c>
      <c r="Q798" s="223">
        <f>IFERROR(IF(P798&gt;0,P798-(TBIcalc!$H$9),""),"")</f>
        <v>1.6274</v>
      </c>
      <c r="R798" s="223">
        <f>IFERROR(INDEX('Ashed teabags wet'!$K$2:$K$2000,MATCH(K798,'Ashed teabags wet'!$A$2:$A$2000,0)),"")</f>
        <v>11.371400683259917</v>
      </c>
      <c r="S798" s="223">
        <f t="shared" si="62"/>
        <v>1.4423418252806282</v>
      </c>
      <c r="T798" s="224">
        <f>'WetLitterbags placem_collection'!E139</f>
        <v>42762</v>
      </c>
      <c r="U798" s="224">
        <f>IF('WetLitterbags placem_collection'!G139="","",'WetLitterbags placem_collection'!G139)</f>
        <v>42816</v>
      </c>
      <c r="V798" s="225">
        <f t="shared" si="60"/>
        <v>54</v>
      </c>
      <c r="W798" s="223">
        <f t="shared" si="63"/>
        <v>0.31980000000000008</v>
      </c>
      <c r="X798" s="223">
        <f t="shared" si="64"/>
        <v>0.39747465745933175</v>
      </c>
      <c r="Y798">
        <f>IFERROR(INDEX(Rainfall_Wet!$O$2:$O$217,MATCH(B798, Rainfall_Wet!$A$2:$A$217,0)),"")</f>
        <v>206.85140822299999</v>
      </c>
      <c r="Z798" s="228">
        <v>33.96</v>
      </c>
      <c r="AA798" s="228">
        <v>8.9200000000000017</v>
      </c>
      <c r="AB798" s="228">
        <v>57.12</v>
      </c>
      <c r="AC798" s="229" t="s">
        <v>2654</v>
      </c>
      <c r="AD798" s="228">
        <v>2.072055199605717</v>
      </c>
      <c r="AE798">
        <f>IF('WetLitterbags placem_collection'!AB139="","",'WetLitterbags placem_collection'!AB139)</f>
        <v>1.2</v>
      </c>
      <c r="AF798">
        <f>IF('WetLitterbags placem_collection'!Z139="","",'WetLitterbags placem_collection'!Z139)</f>
        <v>32.4</v>
      </c>
      <c r="AG798" s="243" t="str">
        <f>IF('WetLitterbags placem_collection'!AA139="","",'WetLitterbags placem_collection'!AA139)</f>
        <v>G</v>
      </c>
      <c r="AH798">
        <f>IF('WetLitterbags placem_collection'!AC139="","",'WetLitterbags placem_collection'!AC139)</f>
        <v>1</v>
      </c>
      <c r="AI798">
        <f>AVERAGE('WetLitterbags placem_collection'!S139,'WetLitterbags placem_collection'!U139)</f>
        <v>15.5</v>
      </c>
      <c r="AJ798">
        <f>AVERAGE('WetLitterbags placem_collection'!R139,'WetLitterbags placem_collection'!T139)</f>
        <v>28.5</v>
      </c>
      <c r="AK798">
        <f>INDEX(Coordinates!$B$2:$B$197,MATCH(H798,Coordinates!$J$2:$J$197,0))</f>
        <v>-2.348596025</v>
      </c>
      <c r="AL798">
        <f>INDEX(Coordinates!$C$2:$C$197,MATCH(H798,Coordinates!$J$2:$J$197,0))</f>
        <v>34.050070959999999</v>
      </c>
      <c r="AM798" t="str">
        <f>IF(ISNUMBER(SEARCH("C", 'WetLitterbags placem_collection'!$Y139)),"YES","NO")</f>
        <v>NO</v>
      </c>
      <c r="AN798" t="str">
        <f>IF(ISNUMBER(SEARCH("H", 'WetLitterbags placem_collection'!$Y139)),"YES","NO")</f>
        <v>NO</v>
      </c>
      <c r="AO798" t="str">
        <f>IF(ISNUMBER(SEARCH("R", 'WetLitterbags placem_collection'!$Y139)),"YES","NO")</f>
        <v>NO</v>
      </c>
    </row>
    <row r="799" spans="1:41" ht="15" customHeight="1">
      <c r="A799" s="255" t="s">
        <v>2454</v>
      </c>
      <c r="B799" s="260">
        <f>'Dry_Litterbag Placem_Collection'!A140</f>
        <v>138</v>
      </c>
      <c r="C799" s="260" t="str">
        <f>'Dry_Litterbag Placem_Collection'!B140</f>
        <v xml:space="preserve">Mwantimba
</v>
      </c>
      <c r="D799" s="260" t="s">
        <v>2454</v>
      </c>
      <c r="E799" s="260" t="s">
        <v>20</v>
      </c>
      <c r="F799" s="260">
        <v>2</v>
      </c>
      <c r="G799" s="260" t="s">
        <v>3822</v>
      </c>
      <c r="H799" s="261" t="str">
        <f>'Dry_Litterbag Placem_Collection'!C140</f>
        <v>Wet_P2_T2</v>
      </c>
      <c r="I799" s="270" t="s">
        <v>3630</v>
      </c>
      <c r="J799" s="271" t="s">
        <v>298</v>
      </c>
      <c r="K799" s="221" t="str">
        <f>'WetLitterbags placem_collection'!Q140</f>
        <v>R21</v>
      </c>
      <c r="L799" s="223">
        <f>IFERROR(INDEX('Green_rooibos initial weight'!$C$5:$C$2000,MATCH(K799, 'Green_rooibos initial weight'!$A$5:$A$2000,0)),"")</f>
        <v>2.0249999999999999</v>
      </c>
      <c r="M799" s="223">
        <f>IFERROR(L799-(TBIcalc!$H$9+TBIcalc!$H$10),"")</f>
        <v>1.7751999999999999</v>
      </c>
      <c r="N799" s="385">
        <f>AVERAGE(Ashed_controlls!$K$2:$K$11)</f>
        <v>5.5147656768714146</v>
      </c>
      <c r="O799" s="223">
        <f t="shared" si="61"/>
        <v>1.6773018797041785</v>
      </c>
      <c r="P799" s="223">
        <f>IFERROR(INDEX('Both teabags AfterWet'!$C$3:$C$840,MATCH(K799,'Both teabags AfterWet'!$A$3:$A$840,0)),"")</f>
        <v>1.522</v>
      </c>
      <c r="Q799" s="223">
        <f>IFERROR(IF(P799&gt;0,P799-(TBIcalc!$H$9),""),"")</f>
        <v>1.3714</v>
      </c>
      <c r="R799" s="223">
        <f>IFERROR(INDEX('Ashed teabags wet'!$K$2:$K$2000,MATCH(K799,'Ashed teabags wet'!$A$2:$A$2000,0)),"")</f>
        <v>5.1369863013697721</v>
      </c>
      <c r="S799" s="223">
        <f t="shared" si="62"/>
        <v>1.3009513698630149</v>
      </c>
      <c r="T799" s="224">
        <f>'WetLitterbags placem_collection'!E140</f>
        <v>42762</v>
      </c>
      <c r="U799" s="224">
        <f>IF('WetLitterbags placem_collection'!G140="","",'WetLitterbags placem_collection'!G140)</f>
        <v>42816</v>
      </c>
      <c r="V799" s="225">
        <f t="shared" si="60"/>
        <v>54</v>
      </c>
      <c r="W799" s="223">
        <f t="shared" si="63"/>
        <v>0.40379999999999994</v>
      </c>
      <c r="X799" s="223">
        <f t="shared" si="64"/>
        <v>0.37635050984116369</v>
      </c>
      <c r="Y799">
        <f>IFERROR(INDEX(Rainfall_Wet!$O$2:$O$217,MATCH(B799, Rainfall_Wet!$A$2:$A$217,0)),"")</f>
        <v>206.85140822299999</v>
      </c>
      <c r="Z799" s="228">
        <v>33.96</v>
      </c>
      <c r="AA799" s="228">
        <v>8.9200000000000017</v>
      </c>
      <c r="AB799" s="228">
        <v>57.12</v>
      </c>
      <c r="AC799" s="229" t="s">
        <v>2654</v>
      </c>
      <c r="AD799" s="228">
        <v>3.0720551996057202</v>
      </c>
      <c r="AE799">
        <f>IF('WetLitterbags placem_collection'!AB140="","",'WetLitterbags placem_collection'!AB140)</f>
        <v>2.8</v>
      </c>
      <c r="AF799">
        <f>IF('WetLitterbags placem_collection'!Z140="","",'WetLitterbags placem_collection'!Z140)</f>
        <v>26.4</v>
      </c>
      <c r="AG799" s="243" t="str">
        <f>IF('WetLitterbags placem_collection'!AA140="","",'WetLitterbags placem_collection'!AA140)</f>
        <v>G</v>
      </c>
      <c r="AH799">
        <f>IF('WetLitterbags placem_collection'!AC140="","",'WetLitterbags placem_collection'!AC140)</f>
        <v>1</v>
      </c>
      <c r="AI799">
        <f>AVERAGE('WetLitterbags placem_collection'!S140,'WetLitterbags placem_collection'!U140)</f>
        <v>15.5</v>
      </c>
      <c r="AJ799">
        <f>AVERAGE('WetLitterbags placem_collection'!R140,'WetLitterbags placem_collection'!T140)</f>
        <v>29.35</v>
      </c>
      <c r="AK799">
        <f>INDEX(Coordinates!$B$2:$B$197,MATCH(H799,Coordinates!$J$2:$J$197,0))</f>
        <v>-2.3485449790000001</v>
      </c>
      <c r="AL799">
        <f>INDEX(Coordinates!$C$2:$C$197,MATCH(H799,Coordinates!$J$2:$J$197,0))</f>
        <v>34.050146980000001</v>
      </c>
      <c r="AM799" t="str">
        <f>IF(ISNUMBER(SEARCH("C", 'WetLitterbags placem_collection'!$Y140)),"YES","NO")</f>
        <v>NO</v>
      </c>
      <c r="AN799" t="str">
        <f>IF(ISNUMBER(SEARCH("H", 'WetLitterbags placem_collection'!$Y140)),"YES","NO")</f>
        <v>NO</v>
      </c>
      <c r="AO799" t="str">
        <f>IF(ISNUMBER(SEARCH("R", 'WetLitterbags placem_collection'!$Y140)),"YES","NO")</f>
        <v>NO</v>
      </c>
    </row>
    <row r="800" spans="1:41" ht="15" customHeight="1">
      <c r="A800" s="255" t="s">
        <v>2454</v>
      </c>
      <c r="B800" s="260">
        <f>'Dry_Litterbag Placem_Collection'!A141</f>
        <v>139</v>
      </c>
      <c r="C800" s="260" t="str">
        <f>'Dry_Litterbag Placem_Collection'!B141</f>
        <v xml:space="preserve">Mwantimba
</v>
      </c>
      <c r="D800" s="260" t="s">
        <v>2454</v>
      </c>
      <c r="E800" s="260" t="s">
        <v>20</v>
      </c>
      <c r="F800" s="260">
        <v>2</v>
      </c>
      <c r="G800" s="260" t="s">
        <v>3822</v>
      </c>
      <c r="H800" s="261" t="str">
        <f>'Dry_Litterbag Placem_Collection'!C141</f>
        <v>Wet_P2_T3</v>
      </c>
      <c r="I800" s="270" t="s">
        <v>3630</v>
      </c>
      <c r="J800" s="271" t="s">
        <v>298</v>
      </c>
      <c r="K800" s="221" t="str">
        <f>'WetLitterbags placem_collection'!Q141</f>
        <v>R538</v>
      </c>
      <c r="L800" s="223">
        <f>IFERROR(INDEX('Green_rooibos initial weight'!$C$5:$C$2000,MATCH(K800, 'Green_rooibos initial weight'!$A$5:$A$2000,0)),"")</f>
        <v>2.2000000000000002</v>
      </c>
      <c r="M800" s="223">
        <f>IFERROR(L800-(TBIcalc!$H$9+TBIcalc!$H$10),"")</f>
        <v>1.9502000000000002</v>
      </c>
      <c r="N800" s="385">
        <f>AVERAGE(Ashed_controlls!$K$2:$K$11)</f>
        <v>5.5147656768714146</v>
      </c>
      <c r="O800" s="223">
        <f t="shared" si="61"/>
        <v>1.8426510397696538</v>
      </c>
      <c r="P800" s="223">
        <f>IFERROR(INDEX('Both teabags AfterWet'!$C$3:$C$840,MATCH(K800,'Both teabags AfterWet'!$A$3:$A$840,0)),"")</f>
        <v>1.415</v>
      </c>
      <c r="Q800" s="223">
        <f>IFERROR(IF(P800&gt;0,P800-(TBIcalc!$H$9),""),"")</f>
        <v>1.2644</v>
      </c>
      <c r="R800" s="223">
        <f>IFERROR(INDEX('Ashed teabags wet'!$K$2:$K$2000,MATCH(K800,'Ashed teabags wet'!$A$2:$A$2000,0)),"")</f>
        <v>10.337972166998611</v>
      </c>
      <c r="S800" s="223">
        <f t="shared" si="62"/>
        <v>1.1336866799204695</v>
      </c>
      <c r="T800" s="224">
        <f>'WetLitterbags placem_collection'!E141</f>
        <v>42762</v>
      </c>
      <c r="U800" s="224">
        <f>IF('WetLitterbags placem_collection'!G141="","",'WetLitterbags placem_collection'!G141)</f>
        <v>42816</v>
      </c>
      <c r="V800" s="225">
        <f t="shared" si="60"/>
        <v>54</v>
      </c>
      <c r="W800" s="223">
        <f t="shared" si="63"/>
        <v>0.68580000000000019</v>
      </c>
      <c r="X800" s="223">
        <f t="shared" si="64"/>
        <v>0.70896435984918438</v>
      </c>
      <c r="Y800">
        <f>IFERROR(INDEX(Rainfall_Wet!$O$2:$O$217,MATCH(B800, Rainfall_Wet!$A$2:$A$217,0)),"")</f>
        <v>206.85140822299999</v>
      </c>
      <c r="Z800" s="228">
        <v>33.96</v>
      </c>
      <c r="AA800" s="228">
        <v>8.9200000000000017</v>
      </c>
      <c r="AB800" s="228">
        <v>57.12</v>
      </c>
      <c r="AC800" s="229" t="s">
        <v>2654</v>
      </c>
      <c r="AD800" s="228">
        <v>4.0720551996057202</v>
      </c>
      <c r="AE800">
        <f>IF('WetLitterbags placem_collection'!AB141="","",'WetLitterbags placem_collection'!AB141)</f>
        <v>5.7</v>
      </c>
      <c r="AF800">
        <f>IF('WetLitterbags placem_collection'!Z141="","",'WetLitterbags placem_collection'!Z141)</f>
        <v>19.399999999999999</v>
      </c>
      <c r="AG800" s="243" t="str">
        <f>IF('WetLitterbags placem_collection'!AA141="","",'WetLitterbags placem_collection'!AA141)</f>
        <v>G</v>
      </c>
      <c r="AH800">
        <f>IF('WetLitterbags placem_collection'!AC141="","",'WetLitterbags placem_collection'!AC141)</f>
        <v>1</v>
      </c>
      <c r="AI800">
        <f>AVERAGE('WetLitterbags placem_collection'!S141,'WetLitterbags placem_collection'!U141)</f>
        <v>16.850000000000001</v>
      </c>
      <c r="AJ800">
        <f>AVERAGE('WetLitterbags placem_collection'!R141,'WetLitterbags placem_collection'!T141)</f>
        <v>28.65</v>
      </c>
      <c r="AK800">
        <f>INDEX(Coordinates!$B$2:$B$197,MATCH(H800,Coordinates!$J$2:$J$197,0))</f>
        <v>-2.3487209990000002</v>
      </c>
      <c r="AL800">
        <f>INDEX(Coordinates!$C$2:$C$197,MATCH(H800,Coordinates!$J$2:$J$197,0))</f>
        <v>34.050128039999997</v>
      </c>
      <c r="AM800" t="str">
        <f>IF(ISNUMBER(SEARCH("C", 'WetLitterbags placem_collection'!$Y141)),"YES","NO")</f>
        <v>NO</v>
      </c>
      <c r="AN800" t="str">
        <f>IF(ISNUMBER(SEARCH("H", 'WetLitterbags placem_collection'!$Y141)),"YES","NO")</f>
        <v>NO</v>
      </c>
      <c r="AO800" t="str">
        <f>IF(ISNUMBER(SEARCH("R", 'WetLitterbags placem_collection'!$Y141)),"YES","NO")</f>
        <v>NO</v>
      </c>
    </row>
    <row r="801" spans="1:41" ht="15" customHeight="1">
      <c r="A801" s="255" t="s">
        <v>2454</v>
      </c>
      <c r="B801" s="260">
        <f>'Dry_Litterbag Placem_Collection'!A142</f>
        <v>140</v>
      </c>
      <c r="C801" s="260" t="str">
        <f>'Dry_Litterbag Placem_Collection'!B142</f>
        <v xml:space="preserve">Mwantimba
</v>
      </c>
      <c r="D801" s="260" t="s">
        <v>2454</v>
      </c>
      <c r="E801" s="260" t="s">
        <v>20</v>
      </c>
      <c r="F801" s="260">
        <v>2</v>
      </c>
      <c r="G801" s="260" t="s">
        <v>3822</v>
      </c>
      <c r="H801" s="261" t="str">
        <f>'Dry_Litterbag Placem_Collection'!C142</f>
        <v>Wet_P2_T4</v>
      </c>
      <c r="I801" s="270" t="s">
        <v>3630</v>
      </c>
      <c r="J801" s="271" t="s">
        <v>298</v>
      </c>
      <c r="K801" s="221" t="str">
        <f>'WetLitterbags placem_collection'!Q142</f>
        <v>R559</v>
      </c>
      <c r="L801" s="223">
        <f>IFERROR(INDEX('Green_rooibos initial weight'!$C$5:$C$2000,MATCH(K801, 'Green_rooibos initial weight'!$A$5:$A$2000,0)),"")</f>
        <v>2.161</v>
      </c>
      <c r="M801" s="223">
        <f>IFERROR(L801-(TBIcalc!$H$9+TBIcalc!$H$10),"")</f>
        <v>1.9112</v>
      </c>
      <c r="N801" s="385">
        <f>AVERAGE(Ashed_controlls!$K$2:$K$11)</f>
        <v>5.5147656768714146</v>
      </c>
      <c r="O801" s="223">
        <f t="shared" si="61"/>
        <v>1.8058017983836336</v>
      </c>
      <c r="P801" s="223">
        <f>IFERROR(INDEX('Both teabags AfterWet'!$C$3:$C$840,MATCH(K801,'Both teabags AfterWet'!$A$3:$A$840,0)),"")</f>
        <v>1.6634</v>
      </c>
      <c r="Q801" s="223">
        <f>IFERROR(IF(P801&gt;0,P801-(TBIcalc!$H$9),""),"")</f>
        <v>1.5127999999999999</v>
      </c>
      <c r="R801" s="223">
        <f>IFERROR(INDEX('Ashed teabags wet'!$K$2:$K$2000,MATCH(K801,'Ashed teabags wet'!$A$2:$A$2000,0)),"")</f>
        <v>11.767508337303465</v>
      </c>
      <c r="S801" s="223">
        <f t="shared" si="62"/>
        <v>1.3347811338732731</v>
      </c>
      <c r="T801" s="224">
        <f>'WetLitterbags placem_collection'!E142</f>
        <v>42762</v>
      </c>
      <c r="U801" s="224">
        <f>IF('WetLitterbags placem_collection'!G142="","",'WetLitterbags placem_collection'!G142)</f>
        <v>42816</v>
      </c>
      <c r="V801" s="225">
        <f t="shared" si="60"/>
        <v>54</v>
      </c>
      <c r="W801" s="223">
        <f t="shared" si="63"/>
        <v>0.39840000000000009</v>
      </c>
      <c r="X801" s="223">
        <f t="shared" si="64"/>
        <v>0.47102066451036051</v>
      </c>
      <c r="Y801">
        <f>IFERROR(INDEX(Rainfall_Wet!$O$2:$O$217,MATCH(B801, Rainfall_Wet!$A$2:$A$217,0)),"")</f>
        <v>206.85140822299999</v>
      </c>
      <c r="Z801" s="228">
        <v>33.96</v>
      </c>
      <c r="AA801" s="228">
        <v>8.9200000000000017</v>
      </c>
      <c r="AB801" s="228">
        <v>57.12</v>
      </c>
      <c r="AC801" s="229" t="s">
        <v>2654</v>
      </c>
      <c r="AD801" s="228">
        <v>5.0720551996057202</v>
      </c>
      <c r="AE801">
        <f>IF('WetLitterbags placem_collection'!AB142="","",'WetLitterbags placem_collection'!AB142)</f>
        <v>1.4</v>
      </c>
      <c r="AF801">
        <f>IF('WetLitterbags placem_collection'!Z142="","",'WetLitterbags placem_collection'!Z142)</f>
        <v>33.4</v>
      </c>
      <c r="AG801" s="243" t="str">
        <f>IF('WetLitterbags placem_collection'!AA142="","",'WetLitterbags placem_collection'!AA142)</f>
        <v>G</v>
      </c>
      <c r="AH801">
        <f>IF('WetLitterbags placem_collection'!AC142="","",'WetLitterbags placem_collection'!AC142)</f>
        <v>1</v>
      </c>
      <c r="AI801">
        <f>AVERAGE('WetLitterbags placem_collection'!S142,'WetLitterbags placem_collection'!U142)</f>
        <v>11.55</v>
      </c>
      <c r="AJ801">
        <f>AVERAGE('WetLitterbags placem_collection'!R142,'WetLitterbags placem_collection'!T142)</f>
        <v>30.85</v>
      </c>
      <c r="AK801">
        <f>INDEX(Coordinates!$B$2:$B$197,MATCH(H801,Coordinates!$J$2:$J$197,0))</f>
        <v>-2.3486250270000002</v>
      </c>
      <c r="AL801">
        <f>INDEX(Coordinates!$C$2:$C$197,MATCH(H801,Coordinates!$J$2:$J$197,0))</f>
        <v>34.050070959999999</v>
      </c>
      <c r="AM801" t="str">
        <f>IF(ISNUMBER(SEARCH("C", 'WetLitterbags placem_collection'!$Y142)),"YES","NO")</f>
        <v>NO</v>
      </c>
      <c r="AN801" t="str">
        <f>IF(ISNUMBER(SEARCH("H", 'WetLitterbags placem_collection'!$Y142)),"YES","NO")</f>
        <v>NO</v>
      </c>
      <c r="AO801" t="str">
        <f>IF(ISNUMBER(SEARCH("R", 'WetLitterbags placem_collection'!$Y142)),"YES","NO")</f>
        <v>NO</v>
      </c>
    </row>
    <row r="802" spans="1:41" ht="15" customHeight="1">
      <c r="A802" s="255" t="s">
        <v>2454</v>
      </c>
      <c r="B802" s="260">
        <f>'Dry_Litterbag Placem_Collection'!A143</f>
        <v>141</v>
      </c>
      <c r="C802" s="260" t="str">
        <f>'Dry_Litterbag Placem_Collection'!B143</f>
        <v xml:space="preserve">Mwantimba
</v>
      </c>
      <c r="D802" s="260" t="s">
        <v>2454</v>
      </c>
      <c r="E802" s="260" t="s">
        <v>20</v>
      </c>
      <c r="F802" s="260">
        <v>2</v>
      </c>
      <c r="G802" s="260" t="s">
        <v>3822</v>
      </c>
      <c r="H802" s="261" t="str">
        <f>'Dry_Litterbag Placem_Collection'!C143</f>
        <v>Wet_P2_T5</v>
      </c>
      <c r="I802" s="270" t="s">
        <v>3630</v>
      </c>
      <c r="J802" s="271" t="s">
        <v>298</v>
      </c>
      <c r="K802" s="221" t="str">
        <f>'WetLitterbags placem_collection'!Q143</f>
        <v>R465</v>
      </c>
      <c r="L802" s="223">
        <f>IFERROR(INDEX('Green_rooibos initial weight'!$C$5:$C$2000,MATCH(K802, 'Green_rooibos initial weight'!$A$5:$A$2000,0)),"")</f>
        <v>2.206</v>
      </c>
      <c r="M802" s="223">
        <f>IFERROR(L802-(TBIcalc!$H$9+TBIcalc!$H$10),"")</f>
        <v>1.9561999999999999</v>
      </c>
      <c r="N802" s="385">
        <f>AVERAGE(Ashed_controlls!$K$2:$K$11)</f>
        <v>5.5147656768714146</v>
      </c>
      <c r="O802" s="223">
        <f t="shared" si="61"/>
        <v>1.8483201538290412</v>
      </c>
      <c r="P802" s="223">
        <f>IFERROR(INDEX('Both teabags AfterWet'!$C$3:$C$840,MATCH(K802,'Both teabags AfterWet'!$A$3:$A$840,0)),"")</f>
        <v>1.6759999999999999</v>
      </c>
      <c r="Q802" s="223">
        <f>IFERROR(IF(P802&gt;0,P802-(TBIcalc!$H$9),""),"")</f>
        <v>1.5253999999999999</v>
      </c>
      <c r="R802" s="223">
        <f>IFERROR(INDEX('Ashed teabags wet'!$K$2:$K$2000,MATCH(K802,'Ashed teabags wet'!$A$2:$A$2000,0)),"")</f>
        <v>2.2604422604422161</v>
      </c>
      <c r="S802" s="223">
        <f t="shared" si="62"/>
        <v>1.4909192137592142</v>
      </c>
      <c r="T802" s="224">
        <f>'WetLitterbags placem_collection'!E143</f>
        <v>42762</v>
      </c>
      <c r="U802" s="224">
        <f>IF('WetLitterbags placem_collection'!G143="","",'WetLitterbags placem_collection'!G143)</f>
        <v>42816</v>
      </c>
      <c r="V802" s="225">
        <f t="shared" si="60"/>
        <v>54</v>
      </c>
      <c r="W802" s="223">
        <f t="shared" si="63"/>
        <v>0.43080000000000007</v>
      </c>
      <c r="X802" s="223">
        <f t="shared" si="64"/>
        <v>0.35740094006982703</v>
      </c>
      <c r="Y802">
        <f>IFERROR(INDEX(Rainfall_Wet!$O$2:$O$217,MATCH(B802, Rainfall_Wet!$A$2:$A$217,0)),"")</f>
        <v>206.85140822299999</v>
      </c>
      <c r="Z802" s="228">
        <v>33.96</v>
      </c>
      <c r="AA802" s="228">
        <v>8.9200000000000017</v>
      </c>
      <c r="AB802" s="228">
        <v>57.12</v>
      </c>
      <c r="AC802" s="229" t="s">
        <v>2654</v>
      </c>
      <c r="AD802" s="228">
        <v>6.0720551996057202</v>
      </c>
      <c r="AE802">
        <f>IF('WetLitterbags placem_collection'!AB143="","",'WetLitterbags placem_collection'!AB143)</f>
        <v>1.4</v>
      </c>
      <c r="AF802">
        <f>IF('WetLitterbags placem_collection'!Z143="","",'WetLitterbags placem_collection'!Z143)</f>
        <v>28.4</v>
      </c>
      <c r="AG802" s="243" t="str">
        <f>IF('WetLitterbags placem_collection'!AA143="","",'WetLitterbags placem_collection'!AA143)</f>
        <v>G</v>
      </c>
      <c r="AH802">
        <f>IF('WetLitterbags placem_collection'!AC143="","",'WetLitterbags placem_collection'!AC143)</f>
        <v>1</v>
      </c>
      <c r="AI802">
        <f>AVERAGE('WetLitterbags placem_collection'!S143,'WetLitterbags placem_collection'!U143)</f>
        <v>9.6999999999999993</v>
      </c>
      <c r="AJ802">
        <f>AVERAGE('WetLitterbags placem_collection'!R143,'WetLitterbags placem_collection'!T143)</f>
        <v>30.75</v>
      </c>
      <c r="AK802">
        <f>INDEX(Coordinates!$B$2:$B$197,MATCH(H802,Coordinates!$J$2:$J$197,0))</f>
        <v>-2.3486060000000002</v>
      </c>
      <c r="AL802">
        <f>INDEX(Coordinates!$C$2:$C$197,MATCH(H802,Coordinates!$J$2:$J$197,0))</f>
        <v>34.050010020000002</v>
      </c>
      <c r="AM802" t="str">
        <f>IF(ISNUMBER(SEARCH("C", 'WetLitterbags placem_collection'!$Y143)),"YES","NO")</f>
        <v>NO</v>
      </c>
      <c r="AN802" t="str">
        <f>IF(ISNUMBER(SEARCH("H", 'WetLitterbags placem_collection'!$Y143)),"YES","NO")</f>
        <v>NO</v>
      </c>
      <c r="AO802" t="str">
        <f>IF(ISNUMBER(SEARCH("R", 'WetLitterbags placem_collection'!$Y143)),"YES","NO")</f>
        <v>NO</v>
      </c>
    </row>
    <row r="803" spans="1:41" ht="15" customHeight="1">
      <c r="A803" s="255" t="s">
        <v>2454</v>
      </c>
      <c r="B803" s="260">
        <f>'Dry_Litterbag Placem_Collection'!A144</f>
        <v>142</v>
      </c>
      <c r="C803" s="260" t="str">
        <f>'Dry_Litterbag Placem_Collection'!B144</f>
        <v xml:space="preserve">Mwantimba
</v>
      </c>
      <c r="D803" s="260" t="s">
        <v>2454</v>
      </c>
      <c r="E803" s="260" t="s">
        <v>20</v>
      </c>
      <c r="F803" s="260">
        <v>2</v>
      </c>
      <c r="G803" s="260" t="s">
        <v>3822</v>
      </c>
      <c r="H803" s="261" t="str">
        <f>'Dry_Litterbag Placem_Collection'!C144</f>
        <v>Wet_P2_T6</v>
      </c>
      <c r="I803" s="270" t="s">
        <v>3630</v>
      </c>
      <c r="J803" s="271" t="s">
        <v>298</v>
      </c>
      <c r="K803" s="221" t="str">
        <f>'WetLitterbags placem_collection'!Q144</f>
        <v>R503</v>
      </c>
      <c r="L803" s="223">
        <f>IFERROR(INDEX('Green_rooibos initial weight'!$C$5:$C$2000,MATCH(K803, 'Green_rooibos initial weight'!$A$5:$A$2000,0)),"")</f>
        <v>2.1709999999999998</v>
      </c>
      <c r="M803" s="223">
        <f>IFERROR(L803-(TBIcalc!$H$9+TBIcalc!$H$10),"")</f>
        <v>1.9211999999999998</v>
      </c>
      <c r="N803" s="385">
        <f>AVERAGE(Ashed_controlls!$K$2:$K$11)</f>
        <v>5.5147656768714146</v>
      </c>
      <c r="O803" s="223">
        <f t="shared" si="61"/>
        <v>1.8152503218159461</v>
      </c>
      <c r="P803" s="223">
        <f>IFERROR(INDEX('Both teabags AfterWet'!$C$3:$C$840,MATCH(K803,'Both teabags AfterWet'!$A$3:$A$840,0)),"")</f>
        <v>1.0640000000000001</v>
      </c>
      <c r="Q803" s="223">
        <f>IFERROR(IF(P803&gt;0,P803-(TBIcalc!$H$9),""),"")</f>
        <v>0.91339999999999999</v>
      </c>
      <c r="R803" s="223">
        <f>IFERROR(INDEX('Ashed teabags wet'!$K$2:$K$2000,MATCH(K803,'Ashed teabags wet'!$A$2:$A$2000,0)),"")</f>
        <v>0</v>
      </c>
      <c r="S803" s="223">
        <f t="shared" si="62"/>
        <v>0.91339999999999999</v>
      </c>
      <c r="T803" s="224">
        <f>'WetLitterbags placem_collection'!E144</f>
        <v>42762</v>
      </c>
      <c r="U803" s="224">
        <f>IF('WetLitterbags placem_collection'!G144="","",'WetLitterbags placem_collection'!G144)</f>
        <v>42816</v>
      </c>
      <c r="V803" s="225">
        <f t="shared" si="60"/>
        <v>54</v>
      </c>
      <c r="W803" s="223">
        <f t="shared" si="63"/>
        <v>1.0077999999999998</v>
      </c>
      <c r="X803" s="223">
        <f t="shared" si="64"/>
        <v>0.90185032181594615</v>
      </c>
      <c r="Y803">
        <f>IFERROR(INDEX(Rainfall_Wet!$O$2:$O$217,MATCH(B803, Rainfall_Wet!$A$2:$A$217,0)),"")</f>
        <v>206.85140822299999</v>
      </c>
      <c r="Z803" s="228">
        <v>33.96</v>
      </c>
      <c r="AA803" s="228">
        <v>8.9200000000000017</v>
      </c>
      <c r="AB803" s="228">
        <v>57.12</v>
      </c>
      <c r="AC803" s="229" t="s">
        <v>2654</v>
      </c>
      <c r="AD803" s="228">
        <v>7.0720551996057202</v>
      </c>
      <c r="AE803">
        <f>IF('WetLitterbags placem_collection'!AB144="","",'WetLitterbags placem_collection'!AB144)</f>
        <v>1.7</v>
      </c>
      <c r="AF803">
        <f>IF('WetLitterbags placem_collection'!Z144="","",'WetLitterbags placem_collection'!Z144)</f>
        <v>33.799999999999997</v>
      </c>
      <c r="AG803" s="243" t="str">
        <f>IF('WetLitterbags placem_collection'!AA144="","",'WetLitterbags placem_collection'!AA144)</f>
        <v>G</v>
      </c>
      <c r="AH803">
        <f>IF('WetLitterbags placem_collection'!AC144="","",'WetLitterbags placem_collection'!AC144)</f>
        <v>1</v>
      </c>
      <c r="AI803">
        <f>AVERAGE('WetLitterbags placem_collection'!S144,'WetLitterbags placem_collection'!U144)</f>
        <v>15.5</v>
      </c>
      <c r="AJ803">
        <f>AVERAGE('WetLitterbags placem_collection'!R144,'WetLitterbags placem_collection'!T144)</f>
        <v>28.75</v>
      </c>
      <c r="AK803">
        <f>INDEX(Coordinates!$B$2:$B$197,MATCH(H803,Coordinates!$J$2:$J$197,0))</f>
        <v>-2.348618992</v>
      </c>
      <c r="AL803">
        <f>INDEX(Coordinates!$C$2:$C$197,MATCH(H803,Coordinates!$J$2:$J$197,0))</f>
        <v>34.049996030000003</v>
      </c>
      <c r="AM803" t="str">
        <f>IF(ISNUMBER(SEARCH("C", 'WetLitterbags placem_collection'!$Y144)),"YES","NO")</f>
        <v>NO</v>
      </c>
      <c r="AN803" t="str">
        <f>IF(ISNUMBER(SEARCH("H", 'WetLitterbags placem_collection'!$Y144)),"YES","NO")</f>
        <v>NO</v>
      </c>
      <c r="AO803" t="str">
        <f>IF(ISNUMBER(SEARCH("R", 'WetLitterbags placem_collection'!$Y144)),"YES","NO")</f>
        <v>YES</v>
      </c>
    </row>
    <row r="804" spans="1:41" ht="15" customHeight="1">
      <c r="A804" s="255" t="s">
        <v>2454</v>
      </c>
      <c r="B804" s="260">
        <f>'Dry_Litterbag Placem_Collection'!A145</f>
        <v>143</v>
      </c>
      <c r="C804" s="260" t="str">
        <f>'Dry_Litterbag Placem_Collection'!B145</f>
        <v xml:space="preserve">Mwantimba
</v>
      </c>
      <c r="D804" s="260" t="s">
        <v>2454</v>
      </c>
      <c r="E804" s="260" t="s">
        <v>20</v>
      </c>
      <c r="F804" s="260">
        <v>2</v>
      </c>
      <c r="G804" s="260" t="s">
        <v>3822</v>
      </c>
      <c r="H804" s="261" t="str">
        <f>'Dry_Litterbag Placem_Collection'!C145</f>
        <v>Wet_P2_T7</v>
      </c>
      <c r="I804" s="270" t="s">
        <v>3630</v>
      </c>
      <c r="J804" s="271" t="s">
        <v>298</v>
      </c>
      <c r="K804" s="221" t="str">
        <f>'WetLitterbags placem_collection'!Q145</f>
        <v>R567</v>
      </c>
      <c r="L804" s="223">
        <f>IFERROR(INDEX('Green_rooibos initial weight'!$C$5:$C$2000,MATCH(K804, 'Green_rooibos initial weight'!$A$5:$A$2000,0)),"")</f>
        <v>2.097</v>
      </c>
      <c r="M804" s="223">
        <f>IFERROR(L804-(TBIcalc!$H$9+TBIcalc!$H$10),"")</f>
        <v>1.8472</v>
      </c>
      <c r="N804" s="385">
        <f>AVERAGE(Ashed_controlls!$K$2:$K$11)</f>
        <v>5.5147656768714146</v>
      </c>
      <c r="O804" s="223">
        <f t="shared" si="61"/>
        <v>1.7453312484168313</v>
      </c>
      <c r="P804" s="223">
        <f>IFERROR(INDEX('Both teabags AfterWet'!$C$3:$C$840,MATCH(K804,'Both teabags AfterWet'!$A$3:$A$840,0)),"")</f>
        <v>1.5908</v>
      </c>
      <c r="Q804" s="223">
        <f>IFERROR(IF(P804&gt;0,P804-(TBIcalc!$H$9),""),"")</f>
        <v>1.4401999999999999</v>
      </c>
      <c r="R804" s="223">
        <f>IFERROR(INDEX('Ashed teabags wet'!$K$2:$K$2000,MATCH(K804,'Ashed teabags wet'!$A$2:$A$2000,0)),"")</f>
        <v>3.9043435822355246</v>
      </c>
      <c r="S804" s="223">
        <f t="shared" si="62"/>
        <v>1.383969643728644</v>
      </c>
      <c r="T804" s="224">
        <f>'WetLitterbags placem_collection'!E145</f>
        <v>42762</v>
      </c>
      <c r="U804" s="224">
        <f>IF('WetLitterbags placem_collection'!G145="","",'WetLitterbags placem_collection'!G145)</f>
        <v>42816</v>
      </c>
      <c r="V804" s="225">
        <f t="shared" si="60"/>
        <v>54</v>
      </c>
      <c r="W804" s="223">
        <f t="shared" si="63"/>
        <v>0.40700000000000003</v>
      </c>
      <c r="X804" s="223">
        <f t="shared" si="64"/>
        <v>0.36136160468818734</v>
      </c>
      <c r="Y804">
        <f>IFERROR(INDEX(Rainfall_Wet!$O$2:$O$217,MATCH(B804, Rainfall_Wet!$A$2:$A$217,0)),"")</f>
        <v>206.85140822299999</v>
      </c>
      <c r="Z804" s="228">
        <v>33.96</v>
      </c>
      <c r="AA804" s="228">
        <v>8.9200000000000017</v>
      </c>
      <c r="AB804" s="228">
        <v>57.12</v>
      </c>
      <c r="AC804" s="229" t="s">
        <v>2654</v>
      </c>
      <c r="AD804" s="228">
        <v>8.0720551996057193</v>
      </c>
      <c r="AE804">
        <f>IF('WetLitterbags placem_collection'!AB145="","",'WetLitterbags placem_collection'!AB145)</f>
        <v>2</v>
      </c>
      <c r="AF804">
        <f>IF('WetLitterbags placem_collection'!Z145="","",'WetLitterbags placem_collection'!Z145)</f>
        <v>23.4</v>
      </c>
      <c r="AG804" s="243" t="str">
        <f>IF('WetLitterbags placem_collection'!AA145="","",'WetLitterbags placem_collection'!AA145)</f>
        <v>G</v>
      </c>
      <c r="AH804">
        <f>IF('WetLitterbags placem_collection'!AC145="","",'WetLitterbags placem_collection'!AC145)</f>
        <v>1</v>
      </c>
      <c r="AI804">
        <f>AVERAGE('WetLitterbags placem_collection'!S145,'WetLitterbags placem_collection'!U145)</f>
        <v>14.5</v>
      </c>
      <c r="AJ804">
        <f>AVERAGE('WetLitterbags placem_collection'!R145,'WetLitterbags placem_collection'!T145)</f>
        <v>30.9</v>
      </c>
      <c r="AK804">
        <f>INDEX(Coordinates!$B$2:$B$197,MATCH(H804,Coordinates!$J$2:$J$197,0))</f>
        <v>-2.3484970349999998</v>
      </c>
      <c r="AL804">
        <f>INDEX(Coordinates!$C$2:$C$197,MATCH(H804,Coordinates!$J$2:$J$197,0))</f>
        <v>34.049979010000001</v>
      </c>
      <c r="AM804" t="str">
        <f>IF(ISNUMBER(SEARCH("C", 'WetLitterbags placem_collection'!$Y145)),"YES","NO")</f>
        <v>NO</v>
      </c>
      <c r="AN804" t="str">
        <f>IF(ISNUMBER(SEARCH("H", 'WetLitterbags placem_collection'!$Y145)),"YES","NO")</f>
        <v>NO</v>
      </c>
      <c r="AO804" t="str">
        <f>IF(ISNUMBER(SEARCH("R", 'WetLitterbags placem_collection'!$Y145)),"YES","NO")</f>
        <v>NO</v>
      </c>
    </row>
    <row r="805" spans="1:41" ht="15" customHeight="1">
      <c r="A805" s="255" t="s">
        <v>2454</v>
      </c>
      <c r="B805" s="260">
        <f>'Dry_Litterbag Placem_Collection'!A146</f>
        <v>144</v>
      </c>
      <c r="C805" s="260" t="str">
        <f>'Dry_Litterbag Placem_Collection'!B146</f>
        <v xml:space="preserve">Mwantimba
</v>
      </c>
      <c r="D805" s="260" t="s">
        <v>2454</v>
      </c>
      <c r="E805" s="260" t="s">
        <v>20</v>
      </c>
      <c r="F805" s="260">
        <v>2</v>
      </c>
      <c r="G805" s="260" t="s">
        <v>3822</v>
      </c>
      <c r="H805" s="261" t="str">
        <f>'Dry_Litterbag Placem_Collection'!C146</f>
        <v>Wet_P2_T8</v>
      </c>
      <c r="I805" s="270" t="s">
        <v>3630</v>
      </c>
      <c r="J805" s="271" t="s">
        <v>298</v>
      </c>
      <c r="K805" s="221" t="str">
        <f>'WetLitterbags placem_collection'!Q146</f>
        <v>R15</v>
      </c>
      <c r="L805" s="223">
        <f>IFERROR(INDEX('Green_rooibos initial weight'!$C$5:$C$2000,MATCH(K805, 'Green_rooibos initial weight'!$A$5:$A$2000,0)),"")</f>
        <v>2.2269999999999999</v>
      </c>
      <c r="M805" s="223">
        <f>IFERROR(L805-(TBIcalc!$H$9+TBIcalc!$H$10),"")</f>
        <v>1.9771999999999998</v>
      </c>
      <c r="N805" s="385">
        <f>AVERAGE(Ashed_controlls!$K$2:$K$11)</f>
        <v>5.5147656768714146</v>
      </c>
      <c r="O805" s="223">
        <f t="shared" si="61"/>
        <v>1.8681620530368983</v>
      </c>
      <c r="P805" s="223">
        <f>IFERROR(INDEX('Both teabags AfterWet'!$C$3:$C$840,MATCH(K805,'Both teabags AfterWet'!$A$3:$A$840,0)),"")</f>
        <v>1.7290000000000001</v>
      </c>
      <c r="Q805" s="223">
        <f>IFERROR(IF(P805&gt;0,P805-(TBIcalc!$H$9),""),"")</f>
        <v>1.5784</v>
      </c>
      <c r="R805" s="223">
        <f>IFERROR(INDEX('Ashed teabags wet'!$K$2:$K$2000,MATCH(K805,'Ashed teabags wet'!$A$2:$A$2000,0)),"")</f>
        <v>11.138613861386148</v>
      </c>
      <c r="S805" s="223">
        <f t="shared" si="62"/>
        <v>1.4025881188118812</v>
      </c>
      <c r="T805" s="224">
        <f>'WetLitterbags placem_collection'!E146</f>
        <v>42762</v>
      </c>
      <c r="U805" s="224">
        <f>IF('WetLitterbags placem_collection'!G146="","",'WetLitterbags placem_collection'!G146)</f>
        <v>42816</v>
      </c>
      <c r="V805" s="225">
        <f t="shared" si="60"/>
        <v>54</v>
      </c>
      <c r="W805" s="223">
        <f t="shared" si="63"/>
        <v>0.39879999999999982</v>
      </c>
      <c r="X805" s="223">
        <f t="shared" si="64"/>
        <v>0.46557393422501714</v>
      </c>
      <c r="Y805">
        <f>IFERROR(INDEX(Rainfall_Wet!$O$2:$O$217,MATCH(B805, Rainfall_Wet!$A$2:$A$217,0)),"")</f>
        <v>206.85140822299999</v>
      </c>
      <c r="Z805" s="228">
        <v>33.96</v>
      </c>
      <c r="AA805" s="228">
        <v>8.9200000000000017</v>
      </c>
      <c r="AB805" s="228">
        <v>57.12</v>
      </c>
      <c r="AC805" s="229" t="s">
        <v>2654</v>
      </c>
      <c r="AD805" s="228">
        <v>9.0720551996057193</v>
      </c>
      <c r="AE805">
        <f>IF('WetLitterbags placem_collection'!AB146="","",'WetLitterbags placem_collection'!AB146)</f>
        <v>2.5</v>
      </c>
      <c r="AF805">
        <f>IF('WetLitterbags placem_collection'!Z146="","",'WetLitterbags placem_collection'!Z146)</f>
        <v>19.8</v>
      </c>
      <c r="AG805" s="243" t="str">
        <f>IF('WetLitterbags placem_collection'!AA146="","",'WetLitterbags placem_collection'!AA146)</f>
        <v>G</v>
      </c>
      <c r="AH805">
        <f>IF('WetLitterbags placem_collection'!AC146="","",'WetLitterbags placem_collection'!AC146)</f>
        <v>1</v>
      </c>
      <c r="AI805">
        <f>AVERAGE('WetLitterbags placem_collection'!S146,'WetLitterbags placem_collection'!U146)</f>
        <v>17.149999999999999</v>
      </c>
      <c r="AJ805">
        <f>AVERAGE('WetLitterbags placem_collection'!R146,'WetLitterbags placem_collection'!T146)</f>
        <v>31.4</v>
      </c>
      <c r="AK805">
        <f>INDEX(Coordinates!$B$2:$B$197,MATCH(H805,Coordinates!$J$2:$J$197,0))</f>
        <v>-2.3486560399999998</v>
      </c>
      <c r="AL805">
        <f>INDEX(Coordinates!$C$2:$C$197,MATCH(H805,Coordinates!$J$2:$J$197,0))</f>
        <v>34.049895020000001</v>
      </c>
      <c r="AM805" t="str">
        <f>IF(ISNUMBER(SEARCH("C", 'WetLitterbags placem_collection'!$Y146)),"YES","NO")</f>
        <v>NO</v>
      </c>
      <c r="AN805" t="str">
        <f>IF(ISNUMBER(SEARCH("H", 'WetLitterbags placem_collection'!$Y146)),"YES","NO")</f>
        <v>NO</v>
      </c>
      <c r="AO805" t="str">
        <f>IF(ISNUMBER(SEARCH("R", 'WetLitterbags placem_collection'!$Y146)),"YES","NO")</f>
        <v>NO</v>
      </c>
    </row>
    <row r="806" spans="1:41" ht="15" customHeight="1">
      <c r="A806" s="255" t="s">
        <v>2454</v>
      </c>
      <c r="B806" s="260">
        <f>'Dry_Litterbag Placem_Collection'!A147</f>
        <v>145</v>
      </c>
      <c r="C806" s="260" t="str">
        <f>'Dry_Litterbag Placem_Collection'!B147</f>
        <v xml:space="preserve">Mwantimba
</v>
      </c>
      <c r="D806" s="260" t="s">
        <v>2454</v>
      </c>
      <c r="E806" s="260" t="s">
        <v>20</v>
      </c>
      <c r="F806" s="260">
        <v>3</v>
      </c>
      <c r="G806" s="260" t="s">
        <v>3823</v>
      </c>
      <c r="H806" s="261" t="str">
        <f>'Dry_Litterbag Placem_Collection'!C147</f>
        <v>Wet_P3_T1</v>
      </c>
      <c r="I806" s="270" t="s">
        <v>3630</v>
      </c>
      <c r="J806" s="271" t="s">
        <v>298</v>
      </c>
      <c r="K806" s="221" t="str">
        <f>'WetLitterbags placem_collection'!Q147</f>
        <v>R40</v>
      </c>
      <c r="L806" s="223">
        <f>IFERROR(INDEX('Green_rooibos initial weight'!$C$5:$C$2000,MATCH(K806, 'Green_rooibos initial weight'!$A$5:$A$2000,0)),"")</f>
        <v>2.121</v>
      </c>
      <c r="M806" s="223">
        <f>IFERROR(L806-(TBIcalc!$H$9+TBIcalc!$H$10),"")</f>
        <v>1.8712</v>
      </c>
      <c r="N806" s="385">
        <f>AVERAGE(Ashed_controlls!$K$2:$K$11)</f>
        <v>5.5147656768714146</v>
      </c>
      <c r="O806" s="223">
        <f t="shared" si="61"/>
        <v>1.7680077046543821</v>
      </c>
      <c r="P806" s="223">
        <f>IFERROR(INDEX('Both teabags AfterWet'!$C$3:$C$840,MATCH(K806,'Both teabags AfterWet'!$A$3:$A$840,0)),"")</f>
        <v>1.589</v>
      </c>
      <c r="Q806" s="223">
        <f>IFERROR(IF(P806&gt;0,P806-(TBIcalc!$H$9),""),"")</f>
        <v>1.4383999999999999</v>
      </c>
      <c r="R806" s="223">
        <f>IFERROR(INDEX('Ashed teabags wet'!$K$2:$K$2000,MATCH(K806,'Ashed teabags wet'!$A$2:$A$2000,0)),"")</f>
        <v>8.3980582524276741</v>
      </c>
      <c r="S806" s="223">
        <f t="shared" si="62"/>
        <v>1.3176023300970803</v>
      </c>
      <c r="T806" s="224">
        <f>'WetLitterbags placem_collection'!E147</f>
        <v>42762</v>
      </c>
      <c r="U806" s="224">
        <f>IF('WetLitterbags placem_collection'!G147="","",'WetLitterbags placem_collection'!G147)</f>
        <v>42815</v>
      </c>
      <c r="V806" s="225">
        <f t="shared" si="60"/>
        <v>53</v>
      </c>
      <c r="W806" s="223">
        <f t="shared" si="63"/>
        <v>0.43280000000000007</v>
      </c>
      <c r="X806" s="223">
        <f t="shared" si="64"/>
        <v>0.45040537455730179</v>
      </c>
      <c r="Y806">
        <f>IFERROR(INDEX(Rainfall_Wet!$O$2:$O$217,MATCH(B806, Rainfall_Wet!$A$2:$A$217,0)),"")</f>
        <v>205.76139209600001</v>
      </c>
      <c r="Z806" s="228">
        <v>39.96</v>
      </c>
      <c r="AA806" s="228">
        <v>12.920000000000002</v>
      </c>
      <c r="AB806" s="228">
        <v>47.12</v>
      </c>
      <c r="AC806" s="229" t="s">
        <v>2658</v>
      </c>
      <c r="AD806" s="228">
        <v>1.6549531789058647</v>
      </c>
      <c r="AE806">
        <f>IF('WetLitterbags placem_collection'!AB147="","",'WetLitterbags placem_collection'!AB147)</f>
        <v>3.95</v>
      </c>
      <c r="AF806">
        <f>IF('WetLitterbags placem_collection'!Z147="","",'WetLitterbags placem_collection'!Z147)</f>
        <v>13</v>
      </c>
      <c r="AG806" s="243" t="str">
        <f>IF('WetLitterbags placem_collection'!AA147="","",'WetLitterbags placem_collection'!AA147)</f>
        <v>O</v>
      </c>
      <c r="AH806">
        <f>IF('WetLitterbags placem_collection'!AC147="","",'WetLitterbags placem_collection'!AC147)</f>
        <v>0</v>
      </c>
      <c r="AI806">
        <f>AVERAGE('WetLitterbags placem_collection'!S147,'WetLitterbags placem_collection'!U147)</f>
        <v>27.200000000000003</v>
      </c>
      <c r="AJ806">
        <f>AVERAGE('WetLitterbags placem_collection'!R147,'WetLitterbags placem_collection'!T147)</f>
        <v>30.9</v>
      </c>
      <c r="AK806">
        <f>INDEX(Coordinates!$B$2:$B$197,MATCH(H806,Coordinates!$J$2:$J$197,0))</f>
        <v>-2.3675269729999999</v>
      </c>
      <c r="AL806">
        <f>INDEX(Coordinates!$C$2:$C$197,MATCH(H806,Coordinates!$J$2:$J$197,0))</f>
        <v>34.06035799</v>
      </c>
      <c r="AM806" t="str">
        <f>IF(ISNUMBER(SEARCH("C", 'WetLitterbags placem_collection'!$Y147)),"YES","NO")</f>
        <v>NO</v>
      </c>
      <c r="AN806" t="str">
        <f>IF(ISNUMBER(SEARCH("H", 'WetLitterbags placem_collection'!$Y147)),"YES","NO")</f>
        <v>NO</v>
      </c>
      <c r="AO806" t="str">
        <f>IF(ISNUMBER(SEARCH("R", 'WetLitterbags placem_collection'!$Y147)),"YES","NO")</f>
        <v>NO</v>
      </c>
    </row>
    <row r="807" spans="1:41" ht="15" customHeight="1">
      <c r="A807" s="255" t="s">
        <v>2454</v>
      </c>
      <c r="B807" s="260">
        <f>'Dry_Litterbag Placem_Collection'!A148</f>
        <v>146</v>
      </c>
      <c r="C807" s="260" t="str">
        <f>'Dry_Litterbag Placem_Collection'!B148</f>
        <v xml:space="preserve">Mwantimba
</v>
      </c>
      <c r="D807" s="260" t="s">
        <v>2454</v>
      </c>
      <c r="E807" s="260" t="s">
        <v>20</v>
      </c>
      <c r="F807" s="260">
        <v>3</v>
      </c>
      <c r="G807" s="260" t="s">
        <v>3823</v>
      </c>
      <c r="H807" s="261" t="str">
        <f>'Dry_Litterbag Placem_Collection'!C148</f>
        <v>Wet_P3_T2</v>
      </c>
      <c r="I807" s="270" t="s">
        <v>3630</v>
      </c>
      <c r="J807" s="271" t="s">
        <v>298</v>
      </c>
      <c r="K807" s="221" t="str">
        <f>'WetLitterbags placem_collection'!Q148</f>
        <v>R468</v>
      </c>
      <c r="L807" s="223">
        <f>IFERROR(INDEX('Green_rooibos initial weight'!$C$5:$C$2000,MATCH(K807, 'Green_rooibos initial weight'!$A$5:$A$2000,0)),"")</f>
        <v>2.2869999999999999</v>
      </c>
      <c r="M807" s="223">
        <f>IFERROR(L807-(TBIcalc!$H$9+TBIcalc!$H$10),"")</f>
        <v>2.0371999999999999</v>
      </c>
      <c r="N807" s="385">
        <f>AVERAGE(Ashed_controlls!$K$2:$K$11)</f>
        <v>5.5147656768714146</v>
      </c>
      <c r="O807" s="223">
        <f t="shared" si="61"/>
        <v>1.9248531936307756</v>
      </c>
      <c r="P807" s="223">
        <f>IFERROR(INDEX('Both teabags AfterWet'!$C$3:$C$840,MATCH(K807,'Both teabags AfterWet'!$A$3:$A$840,0)),"")</f>
        <v>1.657</v>
      </c>
      <c r="Q807" s="223">
        <f>IFERROR(IF(P807&gt;0,P807-(TBIcalc!$H$9),""),"")</f>
        <v>1.5064</v>
      </c>
      <c r="R807" s="223">
        <f>IFERROR(INDEX('Ashed teabags wet'!$K$2:$K$2000,MATCH(K807,'Ashed teabags wet'!$A$2:$A$2000,0)),"")</f>
        <v>5.4683544303797067</v>
      </c>
      <c r="S807" s="223">
        <f t="shared" si="62"/>
        <v>1.42402470886076</v>
      </c>
      <c r="T807" s="224">
        <f>'WetLitterbags placem_collection'!E148</f>
        <v>42762</v>
      </c>
      <c r="U807" s="224">
        <f>IF('WetLitterbags placem_collection'!G148="","",'WetLitterbags placem_collection'!G148)</f>
        <v>42815</v>
      </c>
      <c r="V807" s="225">
        <f t="shared" si="60"/>
        <v>53</v>
      </c>
      <c r="W807" s="223">
        <f t="shared" si="63"/>
        <v>0.53079999999999994</v>
      </c>
      <c r="X807" s="223">
        <f t="shared" si="64"/>
        <v>0.50082848477001551</v>
      </c>
      <c r="Y807">
        <f>IFERROR(INDEX(Rainfall_Wet!$O$2:$O$217,MATCH(B807, Rainfall_Wet!$A$2:$A$217,0)),"")</f>
        <v>205.76139209600001</v>
      </c>
      <c r="Z807" s="228">
        <v>39.96</v>
      </c>
      <c r="AA807" s="228">
        <v>12.920000000000002</v>
      </c>
      <c r="AB807" s="228">
        <v>47.12</v>
      </c>
      <c r="AC807" s="229" t="s">
        <v>2658</v>
      </c>
      <c r="AD807" s="228">
        <v>2.6549531789058598</v>
      </c>
      <c r="AE807">
        <f>IF('WetLitterbags placem_collection'!AB148="","",'WetLitterbags placem_collection'!AB148)</f>
        <v>2.75</v>
      </c>
      <c r="AF807">
        <f>IF('WetLitterbags placem_collection'!Z148="","",'WetLitterbags placem_collection'!Z148)</f>
        <v>17.7</v>
      </c>
      <c r="AG807" s="243" t="str">
        <f>IF('WetLitterbags placem_collection'!AA148="","",'WetLitterbags placem_collection'!AA148)</f>
        <v>O</v>
      </c>
      <c r="AH807">
        <f>IF('WetLitterbags placem_collection'!AC148="","",'WetLitterbags placem_collection'!AC148)</f>
        <v>1</v>
      </c>
      <c r="AI807">
        <f>AVERAGE('WetLitterbags placem_collection'!S148,'WetLitterbags placem_collection'!U148)</f>
        <v>22.65</v>
      </c>
      <c r="AJ807">
        <f>AVERAGE('WetLitterbags placem_collection'!R148,'WetLitterbags placem_collection'!T148)</f>
        <v>30.549999999999997</v>
      </c>
      <c r="AK807">
        <f>INDEX(Coordinates!$B$2:$B$197,MATCH(H807,Coordinates!$J$2:$J$197,0))</f>
        <v>-2.3675380370000001</v>
      </c>
      <c r="AL807">
        <f>INDEX(Coordinates!$C$2:$C$197,MATCH(H807,Coordinates!$J$2:$J$197,0))</f>
        <v>34.060381960000001</v>
      </c>
      <c r="AM807" t="str">
        <f>IF(ISNUMBER(SEARCH("C", 'WetLitterbags placem_collection'!$Y148)),"YES","NO")</f>
        <v>NO</v>
      </c>
      <c r="AN807" t="str">
        <f>IF(ISNUMBER(SEARCH("H", 'WetLitterbags placem_collection'!$Y148)),"YES","NO")</f>
        <v>NO</v>
      </c>
      <c r="AO807" t="str">
        <f>IF(ISNUMBER(SEARCH("R", 'WetLitterbags placem_collection'!$Y148)),"YES","NO")</f>
        <v>NO</v>
      </c>
    </row>
    <row r="808" spans="1:41" ht="15" customHeight="1">
      <c r="A808" s="255" t="s">
        <v>2454</v>
      </c>
      <c r="B808" s="260">
        <f>'Dry_Litterbag Placem_Collection'!A149</f>
        <v>147</v>
      </c>
      <c r="C808" s="260" t="str">
        <f>'Dry_Litterbag Placem_Collection'!B149</f>
        <v xml:space="preserve">Mwantimba
</v>
      </c>
      <c r="D808" s="260" t="s">
        <v>2454</v>
      </c>
      <c r="E808" s="260" t="s">
        <v>20</v>
      </c>
      <c r="F808" s="260">
        <v>3</v>
      </c>
      <c r="G808" s="260" t="s">
        <v>3823</v>
      </c>
      <c r="H808" s="261" t="str">
        <f>'Dry_Litterbag Placem_Collection'!C149</f>
        <v>Wet_P3_T3</v>
      </c>
      <c r="I808" s="270" t="s">
        <v>3630</v>
      </c>
      <c r="J808" s="271" t="s">
        <v>298</v>
      </c>
      <c r="K808" s="221" t="str">
        <f>'WetLitterbags placem_collection'!Q149</f>
        <v>R582</v>
      </c>
      <c r="L808" s="223">
        <f>IFERROR(INDEX('Green_rooibos initial weight'!$C$5:$C$2000,MATCH(K808, 'Green_rooibos initial weight'!$A$5:$A$2000,0)),"")</f>
        <v>2.2360000000000002</v>
      </c>
      <c r="M808" s="223">
        <f>IFERROR(L808-(TBIcalc!$H$9+TBIcalc!$H$10),"")</f>
        <v>1.9862000000000002</v>
      </c>
      <c r="N808" s="385">
        <f>AVERAGE(Ashed_controlls!$K$2:$K$11)</f>
        <v>5.5147656768714146</v>
      </c>
      <c r="O808" s="223">
        <f t="shared" si="61"/>
        <v>1.8766657241259801</v>
      </c>
      <c r="P808" s="223">
        <f>IFERROR(INDEX('Both teabags AfterWet'!$C$3:$C$840,MATCH(K808,'Both teabags AfterWet'!$A$3:$A$840,0)),"")</f>
        <v>1.742</v>
      </c>
      <c r="Q808" s="223">
        <f>IFERROR(IF(P808&gt;0,P808-(TBIcalc!$H$9),""),"")</f>
        <v>1.5913999999999999</v>
      </c>
      <c r="R808" s="223">
        <f>IFERROR(INDEX('Ashed teabags wet'!$K$2:$K$2000,MATCH(K808,'Ashed teabags wet'!$A$2:$A$2000,0)),"")</f>
        <v>1.3068731848979416</v>
      </c>
      <c r="S808" s="223">
        <f t="shared" si="62"/>
        <v>1.570602420135534</v>
      </c>
      <c r="T808" s="224">
        <f>'WetLitterbags placem_collection'!E149</f>
        <v>42762</v>
      </c>
      <c r="U808" s="224">
        <f>IF('WetLitterbags placem_collection'!G149="","",'WetLitterbags placem_collection'!G149)</f>
        <v>42816</v>
      </c>
      <c r="V808" s="225">
        <f t="shared" si="60"/>
        <v>54</v>
      </c>
      <c r="W808" s="223">
        <f t="shared" si="63"/>
        <v>0.39480000000000026</v>
      </c>
      <c r="X808" s="223">
        <f t="shared" si="64"/>
        <v>0.30606330399044612</v>
      </c>
      <c r="Y808">
        <f>IFERROR(INDEX(Rainfall_Wet!$O$2:$O$217,MATCH(B808, Rainfall_Wet!$A$2:$A$217,0)),"")</f>
        <v>206.85140822299999</v>
      </c>
      <c r="Z808" s="228">
        <v>39.96</v>
      </c>
      <c r="AA808" s="228">
        <v>12.920000000000002</v>
      </c>
      <c r="AB808" s="228">
        <v>47.12</v>
      </c>
      <c r="AC808" s="229" t="s">
        <v>2658</v>
      </c>
      <c r="AD808" s="228">
        <v>3.6549531789058598</v>
      </c>
      <c r="AE808">
        <f>IF('WetLitterbags placem_collection'!AB149="","",'WetLitterbags placem_collection'!AB149)</f>
        <v>3.6</v>
      </c>
      <c r="AF808">
        <f>IF('WetLitterbags placem_collection'!Z149="","",'WetLitterbags placem_collection'!Z149)</f>
        <v>19</v>
      </c>
      <c r="AG808" s="243" t="str">
        <f>IF('WetLitterbags placem_collection'!AA149="","",'WetLitterbags placem_collection'!AA149)</f>
        <v>M</v>
      </c>
      <c r="AH808">
        <f>IF('WetLitterbags placem_collection'!AC149="","",'WetLitterbags placem_collection'!AC149)</f>
        <v>1</v>
      </c>
      <c r="AI808">
        <f>AVERAGE('WetLitterbags placem_collection'!S149,'WetLitterbags placem_collection'!U149)</f>
        <v>23.35</v>
      </c>
      <c r="AJ808">
        <f>AVERAGE('WetLitterbags placem_collection'!R149,'WetLitterbags placem_collection'!T149)</f>
        <v>29.9</v>
      </c>
      <c r="AK808">
        <f>INDEX(Coordinates!$B$2:$B$197,MATCH(H808,Coordinates!$J$2:$J$197,0))</f>
        <v>-2.3675780180000001</v>
      </c>
      <c r="AL808">
        <f>INDEX(Coordinates!$C$2:$C$197,MATCH(H808,Coordinates!$J$2:$J$197,0))</f>
        <v>34.060323029999999</v>
      </c>
      <c r="AM808" t="str">
        <f>IF(ISNUMBER(SEARCH("C", 'WetLitterbags placem_collection'!$Y149)),"YES","NO")</f>
        <v>NO</v>
      </c>
      <c r="AN808" t="str">
        <f>IF(ISNUMBER(SEARCH("H", 'WetLitterbags placem_collection'!$Y149)),"YES","NO")</f>
        <v>NO</v>
      </c>
      <c r="AO808" t="str">
        <f>IF(ISNUMBER(SEARCH("R", 'WetLitterbags placem_collection'!$Y149)),"YES","NO")</f>
        <v>NO</v>
      </c>
    </row>
    <row r="809" spans="1:41" ht="15" customHeight="1">
      <c r="A809" s="255" t="s">
        <v>2454</v>
      </c>
      <c r="B809" s="260">
        <f>'Dry_Litterbag Placem_Collection'!A150</f>
        <v>148</v>
      </c>
      <c r="C809" s="260" t="str">
        <f>'Dry_Litterbag Placem_Collection'!B150</f>
        <v xml:space="preserve">Mwantimba
</v>
      </c>
      <c r="D809" s="260" t="s">
        <v>2454</v>
      </c>
      <c r="E809" s="260" t="s">
        <v>20</v>
      </c>
      <c r="F809" s="260">
        <v>3</v>
      </c>
      <c r="G809" s="260" t="s">
        <v>3823</v>
      </c>
      <c r="H809" s="261" t="str">
        <f>'Dry_Litterbag Placem_Collection'!C150</f>
        <v>Wet_P3_T4</v>
      </c>
      <c r="I809" s="270" t="s">
        <v>3630</v>
      </c>
      <c r="J809" s="271" t="s">
        <v>298</v>
      </c>
      <c r="K809" s="221" t="str">
        <f>'WetLitterbags placem_collection'!Q150</f>
        <v>R20</v>
      </c>
      <c r="L809" s="223">
        <f>IFERROR(INDEX('Green_rooibos initial weight'!$C$5:$C$2000,MATCH(K809, 'Green_rooibos initial weight'!$A$5:$A$2000,0)),"")</f>
        <v>2.2400000000000002</v>
      </c>
      <c r="M809" s="223">
        <f>IFERROR(L809-(TBIcalc!$H$9+TBIcalc!$H$10),"")</f>
        <v>1.9902000000000002</v>
      </c>
      <c r="N809" s="385">
        <f>AVERAGE(Ashed_controlls!$K$2:$K$11)</f>
        <v>5.5147656768714146</v>
      </c>
      <c r="O809" s="223">
        <f t="shared" si="61"/>
        <v>1.8804451334989052</v>
      </c>
      <c r="P809" s="223">
        <f>IFERROR(INDEX('Both teabags AfterWet'!$C$3:$C$840,MATCH(K809,'Both teabags AfterWet'!$A$3:$A$840,0)),"")</f>
        <v>1.6375999999999999</v>
      </c>
      <c r="Q809" s="223">
        <f>IFERROR(IF(P809&gt;0,P809-(TBIcalc!$H$9),""),"")</f>
        <v>1.4869999999999999</v>
      </c>
      <c r="R809" s="223">
        <f>IFERROR(INDEX('Ashed teabags wet'!$K$2:$K$2000,MATCH(K809,'Ashed teabags wet'!$A$2:$A$2000,0)),"")</f>
        <v>56.818181818177493</v>
      </c>
      <c r="S809" s="223">
        <f t="shared" si="62"/>
        <v>0.64211363636370067</v>
      </c>
      <c r="T809" s="224">
        <f>'WetLitterbags placem_collection'!E150</f>
        <v>42762</v>
      </c>
      <c r="U809" s="224">
        <f>IF('WetLitterbags placem_collection'!G150="","",'WetLitterbags placem_collection'!G150)</f>
        <v>42816</v>
      </c>
      <c r="V809" s="225">
        <f t="shared" si="60"/>
        <v>54</v>
      </c>
      <c r="W809" s="223">
        <f t="shared" si="63"/>
        <v>0.50320000000000031</v>
      </c>
      <c r="X809" s="223">
        <f t="shared" si="64"/>
        <v>1.2383314971352046</v>
      </c>
      <c r="Y809">
        <f>IFERROR(INDEX(Rainfall_Wet!$O$2:$O$217,MATCH(B809, Rainfall_Wet!$A$2:$A$217,0)),"")</f>
        <v>206.85140822299999</v>
      </c>
      <c r="Z809" s="228">
        <v>39.96</v>
      </c>
      <c r="AA809" s="228">
        <v>12.920000000000002</v>
      </c>
      <c r="AB809" s="228">
        <v>47.12</v>
      </c>
      <c r="AC809" s="229" t="s">
        <v>2658</v>
      </c>
      <c r="AD809" s="228">
        <v>4.6549531789058696</v>
      </c>
      <c r="AE809">
        <f>IF('WetLitterbags placem_collection'!AB150="","",'WetLitterbags placem_collection'!AB150)</f>
        <v>4.9000000000000004</v>
      </c>
      <c r="AF809">
        <f>IF('WetLitterbags placem_collection'!Z150="","",'WetLitterbags placem_collection'!Z150)</f>
        <v>17.489999999999998</v>
      </c>
      <c r="AG809" s="243" t="str">
        <f>IF('WetLitterbags placem_collection'!AA150="","",'WetLitterbags placem_collection'!AA150)</f>
        <v>M</v>
      </c>
      <c r="AH809">
        <f>IF('WetLitterbags placem_collection'!AC150="","",'WetLitterbags placem_collection'!AC150)</f>
        <v>1</v>
      </c>
      <c r="AI809">
        <f>AVERAGE('WetLitterbags placem_collection'!S150,'WetLitterbags placem_collection'!U150)</f>
        <v>28.2</v>
      </c>
      <c r="AJ809">
        <f>AVERAGE('WetLitterbags placem_collection'!R150,'WetLitterbags placem_collection'!T150)</f>
        <v>25.299999999999997</v>
      </c>
      <c r="AK809">
        <f>INDEX(Coordinates!$B$2:$B$197,MATCH(H809,Coordinates!$J$2:$J$197,0))</f>
        <v>-2.3676269689999998</v>
      </c>
      <c r="AL809">
        <f>INDEX(Coordinates!$C$2:$C$197,MATCH(H809,Coordinates!$J$2:$J$197,0))</f>
        <v>34.060310960000002</v>
      </c>
      <c r="AM809" t="str">
        <f>IF(ISNUMBER(SEARCH("C", 'WetLitterbags placem_collection'!$Y150)),"YES","NO")</f>
        <v>NO</v>
      </c>
      <c r="AN809" t="str">
        <f>IF(ISNUMBER(SEARCH("H", 'WetLitterbags placem_collection'!$Y150)),"YES","NO")</f>
        <v>NO</v>
      </c>
      <c r="AO809" t="str">
        <f>IF(ISNUMBER(SEARCH("R", 'WetLitterbags placem_collection'!$Y150)),"YES","NO")</f>
        <v>NO</v>
      </c>
    </row>
    <row r="810" spans="1:41" ht="15" customHeight="1">
      <c r="A810" s="255" t="s">
        <v>2454</v>
      </c>
      <c r="B810" s="260">
        <f>'Dry_Litterbag Placem_Collection'!A151</f>
        <v>149</v>
      </c>
      <c r="C810" s="260" t="str">
        <f>'Dry_Litterbag Placem_Collection'!B151</f>
        <v xml:space="preserve">Mwantimba
</v>
      </c>
      <c r="D810" s="260" t="s">
        <v>2454</v>
      </c>
      <c r="E810" s="260" t="s">
        <v>20</v>
      </c>
      <c r="F810" s="260">
        <v>3</v>
      </c>
      <c r="G810" s="260" t="s">
        <v>3823</v>
      </c>
      <c r="H810" s="261" t="str">
        <f>'Dry_Litterbag Placem_Collection'!C151</f>
        <v>Wet_P3_T5</v>
      </c>
      <c r="I810" s="270" t="s">
        <v>3630</v>
      </c>
      <c r="J810" s="271" t="s">
        <v>298</v>
      </c>
      <c r="K810" s="221" t="str">
        <f>'WetLitterbags placem_collection'!Q151</f>
        <v>R533</v>
      </c>
      <c r="L810" s="223">
        <f>IFERROR(INDEX('Green_rooibos initial weight'!$C$5:$C$2000,MATCH(K810, 'Green_rooibos initial weight'!$A$5:$A$2000,0)),"")</f>
        <v>2.1970000000000001</v>
      </c>
      <c r="M810" s="223">
        <f>IFERROR(L810-(TBIcalc!$H$9+TBIcalc!$H$10),"")</f>
        <v>1.9472</v>
      </c>
      <c r="N810" s="385">
        <f>AVERAGE(Ashed_controlls!$K$2:$K$11)</f>
        <v>5.5147656768714146</v>
      </c>
      <c r="O810" s="223">
        <f t="shared" si="61"/>
        <v>1.8398164827399599</v>
      </c>
      <c r="P810" s="223">
        <f>IFERROR(INDEX('Both teabags AfterWet'!$C$3:$C$840,MATCH(K810,'Both teabags AfterWet'!$A$3:$A$840,0)),"")</f>
        <v>1.7899</v>
      </c>
      <c r="Q810" s="223">
        <f>IFERROR(IF(P810&gt;0,P810-(TBIcalc!$H$9),""),"")</f>
        <v>1.6393</v>
      </c>
      <c r="R810" s="223">
        <f>IFERROR(INDEX('Ashed teabags wet'!$K$2:$K$2000,MATCH(K810,'Ashed teabags wet'!$A$2:$A$2000,0)),"")</f>
        <v>11.542288557213293</v>
      </c>
      <c r="S810" s="223">
        <f t="shared" si="62"/>
        <v>1.4500872636816025</v>
      </c>
      <c r="T810" s="224">
        <f>'WetLitterbags placem_collection'!E151</f>
        <v>42762</v>
      </c>
      <c r="U810" s="224">
        <f>IF('WetLitterbags placem_collection'!G151="","",'WetLitterbags placem_collection'!G151)</f>
        <v>42816</v>
      </c>
      <c r="V810" s="225">
        <f t="shared" si="60"/>
        <v>54</v>
      </c>
      <c r="W810" s="223">
        <f t="shared" si="63"/>
        <v>0.30790000000000006</v>
      </c>
      <c r="X810" s="223">
        <f t="shared" si="64"/>
        <v>0.38972921905835745</v>
      </c>
      <c r="Y810">
        <f>IFERROR(INDEX(Rainfall_Wet!$O$2:$O$217,MATCH(B810, Rainfall_Wet!$A$2:$A$217,0)),"")</f>
        <v>206.85140822299999</v>
      </c>
      <c r="Z810" s="228">
        <v>39.96</v>
      </c>
      <c r="AA810" s="228">
        <v>12.920000000000002</v>
      </c>
      <c r="AB810" s="228">
        <v>47.12</v>
      </c>
      <c r="AC810" s="229" t="s">
        <v>2658</v>
      </c>
      <c r="AD810" s="228">
        <v>5.6549531789058696</v>
      </c>
      <c r="AE810">
        <f>IF('WetLitterbags placem_collection'!AB151="","",'WetLitterbags placem_collection'!AB151)</f>
        <v>2.8</v>
      </c>
      <c r="AF810">
        <f>IF('WetLitterbags placem_collection'!Z151="","",'WetLitterbags placem_collection'!Z151)</f>
        <v>13</v>
      </c>
      <c r="AG810" s="243" t="str">
        <f>IF('WetLitterbags placem_collection'!AA151="","",'WetLitterbags placem_collection'!AA151)</f>
        <v>M</v>
      </c>
      <c r="AH810">
        <f>IF('WetLitterbags placem_collection'!AC151="","",'WetLitterbags placem_collection'!AC151)</f>
        <v>1</v>
      </c>
      <c r="AI810">
        <f>AVERAGE('WetLitterbags placem_collection'!S151,'WetLitterbags placem_collection'!U151)</f>
        <v>25.4</v>
      </c>
      <c r="AJ810">
        <f>AVERAGE('WetLitterbags placem_collection'!R151,'WetLitterbags placem_collection'!T151)</f>
        <v>26.9</v>
      </c>
      <c r="AK810">
        <f>INDEX(Coordinates!$B$2:$B$197,MATCH(H810,Coordinates!$J$2:$J$197,0))</f>
        <v>-2.3677179960000001</v>
      </c>
      <c r="AL810">
        <f>INDEX(Coordinates!$C$2:$C$197,MATCH(H810,Coordinates!$J$2:$J$197,0))</f>
        <v>34.060324960000003</v>
      </c>
      <c r="AM810" t="str">
        <f>IF(ISNUMBER(SEARCH("C", 'WetLitterbags placem_collection'!$Y151)),"YES","NO")</f>
        <v>NO</v>
      </c>
      <c r="AN810" t="str">
        <f>IF(ISNUMBER(SEARCH("H", 'WetLitterbags placem_collection'!$Y151)),"YES","NO")</f>
        <v>NO</v>
      </c>
      <c r="AO810" t="str">
        <f>IF(ISNUMBER(SEARCH("R", 'WetLitterbags placem_collection'!$Y151)),"YES","NO")</f>
        <v>NO</v>
      </c>
    </row>
    <row r="811" spans="1:41" ht="15" customHeight="1">
      <c r="A811" s="255" t="s">
        <v>2454</v>
      </c>
      <c r="B811" s="260">
        <f>'Dry_Litterbag Placem_Collection'!A152</f>
        <v>150</v>
      </c>
      <c r="C811" s="260" t="str">
        <f>'Dry_Litterbag Placem_Collection'!B152</f>
        <v xml:space="preserve">Mwantimba
</v>
      </c>
      <c r="D811" s="260" t="s">
        <v>2454</v>
      </c>
      <c r="E811" s="260" t="s">
        <v>20</v>
      </c>
      <c r="F811" s="260">
        <v>3</v>
      </c>
      <c r="G811" s="260" t="s">
        <v>3823</v>
      </c>
      <c r="H811" s="261" t="str">
        <f>'Dry_Litterbag Placem_Collection'!C152</f>
        <v>Wet_P3_T6</v>
      </c>
      <c r="I811" s="270" t="s">
        <v>3630</v>
      </c>
      <c r="J811" s="271" t="s">
        <v>298</v>
      </c>
      <c r="K811" s="221" t="str">
        <f>'WetLitterbags placem_collection'!Q152</f>
        <v>R572</v>
      </c>
      <c r="L811" s="223">
        <f>IFERROR(INDEX('Green_rooibos initial weight'!$C$5:$C$2000,MATCH(K811, 'Green_rooibos initial weight'!$A$5:$A$2000,0)),"")</f>
        <v>2.0819999999999999</v>
      </c>
      <c r="M811" s="223">
        <f>IFERROR(L811-(TBIcalc!$H$9+TBIcalc!$H$10),"")</f>
        <v>1.8321999999999998</v>
      </c>
      <c r="N811" s="385">
        <f>AVERAGE(Ashed_controlls!$K$2:$K$11)</f>
        <v>5.5147656768714146</v>
      </c>
      <c r="O811" s="223">
        <f t="shared" si="61"/>
        <v>1.7311584632683619</v>
      </c>
      <c r="P811" s="223">
        <f>IFERROR(INDEX('Both teabags AfterWet'!$C$3:$C$840,MATCH(K811,'Both teabags AfterWet'!$A$3:$A$840,0)),"")</f>
        <v>1.5680000000000001</v>
      </c>
      <c r="Q811" s="223">
        <f>IFERROR(IF(P811&gt;0,P811-(TBIcalc!$H$9),""),"")</f>
        <v>1.4174</v>
      </c>
      <c r="R811" s="223">
        <f>IFERROR(INDEX('Ashed teabags wet'!$K$2:$K$2000,MATCH(K811,'Ashed teabags wet'!$A$2:$A$2000,0)),"")</f>
        <v>7.1853320118927355</v>
      </c>
      <c r="S811" s="223">
        <f t="shared" si="62"/>
        <v>1.3155551040634323</v>
      </c>
      <c r="T811" s="224">
        <f>'WetLitterbags placem_collection'!E152</f>
        <v>42762</v>
      </c>
      <c r="U811" s="224">
        <f>IF('WetLitterbags placem_collection'!G152="","",'WetLitterbags placem_collection'!G152)</f>
        <v>42816</v>
      </c>
      <c r="V811" s="225">
        <f t="shared" si="60"/>
        <v>54</v>
      </c>
      <c r="W811" s="223">
        <f t="shared" si="63"/>
        <v>0.41479999999999984</v>
      </c>
      <c r="X811" s="223">
        <f t="shared" si="64"/>
        <v>0.41560335920492952</v>
      </c>
      <c r="Y811">
        <f>IFERROR(INDEX(Rainfall_Wet!$O$2:$O$217,MATCH(B811, Rainfall_Wet!$A$2:$A$217,0)),"")</f>
        <v>206.85140822299999</v>
      </c>
      <c r="Z811" s="228">
        <v>39.96</v>
      </c>
      <c r="AA811" s="228">
        <v>12.920000000000002</v>
      </c>
      <c r="AB811" s="228">
        <v>47.12</v>
      </c>
      <c r="AC811" s="229" t="s">
        <v>2658</v>
      </c>
      <c r="AD811" s="228">
        <v>6.6549531789058696</v>
      </c>
      <c r="AE811">
        <f>IF('WetLitterbags placem_collection'!AB152="","",'WetLitterbags placem_collection'!AB152)</f>
        <v>2.75</v>
      </c>
      <c r="AF811">
        <f>IF('WetLitterbags placem_collection'!Z152="","",'WetLitterbags placem_collection'!Z152)</f>
        <v>19</v>
      </c>
      <c r="AG811" s="243" t="str">
        <f>IF('WetLitterbags placem_collection'!AA152="","",'WetLitterbags placem_collection'!AA152)</f>
        <v>O</v>
      </c>
      <c r="AH811">
        <f>IF('WetLitterbags placem_collection'!AC152="","",'WetLitterbags placem_collection'!AC152)</f>
        <v>0</v>
      </c>
      <c r="AI811">
        <f>AVERAGE('WetLitterbags placem_collection'!S152,'WetLitterbags placem_collection'!U152)</f>
        <v>22.55</v>
      </c>
      <c r="AJ811">
        <f>AVERAGE('WetLitterbags placem_collection'!R152,'WetLitterbags placem_collection'!T152)</f>
        <v>24.75</v>
      </c>
      <c r="AK811">
        <f>INDEX(Coordinates!$B$2:$B$197,MATCH(H811,Coordinates!$J$2:$J$197,0))</f>
        <v>-2.3675230329999999</v>
      </c>
      <c r="AL811">
        <f>INDEX(Coordinates!$C$2:$C$197,MATCH(H811,Coordinates!$J$2:$J$197,0))</f>
        <v>34.060512969999998</v>
      </c>
      <c r="AM811" t="str">
        <f>IF(ISNUMBER(SEARCH("C", 'WetLitterbags placem_collection'!$Y152)),"YES","NO")</f>
        <v>NO</v>
      </c>
      <c r="AN811" t="str">
        <f>IF(ISNUMBER(SEARCH("H", 'WetLitterbags placem_collection'!$Y152)),"YES","NO")</f>
        <v>NO</v>
      </c>
      <c r="AO811" t="str">
        <f>IF(ISNUMBER(SEARCH("R", 'WetLitterbags placem_collection'!$Y152)),"YES","NO")</f>
        <v>NO</v>
      </c>
    </row>
    <row r="812" spans="1:41" ht="15" customHeight="1">
      <c r="A812" s="255" t="s">
        <v>2454</v>
      </c>
      <c r="B812" s="260">
        <f>'Dry_Litterbag Placem_Collection'!A153</f>
        <v>151</v>
      </c>
      <c r="C812" s="260" t="str">
        <f>'Dry_Litterbag Placem_Collection'!B153</f>
        <v xml:space="preserve">Mwantimba
</v>
      </c>
      <c r="D812" s="260" t="s">
        <v>2454</v>
      </c>
      <c r="E812" s="260" t="s">
        <v>20</v>
      </c>
      <c r="F812" s="260">
        <v>3</v>
      </c>
      <c r="G812" s="260" t="s">
        <v>3823</v>
      </c>
      <c r="H812" s="261" t="str">
        <f>'Dry_Litterbag Placem_Collection'!C153</f>
        <v>Wet_P3_T7</v>
      </c>
      <c r="I812" s="270" t="s">
        <v>3630</v>
      </c>
      <c r="J812" s="271" t="s">
        <v>298</v>
      </c>
      <c r="K812" s="221" t="str">
        <f>'WetLitterbags placem_collection'!Q153</f>
        <v>R504</v>
      </c>
      <c r="L812" s="223">
        <f>IFERROR(INDEX('Green_rooibos initial weight'!$C$5:$C$2000,MATCH(K812, 'Green_rooibos initial weight'!$A$5:$A$2000,0)),"")</f>
        <v>2.1629999999999998</v>
      </c>
      <c r="M812" s="223">
        <f>IFERROR(L812-(TBIcalc!$H$9+TBIcalc!$H$10),"")</f>
        <v>1.9131999999999998</v>
      </c>
      <c r="N812" s="385">
        <f>AVERAGE(Ashed_controlls!$K$2:$K$11)</f>
        <v>5.5147656768714146</v>
      </c>
      <c r="O812" s="223">
        <f t="shared" si="61"/>
        <v>1.807691503070096</v>
      </c>
      <c r="P812" s="223">
        <f>IFERROR(INDEX('Both teabags AfterWet'!$C$3:$C$840,MATCH(K812,'Both teabags AfterWet'!$A$3:$A$840,0)),"")</f>
        <v>1.798</v>
      </c>
      <c r="Q812" s="223">
        <f>IFERROR(IF(P812&gt;0,P812-(TBIcalc!$H$9),""),"")</f>
        <v>1.6474</v>
      </c>
      <c r="R812" s="223">
        <f>IFERROR(INDEX('Ashed teabags wet'!$K$2:$K$2000,MATCH(K812,'Ashed teabags wet'!$A$2:$A$2000,0)),"")</f>
        <v>6.3484251968501049</v>
      </c>
      <c r="S812" s="223">
        <f t="shared" si="62"/>
        <v>1.5428160433070914</v>
      </c>
      <c r="T812" s="224">
        <f>'WetLitterbags placem_collection'!E153</f>
        <v>42762</v>
      </c>
      <c r="U812" s="224">
        <f>IF('WetLitterbags placem_collection'!G153="","",'WetLitterbags placem_collection'!G153)</f>
        <v>42816</v>
      </c>
      <c r="V812" s="225">
        <f t="shared" si="60"/>
        <v>54</v>
      </c>
      <c r="W812" s="223">
        <f t="shared" si="63"/>
        <v>0.26579999999999981</v>
      </c>
      <c r="X812" s="223">
        <f t="shared" si="64"/>
        <v>0.26487545976300453</v>
      </c>
      <c r="Y812">
        <f>IFERROR(INDEX(Rainfall_Wet!$O$2:$O$217,MATCH(B812, Rainfall_Wet!$A$2:$A$217,0)),"")</f>
        <v>206.85140822299999</v>
      </c>
      <c r="Z812" s="228">
        <v>39.96</v>
      </c>
      <c r="AA812" s="228">
        <v>12.920000000000002</v>
      </c>
      <c r="AB812" s="228">
        <v>47.12</v>
      </c>
      <c r="AC812" s="229" t="s">
        <v>2658</v>
      </c>
      <c r="AD812" s="228">
        <v>7.6549531789058696</v>
      </c>
      <c r="AE812">
        <f>IF('WetLitterbags placem_collection'!AB153="","",'WetLitterbags placem_collection'!AB153)</f>
        <v>1.4</v>
      </c>
      <c r="AF812">
        <f>IF('WetLitterbags placem_collection'!Z153="","",'WetLitterbags placem_collection'!Z153)</f>
        <v>7.9</v>
      </c>
      <c r="AG812" s="243" t="str">
        <f>IF('WetLitterbags placem_collection'!AA153="","",'WetLitterbags placem_collection'!AA153)</f>
        <v>O</v>
      </c>
      <c r="AH812">
        <f>IF('WetLitterbags placem_collection'!AC153="","",'WetLitterbags placem_collection'!AC153)</f>
        <v>1</v>
      </c>
      <c r="AI812">
        <f>AVERAGE('WetLitterbags placem_collection'!S153,'WetLitterbags placem_collection'!U153)</f>
        <v>26.049999999999997</v>
      </c>
      <c r="AJ812">
        <f>AVERAGE('WetLitterbags placem_collection'!R153,'WetLitterbags placem_collection'!T153)</f>
        <v>26.5</v>
      </c>
      <c r="AK812">
        <f>INDEX(Coordinates!$B$2:$B$197,MATCH(H812,Coordinates!$J$2:$J$197,0))</f>
        <v>-2.3673460070000001</v>
      </c>
      <c r="AL812">
        <f>INDEX(Coordinates!$C$2:$C$197,MATCH(H812,Coordinates!$J$2:$J$197,0))</f>
        <v>34.060310039999997</v>
      </c>
      <c r="AM812" t="str">
        <f>IF(ISNUMBER(SEARCH("C", 'WetLitterbags placem_collection'!$Y153)),"YES","NO")</f>
        <v>NO</v>
      </c>
      <c r="AN812" t="str">
        <f>IF(ISNUMBER(SEARCH("H", 'WetLitterbags placem_collection'!$Y153)),"YES","NO")</f>
        <v>NO</v>
      </c>
      <c r="AO812" t="str">
        <f>IF(ISNUMBER(SEARCH("R", 'WetLitterbags placem_collection'!$Y153)),"YES","NO")</f>
        <v>NO</v>
      </c>
    </row>
    <row r="813" spans="1:41" ht="15" customHeight="1">
      <c r="A813" s="255" t="s">
        <v>2454</v>
      </c>
      <c r="B813" s="260">
        <f>'Dry_Litterbag Placem_Collection'!A154</f>
        <v>152</v>
      </c>
      <c r="C813" s="260" t="str">
        <f>'Dry_Litterbag Placem_Collection'!B154</f>
        <v xml:space="preserve">Mwantimba
</v>
      </c>
      <c r="D813" s="260" t="s">
        <v>2454</v>
      </c>
      <c r="E813" s="260" t="s">
        <v>20</v>
      </c>
      <c r="F813" s="260">
        <v>3</v>
      </c>
      <c r="G813" s="260" t="s">
        <v>3823</v>
      </c>
      <c r="H813" s="261" t="str">
        <f>'Dry_Litterbag Placem_Collection'!C154</f>
        <v>Wet_P3_T8</v>
      </c>
      <c r="I813" s="270" t="s">
        <v>3630</v>
      </c>
      <c r="J813" s="271" t="s">
        <v>298</v>
      </c>
      <c r="K813" s="221" t="str">
        <f>'WetLitterbags placem_collection'!Q154</f>
        <v>R579</v>
      </c>
      <c r="L813" s="223">
        <f>IFERROR(INDEX('Green_rooibos initial weight'!$C$5:$C$2000,MATCH(K813, 'Green_rooibos initial weight'!$A$5:$A$2000,0)),"")</f>
        <v>2.1349999999999998</v>
      </c>
      <c r="M813" s="223">
        <f>IFERROR(L813-(TBIcalc!$H$9+TBIcalc!$H$10),"")</f>
        <v>1.8851999999999998</v>
      </c>
      <c r="N813" s="385">
        <f>AVERAGE(Ashed_controlls!$K$2:$K$11)</f>
        <v>5.5147656768714146</v>
      </c>
      <c r="O813" s="223">
        <f t="shared" si="61"/>
        <v>1.7812356374596199</v>
      </c>
      <c r="P813" s="223">
        <f>IFERROR(INDEX('Both teabags AfterWet'!$C$3:$C$840,MATCH(K813,'Both teabags AfterWet'!$A$3:$A$840,0)),"")</f>
        <v>1.5234000000000001</v>
      </c>
      <c r="Q813" s="223">
        <f>IFERROR(IF(P813&gt;0,P813-(TBIcalc!$H$9),""),"")</f>
        <v>1.3728</v>
      </c>
      <c r="R813" s="223">
        <f>IFERROR(INDEX('Ashed teabags wet'!$K$2:$K$2000,MATCH(K813,'Ashed teabags wet'!$A$2:$A$2000,0)),"")</f>
        <v>5.1525762881442967</v>
      </c>
      <c r="S813" s="223">
        <f t="shared" si="62"/>
        <v>1.302065432716355</v>
      </c>
      <c r="T813" s="224">
        <f>'WetLitterbags placem_collection'!E154</f>
        <v>42762</v>
      </c>
      <c r="U813" s="224">
        <f>IF('WetLitterbags placem_collection'!G154="","",'WetLitterbags placem_collection'!G154)</f>
        <v>42816</v>
      </c>
      <c r="V813" s="225">
        <f t="shared" si="60"/>
        <v>54</v>
      </c>
      <c r="W813" s="223">
        <f t="shared" si="63"/>
        <v>0.51239999999999974</v>
      </c>
      <c r="X813" s="223">
        <f t="shared" si="64"/>
        <v>0.47917020474326488</v>
      </c>
      <c r="Y813">
        <f>IFERROR(INDEX(Rainfall_Wet!$O$2:$O$217,MATCH(B813, Rainfall_Wet!$A$2:$A$217,0)),"")</f>
        <v>206.85140822299999</v>
      </c>
      <c r="Z813" s="228">
        <v>39.96</v>
      </c>
      <c r="AA813" s="228">
        <v>12.920000000000002</v>
      </c>
      <c r="AB813" s="228">
        <v>47.12</v>
      </c>
      <c r="AC813" s="229" t="s">
        <v>2658</v>
      </c>
      <c r="AD813" s="228">
        <v>8.6549531789058705</v>
      </c>
      <c r="AE813">
        <f>IF('WetLitterbags placem_collection'!AB154="","",'WetLitterbags placem_collection'!AB154)</f>
        <v>2.2000000000000002</v>
      </c>
      <c r="AF813">
        <f>IF('WetLitterbags placem_collection'!Z154="","",'WetLitterbags placem_collection'!Z154)</f>
        <v>15</v>
      </c>
      <c r="AG813" s="243" t="str">
        <f>IF('WetLitterbags placem_collection'!AA154="","",'WetLitterbags placem_collection'!AA154)</f>
        <v>M</v>
      </c>
      <c r="AH813">
        <f>IF('WetLitterbags placem_collection'!AC154="","",'WetLitterbags placem_collection'!AC154)</f>
        <v>0</v>
      </c>
      <c r="AI813">
        <f>AVERAGE('WetLitterbags placem_collection'!S154,'WetLitterbags placem_collection'!U154)</f>
        <v>18.8</v>
      </c>
      <c r="AJ813">
        <f>AVERAGE('WetLitterbags placem_collection'!R154,'WetLitterbags placem_collection'!T154)</f>
        <v>23.7</v>
      </c>
      <c r="AK813">
        <f>INDEX(Coordinates!$B$2:$B$197,MATCH(H813,Coordinates!$J$2:$J$197,0))</f>
        <v>-2.367543988</v>
      </c>
      <c r="AL813">
        <f>INDEX(Coordinates!$C$2:$C$197,MATCH(H813,Coordinates!$J$2:$J$197,0))</f>
        <v>34.060168969999999</v>
      </c>
      <c r="AM813" t="str">
        <f>IF(ISNUMBER(SEARCH("C", 'WetLitterbags placem_collection'!$Y154)),"YES","NO")</f>
        <v>NO</v>
      </c>
      <c r="AN813" t="str">
        <f>IF(ISNUMBER(SEARCH("H", 'WetLitterbags placem_collection'!$Y154)),"YES","NO")</f>
        <v>NO</v>
      </c>
      <c r="AO813" t="str">
        <f>IF(ISNUMBER(SEARCH("R", 'WetLitterbags placem_collection'!$Y154)),"YES","NO")</f>
        <v>NO</v>
      </c>
    </row>
    <row r="814" spans="1:41" ht="15" customHeight="1">
      <c r="A814" s="255" t="s">
        <v>2454</v>
      </c>
      <c r="B814" s="260">
        <f>'Dry_Litterbag Placem_Collection'!A155</f>
        <v>153</v>
      </c>
      <c r="C814" s="260" t="str">
        <f>'Dry_Litterbag Placem_Collection'!B155</f>
        <v xml:space="preserve">Mwantimba
</v>
      </c>
      <c r="D814" s="260" t="s">
        <v>2454</v>
      </c>
      <c r="E814" s="260" t="s">
        <v>20</v>
      </c>
      <c r="F814" s="260">
        <v>4</v>
      </c>
      <c r="G814" s="260" t="s">
        <v>3824</v>
      </c>
      <c r="H814" s="261" t="str">
        <f>'Dry_Litterbag Placem_Collection'!C155</f>
        <v>Wet_P4_T1</v>
      </c>
      <c r="I814" s="270" t="s">
        <v>3630</v>
      </c>
      <c r="J814" s="271" t="s">
        <v>298</v>
      </c>
      <c r="K814" s="221" t="str">
        <f>'WetLitterbags placem_collection'!Q155</f>
        <v>R440</v>
      </c>
      <c r="L814" s="223">
        <f>IFERROR(INDEX('Green_rooibos initial weight'!$C$5:$C$2000,MATCH(K814, 'Green_rooibos initial weight'!$A$5:$A$2000,0)),"")</f>
        <v>2.1110000000000002</v>
      </c>
      <c r="M814" s="223">
        <f>IFERROR(L814-(TBIcalc!$H$9+TBIcalc!$H$10),"")</f>
        <v>1.8612000000000002</v>
      </c>
      <c r="N814" s="385">
        <f>AVERAGE(Ashed_controlls!$K$2:$K$11)</f>
        <v>5.5147656768714146</v>
      </c>
      <c r="O814" s="223">
        <f t="shared" si="61"/>
        <v>1.7585591812220693</v>
      </c>
      <c r="P814" s="223">
        <f>IFERROR(INDEX('Both teabags AfterWet'!$C$3:$C$840,MATCH(K814,'Both teabags AfterWet'!$A$3:$A$840,0)),"")</f>
        <v>1.6322000000000001</v>
      </c>
      <c r="Q814" s="223">
        <f>IFERROR(IF(P814&gt;0,P814-(TBIcalc!$H$9),""),"")</f>
        <v>1.4816</v>
      </c>
      <c r="R814" s="223">
        <f>IFERROR(INDEX('Ashed teabags wet'!$K$2:$K$2000,MATCH(K814,'Ashed teabags wet'!$A$2:$A$2000,0)),"")</f>
        <v>4.0218470705065492</v>
      </c>
      <c r="S814" s="223">
        <f t="shared" si="62"/>
        <v>1.4220123138033749</v>
      </c>
      <c r="T814" s="224">
        <f>'WetLitterbags placem_collection'!E155</f>
        <v>42762</v>
      </c>
      <c r="U814" s="224">
        <f>IF('WetLitterbags placem_collection'!G155="","",'WetLitterbags placem_collection'!G155)</f>
        <v>42816</v>
      </c>
      <c r="V814" s="225">
        <f t="shared" si="60"/>
        <v>54</v>
      </c>
      <c r="W814" s="223">
        <f t="shared" si="63"/>
        <v>0.37960000000000016</v>
      </c>
      <c r="X814" s="223">
        <f t="shared" si="64"/>
        <v>0.33654686741869444</v>
      </c>
      <c r="Y814">
        <f>IFERROR(INDEX(Rainfall_Wet!$O$2:$O$217,MATCH(B814, Rainfall_Wet!$A$2:$A$217,0)),"")</f>
        <v>206.85140822299999</v>
      </c>
      <c r="Z814" s="228">
        <v>27.96</v>
      </c>
      <c r="AA814" s="228">
        <v>4.9200000000000017</v>
      </c>
      <c r="AB814" s="228">
        <v>67.12</v>
      </c>
      <c r="AC814" s="229" t="s">
        <v>2654</v>
      </c>
      <c r="AD814" s="228">
        <v>1.0437161163134547</v>
      </c>
      <c r="AE814">
        <f>IF('WetLitterbags placem_collection'!AB155="","",'WetLitterbags placem_collection'!AB155)</f>
        <v>2.1</v>
      </c>
      <c r="AF814">
        <f>IF('WetLitterbags placem_collection'!Z155="","",'WetLitterbags placem_collection'!Z155)</f>
        <v>16.399999999999999</v>
      </c>
      <c r="AG814" s="243" t="str">
        <f>IF('WetLitterbags placem_collection'!AA155="","",'WetLitterbags placem_collection'!AA155)</f>
        <v>G</v>
      </c>
      <c r="AH814">
        <f>IF('WetLitterbags placem_collection'!AC155="","",'WetLitterbags placem_collection'!AC155)</f>
        <v>0</v>
      </c>
      <c r="AI814">
        <f>AVERAGE('WetLitterbags placem_collection'!S155,'WetLitterbags placem_collection'!U155)</f>
        <v>21.35</v>
      </c>
      <c r="AJ814">
        <f>AVERAGE('WetLitterbags placem_collection'!R155,'WetLitterbags placem_collection'!T155)</f>
        <v>26.700000000000003</v>
      </c>
      <c r="AK814">
        <f>INDEX(Coordinates!$B$2:$B$197,MATCH(H814,Coordinates!$J$2:$J$197,0))</f>
        <v>-2.3676780150000001</v>
      </c>
      <c r="AL814">
        <f>INDEX(Coordinates!$C$2:$C$197,MATCH(H814,Coordinates!$J$2:$J$197,0))</f>
        <v>34.05937797</v>
      </c>
      <c r="AM814" t="str">
        <f>IF(ISNUMBER(SEARCH("C", 'WetLitterbags placem_collection'!$Y155)),"YES","NO")</f>
        <v>NO</v>
      </c>
      <c r="AN814" t="str">
        <f>IF(ISNUMBER(SEARCH("H", 'WetLitterbags placem_collection'!$Y155)),"YES","NO")</f>
        <v>NO</v>
      </c>
      <c r="AO814" t="str">
        <f>IF(ISNUMBER(SEARCH("R", 'WetLitterbags placem_collection'!$Y155)),"YES","NO")</f>
        <v>NO</v>
      </c>
    </row>
    <row r="815" spans="1:41" ht="15" customHeight="1">
      <c r="A815" s="255" t="s">
        <v>2454</v>
      </c>
      <c r="B815" s="260">
        <f>'Dry_Litterbag Placem_Collection'!A156</f>
        <v>154</v>
      </c>
      <c r="C815" s="260" t="str">
        <f>'Dry_Litterbag Placem_Collection'!B156</f>
        <v xml:space="preserve">Mwantimba
</v>
      </c>
      <c r="D815" s="260" t="s">
        <v>2454</v>
      </c>
      <c r="E815" s="260" t="s">
        <v>20</v>
      </c>
      <c r="F815" s="260">
        <v>4</v>
      </c>
      <c r="G815" s="260" t="s">
        <v>3824</v>
      </c>
      <c r="H815" s="261" t="str">
        <f>'Dry_Litterbag Placem_Collection'!C156</f>
        <v>Wet_P4_T2</v>
      </c>
      <c r="I815" s="270" t="s">
        <v>3630</v>
      </c>
      <c r="J815" s="271" t="s">
        <v>298</v>
      </c>
      <c r="K815" s="221" t="str">
        <f>'WetLitterbags placem_collection'!Q156</f>
        <v>R485</v>
      </c>
      <c r="L815" s="223">
        <f>IFERROR(INDEX('Green_rooibos initial weight'!$C$5:$C$2000,MATCH(K815, 'Green_rooibos initial weight'!$A$5:$A$2000,0)),"")</f>
        <v>2.242</v>
      </c>
      <c r="M815" s="223">
        <f>IFERROR(L815-(TBIcalc!$H$9+TBIcalc!$H$10),"")</f>
        <v>1.9922</v>
      </c>
      <c r="N815" s="385">
        <f>AVERAGE(Ashed_controlls!$K$2:$K$11)</f>
        <v>5.5147656768714146</v>
      </c>
      <c r="O815" s="223">
        <f t="shared" si="61"/>
        <v>1.8823348381853677</v>
      </c>
      <c r="P815" s="223">
        <f>IFERROR(INDEX('Both teabags AfterWet'!$C$3:$C$840,MATCH(K815,'Both teabags AfterWet'!$A$3:$A$840,0)),"")</f>
        <v>1.839</v>
      </c>
      <c r="Q815" s="223">
        <f>IFERROR(IF(P815&gt;0,P815-(TBIcalc!$H$9),""),"")</f>
        <v>1.6883999999999999</v>
      </c>
      <c r="R815" s="223">
        <f>IFERROR(INDEX('Ashed teabags wet'!$K$2:$K$2000,MATCH(K815,'Ashed teabags wet'!$A$2:$A$2000,0)),"")</f>
        <v>11.924381968008097</v>
      </c>
      <c r="S815" s="223">
        <f t="shared" si="62"/>
        <v>1.4870687348521512</v>
      </c>
      <c r="T815" s="224">
        <f>'WetLitterbags placem_collection'!E156</f>
        <v>42762</v>
      </c>
      <c r="U815" s="224">
        <f>IF('WetLitterbags placem_collection'!G156="","",'WetLitterbags placem_collection'!G156)</f>
        <v>42816</v>
      </c>
      <c r="V815" s="225">
        <f t="shared" si="60"/>
        <v>54</v>
      </c>
      <c r="W815" s="223">
        <f t="shared" si="63"/>
        <v>0.30380000000000007</v>
      </c>
      <c r="X815" s="223">
        <f t="shared" si="64"/>
        <v>0.39526610333321655</v>
      </c>
      <c r="Y815">
        <f>IFERROR(INDEX(Rainfall_Wet!$O$2:$O$217,MATCH(B815, Rainfall_Wet!$A$2:$A$217,0)),"")</f>
        <v>206.85140822299999</v>
      </c>
      <c r="Z815" s="228">
        <v>27.96</v>
      </c>
      <c r="AA815" s="228">
        <v>4.9200000000000017</v>
      </c>
      <c r="AB815" s="228">
        <v>67.12</v>
      </c>
      <c r="AC815" s="229" t="s">
        <v>2654</v>
      </c>
      <c r="AD815" s="228">
        <v>2.0437161163134498</v>
      </c>
      <c r="AE815">
        <f>IF('WetLitterbags placem_collection'!AB156="","",'WetLitterbags placem_collection'!AB156)</f>
        <v>2.15</v>
      </c>
      <c r="AF815">
        <f>IF('WetLitterbags placem_collection'!Z156="","",'WetLitterbags placem_collection'!Z156)</f>
        <v>9</v>
      </c>
      <c r="AG815" s="243" t="str">
        <f>IF('WetLitterbags placem_collection'!AA156="","",'WetLitterbags placem_collection'!AA156)</f>
        <v>G</v>
      </c>
      <c r="AH815">
        <f>IF('WetLitterbags placem_collection'!AC156="","",'WetLitterbags placem_collection'!AC156)</f>
        <v>0</v>
      </c>
      <c r="AI815">
        <f>AVERAGE('WetLitterbags placem_collection'!S156,'WetLitterbags placem_collection'!U156)</f>
        <v>23.5</v>
      </c>
      <c r="AJ815">
        <f>AVERAGE('WetLitterbags placem_collection'!R156,'WetLitterbags placem_collection'!T156)</f>
        <v>25.7</v>
      </c>
      <c r="AK815">
        <f>INDEX(Coordinates!$B$2:$B$197,MATCH(H815,Coordinates!$J$2:$J$197,0))</f>
        <v>-2.3677299820000002</v>
      </c>
      <c r="AL815">
        <f>INDEX(Coordinates!$C$2:$C$197,MATCH(H815,Coordinates!$J$2:$J$197,0))</f>
        <v>34.059351990000003</v>
      </c>
      <c r="AM815" t="str">
        <f>IF(ISNUMBER(SEARCH("C", 'WetLitterbags placem_collection'!$Y156)),"YES","NO")</f>
        <v>NO</v>
      </c>
      <c r="AN815" t="str">
        <f>IF(ISNUMBER(SEARCH("H", 'WetLitterbags placem_collection'!$Y156)),"YES","NO")</f>
        <v>NO</v>
      </c>
      <c r="AO815" t="str">
        <f>IF(ISNUMBER(SEARCH("R", 'WetLitterbags placem_collection'!$Y156)),"YES","NO")</f>
        <v>NO</v>
      </c>
    </row>
    <row r="816" spans="1:41" ht="15" customHeight="1">
      <c r="A816" s="255" t="s">
        <v>2454</v>
      </c>
      <c r="B816" s="260">
        <f>'Dry_Litterbag Placem_Collection'!A157</f>
        <v>155</v>
      </c>
      <c r="C816" s="260" t="str">
        <f>'Dry_Litterbag Placem_Collection'!B157</f>
        <v xml:space="preserve">Mwantimba
</v>
      </c>
      <c r="D816" s="260" t="s">
        <v>2454</v>
      </c>
      <c r="E816" s="260" t="s">
        <v>20</v>
      </c>
      <c r="F816" s="260">
        <v>4</v>
      </c>
      <c r="G816" s="260" t="s">
        <v>3824</v>
      </c>
      <c r="H816" s="261" t="str">
        <f>'Dry_Litterbag Placem_Collection'!C157</f>
        <v>Wet_P4_T3</v>
      </c>
      <c r="I816" s="270" t="s">
        <v>3630</v>
      </c>
      <c r="J816" s="271" t="s">
        <v>298</v>
      </c>
      <c r="K816" s="221" t="str">
        <f>'WetLitterbags placem_collection'!Q157</f>
        <v>R556</v>
      </c>
      <c r="L816" s="223">
        <f>IFERROR(INDEX('Green_rooibos initial weight'!$C$5:$C$2000,MATCH(K816, 'Green_rooibos initial weight'!$A$5:$A$2000,0)),"")</f>
        <v>2.0830000000000002</v>
      </c>
      <c r="M816" s="223">
        <f>IFERROR(L816-(TBIcalc!$H$9+TBIcalc!$H$10),"")</f>
        <v>1.8332000000000002</v>
      </c>
      <c r="N816" s="385">
        <f>AVERAGE(Ashed_controlls!$K$2:$K$11)</f>
        <v>5.5147656768714146</v>
      </c>
      <c r="O816" s="223">
        <f t="shared" si="61"/>
        <v>1.7321033156115935</v>
      </c>
      <c r="P816" s="223">
        <f>IFERROR(INDEX('Both teabags AfterWet'!$C$3:$C$840,MATCH(K816,'Both teabags AfterWet'!$A$3:$A$840,0)),"")</f>
        <v>1.643</v>
      </c>
      <c r="Q816" s="223">
        <f>IFERROR(IF(P816&gt;0,P816-(TBIcalc!$H$9),""),"")</f>
        <v>1.4923999999999999</v>
      </c>
      <c r="R816" s="223">
        <f>IFERROR(INDEX('Ashed teabags wet'!$K$2:$K$2000,MATCH(K816,'Ashed teabags wet'!$A$2:$A$2000,0)),"")</f>
        <v>7.5886170743882877</v>
      </c>
      <c r="S816" s="223">
        <f t="shared" si="62"/>
        <v>1.3791474787818292</v>
      </c>
      <c r="T816" s="224">
        <f>'WetLitterbags placem_collection'!E157</f>
        <v>42762</v>
      </c>
      <c r="U816" s="224">
        <f>IF('WetLitterbags placem_collection'!G157="","",'WetLitterbags placem_collection'!G157)</f>
        <v>42816</v>
      </c>
      <c r="V816" s="225">
        <f t="shared" si="60"/>
        <v>54</v>
      </c>
      <c r="W816" s="223">
        <f t="shared" si="63"/>
        <v>0.34080000000000021</v>
      </c>
      <c r="X816" s="223">
        <f t="shared" si="64"/>
        <v>0.35295583682976428</v>
      </c>
      <c r="Y816">
        <f>IFERROR(INDEX(Rainfall_Wet!$O$2:$O$217,MATCH(B816, Rainfall_Wet!$A$2:$A$217,0)),"")</f>
        <v>206.85140822299999</v>
      </c>
      <c r="Z816" s="228">
        <v>27.96</v>
      </c>
      <c r="AA816" s="228">
        <v>4.9200000000000017</v>
      </c>
      <c r="AB816" s="228">
        <v>67.12</v>
      </c>
      <c r="AC816" s="229" t="s">
        <v>2654</v>
      </c>
      <c r="AD816" s="228">
        <v>3.0437161163134498</v>
      </c>
      <c r="AE816">
        <f>IF('WetLitterbags placem_collection'!AB157="","",'WetLitterbags placem_collection'!AB157)</f>
        <v>1.2</v>
      </c>
      <c r="AF816">
        <f>IF('WetLitterbags placem_collection'!Z157="","",'WetLitterbags placem_collection'!Z157)</f>
        <v>11</v>
      </c>
      <c r="AG816" s="243" t="str">
        <f>IF('WetLitterbags placem_collection'!AA157="","",'WetLitterbags placem_collection'!AA157)</f>
        <v>G</v>
      </c>
      <c r="AH816">
        <f>IF('WetLitterbags placem_collection'!AC157="","",'WetLitterbags placem_collection'!AC157)</f>
        <v>0</v>
      </c>
      <c r="AI816">
        <f>AVERAGE('WetLitterbags placem_collection'!S157,'WetLitterbags placem_collection'!U157)</f>
        <v>23.75</v>
      </c>
      <c r="AJ816">
        <f>AVERAGE('WetLitterbags placem_collection'!R157,'WetLitterbags placem_collection'!T157)</f>
        <v>26.799999999999997</v>
      </c>
      <c r="AK816">
        <f>INDEX(Coordinates!$B$2:$B$197,MATCH(H816,Coordinates!$J$2:$J$197,0))</f>
        <v>-2.3677119609999999</v>
      </c>
      <c r="AL816">
        <f>INDEX(Coordinates!$C$2:$C$197,MATCH(H816,Coordinates!$J$2:$J$197,0))</f>
        <v>34.059339000000001</v>
      </c>
      <c r="AM816" t="str">
        <f>IF(ISNUMBER(SEARCH("C", 'WetLitterbags placem_collection'!$Y157)),"YES","NO")</f>
        <v>NO</v>
      </c>
      <c r="AN816" t="str">
        <f>IF(ISNUMBER(SEARCH("H", 'WetLitterbags placem_collection'!$Y157)),"YES","NO")</f>
        <v>NO</v>
      </c>
      <c r="AO816" t="str">
        <f>IF(ISNUMBER(SEARCH("R", 'WetLitterbags placem_collection'!$Y157)),"YES","NO")</f>
        <v>NO</v>
      </c>
    </row>
    <row r="817" spans="1:41" ht="15" customHeight="1">
      <c r="A817" s="255" t="s">
        <v>2454</v>
      </c>
      <c r="B817" s="260">
        <f>'Dry_Litterbag Placem_Collection'!A158</f>
        <v>156</v>
      </c>
      <c r="C817" s="260" t="str">
        <f>'Dry_Litterbag Placem_Collection'!B158</f>
        <v xml:space="preserve">Mwantimba
</v>
      </c>
      <c r="D817" s="260" t="s">
        <v>2454</v>
      </c>
      <c r="E817" s="260" t="s">
        <v>20</v>
      </c>
      <c r="F817" s="260">
        <v>4</v>
      </c>
      <c r="G817" s="260" t="s">
        <v>3824</v>
      </c>
      <c r="H817" s="261" t="str">
        <f>'Dry_Litterbag Placem_Collection'!C158</f>
        <v>Wet_P4_T4</v>
      </c>
      <c r="I817" s="270" t="s">
        <v>3630</v>
      </c>
      <c r="J817" s="271" t="s">
        <v>298</v>
      </c>
      <c r="K817" s="221" t="str">
        <f>'WetLitterbags placem_collection'!Q158</f>
        <v>R464</v>
      </c>
      <c r="L817" s="223">
        <f>IFERROR(INDEX('Green_rooibos initial weight'!$C$5:$C$2000,MATCH(K817, 'Green_rooibos initial weight'!$A$5:$A$2000,0)),"")</f>
        <v>2.2040000000000002</v>
      </c>
      <c r="M817" s="223">
        <f>IFERROR(L817-(TBIcalc!$H$9+TBIcalc!$H$10),"")</f>
        <v>1.9542000000000002</v>
      </c>
      <c r="N817" s="385">
        <f>AVERAGE(Ashed_controlls!$K$2:$K$11)</f>
        <v>5.5147656768714146</v>
      </c>
      <c r="O817" s="223">
        <f t="shared" si="61"/>
        <v>1.8464304491425789</v>
      </c>
      <c r="P817" s="223">
        <f>IFERROR(INDEX('Both teabags AfterWet'!$C$3:$C$840,MATCH(K817,'Both teabags AfterWet'!$A$3:$A$840,0)),"")</f>
        <v>1.802</v>
      </c>
      <c r="Q817" s="223">
        <f>IFERROR(IF(P817&gt;0,P817-(TBIcalc!$H$9),""),"")</f>
        <v>1.6514</v>
      </c>
      <c r="R817" s="223">
        <f>IFERROR(INDEX('Ashed teabags wet'!$K$2:$K$2000,MATCH(K817,'Ashed teabags wet'!$A$2:$A$2000,0)),"")</f>
        <v>8.8737201365180916</v>
      </c>
      <c r="S817" s="223">
        <f t="shared" si="62"/>
        <v>1.5048593856655401</v>
      </c>
      <c r="T817" s="224">
        <f>'WetLitterbags placem_collection'!E158</f>
        <v>42762</v>
      </c>
      <c r="U817" s="224">
        <f>IF('WetLitterbags placem_collection'!G158="","",'WetLitterbags placem_collection'!G158)</f>
        <v>42816</v>
      </c>
      <c r="V817" s="225">
        <f t="shared" si="60"/>
        <v>54</v>
      </c>
      <c r="W817" s="223">
        <f t="shared" si="63"/>
        <v>0.30280000000000018</v>
      </c>
      <c r="X817" s="223">
        <f t="shared" si="64"/>
        <v>0.34157106347703881</v>
      </c>
      <c r="Y817">
        <f>IFERROR(INDEX(Rainfall_Wet!$O$2:$O$217,MATCH(B817, Rainfall_Wet!$A$2:$A$217,0)),"")</f>
        <v>206.85140822299999</v>
      </c>
      <c r="Z817" s="228">
        <v>27.96</v>
      </c>
      <c r="AA817" s="228">
        <v>4.9200000000000017</v>
      </c>
      <c r="AB817" s="228">
        <v>67.12</v>
      </c>
      <c r="AC817" s="229" t="s">
        <v>2654</v>
      </c>
      <c r="AD817" s="228">
        <v>4.0437161163134503</v>
      </c>
      <c r="AE817">
        <f>IF('WetLitterbags placem_collection'!AB158="","",'WetLitterbags placem_collection'!AB158)</f>
        <v>1.55</v>
      </c>
      <c r="AF817">
        <f>IF('WetLitterbags placem_collection'!Z158="","",'WetLitterbags placem_collection'!Z158)</f>
        <v>9.1</v>
      </c>
      <c r="AG817" s="243" t="str">
        <f>IF('WetLitterbags placem_collection'!AA158="","",'WetLitterbags placem_collection'!AA158)</f>
        <v>O</v>
      </c>
      <c r="AH817">
        <f>IF('WetLitterbags placem_collection'!AC158="","",'WetLitterbags placem_collection'!AC158)</f>
        <v>0</v>
      </c>
      <c r="AI817">
        <f>AVERAGE('WetLitterbags placem_collection'!S158,'WetLitterbags placem_collection'!U158)</f>
        <v>21.700000000000003</v>
      </c>
      <c r="AJ817">
        <f>AVERAGE('WetLitterbags placem_collection'!R158,'WetLitterbags placem_collection'!T158)</f>
        <v>26.95</v>
      </c>
      <c r="AK817">
        <f>INDEX(Coordinates!$B$2:$B$197,MATCH(H817,Coordinates!$J$2:$J$197,0))</f>
        <v>-2.3676950300000001</v>
      </c>
      <c r="AL817">
        <f>INDEX(Coordinates!$C$2:$C$197,MATCH(H817,Coordinates!$J$2:$J$197,0))</f>
        <v>34.059499010000003</v>
      </c>
      <c r="AM817" t="str">
        <f>IF(ISNUMBER(SEARCH("C", 'WetLitterbags placem_collection'!$Y158)),"YES","NO")</f>
        <v>NO</v>
      </c>
      <c r="AN817" t="str">
        <f>IF(ISNUMBER(SEARCH("H", 'WetLitterbags placem_collection'!$Y158)),"YES","NO")</f>
        <v>NO</v>
      </c>
      <c r="AO817" t="str">
        <f>IF(ISNUMBER(SEARCH("R", 'WetLitterbags placem_collection'!$Y158)),"YES","NO")</f>
        <v>YES</v>
      </c>
    </row>
    <row r="818" spans="1:41" ht="15" customHeight="1">
      <c r="A818" s="255" t="s">
        <v>2454</v>
      </c>
      <c r="B818" s="260">
        <f>'Dry_Litterbag Placem_Collection'!A159</f>
        <v>157</v>
      </c>
      <c r="C818" s="260" t="str">
        <f>'Dry_Litterbag Placem_Collection'!B159</f>
        <v xml:space="preserve">Mwantimba
</v>
      </c>
      <c r="D818" s="260" t="s">
        <v>2454</v>
      </c>
      <c r="E818" s="260" t="s">
        <v>20</v>
      </c>
      <c r="F818" s="260">
        <v>4</v>
      </c>
      <c r="G818" s="260" t="s">
        <v>3824</v>
      </c>
      <c r="H818" s="261" t="str">
        <f>'Dry_Litterbag Placem_Collection'!C159</f>
        <v>Wet_P4_T5</v>
      </c>
      <c r="I818" s="270" t="s">
        <v>3630</v>
      </c>
      <c r="J818" s="271" t="s">
        <v>298</v>
      </c>
      <c r="K818" s="221" t="str">
        <f>'WetLitterbags placem_collection'!Q159</f>
        <v>R35</v>
      </c>
      <c r="L818" s="223">
        <f>IFERROR(INDEX('Green_rooibos initial weight'!$C$5:$C$2000,MATCH(K818, 'Green_rooibos initial weight'!$A$5:$A$2000,0)),"")</f>
        <v>2.0630000000000002</v>
      </c>
      <c r="M818" s="223">
        <f>IFERROR(L818-(TBIcalc!$H$9+TBIcalc!$H$10),"")</f>
        <v>1.8132000000000001</v>
      </c>
      <c r="N818" s="385">
        <f>AVERAGE(Ashed_controlls!$K$2:$K$11)</f>
        <v>5.5147656768714146</v>
      </c>
      <c r="O818" s="223">
        <f t="shared" si="61"/>
        <v>1.7132062687469676</v>
      </c>
      <c r="P818" s="223">
        <f>IFERROR(INDEX('Both teabags AfterWet'!$C$3:$C$840,MATCH(K818,'Both teabags AfterWet'!$A$3:$A$840,0)),"")</f>
        <v>1.994</v>
      </c>
      <c r="Q818" s="223">
        <f>IFERROR(IF(P818&gt;0,P818-(TBIcalc!$H$9),""),"")</f>
        <v>1.8433999999999999</v>
      </c>
      <c r="R818" s="223">
        <f>IFERROR(INDEX('Ashed teabags wet'!$K$2:$K$2000,MATCH(K818,'Ashed teabags wet'!$A$2:$A$2000,0)),"")</f>
        <v>10.019743336623607</v>
      </c>
      <c r="S818" s="223">
        <f t="shared" si="62"/>
        <v>1.6586960513326803</v>
      </c>
      <c r="T818" s="224">
        <f>'WetLitterbags placem_collection'!E159</f>
        <v>42762</v>
      </c>
      <c r="U818" s="224">
        <f>IF('WetLitterbags placem_collection'!G159="","",'WetLitterbags placem_collection'!G159)</f>
        <v>42816</v>
      </c>
      <c r="V818" s="225">
        <f t="shared" si="60"/>
        <v>54</v>
      </c>
      <c r="W818" s="223">
        <f t="shared" si="63"/>
        <v>-3.0199999999999783E-2</v>
      </c>
      <c r="X818" s="223">
        <f t="shared" si="64"/>
        <v>5.4510217414287299E-2</v>
      </c>
      <c r="Y818">
        <f>IFERROR(INDEX(Rainfall_Wet!$O$2:$O$217,MATCH(B818, Rainfall_Wet!$A$2:$A$217,0)),"")</f>
        <v>206.85140822299999</v>
      </c>
      <c r="Z818" s="228">
        <v>27.96</v>
      </c>
      <c r="AA818" s="228">
        <v>4.9200000000000017</v>
      </c>
      <c r="AB818" s="228">
        <v>67.12</v>
      </c>
      <c r="AC818" s="229" t="s">
        <v>2654</v>
      </c>
      <c r="AD818" s="228">
        <v>5.0437161163134503</v>
      </c>
      <c r="AE818">
        <f>IF('WetLitterbags placem_collection'!AB159="","",'WetLitterbags placem_collection'!AB159)</f>
        <v>2.2999999999999998</v>
      </c>
      <c r="AF818">
        <f>IF('WetLitterbags placem_collection'!Z159="","",'WetLitterbags placem_collection'!Z159)</f>
        <v>7.7</v>
      </c>
      <c r="AG818" s="243" t="str">
        <f>IF('WetLitterbags placem_collection'!AA159="","",'WetLitterbags placem_collection'!AA159)</f>
        <v>O</v>
      </c>
      <c r="AH818">
        <f>IF('WetLitterbags placem_collection'!AC159="","",'WetLitterbags placem_collection'!AC159)</f>
        <v>0</v>
      </c>
      <c r="AI818">
        <f>AVERAGE('WetLitterbags placem_collection'!S159,'WetLitterbags placem_collection'!U159)</f>
        <v>22.6</v>
      </c>
      <c r="AJ818">
        <f>AVERAGE('WetLitterbags placem_collection'!R159,'WetLitterbags placem_collection'!T159)</f>
        <v>29.2</v>
      </c>
      <c r="AK818">
        <f>INDEX(Coordinates!$B$2:$B$197,MATCH(H818,Coordinates!$J$2:$J$197,0))</f>
        <v>-2.3678019830000001</v>
      </c>
      <c r="AL818">
        <f>INDEX(Coordinates!$C$2:$C$197,MATCH(H818,Coordinates!$J$2:$J$197,0))</f>
        <v>34.059521969999999</v>
      </c>
      <c r="AM818" t="str">
        <f>IF(ISNUMBER(SEARCH("C", 'WetLitterbags placem_collection'!$Y159)),"YES","NO")</f>
        <v>NO</v>
      </c>
      <c r="AN818" t="str">
        <f>IF(ISNUMBER(SEARCH("H", 'WetLitterbags placem_collection'!$Y159)),"YES","NO")</f>
        <v>NO</v>
      </c>
      <c r="AO818" t="str">
        <f>IF(ISNUMBER(SEARCH("R", 'WetLitterbags placem_collection'!$Y159)),"YES","NO")</f>
        <v>NO</v>
      </c>
    </row>
    <row r="819" spans="1:41" ht="15" customHeight="1">
      <c r="A819" s="255" t="s">
        <v>2454</v>
      </c>
      <c r="B819" s="260">
        <f>'Dry_Litterbag Placem_Collection'!A160</f>
        <v>158</v>
      </c>
      <c r="C819" s="260" t="str">
        <f>'Dry_Litterbag Placem_Collection'!B160</f>
        <v xml:space="preserve">Mwantimba
</v>
      </c>
      <c r="D819" s="260" t="s">
        <v>2454</v>
      </c>
      <c r="E819" s="260" t="s">
        <v>20</v>
      </c>
      <c r="F819" s="260">
        <v>4</v>
      </c>
      <c r="G819" s="260" t="s">
        <v>3824</v>
      </c>
      <c r="H819" s="261" t="str">
        <f>'Dry_Litterbag Placem_Collection'!C160</f>
        <v>Wet_P4_T6</v>
      </c>
      <c r="I819" s="270" t="s">
        <v>3630</v>
      </c>
      <c r="J819" s="271" t="s">
        <v>298</v>
      </c>
      <c r="K819" s="221" t="str">
        <f>'WetLitterbags placem_collection'!Q160</f>
        <v>R570</v>
      </c>
      <c r="L819" s="223">
        <f>IFERROR(INDEX('Green_rooibos initial weight'!$C$5:$C$2000,MATCH(K819, 'Green_rooibos initial weight'!$A$5:$A$2000,0)),"")</f>
        <v>2.0910000000000002</v>
      </c>
      <c r="M819" s="223">
        <f>IFERROR(L819-(TBIcalc!$H$9+TBIcalc!$H$10),"")</f>
        <v>1.8412000000000002</v>
      </c>
      <c r="N819" s="385">
        <f>AVERAGE(Ashed_controlls!$K$2:$K$11)</f>
        <v>5.5147656768714146</v>
      </c>
      <c r="O819" s="223">
        <f t="shared" si="61"/>
        <v>1.7396621343574437</v>
      </c>
      <c r="P819" s="223">
        <f>IFERROR(INDEX('Both teabags AfterWet'!$C$3:$C$840,MATCH(K819,'Both teabags AfterWet'!$A$3:$A$840,0)),"")</f>
        <v>1.718</v>
      </c>
      <c r="Q819" s="223">
        <f>IFERROR(IF(P819&gt;0,P819-(TBIcalc!$H$9),""),"")</f>
        <v>1.5673999999999999</v>
      </c>
      <c r="R819" s="223">
        <f>IFERROR(INDEX('Ashed teabags wet'!$K$2:$K$2000,MATCH(K819,'Ashed teabags wet'!$A$2:$A$2000,0)),"")</f>
        <v>4.5090180360722032</v>
      </c>
      <c r="S819" s="223">
        <f t="shared" si="62"/>
        <v>1.4967256513026042</v>
      </c>
      <c r="T819" s="224">
        <f>'WetLitterbags placem_collection'!E160</f>
        <v>42762</v>
      </c>
      <c r="U819" s="224">
        <f>IF('WetLitterbags placem_collection'!G160="","",'WetLitterbags placem_collection'!G160)</f>
        <v>42816</v>
      </c>
      <c r="V819" s="225">
        <f t="shared" si="60"/>
        <v>54</v>
      </c>
      <c r="W819" s="223">
        <f t="shared" si="63"/>
        <v>0.27380000000000027</v>
      </c>
      <c r="X819" s="223">
        <f t="shared" si="64"/>
        <v>0.2429364830548395</v>
      </c>
      <c r="Y819">
        <f>IFERROR(INDEX(Rainfall_Wet!$O$2:$O$217,MATCH(B819, Rainfall_Wet!$A$2:$A$217,0)),"")</f>
        <v>206.85140822299999</v>
      </c>
      <c r="Z819" s="228">
        <v>27.96</v>
      </c>
      <c r="AA819" s="228">
        <v>4.9200000000000017</v>
      </c>
      <c r="AB819" s="228">
        <v>67.12</v>
      </c>
      <c r="AC819" s="229" t="s">
        <v>2654</v>
      </c>
      <c r="AD819" s="228">
        <v>6.0437161163134503</v>
      </c>
      <c r="AE819">
        <f>IF('WetLitterbags placem_collection'!AB160="","",'WetLitterbags placem_collection'!AB160)</f>
        <v>1.9</v>
      </c>
      <c r="AF819">
        <f>IF('WetLitterbags placem_collection'!Z160="","",'WetLitterbags placem_collection'!Z160)</f>
        <v>4.3</v>
      </c>
      <c r="AG819" s="243" t="str">
        <f>IF('WetLitterbags placem_collection'!AA160="","",'WetLitterbags placem_collection'!AA160)</f>
        <v>O</v>
      </c>
      <c r="AH819">
        <f>IF('WetLitterbags placem_collection'!AC160="","",'WetLitterbags placem_collection'!AC160)</f>
        <v>0</v>
      </c>
      <c r="AI819">
        <f>AVERAGE('WetLitterbags placem_collection'!S160,'WetLitterbags placem_collection'!U160)</f>
        <v>22.45</v>
      </c>
      <c r="AJ819">
        <f>AVERAGE('WetLitterbags placem_collection'!R160,'WetLitterbags placem_collection'!T160)</f>
        <v>26.35</v>
      </c>
      <c r="AK819">
        <f>INDEX(Coordinates!$B$2:$B$197,MATCH(H819,Coordinates!$J$2:$J$197,0))</f>
        <v>-2.3679270410000002</v>
      </c>
      <c r="AL819">
        <f>INDEX(Coordinates!$C$2:$C$197,MATCH(H819,Coordinates!$J$2:$J$197,0))</f>
        <v>34.059300020000002</v>
      </c>
      <c r="AM819" t="str">
        <f>IF(ISNUMBER(SEARCH("C", 'WetLitterbags placem_collection'!$Y160)),"YES","NO")</f>
        <v>NO</v>
      </c>
      <c r="AN819" t="str">
        <f>IF(ISNUMBER(SEARCH("H", 'WetLitterbags placem_collection'!$Y160)),"YES","NO")</f>
        <v>NO</v>
      </c>
      <c r="AO819" t="str">
        <f>IF(ISNUMBER(SEARCH("R", 'WetLitterbags placem_collection'!$Y160)),"YES","NO")</f>
        <v>NO</v>
      </c>
    </row>
    <row r="820" spans="1:41" ht="15" customHeight="1">
      <c r="A820" s="255" t="s">
        <v>2454</v>
      </c>
      <c r="B820" s="260">
        <f>'Dry_Litterbag Placem_Collection'!A161</f>
        <v>159</v>
      </c>
      <c r="C820" s="260" t="str">
        <f>'Dry_Litterbag Placem_Collection'!B161</f>
        <v xml:space="preserve">Mwantimba
</v>
      </c>
      <c r="D820" s="260" t="s">
        <v>2454</v>
      </c>
      <c r="E820" s="260" t="s">
        <v>20</v>
      </c>
      <c r="F820" s="260">
        <v>4</v>
      </c>
      <c r="G820" s="260" t="s">
        <v>3824</v>
      </c>
      <c r="H820" s="261" t="str">
        <f>'Dry_Litterbag Placem_Collection'!C161</f>
        <v>Wet_P4_T7</v>
      </c>
      <c r="I820" s="270" t="s">
        <v>3630</v>
      </c>
      <c r="J820" s="271" t="s">
        <v>298</v>
      </c>
      <c r="K820" s="221" t="str">
        <f>'WetLitterbags placem_collection'!Q161</f>
        <v>R439</v>
      </c>
      <c r="L820" s="223">
        <f>IFERROR(INDEX('Green_rooibos initial weight'!$C$5:$C$2000,MATCH(K820, 'Green_rooibos initial weight'!$A$5:$A$2000,0)),"")</f>
        <v>2.2450000000000001</v>
      </c>
      <c r="M820" s="223">
        <f>IFERROR(L820-(TBIcalc!$H$9+TBIcalc!$H$10),"")</f>
        <v>1.9952000000000001</v>
      </c>
      <c r="N820" s="385">
        <f>AVERAGE(Ashed_controlls!$K$2:$K$11)</f>
        <v>5.5147656768714146</v>
      </c>
      <c r="O820" s="223">
        <f t="shared" si="61"/>
        <v>1.8851693952150617</v>
      </c>
      <c r="P820" s="223" t="str">
        <f>IFERROR(INDEX('Both teabags AfterWet'!$C$3:$C$840,MATCH(K820,'Both teabags AfterWet'!$A$3:$A$840,0)),"")</f>
        <v/>
      </c>
      <c r="Q820" s="223" t="str">
        <f>IFERROR(IF(P820&gt;0,P820-(TBIcalc!$H$9),""),"")</f>
        <v/>
      </c>
      <c r="R820" s="223" t="str">
        <f>IFERROR(INDEX('Ashed teabags wet'!$K$2:$K$2000,MATCH(K820,'Ashed teabags wet'!$A$2:$A$2000,0)),"")</f>
        <v/>
      </c>
      <c r="S820" s="223" t="str">
        <f t="shared" si="62"/>
        <v/>
      </c>
      <c r="T820" s="224">
        <f>'WetLitterbags placem_collection'!E161</f>
        <v>42762</v>
      </c>
      <c r="U820" s="224">
        <f>IF('WetLitterbags placem_collection'!G161="","",'WetLitterbags placem_collection'!G161)</f>
        <v>42816</v>
      </c>
      <c r="V820" s="225">
        <f t="shared" si="60"/>
        <v>54</v>
      </c>
      <c r="W820" s="223" t="str">
        <f t="shared" si="63"/>
        <v/>
      </c>
      <c r="X820" s="223" t="str">
        <f t="shared" si="64"/>
        <v/>
      </c>
      <c r="Y820">
        <f>IFERROR(INDEX(Rainfall_Wet!$O$2:$O$217,MATCH(B820, Rainfall_Wet!$A$2:$A$217,0)),"")</f>
        <v>206.85140822299999</v>
      </c>
      <c r="Z820" s="228">
        <v>27.96</v>
      </c>
      <c r="AA820" s="228">
        <v>4.9200000000000017</v>
      </c>
      <c r="AB820" s="228">
        <v>67.12</v>
      </c>
      <c r="AC820" s="229" t="s">
        <v>2654</v>
      </c>
      <c r="AD820" s="228">
        <v>7.0437161163134503</v>
      </c>
      <c r="AE820">
        <f>IF('WetLitterbags placem_collection'!AB161="","",'WetLitterbags placem_collection'!AB161)</f>
        <v>2.65</v>
      </c>
      <c r="AF820">
        <f>IF('WetLitterbags placem_collection'!Z161="","",'WetLitterbags placem_collection'!Z161)</f>
        <v>0</v>
      </c>
      <c r="AG820" s="243" t="str">
        <f>IF('WetLitterbags placem_collection'!AA161="","",'WetLitterbags placem_collection'!AA161)</f>
        <v>G</v>
      </c>
      <c r="AH820">
        <f>IF('WetLitterbags placem_collection'!AC161="","",'WetLitterbags placem_collection'!AC161)</f>
        <v>1</v>
      </c>
      <c r="AI820">
        <f>AVERAGE('WetLitterbags placem_collection'!S161,'WetLitterbags placem_collection'!U161)</f>
        <v>14.4</v>
      </c>
      <c r="AJ820">
        <f>AVERAGE('WetLitterbags placem_collection'!R161,'WetLitterbags placem_collection'!T161)</f>
        <v>28</v>
      </c>
      <c r="AK820">
        <f>INDEX(Coordinates!$B$2:$B$197,MATCH(H820,Coordinates!$J$2:$J$197,0))</f>
        <v>-2.3676829599999998</v>
      </c>
      <c r="AL820">
        <f>INDEX(Coordinates!$C$2:$C$197,MATCH(H820,Coordinates!$J$2:$J$197,0))</f>
        <v>34.059236990000002</v>
      </c>
      <c r="AM820" t="str">
        <f>IF(ISNUMBER(SEARCH("C", 'WetLitterbags placem_collection'!$Y161)),"YES","NO")</f>
        <v>NO</v>
      </c>
      <c r="AN820" t="str">
        <f>IF(ISNUMBER(SEARCH("H", 'WetLitterbags placem_collection'!$Y161)),"YES","NO")</f>
        <v>NO</v>
      </c>
      <c r="AO820" t="str">
        <f>IF(ISNUMBER(SEARCH("R", 'WetLitterbags placem_collection'!$Y161)),"YES","NO")</f>
        <v>NO</v>
      </c>
    </row>
    <row r="821" spans="1:41" ht="15" customHeight="1">
      <c r="A821" s="255" t="s">
        <v>2454</v>
      </c>
      <c r="B821" s="260">
        <f>'Dry_Litterbag Placem_Collection'!A162</f>
        <v>160</v>
      </c>
      <c r="C821" s="260" t="str">
        <f>'Dry_Litterbag Placem_Collection'!B162</f>
        <v xml:space="preserve">Mwantimba
</v>
      </c>
      <c r="D821" s="260" t="s">
        <v>2454</v>
      </c>
      <c r="E821" s="260" t="s">
        <v>20</v>
      </c>
      <c r="F821" s="260">
        <v>4</v>
      </c>
      <c r="G821" s="260" t="s">
        <v>3824</v>
      </c>
      <c r="H821" s="261" t="str">
        <f>'Dry_Litterbag Placem_Collection'!C162</f>
        <v>Wet_P4_T8</v>
      </c>
      <c r="I821" s="270" t="s">
        <v>3630</v>
      </c>
      <c r="J821" s="271" t="s">
        <v>298</v>
      </c>
      <c r="K821" s="221" t="str">
        <f>'WetLitterbags placem_collection'!Q162</f>
        <v>R461</v>
      </c>
      <c r="L821" s="223">
        <f>IFERROR(INDEX('Green_rooibos initial weight'!$C$5:$C$2000,MATCH(K821, 'Green_rooibos initial weight'!$A$5:$A$2000,0)),"")</f>
        <v>2.1930000000000001</v>
      </c>
      <c r="M821" s="223">
        <f>IFERROR(L821-(TBIcalc!$H$9+TBIcalc!$H$10),"")</f>
        <v>1.9432</v>
      </c>
      <c r="N821" s="385">
        <f>AVERAGE(Ashed_controlls!$K$2:$K$11)</f>
        <v>5.5147656768714146</v>
      </c>
      <c r="O821" s="223">
        <f t="shared" si="61"/>
        <v>1.8360370733670348</v>
      </c>
      <c r="P821" s="223">
        <f>IFERROR(INDEX('Both teabags AfterWet'!$C$3:$C$840,MATCH(K821,'Both teabags AfterWet'!$A$3:$A$840,0)),"")</f>
        <v>1.744</v>
      </c>
      <c r="Q821" s="223">
        <f>IFERROR(IF(P821&gt;0,P821-(TBIcalc!$H$9),""),"")</f>
        <v>1.5933999999999999</v>
      </c>
      <c r="R821" s="223">
        <f>IFERROR(INDEX('Ashed teabags wet'!$K$2:$K$2000,MATCH(K821,'Ashed teabags wet'!$A$2:$A$2000,0)),"")</f>
        <v>4.181184668989598</v>
      </c>
      <c r="S821" s="223">
        <f t="shared" si="62"/>
        <v>1.5267770034843198</v>
      </c>
      <c r="T821" s="224">
        <f>'WetLitterbags placem_collection'!E162</f>
        <v>42762</v>
      </c>
      <c r="U821" s="224">
        <f>IF('WetLitterbags placem_collection'!G162="","",'WetLitterbags placem_collection'!G162)</f>
        <v>42816</v>
      </c>
      <c r="V821" s="225">
        <f t="shared" si="60"/>
        <v>54</v>
      </c>
      <c r="W821" s="223">
        <f t="shared" si="63"/>
        <v>0.34980000000000011</v>
      </c>
      <c r="X821" s="223">
        <f t="shared" si="64"/>
        <v>0.30926006988271504</v>
      </c>
      <c r="Y821">
        <f>IFERROR(INDEX(Rainfall_Wet!$O$2:$O$217,MATCH(B821, Rainfall_Wet!$A$2:$A$217,0)),"")</f>
        <v>206.85140822299999</v>
      </c>
      <c r="Z821" s="228">
        <v>27.96</v>
      </c>
      <c r="AA821" s="228">
        <v>4.9200000000000017</v>
      </c>
      <c r="AB821" s="228">
        <v>67.12</v>
      </c>
      <c r="AC821" s="229" t="s">
        <v>2654</v>
      </c>
      <c r="AD821" s="228">
        <v>8.0437161163134494</v>
      </c>
      <c r="AE821">
        <f>IF('WetLitterbags placem_collection'!AB162="","",'WetLitterbags placem_collection'!AB162)</f>
        <v>0.8</v>
      </c>
      <c r="AF821">
        <f>IF('WetLitterbags placem_collection'!Z162="","",'WetLitterbags placem_collection'!Z162)</f>
        <v>10.8</v>
      </c>
      <c r="AG821" s="243" t="str">
        <f>IF('WetLitterbags placem_collection'!AA162="","",'WetLitterbags placem_collection'!AA162)</f>
        <v>O</v>
      </c>
      <c r="AH821">
        <f>IF('WetLitterbags placem_collection'!AC162="","",'WetLitterbags placem_collection'!AC162)</f>
        <v>0</v>
      </c>
      <c r="AI821">
        <f>AVERAGE('WetLitterbags placem_collection'!S162,'WetLitterbags placem_collection'!U162)</f>
        <v>16.5</v>
      </c>
      <c r="AJ821">
        <f>AVERAGE('WetLitterbags placem_collection'!R162,'WetLitterbags placem_collection'!T162)</f>
        <v>27.15</v>
      </c>
      <c r="AK821">
        <f>INDEX(Coordinates!$B$2:$B$197,MATCH(H821,Coordinates!$J$2:$J$197,0))</f>
        <v>-2.367547005</v>
      </c>
      <c r="AL821">
        <f>INDEX(Coordinates!$C$2:$C$197,MATCH(H821,Coordinates!$J$2:$J$197,0))</f>
        <v>34.059494989999997</v>
      </c>
      <c r="AM821" t="str">
        <f>IF(ISNUMBER(SEARCH("C", 'WetLitterbags placem_collection'!$Y162)),"YES","NO")</f>
        <v>NO</v>
      </c>
      <c r="AN821" t="str">
        <f>IF(ISNUMBER(SEARCH("H", 'WetLitterbags placem_collection'!$Y162)),"YES","NO")</f>
        <v>NO</v>
      </c>
      <c r="AO821" t="str">
        <f>IF(ISNUMBER(SEARCH("R", 'WetLitterbags placem_collection'!$Y162)),"YES","NO")</f>
        <v>NO</v>
      </c>
    </row>
    <row r="822" spans="1:41" ht="15" customHeight="1">
      <c r="A822" s="255" t="s">
        <v>2454</v>
      </c>
      <c r="B822" s="260">
        <f>'Dry_Litterbag Placem_Collection'!A163</f>
        <v>161</v>
      </c>
      <c r="C822" s="260" t="str">
        <f>'Dry_Litterbag Placem_Collection'!B163</f>
        <v>Handajega</v>
      </c>
      <c r="D822" s="260" t="s">
        <v>2454</v>
      </c>
      <c r="E822" s="260" t="s">
        <v>2645</v>
      </c>
      <c r="F822" s="260">
        <v>1</v>
      </c>
      <c r="G822" s="260" t="s">
        <v>3825</v>
      </c>
      <c r="H822" s="261" t="str">
        <f>'Dry_Litterbag Placem_Collection'!C163</f>
        <v>Wet_W1_T1</v>
      </c>
      <c r="I822" s="270" t="s">
        <v>3630</v>
      </c>
      <c r="J822" s="271" t="s">
        <v>298</v>
      </c>
      <c r="K822" s="221" t="str">
        <f>'WetLitterbags placem_collection'!Q163</f>
        <v>R253</v>
      </c>
      <c r="L822" s="223">
        <f>IFERROR(INDEX('Green_rooibos initial weight'!$C$5:$C$2000,MATCH(K822, 'Green_rooibos initial weight'!$A$5:$A$2000,0)),"")</f>
        <v>2.2130000000000001</v>
      </c>
      <c r="M822" s="223">
        <f>IFERROR(L822-(TBIcalc!$H$9+TBIcalc!$H$10),"")</f>
        <v>1.9632000000000001</v>
      </c>
      <c r="N822" s="385">
        <f>AVERAGE(Ashed_controlls!$K$2:$K$11)</f>
        <v>5.5147656768714146</v>
      </c>
      <c r="O822" s="223">
        <f t="shared" si="61"/>
        <v>1.8549341202316605</v>
      </c>
      <c r="P822" s="223">
        <f>IFERROR(INDEX('Both teabags AfterWet'!$C$3:$C$840,MATCH(K822,'Both teabags AfterWet'!$A$3:$A$840,0)),"")</f>
        <v>1.7033</v>
      </c>
      <c r="Q822" s="223">
        <f>IFERROR(IF(P822&gt;0,P822-(TBIcalc!$H$9),""),"")</f>
        <v>1.5527</v>
      </c>
      <c r="R822" s="223">
        <f>IFERROR(INDEX('Ashed teabags wet'!$K$2:$K$2000,MATCH(K822,'Ashed teabags wet'!$A$2:$A$2000,0)),"")</f>
        <v>2.4952015355091484</v>
      </c>
      <c r="S822" s="223">
        <f t="shared" si="62"/>
        <v>1.5139570057581495</v>
      </c>
      <c r="T822" s="224">
        <f>'WetLitterbags placem_collection'!E163</f>
        <v>42763</v>
      </c>
      <c r="U822" s="224">
        <f>IF('WetLitterbags placem_collection'!G163="","",'WetLitterbags placem_collection'!G163)</f>
        <v>42814</v>
      </c>
      <c r="V822" s="225">
        <f t="shared" si="60"/>
        <v>51</v>
      </c>
      <c r="W822" s="223">
        <f t="shared" si="63"/>
        <v>0.41050000000000009</v>
      </c>
      <c r="X822" s="223">
        <f t="shared" si="64"/>
        <v>0.34097711447351098</v>
      </c>
      <c r="Y822">
        <f>IFERROR(INDEX(Rainfall_Wet!$O$2:$O$217,MATCH(B822, Rainfall_Wet!$A$2:$A$217,0)),"")</f>
        <v>181.383442621</v>
      </c>
      <c r="Z822" s="228">
        <v>21.96</v>
      </c>
      <c r="AA822" s="228">
        <v>4.9199999999999982</v>
      </c>
      <c r="AB822" s="228">
        <v>73.12</v>
      </c>
      <c r="AC822" s="229" t="s">
        <v>2654</v>
      </c>
      <c r="AD822" s="228">
        <v>1.2416954164613114</v>
      </c>
      <c r="AE822">
        <f>IF('WetLitterbags placem_collection'!AB163="","",'WetLitterbags placem_collection'!AB163)</f>
        <v>7.6</v>
      </c>
      <c r="AF822">
        <f>IF('WetLitterbags placem_collection'!Z163="","",'WetLitterbags placem_collection'!Z163)</f>
        <v>35.799999999999997</v>
      </c>
      <c r="AG822" s="243" t="str">
        <f>IF('WetLitterbags placem_collection'!AA163="","",'WetLitterbags placem_collection'!AA163)</f>
        <v>M</v>
      </c>
      <c r="AH822">
        <f>IF('WetLitterbags placem_collection'!AC163="","",'WetLitterbags placem_collection'!AC163)</f>
        <v>0</v>
      </c>
      <c r="AI822">
        <f>AVERAGE('WetLitterbags placem_collection'!S163,'WetLitterbags placem_collection'!U163)</f>
        <v>11.100000000000001</v>
      </c>
      <c r="AJ822">
        <f>AVERAGE('WetLitterbags placem_collection'!R163,'WetLitterbags placem_collection'!T163)</f>
        <v>33.6</v>
      </c>
      <c r="AK822">
        <f>INDEX(Coordinates!$B$2:$B$197,MATCH(H822,Coordinates!$J$2:$J$197,0))</f>
        <v>-2.272751033</v>
      </c>
      <c r="AL822">
        <f>INDEX(Coordinates!$C$2:$C$197,MATCH(H822,Coordinates!$J$2:$J$197,0))</f>
        <v>34.023176030000002</v>
      </c>
      <c r="AM822" t="str">
        <f>IF(ISNUMBER(SEARCH("C", 'WetLitterbags placem_collection'!$Y163)),"YES","NO")</f>
        <v>NO</v>
      </c>
      <c r="AN822" t="str">
        <f>IF(ISNUMBER(SEARCH("H", 'WetLitterbags placem_collection'!$Y163)),"YES","NO")</f>
        <v>NO</v>
      </c>
      <c r="AO822" t="str">
        <f>IF(ISNUMBER(SEARCH("R", 'WetLitterbags placem_collection'!$Y163)),"YES","NO")</f>
        <v>NO</v>
      </c>
    </row>
    <row r="823" spans="1:41" ht="15" customHeight="1">
      <c r="A823" s="255" t="s">
        <v>2454</v>
      </c>
      <c r="B823" s="260">
        <f>'Dry_Litterbag Placem_Collection'!A164</f>
        <v>162</v>
      </c>
      <c r="C823" s="260" t="str">
        <f>'Dry_Litterbag Placem_Collection'!B164</f>
        <v>Handajega</v>
      </c>
      <c r="D823" s="260" t="s">
        <v>2454</v>
      </c>
      <c r="E823" s="260" t="s">
        <v>2645</v>
      </c>
      <c r="F823" s="260">
        <v>1</v>
      </c>
      <c r="G823" s="260" t="s">
        <v>3825</v>
      </c>
      <c r="H823" s="261" t="str">
        <f>'Dry_Litterbag Placem_Collection'!C164</f>
        <v>Wet_W1_T2</v>
      </c>
      <c r="I823" s="270" t="s">
        <v>3630</v>
      </c>
      <c r="J823" s="271" t="s">
        <v>298</v>
      </c>
      <c r="K823" s="221" t="str">
        <f>'WetLitterbags placem_collection'!Q164</f>
        <v>R285</v>
      </c>
      <c r="L823" s="223">
        <f>IFERROR(INDEX('Green_rooibos initial weight'!$C$5:$C$2000,MATCH(K823, 'Green_rooibos initial weight'!$A$5:$A$2000,0)),"")</f>
        <v>2.2400000000000002</v>
      </c>
      <c r="M823" s="223">
        <f>IFERROR(L823-(TBIcalc!$H$9+TBIcalc!$H$10),"")</f>
        <v>1.9902000000000002</v>
      </c>
      <c r="N823" s="385">
        <f>AVERAGE(Ashed_controlls!$K$2:$K$11)</f>
        <v>5.5147656768714146</v>
      </c>
      <c r="O823" s="223">
        <f t="shared" si="61"/>
        <v>1.8804451334989052</v>
      </c>
      <c r="P823" s="223">
        <f>IFERROR(INDEX('Both teabags AfterWet'!$C$3:$C$840,MATCH(K823,'Both teabags AfterWet'!$A$3:$A$840,0)),"")</f>
        <v>1.6621999999999999</v>
      </c>
      <c r="Q823" s="223">
        <f>IFERROR(IF(P823&gt;0,P823-(TBIcalc!$H$9),""),"")</f>
        <v>1.5115999999999998</v>
      </c>
      <c r="R823" s="223">
        <f>IFERROR(INDEX('Ashed teabags wet'!$K$2:$K$2000,MATCH(K823,'Ashed teabags wet'!$A$2:$A$2000,0)),"")</f>
        <v>1.8419777023749115</v>
      </c>
      <c r="S823" s="223">
        <f t="shared" si="62"/>
        <v>1.4837566650509006</v>
      </c>
      <c r="T823" s="224">
        <f>'WetLitterbags placem_collection'!E164</f>
        <v>42763</v>
      </c>
      <c r="U823" s="224">
        <f>IF('WetLitterbags placem_collection'!G164="","",'WetLitterbags placem_collection'!G164)</f>
        <v>42814</v>
      </c>
      <c r="V823" s="225">
        <f t="shared" si="60"/>
        <v>51</v>
      </c>
      <c r="W823" s="223">
        <f t="shared" si="63"/>
        <v>0.47860000000000036</v>
      </c>
      <c r="X823" s="223">
        <f t="shared" si="64"/>
        <v>0.39668846844800454</v>
      </c>
      <c r="Y823">
        <f>IFERROR(INDEX(Rainfall_Wet!$O$2:$O$217,MATCH(B823, Rainfall_Wet!$A$2:$A$217,0)),"")</f>
        <v>181.383442621</v>
      </c>
      <c r="Z823" s="228">
        <v>21.96</v>
      </c>
      <c r="AA823" s="228">
        <v>4.9199999999999982</v>
      </c>
      <c r="AB823" s="228">
        <v>73.12</v>
      </c>
      <c r="AC823" s="229" t="s">
        <v>2654</v>
      </c>
      <c r="AD823" s="228">
        <v>2.2416954164613099</v>
      </c>
      <c r="AE823">
        <f>IF('WetLitterbags placem_collection'!AB164="","",'WetLitterbags placem_collection'!AB164)</f>
        <v>4.0999999999999996</v>
      </c>
      <c r="AF823">
        <f>IF('WetLitterbags placem_collection'!Z164="","",'WetLitterbags placem_collection'!Z164)</f>
        <v>31.4</v>
      </c>
      <c r="AG823" s="243" t="str">
        <f>IF('WetLitterbags placem_collection'!AA164="","",'WetLitterbags placem_collection'!AA164)</f>
        <v>M</v>
      </c>
      <c r="AH823">
        <f>IF('WetLitterbags placem_collection'!AC164="","",'WetLitterbags placem_collection'!AC164)</f>
        <v>0</v>
      </c>
      <c r="AI823">
        <f>AVERAGE('WetLitterbags placem_collection'!S164,'WetLitterbags placem_collection'!U164)</f>
        <v>9.35</v>
      </c>
      <c r="AJ823">
        <f>AVERAGE('WetLitterbags placem_collection'!R164,'WetLitterbags placem_collection'!T164)</f>
        <v>34.450000000000003</v>
      </c>
      <c r="AK823">
        <f>INDEX(Coordinates!$B$2:$B$197,MATCH(H823,Coordinates!$J$2:$J$197,0))</f>
        <v>-2.2727060219999999</v>
      </c>
      <c r="AL823">
        <f>INDEX(Coordinates!$C$2:$C$197,MATCH(H823,Coordinates!$J$2:$J$197,0))</f>
        <v>34.023162030000002</v>
      </c>
      <c r="AM823" t="str">
        <f>IF(ISNUMBER(SEARCH("C", 'WetLitterbags placem_collection'!$Y164)),"YES","NO")</f>
        <v>NO</v>
      </c>
      <c r="AN823" t="str">
        <f>IF(ISNUMBER(SEARCH("H", 'WetLitterbags placem_collection'!$Y164)),"YES","NO")</f>
        <v>NO</v>
      </c>
      <c r="AO823" t="str">
        <f>IF(ISNUMBER(SEARCH("R", 'WetLitterbags placem_collection'!$Y164)),"YES","NO")</f>
        <v>YES</v>
      </c>
    </row>
    <row r="824" spans="1:41" ht="15" customHeight="1">
      <c r="A824" s="255" t="s">
        <v>2454</v>
      </c>
      <c r="B824" s="260">
        <f>'Dry_Litterbag Placem_Collection'!A165</f>
        <v>163</v>
      </c>
      <c r="C824" s="260" t="str">
        <f>'Dry_Litterbag Placem_Collection'!B165</f>
        <v>Handajega</v>
      </c>
      <c r="D824" s="260" t="s">
        <v>2454</v>
      </c>
      <c r="E824" s="260" t="s">
        <v>2645</v>
      </c>
      <c r="F824" s="260">
        <v>1</v>
      </c>
      <c r="G824" s="260" t="s">
        <v>3825</v>
      </c>
      <c r="H824" s="261" t="str">
        <f>'Dry_Litterbag Placem_Collection'!C165</f>
        <v>Wet_W1_T3</v>
      </c>
      <c r="I824" s="270" t="s">
        <v>3630</v>
      </c>
      <c r="J824" s="271" t="s">
        <v>298</v>
      </c>
      <c r="K824" s="221" t="str">
        <f>'WetLitterbags placem_collection'!Q165</f>
        <v>R341</v>
      </c>
      <c r="L824" s="223">
        <f>IFERROR(INDEX('Green_rooibos initial weight'!$C$5:$C$2000,MATCH(K824, 'Green_rooibos initial weight'!$A$5:$A$2000,0)),"")</f>
        <v>2.1560000000000001</v>
      </c>
      <c r="M824" s="223">
        <f>IFERROR(L824-(TBIcalc!$H$9+TBIcalc!$H$10),"")</f>
        <v>1.9062000000000001</v>
      </c>
      <c r="N824" s="385">
        <f>AVERAGE(Ashed_controlls!$K$2:$K$11)</f>
        <v>5.5147656768714146</v>
      </c>
      <c r="O824" s="223">
        <f t="shared" si="61"/>
        <v>1.8010775366674772</v>
      </c>
      <c r="P824" s="223">
        <f>IFERROR(INDEX('Both teabags AfterWet'!$C$3:$C$840,MATCH(K824,'Both teabags AfterWet'!$A$3:$A$840,0)),"")</f>
        <v>1.738</v>
      </c>
      <c r="Q824" s="223">
        <f>IFERROR(IF(P824&gt;0,P824-(TBIcalc!$H$9),""),"")</f>
        <v>1.5873999999999999</v>
      </c>
      <c r="R824" s="223">
        <f>IFERROR(INDEX('Ashed teabags wet'!$K$2:$K$2000,MATCH(K824,'Ashed teabags wet'!$A$2:$A$2000,0)),"")</f>
        <v>2.2942643391521438</v>
      </c>
      <c r="S824" s="223">
        <f t="shared" si="62"/>
        <v>1.5509808478802989</v>
      </c>
      <c r="T824" s="224">
        <f>'WetLitterbags placem_collection'!E165</f>
        <v>42763</v>
      </c>
      <c r="U824" s="224">
        <f>IF('WetLitterbags placem_collection'!G165="","",'WetLitterbags placem_collection'!G165)</f>
        <v>42814</v>
      </c>
      <c r="V824" s="225">
        <f t="shared" si="60"/>
        <v>51</v>
      </c>
      <c r="W824" s="223">
        <f t="shared" si="63"/>
        <v>0.31880000000000019</v>
      </c>
      <c r="X824" s="223">
        <f t="shared" si="64"/>
        <v>0.25009668878717828</v>
      </c>
      <c r="Y824">
        <f>IFERROR(INDEX(Rainfall_Wet!$O$2:$O$217,MATCH(B824, Rainfall_Wet!$A$2:$A$217,0)),"")</f>
        <v>181.383442621</v>
      </c>
      <c r="Z824" s="228">
        <v>21.96</v>
      </c>
      <c r="AA824" s="228">
        <v>4.9199999999999982</v>
      </c>
      <c r="AB824" s="228">
        <v>73.12</v>
      </c>
      <c r="AC824" s="229" t="s">
        <v>2654</v>
      </c>
      <c r="AD824" s="228">
        <v>3.2416954164613099</v>
      </c>
      <c r="AE824">
        <f>IF('WetLitterbags placem_collection'!AB165="","",'WetLitterbags placem_collection'!AB165)</f>
        <v>7.8</v>
      </c>
      <c r="AF824">
        <f>IF('WetLitterbags placem_collection'!Z165="","",'WetLitterbags placem_collection'!Z165)</f>
        <v>28.8</v>
      </c>
      <c r="AG824" s="243" t="str">
        <f>IF('WetLitterbags placem_collection'!AA165="","",'WetLitterbags placem_collection'!AA165)</f>
        <v>M</v>
      </c>
      <c r="AH824">
        <f>IF('WetLitterbags placem_collection'!AC165="","",'WetLitterbags placem_collection'!AC165)</f>
        <v>0</v>
      </c>
      <c r="AI824">
        <f>AVERAGE('WetLitterbags placem_collection'!S165,'WetLitterbags placem_collection'!U165)</f>
        <v>9.3000000000000007</v>
      </c>
      <c r="AJ824">
        <f>AVERAGE('WetLitterbags placem_collection'!R165,'WetLitterbags placem_collection'!T165)</f>
        <v>33.5</v>
      </c>
      <c r="AK824">
        <f>INDEX(Coordinates!$B$2:$B$197,MATCH(H824,Coordinates!$J$2:$J$197,0))</f>
        <v>-2.2726719919999998</v>
      </c>
      <c r="AL824">
        <f>INDEX(Coordinates!$C$2:$C$197,MATCH(H824,Coordinates!$J$2:$J$197,0))</f>
        <v>34.023210980000002</v>
      </c>
      <c r="AM824" t="str">
        <f>IF(ISNUMBER(SEARCH("C", 'WetLitterbags placem_collection'!$Y165)),"YES","NO")</f>
        <v>NO</v>
      </c>
      <c r="AN824" t="str">
        <f>IF(ISNUMBER(SEARCH("H", 'WetLitterbags placem_collection'!$Y165)),"YES","NO")</f>
        <v>NO</v>
      </c>
      <c r="AO824" t="str">
        <f>IF(ISNUMBER(SEARCH("R", 'WetLitterbags placem_collection'!$Y165)),"YES","NO")</f>
        <v>NO</v>
      </c>
    </row>
    <row r="825" spans="1:41" ht="15" customHeight="1">
      <c r="A825" s="255" t="s">
        <v>2454</v>
      </c>
      <c r="B825" s="260">
        <f>'Dry_Litterbag Placem_Collection'!A166</f>
        <v>164</v>
      </c>
      <c r="C825" s="260" t="str">
        <f>'Dry_Litterbag Placem_Collection'!B166</f>
        <v>Handajega</v>
      </c>
      <c r="D825" s="260" t="s">
        <v>2454</v>
      </c>
      <c r="E825" s="260" t="s">
        <v>2645</v>
      </c>
      <c r="F825" s="260">
        <v>1</v>
      </c>
      <c r="G825" s="260" t="s">
        <v>3825</v>
      </c>
      <c r="H825" s="261" t="str">
        <f>'Dry_Litterbag Placem_Collection'!C166</f>
        <v>Wet_W1_T4</v>
      </c>
      <c r="I825" s="270" t="s">
        <v>3630</v>
      </c>
      <c r="J825" s="271" t="s">
        <v>298</v>
      </c>
      <c r="K825" s="221" t="str">
        <f>'WetLitterbags placem_collection'!Q166</f>
        <v>R264</v>
      </c>
      <c r="L825" s="223">
        <f>IFERROR(INDEX('Green_rooibos initial weight'!$C$5:$C$2000,MATCH(K825, 'Green_rooibos initial weight'!$A$5:$A$2000,0)),"")</f>
        <v>2.2250000000000001</v>
      </c>
      <c r="M825" s="223">
        <f>IFERROR(L825-(TBIcalc!$H$9+TBIcalc!$H$10),"")</f>
        <v>1.9752000000000001</v>
      </c>
      <c r="N825" s="385">
        <f>AVERAGE(Ashed_controlls!$K$2:$K$11)</f>
        <v>5.5147656768714146</v>
      </c>
      <c r="O825" s="223">
        <f t="shared" si="61"/>
        <v>1.866272348350436</v>
      </c>
      <c r="P825" s="223">
        <f>IFERROR(INDEX('Both teabags AfterWet'!$C$3:$C$840,MATCH(K825,'Both teabags AfterWet'!$A$3:$A$840,0)),"")</f>
        <v>1.7050000000000001</v>
      </c>
      <c r="Q825" s="223">
        <f>IFERROR(IF(P825&gt;0,P825-(TBIcalc!$H$9),""),"")</f>
        <v>1.5544</v>
      </c>
      <c r="R825" s="223">
        <f>IFERROR(INDEX('Ashed teabags wet'!$K$2:$K$2000,MATCH(K825,'Ashed teabags wet'!$A$2:$A$2000,0)),"")</f>
        <v>1.9295706705255817</v>
      </c>
      <c r="S825" s="223">
        <f t="shared" si="62"/>
        <v>1.5244067534973504</v>
      </c>
      <c r="T825" s="224">
        <f>'WetLitterbags placem_collection'!E166</f>
        <v>42763</v>
      </c>
      <c r="U825" s="224">
        <f>IF('WetLitterbags placem_collection'!G166="","",'WetLitterbags placem_collection'!G166)</f>
        <v>42814</v>
      </c>
      <c r="V825" s="225">
        <f t="shared" si="60"/>
        <v>51</v>
      </c>
      <c r="W825" s="223">
        <f t="shared" si="63"/>
        <v>0.42080000000000006</v>
      </c>
      <c r="X825" s="223">
        <f t="shared" si="64"/>
        <v>0.34186559485308554</v>
      </c>
      <c r="Y825">
        <f>IFERROR(INDEX(Rainfall_Wet!$O$2:$O$217,MATCH(B825, Rainfall_Wet!$A$2:$A$217,0)),"")</f>
        <v>181.383442621</v>
      </c>
      <c r="Z825" s="228">
        <v>21.96</v>
      </c>
      <c r="AA825" s="228">
        <v>4.9199999999999982</v>
      </c>
      <c r="AB825" s="228">
        <v>73.12</v>
      </c>
      <c r="AC825" s="229" t="s">
        <v>2654</v>
      </c>
      <c r="AD825" s="228">
        <v>4.2416954164613099</v>
      </c>
      <c r="AE825">
        <f>IF('WetLitterbags placem_collection'!AB166="","",'WetLitterbags placem_collection'!AB166)</f>
        <v>9.5</v>
      </c>
      <c r="AF825">
        <f>IF('WetLitterbags placem_collection'!Z166="","",'WetLitterbags placem_collection'!Z166)</f>
        <v>20.8</v>
      </c>
      <c r="AG825" s="243" t="str">
        <f>IF('WetLitterbags placem_collection'!AA166="","",'WetLitterbags placem_collection'!AA166)</f>
        <v>M</v>
      </c>
      <c r="AH825">
        <f>IF('WetLitterbags placem_collection'!AC166="","",'WetLitterbags placem_collection'!AC166)</f>
        <v>0</v>
      </c>
      <c r="AI825">
        <f>AVERAGE('WetLitterbags placem_collection'!S166,'WetLitterbags placem_collection'!U166)</f>
        <v>9.25</v>
      </c>
      <c r="AJ825">
        <f>AVERAGE('WetLitterbags placem_collection'!R166,'WetLitterbags placem_collection'!T166)</f>
        <v>33.799999999999997</v>
      </c>
      <c r="AK825">
        <f>INDEX(Coordinates!$B$2:$B$197,MATCH(H825,Coordinates!$J$2:$J$197,0))</f>
        <v>-2.2726180130000002</v>
      </c>
      <c r="AL825">
        <f>INDEX(Coordinates!$C$2:$C$197,MATCH(H825,Coordinates!$J$2:$J$197,0))</f>
        <v>34.023212999999998</v>
      </c>
      <c r="AM825" t="str">
        <f>IF(ISNUMBER(SEARCH("C", 'WetLitterbags placem_collection'!$Y166)),"YES","NO")</f>
        <v>NO</v>
      </c>
      <c r="AN825" t="str">
        <f>IF(ISNUMBER(SEARCH("H", 'WetLitterbags placem_collection'!$Y166)),"YES","NO")</f>
        <v>NO</v>
      </c>
      <c r="AO825" t="str">
        <f>IF(ISNUMBER(SEARCH("R", 'WetLitterbags placem_collection'!$Y166)),"YES","NO")</f>
        <v>NO</v>
      </c>
    </row>
    <row r="826" spans="1:41" ht="15" customHeight="1">
      <c r="A826" s="255" t="s">
        <v>2454</v>
      </c>
      <c r="B826" s="260">
        <f>'Dry_Litterbag Placem_Collection'!A167</f>
        <v>165</v>
      </c>
      <c r="C826" s="260" t="str">
        <f>'Dry_Litterbag Placem_Collection'!B167</f>
        <v>Handajega</v>
      </c>
      <c r="D826" s="260" t="s">
        <v>2454</v>
      </c>
      <c r="E826" s="260" t="s">
        <v>2645</v>
      </c>
      <c r="F826" s="260">
        <v>1</v>
      </c>
      <c r="G826" s="260" t="s">
        <v>3825</v>
      </c>
      <c r="H826" s="261" t="str">
        <f>'Dry_Litterbag Placem_Collection'!C167</f>
        <v>Wet_W1_T5</v>
      </c>
      <c r="I826" s="270" t="s">
        <v>3630</v>
      </c>
      <c r="J826" s="271" t="s">
        <v>298</v>
      </c>
      <c r="K826" s="221" t="str">
        <f>'WetLitterbags placem_collection'!Q167</f>
        <v>R411</v>
      </c>
      <c r="L826" s="223">
        <f>IFERROR(INDEX('Green_rooibos initial weight'!$C$5:$C$2000,MATCH(K826, 'Green_rooibos initial weight'!$A$5:$A$2000,0)),"")</f>
        <v>2.2240000000000002</v>
      </c>
      <c r="M826" s="223">
        <f>IFERROR(L826-(TBIcalc!$H$9+TBIcalc!$H$10),"")</f>
        <v>1.9742000000000002</v>
      </c>
      <c r="N826" s="385">
        <f>AVERAGE(Ashed_controlls!$K$2:$K$11)</f>
        <v>5.5147656768714146</v>
      </c>
      <c r="O826" s="223">
        <f t="shared" si="61"/>
        <v>1.8653274960072048</v>
      </c>
      <c r="P826" s="223">
        <f>IFERROR(INDEX('Both teabags AfterWet'!$C$3:$C$840,MATCH(K826,'Both teabags AfterWet'!$A$3:$A$840,0)),"")</f>
        <v>1.728</v>
      </c>
      <c r="Q826" s="223">
        <f>IFERROR(IF(P826&gt;0,P826-(TBIcalc!$H$9),""),"")</f>
        <v>1.5773999999999999</v>
      </c>
      <c r="R826" s="223">
        <f>IFERROR(INDEX('Ashed teabags wet'!$K$2:$K$2000,MATCH(K826,'Ashed teabags wet'!$A$2:$A$2000,0)),"")</f>
        <v>1.9212295869364138</v>
      </c>
      <c r="S826" s="223">
        <f t="shared" si="62"/>
        <v>1.5470945244956649</v>
      </c>
      <c r="T826" s="224">
        <f>'WetLitterbags placem_collection'!E167</f>
        <v>42763</v>
      </c>
      <c r="U826" s="224">
        <f>IF('WetLitterbags placem_collection'!G167="","",'WetLitterbags placem_collection'!G167)</f>
        <v>42814</v>
      </c>
      <c r="V826" s="225">
        <f t="shared" si="60"/>
        <v>51</v>
      </c>
      <c r="W826" s="223">
        <f t="shared" si="63"/>
        <v>0.39680000000000026</v>
      </c>
      <c r="X826" s="223">
        <f t="shared" si="64"/>
        <v>0.31823297151153995</v>
      </c>
      <c r="Y826">
        <f>IFERROR(INDEX(Rainfall_Wet!$O$2:$O$217,MATCH(B826, Rainfall_Wet!$A$2:$A$217,0)),"")</f>
        <v>181.383442621</v>
      </c>
      <c r="Z826" s="228">
        <v>21.96</v>
      </c>
      <c r="AA826" s="228">
        <v>4.9199999999999982</v>
      </c>
      <c r="AB826" s="228">
        <v>73.12</v>
      </c>
      <c r="AC826" s="229" t="s">
        <v>2654</v>
      </c>
      <c r="AD826" s="228">
        <v>5.2416954164613099</v>
      </c>
      <c r="AE826">
        <f>IF('WetLitterbags placem_collection'!AB167="","",'WetLitterbags placem_collection'!AB167)</f>
        <v>10.4</v>
      </c>
      <c r="AF826">
        <f>IF('WetLitterbags placem_collection'!Z167="","",'WetLitterbags placem_collection'!Z167)</f>
        <v>13.8</v>
      </c>
      <c r="AG826" s="243" t="str">
        <f>IF('WetLitterbags placem_collection'!AA167="","",'WetLitterbags placem_collection'!AA167)</f>
        <v>M</v>
      </c>
      <c r="AH826">
        <f>IF('WetLitterbags placem_collection'!AC167="","",'WetLitterbags placem_collection'!AC167)</f>
        <v>0</v>
      </c>
      <c r="AI826">
        <f>AVERAGE('WetLitterbags placem_collection'!S167,'WetLitterbags placem_collection'!U167)</f>
        <v>12</v>
      </c>
      <c r="AJ826">
        <f>AVERAGE('WetLitterbags placem_collection'!R167,'WetLitterbags placem_collection'!T167)</f>
        <v>31.5</v>
      </c>
      <c r="AK826">
        <f>INDEX(Coordinates!$B$2:$B$197,MATCH(H826,Coordinates!$J$2:$J$197,0))</f>
        <v>-2.2724750170000001</v>
      </c>
      <c r="AL826">
        <f>INDEX(Coordinates!$C$2:$C$197,MATCH(H826,Coordinates!$J$2:$J$197,0))</f>
        <v>34.02334501</v>
      </c>
      <c r="AM826" t="str">
        <f>IF(ISNUMBER(SEARCH("C", 'WetLitterbags placem_collection'!$Y167)),"YES","NO")</f>
        <v>NO</v>
      </c>
      <c r="AN826" t="str">
        <f>IF(ISNUMBER(SEARCH("H", 'WetLitterbags placem_collection'!$Y167)),"YES","NO")</f>
        <v>NO</v>
      </c>
      <c r="AO826" t="str">
        <f>IF(ISNUMBER(SEARCH("R", 'WetLitterbags placem_collection'!$Y167)),"YES","NO")</f>
        <v>NO</v>
      </c>
    </row>
    <row r="827" spans="1:41" ht="15" customHeight="1">
      <c r="A827" s="255" t="s">
        <v>2454</v>
      </c>
      <c r="B827" s="260">
        <f>'Dry_Litterbag Placem_Collection'!A168</f>
        <v>166</v>
      </c>
      <c r="C827" s="260" t="str">
        <f>'Dry_Litterbag Placem_Collection'!B168</f>
        <v>Handajega</v>
      </c>
      <c r="D827" s="260" t="s">
        <v>2454</v>
      </c>
      <c r="E827" s="260" t="s">
        <v>2645</v>
      </c>
      <c r="F827" s="260">
        <v>1</v>
      </c>
      <c r="G827" s="260" t="s">
        <v>3825</v>
      </c>
      <c r="H827" s="261" t="str">
        <f>'Dry_Litterbag Placem_Collection'!C168</f>
        <v>Wet_W1_T6</v>
      </c>
      <c r="I827" s="270" t="s">
        <v>3630</v>
      </c>
      <c r="J827" s="271" t="s">
        <v>298</v>
      </c>
      <c r="K827" s="221" t="str">
        <f>'WetLitterbags placem_collection'!Q168</f>
        <v>R259</v>
      </c>
      <c r="L827" s="223">
        <f>IFERROR(INDEX('Green_rooibos initial weight'!$C$5:$C$2000,MATCH(K827, 'Green_rooibos initial weight'!$A$5:$A$2000,0)),"")</f>
        <v>2.218</v>
      </c>
      <c r="M827" s="223">
        <f>IFERROR(L827-(TBIcalc!$H$9+TBIcalc!$H$10),"")</f>
        <v>1.9681999999999999</v>
      </c>
      <c r="N827" s="385">
        <f>AVERAGE(Ashed_controlls!$K$2:$K$11)</f>
        <v>5.5147656768714146</v>
      </c>
      <c r="O827" s="223">
        <f t="shared" si="61"/>
        <v>1.8596583819478167</v>
      </c>
      <c r="P827" s="223">
        <f>IFERROR(INDEX('Both teabags AfterWet'!$C$3:$C$840,MATCH(K827,'Both teabags AfterWet'!$A$3:$A$840,0)),"")</f>
        <v>1.7169000000000001</v>
      </c>
      <c r="Q827" s="223">
        <f>IFERROR(IF(P827&gt;0,P827-(TBIcalc!$H$9),""),"")</f>
        <v>1.5663</v>
      </c>
      <c r="R827" s="223">
        <f>IFERROR(INDEX('Ashed teabags wet'!$K$2:$K$2000,MATCH(K827,'Ashed teabags wet'!$A$2:$A$2000,0)),"")</f>
        <v>1.9326065411295223</v>
      </c>
      <c r="S827" s="223">
        <f t="shared" si="62"/>
        <v>1.5360295837462883</v>
      </c>
      <c r="T827" s="224">
        <f>'WetLitterbags placem_collection'!E168</f>
        <v>42763</v>
      </c>
      <c r="U827" s="224">
        <f>IF('WetLitterbags placem_collection'!G168="","",'WetLitterbags placem_collection'!G168)</f>
        <v>42814</v>
      </c>
      <c r="V827" s="225">
        <f t="shared" si="60"/>
        <v>51</v>
      </c>
      <c r="W827" s="223">
        <f t="shared" si="63"/>
        <v>0.40189999999999992</v>
      </c>
      <c r="X827" s="223">
        <f t="shared" si="64"/>
        <v>0.32362879820152846</v>
      </c>
      <c r="Y827">
        <f>IFERROR(INDEX(Rainfall_Wet!$O$2:$O$217,MATCH(B827, Rainfall_Wet!$A$2:$A$217,0)),"")</f>
        <v>181.383442621</v>
      </c>
      <c r="Z827" s="228">
        <v>21.96</v>
      </c>
      <c r="AA827" s="228">
        <v>4.9199999999999982</v>
      </c>
      <c r="AB827" s="228">
        <v>73.12</v>
      </c>
      <c r="AC827" s="229" t="s">
        <v>2654</v>
      </c>
      <c r="AD827" s="228">
        <v>6.2416954164613099</v>
      </c>
      <c r="AE827">
        <f>IF('WetLitterbags placem_collection'!AB168="","",'WetLitterbags placem_collection'!AB168)</f>
        <v>2.1</v>
      </c>
      <c r="AF827">
        <f>IF('WetLitterbags placem_collection'!Z168="","",'WetLitterbags placem_collection'!Z168)</f>
        <v>4.7</v>
      </c>
      <c r="AG827" s="243" t="str">
        <f>IF('WetLitterbags placem_collection'!AA168="","",'WetLitterbags placem_collection'!AA168)</f>
        <v>M</v>
      </c>
      <c r="AH827">
        <f>IF('WetLitterbags placem_collection'!AC168="","",'WetLitterbags placem_collection'!AC168)</f>
        <v>0</v>
      </c>
      <c r="AI827">
        <f>AVERAGE('WetLitterbags placem_collection'!S168,'WetLitterbags placem_collection'!U168)</f>
        <v>11</v>
      </c>
      <c r="AJ827">
        <f>AVERAGE('WetLitterbags placem_collection'!R168,'WetLitterbags placem_collection'!T168)</f>
        <v>31.5</v>
      </c>
      <c r="AK827">
        <f>INDEX(Coordinates!$B$2:$B$197,MATCH(H827,Coordinates!$J$2:$J$197,0))</f>
        <v>-2.2725490289999999</v>
      </c>
      <c r="AL827">
        <f>INDEX(Coordinates!$C$2:$C$197,MATCH(H827,Coordinates!$J$2:$J$197,0))</f>
        <v>34.022886020000001</v>
      </c>
      <c r="AM827" t="str">
        <f>IF(ISNUMBER(SEARCH("C", 'WetLitterbags placem_collection'!$Y168)),"YES","NO")</f>
        <v>NO</v>
      </c>
      <c r="AN827" t="str">
        <f>IF(ISNUMBER(SEARCH("H", 'WetLitterbags placem_collection'!$Y168)),"YES","NO")</f>
        <v>NO</v>
      </c>
      <c r="AO827" t="str">
        <f>IF(ISNUMBER(SEARCH("R", 'WetLitterbags placem_collection'!$Y168)),"YES","NO")</f>
        <v>NO</v>
      </c>
    </row>
    <row r="828" spans="1:41" ht="15" customHeight="1">
      <c r="A828" s="255" t="s">
        <v>2454</v>
      </c>
      <c r="B828" s="260">
        <f>'Dry_Litterbag Placem_Collection'!A169</f>
        <v>167</v>
      </c>
      <c r="C828" s="260" t="str">
        <f>'Dry_Litterbag Placem_Collection'!B169</f>
        <v>Handajega</v>
      </c>
      <c r="D828" s="260" t="s">
        <v>2454</v>
      </c>
      <c r="E828" s="260" t="s">
        <v>2645</v>
      </c>
      <c r="F828" s="260">
        <v>1</v>
      </c>
      <c r="G828" s="260" t="s">
        <v>3825</v>
      </c>
      <c r="H828" s="261" t="str">
        <f>'Dry_Litterbag Placem_Collection'!C169</f>
        <v>Wet_W1_T7</v>
      </c>
      <c r="I828" s="270" t="s">
        <v>3630</v>
      </c>
      <c r="J828" s="271" t="s">
        <v>298</v>
      </c>
      <c r="K828" s="221" t="str">
        <f>'WetLitterbags placem_collection'!Q169</f>
        <v>R215</v>
      </c>
      <c r="L828" s="223">
        <f>IFERROR(INDEX('Green_rooibos initial weight'!$C$5:$C$2000,MATCH(K828, 'Green_rooibos initial weight'!$A$5:$A$2000,0)),"")</f>
        <v>2.1949999999999998</v>
      </c>
      <c r="M828" s="223">
        <f>IFERROR(L828-(TBIcalc!$H$9+TBIcalc!$H$10),"")</f>
        <v>1.9451999999999998</v>
      </c>
      <c r="N828" s="385">
        <f>AVERAGE(Ashed_controlls!$K$2:$K$11)</f>
        <v>5.5147656768714146</v>
      </c>
      <c r="O828" s="223">
        <f t="shared" si="61"/>
        <v>1.8379267780534971</v>
      </c>
      <c r="P828" s="223">
        <f>IFERROR(INDEX('Both teabags AfterWet'!$C$3:$C$840,MATCH(K828,'Both teabags AfterWet'!$A$3:$A$840,0)),"")</f>
        <v>1.7432000000000001</v>
      </c>
      <c r="Q828" s="223">
        <f>IFERROR(IF(P828&gt;0,P828-(TBIcalc!$H$9),""),"")</f>
        <v>1.5926</v>
      </c>
      <c r="R828" s="223">
        <f>IFERROR(INDEX('Ashed teabags wet'!$K$2:$K$2000,MATCH(K828,'Ashed teabags wet'!$A$2:$A$2000,0)),"")</f>
        <v>1.8428709990296765</v>
      </c>
      <c r="S828" s="223">
        <f t="shared" si="62"/>
        <v>1.5632504364694535</v>
      </c>
      <c r="T828" s="224">
        <f>'WetLitterbags placem_collection'!E169</f>
        <v>42763</v>
      </c>
      <c r="U828" s="224">
        <f>IF('WetLitterbags placem_collection'!G169="","",'WetLitterbags placem_collection'!G169)</f>
        <v>42814</v>
      </c>
      <c r="V828" s="225">
        <f t="shared" si="60"/>
        <v>51</v>
      </c>
      <c r="W828" s="223">
        <f t="shared" si="63"/>
        <v>0.3525999999999998</v>
      </c>
      <c r="X828" s="223">
        <f t="shared" si="64"/>
        <v>0.27467634158404364</v>
      </c>
      <c r="Y828">
        <f>IFERROR(INDEX(Rainfall_Wet!$O$2:$O$217,MATCH(B828, Rainfall_Wet!$A$2:$A$217,0)),"")</f>
        <v>181.383442621</v>
      </c>
      <c r="Z828" s="228">
        <v>21.96</v>
      </c>
      <c r="AA828" s="228">
        <v>4.9199999999999982</v>
      </c>
      <c r="AB828" s="228">
        <v>73.12</v>
      </c>
      <c r="AC828" s="229" t="s">
        <v>2654</v>
      </c>
      <c r="AD828" s="228">
        <v>7.2416954164613099</v>
      </c>
      <c r="AE828">
        <f>IF('WetLitterbags placem_collection'!AB169="","",'WetLitterbags placem_collection'!AB169)</f>
        <v>5.6</v>
      </c>
      <c r="AF828">
        <f>IF('WetLitterbags placem_collection'!Z169="","",'WetLitterbags placem_collection'!Z169)</f>
        <v>4.2</v>
      </c>
      <c r="AG828" s="243" t="str">
        <f>IF('WetLitterbags placem_collection'!AA169="","",'WetLitterbags placem_collection'!AA169)</f>
        <v>M</v>
      </c>
      <c r="AH828">
        <f>IF('WetLitterbags placem_collection'!AC169="","",'WetLitterbags placem_collection'!AC169)</f>
        <v>1</v>
      </c>
      <c r="AI828">
        <f>AVERAGE('WetLitterbags placem_collection'!S169,'WetLitterbags placem_collection'!U169)</f>
        <v>10.45</v>
      </c>
      <c r="AJ828">
        <f>AVERAGE('WetLitterbags placem_collection'!R169,'WetLitterbags placem_collection'!T169)</f>
        <v>31</v>
      </c>
      <c r="AK828">
        <f>INDEX(Coordinates!$B$2:$B$197,MATCH(H828,Coordinates!$J$2:$J$197,0))</f>
        <v>-2.2729950310000002</v>
      </c>
      <c r="AL828">
        <f>INDEX(Coordinates!$C$2:$C$197,MATCH(H828,Coordinates!$J$2:$J$197,0))</f>
        <v>34.022923990000002</v>
      </c>
      <c r="AM828" t="str">
        <f>IF(ISNUMBER(SEARCH("C", 'WetLitterbags placem_collection'!$Y169)),"YES","NO")</f>
        <v>NO</v>
      </c>
      <c r="AN828" t="str">
        <f>IF(ISNUMBER(SEARCH("H", 'WetLitterbags placem_collection'!$Y169)),"YES","NO")</f>
        <v>NO</v>
      </c>
      <c r="AO828" t="str">
        <f>IF(ISNUMBER(SEARCH("R", 'WetLitterbags placem_collection'!$Y169)),"YES","NO")</f>
        <v>NO</v>
      </c>
    </row>
    <row r="829" spans="1:41" ht="15" customHeight="1">
      <c r="A829" s="255" t="s">
        <v>2454</v>
      </c>
      <c r="B829" s="260">
        <f>'Dry_Litterbag Placem_Collection'!A170</f>
        <v>168</v>
      </c>
      <c r="C829" s="260" t="str">
        <f>'Dry_Litterbag Placem_Collection'!B170</f>
        <v>Handajega</v>
      </c>
      <c r="D829" s="260" t="s">
        <v>2454</v>
      </c>
      <c r="E829" s="260" t="s">
        <v>2645</v>
      </c>
      <c r="F829" s="260">
        <v>1</v>
      </c>
      <c r="G829" s="260" t="s">
        <v>3825</v>
      </c>
      <c r="H829" s="261" t="str">
        <f>'Dry_Litterbag Placem_Collection'!C170</f>
        <v>Wet_W1_T8</v>
      </c>
      <c r="I829" s="270" t="s">
        <v>3630</v>
      </c>
      <c r="J829" s="271" t="s">
        <v>298</v>
      </c>
      <c r="K829" s="221" t="str">
        <f>'WetLitterbags placem_collection'!Q170</f>
        <v>R322</v>
      </c>
      <c r="L829" s="223">
        <f>IFERROR(INDEX('Green_rooibos initial weight'!$C$5:$C$2000,MATCH(K829, 'Green_rooibos initial weight'!$A$5:$A$2000,0)),"")</f>
        <v>2.1909999999999998</v>
      </c>
      <c r="M829" s="223">
        <f>IFERROR(L829-(TBIcalc!$H$9+TBIcalc!$H$10),"")</f>
        <v>1.9411999999999998</v>
      </c>
      <c r="N829" s="385">
        <f>AVERAGE(Ashed_controlls!$K$2:$K$11)</f>
        <v>5.5147656768714146</v>
      </c>
      <c r="O829" s="223">
        <f t="shared" si="61"/>
        <v>1.834147368680572</v>
      </c>
      <c r="P829" s="223">
        <f>IFERROR(INDEX('Both teabags AfterWet'!$C$3:$C$840,MATCH(K829,'Both teabags AfterWet'!$A$3:$A$840,0)),"")</f>
        <v>1.6950000000000001</v>
      </c>
      <c r="Q829" s="223">
        <f>IFERROR(IF(P829&gt;0,P829-(TBIcalc!$H$9),""),"")</f>
        <v>1.5444</v>
      </c>
      <c r="R829" s="223">
        <f>IFERROR(INDEX('Ashed teabags wet'!$K$2:$K$2000,MATCH(K829,'Ashed teabags wet'!$A$2:$A$2000,0)),"")</f>
        <v>2.1371769383691874</v>
      </c>
      <c r="S829" s="223">
        <f t="shared" si="62"/>
        <v>1.5113934393638262</v>
      </c>
      <c r="T829" s="224">
        <f>'WetLitterbags placem_collection'!E170</f>
        <v>42763</v>
      </c>
      <c r="U829" s="224">
        <f>IF('WetLitterbags placem_collection'!G170="","",'WetLitterbags placem_collection'!G170)</f>
        <v>42814</v>
      </c>
      <c r="V829" s="225">
        <f t="shared" si="60"/>
        <v>51</v>
      </c>
      <c r="W829" s="223">
        <f t="shared" si="63"/>
        <v>0.39679999999999982</v>
      </c>
      <c r="X829" s="223">
        <f t="shared" si="64"/>
        <v>0.32275392931674585</v>
      </c>
      <c r="Y829">
        <f>IFERROR(INDEX(Rainfall_Wet!$O$2:$O$217,MATCH(B829, Rainfall_Wet!$A$2:$A$217,0)),"")</f>
        <v>181.383442621</v>
      </c>
      <c r="Z829" s="228">
        <v>21.96</v>
      </c>
      <c r="AA829" s="228">
        <v>4.9199999999999982</v>
      </c>
      <c r="AB829" s="228">
        <v>73.12</v>
      </c>
      <c r="AC829" s="229" t="s">
        <v>2654</v>
      </c>
      <c r="AD829" s="228">
        <v>8.2416954164613099</v>
      </c>
      <c r="AE829">
        <f>IF('WetLitterbags placem_collection'!AB170="","",'WetLitterbags placem_collection'!AB170)</f>
        <v>2.4</v>
      </c>
      <c r="AF829">
        <f>IF('WetLitterbags placem_collection'!Z170="","",'WetLitterbags placem_collection'!Z170)</f>
        <v>46</v>
      </c>
      <c r="AG829" s="243" t="str">
        <f>IF('WetLitterbags placem_collection'!AA170="","",'WetLitterbags placem_collection'!AA170)</f>
        <v>M</v>
      </c>
      <c r="AH829">
        <f>IF('WetLitterbags placem_collection'!AC170="","",'WetLitterbags placem_collection'!AC170)</f>
        <v>0</v>
      </c>
      <c r="AI829">
        <f>AVERAGE('WetLitterbags placem_collection'!S170,'WetLitterbags placem_collection'!U170)</f>
        <v>11.25</v>
      </c>
      <c r="AJ829">
        <f>AVERAGE('WetLitterbags placem_collection'!R170,'WetLitterbags placem_collection'!T170)</f>
        <v>33.299999999999997</v>
      </c>
      <c r="AK829">
        <f>INDEX(Coordinates!$B$2:$B$197,MATCH(H829,Coordinates!$J$2:$J$197,0))</f>
        <v>-2.2729129719999999</v>
      </c>
      <c r="AL829">
        <f>INDEX(Coordinates!$C$2:$C$197,MATCH(H829,Coordinates!$J$2:$J$197,0))</f>
        <v>34.023350039999997</v>
      </c>
      <c r="AM829" t="str">
        <f>IF(ISNUMBER(SEARCH("C", 'WetLitterbags placem_collection'!$Y170)),"YES","NO")</f>
        <v>NO</v>
      </c>
      <c r="AN829" t="str">
        <f>IF(ISNUMBER(SEARCH("H", 'WetLitterbags placem_collection'!$Y170)),"YES","NO")</f>
        <v>NO</v>
      </c>
      <c r="AO829" t="str">
        <f>IF(ISNUMBER(SEARCH("R", 'WetLitterbags placem_collection'!$Y170)),"YES","NO")</f>
        <v>NO</v>
      </c>
    </row>
    <row r="830" spans="1:41" ht="15" customHeight="1">
      <c r="A830" s="255" t="s">
        <v>2454</v>
      </c>
      <c r="B830" s="260">
        <f>'Dry_Litterbag Placem_Collection'!A171</f>
        <v>169</v>
      </c>
      <c r="C830" s="260" t="str">
        <f>'Dry_Litterbag Placem_Collection'!B171</f>
        <v>Handajega</v>
      </c>
      <c r="D830" s="260" t="s">
        <v>2454</v>
      </c>
      <c r="E830" s="260" t="s">
        <v>2645</v>
      </c>
      <c r="F830" s="260">
        <v>2</v>
      </c>
      <c r="G830" s="260" t="s">
        <v>3827</v>
      </c>
      <c r="H830" s="261" t="str">
        <f>'Dry_Litterbag Placem_Collection'!C171</f>
        <v>Wet_W2_T1</v>
      </c>
      <c r="I830" s="270" t="s">
        <v>3630</v>
      </c>
      <c r="J830" s="271" t="s">
        <v>298</v>
      </c>
      <c r="K830" s="221" t="str">
        <f>'WetLitterbags placem_collection'!Q171</f>
        <v>R403</v>
      </c>
      <c r="L830" s="223">
        <f>IFERROR(INDEX('Green_rooibos initial weight'!$C$5:$C$2000,MATCH(K830, 'Green_rooibos initial weight'!$A$5:$A$2000,0)),"")</f>
        <v>2.2679999999999998</v>
      </c>
      <c r="M830" s="223">
        <f>IFERROR(L830-(TBIcalc!$H$9+TBIcalc!$H$10),"")</f>
        <v>2.0181999999999998</v>
      </c>
      <c r="N830" s="385">
        <f>AVERAGE(Ashed_controlls!$K$2:$K$11)</f>
        <v>5.5147656768714146</v>
      </c>
      <c r="O830" s="223">
        <f t="shared" si="61"/>
        <v>1.9069009991093808</v>
      </c>
      <c r="P830" s="223">
        <f>IFERROR(INDEX('Both teabags AfterWet'!$C$3:$C$840,MATCH(K830,'Both teabags AfterWet'!$A$3:$A$840,0)),"")</f>
        <v>1.736</v>
      </c>
      <c r="Q830" s="223">
        <f>IFERROR(IF(P830&gt;0,P830-(TBIcalc!$H$9),""),"")</f>
        <v>1.5853999999999999</v>
      </c>
      <c r="R830" s="223">
        <f>IFERROR(INDEX('Ashed teabags wet'!$K$2:$K$2000,MATCH(K830,'Ashed teabags wet'!$A$2:$A$2000,0)),"")</f>
        <v>3.6768263183359386</v>
      </c>
      <c r="S830" s="223">
        <f t="shared" si="62"/>
        <v>1.527107595549102</v>
      </c>
      <c r="T830" s="224">
        <f>'WetLitterbags placem_collection'!E171</f>
        <v>42763</v>
      </c>
      <c r="U830" s="224">
        <f>IF('WetLitterbags placem_collection'!G171="","",'WetLitterbags placem_collection'!G171)</f>
        <v>42814</v>
      </c>
      <c r="V830" s="225">
        <f t="shared" si="60"/>
        <v>51</v>
      </c>
      <c r="W830" s="223">
        <f t="shared" si="63"/>
        <v>0.43279999999999985</v>
      </c>
      <c r="X830" s="223">
        <f t="shared" si="64"/>
        <v>0.3797934035602788</v>
      </c>
      <c r="Y830">
        <f>IFERROR(INDEX(Rainfall_Wet!$O$2:$O$217,MATCH(B830, Rainfall_Wet!$A$2:$A$217,0)),"")</f>
        <v>181.383442621</v>
      </c>
      <c r="Z830" s="228">
        <v>23.96</v>
      </c>
      <c r="AA830" s="228">
        <v>4.9199999999999982</v>
      </c>
      <c r="AB830" s="228">
        <v>71.12</v>
      </c>
      <c r="AC830" s="229" t="s">
        <v>2654</v>
      </c>
      <c r="AD830" s="228">
        <v>3.30913750616067</v>
      </c>
      <c r="AE830">
        <f>IF('WetLitterbags placem_collection'!AB171="","",'WetLitterbags placem_collection'!AB171)</f>
        <v>8.1999999999999993</v>
      </c>
      <c r="AF830">
        <f>IF('WetLitterbags placem_collection'!Z171="","",'WetLitterbags placem_collection'!Z171)</f>
        <v>11.4</v>
      </c>
      <c r="AG830" s="243" t="str">
        <f>IF('WetLitterbags placem_collection'!AA171="","",'WetLitterbags placem_collection'!AA171)</f>
        <v>O</v>
      </c>
      <c r="AH830">
        <f>IF('WetLitterbags placem_collection'!AC171="","",'WetLitterbags placem_collection'!AC171)</f>
        <v>1</v>
      </c>
      <c r="AI830">
        <f>AVERAGE('WetLitterbags placem_collection'!S171,'WetLitterbags placem_collection'!U171)</f>
        <v>9.65</v>
      </c>
      <c r="AJ830">
        <f>AVERAGE('WetLitterbags placem_collection'!R171,'WetLitterbags placem_collection'!T171)</f>
        <v>36.200000000000003</v>
      </c>
      <c r="AK830">
        <f>INDEX(Coordinates!$B$2:$B$197,MATCH(H830,Coordinates!$J$2:$J$197,0))</f>
        <v>-2.2784290180000002</v>
      </c>
      <c r="AL830">
        <f>INDEX(Coordinates!$C$2:$C$197,MATCH(H830,Coordinates!$J$2:$J$197,0))</f>
        <v>34.024240030000001</v>
      </c>
      <c r="AM830" t="str">
        <f>IF(ISNUMBER(SEARCH("C", 'WetLitterbags placem_collection'!$Y171)),"YES","NO")</f>
        <v>NO</v>
      </c>
      <c r="AN830" t="str">
        <f>IF(ISNUMBER(SEARCH("H", 'WetLitterbags placem_collection'!$Y171)),"YES","NO")</f>
        <v>NO</v>
      </c>
      <c r="AO830" t="str">
        <f>IF(ISNUMBER(SEARCH("R", 'WetLitterbags placem_collection'!$Y171)),"YES","NO")</f>
        <v>NO</v>
      </c>
    </row>
    <row r="831" spans="1:41" ht="15" customHeight="1">
      <c r="A831" s="255" t="s">
        <v>2454</v>
      </c>
      <c r="B831" s="260">
        <f>'Dry_Litterbag Placem_Collection'!A172</f>
        <v>170</v>
      </c>
      <c r="C831" s="260" t="str">
        <f>'Dry_Litterbag Placem_Collection'!B172</f>
        <v>Handajega</v>
      </c>
      <c r="D831" s="260" t="s">
        <v>2454</v>
      </c>
      <c r="E831" s="260" t="s">
        <v>2645</v>
      </c>
      <c r="F831" s="260">
        <v>2</v>
      </c>
      <c r="G831" s="260" t="s">
        <v>3827</v>
      </c>
      <c r="H831" s="261" t="str">
        <f>'Dry_Litterbag Placem_Collection'!C172</f>
        <v>Wet_W2_T2</v>
      </c>
      <c r="I831" s="270" t="s">
        <v>3630</v>
      </c>
      <c r="J831" s="271" t="s">
        <v>298</v>
      </c>
      <c r="K831" s="221" t="str">
        <f>'WetLitterbags placem_collection'!Q172</f>
        <v>R583</v>
      </c>
      <c r="L831" s="223">
        <f>IFERROR(INDEX('Green_rooibos initial weight'!$C$5:$C$2000,MATCH(K831, 'Green_rooibos initial weight'!$A$5:$A$2000,0)),"")</f>
        <v>2.2549999999999999</v>
      </c>
      <c r="M831" s="223">
        <f>IFERROR(L831-(TBIcalc!$H$9+TBIcalc!$H$10),"")</f>
        <v>2.0051999999999999</v>
      </c>
      <c r="N831" s="385">
        <f>AVERAGE(Ashed_controlls!$K$2:$K$11)</f>
        <v>5.5147656768714146</v>
      </c>
      <c r="O831" s="223">
        <f t="shared" si="61"/>
        <v>1.8946179186473744</v>
      </c>
      <c r="P831" s="223">
        <f>IFERROR(INDEX('Both teabags AfterWet'!$C$3:$C$840,MATCH(K831,'Both teabags AfterWet'!$A$3:$A$840,0)),"")</f>
        <v>1.71</v>
      </c>
      <c r="Q831" s="223">
        <f>IFERROR(IF(P831&gt;0,P831-(TBIcalc!$H$9),""),"")</f>
        <v>1.5593999999999999</v>
      </c>
      <c r="R831" s="223">
        <f>IFERROR(INDEX('Ashed teabags wet'!$K$2:$K$2000,MATCH(K831,'Ashed teabags wet'!$A$2:$A$2000,0)),"")</f>
        <v>2.3988005996999138</v>
      </c>
      <c r="S831" s="223">
        <f t="shared" si="62"/>
        <v>1.5219931034482794</v>
      </c>
      <c r="T831" s="224">
        <f>'WetLitterbags placem_collection'!E172</f>
        <v>42763</v>
      </c>
      <c r="U831" s="224">
        <f>IF('WetLitterbags placem_collection'!G172="","",'WetLitterbags placem_collection'!G172)</f>
        <v>42814</v>
      </c>
      <c r="V831" s="225">
        <f t="shared" si="60"/>
        <v>51</v>
      </c>
      <c r="W831" s="223">
        <f t="shared" si="63"/>
        <v>0.44579999999999997</v>
      </c>
      <c r="X831" s="223">
        <f t="shared" si="64"/>
        <v>0.37262481519909496</v>
      </c>
      <c r="Y831">
        <f>IFERROR(INDEX(Rainfall_Wet!$O$2:$O$217,MATCH(B831, Rainfall_Wet!$A$2:$A$217,0)),"")</f>
        <v>181.383442621</v>
      </c>
      <c r="Z831" s="228">
        <v>23.96</v>
      </c>
      <c r="AA831" s="228">
        <v>4.9199999999999982</v>
      </c>
      <c r="AB831" s="228">
        <v>71.12</v>
      </c>
      <c r="AC831" s="229" t="s">
        <v>2654</v>
      </c>
      <c r="AD831" s="228">
        <v>4.3091375061606696</v>
      </c>
      <c r="AE831">
        <f>IF('WetLitterbags placem_collection'!AB172="","",'WetLitterbags placem_collection'!AB172)</f>
        <v>7.7</v>
      </c>
      <c r="AF831">
        <f>IF('WetLitterbags placem_collection'!Z172="","",'WetLitterbags placem_collection'!Z172)</f>
        <v>15.8</v>
      </c>
      <c r="AG831" s="243" t="str">
        <f>IF('WetLitterbags placem_collection'!AA172="","",'WetLitterbags placem_collection'!AA172)</f>
        <v>O</v>
      </c>
      <c r="AH831">
        <f>IF('WetLitterbags placem_collection'!AC172="","",'WetLitterbags placem_collection'!AC172)</f>
        <v>1</v>
      </c>
      <c r="AI831">
        <f>AVERAGE('WetLitterbags placem_collection'!S172,'WetLitterbags placem_collection'!U172)</f>
        <v>8.1</v>
      </c>
      <c r="AJ831">
        <f>AVERAGE('WetLitterbags placem_collection'!R172,'WetLitterbags placem_collection'!T172)</f>
        <v>33.599999999999994</v>
      </c>
      <c r="AK831">
        <f>INDEX(Coordinates!$B$2:$B$197,MATCH(H831,Coordinates!$J$2:$J$197,0))</f>
        <v>-2.2784629650000001</v>
      </c>
      <c r="AL831">
        <f>INDEX(Coordinates!$C$2:$C$197,MATCH(H831,Coordinates!$J$2:$J$197,0))</f>
        <v>34.024177999999999</v>
      </c>
      <c r="AM831" t="str">
        <f>IF(ISNUMBER(SEARCH("C", 'WetLitterbags placem_collection'!$Y172)),"YES","NO")</f>
        <v>NO</v>
      </c>
      <c r="AN831" t="str">
        <f>IF(ISNUMBER(SEARCH("H", 'WetLitterbags placem_collection'!$Y172)),"YES","NO")</f>
        <v>NO</v>
      </c>
      <c r="AO831" t="str">
        <f>IF(ISNUMBER(SEARCH("R", 'WetLitterbags placem_collection'!$Y172)),"YES","NO")</f>
        <v>NO</v>
      </c>
    </row>
    <row r="832" spans="1:41" ht="15" customHeight="1">
      <c r="A832" s="255" t="s">
        <v>2454</v>
      </c>
      <c r="B832" s="260">
        <f>'Dry_Litterbag Placem_Collection'!A173</f>
        <v>171</v>
      </c>
      <c r="C832" s="260" t="str">
        <f>'Dry_Litterbag Placem_Collection'!B173</f>
        <v>Handajega</v>
      </c>
      <c r="D832" s="260" t="s">
        <v>2454</v>
      </c>
      <c r="E832" s="260" t="s">
        <v>2645</v>
      </c>
      <c r="F832" s="260">
        <v>2</v>
      </c>
      <c r="G832" s="260" t="s">
        <v>3827</v>
      </c>
      <c r="H832" s="261" t="str">
        <f>'Dry_Litterbag Placem_Collection'!C173</f>
        <v>Wet_W2_T3</v>
      </c>
      <c r="I832" s="270" t="s">
        <v>3630</v>
      </c>
      <c r="J832" s="271" t="s">
        <v>298</v>
      </c>
      <c r="K832" s="221" t="str">
        <f>'WetLitterbags placem_collection'!Q173</f>
        <v>R451</v>
      </c>
      <c r="L832" s="223">
        <f>IFERROR(INDEX('Green_rooibos initial weight'!$C$5:$C$2000,MATCH(K832, 'Green_rooibos initial weight'!$A$5:$A$2000,0)),"")</f>
        <v>2.1970000000000001</v>
      </c>
      <c r="M832" s="223">
        <f>IFERROR(L832-(TBIcalc!$H$9+TBIcalc!$H$10),"")</f>
        <v>1.9472</v>
      </c>
      <c r="N832" s="385">
        <f>AVERAGE(Ashed_controlls!$K$2:$K$11)</f>
        <v>5.5147656768714146</v>
      </c>
      <c r="O832" s="223">
        <f t="shared" si="61"/>
        <v>1.8398164827399599</v>
      </c>
      <c r="P832" s="223">
        <f>IFERROR(INDEX('Both teabags AfterWet'!$C$3:$C$840,MATCH(K832,'Both teabags AfterWet'!$A$3:$A$840,0)),"")</f>
        <v>1.629</v>
      </c>
      <c r="Q832" s="223">
        <f>IFERROR(IF(P832&gt;0,P832-(TBIcalc!$H$9),""),"")</f>
        <v>1.4783999999999999</v>
      </c>
      <c r="R832" s="223">
        <f>IFERROR(INDEX('Ashed teabags wet'!$K$2:$K$2000,MATCH(K832,'Ashed teabags wet'!$A$2:$A$2000,0)),"")</f>
        <v>1.7224409448818911</v>
      </c>
      <c r="S832" s="223">
        <f t="shared" si="62"/>
        <v>1.4529354330708661</v>
      </c>
      <c r="T832" s="224">
        <f>'WetLitterbags placem_collection'!E173</f>
        <v>42763</v>
      </c>
      <c r="U832" s="224">
        <f>IF('WetLitterbags placem_collection'!G173="","",'WetLitterbags placem_collection'!G173)</f>
        <v>42814</v>
      </c>
      <c r="V832" s="225">
        <f t="shared" si="60"/>
        <v>51</v>
      </c>
      <c r="W832" s="223">
        <f t="shared" si="63"/>
        <v>0.46880000000000011</v>
      </c>
      <c r="X832" s="223">
        <f t="shared" si="64"/>
        <v>0.38688104966909376</v>
      </c>
      <c r="Y832">
        <f>IFERROR(INDEX(Rainfall_Wet!$O$2:$O$217,MATCH(B832, Rainfall_Wet!$A$2:$A$217,0)),"")</f>
        <v>181.383442621</v>
      </c>
      <c r="Z832" s="228">
        <v>23.96</v>
      </c>
      <c r="AA832" s="228">
        <v>4.9199999999999982</v>
      </c>
      <c r="AB832" s="228">
        <v>71.12</v>
      </c>
      <c r="AC832" s="229" t="s">
        <v>2654</v>
      </c>
      <c r="AD832" s="228">
        <v>5.3091375061606696</v>
      </c>
      <c r="AE832">
        <f>IF('WetLitterbags placem_collection'!AB173="","",'WetLitterbags placem_collection'!AB173)</f>
        <v>13.4</v>
      </c>
      <c r="AF832">
        <f>IF('WetLitterbags placem_collection'!Z173="","",'WetLitterbags placem_collection'!Z173)</f>
        <v>7.6</v>
      </c>
      <c r="AG832" s="243" t="str">
        <f>IF('WetLitterbags placem_collection'!AA173="","",'WetLitterbags placem_collection'!AA173)</f>
        <v>O</v>
      </c>
      <c r="AH832">
        <f>IF('WetLitterbags placem_collection'!AC173="","",'WetLitterbags placem_collection'!AC173)</f>
        <v>1</v>
      </c>
      <c r="AI832">
        <f>AVERAGE('WetLitterbags placem_collection'!S173,'WetLitterbags placem_collection'!U173)</f>
        <v>10.5</v>
      </c>
      <c r="AJ832">
        <f>AVERAGE('WetLitterbags placem_collection'!R173,'WetLitterbags placem_collection'!T173)</f>
        <v>34.15</v>
      </c>
      <c r="AK832">
        <f>INDEX(Coordinates!$B$2:$B$197,MATCH(H832,Coordinates!$J$2:$J$197,0))</f>
        <v>-2.2785389889999998</v>
      </c>
      <c r="AL832">
        <f>INDEX(Coordinates!$C$2:$C$197,MATCH(H832,Coordinates!$J$2:$J$197,0))</f>
        <v>34.024371039999998</v>
      </c>
      <c r="AM832" t="str">
        <f>IF(ISNUMBER(SEARCH("C", 'WetLitterbags placem_collection'!$Y173)),"YES","NO")</f>
        <v>NO</v>
      </c>
      <c r="AN832" t="str">
        <f>IF(ISNUMBER(SEARCH("H", 'WetLitterbags placem_collection'!$Y173)),"YES","NO")</f>
        <v>NO</v>
      </c>
      <c r="AO832" t="str">
        <f>IF(ISNUMBER(SEARCH("R", 'WetLitterbags placem_collection'!$Y173)),"YES","NO")</f>
        <v>NO</v>
      </c>
    </row>
    <row r="833" spans="1:41" ht="15" customHeight="1">
      <c r="A833" s="255" t="s">
        <v>2454</v>
      </c>
      <c r="B833" s="260">
        <f>'Dry_Litterbag Placem_Collection'!A174</f>
        <v>172</v>
      </c>
      <c r="C833" s="260" t="str">
        <f>'Dry_Litterbag Placem_Collection'!B174</f>
        <v>Handajega</v>
      </c>
      <c r="D833" s="260" t="s">
        <v>2454</v>
      </c>
      <c r="E833" s="260" t="s">
        <v>2645</v>
      </c>
      <c r="F833" s="260">
        <v>2</v>
      </c>
      <c r="G833" s="260" t="s">
        <v>3827</v>
      </c>
      <c r="H833" s="261" t="str">
        <f>'Dry_Litterbag Placem_Collection'!C174</f>
        <v>Wet_W2_T4</v>
      </c>
      <c r="I833" s="270" t="s">
        <v>3630</v>
      </c>
      <c r="J833" s="271" t="s">
        <v>298</v>
      </c>
      <c r="K833" s="221" t="str">
        <f>'WetLitterbags placem_collection'!Q174</f>
        <v>R353</v>
      </c>
      <c r="L833" s="223">
        <f>IFERROR(INDEX('Green_rooibos initial weight'!$C$5:$C$2000,MATCH(K833, 'Green_rooibos initial weight'!$A$5:$A$2000,0)),"")</f>
        <v>2.2909999999999999</v>
      </c>
      <c r="M833" s="223">
        <f>IFERROR(L833-(TBIcalc!$H$9+TBIcalc!$H$10),"")</f>
        <v>2.0411999999999999</v>
      </c>
      <c r="N833" s="385">
        <f>AVERAGE(Ashed_controlls!$K$2:$K$11)</f>
        <v>5.5147656768714146</v>
      </c>
      <c r="O833" s="223">
        <f t="shared" si="61"/>
        <v>1.9286326030037007</v>
      </c>
      <c r="P833" s="223">
        <f>IFERROR(INDEX('Both teabags AfterWet'!$C$3:$C$840,MATCH(K833,'Both teabags AfterWet'!$A$3:$A$840,0)),"")</f>
        <v>1.7694000000000001</v>
      </c>
      <c r="Q833" s="223">
        <f>IFERROR(IF(P833&gt;0,P833-(TBIcalc!$H$9),""),"")</f>
        <v>1.6188</v>
      </c>
      <c r="R833" s="223">
        <f>IFERROR(INDEX('Ashed teabags wet'!$K$2:$K$2000,MATCH(K833,'Ashed teabags wet'!$A$2:$A$2000,0)),"")</f>
        <v>2.1371769383700703</v>
      </c>
      <c r="S833" s="223">
        <f t="shared" si="62"/>
        <v>1.5842033797216653</v>
      </c>
      <c r="T833" s="224">
        <f>'WetLitterbags placem_collection'!E174</f>
        <v>42763</v>
      </c>
      <c r="U833" s="224">
        <f>IF('WetLitterbags placem_collection'!G174="","",'WetLitterbags placem_collection'!G174)</f>
        <v>42814</v>
      </c>
      <c r="V833" s="225">
        <f t="shared" si="60"/>
        <v>51</v>
      </c>
      <c r="W833" s="223">
        <f t="shared" si="63"/>
        <v>0.42239999999999989</v>
      </c>
      <c r="X833" s="223">
        <f t="shared" si="64"/>
        <v>0.3444292232820354</v>
      </c>
      <c r="Y833">
        <f>IFERROR(INDEX(Rainfall_Wet!$O$2:$O$217,MATCH(B833, Rainfall_Wet!$A$2:$A$217,0)),"")</f>
        <v>181.383442621</v>
      </c>
      <c r="Z833" s="228">
        <v>23.96</v>
      </c>
      <c r="AA833" s="228">
        <v>4.9199999999999982</v>
      </c>
      <c r="AB833" s="228">
        <v>71.12</v>
      </c>
      <c r="AC833" s="229" t="s">
        <v>2654</v>
      </c>
      <c r="AD833" s="228">
        <v>6.3091375061606696</v>
      </c>
      <c r="AE833">
        <f>IF('WetLitterbags placem_collection'!AB174="","",'WetLitterbags placem_collection'!AB174)</f>
        <v>3.3</v>
      </c>
      <c r="AF833">
        <f>IF('WetLitterbags placem_collection'!Z174="","",'WetLitterbags placem_collection'!Z174)</f>
        <v>28.4</v>
      </c>
      <c r="AG833" s="243" t="str">
        <f>IF('WetLitterbags placem_collection'!AA174="","",'WetLitterbags placem_collection'!AA174)</f>
        <v>G</v>
      </c>
      <c r="AH833">
        <f>IF('WetLitterbags placem_collection'!AC174="","",'WetLitterbags placem_collection'!AC174)</f>
        <v>1</v>
      </c>
      <c r="AI833">
        <f>AVERAGE('WetLitterbags placem_collection'!S174,'WetLitterbags placem_collection'!U174)</f>
        <v>9.6499999999999986</v>
      </c>
      <c r="AJ833">
        <f>AVERAGE('WetLitterbags placem_collection'!R174,'WetLitterbags placem_collection'!T174)</f>
        <v>35.1</v>
      </c>
      <c r="AK833">
        <f>INDEX(Coordinates!$B$2:$B$197,MATCH(H833,Coordinates!$J$2:$J$197,0))</f>
        <v>-2.2781410160000002</v>
      </c>
      <c r="AL833">
        <f>INDEX(Coordinates!$C$2:$C$197,MATCH(H833,Coordinates!$J$2:$J$197,0))</f>
        <v>34.024136009999999</v>
      </c>
      <c r="AM833" t="str">
        <f>IF(ISNUMBER(SEARCH("C", 'WetLitterbags placem_collection'!$Y174)),"YES","NO")</f>
        <v>NO</v>
      </c>
      <c r="AN833" t="str">
        <f>IF(ISNUMBER(SEARCH("H", 'WetLitterbags placem_collection'!$Y174)),"YES","NO")</f>
        <v>NO</v>
      </c>
      <c r="AO833" t="str">
        <f>IF(ISNUMBER(SEARCH("R", 'WetLitterbags placem_collection'!$Y174)),"YES","NO")</f>
        <v>NO</v>
      </c>
    </row>
    <row r="834" spans="1:41" ht="15" customHeight="1">
      <c r="A834" s="255" t="s">
        <v>2454</v>
      </c>
      <c r="B834" s="260">
        <f>'Dry_Litterbag Placem_Collection'!A175</f>
        <v>173</v>
      </c>
      <c r="C834" s="260" t="str">
        <f>'Dry_Litterbag Placem_Collection'!B175</f>
        <v>Handajega</v>
      </c>
      <c r="D834" s="260" t="s">
        <v>2454</v>
      </c>
      <c r="E834" s="260" t="s">
        <v>2645</v>
      </c>
      <c r="F834" s="260">
        <v>2</v>
      </c>
      <c r="G834" s="260" t="s">
        <v>3827</v>
      </c>
      <c r="H834" s="261" t="str">
        <f>'Dry_Litterbag Placem_Collection'!C175</f>
        <v>Wet_W2_T5</v>
      </c>
      <c r="I834" s="270" t="s">
        <v>3630</v>
      </c>
      <c r="J834" s="271" t="s">
        <v>298</v>
      </c>
      <c r="K834" s="221" t="str">
        <f>'WetLitterbags placem_collection'!Q175</f>
        <v>R105</v>
      </c>
      <c r="L834" s="223">
        <f>IFERROR(INDEX('Green_rooibos initial weight'!$C$5:$C$2000,MATCH(K834, 'Green_rooibos initial weight'!$A$5:$A$2000,0)),"")</f>
        <v>2.254</v>
      </c>
      <c r="M834" s="223">
        <f>IFERROR(L834-(TBIcalc!$H$9+TBIcalc!$H$10),"")</f>
        <v>2.0042</v>
      </c>
      <c r="N834" s="385">
        <f>AVERAGE(Ashed_controlls!$K$2:$K$11)</f>
        <v>5.5147656768714146</v>
      </c>
      <c r="O834" s="223">
        <f t="shared" si="61"/>
        <v>1.893673066304143</v>
      </c>
      <c r="P834" s="223">
        <f>IFERROR(INDEX('Both teabags AfterWet'!$C$3:$C$840,MATCH(K834,'Both teabags AfterWet'!$A$3:$A$840,0)),"")</f>
        <v>1.6919999999999999</v>
      </c>
      <c r="Q834" s="223">
        <f>IFERROR(IF(P834&gt;0,P834-(TBIcalc!$H$9),""),"")</f>
        <v>1.5413999999999999</v>
      </c>
      <c r="R834" s="223">
        <f>IFERROR(INDEX('Ashed teabags wet'!$K$2:$K$2000,MATCH(K834,'Ashed teabags wet'!$A$2:$A$2000,0)),"")</f>
        <v>2.5628626692459697</v>
      </c>
      <c r="S834" s="223">
        <f t="shared" si="62"/>
        <v>1.5018960348162425</v>
      </c>
      <c r="T834" s="224">
        <f>'WetLitterbags placem_collection'!E175</f>
        <v>42763</v>
      </c>
      <c r="U834" s="224">
        <f>IF('WetLitterbags placem_collection'!G175="","",'WetLitterbags placem_collection'!G175)</f>
        <v>42814</v>
      </c>
      <c r="V834" s="225">
        <f t="shared" ref="V834:V881" si="65">IFERROR(U834-T834,"")</f>
        <v>51</v>
      </c>
      <c r="W834" s="223">
        <f t="shared" si="63"/>
        <v>0.4628000000000001</v>
      </c>
      <c r="X834" s="223">
        <f t="shared" si="64"/>
        <v>0.39177703148790055</v>
      </c>
      <c r="Y834">
        <f>IFERROR(INDEX(Rainfall_Wet!$O$2:$O$217,MATCH(B834, Rainfall_Wet!$A$2:$A$217,0)),"")</f>
        <v>181.383442621</v>
      </c>
      <c r="Z834" s="228">
        <v>23.96</v>
      </c>
      <c r="AA834" s="228">
        <v>4.9199999999999982</v>
      </c>
      <c r="AB834" s="228">
        <v>71.12</v>
      </c>
      <c r="AC834" s="229" t="s">
        <v>2654</v>
      </c>
      <c r="AD834" s="228">
        <v>7.3091375061606696</v>
      </c>
      <c r="AE834">
        <f>IF('WetLitterbags placem_collection'!AB175="","",'WetLitterbags placem_collection'!AB175)</f>
        <v>15.4</v>
      </c>
      <c r="AF834">
        <f>IF('WetLitterbags placem_collection'!Z175="","",'WetLitterbags placem_collection'!Z175)</f>
        <v>12.4</v>
      </c>
      <c r="AG834" s="243" t="str">
        <f>IF('WetLitterbags placem_collection'!AA175="","",'WetLitterbags placem_collection'!AA175)</f>
        <v>O</v>
      </c>
      <c r="AH834">
        <f>IF('WetLitterbags placem_collection'!AC175="","",'WetLitterbags placem_collection'!AC175)</f>
        <v>0</v>
      </c>
      <c r="AI834">
        <f>AVERAGE('WetLitterbags placem_collection'!S175,'WetLitterbags placem_collection'!U175)</f>
        <v>10.450000000000001</v>
      </c>
      <c r="AJ834">
        <f>AVERAGE('WetLitterbags placem_collection'!R175,'WetLitterbags placem_collection'!T175)</f>
        <v>36.349999999999994</v>
      </c>
      <c r="AK834">
        <f>INDEX(Coordinates!$B$2:$B$197,MATCH(H834,Coordinates!$J$2:$J$197,0))</f>
        <v>-2.27856799</v>
      </c>
      <c r="AL834">
        <f>INDEX(Coordinates!$C$2:$C$197,MATCH(H834,Coordinates!$J$2:$J$197,0))</f>
        <v>34.023969970000003</v>
      </c>
      <c r="AM834" t="str">
        <f>IF(ISNUMBER(SEARCH("C", 'WetLitterbags placem_collection'!$Y175)),"YES","NO")</f>
        <v>NO</v>
      </c>
      <c r="AN834" t="str">
        <f>IF(ISNUMBER(SEARCH("H", 'WetLitterbags placem_collection'!$Y175)),"YES","NO")</f>
        <v>NO</v>
      </c>
      <c r="AO834" t="str">
        <f>IF(ISNUMBER(SEARCH("R", 'WetLitterbags placem_collection'!$Y175)),"YES","NO")</f>
        <v>NO</v>
      </c>
    </row>
    <row r="835" spans="1:41" ht="15" customHeight="1">
      <c r="A835" s="255" t="s">
        <v>2454</v>
      </c>
      <c r="B835" s="260">
        <f>'Dry_Litterbag Placem_Collection'!A176</f>
        <v>174</v>
      </c>
      <c r="C835" s="260" t="str">
        <f>'Dry_Litterbag Placem_Collection'!B176</f>
        <v>Handajega</v>
      </c>
      <c r="D835" s="260" t="s">
        <v>2454</v>
      </c>
      <c r="E835" s="260" t="s">
        <v>2645</v>
      </c>
      <c r="F835" s="260">
        <v>2</v>
      </c>
      <c r="G835" s="260" t="s">
        <v>3827</v>
      </c>
      <c r="H835" s="261" t="str">
        <f>'Dry_Litterbag Placem_Collection'!C176</f>
        <v>Wet_W2_T6</v>
      </c>
      <c r="I835" s="270" t="s">
        <v>3630</v>
      </c>
      <c r="J835" s="271" t="s">
        <v>298</v>
      </c>
      <c r="K835" s="221" t="str">
        <f>'WetLitterbags placem_collection'!Q176</f>
        <v>R384</v>
      </c>
      <c r="L835" s="223">
        <f>IFERROR(INDEX('Green_rooibos initial weight'!$C$5:$C$2000,MATCH(K835, 'Green_rooibos initial weight'!$A$5:$A$2000,0)),"")</f>
        <v>2.2240000000000002</v>
      </c>
      <c r="M835" s="223">
        <f>IFERROR(L835-(TBIcalc!$H$9+TBIcalc!$H$10),"")</f>
        <v>1.9742000000000002</v>
      </c>
      <c r="N835" s="385">
        <f>AVERAGE(Ashed_controlls!$K$2:$K$11)</f>
        <v>5.5147656768714146</v>
      </c>
      <c r="O835" s="223">
        <f t="shared" ref="O835:O881" si="66">IFERROR(M835-(N835/100)*M835,"")</f>
        <v>1.8653274960072048</v>
      </c>
      <c r="P835" s="223">
        <f>IFERROR(INDEX('Both teabags AfterWet'!$C$3:$C$840,MATCH(K835,'Both teabags AfterWet'!$A$3:$A$840,0)),"")</f>
        <v>1.772</v>
      </c>
      <c r="Q835" s="223">
        <f>IFERROR(IF(P835&gt;0,P835-(TBIcalc!$H$9),""),"")</f>
        <v>1.6214</v>
      </c>
      <c r="R835" s="223">
        <f>IFERROR(INDEX('Ashed teabags wet'!$K$2:$K$2000,MATCH(K835,'Ashed teabags wet'!$A$2:$A$2000,0)),"")</f>
        <v>2.1032504780120633</v>
      </c>
      <c r="S835" s="223">
        <f t="shared" ref="S835:S881" si="67">IFERROR(Q835-(R835/100)*Q835,"")</f>
        <v>1.5872978967495124</v>
      </c>
      <c r="T835" s="224">
        <f>'WetLitterbags placem_collection'!E176</f>
        <v>42763</v>
      </c>
      <c r="U835" s="224">
        <f>IF('WetLitterbags placem_collection'!G176="","",'WetLitterbags placem_collection'!G176)</f>
        <v>42814</v>
      </c>
      <c r="V835" s="225">
        <f t="shared" si="65"/>
        <v>51</v>
      </c>
      <c r="W835" s="223">
        <f t="shared" ref="W835:W881" si="68">IFERROR(M835-Q835,"")</f>
        <v>0.35280000000000022</v>
      </c>
      <c r="X835" s="223">
        <f t="shared" ref="X835:X881" si="69">IFERROR(O835-S835,"")</f>
        <v>0.27802959925769244</v>
      </c>
      <c r="Y835">
        <f>IFERROR(INDEX(Rainfall_Wet!$O$2:$O$217,MATCH(B835, Rainfall_Wet!$A$2:$A$217,0)),"")</f>
        <v>181.383442621</v>
      </c>
      <c r="Z835" s="228">
        <v>23.96</v>
      </c>
      <c r="AA835" s="228">
        <v>4.9199999999999982</v>
      </c>
      <c r="AB835" s="228">
        <v>71.12</v>
      </c>
      <c r="AC835" s="229" t="s">
        <v>2654</v>
      </c>
      <c r="AD835" s="228">
        <v>8.3091375061606705</v>
      </c>
      <c r="AE835">
        <f>IF('WetLitterbags placem_collection'!AB176="","",'WetLitterbags placem_collection'!AB176)</f>
        <v>7.4</v>
      </c>
      <c r="AF835">
        <f>IF('WetLitterbags placem_collection'!Z176="","",'WetLitterbags placem_collection'!Z176)</f>
        <v>7.4</v>
      </c>
      <c r="AG835" s="243" t="str">
        <f>IF('WetLitterbags placem_collection'!AA176="","",'WetLitterbags placem_collection'!AA176)</f>
        <v>O</v>
      </c>
      <c r="AH835">
        <f>IF('WetLitterbags placem_collection'!AC176="","",'WetLitterbags placem_collection'!AC176)</f>
        <v>0</v>
      </c>
      <c r="AI835">
        <f>AVERAGE('WetLitterbags placem_collection'!S176,'WetLitterbags placem_collection'!U176)</f>
        <v>17.75</v>
      </c>
      <c r="AJ835">
        <f>AVERAGE('WetLitterbags placem_collection'!R176,'WetLitterbags placem_collection'!T176)</f>
        <v>34.85</v>
      </c>
      <c r="AK835">
        <f>INDEX(Coordinates!$B$2:$B$197,MATCH(H835,Coordinates!$J$2:$J$197,0))</f>
        <v>-2.2786809780000001</v>
      </c>
      <c r="AL835">
        <f>INDEX(Coordinates!$C$2:$C$197,MATCH(H835,Coordinates!$J$2:$J$197,0))</f>
        <v>34.02434899</v>
      </c>
      <c r="AM835" t="str">
        <f>IF(ISNUMBER(SEARCH("C", 'WetLitterbags placem_collection'!$Y176)),"YES","NO")</f>
        <v>NO</v>
      </c>
      <c r="AN835" t="str">
        <f>IF(ISNUMBER(SEARCH("H", 'WetLitterbags placem_collection'!$Y176)),"YES","NO")</f>
        <v>NO</v>
      </c>
      <c r="AO835" t="str">
        <f>IF(ISNUMBER(SEARCH("R", 'WetLitterbags placem_collection'!$Y176)),"YES","NO")</f>
        <v>NO</v>
      </c>
    </row>
    <row r="836" spans="1:41" ht="15" customHeight="1">
      <c r="A836" s="255" t="s">
        <v>2454</v>
      </c>
      <c r="B836" s="260">
        <f>'Dry_Litterbag Placem_Collection'!A177</f>
        <v>175</v>
      </c>
      <c r="C836" s="260" t="str">
        <f>'Dry_Litterbag Placem_Collection'!B177</f>
        <v>Handajega</v>
      </c>
      <c r="D836" s="260" t="s">
        <v>2454</v>
      </c>
      <c r="E836" s="260" t="s">
        <v>2645</v>
      </c>
      <c r="F836" s="260">
        <v>2</v>
      </c>
      <c r="G836" s="260" t="s">
        <v>3827</v>
      </c>
      <c r="H836" s="261" t="str">
        <f>'Dry_Litterbag Placem_Collection'!C177</f>
        <v>Wet_W2_T7</v>
      </c>
      <c r="I836" s="270" t="s">
        <v>3630</v>
      </c>
      <c r="J836" s="271" t="s">
        <v>298</v>
      </c>
      <c r="K836" s="221" t="str">
        <f>'WetLitterbags placem_collection'!Q177</f>
        <v>R481</v>
      </c>
      <c r="L836" s="223">
        <f>IFERROR(INDEX('Green_rooibos initial weight'!$C$5:$C$2000,MATCH(K836, 'Green_rooibos initial weight'!$A$5:$A$2000,0)),"")</f>
        <v>2.1589999999999998</v>
      </c>
      <c r="M836" s="223">
        <f>IFERROR(L836-(TBIcalc!$H$9+TBIcalc!$H$10),"")</f>
        <v>1.9091999999999998</v>
      </c>
      <c r="N836" s="385">
        <f>AVERAGE(Ashed_controlls!$K$2:$K$11)</f>
        <v>5.5147656768714146</v>
      </c>
      <c r="O836" s="223">
        <f t="shared" si="66"/>
        <v>1.8039120936971709</v>
      </c>
      <c r="P836" s="223">
        <f>IFERROR(INDEX('Both teabags AfterWet'!$C$3:$C$840,MATCH(K836,'Both teabags AfterWet'!$A$3:$A$840,0)),"")</f>
        <v>1.681</v>
      </c>
      <c r="Q836" s="223">
        <f>IFERROR(IF(P836&gt;0,P836-(TBIcalc!$H$9),""),"")</f>
        <v>1.5304</v>
      </c>
      <c r="R836" s="223">
        <f>IFERROR(INDEX('Ashed teabags wet'!$K$2:$K$2000,MATCH(K836,'Ashed teabags wet'!$A$2:$A$2000,0)),"")</f>
        <v>22.390243902438794</v>
      </c>
      <c r="S836" s="223">
        <f t="shared" si="67"/>
        <v>1.1877397073170766</v>
      </c>
      <c r="T836" s="224">
        <f>'WetLitterbags placem_collection'!E177</f>
        <v>42763</v>
      </c>
      <c r="U836" s="224">
        <f>IF('WetLitterbags placem_collection'!G177="","",'WetLitterbags placem_collection'!G177)</f>
        <v>42814</v>
      </c>
      <c r="V836" s="225">
        <f t="shared" si="65"/>
        <v>51</v>
      </c>
      <c r="W836" s="223">
        <f t="shared" si="68"/>
        <v>0.3787999999999998</v>
      </c>
      <c r="X836" s="223">
        <f t="shared" si="69"/>
        <v>0.61617238638009431</v>
      </c>
      <c r="Y836">
        <f>IFERROR(INDEX(Rainfall_Wet!$O$2:$O$217,MATCH(B836, Rainfall_Wet!$A$2:$A$217,0)),"")</f>
        <v>181.383442621</v>
      </c>
      <c r="Z836" s="228">
        <v>23.96</v>
      </c>
      <c r="AA836" s="228">
        <v>4.9199999999999982</v>
      </c>
      <c r="AB836" s="228">
        <v>71.12</v>
      </c>
      <c r="AC836" s="229" t="s">
        <v>2654</v>
      </c>
      <c r="AD836" s="228">
        <v>9.3091375061606705</v>
      </c>
      <c r="AE836">
        <f>IF('WetLitterbags placem_collection'!AB177="","",'WetLitterbags placem_collection'!AB177)</f>
        <v>15.4</v>
      </c>
      <c r="AF836">
        <f>IF('WetLitterbags placem_collection'!Z177="","",'WetLitterbags placem_collection'!Z177)</f>
        <v>9.8000000000000007</v>
      </c>
      <c r="AG836" s="243" t="str">
        <f>IF('WetLitterbags placem_collection'!AA177="","",'WetLitterbags placem_collection'!AA177)</f>
        <v>O</v>
      </c>
      <c r="AH836">
        <f>IF('WetLitterbags placem_collection'!AC177="","",'WetLitterbags placem_collection'!AC177)</f>
        <v>1</v>
      </c>
      <c r="AI836">
        <f>AVERAGE('WetLitterbags placem_collection'!S177,'WetLitterbags placem_collection'!U177)</f>
        <v>11.55</v>
      </c>
      <c r="AJ836">
        <f>AVERAGE('WetLitterbags placem_collection'!R177,'WetLitterbags placem_collection'!T177)</f>
        <v>36.25</v>
      </c>
      <c r="AK836">
        <f>INDEX(Coordinates!$B$2:$B$197,MATCH(H836,Coordinates!$J$2:$J$197,0))</f>
        <v>-2.2784219779999999</v>
      </c>
      <c r="AL836">
        <f>INDEX(Coordinates!$C$2:$C$197,MATCH(H836,Coordinates!$J$2:$J$197,0))</f>
        <v>34.024374979999997</v>
      </c>
      <c r="AM836" t="str">
        <f>IF(ISNUMBER(SEARCH("C", 'WetLitterbags placem_collection'!$Y177)),"YES","NO")</f>
        <v>NO</v>
      </c>
      <c r="AN836" t="str">
        <f>IF(ISNUMBER(SEARCH("H", 'WetLitterbags placem_collection'!$Y177)),"YES","NO")</f>
        <v>NO</v>
      </c>
      <c r="AO836" t="str">
        <f>IF(ISNUMBER(SEARCH("R", 'WetLitterbags placem_collection'!$Y177)),"YES","NO")</f>
        <v>NO</v>
      </c>
    </row>
    <row r="837" spans="1:41" ht="15" customHeight="1">
      <c r="A837" s="255" t="s">
        <v>2454</v>
      </c>
      <c r="B837" s="260">
        <f>'Dry_Litterbag Placem_Collection'!A178</f>
        <v>176</v>
      </c>
      <c r="C837" s="260" t="str">
        <f>'Dry_Litterbag Placem_Collection'!B178</f>
        <v>Handajega</v>
      </c>
      <c r="D837" s="260" t="s">
        <v>2454</v>
      </c>
      <c r="E837" s="260" t="s">
        <v>2645</v>
      </c>
      <c r="F837" s="260">
        <v>2</v>
      </c>
      <c r="G837" s="260" t="s">
        <v>3827</v>
      </c>
      <c r="H837" s="261" t="str">
        <f>'Dry_Litterbag Placem_Collection'!C178</f>
        <v>Wet_W2_T8</v>
      </c>
      <c r="I837" s="270" t="s">
        <v>3630</v>
      </c>
      <c r="J837" s="271" t="s">
        <v>298</v>
      </c>
      <c r="K837" s="221" t="str">
        <f>'WetLitterbags placem_collection'!Q178</f>
        <v>R490</v>
      </c>
      <c r="L837" s="223">
        <f>IFERROR(INDEX('Green_rooibos initial weight'!$C$5:$C$2000,MATCH(K837, 'Green_rooibos initial weight'!$A$5:$A$2000,0)),"")</f>
        <v>2.1890000000000001</v>
      </c>
      <c r="M837" s="223">
        <f>IFERROR(L837-(TBIcalc!$H$9+TBIcalc!$H$10),"")</f>
        <v>1.9392</v>
      </c>
      <c r="N837" s="385">
        <f>AVERAGE(Ashed_controlls!$K$2:$K$11)</f>
        <v>5.5147656768714146</v>
      </c>
      <c r="O837" s="223">
        <f t="shared" si="66"/>
        <v>1.8322576639941095</v>
      </c>
      <c r="P837" s="223">
        <f>IFERROR(INDEX('Both teabags AfterWet'!$C$3:$C$840,MATCH(K837,'Both teabags AfterWet'!$A$3:$A$840,0)),"")</f>
        <v>1.7070000000000001</v>
      </c>
      <c r="Q837" s="223">
        <f>IFERROR(IF(P837&gt;0,P837-(TBIcalc!$H$9),""),"")</f>
        <v>1.5564</v>
      </c>
      <c r="R837" s="223">
        <f>IFERROR(INDEX('Ashed teabags wet'!$K$2:$K$2000,MATCH(K837,'Ashed teabags wet'!$A$2:$A$2000,0)),"")</f>
        <v>2.6433915211971035</v>
      </c>
      <c r="S837" s="223">
        <f t="shared" si="67"/>
        <v>1.5152582543640882</v>
      </c>
      <c r="T837" s="224">
        <f>'WetLitterbags placem_collection'!E178</f>
        <v>42763</v>
      </c>
      <c r="U837" s="224">
        <f>IF('WetLitterbags placem_collection'!G178="","",'WetLitterbags placem_collection'!G178)</f>
        <v>42814</v>
      </c>
      <c r="V837" s="225">
        <f t="shared" si="65"/>
        <v>51</v>
      </c>
      <c r="W837" s="223">
        <f t="shared" si="68"/>
        <v>0.38280000000000003</v>
      </c>
      <c r="X837" s="223">
        <f t="shared" si="69"/>
        <v>0.31699940963002127</v>
      </c>
      <c r="Y837">
        <f>IFERROR(INDEX(Rainfall_Wet!$O$2:$O$217,MATCH(B837, Rainfall_Wet!$A$2:$A$217,0)),"")</f>
        <v>181.383442621</v>
      </c>
      <c r="Z837" s="228">
        <v>23.96</v>
      </c>
      <c r="AA837" s="228">
        <v>4.9199999999999982</v>
      </c>
      <c r="AB837" s="228">
        <v>71.12</v>
      </c>
      <c r="AC837" s="229" t="s">
        <v>2654</v>
      </c>
      <c r="AD837" s="228">
        <v>10.309137506160701</v>
      </c>
      <c r="AE837">
        <f>IF('WetLitterbags placem_collection'!AB178="","",'WetLitterbags placem_collection'!AB178)</f>
        <v>6.8</v>
      </c>
      <c r="AF837">
        <f>IF('WetLitterbags placem_collection'!Z178="","",'WetLitterbags placem_collection'!Z178)</f>
        <v>6.9</v>
      </c>
      <c r="AG837" s="243" t="str">
        <f>IF('WetLitterbags placem_collection'!AA178="","",'WetLitterbags placem_collection'!AA178)</f>
        <v>O</v>
      </c>
      <c r="AH837">
        <f>IF('WetLitterbags placem_collection'!AC178="","",'WetLitterbags placem_collection'!AC178)</f>
        <v>0</v>
      </c>
      <c r="AI837">
        <f>AVERAGE('WetLitterbags placem_collection'!S178,'WetLitterbags placem_collection'!U178)</f>
        <v>11.4</v>
      </c>
      <c r="AJ837">
        <f>AVERAGE('WetLitterbags placem_collection'!R178,'WetLitterbags placem_collection'!T178)</f>
        <v>34.15</v>
      </c>
      <c r="AK837">
        <f>INDEX(Coordinates!$B$2:$B$197,MATCH(H837,Coordinates!$J$2:$J$197,0))</f>
        <v>-2.2782909679999999</v>
      </c>
      <c r="AL837">
        <f>INDEX(Coordinates!$C$2:$C$197,MATCH(H837,Coordinates!$J$2:$J$197,0))</f>
        <v>34.024574970000003</v>
      </c>
      <c r="AM837" t="str">
        <f>IF(ISNUMBER(SEARCH("C", 'WetLitterbags placem_collection'!$Y178)),"YES","NO")</f>
        <v>NO</v>
      </c>
      <c r="AN837" t="str">
        <f>IF(ISNUMBER(SEARCH("H", 'WetLitterbags placem_collection'!$Y178)),"YES","NO")</f>
        <v>NO</v>
      </c>
      <c r="AO837" t="str">
        <f>IF(ISNUMBER(SEARCH("R", 'WetLitterbags placem_collection'!$Y178)),"YES","NO")</f>
        <v>NO</v>
      </c>
    </row>
    <row r="838" spans="1:41" ht="15" customHeight="1">
      <c r="A838" s="255" t="s">
        <v>2454</v>
      </c>
      <c r="B838" s="260">
        <f>'Dry_Litterbag Placem_Collection'!A179</f>
        <v>177</v>
      </c>
      <c r="C838" s="260" t="str">
        <f>'Dry_Litterbag Placem_Collection'!B179</f>
        <v>Handajega</v>
      </c>
      <c r="D838" s="260" t="s">
        <v>2454</v>
      </c>
      <c r="E838" s="260" t="s">
        <v>2645</v>
      </c>
      <c r="F838" s="260">
        <v>3</v>
      </c>
      <c r="G838" s="260" t="s">
        <v>3828</v>
      </c>
      <c r="H838" s="261" t="str">
        <f>'Dry_Litterbag Placem_Collection'!C179</f>
        <v>Wet_W3_T1</v>
      </c>
      <c r="I838" s="270" t="s">
        <v>3630</v>
      </c>
      <c r="J838" s="271" t="s">
        <v>298</v>
      </c>
      <c r="K838" s="221" t="str">
        <f>'WetLitterbags placem_collection'!Q179</f>
        <v>R470</v>
      </c>
      <c r="L838" s="223">
        <f>IFERROR(INDEX('Green_rooibos initial weight'!$C$5:$C$2000,MATCH(K838, 'Green_rooibos initial weight'!$A$5:$A$2000,0)),"")</f>
        <v>2.1240000000000001</v>
      </c>
      <c r="M838" s="223">
        <f>IFERROR(L838-(TBIcalc!$H$9+TBIcalc!$H$10),"")</f>
        <v>1.8742000000000001</v>
      </c>
      <c r="N838" s="385">
        <f>AVERAGE(Ashed_controlls!$K$2:$K$11)</f>
        <v>5.5147656768714146</v>
      </c>
      <c r="O838" s="223">
        <f t="shared" si="66"/>
        <v>1.770842261684076</v>
      </c>
      <c r="P838" s="223">
        <f>IFERROR(INDEX('Both teabags AfterWet'!$C$3:$C$840,MATCH(K838,'Both teabags AfterWet'!$A$3:$A$840,0)),"")</f>
        <v>1.677</v>
      </c>
      <c r="Q838" s="223">
        <f>IFERROR(IF(P838&gt;0,P838-(TBIcalc!$H$9),""),"")</f>
        <v>1.5264</v>
      </c>
      <c r="R838" s="223">
        <f>IFERROR(INDEX('Ashed teabags wet'!$K$2:$K$2000,MATCH(K838,'Ashed teabags wet'!$A$2:$A$2000,0)),"")</f>
        <v>2.3705853894531068</v>
      </c>
      <c r="S838" s="223">
        <f t="shared" si="67"/>
        <v>1.4902153846153878</v>
      </c>
      <c r="T838" s="224">
        <f>'WetLitterbags placem_collection'!E179</f>
        <v>42763</v>
      </c>
      <c r="U838" s="224">
        <f>IF('WetLitterbags placem_collection'!G179="","",'WetLitterbags placem_collection'!G179)</f>
        <v>42815</v>
      </c>
      <c r="V838" s="225">
        <f t="shared" si="65"/>
        <v>52</v>
      </c>
      <c r="W838" s="223">
        <f t="shared" si="68"/>
        <v>0.34780000000000011</v>
      </c>
      <c r="X838" s="223">
        <f t="shared" si="69"/>
        <v>0.28062687706868816</v>
      </c>
      <c r="Y838">
        <f>IFERROR(INDEX(Rainfall_Wet!$O$2:$O$217,MATCH(B838, Rainfall_Wet!$A$2:$A$217,0)),"")</f>
        <v>188.24043152799999</v>
      </c>
      <c r="Z838" s="228">
        <v>25.96</v>
      </c>
      <c r="AA838" s="228">
        <v>8.9200000000000017</v>
      </c>
      <c r="AB838" s="228">
        <v>65.12</v>
      </c>
      <c r="AC838" s="229" t="s">
        <v>2654</v>
      </c>
      <c r="AD838" s="228">
        <v>1.614588467225234</v>
      </c>
      <c r="AE838">
        <f>IF('WetLitterbags placem_collection'!AB179="","",'WetLitterbags placem_collection'!AB179)</f>
        <v>17.8</v>
      </c>
      <c r="AF838">
        <f>IF('WetLitterbags placem_collection'!Z179="","",'WetLitterbags placem_collection'!Z179)</f>
        <v>25.8</v>
      </c>
      <c r="AG838" s="243" t="str">
        <f>IF('WetLitterbags placem_collection'!AA179="","",'WetLitterbags placem_collection'!AA179)</f>
        <v>O</v>
      </c>
      <c r="AH838">
        <f>IF('WetLitterbags placem_collection'!AC179="","",'WetLitterbags placem_collection'!AC179)</f>
        <v>0</v>
      </c>
      <c r="AI838">
        <f>AVERAGE('WetLitterbags placem_collection'!S179,'WetLitterbags placem_collection'!U179)</f>
        <v>19.200000000000003</v>
      </c>
      <c r="AJ838">
        <f>AVERAGE('WetLitterbags placem_collection'!R179,'WetLitterbags placem_collection'!T179)</f>
        <v>32.1</v>
      </c>
      <c r="AK838">
        <f>INDEX(Coordinates!$B$2:$B$197,MATCH(H838,Coordinates!$J$2:$J$197,0))</f>
        <v>-2.277740026</v>
      </c>
      <c r="AL838">
        <f>INDEX(Coordinates!$C$2:$C$197,MATCH(H838,Coordinates!$J$2:$J$197,0))</f>
        <v>34.027640990000002</v>
      </c>
      <c r="AM838" t="str">
        <f>IF(ISNUMBER(SEARCH("C", 'WetLitterbags placem_collection'!$Y179)),"YES","NO")</f>
        <v>NO</v>
      </c>
      <c r="AN838" t="str">
        <f>IF(ISNUMBER(SEARCH("H", 'WetLitterbags placem_collection'!$Y179)),"YES","NO")</f>
        <v>NO</v>
      </c>
      <c r="AO838" t="str">
        <f>IF(ISNUMBER(SEARCH("R", 'WetLitterbags placem_collection'!$Y179)),"YES","NO")</f>
        <v>NO</v>
      </c>
    </row>
    <row r="839" spans="1:41" ht="15" customHeight="1">
      <c r="A839" s="255" t="s">
        <v>2454</v>
      </c>
      <c r="B839" s="260">
        <f>'Dry_Litterbag Placem_Collection'!A180</f>
        <v>178</v>
      </c>
      <c r="C839" s="260" t="str">
        <f>'Dry_Litterbag Placem_Collection'!B180</f>
        <v>Handajega</v>
      </c>
      <c r="D839" s="260" t="s">
        <v>2454</v>
      </c>
      <c r="E839" s="260" t="s">
        <v>2645</v>
      </c>
      <c r="F839" s="260">
        <v>3</v>
      </c>
      <c r="G839" s="260" t="s">
        <v>3828</v>
      </c>
      <c r="H839" s="261" t="str">
        <f>'Dry_Litterbag Placem_Collection'!C180</f>
        <v>Wet_W3_T2</v>
      </c>
      <c r="I839" s="270" t="s">
        <v>3630</v>
      </c>
      <c r="J839" s="271" t="s">
        <v>298</v>
      </c>
      <c r="K839" s="221" t="str">
        <f>'WetLitterbags placem_collection'!Q180</f>
        <v>R488</v>
      </c>
      <c r="L839" s="223">
        <f>IFERROR(INDEX('Green_rooibos initial weight'!$C$5:$C$2000,MATCH(K839, 'Green_rooibos initial weight'!$A$5:$A$2000,0)),"")</f>
        <v>2.1589999999999998</v>
      </c>
      <c r="M839" s="223">
        <f>IFERROR(L839-(TBIcalc!$H$9+TBIcalc!$H$10),"")</f>
        <v>1.9091999999999998</v>
      </c>
      <c r="N839" s="385">
        <f>AVERAGE(Ashed_controlls!$K$2:$K$11)</f>
        <v>5.5147656768714146</v>
      </c>
      <c r="O839" s="223">
        <f t="shared" si="66"/>
        <v>1.8039120936971709</v>
      </c>
      <c r="P839" s="223">
        <f>IFERROR(INDEX('Both teabags AfterWet'!$C$3:$C$840,MATCH(K839,'Both teabags AfterWet'!$A$3:$A$840,0)),"")</f>
        <v>1.6446000000000001</v>
      </c>
      <c r="Q839" s="223">
        <f>IFERROR(IF(P839&gt;0,P839-(TBIcalc!$H$9),""),"")</f>
        <v>1.494</v>
      </c>
      <c r="R839" s="223">
        <f>IFERROR(INDEX('Ashed teabags wet'!$K$2:$K$2000,MATCH(K839,'Ashed teabags wet'!$A$2:$A$2000,0)),"")</f>
        <v>2.0802377414560613</v>
      </c>
      <c r="S839" s="223">
        <f t="shared" si="67"/>
        <v>1.4629212481426463</v>
      </c>
      <c r="T839" s="224">
        <f>'WetLitterbags placem_collection'!E180</f>
        <v>42763</v>
      </c>
      <c r="U839" s="224">
        <f>IF('WetLitterbags placem_collection'!G180="","",'WetLitterbags placem_collection'!G180)</f>
        <v>42815</v>
      </c>
      <c r="V839" s="225">
        <f t="shared" si="65"/>
        <v>52</v>
      </c>
      <c r="W839" s="223">
        <f t="shared" si="68"/>
        <v>0.41519999999999979</v>
      </c>
      <c r="X839" s="223">
        <f t="shared" si="69"/>
        <v>0.34099084555452452</v>
      </c>
      <c r="Y839">
        <f>IFERROR(INDEX(Rainfall_Wet!$O$2:$O$217,MATCH(B839, Rainfall_Wet!$A$2:$A$217,0)),"")</f>
        <v>188.24043152799999</v>
      </c>
      <c r="Z839" s="228">
        <v>25.96</v>
      </c>
      <c r="AA839" s="228">
        <v>8.9200000000000017</v>
      </c>
      <c r="AB839" s="228">
        <v>65.12</v>
      </c>
      <c r="AC839" s="229" t="s">
        <v>2654</v>
      </c>
      <c r="AD839" s="228">
        <v>2.61458846722523</v>
      </c>
      <c r="AE839">
        <f>IF('WetLitterbags placem_collection'!AB180="","",'WetLitterbags placem_collection'!AB180)</f>
        <v>15.4</v>
      </c>
      <c r="AF839">
        <f>IF('WetLitterbags placem_collection'!Z180="","",'WetLitterbags placem_collection'!Z180)</f>
        <v>18.8</v>
      </c>
      <c r="AG839" s="243" t="str">
        <f>IF('WetLitterbags placem_collection'!AA180="","",'WetLitterbags placem_collection'!AA180)</f>
        <v>O</v>
      </c>
      <c r="AH839">
        <f>IF('WetLitterbags placem_collection'!AC180="","",'WetLitterbags placem_collection'!AC180)</f>
        <v>1</v>
      </c>
      <c r="AI839">
        <f>AVERAGE('WetLitterbags placem_collection'!S180,'WetLitterbags placem_collection'!U180)</f>
        <v>17.149999999999999</v>
      </c>
      <c r="AJ839">
        <f>AVERAGE('WetLitterbags placem_collection'!R180,'WetLitterbags placem_collection'!T180)</f>
        <v>32.950000000000003</v>
      </c>
      <c r="AK839">
        <f>INDEX(Coordinates!$B$2:$B$197,MATCH(H839,Coordinates!$J$2:$J$197,0))</f>
        <v>-2.2777889760000001</v>
      </c>
      <c r="AL839">
        <f>INDEX(Coordinates!$C$2:$C$197,MATCH(H839,Coordinates!$J$2:$J$197,0))</f>
        <v>34.027664960000003</v>
      </c>
      <c r="AM839" t="str">
        <f>IF(ISNUMBER(SEARCH("C", 'WetLitterbags placem_collection'!$Y180)),"YES","NO")</f>
        <v>NO</v>
      </c>
      <c r="AN839" t="str">
        <f>IF(ISNUMBER(SEARCH("H", 'WetLitterbags placem_collection'!$Y180)),"YES","NO")</f>
        <v>NO</v>
      </c>
      <c r="AO839" t="str">
        <f>IF(ISNUMBER(SEARCH("R", 'WetLitterbags placem_collection'!$Y180)),"YES","NO")</f>
        <v>NO</v>
      </c>
    </row>
    <row r="840" spans="1:41" ht="15" customHeight="1">
      <c r="A840" s="255" t="s">
        <v>2454</v>
      </c>
      <c r="B840" s="260">
        <f>'Dry_Litterbag Placem_Collection'!A181</f>
        <v>179</v>
      </c>
      <c r="C840" s="260" t="str">
        <f>'Dry_Litterbag Placem_Collection'!B181</f>
        <v>Handajega</v>
      </c>
      <c r="D840" s="260" t="s">
        <v>2454</v>
      </c>
      <c r="E840" s="260" t="s">
        <v>2645</v>
      </c>
      <c r="F840" s="260">
        <v>3</v>
      </c>
      <c r="G840" s="260" t="s">
        <v>3828</v>
      </c>
      <c r="H840" s="261" t="str">
        <f>'Dry_Litterbag Placem_Collection'!C181</f>
        <v>Wet_W3_T3</v>
      </c>
      <c r="I840" s="270" t="s">
        <v>3630</v>
      </c>
      <c r="J840" s="271" t="s">
        <v>298</v>
      </c>
      <c r="K840" s="221" t="str">
        <f>'WetLitterbags placem_collection'!Q181</f>
        <v>R273</v>
      </c>
      <c r="L840" s="223">
        <f>IFERROR(INDEX('Green_rooibos initial weight'!$C$5:$C$2000,MATCH(K840, 'Green_rooibos initial weight'!$A$5:$A$2000,0)),"")</f>
        <v>2.2090000000000001</v>
      </c>
      <c r="M840" s="223">
        <f>IFERROR(L840-(TBIcalc!$H$9+TBIcalc!$H$10),"")</f>
        <v>1.9592000000000001</v>
      </c>
      <c r="N840" s="385">
        <f>AVERAGE(Ashed_controlls!$K$2:$K$11)</f>
        <v>5.5147656768714146</v>
      </c>
      <c r="O840" s="223">
        <f t="shared" si="66"/>
        <v>1.8511547108587354</v>
      </c>
      <c r="P840" s="223">
        <f>IFERROR(INDEX('Both teabags AfterWet'!$C$3:$C$840,MATCH(K840,'Both teabags AfterWet'!$A$3:$A$840,0)),"")</f>
        <v>1.655</v>
      </c>
      <c r="Q840" s="223">
        <f>IFERROR(IF(P840&gt;0,P840-(TBIcalc!$H$9),""),"")</f>
        <v>1.5044</v>
      </c>
      <c r="R840" s="223">
        <f>IFERROR(INDEX('Ashed teabags wet'!$K$2:$K$2000,MATCH(K840,'Ashed teabags wet'!$A$2:$A$2000,0)),"")</f>
        <v>1.9912578921804642</v>
      </c>
      <c r="S840" s="223">
        <f t="shared" si="67"/>
        <v>1.4744435162700371</v>
      </c>
      <c r="T840" s="224">
        <f>'WetLitterbags placem_collection'!E181</f>
        <v>42763</v>
      </c>
      <c r="U840" s="224">
        <f>IF('WetLitterbags placem_collection'!G181="","",'WetLitterbags placem_collection'!G181)</f>
        <v>42815</v>
      </c>
      <c r="V840" s="225">
        <f t="shared" si="65"/>
        <v>52</v>
      </c>
      <c r="W840" s="223">
        <f t="shared" si="68"/>
        <v>0.45480000000000009</v>
      </c>
      <c r="X840" s="223">
        <f t="shared" si="69"/>
        <v>0.37671119458869828</v>
      </c>
      <c r="Y840">
        <f>IFERROR(INDEX(Rainfall_Wet!$O$2:$O$217,MATCH(B840, Rainfall_Wet!$A$2:$A$217,0)),"")</f>
        <v>188.24043152799999</v>
      </c>
      <c r="Z840" s="228">
        <v>25.96</v>
      </c>
      <c r="AA840" s="228">
        <v>8.9200000000000017</v>
      </c>
      <c r="AB840" s="228">
        <v>65.12</v>
      </c>
      <c r="AC840" s="229" t="s">
        <v>2654</v>
      </c>
      <c r="AD840" s="228">
        <v>3.61458846722523</v>
      </c>
      <c r="AE840">
        <f>IF('WetLitterbags placem_collection'!AB181="","",'WetLitterbags placem_collection'!AB181)</f>
        <v>11.8</v>
      </c>
      <c r="AF840">
        <f>IF('WetLitterbags placem_collection'!Z181="","",'WetLitterbags placem_collection'!Z181)</f>
        <v>15.4</v>
      </c>
      <c r="AG840" s="243" t="str">
        <f>IF('WetLitterbags placem_collection'!AA181="","",'WetLitterbags placem_collection'!AA181)</f>
        <v>O</v>
      </c>
      <c r="AH840">
        <f>IF('WetLitterbags placem_collection'!AC181="","",'WetLitterbags placem_collection'!AC181)</f>
        <v>1</v>
      </c>
      <c r="AI840">
        <f>AVERAGE('WetLitterbags placem_collection'!S181,'WetLitterbags placem_collection'!U181)</f>
        <v>14.8</v>
      </c>
      <c r="AJ840">
        <f>AVERAGE('WetLitterbags placem_collection'!R181,'WetLitterbags placem_collection'!T181)</f>
        <v>32.150000000000006</v>
      </c>
      <c r="AK840">
        <f>INDEX(Coordinates!$B$2:$B$197,MATCH(H840,Coordinates!$J$2:$J$197,0))</f>
        <v>-2.2778579589999999</v>
      </c>
      <c r="AL840">
        <f>INDEX(Coordinates!$C$2:$C$197,MATCH(H840,Coordinates!$J$2:$J$197,0))</f>
        <v>34.027682980000002</v>
      </c>
      <c r="AM840" t="str">
        <f>IF(ISNUMBER(SEARCH("C", 'WetLitterbags placem_collection'!$Y181)),"YES","NO")</f>
        <v>NO</v>
      </c>
      <c r="AN840" t="str">
        <f>IF(ISNUMBER(SEARCH("H", 'WetLitterbags placem_collection'!$Y181)),"YES","NO")</f>
        <v>NO</v>
      </c>
      <c r="AO840" t="str">
        <f>IF(ISNUMBER(SEARCH("R", 'WetLitterbags placem_collection'!$Y181)),"YES","NO")</f>
        <v>NO</v>
      </c>
    </row>
    <row r="841" spans="1:41" ht="15" customHeight="1">
      <c r="A841" s="255" t="s">
        <v>2454</v>
      </c>
      <c r="B841" s="260">
        <f>'Dry_Litterbag Placem_Collection'!A182</f>
        <v>180</v>
      </c>
      <c r="C841" s="260" t="str">
        <f>'Dry_Litterbag Placem_Collection'!B182</f>
        <v>Handajega</v>
      </c>
      <c r="D841" s="260" t="s">
        <v>2454</v>
      </c>
      <c r="E841" s="260" t="s">
        <v>2645</v>
      </c>
      <c r="F841" s="260">
        <v>3</v>
      </c>
      <c r="G841" s="260" t="s">
        <v>3828</v>
      </c>
      <c r="H841" s="261" t="str">
        <f>'Dry_Litterbag Placem_Collection'!C182</f>
        <v>Wet_W3_T4</v>
      </c>
      <c r="I841" s="270" t="s">
        <v>3630</v>
      </c>
      <c r="J841" s="271" t="s">
        <v>298</v>
      </c>
      <c r="K841" s="221" t="str">
        <f>'WetLitterbags placem_collection'!Q182</f>
        <v>R301</v>
      </c>
      <c r="L841" s="223">
        <f>IFERROR(INDEX('Green_rooibos initial weight'!$C$5:$C$2000,MATCH(K841, 'Green_rooibos initial weight'!$A$5:$A$2000,0)),"")</f>
        <v>2.2530000000000001</v>
      </c>
      <c r="M841" s="223">
        <f>IFERROR(L841-(TBIcalc!$H$9+TBIcalc!$H$10),"")</f>
        <v>2.0032000000000001</v>
      </c>
      <c r="N841" s="385">
        <f>AVERAGE(Ashed_controlls!$K$2:$K$11)</f>
        <v>5.5147656768714146</v>
      </c>
      <c r="O841" s="223">
        <f t="shared" si="66"/>
        <v>1.8927282139609118</v>
      </c>
      <c r="P841" s="223">
        <f>IFERROR(INDEX('Both teabags AfterWet'!$C$3:$C$840,MATCH(K841,'Both teabags AfterWet'!$A$3:$A$840,0)),"")</f>
        <v>1.6709000000000001</v>
      </c>
      <c r="Q841" s="223">
        <f>IFERROR(IF(P841&gt;0,P841-(TBIcalc!$H$9),""),"")</f>
        <v>1.5203</v>
      </c>
      <c r="R841" s="223">
        <f>IFERROR(INDEX('Ashed teabags wet'!$K$2:$K$2000,MATCH(K841,'Ashed teabags wet'!$A$2:$A$2000,0)),"")</f>
        <v>1.9038076152294727</v>
      </c>
      <c r="S841" s="223">
        <f t="shared" si="67"/>
        <v>1.4913564128256662</v>
      </c>
      <c r="T841" s="224">
        <f>'WetLitterbags placem_collection'!E182</f>
        <v>42763</v>
      </c>
      <c r="U841" s="224">
        <f>IF('WetLitterbags placem_collection'!G182="","",'WetLitterbags placem_collection'!G182)</f>
        <v>42815</v>
      </c>
      <c r="V841" s="225">
        <f t="shared" si="65"/>
        <v>52</v>
      </c>
      <c r="W841" s="223">
        <f t="shared" si="68"/>
        <v>0.48290000000000011</v>
      </c>
      <c r="X841" s="223">
        <f t="shared" si="69"/>
        <v>0.40137180113524562</v>
      </c>
      <c r="Y841">
        <f>IFERROR(INDEX(Rainfall_Wet!$O$2:$O$217,MATCH(B841, Rainfall_Wet!$A$2:$A$217,0)),"")</f>
        <v>188.24043152799999</v>
      </c>
      <c r="Z841" s="228">
        <v>25.96</v>
      </c>
      <c r="AA841" s="228">
        <v>8.9200000000000017</v>
      </c>
      <c r="AB841" s="228">
        <v>65.12</v>
      </c>
      <c r="AC841" s="229" t="s">
        <v>2654</v>
      </c>
      <c r="AD841" s="228">
        <v>4.6145884672252304</v>
      </c>
      <c r="AE841">
        <f>IF('WetLitterbags placem_collection'!AB182="","",'WetLitterbags placem_collection'!AB182)</f>
        <v>8.3000000000000007</v>
      </c>
      <c r="AF841">
        <f>IF('WetLitterbags placem_collection'!Z182="","",'WetLitterbags placem_collection'!Z182)</f>
        <v>35</v>
      </c>
      <c r="AG841" s="243" t="str">
        <f>IF('WetLitterbags placem_collection'!AA182="","",'WetLitterbags placem_collection'!AA182)</f>
        <v>O</v>
      </c>
      <c r="AH841">
        <f>IF('WetLitterbags placem_collection'!AC182="","",'WetLitterbags placem_collection'!AC182)</f>
        <v>0</v>
      </c>
      <c r="AI841">
        <f>AVERAGE('WetLitterbags placem_collection'!S182,'WetLitterbags placem_collection'!U182)</f>
        <v>12.85</v>
      </c>
      <c r="AJ841">
        <f>AVERAGE('WetLitterbags placem_collection'!R182,'WetLitterbags placem_collection'!T182)</f>
        <v>32.450000000000003</v>
      </c>
      <c r="AK841">
        <f>INDEX(Coordinates!$B$2:$B$197,MATCH(H841,Coordinates!$J$2:$J$197,0))</f>
        <v>-2.2780199809999999</v>
      </c>
      <c r="AL841">
        <f>INDEX(Coordinates!$C$2:$C$197,MATCH(H841,Coordinates!$J$2:$J$197,0))</f>
        <v>34.027705019999999</v>
      </c>
      <c r="AM841" t="str">
        <f>IF(ISNUMBER(SEARCH("C", 'WetLitterbags placem_collection'!$Y182)),"YES","NO")</f>
        <v>NO</v>
      </c>
      <c r="AN841" t="str">
        <f>IF(ISNUMBER(SEARCH("H", 'WetLitterbags placem_collection'!$Y182)),"YES","NO")</f>
        <v>NO</v>
      </c>
      <c r="AO841" t="str">
        <f>IF(ISNUMBER(SEARCH("R", 'WetLitterbags placem_collection'!$Y182)),"YES","NO")</f>
        <v>YES</v>
      </c>
    </row>
    <row r="842" spans="1:41" ht="15" customHeight="1">
      <c r="A842" s="255" t="s">
        <v>2454</v>
      </c>
      <c r="B842" s="260">
        <f>'Dry_Litterbag Placem_Collection'!A183</f>
        <v>181</v>
      </c>
      <c r="C842" s="260" t="str">
        <f>'Dry_Litterbag Placem_Collection'!B183</f>
        <v>Handajega</v>
      </c>
      <c r="D842" s="260" t="s">
        <v>2454</v>
      </c>
      <c r="E842" s="260" t="s">
        <v>2645</v>
      </c>
      <c r="F842" s="260">
        <v>3</v>
      </c>
      <c r="G842" s="260" t="s">
        <v>3828</v>
      </c>
      <c r="H842" s="261" t="str">
        <f>'Dry_Litterbag Placem_Collection'!C183</f>
        <v>Wet_W3_T5</v>
      </c>
      <c r="I842" s="270" t="s">
        <v>3630</v>
      </c>
      <c r="J842" s="271" t="s">
        <v>298</v>
      </c>
      <c r="K842" s="221" t="str">
        <f>'WetLitterbags placem_collection'!Q183</f>
        <v>R291</v>
      </c>
      <c r="L842" s="223">
        <f>IFERROR(INDEX('Green_rooibos initial weight'!$C$5:$C$2000,MATCH(K842, 'Green_rooibos initial weight'!$A$5:$A$2000,0)),"")</f>
        <v>2.2320000000000002</v>
      </c>
      <c r="M842" s="223">
        <f>IFERROR(L842-(TBIcalc!$H$9+TBIcalc!$H$10),"")</f>
        <v>1.9822000000000002</v>
      </c>
      <c r="N842" s="385">
        <f>AVERAGE(Ashed_controlls!$K$2:$K$11)</f>
        <v>5.5147656768714146</v>
      </c>
      <c r="O842" s="223">
        <f t="shared" si="66"/>
        <v>1.872886314753055</v>
      </c>
      <c r="P842" s="223">
        <f>IFERROR(INDEX('Both teabags AfterWet'!$C$3:$C$840,MATCH(K842,'Both teabags AfterWet'!$A$3:$A$840,0)),"")</f>
        <v>1.6970000000000001</v>
      </c>
      <c r="Q842" s="223">
        <f>IFERROR(IF(P842&gt;0,P842-(TBIcalc!$H$9),""),"")</f>
        <v>1.5464</v>
      </c>
      <c r="R842" s="223">
        <f>IFERROR(INDEX('Ashed teabags wet'!$K$2:$K$2000,MATCH(K842,'Ashed teabags wet'!$A$2:$A$2000,0)),"")</f>
        <v>2.1348859776812832</v>
      </c>
      <c r="S842" s="223">
        <f t="shared" si="67"/>
        <v>1.5133861232411365</v>
      </c>
      <c r="T842" s="224">
        <f>'WetLitterbags placem_collection'!E183</f>
        <v>42763</v>
      </c>
      <c r="U842" s="224">
        <f>IF('WetLitterbags placem_collection'!G183="","",'WetLitterbags placem_collection'!G183)</f>
        <v>42815</v>
      </c>
      <c r="V842" s="225">
        <f t="shared" si="65"/>
        <v>52</v>
      </c>
      <c r="W842" s="223">
        <f t="shared" si="68"/>
        <v>0.43580000000000019</v>
      </c>
      <c r="X842" s="223">
        <f t="shared" si="69"/>
        <v>0.35950019151191848</v>
      </c>
      <c r="Y842">
        <f>IFERROR(INDEX(Rainfall_Wet!$O$2:$O$217,MATCH(B842, Rainfall_Wet!$A$2:$A$217,0)),"")</f>
        <v>188.24043152799999</v>
      </c>
      <c r="Z842" s="228">
        <v>25.96</v>
      </c>
      <c r="AA842" s="228">
        <v>8.9200000000000017</v>
      </c>
      <c r="AB842" s="228">
        <v>65.12</v>
      </c>
      <c r="AC842" s="229" t="s">
        <v>2654</v>
      </c>
      <c r="AD842" s="228">
        <v>5.6145884672252304</v>
      </c>
      <c r="AE842">
        <f>IF('WetLitterbags placem_collection'!AB183="","",'WetLitterbags placem_collection'!AB183)</f>
        <v>11.4</v>
      </c>
      <c r="AF842">
        <f>IF('WetLitterbags placem_collection'!Z183="","",'WetLitterbags placem_collection'!Z183)</f>
        <v>15.8</v>
      </c>
      <c r="AG842" s="243" t="str">
        <f>IF('WetLitterbags placem_collection'!AA183="","",'WetLitterbags placem_collection'!AA183)</f>
        <v>O</v>
      </c>
      <c r="AH842">
        <f>IF('WetLitterbags placem_collection'!AC183="","",'WetLitterbags placem_collection'!AC183)</f>
        <v>1</v>
      </c>
      <c r="AI842">
        <f>AVERAGE('WetLitterbags placem_collection'!S183,'WetLitterbags placem_collection'!U183)</f>
        <v>13.75</v>
      </c>
      <c r="AJ842">
        <f>AVERAGE('WetLitterbags placem_collection'!R183,'WetLitterbags placem_collection'!T183)</f>
        <v>32.650000000000006</v>
      </c>
      <c r="AK842">
        <f>INDEX(Coordinates!$B$2:$B$197,MATCH(H842,Coordinates!$J$2:$J$197,0))</f>
        <v>-2.2777329850000001</v>
      </c>
      <c r="AL842">
        <f>INDEX(Coordinates!$C$2:$C$197,MATCH(H842,Coordinates!$J$2:$J$197,0))</f>
        <v>34.027422970000003</v>
      </c>
      <c r="AM842" t="str">
        <f>IF(ISNUMBER(SEARCH("C", 'WetLitterbags placem_collection'!$Y183)),"YES","NO")</f>
        <v>NO</v>
      </c>
      <c r="AN842" t="str">
        <f>IF(ISNUMBER(SEARCH("H", 'WetLitterbags placem_collection'!$Y183)),"YES","NO")</f>
        <v>NO</v>
      </c>
      <c r="AO842" t="str">
        <f>IF(ISNUMBER(SEARCH("R", 'WetLitterbags placem_collection'!$Y183)),"YES","NO")</f>
        <v>NO</v>
      </c>
    </row>
    <row r="843" spans="1:41" ht="15" customHeight="1">
      <c r="A843" s="255" t="s">
        <v>2454</v>
      </c>
      <c r="B843" s="260">
        <f>'Dry_Litterbag Placem_Collection'!A184</f>
        <v>182</v>
      </c>
      <c r="C843" s="260" t="str">
        <f>'Dry_Litterbag Placem_Collection'!B184</f>
        <v>Handajega</v>
      </c>
      <c r="D843" s="260" t="s">
        <v>2454</v>
      </c>
      <c r="E843" s="260" t="s">
        <v>2645</v>
      </c>
      <c r="F843" s="260">
        <v>3</v>
      </c>
      <c r="G843" s="260" t="s">
        <v>3828</v>
      </c>
      <c r="H843" s="261" t="str">
        <f>'Dry_Litterbag Placem_Collection'!C184</f>
        <v>Wet_W3_T6</v>
      </c>
      <c r="I843" s="270" t="s">
        <v>3630</v>
      </c>
      <c r="J843" s="271" t="s">
        <v>298</v>
      </c>
      <c r="K843" s="221" t="str">
        <f>'WetLitterbags placem_collection'!Q184</f>
        <v>R537</v>
      </c>
      <c r="L843" s="223">
        <f>IFERROR(INDEX('Green_rooibos initial weight'!$C$5:$C$2000,MATCH(K843, 'Green_rooibos initial weight'!$A$5:$A$2000,0)),"")</f>
        <v>2.145</v>
      </c>
      <c r="M843" s="223">
        <f>IFERROR(L843-(TBIcalc!$H$9+TBIcalc!$H$10),"")</f>
        <v>1.8952</v>
      </c>
      <c r="N843" s="385">
        <f>AVERAGE(Ashed_controlls!$K$2:$K$11)</f>
        <v>5.5147656768714146</v>
      </c>
      <c r="O843" s="223">
        <f t="shared" si="66"/>
        <v>1.7906841608919331</v>
      </c>
      <c r="P843" s="223">
        <f>IFERROR(INDEX('Both teabags AfterWet'!$C$3:$C$840,MATCH(K843,'Both teabags AfterWet'!$A$3:$A$840,0)),"")</f>
        <v>1.7152000000000001</v>
      </c>
      <c r="Q843" s="223">
        <f>IFERROR(IF(P843&gt;0,P843-(TBIcalc!$H$9),""),"")</f>
        <v>1.5646</v>
      </c>
      <c r="R843" s="223">
        <f>IFERROR(INDEX('Ashed teabags wet'!$K$2:$K$2000,MATCH(K843,'Ashed teabags wet'!$A$2:$A$2000,0)),"")</f>
        <v>2.0958083832334542</v>
      </c>
      <c r="S843" s="223">
        <f t="shared" si="67"/>
        <v>1.5318089820359293</v>
      </c>
      <c r="T843" s="224">
        <f>'WetLitterbags placem_collection'!E184</f>
        <v>42763</v>
      </c>
      <c r="U843" s="224">
        <f>IF('WetLitterbags placem_collection'!G184="","",'WetLitterbags placem_collection'!G184)</f>
        <v>42815</v>
      </c>
      <c r="V843" s="225">
        <f t="shared" si="65"/>
        <v>52</v>
      </c>
      <c r="W843" s="223">
        <f t="shared" si="68"/>
        <v>0.3306</v>
      </c>
      <c r="X843" s="223">
        <f t="shared" si="69"/>
        <v>0.25887517885600375</v>
      </c>
      <c r="Y843">
        <f>IFERROR(INDEX(Rainfall_Wet!$O$2:$O$217,MATCH(B843, Rainfall_Wet!$A$2:$A$217,0)),"")</f>
        <v>188.24043152799999</v>
      </c>
      <c r="Z843" s="228">
        <v>25.96</v>
      </c>
      <c r="AA843" s="228">
        <v>8.9200000000000017</v>
      </c>
      <c r="AB843" s="228">
        <v>65.12</v>
      </c>
      <c r="AC843" s="229" t="s">
        <v>2654</v>
      </c>
      <c r="AD843" s="228">
        <v>6.6145884672252304</v>
      </c>
      <c r="AE843">
        <f>IF('WetLitterbags placem_collection'!AB184="","",'WetLitterbags placem_collection'!AB184)</f>
        <v>8.8000000000000007</v>
      </c>
      <c r="AF843">
        <f>IF('WetLitterbags placem_collection'!Z184="","",'WetLitterbags placem_collection'!Z184)</f>
        <v>15.8</v>
      </c>
      <c r="AG843" s="243" t="str">
        <f>IF('WetLitterbags placem_collection'!AA184="","",'WetLitterbags placem_collection'!AA184)</f>
        <v>O</v>
      </c>
      <c r="AH843">
        <f>IF('WetLitterbags placem_collection'!AC184="","",'WetLitterbags placem_collection'!AC184)</f>
        <v>1</v>
      </c>
      <c r="AI843">
        <f>AVERAGE('WetLitterbags placem_collection'!S184,'WetLitterbags placem_collection'!U184)</f>
        <v>11.55</v>
      </c>
      <c r="AJ843">
        <f>AVERAGE('WetLitterbags placem_collection'!R184,'WetLitterbags placem_collection'!T184)</f>
        <v>33.299999999999997</v>
      </c>
      <c r="AK843">
        <f>INDEX(Coordinates!$B$2:$B$197,MATCH(H843,Coordinates!$J$2:$J$197,0))</f>
        <v>-2.2777009659999998</v>
      </c>
      <c r="AL843">
        <f>INDEX(Coordinates!$C$2:$C$197,MATCH(H843,Coordinates!$J$2:$J$197,0))</f>
        <v>34.027393969999999</v>
      </c>
      <c r="AM843" t="str">
        <f>IF(ISNUMBER(SEARCH("C", 'WetLitterbags placem_collection'!$Y184)),"YES","NO")</f>
        <v>NO</v>
      </c>
      <c r="AN843" t="str">
        <f>IF(ISNUMBER(SEARCH("H", 'WetLitterbags placem_collection'!$Y184)),"YES","NO")</f>
        <v>NO</v>
      </c>
      <c r="AO843" t="str">
        <f>IF(ISNUMBER(SEARCH("R", 'WetLitterbags placem_collection'!$Y184)),"YES","NO")</f>
        <v>NO</v>
      </c>
    </row>
    <row r="844" spans="1:41" ht="15" customHeight="1">
      <c r="A844" s="255" t="s">
        <v>2454</v>
      </c>
      <c r="B844" s="260">
        <f>'Dry_Litterbag Placem_Collection'!A185</f>
        <v>183</v>
      </c>
      <c r="C844" s="260" t="str">
        <f>'Dry_Litterbag Placem_Collection'!B185</f>
        <v>Handajega</v>
      </c>
      <c r="D844" s="260" t="s">
        <v>2454</v>
      </c>
      <c r="E844" s="260" t="s">
        <v>2645</v>
      </c>
      <c r="F844" s="260">
        <v>3</v>
      </c>
      <c r="G844" s="260" t="s">
        <v>3828</v>
      </c>
      <c r="H844" s="261" t="str">
        <f>'Dry_Litterbag Placem_Collection'!C185</f>
        <v>Wet_W3_T7</v>
      </c>
      <c r="I844" s="270" t="s">
        <v>3630</v>
      </c>
      <c r="J844" s="271" t="s">
        <v>298</v>
      </c>
      <c r="K844" s="221" t="str">
        <f>'WetLitterbags placem_collection'!Q185</f>
        <v>R290</v>
      </c>
      <c r="L844" s="223">
        <f>IFERROR(INDEX('Green_rooibos initial weight'!$C$5:$C$2000,MATCH(K844, 'Green_rooibos initial weight'!$A$5:$A$2000,0)),"")</f>
        <v>2.153</v>
      </c>
      <c r="M844" s="223">
        <f>IFERROR(L844-(TBIcalc!$H$9+TBIcalc!$H$10),"")</f>
        <v>1.9032</v>
      </c>
      <c r="N844" s="385">
        <f>AVERAGE(Ashed_controlls!$K$2:$K$11)</f>
        <v>5.5147656768714146</v>
      </c>
      <c r="O844" s="223">
        <f t="shared" si="66"/>
        <v>1.7982429796377832</v>
      </c>
      <c r="P844" s="223">
        <f>IFERROR(INDEX('Both teabags AfterWet'!$C$3:$C$840,MATCH(K844,'Both teabags AfterWet'!$A$3:$A$840,0)),"")</f>
        <v>1.7310000000000001</v>
      </c>
      <c r="Q844" s="223">
        <f>IFERROR(IF(P844&gt;0,P844-(TBIcalc!$H$9),""),"")</f>
        <v>1.5804</v>
      </c>
      <c r="R844" s="223">
        <f>IFERROR(INDEX('Ashed teabags wet'!$K$2:$K$2000,MATCH(K844,'Ashed teabags wet'!$A$2:$A$2000,0)),"")</f>
        <v>2.639442231076139</v>
      </c>
      <c r="S844" s="223">
        <f t="shared" si="67"/>
        <v>1.5386862549800728</v>
      </c>
      <c r="T844" s="224">
        <f>'WetLitterbags placem_collection'!E185</f>
        <v>42763</v>
      </c>
      <c r="U844" s="224">
        <f>IF('WetLitterbags placem_collection'!G185="","",'WetLitterbags placem_collection'!G185)</f>
        <v>42815</v>
      </c>
      <c r="V844" s="225">
        <f t="shared" si="65"/>
        <v>52</v>
      </c>
      <c r="W844" s="223">
        <f t="shared" si="68"/>
        <v>0.32279999999999998</v>
      </c>
      <c r="X844" s="223">
        <f t="shared" si="69"/>
        <v>0.2595567246577104</v>
      </c>
      <c r="Y844">
        <f>IFERROR(INDEX(Rainfall_Wet!$O$2:$O$217,MATCH(B844, Rainfall_Wet!$A$2:$A$217,0)),"")</f>
        <v>188.24043152799999</v>
      </c>
      <c r="Z844" s="228">
        <v>25.96</v>
      </c>
      <c r="AA844" s="228">
        <v>8.9200000000000017</v>
      </c>
      <c r="AB844" s="228">
        <v>65.12</v>
      </c>
      <c r="AC844" s="229" t="s">
        <v>2654</v>
      </c>
      <c r="AD844" s="228">
        <v>7.6145884672252304</v>
      </c>
      <c r="AE844">
        <f>IF('WetLitterbags placem_collection'!AB185="","",'WetLitterbags placem_collection'!AB185)</f>
        <v>11.4</v>
      </c>
      <c r="AF844">
        <f>IF('WetLitterbags placem_collection'!Z185="","",'WetLitterbags placem_collection'!Z185)</f>
        <v>35.799999999999997</v>
      </c>
      <c r="AG844" s="243" t="str">
        <f>IF('WetLitterbags placem_collection'!AA185="","",'WetLitterbags placem_collection'!AA185)</f>
        <v>G</v>
      </c>
      <c r="AH844">
        <f>IF('WetLitterbags placem_collection'!AC185="","",'WetLitterbags placem_collection'!AC185)</f>
        <v>1</v>
      </c>
      <c r="AI844">
        <f>AVERAGE('WetLitterbags placem_collection'!S185,'WetLitterbags placem_collection'!U185)</f>
        <v>13.4</v>
      </c>
      <c r="AJ844">
        <f>AVERAGE('WetLitterbags placem_collection'!R185,'WetLitterbags placem_collection'!T185)</f>
        <v>33.5</v>
      </c>
      <c r="AK844">
        <f>INDEX(Coordinates!$B$2:$B$197,MATCH(H844,Coordinates!$J$2:$J$197,0))</f>
        <v>-2.2777790019999999</v>
      </c>
      <c r="AL844">
        <f>INDEX(Coordinates!$C$2:$C$197,MATCH(H844,Coordinates!$J$2:$J$197,0))</f>
        <v>34.028066029999998</v>
      </c>
      <c r="AM844" t="str">
        <f>IF(ISNUMBER(SEARCH("C", 'WetLitterbags placem_collection'!$Y185)),"YES","NO")</f>
        <v>NO</v>
      </c>
      <c r="AN844" t="str">
        <f>IF(ISNUMBER(SEARCH("H", 'WetLitterbags placem_collection'!$Y185)),"YES","NO")</f>
        <v>NO</v>
      </c>
      <c r="AO844" t="str">
        <f>IF(ISNUMBER(SEARCH("R", 'WetLitterbags placem_collection'!$Y185)),"YES","NO")</f>
        <v>NO</v>
      </c>
    </row>
    <row r="845" spans="1:41" ht="15" customHeight="1">
      <c r="A845" s="255" t="s">
        <v>2454</v>
      </c>
      <c r="B845" s="260">
        <f>'Dry_Litterbag Placem_Collection'!A186</f>
        <v>184</v>
      </c>
      <c r="C845" s="260" t="str">
        <f>'Dry_Litterbag Placem_Collection'!B186</f>
        <v>Handajega</v>
      </c>
      <c r="D845" s="260" t="s">
        <v>2454</v>
      </c>
      <c r="E845" s="260" t="s">
        <v>2645</v>
      </c>
      <c r="F845" s="260">
        <v>3</v>
      </c>
      <c r="G845" s="260" t="s">
        <v>3828</v>
      </c>
      <c r="H845" s="261" t="str">
        <f>'Dry_Litterbag Placem_Collection'!C186</f>
        <v>Wet_W3_T8</v>
      </c>
      <c r="I845" s="270" t="s">
        <v>3630</v>
      </c>
      <c r="J845" s="271" t="s">
        <v>298</v>
      </c>
      <c r="K845" s="221" t="str">
        <f>'WetLitterbags placem_collection'!Q186</f>
        <v>R555</v>
      </c>
      <c r="L845" s="223">
        <f>IFERROR(INDEX('Green_rooibos initial weight'!$C$5:$C$2000,MATCH(K845, 'Green_rooibos initial weight'!$A$5:$A$2000,0)),"")</f>
        <v>2.1789999999999998</v>
      </c>
      <c r="M845" s="223">
        <f>IFERROR(L845-(TBIcalc!$H$9+TBIcalc!$H$10),"")</f>
        <v>1.9291999999999998</v>
      </c>
      <c r="N845" s="385">
        <f>AVERAGE(Ashed_controlls!$K$2:$K$11)</f>
        <v>5.5147656768714146</v>
      </c>
      <c r="O845" s="223">
        <f t="shared" si="66"/>
        <v>1.8228091405617965</v>
      </c>
      <c r="P845" s="223">
        <f>IFERROR(INDEX('Both teabags AfterWet'!$C$3:$C$840,MATCH(K845,'Both teabags AfterWet'!$A$3:$A$840,0)),"")</f>
        <v>1.7096</v>
      </c>
      <c r="Q845" s="223">
        <f>IFERROR(IF(P845&gt;0,P845-(TBIcalc!$H$9),""),"")</f>
        <v>1.5589999999999999</v>
      </c>
      <c r="R845" s="223">
        <f>IFERROR(INDEX('Ashed teabags wet'!$K$2:$K$2000,MATCH(K845,'Ashed teabags wet'!$A$2:$A$2000,0)),"")</f>
        <v>2.750491159135366</v>
      </c>
      <c r="S845" s="223">
        <f t="shared" si="67"/>
        <v>1.5161198428290796</v>
      </c>
      <c r="T845" s="224">
        <f>'WetLitterbags placem_collection'!E186</f>
        <v>42763</v>
      </c>
      <c r="U845" s="224">
        <f>IF('WetLitterbags placem_collection'!G186="","",'WetLitterbags placem_collection'!G186)</f>
        <v>42815</v>
      </c>
      <c r="V845" s="225">
        <f t="shared" si="65"/>
        <v>52</v>
      </c>
      <c r="W845" s="223">
        <f t="shared" si="68"/>
        <v>0.37019999999999986</v>
      </c>
      <c r="X845" s="223">
        <f t="shared" si="69"/>
        <v>0.30668929773271691</v>
      </c>
      <c r="Y845">
        <f>IFERROR(INDEX(Rainfall_Wet!$O$2:$O$217,MATCH(B845, Rainfall_Wet!$A$2:$A$217,0)),"")</f>
        <v>188.24043152799999</v>
      </c>
      <c r="Z845" s="228">
        <v>25.96</v>
      </c>
      <c r="AA845" s="228">
        <v>8.9200000000000017</v>
      </c>
      <c r="AB845" s="228">
        <v>65.12</v>
      </c>
      <c r="AC845" s="229" t="s">
        <v>2654</v>
      </c>
      <c r="AD845" s="228">
        <v>8.6145884672252304</v>
      </c>
      <c r="AE845">
        <f>IF('WetLitterbags placem_collection'!AB186="","",'WetLitterbags placem_collection'!AB186)</f>
        <v>3.7</v>
      </c>
      <c r="AF845">
        <f>IF('WetLitterbags placem_collection'!Z186="","",'WetLitterbags placem_collection'!Z186)</f>
        <v>16.399999999999999</v>
      </c>
      <c r="AG845" s="243" t="str">
        <f>IF('WetLitterbags placem_collection'!AA186="","",'WetLitterbags placem_collection'!AA186)</f>
        <v>O</v>
      </c>
      <c r="AH845">
        <f>IF('WetLitterbags placem_collection'!AC186="","",'WetLitterbags placem_collection'!AC186)</f>
        <v>0</v>
      </c>
      <c r="AI845">
        <f>AVERAGE('WetLitterbags placem_collection'!S186,'WetLitterbags placem_collection'!U186)</f>
        <v>13.3</v>
      </c>
      <c r="AJ845">
        <f>AVERAGE('WetLitterbags placem_collection'!R186,'WetLitterbags placem_collection'!T186)</f>
        <v>29.950000000000003</v>
      </c>
      <c r="AK845">
        <f>INDEX(Coordinates!$B$2:$B$197,MATCH(H845,Coordinates!$J$2:$J$197,0))</f>
        <v>-2.2775169829999999</v>
      </c>
      <c r="AL845">
        <f>INDEX(Coordinates!$C$2:$C$197,MATCH(H845,Coordinates!$J$2:$J$197,0))</f>
        <v>34.027766970000002</v>
      </c>
      <c r="AM845" t="str">
        <f>IF(ISNUMBER(SEARCH("C", 'WetLitterbags placem_collection'!$Y186)),"YES","NO")</f>
        <v>NO</v>
      </c>
      <c r="AN845" t="str">
        <f>IF(ISNUMBER(SEARCH("H", 'WetLitterbags placem_collection'!$Y186)),"YES","NO")</f>
        <v>NO</v>
      </c>
      <c r="AO845" t="str">
        <f>IF(ISNUMBER(SEARCH("R", 'WetLitterbags placem_collection'!$Y186)),"YES","NO")</f>
        <v>NO</v>
      </c>
    </row>
    <row r="846" spans="1:41" ht="15" customHeight="1">
      <c r="A846" s="255" t="s">
        <v>2454</v>
      </c>
      <c r="B846" s="260">
        <f>'Dry_Litterbag Placem_Collection'!A187</f>
        <v>185</v>
      </c>
      <c r="C846" s="260" t="str">
        <f>'Dry_Litterbag Placem_Collection'!B187</f>
        <v>Handajega</v>
      </c>
      <c r="D846" s="260" t="s">
        <v>2454</v>
      </c>
      <c r="E846" s="260" t="s">
        <v>2645</v>
      </c>
      <c r="F846" s="260">
        <v>4</v>
      </c>
      <c r="G846" s="260" t="s">
        <v>3829</v>
      </c>
      <c r="H846" s="261" t="str">
        <f>'Dry_Litterbag Placem_Collection'!C187</f>
        <v>Wet_W4_T1</v>
      </c>
      <c r="I846" s="270" t="s">
        <v>3630</v>
      </c>
      <c r="J846" s="271" t="s">
        <v>298</v>
      </c>
      <c r="K846" s="221" t="str">
        <f>'WetLitterbags placem_collection'!Q187</f>
        <v>R539</v>
      </c>
      <c r="L846" s="223">
        <f>IFERROR(INDEX('Green_rooibos initial weight'!$C$5:$C$2000,MATCH(K846, 'Green_rooibos initial weight'!$A$5:$A$2000,0)),"")</f>
        <v>2.16</v>
      </c>
      <c r="M846" s="223">
        <f>IFERROR(L846-(TBIcalc!$H$9+TBIcalc!$H$10),"")</f>
        <v>1.9102000000000001</v>
      </c>
      <c r="N846" s="385">
        <f>AVERAGE(Ashed_controlls!$K$2:$K$11)</f>
        <v>5.5147656768714146</v>
      </c>
      <c r="O846" s="223">
        <f t="shared" si="66"/>
        <v>1.8048569460404023</v>
      </c>
      <c r="P846" s="223">
        <f>IFERROR(INDEX('Both teabags AfterWet'!$C$3:$C$840,MATCH(K846,'Both teabags AfterWet'!$A$3:$A$840,0)),"")</f>
        <v>1.7513000000000001</v>
      </c>
      <c r="Q846" s="223">
        <f>IFERROR(IF(P846&gt;0,P846-(TBIcalc!$H$9),""),"")</f>
        <v>1.6007</v>
      </c>
      <c r="R846" s="223">
        <f>IFERROR(INDEX('Ashed teabags wet'!$K$2:$K$2000,MATCH(K846,'Ashed teabags wet'!$A$2:$A$2000,0)),"")</f>
        <v>1.5944195316393635</v>
      </c>
      <c r="S846" s="223">
        <f t="shared" si="67"/>
        <v>1.5751781265570488</v>
      </c>
      <c r="T846" s="224">
        <f>'WetLitterbags placem_collection'!E187</f>
        <v>42763</v>
      </c>
      <c r="U846" s="224">
        <f>IF('WetLitterbags placem_collection'!G187="","",'WetLitterbags placem_collection'!G187)</f>
        <v>42815</v>
      </c>
      <c r="V846" s="225">
        <f t="shared" si="65"/>
        <v>52</v>
      </c>
      <c r="W846" s="223">
        <f t="shared" si="68"/>
        <v>0.30950000000000011</v>
      </c>
      <c r="X846" s="223">
        <f t="shared" si="69"/>
        <v>0.22967881948335345</v>
      </c>
      <c r="Y846">
        <f>IFERROR(INDEX(Rainfall_Wet!$O$2:$O$217,MATCH(B846, Rainfall_Wet!$A$2:$A$217,0)),"")</f>
        <v>188.24043152799999</v>
      </c>
      <c r="Z846" s="228">
        <v>25.96</v>
      </c>
      <c r="AA846" s="228">
        <v>8.9200000000000017</v>
      </c>
      <c r="AB846" s="228">
        <v>65.12</v>
      </c>
      <c r="AC846" s="229" t="s">
        <v>2654</v>
      </c>
      <c r="AD846" s="228">
        <v>1.6991621488417901</v>
      </c>
      <c r="AE846">
        <f>IF('WetLitterbags placem_collection'!AB187="","",'WetLitterbags placem_collection'!AB187)</f>
        <v>9.8000000000000007</v>
      </c>
      <c r="AF846">
        <f>IF('WetLitterbags placem_collection'!Z187="","",'WetLitterbags placem_collection'!Z187)</f>
        <v>29.4</v>
      </c>
      <c r="AG846" s="243" t="str">
        <f>IF('WetLitterbags placem_collection'!AA187="","",'WetLitterbags placem_collection'!AA187)</f>
        <v>O</v>
      </c>
      <c r="AH846">
        <f>IF('WetLitterbags placem_collection'!AC187="","",'WetLitterbags placem_collection'!AC187)</f>
        <v>0</v>
      </c>
      <c r="AI846">
        <f>AVERAGE('WetLitterbags placem_collection'!S187,'WetLitterbags placem_collection'!U187)</f>
        <v>17.850000000000001</v>
      </c>
      <c r="AJ846">
        <f>AVERAGE('WetLitterbags placem_collection'!R187,'WetLitterbags placem_collection'!T187)</f>
        <v>35.400000000000006</v>
      </c>
      <c r="AK846">
        <f>INDEX(Coordinates!$B$2:$B$197,MATCH(H846,Coordinates!$J$2:$J$197,0))</f>
        <v>-2.2787330300000002</v>
      </c>
      <c r="AL846">
        <f>INDEX(Coordinates!$C$2:$C$197,MATCH(H846,Coordinates!$J$2:$J$197,0))</f>
        <v>34.032136029999997</v>
      </c>
      <c r="AM846" t="str">
        <f>IF(ISNUMBER(SEARCH("C", 'WetLitterbags placem_collection'!$Y187)),"YES","NO")</f>
        <v>NO</v>
      </c>
      <c r="AN846" t="str">
        <f>IF(ISNUMBER(SEARCH("H", 'WetLitterbags placem_collection'!$Y187)),"YES","NO")</f>
        <v>NO</v>
      </c>
      <c r="AO846" t="str">
        <f>IF(ISNUMBER(SEARCH("R", 'WetLitterbags placem_collection'!$Y187)),"YES","NO")</f>
        <v>NO</v>
      </c>
    </row>
    <row r="847" spans="1:41" ht="15" customHeight="1">
      <c r="A847" s="255" t="s">
        <v>2454</v>
      </c>
      <c r="B847" s="260">
        <f>'Dry_Litterbag Placem_Collection'!A188</f>
        <v>186</v>
      </c>
      <c r="C847" s="260" t="str">
        <f>'Dry_Litterbag Placem_Collection'!B188</f>
        <v>Handajega</v>
      </c>
      <c r="D847" s="260" t="s">
        <v>2454</v>
      </c>
      <c r="E847" s="260" t="s">
        <v>2645</v>
      </c>
      <c r="F847" s="260">
        <v>4</v>
      </c>
      <c r="G847" s="260" t="s">
        <v>3829</v>
      </c>
      <c r="H847" s="261" t="str">
        <f>'Dry_Litterbag Placem_Collection'!C188</f>
        <v>Wet_W4_T2</v>
      </c>
      <c r="I847" s="270" t="s">
        <v>3630</v>
      </c>
      <c r="J847" s="271" t="s">
        <v>298</v>
      </c>
      <c r="K847" s="221" t="str">
        <f>'WetLitterbags placem_collection'!Q188</f>
        <v>R186</v>
      </c>
      <c r="L847" s="223">
        <f>IFERROR(INDEX('Green_rooibos initial weight'!$C$5:$C$2000,MATCH(K847, 'Green_rooibos initial weight'!$A$5:$A$2000,0)),"")</f>
        <v>2.2530000000000001</v>
      </c>
      <c r="M847" s="223">
        <f>IFERROR(L847-(TBIcalc!$H$9+TBIcalc!$H$10),"")</f>
        <v>2.0032000000000001</v>
      </c>
      <c r="N847" s="385">
        <f>AVERAGE(Ashed_controlls!$K$2:$K$11)</f>
        <v>5.5147656768714146</v>
      </c>
      <c r="O847" s="223">
        <f t="shared" si="66"/>
        <v>1.8927282139609118</v>
      </c>
      <c r="P847" s="223">
        <f>IFERROR(INDEX('Both teabags AfterWet'!$C$3:$C$840,MATCH(K847,'Both teabags AfterWet'!$A$3:$A$840,0)),"")</f>
        <v>1.7809999999999999</v>
      </c>
      <c r="Q847" s="223">
        <f>IFERROR(IF(P847&gt;0,P847-(TBIcalc!$H$9),""),"")</f>
        <v>1.6303999999999998</v>
      </c>
      <c r="R847" s="223">
        <f>IFERROR(INDEX('Ashed teabags wet'!$K$2:$K$2000,MATCH(K847,'Ashed teabags wet'!$A$2:$A$2000,0)),"")</f>
        <v>2.2783556215947218</v>
      </c>
      <c r="S847" s="223">
        <f t="shared" si="67"/>
        <v>1.5932536899455194</v>
      </c>
      <c r="T847" s="224">
        <f>'WetLitterbags placem_collection'!E188</f>
        <v>42763</v>
      </c>
      <c r="U847" s="224">
        <f>IF('WetLitterbags placem_collection'!G188="","",'WetLitterbags placem_collection'!G188)</f>
        <v>42815</v>
      </c>
      <c r="V847" s="225">
        <f t="shared" si="65"/>
        <v>52</v>
      </c>
      <c r="W847" s="223">
        <f t="shared" si="68"/>
        <v>0.37280000000000024</v>
      </c>
      <c r="X847" s="223">
        <f t="shared" si="69"/>
        <v>0.29947452401539243</v>
      </c>
      <c r="Y847">
        <f>IFERROR(INDEX(Rainfall_Wet!$O$2:$O$217,MATCH(B847, Rainfall_Wet!$A$2:$A$217,0)),"")</f>
        <v>188.24043152799999</v>
      </c>
      <c r="Z847" s="228">
        <v>25.96</v>
      </c>
      <c r="AA847" s="228">
        <v>8.9200000000000017</v>
      </c>
      <c r="AB847" s="228">
        <v>65.12</v>
      </c>
      <c r="AC847" s="229" t="s">
        <v>2654</v>
      </c>
      <c r="AD847" s="228">
        <v>2.6991621488417898</v>
      </c>
      <c r="AE847">
        <f>IF('WetLitterbags placem_collection'!AB188="","",'WetLitterbags placem_collection'!AB188)</f>
        <v>11.4</v>
      </c>
      <c r="AF847">
        <f>IF('WetLitterbags placem_collection'!Z188="","",'WetLitterbags placem_collection'!Z188)</f>
        <v>45.4</v>
      </c>
      <c r="AG847" s="243" t="str">
        <f>IF('WetLitterbags placem_collection'!AA188="","",'WetLitterbags placem_collection'!AA188)</f>
        <v>O</v>
      </c>
      <c r="AH847">
        <f>IF('WetLitterbags placem_collection'!AC188="","",'WetLitterbags placem_collection'!AC188)</f>
        <v>0</v>
      </c>
      <c r="AI847">
        <f>AVERAGE('WetLitterbags placem_collection'!S188,'WetLitterbags placem_collection'!U188)</f>
        <v>16.899999999999999</v>
      </c>
      <c r="AJ847">
        <f>AVERAGE('WetLitterbags placem_collection'!R188,'WetLitterbags placem_collection'!T188)</f>
        <v>33.9</v>
      </c>
      <c r="AK847">
        <f>INDEX(Coordinates!$B$2:$B$197,MATCH(H847,Coordinates!$J$2:$J$197,0))</f>
        <v>-2.278763037</v>
      </c>
      <c r="AL847">
        <f>INDEX(Coordinates!$C$2:$C$197,MATCH(H847,Coordinates!$J$2:$J$197,0))</f>
        <v>34.031974009999999</v>
      </c>
      <c r="AM847" t="str">
        <f>IF(ISNUMBER(SEARCH("C", 'WetLitterbags placem_collection'!$Y188)),"YES","NO")</f>
        <v>NO</v>
      </c>
      <c r="AN847" t="str">
        <f>IF(ISNUMBER(SEARCH("H", 'WetLitterbags placem_collection'!$Y188)),"YES","NO")</f>
        <v>NO</v>
      </c>
      <c r="AO847" t="str">
        <f>IF(ISNUMBER(SEARCH("R", 'WetLitterbags placem_collection'!$Y188)),"YES","NO")</f>
        <v>NO</v>
      </c>
    </row>
    <row r="848" spans="1:41" ht="15" customHeight="1">
      <c r="A848" s="255" t="s">
        <v>2454</v>
      </c>
      <c r="B848" s="260">
        <f>'Dry_Litterbag Placem_Collection'!A189</f>
        <v>187</v>
      </c>
      <c r="C848" s="260" t="str">
        <f>'Dry_Litterbag Placem_Collection'!B189</f>
        <v>Handajega</v>
      </c>
      <c r="D848" s="260" t="s">
        <v>2454</v>
      </c>
      <c r="E848" s="260" t="s">
        <v>2645</v>
      </c>
      <c r="F848" s="260">
        <v>4</v>
      </c>
      <c r="G848" s="260" t="s">
        <v>3829</v>
      </c>
      <c r="H848" s="261" t="str">
        <f>'Dry_Litterbag Placem_Collection'!C189</f>
        <v>Wet_W4_T3</v>
      </c>
      <c r="I848" s="270" t="s">
        <v>3630</v>
      </c>
      <c r="J848" s="271" t="s">
        <v>298</v>
      </c>
      <c r="K848" s="221" t="str">
        <f>'WetLitterbags placem_collection'!Q189</f>
        <v>R580</v>
      </c>
      <c r="L848" s="223">
        <f>IFERROR(INDEX('Green_rooibos initial weight'!$C$5:$C$2000,MATCH(K848, 'Green_rooibos initial weight'!$A$5:$A$2000,0)),"")</f>
        <v>2.0870000000000002</v>
      </c>
      <c r="M848" s="223">
        <f>IFERROR(L848-(TBIcalc!$H$9+TBIcalc!$H$10),"")</f>
        <v>1.8372000000000002</v>
      </c>
      <c r="N848" s="385">
        <f>AVERAGE(Ashed_controlls!$K$2:$K$11)</f>
        <v>5.5147656768714146</v>
      </c>
      <c r="O848" s="223">
        <f t="shared" si="66"/>
        <v>1.7358827249845186</v>
      </c>
      <c r="P848" s="223">
        <f>IFERROR(INDEX('Both teabags AfterWet'!$C$3:$C$840,MATCH(K848,'Both teabags AfterWet'!$A$3:$A$840,0)),"")</f>
        <v>1.6225000000000001</v>
      </c>
      <c r="Q848" s="223">
        <f>IFERROR(IF(P848&gt;0,P848-(TBIcalc!$H$9),""),"")</f>
        <v>1.4719</v>
      </c>
      <c r="R848" s="223">
        <f>IFERROR(INDEX('Ashed teabags wet'!$K$2:$K$2000,MATCH(K848,'Ashed teabags wet'!$A$2:$A$2000,0)),"")</f>
        <v>2.0914396887151829</v>
      </c>
      <c r="S848" s="223">
        <f t="shared" si="67"/>
        <v>1.4411160992218013</v>
      </c>
      <c r="T848" s="224">
        <f>'WetLitterbags placem_collection'!E189</f>
        <v>42763</v>
      </c>
      <c r="U848" s="224">
        <f>IF('WetLitterbags placem_collection'!G189="","",'WetLitterbags placem_collection'!G189)</f>
        <v>42815</v>
      </c>
      <c r="V848" s="225">
        <f t="shared" si="65"/>
        <v>52</v>
      </c>
      <c r="W848" s="223">
        <f t="shared" si="68"/>
        <v>0.36530000000000018</v>
      </c>
      <c r="X848" s="223">
        <f t="shared" si="69"/>
        <v>0.29476662576271728</v>
      </c>
      <c r="Y848">
        <f>IFERROR(INDEX(Rainfall_Wet!$O$2:$O$217,MATCH(B848, Rainfall_Wet!$A$2:$A$217,0)),"")</f>
        <v>188.24043152799999</v>
      </c>
      <c r="Z848" s="228">
        <v>25.96</v>
      </c>
      <c r="AA848" s="228">
        <v>8.9200000000000017</v>
      </c>
      <c r="AB848" s="228">
        <v>65.12</v>
      </c>
      <c r="AC848" s="229" t="s">
        <v>2654</v>
      </c>
      <c r="AD848" s="228">
        <v>3.6991621488417898</v>
      </c>
      <c r="AE848">
        <f>IF('WetLitterbags placem_collection'!AB189="","",'WetLitterbags placem_collection'!AB189)</f>
        <v>0.6</v>
      </c>
      <c r="AF848">
        <f>IF('WetLitterbags placem_collection'!Z189="","",'WetLitterbags placem_collection'!Z189)</f>
        <v>39.4</v>
      </c>
      <c r="AG848" s="243" t="str">
        <f>IF('WetLitterbags placem_collection'!AA189="","",'WetLitterbags placem_collection'!AA189)</f>
        <v>O</v>
      </c>
      <c r="AH848">
        <f>IF('WetLitterbags placem_collection'!AC189="","",'WetLitterbags placem_collection'!AC189)</f>
        <v>1</v>
      </c>
      <c r="AI848">
        <f>AVERAGE('WetLitterbags placem_collection'!S189,'WetLitterbags placem_collection'!U189)</f>
        <v>14.2</v>
      </c>
      <c r="AJ848">
        <f>AVERAGE('WetLitterbags placem_collection'!R189,'WetLitterbags placem_collection'!T189)</f>
        <v>33</v>
      </c>
      <c r="AK848">
        <f>INDEX(Coordinates!$B$2:$B$197,MATCH(H848,Coordinates!$J$2:$J$197,0))</f>
        <v>-2.2785890289999999</v>
      </c>
      <c r="AL848">
        <f>INDEX(Coordinates!$C$2:$C$197,MATCH(H848,Coordinates!$J$2:$J$197,0))</f>
        <v>34.031841999999997</v>
      </c>
      <c r="AM848" t="str">
        <f>IF(ISNUMBER(SEARCH("C", 'WetLitterbags placem_collection'!$Y189)),"YES","NO")</f>
        <v>NO</v>
      </c>
      <c r="AN848" t="str">
        <f>IF(ISNUMBER(SEARCH("H", 'WetLitterbags placem_collection'!$Y189)),"YES","NO")</f>
        <v>NO</v>
      </c>
      <c r="AO848" t="str">
        <f>IF(ISNUMBER(SEARCH("R", 'WetLitterbags placem_collection'!$Y189)),"YES","NO")</f>
        <v>NO</v>
      </c>
    </row>
    <row r="849" spans="1:41" ht="15" customHeight="1">
      <c r="A849" s="255" t="s">
        <v>2454</v>
      </c>
      <c r="B849" s="260">
        <f>'Dry_Litterbag Placem_Collection'!A190</f>
        <v>188</v>
      </c>
      <c r="C849" s="260" t="str">
        <f>'Dry_Litterbag Placem_Collection'!B190</f>
        <v>Handajega</v>
      </c>
      <c r="D849" s="260" t="s">
        <v>2454</v>
      </c>
      <c r="E849" s="260" t="s">
        <v>2645</v>
      </c>
      <c r="F849" s="260">
        <v>4</v>
      </c>
      <c r="G849" s="260" t="s">
        <v>3829</v>
      </c>
      <c r="H849" s="261" t="str">
        <f>'Dry_Litterbag Placem_Collection'!C190</f>
        <v>Wet_W4_T4</v>
      </c>
      <c r="I849" s="270" t="s">
        <v>3630</v>
      </c>
      <c r="J849" s="271" t="s">
        <v>298</v>
      </c>
      <c r="K849" s="221" t="str">
        <f>'WetLitterbags placem_collection'!Q190</f>
        <v>R222</v>
      </c>
      <c r="L849" s="223">
        <f>IFERROR(INDEX('Green_rooibos initial weight'!$C$5:$C$2000,MATCH(K849, 'Green_rooibos initial weight'!$A$5:$A$2000,0)),"")</f>
        <v>2.194</v>
      </c>
      <c r="M849" s="223">
        <f>IFERROR(L849-(TBIcalc!$H$9+TBIcalc!$H$10),"")</f>
        <v>1.9441999999999999</v>
      </c>
      <c r="N849" s="385">
        <f>AVERAGE(Ashed_controlls!$K$2:$K$11)</f>
        <v>5.5147656768714146</v>
      </c>
      <c r="O849" s="223">
        <f t="shared" si="66"/>
        <v>1.836981925710266</v>
      </c>
      <c r="P849" s="223">
        <f>IFERROR(INDEX('Both teabags AfterWet'!$C$3:$C$840,MATCH(K849,'Both teabags AfterWet'!$A$3:$A$840,0)),"")</f>
        <v>1.5732999999999999</v>
      </c>
      <c r="Q849" s="223">
        <f>IFERROR(IF(P849&gt;0,P849-(TBIcalc!$H$9),""),"")</f>
        <v>1.4226999999999999</v>
      </c>
      <c r="R849" s="223">
        <f>IFERROR(INDEX('Ashed teabags wet'!$K$2:$K$2000,MATCH(K849,'Ashed teabags wet'!$A$2:$A$2000,0)),"")</f>
        <v>3.2535885167466505</v>
      </c>
      <c r="S849" s="223">
        <f t="shared" si="67"/>
        <v>1.3764111961722452</v>
      </c>
      <c r="T849" s="224">
        <f>'WetLitterbags placem_collection'!E190</f>
        <v>42763</v>
      </c>
      <c r="U849" s="224">
        <f>IF('WetLitterbags placem_collection'!G190="","",'WetLitterbags placem_collection'!G190)</f>
        <v>42815</v>
      </c>
      <c r="V849" s="225">
        <f t="shared" si="65"/>
        <v>52</v>
      </c>
      <c r="W849" s="223">
        <f t="shared" si="68"/>
        <v>0.52150000000000007</v>
      </c>
      <c r="X849" s="223">
        <f t="shared" si="69"/>
        <v>0.46057072953802081</v>
      </c>
      <c r="Y849">
        <f>IFERROR(INDEX(Rainfall_Wet!$O$2:$O$217,MATCH(B849, Rainfall_Wet!$A$2:$A$217,0)),"")</f>
        <v>188.24043152799999</v>
      </c>
      <c r="Z849" s="228">
        <v>25.96</v>
      </c>
      <c r="AA849" s="228">
        <v>8.9200000000000017</v>
      </c>
      <c r="AB849" s="228">
        <v>65.12</v>
      </c>
      <c r="AC849" s="229" t="s">
        <v>2654</v>
      </c>
      <c r="AD849" s="228">
        <v>4.6991621488417898</v>
      </c>
      <c r="AE849">
        <f>IF('WetLitterbags placem_collection'!AB190="","",'WetLitterbags placem_collection'!AB190)</f>
        <v>2.2999999999999998</v>
      </c>
      <c r="AF849">
        <f>IF('WetLitterbags placem_collection'!Z190="","",'WetLitterbags placem_collection'!Z190)</f>
        <v>14.4</v>
      </c>
      <c r="AG849" s="243" t="str">
        <f>IF('WetLitterbags placem_collection'!AA190="","",'WetLitterbags placem_collection'!AA190)</f>
        <v>O</v>
      </c>
      <c r="AH849">
        <f>IF('WetLitterbags placem_collection'!AC190="","",'WetLitterbags placem_collection'!AC190)</f>
        <v>0</v>
      </c>
      <c r="AI849">
        <f>AVERAGE('WetLitterbags placem_collection'!S190,'WetLitterbags placem_collection'!U190)</f>
        <v>10.45</v>
      </c>
      <c r="AJ849">
        <f>AVERAGE('WetLitterbags placem_collection'!R190,'WetLitterbags placem_collection'!T190)</f>
        <v>34.15</v>
      </c>
      <c r="AK849">
        <f>INDEX(Coordinates!$B$2:$B$197,MATCH(H849,Coordinates!$J$2:$J$197,0))</f>
        <v>-2.278422983</v>
      </c>
      <c r="AL849">
        <f>INDEX(Coordinates!$C$2:$C$197,MATCH(H849,Coordinates!$J$2:$J$197,0))</f>
        <v>34.032261009999999</v>
      </c>
      <c r="AM849" t="str">
        <f>IF(ISNUMBER(SEARCH("C", 'WetLitterbags placem_collection'!$Y190)),"YES","NO")</f>
        <v>NO</v>
      </c>
      <c r="AN849" t="str">
        <f>IF(ISNUMBER(SEARCH("H", 'WetLitterbags placem_collection'!$Y190)),"YES","NO")</f>
        <v>NO</v>
      </c>
      <c r="AO849" t="str">
        <f>IF(ISNUMBER(SEARCH("R", 'WetLitterbags placem_collection'!$Y190)),"YES","NO")</f>
        <v>NO</v>
      </c>
    </row>
    <row r="850" spans="1:41" ht="15" customHeight="1">
      <c r="A850" s="255" t="s">
        <v>2454</v>
      </c>
      <c r="B850" s="260">
        <f>'Dry_Litterbag Placem_Collection'!A191</f>
        <v>189</v>
      </c>
      <c r="C850" s="260" t="str">
        <f>'Dry_Litterbag Placem_Collection'!B191</f>
        <v>Handajega</v>
      </c>
      <c r="D850" s="260" t="s">
        <v>2454</v>
      </c>
      <c r="E850" s="260" t="s">
        <v>2645</v>
      </c>
      <c r="F850" s="260">
        <v>4</v>
      </c>
      <c r="G850" s="260" t="s">
        <v>3829</v>
      </c>
      <c r="H850" s="261" t="str">
        <f>'Dry_Litterbag Placem_Collection'!C191</f>
        <v>Wet_W4_T5</v>
      </c>
      <c r="I850" s="270" t="s">
        <v>3630</v>
      </c>
      <c r="J850" s="271" t="s">
        <v>298</v>
      </c>
      <c r="K850" s="221" t="str">
        <f>'WetLitterbags placem_collection'!Q191</f>
        <v>R216</v>
      </c>
      <c r="L850" s="223">
        <f>IFERROR(INDEX('Green_rooibos initial weight'!$C$5:$C$2000,MATCH(K850, 'Green_rooibos initial weight'!$A$5:$A$2000,0)),"")</f>
        <v>2.1880000000000002</v>
      </c>
      <c r="M850" s="223">
        <f>IFERROR(L850-(TBIcalc!$H$9+TBIcalc!$H$10),"")</f>
        <v>1.9382000000000001</v>
      </c>
      <c r="N850" s="385">
        <f>AVERAGE(Ashed_controlls!$K$2:$K$11)</f>
        <v>5.5147656768714146</v>
      </c>
      <c r="O850" s="223">
        <f t="shared" si="66"/>
        <v>1.8313128116508783</v>
      </c>
      <c r="P850" s="223">
        <f>IFERROR(INDEX('Both teabags AfterWet'!$C$3:$C$840,MATCH(K850,'Both teabags AfterWet'!$A$3:$A$840,0)),"")</f>
        <v>1.6973</v>
      </c>
      <c r="Q850" s="223">
        <f>IFERROR(IF(P850&gt;0,P850-(TBIcalc!$H$9),""),"")</f>
        <v>1.5467</v>
      </c>
      <c r="R850" s="223">
        <f>IFERROR(INDEX('Ashed teabags wet'!$K$2:$K$2000,MATCH(K850,'Ashed teabags wet'!$A$2:$A$2000,0)),"")</f>
        <v>2.7254707631314172</v>
      </c>
      <c r="S850" s="223">
        <f t="shared" si="67"/>
        <v>1.5045451437066464</v>
      </c>
      <c r="T850" s="224">
        <f>'WetLitterbags placem_collection'!E191</f>
        <v>42763</v>
      </c>
      <c r="U850" s="224">
        <f>IF('WetLitterbags placem_collection'!G191="","",'WetLitterbags placem_collection'!G191)</f>
        <v>42815</v>
      </c>
      <c r="V850" s="225">
        <f t="shared" si="65"/>
        <v>52</v>
      </c>
      <c r="W850" s="223">
        <f t="shared" si="68"/>
        <v>0.39150000000000018</v>
      </c>
      <c r="X850" s="223">
        <f t="shared" si="69"/>
        <v>0.32676766794423195</v>
      </c>
      <c r="Y850">
        <f>IFERROR(INDEX(Rainfall_Wet!$O$2:$O$217,MATCH(B850, Rainfall_Wet!$A$2:$A$217,0)),"")</f>
        <v>188.24043152799999</v>
      </c>
      <c r="Z850" s="228">
        <v>25.96</v>
      </c>
      <c r="AA850" s="228">
        <v>8.9200000000000017</v>
      </c>
      <c r="AB850" s="228">
        <v>65.12</v>
      </c>
      <c r="AC850" s="229" t="s">
        <v>2654</v>
      </c>
      <c r="AD850" s="228">
        <v>5.6991621488417898</v>
      </c>
      <c r="AE850">
        <f>IF('WetLitterbags placem_collection'!AB191="","",'WetLitterbags placem_collection'!AB191)</f>
        <v>0.6</v>
      </c>
      <c r="AF850">
        <f>IF('WetLitterbags placem_collection'!Z191="","",'WetLitterbags placem_collection'!Z191)</f>
        <v>7</v>
      </c>
      <c r="AG850" s="243" t="str">
        <f>IF('WetLitterbags placem_collection'!AA191="","",'WetLitterbags placem_collection'!AA191)</f>
        <v>O</v>
      </c>
      <c r="AH850">
        <f>IF('WetLitterbags placem_collection'!AC191="","",'WetLitterbags placem_collection'!AC191)</f>
        <v>1</v>
      </c>
      <c r="AI850">
        <f>AVERAGE('WetLitterbags placem_collection'!S191,'WetLitterbags placem_collection'!U191)</f>
        <v>13.6</v>
      </c>
      <c r="AJ850">
        <f>AVERAGE('WetLitterbags placem_collection'!R191,'WetLitterbags placem_collection'!T191)</f>
        <v>30.6</v>
      </c>
      <c r="AK850">
        <f>INDEX(Coordinates!$B$2:$B$197,MATCH(H850,Coordinates!$J$2:$J$197,0))</f>
        <v>-2.2787580080000001</v>
      </c>
      <c r="AL850">
        <f>INDEX(Coordinates!$C$2:$C$197,MATCH(H850,Coordinates!$J$2:$J$197,0))</f>
        <v>34.032463010000001</v>
      </c>
      <c r="AM850" t="str">
        <f>IF(ISNUMBER(SEARCH("C", 'WetLitterbags placem_collection'!$Y191)),"YES","NO")</f>
        <v>NO</v>
      </c>
      <c r="AN850" t="str">
        <f>IF(ISNUMBER(SEARCH("H", 'WetLitterbags placem_collection'!$Y191)),"YES","NO")</f>
        <v>NO</v>
      </c>
      <c r="AO850" t="str">
        <f>IF(ISNUMBER(SEARCH("R", 'WetLitterbags placem_collection'!$Y191)),"YES","NO")</f>
        <v>YES</v>
      </c>
    </row>
    <row r="851" spans="1:41" ht="15" customHeight="1">
      <c r="A851" s="255" t="s">
        <v>2454</v>
      </c>
      <c r="B851" s="260">
        <f>'Dry_Litterbag Placem_Collection'!A192</f>
        <v>190</v>
      </c>
      <c r="C851" s="260" t="str">
        <f>'Dry_Litterbag Placem_Collection'!B192</f>
        <v>Handajega</v>
      </c>
      <c r="D851" s="260" t="s">
        <v>2454</v>
      </c>
      <c r="E851" s="260" t="s">
        <v>2645</v>
      </c>
      <c r="F851" s="260">
        <v>4</v>
      </c>
      <c r="G851" s="260" t="s">
        <v>3829</v>
      </c>
      <c r="H851" s="261" t="str">
        <f>'Dry_Litterbag Placem_Collection'!C192</f>
        <v>Wet_W4_T6</v>
      </c>
      <c r="I851" s="270" t="s">
        <v>3630</v>
      </c>
      <c r="J851" s="271" t="s">
        <v>298</v>
      </c>
      <c r="K851" s="221" t="str">
        <f>'WetLitterbags placem_collection'!Q192</f>
        <v>R232</v>
      </c>
      <c r="L851" s="223">
        <f>IFERROR(INDEX('Green_rooibos initial weight'!$C$5:$C$2000,MATCH(K851, 'Green_rooibos initial weight'!$A$5:$A$2000,0)),"")</f>
        <v>2.2440000000000002</v>
      </c>
      <c r="M851" s="223">
        <f>IFERROR(L851-(TBIcalc!$H$9+TBIcalc!$H$10),"")</f>
        <v>1.9942000000000002</v>
      </c>
      <c r="N851" s="385">
        <f>AVERAGE(Ashed_controlls!$K$2:$K$11)</f>
        <v>5.5147656768714146</v>
      </c>
      <c r="O851" s="223">
        <f t="shared" si="66"/>
        <v>1.8842245428718305</v>
      </c>
      <c r="P851" s="223">
        <f>IFERROR(INDEX('Both teabags AfterWet'!$C$3:$C$840,MATCH(K851,'Both teabags AfterWet'!$A$3:$A$840,0)),"")</f>
        <v>1.7355</v>
      </c>
      <c r="Q851" s="223">
        <f>IFERROR(IF(P851&gt;0,P851-(TBIcalc!$H$9),""),"")</f>
        <v>1.5849</v>
      </c>
      <c r="R851" s="223">
        <f>IFERROR(INDEX('Ashed teabags wet'!$K$2:$K$2000,MATCH(K851,'Ashed teabags wet'!$A$2:$A$2000,0)),"")</f>
        <v>2.2167487684728533</v>
      </c>
      <c r="S851" s="223">
        <f t="shared" si="67"/>
        <v>1.5497667487684736</v>
      </c>
      <c r="T851" s="224">
        <f>'WetLitterbags placem_collection'!E192</f>
        <v>42763</v>
      </c>
      <c r="U851" s="224">
        <f>IF('WetLitterbags placem_collection'!G192="","",'WetLitterbags placem_collection'!G192)</f>
        <v>42815</v>
      </c>
      <c r="V851" s="225">
        <f t="shared" si="65"/>
        <v>52</v>
      </c>
      <c r="W851" s="223">
        <f t="shared" si="68"/>
        <v>0.40930000000000022</v>
      </c>
      <c r="X851" s="223">
        <f t="shared" si="69"/>
        <v>0.33445779410335685</v>
      </c>
      <c r="Y851">
        <f>IFERROR(INDEX(Rainfall_Wet!$O$2:$O$217,MATCH(B851, Rainfall_Wet!$A$2:$A$217,0)),"")</f>
        <v>188.24043152799999</v>
      </c>
      <c r="Z851" s="228">
        <v>25.96</v>
      </c>
      <c r="AA851" s="228">
        <v>8.9200000000000017</v>
      </c>
      <c r="AB851" s="228">
        <v>65.12</v>
      </c>
      <c r="AC851" s="229" t="s">
        <v>2654</v>
      </c>
      <c r="AD851" s="228">
        <v>6.6991621488417898</v>
      </c>
      <c r="AE851">
        <f>IF('WetLitterbags placem_collection'!AB192="","",'WetLitterbags placem_collection'!AB192)</f>
        <v>9.5</v>
      </c>
      <c r="AF851">
        <f>IF('WetLitterbags placem_collection'!Z192="","",'WetLitterbags placem_collection'!Z192)</f>
        <v>17.399999999999999</v>
      </c>
      <c r="AG851" s="243" t="str">
        <f>IF('WetLitterbags placem_collection'!AA192="","",'WetLitterbags placem_collection'!AA192)</f>
        <v>O</v>
      </c>
      <c r="AH851">
        <f>IF('WetLitterbags placem_collection'!AC192="","",'WetLitterbags placem_collection'!AC192)</f>
        <v>0</v>
      </c>
      <c r="AI851">
        <f>AVERAGE('WetLitterbags placem_collection'!S192,'WetLitterbags placem_collection'!U192)</f>
        <v>13.55</v>
      </c>
      <c r="AJ851">
        <f>AVERAGE('WetLitterbags placem_collection'!R192,'WetLitterbags placem_collection'!T192)</f>
        <v>34.049999999999997</v>
      </c>
      <c r="AK851">
        <f>INDEX(Coordinates!$B$2:$B$197,MATCH(H851,Coordinates!$J$2:$J$197,0))</f>
        <v>-2.2787559960000001</v>
      </c>
      <c r="AL851">
        <f>INDEX(Coordinates!$C$2:$C$197,MATCH(H851,Coordinates!$J$2:$J$197,0))</f>
        <v>34.032268969999997</v>
      </c>
      <c r="AM851" t="str">
        <f>IF(ISNUMBER(SEARCH("C", 'WetLitterbags placem_collection'!$Y192)),"YES","NO")</f>
        <v>NO</v>
      </c>
      <c r="AN851" t="str">
        <f>IF(ISNUMBER(SEARCH("H", 'WetLitterbags placem_collection'!$Y192)),"YES","NO")</f>
        <v>NO</v>
      </c>
      <c r="AO851" t="str">
        <f>IF(ISNUMBER(SEARCH("R", 'WetLitterbags placem_collection'!$Y192)),"YES","NO")</f>
        <v>NO</v>
      </c>
    </row>
    <row r="852" spans="1:41" ht="15" customHeight="1">
      <c r="A852" s="255" t="s">
        <v>2454</v>
      </c>
      <c r="B852" s="260">
        <f>'Dry_Litterbag Placem_Collection'!A193</f>
        <v>191</v>
      </c>
      <c r="C852" s="260" t="str">
        <f>'Dry_Litterbag Placem_Collection'!B193</f>
        <v>Handajega</v>
      </c>
      <c r="D852" s="260" t="s">
        <v>2454</v>
      </c>
      <c r="E852" s="260" t="s">
        <v>2645</v>
      </c>
      <c r="F852" s="260">
        <v>4</v>
      </c>
      <c r="G852" s="260" t="s">
        <v>3829</v>
      </c>
      <c r="H852" s="261" t="str">
        <f>'Dry_Litterbag Placem_Collection'!C193</f>
        <v>Wet_W4_T7</v>
      </c>
      <c r="I852" s="270" t="s">
        <v>3630</v>
      </c>
      <c r="J852" s="271" t="s">
        <v>298</v>
      </c>
      <c r="K852" s="221" t="str">
        <f>'WetLitterbags placem_collection'!Q193</f>
        <v>R387</v>
      </c>
      <c r="L852" s="223">
        <f>IFERROR(INDEX('Green_rooibos initial weight'!$C$5:$C$2000,MATCH(K852, 'Green_rooibos initial weight'!$A$5:$A$2000,0)),"")</f>
        <v>2.1080000000000001</v>
      </c>
      <c r="M852" s="223">
        <f>IFERROR(L852-(TBIcalc!$H$9+TBIcalc!$H$10),"")</f>
        <v>1.8582000000000001</v>
      </c>
      <c r="N852" s="385">
        <f>AVERAGE(Ashed_controlls!$K$2:$K$11)</f>
        <v>5.5147656768714146</v>
      </c>
      <c r="O852" s="223">
        <f t="shared" si="66"/>
        <v>1.7557246241923754</v>
      </c>
      <c r="P852" s="223">
        <f>IFERROR(INDEX('Both teabags AfterWet'!$C$3:$C$840,MATCH(K852,'Both teabags AfterWet'!$A$3:$A$840,0)),"")</f>
        <v>1.6520999999999999</v>
      </c>
      <c r="Q852" s="223">
        <f>IFERROR(IF(P852&gt;0,P852-(TBIcalc!$H$9),""),"")</f>
        <v>1.5014999999999998</v>
      </c>
      <c r="R852" s="223">
        <f>IFERROR(INDEX('Ashed teabags wet'!$K$2:$K$2000,MATCH(K852,'Ashed teabags wet'!$A$2:$A$2000,0)),"")</f>
        <v>2.1414342629480405</v>
      </c>
      <c r="S852" s="223">
        <f t="shared" si="67"/>
        <v>1.469346364541835</v>
      </c>
      <c r="T852" s="224">
        <f>'WetLitterbags placem_collection'!E193</f>
        <v>42763</v>
      </c>
      <c r="U852" s="224">
        <f>IF('WetLitterbags placem_collection'!G193="","",'WetLitterbags placem_collection'!G193)</f>
        <v>42815</v>
      </c>
      <c r="V852" s="225">
        <f t="shared" si="65"/>
        <v>52</v>
      </c>
      <c r="W852" s="223">
        <f t="shared" si="68"/>
        <v>0.35670000000000024</v>
      </c>
      <c r="X852" s="223">
        <f t="shared" si="69"/>
        <v>0.28637825965054042</v>
      </c>
      <c r="Y852">
        <f>IFERROR(INDEX(Rainfall_Wet!$O$2:$O$217,MATCH(B852, Rainfall_Wet!$A$2:$A$217,0)),"")</f>
        <v>188.24043152799999</v>
      </c>
      <c r="Z852" s="228">
        <v>25.96</v>
      </c>
      <c r="AA852" s="228">
        <v>8.9200000000000017</v>
      </c>
      <c r="AB852" s="228">
        <v>65.12</v>
      </c>
      <c r="AC852" s="229" t="s">
        <v>2654</v>
      </c>
      <c r="AD852" s="228">
        <v>7.6991621488417898</v>
      </c>
      <c r="AE852">
        <f>IF('WetLitterbags placem_collection'!AB193="","",'WetLitterbags placem_collection'!AB193)</f>
        <v>12.4</v>
      </c>
      <c r="AF852">
        <f>IF('WetLitterbags placem_collection'!Z193="","",'WetLitterbags placem_collection'!Z193)</f>
        <v>29.8</v>
      </c>
      <c r="AG852" s="243" t="str">
        <f>IF('WetLitterbags placem_collection'!AA193="","",'WetLitterbags placem_collection'!AA193)</f>
        <v>O</v>
      </c>
      <c r="AH852">
        <f>IF('WetLitterbags placem_collection'!AC193="","",'WetLitterbags placem_collection'!AC193)</f>
        <v>0</v>
      </c>
      <c r="AI852">
        <f>AVERAGE('WetLitterbags placem_collection'!S193,'WetLitterbags placem_collection'!U193)</f>
        <v>12.350000000000001</v>
      </c>
      <c r="AJ852">
        <f>AVERAGE('WetLitterbags placem_collection'!R193,'WetLitterbags placem_collection'!T193)</f>
        <v>35</v>
      </c>
      <c r="AK852">
        <f>INDEX(Coordinates!$B$2:$B$197,MATCH(H852,Coordinates!$J$2:$J$197,0))</f>
        <v>-2.278704029</v>
      </c>
      <c r="AL852">
        <f>INDEX(Coordinates!$C$2:$C$197,MATCH(H852,Coordinates!$J$2:$J$197,0))</f>
        <v>34.032182970000001</v>
      </c>
      <c r="AM852" t="str">
        <f>IF(ISNUMBER(SEARCH("C", 'WetLitterbags placem_collection'!$Y193)),"YES","NO")</f>
        <v>NO</v>
      </c>
      <c r="AN852" t="str">
        <f>IF(ISNUMBER(SEARCH("H", 'WetLitterbags placem_collection'!$Y193)),"YES","NO")</f>
        <v>NO</v>
      </c>
      <c r="AO852" t="str">
        <f>IF(ISNUMBER(SEARCH("R", 'WetLitterbags placem_collection'!$Y193)),"YES","NO")</f>
        <v>NO</v>
      </c>
    </row>
    <row r="853" spans="1:41" ht="15" customHeight="1">
      <c r="A853" s="255" t="s">
        <v>2454</v>
      </c>
      <c r="B853" s="260">
        <f>'Dry_Litterbag Placem_Collection'!A194</f>
        <v>192</v>
      </c>
      <c r="C853" s="260" t="str">
        <f>'Dry_Litterbag Placem_Collection'!B194</f>
        <v>Handajega</v>
      </c>
      <c r="D853" s="260" t="s">
        <v>2454</v>
      </c>
      <c r="E853" s="260" t="s">
        <v>2645</v>
      </c>
      <c r="F853" s="260">
        <v>4</v>
      </c>
      <c r="G853" s="260" t="s">
        <v>3829</v>
      </c>
      <c r="H853" s="261" t="str">
        <f>'Dry_Litterbag Placem_Collection'!C194</f>
        <v>Wet_W4_T8</v>
      </c>
      <c r="I853" s="270" t="s">
        <v>3630</v>
      </c>
      <c r="J853" s="271" t="s">
        <v>298</v>
      </c>
      <c r="K853" s="221" t="str">
        <f>'WetLitterbags placem_collection'!Q194</f>
        <v>R346</v>
      </c>
      <c r="L853" s="223">
        <f>IFERROR(INDEX('Green_rooibos initial weight'!$C$5:$C$2000,MATCH(K853, 'Green_rooibos initial weight'!$A$5:$A$2000,0)),"")</f>
        <v>2.2349999999999999</v>
      </c>
      <c r="M853" s="223">
        <f>IFERROR(L853-(TBIcalc!$H$9+TBIcalc!$H$10),"")</f>
        <v>1.9851999999999999</v>
      </c>
      <c r="N853" s="385">
        <f>AVERAGE(Ashed_controlls!$K$2:$K$11)</f>
        <v>5.5147656768714146</v>
      </c>
      <c r="O853" s="223">
        <f t="shared" si="66"/>
        <v>1.8757208717827485</v>
      </c>
      <c r="P853" s="223">
        <f>IFERROR(INDEX('Both teabags AfterWet'!$C$3:$C$840,MATCH(K853,'Both teabags AfterWet'!$A$3:$A$840,0)),"")</f>
        <v>1.6679999999999999</v>
      </c>
      <c r="Q853" s="223">
        <f>IFERROR(IF(P853&gt;0,P853-(TBIcalc!$H$9),""),"")</f>
        <v>1.5173999999999999</v>
      </c>
      <c r="R853" s="223">
        <f>IFERROR(INDEX('Ashed teabags wet'!$K$2:$K$2000,MATCH(K853,'Ashed teabags wet'!$A$2:$A$2000,0)),"")</f>
        <v>2.8640776699025032</v>
      </c>
      <c r="S853" s="223">
        <f t="shared" si="67"/>
        <v>1.4739404854368994</v>
      </c>
      <c r="T853" s="224">
        <f>'WetLitterbags placem_collection'!E194</f>
        <v>42763</v>
      </c>
      <c r="U853" s="224">
        <f>IF('WetLitterbags placem_collection'!G194="","",'WetLitterbags placem_collection'!G194)</f>
        <v>42815</v>
      </c>
      <c r="V853" s="225">
        <f t="shared" si="65"/>
        <v>52</v>
      </c>
      <c r="W853" s="223">
        <f t="shared" si="68"/>
        <v>0.46779999999999999</v>
      </c>
      <c r="X853" s="223">
        <f t="shared" si="69"/>
        <v>0.40178038634584912</v>
      </c>
      <c r="Y853">
        <f>IFERROR(INDEX(Rainfall_Wet!$O$2:$O$217,MATCH(B853, Rainfall_Wet!$A$2:$A$217,0)),"")</f>
        <v>188.24043152799999</v>
      </c>
      <c r="Z853" s="228">
        <v>25.96</v>
      </c>
      <c r="AA853" s="228">
        <v>8.9200000000000017</v>
      </c>
      <c r="AB853" s="228">
        <v>65.12</v>
      </c>
      <c r="AC853" s="229" t="s">
        <v>2654</v>
      </c>
      <c r="AD853" s="228">
        <v>8.6991621488417898</v>
      </c>
      <c r="AE853">
        <f>IF('WetLitterbags placem_collection'!AB194="","",'WetLitterbags placem_collection'!AB194)</f>
        <v>3.6</v>
      </c>
      <c r="AF853">
        <f>IF('WetLitterbags placem_collection'!Z194="","",'WetLitterbags placem_collection'!Z194)</f>
        <v>37.799999999999997</v>
      </c>
      <c r="AG853" s="243" t="str">
        <f>IF('WetLitterbags placem_collection'!AA194="","",'WetLitterbags placem_collection'!AA194)</f>
        <v>O</v>
      </c>
      <c r="AH853">
        <f>IF('WetLitterbags placem_collection'!AC194="","",'WetLitterbags placem_collection'!AC194)</f>
        <v>0</v>
      </c>
      <c r="AI853">
        <f>AVERAGE('WetLitterbags placem_collection'!S194,'WetLitterbags placem_collection'!U194)</f>
        <v>9.25</v>
      </c>
      <c r="AJ853">
        <f>AVERAGE('WetLitterbags placem_collection'!R194,'WetLitterbags placem_collection'!T194)</f>
        <v>33.299999999999997</v>
      </c>
      <c r="AK853">
        <f>INDEX(Coordinates!$B$2:$B$197,MATCH(H853,Coordinates!$J$2:$J$197,0))</f>
        <v>-2.2789770269999998</v>
      </c>
      <c r="AL853">
        <f>INDEX(Coordinates!$C$2:$C$197,MATCH(H853,Coordinates!$J$2:$J$197,0))</f>
        <v>34.032051039999999</v>
      </c>
      <c r="AM853" t="str">
        <f>IF(ISNUMBER(SEARCH("C", 'WetLitterbags placem_collection'!$Y194)),"YES","NO")</f>
        <v>NO</v>
      </c>
      <c r="AN853" t="str">
        <f>IF(ISNUMBER(SEARCH("H", 'WetLitterbags placem_collection'!$Y194)),"YES","NO")</f>
        <v>NO</v>
      </c>
      <c r="AO853" t="str">
        <f>IF(ISNUMBER(SEARCH("R", 'WetLitterbags placem_collection'!$Y194)),"YES","NO")</f>
        <v>NO</v>
      </c>
    </row>
    <row r="854" spans="1:41" ht="15" customHeight="1">
      <c r="A854" s="255" t="s">
        <v>2454</v>
      </c>
      <c r="B854" s="260">
        <f>'Dry_Litterbag Placem_Collection'!A195</f>
        <v>193</v>
      </c>
      <c r="C854" s="260" t="str">
        <f>'Dry_Litterbag Placem_Collection'!B195</f>
        <v>Makao</v>
      </c>
      <c r="D854" s="260" t="s">
        <v>2643</v>
      </c>
      <c r="E854" s="260" t="s">
        <v>2512</v>
      </c>
      <c r="F854" s="260">
        <v>4</v>
      </c>
      <c r="G854" s="260" t="s">
        <v>3798</v>
      </c>
      <c r="H854" s="261" t="str">
        <f>'Dry_Litterbag Placem_Collection'!C195</f>
        <v>Dry_Ag1_CG4</v>
      </c>
      <c r="I854" s="270" t="s">
        <v>3630</v>
      </c>
      <c r="J854" s="271" t="s">
        <v>298</v>
      </c>
      <c r="K854" s="221" t="str">
        <f>'WetLitterbags placem_collection'!Q195</f>
        <v>R364</v>
      </c>
      <c r="L854" s="223">
        <f>IFERROR(INDEX('Green_rooibos initial weight'!$C$5:$C$2000,MATCH(K854, 'Green_rooibos initial weight'!$A$5:$A$2000,0)),"")</f>
        <v>2.234</v>
      </c>
      <c r="M854" s="223">
        <f>IFERROR(L854-(TBIcalc!$H$9+TBIcalc!$H$10),"")</f>
        <v>1.9842</v>
      </c>
      <c r="N854" s="385">
        <f>AVERAGE(Ashed_controlls!$K$2:$K$11)</f>
        <v>5.5147656768714146</v>
      </c>
      <c r="O854" s="223">
        <f t="shared" si="66"/>
        <v>1.8747760194395173</v>
      </c>
      <c r="P854" s="223">
        <f>IFERROR(INDEX('Both teabags AfterWet'!$C$3:$C$840,MATCH(K854,'Both teabags AfterWet'!$A$3:$A$840,0)),"")</f>
        <v>1.3913</v>
      </c>
      <c r="Q854" s="223">
        <f>IFERROR(IF(P854&gt;0,P854-(TBIcalc!$H$9),""),"")</f>
        <v>1.2406999999999999</v>
      </c>
      <c r="R854" s="223">
        <f>IFERROR(INDEX('Ashed teabags wet'!$K$2:$K$2000,MATCH(K854,'Ashed teabags wet'!$A$2:$A$2000,0)),"")</f>
        <v>3.461725987323931</v>
      </c>
      <c r="S854" s="223">
        <f t="shared" si="67"/>
        <v>1.1977503656752719</v>
      </c>
      <c r="T854" s="224">
        <f>'WetLitterbags placem_collection'!E195</f>
        <v>42769</v>
      </c>
      <c r="U854" s="224">
        <f>IF('WetLitterbags placem_collection'!G195="","",'WetLitterbags placem_collection'!G195)</f>
        <v>42813</v>
      </c>
      <c r="V854" s="225">
        <f t="shared" si="65"/>
        <v>44</v>
      </c>
      <c r="W854" s="223">
        <f t="shared" si="68"/>
        <v>0.74350000000000005</v>
      </c>
      <c r="X854" s="223">
        <f t="shared" si="69"/>
        <v>0.67702565376424539</v>
      </c>
      <c r="Y854">
        <f>IFERROR(INDEX(Rainfall_Wet!$O$2:$O$217,MATCH(B854, Rainfall_Wet!$A$2:$A$217,0)),"")</f>
        <v>175.054685654</v>
      </c>
      <c r="Z854" s="228">
        <v>12.565665055683967</v>
      </c>
      <c r="AA854" s="228">
        <v>0.9665896196679955</v>
      </c>
      <c r="AB854" s="228">
        <v>86.467745324648035</v>
      </c>
      <c r="AC854" s="229" t="s">
        <v>2656</v>
      </c>
      <c r="AD854" s="228">
        <v>1.0225726959093147</v>
      </c>
      <c r="AE854">
        <f>IF('WetLitterbags placem_collection'!AB195="","",'WetLitterbags placem_collection'!AB195)</f>
        <v>15.2</v>
      </c>
      <c r="AF854">
        <f>IF('WetLitterbags placem_collection'!Z195="","",'WetLitterbags placem_collection'!Z195)</f>
        <v>12.2</v>
      </c>
      <c r="AG854" s="243" t="str">
        <f>IF('WetLitterbags placem_collection'!AA195="","",'WetLitterbags placem_collection'!AA195)</f>
        <v>O</v>
      </c>
      <c r="AH854">
        <f>IF('WetLitterbags placem_collection'!AC195="","",'WetLitterbags placem_collection'!AC195)</f>
        <v>1</v>
      </c>
      <c r="AI854">
        <f>AVERAGE('WetLitterbags placem_collection'!S195,'WetLitterbags placem_collection'!U195)</f>
        <v>22.4</v>
      </c>
      <c r="AJ854">
        <f>AVERAGE('WetLitterbags placem_collection'!R195,'WetLitterbags placem_collection'!T195)</f>
        <v>28.95</v>
      </c>
      <c r="AK854">
        <v>-2.4396949910000001</v>
      </c>
      <c r="AL854">
        <v>34.838574029999997</v>
      </c>
      <c r="AM854" t="str">
        <f>IF(ISNUMBER(SEARCH("C", 'WetLitterbags placem_collection'!$Y195)),"YES","NO")</f>
        <v>NO</v>
      </c>
      <c r="AN854" t="str">
        <f>IF(ISNUMBER(SEARCH("H", 'WetLitterbags placem_collection'!$Y195)),"YES","NO")</f>
        <v>NO</v>
      </c>
      <c r="AO854" t="str">
        <f>IF(ISNUMBER(SEARCH("R", 'WetLitterbags placem_collection'!$Y195)),"YES","NO")</f>
        <v>NO</v>
      </c>
    </row>
    <row r="855" spans="1:41" ht="15" customHeight="1">
      <c r="A855" s="255" t="s">
        <v>2454</v>
      </c>
      <c r="B855" s="260">
        <f>'Dry_Litterbag Placem_Collection'!A196</f>
        <v>194</v>
      </c>
      <c r="C855" s="260" t="str">
        <f>'Dry_Litterbag Placem_Collection'!B196</f>
        <v>Makao</v>
      </c>
      <c r="D855" s="260" t="s">
        <v>2643</v>
      </c>
      <c r="E855" s="260" t="s">
        <v>2512</v>
      </c>
      <c r="F855" s="260">
        <v>3</v>
      </c>
      <c r="G855" s="260" t="s">
        <v>3802</v>
      </c>
      <c r="H855" s="261" t="str">
        <f>'Dry_Litterbag Placem_Collection'!C196</f>
        <v>Dry_Ag2_CG3</v>
      </c>
      <c r="I855" s="270" t="s">
        <v>3630</v>
      </c>
      <c r="J855" s="271" t="s">
        <v>298</v>
      </c>
      <c r="K855" s="221" t="str">
        <f>'WetLitterbags placem_collection'!Q196</f>
        <v>R167</v>
      </c>
      <c r="L855" s="223">
        <f>IFERROR(INDEX('Green_rooibos initial weight'!$C$5:$C$2000,MATCH(K855, 'Green_rooibos initial weight'!$A$5:$A$2000,0)),"")</f>
        <v>2.177</v>
      </c>
      <c r="M855" s="223">
        <f>IFERROR(L855-(TBIcalc!$H$9+TBIcalc!$H$10),"")</f>
        <v>1.9272</v>
      </c>
      <c r="N855" s="385">
        <f>AVERAGE(Ashed_controlls!$K$2:$K$11)</f>
        <v>5.5147656768714146</v>
      </c>
      <c r="O855" s="223">
        <f t="shared" si="66"/>
        <v>1.8209194358753342</v>
      </c>
      <c r="P855" s="223">
        <f>IFERROR(INDEX('Both teabags AfterWet'!$C$3:$C$840,MATCH(K855,'Both teabags AfterWet'!$A$3:$A$840,0)),"")</f>
        <v>1.4750000000000001</v>
      </c>
      <c r="Q855" s="223">
        <f>IFERROR(IF(P855&gt;0,P855-(TBIcalc!$H$9),""),"")</f>
        <v>1.3244</v>
      </c>
      <c r="R855" s="223">
        <f>IFERROR(INDEX('Ashed teabags wet'!$K$2:$K$2000,MATCH(K855,'Ashed teabags wet'!$A$2:$A$2000,0)),"")</f>
        <v>3.2435129740522455</v>
      </c>
      <c r="S855" s="223">
        <f t="shared" si="67"/>
        <v>1.2814429141716521</v>
      </c>
      <c r="T855" s="224">
        <f>'WetLitterbags placem_collection'!E196</f>
        <v>42769</v>
      </c>
      <c r="U855" s="224">
        <f>IF('WetLitterbags placem_collection'!G196="","",'WetLitterbags placem_collection'!G196)</f>
        <v>42813</v>
      </c>
      <c r="V855" s="225">
        <f t="shared" si="65"/>
        <v>44</v>
      </c>
      <c r="W855" s="223">
        <f t="shared" si="68"/>
        <v>0.6028</v>
      </c>
      <c r="X855" s="223">
        <f t="shared" si="69"/>
        <v>0.5394765217036821</v>
      </c>
      <c r="Y855">
        <f>IFERROR(INDEX(Rainfall_Wet!$O$2:$O$217,MATCH(B855, Rainfall_Wet!$A$2:$A$217,0)),"")</f>
        <v>175.054685654</v>
      </c>
      <c r="Z855" s="228">
        <v>21.13063730679653</v>
      </c>
      <c r="AA855" s="228">
        <v>3.0912555579081076</v>
      </c>
      <c r="AB855" s="228">
        <v>75.778107135295357</v>
      </c>
      <c r="AC855" s="229" t="s">
        <v>2654</v>
      </c>
      <c r="AD855" s="228">
        <v>0.46131099063578063</v>
      </c>
      <c r="AE855">
        <f>IF('WetLitterbags placem_collection'!AB196="","",'WetLitterbags placem_collection'!AB196)</f>
        <v>7.9</v>
      </c>
      <c r="AF855">
        <f>IF('WetLitterbags placem_collection'!Z196="","",'WetLitterbags placem_collection'!Z196)</f>
        <v>7.9</v>
      </c>
      <c r="AG855" s="243" t="str">
        <f>IF('WetLitterbags placem_collection'!AA196="","",'WetLitterbags placem_collection'!AA196)</f>
        <v>O</v>
      </c>
      <c r="AH855">
        <f>IF('WetLitterbags placem_collection'!AC196="","",'WetLitterbags placem_collection'!AC196)</f>
        <v>1</v>
      </c>
      <c r="AI855">
        <f>AVERAGE('WetLitterbags placem_collection'!S196,'WetLitterbags placem_collection'!U196)</f>
        <v>19.600000000000001</v>
      </c>
      <c r="AJ855">
        <f>AVERAGE('WetLitterbags placem_collection'!R196,'WetLitterbags placem_collection'!T196)</f>
        <v>29.3</v>
      </c>
      <c r="AK855">
        <v>-2.4395990190000001</v>
      </c>
      <c r="AL855">
        <v>34.838418959999998</v>
      </c>
      <c r="AM855" t="str">
        <f>IF(ISNUMBER(SEARCH("C", 'WetLitterbags placem_collection'!$Y196)),"YES","NO")</f>
        <v>NO</v>
      </c>
      <c r="AN855" t="str">
        <f>IF(ISNUMBER(SEARCH("H", 'WetLitterbags placem_collection'!$Y196)),"YES","NO")</f>
        <v>NO</v>
      </c>
      <c r="AO855" t="str">
        <f>IF(ISNUMBER(SEARCH("R", 'WetLitterbags placem_collection'!$Y196)),"YES","NO")</f>
        <v>YES</v>
      </c>
    </row>
    <row r="856" spans="1:41" ht="15" customHeight="1">
      <c r="A856" s="255" t="s">
        <v>2454</v>
      </c>
      <c r="B856" s="260">
        <f>'Dry_Litterbag Placem_Collection'!A197</f>
        <v>195</v>
      </c>
      <c r="C856" s="260" t="str">
        <f>'Dry_Litterbag Placem_Collection'!B197</f>
        <v>Makao</v>
      </c>
      <c r="D856" s="260" t="s">
        <v>2643</v>
      </c>
      <c r="E856" s="260" t="s">
        <v>2512</v>
      </c>
      <c r="F856" s="260">
        <v>2</v>
      </c>
      <c r="G856" s="260" t="s">
        <v>3803</v>
      </c>
      <c r="H856" s="261" t="str">
        <f>'Dry_Litterbag Placem_Collection'!C197</f>
        <v>Dry_Ag3_CG2</v>
      </c>
      <c r="I856" s="270" t="s">
        <v>3630</v>
      </c>
      <c r="J856" s="271" t="s">
        <v>298</v>
      </c>
      <c r="K856" s="221" t="str">
        <f>'WetLitterbags placem_collection'!Q197</f>
        <v>R25</v>
      </c>
      <c r="L856" s="223">
        <f>IFERROR(INDEX('Green_rooibos initial weight'!$C$5:$C$2000,MATCH(K856, 'Green_rooibos initial weight'!$A$5:$A$2000,0)),"")</f>
        <v>2.16</v>
      </c>
      <c r="M856" s="223">
        <f>IFERROR(L856-(TBIcalc!$H$9+TBIcalc!$H$10),"")</f>
        <v>1.9102000000000001</v>
      </c>
      <c r="N856" s="385">
        <f>AVERAGE(Ashed_controlls!$K$2:$K$11)</f>
        <v>5.5147656768714146</v>
      </c>
      <c r="O856" s="223">
        <f t="shared" si="66"/>
        <v>1.8048569460404023</v>
      </c>
      <c r="P856" s="223">
        <f>IFERROR(INDEX('Both teabags AfterWet'!$C$3:$C$840,MATCH(K856,'Both teabags AfterWet'!$A$3:$A$840,0)),"")</f>
        <v>1.3527</v>
      </c>
      <c r="Q856" s="223">
        <f>IFERROR(IF(P856&gt;0,P856-(TBIcalc!$H$9),""),"")</f>
        <v>1.2020999999999999</v>
      </c>
      <c r="R856" s="223">
        <f>IFERROR(INDEX('Ashed teabags wet'!$K$2:$K$2000,MATCH(K856,'Ashed teabags wet'!$A$2:$A$2000,0)),"")</f>
        <v>4.592085979482369</v>
      </c>
      <c r="S856" s="223">
        <f t="shared" si="67"/>
        <v>1.1468985344406424</v>
      </c>
      <c r="T856" s="224">
        <f>'WetLitterbags placem_collection'!E197</f>
        <v>42769</v>
      </c>
      <c r="U856" s="224">
        <f>IF('WetLitterbags placem_collection'!G197="","",'WetLitterbags placem_collection'!G197)</f>
        <v>42814</v>
      </c>
      <c r="V856" s="225">
        <f t="shared" si="65"/>
        <v>45</v>
      </c>
      <c r="W856" s="223">
        <f t="shared" si="68"/>
        <v>0.70810000000000017</v>
      </c>
      <c r="X856" s="223">
        <f t="shared" si="69"/>
        <v>0.65795841159975987</v>
      </c>
      <c r="Y856">
        <f>IFERROR(INDEX(Rainfall_Wet!$O$2:$O$217,MATCH(B856, Rainfall_Wet!$A$2:$A$217,0)),"")</f>
        <v>175.377105089</v>
      </c>
      <c r="Z856" s="228">
        <v>54.080969906906262</v>
      </c>
      <c r="AA856" s="228">
        <v>21.264484651351896</v>
      </c>
      <c r="AB856" s="228">
        <v>24.654545441741845</v>
      </c>
      <c r="AC856" s="229" t="s">
        <v>2657</v>
      </c>
      <c r="AD856" s="228">
        <v>1.8433218334154755</v>
      </c>
      <c r="AE856">
        <f>IF('WetLitterbags placem_collection'!AB197="","",'WetLitterbags placem_collection'!AB197)</f>
        <v>5.13</v>
      </c>
      <c r="AF856">
        <f>IF('WetLitterbags placem_collection'!Z197="","",'WetLitterbags placem_collection'!Z197)</f>
        <v>5.13</v>
      </c>
      <c r="AG856" s="243" t="str">
        <f>IF('WetLitterbags placem_collection'!AA197="","",'WetLitterbags placem_collection'!AA197)</f>
        <v>O</v>
      </c>
      <c r="AH856">
        <f>IF('WetLitterbags placem_collection'!AC197="","",'WetLitterbags placem_collection'!AC197)</f>
        <v>1</v>
      </c>
      <c r="AI856">
        <f>AVERAGE('WetLitterbags placem_collection'!S197,'WetLitterbags placem_collection'!U197)</f>
        <v>29.700000000000003</v>
      </c>
      <c r="AJ856">
        <f>AVERAGE('WetLitterbags placem_collection'!R197,'WetLitterbags placem_collection'!T197)</f>
        <v>24.35</v>
      </c>
      <c r="AK856">
        <v>-2.4396450349999999</v>
      </c>
      <c r="AL856">
        <v>34.83836599</v>
      </c>
      <c r="AM856" t="str">
        <f>IF(ISNUMBER(SEARCH("C", 'WetLitterbags placem_collection'!$Y197)),"YES","NO")</f>
        <v>NO</v>
      </c>
      <c r="AN856" t="str">
        <f>IF(ISNUMBER(SEARCH("H", 'WetLitterbags placem_collection'!$Y197)),"YES","NO")</f>
        <v>NO</v>
      </c>
      <c r="AO856" t="str">
        <f>IF(ISNUMBER(SEARCH("R", 'WetLitterbags placem_collection'!$Y197)),"YES","NO")</f>
        <v>NO</v>
      </c>
    </row>
    <row r="857" spans="1:41" ht="15" customHeight="1">
      <c r="A857" s="255" t="s">
        <v>2454</v>
      </c>
      <c r="B857" s="260">
        <f>'Dry_Litterbag Placem_Collection'!A198</f>
        <v>196</v>
      </c>
      <c r="C857" s="260" t="str">
        <f>'Dry_Litterbag Placem_Collection'!B198</f>
        <v>Makao</v>
      </c>
      <c r="D857" s="260" t="s">
        <v>2643</v>
      </c>
      <c r="E857" s="260" t="s">
        <v>2512</v>
      </c>
      <c r="F857" s="260">
        <v>1</v>
      </c>
      <c r="G857" s="260" t="s">
        <v>3804</v>
      </c>
      <c r="H857" s="261" t="str">
        <f>'Dry_Litterbag Placem_Collection'!C198</f>
        <v>Dry_Ag4_CG1</v>
      </c>
      <c r="I857" s="270" t="s">
        <v>3630</v>
      </c>
      <c r="J857" s="271" t="s">
        <v>298</v>
      </c>
      <c r="K857" s="221" t="str">
        <f>'WetLitterbags placem_collection'!Q198</f>
        <v>R362</v>
      </c>
      <c r="L857" s="223">
        <f>IFERROR(INDEX('Green_rooibos initial weight'!$C$5:$C$2000,MATCH(K857, 'Green_rooibos initial weight'!$A$5:$A$2000,0)),"")</f>
        <v>2.246</v>
      </c>
      <c r="M857" s="223">
        <f>IFERROR(L857-(TBIcalc!$H$9+TBIcalc!$H$10),"")</f>
        <v>1.9962</v>
      </c>
      <c r="N857" s="385">
        <f>AVERAGE(Ashed_controlls!$K$2:$K$11)</f>
        <v>5.5147656768714146</v>
      </c>
      <c r="O857" s="223">
        <f t="shared" si="66"/>
        <v>1.8861142475582928</v>
      </c>
      <c r="P857" s="223">
        <f>IFERROR(INDEX('Both teabags AfterWet'!$C$3:$C$840,MATCH(K857,'Both teabags AfterWet'!$A$3:$A$840,0)),"")</f>
        <v>1.5253000000000001</v>
      </c>
      <c r="Q857" s="223">
        <f>IFERROR(IF(P857&gt;0,P857-(TBIcalc!$H$9),""),"")</f>
        <v>1.3747</v>
      </c>
      <c r="R857" s="223">
        <f>IFERROR(INDEX('Ashed teabags wet'!$K$2:$K$2000,MATCH(K857,'Ashed teabags wet'!$A$2:$A$2000,0)),"")</f>
        <v>3.690944881888675</v>
      </c>
      <c r="S857" s="223">
        <f t="shared" si="67"/>
        <v>1.3239605807086765</v>
      </c>
      <c r="T857" s="224">
        <f>'WetLitterbags placem_collection'!E198</f>
        <v>42769</v>
      </c>
      <c r="U857" s="224">
        <f>IF('WetLitterbags placem_collection'!G198="","",'WetLitterbags placem_collection'!G198)</f>
        <v>42814</v>
      </c>
      <c r="V857" s="225">
        <f t="shared" si="65"/>
        <v>45</v>
      </c>
      <c r="W857" s="223">
        <f t="shared" si="68"/>
        <v>0.62149999999999994</v>
      </c>
      <c r="X857" s="223">
        <f t="shared" si="69"/>
        <v>0.56215366684961632</v>
      </c>
      <c r="Y857">
        <f>IFERROR(INDEX(Rainfall_Wet!$O$2:$O$217,MATCH(B857, Rainfall_Wet!$A$2:$A$217,0)),"")</f>
        <v>175.377105089</v>
      </c>
      <c r="Z857" s="228">
        <v>51.960000000000008</v>
      </c>
      <c r="AA857" s="228">
        <v>18.919999999999995</v>
      </c>
      <c r="AB857" s="228">
        <v>29.120000000000005</v>
      </c>
      <c r="AC857" s="229" t="s">
        <v>2657</v>
      </c>
      <c r="AD857" s="228">
        <v>1.85293247905372</v>
      </c>
      <c r="AE857">
        <f>IF('WetLitterbags placem_collection'!AB198="","",'WetLitterbags placem_collection'!AB198)</f>
        <v>13.8</v>
      </c>
      <c r="AF857">
        <f>IF('WetLitterbags placem_collection'!Z198="","",'WetLitterbags placem_collection'!Z198)</f>
        <v>17.399999999999999</v>
      </c>
      <c r="AG857" s="243" t="str">
        <f>IF('WetLitterbags placem_collection'!AA198="","",'WetLitterbags placem_collection'!AA198)</f>
        <v>O</v>
      </c>
      <c r="AH857">
        <f>IF('WetLitterbags placem_collection'!AC198="","",'WetLitterbags placem_collection'!AC198)</f>
        <v>1</v>
      </c>
      <c r="AI857">
        <f>AVERAGE('WetLitterbags placem_collection'!S198,'WetLitterbags placem_collection'!U198)</f>
        <v>23.75</v>
      </c>
      <c r="AJ857">
        <f>AVERAGE('WetLitterbags placem_collection'!R198,'WetLitterbags placem_collection'!T198)</f>
        <v>25.25</v>
      </c>
      <c r="AK857">
        <v>-2.439403972</v>
      </c>
      <c r="AL857">
        <v>34.838404959999998</v>
      </c>
      <c r="AM857" t="str">
        <f>IF(ISNUMBER(SEARCH("C", 'WetLitterbags placem_collection'!$Y198)),"YES","NO")</f>
        <v>NO</v>
      </c>
      <c r="AN857" t="str">
        <f>IF(ISNUMBER(SEARCH("H", 'WetLitterbags placem_collection'!$Y198)),"YES","NO")</f>
        <v>NO</v>
      </c>
      <c r="AO857" t="str">
        <f>IF(ISNUMBER(SEARCH("R", 'WetLitterbags placem_collection'!$Y198)),"YES","NO")</f>
        <v>NO</v>
      </c>
    </row>
    <row r="858" spans="1:41" ht="15" customHeight="1">
      <c r="A858" s="255" t="s">
        <v>2454</v>
      </c>
      <c r="B858" s="260">
        <f>'Dry_Litterbag Placem_Collection'!A199</f>
        <v>197</v>
      </c>
      <c r="C858" s="260" t="str">
        <f>'Dry_Litterbag Placem_Collection'!B199</f>
        <v>Makao</v>
      </c>
      <c r="D858" s="260" t="s">
        <v>2643</v>
      </c>
      <c r="E858" s="260" t="s">
        <v>2512</v>
      </c>
      <c r="F858" s="260">
        <v>2</v>
      </c>
      <c r="G858" s="260" t="s">
        <v>3805</v>
      </c>
      <c r="H858" s="261" t="str">
        <f>'Dry_Litterbag Placem_Collection'!C199</f>
        <v>Dry_P1_CG2</v>
      </c>
      <c r="I858" s="270" t="s">
        <v>3630</v>
      </c>
      <c r="J858" s="271" t="s">
        <v>298</v>
      </c>
      <c r="K858" s="221" t="str">
        <f>'WetLitterbags placem_collection'!Q199</f>
        <v>R370</v>
      </c>
      <c r="L858" s="223">
        <f>IFERROR(INDEX('Green_rooibos initial weight'!$C$5:$C$2000,MATCH(K858, 'Green_rooibos initial weight'!$A$5:$A$2000,0)),"")</f>
        <v>2.2290000000000001</v>
      </c>
      <c r="M858" s="223">
        <f>IFERROR(L858-(TBIcalc!$H$9+TBIcalc!$H$10),"")</f>
        <v>1.9792000000000001</v>
      </c>
      <c r="N858" s="385">
        <f>AVERAGE(Ashed_controlls!$K$2:$K$11)</f>
        <v>5.5147656768714146</v>
      </c>
      <c r="O858" s="223">
        <f t="shared" si="66"/>
        <v>1.8700517577233611</v>
      </c>
      <c r="P858" s="223">
        <f>IFERROR(INDEX('Both teabags AfterWet'!$C$3:$C$840,MATCH(K858,'Both teabags AfterWet'!$A$3:$A$840,0)),"")</f>
        <v>1.488</v>
      </c>
      <c r="Q858" s="223">
        <f>IFERROR(IF(P858&gt;0,P858-(TBIcalc!$H$9),""),"")</f>
        <v>1.3373999999999999</v>
      </c>
      <c r="R858" s="223">
        <f>IFERROR(INDEX('Ashed teabags wet'!$K$2:$K$2000,MATCH(K858,'Ashed teabags wet'!$A$2:$A$2000,0)),"")</f>
        <v>5.0682261208581973</v>
      </c>
      <c r="S858" s="223">
        <f t="shared" si="67"/>
        <v>1.2696175438596424</v>
      </c>
      <c r="T858" s="224">
        <f>'WetLitterbags placem_collection'!E199</f>
        <v>42769</v>
      </c>
      <c r="U858" s="224">
        <f>IF('WetLitterbags placem_collection'!G199="","",'WetLitterbags placem_collection'!G199)</f>
        <v>42814</v>
      </c>
      <c r="V858" s="225">
        <f t="shared" si="65"/>
        <v>45</v>
      </c>
      <c r="W858" s="223">
        <f t="shared" si="68"/>
        <v>0.64180000000000015</v>
      </c>
      <c r="X858" s="223">
        <f t="shared" si="69"/>
        <v>0.60043421386371865</v>
      </c>
      <c r="Y858">
        <f>IFERROR(INDEX(Rainfall_Wet!$O$2:$O$217,MATCH(B858, Rainfall_Wet!$A$2:$A$217,0)),"")</f>
        <v>175.377105089</v>
      </c>
      <c r="Z858" s="228">
        <v>23.96</v>
      </c>
      <c r="AA858" s="228">
        <v>0.91999999999999804</v>
      </c>
      <c r="AB858" s="228">
        <v>75.12</v>
      </c>
      <c r="AC858" s="229" t="s">
        <v>2654</v>
      </c>
      <c r="AD858" s="228">
        <v>1.2493839329719072</v>
      </c>
      <c r="AE858">
        <f>IF('WetLitterbags placem_collection'!AB199="","",'WetLitterbags placem_collection'!AB199)</f>
        <v>5.13</v>
      </c>
      <c r="AF858">
        <f>IF('WetLitterbags placem_collection'!Z199="","",'WetLitterbags placem_collection'!Z199)</f>
        <v>5.13</v>
      </c>
      <c r="AG858" s="243" t="str">
        <f>IF('WetLitterbags placem_collection'!AA199="","",'WetLitterbags placem_collection'!AA199)</f>
        <v>O</v>
      </c>
      <c r="AH858">
        <f>IF('WetLitterbags placem_collection'!AC199="","",'WetLitterbags placem_collection'!AC199)</f>
        <v>1</v>
      </c>
      <c r="AI858">
        <f>AVERAGE('WetLitterbags placem_collection'!S199,'WetLitterbags placem_collection'!U199)</f>
        <v>22.85</v>
      </c>
      <c r="AJ858">
        <f>AVERAGE('WetLitterbags placem_collection'!R199,'WetLitterbags placem_collection'!T199)</f>
        <v>24.4</v>
      </c>
      <c r="AK858">
        <v>-2.4396450349999999</v>
      </c>
      <c r="AL858">
        <v>34.83836599</v>
      </c>
      <c r="AM858" t="str">
        <f>IF(ISNUMBER(SEARCH("C", 'WetLitterbags placem_collection'!$Y199)),"YES","NO")</f>
        <v>NO</v>
      </c>
      <c r="AN858" t="str">
        <f>IF(ISNUMBER(SEARCH("H", 'WetLitterbags placem_collection'!$Y199)),"YES","NO")</f>
        <v>NO</v>
      </c>
      <c r="AO858" t="str">
        <f>IF(ISNUMBER(SEARCH("R", 'WetLitterbags placem_collection'!$Y199)),"YES","NO")</f>
        <v>YES</v>
      </c>
    </row>
    <row r="859" spans="1:41" ht="15" customHeight="1">
      <c r="A859" s="255" t="s">
        <v>2454</v>
      </c>
      <c r="B859" s="260">
        <f>'Dry_Litterbag Placem_Collection'!A200</f>
        <v>198</v>
      </c>
      <c r="C859" s="260" t="str">
        <f>'Dry_Litterbag Placem_Collection'!B200</f>
        <v>Makao</v>
      </c>
      <c r="D859" s="260" t="s">
        <v>2643</v>
      </c>
      <c r="E859" s="260" t="s">
        <v>2512</v>
      </c>
      <c r="F859" s="260">
        <v>3</v>
      </c>
      <c r="G859" s="260" t="s">
        <v>3807</v>
      </c>
      <c r="H859" s="261" t="str">
        <f>'Dry_Litterbag Placem_Collection'!C200</f>
        <v>Dry_P2_CG3</v>
      </c>
      <c r="I859" s="270" t="s">
        <v>3630</v>
      </c>
      <c r="J859" s="271" t="s">
        <v>298</v>
      </c>
      <c r="K859" s="221" t="str">
        <f>'WetLitterbags placem_collection'!Q200</f>
        <v>R168</v>
      </c>
      <c r="L859" s="223">
        <f>IFERROR(INDEX('Green_rooibos initial weight'!$C$5:$C$2000,MATCH(K859, 'Green_rooibos initial weight'!$A$5:$A$2000,0)),"")</f>
        <v>2.1459999999999999</v>
      </c>
      <c r="M859" s="223">
        <f>IFERROR(L859-(TBIcalc!$H$9+TBIcalc!$H$10),"")</f>
        <v>1.8961999999999999</v>
      </c>
      <c r="N859" s="385">
        <f>AVERAGE(Ashed_controlls!$K$2:$K$11)</f>
        <v>5.5147656768714146</v>
      </c>
      <c r="O859" s="223">
        <f t="shared" si="66"/>
        <v>1.7916290132351642</v>
      </c>
      <c r="P859" s="223">
        <f>IFERROR(INDEX('Both teabags AfterWet'!$C$3:$C$840,MATCH(K859,'Both teabags AfterWet'!$A$3:$A$840,0)),"")</f>
        <v>1.5734999999999999</v>
      </c>
      <c r="Q859" s="223">
        <f>IFERROR(IF(P859&gt;0,P859-(TBIcalc!$H$9),""),"")</f>
        <v>1.4228999999999998</v>
      </c>
      <c r="R859" s="223">
        <f>IFERROR(INDEX('Ashed teabags wet'!$K$2:$K$2000,MATCH(K859,'Ashed teabags wet'!$A$2:$A$2000,0)),"")</f>
        <v>3.118908382066123</v>
      </c>
      <c r="S859" s="223">
        <f t="shared" si="67"/>
        <v>1.378521052631581</v>
      </c>
      <c r="T859" s="224">
        <f>'WetLitterbags placem_collection'!E200</f>
        <v>42769</v>
      </c>
      <c r="U859" s="224">
        <f>IF('WetLitterbags placem_collection'!G200="","",'WetLitterbags placem_collection'!G200)</f>
        <v>42813</v>
      </c>
      <c r="V859" s="225">
        <f t="shared" si="65"/>
        <v>44</v>
      </c>
      <c r="W859" s="223">
        <f t="shared" si="68"/>
        <v>0.47330000000000005</v>
      </c>
      <c r="X859" s="223">
        <f t="shared" si="69"/>
        <v>0.41310796060358324</v>
      </c>
      <c r="Y859">
        <f>IFERROR(INDEX(Rainfall_Wet!$O$2:$O$217,MATCH(B859, Rainfall_Wet!$A$2:$A$217,0)),"")</f>
        <v>175.054685654</v>
      </c>
      <c r="Z859" s="228">
        <v>19.96</v>
      </c>
      <c r="AA859" s="228">
        <v>4.9199999999999982</v>
      </c>
      <c r="AB859" s="228">
        <v>75.12</v>
      </c>
      <c r="AC859" s="229" t="s">
        <v>2655</v>
      </c>
      <c r="AD859" s="228">
        <v>1.641498275012321</v>
      </c>
      <c r="AE859">
        <f>IF('WetLitterbags placem_collection'!AB200="","",'WetLitterbags placem_collection'!AB200)</f>
        <v>7.9</v>
      </c>
      <c r="AF859">
        <f>IF('WetLitterbags placem_collection'!Z200="","",'WetLitterbags placem_collection'!Z200)</f>
        <v>7.9</v>
      </c>
      <c r="AG859" s="243" t="str">
        <f>IF('WetLitterbags placem_collection'!AA200="","",'WetLitterbags placem_collection'!AA200)</f>
        <v>O</v>
      </c>
      <c r="AH859">
        <f>IF('WetLitterbags placem_collection'!AC200="","",'WetLitterbags placem_collection'!AC200)</f>
        <v>1</v>
      </c>
      <c r="AI859">
        <f>AVERAGE('WetLitterbags placem_collection'!S200,'WetLitterbags placem_collection'!U200)</f>
        <v>20.9</v>
      </c>
      <c r="AJ859">
        <f>AVERAGE('WetLitterbags placem_collection'!R200,'WetLitterbags placem_collection'!T200)</f>
        <v>27.45</v>
      </c>
      <c r="AK859">
        <v>-2.4395990190000001</v>
      </c>
      <c r="AL859">
        <v>34.838418959999998</v>
      </c>
      <c r="AM859" t="str">
        <f>IF(ISNUMBER(SEARCH("C", 'WetLitterbags placem_collection'!$Y200)),"YES","NO")</f>
        <v>NO</v>
      </c>
      <c r="AN859" t="str">
        <f>IF(ISNUMBER(SEARCH("H", 'WetLitterbags placem_collection'!$Y200)),"YES","NO")</f>
        <v>NO</v>
      </c>
      <c r="AO859" t="str">
        <f>IF(ISNUMBER(SEARCH("R", 'WetLitterbags placem_collection'!$Y200)),"YES","NO")</f>
        <v>YES</v>
      </c>
    </row>
    <row r="860" spans="1:41" ht="15" customHeight="1">
      <c r="A860" s="255" t="s">
        <v>2454</v>
      </c>
      <c r="B860" s="260">
        <f>'Dry_Litterbag Placem_Collection'!A201</f>
        <v>199</v>
      </c>
      <c r="C860" s="260" t="str">
        <f>'Dry_Litterbag Placem_Collection'!B201</f>
        <v>Makao</v>
      </c>
      <c r="D860" s="260" t="s">
        <v>2643</v>
      </c>
      <c r="E860" s="260" t="s">
        <v>2512</v>
      </c>
      <c r="F860" s="260">
        <v>1</v>
      </c>
      <c r="G860" s="260" t="s">
        <v>3808</v>
      </c>
      <c r="H860" s="261" t="str">
        <f>'Dry_Litterbag Placem_Collection'!C201</f>
        <v>Dry_P3_CG1</v>
      </c>
      <c r="I860" s="270" t="s">
        <v>3630</v>
      </c>
      <c r="J860" s="271" t="s">
        <v>298</v>
      </c>
      <c r="K860" s="221" t="str">
        <f>'WetLitterbags placem_collection'!Q201</f>
        <v>R369</v>
      </c>
      <c r="L860" s="223">
        <f>IFERROR(INDEX('Green_rooibos initial weight'!$C$5:$C$2000,MATCH(K860, 'Green_rooibos initial weight'!$A$5:$A$2000,0)),"")</f>
        <v>2.2400000000000002</v>
      </c>
      <c r="M860" s="223">
        <f>IFERROR(L860-(TBIcalc!$H$9+TBIcalc!$H$10),"")</f>
        <v>1.9902000000000002</v>
      </c>
      <c r="N860" s="385">
        <f>AVERAGE(Ashed_controlls!$K$2:$K$11)</f>
        <v>5.5147656768714146</v>
      </c>
      <c r="O860" s="223">
        <f t="shared" si="66"/>
        <v>1.8804451334989052</v>
      </c>
      <c r="P860" s="223">
        <f>IFERROR(INDEX('Both teabags AfterWet'!$C$3:$C$840,MATCH(K860,'Both teabags AfterWet'!$A$3:$A$840,0)),"")</f>
        <v>1.667</v>
      </c>
      <c r="Q860" s="223">
        <f>IFERROR(IF(P860&gt;0,P860-(TBIcalc!$H$9),""),"")</f>
        <v>1.5164</v>
      </c>
      <c r="R860" s="223">
        <f>IFERROR(INDEX('Ashed teabags wet'!$K$2:$K$2000,MATCH(K860,'Ashed teabags wet'!$A$2:$A$2000,0)),"")</f>
        <v>2.8245787908823141</v>
      </c>
      <c r="S860" s="223">
        <f t="shared" si="67"/>
        <v>1.4735680872150605</v>
      </c>
      <c r="T860" s="224">
        <f>'WetLitterbags placem_collection'!E201</f>
        <v>42769</v>
      </c>
      <c r="U860" s="224">
        <f>IF('WetLitterbags placem_collection'!G201="","",'WetLitterbags placem_collection'!G201)</f>
        <v>42814</v>
      </c>
      <c r="V860" s="225">
        <f t="shared" si="65"/>
        <v>45</v>
      </c>
      <c r="W860" s="223">
        <f t="shared" si="68"/>
        <v>0.47380000000000022</v>
      </c>
      <c r="X860" s="223">
        <f t="shared" si="69"/>
        <v>0.40687704628384469</v>
      </c>
      <c r="Y860">
        <f>IFERROR(INDEX(Rainfall_Wet!$O$2:$O$217,MATCH(B860, Rainfall_Wet!$A$2:$A$217,0)),"")</f>
        <v>175.377105089</v>
      </c>
      <c r="Z860" s="228">
        <v>21.96</v>
      </c>
      <c r="AA860" s="228">
        <v>8.9199999999999982</v>
      </c>
      <c r="AB860" s="228">
        <v>69.12</v>
      </c>
      <c r="AC860" s="229" t="s">
        <v>2654</v>
      </c>
      <c r="AD860" s="228">
        <v>1.7491375061606702</v>
      </c>
      <c r="AE860">
        <f>IF('WetLitterbags placem_collection'!AB201="","",'WetLitterbags placem_collection'!AB201)</f>
        <v>13.8</v>
      </c>
      <c r="AF860">
        <f>IF('WetLitterbags placem_collection'!Z201="","",'WetLitterbags placem_collection'!Z201)</f>
        <v>17.399999999999999</v>
      </c>
      <c r="AG860" s="243" t="str">
        <f>IF('WetLitterbags placem_collection'!AA201="","",'WetLitterbags placem_collection'!AA201)</f>
        <v>O</v>
      </c>
      <c r="AH860">
        <f>IF('WetLitterbags placem_collection'!AC201="","",'WetLitterbags placem_collection'!AC201)</f>
        <v>1</v>
      </c>
      <c r="AI860">
        <f>AVERAGE('WetLitterbags placem_collection'!S201,'WetLitterbags placem_collection'!U201)</f>
        <v>18.149999999999999</v>
      </c>
      <c r="AJ860">
        <f>AVERAGE('WetLitterbags placem_collection'!R201,'WetLitterbags placem_collection'!T201)</f>
        <v>24.549999999999997</v>
      </c>
      <c r="AK860">
        <v>-2.439403972</v>
      </c>
      <c r="AL860">
        <v>34.838404959999998</v>
      </c>
      <c r="AM860" t="str">
        <f>IF(ISNUMBER(SEARCH("C", 'WetLitterbags placem_collection'!$Y201)),"YES","NO")</f>
        <v>NO</v>
      </c>
      <c r="AN860" t="str">
        <f>IF(ISNUMBER(SEARCH("H", 'WetLitterbags placem_collection'!$Y201)),"YES","NO")</f>
        <v>NO</v>
      </c>
      <c r="AO860" t="str">
        <f>IF(ISNUMBER(SEARCH("R", 'WetLitterbags placem_collection'!$Y201)),"YES","NO")</f>
        <v>YES</v>
      </c>
    </row>
    <row r="861" spans="1:41" ht="15" customHeight="1">
      <c r="A861" s="255" t="s">
        <v>2454</v>
      </c>
      <c r="B861" s="260">
        <f>'Dry_Litterbag Placem_Collection'!A202</f>
        <v>200</v>
      </c>
      <c r="C861" s="260" t="str">
        <f>'Dry_Litterbag Placem_Collection'!B202</f>
        <v>Makao</v>
      </c>
      <c r="D861" s="260" t="s">
        <v>2643</v>
      </c>
      <c r="E861" s="260" t="s">
        <v>2512</v>
      </c>
      <c r="F861" s="260">
        <v>4</v>
      </c>
      <c r="G861" s="260" t="s">
        <v>3809</v>
      </c>
      <c r="H861" s="261" t="str">
        <f>'Dry_Litterbag Placem_Collection'!C202</f>
        <v>Dry_P4_CG4</v>
      </c>
      <c r="I861" s="270" t="s">
        <v>3630</v>
      </c>
      <c r="J861" s="271" t="s">
        <v>298</v>
      </c>
      <c r="K861" s="221" t="str">
        <f>'WetLitterbags placem_collection'!Q202</f>
        <v>R359</v>
      </c>
      <c r="L861" s="223">
        <f>IFERROR(INDEX('Green_rooibos initial weight'!$C$5:$C$2000,MATCH(K861, 'Green_rooibos initial weight'!$A$5:$A$2000,0)),"")</f>
        <v>2.198</v>
      </c>
      <c r="M861" s="223">
        <f>IFERROR(L861-(TBIcalc!$H$9+TBIcalc!$H$10),"")</f>
        <v>1.9481999999999999</v>
      </c>
      <c r="N861" s="385">
        <f>AVERAGE(Ashed_controlls!$K$2:$K$11)</f>
        <v>5.5147656768714146</v>
      </c>
      <c r="O861" s="223">
        <f t="shared" si="66"/>
        <v>1.8407613350831911</v>
      </c>
      <c r="P861" s="223">
        <f>IFERROR(INDEX('Both teabags AfterWet'!$C$3:$C$840,MATCH(K861,'Both teabags AfterWet'!$A$3:$A$840,0)),"")</f>
        <v>1.4882</v>
      </c>
      <c r="Q861" s="223">
        <f>IFERROR(IF(P861&gt;0,P861-(TBIcalc!$H$9),""),"")</f>
        <v>1.3375999999999999</v>
      </c>
      <c r="R861" s="223">
        <f>IFERROR(INDEX('Ashed teabags wet'!$K$2:$K$2000,MATCH(K861,'Ashed teabags wet'!$A$2:$A$2000,0)),"")</f>
        <v>4.0291262135925576</v>
      </c>
      <c r="S861" s="223">
        <f t="shared" si="67"/>
        <v>1.2837064077669857</v>
      </c>
      <c r="T861" s="224">
        <f>'WetLitterbags placem_collection'!E202</f>
        <v>42769</v>
      </c>
      <c r="U861" s="224">
        <f>IF('WetLitterbags placem_collection'!G202="","",'WetLitterbags placem_collection'!G202)</f>
        <v>42813</v>
      </c>
      <c r="V861" s="225">
        <f t="shared" si="65"/>
        <v>44</v>
      </c>
      <c r="W861" s="223">
        <f t="shared" si="68"/>
        <v>0.61060000000000003</v>
      </c>
      <c r="X861" s="223">
        <f t="shared" si="69"/>
        <v>0.55705492731620532</v>
      </c>
      <c r="Y861">
        <f>IFERROR(INDEX(Rainfall_Wet!$O$2:$O$217,MATCH(B861, Rainfall_Wet!$A$2:$A$217,0)),"")</f>
        <v>175.054685654</v>
      </c>
      <c r="Z861" s="228">
        <v>25.96</v>
      </c>
      <c r="AA861" s="228">
        <v>6.9200000000000008</v>
      </c>
      <c r="AB861" s="228">
        <v>67.12</v>
      </c>
      <c r="AC861" s="229" t="s">
        <v>2654</v>
      </c>
      <c r="AD861" s="228">
        <v>1.7568260226712666</v>
      </c>
      <c r="AE861">
        <f>IF('WetLitterbags placem_collection'!AB202="","",'WetLitterbags placem_collection'!AB202)</f>
        <v>15.2</v>
      </c>
      <c r="AF861">
        <f>IF('WetLitterbags placem_collection'!Z202="","",'WetLitterbags placem_collection'!Z202)</f>
        <v>12.2</v>
      </c>
      <c r="AG861" s="243" t="str">
        <f>IF('WetLitterbags placem_collection'!AA202="","",'WetLitterbags placem_collection'!AA202)</f>
        <v>O</v>
      </c>
      <c r="AH861">
        <f>IF('WetLitterbags placem_collection'!AC202="","",'WetLitterbags placem_collection'!AC202)</f>
        <v>1</v>
      </c>
      <c r="AI861">
        <f>AVERAGE('WetLitterbags placem_collection'!S202,'WetLitterbags placem_collection'!U202)</f>
        <v>22.799999999999997</v>
      </c>
      <c r="AJ861">
        <f>AVERAGE('WetLitterbags placem_collection'!R202,'WetLitterbags placem_collection'!T202)</f>
        <v>27.9</v>
      </c>
      <c r="AK861">
        <v>-2.4396949910000001</v>
      </c>
      <c r="AL861">
        <v>34.838574029999997</v>
      </c>
      <c r="AM861" t="str">
        <f>IF(ISNUMBER(SEARCH("C", 'WetLitterbags placem_collection'!$Y202)),"YES","NO")</f>
        <v>NO</v>
      </c>
      <c r="AN861" t="str">
        <f>IF(ISNUMBER(SEARCH("H", 'WetLitterbags placem_collection'!$Y202)),"YES","NO")</f>
        <v>NO</v>
      </c>
      <c r="AO861" t="str">
        <f>IF(ISNUMBER(SEARCH("R", 'WetLitterbags placem_collection'!$Y202)),"YES","NO")</f>
        <v>YES</v>
      </c>
    </row>
    <row r="862" spans="1:41" ht="15" customHeight="1">
      <c r="A862" s="255" t="s">
        <v>2454</v>
      </c>
      <c r="B862" s="260">
        <f>'Dry_Litterbag Placem_Collection'!A203</f>
        <v>201</v>
      </c>
      <c r="C862" s="260" t="str">
        <f>'Dry_Litterbag Placem_Collection'!B203</f>
        <v>Maswa</v>
      </c>
      <c r="D862" s="260" t="s">
        <v>2643</v>
      </c>
      <c r="E862" s="260" t="s">
        <v>2512</v>
      </c>
      <c r="F862" s="260">
        <v>4</v>
      </c>
      <c r="G862" s="260" t="s">
        <v>3813</v>
      </c>
      <c r="H862" s="261" t="str">
        <f>'Dry_Litterbag Placem_Collection'!C203</f>
        <v>Dry_W3_CG4</v>
      </c>
      <c r="I862" s="270" t="s">
        <v>3630</v>
      </c>
      <c r="J862" s="271" t="s">
        <v>298</v>
      </c>
      <c r="K862" s="221" t="str">
        <f>'WetLitterbags placem_collection'!Q203</f>
        <v>R395</v>
      </c>
      <c r="L862" s="223">
        <f>IFERROR(INDEX('Green_rooibos initial weight'!$C$5:$C$2000,MATCH(K862, 'Green_rooibos initial weight'!$A$5:$A$2000,0)),"")</f>
        <v>2.1280000000000001</v>
      </c>
      <c r="M862" s="223">
        <f>IFERROR(L862-(TBIcalc!$H$9+TBIcalc!$H$10),"")</f>
        <v>1.8782000000000001</v>
      </c>
      <c r="N862" s="385">
        <f>AVERAGE(Ashed_controlls!$K$2:$K$11)</f>
        <v>5.5147656768714146</v>
      </c>
      <c r="O862" s="223">
        <f t="shared" si="66"/>
        <v>1.7746216710570011</v>
      </c>
      <c r="P862" s="223">
        <f>IFERROR(INDEX('Both teabags AfterWet'!$C$3:$C$840,MATCH(K862,'Both teabags AfterWet'!$A$3:$A$840,0)),"")</f>
        <v>1.5786</v>
      </c>
      <c r="Q862" s="223">
        <f>IFERROR(IF(P862&gt;0,P862-(TBIcalc!$H$9),""),"")</f>
        <v>1.4279999999999999</v>
      </c>
      <c r="R862" s="223">
        <f>IFERROR(INDEX('Ashed teabags wet'!$K$2:$K$2000,MATCH(K862,'Ashed teabags wet'!$A$2:$A$2000,0)),"")</f>
        <v>3.0123456790120686</v>
      </c>
      <c r="S862" s="223">
        <f t="shared" si="67"/>
        <v>1.3849837037037076</v>
      </c>
      <c r="T862" s="224">
        <f>'WetLitterbags placem_collection'!E203</f>
        <v>42769</v>
      </c>
      <c r="U862" s="224">
        <f>IF('WetLitterbags placem_collection'!G203="","",'WetLitterbags placem_collection'!G203)</f>
        <v>42813</v>
      </c>
      <c r="V862" s="225">
        <f t="shared" si="65"/>
        <v>44</v>
      </c>
      <c r="W862" s="223">
        <f t="shared" si="68"/>
        <v>0.45020000000000016</v>
      </c>
      <c r="X862" s="223">
        <f t="shared" si="69"/>
        <v>0.38963796735329348</v>
      </c>
      <c r="Y862">
        <f>IFERROR(INDEX(Rainfall_Wet!$O$2:$O$217,MATCH(B862, Rainfall_Wet!$A$2:$A$217,0)),"")</f>
        <v>175.054685654</v>
      </c>
      <c r="Z862" s="228">
        <v>38.691629007962128</v>
      </c>
      <c r="AA862" s="228">
        <v>26.81299763288143</v>
      </c>
      <c r="AB862" s="228">
        <v>34.495373359156439</v>
      </c>
      <c r="AC862" s="229" t="s">
        <v>2659</v>
      </c>
      <c r="AD862" s="228">
        <v>2.5483587974371611</v>
      </c>
      <c r="AE862">
        <f>IF('WetLitterbags placem_collection'!AB203="","",'WetLitterbags placem_collection'!AB203)</f>
        <v>15.2</v>
      </c>
      <c r="AF862">
        <f>IF('WetLitterbags placem_collection'!Z203="","",'WetLitterbags placem_collection'!Z203)</f>
        <v>12.2</v>
      </c>
      <c r="AG862" s="243" t="str">
        <f>IF('WetLitterbags placem_collection'!AA203="","",'WetLitterbags placem_collection'!AA203)</f>
        <v>O</v>
      </c>
      <c r="AH862">
        <f>IF('WetLitterbags placem_collection'!AC203="","",'WetLitterbags placem_collection'!AC203)</f>
        <v>1</v>
      </c>
      <c r="AI862">
        <f>AVERAGE('WetLitterbags placem_collection'!S203,'WetLitterbags placem_collection'!U203)</f>
        <v>22</v>
      </c>
      <c r="AJ862">
        <f>AVERAGE('WetLitterbags placem_collection'!R203,'WetLitterbags placem_collection'!T203)</f>
        <v>28</v>
      </c>
      <c r="AK862">
        <v>-2.4396949910000001</v>
      </c>
      <c r="AL862">
        <v>34.838574029999997</v>
      </c>
      <c r="AM862" t="str">
        <f>IF(ISNUMBER(SEARCH("C", 'WetLitterbags placem_collection'!$Y203)),"YES","NO")</f>
        <v>NO</v>
      </c>
      <c r="AN862" t="str">
        <f>IF(ISNUMBER(SEARCH("H", 'WetLitterbags placem_collection'!$Y203)),"YES","NO")</f>
        <v>NO</v>
      </c>
      <c r="AO862" t="str">
        <f>IF(ISNUMBER(SEARCH("R", 'WetLitterbags placem_collection'!$Y203)),"YES","NO")</f>
        <v>NO</v>
      </c>
    </row>
    <row r="863" spans="1:41" ht="15" customHeight="1">
      <c r="A863" s="255" t="s">
        <v>2454</v>
      </c>
      <c r="B863" s="260">
        <f>'Dry_Litterbag Placem_Collection'!A204</f>
        <v>202</v>
      </c>
      <c r="C863" s="260" t="str">
        <f>'Dry_Litterbag Placem_Collection'!B204</f>
        <v>Maswa</v>
      </c>
      <c r="D863" s="260" t="s">
        <v>2643</v>
      </c>
      <c r="E863" s="260" t="s">
        <v>2512</v>
      </c>
      <c r="F863" s="260">
        <v>1</v>
      </c>
      <c r="G863" s="260" t="s">
        <v>3812</v>
      </c>
      <c r="H863" s="261" t="str">
        <f>'Dry_Litterbag Placem_Collection'!C204</f>
        <v>Dry_W2_CG1</v>
      </c>
      <c r="I863" s="270" t="s">
        <v>3630</v>
      </c>
      <c r="J863" s="271" t="s">
        <v>298</v>
      </c>
      <c r="K863" s="221" t="str">
        <f>'WetLitterbags placem_collection'!Q204</f>
        <v>R182</v>
      </c>
      <c r="L863" s="223">
        <f>IFERROR(INDEX('Green_rooibos initial weight'!$C$5:$C$2000,MATCH(K863, 'Green_rooibos initial weight'!$A$5:$A$2000,0)),"")</f>
        <v>2.161</v>
      </c>
      <c r="M863" s="223">
        <f>IFERROR(L863-(TBIcalc!$H$9+TBIcalc!$H$10),"")</f>
        <v>1.9112</v>
      </c>
      <c r="N863" s="385">
        <f>AVERAGE(Ashed_controlls!$K$2:$K$11)</f>
        <v>5.5147656768714146</v>
      </c>
      <c r="O863" s="223">
        <f t="shared" si="66"/>
        <v>1.8058017983836336</v>
      </c>
      <c r="P863" s="223">
        <f>IFERROR(INDEX('Both teabags AfterWet'!$C$3:$C$840,MATCH(K863,'Both teabags AfterWet'!$A$3:$A$840,0)),"")</f>
        <v>1.679</v>
      </c>
      <c r="Q863" s="223">
        <f>IFERROR(IF(P863&gt;0,P863-(TBIcalc!$H$9),""),"")</f>
        <v>1.5284</v>
      </c>
      <c r="R863" s="223">
        <f>IFERROR(INDEX('Ashed teabags wet'!$K$2:$K$2000,MATCH(K863,'Ashed teabags wet'!$A$2:$A$2000,0)),"")</f>
        <v>3.9234919077970858</v>
      </c>
      <c r="S863" s="223">
        <f t="shared" si="67"/>
        <v>1.4684333496812294</v>
      </c>
      <c r="T863" s="224">
        <f>'WetLitterbags placem_collection'!E204</f>
        <v>42769</v>
      </c>
      <c r="U863" s="224">
        <f>IF('WetLitterbags placem_collection'!G204="","",'WetLitterbags placem_collection'!G204)</f>
        <v>42814</v>
      </c>
      <c r="V863" s="225">
        <f t="shared" si="65"/>
        <v>45</v>
      </c>
      <c r="W863" s="223">
        <f t="shared" si="68"/>
        <v>0.38280000000000003</v>
      </c>
      <c r="X863" s="223">
        <f t="shared" si="69"/>
        <v>0.33736844870240423</v>
      </c>
      <c r="Y863">
        <f>IFERROR(INDEX(Rainfall_Wet!$O$2:$O$217,MATCH(B863, Rainfall_Wet!$A$2:$A$217,0)),"")</f>
        <v>175.377105089</v>
      </c>
      <c r="Z863" s="228">
        <v>45.272914521112256</v>
      </c>
      <c r="AA863" s="228">
        <v>23.604531410916575</v>
      </c>
      <c r="AB863" s="228">
        <v>31.122554067971166</v>
      </c>
      <c r="AC863" s="229" t="s">
        <v>2657</v>
      </c>
      <c r="AD863" s="228">
        <v>2.0547560374568752</v>
      </c>
      <c r="AE863">
        <f>IF('WetLitterbags placem_collection'!AB204="","",'WetLitterbags placem_collection'!AB204)</f>
        <v>13.8</v>
      </c>
      <c r="AF863">
        <f>IF('WetLitterbags placem_collection'!Z204="","",'WetLitterbags placem_collection'!Z204)</f>
        <v>17.399999999999999</v>
      </c>
      <c r="AG863" s="243" t="str">
        <f>IF('WetLitterbags placem_collection'!AA204="","",'WetLitterbags placem_collection'!AA204)</f>
        <v>O</v>
      </c>
      <c r="AH863">
        <f>IF('WetLitterbags placem_collection'!AC204="","",'WetLitterbags placem_collection'!AC204)</f>
        <v>1</v>
      </c>
      <c r="AI863">
        <f>AVERAGE('WetLitterbags placem_collection'!S204,'WetLitterbags placem_collection'!U204)</f>
        <v>20.65</v>
      </c>
      <c r="AJ863">
        <f>AVERAGE('WetLitterbags placem_collection'!R204,'WetLitterbags placem_collection'!T204)</f>
        <v>24.1</v>
      </c>
      <c r="AK863">
        <v>-2.439403972</v>
      </c>
      <c r="AL863">
        <v>34.838404959999998</v>
      </c>
      <c r="AM863" t="str">
        <f>IF(ISNUMBER(SEARCH("C", 'WetLitterbags placem_collection'!$Y204)),"YES","NO")</f>
        <v>NO</v>
      </c>
      <c r="AN863" t="str">
        <f>IF(ISNUMBER(SEARCH("H", 'WetLitterbags placem_collection'!$Y204)),"YES","NO")</f>
        <v>NO</v>
      </c>
      <c r="AO863" t="str">
        <f>IF(ISNUMBER(SEARCH("R", 'WetLitterbags placem_collection'!$Y204)),"YES","NO")</f>
        <v>NO</v>
      </c>
    </row>
    <row r="864" spans="1:41" ht="15" customHeight="1">
      <c r="A864" s="255" t="s">
        <v>2454</v>
      </c>
      <c r="B864" s="260">
        <f>'Dry_Litterbag Placem_Collection'!A205</f>
        <v>203</v>
      </c>
      <c r="C864" s="260" t="str">
        <f>'Dry_Litterbag Placem_Collection'!B205</f>
        <v>Maswa</v>
      </c>
      <c r="D864" s="260" t="s">
        <v>2643</v>
      </c>
      <c r="E864" s="260" t="s">
        <v>2512</v>
      </c>
      <c r="F864" s="260">
        <v>2</v>
      </c>
      <c r="G864" s="260" t="s">
        <v>3810</v>
      </c>
      <c r="H864" s="261" t="str">
        <f>'Dry_Litterbag Placem_Collection'!C205</f>
        <v>Dry_W1_CG2</v>
      </c>
      <c r="I864" s="270" t="s">
        <v>3630</v>
      </c>
      <c r="J864" s="271" t="s">
        <v>298</v>
      </c>
      <c r="K864" s="221" t="str">
        <f>'WetLitterbags placem_collection'!Q205</f>
        <v>R342</v>
      </c>
      <c r="L864" s="223">
        <f>IFERROR(INDEX('Green_rooibos initial weight'!$C$5:$C$2000,MATCH(K864, 'Green_rooibos initial weight'!$A$5:$A$2000,0)),"")</f>
        <v>2.2450000000000001</v>
      </c>
      <c r="M864" s="223">
        <f>IFERROR(L864-(TBIcalc!$H$9+TBIcalc!$H$10),"")</f>
        <v>1.9952000000000001</v>
      </c>
      <c r="N864" s="385">
        <f>AVERAGE(Ashed_controlls!$K$2:$K$11)</f>
        <v>5.5147656768714146</v>
      </c>
      <c r="O864" s="223">
        <f t="shared" si="66"/>
        <v>1.8851693952150617</v>
      </c>
      <c r="P864" s="223">
        <f>IFERROR(INDEX('Both teabags AfterWet'!$C$3:$C$840,MATCH(K864,'Both teabags AfterWet'!$A$3:$A$840,0)),"")</f>
        <v>1.5906</v>
      </c>
      <c r="Q864" s="223">
        <f>IFERROR(IF(P864&gt;0,P864-(TBIcalc!$H$9),""),"")</f>
        <v>1.44</v>
      </c>
      <c r="R864" s="223">
        <f>IFERROR(INDEX('Ashed teabags wet'!$K$2:$K$2000,MATCH(K864,'Ashed teabags wet'!$A$2:$A$2000,0)),"")</f>
        <v>3.642714570858145</v>
      </c>
      <c r="S864" s="223">
        <f t="shared" si="67"/>
        <v>1.3875449101796427</v>
      </c>
      <c r="T864" s="224">
        <f>'WetLitterbags placem_collection'!E205</f>
        <v>42769</v>
      </c>
      <c r="U864" s="224">
        <f>IF('WetLitterbags placem_collection'!G205="","",'WetLitterbags placem_collection'!G205)</f>
        <v>42814</v>
      </c>
      <c r="V864" s="225">
        <f t="shared" si="65"/>
        <v>45</v>
      </c>
      <c r="W864" s="223">
        <f t="shared" si="68"/>
        <v>0.55520000000000014</v>
      </c>
      <c r="X864" s="223">
        <f t="shared" si="69"/>
        <v>0.49762448503541901</v>
      </c>
      <c r="Y864">
        <f>IFERROR(INDEX(Rainfall_Wet!$O$2:$O$217,MATCH(B864, Rainfall_Wet!$A$2:$A$217,0)),"")</f>
        <v>175.377105089</v>
      </c>
      <c r="Z864" s="228">
        <v>47.96</v>
      </c>
      <c r="AA864" s="228">
        <v>22.919999999999995</v>
      </c>
      <c r="AB864" s="228">
        <v>29.120000000000012</v>
      </c>
      <c r="AC864" s="229" t="s">
        <v>2657</v>
      </c>
      <c r="AD864" s="228">
        <v>2.8831936914736325</v>
      </c>
      <c r="AE864">
        <f>IF('WetLitterbags placem_collection'!AB205="","",'WetLitterbags placem_collection'!AB205)</f>
        <v>5.13</v>
      </c>
      <c r="AF864">
        <f>IF('WetLitterbags placem_collection'!Z205="","",'WetLitterbags placem_collection'!Z205)</f>
        <v>5.13</v>
      </c>
      <c r="AG864" s="243" t="str">
        <f>IF('WetLitterbags placem_collection'!AA205="","",'WetLitterbags placem_collection'!AA205)</f>
        <v>O</v>
      </c>
      <c r="AH864">
        <f>IF('WetLitterbags placem_collection'!AC205="","",'WetLitterbags placem_collection'!AC205)</f>
        <v>1</v>
      </c>
      <c r="AI864">
        <f>AVERAGE('WetLitterbags placem_collection'!S205,'WetLitterbags placem_collection'!U205)</f>
        <v>27</v>
      </c>
      <c r="AJ864">
        <f>AVERAGE('WetLitterbags placem_collection'!R205,'WetLitterbags placem_collection'!T205)</f>
        <v>28.4</v>
      </c>
      <c r="AK864">
        <v>-2.4396450349999999</v>
      </c>
      <c r="AL864">
        <v>34.83836599</v>
      </c>
      <c r="AM864" t="str">
        <f>IF(ISNUMBER(SEARCH("C", 'WetLitterbags placem_collection'!$Y205)),"YES","NO")</f>
        <v>NO</v>
      </c>
      <c r="AN864" t="str">
        <f>IF(ISNUMBER(SEARCH("H", 'WetLitterbags placem_collection'!$Y205)),"YES","NO")</f>
        <v>NO</v>
      </c>
      <c r="AO864" t="str">
        <f>IF(ISNUMBER(SEARCH("R", 'WetLitterbags placem_collection'!$Y205)),"YES","NO")</f>
        <v>NO</v>
      </c>
    </row>
    <row r="865" spans="1:41" ht="15" customHeight="1">
      <c r="A865" s="255" t="s">
        <v>2454</v>
      </c>
      <c r="B865" s="260">
        <f>'Dry_Litterbag Placem_Collection'!A206</f>
        <v>204</v>
      </c>
      <c r="C865" s="260" t="str">
        <f>'Dry_Litterbag Placem_Collection'!B206</f>
        <v>Maswa</v>
      </c>
      <c r="D865" s="260" t="s">
        <v>2643</v>
      </c>
      <c r="E865" s="260" t="s">
        <v>2512</v>
      </c>
      <c r="F865" s="260">
        <v>3</v>
      </c>
      <c r="G865" s="260" t="s">
        <v>3814</v>
      </c>
      <c r="H865" s="261" t="str">
        <f>'Dry_Litterbag Placem_Collection'!C206</f>
        <v>Dry_W4_CG3</v>
      </c>
      <c r="I865" s="270" t="s">
        <v>3630</v>
      </c>
      <c r="J865" s="271" t="s">
        <v>298</v>
      </c>
      <c r="K865" s="221" t="str">
        <f>'WetLitterbags placem_collection'!Q206</f>
        <v>R139</v>
      </c>
      <c r="L865" s="223">
        <f>IFERROR(INDEX('Green_rooibos initial weight'!$C$5:$C$2000,MATCH(K865, 'Green_rooibos initial weight'!$A$5:$A$2000,0)),"")</f>
        <v>2.2829999999999999</v>
      </c>
      <c r="M865" s="223">
        <f>IFERROR(L865-(TBIcalc!$H$9+TBIcalc!$H$10),"")</f>
        <v>2.0331999999999999</v>
      </c>
      <c r="N865" s="385">
        <f>AVERAGE(Ashed_controlls!$K$2:$K$11)</f>
        <v>5.5147656768714146</v>
      </c>
      <c r="O865" s="223">
        <f t="shared" si="66"/>
        <v>1.9210737842578502</v>
      </c>
      <c r="P865" s="223">
        <f>IFERROR(INDEX('Both teabags AfterWet'!$C$3:$C$840,MATCH(K865,'Both teabags AfterWet'!$A$3:$A$840,0)),"")</f>
        <v>1.6255999999999999</v>
      </c>
      <c r="Q865" s="223">
        <f>IFERROR(IF(P865&gt;0,P865-(TBIcalc!$H$9),""),"")</f>
        <v>1.4749999999999999</v>
      </c>
      <c r="R865" s="223">
        <f>IFERROR(INDEX('Ashed teabags wet'!$K$2:$K$2000,MATCH(K865,'Ashed teabags wet'!$A$2:$A$2000,0)),"")</f>
        <v>2.9484029484021739</v>
      </c>
      <c r="S865" s="223">
        <f t="shared" si="67"/>
        <v>1.4315110565110678</v>
      </c>
      <c r="T865" s="224">
        <f>'WetLitterbags placem_collection'!E206</f>
        <v>42769</v>
      </c>
      <c r="U865" s="224">
        <f>IF('WetLitterbags placem_collection'!G206="","",'WetLitterbags placem_collection'!G206)</f>
        <v>42813</v>
      </c>
      <c r="V865" s="225">
        <f t="shared" si="65"/>
        <v>44</v>
      </c>
      <c r="W865" s="223">
        <f t="shared" si="68"/>
        <v>0.55820000000000003</v>
      </c>
      <c r="X865" s="223">
        <f t="shared" si="69"/>
        <v>0.48956272774678244</v>
      </c>
      <c r="Y865">
        <f>IFERROR(INDEX(Rainfall_Wet!$O$2:$O$217,MATCH(B865, Rainfall_Wet!$A$2:$A$217,0)),"")</f>
        <v>175.054685654</v>
      </c>
      <c r="Z865" s="228">
        <v>28.145762029394</v>
      </c>
      <c r="AA865" s="228">
        <v>25.085564727199518</v>
      </c>
      <c r="AB865" s="228">
        <v>46.768673243406489</v>
      </c>
      <c r="AC865" s="229" t="s">
        <v>2654</v>
      </c>
      <c r="AD865" s="228">
        <v>2.1716214884179394</v>
      </c>
      <c r="AE865">
        <f>IF('WetLitterbags placem_collection'!AB206="","",'WetLitterbags placem_collection'!AB206)</f>
        <v>7.9</v>
      </c>
      <c r="AF865">
        <f>IF('WetLitterbags placem_collection'!Z206="","",'WetLitterbags placem_collection'!Z206)</f>
        <v>7.9</v>
      </c>
      <c r="AG865" s="243" t="str">
        <f>IF('WetLitterbags placem_collection'!AA206="","",'WetLitterbags placem_collection'!AA206)</f>
        <v>O</v>
      </c>
      <c r="AH865">
        <f>IF('WetLitterbags placem_collection'!AC206="","",'WetLitterbags placem_collection'!AC206)</f>
        <v>1</v>
      </c>
      <c r="AI865">
        <f>AVERAGE('WetLitterbags placem_collection'!S206,'WetLitterbags placem_collection'!U206)</f>
        <v>21.6</v>
      </c>
      <c r="AJ865">
        <f>AVERAGE('WetLitterbags placem_collection'!R206,'WetLitterbags placem_collection'!T206)</f>
        <v>30.950000000000003</v>
      </c>
      <c r="AK865">
        <v>-2.4395990190000001</v>
      </c>
      <c r="AL865">
        <v>34.838418959999998</v>
      </c>
      <c r="AM865" t="str">
        <f>IF(ISNUMBER(SEARCH("C", 'WetLitterbags placem_collection'!$Y206)),"YES","NO")</f>
        <v>NO</v>
      </c>
      <c r="AN865" t="str">
        <f>IF(ISNUMBER(SEARCH("H", 'WetLitterbags placem_collection'!$Y206)),"YES","NO")</f>
        <v>NO</v>
      </c>
      <c r="AO865" t="str">
        <f>IF(ISNUMBER(SEARCH("R", 'WetLitterbags placem_collection'!$Y206)),"YES","NO")</f>
        <v>NO</v>
      </c>
    </row>
    <row r="866" spans="1:41" ht="15" customHeight="1">
      <c r="A866" s="255" t="s">
        <v>2454</v>
      </c>
      <c r="B866" s="260">
        <f>'Dry_Litterbag Placem_Collection'!A207</f>
        <v>205</v>
      </c>
      <c r="C866" s="260" t="str">
        <f>'Dry_Litterbag Placem_Collection'!B207</f>
        <v xml:space="preserve">Mwantimba
</v>
      </c>
      <c r="D866" s="260" t="s">
        <v>2454</v>
      </c>
      <c r="E866" s="260" t="s">
        <v>2512</v>
      </c>
      <c r="F866" s="260">
        <v>2</v>
      </c>
      <c r="G866" s="260" t="s">
        <v>3815</v>
      </c>
      <c r="H866" s="261" t="str">
        <f>'Dry_Litterbag Placem_Collection'!C207</f>
        <v>Wet_Ag1_CG2</v>
      </c>
      <c r="I866" s="270" t="s">
        <v>3630</v>
      </c>
      <c r="J866" s="271" t="s">
        <v>298</v>
      </c>
      <c r="K866" s="221" t="str">
        <f>'WetLitterbags placem_collection'!Q207</f>
        <v>R92</v>
      </c>
      <c r="L866" s="223">
        <f>IFERROR(INDEX('Green_rooibos initial weight'!$C$5:$C$2000,MATCH(K866, 'Green_rooibos initial weight'!$A$5:$A$2000,0)),"")</f>
        <v>2.246</v>
      </c>
      <c r="M866" s="223">
        <f>IFERROR(L866-(TBIcalc!$H$9+TBIcalc!$H$10),"")</f>
        <v>1.9962</v>
      </c>
      <c r="N866" s="385">
        <f>AVERAGE(Ashed_controlls!$K$2:$K$11)</f>
        <v>5.5147656768714146</v>
      </c>
      <c r="O866" s="223">
        <f t="shared" si="66"/>
        <v>1.8861142475582928</v>
      </c>
      <c r="P866" s="223">
        <f>IFERROR(INDEX('Both teabags AfterWet'!$C$3:$C$840,MATCH(K866,'Both teabags AfterWet'!$A$3:$A$840,0)),"")</f>
        <v>1.7204999999999999</v>
      </c>
      <c r="Q866" s="223">
        <f>IFERROR(IF(P866&gt;0,P866-(TBIcalc!$H$9),""),"")</f>
        <v>1.5698999999999999</v>
      </c>
      <c r="R866" s="223">
        <f>IFERROR(INDEX('Ashed teabags wet'!$K$2:$K$2000,MATCH(K866,'Ashed teabags wet'!$A$2:$A$2000,0)),"")</f>
        <v>4.6821094135039614</v>
      </c>
      <c r="S866" s="223">
        <f t="shared" si="67"/>
        <v>1.4963955643174012</v>
      </c>
      <c r="T866" s="224">
        <f>'WetLitterbags placem_collection'!E207</f>
        <v>42769</v>
      </c>
      <c r="U866" s="224">
        <f>IF('WetLitterbags placem_collection'!G207="","",'WetLitterbags placem_collection'!G207)</f>
        <v>42814</v>
      </c>
      <c r="V866" s="225">
        <f t="shared" si="65"/>
        <v>45</v>
      </c>
      <c r="W866" s="223">
        <f t="shared" si="68"/>
        <v>0.42630000000000012</v>
      </c>
      <c r="X866" s="223">
        <f t="shared" si="69"/>
        <v>0.38971868324089165</v>
      </c>
      <c r="Y866">
        <f>IFERROR(INDEX(Rainfall_Wet!$O$2:$O$217,MATCH(B866, Rainfall_Wet!$A$2:$A$217,0)),"")</f>
        <v>175.377105089</v>
      </c>
      <c r="Z866" s="228">
        <v>45.96</v>
      </c>
      <c r="AA866" s="228">
        <v>14.920000000000003</v>
      </c>
      <c r="AB866" s="228">
        <v>39.119999999999997</v>
      </c>
      <c r="AC866" s="229" t="s">
        <v>2657</v>
      </c>
      <c r="AD866" s="228">
        <v>2.0374568753080333</v>
      </c>
      <c r="AE866">
        <f>IF('WetLitterbags placem_collection'!AB207="","",'WetLitterbags placem_collection'!AB207)</f>
        <v>5.13</v>
      </c>
      <c r="AF866">
        <f>IF('WetLitterbags placem_collection'!Z207="","",'WetLitterbags placem_collection'!Z207)</f>
        <v>5.13</v>
      </c>
      <c r="AG866" s="243" t="str">
        <f>IF('WetLitterbags placem_collection'!AA207="","",'WetLitterbags placem_collection'!AA207)</f>
        <v>O</v>
      </c>
      <c r="AH866">
        <f>IF('WetLitterbags placem_collection'!AC207="","",'WetLitterbags placem_collection'!AC207)</f>
        <v>1</v>
      </c>
      <c r="AI866">
        <f>AVERAGE('WetLitterbags placem_collection'!S207,'WetLitterbags placem_collection'!U207)</f>
        <v>24.45</v>
      </c>
      <c r="AJ866">
        <f>AVERAGE('WetLitterbags placem_collection'!R207,'WetLitterbags placem_collection'!T207)</f>
        <v>26.299999999999997</v>
      </c>
      <c r="AK866">
        <v>-2.4396450349999999</v>
      </c>
      <c r="AL866">
        <v>34.83836599</v>
      </c>
      <c r="AM866" t="str">
        <f>IF(ISNUMBER(SEARCH("C", 'WetLitterbags placem_collection'!$Y207)),"YES","NO")</f>
        <v>NO</v>
      </c>
      <c r="AN866" t="str">
        <f>IF(ISNUMBER(SEARCH("H", 'WetLitterbags placem_collection'!$Y207)),"YES","NO")</f>
        <v>NO</v>
      </c>
      <c r="AO866" t="str">
        <f>IF(ISNUMBER(SEARCH("R", 'WetLitterbags placem_collection'!$Y207)),"YES","NO")</f>
        <v>NO</v>
      </c>
    </row>
    <row r="867" spans="1:41" ht="15" customHeight="1">
      <c r="A867" s="255" t="s">
        <v>2454</v>
      </c>
      <c r="B867" s="260">
        <f>'Dry_Litterbag Placem_Collection'!A208</f>
        <v>206</v>
      </c>
      <c r="C867" s="260" t="str">
        <f>'Dry_Litterbag Placem_Collection'!B208</f>
        <v xml:space="preserve">Mwantimba
</v>
      </c>
      <c r="D867" s="260" t="s">
        <v>2454</v>
      </c>
      <c r="E867" s="260" t="s">
        <v>2512</v>
      </c>
      <c r="F867" s="260">
        <v>1</v>
      </c>
      <c r="G867" s="260" t="s">
        <v>3817</v>
      </c>
      <c r="H867" s="261" t="str">
        <f>'Dry_Litterbag Placem_Collection'!C208</f>
        <v>Wet_Ag2_CG1</v>
      </c>
      <c r="I867" s="270" t="s">
        <v>3630</v>
      </c>
      <c r="J867" s="271" t="s">
        <v>298</v>
      </c>
      <c r="K867" s="221" t="str">
        <f>'WetLitterbags placem_collection'!Q208</f>
        <v>R328</v>
      </c>
      <c r="L867" s="223">
        <f>IFERROR(INDEX('Green_rooibos initial weight'!$C$5:$C$2000,MATCH(K867, 'Green_rooibos initial weight'!$A$5:$A$2000,0)),"")</f>
        <v>2.2549999999999999</v>
      </c>
      <c r="M867" s="223">
        <f>IFERROR(L867-(TBIcalc!$H$9+TBIcalc!$H$10),"")</f>
        <v>2.0051999999999999</v>
      </c>
      <c r="N867" s="385">
        <f>AVERAGE(Ashed_controlls!$K$2:$K$11)</f>
        <v>5.5147656768714146</v>
      </c>
      <c r="O867" s="223">
        <f t="shared" si="66"/>
        <v>1.8946179186473744</v>
      </c>
      <c r="P867" s="223">
        <f>IFERROR(INDEX('Both teabags AfterWet'!$C$3:$C$840,MATCH(K867,'Both teabags AfterWet'!$A$3:$A$840,0)),"")</f>
        <v>1.609</v>
      </c>
      <c r="Q867" s="223">
        <f>IFERROR(IF(P867&gt;0,P867-(TBIcalc!$H$9),""),"")</f>
        <v>1.4583999999999999</v>
      </c>
      <c r="R867" s="223">
        <f>IFERROR(INDEX('Ashed teabags wet'!$K$2:$K$2000,MATCH(K867,'Ashed teabags wet'!$A$2:$A$2000,0)),"")</f>
        <v>5.8794708476237458</v>
      </c>
      <c r="S867" s="223">
        <f t="shared" si="67"/>
        <v>1.3726537971582553</v>
      </c>
      <c r="T867" s="224">
        <f>'WetLitterbags placem_collection'!E208</f>
        <v>42769</v>
      </c>
      <c r="U867" s="224">
        <f>IF('WetLitterbags placem_collection'!G208="","",'WetLitterbags placem_collection'!G208)</f>
        <v>42814</v>
      </c>
      <c r="V867" s="225">
        <f t="shared" si="65"/>
        <v>45</v>
      </c>
      <c r="W867" s="223">
        <f t="shared" si="68"/>
        <v>0.54679999999999995</v>
      </c>
      <c r="X867" s="223">
        <f t="shared" si="69"/>
        <v>0.52196412148911908</v>
      </c>
      <c r="Y867">
        <f>IFERROR(INDEX(Rainfall_Wet!$O$2:$O$217,MATCH(B867, Rainfall_Wet!$A$2:$A$217,0)),"")</f>
        <v>175.377105089</v>
      </c>
      <c r="Z867" s="228">
        <v>34.344660194174757</v>
      </c>
      <c r="AA867" s="228">
        <v>19.22727272727273</v>
      </c>
      <c r="AB867" s="228">
        <v>46.428067078552509</v>
      </c>
      <c r="AC867" s="229" t="s">
        <v>2654</v>
      </c>
      <c r="AD867" s="228">
        <v>1.7452932479053718</v>
      </c>
      <c r="AE867">
        <f>IF('WetLitterbags placem_collection'!AB208="","",'WetLitterbags placem_collection'!AB208)</f>
        <v>13.8</v>
      </c>
      <c r="AF867">
        <f>IF('WetLitterbags placem_collection'!Z208="","",'WetLitterbags placem_collection'!Z208)</f>
        <v>17.399999999999999</v>
      </c>
      <c r="AG867" s="243" t="str">
        <f>IF('WetLitterbags placem_collection'!AA208="","",'WetLitterbags placem_collection'!AA208)</f>
        <v>O</v>
      </c>
      <c r="AH867">
        <f>IF('WetLitterbags placem_collection'!AC208="","",'WetLitterbags placem_collection'!AC208)</f>
        <v>1</v>
      </c>
      <c r="AI867">
        <f>AVERAGE('WetLitterbags placem_collection'!S208,'WetLitterbags placem_collection'!U208)</f>
        <v>19.05</v>
      </c>
      <c r="AJ867">
        <f>AVERAGE('WetLitterbags placem_collection'!R208,'WetLitterbags placem_collection'!T208)</f>
        <v>24.15</v>
      </c>
      <c r="AK867">
        <v>-2.439403972</v>
      </c>
      <c r="AL867">
        <v>34.838404959999998</v>
      </c>
      <c r="AM867" t="str">
        <f>IF(ISNUMBER(SEARCH("C", 'WetLitterbags placem_collection'!$Y208)),"YES","NO")</f>
        <v>NO</v>
      </c>
      <c r="AN867" t="str">
        <f>IF(ISNUMBER(SEARCH("H", 'WetLitterbags placem_collection'!$Y208)),"YES","NO")</f>
        <v>NO</v>
      </c>
      <c r="AO867" t="str">
        <f>IF(ISNUMBER(SEARCH("R", 'WetLitterbags placem_collection'!$Y208)),"YES","NO")</f>
        <v>YES</v>
      </c>
    </row>
    <row r="868" spans="1:41" ht="15" customHeight="1">
      <c r="A868" s="255" t="s">
        <v>2454</v>
      </c>
      <c r="B868" s="260">
        <f>'Dry_Litterbag Placem_Collection'!A209</f>
        <v>207</v>
      </c>
      <c r="C868" s="260" t="str">
        <f>'Dry_Litterbag Placem_Collection'!B209</f>
        <v xml:space="preserve">Mwantimba
</v>
      </c>
      <c r="D868" s="260" t="s">
        <v>2454</v>
      </c>
      <c r="E868" s="260" t="s">
        <v>2512</v>
      </c>
      <c r="F868" s="260">
        <v>4</v>
      </c>
      <c r="G868" s="260" t="s">
        <v>3818</v>
      </c>
      <c r="H868" s="261" t="str">
        <f>'Dry_Litterbag Placem_Collection'!C209</f>
        <v>Wet_Ag3_CG4</v>
      </c>
      <c r="I868" s="270" t="s">
        <v>3630</v>
      </c>
      <c r="J868" s="271" t="s">
        <v>298</v>
      </c>
      <c r="K868" s="221" t="str">
        <f>'WetLitterbags placem_collection'!Q209</f>
        <v>R149</v>
      </c>
      <c r="L868" s="223">
        <f>IFERROR(INDEX('Green_rooibos initial weight'!$C$5:$C$2000,MATCH(K868, 'Green_rooibos initial weight'!$A$5:$A$2000,0)),"")</f>
        <v>2.2400000000000002</v>
      </c>
      <c r="M868" s="223">
        <f>IFERROR(L868-(TBIcalc!$H$9+TBIcalc!$H$10),"")</f>
        <v>1.9902000000000002</v>
      </c>
      <c r="N868" s="385">
        <f>AVERAGE(Ashed_controlls!$K$2:$K$11)</f>
        <v>5.5147656768714146</v>
      </c>
      <c r="O868" s="223">
        <f t="shared" si="66"/>
        <v>1.8804451334989052</v>
      </c>
      <c r="P868" s="223">
        <f>IFERROR(INDEX('Both teabags AfterWet'!$C$3:$C$840,MATCH(K868,'Both teabags AfterWet'!$A$3:$A$840,0)),"")</f>
        <v>1.401</v>
      </c>
      <c r="Q868" s="223">
        <f>IFERROR(IF(P868&gt;0,P868-(TBIcalc!$H$9),""),"")</f>
        <v>1.2504</v>
      </c>
      <c r="R868" s="223">
        <f>IFERROR(INDEX('Ashed teabags wet'!$K$2:$K$2000,MATCH(K868,'Ashed teabags wet'!$A$2:$A$2000,0)),"")</f>
        <v>9.4146341463411449</v>
      </c>
      <c r="S868" s="223">
        <f t="shared" si="67"/>
        <v>1.1326794146341503</v>
      </c>
      <c r="T868" s="224">
        <f>'WetLitterbags placem_collection'!E209</f>
        <v>42769</v>
      </c>
      <c r="U868" s="224">
        <f>IF('WetLitterbags placem_collection'!G209="","",'WetLitterbags placem_collection'!G209)</f>
        <v>42813</v>
      </c>
      <c r="V868" s="225">
        <f t="shared" si="65"/>
        <v>44</v>
      </c>
      <c r="W868" s="223">
        <f t="shared" si="68"/>
        <v>0.73980000000000024</v>
      </c>
      <c r="X868" s="223">
        <f t="shared" si="69"/>
        <v>0.74776571886475485</v>
      </c>
      <c r="Y868">
        <f>IFERROR(INDEX(Rainfall_Wet!$O$2:$O$217,MATCH(B868, Rainfall_Wet!$A$2:$A$217,0)),"")</f>
        <v>175.054685654</v>
      </c>
      <c r="Z868" s="228">
        <v>27.96</v>
      </c>
      <c r="AA868" s="228">
        <v>4.9200000000000017</v>
      </c>
      <c r="AB868" s="228">
        <v>67.12</v>
      </c>
      <c r="AC868" s="229" t="s">
        <v>2654</v>
      </c>
      <c r="AD868" s="228">
        <v>0.88610152784622953</v>
      </c>
      <c r="AE868">
        <f>IF('WetLitterbags placem_collection'!AB209="","",'WetLitterbags placem_collection'!AB209)</f>
        <v>15.2</v>
      </c>
      <c r="AF868">
        <f>IF('WetLitterbags placem_collection'!Z209="","",'WetLitterbags placem_collection'!Z209)</f>
        <v>12.2</v>
      </c>
      <c r="AG868" s="243" t="str">
        <f>IF('WetLitterbags placem_collection'!AA209="","",'WetLitterbags placem_collection'!AA209)</f>
        <v>O</v>
      </c>
      <c r="AH868">
        <f>IF('WetLitterbags placem_collection'!AC209="","",'WetLitterbags placem_collection'!AC209)</f>
        <v>1</v>
      </c>
      <c r="AI868">
        <f>AVERAGE('WetLitterbags placem_collection'!S209,'WetLitterbags placem_collection'!U209)</f>
        <v>19.8</v>
      </c>
      <c r="AJ868">
        <f>AVERAGE('WetLitterbags placem_collection'!R209,'WetLitterbags placem_collection'!T209)</f>
        <v>29.05</v>
      </c>
      <c r="AK868">
        <v>-2.4396949910000001</v>
      </c>
      <c r="AL868">
        <v>34.838574029999997</v>
      </c>
      <c r="AM868" t="str">
        <f>IF(ISNUMBER(SEARCH("C", 'WetLitterbags placem_collection'!$Y209)),"YES","NO")</f>
        <v>NO</v>
      </c>
      <c r="AN868" t="str">
        <f>IF(ISNUMBER(SEARCH("H", 'WetLitterbags placem_collection'!$Y209)),"YES","NO")</f>
        <v>NO</v>
      </c>
      <c r="AO868" t="str">
        <f>IF(ISNUMBER(SEARCH("R", 'WetLitterbags placem_collection'!$Y209)),"YES","NO")</f>
        <v>NO</v>
      </c>
    </row>
    <row r="869" spans="1:41" ht="15" customHeight="1">
      <c r="A869" s="255" t="s">
        <v>2454</v>
      </c>
      <c r="B869" s="260">
        <f>'Dry_Litterbag Placem_Collection'!A210</f>
        <v>208</v>
      </c>
      <c r="C869" s="260" t="str">
        <f>'Dry_Litterbag Placem_Collection'!B210</f>
        <v xml:space="preserve">Mwantimba
</v>
      </c>
      <c r="D869" s="260" t="s">
        <v>2454</v>
      </c>
      <c r="E869" s="260" t="s">
        <v>2512</v>
      </c>
      <c r="F869" s="260">
        <v>3</v>
      </c>
      <c r="G869" s="260" t="s">
        <v>3819</v>
      </c>
      <c r="H869" s="261" t="str">
        <f>'Dry_Litterbag Placem_Collection'!C210</f>
        <v>Wet_Ag4_CG3</v>
      </c>
      <c r="I869" s="270" t="s">
        <v>3630</v>
      </c>
      <c r="J869" s="271" t="s">
        <v>298</v>
      </c>
      <c r="K869" s="221" t="str">
        <f>'WetLitterbags placem_collection'!Q210</f>
        <v>R449</v>
      </c>
      <c r="L869" s="223">
        <f>IFERROR(INDEX('Green_rooibos initial weight'!$C$5:$C$2000,MATCH(K869, 'Green_rooibos initial weight'!$A$5:$A$2000,0)),"")</f>
        <v>2.2709999999999999</v>
      </c>
      <c r="M869" s="223">
        <f>IFERROR(L869-(TBIcalc!$H$9+TBIcalc!$H$10),"")</f>
        <v>2.0211999999999999</v>
      </c>
      <c r="N869" s="385">
        <f>AVERAGE(Ashed_controlls!$K$2:$K$11)</f>
        <v>5.5147656768714146</v>
      </c>
      <c r="O869" s="223">
        <f t="shared" si="66"/>
        <v>1.9097355561390748</v>
      </c>
      <c r="P869" s="223">
        <f>IFERROR(INDEX('Both teabags AfterWet'!$C$3:$C$840,MATCH(K869,'Both teabags AfterWet'!$A$3:$A$840,0)),"")</f>
        <v>1.611</v>
      </c>
      <c r="Q869" s="223">
        <f>IFERROR(IF(P869&gt;0,P869-(TBIcalc!$H$9),""),"")</f>
        <v>1.4603999999999999</v>
      </c>
      <c r="R869" s="223">
        <f>IFERROR(INDEX('Ashed teabags wet'!$K$2:$K$2000,MATCH(K869,'Ashed teabags wet'!$A$2:$A$2000,0)),"")</f>
        <v>7.5425790754251629</v>
      </c>
      <c r="S869" s="223">
        <f t="shared" si="67"/>
        <v>1.3502481751824909</v>
      </c>
      <c r="T869" s="224">
        <f>'WetLitterbags placem_collection'!E210</f>
        <v>42769</v>
      </c>
      <c r="U869" s="224">
        <f>IF('WetLitterbags placem_collection'!G210="","",'WetLitterbags placem_collection'!G210)</f>
        <v>42813</v>
      </c>
      <c r="V869" s="225">
        <f t="shared" si="65"/>
        <v>44</v>
      </c>
      <c r="W869" s="223">
        <f t="shared" si="68"/>
        <v>0.56079999999999997</v>
      </c>
      <c r="X869" s="223">
        <f t="shared" si="69"/>
        <v>0.5594873809565839</v>
      </c>
      <c r="Y869">
        <f>IFERROR(INDEX(Rainfall_Wet!$O$2:$O$217,MATCH(B869, Rainfall_Wet!$A$2:$A$217,0)),"")</f>
        <v>175.054685654</v>
      </c>
      <c r="Z869" s="228">
        <v>17.96</v>
      </c>
      <c r="AA869" s="228">
        <v>4.9199999999999982</v>
      </c>
      <c r="AB869" s="228">
        <v>77.12</v>
      </c>
      <c r="AC869" s="229" t="s">
        <v>2655</v>
      </c>
      <c r="AD869" s="228">
        <v>2.0220798422868409</v>
      </c>
      <c r="AE869">
        <f>IF('WetLitterbags placem_collection'!AB210="","",'WetLitterbags placem_collection'!AB210)</f>
        <v>7.9</v>
      </c>
      <c r="AF869">
        <f>IF('WetLitterbags placem_collection'!Z210="","",'WetLitterbags placem_collection'!Z210)</f>
        <v>7.9</v>
      </c>
      <c r="AG869" s="243" t="str">
        <f>IF('WetLitterbags placem_collection'!AA210="","",'WetLitterbags placem_collection'!AA210)</f>
        <v>O</v>
      </c>
      <c r="AH869">
        <f>IF('WetLitterbags placem_collection'!AC210="","",'WetLitterbags placem_collection'!AC210)</f>
        <v>1</v>
      </c>
      <c r="AI869">
        <f>AVERAGE('WetLitterbags placem_collection'!S210,'WetLitterbags placem_collection'!U210)</f>
        <v>22.200000000000003</v>
      </c>
      <c r="AJ869">
        <f>AVERAGE('WetLitterbags placem_collection'!R210,'WetLitterbags placem_collection'!T210)</f>
        <v>27.45</v>
      </c>
      <c r="AK869">
        <v>-2.4395990190000001</v>
      </c>
      <c r="AL869">
        <v>34.838418959999998</v>
      </c>
      <c r="AM869" t="str">
        <f>IF(ISNUMBER(SEARCH("C", 'WetLitterbags placem_collection'!$Y210)),"YES","NO")</f>
        <v>NO</v>
      </c>
      <c r="AN869" t="str">
        <f>IF(ISNUMBER(SEARCH("H", 'WetLitterbags placem_collection'!$Y210)),"YES","NO")</f>
        <v>NO</v>
      </c>
      <c r="AO869" t="str">
        <f>IF(ISNUMBER(SEARCH("R", 'WetLitterbags placem_collection'!$Y210)),"YES","NO")</f>
        <v>YES</v>
      </c>
    </row>
    <row r="870" spans="1:41" ht="15" customHeight="1">
      <c r="A870" s="255" t="s">
        <v>2454</v>
      </c>
      <c r="B870" s="260">
        <f>'Dry_Litterbag Placem_Collection'!A211</f>
        <v>209</v>
      </c>
      <c r="C870" s="260" t="str">
        <f>'Dry_Litterbag Placem_Collection'!B211</f>
        <v xml:space="preserve">Mwantimba
</v>
      </c>
      <c r="D870" s="260" t="s">
        <v>2454</v>
      </c>
      <c r="E870" s="260" t="s">
        <v>2512</v>
      </c>
      <c r="F870" s="260">
        <v>2</v>
      </c>
      <c r="G870" s="260" t="s">
        <v>3820</v>
      </c>
      <c r="H870" s="261" t="str">
        <f>'Dry_Litterbag Placem_Collection'!C211</f>
        <v>Wet_P1_CG2</v>
      </c>
      <c r="I870" s="270" t="s">
        <v>3630</v>
      </c>
      <c r="J870" s="271" t="s">
        <v>298</v>
      </c>
      <c r="K870" s="221" t="str">
        <f>'WetLitterbags placem_collection'!Q211</f>
        <v>R142</v>
      </c>
      <c r="L870" s="223">
        <f>IFERROR(INDEX('Green_rooibos initial weight'!$C$5:$C$2000,MATCH(K870, 'Green_rooibos initial weight'!$A$5:$A$2000,0)),"")</f>
        <v>2.0870000000000002</v>
      </c>
      <c r="M870" s="223">
        <f>IFERROR(L870-(TBIcalc!$H$9+TBIcalc!$H$10),"")</f>
        <v>1.8372000000000002</v>
      </c>
      <c r="N870" s="385">
        <f>AVERAGE(Ashed_controlls!$K$2:$K$11)</f>
        <v>5.5147656768714146</v>
      </c>
      <c r="O870" s="223">
        <f t="shared" si="66"/>
        <v>1.7358827249845186</v>
      </c>
      <c r="P870" s="223">
        <f>IFERROR(INDEX('Both teabags AfterWet'!$C$3:$C$840,MATCH(K870,'Both teabags AfterWet'!$A$3:$A$840,0)),"")</f>
        <v>1.5780000000000001</v>
      </c>
      <c r="Q870" s="223">
        <f>IFERROR(IF(P870&gt;0,P870-(TBIcalc!$H$9),""),"")</f>
        <v>1.4274</v>
      </c>
      <c r="R870" s="223">
        <f>IFERROR(INDEX('Ashed teabags wet'!$K$2:$K$2000,MATCH(K870,'Ashed teabags wet'!$A$2:$A$2000,0)),"")</f>
        <v>6.2620423892102917</v>
      </c>
      <c r="S870" s="223">
        <f t="shared" si="67"/>
        <v>1.3380156069364122</v>
      </c>
      <c r="T870" s="224">
        <f>'WetLitterbags placem_collection'!E211</f>
        <v>42769</v>
      </c>
      <c r="U870" s="224">
        <f>IF('WetLitterbags placem_collection'!G211="","",'WetLitterbags placem_collection'!G211)</f>
        <v>42814</v>
      </c>
      <c r="V870" s="225">
        <f t="shared" si="65"/>
        <v>45</v>
      </c>
      <c r="W870" s="223">
        <f t="shared" si="68"/>
        <v>0.40980000000000016</v>
      </c>
      <c r="X870" s="223">
        <f t="shared" si="69"/>
        <v>0.39786711804810637</v>
      </c>
      <c r="Y870">
        <f>IFERROR(INDEX(Rainfall_Wet!$O$2:$O$217,MATCH(B870, Rainfall_Wet!$A$2:$A$217,0)),"")</f>
        <v>175.377105089</v>
      </c>
      <c r="Z870" s="228">
        <v>31.214836424255054</v>
      </c>
      <c r="AA870" s="228">
        <v>11.377370285476141</v>
      </c>
      <c r="AB870" s="228">
        <v>57.407793290268799</v>
      </c>
      <c r="AC870" s="229" t="s">
        <v>2654</v>
      </c>
      <c r="AD870" s="228">
        <v>1.7337604731394776</v>
      </c>
      <c r="AE870">
        <f>IF('WetLitterbags placem_collection'!AB211="","",'WetLitterbags placem_collection'!AB211)</f>
        <v>5.13</v>
      </c>
      <c r="AF870">
        <f>IF('WetLitterbags placem_collection'!Z211="","",'WetLitterbags placem_collection'!Z211)</f>
        <v>5.13</v>
      </c>
      <c r="AG870" s="243" t="str">
        <f>IF('WetLitterbags placem_collection'!AA211="","",'WetLitterbags placem_collection'!AA211)</f>
        <v>O</v>
      </c>
      <c r="AH870">
        <f>IF('WetLitterbags placem_collection'!AC211="","",'WetLitterbags placem_collection'!AC211)</f>
        <v>1</v>
      </c>
      <c r="AI870">
        <f>AVERAGE('WetLitterbags placem_collection'!S211,'WetLitterbags placem_collection'!U211)</f>
        <v>24.5</v>
      </c>
      <c r="AJ870">
        <f>AVERAGE('WetLitterbags placem_collection'!R211,'WetLitterbags placem_collection'!T211)</f>
        <v>24.4</v>
      </c>
      <c r="AK870">
        <v>-2.4396450349999999</v>
      </c>
      <c r="AL870">
        <v>34.83836599</v>
      </c>
      <c r="AM870" t="str">
        <f>IF(ISNUMBER(SEARCH("C", 'WetLitterbags placem_collection'!$Y211)),"YES","NO")</f>
        <v>NO</v>
      </c>
      <c r="AN870" t="str">
        <f>IF(ISNUMBER(SEARCH("H", 'WetLitterbags placem_collection'!$Y211)),"YES","NO")</f>
        <v>NO</v>
      </c>
      <c r="AO870" t="str">
        <f>IF(ISNUMBER(SEARCH("R", 'WetLitterbags placem_collection'!$Y211)),"YES","NO")</f>
        <v>YES</v>
      </c>
    </row>
    <row r="871" spans="1:41" ht="15" customHeight="1">
      <c r="A871" s="255" t="s">
        <v>2454</v>
      </c>
      <c r="B871" s="260">
        <f>'Dry_Litterbag Placem_Collection'!A212</f>
        <v>210</v>
      </c>
      <c r="C871" s="260" t="str">
        <f>'Dry_Litterbag Placem_Collection'!B212</f>
        <v xml:space="preserve">Mwantimba
</v>
      </c>
      <c r="D871" s="260" t="s">
        <v>2454</v>
      </c>
      <c r="E871" s="260" t="s">
        <v>2512</v>
      </c>
      <c r="F871" s="260">
        <v>4</v>
      </c>
      <c r="G871" s="260" t="s">
        <v>3822</v>
      </c>
      <c r="H871" s="261" t="str">
        <f>'Dry_Litterbag Placem_Collection'!C212</f>
        <v>Wet_P2_CG4</v>
      </c>
      <c r="I871" s="270" t="s">
        <v>3630</v>
      </c>
      <c r="J871" s="271" t="s">
        <v>298</v>
      </c>
      <c r="K871" s="221" t="str">
        <f>'WetLitterbags placem_collection'!Q212</f>
        <v>R392</v>
      </c>
      <c r="L871" s="223">
        <f>IFERROR(INDEX('Green_rooibos initial weight'!$C$5:$C$2000,MATCH(K871, 'Green_rooibos initial weight'!$A$5:$A$2000,0)),"")</f>
        <v>2.2309999999999999</v>
      </c>
      <c r="M871" s="223">
        <f>IFERROR(L871-(TBIcalc!$H$9+TBIcalc!$H$10),"")</f>
        <v>1.9811999999999999</v>
      </c>
      <c r="N871" s="385">
        <f>AVERAGE(Ashed_controlls!$K$2:$K$11)</f>
        <v>5.5147656768714146</v>
      </c>
      <c r="O871" s="223">
        <f t="shared" si="66"/>
        <v>1.8719414624098234</v>
      </c>
      <c r="P871" s="223">
        <f>IFERROR(INDEX('Both teabags AfterWet'!$C$3:$C$840,MATCH(K871,'Both teabags AfterWet'!$A$3:$A$840,0)),"")</f>
        <v>1.6165</v>
      </c>
      <c r="Q871" s="223">
        <f>IFERROR(IF(P871&gt;0,P871-(TBIcalc!$H$9),""),"")</f>
        <v>1.4659</v>
      </c>
      <c r="R871" s="223">
        <f>IFERROR(INDEX('Ashed teabags wet'!$K$2:$K$2000,MATCH(K871,'Ashed teabags wet'!$A$2:$A$2000,0)),"")</f>
        <v>8.4810733109723397</v>
      </c>
      <c r="S871" s="223">
        <f t="shared" si="67"/>
        <v>1.3415759463344565</v>
      </c>
      <c r="T871" s="224">
        <f>'WetLitterbags placem_collection'!E212</f>
        <v>42769</v>
      </c>
      <c r="U871" s="224">
        <f>IF('WetLitterbags placem_collection'!G212="","",'WetLitterbags placem_collection'!G212)</f>
        <v>42813</v>
      </c>
      <c r="V871" s="225">
        <f t="shared" si="65"/>
        <v>44</v>
      </c>
      <c r="W871" s="223">
        <f t="shared" si="68"/>
        <v>0.51529999999999987</v>
      </c>
      <c r="X871" s="223">
        <f t="shared" si="69"/>
        <v>0.53036551607536686</v>
      </c>
      <c r="Y871">
        <f>IFERROR(INDEX(Rainfall_Wet!$O$2:$O$217,MATCH(B871, Rainfall_Wet!$A$2:$A$217,0)),"")</f>
        <v>175.054685654</v>
      </c>
      <c r="Z871" s="228">
        <v>33.96</v>
      </c>
      <c r="AA871" s="228">
        <v>8.9200000000000017</v>
      </c>
      <c r="AB871" s="228">
        <v>57.12</v>
      </c>
      <c r="AC871" s="229" t="s">
        <v>2654</v>
      </c>
      <c r="AD871" s="228">
        <v>2.072055199605717</v>
      </c>
      <c r="AE871">
        <f>IF('WetLitterbags placem_collection'!AB212="","",'WetLitterbags placem_collection'!AB212)</f>
        <v>15.2</v>
      </c>
      <c r="AF871">
        <f>IF('WetLitterbags placem_collection'!Z212="","",'WetLitterbags placem_collection'!Z212)</f>
        <v>12.2</v>
      </c>
      <c r="AG871" s="243" t="str">
        <f>IF('WetLitterbags placem_collection'!AA212="","",'WetLitterbags placem_collection'!AA212)</f>
        <v>O</v>
      </c>
      <c r="AH871">
        <f>IF('WetLitterbags placem_collection'!AC212="","",'WetLitterbags placem_collection'!AC212)</f>
        <v>1</v>
      </c>
      <c r="AI871">
        <f>AVERAGE('WetLitterbags placem_collection'!S212,'WetLitterbags placem_collection'!U212)</f>
        <v>22.4</v>
      </c>
      <c r="AJ871">
        <f>AVERAGE('WetLitterbags placem_collection'!R212,'WetLitterbags placem_collection'!T212)</f>
        <v>28.400000000000002</v>
      </c>
      <c r="AK871">
        <v>-2.4396949910000001</v>
      </c>
      <c r="AL871">
        <v>34.838574029999997</v>
      </c>
      <c r="AM871" t="str">
        <f>IF(ISNUMBER(SEARCH("C", 'WetLitterbags placem_collection'!$Y212)),"YES","NO")</f>
        <v>NO</v>
      </c>
      <c r="AN871" t="str">
        <f>IF(ISNUMBER(SEARCH("H", 'WetLitterbags placem_collection'!$Y212)),"YES","NO")</f>
        <v>NO</v>
      </c>
      <c r="AO871" t="str">
        <f>IF(ISNUMBER(SEARCH("R", 'WetLitterbags placem_collection'!$Y212)),"YES","NO")</f>
        <v>NO</v>
      </c>
    </row>
    <row r="872" spans="1:41" ht="15" customHeight="1">
      <c r="A872" s="255" t="s">
        <v>2454</v>
      </c>
      <c r="B872" s="260">
        <f>'Dry_Litterbag Placem_Collection'!A213</f>
        <v>211</v>
      </c>
      <c r="C872" s="260" t="str">
        <f>'Dry_Litterbag Placem_Collection'!B213</f>
        <v xml:space="preserve">Mwantimba
</v>
      </c>
      <c r="D872" s="260" t="s">
        <v>2454</v>
      </c>
      <c r="E872" s="260" t="s">
        <v>2512</v>
      </c>
      <c r="F872" s="260">
        <v>1</v>
      </c>
      <c r="G872" s="260" t="s">
        <v>3823</v>
      </c>
      <c r="H872" s="261" t="str">
        <f>'Dry_Litterbag Placem_Collection'!C213</f>
        <v>Wet_P3_CG1</v>
      </c>
      <c r="I872" s="270" t="s">
        <v>3630</v>
      </c>
      <c r="J872" s="271" t="s">
        <v>298</v>
      </c>
      <c r="K872" s="221" t="str">
        <f>'WetLitterbags placem_collection'!Q213</f>
        <v>R589</v>
      </c>
      <c r="L872" s="223">
        <f>IFERROR(INDEX('Green_rooibos initial weight'!$C$5:$C$2000,MATCH(K872, 'Green_rooibos initial weight'!$A$5:$A$2000,0)),"")</f>
        <v>2.157</v>
      </c>
      <c r="M872" s="223">
        <f>IFERROR(L872-(TBIcalc!$H$9+TBIcalc!$H$10),"")</f>
        <v>1.9072</v>
      </c>
      <c r="N872" s="385">
        <f>AVERAGE(Ashed_controlls!$K$2:$K$11)</f>
        <v>5.5147656768714146</v>
      </c>
      <c r="O872" s="223">
        <f t="shared" si="66"/>
        <v>1.8020223890107083</v>
      </c>
      <c r="P872" s="223">
        <f>IFERROR(INDEX('Both teabags AfterWet'!$C$3:$C$840,MATCH(K872,'Both teabags AfterWet'!$A$3:$A$840,0)),"")</f>
        <v>1.5489999999999999</v>
      </c>
      <c r="Q872" s="223">
        <f>IFERROR(IF(P872&gt;0,P872-(TBIcalc!$H$9),""),"")</f>
        <v>1.3983999999999999</v>
      </c>
      <c r="R872" s="223">
        <f>IFERROR(INDEX('Ashed teabags wet'!$K$2:$K$2000,MATCH(K872,'Ashed teabags wet'!$A$2:$A$2000,0)),"")</f>
        <v>7.414730598121813</v>
      </c>
      <c r="S872" s="223">
        <f t="shared" si="67"/>
        <v>1.2947124073158645</v>
      </c>
      <c r="T872" s="224">
        <f>'WetLitterbags placem_collection'!E213</f>
        <v>42769</v>
      </c>
      <c r="U872" s="224">
        <f>IF('WetLitterbags placem_collection'!G213="","",'WetLitterbags placem_collection'!G213)</f>
        <v>42814</v>
      </c>
      <c r="V872" s="225">
        <f t="shared" si="65"/>
        <v>45</v>
      </c>
      <c r="W872" s="223">
        <f t="shared" si="68"/>
        <v>0.50880000000000014</v>
      </c>
      <c r="X872" s="223">
        <f t="shared" si="69"/>
        <v>0.50730998169484387</v>
      </c>
      <c r="Y872">
        <f>IFERROR(INDEX(Rainfall_Wet!$O$2:$O$217,MATCH(B872, Rainfall_Wet!$A$2:$A$217,0)),"")</f>
        <v>175.377105089</v>
      </c>
      <c r="Z872" s="228">
        <v>39.96</v>
      </c>
      <c r="AA872" s="228">
        <v>12.920000000000002</v>
      </c>
      <c r="AB872" s="228">
        <v>47.12</v>
      </c>
      <c r="AC872" s="229" t="s">
        <v>2658</v>
      </c>
      <c r="AD872" s="228">
        <v>1.6549531789058647</v>
      </c>
      <c r="AE872">
        <f>IF('WetLitterbags placem_collection'!AB213="","",'WetLitterbags placem_collection'!AB213)</f>
        <v>13.8</v>
      </c>
      <c r="AF872">
        <f>IF('WetLitterbags placem_collection'!Z213="","",'WetLitterbags placem_collection'!Z213)</f>
        <v>17.399999999999999</v>
      </c>
      <c r="AG872" s="243" t="str">
        <f>IF('WetLitterbags placem_collection'!AA213="","",'WetLitterbags placem_collection'!AA213)</f>
        <v>O</v>
      </c>
      <c r="AH872">
        <f>IF('WetLitterbags placem_collection'!AC213="","",'WetLitterbags placem_collection'!AC213)</f>
        <v>1</v>
      </c>
      <c r="AI872">
        <f>AVERAGE('WetLitterbags placem_collection'!S213,'WetLitterbags placem_collection'!U213)</f>
        <v>16.850000000000001</v>
      </c>
      <c r="AJ872">
        <f>AVERAGE('WetLitterbags placem_collection'!R213,'WetLitterbags placem_collection'!T213)</f>
        <v>23.95</v>
      </c>
      <c r="AK872">
        <v>-2.439403972</v>
      </c>
      <c r="AL872">
        <v>34.838404959999998</v>
      </c>
      <c r="AM872" t="str">
        <f>IF(ISNUMBER(SEARCH("C", 'WetLitterbags placem_collection'!$Y213)),"YES","NO")</f>
        <v>NO</v>
      </c>
      <c r="AN872" t="str">
        <f>IF(ISNUMBER(SEARCH("H", 'WetLitterbags placem_collection'!$Y213)),"YES","NO")</f>
        <v>NO</v>
      </c>
      <c r="AO872" t="str">
        <f>IF(ISNUMBER(SEARCH("R", 'WetLitterbags placem_collection'!$Y213)),"YES","NO")</f>
        <v>YES</v>
      </c>
    </row>
    <row r="873" spans="1:41" ht="15" customHeight="1">
      <c r="A873" s="255" t="s">
        <v>2454</v>
      </c>
      <c r="B873" s="260">
        <f>'Dry_Litterbag Placem_Collection'!A214</f>
        <v>215</v>
      </c>
      <c r="C873" s="260" t="str">
        <f>'Dry_Litterbag Placem_Collection'!B214</f>
        <v xml:space="preserve">Mwantimba
</v>
      </c>
      <c r="D873" s="260" t="s">
        <v>2454</v>
      </c>
      <c r="E873" s="260" t="s">
        <v>2512</v>
      </c>
      <c r="F873" s="260">
        <v>3</v>
      </c>
      <c r="G873" s="260" t="s">
        <v>3828</v>
      </c>
      <c r="H873" s="261" t="str">
        <f>'Dry_Litterbag Placem_Collection'!C214</f>
        <v>Wet_W3_CG1</v>
      </c>
      <c r="I873" s="270" t="s">
        <v>3630</v>
      </c>
      <c r="J873" s="271" t="s">
        <v>298</v>
      </c>
      <c r="K873" s="221" t="str">
        <f>'WetLitterbags placem_collection'!Q214</f>
        <v>R130</v>
      </c>
      <c r="L873" s="223">
        <f>IFERROR(INDEX('Green_rooibos initial weight'!$C$5:$C$2000,MATCH(K873, 'Green_rooibos initial weight'!$A$5:$A$2000,0)),"")</f>
        <v>2.2410000000000001</v>
      </c>
      <c r="M873" s="223">
        <f>IFERROR(L873-(TBIcalc!$H$9+TBIcalc!$H$10),"")</f>
        <v>1.9912000000000001</v>
      </c>
      <c r="N873" s="385">
        <f>AVERAGE(Ashed_controlls!$K$2:$K$11)</f>
        <v>5.5147656768714146</v>
      </c>
      <c r="O873" s="223">
        <f t="shared" si="66"/>
        <v>1.8813899858421366</v>
      </c>
      <c r="P873" s="223">
        <f>IFERROR(INDEX('Both teabags AfterWet'!$C$3:$C$840,MATCH(K873,'Both teabags AfterWet'!$A$3:$A$840,0)),"")</f>
        <v>1.6712</v>
      </c>
      <c r="Q873" s="223">
        <f>IFERROR(IF(P873&gt;0,P873-(TBIcalc!$H$9),""),"")</f>
        <v>1.5206</v>
      </c>
      <c r="R873" s="223">
        <f>IFERROR(INDEX('Ashed teabags wet'!$K$2:$K$2000,MATCH(K873,'Ashed teabags wet'!$A$2:$A$2000,0)),"")</f>
        <v>7.2700296735904999</v>
      </c>
      <c r="S873" s="223">
        <f t="shared" si="67"/>
        <v>1.4100519287833828</v>
      </c>
      <c r="T873" s="224">
        <f>'WetLitterbags placem_collection'!E214</f>
        <v>42769</v>
      </c>
      <c r="U873" s="224">
        <f>IF('WetLitterbags placem_collection'!G214="","",'WetLitterbags placem_collection'!G214)</f>
        <v>42813</v>
      </c>
      <c r="V873" s="225">
        <f t="shared" si="65"/>
        <v>44</v>
      </c>
      <c r="W873" s="223">
        <f t="shared" si="68"/>
        <v>0.47060000000000013</v>
      </c>
      <c r="X873" s="223">
        <f t="shared" si="69"/>
        <v>0.47133805705875376</v>
      </c>
      <c r="Y873">
        <f>IFERROR(INDEX(Rainfall_Wet!$O$2:$O$217,MATCH(B873, Rainfall_Wet!$A$2:$A$217,0)),"")</f>
        <v>175.377105089</v>
      </c>
      <c r="Z873" s="228">
        <v>27.96</v>
      </c>
      <c r="AA873" s="228">
        <v>4.9200000000000017</v>
      </c>
      <c r="AB873" s="228">
        <v>67.12</v>
      </c>
      <c r="AC873" s="229" t="s">
        <v>2654</v>
      </c>
      <c r="AD873" s="228">
        <v>1.0437161163134547</v>
      </c>
      <c r="AE873">
        <f>IF('WetLitterbags placem_collection'!AB214="","",'WetLitterbags placem_collection'!AB214)</f>
        <v>7.9</v>
      </c>
      <c r="AF873">
        <f>IF('WetLitterbags placem_collection'!Z214="","",'WetLitterbags placem_collection'!Z214)</f>
        <v>7.9</v>
      </c>
      <c r="AG873" s="243" t="str">
        <f>IF('WetLitterbags placem_collection'!AA214="","",'WetLitterbags placem_collection'!AA214)</f>
        <v>O</v>
      </c>
      <c r="AH873">
        <f>IF('WetLitterbags placem_collection'!AC214="","",'WetLitterbags placem_collection'!AC214)</f>
        <v>1</v>
      </c>
      <c r="AI873">
        <f>AVERAGE('WetLitterbags placem_collection'!S214,'WetLitterbags placem_collection'!U214)</f>
        <v>22.45</v>
      </c>
      <c r="AJ873">
        <f>AVERAGE('WetLitterbags placem_collection'!R214,'WetLitterbags placem_collection'!T214)</f>
        <v>27.450000000000003</v>
      </c>
      <c r="AK873">
        <v>-2.4395990190000001</v>
      </c>
      <c r="AL873">
        <v>34.838418959999998</v>
      </c>
      <c r="AM873" t="str">
        <f>IF(ISNUMBER(SEARCH("C", 'WetLitterbags placem_collection'!$Y214)),"YES","NO")</f>
        <v>NO</v>
      </c>
      <c r="AN873" t="str">
        <f>IF(ISNUMBER(SEARCH("H", 'WetLitterbags placem_collection'!$Y214)),"YES","NO")</f>
        <v>NO</v>
      </c>
      <c r="AO873" t="str">
        <f>IF(ISNUMBER(SEARCH("R", 'WetLitterbags placem_collection'!$Y214)),"YES","NO")</f>
        <v>YES</v>
      </c>
    </row>
    <row r="874" spans="1:41" ht="15" customHeight="1">
      <c r="A874" s="255" t="s">
        <v>2454</v>
      </c>
      <c r="B874" s="260">
        <f>'Dry_Litterbag Placem_Collection'!A215</f>
        <v>212</v>
      </c>
      <c r="C874" s="260" t="str">
        <f>'Dry_Litterbag Placem_Collection'!B215</f>
        <v xml:space="preserve">Mwantimba
</v>
      </c>
      <c r="D874" s="260" t="s">
        <v>2454</v>
      </c>
      <c r="E874" s="260" t="s">
        <v>2512</v>
      </c>
      <c r="F874" s="260">
        <v>4</v>
      </c>
      <c r="G874" s="260" t="s">
        <v>3824</v>
      </c>
      <c r="H874" s="261" t="str">
        <f>'Dry_Litterbag Placem_Collection'!C215</f>
        <v>Wet_P4_CG3</v>
      </c>
      <c r="I874" s="270" t="s">
        <v>3630</v>
      </c>
      <c r="J874" s="271" t="s">
        <v>298</v>
      </c>
      <c r="K874" s="221" t="str">
        <f>'WetLitterbags placem_collection'!Q215</f>
        <v>R111</v>
      </c>
      <c r="L874" s="223">
        <f>IFERROR(INDEX('Green_rooibos initial weight'!$C$5:$C$2000,MATCH(K874, 'Green_rooibos initial weight'!$A$5:$A$2000,0)),"")</f>
        <v>2.3170000000000002</v>
      </c>
      <c r="M874" s="223">
        <f>IFERROR(L874-(TBIcalc!$H$9+TBIcalc!$H$10),"")</f>
        <v>2.0672000000000001</v>
      </c>
      <c r="N874" s="385">
        <f>AVERAGE(Ashed_controlls!$K$2:$K$11)</f>
        <v>5.5147656768714146</v>
      </c>
      <c r="O874" s="223">
        <f t="shared" si="66"/>
        <v>1.9531987639277142</v>
      </c>
      <c r="P874" s="223">
        <f>IFERROR(INDEX('Both teabags AfterWet'!$C$3:$C$840,MATCH(K874,'Both teabags AfterWet'!$A$3:$A$840,0)),"")</f>
        <v>1.587</v>
      </c>
      <c r="Q874" s="223">
        <f>IFERROR(IF(P874&gt;0,P874-(TBIcalc!$H$9),""),"")</f>
        <v>1.4363999999999999</v>
      </c>
      <c r="R874" s="223">
        <f>IFERROR(INDEX('Ashed teabags wet'!$K$2:$K$2000,MATCH(K874,'Ashed teabags wet'!$A$2:$A$2000,0)),"")</f>
        <v>3.4013605442175416</v>
      </c>
      <c r="S874" s="223">
        <f t="shared" si="67"/>
        <v>1.3875428571428592</v>
      </c>
      <c r="T874" s="224">
        <f>'WetLitterbags placem_collection'!E215</f>
        <v>42769</v>
      </c>
      <c r="U874" s="224">
        <f>IF('WetLitterbags placem_collection'!G215="","",'WetLitterbags placem_collection'!G215)</f>
        <v>42813</v>
      </c>
      <c r="V874" s="225">
        <f t="shared" si="65"/>
        <v>44</v>
      </c>
      <c r="W874" s="223">
        <f t="shared" si="68"/>
        <v>0.63080000000000025</v>
      </c>
      <c r="X874" s="223">
        <f t="shared" si="69"/>
        <v>0.565655906784855</v>
      </c>
      <c r="Y874">
        <f>IFERROR(INDEX(Rainfall_Wet!$O$2:$O$217,MATCH(B874, Rainfall_Wet!$A$2:$A$217,0)),"")</f>
        <v>175.054685654</v>
      </c>
      <c r="Z874" s="228">
        <v>21.96</v>
      </c>
      <c r="AA874" s="228">
        <v>4.9199999999999982</v>
      </c>
      <c r="AB874" s="228">
        <v>73.12</v>
      </c>
      <c r="AC874" s="229" t="s">
        <v>2654</v>
      </c>
      <c r="AD874" s="228">
        <v>1.2416954164613114</v>
      </c>
      <c r="AE874">
        <f>IF('WetLitterbags placem_collection'!AB215="","",'WetLitterbags placem_collection'!AB215)</f>
        <v>15.2</v>
      </c>
      <c r="AF874">
        <f>IF('WetLitterbags placem_collection'!Z215="","",'WetLitterbags placem_collection'!Z215)</f>
        <v>12.2</v>
      </c>
      <c r="AG874" s="243" t="str">
        <f>IF('WetLitterbags placem_collection'!AA215="","",'WetLitterbags placem_collection'!AA215)</f>
        <v>O</v>
      </c>
      <c r="AH874">
        <f>IF('WetLitterbags placem_collection'!AC215="","",'WetLitterbags placem_collection'!AC215)</f>
        <v>1</v>
      </c>
      <c r="AI874">
        <f>AVERAGE('WetLitterbags placem_collection'!S215,'WetLitterbags placem_collection'!U215)</f>
        <v>19.75</v>
      </c>
      <c r="AJ874">
        <f>AVERAGE('WetLitterbags placem_collection'!R215,'WetLitterbags placem_collection'!T215)</f>
        <v>28.15</v>
      </c>
      <c r="AK874">
        <v>-2.4396949910000001</v>
      </c>
      <c r="AL874">
        <v>34.838574029999997</v>
      </c>
      <c r="AM874" t="str">
        <f>IF(ISNUMBER(SEARCH("C", 'WetLitterbags placem_collection'!$Y215)),"YES","NO")</f>
        <v>NO</v>
      </c>
      <c r="AN874" t="str">
        <f>IF(ISNUMBER(SEARCH("H", 'WetLitterbags placem_collection'!$Y215)),"YES","NO")</f>
        <v>NO</v>
      </c>
      <c r="AO874" t="str">
        <f>IF(ISNUMBER(SEARCH("R", 'WetLitterbags placem_collection'!$Y215)),"YES","NO")</f>
        <v>NO</v>
      </c>
    </row>
    <row r="875" spans="1:41" ht="15" customHeight="1">
      <c r="A875" s="255" t="s">
        <v>2454</v>
      </c>
      <c r="B875" s="260">
        <f>'Dry_Litterbag Placem_Collection'!A216</f>
        <v>213</v>
      </c>
      <c r="C875" s="260" t="str">
        <f>'Dry_Litterbag Placem_Collection'!B216</f>
        <v>Handajega</v>
      </c>
      <c r="D875" s="260" t="s">
        <v>2454</v>
      </c>
      <c r="E875" s="260" t="s">
        <v>2512</v>
      </c>
      <c r="F875" s="260">
        <v>3</v>
      </c>
      <c r="G875" s="260" t="s">
        <v>3825</v>
      </c>
      <c r="H875" s="261" t="str">
        <f>'Dry_Litterbag Placem_Collection'!C216</f>
        <v>Wet_W1_CG4</v>
      </c>
      <c r="I875" s="270" t="s">
        <v>3630</v>
      </c>
      <c r="J875" s="271" t="s">
        <v>298</v>
      </c>
      <c r="K875" s="221" t="str">
        <f>'WetLitterbags placem_collection'!Q216</f>
        <v>R412</v>
      </c>
      <c r="L875" s="223">
        <f>IFERROR(INDEX('Green_rooibos initial weight'!$C$5:$C$2000,MATCH(K875, 'Green_rooibos initial weight'!$A$5:$A$2000,0)),"")</f>
        <v>2.2709999999999999</v>
      </c>
      <c r="M875" s="223">
        <f>IFERROR(L875-(TBIcalc!$H$9+TBIcalc!$H$10),"")</f>
        <v>2.0211999999999999</v>
      </c>
      <c r="N875" s="385">
        <f>AVERAGE(Ashed_controlls!$K$2:$K$11)</f>
        <v>5.5147656768714146</v>
      </c>
      <c r="O875" s="223">
        <f t="shared" si="66"/>
        <v>1.9097355561390748</v>
      </c>
      <c r="P875" s="223">
        <f>IFERROR(INDEX('Both teabags AfterWet'!$C$3:$C$840,MATCH(K875,'Both teabags AfterWet'!$A$3:$A$840,0)),"")</f>
        <v>1.4850000000000001</v>
      </c>
      <c r="Q875" s="223">
        <f>IFERROR(IF(P875&gt;0,P875-(TBIcalc!$H$9),""),"")</f>
        <v>1.3344</v>
      </c>
      <c r="R875" s="223">
        <f>IFERROR(INDEX('Ashed teabags wet'!$K$2:$K$2000,MATCH(K875,'Ashed teabags wet'!$A$2:$A$2000,0)),"")</f>
        <v>5.5972013992993173</v>
      </c>
      <c r="S875" s="223">
        <f t="shared" si="67"/>
        <v>1.2597109445277499</v>
      </c>
      <c r="T875" s="224">
        <f>'WetLitterbags placem_collection'!E216</f>
        <v>42769</v>
      </c>
      <c r="U875" s="224">
        <f>IF('WetLitterbags placem_collection'!G216="","",'WetLitterbags placem_collection'!G216)</f>
        <v>42813</v>
      </c>
      <c r="V875" s="225">
        <f t="shared" si="65"/>
        <v>44</v>
      </c>
      <c r="W875" s="223">
        <f t="shared" si="68"/>
        <v>0.68679999999999986</v>
      </c>
      <c r="X875" s="223">
        <f t="shared" si="69"/>
        <v>0.65002461161132485</v>
      </c>
      <c r="Y875">
        <f>IFERROR(INDEX(Rainfall_Wet!$O$2:$O$217,MATCH(B875, Rainfall_Wet!$A$2:$A$217,0)),"")</f>
        <v>175.054685654</v>
      </c>
      <c r="Z875" s="228">
        <v>23.96</v>
      </c>
      <c r="AA875" s="228">
        <v>4.9199999999999982</v>
      </c>
      <c r="AB875" s="228">
        <v>71.12</v>
      </c>
      <c r="AC875" s="229" t="s">
        <v>2654</v>
      </c>
      <c r="AD875" s="228">
        <v>3.30913750616067</v>
      </c>
      <c r="AE875">
        <f>IF('WetLitterbags placem_collection'!AB216="","",'WetLitterbags placem_collection'!AB216)</f>
        <v>7.9</v>
      </c>
      <c r="AF875">
        <f>IF('WetLitterbags placem_collection'!Z216="","",'WetLitterbags placem_collection'!Z216)</f>
        <v>7.9</v>
      </c>
      <c r="AG875" s="243" t="str">
        <f>IF('WetLitterbags placem_collection'!AA216="","",'WetLitterbags placem_collection'!AA216)</f>
        <v>O</v>
      </c>
      <c r="AH875">
        <f>IF('WetLitterbags placem_collection'!AC216="","",'WetLitterbags placem_collection'!AC216)</f>
        <v>1</v>
      </c>
      <c r="AI875">
        <f>AVERAGE('WetLitterbags placem_collection'!S216,'WetLitterbags placem_collection'!U216)</f>
        <v>19.45</v>
      </c>
      <c r="AJ875">
        <f>AVERAGE('WetLitterbags placem_collection'!R216,'WetLitterbags placem_collection'!T216)</f>
        <v>29.200000000000003</v>
      </c>
      <c r="AK875">
        <v>-2.4396949910000001</v>
      </c>
      <c r="AL875">
        <v>34.838574029999997</v>
      </c>
      <c r="AM875" t="str">
        <f>IF(ISNUMBER(SEARCH("C", 'WetLitterbags placem_collection'!$Y216)),"YES","NO")</f>
        <v>NO</v>
      </c>
      <c r="AN875" t="str">
        <f>IF(ISNUMBER(SEARCH("H", 'WetLitterbags placem_collection'!$Y216)),"YES","NO")</f>
        <v>NO</v>
      </c>
      <c r="AO875" t="str">
        <f>IF(ISNUMBER(SEARCH("R", 'WetLitterbags placem_collection'!$Y216)),"YES","NO")</f>
        <v>YES</v>
      </c>
    </row>
    <row r="876" spans="1:41" ht="15" customHeight="1">
      <c r="A876" s="255" t="s">
        <v>2454</v>
      </c>
      <c r="B876" s="260">
        <f>'Dry_Litterbag Placem_Collection'!A217</f>
        <v>214</v>
      </c>
      <c r="C876" s="260" t="str">
        <f>'Dry_Litterbag Placem_Collection'!B217</f>
        <v>Handajega</v>
      </c>
      <c r="D876" s="260" t="s">
        <v>2454</v>
      </c>
      <c r="E876" s="260" t="s">
        <v>2512</v>
      </c>
      <c r="F876" s="260">
        <v>1</v>
      </c>
      <c r="G876" s="260" t="s">
        <v>3827</v>
      </c>
      <c r="H876" s="261" t="str">
        <f>'Dry_Litterbag Placem_Collection'!C217</f>
        <v>Wet_W2_CG3</v>
      </c>
      <c r="I876" s="270" t="s">
        <v>3630</v>
      </c>
      <c r="J876" s="271" t="s">
        <v>298</v>
      </c>
      <c r="K876" s="221" t="str">
        <f>'WetLitterbags placem_collection'!Q217</f>
        <v>R434</v>
      </c>
      <c r="L876" s="223">
        <f>IFERROR(INDEX('Green_rooibos initial weight'!$C$5:$C$2000,MATCH(K876, 'Green_rooibos initial weight'!$A$5:$A$2000,0)),"")</f>
        <v>2.0840000000000001</v>
      </c>
      <c r="M876" s="223">
        <f>IFERROR(L876-(TBIcalc!$H$9+TBIcalc!$H$10),"")</f>
        <v>1.8342000000000001</v>
      </c>
      <c r="N876" s="385">
        <f>AVERAGE(Ashed_controlls!$K$2:$K$11)</f>
        <v>5.5147656768714146</v>
      </c>
      <c r="O876" s="223">
        <f t="shared" si="66"/>
        <v>1.7330481679548246</v>
      </c>
      <c r="P876" s="223">
        <f>IFERROR(INDEX('Both teabags AfterWet'!$C$3:$C$840,MATCH(K876,'Both teabags AfterWet'!$A$3:$A$840,0)),"")</f>
        <v>1.5467</v>
      </c>
      <c r="Q876" s="223">
        <f>IFERROR(IF(P876&gt;0,P876-(TBIcalc!$H$9),""),"")</f>
        <v>1.3960999999999999</v>
      </c>
      <c r="R876" s="223">
        <f>IFERROR(INDEX('Ashed teabags wet'!$K$2:$K$2000,MATCH(K876,'Ashed teabags wet'!$A$2:$A$2000,0)),"")</f>
        <v>2.1484374999999396</v>
      </c>
      <c r="S876" s="223">
        <f t="shared" si="67"/>
        <v>1.3661056640625007</v>
      </c>
      <c r="T876" s="224">
        <f>'WetLitterbags placem_collection'!E217</f>
        <v>42769</v>
      </c>
      <c r="U876" s="224">
        <f>IF('WetLitterbags placem_collection'!G217="","",'WetLitterbags placem_collection'!G217)</f>
        <v>42814</v>
      </c>
      <c r="V876" s="225">
        <f t="shared" si="65"/>
        <v>45</v>
      </c>
      <c r="W876" s="223">
        <f t="shared" si="68"/>
        <v>0.43810000000000016</v>
      </c>
      <c r="X876" s="223">
        <f t="shared" si="69"/>
        <v>0.36694250389232397</v>
      </c>
      <c r="Y876">
        <f>IFERROR(INDEX(Rainfall_Wet!$O$2:$O$217,MATCH(B876, Rainfall_Wet!$A$2:$A$217,0)),"")</f>
        <v>175.054685654</v>
      </c>
      <c r="Z876" s="228">
        <v>25.96</v>
      </c>
      <c r="AA876" s="228">
        <v>8.9200000000000017</v>
      </c>
      <c r="AB876" s="228">
        <v>65.12</v>
      </c>
      <c r="AC876" s="229" t="s">
        <v>2654</v>
      </c>
      <c r="AD876" s="228">
        <v>1.614588467225234</v>
      </c>
      <c r="AE876">
        <f>IF('WetLitterbags placem_collection'!AB217="","",'WetLitterbags placem_collection'!AB217)</f>
        <v>13.8</v>
      </c>
      <c r="AF876">
        <f>IF('WetLitterbags placem_collection'!Z217="","",'WetLitterbags placem_collection'!Z217)</f>
        <v>17.399999999999999</v>
      </c>
      <c r="AG876" s="243" t="str">
        <f>IF('WetLitterbags placem_collection'!AA217="","",'WetLitterbags placem_collection'!AA217)</f>
        <v>O</v>
      </c>
      <c r="AH876">
        <f>IF('WetLitterbags placem_collection'!AC217="","",'WetLitterbags placem_collection'!AC217)</f>
        <v>1</v>
      </c>
      <c r="AI876">
        <f>AVERAGE('WetLitterbags placem_collection'!S217,'WetLitterbags placem_collection'!U217)</f>
        <v>20.3</v>
      </c>
      <c r="AJ876">
        <f>AVERAGE('WetLitterbags placem_collection'!R217,'WetLitterbags placem_collection'!T217)</f>
        <v>26.25</v>
      </c>
      <c r="AK876">
        <v>-2.439403972</v>
      </c>
      <c r="AL876">
        <v>34.838404959999998</v>
      </c>
      <c r="AM876" t="str">
        <f>IF(ISNUMBER(SEARCH("C", 'WetLitterbags placem_collection'!$Y217)),"YES","NO")</f>
        <v>NO</v>
      </c>
      <c r="AN876" t="str">
        <f>IF(ISNUMBER(SEARCH("H", 'WetLitterbags placem_collection'!$Y217)),"YES","NO")</f>
        <v>NO</v>
      </c>
      <c r="AO876" t="str">
        <f>IF(ISNUMBER(SEARCH("R", 'WetLitterbags placem_collection'!$Y217)),"YES","NO")</f>
        <v>YES</v>
      </c>
    </row>
    <row r="877" spans="1:41" ht="15" customHeight="1">
      <c r="A877" s="255" t="s">
        <v>2454</v>
      </c>
      <c r="B877" s="260">
        <f>'Dry_Litterbag Placem_Collection'!A218</f>
        <v>216</v>
      </c>
      <c r="C877" s="260" t="str">
        <f>'Dry_Litterbag Placem_Collection'!B218</f>
        <v>Handajega</v>
      </c>
      <c r="D877" s="260" t="s">
        <v>2454</v>
      </c>
      <c r="E877" s="260" t="s">
        <v>2512</v>
      </c>
      <c r="F877" s="260">
        <v>2</v>
      </c>
      <c r="G877" s="260" t="s">
        <v>3829</v>
      </c>
      <c r="H877" s="261" t="str">
        <f>'Dry_Litterbag Placem_Collection'!C218</f>
        <v>Wet_W4_CG2</v>
      </c>
      <c r="I877" s="270" t="s">
        <v>3630</v>
      </c>
      <c r="J877" s="271" t="s">
        <v>298</v>
      </c>
      <c r="K877" s="221" t="str">
        <f>'WetLitterbags placem_collection'!Q218</f>
        <v>R457</v>
      </c>
      <c r="L877" s="223">
        <f>IFERROR(INDEX('Green_rooibos initial weight'!$C$5:$C$2000,MATCH(K877, 'Green_rooibos initial weight'!$A$5:$A$2000,0)),"")</f>
        <v>2.2410000000000001</v>
      </c>
      <c r="M877" s="223">
        <f>IFERROR(L877-(TBIcalc!$H$9+TBIcalc!$H$10),"")</f>
        <v>1.9912000000000001</v>
      </c>
      <c r="N877" s="385">
        <f>AVERAGE(Ashed_controlls!$K$2:$K$11)</f>
        <v>5.5147656768714146</v>
      </c>
      <c r="O877" s="223">
        <f t="shared" si="66"/>
        <v>1.8813899858421366</v>
      </c>
      <c r="P877" s="223">
        <f>IFERROR(INDEX('Both teabags AfterWet'!$C$3:$C$840,MATCH(K877,'Both teabags AfterWet'!$A$3:$A$840,0)),"")</f>
        <v>1.5940000000000001</v>
      </c>
      <c r="Q877" s="223">
        <f>IFERROR(IF(P877&gt;0,P877-(TBIcalc!$H$9),""),"")</f>
        <v>1.4434</v>
      </c>
      <c r="R877" s="223">
        <f>IFERROR(INDEX('Ashed teabags wet'!$K$2:$K$2000,MATCH(K877,'Ashed teabags wet'!$A$2:$A$2000,0)),"")</f>
        <v>3.2951289398278099</v>
      </c>
      <c r="S877" s="223">
        <f t="shared" si="67"/>
        <v>1.3958381088825254</v>
      </c>
      <c r="T877" s="224">
        <f>'WetLitterbags placem_collection'!E218</f>
        <v>42769</v>
      </c>
      <c r="U877" s="224">
        <f>IF('WetLitterbags placem_collection'!G218="","",'WetLitterbags placem_collection'!G218)</f>
        <v>42814</v>
      </c>
      <c r="V877" s="225">
        <f t="shared" si="65"/>
        <v>45</v>
      </c>
      <c r="W877" s="223">
        <f t="shared" si="68"/>
        <v>0.54780000000000006</v>
      </c>
      <c r="X877" s="223">
        <f t="shared" si="69"/>
        <v>0.48555187695961122</v>
      </c>
      <c r="Y877">
        <f>IFERROR(INDEX(Rainfall_Wet!$O$2:$O$217,MATCH(B877, Rainfall_Wet!$A$2:$A$217,0)),"")</f>
        <v>175.377105089</v>
      </c>
      <c r="Z877" s="228">
        <v>25.96</v>
      </c>
      <c r="AA877" s="228">
        <v>8.9200000000000017</v>
      </c>
      <c r="AB877" s="228">
        <v>65.12</v>
      </c>
      <c r="AC877" s="229" t="s">
        <v>2654</v>
      </c>
      <c r="AD877" s="228">
        <v>1.6991621488417901</v>
      </c>
      <c r="AE877">
        <f>IF('WetLitterbags placem_collection'!AB218="","",'WetLitterbags placem_collection'!AB218)</f>
        <v>5.13</v>
      </c>
      <c r="AF877">
        <f>IF('WetLitterbags placem_collection'!Z218="","",'WetLitterbags placem_collection'!Z218)</f>
        <v>5.13</v>
      </c>
      <c r="AG877" s="243" t="str">
        <f>IF('WetLitterbags placem_collection'!AA218="","",'WetLitterbags placem_collection'!AA218)</f>
        <v>O</v>
      </c>
      <c r="AH877">
        <f>IF('WetLitterbags placem_collection'!AC218="","",'WetLitterbags placem_collection'!AC218)</f>
        <v>1</v>
      </c>
      <c r="AI877">
        <f>AVERAGE('WetLitterbags placem_collection'!S218,'WetLitterbags placem_collection'!U218)</f>
        <v>20.65</v>
      </c>
      <c r="AJ877">
        <f>AVERAGE('WetLitterbags placem_collection'!R218,'WetLitterbags placem_collection'!T218)</f>
        <v>25.05</v>
      </c>
      <c r="AK877">
        <v>-2.4396450349999999</v>
      </c>
      <c r="AL877">
        <v>34.83836599</v>
      </c>
      <c r="AM877" t="str">
        <f>IF(ISNUMBER(SEARCH("C", 'WetLitterbags placem_collection'!$Y218)),"YES","NO")</f>
        <v>NO</v>
      </c>
      <c r="AN877" t="str">
        <f>IF(ISNUMBER(SEARCH("H", 'WetLitterbags placem_collection'!$Y218)),"YES","NO")</f>
        <v>NO</v>
      </c>
      <c r="AO877" t="str">
        <f>IF(ISNUMBER(SEARCH("R", 'WetLitterbags placem_collection'!$Y218)),"YES","NO")</f>
        <v>YES</v>
      </c>
    </row>
    <row r="878" spans="1:41" ht="15" customHeight="1">
      <c r="A878" s="255" t="s">
        <v>2454</v>
      </c>
      <c r="B878" s="260">
        <f>'Dry_Litterbag Placem_Collection'!A219</f>
        <v>217</v>
      </c>
      <c r="C878" s="260" t="str">
        <f>'Dry_Litterbag Placem_Collection'!B219</f>
        <v>Seronera</v>
      </c>
      <c r="D878" s="260" t="s">
        <v>2646</v>
      </c>
      <c r="E878" s="260" t="s">
        <v>2512</v>
      </c>
      <c r="F878" s="260">
        <v>1</v>
      </c>
      <c r="G878" s="260" t="s">
        <v>3885</v>
      </c>
      <c r="H878" s="261" t="str">
        <f>'Dry_Litterbag Placem_Collection'!C219</f>
        <v>Local1_CG1</v>
      </c>
      <c r="I878" s="270" t="s">
        <v>3630</v>
      </c>
      <c r="J878" s="271" t="s">
        <v>298</v>
      </c>
      <c r="K878" s="221" t="str">
        <f>'WetLitterbags placem_collection'!Q219</f>
        <v>R410</v>
      </c>
      <c r="L878" s="223">
        <f>IFERROR(INDEX('Green_rooibos initial weight'!$C$5:$C$2000,MATCH(K878, 'Green_rooibos initial weight'!$A$5:$A$2000,0)),"")</f>
        <v>2.1930000000000001</v>
      </c>
      <c r="M878" s="223">
        <f>IFERROR(L878-(TBIcalc!$H$9+TBIcalc!$H$10),"")</f>
        <v>1.9432</v>
      </c>
      <c r="N878" s="385">
        <f>AVERAGE(Ashed_controlls!$K$2:$K$11)</f>
        <v>5.5147656768714146</v>
      </c>
      <c r="O878" s="223">
        <f t="shared" si="66"/>
        <v>1.8360370733670348</v>
      </c>
      <c r="P878" s="223">
        <f>IFERROR(INDEX('Both teabags AfterWet'!$C$3:$C$840,MATCH(K878,'Both teabags AfterWet'!$A$3:$A$840,0)),"")</f>
        <v>1.488</v>
      </c>
      <c r="Q878" s="223">
        <f>IFERROR(IF(P878&gt;0,P878-(TBIcalc!$H$9),""),"")</f>
        <v>1.3373999999999999</v>
      </c>
      <c r="R878" s="223">
        <f>IFERROR(INDEX('Ashed teabags wet'!$K$2:$K$2000,MATCH(K878,'Ashed teabags wet'!$A$2:$A$2000,0)),"")</f>
        <v>4.277286135692731</v>
      </c>
      <c r="S878" s="223">
        <f t="shared" si="67"/>
        <v>1.2801955752212453</v>
      </c>
      <c r="T878" s="224">
        <f>'WetLitterbags placem_collection'!E219</f>
        <v>42769</v>
      </c>
      <c r="U878" s="224">
        <f>IF('WetLitterbags placem_collection'!G219="","",'WetLitterbags placem_collection'!G219)</f>
        <v>42814</v>
      </c>
      <c r="V878" s="225">
        <f t="shared" si="65"/>
        <v>45</v>
      </c>
      <c r="W878" s="223">
        <f t="shared" si="68"/>
        <v>0.60580000000000012</v>
      </c>
      <c r="X878" s="223">
        <f t="shared" si="69"/>
        <v>0.55584149814578954</v>
      </c>
      <c r="Y878">
        <f>IFERROR(INDEX(Rainfall_Wet!$O$2:$O$217,MATCH(B878, Rainfall_Wet!$A$2:$A$217,0)),"")</f>
        <v>175.377105089</v>
      </c>
      <c r="Z878" s="228">
        <v>29.076539101497506</v>
      </c>
      <c r="AA878" s="228">
        <v>7.1963394342762079</v>
      </c>
      <c r="AB878" s="228">
        <v>63.727121464226286</v>
      </c>
      <c r="AC878" s="228" t="s">
        <v>2654</v>
      </c>
      <c r="AD878" s="228">
        <v>1.0994578610152781</v>
      </c>
      <c r="AE878">
        <f>IF('WetLitterbags placem_collection'!AB219="","",'WetLitterbags placem_collection'!AB219)</f>
        <v>13.8</v>
      </c>
      <c r="AF878">
        <f>IF('WetLitterbags placem_collection'!Z219="","",'WetLitterbags placem_collection'!Z219)</f>
        <v>17.399999999999999</v>
      </c>
      <c r="AG878" s="243" t="str">
        <f>IF('WetLitterbags placem_collection'!AA219="","",'WetLitterbags placem_collection'!AA219)</f>
        <v>O</v>
      </c>
      <c r="AH878">
        <f>IF('WetLitterbags placem_collection'!AC219="","",'WetLitterbags placem_collection'!AC219)</f>
        <v>1</v>
      </c>
      <c r="AI878">
        <f>AVERAGE('WetLitterbags placem_collection'!S219,'WetLitterbags placem_collection'!U219)</f>
        <v>20.049999999999997</v>
      </c>
      <c r="AJ878">
        <f>AVERAGE('WetLitterbags placem_collection'!R219,'WetLitterbags placem_collection'!T219)</f>
        <v>25.5</v>
      </c>
      <c r="AK878">
        <v>-2.439403972</v>
      </c>
      <c r="AL878">
        <v>34.838404959999998</v>
      </c>
      <c r="AM878" t="str">
        <f>IF(ISNUMBER(SEARCH("C", 'WetLitterbags placem_collection'!$Y219)),"YES","NO")</f>
        <v>NO</v>
      </c>
      <c r="AN878" t="str">
        <f>IF(ISNUMBER(SEARCH("H", 'WetLitterbags placem_collection'!$Y219)),"YES","NO")</f>
        <v>NO</v>
      </c>
      <c r="AO878" t="str">
        <f>IF(ISNUMBER(SEARCH("R", 'WetLitterbags placem_collection'!$Y219)),"YES","NO")</f>
        <v>NO</v>
      </c>
    </row>
    <row r="879" spans="1:41" ht="15" customHeight="1">
      <c r="A879" s="255" t="s">
        <v>2454</v>
      </c>
      <c r="B879" s="260">
        <f>'Dry_Litterbag Placem_Collection'!A220</f>
        <v>218</v>
      </c>
      <c r="C879" s="260" t="str">
        <f>'Dry_Litterbag Placem_Collection'!B220</f>
        <v>Seronera</v>
      </c>
      <c r="D879" s="260" t="s">
        <v>2646</v>
      </c>
      <c r="E879" s="260" t="s">
        <v>2512</v>
      </c>
      <c r="F879" s="260">
        <v>2</v>
      </c>
      <c r="G879" s="260" t="s">
        <v>3886</v>
      </c>
      <c r="H879" s="261" t="str">
        <f>'Dry_Litterbag Placem_Collection'!C220</f>
        <v>Local2_CG2</v>
      </c>
      <c r="I879" s="270" t="s">
        <v>3630</v>
      </c>
      <c r="J879" s="271" t="s">
        <v>298</v>
      </c>
      <c r="K879" s="221" t="str">
        <f>'WetLitterbags placem_collection'!Q220</f>
        <v>R103</v>
      </c>
      <c r="L879" s="223">
        <f>IFERROR(INDEX('Green_rooibos initial weight'!$C$5:$C$2000,MATCH(K879, 'Green_rooibos initial weight'!$A$5:$A$2000,0)),"")</f>
        <v>2.246</v>
      </c>
      <c r="M879" s="223">
        <f>IFERROR(L879-(TBIcalc!$H$9+TBIcalc!$H$10),"")</f>
        <v>1.9962</v>
      </c>
      <c r="N879" s="385">
        <f>AVERAGE(Ashed_controlls!$K$2:$K$11)</f>
        <v>5.5147656768714146</v>
      </c>
      <c r="O879" s="223">
        <f t="shared" si="66"/>
        <v>1.8861142475582928</v>
      </c>
      <c r="P879" s="223">
        <f>IFERROR(INDEX('Both teabags AfterWet'!$C$3:$C$840,MATCH(K879,'Both teabags AfterWet'!$A$3:$A$840,0)),"")</f>
        <v>1.4296</v>
      </c>
      <c r="Q879" s="223">
        <f>IFERROR(IF(P879&gt;0,P879-(TBIcalc!$H$9),""),"")</f>
        <v>1.2789999999999999</v>
      </c>
      <c r="R879" s="223">
        <f>IFERROR(INDEX('Ashed teabags wet'!$K$2:$K$2000,MATCH(K879,'Ashed teabags wet'!$A$2:$A$2000,0)),"")</f>
        <v>5.6706114398422001</v>
      </c>
      <c r="S879" s="223">
        <f t="shared" si="67"/>
        <v>1.2064728796844182</v>
      </c>
      <c r="T879" s="224">
        <f>'WetLitterbags placem_collection'!E220</f>
        <v>42769</v>
      </c>
      <c r="U879" s="224">
        <f>IF('WetLitterbags placem_collection'!G220="","",'WetLitterbags placem_collection'!G220)</f>
        <v>42814</v>
      </c>
      <c r="V879" s="225">
        <f t="shared" si="65"/>
        <v>45</v>
      </c>
      <c r="W879" s="223">
        <f t="shared" si="68"/>
        <v>0.71720000000000006</v>
      </c>
      <c r="X879" s="223">
        <f t="shared" si="69"/>
        <v>0.67964136787387464</v>
      </c>
      <c r="Y879">
        <f>IFERROR(INDEX(Rainfall_Wet!$O$2:$O$217,MATCH(B879, Rainfall_Wet!$A$2:$A$217,0)),"")</f>
        <v>175.377105089</v>
      </c>
      <c r="Z879" s="228">
        <v>21.072635135135137</v>
      </c>
      <c r="AA879" s="228">
        <v>7.3057432432432412</v>
      </c>
      <c r="AB879" s="228">
        <v>71.621621621621614</v>
      </c>
      <c r="AC879" s="228" t="s">
        <v>2654</v>
      </c>
      <c r="AD879" s="228">
        <v>1.4512074913750617</v>
      </c>
      <c r="AE879">
        <f>IF('WetLitterbags placem_collection'!AB220="","",'WetLitterbags placem_collection'!AB220)</f>
        <v>5.13</v>
      </c>
      <c r="AF879">
        <f>IF('WetLitterbags placem_collection'!Z220="","",'WetLitterbags placem_collection'!Z220)</f>
        <v>5.13</v>
      </c>
      <c r="AG879" s="243" t="str">
        <f>IF('WetLitterbags placem_collection'!AA220="","",'WetLitterbags placem_collection'!AA220)</f>
        <v>O</v>
      </c>
      <c r="AH879">
        <f>IF('WetLitterbags placem_collection'!AC220="","",'WetLitterbags placem_collection'!AC220)</f>
        <v>1</v>
      </c>
      <c r="AI879">
        <f>AVERAGE('WetLitterbags placem_collection'!S220,'WetLitterbags placem_collection'!U220)</f>
        <v>22.1</v>
      </c>
      <c r="AJ879">
        <f>AVERAGE('WetLitterbags placem_collection'!R220,'WetLitterbags placem_collection'!T220)</f>
        <v>24.5</v>
      </c>
      <c r="AK879">
        <v>-2.4396450349999999</v>
      </c>
      <c r="AL879">
        <v>34.83836599</v>
      </c>
      <c r="AM879" t="str">
        <f>IF(ISNUMBER(SEARCH("C", 'WetLitterbags placem_collection'!$Y220)),"YES","NO")</f>
        <v>NO</v>
      </c>
      <c r="AN879" t="str">
        <f>IF(ISNUMBER(SEARCH("H", 'WetLitterbags placem_collection'!$Y220)),"YES","NO")</f>
        <v>NO</v>
      </c>
      <c r="AO879" t="str">
        <f>IF(ISNUMBER(SEARCH("R", 'WetLitterbags placem_collection'!$Y220)),"YES","NO")</f>
        <v>YES</v>
      </c>
    </row>
    <row r="880" spans="1:41" ht="15" customHeight="1">
      <c r="A880" s="255" t="s">
        <v>2454</v>
      </c>
      <c r="B880" s="260">
        <f>'Dry_Litterbag Placem_Collection'!A221</f>
        <v>219</v>
      </c>
      <c r="C880" s="260" t="str">
        <f>'Dry_Litterbag Placem_Collection'!B221</f>
        <v>Seronera</v>
      </c>
      <c r="D880" s="260" t="s">
        <v>2646</v>
      </c>
      <c r="E880" s="260" t="s">
        <v>2512</v>
      </c>
      <c r="F880" s="260">
        <v>3</v>
      </c>
      <c r="G880" s="260" t="s">
        <v>3887</v>
      </c>
      <c r="H880" s="261" t="str">
        <f>'Dry_Litterbag Placem_Collection'!C221</f>
        <v>Local3_CG3</v>
      </c>
      <c r="I880" s="270" t="s">
        <v>3630</v>
      </c>
      <c r="J880" s="271" t="s">
        <v>298</v>
      </c>
      <c r="K880" s="221" t="str">
        <f>'WetLitterbags placem_collection'!Q221</f>
        <v>R356</v>
      </c>
      <c r="L880" s="223">
        <f>IFERROR(INDEX('Green_rooibos initial weight'!$C$5:$C$2000,MATCH(K880, 'Green_rooibos initial weight'!$A$5:$A$2000,0)),"")</f>
        <v>2.1619999999999999</v>
      </c>
      <c r="M880" s="223">
        <f>IFERROR(L880-(TBIcalc!$H$9+TBIcalc!$H$10),"")</f>
        <v>1.9121999999999999</v>
      </c>
      <c r="N880" s="385">
        <f>AVERAGE(Ashed_controlls!$K$2:$K$11)</f>
        <v>5.5147656768714146</v>
      </c>
      <c r="O880" s="223">
        <f t="shared" si="66"/>
        <v>1.8067466507268648</v>
      </c>
      <c r="P880" s="223">
        <f>IFERROR(INDEX('Both teabags AfterWet'!$C$3:$C$840,MATCH(K880,'Both teabags AfterWet'!$A$3:$A$840,0)),"")</f>
        <v>1.4823</v>
      </c>
      <c r="Q880" s="223">
        <f>IFERROR(IF(P880&gt;0,P880-(TBIcalc!$H$9),""),"")</f>
        <v>1.3316999999999999</v>
      </c>
      <c r="R880" s="223">
        <f>IFERROR(INDEX('Ashed teabags wet'!$K$2:$K$2000,MATCH(K880,'Ashed teabags wet'!$A$2:$A$2000,0)),"")</f>
        <v>7.426928605653603</v>
      </c>
      <c r="S880" s="223">
        <f t="shared" si="67"/>
        <v>1.2327955917585109</v>
      </c>
      <c r="T880" s="224">
        <f>'WetLitterbags placem_collection'!E221</f>
        <v>42769</v>
      </c>
      <c r="U880" s="224">
        <f>IF('WetLitterbags placem_collection'!G221="","",'WetLitterbags placem_collection'!G221)</f>
        <v>42813</v>
      </c>
      <c r="V880" s="225">
        <f t="shared" si="65"/>
        <v>44</v>
      </c>
      <c r="W880" s="223">
        <f t="shared" si="68"/>
        <v>0.58050000000000002</v>
      </c>
      <c r="X880" s="223">
        <f t="shared" si="69"/>
        <v>0.57395105896835386</v>
      </c>
      <c r="Y880">
        <f>IFERROR(INDEX(Rainfall_Wet!$O$2:$O$217,MATCH(B880, Rainfall_Wet!$A$2:$A$217,0)),"")</f>
        <v>175.054685654</v>
      </c>
      <c r="Z880" s="228">
        <v>21.96</v>
      </c>
      <c r="AA880" s="228">
        <v>4.9199999999999982</v>
      </c>
      <c r="AB880" s="228">
        <v>73.12</v>
      </c>
      <c r="AC880" s="228" t="s">
        <v>2654</v>
      </c>
      <c r="AD880" s="228">
        <v>1.4012321340561851</v>
      </c>
      <c r="AE880">
        <f>IF('WetLitterbags placem_collection'!AB221="","",'WetLitterbags placem_collection'!AB221)</f>
        <v>7.9</v>
      </c>
      <c r="AF880">
        <f>IF('WetLitterbags placem_collection'!Z221="","",'WetLitterbags placem_collection'!Z221)</f>
        <v>7.9</v>
      </c>
      <c r="AG880" s="243" t="str">
        <f>IF('WetLitterbags placem_collection'!AA221="","",'WetLitterbags placem_collection'!AA221)</f>
        <v>O</v>
      </c>
      <c r="AH880">
        <f>IF('WetLitterbags placem_collection'!AC221="","",'WetLitterbags placem_collection'!AC221)</f>
        <v>1</v>
      </c>
      <c r="AI880">
        <f>AVERAGE('WetLitterbags placem_collection'!S221,'WetLitterbags placem_collection'!U221)</f>
        <v>21.75</v>
      </c>
      <c r="AJ880">
        <f>AVERAGE('WetLitterbags placem_collection'!R221,'WetLitterbags placem_collection'!T221)</f>
        <v>27.55</v>
      </c>
      <c r="AK880">
        <v>-2.4395990190000001</v>
      </c>
      <c r="AL880">
        <v>34.838418959999998</v>
      </c>
      <c r="AM880" t="str">
        <f>IF(ISNUMBER(SEARCH("C", 'WetLitterbags placem_collection'!$Y221)),"YES","NO")</f>
        <v>NO</v>
      </c>
      <c r="AN880" t="str">
        <f>IF(ISNUMBER(SEARCH("H", 'WetLitterbags placem_collection'!$Y221)),"YES","NO")</f>
        <v>NO</v>
      </c>
      <c r="AO880" t="str">
        <f>IF(ISNUMBER(SEARCH("R", 'WetLitterbags placem_collection'!$Y221)),"YES","NO")</f>
        <v>NO</v>
      </c>
    </row>
    <row r="881" spans="1:41" ht="15" customHeight="1">
      <c r="A881" s="255" t="s">
        <v>2454</v>
      </c>
      <c r="B881" s="260">
        <f>'Dry_Litterbag Placem_Collection'!A222</f>
        <v>220</v>
      </c>
      <c r="C881" s="260" t="str">
        <f>'Dry_Litterbag Placem_Collection'!B222</f>
        <v>Seronera</v>
      </c>
      <c r="D881" s="260" t="s">
        <v>2646</v>
      </c>
      <c r="E881" s="260" t="s">
        <v>2512</v>
      </c>
      <c r="F881" s="260">
        <v>4</v>
      </c>
      <c r="G881" s="260" t="s">
        <v>3888</v>
      </c>
      <c r="H881" s="261" t="str">
        <f>'Dry_Litterbag Placem_Collection'!C222</f>
        <v>Local4_CG4</v>
      </c>
      <c r="I881" s="270" t="s">
        <v>3630</v>
      </c>
      <c r="J881" s="271" t="s">
        <v>298</v>
      </c>
      <c r="K881" s="221" t="str">
        <f>'WetLitterbags placem_collection'!Q222</f>
        <v>R319</v>
      </c>
      <c r="L881" s="223">
        <f>IFERROR(INDEX('Green_rooibos initial weight'!$C$5:$C$2000,MATCH(K881, 'Green_rooibos initial weight'!$A$5:$A$2000,0)),"")</f>
        <v>2.1709999999999998</v>
      </c>
      <c r="M881" s="223">
        <f>IFERROR(L881-(TBIcalc!$H$9+TBIcalc!$H$10),"")</f>
        <v>1.9211999999999998</v>
      </c>
      <c r="N881" s="385">
        <f>AVERAGE(Ashed_controlls!$K$2:$K$11)</f>
        <v>5.5147656768714146</v>
      </c>
      <c r="O881" s="223">
        <f t="shared" si="66"/>
        <v>1.8152503218159461</v>
      </c>
      <c r="P881" s="223">
        <f>IFERROR(INDEX('Both teabags AfterWet'!$C$3:$C$840,MATCH(K881,'Both teabags AfterWet'!$A$3:$A$840,0)),"")</f>
        <v>1.5328999999999999</v>
      </c>
      <c r="Q881" s="223">
        <f>IFERROR(IF(P881&gt;0,P881-(TBIcalc!$H$9),""),"")</f>
        <v>1.3822999999999999</v>
      </c>
      <c r="R881" s="223">
        <f>IFERROR(INDEX('Ashed teabags wet'!$K$2:$K$2000,MATCH(K881,'Ashed teabags wet'!$A$2:$A$2000,0)),"")</f>
        <v>5.0223769269016794</v>
      </c>
      <c r="S881" s="223">
        <f t="shared" si="67"/>
        <v>1.312875683739438</v>
      </c>
      <c r="T881" s="224">
        <f>'WetLitterbags placem_collection'!E222</f>
        <v>42769</v>
      </c>
      <c r="U881" s="224">
        <f>IF('WetLitterbags placem_collection'!G222="","",'WetLitterbags placem_collection'!G222)</f>
        <v>42813</v>
      </c>
      <c r="V881" s="225">
        <f t="shared" si="65"/>
        <v>44</v>
      </c>
      <c r="W881" s="223">
        <f t="shared" si="68"/>
        <v>0.53889999999999993</v>
      </c>
      <c r="X881" s="223">
        <f t="shared" si="69"/>
        <v>0.50237463807650817</v>
      </c>
      <c r="Y881">
        <f>IFERROR(INDEX(Rainfall_Wet!$O$2:$O$217,MATCH(B881, Rainfall_Wet!$A$2:$A$217,0)),"")</f>
        <v>175.054685654</v>
      </c>
      <c r="Z881" s="228">
        <v>15.960000000000003</v>
      </c>
      <c r="AA881" s="228">
        <v>6.9199999999999982</v>
      </c>
      <c r="AB881" s="228">
        <v>77.11999999999999</v>
      </c>
      <c r="AC881" s="228" t="s">
        <v>2655</v>
      </c>
      <c r="AD881" s="228">
        <v>0.60547067520946207</v>
      </c>
      <c r="AE881">
        <f>IF('WetLitterbags placem_collection'!AB222="","",'WetLitterbags placem_collection'!AB222)</f>
        <v>15.2</v>
      </c>
      <c r="AF881">
        <f>IF('WetLitterbags placem_collection'!Z222="","",'WetLitterbags placem_collection'!Z222)</f>
        <v>12.2</v>
      </c>
      <c r="AG881" s="243" t="str">
        <f>IF('WetLitterbags placem_collection'!AA222="","",'WetLitterbags placem_collection'!AA222)</f>
        <v>O</v>
      </c>
      <c r="AH881">
        <f>IF('WetLitterbags placem_collection'!AC222="","",'WetLitterbags placem_collection'!AC222)</f>
        <v>1</v>
      </c>
      <c r="AI881">
        <f>AVERAGE('WetLitterbags placem_collection'!S222,'WetLitterbags placem_collection'!U222)</f>
        <v>20.85</v>
      </c>
      <c r="AJ881">
        <f>AVERAGE('WetLitterbags placem_collection'!R222,'WetLitterbags placem_collection'!T222)</f>
        <v>27.950000000000003</v>
      </c>
      <c r="AK881">
        <v>-2.4396949910000001</v>
      </c>
      <c r="AL881">
        <v>34.838574029999997</v>
      </c>
      <c r="AM881" t="str">
        <f>IF(ISNUMBER(SEARCH("C", 'WetLitterbags placem_collection'!$Y222)),"YES","NO")</f>
        <v>NO</v>
      </c>
      <c r="AN881" t="str">
        <f>IF(ISNUMBER(SEARCH("H", 'WetLitterbags placem_collection'!$Y222)),"YES","NO")</f>
        <v>NO</v>
      </c>
      <c r="AO881" t="str">
        <f>IF(ISNUMBER(SEARCH("R", 'WetLitterbags placem_collection'!$Y222)),"YES","NO")</f>
        <v>NO</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O881"/>
  <sheetViews>
    <sheetView tabSelected="1" zoomScale="70" zoomScaleNormal="70" workbookViewId="0">
      <pane xSplit="8" ySplit="1" topLeftCell="I2" activePane="bottomRight" state="frozen"/>
      <selection pane="topRight" activeCell="F1" sqref="F1"/>
      <selection pane="bottomLeft" activeCell="A2" sqref="A2"/>
      <selection pane="bottomRight" activeCell="A2" sqref="A2"/>
    </sheetView>
  </sheetViews>
  <sheetFormatPr baseColWidth="10" defaultColWidth="11.44140625" defaultRowHeight="14.4"/>
  <cols>
    <col min="1" max="1" width="11.44140625" style="256"/>
    <col min="2" max="2" width="6.109375" style="221" customWidth="1"/>
    <col min="3" max="7" width="11.44140625" style="221"/>
    <col min="8" max="8" width="20.109375" style="222" customWidth="1"/>
    <col min="9" max="10" width="11.44140625" style="221"/>
    <col min="12" max="17" width="11.44140625" style="194"/>
    <col min="18" max="18" width="21.88671875" style="237" customWidth="1"/>
    <col min="19" max="19" width="24.44140625" style="237" customWidth="1"/>
    <col min="20" max="21" width="11.44140625" style="16"/>
    <col min="22" max="22" width="11.44140625" style="17"/>
    <col min="23" max="23" width="11.44140625" style="194"/>
    <col min="24" max="28" width="11.44140625" style="237"/>
    <col min="29" max="29" width="16.88671875" customWidth="1"/>
    <col min="33" max="33" width="11.44140625" style="243"/>
  </cols>
  <sheetData>
    <row r="1" spans="1:41" ht="87" thickBot="1">
      <c r="A1" s="254" t="s">
        <v>2451</v>
      </c>
      <c r="B1" s="70" t="s">
        <v>2159</v>
      </c>
      <c r="C1" s="70" t="s">
        <v>2627</v>
      </c>
      <c r="D1" s="70" t="s">
        <v>2649</v>
      </c>
      <c r="E1" s="70" t="s">
        <v>2632</v>
      </c>
      <c r="F1" s="70" t="s">
        <v>2625</v>
      </c>
      <c r="G1" s="232" t="s">
        <v>2626</v>
      </c>
      <c r="H1" s="232" t="s">
        <v>3884</v>
      </c>
      <c r="I1" s="70" t="s">
        <v>25</v>
      </c>
      <c r="J1" s="70" t="s">
        <v>2648</v>
      </c>
      <c r="K1" s="70" t="s">
        <v>2631</v>
      </c>
      <c r="L1" s="276" t="s">
        <v>2633</v>
      </c>
      <c r="M1" s="276" t="s">
        <v>2634</v>
      </c>
      <c r="N1" s="70" t="s">
        <v>2635</v>
      </c>
      <c r="O1" s="70" t="s">
        <v>2636</v>
      </c>
      <c r="P1" s="276" t="s">
        <v>2637</v>
      </c>
      <c r="Q1" s="276" t="s">
        <v>2638</v>
      </c>
      <c r="R1" s="274" t="s">
        <v>2639</v>
      </c>
      <c r="S1" s="274" t="s">
        <v>2640</v>
      </c>
      <c r="T1" s="233" t="s">
        <v>2642</v>
      </c>
      <c r="U1" s="234" t="s">
        <v>31</v>
      </c>
      <c r="V1" s="235" t="s">
        <v>2641</v>
      </c>
      <c r="W1" s="276" t="s">
        <v>3632</v>
      </c>
      <c r="X1" s="274" t="s">
        <v>2647</v>
      </c>
      <c r="Y1" s="274" t="s">
        <v>3134</v>
      </c>
      <c r="Z1" s="274" t="s">
        <v>2661</v>
      </c>
      <c r="AA1" s="274" t="s">
        <v>2662</v>
      </c>
      <c r="AB1" s="274" t="s">
        <v>2663</v>
      </c>
      <c r="AC1" s="235" t="s">
        <v>3135</v>
      </c>
      <c r="AD1" s="235" t="s">
        <v>2664</v>
      </c>
      <c r="AE1" s="236" t="s">
        <v>3138</v>
      </c>
      <c r="AF1" s="236" t="s">
        <v>3139</v>
      </c>
      <c r="AG1" s="242" t="s">
        <v>3136</v>
      </c>
      <c r="AH1" s="236" t="s">
        <v>3137</v>
      </c>
      <c r="AI1" s="236" t="s">
        <v>3143</v>
      </c>
      <c r="AJ1" s="236" t="s">
        <v>3144</v>
      </c>
      <c r="AK1" s="236" t="s">
        <v>3146</v>
      </c>
      <c r="AL1" s="236" t="s">
        <v>3147</v>
      </c>
      <c r="AM1" s="248" t="s">
        <v>3501</v>
      </c>
      <c r="AN1" s="248" t="s">
        <v>3502</v>
      </c>
      <c r="AO1" s="248" t="s">
        <v>3503</v>
      </c>
    </row>
    <row r="2" spans="1:41">
      <c r="A2" s="259" t="s">
        <v>2643</v>
      </c>
      <c r="B2" s="260">
        <f>'Dry_Litterbag Placem_Collection'!A3</f>
        <v>1</v>
      </c>
      <c r="C2" s="260" t="str">
        <f>'Dry_Litterbag Placem_Collection'!B3</f>
        <v>Makao</v>
      </c>
      <c r="D2" s="260" t="s">
        <v>2643</v>
      </c>
      <c r="E2" s="260" t="s">
        <v>2644</v>
      </c>
      <c r="F2" s="260">
        <v>1</v>
      </c>
      <c r="G2" s="260" t="s">
        <v>3798</v>
      </c>
      <c r="H2" s="261" t="str">
        <f>'Dry_Litterbag Placem_Collection'!C3</f>
        <v>Dry_Ag1_T1</v>
      </c>
      <c r="I2" s="262" t="s">
        <v>2525</v>
      </c>
      <c r="J2" s="263" t="s">
        <v>1147</v>
      </c>
      <c r="K2" s="260" t="str">
        <f>IF(ISBLANK('Dry_Litterbag Placem_Collection'!J3),"","G"&amp;""&amp;'Dry_Litterbag Placem_Collection'!J3)</f>
        <v>G407</v>
      </c>
      <c r="L2" s="264">
        <f>IFERROR(INDEX('Green_rooibos initial weight'!$C$5:$C$2000,MATCH(K2, 'Green_rooibos initial weight'!$A$5:$A$2000,0)),"")</f>
        <v>1.966</v>
      </c>
      <c r="M2" s="264">
        <f>IFERROR(L2-(TBIcalc!$Q$9+TBIcalc!$Q$10),"")</f>
        <v>1.7161999999999999</v>
      </c>
      <c r="N2" s="385">
        <f>AVERAGE(Ashed_controlls!$K$2:$K$11)</f>
        <v>5.5147656768714146</v>
      </c>
      <c r="O2" s="264">
        <f>IFERROR(M2-(N2/100)*M2,"")</f>
        <v>1.6215555914535327</v>
      </c>
      <c r="P2" s="264">
        <f>IFERROR(INDEX('Both teabags AfterDry'!$D$2:$D$2000,MATCH(K2,'Both teabags AfterDry'!$A$2:$A$2000,0)),"")</f>
        <v>1.278</v>
      </c>
      <c r="Q2" s="264">
        <f>IFERROR(IF(P2&gt;0,P2-(TBIcalc!$Q$9),""),"")</f>
        <v>1.1274</v>
      </c>
      <c r="R2" s="275">
        <f>IFERROR(INDEX('Ashed teabags dry'!$K$2:$K$2000,MATCH(K2,'Ashed teabags dry'!$A$2:$A$2000,0)),"")</f>
        <v>21.67931688804563</v>
      </c>
      <c r="S2" s="275">
        <f>IFERROR(Q2-(R2/100)*Q2,"")</f>
        <v>0.88298738140417354</v>
      </c>
      <c r="T2" s="265">
        <f>IF('Dry_Litterbag Placem_Collection'!E3="","",'Dry_Litterbag Placem_Collection'!E3)</f>
        <v>42938</v>
      </c>
      <c r="U2" s="265">
        <f>IF('Dry_Litterbag Placem_Collection'!G3="","",'Dry_Litterbag Placem_Collection'!G3)</f>
        <v>43007</v>
      </c>
      <c r="V2" s="266">
        <f t="shared" ref="V2:V65" si="0">IFERROR(U2-T2,"")</f>
        <v>69</v>
      </c>
      <c r="W2" s="264">
        <f>IFERROR(M2-Q2,"")</f>
        <v>0.58879999999999999</v>
      </c>
      <c r="X2" s="264">
        <f>IFERROR(O2-S2,"")</f>
        <v>0.73856821004935913</v>
      </c>
      <c r="Y2" s="268">
        <f>IFERROR(INDEX(Rainfall_Dry!$O$2:$O$217,MATCH(B2, Rainfall_Dry!$A$2:$A$217,0)),"")</f>
        <v>6.900000125</v>
      </c>
      <c r="Z2" s="257">
        <v>12.565665055683967</v>
      </c>
      <c r="AA2" s="257">
        <v>0.9665896196679955</v>
      </c>
      <c r="AB2" s="257">
        <v>86.467745324648035</v>
      </c>
      <c r="AC2" s="258" t="s">
        <v>2656</v>
      </c>
      <c r="AD2" s="257">
        <v>1.0225726959093147</v>
      </c>
      <c r="AE2">
        <f>IF('WetLitterbags placem_collection'!AB3="","",'WetLitterbags placem_collection'!AB3)</f>
        <v>26.4</v>
      </c>
      <c r="AF2">
        <f>IF('WetLitterbags placem_collection'!Z3="","",'WetLitterbags placem_collection'!Z3)</f>
        <v>41</v>
      </c>
      <c r="AG2" s="243" t="str">
        <f>IF('WetLitterbags placem_collection'!AA3="","",'WetLitterbags placem_collection'!AA3)</f>
        <v>M</v>
      </c>
      <c r="AH2">
        <f>IF('WetLitterbags placem_collection'!AC3="","",'WetLitterbags placem_collection'!AC3)</f>
        <v>1</v>
      </c>
      <c r="AI2">
        <f>IFERROR(AVERAGE('Dry_Litterbag Placem_Collection'!O3,'Dry_Litterbag Placem_Collection'!R3),"")</f>
        <v>3.8</v>
      </c>
      <c r="AJ2" s="268">
        <f>IFERROR(AVERAGE('Dry_Litterbag Placem_Collection'!N3,'Dry_Litterbag Placem_Collection'!Q3),"")</f>
        <v>26.9</v>
      </c>
      <c r="AK2" s="267">
        <f>INDEX(Coordinates!$B$2:$B$197,MATCH(H2,Coordinates!$J$2:$J$197,0))</f>
        <v>-3.3978609999999998</v>
      </c>
      <c r="AL2" s="267">
        <f>INDEX(Coordinates!$C$2:$C$197,MATCH(H2,Coordinates!$J$2:$J$197,0))</f>
        <v>34.837608000000003</v>
      </c>
      <c r="AM2" s="267" t="str">
        <f>IF(ISNUMBER(SEARCH("C", 'Dry_Litterbag Placem_Collection'!S3)),"YES","NO")</f>
        <v>NO</v>
      </c>
      <c r="AN2" s="267" t="str">
        <f>IF(ISNUMBER(SEARCH("H", 'Dry_Litterbag Placem_Collection'!S3)),"YES","NO")</f>
        <v>YES</v>
      </c>
      <c r="AO2" s="267" t="str">
        <f>IF(ISNUMBER(SEARCH("R", 'Dry_Litterbag Placem_Collection'!S3)),"YES","NO")</f>
        <v>NO</v>
      </c>
    </row>
    <row r="3" spans="1:41">
      <c r="A3" s="259" t="s">
        <v>2643</v>
      </c>
      <c r="B3" s="260">
        <f>'Dry_Litterbag Placem_Collection'!A4</f>
        <v>2</v>
      </c>
      <c r="C3" s="260" t="str">
        <f>'Dry_Litterbag Placem_Collection'!B4</f>
        <v>Makao</v>
      </c>
      <c r="D3" s="260" t="s">
        <v>2643</v>
      </c>
      <c r="E3" s="260" t="s">
        <v>2644</v>
      </c>
      <c r="F3" s="260">
        <v>1</v>
      </c>
      <c r="G3" s="260" t="s">
        <v>3798</v>
      </c>
      <c r="H3" s="261" t="str">
        <f>'Dry_Litterbag Placem_Collection'!C4</f>
        <v>Dry_Ag1_T2</v>
      </c>
      <c r="I3" s="262" t="s">
        <v>2525</v>
      </c>
      <c r="J3" s="263" t="s">
        <v>1147</v>
      </c>
      <c r="K3" s="260" t="str">
        <f>IF(ISBLANK('Dry_Litterbag Placem_Collection'!J4),"","G"&amp;""&amp;'Dry_Litterbag Placem_Collection'!J4)</f>
        <v/>
      </c>
      <c r="L3" s="264" t="str">
        <f>IFERROR(INDEX('Green_rooibos initial weight'!$C$5:$C$2000,MATCH(K3, 'Green_rooibos initial weight'!$A$5:$A$2000,0)),"")</f>
        <v/>
      </c>
      <c r="M3" s="264" t="str">
        <f>IFERROR(L3-(TBIcalc!$Q$9+TBIcalc!$Q$10),"")</f>
        <v/>
      </c>
      <c r="N3" s="385">
        <f>AVERAGE(Ashed_controlls!$K$2:$K$11)</f>
        <v>5.5147656768714146</v>
      </c>
      <c r="O3" s="264" t="str">
        <f t="shared" ref="O3:O66" si="1">IFERROR(M3-(N3/100)*M3,"")</f>
        <v/>
      </c>
      <c r="P3" s="264" t="str">
        <f>IFERROR(INDEX('Both teabags AfterDry'!$D$2:$D$2000,MATCH(K3,'Both teabags AfterDry'!$A$2:$A$2000,0)),"")</f>
        <v/>
      </c>
      <c r="Q3" s="264" t="str">
        <f>IFERROR(IF(P3&gt;0,P3-(TBIcalc!$Q$9),""),"")</f>
        <v/>
      </c>
      <c r="R3" s="275" t="str">
        <f>IFERROR(INDEX('Ashed teabags dry'!$K$2:$K$2000,MATCH(K3,'Ashed teabags dry'!$A$2:$A$2000,0)),"")</f>
        <v/>
      </c>
      <c r="S3" s="275" t="str">
        <f t="shared" ref="S3:S66" si="2">IFERROR(Q3-(R3/100)*Q3,"")</f>
        <v/>
      </c>
      <c r="T3" s="265" t="str">
        <f>IF('Dry_Litterbag Placem_Collection'!E4="","",'Dry_Litterbag Placem_Collection'!E4)</f>
        <v/>
      </c>
      <c r="U3" s="265" t="str">
        <f>IF('Dry_Litterbag Placem_Collection'!G4="","",'Dry_Litterbag Placem_Collection'!G4)</f>
        <v/>
      </c>
      <c r="V3" s="266" t="str">
        <f t="shared" si="0"/>
        <v/>
      </c>
      <c r="W3" s="264" t="str">
        <f t="shared" ref="W3:W66" si="3">IFERROR(M3-Q3,"")</f>
        <v/>
      </c>
      <c r="X3" s="264" t="str">
        <f t="shared" ref="X3:X66" si="4">IFERROR(O3-S3,"")</f>
        <v/>
      </c>
      <c r="Y3" s="268" t="str">
        <f>IFERROR(INDEX(Rainfall_Dry!$O$2:$O$217,MATCH(B3, Rainfall_Dry!$A$2:$A$217,0)),"")</f>
        <v/>
      </c>
      <c r="Z3" s="257">
        <v>12.565665055683967</v>
      </c>
      <c r="AA3" s="257">
        <v>0.9665896196679955</v>
      </c>
      <c r="AB3" s="257">
        <v>86.467745324648035</v>
      </c>
      <c r="AC3" s="258" t="s">
        <v>2656</v>
      </c>
      <c r="AD3" s="257">
        <v>2.02257269590931</v>
      </c>
      <c r="AE3">
        <f>IF('WetLitterbags placem_collection'!AB4="","",'WetLitterbags placem_collection'!AB4)</f>
        <v>22.4</v>
      </c>
      <c r="AF3">
        <f>IF('WetLitterbags placem_collection'!Z4="","",'WetLitterbags placem_collection'!Z4)</f>
        <v>39.799999999999997</v>
      </c>
      <c r="AG3" s="243" t="str">
        <f>IF('WetLitterbags placem_collection'!AA4="","",'WetLitterbags placem_collection'!AA4)</f>
        <v>M</v>
      </c>
      <c r="AH3">
        <f>IF('WetLitterbags placem_collection'!AC4="","",'WetLitterbags placem_collection'!AC4)</f>
        <v>1</v>
      </c>
      <c r="AI3" t="str">
        <f>IFERROR(AVERAGE('Dry_Litterbag Placem_Collection'!O4,'Dry_Litterbag Placem_Collection'!R4),"")</f>
        <v/>
      </c>
      <c r="AJ3" s="268" t="str">
        <f>IFERROR(AVERAGE('Dry_Litterbag Placem_Collection'!N4,'Dry_Litterbag Placem_Collection'!Q4),"")</f>
        <v/>
      </c>
      <c r="AK3" s="267">
        <f>INDEX(Coordinates!$B$2:$B$197,MATCH(H3,Coordinates!$J$2:$J$197,0))</f>
        <v>-3.397879042</v>
      </c>
      <c r="AL3" s="267">
        <f>INDEX(Coordinates!$C$2:$C$197,MATCH(H3,Coordinates!$J$2:$J$197,0))</f>
        <v>34.837536010000001</v>
      </c>
      <c r="AM3" s="267" t="str">
        <f>IF(ISNUMBER(SEARCH("C", 'Dry_Litterbag Placem_Collection'!S4)),"YES","NO")</f>
        <v>NO</v>
      </c>
      <c r="AN3" s="267" t="str">
        <f>IF(ISNUMBER(SEARCH("H", 'Dry_Litterbag Placem_Collection'!S4)),"YES","NO")</f>
        <v>NO</v>
      </c>
      <c r="AO3" s="267" t="str">
        <f>IF(ISNUMBER(SEARCH("R", 'Dry_Litterbag Placem_Collection'!S4)),"YES","NO")</f>
        <v>NO</v>
      </c>
    </row>
    <row r="4" spans="1:41">
      <c r="A4" s="259" t="s">
        <v>2643</v>
      </c>
      <c r="B4" s="260">
        <f>'Dry_Litterbag Placem_Collection'!A5</f>
        <v>3</v>
      </c>
      <c r="C4" s="260" t="str">
        <f>'Dry_Litterbag Placem_Collection'!B5</f>
        <v>Makao</v>
      </c>
      <c r="D4" s="260" t="s">
        <v>2643</v>
      </c>
      <c r="E4" s="260" t="s">
        <v>2644</v>
      </c>
      <c r="F4" s="260">
        <v>1</v>
      </c>
      <c r="G4" s="260" t="s">
        <v>3798</v>
      </c>
      <c r="H4" s="261" t="str">
        <f>'Dry_Litterbag Placem_Collection'!C5</f>
        <v>Dry_Ag1_T3</v>
      </c>
      <c r="I4" s="262" t="s">
        <v>2525</v>
      </c>
      <c r="J4" s="263" t="s">
        <v>1147</v>
      </c>
      <c r="K4" s="260" t="str">
        <f>IF(ISBLANK('Dry_Litterbag Placem_Collection'!J5),"","G"&amp;""&amp;'Dry_Litterbag Placem_Collection'!J5)</f>
        <v>G259</v>
      </c>
      <c r="L4" s="264">
        <f>IFERROR(INDEX('Green_rooibos initial weight'!$C$5:$C$2000,MATCH(K4, 'Green_rooibos initial weight'!$A$5:$A$2000,0)),"")</f>
        <v>1.913</v>
      </c>
      <c r="M4" s="264">
        <f>IFERROR(L4-(TBIcalc!$Q$9+TBIcalc!$Q$10),"")</f>
        <v>1.6632</v>
      </c>
      <c r="N4" s="385">
        <f>AVERAGE(Ashed_controlls!$K$2:$K$11)</f>
        <v>5.5147656768714146</v>
      </c>
      <c r="O4" s="264">
        <f t="shared" si="1"/>
        <v>1.5714784172622747</v>
      </c>
      <c r="P4" s="264">
        <f>IFERROR(INDEX('Both teabags AfterDry'!$D$2:$D$2000,MATCH(K4,'Both teabags AfterDry'!$A$2:$A$2000,0)),"")</f>
        <v>1.5964</v>
      </c>
      <c r="Q4" s="264">
        <f>IFERROR(IF(P4&gt;0,P4-(TBIcalc!$Q$9),""),"")</f>
        <v>1.4458</v>
      </c>
      <c r="R4" s="275">
        <f>IFERROR(INDEX('Ashed teabags dry'!$K$2:$K$2000,MATCH(K4,'Ashed teabags dry'!$A$2:$A$2000,0)),"")</f>
        <v>10.613993336505917</v>
      </c>
      <c r="S4" s="275">
        <f t="shared" si="2"/>
        <v>1.2923428843407974</v>
      </c>
      <c r="T4" s="265">
        <f>IF('Dry_Litterbag Placem_Collection'!E5="","",'Dry_Litterbag Placem_Collection'!E5)</f>
        <v>42938</v>
      </c>
      <c r="U4" s="265">
        <f>IF('Dry_Litterbag Placem_Collection'!G5="","",'Dry_Litterbag Placem_Collection'!G5)</f>
        <v>43007</v>
      </c>
      <c r="V4" s="266">
        <f t="shared" si="0"/>
        <v>69</v>
      </c>
      <c r="W4" s="264">
        <f t="shared" si="3"/>
        <v>0.21740000000000004</v>
      </c>
      <c r="X4" s="264">
        <f t="shared" si="4"/>
        <v>0.2791355329214773</v>
      </c>
      <c r="Y4" s="268">
        <f>IFERROR(INDEX(Rainfall_Dry!$O$2:$O$217,MATCH(B4, Rainfall_Dry!$A$2:$A$217,0)),"")</f>
        <v>6.900000125</v>
      </c>
      <c r="Z4" s="257">
        <v>12.565665055683967</v>
      </c>
      <c r="AA4" s="257">
        <v>0.9665896196679955</v>
      </c>
      <c r="AB4" s="257">
        <v>86.467745324648035</v>
      </c>
      <c r="AC4" s="258" t="s">
        <v>2656</v>
      </c>
      <c r="AD4" s="257">
        <v>3.02257269590931</v>
      </c>
      <c r="AE4" t="str">
        <f>IF('WetLitterbags placem_collection'!AB5="","",'WetLitterbags placem_collection'!AB5)</f>
        <v/>
      </c>
      <c r="AF4" t="str">
        <f>IF('WetLitterbags placem_collection'!Z5="","",'WetLitterbags placem_collection'!Z5)</f>
        <v/>
      </c>
      <c r="AG4" s="243" t="str">
        <f>IF('WetLitterbags placem_collection'!AA5="","",'WetLitterbags placem_collection'!AA5)</f>
        <v/>
      </c>
      <c r="AH4" t="str">
        <f>IF('WetLitterbags placem_collection'!AC5="","",'WetLitterbags placem_collection'!AC5)</f>
        <v/>
      </c>
      <c r="AI4">
        <f>IFERROR(AVERAGE('Dry_Litterbag Placem_Collection'!O5,'Dry_Litterbag Placem_Collection'!R5),"")</f>
        <v>3.3</v>
      </c>
      <c r="AJ4" s="268">
        <f>IFERROR(AVERAGE('Dry_Litterbag Placem_Collection'!N5,'Dry_Litterbag Placem_Collection'!Q5),"")</f>
        <v>25</v>
      </c>
      <c r="AK4" s="267">
        <f>INDEX(Coordinates!$B$2:$B$197,MATCH(H4,Coordinates!$J$2:$J$197,0))</f>
        <v>-3.3978739999999998</v>
      </c>
      <c r="AL4" s="267">
        <f>INDEX(Coordinates!$C$2:$C$197,MATCH(H4,Coordinates!$J$2:$J$197,0))</f>
        <v>34.837578999999998</v>
      </c>
      <c r="AM4" s="267" t="str">
        <f>IF(ISNUMBER(SEARCH("C", 'Dry_Litterbag Placem_Collection'!S5)),"YES","NO")</f>
        <v>YES</v>
      </c>
      <c r="AN4" s="267" t="str">
        <f>IF(ISNUMBER(SEARCH("H", 'Dry_Litterbag Placem_Collection'!S5)),"YES","NO")</f>
        <v>YES</v>
      </c>
      <c r="AO4" s="267" t="str">
        <f>IF(ISNUMBER(SEARCH("R", 'Dry_Litterbag Placem_Collection'!S5)),"YES","NO")</f>
        <v>NO</v>
      </c>
    </row>
    <row r="5" spans="1:41">
      <c r="A5" s="259" t="s">
        <v>2643</v>
      </c>
      <c r="B5" s="260">
        <f>'Dry_Litterbag Placem_Collection'!A6</f>
        <v>4</v>
      </c>
      <c r="C5" s="260" t="str">
        <f>'Dry_Litterbag Placem_Collection'!B6</f>
        <v>Makao</v>
      </c>
      <c r="D5" s="260" t="s">
        <v>2643</v>
      </c>
      <c r="E5" s="260" t="s">
        <v>2644</v>
      </c>
      <c r="F5" s="260">
        <v>1</v>
      </c>
      <c r="G5" s="260" t="s">
        <v>3798</v>
      </c>
      <c r="H5" s="261" t="str">
        <f>'Dry_Litterbag Placem_Collection'!C6</f>
        <v>Dry_Ag1_T4</v>
      </c>
      <c r="I5" s="262" t="s">
        <v>2525</v>
      </c>
      <c r="J5" s="263" t="s">
        <v>1147</v>
      </c>
      <c r="K5" s="260" t="str">
        <f>IF(ISBLANK('Dry_Litterbag Placem_Collection'!J6),"","G"&amp;""&amp;'Dry_Litterbag Placem_Collection'!J6)</f>
        <v>G255</v>
      </c>
      <c r="L5" s="264">
        <f>IFERROR(INDEX('Green_rooibos initial weight'!$C$5:$C$2000,MATCH(K5, 'Green_rooibos initial weight'!$A$5:$A$2000,0)),"")</f>
        <v>2.0310000000000001</v>
      </c>
      <c r="M5" s="264">
        <f>IFERROR(L5-(TBIcalc!$Q$9+TBIcalc!$Q$10),"")</f>
        <v>1.7812000000000001</v>
      </c>
      <c r="N5" s="385">
        <f>AVERAGE(Ashed_controlls!$K$2:$K$11)</f>
        <v>5.5147656768714146</v>
      </c>
      <c r="O5" s="264">
        <f t="shared" si="1"/>
        <v>1.6829709937635664</v>
      </c>
      <c r="P5" s="264">
        <f>IFERROR(INDEX('Both teabags AfterDry'!$D$2:$D$2000,MATCH(K5,'Both teabags AfterDry'!$A$2:$A$2000,0)),"")</f>
        <v>1.6215999999999999</v>
      </c>
      <c r="Q5" s="264">
        <f>IFERROR(IF(P5&gt;0,P5-(TBIcalc!$Q$9),""),"")</f>
        <v>1.4709999999999999</v>
      </c>
      <c r="R5" s="275">
        <f>IFERROR(INDEX('Ashed teabags dry'!$K$2:$K$2000,MATCH(K5,'Ashed teabags dry'!$A$2:$A$2000,0)),"")</f>
        <v>8.5846867749423765</v>
      </c>
      <c r="S5" s="275">
        <f t="shared" si="2"/>
        <v>1.3447192575405975</v>
      </c>
      <c r="T5" s="265">
        <f>IF('Dry_Litterbag Placem_Collection'!E6="","",'Dry_Litterbag Placem_Collection'!E6)</f>
        <v>42938</v>
      </c>
      <c r="U5" s="265">
        <f>IF('Dry_Litterbag Placem_Collection'!G6="","",'Dry_Litterbag Placem_Collection'!G6)</f>
        <v>43007</v>
      </c>
      <c r="V5" s="266">
        <f t="shared" si="0"/>
        <v>69</v>
      </c>
      <c r="W5" s="264">
        <f t="shared" si="3"/>
        <v>0.31020000000000025</v>
      </c>
      <c r="X5" s="264">
        <f t="shared" si="4"/>
        <v>0.33825173622296889</v>
      </c>
      <c r="Y5" s="268">
        <f>IFERROR(INDEX(Rainfall_Dry!$O$2:$O$217,MATCH(B5, Rainfall_Dry!$A$2:$A$217,0)),"")</f>
        <v>6.900000125</v>
      </c>
      <c r="Z5" s="257">
        <v>12.565665055683967</v>
      </c>
      <c r="AA5" s="257">
        <v>0.9665896196679955</v>
      </c>
      <c r="AB5" s="257">
        <v>86.467745324648035</v>
      </c>
      <c r="AC5" s="258" t="s">
        <v>2656</v>
      </c>
      <c r="AD5" s="257">
        <v>4.02257269590931</v>
      </c>
      <c r="AE5" t="str">
        <f>IF('WetLitterbags placem_collection'!AB6="","",'WetLitterbags placem_collection'!AB6)</f>
        <v/>
      </c>
      <c r="AF5" t="str">
        <f>IF('WetLitterbags placem_collection'!Z6="","",'WetLitterbags placem_collection'!Z6)</f>
        <v/>
      </c>
      <c r="AG5" s="243" t="str">
        <f>IF('WetLitterbags placem_collection'!AA6="","",'WetLitterbags placem_collection'!AA6)</f>
        <v/>
      </c>
      <c r="AH5" t="str">
        <f>IF('WetLitterbags placem_collection'!AC6="","",'WetLitterbags placem_collection'!AC6)</f>
        <v/>
      </c>
      <c r="AI5">
        <f>IFERROR(AVERAGE('Dry_Litterbag Placem_Collection'!O6,'Dry_Litterbag Placem_Collection'!R6),"")</f>
        <v>2.25</v>
      </c>
      <c r="AJ5" s="268">
        <f>IFERROR(AVERAGE('Dry_Litterbag Placem_Collection'!N6,'Dry_Litterbag Placem_Collection'!Q6),"")</f>
        <v>27.35</v>
      </c>
      <c r="AK5" s="267">
        <f>INDEX(Coordinates!$B$2:$B$197,MATCH(H5,Coordinates!$J$2:$J$197,0))</f>
        <v>-3.3977780399999999</v>
      </c>
      <c r="AL5" s="267">
        <f>INDEX(Coordinates!$C$2:$C$197,MATCH(H5,Coordinates!$J$2:$J$197,0))</f>
        <v>34.83751204</v>
      </c>
      <c r="AM5" s="267" t="str">
        <f>IF(ISNUMBER(SEARCH("C", 'Dry_Litterbag Placem_Collection'!S6)),"YES","NO")</f>
        <v>NO</v>
      </c>
      <c r="AN5" s="267" t="str">
        <f>IF(ISNUMBER(SEARCH("H", 'Dry_Litterbag Placem_Collection'!S6)),"YES","NO")</f>
        <v>NO</v>
      </c>
      <c r="AO5" s="267" t="str">
        <f>IF(ISNUMBER(SEARCH("R", 'Dry_Litterbag Placem_Collection'!S6)),"YES","NO")</f>
        <v>NO</v>
      </c>
    </row>
    <row r="6" spans="1:41">
      <c r="A6" s="259" t="s">
        <v>2643</v>
      </c>
      <c r="B6" s="260">
        <f>'Dry_Litterbag Placem_Collection'!A7</f>
        <v>5</v>
      </c>
      <c r="C6" s="260" t="str">
        <f>'Dry_Litterbag Placem_Collection'!B7</f>
        <v>Makao</v>
      </c>
      <c r="D6" s="260" t="s">
        <v>2643</v>
      </c>
      <c r="E6" s="260" t="s">
        <v>2644</v>
      </c>
      <c r="F6" s="260">
        <v>1</v>
      </c>
      <c r="G6" s="260" t="s">
        <v>3798</v>
      </c>
      <c r="H6" s="261" t="str">
        <f>'Dry_Litterbag Placem_Collection'!C7</f>
        <v>Dry_Ag1_T5</v>
      </c>
      <c r="I6" s="262" t="s">
        <v>2525</v>
      </c>
      <c r="J6" s="263" t="s">
        <v>1147</v>
      </c>
      <c r="K6" s="260" t="str">
        <f>IF(ISBLANK('Dry_Litterbag Placem_Collection'!J7),"","G"&amp;""&amp;'Dry_Litterbag Placem_Collection'!J7)</f>
        <v>G122</v>
      </c>
      <c r="L6" s="264">
        <f>IFERROR(INDEX('Green_rooibos initial weight'!$C$5:$C$2000,MATCH(K6, 'Green_rooibos initial weight'!$A$5:$A$2000,0)),"")</f>
        <v>1.95</v>
      </c>
      <c r="M6" s="264">
        <f>IFERROR(L6-(TBIcalc!$Q$9+TBIcalc!$Q$10),"")</f>
        <v>1.7001999999999999</v>
      </c>
      <c r="N6" s="385">
        <f>AVERAGE(Ashed_controlls!$K$2:$K$11)</f>
        <v>5.5147656768714146</v>
      </c>
      <c r="O6" s="264">
        <f t="shared" si="1"/>
        <v>1.6064379539618321</v>
      </c>
      <c r="P6" s="264" t="str">
        <f>IFERROR(INDEX('Both teabags AfterDry'!$D$2:$D$2000,MATCH(K6,'Both teabags AfterDry'!$A$2:$A$2000,0)),"")</f>
        <v/>
      </c>
      <c r="Q6" s="264" t="str">
        <f>IFERROR(IF(P6&gt;0,P6-(TBIcalc!$Q$9),""),"")</f>
        <v/>
      </c>
      <c r="R6" s="275" t="str">
        <f>IFERROR(INDEX('Ashed teabags dry'!$K$2:$K$2000,MATCH(K6,'Ashed teabags dry'!$A$2:$A$2000,0)),"")</f>
        <v/>
      </c>
      <c r="S6" s="275" t="str">
        <f t="shared" si="2"/>
        <v/>
      </c>
      <c r="T6" s="265">
        <f>IF('Dry_Litterbag Placem_Collection'!E7="","",'Dry_Litterbag Placem_Collection'!E7)</f>
        <v>42938</v>
      </c>
      <c r="U6" s="265" t="str">
        <f>IF('Dry_Litterbag Placem_Collection'!G7="","",'Dry_Litterbag Placem_Collection'!G7)</f>
        <v/>
      </c>
      <c r="V6" s="266" t="str">
        <f t="shared" si="0"/>
        <v/>
      </c>
      <c r="W6" s="264" t="str">
        <f t="shared" si="3"/>
        <v/>
      </c>
      <c r="X6" s="264" t="str">
        <f t="shared" si="4"/>
        <v/>
      </c>
      <c r="Y6" s="268" t="str">
        <f>IFERROR(INDEX(Rainfall_Dry!$O$2:$O$217,MATCH(B6, Rainfall_Dry!$A$2:$A$217,0)),"")</f>
        <v/>
      </c>
      <c r="Z6" s="257">
        <v>12.565665055683967</v>
      </c>
      <c r="AA6" s="257">
        <v>0.9665896196679955</v>
      </c>
      <c r="AB6" s="257">
        <v>86.467745324648035</v>
      </c>
      <c r="AC6" s="258" t="s">
        <v>2656</v>
      </c>
      <c r="AD6" s="257">
        <v>5.02257269590931</v>
      </c>
      <c r="AE6">
        <f>IF('WetLitterbags placem_collection'!AB7="","",'WetLitterbags placem_collection'!AB7)</f>
        <v>28.4</v>
      </c>
      <c r="AF6">
        <f>IF('WetLitterbags placem_collection'!Z7="","",'WetLitterbags placem_collection'!Z7)</f>
        <v>36.4</v>
      </c>
      <c r="AG6" s="243" t="str">
        <f>IF('WetLitterbags placem_collection'!AA7="","",'WetLitterbags placem_collection'!AA7)</f>
        <v>M</v>
      </c>
      <c r="AH6">
        <f>IF('WetLitterbags placem_collection'!AC7="","",'WetLitterbags placem_collection'!AC7)</f>
        <v>1</v>
      </c>
      <c r="AI6">
        <f>IFERROR(AVERAGE('Dry_Litterbag Placem_Collection'!O7,'Dry_Litterbag Placem_Collection'!R7),"")</f>
        <v>3.2</v>
      </c>
      <c r="AJ6" s="268">
        <f>IFERROR(AVERAGE('Dry_Litterbag Placem_Collection'!N7,'Dry_Litterbag Placem_Collection'!Q7),"")</f>
        <v>26.7</v>
      </c>
      <c r="AK6" s="267">
        <f>INDEX(Coordinates!$B$2:$B$197,MATCH(H6,Coordinates!$J$2:$J$197,0))</f>
        <v>-3.3978020120000001</v>
      </c>
      <c r="AL6" s="267">
        <f>INDEX(Coordinates!$C$2:$C$197,MATCH(H6,Coordinates!$J$2:$J$197,0))</f>
        <v>34.83751204</v>
      </c>
      <c r="AM6" s="267" t="str">
        <f>IF(ISNUMBER(SEARCH("C", 'Dry_Litterbag Placem_Collection'!S7)),"YES","NO")</f>
        <v>NO</v>
      </c>
      <c r="AN6" s="267" t="str">
        <f>IF(ISNUMBER(SEARCH("H", 'Dry_Litterbag Placem_Collection'!S7)),"YES","NO")</f>
        <v>NO</v>
      </c>
      <c r="AO6" s="267" t="str">
        <f>IF(ISNUMBER(SEARCH("R", 'Dry_Litterbag Placem_Collection'!S7)),"YES","NO")</f>
        <v>NO</v>
      </c>
    </row>
    <row r="7" spans="1:41">
      <c r="A7" s="259" t="s">
        <v>2643</v>
      </c>
      <c r="B7" s="260">
        <f>'Dry_Litterbag Placem_Collection'!A8</f>
        <v>6</v>
      </c>
      <c r="C7" s="260" t="str">
        <f>'Dry_Litterbag Placem_Collection'!B8</f>
        <v>Makao</v>
      </c>
      <c r="D7" s="260" t="s">
        <v>2643</v>
      </c>
      <c r="E7" s="260" t="s">
        <v>2644</v>
      </c>
      <c r="F7" s="260">
        <v>1</v>
      </c>
      <c r="G7" s="260" t="s">
        <v>3798</v>
      </c>
      <c r="H7" s="261" t="str">
        <f>'Dry_Litterbag Placem_Collection'!C8</f>
        <v>Dry_Ag1_T6</v>
      </c>
      <c r="I7" s="262" t="s">
        <v>2525</v>
      </c>
      <c r="J7" s="263" t="s">
        <v>1147</v>
      </c>
      <c r="K7" s="260" t="str">
        <f>IF(ISBLANK('Dry_Litterbag Placem_Collection'!J8),"","G"&amp;""&amp;'Dry_Litterbag Placem_Collection'!J8)</f>
        <v>G478</v>
      </c>
      <c r="L7" s="264">
        <f>IFERROR(INDEX('Green_rooibos initial weight'!$C$5:$C$2000,MATCH(K7, 'Green_rooibos initial weight'!$A$5:$A$2000,0)),"")</f>
        <v>2.056</v>
      </c>
      <c r="M7" s="264">
        <f>IFERROR(L7-(TBIcalc!$Q$9+TBIcalc!$Q$10),"")</f>
        <v>1.8062</v>
      </c>
      <c r="N7" s="385">
        <f>AVERAGE(Ashed_controlls!$K$2:$K$11)</f>
        <v>5.5147656768714146</v>
      </c>
      <c r="O7" s="264">
        <f t="shared" si="1"/>
        <v>1.7065923023443486</v>
      </c>
      <c r="P7" s="264" t="str">
        <f>IFERROR(INDEX('Both teabags AfterDry'!$D$2:$D$2000,MATCH(K7,'Both teabags AfterDry'!$A$2:$A$2000,0)),"")</f>
        <v/>
      </c>
      <c r="Q7" s="264" t="str">
        <f>IFERROR(IF(P7&gt;0,P7-(TBIcalc!$Q$9),""),"")</f>
        <v/>
      </c>
      <c r="R7" s="275" t="str">
        <f>IFERROR(INDEX('Ashed teabags dry'!$K$2:$K$2000,MATCH(K7,'Ashed teabags dry'!$A$2:$A$2000,0)),"")</f>
        <v/>
      </c>
      <c r="S7" s="275" t="str">
        <f t="shared" si="2"/>
        <v/>
      </c>
      <c r="T7" s="265">
        <f>IF('Dry_Litterbag Placem_Collection'!E8="","",'Dry_Litterbag Placem_Collection'!E8)</f>
        <v>42938</v>
      </c>
      <c r="U7" s="265">
        <f>IF('Dry_Litterbag Placem_Collection'!G8="","",'Dry_Litterbag Placem_Collection'!G8)</f>
        <v>43007</v>
      </c>
      <c r="V7" s="266">
        <f t="shared" si="0"/>
        <v>69</v>
      </c>
      <c r="W7" s="264" t="str">
        <f t="shared" si="3"/>
        <v/>
      </c>
      <c r="X7" s="264" t="str">
        <f t="shared" si="4"/>
        <v/>
      </c>
      <c r="Y7" s="268">
        <f>IFERROR(INDEX(Rainfall_Dry!$O$2:$O$217,MATCH(B7, Rainfall_Dry!$A$2:$A$217,0)),"")</f>
        <v>6.900000125</v>
      </c>
      <c r="Z7" s="257">
        <v>12.565665055683967</v>
      </c>
      <c r="AA7" s="257">
        <v>0.9665896196679955</v>
      </c>
      <c r="AB7" s="257">
        <v>86.467745324648035</v>
      </c>
      <c r="AC7" s="258" t="s">
        <v>2656</v>
      </c>
      <c r="AD7" s="257">
        <v>6.02257269590931</v>
      </c>
      <c r="AE7">
        <f>IF('WetLitterbags placem_collection'!AB8="","",'WetLitterbags placem_collection'!AB8)</f>
        <v>32.4</v>
      </c>
      <c r="AF7">
        <f>IF('WetLitterbags placem_collection'!Z8="","",'WetLitterbags placem_collection'!Z8)</f>
        <v>31</v>
      </c>
      <c r="AG7" s="243" t="str">
        <f>IF('WetLitterbags placem_collection'!AA8="","",'WetLitterbags placem_collection'!AA8)</f>
        <v>M</v>
      </c>
      <c r="AH7">
        <f>IF('WetLitterbags placem_collection'!AC8="","",'WetLitterbags placem_collection'!AC8)</f>
        <v>1</v>
      </c>
      <c r="AI7">
        <f>IFERROR(AVERAGE('Dry_Litterbag Placem_Collection'!O8,'Dry_Litterbag Placem_Collection'!R8),"")</f>
        <v>5.35</v>
      </c>
      <c r="AJ7" s="268">
        <f>IFERROR(AVERAGE('Dry_Litterbag Placem_Collection'!N8,'Dry_Litterbag Placem_Collection'!Q8),"")</f>
        <v>26.6</v>
      </c>
      <c r="AK7" s="267">
        <f>INDEX(Coordinates!$B$2:$B$197,MATCH(H7,Coordinates!$J$2:$J$197,0))</f>
        <v>-3.3977389800000002</v>
      </c>
      <c r="AL7" s="267">
        <f>INDEX(Coordinates!$C$2:$C$197,MATCH(H7,Coordinates!$J$2:$J$197,0))</f>
        <v>34.837501979999999</v>
      </c>
      <c r="AM7" s="267" t="str">
        <f>IF(ISNUMBER(SEARCH("C", 'Dry_Litterbag Placem_Collection'!S8)),"YES","NO")</f>
        <v>NO</v>
      </c>
      <c r="AN7" s="267" t="str">
        <f>IF(ISNUMBER(SEARCH("H", 'Dry_Litterbag Placem_Collection'!S8)),"YES","NO")</f>
        <v>NO</v>
      </c>
      <c r="AO7" s="267" t="str">
        <f>IF(ISNUMBER(SEARCH("R", 'Dry_Litterbag Placem_Collection'!S8)),"YES","NO")</f>
        <v>NO</v>
      </c>
    </row>
    <row r="8" spans="1:41">
      <c r="A8" s="259" t="s">
        <v>2643</v>
      </c>
      <c r="B8" s="260">
        <f>'Dry_Litterbag Placem_Collection'!A9</f>
        <v>7</v>
      </c>
      <c r="C8" s="260" t="str">
        <f>'Dry_Litterbag Placem_Collection'!B9</f>
        <v>Makao</v>
      </c>
      <c r="D8" s="260" t="s">
        <v>2643</v>
      </c>
      <c r="E8" s="260" t="s">
        <v>2644</v>
      </c>
      <c r="F8" s="260">
        <v>1</v>
      </c>
      <c r="G8" s="260" t="s">
        <v>3798</v>
      </c>
      <c r="H8" s="261" t="str">
        <f>'Dry_Litterbag Placem_Collection'!C9</f>
        <v>Dry_Ag1_T7</v>
      </c>
      <c r="I8" s="262" t="s">
        <v>2525</v>
      </c>
      <c r="J8" s="263" t="s">
        <v>1147</v>
      </c>
      <c r="K8" s="260" t="str">
        <f>IF(ISBLANK('Dry_Litterbag Placem_Collection'!J9),"","G"&amp;""&amp;'Dry_Litterbag Placem_Collection'!J9)</f>
        <v>G106</v>
      </c>
      <c r="L8" s="264">
        <f>IFERROR(INDEX('Green_rooibos initial weight'!$C$5:$C$2000,MATCH(K8, 'Green_rooibos initial weight'!$A$5:$A$2000,0)),"")</f>
        <v>2.1230000000000002</v>
      </c>
      <c r="M8" s="264">
        <f>IFERROR(L8-(TBIcalc!$Q$9+TBIcalc!$Q$10),"")</f>
        <v>1.8732000000000002</v>
      </c>
      <c r="N8" s="385">
        <f>AVERAGE(Ashed_controlls!$K$2:$K$11)</f>
        <v>5.5147656768714146</v>
      </c>
      <c r="O8" s="264">
        <f t="shared" si="1"/>
        <v>1.7698974093408448</v>
      </c>
      <c r="P8" s="264">
        <f>IFERROR(INDEX('Both teabags AfterDry'!$D$2:$D$2000,MATCH(K8,'Both teabags AfterDry'!$A$2:$A$2000,0)),"")</f>
        <v>2.0188999999999999</v>
      </c>
      <c r="Q8" s="264">
        <f>IFERROR(IF(P8&gt;0,P8-(TBIcalc!$Q$9),""),"")</f>
        <v>1.8682999999999998</v>
      </c>
      <c r="R8" s="275">
        <f>IFERROR(INDEX('Ashed teabags dry'!$K$2:$K$2000,MATCH(K8,'Ashed teabags dry'!$A$2:$A$2000,0)),"")</f>
        <v>8.482523444160524</v>
      </c>
      <c r="S8" s="275">
        <f t="shared" si="2"/>
        <v>1.7098210144927488</v>
      </c>
      <c r="T8" s="265">
        <f>IF('Dry_Litterbag Placem_Collection'!E9="","",'Dry_Litterbag Placem_Collection'!E9)</f>
        <v>42938</v>
      </c>
      <c r="U8" s="265">
        <f>IF('Dry_Litterbag Placem_Collection'!G9="","",'Dry_Litterbag Placem_Collection'!G9)</f>
        <v>43007</v>
      </c>
      <c r="V8" s="266">
        <f t="shared" si="0"/>
        <v>69</v>
      </c>
      <c r="W8" s="264">
        <f t="shared" si="3"/>
        <v>4.9000000000003485E-3</v>
      </c>
      <c r="X8" s="264">
        <f t="shared" si="4"/>
        <v>6.0076394848096015E-2</v>
      </c>
      <c r="Y8" s="268">
        <f>IFERROR(INDEX(Rainfall_Dry!$O$2:$O$217,MATCH(B8, Rainfall_Dry!$A$2:$A$217,0)),"")</f>
        <v>6.900000125</v>
      </c>
      <c r="Z8" s="257">
        <v>12.565665055683967</v>
      </c>
      <c r="AA8" s="257">
        <v>0.9665896196679955</v>
      </c>
      <c r="AB8" s="257">
        <v>86.467745324648035</v>
      </c>
      <c r="AC8" s="258" t="s">
        <v>2656</v>
      </c>
      <c r="AD8" s="257">
        <v>7.02257269590931</v>
      </c>
      <c r="AE8">
        <f>IF('WetLitterbags placem_collection'!AB9="","",'WetLitterbags placem_collection'!AB9)</f>
        <v>36</v>
      </c>
      <c r="AF8">
        <f>IF('WetLitterbags placem_collection'!Z9="","",'WetLitterbags placem_collection'!Z9)</f>
        <v>43.4</v>
      </c>
      <c r="AG8" s="243" t="str">
        <f>IF('WetLitterbags placem_collection'!AA9="","",'WetLitterbags placem_collection'!AA9)</f>
        <v>M</v>
      </c>
      <c r="AH8">
        <f>IF('WetLitterbags placem_collection'!AC9="","",'WetLitterbags placem_collection'!AC9)</f>
        <v>1</v>
      </c>
      <c r="AI8">
        <f>IFERROR(AVERAGE('Dry_Litterbag Placem_Collection'!O9,'Dry_Litterbag Placem_Collection'!R9),"")</f>
        <v>2.95</v>
      </c>
      <c r="AJ8" s="268">
        <f>IFERROR(AVERAGE('Dry_Litterbag Placem_Collection'!N9,'Dry_Litterbag Placem_Collection'!Q9),"")</f>
        <v>24.75</v>
      </c>
      <c r="AK8" s="267">
        <f>INDEX(Coordinates!$B$2:$B$197,MATCH(H8,Coordinates!$J$2:$J$197,0))</f>
        <v>-3.3977630360000002</v>
      </c>
      <c r="AL8" s="267">
        <f>INDEX(Coordinates!$C$2:$C$197,MATCH(H8,Coordinates!$J$2:$J$197,0))</f>
        <v>34.837600969999997</v>
      </c>
      <c r="AM8" s="267" t="str">
        <f>IF(ISNUMBER(SEARCH("C", 'Dry_Litterbag Placem_Collection'!S9)),"YES","NO")</f>
        <v>NO</v>
      </c>
      <c r="AN8" s="267" t="str">
        <f>IF(ISNUMBER(SEARCH("H", 'Dry_Litterbag Placem_Collection'!S9)),"YES","NO")</f>
        <v>YES</v>
      </c>
      <c r="AO8" s="267" t="str">
        <f>IF(ISNUMBER(SEARCH("R", 'Dry_Litterbag Placem_Collection'!S9)),"YES","NO")</f>
        <v>NO</v>
      </c>
    </row>
    <row r="9" spans="1:41">
      <c r="A9" s="259" t="s">
        <v>2643</v>
      </c>
      <c r="B9" s="260">
        <f>'Dry_Litterbag Placem_Collection'!A10</f>
        <v>8</v>
      </c>
      <c r="C9" s="260" t="str">
        <f>'Dry_Litterbag Placem_Collection'!B10</f>
        <v>Makao</v>
      </c>
      <c r="D9" s="260" t="s">
        <v>2643</v>
      </c>
      <c r="E9" s="260" t="s">
        <v>2644</v>
      </c>
      <c r="F9" s="260">
        <v>1</v>
      </c>
      <c r="G9" s="260" t="s">
        <v>3798</v>
      </c>
      <c r="H9" s="261" t="str">
        <f>'Dry_Litterbag Placem_Collection'!C10</f>
        <v>Dry_Ag1_T8</v>
      </c>
      <c r="I9" s="262" t="s">
        <v>2525</v>
      </c>
      <c r="J9" s="263" t="s">
        <v>1147</v>
      </c>
      <c r="K9" s="260" t="str">
        <f>IF(ISBLANK('Dry_Litterbag Placem_Collection'!J10),"","G"&amp;""&amp;'Dry_Litterbag Placem_Collection'!J10)</f>
        <v>G228</v>
      </c>
      <c r="L9" s="264">
        <f>IFERROR(INDEX('Green_rooibos initial weight'!$C$5:$C$2000,MATCH(K9, 'Green_rooibos initial weight'!$A$5:$A$2000,0)),"")</f>
        <v>1.976</v>
      </c>
      <c r="M9" s="264">
        <f>IFERROR(L9-(TBIcalc!$Q$9+TBIcalc!$Q$10),"")</f>
        <v>1.7262</v>
      </c>
      <c r="N9" s="385">
        <f>AVERAGE(Ashed_controlls!$K$2:$K$11)</f>
        <v>5.5147656768714146</v>
      </c>
      <c r="O9" s="264">
        <f t="shared" si="1"/>
        <v>1.6310041148858456</v>
      </c>
      <c r="P9" s="264">
        <f>IFERROR(INDEX('Both teabags AfterDry'!$D$2:$D$2000,MATCH(K9,'Both teabags AfterDry'!$A$2:$A$2000,0)),"")</f>
        <v>0.83330000000000004</v>
      </c>
      <c r="Q9" s="264">
        <f>IFERROR(IF(P9&gt;0,P9-(TBIcalc!$Q$9),""),"")</f>
        <v>0.68270000000000008</v>
      </c>
      <c r="R9" s="275">
        <f>IFERROR(INDEX('Ashed teabags dry'!$K$2:$K$2000,MATCH(K9,'Ashed teabags dry'!$A$2:$A$2000,0)),"")</f>
        <v>14.545454545454678</v>
      </c>
      <c r="S9" s="275">
        <f t="shared" si="2"/>
        <v>0.58339818181818104</v>
      </c>
      <c r="T9" s="265">
        <f>IF('Dry_Litterbag Placem_Collection'!E10="","",'Dry_Litterbag Placem_Collection'!E10)</f>
        <v>42938</v>
      </c>
      <c r="U9" s="265">
        <f>IF('Dry_Litterbag Placem_Collection'!G10="","",'Dry_Litterbag Placem_Collection'!G10)</f>
        <v>43007</v>
      </c>
      <c r="V9" s="266">
        <f t="shared" si="0"/>
        <v>69</v>
      </c>
      <c r="W9" s="264">
        <f t="shared" si="3"/>
        <v>1.0434999999999999</v>
      </c>
      <c r="X9" s="264">
        <f t="shared" si="4"/>
        <v>1.0476059330676646</v>
      </c>
      <c r="Y9" s="268">
        <f>IFERROR(INDEX(Rainfall_Dry!$O$2:$O$217,MATCH(B9, Rainfall_Dry!$A$2:$A$217,0)),"")</f>
        <v>6.900000125</v>
      </c>
      <c r="Z9" s="257">
        <v>12.565665055683967</v>
      </c>
      <c r="AA9" s="257">
        <v>0.9665896196679955</v>
      </c>
      <c r="AB9" s="257">
        <v>86.467745324648035</v>
      </c>
      <c r="AC9" s="258" t="s">
        <v>2656</v>
      </c>
      <c r="AD9" s="257">
        <v>8.0225726959093109</v>
      </c>
      <c r="AE9">
        <f>IF('WetLitterbags placem_collection'!AB10="","",'WetLitterbags placem_collection'!AB10)</f>
        <v>36</v>
      </c>
      <c r="AF9">
        <f>IF('WetLitterbags placem_collection'!Z10="","",'WetLitterbags placem_collection'!Z10)</f>
        <v>38.4</v>
      </c>
      <c r="AG9" s="243" t="str">
        <f>IF('WetLitterbags placem_collection'!AA10="","",'WetLitterbags placem_collection'!AA10)</f>
        <v>M</v>
      </c>
      <c r="AH9" t="str">
        <f>IF('WetLitterbags placem_collection'!AC10="","",'WetLitterbags placem_collection'!AC10)</f>
        <v/>
      </c>
      <c r="AI9">
        <f>IFERROR(AVERAGE('Dry_Litterbag Placem_Collection'!O10,'Dry_Litterbag Placem_Collection'!R10),"")</f>
        <v>2.5999999999999996</v>
      </c>
      <c r="AJ9" s="268">
        <f>IFERROR(AVERAGE('Dry_Litterbag Placem_Collection'!N10,'Dry_Litterbag Placem_Collection'!Q10),"")</f>
        <v>26</v>
      </c>
      <c r="AK9" s="267">
        <f>INDEX(Coordinates!$B$2:$B$197,MATCH(H9,Coordinates!$J$2:$J$197,0))</f>
        <v>-3.3977320230000001</v>
      </c>
      <c r="AL9" s="267">
        <f>INDEX(Coordinates!$C$2:$C$197,MATCH(H9,Coordinates!$J$2:$J$197,0))</f>
        <v>34.837561989999998</v>
      </c>
      <c r="AM9" s="267" t="str">
        <f>IF(ISNUMBER(SEARCH("C", 'Dry_Litterbag Placem_Collection'!S10)),"YES","NO")</f>
        <v>NO</v>
      </c>
      <c r="AN9" s="267" t="str">
        <f>IF(ISNUMBER(SEARCH("H", 'Dry_Litterbag Placem_Collection'!S10)),"YES","NO")</f>
        <v>NO</v>
      </c>
      <c r="AO9" s="267" t="str">
        <f>IF(ISNUMBER(SEARCH("R", 'Dry_Litterbag Placem_Collection'!S10)),"YES","NO")</f>
        <v>YES</v>
      </c>
    </row>
    <row r="10" spans="1:41">
      <c r="A10" s="259" t="s">
        <v>2643</v>
      </c>
      <c r="B10" s="260">
        <f>'Dry_Litterbag Placem_Collection'!A11</f>
        <v>9</v>
      </c>
      <c r="C10" s="260" t="str">
        <f>'Dry_Litterbag Placem_Collection'!B11</f>
        <v>Makao</v>
      </c>
      <c r="D10" s="260" t="s">
        <v>2643</v>
      </c>
      <c r="E10" s="260" t="s">
        <v>2644</v>
      </c>
      <c r="F10" s="260">
        <v>2</v>
      </c>
      <c r="G10" s="260" t="s">
        <v>3802</v>
      </c>
      <c r="H10" s="261" t="str">
        <f>'Dry_Litterbag Placem_Collection'!C11</f>
        <v>Dry_Ag2_T1</v>
      </c>
      <c r="I10" s="262" t="s">
        <v>2525</v>
      </c>
      <c r="J10" s="263" t="s">
        <v>1147</v>
      </c>
      <c r="K10" s="260" t="str">
        <f>IF(ISBLANK('Dry_Litterbag Placem_Collection'!J11),"","G"&amp;""&amp;'Dry_Litterbag Placem_Collection'!J11)</f>
        <v>G277</v>
      </c>
      <c r="L10" s="264">
        <f>IFERROR(INDEX('Green_rooibos initial weight'!$C$5:$C$2000,MATCH(K10, 'Green_rooibos initial weight'!$A$5:$A$2000,0)),"")</f>
        <v>1.93</v>
      </c>
      <c r="M10" s="264">
        <f>IFERROR(L10-(TBIcalc!$Q$9+TBIcalc!$Q$10),"")</f>
        <v>1.6801999999999999</v>
      </c>
      <c r="N10" s="385">
        <f>AVERAGE(Ashed_controlls!$K$2:$K$11)</f>
        <v>5.5147656768714146</v>
      </c>
      <c r="O10" s="264">
        <f t="shared" si="1"/>
        <v>1.5875409070972064</v>
      </c>
      <c r="P10" s="264">
        <f>IFERROR(INDEX('Both teabags AfterDry'!$D$2:$D$2000,MATCH(K10,'Both teabags AfterDry'!$A$2:$A$2000,0)),"")</f>
        <v>1.9345000000000001</v>
      </c>
      <c r="Q10" s="264">
        <f>IFERROR(IF(P10&gt;0,P10-(TBIcalc!$Q$9),""),"")</f>
        <v>1.7839</v>
      </c>
      <c r="R10" s="275">
        <f>IFERROR(INDEX('Ashed teabags dry'!$K$2:$K$2000,MATCH(K10,'Ashed teabags dry'!$A$2:$A$2000,0)),"")</f>
        <v>22.768222768222728</v>
      </c>
      <c r="S10" s="275">
        <f t="shared" si="2"/>
        <v>1.3777376740376748</v>
      </c>
      <c r="T10" s="265">
        <f>IF('Dry_Litterbag Placem_Collection'!E11="","",'Dry_Litterbag Placem_Collection'!E11)</f>
        <v>42938</v>
      </c>
      <c r="U10" s="265">
        <f>IF('Dry_Litterbag Placem_Collection'!G11="","",'Dry_Litterbag Placem_Collection'!G11)</f>
        <v>43007</v>
      </c>
      <c r="V10" s="266">
        <f t="shared" si="0"/>
        <v>69</v>
      </c>
      <c r="W10" s="264">
        <f t="shared" si="3"/>
        <v>-0.10370000000000013</v>
      </c>
      <c r="X10" s="264">
        <f t="shared" si="4"/>
        <v>0.20980323305953164</v>
      </c>
      <c r="Y10" s="268">
        <f>IFERROR(INDEX(Rainfall_Dry!$O$2:$O$217,MATCH(B10, Rainfall_Dry!$A$2:$A$217,0)),"")</f>
        <v>6.900000125</v>
      </c>
      <c r="Z10" s="257">
        <v>21.13063730679653</v>
      </c>
      <c r="AA10" s="257">
        <v>3.0912555579081076</v>
      </c>
      <c r="AB10" s="257">
        <v>75.778107135295357</v>
      </c>
      <c r="AC10" s="258" t="s">
        <v>2654</v>
      </c>
      <c r="AD10" s="257">
        <v>0.46131099063578063</v>
      </c>
      <c r="AE10">
        <f>IF('WetLitterbags placem_collection'!AB11="","",'WetLitterbags placem_collection'!AB11)</f>
        <v>10.8</v>
      </c>
      <c r="AF10">
        <f>IF('WetLitterbags placem_collection'!Z11="","",'WetLitterbags placem_collection'!Z11)</f>
        <v>28.4</v>
      </c>
      <c r="AG10" s="243" t="str">
        <f>IF('WetLitterbags placem_collection'!AA11="","",'WetLitterbags placem_collection'!AA11)</f>
        <v>M</v>
      </c>
      <c r="AH10">
        <f>IF('WetLitterbags placem_collection'!AC11="","",'WetLitterbags placem_collection'!AC11)</f>
        <v>0</v>
      </c>
      <c r="AI10">
        <f>IFERROR(AVERAGE('Dry_Litterbag Placem_Collection'!O11,'Dry_Litterbag Placem_Collection'!R11),"")</f>
        <v>3.3</v>
      </c>
      <c r="AJ10" s="268">
        <f>IFERROR(AVERAGE('Dry_Litterbag Placem_Collection'!N11,'Dry_Litterbag Placem_Collection'!Q11),"")</f>
        <v>26.15</v>
      </c>
      <c r="AK10" s="267">
        <f>INDEX(Coordinates!$B$2:$B$197,MATCH(H10,Coordinates!$J$2:$J$197,0))</f>
        <v>-3.3978290019999999</v>
      </c>
      <c r="AL10" s="267">
        <f>INDEX(Coordinates!$C$2:$C$197,MATCH(H10,Coordinates!$J$2:$J$197,0))</f>
        <v>34.837011969999999</v>
      </c>
      <c r="AM10" s="267" t="str">
        <f>IF(ISNUMBER(SEARCH("C", 'Dry_Litterbag Placem_Collection'!S11)),"YES","NO")</f>
        <v>YES</v>
      </c>
      <c r="AN10" s="267" t="str">
        <f>IF(ISNUMBER(SEARCH("H", 'Dry_Litterbag Placem_Collection'!S11)),"YES","NO")</f>
        <v>YES</v>
      </c>
      <c r="AO10" s="267" t="str">
        <f>IF(ISNUMBER(SEARCH("R", 'Dry_Litterbag Placem_Collection'!S11)),"YES","NO")</f>
        <v>NO</v>
      </c>
    </row>
    <row r="11" spans="1:41">
      <c r="A11" s="259" t="s">
        <v>2643</v>
      </c>
      <c r="B11" s="260">
        <f>'Dry_Litterbag Placem_Collection'!A12</f>
        <v>10</v>
      </c>
      <c r="C11" s="260" t="str">
        <f>'Dry_Litterbag Placem_Collection'!B12</f>
        <v>Makao</v>
      </c>
      <c r="D11" s="260" t="s">
        <v>2643</v>
      </c>
      <c r="E11" s="260" t="s">
        <v>2644</v>
      </c>
      <c r="F11" s="260">
        <v>2</v>
      </c>
      <c r="G11" s="260" t="s">
        <v>3802</v>
      </c>
      <c r="H11" s="261" t="str">
        <f>'Dry_Litterbag Placem_Collection'!C12</f>
        <v>Dry_Ag2_T2</v>
      </c>
      <c r="I11" s="262" t="s">
        <v>2525</v>
      </c>
      <c r="J11" s="263" t="s">
        <v>1147</v>
      </c>
      <c r="K11" s="260" t="str">
        <f>IF(ISBLANK('Dry_Litterbag Placem_Collection'!J12),"","G"&amp;""&amp;'Dry_Litterbag Placem_Collection'!J12)</f>
        <v>G310</v>
      </c>
      <c r="L11" s="264">
        <f>IFERROR(INDEX('Green_rooibos initial weight'!$C$5:$C$2000,MATCH(K11, 'Green_rooibos initial weight'!$A$5:$A$2000,0)),"")</f>
        <v>2.0459999999999998</v>
      </c>
      <c r="M11" s="264">
        <f>IFERROR(L11-(TBIcalc!$Q$9+TBIcalc!$Q$10),"")</f>
        <v>1.7961999999999998</v>
      </c>
      <c r="N11" s="385">
        <f>AVERAGE(Ashed_controlls!$K$2:$K$11)</f>
        <v>5.5147656768714146</v>
      </c>
      <c r="O11" s="264">
        <f t="shared" si="1"/>
        <v>1.6971437789120354</v>
      </c>
      <c r="P11" s="264" t="str">
        <f>IFERROR(INDEX('Both teabags AfterDry'!$D$2:$D$2000,MATCH(K11,'Both teabags AfterDry'!$A$2:$A$2000,0)),"")</f>
        <v/>
      </c>
      <c r="Q11" s="264" t="str">
        <f>IFERROR(IF(P11&gt;0,P11-(TBIcalc!$Q$9),""),"")</f>
        <v/>
      </c>
      <c r="R11" s="275" t="str">
        <f>IFERROR(INDEX('Ashed teabags dry'!$K$2:$K$2000,MATCH(K11,'Ashed teabags dry'!$A$2:$A$2000,0)),"")</f>
        <v/>
      </c>
      <c r="S11" s="275" t="str">
        <f t="shared" si="2"/>
        <v/>
      </c>
      <c r="T11" s="265">
        <f>IF('Dry_Litterbag Placem_Collection'!E12="","",'Dry_Litterbag Placem_Collection'!E12)</f>
        <v>42938</v>
      </c>
      <c r="U11" s="265" t="str">
        <f>IF('Dry_Litterbag Placem_Collection'!G12="","",'Dry_Litterbag Placem_Collection'!G12)</f>
        <v/>
      </c>
      <c r="V11" s="266" t="str">
        <f t="shared" si="0"/>
        <v/>
      </c>
      <c r="W11" s="264" t="str">
        <f t="shared" si="3"/>
        <v/>
      </c>
      <c r="X11" s="264" t="str">
        <f t="shared" si="4"/>
        <v/>
      </c>
      <c r="Y11" s="268" t="str">
        <f>IFERROR(INDEX(Rainfall_Dry!$O$2:$O$217,MATCH(B11, Rainfall_Dry!$A$2:$A$217,0)),"")</f>
        <v/>
      </c>
      <c r="Z11" s="257">
        <v>21.13063730679653</v>
      </c>
      <c r="AA11" s="257">
        <v>3.0912555579081076</v>
      </c>
      <c r="AB11" s="257">
        <v>75.778107135295357</v>
      </c>
      <c r="AC11" s="258" t="s">
        <v>2654</v>
      </c>
      <c r="AD11" s="257">
        <v>1.46131099063578</v>
      </c>
      <c r="AE11">
        <f>IF('WetLitterbags placem_collection'!AB12="","",'WetLitterbags placem_collection'!AB12)</f>
        <v>16.8</v>
      </c>
      <c r="AF11">
        <f>IF('WetLitterbags placem_collection'!Z12="","",'WetLitterbags placem_collection'!Z12)</f>
        <v>30</v>
      </c>
      <c r="AG11" s="243" t="str">
        <f>IF('WetLitterbags placem_collection'!AA12="","",'WetLitterbags placem_collection'!AA12)</f>
        <v>M</v>
      </c>
      <c r="AH11">
        <f>IF('WetLitterbags placem_collection'!AC12="","",'WetLitterbags placem_collection'!AC12)</f>
        <v>0</v>
      </c>
      <c r="AI11">
        <f>IFERROR(AVERAGE('Dry_Litterbag Placem_Collection'!O12,'Dry_Litterbag Placem_Collection'!R12),"")</f>
        <v>1.5</v>
      </c>
      <c r="AJ11" s="268">
        <f>IFERROR(AVERAGE('Dry_Litterbag Placem_Collection'!N12,'Dry_Litterbag Placem_Collection'!Q12),"")</f>
        <v>26.1</v>
      </c>
      <c r="AK11" s="267">
        <f>INDEX(Coordinates!$B$2:$B$197,MATCH(H11,Coordinates!$J$2:$J$197,0))</f>
        <v>-3.3978119869999999</v>
      </c>
      <c r="AL11" s="267">
        <f>INDEX(Coordinates!$C$2:$C$197,MATCH(H11,Coordinates!$J$2:$J$197,0))</f>
        <v>34.836968980000002</v>
      </c>
      <c r="AM11" s="267" t="str">
        <f>IF(ISNUMBER(SEARCH("C", 'Dry_Litterbag Placem_Collection'!S12)),"YES","NO")</f>
        <v>NO</v>
      </c>
      <c r="AN11" s="267" t="str">
        <f>IF(ISNUMBER(SEARCH("H", 'Dry_Litterbag Placem_Collection'!S12)),"YES","NO")</f>
        <v>NO</v>
      </c>
      <c r="AO11" s="267" t="str">
        <f>IF(ISNUMBER(SEARCH("R", 'Dry_Litterbag Placem_Collection'!S12)),"YES","NO")</f>
        <v>NO</v>
      </c>
    </row>
    <row r="12" spans="1:41">
      <c r="A12" s="259" t="s">
        <v>2643</v>
      </c>
      <c r="B12" s="260">
        <f>'Dry_Litterbag Placem_Collection'!A13</f>
        <v>11</v>
      </c>
      <c r="C12" s="260" t="str">
        <f>'Dry_Litterbag Placem_Collection'!B13</f>
        <v>Makao</v>
      </c>
      <c r="D12" s="260" t="s">
        <v>2643</v>
      </c>
      <c r="E12" s="260" t="s">
        <v>2644</v>
      </c>
      <c r="F12" s="260">
        <v>2</v>
      </c>
      <c r="G12" s="260" t="s">
        <v>3802</v>
      </c>
      <c r="H12" s="261" t="str">
        <f>'Dry_Litterbag Placem_Collection'!C13</f>
        <v>Dry_Ag2_T3</v>
      </c>
      <c r="I12" s="262" t="s">
        <v>2525</v>
      </c>
      <c r="J12" s="263" t="s">
        <v>1147</v>
      </c>
      <c r="K12" s="260" t="str">
        <f>IF(ISBLANK('Dry_Litterbag Placem_Collection'!J13),"","G"&amp;""&amp;'Dry_Litterbag Placem_Collection'!J13)</f>
        <v>G435</v>
      </c>
      <c r="L12" s="264">
        <f>IFERROR(INDEX('Green_rooibos initial weight'!$C$5:$C$2000,MATCH(K12, 'Green_rooibos initial weight'!$A$5:$A$2000,0)),"")</f>
        <v>2.0009999999999999</v>
      </c>
      <c r="M12" s="264">
        <f>IFERROR(L12-(TBIcalc!$Q$9+TBIcalc!$Q$10),"")</f>
        <v>1.7511999999999999</v>
      </c>
      <c r="N12" s="385">
        <f>AVERAGE(Ashed_controlls!$K$2:$K$11)</f>
        <v>5.5147656768714146</v>
      </c>
      <c r="O12" s="264">
        <f t="shared" si="1"/>
        <v>1.6546254234666278</v>
      </c>
      <c r="P12" s="264">
        <f>IFERROR(INDEX('Both teabags AfterDry'!$D$2:$D$2000,MATCH(K12,'Both teabags AfterDry'!$A$2:$A$2000,0)),"")</f>
        <v>1.7934000000000001</v>
      </c>
      <c r="Q12" s="264">
        <f>IFERROR(IF(P12&gt;0,P12-(TBIcalc!$Q$9),""),"")</f>
        <v>1.6428</v>
      </c>
      <c r="R12" s="275">
        <f>IFERROR(INDEX('Ashed teabags dry'!$K$2:$K$2000,MATCH(K12,'Ashed teabags dry'!$A$2:$A$2000,0)),"")</f>
        <v>10.240078392944513</v>
      </c>
      <c r="S12" s="275">
        <f t="shared" si="2"/>
        <v>1.4745759921607076</v>
      </c>
      <c r="T12" s="265">
        <f>IF('Dry_Litterbag Placem_Collection'!E13="","",'Dry_Litterbag Placem_Collection'!E13)</f>
        <v>42938</v>
      </c>
      <c r="U12" s="265">
        <f>IF('Dry_Litterbag Placem_Collection'!G13="","",'Dry_Litterbag Placem_Collection'!G13)</f>
        <v>43007</v>
      </c>
      <c r="V12" s="266">
        <f t="shared" si="0"/>
        <v>69</v>
      </c>
      <c r="W12" s="264">
        <f t="shared" si="3"/>
        <v>0.10839999999999983</v>
      </c>
      <c r="X12" s="264">
        <f t="shared" si="4"/>
        <v>0.18004943130592022</v>
      </c>
      <c r="Y12" s="268">
        <f>IFERROR(INDEX(Rainfall_Dry!$O$2:$O$217,MATCH(B12, Rainfall_Dry!$A$2:$A$217,0)),"")</f>
        <v>6.900000125</v>
      </c>
      <c r="Z12" s="257">
        <v>21.13063730679653</v>
      </c>
      <c r="AA12" s="257">
        <v>3.0912555579081076</v>
      </c>
      <c r="AB12" s="257">
        <v>75.778107135295357</v>
      </c>
      <c r="AC12" s="258" t="s">
        <v>2654</v>
      </c>
      <c r="AD12" s="257">
        <v>2.4613109906357802</v>
      </c>
      <c r="AE12">
        <f>IF('WetLitterbags placem_collection'!AB13="","",'WetLitterbags placem_collection'!AB13)</f>
        <v>11.4</v>
      </c>
      <c r="AF12">
        <f>IF('WetLitterbags placem_collection'!Z13="","",'WetLitterbags placem_collection'!Z13)</f>
        <v>24.4</v>
      </c>
      <c r="AG12" s="243" t="str">
        <f>IF('WetLitterbags placem_collection'!AA13="","",'WetLitterbags placem_collection'!AA13)</f>
        <v>M</v>
      </c>
      <c r="AH12">
        <f>IF('WetLitterbags placem_collection'!AC13="","",'WetLitterbags placem_collection'!AC13)</f>
        <v>0</v>
      </c>
      <c r="AI12">
        <f>IFERROR(AVERAGE('Dry_Litterbag Placem_Collection'!O13,'Dry_Litterbag Placem_Collection'!R13),"")</f>
        <v>5.3</v>
      </c>
      <c r="AJ12" s="268">
        <f>IFERROR(AVERAGE('Dry_Litterbag Placem_Collection'!N13,'Dry_Litterbag Placem_Collection'!Q13),"")</f>
        <v>26.450000000000003</v>
      </c>
      <c r="AK12" s="267">
        <f>INDEX(Coordinates!$B$2:$B$197,MATCH(H12,Coordinates!$J$2:$J$197,0))</f>
        <v>-3.3977929599999999</v>
      </c>
      <c r="AL12" s="267">
        <f>INDEX(Coordinates!$C$2:$C$197,MATCH(H12,Coordinates!$J$2:$J$197,0))</f>
        <v>34.837102999999999</v>
      </c>
      <c r="AM12" s="267" t="str">
        <f>IF(ISNUMBER(SEARCH("C", 'Dry_Litterbag Placem_Collection'!S13)),"YES","NO")</f>
        <v>YES</v>
      </c>
      <c r="AN12" s="267" t="str">
        <f>IF(ISNUMBER(SEARCH("H", 'Dry_Litterbag Placem_Collection'!S13)),"YES","NO")</f>
        <v>YES</v>
      </c>
      <c r="AO12" s="267" t="str">
        <f>IF(ISNUMBER(SEARCH("R", 'Dry_Litterbag Placem_Collection'!S13)),"YES","NO")</f>
        <v>NO</v>
      </c>
    </row>
    <row r="13" spans="1:41">
      <c r="A13" s="259" t="s">
        <v>2643</v>
      </c>
      <c r="B13" s="260">
        <f>'Dry_Litterbag Placem_Collection'!A14</f>
        <v>12</v>
      </c>
      <c r="C13" s="260" t="str">
        <f>'Dry_Litterbag Placem_Collection'!B14</f>
        <v>Makao</v>
      </c>
      <c r="D13" s="260" t="s">
        <v>2643</v>
      </c>
      <c r="E13" s="260" t="s">
        <v>2644</v>
      </c>
      <c r="F13" s="260">
        <v>2</v>
      </c>
      <c r="G13" s="260" t="s">
        <v>3802</v>
      </c>
      <c r="H13" s="261" t="str">
        <f>'Dry_Litterbag Placem_Collection'!C14</f>
        <v>Dry_Ag2_T4</v>
      </c>
      <c r="I13" s="262" t="s">
        <v>2525</v>
      </c>
      <c r="J13" s="263" t="s">
        <v>1147</v>
      </c>
      <c r="K13" s="260" t="str">
        <f>IF(ISBLANK('Dry_Litterbag Placem_Collection'!J14),"","G"&amp;""&amp;'Dry_Litterbag Placem_Collection'!J14)</f>
        <v/>
      </c>
      <c r="L13" s="264" t="str">
        <f>IFERROR(INDEX('Green_rooibos initial weight'!$C$5:$C$2000,MATCH(K13, 'Green_rooibos initial weight'!$A$5:$A$2000,0)),"")</f>
        <v/>
      </c>
      <c r="M13" s="264" t="str">
        <f>IFERROR(L13-(TBIcalc!$Q$9+TBIcalc!$Q$10),"")</f>
        <v/>
      </c>
      <c r="N13" s="385">
        <f>AVERAGE(Ashed_controlls!$K$2:$K$11)</f>
        <v>5.5147656768714146</v>
      </c>
      <c r="O13" s="264" t="str">
        <f t="shared" si="1"/>
        <v/>
      </c>
      <c r="P13" s="264" t="str">
        <f>IFERROR(INDEX('Both teabags AfterDry'!$D$2:$D$2000,MATCH(K13,'Both teabags AfterDry'!$A$2:$A$2000,0)),"")</f>
        <v/>
      </c>
      <c r="Q13" s="264" t="str">
        <f>IFERROR(IF(P13&gt;0,P13-(TBIcalc!$Q$9),""),"")</f>
        <v/>
      </c>
      <c r="R13" s="275" t="str">
        <f>IFERROR(INDEX('Ashed teabags dry'!$K$2:$K$2000,MATCH(K13,'Ashed teabags dry'!$A$2:$A$2000,0)),"")</f>
        <v/>
      </c>
      <c r="S13" s="275" t="str">
        <f t="shared" si="2"/>
        <v/>
      </c>
      <c r="T13" s="265" t="str">
        <f>IF('Dry_Litterbag Placem_Collection'!E14="","",'Dry_Litterbag Placem_Collection'!E14)</f>
        <v/>
      </c>
      <c r="U13" s="265" t="str">
        <f>IF('Dry_Litterbag Placem_Collection'!G14="","",'Dry_Litterbag Placem_Collection'!G14)</f>
        <v/>
      </c>
      <c r="V13" s="266" t="str">
        <f t="shared" si="0"/>
        <v/>
      </c>
      <c r="W13" s="264" t="str">
        <f t="shared" si="3"/>
        <v/>
      </c>
      <c r="X13" s="264" t="str">
        <f t="shared" si="4"/>
        <v/>
      </c>
      <c r="Y13" s="268" t="str">
        <f>IFERROR(INDEX(Rainfall_Dry!$O$2:$O$217,MATCH(B13, Rainfall_Dry!$A$2:$A$217,0)),"")</f>
        <v/>
      </c>
      <c r="Z13" s="257">
        <v>21.13063730679653</v>
      </c>
      <c r="AA13" s="257">
        <v>3.0912555579081076</v>
      </c>
      <c r="AB13" s="257">
        <v>75.778107135295357</v>
      </c>
      <c r="AC13" s="258" t="s">
        <v>2654</v>
      </c>
      <c r="AD13" s="257">
        <v>3.4613109906357802</v>
      </c>
      <c r="AE13" t="str">
        <f>IF('WetLitterbags placem_collection'!AB14="","",'WetLitterbags placem_collection'!AB14)</f>
        <v/>
      </c>
      <c r="AF13" t="str">
        <f>IF('WetLitterbags placem_collection'!Z14="","",'WetLitterbags placem_collection'!Z14)</f>
        <v/>
      </c>
      <c r="AG13" s="243" t="str">
        <f>IF('WetLitterbags placem_collection'!AA14="","",'WetLitterbags placem_collection'!AA14)</f>
        <v/>
      </c>
      <c r="AH13" t="str">
        <f>IF('WetLitterbags placem_collection'!AC14="","",'WetLitterbags placem_collection'!AC14)</f>
        <v/>
      </c>
      <c r="AI13" t="str">
        <f>IFERROR(AVERAGE('Dry_Litterbag Placem_Collection'!O14,'Dry_Litterbag Placem_Collection'!R14),"")</f>
        <v/>
      </c>
      <c r="AJ13" s="268" t="str">
        <f>IFERROR(AVERAGE('Dry_Litterbag Placem_Collection'!N14,'Dry_Litterbag Placem_Collection'!Q14),"")</f>
        <v/>
      </c>
      <c r="AK13" s="267">
        <f>INDEX(Coordinates!$B$2:$B$197,MATCH(H13,Coordinates!$J$2:$J$197,0))</f>
        <v>-3.3979050260000001</v>
      </c>
      <c r="AL13" s="267">
        <f>INDEX(Coordinates!$C$2:$C$197,MATCH(H13,Coordinates!$J$2:$J$197,0))</f>
        <v>34.837123030000001</v>
      </c>
      <c r="AM13" s="267" t="str">
        <f>IF(ISNUMBER(SEARCH("C", 'Dry_Litterbag Placem_Collection'!S14)),"YES","NO")</f>
        <v>NO</v>
      </c>
      <c r="AN13" s="267" t="str">
        <f>IF(ISNUMBER(SEARCH("H", 'Dry_Litterbag Placem_Collection'!S14)),"YES","NO")</f>
        <v>NO</v>
      </c>
      <c r="AO13" s="267" t="str">
        <f>IF(ISNUMBER(SEARCH("R", 'Dry_Litterbag Placem_Collection'!S14)),"YES","NO")</f>
        <v>NO</v>
      </c>
    </row>
    <row r="14" spans="1:41">
      <c r="A14" s="259" t="s">
        <v>2643</v>
      </c>
      <c r="B14" s="260">
        <f>'Dry_Litterbag Placem_Collection'!A15</f>
        <v>13</v>
      </c>
      <c r="C14" s="260" t="str">
        <f>'Dry_Litterbag Placem_Collection'!B15</f>
        <v>Makao</v>
      </c>
      <c r="D14" s="260" t="s">
        <v>2643</v>
      </c>
      <c r="E14" s="260" t="s">
        <v>2644</v>
      </c>
      <c r="F14" s="260">
        <v>2</v>
      </c>
      <c r="G14" s="260" t="s">
        <v>3802</v>
      </c>
      <c r="H14" s="261" t="str">
        <f>'Dry_Litterbag Placem_Collection'!C15</f>
        <v>Dry_Ag2_T5</v>
      </c>
      <c r="I14" s="262" t="s">
        <v>2525</v>
      </c>
      <c r="J14" s="263" t="s">
        <v>1147</v>
      </c>
      <c r="K14" s="260" t="str">
        <f>IF(ISBLANK('Dry_Litterbag Placem_Collection'!J15),"","G"&amp;""&amp;'Dry_Litterbag Placem_Collection'!J15)</f>
        <v>G2</v>
      </c>
      <c r="L14" s="264">
        <f>IFERROR(INDEX('Green_rooibos initial weight'!$C$5:$C$2000,MATCH(K14, 'Green_rooibos initial weight'!$A$5:$A$2000,0)),"")</f>
        <v>2</v>
      </c>
      <c r="M14" s="264">
        <f>IFERROR(L14-(TBIcalc!$Q$9+TBIcalc!$Q$10),"")</f>
        <v>1.7502</v>
      </c>
      <c r="N14" s="385">
        <f>AVERAGE(Ashed_controlls!$K$2:$K$11)</f>
        <v>5.5147656768714146</v>
      </c>
      <c r="O14" s="264">
        <f t="shared" si="1"/>
        <v>1.6536805711233964</v>
      </c>
      <c r="P14" s="264">
        <f>IFERROR(INDEX('Both teabags AfterDry'!$D$2:$D$2000,MATCH(K14,'Both teabags AfterDry'!$A$2:$A$2000,0)),"")</f>
        <v>1.7587999999999999</v>
      </c>
      <c r="Q14" s="264">
        <f>IFERROR(IF(P14&gt;0,P14-(TBIcalc!$Q$9),""),"")</f>
        <v>1.6081999999999999</v>
      </c>
      <c r="R14" s="275">
        <f>IFERROR(INDEX('Ashed teabags dry'!$K$2:$K$2000,MATCH(K14,'Ashed teabags dry'!$A$2:$A$2000,0)),"")</f>
        <v>27.976482116609386</v>
      </c>
      <c r="S14" s="275">
        <f t="shared" si="2"/>
        <v>1.1582822146006877</v>
      </c>
      <c r="T14" s="265">
        <f>IF('Dry_Litterbag Placem_Collection'!E15="","",'Dry_Litterbag Placem_Collection'!E15)</f>
        <v>42938</v>
      </c>
      <c r="U14" s="265">
        <f>IF('Dry_Litterbag Placem_Collection'!G15="","",'Dry_Litterbag Placem_Collection'!G15)</f>
        <v>43007</v>
      </c>
      <c r="V14" s="266">
        <f t="shared" si="0"/>
        <v>69</v>
      </c>
      <c r="W14" s="264">
        <f t="shared" si="3"/>
        <v>0.14200000000000013</v>
      </c>
      <c r="X14" s="264">
        <f t="shared" si="4"/>
        <v>0.49539835652270869</v>
      </c>
      <c r="Y14" s="268">
        <f>IFERROR(INDEX(Rainfall_Dry!$O$2:$O$217,MATCH(B14, Rainfall_Dry!$A$2:$A$217,0)),"")</f>
        <v>6.900000125</v>
      </c>
      <c r="Z14" s="257">
        <v>21.13063730679653</v>
      </c>
      <c r="AA14" s="257">
        <v>3.0912555579081076</v>
      </c>
      <c r="AB14" s="257">
        <v>75.778107135295357</v>
      </c>
      <c r="AC14" s="258" t="s">
        <v>2654</v>
      </c>
      <c r="AD14" s="257">
        <v>4.4613109906357797</v>
      </c>
      <c r="AE14">
        <f>IF('WetLitterbags placem_collection'!AB15="","",'WetLitterbags placem_collection'!AB15)</f>
        <v>11.4</v>
      </c>
      <c r="AF14">
        <f>IF('WetLitterbags placem_collection'!Z15="","",'WetLitterbags placem_collection'!Z15)</f>
        <v>31</v>
      </c>
      <c r="AG14" s="243" t="str">
        <f>IF('WetLitterbags placem_collection'!AA15="","",'WetLitterbags placem_collection'!AA15)</f>
        <v>M</v>
      </c>
      <c r="AH14">
        <f>IF('WetLitterbags placem_collection'!AC15="","",'WetLitterbags placem_collection'!AC15)</f>
        <v>0</v>
      </c>
      <c r="AI14">
        <f>IFERROR(AVERAGE('Dry_Litterbag Placem_Collection'!O15,'Dry_Litterbag Placem_Collection'!R15),"")</f>
        <v>4.8</v>
      </c>
      <c r="AJ14" s="268">
        <f>IFERROR(AVERAGE('Dry_Litterbag Placem_Collection'!N15,'Dry_Litterbag Placem_Collection'!Q15),"")</f>
        <v>26.1</v>
      </c>
      <c r="AK14" s="267">
        <f>INDEX(Coordinates!$B$2:$B$197,MATCH(H14,Coordinates!$J$2:$J$197,0))</f>
        <v>-3.3979040199999999</v>
      </c>
      <c r="AL14" s="267">
        <f>INDEX(Coordinates!$C$2:$C$197,MATCH(H14,Coordinates!$J$2:$J$197,0))</f>
        <v>34.837027980000002</v>
      </c>
      <c r="AM14" s="267" t="str">
        <f>IF(ISNUMBER(SEARCH("C", 'Dry_Litterbag Placem_Collection'!S15)),"YES","NO")</f>
        <v>YES</v>
      </c>
      <c r="AN14" s="267" t="str">
        <f>IF(ISNUMBER(SEARCH("H", 'Dry_Litterbag Placem_Collection'!S15)),"YES","NO")</f>
        <v>NO</v>
      </c>
      <c r="AO14" s="267" t="str">
        <f>IF(ISNUMBER(SEARCH("R", 'Dry_Litterbag Placem_Collection'!S15)),"YES","NO")</f>
        <v>NO</v>
      </c>
    </row>
    <row r="15" spans="1:41">
      <c r="A15" s="259" t="s">
        <v>2643</v>
      </c>
      <c r="B15" s="260">
        <f>'Dry_Litterbag Placem_Collection'!A16</f>
        <v>14</v>
      </c>
      <c r="C15" s="260" t="str">
        <f>'Dry_Litterbag Placem_Collection'!B16</f>
        <v>Makao</v>
      </c>
      <c r="D15" s="260" t="s">
        <v>2643</v>
      </c>
      <c r="E15" s="260" t="s">
        <v>2644</v>
      </c>
      <c r="F15" s="260">
        <v>2</v>
      </c>
      <c r="G15" s="260" t="s">
        <v>3802</v>
      </c>
      <c r="H15" s="261" t="str">
        <f>'Dry_Litterbag Placem_Collection'!C16</f>
        <v>Dry_Ag2_T6</v>
      </c>
      <c r="I15" s="262" t="s">
        <v>2525</v>
      </c>
      <c r="J15" s="263" t="s">
        <v>1147</v>
      </c>
      <c r="K15" s="260" t="str">
        <f>IF(ISBLANK('Dry_Litterbag Placem_Collection'!J16),"","G"&amp;""&amp;'Dry_Litterbag Placem_Collection'!J16)</f>
        <v>G225</v>
      </c>
      <c r="L15" s="264">
        <f>IFERROR(INDEX('Green_rooibos initial weight'!$C$5:$C$2000,MATCH(K15, 'Green_rooibos initial weight'!$A$5:$A$2000,0)),"")</f>
        <v>2.117</v>
      </c>
      <c r="M15" s="264">
        <f>IFERROR(L15-(TBIcalc!$Q$9+TBIcalc!$Q$10),"")</f>
        <v>1.8672</v>
      </c>
      <c r="N15" s="385">
        <f>AVERAGE(Ashed_controlls!$K$2:$K$11)</f>
        <v>5.5147656768714146</v>
      </c>
      <c r="O15" s="264">
        <f t="shared" si="1"/>
        <v>1.764228295281457</v>
      </c>
      <c r="P15" s="264">
        <f>IFERROR(INDEX('Both teabags AfterDry'!$D$2:$D$2000,MATCH(K15,'Both teabags AfterDry'!$A$2:$A$2000,0)),"")</f>
        <v>1.25</v>
      </c>
      <c r="Q15" s="264">
        <f>IFERROR(IF(P15&gt;0,P15-(TBIcalc!$Q$9),""),"")</f>
        <v>1.0993999999999999</v>
      </c>
      <c r="R15" s="275">
        <f>IFERROR(INDEX('Ashed teabags dry'!$K$2:$K$2000,MATCH(K15,'Ashed teabags dry'!$A$2:$A$2000,0)),"")</f>
        <v>30.8701993193968</v>
      </c>
      <c r="S15" s="275">
        <f t="shared" si="2"/>
        <v>0.76001302868255149</v>
      </c>
      <c r="T15" s="265">
        <f>IF('Dry_Litterbag Placem_Collection'!E16="","",'Dry_Litterbag Placem_Collection'!E16)</f>
        <v>42938</v>
      </c>
      <c r="U15" s="265">
        <f>IF('Dry_Litterbag Placem_Collection'!G16="","",'Dry_Litterbag Placem_Collection'!G16)</f>
        <v>43007</v>
      </c>
      <c r="V15" s="266">
        <f t="shared" si="0"/>
        <v>69</v>
      </c>
      <c r="W15" s="264">
        <f t="shared" si="3"/>
        <v>0.76780000000000004</v>
      </c>
      <c r="X15" s="264">
        <f t="shared" si="4"/>
        <v>1.0042152665989055</v>
      </c>
      <c r="Y15" s="268">
        <f>IFERROR(INDEX(Rainfall_Dry!$O$2:$O$217,MATCH(B15, Rainfall_Dry!$A$2:$A$217,0)),"")</f>
        <v>6.900000125</v>
      </c>
      <c r="Z15" s="257">
        <v>21.13063730679653</v>
      </c>
      <c r="AA15" s="257">
        <v>3.0912555579081076</v>
      </c>
      <c r="AB15" s="257">
        <v>75.778107135295357</v>
      </c>
      <c r="AC15" s="258" t="s">
        <v>2654</v>
      </c>
      <c r="AD15" s="257">
        <v>5.4613109906357797</v>
      </c>
      <c r="AE15">
        <f>IF('WetLitterbags placem_collection'!AB16="","",'WetLitterbags placem_collection'!AB16)</f>
        <v>28.4</v>
      </c>
      <c r="AF15">
        <f>IF('WetLitterbags placem_collection'!Z16="","",'WetLitterbags placem_collection'!Z16)</f>
        <v>42.4</v>
      </c>
      <c r="AG15" s="243" t="str">
        <f>IF('WetLitterbags placem_collection'!AA16="","",'WetLitterbags placem_collection'!AA16)</f>
        <v>M</v>
      </c>
      <c r="AH15">
        <f>IF('WetLitterbags placem_collection'!AC16="","",'WetLitterbags placem_collection'!AC16)</f>
        <v>0</v>
      </c>
      <c r="AI15">
        <f>IFERROR(AVERAGE('Dry_Litterbag Placem_Collection'!O16,'Dry_Litterbag Placem_Collection'!R16),"")</f>
        <v>3.4</v>
      </c>
      <c r="AJ15" s="268">
        <f>IFERROR(AVERAGE('Dry_Litterbag Placem_Collection'!N16,'Dry_Litterbag Placem_Collection'!Q16),"")</f>
        <v>25.55</v>
      </c>
      <c r="AK15" s="267">
        <f>INDEX(Coordinates!$B$2:$B$197,MATCH(H15,Coordinates!$J$2:$J$197,0))</f>
        <v>-3.397854986</v>
      </c>
      <c r="AL15" s="267">
        <f>INDEX(Coordinates!$C$2:$C$197,MATCH(H15,Coordinates!$J$2:$J$197,0))</f>
        <v>34.836874010000002</v>
      </c>
      <c r="AM15" s="267" t="str">
        <f>IF(ISNUMBER(SEARCH("C", 'Dry_Litterbag Placem_Collection'!S16)),"YES","NO")</f>
        <v>NO</v>
      </c>
      <c r="AN15" s="267" t="str">
        <f>IF(ISNUMBER(SEARCH("H", 'Dry_Litterbag Placem_Collection'!S16)),"YES","NO")</f>
        <v>YES</v>
      </c>
      <c r="AO15" s="267" t="str">
        <f>IF(ISNUMBER(SEARCH("R", 'Dry_Litterbag Placem_Collection'!S16)),"YES","NO")</f>
        <v>NO</v>
      </c>
    </row>
    <row r="16" spans="1:41">
      <c r="A16" s="259" t="s">
        <v>2643</v>
      </c>
      <c r="B16" s="260">
        <f>'Dry_Litterbag Placem_Collection'!A17</f>
        <v>15</v>
      </c>
      <c r="C16" s="260" t="str">
        <f>'Dry_Litterbag Placem_Collection'!B17</f>
        <v>Makao</v>
      </c>
      <c r="D16" s="260" t="s">
        <v>2643</v>
      </c>
      <c r="E16" s="260" t="s">
        <v>2644</v>
      </c>
      <c r="F16" s="260">
        <v>2</v>
      </c>
      <c r="G16" s="260" t="s">
        <v>3802</v>
      </c>
      <c r="H16" s="261" t="str">
        <f>'Dry_Litterbag Placem_Collection'!C17</f>
        <v>Dry_Ag2_T7</v>
      </c>
      <c r="I16" s="262" t="s">
        <v>2525</v>
      </c>
      <c r="J16" s="263" t="s">
        <v>1147</v>
      </c>
      <c r="K16" s="260" t="str">
        <f>IF(ISBLANK('Dry_Litterbag Placem_Collection'!J17),"","G"&amp;""&amp;'Dry_Litterbag Placem_Collection'!J17)</f>
        <v>G444</v>
      </c>
      <c r="L16" s="264">
        <f>IFERROR(INDEX('Green_rooibos initial weight'!$C$5:$C$2000,MATCH(K16, 'Green_rooibos initial weight'!$A$5:$A$2000,0)),"")</f>
        <v>2.0259999999999998</v>
      </c>
      <c r="M16" s="264">
        <f>IFERROR(L16-(TBIcalc!$Q$9+TBIcalc!$Q$10),"")</f>
        <v>1.7761999999999998</v>
      </c>
      <c r="N16" s="385">
        <f>AVERAGE(Ashed_controlls!$K$2:$K$11)</f>
        <v>5.5147656768714146</v>
      </c>
      <c r="O16" s="264">
        <f t="shared" si="1"/>
        <v>1.6782467320474097</v>
      </c>
      <c r="P16" s="264">
        <f>IFERROR(INDEX('Both teabags AfterDry'!$D$2:$D$2000,MATCH(K16,'Both teabags AfterDry'!$A$2:$A$2000,0)),"")</f>
        <v>1.3574999999999999</v>
      </c>
      <c r="Q16" s="264">
        <f>IFERROR(IF(P16&gt;0,P16-(TBIcalc!$Q$9),""),"")</f>
        <v>1.2068999999999999</v>
      </c>
      <c r="R16" s="275">
        <f>IFERROR(INDEX('Ashed teabags dry'!$K$2:$K$2000,MATCH(K16,'Ashed teabags dry'!$A$2:$A$2000,0)),"")</f>
        <v>10.790345480359514</v>
      </c>
      <c r="S16" s="275">
        <f t="shared" si="2"/>
        <v>1.0766713203975409</v>
      </c>
      <c r="T16" s="265">
        <f>IF('Dry_Litterbag Placem_Collection'!E17="","",'Dry_Litterbag Placem_Collection'!E17)</f>
        <v>42938</v>
      </c>
      <c r="U16" s="265">
        <f>IF('Dry_Litterbag Placem_Collection'!G17="","",'Dry_Litterbag Placem_Collection'!G17)</f>
        <v>43007</v>
      </c>
      <c r="V16" s="266">
        <f t="shared" si="0"/>
        <v>69</v>
      </c>
      <c r="W16" s="264">
        <f t="shared" si="3"/>
        <v>0.56929999999999992</v>
      </c>
      <c r="X16" s="264">
        <f t="shared" si="4"/>
        <v>0.60157541164986883</v>
      </c>
      <c r="Y16" s="268">
        <f>IFERROR(INDEX(Rainfall_Dry!$O$2:$O$217,MATCH(B16, Rainfall_Dry!$A$2:$A$217,0)),"")</f>
        <v>6.900000125</v>
      </c>
      <c r="Z16" s="257">
        <v>21.13063730679653</v>
      </c>
      <c r="AA16" s="257">
        <v>3.0912555579081076</v>
      </c>
      <c r="AB16" s="257">
        <v>75.778107135295357</v>
      </c>
      <c r="AC16" s="258" t="s">
        <v>2654</v>
      </c>
      <c r="AD16" s="257">
        <v>6.4613109906357797</v>
      </c>
      <c r="AE16">
        <f>IF('WetLitterbags placem_collection'!AB17="","",'WetLitterbags placem_collection'!AB17)</f>
        <v>15.8</v>
      </c>
      <c r="AF16">
        <f>IF('WetLitterbags placem_collection'!Z17="","",'WetLitterbags placem_collection'!Z17)</f>
        <v>30.4</v>
      </c>
      <c r="AG16" s="243" t="str">
        <f>IF('WetLitterbags placem_collection'!AA17="","",'WetLitterbags placem_collection'!AA17)</f>
        <v>M</v>
      </c>
      <c r="AH16">
        <f>IF('WetLitterbags placem_collection'!AC17="","",'WetLitterbags placem_collection'!AC17)</f>
        <v>0</v>
      </c>
      <c r="AI16">
        <f>IFERROR(AVERAGE('Dry_Litterbag Placem_Collection'!O17,'Dry_Litterbag Placem_Collection'!R17),"")</f>
        <v>3.0999999999999996</v>
      </c>
      <c r="AJ16" s="268">
        <f>IFERROR(AVERAGE('Dry_Litterbag Placem_Collection'!N17,'Dry_Litterbag Placem_Collection'!Q17),"")</f>
        <v>28</v>
      </c>
      <c r="AK16" s="267">
        <f>INDEX(Coordinates!$B$2:$B$197,MATCH(H16,Coordinates!$J$2:$J$197,0))</f>
        <v>-3.3978060349999999</v>
      </c>
      <c r="AL16" s="267">
        <f>INDEX(Coordinates!$C$2:$C$197,MATCH(H16,Coordinates!$J$2:$J$197,0))</f>
        <v>34.837023960000003</v>
      </c>
      <c r="AM16" s="267" t="str">
        <f>IF(ISNUMBER(SEARCH("C", 'Dry_Litterbag Placem_Collection'!S17)),"YES","NO")</f>
        <v>YES</v>
      </c>
      <c r="AN16" s="267" t="str">
        <f>IF(ISNUMBER(SEARCH("H", 'Dry_Litterbag Placem_Collection'!S17)),"YES","NO")</f>
        <v>YES</v>
      </c>
      <c r="AO16" s="267" t="str">
        <f>IF(ISNUMBER(SEARCH("R", 'Dry_Litterbag Placem_Collection'!S17)),"YES","NO")</f>
        <v>NO</v>
      </c>
    </row>
    <row r="17" spans="1:41">
      <c r="A17" s="259" t="s">
        <v>2643</v>
      </c>
      <c r="B17" s="260">
        <f>'Dry_Litterbag Placem_Collection'!A18</f>
        <v>16</v>
      </c>
      <c r="C17" s="260" t="str">
        <f>'Dry_Litterbag Placem_Collection'!B18</f>
        <v>Makao</v>
      </c>
      <c r="D17" s="260" t="s">
        <v>2643</v>
      </c>
      <c r="E17" s="260" t="s">
        <v>2644</v>
      </c>
      <c r="F17" s="260">
        <v>2</v>
      </c>
      <c r="G17" s="260" t="s">
        <v>3802</v>
      </c>
      <c r="H17" s="261" t="str">
        <f>'Dry_Litterbag Placem_Collection'!C18</f>
        <v>Dry_Ag2_T8</v>
      </c>
      <c r="I17" s="262" t="s">
        <v>2525</v>
      </c>
      <c r="J17" s="263" t="s">
        <v>1147</v>
      </c>
      <c r="K17" s="260" t="str">
        <f>IF(ISBLANK('Dry_Litterbag Placem_Collection'!J18),"","G"&amp;""&amp;'Dry_Litterbag Placem_Collection'!J18)</f>
        <v>G376</v>
      </c>
      <c r="L17" s="264">
        <f>IFERROR(INDEX('Green_rooibos initial weight'!$C$5:$C$2000,MATCH(K17, 'Green_rooibos initial weight'!$A$5:$A$2000,0)),"")</f>
        <v>2.0329999999999999</v>
      </c>
      <c r="M17" s="264">
        <f>IFERROR(L17-(TBIcalc!$Q$9+TBIcalc!$Q$10),"")</f>
        <v>1.7831999999999999</v>
      </c>
      <c r="N17" s="385">
        <f>AVERAGE(Ashed_controlls!$K$2:$K$11)</f>
        <v>5.5147656768714146</v>
      </c>
      <c r="O17" s="264">
        <f t="shared" si="1"/>
        <v>1.6848606984500289</v>
      </c>
      <c r="P17" s="264" t="str">
        <f>IFERROR(INDEX('Both teabags AfterDry'!$D$2:$D$2000,MATCH(K17,'Both teabags AfterDry'!$A$2:$A$2000,0)),"")</f>
        <v/>
      </c>
      <c r="Q17" s="264" t="str">
        <f>IFERROR(IF(P17&gt;0,P17-(TBIcalc!$Q$9),""),"")</f>
        <v/>
      </c>
      <c r="R17" s="275" t="str">
        <f>IFERROR(INDEX('Ashed teabags dry'!$K$2:$K$2000,MATCH(K17,'Ashed teabags dry'!$A$2:$A$2000,0)),"")</f>
        <v/>
      </c>
      <c r="S17" s="275" t="str">
        <f t="shared" si="2"/>
        <v/>
      </c>
      <c r="T17" s="265">
        <f>IF('Dry_Litterbag Placem_Collection'!E18="","",'Dry_Litterbag Placem_Collection'!E18)</f>
        <v>42938</v>
      </c>
      <c r="U17" s="265">
        <f>IF('Dry_Litterbag Placem_Collection'!G18="","",'Dry_Litterbag Placem_Collection'!G18)</f>
        <v>43007</v>
      </c>
      <c r="V17" s="266">
        <f t="shared" si="0"/>
        <v>69</v>
      </c>
      <c r="W17" s="264" t="str">
        <f t="shared" si="3"/>
        <v/>
      </c>
      <c r="X17" s="264" t="str">
        <f t="shared" si="4"/>
        <v/>
      </c>
      <c r="Y17" s="268">
        <f>IFERROR(INDEX(Rainfall_Dry!$O$2:$O$217,MATCH(B17, Rainfall_Dry!$A$2:$A$217,0)),"")</f>
        <v>6.900000125</v>
      </c>
      <c r="Z17" s="257">
        <v>21.13063730679653</v>
      </c>
      <c r="AA17" s="257">
        <v>3.0912555579081076</v>
      </c>
      <c r="AB17" s="257">
        <v>75.778107135295357</v>
      </c>
      <c r="AC17" s="258" t="s">
        <v>2654</v>
      </c>
      <c r="AD17" s="257">
        <v>7.4613109906357797</v>
      </c>
      <c r="AE17">
        <f>IF('WetLitterbags placem_collection'!AB18="","",'WetLitterbags placem_collection'!AB18)</f>
        <v>8</v>
      </c>
      <c r="AF17">
        <f>IF('WetLitterbags placem_collection'!Z18="","",'WetLitterbags placem_collection'!Z18)</f>
        <v>12.4</v>
      </c>
      <c r="AG17" s="243" t="str">
        <f>IF('WetLitterbags placem_collection'!AA18="","",'WetLitterbags placem_collection'!AA18)</f>
        <v>M</v>
      </c>
      <c r="AH17">
        <f>IF('WetLitterbags placem_collection'!AC18="","",'WetLitterbags placem_collection'!AC18)</f>
        <v>0</v>
      </c>
      <c r="AI17">
        <f>IFERROR(AVERAGE('Dry_Litterbag Placem_Collection'!O18,'Dry_Litterbag Placem_Collection'!R18),"")</f>
        <v>9.1999999999999993</v>
      </c>
      <c r="AJ17" s="268">
        <f>IFERROR(AVERAGE('Dry_Litterbag Placem_Collection'!N18,'Dry_Litterbag Placem_Collection'!Q18),"")</f>
        <v>27.049999999999997</v>
      </c>
      <c r="AK17" s="267">
        <f>INDEX(Coordinates!$B$2:$B$197,MATCH(H17,Coordinates!$J$2:$J$197,0))</f>
        <v>-3.3977669760000002</v>
      </c>
      <c r="AL17" s="267">
        <f>INDEX(Coordinates!$C$2:$C$197,MATCH(H17,Coordinates!$J$2:$J$197,0))</f>
        <v>34.837181039999997</v>
      </c>
      <c r="AM17" s="267" t="str">
        <f>IF(ISNUMBER(SEARCH("C", 'Dry_Litterbag Placem_Collection'!S18)),"YES","NO")</f>
        <v>YES</v>
      </c>
      <c r="AN17" s="267" t="str">
        <f>IF(ISNUMBER(SEARCH("H", 'Dry_Litterbag Placem_Collection'!S18)),"YES","NO")</f>
        <v>YES</v>
      </c>
      <c r="AO17" s="267" t="str">
        <f>IF(ISNUMBER(SEARCH("R", 'Dry_Litterbag Placem_Collection'!S18)),"YES","NO")</f>
        <v>NO</v>
      </c>
    </row>
    <row r="18" spans="1:41">
      <c r="A18" s="259" t="s">
        <v>2643</v>
      </c>
      <c r="B18" s="260">
        <f>'Dry_Litterbag Placem_Collection'!A19</f>
        <v>17</v>
      </c>
      <c r="C18" s="260" t="str">
        <f>'Dry_Litterbag Placem_Collection'!B19</f>
        <v>Makao</v>
      </c>
      <c r="D18" s="260" t="s">
        <v>2643</v>
      </c>
      <c r="E18" s="260" t="s">
        <v>2644</v>
      </c>
      <c r="F18" s="260">
        <v>3</v>
      </c>
      <c r="G18" s="260" t="s">
        <v>3803</v>
      </c>
      <c r="H18" s="261" t="str">
        <f>'Dry_Litterbag Placem_Collection'!C19</f>
        <v>Dry_Ag3_T1</v>
      </c>
      <c r="I18" s="262" t="s">
        <v>2525</v>
      </c>
      <c r="J18" s="263" t="s">
        <v>1147</v>
      </c>
      <c r="K18" s="260" t="str">
        <f>IF(ISBLANK('Dry_Litterbag Placem_Collection'!J19),"","G"&amp;""&amp;'Dry_Litterbag Placem_Collection'!J19)</f>
        <v>G209</v>
      </c>
      <c r="L18" s="264">
        <f>IFERROR(INDEX('Green_rooibos initial weight'!$C$5:$C$2000,MATCH(K18, 'Green_rooibos initial weight'!$A$5:$A$2000,0)),"")</f>
        <v>2.1160000000000001</v>
      </c>
      <c r="M18" s="264">
        <f>IFERROR(L18-(TBIcalc!$Q$9+TBIcalc!$Q$10),"")</f>
        <v>1.8662000000000001</v>
      </c>
      <c r="N18" s="385">
        <f>AVERAGE(Ashed_controlls!$K$2:$K$11)</f>
        <v>5.5147656768714146</v>
      </c>
      <c r="O18" s="264">
        <f t="shared" si="1"/>
        <v>1.7632834429382258</v>
      </c>
      <c r="P18" s="264">
        <f>IFERROR(INDEX('Both teabags AfterDry'!$D$2:$D$2000,MATCH(K18,'Both teabags AfterDry'!$A$2:$A$2000,0)),"")</f>
        <v>1.9087000000000001</v>
      </c>
      <c r="Q18" s="264">
        <f>IFERROR(IF(P18&gt;0,P18-(TBIcalc!$Q$9),""),"")</f>
        <v>1.7581</v>
      </c>
      <c r="R18" s="275">
        <f>IFERROR(INDEX('Ashed teabags dry'!$K$2:$K$2000,MATCH(K18,'Ashed teabags dry'!$A$2:$A$2000,0)),"")</f>
        <v>5.4283290924516674</v>
      </c>
      <c r="S18" s="275">
        <f t="shared" si="2"/>
        <v>1.6626645462256073</v>
      </c>
      <c r="T18" s="265">
        <f>IF('Dry_Litterbag Placem_Collection'!E19="","",'Dry_Litterbag Placem_Collection'!E19)</f>
        <v>42936</v>
      </c>
      <c r="U18" s="265">
        <f>IF('Dry_Litterbag Placem_Collection'!G19="","",'Dry_Litterbag Placem_Collection'!G19)</f>
        <v>43007</v>
      </c>
      <c r="V18" s="266">
        <f t="shared" si="0"/>
        <v>71</v>
      </c>
      <c r="W18" s="264">
        <f t="shared" si="3"/>
        <v>0.10810000000000008</v>
      </c>
      <c r="X18" s="264">
        <f t="shared" si="4"/>
        <v>0.10061889671261848</v>
      </c>
      <c r="Y18" s="268">
        <f>IFERROR(INDEX(Rainfall_Dry!$O$2:$O$217,MATCH(B18, Rainfall_Dry!$A$2:$A$217,0)),"")</f>
        <v>6.900000125</v>
      </c>
      <c r="Z18" s="257">
        <v>54.080969906906262</v>
      </c>
      <c r="AA18" s="257">
        <v>21.264484651351896</v>
      </c>
      <c r="AB18" s="257">
        <v>24.654545441741845</v>
      </c>
      <c r="AC18" s="258" t="s">
        <v>2657</v>
      </c>
      <c r="AD18" s="257">
        <v>1.8433218334154755</v>
      </c>
      <c r="AE18" t="str">
        <f>IF('WetLitterbags placem_collection'!AB19="","",'WetLitterbags placem_collection'!AB19)</f>
        <v/>
      </c>
      <c r="AF18" t="str">
        <f>IF('WetLitterbags placem_collection'!Z19="","",'WetLitterbags placem_collection'!Z19)</f>
        <v/>
      </c>
      <c r="AG18" s="243" t="str">
        <f>IF('WetLitterbags placem_collection'!AA19="","",'WetLitterbags placem_collection'!AA19)</f>
        <v/>
      </c>
      <c r="AH18" t="str">
        <f>IF('WetLitterbags placem_collection'!AC19="","",'WetLitterbags placem_collection'!AC19)</f>
        <v/>
      </c>
      <c r="AI18">
        <f>IFERROR(AVERAGE('Dry_Litterbag Placem_Collection'!O19,'Dry_Litterbag Placem_Collection'!R19),"")</f>
        <v>12.9</v>
      </c>
      <c r="AJ18" s="268">
        <f>IFERROR(AVERAGE('Dry_Litterbag Placem_Collection'!N19,'Dry_Litterbag Placem_Collection'!Q19),"")</f>
        <v>26.2</v>
      </c>
      <c r="AK18" s="267">
        <f>INDEX(Coordinates!$B$2:$B$197,MATCH(H18,Coordinates!$J$2:$J$197,0))</f>
        <v>-3.3854090330000002</v>
      </c>
      <c r="AL18" s="267">
        <f>INDEX(Coordinates!$C$2:$C$197,MATCH(H18,Coordinates!$J$2:$J$197,0))</f>
        <v>34.818901029999999</v>
      </c>
      <c r="AM18" s="267" t="str">
        <f>IF(ISNUMBER(SEARCH("C", 'Dry_Litterbag Placem_Collection'!S19)),"YES","NO")</f>
        <v>NO</v>
      </c>
      <c r="AN18" s="267" t="str">
        <f>IF(ISNUMBER(SEARCH("H", 'Dry_Litterbag Placem_Collection'!S19)),"YES","NO")</f>
        <v>NO</v>
      </c>
      <c r="AO18" s="267" t="str">
        <f>IF(ISNUMBER(SEARCH("R", 'Dry_Litterbag Placem_Collection'!S19)),"YES","NO")</f>
        <v>NO</v>
      </c>
    </row>
    <row r="19" spans="1:41">
      <c r="A19" s="259" t="s">
        <v>2643</v>
      </c>
      <c r="B19" s="260">
        <f>'Dry_Litterbag Placem_Collection'!A20</f>
        <v>18</v>
      </c>
      <c r="C19" s="260" t="str">
        <f>'Dry_Litterbag Placem_Collection'!B20</f>
        <v>Makao</v>
      </c>
      <c r="D19" s="260" t="s">
        <v>2643</v>
      </c>
      <c r="E19" s="260" t="s">
        <v>2644</v>
      </c>
      <c r="F19" s="260">
        <v>3</v>
      </c>
      <c r="G19" s="260" t="s">
        <v>3803</v>
      </c>
      <c r="H19" s="261" t="str">
        <f>'Dry_Litterbag Placem_Collection'!C20</f>
        <v>Dry_Ag3_T2</v>
      </c>
      <c r="I19" s="262" t="s">
        <v>2525</v>
      </c>
      <c r="J19" s="263" t="s">
        <v>1147</v>
      </c>
      <c r="K19" s="260" t="str">
        <f>IF(ISBLANK('Dry_Litterbag Placem_Collection'!J20),"","G"&amp;""&amp;'Dry_Litterbag Placem_Collection'!J20)</f>
        <v>G10</v>
      </c>
      <c r="L19" s="264">
        <f>IFERROR(INDEX('Green_rooibos initial weight'!$C$5:$C$2000,MATCH(K19, 'Green_rooibos initial weight'!$A$5:$A$2000,0)),"")</f>
        <v>1.9710000000000001</v>
      </c>
      <c r="M19" s="264">
        <f>IFERROR(L19-(TBIcalc!$Q$9+TBIcalc!$Q$10),"")</f>
        <v>1.7212000000000001</v>
      </c>
      <c r="N19" s="385">
        <f>AVERAGE(Ashed_controlls!$K$2:$K$11)</f>
        <v>5.5147656768714146</v>
      </c>
      <c r="O19" s="264">
        <f t="shared" si="1"/>
        <v>1.6262798531696894</v>
      </c>
      <c r="P19" s="264">
        <f>IFERROR(INDEX('Both teabags AfterDry'!$D$2:$D$2000,MATCH(K19,'Both teabags AfterDry'!$A$2:$A$2000,0)),"")</f>
        <v>1.7706999999999999</v>
      </c>
      <c r="Q19" s="264">
        <f>IFERROR(IF(P19&gt;0,P19-(TBIcalc!$Q$9),""),"")</f>
        <v>1.6200999999999999</v>
      </c>
      <c r="R19" s="275">
        <f>IFERROR(INDEX('Ashed teabags dry'!$K$2:$K$2000,MATCH(K19,'Ashed teabags dry'!$A$2:$A$2000,0)),"")</f>
        <v>5.8337384540594233</v>
      </c>
      <c r="S19" s="275">
        <f t="shared" si="2"/>
        <v>1.5255876033057831</v>
      </c>
      <c r="T19" s="265">
        <f>IF('Dry_Litterbag Placem_Collection'!E20="","",'Dry_Litterbag Placem_Collection'!E20)</f>
        <v>42936</v>
      </c>
      <c r="U19" s="265">
        <f>IF('Dry_Litterbag Placem_Collection'!G20="","",'Dry_Litterbag Placem_Collection'!G20)</f>
        <v>43007</v>
      </c>
      <c r="V19" s="266">
        <f t="shared" si="0"/>
        <v>71</v>
      </c>
      <c r="W19" s="264">
        <f t="shared" si="3"/>
        <v>0.10110000000000019</v>
      </c>
      <c r="X19" s="264">
        <f t="shared" si="4"/>
        <v>0.10069224986390624</v>
      </c>
      <c r="Y19" s="268">
        <f>IFERROR(INDEX(Rainfall_Dry!$O$2:$O$217,MATCH(B19, Rainfall_Dry!$A$2:$A$217,0)),"")</f>
        <v>6.900000125</v>
      </c>
      <c r="Z19" s="257">
        <v>54.080969906906262</v>
      </c>
      <c r="AA19" s="257">
        <v>21.264484651351896</v>
      </c>
      <c r="AB19" s="257">
        <v>24.654545441741845</v>
      </c>
      <c r="AC19" s="258" t="s">
        <v>2657</v>
      </c>
      <c r="AD19" s="257">
        <v>2.8433218334154802</v>
      </c>
      <c r="AE19" t="str">
        <f>IF('WetLitterbags placem_collection'!AB20="","",'WetLitterbags placem_collection'!AB20)</f>
        <v/>
      </c>
      <c r="AF19" t="str">
        <f>IF('WetLitterbags placem_collection'!Z20="","",'WetLitterbags placem_collection'!Z20)</f>
        <v/>
      </c>
      <c r="AG19" s="243" t="str">
        <f>IF('WetLitterbags placem_collection'!AA20="","",'WetLitterbags placem_collection'!AA20)</f>
        <v/>
      </c>
      <c r="AH19" t="str">
        <f>IF('WetLitterbags placem_collection'!AC20="","",'WetLitterbags placem_collection'!AC20)</f>
        <v/>
      </c>
      <c r="AI19">
        <f>IFERROR(AVERAGE('Dry_Litterbag Placem_Collection'!O20,'Dry_Litterbag Placem_Collection'!R20),"")</f>
        <v>11.15</v>
      </c>
      <c r="AJ19" s="268">
        <f>IFERROR(AVERAGE('Dry_Litterbag Placem_Collection'!N20,'Dry_Litterbag Placem_Collection'!Q20),"")</f>
        <v>26.1</v>
      </c>
      <c r="AK19" s="267">
        <f>INDEX(Coordinates!$B$2:$B$197,MATCH(H19,Coordinates!$J$2:$J$197,0))</f>
        <v>-3.385375002</v>
      </c>
      <c r="AL19" s="267">
        <f>INDEX(Coordinates!$C$2:$C$197,MATCH(H19,Coordinates!$J$2:$J$197,0))</f>
        <v>34.818939999999998</v>
      </c>
      <c r="AM19" s="267" t="str">
        <f>IF(ISNUMBER(SEARCH("C", 'Dry_Litterbag Placem_Collection'!S20)),"YES","NO")</f>
        <v>NO</v>
      </c>
      <c r="AN19" s="267" t="str">
        <f>IF(ISNUMBER(SEARCH("H", 'Dry_Litterbag Placem_Collection'!S20)),"YES","NO")</f>
        <v>NO</v>
      </c>
      <c r="AO19" s="267" t="str">
        <f>IF(ISNUMBER(SEARCH("R", 'Dry_Litterbag Placem_Collection'!S20)),"YES","NO")</f>
        <v>NO</v>
      </c>
    </row>
    <row r="20" spans="1:41">
      <c r="A20" s="259" t="s">
        <v>2643</v>
      </c>
      <c r="B20" s="260">
        <f>'Dry_Litterbag Placem_Collection'!A21</f>
        <v>19</v>
      </c>
      <c r="C20" s="260" t="str">
        <f>'Dry_Litterbag Placem_Collection'!B21</f>
        <v>Makao</v>
      </c>
      <c r="D20" s="260" t="s">
        <v>2643</v>
      </c>
      <c r="E20" s="260" t="s">
        <v>2644</v>
      </c>
      <c r="F20" s="260">
        <v>3</v>
      </c>
      <c r="G20" s="260" t="s">
        <v>3803</v>
      </c>
      <c r="H20" s="261" t="str">
        <f>'Dry_Litterbag Placem_Collection'!C21</f>
        <v>Dry_Ag3_T3</v>
      </c>
      <c r="I20" s="262" t="s">
        <v>2525</v>
      </c>
      <c r="J20" s="263" t="s">
        <v>1147</v>
      </c>
      <c r="K20" s="260" t="str">
        <f>IF(ISBLANK('Dry_Litterbag Placem_Collection'!J21),"","G"&amp;""&amp;'Dry_Litterbag Placem_Collection'!J21)</f>
        <v>G190</v>
      </c>
      <c r="L20" s="264">
        <f>IFERROR(INDEX('Green_rooibos initial weight'!$C$5:$C$2000,MATCH(K20, 'Green_rooibos initial weight'!$A$5:$A$2000,0)),"")</f>
        <v>1.909</v>
      </c>
      <c r="M20" s="264">
        <f>IFERROR(L20-(TBIcalc!$Q$9+TBIcalc!$Q$10),"")</f>
        <v>1.6592</v>
      </c>
      <c r="N20" s="385">
        <f>AVERAGE(Ashed_controlls!$K$2:$K$11)</f>
        <v>5.5147656768714146</v>
      </c>
      <c r="O20" s="264">
        <f t="shared" si="1"/>
        <v>1.5676990078893496</v>
      </c>
      <c r="P20" s="264">
        <f>IFERROR(INDEX('Both teabags AfterDry'!$D$2:$D$2000,MATCH(K20,'Both teabags AfterDry'!$A$2:$A$2000,0)),"")</f>
        <v>1.7041999999999999</v>
      </c>
      <c r="Q20" s="264">
        <f>IFERROR(IF(P20&gt;0,P20-(TBIcalc!$Q$9),""),"")</f>
        <v>1.5535999999999999</v>
      </c>
      <c r="R20" s="275">
        <f>IFERROR(INDEX('Ashed teabags dry'!$K$2:$K$2000,MATCH(K20,'Ashed teabags dry'!$A$2:$A$2000,0)),"")</f>
        <v>6.0311284046705405</v>
      </c>
      <c r="S20" s="275">
        <f t="shared" si="2"/>
        <v>1.4599003891050384</v>
      </c>
      <c r="T20" s="265">
        <f>IF('Dry_Litterbag Placem_Collection'!E21="","",'Dry_Litterbag Placem_Collection'!E21)</f>
        <v>42936</v>
      </c>
      <c r="U20" s="265">
        <f>IF('Dry_Litterbag Placem_Collection'!G21="","",'Dry_Litterbag Placem_Collection'!G21)</f>
        <v>43007</v>
      </c>
      <c r="V20" s="266">
        <f t="shared" si="0"/>
        <v>71</v>
      </c>
      <c r="W20" s="264">
        <f t="shared" si="3"/>
        <v>0.10560000000000014</v>
      </c>
      <c r="X20" s="264">
        <f t="shared" si="4"/>
        <v>0.10779861878431118</v>
      </c>
      <c r="Y20" s="268">
        <f>IFERROR(INDEX(Rainfall_Dry!$O$2:$O$217,MATCH(B20, Rainfall_Dry!$A$2:$A$217,0)),"")</f>
        <v>6.900000125</v>
      </c>
      <c r="Z20" s="257">
        <v>54.080969906906262</v>
      </c>
      <c r="AA20" s="257">
        <v>21.264484651351896</v>
      </c>
      <c r="AB20" s="257">
        <v>24.654545441741845</v>
      </c>
      <c r="AC20" s="258" t="s">
        <v>2657</v>
      </c>
      <c r="AD20" s="257">
        <v>3.8433218334154802</v>
      </c>
      <c r="AE20" t="str">
        <f>IF('WetLitterbags placem_collection'!AB21="","",'WetLitterbags placem_collection'!AB21)</f>
        <v/>
      </c>
      <c r="AF20" t="str">
        <f>IF('WetLitterbags placem_collection'!Z21="","",'WetLitterbags placem_collection'!Z21)</f>
        <v/>
      </c>
      <c r="AG20" s="243" t="str">
        <f>IF('WetLitterbags placem_collection'!AA21="","",'WetLitterbags placem_collection'!AA21)</f>
        <v/>
      </c>
      <c r="AH20" t="str">
        <f>IF('WetLitterbags placem_collection'!AC21="","",'WetLitterbags placem_collection'!AC21)</f>
        <v/>
      </c>
      <c r="AI20">
        <f>IFERROR(AVERAGE('Dry_Litterbag Placem_Collection'!O21,'Dry_Litterbag Placem_Collection'!R21),"")</f>
        <v>15.75</v>
      </c>
      <c r="AJ20" s="268">
        <f>IFERROR(AVERAGE('Dry_Litterbag Placem_Collection'!N21,'Dry_Litterbag Placem_Collection'!Q21),"")</f>
        <v>25.700000000000003</v>
      </c>
      <c r="AK20" s="267">
        <f>INDEX(Coordinates!$B$2:$B$197,MATCH(H20,Coordinates!$J$2:$J$197,0))</f>
        <v>-3.3853589930000001</v>
      </c>
      <c r="AL20" s="267">
        <f>INDEX(Coordinates!$C$2:$C$197,MATCH(H20,Coordinates!$J$2:$J$197,0))</f>
        <v>34.818991969999999</v>
      </c>
      <c r="AM20" s="267" t="str">
        <f>IF(ISNUMBER(SEARCH("C", 'Dry_Litterbag Placem_Collection'!S21)),"YES","NO")</f>
        <v>NO</v>
      </c>
      <c r="AN20" s="267" t="str">
        <f>IF(ISNUMBER(SEARCH("H", 'Dry_Litterbag Placem_Collection'!S21)),"YES","NO")</f>
        <v>YES</v>
      </c>
      <c r="AO20" s="267" t="str">
        <f>IF(ISNUMBER(SEARCH("R", 'Dry_Litterbag Placem_Collection'!S21)),"YES","NO")</f>
        <v>NO</v>
      </c>
    </row>
    <row r="21" spans="1:41">
      <c r="A21" s="259" t="s">
        <v>2643</v>
      </c>
      <c r="B21" s="260">
        <f>'Dry_Litterbag Placem_Collection'!A22</f>
        <v>20</v>
      </c>
      <c r="C21" s="260" t="str">
        <f>'Dry_Litterbag Placem_Collection'!B22</f>
        <v>Makao</v>
      </c>
      <c r="D21" s="260" t="s">
        <v>2643</v>
      </c>
      <c r="E21" s="260" t="s">
        <v>2644</v>
      </c>
      <c r="F21" s="260">
        <v>3</v>
      </c>
      <c r="G21" s="260" t="s">
        <v>3803</v>
      </c>
      <c r="H21" s="261" t="str">
        <f>'Dry_Litterbag Placem_Collection'!C22</f>
        <v>Dry_Ag3_T4</v>
      </c>
      <c r="I21" s="262" t="s">
        <v>2525</v>
      </c>
      <c r="J21" s="263" t="s">
        <v>1147</v>
      </c>
      <c r="K21" s="260" t="str">
        <f>IF(ISBLANK('Dry_Litterbag Placem_Collection'!J22),"","G"&amp;""&amp;'Dry_Litterbag Placem_Collection'!J22)</f>
        <v>G38</v>
      </c>
      <c r="L21" s="264">
        <f>IFERROR(INDEX('Green_rooibos initial weight'!$C$5:$C$2000,MATCH(K21, 'Green_rooibos initial weight'!$A$5:$A$2000,0)),"")</f>
        <v>1.93</v>
      </c>
      <c r="M21" s="264">
        <f>IFERROR(L21-(TBIcalc!$Q$9+TBIcalc!$Q$10),"")</f>
        <v>1.6801999999999999</v>
      </c>
      <c r="N21" s="385">
        <f>AVERAGE(Ashed_controlls!$K$2:$K$11)</f>
        <v>5.5147656768714146</v>
      </c>
      <c r="O21" s="264">
        <f t="shared" si="1"/>
        <v>1.5875409070972064</v>
      </c>
      <c r="P21" s="264">
        <f>IFERROR(INDEX('Both teabags AfterDry'!$D$2:$D$2000,MATCH(K21,'Both teabags AfterDry'!$A$2:$A$2000,0)),"")</f>
        <v>1.6738</v>
      </c>
      <c r="Q21" s="264">
        <f>IFERROR(IF(P21&gt;0,P21-(TBIcalc!$Q$9),""),"")</f>
        <v>1.5231999999999999</v>
      </c>
      <c r="R21" s="275">
        <f>IFERROR(INDEX('Ashed teabags dry'!$K$2:$K$2000,MATCH(K21,'Ashed teabags dry'!$A$2:$A$2000,0)),"")</f>
        <v>6.723084156088639</v>
      </c>
      <c r="S21" s="275">
        <f t="shared" si="2"/>
        <v>1.4207939821344577</v>
      </c>
      <c r="T21" s="265">
        <f>IF('Dry_Litterbag Placem_Collection'!E22="","",'Dry_Litterbag Placem_Collection'!E22)</f>
        <v>42936</v>
      </c>
      <c r="U21" s="265">
        <f>IF('Dry_Litterbag Placem_Collection'!G22="","",'Dry_Litterbag Placem_Collection'!G22)</f>
        <v>43007</v>
      </c>
      <c r="V21" s="266">
        <f t="shared" si="0"/>
        <v>71</v>
      </c>
      <c r="W21" s="264">
        <f t="shared" si="3"/>
        <v>0.15700000000000003</v>
      </c>
      <c r="X21" s="264">
        <f t="shared" si="4"/>
        <v>0.16674692496274868</v>
      </c>
      <c r="Y21" s="268">
        <f>IFERROR(INDEX(Rainfall_Dry!$O$2:$O$217,MATCH(B21, Rainfall_Dry!$A$2:$A$217,0)),"")</f>
        <v>6.900000125</v>
      </c>
      <c r="Z21" s="257">
        <v>54.080969906906262</v>
      </c>
      <c r="AA21" s="257">
        <v>21.264484651351896</v>
      </c>
      <c r="AB21" s="257">
        <v>24.654545441741845</v>
      </c>
      <c r="AC21" s="258" t="s">
        <v>2657</v>
      </c>
      <c r="AD21" s="257">
        <v>4.8433218334154802</v>
      </c>
      <c r="AE21" t="str">
        <f>IF('WetLitterbags placem_collection'!AB22="","",'WetLitterbags placem_collection'!AB22)</f>
        <v/>
      </c>
      <c r="AF21" t="str">
        <f>IF('WetLitterbags placem_collection'!Z22="","",'WetLitterbags placem_collection'!Z22)</f>
        <v/>
      </c>
      <c r="AG21" s="243" t="str">
        <f>IF('WetLitterbags placem_collection'!AA22="","",'WetLitterbags placem_collection'!AA22)</f>
        <v/>
      </c>
      <c r="AH21" t="str">
        <f>IF('WetLitterbags placem_collection'!AC22="","",'WetLitterbags placem_collection'!AC22)</f>
        <v/>
      </c>
      <c r="AI21">
        <f>IFERROR(AVERAGE('Dry_Litterbag Placem_Collection'!O22,'Dry_Litterbag Placem_Collection'!R22),"")</f>
        <v>16</v>
      </c>
      <c r="AJ21" s="268">
        <f>IFERROR(AVERAGE('Dry_Litterbag Placem_Collection'!N22,'Dry_Litterbag Placem_Collection'!Q22),"")</f>
        <v>26.3</v>
      </c>
      <c r="AK21" s="267">
        <f>INDEX(Coordinates!$B$2:$B$197,MATCH(H21,Coordinates!$J$2:$J$197,0))</f>
        <v>-3.3853969629999998</v>
      </c>
      <c r="AL21" s="267">
        <f>INDEX(Coordinates!$C$2:$C$197,MATCH(H21,Coordinates!$J$2:$J$197,0))</f>
        <v>34.818977969999999</v>
      </c>
      <c r="AM21" s="267" t="str">
        <f>IF(ISNUMBER(SEARCH("C", 'Dry_Litterbag Placem_Collection'!S22)),"YES","NO")</f>
        <v>NO</v>
      </c>
      <c r="AN21" s="267" t="str">
        <f>IF(ISNUMBER(SEARCH("H", 'Dry_Litterbag Placem_Collection'!S22)),"YES","NO")</f>
        <v>YES</v>
      </c>
      <c r="AO21" s="267" t="str">
        <f>IF(ISNUMBER(SEARCH("R", 'Dry_Litterbag Placem_Collection'!S22)),"YES","NO")</f>
        <v>NO</v>
      </c>
    </row>
    <row r="22" spans="1:41">
      <c r="A22" s="259" t="s">
        <v>2643</v>
      </c>
      <c r="B22" s="260">
        <f>'Dry_Litterbag Placem_Collection'!A23</f>
        <v>21</v>
      </c>
      <c r="C22" s="260" t="str">
        <f>'Dry_Litterbag Placem_Collection'!B23</f>
        <v>Makao</v>
      </c>
      <c r="D22" s="260" t="s">
        <v>2643</v>
      </c>
      <c r="E22" s="260" t="s">
        <v>2644</v>
      </c>
      <c r="F22" s="260">
        <v>3</v>
      </c>
      <c r="G22" s="260" t="s">
        <v>3803</v>
      </c>
      <c r="H22" s="261" t="str">
        <f>'Dry_Litterbag Placem_Collection'!C23</f>
        <v>Dry_Ag3_T5</v>
      </c>
      <c r="I22" s="262" t="s">
        <v>2525</v>
      </c>
      <c r="J22" s="263" t="s">
        <v>1147</v>
      </c>
      <c r="K22" s="260" t="str">
        <f>IF(ISBLANK('Dry_Litterbag Placem_Collection'!J23),"","G"&amp;""&amp;'Dry_Litterbag Placem_Collection'!J23)</f>
        <v>G468</v>
      </c>
      <c r="L22" s="264">
        <f>IFERROR(INDEX('Green_rooibos initial weight'!$C$5:$C$2000,MATCH(K22, 'Green_rooibos initial weight'!$A$5:$A$2000,0)),"")</f>
        <v>2.1309999999999998</v>
      </c>
      <c r="M22" s="264">
        <f>IFERROR(L22-(TBIcalc!$Q$9+TBIcalc!$Q$10),"")</f>
        <v>1.8811999999999998</v>
      </c>
      <c r="N22" s="385">
        <f>AVERAGE(Ashed_controlls!$K$2:$K$11)</f>
        <v>5.5147656768714146</v>
      </c>
      <c r="O22" s="264">
        <f t="shared" si="1"/>
        <v>1.7774562280866948</v>
      </c>
      <c r="P22" s="264" t="str">
        <f>IFERROR(INDEX('Both teabags AfterDry'!$D$2:$D$2000,MATCH(K22,'Both teabags AfterDry'!$A$2:$A$2000,0)),"")</f>
        <v/>
      </c>
      <c r="Q22" s="264" t="str">
        <f>IFERROR(IF(P22&gt;0,P22-(TBIcalc!$Q$9),""),"")</f>
        <v/>
      </c>
      <c r="R22" s="275" t="str">
        <f>IFERROR(INDEX('Ashed teabags dry'!$K$2:$K$2000,MATCH(K22,'Ashed teabags dry'!$A$2:$A$2000,0)),"")</f>
        <v/>
      </c>
      <c r="S22" s="275" t="str">
        <f t="shared" si="2"/>
        <v/>
      </c>
      <c r="T22" s="265">
        <f>IF('Dry_Litterbag Placem_Collection'!E23="","",'Dry_Litterbag Placem_Collection'!E23)</f>
        <v>42936</v>
      </c>
      <c r="U22" s="265">
        <f>IF('Dry_Litterbag Placem_Collection'!G23="","",'Dry_Litterbag Placem_Collection'!G23)</f>
        <v>43007</v>
      </c>
      <c r="V22" s="266">
        <f t="shared" si="0"/>
        <v>71</v>
      </c>
      <c r="W22" s="264" t="str">
        <f t="shared" si="3"/>
        <v/>
      </c>
      <c r="X22" s="264" t="str">
        <f t="shared" si="4"/>
        <v/>
      </c>
      <c r="Y22" s="268">
        <f>IFERROR(INDEX(Rainfall_Dry!$O$2:$O$217,MATCH(B22, Rainfall_Dry!$A$2:$A$217,0)),"")</f>
        <v>6.900000125</v>
      </c>
      <c r="Z22" s="257">
        <v>54.080969906906262</v>
      </c>
      <c r="AA22" s="257">
        <v>21.264484651351896</v>
      </c>
      <c r="AB22" s="257">
        <v>24.654545441741845</v>
      </c>
      <c r="AC22" s="258" t="s">
        <v>2657</v>
      </c>
      <c r="AD22" s="257">
        <v>5.8433218334154802</v>
      </c>
      <c r="AE22" t="str">
        <f>IF('WetLitterbags placem_collection'!AB23="","",'WetLitterbags placem_collection'!AB23)</f>
        <v/>
      </c>
      <c r="AF22" t="str">
        <f>IF('WetLitterbags placem_collection'!Z23="","",'WetLitterbags placem_collection'!Z23)</f>
        <v/>
      </c>
      <c r="AG22" s="243" t="str">
        <f>IF('WetLitterbags placem_collection'!AA23="","",'WetLitterbags placem_collection'!AA23)</f>
        <v/>
      </c>
      <c r="AH22" t="str">
        <f>IF('WetLitterbags placem_collection'!AC23="","",'WetLitterbags placem_collection'!AC23)</f>
        <v/>
      </c>
      <c r="AI22">
        <f>IFERROR(AVERAGE('Dry_Litterbag Placem_Collection'!O23,'Dry_Litterbag Placem_Collection'!R23),"")</f>
        <v>13.2</v>
      </c>
      <c r="AJ22" s="268">
        <f>IFERROR(AVERAGE('Dry_Litterbag Placem_Collection'!N23,'Dry_Litterbag Placem_Collection'!Q23),"")</f>
        <v>26.1</v>
      </c>
      <c r="AK22" s="267">
        <f>INDEX(Coordinates!$B$2:$B$197,MATCH(H22,Coordinates!$J$2:$J$197,0))</f>
        <v>-3.3854019919999998</v>
      </c>
      <c r="AL22" s="267">
        <f>INDEX(Coordinates!$C$2:$C$197,MATCH(H22,Coordinates!$J$2:$J$197,0))</f>
        <v>34.81894604</v>
      </c>
      <c r="AM22" s="267" t="str">
        <f>IF(ISNUMBER(SEARCH("C", 'Dry_Litterbag Placem_Collection'!S23)),"YES","NO")</f>
        <v>NO</v>
      </c>
      <c r="AN22" s="267" t="str">
        <f>IF(ISNUMBER(SEARCH("H", 'Dry_Litterbag Placem_Collection'!S23)),"YES","NO")</f>
        <v>NO</v>
      </c>
      <c r="AO22" s="267" t="str">
        <f>IF(ISNUMBER(SEARCH("R", 'Dry_Litterbag Placem_Collection'!S23)),"YES","NO")</f>
        <v>NO</v>
      </c>
    </row>
    <row r="23" spans="1:41">
      <c r="A23" s="259" t="s">
        <v>2643</v>
      </c>
      <c r="B23" s="260">
        <f>'Dry_Litterbag Placem_Collection'!A24</f>
        <v>22</v>
      </c>
      <c r="C23" s="260" t="str">
        <f>'Dry_Litterbag Placem_Collection'!B24</f>
        <v>Makao</v>
      </c>
      <c r="D23" s="260" t="s">
        <v>2643</v>
      </c>
      <c r="E23" s="260" t="s">
        <v>2644</v>
      </c>
      <c r="F23" s="260">
        <v>3</v>
      </c>
      <c r="G23" s="260" t="s">
        <v>3803</v>
      </c>
      <c r="H23" s="261" t="str">
        <f>'Dry_Litterbag Placem_Collection'!C24</f>
        <v>Dry_Ag3_T6</v>
      </c>
      <c r="I23" s="262" t="s">
        <v>2525</v>
      </c>
      <c r="J23" s="263" t="s">
        <v>1147</v>
      </c>
      <c r="K23" s="260" t="str">
        <f>IF(ISBLANK('Dry_Litterbag Placem_Collection'!J24),"","G"&amp;""&amp;'Dry_Litterbag Placem_Collection'!J24)</f>
        <v>G8</v>
      </c>
      <c r="L23" s="264">
        <f>IFERROR(INDEX('Green_rooibos initial weight'!$C$5:$C$2000,MATCH(K23, 'Green_rooibos initial weight'!$A$5:$A$2000,0)),"")</f>
        <v>2.0209999999999999</v>
      </c>
      <c r="M23" s="264">
        <f>IFERROR(L23-(TBIcalc!$Q$9+TBIcalc!$Q$10),"")</f>
        <v>1.7711999999999999</v>
      </c>
      <c r="N23" s="385">
        <f>AVERAGE(Ashed_controlls!$K$2:$K$11)</f>
        <v>5.5147656768714146</v>
      </c>
      <c r="O23" s="264">
        <f t="shared" si="1"/>
        <v>1.6735224703312535</v>
      </c>
      <c r="P23" s="264">
        <f>IFERROR(INDEX('Both teabags AfterDry'!$D$2:$D$2000,MATCH(K23,'Both teabags AfterDry'!$A$2:$A$2000,0)),"")</f>
        <v>1.4722999999999999</v>
      </c>
      <c r="Q23" s="264">
        <f>IFERROR(IF(P23&gt;0,P23-(TBIcalc!$Q$9),""),"")</f>
        <v>1.3216999999999999</v>
      </c>
      <c r="R23" s="275">
        <f>IFERROR(INDEX('Ashed teabags dry'!$K$2:$K$2000,MATCH(K23,'Ashed teabags dry'!$A$2:$A$2000,0)),"")</f>
        <v>8.7882822902793247</v>
      </c>
      <c r="S23" s="275">
        <f t="shared" si="2"/>
        <v>1.2055452729693781</v>
      </c>
      <c r="T23" s="265">
        <f>IF('Dry_Litterbag Placem_Collection'!E24="","",'Dry_Litterbag Placem_Collection'!E24)</f>
        <v>42936</v>
      </c>
      <c r="U23" s="265">
        <f>IF('Dry_Litterbag Placem_Collection'!G24="","",'Dry_Litterbag Placem_Collection'!G24)</f>
        <v>43007</v>
      </c>
      <c r="V23" s="266">
        <f t="shared" si="0"/>
        <v>71</v>
      </c>
      <c r="W23" s="264">
        <f t="shared" si="3"/>
        <v>0.44950000000000001</v>
      </c>
      <c r="X23" s="264">
        <f t="shared" si="4"/>
        <v>0.46797719736187537</v>
      </c>
      <c r="Y23" s="268">
        <f>IFERROR(INDEX(Rainfall_Dry!$O$2:$O$217,MATCH(B23, Rainfall_Dry!$A$2:$A$217,0)),"")</f>
        <v>6.900000125</v>
      </c>
      <c r="Z23" s="257">
        <v>54.080969906906262</v>
      </c>
      <c r="AA23" s="257">
        <v>21.264484651351896</v>
      </c>
      <c r="AB23" s="257">
        <v>24.654545441741845</v>
      </c>
      <c r="AC23" s="258" t="s">
        <v>2657</v>
      </c>
      <c r="AD23" s="257">
        <v>6.8433218334154802</v>
      </c>
      <c r="AE23" t="str">
        <f>IF('WetLitterbags placem_collection'!AB24="","",'WetLitterbags placem_collection'!AB24)</f>
        <v/>
      </c>
      <c r="AF23" t="str">
        <f>IF('WetLitterbags placem_collection'!Z24="","",'WetLitterbags placem_collection'!Z24)</f>
        <v/>
      </c>
      <c r="AG23" s="243" t="str">
        <f>IF('WetLitterbags placem_collection'!AA24="","",'WetLitterbags placem_collection'!AA24)</f>
        <v/>
      </c>
      <c r="AH23" t="str">
        <f>IF('WetLitterbags placem_collection'!AC24="","",'WetLitterbags placem_collection'!AC24)</f>
        <v/>
      </c>
      <c r="AI23">
        <f>IFERROR(AVERAGE('Dry_Litterbag Placem_Collection'!O24,'Dry_Litterbag Placem_Collection'!R24),"")</f>
        <v>19.05</v>
      </c>
      <c r="AJ23" s="268">
        <f>IFERROR(AVERAGE('Dry_Litterbag Placem_Collection'!N24,'Dry_Litterbag Placem_Collection'!Q24),"")</f>
        <v>25.75</v>
      </c>
      <c r="AK23" s="267">
        <f>INDEX(Coordinates!$B$2:$B$197,MATCH(H23,Coordinates!$J$2:$J$197,0))</f>
        <v>-3.3854470029999999</v>
      </c>
      <c r="AL23" s="267">
        <f>INDEX(Coordinates!$C$2:$C$197,MATCH(H23,Coordinates!$J$2:$J$197,0))</f>
        <v>34.818946959999998</v>
      </c>
      <c r="AM23" s="267" t="str">
        <f>IF(ISNUMBER(SEARCH("C", 'Dry_Litterbag Placem_Collection'!S24)),"YES","NO")</f>
        <v>NO</v>
      </c>
      <c r="AN23" s="267" t="str">
        <f>IF(ISNUMBER(SEARCH("H", 'Dry_Litterbag Placem_Collection'!S24)),"YES","NO")</f>
        <v>NO</v>
      </c>
      <c r="AO23" s="267" t="str">
        <f>IF(ISNUMBER(SEARCH("R", 'Dry_Litterbag Placem_Collection'!S24)),"YES","NO")</f>
        <v>NO</v>
      </c>
    </row>
    <row r="24" spans="1:41">
      <c r="A24" s="259" t="s">
        <v>2643</v>
      </c>
      <c r="B24" s="260">
        <f>'Dry_Litterbag Placem_Collection'!A25</f>
        <v>23</v>
      </c>
      <c r="C24" s="260" t="str">
        <f>'Dry_Litterbag Placem_Collection'!B25</f>
        <v>Makao</v>
      </c>
      <c r="D24" s="260" t="s">
        <v>2643</v>
      </c>
      <c r="E24" s="260" t="s">
        <v>2644</v>
      </c>
      <c r="F24" s="260">
        <v>3</v>
      </c>
      <c r="G24" s="260" t="s">
        <v>3803</v>
      </c>
      <c r="H24" s="261" t="str">
        <f>'Dry_Litterbag Placem_Collection'!C25</f>
        <v>Dry_Ag3_T7</v>
      </c>
      <c r="I24" s="262" t="s">
        <v>2525</v>
      </c>
      <c r="J24" s="263" t="s">
        <v>1147</v>
      </c>
      <c r="K24" s="260" t="str">
        <f>IF(ISBLANK('Dry_Litterbag Placem_Collection'!J25),"","G"&amp;""&amp;'Dry_Litterbag Placem_Collection'!J25)</f>
        <v/>
      </c>
      <c r="L24" s="264" t="str">
        <f>IFERROR(INDEX('Green_rooibos initial weight'!$C$5:$C$2000,MATCH(K24, 'Green_rooibos initial weight'!$A$5:$A$2000,0)),"")</f>
        <v/>
      </c>
      <c r="M24" s="264" t="str">
        <f>IFERROR(L24-(TBIcalc!$Q$9+TBIcalc!$Q$10),"")</f>
        <v/>
      </c>
      <c r="N24" s="385">
        <f>AVERAGE(Ashed_controlls!$K$2:$K$11)</f>
        <v>5.5147656768714146</v>
      </c>
      <c r="O24" s="264" t="str">
        <f t="shared" si="1"/>
        <v/>
      </c>
      <c r="P24" s="264" t="str">
        <f>IFERROR(INDEX('Both teabags AfterDry'!$D$2:$D$2000,MATCH(K24,'Both teabags AfterDry'!$A$2:$A$2000,0)),"")</f>
        <v/>
      </c>
      <c r="Q24" s="264" t="str">
        <f>IFERROR(IF(P24&gt;0,P24-(TBIcalc!$Q$9),""),"")</f>
        <v/>
      </c>
      <c r="R24" s="275" t="str">
        <f>IFERROR(INDEX('Ashed teabags dry'!$K$2:$K$2000,MATCH(K24,'Ashed teabags dry'!$A$2:$A$2000,0)),"")</f>
        <v/>
      </c>
      <c r="S24" s="275" t="str">
        <f t="shared" si="2"/>
        <v/>
      </c>
      <c r="T24" s="265" t="str">
        <f>IF('Dry_Litterbag Placem_Collection'!E25="","",'Dry_Litterbag Placem_Collection'!E25)</f>
        <v/>
      </c>
      <c r="U24" s="265" t="str">
        <f>IF('Dry_Litterbag Placem_Collection'!G25="","",'Dry_Litterbag Placem_Collection'!G25)</f>
        <v/>
      </c>
      <c r="V24" s="266" t="str">
        <f t="shared" si="0"/>
        <v/>
      </c>
      <c r="W24" s="264" t="str">
        <f t="shared" si="3"/>
        <v/>
      </c>
      <c r="X24" s="264" t="str">
        <f t="shared" si="4"/>
        <v/>
      </c>
      <c r="Y24" s="268" t="str">
        <f>IFERROR(INDEX(Rainfall_Dry!$O$2:$O$217,MATCH(B24, Rainfall_Dry!$A$2:$A$217,0)),"")</f>
        <v/>
      </c>
      <c r="Z24" s="257">
        <v>54.080969906906262</v>
      </c>
      <c r="AA24" s="257">
        <v>21.264484651351896</v>
      </c>
      <c r="AB24" s="257">
        <v>24.654545441741845</v>
      </c>
      <c r="AC24" s="258" t="s">
        <v>2657</v>
      </c>
      <c r="AD24" s="257">
        <v>7.8433218334154802</v>
      </c>
      <c r="AE24" t="str">
        <f>IF('WetLitterbags placem_collection'!AB25="","",'WetLitterbags placem_collection'!AB25)</f>
        <v/>
      </c>
      <c r="AF24" t="str">
        <f>IF('WetLitterbags placem_collection'!Z25="","",'WetLitterbags placem_collection'!Z25)</f>
        <v/>
      </c>
      <c r="AG24" s="243" t="str">
        <f>IF('WetLitterbags placem_collection'!AA25="","",'WetLitterbags placem_collection'!AA25)</f>
        <v/>
      </c>
      <c r="AH24" t="str">
        <f>IF('WetLitterbags placem_collection'!AC25="","",'WetLitterbags placem_collection'!AC25)</f>
        <v/>
      </c>
      <c r="AI24" t="str">
        <f>IFERROR(AVERAGE('Dry_Litterbag Placem_Collection'!O25,'Dry_Litterbag Placem_Collection'!R25),"")</f>
        <v/>
      </c>
      <c r="AJ24" s="268" t="str">
        <f>IFERROR(AVERAGE('Dry_Litterbag Placem_Collection'!N25,'Dry_Litterbag Placem_Collection'!Q25),"")</f>
        <v/>
      </c>
      <c r="AK24" s="267">
        <f>INDEX(Coordinates!$B$2:$B$197,MATCH(H24,Coordinates!$J$2:$J$197,0))</f>
        <v>-3.3854200130000001</v>
      </c>
      <c r="AL24" s="267">
        <f>INDEX(Coordinates!$C$2:$C$197,MATCH(H24,Coordinates!$J$2:$J$197,0))</f>
        <v>34.818856019999998</v>
      </c>
      <c r="AM24" s="267" t="str">
        <f>IF(ISNUMBER(SEARCH("C", 'Dry_Litterbag Placem_Collection'!S25)),"YES","NO")</f>
        <v>NO</v>
      </c>
      <c r="AN24" s="267" t="str">
        <f>IF(ISNUMBER(SEARCH("H", 'Dry_Litterbag Placem_Collection'!S25)),"YES","NO")</f>
        <v>NO</v>
      </c>
      <c r="AO24" s="267" t="str">
        <f>IF(ISNUMBER(SEARCH("R", 'Dry_Litterbag Placem_Collection'!S25)),"YES","NO")</f>
        <v>NO</v>
      </c>
    </row>
    <row r="25" spans="1:41">
      <c r="A25" s="259" t="s">
        <v>2643</v>
      </c>
      <c r="B25" s="260">
        <f>'Dry_Litterbag Placem_Collection'!A26</f>
        <v>24</v>
      </c>
      <c r="C25" s="260" t="str">
        <f>'Dry_Litterbag Placem_Collection'!B26</f>
        <v>Makao</v>
      </c>
      <c r="D25" s="260" t="s">
        <v>2643</v>
      </c>
      <c r="E25" s="260" t="s">
        <v>2644</v>
      </c>
      <c r="F25" s="260">
        <v>3</v>
      </c>
      <c r="G25" s="260" t="s">
        <v>3803</v>
      </c>
      <c r="H25" s="261" t="str">
        <f>'Dry_Litterbag Placem_Collection'!C26</f>
        <v>Dry_Ag3_T8</v>
      </c>
      <c r="I25" s="262" t="s">
        <v>2525</v>
      </c>
      <c r="J25" s="263" t="s">
        <v>1147</v>
      </c>
      <c r="K25" s="260" t="str">
        <f>IF(ISBLANK('Dry_Litterbag Placem_Collection'!J26),"","G"&amp;""&amp;'Dry_Litterbag Placem_Collection'!J26)</f>
        <v>G320</v>
      </c>
      <c r="L25" s="264">
        <f>IFERROR(INDEX('Green_rooibos initial weight'!$C$5:$C$2000,MATCH(K25, 'Green_rooibos initial weight'!$A$5:$A$2000,0)),"")</f>
        <v>2.044</v>
      </c>
      <c r="M25" s="264">
        <f>IFERROR(L25-(TBIcalc!$Q$9+TBIcalc!$Q$10),"")</f>
        <v>1.7942</v>
      </c>
      <c r="N25" s="385">
        <f>AVERAGE(Ashed_controlls!$K$2:$K$11)</f>
        <v>5.5147656768714146</v>
      </c>
      <c r="O25" s="264">
        <f t="shared" si="1"/>
        <v>1.6952540742255731</v>
      </c>
      <c r="P25" s="264">
        <f>IFERROR(INDEX('Both teabags AfterDry'!$D$2:$D$2000,MATCH(K25,'Both teabags AfterDry'!$A$2:$A$2000,0)),"")</f>
        <v>1.7525999999999999</v>
      </c>
      <c r="Q25" s="264">
        <f>IFERROR(IF(P25&gt;0,P25-(TBIcalc!$Q$9),""),"")</f>
        <v>1.6019999999999999</v>
      </c>
      <c r="R25" s="275">
        <f>IFERROR(INDEX('Ashed teabags dry'!$K$2:$K$2000,MATCH(K25,'Ashed teabags dry'!$A$2:$A$2000,0)),"")</f>
        <v>6.2730627306273838</v>
      </c>
      <c r="S25" s="275">
        <f t="shared" si="2"/>
        <v>1.5015055350553492</v>
      </c>
      <c r="T25" s="265">
        <f>IF('Dry_Litterbag Placem_Collection'!E26="","",'Dry_Litterbag Placem_Collection'!E26)</f>
        <v>42936</v>
      </c>
      <c r="U25" s="265">
        <f>IF('Dry_Litterbag Placem_Collection'!G26="","",'Dry_Litterbag Placem_Collection'!G26)</f>
        <v>43007</v>
      </c>
      <c r="V25" s="266">
        <f t="shared" si="0"/>
        <v>71</v>
      </c>
      <c r="W25" s="264">
        <f t="shared" si="3"/>
        <v>0.19220000000000015</v>
      </c>
      <c r="X25" s="264">
        <f t="shared" si="4"/>
        <v>0.19374853917022383</v>
      </c>
      <c r="Y25" s="268">
        <f>IFERROR(INDEX(Rainfall_Dry!$O$2:$O$217,MATCH(B25, Rainfall_Dry!$A$2:$A$217,0)),"")</f>
        <v>6.900000125</v>
      </c>
      <c r="Z25" s="257">
        <v>54.080969906906262</v>
      </c>
      <c r="AA25" s="257">
        <v>21.264484651351896</v>
      </c>
      <c r="AB25" s="257">
        <v>24.654545441741845</v>
      </c>
      <c r="AC25" s="258" t="s">
        <v>2657</v>
      </c>
      <c r="AD25" s="257">
        <v>8.8433218334154695</v>
      </c>
      <c r="AE25" t="str">
        <f>IF('WetLitterbags placem_collection'!AB26="","",'WetLitterbags placem_collection'!AB26)</f>
        <v/>
      </c>
      <c r="AF25" t="str">
        <f>IF('WetLitterbags placem_collection'!Z26="","",'WetLitterbags placem_collection'!Z26)</f>
        <v/>
      </c>
      <c r="AG25" s="243" t="str">
        <f>IF('WetLitterbags placem_collection'!AA26="","",'WetLitterbags placem_collection'!AA26)</f>
        <v/>
      </c>
      <c r="AH25" t="str">
        <f>IF('WetLitterbags placem_collection'!AC26="","",'WetLitterbags placem_collection'!AC26)</f>
        <v/>
      </c>
      <c r="AI25">
        <f>IFERROR(AVERAGE('Dry_Litterbag Placem_Collection'!O26,'Dry_Litterbag Placem_Collection'!R26),"")</f>
        <v>15.6</v>
      </c>
      <c r="AJ25" s="268">
        <f>IFERROR(AVERAGE('Dry_Litterbag Placem_Collection'!N26,'Dry_Litterbag Placem_Collection'!Q26),"")</f>
        <v>25.5</v>
      </c>
      <c r="AK25" s="267">
        <f>INDEX(Coordinates!$B$2:$B$197,MATCH(H25,Coordinates!$J$2:$J$197,0))</f>
        <v>-3.3853829649999998</v>
      </c>
      <c r="AL25" s="267">
        <f>INDEX(Coordinates!$C$2:$C$197,MATCH(H25,Coordinates!$J$2:$J$197,0))</f>
        <v>34.818877980000003</v>
      </c>
      <c r="AM25" s="267" t="str">
        <f>IF(ISNUMBER(SEARCH("C", 'Dry_Litterbag Placem_Collection'!S26)),"YES","NO")</f>
        <v>NO</v>
      </c>
      <c r="AN25" s="267" t="str">
        <f>IF(ISNUMBER(SEARCH("H", 'Dry_Litterbag Placem_Collection'!S26)),"YES","NO")</f>
        <v>NO</v>
      </c>
      <c r="AO25" s="267" t="str">
        <f>IF(ISNUMBER(SEARCH("R", 'Dry_Litterbag Placem_Collection'!S26)),"YES","NO")</f>
        <v>NO</v>
      </c>
    </row>
    <row r="26" spans="1:41">
      <c r="A26" s="259" t="s">
        <v>2643</v>
      </c>
      <c r="B26" s="260">
        <f>'Dry_Litterbag Placem_Collection'!A27</f>
        <v>25</v>
      </c>
      <c r="C26" s="260" t="str">
        <f>'Dry_Litterbag Placem_Collection'!B27</f>
        <v>Makao</v>
      </c>
      <c r="D26" s="260" t="s">
        <v>2643</v>
      </c>
      <c r="E26" s="260" t="s">
        <v>2644</v>
      </c>
      <c r="F26" s="260">
        <v>4</v>
      </c>
      <c r="G26" s="260" t="s">
        <v>3804</v>
      </c>
      <c r="H26" s="261" t="str">
        <f>'Dry_Litterbag Placem_Collection'!C27</f>
        <v>Dry_Ag4_T1</v>
      </c>
      <c r="I26" s="262" t="s">
        <v>2525</v>
      </c>
      <c r="J26" s="263" t="s">
        <v>1147</v>
      </c>
      <c r="K26" s="260" t="str">
        <f>IF(ISBLANK('Dry_Litterbag Placem_Collection'!J27),"","G"&amp;""&amp;'Dry_Litterbag Placem_Collection'!J27)</f>
        <v>G322</v>
      </c>
      <c r="L26" s="264">
        <f>IFERROR(INDEX('Green_rooibos initial weight'!$C$5:$C$2000,MATCH(K26, 'Green_rooibos initial weight'!$A$5:$A$2000,0)),"")</f>
        <v>2.0169999999999999</v>
      </c>
      <c r="M26" s="264">
        <f>IFERROR(L26-(TBIcalc!$Q$9+TBIcalc!$Q$10),"")</f>
        <v>1.7671999999999999</v>
      </c>
      <c r="N26" s="385">
        <f>AVERAGE(Ashed_controlls!$K$2:$K$11)</f>
        <v>5.5147656768714146</v>
      </c>
      <c r="O26" s="264">
        <f t="shared" si="1"/>
        <v>1.6697430609583281</v>
      </c>
      <c r="P26" s="264">
        <f>IFERROR(INDEX('Both teabags AfterDry'!$D$2:$D$2000,MATCH(K26,'Both teabags AfterDry'!$A$2:$A$2000,0)),"")</f>
        <v>1.8697999999999999</v>
      </c>
      <c r="Q26" s="264">
        <f>IFERROR(IF(P26&gt;0,P26-(TBIcalc!$Q$9),""),"")</f>
        <v>1.7191999999999998</v>
      </c>
      <c r="R26" s="275">
        <f>IFERROR(INDEX('Ashed teabags dry'!$K$2:$K$2000,MATCH(K26,'Ashed teabags dry'!$A$2:$A$2000,0)),"")</f>
        <v>6.1076102762959152</v>
      </c>
      <c r="S26" s="275">
        <f t="shared" si="2"/>
        <v>1.6141979641299204</v>
      </c>
      <c r="T26" s="265">
        <f>IF('Dry_Litterbag Placem_Collection'!E27="","",'Dry_Litterbag Placem_Collection'!E27)</f>
        <v>42936</v>
      </c>
      <c r="U26" s="265">
        <f>IF('Dry_Litterbag Placem_Collection'!G27="","",'Dry_Litterbag Placem_Collection'!G27)</f>
        <v>43007</v>
      </c>
      <c r="V26" s="266">
        <f t="shared" si="0"/>
        <v>71</v>
      </c>
      <c r="W26" s="264">
        <f t="shared" si="3"/>
        <v>4.8000000000000043E-2</v>
      </c>
      <c r="X26" s="264">
        <f t="shared" si="4"/>
        <v>5.5545096828407692E-2</v>
      </c>
      <c r="Y26" s="268">
        <f>IFERROR(INDEX(Rainfall_Dry!$O$2:$O$217,MATCH(B26, Rainfall_Dry!$A$2:$A$217,0)),"")</f>
        <v>6.900000125</v>
      </c>
      <c r="Z26" s="257">
        <v>51.960000000000008</v>
      </c>
      <c r="AA26" s="257">
        <v>18.919999999999995</v>
      </c>
      <c r="AB26" s="257">
        <v>29.120000000000005</v>
      </c>
      <c r="AC26" s="258" t="s">
        <v>2657</v>
      </c>
      <c r="AD26" s="257">
        <v>1.85293247905372</v>
      </c>
      <c r="AE26" t="str">
        <f>IF('WetLitterbags placem_collection'!AB27="","",'WetLitterbags placem_collection'!AB27)</f>
        <v/>
      </c>
      <c r="AF26" t="str">
        <f>IF('WetLitterbags placem_collection'!Z27="","",'WetLitterbags placem_collection'!Z27)</f>
        <v/>
      </c>
      <c r="AG26" s="243" t="str">
        <f>IF('WetLitterbags placem_collection'!AA27="","",'WetLitterbags placem_collection'!AA27)</f>
        <v/>
      </c>
      <c r="AH26" t="str">
        <f>IF('WetLitterbags placem_collection'!AC27="","",'WetLitterbags placem_collection'!AC27)</f>
        <v/>
      </c>
      <c r="AI26">
        <f>IFERROR(AVERAGE('Dry_Litterbag Placem_Collection'!O27,'Dry_Litterbag Placem_Collection'!R27),"")</f>
        <v>9.85</v>
      </c>
      <c r="AJ26" s="268">
        <f>IFERROR(AVERAGE('Dry_Litterbag Placem_Collection'!N27,'Dry_Litterbag Placem_Collection'!Q27),"")</f>
        <v>25.4</v>
      </c>
      <c r="AK26" s="267">
        <f>INDEX(Coordinates!$B$2:$B$197,MATCH(H26,Coordinates!$J$2:$J$197,0))</f>
        <v>-3.3849129919999998</v>
      </c>
      <c r="AL26" s="267">
        <f>INDEX(Coordinates!$C$2:$C$197,MATCH(H26,Coordinates!$J$2:$J$197,0))</f>
        <v>34.818899020000003</v>
      </c>
      <c r="AM26" s="267" t="str">
        <f>IF(ISNUMBER(SEARCH("C", 'Dry_Litterbag Placem_Collection'!S27)),"YES","NO")</f>
        <v>NO</v>
      </c>
      <c r="AN26" s="267" t="str">
        <f>IF(ISNUMBER(SEARCH("H", 'Dry_Litterbag Placem_Collection'!S27)),"YES","NO")</f>
        <v>NO</v>
      </c>
      <c r="AO26" s="267" t="str">
        <f>IF(ISNUMBER(SEARCH("R", 'Dry_Litterbag Placem_Collection'!S27)),"YES","NO")</f>
        <v>NO</v>
      </c>
    </row>
    <row r="27" spans="1:41">
      <c r="A27" s="259" t="s">
        <v>2643</v>
      </c>
      <c r="B27" s="260">
        <f>'Dry_Litterbag Placem_Collection'!A28</f>
        <v>26</v>
      </c>
      <c r="C27" s="260" t="str">
        <f>'Dry_Litterbag Placem_Collection'!B28</f>
        <v>Makao</v>
      </c>
      <c r="D27" s="260" t="s">
        <v>2643</v>
      </c>
      <c r="E27" s="260" t="s">
        <v>2644</v>
      </c>
      <c r="F27" s="260">
        <v>4</v>
      </c>
      <c r="G27" s="260" t="s">
        <v>3804</v>
      </c>
      <c r="H27" s="261" t="str">
        <f>'Dry_Litterbag Placem_Collection'!C28</f>
        <v>Dry_Ag4_T2</v>
      </c>
      <c r="I27" s="262" t="s">
        <v>2525</v>
      </c>
      <c r="J27" s="263" t="s">
        <v>1147</v>
      </c>
      <c r="K27" s="260" t="str">
        <f>IF(ISBLANK('Dry_Litterbag Placem_Collection'!J28),"","G"&amp;""&amp;'Dry_Litterbag Placem_Collection'!J28)</f>
        <v>G58</v>
      </c>
      <c r="L27" s="264">
        <f>IFERROR(INDEX('Green_rooibos initial weight'!$C$5:$C$2000,MATCH(K27, 'Green_rooibos initial weight'!$A$5:$A$2000,0)),"")</f>
        <v>1.9370000000000001</v>
      </c>
      <c r="M27" s="264">
        <f>IFERROR(L27-(TBIcalc!$Q$9+TBIcalc!$Q$10),"")</f>
        <v>1.6872</v>
      </c>
      <c r="N27" s="385">
        <f>AVERAGE(Ashed_controlls!$K$2:$K$11)</f>
        <v>5.5147656768714146</v>
      </c>
      <c r="O27" s="264">
        <f t="shared" si="1"/>
        <v>1.5941548734998254</v>
      </c>
      <c r="P27" s="264">
        <f>IFERROR(INDEX('Both teabags AfterDry'!$D$2:$D$2000,MATCH(K27,'Both teabags AfterDry'!$A$2:$A$2000,0)),"")</f>
        <v>1.7357</v>
      </c>
      <c r="Q27" s="264">
        <f>IFERROR(IF(P27&gt;0,P27-(TBIcalc!$Q$9),""),"")</f>
        <v>1.5851</v>
      </c>
      <c r="R27" s="275">
        <f>IFERROR(INDEX('Ashed teabags dry'!$K$2:$K$2000,MATCH(K27,'Ashed teabags dry'!$A$2:$A$2000,0)),"")</f>
        <v>5.724049551473775</v>
      </c>
      <c r="S27" s="275">
        <f t="shared" si="2"/>
        <v>1.4943680905595891</v>
      </c>
      <c r="T27" s="265">
        <f>IF('Dry_Litterbag Placem_Collection'!E28="","",'Dry_Litterbag Placem_Collection'!E28)</f>
        <v>42936</v>
      </c>
      <c r="U27" s="265">
        <f>IF('Dry_Litterbag Placem_Collection'!G28="","",'Dry_Litterbag Placem_Collection'!G28)</f>
        <v>43007</v>
      </c>
      <c r="V27" s="266">
        <f t="shared" si="0"/>
        <v>71</v>
      </c>
      <c r="W27" s="264">
        <f t="shared" si="3"/>
        <v>0.10210000000000008</v>
      </c>
      <c r="X27" s="264">
        <f t="shared" si="4"/>
        <v>9.9786782940236352E-2</v>
      </c>
      <c r="Y27" s="268">
        <f>IFERROR(INDEX(Rainfall_Dry!$O$2:$O$217,MATCH(B27, Rainfall_Dry!$A$2:$A$217,0)),"")</f>
        <v>6.900000125</v>
      </c>
      <c r="Z27" s="257">
        <v>51.960000000000008</v>
      </c>
      <c r="AA27" s="257">
        <v>18.919999999999995</v>
      </c>
      <c r="AB27" s="257">
        <v>29.120000000000005</v>
      </c>
      <c r="AC27" s="258" t="s">
        <v>2657</v>
      </c>
      <c r="AD27" s="257">
        <v>2.8529324790537198</v>
      </c>
      <c r="AE27" t="str">
        <f>IF('WetLitterbags placem_collection'!AB28="","",'WetLitterbags placem_collection'!AB28)</f>
        <v/>
      </c>
      <c r="AF27" t="str">
        <f>IF('WetLitterbags placem_collection'!Z28="","",'WetLitterbags placem_collection'!Z28)</f>
        <v/>
      </c>
      <c r="AG27" s="243" t="str">
        <f>IF('WetLitterbags placem_collection'!AA28="","",'WetLitterbags placem_collection'!AA28)</f>
        <v/>
      </c>
      <c r="AH27" t="str">
        <f>IF('WetLitterbags placem_collection'!AC28="","",'WetLitterbags placem_collection'!AC28)</f>
        <v/>
      </c>
      <c r="AI27">
        <f>IFERROR(AVERAGE('Dry_Litterbag Placem_Collection'!O28,'Dry_Litterbag Placem_Collection'!R28),"")</f>
        <v>8.1</v>
      </c>
      <c r="AJ27" s="268">
        <f>IFERROR(AVERAGE('Dry_Litterbag Placem_Collection'!N28,'Dry_Litterbag Placem_Collection'!Q28),"")</f>
        <v>25.85</v>
      </c>
      <c r="AK27" s="267">
        <f>INDEX(Coordinates!$B$2:$B$197,MATCH(H27,Coordinates!$J$2:$J$197,0))</f>
        <v>-3.3849689999999999</v>
      </c>
      <c r="AL27" s="267">
        <f>INDEX(Coordinates!$C$2:$C$197,MATCH(H27,Coordinates!$J$2:$J$197,0))</f>
        <v>34.818908</v>
      </c>
      <c r="AM27" s="267" t="str">
        <f>IF(ISNUMBER(SEARCH("C", 'Dry_Litterbag Placem_Collection'!S28)),"YES","NO")</f>
        <v>NO</v>
      </c>
      <c r="AN27" s="267" t="str">
        <f>IF(ISNUMBER(SEARCH("H", 'Dry_Litterbag Placem_Collection'!S28)),"YES","NO")</f>
        <v>NO</v>
      </c>
      <c r="AO27" s="267" t="str">
        <f>IF(ISNUMBER(SEARCH("R", 'Dry_Litterbag Placem_Collection'!S28)),"YES","NO")</f>
        <v>NO</v>
      </c>
    </row>
    <row r="28" spans="1:41">
      <c r="A28" s="259" t="s">
        <v>2643</v>
      </c>
      <c r="B28" s="260">
        <f>'Dry_Litterbag Placem_Collection'!A29</f>
        <v>27</v>
      </c>
      <c r="C28" s="260" t="str">
        <f>'Dry_Litterbag Placem_Collection'!B29</f>
        <v>Makao</v>
      </c>
      <c r="D28" s="260" t="s">
        <v>2643</v>
      </c>
      <c r="E28" s="260" t="s">
        <v>2644</v>
      </c>
      <c r="F28" s="260">
        <v>4</v>
      </c>
      <c r="G28" s="260" t="s">
        <v>3804</v>
      </c>
      <c r="H28" s="261" t="str">
        <f>'Dry_Litterbag Placem_Collection'!C29</f>
        <v>Dry_Ag4_T3</v>
      </c>
      <c r="I28" s="262" t="s">
        <v>2525</v>
      </c>
      <c r="J28" s="263" t="s">
        <v>1147</v>
      </c>
      <c r="K28" s="260" t="str">
        <f>IF(ISBLANK('Dry_Litterbag Placem_Collection'!J29),"","G"&amp;""&amp;'Dry_Litterbag Placem_Collection'!J29)</f>
        <v>G340</v>
      </c>
      <c r="L28" s="264">
        <f>IFERROR(INDEX('Green_rooibos initial weight'!$C$5:$C$2000,MATCH(K28, 'Green_rooibos initial weight'!$A$5:$A$2000,0)),"")</f>
        <v>2.0150000000000001</v>
      </c>
      <c r="M28" s="264">
        <f>IFERROR(L28-(TBIcalc!$Q$9+TBIcalc!$Q$10),"")</f>
        <v>1.7652000000000001</v>
      </c>
      <c r="N28" s="385">
        <f>AVERAGE(Ashed_controlls!$K$2:$K$11)</f>
        <v>5.5147656768714146</v>
      </c>
      <c r="O28" s="264">
        <f t="shared" si="1"/>
        <v>1.6678533562718658</v>
      </c>
      <c r="P28" s="264" t="str">
        <f>IFERROR(INDEX('Both teabags AfterDry'!$D$2:$D$2000,MATCH(K28,'Both teabags AfterDry'!$A$2:$A$2000,0)),"")</f>
        <v/>
      </c>
      <c r="Q28" s="264" t="str">
        <f>IFERROR(IF(P28&gt;0,P28-(TBIcalc!$Q$9),""),"")</f>
        <v/>
      </c>
      <c r="R28" s="275" t="str">
        <f>IFERROR(INDEX('Ashed teabags dry'!$K$2:$K$2000,MATCH(K28,'Ashed teabags dry'!$A$2:$A$2000,0)),"")</f>
        <v/>
      </c>
      <c r="S28" s="275" t="str">
        <f t="shared" si="2"/>
        <v/>
      </c>
      <c r="T28" s="265">
        <f>IF('Dry_Litterbag Placem_Collection'!E29="","",'Dry_Litterbag Placem_Collection'!E29)</f>
        <v>42936</v>
      </c>
      <c r="U28" s="265">
        <f>IF('Dry_Litterbag Placem_Collection'!G29="","",'Dry_Litterbag Placem_Collection'!G29)</f>
        <v>43007</v>
      </c>
      <c r="V28" s="266">
        <f t="shared" si="0"/>
        <v>71</v>
      </c>
      <c r="W28" s="264" t="str">
        <f t="shared" si="3"/>
        <v/>
      </c>
      <c r="X28" s="264" t="str">
        <f t="shared" si="4"/>
        <v/>
      </c>
      <c r="Y28" s="268">
        <f>IFERROR(INDEX(Rainfall_Dry!$O$2:$O$217,MATCH(B28, Rainfall_Dry!$A$2:$A$217,0)),"")</f>
        <v>6.900000125</v>
      </c>
      <c r="Z28" s="257">
        <v>51.960000000000008</v>
      </c>
      <c r="AA28" s="257">
        <v>18.919999999999995</v>
      </c>
      <c r="AB28" s="257">
        <v>29.120000000000005</v>
      </c>
      <c r="AC28" s="258" t="s">
        <v>2657</v>
      </c>
      <c r="AD28" s="257">
        <v>3.8529324790537198</v>
      </c>
      <c r="AE28" t="str">
        <f>IF('WetLitterbags placem_collection'!AB29="","",'WetLitterbags placem_collection'!AB29)</f>
        <v/>
      </c>
      <c r="AF28" t="str">
        <f>IF('WetLitterbags placem_collection'!Z29="","",'WetLitterbags placem_collection'!Z29)</f>
        <v/>
      </c>
      <c r="AG28" s="243" t="str">
        <f>IF('WetLitterbags placem_collection'!AA29="","",'WetLitterbags placem_collection'!AA29)</f>
        <v/>
      </c>
      <c r="AH28" t="str">
        <f>IF('WetLitterbags placem_collection'!AC29="","",'WetLitterbags placem_collection'!AC29)</f>
        <v/>
      </c>
      <c r="AI28">
        <f>IFERROR(AVERAGE('Dry_Litterbag Placem_Collection'!O29,'Dry_Litterbag Placem_Collection'!R29),"")</f>
        <v>14.1</v>
      </c>
      <c r="AJ28" s="268">
        <f>IFERROR(AVERAGE('Dry_Litterbag Placem_Collection'!N29,'Dry_Litterbag Placem_Collection'!Q29),"")</f>
        <v>26.15</v>
      </c>
      <c r="AK28" s="267">
        <f>INDEX(Coordinates!$B$2:$B$197,MATCH(H28,Coordinates!$J$2:$J$197,0))</f>
        <v>-3.3849350359999999</v>
      </c>
      <c r="AL28" s="267">
        <f>INDEX(Coordinates!$C$2:$C$197,MATCH(H28,Coordinates!$J$2:$J$197,0))</f>
        <v>34.818943019999999</v>
      </c>
      <c r="AM28" s="267" t="str">
        <f>IF(ISNUMBER(SEARCH("C", 'Dry_Litterbag Placem_Collection'!S29)),"YES","NO")</f>
        <v>NO</v>
      </c>
      <c r="AN28" s="267" t="str">
        <f>IF(ISNUMBER(SEARCH("H", 'Dry_Litterbag Placem_Collection'!S29)),"YES","NO")</f>
        <v>NO</v>
      </c>
      <c r="AO28" s="267" t="str">
        <f>IF(ISNUMBER(SEARCH("R", 'Dry_Litterbag Placem_Collection'!S29)),"YES","NO")</f>
        <v>NO</v>
      </c>
    </row>
    <row r="29" spans="1:41">
      <c r="A29" s="259" t="s">
        <v>2643</v>
      </c>
      <c r="B29" s="260">
        <f>'Dry_Litterbag Placem_Collection'!A30</f>
        <v>28</v>
      </c>
      <c r="C29" s="260" t="str">
        <f>'Dry_Litterbag Placem_Collection'!B30</f>
        <v>Makao</v>
      </c>
      <c r="D29" s="260" t="s">
        <v>2643</v>
      </c>
      <c r="E29" s="260" t="s">
        <v>2644</v>
      </c>
      <c r="F29" s="260">
        <v>4</v>
      </c>
      <c r="G29" s="260" t="s">
        <v>3804</v>
      </c>
      <c r="H29" s="261" t="str">
        <f>'Dry_Litterbag Placem_Collection'!C30</f>
        <v>Dry_Ag4_T4</v>
      </c>
      <c r="I29" s="262" t="s">
        <v>2525</v>
      </c>
      <c r="J29" s="263" t="s">
        <v>1147</v>
      </c>
      <c r="K29" s="260" t="str">
        <f>IF(ISBLANK('Dry_Litterbag Placem_Collection'!J30),"","G"&amp;""&amp;'Dry_Litterbag Placem_Collection'!J30)</f>
        <v>G61</v>
      </c>
      <c r="L29" s="264">
        <f>IFERROR(INDEX('Green_rooibos initial weight'!$C$5:$C$2000,MATCH(K29, 'Green_rooibos initial weight'!$A$5:$A$2000,0)),"")</f>
        <v>1.88</v>
      </c>
      <c r="M29" s="264">
        <f>IFERROR(L29-(TBIcalc!$Q$9+TBIcalc!$Q$10),"")</f>
        <v>1.6301999999999999</v>
      </c>
      <c r="N29" s="385">
        <f>AVERAGE(Ashed_controlls!$K$2:$K$11)</f>
        <v>5.5147656768714146</v>
      </c>
      <c r="O29" s="264">
        <f t="shared" si="1"/>
        <v>1.5402982899356421</v>
      </c>
      <c r="P29" s="264">
        <f>IFERROR(INDEX('Both teabags AfterDry'!$D$2:$D$2000,MATCH(K29,'Both teabags AfterDry'!$A$2:$A$2000,0)),"")</f>
        <v>1.4991000000000001</v>
      </c>
      <c r="Q29" s="264">
        <f>IFERROR(IF(P29&gt;0,P29-(TBIcalc!$Q$9),""),"")</f>
        <v>1.3485</v>
      </c>
      <c r="R29" s="275">
        <f>IFERROR(INDEX('Ashed teabags dry'!$K$2:$K$2000,MATCH(K29,'Ashed teabags dry'!$A$2:$A$2000,0)),"")</f>
        <v>6.888472352389627</v>
      </c>
      <c r="S29" s="275">
        <f t="shared" si="2"/>
        <v>1.2556089503280259</v>
      </c>
      <c r="T29" s="265">
        <f>IF('Dry_Litterbag Placem_Collection'!E30="","",'Dry_Litterbag Placem_Collection'!E30)</f>
        <v>42936</v>
      </c>
      <c r="U29" s="265">
        <f>IF('Dry_Litterbag Placem_Collection'!G30="","",'Dry_Litterbag Placem_Collection'!G30)</f>
        <v>43007</v>
      </c>
      <c r="V29" s="266">
        <f t="shared" si="0"/>
        <v>71</v>
      </c>
      <c r="W29" s="264">
        <f t="shared" si="3"/>
        <v>0.28169999999999984</v>
      </c>
      <c r="X29" s="264">
        <f t="shared" si="4"/>
        <v>0.28468933960761622</v>
      </c>
      <c r="Y29" s="268">
        <f>IFERROR(INDEX(Rainfall_Dry!$O$2:$O$217,MATCH(B29, Rainfall_Dry!$A$2:$A$217,0)),"")</f>
        <v>6.900000125</v>
      </c>
      <c r="Z29" s="257">
        <v>51.960000000000008</v>
      </c>
      <c r="AA29" s="257">
        <v>18.919999999999995</v>
      </c>
      <c r="AB29" s="257">
        <v>29.120000000000005</v>
      </c>
      <c r="AC29" s="258" t="s">
        <v>2657</v>
      </c>
      <c r="AD29" s="257">
        <v>4.8529324790537203</v>
      </c>
      <c r="AE29" t="str">
        <f>IF('WetLitterbags placem_collection'!AB30="","",'WetLitterbags placem_collection'!AB30)</f>
        <v/>
      </c>
      <c r="AF29" t="str">
        <f>IF('WetLitterbags placem_collection'!Z30="","",'WetLitterbags placem_collection'!Z30)</f>
        <v/>
      </c>
      <c r="AG29" s="243" t="str">
        <f>IF('WetLitterbags placem_collection'!AA30="","",'WetLitterbags placem_collection'!AA30)</f>
        <v/>
      </c>
      <c r="AH29" t="str">
        <f>IF('WetLitterbags placem_collection'!AC30="","",'WetLitterbags placem_collection'!AC30)</f>
        <v/>
      </c>
      <c r="AI29">
        <f>IFERROR(AVERAGE('Dry_Litterbag Placem_Collection'!O30,'Dry_Litterbag Placem_Collection'!R30),"")</f>
        <v>9.1000000000000014</v>
      </c>
      <c r="AJ29" s="268">
        <f>IFERROR(AVERAGE('Dry_Litterbag Placem_Collection'!N30,'Dry_Litterbag Placem_Collection'!Q30),"")</f>
        <v>25.700000000000003</v>
      </c>
      <c r="AK29" s="267">
        <f>INDEX(Coordinates!$B$2:$B$197,MATCH(H29,Coordinates!$J$2:$J$197,0))</f>
        <v>-3.3850070369999998</v>
      </c>
      <c r="AL29" s="267">
        <f>INDEX(Coordinates!$C$2:$C$197,MATCH(H29,Coordinates!$J$2:$J$197,0))</f>
        <v>34.818888960000002</v>
      </c>
      <c r="AM29" s="267" t="str">
        <f>IF(ISNUMBER(SEARCH("C", 'Dry_Litterbag Placem_Collection'!S30)),"YES","NO")</f>
        <v>NO</v>
      </c>
      <c r="AN29" s="267" t="str">
        <f>IF(ISNUMBER(SEARCH("H", 'Dry_Litterbag Placem_Collection'!S30)),"YES","NO")</f>
        <v>NO</v>
      </c>
      <c r="AO29" s="267" t="str">
        <f>IF(ISNUMBER(SEARCH("R", 'Dry_Litterbag Placem_Collection'!S30)),"YES","NO")</f>
        <v>NO</v>
      </c>
    </row>
    <row r="30" spans="1:41">
      <c r="A30" s="259" t="s">
        <v>2643</v>
      </c>
      <c r="B30" s="260">
        <f>'Dry_Litterbag Placem_Collection'!A31</f>
        <v>29</v>
      </c>
      <c r="C30" s="260" t="str">
        <f>'Dry_Litterbag Placem_Collection'!B31</f>
        <v>Makao</v>
      </c>
      <c r="D30" s="260" t="s">
        <v>2643</v>
      </c>
      <c r="E30" s="260" t="s">
        <v>2644</v>
      </c>
      <c r="F30" s="260">
        <v>4</v>
      </c>
      <c r="G30" s="260" t="s">
        <v>3804</v>
      </c>
      <c r="H30" s="261" t="str">
        <f>'Dry_Litterbag Placem_Collection'!C31</f>
        <v>Dry_Ag4_T5</v>
      </c>
      <c r="I30" s="262" t="s">
        <v>2525</v>
      </c>
      <c r="J30" s="263" t="s">
        <v>1147</v>
      </c>
      <c r="K30" s="260" t="str">
        <f>IF(ISBLANK('Dry_Litterbag Placem_Collection'!J31),"","G"&amp;""&amp;'Dry_Litterbag Placem_Collection'!J31)</f>
        <v>G319</v>
      </c>
      <c r="L30" s="264">
        <f>IFERROR(INDEX('Green_rooibos initial weight'!$C$5:$C$2000,MATCH(K30, 'Green_rooibos initial weight'!$A$5:$A$2000,0)),"")</f>
        <v>2.012</v>
      </c>
      <c r="M30" s="264">
        <f>IFERROR(L30-(TBIcalc!$Q$9+TBIcalc!$Q$10),"")</f>
        <v>1.7622</v>
      </c>
      <c r="N30" s="385">
        <f>AVERAGE(Ashed_controlls!$K$2:$K$11)</f>
        <v>5.5147656768714146</v>
      </c>
      <c r="O30" s="264">
        <f t="shared" si="1"/>
        <v>1.6650187992421719</v>
      </c>
      <c r="P30" s="264">
        <f>IFERROR(INDEX('Both teabags AfterDry'!$D$2:$D$2000,MATCH(K30,'Both teabags AfterDry'!$A$2:$A$2000,0)),"")</f>
        <v>1.8162</v>
      </c>
      <c r="Q30" s="264">
        <f>IFERROR(IF(P30&gt;0,P30-(TBIcalc!$Q$9),""),"")</f>
        <v>1.6656</v>
      </c>
      <c r="R30" s="275">
        <f>IFERROR(INDEX('Ashed teabags dry'!$K$2:$K$2000,MATCH(K30,'Ashed teabags dry'!$A$2:$A$2000,0)),"")</f>
        <v>6.3172671970048668</v>
      </c>
      <c r="S30" s="275">
        <f t="shared" si="2"/>
        <v>1.560379597566687</v>
      </c>
      <c r="T30" s="265">
        <f>IF('Dry_Litterbag Placem_Collection'!E31="","",'Dry_Litterbag Placem_Collection'!E31)</f>
        <v>42936</v>
      </c>
      <c r="U30" s="265">
        <f>IF('Dry_Litterbag Placem_Collection'!G31="","",'Dry_Litterbag Placem_Collection'!G31)</f>
        <v>43007</v>
      </c>
      <c r="V30" s="266">
        <f t="shared" si="0"/>
        <v>71</v>
      </c>
      <c r="W30" s="264">
        <f t="shared" si="3"/>
        <v>9.6600000000000019E-2</v>
      </c>
      <c r="X30" s="264">
        <f t="shared" si="4"/>
        <v>0.10463920167548491</v>
      </c>
      <c r="Y30" s="268">
        <f>IFERROR(INDEX(Rainfall_Dry!$O$2:$O$217,MATCH(B30, Rainfall_Dry!$A$2:$A$217,0)),"")</f>
        <v>6.900000125</v>
      </c>
      <c r="Z30" s="257">
        <v>51.960000000000008</v>
      </c>
      <c r="AA30" s="257">
        <v>18.919999999999995</v>
      </c>
      <c r="AB30" s="257">
        <v>29.120000000000005</v>
      </c>
      <c r="AC30" s="258" t="s">
        <v>2657</v>
      </c>
      <c r="AD30" s="257">
        <v>5.8529324790537203</v>
      </c>
      <c r="AE30" t="str">
        <f>IF('WetLitterbags placem_collection'!AB31="","",'WetLitterbags placem_collection'!AB31)</f>
        <v/>
      </c>
      <c r="AF30" t="str">
        <f>IF('WetLitterbags placem_collection'!Z31="","",'WetLitterbags placem_collection'!Z31)</f>
        <v/>
      </c>
      <c r="AG30" s="243" t="str">
        <f>IF('WetLitterbags placem_collection'!AA31="","",'WetLitterbags placem_collection'!AA31)</f>
        <v/>
      </c>
      <c r="AH30" t="str">
        <f>IF('WetLitterbags placem_collection'!AC31="","",'WetLitterbags placem_collection'!AC31)</f>
        <v/>
      </c>
      <c r="AI30">
        <f>IFERROR(AVERAGE('Dry_Litterbag Placem_Collection'!O31,'Dry_Litterbag Placem_Collection'!R31),"")</f>
        <v>15.15</v>
      </c>
      <c r="AJ30" s="268">
        <f>IFERROR(AVERAGE('Dry_Litterbag Placem_Collection'!N31,'Dry_Litterbag Placem_Collection'!Q31),"")</f>
        <v>25.65</v>
      </c>
      <c r="AK30" s="267">
        <f>INDEX(Coordinates!$B$2:$B$197,MATCH(H30,Coordinates!$J$2:$J$197,0))</f>
        <v>-3.3849480280000002</v>
      </c>
      <c r="AL30" s="267">
        <f>INDEX(Coordinates!$C$2:$C$197,MATCH(H30,Coordinates!$J$2:$J$197,0))</f>
        <v>34.818854010000003</v>
      </c>
      <c r="AM30" s="267" t="str">
        <f>IF(ISNUMBER(SEARCH("C", 'Dry_Litterbag Placem_Collection'!S31)),"YES","NO")</f>
        <v>NO</v>
      </c>
      <c r="AN30" s="267" t="str">
        <f>IF(ISNUMBER(SEARCH("H", 'Dry_Litterbag Placem_Collection'!S31)),"YES","NO")</f>
        <v>NO</v>
      </c>
      <c r="AO30" s="267" t="str">
        <f>IF(ISNUMBER(SEARCH("R", 'Dry_Litterbag Placem_Collection'!S31)),"YES","NO")</f>
        <v>NO</v>
      </c>
    </row>
    <row r="31" spans="1:41">
      <c r="A31" s="259" t="s">
        <v>2643</v>
      </c>
      <c r="B31" s="260">
        <f>'Dry_Litterbag Placem_Collection'!A32</f>
        <v>30</v>
      </c>
      <c r="C31" s="260" t="str">
        <f>'Dry_Litterbag Placem_Collection'!B32</f>
        <v>Makao</v>
      </c>
      <c r="D31" s="260" t="s">
        <v>2643</v>
      </c>
      <c r="E31" s="260" t="s">
        <v>2644</v>
      </c>
      <c r="F31" s="260">
        <v>4</v>
      </c>
      <c r="G31" s="260" t="s">
        <v>3804</v>
      </c>
      <c r="H31" s="261" t="str">
        <f>'Dry_Litterbag Placem_Collection'!C32</f>
        <v>Dry_Ag4_T6</v>
      </c>
      <c r="I31" s="262" t="s">
        <v>2525</v>
      </c>
      <c r="J31" s="263" t="s">
        <v>1147</v>
      </c>
      <c r="K31" s="260" t="str">
        <f>IF(ISBLANK('Dry_Litterbag Placem_Collection'!J32),"","G"&amp;""&amp;'Dry_Litterbag Placem_Collection'!J32)</f>
        <v>G273</v>
      </c>
      <c r="L31" s="264">
        <f>IFERROR(INDEX('Green_rooibos initial weight'!$C$5:$C$2000,MATCH(K31, 'Green_rooibos initial weight'!$A$5:$A$2000,0)),"")</f>
        <v>2.073</v>
      </c>
      <c r="M31" s="264">
        <f>IFERROR(L31-(TBIcalc!$Q$9+TBIcalc!$Q$10),"")</f>
        <v>1.8231999999999999</v>
      </c>
      <c r="N31" s="385">
        <f>AVERAGE(Ashed_controlls!$K$2:$K$11)</f>
        <v>5.5147656768714146</v>
      </c>
      <c r="O31" s="264">
        <f t="shared" si="1"/>
        <v>1.7226547921792803</v>
      </c>
      <c r="P31" s="264">
        <f>IFERROR(INDEX('Both teabags AfterDry'!$D$2:$D$2000,MATCH(K31,'Both teabags AfterDry'!$A$2:$A$2000,0)),"")</f>
        <v>1.9318</v>
      </c>
      <c r="Q31" s="264">
        <f>IFERROR(IF(P31&gt;0,P31-(TBIcalc!$Q$9),""),"")</f>
        <v>1.7811999999999999</v>
      </c>
      <c r="R31" s="275">
        <f>IFERROR(INDEX('Ashed teabags dry'!$K$2:$K$2000,MATCH(K31,'Ashed teabags dry'!$A$2:$A$2000,0)),"")</f>
        <v>5.1138805328754682</v>
      </c>
      <c r="S31" s="275">
        <f t="shared" si="2"/>
        <v>1.690111559948422</v>
      </c>
      <c r="T31" s="265">
        <f>IF('Dry_Litterbag Placem_Collection'!E32="","",'Dry_Litterbag Placem_Collection'!E32)</f>
        <v>42936</v>
      </c>
      <c r="U31" s="265">
        <f>IF('Dry_Litterbag Placem_Collection'!G32="","",'Dry_Litterbag Placem_Collection'!G32)</f>
        <v>43007</v>
      </c>
      <c r="V31" s="266">
        <f t="shared" si="0"/>
        <v>71</v>
      </c>
      <c r="W31" s="264">
        <f t="shared" si="3"/>
        <v>4.2000000000000037E-2</v>
      </c>
      <c r="X31" s="264">
        <f t="shared" si="4"/>
        <v>3.254323223085831E-2</v>
      </c>
      <c r="Y31" s="268">
        <f>IFERROR(INDEX(Rainfall_Dry!$O$2:$O$217,MATCH(B31, Rainfall_Dry!$A$2:$A$217,0)),"")</f>
        <v>6.900000125</v>
      </c>
      <c r="Z31" s="257">
        <v>51.960000000000008</v>
      </c>
      <c r="AA31" s="257">
        <v>18.919999999999995</v>
      </c>
      <c r="AB31" s="257">
        <v>29.120000000000005</v>
      </c>
      <c r="AC31" s="258" t="s">
        <v>2657</v>
      </c>
      <c r="AD31" s="257">
        <v>6.8529324790537203</v>
      </c>
      <c r="AE31" t="str">
        <f>IF('WetLitterbags placem_collection'!AB32="","",'WetLitterbags placem_collection'!AB32)</f>
        <v/>
      </c>
      <c r="AF31" t="str">
        <f>IF('WetLitterbags placem_collection'!Z32="","",'WetLitterbags placem_collection'!Z32)</f>
        <v/>
      </c>
      <c r="AG31" s="243" t="str">
        <f>IF('WetLitterbags placem_collection'!AA32="","",'WetLitterbags placem_collection'!AA32)</f>
        <v/>
      </c>
      <c r="AH31" t="str">
        <f>IF('WetLitterbags placem_collection'!AC32="","",'WetLitterbags placem_collection'!AC32)</f>
        <v/>
      </c>
      <c r="AI31">
        <f>IFERROR(AVERAGE('Dry_Litterbag Placem_Collection'!O32,'Dry_Litterbag Placem_Collection'!R32),"")</f>
        <v>9.3000000000000007</v>
      </c>
      <c r="AJ31" s="268">
        <f>IFERROR(AVERAGE('Dry_Litterbag Placem_Collection'!N32,'Dry_Litterbag Placem_Collection'!Q32),"")</f>
        <v>24</v>
      </c>
      <c r="AK31" s="267">
        <f>INDEX(Coordinates!$B$2:$B$197,MATCH(H31,Coordinates!$J$2:$J$197,0))</f>
        <v>-3.38496496</v>
      </c>
      <c r="AL31" s="267">
        <f>INDEX(Coordinates!$C$2:$C$197,MATCH(H31,Coordinates!$J$2:$J$197,0))</f>
        <v>34.818790970000002</v>
      </c>
      <c r="AM31" s="267" t="str">
        <f>IF(ISNUMBER(SEARCH("C", 'Dry_Litterbag Placem_Collection'!S32)),"YES","NO")</f>
        <v>NO</v>
      </c>
      <c r="AN31" s="267" t="str">
        <f>IF(ISNUMBER(SEARCH("H", 'Dry_Litterbag Placem_Collection'!S32)),"YES","NO")</f>
        <v>NO</v>
      </c>
      <c r="AO31" s="267" t="str">
        <f>IF(ISNUMBER(SEARCH("R", 'Dry_Litterbag Placem_Collection'!S32)),"YES","NO")</f>
        <v>NO</v>
      </c>
    </row>
    <row r="32" spans="1:41">
      <c r="A32" s="259" t="s">
        <v>2643</v>
      </c>
      <c r="B32" s="260">
        <f>'Dry_Litterbag Placem_Collection'!A33</f>
        <v>31</v>
      </c>
      <c r="C32" s="260" t="str">
        <f>'Dry_Litterbag Placem_Collection'!B33</f>
        <v>Makao</v>
      </c>
      <c r="D32" s="260" t="s">
        <v>2643</v>
      </c>
      <c r="E32" s="260" t="s">
        <v>2644</v>
      </c>
      <c r="F32" s="260">
        <v>4</v>
      </c>
      <c r="G32" s="260" t="s">
        <v>3804</v>
      </c>
      <c r="H32" s="261" t="str">
        <f>'Dry_Litterbag Placem_Collection'!C33</f>
        <v>Dry_Ag4_T7</v>
      </c>
      <c r="I32" s="262" t="s">
        <v>2525</v>
      </c>
      <c r="J32" s="263" t="s">
        <v>1147</v>
      </c>
      <c r="K32" s="260" t="str">
        <f>IF(ISBLANK('Dry_Litterbag Placem_Collection'!J33),"","G"&amp;""&amp;'Dry_Litterbag Placem_Collection'!J33)</f>
        <v/>
      </c>
      <c r="L32" s="264" t="str">
        <f>IFERROR(INDEX('Green_rooibos initial weight'!$C$5:$C$2000,MATCH(K32, 'Green_rooibos initial weight'!$A$5:$A$2000,0)),"")</f>
        <v/>
      </c>
      <c r="M32" s="264" t="str">
        <f>IFERROR(L32-(TBIcalc!$Q$9+TBIcalc!$Q$10),"")</f>
        <v/>
      </c>
      <c r="N32" s="385">
        <f>AVERAGE(Ashed_controlls!$K$2:$K$11)</f>
        <v>5.5147656768714146</v>
      </c>
      <c r="O32" s="264" t="str">
        <f t="shared" si="1"/>
        <v/>
      </c>
      <c r="P32" s="264" t="str">
        <f>IFERROR(INDEX('Both teabags AfterDry'!$D$2:$D$2000,MATCH(K32,'Both teabags AfterDry'!$A$2:$A$2000,0)),"")</f>
        <v/>
      </c>
      <c r="Q32" s="264" t="str">
        <f>IFERROR(IF(P32&gt;0,P32-(TBIcalc!$Q$9),""),"")</f>
        <v/>
      </c>
      <c r="R32" s="275" t="str">
        <f>IFERROR(INDEX('Ashed teabags dry'!$K$2:$K$2000,MATCH(K32,'Ashed teabags dry'!$A$2:$A$2000,0)),"")</f>
        <v/>
      </c>
      <c r="S32" s="275" t="str">
        <f t="shared" si="2"/>
        <v/>
      </c>
      <c r="T32" s="265" t="str">
        <f>IF('Dry_Litterbag Placem_Collection'!E33="","",'Dry_Litterbag Placem_Collection'!E33)</f>
        <v/>
      </c>
      <c r="U32" s="265" t="str">
        <f>IF('Dry_Litterbag Placem_Collection'!G33="","",'Dry_Litterbag Placem_Collection'!G33)</f>
        <v/>
      </c>
      <c r="V32" s="266" t="str">
        <f t="shared" si="0"/>
        <v/>
      </c>
      <c r="W32" s="264" t="str">
        <f t="shared" si="3"/>
        <v/>
      </c>
      <c r="X32" s="264" t="str">
        <f t="shared" si="4"/>
        <v/>
      </c>
      <c r="Y32" s="268" t="str">
        <f>IFERROR(INDEX(Rainfall_Dry!$O$2:$O$217,MATCH(B32, Rainfall_Dry!$A$2:$A$217,0)),"")</f>
        <v/>
      </c>
      <c r="Z32" s="257">
        <v>51.960000000000008</v>
      </c>
      <c r="AA32" s="257">
        <v>18.919999999999995</v>
      </c>
      <c r="AB32" s="257">
        <v>29.120000000000005</v>
      </c>
      <c r="AC32" s="258" t="s">
        <v>2657</v>
      </c>
      <c r="AD32" s="257">
        <v>7.8529324790537203</v>
      </c>
      <c r="AE32" t="str">
        <f>IF('WetLitterbags placem_collection'!AB33="","",'WetLitterbags placem_collection'!AB33)</f>
        <v/>
      </c>
      <c r="AF32" t="str">
        <f>IF('WetLitterbags placem_collection'!Z33="","",'WetLitterbags placem_collection'!Z33)</f>
        <v/>
      </c>
      <c r="AG32" s="243" t="str">
        <f>IF('WetLitterbags placem_collection'!AA33="","",'WetLitterbags placem_collection'!AA33)</f>
        <v/>
      </c>
      <c r="AH32" t="str">
        <f>IF('WetLitterbags placem_collection'!AC33="","",'WetLitterbags placem_collection'!AC33)</f>
        <v/>
      </c>
      <c r="AI32" t="str">
        <f>IFERROR(AVERAGE('Dry_Litterbag Placem_Collection'!O33,'Dry_Litterbag Placem_Collection'!R33),"")</f>
        <v/>
      </c>
      <c r="AJ32" s="268" t="str">
        <f>IFERROR(AVERAGE('Dry_Litterbag Placem_Collection'!N33,'Dry_Litterbag Placem_Collection'!Q33),"")</f>
        <v/>
      </c>
      <c r="AK32" s="267">
        <f>INDEX(Coordinates!$B$2:$B$197,MATCH(H32,Coordinates!$J$2:$J$197,0))</f>
        <v>-3.3848409909999999</v>
      </c>
      <c r="AL32" s="267">
        <f>INDEX(Coordinates!$C$2:$C$197,MATCH(H32,Coordinates!$J$2:$J$197,0))</f>
        <v>34.818838999999997</v>
      </c>
      <c r="AM32" s="267" t="str">
        <f>IF(ISNUMBER(SEARCH("C", 'Dry_Litterbag Placem_Collection'!S33)),"YES","NO")</f>
        <v>NO</v>
      </c>
      <c r="AN32" s="267" t="str">
        <f>IF(ISNUMBER(SEARCH("H", 'Dry_Litterbag Placem_Collection'!S33)),"YES","NO")</f>
        <v>NO</v>
      </c>
      <c r="AO32" s="267" t="str">
        <f>IF(ISNUMBER(SEARCH("R", 'Dry_Litterbag Placem_Collection'!S33)),"YES","NO")</f>
        <v>NO</v>
      </c>
    </row>
    <row r="33" spans="1:41">
      <c r="A33" s="259" t="s">
        <v>2643</v>
      </c>
      <c r="B33" s="260">
        <f>'Dry_Litterbag Placem_Collection'!A34</f>
        <v>32</v>
      </c>
      <c r="C33" s="260" t="str">
        <f>'Dry_Litterbag Placem_Collection'!B34</f>
        <v>Makao</v>
      </c>
      <c r="D33" s="260" t="s">
        <v>2643</v>
      </c>
      <c r="E33" s="260" t="s">
        <v>2644</v>
      </c>
      <c r="F33" s="260">
        <v>4</v>
      </c>
      <c r="G33" s="260" t="s">
        <v>3804</v>
      </c>
      <c r="H33" s="261" t="str">
        <f>'Dry_Litterbag Placem_Collection'!C34</f>
        <v>Dry_Ag4_T8</v>
      </c>
      <c r="I33" s="262" t="s">
        <v>2525</v>
      </c>
      <c r="J33" s="263" t="s">
        <v>1147</v>
      </c>
      <c r="K33" s="260" t="str">
        <f>IF(ISBLANK('Dry_Litterbag Placem_Collection'!J34),"","G"&amp;""&amp;'Dry_Litterbag Placem_Collection'!J34)</f>
        <v>G193</v>
      </c>
      <c r="L33" s="264">
        <f>IFERROR(INDEX('Green_rooibos initial weight'!$C$5:$C$2000,MATCH(K33, 'Green_rooibos initial weight'!$A$5:$A$2000,0)),"")</f>
        <v>2.177</v>
      </c>
      <c r="M33" s="264">
        <f>IFERROR(L33-(TBIcalc!$Q$9+TBIcalc!$Q$10),"")</f>
        <v>1.9272</v>
      </c>
      <c r="N33" s="385">
        <f>AVERAGE(Ashed_controlls!$K$2:$K$11)</f>
        <v>5.5147656768714146</v>
      </c>
      <c r="O33" s="264">
        <f t="shared" si="1"/>
        <v>1.8209194358753342</v>
      </c>
      <c r="P33" s="264">
        <f>IFERROR(INDEX('Both teabags AfterDry'!$D$2:$D$2000,MATCH(K33,'Both teabags AfterDry'!$A$2:$A$2000,0)),"")</f>
        <v>1.8848</v>
      </c>
      <c r="Q33" s="264">
        <f>IFERROR(IF(P33&gt;0,P33-(TBIcalc!$Q$9),""),"")</f>
        <v>1.7342</v>
      </c>
      <c r="R33" s="275">
        <f>IFERROR(INDEX('Ashed teabags dry'!$K$2:$K$2000,MATCH(K33,'Ashed teabags dry'!$A$2:$A$2000,0)),"")</f>
        <v>6.5004452359746852</v>
      </c>
      <c r="S33" s="275">
        <f t="shared" si="2"/>
        <v>1.6214692787177269</v>
      </c>
      <c r="T33" s="265">
        <f>IF('Dry_Litterbag Placem_Collection'!E34="","",'Dry_Litterbag Placem_Collection'!E34)</f>
        <v>42936</v>
      </c>
      <c r="U33" s="265">
        <f>IF('Dry_Litterbag Placem_Collection'!G34="","",'Dry_Litterbag Placem_Collection'!G34)</f>
        <v>43007</v>
      </c>
      <c r="V33" s="266">
        <f t="shared" si="0"/>
        <v>71</v>
      </c>
      <c r="W33" s="264">
        <f t="shared" si="3"/>
        <v>0.19300000000000006</v>
      </c>
      <c r="X33" s="264">
        <f t="shared" si="4"/>
        <v>0.19945015715760728</v>
      </c>
      <c r="Y33" s="268">
        <f>IFERROR(INDEX(Rainfall_Dry!$O$2:$O$217,MATCH(B33, Rainfall_Dry!$A$2:$A$217,0)),"")</f>
        <v>6.900000125</v>
      </c>
      <c r="Z33" s="257">
        <v>51.960000000000008</v>
      </c>
      <c r="AA33" s="257">
        <v>18.919999999999995</v>
      </c>
      <c r="AB33" s="257">
        <v>29.120000000000005</v>
      </c>
      <c r="AC33" s="258" t="s">
        <v>2657</v>
      </c>
      <c r="AD33" s="257">
        <v>8.8529324790537203</v>
      </c>
      <c r="AE33" t="str">
        <f>IF('WetLitterbags placem_collection'!AB34="","",'WetLitterbags placem_collection'!AB34)</f>
        <v/>
      </c>
      <c r="AF33" t="str">
        <f>IF('WetLitterbags placem_collection'!Z34="","",'WetLitterbags placem_collection'!Z34)</f>
        <v/>
      </c>
      <c r="AG33" s="243" t="str">
        <f>IF('WetLitterbags placem_collection'!AA34="","",'WetLitterbags placem_collection'!AA34)</f>
        <v/>
      </c>
      <c r="AH33" t="str">
        <f>IF('WetLitterbags placem_collection'!AC34="","",'WetLitterbags placem_collection'!AC34)</f>
        <v/>
      </c>
      <c r="AI33">
        <f>IFERROR(AVERAGE('Dry_Litterbag Placem_Collection'!O34,'Dry_Litterbag Placem_Collection'!R34),"")</f>
        <v>11.850000000000001</v>
      </c>
      <c r="AJ33" s="268">
        <f>IFERROR(AVERAGE('Dry_Litterbag Placem_Collection'!N34,'Dry_Litterbag Placem_Collection'!Q34),"")</f>
        <v>25.45</v>
      </c>
      <c r="AK33" s="267">
        <f>INDEX(Coordinates!$B$2:$B$197,MATCH(H33,Coordinates!$J$2:$J$197,0))</f>
        <v>-3.3849010060000002</v>
      </c>
      <c r="AL33" s="267">
        <f>INDEX(Coordinates!$C$2:$C$197,MATCH(H33,Coordinates!$J$2:$J$197,0))</f>
        <v>34.818979990000003</v>
      </c>
      <c r="AM33" s="267" t="str">
        <f>IF(ISNUMBER(SEARCH("C", 'Dry_Litterbag Placem_Collection'!S34)),"YES","NO")</f>
        <v>NO</v>
      </c>
      <c r="AN33" s="267" t="str">
        <f>IF(ISNUMBER(SEARCH("H", 'Dry_Litterbag Placem_Collection'!S34)),"YES","NO")</f>
        <v>NO</v>
      </c>
      <c r="AO33" s="267" t="str">
        <f>IF(ISNUMBER(SEARCH("R", 'Dry_Litterbag Placem_Collection'!S34)),"YES","NO")</f>
        <v>NO</v>
      </c>
    </row>
    <row r="34" spans="1:41">
      <c r="A34" s="259" t="s">
        <v>2643</v>
      </c>
      <c r="B34" s="260">
        <f>'Dry_Litterbag Placem_Collection'!A35</f>
        <v>33</v>
      </c>
      <c r="C34" s="260" t="str">
        <f>'Dry_Litterbag Placem_Collection'!B35</f>
        <v>Makao</v>
      </c>
      <c r="D34" s="260" t="s">
        <v>2643</v>
      </c>
      <c r="E34" s="260" t="s">
        <v>20</v>
      </c>
      <c r="F34" s="260">
        <v>1</v>
      </c>
      <c r="G34" s="260" t="s">
        <v>3805</v>
      </c>
      <c r="H34" s="261" t="str">
        <f>'Dry_Litterbag Placem_Collection'!C35</f>
        <v>Dry_P1_T1</v>
      </c>
      <c r="I34" s="262" t="s">
        <v>2525</v>
      </c>
      <c r="J34" s="263" t="s">
        <v>1147</v>
      </c>
      <c r="K34" s="260" t="str">
        <f>IF(ISBLANK('Dry_Litterbag Placem_Collection'!J35),"","G"&amp;""&amp;'Dry_Litterbag Placem_Collection'!J35)</f>
        <v>G218</v>
      </c>
      <c r="L34" s="264">
        <f>IFERROR(INDEX('Green_rooibos initial weight'!$C$5:$C$2000,MATCH(K34, 'Green_rooibos initial weight'!$A$5:$A$2000,0)),"")</f>
        <v>1.96</v>
      </c>
      <c r="M34" s="264">
        <f>IFERROR(L34-(TBIcalc!$Q$9+TBIcalc!$Q$10),"")</f>
        <v>1.7101999999999999</v>
      </c>
      <c r="N34" s="385">
        <f>AVERAGE(Ashed_controlls!$K$2:$K$11)</f>
        <v>5.5147656768714146</v>
      </c>
      <c r="O34" s="264">
        <f t="shared" si="1"/>
        <v>1.615886477394145</v>
      </c>
      <c r="P34" s="264">
        <f>IFERROR(INDEX('Both teabags AfterDry'!$D$2:$D$2000,MATCH(K34,'Both teabags AfterDry'!$A$2:$A$2000,0)),"")</f>
        <v>1.7766</v>
      </c>
      <c r="Q34" s="264">
        <f>IFERROR(IF(P34&gt;0,P34-(TBIcalc!$Q$9),""),"")</f>
        <v>1.6259999999999999</v>
      </c>
      <c r="R34" s="275">
        <f>IFERROR(INDEX('Ashed teabags dry'!$K$2:$K$2000,MATCH(K34,'Ashed teabags dry'!$A$2:$A$2000,0)),"")</f>
        <v>5.8311575282857895</v>
      </c>
      <c r="S34" s="275">
        <f t="shared" si="2"/>
        <v>1.5311853785900729</v>
      </c>
      <c r="T34" s="265">
        <f>IF('Dry_Litterbag Placem_Collection'!E35="","",'Dry_Litterbag Placem_Collection'!E35)</f>
        <v>42938</v>
      </c>
      <c r="U34" s="265">
        <f>IF('Dry_Litterbag Placem_Collection'!G35="","",'Dry_Litterbag Placem_Collection'!G35)</f>
        <v>43005</v>
      </c>
      <c r="V34" s="266">
        <f t="shared" si="0"/>
        <v>67</v>
      </c>
      <c r="W34" s="264">
        <f t="shared" si="3"/>
        <v>8.4200000000000053E-2</v>
      </c>
      <c r="X34" s="264">
        <f t="shared" si="4"/>
        <v>8.4701098804072172E-2</v>
      </c>
      <c r="Y34" s="268">
        <f>IFERROR(INDEX(Rainfall_Dry!$O$2:$O$217,MATCH(B34, Rainfall_Dry!$A$2:$A$217,0)),"")</f>
        <v>6.5250000359999998</v>
      </c>
      <c r="Z34" s="257">
        <v>23.96</v>
      </c>
      <c r="AA34" s="257">
        <v>0.91999999999999804</v>
      </c>
      <c r="AB34" s="257">
        <v>75.12</v>
      </c>
      <c r="AC34" s="258" t="s">
        <v>2654</v>
      </c>
      <c r="AD34" s="257">
        <v>1.2493839329719072</v>
      </c>
      <c r="AE34">
        <f>IF('WetLitterbags placem_collection'!AB35="","",'WetLitterbags placem_collection'!AB35)</f>
        <v>9.5</v>
      </c>
      <c r="AF34">
        <f>IF('WetLitterbags placem_collection'!Z35="","",'WetLitterbags placem_collection'!Z35)</f>
        <v>17.2</v>
      </c>
      <c r="AG34" s="243" t="str">
        <f>IF('WetLitterbags placem_collection'!AA35="","",'WetLitterbags placem_collection'!AA35)</f>
        <v>G</v>
      </c>
      <c r="AH34">
        <f>IF('WetLitterbags placem_collection'!AC35="","",'WetLitterbags placem_collection'!AC35)</f>
        <v>0</v>
      </c>
      <c r="AI34">
        <f>IFERROR(AVERAGE('Dry_Litterbag Placem_Collection'!O35,'Dry_Litterbag Placem_Collection'!R35),"")</f>
        <v>1.65</v>
      </c>
      <c r="AJ34" s="268">
        <f>IFERROR(AVERAGE('Dry_Litterbag Placem_Collection'!N35,'Dry_Litterbag Placem_Collection'!Q35),"")</f>
        <v>26.15</v>
      </c>
      <c r="AK34" s="267">
        <f>INDEX(Coordinates!$B$2:$B$197,MATCH(H34,Coordinates!$J$2:$J$197,0))</f>
        <v>-3.4092039989999998</v>
      </c>
      <c r="AL34" s="267">
        <f>INDEX(Coordinates!$C$2:$C$197,MATCH(H34,Coordinates!$J$2:$J$197,0))</f>
        <v>34.852751009999999</v>
      </c>
      <c r="AM34" s="267" t="str">
        <f>IF(ISNUMBER(SEARCH("C", 'Dry_Litterbag Placem_Collection'!S35)),"YES","NO")</f>
        <v>NO</v>
      </c>
      <c r="AN34" s="267" t="str">
        <f>IF(ISNUMBER(SEARCH("H", 'Dry_Litterbag Placem_Collection'!S35)),"YES","NO")</f>
        <v>NO</v>
      </c>
      <c r="AO34" s="267" t="str">
        <f>IF(ISNUMBER(SEARCH("R", 'Dry_Litterbag Placem_Collection'!S35)),"YES","NO")</f>
        <v>NO</v>
      </c>
    </row>
    <row r="35" spans="1:41">
      <c r="A35" s="259" t="s">
        <v>2643</v>
      </c>
      <c r="B35" s="260">
        <f>'Dry_Litterbag Placem_Collection'!A36</f>
        <v>34</v>
      </c>
      <c r="C35" s="260" t="str">
        <f>'Dry_Litterbag Placem_Collection'!B36</f>
        <v>Makao</v>
      </c>
      <c r="D35" s="260" t="s">
        <v>2643</v>
      </c>
      <c r="E35" s="260" t="s">
        <v>20</v>
      </c>
      <c r="F35" s="260">
        <v>1</v>
      </c>
      <c r="G35" s="260" t="s">
        <v>3805</v>
      </c>
      <c r="H35" s="261" t="str">
        <f>'Dry_Litterbag Placem_Collection'!C36</f>
        <v>Dry_P1_T2</v>
      </c>
      <c r="I35" s="262" t="s">
        <v>2525</v>
      </c>
      <c r="J35" s="263" t="s">
        <v>1147</v>
      </c>
      <c r="K35" s="260" t="str">
        <f>IF(ISBLANK('Dry_Litterbag Placem_Collection'!J36),"","G"&amp;""&amp;'Dry_Litterbag Placem_Collection'!J36)</f>
        <v>G104</v>
      </c>
      <c r="L35" s="264">
        <f>IFERROR(INDEX('Green_rooibos initial weight'!$C$5:$C$2000,MATCH(K35, 'Green_rooibos initial weight'!$A$5:$A$2000,0)),"")</f>
        <v>2.0259999999999998</v>
      </c>
      <c r="M35" s="264">
        <f>IFERROR(L35-(TBIcalc!$Q$9+TBIcalc!$Q$10),"")</f>
        <v>1.7761999999999998</v>
      </c>
      <c r="N35" s="385">
        <f>AVERAGE(Ashed_controlls!$K$2:$K$11)</f>
        <v>5.5147656768714146</v>
      </c>
      <c r="O35" s="264">
        <f t="shared" si="1"/>
        <v>1.6782467320474097</v>
      </c>
      <c r="P35" s="264" t="str">
        <f>IFERROR(INDEX('Both teabags AfterDry'!$D$2:$D$2000,MATCH(K35,'Both teabags AfterDry'!$A$2:$A$2000,0)),"")</f>
        <v/>
      </c>
      <c r="Q35" s="264" t="str">
        <f>IFERROR(IF(P35&gt;0,P35-(TBIcalc!$Q$9),""),"")</f>
        <v/>
      </c>
      <c r="R35" s="275" t="str">
        <f>IFERROR(INDEX('Ashed teabags dry'!$K$2:$K$2000,MATCH(K35,'Ashed teabags dry'!$A$2:$A$2000,0)),"")</f>
        <v/>
      </c>
      <c r="S35" s="275" t="str">
        <f t="shared" si="2"/>
        <v/>
      </c>
      <c r="T35" s="265">
        <f>IF('Dry_Litterbag Placem_Collection'!E36="","",'Dry_Litterbag Placem_Collection'!E36)</f>
        <v>42938</v>
      </c>
      <c r="U35" s="265">
        <f>IF('Dry_Litterbag Placem_Collection'!G36="","",'Dry_Litterbag Placem_Collection'!G36)</f>
        <v>43005</v>
      </c>
      <c r="V35" s="266">
        <f t="shared" si="0"/>
        <v>67</v>
      </c>
      <c r="W35" s="264" t="str">
        <f t="shared" si="3"/>
        <v/>
      </c>
      <c r="X35" s="264" t="str">
        <f t="shared" si="4"/>
        <v/>
      </c>
      <c r="Y35" s="268">
        <f>IFERROR(INDEX(Rainfall_Dry!$O$2:$O$217,MATCH(B35, Rainfall_Dry!$A$2:$A$217,0)),"")</f>
        <v>6.5250000359999998</v>
      </c>
      <c r="Z35" s="257">
        <v>23.96</v>
      </c>
      <c r="AA35" s="257">
        <v>0.91999999999999804</v>
      </c>
      <c r="AB35" s="257">
        <v>75.12</v>
      </c>
      <c r="AC35" s="258" t="s">
        <v>2654</v>
      </c>
      <c r="AD35" s="257">
        <v>1.2493839329719072</v>
      </c>
      <c r="AE35">
        <f>IF('WetLitterbags placem_collection'!AB36="","",'WetLitterbags placem_collection'!AB36)</f>
        <v>6.5</v>
      </c>
      <c r="AF35">
        <f>IF('WetLitterbags placem_collection'!Z36="","",'WetLitterbags placem_collection'!Z36)</f>
        <v>14.2</v>
      </c>
      <c r="AG35" s="243" t="str">
        <f>IF('WetLitterbags placem_collection'!AA36="","",'WetLitterbags placem_collection'!AA36)</f>
        <v>G</v>
      </c>
      <c r="AH35">
        <f>IF('WetLitterbags placem_collection'!AC36="","",'WetLitterbags placem_collection'!AC36)</f>
        <v>0</v>
      </c>
      <c r="AI35">
        <f>IFERROR(AVERAGE('Dry_Litterbag Placem_Collection'!O36,'Dry_Litterbag Placem_Collection'!R36),"")</f>
        <v>3.25</v>
      </c>
      <c r="AJ35" s="268">
        <f>IFERROR(AVERAGE('Dry_Litterbag Placem_Collection'!N36,'Dry_Litterbag Placem_Collection'!Q36),"")</f>
        <v>26.9</v>
      </c>
      <c r="AK35" s="267">
        <f>INDEX(Coordinates!$B$2:$B$197,MATCH(H35,Coordinates!$J$2:$J$197,0))</f>
        <v>-3.4092350119999999</v>
      </c>
      <c r="AL35" s="267">
        <f>INDEX(Coordinates!$C$2:$C$197,MATCH(H35,Coordinates!$J$2:$J$197,0))</f>
        <v>34.852782019999999</v>
      </c>
      <c r="AM35" s="267" t="str">
        <f>IF(ISNUMBER(SEARCH("C", 'Dry_Litterbag Placem_Collection'!S36)),"YES","NO")</f>
        <v>NO</v>
      </c>
      <c r="AN35" s="267" t="str">
        <f>IF(ISNUMBER(SEARCH("H", 'Dry_Litterbag Placem_Collection'!S36)),"YES","NO")</f>
        <v>YES</v>
      </c>
      <c r="AO35" s="267" t="str">
        <f>IF(ISNUMBER(SEARCH("R", 'Dry_Litterbag Placem_Collection'!S36)),"YES","NO")</f>
        <v>NO</v>
      </c>
    </row>
    <row r="36" spans="1:41">
      <c r="A36" s="259" t="s">
        <v>2643</v>
      </c>
      <c r="B36" s="260">
        <f>'Dry_Litterbag Placem_Collection'!A37</f>
        <v>35</v>
      </c>
      <c r="C36" s="260" t="str">
        <f>'Dry_Litterbag Placem_Collection'!B37</f>
        <v>Makao</v>
      </c>
      <c r="D36" s="260" t="s">
        <v>2643</v>
      </c>
      <c r="E36" s="260" t="s">
        <v>20</v>
      </c>
      <c r="F36" s="260">
        <v>1</v>
      </c>
      <c r="G36" s="260" t="s">
        <v>3805</v>
      </c>
      <c r="H36" s="261" t="str">
        <f>'Dry_Litterbag Placem_Collection'!C37</f>
        <v>Dry_P1_T3</v>
      </c>
      <c r="I36" s="262" t="s">
        <v>2525</v>
      </c>
      <c r="J36" s="263" t="s">
        <v>1147</v>
      </c>
      <c r="K36" s="260" t="str">
        <f>IF(ISBLANK('Dry_Litterbag Placem_Collection'!J37),"","G"&amp;""&amp;'Dry_Litterbag Placem_Collection'!J37)</f>
        <v>G188</v>
      </c>
      <c r="L36" s="264">
        <f>IFERROR(INDEX('Green_rooibos initial weight'!$C$5:$C$2000,MATCH(K36, 'Green_rooibos initial weight'!$A$5:$A$2000,0)),"")</f>
        <v>1.952</v>
      </c>
      <c r="M36" s="264">
        <f>IFERROR(L36-(TBIcalc!$Q$9+TBIcalc!$Q$10),"")</f>
        <v>1.7021999999999999</v>
      </c>
      <c r="N36" s="385">
        <f>AVERAGE(Ashed_controlls!$K$2:$K$11)</f>
        <v>5.5147656768714146</v>
      </c>
      <c r="O36" s="264">
        <f t="shared" si="1"/>
        <v>1.6083276586482946</v>
      </c>
      <c r="P36" s="264">
        <f>IFERROR(INDEX('Both teabags AfterDry'!$D$2:$D$2000,MATCH(K36,'Both teabags AfterDry'!$A$2:$A$2000,0)),"")</f>
        <v>1.7849999999999999</v>
      </c>
      <c r="Q36" s="264">
        <f>IFERROR(IF(P36&gt;0,P36-(TBIcalc!$Q$9),""),"")</f>
        <v>1.6343999999999999</v>
      </c>
      <c r="R36" s="275">
        <f>IFERROR(INDEX('Ashed teabags dry'!$K$2:$K$2000,MATCH(K36,'Ashed teabags dry'!$A$2:$A$2000,0)),"")</f>
        <v>5.9055118110234908</v>
      </c>
      <c r="S36" s="275">
        <f t="shared" si="2"/>
        <v>1.5378803149606319</v>
      </c>
      <c r="T36" s="265">
        <f>IF('Dry_Litterbag Placem_Collection'!E37="","",'Dry_Litterbag Placem_Collection'!E37)</f>
        <v>42938</v>
      </c>
      <c r="U36" s="265">
        <f>IF('Dry_Litterbag Placem_Collection'!G37="","",'Dry_Litterbag Placem_Collection'!G37)</f>
        <v>43005</v>
      </c>
      <c r="V36" s="266">
        <f t="shared" si="0"/>
        <v>67</v>
      </c>
      <c r="W36" s="264">
        <f t="shared" si="3"/>
        <v>6.7800000000000082E-2</v>
      </c>
      <c r="X36" s="264">
        <f t="shared" si="4"/>
        <v>7.04473436876627E-2</v>
      </c>
      <c r="Y36" s="268">
        <f>IFERROR(INDEX(Rainfall_Dry!$O$2:$O$217,MATCH(B36, Rainfall_Dry!$A$2:$A$217,0)),"")</f>
        <v>6.5250000359999998</v>
      </c>
      <c r="Z36" s="257">
        <v>23.96</v>
      </c>
      <c r="AA36" s="257">
        <v>0.91999999999999804</v>
      </c>
      <c r="AB36" s="257">
        <v>75.12</v>
      </c>
      <c r="AC36" s="258" t="s">
        <v>2654</v>
      </c>
      <c r="AD36" s="257">
        <v>1.2493839329719072</v>
      </c>
      <c r="AE36">
        <f>IF('WetLitterbags placem_collection'!AB37="","",'WetLitterbags placem_collection'!AB37)</f>
        <v>0.7</v>
      </c>
      <c r="AF36">
        <f>IF('WetLitterbags placem_collection'!Z37="","",'WetLitterbags placem_collection'!Z37)</f>
        <v>10.6</v>
      </c>
      <c r="AG36" s="243" t="str">
        <f>IF('WetLitterbags placem_collection'!AA37="","",'WetLitterbags placem_collection'!AA37)</f>
        <v>G</v>
      </c>
      <c r="AH36">
        <f>IF('WetLitterbags placem_collection'!AC37="","",'WetLitterbags placem_collection'!AC37)</f>
        <v>0</v>
      </c>
      <c r="AI36">
        <f>IFERROR(AVERAGE('Dry_Litterbag Placem_Collection'!O37,'Dry_Litterbag Placem_Collection'!R37),"")</f>
        <v>3.35</v>
      </c>
      <c r="AJ36" s="268">
        <f>IFERROR(AVERAGE('Dry_Litterbag Placem_Collection'!N37,'Dry_Litterbag Placem_Collection'!Q37),"")</f>
        <v>26.95</v>
      </c>
      <c r="AK36" s="267">
        <f>INDEX(Coordinates!$B$2:$B$197,MATCH(H36,Coordinates!$J$2:$J$197,0))</f>
        <v>-3.409177009</v>
      </c>
      <c r="AL36" s="267">
        <f>INDEX(Coordinates!$C$2:$C$197,MATCH(H36,Coordinates!$J$2:$J$197,0))</f>
        <v>34.852818990000003</v>
      </c>
      <c r="AM36" s="267" t="str">
        <f>IF(ISNUMBER(SEARCH("C", 'Dry_Litterbag Placem_Collection'!S37)),"YES","NO")</f>
        <v>NO</v>
      </c>
      <c r="AN36" s="267" t="str">
        <f>IF(ISNUMBER(SEARCH("H", 'Dry_Litterbag Placem_Collection'!S37)),"YES","NO")</f>
        <v>NO</v>
      </c>
      <c r="AO36" s="267" t="str">
        <f>IF(ISNUMBER(SEARCH("R", 'Dry_Litterbag Placem_Collection'!S37)),"YES","NO")</f>
        <v>NO</v>
      </c>
    </row>
    <row r="37" spans="1:41">
      <c r="A37" s="259" t="s">
        <v>2643</v>
      </c>
      <c r="B37" s="260">
        <f>'Dry_Litterbag Placem_Collection'!A38</f>
        <v>36</v>
      </c>
      <c r="C37" s="260" t="str">
        <f>'Dry_Litterbag Placem_Collection'!B38</f>
        <v>Makao</v>
      </c>
      <c r="D37" s="260" t="s">
        <v>2643</v>
      </c>
      <c r="E37" s="260" t="s">
        <v>20</v>
      </c>
      <c r="F37" s="260">
        <v>1</v>
      </c>
      <c r="G37" s="260" t="s">
        <v>3805</v>
      </c>
      <c r="H37" s="261" t="str">
        <f>'Dry_Litterbag Placem_Collection'!C38</f>
        <v>Dry_P1_T4</v>
      </c>
      <c r="I37" s="262" t="s">
        <v>2525</v>
      </c>
      <c r="J37" s="263" t="s">
        <v>1147</v>
      </c>
      <c r="K37" s="260" t="str">
        <f>IF(ISBLANK('Dry_Litterbag Placem_Collection'!J38),"","G"&amp;""&amp;'Dry_Litterbag Placem_Collection'!J38)</f>
        <v>G379</v>
      </c>
      <c r="L37" s="264">
        <f>IFERROR(INDEX('Green_rooibos initial weight'!$C$5:$C$2000,MATCH(K37, 'Green_rooibos initial weight'!$A$5:$A$2000,0)),"")</f>
        <v>2.052</v>
      </c>
      <c r="M37" s="264">
        <f>IFERROR(L37-(TBIcalc!$Q$9+TBIcalc!$Q$10),"")</f>
        <v>1.8022</v>
      </c>
      <c r="N37" s="385">
        <f>AVERAGE(Ashed_controlls!$K$2:$K$11)</f>
        <v>5.5147656768714146</v>
      </c>
      <c r="O37" s="264">
        <f t="shared" si="1"/>
        <v>1.7028128929714235</v>
      </c>
      <c r="P37" s="264">
        <f>IFERROR(INDEX('Both teabags AfterDry'!$D$2:$D$2000,MATCH(K37,'Both teabags AfterDry'!$A$2:$A$2000,0)),"")</f>
        <v>1.65</v>
      </c>
      <c r="Q37" s="264">
        <f>IFERROR(IF(P37&gt;0,P37-(TBIcalc!$Q$9),""),"")</f>
        <v>1.4993999999999998</v>
      </c>
      <c r="R37" s="275">
        <f>IFERROR(INDEX('Ashed teabags dry'!$K$2:$K$2000,MATCH(K37,'Ashed teabags dry'!$A$2:$A$2000,0)),"")</f>
        <v>8.6725663716812598</v>
      </c>
      <c r="S37" s="275">
        <f t="shared" si="2"/>
        <v>1.3693635398230111</v>
      </c>
      <c r="T37" s="265">
        <f>IF('Dry_Litterbag Placem_Collection'!E38="","",'Dry_Litterbag Placem_Collection'!E38)</f>
        <v>42938</v>
      </c>
      <c r="U37" s="265">
        <f>IF('Dry_Litterbag Placem_Collection'!G38="","",'Dry_Litterbag Placem_Collection'!G38)</f>
        <v>43005</v>
      </c>
      <c r="V37" s="266">
        <f t="shared" si="0"/>
        <v>67</v>
      </c>
      <c r="W37" s="264">
        <f t="shared" si="3"/>
        <v>0.30280000000000018</v>
      </c>
      <c r="X37" s="264">
        <f t="shared" si="4"/>
        <v>0.3334493531484124</v>
      </c>
      <c r="Y37" s="268">
        <f>IFERROR(INDEX(Rainfall_Dry!$O$2:$O$217,MATCH(B37, Rainfall_Dry!$A$2:$A$217,0)),"")</f>
        <v>6.5250000359999998</v>
      </c>
      <c r="Z37" s="257">
        <v>23.96</v>
      </c>
      <c r="AA37" s="257">
        <v>0.91999999999999804</v>
      </c>
      <c r="AB37" s="257">
        <v>75.12</v>
      </c>
      <c r="AC37" s="258" t="s">
        <v>2654</v>
      </c>
      <c r="AD37" s="257">
        <v>1.2493839329719072</v>
      </c>
      <c r="AE37">
        <f>IF('WetLitterbags placem_collection'!AB38="","",'WetLitterbags placem_collection'!AB38)</f>
        <v>3.3</v>
      </c>
      <c r="AF37">
        <f>IF('WetLitterbags placem_collection'!Z38="","",'WetLitterbags placem_collection'!Z38)</f>
        <v>4.9000000000000004</v>
      </c>
      <c r="AG37" s="243" t="str">
        <f>IF('WetLitterbags placem_collection'!AA38="","",'WetLitterbags placem_collection'!AA38)</f>
        <v>G</v>
      </c>
      <c r="AH37">
        <f>IF('WetLitterbags placem_collection'!AC38="","",'WetLitterbags placem_collection'!AC38)</f>
        <v>1</v>
      </c>
      <c r="AI37">
        <f>IFERROR(AVERAGE('Dry_Litterbag Placem_Collection'!O38,'Dry_Litterbag Placem_Collection'!R38),"")</f>
        <v>3</v>
      </c>
      <c r="AJ37" s="268">
        <f>IFERROR(AVERAGE('Dry_Litterbag Placem_Collection'!N38,'Dry_Litterbag Placem_Collection'!Q38),"")</f>
        <v>25.85</v>
      </c>
      <c r="AK37" s="267">
        <f>INDEX(Coordinates!$B$2:$B$197,MATCH(H37,Coordinates!$J$2:$J$197,0))</f>
        <v>-3.40917198</v>
      </c>
      <c r="AL37" s="267">
        <f>INDEX(Coordinates!$C$2:$C$197,MATCH(H37,Coordinates!$J$2:$J$197,0))</f>
        <v>34.852960979999999</v>
      </c>
      <c r="AM37" s="267" t="str">
        <f>IF(ISNUMBER(SEARCH("C", 'Dry_Litterbag Placem_Collection'!S38)),"YES","NO")</f>
        <v>NO</v>
      </c>
      <c r="AN37" s="267" t="str">
        <f>IF(ISNUMBER(SEARCH("H", 'Dry_Litterbag Placem_Collection'!S38)),"YES","NO")</f>
        <v>NO</v>
      </c>
      <c r="AO37" s="267" t="str">
        <f>IF(ISNUMBER(SEARCH("R", 'Dry_Litterbag Placem_Collection'!S38)),"YES","NO")</f>
        <v>NO</v>
      </c>
    </row>
    <row r="38" spans="1:41">
      <c r="A38" s="259" t="s">
        <v>2643</v>
      </c>
      <c r="B38" s="260">
        <f>'Dry_Litterbag Placem_Collection'!A39</f>
        <v>37</v>
      </c>
      <c r="C38" s="260" t="str">
        <f>'Dry_Litterbag Placem_Collection'!B39</f>
        <v>Makao</v>
      </c>
      <c r="D38" s="260" t="s">
        <v>2643</v>
      </c>
      <c r="E38" s="260" t="s">
        <v>20</v>
      </c>
      <c r="F38" s="260">
        <v>1</v>
      </c>
      <c r="G38" s="260" t="s">
        <v>3805</v>
      </c>
      <c r="H38" s="261" t="str">
        <f>'Dry_Litterbag Placem_Collection'!C39</f>
        <v>Dry_P1_T5</v>
      </c>
      <c r="I38" s="262" t="s">
        <v>2525</v>
      </c>
      <c r="J38" s="263" t="s">
        <v>1147</v>
      </c>
      <c r="K38" s="260" t="str">
        <f>IF(ISBLANK('Dry_Litterbag Placem_Collection'!J39),"","G"&amp;""&amp;'Dry_Litterbag Placem_Collection'!J39)</f>
        <v>G66</v>
      </c>
      <c r="L38" s="264">
        <f>IFERROR(INDEX('Green_rooibos initial weight'!$C$5:$C$2000,MATCH(K38, 'Green_rooibos initial weight'!$A$5:$A$2000,0)),"")</f>
        <v>1.9490000000000001</v>
      </c>
      <c r="M38" s="264">
        <f>IFERROR(L38-(TBIcalc!$Q$9+TBIcalc!$Q$10),"")</f>
        <v>1.6992</v>
      </c>
      <c r="N38" s="385">
        <f>AVERAGE(Ashed_controlls!$K$2:$K$11)</f>
        <v>5.5147656768714146</v>
      </c>
      <c r="O38" s="264">
        <f t="shared" si="1"/>
        <v>1.6054931016186009</v>
      </c>
      <c r="P38" s="264">
        <f>IFERROR(INDEX('Both teabags AfterDry'!$D$2:$D$2000,MATCH(K38,'Both teabags AfterDry'!$A$2:$A$2000,0)),"")</f>
        <v>3.3298000000000001</v>
      </c>
      <c r="Q38" s="264">
        <f>IFERROR(IF(P38&gt;0,P38-(TBIcalc!$Q$9),""),"")</f>
        <v>3.1792000000000002</v>
      </c>
      <c r="R38" s="275">
        <f>IFERROR(INDEX('Ashed teabags dry'!$K$2:$K$2000,MATCH(K38,'Ashed teabags dry'!$A$2:$A$2000,0)),"")</f>
        <v>73.511543134872284</v>
      </c>
      <c r="S38" s="275">
        <f t="shared" si="2"/>
        <v>0.84212102065614047</v>
      </c>
      <c r="T38" s="265">
        <f>IF('Dry_Litterbag Placem_Collection'!E39="","",'Dry_Litterbag Placem_Collection'!E39)</f>
        <v>42938</v>
      </c>
      <c r="U38" s="265">
        <f>IF('Dry_Litterbag Placem_Collection'!G39="","",'Dry_Litterbag Placem_Collection'!G39)</f>
        <v>43005</v>
      </c>
      <c r="V38" s="266">
        <f t="shared" si="0"/>
        <v>67</v>
      </c>
      <c r="W38" s="264">
        <f t="shared" si="3"/>
        <v>-1.4800000000000002</v>
      </c>
      <c r="X38" s="264">
        <f t="shared" si="4"/>
        <v>0.76337208096246045</v>
      </c>
      <c r="Y38" s="268">
        <f>IFERROR(INDEX(Rainfall_Dry!$O$2:$O$217,MATCH(B38, Rainfall_Dry!$A$2:$A$217,0)),"")</f>
        <v>6.5250000359999998</v>
      </c>
      <c r="Z38" s="257">
        <v>23.96</v>
      </c>
      <c r="AA38" s="257">
        <v>0.91999999999999804</v>
      </c>
      <c r="AB38" s="257">
        <v>75.12</v>
      </c>
      <c r="AC38" s="258" t="s">
        <v>2654</v>
      </c>
      <c r="AD38" s="257">
        <v>1.2493839329719072</v>
      </c>
      <c r="AE38">
        <f>IF('WetLitterbags placem_collection'!AB39="","",'WetLitterbags placem_collection'!AB39)</f>
        <v>8.3000000000000007</v>
      </c>
      <c r="AF38">
        <f>IF('WetLitterbags placem_collection'!Z39="","",'WetLitterbags placem_collection'!Z39)</f>
        <v>27.8</v>
      </c>
      <c r="AG38" s="243" t="str">
        <f>IF('WetLitterbags placem_collection'!AA39="","",'WetLitterbags placem_collection'!AA39)</f>
        <v>G</v>
      </c>
      <c r="AH38">
        <f>IF('WetLitterbags placem_collection'!AC39="","",'WetLitterbags placem_collection'!AC39)</f>
        <v>0</v>
      </c>
      <c r="AI38">
        <f>IFERROR(AVERAGE('Dry_Litterbag Placem_Collection'!O39,'Dry_Litterbag Placem_Collection'!R39),"")</f>
        <v>4.25</v>
      </c>
      <c r="AJ38" s="268">
        <f>IFERROR(AVERAGE('Dry_Litterbag Placem_Collection'!N39,'Dry_Litterbag Placem_Collection'!Q39),"")</f>
        <v>26.1</v>
      </c>
      <c r="AK38" s="267">
        <f>INDEX(Coordinates!$B$2:$B$197,MATCH(H38,Coordinates!$J$2:$J$197,0))</f>
        <v>-3.4090709779999999</v>
      </c>
      <c r="AL38" s="267">
        <f>INDEX(Coordinates!$C$2:$C$197,MATCH(H38,Coordinates!$J$2:$J$197,0))</f>
        <v>34.852712029999999</v>
      </c>
      <c r="AM38" s="267" t="str">
        <f>IF(ISNUMBER(SEARCH("C", 'Dry_Litterbag Placem_Collection'!S39)),"YES","NO")</f>
        <v>YES</v>
      </c>
      <c r="AN38" s="267" t="str">
        <f>IF(ISNUMBER(SEARCH("H", 'Dry_Litterbag Placem_Collection'!S39)),"YES","NO")</f>
        <v>YES</v>
      </c>
      <c r="AO38" s="267" t="str">
        <f>IF(ISNUMBER(SEARCH("R", 'Dry_Litterbag Placem_Collection'!S39)),"YES","NO")</f>
        <v>NO</v>
      </c>
    </row>
    <row r="39" spans="1:41">
      <c r="A39" s="259" t="s">
        <v>2643</v>
      </c>
      <c r="B39" s="260">
        <f>'Dry_Litterbag Placem_Collection'!A40</f>
        <v>38</v>
      </c>
      <c r="C39" s="260" t="str">
        <f>'Dry_Litterbag Placem_Collection'!B40</f>
        <v>Makao</v>
      </c>
      <c r="D39" s="260" t="s">
        <v>2643</v>
      </c>
      <c r="E39" s="260" t="s">
        <v>20</v>
      </c>
      <c r="F39" s="260">
        <v>1</v>
      </c>
      <c r="G39" s="260" t="s">
        <v>3805</v>
      </c>
      <c r="H39" s="261" t="str">
        <f>'Dry_Litterbag Placem_Collection'!C40</f>
        <v>Dry_P1_T6</v>
      </c>
      <c r="I39" s="262" t="s">
        <v>2525</v>
      </c>
      <c r="J39" s="263" t="s">
        <v>1147</v>
      </c>
      <c r="K39" s="260" t="str">
        <f>IF(ISBLANK('Dry_Litterbag Placem_Collection'!J40),"","G"&amp;""&amp;'Dry_Litterbag Placem_Collection'!J40)</f>
        <v>G625</v>
      </c>
      <c r="L39" s="264">
        <f>IFERROR(INDEX('Green_rooibos initial weight'!$C$5:$C$2000,MATCH(K39, 'Green_rooibos initial weight'!$A$5:$A$2000,0)),"")</f>
        <v>1.9650000000000001</v>
      </c>
      <c r="M39" s="264">
        <f>IFERROR(L39-(TBIcalc!$Q$9+TBIcalc!$Q$10),"")</f>
        <v>1.7152000000000001</v>
      </c>
      <c r="N39" s="385">
        <f>AVERAGE(Ashed_controlls!$K$2:$K$11)</f>
        <v>5.5147656768714146</v>
      </c>
      <c r="O39" s="264">
        <f t="shared" si="1"/>
        <v>1.6206107391103015</v>
      </c>
      <c r="P39" s="264">
        <f>IFERROR(INDEX('Both teabags AfterDry'!$D$2:$D$2000,MATCH(K39,'Both teabags AfterDry'!$A$2:$A$2000,0)),"")</f>
        <v>1.8379000000000001</v>
      </c>
      <c r="Q39" s="264">
        <f>IFERROR(IF(P39&gt;0,P39-(TBIcalc!$Q$9),""),"")</f>
        <v>1.6873</v>
      </c>
      <c r="R39" s="275">
        <f>IFERROR(INDEX('Ashed teabags dry'!$K$2:$K$2000,MATCH(K39,'Ashed teabags dry'!$A$2:$A$2000,0)),"")</f>
        <v>9.99592003263969</v>
      </c>
      <c r="S39" s="275">
        <f t="shared" si="2"/>
        <v>1.5186388412892706</v>
      </c>
      <c r="T39" s="265">
        <f>IF('Dry_Litterbag Placem_Collection'!E40="","",'Dry_Litterbag Placem_Collection'!E40)</f>
        <v>42938</v>
      </c>
      <c r="U39" s="265">
        <f>IF('Dry_Litterbag Placem_Collection'!G40="","",'Dry_Litterbag Placem_Collection'!G40)</f>
        <v>43005</v>
      </c>
      <c r="V39" s="266">
        <f t="shared" si="0"/>
        <v>67</v>
      </c>
      <c r="W39" s="264">
        <f t="shared" si="3"/>
        <v>2.7900000000000036E-2</v>
      </c>
      <c r="X39" s="264">
        <f t="shared" si="4"/>
        <v>0.10197189782103089</v>
      </c>
      <c r="Y39" s="268">
        <f>IFERROR(INDEX(Rainfall_Dry!$O$2:$O$217,MATCH(B39, Rainfall_Dry!$A$2:$A$217,0)),"")</f>
        <v>6.5250000359999998</v>
      </c>
      <c r="Z39" s="257">
        <v>23.96</v>
      </c>
      <c r="AA39" s="257">
        <v>0.91999999999999804</v>
      </c>
      <c r="AB39" s="257">
        <v>75.12</v>
      </c>
      <c r="AC39" s="258" t="s">
        <v>2654</v>
      </c>
      <c r="AD39" s="257">
        <v>1.2493839329719072</v>
      </c>
      <c r="AE39">
        <f>IF('WetLitterbags placem_collection'!AB40="","",'WetLitterbags placem_collection'!AB40)</f>
        <v>2</v>
      </c>
      <c r="AF39">
        <f>IF('WetLitterbags placem_collection'!Z40="","",'WetLitterbags placem_collection'!Z40)</f>
        <v>20.399999999999999</v>
      </c>
      <c r="AG39" s="243" t="str">
        <f>IF('WetLitterbags placem_collection'!AA40="","",'WetLitterbags placem_collection'!AA40)</f>
        <v>O</v>
      </c>
      <c r="AH39">
        <f>IF('WetLitterbags placem_collection'!AC40="","",'WetLitterbags placem_collection'!AC40)</f>
        <v>0</v>
      </c>
      <c r="AI39">
        <f>IFERROR(AVERAGE('Dry_Litterbag Placem_Collection'!O40,'Dry_Litterbag Placem_Collection'!R40),"")</f>
        <v>2.85</v>
      </c>
      <c r="AJ39" s="268">
        <f>IFERROR(AVERAGE('Dry_Litterbag Placem_Collection'!N40,'Dry_Litterbag Placem_Collection'!Q40),"")</f>
        <v>26.7</v>
      </c>
      <c r="AK39" s="267">
        <f>INDEX(Coordinates!$B$2:$B$197,MATCH(H39,Coordinates!$J$2:$J$197,0))</f>
        <v>-3.409280023</v>
      </c>
      <c r="AL39" s="267">
        <f>INDEX(Coordinates!$C$2:$C$197,MATCH(H39,Coordinates!$J$2:$J$197,0))</f>
        <v>34.852612960000002</v>
      </c>
      <c r="AM39" s="267" t="str">
        <f>IF(ISNUMBER(SEARCH("C", 'Dry_Litterbag Placem_Collection'!S40)),"YES","NO")</f>
        <v>YES</v>
      </c>
      <c r="AN39" s="267" t="str">
        <f>IF(ISNUMBER(SEARCH("H", 'Dry_Litterbag Placem_Collection'!S40)),"YES","NO")</f>
        <v>YES</v>
      </c>
      <c r="AO39" s="267" t="str">
        <f>IF(ISNUMBER(SEARCH("R", 'Dry_Litterbag Placem_Collection'!S40)),"YES","NO")</f>
        <v>NO</v>
      </c>
    </row>
    <row r="40" spans="1:41">
      <c r="A40" s="259" t="s">
        <v>2643</v>
      </c>
      <c r="B40" s="260">
        <f>'Dry_Litterbag Placem_Collection'!A41</f>
        <v>39</v>
      </c>
      <c r="C40" s="260" t="str">
        <f>'Dry_Litterbag Placem_Collection'!B41</f>
        <v>Makao</v>
      </c>
      <c r="D40" s="260" t="s">
        <v>2643</v>
      </c>
      <c r="E40" s="260" t="s">
        <v>20</v>
      </c>
      <c r="F40" s="260">
        <v>1</v>
      </c>
      <c r="G40" s="260" t="s">
        <v>3805</v>
      </c>
      <c r="H40" s="261" t="str">
        <f>'Dry_Litterbag Placem_Collection'!C41</f>
        <v>Dry_P1_T7</v>
      </c>
      <c r="I40" s="262" t="s">
        <v>2525</v>
      </c>
      <c r="J40" s="263" t="s">
        <v>1147</v>
      </c>
      <c r="K40" s="260" t="str">
        <f>IF(ISBLANK('Dry_Litterbag Placem_Collection'!J41),"","G"&amp;""&amp;'Dry_Litterbag Placem_Collection'!J41)</f>
        <v/>
      </c>
      <c r="L40" s="264" t="str">
        <f>IFERROR(INDEX('Green_rooibos initial weight'!$C$5:$C$2000,MATCH(K40, 'Green_rooibos initial weight'!$A$5:$A$2000,0)),"")</f>
        <v/>
      </c>
      <c r="M40" s="264" t="str">
        <f>IFERROR(L40-(TBIcalc!$Q$9+TBIcalc!$Q$10),"")</f>
        <v/>
      </c>
      <c r="N40" s="385">
        <f>AVERAGE(Ashed_controlls!$K$2:$K$11)</f>
        <v>5.5147656768714146</v>
      </c>
      <c r="O40" s="264" t="str">
        <f t="shared" si="1"/>
        <v/>
      </c>
      <c r="P40" s="264" t="str">
        <f>IFERROR(INDEX('Both teabags AfterDry'!$D$2:$D$2000,MATCH(K40,'Both teabags AfterDry'!$A$2:$A$2000,0)),"")</f>
        <v/>
      </c>
      <c r="Q40" s="264" t="str">
        <f>IFERROR(IF(P40&gt;0,P40-(TBIcalc!$Q$9),""),"")</f>
        <v/>
      </c>
      <c r="R40" s="275" t="str">
        <f>IFERROR(INDEX('Ashed teabags dry'!$K$2:$K$2000,MATCH(K40,'Ashed teabags dry'!$A$2:$A$2000,0)),"")</f>
        <v/>
      </c>
      <c r="S40" s="275" t="str">
        <f t="shared" si="2"/>
        <v/>
      </c>
      <c r="T40" s="265">
        <f>IF('Dry_Litterbag Placem_Collection'!E41="","",'Dry_Litterbag Placem_Collection'!E41)</f>
        <v>42938</v>
      </c>
      <c r="U40" s="265" t="str">
        <f>IF('Dry_Litterbag Placem_Collection'!G41="","",'Dry_Litterbag Placem_Collection'!G41)</f>
        <v/>
      </c>
      <c r="V40" s="266" t="str">
        <f t="shared" si="0"/>
        <v/>
      </c>
      <c r="W40" s="264" t="str">
        <f t="shared" si="3"/>
        <v/>
      </c>
      <c r="X40" s="264" t="str">
        <f t="shared" si="4"/>
        <v/>
      </c>
      <c r="Y40" s="268" t="str">
        <f>IFERROR(INDEX(Rainfall_Dry!$O$2:$O$217,MATCH(B40, Rainfall_Dry!$A$2:$A$217,0)),"")</f>
        <v/>
      </c>
      <c r="Z40" s="257">
        <v>23.96</v>
      </c>
      <c r="AA40" s="257">
        <v>0.91999999999999804</v>
      </c>
      <c r="AB40" s="257">
        <v>75.12</v>
      </c>
      <c r="AC40" s="258" t="s">
        <v>2654</v>
      </c>
      <c r="AD40" s="257">
        <v>1.2493839329719072</v>
      </c>
      <c r="AE40">
        <f>IF('WetLitterbags placem_collection'!AB41="","",'WetLitterbags placem_collection'!AB41)</f>
        <v>2.4</v>
      </c>
      <c r="AF40">
        <f>IF('WetLitterbags placem_collection'!Z41="","",'WetLitterbags placem_collection'!Z41)</f>
        <v>18</v>
      </c>
      <c r="AG40" s="243" t="str">
        <f>IF('WetLitterbags placem_collection'!AA41="","",'WetLitterbags placem_collection'!AA41)</f>
        <v>G</v>
      </c>
      <c r="AH40">
        <f>IF('WetLitterbags placem_collection'!AC41="","",'WetLitterbags placem_collection'!AC41)</f>
        <v>1</v>
      </c>
      <c r="AI40" t="str">
        <f>IFERROR(AVERAGE('Dry_Litterbag Placem_Collection'!O41,'Dry_Litterbag Placem_Collection'!R41),"")</f>
        <v/>
      </c>
      <c r="AJ40" s="268" t="str">
        <f>IFERROR(AVERAGE('Dry_Litterbag Placem_Collection'!N41,'Dry_Litterbag Placem_Collection'!Q41),"")</f>
        <v/>
      </c>
      <c r="AK40" s="267">
        <f>INDEX(Coordinates!$B$2:$B$197,MATCH(H40,Coordinates!$J$2:$J$197,0))</f>
        <v>-3.4093859700000002</v>
      </c>
      <c r="AL40" s="267">
        <f>INDEX(Coordinates!$C$2:$C$197,MATCH(H40,Coordinates!$J$2:$J$197,0))</f>
        <v>34.852855030000001</v>
      </c>
      <c r="AM40" s="267" t="str">
        <f>IF(ISNUMBER(SEARCH("C", 'Dry_Litterbag Placem_Collection'!S41)),"YES","NO")</f>
        <v>NO</v>
      </c>
      <c r="AN40" s="267" t="str">
        <f>IF(ISNUMBER(SEARCH("H", 'Dry_Litterbag Placem_Collection'!S41)),"YES","NO")</f>
        <v>NO</v>
      </c>
      <c r="AO40" s="267" t="str">
        <f>IF(ISNUMBER(SEARCH("R", 'Dry_Litterbag Placem_Collection'!S41)),"YES","NO")</f>
        <v>NO</v>
      </c>
    </row>
    <row r="41" spans="1:41">
      <c r="A41" s="259" t="s">
        <v>2643</v>
      </c>
      <c r="B41" s="260">
        <f>'Dry_Litterbag Placem_Collection'!A42</f>
        <v>40</v>
      </c>
      <c r="C41" s="260" t="str">
        <f>'Dry_Litterbag Placem_Collection'!B42</f>
        <v>Makao</v>
      </c>
      <c r="D41" s="260" t="s">
        <v>2643</v>
      </c>
      <c r="E41" s="260" t="s">
        <v>20</v>
      </c>
      <c r="F41" s="260">
        <v>1</v>
      </c>
      <c r="G41" s="260" t="s">
        <v>3805</v>
      </c>
      <c r="H41" s="261" t="str">
        <f>'Dry_Litterbag Placem_Collection'!C42</f>
        <v>Dry_P1_T8</v>
      </c>
      <c r="I41" s="262" t="s">
        <v>2525</v>
      </c>
      <c r="J41" s="263" t="s">
        <v>1147</v>
      </c>
      <c r="K41" s="260" t="str">
        <f>IF(ISBLANK('Dry_Litterbag Placem_Collection'!J42),"","G"&amp;""&amp;'Dry_Litterbag Placem_Collection'!J42)</f>
        <v>G88</v>
      </c>
      <c r="L41" s="264">
        <f>IFERROR(INDEX('Green_rooibos initial weight'!$C$5:$C$2000,MATCH(K41, 'Green_rooibos initial weight'!$A$5:$A$2000,0)),"")</f>
        <v>2.1549999999999998</v>
      </c>
      <c r="M41" s="264">
        <f>IFERROR(L41-(TBIcalc!$Q$9+TBIcalc!$Q$10),"")</f>
        <v>1.9051999999999998</v>
      </c>
      <c r="N41" s="385">
        <f>AVERAGE(Ashed_controlls!$K$2:$K$11)</f>
        <v>5.5147656768714146</v>
      </c>
      <c r="O41" s="264">
        <f t="shared" si="1"/>
        <v>1.8001326843242456</v>
      </c>
      <c r="P41" s="264">
        <f>IFERROR(INDEX('Both teabags AfterDry'!$D$2:$D$2000,MATCH(K41,'Both teabags AfterDry'!$A$2:$A$2000,0)),"")</f>
        <v>1.9495</v>
      </c>
      <c r="Q41" s="264">
        <f>IFERROR(IF(P41&gt;0,P41-(TBIcalc!$Q$9),""),"")</f>
        <v>1.7988999999999999</v>
      </c>
      <c r="R41" s="275">
        <f>IFERROR(INDEX('Ashed teabags dry'!$K$2:$K$2000,MATCH(K41,'Ashed teabags dry'!$A$2:$A$2000,0)),"")</f>
        <v>6.6945606694563358</v>
      </c>
      <c r="S41" s="275">
        <f t="shared" si="2"/>
        <v>1.6784715481171499</v>
      </c>
      <c r="T41" s="265">
        <f>IF('Dry_Litterbag Placem_Collection'!E42="","",'Dry_Litterbag Placem_Collection'!E42)</f>
        <v>42938</v>
      </c>
      <c r="U41" s="265">
        <f>IF('Dry_Litterbag Placem_Collection'!G42="","",'Dry_Litterbag Placem_Collection'!G42)</f>
        <v>43005</v>
      </c>
      <c r="V41" s="266">
        <f t="shared" si="0"/>
        <v>67</v>
      </c>
      <c r="W41" s="264">
        <f t="shared" si="3"/>
        <v>0.10629999999999984</v>
      </c>
      <c r="X41" s="264">
        <f t="shared" si="4"/>
        <v>0.12166113620709562</v>
      </c>
      <c r="Y41" s="268">
        <f>IFERROR(INDEX(Rainfall_Dry!$O$2:$O$217,MATCH(B41, Rainfall_Dry!$A$2:$A$217,0)),"")</f>
        <v>6.5250000359999998</v>
      </c>
      <c r="Z41" s="257">
        <v>23.96</v>
      </c>
      <c r="AA41" s="257">
        <v>0.91999999999999804</v>
      </c>
      <c r="AB41" s="257">
        <v>75.12</v>
      </c>
      <c r="AC41" s="258" t="s">
        <v>2654</v>
      </c>
      <c r="AD41" s="257">
        <v>1.2493839329719072</v>
      </c>
      <c r="AE41">
        <f>IF('WetLitterbags placem_collection'!AB42="","",'WetLitterbags placem_collection'!AB42)</f>
        <v>8.6999999999999993</v>
      </c>
      <c r="AF41">
        <f>IF('WetLitterbags placem_collection'!Z42="","",'WetLitterbags placem_collection'!Z42)</f>
        <v>19.3</v>
      </c>
      <c r="AG41" s="243" t="str">
        <f>IF('WetLitterbags placem_collection'!AA42="","",'WetLitterbags placem_collection'!AA42)</f>
        <v>G</v>
      </c>
      <c r="AH41">
        <f>IF('WetLitterbags placem_collection'!AC42="","",'WetLitterbags placem_collection'!AC42)</f>
        <v>0</v>
      </c>
      <c r="AI41">
        <f>IFERROR(AVERAGE('Dry_Litterbag Placem_Collection'!O42,'Dry_Litterbag Placem_Collection'!R42),"")</f>
        <v>4.5999999999999996</v>
      </c>
      <c r="AJ41" s="268">
        <f>IFERROR(AVERAGE('Dry_Litterbag Placem_Collection'!N42,'Dry_Litterbag Placem_Collection'!Q42),"")</f>
        <v>26.2</v>
      </c>
      <c r="AK41" s="267">
        <f>INDEX(Coordinates!$B$2:$B$197,MATCH(H41,Coordinates!$J$2:$J$197,0))</f>
        <v>-3.4091539590000002</v>
      </c>
      <c r="AL41" s="267">
        <f>INDEX(Coordinates!$C$2:$C$197,MATCH(H41,Coordinates!$J$2:$J$197,0))</f>
        <v>34.852755029999997</v>
      </c>
      <c r="AM41" s="267" t="str">
        <f>IF(ISNUMBER(SEARCH("C", 'Dry_Litterbag Placem_Collection'!S42)),"YES","NO")</f>
        <v>YES</v>
      </c>
      <c r="AN41" s="267" t="str">
        <f>IF(ISNUMBER(SEARCH("H", 'Dry_Litterbag Placem_Collection'!S42)),"YES","NO")</f>
        <v>YES</v>
      </c>
      <c r="AO41" s="267" t="str">
        <f>IF(ISNUMBER(SEARCH("R", 'Dry_Litterbag Placem_Collection'!S42)),"YES","NO")</f>
        <v>NO</v>
      </c>
    </row>
    <row r="42" spans="1:41">
      <c r="A42" s="259" t="s">
        <v>2643</v>
      </c>
      <c r="B42" s="260">
        <f>'Dry_Litterbag Placem_Collection'!A43</f>
        <v>41</v>
      </c>
      <c r="C42" s="260" t="str">
        <f>'Dry_Litterbag Placem_Collection'!B43</f>
        <v>Makao</v>
      </c>
      <c r="D42" s="260" t="s">
        <v>2643</v>
      </c>
      <c r="E42" s="260" t="s">
        <v>20</v>
      </c>
      <c r="F42" s="260">
        <v>2</v>
      </c>
      <c r="G42" s="260" t="s">
        <v>3807</v>
      </c>
      <c r="H42" s="261" t="str">
        <f>'Dry_Litterbag Placem_Collection'!C43</f>
        <v>Dry_P2_T1</v>
      </c>
      <c r="I42" s="262" t="s">
        <v>2525</v>
      </c>
      <c r="J42" s="263" t="s">
        <v>1147</v>
      </c>
      <c r="K42" s="260" t="str">
        <f>IF(ISBLANK('Dry_Litterbag Placem_Collection'!J43),"","G"&amp;""&amp;'Dry_Litterbag Placem_Collection'!J43)</f>
        <v>G256</v>
      </c>
      <c r="L42" s="264">
        <f>IFERROR(INDEX('Green_rooibos initial weight'!$C$5:$C$2000,MATCH(K42, 'Green_rooibos initial weight'!$A$5:$A$2000,0)),"")</f>
        <v>2.11</v>
      </c>
      <c r="M42" s="264">
        <f>IFERROR(L42-(TBIcalc!$Q$9+TBIcalc!$Q$10),"")</f>
        <v>1.8601999999999999</v>
      </c>
      <c r="N42" s="385">
        <f>AVERAGE(Ashed_controlls!$K$2:$K$11)</f>
        <v>5.5147656768714146</v>
      </c>
      <c r="O42" s="264">
        <f t="shared" si="1"/>
        <v>1.7576143288788377</v>
      </c>
      <c r="P42" s="264">
        <f>IFERROR(INDEX('Both teabags AfterDry'!$D$2:$D$2000,MATCH(K42,'Both teabags AfterDry'!$A$2:$A$2000,0)),"")</f>
        <v>1.6208</v>
      </c>
      <c r="Q42" s="264">
        <f>IFERROR(IF(P42&gt;0,P42-(TBIcalc!$Q$9),""),"")</f>
        <v>1.4702</v>
      </c>
      <c r="R42" s="275">
        <f>IFERROR(INDEX('Ashed teabags dry'!$K$2:$K$2000,MATCH(K42,'Ashed teabags dry'!$A$2:$A$2000,0)),"")</f>
        <v>6.3627730294394693</v>
      </c>
      <c r="S42" s="275">
        <f t="shared" si="2"/>
        <v>1.376654510921181</v>
      </c>
      <c r="T42" s="265">
        <f>IF('Dry_Litterbag Placem_Collection'!E43="","",'Dry_Litterbag Placem_Collection'!E43)</f>
        <v>42938</v>
      </c>
      <c r="U42" s="265">
        <f>IF('Dry_Litterbag Placem_Collection'!G43="","",'Dry_Litterbag Placem_Collection'!G43)</f>
        <v>43005</v>
      </c>
      <c r="V42" s="266">
        <f t="shared" si="0"/>
        <v>67</v>
      </c>
      <c r="W42" s="264">
        <f t="shared" si="3"/>
        <v>0.3899999999999999</v>
      </c>
      <c r="X42" s="264">
        <f t="shared" si="4"/>
        <v>0.38095981795765677</v>
      </c>
      <c r="Y42" s="268">
        <f>IFERROR(INDEX(Rainfall_Dry!$O$2:$O$217,MATCH(B42, Rainfall_Dry!$A$2:$A$217,0)),"")</f>
        <v>6.5250000359999998</v>
      </c>
      <c r="Z42" s="257">
        <v>19.96</v>
      </c>
      <c r="AA42" s="257">
        <v>4.9199999999999982</v>
      </c>
      <c r="AB42" s="257">
        <v>75.12</v>
      </c>
      <c r="AC42" s="258" t="s">
        <v>2655</v>
      </c>
      <c r="AD42" s="257">
        <v>1.641498275012321</v>
      </c>
      <c r="AE42">
        <f>IF('WetLitterbags placem_collection'!AB43="","",'WetLitterbags placem_collection'!AB43)</f>
        <v>4</v>
      </c>
      <c r="AF42">
        <f>IF('WetLitterbags placem_collection'!Z43="","",'WetLitterbags placem_collection'!Z43)</f>
        <v>19.100000000000001</v>
      </c>
      <c r="AG42" s="243" t="str">
        <f>IF('WetLitterbags placem_collection'!AA43="","",'WetLitterbags placem_collection'!AA43)</f>
        <v>G</v>
      </c>
      <c r="AH42">
        <f>IF('WetLitterbags placem_collection'!AC43="","",'WetLitterbags placem_collection'!AC43)</f>
        <v>0</v>
      </c>
      <c r="AI42">
        <f>IFERROR(AVERAGE('Dry_Litterbag Placem_Collection'!O43,'Dry_Litterbag Placem_Collection'!R43),"")</f>
        <v>4.6500000000000004</v>
      </c>
      <c r="AJ42" s="268">
        <f>IFERROR(AVERAGE('Dry_Litterbag Placem_Collection'!N43,'Dry_Litterbag Placem_Collection'!Q43),"")</f>
        <v>27.85</v>
      </c>
      <c r="AK42" s="267">
        <f>INDEX(Coordinates!$B$2:$B$197,MATCH(H42,Coordinates!$J$2:$J$197,0))</f>
        <v>-3.4083420040000001</v>
      </c>
      <c r="AL42" s="267">
        <f>INDEX(Coordinates!$C$2:$C$197,MATCH(H42,Coordinates!$J$2:$J$197,0))</f>
        <v>34.850283040000001</v>
      </c>
      <c r="AM42" s="267" t="str">
        <f>IF(ISNUMBER(SEARCH("C", 'Dry_Litterbag Placem_Collection'!S43)),"YES","NO")</f>
        <v>NO</v>
      </c>
      <c r="AN42" s="267" t="str">
        <f>IF(ISNUMBER(SEARCH("H", 'Dry_Litterbag Placem_Collection'!S43)),"YES","NO")</f>
        <v>YES</v>
      </c>
      <c r="AO42" s="267" t="str">
        <f>IF(ISNUMBER(SEARCH("R", 'Dry_Litterbag Placem_Collection'!S43)),"YES","NO")</f>
        <v>NO</v>
      </c>
    </row>
    <row r="43" spans="1:41">
      <c r="A43" s="259" t="s">
        <v>2643</v>
      </c>
      <c r="B43" s="260">
        <f>'Dry_Litterbag Placem_Collection'!A44</f>
        <v>42</v>
      </c>
      <c r="C43" s="260" t="str">
        <f>'Dry_Litterbag Placem_Collection'!B44</f>
        <v>Makao</v>
      </c>
      <c r="D43" s="260" t="s">
        <v>2643</v>
      </c>
      <c r="E43" s="260" t="s">
        <v>20</v>
      </c>
      <c r="F43" s="260">
        <v>2</v>
      </c>
      <c r="G43" s="260" t="s">
        <v>3807</v>
      </c>
      <c r="H43" s="261" t="str">
        <f>'Dry_Litterbag Placem_Collection'!C44</f>
        <v>Dry_P2_T2</v>
      </c>
      <c r="I43" s="262" t="s">
        <v>2525</v>
      </c>
      <c r="J43" s="263" t="s">
        <v>1147</v>
      </c>
      <c r="K43" s="260" t="str">
        <f>IF(ISBLANK('Dry_Litterbag Placem_Collection'!J44),"","G"&amp;""&amp;'Dry_Litterbag Placem_Collection'!J44)</f>
        <v>G341</v>
      </c>
      <c r="L43" s="264">
        <f>IFERROR(INDEX('Green_rooibos initial weight'!$C$5:$C$2000,MATCH(K43, 'Green_rooibos initial weight'!$A$5:$A$2000,0)),"")</f>
        <v>1.954</v>
      </c>
      <c r="M43" s="264">
        <f>IFERROR(L43-(TBIcalc!$Q$9+TBIcalc!$Q$10),"")</f>
        <v>1.7041999999999999</v>
      </c>
      <c r="N43" s="385">
        <f>AVERAGE(Ashed_controlls!$K$2:$K$11)</f>
        <v>5.5147656768714146</v>
      </c>
      <c r="O43" s="264">
        <f t="shared" si="1"/>
        <v>1.6102173633347574</v>
      </c>
      <c r="P43" s="264">
        <f>IFERROR(INDEX('Both teabags AfterDry'!$D$2:$D$2000,MATCH(K43,'Both teabags AfterDry'!$A$2:$A$2000,0)),"")</f>
        <v>1.7267999999999999</v>
      </c>
      <c r="Q43" s="264">
        <f>IFERROR(IF(P43&gt;0,P43-(TBIcalc!$Q$9),""),"")</f>
        <v>1.5761999999999998</v>
      </c>
      <c r="R43" s="275">
        <f>IFERROR(INDEX('Ashed teabags dry'!$K$2:$K$2000,MATCH(K43,'Ashed teabags dry'!$A$2:$A$2000,0)),"")</f>
        <v>7.1704594246447426</v>
      </c>
      <c r="S43" s="275">
        <f t="shared" si="2"/>
        <v>1.4631792185487493</v>
      </c>
      <c r="T43" s="265">
        <f>IF('Dry_Litterbag Placem_Collection'!E44="","",'Dry_Litterbag Placem_Collection'!E44)</f>
        <v>42938</v>
      </c>
      <c r="U43" s="265">
        <f>IF('Dry_Litterbag Placem_Collection'!G44="","",'Dry_Litterbag Placem_Collection'!G44)</f>
        <v>43005</v>
      </c>
      <c r="V43" s="266">
        <f t="shared" si="0"/>
        <v>67</v>
      </c>
      <c r="W43" s="264">
        <f t="shared" si="3"/>
        <v>0.12800000000000011</v>
      </c>
      <c r="X43" s="264">
        <f t="shared" si="4"/>
        <v>0.14703814478600807</v>
      </c>
      <c r="Y43" s="268">
        <f>IFERROR(INDEX(Rainfall_Dry!$O$2:$O$217,MATCH(B43, Rainfall_Dry!$A$2:$A$217,0)),"")</f>
        <v>6.5250000359999998</v>
      </c>
      <c r="Z43" s="257">
        <v>19.96</v>
      </c>
      <c r="AA43" s="257">
        <v>4.9199999999999982</v>
      </c>
      <c r="AB43" s="257">
        <v>75.12</v>
      </c>
      <c r="AC43" s="258" t="s">
        <v>2655</v>
      </c>
      <c r="AD43" s="257">
        <v>1.641498275012321</v>
      </c>
      <c r="AE43">
        <f>IF('WetLitterbags placem_collection'!AB44="","",'WetLitterbags placem_collection'!AB44)</f>
        <v>5.9</v>
      </c>
      <c r="AF43">
        <f>IF('WetLitterbags placem_collection'!Z44="","",'WetLitterbags placem_collection'!Z44)</f>
        <v>12.7</v>
      </c>
      <c r="AG43" s="243" t="str">
        <f>IF('WetLitterbags placem_collection'!AA44="","",'WetLitterbags placem_collection'!AA44)</f>
        <v>G</v>
      </c>
      <c r="AH43">
        <f>IF('WetLitterbags placem_collection'!AC44="","",'WetLitterbags placem_collection'!AC44)</f>
        <v>0</v>
      </c>
      <c r="AI43">
        <f>IFERROR(AVERAGE('Dry_Litterbag Placem_Collection'!O44,'Dry_Litterbag Placem_Collection'!R44),"")</f>
        <v>5.1999999999999993</v>
      </c>
      <c r="AJ43" s="268">
        <f>IFERROR(AVERAGE('Dry_Litterbag Placem_Collection'!N44,'Dry_Litterbag Placem_Collection'!Q44),"")</f>
        <v>27.15</v>
      </c>
      <c r="AK43" s="267">
        <f>INDEX(Coordinates!$B$2:$B$197,MATCH(H43,Coordinates!$J$2:$J$197,0))</f>
        <v>-3.4084079690000002</v>
      </c>
      <c r="AL43" s="267">
        <f>INDEX(Coordinates!$C$2:$C$197,MATCH(H43,Coordinates!$J$2:$J$197,0))</f>
        <v>34.850295029999998</v>
      </c>
      <c r="AM43" s="267" t="str">
        <f>IF(ISNUMBER(SEARCH("C", 'Dry_Litterbag Placem_Collection'!S44)),"YES","NO")</f>
        <v>YES</v>
      </c>
      <c r="AN43" s="267" t="str">
        <f>IF(ISNUMBER(SEARCH("H", 'Dry_Litterbag Placem_Collection'!S44)),"YES","NO")</f>
        <v>YES</v>
      </c>
      <c r="AO43" s="267" t="str">
        <f>IF(ISNUMBER(SEARCH("R", 'Dry_Litterbag Placem_Collection'!S44)),"YES","NO")</f>
        <v>NO</v>
      </c>
    </row>
    <row r="44" spans="1:41">
      <c r="A44" s="259" t="s">
        <v>2643</v>
      </c>
      <c r="B44" s="260">
        <f>'Dry_Litterbag Placem_Collection'!A45</f>
        <v>43</v>
      </c>
      <c r="C44" s="260" t="str">
        <f>'Dry_Litterbag Placem_Collection'!B45</f>
        <v>Makao</v>
      </c>
      <c r="D44" s="260" t="s">
        <v>2643</v>
      </c>
      <c r="E44" s="260" t="s">
        <v>20</v>
      </c>
      <c r="F44" s="260">
        <v>2</v>
      </c>
      <c r="G44" s="260" t="s">
        <v>3807</v>
      </c>
      <c r="H44" s="261" t="str">
        <f>'Dry_Litterbag Placem_Collection'!C45</f>
        <v>Dry_P2_T3</v>
      </c>
      <c r="I44" s="262" t="s">
        <v>2525</v>
      </c>
      <c r="J44" s="263" t="s">
        <v>1147</v>
      </c>
      <c r="K44" s="260" t="str">
        <f>IF(ISBLANK('Dry_Litterbag Placem_Collection'!J45),"","G"&amp;""&amp;'Dry_Litterbag Placem_Collection'!J45)</f>
        <v>G246</v>
      </c>
      <c r="L44" s="264">
        <f>IFERROR(INDEX('Green_rooibos initial weight'!$C$5:$C$2000,MATCH(K44, 'Green_rooibos initial weight'!$A$5:$A$2000,0)),"")</f>
        <v>2.1829999999999998</v>
      </c>
      <c r="M44" s="264">
        <f>IFERROR(L44-(TBIcalc!$Q$9+TBIcalc!$Q$10),"")</f>
        <v>1.9331999999999998</v>
      </c>
      <c r="N44" s="385">
        <f>AVERAGE(Ashed_controlls!$K$2:$K$11)</f>
        <v>5.5147656768714146</v>
      </c>
      <c r="O44" s="264">
        <f t="shared" si="1"/>
        <v>1.8265885499347216</v>
      </c>
      <c r="P44" s="264">
        <f>IFERROR(INDEX('Both teabags AfterDry'!$D$2:$D$2000,MATCH(K44,'Both teabags AfterDry'!$A$2:$A$2000,0)),"")</f>
        <v>1.9577</v>
      </c>
      <c r="Q44" s="264">
        <f>IFERROR(IF(P44&gt;0,P44-(TBIcalc!$Q$9),""),"")</f>
        <v>1.8070999999999999</v>
      </c>
      <c r="R44" s="275">
        <f>IFERROR(INDEX('Ashed teabags dry'!$K$2:$K$2000,MATCH(K44,'Ashed teabags dry'!$A$2:$A$2000,0)),"")</f>
        <v>8.1468218442253786</v>
      </c>
      <c r="S44" s="275">
        <f t="shared" si="2"/>
        <v>1.6598787824530032</v>
      </c>
      <c r="T44" s="265">
        <f>IF('Dry_Litterbag Placem_Collection'!E45="","",'Dry_Litterbag Placem_Collection'!E45)</f>
        <v>42938</v>
      </c>
      <c r="U44" s="265">
        <f>IF('Dry_Litterbag Placem_Collection'!G45="","",'Dry_Litterbag Placem_Collection'!G45)</f>
        <v>43005</v>
      </c>
      <c r="V44" s="266">
        <f t="shared" si="0"/>
        <v>67</v>
      </c>
      <c r="W44" s="264">
        <f t="shared" si="3"/>
        <v>0.12609999999999988</v>
      </c>
      <c r="X44" s="264">
        <f t="shared" si="4"/>
        <v>0.1667097674817184</v>
      </c>
      <c r="Y44" s="268">
        <f>IFERROR(INDEX(Rainfall_Dry!$O$2:$O$217,MATCH(B44, Rainfall_Dry!$A$2:$A$217,0)),"")</f>
        <v>6.5250000359999998</v>
      </c>
      <c r="Z44" s="257">
        <v>19.96</v>
      </c>
      <c r="AA44" s="257">
        <v>4.9199999999999982</v>
      </c>
      <c r="AB44" s="257">
        <v>75.12</v>
      </c>
      <c r="AC44" s="258" t="s">
        <v>2655</v>
      </c>
      <c r="AD44" s="257">
        <v>1.641498275012321</v>
      </c>
      <c r="AE44">
        <f>IF('WetLitterbags placem_collection'!AB45="","",'WetLitterbags placem_collection'!AB45)</f>
        <v>5</v>
      </c>
      <c r="AF44">
        <f>IF('WetLitterbags placem_collection'!Z45="","",'WetLitterbags placem_collection'!Z45)</f>
        <v>26.3</v>
      </c>
      <c r="AG44" s="243" t="str">
        <f>IF('WetLitterbags placem_collection'!AA45="","",'WetLitterbags placem_collection'!AA45)</f>
        <v>G</v>
      </c>
      <c r="AH44">
        <f>IF('WetLitterbags placem_collection'!AC45="","",'WetLitterbags placem_collection'!AC45)</f>
        <v>0</v>
      </c>
      <c r="AI44">
        <f>IFERROR(AVERAGE('Dry_Litterbag Placem_Collection'!O45,'Dry_Litterbag Placem_Collection'!R45),"")</f>
        <v>2.4500000000000002</v>
      </c>
      <c r="AJ44" s="268">
        <f>IFERROR(AVERAGE('Dry_Litterbag Placem_Collection'!N45,'Dry_Litterbag Placem_Collection'!Q45),"")</f>
        <v>26.1</v>
      </c>
      <c r="AK44" s="267">
        <f>INDEX(Coordinates!$B$2:$B$197,MATCH(H44,Coordinates!$J$2:$J$197,0))</f>
        <v>-3.4082369789999998</v>
      </c>
      <c r="AL44" s="267">
        <f>INDEX(Coordinates!$C$2:$C$197,MATCH(H44,Coordinates!$J$2:$J$197,0))</f>
        <v>34.850189999999998</v>
      </c>
      <c r="AM44" s="267" t="str">
        <f>IF(ISNUMBER(SEARCH("C", 'Dry_Litterbag Placem_Collection'!S45)),"YES","NO")</f>
        <v>YES</v>
      </c>
      <c r="AN44" s="267" t="str">
        <f>IF(ISNUMBER(SEARCH("H", 'Dry_Litterbag Placem_Collection'!S45)),"YES","NO")</f>
        <v>YES</v>
      </c>
      <c r="AO44" s="267" t="str">
        <f>IF(ISNUMBER(SEARCH("R", 'Dry_Litterbag Placem_Collection'!S45)),"YES","NO")</f>
        <v>NO</v>
      </c>
    </row>
    <row r="45" spans="1:41">
      <c r="A45" s="259" t="s">
        <v>2643</v>
      </c>
      <c r="B45" s="260">
        <f>'Dry_Litterbag Placem_Collection'!A46</f>
        <v>44</v>
      </c>
      <c r="C45" s="260" t="str">
        <f>'Dry_Litterbag Placem_Collection'!B46</f>
        <v>Makao</v>
      </c>
      <c r="D45" s="260" t="s">
        <v>2643</v>
      </c>
      <c r="E45" s="260" t="s">
        <v>20</v>
      </c>
      <c r="F45" s="260">
        <v>2</v>
      </c>
      <c r="G45" s="260" t="s">
        <v>3807</v>
      </c>
      <c r="H45" s="261" t="str">
        <f>'Dry_Litterbag Placem_Collection'!C46</f>
        <v>Dry_P2_T4</v>
      </c>
      <c r="I45" s="262" t="s">
        <v>2525</v>
      </c>
      <c r="J45" s="263" t="s">
        <v>1147</v>
      </c>
      <c r="K45" s="260" t="str">
        <f>IF(ISBLANK('Dry_Litterbag Placem_Collection'!J46),"","G"&amp;""&amp;'Dry_Litterbag Placem_Collection'!J46)</f>
        <v>G115</v>
      </c>
      <c r="L45" s="264">
        <f>IFERROR(INDEX('Green_rooibos initial weight'!$C$5:$C$2000,MATCH(K45, 'Green_rooibos initial weight'!$A$5:$A$2000,0)),"")</f>
        <v>2.048</v>
      </c>
      <c r="M45" s="264">
        <f>IFERROR(L45-(TBIcalc!$Q$9+TBIcalc!$Q$10),"")</f>
        <v>1.7982</v>
      </c>
      <c r="N45" s="385">
        <f>AVERAGE(Ashed_controlls!$K$2:$K$11)</f>
        <v>5.5147656768714146</v>
      </c>
      <c r="O45" s="264">
        <f t="shared" si="1"/>
        <v>1.6990334835984982</v>
      </c>
      <c r="P45" s="264">
        <f>IFERROR(INDEX('Both teabags AfterDry'!$D$2:$D$2000,MATCH(K45,'Both teabags AfterDry'!$A$2:$A$2000,0)),"")</f>
        <v>1.7069000000000001</v>
      </c>
      <c r="Q45" s="264">
        <f>IFERROR(IF(P45&gt;0,P45-(TBIcalc!$Q$9),""),"")</f>
        <v>1.5563</v>
      </c>
      <c r="R45" s="275">
        <f>IFERROR(INDEX('Ashed teabags dry'!$K$2:$K$2000,MATCH(K45,'Ashed teabags dry'!$A$2:$A$2000,0)),"")</f>
        <v>5.939159826170572</v>
      </c>
      <c r="S45" s="275">
        <f t="shared" si="2"/>
        <v>1.4638688556253074</v>
      </c>
      <c r="T45" s="265">
        <f>IF('Dry_Litterbag Placem_Collection'!E46="","",'Dry_Litterbag Placem_Collection'!E46)</f>
        <v>42938</v>
      </c>
      <c r="U45" s="265">
        <f>IF('Dry_Litterbag Placem_Collection'!G46="","",'Dry_Litterbag Placem_Collection'!G46)</f>
        <v>43005</v>
      </c>
      <c r="V45" s="266">
        <f t="shared" si="0"/>
        <v>67</v>
      </c>
      <c r="W45" s="264">
        <f t="shared" si="3"/>
        <v>0.2419</v>
      </c>
      <c r="X45" s="264">
        <f t="shared" si="4"/>
        <v>0.23516462797319071</v>
      </c>
      <c r="Y45" s="268">
        <f>IFERROR(INDEX(Rainfall_Dry!$O$2:$O$217,MATCH(B45, Rainfall_Dry!$A$2:$A$217,0)),"")</f>
        <v>6.5250000359999998</v>
      </c>
      <c r="Z45" s="257">
        <v>19.96</v>
      </c>
      <c r="AA45" s="257">
        <v>4.9199999999999982</v>
      </c>
      <c r="AB45" s="257">
        <v>75.12</v>
      </c>
      <c r="AC45" s="258" t="s">
        <v>2655</v>
      </c>
      <c r="AD45" s="257">
        <v>1.641498275012321</v>
      </c>
      <c r="AE45">
        <f>IF('WetLitterbags placem_collection'!AB46="","",'WetLitterbags placem_collection'!AB46)</f>
        <v>2.6</v>
      </c>
      <c r="AF45">
        <f>IF('WetLitterbags placem_collection'!Z46="","",'WetLitterbags placem_collection'!Z46)</f>
        <v>39.200000000000003</v>
      </c>
      <c r="AG45" s="243" t="str">
        <f>IF('WetLitterbags placem_collection'!AA46="","",'WetLitterbags placem_collection'!AA46)</f>
        <v>G</v>
      </c>
      <c r="AH45">
        <f>IF('WetLitterbags placem_collection'!AC46="","",'WetLitterbags placem_collection'!AC46)</f>
        <v>0</v>
      </c>
      <c r="AI45">
        <f>IFERROR(AVERAGE('Dry_Litterbag Placem_Collection'!O46,'Dry_Litterbag Placem_Collection'!R46),"")</f>
        <v>3.8499999999999996</v>
      </c>
      <c r="AJ45" s="268">
        <f>IFERROR(AVERAGE('Dry_Litterbag Placem_Collection'!N46,'Dry_Litterbag Placem_Collection'!Q46),"")</f>
        <v>26.5</v>
      </c>
      <c r="AK45" s="267">
        <f>INDEX(Coordinates!$B$2:$B$197,MATCH(H45,Coordinates!$J$2:$J$197,0))</f>
        <v>-3.4081529920000002</v>
      </c>
      <c r="AL45" s="267">
        <f>INDEX(Coordinates!$C$2:$C$197,MATCH(H45,Coordinates!$J$2:$J$197,0))</f>
        <v>34.850168959999998</v>
      </c>
      <c r="AM45" s="267" t="str">
        <f>IF(ISNUMBER(SEARCH("C", 'Dry_Litterbag Placem_Collection'!S46)),"YES","NO")</f>
        <v>NO</v>
      </c>
      <c r="AN45" s="267" t="str">
        <f>IF(ISNUMBER(SEARCH("H", 'Dry_Litterbag Placem_Collection'!S46)),"YES","NO")</f>
        <v>NO</v>
      </c>
      <c r="AO45" s="267" t="str">
        <f>IF(ISNUMBER(SEARCH("R", 'Dry_Litterbag Placem_Collection'!S46)),"YES","NO")</f>
        <v>NO</v>
      </c>
    </row>
    <row r="46" spans="1:41">
      <c r="A46" s="259" t="s">
        <v>2643</v>
      </c>
      <c r="B46" s="260">
        <f>'Dry_Litterbag Placem_Collection'!A47</f>
        <v>45</v>
      </c>
      <c r="C46" s="260" t="str">
        <f>'Dry_Litterbag Placem_Collection'!B47</f>
        <v>Makao</v>
      </c>
      <c r="D46" s="260" t="s">
        <v>2643</v>
      </c>
      <c r="E46" s="260" t="s">
        <v>20</v>
      </c>
      <c r="F46" s="260">
        <v>2</v>
      </c>
      <c r="G46" s="260" t="s">
        <v>3807</v>
      </c>
      <c r="H46" s="261" t="str">
        <f>'Dry_Litterbag Placem_Collection'!C47</f>
        <v>Dry_P2_T5</v>
      </c>
      <c r="I46" s="262" t="s">
        <v>2525</v>
      </c>
      <c r="J46" s="263" t="s">
        <v>1147</v>
      </c>
      <c r="K46" s="260" t="str">
        <f>IF(ISBLANK('Dry_Litterbag Placem_Collection'!J47),"","G"&amp;""&amp;'Dry_Litterbag Placem_Collection'!J47)</f>
        <v>G480</v>
      </c>
      <c r="L46" s="264">
        <f>IFERROR(INDEX('Green_rooibos initial weight'!$C$5:$C$2000,MATCH(K46, 'Green_rooibos initial weight'!$A$5:$A$2000,0)),"")</f>
        <v>1.9850000000000001</v>
      </c>
      <c r="M46" s="264">
        <f>IFERROR(L46-(TBIcalc!$Q$9+TBIcalc!$Q$10),"")</f>
        <v>1.7352000000000001</v>
      </c>
      <c r="N46" s="385">
        <f>AVERAGE(Ashed_controlls!$K$2:$K$11)</f>
        <v>5.5147656768714146</v>
      </c>
      <c r="O46" s="264">
        <f t="shared" si="1"/>
        <v>1.6395077859749272</v>
      </c>
      <c r="P46" s="264" t="str">
        <f>IFERROR(INDEX('Both teabags AfterDry'!$D$2:$D$2000,MATCH(K46,'Both teabags AfterDry'!$A$2:$A$2000,0)),"")</f>
        <v/>
      </c>
      <c r="Q46" s="264" t="str">
        <f>IFERROR(IF(P46&gt;0,P46-(TBIcalc!$Q$9),""),"")</f>
        <v/>
      </c>
      <c r="R46" s="275" t="str">
        <f>IFERROR(INDEX('Ashed teabags dry'!$K$2:$K$2000,MATCH(K46,'Ashed teabags dry'!$A$2:$A$2000,0)),"")</f>
        <v/>
      </c>
      <c r="S46" s="275" t="str">
        <f t="shared" si="2"/>
        <v/>
      </c>
      <c r="T46" s="265">
        <f>IF('Dry_Litterbag Placem_Collection'!E47="","",'Dry_Litterbag Placem_Collection'!E47)</f>
        <v>42938</v>
      </c>
      <c r="U46" s="265">
        <f>IF('Dry_Litterbag Placem_Collection'!G47="","",'Dry_Litterbag Placem_Collection'!G47)</f>
        <v>43005</v>
      </c>
      <c r="V46" s="266">
        <f t="shared" si="0"/>
        <v>67</v>
      </c>
      <c r="W46" s="264" t="str">
        <f t="shared" si="3"/>
        <v/>
      </c>
      <c r="X46" s="264" t="str">
        <f t="shared" si="4"/>
        <v/>
      </c>
      <c r="Y46" s="268">
        <f>IFERROR(INDEX(Rainfall_Dry!$O$2:$O$217,MATCH(B46, Rainfall_Dry!$A$2:$A$217,0)),"")</f>
        <v>6.5250000359999998</v>
      </c>
      <c r="Z46" s="257">
        <v>19.96</v>
      </c>
      <c r="AA46" s="257">
        <v>4.9199999999999982</v>
      </c>
      <c r="AB46" s="257">
        <v>75.12</v>
      </c>
      <c r="AC46" s="258" t="s">
        <v>2655</v>
      </c>
      <c r="AD46" s="257">
        <v>1.641498275012321</v>
      </c>
      <c r="AE46">
        <f>IF('WetLitterbags placem_collection'!AB47="","",'WetLitterbags placem_collection'!AB47)</f>
        <v>2.2999999999999998</v>
      </c>
      <c r="AF46">
        <f>IF('WetLitterbags placem_collection'!Z47="","",'WetLitterbags placem_collection'!Z47)</f>
        <v>9.3000000000000007</v>
      </c>
      <c r="AG46" s="243" t="str">
        <f>IF('WetLitterbags placem_collection'!AA47="","",'WetLitterbags placem_collection'!AA47)</f>
        <v>O</v>
      </c>
      <c r="AH46">
        <f>IF('WetLitterbags placem_collection'!AC47="","",'WetLitterbags placem_collection'!AC47)</f>
        <v>0</v>
      </c>
      <c r="AI46">
        <f>IFERROR(AVERAGE('Dry_Litterbag Placem_Collection'!O47,'Dry_Litterbag Placem_Collection'!R47),"")</f>
        <v>4.0999999999999996</v>
      </c>
      <c r="AJ46" s="268">
        <f>IFERROR(AVERAGE('Dry_Litterbag Placem_Collection'!N47,'Dry_Litterbag Placem_Collection'!Q47),"")</f>
        <v>27.25</v>
      </c>
      <c r="AK46" s="267">
        <f>INDEX(Coordinates!$B$2:$B$197,MATCH(H46,Coordinates!$J$2:$J$197,0))</f>
        <v>-3.4081789759999999</v>
      </c>
      <c r="AL46" s="267">
        <f>INDEX(Coordinates!$C$2:$C$197,MATCH(H46,Coordinates!$J$2:$J$197,0))</f>
        <v>34.850516980000002</v>
      </c>
      <c r="AM46" s="267" t="str">
        <f>IF(ISNUMBER(SEARCH("C", 'Dry_Litterbag Placem_Collection'!S47)),"YES","NO")</f>
        <v>YES</v>
      </c>
      <c r="AN46" s="267" t="str">
        <f>IF(ISNUMBER(SEARCH("H", 'Dry_Litterbag Placem_Collection'!S47)),"YES","NO")</f>
        <v>YES</v>
      </c>
      <c r="AO46" s="267" t="str">
        <f>IF(ISNUMBER(SEARCH("R", 'Dry_Litterbag Placem_Collection'!S47)),"YES","NO")</f>
        <v>NO</v>
      </c>
    </row>
    <row r="47" spans="1:41">
      <c r="A47" s="259" t="s">
        <v>2643</v>
      </c>
      <c r="B47" s="260">
        <f>'Dry_Litterbag Placem_Collection'!A48</f>
        <v>46</v>
      </c>
      <c r="C47" s="260" t="str">
        <f>'Dry_Litterbag Placem_Collection'!B48</f>
        <v>Makao</v>
      </c>
      <c r="D47" s="260" t="s">
        <v>2643</v>
      </c>
      <c r="E47" s="260" t="s">
        <v>20</v>
      </c>
      <c r="F47" s="260">
        <v>2</v>
      </c>
      <c r="G47" s="260" t="s">
        <v>3807</v>
      </c>
      <c r="H47" s="261" t="str">
        <f>'Dry_Litterbag Placem_Collection'!C48</f>
        <v>Dry_P2_T6</v>
      </c>
      <c r="I47" s="262" t="s">
        <v>2525</v>
      </c>
      <c r="J47" s="263" t="s">
        <v>1147</v>
      </c>
      <c r="K47" s="260" t="str">
        <f>IF(ISBLANK('Dry_Litterbag Placem_Collection'!J48),"","G"&amp;""&amp;'Dry_Litterbag Placem_Collection'!J48)</f>
        <v/>
      </c>
      <c r="L47" s="264" t="str">
        <f>IFERROR(INDEX('Green_rooibos initial weight'!$C$5:$C$2000,MATCH(K47, 'Green_rooibos initial weight'!$A$5:$A$2000,0)),"")</f>
        <v/>
      </c>
      <c r="M47" s="264" t="str">
        <f>IFERROR(L47-(TBIcalc!$Q$9+TBIcalc!$Q$10),"")</f>
        <v/>
      </c>
      <c r="N47" s="385">
        <f>AVERAGE(Ashed_controlls!$K$2:$K$11)</f>
        <v>5.5147656768714146</v>
      </c>
      <c r="O47" s="264" t="str">
        <f t="shared" si="1"/>
        <v/>
      </c>
      <c r="P47" s="264" t="str">
        <f>IFERROR(INDEX('Both teabags AfterDry'!$D$2:$D$2000,MATCH(K47,'Both teabags AfterDry'!$A$2:$A$2000,0)),"")</f>
        <v/>
      </c>
      <c r="Q47" s="264" t="str">
        <f>IFERROR(IF(P47&gt;0,P47-(TBIcalc!$Q$9),""),"")</f>
        <v/>
      </c>
      <c r="R47" s="275" t="str">
        <f>IFERROR(INDEX('Ashed teabags dry'!$K$2:$K$2000,MATCH(K47,'Ashed teabags dry'!$A$2:$A$2000,0)),"")</f>
        <v/>
      </c>
      <c r="S47" s="275" t="str">
        <f t="shared" si="2"/>
        <v/>
      </c>
      <c r="T47" s="265" t="str">
        <f>IF('Dry_Litterbag Placem_Collection'!E48="","",'Dry_Litterbag Placem_Collection'!E48)</f>
        <v/>
      </c>
      <c r="U47" s="265" t="str">
        <f>IF('Dry_Litterbag Placem_Collection'!G48="","",'Dry_Litterbag Placem_Collection'!G48)</f>
        <v/>
      </c>
      <c r="V47" s="266" t="str">
        <f t="shared" si="0"/>
        <v/>
      </c>
      <c r="W47" s="264" t="str">
        <f t="shared" si="3"/>
        <v/>
      </c>
      <c r="X47" s="264" t="str">
        <f t="shared" si="4"/>
        <v/>
      </c>
      <c r="Y47" s="268" t="str">
        <f>IFERROR(INDEX(Rainfall_Dry!$O$2:$O$217,MATCH(B47, Rainfall_Dry!$A$2:$A$217,0)),"")</f>
        <v/>
      </c>
      <c r="Z47" s="257">
        <v>19.96</v>
      </c>
      <c r="AA47" s="257">
        <v>4.9199999999999982</v>
      </c>
      <c r="AB47" s="257">
        <v>75.12</v>
      </c>
      <c r="AC47" s="258" t="s">
        <v>2655</v>
      </c>
      <c r="AD47" s="257">
        <v>1.641498275012321</v>
      </c>
      <c r="AE47" t="str">
        <f>IF('WetLitterbags placem_collection'!AB48="","",'WetLitterbags placem_collection'!AB48)</f>
        <v/>
      </c>
      <c r="AF47" t="str">
        <f>IF('WetLitterbags placem_collection'!Z48="","",'WetLitterbags placem_collection'!Z48)</f>
        <v/>
      </c>
      <c r="AG47" s="243" t="str">
        <f>IF('WetLitterbags placem_collection'!AA48="","",'WetLitterbags placem_collection'!AA48)</f>
        <v/>
      </c>
      <c r="AH47" t="str">
        <f>IF('WetLitterbags placem_collection'!AC48="","",'WetLitterbags placem_collection'!AC48)</f>
        <v/>
      </c>
      <c r="AI47" t="str">
        <f>IFERROR(AVERAGE('Dry_Litterbag Placem_Collection'!O48,'Dry_Litterbag Placem_Collection'!R48),"")</f>
        <v/>
      </c>
      <c r="AJ47" s="268" t="str">
        <f>IFERROR(AVERAGE('Dry_Litterbag Placem_Collection'!N48,'Dry_Litterbag Placem_Collection'!Q48),"")</f>
        <v/>
      </c>
      <c r="AK47" s="267">
        <f>INDEX(Coordinates!$B$2:$B$197,MATCH(H47,Coordinates!$J$2:$J$197,0))</f>
        <v>-3.4084730130000001</v>
      </c>
      <c r="AL47" s="267">
        <f>INDEX(Coordinates!$C$2:$C$197,MATCH(H47,Coordinates!$J$2:$J$197,0))</f>
        <v>34.850401980000001</v>
      </c>
      <c r="AM47" s="267" t="str">
        <f>IF(ISNUMBER(SEARCH("C", 'Dry_Litterbag Placem_Collection'!S48)),"YES","NO")</f>
        <v>NO</v>
      </c>
      <c r="AN47" s="267" t="str">
        <f>IF(ISNUMBER(SEARCH("H", 'Dry_Litterbag Placem_Collection'!S48)),"YES","NO")</f>
        <v>NO</v>
      </c>
      <c r="AO47" s="267" t="str">
        <f>IF(ISNUMBER(SEARCH("R", 'Dry_Litterbag Placem_Collection'!S48)),"YES","NO")</f>
        <v>NO</v>
      </c>
    </row>
    <row r="48" spans="1:41">
      <c r="A48" s="259" t="s">
        <v>2643</v>
      </c>
      <c r="B48" s="260">
        <f>'Dry_Litterbag Placem_Collection'!A49</f>
        <v>47</v>
      </c>
      <c r="C48" s="260" t="str">
        <f>'Dry_Litterbag Placem_Collection'!B49</f>
        <v>Makao</v>
      </c>
      <c r="D48" s="260" t="s">
        <v>2643</v>
      </c>
      <c r="E48" s="260" t="s">
        <v>20</v>
      </c>
      <c r="F48" s="260">
        <v>2</v>
      </c>
      <c r="G48" s="260" t="s">
        <v>3807</v>
      </c>
      <c r="H48" s="261" t="str">
        <f>'Dry_Litterbag Placem_Collection'!C49</f>
        <v>Dry_P2_T7</v>
      </c>
      <c r="I48" s="262" t="s">
        <v>2525</v>
      </c>
      <c r="J48" s="263" t="s">
        <v>1147</v>
      </c>
      <c r="K48" s="260" t="str">
        <f>IF(ISBLANK('Dry_Litterbag Placem_Collection'!J49),"","G"&amp;""&amp;'Dry_Litterbag Placem_Collection'!J49)</f>
        <v>G110</v>
      </c>
      <c r="L48" s="264">
        <f>IFERROR(INDEX('Green_rooibos initial weight'!$C$5:$C$2000,MATCH(K48, 'Green_rooibos initial weight'!$A$5:$A$2000,0)),"")</f>
        <v>2.093</v>
      </c>
      <c r="M48" s="264">
        <f>IFERROR(L48-(TBIcalc!$Q$9+TBIcalc!$Q$10),"")</f>
        <v>1.8431999999999999</v>
      </c>
      <c r="N48" s="385">
        <f>AVERAGE(Ashed_controlls!$K$2:$K$11)</f>
        <v>5.5147656768714146</v>
      </c>
      <c r="O48" s="264">
        <f t="shared" si="1"/>
        <v>1.741551839043906</v>
      </c>
      <c r="P48" s="264">
        <f>IFERROR(INDEX('Both teabags AfterDry'!$D$2:$D$2000,MATCH(K48,'Both teabags AfterDry'!$A$2:$A$2000,0)),"")</f>
        <v>1.8372999999999999</v>
      </c>
      <c r="Q48" s="264">
        <f>IFERROR(IF(P48&gt;0,P48-(TBIcalc!$Q$9),""),"")</f>
        <v>1.6866999999999999</v>
      </c>
      <c r="R48" s="275">
        <f>IFERROR(INDEX('Ashed teabags dry'!$K$2:$K$2000,MATCH(K48,'Ashed teabags dry'!$A$2:$A$2000,0)),"")</f>
        <v>6.3440422936146827</v>
      </c>
      <c r="S48" s="275">
        <f t="shared" si="2"/>
        <v>1.5796950386336011</v>
      </c>
      <c r="T48" s="265">
        <f>IF('Dry_Litterbag Placem_Collection'!E49="","",'Dry_Litterbag Placem_Collection'!E49)</f>
        <v>42938</v>
      </c>
      <c r="U48" s="265">
        <f>IF('Dry_Litterbag Placem_Collection'!G49="","",'Dry_Litterbag Placem_Collection'!G49)</f>
        <v>43005</v>
      </c>
      <c r="V48" s="266">
        <f t="shared" si="0"/>
        <v>67</v>
      </c>
      <c r="W48" s="264">
        <f t="shared" si="3"/>
        <v>0.15650000000000008</v>
      </c>
      <c r="X48" s="264">
        <f t="shared" si="4"/>
        <v>0.16185680041030492</v>
      </c>
      <c r="Y48" s="268">
        <f>IFERROR(INDEX(Rainfall_Dry!$O$2:$O$217,MATCH(B48, Rainfall_Dry!$A$2:$A$217,0)),"")</f>
        <v>6.5250000359999998</v>
      </c>
      <c r="Z48" s="257">
        <v>19.96</v>
      </c>
      <c r="AA48" s="257">
        <v>4.9199999999999982</v>
      </c>
      <c r="AB48" s="257">
        <v>75.12</v>
      </c>
      <c r="AC48" s="258" t="s">
        <v>2655</v>
      </c>
      <c r="AD48" s="257">
        <v>1.641498275012321</v>
      </c>
      <c r="AE48">
        <f>IF('WetLitterbags placem_collection'!AB49="","",'WetLitterbags placem_collection'!AB49)</f>
        <v>5.2</v>
      </c>
      <c r="AF48">
        <f>IF('WetLitterbags placem_collection'!Z49="","",'WetLitterbags placem_collection'!Z49)</f>
        <v>5.2</v>
      </c>
      <c r="AG48" s="243" t="str">
        <f>IF('WetLitterbags placem_collection'!AA49="","",'WetLitterbags placem_collection'!AA49)</f>
        <v>G</v>
      </c>
      <c r="AH48">
        <f>IF('WetLitterbags placem_collection'!AC49="","",'WetLitterbags placem_collection'!AC49)</f>
        <v>0</v>
      </c>
      <c r="AI48">
        <f>IFERROR(AVERAGE('Dry_Litterbag Placem_Collection'!O49,'Dry_Litterbag Placem_Collection'!R49),"")</f>
        <v>5.35</v>
      </c>
      <c r="AJ48" s="268">
        <f>IFERROR(AVERAGE('Dry_Litterbag Placem_Collection'!N49,'Dry_Litterbag Placem_Collection'!Q49),"")</f>
        <v>26.4</v>
      </c>
      <c r="AK48" s="267">
        <f>INDEX(Coordinates!$B$2:$B$197,MATCH(H48,Coordinates!$J$2:$J$197,0))</f>
        <v>-3.4084819820000001</v>
      </c>
      <c r="AL48" s="267">
        <f>INDEX(Coordinates!$C$2:$C$197,MATCH(H48,Coordinates!$J$2:$J$197,0))</f>
        <v>34.850024040000001</v>
      </c>
      <c r="AM48" s="267" t="str">
        <f>IF(ISNUMBER(SEARCH("C", 'Dry_Litterbag Placem_Collection'!S49)),"YES","NO")</f>
        <v>NO</v>
      </c>
      <c r="AN48" s="267" t="str">
        <f>IF(ISNUMBER(SEARCH("H", 'Dry_Litterbag Placem_Collection'!S49)),"YES","NO")</f>
        <v>NO</v>
      </c>
      <c r="AO48" s="267" t="str">
        <f>IF(ISNUMBER(SEARCH("R", 'Dry_Litterbag Placem_Collection'!S49)),"YES","NO")</f>
        <v>NO</v>
      </c>
    </row>
    <row r="49" spans="1:41">
      <c r="A49" s="259" t="s">
        <v>2643</v>
      </c>
      <c r="B49" s="260">
        <f>'Dry_Litterbag Placem_Collection'!A50</f>
        <v>48</v>
      </c>
      <c r="C49" s="260" t="str">
        <f>'Dry_Litterbag Placem_Collection'!B50</f>
        <v>Makao</v>
      </c>
      <c r="D49" s="260" t="s">
        <v>2643</v>
      </c>
      <c r="E49" s="260" t="s">
        <v>20</v>
      </c>
      <c r="F49" s="260">
        <v>2</v>
      </c>
      <c r="G49" s="260" t="s">
        <v>3807</v>
      </c>
      <c r="H49" s="261" t="str">
        <f>'Dry_Litterbag Placem_Collection'!C50</f>
        <v>Dry_P2_T8</v>
      </c>
      <c r="I49" s="262" t="s">
        <v>2525</v>
      </c>
      <c r="J49" s="263" t="s">
        <v>1147</v>
      </c>
      <c r="K49" s="260" t="str">
        <f>IF(ISBLANK('Dry_Litterbag Placem_Collection'!J50),"","G"&amp;""&amp;'Dry_Litterbag Placem_Collection'!J50)</f>
        <v>G233</v>
      </c>
      <c r="L49" s="264">
        <f>IFERROR(INDEX('Green_rooibos initial weight'!$C$5:$C$2000,MATCH(K49, 'Green_rooibos initial weight'!$A$5:$A$2000,0)),"")</f>
        <v>1.9490000000000001</v>
      </c>
      <c r="M49" s="264">
        <f>IFERROR(L49-(TBIcalc!$Q$9+TBIcalc!$Q$10),"")</f>
        <v>1.6992</v>
      </c>
      <c r="N49" s="385">
        <f>AVERAGE(Ashed_controlls!$K$2:$K$11)</f>
        <v>5.5147656768714146</v>
      </c>
      <c r="O49" s="264">
        <f t="shared" si="1"/>
        <v>1.6054931016186009</v>
      </c>
      <c r="P49" s="264">
        <f>IFERROR(INDEX('Both teabags AfterDry'!$D$2:$D$2000,MATCH(K49,'Both teabags AfterDry'!$A$2:$A$2000,0)),"")</f>
        <v>1.6727000000000001</v>
      </c>
      <c r="Q49" s="264">
        <f>IFERROR(IF(P49&gt;0,P49-(TBIcalc!$Q$9),""),"")</f>
        <v>1.5221</v>
      </c>
      <c r="R49" s="275">
        <f>IFERROR(INDEX('Ashed teabags dry'!$K$2:$K$2000,MATCH(K49,'Ashed teabags dry'!$A$2:$A$2000,0)),"")</f>
        <v>6.3352826510722657</v>
      </c>
      <c r="S49" s="275">
        <f t="shared" si="2"/>
        <v>1.4256706627680291</v>
      </c>
      <c r="T49" s="265">
        <f>IF('Dry_Litterbag Placem_Collection'!E50="","",'Dry_Litterbag Placem_Collection'!E50)</f>
        <v>42938</v>
      </c>
      <c r="U49" s="265">
        <f>IF('Dry_Litterbag Placem_Collection'!G50="","",'Dry_Litterbag Placem_Collection'!G50)</f>
        <v>43005</v>
      </c>
      <c r="V49" s="266">
        <f t="shared" si="0"/>
        <v>67</v>
      </c>
      <c r="W49" s="264">
        <f t="shared" si="3"/>
        <v>0.17710000000000004</v>
      </c>
      <c r="X49" s="264">
        <f t="shared" si="4"/>
        <v>0.17982243885057181</v>
      </c>
      <c r="Y49" s="268">
        <f>IFERROR(INDEX(Rainfall_Dry!$O$2:$O$217,MATCH(B49, Rainfall_Dry!$A$2:$A$217,0)),"")</f>
        <v>6.5250000359999998</v>
      </c>
      <c r="Z49" s="257">
        <v>19.96</v>
      </c>
      <c r="AA49" s="257">
        <v>4.9199999999999982</v>
      </c>
      <c r="AB49" s="257">
        <v>75.12</v>
      </c>
      <c r="AC49" s="258" t="s">
        <v>2655</v>
      </c>
      <c r="AD49" s="257">
        <v>1.641498275012321</v>
      </c>
      <c r="AE49">
        <f>IF('WetLitterbags placem_collection'!AB50="","",'WetLitterbags placem_collection'!AB50)</f>
        <v>7.3</v>
      </c>
      <c r="AF49">
        <f>IF('WetLitterbags placem_collection'!Z50="","",'WetLitterbags placem_collection'!Z50)</f>
        <v>27.2</v>
      </c>
      <c r="AG49" s="243" t="str">
        <f>IF('WetLitterbags placem_collection'!AA50="","",'WetLitterbags placem_collection'!AA50)</f>
        <v>M</v>
      </c>
      <c r="AH49">
        <f>IF('WetLitterbags placem_collection'!AC50="","",'WetLitterbags placem_collection'!AC50)</f>
        <v>0</v>
      </c>
      <c r="AI49">
        <f>IFERROR(AVERAGE('Dry_Litterbag Placem_Collection'!O50,'Dry_Litterbag Placem_Collection'!R50),"")</f>
        <v>3.95</v>
      </c>
      <c r="AJ49" s="268">
        <f>IFERROR(AVERAGE('Dry_Litterbag Placem_Collection'!N50,'Dry_Litterbag Placem_Collection'!Q50),"")</f>
        <v>25.950000000000003</v>
      </c>
      <c r="AK49" s="267">
        <f>INDEX(Coordinates!$B$2:$B$197,MATCH(H49,Coordinates!$J$2:$J$197,0))</f>
        <v>-3.4081990090000001</v>
      </c>
      <c r="AL49" s="267">
        <f>INDEX(Coordinates!$C$2:$C$197,MATCH(H49,Coordinates!$J$2:$J$197,0))</f>
        <v>34.850254960000001</v>
      </c>
      <c r="AM49" s="267" t="str">
        <f>IF(ISNUMBER(SEARCH("C", 'Dry_Litterbag Placem_Collection'!S50)),"YES","NO")</f>
        <v>NO</v>
      </c>
      <c r="AN49" s="267" t="str">
        <f>IF(ISNUMBER(SEARCH("H", 'Dry_Litterbag Placem_Collection'!S50)),"YES","NO")</f>
        <v>NO</v>
      </c>
      <c r="AO49" s="267" t="str">
        <f>IF(ISNUMBER(SEARCH("R", 'Dry_Litterbag Placem_Collection'!S50)),"YES","NO")</f>
        <v>NO</v>
      </c>
    </row>
    <row r="50" spans="1:41">
      <c r="A50" s="259" t="s">
        <v>2643</v>
      </c>
      <c r="B50" s="260">
        <f>'Dry_Litterbag Placem_Collection'!A51</f>
        <v>49</v>
      </c>
      <c r="C50" s="260" t="str">
        <f>'Dry_Litterbag Placem_Collection'!B51</f>
        <v>Makao</v>
      </c>
      <c r="D50" s="260" t="s">
        <v>2643</v>
      </c>
      <c r="E50" s="260" t="s">
        <v>20</v>
      </c>
      <c r="F50" s="260">
        <v>3</v>
      </c>
      <c r="G50" s="260" t="s">
        <v>3808</v>
      </c>
      <c r="H50" s="261" t="str">
        <f>'Dry_Litterbag Placem_Collection'!C51</f>
        <v>Dry_P3_T1</v>
      </c>
      <c r="I50" s="262" t="s">
        <v>2525</v>
      </c>
      <c r="J50" s="263" t="s">
        <v>1147</v>
      </c>
      <c r="K50" s="260" t="str">
        <f>IF(ISBLANK('Dry_Litterbag Placem_Collection'!J51),"","G"&amp;""&amp;'Dry_Litterbag Placem_Collection'!J51)</f>
        <v>G54</v>
      </c>
      <c r="L50" s="264">
        <f>IFERROR(INDEX('Green_rooibos initial weight'!$C$5:$C$2000,MATCH(K50, 'Green_rooibos initial weight'!$A$5:$A$2000,0)),"")</f>
        <v>2.0539999999999998</v>
      </c>
      <c r="M50" s="264">
        <f>IFERROR(L50-(TBIcalc!$Q$9+TBIcalc!$Q$10),"")</f>
        <v>1.8041999999999998</v>
      </c>
      <c r="N50" s="385">
        <f>AVERAGE(Ashed_controlls!$K$2:$K$11)</f>
        <v>5.5147656768714146</v>
      </c>
      <c r="O50" s="264">
        <f t="shared" si="1"/>
        <v>1.7047025976578858</v>
      </c>
      <c r="P50" s="264" t="str">
        <f>IFERROR(INDEX('Both teabags AfterDry'!$D$2:$D$2000,MATCH(K50,'Both teabags AfterDry'!$A$2:$A$2000,0)),"")</f>
        <v/>
      </c>
      <c r="Q50" s="264" t="str">
        <f>IFERROR(IF(P50&gt;0,P50-(TBIcalc!$Q$9),""),"")</f>
        <v/>
      </c>
      <c r="R50" s="275" t="str">
        <f>IFERROR(INDEX('Ashed teabags dry'!$K$2:$K$2000,MATCH(K50,'Ashed teabags dry'!$A$2:$A$2000,0)),"")</f>
        <v/>
      </c>
      <c r="S50" s="275" t="str">
        <f t="shared" si="2"/>
        <v/>
      </c>
      <c r="T50" s="265">
        <f>IF('Dry_Litterbag Placem_Collection'!E51="","",'Dry_Litterbag Placem_Collection'!E51)</f>
        <v>42938</v>
      </c>
      <c r="U50" s="265">
        <f>IF('Dry_Litterbag Placem_Collection'!G51="","",'Dry_Litterbag Placem_Collection'!G51)</f>
        <v>43005</v>
      </c>
      <c r="V50" s="266">
        <f t="shared" si="0"/>
        <v>67</v>
      </c>
      <c r="W50" s="264" t="str">
        <f t="shared" si="3"/>
        <v/>
      </c>
      <c r="X50" s="264" t="str">
        <f t="shared" si="4"/>
        <v/>
      </c>
      <c r="Y50" s="268">
        <f>IFERROR(INDEX(Rainfall_Dry!$O$2:$O$217,MATCH(B50, Rainfall_Dry!$A$2:$A$217,0)),"")</f>
        <v>6.5250000359999998</v>
      </c>
      <c r="Z50" s="257">
        <v>21.96</v>
      </c>
      <c r="AA50" s="257">
        <v>8.9199999999999982</v>
      </c>
      <c r="AB50" s="257">
        <v>69.12</v>
      </c>
      <c r="AC50" s="258" t="s">
        <v>2654</v>
      </c>
      <c r="AD50" s="257">
        <v>1.7491375061606702</v>
      </c>
      <c r="AE50">
        <f>IF('WetLitterbags placem_collection'!AB51="","",'WetLitterbags placem_collection'!AB51)</f>
        <v>10.4</v>
      </c>
      <c r="AF50">
        <f>IF('WetLitterbags placem_collection'!Z51="","",'WetLitterbags placem_collection'!Z51)</f>
        <v>36</v>
      </c>
      <c r="AG50" s="243" t="str">
        <f>IF('WetLitterbags placem_collection'!AA51="","",'WetLitterbags placem_collection'!AA51)</f>
        <v>M</v>
      </c>
      <c r="AH50">
        <f>IF('WetLitterbags placem_collection'!AC51="","",'WetLitterbags placem_collection'!AC51)</f>
        <v>1</v>
      </c>
      <c r="AI50">
        <f>IFERROR(AVERAGE('Dry_Litterbag Placem_Collection'!O51,'Dry_Litterbag Placem_Collection'!R51),"")</f>
        <v>7.05</v>
      </c>
      <c r="AJ50" s="268">
        <f>IFERROR(AVERAGE('Dry_Litterbag Placem_Collection'!N51,'Dry_Litterbag Placem_Collection'!Q51),"")</f>
        <v>31.5</v>
      </c>
      <c r="AK50" s="267">
        <f>INDEX(Coordinates!$B$2:$B$197,MATCH(H50,Coordinates!$J$2:$J$197,0))</f>
        <v>-3.406225992</v>
      </c>
      <c r="AL50" s="267">
        <f>INDEX(Coordinates!$C$2:$C$197,MATCH(H50,Coordinates!$J$2:$J$197,0))</f>
        <v>34.85055998</v>
      </c>
      <c r="AM50" s="267" t="str">
        <f>IF(ISNUMBER(SEARCH("C", 'Dry_Litterbag Placem_Collection'!S51)),"YES","NO")</f>
        <v>NO</v>
      </c>
      <c r="AN50" s="267" t="str">
        <f>IF(ISNUMBER(SEARCH("H", 'Dry_Litterbag Placem_Collection'!S51)),"YES","NO")</f>
        <v>NO</v>
      </c>
      <c r="AO50" s="267" t="str">
        <f>IF(ISNUMBER(SEARCH("R", 'Dry_Litterbag Placem_Collection'!S51)),"YES","NO")</f>
        <v>NO</v>
      </c>
    </row>
    <row r="51" spans="1:41">
      <c r="A51" s="259" t="s">
        <v>2643</v>
      </c>
      <c r="B51" s="260">
        <f>'Dry_Litterbag Placem_Collection'!A52</f>
        <v>50</v>
      </c>
      <c r="C51" s="260" t="str">
        <f>'Dry_Litterbag Placem_Collection'!B52</f>
        <v>Makao</v>
      </c>
      <c r="D51" s="260" t="s">
        <v>2643</v>
      </c>
      <c r="E51" s="260" t="s">
        <v>20</v>
      </c>
      <c r="F51" s="260">
        <v>3</v>
      </c>
      <c r="G51" s="260" t="s">
        <v>3808</v>
      </c>
      <c r="H51" s="261" t="str">
        <f>'Dry_Litterbag Placem_Collection'!C52</f>
        <v>Dry_P3_T2</v>
      </c>
      <c r="I51" s="262" t="s">
        <v>2525</v>
      </c>
      <c r="J51" s="263" t="s">
        <v>1147</v>
      </c>
      <c r="K51" s="260" t="str">
        <f>IF(ISBLANK('Dry_Litterbag Placem_Collection'!J52),"","G"&amp;""&amp;'Dry_Litterbag Placem_Collection'!J52)</f>
        <v>G276</v>
      </c>
      <c r="L51" s="264">
        <f>IFERROR(INDEX('Green_rooibos initial weight'!$C$5:$C$2000,MATCH(K51, 'Green_rooibos initial weight'!$A$5:$A$2000,0)),"")</f>
        <v>1.966</v>
      </c>
      <c r="M51" s="264">
        <f>IFERROR(L51-(TBIcalc!$Q$9+TBIcalc!$Q$10),"")</f>
        <v>1.7161999999999999</v>
      </c>
      <c r="N51" s="385">
        <f>AVERAGE(Ashed_controlls!$K$2:$K$11)</f>
        <v>5.5147656768714146</v>
      </c>
      <c r="O51" s="264">
        <f t="shared" si="1"/>
        <v>1.6215555914535327</v>
      </c>
      <c r="P51" s="264" t="str">
        <f>IFERROR(INDEX('Both teabags AfterDry'!$D$2:$D$2000,MATCH(K51,'Both teabags AfterDry'!$A$2:$A$2000,0)),"")</f>
        <v/>
      </c>
      <c r="Q51" s="264" t="str">
        <f>IFERROR(IF(P51&gt;0,P51-(TBIcalc!$Q$9),""),"")</f>
        <v/>
      </c>
      <c r="R51" s="275" t="str">
        <f>IFERROR(INDEX('Ashed teabags dry'!$K$2:$K$2000,MATCH(K51,'Ashed teabags dry'!$A$2:$A$2000,0)),"")</f>
        <v/>
      </c>
      <c r="S51" s="275" t="str">
        <f t="shared" si="2"/>
        <v/>
      </c>
      <c r="T51" s="265">
        <f>IF('Dry_Litterbag Placem_Collection'!E52="","",'Dry_Litterbag Placem_Collection'!E52)</f>
        <v>42938</v>
      </c>
      <c r="U51" s="265" t="str">
        <f>IF('Dry_Litterbag Placem_Collection'!G52="","",'Dry_Litterbag Placem_Collection'!G52)</f>
        <v/>
      </c>
      <c r="V51" s="266" t="str">
        <f t="shared" si="0"/>
        <v/>
      </c>
      <c r="W51" s="264" t="str">
        <f t="shared" si="3"/>
        <v/>
      </c>
      <c r="X51" s="264" t="str">
        <f t="shared" si="4"/>
        <v/>
      </c>
      <c r="Y51" s="268" t="str">
        <f>IFERROR(INDEX(Rainfall_Dry!$O$2:$O$217,MATCH(B51, Rainfall_Dry!$A$2:$A$217,0)),"")</f>
        <v/>
      </c>
      <c r="Z51" s="257">
        <v>21.96</v>
      </c>
      <c r="AA51" s="257">
        <v>8.9199999999999982</v>
      </c>
      <c r="AB51" s="257">
        <v>69.12</v>
      </c>
      <c r="AC51" s="258" t="s">
        <v>2654</v>
      </c>
      <c r="AD51" s="257">
        <v>1.7491375061606702</v>
      </c>
      <c r="AE51">
        <f>IF('WetLitterbags placem_collection'!AB52="","",'WetLitterbags placem_collection'!AB52)</f>
        <v>10</v>
      </c>
      <c r="AF51">
        <f>IF('WetLitterbags placem_collection'!Z52="","",'WetLitterbags placem_collection'!Z52)</f>
        <v>22.5</v>
      </c>
      <c r="AG51" s="243" t="str">
        <f>IF('WetLitterbags placem_collection'!AA52="","",'WetLitterbags placem_collection'!AA52)</f>
        <v>M</v>
      </c>
      <c r="AH51">
        <f>IF('WetLitterbags placem_collection'!AC52="","",'WetLitterbags placem_collection'!AC52)</f>
        <v>1</v>
      </c>
      <c r="AI51">
        <f>IFERROR(AVERAGE('Dry_Litterbag Placem_Collection'!O52,'Dry_Litterbag Placem_Collection'!R52),"")</f>
        <v>6.4</v>
      </c>
      <c r="AJ51" s="268">
        <f>IFERROR(AVERAGE('Dry_Litterbag Placem_Collection'!N52,'Dry_Litterbag Placem_Collection'!Q52),"")</f>
        <v>27.6</v>
      </c>
      <c r="AK51" s="267">
        <f>INDEX(Coordinates!$B$2:$B$197,MATCH(H51,Coordinates!$J$2:$J$197,0))</f>
        <v>-3.4062630399999998</v>
      </c>
      <c r="AL51" s="267">
        <f>INDEX(Coordinates!$C$2:$C$197,MATCH(H51,Coordinates!$J$2:$J$197,0))</f>
        <v>34.850566010000001</v>
      </c>
      <c r="AM51" s="267" t="str">
        <f>IF(ISNUMBER(SEARCH("C", 'Dry_Litterbag Placem_Collection'!S52)),"YES","NO")</f>
        <v>NO</v>
      </c>
      <c r="AN51" s="267" t="str">
        <f>IF(ISNUMBER(SEARCH("H", 'Dry_Litterbag Placem_Collection'!S52)),"YES","NO")</f>
        <v>NO</v>
      </c>
      <c r="AO51" s="267" t="str">
        <f>IF(ISNUMBER(SEARCH("R", 'Dry_Litterbag Placem_Collection'!S52)),"YES","NO")</f>
        <v>NO</v>
      </c>
    </row>
    <row r="52" spans="1:41">
      <c r="A52" s="259" t="s">
        <v>2643</v>
      </c>
      <c r="B52" s="260">
        <f>'Dry_Litterbag Placem_Collection'!A53</f>
        <v>51</v>
      </c>
      <c r="C52" s="260" t="str">
        <f>'Dry_Litterbag Placem_Collection'!B53</f>
        <v>Makao</v>
      </c>
      <c r="D52" s="260" t="s">
        <v>2643</v>
      </c>
      <c r="E52" s="260" t="s">
        <v>20</v>
      </c>
      <c r="F52" s="260">
        <v>3</v>
      </c>
      <c r="G52" s="260" t="s">
        <v>3808</v>
      </c>
      <c r="H52" s="261" t="str">
        <f>'Dry_Litterbag Placem_Collection'!C53</f>
        <v>Dry_P3_T3</v>
      </c>
      <c r="I52" s="262" t="s">
        <v>2525</v>
      </c>
      <c r="J52" s="263" t="s">
        <v>1147</v>
      </c>
      <c r="K52" s="260" t="str">
        <f>IF(ISBLANK('Dry_Litterbag Placem_Collection'!J53),"","G"&amp;""&amp;'Dry_Litterbag Placem_Collection'!J53)</f>
        <v>G227</v>
      </c>
      <c r="L52" s="264">
        <f>IFERROR(INDEX('Green_rooibos initial weight'!$C$5:$C$2000,MATCH(K52, 'Green_rooibos initial weight'!$A$5:$A$2000,0)),"")</f>
        <v>1.986</v>
      </c>
      <c r="M52" s="264">
        <f>IFERROR(L52-(TBIcalc!$Q$9+TBIcalc!$Q$10),"")</f>
        <v>1.7362</v>
      </c>
      <c r="N52" s="385">
        <f>AVERAGE(Ashed_controlls!$K$2:$K$11)</f>
        <v>5.5147656768714146</v>
      </c>
      <c r="O52" s="264">
        <f t="shared" si="1"/>
        <v>1.6404526383181586</v>
      </c>
      <c r="P52" s="264">
        <f>IFERROR(INDEX('Both teabags AfterDry'!$D$2:$D$2000,MATCH(K52,'Both teabags AfterDry'!$A$2:$A$2000,0)),"")</f>
        <v>1.7715000000000001</v>
      </c>
      <c r="Q52" s="264">
        <f>IFERROR(IF(P52&gt;0,P52-(TBIcalc!$Q$9),""),"")</f>
        <v>1.6209</v>
      </c>
      <c r="R52" s="275">
        <f>IFERROR(INDEX('Ashed teabags dry'!$K$2:$K$2000,MATCH(K52,'Ashed teabags dry'!$A$2:$A$2000,0)),"")</f>
        <v>5.9108954565503948</v>
      </c>
      <c r="S52" s="275">
        <f t="shared" si="2"/>
        <v>1.5250902955447747</v>
      </c>
      <c r="T52" s="265">
        <f>IF('Dry_Litterbag Placem_Collection'!E53="","",'Dry_Litterbag Placem_Collection'!E53)</f>
        <v>42938</v>
      </c>
      <c r="U52" s="265">
        <f>IF('Dry_Litterbag Placem_Collection'!G53="","",'Dry_Litterbag Placem_Collection'!G53)</f>
        <v>43005</v>
      </c>
      <c r="V52" s="266">
        <f t="shared" si="0"/>
        <v>67</v>
      </c>
      <c r="W52" s="264">
        <f t="shared" si="3"/>
        <v>0.11529999999999996</v>
      </c>
      <c r="X52" s="264">
        <f t="shared" si="4"/>
        <v>0.11536234277338386</v>
      </c>
      <c r="Y52" s="268">
        <f>IFERROR(INDEX(Rainfall_Dry!$O$2:$O$217,MATCH(B52, Rainfall_Dry!$A$2:$A$217,0)),"")</f>
        <v>6.5250000359999998</v>
      </c>
      <c r="Z52" s="257">
        <v>21.96</v>
      </c>
      <c r="AA52" s="257">
        <v>8.9199999999999982</v>
      </c>
      <c r="AB52" s="257">
        <v>69.12</v>
      </c>
      <c r="AC52" s="258" t="s">
        <v>2654</v>
      </c>
      <c r="AD52" s="257">
        <v>1.7491375061606702</v>
      </c>
      <c r="AE52">
        <f>IF('WetLitterbags placem_collection'!AB53="","",'WetLitterbags placem_collection'!AB53)</f>
        <v>3</v>
      </c>
      <c r="AF52">
        <f>IF('WetLitterbags placem_collection'!Z53="","",'WetLitterbags placem_collection'!Z53)</f>
        <v>18</v>
      </c>
      <c r="AG52" s="243" t="str">
        <f>IF('WetLitterbags placem_collection'!AA53="","",'WetLitterbags placem_collection'!AA53)</f>
        <v>O</v>
      </c>
      <c r="AH52">
        <f>IF('WetLitterbags placem_collection'!AC53="","",'WetLitterbags placem_collection'!AC53)</f>
        <v>0</v>
      </c>
      <c r="AI52">
        <f>IFERROR(AVERAGE('Dry_Litterbag Placem_Collection'!O53,'Dry_Litterbag Placem_Collection'!R53),"")</f>
        <v>2.4500000000000002</v>
      </c>
      <c r="AJ52" s="268">
        <f>IFERROR(AVERAGE('Dry_Litterbag Placem_Collection'!N53,'Dry_Litterbag Placem_Collection'!Q53),"")</f>
        <v>34.450000000000003</v>
      </c>
      <c r="AK52" s="267">
        <f>INDEX(Coordinates!$B$2:$B$197,MATCH(H52,Coordinates!$J$2:$J$197,0))</f>
        <v>-3.4063920379999999</v>
      </c>
      <c r="AL52" s="267">
        <f>INDEX(Coordinates!$C$2:$C$197,MATCH(H52,Coordinates!$J$2:$J$197,0))</f>
        <v>34.850696020000001</v>
      </c>
      <c r="AM52" s="267" t="str">
        <f>IF(ISNUMBER(SEARCH("C", 'Dry_Litterbag Placem_Collection'!S53)),"YES","NO")</f>
        <v>NO</v>
      </c>
      <c r="AN52" s="267" t="str">
        <f>IF(ISNUMBER(SEARCH("H", 'Dry_Litterbag Placem_Collection'!S53)),"YES","NO")</f>
        <v>NO</v>
      </c>
      <c r="AO52" s="267" t="str">
        <f>IF(ISNUMBER(SEARCH("R", 'Dry_Litterbag Placem_Collection'!S53)),"YES","NO")</f>
        <v>NO</v>
      </c>
    </row>
    <row r="53" spans="1:41">
      <c r="A53" s="259" t="s">
        <v>2643</v>
      </c>
      <c r="B53" s="260">
        <f>'Dry_Litterbag Placem_Collection'!A54</f>
        <v>52</v>
      </c>
      <c r="C53" s="260" t="str">
        <f>'Dry_Litterbag Placem_Collection'!B54</f>
        <v>Makao</v>
      </c>
      <c r="D53" s="260" t="s">
        <v>2643</v>
      </c>
      <c r="E53" s="260" t="s">
        <v>20</v>
      </c>
      <c r="F53" s="260">
        <v>3</v>
      </c>
      <c r="G53" s="260" t="s">
        <v>3808</v>
      </c>
      <c r="H53" s="261" t="str">
        <f>'Dry_Litterbag Placem_Collection'!C54</f>
        <v>Dry_P3_T4</v>
      </c>
      <c r="I53" s="262" t="s">
        <v>2525</v>
      </c>
      <c r="J53" s="263" t="s">
        <v>1147</v>
      </c>
      <c r="K53" s="260" t="str">
        <f>IF(ISBLANK('Dry_Litterbag Placem_Collection'!J54),"","G"&amp;""&amp;'Dry_Litterbag Placem_Collection'!J54)</f>
        <v>G237</v>
      </c>
      <c r="L53" s="264">
        <f>IFERROR(INDEX('Green_rooibos initial weight'!$C$5:$C$2000,MATCH(K53, 'Green_rooibos initial weight'!$A$5:$A$2000,0)),"")</f>
        <v>1.988</v>
      </c>
      <c r="M53" s="264">
        <f>IFERROR(L53-(TBIcalc!$Q$9+TBIcalc!$Q$10),"")</f>
        <v>1.7382</v>
      </c>
      <c r="N53" s="385">
        <f>AVERAGE(Ashed_controlls!$K$2:$K$11)</f>
        <v>5.5147656768714146</v>
      </c>
      <c r="O53" s="264">
        <f t="shared" si="1"/>
        <v>1.6423423430046211</v>
      </c>
      <c r="P53" s="264">
        <f>IFERROR(INDEX('Both teabags AfterDry'!$D$2:$D$2000,MATCH(K53,'Both teabags AfterDry'!$A$2:$A$2000,0)),"")</f>
        <v>1.8220000000000001</v>
      </c>
      <c r="Q53" s="264">
        <f>IFERROR(IF(P53&gt;0,P53-(TBIcalc!$Q$9),""),"")</f>
        <v>1.6714</v>
      </c>
      <c r="R53" s="275">
        <f>IFERROR(INDEX('Ashed teabags dry'!$K$2:$K$2000,MATCH(K53,'Ashed teabags dry'!$A$2:$A$2000,0)),"")</f>
        <v>5.8161350844273088</v>
      </c>
      <c r="S53" s="275">
        <f t="shared" si="2"/>
        <v>1.5741891181988819</v>
      </c>
      <c r="T53" s="265">
        <f>IF('Dry_Litterbag Placem_Collection'!E54="","",'Dry_Litterbag Placem_Collection'!E54)</f>
        <v>42938</v>
      </c>
      <c r="U53" s="265">
        <f>IF('Dry_Litterbag Placem_Collection'!G54="","",'Dry_Litterbag Placem_Collection'!G54)</f>
        <v>43005</v>
      </c>
      <c r="V53" s="266">
        <f t="shared" si="0"/>
        <v>67</v>
      </c>
      <c r="W53" s="264">
        <f t="shared" si="3"/>
        <v>6.6799999999999971E-2</v>
      </c>
      <c r="X53" s="264">
        <f t="shared" si="4"/>
        <v>6.8153224805739265E-2</v>
      </c>
      <c r="Y53" s="268">
        <f>IFERROR(INDEX(Rainfall_Dry!$O$2:$O$217,MATCH(B53, Rainfall_Dry!$A$2:$A$217,0)),"")</f>
        <v>6.5250000359999998</v>
      </c>
      <c r="Z53" s="257">
        <v>21.96</v>
      </c>
      <c r="AA53" s="257">
        <v>8.9199999999999982</v>
      </c>
      <c r="AB53" s="257">
        <v>69.12</v>
      </c>
      <c r="AC53" s="258" t="s">
        <v>2654</v>
      </c>
      <c r="AD53" s="257">
        <v>1.7491375061606702</v>
      </c>
      <c r="AE53">
        <f>IF('WetLitterbags placem_collection'!AB54="","",'WetLitterbags placem_collection'!AB54)</f>
        <v>13.4</v>
      </c>
      <c r="AF53">
        <f>IF('WetLitterbags placem_collection'!Z54="","",'WetLitterbags placem_collection'!Z54)</f>
        <v>67</v>
      </c>
      <c r="AG53" s="243" t="str">
        <f>IF('WetLitterbags placem_collection'!AA54="","",'WetLitterbags placem_collection'!AA54)</f>
        <v>M</v>
      </c>
      <c r="AH53">
        <f>IF('WetLitterbags placem_collection'!AC54="","",'WetLitterbags placem_collection'!AC54)</f>
        <v>1</v>
      </c>
      <c r="AI53">
        <f>IFERROR(AVERAGE('Dry_Litterbag Placem_Collection'!O54,'Dry_Litterbag Placem_Collection'!R54),"")</f>
        <v>5.75</v>
      </c>
      <c r="AJ53" s="268">
        <f>IFERROR(AVERAGE('Dry_Litterbag Placem_Collection'!N54,'Dry_Litterbag Placem_Collection'!Q54),"")</f>
        <v>30.75</v>
      </c>
      <c r="AK53" s="267">
        <f>INDEX(Coordinates!$B$2:$B$197,MATCH(H53,Coordinates!$J$2:$J$197,0))</f>
        <v>-3.4061569999999999</v>
      </c>
      <c r="AL53" s="267">
        <f>INDEX(Coordinates!$C$2:$C$197,MATCH(H53,Coordinates!$J$2:$J$197,0))</f>
        <v>34.850738999999997</v>
      </c>
      <c r="AM53" s="267" t="str">
        <f>IF(ISNUMBER(SEARCH("C", 'Dry_Litterbag Placem_Collection'!S54)),"YES","NO")</f>
        <v>NO</v>
      </c>
      <c r="AN53" s="267" t="str">
        <f>IF(ISNUMBER(SEARCH("H", 'Dry_Litterbag Placem_Collection'!S54)),"YES","NO")</f>
        <v>NO</v>
      </c>
      <c r="AO53" s="267" t="str">
        <f>IF(ISNUMBER(SEARCH("R", 'Dry_Litterbag Placem_Collection'!S54)),"YES","NO")</f>
        <v>NO</v>
      </c>
    </row>
    <row r="54" spans="1:41">
      <c r="A54" s="259" t="s">
        <v>2643</v>
      </c>
      <c r="B54" s="260">
        <f>'Dry_Litterbag Placem_Collection'!A55</f>
        <v>53</v>
      </c>
      <c r="C54" s="260" t="str">
        <f>'Dry_Litterbag Placem_Collection'!B55</f>
        <v>Makao</v>
      </c>
      <c r="D54" s="260" t="s">
        <v>2643</v>
      </c>
      <c r="E54" s="260" t="s">
        <v>20</v>
      </c>
      <c r="F54" s="260">
        <v>3</v>
      </c>
      <c r="G54" s="260" t="s">
        <v>3808</v>
      </c>
      <c r="H54" s="261" t="str">
        <f>'Dry_Litterbag Placem_Collection'!C55</f>
        <v>Dry_P3_T5</v>
      </c>
      <c r="I54" s="262" t="s">
        <v>2525</v>
      </c>
      <c r="J54" s="263" t="s">
        <v>1147</v>
      </c>
      <c r="K54" s="260" t="str">
        <f>IF(ISBLANK('Dry_Litterbag Placem_Collection'!J55),"","G"&amp;""&amp;'Dry_Litterbag Placem_Collection'!J55)</f>
        <v>G172</v>
      </c>
      <c r="L54" s="264">
        <f>IFERROR(INDEX('Green_rooibos initial weight'!$C$5:$C$2000,MATCH(K54, 'Green_rooibos initial weight'!$A$5:$A$2000,0)),"")</f>
        <v>1.9870000000000001</v>
      </c>
      <c r="M54" s="264">
        <f>IFERROR(L54-(TBIcalc!$Q$9+TBIcalc!$Q$10),"")</f>
        <v>1.7372000000000001</v>
      </c>
      <c r="N54" s="385">
        <f>AVERAGE(Ashed_controlls!$K$2:$K$11)</f>
        <v>5.5147656768714146</v>
      </c>
      <c r="O54" s="264">
        <f t="shared" si="1"/>
        <v>1.64139749066139</v>
      </c>
      <c r="P54" s="264">
        <f>IFERROR(INDEX('Both teabags AfterDry'!$D$2:$D$2000,MATCH(K54,'Both teabags AfterDry'!$A$2:$A$2000,0)),"")</f>
        <v>1.8197000000000001</v>
      </c>
      <c r="Q54" s="264">
        <f>IFERROR(IF(P54&gt;0,P54-(TBIcalc!$Q$9),""),"")</f>
        <v>1.6691</v>
      </c>
      <c r="R54" s="275">
        <f>IFERROR(INDEX('Ashed teabags dry'!$K$2:$K$2000,MATCH(K54,'Ashed teabags dry'!$A$2:$A$2000,0)),"")</f>
        <v>5.6308213378488601</v>
      </c>
      <c r="S54" s="275">
        <f t="shared" si="2"/>
        <v>1.5751159610499648</v>
      </c>
      <c r="T54" s="265">
        <f>IF('Dry_Litterbag Placem_Collection'!E55="","",'Dry_Litterbag Placem_Collection'!E55)</f>
        <v>42938</v>
      </c>
      <c r="U54" s="265">
        <f>IF('Dry_Litterbag Placem_Collection'!G55="","",'Dry_Litterbag Placem_Collection'!G55)</f>
        <v>43005</v>
      </c>
      <c r="V54" s="266">
        <f t="shared" si="0"/>
        <v>67</v>
      </c>
      <c r="W54" s="264">
        <f t="shared" si="3"/>
        <v>6.8100000000000049E-2</v>
      </c>
      <c r="X54" s="264">
        <f t="shared" si="4"/>
        <v>6.6281529611425194E-2</v>
      </c>
      <c r="Y54" s="268">
        <f>IFERROR(INDEX(Rainfall_Dry!$O$2:$O$217,MATCH(B54, Rainfall_Dry!$A$2:$A$217,0)),"")</f>
        <v>6.5250000359999998</v>
      </c>
      <c r="Z54" s="257">
        <v>21.96</v>
      </c>
      <c r="AA54" s="257">
        <v>8.9199999999999982</v>
      </c>
      <c r="AB54" s="257">
        <v>69.12</v>
      </c>
      <c r="AC54" s="258" t="s">
        <v>2654</v>
      </c>
      <c r="AD54" s="257">
        <v>1.7491375061606702</v>
      </c>
      <c r="AE54" t="str">
        <f>IF('WetLitterbags placem_collection'!AB55="","",'WetLitterbags placem_collection'!AB55)</f>
        <v/>
      </c>
      <c r="AF54" t="str">
        <f>IF('WetLitterbags placem_collection'!Z55="","",'WetLitterbags placem_collection'!Z55)</f>
        <v/>
      </c>
      <c r="AG54" s="243" t="str">
        <f>IF('WetLitterbags placem_collection'!AA55="","",'WetLitterbags placem_collection'!AA55)</f>
        <v/>
      </c>
      <c r="AH54" t="str">
        <f>IF('WetLitterbags placem_collection'!AC55="","",'WetLitterbags placem_collection'!AC55)</f>
        <v/>
      </c>
      <c r="AI54">
        <f>IFERROR(AVERAGE('Dry_Litterbag Placem_Collection'!O55,'Dry_Litterbag Placem_Collection'!R55),"")</f>
        <v>6.5</v>
      </c>
      <c r="AJ54" s="268">
        <f>IFERROR(AVERAGE('Dry_Litterbag Placem_Collection'!N55,'Dry_Litterbag Placem_Collection'!Q55),"")</f>
        <v>30.4</v>
      </c>
      <c r="AK54" s="267">
        <f>INDEX(Coordinates!$B$2:$B$197,MATCH(H54,Coordinates!$J$2:$J$197,0))</f>
        <v>-3.4061140000000001</v>
      </c>
      <c r="AL54" s="267">
        <f>INDEX(Coordinates!$C$2:$C$197,MATCH(H54,Coordinates!$J$2:$J$197,0))</f>
        <v>34.850596000000003</v>
      </c>
      <c r="AM54" s="267" t="str">
        <f>IF(ISNUMBER(SEARCH("C", 'Dry_Litterbag Placem_Collection'!S55)),"YES","NO")</f>
        <v>NO</v>
      </c>
      <c r="AN54" s="267" t="str">
        <f>IF(ISNUMBER(SEARCH("H", 'Dry_Litterbag Placem_Collection'!S55)),"YES","NO")</f>
        <v>NO</v>
      </c>
      <c r="AO54" s="267" t="str">
        <f>IF(ISNUMBER(SEARCH("R", 'Dry_Litterbag Placem_Collection'!S55)),"YES","NO")</f>
        <v>NO</v>
      </c>
    </row>
    <row r="55" spans="1:41">
      <c r="A55" s="259" t="s">
        <v>2643</v>
      </c>
      <c r="B55" s="260">
        <f>'Dry_Litterbag Placem_Collection'!A56</f>
        <v>54</v>
      </c>
      <c r="C55" s="260" t="str">
        <f>'Dry_Litterbag Placem_Collection'!B56</f>
        <v>Makao</v>
      </c>
      <c r="D55" s="260" t="s">
        <v>2643</v>
      </c>
      <c r="E55" s="260" t="s">
        <v>20</v>
      </c>
      <c r="F55" s="260">
        <v>3</v>
      </c>
      <c r="G55" s="260" t="s">
        <v>3808</v>
      </c>
      <c r="H55" s="261" t="str">
        <f>'Dry_Litterbag Placem_Collection'!C56</f>
        <v>Dry_P3_T6</v>
      </c>
      <c r="I55" s="262" t="s">
        <v>2525</v>
      </c>
      <c r="J55" s="263" t="s">
        <v>1147</v>
      </c>
      <c r="K55" s="260" t="str">
        <f>IF(ISBLANK('Dry_Litterbag Placem_Collection'!J56),"","G"&amp;""&amp;'Dry_Litterbag Placem_Collection'!J56)</f>
        <v/>
      </c>
      <c r="L55" s="264" t="str">
        <f>IFERROR(INDEX('Green_rooibos initial weight'!$C$5:$C$2000,MATCH(K55, 'Green_rooibos initial weight'!$A$5:$A$2000,0)),"")</f>
        <v/>
      </c>
      <c r="M55" s="264" t="str">
        <f>IFERROR(L55-(TBIcalc!$Q$9+TBIcalc!$Q$10),"")</f>
        <v/>
      </c>
      <c r="N55" s="385">
        <f>AVERAGE(Ashed_controlls!$K$2:$K$11)</f>
        <v>5.5147656768714146</v>
      </c>
      <c r="O55" s="264" t="str">
        <f t="shared" si="1"/>
        <v/>
      </c>
      <c r="P55" s="264" t="str">
        <f>IFERROR(INDEX('Both teabags AfterDry'!$D$2:$D$2000,MATCH(K55,'Both teabags AfterDry'!$A$2:$A$2000,0)),"")</f>
        <v/>
      </c>
      <c r="Q55" s="264" t="str">
        <f>IFERROR(IF(P55&gt;0,P55-(TBIcalc!$Q$9),""),"")</f>
        <v/>
      </c>
      <c r="R55" s="275" t="str">
        <f>IFERROR(INDEX('Ashed teabags dry'!$K$2:$K$2000,MATCH(K55,'Ashed teabags dry'!$A$2:$A$2000,0)),"")</f>
        <v/>
      </c>
      <c r="S55" s="275" t="str">
        <f t="shared" si="2"/>
        <v/>
      </c>
      <c r="T55" s="265" t="str">
        <f>IF('Dry_Litterbag Placem_Collection'!E56="","",'Dry_Litterbag Placem_Collection'!E56)</f>
        <v/>
      </c>
      <c r="U55" s="265" t="str">
        <f>IF('Dry_Litterbag Placem_Collection'!G56="","",'Dry_Litterbag Placem_Collection'!G56)</f>
        <v/>
      </c>
      <c r="V55" s="266" t="str">
        <f t="shared" si="0"/>
        <v/>
      </c>
      <c r="W55" s="264" t="str">
        <f t="shared" si="3"/>
        <v/>
      </c>
      <c r="X55" s="264" t="str">
        <f t="shared" si="4"/>
        <v/>
      </c>
      <c r="Y55" s="268" t="str">
        <f>IFERROR(INDEX(Rainfall_Dry!$O$2:$O$217,MATCH(B55, Rainfall_Dry!$A$2:$A$217,0)),"")</f>
        <v/>
      </c>
      <c r="Z55" s="257">
        <v>21.96</v>
      </c>
      <c r="AA55" s="257">
        <v>8.9199999999999982</v>
      </c>
      <c r="AB55" s="257">
        <v>69.12</v>
      </c>
      <c r="AC55" s="258" t="s">
        <v>2654</v>
      </c>
      <c r="AD55" s="257">
        <v>1.7491375061606702</v>
      </c>
      <c r="AE55" t="str">
        <f>IF('WetLitterbags placem_collection'!AB56="","",'WetLitterbags placem_collection'!AB56)</f>
        <v/>
      </c>
      <c r="AF55" t="str">
        <f>IF('WetLitterbags placem_collection'!Z56="","",'WetLitterbags placem_collection'!Z56)</f>
        <v/>
      </c>
      <c r="AG55" s="243" t="str">
        <f>IF('WetLitterbags placem_collection'!AA56="","",'WetLitterbags placem_collection'!AA56)</f>
        <v/>
      </c>
      <c r="AH55" t="str">
        <f>IF('WetLitterbags placem_collection'!AC56="","",'WetLitterbags placem_collection'!AC56)</f>
        <v/>
      </c>
      <c r="AI55" t="str">
        <f>IFERROR(AVERAGE('Dry_Litterbag Placem_Collection'!O56,'Dry_Litterbag Placem_Collection'!R56),"")</f>
        <v/>
      </c>
      <c r="AJ55" s="268" t="str">
        <f>IFERROR(AVERAGE('Dry_Litterbag Placem_Collection'!N56,'Dry_Litterbag Placem_Collection'!Q56),"")</f>
        <v/>
      </c>
      <c r="AK55" s="267">
        <f>INDEX(Coordinates!$B$2:$B$197,MATCH(H55,Coordinates!$J$2:$J$197,0))</f>
        <v>-3.406058019</v>
      </c>
      <c r="AL55" s="267">
        <f>INDEX(Coordinates!$C$2:$C$197,MATCH(H55,Coordinates!$J$2:$J$197,0))</f>
        <v>34.850466019999999</v>
      </c>
      <c r="AM55" s="267" t="str">
        <f>IF(ISNUMBER(SEARCH("C", 'Dry_Litterbag Placem_Collection'!S56)),"YES","NO")</f>
        <v>NO</v>
      </c>
      <c r="AN55" s="267" t="str">
        <f>IF(ISNUMBER(SEARCH("H", 'Dry_Litterbag Placem_Collection'!S56)),"YES","NO")</f>
        <v>NO</v>
      </c>
      <c r="AO55" s="267" t="str">
        <f>IF(ISNUMBER(SEARCH("R", 'Dry_Litterbag Placem_Collection'!S56)),"YES","NO")</f>
        <v>NO</v>
      </c>
    </row>
    <row r="56" spans="1:41">
      <c r="A56" s="259" t="s">
        <v>2643</v>
      </c>
      <c r="B56" s="260">
        <f>'Dry_Litterbag Placem_Collection'!A57</f>
        <v>55</v>
      </c>
      <c r="C56" s="260" t="str">
        <f>'Dry_Litterbag Placem_Collection'!B57</f>
        <v>Makao</v>
      </c>
      <c r="D56" s="260" t="s">
        <v>2643</v>
      </c>
      <c r="E56" s="260" t="s">
        <v>20</v>
      </c>
      <c r="F56" s="260">
        <v>3</v>
      </c>
      <c r="G56" s="260" t="s">
        <v>3808</v>
      </c>
      <c r="H56" s="261" t="str">
        <f>'Dry_Litterbag Placem_Collection'!C57</f>
        <v>Dry_P3_T7</v>
      </c>
      <c r="I56" s="262" t="s">
        <v>2525</v>
      </c>
      <c r="J56" s="263" t="s">
        <v>1147</v>
      </c>
      <c r="K56" s="260" t="str">
        <f>IF(ISBLANK('Dry_Litterbag Placem_Collection'!J57),"","G"&amp;""&amp;'Dry_Litterbag Placem_Collection'!J57)</f>
        <v>G86</v>
      </c>
      <c r="L56" s="264">
        <f>IFERROR(INDEX('Green_rooibos initial weight'!$C$5:$C$2000,MATCH(K56, 'Green_rooibos initial weight'!$A$5:$A$2000,0)),"")</f>
        <v>2.1030000000000002</v>
      </c>
      <c r="M56" s="264">
        <f>IFERROR(L56-(TBIcalc!$Q$9+TBIcalc!$Q$10),"")</f>
        <v>1.8532000000000002</v>
      </c>
      <c r="N56" s="385">
        <f>AVERAGE(Ashed_controlls!$K$2:$K$11)</f>
        <v>5.5147656768714146</v>
      </c>
      <c r="O56" s="264">
        <f t="shared" si="1"/>
        <v>1.7510003624762192</v>
      </c>
      <c r="P56" s="264">
        <f>IFERROR(INDEX('Both teabags AfterDry'!$D$2:$D$2000,MATCH(K56,'Both teabags AfterDry'!$A$2:$A$2000,0)),"")</f>
        <v>1.8914</v>
      </c>
      <c r="Q56" s="264">
        <f>IFERROR(IF(P56&gt;0,P56-(TBIcalc!$Q$9),""),"")</f>
        <v>1.7407999999999999</v>
      </c>
      <c r="R56" s="275">
        <f>IFERROR(INDEX('Ashed teabags dry'!$K$2:$K$2000,MATCH(K56,'Ashed teabags dry'!$A$2:$A$2000,0)),"")</f>
        <v>6.1160714285713613</v>
      </c>
      <c r="S56" s="275">
        <f t="shared" si="2"/>
        <v>1.6343314285714297</v>
      </c>
      <c r="T56" s="265">
        <f>IF('Dry_Litterbag Placem_Collection'!E57="","",'Dry_Litterbag Placem_Collection'!E57)</f>
        <v>42938</v>
      </c>
      <c r="U56" s="265">
        <f>IF('Dry_Litterbag Placem_Collection'!G57="","",'Dry_Litterbag Placem_Collection'!G57)</f>
        <v>43005</v>
      </c>
      <c r="V56" s="266">
        <f t="shared" si="0"/>
        <v>67</v>
      </c>
      <c r="W56" s="264">
        <f t="shared" si="3"/>
        <v>0.11240000000000028</v>
      </c>
      <c r="X56" s="264">
        <f t="shared" si="4"/>
        <v>0.1166689339047895</v>
      </c>
      <c r="Y56" s="268">
        <f>IFERROR(INDEX(Rainfall_Dry!$O$2:$O$217,MATCH(B56, Rainfall_Dry!$A$2:$A$217,0)),"")</f>
        <v>6.5250000359999998</v>
      </c>
      <c r="Z56" s="257">
        <v>21.96</v>
      </c>
      <c r="AA56" s="257">
        <v>8.9199999999999982</v>
      </c>
      <c r="AB56" s="257">
        <v>69.12</v>
      </c>
      <c r="AC56" s="258" t="s">
        <v>2654</v>
      </c>
      <c r="AD56" s="257">
        <v>1.7491375061606702</v>
      </c>
      <c r="AE56">
        <f>IF('WetLitterbags placem_collection'!AB57="","",'WetLitterbags placem_collection'!AB57)</f>
        <v>15.8</v>
      </c>
      <c r="AF56">
        <f>IF('WetLitterbags placem_collection'!Z57="","",'WetLitterbags placem_collection'!Z57)</f>
        <v>45</v>
      </c>
      <c r="AG56" s="243" t="str">
        <f>IF('WetLitterbags placem_collection'!AA57="","",'WetLitterbags placem_collection'!AA57)</f>
        <v>M</v>
      </c>
      <c r="AH56">
        <f>IF('WetLitterbags placem_collection'!AC57="","",'WetLitterbags placem_collection'!AC57)</f>
        <v>1</v>
      </c>
      <c r="AI56">
        <f>IFERROR(AVERAGE('Dry_Litterbag Placem_Collection'!O57,'Dry_Litterbag Placem_Collection'!R57),"")</f>
        <v>4.8</v>
      </c>
      <c r="AJ56" s="268">
        <f>IFERROR(AVERAGE('Dry_Litterbag Placem_Collection'!N57,'Dry_Litterbag Placem_Collection'!Q57),"")</f>
        <v>31.9</v>
      </c>
      <c r="AK56" s="267">
        <f>INDEX(Coordinates!$B$2:$B$197,MATCH(H56,Coordinates!$J$2:$J$197,0))</f>
        <v>-3.4061389879999999</v>
      </c>
      <c r="AL56" s="267">
        <f>INDEX(Coordinates!$C$2:$C$197,MATCH(H56,Coordinates!$J$2:$J$197,0))</f>
        <v>34.850574979999998</v>
      </c>
      <c r="AM56" s="267" t="str">
        <f>IF(ISNUMBER(SEARCH("C", 'Dry_Litterbag Placem_Collection'!S57)),"YES","NO")</f>
        <v>YES</v>
      </c>
      <c r="AN56" s="267" t="str">
        <f>IF(ISNUMBER(SEARCH("H", 'Dry_Litterbag Placem_Collection'!S57)),"YES","NO")</f>
        <v>YES</v>
      </c>
      <c r="AO56" s="267" t="str">
        <f>IF(ISNUMBER(SEARCH("R", 'Dry_Litterbag Placem_Collection'!S57)),"YES","NO")</f>
        <v>NO</v>
      </c>
    </row>
    <row r="57" spans="1:41">
      <c r="A57" s="259" t="s">
        <v>2643</v>
      </c>
      <c r="B57" s="260">
        <f>'Dry_Litterbag Placem_Collection'!A58</f>
        <v>56</v>
      </c>
      <c r="C57" s="260" t="str">
        <f>'Dry_Litterbag Placem_Collection'!B58</f>
        <v>Makao</v>
      </c>
      <c r="D57" s="260" t="s">
        <v>2643</v>
      </c>
      <c r="E57" s="260" t="s">
        <v>20</v>
      </c>
      <c r="F57" s="260">
        <v>3</v>
      </c>
      <c r="G57" s="260" t="s">
        <v>3808</v>
      </c>
      <c r="H57" s="261" t="str">
        <f>'Dry_Litterbag Placem_Collection'!C58</f>
        <v>Dry_P3_T8</v>
      </c>
      <c r="I57" s="262" t="s">
        <v>2525</v>
      </c>
      <c r="J57" s="263" t="s">
        <v>1147</v>
      </c>
      <c r="K57" s="260" t="str">
        <f>IF(ISBLANK('Dry_Litterbag Placem_Collection'!J58),"","G"&amp;""&amp;'Dry_Litterbag Placem_Collection'!J58)</f>
        <v>G107</v>
      </c>
      <c r="L57" s="264">
        <f>IFERROR(INDEX('Green_rooibos initial weight'!$C$5:$C$2000,MATCH(K57, 'Green_rooibos initial weight'!$A$5:$A$2000,0)),"")</f>
        <v>2.1749999999999998</v>
      </c>
      <c r="M57" s="264">
        <f>IFERROR(L57-(TBIcalc!$Q$9+TBIcalc!$Q$10),"")</f>
        <v>1.9251999999999998</v>
      </c>
      <c r="N57" s="385">
        <f>AVERAGE(Ashed_controlls!$K$2:$K$11)</f>
        <v>5.5147656768714146</v>
      </c>
      <c r="O57" s="264">
        <f t="shared" si="1"/>
        <v>1.8190297311888712</v>
      </c>
      <c r="P57" s="264">
        <f>IFERROR(INDEX('Both teabags AfterDry'!$D$2:$D$2000,MATCH(K57,'Both teabags AfterDry'!$A$2:$A$2000,0)),"")</f>
        <v>2.0276000000000001</v>
      </c>
      <c r="Q57" s="264">
        <f>IFERROR(IF(P57&gt;0,P57-(TBIcalc!$Q$9),""),"")</f>
        <v>1.877</v>
      </c>
      <c r="R57" s="275">
        <f>IFERROR(INDEX('Ashed teabags dry'!$K$2:$K$2000,MATCH(K57,'Ashed teabags dry'!$A$2:$A$2000,0)),"")</f>
        <v>5.6218057921633493</v>
      </c>
      <c r="S57" s="275">
        <f t="shared" si="2"/>
        <v>1.7714787052810939</v>
      </c>
      <c r="T57" s="265">
        <f>IF('Dry_Litterbag Placem_Collection'!E58="","",'Dry_Litterbag Placem_Collection'!E58)</f>
        <v>42938</v>
      </c>
      <c r="U57" s="265">
        <f>IF('Dry_Litterbag Placem_Collection'!G58="","",'Dry_Litterbag Placem_Collection'!G58)</f>
        <v>43005</v>
      </c>
      <c r="V57" s="266">
        <f t="shared" si="0"/>
        <v>67</v>
      </c>
      <c r="W57" s="264">
        <f t="shared" si="3"/>
        <v>4.8199999999999799E-2</v>
      </c>
      <c r="X57" s="264">
        <f t="shared" si="4"/>
        <v>4.7551025907777378E-2</v>
      </c>
      <c r="Y57" s="268">
        <f>IFERROR(INDEX(Rainfall_Dry!$O$2:$O$217,MATCH(B57, Rainfall_Dry!$A$2:$A$217,0)),"")</f>
        <v>6.5250000359999998</v>
      </c>
      <c r="Z57" s="257">
        <v>21.96</v>
      </c>
      <c r="AA57" s="257">
        <v>8.9199999999999982</v>
      </c>
      <c r="AB57" s="257">
        <v>69.12</v>
      </c>
      <c r="AC57" s="258" t="s">
        <v>2654</v>
      </c>
      <c r="AD57" s="257">
        <v>1.7491375061606702</v>
      </c>
      <c r="AE57">
        <f>IF('WetLitterbags placem_collection'!AB58="","",'WetLitterbags placem_collection'!AB58)</f>
        <v>15.4</v>
      </c>
      <c r="AF57">
        <f>IF('WetLitterbags placem_collection'!Z58="","",'WetLitterbags placem_collection'!Z58)</f>
        <v>30.8</v>
      </c>
      <c r="AG57" s="243" t="str">
        <f>IF('WetLitterbags placem_collection'!AA58="","",'WetLitterbags placem_collection'!AA58)</f>
        <v>M</v>
      </c>
      <c r="AH57">
        <f>IF('WetLitterbags placem_collection'!AC58="","",'WetLitterbags placem_collection'!AC58)</f>
        <v>0</v>
      </c>
      <c r="AI57">
        <f>IFERROR(AVERAGE('Dry_Litterbag Placem_Collection'!O58,'Dry_Litterbag Placem_Collection'!R58),"")</f>
        <v>8.3000000000000007</v>
      </c>
      <c r="AJ57" s="268">
        <f>IFERROR(AVERAGE('Dry_Litterbag Placem_Collection'!N58,'Dry_Litterbag Placem_Collection'!Q58),"")</f>
        <v>30.049999999999997</v>
      </c>
      <c r="AK57" s="267">
        <f>INDEX(Coordinates!$B$2:$B$197,MATCH(H57,Coordinates!$J$2:$J$197,0))</f>
        <v>-3.4062900300000001</v>
      </c>
      <c r="AL57" s="267">
        <f>INDEX(Coordinates!$C$2:$C$197,MATCH(H57,Coordinates!$J$2:$J$197,0))</f>
        <v>34.850441959999998</v>
      </c>
      <c r="AM57" s="267" t="str">
        <f>IF(ISNUMBER(SEARCH("C", 'Dry_Litterbag Placem_Collection'!S58)),"YES","NO")</f>
        <v>NO</v>
      </c>
      <c r="AN57" s="267" t="str">
        <f>IF(ISNUMBER(SEARCH("H", 'Dry_Litterbag Placem_Collection'!S58)),"YES","NO")</f>
        <v>NO</v>
      </c>
      <c r="AO57" s="267" t="str">
        <f>IF(ISNUMBER(SEARCH("R", 'Dry_Litterbag Placem_Collection'!S58)),"YES","NO")</f>
        <v>NO</v>
      </c>
    </row>
    <row r="58" spans="1:41">
      <c r="A58" s="259" t="s">
        <v>2643</v>
      </c>
      <c r="B58" s="260">
        <f>'Dry_Litterbag Placem_Collection'!A59</f>
        <v>57</v>
      </c>
      <c r="C58" s="260" t="str">
        <f>'Dry_Litterbag Placem_Collection'!B59</f>
        <v>Makao</v>
      </c>
      <c r="D58" s="260" t="s">
        <v>2643</v>
      </c>
      <c r="E58" s="260" t="s">
        <v>20</v>
      </c>
      <c r="F58" s="260">
        <v>4</v>
      </c>
      <c r="G58" s="260" t="s">
        <v>3809</v>
      </c>
      <c r="H58" s="261" t="str">
        <f>'Dry_Litterbag Placem_Collection'!C59</f>
        <v>Dry_P4_T1</v>
      </c>
      <c r="I58" s="262" t="s">
        <v>2525</v>
      </c>
      <c r="J58" s="263" t="s">
        <v>1147</v>
      </c>
      <c r="K58" s="260" t="str">
        <f>IF(ISBLANK('Dry_Litterbag Placem_Collection'!J59),"","G"&amp;""&amp;'Dry_Litterbag Placem_Collection'!J59)</f>
        <v>G41</v>
      </c>
      <c r="L58" s="264">
        <f>IFERROR(INDEX('Green_rooibos initial weight'!$C$5:$C$2000,MATCH(K58, 'Green_rooibos initial weight'!$A$5:$A$2000,0)),"")</f>
        <v>1.9850000000000001</v>
      </c>
      <c r="M58" s="264">
        <f>IFERROR(L58-(TBIcalc!$Q$9+TBIcalc!$Q$10),"")</f>
        <v>1.7352000000000001</v>
      </c>
      <c r="N58" s="385">
        <f>AVERAGE(Ashed_controlls!$K$2:$K$11)</f>
        <v>5.5147656768714146</v>
      </c>
      <c r="O58" s="264">
        <f t="shared" si="1"/>
        <v>1.6395077859749272</v>
      </c>
      <c r="P58" s="264">
        <f>IFERROR(INDEX('Both teabags AfterDry'!$D$2:$D$2000,MATCH(K58,'Both teabags AfterDry'!$A$2:$A$2000,0)),"")</f>
        <v>1.7847</v>
      </c>
      <c r="Q58" s="264">
        <f>IFERROR(IF(P58&gt;0,P58-(TBIcalc!$Q$9),""),"")</f>
        <v>1.6340999999999999</v>
      </c>
      <c r="R58" s="275">
        <f>IFERROR(INDEX('Ashed teabags dry'!$K$2:$K$2000,MATCH(K58,'Ashed teabags dry'!$A$2:$A$2000,0)),"")</f>
        <v>6.1166429587480353</v>
      </c>
      <c r="S58" s="275">
        <f t="shared" si="2"/>
        <v>1.5341479374110982</v>
      </c>
      <c r="T58" s="265">
        <f>IF('Dry_Litterbag Placem_Collection'!E59="","",'Dry_Litterbag Placem_Collection'!E59)</f>
        <v>42938</v>
      </c>
      <c r="U58" s="265">
        <f>IF('Dry_Litterbag Placem_Collection'!G59="","",'Dry_Litterbag Placem_Collection'!G59)</f>
        <v>43005</v>
      </c>
      <c r="V58" s="266">
        <f t="shared" si="0"/>
        <v>67</v>
      </c>
      <c r="W58" s="264">
        <f t="shared" si="3"/>
        <v>0.10110000000000019</v>
      </c>
      <c r="X58" s="264">
        <f t="shared" si="4"/>
        <v>0.10535984856382896</v>
      </c>
      <c r="Y58" s="268">
        <f>IFERROR(INDEX(Rainfall_Dry!$O$2:$O$217,MATCH(B58, Rainfall_Dry!$A$2:$A$217,0)),"")</f>
        <v>6.5250000359999998</v>
      </c>
      <c r="Z58" s="257">
        <v>25.96</v>
      </c>
      <c r="AA58" s="257">
        <v>6.9200000000000008</v>
      </c>
      <c r="AB58" s="257">
        <v>67.12</v>
      </c>
      <c r="AC58" s="258" t="s">
        <v>2654</v>
      </c>
      <c r="AD58" s="257">
        <v>1.7568260226712666</v>
      </c>
      <c r="AE58">
        <f>IF('WetLitterbags placem_collection'!AB59="","",'WetLitterbags placem_collection'!AB59)</f>
        <v>3.3</v>
      </c>
      <c r="AF58">
        <f>IF('WetLitterbags placem_collection'!Z59="","",'WetLitterbags placem_collection'!Z59)</f>
        <v>28.4</v>
      </c>
      <c r="AG58" s="243" t="str">
        <f>IF('WetLitterbags placem_collection'!AA59="","",'WetLitterbags placem_collection'!AA59)</f>
        <v>O</v>
      </c>
      <c r="AH58">
        <f>IF('WetLitterbags placem_collection'!AC59="","",'WetLitterbags placem_collection'!AC59)</f>
        <v>1</v>
      </c>
      <c r="AI58">
        <f>IFERROR(AVERAGE('Dry_Litterbag Placem_Collection'!O59,'Dry_Litterbag Placem_Collection'!R59),"")</f>
        <v>3.95</v>
      </c>
      <c r="AJ58" s="268">
        <f>IFERROR(AVERAGE('Dry_Litterbag Placem_Collection'!N59,'Dry_Litterbag Placem_Collection'!Q59),"")</f>
        <v>33.25</v>
      </c>
      <c r="AK58" s="267">
        <f>INDEX(Coordinates!$B$2:$B$197,MATCH(H58,Coordinates!$J$2:$J$197,0))</f>
        <v>-3.4064239729999999</v>
      </c>
      <c r="AL58" s="267">
        <f>INDEX(Coordinates!$C$2:$C$197,MATCH(H58,Coordinates!$J$2:$J$197,0))</f>
        <v>34.851213010000002</v>
      </c>
      <c r="AM58" s="267" t="str">
        <f>IF(ISNUMBER(SEARCH("C", 'Dry_Litterbag Placem_Collection'!S59)),"YES","NO")</f>
        <v>NO</v>
      </c>
      <c r="AN58" s="267" t="str">
        <f>IF(ISNUMBER(SEARCH("H", 'Dry_Litterbag Placem_Collection'!S59)),"YES","NO")</f>
        <v>NO</v>
      </c>
      <c r="AO58" s="267" t="str">
        <f>IF(ISNUMBER(SEARCH("R", 'Dry_Litterbag Placem_Collection'!S59)),"YES","NO")</f>
        <v>NO</v>
      </c>
    </row>
    <row r="59" spans="1:41">
      <c r="A59" s="259" t="s">
        <v>2643</v>
      </c>
      <c r="B59" s="260">
        <f>'Dry_Litterbag Placem_Collection'!A60</f>
        <v>58</v>
      </c>
      <c r="C59" s="260" t="str">
        <f>'Dry_Litterbag Placem_Collection'!B60</f>
        <v>Makao</v>
      </c>
      <c r="D59" s="260" t="s">
        <v>2643</v>
      </c>
      <c r="E59" s="260" t="s">
        <v>20</v>
      </c>
      <c r="F59" s="260">
        <v>4</v>
      </c>
      <c r="G59" s="260" t="s">
        <v>3809</v>
      </c>
      <c r="H59" s="261" t="str">
        <f>'Dry_Litterbag Placem_Collection'!C60</f>
        <v>Dry_P4_T2</v>
      </c>
      <c r="I59" s="262" t="s">
        <v>2525</v>
      </c>
      <c r="J59" s="263" t="s">
        <v>1147</v>
      </c>
      <c r="K59" s="260" t="str">
        <f>IF(ISBLANK('Dry_Litterbag Placem_Collection'!J60),"","G"&amp;""&amp;'Dry_Litterbag Placem_Collection'!J60)</f>
        <v>G481</v>
      </c>
      <c r="L59" s="264">
        <f>IFERROR(INDEX('Green_rooibos initial weight'!$C$5:$C$2000,MATCH(K59, 'Green_rooibos initial weight'!$A$5:$A$2000,0)),"")</f>
        <v>2.0529999999999999</v>
      </c>
      <c r="M59" s="264">
        <f>IFERROR(L59-(TBIcalc!$Q$9+TBIcalc!$Q$10),"")</f>
        <v>1.8031999999999999</v>
      </c>
      <c r="N59" s="385">
        <f>AVERAGE(Ashed_controlls!$K$2:$K$11)</f>
        <v>5.5147656768714146</v>
      </c>
      <c r="O59" s="264">
        <f t="shared" si="1"/>
        <v>1.7037577453146546</v>
      </c>
      <c r="P59" s="264">
        <f>IFERROR(INDEX('Both teabags AfterDry'!$D$2:$D$2000,MATCH(K59,'Both teabags AfterDry'!$A$2:$A$2000,0)),"")</f>
        <v>1.7612000000000001</v>
      </c>
      <c r="Q59" s="264">
        <f>IFERROR(IF(P59&gt;0,P59-(TBIcalc!$Q$9),""),"")</f>
        <v>1.6106</v>
      </c>
      <c r="R59" s="275">
        <f>IFERROR(INDEX('Ashed teabags dry'!$K$2:$K$2000,MATCH(K59,'Ashed teabags dry'!$A$2:$A$2000,0)),"")</f>
        <v>5.8618976651769072</v>
      </c>
      <c r="S59" s="275">
        <f t="shared" si="2"/>
        <v>1.5161882762046608</v>
      </c>
      <c r="T59" s="265">
        <f>IF('Dry_Litterbag Placem_Collection'!E60="","",'Dry_Litterbag Placem_Collection'!E60)</f>
        <v>42938</v>
      </c>
      <c r="U59" s="265">
        <f>IF('Dry_Litterbag Placem_Collection'!G60="","",'Dry_Litterbag Placem_Collection'!G60)</f>
        <v>43005</v>
      </c>
      <c r="V59" s="266">
        <f t="shared" si="0"/>
        <v>67</v>
      </c>
      <c r="W59" s="264">
        <f t="shared" si="3"/>
        <v>0.19259999999999988</v>
      </c>
      <c r="X59" s="264">
        <f t="shared" si="4"/>
        <v>0.18756946910999384</v>
      </c>
      <c r="Y59" s="268">
        <f>IFERROR(INDEX(Rainfall_Dry!$O$2:$O$217,MATCH(B59, Rainfall_Dry!$A$2:$A$217,0)),"")</f>
        <v>6.5250000359999998</v>
      </c>
      <c r="Z59" s="257">
        <v>25.96</v>
      </c>
      <c r="AA59" s="257">
        <v>6.9200000000000008</v>
      </c>
      <c r="AB59" s="257">
        <v>67.12</v>
      </c>
      <c r="AC59" s="258" t="s">
        <v>2654</v>
      </c>
      <c r="AD59" s="257">
        <v>1.7568260226712666</v>
      </c>
      <c r="AE59">
        <f>IF('WetLitterbags placem_collection'!AB60="","",'WetLitterbags placem_collection'!AB60)</f>
        <v>1.4</v>
      </c>
      <c r="AF59">
        <f>IF('WetLitterbags placem_collection'!Z60="","",'WetLitterbags placem_collection'!Z60)</f>
        <v>54.4</v>
      </c>
      <c r="AG59" s="243" t="str">
        <f>IF('WetLitterbags placem_collection'!AA60="","",'WetLitterbags placem_collection'!AA60)</f>
        <v>O</v>
      </c>
      <c r="AH59">
        <f>IF('WetLitterbags placem_collection'!AC60="","",'WetLitterbags placem_collection'!AC60)</f>
        <v>0</v>
      </c>
      <c r="AI59">
        <f>IFERROR(AVERAGE('Dry_Litterbag Placem_Collection'!O60,'Dry_Litterbag Placem_Collection'!R60),"")</f>
        <v>5.7</v>
      </c>
      <c r="AJ59" s="268">
        <f>IFERROR(AVERAGE('Dry_Litterbag Placem_Collection'!N60,'Dry_Litterbag Placem_Collection'!Q60),"")</f>
        <v>32.35</v>
      </c>
      <c r="AK59" s="267">
        <f>INDEX(Coordinates!$B$2:$B$197,MATCH(H59,Coordinates!$J$2:$J$197,0))</f>
        <v>-3.4065020079999999</v>
      </c>
      <c r="AL59" s="267">
        <f>INDEX(Coordinates!$C$2:$C$197,MATCH(H59,Coordinates!$J$2:$J$197,0))</f>
        <v>34.851056020000001</v>
      </c>
      <c r="AM59" s="267" t="str">
        <f>IF(ISNUMBER(SEARCH("C", 'Dry_Litterbag Placem_Collection'!S60)),"YES","NO")</f>
        <v>NO</v>
      </c>
      <c r="AN59" s="267" t="str">
        <f>IF(ISNUMBER(SEARCH("H", 'Dry_Litterbag Placem_Collection'!S60)),"YES","NO")</f>
        <v>YES</v>
      </c>
      <c r="AO59" s="267" t="str">
        <f>IF(ISNUMBER(SEARCH("R", 'Dry_Litterbag Placem_Collection'!S60)),"YES","NO")</f>
        <v>NO</v>
      </c>
    </row>
    <row r="60" spans="1:41">
      <c r="A60" s="259" t="s">
        <v>2643</v>
      </c>
      <c r="B60" s="260">
        <f>'Dry_Litterbag Placem_Collection'!A61</f>
        <v>59</v>
      </c>
      <c r="C60" s="260" t="str">
        <f>'Dry_Litterbag Placem_Collection'!B61</f>
        <v>Makao</v>
      </c>
      <c r="D60" s="260" t="s">
        <v>2643</v>
      </c>
      <c r="E60" s="260" t="s">
        <v>20</v>
      </c>
      <c r="F60" s="260">
        <v>4</v>
      </c>
      <c r="G60" s="260" t="s">
        <v>3809</v>
      </c>
      <c r="H60" s="261" t="str">
        <f>'Dry_Litterbag Placem_Collection'!C61</f>
        <v>Dry_P4_T3</v>
      </c>
      <c r="I60" s="262" t="s">
        <v>2525</v>
      </c>
      <c r="J60" s="263" t="s">
        <v>1147</v>
      </c>
      <c r="K60" s="260" t="str">
        <f>IF(ISBLANK('Dry_Litterbag Placem_Collection'!J61),"","G"&amp;""&amp;'Dry_Litterbag Placem_Collection'!J61)</f>
        <v>G261</v>
      </c>
      <c r="L60" s="264">
        <f>IFERROR(INDEX('Green_rooibos initial weight'!$C$5:$C$2000,MATCH(K60, 'Green_rooibos initial weight'!$A$5:$A$2000,0)),"")</f>
        <v>1.9850000000000001</v>
      </c>
      <c r="M60" s="264">
        <f>IFERROR(L60-(TBIcalc!$Q$9+TBIcalc!$Q$10),"")</f>
        <v>1.7352000000000001</v>
      </c>
      <c r="N60" s="385">
        <f>AVERAGE(Ashed_controlls!$K$2:$K$11)</f>
        <v>5.5147656768714146</v>
      </c>
      <c r="O60" s="264">
        <f t="shared" si="1"/>
        <v>1.6395077859749272</v>
      </c>
      <c r="P60" s="264">
        <f>IFERROR(INDEX('Both teabags AfterDry'!$D$2:$D$2000,MATCH(K60,'Both teabags AfterDry'!$A$2:$A$2000,0)),"")</f>
        <v>1.8041</v>
      </c>
      <c r="Q60" s="264">
        <f>IFERROR(IF(P60&gt;0,P60-(TBIcalc!$Q$9),""),"")</f>
        <v>1.6535</v>
      </c>
      <c r="R60" s="275">
        <f>IFERROR(INDEX('Ashed teabags dry'!$K$2:$K$2000,MATCH(K60,'Ashed teabags dry'!$A$2:$A$2000,0)),"")</f>
        <v>5.7350933090575786</v>
      </c>
      <c r="S60" s="275">
        <f t="shared" si="2"/>
        <v>1.558670232134733</v>
      </c>
      <c r="T60" s="265">
        <f>IF('Dry_Litterbag Placem_Collection'!E61="","",'Dry_Litterbag Placem_Collection'!E61)</f>
        <v>42938</v>
      </c>
      <c r="U60" s="265">
        <f>IF('Dry_Litterbag Placem_Collection'!G61="","",'Dry_Litterbag Placem_Collection'!G61)</f>
        <v>43005</v>
      </c>
      <c r="V60" s="266">
        <f t="shared" si="0"/>
        <v>67</v>
      </c>
      <c r="W60" s="264">
        <f t="shared" si="3"/>
        <v>8.1700000000000106E-2</v>
      </c>
      <c r="X60" s="264">
        <f t="shared" si="4"/>
        <v>8.0837553840194198E-2</v>
      </c>
      <c r="Y60" s="268">
        <f>IFERROR(INDEX(Rainfall_Dry!$O$2:$O$217,MATCH(B60, Rainfall_Dry!$A$2:$A$217,0)),"")</f>
        <v>6.5250000359999998</v>
      </c>
      <c r="Z60" s="257">
        <v>25.96</v>
      </c>
      <c r="AA60" s="257">
        <v>6.9200000000000008</v>
      </c>
      <c r="AB60" s="257">
        <v>67.12</v>
      </c>
      <c r="AC60" s="258" t="s">
        <v>2654</v>
      </c>
      <c r="AD60" s="257">
        <v>1.7568260226712666</v>
      </c>
      <c r="AE60">
        <f>IF('WetLitterbags placem_collection'!AB61="","",'WetLitterbags placem_collection'!AB61)</f>
        <v>3.3</v>
      </c>
      <c r="AF60">
        <f>IF('WetLitterbags placem_collection'!Z61="","",'WetLitterbags placem_collection'!Z61)</f>
        <v>46</v>
      </c>
      <c r="AG60" s="243" t="str">
        <f>IF('WetLitterbags placem_collection'!AA61="","",'WetLitterbags placem_collection'!AA61)</f>
        <v>O</v>
      </c>
      <c r="AH60">
        <f>IF('WetLitterbags placem_collection'!AC61="","",'WetLitterbags placem_collection'!AC61)</f>
        <v>0</v>
      </c>
      <c r="AI60">
        <f>IFERROR(AVERAGE('Dry_Litterbag Placem_Collection'!O61,'Dry_Litterbag Placem_Collection'!R61),"")</f>
        <v>7.6999999999999993</v>
      </c>
      <c r="AJ60" s="268">
        <f>IFERROR(AVERAGE('Dry_Litterbag Placem_Collection'!N61,'Dry_Litterbag Placem_Collection'!Q61),"")</f>
        <v>31.8</v>
      </c>
      <c r="AK60" s="267">
        <f>INDEX(Coordinates!$B$2:$B$197,MATCH(H60,Coordinates!$J$2:$J$197,0))</f>
        <v>-3.4062359670000002</v>
      </c>
      <c r="AL60" s="267">
        <f>INDEX(Coordinates!$C$2:$C$197,MATCH(H60,Coordinates!$J$2:$J$197,0))</f>
        <v>34.851107990000003</v>
      </c>
      <c r="AM60" s="267" t="str">
        <f>IF(ISNUMBER(SEARCH("C", 'Dry_Litterbag Placem_Collection'!S61)),"YES","NO")</f>
        <v>NO</v>
      </c>
      <c r="AN60" s="267" t="str">
        <f>IF(ISNUMBER(SEARCH("H", 'Dry_Litterbag Placem_Collection'!S61)),"YES","NO")</f>
        <v>NO</v>
      </c>
      <c r="AO60" s="267" t="str">
        <f>IF(ISNUMBER(SEARCH("R", 'Dry_Litterbag Placem_Collection'!S61)),"YES","NO")</f>
        <v>NO</v>
      </c>
    </row>
    <row r="61" spans="1:41">
      <c r="A61" s="259" t="s">
        <v>2643</v>
      </c>
      <c r="B61" s="260">
        <f>'Dry_Litterbag Placem_Collection'!A62</f>
        <v>60</v>
      </c>
      <c r="C61" s="260" t="str">
        <f>'Dry_Litterbag Placem_Collection'!B62</f>
        <v>Makao</v>
      </c>
      <c r="D61" s="260" t="s">
        <v>2643</v>
      </c>
      <c r="E61" s="260" t="s">
        <v>20</v>
      </c>
      <c r="F61" s="260">
        <v>4</v>
      </c>
      <c r="G61" s="260" t="s">
        <v>3809</v>
      </c>
      <c r="H61" s="261" t="str">
        <f>'Dry_Litterbag Placem_Collection'!C62</f>
        <v>Dry_P4_T4</v>
      </c>
      <c r="I61" s="262" t="s">
        <v>2525</v>
      </c>
      <c r="J61" s="263" t="s">
        <v>1147</v>
      </c>
      <c r="K61" s="260" t="str">
        <f>IF(ISBLANK('Dry_Litterbag Placem_Collection'!J62),"","G"&amp;""&amp;'Dry_Litterbag Placem_Collection'!J62)</f>
        <v>G152</v>
      </c>
      <c r="L61" s="264">
        <f>IFERROR(INDEX('Green_rooibos initial weight'!$C$5:$C$2000,MATCH(K61, 'Green_rooibos initial weight'!$A$5:$A$2000,0)),"")</f>
        <v>2.0489999999999999</v>
      </c>
      <c r="M61" s="264">
        <f>IFERROR(L61-(TBIcalc!$Q$9+TBIcalc!$Q$10),"")</f>
        <v>1.7991999999999999</v>
      </c>
      <c r="N61" s="385">
        <f>AVERAGE(Ashed_controlls!$K$2:$K$11)</f>
        <v>5.5147656768714146</v>
      </c>
      <c r="O61" s="264">
        <f t="shared" si="1"/>
        <v>1.6999783359417293</v>
      </c>
      <c r="P61" s="264">
        <f>IFERROR(INDEX('Both teabags AfterDry'!$D$2:$D$2000,MATCH(K61,'Both teabags AfterDry'!$A$2:$A$2000,0)),"")</f>
        <v>1.8697999999999999</v>
      </c>
      <c r="Q61" s="264">
        <f>IFERROR(IF(P61&gt;0,P61-(TBIcalc!$Q$9),""),"")</f>
        <v>1.7191999999999998</v>
      </c>
      <c r="R61" s="275">
        <f>IFERROR(INDEX('Ashed teabags dry'!$K$2:$K$2000,MATCH(K61,'Ashed teabags dry'!$A$2:$A$2000,0)),"")</f>
        <v>5.545536519386725</v>
      </c>
      <c r="S61" s="275">
        <f t="shared" si="2"/>
        <v>1.6238611361587032</v>
      </c>
      <c r="T61" s="265">
        <f>IF('Dry_Litterbag Placem_Collection'!E62="","",'Dry_Litterbag Placem_Collection'!E62)</f>
        <v>42938</v>
      </c>
      <c r="U61" s="265">
        <f>IF('Dry_Litterbag Placem_Collection'!G62="","",'Dry_Litterbag Placem_Collection'!G62)</f>
        <v>43005</v>
      </c>
      <c r="V61" s="266">
        <f t="shared" si="0"/>
        <v>67</v>
      </c>
      <c r="W61" s="264">
        <f t="shared" si="3"/>
        <v>8.0000000000000071E-2</v>
      </c>
      <c r="X61" s="264">
        <f t="shared" si="4"/>
        <v>7.6117199783026113E-2</v>
      </c>
      <c r="Y61" s="268">
        <f>IFERROR(INDEX(Rainfall_Dry!$O$2:$O$217,MATCH(B61, Rainfall_Dry!$A$2:$A$217,0)),"")</f>
        <v>6.5250000359999998</v>
      </c>
      <c r="Z61" s="257">
        <v>25.96</v>
      </c>
      <c r="AA61" s="257">
        <v>6.9200000000000008</v>
      </c>
      <c r="AB61" s="257">
        <v>67.12</v>
      </c>
      <c r="AC61" s="258" t="s">
        <v>2654</v>
      </c>
      <c r="AD61" s="257">
        <v>1.7568260226712666</v>
      </c>
      <c r="AE61">
        <f>IF('WetLitterbags placem_collection'!AB62="","",'WetLitterbags placem_collection'!AB62)</f>
        <v>2.4</v>
      </c>
      <c r="AF61">
        <f>IF('WetLitterbags placem_collection'!Z62="","",'WetLitterbags placem_collection'!Z62)</f>
        <v>10.199999999999999</v>
      </c>
      <c r="AG61" s="243" t="str">
        <f>IF('WetLitterbags placem_collection'!AA62="","",'WetLitterbags placem_collection'!AA62)</f>
        <v>O</v>
      </c>
      <c r="AH61">
        <f>IF('WetLitterbags placem_collection'!AC62="","",'WetLitterbags placem_collection'!AC62)</f>
        <v>0</v>
      </c>
      <c r="AI61">
        <f>IFERROR(AVERAGE('Dry_Litterbag Placem_Collection'!O62,'Dry_Litterbag Placem_Collection'!R62),"")</f>
        <v>5.65</v>
      </c>
      <c r="AJ61" s="268">
        <f>IFERROR(AVERAGE('Dry_Litterbag Placem_Collection'!N62,'Dry_Litterbag Placem_Collection'!Q62),"")</f>
        <v>32.650000000000006</v>
      </c>
      <c r="AK61" s="267">
        <f>INDEX(Coordinates!$B$2:$B$197,MATCH(H61,Coordinates!$J$2:$J$197,0))</f>
        <v>-3.406281983</v>
      </c>
      <c r="AL61" s="267">
        <f>INDEX(Coordinates!$C$2:$C$197,MATCH(H61,Coordinates!$J$2:$J$197,0))</f>
        <v>34.85137898</v>
      </c>
      <c r="AM61" s="267" t="str">
        <f>IF(ISNUMBER(SEARCH("C", 'Dry_Litterbag Placem_Collection'!S62)),"YES","NO")</f>
        <v>NO</v>
      </c>
      <c r="AN61" s="267" t="str">
        <f>IF(ISNUMBER(SEARCH("H", 'Dry_Litterbag Placem_Collection'!S62)),"YES","NO")</f>
        <v>NO</v>
      </c>
      <c r="AO61" s="267" t="str">
        <f>IF(ISNUMBER(SEARCH("R", 'Dry_Litterbag Placem_Collection'!S62)),"YES","NO")</f>
        <v>NO</v>
      </c>
    </row>
    <row r="62" spans="1:41">
      <c r="A62" s="259" t="s">
        <v>2643</v>
      </c>
      <c r="B62" s="260">
        <f>'Dry_Litterbag Placem_Collection'!A63</f>
        <v>61</v>
      </c>
      <c r="C62" s="260" t="str">
        <f>'Dry_Litterbag Placem_Collection'!B63</f>
        <v>Makao</v>
      </c>
      <c r="D62" s="260" t="s">
        <v>2643</v>
      </c>
      <c r="E62" s="260" t="s">
        <v>20</v>
      </c>
      <c r="F62" s="260">
        <v>4</v>
      </c>
      <c r="G62" s="260" t="s">
        <v>3809</v>
      </c>
      <c r="H62" s="261" t="str">
        <f>'Dry_Litterbag Placem_Collection'!C63</f>
        <v>Dry_P4_T5</v>
      </c>
      <c r="I62" s="262" t="s">
        <v>2525</v>
      </c>
      <c r="J62" s="263" t="s">
        <v>1147</v>
      </c>
      <c r="K62" s="260" t="str">
        <f>IF(ISBLANK('Dry_Litterbag Placem_Collection'!J63),"","G"&amp;""&amp;'Dry_Litterbag Placem_Collection'!J63)</f>
        <v>G191</v>
      </c>
      <c r="L62" s="264">
        <f>IFERROR(INDEX('Green_rooibos initial weight'!$C$5:$C$2000,MATCH(K62, 'Green_rooibos initial weight'!$A$5:$A$2000,0)),"")</f>
        <v>2.0590000000000002</v>
      </c>
      <c r="M62" s="264">
        <f>IFERROR(L62-(TBIcalc!$Q$9+TBIcalc!$Q$10),"")</f>
        <v>1.8092000000000001</v>
      </c>
      <c r="N62" s="385">
        <f>AVERAGE(Ashed_controlls!$K$2:$K$11)</f>
        <v>5.5147656768714146</v>
      </c>
      <c r="O62" s="264">
        <f t="shared" si="1"/>
        <v>1.7094268593740425</v>
      </c>
      <c r="P62" s="264" t="str">
        <f>IFERROR(INDEX('Both teabags AfterDry'!$D$2:$D$2000,MATCH(K62,'Both teabags AfterDry'!$A$2:$A$2000,0)),"")</f>
        <v/>
      </c>
      <c r="Q62" s="264" t="str">
        <f>IFERROR(IF(P62&gt;0,P62-(TBIcalc!$Q$9),""),"")</f>
        <v/>
      </c>
      <c r="R62" s="275" t="str">
        <f>IFERROR(INDEX('Ashed teabags dry'!$K$2:$K$2000,MATCH(K62,'Ashed teabags dry'!$A$2:$A$2000,0)),"")</f>
        <v/>
      </c>
      <c r="S62" s="275" t="str">
        <f t="shared" si="2"/>
        <v/>
      </c>
      <c r="T62" s="265">
        <f>IF('Dry_Litterbag Placem_Collection'!E63="","",'Dry_Litterbag Placem_Collection'!E63)</f>
        <v>42938</v>
      </c>
      <c r="U62" s="265">
        <f>IF('Dry_Litterbag Placem_Collection'!G63="","",'Dry_Litterbag Placem_Collection'!G63)</f>
        <v>43005</v>
      </c>
      <c r="V62" s="266">
        <f t="shared" si="0"/>
        <v>67</v>
      </c>
      <c r="W62" s="264" t="str">
        <f t="shared" si="3"/>
        <v/>
      </c>
      <c r="X62" s="264" t="str">
        <f t="shared" si="4"/>
        <v/>
      </c>
      <c r="Y62" s="268">
        <f>IFERROR(INDEX(Rainfall_Dry!$O$2:$O$217,MATCH(B62, Rainfall_Dry!$A$2:$A$217,0)),"")</f>
        <v>6.5250000359999998</v>
      </c>
      <c r="Z62" s="257">
        <v>25.96</v>
      </c>
      <c r="AA62" s="257">
        <v>6.9200000000000008</v>
      </c>
      <c r="AB62" s="257">
        <v>67.12</v>
      </c>
      <c r="AC62" s="258" t="s">
        <v>2654</v>
      </c>
      <c r="AD62" s="257">
        <v>1.7568260226712666</v>
      </c>
      <c r="AE62">
        <f>IF('WetLitterbags placem_collection'!AB63="","",'WetLitterbags placem_collection'!AB63)</f>
        <v>5.6</v>
      </c>
      <c r="AF62">
        <f>IF('WetLitterbags placem_collection'!Z63="","",'WetLitterbags placem_collection'!Z63)</f>
        <v>34.200000000000003</v>
      </c>
      <c r="AG62" s="243" t="str">
        <f>IF('WetLitterbags placem_collection'!AA63="","",'WetLitterbags placem_collection'!AA63)</f>
        <v>O</v>
      </c>
      <c r="AH62">
        <f>IF('WetLitterbags placem_collection'!AC63="","",'WetLitterbags placem_collection'!AC63)</f>
        <v>0</v>
      </c>
      <c r="AI62">
        <f>IFERROR(AVERAGE('Dry_Litterbag Placem_Collection'!O63,'Dry_Litterbag Placem_Collection'!R63),"")</f>
        <v>4.5</v>
      </c>
      <c r="AJ62" s="268">
        <f>IFERROR(AVERAGE('Dry_Litterbag Placem_Collection'!N63,'Dry_Litterbag Placem_Collection'!Q63),"")</f>
        <v>34</v>
      </c>
      <c r="AK62" s="267">
        <f>INDEX(Coordinates!$B$2:$B$197,MATCH(H62,Coordinates!$J$2:$J$197,0))</f>
        <v>-3.406569986</v>
      </c>
      <c r="AL62" s="267">
        <f>INDEX(Coordinates!$C$2:$C$197,MATCH(H62,Coordinates!$J$2:$J$197,0))</f>
        <v>34.851323989999997</v>
      </c>
      <c r="AM62" s="267" t="str">
        <f>IF(ISNUMBER(SEARCH("C", 'Dry_Litterbag Placem_Collection'!S63)),"YES","NO")</f>
        <v>NO</v>
      </c>
      <c r="AN62" s="267" t="str">
        <f>IF(ISNUMBER(SEARCH("H", 'Dry_Litterbag Placem_Collection'!S63)),"YES","NO")</f>
        <v>NO</v>
      </c>
      <c r="AO62" s="267" t="str">
        <f>IF(ISNUMBER(SEARCH("R", 'Dry_Litterbag Placem_Collection'!S63)),"YES","NO")</f>
        <v>NO</v>
      </c>
    </row>
    <row r="63" spans="1:41">
      <c r="A63" s="259" t="s">
        <v>2643</v>
      </c>
      <c r="B63" s="260">
        <f>'Dry_Litterbag Placem_Collection'!A64</f>
        <v>62</v>
      </c>
      <c r="C63" s="260" t="str">
        <f>'Dry_Litterbag Placem_Collection'!B64</f>
        <v>Makao</v>
      </c>
      <c r="D63" s="260" t="s">
        <v>2643</v>
      </c>
      <c r="E63" s="260" t="s">
        <v>20</v>
      </c>
      <c r="F63" s="260">
        <v>4</v>
      </c>
      <c r="G63" s="260" t="s">
        <v>3809</v>
      </c>
      <c r="H63" s="261" t="str">
        <f>'Dry_Litterbag Placem_Collection'!C64</f>
        <v>Dry_P4_T6</v>
      </c>
      <c r="I63" s="262" t="s">
        <v>2525</v>
      </c>
      <c r="J63" s="263" t="s">
        <v>1147</v>
      </c>
      <c r="K63" s="260" t="str">
        <f>IF(ISBLANK('Dry_Litterbag Placem_Collection'!J64),"","G"&amp;""&amp;'Dry_Litterbag Placem_Collection'!J64)</f>
        <v/>
      </c>
      <c r="L63" s="264" t="str">
        <f>IFERROR(INDEX('Green_rooibos initial weight'!$C$5:$C$2000,MATCH(K63, 'Green_rooibos initial weight'!$A$5:$A$2000,0)),"")</f>
        <v/>
      </c>
      <c r="M63" s="264" t="str">
        <f>IFERROR(L63-(TBIcalc!$Q$9+TBIcalc!$Q$10),"")</f>
        <v/>
      </c>
      <c r="N63" s="385">
        <f>AVERAGE(Ashed_controlls!$K$2:$K$11)</f>
        <v>5.5147656768714146</v>
      </c>
      <c r="O63" s="264" t="str">
        <f t="shared" si="1"/>
        <v/>
      </c>
      <c r="P63" s="264" t="str">
        <f>IFERROR(INDEX('Both teabags AfterDry'!$D$2:$D$2000,MATCH(K63,'Both teabags AfterDry'!$A$2:$A$2000,0)),"")</f>
        <v/>
      </c>
      <c r="Q63" s="264" t="str">
        <f>IFERROR(IF(P63&gt;0,P63-(TBIcalc!$Q$9),""),"")</f>
        <v/>
      </c>
      <c r="R63" s="275" t="str">
        <f>IFERROR(INDEX('Ashed teabags dry'!$K$2:$K$2000,MATCH(K63,'Ashed teabags dry'!$A$2:$A$2000,0)),"")</f>
        <v/>
      </c>
      <c r="S63" s="275" t="str">
        <f t="shared" si="2"/>
        <v/>
      </c>
      <c r="T63" s="265" t="str">
        <f>IF('Dry_Litterbag Placem_Collection'!E64="","",'Dry_Litterbag Placem_Collection'!E64)</f>
        <v/>
      </c>
      <c r="U63" s="265" t="str">
        <f>IF('Dry_Litterbag Placem_Collection'!G64="","",'Dry_Litterbag Placem_Collection'!G64)</f>
        <v/>
      </c>
      <c r="V63" s="266" t="str">
        <f t="shared" si="0"/>
        <v/>
      </c>
      <c r="W63" s="264" t="str">
        <f t="shared" si="3"/>
        <v/>
      </c>
      <c r="X63" s="264" t="str">
        <f t="shared" si="4"/>
        <v/>
      </c>
      <c r="Y63" s="268" t="str">
        <f>IFERROR(INDEX(Rainfall_Dry!$O$2:$O$217,MATCH(B63, Rainfall_Dry!$A$2:$A$217,0)),"")</f>
        <v/>
      </c>
      <c r="Z63" s="257">
        <v>25.96</v>
      </c>
      <c r="AA63" s="257">
        <v>6.9200000000000008</v>
      </c>
      <c r="AB63" s="257">
        <v>67.12</v>
      </c>
      <c r="AC63" s="258" t="s">
        <v>2654</v>
      </c>
      <c r="AD63" s="257">
        <v>1.7568260226712666</v>
      </c>
      <c r="AE63">
        <f>IF('WetLitterbags placem_collection'!AB64="","",'WetLitterbags placem_collection'!AB64)</f>
        <v>4.2</v>
      </c>
      <c r="AF63">
        <f>IF('WetLitterbags placem_collection'!Z64="","",'WetLitterbags placem_collection'!Z64)</f>
        <v>40.4</v>
      </c>
      <c r="AG63" s="243" t="str">
        <f>IF('WetLitterbags placem_collection'!AA64="","",'WetLitterbags placem_collection'!AA64)</f>
        <v>O</v>
      </c>
      <c r="AH63">
        <f>IF('WetLitterbags placem_collection'!AC64="","",'WetLitterbags placem_collection'!AC64)</f>
        <v>0</v>
      </c>
      <c r="AI63" t="str">
        <f>IFERROR(AVERAGE('Dry_Litterbag Placem_Collection'!O64,'Dry_Litterbag Placem_Collection'!R64),"")</f>
        <v/>
      </c>
      <c r="AJ63" s="268" t="str">
        <f>IFERROR(AVERAGE('Dry_Litterbag Placem_Collection'!N64,'Dry_Litterbag Placem_Collection'!Q64),"")</f>
        <v/>
      </c>
      <c r="AK63" s="267">
        <f>INDEX(Coordinates!$B$2:$B$197,MATCH(H63,Coordinates!$J$2:$J$197,0))</f>
        <v>-3.4065180179999999</v>
      </c>
      <c r="AL63" s="267">
        <f>INDEX(Coordinates!$C$2:$C$197,MATCH(H63,Coordinates!$J$2:$J$197,0))</f>
        <v>34.85121402</v>
      </c>
      <c r="AM63" s="267" t="str">
        <f>IF(ISNUMBER(SEARCH("C", 'Dry_Litterbag Placem_Collection'!S64)),"YES","NO")</f>
        <v>NO</v>
      </c>
      <c r="AN63" s="267" t="str">
        <f>IF(ISNUMBER(SEARCH("H", 'Dry_Litterbag Placem_Collection'!S64)),"YES","NO")</f>
        <v>NO</v>
      </c>
      <c r="AO63" s="267" t="str">
        <f>IF(ISNUMBER(SEARCH("R", 'Dry_Litterbag Placem_Collection'!S64)),"YES","NO")</f>
        <v>NO</v>
      </c>
    </row>
    <row r="64" spans="1:41">
      <c r="A64" s="259" t="s">
        <v>2643</v>
      </c>
      <c r="B64" s="260">
        <f>'Dry_Litterbag Placem_Collection'!A65</f>
        <v>63</v>
      </c>
      <c r="C64" s="260" t="str">
        <f>'Dry_Litterbag Placem_Collection'!B65</f>
        <v>Makao</v>
      </c>
      <c r="D64" s="260" t="s">
        <v>2643</v>
      </c>
      <c r="E64" s="260" t="s">
        <v>20</v>
      </c>
      <c r="F64" s="260">
        <v>4</v>
      </c>
      <c r="G64" s="260" t="s">
        <v>3809</v>
      </c>
      <c r="H64" s="261" t="str">
        <f>'Dry_Litterbag Placem_Collection'!C65</f>
        <v>Dry_P4_T7</v>
      </c>
      <c r="I64" s="262" t="s">
        <v>2525</v>
      </c>
      <c r="J64" s="263" t="s">
        <v>1147</v>
      </c>
      <c r="K64" s="260" t="str">
        <f>IF(ISBLANK('Dry_Litterbag Placem_Collection'!J65),"","G"&amp;""&amp;'Dry_Litterbag Placem_Collection'!J65)</f>
        <v>G49</v>
      </c>
      <c r="L64" s="264">
        <f>IFERROR(INDEX('Green_rooibos initial weight'!$C$5:$C$2000,MATCH(K64, 'Green_rooibos initial weight'!$A$5:$A$2000,0)),"")</f>
        <v>2.0859999999999999</v>
      </c>
      <c r="M64" s="264">
        <f>IFERROR(L64-(TBIcalc!$Q$9+TBIcalc!$Q$10),"")</f>
        <v>1.8361999999999998</v>
      </c>
      <c r="N64" s="385">
        <f>AVERAGE(Ashed_controlls!$K$2:$K$11)</f>
        <v>5.5147656768714146</v>
      </c>
      <c r="O64" s="264">
        <f t="shared" si="1"/>
        <v>1.734937872641287</v>
      </c>
      <c r="P64" s="264">
        <f>IFERROR(INDEX('Both teabags AfterDry'!$D$2:$D$2000,MATCH(K64,'Both teabags AfterDry'!$A$2:$A$2000,0)),"")</f>
        <v>1.9326000000000001</v>
      </c>
      <c r="Q64" s="264">
        <f>IFERROR(IF(P64&gt;0,P64-(TBIcalc!$Q$9),""),"")</f>
        <v>1.782</v>
      </c>
      <c r="R64" s="275">
        <f>IFERROR(INDEX('Ashed teabags dry'!$K$2:$K$2000,MATCH(K64,'Ashed teabags dry'!$A$2:$A$2000,0)),"")</f>
        <v>4.9388753056235117</v>
      </c>
      <c r="S64" s="275">
        <f t="shared" si="2"/>
        <v>1.693989242053789</v>
      </c>
      <c r="T64" s="265">
        <f>IF('Dry_Litterbag Placem_Collection'!E65="","",'Dry_Litterbag Placem_Collection'!E65)</f>
        <v>42938</v>
      </c>
      <c r="U64" s="265">
        <f>IF('Dry_Litterbag Placem_Collection'!G65="","",'Dry_Litterbag Placem_Collection'!G65)</f>
        <v>43005</v>
      </c>
      <c r="V64" s="266">
        <f t="shared" si="0"/>
        <v>67</v>
      </c>
      <c r="W64" s="264">
        <f t="shared" si="3"/>
        <v>5.4199999999999804E-2</v>
      </c>
      <c r="X64" s="264">
        <f t="shared" si="4"/>
        <v>4.0948630587497981E-2</v>
      </c>
      <c r="Y64" s="268">
        <f>IFERROR(INDEX(Rainfall_Dry!$O$2:$O$217,MATCH(B64, Rainfall_Dry!$A$2:$A$217,0)),"")</f>
        <v>6.5250000359999998</v>
      </c>
      <c r="Z64" s="257">
        <v>25.96</v>
      </c>
      <c r="AA64" s="257">
        <v>6.9200000000000008</v>
      </c>
      <c r="AB64" s="257">
        <v>67.12</v>
      </c>
      <c r="AC64" s="258" t="s">
        <v>2654</v>
      </c>
      <c r="AD64" s="257">
        <v>1.7568260226712666</v>
      </c>
      <c r="AE64">
        <f>IF('WetLitterbags placem_collection'!AB65="","",'WetLitterbags placem_collection'!AB65)</f>
        <v>4.9000000000000004</v>
      </c>
      <c r="AF64">
        <f>IF('WetLitterbags placem_collection'!Z65="","",'WetLitterbags placem_collection'!Z65)</f>
        <v>45</v>
      </c>
      <c r="AG64" s="243" t="str">
        <f>IF('WetLitterbags placem_collection'!AA65="","",'WetLitterbags placem_collection'!AA65)</f>
        <v>O</v>
      </c>
      <c r="AH64">
        <f>IF('WetLitterbags placem_collection'!AC65="","",'WetLitterbags placem_collection'!AC65)</f>
        <v>0</v>
      </c>
      <c r="AI64">
        <f>IFERROR(AVERAGE('Dry_Litterbag Placem_Collection'!O65,'Dry_Litterbag Placem_Collection'!R65),"")</f>
        <v>4.75</v>
      </c>
      <c r="AJ64" s="268">
        <f>IFERROR(AVERAGE('Dry_Litterbag Placem_Collection'!N65,'Dry_Litterbag Placem_Collection'!Q65),"")</f>
        <v>31.3</v>
      </c>
      <c r="AK64" s="267">
        <f>INDEX(Coordinates!$B$2:$B$197,MATCH(H64,Coordinates!$J$2:$J$197,0))</f>
        <v>-3.406334035</v>
      </c>
      <c r="AL64" s="267">
        <f>INDEX(Coordinates!$C$2:$C$197,MATCH(H64,Coordinates!$J$2:$J$197,0))</f>
        <v>34.851172030000001</v>
      </c>
      <c r="AM64" s="267" t="str">
        <f>IF(ISNUMBER(SEARCH("C", 'Dry_Litterbag Placem_Collection'!S65)),"YES","NO")</f>
        <v>NO</v>
      </c>
      <c r="AN64" s="267" t="str">
        <f>IF(ISNUMBER(SEARCH("H", 'Dry_Litterbag Placem_Collection'!S65)),"YES","NO")</f>
        <v>NO</v>
      </c>
      <c r="AO64" s="267" t="str">
        <f>IF(ISNUMBER(SEARCH("R", 'Dry_Litterbag Placem_Collection'!S65)),"YES","NO")</f>
        <v>NO</v>
      </c>
    </row>
    <row r="65" spans="1:41">
      <c r="A65" s="259" t="s">
        <v>2643</v>
      </c>
      <c r="B65" s="260">
        <f>'Dry_Litterbag Placem_Collection'!A66</f>
        <v>64</v>
      </c>
      <c r="C65" s="260" t="str">
        <f>'Dry_Litterbag Placem_Collection'!B66</f>
        <v>Makao</v>
      </c>
      <c r="D65" s="260" t="s">
        <v>2643</v>
      </c>
      <c r="E65" s="260" t="s">
        <v>20</v>
      </c>
      <c r="F65" s="260">
        <v>4</v>
      </c>
      <c r="G65" s="260" t="s">
        <v>3809</v>
      </c>
      <c r="H65" s="261" t="str">
        <f>'Dry_Litterbag Placem_Collection'!C66</f>
        <v>Dry_P4_T8</v>
      </c>
      <c r="I65" s="262" t="s">
        <v>2525</v>
      </c>
      <c r="J65" s="263" t="s">
        <v>1147</v>
      </c>
      <c r="K65" s="260" t="str">
        <f>IF(ISBLANK('Dry_Litterbag Placem_Collection'!J66),"","G"&amp;""&amp;'Dry_Litterbag Placem_Collection'!J66)</f>
        <v>G347</v>
      </c>
      <c r="L65" s="264">
        <f>IFERROR(INDEX('Green_rooibos initial weight'!$C$5:$C$2000,MATCH(K65, 'Green_rooibos initial weight'!$A$5:$A$2000,0)),"")</f>
        <v>1.8919999999999999</v>
      </c>
      <c r="M65" s="264">
        <f>IFERROR(L65-(TBIcalc!$Q$9+TBIcalc!$Q$10),"")</f>
        <v>1.6421999999999999</v>
      </c>
      <c r="N65" s="385">
        <f>AVERAGE(Ashed_controlls!$K$2:$K$11)</f>
        <v>5.5147656768714146</v>
      </c>
      <c r="O65" s="264">
        <f t="shared" si="1"/>
        <v>1.5516365180544176</v>
      </c>
      <c r="P65" s="264">
        <f>IFERROR(INDEX('Both teabags AfterDry'!$D$2:$D$2000,MATCH(K65,'Both teabags AfterDry'!$A$2:$A$2000,0)),"")</f>
        <v>1.6924999999999999</v>
      </c>
      <c r="Q65" s="264">
        <f>IFERROR(IF(P65&gt;0,P65-(TBIcalc!$Q$9),""),"")</f>
        <v>1.5418999999999998</v>
      </c>
      <c r="R65" s="275">
        <f>IFERROR(INDEX('Ashed teabags dry'!$K$2:$K$2000,MATCH(K65,'Ashed teabags dry'!$A$2:$A$2000,0)),"")</f>
        <v>6.3334982681843854</v>
      </c>
      <c r="S65" s="275">
        <f t="shared" si="2"/>
        <v>1.4442437902028649</v>
      </c>
      <c r="T65" s="265">
        <f>IF('Dry_Litterbag Placem_Collection'!E66="","",'Dry_Litterbag Placem_Collection'!E66)</f>
        <v>42938</v>
      </c>
      <c r="U65" s="265">
        <f>IF('Dry_Litterbag Placem_Collection'!G66="","",'Dry_Litterbag Placem_Collection'!G66)</f>
        <v>43005</v>
      </c>
      <c r="V65" s="266">
        <f t="shared" si="0"/>
        <v>67</v>
      </c>
      <c r="W65" s="264">
        <f t="shared" si="3"/>
        <v>0.10030000000000006</v>
      </c>
      <c r="X65" s="264">
        <f t="shared" si="4"/>
        <v>0.10739272785155274</v>
      </c>
      <c r="Y65" s="268">
        <f>IFERROR(INDEX(Rainfall_Dry!$O$2:$O$217,MATCH(B65, Rainfall_Dry!$A$2:$A$217,0)),"")</f>
        <v>6.5250000359999998</v>
      </c>
      <c r="Z65" s="257">
        <v>25.96</v>
      </c>
      <c r="AA65" s="257">
        <v>6.9200000000000008</v>
      </c>
      <c r="AB65" s="257">
        <v>67.12</v>
      </c>
      <c r="AC65" s="258" t="s">
        <v>2654</v>
      </c>
      <c r="AD65" s="257">
        <v>1.7568260226712666</v>
      </c>
      <c r="AE65">
        <f>IF('WetLitterbags placem_collection'!AB66="","",'WetLitterbags placem_collection'!AB66)</f>
        <v>3</v>
      </c>
      <c r="AF65">
        <f>IF('WetLitterbags placem_collection'!Z66="","",'WetLitterbags placem_collection'!Z66)</f>
        <v>22.8</v>
      </c>
      <c r="AG65" s="243" t="str">
        <f>IF('WetLitterbags placem_collection'!AA66="","",'WetLitterbags placem_collection'!AA66)</f>
        <v>O</v>
      </c>
      <c r="AH65">
        <f>IF('WetLitterbags placem_collection'!AC66="","",'WetLitterbags placem_collection'!AC66)</f>
        <v>1</v>
      </c>
      <c r="AI65">
        <f>IFERROR(AVERAGE('Dry_Litterbag Placem_Collection'!O66,'Dry_Litterbag Placem_Collection'!R66),"")</f>
        <v>5.55</v>
      </c>
      <c r="AJ65" s="268">
        <f>IFERROR(AVERAGE('Dry_Litterbag Placem_Collection'!N66,'Dry_Litterbag Placem_Collection'!Q66),"")</f>
        <v>31.5</v>
      </c>
      <c r="AK65" s="267">
        <f>INDEX(Coordinates!$B$2:$B$197,MATCH(H65,Coordinates!$J$2:$J$197,0))</f>
        <v>-3.4063409920000001</v>
      </c>
      <c r="AL65" s="267">
        <f>INDEX(Coordinates!$C$2:$C$197,MATCH(H65,Coordinates!$J$2:$J$197,0))</f>
        <v>34.85126004</v>
      </c>
      <c r="AM65" s="267" t="str">
        <f>IF(ISNUMBER(SEARCH("C", 'Dry_Litterbag Placem_Collection'!S66)),"YES","NO")</f>
        <v>NO</v>
      </c>
      <c r="AN65" s="267" t="str">
        <f>IF(ISNUMBER(SEARCH("H", 'Dry_Litterbag Placem_Collection'!S66)),"YES","NO")</f>
        <v>NO</v>
      </c>
      <c r="AO65" s="267" t="str">
        <f>IF(ISNUMBER(SEARCH("R", 'Dry_Litterbag Placem_Collection'!S66)),"YES","NO")</f>
        <v>NO</v>
      </c>
    </row>
    <row r="66" spans="1:41">
      <c r="A66" s="259" t="s">
        <v>2643</v>
      </c>
      <c r="B66" s="260">
        <f>'Dry_Litterbag Placem_Collection'!A67</f>
        <v>65</v>
      </c>
      <c r="C66" s="260" t="str">
        <f>'Dry_Litterbag Placem_Collection'!B67</f>
        <v>Maswa</v>
      </c>
      <c r="D66" s="260" t="s">
        <v>2643</v>
      </c>
      <c r="E66" s="260" t="s">
        <v>2645</v>
      </c>
      <c r="F66" s="260">
        <v>1</v>
      </c>
      <c r="G66" s="260" t="s">
        <v>3810</v>
      </c>
      <c r="H66" s="261" t="str">
        <f>'Dry_Litterbag Placem_Collection'!C67</f>
        <v>Dry_W1_T1</v>
      </c>
      <c r="I66" s="262" t="s">
        <v>2525</v>
      </c>
      <c r="J66" s="263" t="s">
        <v>1147</v>
      </c>
      <c r="K66" s="260" t="str">
        <f>IF(ISBLANK('Dry_Litterbag Placem_Collection'!J67),"","G"&amp;""&amp;'Dry_Litterbag Placem_Collection'!J67)</f>
        <v>G495</v>
      </c>
      <c r="L66" s="264">
        <f>IFERROR(INDEX('Green_rooibos initial weight'!$C$5:$C$2000,MATCH(K66, 'Green_rooibos initial weight'!$A$5:$A$2000,0)),"")</f>
        <v>2.0390000000000001</v>
      </c>
      <c r="M66" s="264">
        <f>IFERROR(L66-(TBIcalc!$Q$9+TBIcalc!$Q$10),"")</f>
        <v>1.7892000000000001</v>
      </c>
      <c r="N66" s="385">
        <f>AVERAGE(Ashed_controlls!$K$2:$K$11)</f>
        <v>5.5147656768714146</v>
      </c>
      <c r="O66" s="264">
        <f t="shared" si="1"/>
        <v>1.6905298125094168</v>
      </c>
      <c r="P66" s="264" t="str">
        <f>IFERROR(INDEX('Both teabags AfterDry'!$D$2:$D$2000,MATCH(K66,'Both teabags AfterDry'!$A$2:$A$2000,0)),"")</f>
        <v/>
      </c>
      <c r="Q66" s="264" t="str">
        <f>IFERROR(IF(P66&gt;0,P66-(TBIcalc!$Q$9),""),"")</f>
        <v/>
      </c>
      <c r="R66" s="275" t="str">
        <f>IFERROR(INDEX('Ashed teabags dry'!$K$2:$K$2000,MATCH(K66,'Ashed teabags dry'!$A$2:$A$2000,0)),"")</f>
        <v/>
      </c>
      <c r="S66" s="275" t="str">
        <f t="shared" si="2"/>
        <v/>
      </c>
      <c r="T66" s="265">
        <f>IF('Dry_Litterbag Placem_Collection'!E67="","",'Dry_Litterbag Placem_Collection'!E67)</f>
        <v>42937</v>
      </c>
      <c r="U66" s="265">
        <f>IF('Dry_Litterbag Placem_Collection'!G67="","",'Dry_Litterbag Placem_Collection'!G67)</f>
        <v>43005</v>
      </c>
      <c r="V66" s="266">
        <f t="shared" ref="V66:V129" si="5">IFERROR(U66-T66,"")</f>
        <v>68</v>
      </c>
      <c r="W66" s="264" t="str">
        <f t="shared" si="3"/>
        <v/>
      </c>
      <c r="X66" s="264" t="str">
        <f t="shared" si="4"/>
        <v/>
      </c>
      <c r="Y66" s="268">
        <f>IFERROR(INDEX(Rainfall_Dry!$O$2:$O$217,MATCH(B66, Rainfall_Dry!$A$2:$A$217,0)),"")</f>
        <v>6.900000125</v>
      </c>
      <c r="Z66" s="257">
        <v>47.96</v>
      </c>
      <c r="AA66" s="257">
        <v>22.919999999999995</v>
      </c>
      <c r="AB66" s="257">
        <v>29.120000000000012</v>
      </c>
      <c r="AC66" s="258" t="s">
        <v>2657</v>
      </c>
      <c r="AD66" s="257">
        <v>2.8831936914736325</v>
      </c>
      <c r="AE66">
        <f>IF('WetLitterbags placem_collection'!AB67="","",'WetLitterbags placem_collection'!AB67)</f>
        <v>13.8</v>
      </c>
      <c r="AF66">
        <f>IF('WetLitterbags placem_collection'!Z67="","",'WetLitterbags placem_collection'!Z67)</f>
        <v>13.8</v>
      </c>
      <c r="AG66" s="243" t="str">
        <f>IF('WetLitterbags placem_collection'!AA67="","",'WetLitterbags placem_collection'!AA67)</f>
        <v>O</v>
      </c>
      <c r="AH66">
        <f>IF('WetLitterbags placem_collection'!AC67="","",'WetLitterbags placem_collection'!AC67)</f>
        <v>1</v>
      </c>
      <c r="AI66">
        <f>IFERROR(AVERAGE('Dry_Litterbag Placem_Collection'!O67,'Dry_Litterbag Placem_Collection'!R67),"")</f>
        <v>10.65</v>
      </c>
      <c r="AJ66" s="268">
        <f>IFERROR(AVERAGE('Dry_Litterbag Placem_Collection'!N67,'Dry_Litterbag Placem_Collection'!Q67),"")</f>
        <v>28</v>
      </c>
      <c r="AK66" s="267">
        <f>INDEX(Coordinates!$B$2:$B$197,MATCH(H66,Coordinates!$J$2:$J$197,0))</f>
        <v>-3.2993960379999998</v>
      </c>
      <c r="AL66" s="267">
        <f>INDEX(Coordinates!$C$2:$C$197,MATCH(H66,Coordinates!$J$2:$J$197,0))</f>
        <v>34.848240959999998</v>
      </c>
      <c r="AM66" s="267" t="str">
        <f>IF(ISNUMBER(SEARCH("C", 'Dry_Litterbag Placem_Collection'!S67)),"YES","NO")</f>
        <v>NO</v>
      </c>
      <c r="AN66" s="267" t="str">
        <f>IF(ISNUMBER(SEARCH("H", 'Dry_Litterbag Placem_Collection'!S67)),"YES","NO")</f>
        <v>NO</v>
      </c>
      <c r="AO66" s="267" t="str">
        <f>IF(ISNUMBER(SEARCH("R", 'Dry_Litterbag Placem_Collection'!S67)),"YES","NO")</f>
        <v>NO</v>
      </c>
    </row>
    <row r="67" spans="1:41">
      <c r="A67" s="259" t="s">
        <v>2643</v>
      </c>
      <c r="B67" s="260">
        <f>'Dry_Litterbag Placem_Collection'!A68</f>
        <v>66</v>
      </c>
      <c r="C67" s="260" t="str">
        <f>'Dry_Litterbag Placem_Collection'!B68</f>
        <v>Maswa</v>
      </c>
      <c r="D67" s="260" t="s">
        <v>2643</v>
      </c>
      <c r="E67" s="260" t="s">
        <v>2645</v>
      </c>
      <c r="F67" s="260">
        <v>1</v>
      </c>
      <c r="G67" s="260" t="s">
        <v>3810</v>
      </c>
      <c r="H67" s="261" t="str">
        <f>'Dry_Litterbag Placem_Collection'!C68</f>
        <v>Dry_W1_T2</v>
      </c>
      <c r="I67" s="262" t="s">
        <v>2525</v>
      </c>
      <c r="J67" s="263" t="s">
        <v>1147</v>
      </c>
      <c r="K67" s="260" t="str">
        <f>IF(ISBLANK('Dry_Litterbag Placem_Collection'!J68),"","G"&amp;""&amp;'Dry_Litterbag Placem_Collection'!J68)</f>
        <v>G247</v>
      </c>
      <c r="L67" s="264">
        <f>IFERROR(INDEX('Green_rooibos initial weight'!$C$5:$C$2000,MATCH(K67, 'Green_rooibos initial weight'!$A$5:$A$2000,0)),"")</f>
        <v>2.13</v>
      </c>
      <c r="M67" s="264">
        <f>IFERROR(L67-(TBIcalc!$Q$9+TBIcalc!$Q$10),"")</f>
        <v>1.8801999999999999</v>
      </c>
      <c r="N67" s="385">
        <f>AVERAGE(Ashed_controlls!$K$2:$K$11)</f>
        <v>5.5147656768714146</v>
      </c>
      <c r="O67" s="264">
        <f t="shared" ref="O67:O130" si="6">IFERROR(M67-(N67/100)*M67,"")</f>
        <v>1.7765113757434636</v>
      </c>
      <c r="P67" s="264">
        <f>IFERROR(INDEX('Both teabags AfterDry'!$D$2:$D$2000,MATCH(K67,'Both teabags AfterDry'!$A$2:$A$2000,0)),"")</f>
        <v>1.9853000000000001</v>
      </c>
      <c r="Q67" s="264">
        <f>IFERROR(IF(P67&gt;0,P67-(TBIcalc!$Q$9),""),"")</f>
        <v>1.8347</v>
      </c>
      <c r="R67" s="275">
        <f>IFERROR(INDEX('Ashed teabags dry'!$K$2:$K$2000,MATCH(K67,'Ashed teabags dry'!$A$2:$A$2000,0)),"")</f>
        <v>6.078147612156255</v>
      </c>
      <c r="S67" s="275">
        <f t="shared" ref="S67:S130" si="7">IFERROR(Q67-(R67/100)*Q67,"")</f>
        <v>1.7231842257597692</v>
      </c>
      <c r="T67" s="265">
        <f>IF('Dry_Litterbag Placem_Collection'!E68="","",'Dry_Litterbag Placem_Collection'!E68)</f>
        <v>42937</v>
      </c>
      <c r="U67" s="265">
        <f>IF('Dry_Litterbag Placem_Collection'!G68="","",'Dry_Litterbag Placem_Collection'!G68)</f>
        <v>43005</v>
      </c>
      <c r="V67" s="266">
        <f t="shared" si="5"/>
        <v>68</v>
      </c>
      <c r="W67" s="264">
        <f t="shared" ref="W67:W130" si="8">IFERROR(M67-Q67,"")</f>
        <v>4.5499999999999874E-2</v>
      </c>
      <c r="X67" s="264">
        <f t="shared" ref="X67:X130" si="9">IFERROR(O67-S67,"")</f>
        <v>5.3327149983694477E-2</v>
      </c>
      <c r="Y67" s="268">
        <f>IFERROR(INDEX(Rainfall_Dry!$O$2:$O$217,MATCH(B67, Rainfall_Dry!$A$2:$A$217,0)),"")</f>
        <v>6.900000125</v>
      </c>
      <c r="Z67" s="257">
        <v>47.96</v>
      </c>
      <c r="AA67" s="257">
        <v>22.919999999999995</v>
      </c>
      <c r="AB67" s="257">
        <v>29.120000000000012</v>
      </c>
      <c r="AC67" s="258" t="s">
        <v>2657</v>
      </c>
      <c r="AD67" s="257">
        <v>3.8831936914736298</v>
      </c>
      <c r="AE67">
        <f>IF('WetLitterbags placem_collection'!AB68="","",'WetLitterbags placem_collection'!AB68)</f>
        <v>8</v>
      </c>
      <c r="AF67">
        <f>IF('WetLitterbags placem_collection'!Z68="","",'WetLitterbags placem_collection'!Z68)</f>
        <v>19.8</v>
      </c>
      <c r="AG67" s="243" t="str">
        <f>IF('WetLitterbags placem_collection'!AA68="","",'WetLitterbags placem_collection'!AA68)</f>
        <v>O</v>
      </c>
      <c r="AH67">
        <f>IF('WetLitterbags placem_collection'!AC68="","",'WetLitterbags placem_collection'!AC68)</f>
        <v>1</v>
      </c>
      <c r="AI67">
        <f>IFERROR(AVERAGE('Dry_Litterbag Placem_Collection'!O68,'Dry_Litterbag Placem_Collection'!R68),"")</f>
        <v>10.100000000000001</v>
      </c>
      <c r="AJ67" s="268">
        <f>IFERROR(AVERAGE('Dry_Litterbag Placem_Collection'!N68,'Dry_Litterbag Placem_Collection'!Q68),"")</f>
        <v>23.6</v>
      </c>
      <c r="AK67" s="267">
        <f>INDEX(Coordinates!$B$2:$B$197,MATCH(H67,Coordinates!$J$2:$J$197,0))</f>
        <v>-3.2993090340000002</v>
      </c>
      <c r="AL67" s="267">
        <f>INDEX(Coordinates!$C$2:$C$197,MATCH(H67,Coordinates!$J$2:$J$197,0))</f>
        <v>34.848404989999999</v>
      </c>
      <c r="AM67" s="267" t="str">
        <f>IF(ISNUMBER(SEARCH("C", 'Dry_Litterbag Placem_Collection'!S68)),"YES","NO")</f>
        <v>YES</v>
      </c>
      <c r="AN67" s="267" t="str">
        <f>IF(ISNUMBER(SEARCH("H", 'Dry_Litterbag Placem_Collection'!S68)),"YES","NO")</f>
        <v>YES</v>
      </c>
      <c r="AO67" s="267" t="str">
        <f>IF(ISNUMBER(SEARCH("R", 'Dry_Litterbag Placem_Collection'!S68)),"YES","NO")</f>
        <v>NO</v>
      </c>
    </row>
    <row r="68" spans="1:41">
      <c r="A68" s="259" t="s">
        <v>2643</v>
      </c>
      <c r="B68" s="260">
        <f>'Dry_Litterbag Placem_Collection'!A69</f>
        <v>67</v>
      </c>
      <c r="C68" s="260" t="str">
        <f>'Dry_Litterbag Placem_Collection'!B69</f>
        <v>Maswa</v>
      </c>
      <c r="D68" s="260" t="s">
        <v>2643</v>
      </c>
      <c r="E68" s="260" t="s">
        <v>2645</v>
      </c>
      <c r="F68" s="260">
        <v>1</v>
      </c>
      <c r="G68" s="260" t="s">
        <v>3810</v>
      </c>
      <c r="H68" s="261" t="str">
        <f>'Dry_Litterbag Placem_Collection'!C69</f>
        <v>Dry_W1_T3</v>
      </c>
      <c r="I68" s="262" t="s">
        <v>2525</v>
      </c>
      <c r="J68" s="263" t="s">
        <v>1147</v>
      </c>
      <c r="K68" s="260" t="str">
        <f>IF(ISBLANK('Dry_Litterbag Placem_Collection'!J69),"","G"&amp;""&amp;'Dry_Litterbag Placem_Collection'!J69)</f>
        <v/>
      </c>
      <c r="L68" s="264" t="str">
        <f>IFERROR(INDEX('Green_rooibos initial weight'!$C$5:$C$2000,MATCH(K68, 'Green_rooibos initial weight'!$A$5:$A$2000,0)),"")</f>
        <v/>
      </c>
      <c r="M68" s="264" t="str">
        <f>IFERROR(L68-(TBIcalc!$Q$9+TBIcalc!$Q$10),"")</f>
        <v/>
      </c>
      <c r="N68" s="385">
        <f>AVERAGE(Ashed_controlls!$K$2:$K$11)</f>
        <v>5.5147656768714146</v>
      </c>
      <c r="O68" s="264" t="str">
        <f t="shared" si="6"/>
        <v/>
      </c>
      <c r="P68" s="264" t="str">
        <f>IFERROR(INDEX('Both teabags AfterDry'!$D$2:$D$2000,MATCH(K68,'Both teabags AfterDry'!$A$2:$A$2000,0)),"")</f>
        <v/>
      </c>
      <c r="Q68" s="264" t="str">
        <f>IFERROR(IF(P68&gt;0,P68-(TBIcalc!$Q$9),""),"")</f>
        <v/>
      </c>
      <c r="R68" s="275" t="str">
        <f>IFERROR(INDEX('Ashed teabags dry'!$K$2:$K$2000,MATCH(K68,'Ashed teabags dry'!$A$2:$A$2000,0)),"")</f>
        <v/>
      </c>
      <c r="S68" s="275" t="str">
        <f t="shared" si="7"/>
        <v/>
      </c>
      <c r="T68" s="265" t="str">
        <f>IF('Dry_Litterbag Placem_Collection'!E69="","",'Dry_Litterbag Placem_Collection'!E69)</f>
        <v/>
      </c>
      <c r="U68" s="265" t="str">
        <f>IF('Dry_Litterbag Placem_Collection'!G69="","",'Dry_Litterbag Placem_Collection'!G69)</f>
        <v/>
      </c>
      <c r="V68" s="266" t="str">
        <f t="shared" si="5"/>
        <v/>
      </c>
      <c r="W68" s="264" t="str">
        <f t="shared" si="8"/>
        <v/>
      </c>
      <c r="X68" s="264" t="str">
        <f t="shared" si="9"/>
        <v/>
      </c>
      <c r="Y68" s="268" t="str">
        <f>IFERROR(INDEX(Rainfall_Dry!$O$2:$O$217,MATCH(B68, Rainfall_Dry!$A$2:$A$217,0)),"")</f>
        <v/>
      </c>
      <c r="Z68" s="257">
        <v>47.96</v>
      </c>
      <c r="AA68" s="257">
        <v>22.919999999999995</v>
      </c>
      <c r="AB68" s="257">
        <v>29.120000000000012</v>
      </c>
      <c r="AC68" s="258" t="s">
        <v>2657</v>
      </c>
      <c r="AD68" s="257">
        <v>4.8831936914736298</v>
      </c>
      <c r="AE68">
        <f>IF('WetLitterbags placem_collection'!AB69="","",'WetLitterbags placem_collection'!AB69)</f>
        <v>5.5</v>
      </c>
      <c r="AF68">
        <f>IF('WetLitterbags placem_collection'!Z69="","",'WetLitterbags placem_collection'!Z69)</f>
        <v>5.5</v>
      </c>
      <c r="AG68" s="243" t="str">
        <f>IF('WetLitterbags placem_collection'!AA69="","",'WetLitterbags placem_collection'!AA69)</f>
        <v>O</v>
      </c>
      <c r="AH68">
        <f>IF('WetLitterbags placem_collection'!AC69="","",'WetLitterbags placem_collection'!AC69)</f>
        <v>1</v>
      </c>
      <c r="AI68" t="str">
        <f>IFERROR(AVERAGE('Dry_Litterbag Placem_Collection'!O69,'Dry_Litterbag Placem_Collection'!R69),"")</f>
        <v/>
      </c>
      <c r="AJ68" s="268" t="str">
        <f>IFERROR(AVERAGE('Dry_Litterbag Placem_Collection'!N69,'Dry_Litterbag Placem_Collection'!Q69),"")</f>
        <v/>
      </c>
      <c r="AK68" s="267">
        <f>INDEX(Coordinates!$B$2:$B$197,MATCH(H68,Coordinates!$J$2:$J$197,0))</f>
        <v>-3.299434008</v>
      </c>
      <c r="AL68" s="267">
        <f>INDEX(Coordinates!$C$2:$C$197,MATCH(H68,Coordinates!$J$2:$J$197,0))</f>
        <v>34.848514960000003</v>
      </c>
      <c r="AM68" s="267" t="str">
        <f>IF(ISNUMBER(SEARCH("C", 'Dry_Litterbag Placem_Collection'!S69)),"YES","NO")</f>
        <v>NO</v>
      </c>
      <c r="AN68" s="267" t="str">
        <f>IF(ISNUMBER(SEARCH("H", 'Dry_Litterbag Placem_Collection'!S69)),"YES","NO")</f>
        <v>NO</v>
      </c>
      <c r="AO68" s="267" t="str">
        <f>IF(ISNUMBER(SEARCH("R", 'Dry_Litterbag Placem_Collection'!S69)),"YES","NO")</f>
        <v>NO</v>
      </c>
    </row>
    <row r="69" spans="1:41">
      <c r="A69" s="259" t="s">
        <v>2643</v>
      </c>
      <c r="B69" s="260">
        <f>'Dry_Litterbag Placem_Collection'!A70</f>
        <v>68</v>
      </c>
      <c r="C69" s="260" t="str">
        <f>'Dry_Litterbag Placem_Collection'!B70</f>
        <v>Maswa</v>
      </c>
      <c r="D69" s="260" t="s">
        <v>2643</v>
      </c>
      <c r="E69" s="260" t="s">
        <v>2645</v>
      </c>
      <c r="F69" s="260">
        <v>1</v>
      </c>
      <c r="G69" s="260" t="s">
        <v>3810</v>
      </c>
      <c r="H69" s="261" t="str">
        <f>'Dry_Litterbag Placem_Collection'!C70</f>
        <v>Dry_W1_T4</v>
      </c>
      <c r="I69" s="262" t="s">
        <v>2525</v>
      </c>
      <c r="J69" s="263" t="s">
        <v>1147</v>
      </c>
      <c r="K69" s="260" t="str">
        <f>IF(ISBLANK('Dry_Litterbag Placem_Collection'!J70),"","G"&amp;""&amp;'Dry_Litterbag Placem_Collection'!J70)</f>
        <v>G63</v>
      </c>
      <c r="L69" s="264">
        <f>IFERROR(INDEX('Green_rooibos initial weight'!$C$5:$C$2000,MATCH(K69, 'Green_rooibos initial weight'!$A$5:$A$2000,0)),"")</f>
        <v>2</v>
      </c>
      <c r="M69" s="264">
        <f>IFERROR(L69-(TBIcalc!$Q$9+TBIcalc!$Q$10),"")</f>
        <v>1.7502</v>
      </c>
      <c r="N69" s="385">
        <f>AVERAGE(Ashed_controlls!$K$2:$K$11)</f>
        <v>5.5147656768714146</v>
      </c>
      <c r="O69" s="264">
        <f t="shared" si="6"/>
        <v>1.6536805711233964</v>
      </c>
      <c r="P69" s="264">
        <f>IFERROR(INDEX('Both teabags AfterDry'!$D$2:$D$2000,MATCH(K69,'Both teabags AfterDry'!$A$2:$A$2000,0)),"")</f>
        <v>1.8152999999999999</v>
      </c>
      <c r="Q69" s="264">
        <f>IFERROR(IF(P69&gt;0,P69-(TBIcalc!$Q$9),""),"")</f>
        <v>1.6646999999999998</v>
      </c>
      <c r="R69" s="275">
        <f>IFERROR(INDEX('Ashed teabags dry'!$K$2:$K$2000,MATCH(K69,'Ashed teabags dry'!$A$2:$A$2000,0)),"")</f>
        <v>5.6851311953349883</v>
      </c>
      <c r="S69" s="275">
        <f t="shared" si="7"/>
        <v>1.5700596209912583</v>
      </c>
      <c r="T69" s="265">
        <f>IF('Dry_Litterbag Placem_Collection'!E70="","",'Dry_Litterbag Placem_Collection'!E70)</f>
        <v>42937</v>
      </c>
      <c r="U69" s="265">
        <f>IF('Dry_Litterbag Placem_Collection'!G70="","",'Dry_Litterbag Placem_Collection'!G70)</f>
        <v>43005</v>
      </c>
      <c r="V69" s="266">
        <f t="shared" si="5"/>
        <v>68</v>
      </c>
      <c r="W69" s="264">
        <f t="shared" si="8"/>
        <v>8.5500000000000131E-2</v>
      </c>
      <c r="X69" s="264">
        <f t="shared" si="9"/>
        <v>8.3620950132138105E-2</v>
      </c>
      <c r="Y69" s="268">
        <f>IFERROR(INDEX(Rainfall_Dry!$O$2:$O$217,MATCH(B69, Rainfall_Dry!$A$2:$A$217,0)),"")</f>
        <v>6.900000125</v>
      </c>
      <c r="Z69" s="257">
        <v>47.96</v>
      </c>
      <c r="AA69" s="257">
        <v>22.919999999999995</v>
      </c>
      <c r="AB69" s="257">
        <v>29.120000000000012</v>
      </c>
      <c r="AC69" s="258" t="s">
        <v>2657</v>
      </c>
      <c r="AD69" s="257">
        <v>5.8831936914736298</v>
      </c>
      <c r="AE69">
        <f>IF('WetLitterbags placem_collection'!AB70="","",'WetLitterbags placem_collection'!AB70)</f>
        <v>9.6999999999999993</v>
      </c>
      <c r="AF69">
        <f>IF('WetLitterbags placem_collection'!Z70="","",'WetLitterbags placem_collection'!Z70)</f>
        <v>23.4</v>
      </c>
      <c r="AG69" s="243" t="str">
        <f>IF('WetLitterbags placem_collection'!AA70="","",'WetLitterbags placem_collection'!AA70)</f>
        <v>O</v>
      </c>
      <c r="AH69">
        <f>IF('WetLitterbags placem_collection'!AC70="","",'WetLitterbags placem_collection'!AC70)</f>
        <v>1</v>
      </c>
      <c r="AI69">
        <f>IFERROR(AVERAGE('Dry_Litterbag Placem_Collection'!O70,'Dry_Litterbag Placem_Collection'!R70),"")</f>
        <v>7.75</v>
      </c>
      <c r="AJ69" s="268">
        <f>IFERROR(AVERAGE('Dry_Litterbag Placem_Collection'!N70,'Dry_Litterbag Placem_Collection'!Q70),"")</f>
        <v>26.85</v>
      </c>
      <c r="AK69" s="267">
        <f>INDEX(Coordinates!$B$2:$B$197,MATCH(H69,Coordinates!$J$2:$J$197,0))</f>
        <v>-3.2991180099999999</v>
      </c>
      <c r="AL69" s="267">
        <f>INDEX(Coordinates!$C$2:$C$197,MATCH(H69,Coordinates!$J$2:$J$197,0))</f>
        <v>34.84824699</v>
      </c>
      <c r="AM69" s="267" t="str">
        <f>IF(ISNUMBER(SEARCH("C", 'Dry_Litterbag Placem_Collection'!S70)),"YES","NO")</f>
        <v>NO</v>
      </c>
      <c r="AN69" s="267" t="str">
        <f>IF(ISNUMBER(SEARCH("H", 'Dry_Litterbag Placem_Collection'!S70)),"YES","NO")</f>
        <v>NO</v>
      </c>
      <c r="AO69" s="267" t="str">
        <f>IF(ISNUMBER(SEARCH("R", 'Dry_Litterbag Placem_Collection'!S70)),"YES","NO")</f>
        <v>NO</v>
      </c>
    </row>
    <row r="70" spans="1:41">
      <c r="A70" s="259" t="s">
        <v>2643</v>
      </c>
      <c r="B70" s="260">
        <f>'Dry_Litterbag Placem_Collection'!A71</f>
        <v>69</v>
      </c>
      <c r="C70" s="260" t="str">
        <f>'Dry_Litterbag Placem_Collection'!B71</f>
        <v>Maswa</v>
      </c>
      <c r="D70" s="260" t="s">
        <v>2643</v>
      </c>
      <c r="E70" s="260" t="s">
        <v>2645</v>
      </c>
      <c r="F70" s="260">
        <v>1</v>
      </c>
      <c r="G70" s="260" t="s">
        <v>3810</v>
      </c>
      <c r="H70" s="261" t="str">
        <f>'Dry_Litterbag Placem_Collection'!C71</f>
        <v>Dry_W1_T5</v>
      </c>
      <c r="I70" s="262" t="s">
        <v>2525</v>
      </c>
      <c r="J70" s="263" t="s">
        <v>1147</v>
      </c>
      <c r="K70" s="260" t="str">
        <f>IF(ISBLANK('Dry_Litterbag Placem_Collection'!J71),"","G"&amp;""&amp;'Dry_Litterbag Placem_Collection'!J71)</f>
        <v>G382</v>
      </c>
      <c r="L70" s="264">
        <f>IFERROR(INDEX('Green_rooibos initial weight'!$C$5:$C$2000,MATCH(K70, 'Green_rooibos initial weight'!$A$5:$A$2000,0)),"")</f>
        <v>2.0960000000000001</v>
      </c>
      <c r="M70" s="264">
        <f>IFERROR(L70-(TBIcalc!$Q$9+TBIcalc!$Q$10),"")</f>
        <v>1.8462000000000001</v>
      </c>
      <c r="N70" s="385">
        <f>AVERAGE(Ashed_controlls!$K$2:$K$11)</f>
        <v>5.5147656768714146</v>
      </c>
      <c r="O70" s="264">
        <f t="shared" si="6"/>
        <v>1.7443863960735999</v>
      </c>
      <c r="P70" s="264">
        <f>IFERROR(INDEX('Both teabags AfterDry'!$D$2:$D$2000,MATCH(K70,'Both teabags AfterDry'!$A$2:$A$2000,0)),"")</f>
        <v>1.8677999999999999</v>
      </c>
      <c r="Q70" s="264">
        <f>IFERROR(IF(P70&gt;0,P70-(TBIcalc!$Q$9),""),"")</f>
        <v>1.7171999999999998</v>
      </c>
      <c r="R70" s="275">
        <f>IFERROR(INDEX('Ashed teabags dry'!$K$2:$K$2000,MATCH(K70,'Ashed teabags dry'!$A$2:$A$2000,0)),"")</f>
        <v>5.5063913470994565</v>
      </c>
      <c r="S70" s="275">
        <f t="shared" si="7"/>
        <v>1.622644247787608</v>
      </c>
      <c r="T70" s="265">
        <f>IF('Dry_Litterbag Placem_Collection'!E71="","",'Dry_Litterbag Placem_Collection'!E71)</f>
        <v>42937</v>
      </c>
      <c r="U70" s="265">
        <f>IF('Dry_Litterbag Placem_Collection'!G71="","",'Dry_Litterbag Placem_Collection'!G71)</f>
        <v>43006</v>
      </c>
      <c r="V70" s="266">
        <f t="shared" si="5"/>
        <v>69</v>
      </c>
      <c r="W70" s="264">
        <f t="shared" si="8"/>
        <v>0.12900000000000023</v>
      </c>
      <c r="X70" s="264">
        <f t="shared" si="9"/>
        <v>0.12174214828599195</v>
      </c>
      <c r="Y70" s="268">
        <f>IFERROR(INDEX(Rainfall_Dry!$O$2:$O$217,MATCH(B70, Rainfall_Dry!$A$2:$A$217,0)),"")</f>
        <v>6.900000125</v>
      </c>
      <c r="Z70" s="257">
        <v>47.96</v>
      </c>
      <c r="AA70" s="257">
        <v>22.919999999999995</v>
      </c>
      <c r="AB70" s="257">
        <v>29.120000000000012</v>
      </c>
      <c r="AC70" s="258" t="s">
        <v>2657</v>
      </c>
      <c r="AD70" s="257">
        <v>6.8831936914736298</v>
      </c>
      <c r="AE70">
        <f>IF('WetLitterbags placem_collection'!AB71="","",'WetLitterbags placem_collection'!AB71)</f>
        <v>14.4</v>
      </c>
      <c r="AF70">
        <f>IF('WetLitterbags placem_collection'!Z71="","",'WetLitterbags placem_collection'!Z71)</f>
        <v>24.4</v>
      </c>
      <c r="AG70" s="243" t="str">
        <f>IF('WetLitterbags placem_collection'!AA71="","",'WetLitterbags placem_collection'!AA71)</f>
        <v>O</v>
      </c>
      <c r="AH70">
        <f>IF('WetLitterbags placem_collection'!AC71="","",'WetLitterbags placem_collection'!AC71)</f>
        <v>1</v>
      </c>
      <c r="AI70">
        <f>IFERROR(AVERAGE('Dry_Litterbag Placem_Collection'!O71,'Dry_Litterbag Placem_Collection'!R71),"")</f>
        <v>7.95</v>
      </c>
      <c r="AJ70" s="268">
        <f>IFERROR(AVERAGE('Dry_Litterbag Placem_Collection'!N71,'Dry_Litterbag Placem_Collection'!Q71),"")</f>
        <v>26.55</v>
      </c>
      <c r="AK70" s="267">
        <f>INDEX(Coordinates!$B$2:$B$197,MATCH(H70,Coordinates!$J$2:$J$197,0))</f>
        <v>-3.2993180030000002</v>
      </c>
      <c r="AL70" s="267">
        <f>INDEX(Coordinates!$C$2:$C$197,MATCH(H70,Coordinates!$J$2:$J$197,0))</f>
        <v>34.848235010000003</v>
      </c>
      <c r="AM70" s="267" t="str">
        <f>IF(ISNUMBER(SEARCH("C", 'Dry_Litterbag Placem_Collection'!S71)),"YES","NO")</f>
        <v>NO</v>
      </c>
      <c r="AN70" s="267" t="str">
        <f>IF(ISNUMBER(SEARCH("H", 'Dry_Litterbag Placem_Collection'!S71)),"YES","NO")</f>
        <v>NO</v>
      </c>
      <c r="AO70" s="267" t="str">
        <f>IF(ISNUMBER(SEARCH("R", 'Dry_Litterbag Placem_Collection'!S71)),"YES","NO")</f>
        <v>NO</v>
      </c>
    </row>
    <row r="71" spans="1:41">
      <c r="A71" s="259" t="s">
        <v>2643</v>
      </c>
      <c r="B71" s="260">
        <f>'Dry_Litterbag Placem_Collection'!A72</f>
        <v>70</v>
      </c>
      <c r="C71" s="260" t="str">
        <f>'Dry_Litterbag Placem_Collection'!B72</f>
        <v>Maswa</v>
      </c>
      <c r="D71" s="260" t="s">
        <v>2643</v>
      </c>
      <c r="E71" s="260" t="s">
        <v>2645</v>
      </c>
      <c r="F71" s="260">
        <v>1</v>
      </c>
      <c r="G71" s="260" t="s">
        <v>3810</v>
      </c>
      <c r="H71" s="261" t="str">
        <f>'Dry_Litterbag Placem_Collection'!C72</f>
        <v>Dry_W1_T6</v>
      </c>
      <c r="I71" s="262" t="s">
        <v>2525</v>
      </c>
      <c r="J71" s="263" t="s">
        <v>1147</v>
      </c>
      <c r="K71" s="260" t="str">
        <f>IF(ISBLANK('Dry_Litterbag Placem_Collection'!J72),"","G"&amp;""&amp;'Dry_Litterbag Placem_Collection'!J72)</f>
        <v>G278</v>
      </c>
      <c r="L71" s="264">
        <f>IFERROR(INDEX('Green_rooibos initial weight'!$C$5:$C$2000,MATCH(K71, 'Green_rooibos initial weight'!$A$5:$A$2000,0)),"")</f>
        <v>2.0049999999999999</v>
      </c>
      <c r="M71" s="264">
        <f>IFERROR(L71-(TBIcalc!$Q$9+TBIcalc!$Q$10),"")</f>
        <v>1.7551999999999999</v>
      </c>
      <c r="N71" s="385">
        <f>AVERAGE(Ashed_controlls!$K$2:$K$11)</f>
        <v>5.5147656768714146</v>
      </c>
      <c r="O71" s="264">
        <f t="shared" si="6"/>
        <v>1.6584048328395529</v>
      </c>
      <c r="P71" s="264">
        <f>IFERROR(INDEX('Both teabags AfterDry'!$D$2:$D$2000,MATCH(K71,'Both teabags AfterDry'!$A$2:$A$2000,0)),"")</f>
        <v>1.8243</v>
      </c>
      <c r="Q71" s="264">
        <f>IFERROR(IF(P71&gt;0,P71-(TBIcalc!$Q$9),""),"")</f>
        <v>1.6737</v>
      </c>
      <c r="R71" s="275">
        <f>IFERROR(INDEX('Ashed teabags dry'!$K$2:$K$2000,MATCH(K71,'Ashed teabags dry'!$A$2:$A$2000,0)),"")</f>
        <v>5.9292476332832429</v>
      </c>
      <c r="S71" s="275">
        <f t="shared" si="7"/>
        <v>1.5744621823617384</v>
      </c>
      <c r="T71" s="265">
        <f>IF('Dry_Litterbag Placem_Collection'!E72="","",'Dry_Litterbag Placem_Collection'!E72)</f>
        <v>42937</v>
      </c>
      <c r="U71" s="265">
        <f>IF('Dry_Litterbag Placem_Collection'!G72="","",'Dry_Litterbag Placem_Collection'!G72)</f>
        <v>43006</v>
      </c>
      <c r="V71" s="266">
        <f t="shared" si="5"/>
        <v>69</v>
      </c>
      <c r="W71" s="264">
        <f t="shared" si="8"/>
        <v>8.1499999999999906E-2</v>
      </c>
      <c r="X71" s="264">
        <f t="shared" si="9"/>
        <v>8.3942650477814462E-2</v>
      </c>
      <c r="Y71" s="268">
        <f>IFERROR(INDEX(Rainfall_Dry!$O$2:$O$217,MATCH(B71, Rainfall_Dry!$A$2:$A$217,0)),"")</f>
        <v>6.900000125</v>
      </c>
      <c r="Z71" s="257">
        <v>47.96</v>
      </c>
      <c r="AA71" s="257">
        <v>22.919999999999995</v>
      </c>
      <c r="AB71" s="257">
        <v>29.120000000000012</v>
      </c>
      <c r="AC71" s="258" t="s">
        <v>2657</v>
      </c>
      <c r="AD71" s="257">
        <v>7.8831936914736298</v>
      </c>
      <c r="AE71">
        <f>IF('WetLitterbags placem_collection'!AB72="","",'WetLitterbags placem_collection'!AB72)</f>
        <v>15</v>
      </c>
      <c r="AF71">
        <f>IF('WetLitterbags placem_collection'!Z72="","",'WetLitterbags placem_collection'!Z72)</f>
        <v>28</v>
      </c>
      <c r="AG71" s="243" t="str">
        <f>IF('WetLitterbags placem_collection'!AA72="","",'WetLitterbags placem_collection'!AA72)</f>
        <v>O</v>
      </c>
      <c r="AH71">
        <f>IF('WetLitterbags placem_collection'!AC72="","",'WetLitterbags placem_collection'!AC72)</f>
        <v>0</v>
      </c>
      <c r="AI71">
        <f>IFERROR(AVERAGE('Dry_Litterbag Placem_Collection'!O72,'Dry_Litterbag Placem_Collection'!R72),"")</f>
        <v>8.8000000000000007</v>
      </c>
      <c r="AJ71" s="268">
        <f>IFERROR(AVERAGE('Dry_Litterbag Placem_Collection'!N72,'Dry_Litterbag Placem_Collection'!Q72),"")</f>
        <v>27.200000000000003</v>
      </c>
      <c r="AK71" s="267">
        <f>INDEX(Coordinates!$B$2:$B$197,MATCH(H71,Coordinates!$J$2:$J$197,0))</f>
        <v>-3.299381034</v>
      </c>
      <c r="AL71" s="267">
        <f>INDEX(Coordinates!$C$2:$C$197,MATCH(H71,Coordinates!$J$2:$J$197,0))</f>
        <v>34.848312040000003</v>
      </c>
      <c r="AM71" s="267" t="str">
        <f>IF(ISNUMBER(SEARCH("C", 'Dry_Litterbag Placem_Collection'!S72)),"YES","NO")</f>
        <v>NO</v>
      </c>
      <c r="AN71" s="267" t="str">
        <f>IF(ISNUMBER(SEARCH("H", 'Dry_Litterbag Placem_Collection'!S72)),"YES","NO")</f>
        <v>NO</v>
      </c>
      <c r="AO71" s="267" t="str">
        <f>IF(ISNUMBER(SEARCH("R", 'Dry_Litterbag Placem_Collection'!S72)),"YES","NO")</f>
        <v>NO</v>
      </c>
    </row>
    <row r="72" spans="1:41">
      <c r="A72" s="259" t="s">
        <v>2643</v>
      </c>
      <c r="B72" s="260">
        <f>'Dry_Litterbag Placem_Collection'!A73</f>
        <v>71</v>
      </c>
      <c r="C72" s="260" t="str">
        <f>'Dry_Litterbag Placem_Collection'!B73</f>
        <v>Maswa</v>
      </c>
      <c r="D72" s="260" t="s">
        <v>2643</v>
      </c>
      <c r="E72" s="260" t="s">
        <v>2645</v>
      </c>
      <c r="F72" s="260">
        <v>1</v>
      </c>
      <c r="G72" s="260" t="s">
        <v>3810</v>
      </c>
      <c r="H72" s="261" t="str">
        <f>'Dry_Litterbag Placem_Collection'!C73</f>
        <v>Dry_W1_T7</v>
      </c>
      <c r="I72" s="262" t="s">
        <v>2525</v>
      </c>
      <c r="J72" s="263" t="s">
        <v>1147</v>
      </c>
      <c r="K72" s="260" t="str">
        <f>IF(ISBLANK('Dry_Litterbag Placem_Collection'!J73),"","G"&amp;""&amp;'Dry_Litterbag Placem_Collection'!J73)</f>
        <v>G138</v>
      </c>
      <c r="L72" s="264">
        <f>IFERROR(INDEX('Green_rooibos initial weight'!$C$5:$C$2000,MATCH(K72, 'Green_rooibos initial weight'!$A$5:$A$2000,0)),"")</f>
        <v>1.956</v>
      </c>
      <c r="M72" s="264">
        <f>IFERROR(L72-(TBIcalc!$Q$9+TBIcalc!$Q$10),"")</f>
        <v>1.7061999999999999</v>
      </c>
      <c r="N72" s="385">
        <f>AVERAGE(Ashed_controlls!$K$2:$K$11)</f>
        <v>5.5147656768714146</v>
      </c>
      <c r="O72" s="264">
        <f t="shared" si="6"/>
        <v>1.6121070680212199</v>
      </c>
      <c r="P72" s="264">
        <f>IFERROR(INDEX('Both teabags AfterDry'!$D$2:$D$2000,MATCH(K72,'Both teabags AfterDry'!$A$2:$A$2000,0)),"")</f>
        <v>1.782</v>
      </c>
      <c r="Q72" s="264">
        <f>IFERROR(IF(P72&gt;0,P72-(TBIcalc!$Q$9),""),"")</f>
        <v>1.6314</v>
      </c>
      <c r="R72" s="275">
        <f>IFERROR(INDEX('Ashed teabags dry'!$K$2:$K$2000,MATCH(K72,'Ashed teabags dry'!$A$2:$A$2000,0)),"")</f>
        <v>5.177372962607877</v>
      </c>
      <c r="S72" s="275">
        <f t="shared" si="7"/>
        <v>1.546936337488015</v>
      </c>
      <c r="T72" s="265">
        <f>IF('Dry_Litterbag Placem_Collection'!E73="","",'Dry_Litterbag Placem_Collection'!E73)</f>
        <v>42937</v>
      </c>
      <c r="U72" s="265">
        <f>IF('Dry_Litterbag Placem_Collection'!G73="","",'Dry_Litterbag Placem_Collection'!G73)</f>
        <v>43006</v>
      </c>
      <c r="V72" s="266">
        <f t="shared" si="5"/>
        <v>69</v>
      </c>
      <c r="W72" s="264">
        <f t="shared" si="8"/>
        <v>7.4799999999999978E-2</v>
      </c>
      <c r="X72" s="264">
        <f t="shared" si="9"/>
        <v>6.517073053320499E-2</v>
      </c>
      <c r="Y72" s="268">
        <f>IFERROR(INDEX(Rainfall_Dry!$O$2:$O$217,MATCH(B72, Rainfall_Dry!$A$2:$A$217,0)),"")</f>
        <v>6.900000125</v>
      </c>
      <c r="Z72" s="257">
        <v>47.96</v>
      </c>
      <c r="AA72" s="257">
        <v>22.919999999999995</v>
      </c>
      <c r="AB72" s="257">
        <v>29.120000000000012</v>
      </c>
      <c r="AC72" s="258" t="s">
        <v>2657</v>
      </c>
      <c r="AD72" s="257">
        <v>8.8831936914736307</v>
      </c>
      <c r="AE72">
        <f>IF('WetLitterbags placem_collection'!AB73="","",'WetLitterbags placem_collection'!AB73)</f>
        <v>15.5</v>
      </c>
      <c r="AF72">
        <f>IF('WetLitterbags placem_collection'!Z73="","",'WetLitterbags placem_collection'!Z73)</f>
        <v>32</v>
      </c>
      <c r="AG72" s="243" t="str">
        <f>IF('WetLitterbags placem_collection'!AA73="","",'WetLitterbags placem_collection'!AA73)</f>
        <v>O</v>
      </c>
      <c r="AH72">
        <f>IF('WetLitterbags placem_collection'!AC73="","",'WetLitterbags placem_collection'!AC73)</f>
        <v>1</v>
      </c>
      <c r="AI72">
        <f>IFERROR(AVERAGE('Dry_Litterbag Placem_Collection'!O73,'Dry_Litterbag Placem_Collection'!R73),"")</f>
        <v>9.9499999999999993</v>
      </c>
      <c r="AJ72" s="268">
        <f>IFERROR(AVERAGE('Dry_Litterbag Placem_Collection'!N73,'Dry_Litterbag Placem_Collection'!Q73),"")</f>
        <v>27.6</v>
      </c>
      <c r="AK72" s="267">
        <f>INDEX(Coordinates!$B$2:$B$197,MATCH(H72,Coordinates!$J$2:$J$197,0))</f>
        <v>-3.2992429849999998</v>
      </c>
      <c r="AL72" s="267">
        <f>INDEX(Coordinates!$C$2:$C$197,MATCH(H72,Coordinates!$J$2:$J$197,0))</f>
        <v>34.847900989999999</v>
      </c>
      <c r="AM72" s="267" t="str">
        <f>IF(ISNUMBER(SEARCH("C", 'Dry_Litterbag Placem_Collection'!S73)),"YES","NO")</f>
        <v>NO</v>
      </c>
      <c r="AN72" s="267" t="str">
        <f>IF(ISNUMBER(SEARCH("H", 'Dry_Litterbag Placem_Collection'!S73)),"YES","NO")</f>
        <v>NO</v>
      </c>
      <c r="AO72" s="267" t="str">
        <f>IF(ISNUMBER(SEARCH("R", 'Dry_Litterbag Placem_Collection'!S73)),"YES","NO")</f>
        <v>NO</v>
      </c>
    </row>
    <row r="73" spans="1:41">
      <c r="A73" s="259" t="s">
        <v>2643</v>
      </c>
      <c r="B73" s="260">
        <f>'Dry_Litterbag Placem_Collection'!A74</f>
        <v>72</v>
      </c>
      <c r="C73" s="260" t="str">
        <f>'Dry_Litterbag Placem_Collection'!B74</f>
        <v>Maswa</v>
      </c>
      <c r="D73" s="260" t="s">
        <v>2643</v>
      </c>
      <c r="E73" s="260" t="s">
        <v>2645</v>
      </c>
      <c r="F73" s="260">
        <v>1</v>
      </c>
      <c r="G73" s="260" t="s">
        <v>3810</v>
      </c>
      <c r="H73" s="261" t="str">
        <f>'Dry_Litterbag Placem_Collection'!C74</f>
        <v>Dry_W1_T8</v>
      </c>
      <c r="I73" s="262" t="s">
        <v>2525</v>
      </c>
      <c r="J73" s="263" t="s">
        <v>1147</v>
      </c>
      <c r="K73" s="260" t="str">
        <f>IF(ISBLANK('Dry_Litterbag Placem_Collection'!J74),"","G"&amp;""&amp;'Dry_Litterbag Placem_Collection'!J74)</f>
        <v>G431</v>
      </c>
      <c r="L73" s="264">
        <f>IFERROR(INDEX('Green_rooibos initial weight'!$C$5:$C$2000,MATCH(K73, 'Green_rooibos initial weight'!$A$5:$A$2000,0)),"")</f>
        <v>2.08</v>
      </c>
      <c r="M73" s="264">
        <f>IFERROR(L73-(TBIcalc!$Q$9+TBIcalc!$Q$10),"")</f>
        <v>1.8302</v>
      </c>
      <c r="N73" s="385">
        <f>AVERAGE(Ashed_controlls!$K$2:$K$11)</f>
        <v>5.5147656768714146</v>
      </c>
      <c r="O73" s="264">
        <f t="shared" si="6"/>
        <v>1.7292687585818993</v>
      </c>
      <c r="P73" s="264">
        <f>IFERROR(INDEX('Both teabags AfterDry'!$D$2:$D$2000,MATCH(K73,'Both teabags AfterDry'!$A$2:$A$2000,0)),"")</f>
        <v>1.8758999999999999</v>
      </c>
      <c r="Q73" s="264">
        <f>IFERROR(IF(P73&gt;0,P73-(TBIcalc!$Q$9),""),"")</f>
        <v>1.7252999999999998</v>
      </c>
      <c r="R73" s="275">
        <f>IFERROR(INDEX('Ashed teabags dry'!$K$2:$K$2000,MATCH(K73,'Ashed teabags dry'!$A$2:$A$2000,0)),"")</f>
        <v>5.6922334780507073</v>
      </c>
      <c r="S73" s="275">
        <f t="shared" si="7"/>
        <v>1.627091895803191</v>
      </c>
      <c r="T73" s="265">
        <f>IF('Dry_Litterbag Placem_Collection'!E74="","",'Dry_Litterbag Placem_Collection'!E74)</f>
        <v>42937</v>
      </c>
      <c r="U73" s="265">
        <f>IF('Dry_Litterbag Placem_Collection'!G74="","",'Dry_Litterbag Placem_Collection'!G74)</f>
        <v>43006</v>
      </c>
      <c r="V73" s="266">
        <f t="shared" si="5"/>
        <v>69</v>
      </c>
      <c r="W73" s="264">
        <f t="shared" si="8"/>
        <v>0.10490000000000022</v>
      </c>
      <c r="X73" s="264">
        <f t="shared" si="9"/>
        <v>0.1021768627787083</v>
      </c>
      <c r="Y73" s="268">
        <f>IFERROR(INDEX(Rainfall_Dry!$O$2:$O$217,MATCH(B73, Rainfall_Dry!$A$2:$A$217,0)),"")</f>
        <v>6.900000125</v>
      </c>
      <c r="Z73" s="257">
        <v>47.96</v>
      </c>
      <c r="AA73" s="257">
        <v>22.919999999999995</v>
      </c>
      <c r="AB73" s="257">
        <v>29.120000000000012</v>
      </c>
      <c r="AC73" s="258" t="s">
        <v>2657</v>
      </c>
      <c r="AD73" s="257">
        <v>9.8831936914736307</v>
      </c>
      <c r="AE73">
        <f>IF('WetLitterbags placem_collection'!AB74="","",'WetLitterbags placem_collection'!AB74)</f>
        <v>2.6</v>
      </c>
      <c r="AF73">
        <f>IF('WetLitterbags placem_collection'!Z74="","",'WetLitterbags placem_collection'!Z74)</f>
        <v>44</v>
      </c>
      <c r="AG73" s="243" t="str">
        <f>IF('WetLitterbags placem_collection'!AA74="","",'WetLitterbags placem_collection'!AA74)</f>
        <v>O</v>
      </c>
      <c r="AH73">
        <f>IF('WetLitterbags placem_collection'!AC74="","",'WetLitterbags placem_collection'!AC74)</f>
        <v>1</v>
      </c>
      <c r="AI73">
        <f>IFERROR(AVERAGE('Dry_Litterbag Placem_Collection'!O74,'Dry_Litterbag Placem_Collection'!R74),"")</f>
        <v>9.5</v>
      </c>
      <c r="AJ73" s="268">
        <f>IFERROR(AVERAGE('Dry_Litterbag Placem_Collection'!N74,'Dry_Litterbag Placem_Collection'!Q74),"")</f>
        <v>26.35</v>
      </c>
      <c r="AK73" s="267">
        <f>INDEX(Coordinates!$B$2:$B$197,MATCH(H73,Coordinates!$J$2:$J$197,0))</f>
        <v>-3.2996540329999999</v>
      </c>
      <c r="AL73" s="267">
        <f>INDEX(Coordinates!$C$2:$C$197,MATCH(H73,Coordinates!$J$2:$J$197,0))</f>
        <v>34.848151020000003</v>
      </c>
      <c r="AM73" s="267" t="str">
        <f>IF(ISNUMBER(SEARCH("C", 'Dry_Litterbag Placem_Collection'!S74)),"YES","NO")</f>
        <v>NO</v>
      </c>
      <c r="AN73" s="267" t="str">
        <f>IF(ISNUMBER(SEARCH("H", 'Dry_Litterbag Placem_Collection'!S74)),"YES","NO")</f>
        <v>NO</v>
      </c>
      <c r="AO73" s="267" t="str">
        <f>IF(ISNUMBER(SEARCH("R", 'Dry_Litterbag Placem_Collection'!S74)),"YES","NO")</f>
        <v>NO</v>
      </c>
    </row>
    <row r="74" spans="1:41">
      <c r="A74" s="259" t="s">
        <v>2643</v>
      </c>
      <c r="B74" s="260">
        <f>'Dry_Litterbag Placem_Collection'!A75</f>
        <v>73</v>
      </c>
      <c r="C74" s="260" t="str">
        <f>'Dry_Litterbag Placem_Collection'!B75</f>
        <v>Maswa</v>
      </c>
      <c r="D74" s="260" t="s">
        <v>2643</v>
      </c>
      <c r="E74" s="260" t="s">
        <v>2645</v>
      </c>
      <c r="F74" s="260">
        <v>2</v>
      </c>
      <c r="G74" s="260" t="s">
        <v>3812</v>
      </c>
      <c r="H74" s="261" t="str">
        <f>'Dry_Litterbag Placem_Collection'!C75</f>
        <v>Dry_W2_T1</v>
      </c>
      <c r="I74" s="262" t="s">
        <v>2525</v>
      </c>
      <c r="J74" s="263" t="s">
        <v>1147</v>
      </c>
      <c r="K74" s="260" t="str">
        <f>IF(ISBLANK('Dry_Litterbag Placem_Collection'!J75),"","G"&amp;""&amp;'Dry_Litterbag Placem_Collection'!J75)</f>
        <v>G321</v>
      </c>
      <c r="L74" s="264">
        <f>IFERROR(INDEX('Green_rooibos initial weight'!$C$5:$C$2000,MATCH(K74, 'Green_rooibos initial weight'!$A$5:$A$2000,0)),"")</f>
        <v>1.9179999999999999</v>
      </c>
      <c r="M74" s="264">
        <f>IFERROR(L74-(TBIcalc!$Q$9+TBIcalc!$Q$10),"")</f>
        <v>1.6681999999999999</v>
      </c>
      <c r="N74" s="385">
        <f>AVERAGE(Ashed_controlls!$K$2:$K$11)</f>
        <v>5.5147656768714146</v>
      </c>
      <c r="O74" s="264">
        <f t="shared" si="6"/>
        <v>1.5762026789784309</v>
      </c>
      <c r="P74" s="264" t="str">
        <f>IFERROR(INDEX('Both teabags AfterDry'!$D$2:$D$2000,MATCH(K74,'Both teabags AfterDry'!$A$2:$A$2000,0)),"")</f>
        <v/>
      </c>
      <c r="Q74" s="264" t="str">
        <f>IFERROR(IF(P74&gt;0,P74-(TBIcalc!$Q$9),""),"")</f>
        <v/>
      </c>
      <c r="R74" s="275" t="str">
        <f>IFERROR(INDEX('Ashed teabags dry'!$K$2:$K$2000,MATCH(K74,'Ashed teabags dry'!$A$2:$A$2000,0)),"")</f>
        <v/>
      </c>
      <c r="S74" s="275" t="str">
        <f t="shared" si="7"/>
        <v/>
      </c>
      <c r="T74" s="265">
        <f>IF('Dry_Litterbag Placem_Collection'!E75="","",'Dry_Litterbag Placem_Collection'!E75)</f>
        <v>42937</v>
      </c>
      <c r="U74" s="265">
        <f>IF('Dry_Litterbag Placem_Collection'!G75="","",'Dry_Litterbag Placem_Collection'!G75)</f>
        <v>43006</v>
      </c>
      <c r="V74" s="266">
        <f t="shared" si="5"/>
        <v>69</v>
      </c>
      <c r="W74" s="264" t="str">
        <f t="shared" si="8"/>
        <v/>
      </c>
      <c r="X74" s="264" t="str">
        <f t="shared" si="9"/>
        <v/>
      </c>
      <c r="Y74" s="268">
        <f>IFERROR(INDEX(Rainfall_Dry!$O$2:$O$217,MATCH(B74, Rainfall_Dry!$A$2:$A$217,0)),"")</f>
        <v>6.900000125</v>
      </c>
      <c r="Z74" s="257">
        <v>45.272914521112256</v>
      </c>
      <c r="AA74" s="257">
        <v>23.604531410916575</v>
      </c>
      <c r="AB74" s="257">
        <v>31.122554067971166</v>
      </c>
      <c r="AC74" s="258" t="s">
        <v>2657</v>
      </c>
      <c r="AD74" s="257">
        <v>2.0547560374568752</v>
      </c>
      <c r="AE74">
        <f>IF('WetLitterbags placem_collection'!AB75="","",'WetLitterbags placem_collection'!AB75)</f>
        <v>9.1</v>
      </c>
      <c r="AF74">
        <f>IF('WetLitterbags placem_collection'!Z75="","",'WetLitterbags placem_collection'!Z75)</f>
        <v>10</v>
      </c>
      <c r="AG74" s="243" t="str">
        <f>IF('WetLitterbags placem_collection'!AA75="","",'WetLitterbags placem_collection'!AA75)</f>
        <v>M</v>
      </c>
      <c r="AH74">
        <f>IF('WetLitterbags placem_collection'!AC75="","",'WetLitterbags placem_collection'!AC75)</f>
        <v>1</v>
      </c>
      <c r="AI74">
        <f>IFERROR(AVERAGE('Dry_Litterbag Placem_Collection'!O75,'Dry_Litterbag Placem_Collection'!R75),"")</f>
        <v>9.5500000000000007</v>
      </c>
      <c r="AJ74" s="268">
        <f>IFERROR(AVERAGE('Dry_Litterbag Placem_Collection'!N75,'Dry_Litterbag Placem_Collection'!Q75),"")</f>
        <v>28.35</v>
      </c>
      <c r="AK74" s="267">
        <f>INDEX(Coordinates!$B$2:$B$197,MATCH(H74,Coordinates!$J$2:$J$197,0))</f>
        <v>-3.3025860229999999</v>
      </c>
      <c r="AL74" s="267">
        <f>INDEX(Coordinates!$C$2:$C$197,MATCH(H74,Coordinates!$J$2:$J$197,0))</f>
        <v>34.848048009999999</v>
      </c>
      <c r="AM74" s="267" t="str">
        <f>IF(ISNUMBER(SEARCH("C", 'Dry_Litterbag Placem_Collection'!S75)),"YES","NO")</f>
        <v>NO</v>
      </c>
      <c r="AN74" s="267" t="str">
        <f>IF(ISNUMBER(SEARCH("H", 'Dry_Litterbag Placem_Collection'!S75)),"YES","NO")</f>
        <v>NO</v>
      </c>
      <c r="AO74" s="267" t="str">
        <f>IF(ISNUMBER(SEARCH("R", 'Dry_Litterbag Placem_Collection'!S75)),"YES","NO")</f>
        <v>NO</v>
      </c>
    </row>
    <row r="75" spans="1:41">
      <c r="A75" s="259" t="s">
        <v>2643</v>
      </c>
      <c r="B75" s="260">
        <f>'Dry_Litterbag Placem_Collection'!A76</f>
        <v>74</v>
      </c>
      <c r="C75" s="260" t="str">
        <f>'Dry_Litterbag Placem_Collection'!B76</f>
        <v>Maswa</v>
      </c>
      <c r="D75" s="260" t="s">
        <v>2643</v>
      </c>
      <c r="E75" s="260" t="s">
        <v>2645</v>
      </c>
      <c r="F75" s="260">
        <v>2</v>
      </c>
      <c r="G75" s="260" t="s">
        <v>3812</v>
      </c>
      <c r="H75" s="261" t="str">
        <f>'Dry_Litterbag Placem_Collection'!C76</f>
        <v>Dry_W2_T2</v>
      </c>
      <c r="I75" s="262" t="s">
        <v>2525</v>
      </c>
      <c r="J75" s="263" t="s">
        <v>1147</v>
      </c>
      <c r="K75" s="260" t="str">
        <f>IF(ISBLANK('Dry_Litterbag Placem_Collection'!J76),"","G"&amp;""&amp;'Dry_Litterbag Placem_Collection'!J76)</f>
        <v>G329</v>
      </c>
      <c r="L75" s="264">
        <f>IFERROR(INDEX('Green_rooibos initial weight'!$C$5:$C$2000,MATCH(K75, 'Green_rooibos initial weight'!$A$5:$A$2000,0)),"")</f>
        <v>1.9550000000000001</v>
      </c>
      <c r="M75" s="264">
        <f>IFERROR(L75-(TBIcalc!$Q$9+TBIcalc!$Q$10),"")</f>
        <v>1.7052</v>
      </c>
      <c r="N75" s="385">
        <f>AVERAGE(Ashed_controlls!$K$2:$K$11)</f>
        <v>5.5147656768714146</v>
      </c>
      <c r="O75" s="264">
        <f t="shared" si="6"/>
        <v>1.6111622156779888</v>
      </c>
      <c r="P75" s="264">
        <f>IFERROR(INDEX('Both teabags AfterDry'!$D$2:$D$2000,MATCH(K75,'Both teabags AfterDry'!$A$2:$A$2000,0)),"")</f>
        <v>1.7850999999999999</v>
      </c>
      <c r="Q75" s="264">
        <f>IFERROR(IF(P75&gt;0,P75-(TBIcalc!$Q$9),""),"")</f>
        <v>1.6344999999999998</v>
      </c>
      <c r="R75" s="275">
        <f>IFERROR(INDEX('Ashed teabags dry'!$K$2:$K$2000,MATCH(K75,'Ashed teabags dry'!$A$2:$A$2000,0)),"")</f>
        <v>5.4652880354504347</v>
      </c>
      <c r="S75" s="275">
        <f t="shared" si="7"/>
        <v>1.5451698670605625</v>
      </c>
      <c r="T75" s="265">
        <f>IF('Dry_Litterbag Placem_Collection'!E76="","",'Dry_Litterbag Placem_Collection'!E76)</f>
        <v>42937</v>
      </c>
      <c r="U75" s="265">
        <f>IF('Dry_Litterbag Placem_Collection'!G76="","",'Dry_Litterbag Placem_Collection'!G76)</f>
        <v>43006</v>
      </c>
      <c r="V75" s="266">
        <f t="shared" si="5"/>
        <v>69</v>
      </c>
      <c r="W75" s="264">
        <f t="shared" si="8"/>
        <v>7.0700000000000207E-2</v>
      </c>
      <c r="X75" s="264">
        <f t="shared" si="9"/>
        <v>6.5992348617426311E-2</v>
      </c>
      <c r="Y75" s="268">
        <f>IFERROR(INDEX(Rainfall_Dry!$O$2:$O$217,MATCH(B75, Rainfall_Dry!$A$2:$A$217,0)),"")</f>
        <v>6.900000125</v>
      </c>
      <c r="Z75" s="257">
        <v>45.272914521112256</v>
      </c>
      <c r="AA75" s="257">
        <v>23.604531410916575</v>
      </c>
      <c r="AB75" s="257">
        <v>31.122554067971166</v>
      </c>
      <c r="AC75" s="258" t="s">
        <v>2657</v>
      </c>
      <c r="AD75" s="257">
        <v>3.0547560374568801</v>
      </c>
      <c r="AE75">
        <f>IF('WetLitterbags placem_collection'!AB76="","",'WetLitterbags placem_collection'!AB76)</f>
        <v>7.7</v>
      </c>
      <c r="AF75">
        <f>IF('WetLitterbags placem_collection'!Z76="","",'WetLitterbags placem_collection'!Z76)</f>
        <v>9.4</v>
      </c>
      <c r="AG75" s="243" t="str">
        <f>IF('WetLitterbags placem_collection'!AA76="","",'WetLitterbags placem_collection'!AA76)</f>
        <v>M</v>
      </c>
      <c r="AH75">
        <f>IF('WetLitterbags placem_collection'!AC76="","",'WetLitterbags placem_collection'!AC76)</f>
        <v>1</v>
      </c>
      <c r="AI75">
        <f>IFERROR(AVERAGE('Dry_Litterbag Placem_Collection'!O76,'Dry_Litterbag Placem_Collection'!R76),"")</f>
        <v>10.8</v>
      </c>
      <c r="AJ75" s="268">
        <f>IFERROR(AVERAGE('Dry_Litterbag Placem_Collection'!N76,'Dry_Litterbag Placem_Collection'!Q76),"")</f>
        <v>28.1</v>
      </c>
      <c r="AK75" s="267">
        <f>INDEX(Coordinates!$B$2:$B$197,MATCH(H75,Coordinates!$J$2:$J$197,0))</f>
        <v>-3.3025779759999998</v>
      </c>
      <c r="AL75" s="267">
        <f>INDEX(Coordinates!$C$2:$C$197,MATCH(H75,Coordinates!$J$2:$J$197,0))</f>
        <v>34.848041969999997</v>
      </c>
      <c r="AM75" s="267" t="str">
        <f>IF(ISNUMBER(SEARCH("C", 'Dry_Litterbag Placem_Collection'!S76)),"YES","NO")</f>
        <v>NO</v>
      </c>
      <c r="AN75" s="267" t="str">
        <f>IF(ISNUMBER(SEARCH("H", 'Dry_Litterbag Placem_Collection'!S76)),"YES","NO")</f>
        <v>NO</v>
      </c>
      <c r="AO75" s="267" t="str">
        <f>IF(ISNUMBER(SEARCH("R", 'Dry_Litterbag Placem_Collection'!S76)),"YES","NO")</f>
        <v>NO</v>
      </c>
    </row>
    <row r="76" spans="1:41">
      <c r="A76" s="259" t="s">
        <v>2643</v>
      </c>
      <c r="B76" s="260">
        <f>'Dry_Litterbag Placem_Collection'!A77</f>
        <v>75</v>
      </c>
      <c r="C76" s="260" t="str">
        <f>'Dry_Litterbag Placem_Collection'!B77</f>
        <v>Maswa</v>
      </c>
      <c r="D76" s="260" t="s">
        <v>2643</v>
      </c>
      <c r="E76" s="260" t="s">
        <v>2645</v>
      </c>
      <c r="F76" s="260">
        <v>2</v>
      </c>
      <c r="G76" s="260" t="s">
        <v>3812</v>
      </c>
      <c r="H76" s="261" t="str">
        <f>'Dry_Litterbag Placem_Collection'!C77</f>
        <v>Dry_W2_T3</v>
      </c>
      <c r="I76" s="262" t="s">
        <v>2525</v>
      </c>
      <c r="J76" s="263" t="s">
        <v>1147</v>
      </c>
      <c r="K76" s="260" t="str">
        <f>IF(ISBLANK('Dry_Litterbag Placem_Collection'!J77),"","G"&amp;""&amp;'Dry_Litterbag Placem_Collection'!J77)</f>
        <v>G215</v>
      </c>
      <c r="L76" s="264">
        <f>IFERROR(INDEX('Green_rooibos initial weight'!$C$5:$C$2000,MATCH(K76, 'Green_rooibos initial weight'!$A$5:$A$2000,0)),"")</f>
        <v>2.0579999999999998</v>
      </c>
      <c r="M76" s="264">
        <f>IFERROR(L76-(TBIcalc!$Q$9+TBIcalc!$Q$10),"")</f>
        <v>1.8081999999999998</v>
      </c>
      <c r="N76" s="385">
        <f>AVERAGE(Ashed_controlls!$K$2:$K$11)</f>
        <v>5.5147656768714146</v>
      </c>
      <c r="O76" s="264">
        <f t="shared" si="6"/>
        <v>1.7084820070308109</v>
      </c>
      <c r="P76" s="264">
        <f>IFERROR(INDEX('Both teabags AfterDry'!$D$2:$D$2000,MATCH(K76,'Both teabags AfterDry'!$A$2:$A$2000,0)),"")</f>
        <v>1.9146000000000001</v>
      </c>
      <c r="Q76" s="264">
        <f>IFERROR(IF(P76&gt;0,P76-(TBIcalc!$Q$9),""),"")</f>
        <v>1.764</v>
      </c>
      <c r="R76" s="275">
        <f>IFERROR(INDEX('Ashed teabags dry'!$K$2:$K$2000,MATCH(K76,'Ashed teabags dry'!$A$2:$A$2000,0)),"")</f>
        <v>5.0223769269016794</v>
      </c>
      <c r="S76" s="275">
        <f t="shared" si="7"/>
        <v>1.6754052710094545</v>
      </c>
      <c r="T76" s="265">
        <f>IF('Dry_Litterbag Placem_Collection'!E77="","",'Dry_Litterbag Placem_Collection'!E77)</f>
        <v>42937</v>
      </c>
      <c r="U76" s="265">
        <f>IF('Dry_Litterbag Placem_Collection'!G77="","",'Dry_Litterbag Placem_Collection'!G77)</f>
        <v>43006</v>
      </c>
      <c r="V76" s="266">
        <f t="shared" si="5"/>
        <v>69</v>
      </c>
      <c r="W76" s="264">
        <f t="shared" si="8"/>
        <v>4.4199999999999795E-2</v>
      </c>
      <c r="X76" s="264">
        <f t="shared" si="9"/>
        <v>3.3076736021356412E-2</v>
      </c>
      <c r="Y76" s="268">
        <f>IFERROR(INDEX(Rainfall_Dry!$O$2:$O$217,MATCH(B76, Rainfall_Dry!$A$2:$A$217,0)),"")</f>
        <v>6.900000125</v>
      </c>
      <c r="Z76" s="257">
        <v>45.272914521112256</v>
      </c>
      <c r="AA76" s="257">
        <v>23.604531410916575</v>
      </c>
      <c r="AB76" s="257">
        <v>31.122554067971166</v>
      </c>
      <c r="AC76" s="258" t="s">
        <v>2657</v>
      </c>
      <c r="AD76" s="257">
        <v>4.0547560374568796</v>
      </c>
      <c r="AE76">
        <f>IF('WetLitterbags placem_collection'!AB77="","",'WetLitterbags placem_collection'!AB77)</f>
        <v>6.1</v>
      </c>
      <c r="AF76">
        <f>IF('WetLitterbags placem_collection'!Z77="","",'WetLitterbags placem_collection'!Z77)</f>
        <v>13.8</v>
      </c>
      <c r="AG76" s="243" t="str">
        <f>IF('WetLitterbags placem_collection'!AA77="","",'WetLitterbags placem_collection'!AA77)</f>
        <v>O</v>
      </c>
      <c r="AH76">
        <f>IF('WetLitterbags placem_collection'!AC77="","",'WetLitterbags placem_collection'!AC77)</f>
        <v>0</v>
      </c>
      <c r="AI76">
        <f>IFERROR(AVERAGE('Dry_Litterbag Placem_Collection'!O77,'Dry_Litterbag Placem_Collection'!R77),"")</f>
        <v>12.3</v>
      </c>
      <c r="AJ76" s="268">
        <f>IFERROR(AVERAGE('Dry_Litterbag Placem_Collection'!N77,'Dry_Litterbag Placem_Collection'!Q77),"")</f>
        <v>27.200000000000003</v>
      </c>
      <c r="AK76" s="267">
        <f>INDEX(Coordinates!$B$2:$B$197,MATCH(H76,Coordinates!$J$2:$J$197,0))</f>
        <v>-3.302687025</v>
      </c>
      <c r="AL76" s="267">
        <f>INDEX(Coordinates!$C$2:$C$197,MATCH(H76,Coordinates!$J$2:$J$197,0))</f>
        <v>34.847926970000003</v>
      </c>
      <c r="AM76" s="267" t="str">
        <f>IF(ISNUMBER(SEARCH("C", 'Dry_Litterbag Placem_Collection'!S77)),"YES","NO")</f>
        <v>NO</v>
      </c>
      <c r="AN76" s="267" t="str">
        <f>IF(ISNUMBER(SEARCH("H", 'Dry_Litterbag Placem_Collection'!S77)),"YES","NO")</f>
        <v>YES</v>
      </c>
      <c r="AO76" s="267" t="str">
        <f>IF(ISNUMBER(SEARCH("R", 'Dry_Litterbag Placem_Collection'!S77)),"YES","NO")</f>
        <v>NO</v>
      </c>
    </row>
    <row r="77" spans="1:41">
      <c r="A77" s="259" t="s">
        <v>2643</v>
      </c>
      <c r="B77" s="260">
        <f>'Dry_Litterbag Placem_Collection'!A78</f>
        <v>76</v>
      </c>
      <c r="C77" s="260" t="str">
        <f>'Dry_Litterbag Placem_Collection'!B78</f>
        <v>Maswa</v>
      </c>
      <c r="D77" s="260" t="s">
        <v>2643</v>
      </c>
      <c r="E77" s="260" t="s">
        <v>2645</v>
      </c>
      <c r="F77" s="260">
        <v>2</v>
      </c>
      <c r="G77" s="260" t="s">
        <v>3812</v>
      </c>
      <c r="H77" s="261" t="str">
        <f>'Dry_Litterbag Placem_Collection'!C78</f>
        <v>Dry_W2_T4</v>
      </c>
      <c r="I77" s="262" t="s">
        <v>2525</v>
      </c>
      <c r="J77" s="263" t="s">
        <v>1147</v>
      </c>
      <c r="K77" s="260" t="str">
        <f>IF(ISBLANK('Dry_Litterbag Placem_Collection'!J78),"","G"&amp;""&amp;'Dry_Litterbag Placem_Collection'!J78)</f>
        <v>G60</v>
      </c>
      <c r="L77" s="264">
        <f>IFERROR(INDEX('Green_rooibos initial weight'!$C$5:$C$2000,MATCH(K77, 'Green_rooibos initial weight'!$A$5:$A$2000,0)),"")</f>
        <v>2.1230000000000002</v>
      </c>
      <c r="M77" s="264">
        <f>IFERROR(L77-(TBIcalc!$Q$9+TBIcalc!$Q$10),"")</f>
        <v>1.8732000000000002</v>
      </c>
      <c r="N77" s="385">
        <f>AVERAGE(Ashed_controlls!$K$2:$K$11)</f>
        <v>5.5147656768714146</v>
      </c>
      <c r="O77" s="264">
        <f t="shared" si="6"/>
        <v>1.7698974093408448</v>
      </c>
      <c r="P77" s="264">
        <f>IFERROR(INDEX('Both teabags AfterDry'!$D$2:$D$2000,MATCH(K77,'Both teabags AfterDry'!$A$2:$A$2000,0)),"")</f>
        <v>1.9540999999999999</v>
      </c>
      <c r="Q77" s="264">
        <f>IFERROR(IF(P77&gt;0,P77-(TBIcalc!$Q$9),""),"")</f>
        <v>1.8034999999999999</v>
      </c>
      <c r="R77" s="275">
        <f>IFERROR(INDEX('Ashed teabags dry'!$K$2:$K$2000,MATCH(K77,'Ashed teabags dry'!$A$2:$A$2000,0)),"")</f>
        <v>5.8748403575990409</v>
      </c>
      <c r="S77" s="275">
        <f t="shared" si="7"/>
        <v>1.6975472541507013</v>
      </c>
      <c r="T77" s="265">
        <f>IF('Dry_Litterbag Placem_Collection'!E78="","",'Dry_Litterbag Placem_Collection'!E78)</f>
        <v>42937</v>
      </c>
      <c r="U77" s="265">
        <f>IF('Dry_Litterbag Placem_Collection'!G78="","",'Dry_Litterbag Placem_Collection'!G78)</f>
        <v>43006</v>
      </c>
      <c r="V77" s="266">
        <f t="shared" si="5"/>
        <v>69</v>
      </c>
      <c r="W77" s="264">
        <f t="shared" si="8"/>
        <v>6.9700000000000317E-2</v>
      </c>
      <c r="X77" s="264">
        <f t="shared" si="9"/>
        <v>7.2350155190143539E-2</v>
      </c>
      <c r="Y77" s="268">
        <f>IFERROR(INDEX(Rainfall_Dry!$O$2:$O$217,MATCH(B77, Rainfall_Dry!$A$2:$A$217,0)),"")</f>
        <v>6.900000125</v>
      </c>
      <c r="Z77" s="257">
        <v>45.272914521112256</v>
      </c>
      <c r="AA77" s="257">
        <v>23.604531410916575</v>
      </c>
      <c r="AB77" s="257">
        <v>31.122554067971166</v>
      </c>
      <c r="AC77" s="258" t="s">
        <v>2657</v>
      </c>
      <c r="AD77" s="257">
        <v>5.0547560374568796</v>
      </c>
      <c r="AE77">
        <f>IF('WetLitterbags placem_collection'!AB78="","",'WetLitterbags placem_collection'!AB78)</f>
        <v>6.7</v>
      </c>
      <c r="AF77">
        <f>IF('WetLitterbags placem_collection'!Z78="","",'WetLitterbags placem_collection'!Z78)</f>
        <v>19.3</v>
      </c>
      <c r="AG77" s="243" t="str">
        <f>IF('WetLitterbags placem_collection'!AA78="","",'WetLitterbags placem_collection'!AA78)</f>
        <v>M</v>
      </c>
      <c r="AH77">
        <f>IF('WetLitterbags placem_collection'!AC78="","",'WetLitterbags placem_collection'!AC78)</f>
        <v>1</v>
      </c>
      <c r="AI77">
        <f>IFERROR(AVERAGE('Dry_Litterbag Placem_Collection'!O78,'Dry_Litterbag Placem_Collection'!R78),"")</f>
        <v>11.1</v>
      </c>
      <c r="AJ77" s="268">
        <f>IFERROR(AVERAGE('Dry_Litterbag Placem_Collection'!N78,'Dry_Litterbag Placem_Collection'!Q78),"")</f>
        <v>27.75</v>
      </c>
      <c r="AK77" s="267">
        <f>INDEX(Coordinates!$B$2:$B$197,MATCH(H77,Coordinates!$J$2:$J$197,0))</f>
        <v>-3.3024560190000001</v>
      </c>
      <c r="AL77" s="267">
        <f>INDEX(Coordinates!$C$2:$C$197,MATCH(H77,Coordinates!$J$2:$J$197,0))</f>
        <v>34.847871990000002</v>
      </c>
      <c r="AM77" s="267" t="str">
        <f>IF(ISNUMBER(SEARCH("C", 'Dry_Litterbag Placem_Collection'!S78)),"YES","NO")</f>
        <v>NO</v>
      </c>
      <c r="AN77" s="267" t="str">
        <f>IF(ISNUMBER(SEARCH("H", 'Dry_Litterbag Placem_Collection'!S78)),"YES","NO")</f>
        <v>NO</v>
      </c>
      <c r="AO77" s="267" t="str">
        <f>IF(ISNUMBER(SEARCH("R", 'Dry_Litterbag Placem_Collection'!S78)),"YES","NO")</f>
        <v>NO</v>
      </c>
    </row>
    <row r="78" spans="1:41">
      <c r="A78" s="259" t="s">
        <v>2643</v>
      </c>
      <c r="B78" s="260">
        <f>'Dry_Litterbag Placem_Collection'!A79</f>
        <v>77</v>
      </c>
      <c r="C78" s="260" t="str">
        <f>'Dry_Litterbag Placem_Collection'!B79</f>
        <v>Maswa</v>
      </c>
      <c r="D78" s="260" t="s">
        <v>2643</v>
      </c>
      <c r="E78" s="260" t="s">
        <v>2645</v>
      </c>
      <c r="F78" s="260">
        <v>2</v>
      </c>
      <c r="G78" s="260" t="s">
        <v>3812</v>
      </c>
      <c r="H78" s="261" t="str">
        <f>'Dry_Litterbag Placem_Collection'!C79</f>
        <v>Dry_W2_T5</v>
      </c>
      <c r="I78" s="262" t="s">
        <v>2525</v>
      </c>
      <c r="J78" s="263" t="s">
        <v>1147</v>
      </c>
      <c r="K78" s="260" t="str">
        <f>IF(ISBLANK('Dry_Litterbag Placem_Collection'!J79),"","G"&amp;""&amp;'Dry_Litterbag Placem_Collection'!J79)</f>
        <v/>
      </c>
      <c r="L78" s="264" t="str">
        <f>IFERROR(INDEX('Green_rooibos initial weight'!$C$5:$C$2000,MATCH(K78, 'Green_rooibos initial weight'!$A$5:$A$2000,0)),"")</f>
        <v/>
      </c>
      <c r="M78" s="264" t="str">
        <f>IFERROR(L78-(TBIcalc!$Q$9+TBIcalc!$Q$10),"")</f>
        <v/>
      </c>
      <c r="N78" s="385">
        <f>AVERAGE(Ashed_controlls!$K$2:$K$11)</f>
        <v>5.5147656768714146</v>
      </c>
      <c r="O78" s="264" t="str">
        <f t="shared" si="6"/>
        <v/>
      </c>
      <c r="P78" s="264" t="str">
        <f>IFERROR(INDEX('Both teabags AfterDry'!$D$2:$D$2000,MATCH(K78,'Both teabags AfterDry'!$A$2:$A$2000,0)),"")</f>
        <v/>
      </c>
      <c r="Q78" s="264" t="str">
        <f>IFERROR(IF(P78&gt;0,P78-(TBIcalc!$Q$9),""),"")</f>
        <v/>
      </c>
      <c r="R78" s="275" t="str">
        <f>IFERROR(INDEX('Ashed teabags dry'!$K$2:$K$2000,MATCH(K78,'Ashed teabags dry'!$A$2:$A$2000,0)),"")</f>
        <v/>
      </c>
      <c r="S78" s="275" t="str">
        <f t="shared" si="7"/>
        <v/>
      </c>
      <c r="T78" s="265" t="str">
        <f>IF('Dry_Litterbag Placem_Collection'!E79="","",'Dry_Litterbag Placem_Collection'!E79)</f>
        <v/>
      </c>
      <c r="U78" s="265" t="str">
        <f>IF('Dry_Litterbag Placem_Collection'!G79="","",'Dry_Litterbag Placem_Collection'!G79)</f>
        <v/>
      </c>
      <c r="V78" s="266" t="str">
        <f t="shared" si="5"/>
        <v/>
      </c>
      <c r="W78" s="264" t="str">
        <f t="shared" si="8"/>
        <v/>
      </c>
      <c r="X78" s="264" t="str">
        <f t="shared" si="9"/>
        <v/>
      </c>
      <c r="Y78" s="268" t="str">
        <f>IFERROR(INDEX(Rainfall_Dry!$O$2:$O$217,MATCH(B78, Rainfall_Dry!$A$2:$A$217,0)),"")</f>
        <v/>
      </c>
      <c r="Z78" s="257">
        <v>45.272914521112256</v>
      </c>
      <c r="AA78" s="257">
        <v>23.604531410916575</v>
      </c>
      <c r="AB78" s="257">
        <v>31.122554067971166</v>
      </c>
      <c r="AC78" s="258" t="s">
        <v>2657</v>
      </c>
      <c r="AD78" s="257">
        <v>6.0547560374568796</v>
      </c>
      <c r="AE78">
        <f>IF('WetLitterbags placem_collection'!AB79="","",'WetLitterbags placem_collection'!AB79)</f>
        <v>3.1</v>
      </c>
      <c r="AF78">
        <f>IF('WetLitterbags placem_collection'!Z79="","",'WetLitterbags placem_collection'!Z79)</f>
        <v>9.8000000000000007</v>
      </c>
      <c r="AG78" s="243" t="str">
        <f>IF('WetLitterbags placem_collection'!AA79="","",'WetLitterbags placem_collection'!AA79)</f>
        <v>O</v>
      </c>
      <c r="AH78">
        <f>IF('WetLitterbags placem_collection'!AC79="","",'WetLitterbags placem_collection'!AC79)</f>
        <v>1</v>
      </c>
      <c r="AI78" t="str">
        <f>IFERROR(AVERAGE('Dry_Litterbag Placem_Collection'!O79,'Dry_Litterbag Placem_Collection'!R79),"")</f>
        <v/>
      </c>
      <c r="AJ78" s="268" t="str">
        <f>IFERROR(AVERAGE('Dry_Litterbag Placem_Collection'!N79,'Dry_Litterbag Placem_Collection'!Q79),"")</f>
        <v/>
      </c>
      <c r="AK78" s="267">
        <f>INDEX(Coordinates!$B$2:$B$197,MATCH(H78,Coordinates!$J$2:$J$197,0))</f>
        <v>-3.3023280279999998</v>
      </c>
      <c r="AL78" s="267">
        <f>INDEX(Coordinates!$C$2:$C$197,MATCH(H78,Coordinates!$J$2:$J$197,0))</f>
        <v>34.848223019999999</v>
      </c>
      <c r="AM78" s="267" t="str">
        <f>IF(ISNUMBER(SEARCH("C", 'Dry_Litterbag Placem_Collection'!S79)),"YES","NO")</f>
        <v>NO</v>
      </c>
      <c r="AN78" s="267" t="str">
        <f>IF(ISNUMBER(SEARCH("H", 'Dry_Litterbag Placem_Collection'!S79)),"YES","NO")</f>
        <v>NO</v>
      </c>
      <c r="AO78" s="267" t="str">
        <f>IF(ISNUMBER(SEARCH("R", 'Dry_Litterbag Placem_Collection'!S79)),"YES","NO")</f>
        <v>NO</v>
      </c>
    </row>
    <row r="79" spans="1:41">
      <c r="A79" s="259" t="s">
        <v>2643</v>
      </c>
      <c r="B79" s="260">
        <f>'Dry_Litterbag Placem_Collection'!A80</f>
        <v>78</v>
      </c>
      <c r="C79" s="260" t="str">
        <f>'Dry_Litterbag Placem_Collection'!B80</f>
        <v>Maswa</v>
      </c>
      <c r="D79" s="260" t="s">
        <v>2643</v>
      </c>
      <c r="E79" s="260" t="s">
        <v>2645</v>
      </c>
      <c r="F79" s="260">
        <v>2</v>
      </c>
      <c r="G79" s="260" t="s">
        <v>3812</v>
      </c>
      <c r="H79" s="261" t="str">
        <f>'Dry_Litterbag Placem_Collection'!C80</f>
        <v>Dry_W2_T6</v>
      </c>
      <c r="I79" s="262" t="s">
        <v>2525</v>
      </c>
      <c r="J79" s="263" t="s">
        <v>1147</v>
      </c>
      <c r="K79" s="260" t="str">
        <f>IF(ISBLANK('Dry_Litterbag Placem_Collection'!J80),"","G"&amp;""&amp;'Dry_Litterbag Placem_Collection'!J80)</f>
        <v>G97</v>
      </c>
      <c r="L79" s="264">
        <f>IFERROR(INDEX('Green_rooibos initial weight'!$C$5:$C$2000,MATCH(K79, 'Green_rooibos initial weight'!$A$5:$A$2000,0)),"")</f>
        <v>2.0960000000000001</v>
      </c>
      <c r="M79" s="264">
        <f>IFERROR(L79-(TBIcalc!$Q$9+TBIcalc!$Q$10),"")</f>
        <v>1.8462000000000001</v>
      </c>
      <c r="N79" s="385">
        <f>AVERAGE(Ashed_controlls!$K$2:$K$11)</f>
        <v>5.5147656768714146</v>
      </c>
      <c r="O79" s="264">
        <f t="shared" si="6"/>
        <v>1.7443863960735999</v>
      </c>
      <c r="P79" s="264">
        <f>IFERROR(INDEX('Both teabags AfterDry'!$D$2:$D$2000,MATCH(K79,'Both teabags AfterDry'!$A$2:$A$2000,0)),"")</f>
        <v>1.7647999999999999</v>
      </c>
      <c r="Q79" s="264">
        <f>IFERROR(IF(P79&gt;0,P79-(TBIcalc!$Q$9),""),"")</f>
        <v>1.6141999999999999</v>
      </c>
      <c r="R79" s="275">
        <f>IFERROR(INDEX('Ashed teabags dry'!$K$2:$K$2000,MATCH(K79,'Ashed teabags dry'!$A$2:$A$2000,0)),"")</f>
        <v>5.6475170399223327</v>
      </c>
      <c r="S79" s="275">
        <f t="shared" si="7"/>
        <v>1.5230377799415735</v>
      </c>
      <c r="T79" s="265">
        <f>IF('Dry_Litterbag Placem_Collection'!E80="","",'Dry_Litterbag Placem_Collection'!E80)</f>
        <v>42937</v>
      </c>
      <c r="U79" s="265">
        <f>IF('Dry_Litterbag Placem_Collection'!G80="","",'Dry_Litterbag Placem_Collection'!G80)</f>
        <v>43006</v>
      </c>
      <c r="V79" s="266">
        <f t="shared" si="5"/>
        <v>69</v>
      </c>
      <c r="W79" s="264">
        <f t="shared" si="8"/>
        <v>0.23200000000000021</v>
      </c>
      <c r="X79" s="264">
        <f t="shared" si="9"/>
        <v>0.22134861613202639</v>
      </c>
      <c r="Y79" s="268">
        <f>IFERROR(INDEX(Rainfall_Dry!$O$2:$O$217,MATCH(B79, Rainfall_Dry!$A$2:$A$217,0)),"")</f>
        <v>6.900000125</v>
      </c>
      <c r="Z79" s="257">
        <v>45.272914521112256</v>
      </c>
      <c r="AA79" s="257">
        <v>23.604531410916575</v>
      </c>
      <c r="AB79" s="257">
        <v>31.122554067971166</v>
      </c>
      <c r="AC79" s="258" t="s">
        <v>2657</v>
      </c>
      <c r="AD79" s="257">
        <v>7.0547560374568796</v>
      </c>
      <c r="AE79">
        <f>IF('WetLitterbags placem_collection'!AB80="","",'WetLitterbags placem_collection'!AB80)</f>
        <v>10.4</v>
      </c>
      <c r="AF79">
        <f>IF('WetLitterbags placem_collection'!Z80="","",'WetLitterbags placem_collection'!Z80)</f>
        <v>15.4</v>
      </c>
      <c r="AG79" s="243" t="str">
        <f>IF('WetLitterbags placem_collection'!AA80="","",'WetLitterbags placem_collection'!AA80)</f>
        <v>M</v>
      </c>
      <c r="AH79">
        <f>IF('WetLitterbags placem_collection'!AC80="","",'WetLitterbags placem_collection'!AC80)</f>
        <v>1</v>
      </c>
      <c r="AI79">
        <f>IFERROR(AVERAGE('Dry_Litterbag Placem_Collection'!O80,'Dry_Litterbag Placem_Collection'!R80),"")</f>
        <v>11.149999999999999</v>
      </c>
      <c r="AJ79" s="268">
        <f>IFERROR(AVERAGE('Dry_Litterbag Placem_Collection'!N80,'Dry_Litterbag Placem_Collection'!Q80),"")</f>
        <v>28.35</v>
      </c>
      <c r="AK79" s="267">
        <f>INDEX(Coordinates!$B$2:$B$197,MATCH(H79,Coordinates!$J$2:$J$197,0))</f>
        <v>-3.3025680020000001</v>
      </c>
      <c r="AL79" s="267">
        <f>INDEX(Coordinates!$C$2:$C$197,MATCH(H79,Coordinates!$J$2:$J$197,0))</f>
        <v>34.848167029999999</v>
      </c>
      <c r="AM79" s="267" t="str">
        <f>IF(ISNUMBER(SEARCH("C", 'Dry_Litterbag Placem_Collection'!S80)),"YES","NO")</f>
        <v>NO</v>
      </c>
      <c r="AN79" s="267" t="str">
        <f>IF(ISNUMBER(SEARCH("H", 'Dry_Litterbag Placem_Collection'!S80)),"YES","NO")</f>
        <v>YES</v>
      </c>
      <c r="AO79" s="267" t="str">
        <f>IF(ISNUMBER(SEARCH("R", 'Dry_Litterbag Placem_Collection'!S80)),"YES","NO")</f>
        <v>NO</v>
      </c>
    </row>
    <row r="80" spans="1:41">
      <c r="A80" s="259" t="s">
        <v>2643</v>
      </c>
      <c r="B80" s="260">
        <f>'Dry_Litterbag Placem_Collection'!A81</f>
        <v>79</v>
      </c>
      <c r="C80" s="260" t="str">
        <f>'Dry_Litterbag Placem_Collection'!B81</f>
        <v>Maswa</v>
      </c>
      <c r="D80" s="260" t="s">
        <v>2643</v>
      </c>
      <c r="E80" s="260" t="s">
        <v>2645</v>
      </c>
      <c r="F80" s="260">
        <v>2</v>
      </c>
      <c r="G80" s="260" t="s">
        <v>3812</v>
      </c>
      <c r="H80" s="261" t="str">
        <f>'Dry_Litterbag Placem_Collection'!C81</f>
        <v>Dry_W2_T7</v>
      </c>
      <c r="I80" s="262" t="s">
        <v>2525</v>
      </c>
      <c r="J80" s="263" t="s">
        <v>1147</v>
      </c>
      <c r="K80" s="260" t="str">
        <f>IF(ISBLANK('Dry_Litterbag Placem_Collection'!J81),"","G"&amp;""&amp;'Dry_Litterbag Placem_Collection'!J81)</f>
        <v>G130</v>
      </c>
      <c r="L80" s="264">
        <f>IFERROR(INDEX('Green_rooibos initial weight'!$C$5:$C$2000,MATCH(K80, 'Green_rooibos initial weight'!$A$5:$A$2000,0)),"")</f>
        <v>1.976</v>
      </c>
      <c r="M80" s="264">
        <f>IFERROR(L80-(TBIcalc!$Q$9+TBIcalc!$Q$10),"")</f>
        <v>1.7262</v>
      </c>
      <c r="N80" s="385">
        <f>AVERAGE(Ashed_controlls!$K$2:$K$11)</f>
        <v>5.5147656768714146</v>
      </c>
      <c r="O80" s="264">
        <f t="shared" si="6"/>
        <v>1.6310041148858456</v>
      </c>
      <c r="P80" s="264">
        <f>IFERROR(INDEX('Both teabags AfterDry'!$D$2:$D$2000,MATCH(K80,'Both teabags AfterDry'!$A$2:$A$2000,0)),"")</f>
        <v>1.8545</v>
      </c>
      <c r="Q80" s="264">
        <f>IFERROR(IF(P80&gt;0,P80-(TBIcalc!$Q$9),""),"")</f>
        <v>1.7039</v>
      </c>
      <c r="R80" s="275">
        <f>IFERROR(INDEX('Ashed teabags dry'!$K$2:$K$2000,MATCH(K80,'Ashed teabags dry'!$A$2:$A$2000,0)),"")</f>
        <v>5.8363970588233842</v>
      </c>
      <c r="S80" s="275">
        <f t="shared" si="7"/>
        <v>1.6044536305147084</v>
      </c>
      <c r="T80" s="265">
        <f>IF('Dry_Litterbag Placem_Collection'!E81="","",'Dry_Litterbag Placem_Collection'!E81)</f>
        <v>42937</v>
      </c>
      <c r="U80" s="265">
        <f>IF('Dry_Litterbag Placem_Collection'!G81="","",'Dry_Litterbag Placem_Collection'!G81)</f>
        <v>43006</v>
      </c>
      <c r="V80" s="266">
        <f t="shared" si="5"/>
        <v>69</v>
      </c>
      <c r="W80" s="264">
        <f t="shared" si="8"/>
        <v>2.2299999999999986E-2</v>
      </c>
      <c r="X80" s="264">
        <f t="shared" si="9"/>
        <v>2.6550484371137273E-2</v>
      </c>
      <c r="Y80" s="268">
        <f>IFERROR(INDEX(Rainfall_Dry!$O$2:$O$217,MATCH(B80, Rainfall_Dry!$A$2:$A$217,0)),"")</f>
        <v>6.900000125</v>
      </c>
      <c r="Z80" s="257">
        <v>45.272914521112256</v>
      </c>
      <c r="AA80" s="257">
        <v>23.604531410916575</v>
      </c>
      <c r="AB80" s="257">
        <v>31.122554067971166</v>
      </c>
      <c r="AC80" s="258" t="s">
        <v>2657</v>
      </c>
      <c r="AD80" s="257">
        <v>8.0547560374568796</v>
      </c>
      <c r="AE80">
        <f>IF('WetLitterbags placem_collection'!AB81="","",'WetLitterbags placem_collection'!AB81)</f>
        <v>3</v>
      </c>
      <c r="AF80">
        <f>IF('WetLitterbags placem_collection'!Z81="","",'WetLitterbags placem_collection'!Z81)</f>
        <v>5</v>
      </c>
      <c r="AG80" s="243" t="str">
        <f>IF('WetLitterbags placem_collection'!AA81="","",'WetLitterbags placem_collection'!AA81)</f>
        <v>G</v>
      </c>
      <c r="AH80">
        <f>IF('WetLitterbags placem_collection'!AC81="","",'WetLitterbags placem_collection'!AC81)</f>
        <v>1</v>
      </c>
      <c r="AI80">
        <f>IFERROR(AVERAGE('Dry_Litterbag Placem_Collection'!O81,'Dry_Litterbag Placem_Collection'!R81),"")</f>
        <v>9.1999999999999993</v>
      </c>
      <c r="AJ80" s="268">
        <f>IFERROR(AVERAGE('Dry_Litterbag Placem_Collection'!N81,'Dry_Litterbag Placem_Collection'!Q81),"")</f>
        <v>26.25</v>
      </c>
      <c r="AK80" s="267">
        <f>INDEX(Coordinates!$B$2:$B$197,MATCH(H80,Coordinates!$J$2:$J$197,0))</f>
        <v>-3.3026270100000001</v>
      </c>
      <c r="AL80" s="267">
        <f>INDEX(Coordinates!$C$2:$C$197,MATCH(H80,Coordinates!$J$2:$J$197,0))</f>
        <v>34.84840801</v>
      </c>
      <c r="AM80" s="267" t="str">
        <f>IF(ISNUMBER(SEARCH("C", 'Dry_Litterbag Placem_Collection'!S81)),"YES","NO")</f>
        <v>NO</v>
      </c>
      <c r="AN80" s="267" t="str">
        <f>IF(ISNUMBER(SEARCH("H", 'Dry_Litterbag Placem_Collection'!S81)),"YES","NO")</f>
        <v>NO</v>
      </c>
      <c r="AO80" s="267" t="str">
        <f>IF(ISNUMBER(SEARCH("R", 'Dry_Litterbag Placem_Collection'!S81)),"YES","NO")</f>
        <v>NO</v>
      </c>
    </row>
    <row r="81" spans="1:41">
      <c r="A81" s="259" t="s">
        <v>2643</v>
      </c>
      <c r="B81" s="260">
        <f>'Dry_Litterbag Placem_Collection'!A82</f>
        <v>80</v>
      </c>
      <c r="C81" s="260" t="str">
        <f>'Dry_Litterbag Placem_Collection'!B82</f>
        <v>Maswa</v>
      </c>
      <c r="D81" s="260" t="s">
        <v>2643</v>
      </c>
      <c r="E81" s="260" t="s">
        <v>2645</v>
      </c>
      <c r="F81" s="260">
        <v>2</v>
      </c>
      <c r="G81" s="260" t="s">
        <v>3812</v>
      </c>
      <c r="H81" s="261" t="str">
        <f>'Dry_Litterbag Placem_Collection'!C82</f>
        <v>Dry_W2_T8</v>
      </c>
      <c r="I81" s="262" t="s">
        <v>2525</v>
      </c>
      <c r="J81" s="263" t="s">
        <v>1147</v>
      </c>
      <c r="K81" s="260" t="str">
        <f>IF(ISBLANK('Dry_Litterbag Placem_Collection'!J82),"","G"&amp;""&amp;'Dry_Litterbag Placem_Collection'!J82)</f>
        <v>G24</v>
      </c>
      <c r="L81" s="264">
        <f>IFERROR(INDEX('Green_rooibos initial weight'!$C$5:$C$2000,MATCH(K81, 'Green_rooibos initial weight'!$A$5:$A$2000,0)),"")</f>
        <v>2.09</v>
      </c>
      <c r="M81" s="264">
        <f>IFERROR(L81-(TBIcalc!$Q$9+TBIcalc!$Q$10),"")</f>
        <v>1.8401999999999998</v>
      </c>
      <c r="N81" s="385">
        <f>AVERAGE(Ashed_controlls!$K$2:$K$11)</f>
        <v>5.5147656768714146</v>
      </c>
      <c r="O81" s="264">
        <f t="shared" si="6"/>
        <v>1.7387172820142121</v>
      </c>
      <c r="P81" s="264">
        <f>IFERROR(INDEX('Both teabags AfterDry'!$D$2:$D$2000,MATCH(K81,'Both teabags AfterDry'!$A$2:$A$2000,0)),"")</f>
        <v>1.9084000000000001</v>
      </c>
      <c r="Q81" s="264">
        <f>IFERROR(IF(P81&gt;0,P81-(TBIcalc!$Q$9),""),"")</f>
        <v>1.7578</v>
      </c>
      <c r="R81" s="275">
        <f>IFERROR(INDEX('Ashed teabags dry'!$K$2:$K$2000,MATCH(K81,'Ashed teabags dry'!$A$2:$A$2000,0)),"")</f>
        <v>5.4078826764434664</v>
      </c>
      <c r="S81" s="275">
        <f t="shared" si="7"/>
        <v>1.6627402383134768</v>
      </c>
      <c r="T81" s="265">
        <f>IF('Dry_Litterbag Placem_Collection'!E82="","",'Dry_Litterbag Placem_Collection'!E82)</f>
        <v>42937</v>
      </c>
      <c r="U81" s="265">
        <f>IF('Dry_Litterbag Placem_Collection'!G82="","",'Dry_Litterbag Placem_Collection'!G82)</f>
        <v>43006</v>
      </c>
      <c r="V81" s="266">
        <f t="shared" si="5"/>
        <v>69</v>
      </c>
      <c r="W81" s="264">
        <f t="shared" si="8"/>
        <v>8.2399999999999807E-2</v>
      </c>
      <c r="X81" s="264">
        <f t="shared" si="9"/>
        <v>7.5977043700735214E-2</v>
      </c>
      <c r="Y81" s="268">
        <f>IFERROR(INDEX(Rainfall_Dry!$O$2:$O$217,MATCH(B81, Rainfall_Dry!$A$2:$A$217,0)),"")</f>
        <v>6.900000125</v>
      </c>
      <c r="Z81" s="257">
        <v>45.272914521112256</v>
      </c>
      <c r="AA81" s="257">
        <v>23.604531410916575</v>
      </c>
      <c r="AB81" s="257">
        <v>31.122554067971166</v>
      </c>
      <c r="AC81" s="258" t="s">
        <v>2657</v>
      </c>
      <c r="AD81" s="257">
        <v>9.0547560374568796</v>
      </c>
      <c r="AE81">
        <f>IF('WetLitterbags placem_collection'!AB82="","",'WetLitterbags placem_collection'!AB82)</f>
        <v>2.7</v>
      </c>
      <c r="AF81">
        <f>IF('WetLitterbags placem_collection'!Z82="","",'WetLitterbags placem_collection'!Z82)</f>
        <v>12.4</v>
      </c>
      <c r="AG81" s="243" t="str">
        <f>IF('WetLitterbags placem_collection'!AA82="","",'WetLitterbags placem_collection'!AA82)</f>
        <v>O</v>
      </c>
      <c r="AH81">
        <f>IF('WetLitterbags placem_collection'!AC82="","",'WetLitterbags placem_collection'!AC82)</f>
        <v>1</v>
      </c>
      <c r="AI81">
        <f>IFERROR(AVERAGE('Dry_Litterbag Placem_Collection'!O82,'Dry_Litterbag Placem_Collection'!R82),"")</f>
        <v>11.75</v>
      </c>
      <c r="AJ81" s="268">
        <f>IFERROR(AVERAGE('Dry_Litterbag Placem_Collection'!N82,'Dry_Litterbag Placem_Collection'!Q82),"")</f>
        <v>27.7</v>
      </c>
      <c r="AK81" s="267">
        <f>INDEX(Coordinates!$B$2:$B$197,MATCH(H81,Coordinates!$J$2:$J$197,0))</f>
        <v>-3.3028539920000002</v>
      </c>
      <c r="AL81" s="267">
        <f>INDEX(Coordinates!$C$2:$C$197,MATCH(H81,Coordinates!$J$2:$J$197,0))</f>
        <v>34.847988999999998</v>
      </c>
      <c r="AM81" s="267" t="str">
        <f>IF(ISNUMBER(SEARCH("C", 'Dry_Litterbag Placem_Collection'!S82)),"YES","NO")</f>
        <v>NO</v>
      </c>
      <c r="AN81" s="267" t="str">
        <f>IF(ISNUMBER(SEARCH("H", 'Dry_Litterbag Placem_Collection'!S82)),"YES","NO")</f>
        <v>NO</v>
      </c>
      <c r="AO81" s="267" t="str">
        <f>IF(ISNUMBER(SEARCH("R", 'Dry_Litterbag Placem_Collection'!S82)),"YES","NO")</f>
        <v>NO</v>
      </c>
    </row>
    <row r="82" spans="1:41">
      <c r="A82" s="259" t="s">
        <v>2643</v>
      </c>
      <c r="B82" s="260">
        <f>'Dry_Litterbag Placem_Collection'!A83</f>
        <v>81</v>
      </c>
      <c r="C82" s="260" t="str">
        <f>'Dry_Litterbag Placem_Collection'!B83</f>
        <v>Maswa</v>
      </c>
      <c r="D82" s="260" t="s">
        <v>2643</v>
      </c>
      <c r="E82" s="260" t="s">
        <v>2645</v>
      </c>
      <c r="F82" s="260">
        <v>3</v>
      </c>
      <c r="G82" s="260" t="s">
        <v>3813</v>
      </c>
      <c r="H82" s="261" t="str">
        <f>'Dry_Litterbag Placem_Collection'!C83</f>
        <v>Dry_W3_T1</v>
      </c>
      <c r="I82" s="262" t="s">
        <v>2525</v>
      </c>
      <c r="J82" s="263" t="s">
        <v>1147</v>
      </c>
      <c r="K82" s="260" t="str">
        <f>IF(ISBLANK('Dry_Litterbag Placem_Collection'!J83),"","G"&amp;""&amp;'Dry_Litterbag Placem_Collection'!J83)</f>
        <v>G312</v>
      </c>
      <c r="L82" s="264">
        <f>IFERROR(INDEX('Green_rooibos initial weight'!$C$5:$C$2000,MATCH(K82, 'Green_rooibos initial weight'!$A$5:$A$2000,0)),"")</f>
        <v>2.0179999999999998</v>
      </c>
      <c r="M82" s="264">
        <f>IFERROR(L82-(TBIcalc!$Q$9+TBIcalc!$Q$10),"")</f>
        <v>1.7681999999999998</v>
      </c>
      <c r="N82" s="385">
        <f>AVERAGE(Ashed_controlls!$K$2:$K$11)</f>
        <v>5.5147656768714146</v>
      </c>
      <c r="O82" s="264">
        <f t="shared" si="6"/>
        <v>1.6706879133015595</v>
      </c>
      <c r="P82" s="264">
        <f>IFERROR(INDEX('Both teabags AfterDry'!$D$2:$D$2000,MATCH(K82,'Both teabags AfterDry'!$A$2:$A$2000,0)),"")</f>
        <v>1.7978000000000001</v>
      </c>
      <c r="Q82" s="264">
        <f>IFERROR(IF(P82&gt;0,P82-(TBIcalc!$Q$9),""),"")</f>
        <v>1.6472</v>
      </c>
      <c r="R82" s="275">
        <f>IFERROR(INDEX('Ashed teabags dry'!$K$2:$K$2000,MATCH(K82,'Ashed teabags dry'!$A$2:$A$2000,0)),"")</f>
        <v>5.5148853099064077</v>
      </c>
      <c r="S82" s="275">
        <f t="shared" si="7"/>
        <v>1.5563588091752216</v>
      </c>
      <c r="T82" s="265">
        <f>IF('Dry_Litterbag Placem_Collection'!E83="","",'Dry_Litterbag Placem_Collection'!E83)</f>
        <v>42937</v>
      </c>
      <c r="U82" s="265">
        <f>IF('Dry_Litterbag Placem_Collection'!G83="","",'Dry_Litterbag Placem_Collection'!G83)</f>
        <v>43006</v>
      </c>
      <c r="V82" s="266">
        <f t="shared" si="5"/>
        <v>69</v>
      </c>
      <c r="W82" s="264">
        <f t="shared" si="8"/>
        <v>0.12099999999999977</v>
      </c>
      <c r="X82" s="264">
        <f t="shared" si="9"/>
        <v>0.1143291041263379</v>
      </c>
      <c r="Y82" s="268">
        <f>IFERROR(INDEX(Rainfall_Dry!$O$2:$O$217,MATCH(B82, Rainfall_Dry!$A$2:$A$217,0)),"")</f>
        <v>12.563016860999999</v>
      </c>
      <c r="Z82" s="257">
        <v>38.691629007962128</v>
      </c>
      <c r="AA82" s="257">
        <v>26.81299763288143</v>
      </c>
      <c r="AB82" s="257">
        <v>34.495373359156439</v>
      </c>
      <c r="AC82" s="258" t="s">
        <v>2659</v>
      </c>
      <c r="AD82" s="257">
        <v>2.5483587974371611</v>
      </c>
      <c r="AE82">
        <f>IF('WetLitterbags placem_collection'!AB83="","",'WetLitterbags placem_collection'!AB83)</f>
        <v>6.2</v>
      </c>
      <c r="AF82">
        <f>IF('WetLitterbags placem_collection'!Z83="","",'WetLitterbags placem_collection'!Z83)</f>
        <v>13.3</v>
      </c>
      <c r="AG82" s="243" t="str">
        <f>IF('WetLitterbags placem_collection'!AA83="","",'WetLitterbags placem_collection'!AA83)</f>
        <v>O</v>
      </c>
      <c r="AH82">
        <f>IF('WetLitterbags placem_collection'!AC83="","",'WetLitterbags placem_collection'!AC83)</f>
        <v>0</v>
      </c>
      <c r="AI82">
        <f>IFERROR(AVERAGE('Dry_Litterbag Placem_Collection'!O83,'Dry_Litterbag Placem_Collection'!R83),"")</f>
        <v>11.850000000000001</v>
      </c>
      <c r="AJ82" s="268">
        <f>IFERROR(AVERAGE('Dry_Litterbag Placem_Collection'!N83,'Dry_Litterbag Placem_Collection'!Q83),"")</f>
        <v>26.35</v>
      </c>
      <c r="AK82" s="267">
        <f>INDEX(Coordinates!$B$2:$B$197,MATCH(H82,Coordinates!$J$2:$J$197,0))</f>
        <v>-3.2957159630000001</v>
      </c>
      <c r="AL82" s="267">
        <f>INDEX(Coordinates!$C$2:$C$197,MATCH(H82,Coordinates!$J$2:$J$197,0))</f>
        <v>34.852460999999998</v>
      </c>
      <c r="AM82" s="267" t="str">
        <f>IF(ISNUMBER(SEARCH("C", 'Dry_Litterbag Placem_Collection'!S83)),"YES","NO")</f>
        <v>NO</v>
      </c>
      <c r="AN82" s="267" t="str">
        <f>IF(ISNUMBER(SEARCH("H", 'Dry_Litterbag Placem_Collection'!S83)),"YES","NO")</f>
        <v>NO</v>
      </c>
      <c r="AO82" s="267" t="str">
        <f>IF(ISNUMBER(SEARCH("R", 'Dry_Litterbag Placem_Collection'!S83)),"YES","NO")</f>
        <v>NO</v>
      </c>
    </row>
    <row r="83" spans="1:41">
      <c r="A83" s="259" t="s">
        <v>2643</v>
      </c>
      <c r="B83" s="260">
        <f>'Dry_Litterbag Placem_Collection'!A84</f>
        <v>82</v>
      </c>
      <c r="C83" s="260" t="str">
        <f>'Dry_Litterbag Placem_Collection'!B84</f>
        <v>Maswa</v>
      </c>
      <c r="D83" s="260" t="s">
        <v>2643</v>
      </c>
      <c r="E83" s="260" t="s">
        <v>2645</v>
      </c>
      <c r="F83" s="260">
        <v>3</v>
      </c>
      <c r="G83" s="260" t="s">
        <v>3813</v>
      </c>
      <c r="H83" s="261" t="str">
        <f>'Dry_Litterbag Placem_Collection'!C84</f>
        <v>Dry_W3_T2</v>
      </c>
      <c r="I83" s="262" t="s">
        <v>2525</v>
      </c>
      <c r="J83" s="263" t="s">
        <v>1147</v>
      </c>
      <c r="K83" s="260" t="str">
        <f>IF(ISBLANK('Dry_Litterbag Placem_Collection'!J84),"","G"&amp;""&amp;'Dry_Litterbag Placem_Collection'!J84)</f>
        <v>G356</v>
      </c>
      <c r="L83" s="264">
        <f>IFERROR(INDEX('Green_rooibos initial weight'!$C$5:$C$2000,MATCH(K83, 'Green_rooibos initial weight'!$A$5:$A$2000,0)),"")</f>
        <v>1.9870000000000001</v>
      </c>
      <c r="M83" s="264">
        <f>IFERROR(L83-(TBIcalc!$Q$9+TBIcalc!$Q$10),"")</f>
        <v>1.7372000000000001</v>
      </c>
      <c r="N83" s="385">
        <f>AVERAGE(Ashed_controlls!$K$2:$K$11)</f>
        <v>5.5147656768714146</v>
      </c>
      <c r="O83" s="264">
        <f t="shared" si="6"/>
        <v>1.64139749066139</v>
      </c>
      <c r="P83" s="264">
        <f>IFERROR(INDEX('Both teabags AfterDry'!$D$2:$D$2000,MATCH(K83,'Both teabags AfterDry'!$A$2:$A$2000,0)),"")</f>
        <v>1.7767999999999999</v>
      </c>
      <c r="Q83" s="264">
        <f>IFERROR(IF(P83&gt;0,P83-(TBIcalc!$Q$9),""),"")</f>
        <v>1.6261999999999999</v>
      </c>
      <c r="R83" s="275">
        <f>IFERROR(INDEX('Ashed teabags dry'!$K$2:$K$2000,MATCH(K83,'Ashed teabags dry'!$A$2:$A$2000,0)),"")</f>
        <v>5.2706552706550589</v>
      </c>
      <c r="S83" s="275">
        <f t="shared" si="7"/>
        <v>1.5404886039886074</v>
      </c>
      <c r="T83" s="265">
        <f>IF('Dry_Litterbag Placem_Collection'!E84="","",'Dry_Litterbag Placem_Collection'!E84)</f>
        <v>42937</v>
      </c>
      <c r="U83" s="265">
        <f>IF('Dry_Litterbag Placem_Collection'!G84="","",'Dry_Litterbag Placem_Collection'!G84)</f>
        <v>43006</v>
      </c>
      <c r="V83" s="266">
        <f t="shared" si="5"/>
        <v>69</v>
      </c>
      <c r="W83" s="264">
        <f t="shared" si="8"/>
        <v>0.11100000000000021</v>
      </c>
      <c r="X83" s="264">
        <f t="shared" si="9"/>
        <v>0.10090888667278253</v>
      </c>
      <c r="Y83" s="268">
        <f>IFERROR(INDEX(Rainfall_Dry!$O$2:$O$217,MATCH(B83, Rainfall_Dry!$A$2:$A$217,0)),"")</f>
        <v>12.563016860999999</v>
      </c>
      <c r="Z83" s="257">
        <v>38.691629007962128</v>
      </c>
      <c r="AA83" s="257">
        <v>26.81299763288143</v>
      </c>
      <c r="AB83" s="257">
        <v>34.495373359156439</v>
      </c>
      <c r="AC83" s="258" t="s">
        <v>2659</v>
      </c>
      <c r="AD83" s="257">
        <v>3.5483587974371602</v>
      </c>
      <c r="AE83">
        <f>IF('WetLitterbags placem_collection'!AB84="","",'WetLitterbags placem_collection'!AB84)</f>
        <v>2.4</v>
      </c>
      <c r="AF83">
        <f>IF('WetLitterbags placem_collection'!Z84="","",'WetLitterbags placem_collection'!Z84)</f>
        <v>16.600000000000001</v>
      </c>
      <c r="AG83" s="243" t="str">
        <f>IF('WetLitterbags placem_collection'!AA84="","",'WetLitterbags placem_collection'!AA84)</f>
        <v>O</v>
      </c>
      <c r="AH83" t="str">
        <f>IF('WetLitterbags placem_collection'!AC84="","",'WetLitterbags placem_collection'!AC84)</f>
        <v/>
      </c>
      <c r="AI83">
        <f>IFERROR(AVERAGE('Dry_Litterbag Placem_Collection'!O84,'Dry_Litterbag Placem_Collection'!R84),"")</f>
        <v>9.9499999999999993</v>
      </c>
      <c r="AJ83" s="268">
        <f>IFERROR(AVERAGE('Dry_Litterbag Placem_Collection'!N84,'Dry_Litterbag Placem_Collection'!Q84),"")</f>
        <v>25.5</v>
      </c>
      <c r="AK83" s="267">
        <f>INDEX(Coordinates!$B$2:$B$197,MATCH(H83,Coordinates!$J$2:$J$197,0))</f>
        <v>-3.2957230040000001</v>
      </c>
      <c r="AL83" s="267">
        <f>INDEX(Coordinates!$C$2:$C$197,MATCH(H83,Coordinates!$J$2:$J$197,0))</f>
        <v>34.852416990000002</v>
      </c>
      <c r="AM83" s="267" t="str">
        <f>IF(ISNUMBER(SEARCH("C", 'Dry_Litterbag Placem_Collection'!S84)),"YES","NO")</f>
        <v>NO</v>
      </c>
      <c r="AN83" s="267" t="str">
        <f>IF(ISNUMBER(SEARCH("H", 'Dry_Litterbag Placem_Collection'!S84)),"YES","NO")</f>
        <v>NO</v>
      </c>
      <c r="AO83" s="267" t="str">
        <f>IF(ISNUMBER(SEARCH("R", 'Dry_Litterbag Placem_Collection'!S84)),"YES","NO")</f>
        <v>NO</v>
      </c>
    </row>
    <row r="84" spans="1:41">
      <c r="A84" s="259" t="s">
        <v>2643</v>
      </c>
      <c r="B84" s="260">
        <f>'Dry_Litterbag Placem_Collection'!A85</f>
        <v>83</v>
      </c>
      <c r="C84" s="260" t="str">
        <f>'Dry_Litterbag Placem_Collection'!B85</f>
        <v>Maswa</v>
      </c>
      <c r="D84" s="260" t="s">
        <v>2643</v>
      </c>
      <c r="E84" s="260" t="s">
        <v>2645</v>
      </c>
      <c r="F84" s="260">
        <v>3</v>
      </c>
      <c r="G84" s="260" t="s">
        <v>3813</v>
      </c>
      <c r="H84" s="261" t="str">
        <f>'Dry_Litterbag Placem_Collection'!C85</f>
        <v>Dry_W3_T3</v>
      </c>
      <c r="I84" s="262" t="s">
        <v>2525</v>
      </c>
      <c r="J84" s="263" t="s">
        <v>1147</v>
      </c>
      <c r="K84" s="260" t="str">
        <f>IF(ISBLANK('Dry_Litterbag Placem_Collection'!J85),"","G"&amp;""&amp;'Dry_Litterbag Placem_Collection'!J85)</f>
        <v>G331</v>
      </c>
      <c r="L84" s="264">
        <f>IFERROR(INDEX('Green_rooibos initial weight'!$C$5:$C$2000,MATCH(K84, 'Green_rooibos initial weight'!$A$5:$A$2000,0)),"")</f>
        <v>2.0550000000000002</v>
      </c>
      <c r="M84" s="264">
        <f>IFERROR(L84-(TBIcalc!$Q$9+TBIcalc!$Q$10),"")</f>
        <v>1.8052000000000001</v>
      </c>
      <c r="N84" s="385">
        <f>AVERAGE(Ashed_controlls!$K$2:$K$11)</f>
        <v>5.5147656768714146</v>
      </c>
      <c r="O84" s="264">
        <f t="shared" si="6"/>
        <v>1.7056474500011174</v>
      </c>
      <c r="P84" s="264">
        <f>IFERROR(INDEX('Both teabags AfterDry'!$D$2:$D$2000,MATCH(K84,'Both teabags AfterDry'!$A$2:$A$2000,0)),"")</f>
        <v>1.8354999999999999</v>
      </c>
      <c r="Q84" s="264">
        <f>IFERROR(IF(P84&gt;0,P84-(TBIcalc!$Q$9),""),"")</f>
        <v>1.6848999999999998</v>
      </c>
      <c r="R84" s="275">
        <f>IFERROR(INDEX('Ashed teabags dry'!$K$2:$K$2000,MATCH(K84,'Ashed teabags dry'!$A$2:$A$2000,0)),"")</f>
        <v>5.6902523503216829</v>
      </c>
      <c r="S84" s="275">
        <f t="shared" si="7"/>
        <v>1.5890249381494299</v>
      </c>
      <c r="T84" s="265">
        <f>IF('Dry_Litterbag Placem_Collection'!E85="","",'Dry_Litterbag Placem_Collection'!E85)</f>
        <v>42937</v>
      </c>
      <c r="U84" s="265">
        <f>IF('Dry_Litterbag Placem_Collection'!G85="","",'Dry_Litterbag Placem_Collection'!G85)</f>
        <v>43006</v>
      </c>
      <c r="V84" s="266">
        <f t="shared" si="5"/>
        <v>69</v>
      </c>
      <c r="W84" s="264">
        <f t="shared" si="8"/>
        <v>0.1203000000000003</v>
      </c>
      <c r="X84" s="264">
        <f t="shared" si="9"/>
        <v>0.11662251185168748</v>
      </c>
      <c r="Y84" s="268">
        <f>IFERROR(INDEX(Rainfall_Dry!$O$2:$O$217,MATCH(B84, Rainfall_Dry!$A$2:$A$217,0)),"")</f>
        <v>12.563016860999999</v>
      </c>
      <c r="Z84" s="257">
        <v>38.691629007962128</v>
      </c>
      <c r="AA84" s="257">
        <v>26.81299763288143</v>
      </c>
      <c r="AB84" s="257">
        <v>34.495373359156439</v>
      </c>
      <c r="AC84" s="258" t="s">
        <v>2659</v>
      </c>
      <c r="AD84" s="257">
        <v>4.5483587974371602</v>
      </c>
      <c r="AE84">
        <f>IF('WetLitterbags placem_collection'!AB85="","",'WetLitterbags placem_collection'!AB85)</f>
        <v>6.4</v>
      </c>
      <c r="AF84">
        <f>IF('WetLitterbags placem_collection'!Z85="","",'WetLitterbags placem_collection'!Z85)</f>
        <v>42</v>
      </c>
      <c r="AG84" s="243" t="str">
        <f>IF('WetLitterbags placem_collection'!AA85="","",'WetLitterbags placem_collection'!AA85)</f>
        <v>M</v>
      </c>
      <c r="AH84">
        <f>IF('WetLitterbags placem_collection'!AC85="","",'WetLitterbags placem_collection'!AC85)</f>
        <v>1</v>
      </c>
      <c r="AI84">
        <f>IFERROR(AVERAGE('Dry_Litterbag Placem_Collection'!O85,'Dry_Litterbag Placem_Collection'!R85),"")</f>
        <v>10.050000000000001</v>
      </c>
      <c r="AJ84" s="268">
        <f>IFERROR(AVERAGE('Dry_Litterbag Placem_Collection'!N85,'Dry_Litterbag Placem_Collection'!Q85),"")</f>
        <v>26.05</v>
      </c>
      <c r="AK84" s="267">
        <f>INDEX(Coordinates!$B$2:$B$197,MATCH(H84,Coordinates!$J$2:$J$197,0))</f>
        <v>-3.2957430369999998</v>
      </c>
      <c r="AL84" s="267">
        <f>INDEX(Coordinates!$C$2:$C$197,MATCH(H84,Coordinates!$J$2:$J$197,0))</f>
        <v>34.852309030000001</v>
      </c>
      <c r="AM84" s="267" t="str">
        <f>IF(ISNUMBER(SEARCH("C", 'Dry_Litterbag Placem_Collection'!S85)),"YES","NO")</f>
        <v>NO</v>
      </c>
      <c r="AN84" s="267" t="str">
        <f>IF(ISNUMBER(SEARCH("H", 'Dry_Litterbag Placem_Collection'!S85)),"YES","NO")</f>
        <v>YES</v>
      </c>
      <c r="AO84" s="267" t="str">
        <f>IF(ISNUMBER(SEARCH("R", 'Dry_Litterbag Placem_Collection'!S85)),"YES","NO")</f>
        <v>NO</v>
      </c>
    </row>
    <row r="85" spans="1:41">
      <c r="A85" s="259" t="s">
        <v>2643</v>
      </c>
      <c r="B85" s="260">
        <f>'Dry_Litterbag Placem_Collection'!A86</f>
        <v>84</v>
      </c>
      <c r="C85" s="260" t="str">
        <f>'Dry_Litterbag Placem_Collection'!B86</f>
        <v>Maswa</v>
      </c>
      <c r="D85" s="260" t="s">
        <v>2643</v>
      </c>
      <c r="E85" s="260" t="s">
        <v>2645</v>
      </c>
      <c r="F85" s="260">
        <v>3</v>
      </c>
      <c r="G85" s="260" t="s">
        <v>3813</v>
      </c>
      <c r="H85" s="261" t="str">
        <f>'Dry_Litterbag Placem_Collection'!C86</f>
        <v>Dry_W3_T4</v>
      </c>
      <c r="I85" s="262" t="s">
        <v>2525</v>
      </c>
      <c r="J85" s="263" t="s">
        <v>1147</v>
      </c>
      <c r="K85" s="260" t="str">
        <f>IF(ISBLANK('Dry_Litterbag Placem_Collection'!J86),"","G"&amp;""&amp;'Dry_Litterbag Placem_Collection'!J86)</f>
        <v>G101</v>
      </c>
      <c r="L85" s="264">
        <f>IFERROR(INDEX('Green_rooibos initial weight'!$C$5:$C$2000,MATCH(K85, 'Green_rooibos initial weight'!$A$5:$A$2000,0)),"")</f>
        <v>2.173</v>
      </c>
      <c r="M85" s="264">
        <f>IFERROR(L85-(TBIcalc!$Q$9+TBIcalc!$Q$10),"")</f>
        <v>1.9232</v>
      </c>
      <c r="N85" s="385">
        <f>AVERAGE(Ashed_controlls!$K$2:$K$11)</f>
        <v>5.5147656768714146</v>
      </c>
      <c r="O85" s="264">
        <f t="shared" si="6"/>
        <v>1.8171400265024089</v>
      </c>
      <c r="P85" s="264">
        <f>IFERROR(INDEX('Both teabags AfterDry'!$D$2:$D$2000,MATCH(K85,'Both teabags AfterDry'!$A$2:$A$2000,0)),"")</f>
        <v>1.9434</v>
      </c>
      <c r="Q85" s="264">
        <f>IFERROR(IF(P85&gt;0,P85-(TBIcalc!$Q$9),""),"")</f>
        <v>1.7927999999999999</v>
      </c>
      <c r="R85" s="275">
        <f>IFERROR(INDEX('Ashed teabags dry'!$K$2:$K$2000,MATCH(K85,'Ashed teabags dry'!$A$2:$A$2000,0)),"")</f>
        <v>5.5508112724168974</v>
      </c>
      <c r="S85" s="275">
        <f t="shared" si="7"/>
        <v>1.6932850555081098</v>
      </c>
      <c r="T85" s="265">
        <f>IF('Dry_Litterbag Placem_Collection'!E86="","",'Dry_Litterbag Placem_Collection'!E86)</f>
        <v>42937</v>
      </c>
      <c r="U85" s="265">
        <f>IF('Dry_Litterbag Placem_Collection'!G86="","",'Dry_Litterbag Placem_Collection'!G86)</f>
        <v>43006</v>
      </c>
      <c r="V85" s="266">
        <f t="shared" si="5"/>
        <v>69</v>
      </c>
      <c r="W85" s="264">
        <f t="shared" si="8"/>
        <v>0.13040000000000007</v>
      </c>
      <c r="X85" s="264">
        <f t="shared" si="9"/>
        <v>0.1238549709942991</v>
      </c>
      <c r="Y85" s="268">
        <f>IFERROR(INDEX(Rainfall_Dry!$O$2:$O$217,MATCH(B85, Rainfall_Dry!$A$2:$A$217,0)),"")</f>
        <v>12.563016860999999</v>
      </c>
      <c r="Z85" s="257">
        <v>38.691629007962128</v>
      </c>
      <c r="AA85" s="257">
        <v>26.81299763288143</v>
      </c>
      <c r="AB85" s="257">
        <v>34.495373359156439</v>
      </c>
      <c r="AC85" s="258" t="s">
        <v>2659</v>
      </c>
      <c r="AD85" s="257">
        <v>5.5483587974371602</v>
      </c>
      <c r="AE85">
        <f>IF('WetLitterbags placem_collection'!AB86="","",'WetLitterbags placem_collection'!AB86)</f>
        <v>5.5</v>
      </c>
      <c r="AF85">
        <f>IF('WetLitterbags placem_collection'!Z86="","",'WetLitterbags placem_collection'!Z86)</f>
        <v>55.8</v>
      </c>
      <c r="AG85" s="243" t="str">
        <f>IF('WetLitterbags placem_collection'!AA86="","",'WetLitterbags placem_collection'!AA86)</f>
        <v>M</v>
      </c>
      <c r="AH85">
        <f>IF('WetLitterbags placem_collection'!AC86="","",'WetLitterbags placem_collection'!AC86)</f>
        <v>1</v>
      </c>
      <c r="AI85">
        <f>IFERROR(AVERAGE('Dry_Litterbag Placem_Collection'!O86,'Dry_Litterbag Placem_Collection'!R86),"")</f>
        <v>10.15</v>
      </c>
      <c r="AJ85" s="268">
        <f>IFERROR(AVERAGE('Dry_Litterbag Placem_Collection'!N86,'Dry_Litterbag Placem_Collection'!Q86),"")</f>
        <v>26.549999999999997</v>
      </c>
      <c r="AK85" s="267">
        <f>INDEX(Coordinates!$B$2:$B$197,MATCH(H85,Coordinates!$J$2:$J$197,0))</f>
        <v>-3.295795005</v>
      </c>
      <c r="AL85" s="267">
        <f>INDEX(Coordinates!$C$2:$C$197,MATCH(H85,Coordinates!$J$2:$J$197,0))</f>
        <v>34.85232001</v>
      </c>
      <c r="AM85" s="267" t="str">
        <f>IF(ISNUMBER(SEARCH("C", 'Dry_Litterbag Placem_Collection'!S86)),"YES","NO")</f>
        <v>NO</v>
      </c>
      <c r="AN85" s="267" t="str">
        <f>IF(ISNUMBER(SEARCH("H", 'Dry_Litterbag Placem_Collection'!S86)),"YES","NO")</f>
        <v>YES</v>
      </c>
      <c r="AO85" s="267" t="str">
        <f>IF(ISNUMBER(SEARCH("R", 'Dry_Litterbag Placem_Collection'!S86)),"YES","NO")</f>
        <v>NO</v>
      </c>
    </row>
    <row r="86" spans="1:41">
      <c r="A86" s="259" t="s">
        <v>2643</v>
      </c>
      <c r="B86" s="260">
        <f>'Dry_Litterbag Placem_Collection'!A87</f>
        <v>85</v>
      </c>
      <c r="C86" s="260" t="str">
        <f>'Dry_Litterbag Placem_Collection'!B87</f>
        <v>Maswa</v>
      </c>
      <c r="D86" s="260" t="s">
        <v>2643</v>
      </c>
      <c r="E86" s="260" t="s">
        <v>2645</v>
      </c>
      <c r="F86" s="260">
        <v>3</v>
      </c>
      <c r="G86" s="260" t="s">
        <v>3813</v>
      </c>
      <c r="H86" s="261" t="str">
        <f>'Dry_Litterbag Placem_Collection'!C87</f>
        <v>Dry_W3_T5</v>
      </c>
      <c r="I86" s="262" t="s">
        <v>2525</v>
      </c>
      <c r="J86" s="263" t="s">
        <v>1147</v>
      </c>
      <c r="K86" s="260" t="str">
        <f>IF(ISBLANK('Dry_Litterbag Placem_Collection'!J87),"","G"&amp;""&amp;'Dry_Litterbag Placem_Collection'!J87)</f>
        <v/>
      </c>
      <c r="L86" s="264" t="str">
        <f>IFERROR(INDEX('Green_rooibos initial weight'!$C$5:$C$2000,MATCH(K86, 'Green_rooibos initial weight'!$A$5:$A$2000,0)),"")</f>
        <v/>
      </c>
      <c r="M86" s="264" t="str">
        <f>IFERROR(L86-(TBIcalc!$Q$9+TBIcalc!$Q$10),"")</f>
        <v/>
      </c>
      <c r="N86" s="385">
        <f>AVERAGE(Ashed_controlls!$K$2:$K$11)</f>
        <v>5.5147656768714146</v>
      </c>
      <c r="O86" s="264" t="str">
        <f t="shared" si="6"/>
        <v/>
      </c>
      <c r="P86" s="264" t="str">
        <f>IFERROR(INDEX('Both teabags AfterDry'!$D$2:$D$2000,MATCH(K86,'Both teabags AfterDry'!$A$2:$A$2000,0)),"")</f>
        <v/>
      </c>
      <c r="Q86" s="264" t="str">
        <f>IFERROR(IF(P86&gt;0,P86-(TBIcalc!$Q$9),""),"")</f>
        <v/>
      </c>
      <c r="R86" s="275" t="str">
        <f>IFERROR(INDEX('Ashed teabags dry'!$K$2:$K$2000,MATCH(K86,'Ashed teabags dry'!$A$2:$A$2000,0)),"")</f>
        <v/>
      </c>
      <c r="S86" s="275" t="str">
        <f t="shared" si="7"/>
        <v/>
      </c>
      <c r="T86" s="265" t="str">
        <f>IF('Dry_Litterbag Placem_Collection'!E87="","",'Dry_Litterbag Placem_Collection'!E87)</f>
        <v/>
      </c>
      <c r="U86" s="265" t="str">
        <f>IF('Dry_Litterbag Placem_Collection'!G87="","",'Dry_Litterbag Placem_Collection'!G87)</f>
        <v/>
      </c>
      <c r="V86" s="266" t="str">
        <f t="shared" si="5"/>
        <v/>
      </c>
      <c r="W86" s="264" t="str">
        <f t="shared" si="8"/>
        <v/>
      </c>
      <c r="X86" s="264" t="str">
        <f t="shared" si="9"/>
        <v/>
      </c>
      <c r="Y86" s="268" t="str">
        <f>IFERROR(INDEX(Rainfall_Dry!$O$2:$O$217,MATCH(B86, Rainfall_Dry!$A$2:$A$217,0)),"")</f>
        <v/>
      </c>
      <c r="Z86" s="257">
        <v>38.691629007962128</v>
      </c>
      <c r="AA86" s="257">
        <v>26.81299763288143</v>
      </c>
      <c r="AB86" s="257">
        <v>34.495373359156439</v>
      </c>
      <c r="AC86" s="258" t="s">
        <v>2659</v>
      </c>
      <c r="AD86" s="257">
        <v>6.5483587974371602</v>
      </c>
      <c r="AE86">
        <f>IF('WetLitterbags placem_collection'!AB87="","",'WetLitterbags placem_collection'!AB87)</f>
        <v>8.6</v>
      </c>
      <c r="AF86">
        <f>IF('WetLitterbags placem_collection'!Z87="","",'WetLitterbags placem_collection'!Z87)</f>
        <v>3.8</v>
      </c>
      <c r="AG86" s="243" t="str">
        <f>IF('WetLitterbags placem_collection'!AA87="","",'WetLitterbags placem_collection'!AA87)</f>
        <v>O</v>
      </c>
      <c r="AH86">
        <f>IF('WetLitterbags placem_collection'!AC87="","",'WetLitterbags placem_collection'!AC87)</f>
        <v>0</v>
      </c>
      <c r="AI86" t="str">
        <f>IFERROR(AVERAGE('Dry_Litterbag Placem_Collection'!O87,'Dry_Litterbag Placem_Collection'!R87),"")</f>
        <v/>
      </c>
      <c r="AJ86" s="268" t="str">
        <f>IFERROR(AVERAGE('Dry_Litterbag Placem_Collection'!N87,'Dry_Litterbag Placem_Collection'!Q87),"")</f>
        <v/>
      </c>
      <c r="AK86" s="267">
        <f>INDEX(Coordinates!$B$2:$B$197,MATCH(H86,Coordinates!$J$2:$J$197,0))</f>
        <v>-3.2957100119999998</v>
      </c>
      <c r="AL86" s="267">
        <f>INDEX(Coordinates!$C$2:$C$197,MATCH(H86,Coordinates!$J$2:$J$197,0))</f>
        <v>34.852283970000002</v>
      </c>
      <c r="AM86" s="267" t="str">
        <f>IF(ISNUMBER(SEARCH("C", 'Dry_Litterbag Placem_Collection'!S87)),"YES","NO")</f>
        <v>NO</v>
      </c>
      <c r="AN86" s="267" t="str">
        <f>IF(ISNUMBER(SEARCH("H", 'Dry_Litterbag Placem_Collection'!S87)),"YES","NO")</f>
        <v>NO</v>
      </c>
      <c r="AO86" s="267" t="str">
        <f>IF(ISNUMBER(SEARCH("R", 'Dry_Litterbag Placem_Collection'!S87)),"YES","NO")</f>
        <v>NO</v>
      </c>
    </row>
    <row r="87" spans="1:41">
      <c r="A87" s="259" t="s">
        <v>2643</v>
      </c>
      <c r="B87" s="260">
        <f>'Dry_Litterbag Placem_Collection'!A88</f>
        <v>86</v>
      </c>
      <c r="C87" s="260" t="str">
        <f>'Dry_Litterbag Placem_Collection'!B88</f>
        <v>Maswa</v>
      </c>
      <c r="D87" s="260" t="s">
        <v>2643</v>
      </c>
      <c r="E87" s="260" t="s">
        <v>2645</v>
      </c>
      <c r="F87" s="260">
        <v>3</v>
      </c>
      <c r="G87" s="260" t="s">
        <v>3813</v>
      </c>
      <c r="H87" s="261" t="str">
        <f>'Dry_Litterbag Placem_Collection'!C88</f>
        <v>Dry_W3_T6</v>
      </c>
      <c r="I87" s="262" t="s">
        <v>2525</v>
      </c>
      <c r="J87" s="263" t="s">
        <v>1147</v>
      </c>
      <c r="K87" s="260" t="str">
        <f>IF(ISBLANK('Dry_Litterbag Placem_Collection'!J88),"","G"&amp;""&amp;'Dry_Litterbag Placem_Collection'!J88)</f>
        <v>G31</v>
      </c>
      <c r="L87" s="264">
        <f>IFERROR(INDEX('Green_rooibos initial weight'!$C$5:$C$2000,MATCH(K87, 'Green_rooibos initial weight'!$A$5:$A$2000,0)),"")</f>
        <v>1.9390000000000001</v>
      </c>
      <c r="M87" s="264">
        <f>IFERROR(L87-(TBIcalc!$Q$9+TBIcalc!$Q$10),"")</f>
        <v>1.6892</v>
      </c>
      <c r="N87" s="385">
        <f>AVERAGE(Ashed_controlls!$K$2:$K$11)</f>
        <v>5.5147656768714146</v>
      </c>
      <c r="O87" s="264">
        <f t="shared" si="6"/>
        <v>1.5960445781862882</v>
      </c>
      <c r="P87" s="264" t="str">
        <f>IFERROR(INDEX('Both teabags AfterDry'!$D$2:$D$2000,MATCH(K87,'Both teabags AfterDry'!$A$2:$A$2000,0)),"")</f>
        <v/>
      </c>
      <c r="Q87" s="264" t="str">
        <f>IFERROR(IF(P87&gt;0,P87-(TBIcalc!$Q$9),""),"")</f>
        <v/>
      </c>
      <c r="R87" s="275" t="str">
        <f>IFERROR(INDEX('Ashed teabags dry'!$K$2:$K$2000,MATCH(K87,'Ashed teabags dry'!$A$2:$A$2000,0)),"")</f>
        <v/>
      </c>
      <c r="S87" s="275" t="str">
        <f t="shared" si="7"/>
        <v/>
      </c>
      <c r="T87" s="265">
        <f>IF('Dry_Litterbag Placem_Collection'!E88="","",'Dry_Litterbag Placem_Collection'!E88)</f>
        <v>42937</v>
      </c>
      <c r="U87" s="265">
        <f>IF('Dry_Litterbag Placem_Collection'!G88="","",'Dry_Litterbag Placem_Collection'!G88)</f>
        <v>43006</v>
      </c>
      <c r="V87" s="266">
        <f t="shared" si="5"/>
        <v>69</v>
      </c>
      <c r="W87" s="264" t="str">
        <f t="shared" si="8"/>
        <v/>
      </c>
      <c r="X87" s="264" t="str">
        <f t="shared" si="9"/>
        <v/>
      </c>
      <c r="Y87" s="268">
        <f>IFERROR(INDEX(Rainfall_Dry!$O$2:$O$217,MATCH(B87, Rainfall_Dry!$A$2:$A$217,0)),"")</f>
        <v>12.563016860999999</v>
      </c>
      <c r="Z87" s="257">
        <v>38.691629007962128</v>
      </c>
      <c r="AA87" s="257">
        <v>26.81299763288143</v>
      </c>
      <c r="AB87" s="257">
        <v>34.495373359156439</v>
      </c>
      <c r="AC87" s="258" t="s">
        <v>2659</v>
      </c>
      <c r="AD87" s="257">
        <v>7.5483587974371602</v>
      </c>
      <c r="AE87">
        <f>IF('WetLitterbags placem_collection'!AB88="","",'WetLitterbags placem_collection'!AB88)</f>
        <v>3.7</v>
      </c>
      <c r="AF87">
        <f>IF('WetLitterbags placem_collection'!Z88="","",'WetLitterbags placem_collection'!Z88)</f>
        <v>7.5</v>
      </c>
      <c r="AG87" s="243" t="str">
        <f>IF('WetLitterbags placem_collection'!AA88="","",'WetLitterbags placem_collection'!AA88)</f>
        <v>O</v>
      </c>
      <c r="AH87">
        <f>IF('WetLitterbags placem_collection'!AC88="","",'WetLitterbags placem_collection'!AC88)</f>
        <v>0</v>
      </c>
      <c r="AI87">
        <f>IFERROR(AVERAGE('Dry_Litterbag Placem_Collection'!O88,'Dry_Litterbag Placem_Collection'!R88),"")</f>
        <v>11.75</v>
      </c>
      <c r="AJ87" s="268">
        <f>IFERROR(AVERAGE('Dry_Litterbag Placem_Collection'!N88,'Dry_Litterbag Placem_Collection'!Q88),"")</f>
        <v>26.9</v>
      </c>
      <c r="AK87" s="267">
        <f>INDEX(Coordinates!$B$2:$B$197,MATCH(H87,Coordinates!$J$2:$J$197,0))</f>
        <v>-3.2956140399999998</v>
      </c>
      <c r="AL87" s="267">
        <f>INDEX(Coordinates!$C$2:$C$197,MATCH(H87,Coordinates!$J$2:$J$197,0))</f>
        <v>34.852137030000002</v>
      </c>
      <c r="AM87" s="267" t="str">
        <f>IF(ISNUMBER(SEARCH("C", 'Dry_Litterbag Placem_Collection'!S88)),"YES","NO")</f>
        <v>NO</v>
      </c>
      <c r="AN87" s="267" t="str">
        <f>IF(ISNUMBER(SEARCH("H", 'Dry_Litterbag Placem_Collection'!S88)),"YES","NO")</f>
        <v>YES</v>
      </c>
      <c r="AO87" s="267" t="str">
        <f>IF(ISNUMBER(SEARCH("R", 'Dry_Litterbag Placem_Collection'!S88)),"YES","NO")</f>
        <v>NO</v>
      </c>
    </row>
    <row r="88" spans="1:41">
      <c r="A88" s="259" t="s">
        <v>2643</v>
      </c>
      <c r="B88" s="260">
        <f>'Dry_Litterbag Placem_Collection'!A89</f>
        <v>87</v>
      </c>
      <c r="C88" s="260" t="str">
        <f>'Dry_Litterbag Placem_Collection'!B89</f>
        <v>Maswa</v>
      </c>
      <c r="D88" s="260" t="s">
        <v>2643</v>
      </c>
      <c r="E88" s="260" t="s">
        <v>2645</v>
      </c>
      <c r="F88" s="260">
        <v>3</v>
      </c>
      <c r="G88" s="260" t="s">
        <v>3813</v>
      </c>
      <c r="H88" s="261" t="str">
        <f>'Dry_Litterbag Placem_Collection'!C89</f>
        <v>Dry_W3_T7</v>
      </c>
      <c r="I88" s="262" t="s">
        <v>2525</v>
      </c>
      <c r="J88" s="263" t="s">
        <v>1147</v>
      </c>
      <c r="K88" s="260" t="str">
        <f>IF(ISBLANK('Dry_Litterbag Placem_Collection'!J89),"","G"&amp;""&amp;'Dry_Litterbag Placem_Collection'!J89)</f>
        <v>G220</v>
      </c>
      <c r="L88" s="264">
        <f>IFERROR(INDEX('Green_rooibos initial weight'!$C$5:$C$2000,MATCH(K88, 'Green_rooibos initial weight'!$A$5:$A$2000,0)),"")</f>
        <v>2.1179999999999999</v>
      </c>
      <c r="M88" s="264">
        <f>IFERROR(L88-(TBIcalc!$Q$9+TBIcalc!$Q$10),"")</f>
        <v>1.8681999999999999</v>
      </c>
      <c r="N88" s="385">
        <f>AVERAGE(Ashed_controlls!$K$2:$K$11)</f>
        <v>5.5147656768714146</v>
      </c>
      <c r="O88" s="264">
        <f t="shared" si="6"/>
        <v>1.7651731476246881</v>
      </c>
      <c r="P88" s="264">
        <f>IFERROR(INDEX('Both teabags AfterDry'!$D$2:$D$2000,MATCH(K88,'Both teabags AfterDry'!$A$2:$A$2000,0)),"")</f>
        <v>1.9671000000000001</v>
      </c>
      <c r="Q88" s="264">
        <f>IFERROR(IF(P88&gt;0,P88-(TBIcalc!$Q$9),""),"")</f>
        <v>1.8165</v>
      </c>
      <c r="R88" s="275">
        <f>IFERROR(INDEX('Ashed teabags dry'!$K$2:$K$2000,MATCH(K88,'Ashed teabags dry'!$A$2:$A$2000,0)),"")</f>
        <v>5.9062218214606252</v>
      </c>
      <c r="S88" s="275">
        <f t="shared" si="7"/>
        <v>1.7092134806131678</v>
      </c>
      <c r="T88" s="265">
        <f>IF('Dry_Litterbag Placem_Collection'!E89="","",'Dry_Litterbag Placem_Collection'!E89)</f>
        <v>42937</v>
      </c>
      <c r="U88" s="265">
        <f>IF('Dry_Litterbag Placem_Collection'!G89="","",'Dry_Litterbag Placem_Collection'!G89)</f>
        <v>43006</v>
      </c>
      <c r="V88" s="266">
        <f t="shared" si="5"/>
        <v>69</v>
      </c>
      <c r="W88" s="264">
        <f t="shared" si="8"/>
        <v>5.1699999999999857E-2</v>
      </c>
      <c r="X88" s="264">
        <f t="shared" si="9"/>
        <v>5.5959667011520331E-2</v>
      </c>
      <c r="Y88" s="268">
        <f>IFERROR(INDEX(Rainfall_Dry!$O$2:$O$217,MATCH(B88, Rainfall_Dry!$A$2:$A$217,0)),"")</f>
        <v>12.563016860999999</v>
      </c>
      <c r="Z88" s="257">
        <v>38.691629007962128</v>
      </c>
      <c r="AA88" s="257">
        <v>26.81299763288143</v>
      </c>
      <c r="AB88" s="257">
        <v>34.495373359156439</v>
      </c>
      <c r="AC88" s="258" t="s">
        <v>2659</v>
      </c>
      <c r="AD88" s="257">
        <v>8.5483587974371602</v>
      </c>
      <c r="AE88">
        <f>IF('WetLitterbags placem_collection'!AB89="","",'WetLitterbags placem_collection'!AB89)</f>
        <v>7.5</v>
      </c>
      <c r="AF88">
        <f>IF('WetLitterbags placem_collection'!Z89="","",'WetLitterbags placem_collection'!Z89)</f>
        <v>12.6</v>
      </c>
      <c r="AG88" s="243" t="str">
        <f>IF('WetLitterbags placem_collection'!AA89="","",'WetLitterbags placem_collection'!AA89)</f>
        <v>O</v>
      </c>
      <c r="AH88">
        <f>IF('WetLitterbags placem_collection'!AC89="","",'WetLitterbags placem_collection'!AC89)</f>
        <v>1</v>
      </c>
      <c r="AI88">
        <f>IFERROR(AVERAGE('Dry_Litterbag Placem_Collection'!O89,'Dry_Litterbag Placem_Collection'!R89),"")</f>
        <v>10.65</v>
      </c>
      <c r="AJ88" s="268">
        <f>IFERROR(AVERAGE('Dry_Litterbag Placem_Collection'!N89,'Dry_Litterbag Placem_Collection'!Q89),"")</f>
        <v>24.3</v>
      </c>
      <c r="AK88" s="267">
        <f>INDEX(Coordinates!$B$2:$B$197,MATCH(H88,Coordinates!$J$2:$J$197,0))</f>
        <v>-3.295904975</v>
      </c>
      <c r="AL88" s="267">
        <f>INDEX(Coordinates!$C$2:$C$197,MATCH(H88,Coordinates!$J$2:$J$197,0))</f>
        <v>34.852136029999997</v>
      </c>
      <c r="AM88" s="267" t="str">
        <f>IF(ISNUMBER(SEARCH("C", 'Dry_Litterbag Placem_Collection'!S89)),"YES","NO")</f>
        <v>NO</v>
      </c>
      <c r="AN88" s="267" t="str">
        <f>IF(ISNUMBER(SEARCH("H", 'Dry_Litterbag Placem_Collection'!S89)),"YES","NO")</f>
        <v>NO</v>
      </c>
      <c r="AO88" s="267" t="str">
        <f>IF(ISNUMBER(SEARCH("R", 'Dry_Litterbag Placem_Collection'!S89)),"YES","NO")</f>
        <v>NO</v>
      </c>
    </row>
    <row r="89" spans="1:41">
      <c r="A89" s="259" t="s">
        <v>2643</v>
      </c>
      <c r="B89" s="260">
        <f>'Dry_Litterbag Placem_Collection'!A90</f>
        <v>88</v>
      </c>
      <c r="C89" s="260" t="str">
        <f>'Dry_Litterbag Placem_Collection'!B90</f>
        <v>Maswa</v>
      </c>
      <c r="D89" s="260" t="s">
        <v>2643</v>
      </c>
      <c r="E89" s="260" t="s">
        <v>2645</v>
      </c>
      <c r="F89" s="260">
        <v>3</v>
      </c>
      <c r="G89" s="260" t="s">
        <v>3813</v>
      </c>
      <c r="H89" s="261" t="str">
        <f>'Dry_Litterbag Placem_Collection'!C90</f>
        <v>Dry_W3_T8</v>
      </c>
      <c r="I89" s="262" t="s">
        <v>2525</v>
      </c>
      <c r="J89" s="263" t="s">
        <v>1147</v>
      </c>
      <c r="K89" s="260" t="str">
        <f>IF(ISBLANK('Dry_Litterbag Placem_Collection'!J90),"","G"&amp;""&amp;'Dry_Litterbag Placem_Collection'!J90)</f>
        <v>G531</v>
      </c>
      <c r="L89" s="264">
        <f>IFERROR(INDEX('Green_rooibos initial weight'!$C$5:$C$2000,MATCH(K89, 'Green_rooibos initial weight'!$A$5:$A$2000,0)),"")</f>
        <v>2.0110000000000001</v>
      </c>
      <c r="M89" s="264">
        <f>IFERROR(L89-(TBIcalc!$Q$9+TBIcalc!$Q$10),"")</f>
        <v>1.7612000000000001</v>
      </c>
      <c r="N89" s="385">
        <f>AVERAGE(Ashed_controlls!$K$2:$K$11)</f>
        <v>5.5147656768714146</v>
      </c>
      <c r="O89" s="264">
        <f t="shared" si="6"/>
        <v>1.6640739468989407</v>
      </c>
      <c r="P89" s="264">
        <f>IFERROR(INDEX('Both teabags AfterDry'!$D$2:$D$2000,MATCH(K89,'Both teabags AfterDry'!$A$2:$A$2000,0)),"")</f>
        <v>1.8593999999999999</v>
      </c>
      <c r="Q89" s="264">
        <f>IFERROR(IF(P89&gt;0,P89-(TBIcalc!$Q$9),""),"")</f>
        <v>1.7087999999999999</v>
      </c>
      <c r="R89" s="275">
        <f>IFERROR(INDEX('Ashed teabags dry'!$K$2:$K$2000,MATCH(K89,'Ashed teabags dry'!$A$2:$A$2000,0)),"")</f>
        <v>7.2600696171056427</v>
      </c>
      <c r="S89" s="275">
        <f t="shared" si="7"/>
        <v>1.5847399303828986</v>
      </c>
      <c r="T89" s="265">
        <f>IF('Dry_Litterbag Placem_Collection'!E90="","",'Dry_Litterbag Placem_Collection'!E90)</f>
        <v>42937</v>
      </c>
      <c r="U89" s="265">
        <f>IF('Dry_Litterbag Placem_Collection'!G90="","",'Dry_Litterbag Placem_Collection'!G90)</f>
        <v>43006</v>
      </c>
      <c r="V89" s="266">
        <f t="shared" si="5"/>
        <v>69</v>
      </c>
      <c r="W89" s="264">
        <f t="shared" si="8"/>
        <v>5.2400000000000224E-2</v>
      </c>
      <c r="X89" s="264">
        <f t="shared" si="9"/>
        <v>7.9334016516042105E-2</v>
      </c>
      <c r="Y89" s="268">
        <f>IFERROR(INDEX(Rainfall_Dry!$O$2:$O$217,MATCH(B89, Rainfall_Dry!$A$2:$A$217,0)),"")</f>
        <v>12.563016860999999</v>
      </c>
      <c r="Z89" s="257">
        <v>38.691629007962128</v>
      </c>
      <c r="AA89" s="257">
        <v>26.81299763288143</v>
      </c>
      <c r="AB89" s="257">
        <v>34.495373359156439</v>
      </c>
      <c r="AC89" s="258" t="s">
        <v>2659</v>
      </c>
      <c r="AD89" s="257">
        <v>9.5483587974371602</v>
      </c>
      <c r="AE89" t="str">
        <f>IF('WetLitterbags placem_collection'!AB90="","",'WetLitterbags placem_collection'!AB90)</f>
        <v/>
      </c>
      <c r="AF89" t="str">
        <f>IF('WetLitterbags placem_collection'!Z90="","",'WetLitterbags placem_collection'!Z90)</f>
        <v/>
      </c>
      <c r="AG89" s="243" t="str">
        <f>IF('WetLitterbags placem_collection'!AA90="","",'WetLitterbags placem_collection'!AA90)</f>
        <v/>
      </c>
      <c r="AH89" t="str">
        <f>IF('WetLitterbags placem_collection'!AC90="","",'WetLitterbags placem_collection'!AC90)</f>
        <v/>
      </c>
      <c r="AI89">
        <f>IFERROR(AVERAGE('Dry_Litterbag Placem_Collection'!O90,'Dry_Litterbag Placem_Collection'!R90),"")</f>
        <v>11.7</v>
      </c>
      <c r="AJ89" s="268">
        <f>IFERROR(AVERAGE('Dry_Litterbag Placem_Collection'!N90,'Dry_Litterbag Placem_Collection'!Q90),"")</f>
        <v>26.049999999999997</v>
      </c>
      <c r="AK89" s="267">
        <f>INDEX(Coordinates!$B$2:$B$197,MATCH(H89,Coordinates!$J$2:$J$197,0))</f>
        <v>-3.2959530039999998</v>
      </c>
      <c r="AL89" s="267">
        <f>INDEX(Coordinates!$C$2:$C$197,MATCH(H89,Coordinates!$J$2:$J$197,0))</f>
        <v>34.85242504</v>
      </c>
      <c r="AM89" s="267" t="str">
        <f>IF(ISNUMBER(SEARCH("C", 'Dry_Litterbag Placem_Collection'!S90)),"YES","NO")</f>
        <v>NO</v>
      </c>
      <c r="AN89" s="267" t="str">
        <f>IF(ISNUMBER(SEARCH("H", 'Dry_Litterbag Placem_Collection'!S90)),"YES","NO")</f>
        <v>NO</v>
      </c>
      <c r="AO89" s="267" t="str">
        <f>IF(ISNUMBER(SEARCH("R", 'Dry_Litterbag Placem_Collection'!S90)),"YES","NO")</f>
        <v>NO</v>
      </c>
    </row>
    <row r="90" spans="1:41">
      <c r="A90" s="259" t="s">
        <v>2643</v>
      </c>
      <c r="B90" s="260">
        <f>'Dry_Litterbag Placem_Collection'!A91</f>
        <v>89</v>
      </c>
      <c r="C90" s="260" t="str">
        <f>'Dry_Litterbag Placem_Collection'!B91</f>
        <v>Maswa</v>
      </c>
      <c r="D90" s="260" t="s">
        <v>2643</v>
      </c>
      <c r="E90" s="260" t="s">
        <v>2645</v>
      </c>
      <c r="F90" s="260">
        <v>4</v>
      </c>
      <c r="G90" s="260" t="s">
        <v>3814</v>
      </c>
      <c r="H90" s="261" t="str">
        <f>'Dry_Litterbag Placem_Collection'!C91</f>
        <v>Dry_W4_T1</v>
      </c>
      <c r="I90" s="262" t="s">
        <v>2525</v>
      </c>
      <c r="J90" s="263" t="s">
        <v>1147</v>
      </c>
      <c r="K90" s="260" t="str">
        <f>IF(ISBLANK('Dry_Litterbag Placem_Collection'!J91),"","G"&amp;""&amp;'Dry_Litterbag Placem_Collection'!J91)</f>
        <v>G35</v>
      </c>
      <c r="L90" s="264">
        <f>IFERROR(INDEX('Green_rooibos initial weight'!$C$5:$C$2000,MATCH(K90, 'Green_rooibos initial weight'!$A$5:$A$2000,0)),"")</f>
        <v>2.0299999999999998</v>
      </c>
      <c r="M90" s="264">
        <f>IFERROR(L90-(TBIcalc!$Q$9+TBIcalc!$Q$10),"")</f>
        <v>1.7801999999999998</v>
      </c>
      <c r="N90" s="385">
        <f>AVERAGE(Ashed_controlls!$K$2:$K$11)</f>
        <v>5.5147656768714146</v>
      </c>
      <c r="O90" s="264">
        <f t="shared" si="6"/>
        <v>1.6820261414203348</v>
      </c>
      <c r="P90" s="264">
        <f>IFERROR(INDEX('Both teabags AfterDry'!$D$2:$D$2000,MATCH(K90,'Both teabags AfterDry'!$A$2:$A$2000,0)),"")</f>
        <v>1.8633999999999999</v>
      </c>
      <c r="Q90" s="264">
        <f>IFERROR(IF(P90&gt;0,P90-(TBIcalc!$Q$9),""),"")</f>
        <v>1.7127999999999999</v>
      </c>
      <c r="R90" s="275">
        <f>IFERROR(INDEX('Ashed teabags dry'!$K$2:$K$2000,MATCH(K90,'Ashed teabags dry'!$A$2:$A$2000,0)),"")</f>
        <v>5.6105610561053325</v>
      </c>
      <c r="S90" s="275">
        <f t="shared" si="7"/>
        <v>1.6167023102310278</v>
      </c>
      <c r="T90" s="265">
        <f>IF('Dry_Litterbag Placem_Collection'!E91="","",'Dry_Litterbag Placem_Collection'!E91)</f>
        <v>42937</v>
      </c>
      <c r="U90" s="265">
        <f>IF('Dry_Litterbag Placem_Collection'!G91="","",'Dry_Litterbag Placem_Collection'!G91)</f>
        <v>43006</v>
      </c>
      <c r="V90" s="266">
        <f t="shared" si="5"/>
        <v>69</v>
      </c>
      <c r="W90" s="264">
        <f t="shared" si="8"/>
        <v>6.7399999999999904E-2</v>
      </c>
      <c r="X90" s="264">
        <f t="shared" si="9"/>
        <v>6.5323831189306958E-2</v>
      </c>
      <c r="Y90" s="268">
        <f>IFERROR(INDEX(Rainfall_Dry!$O$2:$O$217,MATCH(B90, Rainfall_Dry!$A$2:$A$217,0)),"")</f>
        <v>12.563016860999999</v>
      </c>
      <c r="Z90" s="257">
        <v>28.145762029394</v>
      </c>
      <c r="AA90" s="257">
        <v>25.085564727199518</v>
      </c>
      <c r="AB90" s="257">
        <v>46.768673243406489</v>
      </c>
      <c r="AC90" s="258" t="s">
        <v>2654</v>
      </c>
      <c r="AD90" s="257">
        <v>2.1716214884179394</v>
      </c>
      <c r="AE90">
        <f>IF('WetLitterbags placem_collection'!AB91="","",'WetLitterbags placem_collection'!AB91)</f>
        <v>7.3</v>
      </c>
      <c r="AF90">
        <f>IF('WetLitterbags placem_collection'!Z91="","",'WetLitterbags placem_collection'!Z91)</f>
        <v>35.799999999999997</v>
      </c>
      <c r="AG90" s="243" t="str">
        <f>IF('WetLitterbags placem_collection'!AA91="","",'WetLitterbags placem_collection'!AA91)</f>
        <v>O</v>
      </c>
      <c r="AH90">
        <f>IF('WetLitterbags placem_collection'!AC91="","",'WetLitterbags placem_collection'!AC91)</f>
        <v>0</v>
      </c>
      <c r="AI90">
        <f>IFERROR(AVERAGE('Dry_Litterbag Placem_Collection'!O91,'Dry_Litterbag Placem_Collection'!R91),"")</f>
        <v>10.5</v>
      </c>
      <c r="AJ90" s="268">
        <f>IFERROR(AVERAGE('Dry_Litterbag Placem_Collection'!N91,'Dry_Litterbag Placem_Collection'!Q91),"")</f>
        <v>26.6</v>
      </c>
      <c r="AK90" s="267">
        <f>INDEX(Coordinates!$B$2:$B$197,MATCH(H90,Coordinates!$J$2:$J$197,0))</f>
        <v>-3.2966709980000002</v>
      </c>
      <c r="AL90" s="267">
        <f>INDEX(Coordinates!$C$2:$C$197,MATCH(H90,Coordinates!$J$2:$J$197,0))</f>
        <v>34.854407019999996</v>
      </c>
      <c r="AM90" s="267" t="str">
        <f>IF(ISNUMBER(SEARCH("C", 'Dry_Litterbag Placem_Collection'!S91)),"YES","NO")</f>
        <v>NO</v>
      </c>
      <c r="AN90" s="267" t="str">
        <f>IF(ISNUMBER(SEARCH("H", 'Dry_Litterbag Placem_Collection'!S91)),"YES","NO")</f>
        <v>NO</v>
      </c>
      <c r="AO90" s="267" t="str">
        <f>IF(ISNUMBER(SEARCH("R", 'Dry_Litterbag Placem_Collection'!S91)),"YES","NO")</f>
        <v>NO</v>
      </c>
    </row>
    <row r="91" spans="1:41">
      <c r="A91" s="259" t="s">
        <v>2643</v>
      </c>
      <c r="B91" s="260">
        <f>'Dry_Litterbag Placem_Collection'!A92</f>
        <v>90</v>
      </c>
      <c r="C91" s="260" t="str">
        <f>'Dry_Litterbag Placem_Collection'!B92</f>
        <v>Maswa</v>
      </c>
      <c r="D91" s="260" t="s">
        <v>2643</v>
      </c>
      <c r="E91" s="260" t="s">
        <v>2645</v>
      </c>
      <c r="F91" s="260">
        <v>4</v>
      </c>
      <c r="G91" s="260" t="s">
        <v>3814</v>
      </c>
      <c r="H91" s="261" t="str">
        <f>'Dry_Litterbag Placem_Collection'!C92</f>
        <v>Dry_W4_T2</v>
      </c>
      <c r="I91" s="262" t="s">
        <v>2525</v>
      </c>
      <c r="J91" s="263" t="s">
        <v>1147</v>
      </c>
      <c r="K91" s="260" t="str">
        <f>IF(ISBLANK('Dry_Litterbag Placem_Collection'!J92),"","G"&amp;""&amp;'Dry_Litterbag Placem_Collection'!J92)</f>
        <v>G264</v>
      </c>
      <c r="L91" s="264">
        <f>IFERROR(INDEX('Green_rooibos initial weight'!$C$5:$C$2000,MATCH(K91, 'Green_rooibos initial weight'!$A$5:$A$2000,0)),"")</f>
        <v>2.1070000000000002</v>
      </c>
      <c r="M91" s="264">
        <f>IFERROR(L91-(TBIcalc!$Q$9+TBIcalc!$Q$10),"")</f>
        <v>1.8572000000000002</v>
      </c>
      <c r="N91" s="385">
        <f>AVERAGE(Ashed_controlls!$K$2:$K$11)</f>
        <v>5.5147656768714146</v>
      </c>
      <c r="O91" s="264">
        <f t="shared" si="6"/>
        <v>1.7547797718491442</v>
      </c>
      <c r="P91" s="264" t="str">
        <f>IFERROR(INDEX('Both teabags AfterDry'!$D$2:$D$2000,MATCH(K91,'Both teabags AfterDry'!$A$2:$A$2000,0)),"")</f>
        <v/>
      </c>
      <c r="Q91" s="264" t="str">
        <f>IFERROR(IF(P91&gt;0,P91-(TBIcalc!$Q$9),""),"")</f>
        <v/>
      </c>
      <c r="R91" s="275" t="str">
        <f>IFERROR(INDEX('Ashed teabags dry'!$K$2:$K$2000,MATCH(K91,'Ashed teabags dry'!$A$2:$A$2000,0)),"")</f>
        <v/>
      </c>
      <c r="S91" s="275" t="str">
        <f t="shared" si="7"/>
        <v/>
      </c>
      <c r="T91" s="265">
        <f>IF('Dry_Litterbag Placem_Collection'!E92="","",'Dry_Litterbag Placem_Collection'!E92)</f>
        <v>42937</v>
      </c>
      <c r="U91" s="265">
        <f>IF('Dry_Litterbag Placem_Collection'!G92="","",'Dry_Litterbag Placem_Collection'!G92)</f>
        <v>43006</v>
      </c>
      <c r="V91" s="266">
        <f t="shared" si="5"/>
        <v>69</v>
      </c>
      <c r="W91" s="264" t="str">
        <f t="shared" si="8"/>
        <v/>
      </c>
      <c r="X91" s="264" t="str">
        <f t="shared" si="9"/>
        <v/>
      </c>
      <c r="Y91" s="268">
        <f>IFERROR(INDEX(Rainfall_Dry!$O$2:$O$217,MATCH(B91, Rainfall_Dry!$A$2:$A$217,0)),"")</f>
        <v>12.563016860999999</v>
      </c>
      <c r="Z91" s="257">
        <v>28.145762029394</v>
      </c>
      <c r="AA91" s="257">
        <v>25.085564727199518</v>
      </c>
      <c r="AB91" s="257">
        <v>46.768673243406489</v>
      </c>
      <c r="AC91" s="258" t="s">
        <v>2654</v>
      </c>
      <c r="AD91" s="257">
        <v>3.1716214884179399</v>
      </c>
      <c r="AE91">
        <f>IF('WetLitterbags placem_collection'!AB92="","",'WetLitterbags placem_collection'!AB92)</f>
        <v>7.7</v>
      </c>
      <c r="AF91">
        <f>IF('WetLitterbags placem_collection'!Z92="","",'WetLitterbags placem_collection'!Z92)</f>
        <v>30.4</v>
      </c>
      <c r="AG91" s="243" t="str">
        <f>IF('WetLitterbags placem_collection'!AA92="","",'WetLitterbags placem_collection'!AA92)</f>
        <v>O</v>
      </c>
      <c r="AH91">
        <f>IF('WetLitterbags placem_collection'!AC92="","",'WetLitterbags placem_collection'!AC92)</f>
        <v>0</v>
      </c>
      <c r="AI91">
        <f>IFERROR(AVERAGE('Dry_Litterbag Placem_Collection'!O92,'Dry_Litterbag Placem_Collection'!R92),"")</f>
        <v>9.85</v>
      </c>
      <c r="AJ91" s="268">
        <f>IFERROR(AVERAGE('Dry_Litterbag Placem_Collection'!N92,'Dry_Litterbag Placem_Collection'!Q92),"")</f>
        <v>26.45</v>
      </c>
      <c r="AK91" s="267">
        <f>INDEX(Coordinates!$B$2:$B$197,MATCH(H91,Coordinates!$J$2:$J$197,0))</f>
        <v>-3.2966860009999999</v>
      </c>
      <c r="AL91" s="267">
        <f>INDEX(Coordinates!$C$2:$C$197,MATCH(H91,Coordinates!$J$2:$J$197,0))</f>
        <v>34.854371989999997</v>
      </c>
      <c r="AM91" s="267" t="str">
        <f>IF(ISNUMBER(SEARCH("C", 'Dry_Litterbag Placem_Collection'!S92)),"YES","NO")</f>
        <v>NO</v>
      </c>
      <c r="AN91" s="267" t="str">
        <f>IF(ISNUMBER(SEARCH("H", 'Dry_Litterbag Placem_Collection'!S92)),"YES","NO")</f>
        <v>NO</v>
      </c>
      <c r="AO91" s="267" t="str">
        <f>IF(ISNUMBER(SEARCH("R", 'Dry_Litterbag Placem_Collection'!S92)),"YES","NO")</f>
        <v>NO</v>
      </c>
    </row>
    <row r="92" spans="1:41">
      <c r="A92" s="259" t="s">
        <v>2643</v>
      </c>
      <c r="B92" s="260">
        <f>'Dry_Litterbag Placem_Collection'!A93</f>
        <v>91</v>
      </c>
      <c r="C92" s="260" t="str">
        <f>'Dry_Litterbag Placem_Collection'!B93</f>
        <v>Maswa</v>
      </c>
      <c r="D92" s="260" t="s">
        <v>2643</v>
      </c>
      <c r="E92" s="260" t="s">
        <v>2645</v>
      </c>
      <c r="F92" s="260">
        <v>4</v>
      </c>
      <c r="G92" s="260" t="s">
        <v>3814</v>
      </c>
      <c r="H92" s="261" t="str">
        <f>'Dry_Litterbag Placem_Collection'!C93</f>
        <v>Dry_W4_T3</v>
      </c>
      <c r="I92" s="262" t="s">
        <v>2525</v>
      </c>
      <c r="J92" s="263" t="s">
        <v>1147</v>
      </c>
      <c r="K92" s="260" t="str">
        <f>IF(ISBLANK('Dry_Litterbag Placem_Collection'!J93),"","G"&amp;""&amp;'Dry_Litterbag Placem_Collection'!J93)</f>
        <v>G13</v>
      </c>
      <c r="L92" s="264">
        <f>IFERROR(INDEX('Green_rooibos initial weight'!$C$5:$C$2000,MATCH(K92, 'Green_rooibos initial weight'!$A$5:$A$2000,0)),"")</f>
        <v>2.085</v>
      </c>
      <c r="M92" s="264">
        <f>IFERROR(L92-(TBIcalc!$Q$9+TBIcalc!$Q$10),"")</f>
        <v>1.8351999999999999</v>
      </c>
      <c r="N92" s="385">
        <f>AVERAGE(Ashed_controlls!$K$2:$K$11)</f>
        <v>5.5147656768714146</v>
      </c>
      <c r="O92" s="264">
        <f t="shared" si="6"/>
        <v>1.7339930202980558</v>
      </c>
      <c r="P92" s="264">
        <f>IFERROR(INDEX('Both teabags AfterDry'!$D$2:$D$2000,MATCH(K92,'Both teabags AfterDry'!$A$2:$A$2000,0)),"")</f>
        <v>1.9104000000000001</v>
      </c>
      <c r="Q92" s="264">
        <f>IFERROR(IF(P92&gt;0,P92-(TBIcalc!$Q$9),""),"")</f>
        <v>1.7598</v>
      </c>
      <c r="R92" s="275">
        <f>IFERROR(INDEX('Ashed teabags dry'!$K$2:$K$2000,MATCH(K92,'Ashed teabags dry'!$A$2:$A$2000,0)),"")</f>
        <v>5.9558517284466683</v>
      </c>
      <c r="S92" s="275">
        <f t="shared" si="7"/>
        <v>1.6549889212827955</v>
      </c>
      <c r="T92" s="265">
        <f>IF('Dry_Litterbag Placem_Collection'!E93="","",'Dry_Litterbag Placem_Collection'!E93)</f>
        <v>42937</v>
      </c>
      <c r="U92" s="265">
        <f>IF('Dry_Litterbag Placem_Collection'!G93="","",'Dry_Litterbag Placem_Collection'!G93)</f>
        <v>43006</v>
      </c>
      <c r="V92" s="266">
        <f t="shared" si="5"/>
        <v>69</v>
      </c>
      <c r="W92" s="264">
        <f t="shared" si="8"/>
        <v>7.5399999999999912E-2</v>
      </c>
      <c r="X92" s="264">
        <f t="shared" si="9"/>
        <v>7.9004099015260287E-2</v>
      </c>
      <c r="Y92" s="268">
        <f>IFERROR(INDEX(Rainfall_Dry!$O$2:$O$217,MATCH(B92, Rainfall_Dry!$A$2:$A$217,0)),"")</f>
        <v>12.563016860999999</v>
      </c>
      <c r="Z92" s="257">
        <v>28.145762029394</v>
      </c>
      <c r="AA92" s="257">
        <v>25.085564727199518</v>
      </c>
      <c r="AB92" s="257">
        <v>46.768673243406489</v>
      </c>
      <c r="AC92" s="258" t="s">
        <v>2654</v>
      </c>
      <c r="AD92" s="257">
        <v>4.1716214884179399</v>
      </c>
      <c r="AE92">
        <f>IF('WetLitterbags placem_collection'!AB93="","",'WetLitterbags placem_collection'!AB93)</f>
        <v>6.1</v>
      </c>
      <c r="AF92">
        <f>IF('WetLitterbags placem_collection'!Z93="","",'WetLitterbags placem_collection'!Z93)</f>
        <v>39.4</v>
      </c>
      <c r="AG92" s="243" t="str">
        <f>IF('WetLitterbags placem_collection'!AA93="","",'WetLitterbags placem_collection'!AA93)</f>
        <v>O</v>
      </c>
      <c r="AH92">
        <f>IF('WetLitterbags placem_collection'!AC93="","",'WetLitterbags placem_collection'!AC93)</f>
        <v>1</v>
      </c>
      <c r="AI92">
        <f>IFERROR(AVERAGE('Dry_Litterbag Placem_Collection'!O93,'Dry_Litterbag Placem_Collection'!R93),"")</f>
        <v>10.95</v>
      </c>
      <c r="AJ92" s="268">
        <f>IFERROR(AVERAGE('Dry_Litterbag Placem_Collection'!N93,'Dry_Litterbag Placem_Collection'!Q93),"")</f>
        <v>25.95</v>
      </c>
      <c r="AK92" s="267">
        <f>INDEX(Coordinates!$B$2:$B$197,MATCH(H92,Coordinates!$J$2:$J$197,0))</f>
        <v>-3.2966180239999998</v>
      </c>
      <c r="AL92" s="267">
        <f>INDEX(Coordinates!$C$2:$C$197,MATCH(H92,Coordinates!$J$2:$J$197,0))</f>
        <v>34.854464020000002</v>
      </c>
      <c r="AM92" s="267" t="str">
        <f>IF(ISNUMBER(SEARCH("C", 'Dry_Litterbag Placem_Collection'!S93)),"YES","NO")</f>
        <v>NO</v>
      </c>
      <c r="AN92" s="267" t="str">
        <f>IF(ISNUMBER(SEARCH("H", 'Dry_Litterbag Placem_Collection'!S93)),"YES","NO")</f>
        <v>NO</v>
      </c>
      <c r="AO92" s="267" t="str">
        <f>IF(ISNUMBER(SEARCH("R", 'Dry_Litterbag Placem_Collection'!S93)),"YES","NO")</f>
        <v>NO</v>
      </c>
    </row>
    <row r="93" spans="1:41">
      <c r="A93" s="259" t="s">
        <v>2643</v>
      </c>
      <c r="B93" s="260">
        <f>'Dry_Litterbag Placem_Collection'!A94</f>
        <v>92</v>
      </c>
      <c r="C93" s="260" t="str">
        <f>'Dry_Litterbag Placem_Collection'!B94</f>
        <v>Maswa</v>
      </c>
      <c r="D93" s="260" t="s">
        <v>2643</v>
      </c>
      <c r="E93" s="260" t="s">
        <v>2645</v>
      </c>
      <c r="F93" s="260">
        <v>4</v>
      </c>
      <c r="G93" s="260" t="s">
        <v>3814</v>
      </c>
      <c r="H93" s="261" t="str">
        <f>'Dry_Litterbag Placem_Collection'!C94</f>
        <v>Dry_W4_T4</v>
      </c>
      <c r="I93" s="262" t="s">
        <v>2525</v>
      </c>
      <c r="J93" s="263" t="s">
        <v>1147</v>
      </c>
      <c r="K93" s="260" t="str">
        <f>IF(ISBLANK('Dry_Litterbag Placem_Collection'!J94),"","G"&amp;""&amp;'Dry_Litterbag Placem_Collection'!J94)</f>
        <v>G324</v>
      </c>
      <c r="L93" s="264">
        <f>IFERROR(INDEX('Green_rooibos initial weight'!$C$5:$C$2000,MATCH(K93, 'Green_rooibos initial weight'!$A$5:$A$2000,0)),"")</f>
        <v>2.0430000000000001</v>
      </c>
      <c r="M93" s="264">
        <f>IFERROR(L93-(TBIcalc!$Q$9+TBIcalc!$Q$10),"")</f>
        <v>1.7932000000000001</v>
      </c>
      <c r="N93" s="385">
        <f>AVERAGE(Ashed_controlls!$K$2:$K$11)</f>
        <v>5.5147656768714146</v>
      </c>
      <c r="O93" s="264">
        <f t="shared" si="6"/>
        <v>1.6943092218823419</v>
      </c>
      <c r="P93" s="264">
        <f>IFERROR(INDEX('Both teabags AfterDry'!$D$2:$D$2000,MATCH(K93,'Both teabags AfterDry'!$A$2:$A$2000,0)),"")</f>
        <v>1.6847000000000001</v>
      </c>
      <c r="Q93" s="264">
        <f>IFERROR(IF(P93&gt;0,P93-(TBIcalc!$Q$9),""),"")</f>
        <v>1.5341</v>
      </c>
      <c r="R93" s="275">
        <f>IFERROR(INDEX('Ashed teabags dry'!$K$2:$K$2000,MATCH(K93,'Ashed teabags dry'!$A$2:$A$2000,0)),"")</f>
        <v>7.5962018990501106</v>
      </c>
      <c r="S93" s="275">
        <f t="shared" si="7"/>
        <v>1.4175666666666722</v>
      </c>
      <c r="T93" s="265">
        <f>IF('Dry_Litterbag Placem_Collection'!E94="","",'Dry_Litterbag Placem_Collection'!E94)</f>
        <v>42937</v>
      </c>
      <c r="U93" s="265">
        <f>IF('Dry_Litterbag Placem_Collection'!G94="","",'Dry_Litterbag Placem_Collection'!G94)</f>
        <v>43006</v>
      </c>
      <c r="V93" s="266">
        <f t="shared" si="5"/>
        <v>69</v>
      </c>
      <c r="W93" s="264">
        <f t="shared" si="8"/>
        <v>0.25910000000000011</v>
      </c>
      <c r="X93" s="264">
        <f t="shared" si="9"/>
        <v>0.27674255521566971</v>
      </c>
      <c r="Y93" s="268">
        <f>IFERROR(INDEX(Rainfall_Dry!$O$2:$O$217,MATCH(B93, Rainfall_Dry!$A$2:$A$217,0)),"")</f>
        <v>12.563016860999999</v>
      </c>
      <c r="Z93" s="257">
        <v>28.145762029394</v>
      </c>
      <c r="AA93" s="257">
        <v>25.085564727199518</v>
      </c>
      <c r="AB93" s="257">
        <v>46.768673243406489</v>
      </c>
      <c r="AC93" s="258" t="s">
        <v>2654</v>
      </c>
      <c r="AD93" s="257">
        <v>5.1716214884179399</v>
      </c>
      <c r="AE93">
        <f>IF('WetLitterbags placem_collection'!AB94="","",'WetLitterbags placem_collection'!AB94)</f>
        <v>7.7</v>
      </c>
      <c r="AF93">
        <f>IF('WetLitterbags placem_collection'!Z94="","",'WetLitterbags placem_collection'!Z94)</f>
        <v>24.8</v>
      </c>
      <c r="AG93" s="243" t="str">
        <f>IF('WetLitterbags placem_collection'!AA94="","",'WetLitterbags placem_collection'!AA94)</f>
        <v>O</v>
      </c>
      <c r="AH93">
        <f>IF('WetLitterbags placem_collection'!AC94="","",'WetLitterbags placem_collection'!AC94)</f>
        <v>1</v>
      </c>
      <c r="AI93">
        <f>IFERROR(AVERAGE('Dry_Litterbag Placem_Collection'!O94,'Dry_Litterbag Placem_Collection'!R94),"")</f>
        <v>10.25</v>
      </c>
      <c r="AJ93" s="268">
        <f>IFERROR(AVERAGE('Dry_Litterbag Placem_Collection'!N94,'Dry_Litterbag Placem_Collection'!Q94),"")</f>
        <v>26</v>
      </c>
      <c r="AK93" s="267">
        <f>INDEX(Coordinates!$B$2:$B$197,MATCH(H93,Coordinates!$J$2:$J$197,0))</f>
        <v>-3.2965539860000002</v>
      </c>
      <c r="AL93" s="267">
        <f>INDEX(Coordinates!$C$2:$C$197,MATCH(H93,Coordinates!$J$2:$J$197,0))</f>
        <v>34.854455969999997</v>
      </c>
      <c r="AM93" s="267" t="str">
        <f>IF(ISNUMBER(SEARCH("C", 'Dry_Litterbag Placem_Collection'!S94)),"YES","NO")</f>
        <v>NO</v>
      </c>
      <c r="AN93" s="267" t="str">
        <f>IF(ISNUMBER(SEARCH("H", 'Dry_Litterbag Placem_Collection'!S94)),"YES","NO")</f>
        <v>YES</v>
      </c>
      <c r="AO93" s="267" t="str">
        <f>IF(ISNUMBER(SEARCH("R", 'Dry_Litterbag Placem_Collection'!S94)),"YES","NO")</f>
        <v>NO</v>
      </c>
    </row>
    <row r="94" spans="1:41">
      <c r="A94" s="259" t="s">
        <v>2643</v>
      </c>
      <c r="B94" s="260">
        <f>'Dry_Litterbag Placem_Collection'!A95</f>
        <v>93</v>
      </c>
      <c r="C94" s="260" t="str">
        <f>'Dry_Litterbag Placem_Collection'!B95</f>
        <v>Maswa</v>
      </c>
      <c r="D94" s="260" t="s">
        <v>2643</v>
      </c>
      <c r="E94" s="260" t="s">
        <v>2645</v>
      </c>
      <c r="F94" s="260">
        <v>4</v>
      </c>
      <c r="G94" s="260" t="s">
        <v>3814</v>
      </c>
      <c r="H94" s="261" t="str">
        <f>'Dry_Litterbag Placem_Collection'!C95</f>
        <v>Dry_W4_T5</v>
      </c>
      <c r="I94" s="262" t="s">
        <v>2525</v>
      </c>
      <c r="J94" s="263" t="s">
        <v>1147</v>
      </c>
      <c r="K94" s="260" t="str">
        <f>IF(ISBLANK('Dry_Litterbag Placem_Collection'!J95),"","G"&amp;""&amp;'Dry_Litterbag Placem_Collection'!J95)</f>
        <v>G99</v>
      </c>
      <c r="L94" s="264">
        <f>IFERROR(INDEX('Green_rooibos initial weight'!$C$5:$C$2000,MATCH(K94, 'Green_rooibos initial weight'!$A$5:$A$2000,0)),"")</f>
        <v>2.097</v>
      </c>
      <c r="M94" s="264">
        <f>IFERROR(L94-(TBIcalc!$Q$9+TBIcalc!$Q$10),"")</f>
        <v>1.8472</v>
      </c>
      <c r="N94" s="385">
        <f>AVERAGE(Ashed_controlls!$K$2:$K$11)</f>
        <v>5.5147656768714146</v>
      </c>
      <c r="O94" s="264">
        <f t="shared" si="6"/>
        <v>1.7453312484168313</v>
      </c>
      <c r="P94" s="264">
        <f>IFERROR(INDEX('Both teabags AfterDry'!$D$2:$D$2000,MATCH(K94,'Both teabags AfterDry'!$A$2:$A$2000,0)),"")</f>
        <v>1.9186000000000001</v>
      </c>
      <c r="Q94" s="264">
        <f>IFERROR(IF(P94&gt;0,P94-(TBIcalc!$Q$9),""),"")</f>
        <v>1.768</v>
      </c>
      <c r="R94" s="275">
        <f>IFERROR(INDEX('Ashed teabags dry'!$K$2:$K$2000,MATCH(K94,'Ashed teabags dry'!$A$2:$A$2000,0)),"")</f>
        <v>6.1659712563742239</v>
      </c>
      <c r="S94" s="275">
        <f t="shared" si="7"/>
        <v>1.6589856281873037</v>
      </c>
      <c r="T94" s="265">
        <f>IF('Dry_Litterbag Placem_Collection'!E95="","",'Dry_Litterbag Placem_Collection'!E95)</f>
        <v>42937</v>
      </c>
      <c r="U94" s="265">
        <f>IF('Dry_Litterbag Placem_Collection'!G95="","",'Dry_Litterbag Placem_Collection'!G95)</f>
        <v>43006</v>
      </c>
      <c r="V94" s="266">
        <f t="shared" si="5"/>
        <v>69</v>
      </c>
      <c r="W94" s="264">
        <f t="shared" si="8"/>
        <v>7.9199999999999937E-2</v>
      </c>
      <c r="X94" s="264">
        <f t="shared" si="9"/>
        <v>8.6345620229527631E-2</v>
      </c>
      <c r="Y94" s="268">
        <f>IFERROR(INDEX(Rainfall_Dry!$O$2:$O$217,MATCH(B94, Rainfall_Dry!$A$2:$A$217,0)),"")</f>
        <v>12.563016860999999</v>
      </c>
      <c r="Z94" s="257">
        <v>28.145762029394</v>
      </c>
      <c r="AA94" s="257">
        <v>25.085564727199518</v>
      </c>
      <c r="AB94" s="257">
        <v>46.768673243406489</v>
      </c>
      <c r="AC94" s="258" t="s">
        <v>2654</v>
      </c>
      <c r="AD94" s="257">
        <v>6.1716214884179399</v>
      </c>
      <c r="AE94">
        <f>IF('WetLitterbags placem_collection'!AB95="","",'WetLitterbags placem_collection'!AB95)</f>
        <v>6.6</v>
      </c>
      <c r="AF94">
        <f>IF('WetLitterbags placem_collection'!Z95="","",'WetLitterbags placem_collection'!Z95)</f>
        <v>40</v>
      </c>
      <c r="AG94" s="243" t="str">
        <f>IF('WetLitterbags placem_collection'!AA95="","",'WetLitterbags placem_collection'!AA95)</f>
        <v>O</v>
      </c>
      <c r="AH94">
        <f>IF('WetLitterbags placem_collection'!AC95="","",'WetLitterbags placem_collection'!AC95)</f>
        <v>1</v>
      </c>
      <c r="AI94">
        <f>IFERROR(AVERAGE('Dry_Litterbag Placem_Collection'!O95,'Dry_Litterbag Placem_Collection'!R95),"")</f>
        <v>10.45</v>
      </c>
      <c r="AJ94" s="268">
        <f>IFERROR(AVERAGE('Dry_Litterbag Placem_Collection'!N95,'Dry_Litterbag Placem_Collection'!Q95),"")</f>
        <v>26.4</v>
      </c>
      <c r="AK94" s="267">
        <f>INDEX(Coordinates!$B$2:$B$197,MATCH(H94,Coordinates!$J$2:$J$197,0))</f>
        <v>-3.2964789680000002</v>
      </c>
      <c r="AL94" s="267">
        <f>INDEX(Coordinates!$C$2:$C$197,MATCH(H94,Coordinates!$J$2:$J$197,0))</f>
        <v>34.854331000000002</v>
      </c>
      <c r="AM94" s="267" t="str">
        <f>IF(ISNUMBER(SEARCH("C", 'Dry_Litterbag Placem_Collection'!S95)),"YES","NO")</f>
        <v>NO</v>
      </c>
      <c r="AN94" s="267" t="str">
        <f>IF(ISNUMBER(SEARCH("H", 'Dry_Litterbag Placem_Collection'!S95)),"YES","NO")</f>
        <v>YES</v>
      </c>
      <c r="AO94" s="267" t="str">
        <f>IF(ISNUMBER(SEARCH("R", 'Dry_Litterbag Placem_Collection'!S95)),"YES","NO")</f>
        <v>NO</v>
      </c>
    </row>
    <row r="95" spans="1:41">
      <c r="A95" s="259" t="s">
        <v>2643</v>
      </c>
      <c r="B95" s="260">
        <f>'Dry_Litterbag Placem_Collection'!A96</f>
        <v>94</v>
      </c>
      <c r="C95" s="260" t="str">
        <f>'Dry_Litterbag Placem_Collection'!B96</f>
        <v>Maswa</v>
      </c>
      <c r="D95" s="260" t="s">
        <v>2643</v>
      </c>
      <c r="E95" s="260" t="s">
        <v>2645</v>
      </c>
      <c r="F95" s="260">
        <v>4</v>
      </c>
      <c r="G95" s="260" t="s">
        <v>3814</v>
      </c>
      <c r="H95" s="261" t="str">
        <f>'Dry_Litterbag Placem_Collection'!C96</f>
        <v>Dry_W4_T6</v>
      </c>
      <c r="I95" s="262" t="s">
        <v>2525</v>
      </c>
      <c r="J95" s="263" t="s">
        <v>1147</v>
      </c>
      <c r="K95" s="260" t="str">
        <f>IF(ISBLANK('Dry_Litterbag Placem_Collection'!J96),"","G"&amp;""&amp;'Dry_Litterbag Placem_Collection'!J96)</f>
        <v/>
      </c>
      <c r="L95" s="264" t="str">
        <f>IFERROR(INDEX('Green_rooibos initial weight'!$C$5:$C$2000,MATCH(K95, 'Green_rooibos initial weight'!$A$5:$A$2000,0)),"")</f>
        <v/>
      </c>
      <c r="M95" s="264" t="str">
        <f>IFERROR(L95-(TBIcalc!$Q$9+TBIcalc!$Q$10),"")</f>
        <v/>
      </c>
      <c r="N95" s="385">
        <f>AVERAGE(Ashed_controlls!$K$2:$K$11)</f>
        <v>5.5147656768714146</v>
      </c>
      <c r="O95" s="264" t="str">
        <f t="shared" si="6"/>
        <v/>
      </c>
      <c r="P95" s="264" t="str">
        <f>IFERROR(INDEX('Both teabags AfterDry'!$D$2:$D$2000,MATCH(K95,'Both teabags AfterDry'!$A$2:$A$2000,0)),"")</f>
        <v/>
      </c>
      <c r="Q95" s="264" t="str">
        <f>IFERROR(IF(P95&gt;0,P95-(TBIcalc!$Q$9),""),"")</f>
        <v/>
      </c>
      <c r="R95" s="275" t="str">
        <f>IFERROR(INDEX('Ashed teabags dry'!$K$2:$K$2000,MATCH(K95,'Ashed teabags dry'!$A$2:$A$2000,0)),"")</f>
        <v/>
      </c>
      <c r="S95" s="275" t="str">
        <f t="shared" si="7"/>
        <v/>
      </c>
      <c r="T95" s="265" t="str">
        <f>IF('Dry_Litterbag Placem_Collection'!E96="","",'Dry_Litterbag Placem_Collection'!E96)</f>
        <v/>
      </c>
      <c r="U95" s="265" t="str">
        <f>IF('Dry_Litterbag Placem_Collection'!G96="","",'Dry_Litterbag Placem_Collection'!G96)</f>
        <v/>
      </c>
      <c r="V95" s="266" t="str">
        <f t="shared" si="5"/>
        <v/>
      </c>
      <c r="W95" s="264" t="str">
        <f t="shared" si="8"/>
        <v/>
      </c>
      <c r="X95" s="264" t="str">
        <f t="shared" si="9"/>
        <v/>
      </c>
      <c r="Y95" s="268" t="str">
        <f>IFERROR(INDEX(Rainfall_Dry!$O$2:$O$217,MATCH(B95, Rainfall_Dry!$A$2:$A$217,0)),"")</f>
        <v/>
      </c>
      <c r="Z95" s="257">
        <v>28.145762029394</v>
      </c>
      <c r="AA95" s="257">
        <v>25.085564727199518</v>
      </c>
      <c r="AB95" s="257">
        <v>46.768673243406489</v>
      </c>
      <c r="AC95" s="258" t="s">
        <v>2654</v>
      </c>
      <c r="AD95" s="257">
        <v>7.1716214884179399</v>
      </c>
      <c r="AE95" t="str">
        <f>IF('WetLitterbags placem_collection'!AB96="","",'WetLitterbags placem_collection'!AB96)</f>
        <v/>
      </c>
      <c r="AF95" t="str">
        <f>IF('WetLitterbags placem_collection'!Z96="","",'WetLitterbags placem_collection'!Z96)</f>
        <v/>
      </c>
      <c r="AG95" s="243" t="str">
        <f>IF('WetLitterbags placem_collection'!AA96="","",'WetLitterbags placem_collection'!AA96)</f>
        <v/>
      </c>
      <c r="AH95" t="str">
        <f>IF('WetLitterbags placem_collection'!AC96="","",'WetLitterbags placem_collection'!AC96)</f>
        <v/>
      </c>
      <c r="AI95" t="str">
        <f>IFERROR(AVERAGE('Dry_Litterbag Placem_Collection'!O96,'Dry_Litterbag Placem_Collection'!R96),"")</f>
        <v/>
      </c>
      <c r="AJ95" s="268" t="str">
        <f>IFERROR(AVERAGE('Dry_Litterbag Placem_Collection'!N96,'Dry_Litterbag Placem_Collection'!Q96),"")</f>
        <v/>
      </c>
      <c r="AK95" s="267">
        <f>INDEX(Coordinates!$B$2:$B$197,MATCH(H95,Coordinates!$J$2:$J$197,0))</f>
        <v>-3.2964649700000002</v>
      </c>
      <c r="AL95" s="267">
        <f>INDEX(Coordinates!$C$2:$C$197,MATCH(H95,Coordinates!$J$2:$J$197,0))</f>
        <v>34.854340970000003</v>
      </c>
      <c r="AM95" s="267" t="str">
        <f>IF(ISNUMBER(SEARCH("C", 'Dry_Litterbag Placem_Collection'!S96)),"YES","NO")</f>
        <v>NO</v>
      </c>
      <c r="AN95" s="267" t="str">
        <f>IF(ISNUMBER(SEARCH("H", 'Dry_Litterbag Placem_Collection'!S96)),"YES","NO")</f>
        <v>NO</v>
      </c>
      <c r="AO95" s="267" t="str">
        <f>IF(ISNUMBER(SEARCH("R", 'Dry_Litterbag Placem_Collection'!S96)),"YES","NO")</f>
        <v>NO</v>
      </c>
    </row>
    <row r="96" spans="1:41" ht="15" customHeight="1">
      <c r="A96" s="259" t="s">
        <v>2643</v>
      </c>
      <c r="B96" s="260">
        <f>'Dry_Litterbag Placem_Collection'!A97</f>
        <v>95</v>
      </c>
      <c r="C96" s="260" t="str">
        <f>'Dry_Litterbag Placem_Collection'!B97</f>
        <v>Maswa</v>
      </c>
      <c r="D96" s="260" t="s">
        <v>2643</v>
      </c>
      <c r="E96" s="260" t="s">
        <v>2645</v>
      </c>
      <c r="F96" s="260">
        <v>4</v>
      </c>
      <c r="G96" s="260" t="s">
        <v>3814</v>
      </c>
      <c r="H96" s="261" t="str">
        <f>'Dry_Litterbag Placem_Collection'!C97</f>
        <v>Dry_W4_T7</v>
      </c>
      <c r="I96" s="262" t="s">
        <v>2525</v>
      </c>
      <c r="J96" s="263" t="s">
        <v>1147</v>
      </c>
      <c r="K96" s="260" t="str">
        <f>IF(ISBLANK('Dry_Litterbag Placem_Collection'!J97),"","G"&amp;""&amp;'Dry_Litterbag Placem_Collection'!J97)</f>
        <v>G126</v>
      </c>
      <c r="L96" s="264">
        <f>IFERROR(INDEX('Green_rooibos initial weight'!$C$5:$C$2000,MATCH(K96, 'Green_rooibos initial weight'!$A$5:$A$2000,0)),"")</f>
        <v>2.093</v>
      </c>
      <c r="M96" s="264">
        <f>IFERROR(L96-(TBIcalc!$Q$9+TBIcalc!$Q$10),"")</f>
        <v>1.8431999999999999</v>
      </c>
      <c r="N96" s="385">
        <f>AVERAGE(Ashed_controlls!$K$2:$K$11)</f>
        <v>5.5147656768714146</v>
      </c>
      <c r="O96" s="264">
        <f t="shared" si="6"/>
        <v>1.741551839043906</v>
      </c>
      <c r="P96" s="264">
        <f>IFERROR(INDEX('Both teabags AfterDry'!$D$2:$D$2000,MATCH(K96,'Both teabags AfterDry'!$A$2:$A$2000,0)),"")</f>
        <v>1.8705000000000001</v>
      </c>
      <c r="Q96" s="264">
        <f>IFERROR(IF(P96&gt;0,P96-(TBIcalc!$Q$9),""),"")</f>
        <v>1.7199</v>
      </c>
      <c r="R96" s="275">
        <f>IFERROR(INDEX('Ashed teabags dry'!$K$2:$K$2000,MATCH(K96,'Ashed teabags dry'!$A$2:$A$2000,0)),"")</f>
        <v>5.4866412213739713</v>
      </c>
      <c r="S96" s="275">
        <f t="shared" si="7"/>
        <v>1.6255352576335891</v>
      </c>
      <c r="T96" s="265">
        <f>IF('Dry_Litterbag Placem_Collection'!E97="","",'Dry_Litterbag Placem_Collection'!E97)</f>
        <v>42937</v>
      </c>
      <c r="U96" s="265">
        <f>IF('Dry_Litterbag Placem_Collection'!G97="","",'Dry_Litterbag Placem_Collection'!G97)</f>
        <v>43006</v>
      </c>
      <c r="V96" s="266">
        <f t="shared" si="5"/>
        <v>69</v>
      </c>
      <c r="W96" s="264">
        <f t="shared" si="8"/>
        <v>0.12329999999999997</v>
      </c>
      <c r="X96" s="264">
        <f t="shared" si="9"/>
        <v>0.1160165814103169</v>
      </c>
      <c r="Y96" s="268">
        <f>IFERROR(INDEX(Rainfall_Dry!$O$2:$O$217,MATCH(B96, Rainfall_Dry!$A$2:$A$217,0)),"")</f>
        <v>12.563016860999999</v>
      </c>
      <c r="Z96" s="257">
        <v>28.145762029394</v>
      </c>
      <c r="AA96" s="257">
        <v>25.085564727199518</v>
      </c>
      <c r="AB96" s="257">
        <v>46.768673243406489</v>
      </c>
      <c r="AC96" s="258" t="s">
        <v>2654</v>
      </c>
      <c r="AD96" s="257">
        <v>8.1716214884179408</v>
      </c>
      <c r="AE96">
        <f>IF('WetLitterbags placem_collection'!AB97="","",'WetLitterbags placem_collection'!AB97)</f>
        <v>5.4</v>
      </c>
      <c r="AF96">
        <f>IF('WetLitterbags placem_collection'!Z97="","",'WetLitterbags placem_collection'!Z97)</f>
        <v>15.2</v>
      </c>
      <c r="AG96" s="243" t="str">
        <f>IF('WetLitterbags placem_collection'!AA97="","",'WetLitterbags placem_collection'!AA97)</f>
        <v>O</v>
      </c>
      <c r="AH96">
        <f>IF('WetLitterbags placem_collection'!AC97="","",'WetLitterbags placem_collection'!AC97)</f>
        <v>0</v>
      </c>
      <c r="AI96">
        <f>IFERROR(AVERAGE('Dry_Litterbag Placem_Collection'!O97,'Dry_Litterbag Placem_Collection'!R97),"")</f>
        <v>8.75</v>
      </c>
      <c r="AJ96" s="268">
        <f>IFERROR(AVERAGE('Dry_Litterbag Placem_Collection'!N97,'Dry_Litterbag Placem_Collection'!Q97),"")</f>
        <v>27.35</v>
      </c>
      <c r="AK96" s="267">
        <f>INDEX(Coordinates!$B$2:$B$197,MATCH(H96,Coordinates!$J$2:$J$197,0))</f>
        <v>-3.296725983</v>
      </c>
      <c r="AL96" s="267">
        <f>INDEX(Coordinates!$C$2:$C$197,MATCH(H96,Coordinates!$J$2:$J$197,0))</f>
        <v>34.854216000000001</v>
      </c>
      <c r="AM96" s="267" t="str">
        <f>IF(ISNUMBER(SEARCH("C", 'Dry_Litterbag Placem_Collection'!S97)),"YES","NO")</f>
        <v>NO</v>
      </c>
      <c r="AN96" s="267" t="str">
        <f>IF(ISNUMBER(SEARCH("H", 'Dry_Litterbag Placem_Collection'!S97)),"YES","NO")</f>
        <v>NO</v>
      </c>
      <c r="AO96" s="267" t="str">
        <f>IF(ISNUMBER(SEARCH("R", 'Dry_Litterbag Placem_Collection'!S97)),"YES","NO")</f>
        <v>NO</v>
      </c>
    </row>
    <row r="97" spans="1:41" ht="15" customHeight="1">
      <c r="A97" s="259" t="s">
        <v>2643</v>
      </c>
      <c r="B97" s="260">
        <f>'Dry_Litterbag Placem_Collection'!A98</f>
        <v>96</v>
      </c>
      <c r="C97" s="260" t="str">
        <f>'Dry_Litterbag Placem_Collection'!B98</f>
        <v>Maswa</v>
      </c>
      <c r="D97" s="260" t="s">
        <v>2643</v>
      </c>
      <c r="E97" s="260" t="s">
        <v>2645</v>
      </c>
      <c r="F97" s="260">
        <v>4</v>
      </c>
      <c r="G97" s="260" t="s">
        <v>3814</v>
      </c>
      <c r="H97" s="261" t="str">
        <f>'Dry_Litterbag Placem_Collection'!C98</f>
        <v>Dry_W4_T8</v>
      </c>
      <c r="I97" s="262" t="s">
        <v>2525</v>
      </c>
      <c r="J97" s="263" t="s">
        <v>1147</v>
      </c>
      <c r="K97" s="260" t="str">
        <f>IF(ISBLANK('Dry_Litterbag Placem_Collection'!J98),"","G"&amp;""&amp;'Dry_Litterbag Placem_Collection'!J98)</f>
        <v>G244</v>
      </c>
      <c r="L97" s="264">
        <f>IFERROR(INDEX('Green_rooibos initial weight'!$C$5:$C$2000,MATCH(K97, 'Green_rooibos initial weight'!$A$5:$A$2000,0)),"")</f>
        <v>2.04</v>
      </c>
      <c r="M97" s="264">
        <f>IFERROR(L97-(TBIcalc!$Q$9+TBIcalc!$Q$10),"")</f>
        <v>1.7902</v>
      </c>
      <c r="N97" s="385">
        <f>AVERAGE(Ashed_controlls!$K$2:$K$11)</f>
        <v>5.5147656768714146</v>
      </c>
      <c r="O97" s="264">
        <f t="shared" si="6"/>
        <v>1.691474664852648</v>
      </c>
      <c r="P97" s="264">
        <f>IFERROR(INDEX('Both teabags AfterDry'!$D$2:$D$2000,MATCH(K97,'Both teabags AfterDry'!$A$2:$A$2000,0)),"")</f>
        <v>1.8649</v>
      </c>
      <c r="Q97" s="264">
        <f>IFERROR(IF(P97&gt;0,P97-(TBIcalc!$Q$9),""),"")</f>
        <v>1.7142999999999999</v>
      </c>
      <c r="R97" s="275">
        <f>IFERROR(INDEX('Ashed teabags dry'!$K$2:$K$2000,MATCH(K97,'Ashed teabags dry'!$A$2:$A$2000,0)),"")</f>
        <v>5.8795180722893514</v>
      </c>
      <c r="S97" s="275">
        <f t="shared" si="7"/>
        <v>1.6135074216867435</v>
      </c>
      <c r="T97" s="265">
        <f>IF('Dry_Litterbag Placem_Collection'!E98="","",'Dry_Litterbag Placem_Collection'!E98)</f>
        <v>42937</v>
      </c>
      <c r="U97" s="265">
        <f>IF('Dry_Litterbag Placem_Collection'!G98="","",'Dry_Litterbag Placem_Collection'!G98)</f>
        <v>43006</v>
      </c>
      <c r="V97" s="266">
        <f t="shared" si="5"/>
        <v>69</v>
      </c>
      <c r="W97" s="264">
        <f t="shared" si="8"/>
        <v>7.5900000000000079E-2</v>
      </c>
      <c r="X97" s="264">
        <f t="shared" si="9"/>
        <v>7.7967243165904421E-2</v>
      </c>
      <c r="Y97" s="268">
        <f>IFERROR(INDEX(Rainfall_Dry!$O$2:$O$217,MATCH(B97, Rainfall_Dry!$A$2:$A$217,0)),"")</f>
        <v>12.563016860999999</v>
      </c>
      <c r="Z97" s="257">
        <v>28.145762029394</v>
      </c>
      <c r="AA97" s="257">
        <v>25.085564727199518</v>
      </c>
      <c r="AB97" s="257">
        <v>46.768673243406489</v>
      </c>
      <c r="AC97" s="258" t="s">
        <v>2654</v>
      </c>
      <c r="AD97" s="257">
        <v>9.1716214884179408</v>
      </c>
      <c r="AE97">
        <f>IF('WetLitterbags placem_collection'!AB98="","",'WetLitterbags placem_collection'!AB98)</f>
        <v>4</v>
      </c>
      <c r="AF97">
        <f>IF('WetLitterbags placem_collection'!Z98="","",'WetLitterbags placem_collection'!Z98)</f>
        <v>34.4</v>
      </c>
      <c r="AG97" s="243" t="str">
        <f>IF('WetLitterbags placem_collection'!AA98="","",'WetLitterbags placem_collection'!AA98)</f>
        <v>O</v>
      </c>
      <c r="AH97">
        <f>IF('WetLitterbags placem_collection'!AC98="","",'WetLitterbags placem_collection'!AC98)</f>
        <v>0</v>
      </c>
      <c r="AI97">
        <f>IFERROR(AVERAGE('Dry_Litterbag Placem_Collection'!O98,'Dry_Litterbag Placem_Collection'!R98),"")</f>
        <v>5.0999999999999996</v>
      </c>
      <c r="AJ97" s="268">
        <f>IFERROR(AVERAGE('Dry_Litterbag Placem_Collection'!N98,'Dry_Litterbag Placem_Collection'!Q98),"")</f>
        <v>25.950000000000003</v>
      </c>
      <c r="AK97" s="267">
        <f>INDEX(Coordinates!$B$2:$B$197,MATCH(H97,Coordinates!$J$2:$J$197,0))</f>
        <v>-3.2968360369999998</v>
      </c>
      <c r="AL97" s="267">
        <f>INDEX(Coordinates!$C$2:$C$197,MATCH(H97,Coordinates!$J$2:$J$197,0))</f>
        <v>34.854462009999999</v>
      </c>
      <c r="AM97" s="267" t="str">
        <f>IF(ISNUMBER(SEARCH("C", 'Dry_Litterbag Placem_Collection'!S98)),"YES","NO")</f>
        <v>NO</v>
      </c>
      <c r="AN97" s="267" t="str">
        <f>IF(ISNUMBER(SEARCH("H", 'Dry_Litterbag Placem_Collection'!S98)),"YES","NO")</f>
        <v>NO</v>
      </c>
      <c r="AO97" s="267" t="str">
        <f>IF(ISNUMBER(SEARCH("R", 'Dry_Litterbag Placem_Collection'!S98)),"YES","NO")</f>
        <v>NO</v>
      </c>
    </row>
    <row r="98" spans="1:41" ht="15" customHeight="1">
      <c r="A98" s="259" t="s">
        <v>2643</v>
      </c>
      <c r="B98" s="260">
        <f>'Dry_Litterbag Placem_Collection'!A99</f>
        <v>97</v>
      </c>
      <c r="C98" s="260" t="str">
        <f>'Dry_Litterbag Placem_Collection'!B99</f>
        <v xml:space="preserve">Mwantimba
</v>
      </c>
      <c r="D98" s="260" t="s">
        <v>2454</v>
      </c>
      <c r="E98" s="260" t="s">
        <v>2644</v>
      </c>
      <c r="F98" s="260">
        <v>1</v>
      </c>
      <c r="G98" s="260" t="s">
        <v>3815</v>
      </c>
      <c r="H98" s="261" t="str">
        <f>'Dry_Litterbag Placem_Collection'!C99</f>
        <v>Wet_Ag1_T1</v>
      </c>
      <c r="I98" s="262" t="s">
        <v>2525</v>
      </c>
      <c r="J98" s="263" t="s">
        <v>1147</v>
      </c>
      <c r="K98" s="260" t="str">
        <f>IF(ISBLANK('Dry_Litterbag Placem_Collection'!J99),"","G"&amp;""&amp;'Dry_Litterbag Placem_Collection'!J99)</f>
        <v>G432</v>
      </c>
      <c r="L98" s="264">
        <f>IFERROR(INDEX('Green_rooibos initial weight'!$C$5:$C$2000,MATCH(K98, 'Green_rooibos initial weight'!$A$5:$A$2000,0)),"")</f>
        <v>2.0659999999999998</v>
      </c>
      <c r="M98" s="264">
        <f>IFERROR(L98-(TBIcalc!$Q$9+TBIcalc!$Q$10),"")</f>
        <v>1.8161999999999998</v>
      </c>
      <c r="N98" s="385">
        <f>AVERAGE(Ashed_controlls!$K$2:$K$11)</f>
        <v>5.5147656768714146</v>
      </c>
      <c r="O98" s="264">
        <f t="shared" si="6"/>
        <v>1.7160408257766613</v>
      </c>
      <c r="P98" s="264" t="str">
        <f>IFERROR(INDEX('Both teabags AfterDry'!$D$2:$D$2000,MATCH(K98,'Both teabags AfterDry'!$A$2:$A$2000,0)),"")</f>
        <v/>
      </c>
      <c r="Q98" s="264" t="str">
        <f>IFERROR(IF(P98&gt;0,P98-(TBIcalc!$Q$9),""),"")</f>
        <v/>
      </c>
      <c r="R98" s="275" t="str">
        <f>IFERROR(INDEX('Ashed teabags dry'!$K$2:$K$2000,MATCH(K98,'Ashed teabags dry'!$A$2:$A$2000,0)),"")</f>
        <v/>
      </c>
      <c r="S98" s="275" t="str">
        <f t="shared" si="7"/>
        <v/>
      </c>
      <c r="T98" s="265">
        <f>IF('Dry_Litterbag Placem_Collection'!E99="","",'Dry_Litterbag Placem_Collection'!E99)</f>
        <v>42939</v>
      </c>
      <c r="U98" s="265">
        <f>IF('Dry_Litterbag Placem_Collection'!G99="","",'Dry_Litterbag Placem_Collection'!G99)</f>
        <v>43010</v>
      </c>
      <c r="V98" s="266">
        <f t="shared" si="5"/>
        <v>71</v>
      </c>
      <c r="W98" s="264" t="str">
        <f t="shared" si="8"/>
        <v/>
      </c>
      <c r="X98" s="264" t="str">
        <f t="shared" si="9"/>
        <v/>
      </c>
      <c r="Y98" s="268">
        <f>IFERROR(INDEX(Rainfall_Dry!$O$2:$O$217,MATCH(B98, Rainfall_Dry!$A$2:$A$217,0)),"")</f>
        <v>137.19979645800001</v>
      </c>
      <c r="Z98" s="257">
        <v>45.96</v>
      </c>
      <c r="AA98" s="257">
        <v>14.920000000000003</v>
      </c>
      <c r="AB98" s="257">
        <v>39.119999999999997</v>
      </c>
      <c r="AC98" s="258" t="s">
        <v>2657</v>
      </c>
      <c r="AD98" s="257">
        <v>2.0374568753080333</v>
      </c>
      <c r="AE98">
        <f>IF('WetLitterbags placem_collection'!AB99="","",'WetLitterbags placem_collection'!AB99)</f>
        <v>2.4</v>
      </c>
      <c r="AF98">
        <f>IF('WetLitterbags placem_collection'!Z99="","",'WetLitterbags placem_collection'!Z99)</f>
        <v>8.9</v>
      </c>
      <c r="AG98" s="243" t="str">
        <f>IF('WetLitterbags placem_collection'!AA99="","",'WetLitterbags placem_collection'!AA99)</f>
        <v>G</v>
      </c>
      <c r="AH98">
        <f>IF('WetLitterbags placem_collection'!AC99="","",'WetLitterbags placem_collection'!AC99)</f>
        <v>1</v>
      </c>
      <c r="AI98">
        <f>IFERROR(AVERAGE('Dry_Litterbag Placem_Collection'!O99,'Dry_Litterbag Placem_Collection'!R99),"")</f>
        <v>6.6</v>
      </c>
      <c r="AJ98" s="268">
        <f>IFERROR(AVERAGE('Dry_Litterbag Placem_Collection'!N99,'Dry_Litterbag Placem_Collection'!Q99),"")</f>
        <v>28.5</v>
      </c>
      <c r="AK98" s="267">
        <f>INDEX(Coordinates!$B$2:$B$197,MATCH(H98,Coordinates!$J$2:$J$197,0))</f>
        <v>-2.3691620310000001</v>
      </c>
      <c r="AL98" s="267">
        <f>INDEX(Coordinates!$C$2:$C$197,MATCH(H98,Coordinates!$J$2:$J$197,0))</f>
        <v>34.06028104</v>
      </c>
      <c r="AM98" s="267" t="str">
        <f>IF(ISNUMBER(SEARCH("C", 'Dry_Litterbag Placem_Collection'!S99)),"YES","NO")</f>
        <v>YES</v>
      </c>
      <c r="AN98" s="267" t="str">
        <f>IF(ISNUMBER(SEARCH("H", 'Dry_Litterbag Placem_Collection'!S99)),"YES","NO")</f>
        <v>YES</v>
      </c>
      <c r="AO98" s="267" t="str">
        <f>IF(ISNUMBER(SEARCH("R", 'Dry_Litterbag Placem_Collection'!S99)),"YES","NO")</f>
        <v>NO</v>
      </c>
    </row>
    <row r="99" spans="1:41" ht="15" customHeight="1">
      <c r="A99" s="259" t="s">
        <v>2643</v>
      </c>
      <c r="B99" s="260">
        <f>'Dry_Litterbag Placem_Collection'!A100</f>
        <v>98</v>
      </c>
      <c r="C99" s="260" t="str">
        <f>'Dry_Litterbag Placem_Collection'!B100</f>
        <v xml:space="preserve">Mwantimba
</v>
      </c>
      <c r="D99" s="260" t="s">
        <v>2454</v>
      </c>
      <c r="E99" s="260" t="s">
        <v>2644</v>
      </c>
      <c r="F99" s="260">
        <v>1</v>
      </c>
      <c r="G99" s="260" t="s">
        <v>3815</v>
      </c>
      <c r="H99" s="261" t="str">
        <f>'Dry_Litterbag Placem_Collection'!C100</f>
        <v>Wet_Ag1_T2</v>
      </c>
      <c r="I99" s="262" t="s">
        <v>2525</v>
      </c>
      <c r="J99" s="263" t="s">
        <v>1147</v>
      </c>
      <c r="K99" s="260" t="str">
        <f>IF(ISBLANK('Dry_Litterbag Placem_Collection'!J100),"","G"&amp;""&amp;'Dry_Litterbag Placem_Collection'!J100)</f>
        <v>G184</v>
      </c>
      <c r="L99" s="264">
        <f>IFERROR(INDEX('Green_rooibos initial weight'!$C$5:$C$2000,MATCH(K99, 'Green_rooibos initial weight'!$A$5:$A$2000,0)),"")</f>
        <v>1.925</v>
      </c>
      <c r="M99" s="264">
        <f>IFERROR(L99-(TBIcalc!$Q$9+TBIcalc!$Q$10),"")</f>
        <v>1.6752</v>
      </c>
      <c r="N99" s="385">
        <f>AVERAGE(Ashed_controlls!$K$2:$K$11)</f>
        <v>5.5147656768714146</v>
      </c>
      <c r="O99" s="264">
        <f t="shared" si="6"/>
        <v>1.5828166453810502</v>
      </c>
      <c r="P99" s="264">
        <f>IFERROR(INDEX('Both teabags AfterDry'!$D$2:$D$2000,MATCH(K99,'Both teabags AfterDry'!$A$2:$A$2000,0)),"")</f>
        <v>0.99180000000000001</v>
      </c>
      <c r="Q99" s="264">
        <f>IFERROR(IF(P99&gt;0,P99-(TBIcalc!$Q$9),""),"")</f>
        <v>0.84119999999999995</v>
      </c>
      <c r="R99" s="275">
        <f>IFERROR(INDEX('Ashed teabags dry'!$K$2:$K$2000,MATCH(K99,'Ashed teabags dry'!$A$2:$A$2000,0)),"")</f>
        <v>12.153918348193013</v>
      </c>
      <c r="S99" s="275">
        <f t="shared" si="7"/>
        <v>0.73896123885500031</v>
      </c>
      <c r="T99" s="265">
        <f>IF('Dry_Litterbag Placem_Collection'!E100="","",'Dry_Litterbag Placem_Collection'!E100)</f>
        <v>42939</v>
      </c>
      <c r="U99" s="265">
        <f>IF('Dry_Litterbag Placem_Collection'!G100="","",'Dry_Litterbag Placem_Collection'!G100)</f>
        <v>43010</v>
      </c>
      <c r="V99" s="266">
        <f t="shared" si="5"/>
        <v>71</v>
      </c>
      <c r="W99" s="264">
        <f t="shared" si="8"/>
        <v>0.83400000000000007</v>
      </c>
      <c r="X99" s="264">
        <f t="shared" si="9"/>
        <v>0.84385540652604984</v>
      </c>
      <c r="Y99" s="268">
        <f>IFERROR(INDEX(Rainfall_Dry!$O$2:$O$217,MATCH(B99, Rainfall_Dry!$A$2:$A$217,0)),"")</f>
        <v>137.19979645800001</v>
      </c>
      <c r="Z99" s="257">
        <v>45.96</v>
      </c>
      <c r="AA99" s="257">
        <v>14.920000000000003</v>
      </c>
      <c r="AB99" s="257">
        <v>39.119999999999997</v>
      </c>
      <c r="AC99" s="258" t="s">
        <v>2657</v>
      </c>
      <c r="AD99" s="257">
        <v>3.0374568753080302</v>
      </c>
      <c r="AE99">
        <f>IF('WetLitterbags placem_collection'!AB100="","",'WetLitterbags placem_collection'!AB100)</f>
        <v>7.8</v>
      </c>
      <c r="AF99">
        <f>IF('WetLitterbags placem_collection'!Z100="","",'WetLitterbags placem_collection'!Z100)</f>
        <v>4.45</v>
      </c>
      <c r="AG99" s="243" t="str">
        <f>IF('WetLitterbags placem_collection'!AA100="","",'WetLitterbags placem_collection'!AA100)</f>
        <v>G</v>
      </c>
      <c r="AH99">
        <f>IF('WetLitterbags placem_collection'!AC100="","",'WetLitterbags placem_collection'!AC100)</f>
        <v>1</v>
      </c>
      <c r="AI99">
        <f>IFERROR(AVERAGE('Dry_Litterbag Placem_Collection'!O100,'Dry_Litterbag Placem_Collection'!R100),"")</f>
        <v>7.25</v>
      </c>
      <c r="AJ99" s="268">
        <f>IFERROR(AVERAGE('Dry_Litterbag Placem_Collection'!N100,'Dry_Litterbag Placem_Collection'!Q100),"")</f>
        <v>29.3</v>
      </c>
      <c r="AK99" s="267">
        <f>INDEX(Coordinates!$B$2:$B$197,MATCH(H99,Coordinates!$J$2:$J$197,0))</f>
        <v>-2.3692249790000002</v>
      </c>
      <c r="AL99" s="267">
        <f>INDEX(Coordinates!$C$2:$C$197,MATCH(H99,Coordinates!$J$2:$J$197,0))</f>
        <v>34.060285989999997</v>
      </c>
      <c r="AM99" s="267" t="str">
        <f>IF(ISNUMBER(SEARCH("C", 'Dry_Litterbag Placem_Collection'!S100)),"YES","NO")</f>
        <v>YES</v>
      </c>
      <c r="AN99" s="267" t="str">
        <f>IF(ISNUMBER(SEARCH("H", 'Dry_Litterbag Placem_Collection'!S100)),"YES","NO")</f>
        <v>YES</v>
      </c>
      <c r="AO99" s="267" t="str">
        <f>IF(ISNUMBER(SEARCH("R", 'Dry_Litterbag Placem_Collection'!S100)),"YES","NO")</f>
        <v>NO</v>
      </c>
    </row>
    <row r="100" spans="1:41" ht="15" customHeight="1">
      <c r="A100" s="259" t="s">
        <v>2643</v>
      </c>
      <c r="B100" s="260">
        <f>'Dry_Litterbag Placem_Collection'!A101</f>
        <v>99</v>
      </c>
      <c r="C100" s="260" t="str">
        <f>'Dry_Litterbag Placem_Collection'!B101</f>
        <v xml:space="preserve">Mwantimba
</v>
      </c>
      <c r="D100" s="260" t="s">
        <v>2454</v>
      </c>
      <c r="E100" s="260" t="s">
        <v>2644</v>
      </c>
      <c r="F100" s="260">
        <v>1</v>
      </c>
      <c r="G100" s="260" t="s">
        <v>3815</v>
      </c>
      <c r="H100" s="261" t="str">
        <f>'Dry_Litterbag Placem_Collection'!C101</f>
        <v>Wet_Ag1_T3</v>
      </c>
      <c r="I100" s="262" t="s">
        <v>2525</v>
      </c>
      <c r="J100" s="263" t="s">
        <v>1147</v>
      </c>
      <c r="K100" s="260" t="str">
        <f>IF(ISBLANK('Dry_Litterbag Placem_Collection'!J101),"","G"&amp;""&amp;'Dry_Litterbag Placem_Collection'!J101)</f>
        <v/>
      </c>
      <c r="L100" s="264" t="str">
        <f>IFERROR(INDEX('Green_rooibos initial weight'!$C$5:$C$2000,MATCH(K100, 'Green_rooibos initial weight'!$A$5:$A$2000,0)),"")</f>
        <v/>
      </c>
      <c r="M100" s="264" t="str">
        <f>IFERROR(L100-(TBIcalc!$Q$9+TBIcalc!$Q$10),"")</f>
        <v/>
      </c>
      <c r="N100" s="385">
        <f>AVERAGE(Ashed_controlls!$K$2:$K$11)</f>
        <v>5.5147656768714146</v>
      </c>
      <c r="O100" s="264" t="str">
        <f t="shared" si="6"/>
        <v/>
      </c>
      <c r="P100" s="264" t="str">
        <f>IFERROR(INDEX('Both teabags AfterDry'!$D$2:$D$2000,MATCH(K100,'Both teabags AfterDry'!$A$2:$A$2000,0)),"")</f>
        <v/>
      </c>
      <c r="Q100" s="264" t="str">
        <f>IFERROR(IF(P100&gt;0,P100-(TBIcalc!$Q$9),""),"")</f>
        <v/>
      </c>
      <c r="R100" s="275" t="str">
        <f>IFERROR(INDEX('Ashed teabags dry'!$K$2:$K$2000,MATCH(K100,'Ashed teabags dry'!$A$2:$A$2000,0)),"")</f>
        <v/>
      </c>
      <c r="S100" s="275" t="str">
        <f t="shared" si="7"/>
        <v/>
      </c>
      <c r="T100" s="265" t="str">
        <f>IF('Dry_Litterbag Placem_Collection'!E101="","",'Dry_Litterbag Placem_Collection'!E101)</f>
        <v/>
      </c>
      <c r="U100" s="265" t="str">
        <f>IF('Dry_Litterbag Placem_Collection'!G101="","",'Dry_Litterbag Placem_Collection'!G101)</f>
        <v/>
      </c>
      <c r="V100" s="266" t="str">
        <f t="shared" si="5"/>
        <v/>
      </c>
      <c r="W100" s="264" t="str">
        <f t="shared" si="8"/>
        <v/>
      </c>
      <c r="X100" s="264" t="str">
        <f t="shared" si="9"/>
        <v/>
      </c>
      <c r="Y100" s="268" t="str">
        <f>IFERROR(INDEX(Rainfall_Dry!$O$2:$O$217,MATCH(B100, Rainfall_Dry!$A$2:$A$217,0)),"")</f>
        <v/>
      </c>
      <c r="Z100" s="257">
        <v>45.96</v>
      </c>
      <c r="AA100" s="257">
        <v>14.920000000000003</v>
      </c>
      <c r="AB100" s="257">
        <v>39.119999999999997</v>
      </c>
      <c r="AC100" s="258" t="s">
        <v>2657</v>
      </c>
      <c r="AD100" s="257">
        <v>4.0374568753080302</v>
      </c>
      <c r="AE100">
        <f>IF('WetLitterbags placem_collection'!AB101="","",'WetLitterbags placem_collection'!AB101)</f>
        <v>5.0999999999999996</v>
      </c>
      <c r="AF100">
        <f>IF('WetLitterbags placem_collection'!Z101="","",'WetLitterbags placem_collection'!Z101)</f>
        <v>2.2999999999999998</v>
      </c>
      <c r="AG100" s="243" t="str">
        <f>IF('WetLitterbags placem_collection'!AA101="","",'WetLitterbags placem_collection'!AA101)</f>
        <v>G</v>
      </c>
      <c r="AH100">
        <f>IF('WetLitterbags placem_collection'!AC101="","",'WetLitterbags placem_collection'!AC101)</f>
        <v>0</v>
      </c>
      <c r="AI100" t="str">
        <f>IFERROR(AVERAGE('Dry_Litterbag Placem_Collection'!O101,'Dry_Litterbag Placem_Collection'!R101),"")</f>
        <v/>
      </c>
      <c r="AJ100" s="268" t="str">
        <f>IFERROR(AVERAGE('Dry_Litterbag Placem_Collection'!N101,'Dry_Litterbag Placem_Collection'!Q101),"")</f>
        <v/>
      </c>
      <c r="AK100" s="267">
        <f>INDEX(Coordinates!$B$2:$B$197,MATCH(H100,Coordinates!$J$2:$J$197,0))</f>
        <v>-2.369284993</v>
      </c>
      <c r="AL100" s="267">
        <f>INDEX(Coordinates!$C$2:$C$197,MATCH(H100,Coordinates!$J$2:$J$197,0))</f>
        <v>34.06028104</v>
      </c>
      <c r="AM100" s="267" t="str">
        <f>IF(ISNUMBER(SEARCH("C", 'Dry_Litterbag Placem_Collection'!S101)),"YES","NO")</f>
        <v>NO</v>
      </c>
      <c r="AN100" s="267" t="str">
        <f>IF(ISNUMBER(SEARCH("H", 'Dry_Litterbag Placem_Collection'!S101)),"YES","NO")</f>
        <v>NO</v>
      </c>
      <c r="AO100" s="267" t="str">
        <f>IF(ISNUMBER(SEARCH("R", 'Dry_Litterbag Placem_Collection'!S101)),"YES","NO")</f>
        <v>NO</v>
      </c>
    </row>
    <row r="101" spans="1:41" ht="15" customHeight="1">
      <c r="A101" s="259" t="s">
        <v>2643</v>
      </c>
      <c r="B101" s="260">
        <f>'Dry_Litterbag Placem_Collection'!A102</f>
        <v>100</v>
      </c>
      <c r="C101" s="260" t="str">
        <f>'Dry_Litterbag Placem_Collection'!B102</f>
        <v xml:space="preserve">Mwantimba
</v>
      </c>
      <c r="D101" s="260" t="s">
        <v>2454</v>
      </c>
      <c r="E101" s="260" t="s">
        <v>2644</v>
      </c>
      <c r="F101" s="260">
        <v>1</v>
      </c>
      <c r="G101" s="260" t="s">
        <v>3815</v>
      </c>
      <c r="H101" s="261" t="str">
        <f>'Dry_Litterbag Placem_Collection'!C102</f>
        <v>Wet_Ag1_T4</v>
      </c>
      <c r="I101" s="262" t="s">
        <v>2525</v>
      </c>
      <c r="J101" s="263" t="s">
        <v>1147</v>
      </c>
      <c r="K101" s="260" t="str">
        <f>IF(ISBLANK('Dry_Litterbag Placem_Collection'!J102),"","G"&amp;""&amp;'Dry_Litterbag Placem_Collection'!J102)</f>
        <v>G176</v>
      </c>
      <c r="L101" s="264">
        <f>IFERROR(INDEX('Green_rooibos initial weight'!$C$5:$C$2000,MATCH(K101, 'Green_rooibos initial weight'!$A$5:$A$2000,0)),"")</f>
        <v>2.0590000000000002</v>
      </c>
      <c r="M101" s="264">
        <f>IFERROR(L101-(TBIcalc!$Q$9+TBIcalc!$Q$10),"")</f>
        <v>1.8092000000000001</v>
      </c>
      <c r="N101" s="385">
        <f>AVERAGE(Ashed_controlls!$K$2:$K$11)</f>
        <v>5.5147656768714146</v>
      </c>
      <c r="O101" s="264">
        <f t="shared" si="6"/>
        <v>1.7094268593740425</v>
      </c>
      <c r="P101" s="264">
        <f>IFERROR(INDEX('Both teabags AfterDry'!$D$2:$D$2000,MATCH(K101,'Both teabags AfterDry'!$A$2:$A$2000,0)),"")</f>
        <v>1.3146</v>
      </c>
      <c r="Q101" s="264">
        <f>IFERROR(IF(P101&gt;0,P101-(TBIcalc!$Q$9),""),"")</f>
        <v>1.1639999999999999</v>
      </c>
      <c r="R101" s="275">
        <f>IFERROR(INDEX('Ashed teabags dry'!$K$2:$K$2000,MATCH(K101,'Ashed teabags dry'!$A$2:$A$2000,0)),"")</f>
        <v>14.190157668418236</v>
      </c>
      <c r="S101" s="275">
        <f t="shared" si="7"/>
        <v>0.99882656473961173</v>
      </c>
      <c r="T101" s="265">
        <f>IF('Dry_Litterbag Placem_Collection'!E102="","",'Dry_Litterbag Placem_Collection'!E102)</f>
        <v>42939</v>
      </c>
      <c r="U101" s="265">
        <f>IF('Dry_Litterbag Placem_Collection'!G102="","",'Dry_Litterbag Placem_Collection'!G102)</f>
        <v>43010</v>
      </c>
      <c r="V101" s="266">
        <f t="shared" si="5"/>
        <v>71</v>
      </c>
      <c r="W101" s="264">
        <f t="shared" si="8"/>
        <v>0.64520000000000022</v>
      </c>
      <c r="X101" s="264">
        <f t="shared" si="9"/>
        <v>0.71060029463443075</v>
      </c>
      <c r="Y101" s="268">
        <f>IFERROR(INDEX(Rainfall_Dry!$O$2:$O$217,MATCH(B101, Rainfall_Dry!$A$2:$A$217,0)),"")</f>
        <v>137.19979645800001</v>
      </c>
      <c r="Z101" s="257">
        <v>45.96</v>
      </c>
      <c r="AA101" s="257">
        <v>14.920000000000003</v>
      </c>
      <c r="AB101" s="257">
        <v>39.119999999999997</v>
      </c>
      <c r="AC101" s="258" t="s">
        <v>2657</v>
      </c>
      <c r="AD101" s="257">
        <v>5.0374568753080302</v>
      </c>
      <c r="AE101">
        <f>IF('WetLitterbags placem_collection'!AB102="","",'WetLitterbags placem_collection'!AB102)</f>
        <v>1.6</v>
      </c>
      <c r="AF101">
        <f>IF('WetLitterbags placem_collection'!Z102="","",'WetLitterbags placem_collection'!Z102)</f>
        <v>15</v>
      </c>
      <c r="AG101" s="243" t="str">
        <f>IF('WetLitterbags placem_collection'!AA102="","",'WetLitterbags placem_collection'!AA102)</f>
        <v>G</v>
      </c>
      <c r="AH101">
        <f>IF('WetLitterbags placem_collection'!AC102="","",'WetLitterbags placem_collection'!AC102)</f>
        <v>1</v>
      </c>
      <c r="AI101">
        <f>IFERROR(AVERAGE('Dry_Litterbag Placem_Collection'!O102,'Dry_Litterbag Placem_Collection'!R102),"")</f>
        <v>6.75</v>
      </c>
      <c r="AJ101" s="268">
        <f>IFERROR(AVERAGE('Dry_Litterbag Placem_Collection'!N102,'Dry_Litterbag Placem_Collection'!Q102),"")</f>
        <v>29.1</v>
      </c>
      <c r="AK101" s="267">
        <f>INDEX(Coordinates!$B$2:$B$197,MATCH(H101,Coordinates!$J$2:$J$197,0))</f>
        <v>-2.3691989950000001</v>
      </c>
      <c r="AL101" s="267">
        <f>INDEX(Coordinates!$C$2:$C$197,MATCH(H101,Coordinates!$J$2:$J$197,0))</f>
        <v>34.060208029999998</v>
      </c>
      <c r="AM101" s="267" t="str">
        <f>IF(ISNUMBER(SEARCH("C", 'Dry_Litterbag Placem_Collection'!S102)),"YES","NO")</f>
        <v>YES</v>
      </c>
      <c r="AN101" s="267" t="str">
        <f>IF(ISNUMBER(SEARCH("H", 'Dry_Litterbag Placem_Collection'!S102)),"YES","NO")</f>
        <v>YES</v>
      </c>
      <c r="AO101" s="267" t="str">
        <f>IF(ISNUMBER(SEARCH("R", 'Dry_Litterbag Placem_Collection'!S102)),"YES","NO")</f>
        <v>NO</v>
      </c>
    </row>
    <row r="102" spans="1:41" ht="15" customHeight="1">
      <c r="A102" s="259" t="s">
        <v>2643</v>
      </c>
      <c r="B102" s="260">
        <f>'Dry_Litterbag Placem_Collection'!A103</f>
        <v>101</v>
      </c>
      <c r="C102" s="260" t="str">
        <f>'Dry_Litterbag Placem_Collection'!B103</f>
        <v xml:space="preserve">Mwantimba
</v>
      </c>
      <c r="D102" s="260" t="s">
        <v>2454</v>
      </c>
      <c r="E102" s="260" t="s">
        <v>2644</v>
      </c>
      <c r="F102" s="260">
        <v>1</v>
      </c>
      <c r="G102" s="260" t="s">
        <v>3815</v>
      </c>
      <c r="H102" s="261" t="str">
        <f>'Dry_Litterbag Placem_Collection'!C103</f>
        <v>Wet_Ag1_T5</v>
      </c>
      <c r="I102" s="262" t="s">
        <v>2525</v>
      </c>
      <c r="J102" s="263" t="s">
        <v>1147</v>
      </c>
      <c r="K102" s="260" t="str">
        <f>IF(ISBLANK('Dry_Litterbag Placem_Collection'!J103),"","G"&amp;""&amp;'Dry_Litterbag Placem_Collection'!J103)</f>
        <v>G11</v>
      </c>
      <c r="L102" s="264">
        <f>IFERROR(INDEX('Green_rooibos initial weight'!$C$5:$C$2000,MATCH(K102, 'Green_rooibos initial weight'!$A$5:$A$2000,0)),"")</f>
        <v>1.839</v>
      </c>
      <c r="M102" s="264">
        <f>IFERROR(L102-(TBIcalc!$Q$9+TBIcalc!$Q$10),"")</f>
        <v>1.5891999999999999</v>
      </c>
      <c r="N102" s="385">
        <f>AVERAGE(Ashed_controlls!$K$2:$K$11)</f>
        <v>5.5147656768714146</v>
      </c>
      <c r="O102" s="264">
        <f t="shared" si="6"/>
        <v>1.5015593438631594</v>
      </c>
      <c r="P102" s="264">
        <f>IFERROR(INDEX('Both teabags AfterDry'!$D$2:$D$2000,MATCH(K102,'Both teabags AfterDry'!$A$2:$A$2000,0)),"")</f>
        <v>1.0169999999999999</v>
      </c>
      <c r="Q102" s="264">
        <f>IFERROR(IF(P102&gt;0,P102-(TBIcalc!$Q$9),""),"")</f>
        <v>0.86639999999999984</v>
      </c>
      <c r="R102" s="275">
        <f>IFERROR(INDEX('Ashed teabags dry'!$K$2:$K$2000,MATCH(K102,'Ashed teabags dry'!$A$2:$A$2000,0)),"")</f>
        <v>15.774099318403096</v>
      </c>
      <c r="S102" s="275">
        <f t="shared" si="7"/>
        <v>0.72973320350535542</v>
      </c>
      <c r="T102" s="265">
        <f>IF('Dry_Litterbag Placem_Collection'!E103="","",'Dry_Litterbag Placem_Collection'!E103)</f>
        <v>42939</v>
      </c>
      <c r="U102" s="265">
        <f>IF('Dry_Litterbag Placem_Collection'!G103="","",'Dry_Litterbag Placem_Collection'!G103)</f>
        <v>43010</v>
      </c>
      <c r="V102" s="266">
        <f t="shared" si="5"/>
        <v>71</v>
      </c>
      <c r="W102" s="264">
        <f t="shared" si="8"/>
        <v>0.72280000000000011</v>
      </c>
      <c r="X102" s="264">
        <f t="shared" si="9"/>
        <v>0.77182614035780395</v>
      </c>
      <c r="Y102" s="268">
        <f>IFERROR(INDEX(Rainfall_Dry!$O$2:$O$217,MATCH(B102, Rainfall_Dry!$A$2:$A$217,0)),"")</f>
        <v>137.19979645800001</v>
      </c>
      <c r="Z102" s="257">
        <v>45.96</v>
      </c>
      <c r="AA102" s="257">
        <v>14.920000000000003</v>
      </c>
      <c r="AB102" s="257">
        <v>39.119999999999997</v>
      </c>
      <c r="AC102" s="258" t="s">
        <v>2657</v>
      </c>
      <c r="AD102" s="257">
        <v>6.0374568753080302</v>
      </c>
      <c r="AE102">
        <f>IF('WetLitterbags placem_collection'!AB103="","",'WetLitterbags placem_collection'!AB103)</f>
        <v>4.3499999999999996</v>
      </c>
      <c r="AF102">
        <f>IF('WetLitterbags placem_collection'!Z103="","",'WetLitterbags placem_collection'!Z103)</f>
        <v>17</v>
      </c>
      <c r="AG102" s="243" t="str">
        <f>IF('WetLitterbags placem_collection'!AA103="","",'WetLitterbags placem_collection'!AA103)</f>
        <v>G</v>
      </c>
      <c r="AH102">
        <f>IF('WetLitterbags placem_collection'!AC103="","",'WetLitterbags placem_collection'!AC103)</f>
        <v>1</v>
      </c>
      <c r="AI102">
        <f>IFERROR(AVERAGE('Dry_Litterbag Placem_Collection'!O103,'Dry_Litterbag Placem_Collection'!R103),"")</f>
        <v>7.75</v>
      </c>
      <c r="AJ102" s="268">
        <f>IFERROR(AVERAGE('Dry_Litterbag Placem_Collection'!N103,'Dry_Litterbag Placem_Collection'!Q103),"")</f>
        <v>29.549999999999997</v>
      </c>
      <c r="AK102" s="267">
        <f>INDEX(Coordinates!$B$2:$B$197,MATCH(H102,Coordinates!$J$2:$J$197,0))</f>
        <v>-2.3691900260000001</v>
      </c>
      <c r="AL102" s="267">
        <f>INDEX(Coordinates!$C$2:$C$197,MATCH(H102,Coordinates!$J$2:$J$197,0))</f>
        <v>34.060177019999998</v>
      </c>
      <c r="AM102" s="267" t="str">
        <f>IF(ISNUMBER(SEARCH("C", 'Dry_Litterbag Placem_Collection'!S103)),"YES","NO")</f>
        <v>YES</v>
      </c>
      <c r="AN102" s="267" t="str">
        <f>IF(ISNUMBER(SEARCH("H", 'Dry_Litterbag Placem_Collection'!S103)),"YES","NO")</f>
        <v>NO</v>
      </c>
      <c r="AO102" s="267" t="str">
        <f>IF(ISNUMBER(SEARCH("R", 'Dry_Litterbag Placem_Collection'!S103)),"YES","NO")</f>
        <v>NO</v>
      </c>
    </row>
    <row r="103" spans="1:41" ht="15" customHeight="1">
      <c r="A103" s="259" t="s">
        <v>2643</v>
      </c>
      <c r="B103" s="260">
        <f>'Dry_Litterbag Placem_Collection'!A104</f>
        <v>102</v>
      </c>
      <c r="C103" s="260" t="str">
        <f>'Dry_Litterbag Placem_Collection'!B104</f>
        <v xml:space="preserve">Mwantimba
</v>
      </c>
      <c r="D103" s="260" t="s">
        <v>2454</v>
      </c>
      <c r="E103" s="260" t="s">
        <v>2644</v>
      </c>
      <c r="F103" s="260">
        <v>1</v>
      </c>
      <c r="G103" s="260" t="s">
        <v>3815</v>
      </c>
      <c r="H103" s="261" t="str">
        <f>'Dry_Litterbag Placem_Collection'!C104</f>
        <v>Wet_Ag1_T6</v>
      </c>
      <c r="I103" s="262" t="s">
        <v>2525</v>
      </c>
      <c r="J103" s="263" t="s">
        <v>1147</v>
      </c>
      <c r="K103" s="260" t="str">
        <f>IF(ISBLANK('Dry_Litterbag Placem_Collection'!J104),"","G"&amp;""&amp;'Dry_Litterbag Placem_Collection'!J104)</f>
        <v>G284</v>
      </c>
      <c r="L103" s="264">
        <f>IFERROR(INDEX('Green_rooibos initial weight'!$C$5:$C$2000,MATCH(K103, 'Green_rooibos initial weight'!$A$5:$A$2000,0)),"")</f>
        <v>2.0760000000000001</v>
      </c>
      <c r="M103" s="264">
        <f>IFERROR(L103-(TBIcalc!$Q$9+TBIcalc!$Q$10),"")</f>
        <v>1.8262</v>
      </c>
      <c r="N103" s="385">
        <f>AVERAGE(Ashed_controlls!$K$2:$K$11)</f>
        <v>5.5147656768714146</v>
      </c>
      <c r="O103" s="264">
        <f t="shared" si="6"/>
        <v>1.7254893492089742</v>
      </c>
      <c r="P103" s="264">
        <f>IFERROR(INDEX('Both teabags AfterDry'!$D$2:$D$2000,MATCH(K103,'Both teabags AfterDry'!$A$2:$A$2000,0)),"")</f>
        <v>1.1585000000000001</v>
      </c>
      <c r="Q103" s="264">
        <f>IFERROR(IF(P103&gt;0,P103-(TBIcalc!$Q$9),""),"")</f>
        <v>1.0079</v>
      </c>
      <c r="R103" s="275">
        <f>IFERROR(INDEX('Ashed teabags dry'!$K$2:$K$2000,MATCH(K103,'Ashed teabags dry'!$A$2:$A$2000,0)),"")</f>
        <v>12.200736648250626</v>
      </c>
      <c r="S103" s="275">
        <f t="shared" si="7"/>
        <v>0.88492877532228198</v>
      </c>
      <c r="T103" s="265">
        <f>IF('Dry_Litterbag Placem_Collection'!E104="","",'Dry_Litterbag Placem_Collection'!E104)</f>
        <v>42939</v>
      </c>
      <c r="U103" s="265">
        <f>IF('Dry_Litterbag Placem_Collection'!G104="","",'Dry_Litterbag Placem_Collection'!G104)</f>
        <v>43010</v>
      </c>
      <c r="V103" s="266">
        <f t="shared" si="5"/>
        <v>71</v>
      </c>
      <c r="W103" s="264">
        <f t="shared" si="8"/>
        <v>0.81830000000000003</v>
      </c>
      <c r="X103" s="264">
        <f t="shared" si="9"/>
        <v>0.84056057388669225</v>
      </c>
      <c r="Y103" s="268">
        <f>IFERROR(INDEX(Rainfall_Dry!$O$2:$O$217,MATCH(B103, Rainfall_Dry!$A$2:$A$217,0)),"")</f>
        <v>137.19979645800001</v>
      </c>
      <c r="Z103" s="257">
        <v>45.96</v>
      </c>
      <c r="AA103" s="257">
        <v>14.920000000000003</v>
      </c>
      <c r="AB103" s="257">
        <v>39.119999999999997</v>
      </c>
      <c r="AC103" s="258" t="s">
        <v>2657</v>
      </c>
      <c r="AD103" s="257">
        <v>7.0374568753080302</v>
      </c>
      <c r="AE103">
        <f>IF('WetLitterbags placem_collection'!AB104="","",'WetLitterbags placem_collection'!AB104)</f>
        <v>7.7</v>
      </c>
      <c r="AF103">
        <f>IF('WetLitterbags placem_collection'!Z104="","",'WetLitterbags placem_collection'!Z104)</f>
        <v>21</v>
      </c>
      <c r="AG103" s="243" t="str">
        <f>IF('WetLitterbags placem_collection'!AA104="","",'WetLitterbags placem_collection'!AA104)</f>
        <v>G</v>
      </c>
      <c r="AH103">
        <f>IF('WetLitterbags placem_collection'!AC104="","",'WetLitterbags placem_collection'!AC104)</f>
        <v>1</v>
      </c>
      <c r="AI103">
        <f>IFERROR(AVERAGE('Dry_Litterbag Placem_Collection'!O104,'Dry_Litterbag Placem_Collection'!R104),"")</f>
        <v>7.3000000000000007</v>
      </c>
      <c r="AJ103" s="268">
        <f>IFERROR(AVERAGE('Dry_Litterbag Placem_Collection'!N104,'Dry_Litterbag Placem_Collection'!Q104),"")</f>
        <v>29.05</v>
      </c>
      <c r="AK103" s="267">
        <f>INDEX(Coordinates!$B$2:$B$197,MATCH(H103,Coordinates!$J$2:$J$197,0))</f>
        <v>-2.3691350409999998</v>
      </c>
      <c r="AL103" s="267">
        <f>INDEX(Coordinates!$C$2:$C$197,MATCH(H103,Coordinates!$J$2:$J$197,0))</f>
        <v>34.06018297</v>
      </c>
      <c r="AM103" s="267" t="str">
        <f>IF(ISNUMBER(SEARCH("C", 'Dry_Litterbag Placem_Collection'!S104)),"YES","NO")</f>
        <v>YES</v>
      </c>
      <c r="AN103" s="267" t="str">
        <f>IF(ISNUMBER(SEARCH("H", 'Dry_Litterbag Placem_Collection'!S104)),"YES","NO")</f>
        <v>YES</v>
      </c>
      <c r="AO103" s="267" t="str">
        <f>IF(ISNUMBER(SEARCH("R", 'Dry_Litterbag Placem_Collection'!S104)),"YES","NO")</f>
        <v>NO</v>
      </c>
    </row>
    <row r="104" spans="1:41" ht="15" customHeight="1">
      <c r="A104" s="259" t="s">
        <v>2643</v>
      </c>
      <c r="B104" s="260">
        <f>'Dry_Litterbag Placem_Collection'!A105</f>
        <v>103</v>
      </c>
      <c r="C104" s="260" t="str">
        <f>'Dry_Litterbag Placem_Collection'!B105</f>
        <v xml:space="preserve">Mwantimba
</v>
      </c>
      <c r="D104" s="260" t="s">
        <v>2454</v>
      </c>
      <c r="E104" s="260" t="s">
        <v>2644</v>
      </c>
      <c r="F104" s="260">
        <v>1</v>
      </c>
      <c r="G104" s="260" t="s">
        <v>3815</v>
      </c>
      <c r="H104" s="261" t="str">
        <f>'Dry_Litterbag Placem_Collection'!C105</f>
        <v>Wet_Ag1_T7</v>
      </c>
      <c r="I104" s="262" t="s">
        <v>2525</v>
      </c>
      <c r="J104" s="263" t="s">
        <v>1147</v>
      </c>
      <c r="K104" s="260" t="str">
        <f>IF(ISBLANK('Dry_Litterbag Placem_Collection'!J105),"","G"&amp;""&amp;'Dry_Litterbag Placem_Collection'!J105)</f>
        <v>G326</v>
      </c>
      <c r="L104" s="264">
        <f>IFERROR(INDEX('Green_rooibos initial weight'!$C$5:$C$2000,MATCH(K104, 'Green_rooibos initial weight'!$A$5:$A$2000,0)),"")</f>
        <v>2.04</v>
      </c>
      <c r="M104" s="264">
        <f>IFERROR(L104-(TBIcalc!$Q$9+TBIcalc!$Q$10),"")</f>
        <v>1.7902</v>
      </c>
      <c r="N104" s="385">
        <f>AVERAGE(Ashed_controlls!$K$2:$K$11)</f>
        <v>5.5147656768714146</v>
      </c>
      <c r="O104" s="264">
        <f t="shared" si="6"/>
        <v>1.691474664852648</v>
      </c>
      <c r="P104" s="264">
        <f>IFERROR(INDEX('Both teabags AfterDry'!$D$2:$D$2000,MATCH(K104,'Both teabags AfterDry'!$A$2:$A$2000,0)),"")</f>
        <v>1.0625</v>
      </c>
      <c r="Q104" s="264">
        <f>IFERROR(IF(P104&gt;0,P104-(TBIcalc!$Q$9),""),"")</f>
        <v>0.91189999999999993</v>
      </c>
      <c r="R104" s="275">
        <f>IFERROR(INDEX('Ashed teabags dry'!$K$2:$K$2000,MATCH(K104,'Ashed teabags dry'!$A$2:$A$2000,0)),"")</f>
        <v>16.846473029045587</v>
      </c>
      <c r="S104" s="275">
        <f t="shared" si="7"/>
        <v>0.75827701244813328</v>
      </c>
      <c r="T104" s="265">
        <f>IF('Dry_Litterbag Placem_Collection'!E105="","",'Dry_Litterbag Placem_Collection'!E105)</f>
        <v>42939</v>
      </c>
      <c r="U104" s="265">
        <f>IF('Dry_Litterbag Placem_Collection'!G105="","",'Dry_Litterbag Placem_Collection'!G105)</f>
        <v>43010</v>
      </c>
      <c r="V104" s="266">
        <f t="shared" si="5"/>
        <v>71</v>
      </c>
      <c r="W104" s="264">
        <f t="shared" si="8"/>
        <v>0.87830000000000008</v>
      </c>
      <c r="X104" s="264">
        <f t="shared" si="9"/>
        <v>0.93319765240451469</v>
      </c>
      <c r="Y104" s="268">
        <f>IFERROR(INDEX(Rainfall_Dry!$O$2:$O$217,MATCH(B104, Rainfall_Dry!$A$2:$A$217,0)),"")</f>
        <v>137.19979645800001</v>
      </c>
      <c r="Z104" s="257">
        <v>45.96</v>
      </c>
      <c r="AA104" s="257">
        <v>14.920000000000003</v>
      </c>
      <c r="AB104" s="257">
        <v>39.119999999999997</v>
      </c>
      <c r="AC104" s="258" t="s">
        <v>2657</v>
      </c>
      <c r="AD104" s="257">
        <v>8.0374568753080293</v>
      </c>
      <c r="AE104">
        <f>IF('WetLitterbags placem_collection'!AB105="","",'WetLitterbags placem_collection'!AB105)</f>
        <v>3.25</v>
      </c>
      <c r="AF104">
        <f>IF('WetLitterbags placem_collection'!Z105="","",'WetLitterbags placem_collection'!Z105)</f>
        <v>16</v>
      </c>
      <c r="AG104" s="243" t="str">
        <f>IF('WetLitterbags placem_collection'!AA105="","",'WetLitterbags placem_collection'!AA105)</f>
        <v>G</v>
      </c>
      <c r="AH104">
        <f>IF('WetLitterbags placem_collection'!AC105="","",'WetLitterbags placem_collection'!AC105)</f>
        <v>1</v>
      </c>
      <c r="AI104">
        <f>IFERROR(AVERAGE('Dry_Litterbag Placem_Collection'!O105,'Dry_Litterbag Placem_Collection'!R105),"")</f>
        <v>30.9</v>
      </c>
      <c r="AJ104" s="268">
        <f>IFERROR(AVERAGE('Dry_Litterbag Placem_Collection'!N105,'Dry_Litterbag Placem_Collection'!Q105),"")</f>
        <v>28.799999999999997</v>
      </c>
      <c r="AK104" s="267">
        <f>INDEX(Coordinates!$B$2:$B$197,MATCH(H104,Coordinates!$J$2:$J$197,0))</f>
        <v>-2.3691330289999999</v>
      </c>
      <c r="AL104" s="267">
        <f>INDEX(Coordinates!$C$2:$C$197,MATCH(H104,Coordinates!$J$2:$J$197,0))</f>
        <v>34.060233009999997</v>
      </c>
      <c r="AM104" s="267" t="str">
        <f>IF(ISNUMBER(SEARCH("C", 'Dry_Litterbag Placem_Collection'!S105)),"YES","NO")</f>
        <v>YES</v>
      </c>
      <c r="AN104" s="267" t="str">
        <f>IF(ISNUMBER(SEARCH("H", 'Dry_Litterbag Placem_Collection'!S105)),"YES","NO")</f>
        <v>YES</v>
      </c>
      <c r="AO104" s="267" t="str">
        <f>IF(ISNUMBER(SEARCH("R", 'Dry_Litterbag Placem_Collection'!S105)),"YES","NO")</f>
        <v>NO</v>
      </c>
    </row>
    <row r="105" spans="1:41" ht="15" customHeight="1">
      <c r="A105" s="259" t="s">
        <v>2643</v>
      </c>
      <c r="B105" s="260">
        <f>'Dry_Litterbag Placem_Collection'!A106</f>
        <v>104</v>
      </c>
      <c r="C105" s="260" t="str">
        <f>'Dry_Litterbag Placem_Collection'!B106</f>
        <v xml:space="preserve">Mwantimba
</v>
      </c>
      <c r="D105" s="260" t="s">
        <v>2454</v>
      </c>
      <c r="E105" s="260" t="s">
        <v>2644</v>
      </c>
      <c r="F105" s="260">
        <v>1</v>
      </c>
      <c r="G105" s="260" t="s">
        <v>3815</v>
      </c>
      <c r="H105" s="261" t="str">
        <f>'Dry_Litterbag Placem_Collection'!C106</f>
        <v>Wet_Ag1_T8</v>
      </c>
      <c r="I105" s="262" t="s">
        <v>2525</v>
      </c>
      <c r="J105" s="263" t="s">
        <v>1147</v>
      </c>
      <c r="K105" s="260" t="str">
        <f>IF(ISBLANK('Dry_Litterbag Placem_Collection'!J106),"","G"&amp;""&amp;'Dry_Litterbag Placem_Collection'!J106)</f>
        <v>G162</v>
      </c>
      <c r="L105" s="264">
        <f>IFERROR(INDEX('Green_rooibos initial weight'!$C$5:$C$2000,MATCH(K105, 'Green_rooibos initial weight'!$A$5:$A$2000,0)),"")</f>
        <v>2.0390000000000001</v>
      </c>
      <c r="M105" s="264">
        <f>IFERROR(L105-(TBIcalc!$Q$9+TBIcalc!$Q$10),"")</f>
        <v>1.7892000000000001</v>
      </c>
      <c r="N105" s="385">
        <f>AVERAGE(Ashed_controlls!$K$2:$K$11)</f>
        <v>5.5147656768714146</v>
      </c>
      <c r="O105" s="264">
        <f t="shared" si="6"/>
        <v>1.6905298125094168</v>
      </c>
      <c r="P105" s="264">
        <f>IFERROR(INDEX('Both teabags AfterDry'!$D$2:$D$2000,MATCH(K105,'Both teabags AfterDry'!$A$2:$A$2000,0)),"")</f>
        <v>1.4899</v>
      </c>
      <c r="Q105" s="264">
        <f>IFERROR(IF(P105&gt;0,P105-(TBIcalc!$Q$9),""),"")</f>
        <v>1.3392999999999999</v>
      </c>
      <c r="R105" s="275">
        <f>IFERROR(INDEX('Ashed teabags dry'!$K$2:$K$2000,MATCH(K105,'Ashed teabags dry'!$A$2:$A$2000,0)),"")</f>
        <v>11.975524475524661</v>
      </c>
      <c r="S105" s="275">
        <f t="shared" si="7"/>
        <v>1.1789118006992982</v>
      </c>
      <c r="T105" s="265">
        <f>IF('Dry_Litterbag Placem_Collection'!E106="","",'Dry_Litterbag Placem_Collection'!E106)</f>
        <v>42939</v>
      </c>
      <c r="U105" s="265">
        <f>IF('Dry_Litterbag Placem_Collection'!G106="","",'Dry_Litterbag Placem_Collection'!G106)</f>
        <v>43010</v>
      </c>
      <c r="V105" s="266">
        <f t="shared" si="5"/>
        <v>71</v>
      </c>
      <c r="W105" s="264">
        <f t="shared" si="8"/>
        <v>0.44990000000000019</v>
      </c>
      <c r="X105" s="264">
        <f t="shared" si="9"/>
        <v>0.51161801181011857</v>
      </c>
      <c r="Y105" s="268">
        <f>IFERROR(INDEX(Rainfall_Dry!$O$2:$O$217,MATCH(B105, Rainfall_Dry!$A$2:$A$217,0)),"")</f>
        <v>137.19979645800001</v>
      </c>
      <c r="Z105" s="257">
        <v>45.96</v>
      </c>
      <c r="AA105" s="257">
        <v>14.920000000000003</v>
      </c>
      <c r="AB105" s="257">
        <v>39.119999999999997</v>
      </c>
      <c r="AC105" s="258" t="s">
        <v>2657</v>
      </c>
      <c r="AD105" s="257">
        <v>9.0374568753080293</v>
      </c>
      <c r="AE105">
        <f>IF('WetLitterbags placem_collection'!AB106="","",'WetLitterbags placem_collection'!AB106)</f>
        <v>10.5</v>
      </c>
      <c r="AF105">
        <f>IF('WetLitterbags placem_collection'!Z106="","",'WetLitterbags placem_collection'!Z106)</f>
        <v>17</v>
      </c>
      <c r="AG105" s="243" t="str">
        <f>IF('WetLitterbags placem_collection'!AA106="","",'WetLitterbags placem_collection'!AA106)</f>
        <v>G</v>
      </c>
      <c r="AH105">
        <f>IF('WetLitterbags placem_collection'!AC106="","",'WetLitterbags placem_collection'!AC106)</f>
        <v>1</v>
      </c>
      <c r="AI105">
        <f>IFERROR(AVERAGE('Dry_Litterbag Placem_Collection'!O106,'Dry_Litterbag Placem_Collection'!R106),"")</f>
        <v>9.3000000000000007</v>
      </c>
      <c r="AJ105" s="268">
        <f>IFERROR(AVERAGE('Dry_Litterbag Placem_Collection'!N106,'Dry_Litterbag Placem_Collection'!Q106),"")</f>
        <v>28.05</v>
      </c>
      <c r="AK105" s="267">
        <f>INDEX(Coordinates!$B$2:$B$197,MATCH(H105,Coordinates!$J$2:$J$197,0))</f>
        <v>-2.3692910280000001</v>
      </c>
      <c r="AL105" s="267">
        <f>INDEX(Coordinates!$C$2:$C$197,MATCH(H105,Coordinates!$J$2:$J$197,0))</f>
        <v>34.06016202</v>
      </c>
      <c r="AM105" s="267" t="str">
        <f>IF(ISNUMBER(SEARCH("C", 'Dry_Litterbag Placem_Collection'!S106)),"YES","NO")</f>
        <v>YES</v>
      </c>
      <c r="AN105" s="267" t="str">
        <f>IF(ISNUMBER(SEARCH("H", 'Dry_Litterbag Placem_Collection'!S106)),"YES","NO")</f>
        <v>NO</v>
      </c>
      <c r="AO105" s="267" t="str">
        <f>IF(ISNUMBER(SEARCH("R", 'Dry_Litterbag Placem_Collection'!S106)),"YES","NO")</f>
        <v>NO</v>
      </c>
    </row>
    <row r="106" spans="1:41" ht="15" customHeight="1">
      <c r="A106" s="259" t="s">
        <v>2643</v>
      </c>
      <c r="B106" s="260">
        <f>'Dry_Litterbag Placem_Collection'!A107</f>
        <v>105</v>
      </c>
      <c r="C106" s="260" t="str">
        <f>'Dry_Litterbag Placem_Collection'!B107</f>
        <v xml:space="preserve">Mwantimba
</v>
      </c>
      <c r="D106" s="260" t="s">
        <v>2454</v>
      </c>
      <c r="E106" s="260" t="s">
        <v>2644</v>
      </c>
      <c r="F106" s="260">
        <v>2</v>
      </c>
      <c r="G106" s="260" t="s">
        <v>3817</v>
      </c>
      <c r="H106" s="261" t="str">
        <f>'Dry_Litterbag Placem_Collection'!C107</f>
        <v>Wet_Ag2_T1</v>
      </c>
      <c r="I106" s="262" t="s">
        <v>2525</v>
      </c>
      <c r="J106" s="263" t="s">
        <v>1147</v>
      </c>
      <c r="K106" s="260" t="str">
        <f>IF(ISBLANK('Dry_Litterbag Placem_Collection'!J107),"","G"&amp;""&amp;'Dry_Litterbag Placem_Collection'!J107)</f>
        <v>G6</v>
      </c>
      <c r="L106" s="264">
        <f>IFERROR(INDEX('Green_rooibos initial weight'!$C$5:$C$2000,MATCH(K106, 'Green_rooibos initial weight'!$A$5:$A$2000,0)),"")</f>
        <v>2.016</v>
      </c>
      <c r="M106" s="264">
        <f>IFERROR(L106-(TBIcalc!$Q$9+TBIcalc!$Q$10),"")</f>
        <v>1.7662</v>
      </c>
      <c r="N106" s="385">
        <f>AVERAGE(Ashed_controlls!$K$2:$K$11)</f>
        <v>5.5147656768714146</v>
      </c>
      <c r="O106" s="264">
        <f t="shared" si="6"/>
        <v>1.668798208615097</v>
      </c>
      <c r="P106" s="264">
        <f>IFERROR(INDEX('Both teabags AfterDry'!$D$2:$D$2000,MATCH(K106,'Both teabags AfterDry'!$A$2:$A$2000,0)),"")</f>
        <v>1.1637</v>
      </c>
      <c r="Q106" s="264">
        <f>IFERROR(IF(P106&gt;0,P106-(TBIcalc!$Q$9),""),"")</f>
        <v>1.0130999999999999</v>
      </c>
      <c r="R106" s="275">
        <f>IFERROR(INDEX('Ashed teabags dry'!$K$2:$K$2000,MATCH(K106,'Ashed teabags dry'!$A$2:$A$2000,0)),"")</f>
        <v>24.114832535885235</v>
      </c>
      <c r="S106" s="275">
        <f t="shared" si="7"/>
        <v>0.76879263157894662</v>
      </c>
      <c r="T106" s="265">
        <f>IF('Dry_Litterbag Placem_Collection'!E107="","",'Dry_Litterbag Placem_Collection'!E107)</f>
        <v>42939</v>
      </c>
      <c r="U106" s="265">
        <f>IF('Dry_Litterbag Placem_Collection'!G107="","",'Dry_Litterbag Placem_Collection'!G107)</f>
        <v>43010</v>
      </c>
      <c r="V106" s="266">
        <f t="shared" si="5"/>
        <v>71</v>
      </c>
      <c r="W106" s="264">
        <f t="shared" si="8"/>
        <v>0.7531000000000001</v>
      </c>
      <c r="X106" s="264">
        <f t="shared" si="9"/>
        <v>0.90000557703615036</v>
      </c>
      <c r="Y106" s="268">
        <f>IFERROR(INDEX(Rainfall_Dry!$O$2:$O$217,MATCH(B106, Rainfall_Dry!$A$2:$A$217,0)),"")</f>
        <v>137.19979645800001</v>
      </c>
      <c r="Z106" s="257">
        <v>34.344660194174757</v>
      </c>
      <c r="AA106" s="257">
        <v>19.22727272727273</v>
      </c>
      <c r="AB106" s="257">
        <v>46.428067078552509</v>
      </c>
      <c r="AC106" s="258" t="s">
        <v>2654</v>
      </c>
      <c r="AD106" s="257">
        <v>1.7452932479053718</v>
      </c>
      <c r="AE106">
        <f>IF('WetLitterbags placem_collection'!AB107="","",'WetLitterbags placem_collection'!AB107)</f>
        <v>5.5</v>
      </c>
      <c r="AF106">
        <f>IF('WetLitterbags placem_collection'!Z107="","",'WetLitterbags placem_collection'!Z107)</f>
        <v>23.5</v>
      </c>
      <c r="AG106" s="243" t="str">
        <f>IF('WetLitterbags placem_collection'!AA107="","",'WetLitterbags placem_collection'!AA107)</f>
        <v>M</v>
      </c>
      <c r="AH106">
        <f>IF('WetLitterbags placem_collection'!AC107="","",'WetLitterbags placem_collection'!AC107)</f>
        <v>0</v>
      </c>
      <c r="AI106">
        <f>IFERROR(AVERAGE('Dry_Litterbag Placem_Collection'!O107,'Dry_Litterbag Placem_Collection'!R107),"")</f>
        <v>7.5500000000000007</v>
      </c>
      <c r="AJ106" s="268">
        <f>IFERROR(AVERAGE('Dry_Litterbag Placem_Collection'!N107,'Dry_Litterbag Placem_Collection'!Q107),"")</f>
        <v>30.549999999999997</v>
      </c>
      <c r="AK106" s="267">
        <f>INDEX(Coordinates!$B$2:$B$197,MATCH(H106,Coordinates!$J$2:$J$197,0))</f>
        <v>-2.3698080240000001</v>
      </c>
      <c r="AL106" s="267">
        <f>INDEX(Coordinates!$C$2:$C$197,MATCH(H106,Coordinates!$J$2:$J$197,0))</f>
        <v>34.059671010000002</v>
      </c>
      <c r="AM106" s="267" t="str">
        <f>IF(ISNUMBER(SEARCH("C", 'Dry_Litterbag Placem_Collection'!S107)),"YES","NO")</f>
        <v>NO</v>
      </c>
      <c r="AN106" s="267" t="str">
        <f>IF(ISNUMBER(SEARCH("H", 'Dry_Litterbag Placem_Collection'!S107)),"YES","NO")</f>
        <v>NO</v>
      </c>
      <c r="AO106" s="267" t="str">
        <f>IF(ISNUMBER(SEARCH("R", 'Dry_Litterbag Placem_Collection'!S107)),"YES","NO")</f>
        <v>NO</v>
      </c>
    </row>
    <row r="107" spans="1:41" ht="15" customHeight="1">
      <c r="A107" s="259" t="s">
        <v>2643</v>
      </c>
      <c r="B107" s="260">
        <f>'Dry_Litterbag Placem_Collection'!A108</f>
        <v>106</v>
      </c>
      <c r="C107" s="260" t="str">
        <f>'Dry_Litterbag Placem_Collection'!B108</f>
        <v xml:space="preserve">Mwantimba
</v>
      </c>
      <c r="D107" s="260" t="s">
        <v>2454</v>
      </c>
      <c r="E107" s="260" t="s">
        <v>2644</v>
      </c>
      <c r="F107" s="260">
        <v>2</v>
      </c>
      <c r="G107" s="260" t="s">
        <v>3817</v>
      </c>
      <c r="H107" s="261" t="str">
        <f>'Dry_Litterbag Placem_Collection'!C108</f>
        <v>Wet_Ag2_T2</v>
      </c>
      <c r="I107" s="262" t="s">
        <v>2525</v>
      </c>
      <c r="J107" s="263" t="s">
        <v>1147</v>
      </c>
      <c r="K107" s="260" t="str">
        <f>IF(ISBLANK('Dry_Litterbag Placem_Collection'!J108),"","G"&amp;""&amp;'Dry_Litterbag Placem_Collection'!J108)</f>
        <v>G20</v>
      </c>
      <c r="L107" s="264">
        <f>IFERROR(INDEX('Green_rooibos initial weight'!$C$5:$C$2000,MATCH(K107, 'Green_rooibos initial weight'!$A$5:$A$2000,0)),"")</f>
        <v>2.032</v>
      </c>
      <c r="M107" s="264">
        <f>IFERROR(L107-(TBIcalc!$Q$9+TBIcalc!$Q$10),"")</f>
        <v>1.7822</v>
      </c>
      <c r="N107" s="385">
        <f>AVERAGE(Ashed_controlls!$K$2:$K$11)</f>
        <v>5.5147656768714146</v>
      </c>
      <c r="O107" s="264">
        <f t="shared" si="6"/>
        <v>1.6839158461067976</v>
      </c>
      <c r="P107" s="264">
        <f>IFERROR(INDEX('Both teabags AfterDry'!$D$2:$D$2000,MATCH(K107,'Both teabags AfterDry'!$A$2:$A$2000,0)),"")</f>
        <v>1.0826</v>
      </c>
      <c r="Q107" s="264">
        <f>IFERROR(IF(P107&gt;0,P107-(TBIcalc!$Q$9),""),"")</f>
        <v>0.93199999999999994</v>
      </c>
      <c r="R107" s="275">
        <f>IFERROR(INDEX('Ashed teabags dry'!$K$2:$K$2000,MATCH(K107,'Ashed teabags dry'!$A$2:$A$2000,0)),"")</f>
        <v>11.814345991561</v>
      </c>
      <c r="S107" s="275">
        <f t="shared" si="7"/>
        <v>0.82189029535865143</v>
      </c>
      <c r="T107" s="265">
        <f>IF('Dry_Litterbag Placem_Collection'!E108="","",'Dry_Litterbag Placem_Collection'!E108)</f>
        <v>42939</v>
      </c>
      <c r="U107" s="265">
        <f>IF('Dry_Litterbag Placem_Collection'!G108="","",'Dry_Litterbag Placem_Collection'!G108)</f>
        <v>43010</v>
      </c>
      <c r="V107" s="266">
        <f t="shared" si="5"/>
        <v>71</v>
      </c>
      <c r="W107" s="264">
        <f t="shared" si="8"/>
        <v>0.85020000000000007</v>
      </c>
      <c r="X107" s="264">
        <f t="shared" si="9"/>
        <v>0.86202555074814613</v>
      </c>
      <c r="Y107" s="268">
        <f>IFERROR(INDEX(Rainfall_Dry!$O$2:$O$217,MATCH(B107, Rainfall_Dry!$A$2:$A$217,0)),"")</f>
        <v>137.19979645800001</v>
      </c>
      <c r="Z107" s="257">
        <v>34.344660194174757</v>
      </c>
      <c r="AA107" s="257">
        <v>19.22727272727273</v>
      </c>
      <c r="AB107" s="257">
        <v>46.428067078552509</v>
      </c>
      <c r="AC107" s="258" t="s">
        <v>2654</v>
      </c>
      <c r="AD107" s="257">
        <v>2.7452932479053702</v>
      </c>
      <c r="AE107">
        <f>IF('WetLitterbags placem_collection'!AB108="","",'WetLitterbags placem_collection'!AB108)</f>
        <v>8.6</v>
      </c>
      <c r="AF107">
        <f>IF('WetLitterbags placem_collection'!Z108="","",'WetLitterbags placem_collection'!Z108)</f>
        <v>17</v>
      </c>
      <c r="AG107" s="243" t="str">
        <f>IF('WetLitterbags placem_collection'!AA108="","",'WetLitterbags placem_collection'!AA108)</f>
        <v>M</v>
      </c>
      <c r="AH107">
        <f>IF('WetLitterbags placem_collection'!AC108="","",'WetLitterbags placem_collection'!AC108)</f>
        <v>0</v>
      </c>
      <c r="AI107">
        <f>IFERROR(AVERAGE('Dry_Litterbag Placem_Collection'!O108,'Dry_Litterbag Placem_Collection'!R108),"")</f>
        <v>6.1</v>
      </c>
      <c r="AJ107" s="268">
        <f>IFERROR(AVERAGE('Dry_Litterbag Placem_Collection'!N108,'Dry_Litterbag Placem_Collection'!Q108),"")</f>
        <v>31.3</v>
      </c>
      <c r="AK107" s="267">
        <f>INDEX(Coordinates!$B$2:$B$197,MATCH(H107,Coordinates!$J$2:$J$197,0))</f>
        <v>-2.3697620069999998</v>
      </c>
      <c r="AL107" s="267">
        <f>INDEX(Coordinates!$C$2:$C$197,MATCH(H107,Coordinates!$J$2:$J$197,0))</f>
        <v>34.059730010000003</v>
      </c>
      <c r="AM107" s="267" t="str">
        <f>IF(ISNUMBER(SEARCH("C", 'Dry_Litterbag Placem_Collection'!S108)),"YES","NO")</f>
        <v>NO</v>
      </c>
      <c r="AN107" s="267" t="str">
        <f>IF(ISNUMBER(SEARCH("H", 'Dry_Litterbag Placem_Collection'!S108)),"YES","NO")</f>
        <v>YES</v>
      </c>
      <c r="AO107" s="267" t="str">
        <f>IF(ISNUMBER(SEARCH("R", 'Dry_Litterbag Placem_Collection'!S108)),"YES","NO")</f>
        <v>NO</v>
      </c>
    </row>
    <row r="108" spans="1:41" ht="15" customHeight="1">
      <c r="A108" s="259" t="s">
        <v>2643</v>
      </c>
      <c r="B108" s="260">
        <f>'Dry_Litterbag Placem_Collection'!A109</f>
        <v>107</v>
      </c>
      <c r="C108" s="260" t="str">
        <f>'Dry_Litterbag Placem_Collection'!B109</f>
        <v xml:space="preserve">Mwantimba
</v>
      </c>
      <c r="D108" s="260" t="s">
        <v>2454</v>
      </c>
      <c r="E108" s="260" t="s">
        <v>2644</v>
      </c>
      <c r="F108" s="260">
        <v>2</v>
      </c>
      <c r="G108" s="260" t="s">
        <v>3817</v>
      </c>
      <c r="H108" s="261" t="str">
        <f>'Dry_Litterbag Placem_Collection'!C109</f>
        <v>Wet_Ag2_T3</v>
      </c>
      <c r="I108" s="262" t="s">
        <v>2525</v>
      </c>
      <c r="J108" s="263" t="s">
        <v>1147</v>
      </c>
      <c r="K108" s="260" t="str">
        <f>IF(ISBLANK('Dry_Litterbag Placem_Collection'!J109),"","G"&amp;""&amp;'Dry_Litterbag Placem_Collection'!J109)</f>
        <v>G129</v>
      </c>
      <c r="L108" s="264">
        <f>IFERROR(INDEX('Green_rooibos initial weight'!$C$5:$C$2000,MATCH(K108, 'Green_rooibos initial weight'!$A$5:$A$2000,0)),"")</f>
        <v>1.9630000000000001</v>
      </c>
      <c r="M108" s="264">
        <f>IFERROR(L108-(TBIcalc!$Q$9+TBIcalc!$Q$10),"")</f>
        <v>1.7132000000000001</v>
      </c>
      <c r="N108" s="385">
        <f>AVERAGE(Ashed_controlls!$K$2:$K$11)</f>
        <v>5.5147656768714146</v>
      </c>
      <c r="O108" s="264">
        <f t="shared" si="6"/>
        <v>1.618721034423839</v>
      </c>
      <c r="P108" s="264" t="str">
        <f>IFERROR(INDEX('Both teabags AfterDry'!$D$2:$D$2000,MATCH(K108,'Both teabags AfterDry'!$A$2:$A$2000,0)),"")</f>
        <v/>
      </c>
      <c r="Q108" s="264" t="str">
        <f>IFERROR(IF(P108&gt;0,P108-(TBIcalc!$Q$9),""),"")</f>
        <v/>
      </c>
      <c r="R108" s="275" t="str">
        <f>IFERROR(INDEX('Ashed teabags dry'!$K$2:$K$2000,MATCH(K108,'Ashed teabags dry'!$A$2:$A$2000,0)),"")</f>
        <v/>
      </c>
      <c r="S108" s="275" t="str">
        <f t="shared" si="7"/>
        <v/>
      </c>
      <c r="T108" s="265">
        <f>IF('Dry_Litterbag Placem_Collection'!E109="","",'Dry_Litterbag Placem_Collection'!E109)</f>
        <v>42939</v>
      </c>
      <c r="U108" s="265">
        <f>IF('Dry_Litterbag Placem_Collection'!G109="","",'Dry_Litterbag Placem_Collection'!G109)</f>
        <v>43010</v>
      </c>
      <c r="V108" s="266">
        <f t="shared" si="5"/>
        <v>71</v>
      </c>
      <c r="W108" s="264" t="str">
        <f t="shared" si="8"/>
        <v/>
      </c>
      <c r="X108" s="264" t="str">
        <f t="shared" si="9"/>
        <v/>
      </c>
      <c r="Y108" s="268">
        <f>IFERROR(INDEX(Rainfall_Dry!$O$2:$O$217,MATCH(B108, Rainfall_Dry!$A$2:$A$217,0)),"")</f>
        <v>137.19979645800001</v>
      </c>
      <c r="Z108" s="257">
        <v>34.344660194174757</v>
      </c>
      <c r="AA108" s="257">
        <v>19.22727272727273</v>
      </c>
      <c r="AB108" s="257">
        <v>46.428067078552509</v>
      </c>
      <c r="AC108" s="258" t="s">
        <v>2654</v>
      </c>
      <c r="AD108" s="257">
        <v>3.7452932479053702</v>
      </c>
      <c r="AE108">
        <f>IF('WetLitterbags placem_collection'!AB109="","",'WetLitterbags placem_collection'!AB109)</f>
        <v>3.85</v>
      </c>
      <c r="AF108">
        <f>IF('WetLitterbags placem_collection'!Z109="","",'WetLitterbags placem_collection'!Z109)</f>
        <v>15.5</v>
      </c>
      <c r="AG108" s="243" t="str">
        <f>IF('WetLitterbags placem_collection'!AA109="","",'WetLitterbags placem_collection'!AA109)</f>
        <v>M</v>
      </c>
      <c r="AH108">
        <f>IF('WetLitterbags placem_collection'!AC109="","",'WetLitterbags placem_collection'!AC109)</f>
        <v>0</v>
      </c>
      <c r="AI108">
        <f>IFERROR(AVERAGE('Dry_Litterbag Placem_Collection'!O109,'Dry_Litterbag Placem_Collection'!R109),"")</f>
        <v>5.3</v>
      </c>
      <c r="AJ108" s="268">
        <f>IFERROR(AVERAGE('Dry_Litterbag Placem_Collection'!N109,'Dry_Litterbag Placem_Collection'!Q109),"")</f>
        <v>30.200000000000003</v>
      </c>
      <c r="AK108" s="267">
        <f>INDEX(Coordinates!$B$2:$B$197,MATCH(H108,Coordinates!$J$2:$J$197,0))</f>
        <v>-2.3698409649999999</v>
      </c>
      <c r="AL108" s="267">
        <f>INDEX(Coordinates!$C$2:$C$197,MATCH(H108,Coordinates!$J$2:$J$197,0))</f>
        <v>34.059814000000003</v>
      </c>
      <c r="AM108" s="267" t="str">
        <f>IF(ISNUMBER(SEARCH("C", 'Dry_Litterbag Placem_Collection'!S109)),"YES","NO")</f>
        <v>YES</v>
      </c>
      <c r="AN108" s="267" t="str">
        <f>IF(ISNUMBER(SEARCH("H", 'Dry_Litterbag Placem_Collection'!S109)),"YES","NO")</f>
        <v>YES</v>
      </c>
      <c r="AO108" s="267" t="str">
        <f>IF(ISNUMBER(SEARCH("R", 'Dry_Litterbag Placem_Collection'!S109)),"YES","NO")</f>
        <v>NO</v>
      </c>
    </row>
    <row r="109" spans="1:41" ht="15" customHeight="1">
      <c r="A109" s="259" t="s">
        <v>2643</v>
      </c>
      <c r="B109" s="260">
        <f>'Dry_Litterbag Placem_Collection'!A110</f>
        <v>108</v>
      </c>
      <c r="C109" s="260" t="str">
        <f>'Dry_Litterbag Placem_Collection'!B110</f>
        <v xml:space="preserve">Mwantimba
</v>
      </c>
      <c r="D109" s="260" t="s">
        <v>2454</v>
      </c>
      <c r="E109" s="260" t="s">
        <v>2644</v>
      </c>
      <c r="F109" s="260">
        <v>2</v>
      </c>
      <c r="G109" s="260" t="s">
        <v>3817</v>
      </c>
      <c r="H109" s="261" t="str">
        <f>'Dry_Litterbag Placem_Collection'!C110</f>
        <v>Wet_Ag2_T4</v>
      </c>
      <c r="I109" s="262" t="s">
        <v>2525</v>
      </c>
      <c r="J109" s="263" t="s">
        <v>1147</v>
      </c>
      <c r="K109" s="260" t="str">
        <f>IF(ISBLANK('Dry_Litterbag Placem_Collection'!J110),"","G"&amp;""&amp;'Dry_Litterbag Placem_Collection'!J110)</f>
        <v>G258</v>
      </c>
      <c r="L109" s="264">
        <f>IFERROR(INDEX('Green_rooibos initial weight'!$C$5:$C$2000,MATCH(K109, 'Green_rooibos initial weight'!$A$5:$A$2000,0)),"")</f>
        <v>2.1280000000000001</v>
      </c>
      <c r="M109" s="264">
        <f>IFERROR(L109-(TBIcalc!$Q$9+TBIcalc!$Q$10),"")</f>
        <v>1.8782000000000001</v>
      </c>
      <c r="N109" s="385">
        <f>AVERAGE(Ashed_controlls!$K$2:$K$11)</f>
        <v>5.5147656768714146</v>
      </c>
      <c r="O109" s="264">
        <f t="shared" si="6"/>
        <v>1.7746216710570011</v>
      </c>
      <c r="P109" s="264">
        <f>IFERROR(INDEX('Both teabags AfterDry'!$D$2:$D$2000,MATCH(K109,'Both teabags AfterDry'!$A$2:$A$2000,0)),"")</f>
        <v>0.92730000000000001</v>
      </c>
      <c r="Q109" s="264">
        <f>IFERROR(IF(P109&gt;0,P109-(TBIcalc!$Q$9),""),"")</f>
        <v>0.77669999999999995</v>
      </c>
      <c r="R109" s="275">
        <f>IFERROR(INDEX('Ashed teabags dry'!$K$2:$K$2000,MATCH(K109,'Ashed teabags dry'!$A$2:$A$2000,0)),"")</f>
        <v>20.211233797408489</v>
      </c>
      <c r="S109" s="275">
        <f t="shared" si="7"/>
        <v>0.61971934709552823</v>
      </c>
      <c r="T109" s="265">
        <f>IF('Dry_Litterbag Placem_Collection'!E110="","",'Dry_Litterbag Placem_Collection'!E110)</f>
        <v>42939</v>
      </c>
      <c r="U109" s="265">
        <f>IF('Dry_Litterbag Placem_Collection'!G110="","",'Dry_Litterbag Placem_Collection'!G110)</f>
        <v>43010</v>
      </c>
      <c r="V109" s="266">
        <f t="shared" si="5"/>
        <v>71</v>
      </c>
      <c r="W109" s="264">
        <f t="shared" si="8"/>
        <v>1.1015000000000001</v>
      </c>
      <c r="X109" s="264">
        <f t="shared" si="9"/>
        <v>1.1549023239614729</v>
      </c>
      <c r="Y109" s="268">
        <f>IFERROR(INDEX(Rainfall_Dry!$O$2:$O$217,MATCH(B109, Rainfall_Dry!$A$2:$A$217,0)),"")</f>
        <v>137.19979645800001</v>
      </c>
      <c r="Z109" s="257">
        <v>34.344660194174757</v>
      </c>
      <c r="AA109" s="257">
        <v>19.22727272727273</v>
      </c>
      <c r="AB109" s="257">
        <v>46.428067078552509</v>
      </c>
      <c r="AC109" s="258" t="s">
        <v>2654</v>
      </c>
      <c r="AD109" s="257">
        <v>4.7452932479053702</v>
      </c>
      <c r="AE109">
        <f>IF('WetLitterbags placem_collection'!AB110="","",'WetLitterbags placem_collection'!AB110)</f>
        <v>9.6999999999999993</v>
      </c>
      <c r="AF109">
        <f>IF('WetLitterbags placem_collection'!Z110="","",'WetLitterbags placem_collection'!Z110)</f>
        <v>22.5</v>
      </c>
      <c r="AG109" s="243" t="str">
        <f>IF('WetLitterbags placem_collection'!AA110="","",'WetLitterbags placem_collection'!AA110)</f>
        <v>M</v>
      </c>
      <c r="AH109">
        <f>IF('WetLitterbags placem_collection'!AC110="","",'WetLitterbags placem_collection'!AC110)</f>
        <v>0</v>
      </c>
      <c r="AI109">
        <f>IFERROR(AVERAGE('Dry_Litterbag Placem_Collection'!O110,'Dry_Litterbag Placem_Collection'!R110),"")</f>
        <v>7.65</v>
      </c>
      <c r="AJ109" s="268">
        <f>IFERROR(AVERAGE('Dry_Litterbag Placem_Collection'!N110,'Dry_Litterbag Placem_Collection'!Q110),"")</f>
        <v>31.8</v>
      </c>
      <c r="AK109" s="267">
        <f>INDEX(Coordinates!$B$2:$B$197,MATCH(H109,Coordinates!$J$2:$J$197,0))</f>
        <v>-2.3698620030000002</v>
      </c>
      <c r="AL109" s="267">
        <f>INDEX(Coordinates!$C$2:$C$197,MATCH(H109,Coordinates!$J$2:$J$197,0))</f>
        <v>34.059759020000001</v>
      </c>
      <c r="AM109" s="267" t="str">
        <f>IF(ISNUMBER(SEARCH("C", 'Dry_Litterbag Placem_Collection'!S110)),"YES","NO")</f>
        <v>YES</v>
      </c>
      <c r="AN109" s="267" t="str">
        <f>IF(ISNUMBER(SEARCH("H", 'Dry_Litterbag Placem_Collection'!S110)),"YES","NO")</f>
        <v>NO</v>
      </c>
      <c r="AO109" s="267" t="str">
        <f>IF(ISNUMBER(SEARCH("R", 'Dry_Litterbag Placem_Collection'!S110)),"YES","NO")</f>
        <v>NO</v>
      </c>
    </row>
    <row r="110" spans="1:41" ht="15" customHeight="1">
      <c r="A110" s="259" t="s">
        <v>2643</v>
      </c>
      <c r="B110" s="260">
        <f>'Dry_Litterbag Placem_Collection'!A111</f>
        <v>109</v>
      </c>
      <c r="C110" s="260" t="str">
        <f>'Dry_Litterbag Placem_Collection'!B111</f>
        <v xml:space="preserve">Mwantimba
</v>
      </c>
      <c r="D110" s="260" t="s">
        <v>2454</v>
      </c>
      <c r="E110" s="260" t="s">
        <v>2644</v>
      </c>
      <c r="F110" s="260">
        <v>2</v>
      </c>
      <c r="G110" s="260" t="s">
        <v>3817</v>
      </c>
      <c r="H110" s="261" t="str">
        <f>'Dry_Litterbag Placem_Collection'!C111</f>
        <v>Wet_Ag2_T5</v>
      </c>
      <c r="I110" s="262" t="s">
        <v>2525</v>
      </c>
      <c r="J110" s="263" t="s">
        <v>1147</v>
      </c>
      <c r="K110" s="260" t="str">
        <f>IF(ISBLANK('Dry_Litterbag Placem_Collection'!J111),"","G"&amp;""&amp;'Dry_Litterbag Placem_Collection'!J111)</f>
        <v>G294</v>
      </c>
      <c r="L110" s="264">
        <f>IFERROR(INDEX('Green_rooibos initial weight'!$C$5:$C$2000,MATCH(K110, 'Green_rooibos initial weight'!$A$5:$A$2000,0)),"")</f>
        <v>1.994</v>
      </c>
      <c r="M110" s="264">
        <f>IFERROR(L110-(TBIcalc!$Q$9+TBIcalc!$Q$10),"")</f>
        <v>1.7442</v>
      </c>
      <c r="N110" s="385">
        <f>AVERAGE(Ashed_controlls!$K$2:$K$11)</f>
        <v>5.5147656768714146</v>
      </c>
      <c r="O110" s="264">
        <f t="shared" si="6"/>
        <v>1.6480114570640088</v>
      </c>
      <c r="P110" s="264">
        <f>IFERROR(INDEX('Both teabags AfterDry'!$D$2:$D$2000,MATCH(K110,'Both teabags AfterDry'!$A$2:$A$2000,0)),"")</f>
        <v>0.93010000000000004</v>
      </c>
      <c r="Q110" s="264">
        <f>IFERROR(IF(P110&gt;0,P110-(TBIcalc!$Q$9),""),"")</f>
        <v>0.77950000000000008</v>
      </c>
      <c r="R110" s="275">
        <f>IFERROR(INDEX('Ashed teabags dry'!$K$2:$K$2000,MATCH(K110,'Ashed teabags dry'!$A$2:$A$2000,0)),"")</f>
        <v>29.671832269827163</v>
      </c>
      <c r="S110" s="275">
        <f t="shared" si="7"/>
        <v>0.54820806745669737</v>
      </c>
      <c r="T110" s="265">
        <f>IF('Dry_Litterbag Placem_Collection'!E111="","",'Dry_Litterbag Placem_Collection'!E111)</f>
        <v>42939</v>
      </c>
      <c r="U110" s="265">
        <f>IF('Dry_Litterbag Placem_Collection'!G111="","",'Dry_Litterbag Placem_Collection'!G111)</f>
        <v>43010</v>
      </c>
      <c r="V110" s="266">
        <f t="shared" si="5"/>
        <v>71</v>
      </c>
      <c r="W110" s="264">
        <f t="shared" si="8"/>
        <v>0.96469999999999989</v>
      </c>
      <c r="X110" s="264">
        <f t="shared" si="9"/>
        <v>1.0998033896073114</v>
      </c>
      <c r="Y110" s="268">
        <f>IFERROR(INDEX(Rainfall_Dry!$O$2:$O$217,MATCH(B110, Rainfall_Dry!$A$2:$A$217,0)),"")</f>
        <v>137.19979645800001</v>
      </c>
      <c r="Z110" s="257">
        <v>34.344660194174757</v>
      </c>
      <c r="AA110" s="257">
        <v>19.22727272727273</v>
      </c>
      <c r="AB110" s="257">
        <v>46.428067078552509</v>
      </c>
      <c r="AC110" s="258" t="s">
        <v>2654</v>
      </c>
      <c r="AD110" s="257">
        <v>5.7452932479053702</v>
      </c>
      <c r="AE110">
        <f>IF('WetLitterbags placem_collection'!AB111="","",'WetLitterbags placem_collection'!AB111)</f>
        <v>10.5</v>
      </c>
      <c r="AF110">
        <f>IF('WetLitterbags placem_collection'!Z111="","",'WetLitterbags placem_collection'!Z111)</f>
        <v>22.5</v>
      </c>
      <c r="AG110" s="243" t="str">
        <f>IF('WetLitterbags placem_collection'!AA111="","",'WetLitterbags placem_collection'!AA111)</f>
        <v>M</v>
      </c>
      <c r="AH110">
        <f>IF('WetLitterbags placem_collection'!AC111="","",'WetLitterbags placem_collection'!AC111)</f>
        <v>0</v>
      </c>
      <c r="AI110">
        <f>IFERROR(AVERAGE('Dry_Litterbag Placem_Collection'!O111,'Dry_Litterbag Placem_Collection'!R111),"")</f>
        <v>7.5</v>
      </c>
      <c r="AJ110" s="268">
        <f>IFERROR(AVERAGE('Dry_Litterbag Placem_Collection'!N111,'Dry_Litterbag Placem_Collection'!Q111),"")</f>
        <v>30.65</v>
      </c>
      <c r="AK110" s="267">
        <f>INDEX(Coordinates!$B$2:$B$197,MATCH(H110,Coordinates!$J$2:$J$197,0))</f>
        <v>-2.3698390370000002</v>
      </c>
      <c r="AL110" s="267">
        <f>INDEX(Coordinates!$C$2:$C$197,MATCH(H110,Coordinates!$J$2:$J$197,0))</f>
        <v>34.059714</v>
      </c>
      <c r="AM110" s="267" t="str">
        <f>IF(ISNUMBER(SEARCH("C", 'Dry_Litterbag Placem_Collection'!S111)),"YES","NO")</f>
        <v>NO</v>
      </c>
      <c r="AN110" s="267" t="str">
        <f>IF(ISNUMBER(SEARCH("H", 'Dry_Litterbag Placem_Collection'!S111)),"YES","NO")</f>
        <v>NO</v>
      </c>
      <c r="AO110" s="267" t="str">
        <f>IF(ISNUMBER(SEARCH("R", 'Dry_Litterbag Placem_Collection'!S111)),"YES","NO")</f>
        <v>NO</v>
      </c>
    </row>
    <row r="111" spans="1:41" ht="15" customHeight="1">
      <c r="A111" s="259" t="s">
        <v>2643</v>
      </c>
      <c r="B111" s="260">
        <f>'Dry_Litterbag Placem_Collection'!A112</f>
        <v>110</v>
      </c>
      <c r="C111" s="260" t="str">
        <f>'Dry_Litterbag Placem_Collection'!B112</f>
        <v xml:space="preserve">Mwantimba
</v>
      </c>
      <c r="D111" s="260" t="s">
        <v>2454</v>
      </c>
      <c r="E111" s="260" t="s">
        <v>2644</v>
      </c>
      <c r="F111" s="260">
        <v>2</v>
      </c>
      <c r="G111" s="260" t="s">
        <v>3817</v>
      </c>
      <c r="H111" s="261" t="str">
        <f>'Dry_Litterbag Placem_Collection'!C112</f>
        <v>Wet_Ag2_T6</v>
      </c>
      <c r="I111" s="262" t="s">
        <v>2525</v>
      </c>
      <c r="J111" s="263" t="s">
        <v>1147</v>
      </c>
      <c r="K111" s="260" t="str">
        <f>IF(ISBLANK('Dry_Litterbag Placem_Collection'!J112),"","G"&amp;""&amp;'Dry_Litterbag Placem_Collection'!J112)</f>
        <v>G350</v>
      </c>
      <c r="L111" s="264">
        <f>IFERROR(INDEX('Green_rooibos initial weight'!$C$5:$C$2000,MATCH(K111, 'Green_rooibos initial weight'!$A$5:$A$2000,0)),"")</f>
        <v>2.0640000000000001</v>
      </c>
      <c r="M111" s="264">
        <f>IFERROR(L111-(TBIcalc!$Q$9+TBIcalc!$Q$10),"")</f>
        <v>1.8142</v>
      </c>
      <c r="N111" s="385">
        <f>AVERAGE(Ashed_controlls!$K$2:$K$11)</f>
        <v>5.5147656768714146</v>
      </c>
      <c r="O111" s="264">
        <f t="shared" si="6"/>
        <v>1.7141511210901987</v>
      </c>
      <c r="P111" s="264">
        <f>IFERROR(INDEX('Both teabags AfterDry'!$D$2:$D$2000,MATCH(K111,'Both teabags AfterDry'!$A$2:$A$2000,0)),"")</f>
        <v>0.95640000000000003</v>
      </c>
      <c r="Q111" s="264">
        <f>IFERROR(IF(P111&gt;0,P111-(TBIcalc!$Q$9),""),"")</f>
        <v>0.80580000000000007</v>
      </c>
      <c r="R111" s="275">
        <f>IFERROR(INDEX('Ashed teabags dry'!$K$2:$K$2000,MATCH(K111,'Ashed teabags dry'!$A$2:$A$2000,0)),"")</f>
        <v>19.624497094323072</v>
      </c>
      <c r="S111" s="275">
        <f t="shared" si="7"/>
        <v>0.64766580241394478</v>
      </c>
      <c r="T111" s="265">
        <f>IF('Dry_Litterbag Placem_Collection'!E112="","",'Dry_Litterbag Placem_Collection'!E112)</f>
        <v>42939</v>
      </c>
      <c r="U111" s="265">
        <f>IF('Dry_Litterbag Placem_Collection'!G112="","",'Dry_Litterbag Placem_Collection'!G112)</f>
        <v>43010</v>
      </c>
      <c r="V111" s="266">
        <f t="shared" si="5"/>
        <v>71</v>
      </c>
      <c r="W111" s="264">
        <f t="shared" si="8"/>
        <v>1.0084</v>
      </c>
      <c r="X111" s="264">
        <f t="shared" si="9"/>
        <v>1.066485318676254</v>
      </c>
      <c r="Y111" s="268">
        <f>IFERROR(INDEX(Rainfall_Dry!$O$2:$O$217,MATCH(B111, Rainfall_Dry!$A$2:$A$217,0)),"")</f>
        <v>137.19979645800001</v>
      </c>
      <c r="Z111" s="257">
        <v>34.344660194174757</v>
      </c>
      <c r="AA111" s="257">
        <v>19.22727272727273</v>
      </c>
      <c r="AB111" s="257">
        <v>46.428067078552509</v>
      </c>
      <c r="AC111" s="258" t="s">
        <v>2654</v>
      </c>
      <c r="AD111" s="257">
        <v>6.7452932479053702</v>
      </c>
      <c r="AE111">
        <f>IF('WetLitterbags placem_collection'!AB112="","",'WetLitterbags placem_collection'!AB112)</f>
        <v>5.75</v>
      </c>
      <c r="AF111">
        <f>IF('WetLitterbags placem_collection'!Z112="","",'WetLitterbags placem_collection'!Z112)</f>
        <v>22.5</v>
      </c>
      <c r="AG111" s="243" t="str">
        <f>IF('WetLitterbags placem_collection'!AA112="","",'WetLitterbags placem_collection'!AA112)</f>
        <v>M</v>
      </c>
      <c r="AH111">
        <f>IF('WetLitterbags placem_collection'!AC112="","",'WetLitterbags placem_collection'!AC112)</f>
        <v>0</v>
      </c>
      <c r="AI111">
        <f>IFERROR(AVERAGE('Dry_Litterbag Placem_Collection'!O112,'Dry_Litterbag Placem_Collection'!R112),"")</f>
        <v>7.3500000000000005</v>
      </c>
      <c r="AJ111" s="268">
        <f>IFERROR(AVERAGE('Dry_Litterbag Placem_Collection'!N112,'Dry_Litterbag Placem_Collection'!Q112),"")</f>
        <v>31.150000000000002</v>
      </c>
      <c r="AK111" s="267">
        <f>INDEX(Coordinates!$B$2:$B$197,MATCH(H111,Coordinates!$J$2:$J$197,0))</f>
        <v>-2.3697549659999999</v>
      </c>
      <c r="AL111" s="267">
        <f>INDEX(Coordinates!$C$2:$C$197,MATCH(H111,Coordinates!$J$2:$J$197,0))</f>
        <v>34.059668989999999</v>
      </c>
      <c r="AM111" s="267" t="str">
        <f>IF(ISNUMBER(SEARCH("C", 'Dry_Litterbag Placem_Collection'!S112)),"YES","NO")</f>
        <v>YES</v>
      </c>
      <c r="AN111" s="267" t="str">
        <f>IF(ISNUMBER(SEARCH("H", 'Dry_Litterbag Placem_Collection'!S112)),"YES","NO")</f>
        <v>YES</v>
      </c>
      <c r="AO111" s="267" t="str">
        <f>IF(ISNUMBER(SEARCH("R", 'Dry_Litterbag Placem_Collection'!S112)),"YES","NO")</f>
        <v>NO</v>
      </c>
    </row>
    <row r="112" spans="1:41" ht="15" customHeight="1">
      <c r="A112" s="259" t="s">
        <v>2643</v>
      </c>
      <c r="B112" s="260">
        <f>'Dry_Litterbag Placem_Collection'!A113</f>
        <v>111</v>
      </c>
      <c r="C112" s="260" t="str">
        <f>'Dry_Litterbag Placem_Collection'!B113</f>
        <v xml:space="preserve">Mwantimba
</v>
      </c>
      <c r="D112" s="260" t="s">
        <v>2454</v>
      </c>
      <c r="E112" s="260" t="s">
        <v>2644</v>
      </c>
      <c r="F112" s="260">
        <v>2</v>
      </c>
      <c r="G112" s="260" t="s">
        <v>3817</v>
      </c>
      <c r="H112" s="261" t="str">
        <f>'Dry_Litterbag Placem_Collection'!C113</f>
        <v>Wet_Ag2_T7</v>
      </c>
      <c r="I112" s="262" t="s">
        <v>2525</v>
      </c>
      <c r="J112" s="263" t="s">
        <v>1147</v>
      </c>
      <c r="K112" s="260" t="str">
        <f>IF(ISBLANK('Dry_Litterbag Placem_Collection'!J113),"","G"&amp;""&amp;'Dry_Litterbag Placem_Collection'!J113)</f>
        <v>G274</v>
      </c>
      <c r="L112" s="264">
        <f>IFERROR(INDEX('Green_rooibos initial weight'!$C$5:$C$2000,MATCH(K112, 'Green_rooibos initial weight'!$A$5:$A$2000,0)),"")</f>
        <v>2.12</v>
      </c>
      <c r="M112" s="264">
        <f>IFERROR(L112-(TBIcalc!$Q$9+TBIcalc!$Q$10),"")</f>
        <v>1.8702000000000001</v>
      </c>
      <c r="N112" s="385">
        <f>AVERAGE(Ashed_controlls!$K$2:$K$11)</f>
        <v>5.5147656768714146</v>
      </c>
      <c r="O112" s="264">
        <f t="shared" si="6"/>
        <v>1.7670628523111509</v>
      </c>
      <c r="P112" s="264">
        <f>IFERROR(INDEX('Both teabags AfterDry'!$D$2:$D$2000,MATCH(K112,'Both teabags AfterDry'!$A$2:$A$2000,0)),"")</f>
        <v>1.0779000000000001</v>
      </c>
      <c r="Q112" s="264">
        <f>IFERROR(IF(P112&gt;0,P112-(TBIcalc!$Q$9),""),"")</f>
        <v>0.92730000000000001</v>
      </c>
      <c r="R112" s="275">
        <f>IFERROR(INDEX('Ashed teabags dry'!$K$2:$K$2000,MATCH(K112,'Ashed teabags dry'!$A$2:$A$2000,0)),"")</f>
        <v>17.275747508306221</v>
      </c>
      <c r="S112" s="275">
        <f t="shared" si="7"/>
        <v>0.76710199335547635</v>
      </c>
      <c r="T112" s="265">
        <f>IF('Dry_Litterbag Placem_Collection'!E113="","",'Dry_Litterbag Placem_Collection'!E113)</f>
        <v>42939</v>
      </c>
      <c r="U112" s="265">
        <f>IF('Dry_Litterbag Placem_Collection'!G113="","",'Dry_Litterbag Placem_Collection'!G113)</f>
        <v>43010</v>
      </c>
      <c r="V112" s="266">
        <f t="shared" si="5"/>
        <v>71</v>
      </c>
      <c r="W112" s="264">
        <f t="shared" si="8"/>
        <v>0.94290000000000007</v>
      </c>
      <c r="X112" s="264">
        <f t="shared" si="9"/>
        <v>0.99996085895567455</v>
      </c>
      <c r="Y112" s="268">
        <f>IFERROR(INDEX(Rainfall_Dry!$O$2:$O$217,MATCH(B112, Rainfall_Dry!$A$2:$A$217,0)),"")</f>
        <v>137.19979645800001</v>
      </c>
      <c r="Z112" s="257">
        <v>34.344660194174757</v>
      </c>
      <c r="AA112" s="257">
        <v>19.22727272727273</v>
      </c>
      <c r="AB112" s="257">
        <v>46.428067078552509</v>
      </c>
      <c r="AC112" s="258" t="s">
        <v>2654</v>
      </c>
      <c r="AD112" s="257">
        <v>7.7452932479053702</v>
      </c>
      <c r="AE112">
        <f>IF('WetLitterbags placem_collection'!AB113="","",'WetLitterbags placem_collection'!AB113)</f>
        <v>6.1</v>
      </c>
      <c r="AF112">
        <f>IF('WetLitterbags placem_collection'!Z113="","",'WetLitterbags placem_collection'!Z113)</f>
        <v>26</v>
      </c>
      <c r="AG112" s="243" t="str">
        <f>IF('WetLitterbags placem_collection'!AA113="","",'WetLitterbags placem_collection'!AA113)</f>
        <v>M</v>
      </c>
      <c r="AH112">
        <f>IF('WetLitterbags placem_collection'!AC113="","",'WetLitterbags placem_collection'!AC113)</f>
        <v>0</v>
      </c>
      <c r="AI112">
        <f>IFERROR(AVERAGE('Dry_Litterbag Placem_Collection'!O113,'Dry_Litterbag Placem_Collection'!R113),"")</f>
        <v>8.3000000000000007</v>
      </c>
      <c r="AJ112" s="268">
        <f>IFERROR(AVERAGE('Dry_Litterbag Placem_Collection'!N113,'Dry_Litterbag Placem_Collection'!Q113),"")</f>
        <v>29.549999999999997</v>
      </c>
      <c r="AK112" s="267">
        <f>INDEX(Coordinates!$B$2:$B$197,MATCH(H112,Coordinates!$J$2:$J$197,0))</f>
        <v>-2.3697330060000001</v>
      </c>
      <c r="AL112" s="267">
        <f>INDEX(Coordinates!$C$2:$C$197,MATCH(H112,Coordinates!$J$2:$J$197,0))</f>
        <v>34.059615010000002</v>
      </c>
      <c r="AM112" s="267" t="str">
        <f>IF(ISNUMBER(SEARCH("C", 'Dry_Litterbag Placem_Collection'!S113)),"YES","NO")</f>
        <v>YES</v>
      </c>
      <c r="AN112" s="267" t="str">
        <f>IF(ISNUMBER(SEARCH("H", 'Dry_Litterbag Placem_Collection'!S113)),"YES","NO")</f>
        <v>NO</v>
      </c>
      <c r="AO112" s="267" t="str">
        <f>IF(ISNUMBER(SEARCH("R", 'Dry_Litterbag Placem_Collection'!S113)),"YES","NO")</f>
        <v>NO</v>
      </c>
    </row>
    <row r="113" spans="1:41" ht="15" customHeight="1">
      <c r="A113" s="259" t="s">
        <v>2643</v>
      </c>
      <c r="B113" s="260">
        <f>'Dry_Litterbag Placem_Collection'!A114</f>
        <v>112</v>
      </c>
      <c r="C113" s="260" t="str">
        <f>'Dry_Litterbag Placem_Collection'!B114</f>
        <v xml:space="preserve">Mwantimba
</v>
      </c>
      <c r="D113" s="260" t="s">
        <v>2454</v>
      </c>
      <c r="E113" s="260" t="s">
        <v>2644</v>
      </c>
      <c r="F113" s="260">
        <v>2</v>
      </c>
      <c r="G113" s="260" t="s">
        <v>3817</v>
      </c>
      <c r="H113" s="261" t="str">
        <f>'Dry_Litterbag Placem_Collection'!C114</f>
        <v>Wet_Ag2_T8</v>
      </c>
      <c r="I113" s="262" t="s">
        <v>2525</v>
      </c>
      <c r="J113" s="263" t="s">
        <v>1147</v>
      </c>
      <c r="K113" s="260" t="str">
        <f>IF(ISBLANK('Dry_Litterbag Placem_Collection'!J114),"","G"&amp;""&amp;'Dry_Litterbag Placem_Collection'!J114)</f>
        <v/>
      </c>
      <c r="L113" s="264" t="str">
        <f>IFERROR(INDEX('Green_rooibos initial weight'!$C$5:$C$2000,MATCH(K113, 'Green_rooibos initial weight'!$A$5:$A$2000,0)),"")</f>
        <v/>
      </c>
      <c r="M113" s="264" t="str">
        <f>IFERROR(L113-(TBIcalc!$Q$9+TBIcalc!$Q$10),"")</f>
        <v/>
      </c>
      <c r="N113" s="385">
        <f>AVERAGE(Ashed_controlls!$K$2:$K$11)</f>
        <v>5.5147656768714146</v>
      </c>
      <c r="O113" s="264" t="str">
        <f t="shared" si="6"/>
        <v/>
      </c>
      <c r="P113" s="264" t="str">
        <f>IFERROR(INDEX('Both teabags AfterDry'!$D$2:$D$2000,MATCH(K113,'Both teabags AfterDry'!$A$2:$A$2000,0)),"")</f>
        <v/>
      </c>
      <c r="Q113" s="264" t="str">
        <f>IFERROR(IF(P113&gt;0,P113-(TBIcalc!$Q$9),""),"")</f>
        <v/>
      </c>
      <c r="R113" s="275" t="str">
        <f>IFERROR(INDEX('Ashed teabags dry'!$K$2:$K$2000,MATCH(K113,'Ashed teabags dry'!$A$2:$A$2000,0)),"")</f>
        <v/>
      </c>
      <c r="S113" s="275" t="str">
        <f t="shared" si="7"/>
        <v/>
      </c>
      <c r="T113" s="265" t="str">
        <f>IF('Dry_Litterbag Placem_Collection'!E114="","",'Dry_Litterbag Placem_Collection'!E114)</f>
        <v/>
      </c>
      <c r="U113" s="265" t="str">
        <f>IF('Dry_Litterbag Placem_Collection'!G114="","",'Dry_Litterbag Placem_Collection'!G114)</f>
        <v/>
      </c>
      <c r="V113" s="266" t="str">
        <f t="shared" si="5"/>
        <v/>
      </c>
      <c r="W113" s="264" t="str">
        <f t="shared" si="8"/>
        <v/>
      </c>
      <c r="X113" s="264" t="str">
        <f t="shared" si="9"/>
        <v/>
      </c>
      <c r="Y113" s="268" t="str">
        <f>IFERROR(INDEX(Rainfall_Dry!$O$2:$O$217,MATCH(B113, Rainfall_Dry!$A$2:$A$217,0)),"")</f>
        <v/>
      </c>
      <c r="Z113" s="257">
        <v>34.344660194174757</v>
      </c>
      <c r="AA113" s="257">
        <v>19.22727272727273</v>
      </c>
      <c r="AB113" s="257">
        <v>46.428067078552509</v>
      </c>
      <c r="AC113" s="258" t="s">
        <v>2654</v>
      </c>
      <c r="AD113" s="257">
        <v>8.7452932479053693</v>
      </c>
      <c r="AE113">
        <f>IF('WetLitterbags placem_collection'!AB114="","",'WetLitterbags placem_collection'!AB114)</f>
        <v>11.5</v>
      </c>
      <c r="AF113">
        <f>IF('WetLitterbags placem_collection'!Z114="","",'WetLitterbags placem_collection'!Z114)</f>
        <v>15</v>
      </c>
      <c r="AG113" s="243" t="str">
        <f>IF('WetLitterbags placem_collection'!AA114="","",'WetLitterbags placem_collection'!AA114)</f>
        <v>M</v>
      </c>
      <c r="AH113">
        <f>IF('WetLitterbags placem_collection'!AC114="","",'WetLitterbags placem_collection'!AC114)</f>
        <v>0</v>
      </c>
      <c r="AI113" t="str">
        <f>IFERROR(AVERAGE('Dry_Litterbag Placem_Collection'!O114,'Dry_Litterbag Placem_Collection'!R114),"")</f>
        <v/>
      </c>
      <c r="AJ113" s="268" t="str">
        <f>IFERROR(AVERAGE('Dry_Litterbag Placem_Collection'!N114,'Dry_Litterbag Placem_Collection'!Q114),"")</f>
        <v/>
      </c>
      <c r="AK113" s="267">
        <f>INDEX(Coordinates!$B$2:$B$197,MATCH(H113,Coordinates!$J$2:$J$197,0))</f>
        <v>-2.36967098</v>
      </c>
      <c r="AL113" s="267">
        <f>INDEX(Coordinates!$C$2:$C$197,MATCH(H113,Coordinates!$J$2:$J$197,0))</f>
        <v>34.059735959999998</v>
      </c>
      <c r="AM113" s="267" t="str">
        <f>IF(ISNUMBER(SEARCH("C", 'Dry_Litterbag Placem_Collection'!S114)),"YES","NO")</f>
        <v>NO</v>
      </c>
      <c r="AN113" s="267" t="str">
        <f>IF(ISNUMBER(SEARCH("H", 'Dry_Litterbag Placem_Collection'!S114)),"YES","NO")</f>
        <v>NO</v>
      </c>
      <c r="AO113" s="267" t="str">
        <f>IF(ISNUMBER(SEARCH("R", 'Dry_Litterbag Placem_Collection'!S114)),"YES","NO")</f>
        <v>NO</v>
      </c>
    </row>
    <row r="114" spans="1:41" ht="15" customHeight="1">
      <c r="A114" s="259" t="s">
        <v>2643</v>
      </c>
      <c r="B114" s="260">
        <f>'Dry_Litterbag Placem_Collection'!A115</f>
        <v>113</v>
      </c>
      <c r="C114" s="260" t="str">
        <f>'Dry_Litterbag Placem_Collection'!B115</f>
        <v xml:space="preserve">Mwantimba
</v>
      </c>
      <c r="D114" s="260" t="s">
        <v>2454</v>
      </c>
      <c r="E114" s="260" t="s">
        <v>2644</v>
      </c>
      <c r="F114" s="260">
        <v>3</v>
      </c>
      <c r="G114" s="260" t="s">
        <v>3818</v>
      </c>
      <c r="H114" s="261" t="str">
        <f>'Dry_Litterbag Placem_Collection'!C115</f>
        <v>Wet_Ag3_T1</v>
      </c>
      <c r="I114" s="262" t="s">
        <v>2525</v>
      </c>
      <c r="J114" s="263" t="s">
        <v>1147</v>
      </c>
      <c r="K114" s="260" t="str">
        <f>IF(ISBLANK('Dry_Litterbag Placem_Collection'!J115),"","G"&amp;""&amp;'Dry_Litterbag Placem_Collection'!J115)</f>
        <v>G314</v>
      </c>
      <c r="L114" s="264">
        <f>IFERROR(INDEX('Green_rooibos initial weight'!$C$5:$C$2000,MATCH(K114, 'Green_rooibos initial weight'!$A$5:$A$2000,0)),"")</f>
        <v>2.0430000000000001</v>
      </c>
      <c r="M114" s="264">
        <f>IFERROR(L114-(TBIcalc!$Q$9+TBIcalc!$Q$10),"")</f>
        <v>1.7932000000000001</v>
      </c>
      <c r="N114" s="385">
        <f>AVERAGE(Ashed_controlls!$K$2:$K$11)</f>
        <v>5.5147656768714146</v>
      </c>
      <c r="O114" s="264">
        <f t="shared" si="6"/>
        <v>1.6943092218823419</v>
      </c>
      <c r="P114" s="264">
        <f>IFERROR(INDEX('Both teabags AfterDry'!$D$2:$D$2000,MATCH(K114,'Both teabags AfterDry'!$A$2:$A$2000,0)),"")</f>
        <v>0.78080000000000005</v>
      </c>
      <c r="Q114" s="264">
        <f>IFERROR(IF(P114&gt;0,P114-(TBIcalc!$Q$9),""),"")</f>
        <v>0.63020000000000009</v>
      </c>
      <c r="R114" s="275">
        <f>IFERROR(INDEX('Ashed teabags dry'!$K$2:$K$2000,MATCH(K114,'Ashed teabags dry'!$A$2:$A$2000,0)),"")</f>
        <v>21.798134011874424</v>
      </c>
      <c r="S114" s="275">
        <f t="shared" si="7"/>
        <v>0.49282815945716746</v>
      </c>
      <c r="T114" s="265">
        <f>IF('Dry_Litterbag Placem_Collection'!E115="","",'Dry_Litterbag Placem_Collection'!E115)</f>
        <v>42939</v>
      </c>
      <c r="U114" s="265">
        <f>IF('Dry_Litterbag Placem_Collection'!G115="","",'Dry_Litterbag Placem_Collection'!G115)</f>
        <v>43008</v>
      </c>
      <c r="V114" s="266">
        <f t="shared" si="5"/>
        <v>69</v>
      </c>
      <c r="W114" s="264">
        <f t="shared" si="8"/>
        <v>1.163</v>
      </c>
      <c r="X114" s="264">
        <f t="shared" si="9"/>
        <v>1.2014810624251744</v>
      </c>
      <c r="Y114" s="268">
        <f>IFERROR(INDEX(Rainfall_Dry!$O$2:$O$217,MATCH(B114, Rainfall_Dry!$A$2:$A$217,0)),"")</f>
        <v>136.27214243</v>
      </c>
      <c r="Z114" s="257">
        <v>27.96</v>
      </c>
      <c r="AA114" s="257">
        <v>4.9200000000000017</v>
      </c>
      <c r="AB114" s="257">
        <v>67.12</v>
      </c>
      <c r="AC114" s="258" t="s">
        <v>2654</v>
      </c>
      <c r="AD114" s="257">
        <v>0.88610152784622953</v>
      </c>
      <c r="AE114">
        <f>IF('WetLitterbags placem_collection'!AB115="","",'WetLitterbags placem_collection'!AB115)</f>
        <v>26</v>
      </c>
      <c r="AF114">
        <f>IF('WetLitterbags placem_collection'!Z115="","",'WetLitterbags placem_collection'!Z115)</f>
        <v>88.5</v>
      </c>
      <c r="AG114" s="243" t="str">
        <f>IF('WetLitterbags placem_collection'!AA115="","",'WetLitterbags placem_collection'!AA115)</f>
        <v>G</v>
      </c>
      <c r="AH114">
        <f>IF('WetLitterbags placem_collection'!AC115="","",'WetLitterbags placem_collection'!AC115)</f>
        <v>0</v>
      </c>
      <c r="AI114">
        <f>IFERROR(AVERAGE('Dry_Litterbag Placem_Collection'!O115,'Dry_Litterbag Placem_Collection'!R115),"")</f>
        <v>6.35</v>
      </c>
      <c r="AJ114" s="268">
        <f>IFERROR(AVERAGE('Dry_Litterbag Placem_Collection'!N115,'Dry_Litterbag Placem_Collection'!Q115),"")</f>
        <v>28.9</v>
      </c>
      <c r="AK114" s="267">
        <f>INDEX(Coordinates!$B$2:$B$197,MATCH(H114,Coordinates!$J$2:$J$197,0))</f>
        <v>-2.3487199940000001</v>
      </c>
      <c r="AL114" s="267">
        <f>INDEX(Coordinates!$C$2:$C$197,MATCH(H114,Coordinates!$J$2:$J$197,0))</f>
        <v>34.051391029999998</v>
      </c>
      <c r="AM114" s="267" t="str">
        <f>IF(ISNUMBER(SEARCH("C", 'Dry_Litterbag Placem_Collection'!S115)),"YES","NO")</f>
        <v>NO</v>
      </c>
      <c r="AN114" s="267" t="str">
        <f>IF(ISNUMBER(SEARCH("H", 'Dry_Litterbag Placem_Collection'!S115)),"YES","NO")</f>
        <v>NO</v>
      </c>
      <c r="AO114" s="267" t="str">
        <f>IF(ISNUMBER(SEARCH("R", 'Dry_Litterbag Placem_Collection'!S115)),"YES","NO")</f>
        <v>YES</v>
      </c>
    </row>
    <row r="115" spans="1:41" ht="15" customHeight="1">
      <c r="A115" s="259" t="s">
        <v>2643</v>
      </c>
      <c r="B115" s="260">
        <f>'Dry_Litterbag Placem_Collection'!A116</f>
        <v>114</v>
      </c>
      <c r="C115" s="260" t="str">
        <f>'Dry_Litterbag Placem_Collection'!B116</f>
        <v xml:space="preserve">Mwantimba
</v>
      </c>
      <c r="D115" s="260" t="s">
        <v>2454</v>
      </c>
      <c r="E115" s="260" t="s">
        <v>2644</v>
      </c>
      <c r="F115" s="260">
        <v>3</v>
      </c>
      <c r="G115" s="260" t="s">
        <v>3818</v>
      </c>
      <c r="H115" s="261" t="str">
        <f>'Dry_Litterbag Placem_Collection'!C116</f>
        <v>Wet_Ag3_T2</v>
      </c>
      <c r="I115" s="262" t="s">
        <v>2525</v>
      </c>
      <c r="J115" s="263" t="s">
        <v>1147</v>
      </c>
      <c r="K115" s="260" t="str">
        <f>IF(ISBLANK('Dry_Litterbag Placem_Collection'!J116),"","G"&amp;""&amp;'Dry_Litterbag Placem_Collection'!J116)</f>
        <v>G263</v>
      </c>
      <c r="L115" s="264">
        <f>IFERROR(INDEX('Green_rooibos initial weight'!$C$5:$C$2000,MATCH(K115, 'Green_rooibos initial weight'!$A$5:$A$2000,0)),"")</f>
        <v>2.0960000000000001</v>
      </c>
      <c r="M115" s="264">
        <f>IFERROR(L115-(TBIcalc!$Q$9+TBIcalc!$Q$10),"")</f>
        <v>1.8462000000000001</v>
      </c>
      <c r="N115" s="385">
        <f>AVERAGE(Ashed_controlls!$K$2:$K$11)</f>
        <v>5.5147656768714146</v>
      </c>
      <c r="O115" s="264">
        <f t="shared" si="6"/>
        <v>1.7443863960735999</v>
      </c>
      <c r="P115" s="264">
        <f>IFERROR(INDEX('Both teabags AfterDry'!$D$2:$D$2000,MATCH(K115,'Both teabags AfterDry'!$A$2:$A$2000,0)),"")</f>
        <v>0.83330000000000004</v>
      </c>
      <c r="Q115" s="264">
        <f>IFERROR(IF(P115&gt;0,P115-(TBIcalc!$Q$9),""),"")</f>
        <v>0.68270000000000008</v>
      </c>
      <c r="R115" s="275">
        <f>IFERROR(INDEX('Ashed teabags dry'!$K$2:$K$2000,MATCH(K115,'Ashed teabags dry'!$A$2:$A$2000,0)),"")</f>
        <v>29.125376992675438</v>
      </c>
      <c r="S115" s="275">
        <f t="shared" si="7"/>
        <v>0.48386105127100487</v>
      </c>
      <c r="T115" s="265">
        <f>IF('Dry_Litterbag Placem_Collection'!E116="","",'Dry_Litterbag Placem_Collection'!E116)</f>
        <v>42939</v>
      </c>
      <c r="U115" s="265">
        <f>IF('Dry_Litterbag Placem_Collection'!G116="","",'Dry_Litterbag Placem_Collection'!G116)</f>
        <v>43008</v>
      </c>
      <c r="V115" s="266">
        <f t="shared" si="5"/>
        <v>69</v>
      </c>
      <c r="W115" s="264">
        <f t="shared" si="8"/>
        <v>1.1635</v>
      </c>
      <c r="X115" s="264">
        <f t="shared" si="9"/>
        <v>1.260525344802595</v>
      </c>
      <c r="Y115" s="268">
        <f>IFERROR(INDEX(Rainfall_Dry!$O$2:$O$217,MATCH(B115, Rainfall_Dry!$A$2:$A$217,0)),"")</f>
        <v>136.27214243</v>
      </c>
      <c r="Z115" s="257">
        <v>27.96</v>
      </c>
      <c r="AA115" s="257">
        <v>4.9200000000000017</v>
      </c>
      <c r="AB115" s="257">
        <v>67.12</v>
      </c>
      <c r="AC115" s="258" t="s">
        <v>2654</v>
      </c>
      <c r="AD115" s="257">
        <v>1.8861015278462301</v>
      </c>
      <c r="AE115">
        <f>IF('WetLitterbags placem_collection'!AB116="","",'WetLitterbags placem_collection'!AB116)</f>
        <v>16.5</v>
      </c>
      <c r="AF115">
        <f>IF('WetLitterbags placem_collection'!Z116="","",'WetLitterbags placem_collection'!Z116)</f>
        <v>87.5</v>
      </c>
      <c r="AG115" s="243" t="str">
        <f>IF('WetLitterbags placem_collection'!AA116="","",'WetLitterbags placem_collection'!AA116)</f>
        <v>G</v>
      </c>
      <c r="AH115">
        <f>IF('WetLitterbags placem_collection'!AC116="","",'WetLitterbags placem_collection'!AC116)</f>
        <v>0</v>
      </c>
      <c r="AI115">
        <f>IFERROR(AVERAGE('Dry_Litterbag Placem_Collection'!O116,'Dry_Litterbag Placem_Collection'!R116),"")</f>
        <v>12.1</v>
      </c>
      <c r="AJ115" s="268">
        <f>IFERROR(AVERAGE('Dry_Litterbag Placem_Collection'!N116,'Dry_Litterbag Placem_Collection'!Q116),"")</f>
        <v>28.1</v>
      </c>
      <c r="AK115" s="267">
        <f>INDEX(Coordinates!$B$2:$B$197,MATCH(H115,Coordinates!$J$2:$J$197,0))</f>
        <v>-2.348716976</v>
      </c>
      <c r="AL115" s="267">
        <f>INDEX(Coordinates!$C$2:$C$197,MATCH(H115,Coordinates!$J$2:$J$197,0))</f>
        <v>34.051484989999999</v>
      </c>
      <c r="AM115" s="267" t="str">
        <f>IF(ISNUMBER(SEARCH("C", 'Dry_Litterbag Placem_Collection'!S116)),"YES","NO")</f>
        <v>NO</v>
      </c>
      <c r="AN115" s="267" t="str">
        <f>IF(ISNUMBER(SEARCH("H", 'Dry_Litterbag Placem_Collection'!S116)),"YES","NO")</f>
        <v>NO</v>
      </c>
      <c r="AO115" s="267" t="str">
        <f>IF(ISNUMBER(SEARCH("R", 'Dry_Litterbag Placem_Collection'!S116)),"YES","NO")</f>
        <v>NO</v>
      </c>
    </row>
    <row r="116" spans="1:41" ht="15" customHeight="1">
      <c r="A116" s="259" t="s">
        <v>2643</v>
      </c>
      <c r="B116" s="260">
        <f>'Dry_Litterbag Placem_Collection'!A117</f>
        <v>115</v>
      </c>
      <c r="C116" s="260" t="str">
        <f>'Dry_Litterbag Placem_Collection'!B117</f>
        <v xml:space="preserve">Mwantimba
</v>
      </c>
      <c r="D116" s="260" t="s">
        <v>2454</v>
      </c>
      <c r="E116" s="260" t="s">
        <v>2644</v>
      </c>
      <c r="F116" s="260">
        <v>3</v>
      </c>
      <c r="G116" s="260" t="s">
        <v>3818</v>
      </c>
      <c r="H116" s="261" t="str">
        <f>'Dry_Litterbag Placem_Collection'!C117</f>
        <v>Wet_Ag3_T3</v>
      </c>
      <c r="I116" s="262" t="s">
        <v>2525</v>
      </c>
      <c r="J116" s="263" t="s">
        <v>1147</v>
      </c>
      <c r="K116" s="260" t="str">
        <f>IF(ISBLANK('Dry_Litterbag Placem_Collection'!J117),"","G"&amp;""&amp;'Dry_Litterbag Placem_Collection'!J117)</f>
        <v>G125</v>
      </c>
      <c r="L116" s="264">
        <f>IFERROR(INDEX('Green_rooibos initial weight'!$C$5:$C$2000,MATCH(K116, 'Green_rooibos initial weight'!$A$5:$A$2000,0)),"")</f>
        <v>2.0979999999999999</v>
      </c>
      <c r="M116" s="264">
        <f>IFERROR(L116-(TBIcalc!$Q$9+TBIcalc!$Q$10),"")</f>
        <v>1.8481999999999998</v>
      </c>
      <c r="N116" s="385">
        <f>AVERAGE(Ashed_controlls!$K$2:$K$11)</f>
        <v>5.5147656768714146</v>
      </c>
      <c r="O116" s="264">
        <f t="shared" si="6"/>
        <v>1.7462761007600625</v>
      </c>
      <c r="P116" s="264">
        <f>IFERROR(INDEX('Both teabags AfterDry'!$D$2:$D$2000,MATCH(K116,'Both teabags AfterDry'!$A$2:$A$2000,0)),"")</f>
        <v>0.78120000000000001</v>
      </c>
      <c r="Q116" s="264">
        <f>IFERROR(IF(P116&gt;0,P116-(TBIcalc!$Q$9),""),"")</f>
        <v>0.63060000000000005</v>
      </c>
      <c r="R116" s="275">
        <f>IFERROR(INDEX('Ashed teabags dry'!$K$2:$K$2000,MATCH(K116,'Ashed teabags dry'!$A$2:$A$2000,0)),"")</f>
        <v>18.503937007873372</v>
      </c>
      <c r="S116" s="275">
        <f t="shared" si="7"/>
        <v>0.51391417322835053</v>
      </c>
      <c r="T116" s="265">
        <f>IF('Dry_Litterbag Placem_Collection'!E117="","",'Dry_Litterbag Placem_Collection'!E117)</f>
        <v>42939</v>
      </c>
      <c r="U116" s="265">
        <f>IF('Dry_Litterbag Placem_Collection'!G117="","",'Dry_Litterbag Placem_Collection'!G117)</f>
        <v>43008</v>
      </c>
      <c r="V116" s="266">
        <f t="shared" si="5"/>
        <v>69</v>
      </c>
      <c r="W116" s="264">
        <f t="shared" si="8"/>
        <v>1.2175999999999998</v>
      </c>
      <c r="X116" s="264">
        <f t="shared" si="9"/>
        <v>1.2323619275317119</v>
      </c>
      <c r="Y116" s="268">
        <f>IFERROR(INDEX(Rainfall_Dry!$O$2:$O$217,MATCH(B116, Rainfall_Dry!$A$2:$A$217,0)),"")</f>
        <v>136.27214243</v>
      </c>
      <c r="Z116" s="257">
        <v>27.96</v>
      </c>
      <c r="AA116" s="257">
        <v>4.9200000000000017</v>
      </c>
      <c r="AB116" s="257">
        <v>67.12</v>
      </c>
      <c r="AC116" s="258" t="s">
        <v>2654</v>
      </c>
      <c r="AD116" s="257">
        <v>2.8861015278462299</v>
      </c>
      <c r="AE116">
        <f>IF('WetLitterbags placem_collection'!AB117="","",'WetLitterbags placem_collection'!AB117)</f>
        <v>19</v>
      </c>
      <c r="AF116">
        <f>IF('WetLitterbags placem_collection'!Z117="","",'WetLitterbags placem_collection'!Z117)</f>
        <v>79.5</v>
      </c>
      <c r="AG116" s="243" t="str">
        <f>IF('WetLitterbags placem_collection'!AA117="","",'WetLitterbags placem_collection'!AA117)</f>
        <v>G</v>
      </c>
      <c r="AH116">
        <f>IF('WetLitterbags placem_collection'!AC117="","",'WetLitterbags placem_collection'!AC117)</f>
        <v>1</v>
      </c>
      <c r="AI116">
        <f>IFERROR(AVERAGE('Dry_Litterbag Placem_Collection'!O117,'Dry_Litterbag Placem_Collection'!R117),"")</f>
        <v>6.9</v>
      </c>
      <c r="AJ116" s="268">
        <f>IFERROR(AVERAGE('Dry_Litterbag Placem_Collection'!N117,'Dry_Litterbag Placem_Collection'!Q117),"")</f>
        <v>28.95</v>
      </c>
      <c r="AK116" s="267">
        <f>INDEX(Coordinates!$B$2:$B$197,MATCH(H116,Coordinates!$J$2:$J$197,0))</f>
        <v>-2.3487800079999999</v>
      </c>
      <c r="AL116" s="267">
        <f>INDEX(Coordinates!$C$2:$C$197,MATCH(H116,Coordinates!$J$2:$J$197,0))</f>
        <v>34.051495969999998</v>
      </c>
      <c r="AM116" s="267" t="str">
        <f>IF(ISNUMBER(SEARCH("C", 'Dry_Litterbag Placem_Collection'!S117)),"YES","NO")</f>
        <v>NO</v>
      </c>
      <c r="AN116" s="267" t="str">
        <f>IF(ISNUMBER(SEARCH("H", 'Dry_Litterbag Placem_Collection'!S117)),"YES","NO")</f>
        <v>NO</v>
      </c>
      <c r="AO116" s="267" t="str">
        <f>IF(ISNUMBER(SEARCH("R", 'Dry_Litterbag Placem_Collection'!S117)),"YES","NO")</f>
        <v>YES</v>
      </c>
    </row>
    <row r="117" spans="1:41" ht="15" customHeight="1">
      <c r="A117" s="259" t="s">
        <v>2643</v>
      </c>
      <c r="B117" s="260">
        <f>'Dry_Litterbag Placem_Collection'!A118</f>
        <v>116</v>
      </c>
      <c r="C117" s="260" t="str">
        <f>'Dry_Litterbag Placem_Collection'!B118</f>
        <v xml:space="preserve">Mwantimba
</v>
      </c>
      <c r="D117" s="260" t="s">
        <v>2454</v>
      </c>
      <c r="E117" s="260" t="s">
        <v>2644</v>
      </c>
      <c r="F117" s="260">
        <v>3</v>
      </c>
      <c r="G117" s="260" t="s">
        <v>3818</v>
      </c>
      <c r="H117" s="261" t="str">
        <f>'Dry_Litterbag Placem_Collection'!C118</f>
        <v>Wet_Ag3_T4</v>
      </c>
      <c r="I117" s="262" t="s">
        <v>2525</v>
      </c>
      <c r="J117" s="263" t="s">
        <v>1147</v>
      </c>
      <c r="K117" s="260" t="str">
        <f>IF(ISBLANK('Dry_Litterbag Placem_Collection'!J118),"","G"&amp;""&amp;'Dry_Litterbag Placem_Collection'!J118)</f>
        <v>G189</v>
      </c>
      <c r="L117" s="264">
        <f>IFERROR(INDEX('Green_rooibos initial weight'!$C$5:$C$2000,MATCH(K117, 'Green_rooibos initial weight'!$A$5:$A$2000,0)),"")</f>
        <v>2.0059999999999998</v>
      </c>
      <c r="M117" s="264">
        <f>IFERROR(L117-(TBIcalc!$Q$9+TBIcalc!$Q$10),"")</f>
        <v>1.7561999999999998</v>
      </c>
      <c r="N117" s="385">
        <f>AVERAGE(Ashed_controlls!$K$2:$K$11)</f>
        <v>5.5147656768714146</v>
      </c>
      <c r="O117" s="264">
        <f t="shared" si="6"/>
        <v>1.659349685182784</v>
      </c>
      <c r="P117" s="264">
        <f>IFERROR(INDEX('Both teabags AfterDry'!$D$2:$D$2000,MATCH(K117,'Both teabags AfterDry'!$A$2:$A$2000,0)),"")</f>
        <v>0.76890000000000003</v>
      </c>
      <c r="Q117" s="264">
        <f>IFERROR(IF(P117&gt;0,P117-(TBIcalc!$Q$9),""),"")</f>
        <v>0.61830000000000007</v>
      </c>
      <c r="R117" s="275">
        <f>IFERROR(INDEX('Ashed teabags dry'!$K$2:$K$2000,MATCH(K117,'Ashed teabags dry'!$A$2:$A$2000,0)),"")</f>
        <v>20.116618075801487</v>
      </c>
      <c r="S117" s="275">
        <f t="shared" si="7"/>
        <v>0.49391895043731948</v>
      </c>
      <c r="T117" s="265">
        <f>IF('Dry_Litterbag Placem_Collection'!E118="","",'Dry_Litterbag Placem_Collection'!E118)</f>
        <v>42939</v>
      </c>
      <c r="U117" s="265">
        <f>IF('Dry_Litterbag Placem_Collection'!G118="","",'Dry_Litterbag Placem_Collection'!G118)</f>
        <v>43008</v>
      </c>
      <c r="V117" s="266">
        <f t="shared" si="5"/>
        <v>69</v>
      </c>
      <c r="W117" s="264">
        <f t="shared" si="8"/>
        <v>1.1378999999999997</v>
      </c>
      <c r="X117" s="264">
        <f t="shared" si="9"/>
        <v>1.1654307347454647</v>
      </c>
      <c r="Y117" s="268">
        <f>IFERROR(INDEX(Rainfall_Dry!$O$2:$O$217,MATCH(B117, Rainfall_Dry!$A$2:$A$217,0)),"")</f>
        <v>136.27214243</v>
      </c>
      <c r="Z117" s="257">
        <v>27.96</v>
      </c>
      <c r="AA117" s="257">
        <v>4.9200000000000017</v>
      </c>
      <c r="AB117" s="257">
        <v>67.12</v>
      </c>
      <c r="AC117" s="258" t="s">
        <v>2654</v>
      </c>
      <c r="AD117" s="257">
        <v>3.8861015278462299</v>
      </c>
      <c r="AE117">
        <f>IF('WetLitterbags placem_collection'!AB118="","",'WetLitterbags placem_collection'!AB118)</f>
        <v>22.5</v>
      </c>
      <c r="AF117">
        <f>IF('WetLitterbags placem_collection'!Z118="","",'WetLitterbags placem_collection'!Z118)</f>
        <v>76</v>
      </c>
      <c r="AG117" s="243" t="str">
        <f>IF('WetLitterbags placem_collection'!AA118="","",'WetLitterbags placem_collection'!AA118)</f>
        <v>G</v>
      </c>
      <c r="AH117">
        <f>IF('WetLitterbags placem_collection'!AC118="","",'WetLitterbags placem_collection'!AC118)</f>
        <v>1</v>
      </c>
      <c r="AI117">
        <f>IFERROR(AVERAGE('Dry_Litterbag Placem_Collection'!O118,'Dry_Litterbag Placem_Collection'!R118),"")</f>
        <v>8.65</v>
      </c>
      <c r="AJ117" s="268">
        <f>IFERROR(AVERAGE('Dry_Litterbag Placem_Collection'!N118,'Dry_Litterbag Placem_Collection'!Q118),"")</f>
        <v>29.799999999999997</v>
      </c>
      <c r="AK117" s="267">
        <f>INDEX(Coordinates!$B$2:$B$197,MATCH(H117,Coordinates!$J$2:$J$197,0))</f>
        <v>-2.3488120270000001</v>
      </c>
      <c r="AL117" s="267">
        <f>INDEX(Coordinates!$C$2:$C$197,MATCH(H117,Coordinates!$J$2:$J$197,0))</f>
        <v>34.05146697</v>
      </c>
      <c r="AM117" s="267" t="str">
        <f>IF(ISNUMBER(SEARCH("C", 'Dry_Litterbag Placem_Collection'!S118)),"YES","NO")</f>
        <v>NO</v>
      </c>
      <c r="AN117" s="267" t="str">
        <f>IF(ISNUMBER(SEARCH("H", 'Dry_Litterbag Placem_Collection'!S118)),"YES","NO")</f>
        <v>NO</v>
      </c>
      <c r="AO117" s="267" t="str">
        <f>IF(ISNUMBER(SEARCH("R", 'Dry_Litterbag Placem_Collection'!S118)),"YES","NO")</f>
        <v>YES</v>
      </c>
    </row>
    <row r="118" spans="1:41" ht="15" customHeight="1">
      <c r="A118" s="259" t="s">
        <v>2643</v>
      </c>
      <c r="B118" s="260">
        <f>'Dry_Litterbag Placem_Collection'!A119</f>
        <v>117</v>
      </c>
      <c r="C118" s="260" t="str">
        <f>'Dry_Litterbag Placem_Collection'!B119</f>
        <v xml:space="preserve">Mwantimba
</v>
      </c>
      <c r="D118" s="260" t="s">
        <v>2454</v>
      </c>
      <c r="E118" s="260" t="s">
        <v>2644</v>
      </c>
      <c r="F118" s="260">
        <v>3</v>
      </c>
      <c r="G118" s="260" t="s">
        <v>3818</v>
      </c>
      <c r="H118" s="261" t="str">
        <f>'Dry_Litterbag Placem_Collection'!C119</f>
        <v>Wet_Ag3_T5</v>
      </c>
      <c r="I118" s="262" t="s">
        <v>2525</v>
      </c>
      <c r="J118" s="263" t="s">
        <v>1147</v>
      </c>
      <c r="K118" s="260" t="str">
        <f>IF(ISBLANK('Dry_Litterbag Placem_Collection'!J119),"","G"&amp;""&amp;'Dry_Litterbag Placem_Collection'!J119)</f>
        <v>G533</v>
      </c>
      <c r="L118" s="264">
        <f>IFERROR(INDEX('Green_rooibos initial weight'!$C$5:$C$2000,MATCH(K118, 'Green_rooibos initial weight'!$A$5:$A$2000,0)),"")</f>
        <v>2.1070000000000002</v>
      </c>
      <c r="M118" s="264">
        <f>IFERROR(L118-(TBIcalc!$Q$9+TBIcalc!$Q$10),"")</f>
        <v>1.8572000000000002</v>
      </c>
      <c r="N118" s="385">
        <f>AVERAGE(Ashed_controlls!$K$2:$K$11)</f>
        <v>5.5147656768714146</v>
      </c>
      <c r="O118" s="264">
        <f t="shared" si="6"/>
        <v>1.7547797718491442</v>
      </c>
      <c r="P118" s="264" t="str">
        <f>IFERROR(INDEX('Both teabags AfterDry'!$D$2:$D$2000,MATCH(K118,'Both teabags AfterDry'!$A$2:$A$2000,0)),"")</f>
        <v/>
      </c>
      <c r="Q118" s="264" t="str">
        <f>IFERROR(IF(P118&gt;0,P118-(TBIcalc!$Q$9),""),"")</f>
        <v/>
      </c>
      <c r="R118" s="275" t="str">
        <f>IFERROR(INDEX('Ashed teabags dry'!$K$2:$K$2000,MATCH(K118,'Ashed teabags dry'!$A$2:$A$2000,0)),"")</f>
        <v/>
      </c>
      <c r="S118" s="275" t="str">
        <f t="shared" si="7"/>
        <v/>
      </c>
      <c r="T118" s="265">
        <f>IF('Dry_Litterbag Placem_Collection'!E119="","",'Dry_Litterbag Placem_Collection'!E119)</f>
        <v>42939</v>
      </c>
      <c r="U118" s="265">
        <f>IF('Dry_Litterbag Placem_Collection'!G119="","",'Dry_Litterbag Placem_Collection'!G119)</f>
        <v>43008</v>
      </c>
      <c r="V118" s="266">
        <f t="shared" si="5"/>
        <v>69</v>
      </c>
      <c r="W118" s="264" t="str">
        <f t="shared" si="8"/>
        <v/>
      </c>
      <c r="X118" s="264" t="str">
        <f t="shared" si="9"/>
        <v/>
      </c>
      <c r="Y118" s="268">
        <f>IFERROR(INDEX(Rainfall_Dry!$O$2:$O$217,MATCH(B118, Rainfall_Dry!$A$2:$A$217,0)),"")</f>
        <v>136.27214243</v>
      </c>
      <c r="Z118" s="257">
        <v>27.96</v>
      </c>
      <c r="AA118" s="257">
        <v>4.9200000000000017</v>
      </c>
      <c r="AB118" s="257">
        <v>67.12</v>
      </c>
      <c r="AC118" s="258" t="s">
        <v>2654</v>
      </c>
      <c r="AD118" s="257">
        <v>4.8861015278462299</v>
      </c>
      <c r="AE118">
        <f>IF('WetLitterbags placem_collection'!AB119="","",'WetLitterbags placem_collection'!AB119)</f>
        <v>23.5</v>
      </c>
      <c r="AF118">
        <f>IF('WetLitterbags placem_collection'!Z119="","",'WetLitterbags placem_collection'!Z119)</f>
        <v>76</v>
      </c>
      <c r="AG118" s="243" t="str">
        <f>IF('WetLitterbags placem_collection'!AA119="","",'WetLitterbags placem_collection'!AA119)</f>
        <v>G</v>
      </c>
      <c r="AH118">
        <f>IF('WetLitterbags placem_collection'!AC119="","",'WetLitterbags placem_collection'!AC119)</f>
        <v>1</v>
      </c>
      <c r="AI118">
        <f>IFERROR(AVERAGE('Dry_Litterbag Placem_Collection'!O119,'Dry_Litterbag Placem_Collection'!R119),"")</f>
        <v>10.149999999999999</v>
      </c>
      <c r="AJ118" s="268">
        <f>IFERROR(AVERAGE('Dry_Litterbag Placem_Collection'!N119,'Dry_Litterbag Placem_Collection'!Q119),"")</f>
        <v>29.05</v>
      </c>
      <c r="AK118" s="267">
        <f>INDEX(Coordinates!$B$2:$B$197,MATCH(H118,Coordinates!$J$2:$J$197,0))</f>
        <v>-2.348814961</v>
      </c>
      <c r="AL118" s="267">
        <f>INDEX(Coordinates!$C$2:$C$197,MATCH(H118,Coordinates!$J$2:$J$197,0))</f>
        <v>34.051439979999998</v>
      </c>
      <c r="AM118" s="267" t="str">
        <f>IF(ISNUMBER(SEARCH("C", 'Dry_Litterbag Placem_Collection'!S119)),"YES","NO")</f>
        <v>NO</v>
      </c>
      <c r="AN118" s="267" t="str">
        <f>IF(ISNUMBER(SEARCH("H", 'Dry_Litterbag Placem_Collection'!S119)),"YES","NO")</f>
        <v>NO</v>
      </c>
      <c r="AO118" s="267" t="str">
        <f>IF(ISNUMBER(SEARCH("R", 'Dry_Litterbag Placem_Collection'!S119)),"YES","NO")</f>
        <v>YES</v>
      </c>
    </row>
    <row r="119" spans="1:41" ht="15" customHeight="1">
      <c r="A119" s="259" t="s">
        <v>2643</v>
      </c>
      <c r="B119" s="260">
        <f>'Dry_Litterbag Placem_Collection'!A120</f>
        <v>118</v>
      </c>
      <c r="C119" s="260" t="str">
        <f>'Dry_Litterbag Placem_Collection'!B120</f>
        <v xml:space="preserve">Mwantimba
</v>
      </c>
      <c r="D119" s="260" t="s">
        <v>2454</v>
      </c>
      <c r="E119" s="260" t="s">
        <v>2644</v>
      </c>
      <c r="F119" s="260">
        <v>3</v>
      </c>
      <c r="G119" s="260" t="s">
        <v>3818</v>
      </c>
      <c r="H119" s="261" t="str">
        <f>'Dry_Litterbag Placem_Collection'!C120</f>
        <v>Wet_Ag3_T6</v>
      </c>
      <c r="I119" s="262" t="s">
        <v>2525</v>
      </c>
      <c r="J119" s="263" t="s">
        <v>1147</v>
      </c>
      <c r="K119" s="260" t="str">
        <f>IF(ISBLANK('Dry_Litterbag Placem_Collection'!J120),"","G"&amp;""&amp;'Dry_Litterbag Placem_Collection'!J120)</f>
        <v>G200</v>
      </c>
      <c r="L119" s="264">
        <f>IFERROR(INDEX('Green_rooibos initial weight'!$C$5:$C$2000,MATCH(K119, 'Green_rooibos initial weight'!$A$5:$A$2000,0)),"")</f>
        <v>2.0150000000000001</v>
      </c>
      <c r="M119" s="264">
        <f>IFERROR(L119-(TBIcalc!$Q$9+TBIcalc!$Q$10),"")</f>
        <v>1.7652000000000001</v>
      </c>
      <c r="N119" s="385">
        <f>AVERAGE(Ashed_controlls!$K$2:$K$11)</f>
        <v>5.5147656768714146</v>
      </c>
      <c r="O119" s="264">
        <f t="shared" si="6"/>
        <v>1.6678533562718658</v>
      </c>
      <c r="P119" s="264">
        <f>IFERROR(INDEX('Both teabags AfterDry'!$D$2:$D$2000,MATCH(K119,'Both teabags AfterDry'!$A$2:$A$2000,0)),"")</f>
        <v>0.71760000000000002</v>
      </c>
      <c r="Q119" s="264">
        <f>IFERROR(IF(P119&gt;0,P119-(TBIcalc!$Q$9),""),"")</f>
        <v>0.56699999999999995</v>
      </c>
      <c r="R119" s="275">
        <f>IFERROR(INDEX('Ashed teabags dry'!$K$2:$K$2000,MATCH(K119,'Ashed teabags dry'!$A$2:$A$2000,0)),"")</f>
        <v>18.547215496368619</v>
      </c>
      <c r="S119" s="275">
        <f t="shared" si="7"/>
        <v>0.46183728813558989</v>
      </c>
      <c r="T119" s="265">
        <f>IF('Dry_Litterbag Placem_Collection'!E120="","",'Dry_Litterbag Placem_Collection'!E120)</f>
        <v>42939</v>
      </c>
      <c r="U119" s="265">
        <f>IF('Dry_Litterbag Placem_Collection'!G120="","",'Dry_Litterbag Placem_Collection'!G120)</f>
        <v>43008</v>
      </c>
      <c r="V119" s="266">
        <f t="shared" si="5"/>
        <v>69</v>
      </c>
      <c r="W119" s="264">
        <f t="shared" si="8"/>
        <v>1.1982000000000002</v>
      </c>
      <c r="X119" s="264">
        <f t="shared" si="9"/>
        <v>1.2060160681362759</v>
      </c>
      <c r="Y119" s="268">
        <f>IFERROR(INDEX(Rainfall_Dry!$O$2:$O$217,MATCH(B119, Rainfall_Dry!$A$2:$A$217,0)),"")</f>
        <v>136.27214243</v>
      </c>
      <c r="Z119" s="257">
        <v>27.96</v>
      </c>
      <c r="AA119" s="257">
        <v>4.9200000000000017</v>
      </c>
      <c r="AB119" s="257">
        <v>67.12</v>
      </c>
      <c r="AC119" s="258" t="s">
        <v>2654</v>
      </c>
      <c r="AD119" s="257">
        <v>5.8861015278462299</v>
      </c>
      <c r="AE119">
        <f>IF('WetLitterbags placem_collection'!AB120="","",'WetLitterbags placem_collection'!AB120)</f>
        <v>17.5</v>
      </c>
      <c r="AF119">
        <f>IF('WetLitterbags placem_collection'!Z120="","",'WetLitterbags placem_collection'!Z120)</f>
        <v>70.5</v>
      </c>
      <c r="AG119" s="243" t="str">
        <f>IF('WetLitterbags placem_collection'!AA120="","",'WetLitterbags placem_collection'!AA120)</f>
        <v>G</v>
      </c>
      <c r="AH119">
        <f>IF('WetLitterbags placem_collection'!AC120="","",'WetLitterbags placem_collection'!AC120)</f>
        <v>1</v>
      </c>
      <c r="AI119">
        <f>IFERROR(AVERAGE('Dry_Litterbag Placem_Collection'!O120,'Dry_Litterbag Placem_Collection'!R120),"")</f>
        <v>7.8000000000000007</v>
      </c>
      <c r="AJ119" s="268">
        <f>IFERROR(AVERAGE('Dry_Litterbag Placem_Collection'!N120,'Dry_Litterbag Placem_Collection'!Q120),"")</f>
        <v>28.25</v>
      </c>
      <c r="AK119" s="267">
        <f>INDEX(Coordinates!$B$2:$B$197,MATCH(H119,Coordinates!$J$2:$J$197,0))</f>
        <v>-2.3488729629999998</v>
      </c>
      <c r="AL119" s="267">
        <f>INDEX(Coordinates!$C$2:$C$197,MATCH(H119,Coordinates!$J$2:$J$197,0))</f>
        <v>34.051454980000003</v>
      </c>
      <c r="AM119" s="267" t="str">
        <f>IF(ISNUMBER(SEARCH("C", 'Dry_Litterbag Placem_Collection'!S120)),"YES","NO")</f>
        <v>NO</v>
      </c>
      <c r="AN119" s="267" t="str">
        <f>IF(ISNUMBER(SEARCH("H", 'Dry_Litterbag Placem_Collection'!S120)),"YES","NO")</f>
        <v>YES</v>
      </c>
      <c r="AO119" s="267" t="str">
        <f>IF(ISNUMBER(SEARCH("R", 'Dry_Litterbag Placem_Collection'!S120)),"YES","NO")</f>
        <v>YES</v>
      </c>
    </row>
    <row r="120" spans="1:41" ht="15" customHeight="1">
      <c r="A120" s="259" t="s">
        <v>2643</v>
      </c>
      <c r="B120" s="260">
        <f>'Dry_Litterbag Placem_Collection'!A121</f>
        <v>119</v>
      </c>
      <c r="C120" s="260" t="str">
        <f>'Dry_Litterbag Placem_Collection'!B121</f>
        <v xml:space="preserve">Mwantimba
</v>
      </c>
      <c r="D120" s="260" t="s">
        <v>2454</v>
      </c>
      <c r="E120" s="260" t="s">
        <v>2644</v>
      </c>
      <c r="F120" s="260">
        <v>3</v>
      </c>
      <c r="G120" s="260" t="s">
        <v>3818</v>
      </c>
      <c r="H120" s="261" t="str">
        <f>'Dry_Litterbag Placem_Collection'!C121</f>
        <v>Wet_Ag3_T7</v>
      </c>
      <c r="I120" s="262" t="s">
        <v>2525</v>
      </c>
      <c r="J120" s="263" t="s">
        <v>1147</v>
      </c>
      <c r="K120" s="260" t="str">
        <f>IF(ISBLANK('Dry_Litterbag Placem_Collection'!J121),"","G"&amp;""&amp;'Dry_Litterbag Placem_Collection'!J121)</f>
        <v>G236</v>
      </c>
      <c r="L120" s="264">
        <f>IFERROR(INDEX('Green_rooibos initial weight'!$C$5:$C$2000,MATCH(K120, 'Green_rooibos initial weight'!$A$5:$A$2000,0)),"")</f>
        <v>2.0529999999999999</v>
      </c>
      <c r="M120" s="264">
        <f>IFERROR(L120-(TBIcalc!$Q$9+TBIcalc!$Q$10),"")</f>
        <v>1.8031999999999999</v>
      </c>
      <c r="N120" s="385">
        <f>AVERAGE(Ashed_controlls!$K$2:$K$11)</f>
        <v>5.5147656768714146</v>
      </c>
      <c r="O120" s="264">
        <f t="shared" si="6"/>
        <v>1.7037577453146546</v>
      </c>
      <c r="P120" s="264">
        <f>IFERROR(INDEX('Both teabags AfterDry'!$D$2:$D$2000,MATCH(K120,'Both teabags AfterDry'!$A$2:$A$2000,0)),"")</f>
        <v>0.81489999999999996</v>
      </c>
      <c r="Q120" s="264">
        <f>IFERROR(IF(P120&gt;0,P120-(TBIcalc!$Q$9),""),"")</f>
        <v>0.66429999999999989</v>
      </c>
      <c r="R120" s="275">
        <f>IFERROR(INDEX('Ashed teabags dry'!$K$2:$K$2000,MATCH(K120,'Ashed teabags dry'!$A$2:$A$2000,0)),"")</f>
        <v>19.0062711046786</v>
      </c>
      <c r="S120" s="275">
        <f t="shared" si="7"/>
        <v>0.53804134105162005</v>
      </c>
      <c r="T120" s="265">
        <f>IF('Dry_Litterbag Placem_Collection'!E121="","",'Dry_Litterbag Placem_Collection'!E121)</f>
        <v>42939</v>
      </c>
      <c r="U120" s="265">
        <f>IF('Dry_Litterbag Placem_Collection'!G121="","",'Dry_Litterbag Placem_Collection'!G121)</f>
        <v>43008</v>
      </c>
      <c r="V120" s="266">
        <f t="shared" si="5"/>
        <v>69</v>
      </c>
      <c r="W120" s="264">
        <f t="shared" si="8"/>
        <v>1.1389</v>
      </c>
      <c r="X120" s="264">
        <f t="shared" si="9"/>
        <v>1.1657164042630346</v>
      </c>
      <c r="Y120" s="268">
        <f>IFERROR(INDEX(Rainfall_Dry!$O$2:$O$217,MATCH(B120, Rainfall_Dry!$A$2:$A$217,0)),"")</f>
        <v>136.27214243</v>
      </c>
      <c r="Z120" s="257">
        <v>27.96</v>
      </c>
      <c r="AA120" s="257">
        <v>4.9200000000000017</v>
      </c>
      <c r="AB120" s="257">
        <v>67.12</v>
      </c>
      <c r="AC120" s="258" t="s">
        <v>2654</v>
      </c>
      <c r="AD120" s="257">
        <v>6.8861015278462299</v>
      </c>
      <c r="AE120">
        <f>IF('WetLitterbags placem_collection'!AB121="","",'WetLitterbags placem_collection'!AB121)</f>
        <v>18.5</v>
      </c>
      <c r="AF120">
        <f>IF('WetLitterbags placem_collection'!Z121="","",'WetLitterbags placem_collection'!Z121)</f>
        <v>74.5</v>
      </c>
      <c r="AG120" s="243" t="str">
        <f>IF('WetLitterbags placem_collection'!AA121="","",'WetLitterbags placem_collection'!AA121)</f>
        <v>G</v>
      </c>
      <c r="AH120">
        <f>IF('WetLitterbags placem_collection'!AC121="","",'WetLitterbags placem_collection'!AC121)</f>
        <v>1</v>
      </c>
      <c r="AI120">
        <f>IFERROR(AVERAGE('Dry_Litterbag Placem_Collection'!O121,'Dry_Litterbag Placem_Collection'!R121),"")</f>
        <v>10.050000000000001</v>
      </c>
      <c r="AJ120" s="268">
        <f>IFERROR(AVERAGE('Dry_Litterbag Placem_Collection'!N121,'Dry_Litterbag Placem_Collection'!Q121),"")</f>
        <v>27.95</v>
      </c>
      <c r="AK120" s="267">
        <f>INDEX(Coordinates!$B$2:$B$197,MATCH(H120,Coordinates!$J$2:$J$197,0))</f>
        <v>-2.3488589659999999</v>
      </c>
      <c r="AL120" s="267">
        <f>INDEX(Coordinates!$C$2:$C$197,MATCH(H120,Coordinates!$J$2:$J$197,0))</f>
        <v>34.051389010000001</v>
      </c>
      <c r="AM120" s="267" t="str">
        <f>IF(ISNUMBER(SEARCH("C", 'Dry_Litterbag Placem_Collection'!S121)),"YES","NO")</f>
        <v>NO</v>
      </c>
      <c r="AN120" s="267" t="str">
        <f>IF(ISNUMBER(SEARCH("H", 'Dry_Litterbag Placem_Collection'!S121)),"YES","NO")</f>
        <v>YES</v>
      </c>
      <c r="AO120" s="267" t="str">
        <f>IF(ISNUMBER(SEARCH("R", 'Dry_Litterbag Placem_Collection'!S121)),"YES","NO")</f>
        <v>NO</v>
      </c>
    </row>
    <row r="121" spans="1:41" ht="15" customHeight="1">
      <c r="A121" s="259" t="s">
        <v>2643</v>
      </c>
      <c r="B121" s="260">
        <f>'Dry_Litterbag Placem_Collection'!A122</f>
        <v>120</v>
      </c>
      <c r="C121" s="260" t="str">
        <f>'Dry_Litterbag Placem_Collection'!B122</f>
        <v xml:space="preserve">Mwantimba
</v>
      </c>
      <c r="D121" s="260" t="s">
        <v>2454</v>
      </c>
      <c r="E121" s="260" t="s">
        <v>2644</v>
      </c>
      <c r="F121" s="260">
        <v>3</v>
      </c>
      <c r="G121" s="260" t="s">
        <v>3818</v>
      </c>
      <c r="H121" s="261" t="str">
        <f>'Dry_Litterbag Placem_Collection'!C122</f>
        <v>Wet_Ag3_T8</v>
      </c>
      <c r="I121" s="262" t="s">
        <v>2525</v>
      </c>
      <c r="J121" s="263" t="s">
        <v>1147</v>
      </c>
      <c r="K121" s="260" t="str">
        <f>IF(ISBLANK('Dry_Litterbag Placem_Collection'!J122),"","G"&amp;""&amp;'Dry_Litterbag Placem_Collection'!J122)</f>
        <v/>
      </c>
      <c r="L121" s="264" t="str">
        <f>IFERROR(INDEX('Green_rooibos initial weight'!$C$5:$C$2000,MATCH(K121, 'Green_rooibos initial weight'!$A$5:$A$2000,0)),"")</f>
        <v/>
      </c>
      <c r="M121" s="264" t="str">
        <f>IFERROR(L121-(TBIcalc!$Q$9+TBIcalc!$Q$10),"")</f>
        <v/>
      </c>
      <c r="N121" s="385">
        <f>AVERAGE(Ashed_controlls!$K$2:$K$11)</f>
        <v>5.5147656768714146</v>
      </c>
      <c r="O121" s="264" t="str">
        <f t="shared" si="6"/>
        <v/>
      </c>
      <c r="P121" s="264" t="str">
        <f>IFERROR(INDEX('Both teabags AfterDry'!$D$2:$D$2000,MATCH(K121,'Both teabags AfterDry'!$A$2:$A$2000,0)),"")</f>
        <v/>
      </c>
      <c r="Q121" s="264" t="str">
        <f>IFERROR(IF(P121&gt;0,P121-(TBIcalc!$Q$9),""),"")</f>
        <v/>
      </c>
      <c r="R121" s="275" t="str">
        <f>IFERROR(INDEX('Ashed teabags dry'!$K$2:$K$2000,MATCH(K121,'Ashed teabags dry'!$A$2:$A$2000,0)),"")</f>
        <v/>
      </c>
      <c r="S121" s="275" t="str">
        <f t="shared" si="7"/>
        <v/>
      </c>
      <c r="T121" s="265" t="str">
        <f>IF('Dry_Litterbag Placem_Collection'!E122="","",'Dry_Litterbag Placem_Collection'!E122)</f>
        <v/>
      </c>
      <c r="U121" s="265" t="str">
        <f>IF('Dry_Litterbag Placem_Collection'!G122="","",'Dry_Litterbag Placem_Collection'!G122)</f>
        <v/>
      </c>
      <c r="V121" s="266" t="str">
        <f t="shared" si="5"/>
        <v/>
      </c>
      <c r="W121" s="264" t="str">
        <f t="shared" si="8"/>
        <v/>
      </c>
      <c r="X121" s="264" t="str">
        <f t="shared" si="9"/>
        <v/>
      </c>
      <c r="Y121" s="268" t="str">
        <f>IFERROR(INDEX(Rainfall_Dry!$O$2:$O$217,MATCH(B121, Rainfall_Dry!$A$2:$A$217,0)),"")</f>
        <v/>
      </c>
      <c r="Z121" s="257">
        <v>27.96</v>
      </c>
      <c r="AA121" s="257">
        <v>4.9200000000000017</v>
      </c>
      <c r="AB121" s="257">
        <v>67.12</v>
      </c>
      <c r="AC121" s="258" t="s">
        <v>2654</v>
      </c>
      <c r="AD121" s="257">
        <v>7.8861015278462299</v>
      </c>
      <c r="AE121">
        <f>IF('WetLitterbags placem_collection'!AB122="","",'WetLitterbags placem_collection'!AB122)</f>
        <v>19</v>
      </c>
      <c r="AF121">
        <f>IF('WetLitterbags placem_collection'!Z122="","",'WetLitterbags placem_collection'!Z122)</f>
        <v>98.5</v>
      </c>
      <c r="AG121" s="243" t="str">
        <f>IF('WetLitterbags placem_collection'!AA122="","",'WetLitterbags placem_collection'!AA122)</f>
        <v>G</v>
      </c>
      <c r="AH121">
        <f>IF('WetLitterbags placem_collection'!AC122="","",'WetLitterbags placem_collection'!AC122)</f>
        <v>0</v>
      </c>
      <c r="AI121" t="str">
        <f>IFERROR(AVERAGE('Dry_Litterbag Placem_Collection'!O122,'Dry_Litterbag Placem_Collection'!R122),"")</f>
        <v/>
      </c>
      <c r="AJ121" s="268" t="str">
        <f>IFERROR(AVERAGE('Dry_Litterbag Placem_Collection'!N122,'Dry_Litterbag Placem_Collection'!Q122),"")</f>
        <v/>
      </c>
      <c r="AK121" s="267">
        <f>INDEX(Coordinates!$B$2:$B$197,MATCH(H121,Coordinates!$J$2:$J$197,0))</f>
        <v>-2.3486449760000001</v>
      </c>
      <c r="AL121" s="267">
        <f>INDEX(Coordinates!$C$2:$C$197,MATCH(H121,Coordinates!$J$2:$J$197,0))</f>
        <v>34.051495969999998</v>
      </c>
      <c r="AM121" s="267" t="str">
        <f>IF(ISNUMBER(SEARCH("C", 'Dry_Litterbag Placem_Collection'!S122)),"YES","NO")</f>
        <v>NO</v>
      </c>
      <c r="AN121" s="267" t="str">
        <f>IF(ISNUMBER(SEARCH("H", 'Dry_Litterbag Placem_Collection'!S122)),"YES","NO")</f>
        <v>NO</v>
      </c>
      <c r="AO121" s="267" t="str">
        <f>IF(ISNUMBER(SEARCH("R", 'Dry_Litterbag Placem_Collection'!S122)),"YES","NO")</f>
        <v>NO</v>
      </c>
    </row>
    <row r="122" spans="1:41" ht="15" customHeight="1">
      <c r="A122" s="259" t="s">
        <v>2643</v>
      </c>
      <c r="B122" s="260">
        <f>'Dry_Litterbag Placem_Collection'!A123</f>
        <v>121</v>
      </c>
      <c r="C122" s="260" t="str">
        <f>'Dry_Litterbag Placem_Collection'!B123</f>
        <v xml:space="preserve">Mwantimba
</v>
      </c>
      <c r="D122" s="260" t="s">
        <v>2454</v>
      </c>
      <c r="E122" s="260" t="s">
        <v>2644</v>
      </c>
      <c r="F122" s="260">
        <v>4</v>
      </c>
      <c r="G122" s="260" t="s">
        <v>3819</v>
      </c>
      <c r="H122" s="261" t="str">
        <f>'Dry_Litterbag Placem_Collection'!C123</f>
        <v>Wet_Ag4_T1</v>
      </c>
      <c r="I122" s="262" t="s">
        <v>2525</v>
      </c>
      <c r="J122" s="263" t="s">
        <v>1147</v>
      </c>
      <c r="K122" s="260" t="str">
        <f>IF(ISBLANK('Dry_Litterbag Placem_Collection'!J123),"","G"&amp;""&amp;'Dry_Litterbag Placem_Collection'!J123)</f>
        <v>G280</v>
      </c>
      <c r="L122" s="264">
        <f>IFERROR(INDEX('Green_rooibos initial weight'!$C$5:$C$2000,MATCH(K122, 'Green_rooibos initial weight'!$A$5:$A$2000,0)),"")</f>
        <v>1.9450000000000001</v>
      </c>
      <c r="M122" s="264">
        <f>IFERROR(L122-(TBIcalc!$Q$9+TBIcalc!$Q$10),"")</f>
        <v>1.6952</v>
      </c>
      <c r="N122" s="385">
        <f>AVERAGE(Ashed_controlls!$K$2:$K$11)</f>
        <v>5.5147656768714146</v>
      </c>
      <c r="O122" s="264">
        <f t="shared" si="6"/>
        <v>1.6017136922456758</v>
      </c>
      <c r="P122" s="264" t="str">
        <f>IFERROR(INDEX('Both teabags AfterDry'!$D$2:$D$2000,MATCH(K122,'Both teabags AfterDry'!$A$2:$A$2000,0)),"")</f>
        <v/>
      </c>
      <c r="Q122" s="264" t="str">
        <f>IFERROR(IF(P122&gt;0,P122-(TBIcalc!$Q$9),""),"")</f>
        <v/>
      </c>
      <c r="R122" s="275" t="str">
        <f>IFERROR(INDEX('Ashed teabags dry'!$K$2:$K$2000,MATCH(K122,'Ashed teabags dry'!$A$2:$A$2000,0)),"")</f>
        <v/>
      </c>
      <c r="S122" s="275" t="str">
        <f t="shared" si="7"/>
        <v/>
      </c>
      <c r="T122" s="265">
        <f>IF('Dry_Litterbag Placem_Collection'!E123="","",'Dry_Litterbag Placem_Collection'!E123)</f>
        <v>42939</v>
      </c>
      <c r="U122" s="265">
        <f>IF('Dry_Litterbag Placem_Collection'!G123="","",'Dry_Litterbag Placem_Collection'!G123)</f>
        <v>43008</v>
      </c>
      <c r="V122" s="266">
        <f t="shared" si="5"/>
        <v>69</v>
      </c>
      <c r="W122" s="264" t="str">
        <f t="shared" si="8"/>
        <v/>
      </c>
      <c r="X122" s="264" t="str">
        <f t="shared" si="9"/>
        <v/>
      </c>
      <c r="Y122" s="268">
        <f>IFERROR(INDEX(Rainfall_Dry!$O$2:$O$217,MATCH(B122, Rainfall_Dry!$A$2:$A$217,0)),"")</f>
        <v>136.27214243</v>
      </c>
      <c r="Z122" s="257">
        <v>17.96</v>
      </c>
      <c r="AA122" s="257">
        <v>4.9199999999999982</v>
      </c>
      <c r="AB122" s="257">
        <v>77.12</v>
      </c>
      <c r="AC122" s="258" t="s">
        <v>2655</v>
      </c>
      <c r="AD122" s="257">
        <v>2.0220798422868409</v>
      </c>
      <c r="AE122">
        <f>IF('WetLitterbags placem_collection'!AB123="","",'WetLitterbags placem_collection'!AB123)</f>
        <v>9.65</v>
      </c>
      <c r="AF122">
        <f>IF('WetLitterbags placem_collection'!Z123="","",'WetLitterbags placem_collection'!Z123)</f>
        <v>63</v>
      </c>
      <c r="AG122" s="243" t="str">
        <f>IF('WetLitterbags placem_collection'!AA123="","",'WetLitterbags placem_collection'!AA123)</f>
        <v>G</v>
      </c>
      <c r="AH122">
        <f>IF('WetLitterbags placem_collection'!AC123="","",'WetLitterbags placem_collection'!AC123)</f>
        <v>0</v>
      </c>
      <c r="AI122">
        <f>IFERROR(AVERAGE('Dry_Litterbag Placem_Collection'!O123,'Dry_Litterbag Placem_Collection'!R123),"")</f>
        <v>5.5</v>
      </c>
      <c r="AJ122" s="268">
        <f>IFERROR(AVERAGE('Dry_Litterbag Placem_Collection'!N123,'Dry_Litterbag Placem_Collection'!Q123),"")</f>
        <v>29.1</v>
      </c>
      <c r="AK122" s="267">
        <f>INDEX(Coordinates!$B$2:$B$197,MATCH(H122,Coordinates!$J$2:$J$197,0))</f>
        <v>-2.3492639789999998</v>
      </c>
      <c r="AL122" s="267">
        <f>INDEX(Coordinates!$C$2:$C$197,MATCH(H122,Coordinates!$J$2:$J$197,0))</f>
        <v>34.051464029999998</v>
      </c>
      <c r="AM122" s="267" t="str">
        <f>IF(ISNUMBER(SEARCH("C", 'Dry_Litterbag Placem_Collection'!S123)),"YES","NO")</f>
        <v>NO</v>
      </c>
      <c r="AN122" s="267" t="str">
        <f>IF(ISNUMBER(SEARCH("H", 'Dry_Litterbag Placem_Collection'!S123)),"YES","NO")</f>
        <v>NO</v>
      </c>
      <c r="AO122" s="267" t="str">
        <f>IF(ISNUMBER(SEARCH("R", 'Dry_Litterbag Placem_Collection'!S123)),"YES","NO")</f>
        <v>NO</v>
      </c>
    </row>
    <row r="123" spans="1:41" ht="15" customHeight="1">
      <c r="A123" s="259" t="s">
        <v>2643</v>
      </c>
      <c r="B123" s="260">
        <f>'Dry_Litterbag Placem_Collection'!A124</f>
        <v>122</v>
      </c>
      <c r="C123" s="260" t="str">
        <f>'Dry_Litterbag Placem_Collection'!B124</f>
        <v xml:space="preserve">Mwantimba
</v>
      </c>
      <c r="D123" s="260" t="s">
        <v>2454</v>
      </c>
      <c r="E123" s="260" t="s">
        <v>2644</v>
      </c>
      <c r="F123" s="260">
        <v>4</v>
      </c>
      <c r="G123" s="260" t="s">
        <v>3819</v>
      </c>
      <c r="H123" s="261" t="str">
        <f>'Dry_Litterbag Placem_Collection'!C124</f>
        <v>Wet_Ag4_T2</v>
      </c>
      <c r="I123" s="262" t="s">
        <v>2525</v>
      </c>
      <c r="J123" s="263" t="s">
        <v>1147</v>
      </c>
      <c r="K123" s="260" t="str">
        <f>IF(ISBLANK('Dry_Litterbag Placem_Collection'!J124),"","G"&amp;""&amp;'Dry_Litterbag Placem_Collection'!J124)</f>
        <v>G231</v>
      </c>
      <c r="L123" s="264">
        <f>IFERROR(INDEX('Green_rooibos initial weight'!$C$5:$C$2000,MATCH(K123, 'Green_rooibos initial weight'!$A$5:$A$2000,0)),"")</f>
        <v>2.085</v>
      </c>
      <c r="M123" s="264">
        <f>IFERROR(L123-(TBIcalc!$Q$9+TBIcalc!$Q$10),"")</f>
        <v>1.8351999999999999</v>
      </c>
      <c r="N123" s="385">
        <f>AVERAGE(Ashed_controlls!$K$2:$K$11)</f>
        <v>5.5147656768714146</v>
      </c>
      <c r="O123" s="264">
        <f t="shared" si="6"/>
        <v>1.7339930202980558</v>
      </c>
      <c r="P123" s="264">
        <f>IFERROR(INDEX('Both teabags AfterDry'!$D$2:$D$2000,MATCH(K123,'Both teabags AfterDry'!$A$2:$A$2000,0)),"")</f>
        <v>0.78859999999999997</v>
      </c>
      <c r="Q123" s="264">
        <f>IFERROR(IF(P123&gt;0,P123-(TBIcalc!$Q$9),""),"")</f>
        <v>0.6379999999999999</v>
      </c>
      <c r="R123" s="275">
        <f>IFERROR(INDEX('Ashed teabags dry'!$K$2:$K$2000,MATCH(K123,'Ashed teabags dry'!$A$2:$A$2000,0)),"")</f>
        <v>27.063339731285495</v>
      </c>
      <c r="S123" s="275">
        <f t="shared" si="7"/>
        <v>0.46533589251439844</v>
      </c>
      <c r="T123" s="265">
        <f>IF('Dry_Litterbag Placem_Collection'!E124="","",'Dry_Litterbag Placem_Collection'!E124)</f>
        <v>42939</v>
      </c>
      <c r="U123" s="265">
        <f>IF('Dry_Litterbag Placem_Collection'!G124="","",'Dry_Litterbag Placem_Collection'!G124)</f>
        <v>43008</v>
      </c>
      <c r="V123" s="266">
        <f t="shared" si="5"/>
        <v>69</v>
      </c>
      <c r="W123" s="264">
        <f t="shared" si="8"/>
        <v>1.1972</v>
      </c>
      <c r="X123" s="264">
        <f t="shared" si="9"/>
        <v>1.2686571277836574</v>
      </c>
      <c r="Y123" s="268">
        <f>IFERROR(INDEX(Rainfall_Dry!$O$2:$O$217,MATCH(B123, Rainfall_Dry!$A$2:$A$217,0)),"")</f>
        <v>136.27214243</v>
      </c>
      <c r="Z123" s="257">
        <v>17.96</v>
      </c>
      <c r="AA123" s="257">
        <v>4.9199999999999982</v>
      </c>
      <c r="AB123" s="257">
        <v>77.12</v>
      </c>
      <c r="AC123" s="258" t="s">
        <v>2655</v>
      </c>
      <c r="AD123" s="257">
        <v>3.02207984228684</v>
      </c>
      <c r="AE123">
        <f>IF('WetLitterbags placem_collection'!AB124="","",'WetLitterbags placem_collection'!AB124)</f>
        <v>3.1</v>
      </c>
      <c r="AF123">
        <f>IF('WetLitterbags placem_collection'!Z124="","",'WetLitterbags placem_collection'!Z124)</f>
        <v>53</v>
      </c>
      <c r="AG123" s="243" t="str">
        <f>IF('WetLitterbags placem_collection'!AA124="","",'WetLitterbags placem_collection'!AA124)</f>
        <v>G</v>
      </c>
      <c r="AH123">
        <f>IF('WetLitterbags placem_collection'!AC124="","",'WetLitterbags placem_collection'!AC124)</f>
        <v>0</v>
      </c>
      <c r="AI123">
        <f>IFERROR(AVERAGE('Dry_Litterbag Placem_Collection'!O124,'Dry_Litterbag Placem_Collection'!R124),"")</f>
        <v>9.0500000000000007</v>
      </c>
      <c r="AJ123" s="268">
        <f>IFERROR(AVERAGE('Dry_Litterbag Placem_Collection'!N124,'Dry_Litterbag Placem_Collection'!Q124),"")</f>
        <v>28.55</v>
      </c>
      <c r="AK123" s="267">
        <f>INDEX(Coordinates!$B$2:$B$197,MATCH(H123,Coordinates!$J$2:$J$197,0))</f>
        <v>-2.34923196</v>
      </c>
      <c r="AL123" s="267">
        <f>INDEX(Coordinates!$C$2:$C$197,MATCH(H123,Coordinates!$J$2:$J$197,0))</f>
        <v>34.051422039999999</v>
      </c>
      <c r="AM123" s="267" t="str">
        <f>IF(ISNUMBER(SEARCH("C", 'Dry_Litterbag Placem_Collection'!S124)),"YES","NO")</f>
        <v>NO</v>
      </c>
      <c r="AN123" s="267" t="str">
        <f>IF(ISNUMBER(SEARCH("H", 'Dry_Litterbag Placem_Collection'!S124)),"YES","NO")</f>
        <v>YES</v>
      </c>
      <c r="AO123" s="267" t="str">
        <f>IF(ISNUMBER(SEARCH("R", 'Dry_Litterbag Placem_Collection'!S124)),"YES","NO")</f>
        <v>NO</v>
      </c>
    </row>
    <row r="124" spans="1:41" ht="15" customHeight="1">
      <c r="A124" s="259" t="s">
        <v>2643</v>
      </c>
      <c r="B124" s="260">
        <f>'Dry_Litterbag Placem_Collection'!A125</f>
        <v>123</v>
      </c>
      <c r="C124" s="260" t="str">
        <f>'Dry_Litterbag Placem_Collection'!B125</f>
        <v xml:space="preserve">Mwantimba
</v>
      </c>
      <c r="D124" s="260" t="s">
        <v>2454</v>
      </c>
      <c r="E124" s="260" t="s">
        <v>2644</v>
      </c>
      <c r="F124" s="260">
        <v>4</v>
      </c>
      <c r="G124" s="260" t="s">
        <v>3819</v>
      </c>
      <c r="H124" s="261" t="str">
        <f>'Dry_Litterbag Placem_Collection'!C125</f>
        <v>Wet_Ag4_T3</v>
      </c>
      <c r="I124" s="262" t="s">
        <v>2525</v>
      </c>
      <c r="J124" s="263" t="s">
        <v>1147</v>
      </c>
      <c r="K124" s="260" t="str">
        <f>IF(ISBLANK('Dry_Litterbag Placem_Collection'!J125),"","G"&amp;""&amp;'Dry_Litterbag Placem_Collection'!J125)</f>
        <v>G292</v>
      </c>
      <c r="L124" s="264">
        <f>IFERROR(INDEX('Green_rooibos initial weight'!$C$5:$C$2000,MATCH(K124, 'Green_rooibos initial weight'!$A$5:$A$2000,0)),"")</f>
        <v>2.0289999999999999</v>
      </c>
      <c r="M124" s="264">
        <f>IFERROR(L124-(TBIcalc!$Q$9+TBIcalc!$Q$10),"")</f>
        <v>1.7791999999999999</v>
      </c>
      <c r="N124" s="385">
        <f>AVERAGE(Ashed_controlls!$K$2:$K$11)</f>
        <v>5.5147656768714146</v>
      </c>
      <c r="O124" s="264">
        <f t="shared" si="6"/>
        <v>1.6810812890771036</v>
      </c>
      <c r="P124" s="264">
        <f>IFERROR(INDEX('Both teabags AfterDry'!$D$2:$D$2000,MATCH(K124,'Both teabags AfterDry'!$A$2:$A$2000,0)),"")</f>
        <v>0.88980000000000004</v>
      </c>
      <c r="Q124" s="264">
        <f>IFERROR(IF(P124&gt;0,P124-(TBIcalc!$Q$9),""),"")</f>
        <v>0.73920000000000008</v>
      </c>
      <c r="R124" s="275">
        <f>IFERROR(INDEX('Ashed teabags dry'!$K$2:$K$2000,MATCH(K124,'Ashed teabags dry'!$A$2:$A$2000,0)),"")</f>
        <v>18.857705563761883</v>
      </c>
      <c r="S124" s="275">
        <f t="shared" si="7"/>
        <v>0.59980384047267221</v>
      </c>
      <c r="T124" s="265">
        <f>IF('Dry_Litterbag Placem_Collection'!E125="","",'Dry_Litterbag Placem_Collection'!E125)</f>
        <v>42939</v>
      </c>
      <c r="U124" s="265">
        <f>IF('Dry_Litterbag Placem_Collection'!G125="","",'Dry_Litterbag Placem_Collection'!G125)</f>
        <v>43008</v>
      </c>
      <c r="V124" s="266">
        <f t="shared" si="5"/>
        <v>69</v>
      </c>
      <c r="W124" s="264">
        <f t="shared" si="8"/>
        <v>1.0399999999999998</v>
      </c>
      <c r="X124" s="264">
        <f t="shared" si="9"/>
        <v>1.0812774486044314</v>
      </c>
      <c r="Y124" s="268">
        <f>IFERROR(INDEX(Rainfall_Dry!$O$2:$O$217,MATCH(B124, Rainfall_Dry!$A$2:$A$217,0)),"")</f>
        <v>136.27214243</v>
      </c>
      <c r="Z124" s="257">
        <v>17.96</v>
      </c>
      <c r="AA124" s="257">
        <v>4.9199999999999982</v>
      </c>
      <c r="AB124" s="257">
        <v>77.12</v>
      </c>
      <c r="AC124" s="258" t="s">
        <v>2655</v>
      </c>
      <c r="AD124" s="257">
        <v>4.02207984228684</v>
      </c>
      <c r="AE124">
        <f>IF('WetLitterbags placem_collection'!AB125="","",'WetLitterbags placem_collection'!AB125)</f>
        <v>3.9</v>
      </c>
      <c r="AF124">
        <f>IF('WetLitterbags placem_collection'!Z125="","",'WetLitterbags placem_collection'!Z125)</f>
        <v>51</v>
      </c>
      <c r="AG124" s="243" t="str">
        <f>IF('WetLitterbags placem_collection'!AA125="","",'WetLitterbags placem_collection'!AA125)</f>
        <v>G</v>
      </c>
      <c r="AH124">
        <f>IF('WetLitterbags placem_collection'!AC125="","",'WetLitterbags placem_collection'!AC125)</f>
        <v>1</v>
      </c>
      <c r="AI124">
        <f>IFERROR(AVERAGE('Dry_Litterbag Placem_Collection'!O125,'Dry_Litterbag Placem_Collection'!R125),"")</f>
        <v>10.7</v>
      </c>
      <c r="AJ124" s="268">
        <f>IFERROR(AVERAGE('Dry_Litterbag Placem_Collection'!N125,'Dry_Litterbag Placem_Collection'!Q125),"")</f>
        <v>27.1</v>
      </c>
      <c r="AK124" s="267">
        <f>INDEX(Coordinates!$B$2:$B$197,MATCH(H124,Coordinates!$J$2:$J$197,0))</f>
        <v>-2.3492390009999999</v>
      </c>
      <c r="AL124" s="267">
        <f>INDEX(Coordinates!$C$2:$C$197,MATCH(H124,Coordinates!$J$2:$J$197,0))</f>
        <v>34.051304020000003</v>
      </c>
      <c r="AM124" s="267" t="str">
        <f>IF(ISNUMBER(SEARCH("C", 'Dry_Litterbag Placem_Collection'!S125)),"YES","NO")</f>
        <v>NO</v>
      </c>
      <c r="AN124" s="267" t="str">
        <f>IF(ISNUMBER(SEARCH("H", 'Dry_Litterbag Placem_Collection'!S125)),"YES","NO")</f>
        <v>NO</v>
      </c>
      <c r="AO124" s="267" t="str">
        <f>IF(ISNUMBER(SEARCH("R", 'Dry_Litterbag Placem_Collection'!S125)),"YES","NO")</f>
        <v>YES</v>
      </c>
    </row>
    <row r="125" spans="1:41" ht="15" customHeight="1">
      <c r="A125" s="259" t="s">
        <v>2643</v>
      </c>
      <c r="B125" s="260">
        <f>'Dry_Litterbag Placem_Collection'!A126</f>
        <v>124</v>
      </c>
      <c r="C125" s="260" t="str">
        <f>'Dry_Litterbag Placem_Collection'!B126</f>
        <v xml:space="preserve">Mwantimba
</v>
      </c>
      <c r="D125" s="260" t="s">
        <v>2454</v>
      </c>
      <c r="E125" s="260" t="s">
        <v>2644</v>
      </c>
      <c r="F125" s="260">
        <v>4</v>
      </c>
      <c r="G125" s="260" t="s">
        <v>3819</v>
      </c>
      <c r="H125" s="261" t="str">
        <f>'Dry_Litterbag Placem_Collection'!C126</f>
        <v>Wet_Ag4_T4</v>
      </c>
      <c r="I125" s="262" t="s">
        <v>2525</v>
      </c>
      <c r="J125" s="263" t="s">
        <v>1147</v>
      </c>
      <c r="K125" s="260" t="str">
        <f>IF(ISBLANK('Dry_Litterbag Placem_Collection'!J126),"","G"&amp;""&amp;'Dry_Litterbag Placem_Collection'!J126)</f>
        <v>G116</v>
      </c>
      <c r="L125" s="264">
        <f>IFERROR(INDEX('Green_rooibos initial weight'!$C$5:$C$2000,MATCH(K125, 'Green_rooibos initial weight'!$A$5:$A$2000,0)),"")</f>
        <v>1.925</v>
      </c>
      <c r="M125" s="264">
        <f>IFERROR(L125-(TBIcalc!$Q$9+TBIcalc!$Q$10),"")</f>
        <v>1.6752</v>
      </c>
      <c r="N125" s="385">
        <f>AVERAGE(Ashed_controlls!$K$2:$K$11)</f>
        <v>5.5147656768714146</v>
      </c>
      <c r="O125" s="264">
        <f t="shared" si="6"/>
        <v>1.5828166453810502</v>
      </c>
      <c r="P125" s="264">
        <f>IFERROR(INDEX('Both teabags AfterDry'!$D$2:$D$2000,MATCH(K125,'Both teabags AfterDry'!$A$2:$A$2000,0)),"")</f>
        <v>0.63749999999999996</v>
      </c>
      <c r="Q125" s="264">
        <f>IFERROR(IF(P125&gt;0,P125-(TBIcalc!$Q$9),""),"")</f>
        <v>0.48689999999999994</v>
      </c>
      <c r="R125" s="275">
        <f>IFERROR(INDEX('Ashed teabags dry'!$K$2:$K$2000,MATCH(K125,'Ashed teabags dry'!$A$2:$A$2000,0)),"")</f>
        <v>17.988929889299115</v>
      </c>
      <c r="S125" s="275">
        <f t="shared" si="7"/>
        <v>0.39931190036900255</v>
      </c>
      <c r="T125" s="265">
        <f>IF('Dry_Litterbag Placem_Collection'!E126="","",'Dry_Litterbag Placem_Collection'!E126)</f>
        <v>42939</v>
      </c>
      <c r="U125" s="265">
        <f>IF('Dry_Litterbag Placem_Collection'!G126="","",'Dry_Litterbag Placem_Collection'!G126)</f>
        <v>43008</v>
      </c>
      <c r="V125" s="266">
        <f t="shared" si="5"/>
        <v>69</v>
      </c>
      <c r="W125" s="264">
        <f t="shared" si="8"/>
        <v>1.1883000000000001</v>
      </c>
      <c r="X125" s="264">
        <f t="shared" si="9"/>
        <v>1.1835047450120477</v>
      </c>
      <c r="Y125" s="268">
        <f>IFERROR(INDEX(Rainfall_Dry!$O$2:$O$217,MATCH(B125, Rainfall_Dry!$A$2:$A$217,0)),"")</f>
        <v>136.27214243</v>
      </c>
      <c r="Z125" s="257">
        <v>17.96</v>
      </c>
      <c r="AA125" s="257">
        <v>4.9199999999999982</v>
      </c>
      <c r="AB125" s="257">
        <v>77.12</v>
      </c>
      <c r="AC125" s="258" t="s">
        <v>2655</v>
      </c>
      <c r="AD125" s="257">
        <v>5.02207984228684</v>
      </c>
      <c r="AE125">
        <f>IF('WetLitterbags placem_collection'!AB126="","",'WetLitterbags placem_collection'!AB126)</f>
        <v>5.45</v>
      </c>
      <c r="AF125">
        <f>IF('WetLitterbags placem_collection'!Z126="","",'WetLitterbags placem_collection'!Z126)</f>
        <v>47</v>
      </c>
      <c r="AG125" s="243" t="str">
        <f>IF('WetLitterbags placem_collection'!AA126="","",'WetLitterbags placem_collection'!AA126)</f>
        <v>G</v>
      </c>
      <c r="AH125">
        <f>IF('WetLitterbags placem_collection'!AC126="","",'WetLitterbags placem_collection'!AC126)</f>
        <v>1</v>
      </c>
      <c r="AI125">
        <f>IFERROR(AVERAGE('Dry_Litterbag Placem_Collection'!O126,'Dry_Litterbag Placem_Collection'!R126),"")</f>
        <v>9.15</v>
      </c>
      <c r="AJ125" s="268">
        <f>IFERROR(AVERAGE('Dry_Litterbag Placem_Collection'!N126,'Dry_Litterbag Placem_Collection'!Q126),"")</f>
        <v>28.05</v>
      </c>
      <c r="AK125" s="267">
        <f>INDEX(Coordinates!$B$2:$B$197,MATCH(H125,Coordinates!$J$2:$J$197,0))</f>
        <v>-2.3492799889999998</v>
      </c>
      <c r="AL125" s="267">
        <f>INDEX(Coordinates!$C$2:$C$197,MATCH(H125,Coordinates!$J$2:$J$197,0))</f>
        <v>34.051280970000001</v>
      </c>
      <c r="AM125" s="267" t="str">
        <f>IF(ISNUMBER(SEARCH("C", 'Dry_Litterbag Placem_Collection'!S126)),"YES","NO")</f>
        <v>NO</v>
      </c>
      <c r="AN125" s="267" t="str">
        <f>IF(ISNUMBER(SEARCH("H", 'Dry_Litterbag Placem_Collection'!S126)),"YES","NO")</f>
        <v>YES</v>
      </c>
      <c r="AO125" s="267" t="str">
        <f>IF(ISNUMBER(SEARCH("R", 'Dry_Litterbag Placem_Collection'!S126)),"YES","NO")</f>
        <v>YES</v>
      </c>
    </row>
    <row r="126" spans="1:41" ht="15" customHeight="1">
      <c r="A126" s="259" t="s">
        <v>2643</v>
      </c>
      <c r="B126" s="260">
        <f>'Dry_Litterbag Placem_Collection'!A127</f>
        <v>125</v>
      </c>
      <c r="C126" s="260" t="str">
        <f>'Dry_Litterbag Placem_Collection'!B127</f>
        <v xml:space="preserve">Mwantimba
</v>
      </c>
      <c r="D126" s="260" t="s">
        <v>2454</v>
      </c>
      <c r="E126" s="260" t="s">
        <v>2644</v>
      </c>
      <c r="F126" s="260">
        <v>4</v>
      </c>
      <c r="G126" s="260" t="s">
        <v>3819</v>
      </c>
      <c r="H126" s="261" t="str">
        <f>'Dry_Litterbag Placem_Collection'!C127</f>
        <v>Wet_Ag4_T5</v>
      </c>
      <c r="I126" s="262" t="s">
        <v>2525</v>
      </c>
      <c r="J126" s="263" t="s">
        <v>1147</v>
      </c>
      <c r="K126" s="260" t="str">
        <f>IF(ISBLANK('Dry_Litterbag Placem_Collection'!J127),"","G"&amp;""&amp;'Dry_Litterbag Placem_Collection'!J127)</f>
        <v>G50</v>
      </c>
      <c r="L126" s="264">
        <f>IFERROR(INDEX('Green_rooibos initial weight'!$C$5:$C$2000,MATCH(K126, 'Green_rooibos initial weight'!$A$5:$A$2000,0)),"")</f>
        <v>1.954</v>
      </c>
      <c r="M126" s="264">
        <f>IFERROR(L126-(TBIcalc!$Q$9+TBIcalc!$Q$10),"")</f>
        <v>1.7041999999999999</v>
      </c>
      <c r="N126" s="385">
        <f>AVERAGE(Ashed_controlls!$K$2:$K$11)</f>
        <v>5.5147656768714146</v>
      </c>
      <c r="O126" s="264">
        <f t="shared" si="6"/>
        <v>1.6102173633347574</v>
      </c>
      <c r="P126" s="264">
        <f>IFERROR(INDEX('Both teabags AfterDry'!$D$2:$D$2000,MATCH(K126,'Both teabags AfterDry'!$A$2:$A$2000,0)),"")</f>
        <v>0.8911</v>
      </c>
      <c r="Q126" s="264">
        <f>IFERROR(IF(P126&gt;0,P126-(TBIcalc!$Q$9),""),"")</f>
        <v>0.74049999999999994</v>
      </c>
      <c r="R126" s="275">
        <f>IFERROR(INDEX('Ashed teabags dry'!$K$2:$K$2000,MATCH(K126,'Ashed teabags dry'!$A$2:$A$2000,0)),"")</f>
        <v>30.974309258361465</v>
      </c>
      <c r="S126" s="275">
        <f t="shared" si="7"/>
        <v>0.5111352399418333</v>
      </c>
      <c r="T126" s="265">
        <f>IF('Dry_Litterbag Placem_Collection'!E127="","",'Dry_Litterbag Placem_Collection'!E127)</f>
        <v>42939</v>
      </c>
      <c r="U126" s="265">
        <f>IF('Dry_Litterbag Placem_Collection'!G127="","",'Dry_Litterbag Placem_Collection'!G127)</f>
        <v>43008</v>
      </c>
      <c r="V126" s="266">
        <f t="shared" si="5"/>
        <v>69</v>
      </c>
      <c r="W126" s="264">
        <f t="shared" si="8"/>
        <v>0.9637</v>
      </c>
      <c r="X126" s="264">
        <f t="shared" si="9"/>
        <v>1.099082123392924</v>
      </c>
      <c r="Y126" s="268">
        <f>IFERROR(INDEX(Rainfall_Dry!$O$2:$O$217,MATCH(B126, Rainfall_Dry!$A$2:$A$217,0)),"")</f>
        <v>136.27214243</v>
      </c>
      <c r="Z126" s="257">
        <v>17.96</v>
      </c>
      <c r="AA126" s="257">
        <v>4.9199999999999982</v>
      </c>
      <c r="AB126" s="257">
        <v>77.12</v>
      </c>
      <c r="AC126" s="258" t="s">
        <v>2655</v>
      </c>
      <c r="AD126" s="257">
        <v>6.02207984228684</v>
      </c>
      <c r="AE126">
        <f>IF('WetLitterbags placem_collection'!AB127="","",'WetLitterbags placem_collection'!AB127)</f>
        <v>9.3000000000000007</v>
      </c>
      <c r="AF126">
        <f>IF('WetLitterbags placem_collection'!Z127="","",'WetLitterbags placem_collection'!Z127)</f>
        <v>43</v>
      </c>
      <c r="AG126" s="243" t="str">
        <f>IF('WetLitterbags placem_collection'!AA127="","",'WetLitterbags placem_collection'!AA127)</f>
        <v>G</v>
      </c>
      <c r="AH126">
        <f>IF('WetLitterbags placem_collection'!AC127="","",'WetLitterbags placem_collection'!AC127)</f>
        <v>1</v>
      </c>
      <c r="AI126">
        <f>IFERROR(AVERAGE('Dry_Litterbag Placem_Collection'!O127,'Dry_Litterbag Placem_Collection'!R127),"")</f>
        <v>10.85</v>
      </c>
      <c r="AJ126" s="268">
        <f>IFERROR(AVERAGE('Dry_Litterbag Placem_Collection'!N127,'Dry_Litterbag Placem_Collection'!Q127),"")</f>
        <v>28.05</v>
      </c>
      <c r="AK126" s="267">
        <f>INDEX(Coordinates!$B$2:$B$197,MATCH(H126,Coordinates!$J$2:$J$197,0))</f>
        <v>-2.3493320400000002</v>
      </c>
      <c r="AL126" s="267">
        <f>INDEX(Coordinates!$C$2:$C$197,MATCH(H126,Coordinates!$J$2:$J$197,0))</f>
        <v>34.051321960000003</v>
      </c>
      <c r="AM126" s="267" t="str">
        <f>IF(ISNUMBER(SEARCH("C", 'Dry_Litterbag Placem_Collection'!S127)),"YES","NO")</f>
        <v>NO</v>
      </c>
      <c r="AN126" s="267" t="str">
        <f>IF(ISNUMBER(SEARCH("H", 'Dry_Litterbag Placem_Collection'!S127)),"YES","NO")</f>
        <v>NO</v>
      </c>
      <c r="AO126" s="267" t="str">
        <f>IF(ISNUMBER(SEARCH("R", 'Dry_Litterbag Placem_Collection'!S127)),"YES","NO")</f>
        <v>NO</v>
      </c>
    </row>
    <row r="127" spans="1:41" ht="15" customHeight="1">
      <c r="A127" s="259" t="s">
        <v>2643</v>
      </c>
      <c r="B127" s="260">
        <f>'Dry_Litterbag Placem_Collection'!A128</f>
        <v>126</v>
      </c>
      <c r="C127" s="260" t="str">
        <f>'Dry_Litterbag Placem_Collection'!B128</f>
        <v xml:space="preserve">Mwantimba
</v>
      </c>
      <c r="D127" s="260" t="s">
        <v>2454</v>
      </c>
      <c r="E127" s="260" t="s">
        <v>2644</v>
      </c>
      <c r="F127" s="260">
        <v>4</v>
      </c>
      <c r="G127" s="260" t="s">
        <v>3819</v>
      </c>
      <c r="H127" s="261" t="str">
        <f>'Dry_Litterbag Placem_Collection'!C128</f>
        <v>Wet_Ag4_T6</v>
      </c>
      <c r="I127" s="262" t="s">
        <v>2525</v>
      </c>
      <c r="J127" s="263" t="s">
        <v>1147</v>
      </c>
      <c r="K127" s="260" t="str">
        <f>IF(ISBLANK('Dry_Litterbag Placem_Collection'!J128),"","G"&amp;""&amp;'Dry_Litterbag Placem_Collection'!J128)</f>
        <v/>
      </c>
      <c r="L127" s="264" t="str">
        <f>IFERROR(INDEX('Green_rooibos initial weight'!$C$5:$C$2000,MATCH(K127, 'Green_rooibos initial weight'!$A$5:$A$2000,0)),"")</f>
        <v/>
      </c>
      <c r="M127" s="264" t="str">
        <f>IFERROR(L127-(TBIcalc!$Q$9+TBIcalc!$Q$10),"")</f>
        <v/>
      </c>
      <c r="N127" s="385">
        <f>AVERAGE(Ashed_controlls!$K$2:$K$11)</f>
        <v>5.5147656768714146</v>
      </c>
      <c r="O127" s="264" t="str">
        <f t="shared" si="6"/>
        <v/>
      </c>
      <c r="P127" s="264" t="str">
        <f>IFERROR(INDEX('Both teabags AfterDry'!$D$2:$D$2000,MATCH(K127,'Both teabags AfterDry'!$A$2:$A$2000,0)),"")</f>
        <v/>
      </c>
      <c r="Q127" s="264" t="str">
        <f>IFERROR(IF(P127&gt;0,P127-(TBIcalc!$Q$9),""),"")</f>
        <v/>
      </c>
      <c r="R127" s="275" t="str">
        <f>IFERROR(INDEX('Ashed teabags dry'!$K$2:$K$2000,MATCH(K127,'Ashed teabags dry'!$A$2:$A$2000,0)),"")</f>
        <v/>
      </c>
      <c r="S127" s="275" t="str">
        <f t="shared" si="7"/>
        <v/>
      </c>
      <c r="T127" s="265" t="str">
        <f>IF('Dry_Litterbag Placem_Collection'!E128="","",'Dry_Litterbag Placem_Collection'!E128)</f>
        <v/>
      </c>
      <c r="U127" s="265" t="str">
        <f>IF('Dry_Litterbag Placem_Collection'!G128="","",'Dry_Litterbag Placem_Collection'!G128)</f>
        <v/>
      </c>
      <c r="V127" s="266" t="str">
        <f t="shared" si="5"/>
        <v/>
      </c>
      <c r="W127" s="264" t="str">
        <f t="shared" si="8"/>
        <v/>
      </c>
      <c r="X127" s="264" t="str">
        <f t="shared" si="9"/>
        <v/>
      </c>
      <c r="Y127" s="268" t="str">
        <f>IFERROR(INDEX(Rainfall_Dry!$O$2:$O$217,MATCH(B127, Rainfall_Dry!$A$2:$A$217,0)),"")</f>
        <v/>
      </c>
      <c r="Z127" s="257">
        <v>17.96</v>
      </c>
      <c r="AA127" s="257">
        <v>4.9199999999999982</v>
      </c>
      <c r="AB127" s="257">
        <v>77.12</v>
      </c>
      <c r="AC127" s="258" t="s">
        <v>2655</v>
      </c>
      <c r="AD127" s="257">
        <v>7.02207984228684</v>
      </c>
      <c r="AE127">
        <f>IF('WetLitterbags placem_collection'!AB128="","",'WetLitterbags placem_collection'!AB128)</f>
        <v>10.85</v>
      </c>
      <c r="AF127">
        <f>IF('WetLitterbags placem_collection'!Z128="","",'WetLitterbags placem_collection'!Z128)</f>
        <v>40</v>
      </c>
      <c r="AG127" s="243" t="str">
        <f>IF('WetLitterbags placem_collection'!AA128="","",'WetLitterbags placem_collection'!AA128)</f>
        <v>G</v>
      </c>
      <c r="AH127">
        <f>IF('WetLitterbags placem_collection'!AC128="","",'WetLitterbags placem_collection'!AC128)</f>
        <v>1</v>
      </c>
      <c r="AI127" t="str">
        <f>IFERROR(AVERAGE('Dry_Litterbag Placem_Collection'!O128,'Dry_Litterbag Placem_Collection'!R128),"")</f>
        <v/>
      </c>
      <c r="AJ127" s="268" t="str">
        <f>IFERROR(AVERAGE('Dry_Litterbag Placem_Collection'!N128,'Dry_Litterbag Placem_Collection'!Q128),"")</f>
        <v/>
      </c>
      <c r="AK127" s="267">
        <f>INDEX(Coordinates!$B$2:$B$197,MATCH(H127,Coordinates!$J$2:$J$197,0))</f>
        <v>-2.3493509829999999</v>
      </c>
      <c r="AL127" s="267">
        <f>INDEX(Coordinates!$C$2:$C$197,MATCH(H127,Coordinates!$J$2:$J$197,0))</f>
        <v>34.051332019999997</v>
      </c>
      <c r="AM127" s="267" t="str">
        <f>IF(ISNUMBER(SEARCH("C", 'Dry_Litterbag Placem_Collection'!S128)),"YES","NO")</f>
        <v>NO</v>
      </c>
      <c r="AN127" s="267" t="str">
        <f>IF(ISNUMBER(SEARCH("H", 'Dry_Litterbag Placem_Collection'!S128)),"YES","NO")</f>
        <v>NO</v>
      </c>
      <c r="AO127" s="267" t="str">
        <f>IF(ISNUMBER(SEARCH("R", 'Dry_Litterbag Placem_Collection'!S128)),"YES","NO")</f>
        <v>NO</v>
      </c>
    </row>
    <row r="128" spans="1:41" ht="15" customHeight="1">
      <c r="A128" s="259" t="s">
        <v>2643</v>
      </c>
      <c r="B128" s="260">
        <f>'Dry_Litterbag Placem_Collection'!A129</f>
        <v>127</v>
      </c>
      <c r="C128" s="260" t="str">
        <f>'Dry_Litterbag Placem_Collection'!B129</f>
        <v xml:space="preserve">Mwantimba
</v>
      </c>
      <c r="D128" s="260" t="s">
        <v>2454</v>
      </c>
      <c r="E128" s="260" t="s">
        <v>2644</v>
      </c>
      <c r="F128" s="260">
        <v>4</v>
      </c>
      <c r="G128" s="260" t="s">
        <v>3819</v>
      </c>
      <c r="H128" s="261" t="str">
        <f>'Dry_Litterbag Placem_Collection'!C129</f>
        <v>Wet_Ag4_T7</v>
      </c>
      <c r="I128" s="262" t="s">
        <v>2525</v>
      </c>
      <c r="J128" s="263" t="s">
        <v>1147</v>
      </c>
      <c r="K128" s="260" t="str">
        <f>IF(ISBLANK('Dry_Litterbag Placem_Collection'!J129),"","G"&amp;""&amp;'Dry_Litterbag Placem_Collection'!J129)</f>
        <v>G318</v>
      </c>
      <c r="L128" s="264">
        <f>IFERROR(INDEX('Green_rooibos initial weight'!$C$5:$C$2000,MATCH(K128, 'Green_rooibos initial weight'!$A$5:$A$2000,0)),"")</f>
        <v>1.929</v>
      </c>
      <c r="M128" s="264">
        <f>IFERROR(L128-(TBIcalc!$Q$9+TBIcalc!$Q$10),"")</f>
        <v>1.6792</v>
      </c>
      <c r="N128" s="385">
        <f>AVERAGE(Ashed_controlls!$K$2:$K$11)</f>
        <v>5.5147656768714146</v>
      </c>
      <c r="O128" s="264">
        <f t="shared" si="6"/>
        <v>1.5865960547539752</v>
      </c>
      <c r="P128" s="264">
        <f>IFERROR(INDEX('Both teabags AfterDry'!$D$2:$D$2000,MATCH(K128,'Both teabags AfterDry'!$A$2:$A$2000,0)),"")</f>
        <v>0.70609999999999995</v>
      </c>
      <c r="Q128" s="264">
        <f>IFERROR(IF(P128&gt;0,P128-(TBIcalc!$Q$9),""),"")</f>
        <v>0.55549999999999988</v>
      </c>
      <c r="R128" s="275">
        <f>IFERROR(INDEX('Ashed teabags dry'!$K$2:$K$2000,MATCH(K128,'Ashed teabags dry'!$A$2:$A$2000,0)),"")</f>
        <v>13.937442502299483</v>
      </c>
      <c r="S128" s="275">
        <f t="shared" si="7"/>
        <v>0.47807750689972628</v>
      </c>
      <c r="T128" s="265">
        <f>IF('Dry_Litterbag Placem_Collection'!E129="","",'Dry_Litterbag Placem_Collection'!E129)</f>
        <v>42939</v>
      </c>
      <c r="U128" s="265">
        <f>IF('Dry_Litterbag Placem_Collection'!G129="","",'Dry_Litterbag Placem_Collection'!G129)</f>
        <v>43008</v>
      </c>
      <c r="V128" s="266">
        <f t="shared" si="5"/>
        <v>69</v>
      </c>
      <c r="W128" s="264">
        <f t="shared" si="8"/>
        <v>1.1237000000000001</v>
      </c>
      <c r="X128" s="264">
        <f t="shared" si="9"/>
        <v>1.108518547854249</v>
      </c>
      <c r="Y128" s="268">
        <f>IFERROR(INDEX(Rainfall_Dry!$O$2:$O$217,MATCH(B128, Rainfall_Dry!$A$2:$A$217,0)),"")</f>
        <v>136.27214243</v>
      </c>
      <c r="Z128" s="257">
        <v>17.96</v>
      </c>
      <c r="AA128" s="257">
        <v>4.9199999999999982</v>
      </c>
      <c r="AB128" s="257">
        <v>77.12</v>
      </c>
      <c r="AC128" s="258" t="s">
        <v>2655</v>
      </c>
      <c r="AD128" s="257">
        <v>8.0220798422868391</v>
      </c>
      <c r="AE128">
        <f>IF('WetLitterbags placem_collection'!AB129="","",'WetLitterbags placem_collection'!AB129)</f>
        <v>5.35</v>
      </c>
      <c r="AF128">
        <f>IF('WetLitterbags placem_collection'!Z129="","",'WetLitterbags placem_collection'!Z129)</f>
        <v>58</v>
      </c>
      <c r="AG128" s="243" t="str">
        <f>IF('WetLitterbags placem_collection'!AA129="","",'WetLitterbags placem_collection'!AA129)</f>
        <v>G</v>
      </c>
      <c r="AH128">
        <f>IF('WetLitterbags placem_collection'!AC129="","",'WetLitterbags placem_collection'!AC129)</f>
        <v>1</v>
      </c>
      <c r="AI128">
        <f>IFERROR(AVERAGE('Dry_Litterbag Placem_Collection'!O129,'Dry_Litterbag Placem_Collection'!R129),"")</f>
        <v>9.6999999999999993</v>
      </c>
      <c r="AJ128" s="268">
        <f>IFERROR(AVERAGE('Dry_Litterbag Placem_Collection'!N129,'Dry_Litterbag Placem_Collection'!Q129),"")</f>
        <v>28.1</v>
      </c>
      <c r="AK128" s="267">
        <f>INDEX(Coordinates!$B$2:$B$197,MATCH(H128,Coordinates!$J$2:$J$197,0))</f>
        <v>-2.3491850219999999</v>
      </c>
      <c r="AL128" s="267">
        <f>INDEX(Coordinates!$C$2:$C$197,MATCH(H128,Coordinates!$J$2:$J$197,0))</f>
        <v>34.051264959999997</v>
      </c>
      <c r="AM128" s="267" t="str">
        <f>IF(ISNUMBER(SEARCH("C", 'Dry_Litterbag Placem_Collection'!S129)),"YES","NO")</f>
        <v>NO</v>
      </c>
      <c r="AN128" s="267" t="str">
        <f>IF(ISNUMBER(SEARCH("H", 'Dry_Litterbag Placem_Collection'!S129)),"YES","NO")</f>
        <v>NO</v>
      </c>
      <c r="AO128" s="267" t="str">
        <f>IF(ISNUMBER(SEARCH("R", 'Dry_Litterbag Placem_Collection'!S129)),"YES","NO")</f>
        <v>YES</v>
      </c>
    </row>
    <row r="129" spans="1:41" ht="15" customHeight="1">
      <c r="A129" s="259" t="s">
        <v>2643</v>
      </c>
      <c r="B129" s="260">
        <f>'Dry_Litterbag Placem_Collection'!A130</f>
        <v>128</v>
      </c>
      <c r="C129" s="260" t="str">
        <f>'Dry_Litterbag Placem_Collection'!B130</f>
        <v xml:space="preserve">Mwantimba
</v>
      </c>
      <c r="D129" s="260" t="s">
        <v>2454</v>
      </c>
      <c r="E129" s="260" t="s">
        <v>2644</v>
      </c>
      <c r="F129" s="260">
        <v>4</v>
      </c>
      <c r="G129" s="260" t="s">
        <v>3819</v>
      </c>
      <c r="H129" s="261" t="str">
        <f>'Dry_Litterbag Placem_Collection'!C130</f>
        <v>Wet_Ag4_T8</v>
      </c>
      <c r="I129" s="262" t="s">
        <v>2525</v>
      </c>
      <c r="J129" s="263" t="s">
        <v>1147</v>
      </c>
      <c r="K129" s="260" t="str">
        <f>IF(ISBLANK('Dry_Litterbag Placem_Collection'!J130),"","G"&amp;""&amp;'Dry_Litterbag Placem_Collection'!J130)</f>
        <v>G34</v>
      </c>
      <c r="L129" s="264">
        <f>IFERROR(INDEX('Green_rooibos initial weight'!$C$5:$C$2000,MATCH(K129, 'Green_rooibos initial weight'!$A$5:$A$2000,0)),"")</f>
        <v>2.133</v>
      </c>
      <c r="M129" s="264">
        <f>IFERROR(L129-(TBIcalc!$Q$9+TBIcalc!$Q$10),"")</f>
        <v>1.8832</v>
      </c>
      <c r="N129" s="385">
        <f>AVERAGE(Ashed_controlls!$K$2:$K$11)</f>
        <v>5.5147656768714146</v>
      </c>
      <c r="O129" s="264">
        <f t="shared" si="6"/>
        <v>1.7793459327731576</v>
      </c>
      <c r="P129" s="264">
        <f>IFERROR(INDEX('Both teabags AfterDry'!$D$2:$D$2000,MATCH(K129,'Both teabags AfterDry'!$A$2:$A$2000,0)),"")</f>
        <v>0.92579999999999996</v>
      </c>
      <c r="Q129" s="264">
        <f>IFERROR(IF(P129&gt;0,P129-(TBIcalc!$Q$9),""),"")</f>
        <v>0.77519999999999989</v>
      </c>
      <c r="R129" s="275">
        <f>IFERROR(INDEX('Ashed teabags dry'!$K$2:$K$2000,MATCH(K129,'Ashed teabags dry'!$A$2:$A$2000,0)),"")</f>
        <v>26.714158504006296</v>
      </c>
      <c r="S129" s="275">
        <f t="shared" si="7"/>
        <v>0.56811184327694308</v>
      </c>
      <c r="T129" s="265">
        <f>IF('Dry_Litterbag Placem_Collection'!E130="","",'Dry_Litterbag Placem_Collection'!E130)</f>
        <v>42939</v>
      </c>
      <c r="U129" s="265">
        <f>IF('Dry_Litterbag Placem_Collection'!G130="","",'Dry_Litterbag Placem_Collection'!G130)</f>
        <v>43008</v>
      </c>
      <c r="V129" s="266">
        <f t="shared" si="5"/>
        <v>69</v>
      </c>
      <c r="W129" s="264">
        <f t="shared" si="8"/>
        <v>1.1080000000000001</v>
      </c>
      <c r="X129" s="264">
        <f t="shared" si="9"/>
        <v>1.2112340894962146</v>
      </c>
      <c r="Y129" s="268">
        <f>IFERROR(INDEX(Rainfall_Dry!$O$2:$O$217,MATCH(B129, Rainfall_Dry!$A$2:$A$217,0)),"")</f>
        <v>136.27214243</v>
      </c>
      <c r="Z129" s="257">
        <v>17.96</v>
      </c>
      <c r="AA129" s="257">
        <v>4.9199999999999982</v>
      </c>
      <c r="AB129" s="257">
        <v>77.12</v>
      </c>
      <c r="AC129" s="258" t="s">
        <v>2655</v>
      </c>
      <c r="AD129" s="257">
        <v>9.0220798422868391</v>
      </c>
      <c r="AE129">
        <f>IF('WetLitterbags placem_collection'!AB130="","",'WetLitterbags placem_collection'!AB130)</f>
        <v>10.9</v>
      </c>
      <c r="AF129">
        <f>IF('WetLitterbags placem_collection'!Z130="","",'WetLitterbags placem_collection'!Z130)</f>
        <v>44</v>
      </c>
      <c r="AG129" s="243" t="str">
        <f>IF('WetLitterbags placem_collection'!AA130="","",'WetLitterbags placem_collection'!AA130)</f>
        <v>G</v>
      </c>
      <c r="AH129">
        <f>IF('WetLitterbags placem_collection'!AC130="","",'WetLitterbags placem_collection'!AC130)</f>
        <v>0</v>
      </c>
      <c r="AI129">
        <f>IFERROR(AVERAGE('Dry_Litterbag Placem_Collection'!O130,'Dry_Litterbag Placem_Collection'!R130),"")</f>
        <v>8.4499999999999993</v>
      </c>
      <c r="AJ129" s="268">
        <f>IFERROR(AVERAGE('Dry_Litterbag Placem_Collection'!N130,'Dry_Litterbag Placem_Collection'!Q130),"")</f>
        <v>28.4</v>
      </c>
      <c r="AK129" s="267">
        <f>INDEX(Coordinates!$B$2:$B$197,MATCH(H129,Coordinates!$J$2:$J$197,0))</f>
        <v>-2.3493099960000001</v>
      </c>
      <c r="AL129" s="267">
        <f>INDEX(Coordinates!$C$2:$C$197,MATCH(H129,Coordinates!$J$2:$J$197,0))</f>
        <v>34.05141802</v>
      </c>
      <c r="AM129" s="267" t="str">
        <f>IF(ISNUMBER(SEARCH("C", 'Dry_Litterbag Placem_Collection'!S130)),"YES","NO")</f>
        <v>NO</v>
      </c>
      <c r="AN129" s="267" t="str">
        <f>IF(ISNUMBER(SEARCH("H", 'Dry_Litterbag Placem_Collection'!S130)),"YES","NO")</f>
        <v>NO</v>
      </c>
      <c r="AO129" s="267" t="str">
        <f>IF(ISNUMBER(SEARCH("R", 'Dry_Litterbag Placem_Collection'!S130)),"YES","NO")</f>
        <v>NO</v>
      </c>
    </row>
    <row r="130" spans="1:41" ht="15" customHeight="1">
      <c r="A130" s="259" t="s">
        <v>2643</v>
      </c>
      <c r="B130" s="260">
        <f>'Dry_Litterbag Placem_Collection'!A131</f>
        <v>129</v>
      </c>
      <c r="C130" s="260" t="str">
        <f>'Dry_Litterbag Placem_Collection'!B131</f>
        <v xml:space="preserve">Mwantimba
</v>
      </c>
      <c r="D130" s="260" t="s">
        <v>2454</v>
      </c>
      <c r="E130" s="260" t="s">
        <v>20</v>
      </c>
      <c r="F130" s="260">
        <v>1</v>
      </c>
      <c r="G130" s="260" t="s">
        <v>3820</v>
      </c>
      <c r="H130" s="261" t="str">
        <f>'Dry_Litterbag Placem_Collection'!C131</f>
        <v>Wet_P1_T1</v>
      </c>
      <c r="I130" s="262" t="s">
        <v>2525</v>
      </c>
      <c r="J130" s="263" t="s">
        <v>1147</v>
      </c>
      <c r="K130" s="260" t="str">
        <f>IF(ISBLANK('Dry_Litterbag Placem_Collection'!J131),"","G"&amp;""&amp;'Dry_Litterbag Placem_Collection'!J131)</f>
        <v>G80</v>
      </c>
      <c r="L130" s="264">
        <f>IFERROR(INDEX('Green_rooibos initial weight'!$C$5:$C$2000,MATCH(K130, 'Green_rooibos initial weight'!$A$5:$A$2000,0)),"")</f>
        <v>2.0259999999999998</v>
      </c>
      <c r="M130" s="264">
        <f>IFERROR(L130-(TBIcalc!$Q$9+TBIcalc!$Q$10),"")</f>
        <v>1.7761999999999998</v>
      </c>
      <c r="N130" s="385">
        <f>AVERAGE(Ashed_controlls!$K$2:$K$11)</f>
        <v>5.5147656768714146</v>
      </c>
      <c r="O130" s="264">
        <f t="shared" si="6"/>
        <v>1.6782467320474097</v>
      </c>
      <c r="P130" s="264">
        <f>IFERROR(INDEX('Both teabags AfterDry'!$D$2:$D$2000,MATCH(K130,'Both teabags AfterDry'!$A$2:$A$2000,0)),"")</f>
        <v>0.72970000000000002</v>
      </c>
      <c r="Q130" s="264">
        <f>IFERROR(IF(P130&gt;0,P130-(TBIcalc!$Q$9),""),"")</f>
        <v>0.57909999999999995</v>
      </c>
      <c r="R130" s="275">
        <f>IFERROR(INDEX('Ashed teabags dry'!$K$2:$K$2000,MATCH(K130,'Ashed teabags dry'!$A$2:$A$2000,0)),"")</f>
        <v>20.009394081728875</v>
      </c>
      <c r="S130" s="275">
        <f t="shared" si="7"/>
        <v>0.46322559887270803</v>
      </c>
      <c r="T130" s="265">
        <f>IF('Dry_Litterbag Placem_Collection'!E131="","",'Dry_Litterbag Placem_Collection'!E131)</f>
        <v>42939</v>
      </c>
      <c r="U130" s="265">
        <f>IF('Dry_Litterbag Placem_Collection'!G131="","",'Dry_Litterbag Placem_Collection'!G131)</f>
        <v>43008</v>
      </c>
      <c r="V130" s="266">
        <f t="shared" ref="V130:V193" si="10">IFERROR(U130-T130,"")</f>
        <v>69</v>
      </c>
      <c r="W130" s="264">
        <f t="shared" si="8"/>
        <v>1.1970999999999998</v>
      </c>
      <c r="X130" s="264">
        <f t="shared" si="9"/>
        <v>1.2150211331747016</v>
      </c>
      <c r="Y130" s="268">
        <f>IFERROR(INDEX(Rainfall_Dry!$O$2:$O$217,MATCH(B130, Rainfall_Dry!$A$2:$A$217,0)),"")</f>
        <v>136.27214243</v>
      </c>
      <c r="Z130" s="257">
        <v>31.214836424255054</v>
      </c>
      <c r="AA130" s="257">
        <v>11.377370285476141</v>
      </c>
      <c r="AB130" s="257">
        <v>57.407793290268799</v>
      </c>
      <c r="AC130" s="258" t="s">
        <v>2654</v>
      </c>
      <c r="AD130" s="257">
        <v>1.7337604731394776</v>
      </c>
      <c r="AE130">
        <f>IF('WetLitterbags placem_collection'!AB131="","",'WetLitterbags placem_collection'!AB131)</f>
        <v>2.4</v>
      </c>
      <c r="AF130">
        <f>IF('WetLitterbags placem_collection'!Z131="","",'WetLitterbags placem_collection'!Z131)</f>
        <v>2.4</v>
      </c>
      <c r="AG130" s="243" t="str">
        <f>IF('WetLitterbags placem_collection'!AA131="","",'WetLitterbags placem_collection'!AA131)</f>
        <v>O</v>
      </c>
      <c r="AH130">
        <f>IF('WetLitterbags placem_collection'!AC131="","",'WetLitterbags placem_collection'!AC131)</f>
        <v>1</v>
      </c>
      <c r="AI130">
        <f>IFERROR(AVERAGE('Dry_Litterbag Placem_Collection'!O131,'Dry_Litterbag Placem_Collection'!R131),"")</f>
        <v>11.8</v>
      </c>
      <c r="AJ130" s="268">
        <f>IFERROR(AVERAGE('Dry_Litterbag Placem_Collection'!N131,'Dry_Litterbag Placem_Collection'!Q131),"")</f>
        <v>29.05</v>
      </c>
      <c r="AK130" s="267">
        <f>INDEX(Coordinates!$B$2:$B$197,MATCH(H130,Coordinates!$J$2:$J$197,0))</f>
        <v>-2.3503360249999998</v>
      </c>
      <c r="AL130" s="267">
        <f>INDEX(Coordinates!$C$2:$C$197,MATCH(H130,Coordinates!$J$2:$J$197,0))</f>
        <v>34.049662009999999</v>
      </c>
      <c r="AM130" s="267" t="str">
        <f>IF(ISNUMBER(SEARCH("C", 'Dry_Litterbag Placem_Collection'!S131)),"YES","NO")</f>
        <v>YES</v>
      </c>
      <c r="AN130" s="267" t="str">
        <f>IF(ISNUMBER(SEARCH("H", 'Dry_Litterbag Placem_Collection'!S131)),"YES","NO")</f>
        <v>YES</v>
      </c>
      <c r="AO130" s="267" t="str">
        <f>IF(ISNUMBER(SEARCH("R", 'Dry_Litterbag Placem_Collection'!S131)),"YES","NO")</f>
        <v>NO</v>
      </c>
    </row>
    <row r="131" spans="1:41" ht="15" customHeight="1">
      <c r="A131" s="259" t="s">
        <v>2643</v>
      </c>
      <c r="B131" s="260">
        <f>'Dry_Litterbag Placem_Collection'!A132</f>
        <v>130</v>
      </c>
      <c r="C131" s="260" t="str">
        <f>'Dry_Litterbag Placem_Collection'!B132</f>
        <v xml:space="preserve">Mwantimba
</v>
      </c>
      <c r="D131" s="260" t="s">
        <v>2454</v>
      </c>
      <c r="E131" s="260" t="s">
        <v>20</v>
      </c>
      <c r="F131" s="260">
        <v>1</v>
      </c>
      <c r="G131" s="260" t="s">
        <v>3820</v>
      </c>
      <c r="H131" s="261" t="str">
        <f>'Dry_Litterbag Placem_Collection'!C132</f>
        <v>Wet_P1_T2</v>
      </c>
      <c r="I131" s="262" t="s">
        <v>2525</v>
      </c>
      <c r="J131" s="263" t="s">
        <v>1147</v>
      </c>
      <c r="K131" s="260" t="str">
        <f>IF(ISBLANK('Dry_Litterbag Placem_Collection'!J132),"","G"&amp;""&amp;'Dry_Litterbag Placem_Collection'!J132)</f>
        <v>G64</v>
      </c>
      <c r="L131" s="264">
        <f>IFERROR(INDEX('Green_rooibos initial weight'!$C$5:$C$2000,MATCH(K131, 'Green_rooibos initial weight'!$A$5:$A$2000,0)),"")</f>
        <v>2.0840000000000001</v>
      </c>
      <c r="M131" s="264">
        <f>IFERROR(L131-(TBIcalc!$Q$9+TBIcalc!$Q$10),"")</f>
        <v>1.8342000000000001</v>
      </c>
      <c r="N131" s="385">
        <f>AVERAGE(Ashed_controlls!$K$2:$K$11)</f>
        <v>5.5147656768714146</v>
      </c>
      <c r="O131" s="264">
        <f t="shared" ref="O131:O194" si="11">IFERROR(M131-(N131/100)*M131,"")</f>
        <v>1.7330481679548246</v>
      </c>
      <c r="P131" s="264">
        <f>IFERROR(INDEX('Both teabags AfterDry'!$D$2:$D$2000,MATCH(K131,'Both teabags AfterDry'!$A$2:$A$2000,0)),"")</f>
        <v>0.83650000000000002</v>
      </c>
      <c r="Q131" s="264">
        <f>IFERROR(IF(P131&gt;0,P131-(TBIcalc!$Q$9),""),"")</f>
        <v>0.68589999999999995</v>
      </c>
      <c r="R131" s="275">
        <f>IFERROR(INDEX('Ashed teabags dry'!$K$2:$K$2000,MATCH(K131,'Ashed teabags dry'!$A$2:$A$2000,0)),"")</f>
        <v>23.217636022513883</v>
      </c>
      <c r="S131" s="275">
        <f t="shared" ref="S131:S194" si="12">IFERROR(Q131-(R131/100)*Q131,"")</f>
        <v>0.52665023452157722</v>
      </c>
      <c r="T131" s="265">
        <f>IF('Dry_Litterbag Placem_Collection'!E132="","",'Dry_Litterbag Placem_Collection'!E132)</f>
        <v>42939</v>
      </c>
      <c r="U131" s="265">
        <f>IF('Dry_Litterbag Placem_Collection'!G132="","",'Dry_Litterbag Placem_Collection'!G132)</f>
        <v>43008</v>
      </c>
      <c r="V131" s="266">
        <f t="shared" si="10"/>
        <v>69</v>
      </c>
      <c r="W131" s="264">
        <f t="shared" ref="W131:W194" si="13">IFERROR(M131-Q131,"")</f>
        <v>1.1483000000000001</v>
      </c>
      <c r="X131" s="264">
        <f t="shared" ref="X131:X194" si="14">IFERROR(O131-S131,"")</f>
        <v>1.2063979334332475</v>
      </c>
      <c r="Y131" s="268">
        <f>IFERROR(INDEX(Rainfall_Dry!$O$2:$O$217,MATCH(B131, Rainfall_Dry!$A$2:$A$217,0)),"")</f>
        <v>136.27214243</v>
      </c>
      <c r="Z131" s="257">
        <v>31.214836424255054</v>
      </c>
      <c r="AA131" s="257">
        <v>11.377370285476141</v>
      </c>
      <c r="AB131" s="257">
        <v>57.407793290268799</v>
      </c>
      <c r="AC131" s="258" t="s">
        <v>2654</v>
      </c>
      <c r="AD131" s="257">
        <v>2.7337604731394798</v>
      </c>
      <c r="AE131">
        <f>IF('WetLitterbags placem_collection'!AB132="","",'WetLitterbags placem_collection'!AB132)</f>
        <v>2.1</v>
      </c>
      <c r="AF131">
        <f>IF('WetLitterbags placem_collection'!Z132="","",'WetLitterbags placem_collection'!Z132)</f>
        <v>3.5</v>
      </c>
      <c r="AG131" s="243" t="str">
        <f>IF('WetLitterbags placem_collection'!AA132="","",'WetLitterbags placem_collection'!AA132)</f>
        <v>O</v>
      </c>
      <c r="AH131">
        <f>IF('WetLitterbags placem_collection'!AC132="","",'WetLitterbags placem_collection'!AC132)</f>
        <v>0</v>
      </c>
      <c r="AI131">
        <f>IFERROR(AVERAGE('Dry_Litterbag Placem_Collection'!O132,'Dry_Litterbag Placem_Collection'!R132),"")</f>
        <v>8.9499999999999993</v>
      </c>
      <c r="AJ131" s="268">
        <f>IFERROR(AVERAGE('Dry_Litterbag Placem_Collection'!N132,'Dry_Litterbag Placem_Collection'!Q132),"")</f>
        <v>28.55</v>
      </c>
      <c r="AK131" s="267">
        <f>INDEX(Coordinates!$B$2:$B$197,MATCH(H131,Coordinates!$J$2:$J$197,0))</f>
        <v>-2.3503729889999998</v>
      </c>
      <c r="AL131" s="267">
        <f>INDEX(Coordinates!$C$2:$C$197,MATCH(H131,Coordinates!$J$2:$J$197,0))</f>
        <v>34.049626969999998</v>
      </c>
      <c r="AM131" s="267" t="str">
        <f>IF(ISNUMBER(SEARCH("C", 'Dry_Litterbag Placem_Collection'!S132)),"YES","NO")</f>
        <v>YES</v>
      </c>
      <c r="AN131" s="267" t="str">
        <f>IF(ISNUMBER(SEARCH("H", 'Dry_Litterbag Placem_Collection'!S132)),"YES","NO")</f>
        <v>NO</v>
      </c>
      <c r="AO131" s="267" t="str">
        <f>IF(ISNUMBER(SEARCH("R", 'Dry_Litterbag Placem_Collection'!S132)),"YES","NO")</f>
        <v>NO</v>
      </c>
    </row>
    <row r="132" spans="1:41" ht="15" customHeight="1">
      <c r="A132" s="259" t="s">
        <v>2643</v>
      </c>
      <c r="B132" s="260">
        <f>'Dry_Litterbag Placem_Collection'!A133</f>
        <v>131</v>
      </c>
      <c r="C132" s="260" t="str">
        <f>'Dry_Litterbag Placem_Collection'!B133</f>
        <v xml:space="preserve">Mwantimba
</v>
      </c>
      <c r="D132" s="260" t="s">
        <v>2454</v>
      </c>
      <c r="E132" s="260" t="s">
        <v>20</v>
      </c>
      <c r="F132" s="260">
        <v>1</v>
      </c>
      <c r="G132" s="260" t="s">
        <v>3820</v>
      </c>
      <c r="H132" s="261" t="str">
        <f>'Dry_Litterbag Placem_Collection'!C133</f>
        <v>Wet_P1_T3</v>
      </c>
      <c r="I132" s="262" t="s">
        <v>2525</v>
      </c>
      <c r="J132" s="263" t="s">
        <v>1147</v>
      </c>
      <c r="K132" s="260" t="str">
        <f>IF(ISBLANK('Dry_Litterbag Placem_Collection'!J133),"","G"&amp;""&amp;'Dry_Litterbag Placem_Collection'!J133)</f>
        <v>G118</v>
      </c>
      <c r="L132" s="264">
        <f>IFERROR(INDEX('Green_rooibos initial weight'!$C$5:$C$2000,MATCH(K132, 'Green_rooibos initial weight'!$A$5:$A$2000,0)),"")</f>
        <v>2.0870000000000002</v>
      </c>
      <c r="M132" s="264">
        <f>IFERROR(L132-(TBIcalc!$Q$9+TBIcalc!$Q$10),"")</f>
        <v>1.8372000000000002</v>
      </c>
      <c r="N132" s="385">
        <f>AVERAGE(Ashed_controlls!$K$2:$K$11)</f>
        <v>5.5147656768714146</v>
      </c>
      <c r="O132" s="264">
        <f t="shared" si="11"/>
        <v>1.7358827249845186</v>
      </c>
      <c r="P132" s="264">
        <f>IFERROR(INDEX('Both teabags AfterDry'!$D$2:$D$2000,MATCH(K132,'Both teabags AfterDry'!$A$2:$A$2000,0)),"")</f>
        <v>0.87509999999999999</v>
      </c>
      <c r="Q132" s="264">
        <f>IFERROR(IF(P132&gt;0,P132-(TBIcalc!$Q$9),""),"")</f>
        <v>0.72449999999999992</v>
      </c>
      <c r="R132" s="275">
        <f>IFERROR(INDEX('Ashed teabags dry'!$K$2:$K$2000,MATCH(K132,'Ashed teabags dry'!$A$2:$A$2000,0)),"")</f>
        <v>19.267364414842707</v>
      </c>
      <c r="S132" s="275">
        <f t="shared" si="12"/>
        <v>0.58490794481446451</v>
      </c>
      <c r="T132" s="265">
        <f>IF('Dry_Litterbag Placem_Collection'!E133="","",'Dry_Litterbag Placem_Collection'!E133)</f>
        <v>42939</v>
      </c>
      <c r="U132" s="265">
        <f>IF('Dry_Litterbag Placem_Collection'!G133="","",'Dry_Litterbag Placem_Collection'!G133)</f>
        <v>43008</v>
      </c>
      <c r="V132" s="266">
        <f t="shared" si="10"/>
        <v>69</v>
      </c>
      <c r="W132" s="264">
        <f t="shared" si="13"/>
        <v>1.1127000000000002</v>
      </c>
      <c r="X132" s="264">
        <f t="shared" si="14"/>
        <v>1.1509747801700541</v>
      </c>
      <c r="Y132" s="268">
        <f>IFERROR(INDEX(Rainfall_Dry!$O$2:$O$217,MATCH(B132, Rainfall_Dry!$A$2:$A$217,0)),"")</f>
        <v>136.27214243</v>
      </c>
      <c r="Z132" s="257">
        <v>31.214836424255054</v>
      </c>
      <c r="AA132" s="257">
        <v>11.377370285476141</v>
      </c>
      <c r="AB132" s="257">
        <v>57.407793290268799</v>
      </c>
      <c r="AC132" s="258" t="s">
        <v>2654</v>
      </c>
      <c r="AD132" s="257">
        <v>3.7337604731394798</v>
      </c>
      <c r="AE132">
        <f>IF('WetLitterbags placem_collection'!AB133="","",'WetLitterbags placem_collection'!AB133)</f>
        <v>4.5</v>
      </c>
      <c r="AF132">
        <f>IF('WetLitterbags placem_collection'!Z133="","",'WetLitterbags placem_collection'!Z133)</f>
        <v>7.5</v>
      </c>
      <c r="AG132" s="243" t="str">
        <f>IF('WetLitterbags placem_collection'!AA133="","",'WetLitterbags placem_collection'!AA133)</f>
        <v>O</v>
      </c>
      <c r="AH132">
        <f>IF('WetLitterbags placem_collection'!AC133="","",'WetLitterbags placem_collection'!AC133)</f>
        <v>0</v>
      </c>
      <c r="AI132">
        <f>IFERROR(AVERAGE('Dry_Litterbag Placem_Collection'!O133,'Dry_Litterbag Placem_Collection'!R133),"")</f>
        <v>8.9499999999999993</v>
      </c>
      <c r="AJ132" s="268">
        <f>IFERROR(AVERAGE('Dry_Litterbag Placem_Collection'!N133,'Dry_Litterbag Placem_Collection'!Q133),"")</f>
        <v>28.6</v>
      </c>
      <c r="AK132" s="267">
        <f>INDEX(Coordinates!$B$2:$B$197,MATCH(H132,Coordinates!$J$2:$J$197,0))</f>
        <v>-2.3503259660000002</v>
      </c>
      <c r="AL132" s="267">
        <f>INDEX(Coordinates!$C$2:$C$197,MATCH(H132,Coordinates!$J$2:$J$197,0))</f>
        <v>34.049616999999998</v>
      </c>
      <c r="AM132" s="267" t="str">
        <f>IF(ISNUMBER(SEARCH("C", 'Dry_Litterbag Placem_Collection'!S133)),"YES","NO")</f>
        <v>YES</v>
      </c>
      <c r="AN132" s="267" t="str">
        <f>IF(ISNUMBER(SEARCH("H", 'Dry_Litterbag Placem_Collection'!S133)),"YES","NO")</f>
        <v>NO</v>
      </c>
      <c r="AO132" s="267" t="str">
        <f>IF(ISNUMBER(SEARCH("R", 'Dry_Litterbag Placem_Collection'!S133)),"YES","NO")</f>
        <v>NO</v>
      </c>
    </row>
    <row r="133" spans="1:41" ht="15" customHeight="1">
      <c r="A133" s="259" t="s">
        <v>2643</v>
      </c>
      <c r="B133" s="260">
        <f>'Dry_Litterbag Placem_Collection'!A134</f>
        <v>132</v>
      </c>
      <c r="C133" s="260" t="str">
        <f>'Dry_Litterbag Placem_Collection'!B134</f>
        <v xml:space="preserve">Mwantimba
</v>
      </c>
      <c r="D133" s="260" t="s">
        <v>2454</v>
      </c>
      <c r="E133" s="260" t="s">
        <v>20</v>
      </c>
      <c r="F133" s="260">
        <v>1</v>
      </c>
      <c r="G133" s="260" t="s">
        <v>3820</v>
      </c>
      <c r="H133" s="261" t="str">
        <f>'Dry_Litterbag Placem_Collection'!C134</f>
        <v>Wet_P1_T4</v>
      </c>
      <c r="I133" s="262" t="s">
        <v>2525</v>
      </c>
      <c r="J133" s="263" t="s">
        <v>1147</v>
      </c>
      <c r="K133" s="260" t="str">
        <f>IF(ISBLANK('Dry_Litterbag Placem_Collection'!J134),"","G"&amp;""&amp;'Dry_Litterbag Placem_Collection'!J134)</f>
        <v/>
      </c>
      <c r="L133" s="264" t="str">
        <f>IFERROR(INDEX('Green_rooibos initial weight'!$C$5:$C$2000,MATCH(K133, 'Green_rooibos initial weight'!$A$5:$A$2000,0)),"")</f>
        <v/>
      </c>
      <c r="M133" s="264" t="str">
        <f>IFERROR(L133-(TBIcalc!$Q$9+TBIcalc!$Q$10),"")</f>
        <v/>
      </c>
      <c r="N133" s="385">
        <f>AVERAGE(Ashed_controlls!$K$2:$K$11)</f>
        <v>5.5147656768714146</v>
      </c>
      <c r="O133" s="264" t="str">
        <f t="shared" si="11"/>
        <v/>
      </c>
      <c r="P133" s="264" t="str">
        <f>IFERROR(INDEX('Both teabags AfterDry'!$D$2:$D$2000,MATCH(K133,'Both teabags AfterDry'!$A$2:$A$2000,0)),"")</f>
        <v/>
      </c>
      <c r="Q133" s="264" t="str">
        <f>IFERROR(IF(P133&gt;0,P133-(TBIcalc!$Q$9),""),"")</f>
        <v/>
      </c>
      <c r="R133" s="275" t="str">
        <f>IFERROR(INDEX('Ashed teabags dry'!$K$2:$K$2000,MATCH(K133,'Ashed teabags dry'!$A$2:$A$2000,0)),"")</f>
        <v/>
      </c>
      <c r="S133" s="275" t="str">
        <f t="shared" si="12"/>
        <v/>
      </c>
      <c r="T133" s="265" t="str">
        <f>IF('Dry_Litterbag Placem_Collection'!E134="","",'Dry_Litterbag Placem_Collection'!E134)</f>
        <v/>
      </c>
      <c r="U133" s="265" t="str">
        <f>IF('Dry_Litterbag Placem_Collection'!G134="","",'Dry_Litterbag Placem_Collection'!G134)</f>
        <v/>
      </c>
      <c r="V133" s="266" t="str">
        <f t="shared" si="10"/>
        <v/>
      </c>
      <c r="W133" s="264" t="str">
        <f t="shared" si="13"/>
        <v/>
      </c>
      <c r="X133" s="264" t="str">
        <f t="shared" si="14"/>
        <v/>
      </c>
      <c r="Y133" s="268" t="str">
        <f>IFERROR(INDEX(Rainfall_Dry!$O$2:$O$217,MATCH(B133, Rainfall_Dry!$A$2:$A$217,0)),"")</f>
        <v/>
      </c>
      <c r="Z133" s="257">
        <v>31.214836424255054</v>
      </c>
      <c r="AA133" s="257">
        <v>11.377370285476141</v>
      </c>
      <c r="AB133" s="257">
        <v>57.407793290268799</v>
      </c>
      <c r="AC133" s="258" t="s">
        <v>2654</v>
      </c>
      <c r="AD133" s="257">
        <v>4.7337604731394798</v>
      </c>
      <c r="AE133">
        <f>IF('WetLitterbags placem_collection'!AB134="","",'WetLitterbags placem_collection'!AB134)</f>
        <v>0.7</v>
      </c>
      <c r="AF133">
        <f>IF('WetLitterbags placem_collection'!Z134="","",'WetLitterbags placem_collection'!Z134)</f>
        <v>9.8000000000000007</v>
      </c>
      <c r="AG133" s="243" t="str">
        <f>IF('WetLitterbags placem_collection'!AA134="","",'WetLitterbags placem_collection'!AA134)</f>
        <v>G</v>
      </c>
      <c r="AH133">
        <f>IF('WetLitterbags placem_collection'!AC134="","",'WetLitterbags placem_collection'!AC134)</f>
        <v>1</v>
      </c>
      <c r="AI133" t="str">
        <f>IFERROR(AVERAGE('Dry_Litterbag Placem_Collection'!O134,'Dry_Litterbag Placem_Collection'!R134),"")</f>
        <v/>
      </c>
      <c r="AJ133" s="268" t="str">
        <f>IFERROR(AVERAGE('Dry_Litterbag Placem_Collection'!N134,'Dry_Litterbag Placem_Collection'!Q134),"")</f>
        <v/>
      </c>
      <c r="AK133" s="267">
        <f>INDEX(Coordinates!$B$2:$B$197,MATCH(H133,Coordinates!$J$2:$J$197,0))</f>
        <v>-2.3504800260000001</v>
      </c>
      <c r="AL133" s="267">
        <f>INDEX(Coordinates!$C$2:$C$197,MATCH(H133,Coordinates!$J$2:$J$197,0))</f>
        <v>34.049551030000003</v>
      </c>
      <c r="AM133" s="267" t="str">
        <f>IF(ISNUMBER(SEARCH("C", 'Dry_Litterbag Placem_Collection'!S134)),"YES","NO")</f>
        <v>NO</v>
      </c>
      <c r="AN133" s="267" t="str">
        <f>IF(ISNUMBER(SEARCH("H", 'Dry_Litterbag Placem_Collection'!S134)),"YES","NO")</f>
        <v>NO</v>
      </c>
      <c r="AO133" s="267" t="str">
        <f>IF(ISNUMBER(SEARCH("R", 'Dry_Litterbag Placem_Collection'!S134)),"YES","NO")</f>
        <v>NO</v>
      </c>
    </row>
    <row r="134" spans="1:41" ht="15" customHeight="1">
      <c r="A134" s="259" t="s">
        <v>2643</v>
      </c>
      <c r="B134" s="260">
        <f>'Dry_Litterbag Placem_Collection'!A135</f>
        <v>133</v>
      </c>
      <c r="C134" s="260" t="str">
        <f>'Dry_Litterbag Placem_Collection'!B135</f>
        <v xml:space="preserve">Mwantimba
</v>
      </c>
      <c r="D134" s="260" t="s">
        <v>2454</v>
      </c>
      <c r="E134" s="260" t="s">
        <v>20</v>
      </c>
      <c r="F134" s="260">
        <v>1</v>
      </c>
      <c r="G134" s="260" t="s">
        <v>3820</v>
      </c>
      <c r="H134" s="261" t="str">
        <f>'Dry_Litterbag Placem_Collection'!C135</f>
        <v>Wet_P1_T5</v>
      </c>
      <c r="I134" s="262" t="s">
        <v>2525</v>
      </c>
      <c r="J134" s="263" t="s">
        <v>1147</v>
      </c>
      <c r="K134" s="260" t="str">
        <f>IF(ISBLANK('Dry_Litterbag Placem_Collection'!J135),"","G"&amp;""&amp;'Dry_Litterbag Placem_Collection'!J135)</f>
        <v>G270</v>
      </c>
      <c r="L134" s="264">
        <f>IFERROR(INDEX('Green_rooibos initial weight'!$C$5:$C$2000,MATCH(K134, 'Green_rooibos initial weight'!$A$5:$A$2000,0)),"")</f>
        <v>2.0139999999999998</v>
      </c>
      <c r="M134" s="264">
        <f>IFERROR(L134-(TBIcalc!$Q$9+TBIcalc!$Q$10),"")</f>
        <v>1.7641999999999998</v>
      </c>
      <c r="N134" s="385">
        <f>AVERAGE(Ashed_controlls!$K$2:$K$11)</f>
        <v>5.5147656768714146</v>
      </c>
      <c r="O134" s="264">
        <f t="shared" si="11"/>
        <v>1.6669085039286342</v>
      </c>
      <c r="P134" s="264" t="str">
        <f>IFERROR(INDEX('Both teabags AfterDry'!$D$2:$D$2000,MATCH(K134,'Both teabags AfterDry'!$A$2:$A$2000,0)),"")</f>
        <v/>
      </c>
      <c r="Q134" s="264" t="str">
        <f>IFERROR(IF(P134&gt;0,P134-(TBIcalc!$Q$9),""),"")</f>
        <v/>
      </c>
      <c r="R134" s="275" t="str">
        <f>IFERROR(INDEX('Ashed teabags dry'!$K$2:$K$2000,MATCH(K134,'Ashed teabags dry'!$A$2:$A$2000,0)),"")</f>
        <v/>
      </c>
      <c r="S134" s="275" t="str">
        <f t="shared" si="12"/>
        <v/>
      </c>
      <c r="T134" s="265">
        <f>IF('Dry_Litterbag Placem_Collection'!E135="","",'Dry_Litterbag Placem_Collection'!E135)</f>
        <v>42939</v>
      </c>
      <c r="U134" s="265">
        <f>IF('Dry_Litterbag Placem_Collection'!G135="","",'Dry_Litterbag Placem_Collection'!G135)</f>
        <v>43008</v>
      </c>
      <c r="V134" s="266">
        <f t="shared" si="10"/>
        <v>69</v>
      </c>
      <c r="W134" s="264" t="str">
        <f t="shared" si="13"/>
        <v/>
      </c>
      <c r="X134" s="264" t="str">
        <f t="shared" si="14"/>
        <v/>
      </c>
      <c r="Y134" s="268">
        <f>IFERROR(INDEX(Rainfall_Dry!$O$2:$O$217,MATCH(B134, Rainfall_Dry!$A$2:$A$217,0)),"")</f>
        <v>136.27214243</v>
      </c>
      <c r="Z134" s="257">
        <v>31.214836424255054</v>
      </c>
      <c r="AA134" s="257">
        <v>11.377370285476141</v>
      </c>
      <c r="AB134" s="257">
        <v>57.407793290268799</v>
      </c>
      <c r="AC134" s="258" t="s">
        <v>2654</v>
      </c>
      <c r="AD134" s="257">
        <v>5.7337604731394798</v>
      </c>
      <c r="AE134">
        <f>IF('WetLitterbags placem_collection'!AB135="","",'WetLitterbags placem_collection'!AB135)</f>
        <v>2.2000000000000002</v>
      </c>
      <c r="AF134">
        <f>IF('WetLitterbags placem_collection'!Z135="","",'WetLitterbags placem_collection'!Z135)</f>
        <v>10</v>
      </c>
      <c r="AG134" s="243" t="str">
        <f>IF('WetLitterbags placem_collection'!AA135="","",'WetLitterbags placem_collection'!AA135)</f>
        <v>O</v>
      </c>
      <c r="AH134">
        <f>IF('WetLitterbags placem_collection'!AC135="","",'WetLitterbags placem_collection'!AC135)</f>
        <v>1</v>
      </c>
      <c r="AI134">
        <f>IFERROR(AVERAGE('Dry_Litterbag Placem_Collection'!O135,'Dry_Litterbag Placem_Collection'!R135),"")</f>
        <v>8.75</v>
      </c>
      <c r="AJ134" s="268">
        <f>IFERROR(AVERAGE('Dry_Litterbag Placem_Collection'!N135,'Dry_Litterbag Placem_Collection'!Q135),"")</f>
        <v>31.3</v>
      </c>
      <c r="AK134" s="267">
        <f>INDEX(Coordinates!$B$2:$B$197,MATCH(H134,Coordinates!$J$2:$J$197,0))</f>
        <v>-2.350474996</v>
      </c>
      <c r="AL134" s="267">
        <f>INDEX(Coordinates!$C$2:$C$197,MATCH(H134,Coordinates!$J$2:$J$197,0))</f>
        <v>34.049801979999998</v>
      </c>
      <c r="AM134" s="267" t="str">
        <f>IF(ISNUMBER(SEARCH("C", 'Dry_Litterbag Placem_Collection'!S135)),"YES","NO")</f>
        <v>YES</v>
      </c>
      <c r="AN134" s="267" t="str">
        <f>IF(ISNUMBER(SEARCH("H", 'Dry_Litterbag Placem_Collection'!S135)),"YES","NO")</f>
        <v>NO</v>
      </c>
      <c r="AO134" s="267" t="str">
        <f>IF(ISNUMBER(SEARCH("R", 'Dry_Litterbag Placem_Collection'!S135)),"YES","NO")</f>
        <v>NO</v>
      </c>
    </row>
    <row r="135" spans="1:41" ht="15" customHeight="1">
      <c r="A135" s="259" t="s">
        <v>2643</v>
      </c>
      <c r="B135" s="260">
        <f>'Dry_Litterbag Placem_Collection'!A136</f>
        <v>134</v>
      </c>
      <c r="C135" s="260" t="str">
        <f>'Dry_Litterbag Placem_Collection'!B136</f>
        <v xml:space="preserve">Mwantimba
</v>
      </c>
      <c r="D135" s="260" t="s">
        <v>2454</v>
      </c>
      <c r="E135" s="260" t="s">
        <v>20</v>
      </c>
      <c r="F135" s="260">
        <v>1</v>
      </c>
      <c r="G135" s="260" t="s">
        <v>3820</v>
      </c>
      <c r="H135" s="261" t="str">
        <f>'Dry_Litterbag Placem_Collection'!C136</f>
        <v>Wet_P1_T6</v>
      </c>
      <c r="I135" s="262" t="s">
        <v>2525</v>
      </c>
      <c r="J135" s="263" t="s">
        <v>1147</v>
      </c>
      <c r="K135" s="260" t="str">
        <f>IF(ISBLANK('Dry_Litterbag Placem_Collection'!J136),"","G"&amp;""&amp;'Dry_Litterbag Placem_Collection'!J136)</f>
        <v>G316</v>
      </c>
      <c r="L135" s="264">
        <f>IFERROR(INDEX('Green_rooibos initial weight'!$C$5:$C$2000,MATCH(K135, 'Green_rooibos initial weight'!$A$5:$A$2000,0)),"")</f>
        <v>2.0579999999999998</v>
      </c>
      <c r="M135" s="264">
        <f>IFERROR(L135-(TBIcalc!$Q$9+TBIcalc!$Q$10),"")</f>
        <v>1.8081999999999998</v>
      </c>
      <c r="N135" s="385">
        <f>AVERAGE(Ashed_controlls!$K$2:$K$11)</f>
        <v>5.5147656768714146</v>
      </c>
      <c r="O135" s="264">
        <f t="shared" si="11"/>
        <v>1.7084820070308109</v>
      </c>
      <c r="P135" s="264">
        <f>IFERROR(INDEX('Both teabags AfterDry'!$D$2:$D$2000,MATCH(K135,'Both teabags AfterDry'!$A$2:$A$2000,0)),"")</f>
        <v>0.6512</v>
      </c>
      <c r="Q135" s="264">
        <f>IFERROR(IF(P135&gt;0,P135-(TBIcalc!$Q$9),""),"")</f>
        <v>0.50059999999999993</v>
      </c>
      <c r="R135" s="275">
        <f>IFERROR(INDEX('Ashed teabags dry'!$K$2:$K$2000,MATCH(K135,'Ashed teabags dry'!$A$2:$A$2000,0)),"")</f>
        <v>14.444983034415532</v>
      </c>
      <c r="S135" s="275">
        <f t="shared" si="12"/>
        <v>0.42828841492971581</v>
      </c>
      <c r="T135" s="265">
        <f>IF('Dry_Litterbag Placem_Collection'!E136="","",'Dry_Litterbag Placem_Collection'!E136)</f>
        <v>42939</v>
      </c>
      <c r="U135" s="265">
        <f>IF('Dry_Litterbag Placem_Collection'!G136="","",'Dry_Litterbag Placem_Collection'!G136)</f>
        <v>43008</v>
      </c>
      <c r="V135" s="266">
        <f t="shared" si="10"/>
        <v>69</v>
      </c>
      <c r="W135" s="264">
        <f t="shared" si="13"/>
        <v>1.3075999999999999</v>
      </c>
      <c r="X135" s="264">
        <f t="shared" si="14"/>
        <v>1.280193592101095</v>
      </c>
      <c r="Y135" s="268">
        <f>IFERROR(INDEX(Rainfall_Dry!$O$2:$O$217,MATCH(B135, Rainfall_Dry!$A$2:$A$217,0)),"")</f>
        <v>136.27214243</v>
      </c>
      <c r="Z135" s="257">
        <v>31.214836424255054</v>
      </c>
      <c r="AA135" s="257">
        <v>11.377370285476141</v>
      </c>
      <c r="AB135" s="257">
        <v>57.407793290268799</v>
      </c>
      <c r="AC135" s="258" t="s">
        <v>2654</v>
      </c>
      <c r="AD135" s="257">
        <v>6.7337604731394798</v>
      </c>
      <c r="AE135">
        <f>IF('WetLitterbags placem_collection'!AB136="","",'WetLitterbags placem_collection'!AB136)</f>
        <v>1.1000000000000001</v>
      </c>
      <c r="AF135">
        <f>IF('WetLitterbags placem_collection'!Z136="","",'WetLitterbags placem_collection'!Z136)</f>
        <v>15.4</v>
      </c>
      <c r="AG135" s="243" t="str">
        <f>IF('WetLitterbags placem_collection'!AA136="","",'WetLitterbags placem_collection'!AA136)</f>
        <v>O</v>
      </c>
      <c r="AH135">
        <f>IF('WetLitterbags placem_collection'!AC136="","",'WetLitterbags placem_collection'!AC136)</f>
        <v>1</v>
      </c>
      <c r="AI135">
        <f>IFERROR(AVERAGE('Dry_Litterbag Placem_Collection'!O136,'Dry_Litterbag Placem_Collection'!R136),"")</f>
        <v>6.65</v>
      </c>
      <c r="AJ135" s="268">
        <f>IFERROR(AVERAGE('Dry_Litterbag Placem_Collection'!N136,'Dry_Litterbag Placem_Collection'!Q136),"")</f>
        <v>29.200000000000003</v>
      </c>
      <c r="AK135" s="267">
        <f>INDEX(Coordinates!$B$2:$B$197,MATCH(H135,Coordinates!$J$2:$J$197,0))</f>
        <v>-2.3503559730000001</v>
      </c>
      <c r="AL135" s="267">
        <f>INDEX(Coordinates!$C$2:$C$197,MATCH(H135,Coordinates!$J$2:$J$197,0))</f>
        <v>34.049800980000001</v>
      </c>
      <c r="AM135" s="267" t="str">
        <f>IF(ISNUMBER(SEARCH("C", 'Dry_Litterbag Placem_Collection'!S136)),"YES","NO")</f>
        <v>NO</v>
      </c>
      <c r="AN135" s="267" t="str">
        <f>IF(ISNUMBER(SEARCH("H", 'Dry_Litterbag Placem_Collection'!S136)),"YES","NO")</f>
        <v>NO</v>
      </c>
      <c r="AO135" s="267" t="str">
        <f>IF(ISNUMBER(SEARCH("R", 'Dry_Litterbag Placem_Collection'!S136)),"YES","NO")</f>
        <v>YES</v>
      </c>
    </row>
    <row r="136" spans="1:41" ht="15" customHeight="1">
      <c r="A136" s="259" t="s">
        <v>2643</v>
      </c>
      <c r="B136" s="260">
        <f>'Dry_Litterbag Placem_Collection'!A137</f>
        <v>135</v>
      </c>
      <c r="C136" s="260" t="str">
        <f>'Dry_Litterbag Placem_Collection'!B137</f>
        <v xml:space="preserve">Mwantimba
</v>
      </c>
      <c r="D136" s="260" t="s">
        <v>2454</v>
      </c>
      <c r="E136" s="260" t="s">
        <v>20</v>
      </c>
      <c r="F136" s="260">
        <v>1</v>
      </c>
      <c r="G136" s="260" t="s">
        <v>3820</v>
      </c>
      <c r="H136" s="261" t="str">
        <f>'Dry_Litterbag Placem_Collection'!C137</f>
        <v>Wet_P1_T7</v>
      </c>
      <c r="I136" s="262" t="s">
        <v>2525</v>
      </c>
      <c r="J136" s="263" t="s">
        <v>1147</v>
      </c>
      <c r="K136" s="260" t="str">
        <f>IF(ISBLANK('Dry_Litterbag Placem_Collection'!J137),"","G"&amp;""&amp;'Dry_Litterbag Placem_Collection'!J137)</f>
        <v>G77</v>
      </c>
      <c r="L136" s="264">
        <f>IFERROR(INDEX('Green_rooibos initial weight'!$C$5:$C$2000,MATCH(K136, 'Green_rooibos initial weight'!$A$5:$A$2000,0)),"")</f>
        <v>2.0190000000000001</v>
      </c>
      <c r="M136" s="264">
        <f>IFERROR(L136-(TBIcalc!$Q$9+TBIcalc!$Q$10),"")</f>
        <v>1.7692000000000001</v>
      </c>
      <c r="N136" s="385">
        <f>AVERAGE(Ashed_controlls!$K$2:$K$11)</f>
        <v>5.5147656768714146</v>
      </c>
      <c r="O136" s="264">
        <f t="shared" si="11"/>
        <v>1.6716327656447911</v>
      </c>
      <c r="P136" s="264">
        <f>IFERROR(INDEX('Both teabags AfterDry'!$D$2:$D$2000,MATCH(K136,'Both teabags AfterDry'!$A$2:$A$2000,0)),"")</f>
        <v>0.94330000000000003</v>
      </c>
      <c r="Q136" s="264">
        <f>IFERROR(IF(P136&gt;0,P136-(TBIcalc!$Q$9),""),"")</f>
        <v>0.79269999999999996</v>
      </c>
      <c r="R136" s="275">
        <f>IFERROR(INDEX('Ashed teabags dry'!$K$2:$K$2000,MATCH(K136,'Ashed teabags dry'!$A$2:$A$2000,0)),"")</f>
        <v>34.179033030157882</v>
      </c>
      <c r="S136" s="275">
        <f t="shared" si="12"/>
        <v>0.52176280516993845</v>
      </c>
      <c r="T136" s="265">
        <f>IF('Dry_Litterbag Placem_Collection'!E137="","",'Dry_Litterbag Placem_Collection'!E137)</f>
        <v>42939</v>
      </c>
      <c r="U136" s="265">
        <f>IF('Dry_Litterbag Placem_Collection'!G137="","",'Dry_Litterbag Placem_Collection'!G137)</f>
        <v>43008</v>
      </c>
      <c r="V136" s="266">
        <f t="shared" si="10"/>
        <v>69</v>
      </c>
      <c r="W136" s="264">
        <f t="shared" si="13"/>
        <v>0.97650000000000015</v>
      </c>
      <c r="X136" s="264">
        <f t="shared" si="14"/>
        <v>1.1498699604748528</v>
      </c>
      <c r="Y136" s="268">
        <f>IFERROR(INDEX(Rainfall_Dry!$O$2:$O$217,MATCH(B136, Rainfall_Dry!$A$2:$A$217,0)),"")</f>
        <v>136.27214243</v>
      </c>
      <c r="Z136" s="257">
        <v>31.214836424255054</v>
      </c>
      <c r="AA136" s="257">
        <v>11.377370285476141</v>
      </c>
      <c r="AB136" s="257">
        <v>57.407793290268799</v>
      </c>
      <c r="AC136" s="258" t="s">
        <v>2654</v>
      </c>
      <c r="AD136" s="257">
        <v>7.7337604731394798</v>
      </c>
      <c r="AE136">
        <f>IF('WetLitterbags placem_collection'!AB137="","",'WetLitterbags placem_collection'!AB137)</f>
        <v>2.1</v>
      </c>
      <c r="AF136">
        <f>IF('WetLitterbags placem_collection'!Z137="","",'WetLitterbags placem_collection'!Z137)</f>
        <v>5.6</v>
      </c>
      <c r="AG136" s="243" t="str">
        <f>IF('WetLitterbags placem_collection'!AA137="","",'WetLitterbags placem_collection'!AA137)</f>
        <v>O</v>
      </c>
      <c r="AH136">
        <f>IF('WetLitterbags placem_collection'!AC137="","",'WetLitterbags placem_collection'!AC137)</f>
        <v>1</v>
      </c>
      <c r="AI136">
        <f>IFERROR(AVERAGE('Dry_Litterbag Placem_Collection'!O137,'Dry_Litterbag Placem_Collection'!R137),"")</f>
        <v>8.5500000000000007</v>
      </c>
      <c r="AJ136" s="268">
        <f>IFERROR(AVERAGE('Dry_Litterbag Placem_Collection'!N137,'Dry_Litterbag Placem_Collection'!Q137),"")</f>
        <v>31.35</v>
      </c>
      <c r="AK136" s="267">
        <f>INDEX(Coordinates!$B$2:$B$197,MATCH(H136,Coordinates!$J$2:$J$197,0))</f>
        <v>-2.3503589909999998</v>
      </c>
      <c r="AL136" s="267">
        <f>INDEX(Coordinates!$C$2:$C$197,MATCH(H136,Coordinates!$J$2:$J$197,0))</f>
        <v>34.049719000000003</v>
      </c>
      <c r="AM136" s="267" t="str">
        <f>IF(ISNUMBER(SEARCH("C", 'Dry_Litterbag Placem_Collection'!S137)),"YES","NO")</f>
        <v>YES</v>
      </c>
      <c r="AN136" s="267" t="str">
        <f>IF(ISNUMBER(SEARCH("H", 'Dry_Litterbag Placem_Collection'!S137)),"YES","NO")</f>
        <v>YES</v>
      </c>
      <c r="AO136" s="267" t="str">
        <f>IF(ISNUMBER(SEARCH("R", 'Dry_Litterbag Placem_Collection'!S137)),"YES","NO")</f>
        <v>NO</v>
      </c>
    </row>
    <row r="137" spans="1:41" ht="15" customHeight="1">
      <c r="A137" s="259" t="s">
        <v>2643</v>
      </c>
      <c r="B137" s="260">
        <f>'Dry_Litterbag Placem_Collection'!A138</f>
        <v>136</v>
      </c>
      <c r="C137" s="260" t="str">
        <f>'Dry_Litterbag Placem_Collection'!B138</f>
        <v xml:space="preserve">Mwantimba
</v>
      </c>
      <c r="D137" s="260" t="s">
        <v>2454</v>
      </c>
      <c r="E137" s="260" t="s">
        <v>20</v>
      </c>
      <c r="F137" s="260">
        <v>1</v>
      </c>
      <c r="G137" s="260" t="s">
        <v>3820</v>
      </c>
      <c r="H137" s="261" t="str">
        <f>'Dry_Litterbag Placem_Collection'!C138</f>
        <v>Wet_P1_T8</v>
      </c>
      <c r="I137" s="262" t="s">
        <v>2525</v>
      </c>
      <c r="J137" s="263" t="s">
        <v>1147</v>
      </c>
      <c r="K137" s="260" t="str">
        <f>IF(ISBLANK('Dry_Litterbag Placem_Collection'!J138),"","G"&amp;""&amp;'Dry_Litterbag Placem_Collection'!J138)</f>
        <v>G332</v>
      </c>
      <c r="L137" s="264">
        <f>IFERROR(INDEX('Green_rooibos initial weight'!$C$5:$C$2000,MATCH(K137, 'Green_rooibos initial weight'!$A$5:$A$2000,0)),"")</f>
        <v>2.121</v>
      </c>
      <c r="M137" s="264">
        <f>IFERROR(L137-(TBIcalc!$Q$9+TBIcalc!$Q$10),"")</f>
        <v>1.8712</v>
      </c>
      <c r="N137" s="385">
        <f>AVERAGE(Ashed_controlls!$K$2:$K$11)</f>
        <v>5.5147656768714146</v>
      </c>
      <c r="O137" s="264">
        <f t="shared" si="11"/>
        <v>1.7680077046543821</v>
      </c>
      <c r="P137" s="264">
        <f>IFERROR(INDEX('Both teabags AfterDry'!$D$2:$D$2000,MATCH(K137,'Both teabags AfterDry'!$A$2:$A$2000,0)),"")</f>
        <v>0.98260000000000003</v>
      </c>
      <c r="Q137" s="264">
        <f>IFERROR(IF(P137&gt;0,P137-(TBIcalc!$Q$9),""),"")</f>
        <v>0.83200000000000007</v>
      </c>
      <c r="R137" s="275">
        <f>IFERROR(INDEX('Ashed teabags dry'!$K$2:$K$2000,MATCH(K137,'Ashed teabags dry'!$A$2:$A$2000,0)),"")</f>
        <v>36.128717698681726</v>
      </c>
      <c r="S137" s="275">
        <f t="shared" si="12"/>
        <v>0.53140906874696814</v>
      </c>
      <c r="T137" s="265">
        <f>IF('Dry_Litterbag Placem_Collection'!E138="","",'Dry_Litterbag Placem_Collection'!E138)</f>
        <v>42939</v>
      </c>
      <c r="U137" s="265">
        <f>IF('Dry_Litterbag Placem_Collection'!G138="","",'Dry_Litterbag Placem_Collection'!G138)</f>
        <v>43008</v>
      </c>
      <c r="V137" s="266">
        <f t="shared" si="10"/>
        <v>69</v>
      </c>
      <c r="W137" s="264">
        <f t="shared" si="13"/>
        <v>1.0391999999999999</v>
      </c>
      <c r="X137" s="264">
        <f t="shared" si="14"/>
        <v>1.2365986359074139</v>
      </c>
      <c r="Y137" s="268">
        <f>IFERROR(INDEX(Rainfall_Dry!$O$2:$O$217,MATCH(B137, Rainfall_Dry!$A$2:$A$217,0)),"")</f>
        <v>136.27214243</v>
      </c>
      <c r="Z137" s="257">
        <v>31.214836424255054</v>
      </c>
      <c r="AA137" s="257">
        <v>11.377370285476141</v>
      </c>
      <c r="AB137" s="257">
        <v>57.407793290268799</v>
      </c>
      <c r="AC137" s="258" t="s">
        <v>2654</v>
      </c>
      <c r="AD137" s="257">
        <v>8.7337604731394798</v>
      </c>
      <c r="AE137">
        <f>IF('WetLitterbags placem_collection'!AB138="","",'WetLitterbags placem_collection'!AB138)</f>
        <v>2.2999999999999998</v>
      </c>
      <c r="AF137">
        <f>IF('WetLitterbags placem_collection'!Z138="","",'WetLitterbags placem_collection'!Z138)</f>
        <v>16.3</v>
      </c>
      <c r="AG137" s="243" t="str">
        <f>IF('WetLitterbags placem_collection'!AA138="","",'WetLitterbags placem_collection'!AA138)</f>
        <v>G</v>
      </c>
      <c r="AH137">
        <f>IF('WetLitterbags placem_collection'!AC138="","",'WetLitterbags placem_collection'!AC138)</f>
        <v>1</v>
      </c>
      <c r="AI137">
        <f>IFERROR(AVERAGE('Dry_Litterbag Placem_Collection'!O138,'Dry_Litterbag Placem_Collection'!R138),"")</f>
        <v>5.9</v>
      </c>
      <c r="AJ137" s="268">
        <f>IFERROR(AVERAGE('Dry_Litterbag Placem_Collection'!N138,'Dry_Litterbag Placem_Collection'!Q138),"")</f>
        <v>29.9</v>
      </c>
      <c r="AK137" s="267">
        <f>INDEX(Coordinates!$B$2:$B$197,MATCH(H137,Coordinates!$J$2:$J$197,0))</f>
        <v>-2.3502159960000002</v>
      </c>
      <c r="AL137" s="267">
        <f>INDEX(Coordinates!$C$2:$C$197,MATCH(H137,Coordinates!$J$2:$J$197,0))</f>
        <v>34.049822020000001</v>
      </c>
      <c r="AM137" s="267" t="str">
        <f>IF(ISNUMBER(SEARCH("C", 'Dry_Litterbag Placem_Collection'!S138)),"YES","NO")</f>
        <v>YES</v>
      </c>
      <c r="AN137" s="267" t="str">
        <f>IF(ISNUMBER(SEARCH("H", 'Dry_Litterbag Placem_Collection'!S138)),"YES","NO")</f>
        <v>NO</v>
      </c>
      <c r="AO137" s="267" t="str">
        <f>IF(ISNUMBER(SEARCH("R", 'Dry_Litterbag Placem_Collection'!S138)),"YES","NO")</f>
        <v>NO</v>
      </c>
    </row>
    <row r="138" spans="1:41" ht="15" customHeight="1">
      <c r="A138" s="259" t="s">
        <v>2643</v>
      </c>
      <c r="B138" s="260">
        <f>'Dry_Litterbag Placem_Collection'!A139</f>
        <v>137</v>
      </c>
      <c r="C138" s="260" t="str">
        <f>'Dry_Litterbag Placem_Collection'!B139</f>
        <v xml:space="preserve">Mwantimba
</v>
      </c>
      <c r="D138" s="260" t="s">
        <v>2454</v>
      </c>
      <c r="E138" s="260" t="s">
        <v>20</v>
      </c>
      <c r="F138" s="260">
        <v>2</v>
      </c>
      <c r="G138" s="260" t="s">
        <v>3822</v>
      </c>
      <c r="H138" s="261" t="str">
        <f>'Dry_Litterbag Placem_Collection'!C139</f>
        <v>Wet_P2_T1</v>
      </c>
      <c r="I138" s="262" t="s">
        <v>2525</v>
      </c>
      <c r="J138" s="263" t="s">
        <v>1147</v>
      </c>
      <c r="K138" s="260" t="str">
        <f>IF(ISBLANK('Dry_Litterbag Placem_Collection'!J139),"","G"&amp;""&amp;'Dry_Litterbag Placem_Collection'!J139)</f>
        <v>G30</v>
      </c>
      <c r="L138" s="264">
        <f>IFERROR(INDEX('Green_rooibos initial weight'!$C$5:$C$2000,MATCH(K138, 'Green_rooibos initial weight'!$A$5:$A$2000,0)),"")</f>
        <v>2.0680000000000001</v>
      </c>
      <c r="M138" s="264">
        <f>IFERROR(L138-(TBIcalc!$Q$9+TBIcalc!$Q$10),"")</f>
        <v>1.8182</v>
      </c>
      <c r="N138" s="385">
        <f>AVERAGE(Ashed_controlls!$K$2:$K$11)</f>
        <v>5.5147656768714146</v>
      </c>
      <c r="O138" s="264">
        <f t="shared" si="11"/>
        <v>1.7179305304631241</v>
      </c>
      <c r="P138" s="264">
        <f>IFERROR(INDEX('Both teabags AfterDry'!$D$2:$D$2000,MATCH(K138,'Both teabags AfterDry'!$A$2:$A$2000,0)),"")</f>
        <v>0.80879999999999996</v>
      </c>
      <c r="Q138" s="264">
        <f>IFERROR(IF(P138&gt;0,P138-(TBIcalc!$Q$9),""),"")</f>
        <v>0.6581999999999999</v>
      </c>
      <c r="R138" s="275">
        <f>IFERROR(INDEX('Ashed teabags dry'!$K$2:$K$2000,MATCH(K138,'Ashed teabags dry'!$A$2:$A$2000,0)),"")</f>
        <v>19.57311534968159</v>
      </c>
      <c r="S138" s="275">
        <f t="shared" si="12"/>
        <v>0.52936975476839565</v>
      </c>
      <c r="T138" s="265">
        <f>IF('Dry_Litterbag Placem_Collection'!E139="","",'Dry_Litterbag Placem_Collection'!E139)</f>
        <v>42939</v>
      </c>
      <c r="U138" s="265">
        <f>IF('Dry_Litterbag Placem_Collection'!G139="","",'Dry_Litterbag Placem_Collection'!G139)</f>
        <v>43008</v>
      </c>
      <c r="V138" s="266">
        <f t="shared" si="10"/>
        <v>69</v>
      </c>
      <c r="W138" s="264">
        <f t="shared" si="13"/>
        <v>1.1600000000000001</v>
      </c>
      <c r="X138" s="264">
        <f t="shared" si="14"/>
        <v>1.1885607756947283</v>
      </c>
      <c r="Y138" s="268">
        <f>IFERROR(INDEX(Rainfall_Dry!$O$2:$O$217,MATCH(B138, Rainfall_Dry!$A$2:$A$217,0)),"")</f>
        <v>136.27214243</v>
      </c>
      <c r="Z138" s="257">
        <v>33.96</v>
      </c>
      <c r="AA138" s="257">
        <v>8.9200000000000017</v>
      </c>
      <c r="AB138" s="257">
        <v>57.12</v>
      </c>
      <c r="AC138" s="258" t="s">
        <v>2654</v>
      </c>
      <c r="AD138" s="257">
        <v>2.072055199605717</v>
      </c>
      <c r="AE138">
        <f>IF('WetLitterbags placem_collection'!AB139="","",'WetLitterbags placem_collection'!AB139)</f>
        <v>1.2</v>
      </c>
      <c r="AF138">
        <f>IF('WetLitterbags placem_collection'!Z139="","",'WetLitterbags placem_collection'!Z139)</f>
        <v>32.4</v>
      </c>
      <c r="AG138" s="243" t="str">
        <f>IF('WetLitterbags placem_collection'!AA139="","",'WetLitterbags placem_collection'!AA139)</f>
        <v>G</v>
      </c>
      <c r="AH138">
        <f>IF('WetLitterbags placem_collection'!AC139="","",'WetLitterbags placem_collection'!AC139)</f>
        <v>1</v>
      </c>
      <c r="AI138">
        <f>IFERROR(AVERAGE('Dry_Litterbag Placem_Collection'!O139,'Dry_Litterbag Placem_Collection'!R139),"")</f>
        <v>8.9</v>
      </c>
      <c r="AJ138" s="268">
        <f>IFERROR(AVERAGE('Dry_Litterbag Placem_Collection'!N139,'Dry_Litterbag Placem_Collection'!Q139),"")</f>
        <v>27.55</v>
      </c>
      <c r="AK138" s="267">
        <f>INDEX(Coordinates!$B$2:$B$197,MATCH(H138,Coordinates!$J$2:$J$197,0))</f>
        <v>-2.348596025</v>
      </c>
      <c r="AL138" s="267">
        <f>INDEX(Coordinates!$C$2:$C$197,MATCH(H138,Coordinates!$J$2:$J$197,0))</f>
        <v>34.050070959999999</v>
      </c>
      <c r="AM138" s="267" t="str">
        <f>IF(ISNUMBER(SEARCH("C", 'Dry_Litterbag Placem_Collection'!S139)),"YES","NO")</f>
        <v>NO</v>
      </c>
      <c r="AN138" s="267" t="str">
        <f>IF(ISNUMBER(SEARCH("H", 'Dry_Litterbag Placem_Collection'!S139)),"YES","NO")</f>
        <v>YES</v>
      </c>
      <c r="AO138" s="267" t="str">
        <f>IF(ISNUMBER(SEARCH("R", 'Dry_Litterbag Placem_Collection'!S139)),"YES","NO")</f>
        <v>NO</v>
      </c>
    </row>
    <row r="139" spans="1:41" ht="15" customHeight="1">
      <c r="A139" s="259" t="s">
        <v>2643</v>
      </c>
      <c r="B139" s="260">
        <f>'Dry_Litterbag Placem_Collection'!A140</f>
        <v>138</v>
      </c>
      <c r="C139" s="260" t="str">
        <f>'Dry_Litterbag Placem_Collection'!B140</f>
        <v xml:space="preserve">Mwantimba
</v>
      </c>
      <c r="D139" s="260" t="s">
        <v>2454</v>
      </c>
      <c r="E139" s="260" t="s">
        <v>20</v>
      </c>
      <c r="F139" s="260">
        <v>2</v>
      </c>
      <c r="G139" s="260" t="s">
        <v>3822</v>
      </c>
      <c r="H139" s="261" t="str">
        <f>'Dry_Litterbag Placem_Collection'!C140</f>
        <v>Wet_P2_T2</v>
      </c>
      <c r="I139" s="262" t="s">
        <v>2525</v>
      </c>
      <c r="J139" s="263" t="s">
        <v>1147</v>
      </c>
      <c r="K139" s="260" t="str">
        <f>IF(ISBLANK('Dry_Litterbag Placem_Collection'!J140),"","G"&amp;""&amp;'Dry_Litterbag Placem_Collection'!J140)</f>
        <v>G213</v>
      </c>
      <c r="L139" s="264">
        <f>IFERROR(INDEX('Green_rooibos initial weight'!$C$5:$C$2000,MATCH(K139, 'Green_rooibos initial weight'!$A$5:$A$2000,0)),"")</f>
        <v>2.0670000000000002</v>
      </c>
      <c r="M139" s="264">
        <f>IFERROR(L139-(TBIcalc!$Q$9+TBIcalc!$Q$10),"")</f>
        <v>1.8172000000000001</v>
      </c>
      <c r="N139" s="385">
        <f>AVERAGE(Ashed_controlls!$K$2:$K$11)</f>
        <v>5.5147656768714146</v>
      </c>
      <c r="O139" s="264">
        <f t="shared" si="11"/>
        <v>1.7169856781198929</v>
      </c>
      <c r="P139" s="264">
        <f>IFERROR(INDEX('Both teabags AfterDry'!$D$2:$D$2000,MATCH(K139,'Both teabags AfterDry'!$A$2:$A$2000,0)),"")</f>
        <v>0.66200000000000003</v>
      </c>
      <c r="Q139" s="264">
        <f>IFERROR(IF(P139&gt;0,P139-(TBIcalc!$Q$9),""),"")</f>
        <v>0.51140000000000008</v>
      </c>
      <c r="R139" s="275">
        <f>IFERROR(INDEX('Ashed teabags dry'!$K$2:$K$2000,MATCH(K139,'Ashed teabags dry'!$A$2:$A$2000,0)),"")</f>
        <v>28.084896347481987</v>
      </c>
      <c r="S139" s="275">
        <f t="shared" si="12"/>
        <v>0.36777384007897718</v>
      </c>
      <c r="T139" s="265">
        <f>IF('Dry_Litterbag Placem_Collection'!E140="","",'Dry_Litterbag Placem_Collection'!E140)</f>
        <v>42939</v>
      </c>
      <c r="U139" s="265">
        <f>IF('Dry_Litterbag Placem_Collection'!G140="","",'Dry_Litterbag Placem_Collection'!G140)</f>
        <v>43008</v>
      </c>
      <c r="V139" s="266">
        <f t="shared" si="10"/>
        <v>69</v>
      </c>
      <c r="W139" s="264">
        <f t="shared" si="13"/>
        <v>1.3058000000000001</v>
      </c>
      <c r="X139" s="264">
        <f t="shared" si="14"/>
        <v>1.3492118380409157</v>
      </c>
      <c r="Y139" s="268">
        <f>IFERROR(INDEX(Rainfall_Dry!$O$2:$O$217,MATCH(B139, Rainfall_Dry!$A$2:$A$217,0)),"")</f>
        <v>136.27214243</v>
      </c>
      <c r="Z139" s="257">
        <v>33.96</v>
      </c>
      <c r="AA139" s="257">
        <v>8.9200000000000017</v>
      </c>
      <c r="AB139" s="257">
        <v>57.12</v>
      </c>
      <c r="AC139" s="258" t="s">
        <v>2654</v>
      </c>
      <c r="AD139" s="257">
        <v>3.0720551996057202</v>
      </c>
      <c r="AE139">
        <f>IF('WetLitterbags placem_collection'!AB140="","",'WetLitterbags placem_collection'!AB140)</f>
        <v>2.8</v>
      </c>
      <c r="AF139">
        <f>IF('WetLitterbags placem_collection'!Z140="","",'WetLitterbags placem_collection'!Z140)</f>
        <v>26.4</v>
      </c>
      <c r="AG139" s="243" t="str">
        <f>IF('WetLitterbags placem_collection'!AA140="","",'WetLitterbags placem_collection'!AA140)</f>
        <v>G</v>
      </c>
      <c r="AH139">
        <f>IF('WetLitterbags placem_collection'!AC140="","",'WetLitterbags placem_collection'!AC140)</f>
        <v>1</v>
      </c>
      <c r="AI139">
        <f>IFERROR(AVERAGE('Dry_Litterbag Placem_Collection'!O140,'Dry_Litterbag Placem_Collection'!R140),"")</f>
        <v>7.05</v>
      </c>
      <c r="AJ139" s="268">
        <f>IFERROR(AVERAGE('Dry_Litterbag Placem_Collection'!N140,'Dry_Litterbag Placem_Collection'!Q140),"")</f>
        <v>28.799999999999997</v>
      </c>
      <c r="AK139" s="267">
        <f>INDEX(Coordinates!$B$2:$B$197,MATCH(H139,Coordinates!$J$2:$J$197,0))</f>
        <v>-2.3485449790000001</v>
      </c>
      <c r="AL139" s="267">
        <f>INDEX(Coordinates!$C$2:$C$197,MATCH(H139,Coordinates!$J$2:$J$197,0))</f>
        <v>34.050146980000001</v>
      </c>
      <c r="AM139" s="267" t="str">
        <f>IF(ISNUMBER(SEARCH("C", 'Dry_Litterbag Placem_Collection'!S140)),"YES","NO")</f>
        <v>YES</v>
      </c>
      <c r="AN139" s="267" t="str">
        <f>IF(ISNUMBER(SEARCH("H", 'Dry_Litterbag Placem_Collection'!S140)),"YES","NO")</f>
        <v>YES</v>
      </c>
      <c r="AO139" s="267" t="str">
        <f>IF(ISNUMBER(SEARCH("R", 'Dry_Litterbag Placem_Collection'!S140)),"YES","NO")</f>
        <v>NO</v>
      </c>
    </row>
    <row r="140" spans="1:41" ht="15" customHeight="1">
      <c r="A140" s="259" t="s">
        <v>2643</v>
      </c>
      <c r="B140" s="260">
        <f>'Dry_Litterbag Placem_Collection'!A141</f>
        <v>139</v>
      </c>
      <c r="C140" s="260" t="str">
        <f>'Dry_Litterbag Placem_Collection'!B141</f>
        <v xml:space="preserve">Mwantimba
</v>
      </c>
      <c r="D140" s="260" t="s">
        <v>2454</v>
      </c>
      <c r="E140" s="260" t="s">
        <v>20</v>
      </c>
      <c r="F140" s="260">
        <v>2</v>
      </c>
      <c r="G140" s="260" t="s">
        <v>3822</v>
      </c>
      <c r="H140" s="261" t="str">
        <f>'Dry_Litterbag Placem_Collection'!C141</f>
        <v>Wet_P2_T3</v>
      </c>
      <c r="I140" s="262" t="s">
        <v>2525</v>
      </c>
      <c r="J140" s="263" t="s">
        <v>1147</v>
      </c>
      <c r="K140" s="260" t="str">
        <f>IF(ISBLANK('Dry_Litterbag Placem_Collection'!J141),"","G"&amp;""&amp;'Dry_Litterbag Placem_Collection'!J141)</f>
        <v>G17</v>
      </c>
      <c r="L140" s="264">
        <f>IFERROR(INDEX('Green_rooibos initial weight'!$C$5:$C$2000,MATCH(K140, 'Green_rooibos initial weight'!$A$5:$A$2000,0)),"")</f>
        <v>1.9870000000000001</v>
      </c>
      <c r="M140" s="264">
        <f>IFERROR(L140-(TBIcalc!$Q$9+TBIcalc!$Q$10),"")</f>
        <v>1.7372000000000001</v>
      </c>
      <c r="N140" s="385">
        <f>AVERAGE(Ashed_controlls!$K$2:$K$11)</f>
        <v>5.5147656768714146</v>
      </c>
      <c r="O140" s="264">
        <f t="shared" si="11"/>
        <v>1.64139749066139</v>
      </c>
      <c r="P140" s="264">
        <f>IFERROR(INDEX('Both teabags AfterDry'!$D$2:$D$2000,MATCH(K140,'Both teabags AfterDry'!$A$2:$A$2000,0)),"")</f>
        <v>0.73580000000000001</v>
      </c>
      <c r="Q140" s="264">
        <f>IFERROR(IF(P140&gt;0,P140-(TBIcalc!$Q$9),""),"")</f>
        <v>0.58519999999999994</v>
      </c>
      <c r="R140" s="275">
        <f>IFERROR(INDEX('Ashed teabags dry'!$K$2:$K$2000,MATCH(K140,'Ashed teabags dry'!$A$2:$A$2000,0)),"")</f>
        <v>21.345029239766301</v>
      </c>
      <c r="S140" s="275">
        <f t="shared" si="12"/>
        <v>0.46028888888888758</v>
      </c>
      <c r="T140" s="265">
        <f>IF('Dry_Litterbag Placem_Collection'!E141="","",'Dry_Litterbag Placem_Collection'!E141)</f>
        <v>42939</v>
      </c>
      <c r="U140" s="265">
        <f>IF('Dry_Litterbag Placem_Collection'!G141="","",'Dry_Litterbag Placem_Collection'!G141)</f>
        <v>43008</v>
      </c>
      <c r="V140" s="266">
        <f t="shared" si="10"/>
        <v>69</v>
      </c>
      <c r="W140" s="264">
        <f t="shared" si="13"/>
        <v>1.1520000000000001</v>
      </c>
      <c r="X140" s="264">
        <f t="shared" si="14"/>
        <v>1.1811086017725023</v>
      </c>
      <c r="Y140" s="268">
        <f>IFERROR(INDEX(Rainfall_Dry!$O$2:$O$217,MATCH(B140, Rainfall_Dry!$A$2:$A$217,0)),"")</f>
        <v>136.27214243</v>
      </c>
      <c r="Z140" s="257">
        <v>33.96</v>
      </c>
      <c r="AA140" s="257">
        <v>8.9200000000000017</v>
      </c>
      <c r="AB140" s="257">
        <v>57.12</v>
      </c>
      <c r="AC140" s="258" t="s">
        <v>2654</v>
      </c>
      <c r="AD140" s="257">
        <v>4.0720551996057202</v>
      </c>
      <c r="AE140">
        <f>IF('WetLitterbags placem_collection'!AB141="","",'WetLitterbags placem_collection'!AB141)</f>
        <v>5.7</v>
      </c>
      <c r="AF140">
        <f>IF('WetLitterbags placem_collection'!Z141="","",'WetLitterbags placem_collection'!Z141)</f>
        <v>19.399999999999999</v>
      </c>
      <c r="AG140" s="243" t="str">
        <f>IF('WetLitterbags placem_collection'!AA141="","",'WetLitterbags placem_collection'!AA141)</f>
        <v>G</v>
      </c>
      <c r="AH140">
        <f>IF('WetLitterbags placem_collection'!AC141="","",'WetLitterbags placem_collection'!AC141)</f>
        <v>1</v>
      </c>
      <c r="AI140">
        <f>IFERROR(AVERAGE('Dry_Litterbag Placem_Collection'!O141,'Dry_Litterbag Placem_Collection'!R141),"")</f>
        <v>11.200000000000001</v>
      </c>
      <c r="AJ140" s="268">
        <f>IFERROR(AVERAGE('Dry_Litterbag Placem_Collection'!N141,'Dry_Litterbag Placem_Collection'!Q141),"")</f>
        <v>28.15</v>
      </c>
      <c r="AK140" s="267">
        <f>INDEX(Coordinates!$B$2:$B$197,MATCH(H140,Coordinates!$J$2:$J$197,0))</f>
        <v>-2.3487209990000002</v>
      </c>
      <c r="AL140" s="267">
        <f>INDEX(Coordinates!$C$2:$C$197,MATCH(H140,Coordinates!$J$2:$J$197,0))</f>
        <v>34.050128039999997</v>
      </c>
      <c r="AM140" s="267" t="str">
        <f>IF(ISNUMBER(SEARCH("C", 'Dry_Litterbag Placem_Collection'!S141)),"YES","NO")</f>
        <v>YES</v>
      </c>
      <c r="AN140" s="267" t="str">
        <f>IF(ISNUMBER(SEARCH("H", 'Dry_Litterbag Placem_Collection'!S141)),"YES","NO")</f>
        <v>YES</v>
      </c>
      <c r="AO140" s="267" t="str">
        <f>IF(ISNUMBER(SEARCH("R", 'Dry_Litterbag Placem_Collection'!S141)),"YES","NO")</f>
        <v>NO</v>
      </c>
    </row>
    <row r="141" spans="1:41" ht="15" customHeight="1">
      <c r="A141" s="259" t="s">
        <v>2643</v>
      </c>
      <c r="B141" s="260">
        <f>'Dry_Litterbag Placem_Collection'!A142</f>
        <v>140</v>
      </c>
      <c r="C141" s="260" t="str">
        <f>'Dry_Litterbag Placem_Collection'!B142</f>
        <v xml:space="preserve">Mwantimba
</v>
      </c>
      <c r="D141" s="260" t="s">
        <v>2454</v>
      </c>
      <c r="E141" s="260" t="s">
        <v>20</v>
      </c>
      <c r="F141" s="260">
        <v>2</v>
      </c>
      <c r="G141" s="260" t="s">
        <v>3822</v>
      </c>
      <c r="H141" s="261" t="str">
        <f>'Dry_Litterbag Placem_Collection'!C142</f>
        <v>Wet_P2_T4</v>
      </c>
      <c r="I141" s="262" t="s">
        <v>2525</v>
      </c>
      <c r="J141" s="263" t="s">
        <v>1147</v>
      </c>
      <c r="K141" s="260" t="str">
        <f>IF(ISBLANK('Dry_Litterbag Placem_Collection'!J142),"","G"&amp;""&amp;'Dry_Litterbag Placem_Collection'!J142)</f>
        <v>G401</v>
      </c>
      <c r="L141" s="264">
        <f>IFERROR(INDEX('Green_rooibos initial weight'!$C$5:$C$2000,MATCH(K141, 'Green_rooibos initial weight'!$A$5:$A$2000,0)),"")</f>
        <v>1.9390000000000001</v>
      </c>
      <c r="M141" s="264">
        <f>IFERROR(L141-(TBIcalc!$Q$9+TBIcalc!$Q$10),"")</f>
        <v>1.6892</v>
      </c>
      <c r="N141" s="385">
        <f>AVERAGE(Ashed_controlls!$K$2:$K$11)</f>
        <v>5.5147656768714146</v>
      </c>
      <c r="O141" s="264">
        <f t="shared" si="11"/>
        <v>1.5960445781862882</v>
      </c>
      <c r="P141" s="264">
        <f>IFERROR(INDEX('Both teabags AfterDry'!$D$2:$D$2000,MATCH(K141,'Both teabags AfterDry'!$A$2:$A$2000,0)),"")</f>
        <v>0.9304</v>
      </c>
      <c r="Q141" s="264">
        <f>IFERROR(IF(P141&gt;0,P141-(TBIcalc!$Q$9),""),"")</f>
        <v>0.77980000000000005</v>
      </c>
      <c r="R141" s="275">
        <f>IFERROR(INDEX('Ashed teabags dry'!$K$2:$K$2000,MATCH(K141,'Ashed teabags dry'!$A$2:$A$2000,0)),"")</f>
        <v>22.900763358778644</v>
      </c>
      <c r="S141" s="275">
        <f t="shared" si="12"/>
        <v>0.60121984732824418</v>
      </c>
      <c r="T141" s="265">
        <f>IF('Dry_Litterbag Placem_Collection'!E142="","",'Dry_Litterbag Placem_Collection'!E142)</f>
        <v>42939</v>
      </c>
      <c r="U141" s="265">
        <f>IF('Dry_Litterbag Placem_Collection'!G142="","",'Dry_Litterbag Placem_Collection'!G142)</f>
        <v>43008</v>
      </c>
      <c r="V141" s="266">
        <f t="shared" si="10"/>
        <v>69</v>
      </c>
      <c r="W141" s="264">
        <f t="shared" si="13"/>
        <v>0.90939999999999999</v>
      </c>
      <c r="X141" s="264">
        <f t="shared" si="14"/>
        <v>0.99482473085804402</v>
      </c>
      <c r="Y141" s="268">
        <f>IFERROR(INDEX(Rainfall_Dry!$O$2:$O$217,MATCH(B141, Rainfall_Dry!$A$2:$A$217,0)),"")</f>
        <v>136.27214243</v>
      </c>
      <c r="Z141" s="257">
        <v>33.96</v>
      </c>
      <c r="AA141" s="257">
        <v>8.9200000000000017</v>
      </c>
      <c r="AB141" s="257">
        <v>57.12</v>
      </c>
      <c r="AC141" s="258" t="s">
        <v>2654</v>
      </c>
      <c r="AD141" s="257">
        <v>5.0720551996057202</v>
      </c>
      <c r="AE141">
        <f>IF('WetLitterbags placem_collection'!AB142="","",'WetLitterbags placem_collection'!AB142)</f>
        <v>1.4</v>
      </c>
      <c r="AF141">
        <f>IF('WetLitterbags placem_collection'!Z142="","",'WetLitterbags placem_collection'!Z142)</f>
        <v>33.4</v>
      </c>
      <c r="AG141" s="243" t="str">
        <f>IF('WetLitterbags placem_collection'!AA142="","",'WetLitterbags placem_collection'!AA142)</f>
        <v>G</v>
      </c>
      <c r="AH141">
        <f>IF('WetLitterbags placem_collection'!AC142="","",'WetLitterbags placem_collection'!AC142)</f>
        <v>1</v>
      </c>
      <c r="AI141">
        <f>IFERROR(AVERAGE('Dry_Litterbag Placem_Collection'!O142,'Dry_Litterbag Placem_Collection'!R142),"")</f>
        <v>7.3000000000000007</v>
      </c>
      <c r="AJ141" s="268">
        <f>IFERROR(AVERAGE('Dry_Litterbag Placem_Collection'!N142,'Dry_Litterbag Placem_Collection'!Q142),"")</f>
        <v>28</v>
      </c>
      <c r="AK141" s="267">
        <f>INDEX(Coordinates!$B$2:$B$197,MATCH(H141,Coordinates!$J$2:$J$197,0))</f>
        <v>-2.3486250270000002</v>
      </c>
      <c r="AL141" s="267">
        <f>INDEX(Coordinates!$C$2:$C$197,MATCH(H141,Coordinates!$J$2:$J$197,0))</f>
        <v>34.050070959999999</v>
      </c>
      <c r="AM141" s="267" t="str">
        <f>IF(ISNUMBER(SEARCH("C", 'Dry_Litterbag Placem_Collection'!S142)),"YES","NO")</f>
        <v>NO</v>
      </c>
      <c r="AN141" s="267" t="str">
        <f>IF(ISNUMBER(SEARCH("H", 'Dry_Litterbag Placem_Collection'!S142)),"YES","NO")</f>
        <v>NO</v>
      </c>
      <c r="AO141" s="267" t="str">
        <f>IF(ISNUMBER(SEARCH("R", 'Dry_Litterbag Placem_Collection'!S142)),"YES","NO")</f>
        <v>YES</v>
      </c>
    </row>
    <row r="142" spans="1:41" ht="15" customHeight="1">
      <c r="A142" s="259" t="s">
        <v>2643</v>
      </c>
      <c r="B142" s="260">
        <f>'Dry_Litterbag Placem_Collection'!A143</f>
        <v>141</v>
      </c>
      <c r="C142" s="260" t="str">
        <f>'Dry_Litterbag Placem_Collection'!B143</f>
        <v xml:space="preserve">Mwantimba
</v>
      </c>
      <c r="D142" s="260" t="s">
        <v>2454</v>
      </c>
      <c r="E142" s="260" t="s">
        <v>20</v>
      </c>
      <c r="F142" s="260">
        <v>2</v>
      </c>
      <c r="G142" s="260" t="s">
        <v>3822</v>
      </c>
      <c r="H142" s="261" t="str">
        <f>'Dry_Litterbag Placem_Collection'!C143</f>
        <v>Wet_P2_T5</v>
      </c>
      <c r="I142" s="262" t="s">
        <v>2525</v>
      </c>
      <c r="J142" s="263" t="s">
        <v>1147</v>
      </c>
      <c r="K142" s="260" t="str">
        <f>IF(ISBLANK('Dry_Litterbag Placem_Collection'!J143),"","G"&amp;""&amp;'Dry_Litterbag Placem_Collection'!J143)</f>
        <v/>
      </c>
      <c r="L142" s="264" t="str">
        <f>IFERROR(INDEX('Green_rooibos initial weight'!$C$5:$C$2000,MATCH(K142, 'Green_rooibos initial weight'!$A$5:$A$2000,0)),"")</f>
        <v/>
      </c>
      <c r="M142" s="264" t="str">
        <f>IFERROR(L142-(TBIcalc!$Q$9+TBIcalc!$Q$10),"")</f>
        <v/>
      </c>
      <c r="N142" s="385">
        <f>AVERAGE(Ashed_controlls!$K$2:$K$11)</f>
        <v>5.5147656768714146</v>
      </c>
      <c r="O142" s="264" t="str">
        <f t="shared" si="11"/>
        <v/>
      </c>
      <c r="P142" s="264" t="str">
        <f>IFERROR(INDEX('Both teabags AfterDry'!$D$2:$D$2000,MATCH(K142,'Both teabags AfterDry'!$A$2:$A$2000,0)),"")</f>
        <v/>
      </c>
      <c r="Q142" s="264" t="str">
        <f>IFERROR(IF(P142&gt;0,P142-(TBIcalc!$Q$9),""),"")</f>
        <v/>
      </c>
      <c r="R142" s="275" t="str">
        <f>IFERROR(INDEX('Ashed teabags dry'!$K$2:$K$2000,MATCH(K142,'Ashed teabags dry'!$A$2:$A$2000,0)),"")</f>
        <v/>
      </c>
      <c r="S142" s="275" t="str">
        <f t="shared" si="12"/>
        <v/>
      </c>
      <c r="T142" s="265" t="str">
        <f>IF('Dry_Litterbag Placem_Collection'!E143="","",'Dry_Litterbag Placem_Collection'!E143)</f>
        <v/>
      </c>
      <c r="U142" s="265" t="str">
        <f>IF('Dry_Litterbag Placem_Collection'!G143="","",'Dry_Litterbag Placem_Collection'!G143)</f>
        <v/>
      </c>
      <c r="V142" s="266" t="str">
        <f t="shared" si="10"/>
        <v/>
      </c>
      <c r="W142" s="264" t="str">
        <f t="shared" si="13"/>
        <v/>
      </c>
      <c r="X142" s="264" t="str">
        <f t="shared" si="14"/>
        <v/>
      </c>
      <c r="Y142" s="268" t="str">
        <f>IFERROR(INDEX(Rainfall_Dry!$O$2:$O$217,MATCH(B142, Rainfall_Dry!$A$2:$A$217,0)),"")</f>
        <v/>
      </c>
      <c r="Z142" s="257">
        <v>33.96</v>
      </c>
      <c r="AA142" s="257">
        <v>8.9200000000000017</v>
      </c>
      <c r="AB142" s="257">
        <v>57.12</v>
      </c>
      <c r="AC142" s="258" t="s">
        <v>2654</v>
      </c>
      <c r="AD142" s="257">
        <v>6.0720551996057202</v>
      </c>
      <c r="AE142">
        <f>IF('WetLitterbags placem_collection'!AB143="","",'WetLitterbags placem_collection'!AB143)</f>
        <v>1.4</v>
      </c>
      <c r="AF142">
        <f>IF('WetLitterbags placem_collection'!Z143="","",'WetLitterbags placem_collection'!Z143)</f>
        <v>28.4</v>
      </c>
      <c r="AG142" s="243" t="str">
        <f>IF('WetLitterbags placem_collection'!AA143="","",'WetLitterbags placem_collection'!AA143)</f>
        <v>G</v>
      </c>
      <c r="AH142">
        <f>IF('WetLitterbags placem_collection'!AC143="","",'WetLitterbags placem_collection'!AC143)</f>
        <v>1</v>
      </c>
      <c r="AI142" t="str">
        <f>IFERROR(AVERAGE('Dry_Litterbag Placem_Collection'!O143,'Dry_Litterbag Placem_Collection'!R143),"")</f>
        <v/>
      </c>
      <c r="AJ142" s="268" t="str">
        <f>IFERROR(AVERAGE('Dry_Litterbag Placem_Collection'!N143,'Dry_Litterbag Placem_Collection'!Q143),"")</f>
        <v/>
      </c>
      <c r="AK142" s="267">
        <f>INDEX(Coordinates!$B$2:$B$197,MATCH(H142,Coordinates!$J$2:$J$197,0))</f>
        <v>-2.3486060000000002</v>
      </c>
      <c r="AL142" s="267">
        <f>INDEX(Coordinates!$C$2:$C$197,MATCH(H142,Coordinates!$J$2:$J$197,0))</f>
        <v>34.050010020000002</v>
      </c>
      <c r="AM142" s="267" t="str">
        <f>IF(ISNUMBER(SEARCH("C", 'Dry_Litterbag Placem_Collection'!S143)),"YES","NO")</f>
        <v>NO</v>
      </c>
      <c r="AN142" s="267" t="str">
        <f>IF(ISNUMBER(SEARCH("H", 'Dry_Litterbag Placem_Collection'!S143)),"YES","NO")</f>
        <v>NO</v>
      </c>
      <c r="AO142" s="267" t="str">
        <f>IF(ISNUMBER(SEARCH("R", 'Dry_Litterbag Placem_Collection'!S143)),"YES","NO")</f>
        <v>NO</v>
      </c>
    </row>
    <row r="143" spans="1:41" ht="15" customHeight="1">
      <c r="A143" s="259" t="s">
        <v>2643</v>
      </c>
      <c r="B143" s="260">
        <f>'Dry_Litterbag Placem_Collection'!A144</f>
        <v>142</v>
      </c>
      <c r="C143" s="260" t="str">
        <f>'Dry_Litterbag Placem_Collection'!B144</f>
        <v xml:space="preserve">Mwantimba
</v>
      </c>
      <c r="D143" s="260" t="s">
        <v>2454</v>
      </c>
      <c r="E143" s="260" t="s">
        <v>20</v>
      </c>
      <c r="F143" s="260">
        <v>2</v>
      </c>
      <c r="G143" s="260" t="s">
        <v>3822</v>
      </c>
      <c r="H143" s="261" t="str">
        <f>'Dry_Litterbag Placem_Collection'!C144</f>
        <v>Wet_P2_T6</v>
      </c>
      <c r="I143" s="262" t="s">
        <v>2525</v>
      </c>
      <c r="J143" s="263" t="s">
        <v>1147</v>
      </c>
      <c r="K143" s="260" t="str">
        <f>IF(ISBLANK('Dry_Litterbag Placem_Collection'!J144),"","G"&amp;""&amp;'Dry_Litterbag Placem_Collection'!J144)</f>
        <v>G87</v>
      </c>
      <c r="L143" s="264">
        <f>IFERROR(INDEX('Green_rooibos initial weight'!$C$5:$C$2000,MATCH(K143, 'Green_rooibos initial weight'!$A$5:$A$2000,0)),"")</f>
        <v>1.9870000000000001</v>
      </c>
      <c r="M143" s="264">
        <f>IFERROR(L143-(TBIcalc!$Q$9+TBIcalc!$Q$10),"")</f>
        <v>1.7372000000000001</v>
      </c>
      <c r="N143" s="385">
        <f>AVERAGE(Ashed_controlls!$K$2:$K$11)</f>
        <v>5.5147656768714146</v>
      </c>
      <c r="O143" s="264">
        <f t="shared" si="11"/>
        <v>1.64139749066139</v>
      </c>
      <c r="P143" s="264" t="str">
        <f>IFERROR(INDEX('Both teabags AfterDry'!$D$2:$D$2000,MATCH(K143,'Both teabags AfterDry'!$A$2:$A$2000,0)),"")</f>
        <v/>
      </c>
      <c r="Q143" s="264" t="str">
        <f>IFERROR(IF(P143&gt;0,P143-(TBIcalc!$Q$9),""),"")</f>
        <v/>
      </c>
      <c r="R143" s="275" t="str">
        <f>IFERROR(INDEX('Ashed teabags dry'!$K$2:$K$2000,MATCH(K143,'Ashed teabags dry'!$A$2:$A$2000,0)),"")</f>
        <v/>
      </c>
      <c r="S143" s="275" t="str">
        <f t="shared" si="12"/>
        <v/>
      </c>
      <c r="T143" s="265">
        <f>IF('Dry_Litterbag Placem_Collection'!E144="","",'Dry_Litterbag Placem_Collection'!E144)</f>
        <v>42939</v>
      </c>
      <c r="U143" s="265">
        <f>IF('Dry_Litterbag Placem_Collection'!G144="","",'Dry_Litterbag Placem_Collection'!G144)</f>
        <v>43008</v>
      </c>
      <c r="V143" s="266">
        <f t="shared" si="10"/>
        <v>69</v>
      </c>
      <c r="W143" s="264" t="str">
        <f t="shared" si="13"/>
        <v/>
      </c>
      <c r="X143" s="264" t="str">
        <f t="shared" si="14"/>
        <v/>
      </c>
      <c r="Y143" s="268">
        <f>IFERROR(INDEX(Rainfall_Dry!$O$2:$O$217,MATCH(B143, Rainfall_Dry!$A$2:$A$217,0)),"")</f>
        <v>136.27214243</v>
      </c>
      <c r="Z143" s="257">
        <v>33.96</v>
      </c>
      <c r="AA143" s="257">
        <v>8.9200000000000017</v>
      </c>
      <c r="AB143" s="257">
        <v>57.12</v>
      </c>
      <c r="AC143" s="258" t="s">
        <v>2654</v>
      </c>
      <c r="AD143" s="257">
        <v>7.0720551996057202</v>
      </c>
      <c r="AE143">
        <f>IF('WetLitterbags placem_collection'!AB144="","",'WetLitterbags placem_collection'!AB144)</f>
        <v>1.7</v>
      </c>
      <c r="AF143">
        <f>IF('WetLitterbags placem_collection'!Z144="","",'WetLitterbags placem_collection'!Z144)</f>
        <v>33.799999999999997</v>
      </c>
      <c r="AG143" s="243" t="str">
        <f>IF('WetLitterbags placem_collection'!AA144="","",'WetLitterbags placem_collection'!AA144)</f>
        <v>G</v>
      </c>
      <c r="AH143">
        <f>IF('WetLitterbags placem_collection'!AC144="","",'WetLitterbags placem_collection'!AC144)</f>
        <v>1</v>
      </c>
      <c r="AI143">
        <f>IFERROR(AVERAGE('Dry_Litterbag Placem_Collection'!O144,'Dry_Litterbag Placem_Collection'!R144),"")</f>
        <v>8.4499999999999993</v>
      </c>
      <c r="AJ143" s="268">
        <f>IFERROR(AVERAGE('Dry_Litterbag Placem_Collection'!N144,'Dry_Litterbag Placem_Collection'!Q144),"")</f>
        <v>28.4</v>
      </c>
      <c r="AK143" s="267">
        <f>INDEX(Coordinates!$B$2:$B$197,MATCH(H143,Coordinates!$J$2:$J$197,0))</f>
        <v>-2.348618992</v>
      </c>
      <c r="AL143" s="267">
        <f>INDEX(Coordinates!$C$2:$C$197,MATCH(H143,Coordinates!$J$2:$J$197,0))</f>
        <v>34.049996030000003</v>
      </c>
      <c r="AM143" s="267" t="str">
        <f>IF(ISNUMBER(SEARCH("C", 'Dry_Litterbag Placem_Collection'!S144)),"YES","NO")</f>
        <v>YES</v>
      </c>
      <c r="AN143" s="267" t="str">
        <f>IF(ISNUMBER(SEARCH("H", 'Dry_Litterbag Placem_Collection'!S144)),"YES","NO")</f>
        <v>NO</v>
      </c>
      <c r="AO143" s="267" t="str">
        <f>IF(ISNUMBER(SEARCH("R", 'Dry_Litterbag Placem_Collection'!S144)),"YES","NO")</f>
        <v>YES</v>
      </c>
    </row>
    <row r="144" spans="1:41" ht="15" customHeight="1">
      <c r="A144" s="259" t="s">
        <v>2643</v>
      </c>
      <c r="B144" s="260">
        <f>'Dry_Litterbag Placem_Collection'!A145</f>
        <v>143</v>
      </c>
      <c r="C144" s="260" t="str">
        <f>'Dry_Litterbag Placem_Collection'!B145</f>
        <v xml:space="preserve">Mwantimba
</v>
      </c>
      <c r="D144" s="260" t="s">
        <v>2454</v>
      </c>
      <c r="E144" s="260" t="s">
        <v>20</v>
      </c>
      <c r="F144" s="260">
        <v>2</v>
      </c>
      <c r="G144" s="260" t="s">
        <v>3822</v>
      </c>
      <c r="H144" s="261" t="str">
        <f>'Dry_Litterbag Placem_Collection'!C145</f>
        <v>Wet_P2_T7</v>
      </c>
      <c r="I144" s="262" t="s">
        <v>2525</v>
      </c>
      <c r="J144" s="263" t="s">
        <v>1147</v>
      </c>
      <c r="K144" s="260" t="str">
        <f>IF(ISBLANK('Dry_Litterbag Placem_Collection'!J145),"","G"&amp;""&amp;'Dry_Litterbag Placem_Collection'!J145)</f>
        <v>G501</v>
      </c>
      <c r="L144" s="264">
        <f>IFERROR(INDEX('Green_rooibos initial weight'!$C$5:$C$2000,MATCH(K144, 'Green_rooibos initial weight'!$A$5:$A$2000,0)),"")</f>
        <v>1.917</v>
      </c>
      <c r="M144" s="264">
        <f>IFERROR(L144-(TBIcalc!$Q$9+TBIcalc!$Q$10),"")</f>
        <v>1.6672</v>
      </c>
      <c r="N144" s="385">
        <f>AVERAGE(Ashed_controlls!$K$2:$K$11)</f>
        <v>5.5147656768714146</v>
      </c>
      <c r="O144" s="264">
        <f t="shared" si="11"/>
        <v>1.5752578266351998</v>
      </c>
      <c r="P144" s="264">
        <f>IFERROR(INDEX('Both teabags AfterDry'!$D$2:$D$2000,MATCH(K144,'Both teabags AfterDry'!$A$2:$A$2000,0)),"")</f>
        <v>0.78680000000000005</v>
      </c>
      <c r="Q144" s="264">
        <f>IFERROR(IF(P144&gt;0,P144-(TBIcalc!$Q$9),""),"")</f>
        <v>0.6362000000000001</v>
      </c>
      <c r="R144" s="275">
        <f>IFERROR(INDEX('Ashed teabags dry'!$K$2:$K$2000,MATCH(K144,'Ashed teabags dry'!$A$2:$A$2000,0)),"")</f>
        <v>20.618120237087211</v>
      </c>
      <c r="S144" s="275">
        <f t="shared" si="12"/>
        <v>0.50502751905165122</v>
      </c>
      <c r="T144" s="265">
        <f>IF('Dry_Litterbag Placem_Collection'!E145="","",'Dry_Litterbag Placem_Collection'!E145)</f>
        <v>42939</v>
      </c>
      <c r="U144" s="265">
        <f>IF('Dry_Litterbag Placem_Collection'!G145="","",'Dry_Litterbag Placem_Collection'!G145)</f>
        <v>43008</v>
      </c>
      <c r="V144" s="266">
        <f t="shared" si="10"/>
        <v>69</v>
      </c>
      <c r="W144" s="264">
        <f t="shared" si="13"/>
        <v>1.0309999999999999</v>
      </c>
      <c r="X144" s="264">
        <f t="shared" si="14"/>
        <v>1.0702303075835484</v>
      </c>
      <c r="Y144" s="268">
        <f>IFERROR(INDEX(Rainfall_Dry!$O$2:$O$217,MATCH(B144, Rainfall_Dry!$A$2:$A$217,0)),"")</f>
        <v>136.27214243</v>
      </c>
      <c r="Z144" s="257">
        <v>33.96</v>
      </c>
      <c r="AA144" s="257">
        <v>8.9200000000000017</v>
      </c>
      <c r="AB144" s="257">
        <v>57.12</v>
      </c>
      <c r="AC144" s="258" t="s">
        <v>2654</v>
      </c>
      <c r="AD144" s="257">
        <v>8.0720551996057193</v>
      </c>
      <c r="AE144">
        <f>IF('WetLitterbags placem_collection'!AB145="","",'WetLitterbags placem_collection'!AB145)</f>
        <v>2</v>
      </c>
      <c r="AF144">
        <f>IF('WetLitterbags placem_collection'!Z145="","",'WetLitterbags placem_collection'!Z145)</f>
        <v>23.4</v>
      </c>
      <c r="AG144" s="243" t="str">
        <f>IF('WetLitterbags placem_collection'!AA145="","",'WetLitterbags placem_collection'!AA145)</f>
        <v>G</v>
      </c>
      <c r="AH144">
        <f>IF('WetLitterbags placem_collection'!AC145="","",'WetLitterbags placem_collection'!AC145)</f>
        <v>1</v>
      </c>
      <c r="AI144">
        <f>IFERROR(AVERAGE('Dry_Litterbag Placem_Collection'!O145,'Dry_Litterbag Placem_Collection'!R145),"")</f>
        <v>12.5</v>
      </c>
      <c r="AJ144" s="268">
        <f>IFERROR(AVERAGE('Dry_Litterbag Placem_Collection'!N145,'Dry_Litterbag Placem_Collection'!Q145),"")</f>
        <v>28</v>
      </c>
      <c r="AK144" s="267">
        <f>INDEX(Coordinates!$B$2:$B$197,MATCH(H144,Coordinates!$J$2:$J$197,0))</f>
        <v>-2.3484970349999998</v>
      </c>
      <c r="AL144" s="267">
        <f>INDEX(Coordinates!$C$2:$C$197,MATCH(H144,Coordinates!$J$2:$J$197,0))</f>
        <v>34.049979010000001</v>
      </c>
      <c r="AM144" s="267" t="str">
        <f>IF(ISNUMBER(SEARCH("C", 'Dry_Litterbag Placem_Collection'!S145)),"YES","NO")</f>
        <v>NO</v>
      </c>
      <c r="AN144" s="267" t="str">
        <f>IF(ISNUMBER(SEARCH("H", 'Dry_Litterbag Placem_Collection'!S145)),"YES","NO")</f>
        <v>NO</v>
      </c>
      <c r="AO144" s="267" t="str">
        <f>IF(ISNUMBER(SEARCH("R", 'Dry_Litterbag Placem_Collection'!S145)),"YES","NO")</f>
        <v>NO</v>
      </c>
    </row>
    <row r="145" spans="1:41" ht="15" customHeight="1">
      <c r="A145" s="259" t="s">
        <v>2643</v>
      </c>
      <c r="B145" s="260">
        <f>'Dry_Litterbag Placem_Collection'!A146</f>
        <v>144</v>
      </c>
      <c r="C145" s="260" t="str">
        <f>'Dry_Litterbag Placem_Collection'!B146</f>
        <v xml:space="preserve">Mwantimba
</v>
      </c>
      <c r="D145" s="260" t="s">
        <v>2454</v>
      </c>
      <c r="E145" s="260" t="s">
        <v>20</v>
      </c>
      <c r="F145" s="260">
        <v>2</v>
      </c>
      <c r="G145" s="260" t="s">
        <v>3822</v>
      </c>
      <c r="H145" s="261" t="str">
        <f>'Dry_Litterbag Placem_Collection'!C146</f>
        <v>Wet_P2_T8</v>
      </c>
      <c r="I145" s="262" t="s">
        <v>2525</v>
      </c>
      <c r="J145" s="263" t="s">
        <v>1147</v>
      </c>
      <c r="K145" s="260" t="str">
        <f>IF(ISBLANK('Dry_Litterbag Placem_Collection'!J146),"","G"&amp;""&amp;'Dry_Litterbag Placem_Collection'!J146)</f>
        <v>G141</v>
      </c>
      <c r="L145" s="264">
        <f>IFERROR(INDEX('Green_rooibos initial weight'!$C$5:$C$2000,MATCH(K145, 'Green_rooibos initial weight'!$A$5:$A$2000,0)),"")</f>
        <v>2.0310000000000001</v>
      </c>
      <c r="M145" s="264">
        <f>IFERROR(L145-(TBIcalc!$Q$9+TBIcalc!$Q$10),"")</f>
        <v>1.7812000000000001</v>
      </c>
      <c r="N145" s="385">
        <f>AVERAGE(Ashed_controlls!$K$2:$K$11)</f>
        <v>5.5147656768714146</v>
      </c>
      <c r="O145" s="264">
        <f t="shared" si="11"/>
        <v>1.6829709937635664</v>
      </c>
      <c r="P145" s="264">
        <f>IFERROR(INDEX('Both teabags AfterDry'!$D$2:$D$2000,MATCH(K145,'Both teabags AfterDry'!$A$2:$A$2000,0)),"")</f>
        <v>0.66180000000000005</v>
      </c>
      <c r="Q145" s="264">
        <f>IFERROR(IF(P145&gt;0,P145-(TBIcalc!$Q$9),""),"")</f>
        <v>0.5112000000000001</v>
      </c>
      <c r="R145" s="275">
        <f>IFERROR(INDEX('Ashed teabags dry'!$K$2:$K$2000,MATCH(K145,'Ashed teabags dry'!$A$2:$A$2000,0)),"")</f>
        <v>16.886930983847094</v>
      </c>
      <c r="S145" s="275">
        <f t="shared" si="12"/>
        <v>0.42487400881057374</v>
      </c>
      <c r="T145" s="265">
        <f>IF('Dry_Litterbag Placem_Collection'!E146="","",'Dry_Litterbag Placem_Collection'!E146)</f>
        <v>42939</v>
      </c>
      <c r="U145" s="265">
        <f>IF('Dry_Litterbag Placem_Collection'!G146="","",'Dry_Litterbag Placem_Collection'!G146)</f>
        <v>43008</v>
      </c>
      <c r="V145" s="266">
        <f t="shared" si="10"/>
        <v>69</v>
      </c>
      <c r="W145" s="264">
        <f t="shared" si="13"/>
        <v>1.27</v>
      </c>
      <c r="X145" s="264">
        <f t="shared" si="14"/>
        <v>1.2580969849529926</v>
      </c>
      <c r="Y145" s="268">
        <f>IFERROR(INDEX(Rainfall_Dry!$O$2:$O$217,MATCH(B145, Rainfall_Dry!$A$2:$A$217,0)),"")</f>
        <v>136.27214243</v>
      </c>
      <c r="Z145" s="257">
        <v>33.96</v>
      </c>
      <c r="AA145" s="257">
        <v>8.9200000000000017</v>
      </c>
      <c r="AB145" s="257">
        <v>57.12</v>
      </c>
      <c r="AC145" s="258" t="s">
        <v>2654</v>
      </c>
      <c r="AD145" s="257">
        <v>9.0720551996057193</v>
      </c>
      <c r="AE145">
        <f>IF('WetLitterbags placem_collection'!AB146="","",'WetLitterbags placem_collection'!AB146)</f>
        <v>2.5</v>
      </c>
      <c r="AF145">
        <f>IF('WetLitterbags placem_collection'!Z146="","",'WetLitterbags placem_collection'!Z146)</f>
        <v>19.8</v>
      </c>
      <c r="AG145" s="243" t="str">
        <f>IF('WetLitterbags placem_collection'!AA146="","",'WetLitterbags placem_collection'!AA146)</f>
        <v>G</v>
      </c>
      <c r="AH145">
        <f>IF('WetLitterbags placem_collection'!AC146="","",'WetLitterbags placem_collection'!AC146)</f>
        <v>1</v>
      </c>
      <c r="AI145">
        <f>IFERROR(AVERAGE('Dry_Litterbag Placem_Collection'!O146,'Dry_Litterbag Placem_Collection'!R146),"")</f>
        <v>9.4499999999999993</v>
      </c>
      <c r="AJ145" s="268">
        <f>IFERROR(AVERAGE('Dry_Litterbag Placem_Collection'!N146,'Dry_Litterbag Placem_Collection'!Q146),"")</f>
        <v>29.15</v>
      </c>
      <c r="AK145" s="267">
        <f>INDEX(Coordinates!$B$2:$B$197,MATCH(H145,Coordinates!$J$2:$J$197,0))</f>
        <v>-2.3486560399999998</v>
      </c>
      <c r="AL145" s="267">
        <f>INDEX(Coordinates!$C$2:$C$197,MATCH(H145,Coordinates!$J$2:$J$197,0))</f>
        <v>34.049895020000001</v>
      </c>
      <c r="AM145" s="267" t="str">
        <f>IF(ISNUMBER(SEARCH("C", 'Dry_Litterbag Placem_Collection'!S146)),"YES","NO")</f>
        <v>NO</v>
      </c>
      <c r="AN145" s="267" t="str">
        <f>IF(ISNUMBER(SEARCH("H", 'Dry_Litterbag Placem_Collection'!S146)),"YES","NO")</f>
        <v>YES</v>
      </c>
      <c r="AO145" s="267" t="str">
        <f>IF(ISNUMBER(SEARCH("R", 'Dry_Litterbag Placem_Collection'!S146)),"YES","NO")</f>
        <v>NO</v>
      </c>
    </row>
    <row r="146" spans="1:41" ht="15" customHeight="1">
      <c r="A146" s="259" t="s">
        <v>2643</v>
      </c>
      <c r="B146" s="260">
        <f>'Dry_Litterbag Placem_Collection'!A147</f>
        <v>145</v>
      </c>
      <c r="C146" s="260" t="str">
        <f>'Dry_Litterbag Placem_Collection'!B147</f>
        <v xml:space="preserve">Mwantimba
</v>
      </c>
      <c r="D146" s="260" t="s">
        <v>2454</v>
      </c>
      <c r="E146" s="260" t="s">
        <v>20</v>
      </c>
      <c r="F146" s="260">
        <v>3</v>
      </c>
      <c r="G146" s="260" t="s">
        <v>3823</v>
      </c>
      <c r="H146" s="261" t="str">
        <f>'Dry_Litterbag Placem_Collection'!C147</f>
        <v>Wet_P3_T1</v>
      </c>
      <c r="I146" s="262" t="s">
        <v>2525</v>
      </c>
      <c r="J146" s="263" t="s">
        <v>1147</v>
      </c>
      <c r="K146" s="260" t="str">
        <f>IF(ISBLANK('Dry_Litterbag Placem_Collection'!J147),"","G"&amp;""&amp;'Dry_Litterbag Placem_Collection'!J147)</f>
        <v>G131</v>
      </c>
      <c r="L146" s="264">
        <f>IFERROR(INDEX('Green_rooibos initial weight'!$C$5:$C$2000,MATCH(K146, 'Green_rooibos initial weight'!$A$5:$A$2000,0)),"")</f>
        <v>1.9670000000000001</v>
      </c>
      <c r="M146" s="264">
        <f>IFERROR(L146-(TBIcalc!$Q$9+TBIcalc!$Q$10),"")</f>
        <v>1.7172000000000001</v>
      </c>
      <c r="N146" s="385">
        <f>AVERAGE(Ashed_controlls!$K$2:$K$11)</f>
        <v>5.5147656768714146</v>
      </c>
      <c r="O146" s="264">
        <f t="shared" si="11"/>
        <v>1.6225004437967641</v>
      </c>
      <c r="P146" s="264">
        <f>IFERROR(INDEX('Both teabags AfterDry'!$D$2:$D$2000,MATCH(K146,'Both teabags AfterDry'!$A$2:$A$2000,0)),"")</f>
        <v>1.544</v>
      </c>
      <c r="Q146" s="264">
        <f>IFERROR(IF(P146&gt;0,P146-(TBIcalc!$Q$9),""),"")</f>
        <v>1.3934</v>
      </c>
      <c r="R146" s="275">
        <f>IFERROR(INDEX('Ashed teabags dry'!$K$2:$K$2000,MATCH(K146,'Ashed teabags dry'!$A$2:$A$2000,0)),"")</f>
        <v>8.3820662768028189</v>
      </c>
      <c r="S146" s="275">
        <f t="shared" si="12"/>
        <v>1.2766042884990294</v>
      </c>
      <c r="T146" s="265">
        <f>IF('Dry_Litterbag Placem_Collection'!E147="","",'Dry_Litterbag Placem_Collection'!E147)</f>
        <v>42939</v>
      </c>
      <c r="U146" s="265">
        <f>IF('Dry_Litterbag Placem_Collection'!G147="","",'Dry_Litterbag Placem_Collection'!G147)</f>
        <v>43010</v>
      </c>
      <c r="V146" s="266">
        <f t="shared" si="10"/>
        <v>71</v>
      </c>
      <c r="W146" s="264">
        <f t="shared" si="13"/>
        <v>0.32380000000000009</v>
      </c>
      <c r="X146" s="264">
        <f t="shared" si="14"/>
        <v>0.34589615529773465</v>
      </c>
      <c r="Y146" s="268">
        <f>IFERROR(INDEX(Rainfall_Dry!$O$2:$O$217,MATCH(B146, Rainfall_Dry!$A$2:$A$217,0)),"")</f>
        <v>137.19979645800001</v>
      </c>
      <c r="Z146" s="257">
        <v>39.96</v>
      </c>
      <c r="AA146" s="257">
        <v>12.920000000000002</v>
      </c>
      <c r="AB146" s="257">
        <v>47.12</v>
      </c>
      <c r="AC146" s="258" t="s">
        <v>2658</v>
      </c>
      <c r="AD146" s="257">
        <v>1.6549531789058647</v>
      </c>
      <c r="AE146">
        <f>IF('WetLitterbags placem_collection'!AB147="","",'WetLitterbags placem_collection'!AB147)</f>
        <v>3.95</v>
      </c>
      <c r="AF146">
        <f>IF('WetLitterbags placem_collection'!Z147="","",'WetLitterbags placem_collection'!Z147)</f>
        <v>13</v>
      </c>
      <c r="AG146" s="243" t="str">
        <f>IF('WetLitterbags placem_collection'!AA147="","",'WetLitterbags placem_collection'!AA147)</f>
        <v>O</v>
      </c>
      <c r="AH146">
        <f>IF('WetLitterbags placem_collection'!AC147="","",'WetLitterbags placem_collection'!AC147)</f>
        <v>0</v>
      </c>
      <c r="AI146">
        <f>IFERROR(AVERAGE('Dry_Litterbag Placem_Collection'!O147,'Dry_Litterbag Placem_Collection'!R147),"")</f>
        <v>6.35</v>
      </c>
      <c r="AJ146" s="268">
        <f>IFERROR(AVERAGE('Dry_Litterbag Placem_Collection'!N147,'Dry_Litterbag Placem_Collection'!Q147),"")</f>
        <v>30</v>
      </c>
      <c r="AK146" s="267">
        <f>INDEX(Coordinates!$B$2:$B$197,MATCH(H146,Coordinates!$J$2:$J$197,0))</f>
        <v>-2.3675269729999999</v>
      </c>
      <c r="AL146" s="267">
        <f>INDEX(Coordinates!$C$2:$C$197,MATCH(H146,Coordinates!$J$2:$J$197,0))</f>
        <v>34.06035799</v>
      </c>
      <c r="AM146" s="267" t="str">
        <f>IF(ISNUMBER(SEARCH("C", 'Dry_Litterbag Placem_Collection'!S147)),"YES","NO")</f>
        <v>NO</v>
      </c>
      <c r="AN146" s="267" t="str">
        <f>IF(ISNUMBER(SEARCH("H", 'Dry_Litterbag Placem_Collection'!S147)),"YES","NO")</f>
        <v>NO</v>
      </c>
      <c r="AO146" s="267" t="str">
        <f>IF(ISNUMBER(SEARCH("R", 'Dry_Litterbag Placem_Collection'!S147)),"YES","NO")</f>
        <v>NO</v>
      </c>
    </row>
    <row r="147" spans="1:41" ht="15" customHeight="1">
      <c r="A147" s="259" t="s">
        <v>2643</v>
      </c>
      <c r="B147" s="260">
        <f>'Dry_Litterbag Placem_Collection'!A148</f>
        <v>146</v>
      </c>
      <c r="C147" s="260" t="str">
        <f>'Dry_Litterbag Placem_Collection'!B148</f>
        <v xml:space="preserve">Mwantimba
</v>
      </c>
      <c r="D147" s="260" t="s">
        <v>2454</v>
      </c>
      <c r="E147" s="260" t="s">
        <v>20</v>
      </c>
      <c r="F147" s="260">
        <v>3</v>
      </c>
      <c r="G147" s="260" t="s">
        <v>3823</v>
      </c>
      <c r="H147" s="261" t="str">
        <f>'Dry_Litterbag Placem_Collection'!C148</f>
        <v>Wet_P3_T2</v>
      </c>
      <c r="I147" s="262" t="s">
        <v>2525</v>
      </c>
      <c r="J147" s="263" t="s">
        <v>1147</v>
      </c>
      <c r="K147" s="260" t="str">
        <f>IF(ISBLANK('Dry_Litterbag Placem_Collection'!J148),"","G"&amp;""&amp;'Dry_Litterbag Placem_Collection'!J148)</f>
        <v>G465</v>
      </c>
      <c r="L147" s="264">
        <f>IFERROR(INDEX('Green_rooibos initial weight'!$C$5:$C$2000,MATCH(K147, 'Green_rooibos initial weight'!$A$5:$A$2000,0)),"")</f>
        <v>2.004</v>
      </c>
      <c r="M147" s="264">
        <f>IFERROR(L147-(TBIcalc!$Q$9+TBIcalc!$Q$10),"")</f>
        <v>1.7542</v>
      </c>
      <c r="N147" s="385">
        <f>AVERAGE(Ashed_controlls!$K$2:$K$11)</f>
        <v>5.5147656768714146</v>
      </c>
      <c r="O147" s="264">
        <f t="shared" si="11"/>
        <v>1.6574599804963217</v>
      </c>
      <c r="P147" s="264">
        <f>IFERROR(INDEX('Both teabags AfterDry'!$D$2:$D$2000,MATCH(K147,'Both teabags AfterDry'!$A$2:$A$2000,0)),"")</f>
        <v>1.6845000000000001</v>
      </c>
      <c r="Q147" s="264">
        <f>IFERROR(IF(P147&gt;0,P147-(TBIcalc!$Q$9),""),"")</f>
        <v>1.5339</v>
      </c>
      <c r="R147" s="275">
        <f>IFERROR(INDEX('Ashed teabags dry'!$K$2:$K$2000,MATCH(K147,'Ashed teabags dry'!$A$2:$A$2000,0)),"")</f>
        <v>6.8675889328057185</v>
      </c>
      <c r="S147" s="275">
        <f t="shared" si="12"/>
        <v>1.4285580533596931</v>
      </c>
      <c r="T147" s="265">
        <f>IF('Dry_Litterbag Placem_Collection'!E148="","",'Dry_Litterbag Placem_Collection'!E148)</f>
        <v>42939</v>
      </c>
      <c r="U147" s="265">
        <f>IF('Dry_Litterbag Placem_Collection'!G148="","",'Dry_Litterbag Placem_Collection'!G148)</f>
        <v>43010</v>
      </c>
      <c r="V147" s="266">
        <f t="shared" si="10"/>
        <v>71</v>
      </c>
      <c r="W147" s="264">
        <f t="shared" si="13"/>
        <v>0.22029999999999994</v>
      </c>
      <c r="X147" s="264">
        <f t="shared" si="14"/>
        <v>0.2289019271366286</v>
      </c>
      <c r="Y147" s="268">
        <f>IFERROR(INDEX(Rainfall_Dry!$O$2:$O$217,MATCH(B147, Rainfall_Dry!$A$2:$A$217,0)),"")</f>
        <v>137.19979645800001</v>
      </c>
      <c r="Z147" s="257">
        <v>39.96</v>
      </c>
      <c r="AA147" s="257">
        <v>12.920000000000002</v>
      </c>
      <c r="AB147" s="257">
        <v>47.12</v>
      </c>
      <c r="AC147" s="258" t="s">
        <v>2658</v>
      </c>
      <c r="AD147" s="257">
        <v>2.6549531789058598</v>
      </c>
      <c r="AE147">
        <f>IF('WetLitterbags placem_collection'!AB148="","",'WetLitterbags placem_collection'!AB148)</f>
        <v>2.75</v>
      </c>
      <c r="AF147">
        <f>IF('WetLitterbags placem_collection'!Z148="","",'WetLitterbags placem_collection'!Z148)</f>
        <v>17.7</v>
      </c>
      <c r="AG147" s="243" t="str">
        <f>IF('WetLitterbags placem_collection'!AA148="","",'WetLitterbags placem_collection'!AA148)</f>
        <v>O</v>
      </c>
      <c r="AH147">
        <f>IF('WetLitterbags placem_collection'!AC148="","",'WetLitterbags placem_collection'!AC148)</f>
        <v>1</v>
      </c>
      <c r="AI147">
        <f>IFERROR(AVERAGE('Dry_Litterbag Placem_Collection'!O148,'Dry_Litterbag Placem_Collection'!R148),"")</f>
        <v>6.1</v>
      </c>
      <c r="AJ147" s="268">
        <f>IFERROR(AVERAGE('Dry_Litterbag Placem_Collection'!N148,'Dry_Litterbag Placem_Collection'!Q148),"")</f>
        <v>31</v>
      </c>
      <c r="AK147" s="267">
        <f>INDEX(Coordinates!$B$2:$B$197,MATCH(H147,Coordinates!$J$2:$J$197,0))</f>
        <v>-2.3675380370000001</v>
      </c>
      <c r="AL147" s="267">
        <f>INDEX(Coordinates!$C$2:$C$197,MATCH(H147,Coordinates!$J$2:$J$197,0))</f>
        <v>34.060381960000001</v>
      </c>
      <c r="AM147" s="267" t="str">
        <f>IF(ISNUMBER(SEARCH("C", 'Dry_Litterbag Placem_Collection'!S148)),"YES","NO")</f>
        <v>NO</v>
      </c>
      <c r="AN147" s="267" t="str">
        <f>IF(ISNUMBER(SEARCH("H", 'Dry_Litterbag Placem_Collection'!S148)),"YES","NO")</f>
        <v>NO</v>
      </c>
      <c r="AO147" s="267" t="str">
        <f>IF(ISNUMBER(SEARCH("R", 'Dry_Litterbag Placem_Collection'!S148)),"YES","NO")</f>
        <v>NO</v>
      </c>
    </row>
    <row r="148" spans="1:41" ht="15" customHeight="1">
      <c r="A148" s="259" t="s">
        <v>2643</v>
      </c>
      <c r="B148" s="260">
        <f>'Dry_Litterbag Placem_Collection'!A149</f>
        <v>147</v>
      </c>
      <c r="C148" s="260" t="str">
        <f>'Dry_Litterbag Placem_Collection'!B149</f>
        <v xml:space="preserve">Mwantimba
</v>
      </c>
      <c r="D148" s="260" t="s">
        <v>2454</v>
      </c>
      <c r="E148" s="260" t="s">
        <v>20</v>
      </c>
      <c r="F148" s="260">
        <v>3</v>
      </c>
      <c r="G148" s="260" t="s">
        <v>3823</v>
      </c>
      <c r="H148" s="261" t="str">
        <f>'Dry_Litterbag Placem_Collection'!C149</f>
        <v>Wet_P3_T3</v>
      </c>
      <c r="I148" s="262" t="s">
        <v>2525</v>
      </c>
      <c r="J148" s="263" t="s">
        <v>1147</v>
      </c>
      <c r="K148" s="260" t="str">
        <f>IF(ISBLANK('Dry_Litterbag Placem_Collection'!J149),"","G"&amp;""&amp;'Dry_Litterbag Placem_Collection'!J149)</f>
        <v>G15</v>
      </c>
      <c r="L148" s="264">
        <f>IFERROR(INDEX('Green_rooibos initial weight'!$C$5:$C$2000,MATCH(K148, 'Green_rooibos initial weight'!$A$5:$A$2000,0)),"")</f>
        <v>2.0510000000000002</v>
      </c>
      <c r="M148" s="264">
        <f>IFERROR(L148-(TBIcalc!$Q$9+TBIcalc!$Q$10),"")</f>
        <v>1.8012000000000001</v>
      </c>
      <c r="N148" s="385">
        <f>AVERAGE(Ashed_controlls!$K$2:$K$11)</f>
        <v>5.5147656768714146</v>
      </c>
      <c r="O148" s="264">
        <f t="shared" si="11"/>
        <v>1.7018680406281923</v>
      </c>
      <c r="P148" s="264">
        <f>IFERROR(INDEX('Both teabags AfterDry'!$D$2:$D$2000,MATCH(K148,'Both teabags AfterDry'!$A$2:$A$2000,0)),"")</f>
        <v>1.6711</v>
      </c>
      <c r="Q148" s="264">
        <f>IFERROR(IF(P148&gt;0,P148-(TBIcalc!$Q$9),""),"")</f>
        <v>1.5205</v>
      </c>
      <c r="R148" s="275">
        <f>IFERROR(INDEX('Ashed teabags dry'!$K$2:$K$2000,MATCH(K148,'Ashed teabags dry'!$A$2:$A$2000,0)),"")</f>
        <v>6.9790628115651439</v>
      </c>
      <c r="S148" s="275">
        <f t="shared" si="12"/>
        <v>1.4143833499501519</v>
      </c>
      <c r="T148" s="265">
        <f>IF('Dry_Litterbag Placem_Collection'!E149="","",'Dry_Litterbag Placem_Collection'!E149)</f>
        <v>42939</v>
      </c>
      <c r="U148" s="265">
        <f>IF('Dry_Litterbag Placem_Collection'!G149="","",'Dry_Litterbag Placem_Collection'!G149)</f>
        <v>43010</v>
      </c>
      <c r="V148" s="266">
        <f t="shared" si="10"/>
        <v>71</v>
      </c>
      <c r="W148" s="264">
        <f t="shared" si="13"/>
        <v>0.28070000000000017</v>
      </c>
      <c r="X148" s="264">
        <f t="shared" si="14"/>
        <v>0.28748469067804039</v>
      </c>
      <c r="Y148" s="268">
        <f>IFERROR(INDEX(Rainfall_Dry!$O$2:$O$217,MATCH(B148, Rainfall_Dry!$A$2:$A$217,0)),"")</f>
        <v>137.19979645800001</v>
      </c>
      <c r="Z148" s="257">
        <v>39.96</v>
      </c>
      <c r="AA148" s="257">
        <v>12.920000000000002</v>
      </c>
      <c r="AB148" s="257">
        <v>47.12</v>
      </c>
      <c r="AC148" s="258" t="s">
        <v>2658</v>
      </c>
      <c r="AD148" s="257">
        <v>3.6549531789058598</v>
      </c>
      <c r="AE148">
        <f>IF('WetLitterbags placem_collection'!AB149="","",'WetLitterbags placem_collection'!AB149)</f>
        <v>3.6</v>
      </c>
      <c r="AF148">
        <f>IF('WetLitterbags placem_collection'!Z149="","",'WetLitterbags placem_collection'!Z149)</f>
        <v>19</v>
      </c>
      <c r="AG148" s="243" t="str">
        <f>IF('WetLitterbags placem_collection'!AA149="","",'WetLitterbags placem_collection'!AA149)</f>
        <v>M</v>
      </c>
      <c r="AH148">
        <f>IF('WetLitterbags placem_collection'!AC149="","",'WetLitterbags placem_collection'!AC149)</f>
        <v>1</v>
      </c>
      <c r="AI148">
        <f>IFERROR(AVERAGE('Dry_Litterbag Placem_Collection'!O149,'Dry_Litterbag Placem_Collection'!R149),"")</f>
        <v>5.6</v>
      </c>
      <c r="AJ148" s="268">
        <f>IFERROR(AVERAGE('Dry_Litterbag Placem_Collection'!N149,'Dry_Litterbag Placem_Collection'!Q149),"")</f>
        <v>29.900000000000002</v>
      </c>
      <c r="AK148" s="267">
        <f>INDEX(Coordinates!$B$2:$B$197,MATCH(H148,Coordinates!$J$2:$J$197,0))</f>
        <v>-2.3675780180000001</v>
      </c>
      <c r="AL148" s="267">
        <f>INDEX(Coordinates!$C$2:$C$197,MATCH(H148,Coordinates!$J$2:$J$197,0))</f>
        <v>34.060323029999999</v>
      </c>
      <c r="AM148" s="267" t="str">
        <f>IF(ISNUMBER(SEARCH("C", 'Dry_Litterbag Placem_Collection'!S149)),"YES","NO")</f>
        <v>NO</v>
      </c>
      <c r="AN148" s="267" t="str">
        <f>IF(ISNUMBER(SEARCH("H", 'Dry_Litterbag Placem_Collection'!S149)),"YES","NO")</f>
        <v>NO</v>
      </c>
      <c r="AO148" s="267" t="str">
        <f>IF(ISNUMBER(SEARCH("R", 'Dry_Litterbag Placem_Collection'!S149)),"YES","NO")</f>
        <v>NO</v>
      </c>
    </row>
    <row r="149" spans="1:41" ht="15" customHeight="1">
      <c r="A149" s="259" t="s">
        <v>2643</v>
      </c>
      <c r="B149" s="260">
        <f>'Dry_Litterbag Placem_Collection'!A150</f>
        <v>148</v>
      </c>
      <c r="C149" s="260" t="str">
        <f>'Dry_Litterbag Placem_Collection'!B150</f>
        <v xml:space="preserve">Mwantimba
</v>
      </c>
      <c r="D149" s="260" t="s">
        <v>2454</v>
      </c>
      <c r="E149" s="260" t="s">
        <v>20</v>
      </c>
      <c r="F149" s="260">
        <v>3</v>
      </c>
      <c r="G149" s="260" t="s">
        <v>3823</v>
      </c>
      <c r="H149" s="261" t="str">
        <f>'Dry_Litterbag Placem_Collection'!C150</f>
        <v>Wet_P3_T4</v>
      </c>
      <c r="I149" s="262" t="s">
        <v>2525</v>
      </c>
      <c r="J149" s="263" t="s">
        <v>1147</v>
      </c>
      <c r="K149" s="260" t="str">
        <f>IF(ISBLANK('Dry_Litterbag Placem_Collection'!J150),"","G"&amp;""&amp;'Dry_Litterbag Placem_Collection'!J150)</f>
        <v>G290</v>
      </c>
      <c r="L149" s="264">
        <f>IFERROR(INDEX('Green_rooibos initial weight'!$C$5:$C$2000,MATCH(K149, 'Green_rooibos initial weight'!$A$5:$A$2000,0)),"")</f>
        <v>2.0539999999999998</v>
      </c>
      <c r="M149" s="264">
        <f>IFERROR(L149-(TBIcalc!$Q$9+TBIcalc!$Q$10),"")</f>
        <v>1.8041999999999998</v>
      </c>
      <c r="N149" s="385">
        <f>AVERAGE(Ashed_controlls!$K$2:$K$11)</f>
        <v>5.5147656768714146</v>
      </c>
      <c r="O149" s="264">
        <f t="shared" si="11"/>
        <v>1.7047025976578858</v>
      </c>
      <c r="P149" s="264">
        <f>IFERROR(INDEX('Both teabags AfterDry'!$D$2:$D$2000,MATCH(K149,'Both teabags AfterDry'!$A$2:$A$2000,0)),"")</f>
        <v>1.6564000000000001</v>
      </c>
      <c r="Q149" s="264">
        <f>IFERROR(IF(P149&gt;0,P149-(TBIcalc!$Q$9),""),"")</f>
        <v>1.5058</v>
      </c>
      <c r="R149" s="275">
        <f>IFERROR(INDEX('Ashed teabags dry'!$K$2:$K$2000,MATCH(K149,'Ashed teabags dry'!$A$2:$A$2000,0)),"")</f>
        <v>7.4552269887550784</v>
      </c>
      <c r="S149" s="275">
        <f t="shared" si="12"/>
        <v>1.393539192003326</v>
      </c>
      <c r="T149" s="265">
        <f>IF('Dry_Litterbag Placem_Collection'!E150="","",'Dry_Litterbag Placem_Collection'!E150)</f>
        <v>42939</v>
      </c>
      <c r="U149" s="265">
        <f>IF('Dry_Litterbag Placem_Collection'!G150="","",'Dry_Litterbag Placem_Collection'!G150)</f>
        <v>43010</v>
      </c>
      <c r="V149" s="266">
        <f t="shared" si="10"/>
        <v>71</v>
      </c>
      <c r="W149" s="264">
        <f t="shared" si="13"/>
        <v>0.29839999999999978</v>
      </c>
      <c r="X149" s="264">
        <f t="shared" si="14"/>
        <v>0.3111634056545598</v>
      </c>
      <c r="Y149" s="268">
        <f>IFERROR(INDEX(Rainfall_Dry!$O$2:$O$217,MATCH(B149, Rainfall_Dry!$A$2:$A$217,0)),"")</f>
        <v>137.19979645800001</v>
      </c>
      <c r="Z149" s="257">
        <v>39.96</v>
      </c>
      <c r="AA149" s="257">
        <v>12.920000000000002</v>
      </c>
      <c r="AB149" s="257">
        <v>47.12</v>
      </c>
      <c r="AC149" s="258" t="s">
        <v>2658</v>
      </c>
      <c r="AD149" s="257">
        <v>4.6549531789058696</v>
      </c>
      <c r="AE149">
        <f>IF('WetLitterbags placem_collection'!AB150="","",'WetLitterbags placem_collection'!AB150)</f>
        <v>4.9000000000000004</v>
      </c>
      <c r="AF149">
        <f>IF('WetLitterbags placem_collection'!Z150="","",'WetLitterbags placem_collection'!Z150)</f>
        <v>17.489999999999998</v>
      </c>
      <c r="AG149" s="243" t="str">
        <f>IF('WetLitterbags placem_collection'!AA150="","",'WetLitterbags placem_collection'!AA150)</f>
        <v>M</v>
      </c>
      <c r="AH149">
        <f>IF('WetLitterbags placem_collection'!AC150="","",'WetLitterbags placem_collection'!AC150)</f>
        <v>1</v>
      </c>
      <c r="AI149">
        <f>IFERROR(AVERAGE('Dry_Litterbag Placem_Collection'!O150,'Dry_Litterbag Placem_Collection'!R150),"")</f>
        <v>6.5</v>
      </c>
      <c r="AJ149" s="268">
        <f>IFERROR(AVERAGE('Dry_Litterbag Placem_Collection'!N150,'Dry_Litterbag Placem_Collection'!Q150),"")</f>
        <v>31.6</v>
      </c>
      <c r="AK149" s="267">
        <f>INDEX(Coordinates!$B$2:$B$197,MATCH(H149,Coordinates!$J$2:$J$197,0))</f>
        <v>-2.3676269689999998</v>
      </c>
      <c r="AL149" s="267">
        <f>INDEX(Coordinates!$C$2:$C$197,MATCH(H149,Coordinates!$J$2:$J$197,0))</f>
        <v>34.060310960000002</v>
      </c>
      <c r="AM149" s="267" t="str">
        <f>IF(ISNUMBER(SEARCH("C", 'Dry_Litterbag Placem_Collection'!S150)),"YES","NO")</f>
        <v>NO</v>
      </c>
      <c r="AN149" s="267" t="str">
        <f>IF(ISNUMBER(SEARCH("H", 'Dry_Litterbag Placem_Collection'!S150)),"YES","NO")</f>
        <v>NO</v>
      </c>
      <c r="AO149" s="267" t="str">
        <f>IF(ISNUMBER(SEARCH("R", 'Dry_Litterbag Placem_Collection'!S150)),"YES","NO")</f>
        <v>NO</v>
      </c>
    </row>
    <row r="150" spans="1:41" ht="15" customHeight="1">
      <c r="A150" s="259" t="s">
        <v>2643</v>
      </c>
      <c r="B150" s="260">
        <f>'Dry_Litterbag Placem_Collection'!A151</f>
        <v>149</v>
      </c>
      <c r="C150" s="260" t="str">
        <f>'Dry_Litterbag Placem_Collection'!B151</f>
        <v xml:space="preserve">Mwantimba
</v>
      </c>
      <c r="D150" s="260" t="s">
        <v>2454</v>
      </c>
      <c r="E150" s="260" t="s">
        <v>20</v>
      </c>
      <c r="F150" s="260">
        <v>3</v>
      </c>
      <c r="G150" s="260" t="s">
        <v>3823</v>
      </c>
      <c r="H150" s="261" t="str">
        <f>'Dry_Litterbag Placem_Collection'!C151</f>
        <v>Wet_P3_T5</v>
      </c>
      <c r="I150" s="262" t="s">
        <v>2525</v>
      </c>
      <c r="J150" s="263" t="s">
        <v>1147</v>
      </c>
      <c r="K150" s="260" t="str">
        <f>IF(ISBLANK('Dry_Litterbag Placem_Collection'!J151),"","G"&amp;""&amp;'Dry_Litterbag Placem_Collection'!J151)</f>
        <v>G194</v>
      </c>
      <c r="L150" s="264">
        <f>IFERROR(INDEX('Green_rooibos initial weight'!$C$5:$C$2000,MATCH(K150, 'Green_rooibos initial weight'!$A$5:$A$2000,0)),"")</f>
        <v>2.032</v>
      </c>
      <c r="M150" s="264">
        <f>IFERROR(L150-(TBIcalc!$Q$9+TBIcalc!$Q$10),"")</f>
        <v>1.7822</v>
      </c>
      <c r="N150" s="385">
        <f>AVERAGE(Ashed_controlls!$K$2:$K$11)</f>
        <v>5.5147656768714146</v>
      </c>
      <c r="O150" s="264">
        <f t="shared" si="11"/>
        <v>1.6839158461067976</v>
      </c>
      <c r="P150" s="264">
        <f>IFERROR(INDEX('Both teabags AfterDry'!$D$2:$D$2000,MATCH(K150,'Both teabags AfterDry'!$A$2:$A$2000,0)),"")</f>
        <v>1.56</v>
      </c>
      <c r="Q150" s="264">
        <f>IFERROR(IF(P150&gt;0,P150-(TBIcalc!$Q$9),""),"")</f>
        <v>1.4094</v>
      </c>
      <c r="R150" s="275">
        <f>IFERROR(INDEX('Ashed teabags dry'!$K$2:$K$2000,MATCH(K150,'Ashed teabags dry'!$A$2:$A$2000,0)),"")</f>
        <v>7.1186440677962963</v>
      </c>
      <c r="S150" s="275">
        <f t="shared" si="12"/>
        <v>1.3090698305084789</v>
      </c>
      <c r="T150" s="265">
        <f>IF('Dry_Litterbag Placem_Collection'!E151="","",'Dry_Litterbag Placem_Collection'!E151)</f>
        <v>42939</v>
      </c>
      <c r="U150" s="265">
        <f>IF('Dry_Litterbag Placem_Collection'!G151="","",'Dry_Litterbag Placem_Collection'!G151)</f>
        <v>43010</v>
      </c>
      <c r="V150" s="266">
        <f t="shared" si="10"/>
        <v>71</v>
      </c>
      <c r="W150" s="264">
        <f t="shared" si="13"/>
        <v>0.37280000000000002</v>
      </c>
      <c r="X150" s="264">
        <f t="shared" si="14"/>
        <v>0.37484601559831865</v>
      </c>
      <c r="Y150" s="268">
        <f>IFERROR(INDEX(Rainfall_Dry!$O$2:$O$217,MATCH(B150, Rainfall_Dry!$A$2:$A$217,0)),"")</f>
        <v>137.19979645800001</v>
      </c>
      <c r="Z150" s="257">
        <v>39.96</v>
      </c>
      <c r="AA150" s="257">
        <v>12.920000000000002</v>
      </c>
      <c r="AB150" s="257">
        <v>47.12</v>
      </c>
      <c r="AC150" s="258" t="s">
        <v>2658</v>
      </c>
      <c r="AD150" s="257">
        <v>5.6549531789058696</v>
      </c>
      <c r="AE150">
        <f>IF('WetLitterbags placem_collection'!AB151="","",'WetLitterbags placem_collection'!AB151)</f>
        <v>2.8</v>
      </c>
      <c r="AF150">
        <f>IF('WetLitterbags placem_collection'!Z151="","",'WetLitterbags placem_collection'!Z151)</f>
        <v>13</v>
      </c>
      <c r="AG150" s="243" t="str">
        <f>IF('WetLitterbags placem_collection'!AA151="","",'WetLitterbags placem_collection'!AA151)</f>
        <v>M</v>
      </c>
      <c r="AH150">
        <f>IF('WetLitterbags placem_collection'!AC151="","",'WetLitterbags placem_collection'!AC151)</f>
        <v>1</v>
      </c>
      <c r="AI150">
        <f>IFERROR(AVERAGE('Dry_Litterbag Placem_Collection'!O151,'Dry_Litterbag Placem_Collection'!R151),"")</f>
        <v>6.3000000000000007</v>
      </c>
      <c r="AJ150" s="268">
        <f>IFERROR(AVERAGE('Dry_Litterbag Placem_Collection'!N151,'Dry_Litterbag Placem_Collection'!Q151),"")</f>
        <v>31</v>
      </c>
      <c r="AK150" s="267">
        <f>INDEX(Coordinates!$B$2:$B$197,MATCH(H150,Coordinates!$J$2:$J$197,0))</f>
        <v>-2.3677179960000001</v>
      </c>
      <c r="AL150" s="267">
        <f>INDEX(Coordinates!$C$2:$C$197,MATCH(H150,Coordinates!$J$2:$J$197,0))</f>
        <v>34.060324960000003</v>
      </c>
      <c r="AM150" s="267" t="str">
        <f>IF(ISNUMBER(SEARCH("C", 'Dry_Litterbag Placem_Collection'!S151)),"YES","NO")</f>
        <v>NO</v>
      </c>
      <c r="AN150" s="267" t="str">
        <f>IF(ISNUMBER(SEARCH("H", 'Dry_Litterbag Placem_Collection'!S151)),"YES","NO")</f>
        <v>NO</v>
      </c>
      <c r="AO150" s="267" t="str">
        <f>IF(ISNUMBER(SEARCH("R", 'Dry_Litterbag Placem_Collection'!S151)),"YES","NO")</f>
        <v>NO</v>
      </c>
    </row>
    <row r="151" spans="1:41" ht="15" customHeight="1">
      <c r="A151" s="259" t="s">
        <v>2643</v>
      </c>
      <c r="B151" s="260">
        <f>'Dry_Litterbag Placem_Collection'!A152</f>
        <v>150</v>
      </c>
      <c r="C151" s="260" t="str">
        <f>'Dry_Litterbag Placem_Collection'!B152</f>
        <v xml:space="preserve">Mwantimba
</v>
      </c>
      <c r="D151" s="260" t="s">
        <v>2454</v>
      </c>
      <c r="E151" s="260" t="s">
        <v>20</v>
      </c>
      <c r="F151" s="260">
        <v>3</v>
      </c>
      <c r="G151" s="260" t="s">
        <v>3823</v>
      </c>
      <c r="H151" s="261" t="str">
        <f>'Dry_Litterbag Placem_Collection'!C152</f>
        <v>Wet_P3_T6</v>
      </c>
      <c r="I151" s="262" t="s">
        <v>2525</v>
      </c>
      <c r="J151" s="263" t="s">
        <v>1147</v>
      </c>
      <c r="K151" s="260" t="str">
        <f>IF(ISBLANK('Dry_Litterbag Placem_Collection'!J152),"","G"&amp;""&amp;'Dry_Litterbag Placem_Collection'!J152)</f>
        <v>G272</v>
      </c>
      <c r="L151" s="264">
        <f>IFERROR(INDEX('Green_rooibos initial weight'!$C$5:$C$2000,MATCH(K151, 'Green_rooibos initial weight'!$A$5:$A$2000,0)),"")</f>
        <v>2.0649999999999999</v>
      </c>
      <c r="M151" s="264">
        <f>IFERROR(L151-(TBIcalc!$Q$9+TBIcalc!$Q$10),"")</f>
        <v>1.8151999999999999</v>
      </c>
      <c r="N151" s="385">
        <f>AVERAGE(Ashed_controlls!$K$2:$K$11)</f>
        <v>5.5147656768714146</v>
      </c>
      <c r="O151" s="264">
        <f t="shared" si="11"/>
        <v>1.7150959734334301</v>
      </c>
      <c r="P151" s="264" t="str">
        <f>IFERROR(INDEX('Both teabags AfterDry'!$D$2:$D$2000,MATCH(K151,'Both teabags AfterDry'!$A$2:$A$2000,0)),"")</f>
        <v/>
      </c>
      <c r="Q151" s="264" t="str">
        <f>IFERROR(IF(P151&gt;0,P151-(TBIcalc!$Q$9),""),"")</f>
        <v/>
      </c>
      <c r="R151" s="275" t="str">
        <f>IFERROR(INDEX('Ashed teabags dry'!$K$2:$K$2000,MATCH(K151,'Ashed teabags dry'!$A$2:$A$2000,0)),"")</f>
        <v/>
      </c>
      <c r="S151" s="275" t="str">
        <f t="shared" si="12"/>
        <v/>
      </c>
      <c r="T151" s="265">
        <f>IF('Dry_Litterbag Placem_Collection'!E152="","",'Dry_Litterbag Placem_Collection'!E152)</f>
        <v>42939</v>
      </c>
      <c r="U151" s="265">
        <f>IF('Dry_Litterbag Placem_Collection'!G152="","",'Dry_Litterbag Placem_Collection'!G152)</f>
        <v>43010</v>
      </c>
      <c r="V151" s="266">
        <f t="shared" si="10"/>
        <v>71</v>
      </c>
      <c r="W151" s="264" t="str">
        <f t="shared" si="13"/>
        <v/>
      </c>
      <c r="X151" s="264" t="str">
        <f t="shared" si="14"/>
        <v/>
      </c>
      <c r="Y151" s="268">
        <f>IFERROR(INDEX(Rainfall_Dry!$O$2:$O$217,MATCH(B151, Rainfall_Dry!$A$2:$A$217,0)),"")</f>
        <v>137.19979645800001</v>
      </c>
      <c r="Z151" s="257">
        <v>39.96</v>
      </c>
      <c r="AA151" s="257">
        <v>12.920000000000002</v>
      </c>
      <c r="AB151" s="257">
        <v>47.12</v>
      </c>
      <c r="AC151" s="258" t="s">
        <v>2658</v>
      </c>
      <c r="AD151" s="257">
        <v>6.6549531789058696</v>
      </c>
      <c r="AE151">
        <f>IF('WetLitterbags placem_collection'!AB152="","",'WetLitterbags placem_collection'!AB152)</f>
        <v>2.75</v>
      </c>
      <c r="AF151">
        <f>IF('WetLitterbags placem_collection'!Z152="","",'WetLitterbags placem_collection'!Z152)</f>
        <v>19</v>
      </c>
      <c r="AG151" s="243" t="str">
        <f>IF('WetLitterbags placem_collection'!AA152="","",'WetLitterbags placem_collection'!AA152)</f>
        <v>O</v>
      </c>
      <c r="AH151">
        <f>IF('WetLitterbags placem_collection'!AC152="","",'WetLitterbags placem_collection'!AC152)</f>
        <v>0</v>
      </c>
      <c r="AI151">
        <f>IFERROR(AVERAGE('Dry_Litterbag Placem_Collection'!O152,'Dry_Litterbag Placem_Collection'!R152),"")</f>
        <v>6.1999999999999993</v>
      </c>
      <c r="AJ151" s="268">
        <f>IFERROR(AVERAGE('Dry_Litterbag Placem_Collection'!N152,'Dry_Litterbag Placem_Collection'!Q152),"")</f>
        <v>30.8</v>
      </c>
      <c r="AK151" s="267">
        <f>INDEX(Coordinates!$B$2:$B$197,MATCH(H151,Coordinates!$J$2:$J$197,0))</f>
        <v>-2.3675230329999999</v>
      </c>
      <c r="AL151" s="267">
        <f>INDEX(Coordinates!$C$2:$C$197,MATCH(H151,Coordinates!$J$2:$J$197,0))</f>
        <v>34.060512969999998</v>
      </c>
      <c r="AM151" s="267" t="str">
        <f>IF(ISNUMBER(SEARCH("C", 'Dry_Litterbag Placem_Collection'!S152)),"YES","NO")</f>
        <v>NO</v>
      </c>
      <c r="AN151" s="267" t="str">
        <f>IF(ISNUMBER(SEARCH("H", 'Dry_Litterbag Placem_Collection'!S152)),"YES","NO")</f>
        <v>YES</v>
      </c>
      <c r="AO151" s="267" t="str">
        <f>IF(ISNUMBER(SEARCH("R", 'Dry_Litterbag Placem_Collection'!S152)),"YES","NO")</f>
        <v>NO</v>
      </c>
    </row>
    <row r="152" spans="1:41" ht="15" customHeight="1">
      <c r="A152" s="259" t="s">
        <v>2643</v>
      </c>
      <c r="B152" s="260">
        <f>'Dry_Litterbag Placem_Collection'!A153</f>
        <v>151</v>
      </c>
      <c r="C152" s="260" t="str">
        <f>'Dry_Litterbag Placem_Collection'!B153</f>
        <v xml:space="preserve">Mwantimba
</v>
      </c>
      <c r="D152" s="260" t="s">
        <v>2454</v>
      </c>
      <c r="E152" s="260" t="s">
        <v>20</v>
      </c>
      <c r="F152" s="260">
        <v>3</v>
      </c>
      <c r="G152" s="260" t="s">
        <v>3823</v>
      </c>
      <c r="H152" s="261" t="str">
        <f>'Dry_Litterbag Placem_Collection'!C153</f>
        <v>Wet_P3_T7</v>
      </c>
      <c r="I152" s="262" t="s">
        <v>2525</v>
      </c>
      <c r="J152" s="263" t="s">
        <v>1147</v>
      </c>
      <c r="K152" s="260" t="str">
        <f>IF(ISBLANK('Dry_Litterbag Placem_Collection'!J153),"","G"&amp;""&amp;'Dry_Litterbag Placem_Collection'!J153)</f>
        <v/>
      </c>
      <c r="L152" s="264" t="str">
        <f>IFERROR(INDEX('Green_rooibos initial weight'!$C$5:$C$2000,MATCH(K152, 'Green_rooibos initial weight'!$A$5:$A$2000,0)),"")</f>
        <v/>
      </c>
      <c r="M152" s="264" t="str">
        <f>IFERROR(L152-(TBIcalc!$Q$9+TBIcalc!$Q$10),"")</f>
        <v/>
      </c>
      <c r="N152" s="385">
        <f>AVERAGE(Ashed_controlls!$K$2:$K$11)</f>
        <v>5.5147656768714146</v>
      </c>
      <c r="O152" s="264" t="str">
        <f t="shared" si="11"/>
        <v/>
      </c>
      <c r="P152" s="264" t="str">
        <f>IFERROR(INDEX('Both teabags AfterDry'!$D$2:$D$2000,MATCH(K152,'Both teabags AfterDry'!$A$2:$A$2000,0)),"")</f>
        <v/>
      </c>
      <c r="Q152" s="264" t="str">
        <f>IFERROR(IF(P152&gt;0,P152-(TBIcalc!$Q$9),""),"")</f>
        <v/>
      </c>
      <c r="R152" s="275" t="str">
        <f>IFERROR(INDEX('Ashed teabags dry'!$K$2:$K$2000,MATCH(K152,'Ashed teabags dry'!$A$2:$A$2000,0)),"")</f>
        <v/>
      </c>
      <c r="S152" s="275" t="str">
        <f t="shared" si="12"/>
        <v/>
      </c>
      <c r="T152" s="265" t="str">
        <f>IF('Dry_Litterbag Placem_Collection'!E153="","",'Dry_Litterbag Placem_Collection'!E153)</f>
        <v/>
      </c>
      <c r="U152" s="265" t="str">
        <f>IF('Dry_Litterbag Placem_Collection'!G153="","",'Dry_Litterbag Placem_Collection'!G153)</f>
        <v/>
      </c>
      <c r="V152" s="266" t="str">
        <f t="shared" si="10"/>
        <v/>
      </c>
      <c r="W152" s="264" t="str">
        <f t="shared" si="13"/>
        <v/>
      </c>
      <c r="X152" s="264" t="str">
        <f t="shared" si="14"/>
        <v/>
      </c>
      <c r="Y152" s="268" t="str">
        <f>IFERROR(INDEX(Rainfall_Dry!$O$2:$O$217,MATCH(B152, Rainfall_Dry!$A$2:$A$217,0)),"")</f>
        <v/>
      </c>
      <c r="Z152" s="257">
        <v>39.96</v>
      </c>
      <c r="AA152" s="257">
        <v>12.920000000000002</v>
      </c>
      <c r="AB152" s="257">
        <v>47.12</v>
      </c>
      <c r="AC152" s="258" t="s">
        <v>2658</v>
      </c>
      <c r="AD152" s="257">
        <v>7.6549531789058696</v>
      </c>
      <c r="AE152">
        <f>IF('WetLitterbags placem_collection'!AB153="","",'WetLitterbags placem_collection'!AB153)</f>
        <v>1.4</v>
      </c>
      <c r="AF152">
        <f>IF('WetLitterbags placem_collection'!Z153="","",'WetLitterbags placem_collection'!Z153)</f>
        <v>7.9</v>
      </c>
      <c r="AG152" s="243" t="str">
        <f>IF('WetLitterbags placem_collection'!AA153="","",'WetLitterbags placem_collection'!AA153)</f>
        <v>O</v>
      </c>
      <c r="AH152">
        <f>IF('WetLitterbags placem_collection'!AC153="","",'WetLitterbags placem_collection'!AC153)</f>
        <v>1</v>
      </c>
      <c r="AI152" t="str">
        <f>IFERROR(AVERAGE('Dry_Litterbag Placem_Collection'!O153,'Dry_Litterbag Placem_Collection'!R153),"")</f>
        <v/>
      </c>
      <c r="AJ152" s="268" t="str">
        <f>IFERROR(AVERAGE('Dry_Litterbag Placem_Collection'!N153,'Dry_Litterbag Placem_Collection'!Q153),"")</f>
        <v/>
      </c>
      <c r="AK152" s="267">
        <f>INDEX(Coordinates!$B$2:$B$197,MATCH(H152,Coordinates!$J$2:$J$197,0))</f>
        <v>-2.3673460070000001</v>
      </c>
      <c r="AL152" s="267">
        <f>INDEX(Coordinates!$C$2:$C$197,MATCH(H152,Coordinates!$J$2:$J$197,0))</f>
        <v>34.060310039999997</v>
      </c>
      <c r="AM152" s="267" t="str">
        <f>IF(ISNUMBER(SEARCH("C", 'Dry_Litterbag Placem_Collection'!S153)),"YES","NO")</f>
        <v>NO</v>
      </c>
      <c r="AN152" s="267" t="str">
        <f>IF(ISNUMBER(SEARCH("H", 'Dry_Litterbag Placem_Collection'!S153)),"YES","NO")</f>
        <v>NO</v>
      </c>
      <c r="AO152" s="267" t="str">
        <f>IF(ISNUMBER(SEARCH("R", 'Dry_Litterbag Placem_Collection'!S153)),"YES","NO")</f>
        <v>NO</v>
      </c>
    </row>
    <row r="153" spans="1:41" ht="15" customHeight="1">
      <c r="A153" s="259" t="s">
        <v>2643</v>
      </c>
      <c r="B153" s="260">
        <f>'Dry_Litterbag Placem_Collection'!A154</f>
        <v>152</v>
      </c>
      <c r="C153" s="260" t="str">
        <f>'Dry_Litterbag Placem_Collection'!B154</f>
        <v xml:space="preserve">Mwantimba
</v>
      </c>
      <c r="D153" s="260" t="s">
        <v>2454</v>
      </c>
      <c r="E153" s="260" t="s">
        <v>20</v>
      </c>
      <c r="F153" s="260">
        <v>3</v>
      </c>
      <c r="G153" s="260" t="s">
        <v>3823</v>
      </c>
      <c r="H153" s="261" t="str">
        <f>'Dry_Litterbag Placem_Collection'!C154</f>
        <v>Wet_P3_T8</v>
      </c>
      <c r="I153" s="262" t="s">
        <v>2525</v>
      </c>
      <c r="J153" s="263" t="s">
        <v>1147</v>
      </c>
      <c r="K153" s="260" t="str">
        <f>IF(ISBLANK('Dry_Litterbag Placem_Collection'!J154),"","G"&amp;""&amp;'Dry_Litterbag Placem_Collection'!J154)</f>
        <v>G198</v>
      </c>
      <c r="L153" s="264">
        <f>IFERROR(INDEX('Green_rooibos initial weight'!$C$5:$C$2000,MATCH(K153, 'Green_rooibos initial weight'!$A$5:$A$2000,0)),"")</f>
        <v>1.931</v>
      </c>
      <c r="M153" s="264">
        <f>IFERROR(L153-(TBIcalc!$Q$9+TBIcalc!$Q$10),"")</f>
        <v>1.6812</v>
      </c>
      <c r="N153" s="385">
        <f>AVERAGE(Ashed_controlls!$K$2:$K$11)</f>
        <v>5.5147656768714146</v>
      </c>
      <c r="O153" s="264">
        <f t="shared" si="11"/>
        <v>1.5884857594404378</v>
      </c>
      <c r="P153" s="264">
        <f>IFERROR(INDEX('Both teabags AfterDry'!$D$2:$D$2000,MATCH(K153,'Both teabags AfterDry'!$A$2:$A$2000,0)),"")</f>
        <v>1.3654999999999999</v>
      </c>
      <c r="Q153" s="264">
        <f>IFERROR(IF(P153&gt;0,P153-(TBIcalc!$Q$9),""),"")</f>
        <v>1.2148999999999999</v>
      </c>
      <c r="R153" s="275">
        <f>IFERROR(INDEX('Ashed teabags dry'!$K$2:$K$2000,MATCH(K153,'Ashed teabags dry'!$A$2:$A$2000,0)),"")</f>
        <v>10.100586756077433</v>
      </c>
      <c r="S153" s="275">
        <f t="shared" si="12"/>
        <v>1.0921879715004152</v>
      </c>
      <c r="T153" s="265">
        <f>IF('Dry_Litterbag Placem_Collection'!E154="","",'Dry_Litterbag Placem_Collection'!E154)</f>
        <v>42939</v>
      </c>
      <c r="U153" s="265">
        <f>IF('Dry_Litterbag Placem_Collection'!G154="","",'Dry_Litterbag Placem_Collection'!G154)</f>
        <v>43010</v>
      </c>
      <c r="V153" s="266">
        <f t="shared" si="10"/>
        <v>71</v>
      </c>
      <c r="W153" s="264">
        <f t="shared" si="13"/>
        <v>0.46630000000000016</v>
      </c>
      <c r="X153" s="264">
        <f t="shared" si="14"/>
        <v>0.49629778794002255</v>
      </c>
      <c r="Y153" s="268">
        <f>IFERROR(INDEX(Rainfall_Dry!$O$2:$O$217,MATCH(B153, Rainfall_Dry!$A$2:$A$217,0)),"")</f>
        <v>137.19979645800001</v>
      </c>
      <c r="Z153" s="257">
        <v>39.96</v>
      </c>
      <c r="AA153" s="257">
        <v>12.920000000000002</v>
      </c>
      <c r="AB153" s="257">
        <v>47.12</v>
      </c>
      <c r="AC153" s="258" t="s">
        <v>2658</v>
      </c>
      <c r="AD153" s="257">
        <v>8.6549531789058705</v>
      </c>
      <c r="AE153">
        <f>IF('WetLitterbags placem_collection'!AB154="","",'WetLitterbags placem_collection'!AB154)</f>
        <v>2.2000000000000002</v>
      </c>
      <c r="AF153">
        <f>IF('WetLitterbags placem_collection'!Z154="","",'WetLitterbags placem_collection'!Z154)</f>
        <v>15</v>
      </c>
      <c r="AG153" s="243" t="str">
        <f>IF('WetLitterbags placem_collection'!AA154="","",'WetLitterbags placem_collection'!AA154)</f>
        <v>M</v>
      </c>
      <c r="AH153">
        <f>IF('WetLitterbags placem_collection'!AC154="","",'WetLitterbags placem_collection'!AC154)</f>
        <v>0</v>
      </c>
      <c r="AI153">
        <f>IFERROR(AVERAGE('Dry_Litterbag Placem_Collection'!O154,'Dry_Litterbag Placem_Collection'!R154),"")</f>
        <v>6.4</v>
      </c>
      <c r="AJ153" s="268">
        <f>IFERROR(AVERAGE('Dry_Litterbag Placem_Collection'!N154,'Dry_Litterbag Placem_Collection'!Q154),"")</f>
        <v>28.45</v>
      </c>
      <c r="AK153" s="267">
        <f>INDEX(Coordinates!$B$2:$B$197,MATCH(H153,Coordinates!$J$2:$J$197,0))</f>
        <v>-2.367543988</v>
      </c>
      <c r="AL153" s="267">
        <f>INDEX(Coordinates!$C$2:$C$197,MATCH(H153,Coordinates!$J$2:$J$197,0))</f>
        <v>34.060168969999999</v>
      </c>
      <c r="AM153" s="267" t="str">
        <f>IF(ISNUMBER(SEARCH("C", 'Dry_Litterbag Placem_Collection'!S154)),"YES","NO")</f>
        <v>YES</v>
      </c>
      <c r="AN153" s="267" t="str">
        <f>IF(ISNUMBER(SEARCH("H", 'Dry_Litterbag Placem_Collection'!S154)),"YES","NO")</f>
        <v>YES</v>
      </c>
      <c r="AO153" s="267" t="str">
        <f>IF(ISNUMBER(SEARCH("R", 'Dry_Litterbag Placem_Collection'!S154)),"YES","NO")</f>
        <v>NO</v>
      </c>
    </row>
    <row r="154" spans="1:41" ht="15" customHeight="1">
      <c r="A154" s="259" t="s">
        <v>2643</v>
      </c>
      <c r="B154" s="260">
        <f>'Dry_Litterbag Placem_Collection'!A155</f>
        <v>153</v>
      </c>
      <c r="C154" s="260" t="str">
        <f>'Dry_Litterbag Placem_Collection'!B155</f>
        <v xml:space="preserve">Mwantimba
</v>
      </c>
      <c r="D154" s="260" t="s">
        <v>2454</v>
      </c>
      <c r="E154" s="260" t="s">
        <v>20</v>
      </c>
      <c r="F154" s="260">
        <v>4</v>
      </c>
      <c r="G154" s="260" t="s">
        <v>3824</v>
      </c>
      <c r="H154" s="261" t="str">
        <f>'Dry_Litterbag Placem_Collection'!C155</f>
        <v>Wet_P4_T1</v>
      </c>
      <c r="I154" s="262" t="s">
        <v>2525</v>
      </c>
      <c r="J154" s="263" t="s">
        <v>1147</v>
      </c>
      <c r="K154" s="260" t="str">
        <f>IF(ISBLANK('Dry_Litterbag Placem_Collection'!J155),"","G"&amp;""&amp;'Dry_Litterbag Placem_Collection'!J155)</f>
        <v>G197</v>
      </c>
      <c r="L154" s="264">
        <f>IFERROR(INDEX('Green_rooibos initial weight'!$C$5:$C$2000,MATCH(K154, 'Green_rooibos initial weight'!$A$5:$A$2000,0)),"")</f>
        <v>2.1120000000000001</v>
      </c>
      <c r="M154" s="264">
        <f>IFERROR(L154-(TBIcalc!$Q$9+TBIcalc!$Q$10),"")</f>
        <v>1.8622000000000001</v>
      </c>
      <c r="N154" s="385">
        <f>AVERAGE(Ashed_controlls!$K$2:$K$11)</f>
        <v>5.5147656768714146</v>
      </c>
      <c r="O154" s="264">
        <f t="shared" si="11"/>
        <v>1.7595040335653005</v>
      </c>
      <c r="P154" s="264">
        <f>IFERROR(INDEX('Both teabags AfterDry'!$D$2:$D$2000,MATCH(K154,'Both teabags AfterDry'!$A$2:$A$2000,0)),"")</f>
        <v>1.2847</v>
      </c>
      <c r="Q154" s="264">
        <f>IFERROR(IF(P154&gt;0,P154-(TBIcalc!$Q$9),""),"")</f>
        <v>1.1340999999999999</v>
      </c>
      <c r="R154" s="275">
        <f>IFERROR(INDEX('Ashed teabags dry'!$K$2:$K$2000,MATCH(K154,'Ashed teabags dry'!$A$2:$A$2000,0)),"")</f>
        <v>10.205908683975077</v>
      </c>
      <c r="S154" s="275">
        <f t="shared" si="12"/>
        <v>1.0183547896150387</v>
      </c>
      <c r="T154" s="265">
        <f>IF('Dry_Litterbag Placem_Collection'!E155="","",'Dry_Litterbag Placem_Collection'!E155)</f>
        <v>42939</v>
      </c>
      <c r="U154" s="265">
        <f>IF('Dry_Litterbag Placem_Collection'!G155="","",'Dry_Litterbag Placem_Collection'!G155)</f>
        <v>43010</v>
      </c>
      <c r="V154" s="266">
        <f t="shared" si="10"/>
        <v>71</v>
      </c>
      <c r="W154" s="264">
        <f t="shared" si="13"/>
        <v>0.72810000000000019</v>
      </c>
      <c r="X154" s="264">
        <f t="shared" si="14"/>
        <v>0.74114924395026183</v>
      </c>
      <c r="Y154" s="268">
        <f>IFERROR(INDEX(Rainfall_Dry!$O$2:$O$217,MATCH(B154, Rainfall_Dry!$A$2:$A$217,0)),"")</f>
        <v>137.19979645800001</v>
      </c>
      <c r="Z154" s="257">
        <v>27.96</v>
      </c>
      <c r="AA154" s="257">
        <v>4.9200000000000017</v>
      </c>
      <c r="AB154" s="257">
        <v>67.12</v>
      </c>
      <c r="AC154" s="258" t="s">
        <v>2654</v>
      </c>
      <c r="AD154" s="257">
        <v>1.0437161163134547</v>
      </c>
      <c r="AE154">
        <f>IF('WetLitterbags placem_collection'!AB155="","",'WetLitterbags placem_collection'!AB155)</f>
        <v>2.1</v>
      </c>
      <c r="AF154">
        <f>IF('WetLitterbags placem_collection'!Z155="","",'WetLitterbags placem_collection'!Z155)</f>
        <v>16.399999999999999</v>
      </c>
      <c r="AG154" s="243" t="str">
        <f>IF('WetLitterbags placem_collection'!AA155="","",'WetLitterbags placem_collection'!AA155)</f>
        <v>G</v>
      </c>
      <c r="AH154">
        <f>IF('WetLitterbags placem_collection'!AC155="","",'WetLitterbags placem_collection'!AC155)</f>
        <v>0</v>
      </c>
      <c r="AI154">
        <f>IFERROR(AVERAGE('Dry_Litterbag Placem_Collection'!O155,'Dry_Litterbag Placem_Collection'!R155),"")</f>
        <v>5.65</v>
      </c>
      <c r="AJ154" s="268">
        <f>IFERROR(AVERAGE('Dry_Litterbag Placem_Collection'!N155,'Dry_Litterbag Placem_Collection'!Q155),"")</f>
        <v>31.65</v>
      </c>
      <c r="AK154" s="267">
        <f>INDEX(Coordinates!$B$2:$B$197,MATCH(H154,Coordinates!$J$2:$J$197,0))</f>
        <v>-2.3676780150000001</v>
      </c>
      <c r="AL154" s="267">
        <f>INDEX(Coordinates!$C$2:$C$197,MATCH(H154,Coordinates!$J$2:$J$197,0))</f>
        <v>34.05937797</v>
      </c>
      <c r="AM154" s="267" t="str">
        <f>IF(ISNUMBER(SEARCH("C", 'Dry_Litterbag Placem_Collection'!S155)),"YES","NO")</f>
        <v>YES</v>
      </c>
      <c r="AN154" s="267" t="str">
        <f>IF(ISNUMBER(SEARCH("H", 'Dry_Litterbag Placem_Collection'!S155)),"YES","NO")</f>
        <v>YES</v>
      </c>
      <c r="AO154" s="267" t="str">
        <f>IF(ISNUMBER(SEARCH("R", 'Dry_Litterbag Placem_Collection'!S155)),"YES","NO")</f>
        <v>NO</v>
      </c>
    </row>
    <row r="155" spans="1:41" ht="15" customHeight="1">
      <c r="A155" s="259" t="s">
        <v>2643</v>
      </c>
      <c r="B155" s="260">
        <f>'Dry_Litterbag Placem_Collection'!A156</f>
        <v>154</v>
      </c>
      <c r="C155" s="260" t="str">
        <f>'Dry_Litterbag Placem_Collection'!B156</f>
        <v xml:space="preserve">Mwantimba
</v>
      </c>
      <c r="D155" s="260" t="s">
        <v>2454</v>
      </c>
      <c r="E155" s="260" t="s">
        <v>20</v>
      </c>
      <c r="F155" s="260">
        <v>4</v>
      </c>
      <c r="G155" s="260" t="s">
        <v>3824</v>
      </c>
      <c r="H155" s="261" t="str">
        <f>'Dry_Litterbag Placem_Collection'!C156</f>
        <v>Wet_P4_T2</v>
      </c>
      <c r="I155" s="262" t="s">
        <v>2525</v>
      </c>
      <c r="J155" s="263" t="s">
        <v>1147</v>
      </c>
      <c r="K155" s="260" t="str">
        <f>IF(ISBLANK('Dry_Litterbag Placem_Collection'!J156),"","G"&amp;""&amp;'Dry_Litterbag Placem_Collection'!J156)</f>
        <v>G127</v>
      </c>
      <c r="L155" s="264">
        <f>IFERROR(INDEX('Green_rooibos initial weight'!$C$5:$C$2000,MATCH(K155, 'Green_rooibos initial weight'!$A$5:$A$2000,0)),"")</f>
        <v>1.9490000000000001</v>
      </c>
      <c r="M155" s="264">
        <f>IFERROR(L155-(TBIcalc!$Q$9+TBIcalc!$Q$10),"")</f>
        <v>1.6992</v>
      </c>
      <c r="N155" s="385">
        <f>AVERAGE(Ashed_controlls!$K$2:$K$11)</f>
        <v>5.5147656768714146</v>
      </c>
      <c r="O155" s="264">
        <f t="shared" si="11"/>
        <v>1.6054931016186009</v>
      </c>
      <c r="P155" s="264">
        <f>IFERROR(INDEX('Both teabags AfterDry'!$D$2:$D$2000,MATCH(K155,'Both teabags AfterDry'!$A$2:$A$2000,0)),"")</f>
        <v>1.1896</v>
      </c>
      <c r="Q155" s="264">
        <f>IFERROR(IF(P155&gt;0,P155-(TBIcalc!$Q$9),""),"")</f>
        <v>1.0389999999999999</v>
      </c>
      <c r="R155" s="275">
        <f>IFERROR(INDEX('Ashed teabags dry'!$K$2:$K$2000,MATCH(K155,'Ashed teabags dry'!$A$2:$A$2000,0)),"")</f>
        <v>12.964728312678373</v>
      </c>
      <c r="S155" s="275">
        <f t="shared" si="12"/>
        <v>0.90429647283127168</v>
      </c>
      <c r="T155" s="265">
        <f>IF('Dry_Litterbag Placem_Collection'!E156="","",'Dry_Litterbag Placem_Collection'!E156)</f>
        <v>42939</v>
      </c>
      <c r="U155" s="265">
        <f>IF('Dry_Litterbag Placem_Collection'!G156="","",'Dry_Litterbag Placem_Collection'!G156)</f>
        <v>43010</v>
      </c>
      <c r="V155" s="266">
        <f t="shared" si="10"/>
        <v>71</v>
      </c>
      <c r="W155" s="264">
        <f t="shared" si="13"/>
        <v>0.66020000000000012</v>
      </c>
      <c r="X155" s="264">
        <f t="shared" si="14"/>
        <v>0.70119662878732925</v>
      </c>
      <c r="Y155" s="268">
        <f>IFERROR(INDEX(Rainfall_Dry!$O$2:$O$217,MATCH(B155, Rainfall_Dry!$A$2:$A$217,0)),"")</f>
        <v>137.19979645800001</v>
      </c>
      <c r="Z155" s="257">
        <v>27.96</v>
      </c>
      <c r="AA155" s="257">
        <v>4.9200000000000017</v>
      </c>
      <c r="AB155" s="257">
        <v>67.12</v>
      </c>
      <c r="AC155" s="258" t="s">
        <v>2654</v>
      </c>
      <c r="AD155" s="257">
        <v>2.0437161163134498</v>
      </c>
      <c r="AE155">
        <f>IF('WetLitterbags placem_collection'!AB156="","",'WetLitterbags placem_collection'!AB156)</f>
        <v>2.15</v>
      </c>
      <c r="AF155">
        <f>IF('WetLitterbags placem_collection'!Z156="","",'WetLitterbags placem_collection'!Z156)</f>
        <v>9</v>
      </c>
      <c r="AG155" s="243" t="str">
        <f>IF('WetLitterbags placem_collection'!AA156="","",'WetLitterbags placem_collection'!AA156)</f>
        <v>G</v>
      </c>
      <c r="AH155">
        <f>IF('WetLitterbags placem_collection'!AC156="","",'WetLitterbags placem_collection'!AC156)</f>
        <v>0</v>
      </c>
      <c r="AI155">
        <f>IFERROR(AVERAGE('Dry_Litterbag Placem_Collection'!O156,'Dry_Litterbag Placem_Collection'!R156),"")</f>
        <v>4.05</v>
      </c>
      <c r="AJ155" s="268">
        <f>IFERROR(AVERAGE('Dry_Litterbag Placem_Collection'!N156,'Dry_Litterbag Placem_Collection'!Q156),"")</f>
        <v>30.45</v>
      </c>
      <c r="AK155" s="267">
        <f>INDEX(Coordinates!$B$2:$B$197,MATCH(H155,Coordinates!$J$2:$J$197,0))</f>
        <v>-2.3677299820000002</v>
      </c>
      <c r="AL155" s="267">
        <f>INDEX(Coordinates!$C$2:$C$197,MATCH(H155,Coordinates!$J$2:$J$197,0))</f>
        <v>34.059351990000003</v>
      </c>
      <c r="AM155" s="267" t="str">
        <f>IF(ISNUMBER(SEARCH("C", 'Dry_Litterbag Placem_Collection'!S156)),"YES","NO")</f>
        <v>YES</v>
      </c>
      <c r="AN155" s="267" t="str">
        <f>IF(ISNUMBER(SEARCH("H", 'Dry_Litterbag Placem_Collection'!S156)),"YES","NO")</f>
        <v>YES</v>
      </c>
      <c r="AO155" s="267" t="str">
        <f>IF(ISNUMBER(SEARCH("R", 'Dry_Litterbag Placem_Collection'!S156)),"YES","NO")</f>
        <v>NO</v>
      </c>
    </row>
    <row r="156" spans="1:41" ht="15" customHeight="1">
      <c r="A156" s="259" t="s">
        <v>2643</v>
      </c>
      <c r="B156" s="260">
        <f>'Dry_Litterbag Placem_Collection'!A157</f>
        <v>155</v>
      </c>
      <c r="C156" s="260" t="str">
        <f>'Dry_Litterbag Placem_Collection'!B157</f>
        <v xml:space="preserve">Mwantimba
</v>
      </c>
      <c r="D156" s="260" t="s">
        <v>2454</v>
      </c>
      <c r="E156" s="260" t="s">
        <v>20</v>
      </c>
      <c r="F156" s="260">
        <v>4</v>
      </c>
      <c r="G156" s="260" t="s">
        <v>3824</v>
      </c>
      <c r="H156" s="261" t="str">
        <f>'Dry_Litterbag Placem_Collection'!C157</f>
        <v>Wet_P4_T3</v>
      </c>
      <c r="I156" s="262" t="s">
        <v>2525</v>
      </c>
      <c r="J156" s="263" t="s">
        <v>1147</v>
      </c>
      <c r="K156" s="260" t="str">
        <f>IF(ISBLANK('Dry_Litterbag Placem_Collection'!J157),"","G"&amp;""&amp;'Dry_Litterbag Placem_Collection'!J157)</f>
        <v>G253</v>
      </c>
      <c r="L156" s="264">
        <f>IFERROR(INDEX('Green_rooibos initial weight'!$C$5:$C$2000,MATCH(K156, 'Green_rooibos initial weight'!$A$5:$A$2000,0)),"")</f>
        <v>2.0169999999999999</v>
      </c>
      <c r="M156" s="264">
        <f>IFERROR(L156-(TBIcalc!$Q$9+TBIcalc!$Q$10),"")</f>
        <v>1.7671999999999999</v>
      </c>
      <c r="N156" s="385">
        <f>AVERAGE(Ashed_controlls!$K$2:$K$11)</f>
        <v>5.5147656768714146</v>
      </c>
      <c r="O156" s="264">
        <f t="shared" si="11"/>
        <v>1.6697430609583281</v>
      </c>
      <c r="P156" s="264">
        <f>IFERROR(INDEX('Both teabags AfterDry'!$D$2:$D$2000,MATCH(K156,'Both teabags AfterDry'!$A$2:$A$2000,0)),"")</f>
        <v>1.2484</v>
      </c>
      <c r="Q156" s="264">
        <f>IFERROR(IF(P156&gt;0,P156-(TBIcalc!$Q$9),""),"")</f>
        <v>1.0977999999999999</v>
      </c>
      <c r="R156" s="275">
        <f>IFERROR(INDEX('Ashed teabags dry'!$K$2:$K$2000,MATCH(K156,'Ashed teabags dry'!$A$2:$A$2000,0)),"")</f>
        <v>13.077679449360829</v>
      </c>
      <c r="S156" s="275">
        <f t="shared" si="12"/>
        <v>0.95423323500491675</v>
      </c>
      <c r="T156" s="265">
        <f>IF('Dry_Litterbag Placem_Collection'!E157="","",'Dry_Litterbag Placem_Collection'!E157)</f>
        <v>42939</v>
      </c>
      <c r="U156" s="265">
        <f>IF('Dry_Litterbag Placem_Collection'!G157="","",'Dry_Litterbag Placem_Collection'!G157)</f>
        <v>43010</v>
      </c>
      <c r="V156" s="266">
        <f t="shared" si="10"/>
        <v>71</v>
      </c>
      <c r="W156" s="264">
        <f t="shared" si="13"/>
        <v>0.6694</v>
      </c>
      <c r="X156" s="264">
        <f t="shared" si="14"/>
        <v>0.71550982595341139</v>
      </c>
      <c r="Y156" s="268">
        <f>IFERROR(INDEX(Rainfall_Dry!$O$2:$O$217,MATCH(B156, Rainfall_Dry!$A$2:$A$217,0)),"")</f>
        <v>137.19979645800001</v>
      </c>
      <c r="Z156" s="257">
        <v>27.96</v>
      </c>
      <c r="AA156" s="257">
        <v>4.9200000000000017</v>
      </c>
      <c r="AB156" s="257">
        <v>67.12</v>
      </c>
      <c r="AC156" s="258" t="s">
        <v>2654</v>
      </c>
      <c r="AD156" s="257">
        <v>3.0437161163134498</v>
      </c>
      <c r="AE156">
        <f>IF('WetLitterbags placem_collection'!AB157="","",'WetLitterbags placem_collection'!AB157)</f>
        <v>1.2</v>
      </c>
      <c r="AF156">
        <f>IF('WetLitterbags placem_collection'!Z157="","",'WetLitterbags placem_collection'!Z157)</f>
        <v>11</v>
      </c>
      <c r="AG156" s="243" t="str">
        <f>IF('WetLitterbags placem_collection'!AA157="","",'WetLitterbags placem_collection'!AA157)</f>
        <v>G</v>
      </c>
      <c r="AH156">
        <f>IF('WetLitterbags placem_collection'!AC157="","",'WetLitterbags placem_collection'!AC157)</f>
        <v>0</v>
      </c>
      <c r="AI156">
        <f>IFERROR(AVERAGE('Dry_Litterbag Placem_Collection'!O157,'Dry_Litterbag Placem_Collection'!R157),"")</f>
        <v>5.0999999999999996</v>
      </c>
      <c r="AJ156" s="268">
        <f>IFERROR(AVERAGE('Dry_Litterbag Placem_Collection'!N157,'Dry_Litterbag Placem_Collection'!Q157),"")</f>
        <v>29.4</v>
      </c>
      <c r="AK156" s="267">
        <f>INDEX(Coordinates!$B$2:$B$197,MATCH(H156,Coordinates!$J$2:$J$197,0))</f>
        <v>-2.3677119609999999</v>
      </c>
      <c r="AL156" s="267">
        <f>INDEX(Coordinates!$C$2:$C$197,MATCH(H156,Coordinates!$J$2:$J$197,0))</f>
        <v>34.059339000000001</v>
      </c>
      <c r="AM156" s="267" t="str">
        <f>IF(ISNUMBER(SEARCH("C", 'Dry_Litterbag Placem_Collection'!S157)),"YES","NO")</f>
        <v>NO</v>
      </c>
      <c r="AN156" s="267" t="str">
        <f>IF(ISNUMBER(SEARCH("H", 'Dry_Litterbag Placem_Collection'!S157)),"YES","NO")</f>
        <v>YES</v>
      </c>
      <c r="AO156" s="267" t="str">
        <f>IF(ISNUMBER(SEARCH("R", 'Dry_Litterbag Placem_Collection'!S157)),"YES","NO")</f>
        <v>NO</v>
      </c>
    </row>
    <row r="157" spans="1:41" ht="15" customHeight="1">
      <c r="A157" s="259" t="s">
        <v>2643</v>
      </c>
      <c r="B157" s="260">
        <f>'Dry_Litterbag Placem_Collection'!A158</f>
        <v>156</v>
      </c>
      <c r="C157" s="260" t="str">
        <f>'Dry_Litterbag Placem_Collection'!B158</f>
        <v xml:space="preserve">Mwantimba
</v>
      </c>
      <c r="D157" s="260" t="s">
        <v>2454</v>
      </c>
      <c r="E157" s="260" t="s">
        <v>20</v>
      </c>
      <c r="F157" s="260">
        <v>4</v>
      </c>
      <c r="G157" s="260" t="s">
        <v>3824</v>
      </c>
      <c r="H157" s="261" t="str">
        <f>'Dry_Litterbag Placem_Collection'!C158</f>
        <v>Wet_P4_T4</v>
      </c>
      <c r="I157" s="262" t="s">
        <v>2525</v>
      </c>
      <c r="J157" s="263" t="s">
        <v>1147</v>
      </c>
      <c r="K157" s="260" t="str">
        <f>IF(ISBLANK('Dry_Litterbag Placem_Collection'!J158),"","G"&amp;""&amp;'Dry_Litterbag Placem_Collection'!J158)</f>
        <v>G47</v>
      </c>
      <c r="L157" s="264">
        <f>IFERROR(INDEX('Green_rooibos initial weight'!$C$5:$C$2000,MATCH(K157, 'Green_rooibos initial weight'!$A$5:$A$2000,0)),"")</f>
        <v>2.0840000000000001</v>
      </c>
      <c r="M157" s="264">
        <f>IFERROR(L157-(TBIcalc!$Q$9+TBIcalc!$Q$10),"")</f>
        <v>1.8342000000000001</v>
      </c>
      <c r="N157" s="385">
        <f>AVERAGE(Ashed_controlls!$K$2:$K$11)</f>
        <v>5.5147656768714146</v>
      </c>
      <c r="O157" s="264">
        <f t="shared" si="11"/>
        <v>1.7330481679548246</v>
      </c>
      <c r="P157" s="264">
        <f>IFERROR(INDEX('Both teabags AfterDry'!$D$2:$D$2000,MATCH(K157,'Both teabags AfterDry'!$A$2:$A$2000,0)),"")</f>
        <v>1.1167</v>
      </c>
      <c r="Q157" s="264">
        <f>IFERROR(IF(P157&gt;0,P157-(TBIcalc!$Q$9),""),"")</f>
        <v>0.96609999999999996</v>
      </c>
      <c r="R157" s="275">
        <f>IFERROR(INDEX('Ashed teabags dry'!$K$2:$K$2000,MATCH(K157,'Ashed teabags dry'!$A$2:$A$2000,0)),"")</f>
        <v>22.323571771483682</v>
      </c>
      <c r="S157" s="275">
        <f t="shared" si="12"/>
        <v>0.75043197311569609</v>
      </c>
      <c r="T157" s="265">
        <f>IF('Dry_Litterbag Placem_Collection'!E158="","",'Dry_Litterbag Placem_Collection'!E158)</f>
        <v>42939</v>
      </c>
      <c r="U157" s="265">
        <f>IF('Dry_Litterbag Placem_Collection'!G158="","",'Dry_Litterbag Placem_Collection'!G158)</f>
        <v>43010</v>
      </c>
      <c r="V157" s="266">
        <f t="shared" si="10"/>
        <v>71</v>
      </c>
      <c r="W157" s="264">
        <f t="shared" si="13"/>
        <v>0.86810000000000009</v>
      </c>
      <c r="X157" s="264">
        <f t="shared" si="14"/>
        <v>0.98261619483912854</v>
      </c>
      <c r="Y157" s="268">
        <f>IFERROR(INDEX(Rainfall_Dry!$O$2:$O$217,MATCH(B157, Rainfall_Dry!$A$2:$A$217,0)),"")</f>
        <v>137.19979645800001</v>
      </c>
      <c r="Z157" s="257">
        <v>27.96</v>
      </c>
      <c r="AA157" s="257">
        <v>4.9200000000000017</v>
      </c>
      <c r="AB157" s="257">
        <v>67.12</v>
      </c>
      <c r="AC157" s="258" t="s">
        <v>2654</v>
      </c>
      <c r="AD157" s="257">
        <v>4.0437161163134503</v>
      </c>
      <c r="AE157">
        <f>IF('WetLitterbags placem_collection'!AB158="","",'WetLitterbags placem_collection'!AB158)</f>
        <v>1.55</v>
      </c>
      <c r="AF157">
        <f>IF('WetLitterbags placem_collection'!Z158="","",'WetLitterbags placem_collection'!Z158)</f>
        <v>9.1</v>
      </c>
      <c r="AG157" s="243" t="str">
        <f>IF('WetLitterbags placem_collection'!AA158="","",'WetLitterbags placem_collection'!AA158)</f>
        <v>O</v>
      </c>
      <c r="AH157">
        <f>IF('WetLitterbags placem_collection'!AC158="","",'WetLitterbags placem_collection'!AC158)</f>
        <v>0</v>
      </c>
      <c r="AI157">
        <f>IFERROR(AVERAGE('Dry_Litterbag Placem_Collection'!O158,'Dry_Litterbag Placem_Collection'!R158),"")</f>
        <v>4.5</v>
      </c>
      <c r="AJ157" s="268">
        <f>IFERROR(AVERAGE('Dry_Litterbag Placem_Collection'!N158,'Dry_Litterbag Placem_Collection'!Q158),"")</f>
        <v>30.35</v>
      </c>
      <c r="AK157" s="267">
        <f>INDEX(Coordinates!$B$2:$B$197,MATCH(H157,Coordinates!$J$2:$J$197,0))</f>
        <v>-2.3676950300000001</v>
      </c>
      <c r="AL157" s="267">
        <f>INDEX(Coordinates!$C$2:$C$197,MATCH(H157,Coordinates!$J$2:$J$197,0))</f>
        <v>34.059499010000003</v>
      </c>
      <c r="AM157" s="267" t="str">
        <f>IF(ISNUMBER(SEARCH("C", 'Dry_Litterbag Placem_Collection'!S158)),"YES","NO")</f>
        <v>NO</v>
      </c>
      <c r="AN157" s="267" t="str">
        <f>IF(ISNUMBER(SEARCH("H", 'Dry_Litterbag Placem_Collection'!S158)),"YES","NO")</f>
        <v>YES</v>
      </c>
      <c r="AO157" s="267" t="str">
        <f>IF(ISNUMBER(SEARCH("R", 'Dry_Litterbag Placem_Collection'!S158)),"YES","NO")</f>
        <v>YES</v>
      </c>
    </row>
    <row r="158" spans="1:41" ht="15" customHeight="1">
      <c r="A158" s="259" t="s">
        <v>2643</v>
      </c>
      <c r="B158" s="260">
        <f>'Dry_Litterbag Placem_Collection'!A159</f>
        <v>157</v>
      </c>
      <c r="C158" s="260" t="str">
        <f>'Dry_Litterbag Placem_Collection'!B159</f>
        <v xml:space="preserve">Mwantimba
</v>
      </c>
      <c r="D158" s="260" t="s">
        <v>2454</v>
      </c>
      <c r="E158" s="260" t="s">
        <v>20</v>
      </c>
      <c r="F158" s="260">
        <v>4</v>
      </c>
      <c r="G158" s="260" t="s">
        <v>3824</v>
      </c>
      <c r="H158" s="261" t="str">
        <f>'Dry_Litterbag Placem_Collection'!C159</f>
        <v>Wet_P4_T5</v>
      </c>
      <c r="I158" s="262" t="s">
        <v>2525</v>
      </c>
      <c r="J158" s="263" t="s">
        <v>1147</v>
      </c>
      <c r="K158" s="260" t="str">
        <f>IF(ISBLANK('Dry_Litterbag Placem_Collection'!J159),"","G"&amp;""&amp;'Dry_Litterbag Placem_Collection'!J159)</f>
        <v>G328</v>
      </c>
      <c r="L158" s="264">
        <f>IFERROR(INDEX('Green_rooibos initial weight'!$C$5:$C$2000,MATCH(K158, 'Green_rooibos initial weight'!$A$5:$A$2000,0)),"")</f>
        <v>2.1309999999999998</v>
      </c>
      <c r="M158" s="264">
        <f>IFERROR(L158-(TBIcalc!$Q$9+TBIcalc!$Q$10),"")</f>
        <v>1.8811999999999998</v>
      </c>
      <c r="N158" s="385">
        <f>AVERAGE(Ashed_controlls!$K$2:$K$11)</f>
        <v>5.5147656768714146</v>
      </c>
      <c r="O158" s="264">
        <f t="shared" si="11"/>
        <v>1.7774562280866948</v>
      </c>
      <c r="P158" s="264" t="str">
        <f>IFERROR(INDEX('Both teabags AfterDry'!$D$2:$D$2000,MATCH(K158,'Both teabags AfterDry'!$A$2:$A$2000,0)),"")</f>
        <v/>
      </c>
      <c r="Q158" s="264" t="str">
        <f>IFERROR(IF(P158&gt;0,P158-(TBIcalc!$Q$9),""),"")</f>
        <v/>
      </c>
      <c r="R158" s="275" t="str">
        <f>IFERROR(INDEX('Ashed teabags dry'!$K$2:$K$2000,MATCH(K158,'Ashed teabags dry'!$A$2:$A$2000,0)),"")</f>
        <v/>
      </c>
      <c r="S158" s="275" t="str">
        <f t="shared" si="12"/>
        <v/>
      </c>
      <c r="T158" s="265">
        <f>IF('Dry_Litterbag Placem_Collection'!E159="","",'Dry_Litterbag Placem_Collection'!E159)</f>
        <v>42939</v>
      </c>
      <c r="U158" s="265">
        <f>IF('Dry_Litterbag Placem_Collection'!G159="","",'Dry_Litterbag Placem_Collection'!G159)</f>
        <v>43010</v>
      </c>
      <c r="V158" s="266">
        <f t="shared" si="10"/>
        <v>71</v>
      </c>
      <c r="W158" s="264" t="str">
        <f t="shared" si="13"/>
        <v/>
      </c>
      <c r="X158" s="264" t="str">
        <f t="shared" si="14"/>
        <v/>
      </c>
      <c r="Y158" s="268">
        <f>IFERROR(INDEX(Rainfall_Dry!$O$2:$O$217,MATCH(B158, Rainfall_Dry!$A$2:$A$217,0)),"")</f>
        <v>137.19979645800001</v>
      </c>
      <c r="Z158" s="257">
        <v>27.96</v>
      </c>
      <c r="AA158" s="257">
        <v>4.9200000000000017</v>
      </c>
      <c r="AB158" s="257">
        <v>67.12</v>
      </c>
      <c r="AC158" s="258" t="s">
        <v>2654</v>
      </c>
      <c r="AD158" s="257">
        <v>5.0437161163134503</v>
      </c>
      <c r="AE158">
        <f>IF('WetLitterbags placem_collection'!AB159="","",'WetLitterbags placem_collection'!AB159)</f>
        <v>2.2999999999999998</v>
      </c>
      <c r="AF158">
        <f>IF('WetLitterbags placem_collection'!Z159="","",'WetLitterbags placem_collection'!Z159)</f>
        <v>7.7</v>
      </c>
      <c r="AG158" s="243" t="str">
        <f>IF('WetLitterbags placem_collection'!AA159="","",'WetLitterbags placem_collection'!AA159)</f>
        <v>O</v>
      </c>
      <c r="AH158">
        <f>IF('WetLitterbags placem_collection'!AC159="","",'WetLitterbags placem_collection'!AC159)</f>
        <v>0</v>
      </c>
      <c r="AI158">
        <f>IFERROR(AVERAGE('Dry_Litterbag Placem_Collection'!O159,'Dry_Litterbag Placem_Collection'!R159),"")</f>
        <v>5.65</v>
      </c>
      <c r="AJ158" s="268">
        <f>IFERROR(AVERAGE('Dry_Litterbag Placem_Collection'!N159,'Dry_Litterbag Placem_Collection'!Q159),"")</f>
        <v>29.85</v>
      </c>
      <c r="AK158" s="267">
        <f>INDEX(Coordinates!$B$2:$B$197,MATCH(H158,Coordinates!$J$2:$J$197,0))</f>
        <v>-2.3678019830000001</v>
      </c>
      <c r="AL158" s="267">
        <f>INDEX(Coordinates!$C$2:$C$197,MATCH(H158,Coordinates!$J$2:$J$197,0))</f>
        <v>34.059521969999999</v>
      </c>
      <c r="AM158" s="267" t="str">
        <f>IF(ISNUMBER(SEARCH("C", 'Dry_Litterbag Placem_Collection'!S159)),"YES","NO")</f>
        <v>YES</v>
      </c>
      <c r="AN158" s="267" t="str">
        <f>IF(ISNUMBER(SEARCH("H", 'Dry_Litterbag Placem_Collection'!S159)),"YES","NO")</f>
        <v>YES</v>
      </c>
      <c r="AO158" s="267" t="str">
        <f>IF(ISNUMBER(SEARCH("R", 'Dry_Litterbag Placem_Collection'!S159)),"YES","NO")</f>
        <v>YES</v>
      </c>
    </row>
    <row r="159" spans="1:41" ht="15" customHeight="1">
      <c r="A159" s="259" t="s">
        <v>2643</v>
      </c>
      <c r="B159" s="260">
        <f>'Dry_Litterbag Placem_Collection'!A160</f>
        <v>158</v>
      </c>
      <c r="C159" s="260" t="str">
        <f>'Dry_Litterbag Placem_Collection'!B160</f>
        <v xml:space="preserve">Mwantimba
</v>
      </c>
      <c r="D159" s="260" t="s">
        <v>2454</v>
      </c>
      <c r="E159" s="260" t="s">
        <v>20</v>
      </c>
      <c r="F159" s="260">
        <v>4</v>
      </c>
      <c r="G159" s="260" t="s">
        <v>3824</v>
      </c>
      <c r="H159" s="261" t="str">
        <f>'Dry_Litterbag Placem_Collection'!C160</f>
        <v>Wet_P4_T6</v>
      </c>
      <c r="I159" s="262" t="s">
        <v>2525</v>
      </c>
      <c r="J159" s="263" t="s">
        <v>1147</v>
      </c>
      <c r="K159" s="260" t="str">
        <f>IF(ISBLANK('Dry_Litterbag Placem_Collection'!J160),"","G"&amp;""&amp;'Dry_Litterbag Placem_Collection'!J160)</f>
        <v>G21</v>
      </c>
      <c r="L159" s="264">
        <f>IFERROR(INDEX('Green_rooibos initial weight'!$C$5:$C$2000,MATCH(K159, 'Green_rooibos initial weight'!$A$5:$A$2000,0)),"")</f>
        <v>2.04</v>
      </c>
      <c r="M159" s="264">
        <f>IFERROR(L159-(TBIcalc!$Q$9+TBIcalc!$Q$10),"")</f>
        <v>1.7902</v>
      </c>
      <c r="N159" s="385">
        <f>AVERAGE(Ashed_controlls!$K$2:$K$11)</f>
        <v>5.5147656768714146</v>
      </c>
      <c r="O159" s="264">
        <f t="shared" si="11"/>
        <v>1.691474664852648</v>
      </c>
      <c r="P159" s="264">
        <f>IFERROR(INDEX('Both teabags AfterDry'!$D$2:$D$2000,MATCH(K159,'Both teabags AfterDry'!$A$2:$A$2000,0)),"")</f>
        <v>0</v>
      </c>
      <c r="Q159" s="264" t="str">
        <f>IFERROR(IF(P159&gt;0,P159-(TBIcalc!$Q$9),""),"")</f>
        <v/>
      </c>
      <c r="R159" s="275">
        <f>IFERROR(INDEX('Ashed teabags dry'!$K$2:$K$2000,MATCH(K159,'Ashed teabags dry'!$A$2:$A$2000,0)),"")</f>
        <v>0</v>
      </c>
      <c r="S159" s="275" t="str">
        <f t="shared" si="12"/>
        <v/>
      </c>
      <c r="T159" s="265">
        <f>IF('Dry_Litterbag Placem_Collection'!E160="","",'Dry_Litterbag Placem_Collection'!E160)</f>
        <v>42939</v>
      </c>
      <c r="U159" s="265">
        <f>IF('Dry_Litterbag Placem_Collection'!G160="","",'Dry_Litterbag Placem_Collection'!G160)</f>
        <v>43010</v>
      </c>
      <c r="V159" s="266">
        <f t="shared" si="10"/>
        <v>71</v>
      </c>
      <c r="W159" s="264" t="str">
        <f t="shared" si="13"/>
        <v/>
      </c>
      <c r="X159" s="264" t="str">
        <f t="shared" si="14"/>
        <v/>
      </c>
      <c r="Y159" s="268">
        <f>IFERROR(INDEX(Rainfall_Dry!$O$2:$O$217,MATCH(B159, Rainfall_Dry!$A$2:$A$217,0)),"")</f>
        <v>137.19979645800001</v>
      </c>
      <c r="Z159" s="257">
        <v>27.96</v>
      </c>
      <c r="AA159" s="257">
        <v>4.9200000000000017</v>
      </c>
      <c r="AB159" s="257">
        <v>67.12</v>
      </c>
      <c r="AC159" s="258" t="s">
        <v>2654</v>
      </c>
      <c r="AD159" s="257">
        <v>6.0437161163134503</v>
      </c>
      <c r="AE159">
        <f>IF('WetLitterbags placem_collection'!AB160="","",'WetLitterbags placem_collection'!AB160)</f>
        <v>1.9</v>
      </c>
      <c r="AF159">
        <f>IF('WetLitterbags placem_collection'!Z160="","",'WetLitterbags placem_collection'!Z160)</f>
        <v>4.3</v>
      </c>
      <c r="AG159" s="243" t="str">
        <f>IF('WetLitterbags placem_collection'!AA160="","",'WetLitterbags placem_collection'!AA160)</f>
        <v>O</v>
      </c>
      <c r="AH159">
        <f>IF('WetLitterbags placem_collection'!AC160="","",'WetLitterbags placem_collection'!AC160)</f>
        <v>0</v>
      </c>
      <c r="AI159">
        <f>IFERROR(AVERAGE('Dry_Litterbag Placem_Collection'!O160,'Dry_Litterbag Placem_Collection'!R160),"")</f>
        <v>5.95</v>
      </c>
      <c r="AJ159" s="268">
        <f>IFERROR(AVERAGE('Dry_Litterbag Placem_Collection'!N160,'Dry_Litterbag Placem_Collection'!Q160),"")</f>
        <v>31.8</v>
      </c>
      <c r="AK159" s="267">
        <f>INDEX(Coordinates!$B$2:$B$197,MATCH(H159,Coordinates!$J$2:$J$197,0))</f>
        <v>-2.3679270410000002</v>
      </c>
      <c r="AL159" s="267">
        <f>INDEX(Coordinates!$C$2:$C$197,MATCH(H159,Coordinates!$J$2:$J$197,0))</f>
        <v>34.059300020000002</v>
      </c>
      <c r="AM159" s="267" t="str">
        <f>IF(ISNUMBER(SEARCH("C", 'Dry_Litterbag Placem_Collection'!S160)),"YES","NO")</f>
        <v>YES</v>
      </c>
      <c r="AN159" s="267" t="str">
        <f>IF(ISNUMBER(SEARCH("H", 'Dry_Litterbag Placem_Collection'!S160)),"YES","NO")</f>
        <v>YES</v>
      </c>
      <c r="AO159" s="267" t="str">
        <f>IF(ISNUMBER(SEARCH("R", 'Dry_Litterbag Placem_Collection'!S160)),"YES","NO")</f>
        <v>NO</v>
      </c>
    </row>
    <row r="160" spans="1:41" ht="15" customHeight="1">
      <c r="A160" s="259" t="s">
        <v>2643</v>
      </c>
      <c r="B160" s="260">
        <f>'Dry_Litterbag Placem_Collection'!A161</f>
        <v>159</v>
      </c>
      <c r="C160" s="260" t="str">
        <f>'Dry_Litterbag Placem_Collection'!B161</f>
        <v xml:space="preserve">Mwantimba
</v>
      </c>
      <c r="D160" s="260" t="s">
        <v>2454</v>
      </c>
      <c r="E160" s="260" t="s">
        <v>20</v>
      </c>
      <c r="F160" s="260">
        <v>4</v>
      </c>
      <c r="G160" s="260" t="s">
        <v>3824</v>
      </c>
      <c r="H160" s="261" t="str">
        <f>'Dry_Litterbag Placem_Collection'!C161</f>
        <v>Wet_P4_T7</v>
      </c>
      <c r="I160" s="262" t="s">
        <v>2525</v>
      </c>
      <c r="J160" s="263" t="s">
        <v>1147</v>
      </c>
      <c r="K160" s="260" t="str">
        <f>IF(ISBLANK('Dry_Litterbag Placem_Collection'!J161),"","G"&amp;""&amp;'Dry_Litterbag Placem_Collection'!J161)</f>
        <v/>
      </c>
      <c r="L160" s="264" t="str">
        <f>IFERROR(INDEX('Green_rooibos initial weight'!$C$5:$C$2000,MATCH(K160, 'Green_rooibos initial weight'!$A$5:$A$2000,0)),"")</f>
        <v/>
      </c>
      <c r="M160" s="264" t="str">
        <f>IFERROR(L160-(TBIcalc!$Q$9+TBIcalc!$Q$10),"")</f>
        <v/>
      </c>
      <c r="N160" s="385">
        <f>AVERAGE(Ashed_controlls!$K$2:$K$11)</f>
        <v>5.5147656768714146</v>
      </c>
      <c r="O160" s="264" t="str">
        <f t="shared" si="11"/>
        <v/>
      </c>
      <c r="P160" s="264" t="str">
        <f>IFERROR(INDEX('Both teabags AfterDry'!$D$2:$D$2000,MATCH(K160,'Both teabags AfterDry'!$A$2:$A$2000,0)),"")</f>
        <v/>
      </c>
      <c r="Q160" s="264" t="str">
        <f>IFERROR(IF(P160&gt;0,P160-(TBIcalc!$Q$9),""),"")</f>
        <v/>
      </c>
      <c r="R160" s="275" t="str">
        <f>IFERROR(INDEX('Ashed teabags dry'!$K$2:$K$2000,MATCH(K160,'Ashed teabags dry'!$A$2:$A$2000,0)),"")</f>
        <v/>
      </c>
      <c r="S160" s="275" t="str">
        <f t="shared" si="12"/>
        <v/>
      </c>
      <c r="T160" s="265" t="str">
        <f>IF('Dry_Litterbag Placem_Collection'!E161="","",'Dry_Litterbag Placem_Collection'!E161)</f>
        <v/>
      </c>
      <c r="U160" s="265" t="str">
        <f>IF('Dry_Litterbag Placem_Collection'!G161="","",'Dry_Litterbag Placem_Collection'!G161)</f>
        <v/>
      </c>
      <c r="V160" s="266" t="str">
        <f t="shared" si="10"/>
        <v/>
      </c>
      <c r="W160" s="264" t="str">
        <f t="shared" si="13"/>
        <v/>
      </c>
      <c r="X160" s="264" t="str">
        <f t="shared" si="14"/>
        <v/>
      </c>
      <c r="Y160" s="268" t="str">
        <f>IFERROR(INDEX(Rainfall_Dry!$O$2:$O$217,MATCH(B160, Rainfall_Dry!$A$2:$A$217,0)),"")</f>
        <v/>
      </c>
      <c r="Z160" s="257">
        <v>27.96</v>
      </c>
      <c r="AA160" s="257">
        <v>4.9200000000000017</v>
      </c>
      <c r="AB160" s="257">
        <v>67.12</v>
      </c>
      <c r="AC160" s="258" t="s">
        <v>2654</v>
      </c>
      <c r="AD160" s="257">
        <v>7.0437161163134503</v>
      </c>
      <c r="AE160">
        <f>IF('WetLitterbags placem_collection'!AB161="","",'WetLitterbags placem_collection'!AB161)</f>
        <v>2.65</v>
      </c>
      <c r="AF160">
        <f>IF('WetLitterbags placem_collection'!Z161="","",'WetLitterbags placem_collection'!Z161)</f>
        <v>0</v>
      </c>
      <c r="AG160" s="243" t="str">
        <f>IF('WetLitterbags placem_collection'!AA161="","",'WetLitterbags placem_collection'!AA161)</f>
        <v>G</v>
      </c>
      <c r="AH160">
        <f>IF('WetLitterbags placem_collection'!AC161="","",'WetLitterbags placem_collection'!AC161)</f>
        <v>1</v>
      </c>
      <c r="AI160" t="str">
        <f>IFERROR(AVERAGE('Dry_Litterbag Placem_Collection'!O161,'Dry_Litterbag Placem_Collection'!R161),"")</f>
        <v/>
      </c>
      <c r="AJ160" s="268" t="str">
        <f>IFERROR(AVERAGE('Dry_Litterbag Placem_Collection'!N161,'Dry_Litterbag Placem_Collection'!Q161),"")</f>
        <v/>
      </c>
      <c r="AK160" s="267">
        <f>INDEX(Coordinates!$B$2:$B$197,MATCH(H160,Coordinates!$J$2:$J$197,0))</f>
        <v>-2.3676829599999998</v>
      </c>
      <c r="AL160" s="267">
        <f>INDEX(Coordinates!$C$2:$C$197,MATCH(H160,Coordinates!$J$2:$J$197,0))</f>
        <v>34.059236990000002</v>
      </c>
      <c r="AM160" s="267" t="str">
        <f>IF(ISNUMBER(SEARCH("C", 'Dry_Litterbag Placem_Collection'!S161)),"YES","NO")</f>
        <v>NO</v>
      </c>
      <c r="AN160" s="267" t="str">
        <f>IF(ISNUMBER(SEARCH("H", 'Dry_Litterbag Placem_Collection'!S161)),"YES","NO")</f>
        <v>NO</v>
      </c>
      <c r="AO160" s="267" t="str">
        <f>IF(ISNUMBER(SEARCH("R", 'Dry_Litterbag Placem_Collection'!S161)),"YES","NO")</f>
        <v>NO</v>
      </c>
    </row>
    <row r="161" spans="1:41" ht="15" customHeight="1">
      <c r="A161" s="259" t="s">
        <v>2643</v>
      </c>
      <c r="B161" s="260">
        <f>'Dry_Litterbag Placem_Collection'!A162</f>
        <v>160</v>
      </c>
      <c r="C161" s="260" t="str">
        <f>'Dry_Litterbag Placem_Collection'!B162</f>
        <v xml:space="preserve">Mwantimba
</v>
      </c>
      <c r="D161" s="260" t="s">
        <v>2454</v>
      </c>
      <c r="E161" s="260" t="s">
        <v>20</v>
      </c>
      <c r="F161" s="260">
        <v>4</v>
      </c>
      <c r="G161" s="260" t="s">
        <v>3824</v>
      </c>
      <c r="H161" s="261" t="str">
        <f>'Dry_Litterbag Placem_Collection'!C162</f>
        <v>Wet_P4_T8</v>
      </c>
      <c r="I161" s="262" t="s">
        <v>2525</v>
      </c>
      <c r="J161" s="263" t="s">
        <v>1147</v>
      </c>
      <c r="K161" s="260" t="str">
        <f>IF(ISBLANK('Dry_Litterbag Placem_Collection'!J162),"","G"&amp;""&amp;'Dry_Litterbag Placem_Collection'!J162)</f>
        <v>G482</v>
      </c>
      <c r="L161" s="264">
        <f>IFERROR(INDEX('Green_rooibos initial weight'!$C$5:$C$2000,MATCH(K161, 'Green_rooibos initial weight'!$A$5:$A$2000,0)),"")</f>
        <v>2.056</v>
      </c>
      <c r="M161" s="264">
        <f>IFERROR(L161-(TBIcalc!$Q$9+TBIcalc!$Q$10),"")</f>
        <v>1.8062</v>
      </c>
      <c r="N161" s="385">
        <f>AVERAGE(Ashed_controlls!$K$2:$K$11)</f>
        <v>5.5147656768714146</v>
      </c>
      <c r="O161" s="264">
        <f t="shared" si="11"/>
        <v>1.7065923023443486</v>
      </c>
      <c r="P161" s="264">
        <f>IFERROR(INDEX('Both teabags AfterDry'!$D$2:$D$2000,MATCH(K161,'Both teabags AfterDry'!$A$2:$A$2000,0)),"")</f>
        <v>1.4819</v>
      </c>
      <c r="Q161" s="264">
        <f>IFERROR(IF(P161&gt;0,P161-(TBIcalc!$Q$9),""),"")</f>
        <v>1.3312999999999999</v>
      </c>
      <c r="R161" s="275">
        <f>IFERROR(INDEX('Ashed teabags dry'!$K$2:$K$2000,MATCH(K161,'Ashed teabags dry'!$A$2:$A$2000,0)),"")</f>
        <v>15.061378659112389</v>
      </c>
      <c r="S161" s="275">
        <f t="shared" si="12"/>
        <v>1.1307878659112367</v>
      </c>
      <c r="T161" s="265">
        <f>IF('Dry_Litterbag Placem_Collection'!E162="","",'Dry_Litterbag Placem_Collection'!E162)</f>
        <v>42939</v>
      </c>
      <c r="U161" s="265">
        <f>IF('Dry_Litterbag Placem_Collection'!G162="","",'Dry_Litterbag Placem_Collection'!G162)</f>
        <v>43010</v>
      </c>
      <c r="V161" s="266">
        <f t="shared" si="10"/>
        <v>71</v>
      </c>
      <c r="W161" s="264">
        <f t="shared" si="13"/>
        <v>0.4749000000000001</v>
      </c>
      <c r="X161" s="264">
        <f t="shared" si="14"/>
        <v>0.57580443643311185</v>
      </c>
      <c r="Y161" s="268">
        <f>IFERROR(INDEX(Rainfall_Dry!$O$2:$O$217,MATCH(B161, Rainfall_Dry!$A$2:$A$217,0)),"")</f>
        <v>137.19979645800001</v>
      </c>
      <c r="Z161" s="257">
        <v>27.96</v>
      </c>
      <c r="AA161" s="257">
        <v>4.9200000000000017</v>
      </c>
      <c r="AB161" s="257">
        <v>67.12</v>
      </c>
      <c r="AC161" s="258" t="s">
        <v>2654</v>
      </c>
      <c r="AD161" s="257">
        <v>8.0437161163134494</v>
      </c>
      <c r="AE161">
        <f>IF('WetLitterbags placem_collection'!AB162="","",'WetLitterbags placem_collection'!AB162)</f>
        <v>0.8</v>
      </c>
      <c r="AF161">
        <f>IF('WetLitterbags placem_collection'!Z162="","",'WetLitterbags placem_collection'!Z162)</f>
        <v>10.8</v>
      </c>
      <c r="AG161" s="243" t="str">
        <f>IF('WetLitterbags placem_collection'!AA162="","",'WetLitterbags placem_collection'!AA162)</f>
        <v>O</v>
      </c>
      <c r="AH161">
        <f>IF('WetLitterbags placem_collection'!AC162="","",'WetLitterbags placem_collection'!AC162)</f>
        <v>0</v>
      </c>
      <c r="AI161">
        <f>IFERROR(AVERAGE('Dry_Litterbag Placem_Collection'!O162,'Dry_Litterbag Placem_Collection'!R162),"")</f>
        <v>6.25</v>
      </c>
      <c r="AJ161" s="268">
        <f>IFERROR(AVERAGE('Dry_Litterbag Placem_Collection'!N162,'Dry_Litterbag Placem_Collection'!Q162),"")</f>
        <v>29.200000000000003</v>
      </c>
      <c r="AK161" s="267">
        <f>INDEX(Coordinates!$B$2:$B$197,MATCH(H161,Coordinates!$J$2:$J$197,0))</f>
        <v>-2.367547005</v>
      </c>
      <c r="AL161" s="267">
        <f>INDEX(Coordinates!$C$2:$C$197,MATCH(H161,Coordinates!$J$2:$J$197,0))</f>
        <v>34.059494989999997</v>
      </c>
      <c r="AM161" s="267" t="str">
        <f>IF(ISNUMBER(SEARCH("C", 'Dry_Litterbag Placem_Collection'!S162)),"YES","NO")</f>
        <v>YES</v>
      </c>
      <c r="AN161" s="267" t="str">
        <f>IF(ISNUMBER(SEARCH("H", 'Dry_Litterbag Placem_Collection'!S162)),"YES","NO")</f>
        <v>YES</v>
      </c>
      <c r="AO161" s="267" t="str">
        <f>IF(ISNUMBER(SEARCH("R", 'Dry_Litterbag Placem_Collection'!S162)),"YES","NO")</f>
        <v>NO</v>
      </c>
    </row>
    <row r="162" spans="1:41" ht="15" customHeight="1">
      <c r="A162" s="259" t="s">
        <v>2643</v>
      </c>
      <c r="B162" s="260">
        <f>'Dry_Litterbag Placem_Collection'!A163</f>
        <v>161</v>
      </c>
      <c r="C162" s="260" t="str">
        <f>'Dry_Litterbag Placem_Collection'!B163</f>
        <v>Handajega</v>
      </c>
      <c r="D162" s="260" t="s">
        <v>2454</v>
      </c>
      <c r="E162" s="260" t="s">
        <v>2645</v>
      </c>
      <c r="F162" s="260">
        <v>1</v>
      </c>
      <c r="G162" s="260" t="s">
        <v>3825</v>
      </c>
      <c r="H162" s="261" t="str">
        <f>'Dry_Litterbag Placem_Collection'!C163</f>
        <v>Wet_W1_T1</v>
      </c>
      <c r="I162" s="262" t="s">
        <v>2525</v>
      </c>
      <c r="J162" s="263" t="s">
        <v>1147</v>
      </c>
      <c r="K162" s="260" t="str">
        <f>IF(ISBLANK('Dry_Litterbag Placem_Collection'!J163),"","G"&amp;""&amp;'Dry_Litterbag Placem_Collection'!J163)</f>
        <v>G51</v>
      </c>
      <c r="L162" s="264">
        <f>IFERROR(INDEX('Green_rooibos initial weight'!$C$5:$C$2000,MATCH(K162, 'Green_rooibos initial weight'!$A$5:$A$2000,0)),"")</f>
        <v>2.0259999999999998</v>
      </c>
      <c r="M162" s="264">
        <f>IFERROR(L162-(TBIcalc!$Q$9+TBIcalc!$Q$10),"")</f>
        <v>1.7761999999999998</v>
      </c>
      <c r="N162" s="385">
        <f>AVERAGE(Ashed_controlls!$K$2:$K$11)</f>
        <v>5.5147656768714146</v>
      </c>
      <c r="O162" s="264">
        <f t="shared" si="11"/>
        <v>1.6782467320474097</v>
      </c>
      <c r="P162" s="264">
        <f>IFERROR(INDEX('Both teabags AfterDry'!$D$2:$D$2000,MATCH(K162,'Both teabags AfterDry'!$A$2:$A$2000,0)),"")</f>
        <v>0.81589999999999996</v>
      </c>
      <c r="Q162" s="264">
        <f>IFERROR(IF(P162&gt;0,P162-(TBIcalc!$Q$9),""),"")</f>
        <v>0.6653</v>
      </c>
      <c r="R162" s="275">
        <f>IFERROR(INDEX('Ashed teabags dry'!$K$2:$K$2000,MATCH(K162,'Ashed teabags dry'!$A$2:$A$2000,0)),"")</f>
        <v>26.176336226588315</v>
      </c>
      <c r="S162" s="275">
        <f t="shared" si="12"/>
        <v>0.49114883508450791</v>
      </c>
      <c r="T162" s="265">
        <f>IF('Dry_Litterbag Placem_Collection'!E163="","",'Dry_Litterbag Placem_Collection'!E163)</f>
        <v>42940</v>
      </c>
      <c r="U162" s="265">
        <f>IF('Dry_Litterbag Placem_Collection'!G163="","",'Dry_Litterbag Placem_Collection'!G163)</f>
        <v>43009</v>
      </c>
      <c r="V162" s="266">
        <f t="shared" si="10"/>
        <v>69</v>
      </c>
      <c r="W162" s="264">
        <f t="shared" si="13"/>
        <v>1.1108999999999998</v>
      </c>
      <c r="X162" s="264">
        <f t="shared" si="14"/>
        <v>1.1870978969629018</v>
      </c>
      <c r="Y162" s="268">
        <f>IFERROR(INDEX(Rainfall_Dry!$O$2:$O$217,MATCH(B162, Rainfall_Dry!$A$2:$A$217,0)),"")</f>
        <v>162.634207253</v>
      </c>
      <c r="Z162" s="257">
        <v>21.96</v>
      </c>
      <c r="AA162" s="257">
        <v>4.9199999999999982</v>
      </c>
      <c r="AB162" s="257">
        <v>73.12</v>
      </c>
      <c r="AC162" s="258" t="s">
        <v>2654</v>
      </c>
      <c r="AD162" s="257">
        <v>1.2416954164613114</v>
      </c>
      <c r="AE162">
        <f>IF('WetLitterbags placem_collection'!AB163="","",'WetLitterbags placem_collection'!AB163)</f>
        <v>7.6</v>
      </c>
      <c r="AF162">
        <f>IF('WetLitterbags placem_collection'!Z163="","",'WetLitterbags placem_collection'!Z163)</f>
        <v>35.799999999999997</v>
      </c>
      <c r="AG162" s="243" t="str">
        <f>IF('WetLitterbags placem_collection'!AA163="","",'WetLitterbags placem_collection'!AA163)</f>
        <v>M</v>
      </c>
      <c r="AH162">
        <f>IF('WetLitterbags placem_collection'!AC163="","",'WetLitterbags placem_collection'!AC163)</f>
        <v>0</v>
      </c>
      <c r="AI162">
        <f>IFERROR(AVERAGE('Dry_Litterbag Placem_Collection'!O163,'Dry_Litterbag Placem_Collection'!R163),"")</f>
        <v>5.65</v>
      </c>
      <c r="AJ162" s="268">
        <f>IFERROR(AVERAGE('Dry_Litterbag Placem_Collection'!N163,'Dry_Litterbag Placem_Collection'!Q163),"")</f>
        <v>31.7</v>
      </c>
      <c r="AK162" s="267">
        <f>INDEX(Coordinates!$B$2:$B$197,MATCH(H162,Coordinates!$J$2:$J$197,0))</f>
        <v>-2.272751033</v>
      </c>
      <c r="AL162" s="267">
        <f>INDEX(Coordinates!$C$2:$C$197,MATCH(H162,Coordinates!$J$2:$J$197,0))</f>
        <v>34.023176030000002</v>
      </c>
      <c r="AM162" s="267" t="str">
        <f>IF(ISNUMBER(SEARCH("C", 'Dry_Litterbag Placem_Collection'!S163)),"YES","NO")</f>
        <v>NO</v>
      </c>
      <c r="AN162" s="267" t="str">
        <f>IF(ISNUMBER(SEARCH("H", 'Dry_Litterbag Placem_Collection'!S163)),"YES","NO")</f>
        <v>YES</v>
      </c>
      <c r="AO162" s="267" t="str">
        <f>IF(ISNUMBER(SEARCH("R", 'Dry_Litterbag Placem_Collection'!S163)),"YES","NO")</f>
        <v>YES</v>
      </c>
    </row>
    <row r="163" spans="1:41" ht="15" customHeight="1">
      <c r="A163" s="259" t="s">
        <v>2643</v>
      </c>
      <c r="B163" s="260">
        <f>'Dry_Litterbag Placem_Collection'!A164</f>
        <v>162</v>
      </c>
      <c r="C163" s="260" t="str">
        <f>'Dry_Litterbag Placem_Collection'!B164</f>
        <v>Handajega</v>
      </c>
      <c r="D163" s="260" t="s">
        <v>2454</v>
      </c>
      <c r="E163" s="260" t="s">
        <v>2645</v>
      </c>
      <c r="F163" s="260">
        <v>1</v>
      </c>
      <c r="G163" s="260" t="s">
        <v>3825</v>
      </c>
      <c r="H163" s="261" t="str">
        <f>'Dry_Litterbag Placem_Collection'!C164</f>
        <v>Wet_W1_T2</v>
      </c>
      <c r="I163" s="262" t="s">
        <v>2525</v>
      </c>
      <c r="J163" s="263" t="s">
        <v>1147</v>
      </c>
      <c r="K163" s="260" t="str">
        <f>IF(ISBLANK('Dry_Litterbag Placem_Collection'!J164),"","G"&amp;""&amp;'Dry_Litterbag Placem_Collection'!J164)</f>
        <v>G238</v>
      </c>
      <c r="L163" s="264">
        <f>IFERROR(INDEX('Green_rooibos initial weight'!$C$5:$C$2000,MATCH(K163, 'Green_rooibos initial weight'!$A$5:$A$2000,0)),"")</f>
        <v>2.1160000000000001</v>
      </c>
      <c r="M163" s="264">
        <f>IFERROR(L163-(TBIcalc!$Q$9+TBIcalc!$Q$10),"")</f>
        <v>1.8662000000000001</v>
      </c>
      <c r="N163" s="385">
        <f>AVERAGE(Ashed_controlls!$K$2:$K$11)</f>
        <v>5.5147656768714146</v>
      </c>
      <c r="O163" s="264">
        <f t="shared" si="11"/>
        <v>1.7632834429382258</v>
      </c>
      <c r="P163" s="264">
        <f>IFERROR(INDEX('Both teabags AfterDry'!$D$2:$D$2000,MATCH(K163,'Both teabags AfterDry'!$A$2:$A$2000,0)),"")</f>
        <v>0.81089999999999995</v>
      </c>
      <c r="Q163" s="264">
        <f>IFERROR(IF(P163&gt;0,P163-(TBIcalc!$Q$9),""),"")</f>
        <v>0.66029999999999989</v>
      </c>
      <c r="R163" s="275">
        <f>IFERROR(INDEX('Ashed teabags dry'!$K$2:$K$2000,MATCH(K163,'Ashed teabags dry'!$A$2:$A$2000,0)),"")</f>
        <v>25.849056603773789</v>
      </c>
      <c r="S163" s="275">
        <f t="shared" si="12"/>
        <v>0.48961867924528157</v>
      </c>
      <c r="T163" s="265">
        <f>IF('Dry_Litterbag Placem_Collection'!E164="","",'Dry_Litterbag Placem_Collection'!E164)</f>
        <v>42940</v>
      </c>
      <c r="U163" s="265">
        <f>IF('Dry_Litterbag Placem_Collection'!G164="","",'Dry_Litterbag Placem_Collection'!G164)</f>
        <v>43009</v>
      </c>
      <c r="V163" s="266">
        <f t="shared" si="10"/>
        <v>69</v>
      </c>
      <c r="W163" s="264">
        <f t="shared" si="13"/>
        <v>1.2059000000000002</v>
      </c>
      <c r="X163" s="264">
        <f t="shared" si="14"/>
        <v>1.2736647636929441</v>
      </c>
      <c r="Y163" s="268">
        <f>IFERROR(INDEX(Rainfall_Dry!$O$2:$O$217,MATCH(B163, Rainfall_Dry!$A$2:$A$217,0)),"")</f>
        <v>162.634207253</v>
      </c>
      <c r="Z163" s="257">
        <v>21.96</v>
      </c>
      <c r="AA163" s="257">
        <v>4.9199999999999982</v>
      </c>
      <c r="AB163" s="257">
        <v>73.12</v>
      </c>
      <c r="AC163" s="258" t="s">
        <v>2654</v>
      </c>
      <c r="AD163" s="257">
        <v>2.2416954164613099</v>
      </c>
      <c r="AE163">
        <f>IF('WetLitterbags placem_collection'!AB164="","",'WetLitterbags placem_collection'!AB164)</f>
        <v>4.0999999999999996</v>
      </c>
      <c r="AF163">
        <f>IF('WetLitterbags placem_collection'!Z164="","",'WetLitterbags placem_collection'!Z164)</f>
        <v>31.4</v>
      </c>
      <c r="AG163" s="243" t="str">
        <f>IF('WetLitterbags placem_collection'!AA164="","",'WetLitterbags placem_collection'!AA164)</f>
        <v>M</v>
      </c>
      <c r="AH163">
        <f>IF('WetLitterbags placem_collection'!AC164="","",'WetLitterbags placem_collection'!AC164)</f>
        <v>0</v>
      </c>
      <c r="AI163">
        <f>IFERROR(AVERAGE('Dry_Litterbag Placem_Collection'!O164,'Dry_Litterbag Placem_Collection'!R164),"")</f>
        <v>4.4499999999999993</v>
      </c>
      <c r="AJ163" s="268">
        <f>IFERROR(AVERAGE('Dry_Litterbag Placem_Collection'!N164,'Dry_Litterbag Placem_Collection'!Q164),"")</f>
        <v>31.650000000000002</v>
      </c>
      <c r="AK163" s="267">
        <f>INDEX(Coordinates!$B$2:$B$197,MATCH(H163,Coordinates!$J$2:$J$197,0))</f>
        <v>-2.2727060219999999</v>
      </c>
      <c r="AL163" s="267">
        <f>INDEX(Coordinates!$C$2:$C$197,MATCH(H163,Coordinates!$J$2:$J$197,0))</f>
        <v>34.023162030000002</v>
      </c>
      <c r="AM163" s="267" t="str">
        <f>IF(ISNUMBER(SEARCH("C", 'Dry_Litterbag Placem_Collection'!S164)),"YES","NO")</f>
        <v>NO</v>
      </c>
      <c r="AN163" s="267" t="str">
        <f>IF(ISNUMBER(SEARCH("H", 'Dry_Litterbag Placem_Collection'!S164)),"YES","NO")</f>
        <v>NO</v>
      </c>
      <c r="AO163" s="267" t="str">
        <f>IF(ISNUMBER(SEARCH("R", 'Dry_Litterbag Placem_Collection'!S164)),"YES","NO")</f>
        <v>YES</v>
      </c>
    </row>
    <row r="164" spans="1:41" ht="15" customHeight="1">
      <c r="A164" s="259" t="s">
        <v>2643</v>
      </c>
      <c r="B164" s="260">
        <f>'Dry_Litterbag Placem_Collection'!A165</f>
        <v>163</v>
      </c>
      <c r="C164" s="260" t="str">
        <f>'Dry_Litterbag Placem_Collection'!B165</f>
        <v>Handajega</v>
      </c>
      <c r="D164" s="260" t="s">
        <v>2454</v>
      </c>
      <c r="E164" s="260" t="s">
        <v>2645</v>
      </c>
      <c r="F164" s="260">
        <v>1</v>
      </c>
      <c r="G164" s="260" t="s">
        <v>3825</v>
      </c>
      <c r="H164" s="261" t="str">
        <f>'Dry_Litterbag Placem_Collection'!C165</f>
        <v>Wet_W1_T3</v>
      </c>
      <c r="I164" s="262" t="s">
        <v>2525</v>
      </c>
      <c r="J164" s="263" t="s">
        <v>1147</v>
      </c>
      <c r="K164" s="260" t="str">
        <f>IF(ISBLANK('Dry_Litterbag Placem_Collection'!J165),"","G"&amp;""&amp;'Dry_Litterbag Placem_Collection'!J165)</f>
        <v>G59</v>
      </c>
      <c r="L164" s="264">
        <f>IFERROR(INDEX('Green_rooibos initial weight'!$C$5:$C$2000,MATCH(K164, 'Green_rooibos initial weight'!$A$5:$A$2000,0)),"")</f>
        <v>1.929</v>
      </c>
      <c r="M164" s="264">
        <f>IFERROR(L164-(TBIcalc!$Q$9+TBIcalc!$Q$10),"")</f>
        <v>1.6792</v>
      </c>
      <c r="N164" s="385">
        <f>AVERAGE(Ashed_controlls!$K$2:$K$11)</f>
        <v>5.5147656768714146</v>
      </c>
      <c r="O164" s="264">
        <f t="shared" si="11"/>
        <v>1.5865960547539752</v>
      </c>
      <c r="P164" s="264">
        <f>IFERROR(INDEX('Both teabags AfterDry'!$D$2:$D$2000,MATCH(K164,'Both teabags AfterDry'!$A$2:$A$2000,0)),"")</f>
        <v>0.95679999999999998</v>
      </c>
      <c r="Q164" s="264">
        <f>IFERROR(IF(P164&gt;0,P164-(TBIcalc!$Q$9),""),"")</f>
        <v>0.80620000000000003</v>
      </c>
      <c r="R164" s="275">
        <f>IFERROR(INDEX('Ashed teabags dry'!$K$2:$K$2000,MATCH(K164,'Ashed teabags dry'!$A$2:$A$2000,0)),"")</f>
        <v>34.794396746499032</v>
      </c>
      <c r="S164" s="275">
        <f t="shared" si="12"/>
        <v>0.52568757342972483</v>
      </c>
      <c r="T164" s="265">
        <f>IF('Dry_Litterbag Placem_Collection'!E165="","",'Dry_Litterbag Placem_Collection'!E165)</f>
        <v>42940</v>
      </c>
      <c r="U164" s="265">
        <f>IF('Dry_Litterbag Placem_Collection'!G165="","",'Dry_Litterbag Placem_Collection'!G165)</f>
        <v>43009</v>
      </c>
      <c r="V164" s="266">
        <f t="shared" si="10"/>
        <v>69</v>
      </c>
      <c r="W164" s="264">
        <f t="shared" si="13"/>
        <v>0.873</v>
      </c>
      <c r="X164" s="264">
        <f t="shared" si="14"/>
        <v>1.0609084813242504</v>
      </c>
      <c r="Y164" s="268">
        <f>IFERROR(INDEX(Rainfall_Dry!$O$2:$O$217,MATCH(B164, Rainfall_Dry!$A$2:$A$217,0)),"")</f>
        <v>162.634207253</v>
      </c>
      <c r="Z164" s="257">
        <v>21.96</v>
      </c>
      <c r="AA164" s="257">
        <v>4.9199999999999982</v>
      </c>
      <c r="AB164" s="257">
        <v>73.12</v>
      </c>
      <c r="AC164" s="258" t="s">
        <v>2654</v>
      </c>
      <c r="AD164" s="257">
        <v>3.2416954164613099</v>
      </c>
      <c r="AE164">
        <f>IF('WetLitterbags placem_collection'!AB165="","",'WetLitterbags placem_collection'!AB165)</f>
        <v>7.8</v>
      </c>
      <c r="AF164">
        <f>IF('WetLitterbags placem_collection'!Z165="","",'WetLitterbags placem_collection'!Z165)</f>
        <v>28.8</v>
      </c>
      <c r="AG164" s="243" t="str">
        <f>IF('WetLitterbags placem_collection'!AA165="","",'WetLitterbags placem_collection'!AA165)</f>
        <v>M</v>
      </c>
      <c r="AH164">
        <f>IF('WetLitterbags placem_collection'!AC165="","",'WetLitterbags placem_collection'!AC165)</f>
        <v>0</v>
      </c>
      <c r="AI164">
        <f>IFERROR(AVERAGE('Dry_Litterbag Placem_Collection'!O165,'Dry_Litterbag Placem_Collection'!R165),"")</f>
        <v>4.45</v>
      </c>
      <c r="AJ164" s="268">
        <f>IFERROR(AVERAGE('Dry_Litterbag Placem_Collection'!N165,'Dry_Litterbag Placem_Collection'!Q165),"")</f>
        <v>32.75</v>
      </c>
      <c r="AK164" s="267">
        <f>INDEX(Coordinates!$B$2:$B$197,MATCH(H164,Coordinates!$J$2:$J$197,0))</f>
        <v>-2.2726719919999998</v>
      </c>
      <c r="AL164" s="267">
        <f>INDEX(Coordinates!$C$2:$C$197,MATCH(H164,Coordinates!$J$2:$J$197,0))</f>
        <v>34.023210980000002</v>
      </c>
      <c r="AM164" s="267" t="str">
        <f>IF(ISNUMBER(SEARCH("C", 'Dry_Litterbag Placem_Collection'!S165)),"YES","NO")</f>
        <v>NO</v>
      </c>
      <c r="AN164" s="267" t="str">
        <f>IF(ISNUMBER(SEARCH("H", 'Dry_Litterbag Placem_Collection'!S165)),"YES","NO")</f>
        <v>NO</v>
      </c>
      <c r="AO164" s="267" t="str">
        <f>IF(ISNUMBER(SEARCH("R", 'Dry_Litterbag Placem_Collection'!S165)),"YES","NO")</f>
        <v>YES</v>
      </c>
    </row>
    <row r="165" spans="1:41" ht="15" customHeight="1">
      <c r="A165" s="259" t="s">
        <v>2643</v>
      </c>
      <c r="B165" s="260">
        <f>'Dry_Litterbag Placem_Collection'!A166</f>
        <v>164</v>
      </c>
      <c r="C165" s="260" t="str">
        <f>'Dry_Litterbag Placem_Collection'!B166</f>
        <v>Handajega</v>
      </c>
      <c r="D165" s="260" t="s">
        <v>2454</v>
      </c>
      <c r="E165" s="260" t="s">
        <v>2645</v>
      </c>
      <c r="F165" s="260">
        <v>1</v>
      </c>
      <c r="G165" s="260" t="s">
        <v>3825</v>
      </c>
      <c r="H165" s="261" t="str">
        <f>'Dry_Litterbag Placem_Collection'!C166</f>
        <v>Wet_W1_T4</v>
      </c>
      <c r="I165" s="262" t="s">
        <v>2525</v>
      </c>
      <c r="J165" s="263" t="s">
        <v>1147</v>
      </c>
      <c r="K165" s="260" t="str">
        <f>IF(ISBLANK('Dry_Litterbag Placem_Collection'!J166),"","G"&amp;""&amp;'Dry_Litterbag Placem_Collection'!J166)</f>
        <v>G7</v>
      </c>
      <c r="L165" s="264">
        <f>IFERROR(INDEX('Green_rooibos initial weight'!$C$5:$C$2000,MATCH(K165, 'Green_rooibos initial weight'!$A$5:$A$2000,0)),"")</f>
        <v>1.974</v>
      </c>
      <c r="M165" s="264">
        <f>IFERROR(L165-(TBIcalc!$Q$9+TBIcalc!$Q$10),"")</f>
        <v>1.7242</v>
      </c>
      <c r="N165" s="385">
        <f>AVERAGE(Ashed_controlls!$K$2:$K$11)</f>
        <v>5.5147656768714146</v>
      </c>
      <c r="O165" s="264">
        <f t="shared" si="11"/>
        <v>1.6291144101993831</v>
      </c>
      <c r="P165" s="264">
        <f>IFERROR(INDEX('Both teabags AfterDry'!$D$2:$D$2000,MATCH(K165,'Both teabags AfterDry'!$A$2:$A$2000,0)),"")</f>
        <v>0.82040000000000002</v>
      </c>
      <c r="Q165" s="264">
        <f>IFERROR(IF(P165&gt;0,P165-(TBIcalc!$Q$9),""),"")</f>
        <v>0.66979999999999995</v>
      </c>
      <c r="R165" s="275">
        <f>IFERROR(INDEX('Ashed teabags dry'!$K$2:$K$2000,MATCH(K165,'Ashed teabags dry'!$A$2:$A$2000,0)),"")</f>
        <v>25.538020086083453</v>
      </c>
      <c r="S165" s="275">
        <f t="shared" si="12"/>
        <v>0.49874634146341301</v>
      </c>
      <c r="T165" s="265">
        <f>IF('Dry_Litterbag Placem_Collection'!E166="","",'Dry_Litterbag Placem_Collection'!E166)</f>
        <v>42940</v>
      </c>
      <c r="U165" s="265">
        <f>IF('Dry_Litterbag Placem_Collection'!G166="","",'Dry_Litterbag Placem_Collection'!G166)</f>
        <v>43009</v>
      </c>
      <c r="V165" s="266">
        <f t="shared" si="10"/>
        <v>69</v>
      </c>
      <c r="W165" s="264">
        <f t="shared" si="13"/>
        <v>1.0544</v>
      </c>
      <c r="X165" s="264">
        <f t="shared" si="14"/>
        <v>1.1303680687359701</v>
      </c>
      <c r="Y165" s="268">
        <f>IFERROR(INDEX(Rainfall_Dry!$O$2:$O$217,MATCH(B165, Rainfall_Dry!$A$2:$A$217,0)),"")</f>
        <v>162.634207253</v>
      </c>
      <c r="Z165" s="257">
        <v>21.96</v>
      </c>
      <c r="AA165" s="257">
        <v>4.9199999999999982</v>
      </c>
      <c r="AB165" s="257">
        <v>73.12</v>
      </c>
      <c r="AC165" s="258" t="s">
        <v>2654</v>
      </c>
      <c r="AD165" s="257">
        <v>4.2416954164613099</v>
      </c>
      <c r="AE165">
        <f>IF('WetLitterbags placem_collection'!AB166="","",'WetLitterbags placem_collection'!AB166)</f>
        <v>9.5</v>
      </c>
      <c r="AF165">
        <f>IF('WetLitterbags placem_collection'!Z166="","",'WetLitterbags placem_collection'!Z166)</f>
        <v>20.8</v>
      </c>
      <c r="AG165" s="243" t="str">
        <f>IF('WetLitterbags placem_collection'!AA166="","",'WetLitterbags placem_collection'!AA166)</f>
        <v>M</v>
      </c>
      <c r="AH165">
        <f>IF('WetLitterbags placem_collection'!AC166="","",'WetLitterbags placem_collection'!AC166)</f>
        <v>0</v>
      </c>
      <c r="AI165">
        <f>IFERROR(AVERAGE('Dry_Litterbag Placem_Collection'!O166,'Dry_Litterbag Placem_Collection'!R166),"")</f>
        <v>5.0500000000000007</v>
      </c>
      <c r="AJ165" s="268">
        <f>IFERROR(AVERAGE('Dry_Litterbag Placem_Collection'!N166,'Dry_Litterbag Placem_Collection'!Q166),"")</f>
        <v>31.3</v>
      </c>
      <c r="AK165" s="267">
        <f>INDEX(Coordinates!$B$2:$B$197,MATCH(H165,Coordinates!$J$2:$J$197,0))</f>
        <v>-2.2726180130000002</v>
      </c>
      <c r="AL165" s="267">
        <f>INDEX(Coordinates!$C$2:$C$197,MATCH(H165,Coordinates!$J$2:$J$197,0))</f>
        <v>34.023212999999998</v>
      </c>
      <c r="AM165" s="267" t="str">
        <f>IF(ISNUMBER(SEARCH("C", 'Dry_Litterbag Placem_Collection'!S166)),"YES","NO")</f>
        <v>NO</v>
      </c>
      <c r="AN165" s="267" t="str">
        <f>IF(ISNUMBER(SEARCH("H", 'Dry_Litterbag Placem_Collection'!S166)),"YES","NO")</f>
        <v>NO</v>
      </c>
      <c r="AO165" s="267" t="str">
        <f>IF(ISNUMBER(SEARCH("R", 'Dry_Litterbag Placem_Collection'!S166)),"YES","NO")</f>
        <v>YES</v>
      </c>
    </row>
    <row r="166" spans="1:41" ht="15" customHeight="1">
      <c r="A166" s="259" t="s">
        <v>2643</v>
      </c>
      <c r="B166" s="260">
        <f>'Dry_Litterbag Placem_Collection'!A167</f>
        <v>165</v>
      </c>
      <c r="C166" s="260" t="str">
        <f>'Dry_Litterbag Placem_Collection'!B167</f>
        <v>Handajega</v>
      </c>
      <c r="D166" s="260" t="s">
        <v>2454</v>
      </c>
      <c r="E166" s="260" t="s">
        <v>2645</v>
      </c>
      <c r="F166" s="260">
        <v>1</v>
      </c>
      <c r="G166" s="260" t="s">
        <v>3825</v>
      </c>
      <c r="H166" s="261" t="str">
        <f>'Dry_Litterbag Placem_Collection'!C167</f>
        <v>Wet_W1_T5</v>
      </c>
      <c r="I166" s="262" t="s">
        <v>2525</v>
      </c>
      <c r="J166" s="263" t="s">
        <v>1147</v>
      </c>
      <c r="K166" s="260" t="str">
        <f>IF(ISBLANK('Dry_Litterbag Placem_Collection'!J167),"","G"&amp;""&amp;'Dry_Litterbag Placem_Collection'!J167)</f>
        <v>G85</v>
      </c>
      <c r="L166" s="264">
        <f>IFERROR(INDEX('Green_rooibos initial weight'!$C$5:$C$2000,MATCH(K166, 'Green_rooibos initial weight'!$A$5:$A$2000,0)),"")</f>
        <v>2.1360000000000001</v>
      </c>
      <c r="M166" s="264">
        <f>IFERROR(L166-(TBIcalc!$Q$9+TBIcalc!$Q$10),"")</f>
        <v>1.8862000000000001</v>
      </c>
      <c r="N166" s="385">
        <f>AVERAGE(Ashed_controlls!$K$2:$K$11)</f>
        <v>5.5147656768714146</v>
      </c>
      <c r="O166" s="264">
        <f t="shared" si="11"/>
        <v>1.7821804898028515</v>
      </c>
      <c r="P166" s="264">
        <f>IFERROR(INDEX('Both teabags AfterDry'!$D$2:$D$2000,MATCH(K166,'Both teabags AfterDry'!$A$2:$A$2000,0)),"")</f>
        <v>0.84360000000000002</v>
      </c>
      <c r="Q166" s="264">
        <f>IFERROR(IF(P166&gt;0,P166-(TBIcalc!$Q$9),""),"")</f>
        <v>0.69300000000000006</v>
      </c>
      <c r="R166" s="275">
        <f>IFERROR(INDEX('Ashed teabags dry'!$K$2:$K$2000,MATCH(K166,'Ashed teabags dry'!$A$2:$A$2000,0)),"")</f>
        <v>25.443786982247975</v>
      </c>
      <c r="S166" s="275">
        <f t="shared" si="12"/>
        <v>0.51667455621302161</v>
      </c>
      <c r="T166" s="265">
        <f>IF('Dry_Litterbag Placem_Collection'!E167="","",'Dry_Litterbag Placem_Collection'!E167)</f>
        <v>42940</v>
      </c>
      <c r="U166" s="265">
        <f>IF('Dry_Litterbag Placem_Collection'!G167="","",'Dry_Litterbag Placem_Collection'!G167)</f>
        <v>43009</v>
      </c>
      <c r="V166" s="266">
        <f t="shared" si="10"/>
        <v>69</v>
      </c>
      <c r="W166" s="264">
        <f t="shared" si="13"/>
        <v>1.1932</v>
      </c>
      <c r="X166" s="264">
        <f t="shared" si="14"/>
        <v>1.26550593358983</v>
      </c>
      <c r="Y166" s="268">
        <f>IFERROR(INDEX(Rainfall_Dry!$O$2:$O$217,MATCH(B166, Rainfall_Dry!$A$2:$A$217,0)),"")</f>
        <v>162.634207253</v>
      </c>
      <c r="Z166" s="257">
        <v>21.96</v>
      </c>
      <c r="AA166" s="257">
        <v>4.9199999999999982</v>
      </c>
      <c r="AB166" s="257">
        <v>73.12</v>
      </c>
      <c r="AC166" s="258" t="s">
        <v>2654</v>
      </c>
      <c r="AD166" s="257">
        <v>5.2416954164613099</v>
      </c>
      <c r="AE166">
        <f>IF('WetLitterbags placem_collection'!AB167="","",'WetLitterbags placem_collection'!AB167)</f>
        <v>10.4</v>
      </c>
      <c r="AF166">
        <f>IF('WetLitterbags placem_collection'!Z167="","",'WetLitterbags placem_collection'!Z167)</f>
        <v>13.8</v>
      </c>
      <c r="AG166" s="243" t="str">
        <f>IF('WetLitterbags placem_collection'!AA167="","",'WetLitterbags placem_collection'!AA167)</f>
        <v>M</v>
      </c>
      <c r="AH166">
        <f>IF('WetLitterbags placem_collection'!AC167="","",'WetLitterbags placem_collection'!AC167)</f>
        <v>0</v>
      </c>
      <c r="AI166">
        <f>IFERROR(AVERAGE('Dry_Litterbag Placem_Collection'!O167,'Dry_Litterbag Placem_Collection'!R167),"")</f>
        <v>5.3000000000000007</v>
      </c>
      <c r="AJ166" s="268">
        <f>IFERROR(AVERAGE('Dry_Litterbag Placem_Collection'!N167,'Dry_Litterbag Placem_Collection'!Q167),"")</f>
        <v>32.049999999999997</v>
      </c>
      <c r="AK166" s="267">
        <f>INDEX(Coordinates!$B$2:$B$197,MATCH(H166,Coordinates!$J$2:$J$197,0))</f>
        <v>-2.2724750170000001</v>
      </c>
      <c r="AL166" s="267">
        <f>INDEX(Coordinates!$C$2:$C$197,MATCH(H166,Coordinates!$J$2:$J$197,0))</f>
        <v>34.02334501</v>
      </c>
      <c r="AM166" s="267" t="str">
        <f>IF(ISNUMBER(SEARCH("C", 'Dry_Litterbag Placem_Collection'!S167)),"YES","NO")</f>
        <v>NO</v>
      </c>
      <c r="AN166" s="267" t="str">
        <f>IF(ISNUMBER(SEARCH("H", 'Dry_Litterbag Placem_Collection'!S167)),"YES","NO")</f>
        <v>NO</v>
      </c>
      <c r="AO166" s="267" t="str">
        <f>IF(ISNUMBER(SEARCH("R", 'Dry_Litterbag Placem_Collection'!S167)),"YES","NO")</f>
        <v>NO</v>
      </c>
    </row>
    <row r="167" spans="1:41" ht="15" customHeight="1">
      <c r="A167" s="259" t="s">
        <v>2643</v>
      </c>
      <c r="B167" s="260">
        <f>'Dry_Litterbag Placem_Collection'!A168</f>
        <v>166</v>
      </c>
      <c r="C167" s="260" t="str">
        <f>'Dry_Litterbag Placem_Collection'!B168</f>
        <v>Handajega</v>
      </c>
      <c r="D167" s="260" t="s">
        <v>2454</v>
      </c>
      <c r="E167" s="260" t="s">
        <v>2645</v>
      </c>
      <c r="F167" s="260">
        <v>1</v>
      </c>
      <c r="G167" s="260" t="s">
        <v>3825</v>
      </c>
      <c r="H167" s="261" t="str">
        <f>'Dry_Litterbag Placem_Collection'!C168</f>
        <v>Wet_W1_T6</v>
      </c>
      <c r="I167" s="262" t="s">
        <v>2525</v>
      </c>
      <c r="J167" s="263" t="s">
        <v>1147</v>
      </c>
      <c r="K167" s="260" t="str">
        <f>IF(ISBLANK('Dry_Litterbag Placem_Collection'!J168),"","G"&amp;""&amp;'Dry_Litterbag Placem_Collection'!J168)</f>
        <v>G1</v>
      </c>
      <c r="L167" s="264">
        <f>IFERROR(INDEX('Green_rooibos initial weight'!$C$5:$C$2000,MATCH(K167, 'Green_rooibos initial weight'!$A$5:$A$2000,0)),"")</f>
        <v>1.9870000000000001</v>
      </c>
      <c r="M167" s="264">
        <f>IFERROR(L167-(TBIcalc!$Q$9+TBIcalc!$Q$10),"")</f>
        <v>1.7372000000000001</v>
      </c>
      <c r="N167" s="385">
        <f>AVERAGE(Ashed_controlls!$K$2:$K$11)</f>
        <v>5.5147656768714146</v>
      </c>
      <c r="O167" s="264">
        <f t="shared" si="11"/>
        <v>1.64139749066139</v>
      </c>
      <c r="P167" s="264">
        <f>IFERROR(INDEX('Both teabags AfterDry'!$D$2:$D$2000,MATCH(K167,'Both teabags AfterDry'!$A$2:$A$2000,0)),"")</f>
        <v>0.85040000000000004</v>
      </c>
      <c r="Q167" s="264">
        <f>IFERROR(IF(P167&gt;0,P167-(TBIcalc!$Q$9),""),"")</f>
        <v>0.69979999999999998</v>
      </c>
      <c r="R167" s="275">
        <f>IFERROR(INDEX('Ashed teabags dry'!$K$2:$K$2000,MATCH(K167,'Ashed teabags dry'!$A$2:$A$2000,0)),"")</f>
        <v>26.737451737451874</v>
      </c>
      <c r="S167" s="275">
        <f t="shared" si="12"/>
        <v>0.51269131274131174</v>
      </c>
      <c r="T167" s="265">
        <f>IF('Dry_Litterbag Placem_Collection'!E168="","",'Dry_Litterbag Placem_Collection'!E168)</f>
        <v>42940</v>
      </c>
      <c r="U167" s="265">
        <f>IF('Dry_Litterbag Placem_Collection'!G168="","",'Dry_Litterbag Placem_Collection'!G168)</f>
        <v>43009</v>
      </c>
      <c r="V167" s="266">
        <f t="shared" si="10"/>
        <v>69</v>
      </c>
      <c r="W167" s="264">
        <f t="shared" si="13"/>
        <v>1.0374000000000001</v>
      </c>
      <c r="X167" s="264">
        <f t="shared" si="14"/>
        <v>1.1287061779200782</v>
      </c>
      <c r="Y167" s="268">
        <f>IFERROR(INDEX(Rainfall_Dry!$O$2:$O$217,MATCH(B167, Rainfall_Dry!$A$2:$A$217,0)),"")</f>
        <v>162.634207253</v>
      </c>
      <c r="Z167" s="257">
        <v>21.96</v>
      </c>
      <c r="AA167" s="257">
        <v>4.9199999999999982</v>
      </c>
      <c r="AB167" s="257">
        <v>73.12</v>
      </c>
      <c r="AC167" s="258" t="s">
        <v>2654</v>
      </c>
      <c r="AD167" s="257">
        <v>6.2416954164613099</v>
      </c>
      <c r="AE167">
        <f>IF('WetLitterbags placem_collection'!AB168="","",'WetLitterbags placem_collection'!AB168)</f>
        <v>2.1</v>
      </c>
      <c r="AF167">
        <f>IF('WetLitterbags placem_collection'!Z168="","",'WetLitterbags placem_collection'!Z168)</f>
        <v>4.7</v>
      </c>
      <c r="AG167" s="243" t="str">
        <f>IF('WetLitterbags placem_collection'!AA168="","",'WetLitterbags placem_collection'!AA168)</f>
        <v>M</v>
      </c>
      <c r="AH167">
        <f>IF('WetLitterbags placem_collection'!AC168="","",'WetLitterbags placem_collection'!AC168)</f>
        <v>0</v>
      </c>
      <c r="AI167">
        <f>IFERROR(AVERAGE('Dry_Litterbag Placem_Collection'!O168,'Dry_Litterbag Placem_Collection'!R168),"")</f>
        <v>5.15</v>
      </c>
      <c r="AJ167" s="268">
        <f>IFERROR(AVERAGE('Dry_Litterbag Placem_Collection'!N168,'Dry_Litterbag Placem_Collection'!Q168),"")</f>
        <v>33.25</v>
      </c>
      <c r="AK167" s="267">
        <f>INDEX(Coordinates!$B$2:$B$197,MATCH(H167,Coordinates!$J$2:$J$197,0))</f>
        <v>-2.2725490289999999</v>
      </c>
      <c r="AL167" s="267">
        <f>INDEX(Coordinates!$C$2:$C$197,MATCH(H167,Coordinates!$J$2:$J$197,0))</f>
        <v>34.022886020000001</v>
      </c>
      <c r="AM167" s="267" t="str">
        <f>IF(ISNUMBER(SEARCH("C", 'Dry_Litterbag Placem_Collection'!S168)),"YES","NO")</f>
        <v>NO</v>
      </c>
      <c r="AN167" s="267" t="str">
        <f>IF(ISNUMBER(SEARCH("H", 'Dry_Litterbag Placem_Collection'!S168)),"YES","NO")</f>
        <v>NO</v>
      </c>
      <c r="AO167" s="267" t="str">
        <f>IF(ISNUMBER(SEARCH("R", 'Dry_Litterbag Placem_Collection'!S168)),"YES","NO")</f>
        <v>YES</v>
      </c>
    </row>
    <row r="168" spans="1:41" ht="15" customHeight="1">
      <c r="A168" s="259" t="s">
        <v>2643</v>
      </c>
      <c r="B168" s="260">
        <f>'Dry_Litterbag Placem_Collection'!A169</f>
        <v>167</v>
      </c>
      <c r="C168" s="260" t="str">
        <f>'Dry_Litterbag Placem_Collection'!B169</f>
        <v>Handajega</v>
      </c>
      <c r="D168" s="260" t="s">
        <v>2454</v>
      </c>
      <c r="E168" s="260" t="s">
        <v>2645</v>
      </c>
      <c r="F168" s="260">
        <v>1</v>
      </c>
      <c r="G168" s="260" t="s">
        <v>3825</v>
      </c>
      <c r="H168" s="261" t="str">
        <f>'Dry_Litterbag Placem_Collection'!C169</f>
        <v>Wet_W1_T7</v>
      </c>
      <c r="I168" s="262" t="s">
        <v>2525</v>
      </c>
      <c r="J168" s="263" t="s">
        <v>1147</v>
      </c>
      <c r="K168" s="260" t="str">
        <f>IF(ISBLANK('Dry_Litterbag Placem_Collection'!J169),"","G"&amp;""&amp;'Dry_Litterbag Placem_Collection'!J169)</f>
        <v/>
      </c>
      <c r="L168" s="264" t="str">
        <f>IFERROR(INDEX('Green_rooibos initial weight'!$C$5:$C$2000,MATCH(K168, 'Green_rooibos initial weight'!$A$5:$A$2000,0)),"")</f>
        <v/>
      </c>
      <c r="M168" s="264" t="str">
        <f>IFERROR(L168-(TBIcalc!$Q$9+TBIcalc!$Q$10),"")</f>
        <v/>
      </c>
      <c r="N168" s="385">
        <f>AVERAGE(Ashed_controlls!$K$2:$K$11)</f>
        <v>5.5147656768714146</v>
      </c>
      <c r="O168" s="264" t="str">
        <f t="shared" si="11"/>
        <v/>
      </c>
      <c r="P168" s="264" t="str">
        <f>IFERROR(INDEX('Both teabags AfterDry'!$D$2:$D$2000,MATCH(K168,'Both teabags AfterDry'!$A$2:$A$2000,0)),"")</f>
        <v/>
      </c>
      <c r="Q168" s="264" t="str">
        <f>IFERROR(IF(P168&gt;0,P168-(TBIcalc!$Q$9),""),"")</f>
        <v/>
      </c>
      <c r="R168" s="275" t="str">
        <f>IFERROR(INDEX('Ashed teabags dry'!$K$2:$K$2000,MATCH(K168,'Ashed teabags dry'!$A$2:$A$2000,0)),"")</f>
        <v/>
      </c>
      <c r="S168" s="275" t="str">
        <f t="shared" si="12"/>
        <v/>
      </c>
      <c r="T168" s="265" t="str">
        <f>IF('Dry_Litterbag Placem_Collection'!E169="","",'Dry_Litterbag Placem_Collection'!E169)</f>
        <v/>
      </c>
      <c r="U168" s="265" t="str">
        <f>IF('Dry_Litterbag Placem_Collection'!G169="","",'Dry_Litterbag Placem_Collection'!G169)</f>
        <v/>
      </c>
      <c r="V168" s="266" t="str">
        <f t="shared" si="10"/>
        <v/>
      </c>
      <c r="W168" s="264" t="str">
        <f t="shared" si="13"/>
        <v/>
      </c>
      <c r="X168" s="264" t="str">
        <f t="shared" si="14"/>
        <v/>
      </c>
      <c r="Y168" s="268" t="str">
        <f>IFERROR(INDEX(Rainfall_Dry!$O$2:$O$217,MATCH(B168, Rainfall_Dry!$A$2:$A$217,0)),"")</f>
        <v/>
      </c>
      <c r="Z168" s="257">
        <v>21.96</v>
      </c>
      <c r="AA168" s="257">
        <v>4.9199999999999982</v>
      </c>
      <c r="AB168" s="257">
        <v>73.12</v>
      </c>
      <c r="AC168" s="258" t="s">
        <v>2654</v>
      </c>
      <c r="AD168" s="257">
        <v>7.2416954164613099</v>
      </c>
      <c r="AE168">
        <f>IF('WetLitterbags placem_collection'!AB169="","",'WetLitterbags placem_collection'!AB169)</f>
        <v>5.6</v>
      </c>
      <c r="AF168">
        <f>IF('WetLitterbags placem_collection'!Z169="","",'WetLitterbags placem_collection'!Z169)</f>
        <v>4.2</v>
      </c>
      <c r="AG168" s="243" t="str">
        <f>IF('WetLitterbags placem_collection'!AA169="","",'WetLitterbags placem_collection'!AA169)</f>
        <v>M</v>
      </c>
      <c r="AH168">
        <f>IF('WetLitterbags placem_collection'!AC169="","",'WetLitterbags placem_collection'!AC169)</f>
        <v>1</v>
      </c>
      <c r="AI168" t="str">
        <f>IFERROR(AVERAGE('Dry_Litterbag Placem_Collection'!O169,'Dry_Litterbag Placem_Collection'!R169),"")</f>
        <v/>
      </c>
      <c r="AJ168" s="268" t="str">
        <f>IFERROR(AVERAGE('Dry_Litterbag Placem_Collection'!N169,'Dry_Litterbag Placem_Collection'!Q169),"")</f>
        <v/>
      </c>
      <c r="AK168" s="267">
        <f>INDEX(Coordinates!$B$2:$B$197,MATCH(H168,Coordinates!$J$2:$J$197,0))</f>
        <v>-2.2729950310000002</v>
      </c>
      <c r="AL168" s="267">
        <f>INDEX(Coordinates!$C$2:$C$197,MATCH(H168,Coordinates!$J$2:$J$197,0))</f>
        <v>34.022923990000002</v>
      </c>
      <c r="AM168" s="267" t="str">
        <f>IF(ISNUMBER(SEARCH("C", 'Dry_Litterbag Placem_Collection'!S169)),"YES","NO")</f>
        <v>NO</v>
      </c>
      <c r="AN168" s="267" t="str">
        <f>IF(ISNUMBER(SEARCH("H", 'Dry_Litterbag Placem_Collection'!S169)),"YES","NO")</f>
        <v>NO</v>
      </c>
      <c r="AO168" s="267" t="str">
        <f>IF(ISNUMBER(SEARCH("R", 'Dry_Litterbag Placem_Collection'!S169)),"YES","NO")</f>
        <v>NO</v>
      </c>
    </row>
    <row r="169" spans="1:41" ht="15" customHeight="1">
      <c r="A169" s="259" t="s">
        <v>2643</v>
      </c>
      <c r="B169" s="260">
        <f>'Dry_Litterbag Placem_Collection'!A170</f>
        <v>168</v>
      </c>
      <c r="C169" s="260" t="str">
        <f>'Dry_Litterbag Placem_Collection'!B170</f>
        <v>Handajega</v>
      </c>
      <c r="D169" s="260" t="s">
        <v>2454</v>
      </c>
      <c r="E169" s="260" t="s">
        <v>2645</v>
      </c>
      <c r="F169" s="260">
        <v>1</v>
      </c>
      <c r="G169" s="260" t="s">
        <v>3825</v>
      </c>
      <c r="H169" s="261" t="str">
        <f>'Dry_Litterbag Placem_Collection'!C170</f>
        <v>Wet_W1_T8</v>
      </c>
      <c r="I169" s="262" t="s">
        <v>2525</v>
      </c>
      <c r="J169" s="263" t="s">
        <v>1147</v>
      </c>
      <c r="K169" s="260" t="str">
        <f>IF(ISBLANK('Dry_Litterbag Placem_Collection'!J170),"","G"&amp;""&amp;'Dry_Litterbag Placem_Collection'!J170)</f>
        <v>G70</v>
      </c>
      <c r="L169" s="264">
        <f>IFERROR(INDEX('Green_rooibos initial weight'!$C$5:$C$2000,MATCH(K169, 'Green_rooibos initial weight'!$A$5:$A$2000,0)),"")</f>
        <v>2.0939999999999999</v>
      </c>
      <c r="M169" s="264">
        <f>IFERROR(L169-(TBIcalc!$Q$9+TBIcalc!$Q$10),"")</f>
        <v>1.8441999999999998</v>
      </c>
      <c r="N169" s="385">
        <f>AVERAGE(Ashed_controlls!$K$2:$K$11)</f>
        <v>5.5147656768714146</v>
      </c>
      <c r="O169" s="264">
        <f t="shared" si="11"/>
        <v>1.7424966913871371</v>
      </c>
      <c r="P169" s="264" t="str">
        <f>IFERROR(INDEX('Both teabags AfterDry'!$D$2:$D$2000,MATCH(K169,'Both teabags AfterDry'!$A$2:$A$2000,0)),"")</f>
        <v/>
      </c>
      <c r="Q169" s="264" t="str">
        <f>IFERROR(IF(P169&gt;0,P169-(TBIcalc!$Q$9),""),"")</f>
        <v/>
      </c>
      <c r="R169" s="275" t="str">
        <f>IFERROR(INDEX('Ashed teabags dry'!$K$2:$K$2000,MATCH(K169,'Ashed teabags dry'!$A$2:$A$2000,0)),"")</f>
        <v/>
      </c>
      <c r="S169" s="275" t="str">
        <f t="shared" si="12"/>
        <v/>
      </c>
      <c r="T169" s="265">
        <f>IF('Dry_Litterbag Placem_Collection'!E170="","",'Dry_Litterbag Placem_Collection'!E170)</f>
        <v>42940</v>
      </c>
      <c r="U169" s="265">
        <f>IF('Dry_Litterbag Placem_Collection'!G170="","",'Dry_Litterbag Placem_Collection'!G170)</f>
        <v>43009</v>
      </c>
      <c r="V169" s="266">
        <f t="shared" si="10"/>
        <v>69</v>
      </c>
      <c r="W169" s="264" t="str">
        <f t="shared" si="13"/>
        <v/>
      </c>
      <c r="X169" s="264" t="str">
        <f t="shared" si="14"/>
        <v/>
      </c>
      <c r="Y169" s="268">
        <f>IFERROR(INDEX(Rainfall_Dry!$O$2:$O$217,MATCH(B169, Rainfall_Dry!$A$2:$A$217,0)),"")</f>
        <v>162.634207253</v>
      </c>
      <c r="Z169" s="257">
        <v>21.96</v>
      </c>
      <c r="AA169" s="257">
        <v>4.9199999999999982</v>
      </c>
      <c r="AB169" s="257">
        <v>73.12</v>
      </c>
      <c r="AC169" s="258" t="s">
        <v>2654</v>
      </c>
      <c r="AD169" s="257">
        <v>8.2416954164613099</v>
      </c>
      <c r="AE169">
        <f>IF('WetLitterbags placem_collection'!AB170="","",'WetLitterbags placem_collection'!AB170)</f>
        <v>2.4</v>
      </c>
      <c r="AF169">
        <f>IF('WetLitterbags placem_collection'!Z170="","",'WetLitterbags placem_collection'!Z170)</f>
        <v>46</v>
      </c>
      <c r="AG169" s="243" t="str">
        <f>IF('WetLitterbags placem_collection'!AA170="","",'WetLitterbags placem_collection'!AA170)</f>
        <v>M</v>
      </c>
      <c r="AH169">
        <f>IF('WetLitterbags placem_collection'!AC170="","",'WetLitterbags placem_collection'!AC170)</f>
        <v>0</v>
      </c>
      <c r="AI169">
        <f>IFERROR(AVERAGE('Dry_Litterbag Placem_Collection'!O170,'Dry_Litterbag Placem_Collection'!R170),"")</f>
        <v>4.0999999999999996</v>
      </c>
      <c r="AJ169" s="268">
        <f>IFERROR(AVERAGE('Dry_Litterbag Placem_Collection'!N170,'Dry_Litterbag Placem_Collection'!Q170),"")</f>
        <v>30.15</v>
      </c>
      <c r="AK169" s="267">
        <f>INDEX(Coordinates!$B$2:$B$197,MATCH(H169,Coordinates!$J$2:$J$197,0))</f>
        <v>-2.2729129719999999</v>
      </c>
      <c r="AL169" s="267">
        <f>INDEX(Coordinates!$C$2:$C$197,MATCH(H169,Coordinates!$J$2:$J$197,0))</f>
        <v>34.023350039999997</v>
      </c>
      <c r="AM169" s="267" t="str">
        <f>IF(ISNUMBER(SEARCH("C", 'Dry_Litterbag Placem_Collection'!S170)),"YES","NO")</f>
        <v>NO</v>
      </c>
      <c r="AN169" s="267" t="str">
        <f>IF(ISNUMBER(SEARCH("H", 'Dry_Litterbag Placem_Collection'!S170)),"YES","NO")</f>
        <v>NO</v>
      </c>
      <c r="AO169" s="267" t="str">
        <f>IF(ISNUMBER(SEARCH("R", 'Dry_Litterbag Placem_Collection'!S170)),"YES","NO")</f>
        <v>YES</v>
      </c>
    </row>
    <row r="170" spans="1:41" ht="15" customHeight="1">
      <c r="A170" s="259" t="s">
        <v>2643</v>
      </c>
      <c r="B170" s="260">
        <f>'Dry_Litterbag Placem_Collection'!A171</f>
        <v>169</v>
      </c>
      <c r="C170" s="260" t="str">
        <f>'Dry_Litterbag Placem_Collection'!B171</f>
        <v>Handajega</v>
      </c>
      <c r="D170" s="260" t="s">
        <v>2454</v>
      </c>
      <c r="E170" s="260" t="s">
        <v>2645</v>
      </c>
      <c r="F170" s="260">
        <v>2</v>
      </c>
      <c r="G170" s="260" t="s">
        <v>3827</v>
      </c>
      <c r="H170" s="261" t="str">
        <f>'Dry_Litterbag Placem_Collection'!C171</f>
        <v>Wet_W2_T1</v>
      </c>
      <c r="I170" s="262" t="s">
        <v>2525</v>
      </c>
      <c r="J170" s="263" t="s">
        <v>1147</v>
      </c>
      <c r="K170" s="260" t="str">
        <f>IF(ISBLANK('Dry_Litterbag Placem_Collection'!J171),"","G"&amp;""&amp;'Dry_Litterbag Placem_Collection'!J171)</f>
        <v>G250</v>
      </c>
      <c r="L170" s="264">
        <f>IFERROR(INDEX('Green_rooibos initial weight'!$C$5:$C$2000,MATCH(K170, 'Green_rooibos initial weight'!$A$5:$A$2000,0)),"")</f>
        <v>2.0139999999999998</v>
      </c>
      <c r="M170" s="264">
        <f>IFERROR(L170-(TBIcalc!$Q$9+TBIcalc!$Q$10),"")</f>
        <v>1.7641999999999998</v>
      </c>
      <c r="N170" s="385">
        <f>AVERAGE(Ashed_controlls!$K$2:$K$11)</f>
        <v>5.5147656768714146</v>
      </c>
      <c r="O170" s="264">
        <f t="shared" si="11"/>
        <v>1.6669085039286342</v>
      </c>
      <c r="P170" s="264">
        <f>IFERROR(INDEX('Both teabags AfterDry'!$D$2:$D$2000,MATCH(K170,'Both teabags AfterDry'!$A$2:$A$2000,0)),"")</f>
        <v>0.80610000000000004</v>
      </c>
      <c r="Q170" s="264">
        <f>IFERROR(IF(P170&gt;0,P170-(TBIcalc!$Q$9),""),"")</f>
        <v>0.65549999999999997</v>
      </c>
      <c r="R170" s="275">
        <f>IFERROR(INDEX('Ashed teabags dry'!$K$2:$K$2000,MATCH(K170,'Ashed teabags dry'!$A$2:$A$2000,0)),"")</f>
        <v>17.823265102348216</v>
      </c>
      <c r="S170" s="275">
        <f t="shared" si="12"/>
        <v>0.53866849725410737</v>
      </c>
      <c r="T170" s="265">
        <f>IF('Dry_Litterbag Placem_Collection'!E171="","",'Dry_Litterbag Placem_Collection'!E171)</f>
        <v>42940</v>
      </c>
      <c r="U170" s="265">
        <f>IF('Dry_Litterbag Placem_Collection'!G171="","",'Dry_Litterbag Placem_Collection'!G171)</f>
        <v>43009</v>
      </c>
      <c r="V170" s="266">
        <f t="shared" si="10"/>
        <v>69</v>
      </c>
      <c r="W170" s="264">
        <f t="shared" si="13"/>
        <v>1.1086999999999998</v>
      </c>
      <c r="X170" s="264">
        <f t="shared" si="14"/>
        <v>1.1282400066745268</v>
      </c>
      <c r="Y170" s="268">
        <f>IFERROR(INDEX(Rainfall_Dry!$O$2:$O$217,MATCH(B170, Rainfall_Dry!$A$2:$A$217,0)),"")</f>
        <v>162.634207253</v>
      </c>
      <c r="Z170" s="257">
        <v>23.96</v>
      </c>
      <c r="AA170" s="257">
        <v>4.9199999999999982</v>
      </c>
      <c r="AB170" s="257">
        <v>71.12</v>
      </c>
      <c r="AC170" s="258" t="s">
        <v>2654</v>
      </c>
      <c r="AD170" s="257">
        <v>3.30913750616067</v>
      </c>
      <c r="AE170">
        <f>IF('WetLitterbags placem_collection'!AB171="","",'WetLitterbags placem_collection'!AB171)</f>
        <v>8.1999999999999993</v>
      </c>
      <c r="AF170">
        <f>IF('WetLitterbags placem_collection'!Z171="","",'WetLitterbags placem_collection'!Z171)</f>
        <v>11.4</v>
      </c>
      <c r="AG170" s="243" t="str">
        <f>IF('WetLitterbags placem_collection'!AA171="","",'WetLitterbags placem_collection'!AA171)</f>
        <v>O</v>
      </c>
      <c r="AH170">
        <f>IF('WetLitterbags placem_collection'!AC171="","",'WetLitterbags placem_collection'!AC171)</f>
        <v>1</v>
      </c>
      <c r="AI170">
        <f>IFERROR(AVERAGE('Dry_Litterbag Placem_Collection'!O171,'Dry_Litterbag Placem_Collection'!R171),"")</f>
        <v>6.65</v>
      </c>
      <c r="AJ170" s="268">
        <f>IFERROR(AVERAGE('Dry_Litterbag Placem_Collection'!N171,'Dry_Litterbag Placem_Collection'!Q171),"")</f>
        <v>35.049999999999997</v>
      </c>
      <c r="AK170" s="267">
        <f>INDEX(Coordinates!$B$2:$B$197,MATCH(H170,Coordinates!$J$2:$J$197,0))</f>
        <v>-2.2784290180000002</v>
      </c>
      <c r="AL170" s="267">
        <f>INDEX(Coordinates!$C$2:$C$197,MATCH(H170,Coordinates!$J$2:$J$197,0))</f>
        <v>34.024240030000001</v>
      </c>
      <c r="AM170" s="267" t="str">
        <f>IF(ISNUMBER(SEARCH("C", 'Dry_Litterbag Placem_Collection'!S171)),"YES","NO")</f>
        <v>NO</v>
      </c>
      <c r="AN170" s="267" t="str">
        <f>IF(ISNUMBER(SEARCH("H", 'Dry_Litterbag Placem_Collection'!S171)),"YES","NO")</f>
        <v>NO</v>
      </c>
      <c r="AO170" s="267" t="str">
        <f>IF(ISNUMBER(SEARCH("R", 'Dry_Litterbag Placem_Collection'!S171)),"YES","NO")</f>
        <v>YES</v>
      </c>
    </row>
    <row r="171" spans="1:41" ht="15" customHeight="1">
      <c r="A171" s="259" t="s">
        <v>2643</v>
      </c>
      <c r="B171" s="260">
        <f>'Dry_Litterbag Placem_Collection'!A172</f>
        <v>170</v>
      </c>
      <c r="C171" s="260" t="str">
        <f>'Dry_Litterbag Placem_Collection'!B172</f>
        <v>Handajega</v>
      </c>
      <c r="D171" s="260" t="s">
        <v>2454</v>
      </c>
      <c r="E171" s="260" t="s">
        <v>2645</v>
      </c>
      <c r="F171" s="260">
        <v>2</v>
      </c>
      <c r="G171" s="260" t="s">
        <v>3827</v>
      </c>
      <c r="H171" s="261" t="str">
        <f>'Dry_Litterbag Placem_Collection'!C172</f>
        <v>Wet_W2_T2</v>
      </c>
      <c r="I171" s="262" t="s">
        <v>2525</v>
      </c>
      <c r="J171" s="263" t="s">
        <v>1147</v>
      </c>
      <c r="K171" s="260" t="str">
        <f>IF(ISBLANK('Dry_Litterbag Placem_Collection'!J172),"","G"&amp;""&amp;'Dry_Litterbag Placem_Collection'!J172)</f>
        <v>G624</v>
      </c>
      <c r="L171" s="264">
        <f>IFERROR(INDEX('Green_rooibos initial weight'!$C$5:$C$2000,MATCH(K171, 'Green_rooibos initial weight'!$A$5:$A$2000,0)),"")</f>
        <v>2.024</v>
      </c>
      <c r="M171" s="264">
        <f>IFERROR(L171-(TBIcalc!$Q$9+TBIcalc!$Q$10),"")</f>
        <v>1.7742</v>
      </c>
      <c r="N171" s="385">
        <f>AVERAGE(Ashed_controlls!$K$2:$K$11)</f>
        <v>5.5147656768714146</v>
      </c>
      <c r="O171" s="264">
        <f t="shared" si="11"/>
        <v>1.6763570273609474</v>
      </c>
      <c r="P171" s="264">
        <f>IFERROR(INDEX('Both teabags AfterDry'!$D$2:$D$2000,MATCH(K171,'Both teabags AfterDry'!$A$2:$A$2000,0)),"")</f>
        <v>0.94779999999999998</v>
      </c>
      <c r="Q171" s="264">
        <f>IFERROR(IF(P171&gt;0,P171-(TBIcalc!$Q$9),""),"")</f>
        <v>0.79719999999999991</v>
      </c>
      <c r="R171" s="275">
        <f>IFERROR(INDEX('Ashed teabags dry'!$K$2:$K$2000,MATCH(K171,'Ashed teabags dry'!$A$2:$A$2000,0)),"")</f>
        <v>29.054385105340501</v>
      </c>
      <c r="S171" s="275">
        <f t="shared" si="12"/>
        <v>0.56557844194022544</v>
      </c>
      <c r="T171" s="265">
        <f>IF('Dry_Litterbag Placem_Collection'!E172="","",'Dry_Litterbag Placem_Collection'!E172)</f>
        <v>42940</v>
      </c>
      <c r="U171" s="265">
        <f>IF('Dry_Litterbag Placem_Collection'!G172="","",'Dry_Litterbag Placem_Collection'!G172)</f>
        <v>43009</v>
      </c>
      <c r="V171" s="266">
        <f t="shared" si="10"/>
        <v>69</v>
      </c>
      <c r="W171" s="264">
        <f t="shared" si="13"/>
        <v>0.97700000000000009</v>
      </c>
      <c r="X171" s="264">
        <f t="shared" si="14"/>
        <v>1.1107785854207219</v>
      </c>
      <c r="Y171" s="268">
        <f>IFERROR(INDEX(Rainfall_Dry!$O$2:$O$217,MATCH(B171, Rainfall_Dry!$A$2:$A$217,0)),"")</f>
        <v>162.634207253</v>
      </c>
      <c r="Z171" s="257">
        <v>23.96</v>
      </c>
      <c r="AA171" s="257">
        <v>4.9199999999999982</v>
      </c>
      <c r="AB171" s="257">
        <v>71.12</v>
      </c>
      <c r="AC171" s="258" t="s">
        <v>2654</v>
      </c>
      <c r="AD171" s="257">
        <v>4.3091375061606696</v>
      </c>
      <c r="AE171">
        <f>IF('WetLitterbags placem_collection'!AB172="","",'WetLitterbags placem_collection'!AB172)</f>
        <v>7.7</v>
      </c>
      <c r="AF171">
        <f>IF('WetLitterbags placem_collection'!Z172="","",'WetLitterbags placem_collection'!Z172)</f>
        <v>15.8</v>
      </c>
      <c r="AG171" s="243" t="str">
        <f>IF('WetLitterbags placem_collection'!AA172="","",'WetLitterbags placem_collection'!AA172)</f>
        <v>O</v>
      </c>
      <c r="AH171">
        <f>IF('WetLitterbags placem_collection'!AC172="","",'WetLitterbags placem_collection'!AC172)</f>
        <v>1</v>
      </c>
      <c r="AI171">
        <f>IFERROR(AVERAGE('Dry_Litterbag Placem_Collection'!O172,'Dry_Litterbag Placem_Collection'!R172),"")</f>
        <v>6.1</v>
      </c>
      <c r="AJ171" s="268">
        <f>IFERROR(AVERAGE('Dry_Litterbag Placem_Collection'!N172,'Dry_Litterbag Placem_Collection'!Q172),"")</f>
        <v>33.950000000000003</v>
      </c>
      <c r="AK171" s="267">
        <f>INDEX(Coordinates!$B$2:$B$197,MATCH(H171,Coordinates!$J$2:$J$197,0))</f>
        <v>-2.2784629650000001</v>
      </c>
      <c r="AL171" s="267">
        <f>INDEX(Coordinates!$C$2:$C$197,MATCH(H171,Coordinates!$J$2:$J$197,0))</f>
        <v>34.024177999999999</v>
      </c>
      <c r="AM171" s="267" t="str">
        <f>IF(ISNUMBER(SEARCH("C", 'Dry_Litterbag Placem_Collection'!S172)),"YES","NO")</f>
        <v>NO</v>
      </c>
      <c r="AN171" s="267" t="str">
        <f>IF(ISNUMBER(SEARCH("H", 'Dry_Litterbag Placem_Collection'!S172)),"YES","NO")</f>
        <v>YES</v>
      </c>
      <c r="AO171" s="267" t="str">
        <f>IF(ISNUMBER(SEARCH("R", 'Dry_Litterbag Placem_Collection'!S172)),"YES","NO")</f>
        <v>YES</v>
      </c>
    </row>
    <row r="172" spans="1:41" ht="15" customHeight="1">
      <c r="A172" s="259" t="s">
        <v>2643</v>
      </c>
      <c r="B172" s="260">
        <f>'Dry_Litterbag Placem_Collection'!A173</f>
        <v>171</v>
      </c>
      <c r="C172" s="260" t="str">
        <f>'Dry_Litterbag Placem_Collection'!B173</f>
        <v>Handajega</v>
      </c>
      <c r="D172" s="260" t="s">
        <v>2454</v>
      </c>
      <c r="E172" s="260" t="s">
        <v>2645</v>
      </c>
      <c r="F172" s="260">
        <v>2</v>
      </c>
      <c r="G172" s="260" t="s">
        <v>3827</v>
      </c>
      <c r="H172" s="261" t="str">
        <f>'Dry_Litterbag Placem_Collection'!C173</f>
        <v>Wet_W2_T3</v>
      </c>
      <c r="I172" s="262" t="s">
        <v>2525</v>
      </c>
      <c r="J172" s="263" t="s">
        <v>1147</v>
      </c>
      <c r="K172" s="260" t="str">
        <f>IF(ISBLANK('Dry_Litterbag Placem_Collection'!J173),"","G"&amp;""&amp;'Dry_Litterbag Placem_Collection'!J173)</f>
        <v>G149</v>
      </c>
      <c r="L172" s="264">
        <f>IFERROR(INDEX('Green_rooibos initial weight'!$C$5:$C$2000,MATCH(K172, 'Green_rooibos initial weight'!$A$5:$A$2000,0)),"")</f>
        <v>2.1789999999999998</v>
      </c>
      <c r="M172" s="264">
        <f>IFERROR(L172-(TBIcalc!$Q$9+TBIcalc!$Q$10),"")</f>
        <v>1.9291999999999998</v>
      </c>
      <c r="N172" s="385">
        <f>AVERAGE(Ashed_controlls!$K$2:$K$11)</f>
        <v>5.5147656768714146</v>
      </c>
      <c r="O172" s="264">
        <f t="shared" si="11"/>
        <v>1.8228091405617965</v>
      </c>
      <c r="P172" s="264">
        <f>IFERROR(INDEX('Both teabags AfterDry'!$D$2:$D$2000,MATCH(K172,'Both teabags AfterDry'!$A$2:$A$2000,0)),"")</f>
        <v>0.75890000000000002</v>
      </c>
      <c r="Q172" s="264">
        <f>IFERROR(IF(P172&gt;0,P172-(TBIcalc!$Q$9),""),"")</f>
        <v>0.60830000000000006</v>
      </c>
      <c r="R172" s="275">
        <f>IFERROR(INDEX('Ashed teabags dry'!$K$2:$K$2000,MATCH(K172,'Ashed teabags dry'!$A$2:$A$2000,0)),"")</f>
        <v>19.04525111884687</v>
      </c>
      <c r="S172" s="275">
        <f t="shared" si="12"/>
        <v>0.49244773744405457</v>
      </c>
      <c r="T172" s="265">
        <f>IF('Dry_Litterbag Placem_Collection'!E173="","",'Dry_Litterbag Placem_Collection'!E173)</f>
        <v>42940</v>
      </c>
      <c r="U172" s="265">
        <f>IF('Dry_Litterbag Placem_Collection'!G173="","",'Dry_Litterbag Placem_Collection'!G173)</f>
        <v>43009</v>
      </c>
      <c r="V172" s="266">
        <f t="shared" si="10"/>
        <v>69</v>
      </c>
      <c r="W172" s="264">
        <f t="shared" si="13"/>
        <v>1.3208999999999997</v>
      </c>
      <c r="X172" s="264">
        <f t="shared" si="14"/>
        <v>1.330361403117742</v>
      </c>
      <c r="Y172" s="268">
        <f>IFERROR(INDEX(Rainfall_Dry!$O$2:$O$217,MATCH(B172, Rainfall_Dry!$A$2:$A$217,0)),"")</f>
        <v>162.634207253</v>
      </c>
      <c r="Z172" s="257">
        <v>23.96</v>
      </c>
      <c r="AA172" s="257">
        <v>4.9199999999999982</v>
      </c>
      <c r="AB172" s="257">
        <v>71.12</v>
      </c>
      <c r="AC172" s="258" t="s">
        <v>2654</v>
      </c>
      <c r="AD172" s="257">
        <v>5.3091375061606696</v>
      </c>
      <c r="AE172">
        <f>IF('WetLitterbags placem_collection'!AB173="","",'WetLitterbags placem_collection'!AB173)</f>
        <v>13.4</v>
      </c>
      <c r="AF172">
        <f>IF('WetLitterbags placem_collection'!Z173="","",'WetLitterbags placem_collection'!Z173)</f>
        <v>7.6</v>
      </c>
      <c r="AG172" s="243" t="str">
        <f>IF('WetLitterbags placem_collection'!AA173="","",'WetLitterbags placem_collection'!AA173)</f>
        <v>O</v>
      </c>
      <c r="AH172">
        <f>IF('WetLitterbags placem_collection'!AC173="","",'WetLitterbags placem_collection'!AC173)</f>
        <v>1</v>
      </c>
      <c r="AI172">
        <f>IFERROR(AVERAGE('Dry_Litterbag Placem_Collection'!O173,'Dry_Litterbag Placem_Collection'!R173),"")</f>
        <v>5.6</v>
      </c>
      <c r="AJ172" s="268">
        <f>IFERROR(AVERAGE('Dry_Litterbag Placem_Collection'!N173,'Dry_Litterbag Placem_Collection'!Q173),"")</f>
        <v>33</v>
      </c>
      <c r="AK172" s="267">
        <f>INDEX(Coordinates!$B$2:$B$197,MATCH(H172,Coordinates!$J$2:$J$197,0))</f>
        <v>-2.2785389889999998</v>
      </c>
      <c r="AL172" s="267">
        <f>INDEX(Coordinates!$C$2:$C$197,MATCH(H172,Coordinates!$J$2:$J$197,0))</f>
        <v>34.024371039999998</v>
      </c>
      <c r="AM172" s="267" t="str">
        <f>IF(ISNUMBER(SEARCH("C", 'Dry_Litterbag Placem_Collection'!S173)),"YES","NO")</f>
        <v>NO</v>
      </c>
      <c r="AN172" s="267" t="str">
        <f>IF(ISNUMBER(SEARCH("H", 'Dry_Litterbag Placem_Collection'!S173)),"YES","NO")</f>
        <v>NO</v>
      </c>
      <c r="AO172" s="267" t="str">
        <f>IF(ISNUMBER(SEARCH("R", 'Dry_Litterbag Placem_Collection'!S173)),"YES","NO")</f>
        <v>YES</v>
      </c>
    </row>
    <row r="173" spans="1:41" ht="15" customHeight="1">
      <c r="A173" s="259" t="s">
        <v>2643</v>
      </c>
      <c r="B173" s="260">
        <f>'Dry_Litterbag Placem_Collection'!A174</f>
        <v>172</v>
      </c>
      <c r="C173" s="260" t="str">
        <f>'Dry_Litterbag Placem_Collection'!B174</f>
        <v>Handajega</v>
      </c>
      <c r="D173" s="260" t="s">
        <v>2454</v>
      </c>
      <c r="E173" s="260" t="s">
        <v>2645</v>
      </c>
      <c r="F173" s="260">
        <v>2</v>
      </c>
      <c r="G173" s="260" t="s">
        <v>3827</v>
      </c>
      <c r="H173" s="261" t="str">
        <f>'Dry_Litterbag Placem_Collection'!C174</f>
        <v>Wet_W2_T4</v>
      </c>
      <c r="I173" s="262" t="s">
        <v>2525</v>
      </c>
      <c r="J173" s="263" t="s">
        <v>1147</v>
      </c>
      <c r="K173" s="260" t="str">
        <f>IF(ISBLANK('Dry_Litterbag Placem_Collection'!J174),"","G"&amp;""&amp;'Dry_Litterbag Placem_Collection'!J174)</f>
        <v/>
      </c>
      <c r="L173" s="264" t="str">
        <f>IFERROR(INDEX('Green_rooibos initial weight'!$C$5:$C$2000,MATCH(K173, 'Green_rooibos initial weight'!$A$5:$A$2000,0)),"")</f>
        <v/>
      </c>
      <c r="M173" s="264" t="str">
        <f>IFERROR(L173-(TBIcalc!$Q$9+TBIcalc!$Q$10),"")</f>
        <v/>
      </c>
      <c r="N173" s="385">
        <f>AVERAGE(Ashed_controlls!$K$2:$K$11)</f>
        <v>5.5147656768714146</v>
      </c>
      <c r="O173" s="264" t="str">
        <f t="shared" si="11"/>
        <v/>
      </c>
      <c r="P173" s="264" t="str">
        <f>IFERROR(INDEX('Both teabags AfterDry'!$D$2:$D$2000,MATCH(K173,'Both teabags AfterDry'!$A$2:$A$2000,0)),"")</f>
        <v/>
      </c>
      <c r="Q173" s="264" t="str">
        <f>IFERROR(IF(P173&gt;0,P173-(TBIcalc!$Q$9),""),"")</f>
        <v/>
      </c>
      <c r="R173" s="275" t="str">
        <f>IFERROR(INDEX('Ashed teabags dry'!$K$2:$K$2000,MATCH(K173,'Ashed teabags dry'!$A$2:$A$2000,0)),"")</f>
        <v/>
      </c>
      <c r="S173" s="275" t="str">
        <f t="shared" si="12"/>
        <v/>
      </c>
      <c r="T173" s="265" t="str">
        <f>IF('Dry_Litterbag Placem_Collection'!E174="","",'Dry_Litterbag Placem_Collection'!E174)</f>
        <v/>
      </c>
      <c r="U173" s="265" t="str">
        <f>IF('Dry_Litterbag Placem_Collection'!G174="","",'Dry_Litterbag Placem_Collection'!G174)</f>
        <v/>
      </c>
      <c r="V173" s="266" t="str">
        <f t="shared" si="10"/>
        <v/>
      </c>
      <c r="W173" s="264" t="str">
        <f t="shared" si="13"/>
        <v/>
      </c>
      <c r="X173" s="264" t="str">
        <f t="shared" si="14"/>
        <v/>
      </c>
      <c r="Y173" s="268" t="str">
        <f>IFERROR(INDEX(Rainfall_Dry!$O$2:$O$217,MATCH(B173, Rainfall_Dry!$A$2:$A$217,0)),"")</f>
        <v/>
      </c>
      <c r="Z173" s="257">
        <v>23.96</v>
      </c>
      <c r="AA173" s="257">
        <v>4.9199999999999982</v>
      </c>
      <c r="AB173" s="257">
        <v>71.12</v>
      </c>
      <c r="AC173" s="258" t="s">
        <v>2654</v>
      </c>
      <c r="AD173" s="257">
        <v>6.3091375061606696</v>
      </c>
      <c r="AE173">
        <f>IF('WetLitterbags placem_collection'!AB174="","",'WetLitterbags placem_collection'!AB174)</f>
        <v>3.3</v>
      </c>
      <c r="AF173">
        <f>IF('WetLitterbags placem_collection'!Z174="","",'WetLitterbags placem_collection'!Z174)</f>
        <v>28.4</v>
      </c>
      <c r="AG173" s="243" t="str">
        <f>IF('WetLitterbags placem_collection'!AA174="","",'WetLitterbags placem_collection'!AA174)</f>
        <v>G</v>
      </c>
      <c r="AH173">
        <f>IF('WetLitterbags placem_collection'!AC174="","",'WetLitterbags placem_collection'!AC174)</f>
        <v>1</v>
      </c>
      <c r="AI173" t="str">
        <f>IFERROR(AVERAGE('Dry_Litterbag Placem_Collection'!O174,'Dry_Litterbag Placem_Collection'!R174),"")</f>
        <v/>
      </c>
      <c r="AJ173" s="268" t="str">
        <f>IFERROR(AVERAGE('Dry_Litterbag Placem_Collection'!N174,'Dry_Litterbag Placem_Collection'!Q174),"")</f>
        <v/>
      </c>
      <c r="AK173" s="267">
        <f>INDEX(Coordinates!$B$2:$B$197,MATCH(H173,Coordinates!$J$2:$J$197,0))</f>
        <v>-2.2781410160000002</v>
      </c>
      <c r="AL173" s="267">
        <f>INDEX(Coordinates!$C$2:$C$197,MATCH(H173,Coordinates!$J$2:$J$197,0))</f>
        <v>34.024136009999999</v>
      </c>
      <c r="AM173" s="267" t="str">
        <f>IF(ISNUMBER(SEARCH("C", 'Dry_Litterbag Placem_Collection'!S174)),"YES","NO")</f>
        <v>NO</v>
      </c>
      <c r="AN173" s="267" t="str">
        <f>IF(ISNUMBER(SEARCH("H", 'Dry_Litterbag Placem_Collection'!S174)),"YES","NO")</f>
        <v>NO</v>
      </c>
      <c r="AO173" s="267" t="str">
        <f>IF(ISNUMBER(SEARCH("R", 'Dry_Litterbag Placem_Collection'!S174)),"YES","NO")</f>
        <v>NO</v>
      </c>
    </row>
    <row r="174" spans="1:41" ht="15" customHeight="1">
      <c r="A174" s="259" t="s">
        <v>2643</v>
      </c>
      <c r="B174" s="260">
        <f>'Dry_Litterbag Placem_Collection'!A175</f>
        <v>173</v>
      </c>
      <c r="C174" s="260" t="str">
        <f>'Dry_Litterbag Placem_Collection'!B175</f>
        <v>Handajega</v>
      </c>
      <c r="D174" s="260" t="s">
        <v>2454</v>
      </c>
      <c r="E174" s="260" t="s">
        <v>2645</v>
      </c>
      <c r="F174" s="260">
        <v>2</v>
      </c>
      <c r="G174" s="260" t="s">
        <v>3827</v>
      </c>
      <c r="H174" s="261" t="str">
        <f>'Dry_Litterbag Placem_Collection'!C175</f>
        <v>Wet_W2_T5</v>
      </c>
      <c r="I174" s="262" t="s">
        <v>2525</v>
      </c>
      <c r="J174" s="263" t="s">
        <v>1147</v>
      </c>
      <c r="K174" s="260" t="str">
        <f>IF(ISBLANK('Dry_Litterbag Placem_Collection'!J175),"","G"&amp;""&amp;'Dry_Litterbag Placem_Collection'!J175)</f>
        <v>G597</v>
      </c>
      <c r="L174" s="264">
        <f>IFERROR(INDEX('Green_rooibos initial weight'!$C$5:$C$2000,MATCH(K174, 'Green_rooibos initial weight'!$A$5:$A$2000,0)),"")</f>
        <v>1.948</v>
      </c>
      <c r="M174" s="264">
        <f>IFERROR(L174-(TBIcalc!$Q$9+TBIcalc!$Q$10),"")</f>
        <v>1.6981999999999999</v>
      </c>
      <c r="N174" s="385">
        <f>AVERAGE(Ashed_controlls!$K$2:$K$11)</f>
        <v>5.5147656768714146</v>
      </c>
      <c r="O174" s="264">
        <f t="shared" si="11"/>
        <v>1.6045482492753695</v>
      </c>
      <c r="P174" s="264" t="str">
        <f>IFERROR(INDEX('Both teabags AfterDry'!$D$2:$D$2000,MATCH(K174,'Both teabags AfterDry'!$A$2:$A$2000,0)),"")</f>
        <v/>
      </c>
      <c r="Q174" s="264" t="str">
        <f>IFERROR(IF(P174&gt;0,P174-(TBIcalc!$Q$9),""),"")</f>
        <v/>
      </c>
      <c r="R174" s="275" t="str">
        <f>IFERROR(INDEX('Ashed teabags dry'!$K$2:$K$2000,MATCH(K174,'Ashed teabags dry'!$A$2:$A$2000,0)),"")</f>
        <v/>
      </c>
      <c r="S174" s="275" t="str">
        <f t="shared" si="12"/>
        <v/>
      </c>
      <c r="T174" s="265">
        <f>IF('Dry_Litterbag Placem_Collection'!E175="","",'Dry_Litterbag Placem_Collection'!E175)</f>
        <v>42940</v>
      </c>
      <c r="U174" s="265">
        <f>IF('Dry_Litterbag Placem_Collection'!G175="","",'Dry_Litterbag Placem_Collection'!G175)</f>
        <v>43009</v>
      </c>
      <c r="V174" s="266">
        <f t="shared" si="10"/>
        <v>69</v>
      </c>
      <c r="W174" s="264" t="str">
        <f t="shared" si="13"/>
        <v/>
      </c>
      <c r="X174" s="264" t="str">
        <f t="shared" si="14"/>
        <v/>
      </c>
      <c r="Y174" s="268">
        <f>IFERROR(INDEX(Rainfall_Dry!$O$2:$O$217,MATCH(B174, Rainfall_Dry!$A$2:$A$217,0)),"")</f>
        <v>162.634207253</v>
      </c>
      <c r="Z174" s="257">
        <v>23.96</v>
      </c>
      <c r="AA174" s="257">
        <v>4.9199999999999982</v>
      </c>
      <c r="AB174" s="257">
        <v>71.12</v>
      </c>
      <c r="AC174" s="258" t="s">
        <v>2654</v>
      </c>
      <c r="AD174" s="257">
        <v>7.3091375061606696</v>
      </c>
      <c r="AE174">
        <f>IF('WetLitterbags placem_collection'!AB175="","",'WetLitterbags placem_collection'!AB175)</f>
        <v>15.4</v>
      </c>
      <c r="AF174">
        <f>IF('WetLitterbags placem_collection'!Z175="","",'WetLitterbags placem_collection'!Z175)</f>
        <v>12.4</v>
      </c>
      <c r="AG174" s="243" t="str">
        <f>IF('WetLitterbags placem_collection'!AA175="","",'WetLitterbags placem_collection'!AA175)</f>
        <v>O</v>
      </c>
      <c r="AH174">
        <f>IF('WetLitterbags placem_collection'!AC175="","",'WetLitterbags placem_collection'!AC175)</f>
        <v>0</v>
      </c>
      <c r="AI174">
        <f>IFERROR(AVERAGE('Dry_Litterbag Placem_Collection'!O175,'Dry_Litterbag Placem_Collection'!R175),"")</f>
        <v>6.3</v>
      </c>
      <c r="AJ174" s="268">
        <f>IFERROR(AVERAGE('Dry_Litterbag Placem_Collection'!N175,'Dry_Litterbag Placem_Collection'!Q175),"")</f>
        <v>34.049999999999997</v>
      </c>
      <c r="AK174" s="267">
        <f>INDEX(Coordinates!$B$2:$B$197,MATCH(H174,Coordinates!$J$2:$J$197,0))</f>
        <v>-2.27856799</v>
      </c>
      <c r="AL174" s="267">
        <f>INDEX(Coordinates!$C$2:$C$197,MATCH(H174,Coordinates!$J$2:$J$197,0))</f>
        <v>34.023969970000003</v>
      </c>
      <c r="AM174" s="267" t="str">
        <f>IF(ISNUMBER(SEARCH("C", 'Dry_Litterbag Placem_Collection'!S175)),"YES","NO")</f>
        <v>NO</v>
      </c>
      <c r="AN174" s="267" t="str">
        <f>IF(ISNUMBER(SEARCH("H", 'Dry_Litterbag Placem_Collection'!S175)),"YES","NO")</f>
        <v>YES</v>
      </c>
      <c r="AO174" s="267" t="str">
        <f>IF(ISNUMBER(SEARCH("R", 'Dry_Litterbag Placem_Collection'!S175)),"YES","NO")</f>
        <v>YES</v>
      </c>
    </row>
    <row r="175" spans="1:41" ht="15" customHeight="1">
      <c r="A175" s="259" t="s">
        <v>2643</v>
      </c>
      <c r="B175" s="260">
        <f>'Dry_Litterbag Placem_Collection'!A176</f>
        <v>174</v>
      </c>
      <c r="C175" s="260" t="str">
        <f>'Dry_Litterbag Placem_Collection'!B176</f>
        <v>Handajega</v>
      </c>
      <c r="D175" s="260" t="s">
        <v>2454</v>
      </c>
      <c r="E175" s="260" t="s">
        <v>2645</v>
      </c>
      <c r="F175" s="260">
        <v>2</v>
      </c>
      <c r="G175" s="260" t="s">
        <v>3827</v>
      </c>
      <c r="H175" s="261" t="str">
        <f>'Dry_Litterbag Placem_Collection'!C176</f>
        <v>Wet_W2_T6</v>
      </c>
      <c r="I175" s="262" t="s">
        <v>2525</v>
      </c>
      <c r="J175" s="263" t="s">
        <v>1147</v>
      </c>
      <c r="K175" s="260" t="str">
        <f>IF(ISBLANK('Dry_Litterbag Placem_Collection'!J176),"","G"&amp;""&amp;'Dry_Litterbag Placem_Collection'!J176)</f>
        <v>G396</v>
      </c>
      <c r="L175" s="264">
        <f>IFERROR(INDEX('Green_rooibos initial weight'!$C$5:$C$2000,MATCH(K175, 'Green_rooibos initial weight'!$A$5:$A$2000,0)),"")</f>
        <v>2.0070000000000001</v>
      </c>
      <c r="M175" s="264">
        <f>IFERROR(L175-(TBIcalc!$Q$9+TBIcalc!$Q$10),"")</f>
        <v>1.7572000000000001</v>
      </c>
      <c r="N175" s="385">
        <f>AVERAGE(Ashed_controlls!$K$2:$K$11)</f>
        <v>5.5147656768714146</v>
      </c>
      <c r="O175" s="264">
        <f t="shared" si="11"/>
        <v>1.6602945375260156</v>
      </c>
      <c r="P175" s="264">
        <f>IFERROR(INDEX('Both teabags AfterDry'!$D$2:$D$2000,MATCH(K175,'Both teabags AfterDry'!$A$2:$A$2000,0)),"")</f>
        <v>0.80349999999999999</v>
      </c>
      <c r="Q175" s="264">
        <f>IFERROR(IF(P175&gt;0,P175-(TBIcalc!$Q$9),""),"")</f>
        <v>0.65290000000000004</v>
      </c>
      <c r="R175" s="275">
        <f>IFERROR(INDEX('Ashed teabags dry'!$K$2:$K$2000,MATCH(K175,'Ashed teabags dry'!$A$2:$A$2000,0)),"")</f>
        <v>24.860074626865973</v>
      </c>
      <c r="S175" s="275">
        <f t="shared" si="12"/>
        <v>0.49058857276119205</v>
      </c>
      <c r="T175" s="265">
        <f>IF('Dry_Litterbag Placem_Collection'!E176="","",'Dry_Litterbag Placem_Collection'!E176)</f>
        <v>42940</v>
      </c>
      <c r="U175" s="265">
        <f>IF('Dry_Litterbag Placem_Collection'!G176="","",'Dry_Litterbag Placem_Collection'!G176)</f>
        <v>43009</v>
      </c>
      <c r="V175" s="266">
        <f t="shared" si="10"/>
        <v>69</v>
      </c>
      <c r="W175" s="264">
        <f t="shared" si="13"/>
        <v>1.1043000000000001</v>
      </c>
      <c r="X175" s="264">
        <f t="shared" si="14"/>
        <v>1.1697059647648236</v>
      </c>
      <c r="Y175" s="268">
        <f>IFERROR(INDEX(Rainfall_Dry!$O$2:$O$217,MATCH(B175, Rainfall_Dry!$A$2:$A$217,0)),"")</f>
        <v>162.634207253</v>
      </c>
      <c r="Z175" s="257">
        <v>23.96</v>
      </c>
      <c r="AA175" s="257">
        <v>4.9199999999999982</v>
      </c>
      <c r="AB175" s="257">
        <v>71.12</v>
      </c>
      <c r="AC175" s="258" t="s">
        <v>2654</v>
      </c>
      <c r="AD175" s="257">
        <v>8.3091375061606705</v>
      </c>
      <c r="AE175">
        <f>IF('WetLitterbags placem_collection'!AB176="","",'WetLitterbags placem_collection'!AB176)</f>
        <v>7.4</v>
      </c>
      <c r="AF175">
        <f>IF('WetLitterbags placem_collection'!Z176="","",'WetLitterbags placem_collection'!Z176)</f>
        <v>7.4</v>
      </c>
      <c r="AG175" s="243" t="str">
        <f>IF('WetLitterbags placem_collection'!AA176="","",'WetLitterbags placem_collection'!AA176)</f>
        <v>O</v>
      </c>
      <c r="AH175">
        <f>IF('WetLitterbags placem_collection'!AC176="","",'WetLitterbags placem_collection'!AC176)</f>
        <v>0</v>
      </c>
      <c r="AI175">
        <f>IFERROR(AVERAGE('Dry_Litterbag Placem_Collection'!O176,'Dry_Litterbag Placem_Collection'!R176),"")</f>
        <v>5.9</v>
      </c>
      <c r="AJ175" s="268">
        <f>IFERROR(AVERAGE('Dry_Litterbag Placem_Collection'!N176,'Dry_Litterbag Placem_Collection'!Q176),"")</f>
        <v>33.200000000000003</v>
      </c>
      <c r="AK175" s="267">
        <f>INDEX(Coordinates!$B$2:$B$197,MATCH(H175,Coordinates!$J$2:$J$197,0))</f>
        <v>-2.2786809780000001</v>
      </c>
      <c r="AL175" s="267">
        <f>INDEX(Coordinates!$C$2:$C$197,MATCH(H175,Coordinates!$J$2:$J$197,0))</f>
        <v>34.02434899</v>
      </c>
      <c r="AM175" s="267" t="str">
        <f>IF(ISNUMBER(SEARCH("C", 'Dry_Litterbag Placem_Collection'!S176)),"YES","NO")</f>
        <v>NO</v>
      </c>
      <c r="AN175" s="267" t="str">
        <f>IF(ISNUMBER(SEARCH("H", 'Dry_Litterbag Placem_Collection'!S176)),"YES","NO")</f>
        <v>YES</v>
      </c>
      <c r="AO175" s="267" t="str">
        <f>IF(ISNUMBER(SEARCH("R", 'Dry_Litterbag Placem_Collection'!S176)),"YES","NO")</f>
        <v>YES</v>
      </c>
    </row>
    <row r="176" spans="1:41" ht="15" customHeight="1">
      <c r="A176" s="259" t="s">
        <v>2643</v>
      </c>
      <c r="B176" s="260">
        <f>'Dry_Litterbag Placem_Collection'!A177</f>
        <v>175</v>
      </c>
      <c r="C176" s="260" t="str">
        <f>'Dry_Litterbag Placem_Collection'!B177</f>
        <v>Handajega</v>
      </c>
      <c r="D176" s="260" t="s">
        <v>2454</v>
      </c>
      <c r="E176" s="260" t="s">
        <v>2645</v>
      </c>
      <c r="F176" s="260">
        <v>2</v>
      </c>
      <c r="G176" s="260" t="s">
        <v>3827</v>
      </c>
      <c r="H176" s="261" t="str">
        <f>'Dry_Litterbag Placem_Collection'!C177</f>
        <v>Wet_W2_T7</v>
      </c>
      <c r="I176" s="262" t="s">
        <v>2525</v>
      </c>
      <c r="J176" s="263" t="s">
        <v>1147</v>
      </c>
      <c r="K176" s="260" t="str">
        <f>IF(ISBLANK('Dry_Litterbag Placem_Collection'!J177),"","G"&amp;""&amp;'Dry_Litterbag Placem_Collection'!J177)</f>
        <v>G612</v>
      </c>
      <c r="L176" s="264">
        <f>IFERROR(INDEX('Green_rooibos initial weight'!$C$5:$C$2000,MATCH(K176, 'Green_rooibos initial weight'!$A$5:$A$2000,0)),"")</f>
        <v>2.004</v>
      </c>
      <c r="M176" s="264">
        <f>IFERROR(L176-(TBIcalc!$Q$9+TBIcalc!$Q$10),"")</f>
        <v>1.7542</v>
      </c>
      <c r="N176" s="385">
        <f>AVERAGE(Ashed_controlls!$K$2:$K$11)</f>
        <v>5.5147656768714146</v>
      </c>
      <c r="O176" s="264">
        <f t="shared" si="11"/>
        <v>1.6574599804963217</v>
      </c>
      <c r="P176" s="264">
        <f>IFERROR(INDEX('Both teabags AfterDry'!$D$2:$D$2000,MATCH(K176,'Both teabags AfterDry'!$A$2:$A$2000,0)),"")</f>
        <v>0.83</v>
      </c>
      <c r="Q176" s="264">
        <f>IFERROR(IF(P176&gt;0,P176-(TBIcalc!$Q$9),""),"")</f>
        <v>0.6794</v>
      </c>
      <c r="R176" s="275">
        <f>IFERROR(INDEX('Ashed teabags dry'!$K$2:$K$2000,MATCH(K176,'Ashed teabags dry'!$A$2:$A$2000,0)),"")</f>
        <v>28.902765388045704</v>
      </c>
      <c r="S176" s="275">
        <f t="shared" si="12"/>
        <v>0.48303461195361752</v>
      </c>
      <c r="T176" s="265">
        <f>IF('Dry_Litterbag Placem_Collection'!E177="","",'Dry_Litterbag Placem_Collection'!E177)</f>
        <v>42940</v>
      </c>
      <c r="U176" s="265">
        <f>IF('Dry_Litterbag Placem_Collection'!G177="","",'Dry_Litterbag Placem_Collection'!G177)</f>
        <v>43009</v>
      </c>
      <c r="V176" s="266">
        <f t="shared" si="10"/>
        <v>69</v>
      </c>
      <c r="W176" s="264">
        <f t="shared" si="13"/>
        <v>1.0748</v>
      </c>
      <c r="X176" s="264">
        <f t="shared" si="14"/>
        <v>1.1744253685427042</v>
      </c>
      <c r="Y176" s="268">
        <f>IFERROR(INDEX(Rainfall_Dry!$O$2:$O$217,MATCH(B176, Rainfall_Dry!$A$2:$A$217,0)),"")</f>
        <v>162.634207253</v>
      </c>
      <c r="Z176" s="257">
        <v>23.96</v>
      </c>
      <c r="AA176" s="257">
        <v>4.9199999999999982</v>
      </c>
      <c r="AB176" s="257">
        <v>71.12</v>
      </c>
      <c r="AC176" s="258" t="s">
        <v>2654</v>
      </c>
      <c r="AD176" s="257">
        <v>9.3091375061606705</v>
      </c>
      <c r="AE176">
        <f>IF('WetLitterbags placem_collection'!AB177="","",'WetLitterbags placem_collection'!AB177)</f>
        <v>15.4</v>
      </c>
      <c r="AF176">
        <f>IF('WetLitterbags placem_collection'!Z177="","",'WetLitterbags placem_collection'!Z177)</f>
        <v>9.8000000000000007</v>
      </c>
      <c r="AG176" s="243" t="str">
        <f>IF('WetLitterbags placem_collection'!AA177="","",'WetLitterbags placem_collection'!AA177)</f>
        <v>O</v>
      </c>
      <c r="AH176">
        <f>IF('WetLitterbags placem_collection'!AC177="","",'WetLitterbags placem_collection'!AC177)</f>
        <v>1</v>
      </c>
      <c r="AI176">
        <f>IFERROR(AVERAGE('Dry_Litterbag Placem_Collection'!O177,'Dry_Litterbag Placem_Collection'!R177),"")</f>
        <v>5.9499999999999993</v>
      </c>
      <c r="AJ176" s="268">
        <f>IFERROR(AVERAGE('Dry_Litterbag Placem_Collection'!N177,'Dry_Litterbag Placem_Collection'!Q177),"")</f>
        <v>34.049999999999997</v>
      </c>
      <c r="AK176" s="267">
        <f>INDEX(Coordinates!$B$2:$B$197,MATCH(H176,Coordinates!$J$2:$J$197,0))</f>
        <v>-2.2784219779999999</v>
      </c>
      <c r="AL176" s="267">
        <f>INDEX(Coordinates!$C$2:$C$197,MATCH(H176,Coordinates!$J$2:$J$197,0))</f>
        <v>34.024374979999997</v>
      </c>
      <c r="AM176" s="267" t="str">
        <f>IF(ISNUMBER(SEARCH("C", 'Dry_Litterbag Placem_Collection'!S177)),"YES","NO")</f>
        <v>NO</v>
      </c>
      <c r="AN176" s="267" t="str">
        <f>IF(ISNUMBER(SEARCH("H", 'Dry_Litterbag Placem_Collection'!S177)),"YES","NO")</f>
        <v>YES</v>
      </c>
      <c r="AO176" s="267" t="str">
        <f>IF(ISNUMBER(SEARCH("R", 'Dry_Litterbag Placem_Collection'!S177)),"YES","NO")</f>
        <v>YES</v>
      </c>
    </row>
    <row r="177" spans="1:41" ht="15" customHeight="1">
      <c r="A177" s="259" t="s">
        <v>2643</v>
      </c>
      <c r="B177" s="260">
        <f>'Dry_Litterbag Placem_Collection'!A178</f>
        <v>176</v>
      </c>
      <c r="C177" s="260" t="str">
        <f>'Dry_Litterbag Placem_Collection'!B178</f>
        <v>Handajega</v>
      </c>
      <c r="D177" s="260" t="s">
        <v>2454</v>
      </c>
      <c r="E177" s="260" t="s">
        <v>2645</v>
      </c>
      <c r="F177" s="260">
        <v>2</v>
      </c>
      <c r="G177" s="260" t="s">
        <v>3827</v>
      </c>
      <c r="H177" s="261" t="str">
        <f>'Dry_Litterbag Placem_Collection'!C178</f>
        <v>Wet_W2_T8</v>
      </c>
      <c r="I177" s="262" t="s">
        <v>2525</v>
      </c>
      <c r="J177" s="263" t="s">
        <v>1147</v>
      </c>
      <c r="K177" s="260" t="str">
        <f>IF(ISBLANK('Dry_Litterbag Placem_Collection'!J178),"","G"&amp;""&amp;'Dry_Litterbag Placem_Collection'!J178)</f>
        <v>G183</v>
      </c>
      <c r="L177" s="264">
        <f>IFERROR(INDEX('Green_rooibos initial weight'!$C$5:$C$2000,MATCH(K177, 'Green_rooibos initial weight'!$A$5:$A$2000,0)),"")</f>
        <v>1.897</v>
      </c>
      <c r="M177" s="264">
        <f>IFERROR(L177-(TBIcalc!$Q$9+TBIcalc!$Q$10),"")</f>
        <v>1.6472</v>
      </c>
      <c r="N177" s="385">
        <f>AVERAGE(Ashed_controlls!$K$2:$K$11)</f>
        <v>5.5147656768714146</v>
      </c>
      <c r="O177" s="264">
        <f t="shared" si="11"/>
        <v>1.5563607797705741</v>
      </c>
      <c r="P177" s="264">
        <f>IFERROR(INDEX('Both teabags AfterDry'!$D$2:$D$2000,MATCH(K177,'Both teabags AfterDry'!$A$2:$A$2000,0)),"")</f>
        <v>0.92459999999999998</v>
      </c>
      <c r="Q177" s="264">
        <f>IFERROR(IF(P177&gt;0,P177-(TBIcalc!$Q$9),""),"")</f>
        <v>0.77400000000000002</v>
      </c>
      <c r="R177" s="275">
        <f>IFERROR(INDEX('Ashed teabags dry'!$K$2:$K$2000,MATCH(K177,'Ashed teabags dry'!$A$2:$A$2000,0)),"")</f>
        <v>36.390532544378914</v>
      </c>
      <c r="S177" s="275">
        <f t="shared" si="12"/>
        <v>0.49233727810650724</v>
      </c>
      <c r="T177" s="265">
        <f>IF('Dry_Litterbag Placem_Collection'!E178="","",'Dry_Litterbag Placem_Collection'!E178)</f>
        <v>42940</v>
      </c>
      <c r="U177" s="265">
        <f>IF('Dry_Litterbag Placem_Collection'!G178="","",'Dry_Litterbag Placem_Collection'!G178)</f>
        <v>43009</v>
      </c>
      <c r="V177" s="266">
        <f t="shared" si="10"/>
        <v>69</v>
      </c>
      <c r="W177" s="264">
        <f t="shared" si="13"/>
        <v>0.87319999999999998</v>
      </c>
      <c r="X177" s="264">
        <f t="shared" si="14"/>
        <v>1.0640235016640669</v>
      </c>
      <c r="Y177" s="268">
        <f>IFERROR(INDEX(Rainfall_Dry!$O$2:$O$217,MATCH(B177, Rainfall_Dry!$A$2:$A$217,0)),"")</f>
        <v>162.634207253</v>
      </c>
      <c r="Z177" s="257">
        <v>23.96</v>
      </c>
      <c r="AA177" s="257">
        <v>4.9199999999999982</v>
      </c>
      <c r="AB177" s="257">
        <v>71.12</v>
      </c>
      <c r="AC177" s="258" t="s">
        <v>2654</v>
      </c>
      <c r="AD177" s="257">
        <v>10.309137506160701</v>
      </c>
      <c r="AE177">
        <f>IF('WetLitterbags placem_collection'!AB178="","",'WetLitterbags placem_collection'!AB178)</f>
        <v>6.8</v>
      </c>
      <c r="AF177">
        <f>IF('WetLitterbags placem_collection'!Z178="","",'WetLitterbags placem_collection'!Z178)</f>
        <v>6.9</v>
      </c>
      <c r="AG177" s="243" t="str">
        <f>IF('WetLitterbags placem_collection'!AA178="","",'WetLitterbags placem_collection'!AA178)</f>
        <v>O</v>
      </c>
      <c r="AH177">
        <f>IF('WetLitterbags placem_collection'!AC178="","",'WetLitterbags placem_collection'!AC178)</f>
        <v>0</v>
      </c>
      <c r="AI177">
        <f>IFERROR(AVERAGE('Dry_Litterbag Placem_Collection'!O178,'Dry_Litterbag Placem_Collection'!R178),"")</f>
        <v>4.5999999999999996</v>
      </c>
      <c r="AJ177" s="268">
        <f>IFERROR(AVERAGE('Dry_Litterbag Placem_Collection'!N178,'Dry_Litterbag Placem_Collection'!Q178),"")</f>
        <v>34.5</v>
      </c>
      <c r="AK177" s="267">
        <f>INDEX(Coordinates!$B$2:$B$197,MATCH(H177,Coordinates!$J$2:$J$197,0))</f>
        <v>-2.2782909679999999</v>
      </c>
      <c r="AL177" s="267">
        <f>INDEX(Coordinates!$C$2:$C$197,MATCH(H177,Coordinates!$J$2:$J$197,0))</f>
        <v>34.024574970000003</v>
      </c>
      <c r="AM177" s="267" t="str">
        <f>IF(ISNUMBER(SEARCH("C", 'Dry_Litterbag Placem_Collection'!S178)),"YES","NO")</f>
        <v>NO</v>
      </c>
      <c r="AN177" s="267" t="str">
        <f>IF(ISNUMBER(SEARCH("H", 'Dry_Litterbag Placem_Collection'!S178)),"YES","NO")</f>
        <v>YES</v>
      </c>
      <c r="AO177" s="267" t="str">
        <f>IF(ISNUMBER(SEARCH("R", 'Dry_Litterbag Placem_Collection'!S178)),"YES","NO")</f>
        <v>YES</v>
      </c>
    </row>
    <row r="178" spans="1:41" ht="15" customHeight="1">
      <c r="A178" s="259" t="s">
        <v>2643</v>
      </c>
      <c r="B178" s="260">
        <f>'Dry_Litterbag Placem_Collection'!A179</f>
        <v>177</v>
      </c>
      <c r="C178" s="260" t="str">
        <f>'Dry_Litterbag Placem_Collection'!B179</f>
        <v>Handajega</v>
      </c>
      <c r="D178" s="260" t="s">
        <v>2454</v>
      </c>
      <c r="E178" s="260" t="s">
        <v>2645</v>
      </c>
      <c r="F178" s="260">
        <v>3</v>
      </c>
      <c r="G178" s="260" t="s">
        <v>3828</v>
      </c>
      <c r="H178" s="261" t="str">
        <f>'Dry_Litterbag Placem_Collection'!C179</f>
        <v>Wet_W3_T1</v>
      </c>
      <c r="I178" s="262" t="s">
        <v>2525</v>
      </c>
      <c r="J178" s="263" t="s">
        <v>1147</v>
      </c>
      <c r="K178" s="260" t="str">
        <f>IF(ISBLANK('Dry_Litterbag Placem_Collection'!J179),"","G"&amp;""&amp;'Dry_Litterbag Placem_Collection'!J179)</f>
        <v>G98</v>
      </c>
      <c r="L178" s="264">
        <f>IFERROR(INDEX('Green_rooibos initial weight'!$C$5:$C$2000,MATCH(K178, 'Green_rooibos initial weight'!$A$5:$A$2000,0)),"")</f>
        <v>2.0979999999999999</v>
      </c>
      <c r="M178" s="264">
        <f>IFERROR(L178-(TBIcalc!$Q$9+TBIcalc!$Q$10),"")</f>
        <v>1.8481999999999998</v>
      </c>
      <c r="N178" s="385">
        <f>AVERAGE(Ashed_controlls!$K$2:$K$11)</f>
        <v>5.5147656768714146</v>
      </c>
      <c r="O178" s="264">
        <f t="shared" si="11"/>
        <v>1.7462761007600625</v>
      </c>
      <c r="P178" s="264" t="str">
        <f>IFERROR(INDEX('Both teabags AfterDry'!$D$2:$D$2000,MATCH(K178,'Both teabags AfterDry'!$A$2:$A$2000,0)),"")</f>
        <v/>
      </c>
      <c r="Q178" s="264" t="str">
        <f>IFERROR(IF(P178&gt;0,P178-(TBIcalc!$Q$9),""),"")</f>
        <v/>
      </c>
      <c r="R178" s="275" t="str">
        <f>IFERROR(INDEX('Ashed teabags dry'!$K$2:$K$2000,MATCH(K178,'Ashed teabags dry'!$A$2:$A$2000,0)),"")</f>
        <v/>
      </c>
      <c r="S178" s="275" t="str">
        <f t="shared" si="12"/>
        <v/>
      </c>
      <c r="T178" s="265">
        <f>IF('Dry_Litterbag Placem_Collection'!E179="","",'Dry_Litterbag Placem_Collection'!E179)</f>
        <v>42940</v>
      </c>
      <c r="U178" s="265">
        <f>IF('Dry_Litterbag Placem_Collection'!G179="","",'Dry_Litterbag Placem_Collection'!G179)</f>
        <v>43009</v>
      </c>
      <c r="V178" s="266">
        <f t="shared" si="10"/>
        <v>69</v>
      </c>
      <c r="W178" s="264" t="str">
        <f t="shared" si="13"/>
        <v/>
      </c>
      <c r="X178" s="264" t="str">
        <f t="shared" si="14"/>
        <v/>
      </c>
      <c r="Y178" s="268">
        <f>IFERROR(INDEX(Rainfall_Dry!$O$2:$O$217,MATCH(B178, Rainfall_Dry!$A$2:$A$217,0)),"")</f>
        <v>162.634207253</v>
      </c>
      <c r="Z178" s="257">
        <v>25.96</v>
      </c>
      <c r="AA178" s="257">
        <v>8.9200000000000017</v>
      </c>
      <c r="AB178" s="257">
        <v>65.12</v>
      </c>
      <c r="AC178" s="258" t="s">
        <v>2654</v>
      </c>
      <c r="AD178" s="257">
        <v>1.614588467225234</v>
      </c>
      <c r="AE178">
        <f>IF('WetLitterbags placem_collection'!AB179="","",'WetLitterbags placem_collection'!AB179)</f>
        <v>17.8</v>
      </c>
      <c r="AF178">
        <f>IF('WetLitterbags placem_collection'!Z179="","",'WetLitterbags placem_collection'!Z179)</f>
        <v>25.8</v>
      </c>
      <c r="AG178" s="243" t="str">
        <f>IF('WetLitterbags placem_collection'!AA179="","",'WetLitterbags placem_collection'!AA179)</f>
        <v>O</v>
      </c>
      <c r="AH178">
        <f>IF('WetLitterbags placem_collection'!AC179="","",'WetLitterbags placem_collection'!AC179)</f>
        <v>0</v>
      </c>
      <c r="AI178">
        <f>IFERROR(AVERAGE('Dry_Litterbag Placem_Collection'!O179,'Dry_Litterbag Placem_Collection'!R179),"")</f>
        <v>4.6999999999999993</v>
      </c>
      <c r="AJ178" s="268">
        <f>IFERROR(AVERAGE('Dry_Litterbag Placem_Collection'!N179,'Dry_Litterbag Placem_Collection'!Q179),"")</f>
        <v>34.150000000000006</v>
      </c>
      <c r="AK178" s="267">
        <f>INDEX(Coordinates!$B$2:$B$197,MATCH(H178,Coordinates!$J$2:$J$197,0))</f>
        <v>-2.277740026</v>
      </c>
      <c r="AL178" s="267">
        <f>INDEX(Coordinates!$C$2:$C$197,MATCH(H178,Coordinates!$J$2:$J$197,0))</f>
        <v>34.027640990000002</v>
      </c>
      <c r="AM178" s="267" t="str">
        <f>IF(ISNUMBER(SEARCH("C", 'Dry_Litterbag Placem_Collection'!S179)),"YES","NO")</f>
        <v>NO</v>
      </c>
      <c r="AN178" s="267" t="str">
        <f>IF(ISNUMBER(SEARCH("H", 'Dry_Litterbag Placem_Collection'!S179)),"YES","NO")</f>
        <v>YES</v>
      </c>
      <c r="AO178" s="267" t="str">
        <f>IF(ISNUMBER(SEARCH("R", 'Dry_Litterbag Placem_Collection'!S179)),"YES","NO")</f>
        <v>YES</v>
      </c>
    </row>
    <row r="179" spans="1:41" ht="15" customHeight="1">
      <c r="A179" s="259" t="s">
        <v>2643</v>
      </c>
      <c r="B179" s="260">
        <f>'Dry_Litterbag Placem_Collection'!A180</f>
        <v>178</v>
      </c>
      <c r="C179" s="260" t="str">
        <f>'Dry_Litterbag Placem_Collection'!B180</f>
        <v>Handajega</v>
      </c>
      <c r="D179" s="260" t="s">
        <v>2454</v>
      </c>
      <c r="E179" s="260" t="s">
        <v>2645</v>
      </c>
      <c r="F179" s="260">
        <v>3</v>
      </c>
      <c r="G179" s="260" t="s">
        <v>3828</v>
      </c>
      <c r="H179" s="261" t="str">
        <f>'Dry_Litterbag Placem_Collection'!C180</f>
        <v>Wet_W3_T2</v>
      </c>
      <c r="I179" s="262" t="s">
        <v>2525</v>
      </c>
      <c r="J179" s="263" t="s">
        <v>1147</v>
      </c>
      <c r="K179" s="260" t="str">
        <f>IF(ISBLANK('Dry_Litterbag Placem_Collection'!J180),"","G"&amp;""&amp;'Dry_Litterbag Placem_Collection'!J180)</f>
        <v>G353</v>
      </c>
      <c r="L179" s="264">
        <f>IFERROR(INDEX('Green_rooibos initial weight'!$C$5:$C$2000,MATCH(K179, 'Green_rooibos initial weight'!$A$5:$A$2000,0)),"")</f>
        <v>1.988</v>
      </c>
      <c r="M179" s="264">
        <f>IFERROR(L179-(TBIcalc!$Q$9+TBIcalc!$Q$10),"")</f>
        <v>1.7382</v>
      </c>
      <c r="N179" s="385">
        <f>AVERAGE(Ashed_controlls!$K$2:$K$11)</f>
        <v>5.5147656768714146</v>
      </c>
      <c r="O179" s="264">
        <f t="shared" si="11"/>
        <v>1.6423423430046211</v>
      </c>
      <c r="P179" s="264">
        <f>IFERROR(INDEX('Both teabags AfterDry'!$D$2:$D$2000,MATCH(K179,'Both teabags AfterDry'!$A$2:$A$2000,0)),"")</f>
        <v>0.80569999999999997</v>
      </c>
      <c r="Q179" s="264">
        <f>IFERROR(IF(P179&gt;0,P179-(TBIcalc!$Q$9),""),"")</f>
        <v>0.65510000000000002</v>
      </c>
      <c r="R179" s="275">
        <f>IFERROR(INDEX('Ashed teabags dry'!$K$2:$K$2000,MATCH(K179,'Ashed teabags dry'!$A$2:$A$2000,0)),"")</f>
        <v>27.451946771808881</v>
      </c>
      <c r="S179" s="275">
        <f t="shared" si="12"/>
        <v>0.47526229669788</v>
      </c>
      <c r="T179" s="265">
        <f>IF('Dry_Litterbag Placem_Collection'!E180="","",'Dry_Litterbag Placem_Collection'!E180)</f>
        <v>42940</v>
      </c>
      <c r="U179" s="265">
        <f>IF('Dry_Litterbag Placem_Collection'!G180="","",'Dry_Litterbag Placem_Collection'!G180)</f>
        <v>43009</v>
      </c>
      <c r="V179" s="266">
        <f t="shared" si="10"/>
        <v>69</v>
      </c>
      <c r="W179" s="264">
        <f t="shared" si="13"/>
        <v>1.0831</v>
      </c>
      <c r="X179" s="264">
        <f t="shared" si="14"/>
        <v>1.167080046306741</v>
      </c>
      <c r="Y179" s="268">
        <f>IFERROR(INDEX(Rainfall_Dry!$O$2:$O$217,MATCH(B179, Rainfall_Dry!$A$2:$A$217,0)),"")</f>
        <v>162.634207253</v>
      </c>
      <c r="Z179" s="257">
        <v>25.96</v>
      </c>
      <c r="AA179" s="257">
        <v>8.9200000000000017</v>
      </c>
      <c r="AB179" s="257">
        <v>65.12</v>
      </c>
      <c r="AC179" s="258" t="s">
        <v>2654</v>
      </c>
      <c r="AD179" s="257">
        <v>2.61458846722523</v>
      </c>
      <c r="AE179">
        <f>IF('WetLitterbags placem_collection'!AB180="","",'WetLitterbags placem_collection'!AB180)</f>
        <v>15.4</v>
      </c>
      <c r="AF179">
        <f>IF('WetLitterbags placem_collection'!Z180="","",'WetLitterbags placem_collection'!Z180)</f>
        <v>18.8</v>
      </c>
      <c r="AG179" s="243" t="str">
        <f>IF('WetLitterbags placem_collection'!AA180="","",'WetLitterbags placem_collection'!AA180)</f>
        <v>O</v>
      </c>
      <c r="AH179">
        <f>IF('WetLitterbags placem_collection'!AC180="","",'WetLitterbags placem_collection'!AC180)</f>
        <v>1</v>
      </c>
      <c r="AI179">
        <f>IFERROR(AVERAGE('Dry_Litterbag Placem_Collection'!O180,'Dry_Litterbag Placem_Collection'!R180),"")</f>
        <v>4.5</v>
      </c>
      <c r="AJ179" s="268">
        <f>IFERROR(AVERAGE('Dry_Litterbag Placem_Collection'!N180,'Dry_Litterbag Placem_Collection'!Q180),"")</f>
        <v>35.799999999999997</v>
      </c>
      <c r="AK179" s="267">
        <f>INDEX(Coordinates!$B$2:$B$197,MATCH(H179,Coordinates!$J$2:$J$197,0))</f>
        <v>-2.2777889760000001</v>
      </c>
      <c r="AL179" s="267">
        <f>INDEX(Coordinates!$C$2:$C$197,MATCH(H179,Coordinates!$J$2:$J$197,0))</f>
        <v>34.027664960000003</v>
      </c>
      <c r="AM179" s="267" t="str">
        <f>IF(ISNUMBER(SEARCH("C", 'Dry_Litterbag Placem_Collection'!S180)),"YES","NO")</f>
        <v>NO</v>
      </c>
      <c r="AN179" s="267" t="str">
        <f>IF(ISNUMBER(SEARCH("H", 'Dry_Litterbag Placem_Collection'!S180)),"YES","NO")</f>
        <v>NO</v>
      </c>
      <c r="AO179" s="267" t="str">
        <f>IF(ISNUMBER(SEARCH("R", 'Dry_Litterbag Placem_Collection'!S180)),"YES","NO")</f>
        <v>YES</v>
      </c>
    </row>
    <row r="180" spans="1:41" ht="15" customHeight="1">
      <c r="A180" s="259" t="s">
        <v>2643</v>
      </c>
      <c r="B180" s="260">
        <f>'Dry_Litterbag Placem_Collection'!A181</f>
        <v>179</v>
      </c>
      <c r="C180" s="260" t="str">
        <f>'Dry_Litterbag Placem_Collection'!B181</f>
        <v>Handajega</v>
      </c>
      <c r="D180" s="260" t="s">
        <v>2454</v>
      </c>
      <c r="E180" s="260" t="s">
        <v>2645</v>
      </c>
      <c r="F180" s="260">
        <v>3</v>
      </c>
      <c r="G180" s="260" t="s">
        <v>3828</v>
      </c>
      <c r="H180" s="261" t="str">
        <f>'Dry_Litterbag Placem_Collection'!C181</f>
        <v>Wet_W3_T3</v>
      </c>
      <c r="I180" s="262" t="s">
        <v>2525</v>
      </c>
      <c r="J180" s="263" t="s">
        <v>1147</v>
      </c>
      <c r="K180" s="260" t="str">
        <f>IF(ISBLANK('Dry_Litterbag Placem_Collection'!J181),"","G"&amp;""&amp;'Dry_Litterbag Placem_Collection'!J181)</f>
        <v>G42</v>
      </c>
      <c r="L180" s="264">
        <f>IFERROR(INDEX('Green_rooibos initial weight'!$C$5:$C$2000,MATCH(K180, 'Green_rooibos initial weight'!$A$5:$A$2000,0)),"")</f>
        <v>1.9530000000000001</v>
      </c>
      <c r="M180" s="264">
        <f>IFERROR(L180-(TBIcalc!$Q$9+TBIcalc!$Q$10),"")</f>
        <v>1.7032</v>
      </c>
      <c r="N180" s="385">
        <f>AVERAGE(Ashed_controlls!$K$2:$K$11)</f>
        <v>5.5147656768714146</v>
      </c>
      <c r="O180" s="264">
        <f t="shared" si="11"/>
        <v>1.609272510991526</v>
      </c>
      <c r="P180" s="264">
        <f>IFERROR(INDEX('Both teabags AfterDry'!$D$2:$D$2000,MATCH(K180,'Both teabags AfterDry'!$A$2:$A$2000,0)),"")</f>
        <v>1.0448</v>
      </c>
      <c r="Q180" s="264">
        <f>IFERROR(IF(P180&gt;0,P180-(TBIcalc!$Q$9),""),"")</f>
        <v>0.89419999999999988</v>
      </c>
      <c r="R180" s="275">
        <f>IFERROR(INDEX('Ashed teabags dry'!$K$2:$K$2000,MATCH(K180,'Ashed teabags dry'!$A$2:$A$2000,0)),"")</f>
        <v>41.121951219512503</v>
      </c>
      <c r="S180" s="275">
        <f t="shared" si="12"/>
        <v>0.52648751219511913</v>
      </c>
      <c r="T180" s="265">
        <f>IF('Dry_Litterbag Placem_Collection'!E181="","",'Dry_Litterbag Placem_Collection'!E181)</f>
        <v>42940</v>
      </c>
      <c r="U180" s="265">
        <f>IF('Dry_Litterbag Placem_Collection'!G181="","",'Dry_Litterbag Placem_Collection'!G181)</f>
        <v>43009</v>
      </c>
      <c r="V180" s="266">
        <f t="shared" si="10"/>
        <v>69</v>
      </c>
      <c r="W180" s="264">
        <f t="shared" si="13"/>
        <v>0.80900000000000016</v>
      </c>
      <c r="X180" s="264">
        <f t="shared" si="14"/>
        <v>1.0827849987964069</v>
      </c>
      <c r="Y180" s="268">
        <f>IFERROR(INDEX(Rainfall_Dry!$O$2:$O$217,MATCH(B180, Rainfall_Dry!$A$2:$A$217,0)),"")</f>
        <v>162.634207253</v>
      </c>
      <c r="Z180" s="257">
        <v>25.96</v>
      </c>
      <c r="AA180" s="257">
        <v>8.9200000000000017</v>
      </c>
      <c r="AB180" s="257">
        <v>65.12</v>
      </c>
      <c r="AC180" s="258" t="s">
        <v>2654</v>
      </c>
      <c r="AD180" s="257">
        <v>3.61458846722523</v>
      </c>
      <c r="AE180">
        <f>IF('WetLitterbags placem_collection'!AB181="","",'WetLitterbags placem_collection'!AB181)</f>
        <v>11.8</v>
      </c>
      <c r="AF180">
        <f>IF('WetLitterbags placem_collection'!Z181="","",'WetLitterbags placem_collection'!Z181)</f>
        <v>15.4</v>
      </c>
      <c r="AG180" s="243" t="str">
        <f>IF('WetLitterbags placem_collection'!AA181="","",'WetLitterbags placem_collection'!AA181)</f>
        <v>O</v>
      </c>
      <c r="AH180">
        <f>IF('WetLitterbags placem_collection'!AC181="","",'WetLitterbags placem_collection'!AC181)</f>
        <v>1</v>
      </c>
      <c r="AI180">
        <f>IFERROR(AVERAGE('Dry_Litterbag Placem_Collection'!O181,'Dry_Litterbag Placem_Collection'!R181),"")</f>
        <v>5.8</v>
      </c>
      <c r="AJ180" s="268">
        <f>IFERROR(AVERAGE('Dry_Litterbag Placem_Collection'!N181,'Dry_Litterbag Placem_Collection'!Q181),"")</f>
        <v>34.75</v>
      </c>
      <c r="AK180" s="267">
        <f>INDEX(Coordinates!$B$2:$B$197,MATCH(H180,Coordinates!$J$2:$J$197,0))</f>
        <v>-2.2778579589999999</v>
      </c>
      <c r="AL180" s="267">
        <f>INDEX(Coordinates!$C$2:$C$197,MATCH(H180,Coordinates!$J$2:$J$197,0))</f>
        <v>34.027682980000002</v>
      </c>
      <c r="AM180" s="267" t="str">
        <f>IF(ISNUMBER(SEARCH("C", 'Dry_Litterbag Placem_Collection'!S181)),"YES","NO")</f>
        <v>NO</v>
      </c>
      <c r="AN180" s="267" t="str">
        <f>IF(ISNUMBER(SEARCH("H", 'Dry_Litterbag Placem_Collection'!S181)),"YES","NO")</f>
        <v>NO</v>
      </c>
      <c r="AO180" s="267" t="str">
        <f>IF(ISNUMBER(SEARCH("R", 'Dry_Litterbag Placem_Collection'!S181)),"YES","NO")</f>
        <v>YES</v>
      </c>
    </row>
    <row r="181" spans="1:41" ht="15" customHeight="1">
      <c r="A181" s="259" t="s">
        <v>2643</v>
      </c>
      <c r="B181" s="260">
        <f>'Dry_Litterbag Placem_Collection'!A182</f>
        <v>180</v>
      </c>
      <c r="C181" s="260" t="str">
        <f>'Dry_Litterbag Placem_Collection'!B182</f>
        <v>Handajega</v>
      </c>
      <c r="D181" s="260" t="s">
        <v>2454</v>
      </c>
      <c r="E181" s="260" t="s">
        <v>2645</v>
      </c>
      <c r="F181" s="260">
        <v>3</v>
      </c>
      <c r="G181" s="260" t="s">
        <v>3828</v>
      </c>
      <c r="H181" s="261" t="str">
        <f>'Dry_Litterbag Placem_Collection'!C182</f>
        <v>Wet_W3_T4</v>
      </c>
      <c r="I181" s="262" t="s">
        <v>2525</v>
      </c>
      <c r="J181" s="263" t="s">
        <v>1147</v>
      </c>
      <c r="K181" s="260" t="str">
        <f>IF(ISBLANK('Dry_Litterbag Placem_Collection'!J182),"","G"&amp;""&amp;'Dry_Litterbag Placem_Collection'!J182)</f>
        <v>G245</v>
      </c>
      <c r="L181" s="264">
        <f>IFERROR(INDEX('Green_rooibos initial weight'!$C$5:$C$2000,MATCH(K181, 'Green_rooibos initial weight'!$A$5:$A$2000,0)),"")</f>
        <v>2.0150000000000001</v>
      </c>
      <c r="M181" s="264">
        <f>IFERROR(L181-(TBIcalc!$Q$9+TBIcalc!$Q$10),"")</f>
        <v>1.7652000000000001</v>
      </c>
      <c r="N181" s="385">
        <f>AVERAGE(Ashed_controlls!$K$2:$K$11)</f>
        <v>5.5147656768714146</v>
      </c>
      <c r="O181" s="264">
        <f t="shared" si="11"/>
        <v>1.6678533562718658</v>
      </c>
      <c r="P181" s="264">
        <f>IFERROR(INDEX('Both teabags AfterDry'!$D$2:$D$2000,MATCH(K181,'Both teabags AfterDry'!$A$2:$A$2000,0)),"")</f>
        <v>0.81240000000000001</v>
      </c>
      <c r="Q181" s="264">
        <f>IFERROR(IF(P181&gt;0,P181-(TBIcalc!$Q$9),""),"")</f>
        <v>0.66179999999999994</v>
      </c>
      <c r="R181" s="275">
        <f>IFERROR(INDEX('Ashed teabags dry'!$K$2:$K$2000,MATCH(K181,'Ashed teabags dry'!$A$2:$A$2000,0)),"")</f>
        <v>19.084712755598879</v>
      </c>
      <c r="S181" s="275">
        <f t="shared" si="12"/>
        <v>0.53549737098344652</v>
      </c>
      <c r="T181" s="265">
        <f>IF('Dry_Litterbag Placem_Collection'!E182="","",'Dry_Litterbag Placem_Collection'!E182)</f>
        <v>42940</v>
      </c>
      <c r="U181" s="265">
        <f>IF('Dry_Litterbag Placem_Collection'!G182="","",'Dry_Litterbag Placem_Collection'!G182)</f>
        <v>43009</v>
      </c>
      <c r="V181" s="266">
        <f t="shared" si="10"/>
        <v>69</v>
      </c>
      <c r="W181" s="264">
        <f t="shared" si="13"/>
        <v>1.1034000000000002</v>
      </c>
      <c r="X181" s="264">
        <f t="shared" si="14"/>
        <v>1.1323559852884193</v>
      </c>
      <c r="Y181" s="268">
        <f>IFERROR(INDEX(Rainfall_Dry!$O$2:$O$217,MATCH(B181, Rainfall_Dry!$A$2:$A$217,0)),"")</f>
        <v>162.634207253</v>
      </c>
      <c r="Z181" s="257">
        <v>25.96</v>
      </c>
      <c r="AA181" s="257">
        <v>8.9200000000000017</v>
      </c>
      <c r="AB181" s="257">
        <v>65.12</v>
      </c>
      <c r="AC181" s="258" t="s">
        <v>2654</v>
      </c>
      <c r="AD181" s="257">
        <v>4.6145884672252304</v>
      </c>
      <c r="AE181">
        <f>IF('WetLitterbags placem_collection'!AB182="","",'WetLitterbags placem_collection'!AB182)</f>
        <v>8.3000000000000007</v>
      </c>
      <c r="AF181">
        <f>IF('WetLitterbags placem_collection'!Z182="","",'WetLitterbags placem_collection'!Z182)</f>
        <v>35</v>
      </c>
      <c r="AG181" s="243" t="str">
        <f>IF('WetLitterbags placem_collection'!AA182="","",'WetLitterbags placem_collection'!AA182)</f>
        <v>O</v>
      </c>
      <c r="AH181">
        <f>IF('WetLitterbags placem_collection'!AC182="","",'WetLitterbags placem_collection'!AC182)</f>
        <v>0</v>
      </c>
      <c r="AI181">
        <f>IFERROR(AVERAGE('Dry_Litterbag Placem_Collection'!O182,'Dry_Litterbag Placem_Collection'!R182),"")</f>
        <v>5.3</v>
      </c>
      <c r="AJ181" s="268">
        <f>IFERROR(AVERAGE('Dry_Litterbag Placem_Collection'!N182,'Dry_Litterbag Placem_Collection'!Q182),"")</f>
        <v>31</v>
      </c>
      <c r="AK181" s="267">
        <f>INDEX(Coordinates!$B$2:$B$197,MATCH(H181,Coordinates!$J$2:$J$197,0))</f>
        <v>-2.2780199809999999</v>
      </c>
      <c r="AL181" s="267">
        <f>INDEX(Coordinates!$C$2:$C$197,MATCH(H181,Coordinates!$J$2:$J$197,0))</f>
        <v>34.027705019999999</v>
      </c>
      <c r="AM181" s="267" t="str">
        <f>IF(ISNUMBER(SEARCH("C", 'Dry_Litterbag Placem_Collection'!S182)),"YES","NO")</f>
        <v>NO</v>
      </c>
      <c r="AN181" s="267" t="str">
        <f>IF(ISNUMBER(SEARCH("H", 'Dry_Litterbag Placem_Collection'!S182)),"YES","NO")</f>
        <v>NO</v>
      </c>
      <c r="AO181" s="267" t="str">
        <f>IF(ISNUMBER(SEARCH("R", 'Dry_Litterbag Placem_Collection'!S182)),"YES","NO")</f>
        <v>YES</v>
      </c>
    </row>
    <row r="182" spans="1:41" ht="15" customHeight="1">
      <c r="A182" s="259" t="s">
        <v>2643</v>
      </c>
      <c r="B182" s="260">
        <f>'Dry_Litterbag Placem_Collection'!A183</f>
        <v>181</v>
      </c>
      <c r="C182" s="260" t="str">
        <f>'Dry_Litterbag Placem_Collection'!B183</f>
        <v>Handajega</v>
      </c>
      <c r="D182" s="260" t="s">
        <v>2454</v>
      </c>
      <c r="E182" s="260" t="s">
        <v>2645</v>
      </c>
      <c r="F182" s="260">
        <v>3</v>
      </c>
      <c r="G182" s="260" t="s">
        <v>3828</v>
      </c>
      <c r="H182" s="261" t="str">
        <f>'Dry_Litterbag Placem_Collection'!C183</f>
        <v>Wet_W3_T5</v>
      </c>
      <c r="I182" s="262" t="s">
        <v>2525</v>
      </c>
      <c r="J182" s="263" t="s">
        <v>1147</v>
      </c>
      <c r="K182" s="260" t="str">
        <f>IF(ISBLANK('Dry_Litterbag Placem_Collection'!J183),"","G"&amp;""&amp;'Dry_Litterbag Placem_Collection'!J183)</f>
        <v>G411</v>
      </c>
      <c r="L182" s="264">
        <f>IFERROR(INDEX('Green_rooibos initial weight'!$C$5:$C$2000,MATCH(K182, 'Green_rooibos initial weight'!$A$5:$A$2000,0)),"")</f>
        <v>2.1120000000000001</v>
      </c>
      <c r="M182" s="264">
        <f>IFERROR(L182-(TBIcalc!$Q$9+TBIcalc!$Q$10),"")</f>
        <v>1.8622000000000001</v>
      </c>
      <c r="N182" s="385">
        <f>AVERAGE(Ashed_controlls!$K$2:$K$11)</f>
        <v>5.5147656768714146</v>
      </c>
      <c r="O182" s="264">
        <f t="shared" si="11"/>
        <v>1.7595040335653005</v>
      </c>
      <c r="P182" s="264">
        <f>IFERROR(INDEX('Both teabags AfterDry'!$D$2:$D$2000,MATCH(K182,'Both teabags AfterDry'!$A$2:$A$2000,0)),"")</f>
        <v>0.76629999999999998</v>
      </c>
      <c r="Q182" s="264">
        <f>IFERROR(IF(P182&gt;0,P182-(TBIcalc!$Q$9),""),"")</f>
        <v>0.61569999999999991</v>
      </c>
      <c r="R182" s="275">
        <f>IFERROR(INDEX('Ashed teabags dry'!$K$2:$K$2000,MATCH(K182,'Ashed teabags dry'!$A$2:$A$2000,0)),"")</f>
        <v>18.218018914882634</v>
      </c>
      <c r="S182" s="275">
        <f t="shared" si="12"/>
        <v>0.50353165754106755</v>
      </c>
      <c r="T182" s="265">
        <f>IF('Dry_Litterbag Placem_Collection'!E183="","",'Dry_Litterbag Placem_Collection'!E183)</f>
        <v>42940</v>
      </c>
      <c r="U182" s="265">
        <f>IF('Dry_Litterbag Placem_Collection'!G183="","",'Dry_Litterbag Placem_Collection'!G183)</f>
        <v>43009</v>
      </c>
      <c r="V182" s="266">
        <f t="shared" si="10"/>
        <v>69</v>
      </c>
      <c r="W182" s="264">
        <f t="shared" si="13"/>
        <v>1.2465000000000002</v>
      </c>
      <c r="X182" s="264">
        <f t="shared" si="14"/>
        <v>1.255972376024233</v>
      </c>
      <c r="Y182" s="268">
        <f>IFERROR(INDEX(Rainfall_Dry!$O$2:$O$217,MATCH(B182, Rainfall_Dry!$A$2:$A$217,0)),"")</f>
        <v>162.634207253</v>
      </c>
      <c r="Z182" s="257">
        <v>25.96</v>
      </c>
      <c r="AA182" s="257">
        <v>8.9200000000000017</v>
      </c>
      <c r="AB182" s="257">
        <v>65.12</v>
      </c>
      <c r="AC182" s="258" t="s">
        <v>2654</v>
      </c>
      <c r="AD182" s="257">
        <v>5.6145884672252304</v>
      </c>
      <c r="AE182">
        <f>IF('WetLitterbags placem_collection'!AB183="","",'WetLitterbags placem_collection'!AB183)</f>
        <v>11.4</v>
      </c>
      <c r="AF182">
        <f>IF('WetLitterbags placem_collection'!Z183="","",'WetLitterbags placem_collection'!Z183)</f>
        <v>15.8</v>
      </c>
      <c r="AG182" s="243" t="str">
        <f>IF('WetLitterbags placem_collection'!AA183="","",'WetLitterbags placem_collection'!AA183)</f>
        <v>O</v>
      </c>
      <c r="AH182">
        <f>IF('WetLitterbags placem_collection'!AC183="","",'WetLitterbags placem_collection'!AC183)</f>
        <v>1</v>
      </c>
      <c r="AI182">
        <f>IFERROR(AVERAGE('Dry_Litterbag Placem_Collection'!O183,'Dry_Litterbag Placem_Collection'!R183),"")</f>
        <v>4.3000000000000007</v>
      </c>
      <c r="AJ182" s="268">
        <f>IFERROR(AVERAGE('Dry_Litterbag Placem_Collection'!N183,'Dry_Litterbag Placem_Collection'!Q183),"")</f>
        <v>35.099999999999994</v>
      </c>
      <c r="AK182" s="267">
        <f>INDEX(Coordinates!$B$2:$B$197,MATCH(H182,Coordinates!$J$2:$J$197,0))</f>
        <v>-2.2777329850000001</v>
      </c>
      <c r="AL182" s="267">
        <f>INDEX(Coordinates!$C$2:$C$197,MATCH(H182,Coordinates!$J$2:$J$197,0))</f>
        <v>34.027422970000003</v>
      </c>
      <c r="AM182" s="267" t="str">
        <f>IF(ISNUMBER(SEARCH("C", 'Dry_Litterbag Placem_Collection'!S183)),"YES","NO")</f>
        <v>NO</v>
      </c>
      <c r="AN182" s="267" t="str">
        <f>IF(ISNUMBER(SEARCH("H", 'Dry_Litterbag Placem_Collection'!S183)),"YES","NO")</f>
        <v>NO</v>
      </c>
      <c r="AO182" s="267" t="str">
        <f>IF(ISNUMBER(SEARCH("R", 'Dry_Litterbag Placem_Collection'!S183)),"YES","NO")</f>
        <v>YES</v>
      </c>
    </row>
    <row r="183" spans="1:41" ht="15" customHeight="1">
      <c r="A183" s="259" t="s">
        <v>2643</v>
      </c>
      <c r="B183" s="260">
        <f>'Dry_Litterbag Placem_Collection'!A184</f>
        <v>182</v>
      </c>
      <c r="C183" s="260" t="str">
        <f>'Dry_Litterbag Placem_Collection'!B184</f>
        <v>Handajega</v>
      </c>
      <c r="D183" s="260" t="s">
        <v>2454</v>
      </c>
      <c r="E183" s="260" t="s">
        <v>2645</v>
      </c>
      <c r="F183" s="260">
        <v>3</v>
      </c>
      <c r="G183" s="260" t="s">
        <v>3828</v>
      </c>
      <c r="H183" s="261" t="str">
        <f>'Dry_Litterbag Placem_Collection'!C184</f>
        <v>Wet_W3_T6</v>
      </c>
      <c r="I183" s="262" t="s">
        <v>2525</v>
      </c>
      <c r="J183" s="263" t="s">
        <v>1147</v>
      </c>
      <c r="K183" s="260" t="str">
        <f>IF(ISBLANK('Dry_Litterbag Placem_Collection'!J184),"","G"&amp;""&amp;'Dry_Litterbag Placem_Collection'!J184)</f>
        <v>G309</v>
      </c>
      <c r="L183" s="264">
        <f>IFERROR(INDEX('Green_rooibos initial weight'!$C$5:$C$2000,MATCH(K183, 'Green_rooibos initial weight'!$A$5:$A$2000,0)),"")</f>
        <v>2.0579999999999998</v>
      </c>
      <c r="M183" s="264">
        <f>IFERROR(L183-(TBIcalc!$Q$9+TBIcalc!$Q$10),"")</f>
        <v>1.8081999999999998</v>
      </c>
      <c r="N183" s="385">
        <f>AVERAGE(Ashed_controlls!$K$2:$K$11)</f>
        <v>5.5147656768714146</v>
      </c>
      <c r="O183" s="264">
        <f t="shared" si="11"/>
        <v>1.7084820070308109</v>
      </c>
      <c r="P183" s="264">
        <f>IFERROR(INDEX('Both teabags AfterDry'!$D$2:$D$2000,MATCH(K183,'Both teabags AfterDry'!$A$2:$A$2000,0)),"")</f>
        <v>0.88170000000000004</v>
      </c>
      <c r="Q183" s="264">
        <f>IFERROR(IF(P183&gt;0,P183-(TBIcalc!$Q$9),""),"")</f>
        <v>0.73110000000000008</v>
      </c>
      <c r="R183" s="275">
        <f>IFERROR(INDEX('Ashed teabags dry'!$K$2:$K$2000,MATCH(K183,'Ashed teabags dry'!$A$2:$A$2000,0)),"")</f>
        <v>34.288537549406669</v>
      </c>
      <c r="S183" s="275">
        <f t="shared" si="12"/>
        <v>0.48041650197628794</v>
      </c>
      <c r="T183" s="265">
        <f>IF('Dry_Litterbag Placem_Collection'!E184="","",'Dry_Litterbag Placem_Collection'!E184)</f>
        <v>42940</v>
      </c>
      <c r="U183" s="265">
        <f>IF('Dry_Litterbag Placem_Collection'!G184="","",'Dry_Litterbag Placem_Collection'!G184)</f>
        <v>43009</v>
      </c>
      <c r="V183" s="266">
        <f t="shared" si="10"/>
        <v>69</v>
      </c>
      <c r="W183" s="264">
        <f t="shared" si="13"/>
        <v>1.0770999999999997</v>
      </c>
      <c r="X183" s="264">
        <f t="shared" si="14"/>
        <v>1.2280655050545231</v>
      </c>
      <c r="Y183" s="268">
        <f>IFERROR(INDEX(Rainfall_Dry!$O$2:$O$217,MATCH(B183, Rainfall_Dry!$A$2:$A$217,0)),"")</f>
        <v>162.634207253</v>
      </c>
      <c r="Z183" s="257">
        <v>25.96</v>
      </c>
      <c r="AA183" s="257">
        <v>8.9200000000000017</v>
      </c>
      <c r="AB183" s="257">
        <v>65.12</v>
      </c>
      <c r="AC183" s="258" t="s">
        <v>2654</v>
      </c>
      <c r="AD183" s="257">
        <v>6.6145884672252304</v>
      </c>
      <c r="AE183">
        <f>IF('WetLitterbags placem_collection'!AB184="","",'WetLitterbags placem_collection'!AB184)</f>
        <v>8.8000000000000007</v>
      </c>
      <c r="AF183">
        <f>IF('WetLitterbags placem_collection'!Z184="","",'WetLitterbags placem_collection'!Z184)</f>
        <v>15.8</v>
      </c>
      <c r="AG183" s="243" t="str">
        <f>IF('WetLitterbags placem_collection'!AA184="","",'WetLitterbags placem_collection'!AA184)</f>
        <v>O</v>
      </c>
      <c r="AH183">
        <f>IF('WetLitterbags placem_collection'!AC184="","",'WetLitterbags placem_collection'!AC184)</f>
        <v>1</v>
      </c>
      <c r="AI183">
        <f>IFERROR(AVERAGE('Dry_Litterbag Placem_Collection'!O184,'Dry_Litterbag Placem_Collection'!R184),"")</f>
        <v>6.55</v>
      </c>
      <c r="AJ183" s="268">
        <f>IFERROR(AVERAGE('Dry_Litterbag Placem_Collection'!N184,'Dry_Litterbag Placem_Collection'!Q184),"")</f>
        <v>36.400000000000006</v>
      </c>
      <c r="AK183" s="267">
        <f>INDEX(Coordinates!$B$2:$B$197,MATCH(H183,Coordinates!$J$2:$J$197,0))</f>
        <v>-2.2777009659999998</v>
      </c>
      <c r="AL183" s="267">
        <f>INDEX(Coordinates!$C$2:$C$197,MATCH(H183,Coordinates!$J$2:$J$197,0))</f>
        <v>34.027393969999999</v>
      </c>
      <c r="AM183" s="267" t="str">
        <f>IF(ISNUMBER(SEARCH("C", 'Dry_Litterbag Placem_Collection'!S184)),"YES","NO")</f>
        <v>NO</v>
      </c>
      <c r="AN183" s="267" t="str">
        <f>IF(ISNUMBER(SEARCH("H", 'Dry_Litterbag Placem_Collection'!S184)),"YES","NO")</f>
        <v>NO</v>
      </c>
      <c r="AO183" s="267" t="str">
        <f>IF(ISNUMBER(SEARCH("R", 'Dry_Litterbag Placem_Collection'!S184)),"YES","NO")</f>
        <v>NO</v>
      </c>
    </row>
    <row r="184" spans="1:41" ht="15" customHeight="1">
      <c r="A184" s="259" t="s">
        <v>2643</v>
      </c>
      <c r="B184" s="260">
        <f>'Dry_Litterbag Placem_Collection'!A185</f>
        <v>183</v>
      </c>
      <c r="C184" s="260" t="str">
        <f>'Dry_Litterbag Placem_Collection'!B185</f>
        <v>Handajega</v>
      </c>
      <c r="D184" s="260" t="s">
        <v>2454</v>
      </c>
      <c r="E184" s="260" t="s">
        <v>2645</v>
      </c>
      <c r="F184" s="260">
        <v>3</v>
      </c>
      <c r="G184" s="260" t="s">
        <v>3828</v>
      </c>
      <c r="H184" s="261" t="str">
        <f>'Dry_Litterbag Placem_Collection'!C185</f>
        <v>Wet_W3_T7</v>
      </c>
      <c r="I184" s="262" t="s">
        <v>2525</v>
      </c>
      <c r="J184" s="263" t="s">
        <v>1147</v>
      </c>
      <c r="K184" s="260" t="str">
        <f>IF(ISBLANK('Dry_Litterbag Placem_Collection'!J185),"","G"&amp;""&amp;'Dry_Litterbag Placem_Collection'!J185)</f>
        <v/>
      </c>
      <c r="L184" s="264" t="str">
        <f>IFERROR(INDEX('Green_rooibos initial weight'!$C$5:$C$2000,MATCH(K184, 'Green_rooibos initial weight'!$A$5:$A$2000,0)),"")</f>
        <v/>
      </c>
      <c r="M184" s="264" t="str">
        <f>IFERROR(L184-(TBIcalc!$Q$9+TBIcalc!$Q$10),"")</f>
        <v/>
      </c>
      <c r="N184" s="385">
        <f>AVERAGE(Ashed_controlls!$K$2:$K$11)</f>
        <v>5.5147656768714146</v>
      </c>
      <c r="O184" s="264" t="str">
        <f t="shared" si="11"/>
        <v/>
      </c>
      <c r="P184" s="264" t="str">
        <f>IFERROR(INDEX('Both teabags AfterDry'!$D$2:$D$2000,MATCH(K184,'Both teabags AfterDry'!$A$2:$A$2000,0)),"")</f>
        <v/>
      </c>
      <c r="Q184" s="264" t="str">
        <f>IFERROR(IF(P184&gt;0,P184-(TBIcalc!$Q$9),""),"")</f>
        <v/>
      </c>
      <c r="R184" s="275" t="str">
        <f>IFERROR(INDEX('Ashed teabags dry'!$K$2:$K$2000,MATCH(K184,'Ashed teabags dry'!$A$2:$A$2000,0)),"")</f>
        <v/>
      </c>
      <c r="S184" s="275" t="str">
        <f t="shared" si="12"/>
        <v/>
      </c>
      <c r="T184" s="265" t="str">
        <f>IF('Dry_Litterbag Placem_Collection'!E185="","",'Dry_Litterbag Placem_Collection'!E185)</f>
        <v/>
      </c>
      <c r="U184" s="265" t="str">
        <f>IF('Dry_Litterbag Placem_Collection'!G185="","",'Dry_Litterbag Placem_Collection'!G185)</f>
        <v/>
      </c>
      <c r="V184" s="266" t="str">
        <f t="shared" si="10"/>
        <v/>
      </c>
      <c r="W184" s="264" t="str">
        <f t="shared" si="13"/>
        <v/>
      </c>
      <c r="X184" s="264" t="str">
        <f t="shared" si="14"/>
        <v/>
      </c>
      <c r="Y184" s="268" t="str">
        <f>IFERROR(INDEX(Rainfall_Dry!$O$2:$O$217,MATCH(B184, Rainfall_Dry!$A$2:$A$217,0)),"")</f>
        <v/>
      </c>
      <c r="Z184" s="257">
        <v>25.96</v>
      </c>
      <c r="AA184" s="257">
        <v>8.9200000000000017</v>
      </c>
      <c r="AB184" s="257">
        <v>65.12</v>
      </c>
      <c r="AC184" s="258" t="s">
        <v>2654</v>
      </c>
      <c r="AD184" s="257">
        <v>7.6145884672252304</v>
      </c>
      <c r="AE184">
        <f>IF('WetLitterbags placem_collection'!AB185="","",'WetLitterbags placem_collection'!AB185)</f>
        <v>11.4</v>
      </c>
      <c r="AF184">
        <f>IF('WetLitterbags placem_collection'!Z185="","",'WetLitterbags placem_collection'!Z185)</f>
        <v>35.799999999999997</v>
      </c>
      <c r="AG184" s="243" t="str">
        <f>IF('WetLitterbags placem_collection'!AA185="","",'WetLitterbags placem_collection'!AA185)</f>
        <v>G</v>
      </c>
      <c r="AH184">
        <f>IF('WetLitterbags placem_collection'!AC185="","",'WetLitterbags placem_collection'!AC185)</f>
        <v>1</v>
      </c>
      <c r="AI184" t="str">
        <f>IFERROR(AVERAGE('Dry_Litterbag Placem_Collection'!O185,'Dry_Litterbag Placem_Collection'!R185),"")</f>
        <v/>
      </c>
      <c r="AJ184" s="268" t="str">
        <f>IFERROR(AVERAGE('Dry_Litterbag Placem_Collection'!N185,'Dry_Litterbag Placem_Collection'!Q185),"")</f>
        <v/>
      </c>
      <c r="AK184" s="267">
        <f>INDEX(Coordinates!$B$2:$B$197,MATCH(H184,Coordinates!$J$2:$J$197,0))</f>
        <v>-2.2777790019999999</v>
      </c>
      <c r="AL184" s="267">
        <f>INDEX(Coordinates!$C$2:$C$197,MATCH(H184,Coordinates!$J$2:$J$197,0))</f>
        <v>34.028066029999998</v>
      </c>
      <c r="AM184" s="267" t="str">
        <f>IF(ISNUMBER(SEARCH("C", 'Dry_Litterbag Placem_Collection'!S185)),"YES","NO")</f>
        <v>NO</v>
      </c>
      <c r="AN184" s="267" t="str">
        <f>IF(ISNUMBER(SEARCH("H", 'Dry_Litterbag Placem_Collection'!S185)),"YES","NO")</f>
        <v>NO</v>
      </c>
      <c r="AO184" s="267" t="str">
        <f>IF(ISNUMBER(SEARCH("R", 'Dry_Litterbag Placem_Collection'!S185)),"YES","NO")</f>
        <v>NO</v>
      </c>
    </row>
    <row r="185" spans="1:41" ht="15" customHeight="1">
      <c r="A185" s="259" t="s">
        <v>2643</v>
      </c>
      <c r="B185" s="260">
        <f>'Dry_Litterbag Placem_Collection'!A186</f>
        <v>184</v>
      </c>
      <c r="C185" s="260" t="str">
        <f>'Dry_Litterbag Placem_Collection'!B186</f>
        <v>Handajega</v>
      </c>
      <c r="D185" s="260" t="s">
        <v>2454</v>
      </c>
      <c r="E185" s="260" t="s">
        <v>2645</v>
      </c>
      <c r="F185" s="260">
        <v>3</v>
      </c>
      <c r="G185" s="260" t="s">
        <v>3828</v>
      </c>
      <c r="H185" s="261" t="str">
        <f>'Dry_Litterbag Placem_Collection'!C186</f>
        <v>Wet_W3_T8</v>
      </c>
      <c r="I185" s="262" t="s">
        <v>2525</v>
      </c>
      <c r="J185" s="263" t="s">
        <v>1147</v>
      </c>
      <c r="K185" s="260" t="str">
        <f>IF(ISBLANK('Dry_Litterbag Placem_Collection'!J186),"","G"&amp;""&amp;'Dry_Litterbag Placem_Collection'!J186)</f>
        <v>G235</v>
      </c>
      <c r="L185" s="264">
        <f>IFERROR(INDEX('Green_rooibos initial weight'!$C$5:$C$2000,MATCH(K185, 'Green_rooibos initial weight'!$A$5:$A$2000,0)),"")</f>
        <v>1.9259999999999999</v>
      </c>
      <c r="M185" s="264">
        <f>IFERROR(L185-(TBIcalc!$Q$9+TBIcalc!$Q$10),"")</f>
        <v>1.6761999999999999</v>
      </c>
      <c r="N185" s="385">
        <f>AVERAGE(Ashed_controlls!$K$2:$K$11)</f>
        <v>5.5147656768714146</v>
      </c>
      <c r="O185" s="264">
        <f t="shared" si="11"/>
        <v>1.5837614977242813</v>
      </c>
      <c r="P185" s="264">
        <f>IFERROR(INDEX('Both teabags AfterDry'!$D$2:$D$2000,MATCH(K185,'Both teabags AfterDry'!$A$2:$A$2000,0)),"")</f>
        <v>0.66620000000000001</v>
      </c>
      <c r="Q185" s="264">
        <f>IFERROR(IF(P185&gt;0,P185-(TBIcalc!$Q$9),""),"")</f>
        <v>0.51560000000000006</v>
      </c>
      <c r="R185" s="275">
        <f>IFERROR(INDEX('Ashed teabags dry'!$K$2:$K$2000,MATCH(K185,'Ashed teabags dry'!$A$2:$A$2000,0)),"")</f>
        <v>28.09315866084463</v>
      </c>
      <c r="S185" s="275">
        <f t="shared" si="12"/>
        <v>0.37075167394468511</v>
      </c>
      <c r="T185" s="265">
        <f>IF('Dry_Litterbag Placem_Collection'!E186="","",'Dry_Litterbag Placem_Collection'!E186)</f>
        <v>42940</v>
      </c>
      <c r="U185" s="265">
        <f>IF('Dry_Litterbag Placem_Collection'!G186="","",'Dry_Litterbag Placem_Collection'!G186)</f>
        <v>43009</v>
      </c>
      <c r="V185" s="266">
        <f t="shared" si="10"/>
        <v>69</v>
      </c>
      <c r="W185" s="264">
        <f t="shared" si="13"/>
        <v>1.1605999999999999</v>
      </c>
      <c r="X185" s="264">
        <f t="shared" si="14"/>
        <v>1.2130098237795961</v>
      </c>
      <c r="Y185" s="268">
        <f>IFERROR(INDEX(Rainfall_Dry!$O$2:$O$217,MATCH(B185, Rainfall_Dry!$A$2:$A$217,0)),"")</f>
        <v>162.634207253</v>
      </c>
      <c r="Z185" s="257">
        <v>25.96</v>
      </c>
      <c r="AA185" s="257">
        <v>8.9200000000000017</v>
      </c>
      <c r="AB185" s="257">
        <v>65.12</v>
      </c>
      <c r="AC185" s="258" t="s">
        <v>2654</v>
      </c>
      <c r="AD185" s="257">
        <v>8.6145884672252304</v>
      </c>
      <c r="AE185">
        <f>IF('WetLitterbags placem_collection'!AB186="","",'WetLitterbags placem_collection'!AB186)</f>
        <v>3.7</v>
      </c>
      <c r="AF185">
        <f>IF('WetLitterbags placem_collection'!Z186="","",'WetLitterbags placem_collection'!Z186)</f>
        <v>16.399999999999999</v>
      </c>
      <c r="AG185" s="243" t="str">
        <f>IF('WetLitterbags placem_collection'!AA186="","",'WetLitterbags placem_collection'!AA186)</f>
        <v>O</v>
      </c>
      <c r="AH185">
        <f>IF('WetLitterbags placem_collection'!AC186="","",'WetLitterbags placem_collection'!AC186)</f>
        <v>0</v>
      </c>
      <c r="AI185">
        <f>IFERROR(AVERAGE('Dry_Litterbag Placem_Collection'!O186,'Dry_Litterbag Placem_Collection'!R186),"")</f>
        <v>4.3</v>
      </c>
      <c r="AJ185" s="268">
        <f>IFERROR(AVERAGE('Dry_Litterbag Placem_Collection'!N186,'Dry_Litterbag Placem_Collection'!Q186),"")</f>
        <v>28.05</v>
      </c>
      <c r="AK185" s="267">
        <f>INDEX(Coordinates!$B$2:$B$197,MATCH(H185,Coordinates!$J$2:$J$197,0))</f>
        <v>-2.2775169829999999</v>
      </c>
      <c r="AL185" s="267">
        <f>INDEX(Coordinates!$C$2:$C$197,MATCH(H185,Coordinates!$J$2:$J$197,0))</f>
        <v>34.027766970000002</v>
      </c>
      <c r="AM185" s="267" t="str">
        <f>IF(ISNUMBER(SEARCH("C", 'Dry_Litterbag Placem_Collection'!S186)),"YES","NO")</f>
        <v>NO</v>
      </c>
      <c r="AN185" s="267" t="str">
        <f>IF(ISNUMBER(SEARCH("H", 'Dry_Litterbag Placem_Collection'!S186)),"YES","NO")</f>
        <v>NO</v>
      </c>
      <c r="AO185" s="267" t="str">
        <f>IF(ISNUMBER(SEARCH("R", 'Dry_Litterbag Placem_Collection'!S186)),"YES","NO")</f>
        <v>YES</v>
      </c>
    </row>
    <row r="186" spans="1:41" ht="15" customHeight="1">
      <c r="A186" s="259" t="s">
        <v>2643</v>
      </c>
      <c r="B186" s="260">
        <f>'Dry_Litterbag Placem_Collection'!A187</f>
        <v>185</v>
      </c>
      <c r="C186" s="260" t="str">
        <f>'Dry_Litterbag Placem_Collection'!B187</f>
        <v>Handajega</v>
      </c>
      <c r="D186" s="260" t="s">
        <v>2454</v>
      </c>
      <c r="E186" s="260" t="s">
        <v>2645</v>
      </c>
      <c r="F186" s="260">
        <v>4</v>
      </c>
      <c r="G186" s="260" t="s">
        <v>3829</v>
      </c>
      <c r="H186" s="261" t="str">
        <f>'Dry_Litterbag Placem_Collection'!C187</f>
        <v>Wet_W4_T1</v>
      </c>
      <c r="I186" s="262" t="s">
        <v>2525</v>
      </c>
      <c r="J186" s="263" t="s">
        <v>1147</v>
      </c>
      <c r="K186" s="260" t="str">
        <f>IF(ISBLANK('Dry_Litterbag Placem_Collection'!J187),"","G"&amp;""&amp;'Dry_Litterbag Placem_Collection'!J187)</f>
        <v>G369</v>
      </c>
      <c r="L186" s="264">
        <f>IFERROR(INDEX('Green_rooibos initial weight'!$C$5:$C$2000,MATCH(K186, 'Green_rooibos initial weight'!$A$5:$A$2000,0)),"")</f>
        <v>2.1219999999999999</v>
      </c>
      <c r="M186" s="264">
        <f>IFERROR(L186-(TBIcalc!$Q$9+TBIcalc!$Q$10),"")</f>
        <v>1.8721999999999999</v>
      </c>
      <c r="N186" s="385">
        <f>AVERAGE(Ashed_controlls!$K$2:$K$11)</f>
        <v>5.5147656768714146</v>
      </c>
      <c r="O186" s="264">
        <f t="shared" si="11"/>
        <v>1.7689525569976132</v>
      </c>
      <c r="P186" s="264" t="str">
        <f>IFERROR(INDEX('Both teabags AfterDry'!$D$2:$D$2000,MATCH(K186,'Both teabags AfterDry'!$A$2:$A$2000,0)),"")</f>
        <v/>
      </c>
      <c r="Q186" s="264" t="str">
        <f>IFERROR(IF(P186&gt;0,P186-(TBIcalc!$Q$9),""),"")</f>
        <v/>
      </c>
      <c r="R186" s="275" t="str">
        <f>IFERROR(INDEX('Ashed teabags dry'!$K$2:$K$2000,MATCH(K186,'Ashed teabags dry'!$A$2:$A$2000,0)),"")</f>
        <v/>
      </c>
      <c r="S186" s="275" t="str">
        <f t="shared" si="12"/>
        <v/>
      </c>
      <c r="T186" s="265">
        <f>IF('Dry_Litterbag Placem_Collection'!E187="","",'Dry_Litterbag Placem_Collection'!E187)</f>
        <v>42940</v>
      </c>
      <c r="U186" s="265">
        <f>IF('Dry_Litterbag Placem_Collection'!G187="","",'Dry_Litterbag Placem_Collection'!G187)</f>
        <v>43009</v>
      </c>
      <c r="V186" s="266">
        <f t="shared" si="10"/>
        <v>69</v>
      </c>
      <c r="W186" s="264" t="str">
        <f t="shared" si="13"/>
        <v/>
      </c>
      <c r="X186" s="264" t="str">
        <f t="shared" si="14"/>
        <v/>
      </c>
      <c r="Y186" s="268">
        <f>IFERROR(INDEX(Rainfall_Dry!$O$2:$O$217,MATCH(B186, Rainfall_Dry!$A$2:$A$217,0)),"")</f>
        <v>162.634207253</v>
      </c>
      <c r="Z186" s="257">
        <v>25.96</v>
      </c>
      <c r="AA186" s="257">
        <v>8.9200000000000017</v>
      </c>
      <c r="AB186" s="257">
        <v>65.12</v>
      </c>
      <c r="AC186" s="258" t="s">
        <v>2654</v>
      </c>
      <c r="AD186" s="257">
        <v>1.6991621488417901</v>
      </c>
      <c r="AE186">
        <f>IF('WetLitterbags placem_collection'!AB187="","",'WetLitterbags placem_collection'!AB187)</f>
        <v>9.8000000000000007</v>
      </c>
      <c r="AF186">
        <f>IF('WetLitterbags placem_collection'!Z187="","",'WetLitterbags placem_collection'!Z187)</f>
        <v>29.4</v>
      </c>
      <c r="AG186" s="243" t="str">
        <f>IF('WetLitterbags placem_collection'!AA187="","",'WetLitterbags placem_collection'!AA187)</f>
        <v>O</v>
      </c>
      <c r="AH186">
        <f>IF('WetLitterbags placem_collection'!AC187="","",'WetLitterbags placem_collection'!AC187)</f>
        <v>0</v>
      </c>
      <c r="AI186">
        <f>IFERROR(AVERAGE('Dry_Litterbag Placem_Collection'!O187,'Dry_Litterbag Placem_Collection'!R187),"")</f>
        <v>4.9000000000000004</v>
      </c>
      <c r="AJ186" s="268">
        <f>IFERROR(AVERAGE('Dry_Litterbag Placem_Collection'!N187,'Dry_Litterbag Placem_Collection'!Q187),"")</f>
        <v>35</v>
      </c>
      <c r="AK186" s="267">
        <f>INDEX(Coordinates!$B$2:$B$197,MATCH(H186,Coordinates!$J$2:$J$197,0))</f>
        <v>-2.2787330300000002</v>
      </c>
      <c r="AL186" s="267">
        <f>INDEX(Coordinates!$C$2:$C$197,MATCH(H186,Coordinates!$J$2:$J$197,0))</f>
        <v>34.032136029999997</v>
      </c>
      <c r="AM186" s="267" t="str">
        <f>IF(ISNUMBER(SEARCH("C", 'Dry_Litterbag Placem_Collection'!S187)),"YES","NO")</f>
        <v>NO</v>
      </c>
      <c r="AN186" s="267" t="str">
        <f>IF(ISNUMBER(SEARCH("H", 'Dry_Litterbag Placem_Collection'!S187)),"YES","NO")</f>
        <v>NO</v>
      </c>
      <c r="AO186" s="267" t="str">
        <f>IF(ISNUMBER(SEARCH("R", 'Dry_Litterbag Placem_Collection'!S187)),"YES","NO")</f>
        <v>NO</v>
      </c>
    </row>
    <row r="187" spans="1:41" ht="15" customHeight="1">
      <c r="A187" s="259" t="s">
        <v>2643</v>
      </c>
      <c r="B187" s="260">
        <f>'Dry_Litterbag Placem_Collection'!A188</f>
        <v>186</v>
      </c>
      <c r="C187" s="260" t="str">
        <f>'Dry_Litterbag Placem_Collection'!B188</f>
        <v>Handajega</v>
      </c>
      <c r="D187" s="260" t="s">
        <v>2454</v>
      </c>
      <c r="E187" s="260" t="s">
        <v>2645</v>
      </c>
      <c r="F187" s="260">
        <v>4</v>
      </c>
      <c r="G187" s="260" t="s">
        <v>3829</v>
      </c>
      <c r="H187" s="261" t="str">
        <f>'Dry_Litterbag Placem_Collection'!C188</f>
        <v>Wet_W4_T2</v>
      </c>
      <c r="I187" s="262" t="s">
        <v>2525</v>
      </c>
      <c r="J187" s="263" t="s">
        <v>1147</v>
      </c>
      <c r="K187" s="260" t="str">
        <f>IF(ISBLANK('Dry_Litterbag Placem_Collection'!J188),"","G"&amp;""&amp;'Dry_Litterbag Placem_Collection'!J188)</f>
        <v>G295</v>
      </c>
      <c r="L187" s="264">
        <f>IFERROR(INDEX('Green_rooibos initial weight'!$C$5:$C$2000,MATCH(K187, 'Green_rooibos initial weight'!$A$5:$A$2000,0)),"")</f>
        <v>2.0379999999999998</v>
      </c>
      <c r="M187" s="264">
        <f>IFERROR(L187-(TBIcalc!$Q$9+TBIcalc!$Q$10),"")</f>
        <v>1.7881999999999998</v>
      </c>
      <c r="N187" s="385">
        <f>AVERAGE(Ashed_controlls!$K$2:$K$11)</f>
        <v>5.5147656768714146</v>
      </c>
      <c r="O187" s="264">
        <f t="shared" si="11"/>
        <v>1.6895849601661852</v>
      </c>
      <c r="P187" s="264">
        <f>IFERROR(INDEX('Both teabags AfterDry'!$D$2:$D$2000,MATCH(K187,'Both teabags AfterDry'!$A$2:$A$2000,0)),"")</f>
        <v>0.92659999999999998</v>
      </c>
      <c r="Q187" s="264">
        <f>IFERROR(IF(P187&gt;0,P187-(TBIcalc!$Q$9),""),"")</f>
        <v>0.77600000000000002</v>
      </c>
      <c r="R187" s="275">
        <f>IFERROR(INDEX('Ashed teabags dry'!$K$2:$K$2000,MATCH(K187,'Ashed teabags dry'!$A$2:$A$2000,0)),"")</f>
        <v>26.422563087580492</v>
      </c>
      <c r="S187" s="275">
        <f t="shared" si="12"/>
        <v>0.57096091044037545</v>
      </c>
      <c r="T187" s="265">
        <f>IF('Dry_Litterbag Placem_Collection'!E188="","",'Dry_Litterbag Placem_Collection'!E188)</f>
        <v>42940</v>
      </c>
      <c r="U187" s="265">
        <f>IF('Dry_Litterbag Placem_Collection'!G188="","",'Dry_Litterbag Placem_Collection'!G188)</f>
        <v>43009</v>
      </c>
      <c r="V187" s="266">
        <f t="shared" si="10"/>
        <v>69</v>
      </c>
      <c r="W187" s="264">
        <f t="shared" si="13"/>
        <v>1.0121999999999998</v>
      </c>
      <c r="X187" s="264">
        <f t="shared" si="14"/>
        <v>1.1186240497258098</v>
      </c>
      <c r="Y187" s="268">
        <f>IFERROR(INDEX(Rainfall_Dry!$O$2:$O$217,MATCH(B187, Rainfall_Dry!$A$2:$A$217,0)),"")</f>
        <v>162.634207253</v>
      </c>
      <c r="Z187" s="257">
        <v>25.96</v>
      </c>
      <c r="AA187" s="257">
        <v>8.9200000000000017</v>
      </c>
      <c r="AB187" s="257">
        <v>65.12</v>
      </c>
      <c r="AC187" s="258" t="s">
        <v>2654</v>
      </c>
      <c r="AD187" s="257">
        <v>2.6991621488417898</v>
      </c>
      <c r="AE187">
        <f>IF('WetLitterbags placem_collection'!AB188="","",'WetLitterbags placem_collection'!AB188)</f>
        <v>11.4</v>
      </c>
      <c r="AF187">
        <f>IF('WetLitterbags placem_collection'!Z188="","",'WetLitterbags placem_collection'!Z188)</f>
        <v>45.4</v>
      </c>
      <c r="AG187" s="243" t="str">
        <f>IF('WetLitterbags placem_collection'!AA188="","",'WetLitterbags placem_collection'!AA188)</f>
        <v>O</v>
      </c>
      <c r="AH187">
        <f>IF('WetLitterbags placem_collection'!AC188="","",'WetLitterbags placem_collection'!AC188)</f>
        <v>0</v>
      </c>
      <c r="AI187">
        <f>IFERROR(AVERAGE('Dry_Litterbag Placem_Collection'!O188,'Dry_Litterbag Placem_Collection'!R188),"")</f>
        <v>7.55</v>
      </c>
      <c r="AJ187" s="268">
        <f>IFERROR(AVERAGE('Dry_Litterbag Placem_Collection'!N188,'Dry_Litterbag Placem_Collection'!Q188),"")</f>
        <v>35.299999999999997</v>
      </c>
      <c r="AK187" s="267">
        <f>INDEX(Coordinates!$B$2:$B$197,MATCH(H187,Coordinates!$J$2:$J$197,0))</f>
        <v>-2.278763037</v>
      </c>
      <c r="AL187" s="267">
        <f>INDEX(Coordinates!$C$2:$C$197,MATCH(H187,Coordinates!$J$2:$J$197,0))</f>
        <v>34.031974009999999</v>
      </c>
      <c r="AM187" s="267" t="str">
        <f>IF(ISNUMBER(SEARCH("C", 'Dry_Litterbag Placem_Collection'!S188)),"YES","NO")</f>
        <v>NO</v>
      </c>
      <c r="AN187" s="267" t="str">
        <f>IF(ISNUMBER(SEARCH("H", 'Dry_Litterbag Placem_Collection'!S188)),"YES","NO")</f>
        <v>YES</v>
      </c>
      <c r="AO187" s="267" t="str">
        <f>IF(ISNUMBER(SEARCH("R", 'Dry_Litterbag Placem_Collection'!S188)),"YES","NO")</f>
        <v>YES</v>
      </c>
    </row>
    <row r="188" spans="1:41" ht="15" customHeight="1">
      <c r="A188" s="259" t="s">
        <v>2643</v>
      </c>
      <c r="B188" s="260">
        <f>'Dry_Litterbag Placem_Collection'!A189</f>
        <v>187</v>
      </c>
      <c r="C188" s="260" t="str">
        <f>'Dry_Litterbag Placem_Collection'!B189</f>
        <v>Handajega</v>
      </c>
      <c r="D188" s="260" t="s">
        <v>2454</v>
      </c>
      <c r="E188" s="260" t="s">
        <v>2645</v>
      </c>
      <c r="F188" s="260">
        <v>4</v>
      </c>
      <c r="G188" s="260" t="s">
        <v>3829</v>
      </c>
      <c r="H188" s="261" t="str">
        <f>'Dry_Litterbag Placem_Collection'!C189</f>
        <v>Wet_W4_T3</v>
      </c>
      <c r="I188" s="262" t="s">
        <v>2525</v>
      </c>
      <c r="J188" s="263" t="s">
        <v>1147</v>
      </c>
      <c r="K188" s="260" t="str">
        <f>IF(ISBLANK('Dry_Litterbag Placem_Collection'!J189),"","G"&amp;""&amp;'Dry_Litterbag Placem_Collection'!J189)</f>
        <v>G242</v>
      </c>
      <c r="L188" s="264">
        <f>IFERROR(INDEX('Green_rooibos initial weight'!$C$5:$C$2000,MATCH(K188, 'Green_rooibos initial weight'!$A$5:$A$2000,0)),"")</f>
        <v>1.9470000000000001</v>
      </c>
      <c r="M188" s="264">
        <f>IFERROR(L188-(TBIcalc!$Q$9+TBIcalc!$Q$10),"")</f>
        <v>1.6972</v>
      </c>
      <c r="N188" s="385">
        <f>AVERAGE(Ashed_controlls!$K$2:$K$11)</f>
        <v>5.5147656768714146</v>
      </c>
      <c r="O188" s="264">
        <f t="shared" si="11"/>
        <v>1.6036033969321384</v>
      </c>
      <c r="P188" s="264">
        <f>IFERROR(INDEX('Both teabags AfterDry'!$D$2:$D$2000,MATCH(K188,'Both teabags AfterDry'!$A$2:$A$2000,0)),"")</f>
        <v>0.70840000000000003</v>
      </c>
      <c r="Q188" s="264">
        <f>IFERROR(IF(P188&gt;0,P188-(TBIcalc!$Q$9),""),"")</f>
        <v>0.55780000000000007</v>
      </c>
      <c r="R188" s="275">
        <f>IFERROR(INDEX('Ashed teabags dry'!$K$2:$K$2000,MATCH(K188,'Ashed teabags dry'!$A$2:$A$2000,0)),"")</f>
        <v>27.059970745976948</v>
      </c>
      <c r="S188" s="275">
        <f t="shared" si="12"/>
        <v>0.40685948317894061</v>
      </c>
      <c r="T188" s="265">
        <f>IF('Dry_Litterbag Placem_Collection'!E189="","",'Dry_Litterbag Placem_Collection'!E189)</f>
        <v>42940</v>
      </c>
      <c r="U188" s="265">
        <f>IF('Dry_Litterbag Placem_Collection'!G189="","",'Dry_Litterbag Placem_Collection'!G189)</f>
        <v>43009</v>
      </c>
      <c r="V188" s="266">
        <f t="shared" si="10"/>
        <v>69</v>
      </c>
      <c r="W188" s="264">
        <f t="shared" si="13"/>
        <v>1.1394</v>
      </c>
      <c r="X188" s="264">
        <f t="shared" si="14"/>
        <v>1.1967439137531977</v>
      </c>
      <c r="Y188" s="268">
        <f>IFERROR(INDEX(Rainfall_Dry!$O$2:$O$217,MATCH(B188, Rainfall_Dry!$A$2:$A$217,0)),"")</f>
        <v>162.634207253</v>
      </c>
      <c r="Z188" s="257">
        <v>25.96</v>
      </c>
      <c r="AA188" s="257">
        <v>8.9200000000000017</v>
      </c>
      <c r="AB188" s="257">
        <v>65.12</v>
      </c>
      <c r="AC188" s="258" t="s">
        <v>2654</v>
      </c>
      <c r="AD188" s="257">
        <v>3.6991621488417898</v>
      </c>
      <c r="AE188">
        <f>IF('WetLitterbags placem_collection'!AB189="","",'WetLitterbags placem_collection'!AB189)</f>
        <v>0.6</v>
      </c>
      <c r="AF188">
        <f>IF('WetLitterbags placem_collection'!Z189="","",'WetLitterbags placem_collection'!Z189)</f>
        <v>39.4</v>
      </c>
      <c r="AG188" s="243" t="str">
        <f>IF('WetLitterbags placem_collection'!AA189="","",'WetLitterbags placem_collection'!AA189)</f>
        <v>O</v>
      </c>
      <c r="AH188">
        <f>IF('WetLitterbags placem_collection'!AC189="","",'WetLitterbags placem_collection'!AC189)</f>
        <v>1</v>
      </c>
      <c r="AI188">
        <f>IFERROR(AVERAGE('Dry_Litterbag Placem_Collection'!O189,'Dry_Litterbag Placem_Collection'!R189),"")</f>
        <v>5.05</v>
      </c>
      <c r="AJ188" s="268">
        <f>IFERROR(AVERAGE('Dry_Litterbag Placem_Collection'!N189,'Dry_Litterbag Placem_Collection'!Q189),"")</f>
        <v>35.150000000000006</v>
      </c>
      <c r="AK188" s="267">
        <f>INDEX(Coordinates!$B$2:$B$197,MATCH(H188,Coordinates!$J$2:$J$197,0))</f>
        <v>-2.2785890289999999</v>
      </c>
      <c r="AL188" s="267">
        <f>INDEX(Coordinates!$C$2:$C$197,MATCH(H188,Coordinates!$J$2:$J$197,0))</f>
        <v>34.031841999999997</v>
      </c>
      <c r="AM188" s="267" t="str">
        <f>IF(ISNUMBER(SEARCH("C", 'Dry_Litterbag Placem_Collection'!S189)),"YES","NO")</f>
        <v>NO</v>
      </c>
      <c r="AN188" s="267" t="str">
        <f>IF(ISNUMBER(SEARCH("H", 'Dry_Litterbag Placem_Collection'!S189)),"YES","NO")</f>
        <v>NO</v>
      </c>
      <c r="AO188" s="267" t="str">
        <f>IF(ISNUMBER(SEARCH("R", 'Dry_Litterbag Placem_Collection'!S189)),"YES","NO")</f>
        <v>YES</v>
      </c>
    </row>
    <row r="189" spans="1:41" ht="15" customHeight="1">
      <c r="A189" s="259" t="s">
        <v>2643</v>
      </c>
      <c r="B189" s="260">
        <f>'Dry_Litterbag Placem_Collection'!A190</f>
        <v>188</v>
      </c>
      <c r="C189" s="260" t="str">
        <f>'Dry_Litterbag Placem_Collection'!B190</f>
        <v>Handajega</v>
      </c>
      <c r="D189" s="260" t="s">
        <v>2454</v>
      </c>
      <c r="E189" s="260" t="s">
        <v>2645</v>
      </c>
      <c r="F189" s="260">
        <v>4</v>
      </c>
      <c r="G189" s="260" t="s">
        <v>3829</v>
      </c>
      <c r="H189" s="261" t="str">
        <f>'Dry_Litterbag Placem_Collection'!C190</f>
        <v>Wet_W4_T4</v>
      </c>
      <c r="I189" s="262" t="s">
        <v>2525</v>
      </c>
      <c r="J189" s="263" t="s">
        <v>1147</v>
      </c>
      <c r="K189" s="260" t="str">
        <f>IF(ISBLANK('Dry_Litterbag Placem_Collection'!J190),"","G"&amp;""&amp;'Dry_Litterbag Placem_Collection'!J190)</f>
        <v>G146</v>
      </c>
      <c r="L189" s="264">
        <f>IFERROR(INDEX('Green_rooibos initial weight'!$C$5:$C$2000,MATCH(K189, 'Green_rooibos initial weight'!$A$5:$A$2000,0)),"")</f>
        <v>2.0529999999999999</v>
      </c>
      <c r="M189" s="264">
        <f>IFERROR(L189-(TBIcalc!$Q$9+TBIcalc!$Q$10),"")</f>
        <v>1.8031999999999999</v>
      </c>
      <c r="N189" s="385">
        <f>AVERAGE(Ashed_controlls!$K$2:$K$11)</f>
        <v>5.5147656768714146</v>
      </c>
      <c r="O189" s="264">
        <f t="shared" si="11"/>
        <v>1.7037577453146546</v>
      </c>
      <c r="P189" s="264">
        <f>IFERROR(INDEX('Both teabags AfterDry'!$D$2:$D$2000,MATCH(K189,'Both teabags AfterDry'!$A$2:$A$2000,0)),"")</f>
        <v>0.91069999999999995</v>
      </c>
      <c r="Q189" s="264">
        <f>IFERROR(IF(P189&gt;0,P189-(TBIcalc!$Q$9),""),"")</f>
        <v>0.7601</v>
      </c>
      <c r="R189" s="275">
        <f>IFERROR(INDEX('Ashed teabags dry'!$K$2:$K$2000,MATCH(K189,'Ashed teabags dry'!$A$2:$A$2000,0)),"")</f>
        <v>39.03411608329683</v>
      </c>
      <c r="S189" s="275">
        <f t="shared" si="12"/>
        <v>0.46340168365086076</v>
      </c>
      <c r="T189" s="265">
        <f>IF('Dry_Litterbag Placem_Collection'!E190="","",'Dry_Litterbag Placem_Collection'!E190)</f>
        <v>42940</v>
      </c>
      <c r="U189" s="265">
        <f>IF('Dry_Litterbag Placem_Collection'!G190="","",'Dry_Litterbag Placem_Collection'!G190)</f>
        <v>43009</v>
      </c>
      <c r="V189" s="266">
        <f t="shared" si="10"/>
        <v>69</v>
      </c>
      <c r="W189" s="264">
        <f t="shared" si="13"/>
        <v>1.0430999999999999</v>
      </c>
      <c r="X189" s="264">
        <f t="shared" si="14"/>
        <v>1.2403560616637939</v>
      </c>
      <c r="Y189" s="268">
        <f>IFERROR(INDEX(Rainfall_Dry!$O$2:$O$217,MATCH(B189, Rainfall_Dry!$A$2:$A$217,0)),"")</f>
        <v>162.634207253</v>
      </c>
      <c r="Z189" s="257">
        <v>25.96</v>
      </c>
      <c r="AA189" s="257">
        <v>8.9200000000000017</v>
      </c>
      <c r="AB189" s="257">
        <v>65.12</v>
      </c>
      <c r="AC189" s="258" t="s">
        <v>2654</v>
      </c>
      <c r="AD189" s="257">
        <v>4.6991621488417898</v>
      </c>
      <c r="AE189">
        <f>IF('WetLitterbags placem_collection'!AB190="","",'WetLitterbags placem_collection'!AB190)</f>
        <v>2.2999999999999998</v>
      </c>
      <c r="AF189">
        <f>IF('WetLitterbags placem_collection'!Z190="","",'WetLitterbags placem_collection'!Z190)</f>
        <v>14.4</v>
      </c>
      <c r="AG189" s="243" t="str">
        <f>IF('WetLitterbags placem_collection'!AA190="","",'WetLitterbags placem_collection'!AA190)</f>
        <v>O</v>
      </c>
      <c r="AH189">
        <f>IF('WetLitterbags placem_collection'!AC190="","",'WetLitterbags placem_collection'!AC190)</f>
        <v>0</v>
      </c>
      <c r="AI189">
        <f>IFERROR(AVERAGE('Dry_Litterbag Placem_Collection'!O190,'Dry_Litterbag Placem_Collection'!R190),"")</f>
        <v>7.35</v>
      </c>
      <c r="AJ189" s="268">
        <f>IFERROR(AVERAGE('Dry_Litterbag Placem_Collection'!N190,'Dry_Litterbag Placem_Collection'!Q190),"")</f>
        <v>34.150000000000006</v>
      </c>
      <c r="AK189" s="267">
        <f>INDEX(Coordinates!$B$2:$B$197,MATCH(H189,Coordinates!$J$2:$J$197,0))</f>
        <v>-2.278422983</v>
      </c>
      <c r="AL189" s="267">
        <f>INDEX(Coordinates!$C$2:$C$197,MATCH(H189,Coordinates!$J$2:$J$197,0))</f>
        <v>34.032261009999999</v>
      </c>
      <c r="AM189" s="267" t="str">
        <f>IF(ISNUMBER(SEARCH("C", 'Dry_Litterbag Placem_Collection'!S190)),"YES","NO")</f>
        <v>NO</v>
      </c>
      <c r="AN189" s="267" t="str">
        <f>IF(ISNUMBER(SEARCH("H", 'Dry_Litterbag Placem_Collection'!S190)),"YES","NO")</f>
        <v>YES</v>
      </c>
      <c r="AO189" s="267" t="str">
        <f>IF(ISNUMBER(SEARCH("R", 'Dry_Litterbag Placem_Collection'!S190)),"YES","NO")</f>
        <v>YES</v>
      </c>
    </row>
    <row r="190" spans="1:41" ht="15" customHeight="1">
      <c r="A190" s="259" t="s">
        <v>2643</v>
      </c>
      <c r="B190" s="260">
        <f>'Dry_Litterbag Placem_Collection'!A191</f>
        <v>189</v>
      </c>
      <c r="C190" s="260" t="str">
        <f>'Dry_Litterbag Placem_Collection'!B191</f>
        <v>Handajega</v>
      </c>
      <c r="D190" s="260" t="s">
        <v>2454</v>
      </c>
      <c r="E190" s="260" t="s">
        <v>2645</v>
      </c>
      <c r="F190" s="260">
        <v>4</v>
      </c>
      <c r="G190" s="260" t="s">
        <v>3829</v>
      </c>
      <c r="H190" s="261" t="str">
        <f>'Dry_Litterbag Placem_Collection'!C191</f>
        <v>Wet_W4_T5</v>
      </c>
      <c r="I190" s="262" t="s">
        <v>2525</v>
      </c>
      <c r="J190" s="263" t="s">
        <v>1147</v>
      </c>
      <c r="K190" s="260" t="str">
        <f>IF(ISBLANK('Dry_Litterbag Placem_Collection'!J191),"","G"&amp;""&amp;'Dry_Litterbag Placem_Collection'!J191)</f>
        <v>G144</v>
      </c>
      <c r="L190" s="264">
        <f>IFERROR(INDEX('Green_rooibos initial weight'!$C$5:$C$2000,MATCH(K190, 'Green_rooibos initial weight'!$A$5:$A$2000,0)),"")</f>
        <v>2.0230000000000001</v>
      </c>
      <c r="M190" s="264">
        <f>IFERROR(L190-(TBIcalc!$Q$9+TBIcalc!$Q$10),"")</f>
        <v>1.7732000000000001</v>
      </c>
      <c r="N190" s="385">
        <f>AVERAGE(Ashed_controlls!$K$2:$K$11)</f>
        <v>5.5147656768714146</v>
      </c>
      <c r="O190" s="264">
        <f t="shared" si="11"/>
        <v>1.6754121750177162</v>
      </c>
      <c r="P190" s="264">
        <f>IFERROR(INDEX('Both teabags AfterDry'!$D$2:$D$2000,MATCH(K190,'Both teabags AfterDry'!$A$2:$A$2000,0)),"")</f>
        <v>0.68520000000000003</v>
      </c>
      <c r="Q190" s="264">
        <f>IFERROR(IF(P190&gt;0,P190-(TBIcalc!$Q$9),""),"")</f>
        <v>0.53459999999999996</v>
      </c>
      <c r="R190" s="275">
        <f>IFERROR(INDEX('Ashed teabags dry'!$K$2:$K$2000,MATCH(K190,'Ashed teabags dry'!$A$2:$A$2000,0)),"")</f>
        <v>22.366450324513245</v>
      </c>
      <c r="S190" s="275">
        <f t="shared" si="12"/>
        <v>0.41502895656515215</v>
      </c>
      <c r="T190" s="265">
        <f>IF('Dry_Litterbag Placem_Collection'!E191="","",'Dry_Litterbag Placem_Collection'!E191)</f>
        <v>42940</v>
      </c>
      <c r="U190" s="265">
        <f>IF('Dry_Litterbag Placem_Collection'!G191="","",'Dry_Litterbag Placem_Collection'!G191)</f>
        <v>43009</v>
      </c>
      <c r="V190" s="266">
        <f t="shared" si="10"/>
        <v>69</v>
      </c>
      <c r="W190" s="264">
        <f t="shared" si="13"/>
        <v>1.2386000000000001</v>
      </c>
      <c r="X190" s="264">
        <f t="shared" si="14"/>
        <v>1.2603832184525641</v>
      </c>
      <c r="Y190" s="268">
        <f>IFERROR(INDEX(Rainfall_Dry!$O$2:$O$217,MATCH(B190, Rainfall_Dry!$A$2:$A$217,0)),"")</f>
        <v>162.634207253</v>
      </c>
      <c r="Z190" s="257">
        <v>25.96</v>
      </c>
      <c r="AA190" s="257">
        <v>8.9200000000000017</v>
      </c>
      <c r="AB190" s="257">
        <v>65.12</v>
      </c>
      <c r="AC190" s="258" t="s">
        <v>2654</v>
      </c>
      <c r="AD190" s="257">
        <v>5.6991621488417898</v>
      </c>
      <c r="AE190">
        <f>IF('WetLitterbags placem_collection'!AB191="","",'WetLitterbags placem_collection'!AB191)</f>
        <v>0.6</v>
      </c>
      <c r="AF190">
        <f>IF('WetLitterbags placem_collection'!Z191="","",'WetLitterbags placem_collection'!Z191)</f>
        <v>7</v>
      </c>
      <c r="AG190" s="243" t="str">
        <f>IF('WetLitterbags placem_collection'!AA191="","",'WetLitterbags placem_collection'!AA191)</f>
        <v>O</v>
      </c>
      <c r="AH190">
        <f>IF('WetLitterbags placem_collection'!AC191="","",'WetLitterbags placem_collection'!AC191)</f>
        <v>1</v>
      </c>
      <c r="AI190">
        <f>IFERROR(AVERAGE('Dry_Litterbag Placem_Collection'!O191,'Dry_Litterbag Placem_Collection'!R191),"")</f>
        <v>5.5</v>
      </c>
      <c r="AJ190" s="268">
        <f>IFERROR(AVERAGE('Dry_Litterbag Placem_Collection'!N191,'Dry_Litterbag Placem_Collection'!Q191),"")</f>
        <v>33</v>
      </c>
      <c r="AK190" s="267">
        <f>INDEX(Coordinates!$B$2:$B$197,MATCH(H190,Coordinates!$J$2:$J$197,0))</f>
        <v>-2.2787580080000001</v>
      </c>
      <c r="AL190" s="267">
        <f>INDEX(Coordinates!$C$2:$C$197,MATCH(H190,Coordinates!$J$2:$J$197,0))</f>
        <v>34.032463010000001</v>
      </c>
      <c r="AM190" s="267" t="str">
        <f>IF(ISNUMBER(SEARCH("C", 'Dry_Litterbag Placem_Collection'!S191)),"YES","NO")</f>
        <v>NO</v>
      </c>
      <c r="AN190" s="267" t="str">
        <f>IF(ISNUMBER(SEARCH("H", 'Dry_Litterbag Placem_Collection'!S191)),"YES","NO")</f>
        <v>NO</v>
      </c>
      <c r="AO190" s="267" t="str">
        <f>IF(ISNUMBER(SEARCH("R", 'Dry_Litterbag Placem_Collection'!S191)),"YES","NO")</f>
        <v>YES</v>
      </c>
    </row>
    <row r="191" spans="1:41" ht="15" customHeight="1">
      <c r="A191" s="259" t="s">
        <v>2643</v>
      </c>
      <c r="B191" s="260">
        <f>'Dry_Litterbag Placem_Collection'!A192</f>
        <v>190</v>
      </c>
      <c r="C191" s="260" t="str">
        <f>'Dry_Litterbag Placem_Collection'!B192</f>
        <v>Handajega</v>
      </c>
      <c r="D191" s="260" t="s">
        <v>2454</v>
      </c>
      <c r="E191" s="260" t="s">
        <v>2645</v>
      </c>
      <c r="F191" s="260">
        <v>4</v>
      </c>
      <c r="G191" s="260" t="s">
        <v>3829</v>
      </c>
      <c r="H191" s="261" t="str">
        <f>'Dry_Litterbag Placem_Collection'!C192</f>
        <v>Wet_W4_T6</v>
      </c>
      <c r="I191" s="262" t="s">
        <v>2525</v>
      </c>
      <c r="J191" s="263" t="s">
        <v>1147</v>
      </c>
      <c r="K191" s="260" t="str">
        <f>IF(ISBLANK('Dry_Litterbag Placem_Collection'!J192),"","G"&amp;""&amp;'Dry_Litterbag Placem_Collection'!J192)</f>
        <v>G171</v>
      </c>
      <c r="L191" s="264">
        <f>IFERROR(INDEX('Green_rooibos initial weight'!$C$5:$C$2000,MATCH(K191, 'Green_rooibos initial weight'!$A$5:$A$2000,0)),"")</f>
        <v>1.9239999999999999</v>
      </c>
      <c r="M191" s="264">
        <f>IFERROR(L191-(TBIcalc!$Q$9+TBIcalc!$Q$10),"")</f>
        <v>1.6741999999999999</v>
      </c>
      <c r="N191" s="385">
        <f>AVERAGE(Ashed_controlls!$K$2:$K$11)</f>
        <v>5.5147656768714146</v>
      </c>
      <c r="O191" s="264">
        <f t="shared" si="11"/>
        <v>1.5818717930378188</v>
      </c>
      <c r="P191" s="264">
        <f>IFERROR(INDEX('Both teabags AfterDry'!$D$2:$D$2000,MATCH(K191,'Both teabags AfterDry'!$A$2:$A$2000,0)),"")</f>
        <v>0.75309999999999999</v>
      </c>
      <c r="Q191" s="264">
        <f>IFERROR(IF(P191&gt;0,P191-(TBIcalc!$Q$9),""),"")</f>
        <v>0.60250000000000004</v>
      </c>
      <c r="R191" s="275">
        <f>IFERROR(INDEX('Ashed teabags dry'!$K$2:$K$2000,MATCH(K191,'Ashed teabags dry'!$A$2:$A$2000,0)),"")</f>
        <v>24.915824915824324</v>
      </c>
      <c r="S191" s="275">
        <f t="shared" si="12"/>
        <v>0.45238215488215849</v>
      </c>
      <c r="T191" s="265">
        <f>IF('Dry_Litterbag Placem_Collection'!E192="","",'Dry_Litterbag Placem_Collection'!E192)</f>
        <v>42940</v>
      </c>
      <c r="U191" s="265">
        <f>IF('Dry_Litterbag Placem_Collection'!G192="","",'Dry_Litterbag Placem_Collection'!G192)</f>
        <v>43009</v>
      </c>
      <c r="V191" s="266">
        <f t="shared" si="10"/>
        <v>69</v>
      </c>
      <c r="W191" s="264">
        <f t="shared" si="13"/>
        <v>1.0716999999999999</v>
      </c>
      <c r="X191" s="264">
        <f t="shared" si="14"/>
        <v>1.1294896381556603</v>
      </c>
      <c r="Y191" s="268">
        <f>IFERROR(INDEX(Rainfall_Dry!$O$2:$O$217,MATCH(B191, Rainfall_Dry!$A$2:$A$217,0)),"")</f>
        <v>162.634207253</v>
      </c>
      <c r="Z191" s="257">
        <v>25.96</v>
      </c>
      <c r="AA191" s="257">
        <v>8.9200000000000017</v>
      </c>
      <c r="AB191" s="257">
        <v>65.12</v>
      </c>
      <c r="AC191" s="258" t="s">
        <v>2654</v>
      </c>
      <c r="AD191" s="257">
        <v>6.6991621488417898</v>
      </c>
      <c r="AE191">
        <f>IF('WetLitterbags placem_collection'!AB192="","",'WetLitterbags placem_collection'!AB192)</f>
        <v>9.5</v>
      </c>
      <c r="AF191">
        <f>IF('WetLitterbags placem_collection'!Z192="","",'WetLitterbags placem_collection'!Z192)</f>
        <v>17.399999999999999</v>
      </c>
      <c r="AG191" s="243" t="str">
        <f>IF('WetLitterbags placem_collection'!AA192="","",'WetLitterbags placem_collection'!AA192)</f>
        <v>O</v>
      </c>
      <c r="AH191">
        <f>IF('WetLitterbags placem_collection'!AC192="","",'WetLitterbags placem_collection'!AC192)</f>
        <v>0</v>
      </c>
      <c r="AI191">
        <f>IFERROR(AVERAGE('Dry_Litterbag Placem_Collection'!O192,'Dry_Litterbag Placem_Collection'!R192),"")</f>
        <v>5.0500000000000007</v>
      </c>
      <c r="AJ191" s="268">
        <f>IFERROR(AVERAGE('Dry_Litterbag Placem_Collection'!N192,'Dry_Litterbag Placem_Collection'!Q192),"")</f>
        <v>36.049999999999997</v>
      </c>
      <c r="AK191" s="267">
        <f>INDEX(Coordinates!$B$2:$B$197,MATCH(H191,Coordinates!$J$2:$J$197,0))</f>
        <v>-2.2787559960000001</v>
      </c>
      <c r="AL191" s="267">
        <f>INDEX(Coordinates!$C$2:$C$197,MATCH(H191,Coordinates!$J$2:$J$197,0))</f>
        <v>34.032268969999997</v>
      </c>
      <c r="AM191" s="267" t="str">
        <f>IF(ISNUMBER(SEARCH("C", 'Dry_Litterbag Placem_Collection'!S192)),"YES","NO")</f>
        <v>NO</v>
      </c>
      <c r="AN191" s="267" t="str">
        <f>IF(ISNUMBER(SEARCH("H", 'Dry_Litterbag Placem_Collection'!S192)),"YES","NO")</f>
        <v>NO</v>
      </c>
      <c r="AO191" s="267" t="str">
        <f>IF(ISNUMBER(SEARCH("R", 'Dry_Litterbag Placem_Collection'!S192)),"YES","NO")</f>
        <v>NO</v>
      </c>
    </row>
    <row r="192" spans="1:41" ht="15" customHeight="1">
      <c r="A192" s="259" t="s">
        <v>2643</v>
      </c>
      <c r="B192" s="260">
        <f>'Dry_Litterbag Placem_Collection'!A193</f>
        <v>191</v>
      </c>
      <c r="C192" s="260" t="str">
        <f>'Dry_Litterbag Placem_Collection'!B193</f>
        <v>Handajega</v>
      </c>
      <c r="D192" s="260" t="s">
        <v>2454</v>
      </c>
      <c r="E192" s="260" t="s">
        <v>2645</v>
      </c>
      <c r="F192" s="260">
        <v>4</v>
      </c>
      <c r="G192" s="260" t="s">
        <v>3829</v>
      </c>
      <c r="H192" s="261" t="str">
        <f>'Dry_Litterbag Placem_Collection'!C193</f>
        <v>Wet_W4_T7</v>
      </c>
      <c r="I192" s="262" t="s">
        <v>2525</v>
      </c>
      <c r="J192" s="263" t="s">
        <v>1147</v>
      </c>
      <c r="K192" s="260" t="str">
        <f>IF(ISBLANK('Dry_Litterbag Placem_Collection'!J193),"","G"&amp;""&amp;'Dry_Litterbag Placem_Collection'!J193)</f>
        <v>G232</v>
      </c>
      <c r="L192" s="264">
        <f>IFERROR(INDEX('Green_rooibos initial weight'!$C$5:$C$2000,MATCH(K192, 'Green_rooibos initial weight'!$A$5:$A$2000,0)),"")</f>
        <v>2.04</v>
      </c>
      <c r="M192" s="264">
        <f>IFERROR(L192-(TBIcalc!$Q$9+TBIcalc!$Q$10),"")</f>
        <v>1.7902</v>
      </c>
      <c r="N192" s="385">
        <f>AVERAGE(Ashed_controlls!$K$2:$K$11)</f>
        <v>5.5147656768714146</v>
      </c>
      <c r="O192" s="264">
        <f t="shared" si="11"/>
        <v>1.691474664852648</v>
      </c>
      <c r="P192" s="264">
        <f>IFERROR(INDEX('Both teabags AfterDry'!$D$2:$D$2000,MATCH(K192,'Both teabags AfterDry'!$A$2:$A$2000,0)),"")</f>
        <v>0.80369999999999997</v>
      </c>
      <c r="Q192" s="264">
        <f>IFERROR(IF(P192&gt;0,P192-(TBIcalc!$Q$9),""),"")</f>
        <v>0.65310000000000001</v>
      </c>
      <c r="R192" s="275">
        <f>IFERROR(INDEX('Ashed teabags dry'!$K$2:$K$2000,MATCH(K192,'Ashed teabags dry'!$A$2:$A$2000,0)),"")</f>
        <v>26.339066339066047</v>
      </c>
      <c r="S192" s="275">
        <f t="shared" si="12"/>
        <v>0.48107955773955968</v>
      </c>
      <c r="T192" s="265">
        <f>IF('Dry_Litterbag Placem_Collection'!E193="","",'Dry_Litterbag Placem_Collection'!E193)</f>
        <v>42940</v>
      </c>
      <c r="U192" s="265">
        <f>IF('Dry_Litterbag Placem_Collection'!G193="","",'Dry_Litterbag Placem_Collection'!G193)</f>
        <v>43009</v>
      </c>
      <c r="V192" s="266">
        <f t="shared" si="10"/>
        <v>69</v>
      </c>
      <c r="W192" s="264">
        <f t="shared" si="13"/>
        <v>1.1371</v>
      </c>
      <c r="X192" s="264">
        <f t="shared" si="14"/>
        <v>1.2103951071130883</v>
      </c>
      <c r="Y192" s="268">
        <f>IFERROR(INDEX(Rainfall_Dry!$O$2:$O$217,MATCH(B192, Rainfall_Dry!$A$2:$A$217,0)),"")</f>
        <v>162.634207253</v>
      </c>
      <c r="Z192" s="257">
        <v>25.96</v>
      </c>
      <c r="AA192" s="257">
        <v>8.9200000000000017</v>
      </c>
      <c r="AB192" s="257">
        <v>65.12</v>
      </c>
      <c r="AC192" s="258" t="s">
        <v>2654</v>
      </c>
      <c r="AD192" s="257">
        <v>7.6991621488417898</v>
      </c>
      <c r="AE192">
        <f>IF('WetLitterbags placem_collection'!AB193="","",'WetLitterbags placem_collection'!AB193)</f>
        <v>12.4</v>
      </c>
      <c r="AF192">
        <f>IF('WetLitterbags placem_collection'!Z193="","",'WetLitterbags placem_collection'!Z193)</f>
        <v>29.8</v>
      </c>
      <c r="AG192" s="243" t="str">
        <f>IF('WetLitterbags placem_collection'!AA193="","",'WetLitterbags placem_collection'!AA193)</f>
        <v>O</v>
      </c>
      <c r="AH192">
        <f>IF('WetLitterbags placem_collection'!AC193="","",'WetLitterbags placem_collection'!AC193)</f>
        <v>0</v>
      </c>
      <c r="AI192">
        <f>IFERROR(AVERAGE('Dry_Litterbag Placem_Collection'!O193,'Dry_Litterbag Placem_Collection'!R193),"")</f>
        <v>6.45</v>
      </c>
      <c r="AJ192" s="268">
        <f>IFERROR(AVERAGE('Dry_Litterbag Placem_Collection'!N193,'Dry_Litterbag Placem_Collection'!Q193),"")</f>
        <v>36.349999999999994</v>
      </c>
      <c r="AK192" s="267">
        <f>INDEX(Coordinates!$B$2:$B$197,MATCH(H192,Coordinates!$J$2:$J$197,0))</f>
        <v>-2.278704029</v>
      </c>
      <c r="AL192" s="267">
        <f>INDEX(Coordinates!$C$2:$C$197,MATCH(H192,Coordinates!$J$2:$J$197,0))</f>
        <v>34.032182970000001</v>
      </c>
      <c r="AM192" s="267" t="str">
        <f>IF(ISNUMBER(SEARCH("C", 'Dry_Litterbag Placem_Collection'!S193)),"YES","NO")</f>
        <v>NO</v>
      </c>
      <c r="AN192" s="267" t="str">
        <f>IF(ISNUMBER(SEARCH("H", 'Dry_Litterbag Placem_Collection'!S193)),"YES","NO")</f>
        <v>NO</v>
      </c>
      <c r="AO192" s="267" t="str">
        <f>IF(ISNUMBER(SEARCH("R", 'Dry_Litterbag Placem_Collection'!S193)),"YES","NO")</f>
        <v>NO</v>
      </c>
    </row>
    <row r="193" spans="1:41" ht="15" customHeight="1">
      <c r="A193" s="259" t="s">
        <v>2643</v>
      </c>
      <c r="B193" s="260">
        <f>'Dry_Litterbag Placem_Collection'!A194</f>
        <v>192</v>
      </c>
      <c r="C193" s="260" t="str">
        <f>'Dry_Litterbag Placem_Collection'!B194</f>
        <v>Handajega</v>
      </c>
      <c r="D193" s="260" t="s">
        <v>2454</v>
      </c>
      <c r="E193" s="260" t="s">
        <v>2645</v>
      </c>
      <c r="F193" s="260">
        <v>4</v>
      </c>
      <c r="G193" s="260" t="s">
        <v>3829</v>
      </c>
      <c r="H193" s="261" t="str">
        <f>'Dry_Litterbag Placem_Collection'!C194</f>
        <v>Wet_W4_T8</v>
      </c>
      <c r="I193" s="262" t="s">
        <v>2525</v>
      </c>
      <c r="J193" s="263" t="s">
        <v>1147</v>
      </c>
      <c r="K193" s="260" t="str">
        <f>IF(ISBLANK('Dry_Litterbag Placem_Collection'!J194),"","G"&amp;""&amp;'Dry_Litterbag Placem_Collection'!J194)</f>
        <v/>
      </c>
      <c r="L193" s="264" t="str">
        <f>IFERROR(INDEX('Green_rooibos initial weight'!$C$5:$C$2000,MATCH(K193, 'Green_rooibos initial weight'!$A$5:$A$2000,0)),"")</f>
        <v/>
      </c>
      <c r="M193" s="264" t="str">
        <f>IFERROR(L193-(TBIcalc!$Q$9+TBIcalc!$Q$10),"")</f>
        <v/>
      </c>
      <c r="N193" s="385">
        <f>AVERAGE(Ashed_controlls!$K$2:$K$11)</f>
        <v>5.5147656768714146</v>
      </c>
      <c r="O193" s="264" t="str">
        <f t="shared" si="11"/>
        <v/>
      </c>
      <c r="P193" s="264" t="str">
        <f>IFERROR(INDEX('Both teabags AfterDry'!$D$2:$D$2000,MATCH(K193,'Both teabags AfterDry'!$A$2:$A$2000,0)),"")</f>
        <v/>
      </c>
      <c r="Q193" s="264" t="str">
        <f>IFERROR(IF(P193&gt;0,P193-(TBIcalc!$Q$9),""),"")</f>
        <v/>
      </c>
      <c r="R193" s="275" t="str">
        <f>IFERROR(INDEX('Ashed teabags dry'!$K$2:$K$2000,MATCH(K193,'Ashed teabags dry'!$A$2:$A$2000,0)),"")</f>
        <v/>
      </c>
      <c r="S193" s="275" t="str">
        <f t="shared" si="12"/>
        <v/>
      </c>
      <c r="T193" s="265" t="str">
        <f>IF('Dry_Litterbag Placem_Collection'!E194="","",'Dry_Litterbag Placem_Collection'!E194)</f>
        <v/>
      </c>
      <c r="U193" s="265" t="str">
        <f>IF('Dry_Litterbag Placem_Collection'!G194="","",'Dry_Litterbag Placem_Collection'!G194)</f>
        <v/>
      </c>
      <c r="V193" s="266" t="str">
        <f t="shared" si="10"/>
        <v/>
      </c>
      <c r="W193" s="264" t="str">
        <f t="shared" si="13"/>
        <v/>
      </c>
      <c r="X193" s="264" t="str">
        <f t="shared" si="14"/>
        <v/>
      </c>
      <c r="Y193" s="268" t="str">
        <f>IFERROR(INDEX(Rainfall_Dry!$O$2:$O$217,MATCH(B193, Rainfall_Dry!$A$2:$A$217,0)),"")</f>
        <v/>
      </c>
      <c r="Z193" s="257">
        <v>25.96</v>
      </c>
      <c r="AA193" s="257">
        <v>8.9200000000000017</v>
      </c>
      <c r="AB193" s="257">
        <v>65.12</v>
      </c>
      <c r="AC193" s="258" t="s">
        <v>2654</v>
      </c>
      <c r="AD193" s="257">
        <v>8.6991621488417898</v>
      </c>
      <c r="AE193">
        <f>IF('WetLitterbags placem_collection'!AB194="","",'WetLitterbags placem_collection'!AB194)</f>
        <v>3.6</v>
      </c>
      <c r="AF193">
        <f>IF('WetLitterbags placem_collection'!Z194="","",'WetLitterbags placem_collection'!Z194)</f>
        <v>37.799999999999997</v>
      </c>
      <c r="AG193" s="243" t="str">
        <f>IF('WetLitterbags placem_collection'!AA194="","",'WetLitterbags placem_collection'!AA194)</f>
        <v>O</v>
      </c>
      <c r="AH193">
        <f>IF('WetLitterbags placem_collection'!AC194="","",'WetLitterbags placem_collection'!AC194)</f>
        <v>0</v>
      </c>
      <c r="AI193" t="str">
        <f>IFERROR(AVERAGE('Dry_Litterbag Placem_Collection'!O194,'Dry_Litterbag Placem_Collection'!R194),"")</f>
        <v/>
      </c>
      <c r="AJ193" s="268" t="str">
        <f>IFERROR(AVERAGE('Dry_Litterbag Placem_Collection'!N194,'Dry_Litterbag Placem_Collection'!Q194),"")</f>
        <v/>
      </c>
      <c r="AK193" s="267">
        <f>INDEX(Coordinates!$B$2:$B$197,MATCH(H193,Coordinates!$J$2:$J$197,0))</f>
        <v>-2.2789770269999998</v>
      </c>
      <c r="AL193" s="267">
        <f>INDEX(Coordinates!$C$2:$C$197,MATCH(H193,Coordinates!$J$2:$J$197,0))</f>
        <v>34.032051039999999</v>
      </c>
      <c r="AM193" s="267" t="str">
        <f>IF(ISNUMBER(SEARCH("C", 'Dry_Litterbag Placem_Collection'!S194)),"YES","NO")</f>
        <v>NO</v>
      </c>
      <c r="AN193" s="267" t="str">
        <f>IF(ISNUMBER(SEARCH("H", 'Dry_Litterbag Placem_Collection'!S194)),"YES","NO")</f>
        <v>NO</v>
      </c>
      <c r="AO193" s="267" t="str">
        <f>IF(ISNUMBER(SEARCH("R", 'Dry_Litterbag Placem_Collection'!S194)),"YES","NO")</f>
        <v>NO</v>
      </c>
    </row>
    <row r="194" spans="1:41" ht="15" customHeight="1">
      <c r="A194" s="259" t="s">
        <v>2643</v>
      </c>
      <c r="B194" s="260">
        <f>'Dry_Litterbag Placem_Collection'!A195</f>
        <v>193</v>
      </c>
      <c r="C194" s="260" t="str">
        <f>'Dry_Litterbag Placem_Collection'!B195</f>
        <v>Makao</v>
      </c>
      <c r="D194" s="260" t="s">
        <v>2643</v>
      </c>
      <c r="E194" s="260" t="s">
        <v>2512</v>
      </c>
      <c r="F194" s="260">
        <v>4</v>
      </c>
      <c r="G194" s="260" t="s">
        <v>3798</v>
      </c>
      <c r="H194" s="261" t="str">
        <f>'Dry_Litterbag Placem_Collection'!C195</f>
        <v>Dry_Ag1_CG4</v>
      </c>
      <c r="I194" s="262" t="s">
        <v>2525</v>
      </c>
      <c r="J194" s="263" t="s">
        <v>1147</v>
      </c>
      <c r="K194" s="260" t="str">
        <f>IF(ISBLANK('Dry_Litterbag Placem_Collection'!J195),"","G"&amp;""&amp;'Dry_Litterbag Placem_Collection'!J195)</f>
        <v>G257</v>
      </c>
      <c r="L194" s="264">
        <f>IFERROR(INDEX('Green_rooibos initial weight'!$C$5:$C$2000,MATCH(K194, 'Green_rooibos initial weight'!$A$5:$A$2000,0)),"")</f>
        <v>1.9319999999999999</v>
      </c>
      <c r="M194" s="264">
        <f>IFERROR(L194-(TBIcalc!$Q$9+TBIcalc!$Q$10),"")</f>
        <v>1.6821999999999999</v>
      </c>
      <c r="N194" s="385">
        <f>AVERAGE(Ashed_controlls!$K$2:$K$11)</f>
        <v>5.5147656768714146</v>
      </c>
      <c r="O194" s="264">
        <f t="shared" si="11"/>
        <v>1.589430611783669</v>
      </c>
      <c r="P194" s="264">
        <f>IFERROR(INDEX('Both teabags AfterDry'!$D$2:$D$2000,MATCH(K194,'Both teabags AfterDry'!$A$2:$A$2000,0)),"")</f>
        <v>0.67</v>
      </c>
      <c r="Q194" s="264">
        <f>IFERROR(IF(P194&gt;0,P194-(TBIcalc!$Q$9),""),"")</f>
        <v>0.51940000000000008</v>
      </c>
      <c r="R194" s="275">
        <f>IFERROR(INDEX('Ashed teabags dry'!$K$2:$K$2000,MATCH(K194,'Ashed teabags dry'!$A$2:$A$2000,0)),"")</f>
        <v>13.170731707316666</v>
      </c>
      <c r="S194" s="275">
        <f t="shared" si="12"/>
        <v>0.45099121951219734</v>
      </c>
      <c r="T194" s="265">
        <f>IF('Dry_Litterbag Placem_Collection'!E195="","",'Dry_Litterbag Placem_Collection'!E195)</f>
        <v>42942</v>
      </c>
      <c r="U194" s="265">
        <f>IF('Dry_Litterbag Placem_Collection'!G195="","",'Dry_Litterbag Placem_Collection'!G195)</f>
        <v>43004</v>
      </c>
      <c r="V194" s="266">
        <f t="shared" ref="V194:V257" si="15">IFERROR(U194-T194,"")</f>
        <v>62</v>
      </c>
      <c r="W194" s="264">
        <f t="shared" si="13"/>
        <v>1.1627999999999998</v>
      </c>
      <c r="X194" s="264">
        <f t="shared" si="14"/>
        <v>1.1384393922714717</v>
      </c>
      <c r="Y194" s="268">
        <f>IFERROR(INDEX(Rainfall_Dry!$O$2:$O$217,MATCH(B194, Rainfall_Dry!$A$2:$A$217,0)),"")</f>
        <v>171.84818423999999</v>
      </c>
      <c r="Z194" s="257">
        <v>12.565665055683967</v>
      </c>
      <c r="AA194" s="257">
        <v>0.9665896196679955</v>
      </c>
      <c r="AB194" s="257">
        <v>86.467745324648035</v>
      </c>
      <c r="AC194" s="258" t="s">
        <v>2656</v>
      </c>
      <c r="AD194" s="257">
        <v>1.0225726959093147</v>
      </c>
      <c r="AE194">
        <f>IF('WetLitterbags placem_collection'!AB195="","",'WetLitterbags placem_collection'!AB195)</f>
        <v>15.2</v>
      </c>
      <c r="AF194">
        <f>IF('WetLitterbags placem_collection'!Z195="","",'WetLitterbags placem_collection'!Z195)</f>
        <v>12.2</v>
      </c>
      <c r="AG194" s="243" t="str">
        <f>IF('WetLitterbags placem_collection'!AA195="","",'WetLitterbags placem_collection'!AA195)</f>
        <v>O</v>
      </c>
      <c r="AH194">
        <f>IF('WetLitterbags placem_collection'!AC195="","",'WetLitterbags placem_collection'!AC195)</f>
        <v>1</v>
      </c>
      <c r="AI194">
        <f>IFERROR(AVERAGE('Dry_Litterbag Placem_Collection'!O195,'Dry_Litterbag Placem_Collection'!R195),"")</f>
        <v>5.0999999999999996</v>
      </c>
      <c r="AJ194" s="268">
        <f>IFERROR(AVERAGE('Dry_Litterbag Placem_Collection'!N195,'Dry_Litterbag Placem_Collection'!Q195),"")</f>
        <v>28.799999999999997</v>
      </c>
      <c r="AK194">
        <v>-2.4396949910000001</v>
      </c>
      <c r="AL194">
        <v>34.838574029999997</v>
      </c>
      <c r="AM194" s="267" t="str">
        <f>IF(ISNUMBER(SEARCH("C", 'Dry_Litterbag Placem_Collection'!S195)),"YES","NO")</f>
        <v>NO</v>
      </c>
      <c r="AN194" s="267" t="str">
        <f>IF(ISNUMBER(SEARCH("H", 'Dry_Litterbag Placem_Collection'!S195)),"YES","NO")</f>
        <v>NO</v>
      </c>
      <c r="AO194" s="267" t="str">
        <f>IF(ISNUMBER(SEARCH("R", 'Dry_Litterbag Placem_Collection'!S195)),"YES","NO")</f>
        <v>YES</v>
      </c>
    </row>
    <row r="195" spans="1:41" ht="15" customHeight="1">
      <c r="A195" s="259" t="s">
        <v>2643</v>
      </c>
      <c r="B195" s="260">
        <f>'Dry_Litterbag Placem_Collection'!A196</f>
        <v>194</v>
      </c>
      <c r="C195" s="260" t="str">
        <f>'Dry_Litterbag Placem_Collection'!B196</f>
        <v>Makao</v>
      </c>
      <c r="D195" s="260" t="s">
        <v>2643</v>
      </c>
      <c r="E195" s="260" t="s">
        <v>2512</v>
      </c>
      <c r="F195" s="260">
        <v>3</v>
      </c>
      <c r="G195" s="260" t="s">
        <v>3802</v>
      </c>
      <c r="H195" s="261" t="str">
        <f>'Dry_Litterbag Placem_Collection'!C196</f>
        <v>Dry_Ag2_CG3</v>
      </c>
      <c r="I195" s="262" t="s">
        <v>2525</v>
      </c>
      <c r="J195" s="263" t="s">
        <v>1147</v>
      </c>
      <c r="K195" s="260" t="str">
        <f>IF(ISBLANK('Dry_Litterbag Placem_Collection'!J196),"","G"&amp;""&amp;'Dry_Litterbag Placem_Collection'!J196)</f>
        <v>G148</v>
      </c>
      <c r="L195" s="264">
        <f>IFERROR(INDEX('Green_rooibos initial weight'!$C$5:$C$2000,MATCH(K195, 'Green_rooibos initial weight'!$A$5:$A$2000,0)),"")</f>
        <v>2.0710000000000002</v>
      </c>
      <c r="M195" s="264">
        <f>IFERROR(L195-(TBIcalc!$Q$9+TBIcalc!$Q$10),"")</f>
        <v>1.8212000000000002</v>
      </c>
      <c r="N195" s="385">
        <f>AVERAGE(Ashed_controlls!$K$2:$K$11)</f>
        <v>5.5147656768714146</v>
      </c>
      <c r="O195" s="264">
        <f t="shared" ref="O195:O258" si="16">IFERROR(M195-(N195/100)*M195,"")</f>
        <v>1.720765087492818</v>
      </c>
      <c r="P195" s="264">
        <f>IFERROR(INDEX('Both teabags AfterDry'!$D$2:$D$2000,MATCH(K195,'Both teabags AfterDry'!$A$2:$A$2000,0)),"")</f>
        <v>0.433</v>
      </c>
      <c r="Q195" s="264">
        <f>IFERROR(IF(P195&gt;0,P195-(TBIcalc!$Q$9),""),"")</f>
        <v>0.28239999999999998</v>
      </c>
      <c r="R195" s="275">
        <f>IFERROR(INDEX('Ashed teabags dry'!$K$2:$K$2000,MATCH(K195,'Ashed teabags dry'!$A$2:$A$2000,0)),"")</f>
        <v>15.447941888619916</v>
      </c>
      <c r="S195" s="275">
        <f t="shared" ref="S195:S258" si="17">IFERROR(Q195-(R195/100)*Q195,"")</f>
        <v>0.23877501210653734</v>
      </c>
      <c r="T195" s="265">
        <f>IF('Dry_Litterbag Placem_Collection'!E196="","",'Dry_Litterbag Placem_Collection'!E196)</f>
        <v>42942</v>
      </c>
      <c r="U195" s="265">
        <f>IF('Dry_Litterbag Placem_Collection'!G196="","",'Dry_Litterbag Placem_Collection'!G196)</f>
        <v>43004</v>
      </c>
      <c r="V195" s="266">
        <f t="shared" si="15"/>
        <v>62</v>
      </c>
      <c r="W195" s="264">
        <f t="shared" ref="W195:W258" si="18">IFERROR(M195-Q195,"")</f>
        <v>1.5388000000000002</v>
      </c>
      <c r="X195" s="264">
        <f t="shared" ref="X195:X258" si="19">IFERROR(O195-S195,"")</f>
        <v>1.4819900753862807</v>
      </c>
      <c r="Y195" s="268">
        <f>IFERROR(INDEX(Rainfall_Dry!$O$2:$O$217,MATCH(B195, Rainfall_Dry!$A$2:$A$217,0)),"")</f>
        <v>171.84818423999999</v>
      </c>
      <c r="Z195" s="257">
        <v>21.13063730679653</v>
      </c>
      <c r="AA195" s="257">
        <v>3.0912555579081076</v>
      </c>
      <c r="AB195" s="257">
        <v>75.778107135295357</v>
      </c>
      <c r="AC195" s="258" t="s">
        <v>2654</v>
      </c>
      <c r="AD195" s="257">
        <v>0.46131099063578063</v>
      </c>
      <c r="AE195">
        <f>IF('WetLitterbags placem_collection'!AB196="","",'WetLitterbags placem_collection'!AB196)</f>
        <v>7.9</v>
      </c>
      <c r="AF195">
        <f>IF('WetLitterbags placem_collection'!Z196="","",'WetLitterbags placem_collection'!Z196)</f>
        <v>7.9</v>
      </c>
      <c r="AG195" s="243" t="str">
        <f>IF('WetLitterbags placem_collection'!AA196="","",'WetLitterbags placem_collection'!AA196)</f>
        <v>O</v>
      </c>
      <c r="AH195">
        <f>IF('WetLitterbags placem_collection'!AC196="","",'WetLitterbags placem_collection'!AC196)</f>
        <v>1</v>
      </c>
      <c r="AI195">
        <f>IFERROR(AVERAGE('Dry_Litterbag Placem_Collection'!O196,'Dry_Litterbag Placem_Collection'!R196),"")</f>
        <v>5.4</v>
      </c>
      <c r="AJ195" s="268">
        <f>IFERROR(AVERAGE('Dry_Litterbag Placem_Collection'!N196,'Dry_Litterbag Placem_Collection'!Q196),"")</f>
        <v>30.849999999999998</v>
      </c>
      <c r="AK195">
        <v>-2.4395990190000001</v>
      </c>
      <c r="AL195">
        <v>34.838418959999998</v>
      </c>
      <c r="AM195" s="267" t="str">
        <f>IF(ISNUMBER(SEARCH("C", 'Dry_Litterbag Placem_Collection'!S196)),"YES","NO")</f>
        <v>NO</v>
      </c>
      <c r="AN195" s="267" t="str">
        <f>IF(ISNUMBER(SEARCH("H", 'Dry_Litterbag Placem_Collection'!S196)),"YES","NO")</f>
        <v>YES</v>
      </c>
      <c r="AO195" s="267" t="str">
        <f>IF(ISNUMBER(SEARCH("R", 'Dry_Litterbag Placem_Collection'!S196)),"YES","NO")</f>
        <v>YES</v>
      </c>
    </row>
    <row r="196" spans="1:41" ht="15" customHeight="1">
      <c r="A196" s="259" t="s">
        <v>2643</v>
      </c>
      <c r="B196" s="260">
        <f>'Dry_Litterbag Placem_Collection'!A197</f>
        <v>195</v>
      </c>
      <c r="C196" s="260" t="str">
        <f>'Dry_Litterbag Placem_Collection'!B197</f>
        <v>Makao</v>
      </c>
      <c r="D196" s="260" t="s">
        <v>2643</v>
      </c>
      <c r="E196" s="260" t="s">
        <v>2512</v>
      </c>
      <c r="F196" s="260">
        <v>2</v>
      </c>
      <c r="G196" s="260" t="s">
        <v>3803</v>
      </c>
      <c r="H196" s="261" t="str">
        <f>'Dry_Litterbag Placem_Collection'!C197</f>
        <v>Dry_Ag3_CG2</v>
      </c>
      <c r="I196" s="262" t="s">
        <v>2525</v>
      </c>
      <c r="J196" s="263" t="s">
        <v>1147</v>
      </c>
      <c r="K196" s="260" t="str">
        <f>IF(ISBLANK('Dry_Litterbag Placem_Collection'!J197),"","G"&amp;""&amp;'Dry_Litterbag Placem_Collection'!J197)</f>
        <v>G105</v>
      </c>
      <c r="L196" s="264">
        <f>IFERROR(INDEX('Green_rooibos initial weight'!$C$5:$C$2000,MATCH(K196, 'Green_rooibos initial weight'!$A$5:$A$2000,0)),"")</f>
        <v>2.1440000000000001</v>
      </c>
      <c r="M196" s="264">
        <f>IFERROR(L196-(TBIcalc!$Q$9+TBIcalc!$Q$10),"")</f>
        <v>1.8942000000000001</v>
      </c>
      <c r="N196" s="385">
        <f>AVERAGE(Ashed_controlls!$K$2:$K$11)</f>
        <v>5.5147656768714146</v>
      </c>
      <c r="O196" s="264">
        <f t="shared" si="16"/>
        <v>1.7897393085487017</v>
      </c>
      <c r="P196" s="264">
        <f>IFERROR(INDEX('Both teabags AfterDry'!$D$2:$D$2000,MATCH(K196,'Both teabags AfterDry'!$A$2:$A$2000,0)),"")</f>
        <v>1.2050000000000001</v>
      </c>
      <c r="Q196" s="264">
        <f>IFERROR(IF(P196&gt;0,P196-(TBIcalc!$Q$9),""),"")</f>
        <v>1.0544</v>
      </c>
      <c r="R196" s="275">
        <f>IFERROR(INDEX('Ashed teabags dry'!$K$2:$K$2000,MATCH(K196,'Ashed teabags dry'!$A$2:$A$2000,0)),"")</f>
        <v>44.075144508670796</v>
      </c>
      <c r="S196" s="275">
        <f t="shared" si="17"/>
        <v>0.58967167630057515</v>
      </c>
      <c r="T196" s="265">
        <f>IF('Dry_Litterbag Placem_Collection'!E197="","",'Dry_Litterbag Placem_Collection'!E197)</f>
        <v>42942</v>
      </c>
      <c r="U196" s="265">
        <f>IF('Dry_Litterbag Placem_Collection'!G197="","",'Dry_Litterbag Placem_Collection'!G197)</f>
        <v>43004</v>
      </c>
      <c r="V196" s="266">
        <f t="shared" si="15"/>
        <v>62</v>
      </c>
      <c r="W196" s="264">
        <f t="shared" si="18"/>
        <v>0.8398000000000001</v>
      </c>
      <c r="X196" s="264">
        <f t="shared" si="19"/>
        <v>1.2000676322481265</v>
      </c>
      <c r="Y196" s="268">
        <f>IFERROR(INDEX(Rainfall_Dry!$O$2:$O$217,MATCH(B196, Rainfall_Dry!$A$2:$A$217,0)),"")</f>
        <v>171.84818423999999</v>
      </c>
      <c r="Z196" s="257">
        <v>54.080969906906262</v>
      </c>
      <c r="AA196" s="257">
        <v>21.264484651351896</v>
      </c>
      <c r="AB196" s="257">
        <v>24.654545441741845</v>
      </c>
      <c r="AC196" s="258" t="s">
        <v>2657</v>
      </c>
      <c r="AD196" s="257">
        <v>1.8433218334154755</v>
      </c>
      <c r="AE196">
        <f>IF('WetLitterbags placem_collection'!AB197="","",'WetLitterbags placem_collection'!AB197)</f>
        <v>5.13</v>
      </c>
      <c r="AF196">
        <f>IF('WetLitterbags placem_collection'!Z197="","",'WetLitterbags placem_collection'!Z197)</f>
        <v>5.13</v>
      </c>
      <c r="AG196" s="243" t="str">
        <f>IF('WetLitterbags placem_collection'!AA197="","",'WetLitterbags placem_collection'!AA197)</f>
        <v>O</v>
      </c>
      <c r="AH196">
        <f>IF('WetLitterbags placem_collection'!AC197="","",'WetLitterbags placem_collection'!AC197)</f>
        <v>1</v>
      </c>
      <c r="AI196">
        <f>IFERROR(AVERAGE('Dry_Litterbag Placem_Collection'!O197,'Dry_Litterbag Placem_Collection'!R197),"")</f>
        <v>11.4</v>
      </c>
      <c r="AJ196" s="268">
        <f>IFERROR(AVERAGE('Dry_Litterbag Placem_Collection'!N197,'Dry_Litterbag Placem_Collection'!Q197),"")</f>
        <v>28.1</v>
      </c>
      <c r="AK196">
        <v>-2.4396450349999999</v>
      </c>
      <c r="AL196">
        <v>34.83836599</v>
      </c>
      <c r="AM196" s="267" t="str">
        <f>IF(ISNUMBER(SEARCH("C", 'Dry_Litterbag Placem_Collection'!S197)),"YES","NO")</f>
        <v>NO</v>
      </c>
      <c r="AN196" s="267" t="str">
        <f>IF(ISNUMBER(SEARCH("H", 'Dry_Litterbag Placem_Collection'!S197)),"YES","NO")</f>
        <v>YES</v>
      </c>
      <c r="AO196" s="267" t="str">
        <f>IF(ISNUMBER(SEARCH("R", 'Dry_Litterbag Placem_Collection'!S197)),"YES","NO")</f>
        <v>YES</v>
      </c>
    </row>
    <row r="197" spans="1:41" ht="15" customHeight="1">
      <c r="A197" s="259" t="s">
        <v>2643</v>
      </c>
      <c r="B197" s="260">
        <f>'Dry_Litterbag Placem_Collection'!A198</f>
        <v>196</v>
      </c>
      <c r="C197" s="260" t="str">
        <f>'Dry_Litterbag Placem_Collection'!B198</f>
        <v>Makao</v>
      </c>
      <c r="D197" s="260" t="s">
        <v>2643</v>
      </c>
      <c r="E197" s="260" t="s">
        <v>2512</v>
      </c>
      <c r="F197" s="260">
        <v>1</v>
      </c>
      <c r="G197" s="260" t="s">
        <v>3804</v>
      </c>
      <c r="H197" s="261" t="str">
        <f>'Dry_Litterbag Placem_Collection'!C198</f>
        <v>Dry_Ag4_CG1</v>
      </c>
      <c r="I197" s="262" t="s">
        <v>2525</v>
      </c>
      <c r="J197" s="263" t="s">
        <v>1147</v>
      </c>
      <c r="K197" s="260" t="str">
        <f>IF(ISBLANK('Dry_Litterbag Placem_Collection'!J198),"","G"&amp;""&amp;'Dry_Litterbag Placem_Collection'!J198)</f>
        <v>G12</v>
      </c>
      <c r="L197" s="264">
        <f>IFERROR(INDEX('Green_rooibos initial weight'!$C$5:$C$2000,MATCH(K197, 'Green_rooibos initial weight'!$A$5:$A$2000,0)),"")</f>
        <v>1.9870000000000001</v>
      </c>
      <c r="M197" s="264">
        <f>IFERROR(L197-(TBIcalc!$Q$9+TBIcalc!$Q$10),"")</f>
        <v>1.7372000000000001</v>
      </c>
      <c r="N197" s="385">
        <f>AVERAGE(Ashed_controlls!$K$2:$K$11)</f>
        <v>5.5147656768714146</v>
      </c>
      <c r="O197" s="264">
        <f t="shared" si="16"/>
        <v>1.64139749066139</v>
      </c>
      <c r="P197" s="264">
        <f>IFERROR(INDEX('Both teabags AfterDry'!$D$2:$D$2000,MATCH(K197,'Both teabags AfterDry'!$A$2:$A$2000,0)),"")</f>
        <v>0.748</v>
      </c>
      <c r="Q197" s="264">
        <f>IFERROR(IF(P197&gt;0,P197-(TBIcalc!$Q$9),""),"")</f>
        <v>0.59739999999999993</v>
      </c>
      <c r="R197" s="275">
        <f>IFERROR(INDEX('Ashed teabags dry'!$K$2:$K$2000,MATCH(K197,'Ashed teabags dry'!$A$2:$A$2000,0)),"")</f>
        <v>27.855421686746478</v>
      </c>
      <c r="S197" s="275">
        <f t="shared" si="17"/>
        <v>0.43099171084337651</v>
      </c>
      <c r="T197" s="265">
        <f>IF('Dry_Litterbag Placem_Collection'!E198="","",'Dry_Litterbag Placem_Collection'!E198)</f>
        <v>42942</v>
      </c>
      <c r="U197" s="265">
        <f>IF('Dry_Litterbag Placem_Collection'!G198="","",'Dry_Litterbag Placem_Collection'!G198)</f>
        <v>43004</v>
      </c>
      <c r="V197" s="266">
        <f t="shared" si="15"/>
        <v>62</v>
      </c>
      <c r="W197" s="264">
        <f t="shared" si="18"/>
        <v>1.1398000000000001</v>
      </c>
      <c r="X197" s="264">
        <f t="shared" si="19"/>
        <v>1.2104057798180134</v>
      </c>
      <c r="Y197" s="268">
        <f>IFERROR(INDEX(Rainfall_Dry!$O$2:$O$217,MATCH(B197, Rainfall_Dry!$A$2:$A$217,0)),"")</f>
        <v>171.84818423999999</v>
      </c>
      <c r="Z197" s="257">
        <v>51.960000000000008</v>
      </c>
      <c r="AA197" s="257">
        <v>18.919999999999995</v>
      </c>
      <c r="AB197" s="257">
        <v>29.120000000000005</v>
      </c>
      <c r="AC197" s="258" t="s">
        <v>2657</v>
      </c>
      <c r="AD197" s="257">
        <v>1.85293247905372</v>
      </c>
      <c r="AE197">
        <f>IF('WetLitterbags placem_collection'!AB198="","",'WetLitterbags placem_collection'!AB198)</f>
        <v>13.8</v>
      </c>
      <c r="AF197">
        <f>IF('WetLitterbags placem_collection'!Z198="","",'WetLitterbags placem_collection'!Z198)</f>
        <v>17.399999999999999</v>
      </c>
      <c r="AG197" s="243" t="str">
        <f>IF('WetLitterbags placem_collection'!AA198="","",'WetLitterbags placem_collection'!AA198)</f>
        <v>O</v>
      </c>
      <c r="AH197">
        <f>IF('WetLitterbags placem_collection'!AC198="","",'WetLitterbags placem_collection'!AC198)</f>
        <v>1</v>
      </c>
      <c r="AI197">
        <f>IFERROR(AVERAGE('Dry_Litterbag Placem_Collection'!O198,'Dry_Litterbag Placem_Collection'!R198),"")</f>
        <v>12.45</v>
      </c>
      <c r="AJ197" s="268">
        <f>IFERROR(AVERAGE('Dry_Litterbag Placem_Collection'!N198,'Dry_Litterbag Placem_Collection'!Q198),"")</f>
        <v>26.65</v>
      </c>
      <c r="AK197">
        <v>-2.439403972</v>
      </c>
      <c r="AL197">
        <v>34.838404959999998</v>
      </c>
      <c r="AM197" s="267" t="str">
        <f>IF(ISNUMBER(SEARCH("C", 'Dry_Litterbag Placem_Collection'!S198)),"YES","NO")</f>
        <v>NO</v>
      </c>
      <c r="AN197" s="267" t="str">
        <f>IF(ISNUMBER(SEARCH("H", 'Dry_Litterbag Placem_Collection'!S198)),"YES","NO")</f>
        <v>YES</v>
      </c>
      <c r="AO197" s="267" t="str">
        <f>IF(ISNUMBER(SEARCH("R", 'Dry_Litterbag Placem_Collection'!S198)),"YES","NO")</f>
        <v>NO</v>
      </c>
    </row>
    <row r="198" spans="1:41" ht="15" customHeight="1">
      <c r="A198" s="259" t="s">
        <v>2643</v>
      </c>
      <c r="B198" s="260">
        <f>'Dry_Litterbag Placem_Collection'!A199</f>
        <v>197</v>
      </c>
      <c r="C198" s="260" t="str">
        <f>'Dry_Litterbag Placem_Collection'!B199</f>
        <v>Makao</v>
      </c>
      <c r="D198" s="260" t="s">
        <v>2643</v>
      </c>
      <c r="E198" s="260" t="s">
        <v>2512</v>
      </c>
      <c r="F198" s="260">
        <v>2</v>
      </c>
      <c r="G198" s="260" t="s">
        <v>3805</v>
      </c>
      <c r="H198" s="261" t="str">
        <f>'Dry_Litterbag Placem_Collection'!C199</f>
        <v>Dry_P1_CG2</v>
      </c>
      <c r="I198" s="262" t="s">
        <v>2525</v>
      </c>
      <c r="J198" s="263" t="s">
        <v>1147</v>
      </c>
      <c r="K198" s="260" t="str">
        <f>IF(ISBLANK('Dry_Litterbag Placem_Collection'!J199),"","G"&amp;""&amp;'Dry_Litterbag Placem_Collection'!J199)</f>
        <v>G399</v>
      </c>
      <c r="L198" s="264">
        <f>IFERROR(INDEX('Green_rooibos initial weight'!$C$5:$C$2000,MATCH(K198, 'Green_rooibos initial weight'!$A$5:$A$2000,0)),"")</f>
        <v>2.0070000000000001</v>
      </c>
      <c r="M198" s="264">
        <f>IFERROR(L198-(TBIcalc!$Q$9+TBIcalc!$Q$10),"")</f>
        <v>1.7572000000000001</v>
      </c>
      <c r="N198" s="385">
        <f>AVERAGE(Ashed_controlls!$K$2:$K$11)</f>
        <v>5.5147656768714146</v>
      </c>
      <c r="O198" s="264">
        <f t="shared" si="16"/>
        <v>1.6602945375260156</v>
      </c>
      <c r="P198" s="264">
        <f>IFERROR(INDEX('Both teabags AfterDry'!$D$2:$D$2000,MATCH(K198,'Both teabags AfterDry'!$A$2:$A$2000,0)),"")</f>
        <v>0.69</v>
      </c>
      <c r="Q198" s="264">
        <f>IFERROR(IF(P198&gt;0,P198-(TBIcalc!$Q$9),""),"")</f>
        <v>0.53939999999999988</v>
      </c>
      <c r="R198" s="275">
        <f>IFERROR(INDEX('Ashed teabags dry'!$K$2:$K$2000,MATCH(K198,'Ashed teabags dry'!$A$2:$A$2000,0)),"")</f>
        <v>18.458698661744211</v>
      </c>
      <c r="S198" s="275">
        <f t="shared" si="17"/>
        <v>0.43983377941855162</v>
      </c>
      <c r="T198" s="265">
        <f>IF('Dry_Litterbag Placem_Collection'!E199="","",'Dry_Litterbag Placem_Collection'!E199)</f>
        <v>42942</v>
      </c>
      <c r="U198" s="265">
        <f>IF('Dry_Litterbag Placem_Collection'!G199="","",'Dry_Litterbag Placem_Collection'!G199)</f>
        <v>43004</v>
      </c>
      <c r="V198" s="266">
        <f t="shared" si="15"/>
        <v>62</v>
      </c>
      <c r="W198" s="264">
        <f t="shared" si="18"/>
        <v>1.2178000000000002</v>
      </c>
      <c r="X198" s="264">
        <f t="shared" si="19"/>
        <v>1.220460758107464</v>
      </c>
      <c r="Y198" s="268">
        <f>IFERROR(INDEX(Rainfall_Dry!$O$2:$O$217,MATCH(B198, Rainfall_Dry!$A$2:$A$217,0)),"")</f>
        <v>171.84818423999999</v>
      </c>
      <c r="Z198" s="257">
        <v>23.96</v>
      </c>
      <c r="AA198" s="257">
        <v>0.91999999999999804</v>
      </c>
      <c r="AB198" s="257">
        <v>75.12</v>
      </c>
      <c r="AC198" s="258" t="s">
        <v>2654</v>
      </c>
      <c r="AD198" s="257">
        <v>1.2493839329719072</v>
      </c>
      <c r="AE198">
        <f>IF('WetLitterbags placem_collection'!AB199="","",'WetLitterbags placem_collection'!AB199)</f>
        <v>5.13</v>
      </c>
      <c r="AF198">
        <f>IF('WetLitterbags placem_collection'!Z199="","",'WetLitterbags placem_collection'!Z199)</f>
        <v>5.13</v>
      </c>
      <c r="AG198" s="243" t="str">
        <f>IF('WetLitterbags placem_collection'!AA199="","",'WetLitterbags placem_collection'!AA199)</f>
        <v>O</v>
      </c>
      <c r="AH198">
        <f>IF('WetLitterbags placem_collection'!AC199="","",'WetLitterbags placem_collection'!AC199)</f>
        <v>1</v>
      </c>
      <c r="AI198">
        <f>IFERROR(AVERAGE('Dry_Litterbag Placem_Collection'!O199,'Dry_Litterbag Placem_Collection'!R199),"")</f>
        <v>6.3000000000000007</v>
      </c>
      <c r="AJ198" s="268">
        <f>IFERROR(AVERAGE('Dry_Litterbag Placem_Collection'!N199,'Dry_Litterbag Placem_Collection'!Q199),"")</f>
        <v>29.05</v>
      </c>
      <c r="AK198">
        <v>-2.4396450349999999</v>
      </c>
      <c r="AL198">
        <v>34.83836599</v>
      </c>
      <c r="AM198" s="267" t="str">
        <f>IF(ISNUMBER(SEARCH("C", 'Dry_Litterbag Placem_Collection'!S199)),"YES","NO")</f>
        <v>NO</v>
      </c>
      <c r="AN198" s="267" t="str">
        <f>IF(ISNUMBER(SEARCH("H", 'Dry_Litterbag Placem_Collection'!S199)),"YES","NO")</f>
        <v>NO</v>
      </c>
      <c r="AO198" s="267" t="str">
        <f>IF(ISNUMBER(SEARCH("R", 'Dry_Litterbag Placem_Collection'!S199)),"YES","NO")</f>
        <v>YES</v>
      </c>
    </row>
    <row r="199" spans="1:41" ht="15" customHeight="1">
      <c r="A199" s="259" t="s">
        <v>2643</v>
      </c>
      <c r="B199" s="260">
        <f>'Dry_Litterbag Placem_Collection'!A200</f>
        <v>198</v>
      </c>
      <c r="C199" s="260" t="str">
        <f>'Dry_Litterbag Placem_Collection'!B200</f>
        <v>Makao</v>
      </c>
      <c r="D199" s="260" t="s">
        <v>2643</v>
      </c>
      <c r="E199" s="260" t="s">
        <v>2512</v>
      </c>
      <c r="F199" s="260">
        <v>3</v>
      </c>
      <c r="G199" s="260" t="s">
        <v>3807</v>
      </c>
      <c r="H199" s="261" t="str">
        <f>'Dry_Litterbag Placem_Collection'!C200</f>
        <v>Dry_P2_CG3</v>
      </c>
      <c r="I199" s="262" t="s">
        <v>2525</v>
      </c>
      <c r="J199" s="263" t="s">
        <v>1147</v>
      </c>
      <c r="K199" s="260" t="str">
        <f>IF(ISBLANK('Dry_Litterbag Placem_Collection'!J200),"","G"&amp;""&amp;'Dry_Litterbag Placem_Collection'!J200)</f>
        <v>G27</v>
      </c>
      <c r="L199" s="264">
        <f>IFERROR(INDEX('Green_rooibos initial weight'!$C$5:$C$2000,MATCH(K199, 'Green_rooibos initial weight'!$A$5:$A$2000,0)),"")</f>
        <v>1.966</v>
      </c>
      <c r="M199" s="264">
        <f>IFERROR(L199-(TBIcalc!$Q$9+TBIcalc!$Q$10),"")</f>
        <v>1.7161999999999999</v>
      </c>
      <c r="N199" s="385">
        <f>AVERAGE(Ashed_controlls!$K$2:$K$11)</f>
        <v>5.5147656768714146</v>
      </c>
      <c r="O199" s="264">
        <f t="shared" si="16"/>
        <v>1.6215555914535327</v>
      </c>
      <c r="P199" s="264">
        <f>IFERROR(INDEX('Both teabags AfterDry'!$D$2:$D$2000,MATCH(K199,'Both teabags AfterDry'!$A$2:$A$2000,0)),"")</f>
        <v>0.73799999999999999</v>
      </c>
      <c r="Q199" s="264">
        <f>IFERROR(IF(P199&gt;0,P199-(TBIcalc!$Q$9),""),"")</f>
        <v>0.58739999999999992</v>
      </c>
      <c r="R199" s="275">
        <f>IFERROR(INDEX('Ashed teabags dry'!$K$2:$K$2000,MATCH(K199,'Ashed teabags dry'!$A$2:$A$2000,0)),"")</f>
        <v>26.042177538007827</v>
      </c>
      <c r="S199" s="275">
        <f t="shared" si="17"/>
        <v>0.43442824914174194</v>
      </c>
      <c r="T199" s="265">
        <f>IF('Dry_Litterbag Placem_Collection'!E200="","",'Dry_Litterbag Placem_Collection'!E200)</f>
        <v>42942</v>
      </c>
      <c r="U199" s="265">
        <f>IF('Dry_Litterbag Placem_Collection'!G200="","",'Dry_Litterbag Placem_Collection'!G200)</f>
        <v>43004</v>
      </c>
      <c r="V199" s="266">
        <f t="shared" si="15"/>
        <v>62</v>
      </c>
      <c r="W199" s="264">
        <f t="shared" si="18"/>
        <v>1.1288</v>
      </c>
      <c r="X199" s="264">
        <f t="shared" si="19"/>
        <v>1.1871273423117907</v>
      </c>
      <c r="Y199" s="268">
        <f>IFERROR(INDEX(Rainfall_Dry!$O$2:$O$217,MATCH(B199, Rainfall_Dry!$A$2:$A$217,0)),"")</f>
        <v>171.84818423999999</v>
      </c>
      <c r="Z199" s="257">
        <v>19.96</v>
      </c>
      <c r="AA199" s="257">
        <v>4.9199999999999982</v>
      </c>
      <c r="AB199" s="257">
        <v>75.12</v>
      </c>
      <c r="AC199" s="258" t="s">
        <v>2655</v>
      </c>
      <c r="AD199" s="257">
        <v>1.641498275012321</v>
      </c>
      <c r="AE199">
        <f>IF('WetLitterbags placem_collection'!AB200="","",'WetLitterbags placem_collection'!AB200)</f>
        <v>7.9</v>
      </c>
      <c r="AF199">
        <f>IF('WetLitterbags placem_collection'!Z200="","",'WetLitterbags placem_collection'!Z200)</f>
        <v>7.9</v>
      </c>
      <c r="AG199" s="243" t="str">
        <f>IF('WetLitterbags placem_collection'!AA200="","",'WetLitterbags placem_collection'!AA200)</f>
        <v>O</v>
      </c>
      <c r="AH199">
        <f>IF('WetLitterbags placem_collection'!AC200="","",'WetLitterbags placem_collection'!AC200)</f>
        <v>1</v>
      </c>
      <c r="AI199">
        <f>IFERROR(AVERAGE('Dry_Litterbag Placem_Collection'!O200,'Dry_Litterbag Placem_Collection'!R200),"")</f>
        <v>4.8499999999999996</v>
      </c>
      <c r="AJ199" s="268">
        <f>IFERROR(AVERAGE('Dry_Litterbag Placem_Collection'!N200,'Dry_Litterbag Placem_Collection'!Q200),"")</f>
        <v>30.25</v>
      </c>
      <c r="AK199">
        <v>-2.4395990190000001</v>
      </c>
      <c r="AL199">
        <v>34.838418959999998</v>
      </c>
      <c r="AM199" s="267" t="str">
        <f>IF(ISNUMBER(SEARCH("C", 'Dry_Litterbag Placem_Collection'!S200)),"YES","NO")</f>
        <v>NO</v>
      </c>
      <c r="AN199" s="267" t="str">
        <f>IF(ISNUMBER(SEARCH("H", 'Dry_Litterbag Placem_Collection'!S200)),"YES","NO")</f>
        <v>NO</v>
      </c>
      <c r="AO199" s="267" t="str">
        <f>IF(ISNUMBER(SEARCH("R", 'Dry_Litterbag Placem_Collection'!S200)),"YES","NO")</f>
        <v>YES</v>
      </c>
    </row>
    <row r="200" spans="1:41" ht="15" customHeight="1">
      <c r="A200" s="259" t="s">
        <v>2643</v>
      </c>
      <c r="B200" s="260">
        <f>'Dry_Litterbag Placem_Collection'!A201</f>
        <v>199</v>
      </c>
      <c r="C200" s="260" t="str">
        <f>'Dry_Litterbag Placem_Collection'!B201</f>
        <v>Makao</v>
      </c>
      <c r="D200" s="260" t="s">
        <v>2643</v>
      </c>
      <c r="E200" s="260" t="s">
        <v>2512</v>
      </c>
      <c r="F200" s="260">
        <v>1</v>
      </c>
      <c r="G200" s="260" t="s">
        <v>3808</v>
      </c>
      <c r="H200" s="261" t="str">
        <f>'Dry_Litterbag Placem_Collection'!C201</f>
        <v>Dry_P3_CG1</v>
      </c>
      <c r="I200" s="262" t="s">
        <v>2525</v>
      </c>
      <c r="J200" s="263" t="s">
        <v>1147</v>
      </c>
      <c r="K200" s="260" t="str">
        <f>IF(ISBLANK('Dry_Litterbag Placem_Collection'!J201),"","G"&amp;""&amp;'Dry_Litterbag Placem_Collection'!J201)</f>
        <v>G224</v>
      </c>
      <c r="L200" s="264">
        <f>IFERROR(INDEX('Green_rooibos initial weight'!$C$5:$C$2000,MATCH(K200, 'Green_rooibos initial weight'!$A$5:$A$2000,0)),"")</f>
        <v>2.0259999999999998</v>
      </c>
      <c r="M200" s="264">
        <f>IFERROR(L200-(TBIcalc!$Q$9+TBIcalc!$Q$10),"")</f>
        <v>1.7761999999999998</v>
      </c>
      <c r="N200" s="385">
        <f>AVERAGE(Ashed_controlls!$K$2:$K$11)</f>
        <v>5.5147656768714146</v>
      </c>
      <c r="O200" s="264">
        <f t="shared" si="16"/>
        <v>1.6782467320474097</v>
      </c>
      <c r="P200" s="264">
        <f>IFERROR(INDEX('Both teabags AfterDry'!$D$2:$D$2000,MATCH(K200,'Both teabags AfterDry'!$A$2:$A$2000,0)),"")</f>
        <v>0.53049999999999997</v>
      </c>
      <c r="Q200" s="264">
        <f>IFERROR(IF(P200&gt;0,P200-(TBIcalc!$Q$9),""),"")</f>
        <v>0.37989999999999996</v>
      </c>
      <c r="R200" s="275">
        <f>IFERROR(INDEX('Ashed teabags dry'!$K$2:$K$2000,MATCH(K200,'Ashed teabags dry'!$A$2:$A$2000,0)),"")</f>
        <v>22.616075886170179</v>
      </c>
      <c r="S200" s="275">
        <f t="shared" si="17"/>
        <v>0.29398152770843944</v>
      </c>
      <c r="T200" s="265">
        <f>IF('Dry_Litterbag Placem_Collection'!E201="","",'Dry_Litterbag Placem_Collection'!E201)</f>
        <v>42942</v>
      </c>
      <c r="U200" s="265">
        <f>IF('Dry_Litterbag Placem_Collection'!G201="","",'Dry_Litterbag Placem_Collection'!G201)</f>
        <v>43004</v>
      </c>
      <c r="V200" s="266">
        <f t="shared" si="15"/>
        <v>62</v>
      </c>
      <c r="W200" s="264">
        <f t="shared" si="18"/>
        <v>1.3962999999999999</v>
      </c>
      <c r="X200" s="264">
        <f t="shared" si="19"/>
        <v>1.3842652043389703</v>
      </c>
      <c r="Y200" s="268">
        <f>IFERROR(INDEX(Rainfall_Dry!$O$2:$O$217,MATCH(B200, Rainfall_Dry!$A$2:$A$217,0)),"")</f>
        <v>171.84818423999999</v>
      </c>
      <c r="Z200" s="257">
        <v>21.96</v>
      </c>
      <c r="AA200" s="257">
        <v>8.9199999999999982</v>
      </c>
      <c r="AB200" s="257">
        <v>69.12</v>
      </c>
      <c r="AC200" s="258" t="s">
        <v>2654</v>
      </c>
      <c r="AD200" s="257">
        <v>1.7491375061606702</v>
      </c>
      <c r="AE200">
        <f>IF('WetLitterbags placem_collection'!AB201="","",'WetLitterbags placem_collection'!AB201)</f>
        <v>13.8</v>
      </c>
      <c r="AF200">
        <f>IF('WetLitterbags placem_collection'!Z201="","",'WetLitterbags placem_collection'!Z201)</f>
        <v>17.399999999999999</v>
      </c>
      <c r="AG200" s="243" t="str">
        <f>IF('WetLitterbags placem_collection'!AA201="","",'WetLitterbags placem_collection'!AA201)</f>
        <v>O</v>
      </c>
      <c r="AH200">
        <f>IF('WetLitterbags placem_collection'!AC201="","",'WetLitterbags placem_collection'!AC201)</f>
        <v>1</v>
      </c>
      <c r="AI200">
        <f>IFERROR(AVERAGE('Dry_Litterbag Placem_Collection'!O201,'Dry_Litterbag Placem_Collection'!R201),"")</f>
        <v>6.1999999999999993</v>
      </c>
      <c r="AJ200" s="268">
        <f>IFERROR(AVERAGE('Dry_Litterbag Placem_Collection'!N201,'Dry_Litterbag Placem_Collection'!Q201),"")</f>
        <v>27.200000000000003</v>
      </c>
      <c r="AK200">
        <v>-2.439403972</v>
      </c>
      <c r="AL200">
        <v>34.838404959999998</v>
      </c>
      <c r="AM200" s="267" t="str">
        <f>IF(ISNUMBER(SEARCH("C", 'Dry_Litterbag Placem_Collection'!S201)),"YES","NO")</f>
        <v>NO</v>
      </c>
      <c r="AN200" s="267" t="str">
        <f>IF(ISNUMBER(SEARCH("H", 'Dry_Litterbag Placem_Collection'!S201)),"YES","NO")</f>
        <v>YES</v>
      </c>
      <c r="AO200" s="267" t="str">
        <f>IF(ISNUMBER(SEARCH("R", 'Dry_Litterbag Placem_Collection'!S201)),"YES","NO")</f>
        <v>NO</v>
      </c>
    </row>
    <row r="201" spans="1:41" ht="15" customHeight="1">
      <c r="A201" s="259" t="s">
        <v>2643</v>
      </c>
      <c r="B201" s="260">
        <f>'Dry_Litterbag Placem_Collection'!A202</f>
        <v>200</v>
      </c>
      <c r="C201" s="260" t="str">
        <f>'Dry_Litterbag Placem_Collection'!B202</f>
        <v>Makao</v>
      </c>
      <c r="D201" s="260" t="s">
        <v>2643</v>
      </c>
      <c r="E201" s="260" t="s">
        <v>2512</v>
      </c>
      <c r="F201" s="260">
        <v>4</v>
      </c>
      <c r="G201" s="260" t="s">
        <v>3809</v>
      </c>
      <c r="H201" s="261" t="str">
        <f>'Dry_Litterbag Placem_Collection'!C202</f>
        <v>Dry_P4_CG4</v>
      </c>
      <c r="I201" s="262" t="s">
        <v>2525</v>
      </c>
      <c r="J201" s="263" t="s">
        <v>1147</v>
      </c>
      <c r="K201" s="260" t="str">
        <f>IF(ISBLANK('Dry_Litterbag Placem_Collection'!J202),"","G"&amp;""&amp;'Dry_Litterbag Placem_Collection'!J202)</f>
        <v>G158</v>
      </c>
      <c r="L201" s="264">
        <f>IFERROR(INDEX('Green_rooibos initial weight'!$C$5:$C$2000,MATCH(K201, 'Green_rooibos initial weight'!$A$5:$A$2000,0)),"")</f>
        <v>2.0609999999999999</v>
      </c>
      <c r="M201" s="264">
        <f>IFERROR(L201-(TBIcalc!$Q$9+TBIcalc!$Q$10),"")</f>
        <v>1.8111999999999999</v>
      </c>
      <c r="N201" s="385">
        <f>AVERAGE(Ashed_controlls!$K$2:$K$11)</f>
        <v>5.5147656768714146</v>
      </c>
      <c r="O201" s="264">
        <f t="shared" si="16"/>
        <v>1.7113165640605048</v>
      </c>
      <c r="P201" s="264">
        <f>IFERROR(INDEX('Both teabags AfterDry'!$D$2:$D$2000,MATCH(K201,'Both teabags AfterDry'!$A$2:$A$2000,0)),"")</f>
        <v>0.71050000000000002</v>
      </c>
      <c r="Q201" s="264">
        <f>IFERROR(IF(P201&gt;0,P201-(TBIcalc!$Q$9),""),"")</f>
        <v>0.55990000000000006</v>
      </c>
      <c r="R201" s="275">
        <f>IFERROR(INDEX('Ashed teabags dry'!$K$2:$K$2000,MATCH(K201,'Ashed teabags dry'!$A$2:$A$2000,0)),"")</f>
        <v>21.295855169128785</v>
      </c>
      <c r="S201" s="275">
        <f t="shared" si="17"/>
        <v>0.44066450690804798</v>
      </c>
      <c r="T201" s="265">
        <f>IF('Dry_Litterbag Placem_Collection'!E202="","",'Dry_Litterbag Placem_Collection'!E202)</f>
        <v>42942</v>
      </c>
      <c r="U201" s="265">
        <f>IF('Dry_Litterbag Placem_Collection'!G202="","",'Dry_Litterbag Placem_Collection'!G202)</f>
        <v>43004</v>
      </c>
      <c r="V201" s="266">
        <f t="shared" si="15"/>
        <v>62</v>
      </c>
      <c r="W201" s="264">
        <f t="shared" si="18"/>
        <v>1.2512999999999999</v>
      </c>
      <c r="X201" s="264">
        <f t="shared" si="19"/>
        <v>1.2706520571524569</v>
      </c>
      <c r="Y201" s="268">
        <f>IFERROR(INDEX(Rainfall_Dry!$O$2:$O$217,MATCH(B201, Rainfall_Dry!$A$2:$A$217,0)),"")</f>
        <v>171.84818423999999</v>
      </c>
      <c r="Z201" s="257">
        <v>25.96</v>
      </c>
      <c r="AA201" s="257">
        <v>6.9200000000000008</v>
      </c>
      <c r="AB201" s="257">
        <v>67.12</v>
      </c>
      <c r="AC201" s="258" t="s">
        <v>2654</v>
      </c>
      <c r="AD201" s="257">
        <v>1.7568260226712666</v>
      </c>
      <c r="AE201">
        <f>IF('WetLitterbags placem_collection'!AB202="","",'WetLitterbags placem_collection'!AB202)</f>
        <v>15.2</v>
      </c>
      <c r="AF201">
        <f>IF('WetLitterbags placem_collection'!Z202="","",'WetLitterbags placem_collection'!Z202)</f>
        <v>12.2</v>
      </c>
      <c r="AG201" s="243" t="str">
        <f>IF('WetLitterbags placem_collection'!AA202="","",'WetLitterbags placem_collection'!AA202)</f>
        <v>O</v>
      </c>
      <c r="AH201">
        <f>IF('WetLitterbags placem_collection'!AC202="","",'WetLitterbags placem_collection'!AC202)</f>
        <v>1</v>
      </c>
      <c r="AI201">
        <f>IFERROR(AVERAGE('Dry_Litterbag Placem_Collection'!O202,'Dry_Litterbag Placem_Collection'!R202),"")</f>
        <v>7</v>
      </c>
      <c r="AJ201" s="268">
        <f>IFERROR(AVERAGE('Dry_Litterbag Placem_Collection'!N202,'Dry_Litterbag Placem_Collection'!Q202),"")</f>
        <v>32.9</v>
      </c>
      <c r="AK201">
        <v>-2.4396949910000001</v>
      </c>
      <c r="AL201">
        <v>34.838574029999997</v>
      </c>
      <c r="AM201" s="267" t="str">
        <f>IF(ISNUMBER(SEARCH("C", 'Dry_Litterbag Placem_Collection'!S202)),"YES","NO")</f>
        <v>NO</v>
      </c>
      <c r="AN201" s="267" t="str">
        <f>IF(ISNUMBER(SEARCH("H", 'Dry_Litterbag Placem_Collection'!S202)),"YES","NO")</f>
        <v>NO</v>
      </c>
      <c r="AO201" s="267" t="str">
        <f>IF(ISNUMBER(SEARCH("R", 'Dry_Litterbag Placem_Collection'!S202)),"YES","NO")</f>
        <v>YES</v>
      </c>
    </row>
    <row r="202" spans="1:41" ht="15" customHeight="1">
      <c r="A202" s="259" t="s">
        <v>2643</v>
      </c>
      <c r="B202" s="260">
        <f>'Dry_Litterbag Placem_Collection'!A203</f>
        <v>201</v>
      </c>
      <c r="C202" s="260" t="str">
        <f>'Dry_Litterbag Placem_Collection'!B203</f>
        <v>Maswa</v>
      </c>
      <c r="D202" s="260" t="s">
        <v>2643</v>
      </c>
      <c r="E202" s="260" t="s">
        <v>2512</v>
      </c>
      <c r="F202" s="260">
        <v>4</v>
      </c>
      <c r="G202" s="260" t="s">
        <v>3813</v>
      </c>
      <c r="H202" s="261" t="str">
        <f>'Dry_Litterbag Placem_Collection'!C203</f>
        <v>Dry_W3_CG4</v>
      </c>
      <c r="I202" s="262" t="s">
        <v>2525</v>
      </c>
      <c r="J202" s="263" t="s">
        <v>1147</v>
      </c>
      <c r="K202" s="260" t="str">
        <f>IF(ISBLANK('Dry_Litterbag Placem_Collection'!J203),"","G"&amp;""&amp;'Dry_Litterbag Placem_Collection'!J203)</f>
        <v>G211</v>
      </c>
      <c r="L202" s="264">
        <f>IFERROR(INDEX('Green_rooibos initial weight'!$C$5:$C$2000,MATCH(K202, 'Green_rooibos initial weight'!$A$5:$A$2000,0)),"")</f>
        <v>2.06</v>
      </c>
      <c r="M202" s="264">
        <f>IFERROR(L202-(TBIcalc!$Q$9+TBIcalc!$Q$10),"")</f>
        <v>1.8102</v>
      </c>
      <c r="N202" s="385">
        <f>AVERAGE(Ashed_controlls!$K$2:$K$11)</f>
        <v>5.5147656768714146</v>
      </c>
      <c r="O202" s="264">
        <f t="shared" si="16"/>
        <v>1.7103717117172736</v>
      </c>
      <c r="P202" s="264">
        <f>IFERROR(INDEX('Both teabags AfterDry'!$D$2:$D$2000,MATCH(K202,'Both teabags AfterDry'!$A$2:$A$2000,0)),"")</f>
        <v>0.67300000000000004</v>
      </c>
      <c r="Q202" s="264">
        <f>IFERROR(IF(P202&gt;0,P202-(TBIcalc!$Q$9),""),"")</f>
        <v>0.52239999999999998</v>
      </c>
      <c r="R202" s="275">
        <f>IFERROR(INDEX('Ashed teabags dry'!$K$2:$K$2000,MATCH(K202,'Ashed teabags dry'!$A$2:$A$2000,0)),"")</f>
        <v>67.294685990337157</v>
      </c>
      <c r="S202" s="275">
        <f t="shared" si="17"/>
        <v>0.17085256038647867</v>
      </c>
      <c r="T202" s="265">
        <f>IF('Dry_Litterbag Placem_Collection'!E203="","",'Dry_Litterbag Placem_Collection'!E203)</f>
        <v>42942</v>
      </c>
      <c r="U202" s="265">
        <f>IF('Dry_Litterbag Placem_Collection'!G203="","",'Dry_Litterbag Placem_Collection'!G203)</f>
        <v>43004</v>
      </c>
      <c r="V202" s="266">
        <f t="shared" si="15"/>
        <v>62</v>
      </c>
      <c r="W202" s="264">
        <f t="shared" si="18"/>
        <v>1.2878000000000001</v>
      </c>
      <c r="X202" s="264">
        <f t="shared" si="19"/>
        <v>1.5395191513307949</v>
      </c>
      <c r="Y202" s="268">
        <f>IFERROR(INDEX(Rainfall_Dry!$O$2:$O$217,MATCH(B202, Rainfall_Dry!$A$2:$A$217,0)),"")</f>
        <v>171.84818423999999</v>
      </c>
      <c r="Z202" s="257">
        <v>38.691629007962128</v>
      </c>
      <c r="AA202" s="257">
        <v>26.81299763288143</v>
      </c>
      <c r="AB202" s="257">
        <v>34.495373359156439</v>
      </c>
      <c r="AC202" s="258" t="s">
        <v>2659</v>
      </c>
      <c r="AD202" s="257">
        <v>2.5483587974371611</v>
      </c>
      <c r="AE202">
        <f>IF('WetLitterbags placem_collection'!AB203="","",'WetLitterbags placem_collection'!AB203)</f>
        <v>15.2</v>
      </c>
      <c r="AF202">
        <f>IF('WetLitterbags placem_collection'!Z203="","",'WetLitterbags placem_collection'!Z203)</f>
        <v>12.2</v>
      </c>
      <c r="AG202" s="243" t="str">
        <f>IF('WetLitterbags placem_collection'!AA203="","",'WetLitterbags placem_collection'!AA203)</f>
        <v>O</v>
      </c>
      <c r="AH202">
        <f>IF('WetLitterbags placem_collection'!AC203="","",'WetLitterbags placem_collection'!AC203)</f>
        <v>1</v>
      </c>
      <c r="AI202">
        <f>IFERROR(AVERAGE('Dry_Litterbag Placem_Collection'!O203,'Dry_Litterbag Placem_Collection'!R203),"")</f>
        <v>8.9</v>
      </c>
      <c r="AJ202" s="268">
        <f>IFERROR(AVERAGE('Dry_Litterbag Placem_Collection'!N203,'Dry_Litterbag Placem_Collection'!Q203),"")</f>
        <v>29.15</v>
      </c>
      <c r="AK202">
        <v>-2.4396949910000001</v>
      </c>
      <c r="AL202">
        <v>34.838574029999997</v>
      </c>
      <c r="AM202" s="267" t="str">
        <f>IF(ISNUMBER(SEARCH("C", 'Dry_Litterbag Placem_Collection'!S203)),"YES","NO")</f>
        <v>NO</v>
      </c>
      <c r="AN202" s="267" t="str">
        <f>IF(ISNUMBER(SEARCH("H", 'Dry_Litterbag Placem_Collection'!S203)),"YES","NO")</f>
        <v>YES</v>
      </c>
      <c r="AO202" s="267" t="str">
        <f>IF(ISNUMBER(SEARCH("R", 'Dry_Litterbag Placem_Collection'!S203)),"YES","NO")</f>
        <v>YES</v>
      </c>
    </row>
    <row r="203" spans="1:41" ht="15" customHeight="1">
      <c r="A203" s="259" t="s">
        <v>2643</v>
      </c>
      <c r="B203" s="260">
        <f>'Dry_Litterbag Placem_Collection'!A204</f>
        <v>202</v>
      </c>
      <c r="C203" s="260" t="str">
        <f>'Dry_Litterbag Placem_Collection'!B204</f>
        <v>Maswa</v>
      </c>
      <c r="D203" s="260" t="s">
        <v>2643</v>
      </c>
      <c r="E203" s="260" t="s">
        <v>2512</v>
      </c>
      <c r="F203" s="260">
        <v>1</v>
      </c>
      <c r="G203" s="260" t="s">
        <v>3812</v>
      </c>
      <c r="H203" s="261" t="str">
        <f>'Dry_Litterbag Placem_Collection'!C204</f>
        <v>Dry_W2_CG1</v>
      </c>
      <c r="I203" s="262" t="s">
        <v>2525</v>
      </c>
      <c r="J203" s="263" t="s">
        <v>1147</v>
      </c>
      <c r="K203" s="260" t="str">
        <f>IF(ISBLANK('Dry_Litterbag Placem_Collection'!J204),"","G"&amp;""&amp;'Dry_Litterbag Placem_Collection'!J204)</f>
        <v>G181</v>
      </c>
      <c r="L203" s="264">
        <f>IFERROR(INDEX('Green_rooibos initial weight'!$C$5:$C$2000,MATCH(K203, 'Green_rooibos initial weight'!$A$5:$A$2000,0)),"")</f>
        <v>1.7629999999999999</v>
      </c>
      <c r="M203" s="264">
        <f>IFERROR(L203-(TBIcalc!$Q$9+TBIcalc!$Q$10),"")</f>
        <v>1.5131999999999999</v>
      </c>
      <c r="N203" s="385">
        <f>AVERAGE(Ashed_controlls!$K$2:$K$11)</f>
        <v>5.5147656768714146</v>
      </c>
      <c r="O203" s="264">
        <f t="shared" si="16"/>
        <v>1.4297505657775815</v>
      </c>
      <c r="P203" s="264">
        <f>IFERROR(INDEX('Both teabags AfterDry'!$D$2:$D$2000,MATCH(K203,'Both teabags AfterDry'!$A$2:$A$2000,0)),"")</f>
        <v>0.80740000000000001</v>
      </c>
      <c r="Q203" s="264">
        <f>IFERROR(IF(P203&gt;0,P203-(TBIcalc!$Q$9),""),"")</f>
        <v>0.65680000000000005</v>
      </c>
      <c r="R203" s="275">
        <f>IFERROR(INDEX('Ashed teabags dry'!$K$2:$K$2000,MATCH(K203,'Ashed teabags dry'!$A$2:$A$2000,0)),"")</f>
        <v>30.530575539568105</v>
      </c>
      <c r="S203" s="275">
        <f t="shared" si="17"/>
        <v>0.45627517985611671</v>
      </c>
      <c r="T203" s="265">
        <f>IF('Dry_Litterbag Placem_Collection'!E204="","",'Dry_Litterbag Placem_Collection'!E204)</f>
        <v>42942</v>
      </c>
      <c r="U203" s="265">
        <f>IF('Dry_Litterbag Placem_Collection'!G204="","",'Dry_Litterbag Placem_Collection'!G204)</f>
        <v>43004</v>
      </c>
      <c r="V203" s="266">
        <f t="shared" si="15"/>
        <v>62</v>
      </c>
      <c r="W203" s="264">
        <f t="shared" si="18"/>
        <v>0.85639999999999983</v>
      </c>
      <c r="X203" s="264">
        <f t="shared" si="19"/>
        <v>0.97347538592146488</v>
      </c>
      <c r="Y203" s="268">
        <f>IFERROR(INDEX(Rainfall_Dry!$O$2:$O$217,MATCH(B203, Rainfall_Dry!$A$2:$A$217,0)),"")</f>
        <v>171.84818423999999</v>
      </c>
      <c r="Z203" s="257">
        <v>45.272914521112256</v>
      </c>
      <c r="AA203" s="257">
        <v>23.604531410916575</v>
      </c>
      <c r="AB203" s="257">
        <v>31.122554067971166</v>
      </c>
      <c r="AC203" s="258" t="s">
        <v>2657</v>
      </c>
      <c r="AD203" s="257">
        <v>2.0547560374568752</v>
      </c>
      <c r="AE203">
        <f>IF('WetLitterbags placem_collection'!AB204="","",'WetLitterbags placem_collection'!AB204)</f>
        <v>13.8</v>
      </c>
      <c r="AF203">
        <f>IF('WetLitterbags placem_collection'!Z204="","",'WetLitterbags placem_collection'!Z204)</f>
        <v>17.399999999999999</v>
      </c>
      <c r="AG203" s="243" t="str">
        <f>IF('WetLitterbags placem_collection'!AA204="","",'WetLitterbags placem_collection'!AA204)</f>
        <v>O</v>
      </c>
      <c r="AH203">
        <f>IF('WetLitterbags placem_collection'!AC204="","",'WetLitterbags placem_collection'!AC204)</f>
        <v>1</v>
      </c>
      <c r="AI203">
        <f>IFERROR(AVERAGE('Dry_Litterbag Placem_Collection'!O204,'Dry_Litterbag Placem_Collection'!R204),"")</f>
        <v>6.3</v>
      </c>
      <c r="AJ203" s="268">
        <f>IFERROR(AVERAGE('Dry_Litterbag Placem_Collection'!N204,'Dry_Litterbag Placem_Collection'!Q204),"")</f>
        <v>28.85</v>
      </c>
      <c r="AK203">
        <v>-2.439403972</v>
      </c>
      <c r="AL203">
        <v>34.838404959999998</v>
      </c>
      <c r="AM203" s="267" t="str">
        <f>IF(ISNUMBER(SEARCH("C", 'Dry_Litterbag Placem_Collection'!S204)),"YES","NO")</f>
        <v>NO</v>
      </c>
      <c r="AN203" s="267" t="str">
        <f>IF(ISNUMBER(SEARCH("H", 'Dry_Litterbag Placem_Collection'!S204)),"YES","NO")</f>
        <v>NO</v>
      </c>
      <c r="AO203" s="267" t="str">
        <f>IF(ISNUMBER(SEARCH("R", 'Dry_Litterbag Placem_Collection'!S204)),"YES","NO")</f>
        <v>YES</v>
      </c>
    </row>
    <row r="204" spans="1:41" ht="15" customHeight="1">
      <c r="A204" s="259" t="s">
        <v>2643</v>
      </c>
      <c r="B204" s="260">
        <f>'Dry_Litterbag Placem_Collection'!A205</f>
        <v>203</v>
      </c>
      <c r="C204" s="260" t="str">
        <f>'Dry_Litterbag Placem_Collection'!B205</f>
        <v>Maswa</v>
      </c>
      <c r="D204" s="260" t="s">
        <v>2643</v>
      </c>
      <c r="E204" s="260" t="s">
        <v>2512</v>
      </c>
      <c r="F204" s="260">
        <v>2</v>
      </c>
      <c r="G204" s="260" t="s">
        <v>3810</v>
      </c>
      <c r="H204" s="261" t="str">
        <f>'Dry_Litterbag Placem_Collection'!C205</f>
        <v>Dry_W1_CG2</v>
      </c>
      <c r="I204" s="262" t="s">
        <v>2525</v>
      </c>
      <c r="J204" s="263" t="s">
        <v>1147</v>
      </c>
      <c r="K204" s="260" t="str">
        <f>IF(ISBLANK('Dry_Litterbag Placem_Collection'!J205),"","G"&amp;""&amp;'Dry_Litterbag Placem_Collection'!J205)</f>
        <v>G179</v>
      </c>
      <c r="L204" s="264">
        <f>IFERROR(INDEX('Green_rooibos initial weight'!$C$5:$C$2000,MATCH(K204, 'Green_rooibos initial weight'!$A$5:$A$2000,0)),"")</f>
        <v>1.9750000000000001</v>
      </c>
      <c r="M204" s="264">
        <f>IFERROR(L204-(TBIcalc!$Q$9+TBIcalc!$Q$10),"")</f>
        <v>1.7252000000000001</v>
      </c>
      <c r="N204" s="385">
        <f>AVERAGE(Ashed_controlls!$K$2:$K$11)</f>
        <v>5.5147656768714146</v>
      </c>
      <c r="O204" s="264">
        <f t="shared" si="16"/>
        <v>1.6300592625426145</v>
      </c>
      <c r="P204" s="264">
        <f>IFERROR(INDEX('Both teabags AfterDry'!$D$2:$D$2000,MATCH(K204,'Both teabags AfterDry'!$A$2:$A$2000,0)),"")</f>
        <v>0.59770000000000001</v>
      </c>
      <c r="Q204" s="264">
        <f>IFERROR(IF(P204&gt;0,P204-(TBIcalc!$Q$9),""),"")</f>
        <v>0.4471</v>
      </c>
      <c r="R204" s="275">
        <f>IFERROR(INDEX('Ashed teabags dry'!$K$2:$K$2000,MATCH(K204,'Ashed teabags dry'!$A$2:$A$2000,0)),"")</f>
        <v>24.558823529410816</v>
      </c>
      <c r="S204" s="275">
        <f t="shared" si="17"/>
        <v>0.33729750000000425</v>
      </c>
      <c r="T204" s="265">
        <f>IF('Dry_Litterbag Placem_Collection'!E205="","",'Dry_Litterbag Placem_Collection'!E205)</f>
        <v>42942</v>
      </c>
      <c r="U204" s="265">
        <f>IF('Dry_Litterbag Placem_Collection'!G205="","",'Dry_Litterbag Placem_Collection'!G205)</f>
        <v>43004</v>
      </c>
      <c r="V204" s="266">
        <f t="shared" si="15"/>
        <v>62</v>
      </c>
      <c r="W204" s="264">
        <f t="shared" si="18"/>
        <v>1.2781</v>
      </c>
      <c r="X204" s="264">
        <f t="shared" si="19"/>
        <v>1.2927617625426102</v>
      </c>
      <c r="Y204" s="268">
        <f>IFERROR(INDEX(Rainfall_Dry!$O$2:$O$217,MATCH(B204, Rainfall_Dry!$A$2:$A$217,0)),"")</f>
        <v>171.84818423999999</v>
      </c>
      <c r="Z204" s="257">
        <v>47.96</v>
      </c>
      <c r="AA204" s="257">
        <v>22.919999999999995</v>
      </c>
      <c r="AB204" s="257">
        <v>29.120000000000012</v>
      </c>
      <c r="AC204" s="258" t="s">
        <v>2657</v>
      </c>
      <c r="AD204" s="257">
        <v>2.8831936914736325</v>
      </c>
      <c r="AE204">
        <f>IF('WetLitterbags placem_collection'!AB205="","",'WetLitterbags placem_collection'!AB205)</f>
        <v>5.13</v>
      </c>
      <c r="AF204">
        <f>IF('WetLitterbags placem_collection'!Z205="","",'WetLitterbags placem_collection'!Z205)</f>
        <v>5.13</v>
      </c>
      <c r="AG204" s="243" t="str">
        <f>IF('WetLitterbags placem_collection'!AA205="","",'WetLitterbags placem_collection'!AA205)</f>
        <v>O</v>
      </c>
      <c r="AH204">
        <f>IF('WetLitterbags placem_collection'!AC205="","",'WetLitterbags placem_collection'!AC205)</f>
        <v>1</v>
      </c>
      <c r="AI204">
        <f>IFERROR(AVERAGE('Dry_Litterbag Placem_Collection'!O205,'Dry_Litterbag Placem_Collection'!R205),"")</f>
        <v>10.100000000000001</v>
      </c>
      <c r="AJ204" s="268">
        <f>IFERROR(AVERAGE('Dry_Litterbag Placem_Collection'!N205,'Dry_Litterbag Placem_Collection'!Q205),"")</f>
        <v>28.299999999999997</v>
      </c>
      <c r="AK204">
        <v>-2.4396450349999999</v>
      </c>
      <c r="AL204">
        <v>34.83836599</v>
      </c>
      <c r="AM204" s="267" t="str">
        <f>IF(ISNUMBER(SEARCH("C", 'Dry_Litterbag Placem_Collection'!S205)),"YES","NO")</f>
        <v>NO</v>
      </c>
      <c r="AN204" s="267" t="str">
        <f>IF(ISNUMBER(SEARCH("H", 'Dry_Litterbag Placem_Collection'!S205)),"YES","NO")</f>
        <v>YES</v>
      </c>
      <c r="AO204" s="267" t="str">
        <f>IF(ISNUMBER(SEARCH("R", 'Dry_Litterbag Placem_Collection'!S205)),"YES","NO")</f>
        <v>YES</v>
      </c>
    </row>
    <row r="205" spans="1:41" ht="15" customHeight="1">
      <c r="A205" s="259" t="s">
        <v>2643</v>
      </c>
      <c r="B205" s="260">
        <f>'Dry_Litterbag Placem_Collection'!A206</f>
        <v>204</v>
      </c>
      <c r="C205" s="260" t="str">
        <f>'Dry_Litterbag Placem_Collection'!B206</f>
        <v>Maswa</v>
      </c>
      <c r="D205" s="260" t="s">
        <v>2643</v>
      </c>
      <c r="E205" s="260" t="s">
        <v>2512</v>
      </c>
      <c r="F205" s="260">
        <v>3</v>
      </c>
      <c r="G205" s="260" t="s">
        <v>3814</v>
      </c>
      <c r="H205" s="261" t="str">
        <f>'Dry_Litterbag Placem_Collection'!C206</f>
        <v>Dry_W4_CG3</v>
      </c>
      <c r="I205" s="262" t="s">
        <v>2525</v>
      </c>
      <c r="J205" s="263" t="s">
        <v>1147</v>
      </c>
      <c r="K205" s="260" t="str">
        <f>IF(ISBLANK('Dry_Litterbag Placem_Collection'!J206),"","G"&amp;""&amp;'Dry_Litterbag Placem_Collection'!J206)</f>
        <v>G248</v>
      </c>
      <c r="L205" s="264">
        <f>IFERROR(INDEX('Green_rooibos initial weight'!$C$5:$C$2000,MATCH(K205, 'Green_rooibos initial weight'!$A$5:$A$2000,0)),"")</f>
        <v>1.9950000000000001</v>
      </c>
      <c r="M205" s="264">
        <f>IFERROR(L205-(TBIcalc!$Q$9+TBIcalc!$Q$10),"")</f>
        <v>1.7452000000000001</v>
      </c>
      <c r="N205" s="385">
        <f>AVERAGE(Ashed_controlls!$K$2:$K$11)</f>
        <v>5.5147656768714146</v>
      </c>
      <c r="O205" s="264">
        <f t="shared" si="16"/>
        <v>1.6489563094072401</v>
      </c>
      <c r="P205" s="264">
        <f>IFERROR(INDEX('Both teabags AfterDry'!$D$2:$D$2000,MATCH(K205,'Both teabags AfterDry'!$A$2:$A$2000,0)),"")</f>
        <v>1.7124999999999999</v>
      </c>
      <c r="Q205" s="264">
        <f>IFERROR(IF(P205&gt;0,P205-(TBIcalc!$Q$9),""),"")</f>
        <v>1.5618999999999998</v>
      </c>
      <c r="R205" s="275">
        <f>IFERROR(INDEX('Ashed teabags dry'!$K$2:$K$2000,MATCH(K205,'Ashed teabags dry'!$A$2:$A$2000,0)),"")</f>
        <v>13.375486381322672</v>
      </c>
      <c r="S205" s="275">
        <f t="shared" si="17"/>
        <v>1.352988278210121</v>
      </c>
      <c r="T205" s="265">
        <f>IF('Dry_Litterbag Placem_Collection'!E206="","",'Dry_Litterbag Placem_Collection'!E206)</f>
        <v>42942</v>
      </c>
      <c r="U205" s="265">
        <f>IF('Dry_Litterbag Placem_Collection'!G206="","",'Dry_Litterbag Placem_Collection'!G206)</f>
        <v>43004</v>
      </c>
      <c r="V205" s="266">
        <f t="shared" si="15"/>
        <v>62</v>
      </c>
      <c r="W205" s="264">
        <f t="shared" si="18"/>
        <v>0.18330000000000024</v>
      </c>
      <c r="X205" s="264">
        <f t="shared" si="19"/>
        <v>0.29596803119711912</v>
      </c>
      <c r="Y205" s="268">
        <f>IFERROR(INDEX(Rainfall_Dry!$O$2:$O$217,MATCH(B205, Rainfall_Dry!$A$2:$A$217,0)),"")</f>
        <v>171.84818423999999</v>
      </c>
      <c r="Z205" s="257">
        <v>28.145762029394</v>
      </c>
      <c r="AA205" s="257">
        <v>25.085564727199518</v>
      </c>
      <c r="AB205" s="257">
        <v>46.768673243406489</v>
      </c>
      <c r="AC205" s="258" t="s">
        <v>2654</v>
      </c>
      <c r="AD205" s="257">
        <v>2.1716214884179394</v>
      </c>
      <c r="AE205">
        <f>IF('WetLitterbags placem_collection'!AB206="","",'WetLitterbags placem_collection'!AB206)</f>
        <v>7.9</v>
      </c>
      <c r="AF205">
        <f>IF('WetLitterbags placem_collection'!Z206="","",'WetLitterbags placem_collection'!Z206)</f>
        <v>7.9</v>
      </c>
      <c r="AG205" s="243" t="str">
        <f>IF('WetLitterbags placem_collection'!AA206="","",'WetLitterbags placem_collection'!AA206)</f>
        <v>O</v>
      </c>
      <c r="AH205">
        <f>IF('WetLitterbags placem_collection'!AC206="","",'WetLitterbags placem_collection'!AC206)</f>
        <v>1</v>
      </c>
      <c r="AI205">
        <f>IFERROR(AVERAGE('Dry_Litterbag Placem_Collection'!O206,'Dry_Litterbag Placem_Collection'!R206),"")</f>
        <v>8.3500000000000014</v>
      </c>
      <c r="AJ205" s="268">
        <f>IFERROR(AVERAGE('Dry_Litterbag Placem_Collection'!N206,'Dry_Litterbag Placem_Collection'!Q206),"")</f>
        <v>27.299999999999997</v>
      </c>
      <c r="AK205">
        <v>-2.4395990190000001</v>
      </c>
      <c r="AL205">
        <v>34.838418959999998</v>
      </c>
      <c r="AM205" s="267" t="str">
        <f>IF(ISNUMBER(SEARCH("C", 'Dry_Litterbag Placem_Collection'!S206)),"YES","NO")</f>
        <v>NO</v>
      </c>
      <c r="AN205" s="267" t="str">
        <f>IF(ISNUMBER(SEARCH("H", 'Dry_Litterbag Placem_Collection'!S206)),"YES","NO")</f>
        <v>YES</v>
      </c>
      <c r="AO205" s="267" t="str">
        <f>IF(ISNUMBER(SEARCH("R", 'Dry_Litterbag Placem_Collection'!S206)),"YES","NO")</f>
        <v>YES</v>
      </c>
    </row>
    <row r="206" spans="1:41" ht="15" customHeight="1">
      <c r="A206" s="259" t="s">
        <v>2643</v>
      </c>
      <c r="B206" s="260">
        <f>'Dry_Litterbag Placem_Collection'!A207</f>
        <v>205</v>
      </c>
      <c r="C206" s="260" t="str">
        <f>'Dry_Litterbag Placem_Collection'!B207</f>
        <v xml:space="preserve">Mwantimba
</v>
      </c>
      <c r="D206" s="260" t="s">
        <v>2454</v>
      </c>
      <c r="E206" s="260" t="s">
        <v>2512</v>
      </c>
      <c r="F206" s="260">
        <v>2</v>
      </c>
      <c r="G206" s="260" t="s">
        <v>3815</v>
      </c>
      <c r="H206" s="261" t="str">
        <f>'Dry_Litterbag Placem_Collection'!C207</f>
        <v>Wet_Ag1_CG2</v>
      </c>
      <c r="I206" s="262" t="s">
        <v>2525</v>
      </c>
      <c r="J206" s="263" t="s">
        <v>1147</v>
      </c>
      <c r="K206" s="260" t="str">
        <f>IF(ISBLANK('Dry_Litterbag Placem_Collection'!J207),"","G"&amp;""&amp;'Dry_Litterbag Placem_Collection'!J207)</f>
        <v>G55</v>
      </c>
      <c r="L206" s="264">
        <f>IFERROR(INDEX('Green_rooibos initial weight'!$C$5:$C$2000,MATCH(K206, 'Green_rooibos initial weight'!$A$5:$A$2000,0)),"")</f>
        <v>2.024</v>
      </c>
      <c r="M206" s="264">
        <f>IFERROR(L206-(TBIcalc!$Q$9+TBIcalc!$Q$10),"")</f>
        <v>1.7742</v>
      </c>
      <c r="N206" s="385">
        <f>AVERAGE(Ashed_controlls!$K$2:$K$11)</f>
        <v>5.5147656768714146</v>
      </c>
      <c r="O206" s="264">
        <f t="shared" si="16"/>
        <v>1.6763570273609474</v>
      </c>
      <c r="P206" s="264">
        <f>IFERROR(INDEX('Both teabags AfterDry'!$D$2:$D$2000,MATCH(K206,'Both teabags AfterDry'!$A$2:$A$2000,0)),"")</f>
        <v>0.86550000000000005</v>
      </c>
      <c r="Q206" s="264">
        <f>IFERROR(IF(P206&gt;0,P206-(TBIcalc!$Q$9),""),"")</f>
        <v>0.71490000000000009</v>
      </c>
      <c r="R206" s="275">
        <f>IFERROR(INDEX('Ashed teabags dry'!$K$2:$K$2000,MATCH(K206,'Ashed teabags dry'!$A$2:$A$2000,0)),"")</f>
        <v>19.260700389104883</v>
      </c>
      <c r="S206" s="275">
        <f t="shared" si="17"/>
        <v>0.57720525291828928</v>
      </c>
      <c r="T206" s="265">
        <f>IF('Dry_Litterbag Placem_Collection'!E207="","",'Dry_Litterbag Placem_Collection'!E207)</f>
        <v>42942</v>
      </c>
      <c r="U206" s="265">
        <f>IF('Dry_Litterbag Placem_Collection'!G207="","",'Dry_Litterbag Placem_Collection'!G207)</f>
        <v>43004</v>
      </c>
      <c r="V206" s="266">
        <f t="shared" si="15"/>
        <v>62</v>
      </c>
      <c r="W206" s="264">
        <f t="shared" si="18"/>
        <v>1.0592999999999999</v>
      </c>
      <c r="X206" s="264">
        <f t="shared" si="19"/>
        <v>1.099151774442658</v>
      </c>
      <c r="Y206" s="268">
        <f>IFERROR(INDEX(Rainfall_Dry!$O$2:$O$217,MATCH(B206, Rainfall_Dry!$A$2:$A$217,0)),"")</f>
        <v>171.84818423999999</v>
      </c>
      <c r="Z206" s="257">
        <v>45.96</v>
      </c>
      <c r="AA206" s="257">
        <v>14.920000000000003</v>
      </c>
      <c r="AB206" s="257">
        <v>39.119999999999997</v>
      </c>
      <c r="AC206" s="258" t="s">
        <v>2657</v>
      </c>
      <c r="AD206" s="257">
        <v>2.0374568753080333</v>
      </c>
      <c r="AE206">
        <f>IF('WetLitterbags placem_collection'!AB207="","",'WetLitterbags placem_collection'!AB207)</f>
        <v>5.13</v>
      </c>
      <c r="AF206">
        <f>IF('WetLitterbags placem_collection'!Z207="","",'WetLitterbags placem_collection'!Z207)</f>
        <v>5.13</v>
      </c>
      <c r="AG206" s="243" t="str">
        <f>IF('WetLitterbags placem_collection'!AA207="","",'WetLitterbags placem_collection'!AA207)</f>
        <v>O</v>
      </c>
      <c r="AH206">
        <f>IF('WetLitterbags placem_collection'!AC207="","",'WetLitterbags placem_collection'!AC207)</f>
        <v>1</v>
      </c>
      <c r="AI206">
        <f>IFERROR(AVERAGE('Dry_Litterbag Placem_Collection'!O207,'Dry_Litterbag Placem_Collection'!R207),"")</f>
        <v>7.9499999999999993</v>
      </c>
      <c r="AJ206" s="268">
        <f>IFERROR(AVERAGE('Dry_Litterbag Placem_Collection'!N207,'Dry_Litterbag Placem_Collection'!Q207),"")</f>
        <v>29.05</v>
      </c>
      <c r="AK206">
        <v>-2.4396450349999999</v>
      </c>
      <c r="AL206">
        <v>34.83836599</v>
      </c>
      <c r="AM206" s="267" t="str">
        <f>IF(ISNUMBER(SEARCH("C", 'Dry_Litterbag Placem_Collection'!S207)),"YES","NO")</f>
        <v>NO</v>
      </c>
      <c r="AN206" s="267" t="str">
        <f>IF(ISNUMBER(SEARCH("H", 'Dry_Litterbag Placem_Collection'!S207)),"YES","NO")</f>
        <v>YES</v>
      </c>
      <c r="AO206" s="267" t="str">
        <f>IF(ISNUMBER(SEARCH("R", 'Dry_Litterbag Placem_Collection'!S207)),"YES","NO")</f>
        <v>YES</v>
      </c>
    </row>
    <row r="207" spans="1:41" ht="15" customHeight="1">
      <c r="A207" s="259" t="s">
        <v>2643</v>
      </c>
      <c r="B207" s="260">
        <f>'Dry_Litterbag Placem_Collection'!A208</f>
        <v>206</v>
      </c>
      <c r="C207" s="260" t="str">
        <f>'Dry_Litterbag Placem_Collection'!B208</f>
        <v xml:space="preserve">Mwantimba
</v>
      </c>
      <c r="D207" s="260" t="s">
        <v>2454</v>
      </c>
      <c r="E207" s="260" t="s">
        <v>2512</v>
      </c>
      <c r="F207" s="260">
        <v>1</v>
      </c>
      <c r="G207" s="260" t="s">
        <v>3817</v>
      </c>
      <c r="H207" s="261" t="str">
        <f>'Dry_Litterbag Placem_Collection'!C208</f>
        <v>Wet_Ag2_CG1</v>
      </c>
      <c r="I207" s="262" t="s">
        <v>2525</v>
      </c>
      <c r="J207" s="263" t="s">
        <v>1147</v>
      </c>
      <c r="K207" s="260" t="str">
        <f>IF(ISBLANK('Dry_Litterbag Placem_Collection'!J208),"","G"&amp;""&amp;'Dry_Litterbag Placem_Collection'!J208)</f>
        <v>G124</v>
      </c>
      <c r="L207" s="264">
        <f>IFERROR(INDEX('Green_rooibos initial weight'!$C$5:$C$2000,MATCH(K207, 'Green_rooibos initial weight'!$A$5:$A$2000,0)),"")</f>
        <v>1.9390000000000001</v>
      </c>
      <c r="M207" s="264">
        <f>IFERROR(L207-(TBIcalc!$Q$9+TBIcalc!$Q$10),"")</f>
        <v>1.6892</v>
      </c>
      <c r="N207" s="385">
        <f>AVERAGE(Ashed_controlls!$K$2:$K$11)</f>
        <v>5.5147656768714146</v>
      </c>
      <c r="O207" s="264">
        <f t="shared" si="16"/>
        <v>1.5960445781862882</v>
      </c>
      <c r="P207" s="264">
        <f>IFERROR(INDEX('Both teabags AfterDry'!$D$2:$D$2000,MATCH(K207,'Both teabags AfterDry'!$A$2:$A$2000,0)),"")</f>
        <v>0.66969999999999996</v>
      </c>
      <c r="Q207" s="264">
        <f>IFERROR(IF(P207&gt;0,P207-(TBIcalc!$Q$9),""),"")</f>
        <v>0.51909999999999989</v>
      </c>
      <c r="R207" s="275">
        <f>IFERROR(INDEX('Ashed teabags dry'!$K$2:$K$2000,MATCH(K207,'Ashed teabags dry'!$A$2:$A$2000,0)),"")</f>
        <v>14.333976833976731</v>
      </c>
      <c r="S207" s="275">
        <f t="shared" si="17"/>
        <v>0.44469232625482669</v>
      </c>
      <c r="T207" s="265">
        <f>IF('Dry_Litterbag Placem_Collection'!E208="","",'Dry_Litterbag Placem_Collection'!E208)</f>
        <v>42942</v>
      </c>
      <c r="U207" s="265">
        <f>IF('Dry_Litterbag Placem_Collection'!G208="","",'Dry_Litterbag Placem_Collection'!G208)</f>
        <v>43004</v>
      </c>
      <c r="V207" s="266">
        <f t="shared" si="15"/>
        <v>62</v>
      </c>
      <c r="W207" s="264">
        <f t="shared" si="18"/>
        <v>1.1701000000000001</v>
      </c>
      <c r="X207" s="264">
        <f t="shared" si="19"/>
        <v>1.1513522519314616</v>
      </c>
      <c r="Y207" s="268">
        <f>IFERROR(INDEX(Rainfall_Dry!$O$2:$O$217,MATCH(B207, Rainfall_Dry!$A$2:$A$217,0)),"")</f>
        <v>171.84818423999999</v>
      </c>
      <c r="Z207" s="257">
        <v>34.344660194174757</v>
      </c>
      <c r="AA207" s="257">
        <v>19.22727272727273</v>
      </c>
      <c r="AB207" s="257">
        <v>46.428067078552509</v>
      </c>
      <c r="AC207" s="258" t="s">
        <v>2654</v>
      </c>
      <c r="AD207" s="257">
        <v>1.7452932479053718</v>
      </c>
      <c r="AE207">
        <f>IF('WetLitterbags placem_collection'!AB208="","",'WetLitterbags placem_collection'!AB208)</f>
        <v>13.8</v>
      </c>
      <c r="AF207">
        <f>IF('WetLitterbags placem_collection'!Z208="","",'WetLitterbags placem_collection'!Z208)</f>
        <v>17.399999999999999</v>
      </c>
      <c r="AG207" s="243" t="str">
        <f>IF('WetLitterbags placem_collection'!AA208="","",'WetLitterbags placem_collection'!AA208)</f>
        <v>O</v>
      </c>
      <c r="AH207">
        <f>IF('WetLitterbags placem_collection'!AC208="","",'WetLitterbags placem_collection'!AC208)</f>
        <v>1</v>
      </c>
      <c r="AI207">
        <f>IFERROR(AVERAGE('Dry_Litterbag Placem_Collection'!O208,'Dry_Litterbag Placem_Collection'!R208),"")</f>
        <v>6.4</v>
      </c>
      <c r="AJ207" s="268">
        <f>IFERROR(AVERAGE('Dry_Litterbag Placem_Collection'!N208,'Dry_Litterbag Placem_Collection'!Q208),"")</f>
        <v>27.799999999999997</v>
      </c>
      <c r="AK207">
        <v>-2.439403972</v>
      </c>
      <c r="AL207">
        <v>34.838404959999998</v>
      </c>
      <c r="AM207" s="267" t="str">
        <f>IF(ISNUMBER(SEARCH("C", 'Dry_Litterbag Placem_Collection'!S208)),"YES","NO")</f>
        <v>NO</v>
      </c>
      <c r="AN207" s="267" t="str">
        <f>IF(ISNUMBER(SEARCH("H", 'Dry_Litterbag Placem_Collection'!S208)),"YES","NO")</f>
        <v>NO</v>
      </c>
      <c r="AO207" s="267" t="str">
        <f>IF(ISNUMBER(SEARCH("R", 'Dry_Litterbag Placem_Collection'!S208)),"YES","NO")</f>
        <v>YES</v>
      </c>
    </row>
    <row r="208" spans="1:41" ht="15" customHeight="1">
      <c r="A208" s="259" t="s">
        <v>2643</v>
      </c>
      <c r="B208" s="260">
        <f>'Dry_Litterbag Placem_Collection'!A209</f>
        <v>207</v>
      </c>
      <c r="C208" s="260" t="str">
        <f>'Dry_Litterbag Placem_Collection'!B209</f>
        <v xml:space="preserve">Mwantimba
</v>
      </c>
      <c r="D208" s="260" t="s">
        <v>2454</v>
      </c>
      <c r="E208" s="260" t="s">
        <v>2512</v>
      </c>
      <c r="F208" s="260">
        <v>4</v>
      </c>
      <c r="G208" s="260" t="s">
        <v>3818</v>
      </c>
      <c r="H208" s="261" t="str">
        <f>'Dry_Litterbag Placem_Collection'!C209</f>
        <v>Wet_Ag3_CG4</v>
      </c>
      <c r="I208" s="262" t="s">
        <v>2525</v>
      </c>
      <c r="J208" s="263" t="s">
        <v>1147</v>
      </c>
      <c r="K208" s="260" t="str">
        <f>IF(ISBLANK('Dry_Litterbag Placem_Collection'!J209),"","G"&amp;""&amp;'Dry_Litterbag Placem_Collection'!J209)</f>
        <v>G234</v>
      </c>
      <c r="L208" s="264">
        <f>IFERROR(INDEX('Green_rooibos initial weight'!$C$5:$C$2000,MATCH(K208, 'Green_rooibos initial weight'!$A$5:$A$2000,0)),"")</f>
        <v>2.13</v>
      </c>
      <c r="M208" s="264">
        <f>IFERROR(L208-(TBIcalc!$Q$9+TBIcalc!$Q$10),"")</f>
        <v>1.8801999999999999</v>
      </c>
      <c r="N208" s="385">
        <f>AVERAGE(Ashed_controlls!$K$2:$K$11)</f>
        <v>5.5147656768714146</v>
      </c>
      <c r="O208" s="264">
        <f t="shared" si="16"/>
        <v>1.7765113757434636</v>
      </c>
      <c r="P208" s="264">
        <f>IFERROR(INDEX('Both teabags AfterDry'!$D$2:$D$2000,MATCH(K208,'Both teabags AfterDry'!$A$2:$A$2000,0)),"")</f>
        <v>0.745</v>
      </c>
      <c r="Q208" s="264">
        <f>IFERROR(IF(P208&gt;0,P208-(TBIcalc!$Q$9),""),"")</f>
        <v>0.59440000000000004</v>
      </c>
      <c r="R208" s="275">
        <f>IFERROR(INDEX('Ashed teabags dry'!$K$2:$K$2000,MATCH(K208,'Ashed teabags dry'!$A$2:$A$2000,0)),"")</f>
        <v>21.467639015496861</v>
      </c>
      <c r="S208" s="275">
        <f t="shared" si="17"/>
        <v>0.46679635369188666</v>
      </c>
      <c r="T208" s="265">
        <f>IF('Dry_Litterbag Placem_Collection'!E209="","",'Dry_Litterbag Placem_Collection'!E209)</f>
        <v>42942</v>
      </c>
      <c r="U208" s="265">
        <f>IF('Dry_Litterbag Placem_Collection'!G209="","",'Dry_Litterbag Placem_Collection'!G209)</f>
        <v>43004</v>
      </c>
      <c r="V208" s="266">
        <f t="shared" si="15"/>
        <v>62</v>
      </c>
      <c r="W208" s="264">
        <f t="shared" si="18"/>
        <v>1.2857999999999998</v>
      </c>
      <c r="X208" s="264">
        <f t="shared" si="19"/>
        <v>1.309715022051577</v>
      </c>
      <c r="Y208" s="268">
        <f>IFERROR(INDEX(Rainfall_Dry!$O$2:$O$217,MATCH(B208, Rainfall_Dry!$A$2:$A$217,0)),"")</f>
        <v>171.84818423999999</v>
      </c>
      <c r="Z208" s="257">
        <v>27.96</v>
      </c>
      <c r="AA208" s="257">
        <v>4.9200000000000017</v>
      </c>
      <c r="AB208" s="257">
        <v>67.12</v>
      </c>
      <c r="AC208" s="258" t="s">
        <v>2654</v>
      </c>
      <c r="AD208" s="257">
        <v>0.88610152784622953</v>
      </c>
      <c r="AE208">
        <f>IF('WetLitterbags placem_collection'!AB209="","",'WetLitterbags placem_collection'!AB209)</f>
        <v>15.2</v>
      </c>
      <c r="AF208">
        <f>IF('WetLitterbags placem_collection'!Z209="","",'WetLitterbags placem_collection'!Z209)</f>
        <v>12.2</v>
      </c>
      <c r="AG208" s="243" t="str">
        <f>IF('WetLitterbags placem_collection'!AA209="","",'WetLitterbags placem_collection'!AA209)</f>
        <v>O</v>
      </c>
      <c r="AH208">
        <f>IF('WetLitterbags placem_collection'!AC209="","",'WetLitterbags placem_collection'!AC209)</f>
        <v>1</v>
      </c>
      <c r="AI208">
        <f>IFERROR(AVERAGE('Dry_Litterbag Placem_Collection'!O209,'Dry_Litterbag Placem_Collection'!R209),"")</f>
        <v>4.3</v>
      </c>
      <c r="AJ208" s="268">
        <f>IFERROR(AVERAGE('Dry_Litterbag Placem_Collection'!N209,'Dry_Litterbag Placem_Collection'!Q209),"")</f>
        <v>29.6</v>
      </c>
      <c r="AK208">
        <v>-2.4396949910000001</v>
      </c>
      <c r="AL208">
        <v>34.838574029999997</v>
      </c>
      <c r="AM208" s="267" t="str">
        <f>IF(ISNUMBER(SEARCH("C", 'Dry_Litterbag Placem_Collection'!S209)),"YES","NO")</f>
        <v>NO</v>
      </c>
      <c r="AN208" s="267" t="str">
        <f>IF(ISNUMBER(SEARCH("H", 'Dry_Litterbag Placem_Collection'!S209)),"YES","NO")</f>
        <v>NO</v>
      </c>
      <c r="AO208" s="267" t="str">
        <f>IF(ISNUMBER(SEARCH("R", 'Dry_Litterbag Placem_Collection'!S209)),"YES","NO")</f>
        <v>YES</v>
      </c>
    </row>
    <row r="209" spans="1:41" ht="15" customHeight="1">
      <c r="A209" s="259" t="s">
        <v>2643</v>
      </c>
      <c r="B209" s="260">
        <f>'Dry_Litterbag Placem_Collection'!A210</f>
        <v>208</v>
      </c>
      <c r="C209" s="260" t="str">
        <f>'Dry_Litterbag Placem_Collection'!B210</f>
        <v xml:space="preserve">Mwantimba
</v>
      </c>
      <c r="D209" s="260" t="s">
        <v>2454</v>
      </c>
      <c r="E209" s="260" t="s">
        <v>2512</v>
      </c>
      <c r="F209" s="260">
        <v>3</v>
      </c>
      <c r="G209" s="260" t="s">
        <v>3819</v>
      </c>
      <c r="H209" s="261" t="str">
        <f>'Dry_Litterbag Placem_Collection'!C210</f>
        <v>Wet_Ag4_CG3</v>
      </c>
      <c r="I209" s="262" t="s">
        <v>2525</v>
      </c>
      <c r="J209" s="263" t="s">
        <v>1147</v>
      </c>
      <c r="K209" s="260" t="str">
        <f>IF(ISBLANK('Dry_Litterbag Placem_Collection'!J210),"","G"&amp;""&amp;'Dry_Litterbag Placem_Collection'!J210)</f>
        <v>G412</v>
      </c>
      <c r="L209" s="264">
        <f>IFERROR(INDEX('Green_rooibos initial weight'!$C$5:$C$2000,MATCH(K209, 'Green_rooibos initial weight'!$A$5:$A$2000,0)),"")</f>
        <v>2.0049999999999999</v>
      </c>
      <c r="M209" s="264">
        <f>IFERROR(L209-(TBIcalc!$Q$9+TBIcalc!$Q$10),"")</f>
        <v>1.7551999999999999</v>
      </c>
      <c r="N209" s="385">
        <f>AVERAGE(Ashed_controlls!$K$2:$K$11)</f>
        <v>5.5147656768714146</v>
      </c>
      <c r="O209" s="264">
        <f t="shared" si="16"/>
        <v>1.6584048328395529</v>
      </c>
      <c r="P209" s="264">
        <f>IFERROR(INDEX('Both teabags AfterDry'!$D$2:$D$2000,MATCH(K209,'Both teabags AfterDry'!$A$2:$A$2000,0)),"")</f>
        <v>0.72499999999999998</v>
      </c>
      <c r="Q209" s="264">
        <f>IFERROR(IF(P209&gt;0,P209-(TBIcalc!$Q$9),""),"")</f>
        <v>0.57440000000000002</v>
      </c>
      <c r="R209" s="275">
        <f>IFERROR(INDEX('Ashed teabags dry'!$K$2:$K$2000,MATCH(K209,'Ashed teabags dry'!$A$2:$A$2000,0)),"")</f>
        <v>27.644710578842087</v>
      </c>
      <c r="S209" s="275">
        <f t="shared" si="17"/>
        <v>0.41560878243513111</v>
      </c>
      <c r="T209" s="265">
        <f>IF('Dry_Litterbag Placem_Collection'!E210="","",'Dry_Litterbag Placem_Collection'!E210)</f>
        <v>42942</v>
      </c>
      <c r="U209" s="265">
        <f>IF('Dry_Litterbag Placem_Collection'!G210="","",'Dry_Litterbag Placem_Collection'!G210)</f>
        <v>43004</v>
      </c>
      <c r="V209" s="266">
        <f t="shared" si="15"/>
        <v>62</v>
      </c>
      <c r="W209" s="264">
        <f t="shared" si="18"/>
        <v>1.1807999999999998</v>
      </c>
      <c r="X209" s="264">
        <f t="shared" si="19"/>
        <v>1.2427960504044218</v>
      </c>
      <c r="Y209" s="268">
        <f>IFERROR(INDEX(Rainfall_Dry!$O$2:$O$217,MATCH(B209, Rainfall_Dry!$A$2:$A$217,0)),"")</f>
        <v>171.84818423999999</v>
      </c>
      <c r="Z209" s="257">
        <v>17.96</v>
      </c>
      <c r="AA209" s="257">
        <v>4.9199999999999982</v>
      </c>
      <c r="AB209" s="257">
        <v>77.12</v>
      </c>
      <c r="AC209" s="258" t="s">
        <v>2655</v>
      </c>
      <c r="AD209" s="257">
        <v>2.0220798422868409</v>
      </c>
      <c r="AE209">
        <f>IF('WetLitterbags placem_collection'!AB210="","",'WetLitterbags placem_collection'!AB210)</f>
        <v>7.9</v>
      </c>
      <c r="AF209">
        <f>IF('WetLitterbags placem_collection'!Z210="","",'WetLitterbags placem_collection'!Z210)</f>
        <v>7.9</v>
      </c>
      <c r="AG209" s="243" t="str">
        <f>IF('WetLitterbags placem_collection'!AA210="","",'WetLitterbags placem_collection'!AA210)</f>
        <v>O</v>
      </c>
      <c r="AH209">
        <f>IF('WetLitterbags placem_collection'!AC210="","",'WetLitterbags placem_collection'!AC210)</f>
        <v>1</v>
      </c>
      <c r="AI209">
        <f>IFERROR(AVERAGE('Dry_Litterbag Placem_Collection'!O210,'Dry_Litterbag Placem_Collection'!R210),"")</f>
        <v>6.2</v>
      </c>
      <c r="AJ209" s="268">
        <f>IFERROR(AVERAGE('Dry_Litterbag Placem_Collection'!N210,'Dry_Litterbag Placem_Collection'!Q210),"")</f>
        <v>29.1</v>
      </c>
      <c r="AK209">
        <v>-2.4395990190000001</v>
      </c>
      <c r="AL209">
        <v>34.838418959999998</v>
      </c>
      <c r="AM209" s="267" t="str">
        <f>IF(ISNUMBER(SEARCH("C", 'Dry_Litterbag Placem_Collection'!S210)),"YES","NO")</f>
        <v>NO</v>
      </c>
      <c r="AN209" s="267" t="str">
        <f>IF(ISNUMBER(SEARCH("H", 'Dry_Litterbag Placem_Collection'!S210)),"YES","NO")</f>
        <v>YES</v>
      </c>
      <c r="AO209" s="267" t="str">
        <f>IF(ISNUMBER(SEARCH("R", 'Dry_Litterbag Placem_Collection'!S210)),"YES","NO")</f>
        <v>YES</v>
      </c>
    </row>
    <row r="210" spans="1:41" ht="15" customHeight="1">
      <c r="A210" s="259" t="s">
        <v>2643</v>
      </c>
      <c r="B210" s="260">
        <f>'Dry_Litterbag Placem_Collection'!A211</f>
        <v>209</v>
      </c>
      <c r="C210" s="260" t="str">
        <f>'Dry_Litterbag Placem_Collection'!B211</f>
        <v xml:space="preserve">Mwantimba
</v>
      </c>
      <c r="D210" s="260" t="s">
        <v>2454</v>
      </c>
      <c r="E210" s="260" t="s">
        <v>2512</v>
      </c>
      <c r="F210" s="260">
        <v>2</v>
      </c>
      <c r="G210" s="260" t="s">
        <v>3820</v>
      </c>
      <c r="H210" s="261" t="str">
        <f>'Dry_Litterbag Placem_Collection'!C211</f>
        <v>Wet_P1_CG2</v>
      </c>
      <c r="I210" s="262" t="s">
        <v>2525</v>
      </c>
      <c r="J210" s="263" t="s">
        <v>1147</v>
      </c>
      <c r="K210" s="260" t="str">
        <f>IF(ISBLANK('Dry_Litterbag Placem_Collection'!J211),"","G"&amp;""&amp;'Dry_Litterbag Placem_Collection'!J211)</f>
        <v>G94</v>
      </c>
      <c r="L210" s="264">
        <f>IFERROR(INDEX('Green_rooibos initial weight'!$C$5:$C$2000,MATCH(K210, 'Green_rooibos initial weight'!$A$5:$A$2000,0)),"")</f>
        <v>2.0630000000000002</v>
      </c>
      <c r="M210" s="264">
        <f>IFERROR(L210-(TBIcalc!$Q$9+TBIcalc!$Q$10),"")</f>
        <v>1.8132000000000001</v>
      </c>
      <c r="N210" s="385">
        <f>AVERAGE(Ashed_controlls!$K$2:$K$11)</f>
        <v>5.5147656768714146</v>
      </c>
      <c r="O210" s="264">
        <f t="shared" si="16"/>
        <v>1.7132062687469676</v>
      </c>
      <c r="P210" s="264">
        <f>IFERROR(INDEX('Both teabags AfterDry'!$D$2:$D$2000,MATCH(K210,'Both teabags AfterDry'!$A$2:$A$2000,0)),"")</f>
        <v>0.76</v>
      </c>
      <c r="Q210" s="264">
        <f>IFERROR(IF(P210&gt;0,P210-(TBIcalc!$Q$9),""),"")</f>
        <v>0.60939999999999994</v>
      </c>
      <c r="R210" s="275">
        <f>IFERROR(INDEX('Ashed teabags dry'!$K$2:$K$2000,MATCH(K210,'Ashed teabags dry'!$A$2:$A$2000,0)),"")</f>
        <v>19.445818901534416</v>
      </c>
      <c r="S210" s="275">
        <f t="shared" si="17"/>
        <v>0.49089717961404922</v>
      </c>
      <c r="T210" s="265">
        <f>IF('Dry_Litterbag Placem_Collection'!E211="","",'Dry_Litterbag Placem_Collection'!E211)</f>
        <v>42942</v>
      </c>
      <c r="U210" s="265">
        <f>IF('Dry_Litterbag Placem_Collection'!G211="","",'Dry_Litterbag Placem_Collection'!G211)</f>
        <v>43004</v>
      </c>
      <c r="V210" s="266">
        <f t="shared" si="15"/>
        <v>62</v>
      </c>
      <c r="W210" s="264">
        <f t="shared" si="18"/>
        <v>1.2038000000000002</v>
      </c>
      <c r="X210" s="264">
        <f t="shared" si="19"/>
        <v>1.2223090891329185</v>
      </c>
      <c r="Y210" s="268">
        <f>IFERROR(INDEX(Rainfall_Dry!$O$2:$O$217,MATCH(B210, Rainfall_Dry!$A$2:$A$217,0)),"")</f>
        <v>171.84818423999999</v>
      </c>
      <c r="Z210" s="257">
        <v>31.214836424255054</v>
      </c>
      <c r="AA210" s="257">
        <v>11.377370285476141</v>
      </c>
      <c r="AB210" s="257">
        <v>57.407793290268799</v>
      </c>
      <c r="AC210" s="258" t="s">
        <v>2654</v>
      </c>
      <c r="AD210" s="257">
        <v>1.7337604731394776</v>
      </c>
      <c r="AE210">
        <f>IF('WetLitterbags placem_collection'!AB211="","",'WetLitterbags placem_collection'!AB211)</f>
        <v>5.13</v>
      </c>
      <c r="AF210">
        <f>IF('WetLitterbags placem_collection'!Z211="","",'WetLitterbags placem_collection'!Z211)</f>
        <v>5.13</v>
      </c>
      <c r="AG210" s="243" t="str">
        <f>IF('WetLitterbags placem_collection'!AA211="","",'WetLitterbags placem_collection'!AA211)</f>
        <v>O</v>
      </c>
      <c r="AH210">
        <f>IF('WetLitterbags placem_collection'!AC211="","",'WetLitterbags placem_collection'!AC211)</f>
        <v>1</v>
      </c>
      <c r="AI210">
        <f>IFERROR(AVERAGE('Dry_Litterbag Placem_Collection'!O211,'Dry_Litterbag Placem_Collection'!R211),"")</f>
        <v>8.6000000000000014</v>
      </c>
      <c r="AJ210" s="268">
        <f>IFERROR(AVERAGE('Dry_Litterbag Placem_Collection'!N211,'Dry_Litterbag Placem_Collection'!Q211),"")</f>
        <v>29.6</v>
      </c>
      <c r="AK210">
        <v>-2.4396450349999999</v>
      </c>
      <c r="AL210">
        <v>34.83836599</v>
      </c>
      <c r="AM210" s="267" t="str">
        <f>IF(ISNUMBER(SEARCH("C", 'Dry_Litterbag Placem_Collection'!S211)),"YES","NO")</f>
        <v>NO</v>
      </c>
      <c r="AN210" s="267" t="str">
        <f>IF(ISNUMBER(SEARCH("H", 'Dry_Litterbag Placem_Collection'!S211)),"YES","NO")</f>
        <v>NO</v>
      </c>
      <c r="AO210" s="267" t="str">
        <f>IF(ISNUMBER(SEARCH("R", 'Dry_Litterbag Placem_Collection'!S211)),"YES","NO")</f>
        <v>YES</v>
      </c>
    </row>
    <row r="211" spans="1:41" ht="15" customHeight="1">
      <c r="A211" s="259" t="s">
        <v>2643</v>
      </c>
      <c r="B211" s="260">
        <f>'Dry_Litterbag Placem_Collection'!A212</f>
        <v>210</v>
      </c>
      <c r="C211" s="260" t="str">
        <f>'Dry_Litterbag Placem_Collection'!B212</f>
        <v xml:space="preserve">Mwantimba
</v>
      </c>
      <c r="D211" s="260" t="s">
        <v>2454</v>
      </c>
      <c r="E211" s="260" t="s">
        <v>2512</v>
      </c>
      <c r="F211" s="260">
        <v>4</v>
      </c>
      <c r="G211" s="260" t="s">
        <v>3822</v>
      </c>
      <c r="H211" s="261" t="str">
        <f>'Dry_Litterbag Placem_Collection'!C212</f>
        <v>Wet_P2_CG4</v>
      </c>
      <c r="I211" s="262" t="s">
        <v>2525</v>
      </c>
      <c r="J211" s="263" t="s">
        <v>1147</v>
      </c>
      <c r="K211" s="260" t="str">
        <f>IF(ISBLANK('Dry_Litterbag Placem_Collection'!J212),"","G"&amp;""&amp;'Dry_Litterbag Placem_Collection'!J212)</f>
        <v>G93</v>
      </c>
      <c r="L211" s="264">
        <f>IFERROR(INDEX('Green_rooibos initial weight'!$C$5:$C$2000,MATCH(K211, 'Green_rooibos initial weight'!$A$5:$A$2000,0)),"")</f>
        <v>2.1230000000000002</v>
      </c>
      <c r="M211" s="264">
        <f>IFERROR(L211-(TBIcalc!$Q$9+TBIcalc!$Q$10),"")</f>
        <v>1.8732000000000002</v>
      </c>
      <c r="N211" s="385">
        <f>AVERAGE(Ashed_controlls!$K$2:$K$11)</f>
        <v>5.5147656768714146</v>
      </c>
      <c r="O211" s="264">
        <f t="shared" si="16"/>
        <v>1.7698974093408448</v>
      </c>
      <c r="P211" s="264">
        <f>IFERROR(INDEX('Both teabags AfterDry'!$D$2:$D$2000,MATCH(K211,'Both teabags AfterDry'!$A$2:$A$2000,0)),"")</f>
        <v>0.80600000000000005</v>
      </c>
      <c r="Q211" s="264">
        <f>IFERROR(IF(P211&gt;0,P211-(TBIcalc!$Q$9),""),"")</f>
        <v>0.65539999999999998</v>
      </c>
      <c r="R211" s="275">
        <f>IFERROR(INDEX('Ashed teabags dry'!$K$2:$K$2000,MATCH(K211,'Ashed teabags dry'!$A$2:$A$2000,0)),"")</f>
        <v>13.82488479262701</v>
      </c>
      <c r="S211" s="275">
        <f t="shared" si="17"/>
        <v>0.56479170506912257</v>
      </c>
      <c r="T211" s="265">
        <f>IF('Dry_Litterbag Placem_Collection'!E212="","",'Dry_Litterbag Placem_Collection'!E212)</f>
        <v>42942</v>
      </c>
      <c r="U211" s="265">
        <f>IF('Dry_Litterbag Placem_Collection'!G212="","",'Dry_Litterbag Placem_Collection'!G212)</f>
        <v>43004</v>
      </c>
      <c r="V211" s="266">
        <f t="shared" si="15"/>
        <v>62</v>
      </c>
      <c r="W211" s="264">
        <f t="shared" si="18"/>
        <v>1.2178000000000002</v>
      </c>
      <c r="X211" s="264">
        <f t="shared" si="19"/>
        <v>1.2051057042717224</v>
      </c>
      <c r="Y211" s="268">
        <f>IFERROR(INDEX(Rainfall_Dry!$O$2:$O$217,MATCH(B211, Rainfall_Dry!$A$2:$A$217,0)),"")</f>
        <v>171.84818423999999</v>
      </c>
      <c r="Z211" s="257">
        <v>33.96</v>
      </c>
      <c r="AA211" s="257">
        <v>8.9200000000000017</v>
      </c>
      <c r="AB211" s="257">
        <v>57.12</v>
      </c>
      <c r="AC211" s="258" t="s">
        <v>2654</v>
      </c>
      <c r="AD211" s="257">
        <v>2.072055199605717</v>
      </c>
      <c r="AE211">
        <f>IF('WetLitterbags placem_collection'!AB212="","",'WetLitterbags placem_collection'!AB212)</f>
        <v>15.2</v>
      </c>
      <c r="AF211">
        <f>IF('WetLitterbags placem_collection'!Z212="","",'WetLitterbags placem_collection'!Z212)</f>
        <v>12.2</v>
      </c>
      <c r="AG211" s="243" t="str">
        <f>IF('WetLitterbags placem_collection'!AA212="","",'WetLitterbags placem_collection'!AA212)</f>
        <v>O</v>
      </c>
      <c r="AH211">
        <f>IF('WetLitterbags placem_collection'!AC212="","",'WetLitterbags placem_collection'!AC212)</f>
        <v>1</v>
      </c>
      <c r="AI211">
        <f>IFERROR(AVERAGE('Dry_Litterbag Placem_Collection'!O212,'Dry_Litterbag Placem_Collection'!R212),"")</f>
        <v>6.1</v>
      </c>
      <c r="AJ211" s="268">
        <f>IFERROR(AVERAGE('Dry_Litterbag Placem_Collection'!N212,'Dry_Litterbag Placem_Collection'!Q212),"")</f>
        <v>27.5</v>
      </c>
      <c r="AK211">
        <v>-2.4396949910000001</v>
      </c>
      <c r="AL211">
        <v>34.838574029999997</v>
      </c>
      <c r="AM211" s="267" t="str">
        <f>IF(ISNUMBER(SEARCH("C", 'Dry_Litterbag Placem_Collection'!S212)),"YES","NO")</f>
        <v>YES</v>
      </c>
      <c r="AN211" s="267" t="str">
        <f>IF(ISNUMBER(SEARCH("H", 'Dry_Litterbag Placem_Collection'!S212)),"YES","NO")</f>
        <v>NO</v>
      </c>
      <c r="AO211" s="267" t="str">
        <f>IF(ISNUMBER(SEARCH("R", 'Dry_Litterbag Placem_Collection'!S212)),"YES","NO")</f>
        <v>YES</v>
      </c>
    </row>
    <row r="212" spans="1:41" ht="15" customHeight="1">
      <c r="A212" s="259" t="s">
        <v>2643</v>
      </c>
      <c r="B212" s="260">
        <f>'Dry_Litterbag Placem_Collection'!A213</f>
        <v>211</v>
      </c>
      <c r="C212" s="260" t="str">
        <f>'Dry_Litterbag Placem_Collection'!B213</f>
        <v xml:space="preserve">Mwantimba
</v>
      </c>
      <c r="D212" s="260" t="s">
        <v>2454</v>
      </c>
      <c r="E212" s="260" t="s">
        <v>2512</v>
      </c>
      <c r="F212" s="260">
        <v>1</v>
      </c>
      <c r="G212" s="260" t="s">
        <v>3823</v>
      </c>
      <c r="H212" s="261" t="str">
        <f>'Dry_Litterbag Placem_Collection'!C213</f>
        <v>Wet_P3_CG1</v>
      </c>
      <c r="I212" s="262" t="s">
        <v>2525</v>
      </c>
      <c r="J212" s="263" t="s">
        <v>1147</v>
      </c>
      <c r="K212" s="260" t="str">
        <f>IF(ISBLANK('Dry_Litterbag Placem_Collection'!J213),"","G"&amp;""&amp;'Dry_Litterbag Placem_Collection'!J213)</f>
        <v>G26</v>
      </c>
      <c r="L212" s="264">
        <f>IFERROR(INDEX('Green_rooibos initial weight'!$C$5:$C$2000,MATCH(K212, 'Green_rooibos initial weight'!$A$5:$A$2000,0)),"")</f>
        <v>2.1059999999999999</v>
      </c>
      <c r="M212" s="264">
        <f>IFERROR(L212-(TBIcalc!$Q$9+TBIcalc!$Q$10),"")</f>
        <v>1.8561999999999999</v>
      </c>
      <c r="N212" s="385">
        <f>AVERAGE(Ashed_controlls!$K$2:$K$11)</f>
        <v>5.5147656768714146</v>
      </c>
      <c r="O212" s="264">
        <f t="shared" si="16"/>
        <v>1.7538349195059126</v>
      </c>
      <c r="P212" s="264">
        <f>IFERROR(INDEX('Both teabags AfterDry'!$D$2:$D$2000,MATCH(K212,'Both teabags AfterDry'!$A$2:$A$2000,0)),"")</f>
        <v>0.38400000000000001</v>
      </c>
      <c r="Q212" s="264">
        <f>IFERROR(IF(P212&gt;0,P212-(TBIcalc!$Q$9),""),"")</f>
        <v>0.2334</v>
      </c>
      <c r="R212" s="275">
        <f>IFERROR(INDEX('Ashed teabags dry'!$K$2:$K$2000,MATCH(K212,'Ashed teabags dry'!$A$2:$A$2000,0)),"")</f>
        <v>18.38888888888961</v>
      </c>
      <c r="S212" s="275">
        <f t="shared" si="17"/>
        <v>0.19048033333333164</v>
      </c>
      <c r="T212" s="265">
        <f>IF('Dry_Litterbag Placem_Collection'!E213="","",'Dry_Litterbag Placem_Collection'!E213)</f>
        <v>42942</v>
      </c>
      <c r="U212" s="265">
        <f>IF('Dry_Litterbag Placem_Collection'!G213="","",'Dry_Litterbag Placem_Collection'!G213)</f>
        <v>43004</v>
      </c>
      <c r="V212" s="266">
        <f t="shared" si="15"/>
        <v>62</v>
      </c>
      <c r="W212" s="264">
        <f t="shared" si="18"/>
        <v>1.6227999999999998</v>
      </c>
      <c r="X212" s="264">
        <f t="shared" si="19"/>
        <v>1.5633545861725811</v>
      </c>
      <c r="Y212" s="268">
        <f>IFERROR(INDEX(Rainfall_Dry!$O$2:$O$217,MATCH(B212, Rainfall_Dry!$A$2:$A$217,0)),"")</f>
        <v>171.84818423999999</v>
      </c>
      <c r="Z212" s="257">
        <v>39.96</v>
      </c>
      <c r="AA212" s="257">
        <v>12.920000000000002</v>
      </c>
      <c r="AB212" s="257">
        <v>47.12</v>
      </c>
      <c r="AC212" s="258" t="s">
        <v>2658</v>
      </c>
      <c r="AD212" s="257">
        <v>1.6549531789058647</v>
      </c>
      <c r="AE212">
        <f>IF('WetLitterbags placem_collection'!AB213="","",'WetLitterbags placem_collection'!AB213)</f>
        <v>13.8</v>
      </c>
      <c r="AF212">
        <f>IF('WetLitterbags placem_collection'!Z213="","",'WetLitterbags placem_collection'!Z213)</f>
        <v>17.399999999999999</v>
      </c>
      <c r="AG212" s="243" t="str">
        <f>IF('WetLitterbags placem_collection'!AA213="","",'WetLitterbags placem_collection'!AA213)</f>
        <v>O</v>
      </c>
      <c r="AH212">
        <f>IF('WetLitterbags placem_collection'!AC213="","",'WetLitterbags placem_collection'!AC213)</f>
        <v>1</v>
      </c>
      <c r="AI212">
        <f>IFERROR(AVERAGE('Dry_Litterbag Placem_Collection'!O213,'Dry_Litterbag Placem_Collection'!R213),"")</f>
        <v>7.55</v>
      </c>
      <c r="AJ212" s="268">
        <f>IFERROR(AVERAGE('Dry_Litterbag Placem_Collection'!N213,'Dry_Litterbag Placem_Collection'!Q213),"")</f>
        <v>28</v>
      </c>
      <c r="AK212">
        <v>-2.439403972</v>
      </c>
      <c r="AL212">
        <v>34.838404959999998</v>
      </c>
      <c r="AM212" s="267" t="str">
        <f>IF(ISNUMBER(SEARCH("C", 'Dry_Litterbag Placem_Collection'!S213)),"YES","NO")</f>
        <v>NO</v>
      </c>
      <c r="AN212" s="267" t="str">
        <f>IF(ISNUMBER(SEARCH("H", 'Dry_Litterbag Placem_Collection'!S213)),"YES","NO")</f>
        <v>YES</v>
      </c>
      <c r="AO212" s="267" t="str">
        <f>IF(ISNUMBER(SEARCH("R", 'Dry_Litterbag Placem_Collection'!S213)),"YES","NO")</f>
        <v>NO</v>
      </c>
    </row>
    <row r="213" spans="1:41" ht="15" customHeight="1">
      <c r="A213" s="259" t="s">
        <v>2643</v>
      </c>
      <c r="B213" s="260">
        <f>'Dry_Litterbag Placem_Collection'!A214</f>
        <v>215</v>
      </c>
      <c r="C213" s="260" t="str">
        <f>'Dry_Litterbag Placem_Collection'!B214</f>
        <v xml:space="preserve">Mwantimba
</v>
      </c>
      <c r="D213" s="260" t="s">
        <v>2454</v>
      </c>
      <c r="E213" s="260" t="s">
        <v>2512</v>
      </c>
      <c r="F213" s="260">
        <v>3</v>
      </c>
      <c r="G213" s="260" t="s">
        <v>3828</v>
      </c>
      <c r="H213" s="261" t="str">
        <f>'Dry_Litterbag Placem_Collection'!C214</f>
        <v>Wet_W3_CG1</v>
      </c>
      <c r="I213" s="262" t="s">
        <v>2525</v>
      </c>
      <c r="J213" s="263" t="s">
        <v>1147</v>
      </c>
      <c r="K213" s="260" t="str">
        <f>IF(ISBLANK('Dry_Litterbag Placem_Collection'!J214),"","G"&amp;""&amp;'Dry_Litterbag Placem_Collection'!J214)</f>
        <v>G169</v>
      </c>
      <c r="L213" s="264">
        <f>IFERROR(INDEX('Green_rooibos initial weight'!$C$5:$C$2000,MATCH(K213, 'Green_rooibos initial weight'!$A$5:$A$2000,0)),"")</f>
        <v>2.0649999999999999</v>
      </c>
      <c r="M213" s="264">
        <f>IFERROR(L213-(TBIcalc!$Q$9+TBIcalc!$Q$10),"")</f>
        <v>1.8151999999999999</v>
      </c>
      <c r="N213" s="385">
        <f>AVERAGE(Ashed_controlls!$K$2:$K$11)</f>
        <v>5.5147656768714146</v>
      </c>
      <c r="O213" s="264">
        <f t="shared" si="16"/>
        <v>1.7150959734334301</v>
      </c>
      <c r="P213" s="264">
        <f>IFERROR(INDEX('Both teabags AfterDry'!$D$2:$D$2000,MATCH(K213,'Both teabags AfterDry'!$A$2:$A$2000,0)),"")</f>
        <v>0.70899999999999996</v>
      </c>
      <c r="Q213" s="264">
        <f>IFERROR(IF(P213&gt;0,P213-(TBIcalc!$Q$9),""),"")</f>
        <v>0.55840000000000001</v>
      </c>
      <c r="R213" s="275">
        <f>IFERROR(INDEX('Ashed teabags dry'!$K$2:$K$2000,MATCH(K213,'Ashed teabags dry'!$A$2:$A$2000,0)),"")</f>
        <v>21.867199201197611</v>
      </c>
      <c r="S213" s="275">
        <f t="shared" si="17"/>
        <v>0.43629355966051253</v>
      </c>
      <c r="T213" s="265">
        <f>IF('Dry_Litterbag Placem_Collection'!E214="","",'Dry_Litterbag Placem_Collection'!E214)</f>
        <v>42942</v>
      </c>
      <c r="U213" s="265">
        <f>IF('Dry_Litterbag Placem_Collection'!G214="","",'Dry_Litterbag Placem_Collection'!G214)</f>
        <v>43004</v>
      </c>
      <c r="V213" s="266">
        <f t="shared" si="15"/>
        <v>62</v>
      </c>
      <c r="W213" s="264">
        <f t="shared" si="18"/>
        <v>1.2567999999999999</v>
      </c>
      <c r="X213" s="264">
        <f t="shared" si="19"/>
        <v>1.2788024137729175</v>
      </c>
      <c r="Y213" s="268" t="str">
        <f>IFERROR(INDEX(Rainfall_Dry!$O$2:$O$217,MATCH(B213, Rainfall_Dry!$A$2:$A$217,0)),"")</f>
        <v/>
      </c>
      <c r="Z213" s="257">
        <v>27.96</v>
      </c>
      <c r="AA213" s="257">
        <v>4.9200000000000017</v>
      </c>
      <c r="AB213" s="257">
        <v>67.12</v>
      </c>
      <c r="AC213" s="258" t="s">
        <v>2654</v>
      </c>
      <c r="AD213" s="257">
        <v>1.0437161163134547</v>
      </c>
      <c r="AE213">
        <f>IF('WetLitterbags placem_collection'!AB214="","",'WetLitterbags placem_collection'!AB214)</f>
        <v>7.9</v>
      </c>
      <c r="AF213">
        <f>IF('WetLitterbags placem_collection'!Z214="","",'WetLitterbags placem_collection'!Z214)</f>
        <v>7.9</v>
      </c>
      <c r="AG213" s="243" t="str">
        <f>IF('WetLitterbags placem_collection'!AA214="","",'WetLitterbags placem_collection'!AA214)</f>
        <v>O</v>
      </c>
      <c r="AH213">
        <f>IF('WetLitterbags placem_collection'!AC214="","",'WetLitterbags placem_collection'!AC214)</f>
        <v>1</v>
      </c>
      <c r="AI213">
        <f>IFERROR(AVERAGE('Dry_Litterbag Placem_Collection'!O214,'Dry_Litterbag Placem_Collection'!R214),"")</f>
        <v>4.3</v>
      </c>
      <c r="AJ213" s="268">
        <f>IFERROR(AVERAGE('Dry_Litterbag Placem_Collection'!N214,'Dry_Litterbag Placem_Collection'!Q214),"")</f>
        <v>28.75</v>
      </c>
      <c r="AK213">
        <v>-2.4395990190000001</v>
      </c>
      <c r="AL213">
        <v>34.838418959999998</v>
      </c>
      <c r="AM213" s="267" t="str">
        <f>IF(ISNUMBER(SEARCH("C", 'Dry_Litterbag Placem_Collection'!S214)),"YES","NO")</f>
        <v>NO</v>
      </c>
      <c r="AN213" s="267" t="str">
        <f>IF(ISNUMBER(SEARCH("H", 'Dry_Litterbag Placem_Collection'!S214)),"YES","NO")</f>
        <v>NO</v>
      </c>
      <c r="AO213" s="267" t="str">
        <f>IF(ISNUMBER(SEARCH("R", 'Dry_Litterbag Placem_Collection'!S214)),"YES","NO")</f>
        <v>NO</v>
      </c>
    </row>
    <row r="214" spans="1:41" ht="15" customHeight="1">
      <c r="A214" s="259" t="s">
        <v>2643</v>
      </c>
      <c r="B214" s="260">
        <f>'Dry_Litterbag Placem_Collection'!A215</f>
        <v>212</v>
      </c>
      <c r="C214" s="260" t="str">
        <f>'Dry_Litterbag Placem_Collection'!B215</f>
        <v xml:space="preserve">Mwantimba
</v>
      </c>
      <c r="D214" s="260" t="s">
        <v>2454</v>
      </c>
      <c r="E214" s="260" t="s">
        <v>2512</v>
      </c>
      <c r="F214" s="260">
        <v>4</v>
      </c>
      <c r="G214" s="260" t="s">
        <v>3824</v>
      </c>
      <c r="H214" s="261" t="str">
        <f>'Dry_Litterbag Placem_Collection'!C215</f>
        <v>Wet_P4_CG3</v>
      </c>
      <c r="I214" s="262" t="s">
        <v>2525</v>
      </c>
      <c r="J214" s="263" t="s">
        <v>1147</v>
      </c>
      <c r="K214" s="260" t="str">
        <f>IF(ISBLANK('Dry_Litterbag Placem_Collection'!J215),"","G"&amp;""&amp;'Dry_Litterbag Placem_Collection'!J215)</f>
        <v>G68</v>
      </c>
      <c r="L214" s="264">
        <f>IFERROR(INDEX('Green_rooibos initial weight'!$C$5:$C$2000,MATCH(K214, 'Green_rooibos initial weight'!$A$5:$A$2000,0)),"")</f>
        <v>1.921</v>
      </c>
      <c r="M214" s="264">
        <f>IFERROR(L214-(TBIcalc!$Q$9+TBIcalc!$Q$10),"")</f>
        <v>1.6712</v>
      </c>
      <c r="N214" s="385">
        <f>AVERAGE(Ashed_controlls!$K$2:$K$11)</f>
        <v>5.5147656768714146</v>
      </c>
      <c r="O214" s="264">
        <f t="shared" si="16"/>
        <v>1.5790372360081248</v>
      </c>
      <c r="P214" s="264">
        <f>IFERROR(INDEX('Both teabags AfterDry'!$D$2:$D$2000,MATCH(K214,'Both teabags AfterDry'!$A$2:$A$2000,0)),"")</f>
        <v>0.71</v>
      </c>
      <c r="Q214" s="264">
        <f>IFERROR(IF(P214&gt;0,P214-(TBIcalc!$Q$9),""),"")</f>
        <v>0.5593999999999999</v>
      </c>
      <c r="R214" s="275">
        <f>IFERROR(INDEX('Ashed teabags dry'!$K$2:$K$2000,MATCH(K214,'Ashed teabags dry'!$A$2:$A$2000,0)),"")</f>
        <v>24.931756141947613</v>
      </c>
      <c r="S214" s="275">
        <f t="shared" si="17"/>
        <v>0.419931756141945</v>
      </c>
      <c r="T214" s="265">
        <f>IF('Dry_Litterbag Placem_Collection'!E215="","",'Dry_Litterbag Placem_Collection'!E215)</f>
        <v>42942</v>
      </c>
      <c r="U214" s="265">
        <f>IF('Dry_Litterbag Placem_Collection'!G215="","",'Dry_Litterbag Placem_Collection'!G215)</f>
        <v>43004</v>
      </c>
      <c r="V214" s="266">
        <f t="shared" si="15"/>
        <v>62</v>
      </c>
      <c r="W214" s="264">
        <f t="shared" si="18"/>
        <v>1.1118000000000001</v>
      </c>
      <c r="X214" s="264">
        <f t="shared" si="19"/>
        <v>1.15910547986618</v>
      </c>
      <c r="Y214" s="268">
        <f>IFERROR(INDEX(Rainfall_Dry!$O$2:$O$217,MATCH(B214, Rainfall_Dry!$A$2:$A$217,0)),"")</f>
        <v>171.84818423999999</v>
      </c>
      <c r="Z214" s="257">
        <v>21.96</v>
      </c>
      <c r="AA214" s="257">
        <v>4.9199999999999982</v>
      </c>
      <c r="AB214" s="257">
        <v>73.12</v>
      </c>
      <c r="AC214" s="258" t="s">
        <v>2654</v>
      </c>
      <c r="AD214" s="257">
        <v>1.2416954164613114</v>
      </c>
      <c r="AE214">
        <f>IF('WetLitterbags placem_collection'!AB215="","",'WetLitterbags placem_collection'!AB215)</f>
        <v>15.2</v>
      </c>
      <c r="AF214">
        <f>IF('WetLitterbags placem_collection'!Z215="","",'WetLitterbags placem_collection'!Z215)</f>
        <v>12.2</v>
      </c>
      <c r="AG214" s="243" t="str">
        <f>IF('WetLitterbags placem_collection'!AA215="","",'WetLitterbags placem_collection'!AA215)</f>
        <v>O</v>
      </c>
      <c r="AH214">
        <f>IF('WetLitterbags placem_collection'!AC215="","",'WetLitterbags placem_collection'!AC215)</f>
        <v>1</v>
      </c>
      <c r="AI214">
        <f>IFERROR(AVERAGE('Dry_Litterbag Placem_Collection'!O215,'Dry_Litterbag Placem_Collection'!R215),"")</f>
        <v>8.1499999999999986</v>
      </c>
      <c r="AJ214" s="268">
        <f>IFERROR(AVERAGE('Dry_Litterbag Placem_Collection'!N215,'Dry_Litterbag Placem_Collection'!Q215),"")</f>
        <v>28.25</v>
      </c>
      <c r="AK214">
        <v>-2.4396949910000001</v>
      </c>
      <c r="AL214">
        <v>34.838574029999997</v>
      </c>
      <c r="AM214" s="267" t="str">
        <f>IF(ISNUMBER(SEARCH("C", 'Dry_Litterbag Placem_Collection'!S215)),"YES","NO")</f>
        <v>NO</v>
      </c>
      <c r="AN214" s="267" t="str">
        <f>IF(ISNUMBER(SEARCH("H", 'Dry_Litterbag Placem_Collection'!S215)),"YES","NO")</f>
        <v>YES</v>
      </c>
      <c r="AO214" s="267" t="str">
        <f>IF(ISNUMBER(SEARCH("R", 'Dry_Litterbag Placem_Collection'!S215)),"YES","NO")</f>
        <v>YES</v>
      </c>
    </row>
    <row r="215" spans="1:41" ht="15" customHeight="1">
      <c r="A215" s="259" t="s">
        <v>2643</v>
      </c>
      <c r="B215" s="260">
        <f>'Dry_Litterbag Placem_Collection'!A216</f>
        <v>213</v>
      </c>
      <c r="C215" s="260" t="str">
        <f>'Dry_Litterbag Placem_Collection'!B216</f>
        <v>Handajega</v>
      </c>
      <c r="D215" s="260" t="s">
        <v>2454</v>
      </c>
      <c r="E215" s="260" t="s">
        <v>2512</v>
      </c>
      <c r="F215" s="260">
        <v>3</v>
      </c>
      <c r="G215" s="260" t="s">
        <v>3825</v>
      </c>
      <c r="H215" s="261" t="str">
        <f>'Dry_Litterbag Placem_Collection'!C216</f>
        <v>Wet_W1_CG4</v>
      </c>
      <c r="I215" s="262" t="s">
        <v>2525</v>
      </c>
      <c r="J215" s="263" t="s">
        <v>1147</v>
      </c>
      <c r="K215" s="260" t="str">
        <f>IF(ISBLANK('Dry_Litterbag Placem_Collection'!J216),"","G"&amp;""&amp;'Dry_Litterbag Placem_Collection'!J216)</f>
        <v>G143</v>
      </c>
      <c r="L215" s="264">
        <f>IFERROR(INDEX('Green_rooibos initial weight'!$C$5:$C$2000,MATCH(K215, 'Green_rooibos initial weight'!$A$5:$A$2000,0)),"")</f>
        <v>1.9450000000000001</v>
      </c>
      <c r="M215" s="264">
        <f>IFERROR(L215-(TBIcalc!$Q$9+TBIcalc!$Q$10),"")</f>
        <v>1.6952</v>
      </c>
      <c r="N215" s="385">
        <f>AVERAGE(Ashed_controlls!$K$2:$K$11)</f>
        <v>5.5147656768714146</v>
      </c>
      <c r="O215" s="264">
        <f t="shared" si="16"/>
        <v>1.6017136922456758</v>
      </c>
      <c r="P215" s="264">
        <f>IFERROR(INDEX('Both teabags AfterDry'!$D$2:$D$2000,MATCH(K215,'Both teabags AfterDry'!$A$2:$A$2000,0)),"")</f>
        <v>0.57899999999999996</v>
      </c>
      <c r="Q215" s="264">
        <f>IFERROR(IF(P215&gt;0,P215-(TBIcalc!$Q$9),""),"")</f>
        <v>0.42839999999999995</v>
      </c>
      <c r="R215" s="275">
        <f>IFERROR(INDEX('Ashed teabags dry'!$K$2:$K$2000,MATCH(K215,'Ashed teabags dry'!$A$2:$A$2000,0)),"")</f>
        <v>19.161676646707068</v>
      </c>
      <c r="S215" s="275">
        <f t="shared" si="17"/>
        <v>0.34631137724550687</v>
      </c>
      <c r="T215" s="265">
        <f>IF('Dry_Litterbag Placem_Collection'!E216="","",'Dry_Litterbag Placem_Collection'!E216)</f>
        <v>42942</v>
      </c>
      <c r="U215" s="265">
        <f>IF('Dry_Litterbag Placem_Collection'!G216="","",'Dry_Litterbag Placem_Collection'!G216)</f>
        <v>43004</v>
      </c>
      <c r="V215" s="266">
        <f t="shared" si="15"/>
        <v>62</v>
      </c>
      <c r="W215" s="264">
        <f t="shared" si="18"/>
        <v>1.2668000000000001</v>
      </c>
      <c r="X215" s="264">
        <f t="shared" si="19"/>
        <v>1.255402315000169</v>
      </c>
      <c r="Y215" s="268">
        <f>IFERROR(INDEX(Rainfall_Dry!$O$2:$O$217,MATCH(B215, Rainfall_Dry!$A$2:$A$217,0)),"")</f>
        <v>171.84818423999999</v>
      </c>
      <c r="Z215" s="257">
        <v>23.96</v>
      </c>
      <c r="AA215" s="257">
        <v>4.9199999999999982</v>
      </c>
      <c r="AB215" s="257">
        <v>71.12</v>
      </c>
      <c r="AC215" s="258" t="s">
        <v>2654</v>
      </c>
      <c r="AD215" s="257">
        <v>3.30913750616067</v>
      </c>
      <c r="AE215">
        <f>IF('WetLitterbags placem_collection'!AB216="","",'WetLitterbags placem_collection'!AB216)</f>
        <v>7.9</v>
      </c>
      <c r="AF215">
        <f>IF('WetLitterbags placem_collection'!Z216="","",'WetLitterbags placem_collection'!Z216)</f>
        <v>7.9</v>
      </c>
      <c r="AG215" s="243" t="str">
        <f>IF('WetLitterbags placem_collection'!AA216="","",'WetLitterbags placem_collection'!AA216)</f>
        <v>O</v>
      </c>
      <c r="AH215">
        <f>IF('WetLitterbags placem_collection'!AC216="","",'WetLitterbags placem_collection'!AC216)</f>
        <v>1</v>
      </c>
      <c r="AI215">
        <f>IFERROR(AVERAGE('Dry_Litterbag Placem_Collection'!O216,'Dry_Litterbag Placem_Collection'!R216),"")</f>
        <v>4.3499999999999996</v>
      </c>
      <c r="AJ215" s="268">
        <f>IFERROR(AVERAGE('Dry_Litterbag Placem_Collection'!N216,'Dry_Litterbag Placem_Collection'!Q216),"")</f>
        <v>29.1</v>
      </c>
      <c r="AK215">
        <v>-2.4396949910000001</v>
      </c>
      <c r="AL215">
        <v>34.838574029999997</v>
      </c>
      <c r="AM215" s="267" t="str">
        <f>IF(ISNUMBER(SEARCH("C", 'Dry_Litterbag Placem_Collection'!S216)),"YES","NO")</f>
        <v>NO</v>
      </c>
      <c r="AN215" s="267" t="str">
        <f>IF(ISNUMBER(SEARCH("H", 'Dry_Litterbag Placem_Collection'!S216)),"YES","NO")</f>
        <v>NO</v>
      </c>
      <c r="AO215" s="267" t="str">
        <f>IF(ISNUMBER(SEARCH("R", 'Dry_Litterbag Placem_Collection'!S216)),"YES","NO")</f>
        <v>YES</v>
      </c>
    </row>
    <row r="216" spans="1:41" ht="15" customHeight="1">
      <c r="A216" s="259" t="s">
        <v>2643</v>
      </c>
      <c r="B216" s="260">
        <f>'Dry_Litterbag Placem_Collection'!A217</f>
        <v>214</v>
      </c>
      <c r="C216" s="260" t="str">
        <f>'Dry_Litterbag Placem_Collection'!B217</f>
        <v>Handajega</v>
      </c>
      <c r="D216" s="260" t="s">
        <v>2454</v>
      </c>
      <c r="E216" s="260" t="s">
        <v>2512</v>
      </c>
      <c r="F216" s="260">
        <v>1</v>
      </c>
      <c r="G216" s="260" t="s">
        <v>3827</v>
      </c>
      <c r="H216" s="261" t="str">
        <f>'Dry_Litterbag Placem_Collection'!C217</f>
        <v>Wet_W2_CG3</v>
      </c>
      <c r="I216" s="262" t="s">
        <v>2525</v>
      </c>
      <c r="J216" s="263" t="s">
        <v>1147</v>
      </c>
      <c r="K216" s="260" t="str">
        <f>IF(ISBLANK('Dry_Litterbag Placem_Collection'!J217),"","G"&amp;""&amp;'Dry_Litterbag Placem_Collection'!J217)</f>
        <v>G128</v>
      </c>
      <c r="L216" s="264">
        <f>IFERROR(INDEX('Green_rooibos initial weight'!$C$5:$C$2000,MATCH(K216, 'Green_rooibos initial weight'!$A$5:$A$2000,0)),"")</f>
        <v>2.0219999999999998</v>
      </c>
      <c r="M216" s="264">
        <f>IFERROR(L216-(TBIcalc!$Q$9+TBIcalc!$Q$10),"")</f>
        <v>1.7721999999999998</v>
      </c>
      <c r="N216" s="385">
        <f>AVERAGE(Ashed_controlls!$K$2:$K$11)</f>
        <v>5.5147656768714146</v>
      </c>
      <c r="O216" s="264">
        <f t="shared" si="16"/>
        <v>1.6744673226744846</v>
      </c>
      <c r="P216" s="264">
        <f>IFERROR(INDEX('Both teabags AfterDry'!$D$2:$D$2000,MATCH(K216,'Both teabags AfterDry'!$A$2:$A$2000,0)),"")</f>
        <v>0.70599999999999996</v>
      </c>
      <c r="Q216" s="264">
        <f>IFERROR(IF(P216&gt;0,P216-(TBIcalc!$Q$9),""),"")</f>
        <v>0.55539999999999989</v>
      </c>
      <c r="R216" s="275">
        <f>IFERROR(INDEX('Ashed teabags dry'!$K$2:$K$2000,MATCH(K216,'Ashed teabags dry'!$A$2:$A$2000,0)),"")</f>
        <v>20.06472491909372</v>
      </c>
      <c r="S216" s="275">
        <f t="shared" si="17"/>
        <v>0.44396051779935342</v>
      </c>
      <c r="T216" s="265">
        <f>IF('Dry_Litterbag Placem_Collection'!E217="","",'Dry_Litterbag Placem_Collection'!E217)</f>
        <v>42942</v>
      </c>
      <c r="U216" s="265">
        <f>IF('Dry_Litterbag Placem_Collection'!G217="","",'Dry_Litterbag Placem_Collection'!G217)</f>
        <v>43004</v>
      </c>
      <c r="V216" s="266">
        <f t="shared" si="15"/>
        <v>62</v>
      </c>
      <c r="W216" s="264">
        <f t="shared" si="18"/>
        <v>1.2167999999999999</v>
      </c>
      <c r="X216" s="264">
        <f t="shared" si="19"/>
        <v>1.2305068048751311</v>
      </c>
      <c r="Y216" s="268">
        <f>IFERROR(INDEX(Rainfall_Dry!$O$2:$O$217,MATCH(B216, Rainfall_Dry!$A$2:$A$217,0)),"")</f>
        <v>171.84818423999999</v>
      </c>
      <c r="Z216" s="257">
        <v>25.96</v>
      </c>
      <c r="AA216" s="257">
        <v>8.9200000000000017</v>
      </c>
      <c r="AB216" s="257">
        <v>65.12</v>
      </c>
      <c r="AC216" s="258" t="s">
        <v>2654</v>
      </c>
      <c r="AD216" s="257">
        <v>1.614588467225234</v>
      </c>
      <c r="AE216">
        <f>IF('WetLitterbags placem_collection'!AB217="","",'WetLitterbags placem_collection'!AB217)</f>
        <v>13.8</v>
      </c>
      <c r="AF216">
        <f>IF('WetLitterbags placem_collection'!Z217="","",'WetLitterbags placem_collection'!Z217)</f>
        <v>17.399999999999999</v>
      </c>
      <c r="AG216" s="243" t="str">
        <f>IF('WetLitterbags placem_collection'!AA217="","",'WetLitterbags placem_collection'!AA217)</f>
        <v>O</v>
      </c>
      <c r="AH216">
        <f>IF('WetLitterbags placem_collection'!AC217="","",'WetLitterbags placem_collection'!AC217)</f>
        <v>1</v>
      </c>
      <c r="AI216">
        <f>IFERROR(AVERAGE('Dry_Litterbag Placem_Collection'!O217,'Dry_Litterbag Placem_Collection'!R217),"")</f>
        <v>6.3</v>
      </c>
      <c r="AJ216" s="268">
        <f>IFERROR(AVERAGE('Dry_Litterbag Placem_Collection'!N217,'Dry_Litterbag Placem_Collection'!Q217),"")</f>
        <v>29.8</v>
      </c>
      <c r="AK216">
        <v>-2.439403972</v>
      </c>
      <c r="AL216">
        <v>34.838404959999998</v>
      </c>
      <c r="AM216" s="267" t="str">
        <f>IF(ISNUMBER(SEARCH("C", 'Dry_Litterbag Placem_Collection'!S217)),"YES","NO")</f>
        <v>NO</v>
      </c>
      <c r="AN216" s="267" t="str">
        <f>IF(ISNUMBER(SEARCH("H", 'Dry_Litterbag Placem_Collection'!S217)),"YES","NO")</f>
        <v>YES</v>
      </c>
      <c r="AO216" s="267" t="str">
        <f>IF(ISNUMBER(SEARCH("R", 'Dry_Litterbag Placem_Collection'!S217)),"YES","NO")</f>
        <v>NO</v>
      </c>
    </row>
    <row r="217" spans="1:41" ht="15" customHeight="1">
      <c r="A217" s="259" t="s">
        <v>2643</v>
      </c>
      <c r="B217" s="260">
        <f>'Dry_Litterbag Placem_Collection'!A218</f>
        <v>216</v>
      </c>
      <c r="C217" s="260" t="str">
        <f>'Dry_Litterbag Placem_Collection'!B218</f>
        <v>Handajega</v>
      </c>
      <c r="D217" s="260" t="s">
        <v>2454</v>
      </c>
      <c r="E217" s="260" t="s">
        <v>2512</v>
      </c>
      <c r="F217" s="260">
        <v>2</v>
      </c>
      <c r="G217" s="260" t="s">
        <v>3829</v>
      </c>
      <c r="H217" s="261" t="str">
        <f>'Dry_Litterbag Placem_Collection'!C218</f>
        <v>Wet_W4_CG2</v>
      </c>
      <c r="I217" s="262" t="s">
        <v>2525</v>
      </c>
      <c r="J217" s="263" t="s">
        <v>1147</v>
      </c>
      <c r="K217" s="260" t="str">
        <f>IF(ISBLANK('Dry_Litterbag Placem_Collection'!J218),"","G"&amp;""&amp;'Dry_Litterbag Placem_Collection'!J218)</f>
        <v>G95</v>
      </c>
      <c r="L217" s="264">
        <f>IFERROR(INDEX('Green_rooibos initial weight'!$C$5:$C$2000,MATCH(K217, 'Green_rooibos initial weight'!$A$5:$A$2000,0)),"")</f>
        <v>2.1110000000000002</v>
      </c>
      <c r="M217" s="264">
        <f>IFERROR(L217-(TBIcalc!$Q$9+TBIcalc!$Q$10),"")</f>
        <v>1.8612000000000002</v>
      </c>
      <c r="N217" s="385">
        <f>AVERAGE(Ashed_controlls!$K$2:$K$11)</f>
        <v>5.5147656768714146</v>
      </c>
      <c r="O217" s="264">
        <f t="shared" si="16"/>
        <v>1.7585591812220693</v>
      </c>
      <c r="P217" s="264">
        <f>IFERROR(INDEX('Both teabags AfterDry'!$D$2:$D$2000,MATCH(K217,'Both teabags AfterDry'!$A$2:$A$2000,0)),"")</f>
        <v>0.80600000000000005</v>
      </c>
      <c r="Q217" s="264">
        <f>IFERROR(IF(P217&gt;0,P217-(TBIcalc!$Q$9),""),"")</f>
        <v>0.65539999999999998</v>
      </c>
      <c r="R217" s="275">
        <f>IFERROR(INDEX('Ashed teabags dry'!$K$2:$K$2000,MATCH(K217,'Ashed teabags dry'!$A$2:$A$2000,0)),"")</f>
        <v>24.313893653516725</v>
      </c>
      <c r="S217" s="275">
        <f t="shared" si="17"/>
        <v>0.49604674099485135</v>
      </c>
      <c r="T217" s="265">
        <f>IF('Dry_Litterbag Placem_Collection'!E218="","",'Dry_Litterbag Placem_Collection'!E218)</f>
        <v>42942</v>
      </c>
      <c r="U217" s="265">
        <f>IF('Dry_Litterbag Placem_Collection'!G218="","",'Dry_Litterbag Placem_Collection'!G218)</f>
        <v>43004</v>
      </c>
      <c r="V217" s="266">
        <f t="shared" si="15"/>
        <v>62</v>
      </c>
      <c r="W217" s="264">
        <f t="shared" si="18"/>
        <v>1.2058000000000002</v>
      </c>
      <c r="X217" s="264">
        <f t="shared" si="19"/>
        <v>1.2625124402272179</v>
      </c>
      <c r="Y217" s="268">
        <f>IFERROR(INDEX(Rainfall_Dry!$O$2:$O$217,MATCH(B217, Rainfall_Dry!$A$2:$A$217,0)),"")</f>
        <v>171.84818423999999</v>
      </c>
      <c r="Z217" s="257">
        <v>25.96</v>
      </c>
      <c r="AA217" s="257">
        <v>8.9200000000000017</v>
      </c>
      <c r="AB217" s="257">
        <v>65.12</v>
      </c>
      <c r="AC217" s="258" t="s">
        <v>2654</v>
      </c>
      <c r="AD217" s="257">
        <v>1.6991621488417901</v>
      </c>
      <c r="AE217">
        <f>IF('WetLitterbags placem_collection'!AB218="","",'WetLitterbags placem_collection'!AB218)</f>
        <v>5.13</v>
      </c>
      <c r="AF217">
        <f>IF('WetLitterbags placem_collection'!Z218="","",'WetLitterbags placem_collection'!Z218)</f>
        <v>5.13</v>
      </c>
      <c r="AG217" s="243" t="str">
        <f>IF('WetLitterbags placem_collection'!AA218="","",'WetLitterbags placem_collection'!AA218)</f>
        <v>O</v>
      </c>
      <c r="AH217">
        <f>IF('WetLitterbags placem_collection'!AC218="","",'WetLitterbags placem_collection'!AC218)</f>
        <v>1</v>
      </c>
      <c r="AI217">
        <f>IFERROR(AVERAGE('Dry_Litterbag Placem_Collection'!O218,'Dry_Litterbag Placem_Collection'!R218),"")</f>
        <v>7.0500000000000007</v>
      </c>
      <c r="AJ217" s="268">
        <f>IFERROR(AVERAGE('Dry_Litterbag Placem_Collection'!N218,'Dry_Litterbag Placem_Collection'!Q218),"")</f>
        <v>29.85</v>
      </c>
      <c r="AK217">
        <v>-2.4396450349999999</v>
      </c>
      <c r="AL217">
        <v>34.83836599</v>
      </c>
      <c r="AM217" s="267" t="str">
        <f>IF(ISNUMBER(SEARCH("C", 'Dry_Litterbag Placem_Collection'!S218)),"YES","NO")</f>
        <v>NO</v>
      </c>
      <c r="AN217" s="267" t="str">
        <f>IF(ISNUMBER(SEARCH("H", 'Dry_Litterbag Placem_Collection'!S218)),"YES","NO")</f>
        <v>NO</v>
      </c>
      <c r="AO217" s="267" t="str">
        <f>IF(ISNUMBER(SEARCH("R", 'Dry_Litterbag Placem_Collection'!S218)),"YES","NO")</f>
        <v>NO</v>
      </c>
    </row>
    <row r="218" spans="1:41" ht="15" customHeight="1">
      <c r="A218" s="259" t="s">
        <v>2643</v>
      </c>
      <c r="B218" s="260">
        <f>'Dry_Litterbag Placem_Collection'!A219</f>
        <v>217</v>
      </c>
      <c r="C218" s="260" t="str">
        <f>'Dry_Litterbag Placem_Collection'!B219</f>
        <v>Seronera</v>
      </c>
      <c r="D218" s="260" t="s">
        <v>2646</v>
      </c>
      <c r="E218" s="260" t="s">
        <v>2512</v>
      </c>
      <c r="F218" s="260">
        <v>1</v>
      </c>
      <c r="G218" s="260" t="s">
        <v>3885</v>
      </c>
      <c r="H218" s="261" t="str">
        <f>'Dry_Litterbag Placem_Collection'!C219</f>
        <v>Local1_CG1</v>
      </c>
      <c r="I218" s="262" t="s">
        <v>2525</v>
      </c>
      <c r="J218" s="263" t="s">
        <v>1147</v>
      </c>
      <c r="K218" s="260" t="str">
        <f>IF(ISBLANK('Dry_Litterbag Placem_Collection'!J219),"","G"&amp;""&amp;'Dry_Litterbag Placem_Collection'!J219)</f>
        <v>G313</v>
      </c>
      <c r="L218" s="264">
        <f>IFERROR(INDEX('Green_rooibos initial weight'!$C$5:$C$2000,MATCH(K218, 'Green_rooibos initial weight'!$A$5:$A$2000,0)),"")</f>
        <v>1.923</v>
      </c>
      <c r="M218" s="264">
        <f>IFERROR(L218-(TBIcalc!$Q$9+TBIcalc!$Q$10),"")</f>
        <v>1.6732</v>
      </c>
      <c r="N218" s="385">
        <f>AVERAGE(Ashed_controlls!$K$2:$K$11)</f>
        <v>5.5147656768714146</v>
      </c>
      <c r="O218" s="264">
        <f t="shared" si="16"/>
        <v>1.5809269406945876</v>
      </c>
      <c r="P218" s="264">
        <f>IFERROR(INDEX('Both teabags AfterDry'!$D$2:$D$2000,MATCH(K218,'Both teabags AfterDry'!$A$2:$A$2000,0)),"")</f>
        <v>0.74719999999999998</v>
      </c>
      <c r="Q218" s="264">
        <f>IFERROR(IF(P218&gt;0,P218-(TBIcalc!$Q$9),""),"")</f>
        <v>0.59660000000000002</v>
      </c>
      <c r="R218" s="275">
        <f>IFERROR(INDEX('Ashed teabags dry'!$K$2:$K$2000,MATCH(K218,'Ashed teabags dry'!$A$2:$A$2000,0)),"")</f>
        <v>17.652671755725578</v>
      </c>
      <c r="S218" s="275">
        <f t="shared" si="17"/>
        <v>0.49128416030534122</v>
      </c>
      <c r="T218" s="265">
        <f>IF('Dry_Litterbag Placem_Collection'!E219="","",'Dry_Litterbag Placem_Collection'!E219)</f>
        <v>42942</v>
      </c>
      <c r="U218" s="265">
        <f>IF('Dry_Litterbag Placem_Collection'!G219="","",'Dry_Litterbag Placem_Collection'!G219)</f>
        <v>43004</v>
      </c>
      <c r="V218" s="266">
        <f t="shared" si="15"/>
        <v>62</v>
      </c>
      <c r="W218" s="264">
        <f t="shared" si="18"/>
        <v>1.0766</v>
      </c>
      <c r="X218" s="264">
        <f t="shared" si="19"/>
        <v>1.0896427803892463</v>
      </c>
      <c r="Y218" s="268">
        <f>IFERROR(INDEX(Rainfall_Dry!$O$2:$O$217,MATCH(B218, Rainfall_Dry!$A$2:$A$217,0)),"")</f>
        <v>171.84818423999999</v>
      </c>
      <c r="Z218" s="257">
        <v>29.076539101497506</v>
      </c>
      <c r="AA218" s="257">
        <v>7.1963394342762079</v>
      </c>
      <c r="AB218" s="257">
        <v>63.727121464226286</v>
      </c>
      <c r="AC218" s="257" t="s">
        <v>2654</v>
      </c>
      <c r="AD218" s="257">
        <v>1.0994578610152781</v>
      </c>
      <c r="AE218">
        <f>IF('WetLitterbags placem_collection'!AB219="","",'WetLitterbags placem_collection'!AB219)</f>
        <v>13.8</v>
      </c>
      <c r="AF218">
        <f>IF('WetLitterbags placem_collection'!Z219="","",'WetLitterbags placem_collection'!Z219)</f>
        <v>17.399999999999999</v>
      </c>
      <c r="AG218" s="243" t="str">
        <f>IF('WetLitterbags placem_collection'!AA219="","",'WetLitterbags placem_collection'!AA219)</f>
        <v>O</v>
      </c>
      <c r="AH218">
        <f>IF('WetLitterbags placem_collection'!AC219="","",'WetLitterbags placem_collection'!AC219)</f>
        <v>1</v>
      </c>
      <c r="AI218">
        <f>IFERROR(AVERAGE('Dry_Litterbag Placem_Collection'!O219,'Dry_Litterbag Placem_Collection'!R219),"")</f>
        <v>7.1999999999999993</v>
      </c>
      <c r="AJ218" s="268">
        <f>IFERROR(AVERAGE('Dry_Litterbag Placem_Collection'!N219,'Dry_Litterbag Placem_Collection'!Q219),"")</f>
        <v>31.25</v>
      </c>
      <c r="AK218">
        <v>-2.439403972</v>
      </c>
      <c r="AL218">
        <v>34.838404959999998</v>
      </c>
      <c r="AM218" s="267" t="str">
        <f>IF(ISNUMBER(SEARCH("C", 'Dry_Litterbag Placem_Collection'!S219)),"YES","NO")</f>
        <v>NO</v>
      </c>
      <c r="AN218" s="267" t="str">
        <f>IF(ISNUMBER(SEARCH("H", 'Dry_Litterbag Placem_Collection'!S219)),"YES","NO")</f>
        <v>YES</v>
      </c>
      <c r="AO218" s="267" t="str">
        <f>IF(ISNUMBER(SEARCH("R", 'Dry_Litterbag Placem_Collection'!S219)),"YES","NO")</f>
        <v>YES</v>
      </c>
    </row>
    <row r="219" spans="1:41" ht="15" customHeight="1">
      <c r="A219" s="259" t="s">
        <v>2643</v>
      </c>
      <c r="B219" s="260">
        <f>'Dry_Litterbag Placem_Collection'!A220</f>
        <v>218</v>
      </c>
      <c r="C219" s="260" t="str">
        <f>'Dry_Litterbag Placem_Collection'!B220</f>
        <v>Seronera</v>
      </c>
      <c r="D219" s="260" t="s">
        <v>2646</v>
      </c>
      <c r="E219" s="260" t="s">
        <v>2512</v>
      </c>
      <c r="F219" s="260">
        <v>2</v>
      </c>
      <c r="G219" s="260" t="s">
        <v>3886</v>
      </c>
      <c r="H219" s="261" t="str">
        <f>'Dry_Litterbag Placem_Collection'!C220</f>
        <v>Local2_CG2</v>
      </c>
      <c r="I219" s="262" t="s">
        <v>2525</v>
      </c>
      <c r="J219" s="263" t="s">
        <v>1147</v>
      </c>
      <c r="K219" s="260" t="str">
        <f>IF(ISBLANK('Dry_Litterbag Placem_Collection'!J220),"","G"&amp;""&amp;'Dry_Litterbag Placem_Collection'!J220)</f>
        <v>G485</v>
      </c>
      <c r="L219" s="264">
        <f>IFERROR(INDEX('Green_rooibos initial weight'!$C$5:$C$2000,MATCH(K219, 'Green_rooibos initial weight'!$A$5:$A$2000,0)),"")</f>
        <v>1.9890000000000001</v>
      </c>
      <c r="M219" s="264">
        <f>IFERROR(L219-(TBIcalc!$Q$9+TBIcalc!$Q$10),"")</f>
        <v>1.7392000000000001</v>
      </c>
      <c r="N219" s="385">
        <f>AVERAGE(Ashed_controlls!$K$2:$K$11)</f>
        <v>5.5147656768714146</v>
      </c>
      <c r="O219" s="264">
        <f t="shared" si="16"/>
        <v>1.6432871953478525</v>
      </c>
      <c r="P219" s="264">
        <f>IFERROR(INDEX('Both teabags AfterDry'!$D$2:$D$2000,MATCH(K219,'Both teabags AfterDry'!$A$2:$A$2000,0)),"")</f>
        <v>0.66900000000000004</v>
      </c>
      <c r="Q219" s="264">
        <f>IFERROR(IF(P219&gt;0,P219-(TBIcalc!$Q$9),""),"")</f>
        <v>0.51839999999999997</v>
      </c>
      <c r="R219" s="275">
        <f>IFERROR(INDEX('Ashed teabags dry'!$K$2:$K$2000,MATCH(K219,'Ashed teabags dry'!$A$2:$A$2000,0)),"")</f>
        <v>22.069641981362956</v>
      </c>
      <c r="S219" s="275">
        <f t="shared" si="17"/>
        <v>0.40399097596861444</v>
      </c>
      <c r="T219" s="265">
        <f>IF('Dry_Litterbag Placem_Collection'!E220="","",'Dry_Litterbag Placem_Collection'!E220)</f>
        <v>42942</v>
      </c>
      <c r="U219" s="265">
        <f>IF('Dry_Litterbag Placem_Collection'!G220="","",'Dry_Litterbag Placem_Collection'!G220)</f>
        <v>43004</v>
      </c>
      <c r="V219" s="266">
        <f t="shared" si="15"/>
        <v>62</v>
      </c>
      <c r="W219" s="264">
        <f t="shared" si="18"/>
        <v>1.2208000000000001</v>
      </c>
      <c r="X219" s="264">
        <f t="shared" si="19"/>
        <v>1.2392962193792381</v>
      </c>
      <c r="Y219" s="268">
        <f>IFERROR(INDEX(Rainfall_Dry!$O$2:$O$217,MATCH(B219, Rainfall_Dry!$A$2:$A$217,0)),"")</f>
        <v>171.84818423999999</v>
      </c>
      <c r="Z219" s="257">
        <v>21.072635135135137</v>
      </c>
      <c r="AA219" s="257">
        <v>7.3057432432432412</v>
      </c>
      <c r="AB219" s="257">
        <v>71.621621621621614</v>
      </c>
      <c r="AC219" s="257" t="s">
        <v>2654</v>
      </c>
      <c r="AD219" s="257">
        <v>1.4512074913750617</v>
      </c>
      <c r="AE219">
        <f>IF('WetLitterbags placem_collection'!AB220="","",'WetLitterbags placem_collection'!AB220)</f>
        <v>5.13</v>
      </c>
      <c r="AF219">
        <f>IF('WetLitterbags placem_collection'!Z220="","",'WetLitterbags placem_collection'!Z220)</f>
        <v>5.13</v>
      </c>
      <c r="AG219" s="243" t="str">
        <f>IF('WetLitterbags placem_collection'!AA220="","",'WetLitterbags placem_collection'!AA220)</f>
        <v>O</v>
      </c>
      <c r="AH219">
        <f>IF('WetLitterbags placem_collection'!AC220="","",'WetLitterbags placem_collection'!AC220)</f>
        <v>1</v>
      </c>
      <c r="AI219">
        <f>IFERROR(AVERAGE('Dry_Litterbag Placem_Collection'!O220,'Dry_Litterbag Placem_Collection'!R220),"")</f>
        <v>6.45</v>
      </c>
      <c r="AJ219" s="268">
        <f>IFERROR(AVERAGE('Dry_Litterbag Placem_Collection'!N220,'Dry_Litterbag Placem_Collection'!Q220),"")</f>
        <v>29.15</v>
      </c>
      <c r="AK219">
        <v>-2.4396450349999999</v>
      </c>
      <c r="AL219">
        <v>34.83836599</v>
      </c>
      <c r="AM219" s="267" t="str">
        <f>IF(ISNUMBER(SEARCH("C", 'Dry_Litterbag Placem_Collection'!S220)),"YES","NO")</f>
        <v>NO</v>
      </c>
      <c r="AN219" s="267" t="str">
        <f>IF(ISNUMBER(SEARCH("H", 'Dry_Litterbag Placem_Collection'!S220)),"YES","NO")</f>
        <v>NO</v>
      </c>
      <c r="AO219" s="267" t="str">
        <f>IF(ISNUMBER(SEARCH("R", 'Dry_Litterbag Placem_Collection'!S220)),"YES","NO")</f>
        <v>YES</v>
      </c>
    </row>
    <row r="220" spans="1:41" ht="15" customHeight="1">
      <c r="A220" s="259" t="s">
        <v>2643</v>
      </c>
      <c r="B220" s="260">
        <f>'Dry_Litterbag Placem_Collection'!A221</f>
        <v>219</v>
      </c>
      <c r="C220" s="260" t="str">
        <f>'Dry_Litterbag Placem_Collection'!B221</f>
        <v>Seronera</v>
      </c>
      <c r="D220" s="260" t="s">
        <v>2646</v>
      </c>
      <c r="E220" s="260" t="s">
        <v>2512</v>
      </c>
      <c r="F220" s="260">
        <v>3</v>
      </c>
      <c r="G220" s="260" t="s">
        <v>3887</v>
      </c>
      <c r="H220" s="261" t="str">
        <f>'Dry_Litterbag Placem_Collection'!C221</f>
        <v>Local3_CG3</v>
      </c>
      <c r="I220" s="262" t="s">
        <v>2525</v>
      </c>
      <c r="J220" s="263" t="s">
        <v>1147</v>
      </c>
      <c r="K220" s="260" t="str">
        <f>IF(ISBLANK('Dry_Litterbag Placem_Collection'!J221),"","G"&amp;""&amp;'Dry_Litterbag Placem_Collection'!J221)</f>
        <v>G196</v>
      </c>
      <c r="L220" s="264">
        <f>IFERROR(INDEX('Green_rooibos initial weight'!$C$5:$C$2000,MATCH(K220, 'Green_rooibos initial weight'!$A$5:$A$2000,0)),"")</f>
        <v>2.028</v>
      </c>
      <c r="M220" s="264">
        <f>IFERROR(L220-(TBIcalc!$Q$9+TBIcalc!$Q$10),"")</f>
        <v>1.7782</v>
      </c>
      <c r="N220" s="385">
        <f>AVERAGE(Ashed_controlls!$K$2:$K$11)</f>
        <v>5.5147656768714146</v>
      </c>
      <c r="O220" s="264">
        <f t="shared" si="16"/>
        <v>1.6801364367338725</v>
      </c>
      <c r="P220" s="264">
        <f>IFERROR(INDEX('Both teabags AfterDry'!$D$2:$D$2000,MATCH(K220,'Both teabags AfterDry'!$A$2:$A$2000,0)),"")</f>
        <v>0.5756</v>
      </c>
      <c r="Q220" s="264">
        <f>IFERROR(IF(P220&gt;0,P220-(TBIcalc!$Q$9),""),"")</f>
        <v>0.42499999999999999</v>
      </c>
      <c r="R220" s="275">
        <f>IFERROR(INDEX('Ashed teabags dry'!$K$2:$K$2000,MATCH(K220,'Ashed teabags dry'!$A$2:$A$2000,0)),"")</f>
        <v>22.698178237321503</v>
      </c>
      <c r="S220" s="275">
        <f t="shared" si="17"/>
        <v>0.32853274249138359</v>
      </c>
      <c r="T220" s="265">
        <f>IF('Dry_Litterbag Placem_Collection'!E221="","",'Dry_Litterbag Placem_Collection'!E221)</f>
        <v>42942</v>
      </c>
      <c r="U220" s="265">
        <f>IF('Dry_Litterbag Placem_Collection'!G221="","",'Dry_Litterbag Placem_Collection'!G221)</f>
        <v>43004</v>
      </c>
      <c r="V220" s="266">
        <f t="shared" si="15"/>
        <v>62</v>
      </c>
      <c r="W220" s="264">
        <f t="shared" si="18"/>
        <v>1.3532</v>
      </c>
      <c r="X220" s="264">
        <f t="shared" si="19"/>
        <v>1.3516036942424889</v>
      </c>
      <c r="Y220" s="268">
        <f>IFERROR(INDEX(Rainfall_Dry!$O$2:$O$217,MATCH(B220, Rainfall_Dry!$A$2:$A$217,0)),"")</f>
        <v>171.84818423999999</v>
      </c>
      <c r="Z220" s="257">
        <v>21.96</v>
      </c>
      <c r="AA220" s="257">
        <v>4.9199999999999982</v>
      </c>
      <c r="AB220" s="257">
        <v>73.12</v>
      </c>
      <c r="AC220" s="257" t="s">
        <v>2654</v>
      </c>
      <c r="AD220" s="257">
        <v>1.4012321340561851</v>
      </c>
      <c r="AE220">
        <f>IF('WetLitterbags placem_collection'!AB221="","",'WetLitterbags placem_collection'!AB221)</f>
        <v>7.9</v>
      </c>
      <c r="AF220">
        <f>IF('WetLitterbags placem_collection'!Z221="","",'WetLitterbags placem_collection'!Z221)</f>
        <v>7.9</v>
      </c>
      <c r="AG220" s="243" t="str">
        <f>IF('WetLitterbags placem_collection'!AA221="","",'WetLitterbags placem_collection'!AA221)</f>
        <v>O</v>
      </c>
      <c r="AH220">
        <f>IF('WetLitterbags placem_collection'!AC221="","",'WetLitterbags placem_collection'!AC221)</f>
        <v>1</v>
      </c>
      <c r="AI220">
        <f>IFERROR(AVERAGE('Dry_Litterbag Placem_Collection'!O221,'Dry_Litterbag Placem_Collection'!R221),"")</f>
        <v>5.75</v>
      </c>
      <c r="AJ220" s="268">
        <f>IFERROR(AVERAGE('Dry_Litterbag Placem_Collection'!N221,'Dry_Litterbag Placem_Collection'!Q221),"")</f>
        <v>32.75</v>
      </c>
      <c r="AK220">
        <v>-2.4395990190000001</v>
      </c>
      <c r="AL220">
        <v>34.838418959999998</v>
      </c>
      <c r="AM220" s="267" t="str">
        <f>IF(ISNUMBER(SEARCH("C", 'Dry_Litterbag Placem_Collection'!S221)),"YES","NO")</f>
        <v>NO</v>
      </c>
      <c r="AN220" s="267" t="str">
        <f>IF(ISNUMBER(SEARCH("H", 'Dry_Litterbag Placem_Collection'!S221)),"YES","NO")</f>
        <v>YES</v>
      </c>
      <c r="AO220" s="267" t="str">
        <f>IF(ISNUMBER(SEARCH("R", 'Dry_Litterbag Placem_Collection'!S221)),"YES","NO")</f>
        <v>YES</v>
      </c>
    </row>
    <row r="221" spans="1:41" ht="15" customHeight="1">
      <c r="A221" s="259" t="s">
        <v>2643</v>
      </c>
      <c r="B221" s="260">
        <f>'Dry_Litterbag Placem_Collection'!A222</f>
        <v>220</v>
      </c>
      <c r="C221" s="260" t="str">
        <f>'Dry_Litterbag Placem_Collection'!B222</f>
        <v>Seronera</v>
      </c>
      <c r="D221" s="260" t="s">
        <v>2646</v>
      </c>
      <c r="E221" s="260" t="s">
        <v>2512</v>
      </c>
      <c r="F221" s="260">
        <v>4</v>
      </c>
      <c r="G221" s="260" t="s">
        <v>3888</v>
      </c>
      <c r="H221" s="261" t="str">
        <f>'Dry_Litterbag Placem_Collection'!C222</f>
        <v>Local4_CG4</v>
      </c>
      <c r="I221" s="262" t="s">
        <v>2525</v>
      </c>
      <c r="J221" s="263" t="s">
        <v>1147</v>
      </c>
      <c r="K221" s="260" t="str">
        <f>IF(ISBLANK('Dry_Litterbag Placem_Collection'!J222),"","G"&amp;""&amp;'Dry_Litterbag Placem_Collection'!J222)</f>
        <v>G39</v>
      </c>
      <c r="L221" s="264">
        <f>IFERROR(INDEX('Green_rooibos initial weight'!$C$5:$C$2000,MATCH(K221, 'Green_rooibos initial weight'!$A$5:$A$2000,0)),"")</f>
        <v>2.0670000000000002</v>
      </c>
      <c r="M221" s="264">
        <f>IFERROR(L221-(TBIcalc!$Q$9+TBIcalc!$Q$10),"")</f>
        <v>1.8172000000000001</v>
      </c>
      <c r="N221" s="385">
        <f>AVERAGE(Ashed_controlls!$K$2:$K$11)</f>
        <v>5.5147656768714146</v>
      </c>
      <c r="O221" s="264">
        <f t="shared" si="16"/>
        <v>1.7169856781198929</v>
      </c>
      <c r="P221" s="264" t="str">
        <f>IFERROR(INDEX('Both teabags AfterDry'!$D$2:$D$2000,MATCH(K221,'Both teabags AfterDry'!$A$2:$A$2000,0)),"")</f>
        <v/>
      </c>
      <c r="Q221" s="264" t="str">
        <f>IFERROR(IF(P221&gt;0,P221-(TBIcalc!$Q$9),""),"")</f>
        <v/>
      </c>
      <c r="R221" s="275" t="str">
        <f>IFERROR(INDEX('Ashed teabags dry'!$K$2:$K$2000,MATCH(K221,'Ashed teabags dry'!$A$2:$A$2000,0)),"")</f>
        <v/>
      </c>
      <c r="S221" s="275" t="str">
        <f t="shared" si="17"/>
        <v/>
      </c>
      <c r="T221" s="265">
        <f>IF('Dry_Litterbag Placem_Collection'!E222="","",'Dry_Litterbag Placem_Collection'!E222)</f>
        <v>42942</v>
      </c>
      <c r="U221" s="265">
        <f>IF('Dry_Litterbag Placem_Collection'!G222="","",'Dry_Litterbag Placem_Collection'!G222)</f>
        <v>43004</v>
      </c>
      <c r="V221" s="266">
        <f t="shared" si="15"/>
        <v>62</v>
      </c>
      <c r="W221" s="264" t="str">
        <f t="shared" si="18"/>
        <v/>
      </c>
      <c r="X221" s="264" t="str">
        <f t="shared" si="19"/>
        <v/>
      </c>
      <c r="Y221" s="268">
        <f>IFERROR(INDEX(Rainfall_Dry!$O$2:$O$217,MATCH(B221, Rainfall_Dry!$A$2:$A$217,0)),"")</f>
        <v>171.84818423999999</v>
      </c>
      <c r="Z221" s="257">
        <v>15.960000000000003</v>
      </c>
      <c r="AA221" s="257">
        <v>6.9199999999999982</v>
      </c>
      <c r="AB221" s="257">
        <v>77.11999999999999</v>
      </c>
      <c r="AC221" s="257" t="s">
        <v>2655</v>
      </c>
      <c r="AD221" s="257">
        <v>0.60547067520946207</v>
      </c>
      <c r="AE221">
        <f>IF('WetLitterbags placem_collection'!AB222="","",'WetLitterbags placem_collection'!AB222)</f>
        <v>15.2</v>
      </c>
      <c r="AF221">
        <f>IF('WetLitterbags placem_collection'!Z222="","",'WetLitterbags placem_collection'!Z222)</f>
        <v>12.2</v>
      </c>
      <c r="AG221" s="243" t="str">
        <f>IF('WetLitterbags placem_collection'!AA222="","",'WetLitterbags placem_collection'!AA222)</f>
        <v>O</v>
      </c>
      <c r="AH221">
        <f>IF('WetLitterbags placem_collection'!AC222="","",'WetLitterbags placem_collection'!AC222)</f>
        <v>1</v>
      </c>
      <c r="AI221">
        <f>IFERROR(AVERAGE('Dry_Litterbag Placem_Collection'!O222,'Dry_Litterbag Placem_Collection'!R222),"")</f>
        <v>5.3</v>
      </c>
      <c r="AJ221" s="268">
        <f>IFERROR(AVERAGE('Dry_Litterbag Placem_Collection'!N222,'Dry_Litterbag Placem_Collection'!Q222),"")</f>
        <v>33.65</v>
      </c>
      <c r="AK221">
        <v>-2.4396949910000001</v>
      </c>
      <c r="AL221">
        <v>34.838574029999997</v>
      </c>
      <c r="AM221" s="267" t="str">
        <f>IF(ISNUMBER(SEARCH("C", 'Dry_Litterbag Placem_Collection'!S222)),"YES","NO")</f>
        <v>NO</v>
      </c>
      <c r="AN221" s="267" t="str">
        <f>IF(ISNUMBER(SEARCH("H", 'Dry_Litterbag Placem_Collection'!S222)),"YES","NO")</f>
        <v>NO</v>
      </c>
      <c r="AO221" s="267" t="str">
        <f>IF(ISNUMBER(SEARCH("R", 'Dry_Litterbag Placem_Collection'!S222)),"YES","NO")</f>
        <v>YES</v>
      </c>
    </row>
    <row r="222" spans="1:41" ht="15" customHeight="1">
      <c r="A222" s="259" t="s">
        <v>2643</v>
      </c>
      <c r="B222" s="260">
        <f>'Dry_Litterbag Placem_Collection'!A3</f>
        <v>1</v>
      </c>
      <c r="C222" s="260" t="str">
        <f>'Dry_Litterbag Placem_Collection'!B3</f>
        <v>Makao</v>
      </c>
      <c r="D222" s="260" t="s">
        <v>2643</v>
      </c>
      <c r="E222" s="260" t="s">
        <v>2644</v>
      </c>
      <c r="F222" s="260">
        <v>1</v>
      </c>
      <c r="G222" s="260" t="s">
        <v>3798</v>
      </c>
      <c r="H222" s="261" t="str">
        <f>'Dry_Litterbag Placem_Collection'!C3</f>
        <v>Dry_Ag1_T1</v>
      </c>
      <c r="I222" s="262" t="s">
        <v>2525</v>
      </c>
      <c r="J222" s="269" t="s">
        <v>298</v>
      </c>
      <c r="K222" s="260" t="str">
        <f>IF(ISBLANK('Dry_Litterbag Placem_Collection'!K3),"","R"&amp;""&amp;'Dry_Litterbag Placem_Collection'!K3)</f>
        <v>R811</v>
      </c>
      <c r="L222" s="264">
        <f>IFERROR(INDEX('Green_rooibos initial weight'!$C$5:$C$2000,MATCH(K222, 'Green_rooibos initial weight'!$A$5:$A$2000,0)),"")</f>
        <v>2.226</v>
      </c>
      <c r="M222" s="264">
        <f>IFERROR(L222-(TBIcalc!$Q$9+TBIcalc!$Q$10),"")</f>
        <v>1.9762</v>
      </c>
      <c r="N222" s="385">
        <f>AVERAGE(Ashed_controlls!$K$12:$K$14)</f>
        <v>2.2816647271287041</v>
      </c>
      <c r="O222" s="264">
        <f t="shared" si="16"/>
        <v>1.9311097416624825</v>
      </c>
      <c r="P222" s="264">
        <f>IFERROR(INDEX('Both teabags AfterDry'!$D$2:$D$2000,MATCH(K222,'Both teabags AfterDry'!$A$2:$A$2000,0)),"")</f>
        <v>1.8292999999999999</v>
      </c>
      <c r="Q222" s="264">
        <f>IFERROR(IF(P222&gt;0,P222-(TBIcalc!$Q$9),""),"")</f>
        <v>1.6786999999999999</v>
      </c>
      <c r="R222" s="275">
        <f>IFERROR(INDEX('Ashed teabags dry'!$K$2:$K$2000,MATCH(K222,'Ashed teabags dry'!$A$2:$A$2000,0)),"")</f>
        <v>3.9233576642330181</v>
      </c>
      <c r="S222" s="275">
        <f t="shared" si="17"/>
        <v>1.6128385948905202</v>
      </c>
      <c r="T222" s="265">
        <f>IF('Dry_Litterbag Placem_Collection'!E3="","",'Dry_Litterbag Placem_Collection'!E3)</f>
        <v>42938</v>
      </c>
      <c r="U222" s="265">
        <f>IF('Dry_Litterbag Placem_Collection'!G3="","",'Dry_Litterbag Placem_Collection'!G3)</f>
        <v>43007</v>
      </c>
      <c r="V222" s="266">
        <f t="shared" si="15"/>
        <v>69</v>
      </c>
      <c r="W222" s="264">
        <f t="shared" si="18"/>
        <v>0.2975000000000001</v>
      </c>
      <c r="X222" s="264">
        <f t="shared" si="19"/>
        <v>0.31827114677196233</v>
      </c>
      <c r="Y222" s="268">
        <f>IFERROR(INDEX(Rainfall_Dry!$O$2:$O$217,MATCH(B222, Rainfall_Dry!$A$2:$A$217,0)),"")</f>
        <v>6.900000125</v>
      </c>
      <c r="Z222" s="257">
        <v>12.565665055683967</v>
      </c>
      <c r="AA222" s="257">
        <v>0.9665896196679955</v>
      </c>
      <c r="AB222" s="257">
        <v>86.467745324648035</v>
      </c>
      <c r="AC222" s="258" t="s">
        <v>2656</v>
      </c>
      <c r="AD222" s="257">
        <v>1.0225726959093147</v>
      </c>
      <c r="AE222">
        <f>IF('WetLitterbags placem_collection'!AB3="","",'WetLitterbags placem_collection'!AB3)</f>
        <v>26.4</v>
      </c>
      <c r="AF222">
        <f>IF('WetLitterbags placem_collection'!Z3="","",'WetLitterbags placem_collection'!Z3)</f>
        <v>41</v>
      </c>
      <c r="AG222" s="243" t="str">
        <f>IF('WetLitterbags placem_collection'!AA3="","",'WetLitterbags placem_collection'!AA3)</f>
        <v>M</v>
      </c>
      <c r="AH222">
        <f>IF('WetLitterbags placem_collection'!AC3="","",'WetLitterbags placem_collection'!AC3)</f>
        <v>1</v>
      </c>
      <c r="AI222">
        <f>IFERROR(AVERAGE('Dry_Litterbag Placem_Collection'!O3,'Dry_Litterbag Placem_Collection'!R3),"")</f>
        <v>3.8</v>
      </c>
      <c r="AJ222" s="268">
        <f>IFERROR(AVERAGE('Dry_Litterbag Placem_Collection'!N3,'Dry_Litterbag Placem_Collection'!Q3),"")</f>
        <v>26.9</v>
      </c>
      <c r="AK222" s="267">
        <f>INDEX(Coordinates!$B$2:$B$197,MATCH(H222,Coordinates!$J$2:$J$197,0))</f>
        <v>-3.3978609999999998</v>
      </c>
      <c r="AL222" s="267">
        <f>INDEX(Coordinates!$C$2:$C$197,MATCH(H222,Coordinates!$J$2:$J$197,0))</f>
        <v>34.837608000000003</v>
      </c>
      <c r="AM222" s="267" t="str">
        <f>IF(ISNUMBER(SEARCH("C", 'Dry_Litterbag Placem_Collection'!T3)),"YES","NO")</f>
        <v>NO</v>
      </c>
      <c r="AN222" s="267" t="str">
        <f>IF(ISNUMBER(SEARCH("H", 'Dry_Litterbag Placem_Collection'!T3)),"YES","NO")</f>
        <v>YES</v>
      </c>
      <c r="AO222" s="267" t="str">
        <f>IF(ISNUMBER(SEARCH("R", 'Dry_Litterbag Placem_Collection'!T3)),"YES","NO")</f>
        <v>NO</v>
      </c>
    </row>
    <row r="223" spans="1:41" ht="15" customHeight="1">
      <c r="A223" s="259" t="s">
        <v>2643</v>
      </c>
      <c r="B223" s="260">
        <f>'Dry_Litterbag Placem_Collection'!A4</f>
        <v>2</v>
      </c>
      <c r="C223" s="260" t="str">
        <f>'Dry_Litterbag Placem_Collection'!B4</f>
        <v>Makao</v>
      </c>
      <c r="D223" s="260" t="s">
        <v>2643</v>
      </c>
      <c r="E223" s="260" t="s">
        <v>2644</v>
      </c>
      <c r="F223" s="260">
        <v>1</v>
      </c>
      <c r="G223" s="260" t="s">
        <v>3798</v>
      </c>
      <c r="H223" s="261" t="str">
        <f>'Dry_Litterbag Placem_Collection'!C4</f>
        <v>Dry_Ag1_T2</v>
      </c>
      <c r="I223" s="262" t="s">
        <v>2525</v>
      </c>
      <c r="J223" s="269" t="s">
        <v>298</v>
      </c>
      <c r="K223" s="260" t="str">
        <f>IF(ISBLANK('Dry_Litterbag Placem_Collection'!K4),"","R"&amp;""&amp;'Dry_Litterbag Placem_Collection'!K4)</f>
        <v/>
      </c>
      <c r="L223" s="264" t="str">
        <f>IFERROR(INDEX('Green_rooibos initial weight'!$C$5:$C$2000,MATCH(K223, 'Green_rooibos initial weight'!$A$5:$A$2000,0)),"")</f>
        <v/>
      </c>
      <c r="M223" s="264" t="str">
        <f>IFERROR(L223-(TBIcalc!$Q$9+TBIcalc!$Q$10),"")</f>
        <v/>
      </c>
      <c r="N223" s="385">
        <f>AVERAGE(Ashed_controlls!$K$12:$K$14)</f>
        <v>2.2816647271287041</v>
      </c>
      <c r="O223" s="264" t="str">
        <f t="shared" si="16"/>
        <v/>
      </c>
      <c r="P223" s="264" t="str">
        <f>IFERROR(INDEX('Both teabags AfterDry'!$D$2:$D$2000,MATCH(K223,'Both teabags AfterDry'!$A$2:$A$2000,0)),"")</f>
        <v/>
      </c>
      <c r="Q223" s="264" t="str">
        <f>IFERROR(IF(P223&gt;0,P223-(TBIcalc!$Q$9),""),"")</f>
        <v/>
      </c>
      <c r="R223" s="275" t="str">
        <f>IFERROR(INDEX('Ashed teabags dry'!$K$2:$K$2000,MATCH(K223,'Ashed teabags dry'!$A$2:$A$2000,0)),"")</f>
        <v/>
      </c>
      <c r="S223" s="275" t="str">
        <f t="shared" si="17"/>
        <v/>
      </c>
      <c r="T223" s="265" t="str">
        <f>IF('Dry_Litterbag Placem_Collection'!E4="","",'Dry_Litterbag Placem_Collection'!E4)</f>
        <v/>
      </c>
      <c r="U223" s="265" t="str">
        <f>IF('Dry_Litterbag Placem_Collection'!G4="","",'Dry_Litterbag Placem_Collection'!G4)</f>
        <v/>
      </c>
      <c r="V223" s="266" t="str">
        <f t="shared" si="15"/>
        <v/>
      </c>
      <c r="W223" s="264" t="str">
        <f t="shared" si="18"/>
        <v/>
      </c>
      <c r="X223" s="264" t="str">
        <f t="shared" si="19"/>
        <v/>
      </c>
      <c r="Y223" s="268" t="str">
        <f>IFERROR(INDEX(Rainfall_Dry!$O$2:$O$217,MATCH(B223, Rainfall_Dry!$A$2:$A$217,0)),"")</f>
        <v/>
      </c>
      <c r="Z223" s="257">
        <v>12.565665055683967</v>
      </c>
      <c r="AA223" s="257">
        <v>0.9665896196679955</v>
      </c>
      <c r="AB223" s="257">
        <v>86.467745324648035</v>
      </c>
      <c r="AC223" s="258" t="s">
        <v>2656</v>
      </c>
      <c r="AD223" s="257">
        <v>2.02257269590931</v>
      </c>
      <c r="AE223">
        <f>IF('WetLitterbags placem_collection'!AB4="","",'WetLitterbags placem_collection'!AB4)</f>
        <v>22.4</v>
      </c>
      <c r="AF223">
        <f>IF('WetLitterbags placem_collection'!Z4="","",'WetLitterbags placem_collection'!Z4)</f>
        <v>39.799999999999997</v>
      </c>
      <c r="AG223" s="243" t="str">
        <f>IF('WetLitterbags placem_collection'!AA4="","",'WetLitterbags placem_collection'!AA4)</f>
        <v>M</v>
      </c>
      <c r="AH223">
        <f>IF('WetLitterbags placem_collection'!AC4="","",'WetLitterbags placem_collection'!AC4)</f>
        <v>1</v>
      </c>
      <c r="AI223" t="str">
        <f>IFERROR(AVERAGE('Dry_Litterbag Placem_Collection'!O4,'Dry_Litterbag Placem_Collection'!R4),"")</f>
        <v/>
      </c>
      <c r="AJ223" s="268" t="str">
        <f>IFERROR(AVERAGE('Dry_Litterbag Placem_Collection'!N4,'Dry_Litterbag Placem_Collection'!Q4),"")</f>
        <v/>
      </c>
      <c r="AK223" s="267">
        <f>INDEX(Coordinates!$B$2:$B$197,MATCH(H223,Coordinates!$J$2:$J$197,0))</f>
        <v>-3.397879042</v>
      </c>
      <c r="AL223" s="267">
        <f>INDEX(Coordinates!$C$2:$C$197,MATCH(H223,Coordinates!$J$2:$J$197,0))</f>
        <v>34.837536010000001</v>
      </c>
      <c r="AM223" s="267" t="str">
        <f>IF(ISNUMBER(SEARCH("C", 'Dry_Litterbag Placem_Collection'!T4)),"YES","NO")</f>
        <v>NO</v>
      </c>
      <c r="AN223" s="267" t="str">
        <f>IF(ISNUMBER(SEARCH("H", 'Dry_Litterbag Placem_Collection'!T4)),"YES","NO")</f>
        <v>NO</v>
      </c>
      <c r="AO223" s="267" t="str">
        <f>IF(ISNUMBER(SEARCH("R", 'Dry_Litterbag Placem_Collection'!T4)),"YES","NO")</f>
        <v>NO</v>
      </c>
    </row>
    <row r="224" spans="1:41" ht="15" customHeight="1">
      <c r="A224" s="259" t="s">
        <v>2643</v>
      </c>
      <c r="B224" s="260">
        <f>'Dry_Litterbag Placem_Collection'!A5</f>
        <v>3</v>
      </c>
      <c r="C224" s="260" t="str">
        <f>'Dry_Litterbag Placem_Collection'!B5</f>
        <v>Makao</v>
      </c>
      <c r="D224" s="260" t="s">
        <v>2643</v>
      </c>
      <c r="E224" s="260" t="s">
        <v>2644</v>
      </c>
      <c r="F224" s="260">
        <v>1</v>
      </c>
      <c r="G224" s="260" t="s">
        <v>3798</v>
      </c>
      <c r="H224" s="261" t="str">
        <f>'Dry_Litterbag Placem_Collection'!C5</f>
        <v>Dry_Ag1_T3</v>
      </c>
      <c r="I224" s="262" t="s">
        <v>2525</v>
      </c>
      <c r="J224" s="269" t="s">
        <v>298</v>
      </c>
      <c r="K224" s="260" t="str">
        <f>IF(ISBLANK('Dry_Litterbag Placem_Collection'!K5),"","R"&amp;""&amp;'Dry_Litterbag Placem_Collection'!K5)</f>
        <v>R742</v>
      </c>
      <c r="L224" s="264">
        <f>IFERROR(INDEX('Green_rooibos initial weight'!$C$5:$C$2000,MATCH(K224, 'Green_rooibos initial weight'!$A$5:$A$2000,0)),"")</f>
        <v>2.1259999999999999</v>
      </c>
      <c r="M224" s="264">
        <f>IFERROR(L224-(TBIcalc!$Q$9+TBIcalc!$Q$10),"")</f>
        <v>1.8761999999999999</v>
      </c>
      <c r="N224" s="385">
        <f>AVERAGE(Ashed_controlls!$K$12:$K$14)</f>
        <v>2.2816647271287041</v>
      </c>
      <c r="O224" s="264">
        <f t="shared" si="16"/>
        <v>1.8333914063896111</v>
      </c>
      <c r="P224" s="264">
        <f>IFERROR(INDEX('Both teabags AfterDry'!$D$2:$D$2000,MATCH(K224,'Both teabags AfterDry'!$A$2:$A$2000,0)),"")</f>
        <v>1.8767</v>
      </c>
      <c r="Q224" s="264">
        <f>IFERROR(IF(P224&gt;0,P224-(TBIcalc!$Q$9),""),"")</f>
        <v>1.7261</v>
      </c>
      <c r="R224" s="275">
        <f>IFERROR(INDEX('Ashed teabags dry'!$K$2:$K$2000,MATCH(K224,'Ashed teabags dry'!$A$2:$A$2000,0)),"")</f>
        <v>2.7142857142857459</v>
      </c>
      <c r="S224" s="275">
        <f t="shared" si="17"/>
        <v>1.6792487142857138</v>
      </c>
      <c r="T224" s="265">
        <f>IF('Dry_Litterbag Placem_Collection'!E5="","",'Dry_Litterbag Placem_Collection'!E5)</f>
        <v>42938</v>
      </c>
      <c r="U224" s="265">
        <f>IF('Dry_Litterbag Placem_Collection'!G5="","",'Dry_Litterbag Placem_Collection'!G5)</f>
        <v>43007</v>
      </c>
      <c r="V224" s="266">
        <f t="shared" si="15"/>
        <v>69</v>
      </c>
      <c r="W224" s="264">
        <f t="shared" si="18"/>
        <v>0.1500999999999999</v>
      </c>
      <c r="X224" s="264">
        <f t="shared" si="19"/>
        <v>0.15414269210389731</v>
      </c>
      <c r="Y224" s="268">
        <f>IFERROR(INDEX(Rainfall_Dry!$O$2:$O$217,MATCH(B224, Rainfall_Dry!$A$2:$A$217,0)),"")</f>
        <v>6.900000125</v>
      </c>
      <c r="Z224" s="257">
        <v>12.565665055683967</v>
      </c>
      <c r="AA224" s="257">
        <v>0.9665896196679955</v>
      </c>
      <c r="AB224" s="257">
        <v>86.467745324648035</v>
      </c>
      <c r="AC224" s="258" t="s">
        <v>2656</v>
      </c>
      <c r="AD224" s="257">
        <v>3.02257269590931</v>
      </c>
      <c r="AE224" t="str">
        <f>IF('WetLitterbags placem_collection'!AB5="","",'WetLitterbags placem_collection'!AB5)</f>
        <v/>
      </c>
      <c r="AF224" t="str">
        <f>IF('WetLitterbags placem_collection'!Z5="","",'WetLitterbags placem_collection'!Z5)</f>
        <v/>
      </c>
      <c r="AG224" s="243" t="str">
        <f>IF('WetLitterbags placem_collection'!AA5="","",'WetLitterbags placem_collection'!AA5)</f>
        <v/>
      </c>
      <c r="AH224" t="str">
        <f>IF('WetLitterbags placem_collection'!AC5="","",'WetLitterbags placem_collection'!AC5)</f>
        <v/>
      </c>
      <c r="AI224">
        <f>IFERROR(AVERAGE('Dry_Litterbag Placem_Collection'!O5,'Dry_Litterbag Placem_Collection'!R5),"")</f>
        <v>3.3</v>
      </c>
      <c r="AJ224" s="268">
        <f>IFERROR(AVERAGE('Dry_Litterbag Placem_Collection'!N5,'Dry_Litterbag Placem_Collection'!Q5),"")</f>
        <v>25</v>
      </c>
      <c r="AK224" s="267">
        <f>INDEX(Coordinates!$B$2:$B$197,MATCH(H224,Coordinates!$J$2:$J$197,0))</f>
        <v>-3.3978739999999998</v>
      </c>
      <c r="AL224" s="267">
        <f>INDEX(Coordinates!$C$2:$C$197,MATCH(H224,Coordinates!$J$2:$J$197,0))</f>
        <v>34.837578999999998</v>
      </c>
      <c r="AM224" s="267" t="str">
        <f>IF(ISNUMBER(SEARCH("C", 'Dry_Litterbag Placem_Collection'!T5)),"YES","NO")</f>
        <v>YES</v>
      </c>
      <c r="AN224" s="267" t="str">
        <f>IF(ISNUMBER(SEARCH("H", 'Dry_Litterbag Placem_Collection'!T5)),"YES","NO")</f>
        <v>YES</v>
      </c>
      <c r="AO224" s="267" t="str">
        <f>IF(ISNUMBER(SEARCH("R", 'Dry_Litterbag Placem_Collection'!T5)),"YES","NO")</f>
        <v>NO</v>
      </c>
    </row>
    <row r="225" spans="1:41" ht="15" customHeight="1">
      <c r="A225" s="259" t="s">
        <v>2643</v>
      </c>
      <c r="B225" s="260">
        <f>'Dry_Litterbag Placem_Collection'!A6</f>
        <v>4</v>
      </c>
      <c r="C225" s="260" t="str">
        <f>'Dry_Litterbag Placem_Collection'!B6</f>
        <v>Makao</v>
      </c>
      <c r="D225" s="260" t="s">
        <v>2643</v>
      </c>
      <c r="E225" s="260" t="s">
        <v>2644</v>
      </c>
      <c r="F225" s="260">
        <v>1</v>
      </c>
      <c r="G225" s="260" t="s">
        <v>3798</v>
      </c>
      <c r="H225" s="261" t="str">
        <f>'Dry_Litterbag Placem_Collection'!C6</f>
        <v>Dry_Ag1_T4</v>
      </c>
      <c r="I225" s="262" t="s">
        <v>2525</v>
      </c>
      <c r="J225" s="269" t="s">
        <v>298</v>
      </c>
      <c r="K225" s="260" t="str">
        <f>IF(ISBLANK('Dry_Litterbag Placem_Collection'!K6),"","R"&amp;""&amp;'Dry_Litterbag Placem_Collection'!K6)</f>
        <v>R661</v>
      </c>
      <c r="L225" s="264">
        <f>IFERROR(INDEX('Green_rooibos initial weight'!$C$5:$C$2000,MATCH(K225, 'Green_rooibos initial weight'!$A$5:$A$2000,0)),"")</f>
        <v>2.1629999999999998</v>
      </c>
      <c r="M225" s="264">
        <f>IFERROR(L225-(TBIcalc!$Q$9+TBIcalc!$Q$10),"")</f>
        <v>1.9131999999999998</v>
      </c>
      <c r="N225" s="385">
        <f>AVERAGE(Ashed_controlls!$K$12:$K$14)</f>
        <v>2.2816647271287041</v>
      </c>
      <c r="O225" s="264">
        <f t="shared" si="16"/>
        <v>1.8695471904405734</v>
      </c>
      <c r="P225" s="264">
        <f>IFERROR(INDEX('Both teabags AfterDry'!$D$2:$D$2000,MATCH(K225,'Both teabags AfterDry'!$A$2:$A$2000,0)),"")</f>
        <v>1.837</v>
      </c>
      <c r="Q225" s="264">
        <f>IFERROR(IF(P225&gt;0,P225-(TBIcalc!$Q$9),""),"")</f>
        <v>1.6863999999999999</v>
      </c>
      <c r="R225" s="275">
        <f>IFERROR(INDEX('Ashed teabags dry'!$K$2:$K$2000,MATCH(K225,'Ashed teabags dry'!$A$2:$A$2000,0)),"")</f>
        <v>2.5594149908590014</v>
      </c>
      <c r="S225" s="275">
        <f t="shared" si="17"/>
        <v>1.6432380255941537</v>
      </c>
      <c r="T225" s="265">
        <f>IF('Dry_Litterbag Placem_Collection'!E6="","",'Dry_Litterbag Placem_Collection'!E6)</f>
        <v>42938</v>
      </c>
      <c r="U225" s="265">
        <f>IF('Dry_Litterbag Placem_Collection'!G6="","",'Dry_Litterbag Placem_Collection'!G6)</f>
        <v>43007</v>
      </c>
      <c r="V225" s="266">
        <f t="shared" si="15"/>
        <v>69</v>
      </c>
      <c r="W225" s="264">
        <f t="shared" si="18"/>
        <v>0.22679999999999989</v>
      </c>
      <c r="X225" s="264">
        <f t="shared" si="19"/>
        <v>0.22630916484641972</v>
      </c>
      <c r="Y225" s="268">
        <f>IFERROR(INDEX(Rainfall_Dry!$O$2:$O$217,MATCH(B225, Rainfall_Dry!$A$2:$A$217,0)),"")</f>
        <v>6.900000125</v>
      </c>
      <c r="Z225" s="257">
        <v>12.565665055683967</v>
      </c>
      <c r="AA225" s="257">
        <v>0.9665896196679955</v>
      </c>
      <c r="AB225" s="257">
        <v>86.467745324648035</v>
      </c>
      <c r="AC225" s="258" t="s">
        <v>2656</v>
      </c>
      <c r="AD225" s="257">
        <v>4.02257269590931</v>
      </c>
      <c r="AE225" t="str">
        <f>IF('WetLitterbags placem_collection'!AB6="","",'WetLitterbags placem_collection'!AB6)</f>
        <v/>
      </c>
      <c r="AF225" t="str">
        <f>IF('WetLitterbags placem_collection'!Z6="","",'WetLitterbags placem_collection'!Z6)</f>
        <v/>
      </c>
      <c r="AG225" s="243" t="str">
        <f>IF('WetLitterbags placem_collection'!AA6="","",'WetLitterbags placem_collection'!AA6)</f>
        <v/>
      </c>
      <c r="AH225" t="str">
        <f>IF('WetLitterbags placem_collection'!AC6="","",'WetLitterbags placem_collection'!AC6)</f>
        <v/>
      </c>
      <c r="AI225">
        <f>IFERROR(AVERAGE('Dry_Litterbag Placem_Collection'!O6,'Dry_Litterbag Placem_Collection'!R6),"")</f>
        <v>2.25</v>
      </c>
      <c r="AJ225" s="268">
        <f>IFERROR(AVERAGE('Dry_Litterbag Placem_Collection'!N6,'Dry_Litterbag Placem_Collection'!Q6),"")</f>
        <v>27.35</v>
      </c>
      <c r="AK225" s="267">
        <f>INDEX(Coordinates!$B$2:$B$197,MATCH(H225,Coordinates!$J$2:$J$197,0))</f>
        <v>-3.3977780399999999</v>
      </c>
      <c r="AL225" s="267">
        <f>INDEX(Coordinates!$C$2:$C$197,MATCH(H225,Coordinates!$J$2:$J$197,0))</f>
        <v>34.83751204</v>
      </c>
      <c r="AM225" s="267" t="str">
        <f>IF(ISNUMBER(SEARCH("C", 'Dry_Litterbag Placem_Collection'!T6)),"YES","NO")</f>
        <v>NO</v>
      </c>
      <c r="AN225" s="267" t="str">
        <f>IF(ISNUMBER(SEARCH("H", 'Dry_Litterbag Placem_Collection'!T6)),"YES","NO")</f>
        <v>YES</v>
      </c>
      <c r="AO225" s="267" t="str">
        <f>IF(ISNUMBER(SEARCH("R", 'Dry_Litterbag Placem_Collection'!T6)),"YES","NO")</f>
        <v>NO</v>
      </c>
    </row>
    <row r="226" spans="1:41" ht="15" customHeight="1">
      <c r="A226" s="259" t="s">
        <v>2643</v>
      </c>
      <c r="B226" s="260">
        <f>'Dry_Litterbag Placem_Collection'!A7</f>
        <v>5</v>
      </c>
      <c r="C226" s="260" t="str">
        <f>'Dry_Litterbag Placem_Collection'!B7</f>
        <v>Makao</v>
      </c>
      <c r="D226" s="260" t="s">
        <v>2643</v>
      </c>
      <c r="E226" s="260" t="s">
        <v>2644</v>
      </c>
      <c r="F226" s="260">
        <v>1</v>
      </c>
      <c r="G226" s="260" t="s">
        <v>3798</v>
      </c>
      <c r="H226" s="261" t="str">
        <f>'Dry_Litterbag Placem_Collection'!C7</f>
        <v>Dry_Ag1_T5</v>
      </c>
      <c r="I226" s="262" t="s">
        <v>2525</v>
      </c>
      <c r="J226" s="269" t="s">
        <v>298</v>
      </c>
      <c r="K226" s="260" t="str">
        <f>IF(ISBLANK('Dry_Litterbag Placem_Collection'!K7),"","R"&amp;""&amp;'Dry_Litterbag Placem_Collection'!K7)</f>
        <v>R724</v>
      </c>
      <c r="L226" s="264">
        <f>IFERROR(INDEX('Green_rooibos initial weight'!$C$5:$C$2000,MATCH(K226, 'Green_rooibos initial weight'!$A$5:$A$2000,0)),"")</f>
        <v>2.149</v>
      </c>
      <c r="M226" s="264">
        <f>IFERROR(L226-(TBIcalc!$Q$9+TBIcalc!$Q$10),"")</f>
        <v>1.8992</v>
      </c>
      <c r="N226" s="385">
        <f>AVERAGE(Ashed_controlls!$K$12:$K$14)</f>
        <v>2.2816647271287041</v>
      </c>
      <c r="O226" s="264">
        <f t="shared" si="16"/>
        <v>1.8558666235023717</v>
      </c>
      <c r="P226" s="264" t="str">
        <f>IFERROR(INDEX('Both teabags AfterDry'!$D$2:$D$2000,MATCH(K226,'Both teabags AfterDry'!$A$2:$A$2000,0)),"")</f>
        <v/>
      </c>
      <c r="Q226" s="264" t="str">
        <f>IFERROR(IF(P226&gt;0,P226-(TBIcalc!$Q$9),""),"")</f>
        <v/>
      </c>
      <c r="R226" s="275" t="str">
        <f>IFERROR(INDEX('Ashed teabags dry'!$K$2:$K$2000,MATCH(K226,'Ashed teabags dry'!$A$2:$A$2000,0)),"")</f>
        <v/>
      </c>
      <c r="S226" s="275" t="str">
        <f t="shared" si="17"/>
        <v/>
      </c>
      <c r="T226" s="265">
        <f>IF('Dry_Litterbag Placem_Collection'!E7="","",'Dry_Litterbag Placem_Collection'!E7)</f>
        <v>42938</v>
      </c>
      <c r="U226" s="265" t="str">
        <f>IF('Dry_Litterbag Placem_Collection'!G7="","",'Dry_Litterbag Placem_Collection'!G7)</f>
        <v/>
      </c>
      <c r="V226" s="266" t="str">
        <f t="shared" si="15"/>
        <v/>
      </c>
      <c r="W226" s="264" t="str">
        <f t="shared" si="18"/>
        <v/>
      </c>
      <c r="X226" s="264" t="str">
        <f t="shared" si="19"/>
        <v/>
      </c>
      <c r="Y226" s="268" t="str">
        <f>IFERROR(INDEX(Rainfall_Dry!$O$2:$O$217,MATCH(B226, Rainfall_Dry!$A$2:$A$217,0)),"")</f>
        <v/>
      </c>
      <c r="Z226" s="257">
        <v>12.565665055683967</v>
      </c>
      <c r="AA226" s="257">
        <v>0.9665896196679955</v>
      </c>
      <c r="AB226" s="257">
        <v>86.467745324648035</v>
      </c>
      <c r="AC226" s="258" t="s">
        <v>2656</v>
      </c>
      <c r="AD226" s="257">
        <v>5.02257269590931</v>
      </c>
      <c r="AE226">
        <f>IF('WetLitterbags placem_collection'!AB7="","",'WetLitterbags placem_collection'!AB7)</f>
        <v>28.4</v>
      </c>
      <c r="AF226">
        <f>IF('WetLitterbags placem_collection'!Z7="","",'WetLitterbags placem_collection'!Z7)</f>
        <v>36.4</v>
      </c>
      <c r="AG226" s="243" t="str">
        <f>IF('WetLitterbags placem_collection'!AA7="","",'WetLitterbags placem_collection'!AA7)</f>
        <v>M</v>
      </c>
      <c r="AH226">
        <f>IF('WetLitterbags placem_collection'!AC7="","",'WetLitterbags placem_collection'!AC7)</f>
        <v>1</v>
      </c>
      <c r="AI226">
        <f>IFERROR(AVERAGE('Dry_Litterbag Placem_Collection'!O7,'Dry_Litterbag Placem_Collection'!R7),"")</f>
        <v>3.2</v>
      </c>
      <c r="AJ226" s="268">
        <f>IFERROR(AVERAGE('Dry_Litterbag Placem_Collection'!N7,'Dry_Litterbag Placem_Collection'!Q7),"")</f>
        <v>26.7</v>
      </c>
      <c r="AK226" s="267">
        <f>INDEX(Coordinates!$B$2:$B$197,MATCH(H226,Coordinates!$J$2:$J$197,0))</f>
        <v>-3.3978020120000001</v>
      </c>
      <c r="AL226" s="267">
        <f>INDEX(Coordinates!$C$2:$C$197,MATCH(H226,Coordinates!$J$2:$J$197,0))</f>
        <v>34.83751204</v>
      </c>
      <c r="AM226" s="267" t="str">
        <f>IF(ISNUMBER(SEARCH("C", 'Dry_Litterbag Placem_Collection'!T7)),"YES","NO")</f>
        <v>NO</v>
      </c>
      <c r="AN226" s="267" t="str">
        <f>IF(ISNUMBER(SEARCH("H", 'Dry_Litterbag Placem_Collection'!T7)),"YES","NO")</f>
        <v>NO</v>
      </c>
      <c r="AO226" s="267" t="str">
        <f>IF(ISNUMBER(SEARCH("R", 'Dry_Litterbag Placem_Collection'!T7)),"YES","NO")</f>
        <v>NO</v>
      </c>
    </row>
    <row r="227" spans="1:41" ht="15" customHeight="1">
      <c r="A227" s="259" t="s">
        <v>2643</v>
      </c>
      <c r="B227" s="260">
        <f>'Dry_Litterbag Placem_Collection'!A8</f>
        <v>6</v>
      </c>
      <c r="C227" s="260" t="str">
        <f>'Dry_Litterbag Placem_Collection'!B8</f>
        <v>Makao</v>
      </c>
      <c r="D227" s="260" t="s">
        <v>2643</v>
      </c>
      <c r="E227" s="260" t="s">
        <v>2644</v>
      </c>
      <c r="F227" s="260">
        <v>1</v>
      </c>
      <c r="G227" s="260" t="s">
        <v>3798</v>
      </c>
      <c r="H227" s="261" t="str">
        <f>'Dry_Litterbag Placem_Collection'!C8</f>
        <v>Dry_Ag1_T6</v>
      </c>
      <c r="I227" s="262" t="s">
        <v>2525</v>
      </c>
      <c r="J227" s="269" t="s">
        <v>298</v>
      </c>
      <c r="K227" s="260" t="str">
        <f>IF(ISBLANK('Dry_Litterbag Placem_Collection'!K8),"","R"&amp;""&amp;'Dry_Litterbag Placem_Collection'!K8)</f>
        <v>R688</v>
      </c>
      <c r="L227" s="264">
        <f>IFERROR(INDEX('Green_rooibos initial weight'!$C$5:$C$2000,MATCH(K227, 'Green_rooibos initial weight'!$A$5:$A$2000,0)),"")</f>
        <v>2.1709999999999998</v>
      </c>
      <c r="M227" s="264">
        <f>IFERROR(L227-(TBIcalc!$Q$9+TBIcalc!$Q$10),"")</f>
        <v>1.9211999999999998</v>
      </c>
      <c r="N227" s="385">
        <f>AVERAGE(Ashed_controlls!$K$12:$K$14)</f>
        <v>2.2816647271287041</v>
      </c>
      <c r="O227" s="264">
        <f t="shared" si="16"/>
        <v>1.8773646572624032</v>
      </c>
      <c r="P227" s="264" t="str">
        <f>IFERROR(INDEX('Both teabags AfterDry'!$D$2:$D$2000,MATCH(K227,'Both teabags AfterDry'!$A$2:$A$2000,0)),"")</f>
        <v/>
      </c>
      <c r="Q227" s="264" t="str">
        <f>IFERROR(IF(P227&gt;0,P227-(TBIcalc!$Q$9),""),"")</f>
        <v/>
      </c>
      <c r="R227" s="275" t="str">
        <f>IFERROR(INDEX('Ashed teabags dry'!$K$2:$K$2000,MATCH(K227,'Ashed teabags dry'!$A$2:$A$2000,0)),"")</f>
        <v/>
      </c>
      <c r="S227" s="275" t="str">
        <f t="shared" si="17"/>
        <v/>
      </c>
      <c r="T227" s="265">
        <f>IF('Dry_Litterbag Placem_Collection'!E8="","",'Dry_Litterbag Placem_Collection'!E8)</f>
        <v>42938</v>
      </c>
      <c r="U227" s="265">
        <f>IF('Dry_Litterbag Placem_Collection'!G8="","",'Dry_Litterbag Placem_Collection'!G8)</f>
        <v>43007</v>
      </c>
      <c r="V227" s="266">
        <f t="shared" si="15"/>
        <v>69</v>
      </c>
      <c r="W227" s="264" t="str">
        <f t="shared" si="18"/>
        <v/>
      </c>
      <c r="X227" s="264" t="str">
        <f t="shared" si="19"/>
        <v/>
      </c>
      <c r="Y227" s="268">
        <f>IFERROR(INDEX(Rainfall_Dry!$O$2:$O$217,MATCH(B227, Rainfall_Dry!$A$2:$A$217,0)),"")</f>
        <v>6.900000125</v>
      </c>
      <c r="Z227" s="257">
        <v>12.565665055683967</v>
      </c>
      <c r="AA227" s="257">
        <v>0.9665896196679955</v>
      </c>
      <c r="AB227" s="257">
        <v>86.467745324648035</v>
      </c>
      <c r="AC227" s="258" t="s">
        <v>2656</v>
      </c>
      <c r="AD227" s="257">
        <v>6.02257269590931</v>
      </c>
      <c r="AE227">
        <f>IF('WetLitterbags placem_collection'!AB8="","",'WetLitterbags placem_collection'!AB8)</f>
        <v>32.4</v>
      </c>
      <c r="AF227">
        <f>IF('WetLitterbags placem_collection'!Z8="","",'WetLitterbags placem_collection'!Z8)</f>
        <v>31</v>
      </c>
      <c r="AG227" s="243" t="str">
        <f>IF('WetLitterbags placem_collection'!AA8="","",'WetLitterbags placem_collection'!AA8)</f>
        <v>M</v>
      </c>
      <c r="AH227">
        <f>IF('WetLitterbags placem_collection'!AC8="","",'WetLitterbags placem_collection'!AC8)</f>
        <v>1</v>
      </c>
      <c r="AI227">
        <f>IFERROR(AVERAGE('Dry_Litterbag Placem_Collection'!O8,'Dry_Litterbag Placem_Collection'!R8),"")</f>
        <v>5.35</v>
      </c>
      <c r="AJ227" s="268">
        <f>IFERROR(AVERAGE('Dry_Litterbag Placem_Collection'!N8,'Dry_Litterbag Placem_Collection'!Q8),"")</f>
        <v>26.6</v>
      </c>
      <c r="AK227" s="267">
        <f>INDEX(Coordinates!$B$2:$B$197,MATCH(H227,Coordinates!$J$2:$J$197,0))</f>
        <v>-3.3977389800000002</v>
      </c>
      <c r="AL227" s="267">
        <f>INDEX(Coordinates!$C$2:$C$197,MATCH(H227,Coordinates!$J$2:$J$197,0))</f>
        <v>34.837501979999999</v>
      </c>
      <c r="AM227" s="267" t="str">
        <f>IF(ISNUMBER(SEARCH("C", 'Dry_Litterbag Placem_Collection'!T8)),"YES","NO")</f>
        <v>NO</v>
      </c>
      <c r="AN227" s="267" t="str">
        <f>IF(ISNUMBER(SEARCH("H", 'Dry_Litterbag Placem_Collection'!T8)),"YES","NO")</f>
        <v>NO</v>
      </c>
      <c r="AO227" s="267" t="str">
        <f>IF(ISNUMBER(SEARCH("R", 'Dry_Litterbag Placem_Collection'!T8)),"YES","NO")</f>
        <v>NO</v>
      </c>
    </row>
    <row r="228" spans="1:41" ht="15" customHeight="1">
      <c r="A228" s="259" t="s">
        <v>2643</v>
      </c>
      <c r="B228" s="260">
        <f>'Dry_Litterbag Placem_Collection'!A9</f>
        <v>7</v>
      </c>
      <c r="C228" s="260" t="str">
        <f>'Dry_Litterbag Placem_Collection'!B9</f>
        <v>Makao</v>
      </c>
      <c r="D228" s="260" t="s">
        <v>2643</v>
      </c>
      <c r="E228" s="260" t="s">
        <v>2644</v>
      </c>
      <c r="F228" s="260">
        <v>1</v>
      </c>
      <c r="G228" s="260" t="s">
        <v>3798</v>
      </c>
      <c r="H228" s="261" t="str">
        <f>'Dry_Litterbag Placem_Collection'!C9</f>
        <v>Dry_Ag1_T7</v>
      </c>
      <c r="I228" s="262" t="s">
        <v>2525</v>
      </c>
      <c r="J228" s="269" t="s">
        <v>298</v>
      </c>
      <c r="K228" s="260" t="str">
        <f>IF(ISBLANK('Dry_Litterbag Placem_Collection'!K9),"","R"&amp;""&amp;'Dry_Litterbag Placem_Collection'!K9)</f>
        <v>R762</v>
      </c>
      <c r="L228" s="264">
        <f>IFERROR(INDEX('Green_rooibos initial weight'!$C$5:$C$2000,MATCH(K228, 'Green_rooibos initial weight'!$A$5:$A$2000,0)),"")</f>
        <v>2.1949999999999998</v>
      </c>
      <c r="M228" s="264">
        <f>IFERROR(L228-(TBIcalc!$Q$9+TBIcalc!$Q$10),"")</f>
        <v>1.9451999999999998</v>
      </c>
      <c r="N228" s="385">
        <f>AVERAGE(Ashed_controlls!$K$12:$K$14)</f>
        <v>2.2816647271287041</v>
      </c>
      <c r="O228" s="264">
        <f t="shared" si="16"/>
        <v>1.9008170577278922</v>
      </c>
      <c r="P228" s="264">
        <f>IFERROR(INDEX('Both teabags AfterDry'!$D$2:$D$2000,MATCH(K228,'Both teabags AfterDry'!$A$2:$A$2000,0)),"")</f>
        <v>1.7052</v>
      </c>
      <c r="Q228" s="264">
        <f>IFERROR(IF(P228&gt;0,P228-(TBIcalc!$Q$9),""),"")</f>
        <v>1.5546</v>
      </c>
      <c r="R228" s="275">
        <f>IFERROR(INDEX('Ashed teabags dry'!$K$2:$K$2000,MATCH(K228,'Ashed teabags dry'!$A$2:$A$2000,0)),"")</f>
        <v>6.2499999999996207</v>
      </c>
      <c r="S228" s="275">
        <f t="shared" si="17"/>
        <v>1.4574375000000059</v>
      </c>
      <c r="T228" s="265">
        <f>IF('Dry_Litterbag Placem_Collection'!E9="","",'Dry_Litterbag Placem_Collection'!E9)</f>
        <v>42938</v>
      </c>
      <c r="U228" s="265">
        <f>IF('Dry_Litterbag Placem_Collection'!G9="","",'Dry_Litterbag Placem_Collection'!G9)</f>
        <v>43007</v>
      </c>
      <c r="V228" s="266">
        <f t="shared" si="15"/>
        <v>69</v>
      </c>
      <c r="W228" s="264">
        <f t="shared" si="18"/>
        <v>0.39059999999999984</v>
      </c>
      <c r="X228" s="264">
        <f t="shared" si="19"/>
        <v>0.44337955772788629</v>
      </c>
      <c r="Y228" s="268">
        <f>IFERROR(INDEX(Rainfall_Dry!$O$2:$O$217,MATCH(B228, Rainfall_Dry!$A$2:$A$217,0)),"")</f>
        <v>6.900000125</v>
      </c>
      <c r="Z228" s="257">
        <v>12.565665055683967</v>
      </c>
      <c r="AA228" s="257">
        <v>0.9665896196679955</v>
      </c>
      <c r="AB228" s="257">
        <v>86.467745324648035</v>
      </c>
      <c r="AC228" s="258" t="s">
        <v>2656</v>
      </c>
      <c r="AD228" s="257">
        <v>7.02257269590931</v>
      </c>
      <c r="AE228">
        <f>IF('WetLitterbags placem_collection'!AB9="","",'WetLitterbags placem_collection'!AB9)</f>
        <v>36</v>
      </c>
      <c r="AF228">
        <f>IF('WetLitterbags placem_collection'!Z9="","",'WetLitterbags placem_collection'!Z9)</f>
        <v>43.4</v>
      </c>
      <c r="AG228" s="243" t="str">
        <f>IF('WetLitterbags placem_collection'!AA9="","",'WetLitterbags placem_collection'!AA9)</f>
        <v>M</v>
      </c>
      <c r="AH228">
        <f>IF('WetLitterbags placem_collection'!AC9="","",'WetLitterbags placem_collection'!AC9)</f>
        <v>1</v>
      </c>
      <c r="AI228">
        <f>IFERROR(AVERAGE('Dry_Litterbag Placem_Collection'!O9,'Dry_Litterbag Placem_Collection'!R9),"")</f>
        <v>2.95</v>
      </c>
      <c r="AJ228" s="268">
        <f>IFERROR(AVERAGE('Dry_Litterbag Placem_Collection'!N9,'Dry_Litterbag Placem_Collection'!Q9),"")</f>
        <v>24.75</v>
      </c>
      <c r="AK228" s="267">
        <f>INDEX(Coordinates!$B$2:$B$197,MATCH(H228,Coordinates!$J$2:$J$197,0))</f>
        <v>-3.3977630360000002</v>
      </c>
      <c r="AL228" s="267">
        <f>INDEX(Coordinates!$C$2:$C$197,MATCH(H228,Coordinates!$J$2:$J$197,0))</f>
        <v>34.837600969999997</v>
      </c>
      <c r="AM228" s="267" t="str">
        <f>IF(ISNUMBER(SEARCH("C", 'Dry_Litterbag Placem_Collection'!T9)),"YES","NO")</f>
        <v>NO</v>
      </c>
      <c r="AN228" s="267" t="str">
        <f>IF(ISNUMBER(SEARCH("H", 'Dry_Litterbag Placem_Collection'!T9)),"YES","NO")</f>
        <v>YES</v>
      </c>
      <c r="AO228" s="267" t="str">
        <f>IF(ISNUMBER(SEARCH("R", 'Dry_Litterbag Placem_Collection'!T9)),"YES","NO")</f>
        <v>NO</v>
      </c>
    </row>
    <row r="229" spans="1:41" ht="15" customHeight="1">
      <c r="A229" s="259" t="s">
        <v>2643</v>
      </c>
      <c r="B229" s="260">
        <f>'Dry_Litterbag Placem_Collection'!A10</f>
        <v>8</v>
      </c>
      <c r="C229" s="260" t="str">
        <f>'Dry_Litterbag Placem_Collection'!B10</f>
        <v>Makao</v>
      </c>
      <c r="D229" s="260" t="s">
        <v>2643</v>
      </c>
      <c r="E229" s="260" t="s">
        <v>2644</v>
      </c>
      <c r="F229" s="260">
        <v>1</v>
      </c>
      <c r="G229" s="260" t="s">
        <v>3798</v>
      </c>
      <c r="H229" s="261" t="str">
        <f>'Dry_Litterbag Placem_Collection'!C10</f>
        <v>Dry_Ag1_T8</v>
      </c>
      <c r="I229" s="262" t="s">
        <v>2525</v>
      </c>
      <c r="J229" s="269" t="s">
        <v>298</v>
      </c>
      <c r="K229" s="260" t="str">
        <f>IF(ISBLANK('Dry_Litterbag Placem_Collection'!K10),"","R"&amp;""&amp;'Dry_Litterbag Placem_Collection'!K10)</f>
        <v>R727</v>
      </c>
      <c r="L229" s="264">
        <f>IFERROR(INDEX('Green_rooibos initial weight'!$C$5:$C$2000,MATCH(K229, 'Green_rooibos initial weight'!$A$5:$A$2000,0)),"")</f>
        <v>2.1629999999999998</v>
      </c>
      <c r="M229" s="264">
        <f>IFERROR(L229-(TBIcalc!$Q$9+TBIcalc!$Q$10),"")</f>
        <v>1.9131999999999998</v>
      </c>
      <c r="N229" s="385">
        <f>AVERAGE(Ashed_controlls!$K$12:$K$14)</f>
        <v>2.2816647271287041</v>
      </c>
      <c r="O229" s="264">
        <f t="shared" si="16"/>
        <v>1.8695471904405734</v>
      </c>
      <c r="P229" s="264">
        <f>IFERROR(INDEX('Both teabags AfterDry'!$D$2:$D$2000,MATCH(K229,'Both teabags AfterDry'!$A$2:$A$2000,0)),"")</f>
        <v>0</v>
      </c>
      <c r="Q229" s="264" t="str">
        <f>IFERROR(IF(P229&gt;0,P229-(TBIcalc!$Q$9),""),"")</f>
        <v/>
      </c>
      <c r="R229" s="275">
        <f>IFERROR(INDEX('Ashed teabags dry'!$K$2:$K$2000,MATCH(K229,'Ashed teabags dry'!$A$2:$A$2000,0)),"")</f>
        <v>91.762114537445356</v>
      </c>
      <c r="S229" s="275" t="str">
        <f t="shared" si="17"/>
        <v/>
      </c>
      <c r="T229" s="265">
        <f>IF('Dry_Litterbag Placem_Collection'!E10="","",'Dry_Litterbag Placem_Collection'!E10)</f>
        <v>42938</v>
      </c>
      <c r="U229" s="265">
        <f>IF('Dry_Litterbag Placem_Collection'!G10="","",'Dry_Litterbag Placem_Collection'!G10)</f>
        <v>43007</v>
      </c>
      <c r="V229" s="266">
        <f t="shared" si="15"/>
        <v>69</v>
      </c>
      <c r="W229" s="264" t="str">
        <f t="shared" si="18"/>
        <v/>
      </c>
      <c r="X229" s="264" t="str">
        <f t="shared" si="19"/>
        <v/>
      </c>
      <c r="Y229" s="268">
        <f>IFERROR(INDEX(Rainfall_Dry!$O$2:$O$217,MATCH(B229, Rainfall_Dry!$A$2:$A$217,0)),"")</f>
        <v>6.900000125</v>
      </c>
      <c r="Z229" s="257">
        <v>12.565665055683967</v>
      </c>
      <c r="AA229" s="257">
        <v>0.9665896196679955</v>
      </c>
      <c r="AB229" s="257">
        <v>86.467745324648035</v>
      </c>
      <c r="AC229" s="258" t="s">
        <v>2656</v>
      </c>
      <c r="AD229" s="257">
        <v>8.0225726959093109</v>
      </c>
      <c r="AE229">
        <f>IF('WetLitterbags placem_collection'!AB10="","",'WetLitterbags placem_collection'!AB10)</f>
        <v>36</v>
      </c>
      <c r="AF229">
        <f>IF('WetLitterbags placem_collection'!Z10="","",'WetLitterbags placem_collection'!Z10)</f>
        <v>38.4</v>
      </c>
      <c r="AG229" s="243" t="str">
        <f>IF('WetLitterbags placem_collection'!AA10="","",'WetLitterbags placem_collection'!AA10)</f>
        <v>M</v>
      </c>
      <c r="AH229" t="str">
        <f>IF('WetLitterbags placem_collection'!AC10="","",'WetLitterbags placem_collection'!AC10)</f>
        <v/>
      </c>
      <c r="AI229">
        <f>IFERROR(AVERAGE('Dry_Litterbag Placem_Collection'!O10,'Dry_Litterbag Placem_Collection'!R10),"")</f>
        <v>2.5999999999999996</v>
      </c>
      <c r="AJ229" s="268">
        <f>IFERROR(AVERAGE('Dry_Litterbag Placem_Collection'!N10,'Dry_Litterbag Placem_Collection'!Q10),"")</f>
        <v>26</v>
      </c>
      <c r="AK229" s="267">
        <f>INDEX(Coordinates!$B$2:$B$197,MATCH(H229,Coordinates!$J$2:$J$197,0))</f>
        <v>-3.3977320230000001</v>
      </c>
      <c r="AL229" s="267">
        <f>INDEX(Coordinates!$C$2:$C$197,MATCH(H229,Coordinates!$J$2:$J$197,0))</f>
        <v>34.837561989999998</v>
      </c>
      <c r="AM229" s="267" t="str">
        <f>IF(ISNUMBER(SEARCH("C", 'Dry_Litterbag Placem_Collection'!T10)),"YES","NO")</f>
        <v>NO</v>
      </c>
      <c r="AN229" s="267" t="str">
        <f>IF(ISNUMBER(SEARCH("H", 'Dry_Litterbag Placem_Collection'!T10)),"YES","NO")</f>
        <v>NO</v>
      </c>
      <c r="AO229" s="267" t="str">
        <f>IF(ISNUMBER(SEARCH("R", 'Dry_Litterbag Placem_Collection'!T10)),"YES","NO")</f>
        <v>NO</v>
      </c>
    </row>
    <row r="230" spans="1:41" ht="15" customHeight="1">
      <c r="A230" s="259" t="s">
        <v>2643</v>
      </c>
      <c r="B230" s="260">
        <f>'Dry_Litterbag Placem_Collection'!A11</f>
        <v>9</v>
      </c>
      <c r="C230" s="260" t="str">
        <f>'Dry_Litterbag Placem_Collection'!B11</f>
        <v>Makao</v>
      </c>
      <c r="D230" s="260" t="s">
        <v>2643</v>
      </c>
      <c r="E230" s="260" t="s">
        <v>2644</v>
      </c>
      <c r="F230" s="260">
        <v>2</v>
      </c>
      <c r="G230" s="260" t="s">
        <v>3802</v>
      </c>
      <c r="H230" s="261" t="str">
        <f>'Dry_Litterbag Placem_Collection'!C11</f>
        <v>Dry_Ag2_T1</v>
      </c>
      <c r="I230" s="262" t="s">
        <v>2525</v>
      </c>
      <c r="J230" s="269" t="s">
        <v>298</v>
      </c>
      <c r="K230" s="260" t="str">
        <f>IF(ISBLANK('Dry_Litterbag Placem_Collection'!K11),"","R"&amp;""&amp;'Dry_Litterbag Placem_Collection'!K11)</f>
        <v>R785</v>
      </c>
      <c r="L230" s="264">
        <f>IFERROR(INDEX('Green_rooibos initial weight'!$C$5:$C$2000,MATCH(K230, 'Green_rooibos initial weight'!$A$5:$A$2000,0)),"")</f>
        <v>2.2549999999999999</v>
      </c>
      <c r="M230" s="264">
        <f>IFERROR(L230-(TBIcalc!$Q$9+TBIcalc!$Q$10),"")</f>
        <v>2.0051999999999999</v>
      </c>
      <c r="N230" s="385">
        <f>AVERAGE(Ashed_controlls!$K$12:$K$14)</f>
        <v>2.2816647271287041</v>
      </c>
      <c r="O230" s="264">
        <f t="shared" si="16"/>
        <v>1.959448058891615</v>
      </c>
      <c r="P230" s="264">
        <f>IFERROR(INDEX('Both teabags AfterDry'!$D$2:$D$2000,MATCH(K230,'Both teabags AfterDry'!$A$2:$A$2000,0)),"")</f>
        <v>3.7812999999999999</v>
      </c>
      <c r="Q230" s="264">
        <f>IFERROR(IF(P230&gt;0,P230-(TBIcalc!$Q$9),""),"")</f>
        <v>3.6307</v>
      </c>
      <c r="R230" s="275">
        <f>IFERROR(INDEX('Ashed teabags dry'!$K$2:$K$2000,MATCH(K230,'Ashed teabags dry'!$A$2:$A$2000,0)),"")</f>
        <v>96.078431372548579</v>
      </c>
      <c r="S230" s="275">
        <f t="shared" si="17"/>
        <v>0.1423803921568787</v>
      </c>
      <c r="T230" s="265">
        <f>IF('Dry_Litterbag Placem_Collection'!E11="","",'Dry_Litterbag Placem_Collection'!E11)</f>
        <v>42938</v>
      </c>
      <c r="U230" s="265">
        <f>IF('Dry_Litterbag Placem_Collection'!G11="","",'Dry_Litterbag Placem_Collection'!G11)</f>
        <v>43007</v>
      </c>
      <c r="V230" s="266">
        <f t="shared" si="15"/>
        <v>69</v>
      </c>
      <c r="W230" s="264">
        <f t="shared" si="18"/>
        <v>-1.6255000000000002</v>
      </c>
      <c r="X230" s="264">
        <f t="shared" si="19"/>
        <v>1.8170676667347363</v>
      </c>
      <c r="Y230" s="268">
        <f>IFERROR(INDEX(Rainfall_Dry!$O$2:$O$217,MATCH(B230, Rainfall_Dry!$A$2:$A$217,0)),"")</f>
        <v>6.900000125</v>
      </c>
      <c r="Z230" s="257">
        <v>21.13063730679653</v>
      </c>
      <c r="AA230" s="257">
        <v>3.0912555579081076</v>
      </c>
      <c r="AB230" s="257">
        <v>75.778107135295357</v>
      </c>
      <c r="AC230" s="258" t="s">
        <v>2654</v>
      </c>
      <c r="AD230" s="257">
        <v>0.46131099063578063</v>
      </c>
      <c r="AE230">
        <f>IF('WetLitterbags placem_collection'!AB11="","",'WetLitterbags placem_collection'!AB11)</f>
        <v>10.8</v>
      </c>
      <c r="AF230">
        <f>IF('WetLitterbags placem_collection'!Z11="","",'WetLitterbags placem_collection'!Z11)</f>
        <v>28.4</v>
      </c>
      <c r="AG230" s="243" t="str">
        <f>IF('WetLitterbags placem_collection'!AA11="","",'WetLitterbags placem_collection'!AA11)</f>
        <v>M</v>
      </c>
      <c r="AH230">
        <f>IF('WetLitterbags placem_collection'!AC11="","",'WetLitterbags placem_collection'!AC11)</f>
        <v>0</v>
      </c>
      <c r="AI230">
        <f>IFERROR(AVERAGE('Dry_Litterbag Placem_Collection'!O11,'Dry_Litterbag Placem_Collection'!R11),"")</f>
        <v>3.3</v>
      </c>
      <c r="AJ230" s="268">
        <f>IFERROR(AVERAGE('Dry_Litterbag Placem_Collection'!N11,'Dry_Litterbag Placem_Collection'!Q11),"")</f>
        <v>26.15</v>
      </c>
      <c r="AK230" s="267">
        <f>INDEX(Coordinates!$B$2:$B$197,MATCH(H230,Coordinates!$J$2:$J$197,0))</f>
        <v>-3.3978290019999999</v>
      </c>
      <c r="AL230" s="267">
        <f>INDEX(Coordinates!$C$2:$C$197,MATCH(H230,Coordinates!$J$2:$J$197,0))</f>
        <v>34.837011969999999</v>
      </c>
      <c r="AM230" s="267" t="str">
        <f>IF(ISNUMBER(SEARCH("C", 'Dry_Litterbag Placem_Collection'!T11)),"YES","NO")</f>
        <v>YES</v>
      </c>
      <c r="AN230" s="267" t="str">
        <f>IF(ISNUMBER(SEARCH("H", 'Dry_Litterbag Placem_Collection'!T11)),"YES","NO")</f>
        <v>NO</v>
      </c>
      <c r="AO230" s="267" t="str">
        <f>IF(ISNUMBER(SEARCH("R", 'Dry_Litterbag Placem_Collection'!T11)),"YES","NO")</f>
        <v>NO</v>
      </c>
    </row>
    <row r="231" spans="1:41" ht="15" customHeight="1">
      <c r="A231" s="259" t="s">
        <v>2643</v>
      </c>
      <c r="B231" s="260">
        <f>'Dry_Litterbag Placem_Collection'!A12</f>
        <v>10</v>
      </c>
      <c r="C231" s="260" t="str">
        <f>'Dry_Litterbag Placem_Collection'!B12</f>
        <v>Makao</v>
      </c>
      <c r="D231" s="260" t="s">
        <v>2643</v>
      </c>
      <c r="E231" s="260" t="s">
        <v>2644</v>
      </c>
      <c r="F231" s="260">
        <v>2</v>
      </c>
      <c r="G231" s="260" t="s">
        <v>3802</v>
      </c>
      <c r="H231" s="261" t="str">
        <f>'Dry_Litterbag Placem_Collection'!C12</f>
        <v>Dry_Ag2_T2</v>
      </c>
      <c r="I231" s="262" t="s">
        <v>2525</v>
      </c>
      <c r="J231" s="269" t="s">
        <v>298</v>
      </c>
      <c r="K231" s="260" t="str">
        <f>IF(ISBLANK('Dry_Litterbag Placem_Collection'!K12),"","R"&amp;""&amp;'Dry_Litterbag Placem_Collection'!K12)</f>
        <v>R747</v>
      </c>
      <c r="L231" s="264">
        <f>IFERROR(INDEX('Green_rooibos initial weight'!$C$5:$C$2000,MATCH(K231, 'Green_rooibos initial weight'!$A$5:$A$2000,0)),"")</f>
        <v>2.1549999999999998</v>
      </c>
      <c r="M231" s="264">
        <f>IFERROR(L231-(TBIcalc!$Q$9+TBIcalc!$Q$10),"")</f>
        <v>1.9051999999999998</v>
      </c>
      <c r="N231" s="385">
        <f>AVERAGE(Ashed_controlls!$K$12:$K$14)</f>
        <v>2.2816647271287041</v>
      </c>
      <c r="O231" s="264">
        <f t="shared" si="16"/>
        <v>1.8617297236187438</v>
      </c>
      <c r="P231" s="264" t="str">
        <f>IFERROR(INDEX('Both teabags AfterDry'!$D$2:$D$2000,MATCH(K231,'Both teabags AfterDry'!$A$2:$A$2000,0)),"")</f>
        <v/>
      </c>
      <c r="Q231" s="264" t="str">
        <f>IFERROR(IF(P231&gt;0,P231-(TBIcalc!$Q$9),""),"")</f>
        <v/>
      </c>
      <c r="R231" s="275" t="str">
        <f>IFERROR(INDEX('Ashed teabags dry'!$K$2:$K$2000,MATCH(K231,'Ashed teabags dry'!$A$2:$A$2000,0)),"")</f>
        <v/>
      </c>
      <c r="S231" s="275" t="str">
        <f t="shared" si="17"/>
        <v/>
      </c>
      <c r="T231" s="265">
        <f>IF('Dry_Litterbag Placem_Collection'!E12="","",'Dry_Litterbag Placem_Collection'!E12)</f>
        <v>42938</v>
      </c>
      <c r="U231" s="265" t="str">
        <f>IF('Dry_Litterbag Placem_Collection'!G12="","",'Dry_Litterbag Placem_Collection'!G12)</f>
        <v/>
      </c>
      <c r="V231" s="266" t="str">
        <f t="shared" si="15"/>
        <v/>
      </c>
      <c r="W231" s="264" t="str">
        <f t="shared" si="18"/>
        <v/>
      </c>
      <c r="X231" s="264" t="str">
        <f t="shared" si="19"/>
        <v/>
      </c>
      <c r="Y231" s="268" t="str">
        <f>IFERROR(INDEX(Rainfall_Dry!$O$2:$O$217,MATCH(B231, Rainfall_Dry!$A$2:$A$217,0)),"")</f>
        <v/>
      </c>
      <c r="Z231" s="257">
        <v>21.13063730679653</v>
      </c>
      <c r="AA231" s="257">
        <v>3.0912555579081076</v>
      </c>
      <c r="AB231" s="257">
        <v>75.778107135295357</v>
      </c>
      <c r="AC231" s="258" t="s">
        <v>2654</v>
      </c>
      <c r="AD231" s="257">
        <v>1.46131099063578</v>
      </c>
      <c r="AE231">
        <f>IF('WetLitterbags placem_collection'!AB12="","",'WetLitterbags placem_collection'!AB12)</f>
        <v>16.8</v>
      </c>
      <c r="AF231">
        <f>IF('WetLitterbags placem_collection'!Z12="","",'WetLitterbags placem_collection'!Z12)</f>
        <v>30</v>
      </c>
      <c r="AG231" s="243" t="str">
        <f>IF('WetLitterbags placem_collection'!AA12="","",'WetLitterbags placem_collection'!AA12)</f>
        <v>M</v>
      </c>
      <c r="AH231">
        <f>IF('WetLitterbags placem_collection'!AC12="","",'WetLitterbags placem_collection'!AC12)</f>
        <v>0</v>
      </c>
      <c r="AI231">
        <f>IFERROR(AVERAGE('Dry_Litterbag Placem_Collection'!O12,'Dry_Litterbag Placem_Collection'!R12),"")</f>
        <v>1.5</v>
      </c>
      <c r="AJ231" s="268">
        <f>IFERROR(AVERAGE('Dry_Litterbag Placem_Collection'!N12,'Dry_Litterbag Placem_Collection'!Q12),"")</f>
        <v>26.1</v>
      </c>
      <c r="AK231" s="267">
        <f>INDEX(Coordinates!$B$2:$B$197,MATCH(H231,Coordinates!$J$2:$J$197,0))</f>
        <v>-3.3978119869999999</v>
      </c>
      <c r="AL231" s="267">
        <f>INDEX(Coordinates!$C$2:$C$197,MATCH(H231,Coordinates!$J$2:$J$197,0))</f>
        <v>34.836968980000002</v>
      </c>
      <c r="AM231" s="267" t="str">
        <f>IF(ISNUMBER(SEARCH("C", 'Dry_Litterbag Placem_Collection'!T12)),"YES","NO")</f>
        <v>NO</v>
      </c>
      <c r="AN231" s="267" t="str">
        <f>IF(ISNUMBER(SEARCH("H", 'Dry_Litterbag Placem_Collection'!T12)),"YES","NO")</f>
        <v>NO</v>
      </c>
      <c r="AO231" s="267" t="str">
        <f>IF(ISNUMBER(SEARCH("R", 'Dry_Litterbag Placem_Collection'!T12)),"YES","NO")</f>
        <v>NO</v>
      </c>
    </row>
    <row r="232" spans="1:41" ht="15" customHeight="1">
      <c r="A232" s="259" t="s">
        <v>2643</v>
      </c>
      <c r="B232" s="260">
        <f>'Dry_Litterbag Placem_Collection'!A13</f>
        <v>11</v>
      </c>
      <c r="C232" s="260" t="str">
        <f>'Dry_Litterbag Placem_Collection'!B13</f>
        <v>Makao</v>
      </c>
      <c r="D232" s="260" t="s">
        <v>2643</v>
      </c>
      <c r="E232" s="260" t="s">
        <v>2644</v>
      </c>
      <c r="F232" s="260">
        <v>2</v>
      </c>
      <c r="G232" s="260" t="s">
        <v>3802</v>
      </c>
      <c r="H232" s="261" t="str">
        <f>'Dry_Litterbag Placem_Collection'!C13</f>
        <v>Dry_Ag2_T3</v>
      </c>
      <c r="I232" s="262" t="s">
        <v>2525</v>
      </c>
      <c r="J232" s="269" t="s">
        <v>298</v>
      </c>
      <c r="K232" s="260" t="str">
        <f>IF(ISBLANK('Dry_Litterbag Placem_Collection'!K13),"","R"&amp;""&amp;'Dry_Litterbag Placem_Collection'!K13)</f>
        <v>R748</v>
      </c>
      <c r="L232" s="264">
        <f>IFERROR(INDEX('Green_rooibos initial weight'!$C$5:$C$2000,MATCH(K232, 'Green_rooibos initial weight'!$A$5:$A$2000,0)),"")</f>
        <v>2.1829999999999998</v>
      </c>
      <c r="M232" s="264">
        <f>IFERROR(L232-(TBIcalc!$Q$9+TBIcalc!$Q$10),"")</f>
        <v>1.9331999999999998</v>
      </c>
      <c r="N232" s="385">
        <f>AVERAGE(Ashed_controlls!$K$12:$K$14)</f>
        <v>2.2816647271287041</v>
      </c>
      <c r="O232" s="264">
        <f t="shared" si="16"/>
        <v>1.8890908574951477</v>
      </c>
      <c r="P232" s="264">
        <f>IFERROR(INDEX('Both teabags AfterDry'!$D$2:$D$2000,MATCH(K232,'Both teabags AfterDry'!$A$2:$A$2000,0)),"")</f>
        <v>0.98360000000000003</v>
      </c>
      <c r="Q232" s="264">
        <f>IFERROR(IF(P232&gt;0,P232-(TBIcalc!$Q$9),""),"")</f>
        <v>0.83299999999999996</v>
      </c>
      <c r="R232" s="275">
        <f>IFERROR(INDEX('Ashed teabags dry'!$K$2:$K$2000,MATCH(K232,'Ashed teabags dry'!$A$2:$A$2000,0)),"")</f>
        <v>89.951923076922583</v>
      </c>
      <c r="S232" s="275">
        <f t="shared" si="17"/>
        <v>8.3700480769234864E-2</v>
      </c>
      <c r="T232" s="265">
        <f>IF('Dry_Litterbag Placem_Collection'!E13="","",'Dry_Litterbag Placem_Collection'!E13)</f>
        <v>42938</v>
      </c>
      <c r="U232" s="265">
        <f>IF('Dry_Litterbag Placem_Collection'!G13="","",'Dry_Litterbag Placem_Collection'!G13)</f>
        <v>43007</v>
      </c>
      <c r="V232" s="266">
        <f t="shared" si="15"/>
        <v>69</v>
      </c>
      <c r="W232" s="264">
        <f t="shared" si="18"/>
        <v>1.1001999999999998</v>
      </c>
      <c r="X232" s="264">
        <f t="shared" si="19"/>
        <v>1.8053903767259127</v>
      </c>
      <c r="Y232" s="268">
        <f>IFERROR(INDEX(Rainfall_Dry!$O$2:$O$217,MATCH(B232, Rainfall_Dry!$A$2:$A$217,0)),"")</f>
        <v>6.900000125</v>
      </c>
      <c r="Z232" s="257">
        <v>21.13063730679653</v>
      </c>
      <c r="AA232" s="257">
        <v>3.0912555579081076</v>
      </c>
      <c r="AB232" s="257">
        <v>75.778107135295357</v>
      </c>
      <c r="AC232" s="258" t="s">
        <v>2654</v>
      </c>
      <c r="AD232" s="257">
        <v>2.4613109906357802</v>
      </c>
      <c r="AE232">
        <f>IF('WetLitterbags placem_collection'!AB13="","",'WetLitterbags placem_collection'!AB13)</f>
        <v>11.4</v>
      </c>
      <c r="AF232">
        <f>IF('WetLitterbags placem_collection'!Z13="","",'WetLitterbags placem_collection'!Z13)</f>
        <v>24.4</v>
      </c>
      <c r="AG232" s="243" t="str">
        <f>IF('WetLitterbags placem_collection'!AA13="","",'WetLitterbags placem_collection'!AA13)</f>
        <v>M</v>
      </c>
      <c r="AH232">
        <f>IF('WetLitterbags placem_collection'!AC13="","",'WetLitterbags placem_collection'!AC13)</f>
        <v>0</v>
      </c>
      <c r="AI232">
        <f>IFERROR(AVERAGE('Dry_Litterbag Placem_Collection'!O13,'Dry_Litterbag Placem_Collection'!R13),"")</f>
        <v>5.3</v>
      </c>
      <c r="AJ232" s="268">
        <f>IFERROR(AVERAGE('Dry_Litterbag Placem_Collection'!N13,'Dry_Litterbag Placem_Collection'!Q13),"")</f>
        <v>26.450000000000003</v>
      </c>
      <c r="AK232" s="267">
        <f>INDEX(Coordinates!$B$2:$B$197,MATCH(H232,Coordinates!$J$2:$J$197,0))</f>
        <v>-3.3977929599999999</v>
      </c>
      <c r="AL232" s="267">
        <f>INDEX(Coordinates!$C$2:$C$197,MATCH(H232,Coordinates!$J$2:$J$197,0))</f>
        <v>34.837102999999999</v>
      </c>
      <c r="AM232" s="267" t="str">
        <f>IF(ISNUMBER(SEARCH("C", 'Dry_Litterbag Placem_Collection'!T13)),"YES","NO")</f>
        <v>YES</v>
      </c>
      <c r="AN232" s="267" t="str">
        <f>IF(ISNUMBER(SEARCH("H", 'Dry_Litterbag Placem_Collection'!T13)),"YES","NO")</f>
        <v>YES</v>
      </c>
      <c r="AO232" s="267" t="str">
        <f>IF(ISNUMBER(SEARCH("R", 'Dry_Litterbag Placem_Collection'!T13)),"YES","NO")</f>
        <v>NO</v>
      </c>
    </row>
    <row r="233" spans="1:41" ht="15" customHeight="1">
      <c r="A233" s="259" t="s">
        <v>2643</v>
      </c>
      <c r="B233" s="260">
        <f>'Dry_Litterbag Placem_Collection'!A14</f>
        <v>12</v>
      </c>
      <c r="C233" s="260" t="str">
        <f>'Dry_Litterbag Placem_Collection'!B14</f>
        <v>Makao</v>
      </c>
      <c r="D233" s="260" t="s">
        <v>2643</v>
      </c>
      <c r="E233" s="260" t="s">
        <v>2644</v>
      </c>
      <c r="F233" s="260">
        <v>2</v>
      </c>
      <c r="G233" s="260" t="s">
        <v>3802</v>
      </c>
      <c r="H233" s="261" t="str">
        <f>'Dry_Litterbag Placem_Collection'!C14</f>
        <v>Dry_Ag2_T4</v>
      </c>
      <c r="I233" s="262" t="s">
        <v>2525</v>
      </c>
      <c r="J233" s="269" t="s">
        <v>298</v>
      </c>
      <c r="K233" s="260" t="str">
        <f>IF(ISBLANK('Dry_Litterbag Placem_Collection'!K14),"","R"&amp;""&amp;'Dry_Litterbag Placem_Collection'!K14)</f>
        <v/>
      </c>
      <c r="L233" s="264" t="str">
        <f>IFERROR(INDEX('Green_rooibos initial weight'!$C$5:$C$2000,MATCH(K233, 'Green_rooibos initial weight'!$A$5:$A$2000,0)),"")</f>
        <v/>
      </c>
      <c r="M233" s="264" t="str">
        <f>IFERROR(L233-(TBIcalc!$Q$9+TBIcalc!$Q$10),"")</f>
        <v/>
      </c>
      <c r="N233" s="385">
        <f>AVERAGE(Ashed_controlls!$K$12:$K$14)</f>
        <v>2.2816647271287041</v>
      </c>
      <c r="O233" s="264" t="str">
        <f t="shared" si="16"/>
        <v/>
      </c>
      <c r="P233" s="264" t="str">
        <f>IFERROR(INDEX('Both teabags AfterDry'!$D$2:$D$2000,MATCH(K233,'Both teabags AfterDry'!$A$2:$A$2000,0)),"")</f>
        <v/>
      </c>
      <c r="Q233" s="264" t="str">
        <f>IFERROR(IF(P233&gt;0,P233-(TBIcalc!$Q$9),""),"")</f>
        <v/>
      </c>
      <c r="R233" s="275" t="str">
        <f>IFERROR(INDEX('Ashed teabags dry'!$K$2:$K$2000,MATCH(K233,'Ashed teabags dry'!$A$2:$A$2000,0)),"")</f>
        <v/>
      </c>
      <c r="S233" s="275" t="str">
        <f t="shared" si="17"/>
        <v/>
      </c>
      <c r="T233" s="265" t="str">
        <f>IF('Dry_Litterbag Placem_Collection'!E14="","",'Dry_Litterbag Placem_Collection'!E14)</f>
        <v/>
      </c>
      <c r="U233" s="265" t="str">
        <f>IF('Dry_Litterbag Placem_Collection'!G14="","",'Dry_Litterbag Placem_Collection'!G14)</f>
        <v/>
      </c>
      <c r="V233" s="266" t="str">
        <f t="shared" si="15"/>
        <v/>
      </c>
      <c r="W233" s="264" t="str">
        <f t="shared" si="18"/>
        <v/>
      </c>
      <c r="X233" s="264" t="str">
        <f t="shared" si="19"/>
        <v/>
      </c>
      <c r="Y233" s="268" t="str">
        <f>IFERROR(INDEX(Rainfall_Dry!$O$2:$O$217,MATCH(B233, Rainfall_Dry!$A$2:$A$217,0)),"")</f>
        <v/>
      </c>
      <c r="Z233" s="257">
        <v>21.13063730679653</v>
      </c>
      <c r="AA233" s="257">
        <v>3.0912555579081076</v>
      </c>
      <c r="AB233" s="257">
        <v>75.778107135295357</v>
      </c>
      <c r="AC233" s="258" t="s">
        <v>2654</v>
      </c>
      <c r="AD233" s="257">
        <v>3.4613109906357802</v>
      </c>
      <c r="AE233" t="str">
        <f>IF('WetLitterbags placem_collection'!AB14="","",'WetLitterbags placem_collection'!AB14)</f>
        <v/>
      </c>
      <c r="AF233" t="str">
        <f>IF('WetLitterbags placem_collection'!Z14="","",'WetLitterbags placem_collection'!Z14)</f>
        <v/>
      </c>
      <c r="AG233" s="243" t="str">
        <f>IF('WetLitterbags placem_collection'!AA14="","",'WetLitterbags placem_collection'!AA14)</f>
        <v/>
      </c>
      <c r="AH233" t="str">
        <f>IF('WetLitterbags placem_collection'!AC14="","",'WetLitterbags placem_collection'!AC14)</f>
        <v/>
      </c>
      <c r="AI233" t="str">
        <f>IFERROR(AVERAGE('Dry_Litterbag Placem_Collection'!O14,'Dry_Litterbag Placem_Collection'!R14),"")</f>
        <v/>
      </c>
      <c r="AJ233" s="268" t="str">
        <f>IFERROR(AVERAGE('Dry_Litterbag Placem_Collection'!N14,'Dry_Litterbag Placem_Collection'!Q14),"")</f>
        <v/>
      </c>
      <c r="AK233" s="267">
        <f>INDEX(Coordinates!$B$2:$B$197,MATCH(H233,Coordinates!$J$2:$J$197,0))</f>
        <v>-3.3979050260000001</v>
      </c>
      <c r="AL233" s="267">
        <f>INDEX(Coordinates!$C$2:$C$197,MATCH(H233,Coordinates!$J$2:$J$197,0))</f>
        <v>34.837123030000001</v>
      </c>
      <c r="AM233" s="267" t="str">
        <f>IF(ISNUMBER(SEARCH("C", 'Dry_Litterbag Placem_Collection'!T14)),"YES","NO")</f>
        <v>NO</v>
      </c>
      <c r="AN233" s="267" t="str">
        <f>IF(ISNUMBER(SEARCH("H", 'Dry_Litterbag Placem_Collection'!T14)),"YES","NO")</f>
        <v>NO</v>
      </c>
      <c r="AO233" s="267" t="str">
        <f>IF(ISNUMBER(SEARCH("R", 'Dry_Litterbag Placem_Collection'!T14)),"YES","NO")</f>
        <v>NO</v>
      </c>
    </row>
    <row r="234" spans="1:41" ht="15" customHeight="1">
      <c r="A234" s="259" t="s">
        <v>2643</v>
      </c>
      <c r="B234" s="260">
        <f>'Dry_Litterbag Placem_Collection'!A15</f>
        <v>13</v>
      </c>
      <c r="C234" s="260" t="str">
        <f>'Dry_Litterbag Placem_Collection'!B15</f>
        <v>Makao</v>
      </c>
      <c r="D234" s="260" t="s">
        <v>2643</v>
      </c>
      <c r="E234" s="260" t="s">
        <v>2644</v>
      </c>
      <c r="F234" s="260">
        <v>2</v>
      </c>
      <c r="G234" s="260" t="s">
        <v>3802</v>
      </c>
      <c r="H234" s="261" t="str">
        <f>'Dry_Litterbag Placem_Collection'!C15</f>
        <v>Dry_Ag2_T5</v>
      </c>
      <c r="I234" s="262" t="s">
        <v>2525</v>
      </c>
      <c r="J234" s="269" t="s">
        <v>298</v>
      </c>
      <c r="K234" s="260" t="str">
        <f>IF(ISBLANK('Dry_Litterbag Placem_Collection'!K15),"","R"&amp;""&amp;'Dry_Litterbag Placem_Collection'!K15)</f>
        <v>R784</v>
      </c>
      <c r="L234" s="264">
        <f>IFERROR(INDEX('Green_rooibos initial weight'!$C$5:$C$2000,MATCH(K234, 'Green_rooibos initial weight'!$A$5:$A$2000,0)),"")</f>
        <v>2.17</v>
      </c>
      <c r="M234" s="264">
        <f>IFERROR(L234-(TBIcalc!$Q$9+TBIcalc!$Q$10),"")</f>
        <v>1.9201999999999999</v>
      </c>
      <c r="N234" s="385">
        <f>AVERAGE(Ashed_controlls!$K$12:$K$14)</f>
        <v>2.2816647271287041</v>
      </c>
      <c r="O234" s="264">
        <f t="shared" si="16"/>
        <v>1.8763874739096746</v>
      </c>
      <c r="P234" s="264">
        <f>IFERROR(INDEX('Both teabags AfterDry'!$D$2:$D$2000,MATCH(K234,'Both teabags AfterDry'!$A$2:$A$2000,0)),"")</f>
        <v>0</v>
      </c>
      <c r="Q234" s="264" t="str">
        <f>IFERROR(IF(P234&gt;0,P234-(TBIcalc!$Q$9),""),"")</f>
        <v/>
      </c>
      <c r="R234" s="275">
        <f>IFERROR(INDEX('Ashed teabags dry'!$K$2:$K$2000,MATCH(K234,'Ashed teabags dry'!$A$2:$A$2000,0)),"")</f>
        <v>92.742616033754956</v>
      </c>
      <c r="S234" s="275" t="str">
        <f t="shared" si="17"/>
        <v/>
      </c>
      <c r="T234" s="265">
        <f>IF('Dry_Litterbag Placem_Collection'!E15="","",'Dry_Litterbag Placem_Collection'!E15)</f>
        <v>42938</v>
      </c>
      <c r="U234" s="265">
        <f>IF('Dry_Litterbag Placem_Collection'!G15="","",'Dry_Litterbag Placem_Collection'!G15)</f>
        <v>43007</v>
      </c>
      <c r="V234" s="266">
        <f t="shared" si="15"/>
        <v>69</v>
      </c>
      <c r="W234" s="264" t="str">
        <f t="shared" si="18"/>
        <v/>
      </c>
      <c r="X234" s="264" t="str">
        <f t="shared" si="19"/>
        <v/>
      </c>
      <c r="Y234" s="268">
        <f>IFERROR(INDEX(Rainfall_Dry!$O$2:$O$217,MATCH(B234, Rainfall_Dry!$A$2:$A$217,0)),"")</f>
        <v>6.900000125</v>
      </c>
      <c r="Z234" s="257">
        <v>21.13063730679653</v>
      </c>
      <c r="AA234" s="257">
        <v>3.0912555579081076</v>
      </c>
      <c r="AB234" s="257">
        <v>75.778107135295357</v>
      </c>
      <c r="AC234" s="258" t="s">
        <v>2654</v>
      </c>
      <c r="AD234" s="257">
        <v>4.4613109906357797</v>
      </c>
      <c r="AE234">
        <f>IF('WetLitterbags placem_collection'!AB15="","",'WetLitterbags placem_collection'!AB15)</f>
        <v>11.4</v>
      </c>
      <c r="AF234">
        <f>IF('WetLitterbags placem_collection'!Z15="","",'WetLitterbags placem_collection'!Z15)</f>
        <v>31</v>
      </c>
      <c r="AG234" s="243" t="str">
        <f>IF('WetLitterbags placem_collection'!AA15="","",'WetLitterbags placem_collection'!AA15)</f>
        <v>M</v>
      </c>
      <c r="AH234">
        <f>IF('WetLitterbags placem_collection'!AC15="","",'WetLitterbags placem_collection'!AC15)</f>
        <v>0</v>
      </c>
      <c r="AI234">
        <f>IFERROR(AVERAGE('Dry_Litterbag Placem_Collection'!O15,'Dry_Litterbag Placem_Collection'!R15),"")</f>
        <v>4.8</v>
      </c>
      <c r="AJ234" s="268">
        <f>IFERROR(AVERAGE('Dry_Litterbag Placem_Collection'!N15,'Dry_Litterbag Placem_Collection'!Q15),"")</f>
        <v>26.1</v>
      </c>
      <c r="AK234" s="267">
        <f>INDEX(Coordinates!$B$2:$B$197,MATCH(H234,Coordinates!$J$2:$J$197,0))</f>
        <v>-3.3979040199999999</v>
      </c>
      <c r="AL234" s="267">
        <f>INDEX(Coordinates!$C$2:$C$197,MATCH(H234,Coordinates!$J$2:$J$197,0))</f>
        <v>34.837027980000002</v>
      </c>
      <c r="AM234" s="267" t="str">
        <f>IF(ISNUMBER(SEARCH("C", 'Dry_Litterbag Placem_Collection'!T15)),"YES","NO")</f>
        <v>YES</v>
      </c>
      <c r="AN234" s="267" t="str">
        <f>IF(ISNUMBER(SEARCH("H", 'Dry_Litterbag Placem_Collection'!T15)),"YES","NO")</f>
        <v>YES</v>
      </c>
      <c r="AO234" s="267" t="str">
        <f>IF(ISNUMBER(SEARCH("R", 'Dry_Litterbag Placem_Collection'!T15)),"YES","NO")</f>
        <v>NO</v>
      </c>
    </row>
    <row r="235" spans="1:41" ht="15" customHeight="1">
      <c r="A235" s="259" t="s">
        <v>2643</v>
      </c>
      <c r="B235" s="260">
        <f>'Dry_Litterbag Placem_Collection'!A16</f>
        <v>14</v>
      </c>
      <c r="C235" s="260" t="str">
        <f>'Dry_Litterbag Placem_Collection'!B16</f>
        <v>Makao</v>
      </c>
      <c r="D235" s="260" t="s">
        <v>2643</v>
      </c>
      <c r="E235" s="260" t="s">
        <v>2644</v>
      </c>
      <c r="F235" s="260">
        <v>2</v>
      </c>
      <c r="G235" s="260" t="s">
        <v>3802</v>
      </c>
      <c r="H235" s="261" t="str">
        <f>'Dry_Litterbag Placem_Collection'!C16</f>
        <v>Dry_Ag2_T6</v>
      </c>
      <c r="I235" s="262" t="s">
        <v>2525</v>
      </c>
      <c r="J235" s="269" t="s">
        <v>298</v>
      </c>
      <c r="K235" s="260" t="str">
        <f>IF(ISBLANK('Dry_Litterbag Placem_Collection'!K16),"","R"&amp;""&amp;'Dry_Litterbag Placem_Collection'!K16)</f>
        <v>R838</v>
      </c>
      <c r="L235" s="264">
        <f>IFERROR(INDEX('Green_rooibos initial weight'!$C$5:$C$2000,MATCH(K235, 'Green_rooibos initial weight'!$A$5:$A$2000,0)),"")</f>
        <v>2.1589999999999998</v>
      </c>
      <c r="M235" s="264">
        <f>IFERROR(L235-(TBIcalc!$Q$9+TBIcalc!$Q$10),"")</f>
        <v>1.9091999999999998</v>
      </c>
      <c r="N235" s="385">
        <f>AVERAGE(Ashed_controlls!$K$12:$K$14)</f>
        <v>2.2816647271287041</v>
      </c>
      <c r="O235" s="264">
        <f t="shared" si="16"/>
        <v>1.8656384570296585</v>
      </c>
      <c r="P235" s="264">
        <f>IFERROR(INDEX('Both teabags AfterDry'!$D$2:$D$2000,MATCH(K235,'Both teabags AfterDry'!$A$2:$A$2000,0)),"")</f>
        <v>1.0848</v>
      </c>
      <c r="Q235" s="264">
        <f>IFERROR(IF(P235&gt;0,P235-(TBIcalc!$Q$9),""),"")</f>
        <v>0.93419999999999992</v>
      </c>
      <c r="R235" s="275">
        <f>IFERROR(INDEX('Ashed teabags dry'!$K$2:$K$2000,MATCH(K235,'Ashed teabags dry'!$A$2:$A$2000,0)),"")</f>
        <v>96.944824441403483</v>
      </c>
      <c r="S235" s="275">
        <f t="shared" si="17"/>
        <v>2.854145006840858E-2</v>
      </c>
      <c r="T235" s="265">
        <f>IF('Dry_Litterbag Placem_Collection'!E16="","",'Dry_Litterbag Placem_Collection'!E16)</f>
        <v>42938</v>
      </c>
      <c r="U235" s="265">
        <f>IF('Dry_Litterbag Placem_Collection'!G16="","",'Dry_Litterbag Placem_Collection'!G16)</f>
        <v>43007</v>
      </c>
      <c r="V235" s="266">
        <f t="shared" si="15"/>
        <v>69</v>
      </c>
      <c r="W235" s="264">
        <f t="shared" si="18"/>
        <v>0.97499999999999987</v>
      </c>
      <c r="X235" s="264">
        <f t="shared" si="19"/>
        <v>1.8370970069612498</v>
      </c>
      <c r="Y235" s="268">
        <f>IFERROR(INDEX(Rainfall_Dry!$O$2:$O$217,MATCH(B235, Rainfall_Dry!$A$2:$A$217,0)),"")</f>
        <v>6.900000125</v>
      </c>
      <c r="Z235" s="257">
        <v>21.13063730679653</v>
      </c>
      <c r="AA235" s="257">
        <v>3.0912555579081076</v>
      </c>
      <c r="AB235" s="257">
        <v>75.778107135295357</v>
      </c>
      <c r="AC235" s="258" t="s">
        <v>2654</v>
      </c>
      <c r="AD235" s="257">
        <v>5.4613109906357797</v>
      </c>
      <c r="AE235">
        <f>IF('WetLitterbags placem_collection'!AB16="","",'WetLitterbags placem_collection'!AB16)</f>
        <v>28.4</v>
      </c>
      <c r="AF235">
        <f>IF('WetLitterbags placem_collection'!Z16="","",'WetLitterbags placem_collection'!Z16)</f>
        <v>42.4</v>
      </c>
      <c r="AG235" s="243" t="str">
        <f>IF('WetLitterbags placem_collection'!AA16="","",'WetLitterbags placem_collection'!AA16)</f>
        <v>M</v>
      </c>
      <c r="AH235">
        <f>IF('WetLitterbags placem_collection'!AC16="","",'WetLitterbags placem_collection'!AC16)</f>
        <v>0</v>
      </c>
      <c r="AI235">
        <f>IFERROR(AVERAGE('Dry_Litterbag Placem_Collection'!O16,'Dry_Litterbag Placem_Collection'!R16),"")</f>
        <v>3.4</v>
      </c>
      <c r="AJ235" s="268">
        <f>IFERROR(AVERAGE('Dry_Litterbag Placem_Collection'!N16,'Dry_Litterbag Placem_Collection'!Q16),"")</f>
        <v>25.55</v>
      </c>
      <c r="AK235" s="267">
        <f>INDEX(Coordinates!$B$2:$B$197,MATCH(H235,Coordinates!$J$2:$J$197,0))</f>
        <v>-3.397854986</v>
      </c>
      <c r="AL235" s="267">
        <f>INDEX(Coordinates!$C$2:$C$197,MATCH(H235,Coordinates!$J$2:$J$197,0))</f>
        <v>34.836874010000002</v>
      </c>
      <c r="AM235" s="267" t="str">
        <f>IF(ISNUMBER(SEARCH("C", 'Dry_Litterbag Placem_Collection'!T16)),"YES","NO")</f>
        <v>YES</v>
      </c>
      <c r="AN235" s="267" t="str">
        <f>IF(ISNUMBER(SEARCH("H", 'Dry_Litterbag Placem_Collection'!T16)),"YES","NO")</f>
        <v>YES</v>
      </c>
      <c r="AO235" s="267" t="str">
        <f>IF(ISNUMBER(SEARCH("R", 'Dry_Litterbag Placem_Collection'!T16)),"YES","NO")</f>
        <v>NO</v>
      </c>
    </row>
    <row r="236" spans="1:41" ht="15" customHeight="1">
      <c r="A236" s="259" t="s">
        <v>2643</v>
      </c>
      <c r="B236" s="260">
        <f>'Dry_Litterbag Placem_Collection'!A17</f>
        <v>15</v>
      </c>
      <c r="C236" s="260" t="str">
        <f>'Dry_Litterbag Placem_Collection'!B17</f>
        <v>Makao</v>
      </c>
      <c r="D236" s="260" t="s">
        <v>2643</v>
      </c>
      <c r="E236" s="260" t="s">
        <v>2644</v>
      </c>
      <c r="F236" s="260">
        <v>2</v>
      </c>
      <c r="G236" s="260" t="s">
        <v>3802</v>
      </c>
      <c r="H236" s="261" t="str">
        <f>'Dry_Litterbag Placem_Collection'!C17</f>
        <v>Dry_Ag2_T7</v>
      </c>
      <c r="I236" s="262" t="s">
        <v>2525</v>
      </c>
      <c r="J236" s="269" t="s">
        <v>298</v>
      </c>
      <c r="K236" s="260" t="str">
        <f>IF(ISBLANK('Dry_Litterbag Placem_Collection'!K17),"","R"&amp;""&amp;'Dry_Litterbag Placem_Collection'!K17)</f>
        <v>R793</v>
      </c>
      <c r="L236" s="264">
        <f>IFERROR(INDEX('Green_rooibos initial weight'!$C$5:$C$2000,MATCH(K236, 'Green_rooibos initial weight'!$A$5:$A$2000,0)),"")</f>
        <v>2.2050000000000001</v>
      </c>
      <c r="M236" s="264">
        <f>IFERROR(L236-(TBIcalc!$Q$9+TBIcalc!$Q$10),"")</f>
        <v>1.9552</v>
      </c>
      <c r="N236" s="385">
        <f>AVERAGE(Ashed_controlls!$K$12:$K$14)</f>
        <v>2.2816647271287041</v>
      </c>
      <c r="O236" s="264">
        <f t="shared" si="16"/>
        <v>1.9105888912551796</v>
      </c>
      <c r="P236" s="264">
        <f>IFERROR(INDEX('Both teabags AfterDry'!$D$2:$D$2000,MATCH(K236,'Both teabags AfterDry'!$A$2:$A$2000,0)),"")</f>
        <v>0.24560000000000001</v>
      </c>
      <c r="Q236" s="264">
        <f>IFERROR(IF(P236&gt;0,P236-(TBIcalc!$Q$9),""),"")</f>
        <v>9.5000000000000001E-2</v>
      </c>
      <c r="R236" s="275">
        <f>IFERROR(INDEX('Ashed teabags dry'!$K$2:$K$2000,MATCH(K236,'Ashed teabags dry'!$A$2:$A$2000,0)),"")</f>
        <v>0</v>
      </c>
      <c r="S236" s="275">
        <f t="shared" si="17"/>
        <v>9.5000000000000001E-2</v>
      </c>
      <c r="T236" s="265">
        <f>IF('Dry_Litterbag Placem_Collection'!E17="","",'Dry_Litterbag Placem_Collection'!E17)</f>
        <v>42938</v>
      </c>
      <c r="U236" s="265">
        <f>IF('Dry_Litterbag Placem_Collection'!G17="","",'Dry_Litterbag Placem_Collection'!G17)</f>
        <v>43007</v>
      </c>
      <c r="V236" s="266">
        <f t="shared" si="15"/>
        <v>69</v>
      </c>
      <c r="W236" s="264">
        <f t="shared" si="18"/>
        <v>1.8602000000000001</v>
      </c>
      <c r="X236" s="264">
        <f t="shared" si="19"/>
        <v>1.8155888912551796</v>
      </c>
      <c r="Y236" s="268">
        <f>IFERROR(INDEX(Rainfall_Dry!$O$2:$O$217,MATCH(B236, Rainfall_Dry!$A$2:$A$217,0)),"")</f>
        <v>6.900000125</v>
      </c>
      <c r="Z236" s="257">
        <v>21.13063730679653</v>
      </c>
      <c r="AA236" s="257">
        <v>3.0912555579081076</v>
      </c>
      <c r="AB236" s="257">
        <v>75.778107135295357</v>
      </c>
      <c r="AC236" s="258" t="s">
        <v>2654</v>
      </c>
      <c r="AD236" s="257">
        <v>6.4613109906357797</v>
      </c>
      <c r="AE236">
        <f>IF('WetLitterbags placem_collection'!AB17="","",'WetLitterbags placem_collection'!AB17)</f>
        <v>15.8</v>
      </c>
      <c r="AF236">
        <f>IF('WetLitterbags placem_collection'!Z17="","",'WetLitterbags placem_collection'!Z17)</f>
        <v>30.4</v>
      </c>
      <c r="AG236" s="243" t="str">
        <f>IF('WetLitterbags placem_collection'!AA17="","",'WetLitterbags placem_collection'!AA17)</f>
        <v>M</v>
      </c>
      <c r="AH236">
        <f>IF('WetLitterbags placem_collection'!AC17="","",'WetLitterbags placem_collection'!AC17)</f>
        <v>0</v>
      </c>
      <c r="AI236">
        <f>IFERROR(AVERAGE('Dry_Litterbag Placem_Collection'!O17,'Dry_Litterbag Placem_Collection'!R17),"")</f>
        <v>3.0999999999999996</v>
      </c>
      <c r="AJ236" s="268">
        <f>IFERROR(AVERAGE('Dry_Litterbag Placem_Collection'!N17,'Dry_Litterbag Placem_Collection'!Q17),"")</f>
        <v>28</v>
      </c>
      <c r="AK236" s="267">
        <f>INDEX(Coordinates!$B$2:$B$197,MATCH(H236,Coordinates!$J$2:$J$197,0))</f>
        <v>-3.3978060349999999</v>
      </c>
      <c r="AL236" s="267">
        <f>INDEX(Coordinates!$C$2:$C$197,MATCH(H236,Coordinates!$J$2:$J$197,0))</f>
        <v>34.837023960000003</v>
      </c>
      <c r="AM236" s="267" t="str">
        <f>IF(ISNUMBER(SEARCH("C", 'Dry_Litterbag Placem_Collection'!T17)),"YES","NO")</f>
        <v>YES</v>
      </c>
      <c r="AN236" s="267" t="str">
        <f>IF(ISNUMBER(SEARCH("H", 'Dry_Litterbag Placem_Collection'!T17)),"YES","NO")</f>
        <v>YES</v>
      </c>
      <c r="AO236" s="267" t="str">
        <f>IF(ISNUMBER(SEARCH("R", 'Dry_Litterbag Placem_Collection'!T17)),"YES","NO")</f>
        <v>NO</v>
      </c>
    </row>
    <row r="237" spans="1:41" ht="15" customHeight="1">
      <c r="A237" s="259" t="s">
        <v>2643</v>
      </c>
      <c r="B237" s="260">
        <f>'Dry_Litterbag Placem_Collection'!A18</f>
        <v>16</v>
      </c>
      <c r="C237" s="260" t="str">
        <f>'Dry_Litterbag Placem_Collection'!B18</f>
        <v>Makao</v>
      </c>
      <c r="D237" s="260" t="s">
        <v>2643</v>
      </c>
      <c r="E237" s="260" t="s">
        <v>2644</v>
      </c>
      <c r="F237" s="260">
        <v>2</v>
      </c>
      <c r="G237" s="260" t="s">
        <v>3802</v>
      </c>
      <c r="H237" s="261" t="str">
        <f>'Dry_Litterbag Placem_Collection'!C18</f>
        <v>Dry_Ag2_T8</v>
      </c>
      <c r="I237" s="262" t="s">
        <v>2525</v>
      </c>
      <c r="J237" s="269" t="s">
        <v>298</v>
      </c>
      <c r="K237" s="260" t="str">
        <f>IF(ISBLANK('Dry_Litterbag Placem_Collection'!K18),"","R"&amp;""&amp;'Dry_Litterbag Placem_Collection'!K18)</f>
        <v>R755</v>
      </c>
      <c r="L237" s="264">
        <f>IFERROR(INDEX('Green_rooibos initial weight'!$C$5:$C$2000,MATCH(K237, 'Green_rooibos initial weight'!$A$5:$A$2000,0)),"")</f>
        <v>2.2120000000000002</v>
      </c>
      <c r="M237" s="264">
        <f>IFERROR(L237-(TBIcalc!$Q$9+TBIcalc!$Q$10),"")</f>
        <v>1.9622000000000002</v>
      </c>
      <c r="N237" s="385">
        <f>AVERAGE(Ashed_controlls!$K$12:$K$14)</f>
        <v>2.2816647271287041</v>
      </c>
      <c r="O237" s="264">
        <f t="shared" si="16"/>
        <v>1.9174291747242806</v>
      </c>
      <c r="P237" s="264" t="str">
        <f>IFERROR(INDEX('Both teabags AfterDry'!$D$2:$D$2000,MATCH(K237,'Both teabags AfterDry'!$A$2:$A$2000,0)),"")</f>
        <v/>
      </c>
      <c r="Q237" s="264" t="str">
        <f>IFERROR(IF(P237&gt;0,P237-(TBIcalc!$Q$9),""),"")</f>
        <v/>
      </c>
      <c r="R237" s="275" t="str">
        <f>IFERROR(INDEX('Ashed teabags dry'!$K$2:$K$2000,MATCH(K237,'Ashed teabags dry'!$A$2:$A$2000,0)),"")</f>
        <v/>
      </c>
      <c r="S237" s="275" t="str">
        <f t="shared" si="17"/>
        <v/>
      </c>
      <c r="T237" s="265">
        <f>IF('Dry_Litterbag Placem_Collection'!E18="","",'Dry_Litterbag Placem_Collection'!E18)</f>
        <v>42938</v>
      </c>
      <c r="U237" s="265">
        <f>IF('Dry_Litterbag Placem_Collection'!G18="","",'Dry_Litterbag Placem_Collection'!G18)</f>
        <v>43007</v>
      </c>
      <c r="V237" s="266">
        <f t="shared" si="15"/>
        <v>69</v>
      </c>
      <c r="W237" s="264" t="str">
        <f t="shared" si="18"/>
        <v/>
      </c>
      <c r="X237" s="264" t="str">
        <f t="shared" si="19"/>
        <v/>
      </c>
      <c r="Y237" s="268">
        <f>IFERROR(INDEX(Rainfall_Dry!$O$2:$O$217,MATCH(B237, Rainfall_Dry!$A$2:$A$217,0)),"")</f>
        <v>6.900000125</v>
      </c>
      <c r="Z237" s="257">
        <v>21.13063730679653</v>
      </c>
      <c r="AA237" s="257">
        <v>3.0912555579081076</v>
      </c>
      <c r="AB237" s="257">
        <v>75.778107135295357</v>
      </c>
      <c r="AC237" s="258" t="s">
        <v>2654</v>
      </c>
      <c r="AD237" s="257">
        <v>7.4613109906357797</v>
      </c>
      <c r="AE237">
        <f>IF('WetLitterbags placem_collection'!AB18="","",'WetLitterbags placem_collection'!AB18)</f>
        <v>8</v>
      </c>
      <c r="AF237">
        <f>IF('WetLitterbags placem_collection'!Z18="","",'WetLitterbags placem_collection'!Z18)</f>
        <v>12.4</v>
      </c>
      <c r="AG237" s="243" t="str">
        <f>IF('WetLitterbags placem_collection'!AA18="","",'WetLitterbags placem_collection'!AA18)</f>
        <v>M</v>
      </c>
      <c r="AH237">
        <f>IF('WetLitterbags placem_collection'!AC18="","",'WetLitterbags placem_collection'!AC18)</f>
        <v>0</v>
      </c>
      <c r="AI237">
        <f>IFERROR(AVERAGE('Dry_Litterbag Placem_Collection'!O18,'Dry_Litterbag Placem_Collection'!R18),"")</f>
        <v>9.1999999999999993</v>
      </c>
      <c r="AJ237" s="268">
        <f>IFERROR(AVERAGE('Dry_Litterbag Placem_Collection'!N18,'Dry_Litterbag Placem_Collection'!Q18),"")</f>
        <v>27.049999999999997</v>
      </c>
      <c r="AK237" s="267">
        <f>INDEX(Coordinates!$B$2:$B$197,MATCH(H237,Coordinates!$J$2:$J$197,0))</f>
        <v>-3.3977669760000002</v>
      </c>
      <c r="AL237" s="267">
        <f>INDEX(Coordinates!$C$2:$C$197,MATCH(H237,Coordinates!$J$2:$J$197,0))</f>
        <v>34.837181039999997</v>
      </c>
      <c r="AM237" s="267" t="str">
        <f>IF(ISNUMBER(SEARCH("C", 'Dry_Litterbag Placem_Collection'!T18)),"YES","NO")</f>
        <v>YES</v>
      </c>
      <c r="AN237" s="267" t="str">
        <f>IF(ISNUMBER(SEARCH("H", 'Dry_Litterbag Placem_Collection'!T18)),"YES","NO")</f>
        <v>YES</v>
      </c>
      <c r="AO237" s="267" t="str">
        <f>IF(ISNUMBER(SEARCH("R", 'Dry_Litterbag Placem_Collection'!T18)),"YES","NO")</f>
        <v>NO</v>
      </c>
    </row>
    <row r="238" spans="1:41" ht="15" customHeight="1">
      <c r="A238" s="259" t="s">
        <v>2643</v>
      </c>
      <c r="B238" s="260">
        <f>'Dry_Litterbag Placem_Collection'!A19</f>
        <v>17</v>
      </c>
      <c r="C238" s="260" t="str">
        <f>'Dry_Litterbag Placem_Collection'!B19</f>
        <v>Makao</v>
      </c>
      <c r="D238" s="260" t="s">
        <v>2643</v>
      </c>
      <c r="E238" s="260" t="s">
        <v>2644</v>
      </c>
      <c r="F238" s="260">
        <v>3</v>
      </c>
      <c r="G238" s="260" t="s">
        <v>3803</v>
      </c>
      <c r="H238" s="261" t="str">
        <f>'Dry_Litterbag Placem_Collection'!C19</f>
        <v>Dry_Ag3_T1</v>
      </c>
      <c r="I238" s="262" t="s">
        <v>2525</v>
      </c>
      <c r="J238" s="269" t="s">
        <v>298</v>
      </c>
      <c r="K238" s="260" t="str">
        <f>IF(ISBLANK('Dry_Litterbag Placem_Collection'!K19),"","R"&amp;""&amp;'Dry_Litterbag Placem_Collection'!K19)</f>
        <v>R826</v>
      </c>
      <c r="L238" s="264">
        <f>IFERROR(INDEX('Green_rooibos initial weight'!$C$5:$C$2000,MATCH(K238, 'Green_rooibos initial weight'!$A$5:$A$2000,0)),"")</f>
        <v>2.1659999999999999</v>
      </c>
      <c r="M238" s="264">
        <f>IFERROR(L238-(TBIcalc!$Q$9+TBIcalc!$Q$10),"")</f>
        <v>1.9161999999999999</v>
      </c>
      <c r="N238" s="385">
        <f>AVERAGE(Ashed_controlls!$K$12:$K$14)</f>
        <v>2.2816647271287041</v>
      </c>
      <c r="O238" s="264">
        <f t="shared" si="16"/>
        <v>1.8724787404987597</v>
      </c>
      <c r="P238" s="264">
        <f>IFERROR(INDEX('Both teabags AfterDry'!$D$2:$D$2000,MATCH(K238,'Both teabags AfterDry'!$A$2:$A$2000,0)),"")</f>
        <v>1.9086000000000001</v>
      </c>
      <c r="Q238" s="264">
        <f>IFERROR(IF(P238&gt;0,P238-(TBIcalc!$Q$9),""),"")</f>
        <v>1.758</v>
      </c>
      <c r="R238" s="275">
        <f>IFERROR(INDEX('Ashed teabags dry'!$K$2:$K$2000,MATCH(K238,'Ashed teabags dry'!$A$2:$A$2000,0)),"")</f>
        <v>3.214971209212738</v>
      </c>
      <c r="S238" s="275">
        <f t="shared" si="17"/>
        <v>1.7014808061420401</v>
      </c>
      <c r="T238" s="265">
        <f>IF('Dry_Litterbag Placem_Collection'!E19="","",'Dry_Litterbag Placem_Collection'!E19)</f>
        <v>42936</v>
      </c>
      <c r="U238" s="265">
        <f>IF('Dry_Litterbag Placem_Collection'!G19="","",'Dry_Litterbag Placem_Collection'!G19)</f>
        <v>43007</v>
      </c>
      <c r="V238" s="266">
        <f t="shared" si="15"/>
        <v>71</v>
      </c>
      <c r="W238" s="264">
        <f t="shared" si="18"/>
        <v>0.1581999999999999</v>
      </c>
      <c r="X238" s="264">
        <f t="shared" si="19"/>
        <v>0.17099793435671962</v>
      </c>
      <c r="Y238" s="268">
        <f>IFERROR(INDEX(Rainfall_Dry!$O$2:$O$217,MATCH(B238, Rainfall_Dry!$A$2:$A$217,0)),"")</f>
        <v>6.900000125</v>
      </c>
      <c r="Z238" s="257">
        <v>54.080969906906262</v>
      </c>
      <c r="AA238" s="257">
        <v>21.264484651351896</v>
      </c>
      <c r="AB238" s="257">
        <v>24.654545441741845</v>
      </c>
      <c r="AC238" s="258" t="s">
        <v>2657</v>
      </c>
      <c r="AD238" s="257">
        <v>1.8433218334154755</v>
      </c>
      <c r="AE238" t="str">
        <f>IF('WetLitterbags placem_collection'!AB19="","",'WetLitterbags placem_collection'!AB19)</f>
        <v/>
      </c>
      <c r="AF238" t="str">
        <f>IF('WetLitterbags placem_collection'!Z19="","",'WetLitterbags placem_collection'!Z19)</f>
        <v/>
      </c>
      <c r="AG238" s="243" t="str">
        <f>IF('WetLitterbags placem_collection'!AA19="","",'WetLitterbags placem_collection'!AA19)</f>
        <v/>
      </c>
      <c r="AH238" t="str">
        <f>IF('WetLitterbags placem_collection'!AC19="","",'WetLitterbags placem_collection'!AC19)</f>
        <v/>
      </c>
      <c r="AI238">
        <f>IFERROR(AVERAGE('Dry_Litterbag Placem_Collection'!O19,'Dry_Litterbag Placem_Collection'!R19),"")</f>
        <v>12.9</v>
      </c>
      <c r="AJ238" s="268">
        <f>IFERROR(AVERAGE('Dry_Litterbag Placem_Collection'!N19,'Dry_Litterbag Placem_Collection'!Q19),"")</f>
        <v>26.2</v>
      </c>
      <c r="AK238" s="267">
        <f>INDEX(Coordinates!$B$2:$B$197,MATCH(H238,Coordinates!$J$2:$J$197,0))</f>
        <v>-3.3854090330000002</v>
      </c>
      <c r="AL238" s="267">
        <f>INDEX(Coordinates!$C$2:$C$197,MATCH(H238,Coordinates!$J$2:$J$197,0))</f>
        <v>34.818901029999999</v>
      </c>
      <c r="AM238" s="267" t="str">
        <f>IF(ISNUMBER(SEARCH("C", 'Dry_Litterbag Placem_Collection'!T19)),"YES","NO")</f>
        <v>NO</v>
      </c>
      <c r="AN238" s="267" t="str">
        <f>IF(ISNUMBER(SEARCH("H", 'Dry_Litterbag Placem_Collection'!T19)),"YES","NO")</f>
        <v>NO</v>
      </c>
      <c r="AO238" s="267" t="str">
        <f>IF(ISNUMBER(SEARCH("R", 'Dry_Litterbag Placem_Collection'!T19)),"YES","NO")</f>
        <v>NO</v>
      </c>
    </row>
    <row r="239" spans="1:41" ht="15" customHeight="1">
      <c r="A239" s="259" t="s">
        <v>2643</v>
      </c>
      <c r="B239" s="260">
        <f>'Dry_Litterbag Placem_Collection'!A20</f>
        <v>18</v>
      </c>
      <c r="C239" s="260" t="str">
        <f>'Dry_Litterbag Placem_Collection'!B20</f>
        <v>Makao</v>
      </c>
      <c r="D239" s="260" t="s">
        <v>2643</v>
      </c>
      <c r="E239" s="260" t="s">
        <v>2644</v>
      </c>
      <c r="F239" s="260">
        <v>3</v>
      </c>
      <c r="G239" s="260" t="s">
        <v>3803</v>
      </c>
      <c r="H239" s="261" t="str">
        <f>'Dry_Litterbag Placem_Collection'!C20</f>
        <v>Dry_Ag3_T2</v>
      </c>
      <c r="I239" s="262" t="s">
        <v>2525</v>
      </c>
      <c r="J239" s="269" t="s">
        <v>298</v>
      </c>
      <c r="K239" s="260" t="str">
        <f>IF(ISBLANK('Dry_Litterbag Placem_Collection'!K20),"","R"&amp;""&amp;'Dry_Litterbag Placem_Collection'!K20)</f>
        <v>R732</v>
      </c>
      <c r="L239" s="264">
        <f>IFERROR(INDEX('Green_rooibos initial weight'!$C$5:$C$2000,MATCH(K239, 'Green_rooibos initial weight'!$A$5:$A$2000,0)),"")</f>
        <v>2.2189999999999999</v>
      </c>
      <c r="M239" s="264">
        <f>IFERROR(L239-(TBIcalc!$Q$9+TBIcalc!$Q$10),"")</f>
        <v>1.9691999999999998</v>
      </c>
      <c r="N239" s="385">
        <f>AVERAGE(Ashed_controlls!$K$12:$K$14)</f>
        <v>2.2816647271287041</v>
      </c>
      <c r="O239" s="264">
        <f t="shared" si="16"/>
        <v>1.9242694581933815</v>
      </c>
      <c r="P239" s="264">
        <f>IFERROR(INDEX('Both teabags AfterDry'!$D$2:$D$2000,MATCH(K239,'Both teabags AfterDry'!$A$2:$A$2000,0)),"")</f>
        <v>1.9874000000000001</v>
      </c>
      <c r="Q239" s="264">
        <f>IFERROR(IF(P239&gt;0,P239-(TBIcalc!$Q$9),""),"")</f>
        <v>1.8368</v>
      </c>
      <c r="R239" s="275">
        <f>IFERROR(INDEX('Ashed teabags dry'!$K$2:$K$2000,MATCH(K239,'Ashed teabags dry'!$A$2:$A$2000,0)),"")</f>
        <v>2.4777006937559349</v>
      </c>
      <c r="S239" s="275">
        <f t="shared" si="17"/>
        <v>1.791289593657091</v>
      </c>
      <c r="T239" s="265">
        <f>IF('Dry_Litterbag Placem_Collection'!E20="","",'Dry_Litterbag Placem_Collection'!E20)</f>
        <v>42936</v>
      </c>
      <c r="U239" s="265">
        <f>IF('Dry_Litterbag Placem_Collection'!G20="","",'Dry_Litterbag Placem_Collection'!G20)</f>
        <v>43007</v>
      </c>
      <c r="V239" s="266">
        <f t="shared" si="15"/>
        <v>71</v>
      </c>
      <c r="W239" s="264">
        <f t="shared" si="18"/>
        <v>0.13239999999999985</v>
      </c>
      <c r="X239" s="264">
        <f t="shared" si="19"/>
        <v>0.13297986453629052</v>
      </c>
      <c r="Y239" s="268">
        <f>IFERROR(INDEX(Rainfall_Dry!$O$2:$O$217,MATCH(B239, Rainfall_Dry!$A$2:$A$217,0)),"")</f>
        <v>6.900000125</v>
      </c>
      <c r="Z239" s="257">
        <v>54.080969906906262</v>
      </c>
      <c r="AA239" s="257">
        <v>21.264484651351896</v>
      </c>
      <c r="AB239" s="257">
        <v>24.654545441741845</v>
      </c>
      <c r="AC239" s="258" t="s">
        <v>2657</v>
      </c>
      <c r="AD239" s="257">
        <v>2.8433218334154802</v>
      </c>
      <c r="AE239" t="str">
        <f>IF('WetLitterbags placem_collection'!AB20="","",'WetLitterbags placem_collection'!AB20)</f>
        <v/>
      </c>
      <c r="AF239" t="str">
        <f>IF('WetLitterbags placem_collection'!Z20="","",'WetLitterbags placem_collection'!Z20)</f>
        <v/>
      </c>
      <c r="AG239" s="243" t="str">
        <f>IF('WetLitterbags placem_collection'!AA20="","",'WetLitterbags placem_collection'!AA20)</f>
        <v/>
      </c>
      <c r="AH239" t="str">
        <f>IF('WetLitterbags placem_collection'!AC20="","",'WetLitterbags placem_collection'!AC20)</f>
        <v/>
      </c>
      <c r="AI239">
        <f>IFERROR(AVERAGE('Dry_Litterbag Placem_Collection'!O20,'Dry_Litterbag Placem_Collection'!R20),"")</f>
        <v>11.15</v>
      </c>
      <c r="AJ239" s="268">
        <f>IFERROR(AVERAGE('Dry_Litterbag Placem_Collection'!N20,'Dry_Litterbag Placem_Collection'!Q20),"")</f>
        <v>26.1</v>
      </c>
      <c r="AK239" s="267">
        <f>INDEX(Coordinates!$B$2:$B$197,MATCH(H239,Coordinates!$J$2:$J$197,0))</f>
        <v>-3.385375002</v>
      </c>
      <c r="AL239" s="267">
        <f>INDEX(Coordinates!$C$2:$C$197,MATCH(H239,Coordinates!$J$2:$J$197,0))</f>
        <v>34.818939999999998</v>
      </c>
      <c r="AM239" s="267" t="str">
        <f>IF(ISNUMBER(SEARCH("C", 'Dry_Litterbag Placem_Collection'!T20)),"YES","NO")</f>
        <v>NO</v>
      </c>
      <c r="AN239" s="267" t="str">
        <f>IF(ISNUMBER(SEARCH("H", 'Dry_Litterbag Placem_Collection'!T20)),"YES","NO")</f>
        <v>YES</v>
      </c>
      <c r="AO239" s="267" t="str">
        <f>IF(ISNUMBER(SEARCH("R", 'Dry_Litterbag Placem_Collection'!T20)),"YES","NO")</f>
        <v>NO</v>
      </c>
    </row>
    <row r="240" spans="1:41" ht="15" customHeight="1">
      <c r="A240" s="259" t="s">
        <v>2643</v>
      </c>
      <c r="B240" s="260">
        <f>'Dry_Litterbag Placem_Collection'!A21</f>
        <v>19</v>
      </c>
      <c r="C240" s="260" t="str">
        <f>'Dry_Litterbag Placem_Collection'!B21</f>
        <v>Makao</v>
      </c>
      <c r="D240" s="260" t="s">
        <v>2643</v>
      </c>
      <c r="E240" s="260" t="s">
        <v>2644</v>
      </c>
      <c r="F240" s="260">
        <v>3</v>
      </c>
      <c r="G240" s="260" t="s">
        <v>3803</v>
      </c>
      <c r="H240" s="261" t="str">
        <f>'Dry_Litterbag Placem_Collection'!C21</f>
        <v>Dry_Ag3_T3</v>
      </c>
      <c r="I240" s="262" t="s">
        <v>2525</v>
      </c>
      <c r="J240" s="269" t="s">
        <v>298</v>
      </c>
      <c r="K240" s="260" t="str">
        <f>IF(ISBLANK('Dry_Litterbag Placem_Collection'!K21),"","R"&amp;""&amp;'Dry_Litterbag Placem_Collection'!K21)</f>
        <v>R749</v>
      </c>
      <c r="L240" s="264">
        <f>IFERROR(INDEX('Green_rooibos initial weight'!$C$5:$C$2000,MATCH(K240, 'Green_rooibos initial weight'!$A$5:$A$2000,0)),"")</f>
        <v>2.2050000000000001</v>
      </c>
      <c r="M240" s="264">
        <f>IFERROR(L240-(TBIcalc!$Q$9+TBIcalc!$Q$10),"")</f>
        <v>1.9552</v>
      </c>
      <c r="N240" s="385">
        <f>AVERAGE(Ashed_controlls!$K$12:$K$14)</f>
        <v>2.2816647271287041</v>
      </c>
      <c r="O240" s="264">
        <f t="shared" si="16"/>
        <v>1.9105888912551796</v>
      </c>
      <c r="P240" s="264">
        <f>IFERROR(INDEX('Both teabags AfterDry'!$D$2:$D$2000,MATCH(K240,'Both teabags AfterDry'!$A$2:$A$2000,0)),"")</f>
        <v>1.9492</v>
      </c>
      <c r="Q240" s="264">
        <f>IFERROR(IF(P240&gt;0,P240-(TBIcalc!$Q$9),""),"")</f>
        <v>1.7986</v>
      </c>
      <c r="R240" s="275">
        <f>IFERROR(INDEX('Ashed teabags dry'!$K$2:$K$2000,MATCH(K240,'Ashed teabags dry'!$A$2:$A$2000,0)),"")</f>
        <v>3.2445520581110632</v>
      </c>
      <c r="S240" s="275">
        <f t="shared" si="17"/>
        <v>1.7402434866828145</v>
      </c>
      <c r="T240" s="265">
        <f>IF('Dry_Litterbag Placem_Collection'!E21="","",'Dry_Litterbag Placem_Collection'!E21)</f>
        <v>42936</v>
      </c>
      <c r="U240" s="265">
        <f>IF('Dry_Litterbag Placem_Collection'!G21="","",'Dry_Litterbag Placem_Collection'!G21)</f>
        <v>43007</v>
      </c>
      <c r="V240" s="266">
        <f t="shared" si="15"/>
        <v>71</v>
      </c>
      <c r="W240" s="264">
        <f t="shared" si="18"/>
        <v>0.15660000000000007</v>
      </c>
      <c r="X240" s="264">
        <f t="shared" si="19"/>
        <v>0.17034540457236513</v>
      </c>
      <c r="Y240" s="268">
        <f>IFERROR(INDEX(Rainfall_Dry!$O$2:$O$217,MATCH(B240, Rainfall_Dry!$A$2:$A$217,0)),"")</f>
        <v>6.900000125</v>
      </c>
      <c r="Z240" s="257">
        <v>54.080969906906262</v>
      </c>
      <c r="AA240" s="257">
        <v>21.264484651351896</v>
      </c>
      <c r="AB240" s="257">
        <v>24.654545441741845</v>
      </c>
      <c r="AC240" s="258" t="s">
        <v>2657</v>
      </c>
      <c r="AD240" s="257">
        <v>3.8433218334154802</v>
      </c>
      <c r="AE240" t="str">
        <f>IF('WetLitterbags placem_collection'!AB21="","",'WetLitterbags placem_collection'!AB21)</f>
        <v/>
      </c>
      <c r="AF240" t="str">
        <f>IF('WetLitterbags placem_collection'!Z21="","",'WetLitterbags placem_collection'!Z21)</f>
        <v/>
      </c>
      <c r="AG240" s="243" t="str">
        <f>IF('WetLitterbags placem_collection'!AA21="","",'WetLitterbags placem_collection'!AA21)</f>
        <v/>
      </c>
      <c r="AH240" t="str">
        <f>IF('WetLitterbags placem_collection'!AC21="","",'WetLitterbags placem_collection'!AC21)</f>
        <v/>
      </c>
      <c r="AI240">
        <f>IFERROR(AVERAGE('Dry_Litterbag Placem_Collection'!O21,'Dry_Litterbag Placem_Collection'!R21),"")</f>
        <v>15.75</v>
      </c>
      <c r="AJ240" s="268">
        <f>IFERROR(AVERAGE('Dry_Litterbag Placem_Collection'!N21,'Dry_Litterbag Placem_Collection'!Q21),"")</f>
        <v>25.700000000000003</v>
      </c>
      <c r="AK240" s="267">
        <f>INDEX(Coordinates!$B$2:$B$197,MATCH(H240,Coordinates!$J$2:$J$197,0))</f>
        <v>-3.3853589930000001</v>
      </c>
      <c r="AL240" s="267">
        <f>INDEX(Coordinates!$C$2:$C$197,MATCH(H240,Coordinates!$J$2:$J$197,0))</f>
        <v>34.818991969999999</v>
      </c>
      <c r="AM240" s="267" t="str">
        <f>IF(ISNUMBER(SEARCH("C", 'Dry_Litterbag Placem_Collection'!T21)),"YES","NO")</f>
        <v>NO</v>
      </c>
      <c r="AN240" s="267" t="str">
        <f>IF(ISNUMBER(SEARCH("H", 'Dry_Litterbag Placem_Collection'!T21)),"YES","NO")</f>
        <v>NO</v>
      </c>
      <c r="AO240" s="267" t="str">
        <f>IF(ISNUMBER(SEARCH("R", 'Dry_Litterbag Placem_Collection'!T21)),"YES","NO")</f>
        <v>NO</v>
      </c>
    </row>
    <row r="241" spans="1:41" ht="15" customHeight="1">
      <c r="A241" s="259" t="s">
        <v>2643</v>
      </c>
      <c r="B241" s="260">
        <f>'Dry_Litterbag Placem_Collection'!A22</f>
        <v>20</v>
      </c>
      <c r="C241" s="260" t="str">
        <f>'Dry_Litterbag Placem_Collection'!B22</f>
        <v>Makao</v>
      </c>
      <c r="D241" s="260" t="s">
        <v>2643</v>
      </c>
      <c r="E241" s="260" t="s">
        <v>2644</v>
      </c>
      <c r="F241" s="260">
        <v>3</v>
      </c>
      <c r="G241" s="260" t="s">
        <v>3803</v>
      </c>
      <c r="H241" s="261" t="str">
        <f>'Dry_Litterbag Placem_Collection'!C22</f>
        <v>Dry_Ag3_T4</v>
      </c>
      <c r="I241" s="262" t="s">
        <v>2525</v>
      </c>
      <c r="J241" s="269" t="s">
        <v>298</v>
      </c>
      <c r="K241" s="260" t="str">
        <f>IF(ISBLANK('Dry_Litterbag Placem_Collection'!K22),"","R"&amp;""&amp;'Dry_Litterbag Placem_Collection'!K22)</f>
        <v>R632</v>
      </c>
      <c r="L241" s="264">
        <f>IFERROR(INDEX('Green_rooibos initial weight'!$C$5:$C$2000,MATCH(K241, 'Green_rooibos initial weight'!$A$5:$A$2000,0)),"")</f>
        <v>2.1269999999999998</v>
      </c>
      <c r="M241" s="264">
        <f>IFERROR(L241-(TBIcalc!$Q$9+TBIcalc!$Q$10),"")</f>
        <v>1.8771999999999998</v>
      </c>
      <c r="N241" s="385">
        <f>AVERAGE(Ashed_controlls!$K$12:$K$14)</f>
        <v>2.2816647271287041</v>
      </c>
      <c r="O241" s="264">
        <f t="shared" si="16"/>
        <v>1.8343685897423396</v>
      </c>
      <c r="P241" s="264">
        <f>IFERROR(INDEX('Both teabags AfterDry'!$D$2:$D$2000,MATCH(K241,'Both teabags AfterDry'!$A$2:$A$2000,0)),"")</f>
        <v>1.9161999999999999</v>
      </c>
      <c r="Q241" s="264">
        <f>IFERROR(IF(P241&gt;0,P241-(TBIcalc!$Q$9),""),"")</f>
        <v>1.7655999999999998</v>
      </c>
      <c r="R241" s="275">
        <f>IFERROR(INDEX('Ashed teabags dry'!$K$2:$K$2000,MATCH(K241,'Ashed teabags dry'!$A$2:$A$2000,0)),"")</f>
        <v>3.0104712041882107</v>
      </c>
      <c r="S241" s="275">
        <f t="shared" si="17"/>
        <v>1.7124471204188527</v>
      </c>
      <c r="T241" s="265">
        <f>IF('Dry_Litterbag Placem_Collection'!E22="","",'Dry_Litterbag Placem_Collection'!E22)</f>
        <v>42936</v>
      </c>
      <c r="U241" s="265">
        <f>IF('Dry_Litterbag Placem_Collection'!G22="","",'Dry_Litterbag Placem_Collection'!G22)</f>
        <v>43007</v>
      </c>
      <c r="V241" s="266">
        <f t="shared" si="15"/>
        <v>71</v>
      </c>
      <c r="W241" s="264">
        <f t="shared" si="18"/>
        <v>0.11159999999999992</v>
      </c>
      <c r="X241" s="264">
        <f t="shared" si="19"/>
        <v>0.12192146932348691</v>
      </c>
      <c r="Y241" s="268">
        <f>IFERROR(INDEX(Rainfall_Dry!$O$2:$O$217,MATCH(B241, Rainfall_Dry!$A$2:$A$217,0)),"")</f>
        <v>6.900000125</v>
      </c>
      <c r="Z241" s="257">
        <v>54.080969906906262</v>
      </c>
      <c r="AA241" s="257">
        <v>21.264484651351896</v>
      </c>
      <c r="AB241" s="257">
        <v>24.654545441741845</v>
      </c>
      <c r="AC241" s="258" t="s">
        <v>2657</v>
      </c>
      <c r="AD241" s="257">
        <v>4.8433218334154802</v>
      </c>
      <c r="AE241" t="str">
        <f>IF('WetLitterbags placem_collection'!AB22="","",'WetLitterbags placem_collection'!AB22)</f>
        <v/>
      </c>
      <c r="AF241" t="str">
        <f>IF('WetLitterbags placem_collection'!Z22="","",'WetLitterbags placem_collection'!Z22)</f>
        <v/>
      </c>
      <c r="AG241" s="243" t="str">
        <f>IF('WetLitterbags placem_collection'!AA22="","",'WetLitterbags placem_collection'!AA22)</f>
        <v/>
      </c>
      <c r="AH241" t="str">
        <f>IF('WetLitterbags placem_collection'!AC22="","",'WetLitterbags placem_collection'!AC22)</f>
        <v/>
      </c>
      <c r="AI241">
        <f>IFERROR(AVERAGE('Dry_Litterbag Placem_Collection'!O22,'Dry_Litterbag Placem_Collection'!R22),"")</f>
        <v>16</v>
      </c>
      <c r="AJ241" s="268">
        <f>IFERROR(AVERAGE('Dry_Litterbag Placem_Collection'!N22,'Dry_Litterbag Placem_Collection'!Q22),"")</f>
        <v>26.3</v>
      </c>
      <c r="AK241" s="267">
        <f>INDEX(Coordinates!$B$2:$B$197,MATCH(H241,Coordinates!$J$2:$J$197,0))</f>
        <v>-3.3853969629999998</v>
      </c>
      <c r="AL241" s="267">
        <f>INDEX(Coordinates!$C$2:$C$197,MATCH(H241,Coordinates!$J$2:$J$197,0))</f>
        <v>34.818977969999999</v>
      </c>
      <c r="AM241" s="267" t="str">
        <f>IF(ISNUMBER(SEARCH("C", 'Dry_Litterbag Placem_Collection'!T22)),"YES","NO")</f>
        <v>NO</v>
      </c>
      <c r="AN241" s="267" t="str">
        <f>IF(ISNUMBER(SEARCH("H", 'Dry_Litterbag Placem_Collection'!T22)),"YES","NO")</f>
        <v>NO</v>
      </c>
      <c r="AO241" s="267" t="str">
        <f>IF(ISNUMBER(SEARCH("R", 'Dry_Litterbag Placem_Collection'!T22)),"YES","NO")</f>
        <v>NO</v>
      </c>
    </row>
    <row r="242" spans="1:41" ht="15" customHeight="1">
      <c r="A242" s="259" t="s">
        <v>2643</v>
      </c>
      <c r="B242" s="260">
        <f>'Dry_Litterbag Placem_Collection'!A23</f>
        <v>21</v>
      </c>
      <c r="C242" s="260" t="str">
        <f>'Dry_Litterbag Placem_Collection'!B23</f>
        <v>Makao</v>
      </c>
      <c r="D242" s="260" t="s">
        <v>2643</v>
      </c>
      <c r="E242" s="260" t="s">
        <v>2644</v>
      </c>
      <c r="F242" s="260">
        <v>3</v>
      </c>
      <c r="G242" s="260" t="s">
        <v>3803</v>
      </c>
      <c r="H242" s="261" t="str">
        <f>'Dry_Litterbag Placem_Collection'!C23</f>
        <v>Dry_Ag3_T5</v>
      </c>
      <c r="I242" s="262" t="s">
        <v>2525</v>
      </c>
      <c r="J242" s="269" t="s">
        <v>298</v>
      </c>
      <c r="K242" s="260" t="str">
        <f>IF(ISBLANK('Dry_Litterbag Placem_Collection'!K23),"","R"&amp;""&amp;'Dry_Litterbag Placem_Collection'!K23)</f>
        <v>R630</v>
      </c>
      <c r="L242" s="264">
        <f>IFERROR(INDEX('Green_rooibos initial weight'!$C$5:$C$2000,MATCH(K242, 'Green_rooibos initial weight'!$A$5:$A$2000,0)),"")</f>
        <v>2.13</v>
      </c>
      <c r="M242" s="264">
        <f>IFERROR(L242-(TBIcalc!$Q$9+TBIcalc!$Q$10),"")</f>
        <v>1.8801999999999999</v>
      </c>
      <c r="N242" s="385">
        <f>AVERAGE(Ashed_controlls!$K$12:$K$14)</f>
        <v>2.2816647271287041</v>
      </c>
      <c r="O242" s="264">
        <f t="shared" si="16"/>
        <v>1.837300139800526</v>
      </c>
      <c r="P242" s="264" t="str">
        <f>IFERROR(INDEX('Both teabags AfterDry'!$D$2:$D$2000,MATCH(K242,'Both teabags AfterDry'!$A$2:$A$2000,0)),"")</f>
        <v/>
      </c>
      <c r="Q242" s="264" t="str">
        <f>IFERROR(IF(P242&gt;0,P242-(TBIcalc!$Q$9),""),"")</f>
        <v/>
      </c>
      <c r="R242" s="275" t="str">
        <f>IFERROR(INDEX('Ashed teabags dry'!$K$2:$K$2000,MATCH(K242,'Ashed teabags dry'!$A$2:$A$2000,0)),"")</f>
        <v/>
      </c>
      <c r="S242" s="275" t="str">
        <f t="shared" si="17"/>
        <v/>
      </c>
      <c r="T242" s="265">
        <f>IF('Dry_Litterbag Placem_Collection'!E23="","",'Dry_Litterbag Placem_Collection'!E23)</f>
        <v>42936</v>
      </c>
      <c r="U242" s="265">
        <f>IF('Dry_Litterbag Placem_Collection'!G23="","",'Dry_Litterbag Placem_Collection'!G23)</f>
        <v>43007</v>
      </c>
      <c r="V242" s="266">
        <f t="shared" si="15"/>
        <v>71</v>
      </c>
      <c r="W242" s="264" t="str">
        <f t="shared" si="18"/>
        <v/>
      </c>
      <c r="X242" s="264" t="str">
        <f t="shared" si="19"/>
        <v/>
      </c>
      <c r="Y242" s="268">
        <f>IFERROR(INDEX(Rainfall_Dry!$O$2:$O$217,MATCH(B242, Rainfall_Dry!$A$2:$A$217,0)),"")</f>
        <v>6.900000125</v>
      </c>
      <c r="Z242" s="257">
        <v>54.080969906906262</v>
      </c>
      <c r="AA242" s="257">
        <v>21.264484651351896</v>
      </c>
      <c r="AB242" s="257">
        <v>24.654545441741845</v>
      </c>
      <c r="AC242" s="258" t="s">
        <v>2657</v>
      </c>
      <c r="AD242" s="257">
        <v>5.8433218334154802</v>
      </c>
      <c r="AE242" t="str">
        <f>IF('WetLitterbags placem_collection'!AB23="","",'WetLitterbags placem_collection'!AB23)</f>
        <v/>
      </c>
      <c r="AF242" t="str">
        <f>IF('WetLitterbags placem_collection'!Z23="","",'WetLitterbags placem_collection'!Z23)</f>
        <v/>
      </c>
      <c r="AG242" s="243" t="str">
        <f>IF('WetLitterbags placem_collection'!AA23="","",'WetLitterbags placem_collection'!AA23)</f>
        <v/>
      </c>
      <c r="AH242" t="str">
        <f>IF('WetLitterbags placem_collection'!AC23="","",'WetLitterbags placem_collection'!AC23)</f>
        <v/>
      </c>
      <c r="AI242">
        <f>IFERROR(AVERAGE('Dry_Litterbag Placem_Collection'!O23,'Dry_Litterbag Placem_Collection'!R23),"")</f>
        <v>13.2</v>
      </c>
      <c r="AJ242" s="268">
        <f>IFERROR(AVERAGE('Dry_Litterbag Placem_Collection'!N23,'Dry_Litterbag Placem_Collection'!Q23),"")</f>
        <v>26.1</v>
      </c>
      <c r="AK242" s="267">
        <f>INDEX(Coordinates!$B$2:$B$197,MATCH(H242,Coordinates!$J$2:$J$197,0))</f>
        <v>-3.3854019919999998</v>
      </c>
      <c r="AL242" s="267">
        <f>INDEX(Coordinates!$C$2:$C$197,MATCH(H242,Coordinates!$J$2:$J$197,0))</f>
        <v>34.81894604</v>
      </c>
      <c r="AM242" s="267" t="str">
        <f>IF(ISNUMBER(SEARCH("C", 'Dry_Litterbag Placem_Collection'!T23)),"YES","NO")</f>
        <v>NO</v>
      </c>
      <c r="AN242" s="267" t="str">
        <f>IF(ISNUMBER(SEARCH("H", 'Dry_Litterbag Placem_Collection'!T23)),"YES","NO")</f>
        <v>NO</v>
      </c>
      <c r="AO242" s="267" t="str">
        <f>IF(ISNUMBER(SEARCH("R", 'Dry_Litterbag Placem_Collection'!T23)),"YES","NO")</f>
        <v>NO</v>
      </c>
    </row>
    <row r="243" spans="1:41" ht="15" customHeight="1">
      <c r="A243" s="259" t="s">
        <v>2643</v>
      </c>
      <c r="B243" s="260">
        <f>'Dry_Litterbag Placem_Collection'!A24</f>
        <v>22</v>
      </c>
      <c r="C243" s="260" t="str">
        <f>'Dry_Litterbag Placem_Collection'!B24</f>
        <v>Makao</v>
      </c>
      <c r="D243" s="260" t="s">
        <v>2643</v>
      </c>
      <c r="E243" s="260" t="s">
        <v>2644</v>
      </c>
      <c r="F243" s="260">
        <v>3</v>
      </c>
      <c r="G243" s="260" t="s">
        <v>3803</v>
      </c>
      <c r="H243" s="261" t="str">
        <f>'Dry_Litterbag Placem_Collection'!C24</f>
        <v>Dry_Ag3_T6</v>
      </c>
      <c r="I243" s="262" t="s">
        <v>2525</v>
      </c>
      <c r="J243" s="269" t="s">
        <v>298</v>
      </c>
      <c r="K243" s="260" t="str">
        <f>IF(ISBLANK('Dry_Litterbag Placem_Collection'!K24),"","R"&amp;""&amp;'Dry_Litterbag Placem_Collection'!K24)</f>
        <v>R723</v>
      </c>
      <c r="L243" s="264">
        <f>IFERROR(INDEX('Green_rooibos initial weight'!$C$5:$C$2000,MATCH(K243, 'Green_rooibos initial weight'!$A$5:$A$2000,0)),"")</f>
        <v>2.2559999999999998</v>
      </c>
      <c r="M243" s="264">
        <f>IFERROR(L243-(TBIcalc!$Q$9+TBIcalc!$Q$10),"")</f>
        <v>2.0061999999999998</v>
      </c>
      <c r="N243" s="385">
        <f>AVERAGE(Ashed_controlls!$K$12:$K$14)</f>
        <v>2.2816647271287041</v>
      </c>
      <c r="O243" s="264">
        <f t="shared" si="16"/>
        <v>1.9604252422443438</v>
      </c>
      <c r="P243" s="264">
        <f>IFERROR(INDEX('Both teabags AfterDry'!$D$2:$D$2000,MATCH(K243,'Both teabags AfterDry'!$A$2:$A$2000,0)),"")</f>
        <v>1.8997999999999999</v>
      </c>
      <c r="Q243" s="264">
        <f>IFERROR(IF(P243&gt;0,P243-(TBIcalc!$Q$9),""),"")</f>
        <v>1.7491999999999999</v>
      </c>
      <c r="R243" s="275">
        <f>IFERROR(INDEX('Ashed teabags dry'!$K$2:$K$2000,MATCH(K243,'Ashed teabags dry'!$A$2:$A$2000,0)),"")</f>
        <v>3.508771929824448</v>
      </c>
      <c r="S243" s="275">
        <f t="shared" si="17"/>
        <v>1.6878245614035106</v>
      </c>
      <c r="T243" s="265">
        <f>IF('Dry_Litterbag Placem_Collection'!E24="","",'Dry_Litterbag Placem_Collection'!E24)</f>
        <v>42936</v>
      </c>
      <c r="U243" s="265">
        <f>IF('Dry_Litterbag Placem_Collection'!G24="","",'Dry_Litterbag Placem_Collection'!G24)</f>
        <v>43007</v>
      </c>
      <c r="V243" s="266">
        <f t="shared" si="15"/>
        <v>71</v>
      </c>
      <c r="W243" s="264">
        <f t="shared" si="18"/>
        <v>0.2569999999999999</v>
      </c>
      <c r="X243" s="264">
        <f t="shared" si="19"/>
        <v>0.27260068084083322</v>
      </c>
      <c r="Y243" s="268">
        <f>IFERROR(INDEX(Rainfall_Dry!$O$2:$O$217,MATCH(B243, Rainfall_Dry!$A$2:$A$217,0)),"")</f>
        <v>6.900000125</v>
      </c>
      <c r="Z243" s="257">
        <v>54.080969906906262</v>
      </c>
      <c r="AA243" s="257">
        <v>21.264484651351896</v>
      </c>
      <c r="AB243" s="257">
        <v>24.654545441741845</v>
      </c>
      <c r="AC243" s="258" t="s">
        <v>2657</v>
      </c>
      <c r="AD243" s="257">
        <v>6.8433218334154802</v>
      </c>
      <c r="AE243" t="str">
        <f>IF('WetLitterbags placem_collection'!AB24="","",'WetLitterbags placem_collection'!AB24)</f>
        <v/>
      </c>
      <c r="AF243" t="str">
        <f>IF('WetLitterbags placem_collection'!Z24="","",'WetLitterbags placem_collection'!Z24)</f>
        <v/>
      </c>
      <c r="AG243" s="243" t="str">
        <f>IF('WetLitterbags placem_collection'!AA24="","",'WetLitterbags placem_collection'!AA24)</f>
        <v/>
      </c>
      <c r="AH243" t="str">
        <f>IF('WetLitterbags placem_collection'!AC24="","",'WetLitterbags placem_collection'!AC24)</f>
        <v/>
      </c>
      <c r="AI243">
        <f>IFERROR(AVERAGE('Dry_Litterbag Placem_Collection'!O24,'Dry_Litterbag Placem_Collection'!R24),"")</f>
        <v>19.05</v>
      </c>
      <c r="AJ243" s="268">
        <f>IFERROR(AVERAGE('Dry_Litterbag Placem_Collection'!N24,'Dry_Litterbag Placem_Collection'!Q24),"")</f>
        <v>25.75</v>
      </c>
      <c r="AK243" s="267">
        <f>INDEX(Coordinates!$B$2:$B$197,MATCH(H243,Coordinates!$J$2:$J$197,0))</f>
        <v>-3.3854470029999999</v>
      </c>
      <c r="AL243" s="267">
        <f>INDEX(Coordinates!$C$2:$C$197,MATCH(H243,Coordinates!$J$2:$J$197,0))</f>
        <v>34.818946959999998</v>
      </c>
      <c r="AM243" s="267" t="str">
        <f>IF(ISNUMBER(SEARCH("C", 'Dry_Litterbag Placem_Collection'!T24)),"YES","NO")</f>
        <v>NO</v>
      </c>
      <c r="AN243" s="267" t="str">
        <f>IF(ISNUMBER(SEARCH("H", 'Dry_Litterbag Placem_Collection'!T24)),"YES","NO")</f>
        <v>YES</v>
      </c>
      <c r="AO243" s="267" t="str">
        <f>IF(ISNUMBER(SEARCH("R", 'Dry_Litterbag Placem_Collection'!T24)),"YES","NO")</f>
        <v>NO</v>
      </c>
    </row>
    <row r="244" spans="1:41" ht="15" customHeight="1">
      <c r="A244" s="259" t="s">
        <v>2643</v>
      </c>
      <c r="B244" s="260">
        <f>'Dry_Litterbag Placem_Collection'!A25</f>
        <v>23</v>
      </c>
      <c r="C244" s="260" t="str">
        <f>'Dry_Litterbag Placem_Collection'!B25</f>
        <v>Makao</v>
      </c>
      <c r="D244" s="260" t="s">
        <v>2643</v>
      </c>
      <c r="E244" s="260" t="s">
        <v>2644</v>
      </c>
      <c r="F244" s="260">
        <v>3</v>
      </c>
      <c r="G244" s="260" t="s">
        <v>3803</v>
      </c>
      <c r="H244" s="261" t="str">
        <f>'Dry_Litterbag Placem_Collection'!C25</f>
        <v>Dry_Ag3_T7</v>
      </c>
      <c r="I244" s="262" t="s">
        <v>2525</v>
      </c>
      <c r="J244" s="269" t="s">
        <v>298</v>
      </c>
      <c r="K244" s="260" t="str">
        <f>IF(ISBLANK('Dry_Litterbag Placem_Collection'!K25),"","R"&amp;""&amp;'Dry_Litterbag Placem_Collection'!K25)</f>
        <v/>
      </c>
      <c r="L244" s="264" t="str">
        <f>IFERROR(INDEX('Green_rooibos initial weight'!$C$5:$C$2000,MATCH(K244, 'Green_rooibos initial weight'!$A$5:$A$2000,0)),"")</f>
        <v/>
      </c>
      <c r="M244" s="264" t="str">
        <f>IFERROR(L244-(TBIcalc!$Q$9+TBIcalc!$Q$10),"")</f>
        <v/>
      </c>
      <c r="N244" s="385">
        <f>AVERAGE(Ashed_controlls!$K$12:$K$14)</f>
        <v>2.2816647271287041</v>
      </c>
      <c r="O244" s="264" t="str">
        <f t="shared" si="16"/>
        <v/>
      </c>
      <c r="P244" s="264" t="str">
        <f>IFERROR(INDEX('Both teabags AfterDry'!$D$2:$D$2000,MATCH(K244,'Both teabags AfterDry'!$A$2:$A$2000,0)),"")</f>
        <v/>
      </c>
      <c r="Q244" s="264" t="str">
        <f>IFERROR(IF(P244&gt;0,P244-(TBIcalc!$Q$9),""),"")</f>
        <v/>
      </c>
      <c r="R244" s="275" t="str">
        <f>IFERROR(INDEX('Ashed teabags dry'!$K$2:$K$2000,MATCH(K244,'Ashed teabags dry'!$A$2:$A$2000,0)),"")</f>
        <v/>
      </c>
      <c r="S244" s="275" t="str">
        <f t="shared" si="17"/>
        <v/>
      </c>
      <c r="T244" s="265" t="str">
        <f>IF('Dry_Litterbag Placem_Collection'!E25="","",'Dry_Litterbag Placem_Collection'!E25)</f>
        <v/>
      </c>
      <c r="U244" s="265" t="str">
        <f>IF('Dry_Litterbag Placem_Collection'!G25="","",'Dry_Litterbag Placem_Collection'!G25)</f>
        <v/>
      </c>
      <c r="V244" s="266" t="str">
        <f t="shared" si="15"/>
        <v/>
      </c>
      <c r="W244" s="264" t="str">
        <f t="shared" si="18"/>
        <v/>
      </c>
      <c r="X244" s="264" t="str">
        <f t="shared" si="19"/>
        <v/>
      </c>
      <c r="Y244" s="268" t="str">
        <f>IFERROR(INDEX(Rainfall_Dry!$O$2:$O$217,MATCH(B244, Rainfall_Dry!$A$2:$A$217,0)),"")</f>
        <v/>
      </c>
      <c r="Z244" s="257">
        <v>54.080969906906262</v>
      </c>
      <c r="AA244" s="257">
        <v>21.264484651351896</v>
      </c>
      <c r="AB244" s="257">
        <v>24.654545441741845</v>
      </c>
      <c r="AC244" s="258" t="s">
        <v>2657</v>
      </c>
      <c r="AD244" s="257">
        <v>7.8433218334154802</v>
      </c>
      <c r="AE244" t="str">
        <f>IF('WetLitterbags placem_collection'!AB25="","",'WetLitterbags placem_collection'!AB25)</f>
        <v/>
      </c>
      <c r="AF244" t="str">
        <f>IF('WetLitterbags placem_collection'!Z25="","",'WetLitterbags placem_collection'!Z25)</f>
        <v/>
      </c>
      <c r="AG244" s="243" t="str">
        <f>IF('WetLitterbags placem_collection'!AA25="","",'WetLitterbags placem_collection'!AA25)</f>
        <v/>
      </c>
      <c r="AH244" t="str">
        <f>IF('WetLitterbags placem_collection'!AC25="","",'WetLitterbags placem_collection'!AC25)</f>
        <v/>
      </c>
      <c r="AI244" t="str">
        <f>IFERROR(AVERAGE('Dry_Litterbag Placem_Collection'!O25,'Dry_Litterbag Placem_Collection'!R25),"")</f>
        <v/>
      </c>
      <c r="AJ244" s="268" t="str">
        <f>IFERROR(AVERAGE('Dry_Litterbag Placem_Collection'!N25,'Dry_Litterbag Placem_Collection'!Q25),"")</f>
        <v/>
      </c>
      <c r="AK244" s="267">
        <f>INDEX(Coordinates!$B$2:$B$197,MATCH(H244,Coordinates!$J$2:$J$197,0))</f>
        <v>-3.3854200130000001</v>
      </c>
      <c r="AL244" s="267">
        <f>INDEX(Coordinates!$C$2:$C$197,MATCH(H244,Coordinates!$J$2:$J$197,0))</f>
        <v>34.818856019999998</v>
      </c>
      <c r="AM244" s="267" t="str">
        <f>IF(ISNUMBER(SEARCH("C", 'Dry_Litterbag Placem_Collection'!T25)),"YES","NO")</f>
        <v>NO</v>
      </c>
      <c r="AN244" s="267" t="str">
        <f>IF(ISNUMBER(SEARCH("H", 'Dry_Litterbag Placem_Collection'!T25)),"YES","NO")</f>
        <v>NO</v>
      </c>
      <c r="AO244" s="267" t="str">
        <f>IF(ISNUMBER(SEARCH("R", 'Dry_Litterbag Placem_Collection'!T25)),"YES","NO")</f>
        <v>NO</v>
      </c>
    </row>
    <row r="245" spans="1:41" ht="15" customHeight="1">
      <c r="A245" s="259" t="s">
        <v>2643</v>
      </c>
      <c r="B245" s="260">
        <f>'Dry_Litterbag Placem_Collection'!A26</f>
        <v>24</v>
      </c>
      <c r="C245" s="260" t="str">
        <f>'Dry_Litterbag Placem_Collection'!B26</f>
        <v>Makao</v>
      </c>
      <c r="D245" s="260" t="s">
        <v>2643</v>
      </c>
      <c r="E245" s="260" t="s">
        <v>2644</v>
      </c>
      <c r="F245" s="260">
        <v>3</v>
      </c>
      <c r="G245" s="260" t="s">
        <v>3803</v>
      </c>
      <c r="H245" s="261" t="str">
        <f>'Dry_Litterbag Placem_Collection'!C26</f>
        <v>Dry_Ag3_T8</v>
      </c>
      <c r="I245" s="262" t="s">
        <v>2525</v>
      </c>
      <c r="J245" s="269" t="s">
        <v>298</v>
      </c>
      <c r="K245" s="260" t="str">
        <f>IF(ISBLANK('Dry_Litterbag Placem_Collection'!K26),"","R"&amp;""&amp;'Dry_Litterbag Placem_Collection'!K26)</f>
        <v>R225</v>
      </c>
      <c r="L245" s="264">
        <f>IFERROR(INDEX('Green_rooibos initial weight'!$C$5:$C$2000,MATCH(K245, 'Green_rooibos initial weight'!$A$5:$A$2000,0)),"")</f>
        <v>2.214</v>
      </c>
      <c r="M245" s="264">
        <f>IFERROR(L245-(TBIcalc!$Q$9+TBIcalc!$Q$10),"")</f>
        <v>1.9641999999999999</v>
      </c>
      <c r="N245" s="385">
        <f>AVERAGE(Ashed_controlls!$K$12:$K$14)</f>
        <v>2.2816647271287041</v>
      </c>
      <c r="O245" s="264">
        <f t="shared" si="16"/>
        <v>1.919383541429738</v>
      </c>
      <c r="P245" s="264">
        <f>IFERROR(INDEX('Both teabags AfterDry'!$D$2:$D$2000,MATCH(K245,'Both teabags AfterDry'!$A$2:$A$2000,0)),"")</f>
        <v>1.9572000000000001</v>
      </c>
      <c r="Q245" s="264">
        <f>IFERROR(IF(P245&gt;0,P245-(TBIcalc!$Q$9),""),"")</f>
        <v>1.8066</v>
      </c>
      <c r="R245" s="275">
        <f>IFERROR(INDEX('Ashed teabags dry'!$K$2:$K$2000,MATCH(K245,'Ashed teabags dry'!$A$2:$A$2000,0)),"")</f>
        <v>2.4928092042184851</v>
      </c>
      <c r="S245" s="275">
        <f t="shared" si="17"/>
        <v>1.7615649089165888</v>
      </c>
      <c r="T245" s="265">
        <f>IF('Dry_Litterbag Placem_Collection'!E26="","",'Dry_Litterbag Placem_Collection'!E26)</f>
        <v>42936</v>
      </c>
      <c r="U245" s="265">
        <f>IF('Dry_Litterbag Placem_Collection'!G26="","",'Dry_Litterbag Placem_Collection'!G26)</f>
        <v>43007</v>
      </c>
      <c r="V245" s="266">
        <f t="shared" si="15"/>
        <v>71</v>
      </c>
      <c r="W245" s="264">
        <f t="shared" si="18"/>
        <v>0.15759999999999996</v>
      </c>
      <c r="X245" s="264">
        <f t="shared" si="19"/>
        <v>0.1578186325131492</v>
      </c>
      <c r="Y245" s="268">
        <f>IFERROR(INDEX(Rainfall_Dry!$O$2:$O$217,MATCH(B245, Rainfall_Dry!$A$2:$A$217,0)),"")</f>
        <v>6.900000125</v>
      </c>
      <c r="Z245" s="257">
        <v>54.080969906906262</v>
      </c>
      <c r="AA245" s="257">
        <v>21.264484651351896</v>
      </c>
      <c r="AB245" s="257">
        <v>24.654545441741845</v>
      </c>
      <c r="AC245" s="258" t="s">
        <v>2657</v>
      </c>
      <c r="AD245" s="257">
        <v>8.8433218334154695</v>
      </c>
      <c r="AE245" t="str">
        <f>IF('WetLitterbags placem_collection'!AB26="","",'WetLitterbags placem_collection'!AB26)</f>
        <v/>
      </c>
      <c r="AF245" t="str">
        <f>IF('WetLitterbags placem_collection'!Z26="","",'WetLitterbags placem_collection'!Z26)</f>
        <v/>
      </c>
      <c r="AG245" s="243" t="str">
        <f>IF('WetLitterbags placem_collection'!AA26="","",'WetLitterbags placem_collection'!AA26)</f>
        <v/>
      </c>
      <c r="AH245" t="str">
        <f>IF('WetLitterbags placem_collection'!AC26="","",'WetLitterbags placem_collection'!AC26)</f>
        <v/>
      </c>
      <c r="AI245">
        <f>IFERROR(AVERAGE('Dry_Litterbag Placem_Collection'!O26,'Dry_Litterbag Placem_Collection'!R26),"")</f>
        <v>15.6</v>
      </c>
      <c r="AJ245" s="268">
        <f>IFERROR(AVERAGE('Dry_Litterbag Placem_Collection'!N26,'Dry_Litterbag Placem_Collection'!Q26),"")</f>
        <v>25.5</v>
      </c>
      <c r="AK245" s="267">
        <f>INDEX(Coordinates!$B$2:$B$197,MATCH(H245,Coordinates!$J$2:$J$197,0))</f>
        <v>-3.3853829649999998</v>
      </c>
      <c r="AL245" s="267">
        <f>INDEX(Coordinates!$C$2:$C$197,MATCH(H245,Coordinates!$J$2:$J$197,0))</f>
        <v>34.818877980000003</v>
      </c>
      <c r="AM245" s="267" t="str">
        <f>IF(ISNUMBER(SEARCH("C", 'Dry_Litterbag Placem_Collection'!T26)),"YES","NO")</f>
        <v>NO</v>
      </c>
      <c r="AN245" s="267" t="str">
        <f>IF(ISNUMBER(SEARCH("H", 'Dry_Litterbag Placem_Collection'!T26)),"YES","NO")</f>
        <v>NO</v>
      </c>
      <c r="AO245" s="267" t="str">
        <f>IF(ISNUMBER(SEARCH("R", 'Dry_Litterbag Placem_Collection'!T26)),"YES","NO")</f>
        <v>NO</v>
      </c>
    </row>
    <row r="246" spans="1:41" ht="15" customHeight="1">
      <c r="A246" s="259" t="s">
        <v>2643</v>
      </c>
      <c r="B246" s="260">
        <f>'Dry_Litterbag Placem_Collection'!A27</f>
        <v>25</v>
      </c>
      <c r="C246" s="260" t="str">
        <f>'Dry_Litterbag Placem_Collection'!B27</f>
        <v>Makao</v>
      </c>
      <c r="D246" s="260" t="s">
        <v>2643</v>
      </c>
      <c r="E246" s="260" t="s">
        <v>2644</v>
      </c>
      <c r="F246" s="260">
        <v>4</v>
      </c>
      <c r="G246" s="260" t="s">
        <v>3804</v>
      </c>
      <c r="H246" s="261" t="str">
        <f>'Dry_Litterbag Placem_Collection'!C27</f>
        <v>Dry_Ag4_T1</v>
      </c>
      <c r="I246" s="262" t="s">
        <v>2525</v>
      </c>
      <c r="J246" s="269" t="s">
        <v>298</v>
      </c>
      <c r="K246" s="260" t="str">
        <f>IF(ISBLANK('Dry_Litterbag Placem_Collection'!K27),"","R"&amp;""&amp;'Dry_Litterbag Placem_Collection'!K27)</f>
        <v>R43</v>
      </c>
      <c r="L246" s="264">
        <f>IFERROR(INDEX('Green_rooibos initial weight'!$C$5:$C$2000,MATCH(K246, 'Green_rooibos initial weight'!$A$5:$A$2000,0)),"")</f>
        <v>2.2759999999999998</v>
      </c>
      <c r="M246" s="264">
        <f>IFERROR(L246-(TBIcalc!$Q$9+TBIcalc!$Q$10),"")</f>
        <v>2.0261999999999998</v>
      </c>
      <c r="N246" s="385">
        <f>AVERAGE(Ashed_controlls!$K$12:$K$14)</f>
        <v>2.2816647271287041</v>
      </c>
      <c r="O246" s="264">
        <f t="shared" si="16"/>
        <v>1.9799689092989179</v>
      </c>
      <c r="P246" s="264">
        <f>IFERROR(INDEX('Both teabags AfterDry'!$D$2:$D$2000,MATCH(K246,'Both teabags AfterDry'!$A$2:$A$2000,0)),"")</f>
        <v>2.0165999999999999</v>
      </c>
      <c r="Q246" s="264">
        <f>IFERROR(IF(P246&gt;0,P246-(TBIcalc!$Q$9),""),"")</f>
        <v>1.8659999999999999</v>
      </c>
      <c r="R246" s="275">
        <f>IFERROR(INDEX('Ashed teabags dry'!$K$2:$K$2000,MATCH(K246,'Ashed teabags dry'!$A$2:$A$2000,0)),"")</f>
        <v>3.4160037435664092</v>
      </c>
      <c r="S246" s="275">
        <f t="shared" si="17"/>
        <v>1.8022573701450506</v>
      </c>
      <c r="T246" s="265">
        <f>IF('Dry_Litterbag Placem_Collection'!E27="","",'Dry_Litterbag Placem_Collection'!E27)</f>
        <v>42936</v>
      </c>
      <c r="U246" s="265">
        <f>IF('Dry_Litterbag Placem_Collection'!G27="","",'Dry_Litterbag Placem_Collection'!G27)</f>
        <v>43007</v>
      </c>
      <c r="V246" s="266">
        <f t="shared" si="15"/>
        <v>71</v>
      </c>
      <c r="W246" s="264">
        <f t="shared" si="18"/>
        <v>0.1601999999999999</v>
      </c>
      <c r="X246" s="264">
        <f t="shared" si="19"/>
        <v>0.17771153915386728</v>
      </c>
      <c r="Y246" s="268">
        <f>IFERROR(INDEX(Rainfall_Dry!$O$2:$O$217,MATCH(B246, Rainfall_Dry!$A$2:$A$217,0)),"")</f>
        <v>6.900000125</v>
      </c>
      <c r="Z246" s="257">
        <v>51.960000000000008</v>
      </c>
      <c r="AA246" s="257">
        <v>18.919999999999995</v>
      </c>
      <c r="AB246" s="257">
        <v>29.120000000000005</v>
      </c>
      <c r="AC246" s="258" t="s">
        <v>2657</v>
      </c>
      <c r="AD246" s="257">
        <v>1.85293247905372</v>
      </c>
      <c r="AE246" t="str">
        <f>IF('WetLitterbags placem_collection'!AB27="","",'WetLitterbags placem_collection'!AB27)</f>
        <v/>
      </c>
      <c r="AF246" t="str">
        <f>IF('WetLitterbags placem_collection'!Z27="","",'WetLitterbags placem_collection'!Z27)</f>
        <v/>
      </c>
      <c r="AG246" s="243" t="str">
        <f>IF('WetLitterbags placem_collection'!AA27="","",'WetLitterbags placem_collection'!AA27)</f>
        <v/>
      </c>
      <c r="AH246" t="str">
        <f>IF('WetLitterbags placem_collection'!AC27="","",'WetLitterbags placem_collection'!AC27)</f>
        <v/>
      </c>
      <c r="AI246">
        <f>IFERROR(AVERAGE('Dry_Litterbag Placem_Collection'!O27,'Dry_Litterbag Placem_Collection'!R27),"")</f>
        <v>9.85</v>
      </c>
      <c r="AJ246" s="268">
        <f>IFERROR(AVERAGE('Dry_Litterbag Placem_Collection'!N27,'Dry_Litterbag Placem_Collection'!Q27),"")</f>
        <v>25.4</v>
      </c>
      <c r="AK246" s="267">
        <f>INDEX(Coordinates!$B$2:$B$197,MATCH(H246,Coordinates!$J$2:$J$197,0))</f>
        <v>-3.3849129919999998</v>
      </c>
      <c r="AL246" s="267">
        <f>INDEX(Coordinates!$C$2:$C$197,MATCH(H246,Coordinates!$J$2:$J$197,0))</f>
        <v>34.818899020000003</v>
      </c>
      <c r="AM246" s="267" t="str">
        <f>IF(ISNUMBER(SEARCH("C", 'Dry_Litterbag Placem_Collection'!T27)),"YES","NO")</f>
        <v>NO</v>
      </c>
      <c r="AN246" s="267" t="str">
        <f>IF(ISNUMBER(SEARCH("H", 'Dry_Litterbag Placem_Collection'!T27)),"YES","NO")</f>
        <v>NO</v>
      </c>
      <c r="AO246" s="267" t="str">
        <f>IF(ISNUMBER(SEARCH("R", 'Dry_Litterbag Placem_Collection'!T27)),"YES","NO")</f>
        <v>NO</v>
      </c>
    </row>
    <row r="247" spans="1:41" ht="15" customHeight="1">
      <c r="A247" s="259" t="s">
        <v>2643</v>
      </c>
      <c r="B247" s="260">
        <f>'Dry_Litterbag Placem_Collection'!A28</f>
        <v>26</v>
      </c>
      <c r="C247" s="260" t="str">
        <f>'Dry_Litterbag Placem_Collection'!B28</f>
        <v>Makao</v>
      </c>
      <c r="D247" s="260" t="s">
        <v>2643</v>
      </c>
      <c r="E247" s="260" t="s">
        <v>2644</v>
      </c>
      <c r="F247" s="260">
        <v>4</v>
      </c>
      <c r="G247" s="260" t="s">
        <v>3804</v>
      </c>
      <c r="H247" s="261" t="str">
        <f>'Dry_Litterbag Placem_Collection'!C28</f>
        <v>Dry_Ag4_T2</v>
      </c>
      <c r="I247" s="262" t="s">
        <v>2525</v>
      </c>
      <c r="J247" s="269" t="s">
        <v>298</v>
      </c>
      <c r="K247" s="260" t="str">
        <f>IF(ISBLANK('Dry_Litterbag Placem_Collection'!K28),"","R"&amp;""&amp;'Dry_Litterbag Placem_Collection'!K28)</f>
        <v>R602</v>
      </c>
      <c r="L247" s="264">
        <f>IFERROR(INDEX('Green_rooibos initial weight'!$C$5:$C$2000,MATCH(K247, 'Green_rooibos initial weight'!$A$5:$A$2000,0)),"")</f>
        <v>2.19</v>
      </c>
      <c r="M247" s="264">
        <f>IFERROR(L247-(TBIcalc!$Q$9+TBIcalc!$Q$10),"")</f>
        <v>1.9401999999999999</v>
      </c>
      <c r="N247" s="385">
        <f>AVERAGE(Ashed_controlls!$K$12:$K$14)</f>
        <v>2.2816647271287041</v>
      </c>
      <c r="O247" s="264">
        <f t="shared" si="16"/>
        <v>1.8959311409642488</v>
      </c>
      <c r="P247" s="264">
        <f>IFERROR(INDEX('Both teabags AfterDry'!$D$2:$D$2000,MATCH(K247,'Both teabags AfterDry'!$A$2:$A$2000,0)),"")</f>
        <v>1.9849000000000001</v>
      </c>
      <c r="Q247" s="264">
        <f>IFERROR(IF(P247&gt;0,P247-(TBIcalc!$Q$9),""),"")</f>
        <v>1.8343</v>
      </c>
      <c r="R247" s="275">
        <f>IFERROR(INDEX('Ashed teabags dry'!$K$2:$K$2000,MATCH(K247,'Ashed teabags dry'!$A$2:$A$2000,0)),"")</f>
        <v>2.2760290556907226</v>
      </c>
      <c r="S247" s="275">
        <f t="shared" si="17"/>
        <v>1.7925507990314651</v>
      </c>
      <c r="T247" s="265">
        <f>IF('Dry_Litterbag Placem_Collection'!E28="","",'Dry_Litterbag Placem_Collection'!E28)</f>
        <v>42936</v>
      </c>
      <c r="U247" s="265">
        <f>IF('Dry_Litterbag Placem_Collection'!G28="","",'Dry_Litterbag Placem_Collection'!G28)</f>
        <v>43007</v>
      </c>
      <c r="V247" s="266">
        <f t="shared" si="15"/>
        <v>71</v>
      </c>
      <c r="W247" s="264">
        <f t="shared" si="18"/>
        <v>0.10589999999999988</v>
      </c>
      <c r="X247" s="264">
        <f t="shared" si="19"/>
        <v>0.10338034193278367</v>
      </c>
      <c r="Y247" s="268">
        <f>IFERROR(INDEX(Rainfall_Dry!$O$2:$O$217,MATCH(B247, Rainfall_Dry!$A$2:$A$217,0)),"")</f>
        <v>6.900000125</v>
      </c>
      <c r="Z247" s="257">
        <v>51.960000000000008</v>
      </c>
      <c r="AA247" s="257">
        <v>18.919999999999995</v>
      </c>
      <c r="AB247" s="257">
        <v>29.120000000000005</v>
      </c>
      <c r="AC247" s="258" t="s">
        <v>2657</v>
      </c>
      <c r="AD247" s="257">
        <v>2.8529324790537198</v>
      </c>
      <c r="AE247" t="str">
        <f>IF('WetLitterbags placem_collection'!AB28="","",'WetLitterbags placem_collection'!AB28)</f>
        <v/>
      </c>
      <c r="AF247" t="str">
        <f>IF('WetLitterbags placem_collection'!Z28="","",'WetLitterbags placem_collection'!Z28)</f>
        <v/>
      </c>
      <c r="AG247" s="243" t="str">
        <f>IF('WetLitterbags placem_collection'!AA28="","",'WetLitterbags placem_collection'!AA28)</f>
        <v/>
      </c>
      <c r="AH247" t="str">
        <f>IF('WetLitterbags placem_collection'!AC28="","",'WetLitterbags placem_collection'!AC28)</f>
        <v/>
      </c>
      <c r="AI247">
        <f>IFERROR(AVERAGE('Dry_Litterbag Placem_Collection'!O28,'Dry_Litterbag Placem_Collection'!R28),"")</f>
        <v>8.1</v>
      </c>
      <c r="AJ247" s="268">
        <f>IFERROR(AVERAGE('Dry_Litterbag Placem_Collection'!N28,'Dry_Litterbag Placem_Collection'!Q28),"")</f>
        <v>25.85</v>
      </c>
      <c r="AK247" s="267">
        <f>INDEX(Coordinates!$B$2:$B$197,MATCH(H247,Coordinates!$J$2:$J$197,0))</f>
        <v>-3.3849689999999999</v>
      </c>
      <c r="AL247" s="267">
        <f>INDEX(Coordinates!$C$2:$C$197,MATCH(H247,Coordinates!$J$2:$J$197,0))</f>
        <v>34.818908</v>
      </c>
      <c r="AM247" s="267" t="str">
        <f>IF(ISNUMBER(SEARCH("C", 'Dry_Litterbag Placem_Collection'!T28)),"YES","NO")</f>
        <v>NO</v>
      </c>
      <c r="AN247" s="267" t="str">
        <f>IF(ISNUMBER(SEARCH("H", 'Dry_Litterbag Placem_Collection'!T28)),"YES","NO")</f>
        <v>NO</v>
      </c>
      <c r="AO247" s="267" t="str">
        <f>IF(ISNUMBER(SEARCH("R", 'Dry_Litterbag Placem_Collection'!T28)),"YES","NO")</f>
        <v>NO</v>
      </c>
    </row>
    <row r="248" spans="1:41" ht="15" customHeight="1">
      <c r="A248" s="259" t="s">
        <v>2643</v>
      </c>
      <c r="B248" s="260">
        <f>'Dry_Litterbag Placem_Collection'!A29</f>
        <v>27</v>
      </c>
      <c r="C248" s="260" t="str">
        <f>'Dry_Litterbag Placem_Collection'!B29</f>
        <v>Makao</v>
      </c>
      <c r="D248" s="260" t="s">
        <v>2643</v>
      </c>
      <c r="E248" s="260" t="s">
        <v>2644</v>
      </c>
      <c r="F248" s="260">
        <v>4</v>
      </c>
      <c r="G248" s="260" t="s">
        <v>3804</v>
      </c>
      <c r="H248" s="261" t="str">
        <f>'Dry_Litterbag Placem_Collection'!C29</f>
        <v>Dry_Ag4_T3</v>
      </c>
      <c r="I248" s="262" t="s">
        <v>2525</v>
      </c>
      <c r="J248" s="269" t="s">
        <v>298</v>
      </c>
      <c r="K248" s="260" t="str">
        <f>IF(ISBLANK('Dry_Litterbag Placem_Collection'!K29),"","R"&amp;""&amp;'Dry_Litterbag Placem_Collection'!K29)</f>
        <v>R666</v>
      </c>
      <c r="L248" s="264">
        <f>IFERROR(INDEX('Green_rooibos initial weight'!$C$5:$C$2000,MATCH(K248, 'Green_rooibos initial weight'!$A$5:$A$2000,0)),"")</f>
        <v>2.15</v>
      </c>
      <c r="M248" s="264">
        <f>IFERROR(L248-(TBIcalc!$Q$9+TBIcalc!$Q$10),"")</f>
        <v>1.9001999999999999</v>
      </c>
      <c r="N248" s="385">
        <f>AVERAGE(Ashed_controlls!$K$12:$K$14)</f>
        <v>2.2816647271287041</v>
      </c>
      <c r="O248" s="264">
        <f t="shared" si="16"/>
        <v>1.8568438068551003</v>
      </c>
      <c r="P248" s="264" t="str">
        <f>IFERROR(INDEX('Both teabags AfterDry'!$D$2:$D$2000,MATCH(K248,'Both teabags AfterDry'!$A$2:$A$2000,0)),"")</f>
        <v/>
      </c>
      <c r="Q248" s="264" t="str">
        <f>IFERROR(IF(P248&gt;0,P248-(TBIcalc!$Q$9),""),"")</f>
        <v/>
      </c>
      <c r="R248" s="275" t="str">
        <f>IFERROR(INDEX('Ashed teabags dry'!$K$2:$K$2000,MATCH(K248,'Ashed teabags dry'!$A$2:$A$2000,0)),"")</f>
        <v/>
      </c>
      <c r="S248" s="275" t="str">
        <f t="shared" si="17"/>
        <v/>
      </c>
      <c r="T248" s="265">
        <f>IF('Dry_Litterbag Placem_Collection'!E29="","",'Dry_Litterbag Placem_Collection'!E29)</f>
        <v>42936</v>
      </c>
      <c r="U248" s="265">
        <f>IF('Dry_Litterbag Placem_Collection'!G29="","",'Dry_Litterbag Placem_Collection'!G29)</f>
        <v>43007</v>
      </c>
      <c r="V248" s="266">
        <f t="shared" si="15"/>
        <v>71</v>
      </c>
      <c r="W248" s="264" t="str">
        <f t="shared" si="18"/>
        <v/>
      </c>
      <c r="X248" s="264" t="str">
        <f t="shared" si="19"/>
        <v/>
      </c>
      <c r="Y248" s="268">
        <f>IFERROR(INDEX(Rainfall_Dry!$O$2:$O$217,MATCH(B248, Rainfall_Dry!$A$2:$A$217,0)),"")</f>
        <v>6.900000125</v>
      </c>
      <c r="Z248" s="257">
        <v>51.960000000000008</v>
      </c>
      <c r="AA248" s="257">
        <v>18.919999999999995</v>
      </c>
      <c r="AB248" s="257">
        <v>29.120000000000005</v>
      </c>
      <c r="AC248" s="258" t="s">
        <v>2657</v>
      </c>
      <c r="AD248" s="257">
        <v>3.8529324790537198</v>
      </c>
      <c r="AE248" t="str">
        <f>IF('WetLitterbags placem_collection'!AB29="","",'WetLitterbags placem_collection'!AB29)</f>
        <v/>
      </c>
      <c r="AF248" t="str">
        <f>IF('WetLitterbags placem_collection'!Z29="","",'WetLitterbags placem_collection'!Z29)</f>
        <v/>
      </c>
      <c r="AG248" s="243" t="str">
        <f>IF('WetLitterbags placem_collection'!AA29="","",'WetLitterbags placem_collection'!AA29)</f>
        <v/>
      </c>
      <c r="AH248" t="str">
        <f>IF('WetLitterbags placem_collection'!AC29="","",'WetLitterbags placem_collection'!AC29)</f>
        <v/>
      </c>
      <c r="AI248">
        <f>IFERROR(AVERAGE('Dry_Litterbag Placem_Collection'!O29,'Dry_Litterbag Placem_Collection'!R29),"")</f>
        <v>14.1</v>
      </c>
      <c r="AJ248" s="268">
        <f>IFERROR(AVERAGE('Dry_Litterbag Placem_Collection'!N29,'Dry_Litterbag Placem_Collection'!Q29),"")</f>
        <v>26.15</v>
      </c>
      <c r="AK248" s="267">
        <f>INDEX(Coordinates!$B$2:$B$197,MATCH(H248,Coordinates!$J$2:$J$197,0))</f>
        <v>-3.3849350359999999</v>
      </c>
      <c r="AL248" s="267">
        <f>INDEX(Coordinates!$C$2:$C$197,MATCH(H248,Coordinates!$J$2:$J$197,0))</f>
        <v>34.818943019999999</v>
      </c>
      <c r="AM248" s="267" t="str">
        <f>IF(ISNUMBER(SEARCH("C", 'Dry_Litterbag Placem_Collection'!T29)),"YES","NO")</f>
        <v>NO</v>
      </c>
      <c r="AN248" s="267" t="str">
        <f>IF(ISNUMBER(SEARCH("H", 'Dry_Litterbag Placem_Collection'!T29)),"YES","NO")</f>
        <v>NO</v>
      </c>
      <c r="AO248" s="267" t="str">
        <f>IF(ISNUMBER(SEARCH("R", 'Dry_Litterbag Placem_Collection'!T29)),"YES","NO")</f>
        <v>NO</v>
      </c>
    </row>
    <row r="249" spans="1:41" ht="15" customHeight="1">
      <c r="A249" s="259" t="s">
        <v>2643</v>
      </c>
      <c r="B249" s="260">
        <f>'Dry_Litterbag Placem_Collection'!A30</f>
        <v>28</v>
      </c>
      <c r="C249" s="260" t="str">
        <f>'Dry_Litterbag Placem_Collection'!B30</f>
        <v>Makao</v>
      </c>
      <c r="D249" s="260" t="s">
        <v>2643</v>
      </c>
      <c r="E249" s="260" t="s">
        <v>2644</v>
      </c>
      <c r="F249" s="260">
        <v>4</v>
      </c>
      <c r="G249" s="260" t="s">
        <v>3804</v>
      </c>
      <c r="H249" s="261" t="str">
        <f>'Dry_Litterbag Placem_Collection'!C30</f>
        <v>Dry_Ag4_T4</v>
      </c>
      <c r="I249" s="262" t="s">
        <v>2525</v>
      </c>
      <c r="J249" s="269" t="s">
        <v>298</v>
      </c>
      <c r="K249" s="260" t="str">
        <f>IF(ISBLANK('Dry_Litterbag Placem_Collection'!K30),"","R"&amp;""&amp;'Dry_Litterbag Placem_Collection'!K30)</f>
        <v>R705</v>
      </c>
      <c r="L249" s="264">
        <f>IFERROR(INDEX('Green_rooibos initial weight'!$C$5:$C$2000,MATCH(K249, 'Green_rooibos initial weight'!$A$5:$A$2000,0)),"")</f>
        <v>2.1859999999999999</v>
      </c>
      <c r="M249" s="264">
        <f>IFERROR(L249-(TBIcalc!$Q$9+TBIcalc!$Q$10),"")</f>
        <v>1.9361999999999999</v>
      </c>
      <c r="N249" s="385">
        <f>AVERAGE(Ashed_controlls!$K$12:$K$14)</f>
        <v>2.2816647271287041</v>
      </c>
      <c r="O249" s="264">
        <f t="shared" si="16"/>
        <v>1.8920224075533341</v>
      </c>
      <c r="P249" s="264">
        <f>IFERROR(INDEX('Both teabags AfterDry'!$D$2:$D$2000,MATCH(K249,'Both teabags AfterDry'!$A$2:$A$2000,0)),"")</f>
        <v>2.0167999999999999</v>
      </c>
      <c r="Q249" s="264">
        <f>IFERROR(IF(P249&gt;0,P249-(TBIcalc!$Q$9),""),"")</f>
        <v>1.8661999999999999</v>
      </c>
      <c r="R249" s="275">
        <f>IFERROR(INDEX('Ashed teabags dry'!$K$2:$K$2000,MATCH(K249,'Ashed teabags dry'!$A$2:$A$2000,0)),"")</f>
        <v>3.6201222378937139</v>
      </c>
      <c r="S249" s="275">
        <f t="shared" si="17"/>
        <v>1.7986412787964274</v>
      </c>
      <c r="T249" s="265">
        <f>IF('Dry_Litterbag Placem_Collection'!E30="","",'Dry_Litterbag Placem_Collection'!E30)</f>
        <v>42936</v>
      </c>
      <c r="U249" s="265">
        <f>IF('Dry_Litterbag Placem_Collection'!G30="","",'Dry_Litterbag Placem_Collection'!G30)</f>
        <v>43007</v>
      </c>
      <c r="V249" s="266">
        <f t="shared" si="15"/>
        <v>71</v>
      </c>
      <c r="W249" s="264">
        <f t="shared" si="18"/>
        <v>7.0000000000000062E-2</v>
      </c>
      <c r="X249" s="264">
        <f t="shared" si="19"/>
        <v>9.3381128756906628E-2</v>
      </c>
      <c r="Y249" s="268">
        <f>IFERROR(INDEX(Rainfall_Dry!$O$2:$O$217,MATCH(B249, Rainfall_Dry!$A$2:$A$217,0)),"")</f>
        <v>6.900000125</v>
      </c>
      <c r="Z249" s="257">
        <v>51.960000000000008</v>
      </c>
      <c r="AA249" s="257">
        <v>18.919999999999995</v>
      </c>
      <c r="AB249" s="257">
        <v>29.120000000000005</v>
      </c>
      <c r="AC249" s="258" t="s">
        <v>2657</v>
      </c>
      <c r="AD249" s="257">
        <v>4.8529324790537203</v>
      </c>
      <c r="AE249" t="str">
        <f>IF('WetLitterbags placem_collection'!AB30="","",'WetLitterbags placem_collection'!AB30)</f>
        <v/>
      </c>
      <c r="AF249" t="str">
        <f>IF('WetLitterbags placem_collection'!Z30="","",'WetLitterbags placem_collection'!Z30)</f>
        <v/>
      </c>
      <c r="AG249" s="243" t="str">
        <f>IF('WetLitterbags placem_collection'!AA30="","",'WetLitterbags placem_collection'!AA30)</f>
        <v/>
      </c>
      <c r="AH249" t="str">
        <f>IF('WetLitterbags placem_collection'!AC30="","",'WetLitterbags placem_collection'!AC30)</f>
        <v/>
      </c>
      <c r="AI249">
        <f>IFERROR(AVERAGE('Dry_Litterbag Placem_Collection'!O30,'Dry_Litterbag Placem_Collection'!R30),"")</f>
        <v>9.1000000000000014</v>
      </c>
      <c r="AJ249" s="268">
        <f>IFERROR(AVERAGE('Dry_Litterbag Placem_Collection'!N30,'Dry_Litterbag Placem_Collection'!Q30),"")</f>
        <v>25.700000000000003</v>
      </c>
      <c r="AK249" s="267">
        <f>INDEX(Coordinates!$B$2:$B$197,MATCH(H249,Coordinates!$J$2:$J$197,0))</f>
        <v>-3.3850070369999998</v>
      </c>
      <c r="AL249" s="267">
        <f>INDEX(Coordinates!$C$2:$C$197,MATCH(H249,Coordinates!$J$2:$J$197,0))</f>
        <v>34.818888960000002</v>
      </c>
      <c r="AM249" s="267" t="str">
        <f>IF(ISNUMBER(SEARCH("C", 'Dry_Litterbag Placem_Collection'!T30)),"YES","NO")</f>
        <v>NO</v>
      </c>
      <c r="AN249" s="267" t="str">
        <f>IF(ISNUMBER(SEARCH("H", 'Dry_Litterbag Placem_Collection'!T30)),"YES","NO")</f>
        <v>NO</v>
      </c>
      <c r="AO249" s="267" t="str">
        <f>IF(ISNUMBER(SEARCH("R", 'Dry_Litterbag Placem_Collection'!T30)),"YES","NO")</f>
        <v>NO</v>
      </c>
    </row>
    <row r="250" spans="1:41" ht="15" customHeight="1">
      <c r="A250" s="259" t="s">
        <v>2643</v>
      </c>
      <c r="B250" s="260">
        <f>'Dry_Litterbag Placem_Collection'!A31</f>
        <v>29</v>
      </c>
      <c r="C250" s="260" t="str">
        <f>'Dry_Litterbag Placem_Collection'!B31</f>
        <v>Makao</v>
      </c>
      <c r="D250" s="260" t="s">
        <v>2643</v>
      </c>
      <c r="E250" s="260" t="s">
        <v>2644</v>
      </c>
      <c r="F250" s="260">
        <v>4</v>
      </c>
      <c r="G250" s="260" t="s">
        <v>3804</v>
      </c>
      <c r="H250" s="261" t="str">
        <f>'Dry_Litterbag Placem_Collection'!C31</f>
        <v>Dry_Ag4_T5</v>
      </c>
      <c r="I250" s="262" t="s">
        <v>2525</v>
      </c>
      <c r="J250" s="269" t="s">
        <v>298</v>
      </c>
      <c r="K250" s="260" t="str">
        <f>IF(ISBLANK('Dry_Litterbag Placem_Collection'!K31),"","R"&amp;""&amp;'Dry_Litterbag Placem_Collection'!K31)</f>
        <v>R305</v>
      </c>
      <c r="L250" s="264">
        <f>IFERROR(INDEX('Green_rooibos initial weight'!$C$5:$C$2000,MATCH(K250, 'Green_rooibos initial weight'!$A$5:$A$2000,0)),"")</f>
        <v>2.2829999999999999</v>
      </c>
      <c r="M250" s="264">
        <f>IFERROR(L250-(TBIcalc!$Q$9+TBIcalc!$Q$10),"")</f>
        <v>2.0331999999999999</v>
      </c>
      <c r="N250" s="385">
        <f>AVERAGE(Ashed_controlls!$K$12:$K$14)</f>
        <v>2.2816647271287041</v>
      </c>
      <c r="O250" s="264">
        <f t="shared" si="16"/>
        <v>1.9868091927680191</v>
      </c>
      <c r="P250" s="264">
        <f>IFERROR(INDEX('Both teabags AfterDry'!$D$2:$D$2000,MATCH(K250,'Both teabags AfterDry'!$A$2:$A$2000,0)),"")</f>
        <v>2.0718999999999999</v>
      </c>
      <c r="Q250" s="264">
        <f>IFERROR(IF(P250&gt;0,P250-(TBIcalc!$Q$9),""),"")</f>
        <v>1.9212999999999998</v>
      </c>
      <c r="R250" s="275">
        <f>IFERROR(INDEX('Ashed teabags dry'!$K$2:$K$2000,MATCH(K250,'Ashed teabags dry'!$A$2:$A$2000,0)),"")</f>
        <v>2.7534965034964429</v>
      </c>
      <c r="S250" s="275">
        <f t="shared" si="17"/>
        <v>1.8683970716783227</v>
      </c>
      <c r="T250" s="265">
        <f>IF('Dry_Litterbag Placem_Collection'!E31="","",'Dry_Litterbag Placem_Collection'!E31)</f>
        <v>42936</v>
      </c>
      <c r="U250" s="265">
        <f>IF('Dry_Litterbag Placem_Collection'!G31="","",'Dry_Litterbag Placem_Collection'!G31)</f>
        <v>43007</v>
      </c>
      <c r="V250" s="266">
        <f t="shared" si="15"/>
        <v>71</v>
      </c>
      <c r="W250" s="264">
        <f t="shared" si="18"/>
        <v>0.11190000000000011</v>
      </c>
      <c r="X250" s="264">
        <f t="shared" si="19"/>
        <v>0.11841212108969645</v>
      </c>
      <c r="Y250" s="268">
        <f>IFERROR(INDEX(Rainfall_Dry!$O$2:$O$217,MATCH(B250, Rainfall_Dry!$A$2:$A$217,0)),"")</f>
        <v>6.900000125</v>
      </c>
      <c r="Z250" s="257">
        <v>51.960000000000008</v>
      </c>
      <c r="AA250" s="257">
        <v>18.919999999999995</v>
      </c>
      <c r="AB250" s="257">
        <v>29.120000000000005</v>
      </c>
      <c r="AC250" s="258" t="s">
        <v>2657</v>
      </c>
      <c r="AD250" s="257">
        <v>5.8529324790537203</v>
      </c>
      <c r="AE250" t="str">
        <f>IF('WetLitterbags placem_collection'!AB31="","",'WetLitterbags placem_collection'!AB31)</f>
        <v/>
      </c>
      <c r="AF250" t="str">
        <f>IF('WetLitterbags placem_collection'!Z31="","",'WetLitterbags placem_collection'!Z31)</f>
        <v/>
      </c>
      <c r="AG250" s="243" t="str">
        <f>IF('WetLitterbags placem_collection'!AA31="","",'WetLitterbags placem_collection'!AA31)</f>
        <v/>
      </c>
      <c r="AH250" t="str">
        <f>IF('WetLitterbags placem_collection'!AC31="","",'WetLitterbags placem_collection'!AC31)</f>
        <v/>
      </c>
      <c r="AI250">
        <f>IFERROR(AVERAGE('Dry_Litterbag Placem_Collection'!O31,'Dry_Litterbag Placem_Collection'!R31),"")</f>
        <v>15.15</v>
      </c>
      <c r="AJ250" s="268">
        <f>IFERROR(AVERAGE('Dry_Litterbag Placem_Collection'!N31,'Dry_Litterbag Placem_Collection'!Q31),"")</f>
        <v>25.65</v>
      </c>
      <c r="AK250" s="267">
        <f>INDEX(Coordinates!$B$2:$B$197,MATCH(H250,Coordinates!$J$2:$J$197,0))</f>
        <v>-3.3849480280000002</v>
      </c>
      <c r="AL250" s="267">
        <f>INDEX(Coordinates!$C$2:$C$197,MATCH(H250,Coordinates!$J$2:$J$197,0))</f>
        <v>34.818854010000003</v>
      </c>
      <c r="AM250" s="267" t="str">
        <f>IF(ISNUMBER(SEARCH("C", 'Dry_Litterbag Placem_Collection'!T31)),"YES","NO")</f>
        <v>NO</v>
      </c>
      <c r="AN250" s="267" t="str">
        <f>IF(ISNUMBER(SEARCH("H", 'Dry_Litterbag Placem_Collection'!T31)),"YES","NO")</f>
        <v>NO</v>
      </c>
      <c r="AO250" s="267" t="str">
        <f>IF(ISNUMBER(SEARCH("R", 'Dry_Litterbag Placem_Collection'!T31)),"YES","NO")</f>
        <v>NO</v>
      </c>
    </row>
    <row r="251" spans="1:41" ht="15" customHeight="1">
      <c r="A251" s="259" t="s">
        <v>2643</v>
      </c>
      <c r="B251" s="260">
        <f>'Dry_Litterbag Placem_Collection'!A32</f>
        <v>30</v>
      </c>
      <c r="C251" s="260" t="str">
        <f>'Dry_Litterbag Placem_Collection'!B32</f>
        <v>Makao</v>
      </c>
      <c r="D251" s="260" t="s">
        <v>2643</v>
      </c>
      <c r="E251" s="260" t="s">
        <v>2644</v>
      </c>
      <c r="F251" s="260">
        <v>4</v>
      </c>
      <c r="G251" s="260" t="s">
        <v>3804</v>
      </c>
      <c r="H251" s="261" t="str">
        <f>'Dry_Litterbag Placem_Collection'!C32</f>
        <v>Dry_Ag4_T6</v>
      </c>
      <c r="I251" s="262" t="s">
        <v>2525</v>
      </c>
      <c r="J251" s="269" t="s">
        <v>298</v>
      </c>
      <c r="K251" s="260" t="str">
        <f>IF(ISBLANK('Dry_Litterbag Placem_Collection'!K32),"","R"&amp;""&amp;'Dry_Litterbag Placem_Collection'!K32)</f>
        <v>R667</v>
      </c>
      <c r="L251" s="264">
        <f>IFERROR(INDEX('Green_rooibos initial weight'!$C$5:$C$2000,MATCH(K251, 'Green_rooibos initial weight'!$A$5:$A$2000,0)),"")</f>
        <v>2.1949999999999998</v>
      </c>
      <c r="M251" s="264">
        <f>IFERROR(L251-(TBIcalc!$Q$9+TBIcalc!$Q$10),"")</f>
        <v>1.9451999999999998</v>
      </c>
      <c r="N251" s="385">
        <f>AVERAGE(Ashed_controlls!$K$12:$K$14)</f>
        <v>2.2816647271287041</v>
      </c>
      <c r="O251" s="264">
        <f t="shared" si="16"/>
        <v>1.9008170577278922</v>
      </c>
      <c r="P251" s="264">
        <f>IFERROR(INDEX('Both teabags AfterDry'!$D$2:$D$2000,MATCH(K251,'Both teabags AfterDry'!$A$2:$A$2000,0)),"")</f>
        <v>2.0158999999999998</v>
      </c>
      <c r="Q251" s="264">
        <f>IFERROR(IF(P251&gt;0,P251-(TBIcalc!$Q$9),""),"")</f>
        <v>1.8652999999999997</v>
      </c>
      <c r="R251" s="275">
        <f>IFERROR(INDEX('Ashed teabags dry'!$K$2:$K$2000,MATCH(K251,'Ashed teabags dry'!$A$2:$A$2000,0)),"")</f>
        <v>2.0813623462635014</v>
      </c>
      <c r="S251" s="275">
        <f t="shared" si="17"/>
        <v>1.8264763481551467</v>
      </c>
      <c r="T251" s="265">
        <f>IF('Dry_Litterbag Placem_Collection'!E32="","",'Dry_Litterbag Placem_Collection'!E32)</f>
        <v>42936</v>
      </c>
      <c r="U251" s="265">
        <f>IF('Dry_Litterbag Placem_Collection'!G32="","",'Dry_Litterbag Placem_Collection'!G32)</f>
        <v>43007</v>
      </c>
      <c r="V251" s="266">
        <f t="shared" si="15"/>
        <v>71</v>
      </c>
      <c r="W251" s="264">
        <f t="shared" si="18"/>
        <v>7.9900000000000082E-2</v>
      </c>
      <c r="X251" s="264">
        <f t="shared" si="19"/>
        <v>7.4340709572745522E-2</v>
      </c>
      <c r="Y251" s="268">
        <f>IFERROR(INDEX(Rainfall_Dry!$O$2:$O$217,MATCH(B251, Rainfall_Dry!$A$2:$A$217,0)),"")</f>
        <v>6.900000125</v>
      </c>
      <c r="Z251" s="257">
        <v>51.960000000000008</v>
      </c>
      <c r="AA251" s="257">
        <v>18.919999999999995</v>
      </c>
      <c r="AB251" s="257">
        <v>29.120000000000005</v>
      </c>
      <c r="AC251" s="258" t="s">
        <v>2657</v>
      </c>
      <c r="AD251" s="257">
        <v>6.8529324790537203</v>
      </c>
      <c r="AE251" t="str">
        <f>IF('WetLitterbags placem_collection'!AB32="","",'WetLitterbags placem_collection'!AB32)</f>
        <v/>
      </c>
      <c r="AF251" t="str">
        <f>IF('WetLitterbags placem_collection'!Z32="","",'WetLitterbags placem_collection'!Z32)</f>
        <v/>
      </c>
      <c r="AG251" s="243" t="str">
        <f>IF('WetLitterbags placem_collection'!AA32="","",'WetLitterbags placem_collection'!AA32)</f>
        <v/>
      </c>
      <c r="AH251" t="str">
        <f>IF('WetLitterbags placem_collection'!AC32="","",'WetLitterbags placem_collection'!AC32)</f>
        <v/>
      </c>
      <c r="AI251">
        <f>IFERROR(AVERAGE('Dry_Litterbag Placem_Collection'!O32,'Dry_Litterbag Placem_Collection'!R32),"")</f>
        <v>9.3000000000000007</v>
      </c>
      <c r="AJ251" s="268">
        <f>IFERROR(AVERAGE('Dry_Litterbag Placem_Collection'!N32,'Dry_Litterbag Placem_Collection'!Q32),"")</f>
        <v>24</v>
      </c>
      <c r="AK251" s="267">
        <f>INDEX(Coordinates!$B$2:$B$197,MATCH(H251,Coordinates!$J$2:$J$197,0))</f>
        <v>-3.38496496</v>
      </c>
      <c r="AL251" s="267">
        <f>INDEX(Coordinates!$C$2:$C$197,MATCH(H251,Coordinates!$J$2:$J$197,0))</f>
        <v>34.818790970000002</v>
      </c>
      <c r="AM251" s="267" t="str">
        <f>IF(ISNUMBER(SEARCH("C", 'Dry_Litterbag Placem_Collection'!T32)),"YES","NO")</f>
        <v>NO</v>
      </c>
      <c r="AN251" s="267" t="str">
        <f>IF(ISNUMBER(SEARCH("H", 'Dry_Litterbag Placem_Collection'!T32)),"YES","NO")</f>
        <v>NO</v>
      </c>
      <c r="AO251" s="267" t="str">
        <f>IF(ISNUMBER(SEARCH("R", 'Dry_Litterbag Placem_Collection'!T32)),"YES","NO")</f>
        <v>NO</v>
      </c>
    </row>
    <row r="252" spans="1:41" ht="15" customHeight="1">
      <c r="A252" s="259" t="s">
        <v>2643</v>
      </c>
      <c r="B252" s="260">
        <f>'Dry_Litterbag Placem_Collection'!A33</f>
        <v>31</v>
      </c>
      <c r="C252" s="260" t="str">
        <f>'Dry_Litterbag Placem_Collection'!B33</f>
        <v>Makao</v>
      </c>
      <c r="D252" s="260" t="s">
        <v>2643</v>
      </c>
      <c r="E252" s="260" t="s">
        <v>2644</v>
      </c>
      <c r="F252" s="260">
        <v>4</v>
      </c>
      <c r="G252" s="260" t="s">
        <v>3804</v>
      </c>
      <c r="H252" s="261" t="str">
        <f>'Dry_Litterbag Placem_Collection'!C33</f>
        <v>Dry_Ag4_T7</v>
      </c>
      <c r="I252" s="262" t="s">
        <v>2525</v>
      </c>
      <c r="J252" s="269" t="s">
        <v>298</v>
      </c>
      <c r="K252" s="260" t="str">
        <f>IF(ISBLANK('Dry_Litterbag Placem_Collection'!K33),"","R"&amp;""&amp;'Dry_Litterbag Placem_Collection'!K33)</f>
        <v/>
      </c>
      <c r="L252" s="264" t="str">
        <f>IFERROR(INDEX('Green_rooibos initial weight'!$C$5:$C$2000,MATCH(K252, 'Green_rooibos initial weight'!$A$5:$A$2000,0)),"")</f>
        <v/>
      </c>
      <c r="M252" s="264" t="str">
        <f>IFERROR(L252-(TBIcalc!$Q$9+TBIcalc!$Q$10),"")</f>
        <v/>
      </c>
      <c r="N252" s="385">
        <f>AVERAGE(Ashed_controlls!$K$12:$K$14)</f>
        <v>2.2816647271287041</v>
      </c>
      <c r="O252" s="264" t="str">
        <f t="shared" si="16"/>
        <v/>
      </c>
      <c r="P252" s="264" t="str">
        <f>IFERROR(INDEX('Both teabags AfterDry'!$D$2:$D$2000,MATCH(K252,'Both teabags AfterDry'!$A$2:$A$2000,0)),"")</f>
        <v/>
      </c>
      <c r="Q252" s="264" t="str">
        <f>IFERROR(IF(P252&gt;0,P252-(TBIcalc!$Q$9),""),"")</f>
        <v/>
      </c>
      <c r="R252" s="275" t="str">
        <f>IFERROR(INDEX('Ashed teabags dry'!$K$2:$K$2000,MATCH(K252,'Ashed teabags dry'!$A$2:$A$2000,0)),"")</f>
        <v/>
      </c>
      <c r="S252" s="275" t="str">
        <f t="shared" si="17"/>
        <v/>
      </c>
      <c r="T252" s="265" t="str">
        <f>IF('Dry_Litterbag Placem_Collection'!E33="","",'Dry_Litterbag Placem_Collection'!E33)</f>
        <v/>
      </c>
      <c r="U252" s="265" t="str">
        <f>IF('Dry_Litterbag Placem_Collection'!G33="","",'Dry_Litterbag Placem_Collection'!G33)</f>
        <v/>
      </c>
      <c r="V252" s="266" t="str">
        <f t="shared" si="15"/>
        <v/>
      </c>
      <c r="W252" s="264" t="str">
        <f t="shared" si="18"/>
        <v/>
      </c>
      <c r="X252" s="264" t="str">
        <f t="shared" si="19"/>
        <v/>
      </c>
      <c r="Y252" s="268" t="str">
        <f>IFERROR(INDEX(Rainfall_Dry!$O$2:$O$217,MATCH(B252, Rainfall_Dry!$A$2:$A$217,0)),"")</f>
        <v/>
      </c>
      <c r="Z252" s="257">
        <v>51.960000000000008</v>
      </c>
      <c r="AA252" s="257">
        <v>18.919999999999995</v>
      </c>
      <c r="AB252" s="257">
        <v>29.120000000000005</v>
      </c>
      <c r="AC252" s="258" t="s">
        <v>2657</v>
      </c>
      <c r="AD252" s="257">
        <v>7.8529324790537203</v>
      </c>
      <c r="AE252" t="str">
        <f>IF('WetLitterbags placem_collection'!AB33="","",'WetLitterbags placem_collection'!AB33)</f>
        <v/>
      </c>
      <c r="AF252" t="str">
        <f>IF('WetLitterbags placem_collection'!Z33="","",'WetLitterbags placem_collection'!Z33)</f>
        <v/>
      </c>
      <c r="AG252" s="243" t="str">
        <f>IF('WetLitterbags placem_collection'!AA33="","",'WetLitterbags placem_collection'!AA33)</f>
        <v/>
      </c>
      <c r="AH252" t="str">
        <f>IF('WetLitterbags placem_collection'!AC33="","",'WetLitterbags placem_collection'!AC33)</f>
        <v/>
      </c>
      <c r="AI252" t="str">
        <f>IFERROR(AVERAGE('Dry_Litterbag Placem_Collection'!O33,'Dry_Litterbag Placem_Collection'!R33),"")</f>
        <v/>
      </c>
      <c r="AJ252" s="268" t="str">
        <f>IFERROR(AVERAGE('Dry_Litterbag Placem_Collection'!N33,'Dry_Litterbag Placem_Collection'!Q33),"")</f>
        <v/>
      </c>
      <c r="AK252" s="267">
        <f>INDEX(Coordinates!$B$2:$B$197,MATCH(H252,Coordinates!$J$2:$J$197,0))</f>
        <v>-3.3848409909999999</v>
      </c>
      <c r="AL252" s="267">
        <f>INDEX(Coordinates!$C$2:$C$197,MATCH(H252,Coordinates!$J$2:$J$197,0))</f>
        <v>34.818838999999997</v>
      </c>
      <c r="AM252" s="267" t="str">
        <f>IF(ISNUMBER(SEARCH("C", 'Dry_Litterbag Placem_Collection'!T33)),"YES","NO")</f>
        <v>NO</v>
      </c>
      <c r="AN252" s="267" t="str">
        <f>IF(ISNUMBER(SEARCH("H", 'Dry_Litterbag Placem_Collection'!T33)),"YES","NO")</f>
        <v>NO</v>
      </c>
      <c r="AO252" s="267" t="str">
        <f>IF(ISNUMBER(SEARCH("R", 'Dry_Litterbag Placem_Collection'!T33)),"YES","NO")</f>
        <v>NO</v>
      </c>
    </row>
    <row r="253" spans="1:41" ht="15" customHeight="1">
      <c r="A253" s="259" t="s">
        <v>2643</v>
      </c>
      <c r="B253" s="260">
        <f>'Dry_Litterbag Placem_Collection'!A34</f>
        <v>32</v>
      </c>
      <c r="C253" s="260" t="str">
        <f>'Dry_Litterbag Placem_Collection'!B34</f>
        <v>Makao</v>
      </c>
      <c r="D253" s="260" t="s">
        <v>2643</v>
      </c>
      <c r="E253" s="260" t="s">
        <v>2644</v>
      </c>
      <c r="F253" s="260">
        <v>4</v>
      </c>
      <c r="G253" s="260" t="s">
        <v>3804</v>
      </c>
      <c r="H253" s="261" t="str">
        <f>'Dry_Litterbag Placem_Collection'!C34</f>
        <v>Dry_Ag4_T8</v>
      </c>
      <c r="I253" s="262" t="s">
        <v>2525</v>
      </c>
      <c r="J253" s="269" t="s">
        <v>298</v>
      </c>
      <c r="K253" s="260" t="str">
        <f>IF(ISBLANK('Dry_Litterbag Placem_Collection'!K34),"","R"&amp;""&amp;'Dry_Litterbag Placem_Collection'!K34)</f>
        <v>R743</v>
      </c>
      <c r="L253" s="264">
        <f>IFERROR(INDEX('Green_rooibos initial weight'!$C$5:$C$2000,MATCH(K253, 'Green_rooibos initial weight'!$A$5:$A$2000,0)),"")</f>
        <v>2.2480000000000002</v>
      </c>
      <c r="M253" s="264">
        <f>IFERROR(L253-(TBIcalc!$Q$9+TBIcalc!$Q$10),"")</f>
        <v>1.9982000000000002</v>
      </c>
      <c r="N253" s="385">
        <f>AVERAGE(Ashed_controlls!$K$12:$K$14)</f>
        <v>2.2816647271287041</v>
      </c>
      <c r="O253" s="264">
        <f t="shared" si="16"/>
        <v>1.9526077754225144</v>
      </c>
      <c r="P253" s="264">
        <f>IFERROR(INDEX('Both teabags AfterDry'!$D$2:$D$2000,MATCH(K253,'Both teabags AfterDry'!$A$2:$A$2000,0)),"")</f>
        <v>1.9944999999999999</v>
      </c>
      <c r="Q253" s="264">
        <f>IFERROR(IF(P253&gt;0,P253-(TBIcalc!$Q$9),""),"")</f>
        <v>1.8438999999999999</v>
      </c>
      <c r="R253" s="275">
        <f>IFERROR(INDEX('Ashed teabags dry'!$K$2:$K$2000,MATCH(K253,'Ashed teabags dry'!$A$2:$A$2000,0)),"")</f>
        <v>3.3151904997520401</v>
      </c>
      <c r="S253" s="275">
        <f t="shared" si="17"/>
        <v>1.7827712023750719</v>
      </c>
      <c r="T253" s="265">
        <f>IF('Dry_Litterbag Placem_Collection'!E34="","",'Dry_Litterbag Placem_Collection'!E34)</f>
        <v>42936</v>
      </c>
      <c r="U253" s="265">
        <f>IF('Dry_Litterbag Placem_Collection'!G34="","",'Dry_Litterbag Placem_Collection'!G34)</f>
        <v>43007</v>
      </c>
      <c r="V253" s="266">
        <f t="shared" si="15"/>
        <v>71</v>
      </c>
      <c r="W253" s="264">
        <f t="shared" si="18"/>
        <v>0.15430000000000033</v>
      </c>
      <c r="X253" s="264">
        <f t="shared" si="19"/>
        <v>0.16983657304744249</v>
      </c>
      <c r="Y253" s="268">
        <f>IFERROR(INDEX(Rainfall_Dry!$O$2:$O$217,MATCH(B253, Rainfall_Dry!$A$2:$A$217,0)),"")</f>
        <v>6.900000125</v>
      </c>
      <c r="Z253" s="257">
        <v>51.960000000000008</v>
      </c>
      <c r="AA253" s="257">
        <v>18.919999999999995</v>
      </c>
      <c r="AB253" s="257">
        <v>29.120000000000005</v>
      </c>
      <c r="AC253" s="258" t="s">
        <v>2657</v>
      </c>
      <c r="AD253" s="257">
        <v>8.8529324790537203</v>
      </c>
      <c r="AE253" t="str">
        <f>IF('WetLitterbags placem_collection'!AB34="","",'WetLitterbags placem_collection'!AB34)</f>
        <v/>
      </c>
      <c r="AF253" t="str">
        <f>IF('WetLitterbags placem_collection'!Z34="","",'WetLitterbags placem_collection'!Z34)</f>
        <v/>
      </c>
      <c r="AG253" s="243" t="str">
        <f>IF('WetLitterbags placem_collection'!AA34="","",'WetLitterbags placem_collection'!AA34)</f>
        <v/>
      </c>
      <c r="AH253" t="str">
        <f>IF('WetLitterbags placem_collection'!AC34="","",'WetLitterbags placem_collection'!AC34)</f>
        <v/>
      </c>
      <c r="AI253">
        <f>IFERROR(AVERAGE('Dry_Litterbag Placem_Collection'!O34,'Dry_Litterbag Placem_Collection'!R34),"")</f>
        <v>11.850000000000001</v>
      </c>
      <c r="AJ253" s="268">
        <f>IFERROR(AVERAGE('Dry_Litterbag Placem_Collection'!N34,'Dry_Litterbag Placem_Collection'!Q34),"")</f>
        <v>25.45</v>
      </c>
      <c r="AK253" s="267">
        <f>INDEX(Coordinates!$B$2:$B$197,MATCH(H253,Coordinates!$J$2:$J$197,0))</f>
        <v>-3.3849010060000002</v>
      </c>
      <c r="AL253" s="267">
        <f>INDEX(Coordinates!$C$2:$C$197,MATCH(H253,Coordinates!$J$2:$J$197,0))</f>
        <v>34.818979990000003</v>
      </c>
      <c r="AM253" s="267" t="str">
        <f>IF(ISNUMBER(SEARCH("C", 'Dry_Litterbag Placem_Collection'!T34)),"YES","NO")</f>
        <v>NO</v>
      </c>
      <c r="AN253" s="267" t="str">
        <f>IF(ISNUMBER(SEARCH("H", 'Dry_Litterbag Placem_Collection'!T34)),"YES","NO")</f>
        <v>NO</v>
      </c>
      <c r="AO253" s="267" t="str">
        <f>IF(ISNUMBER(SEARCH("R", 'Dry_Litterbag Placem_Collection'!T34)),"YES","NO")</f>
        <v>NO</v>
      </c>
    </row>
    <row r="254" spans="1:41" ht="15" customHeight="1">
      <c r="A254" s="259" t="s">
        <v>2643</v>
      </c>
      <c r="B254" s="260">
        <f>'Dry_Litterbag Placem_Collection'!A35</f>
        <v>33</v>
      </c>
      <c r="C254" s="260" t="str">
        <f>'Dry_Litterbag Placem_Collection'!B35</f>
        <v>Makao</v>
      </c>
      <c r="D254" s="260" t="s">
        <v>2643</v>
      </c>
      <c r="E254" s="260" t="s">
        <v>20</v>
      </c>
      <c r="F254" s="260">
        <v>1</v>
      </c>
      <c r="G254" s="260" t="s">
        <v>3805</v>
      </c>
      <c r="H254" s="261" t="str">
        <f>'Dry_Litterbag Placem_Collection'!C35</f>
        <v>Dry_P1_T1</v>
      </c>
      <c r="I254" s="262" t="s">
        <v>2525</v>
      </c>
      <c r="J254" s="269" t="s">
        <v>298</v>
      </c>
      <c r="K254" s="260" t="str">
        <f>IF(ISBLANK('Dry_Litterbag Placem_Collection'!K35),"","R"&amp;""&amp;'Dry_Litterbag Placem_Collection'!K35)</f>
        <v>R769</v>
      </c>
      <c r="L254" s="264">
        <f>IFERROR(INDEX('Green_rooibos initial weight'!$C$5:$C$2000,MATCH(K254, 'Green_rooibos initial weight'!$A$5:$A$2000,0)),"")</f>
        <v>2.2480000000000002</v>
      </c>
      <c r="M254" s="264">
        <f>IFERROR(L254-(TBIcalc!$Q$9+TBIcalc!$Q$10),"")</f>
        <v>1.9982000000000002</v>
      </c>
      <c r="N254" s="385">
        <f>AVERAGE(Ashed_controlls!$K$12:$K$14)</f>
        <v>2.2816647271287041</v>
      </c>
      <c r="O254" s="264">
        <f t="shared" si="16"/>
        <v>1.9526077754225144</v>
      </c>
      <c r="P254" s="264">
        <f>IFERROR(INDEX('Both teabags AfterDry'!$D$2:$D$2000,MATCH(K254,'Both teabags AfterDry'!$A$2:$A$2000,0)),"")</f>
        <v>1.9911000000000001</v>
      </c>
      <c r="Q254" s="264">
        <f>IFERROR(IF(P254&gt;0,P254-(TBIcalc!$Q$9),""),"")</f>
        <v>1.8405</v>
      </c>
      <c r="R254" s="275">
        <f>IFERROR(INDEX('Ashed teabags dry'!$K$2:$K$2000,MATCH(K254,'Ashed teabags dry'!$A$2:$A$2000,0)),"")</f>
        <v>2.7544351073765245</v>
      </c>
      <c r="S254" s="275">
        <f t="shared" si="17"/>
        <v>1.7898046218487351</v>
      </c>
      <c r="T254" s="265">
        <f>IF('Dry_Litterbag Placem_Collection'!E35="","",'Dry_Litterbag Placem_Collection'!E35)</f>
        <v>42938</v>
      </c>
      <c r="U254" s="265">
        <f>IF('Dry_Litterbag Placem_Collection'!G35="","",'Dry_Litterbag Placem_Collection'!G35)</f>
        <v>43005</v>
      </c>
      <c r="V254" s="266">
        <f t="shared" si="15"/>
        <v>67</v>
      </c>
      <c r="W254" s="264">
        <f t="shared" si="18"/>
        <v>0.15770000000000017</v>
      </c>
      <c r="X254" s="264">
        <f t="shared" si="19"/>
        <v>0.16280315357377928</v>
      </c>
      <c r="Y254" s="268">
        <f>IFERROR(INDEX(Rainfall_Dry!$O$2:$O$217,MATCH(B254, Rainfall_Dry!$A$2:$A$217,0)),"")</f>
        <v>6.5250000359999998</v>
      </c>
      <c r="Z254" s="257">
        <v>23.96</v>
      </c>
      <c r="AA254" s="257">
        <v>0.91999999999999804</v>
      </c>
      <c r="AB254" s="257">
        <v>75.12</v>
      </c>
      <c r="AC254" s="258" t="s">
        <v>2654</v>
      </c>
      <c r="AD254" s="257">
        <v>1.2493839329719072</v>
      </c>
      <c r="AE254">
        <f>IF('WetLitterbags placem_collection'!AB35="","",'WetLitterbags placem_collection'!AB35)</f>
        <v>9.5</v>
      </c>
      <c r="AF254">
        <f>IF('WetLitterbags placem_collection'!Z35="","",'WetLitterbags placem_collection'!Z35)</f>
        <v>17.2</v>
      </c>
      <c r="AG254" s="243" t="str">
        <f>IF('WetLitterbags placem_collection'!AA35="","",'WetLitterbags placem_collection'!AA35)</f>
        <v>G</v>
      </c>
      <c r="AH254">
        <f>IF('WetLitterbags placem_collection'!AC35="","",'WetLitterbags placem_collection'!AC35)</f>
        <v>0</v>
      </c>
      <c r="AI254">
        <f>IFERROR(AVERAGE('Dry_Litterbag Placem_Collection'!O35,'Dry_Litterbag Placem_Collection'!R35),"")</f>
        <v>1.65</v>
      </c>
      <c r="AJ254" s="268">
        <f>IFERROR(AVERAGE('Dry_Litterbag Placem_Collection'!N35,'Dry_Litterbag Placem_Collection'!Q35),"")</f>
        <v>26.15</v>
      </c>
      <c r="AK254" s="267">
        <f>INDEX(Coordinates!$B$2:$B$197,MATCH(H254,Coordinates!$J$2:$J$197,0))</f>
        <v>-3.4092039989999998</v>
      </c>
      <c r="AL254" s="267">
        <f>INDEX(Coordinates!$C$2:$C$197,MATCH(H254,Coordinates!$J$2:$J$197,0))</f>
        <v>34.852751009999999</v>
      </c>
      <c r="AM254" s="267" t="str">
        <f>IF(ISNUMBER(SEARCH("C", 'Dry_Litterbag Placem_Collection'!T35)),"YES","NO")</f>
        <v>NO</v>
      </c>
      <c r="AN254" s="267" t="str">
        <f>IF(ISNUMBER(SEARCH("H", 'Dry_Litterbag Placem_Collection'!T35)),"YES","NO")</f>
        <v>NO</v>
      </c>
      <c r="AO254" s="267" t="str">
        <f>IF(ISNUMBER(SEARCH("R", 'Dry_Litterbag Placem_Collection'!T35)),"YES","NO")</f>
        <v>NO</v>
      </c>
    </row>
    <row r="255" spans="1:41" ht="15" customHeight="1">
      <c r="A255" s="259" t="s">
        <v>2643</v>
      </c>
      <c r="B255" s="260">
        <f>'Dry_Litterbag Placem_Collection'!A36</f>
        <v>34</v>
      </c>
      <c r="C255" s="260" t="str">
        <f>'Dry_Litterbag Placem_Collection'!B36</f>
        <v>Makao</v>
      </c>
      <c r="D255" s="260" t="s">
        <v>2643</v>
      </c>
      <c r="E255" s="260" t="s">
        <v>20</v>
      </c>
      <c r="F255" s="260">
        <v>1</v>
      </c>
      <c r="G255" s="260" t="s">
        <v>3805</v>
      </c>
      <c r="H255" s="261" t="str">
        <f>'Dry_Litterbag Placem_Collection'!C36</f>
        <v>Dry_P1_T2</v>
      </c>
      <c r="I255" s="262" t="s">
        <v>2525</v>
      </c>
      <c r="J255" s="269" t="s">
        <v>298</v>
      </c>
      <c r="K255" s="260" t="str">
        <f>IF(ISBLANK('Dry_Litterbag Placem_Collection'!K36),"","R"&amp;""&amp;'Dry_Litterbag Placem_Collection'!K36)</f>
        <v>R753</v>
      </c>
      <c r="L255" s="264">
        <f>IFERROR(INDEX('Green_rooibos initial weight'!$C$5:$C$2000,MATCH(K255, 'Green_rooibos initial weight'!$A$5:$A$2000,0)),"")</f>
        <v>2.2400000000000002</v>
      </c>
      <c r="M255" s="264">
        <f>IFERROR(L255-(TBIcalc!$Q$9+TBIcalc!$Q$10),"")</f>
        <v>1.9902000000000002</v>
      </c>
      <c r="N255" s="385">
        <f>AVERAGE(Ashed_controlls!$K$12:$K$14)</f>
        <v>2.2816647271287041</v>
      </c>
      <c r="O255" s="264">
        <f t="shared" si="16"/>
        <v>1.9447903086006848</v>
      </c>
      <c r="P255" s="264" t="str">
        <f>IFERROR(INDEX('Both teabags AfterDry'!$D$2:$D$2000,MATCH(K255,'Both teabags AfterDry'!$A$2:$A$2000,0)),"")</f>
        <v/>
      </c>
      <c r="Q255" s="264" t="str">
        <f>IFERROR(IF(P255&gt;0,P255-(TBIcalc!$Q$9),""),"")</f>
        <v/>
      </c>
      <c r="R255" s="275" t="str">
        <f>IFERROR(INDEX('Ashed teabags dry'!$K$2:$K$2000,MATCH(K255,'Ashed teabags dry'!$A$2:$A$2000,0)),"")</f>
        <v/>
      </c>
      <c r="S255" s="275" t="str">
        <f t="shared" si="17"/>
        <v/>
      </c>
      <c r="T255" s="265">
        <f>IF('Dry_Litterbag Placem_Collection'!E36="","",'Dry_Litterbag Placem_Collection'!E36)</f>
        <v>42938</v>
      </c>
      <c r="U255" s="265">
        <f>IF('Dry_Litterbag Placem_Collection'!G36="","",'Dry_Litterbag Placem_Collection'!G36)</f>
        <v>43005</v>
      </c>
      <c r="V255" s="266">
        <f t="shared" si="15"/>
        <v>67</v>
      </c>
      <c r="W255" s="264" t="str">
        <f t="shared" si="18"/>
        <v/>
      </c>
      <c r="X255" s="264" t="str">
        <f t="shared" si="19"/>
        <v/>
      </c>
      <c r="Y255" s="268">
        <f>IFERROR(INDEX(Rainfall_Dry!$O$2:$O$217,MATCH(B255, Rainfall_Dry!$A$2:$A$217,0)),"")</f>
        <v>6.5250000359999998</v>
      </c>
      <c r="Z255" s="257">
        <v>23.96</v>
      </c>
      <c r="AA255" s="257">
        <v>0.91999999999999804</v>
      </c>
      <c r="AB255" s="257">
        <v>75.12</v>
      </c>
      <c r="AC255" s="258" t="s">
        <v>2654</v>
      </c>
      <c r="AD255" s="257">
        <v>1.2493839329719072</v>
      </c>
      <c r="AE255">
        <f>IF('WetLitterbags placem_collection'!AB36="","",'WetLitterbags placem_collection'!AB36)</f>
        <v>6.5</v>
      </c>
      <c r="AF255">
        <f>IF('WetLitterbags placem_collection'!Z36="","",'WetLitterbags placem_collection'!Z36)</f>
        <v>14.2</v>
      </c>
      <c r="AG255" s="243" t="str">
        <f>IF('WetLitterbags placem_collection'!AA36="","",'WetLitterbags placem_collection'!AA36)</f>
        <v>G</v>
      </c>
      <c r="AH255">
        <f>IF('WetLitterbags placem_collection'!AC36="","",'WetLitterbags placem_collection'!AC36)</f>
        <v>0</v>
      </c>
      <c r="AI255">
        <f>IFERROR(AVERAGE('Dry_Litterbag Placem_Collection'!O36,'Dry_Litterbag Placem_Collection'!R36),"")</f>
        <v>3.25</v>
      </c>
      <c r="AJ255" s="268">
        <f>IFERROR(AVERAGE('Dry_Litterbag Placem_Collection'!N36,'Dry_Litterbag Placem_Collection'!Q36),"")</f>
        <v>26.9</v>
      </c>
      <c r="AK255" s="267">
        <f>INDEX(Coordinates!$B$2:$B$197,MATCH(H255,Coordinates!$J$2:$J$197,0))</f>
        <v>-3.4092350119999999</v>
      </c>
      <c r="AL255" s="267">
        <f>INDEX(Coordinates!$C$2:$C$197,MATCH(H255,Coordinates!$J$2:$J$197,0))</f>
        <v>34.852782019999999</v>
      </c>
      <c r="AM255" s="267" t="str">
        <f>IF(ISNUMBER(SEARCH("C", 'Dry_Litterbag Placem_Collection'!T36)),"YES","NO")</f>
        <v>NO</v>
      </c>
      <c r="AN255" s="267" t="str">
        <f>IF(ISNUMBER(SEARCH("H", 'Dry_Litterbag Placem_Collection'!T36)),"YES","NO")</f>
        <v>NO</v>
      </c>
      <c r="AO255" s="267" t="str">
        <f>IF(ISNUMBER(SEARCH("R", 'Dry_Litterbag Placem_Collection'!T36)),"YES","NO")</f>
        <v>NO</v>
      </c>
    </row>
    <row r="256" spans="1:41" ht="15" customHeight="1">
      <c r="A256" s="259" t="s">
        <v>2643</v>
      </c>
      <c r="B256" s="260">
        <f>'Dry_Litterbag Placem_Collection'!A37</f>
        <v>35</v>
      </c>
      <c r="C256" s="260" t="str">
        <f>'Dry_Litterbag Placem_Collection'!B37</f>
        <v>Makao</v>
      </c>
      <c r="D256" s="260" t="s">
        <v>2643</v>
      </c>
      <c r="E256" s="260" t="s">
        <v>20</v>
      </c>
      <c r="F256" s="260">
        <v>1</v>
      </c>
      <c r="G256" s="260" t="s">
        <v>3805</v>
      </c>
      <c r="H256" s="261" t="str">
        <f>'Dry_Litterbag Placem_Collection'!C37</f>
        <v>Dry_P1_T3</v>
      </c>
      <c r="I256" s="262" t="s">
        <v>2525</v>
      </c>
      <c r="J256" s="269" t="s">
        <v>298</v>
      </c>
      <c r="K256" s="260" t="str">
        <f>IF(ISBLANK('Dry_Litterbag Placem_Collection'!K37),"","R"&amp;""&amp;'Dry_Litterbag Placem_Collection'!K37)</f>
        <v>R776</v>
      </c>
      <c r="L256" s="264">
        <f>IFERROR(INDEX('Green_rooibos initial weight'!$C$5:$C$2000,MATCH(K256, 'Green_rooibos initial weight'!$A$5:$A$2000,0)),"")</f>
        <v>2.1989999999999998</v>
      </c>
      <c r="M256" s="264">
        <f>IFERROR(L256-(TBIcalc!$Q$9+TBIcalc!$Q$10),"")</f>
        <v>1.9491999999999998</v>
      </c>
      <c r="N256" s="385">
        <f>AVERAGE(Ashed_controlls!$K$12:$K$14)</f>
        <v>2.2816647271287041</v>
      </c>
      <c r="O256" s="264">
        <f t="shared" si="16"/>
        <v>1.9047257911388071</v>
      </c>
      <c r="P256" s="264">
        <f>IFERROR(INDEX('Both teabags AfterDry'!$D$2:$D$2000,MATCH(K256,'Both teabags AfterDry'!$A$2:$A$2000,0)),"")</f>
        <v>1.9447000000000001</v>
      </c>
      <c r="Q256" s="264">
        <f>IFERROR(IF(P256&gt;0,P256-(TBIcalc!$Q$9),""),"")</f>
        <v>1.7941</v>
      </c>
      <c r="R256" s="275">
        <f>IFERROR(INDEX('Ashed teabags dry'!$K$2:$K$2000,MATCH(K256,'Ashed teabags dry'!$A$2:$A$2000,0)),"")</f>
        <v>3.3316506814742248</v>
      </c>
      <c r="S256" s="275">
        <f t="shared" si="17"/>
        <v>1.734326855123671</v>
      </c>
      <c r="T256" s="265">
        <f>IF('Dry_Litterbag Placem_Collection'!E37="","",'Dry_Litterbag Placem_Collection'!E37)</f>
        <v>42938</v>
      </c>
      <c r="U256" s="265">
        <f>IF('Dry_Litterbag Placem_Collection'!G37="","",'Dry_Litterbag Placem_Collection'!G37)</f>
        <v>43005</v>
      </c>
      <c r="V256" s="266">
        <f t="shared" si="15"/>
        <v>67</v>
      </c>
      <c r="W256" s="264">
        <f t="shared" si="18"/>
        <v>0.15509999999999979</v>
      </c>
      <c r="X256" s="264">
        <f t="shared" si="19"/>
        <v>0.17039893601513612</v>
      </c>
      <c r="Y256" s="268">
        <f>IFERROR(INDEX(Rainfall_Dry!$O$2:$O$217,MATCH(B256, Rainfall_Dry!$A$2:$A$217,0)),"")</f>
        <v>6.5250000359999998</v>
      </c>
      <c r="Z256" s="257">
        <v>23.96</v>
      </c>
      <c r="AA256" s="257">
        <v>0.91999999999999804</v>
      </c>
      <c r="AB256" s="257">
        <v>75.12</v>
      </c>
      <c r="AC256" s="258" t="s">
        <v>2654</v>
      </c>
      <c r="AD256" s="257">
        <v>1.2493839329719072</v>
      </c>
      <c r="AE256">
        <f>IF('WetLitterbags placem_collection'!AB37="","",'WetLitterbags placem_collection'!AB37)</f>
        <v>0.7</v>
      </c>
      <c r="AF256">
        <f>IF('WetLitterbags placem_collection'!Z37="","",'WetLitterbags placem_collection'!Z37)</f>
        <v>10.6</v>
      </c>
      <c r="AG256" s="243" t="str">
        <f>IF('WetLitterbags placem_collection'!AA37="","",'WetLitterbags placem_collection'!AA37)</f>
        <v>G</v>
      </c>
      <c r="AH256">
        <f>IF('WetLitterbags placem_collection'!AC37="","",'WetLitterbags placem_collection'!AC37)</f>
        <v>0</v>
      </c>
      <c r="AI256">
        <f>IFERROR(AVERAGE('Dry_Litterbag Placem_Collection'!O37,'Dry_Litterbag Placem_Collection'!R37),"")</f>
        <v>3.35</v>
      </c>
      <c r="AJ256" s="268">
        <f>IFERROR(AVERAGE('Dry_Litterbag Placem_Collection'!N37,'Dry_Litterbag Placem_Collection'!Q37),"")</f>
        <v>26.95</v>
      </c>
      <c r="AK256" s="267">
        <f>INDEX(Coordinates!$B$2:$B$197,MATCH(H256,Coordinates!$J$2:$J$197,0))</f>
        <v>-3.409177009</v>
      </c>
      <c r="AL256" s="267">
        <f>INDEX(Coordinates!$C$2:$C$197,MATCH(H256,Coordinates!$J$2:$J$197,0))</f>
        <v>34.852818990000003</v>
      </c>
      <c r="AM256" s="267" t="str">
        <f>IF(ISNUMBER(SEARCH("C", 'Dry_Litterbag Placem_Collection'!T37)),"YES","NO")</f>
        <v>NO</v>
      </c>
      <c r="AN256" s="267" t="str">
        <f>IF(ISNUMBER(SEARCH("H", 'Dry_Litterbag Placem_Collection'!T37)),"YES","NO")</f>
        <v>NO</v>
      </c>
      <c r="AO256" s="267" t="str">
        <f>IF(ISNUMBER(SEARCH("R", 'Dry_Litterbag Placem_Collection'!T37)),"YES","NO")</f>
        <v>NO</v>
      </c>
    </row>
    <row r="257" spans="1:41" ht="15" customHeight="1">
      <c r="A257" s="259" t="s">
        <v>2643</v>
      </c>
      <c r="B257" s="260">
        <f>'Dry_Litterbag Placem_Collection'!A38</f>
        <v>36</v>
      </c>
      <c r="C257" s="260" t="str">
        <f>'Dry_Litterbag Placem_Collection'!B38</f>
        <v>Makao</v>
      </c>
      <c r="D257" s="260" t="s">
        <v>2643</v>
      </c>
      <c r="E257" s="260" t="s">
        <v>20</v>
      </c>
      <c r="F257" s="260">
        <v>1</v>
      </c>
      <c r="G257" s="260" t="s">
        <v>3805</v>
      </c>
      <c r="H257" s="261" t="str">
        <f>'Dry_Litterbag Placem_Collection'!C38</f>
        <v>Dry_P1_T4</v>
      </c>
      <c r="I257" s="262" t="s">
        <v>2525</v>
      </c>
      <c r="J257" s="269" t="s">
        <v>298</v>
      </c>
      <c r="K257" s="260" t="str">
        <f>IF(ISBLANK('Dry_Litterbag Placem_Collection'!K38),"","R"&amp;""&amp;'Dry_Litterbag Placem_Collection'!K38)</f>
        <v>R799</v>
      </c>
      <c r="L257" s="264">
        <f>IFERROR(INDEX('Green_rooibos initial weight'!$C$5:$C$2000,MATCH(K257, 'Green_rooibos initial weight'!$A$5:$A$2000,0)),"")</f>
        <v>2.2040000000000002</v>
      </c>
      <c r="M257" s="264">
        <f>IFERROR(L257-(TBIcalc!$Q$9+TBIcalc!$Q$10),"")</f>
        <v>1.9542000000000002</v>
      </c>
      <c r="N257" s="385">
        <f>AVERAGE(Ashed_controlls!$K$12:$K$14)</f>
        <v>2.2816647271287041</v>
      </c>
      <c r="O257" s="264">
        <f t="shared" si="16"/>
        <v>1.909611707902451</v>
      </c>
      <c r="P257" s="264">
        <f>IFERROR(INDEX('Both teabags AfterDry'!$D$2:$D$2000,MATCH(K257,'Both teabags AfterDry'!$A$2:$A$2000,0)),"")</f>
        <v>1.3494999999999999</v>
      </c>
      <c r="Q257" s="264">
        <f>IFERROR(IF(P257&gt;0,P257-(TBIcalc!$Q$9),""),"")</f>
        <v>1.1988999999999999</v>
      </c>
      <c r="R257" s="275">
        <f>IFERROR(INDEX('Ashed teabags dry'!$K$2:$K$2000,MATCH(K257,'Ashed teabags dry'!$A$2:$A$2000,0)),"")</f>
        <v>96.616541353382999</v>
      </c>
      <c r="S257" s="275">
        <f t="shared" si="17"/>
        <v>4.0564285714291159E-2</v>
      </c>
      <c r="T257" s="265">
        <f>IF('Dry_Litterbag Placem_Collection'!E38="","",'Dry_Litterbag Placem_Collection'!E38)</f>
        <v>42938</v>
      </c>
      <c r="U257" s="265">
        <f>IF('Dry_Litterbag Placem_Collection'!G38="","",'Dry_Litterbag Placem_Collection'!G38)</f>
        <v>43005</v>
      </c>
      <c r="V257" s="266">
        <f t="shared" si="15"/>
        <v>67</v>
      </c>
      <c r="W257" s="264">
        <f t="shared" si="18"/>
        <v>0.7553000000000003</v>
      </c>
      <c r="X257" s="264">
        <f t="shared" si="19"/>
        <v>1.8690474221881599</v>
      </c>
      <c r="Y257" s="268">
        <f>IFERROR(INDEX(Rainfall_Dry!$O$2:$O$217,MATCH(B257, Rainfall_Dry!$A$2:$A$217,0)),"")</f>
        <v>6.5250000359999998</v>
      </c>
      <c r="Z257" s="257">
        <v>23.96</v>
      </c>
      <c r="AA257" s="257">
        <v>0.91999999999999804</v>
      </c>
      <c r="AB257" s="257">
        <v>75.12</v>
      </c>
      <c r="AC257" s="258" t="s">
        <v>2654</v>
      </c>
      <c r="AD257" s="257">
        <v>1.2493839329719072</v>
      </c>
      <c r="AE257">
        <f>IF('WetLitterbags placem_collection'!AB38="","",'WetLitterbags placem_collection'!AB38)</f>
        <v>3.3</v>
      </c>
      <c r="AF257">
        <f>IF('WetLitterbags placem_collection'!Z38="","",'WetLitterbags placem_collection'!Z38)</f>
        <v>4.9000000000000004</v>
      </c>
      <c r="AG257" s="243" t="str">
        <f>IF('WetLitterbags placem_collection'!AA38="","",'WetLitterbags placem_collection'!AA38)</f>
        <v>G</v>
      </c>
      <c r="AH257">
        <f>IF('WetLitterbags placem_collection'!AC38="","",'WetLitterbags placem_collection'!AC38)</f>
        <v>1</v>
      </c>
      <c r="AI257">
        <f>IFERROR(AVERAGE('Dry_Litterbag Placem_Collection'!O38,'Dry_Litterbag Placem_Collection'!R38),"")</f>
        <v>3</v>
      </c>
      <c r="AJ257" s="268">
        <f>IFERROR(AVERAGE('Dry_Litterbag Placem_Collection'!N38,'Dry_Litterbag Placem_Collection'!Q38),"")</f>
        <v>25.85</v>
      </c>
      <c r="AK257" s="267">
        <f>INDEX(Coordinates!$B$2:$B$197,MATCH(H257,Coordinates!$J$2:$J$197,0))</f>
        <v>-3.40917198</v>
      </c>
      <c r="AL257" s="267">
        <f>INDEX(Coordinates!$C$2:$C$197,MATCH(H257,Coordinates!$J$2:$J$197,0))</f>
        <v>34.852960979999999</v>
      </c>
      <c r="AM257" s="267" t="str">
        <f>IF(ISNUMBER(SEARCH("C", 'Dry_Litterbag Placem_Collection'!T38)),"YES","NO")</f>
        <v>YES</v>
      </c>
      <c r="AN257" s="267" t="str">
        <f>IF(ISNUMBER(SEARCH("H", 'Dry_Litterbag Placem_Collection'!T38)),"YES","NO")</f>
        <v>YES</v>
      </c>
      <c r="AO257" s="267" t="str">
        <f>IF(ISNUMBER(SEARCH("R", 'Dry_Litterbag Placem_Collection'!T38)),"YES","NO")</f>
        <v>NO</v>
      </c>
    </row>
    <row r="258" spans="1:41" ht="15" customHeight="1">
      <c r="A258" s="259" t="s">
        <v>2643</v>
      </c>
      <c r="B258" s="260">
        <f>'Dry_Litterbag Placem_Collection'!A39</f>
        <v>37</v>
      </c>
      <c r="C258" s="260" t="str">
        <f>'Dry_Litterbag Placem_Collection'!B39</f>
        <v>Makao</v>
      </c>
      <c r="D258" s="260" t="s">
        <v>2643</v>
      </c>
      <c r="E258" s="260" t="s">
        <v>20</v>
      </c>
      <c r="F258" s="260">
        <v>1</v>
      </c>
      <c r="G258" s="260" t="s">
        <v>3805</v>
      </c>
      <c r="H258" s="261" t="str">
        <f>'Dry_Litterbag Placem_Collection'!C39</f>
        <v>Dry_P1_T5</v>
      </c>
      <c r="I258" s="262" t="s">
        <v>2525</v>
      </c>
      <c r="J258" s="269" t="s">
        <v>298</v>
      </c>
      <c r="K258" s="260" t="str">
        <f>IF(ISBLANK('Dry_Litterbag Placem_Collection'!K39),"","R"&amp;""&amp;'Dry_Litterbag Placem_Collection'!K39)</f>
        <v>R722</v>
      </c>
      <c r="L258" s="264">
        <f>IFERROR(INDEX('Green_rooibos initial weight'!$C$5:$C$2000,MATCH(K258, 'Green_rooibos initial weight'!$A$5:$A$2000,0)),"")</f>
        <v>2.2069999999999999</v>
      </c>
      <c r="M258" s="264">
        <f>IFERROR(L258-(TBIcalc!$Q$9+TBIcalc!$Q$10),"")</f>
        <v>1.9571999999999998</v>
      </c>
      <c r="N258" s="385">
        <f>AVERAGE(Ashed_controlls!$K$12:$K$14)</f>
        <v>2.2816647271287041</v>
      </c>
      <c r="O258" s="264">
        <f t="shared" si="16"/>
        <v>1.9125432579606367</v>
      </c>
      <c r="P258" s="264">
        <f>IFERROR(INDEX('Both teabags AfterDry'!$D$2:$D$2000,MATCH(K258,'Both teabags AfterDry'!$A$2:$A$2000,0)),"")</f>
        <v>0.13320000000000001</v>
      </c>
      <c r="Q258" s="264">
        <f>IFERROR(IF(P258&gt;0,P258-(TBIcalc!$Q$9),""),"")</f>
        <v>-1.7399999999999999E-2</v>
      </c>
      <c r="R258" s="275">
        <f>IFERROR(INDEX('Ashed teabags dry'!$K$2:$K$2000,MATCH(K258,'Ashed teabags dry'!$A$2:$A$2000,0)),"")</f>
        <v>96.545105566220045</v>
      </c>
      <c r="S258" s="275">
        <f t="shared" si="17"/>
        <v>-6.0115163147771156E-4</v>
      </c>
      <c r="T258" s="265">
        <f>IF('Dry_Litterbag Placem_Collection'!E39="","",'Dry_Litterbag Placem_Collection'!E39)</f>
        <v>42938</v>
      </c>
      <c r="U258" s="265">
        <f>IF('Dry_Litterbag Placem_Collection'!G39="","",'Dry_Litterbag Placem_Collection'!G39)</f>
        <v>43005</v>
      </c>
      <c r="V258" s="266">
        <f t="shared" ref="V258:V321" si="20">IFERROR(U258-T258,"")</f>
        <v>67</v>
      </c>
      <c r="W258" s="264">
        <f t="shared" si="18"/>
        <v>1.9745999999999999</v>
      </c>
      <c r="X258" s="264">
        <f t="shared" si="19"/>
        <v>1.9131444095921144</v>
      </c>
      <c r="Y258" s="268">
        <f>IFERROR(INDEX(Rainfall_Dry!$O$2:$O$217,MATCH(B258, Rainfall_Dry!$A$2:$A$217,0)),"")</f>
        <v>6.5250000359999998</v>
      </c>
      <c r="Z258" s="257">
        <v>23.96</v>
      </c>
      <c r="AA258" s="257">
        <v>0.91999999999999804</v>
      </c>
      <c r="AB258" s="257">
        <v>75.12</v>
      </c>
      <c r="AC258" s="258" t="s">
        <v>2654</v>
      </c>
      <c r="AD258" s="257">
        <v>1.2493839329719072</v>
      </c>
      <c r="AE258">
        <f>IF('WetLitterbags placem_collection'!AB39="","",'WetLitterbags placem_collection'!AB39)</f>
        <v>8.3000000000000007</v>
      </c>
      <c r="AF258">
        <f>IF('WetLitterbags placem_collection'!Z39="","",'WetLitterbags placem_collection'!Z39)</f>
        <v>27.8</v>
      </c>
      <c r="AG258" s="243" t="str">
        <f>IF('WetLitterbags placem_collection'!AA39="","",'WetLitterbags placem_collection'!AA39)</f>
        <v>G</v>
      </c>
      <c r="AH258">
        <f>IF('WetLitterbags placem_collection'!AC39="","",'WetLitterbags placem_collection'!AC39)</f>
        <v>0</v>
      </c>
      <c r="AI258">
        <f>IFERROR(AVERAGE('Dry_Litterbag Placem_Collection'!O39,'Dry_Litterbag Placem_Collection'!R39),"")</f>
        <v>4.25</v>
      </c>
      <c r="AJ258" s="268">
        <f>IFERROR(AVERAGE('Dry_Litterbag Placem_Collection'!N39,'Dry_Litterbag Placem_Collection'!Q39),"")</f>
        <v>26.1</v>
      </c>
      <c r="AK258" s="267">
        <f>INDEX(Coordinates!$B$2:$B$197,MATCH(H258,Coordinates!$J$2:$J$197,0))</f>
        <v>-3.4090709779999999</v>
      </c>
      <c r="AL258" s="267">
        <f>INDEX(Coordinates!$C$2:$C$197,MATCH(H258,Coordinates!$J$2:$J$197,0))</f>
        <v>34.852712029999999</v>
      </c>
      <c r="AM258" s="267" t="str">
        <f>IF(ISNUMBER(SEARCH("C", 'Dry_Litterbag Placem_Collection'!T39)),"YES","NO")</f>
        <v>YES</v>
      </c>
      <c r="AN258" s="267" t="str">
        <f>IF(ISNUMBER(SEARCH("H", 'Dry_Litterbag Placem_Collection'!T39)),"YES","NO")</f>
        <v>YES</v>
      </c>
      <c r="AO258" s="267" t="str">
        <f>IF(ISNUMBER(SEARCH("R", 'Dry_Litterbag Placem_Collection'!T39)),"YES","NO")</f>
        <v>NO</v>
      </c>
    </row>
    <row r="259" spans="1:41" ht="15" customHeight="1">
      <c r="A259" s="259" t="s">
        <v>2643</v>
      </c>
      <c r="B259" s="260">
        <f>'Dry_Litterbag Placem_Collection'!A40</f>
        <v>38</v>
      </c>
      <c r="C259" s="260" t="str">
        <f>'Dry_Litterbag Placem_Collection'!B40</f>
        <v>Makao</v>
      </c>
      <c r="D259" s="260" t="s">
        <v>2643</v>
      </c>
      <c r="E259" s="260" t="s">
        <v>20</v>
      </c>
      <c r="F259" s="260">
        <v>1</v>
      </c>
      <c r="G259" s="260" t="s">
        <v>3805</v>
      </c>
      <c r="H259" s="261" t="str">
        <f>'Dry_Litterbag Placem_Collection'!C40</f>
        <v>Dry_P1_T6</v>
      </c>
      <c r="I259" s="262" t="s">
        <v>2525</v>
      </c>
      <c r="J259" s="269" t="s">
        <v>298</v>
      </c>
      <c r="K259" s="260" t="str">
        <f>IF(ISBLANK('Dry_Litterbag Placem_Collection'!K40),"","R"&amp;""&amp;'Dry_Litterbag Placem_Collection'!K40)</f>
        <v>R796</v>
      </c>
      <c r="L259" s="264">
        <f>IFERROR(INDEX('Green_rooibos initial weight'!$C$5:$C$2000,MATCH(K259, 'Green_rooibos initial weight'!$A$5:$A$2000,0)),"")</f>
        <v>2.2360000000000002</v>
      </c>
      <c r="M259" s="264">
        <f>IFERROR(L259-(TBIcalc!$Q$9+TBIcalc!$Q$10),"")</f>
        <v>1.9862000000000002</v>
      </c>
      <c r="N259" s="385">
        <f>AVERAGE(Ashed_controlls!$K$12:$K$14)</f>
        <v>2.2816647271287041</v>
      </c>
      <c r="O259" s="264">
        <f t="shared" ref="O259:O322" si="21">IFERROR(M259-(N259/100)*M259,"")</f>
        <v>1.9408815751897699</v>
      </c>
      <c r="P259" s="264">
        <f>IFERROR(INDEX('Both teabags AfterDry'!$D$2:$D$2000,MATCH(K259,'Both teabags AfterDry'!$A$2:$A$2000,0)),"")</f>
        <v>1.9076</v>
      </c>
      <c r="Q259" s="264">
        <f>IFERROR(IF(P259&gt;0,P259-(TBIcalc!$Q$9),""),"")</f>
        <v>1.7569999999999999</v>
      </c>
      <c r="R259" s="275">
        <f>IFERROR(INDEX('Ashed teabags dry'!$K$2:$K$2000,MATCH(K259,'Ashed teabags dry'!$A$2:$A$2000,0)),"")</f>
        <v>4.810004810006216</v>
      </c>
      <c r="S259" s="275">
        <f t="shared" ref="S259:S322" si="22">IFERROR(Q259-(R259/100)*Q259,"")</f>
        <v>1.6724882154881906</v>
      </c>
      <c r="T259" s="265">
        <f>IF('Dry_Litterbag Placem_Collection'!E40="","",'Dry_Litterbag Placem_Collection'!E40)</f>
        <v>42938</v>
      </c>
      <c r="U259" s="265">
        <f>IF('Dry_Litterbag Placem_Collection'!G40="","",'Dry_Litterbag Placem_Collection'!G40)</f>
        <v>43005</v>
      </c>
      <c r="V259" s="266">
        <f t="shared" si="20"/>
        <v>67</v>
      </c>
      <c r="W259" s="264">
        <f t="shared" ref="W259:W322" si="23">IFERROR(M259-Q259,"")</f>
        <v>0.22920000000000029</v>
      </c>
      <c r="X259" s="264">
        <f t="shared" ref="X259:X322" si="24">IFERROR(O259-S259,"")</f>
        <v>0.26839335970157929</v>
      </c>
      <c r="Y259" s="268">
        <f>IFERROR(INDEX(Rainfall_Dry!$O$2:$O$217,MATCH(B259, Rainfall_Dry!$A$2:$A$217,0)),"")</f>
        <v>6.5250000359999998</v>
      </c>
      <c r="Z259" s="257">
        <v>23.96</v>
      </c>
      <c r="AA259" s="257">
        <v>0.91999999999999804</v>
      </c>
      <c r="AB259" s="257">
        <v>75.12</v>
      </c>
      <c r="AC259" s="258" t="s">
        <v>2654</v>
      </c>
      <c r="AD259" s="257">
        <v>1.2493839329719072</v>
      </c>
      <c r="AE259">
        <f>IF('WetLitterbags placem_collection'!AB40="","",'WetLitterbags placem_collection'!AB40)</f>
        <v>2</v>
      </c>
      <c r="AF259">
        <f>IF('WetLitterbags placem_collection'!Z40="","",'WetLitterbags placem_collection'!Z40)</f>
        <v>20.399999999999999</v>
      </c>
      <c r="AG259" s="243" t="str">
        <f>IF('WetLitterbags placem_collection'!AA40="","",'WetLitterbags placem_collection'!AA40)</f>
        <v>O</v>
      </c>
      <c r="AH259">
        <f>IF('WetLitterbags placem_collection'!AC40="","",'WetLitterbags placem_collection'!AC40)</f>
        <v>0</v>
      </c>
      <c r="AI259">
        <f>IFERROR(AVERAGE('Dry_Litterbag Placem_Collection'!O40,'Dry_Litterbag Placem_Collection'!R40),"")</f>
        <v>2.85</v>
      </c>
      <c r="AJ259" s="268">
        <f>IFERROR(AVERAGE('Dry_Litterbag Placem_Collection'!N40,'Dry_Litterbag Placem_Collection'!Q40),"")</f>
        <v>26.7</v>
      </c>
      <c r="AK259" s="267">
        <f>INDEX(Coordinates!$B$2:$B$197,MATCH(H259,Coordinates!$J$2:$J$197,0))</f>
        <v>-3.409280023</v>
      </c>
      <c r="AL259" s="267">
        <f>INDEX(Coordinates!$C$2:$C$197,MATCH(H259,Coordinates!$J$2:$J$197,0))</f>
        <v>34.852612960000002</v>
      </c>
      <c r="AM259" s="267" t="str">
        <f>IF(ISNUMBER(SEARCH("C", 'Dry_Litterbag Placem_Collection'!T40)),"YES","NO")</f>
        <v>NO</v>
      </c>
      <c r="AN259" s="267" t="str">
        <f>IF(ISNUMBER(SEARCH("H", 'Dry_Litterbag Placem_Collection'!T40)),"YES","NO")</f>
        <v>NO</v>
      </c>
      <c r="AO259" s="267" t="str">
        <f>IF(ISNUMBER(SEARCH("R", 'Dry_Litterbag Placem_Collection'!T40)),"YES","NO")</f>
        <v>NO</v>
      </c>
    </row>
    <row r="260" spans="1:41" ht="15" customHeight="1">
      <c r="A260" s="259" t="s">
        <v>2643</v>
      </c>
      <c r="B260" s="260">
        <f>'Dry_Litterbag Placem_Collection'!A41</f>
        <v>39</v>
      </c>
      <c r="C260" s="260" t="str">
        <f>'Dry_Litterbag Placem_Collection'!B41</f>
        <v>Makao</v>
      </c>
      <c r="D260" s="260" t="s">
        <v>2643</v>
      </c>
      <c r="E260" s="260" t="s">
        <v>20</v>
      </c>
      <c r="F260" s="260">
        <v>1</v>
      </c>
      <c r="G260" s="260" t="s">
        <v>3805</v>
      </c>
      <c r="H260" s="261" t="str">
        <f>'Dry_Litterbag Placem_Collection'!C41</f>
        <v>Dry_P1_T7</v>
      </c>
      <c r="I260" s="262" t="s">
        <v>2525</v>
      </c>
      <c r="J260" s="269" t="s">
        <v>298</v>
      </c>
      <c r="K260" s="260" t="str">
        <f>IF(ISBLANK('Dry_Litterbag Placem_Collection'!K41),"","R"&amp;""&amp;'Dry_Litterbag Placem_Collection'!K41)</f>
        <v/>
      </c>
      <c r="L260" s="264" t="str">
        <f>IFERROR(INDEX('Green_rooibos initial weight'!$C$5:$C$2000,MATCH(K260, 'Green_rooibos initial weight'!$A$5:$A$2000,0)),"")</f>
        <v/>
      </c>
      <c r="M260" s="264" t="str">
        <f>IFERROR(L260-(TBIcalc!$Q$9+TBIcalc!$Q$10),"")</f>
        <v/>
      </c>
      <c r="N260" s="385">
        <f>AVERAGE(Ashed_controlls!$K$12:$K$14)</f>
        <v>2.2816647271287041</v>
      </c>
      <c r="O260" s="264" t="str">
        <f t="shared" si="21"/>
        <v/>
      </c>
      <c r="P260" s="264" t="str">
        <f>IFERROR(INDEX('Both teabags AfterDry'!$D$2:$D$2000,MATCH(K260,'Both teabags AfterDry'!$A$2:$A$2000,0)),"")</f>
        <v/>
      </c>
      <c r="Q260" s="264" t="str">
        <f>IFERROR(IF(P260&gt;0,P260-(TBIcalc!$Q$9),""),"")</f>
        <v/>
      </c>
      <c r="R260" s="275" t="str">
        <f>IFERROR(INDEX('Ashed teabags dry'!$K$2:$K$2000,MATCH(K260,'Ashed teabags dry'!$A$2:$A$2000,0)),"")</f>
        <v/>
      </c>
      <c r="S260" s="275" t="str">
        <f t="shared" si="22"/>
        <v/>
      </c>
      <c r="T260" s="265">
        <f>IF('Dry_Litterbag Placem_Collection'!E41="","",'Dry_Litterbag Placem_Collection'!E41)</f>
        <v>42938</v>
      </c>
      <c r="U260" s="265" t="str">
        <f>IF('Dry_Litterbag Placem_Collection'!G41="","",'Dry_Litterbag Placem_Collection'!G41)</f>
        <v/>
      </c>
      <c r="V260" s="266" t="str">
        <f t="shared" si="20"/>
        <v/>
      </c>
      <c r="W260" s="264" t="str">
        <f t="shared" si="23"/>
        <v/>
      </c>
      <c r="X260" s="264" t="str">
        <f t="shared" si="24"/>
        <v/>
      </c>
      <c r="Y260" s="268" t="str">
        <f>IFERROR(INDEX(Rainfall_Dry!$O$2:$O$217,MATCH(B260, Rainfall_Dry!$A$2:$A$217,0)),"")</f>
        <v/>
      </c>
      <c r="Z260" s="257">
        <v>23.96</v>
      </c>
      <c r="AA260" s="257">
        <v>0.91999999999999804</v>
      </c>
      <c r="AB260" s="257">
        <v>75.12</v>
      </c>
      <c r="AC260" s="258" t="s">
        <v>2654</v>
      </c>
      <c r="AD260" s="257">
        <v>1.2493839329719072</v>
      </c>
      <c r="AE260">
        <f>IF('WetLitterbags placem_collection'!AB41="","",'WetLitterbags placem_collection'!AB41)</f>
        <v>2.4</v>
      </c>
      <c r="AF260">
        <f>IF('WetLitterbags placem_collection'!Z41="","",'WetLitterbags placem_collection'!Z41)</f>
        <v>18</v>
      </c>
      <c r="AG260" s="243" t="str">
        <f>IF('WetLitterbags placem_collection'!AA41="","",'WetLitterbags placem_collection'!AA41)</f>
        <v>G</v>
      </c>
      <c r="AH260">
        <f>IF('WetLitterbags placem_collection'!AC41="","",'WetLitterbags placem_collection'!AC41)</f>
        <v>1</v>
      </c>
      <c r="AI260" t="str">
        <f>IFERROR(AVERAGE('Dry_Litterbag Placem_Collection'!O41,'Dry_Litterbag Placem_Collection'!R41),"")</f>
        <v/>
      </c>
      <c r="AJ260" s="268" t="str">
        <f>IFERROR(AVERAGE('Dry_Litterbag Placem_Collection'!N41,'Dry_Litterbag Placem_Collection'!Q41),"")</f>
        <v/>
      </c>
      <c r="AK260" s="267">
        <f>INDEX(Coordinates!$B$2:$B$197,MATCH(H260,Coordinates!$J$2:$J$197,0))</f>
        <v>-3.4093859700000002</v>
      </c>
      <c r="AL260" s="267">
        <f>INDEX(Coordinates!$C$2:$C$197,MATCH(H260,Coordinates!$J$2:$J$197,0))</f>
        <v>34.852855030000001</v>
      </c>
      <c r="AM260" s="267" t="str">
        <f>IF(ISNUMBER(SEARCH("C", 'Dry_Litterbag Placem_Collection'!T41)),"YES","NO")</f>
        <v>NO</v>
      </c>
      <c r="AN260" s="267" t="str">
        <f>IF(ISNUMBER(SEARCH("H", 'Dry_Litterbag Placem_Collection'!T41)),"YES","NO")</f>
        <v>NO</v>
      </c>
      <c r="AO260" s="267" t="str">
        <f>IF(ISNUMBER(SEARCH("R", 'Dry_Litterbag Placem_Collection'!T41)),"YES","NO")</f>
        <v>NO</v>
      </c>
    </row>
    <row r="261" spans="1:41" ht="15" customHeight="1">
      <c r="A261" s="259" t="s">
        <v>2643</v>
      </c>
      <c r="B261" s="260">
        <f>'Dry_Litterbag Placem_Collection'!A42</f>
        <v>40</v>
      </c>
      <c r="C261" s="260" t="str">
        <f>'Dry_Litterbag Placem_Collection'!B42</f>
        <v>Makao</v>
      </c>
      <c r="D261" s="260" t="s">
        <v>2643</v>
      </c>
      <c r="E261" s="260" t="s">
        <v>20</v>
      </c>
      <c r="F261" s="260">
        <v>1</v>
      </c>
      <c r="G261" s="260" t="s">
        <v>3805</v>
      </c>
      <c r="H261" s="261" t="str">
        <f>'Dry_Litterbag Placem_Collection'!C42</f>
        <v>Dry_P1_T8</v>
      </c>
      <c r="I261" s="262" t="s">
        <v>2525</v>
      </c>
      <c r="J261" s="269" t="s">
        <v>298</v>
      </c>
      <c r="K261" s="260" t="str">
        <f>IF(ISBLANK('Dry_Litterbag Placem_Collection'!K42),"","R"&amp;""&amp;'Dry_Litterbag Placem_Collection'!K42)</f>
        <v>R782</v>
      </c>
      <c r="L261" s="264">
        <f>IFERROR(INDEX('Green_rooibos initial weight'!$C$5:$C$2000,MATCH(K261, 'Green_rooibos initial weight'!$A$5:$A$2000,0)),"")</f>
        <v>2.2410000000000001</v>
      </c>
      <c r="M261" s="264">
        <f>IFERROR(L261-(TBIcalc!$Q$9+TBIcalc!$Q$10),"")</f>
        <v>1.9912000000000001</v>
      </c>
      <c r="N261" s="385">
        <f>AVERAGE(Ashed_controlls!$K$12:$K$14)</f>
        <v>2.2816647271287041</v>
      </c>
      <c r="O261" s="264">
        <f t="shared" si="21"/>
        <v>1.9457674919534134</v>
      </c>
      <c r="P261" s="264">
        <f>IFERROR(INDEX('Both teabags AfterDry'!$D$2:$D$2000,MATCH(K261,'Both teabags AfterDry'!$A$2:$A$2000,0)),"")</f>
        <v>1.992</v>
      </c>
      <c r="Q261" s="264">
        <f>IFERROR(IF(P261&gt;0,P261-(TBIcalc!$Q$9),""),"")</f>
        <v>1.8413999999999999</v>
      </c>
      <c r="R261" s="275">
        <f>IFERROR(INDEX('Ashed teabags dry'!$K$2:$K$2000,MATCH(K261,'Ashed teabags dry'!$A$2:$A$2000,0)),"")</f>
        <v>3.5485460818134884</v>
      </c>
      <c r="S261" s="275">
        <f t="shared" si="22"/>
        <v>1.7760570724494864</v>
      </c>
      <c r="T261" s="265">
        <f>IF('Dry_Litterbag Placem_Collection'!E42="","",'Dry_Litterbag Placem_Collection'!E42)</f>
        <v>42938</v>
      </c>
      <c r="U261" s="265">
        <f>IF('Dry_Litterbag Placem_Collection'!G42="","",'Dry_Litterbag Placem_Collection'!G42)</f>
        <v>43005</v>
      </c>
      <c r="V261" s="266">
        <f t="shared" si="20"/>
        <v>67</v>
      </c>
      <c r="W261" s="264">
        <f t="shared" si="23"/>
        <v>0.14980000000000016</v>
      </c>
      <c r="X261" s="264">
        <f t="shared" si="24"/>
        <v>0.16971041950392696</v>
      </c>
      <c r="Y261" s="268">
        <f>IFERROR(INDEX(Rainfall_Dry!$O$2:$O$217,MATCH(B261, Rainfall_Dry!$A$2:$A$217,0)),"")</f>
        <v>6.5250000359999998</v>
      </c>
      <c r="Z261" s="257">
        <v>23.96</v>
      </c>
      <c r="AA261" s="257">
        <v>0.91999999999999804</v>
      </c>
      <c r="AB261" s="257">
        <v>75.12</v>
      </c>
      <c r="AC261" s="258" t="s">
        <v>2654</v>
      </c>
      <c r="AD261" s="257">
        <v>1.2493839329719072</v>
      </c>
      <c r="AE261">
        <f>IF('WetLitterbags placem_collection'!AB42="","",'WetLitterbags placem_collection'!AB42)</f>
        <v>8.6999999999999993</v>
      </c>
      <c r="AF261">
        <f>IF('WetLitterbags placem_collection'!Z42="","",'WetLitterbags placem_collection'!Z42)</f>
        <v>19.3</v>
      </c>
      <c r="AG261" s="243" t="str">
        <f>IF('WetLitterbags placem_collection'!AA42="","",'WetLitterbags placem_collection'!AA42)</f>
        <v>G</v>
      </c>
      <c r="AH261">
        <f>IF('WetLitterbags placem_collection'!AC42="","",'WetLitterbags placem_collection'!AC42)</f>
        <v>0</v>
      </c>
      <c r="AI261">
        <f>IFERROR(AVERAGE('Dry_Litterbag Placem_Collection'!O42,'Dry_Litterbag Placem_Collection'!R42),"")</f>
        <v>4.5999999999999996</v>
      </c>
      <c r="AJ261" s="268">
        <f>IFERROR(AVERAGE('Dry_Litterbag Placem_Collection'!N42,'Dry_Litterbag Placem_Collection'!Q42),"")</f>
        <v>26.2</v>
      </c>
      <c r="AK261" s="267">
        <f>INDEX(Coordinates!$B$2:$B$197,MATCH(H261,Coordinates!$J$2:$J$197,0))</f>
        <v>-3.4091539590000002</v>
      </c>
      <c r="AL261" s="267">
        <f>INDEX(Coordinates!$C$2:$C$197,MATCH(H261,Coordinates!$J$2:$J$197,0))</f>
        <v>34.852755029999997</v>
      </c>
      <c r="AM261" s="267" t="str">
        <f>IF(ISNUMBER(SEARCH("C", 'Dry_Litterbag Placem_Collection'!T42)),"YES","NO")</f>
        <v>NO</v>
      </c>
      <c r="AN261" s="267" t="str">
        <f>IF(ISNUMBER(SEARCH("H", 'Dry_Litterbag Placem_Collection'!T42)),"YES","NO")</f>
        <v>NO</v>
      </c>
      <c r="AO261" s="267" t="str">
        <f>IF(ISNUMBER(SEARCH("R", 'Dry_Litterbag Placem_Collection'!T42)),"YES","NO")</f>
        <v>NO</v>
      </c>
    </row>
    <row r="262" spans="1:41" ht="15" customHeight="1">
      <c r="A262" s="259" t="s">
        <v>2643</v>
      </c>
      <c r="B262" s="260">
        <f>'Dry_Litterbag Placem_Collection'!A43</f>
        <v>41</v>
      </c>
      <c r="C262" s="260" t="str">
        <f>'Dry_Litterbag Placem_Collection'!B43</f>
        <v>Makao</v>
      </c>
      <c r="D262" s="260" t="s">
        <v>2643</v>
      </c>
      <c r="E262" s="260" t="s">
        <v>20</v>
      </c>
      <c r="F262" s="260">
        <v>2</v>
      </c>
      <c r="G262" s="260" t="s">
        <v>3807</v>
      </c>
      <c r="H262" s="261" t="str">
        <f>'Dry_Litterbag Placem_Collection'!C43</f>
        <v>Dry_P2_T1</v>
      </c>
      <c r="I262" s="262" t="s">
        <v>2525</v>
      </c>
      <c r="J262" s="269" t="s">
        <v>298</v>
      </c>
      <c r="K262" s="260" t="str">
        <f>IF(ISBLANK('Dry_Litterbag Placem_Collection'!K43),"","R"&amp;""&amp;'Dry_Litterbag Placem_Collection'!K43)</f>
        <v>R820</v>
      </c>
      <c r="L262" s="264">
        <f>IFERROR(INDEX('Green_rooibos initial weight'!$C$5:$C$2000,MATCH(K262, 'Green_rooibos initial weight'!$A$5:$A$2000,0)),"")</f>
        <v>2.2170000000000001</v>
      </c>
      <c r="M262" s="264">
        <f>IFERROR(L262-(TBIcalc!$Q$9+TBIcalc!$Q$10),"")</f>
        <v>1.9672000000000001</v>
      </c>
      <c r="N262" s="385">
        <f>AVERAGE(Ashed_controlls!$K$12:$K$14)</f>
        <v>2.2816647271287041</v>
      </c>
      <c r="O262" s="264">
        <f t="shared" si="21"/>
        <v>1.9223150914879241</v>
      </c>
      <c r="P262" s="264">
        <f>IFERROR(INDEX('Both teabags AfterDry'!$D$2:$D$2000,MATCH(K262,'Both teabags AfterDry'!$A$2:$A$2000,0)),"")</f>
        <v>1.2708999999999999</v>
      </c>
      <c r="Q262" s="264">
        <f>IFERROR(IF(P262&gt;0,P262-(TBIcalc!$Q$9),""),"")</f>
        <v>1.1202999999999999</v>
      </c>
      <c r="R262" s="275">
        <f>IFERROR(INDEX('Ashed teabags dry'!$K$2:$K$2000,MATCH(K262,'Ashed teabags dry'!$A$2:$A$2000,0)),"")</f>
        <v>3.1920199501252777</v>
      </c>
      <c r="S262" s="275">
        <f t="shared" si="22"/>
        <v>1.0845398004987463</v>
      </c>
      <c r="T262" s="265">
        <f>IF('Dry_Litterbag Placem_Collection'!E43="","",'Dry_Litterbag Placem_Collection'!E43)</f>
        <v>42938</v>
      </c>
      <c r="U262" s="265">
        <f>IF('Dry_Litterbag Placem_Collection'!G43="","",'Dry_Litterbag Placem_Collection'!G43)</f>
        <v>43005</v>
      </c>
      <c r="V262" s="266">
        <f t="shared" si="20"/>
        <v>67</v>
      </c>
      <c r="W262" s="264">
        <f t="shared" si="23"/>
        <v>0.84690000000000021</v>
      </c>
      <c r="X262" s="264">
        <f t="shared" si="24"/>
        <v>0.8377752909891778</v>
      </c>
      <c r="Y262" s="268">
        <f>IFERROR(INDEX(Rainfall_Dry!$O$2:$O$217,MATCH(B262, Rainfall_Dry!$A$2:$A$217,0)),"")</f>
        <v>6.5250000359999998</v>
      </c>
      <c r="Z262" s="257">
        <v>19.96</v>
      </c>
      <c r="AA262" s="257">
        <v>4.9199999999999982</v>
      </c>
      <c r="AB262" s="257">
        <v>75.12</v>
      </c>
      <c r="AC262" s="258" t="s">
        <v>2655</v>
      </c>
      <c r="AD262" s="257">
        <v>1.641498275012321</v>
      </c>
      <c r="AE262">
        <f>IF('WetLitterbags placem_collection'!AB43="","",'WetLitterbags placem_collection'!AB43)</f>
        <v>4</v>
      </c>
      <c r="AF262">
        <f>IF('WetLitterbags placem_collection'!Z43="","",'WetLitterbags placem_collection'!Z43)</f>
        <v>19.100000000000001</v>
      </c>
      <c r="AG262" s="243" t="str">
        <f>IF('WetLitterbags placem_collection'!AA43="","",'WetLitterbags placem_collection'!AA43)</f>
        <v>G</v>
      </c>
      <c r="AH262">
        <f>IF('WetLitterbags placem_collection'!AC43="","",'WetLitterbags placem_collection'!AC43)</f>
        <v>0</v>
      </c>
      <c r="AI262">
        <f>IFERROR(AVERAGE('Dry_Litterbag Placem_Collection'!O43,'Dry_Litterbag Placem_Collection'!R43),"")</f>
        <v>4.6500000000000004</v>
      </c>
      <c r="AJ262" s="268">
        <f>IFERROR(AVERAGE('Dry_Litterbag Placem_Collection'!N43,'Dry_Litterbag Placem_Collection'!Q43),"")</f>
        <v>27.85</v>
      </c>
      <c r="AK262" s="267">
        <f>INDEX(Coordinates!$B$2:$B$197,MATCH(H262,Coordinates!$J$2:$J$197,0))</f>
        <v>-3.4083420040000001</v>
      </c>
      <c r="AL262" s="267">
        <f>INDEX(Coordinates!$C$2:$C$197,MATCH(H262,Coordinates!$J$2:$J$197,0))</f>
        <v>34.850283040000001</v>
      </c>
      <c r="AM262" s="267" t="str">
        <f>IF(ISNUMBER(SEARCH("C", 'Dry_Litterbag Placem_Collection'!T43)),"YES","NO")</f>
        <v>NO</v>
      </c>
      <c r="AN262" s="267" t="str">
        <f>IF(ISNUMBER(SEARCH("H", 'Dry_Litterbag Placem_Collection'!T43)),"YES","NO")</f>
        <v>YES</v>
      </c>
      <c r="AO262" s="267" t="str">
        <f>IF(ISNUMBER(SEARCH("R", 'Dry_Litterbag Placem_Collection'!T43)),"YES","NO")</f>
        <v>NO</v>
      </c>
    </row>
    <row r="263" spans="1:41" ht="15" customHeight="1">
      <c r="A263" s="259" t="s">
        <v>2643</v>
      </c>
      <c r="B263" s="260">
        <f>'Dry_Litterbag Placem_Collection'!A44</f>
        <v>42</v>
      </c>
      <c r="C263" s="260" t="str">
        <f>'Dry_Litterbag Placem_Collection'!B44</f>
        <v>Makao</v>
      </c>
      <c r="D263" s="260" t="s">
        <v>2643</v>
      </c>
      <c r="E263" s="260" t="s">
        <v>20</v>
      </c>
      <c r="F263" s="260">
        <v>2</v>
      </c>
      <c r="G263" s="260" t="s">
        <v>3807</v>
      </c>
      <c r="H263" s="261" t="str">
        <f>'Dry_Litterbag Placem_Collection'!C44</f>
        <v>Dry_P2_T2</v>
      </c>
      <c r="I263" s="262" t="s">
        <v>2525</v>
      </c>
      <c r="J263" s="269" t="s">
        <v>298</v>
      </c>
      <c r="K263" s="260" t="str">
        <f>IF(ISBLANK('Dry_Litterbag Placem_Collection'!K44),"","R"&amp;""&amp;'Dry_Litterbag Placem_Collection'!K44)</f>
        <v>R806</v>
      </c>
      <c r="L263" s="264">
        <f>IFERROR(INDEX('Green_rooibos initial weight'!$C$5:$C$2000,MATCH(K263, 'Green_rooibos initial weight'!$A$5:$A$2000,0)),"")</f>
        <v>2.2389999999999999</v>
      </c>
      <c r="M263" s="264">
        <f>IFERROR(L263-(TBIcalc!$Q$9+TBIcalc!$Q$10),"")</f>
        <v>1.9891999999999999</v>
      </c>
      <c r="N263" s="385">
        <f>AVERAGE(Ashed_controlls!$K$12:$K$14)</f>
        <v>2.2816647271287041</v>
      </c>
      <c r="O263" s="264">
        <f t="shared" si="21"/>
        <v>1.9438131252479556</v>
      </c>
      <c r="P263" s="264">
        <f>IFERROR(INDEX('Both teabags AfterDry'!$D$2:$D$2000,MATCH(K263,'Both teabags AfterDry'!$A$2:$A$2000,0)),"")</f>
        <v>0.14760000000000001</v>
      </c>
      <c r="Q263" s="264">
        <f>IFERROR(IF(P263&gt;0,P263-(TBIcalc!$Q$9),""),"")</f>
        <v>-3.0000000000000027E-3</v>
      </c>
      <c r="R263" s="275">
        <f>IFERROR(INDEX('Ashed teabags dry'!$K$2:$K$2000,MATCH(K263,'Ashed teabags dry'!$A$2:$A$2000,0)),"")</f>
        <v>0</v>
      </c>
      <c r="S263" s="275">
        <f t="shared" si="22"/>
        <v>-3.0000000000000027E-3</v>
      </c>
      <c r="T263" s="265">
        <f>IF('Dry_Litterbag Placem_Collection'!E44="","",'Dry_Litterbag Placem_Collection'!E44)</f>
        <v>42938</v>
      </c>
      <c r="U263" s="265">
        <f>IF('Dry_Litterbag Placem_Collection'!G44="","",'Dry_Litterbag Placem_Collection'!G44)</f>
        <v>43005</v>
      </c>
      <c r="V263" s="266">
        <f t="shared" si="20"/>
        <v>67</v>
      </c>
      <c r="W263" s="264">
        <f t="shared" si="23"/>
        <v>1.9922</v>
      </c>
      <c r="X263" s="264">
        <f t="shared" si="24"/>
        <v>1.9468131252479557</v>
      </c>
      <c r="Y263" s="268">
        <f>IFERROR(INDEX(Rainfall_Dry!$O$2:$O$217,MATCH(B263, Rainfall_Dry!$A$2:$A$217,0)),"")</f>
        <v>6.5250000359999998</v>
      </c>
      <c r="Z263" s="257">
        <v>19.96</v>
      </c>
      <c r="AA263" s="257">
        <v>4.9199999999999982</v>
      </c>
      <c r="AB263" s="257">
        <v>75.12</v>
      </c>
      <c r="AC263" s="258" t="s">
        <v>2655</v>
      </c>
      <c r="AD263" s="257">
        <v>1.641498275012321</v>
      </c>
      <c r="AE263">
        <f>IF('WetLitterbags placem_collection'!AB44="","",'WetLitterbags placem_collection'!AB44)</f>
        <v>5.9</v>
      </c>
      <c r="AF263">
        <f>IF('WetLitterbags placem_collection'!Z44="","",'WetLitterbags placem_collection'!Z44)</f>
        <v>12.7</v>
      </c>
      <c r="AG263" s="243" t="str">
        <f>IF('WetLitterbags placem_collection'!AA44="","",'WetLitterbags placem_collection'!AA44)</f>
        <v>G</v>
      </c>
      <c r="AH263">
        <f>IF('WetLitterbags placem_collection'!AC44="","",'WetLitterbags placem_collection'!AC44)</f>
        <v>0</v>
      </c>
      <c r="AI263">
        <f>IFERROR(AVERAGE('Dry_Litterbag Placem_Collection'!O44,'Dry_Litterbag Placem_Collection'!R44),"")</f>
        <v>5.1999999999999993</v>
      </c>
      <c r="AJ263" s="268">
        <f>IFERROR(AVERAGE('Dry_Litterbag Placem_Collection'!N44,'Dry_Litterbag Placem_Collection'!Q44),"")</f>
        <v>27.15</v>
      </c>
      <c r="AK263" s="267">
        <f>INDEX(Coordinates!$B$2:$B$197,MATCH(H263,Coordinates!$J$2:$J$197,0))</f>
        <v>-3.4084079690000002</v>
      </c>
      <c r="AL263" s="267">
        <f>INDEX(Coordinates!$C$2:$C$197,MATCH(H263,Coordinates!$J$2:$J$197,0))</f>
        <v>34.850295029999998</v>
      </c>
      <c r="AM263" s="267" t="str">
        <f>IF(ISNUMBER(SEARCH("C", 'Dry_Litterbag Placem_Collection'!T44)),"YES","NO")</f>
        <v>YES</v>
      </c>
      <c r="AN263" s="267" t="str">
        <f>IF(ISNUMBER(SEARCH("H", 'Dry_Litterbag Placem_Collection'!T44)),"YES","NO")</f>
        <v>YES</v>
      </c>
      <c r="AO263" s="267" t="str">
        <f>IF(ISNUMBER(SEARCH("R", 'Dry_Litterbag Placem_Collection'!T44)),"YES","NO")</f>
        <v>NO</v>
      </c>
    </row>
    <row r="264" spans="1:41" ht="15" customHeight="1">
      <c r="A264" s="259" t="s">
        <v>2643</v>
      </c>
      <c r="B264" s="260">
        <f>'Dry_Litterbag Placem_Collection'!A45</f>
        <v>43</v>
      </c>
      <c r="C264" s="260" t="str">
        <f>'Dry_Litterbag Placem_Collection'!B45</f>
        <v>Makao</v>
      </c>
      <c r="D264" s="260" t="s">
        <v>2643</v>
      </c>
      <c r="E264" s="260" t="s">
        <v>20</v>
      </c>
      <c r="F264" s="260">
        <v>2</v>
      </c>
      <c r="G264" s="260" t="s">
        <v>3807</v>
      </c>
      <c r="H264" s="261" t="str">
        <f>'Dry_Litterbag Placem_Collection'!C45</f>
        <v>Dry_P2_T3</v>
      </c>
      <c r="I264" s="262" t="s">
        <v>2525</v>
      </c>
      <c r="J264" s="269" t="s">
        <v>298</v>
      </c>
      <c r="K264" s="260" t="str">
        <f>IF(ISBLANK('Dry_Litterbag Placem_Collection'!K45),"","R"&amp;""&amp;'Dry_Litterbag Placem_Collection'!K45)</f>
        <v>R758</v>
      </c>
      <c r="L264" s="264">
        <f>IFERROR(INDEX('Green_rooibos initial weight'!$C$5:$C$2000,MATCH(K264, 'Green_rooibos initial weight'!$A$5:$A$2000,0)),"")</f>
        <v>2.2200000000000002</v>
      </c>
      <c r="M264" s="264">
        <f>IFERROR(L264-(TBIcalc!$Q$9+TBIcalc!$Q$10),"")</f>
        <v>1.9702000000000002</v>
      </c>
      <c r="N264" s="385">
        <f>AVERAGE(Ashed_controlls!$K$12:$K$14)</f>
        <v>2.2816647271287041</v>
      </c>
      <c r="O264" s="264">
        <f t="shared" si="21"/>
        <v>1.9252466415461105</v>
      </c>
      <c r="P264" s="264">
        <f>IFERROR(INDEX('Both teabags AfterDry'!$D$2:$D$2000,MATCH(K264,'Both teabags AfterDry'!$A$2:$A$2000,0)),"")</f>
        <v>1.6818</v>
      </c>
      <c r="Q264" s="264">
        <f>IFERROR(IF(P264&gt;0,P264-(TBIcalc!$Q$9),""),"")</f>
        <v>1.5311999999999999</v>
      </c>
      <c r="R264" s="275">
        <f>IFERROR(INDEX('Ashed teabags dry'!$K$2:$K$2000,MATCH(K264,'Ashed teabags dry'!$A$2:$A$2000,0)),"")</f>
        <v>92.062122519413393</v>
      </c>
      <c r="S264" s="275">
        <f t="shared" si="22"/>
        <v>0.12154477998274205</v>
      </c>
      <c r="T264" s="265">
        <f>IF('Dry_Litterbag Placem_Collection'!E45="","",'Dry_Litterbag Placem_Collection'!E45)</f>
        <v>42938</v>
      </c>
      <c r="U264" s="265">
        <f>IF('Dry_Litterbag Placem_Collection'!G45="","",'Dry_Litterbag Placem_Collection'!G45)</f>
        <v>43005</v>
      </c>
      <c r="V264" s="266">
        <f t="shared" si="20"/>
        <v>67</v>
      </c>
      <c r="W264" s="264">
        <f t="shared" si="23"/>
        <v>0.43900000000000028</v>
      </c>
      <c r="X264" s="264">
        <f t="shared" si="24"/>
        <v>1.8037018615633684</v>
      </c>
      <c r="Y264" s="268">
        <f>IFERROR(INDEX(Rainfall_Dry!$O$2:$O$217,MATCH(B264, Rainfall_Dry!$A$2:$A$217,0)),"")</f>
        <v>6.5250000359999998</v>
      </c>
      <c r="Z264" s="257">
        <v>19.96</v>
      </c>
      <c r="AA264" s="257">
        <v>4.9199999999999982</v>
      </c>
      <c r="AB264" s="257">
        <v>75.12</v>
      </c>
      <c r="AC264" s="258" t="s">
        <v>2655</v>
      </c>
      <c r="AD264" s="257">
        <v>1.641498275012321</v>
      </c>
      <c r="AE264">
        <f>IF('WetLitterbags placem_collection'!AB45="","",'WetLitterbags placem_collection'!AB45)</f>
        <v>5</v>
      </c>
      <c r="AF264">
        <f>IF('WetLitterbags placem_collection'!Z45="","",'WetLitterbags placem_collection'!Z45)</f>
        <v>26.3</v>
      </c>
      <c r="AG264" s="243" t="str">
        <f>IF('WetLitterbags placem_collection'!AA45="","",'WetLitterbags placem_collection'!AA45)</f>
        <v>G</v>
      </c>
      <c r="AH264">
        <f>IF('WetLitterbags placem_collection'!AC45="","",'WetLitterbags placem_collection'!AC45)</f>
        <v>0</v>
      </c>
      <c r="AI264">
        <f>IFERROR(AVERAGE('Dry_Litterbag Placem_Collection'!O45,'Dry_Litterbag Placem_Collection'!R45),"")</f>
        <v>2.4500000000000002</v>
      </c>
      <c r="AJ264" s="268">
        <f>IFERROR(AVERAGE('Dry_Litterbag Placem_Collection'!N45,'Dry_Litterbag Placem_Collection'!Q45),"")</f>
        <v>26.1</v>
      </c>
      <c r="AK264" s="267">
        <f>INDEX(Coordinates!$B$2:$B$197,MATCH(H264,Coordinates!$J$2:$J$197,0))</f>
        <v>-3.4082369789999998</v>
      </c>
      <c r="AL264" s="267">
        <f>INDEX(Coordinates!$C$2:$C$197,MATCH(H264,Coordinates!$J$2:$J$197,0))</f>
        <v>34.850189999999998</v>
      </c>
      <c r="AM264" s="267" t="str">
        <f>IF(ISNUMBER(SEARCH("C", 'Dry_Litterbag Placem_Collection'!T45)),"YES","NO")</f>
        <v>YES</v>
      </c>
      <c r="AN264" s="267" t="str">
        <f>IF(ISNUMBER(SEARCH("H", 'Dry_Litterbag Placem_Collection'!T45)),"YES","NO")</f>
        <v>YES</v>
      </c>
      <c r="AO264" s="267" t="str">
        <f>IF(ISNUMBER(SEARCH("R", 'Dry_Litterbag Placem_Collection'!T45)),"YES","NO")</f>
        <v>NO</v>
      </c>
    </row>
    <row r="265" spans="1:41" ht="15" customHeight="1">
      <c r="A265" s="259" t="s">
        <v>2643</v>
      </c>
      <c r="B265" s="260">
        <f>'Dry_Litterbag Placem_Collection'!A46</f>
        <v>44</v>
      </c>
      <c r="C265" s="260" t="str">
        <f>'Dry_Litterbag Placem_Collection'!B46</f>
        <v>Makao</v>
      </c>
      <c r="D265" s="260" t="s">
        <v>2643</v>
      </c>
      <c r="E265" s="260" t="s">
        <v>20</v>
      </c>
      <c r="F265" s="260">
        <v>2</v>
      </c>
      <c r="G265" s="260" t="s">
        <v>3807</v>
      </c>
      <c r="H265" s="261" t="str">
        <f>'Dry_Litterbag Placem_Collection'!C46</f>
        <v>Dry_P2_T4</v>
      </c>
      <c r="I265" s="262" t="s">
        <v>2525</v>
      </c>
      <c r="J265" s="269" t="s">
        <v>298</v>
      </c>
      <c r="K265" s="260" t="str">
        <f>IF(ISBLANK('Dry_Litterbag Placem_Collection'!K46),"","R"&amp;""&amp;'Dry_Litterbag Placem_Collection'!K46)</f>
        <v>R783</v>
      </c>
      <c r="L265" s="264">
        <f>IFERROR(INDEX('Green_rooibos initial weight'!$C$5:$C$2000,MATCH(K265, 'Green_rooibos initial weight'!$A$5:$A$2000,0)),"")</f>
        <v>2.1989999999999998</v>
      </c>
      <c r="M265" s="264">
        <f>IFERROR(L265-(TBIcalc!$Q$9+TBIcalc!$Q$10),"")</f>
        <v>1.9491999999999998</v>
      </c>
      <c r="N265" s="385">
        <f>AVERAGE(Ashed_controlls!$K$12:$K$14)</f>
        <v>2.2816647271287041</v>
      </c>
      <c r="O265" s="264">
        <f t="shared" si="21"/>
        <v>1.9047257911388071</v>
      </c>
      <c r="P265" s="264">
        <f>IFERROR(INDEX('Both teabags AfterDry'!$D$2:$D$2000,MATCH(K265,'Both teabags AfterDry'!$A$2:$A$2000,0)),"")</f>
        <v>1.8973</v>
      </c>
      <c r="Q265" s="264">
        <f>IFERROR(IF(P265&gt;0,P265-(TBIcalc!$Q$9),""),"")</f>
        <v>1.7466999999999999</v>
      </c>
      <c r="R265" s="275">
        <f>IFERROR(INDEX('Ashed teabags dry'!$K$2:$K$2000,MATCH(K265,'Ashed teabags dry'!$A$2:$A$2000,0)),"")</f>
        <v>3.6579572446556408</v>
      </c>
      <c r="S265" s="275">
        <f t="shared" si="22"/>
        <v>1.6828064608075999</v>
      </c>
      <c r="T265" s="265">
        <f>IF('Dry_Litterbag Placem_Collection'!E46="","",'Dry_Litterbag Placem_Collection'!E46)</f>
        <v>42938</v>
      </c>
      <c r="U265" s="265">
        <f>IF('Dry_Litterbag Placem_Collection'!G46="","",'Dry_Litterbag Placem_Collection'!G46)</f>
        <v>43005</v>
      </c>
      <c r="V265" s="266">
        <f t="shared" si="20"/>
        <v>67</v>
      </c>
      <c r="W265" s="264">
        <f t="shared" si="23"/>
        <v>0.2024999999999999</v>
      </c>
      <c r="X265" s="264">
        <f t="shared" si="24"/>
        <v>0.22191933033120725</v>
      </c>
      <c r="Y265" s="268">
        <f>IFERROR(INDEX(Rainfall_Dry!$O$2:$O$217,MATCH(B265, Rainfall_Dry!$A$2:$A$217,0)),"")</f>
        <v>6.5250000359999998</v>
      </c>
      <c r="Z265" s="257">
        <v>19.96</v>
      </c>
      <c r="AA265" s="257">
        <v>4.9199999999999982</v>
      </c>
      <c r="AB265" s="257">
        <v>75.12</v>
      </c>
      <c r="AC265" s="258" t="s">
        <v>2655</v>
      </c>
      <c r="AD265" s="257">
        <v>1.641498275012321</v>
      </c>
      <c r="AE265">
        <f>IF('WetLitterbags placem_collection'!AB46="","",'WetLitterbags placem_collection'!AB46)</f>
        <v>2.6</v>
      </c>
      <c r="AF265">
        <f>IF('WetLitterbags placem_collection'!Z46="","",'WetLitterbags placem_collection'!Z46)</f>
        <v>39.200000000000003</v>
      </c>
      <c r="AG265" s="243" t="str">
        <f>IF('WetLitterbags placem_collection'!AA46="","",'WetLitterbags placem_collection'!AA46)</f>
        <v>G</v>
      </c>
      <c r="AH265">
        <f>IF('WetLitterbags placem_collection'!AC46="","",'WetLitterbags placem_collection'!AC46)</f>
        <v>0</v>
      </c>
      <c r="AI265">
        <f>IFERROR(AVERAGE('Dry_Litterbag Placem_Collection'!O46,'Dry_Litterbag Placem_Collection'!R46),"")</f>
        <v>3.8499999999999996</v>
      </c>
      <c r="AJ265" s="268">
        <f>IFERROR(AVERAGE('Dry_Litterbag Placem_Collection'!N46,'Dry_Litterbag Placem_Collection'!Q46),"")</f>
        <v>26.5</v>
      </c>
      <c r="AK265" s="267">
        <f>INDEX(Coordinates!$B$2:$B$197,MATCH(H265,Coordinates!$J$2:$J$197,0))</f>
        <v>-3.4081529920000002</v>
      </c>
      <c r="AL265" s="267">
        <f>INDEX(Coordinates!$C$2:$C$197,MATCH(H265,Coordinates!$J$2:$J$197,0))</f>
        <v>34.850168959999998</v>
      </c>
      <c r="AM265" s="267" t="str">
        <f>IF(ISNUMBER(SEARCH("C", 'Dry_Litterbag Placem_Collection'!T46)),"YES","NO")</f>
        <v>NO</v>
      </c>
      <c r="AN265" s="267" t="str">
        <f>IF(ISNUMBER(SEARCH("H", 'Dry_Litterbag Placem_Collection'!T46)),"YES","NO")</f>
        <v>NO</v>
      </c>
      <c r="AO265" s="267" t="str">
        <f>IF(ISNUMBER(SEARCH("R", 'Dry_Litterbag Placem_Collection'!T46)),"YES","NO")</f>
        <v>NO</v>
      </c>
    </row>
    <row r="266" spans="1:41" ht="15" customHeight="1">
      <c r="A266" s="259" t="s">
        <v>2643</v>
      </c>
      <c r="B266" s="260">
        <f>'Dry_Litterbag Placem_Collection'!A47</f>
        <v>45</v>
      </c>
      <c r="C266" s="260" t="str">
        <f>'Dry_Litterbag Placem_Collection'!B47</f>
        <v>Makao</v>
      </c>
      <c r="D266" s="260" t="s">
        <v>2643</v>
      </c>
      <c r="E266" s="260" t="s">
        <v>20</v>
      </c>
      <c r="F266" s="260">
        <v>2</v>
      </c>
      <c r="G266" s="260" t="s">
        <v>3807</v>
      </c>
      <c r="H266" s="261" t="str">
        <f>'Dry_Litterbag Placem_Collection'!C47</f>
        <v>Dry_P2_T5</v>
      </c>
      <c r="I266" s="262" t="s">
        <v>2525</v>
      </c>
      <c r="J266" s="269" t="s">
        <v>298</v>
      </c>
      <c r="K266" s="260" t="str">
        <f>IF(ISBLANK('Dry_Litterbag Placem_Collection'!K47),"","R"&amp;""&amp;'Dry_Litterbag Placem_Collection'!K47)</f>
        <v>R827</v>
      </c>
      <c r="L266" s="264">
        <f>IFERROR(INDEX('Green_rooibos initial weight'!$C$5:$C$2000,MATCH(K266, 'Green_rooibos initial weight'!$A$5:$A$2000,0)),"")</f>
        <v>2.222</v>
      </c>
      <c r="M266" s="264">
        <f>IFERROR(L266-(TBIcalc!$Q$9+TBIcalc!$Q$10),"")</f>
        <v>1.9722</v>
      </c>
      <c r="N266" s="385">
        <f>AVERAGE(Ashed_controlls!$K$12:$K$14)</f>
        <v>2.2816647271287041</v>
      </c>
      <c r="O266" s="264">
        <f t="shared" si="21"/>
        <v>1.9272010082515676</v>
      </c>
      <c r="P266" s="264" t="str">
        <f>IFERROR(INDEX('Both teabags AfterDry'!$D$2:$D$2000,MATCH(K266,'Both teabags AfterDry'!$A$2:$A$2000,0)),"")</f>
        <v/>
      </c>
      <c r="Q266" s="264" t="str">
        <f>IFERROR(IF(P266&gt;0,P266-(TBIcalc!$Q$9),""),"")</f>
        <v/>
      </c>
      <c r="R266" s="275" t="str">
        <f>IFERROR(INDEX('Ashed teabags dry'!$K$2:$K$2000,MATCH(K266,'Ashed teabags dry'!$A$2:$A$2000,0)),"")</f>
        <v/>
      </c>
      <c r="S266" s="275" t="str">
        <f t="shared" si="22"/>
        <v/>
      </c>
      <c r="T266" s="265">
        <f>IF('Dry_Litterbag Placem_Collection'!E47="","",'Dry_Litterbag Placem_Collection'!E47)</f>
        <v>42938</v>
      </c>
      <c r="U266" s="265">
        <f>IF('Dry_Litterbag Placem_Collection'!G47="","",'Dry_Litterbag Placem_Collection'!G47)</f>
        <v>43005</v>
      </c>
      <c r="V266" s="266">
        <f t="shared" si="20"/>
        <v>67</v>
      </c>
      <c r="W266" s="264" t="str">
        <f t="shared" si="23"/>
        <v/>
      </c>
      <c r="X266" s="264" t="str">
        <f t="shared" si="24"/>
        <v/>
      </c>
      <c r="Y266" s="268">
        <f>IFERROR(INDEX(Rainfall_Dry!$O$2:$O$217,MATCH(B266, Rainfall_Dry!$A$2:$A$217,0)),"")</f>
        <v>6.5250000359999998</v>
      </c>
      <c r="Z266" s="257">
        <v>19.96</v>
      </c>
      <c r="AA266" s="257">
        <v>4.9199999999999982</v>
      </c>
      <c r="AB266" s="257">
        <v>75.12</v>
      </c>
      <c r="AC266" s="258" t="s">
        <v>2655</v>
      </c>
      <c r="AD266" s="257">
        <v>1.641498275012321</v>
      </c>
      <c r="AE266">
        <f>IF('WetLitterbags placem_collection'!AB47="","",'WetLitterbags placem_collection'!AB47)</f>
        <v>2.2999999999999998</v>
      </c>
      <c r="AF266">
        <f>IF('WetLitterbags placem_collection'!Z47="","",'WetLitterbags placem_collection'!Z47)</f>
        <v>9.3000000000000007</v>
      </c>
      <c r="AG266" s="243" t="str">
        <f>IF('WetLitterbags placem_collection'!AA47="","",'WetLitterbags placem_collection'!AA47)</f>
        <v>O</v>
      </c>
      <c r="AH266">
        <f>IF('WetLitterbags placem_collection'!AC47="","",'WetLitterbags placem_collection'!AC47)</f>
        <v>0</v>
      </c>
      <c r="AI266">
        <f>IFERROR(AVERAGE('Dry_Litterbag Placem_Collection'!O47,'Dry_Litterbag Placem_Collection'!R47),"")</f>
        <v>4.0999999999999996</v>
      </c>
      <c r="AJ266" s="268">
        <f>IFERROR(AVERAGE('Dry_Litterbag Placem_Collection'!N47,'Dry_Litterbag Placem_Collection'!Q47),"")</f>
        <v>27.25</v>
      </c>
      <c r="AK266" s="267">
        <f>INDEX(Coordinates!$B$2:$B$197,MATCH(H266,Coordinates!$J$2:$J$197,0))</f>
        <v>-3.4081789759999999</v>
      </c>
      <c r="AL266" s="267">
        <f>INDEX(Coordinates!$C$2:$C$197,MATCH(H266,Coordinates!$J$2:$J$197,0))</f>
        <v>34.850516980000002</v>
      </c>
      <c r="AM266" s="267" t="str">
        <f>IF(ISNUMBER(SEARCH("C", 'Dry_Litterbag Placem_Collection'!T47)),"YES","NO")</f>
        <v>YES</v>
      </c>
      <c r="AN266" s="267" t="str">
        <f>IF(ISNUMBER(SEARCH("H", 'Dry_Litterbag Placem_Collection'!T47)),"YES","NO")</f>
        <v>YES</v>
      </c>
      <c r="AO266" s="267" t="str">
        <f>IF(ISNUMBER(SEARCH("R", 'Dry_Litterbag Placem_Collection'!T47)),"YES","NO")</f>
        <v>NO</v>
      </c>
    </row>
    <row r="267" spans="1:41" ht="15" customHeight="1">
      <c r="A267" s="259" t="s">
        <v>2643</v>
      </c>
      <c r="B267" s="260">
        <f>'Dry_Litterbag Placem_Collection'!A48</f>
        <v>46</v>
      </c>
      <c r="C267" s="260" t="str">
        <f>'Dry_Litterbag Placem_Collection'!B48</f>
        <v>Makao</v>
      </c>
      <c r="D267" s="260" t="s">
        <v>2643</v>
      </c>
      <c r="E267" s="260" t="s">
        <v>20</v>
      </c>
      <c r="F267" s="260">
        <v>2</v>
      </c>
      <c r="G267" s="260" t="s">
        <v>3807</v>
      </c>
      <c r="H267" s="261" t="str">
        <f>'Dry_Litterbag Placem_Collection'!C48</f>
        <v>Dry_P2_T6</v>
      </c>
      <c r="I267" s="262" t="s">
        <v>2525</v>
      </c>
      <c r="J267" s="269" t="s">
        <v>298</v>
      </c>
      <c r="K267" s="260" t="str">
        <f>IF(ISBLANK('Dry_Litterbag Placem_Collection'!K48),"","R"&amp;""&amp;'Dry_Litterbag Placem_Collection'!K48)</f>
        <v/>
      </c>
      <c r="L267" s="264" t="str">
        <f>IFERROR(INDEX('Green_rooibos initial weight'!$C$5:$C$2000,MATCH(K267, 'Green_rooibos initial weight'!$A$5:$A$2000,0)),"")</f>
        <v/>
      </c>
      <c r="M267" s="264" t="str">
        <f>IFERROR(L267-(TBIcalc!$Q$9+TBIcalc!$Q$10),"")</f>
        <v/>
      </c>
      <c r="N267" s="385">
        <f>AVERAGE(Ashed_controlls!$K$12:$K$14)</f>
        <v>2.2816647271287041</v>
      </c>
      <c r="O267" s="264" t="str">
        <f t="shared" si="21"/>
        <v/>
      </c>
      <c r="P267" s="264" t="str">
        <f>IFERROR(INDEX('Both teabags AfterDry'!$D$2:$D$2000,MATCH(K267,'Both teabags AfterDry'!$A$2:$A$2000,0)),"")</f>
        <v/>
      </c>
      <c r="Q267" s="264" t="str">
        <f>IFERROR(IF(P267&gt;0,P267-(TBIcalc!$Q$9),""),"")</f>
        <v/>
      </c>
      <c r="R267" s="275" t="str">
        <f>IFERROR(INDEX('Ashed teabags dry'!$K$2:$K$2000,MATCH(K267,'Ashed teabags dry'!$A$2:$A$2000,0)),"")</f>
        <v/>
      </c>
      <c r="S267" s="275" t="str">
        <f t="shared" si="22"/>
        <v/>
      </c>
      <c r="T267" s="265" t="str">
        <f>IF('Dry_Litterbag Placem_Collection'!E48="","",'Dry_Litterbag Placem_Collection'!E48)</f>
        <v/>
      </c>
      <c r="U267" s="265" t="str">
        <f>IF('Dry_Litterbag Placem_Collection'!G48="","",'Dry_Litterbag Placem_Collection'!G48)</f>
        <v/>
      </c>
      <c r="V267" s="266" t="str">
        <f t="shared" si="20"/>
        <v/>
      </c>
      <c r="W267" s="264" t="str">
        <f t="shared" si="23"/>
        <v/>
      </c>
      <c r="X267" s="264" t="str">
        <f t="shared" si="24"/>
        <v/>
      </c>
      <c r="Y267" s="268" t="str">
        <f>IFERROR(INDEX(Rainfall_Dry!$O$2:$O$217,MATCH(B267, Rainfall_Dry!$A$2:$A$217,0)),"")</f>
        <v/>
      </c>
      <c r="Z267" s="257">
        <v>19.96</v>
      </c>
      <c r="AA267" s="257">
        <v>4.9199999999999982</v>
      </c>
      <c r="AB267" s="257">
        <v>75.12</v>
      </c>
      <c r="AC267" s="258" t="s">
        <v>2655</v>
      </c>
      <c r="AD267" s="257">
        <v>1.641498275012321</v>
      </c>
      <c r="AE267" t="str">
        <f>IF('WetLitterbags placem_collection'!AB48="","",'WetLitterbags placem_collection'!AB48)</f>
        <v/>
      </c>
      <c r="AF267" t="str">
        <f>IF('WetLitterbags placem_collection'!Z48="","",'WetLitterbags placem_collection'!Z48)</f>
        <v/>
      </c>
      <c r="AG267" s="243" t="str">
        <f>IF('WetLitterbags placem_collection'!AA48="","",'WetLitterbags placem_collection'!AA48)</f>
        <v/>
      </c>
      <c r="AH267" t="str">
        <f>IF('WetLitterbags placem_collection'!AC48="","",'WetLitterbags placem_collection'!AC48)</f>
        <v/>
      </c>
      <c r="AI267" t="str">
        <f>IFERROR(AVERAGE('Dry_Litterbag Placem_Collection'!O48,'Dry_Litterbag Placem_Collection'!R48),"")</f>
        <v/>
      </c>
      <c r="AJ267" s="268" t="str">
        <f>IFERROR(AVERAGE('Dry_Litterbag Placem_Collection'!N48,'Dry_Litterbag Placem_Collection'!Q48),"")</f>
        <v/>
      </c>
      <c r="AK267" s="267">
        <f>INDEX(Coordinates!$B$2:$B$197,MATCH(H267,Coordinates!$J$2:$J$197,0))</f>
        <v>-3.4084730130000001</v>
      </c>
      <c r="AL267" s="267">
        <f>INDEX(Coordinates!$C$2:$C$197,MATCH(H267,Coordinates!$J$2:$J$197,0))</f>
        <v>34.850401980000001</v>
      </c>
      <c r="AM267" s="267" t="str">
        <f>IF(ISNUMBER(SEARCH("C", 'Dry_Litterbag Placem_Collection'!T48)),"YES","NO")</f>
        <v>NO</v>
      </c>
      <c r="AN267" s="267" t="str">
        <f>IF(ISNUMBER(SEARCH("H", 'Dry_Litterbag Placem_Collection'!T48)),"YES","NO")</f>
        <v>NO</v>
      </c>
      <c r="AO267" s="267" t="str">
        <f>IF(ISNUMBER(SEARCH("R", 'Dry_Litterbag Placem_Collection'!T48)),"YES","NO")</f>
        <v>NO</v>
      </c>
    </row>
    <row r="268" spans="1:41" ht="15" customHeight="1">
      <c r="A268" s="259" t="s">
        <v>2643</v>
      </c>
      <c r="B268" s="260">
        <f>'Dry_Litterbag Placem_Collection'!A49</f>
        <v>47</v>
      </c>
      <c r="C268" s="260" t="str">
        <f>'Dry_Litterbag Placem_Collection'!B49</f>
        <v>Makao</v>
      </c>
      <c r="D268" s="260" t="s">
        <v>2643</v>
      </c>
      <c r="E268" s="260" t="s">
        <v>20</v>
      </c>
      <c r="F268" s="260">
        <v>2</v>
      </c>
      <c r="G268" s="260" t="s">
        <v>3807</v>
      </c>
      <c r="H268" s="261" t="str">
        <f>'Dry_Litterbag Placem_Collection'!C49</f>
        <v>Dry_P2_T7</v>
      </c>
      <c r="I268" s="262" t="s">
        <v>2525</v>
      </c>
      <c r="J268" s="269" t="s">
        <v>298</v>
      </c>
      <c r="K268" s="260" t="str">
        <f>IF(ISBLANK('Dry_Litterbag Placem_Collection'!K49),"","R"&amp;""&amp;'Dry_Litterbag Placem_Collection'!K49)</f>
        <v>R831</v>
      </c>
      <c r="L268" s="264">
        <f>IFERROR(INDEX('Green_rooibos initial weight'!$C$5:$C$2000,MATCH(K268, 'Green_rooibos initial weight'!$A$5:$A$2000,0)),"")</f>
        <v>2.2410000000000001</v>
      </c>
      <c r="M268" s="264">
        <f>IFERROR(L268-(TBIcalc!$Q$9+TBIcalc!$Q$10),"")</f>
        <v>1.9912000000000001</v>
      </c>
      <c r="N268" s="385">
        <f>AVERAGE(Ashed_controlls!$K$12:$K$14)</f>
        <v>2.2816647271287041</v>
      </c>
      <c r="O268" s="264">
        <f t="shared" si="21"/>
        <v>1.9457674919534134</v>
      </c>
      <c r="P268" s="264">
        <f>IFERROR(INDEX('Both teabags AfterDry'!$D$2:$D$2000,MATCH(K268,'Both teabags AfterDry'!$A$2:$A$2000,0)),"")</f>
        <v>1.9105000000000001</v>
      </c>
      <c r="Q268" s="264">
        <f>IFERROR(IF(P268&gt;0,P268-(TBIcalc!$Q$9),""),"")</f>
        <v>1.7599</v>
      </c>
      <c r="R268" s="275">
        <f>IFERROR(INDEX('Ashed teabags dry'!$K$2:$K$2000,MATCH(K268,'Ashed teabags dry'!$A$2:$A$2000,0)),"")</f>
        <v>4.5857988165679391</v>
      </c>
      <c r="S268" s="275">
        <f t="shared" si="22"/>
        <v>1.6791945266272208</v>
      </c>
      <c r="T268" s="265">
        <f>IF('Dry_Litterbag Placem_Collection'!E49="","",'Dry_Litterbag Placem_Collection'!E49)</f>
        <v>42938</v>
      </c>
      <c r="U268" s="265">
        <f>IF('Dry_Litterbag Placem_Collection'!G49="","",'Dry_Litterbag Placem_Collection'!G49)</f>
        <v>43005</v>
      </c>
      <c r="V268" s="266">
        <f t="shared" si="20"/>
        <v>67</v>
      </c>
      <c r="W268" s="264">
        <f t="shared" si="23"/>
        <v>0.23130000000000006</v>
      </c>
      <c r="X268" s="264">
        <f t="shared" si="24"/>
        <v>0.26657296532619257</v>
      </c>
      <c r="Y268" s="268">
        <f>IFERROR(INDEX(Rainfall_Dry!$O$2:$O$217,MATCH(B268, Rainfall_Dry!$A$2:$A$217,0)),"")</f>
        <v>6.5250000359999998</v>
      </c>
      <c r="Z268" s="257">
        <v>19.96</v>
      </c>
      <c r="AA268" s="257">
        <v>4.9199999999999982</v>
      </c>
      <c r="AB268" s="257">
        <v>75.12</v>
      </c>
      <c r="AC268" s="258" t="s">
        <v>2655</v>
      </c>
      <c r="AD268" s="257">
        <v>1.641498275012321</v>
      </c>
      <c r="AE268">
        <f>IF('WetLitterbags placem_collection'!AB49="","",'WetLitterbags placem_collection'!AB49)</f>
        <v>5.2</v>
      </c>
      <c r="AF268">
        <f>IF('WetLitterbags placem_collection'!Z49="","",'WetLitterbags placem_collection'!Z49)</f>
        <v>5.2</v>
      </c>
      <c r="AG268" s="243" t="str">
        <f>IF('WetLitterbags placem_collection'!AA49="","",'WetLitterbags placem_collection'!AA49)</f>
        <v>G</v>
      </c>
      <c r="AH268">
        <f>IF('WetLitterbags placem_collection'!AC49="","",'WetLitterbags placem_collection'!AC49)</f>
        <v>0</v>
      </c>
      <c r="AI268">
        <f>IFERROR(AVERAGE('Dry_Litterbag Placem_Collection'!O49,'Dry_Litterbag Placem_Collection'!R49),"")</f>
        <v>5.35</v>
      </c>
      <c r="AJ268" s="268">
        <f>IFERROR(AVERAGE('Dry_Litterbag Placem_Collection'!N49,'Dry_Litterbag Placem_Collection'!Q49),"")</f>
        <v>26.4</v>
      </c>
      <c r="AK268" s="267">
        <f>INDEX(Coordinates!$B$2:$B$197,MATCH(H268,Coordinates!$J$2:$J$197,0))</f>
        <v>-3.4084819820000001</v>
      </c>
      <c r="AL268" s="267">
        <f>INDEX(Coordinates!$C$2:$C$197,MATCH(H268,Coordinates!$J$2:$J$197,0))</f>
        <v>34.850024040000001</v>
      </c>
      <c r="AM268" s="267" t="str">
        <f>IF(ISNUMBER(SEARCH("C", 'Dry_Litterbag Placem_Collection'!T49)),"YES","NO")</f>
        <v>NO</v>
      </c>
      <c r="AN268" s="267" t="str">
        <f>IF(ISNUMBER(SEARCH("H", 'Dry_Litterbag Placem_Collection'!T49)),"YES","NO")</f>
        <v>YES</v>
      </c>
      <c r="AO268" s="267" t="str">
        <f>IF(ISNUMBER(SEARCH("R", 'Dry_Litterbag Placem_Collection'!T49)),"YES","NO")</f>
        <v>NO</v>
      </c>
    </row>
    <row r="269" spans="1:41" ht="15" customHeight="1">
      <c r="A269" s="259" t="s">
        <v>2643</v>
      </c>
      <c r="B269" s="260">
        <f>'Dry_Litterbag Placem_Collection'!A50</f>
        <v>48</v>
      </c>
      <c r="C269" s="260" t="str">
        <f>'Dry_Litterbag Placem_Collection'!B50</f>
        <v>Makao</v>
      </c>
      <c r="D269" s="260" t="s">
        <v>2643</v>
      </c>
      <c r="E269" s="260" t="s">
        <v>20</v>
      </c>
      <c r="F269" s="260">
        <v>2</v>
      </c>
      <c r="G269" s="260" t="s">
        <v>3807</v>
      </c>
      <c r="H269" s="261" t="str">
        <f>'Dry_Litterbag Placem_Collection'!C50</f>
        <v>Dry_P2_T8</v>
      </c>
      <c r="I269" s="262" t="s">
        <v>2525</v>
      </c>
      <c r="J269" s="269" t="s">
        <v>298</v>
      </c>
      <c r="K269" s="260" t="str">
        <f>IF(ISBLANK('Dry_Litterbag Placem_Collection'!K50),"","R"&amp;""&amp;'Dry_Litterbag Placem_Collection'!K50)</f>
        <v>R828</v>
      </c>
      <c r="L269" s="264">
        <f>IFERROR(INDEX('Green_rooibos initial weight'!$C$5:$C$2000,MATCH(K269, 'Green_rooibos initial weight'!$A$5:$A$2000,0)),"")</f>
        <v>2.2330000000000001</v>
      </c>
      <c r="M269" s="264">
        <f>IFERROR(L269-(TBIcalc!$Q$9+TBIcalc!$Q$10),"")</f>
        <v>1.9832000000000001</v>
      </c>
      <c r="N269" s="385">
        <f>AVERAGE(Ashed_controlls!$K$12:$K$14)</f>
        <v>2.2816647271287041</v>
      </c>
      <c r="O269" s="264">
        <f t="shared" si="21"/>
        <v>1.9379500251315835</v>
      </c>
      <c r="P269" s="264">
        <f>IFERROR(INDEX('Both teabags AfterDry'!$D$2:$D$2000,MATCH(K269,'Both teabags AfterDry'!$A$2:$A$2000,0)),"")</f>
        <v>1.7596000000000001</v>
      </c>
      <c r="Q269" s="264">
        <f>IFERROR(IF(P269&gt;0,P269-(TBIcalc!$Q$9),""),"")</f>
        <v>1.609</v>
      </c>
      <c r="R269" s="275">
        <f>IFERROR(INDEX('Ashed teabags dry'!$K$2:$K$2000,MATCH(K269,'Ashed teabags dry'!$A$2:$A$2000,0)),"")</f>
        <v>2.0276953511382803</v>
      </c>
      <c r="S269" s="275">
        <f t="shared" si="22"/>
        <v>1.576374381800185</v>
      </c>
      <c r="T269" s="265">
        <f>IF('Dry_Litterbag Placem_Collection'!E50="","",'Dry_Litterbag Placem_Collection'!E50)</f>
        <v>42938</v>
      </c>
      <c r="U269" s="265">
        <f>IF('Dry_Litterbag Placem_Collection'!G50="","",'Dry_Litterbag Placem_Collection'!G50)</f>
        <v>43005</v>
      </c>
      <c r="V269" s="266">
        <f t="shared" si="20"/>
        <v>67</v>
      </c>
      <c r="W269" s="264">
        <f t="shared" si="23"/>
        <v>0.37420000000000009</v>
      </c>
      <c r="X269" s="264">
        <f t="shared" si="24"/>
        <v>0.36157564333139858</v>
      </c>
      <c r="Y269" s="268">
        <f>IFERROR(INDEX(Rainfall_Dry!$O$2:$O$217,MATCH(B269, Rainfall_Dry!$A$2:$A$217,0)),"")</f>
        <v>6.5250000359999998</v>
      </c>
      <c r="Z269" s="257">
        <v>19.96</v>
      </c>
      <c r="AA269" s="257">
        <v>4.9199999999999982</v>
      </c>
      <c r="AB269" s="257">
        <v>75.12</v>
      </c>
      <c r="AC269" s="258" t="s">
        <v>2655</v>
      </c>
      <c r="AD269" s="257">
        <v>1.641498275012321</v>
      </c>
      <c r="AE269">
        <f>IF('WetLitterbags placem_collection'!AB50="","",'WetLitterbags placem_collection'!AB50)</f>
        <v>7.3</v>
      </c>
      <c r="AF269">
        <f>IF('WetLitterbags placem_collection'!Z50="","",'WetLitterbags placem_collection'!Z50)</f>
        <v>27.2</v>
      </c>
      <c r="AG269" s="243" t="str">
        <f>IF('WetLitterbags placem_collection'!AA50="","",'WetLitterbags placem_collection'!AA50)</f>
        <v>M</v>
      </c>
      <c r="AH269">
        <f>IF('WetLitterbags placem_collection'!AC50="","",'WetLitterbags placem_collection'!AC50)</f>
        <v>0</v>
      </c>
      <c r="AI269">
        <f>IFERROR(AVERAGE('Dry_Litterbag Placem_Collection'!O50,'Dry_Litterbag Placem_Collection'!R50),"")</f>
        <v>3.95</v>
      </c>
      <c r="AJ269" s="268">
        <f>IFERROR(AVERAGE('Dry_Litterbag Placem_Collection'!N50,'Dry_Litterbag Placem_Collection'!Q50),"")</f>
        <v>25.950000000000003</v>
      </c>
      <c r="AK269" s="267">
        <f>INDEX(Coordinates!$B$2:$B$197,MATCH(H269,Coordinates!$J$2:$J$197,0))</f>
        <v>-3.4081990090000001</v>
      </c>
      <c r="AL269" s="267">
        <f>INDEX(Coordinates!$C$2:$C$197,MATCH(H269,Coordinates!$J$2:$J$197,0))</f>
        <v>34.850254960000001</v>
      </c>
      <c r="AM269" s="267" t="str">
        <f>IF(ISNUMBER(SEARCH("C", 'Dry_Litterbag Placem_Collection'!T50)),"YES","NO")</f>
        <v>NO</v>
      </c>
      <c r="AN269" s="267" t="str">
        <f>IF(ISNUMBER(SEARCH("H", 'Dry_Litterbag Placem_Collection'!T50)),"YES","NO")</f>
        <v>NO</v>
      </c>
      <c r="AO269" s="267" t="str">
        <f>IF(ISNUMBER(SEARCH("R", 'Dry_Litterbag Placem_Collection'!T50)),"YES","NO")</f>
        <v>NO</v>
      </c>
    </row>
    <row r="270" spans="1:41" ht="15" customHeight="1">
      <c r="A270" s="259" t="s">
        <v>2643</v>
      </c>
      <c r="B270" s="260">
        <f>'Dry_Litterbag Placem_Collection'!A51</f>
        <v>49</v>
      </c>
      <c r="C270" s="260" t="str">
        <f>'Dry_Litterbag Placem_Collection'!B51</f>
        <v>Makao</v>
      </c>
      <c r="D270" s="260" t="s">
        <v>2643</v>
      </c>
      <c r="E270" s="260" t="s">
        <v>20</v>
      </c>
      <c r="F270" s="260">
        <v>3</v>
      </c>
      <c r="G270" s="260" t="s">
        <v>3808</v>
      </c>
      <c r="H270" s="261" t="str">
        <f>'Dry_Litterbag Placem_Collection'!C51</f>
        <v>Dry_P3_T1</v>
      </c>
      <c r="I270" s="262" t="s">
        <v>2525</v>
      </c>
      <c r="J270" s="269" t="s">
        <v>298</v>
      </c>
      <c r="K270" s="260" t="str">
        <f>IF(ISBLANK('Dry_Litterbag Placem_Collection'!K51),"","R"&amp;""&amp;'Dry_Litterbag Placem_Collection'!K51)</f>
        <v>R805</v>
      </c>
      <c r="L270" s="264">
        <f>IFERROR(INDEX('Green_rooibos initial weight'!$C$5:$C$2000,MATCH(K270, 'Green_rooibos initial weight'!$A$5:$A$2000,0)),"")</f>
        <v>2.2469999999999999</v>
      </c>
      <c r="M270" s="264">
        <f>IFERROR(L270-(TBIcalc!$Q$9+TBIcalc!$Q$10),"")</f>
        <v>1.9971999999999999</v>
      </c>
      <c r="N270" s="385">
        <f>AVERAGE(Ashed_controlls!$K$12:$K$14)</f>
        <v>2.2816647271287041</v>
      </c>
      <c r="O270" s="264">
        <f t="shared" si="21"/>
        <v>1.9516305920697854</v>
      </c>
      <c r="P270" s="264" t="str">
        <f>IFERROR(INDEX('Both teabags AfterDry'!$D$2:$D$2000,MATCH(K270,'Both teabags AfterDry'!$A$2:$A$2000,0)),"")</f>
        <v/>
      </c>
      <c r="Q270" s="264" t="str">
        <f>IFERROR(IF(P270&gt;0,P270-(TBIcalc!$Q$9),""),"")</f>
        <v/>
      </c>
      <c r="R270" s="275" t="str">
        <f>IFERROR(INDEX('Ashed teabags dry'!$K$2:$K$2000,MATCH(K270,'Ashed teabags dry'!$A$2:$A$2000,0)),"")</f>
        <v/>
      </c>
      <c r="S270" s="275" t="str">
        <f t="shared" si="22"/>
        <v/>
      </c>
      <c r="T270" s="265">
        <f>IF('Dry_Litterbag Placem_Collection'!E51="","",'Dry_Litterbag Placem_Collection'!E51)</f>
        <v>42938</v>
      </c>
      <c r="U270" s="265">
        <f>IF('Dry_Litterbag Placem_Collection'!G51="","",'Dry_Litterbag Placem_Collection'!G51)</f>
        <v>43005</v>
      </c>
      <c r="V270" s="266">
        <f t="shared" si="20"/>
        <v>67</v>
      </c>
      <c r="W270" s="264" t="str">
        <f t="shared" si="23"/>
        <v/>
      </c>
      <c r="X270" s="264" t="str">
        <f t="shared" si="24"/>
        <v/>
      </c>
      <c r="Y270" s="268">
        <f>IFERROR(INDEX(Rainfall_Dry!$O$2:$O$217,MATCH(B270, Rainfall_Dry!$A$2:$A$217,0)),"")</f>
        <v>6.5250000359999998</v>
      </c>
      <c r="Z270" s="257">
        <v>21.96</v>
      </c>
      <c r="AA270" s="257">
        <v>8.9199999999999982</v>
      </c>
      <c r="AB270" s="257">
        <v>69.12</v>
      </c>
      <c r="AC270" s="258" t="s">
        <v>2654</v>
      </c>
      <c r="AD270" s="257">
        <v>1.7491375061606702</v>
      </c>
      <c r="AE270">
        <f>IF('WetLitterbags placem_collection'!AB51="","",'WetLitterbags placem_collection'!AB51)</f>
        <v>10.4</v>
      </c>
      <c r="AF270">
        <f>IF('WetLitterbags placem_collection'!Z51="","",'WetLitterbags placem_collection'!Z51)</f>
        <v>36</v>
      </c>
      <c r="AG270" s="243" t="str">
        <f>IF('WetLitterbags placem_collection'!AA51="","",'WetLitterbags placem_collection'!AA51)</f>
        <v>M</v>
      </c>
      <c r="AH270">
        <f>IF('WetLitterbags placem_collection'!AC51="","",'WetLitterbags placem_collection'!AC51)</f>
        <v>1</v>
      </c>
      <c r="AI270">
        <f>IFERROR(AVERAGE('Dry_Litterbag Placem_Collection'!O51,'Dry_Litterbag Placem_Collection'!R51),"")</f>
        <v>7.05</v>
      </c>
      <c r="AJ270" s="268">
        <f>IFERROR(AVERAGE('Dry_Litterbag Placem_Collection'!N51,'Dry_Litterbag Placem_Collection'!Q51),"")</f>
        <v>31.5</v>
      </c>
      <c r="AK270" s="267">
        <f>INDEX(Coordinates!$B$2:$B$197,MATCH(H270,Coordinates!$J$2:$J$197,0))</f>
        <v>-3.406225992</v>
      </c>
      <c r="AL270" s="267">
        <f>INDEX(Coordinates!$C$2:$C$197,MATCH(H270,Coordinates!$J$2:$J$197,0))</f>
        <v>34.85055998</v>
      </c>
      <c r="AM270" s="267" t="str">
        <f>IF(ISNUMBER(SEARCH("C", 'Dry_Litterbag Placem_Collection'!T51)),"YES","NO")</f>
        <v>NO</v>
      </c>
      <c r="AN270" s="267" t="str">
        <f>IF(ISNUMBER(SEARCH("H", 'Dry_Litterbag Placem_Collection'!T51)),"YES","NO")</f>
        <v>NO</v>
      </c>
      <c r="AO270" s="267" t="str">
        <f>IF(ISNUMBER(SEARCH("R", 'Dry_Litterbag Placem_Collection'!T51)),"YES","NO")</f>
        <v>NO</v>
      </c>
    </row>
    <row r="271" spans="1:41" ht="15" customHeight="1">
      <c r="A271" s="259" t="s">
        <v>2643</v>
      </c>
      <c r="B271" s="260">
        <f>'Dry_Litterbag Placem_Collection'!A52</f>
        <v>50</v>
      </c>
      <c r="C271" s="260" t="str">
        <f>'Dry_Litterbag Placem_Collection'!B52</f>
        <v>Makao</v>
      </c>
      <c r="D271" s="260" t="s">
        <v>2643</v>
      </c>
      <c r="E271" s="260" t="s">
        <v>20</v>
      </c>
      <c r="F271" s="260">
        <v>3</v>
      </c>
      <c r="G271" s="260" t="s">
        <v>3808</v>
      </c>
      <c r="H271" s="261" t="str">
        <f>'Dry_Litterbag Placem_Collection'!C52</f>
        <v>Dry_P3_T2</v>
      </c>
      <c r="I271" s="262" t="s">
        <v>2525</v>
      </c>
      <c r="J271" s="269" t="s">
        <v>298</v>
      </c>
      <c r="K271" s="260" t="str">
        <f>IF(ISBLANK('Dry_Litterbag Placem_Collection'!K52),"","R"&amp;""&amp;'Dry_Litterbag Placem_Collection'!K52)</f>
        <v>R754</v>
      </c>
      <c r="L271" s="264">
        <f>IFERROR(INDEX('Green_rooibos initial weight'!$C$5:$C$2000,MATCH(K271, 'Green_rooibos initial weight'!$A$5:$A$2000,0)),"")</f>
        <v>2.2069999999999999</v>
      </c>
      <c r="M271" s="264">
        <f>IFERROR(L271-(TBIcalc!$Q$9+TBIcalc!$Q$10),"")</f>
        <v>1.9571999999999998</v>
      </c>
      <c r="N271" s="385">
        <f>AVERAGE(Ashed_controlls!$K$12:$K$14)</f>
        <v>2.2816647271287041</v>
      </c>
      <c r="O271" s="264">
        <f t="shared" si="21"/>
        <v>1.9125432579606367</v>
      </c>
      <c r="P271" s="264" t="str">
        <f>IFERROR(INDEX('Both teabags AfterDry'!$D$2:$D$2000,MATCH(K271,'Both teabags AfterDry'!$A$2:$A$2000,0)),"")</f>
        <v/>
      </c>
      <c r="Q271" s="264" t="str">
        <f>IFERROR(IF(P271&gt;0,P271-(TBIcalc!$Q$9),""),"")</f>
        <v/>
      </c>
      <c r="R271" s="275" t="str">
        <f>IFERROR(INDEX('Ashed teabags dry'!$K$2:$K$2000,MATCH(K271,'Ashed teabags dry'!$A$2:$A$2000,0)),"")</f>
        <v/>
      </c>
      <c r="S271" s="275" t="str">
        <f t="shared" si="22"/>
        <v/>
      </c>
      <c r="T271" s="265">
        <f>IF('Dry_Litterbag Placem_Collection'!E52="","",'Dry_Litterbag Placem_Collection'!E52)</f>
        <v>42938</v>
      </c>
      <c r="U271" s="265" t="str">
        <f>IF('Dry_Litterbag Placem_Collection'!G52="","",'Dry_Litterbag Placem_Collection'!G52)</f>
        <v/>
      </c>
      <c r="V271" s="266" t="str">
        <f t="shared" si="20"/>
        <v/>
      </c>
      <c r="W271" s="264" t="str">
        <f t="shared" si="23"/>
        <v/>
      </c>
      <c r="X271" s="264" t="str">
        <f t="shared" si="24"/>
        <v/>
      </c>
      <c r="Y271" s="268" t="str">
        <f>IFERROR(INDEX(Rainfall_Dry!$O$2:$O$217,MATCH(B271, Rainfall_Dry!$A$2:$A$217,0)),"")</f>
        <v/>
      </c>
      <c r="Z271" s="257">
        <v>21.96</v>
      </c>
      <c r="AA271" s="257">
        <v>8.9199999999999982</v>
      </c>
      <c r="AB271" s="257">
        <v>69.12</v>
      </c>
      <c r="AC271" s="258" t="s">
        <v>2654</v>
      </c>
      <c r="AD271" s="257">
        <v>1.7491375061606702</v>
      </c>
      <c r="AE271">
        <f>IF('WetLitterbags placem_collection'!AB52="","",'WetLitterbags placem_collection'!AB52)</f>
        <v>10</v>
      </c>
      <c r="AF271">
        <f>IF('WetLitterbags placem_collection'!Z52="","",'WetLitterbags placem_collection'!Z52)</f>
        <v>22.5</v>
      </c>
      <c r="AG271" s="243" t="str">
        <f>IF('WetLitterbags placem_collection'!AA52="","",'WetLitterbags placem_collection'!AA52)</f>
        <v>M</v>
      </c>
      <c r="AH271">
        <f>IF('WetLitterbags placem_collection'!AC52="","",'WetLitterbags placem_collection'!AC52)</f>
        <v>1</v>
      </c>
      <c r="AI271">
        <f>IFERROR(AVERAGE('Dry_Litterbag Placem_Collection'!O52,'Dry_Litterbag Placem_Collection'!R52),"")</f>
        <v>6.4</v>
      </c>
      <c r="AJ271" s="268">
        <f>IFERROR(AVERAGE('Dry_Litterbag Placem_Collection'!N52,'Dry_Litterbag Placem_Collection'!Q52),"")</f>
        <v>27.6</v>
      </c>
      <c r="AK271" s="267">
        <f>INDEX(Coordinates!$B$2:$B$197,MATCH(H271,Coordinates!$J$2:$J$197,0))</f>
        <v>-3.4062630399999998</v>
      </c>
      <c r="AL271" s="267">
        <f>INDEX(Coordinates!$C$2:$C$197,MATCH(H271,Coordinates!$J$2:$J$197,0))</f>
        <v>34.850566010000001</v>
      </c>
      <c r="AM271" s="267" t="str">
        <f>IF(ISNUMBER(SEARCH("C", 'Dry_Litterbag Placem_Collection'!T52)),"YES","NO")</f>
        <v>NO</v>
      </c>
      <c r="AN271" s="267" t="str">
        <f>IF(ISNUMBER(SEARCH("H", 'Dry_Litterbag Placem_Collection'!T52)),"YES","NO")</f>
        <v>NO</v>
      </c>
      <c r="AO271" s="267" t="str">
        <f>IF(ISNUMBER(SEARCH("R", 'Dry_Litterbag Placem_Collection'!T52)),"YES","NO")</f>
        <v>NO</v>
      </c>
    </row>
    <row r="272" spans="1:41" ht="15" customHeight="1">
      <c r="A272" s="259" t="s">
        <v>2643</v>
      </c>
      <c r="B272" s="260">
        <f>'Dry_Litterbag Placem_Collection'!A53</f>
        <v>51</v>
      </c>
      <c r="C272" s="260" t="str">
        <f>'Dry_Litterbag Placem_Collection'!B53</f>
        <v>Makao</v>
      </c>
      <c r="D272" s="260" t="s">
        <v>2643</v>
      </c>
      <c r="E272" s="260" t="s">
        <v>20</v>
      </c>
      <c r="F272" s="260">
        <v>3</v>
      </c>
      <c r="G272" s="260" t="s">
        <v>3808</v>
      </c>
      <c r="H272" s="261" t="str">
        <f>'Dry_Litterbag Placem_Collection'!C53</f>
        <v>Dry_P3_T3</v>
      </c>
      <c r="I272" s="262" t="s">
        <v>2525</v>
      </c>
      <c r="J272" s="269" t="s">
        <v>298</v>
      </c>
      <c r="K272" s="260" t="str">
        <f>IF(ISBLANK('Dry_Litterbag Placem_Collection'!K53),"","R"&amp;""&amp;'Dry_Litterbag Placem_Collection'!K53)</f>
        <v>R798</v>
      </c>
      <c r="L272" s="264">
        <f>IFERROR(INDEX('Green_rooibos initial weight'!$C$5:$C$2000,MATCH(K272, 'Green_rooibos initial weight'!$A$5:$A$2000,0)),"")</f>
        <v>2.1850000000000001</v>
      </c>
      <c r="M272" s="264">
        <f>IFERROR(L272-(TBIcalc!$Q$9+TBIcalc!$Q$10),"")</f>
        <v>1.9352</v>
      </c>
      <c r="N272" s="385">
        <f>AVERAGE(Ashed_controlls!$K$12:$K$14)</f>
        <v>2.2816647271287041</v>
      </c>
      <c r="O272" s="264">
        <f t="shared" si="21"/>
        <v>1.8910452242006053</v>
      </c>
      <c r="P272" s="264">
        <f>IFERROR(INDEX('Both teabags AfterDry'!$D$2:$D$2000,MATCH(K272,'Both teabags AfterDry'!$A$2:$A$2000,0)),"")</f>
        <v>1.8956999999999999</v>
      </c>
      <c r="Q272" s="264">
        <f>IFERROR(IF(P272&gt;0,P272-(TBIcalc!$Q$9),""),"")</f>
        <v>1.7450999999999999</v>
      </c>
      <c r="R272" s="275">
        <f>IFERROR(INDEX('Ashed teabags dry'!$K$2:$K$2000,MATCH(K272,'Ashed teabags dry'!$A$2:$A$2000,0)),"")</f>
        <v>3.1954887218038985</v>
      </c>
      <c r="S272" s="275">
        <f t="shared" si="22"/>
        <v>1.6893355263158001</v>
      </c>
      <c r="T272" s="265">
        <f>IF('Dry_Litterbag Placem_Collection'!E53="","",'Dry_Litterbag Placem_Collection'!E53)</f>
        <v>42938</v>
      </c>
      <c r="U272" s="265">
        <f>IF('Dry_Litterbag Placem_Collection'!G53="","",'Dry_Litterbag Placem_Collection'!G53)</f>
        <v>43005</v>
      </c>
      <c r="V272" s="266">
        <f t="shared" si="20"/>
        <v>67</v>
      </c>
      <c r="W272" s="264">
        <f t="shared" si="23"/>
        <v>0.19010000000000016</v>
      </c>
      <c r="X272" s="264">
        <f t="shared" si="24"/>
        <v>0.20170969788480519</v>
      </c>
      <c r="Y272" s="268">
        <f>IFERROR(INDEX(Rainfall_Dry!$O$2:$O$217,MATCH(B272, Rainfall_Dry!$A$2:$A$217,0)),"")</f>
        <v>6.5250000359999998</v>
      </c>
      <c r="Z272" s="257">
        <v>21.96</v>
      </c>
      <c r="AA272" s="257">
        <v>8.9199999999999982</v>
      </c>
      <c r="AB272" s="257">
        <v>69.12</v>
      </c>
      <c r="AC272" s="258" t="s">
        <v>2654</v>
      </c>
      <c r="AD272" s="257">
        <v>1.7491375061606702</v>
      </c>
      <c r="AE272">
        <f>IF('WetLitterbags placem_collection'!AB53="","",'WetLitterbags placem_collection'!AB53)</f>
        <v>3</v>
      </c>
      <c r="AF272">
        <f>IF('WetLitterbags placem_collection'!Z53="","",'WetLitterbags placem_collection'!Z53)</f>
        <v>18</v>
      </c>
      <c r="AG272" s="243" t="str">
        <f>IF('WetLitterbags placem_collection'!AA53="","",'WetLitterbags placem_collection'!AA53)</f>
        <v>O</v>
      </c>
      <c r="AH272">
        <f>IF('WetLitterbags placem_collection'!AC53="","",'WetLitterbags placem_collection'!AC53)</f>
        <v>0</v>
      </c>
      <c r="AI272">
        <f>IFERROR(AVERAGE('Dry_Litterbag Placem_Collection'!O53,'Dry_Litterbag Placem_Collection'!R53),"")</f>
        <v>2.4500000000000002</v>
      </c>
      <c r="AJ272" s="268">
        <f>IFERROR(AVERAGE('Dry_Litterbag Placem_Collection'!N53,'Dry_Litterbag Placem_Collection'!Q53),"")</f>
        <v>34.450000000000003</v>
      </c>
      <c r="AK272" s="267">
        <f>INDEX(Coordinates!$B$2:$B$197,MATCH(H272,Coordinates!$J$2:$J$197,0))</f>
        <v>-3.4063920379999999</v>
      </c>
      <c r="AL272" s="267">
        <f>INDEX(Coordinates!$C$2:$C$197,MATCH(H272,Coordinates!$J$2:$J$197,0))</f>
        <v>34.850696020000001</v>
      </c>
      <c r="AM272" s="267" t="str">
        <f>IF(ISNUMBER(SEARCH("C", 'Dry_Litterbag Placem_Collection'!T53)),"YES","NO")</f>
        <v>NO</v>
      </c>
      <c r="AN272" s="267" t="str">
        <f>IF(ISNUMBER(SEARCH("H", 'Dry_Litterbag Placem_Collection'!T53)),"YES","NO")</f>
        <v>NO</v>
      </c>
      <c r="AO272" s="267" t="str">
        <f>IF(ISNUMBER(SEARCH("R", 'Dry_Litterbag Placem_Collection'!T53)),"YES","NO")</f>
        <v>NO</v>
      </c>
    </row>
    <row r="273" spans="1:41" ht="15" customHeight="1">
      <c r="A273" s="259" t="s">
        <v>2643</v>
      </c>
      <c r="B273" s="260">
        <f>'Dry_Litterbag Placem_Collection'!A54</f>
        <v>52</v>
      </c>
      <c r="C273" s="260" t="str">
        <f>'Dry_Litterbag Placem_Collection'!B54</f>
        <v>Makao</v>
      </c>
      <c r="D273" s="260" t="s">
        <v>2643</v>
      </c>
      <c r="E273" s="260" t="s">
        <v>20</v>
      </c>
      <c r="F273" s="260">
        <v>3</v>
      </c>
      <c r="G273" s="260" t="s">
        <v>3808</v>
      </c>
      <c r="H273" s="261" t="str">
        <f>'Dry_Litterbag Placem_Collection'!C54</f>
        <v>Dry_P3_T4</v>
      </c>
      <c r="I273" s="262" t="s">
        <v>2525</v>
      </c>
      <c r="J273" s="269" t="s">
        <v>298</v>
      </c>
      <c r="K273" s="260" t="str">
        <f>IF(ISBLANK('Dry_Litterbag Placem_Collection'!K54),"","R"&amp;""&amp;'Dry_Litterbag Placem_Collection'!K54)</f>
        <v>R833</v>
      </c>
      <c r="L273" s="264">
        <f>IFERROR(INDEX('Green_rooibos initial weight'!$C$5:$C$2000,MATCH(K273, 'Green_rooibos initial weight'!$A$5:$A$2000,0)),"")</f>
        <v>2.218</v>
      </c>
      <c r="M273" s="264">
        <f>IFERROR(L273-(TBIcalc!$Q$9+TBIcalc!$Q$10),"")</f>
        <v>1.9681999999999999</v>
      </c>
      <c r="N273" s="385">
        <f>AVERAGE(Ashed_controlls!$K$12:$K$14)</f>
        <v>2.2816647271287041</v>
      </c>
      <c r="O273" s="264">
        <f t="shared" si="21"/>
        <v>1.9232922748406529</v>
      </c>
      <c r="P273" s="264">
        <f>IFERROR(INDEX('Both teabags AfterDry'!$D$2:$D$2000,MATCH(K273,'Both teabags AfterDry'!$A$2:$A$2000,0)),"")</f>
        <v>1.9791000000000001</v>
      </c>
      <c r="Q273" s="264">
        <f>IFERROR(IF(P273&gt;0,P273-(TBIcalc!$Q$9),""),"")</f>
        <v>1.8285</v>
      </c>
      <c r="R273" s="275">
        <f>IFERROR(INDEX('Ashed teabags dry'!$K$2:$K$2000,MATCH(K273,'Ashed teabags dry'!$A$2:$A$2000,0)),"")</f>
        <v>3.0042918454938667</v>
      </c>
      <c r="S273" s="275">
        <f t="shared" si="22"/>
        <v>1.7735665236051446</v>
      </c>
      <c r="T273" s="265">
        <f>IF('Dry_Litterbag Placem_Collection'!E54="","",'Dry_Litterbag Placem_Collection'!E54)</f>
        <v>42938</v>
      </c>
      <c r="U273" s="265">
        <f>IF('Dry_Litterbag Placem_Collection'!G54="","",'Dry_Litterbag Placem_Collection'!G54)</f>
        <v>43005</v>
      </c>
      <c r="V273" s="266">
        <f t="shared" si="20"/>
        <v>67</v>
      </c>
      <c r="W273" s="264">
        <f t="shared" si="23"/>
        <v>0.13969999999999994</v>
      </c>
      <c r="X273" s="264">
        <f t="shared" si="24"/>
        <v>0.14972575123550835</v>
      </c>
      <c r="Y273" s="268">
        <f>IFERROR(INDEX(Rainfall_Dry!$O$2:$O$217,MATCH(B273, Rainfall_Dry!$A$2:$A$217,0)),"")</f>
        <v>6.5250000359999998</v>
      </c>
      <c r="Z273" s="257">
        <v>21.96</v>
      </c>
      <c r="AA273" s="257">
        <v>8.9199999999999982</v>
      </c>
      <c r="AB273" s="257">
        <v>69.12</v>
      </c>
      <c r="AC273" s="258" t="s">
        <v>2654</v>
      </c>
      <c r="AD273" s="257">
        <v>1.7491375061606702</v>
      </c>
      <c r="AE273">
        <f>IF('WetLitterbags placem_collection'!AB54="","",'WetLitterbags placem_collection'!AB54)</f>
        <v>13.4</v>
      </c>
      <c r="AF273">
        <f>IF('WetLitterbags placem_collection'!Z54="","",'WetLitterbags placem_collection'!Z54)</f>
        <v>67</v>
      </c>
      <c r="AG273" s="243" t="str">
        <f>IF('WetLitterbags placem_collection'!AA54="","",'WetLitterbags placem_collection'!AA54)</f>
        <v>M</v>
      </c>
      <c r="AH273">
        <f>IF('WetLitterbags placem_collection'!AC54="","",'WetLitterbags placem_collection'!AC54)</f>
        <v>1</v>
      </c>
      <c r="AI273">
        <f>IFERROR(AVERAGE('Dry_Litterbag Placem_Collection'!O54,'Dry_Litterbag Placem_Collection'!R54),"")</f>
        <v>5.75</v>
      </c>
      <c r="AJ273" s="268">
        <f>IFERROR(AVERAGE('Dry_Litterbag Placem_Collection'!N54,'Dry_Litterbag Placem_Collection'!Q54),"")</f>
        <v>30.75</v>
      </c>
      <c r="AK273" s="267">
        <f>INDEX(Coordinates!$B$2:$B$197,MATCH(H273,Coordinates!$J$2:$J$197,0))</f>
        <v>-3.4061569999999999</v>
      </c>
      <c r="AL273" s="267">
        <f>INDEX(Coordinates!$C$2:$C$197,MATCH(H273,Coordinates!$J$2:$J$197,0))</f>
        <v>34.850738999999997</v>
      </c>
      <c r="AM273" s="267" t="str">
        <f>IF(ISNUMBER(SEARCH("C", 'Dry_Litterbag Placem_Collection'!T54)),"YES","NO")</f>
        <v>NO</v>
      </c>
      <c r="AN273" s="267" t="str">
        <f>IF(ISNUMBER(SEARCH("H", 'Dry_Litterbag Placem_Collection'!T54)),"YES","NO")</f>
        <v>NO</v>
      </c>
      <c r="AO273" s="267" t="str">
        <f>IF(ISNUMBER(SEARCH("R", 'Dry_Litterbag Placem_Collection'!T54)),"YES","NO")</f>
        <v>NO</v>
      </c>
    </row>
    <row r="274" spans="1:41" ht="15" customHeight="1">
      <c r="A274" s="259" t="s">
        <v>2643</v>
      </c>
      <c r="B274" s="260">
        <f>'Dry_Litterbag Placem_Collection'!A55</f>
        <v>53</v>
      </c>
      <c r="C274" s="260" t="str">
        <f>'Dry_Litterbag Placem_Collection'!B55</f>
        <v>Makao</v>
      </c>
      <c r="D274" s="260" t="s">
        <v>2643</v>
      </c>
      <c r="E274" s="260" t="s">
        <v>20</v>
      </c>
      <c r="F274" s="260">
        <v>3</v>
      </c>
      <c r="G274" s="260" t="s">
        <v>3808</v>
      </c>
      <c r="H274" s="261" t="str">
        <f>'Dry_Litterbag Placem_Collection'!C55</f>
        <v>Dry_P3_T5</v>
      </c>
      <c r="I274" s="262" t="s">
        <v>2525</v>
      </c>
      <c r="J274" s="269" t="s">
        <v>298</v>
      </c>
      <c r="K274" s="260" t="str">
        <f>IF(ISBLANK('Dry_Litterbag Placem_Collection'!K55),"","R"&amp;""&amp;'Dry_Litterbag Placem_Collection'!K55)</f>
        <v>R734</v>
      </c>
      <c r="L274" s="264">
        <f>IFERROR(INDEX('Green_rooibos initial weight'!$C$5:$C$2000,MATCH(K274, 'Green_rooibos initial weight'!$A$5:$A$2000,0)),"")</f>
        <v>2.1589999999999998</v>
      </c>
      <c r="M274" s="264">
        <f>IFERROR(L274-(TBIcalc!$Q$9+TBIcalc!$Q$10),"")</f>
        <v>1.9091999999999998</v>
      </c>
      <c r="N274" s="385">
        <f>AVERAGE(Ashed_controlls!$K$12:$K$14)</f>
        <v>2.2816647271287041</v>
      </c>
      <c r="O274" s="264">
        <f t="shared" si="21"/>
        <v>1.8656384570296585</v>
      </c>
      <c r="P274" s="264">
        <f>IFERROR(INDEX('Both teabags AfterDry'!$D$2:$D$2000,MATCH(K274,'Both teabags AfterDry'!$A$2:$A$2000,0)),"")</f>
        <v>1.8914</v>
      </c>
      <c r="Q274" s="264">
        <f>IFERROR(IF(P274&gt;0,P274-(TBIcalc!$Q$9),""),"")</f>
        <v>1.7407999999999999</v>
      </c>
      <c r="R274" s="275">
        <f>IFERROR(INDEX('Ashed teabags dry'!$K$2:$K$2000,MATCH(K274,'Ashed teabags dry'!$A$2:$A$2000,0)),"")</f>
        <v>2.63419483101393</v>
      </c>
      <c r="S274" s="275">
        <f t="shared" si="22"/>
        <v>1.6949439363817094</v>
      </c>
      <c r="T274" s="265">
        <f>IF('Dry_Litterbag Placem_Collection'!E55="","",'Dry_Litterbag Placem_Collection'!E55)</f>
        <v>42938</v>
      </c>
      <c r="U274" s="265">
        <f>IF('Dry_Litterbag Placem_Collection'!G55="","",'Dry_Litterbag Placem_Collection'!G55)</f>
        <v>43005</v>
      </c>
      <c r="V274" s="266">
        <f t="shared" si="20"/>
        <v>67</v>
      </c>
      <c r="W274" s="264">
        <f t="shared" si="23"/>
        <v>0.16839999999999988</v>
      </c>
      <c r="X274" s="264">
        <f t="shared" si="24"/>
        <v>0.1706945206479491</v>
      </c>
      <c r="Y274" s="268">
        <f>IFERROR(INDEX(Rainfall_Dry!$O$2:$O$217,MATCH(B274, Rainfall_Dry!$A$2:$A$217,0)),"")</f>
        <v>6.5250000359999998</v>
      </c>
      <c r="Z274" s="257">
        <v>21.96</v>
      </c>
      <c r="AA274" s="257">
        <v>8.9199999999999982</v>
      </c>
      <c r="AB274" s="257">
        <v>69.12</v>
      </c>
      <c r="AC274" s="258" t="s">
        <v>2654</v>
      </c>
      <c r="AD274" s="257">
        <v>1.7491375061606702</v>
      </c>
      <c r="AE274" t="str">
        <f>IF('WetLitterbags placem_collection'!AB55="","",'WetLitterbags placem_collection'!AB55)</f>
        <v/>
      </c>
      <c r="AF274" t="str">
        <f>IF('WetLitterbags placem_collection'!Z55="","",'WetLitterbags placem_collection'!Z55)</f>
        <v/>
      </c>
      <c r="AG274" s="243" t="str">
        <f>IF('WetLitterbags placem_collection'!AA55="","",'WetLitterbags placem_collection'!AA55)</f>
        <v/>
      </c>
      <c r="AH274" t="str">
        <f>IF('WetLitterbags placem_collection'!AC55="","",'WetLitterbags placem_collection'!AC55)</f>
        <v/>
      </c>
      <c r="AI274">
        <f>IFERROR(AVERAGE('Dry_Litterbag Placem_Collection'!O55,'Dry_Litterbag Placem_Collection'!R55),"")</f>
        <v>6.5</v>
      </c>
      <c r="AJ274" s="268">
        <f>IFERROR(AVERAGE('Dry_Litterbag Placem_Collection'!N55,'Dry_Litterbag Placem_Collection'!Q55),"")</f>
        <v>30.4</v>
      </c>
      <c r="AK274" s="267">
        <f>INDEX(Coordinates!$B$2:$B$197,MATCH(H274,Coordinates!$J$2:$J$197,0))</f>
        <v>-3.4061140000000001</v>
      </c>
      <c r="AL274" s="267">
        <f>INDEX(Coordinates!$C$2:$C$197,MATCH(H274,Coordinates!$J$2:$J$197,0))</f>
        <v>34.850596000000003</v>
      </c>
      <c r="AM274" s="267" t="str">
        <f>IF(ISNUMBER(SEARCH("C", 'Dry_Litterbag Placem_Collection'!T55)),"YES","NO")</f>
        <v>NO</v>
      </c>
      <c r="AN274" s="267" t="str">
        <f>IF(ISNUMBER(SEARCH("H", 'Dry_Litterbag Placem_Collection'!T55)),"YES","NO")</f>
        <v>NO</v>
      </c>
      <c r="AO274" s="267" t="str">
        <f>IF(ISNUMBER(SEARCH("R", 'Dry_Litterbag Placem_Collection'!T55)),"YES","NO")</f>
        <v>NO</v>
      </c>
    </row>
    <row r="275" spans="1:41" ht="15" customHeight="1">
      <c r="A275" s="259" t="s">
        <v>2643</v>
      </c>
      <c r="B275" s="260">
        <f>'Dry_Litterbag Placem_Collection'!A56</f>
        <v>54</v>
      </c>
      <c r="C275" s="260" t="str">
        <f>'Dry_Litterbag Placem_Collection'!B56</f>
        <v>Makao</v>
      </c>
      <c r="D275" s="260" t="s">
        <v>2643</v>
      </c>
      <c r="E275" s="260" t="s">
        <v>20</v>
      </c>
      <c r="F275" s="260">
        <v>3</v>
      </c>
      <c r="G275" s="260" t="s">
        <v>3808</v>
      </c>
      <c r="H275" s="261" t="str">
        <f>'Dry_Litterbag Placem_Collection'!C56</f>
        <v>Dry_P3_T6</v>
      </c>
      <c r="I275" s="262" t="s">
        <v>2525</v>
      </c>
      <c r="J275" s="269" t="s">
        <v>298</v>
      </c>
      <c r="K275" s="260" t="str">
        <f>IF(ISBLANK('Dry_Litterbag Placem_Collection'!K56),"","R"&amp;""&amp;'Dry_Litterbag Placem_Collection'!K56)</f>
        <v/>
      </c>
      <c r="L275" s="264" t="str">
        <f>IFERROR(INDEX('Green_rooibos initial weight'!$C$5:$C$2000,MATCH(K275, 'Green_rooibos initial weight'!$A$5:$A$2000,0)),"")</f>
        <v/>
      </c>
      <c r="M275" s="264" t="str">
        <f>IFERROR(L275-(TBIcalc!$Q$9+TBIcalc!$Q$10),"")</f>
        <v/>
      </c>
      <c r="N275" s="385">
        <f>AVERAGE(Ashed_controlls!$K$12:$K$14)</f>
        <v>2.2816647271287041</v>
      </c>
      <c r="O275" s="264" t="str">
        <f t="shared" si="21"/>
        <v/>
      </c>
      <c r="P275" s="264" t="str">
        <f>IFERROR(INDEX('Both teabags AfterDry'!$D$2:$D$2000,MATCH(K275,'Both teabags AfterDry'!$A$2:$A$2000,0)),"")</f>
        <v/>
      </c>
      <c r="Q275" s="264" t="str">
        <f>IFERROR(IF(P275&gt;0,P275-(TBIcalc!$Q$9),""),"")</f>
        <v/>
      </c>
      <c r="R275" s="275" t="str">
        <f>IFERROR(INDEX('Ashed teabags dry'!$K$2:$K$2000,MATCH(K275,'Ashed teabags dry'!$A$2:$A$2000,0)),"")</f>
        <v/>
      </c>
      <c r="S275" s="275" t="str">
        <f t="shared" si="22"/>
        <v/>
      </c>
      <c r="T275" s="265" t="str">
        <f>IF('Dry_Litterbag Placem_Collection'!E56="","",'Dry_Litterbag Placem_Collection'!E56)</f>
        <v/>
      </c>
      <c r="U275" s="265" t="str">
        <f>IF('Dry_Litterbag Placem_Collection'!G56="","",'Dry_Litterbag Placem_Collection'!G56)</f>
        <v/>
      </c>
      <c r="V275" s="266" t="str">
        <f t="shared" si="20"/>
        <v/>
      </c>
      <c r="W275" s="264" t="str">
        <f t="shared" si="23"/>
        <v/>
      </c>
      <c r="X275" s="264" t="str">
        <f t="shared" si="24"/>
        <v/>
      </c>
      <c r="Y275" s="268" t="str">
        <f>IFERROR(INDEX(Rainfall_Dry!$O$2:$O$217,MATCH(B275, Rainfall_Dry!$A$2:$A$217,0)),"")</f>
        <v/>
      </c>
      <c r="Z275" s="257">
        <v>21.96</v>
      </c>
      <c r="AA275" s="257">
        <v>8.9199999999999982</v>
      </c>
      <c r="AB275" s="257">
        <v>69.12</v>
      </c>
      <c r="AC275" s="258" t="s">
        <v>2654</v>
      </c>
      <c r="AD275" s="257">
        <v>1.7491375061606702</v>
      </c>
      <c r="AE275" t="str">
        <f>IF('WetLitterbags placem_collection'!AB56="","",'WetLitterbags placem_collection'!AB56)</f>
        <v/>
      </c>
      <c r="AF275" t="str">
        <f>IF('WetLitterbags placem_collection'!Z56="","",'WetLitterbags placem_collection'!Z56)</f>
        <v/>
      </c>
      <c r="AG275" s="243" t="str">
        <f>IF('WetLitterbags placem_collection'!AA56="","",'WetLitterbags placem_collection'!AA56)</f>
        <v/>
      </c>
      <c r="AH275" t="str">
        <f>IF('WetLitterbags placem_collection'!AC56="","",'WetLitterbags placem_collection'!AC56)</f>
        <v/>
      </c>
      <c r="AI275" t="str">
        <f>IFERROR(AVERAGE('Dry_Litterbag Placem_Collection'!O56,'Dry_Litterbag Placem_Collection'!R56),"")</f>
        <v/>
      </c>
      <c r="AJ275" s="268" t="str">
        <f>IFERROR(AVERAGE('Dry_Litterbag Placem_Collection'!N56,'Dry_Litterbag Placem_Collection'!Q56),"")</f>
        <v/>
      </c>
      <c r="AK275" s="267">
        <f>INDEX(Coordinates!$B$2:$B$197,MATCH(H275,Coordinates!$J$2:$J$197,0))</f>
        <v>-3.406058019</v>
      </c>
      <c r="AL275" s="267">
        <f>INDEX(Coordinates!$C$2:$C$197,MATCH(H275,Coordinates!$J$2:$J$197,0))</f>
        <v>34.850466019999999</v>
      </c>
      <c r="AM275" s="267" t="str">
        <f>IF(ISNUMBER(SEARCH("C", 'Dry_Litterbag Placem_Collection'!T56)),"YES","NO")</f>
        <v>NO</v>
      </c>
      <c r="AN275" s="267" t="str">
        <f>IF(ISNUMBER(SEARCH("H", 'Dry_Litterbag Placem_Collection'!T56)),"YES","NO")</f>
        <v>NO</v>
      </c>
      <c r="AO275" s="267" t="str">
        <f>IF(ISNUMBER(SEARCH("R", 'Dry_Litterbag Placem_Collection'!T56)),"YES","NO")</f>
        <v>NO</v>
      </c>
    </row>
    <row r="276" spans="1:41" ht="15" customHeight="1">
      <c r="A276" s="259" t="s">
        <v>2643</v>
      </c>
      <c r="B276" s="260">
        <f>'Dry_Litterbag Placem_Collection'!A57</f>
        <v>55</v>
      </c>
      <c r="C276" s="260" t="str">
        <f>'Dry_Litterbag Placem_Collection'!B57</f>
        <v>Makao</v>
      </c>
      <c r="D276" s="260" t="s">
        <v>2643</v>
      </c>
      <c r="E276" s="260" t="s">
        <v>20</v>
      </c>
      <c r="F276" s="260">
        <v>3</v>
      </c>
      <c r="G276" s="260" t="s">
        <v>3808</v>
      </c>
      <c r="H276" s="261" t="str">
        <f>'Dry_Litterbag Placem_Collection'!C57</f>
        <v>Dry_P3_T7</v>
      </c>
      <c r="I276" s="262" t="s">
        <v>2525</v>
      </c>
      <c r="J276" s="269" t="s">
        <v>298</v>
      </c>
      <c r="K276" s="260" t="str">
        <f>IF(ISBLANK('Dry_Litterbag Placem_Collection'!K57),"","R"&amp;""&amp;'Dry_Litterbag Placem_Collection'!K57)</f>
        <v>R839</v>
      </c>
      <c r="L276" s="264">
        <f>IFERROR(INDEX('Green_rooibos initial weight'!$C$5:$C$2000,MATCH(K276, 'Green_rooibos initial weight'!$A$5:$A$2000,0)),"")</f>
        <v>2.2269999999999999</v>
      </c>
      <c r="M276" s="264">
        <f>IFERROR(L276-(TBIcalc!$Q$9+TBIcalc!$Q$10),"")</f>
        <v>1.9771999999999998</v>
      </c>
      <c r="N276" s="385">
        <f>AVERAGE(Ashed_controlls!$K$12:$K$14)</f>
        <v>2.2816647271287041</v>
      </c>
      <c r="O276" s="264">
        <f t="shared" si="21"/>
        <v>1.9320869250152111</v>
      </c>
      <c r="P276" s="264">
        <f>IFERROR(INDEX('Both teabags AfterDry'!$D$2:$D$2000,MATCH(K276,'Both teabags AfterDry'!$A$2:$A$2000,0)),"")</f>
        <v>1.9775</v>
      </c>
      <c r="Q276" s="264">
        <f>IFERROR(IF(P276&gt;0,P276-(TBIcalc!$Q$9),""),"")</f>
        <v>1.8269</v>
      </c>
      <c r="R276" s="275">
        <f>IFERROR(INDEX('Ashed teabags dry'!$K$2:$K$2000,MATCH(K276,'Ashed teabags dry'!$A$2:$A$2000,0)),"")</f>
        <v>2.7226580526069402</v>
      </c>
      <c r="S276" s="275">
        <f t="shared" si="22"/>
        <v>1.7771597600369238</v>
      </c>
      <c r="T276" s="265">
        <f>IF('Dry_Litterbag Placem_Collection'!E57="","",'Dry_Litterbag Placem_Collection'!E57)</f>
        <v>42938</v>
      </c>
      <c r="U276" s="265">
        <f>IF('Dry_Litterbag Placem_Collection'!G57="","",'Dry_Litterbag Placem_Collection'!G57)</f>
        <v>43005</v>
      </c>
      <c r="V276" s="266">
        <f t="shared" si="20"/>
        <v>67</v>
      </c>
      <c r="W276" s="264">
        <f t="shared" si="23"/>
        <v>0.15029999999999988</v>
      </c>
      <c r="X276" s="264">
        <f t="shared" si="24"/>
        <v>0.15492716497828729</v>
      </c>
      <c r="Y276" s="268">
        <f>IFERROR(INDEX(Rainfall_Dry!$O$2:$O$217,MATCH(B276, Rainfall_Dry!$A$2:$A$217,0)),"")</f>
        <v>6.5250000359999998</v>
      </c>
      <c r="Z276" s="257">
        <v>21.96</v>
      </c>
      <c r="AA276" s="257">
        <v>8.9199999999999982</v>
      </c>
      <c r="AB276" s="257">
        <v>69.12</v>
      </c>
      <c r="AC276" s="258" t="s">
        <v>2654</v>
      </c>
      <c r="AD276" s="257">
        <v>1.7491375061606702</v>
      </c>
      <c r="AE276">
        <f>IF('WetLitterbags placem_collection'!AB57="","",'WetLitterbags placem_collection'!AB57)</f>
        <v>15.8</v>
      </c>
      <c r="AF276">
        <f>IF('WetLitterbags placem_collection'!Z57="","",'WetLitterbags placem_collection'!Z57)</f>
        <v>45</v>
      </c>
      <c r="AG276" s="243" t="str">
        <f>IF('WetLitterbags placem_collection'!AA57="","",'WetLitterbags placem_collection'!AA57)</f>
        <v>M</v>
      </c>
      <c r="AH276">
        <f>IF('WetLitterbags placem_collection'!AC57="","",'WetLitterbags placem_collection'!AC57)</f>
        <v>1</v>
      </c>
      <c r="AI276">
        <f>IFERROR(AVERAGE('Dry_Litterbag Placem_Collection'!O57,'Dry_Litterbag Placem_Collection'!R57),"")</f>
        <v>4.8</v>
      </c>
      <c r="AJ276" s="268">
        <f>IFERROR(AVERAGE('Dry_Litterbag Placem_Collection'!N57,'Dry_Litterbag Placem_Collection'!Q57),"")</f>
        <v>31.9</v>
      </c>
      <c r="AK276" s="267">
        <f>INDEX(Coordinates!$B$2:$B$197,MATCH(H276,Coordinates!$J$2:$J$197,0))</f>
        <v>-3.4061389879999999</v>
      </c>
      <c r="AL276" s="267">
        <f>INDEX(Coordinates!$C$2:$C$197,MATCH(H276,Coordinates!$J$2:$J$197,0))</f>
        <v>34.850574979999998</v>
      </c>
      <c r="AM276" s="267" t="str">
        <f>IF(ISNUMBER(SEARCH("C", 'Dry_Litterbag Placem_Collection'!T57)),"YES","NO")</f>
        <v>YES</v>
      </c>
      <c r="AN276" s="267" t="str">
        <f>IF(ISNUMBER(SEARCH("H", 'Dry_Litterbag Placem_Collection'!T57)),"YES","NO")</f>
        <v>YES</v>
      </c>
      <c r="AO276" s="267" t="str">
        <f>IF(ISNUMBER(SEARCH("R", 'Dry_Litterbag Placem_Collection'!T57)),"YES","NO")</f>
        <v>NO</v>
      </c>
    </row>
    <row r="277" spans="1:41" ht="15" customHeight="1">
      <c r="A277" s="259" t="s">
        <v>2643</v>
      </c>
      <c r="B277" s="260">
        <f>'Dry_Litterbag Placem_Collection'!A58</f>
        <v>56</v>
      </c>
      <c r="C277" s="260" t="str">
        <f>'Dry_Litterbag Placem_Collection'!B58</f>
        <v>Makao</v>
      </c>
      <c r="D277" s="260" t="s">
        <v>2643</v>
      </c>
      <c r="E277" s="260" t="s">
        <v>20</v>
      </c>
      <c r="F277" s="260">
        <v>3</v>
      </c>
      <c r="G277" s="260" t="s">
        <v>3808</v>
      </c>
      <c r="H277" s="261" t="str">
        <f>'Dry_Litterbag Placem_Collection'!C58</f>
        <v>Dry_P3_T8</v>
      </c>
      <c r="I277" s="262" t="s">
        <v>2525</v>
      </c>
      <c r="J277" s="269" t="s">
        <v>298</v>
      </c>
      <c r="K277" s="260" t="str">
        <f>IF(ISBLANK('Dry_Litterbag Placem_Collection'!K58),"","R"&amp;""&amp;'Dry_Litterbag Placem_Collection'!K58)</f>
        <v>R760</v>
      </c>
      <c r="L277" s="264">
        <f>IFERROR(INDEX('Green_rooibos initial weight'!$C$5:$C$2000,MATCH(K277, 'Green_rooibos initial weight'!$A$5:$A$2000,0)),"")</f>
        <v>2.2320000000000002</v>
      </c>
      <c r="M277" s="264">
        <f>IFERROR(L277-(TBIcalc!$Q$9+TBIcalc!$Q$10),"")</f>
        <v>1.9822000000000002</v>
      </c>
      <c r="N277" s="385">
        <f>AVERAGE(Ashed_controlls!$K$12:$K$14)</f>
        <v>2.2816647271287041</v>
      </c>
      <c r="O277" s="264">
        <f t="shared" si="21"/>
        <v>1.936972841778855</v>
      </c>
      <c r="P277" s="264">
        <f>IFERROR(INDEX('Both teabags AfterDry'!$D$2:$D$2000,MATCH(K277,'Both teabags AfterDry'!$A$2:$A$2000,0)),"")</f>
        <v>1.9821</v>
      </c>
      <c r="Q277" s="264">
        <f>IFERROR(IF(P277&gt;0,P277-(TBIcalc!$Q$9),""),"")</f>
        <v>1.8314999999999999</v>
      </c>
      <c r="R277" s="275">
        <f>IFERROR(INDEX('Ashed teabags dry'!$K$2:$K$2000,MATCH(K277,'Ashed teabags dry'!$A$2:$A$2000,0)),"")</f>
        <v>2.8949950932292219</v>
      </c>
      <c r="S277" s="275">
        <f t="shared" si="22"/>
        <v>1.7784781648675068</v>
      </c>
      <c r="T277" s="265">
        <f>IF('Dry_Litterbag Placem_Collection'!E58="","",'Dry_Litterbag Placem_Collection'!E58)</f>
        <v>42938</v>
      </c>
      <c r="U277" s="265">
        <f>IF('Dry_Litterbag Placem_Collection'!G58="","",'Dry_Litterbag Placem_Collection'!G58)</f>
        <v>43005</v>
      </c>
      <c r="V277" s="266">
        <f t="shared" si="20"/>
        <v>67</v>
      </c>
      <c r="W277" s="264">
        <f t="shared" si="23"/>
        <v>0.15070000000000028</v>
      </c>
      <c r="X277" s="264">
        <f t="shared" si="24"/>
        <v>0.15849467691134822</v>
      </c>
      <c r="Y277" s="268">
        <f>IFERROR(INDEX(Rainfall_Dry!$O$2:$O$217,MATCH(B277, Rainfall_Dry!$A$2:$A$217,0)),"")</f>
        <v>6.5250000359999998</v>
      </c>
      <c r="Z277" s="257">
        <v>21.96</v>
      </c>
      <c r="AA277" s="257">
        <v>8.9199999999999982</v>
      </c>
      <c r="AB277" s="257">
        <v>69.12</v>
      </c>
      <c r="AC277" s="258" t="s">
        <v>2654</v>
      </c>
      <c r="AD277" s="257">
        <v>1.7491375061606702</v>
      </c>
      <c r="AE277">
        <f>IF('WetLitterbags placem_collection'!AB58="","",'WetLitterbags placem_collection'!AB58)</f>
        <v>15.4</v>
      </c>
      <c r="AF277">
        <f>IF('WetLitterbags placem_collection'!Z58="","",'WetLitterbags placem_collection'!Z58)</f>
        <v>30.8</v>
      </c>
      <c r="AG277" s="243" t="str">
        <f>IF('WetLitterbags placem_collection'!AA58="","",'WetLitterbags placem_collection'!AA58)</f>
        <v>M</v>
      </c>
      <c r="AH277">
        <f>IF('WetLitterbags placem_collection'!AC58="","",'WetLitterbags placem_collection'!AC58)</f>
        <v>0</v>
      </c>
      <c r="AI277">
        <f>IFERROR(AVERAGE('Dry_Litterbag Placem_Collection'!O58,'Dry_Litterbag Placem_Collection'!R58),"")</f>
        <v>8.3000000000000007</v>
      </c>
      <c r="AJ277" s="268">
        <f>IFERROR(AVERAGE('Dry_Litterbag Placem_Collection'!N58,'Dry_Litterbag Placem_Collection'!Q58),"")</f>
        <v>30.049999999999997</v>
      </c>
      <c r="AK277" s="267">
        <f>INDEX(Coordinates!$B$2:$B$197,MATCH(H277,Coordinates!$J$2:$J$197,0))</f>
        <v>-3.4062900300000001</v>
      </c>
      <c r="AL277" s="267">
        <f>INDEX(Coordinates!$C$2:$C$197,MATCH(H277,Coordinates!$J$2:$J$197,0))</f>
        <v>34.850441959999998</v>
      </c>
      <c r="AM277" s="267" t="str">
        <f>IF(ISNUMBER(SEARCH("C", 'Dry_Litterbag Placem_Collection'!T58)),"YES","NO")</f>
        <v>NO</v>
      </c>
      <c r="AN277" s="267" t="str">
        <f>IF(ISNUMBER(SEARCH("H", 'Dry_Litterbag Placem_Collection'!T58)),"YES","NO")</f>
        <v>NO</v>
      </c>
      <c r="AO277" s="267" t="str">
        <f>IF(ISNUMBER(SEARCH("R", 'Dry_Litterbag Placem_Collection'!T58)),"YES","NO")</f>
        <v>NO</v>
      </c>
    </row>
    <row r="278" spans="1:41" ht="15" customHeight="1">
      <c r="A278" s="259" t="s">
        <v>2643</v>
      </c>
      <c r="B278" s="260">
        <f>'Dry_Litterbag Placem_Collection'!A59</f>
        <v>57</v>
      </c>
      <c r="C278" s="260" t="str">
        <f>'Dry_Litterbag Placem_Collection'!B59</f>
        <v>Makao</v>
      </c>
      <c r="D278" s="260" t="s">
        <v>2643</v>
      </c>
      <c r="E278" s="260" t="s">
        <v>20</v>
      </c>
      <c r="F278" s="260">
        <v>4</v>
      </c>
      <c r="G278" s="260" t="s">
        <v>3809</v>
      </c>
      <c r="H278" s="261" t="str">
        <f>'Dry_Litterbag Placem_Collection'!C59</f>
        <v>Dry_P4_T1</v>
      </c>
      <c r="I278" s="262" t="s">
        <v>2525</v>
      </c>
      <c r="J278" s="269" t="s">
        <v>298</v>
      </c>
      <c r="K278" s="260" t="str">
        <f>IF(ISBLANK('Dry_Litterbag Placem_Collection'!K59),"","R"&amp;""&amp;'Dry_Litterbag Placem_Collection'!K59)</f>
        <v>R830</v>
      </c>
      <c r="L278" s="264">
        <f>IFERROR(INDEX('Green_rooibos initial weight'!$C$5:$C$2000,MATCH(K278, 'Green_rooibos initial weight'!$A$5:$A$2000,0)),"")</f>
        <v>2.2160000000000002</v>
      </c>
      <c r="M278" s="264">
        <f>IFERROR(L278-(TBIcalc!$Q$9+TBIcalc!$Q$10),"")</f>
        <v>1.9662000000000002</v>
      </c>
      <c r="N278" s="385">
        <f>AVERAGE(Ashed_controlls!$K$12:$K$14)</f>
        <v>2.2816647271287041</v>
      </c>
      <c r="O278" s="264">
        <f t="shared" si="21"/>
        <v>1.9213379081351956</v>
      </c>
      <c r="P278" s="264">
        <f>IFERROR(INDEX('Both teabags AfterDry'!$D$2:$D$2000,MATCH(K278,'Both teabags AfterDry'!$A$2:$A$2000,0)),"")</f>
        <v>1.9719</v>
      </c>
      <c r="Q278" s="264">
        <f>IFERROR(IF(P278&gt;0,P278-(TBIcalc!$Q$9),""),"")</f>
        <v>1.8212999999999999</v>
      </c>
      <c r="R278" s="275">
        <f>IFERROR(INDEX('Ashed teabags dry'!$K$2:$K$2000,MATCH(K278,'Ashed teabags dry'!$A$2:$A$2000,0)),"")</f>
        <v>2.183219178082795</v>
      </c>
      <c r="S278" s="275">
        <f t="shared" si="22"/>
        <v>1.781537029109578</v>
      </c>
      <c r="T278" s="265">
        <f>IF('Dry_Litterbag Placem_Collection'!E59="","",'Dry_Litterbag Placem_Collection'!E59)</f>
        <v>42938</v>
      </c>
      <c r="U278" s="265">
        <f>IF('Dry_Litterbag Placem_Collection'!G59="","",'Dry_Litterbag Placem_Collection'!G59)</f>
        <v>43005</v>
      </c>
      <c r="V278" s="266">
        <f t="shared" si="20"/>
        <v>67</v>
      </c>
      <c r="W278" s="264">
        <f t="shared" si="23"/>
        <v>0.14490000000000025</v>
      </c>
      <c r="X278" s="264">
        <f t="shared" si="24"/>
        <v>0.13980087902561755</v>
      </c>
      <c r="Y278" s="268">
        <f>IFERROR(INDEX(Rainfall_Dry!$O$2:$O$217,MATCH(B278, Rainfall_Dry!$A$2:$A$217,0)),"")</f>
        <v>6.5250000359999998</v>
      </c>
      <c r="Z278" s="257">
        <v>25.96</v>
      </c>
      <c r="AA278" s="257">
        <v>6.9200000000000008</v>
      </c>
      <c r="AB278" s="257">
        <v>67.12</v>
      </c>
      <c r="AC278" s="258" t="s">
        <v>2654</v>
      </c>
      <c r="AD278" s="257">
        <v>1.7568260226712666</v>
      </c>
      <c r="AE278">
        <f>IF('WetLitterbags placem_collection'!AB59="","",'WetLitterbags placem_collection'!AB59)</f>
        <v>3.3</v>
      </c>
      <c r="AF278">
        <f>IF('WetLitterbags placem_collection'!Z59="","",'WetLitterbags placem_collection'!Z59)</f>
        <v>28.4</v>
      </c>
      <c r="AG278" s="243" t="str">
        <f>IF('WetLitterbags placem_collection'!AA59="","",'WetLitterbags placem_collection'!AA59)</f>
        <v>O</v>
      </c>
      <c r="AH278">
        <f>IF('WetLitterbags placem_collection'!AC59="","",'WetLitterbags placem_collection'!AC59)</f>
        <v>1</v>
      </c>
      <c r="AI278">
        <f>IFERROR(AVERAGE('Dry_Litterbag Placem_Collection'!O59,'Dry_Litterbag Placem_Collection'!R59),"")</f>
        <v>3.95</v>
      </c>
      <c r="AJ278" s="268">
        <f>IFERROR(AVERAGE('Dry_Litterbag Placem_Collection'!N59,'Dry_Litterbag Placem_Collection'!Q59),"")</f>
        <v>33.25</v>
      </c>
      <c r="AK278" s="267">
        <f>INDEX(Coordinates!$B$2:$B$197,MATCH(H278,Coordinates!$J$2:$J$197,0))</f>
        <v>-3.4064239729999999</v>
      </c>
      <c r="AL278" s="267">
        <f>INDEX(Coordinates!$C$2:$C$197,MATCH(H278,Coordinates!$J$2:$J$197,0))</f>
        <v>34.851213010000002</v>
      </c>
      <c r="AM278" s="267" t="str">
        <f>IF(ISNUMBER(SEARCH("C", 'Dry_Litterbag Placem_Collection'!T59)),"YES","NO")</f>
        <v>NO</v>
      </c>
      <c r="AN278" s="267" t="str">
        <f>IF(ISNUMBER(SEARCH("H", 'Dry_Litterbag Placem_Collection'!T59)),"YES","NO")</f>
        <v>NO</v>
      </c>
      <c r="AO278" s="267" t="str">
        <f>IF(ISNUMBER(SEARCH("R", 'Dry_Litterbag Placem_Collection'!T59)),"YES","NO")</f>
        <v>NO</v>
      </c>
    </row>
    <row r="279" spans="1:41" ht="15" customHeight="1">
      <c r="A279" s="259" t="s">
        <v>2643</v>
      </c>
      <c r="B279" s="260">
        <f>'Dry_Litterbag Placem_Collection'!A60</f>
        <v>58</v>
      </c>
      <c r="C279" s="260" t="str">
        <f>'Dry_Litterbag Placem_Collection'!B60</f>
        <v>Makao</v>
      </c>
      <c r="D279" s="260" t="s">
        <v>2643</v>
      </c>
      <c r="E279" s="260" t="s">
        <v>20</v>
      </c>
      <c r="F279" s="260">
        <v>4</v>
      </c>
      <c r="G279" s="260" t="s">
        <v>3809</v>
      </c>
      <c r="H279" s="261" t="str">
        <f>'Dry_Litterbag Placem_Collection'!C60</f>
        <v>Dry_P4_T2</v>
      </c>
      <c r="I279" s="262" t="s">
        <v>2525</v>
      </c>
      <c r="J279" s="269" t="s">
        <v>298</v>
      </c>
      <c r="K279" s="260" t="str">
        <f>IF(ISBLANK('Dry_Litterbag Placem_Collection'!K60),"","R"&amp;""&amp;'Dry_Litterbag Placem_Collection'!K60)</f>
        <v>R725</v>
      </c>
      <c r="L279" s="264">
        <f>IFERROR(INDEX('Green_rooibos initial weight'!$C$5:$C$2000,MATCH(K279, 'Green_rooibos initial weight'!$A$5:$A$2000,0)),"")</f>
        <v>2.1930000000000001</v>
      </c>
      <c r="M279" s="264">
        <f>IFERROR(L279-(TBIcalc!$Q$9+TBIcalc!$Q$10),"")</f>
        <v>1.9432</v>
      </c>
      <c r="N279" s="385">
        <f>AVERAGE(Ashed_controlls!$K$12:$K$14)</f>
        <v>2.2816647271287041</v>
      </c>
      <c r="O279" s="264">
        <f t="shared" si="21"/>
        <v>1.8988626910224351</v>
      </c>
      <c r="P279" s="264">
        <f>IFERROR(INDEX('Both teabags AfterDry'!$D$2:$D$2000,MATCH(K279,'Both teabags AfterDry'!$A$2:$A$2000,0)),"")</f>
        <v>1.3995000000000002</v>
      </c>
      <c r="Q279" s="264">
        <f>IFERROR(IF(P279&gt;0,P279-(TBIcalc!$Q$9),""),"")</f>
        <v>1.2489000000000001</v>
      </c>
      <c r="R279" s="275">
        <f>IFERROR(INDEX('Ashed teabags dry'!$K$2:$K$2000,MATCH(K279,'Ashed teabags dry'!$A$2:$A$2000,0)),"")</f>
        <v>3.528360875390312</v>
      </c>
      <c r="S279" s="275">
        <f t="shared" si="22"/>
        <v>1.2048343010272504</v>
      </c>
      <c r="T279" s="265">
        <f>IF('Dry_Litterbag Placem_Collection'!E60="","",'Dry_Litterbag Placem_Collection'!E60)</f>
        <v>42938</v>
      </c>
      <c r="U279" s="265">
        <f>IF('Dry_Litterbag Placem_Collection'!G60="","",'Dry_Litterbag Placem_Collection'!G60)</f>
        <v>43005</v>
      </c>
      <c r="V279" s="266">
        <f t="shared" si="20"/>
        <v>67</v>
      </c>
      <c r="W279" s="264">
        <f t="shared" si="23"/>
        <v>0.69429999999999992</v>
      </c>
      <c r="X279" s="264">
        <f t="shared" si="24"/>
        <v>0.69402838999518468</v>
      </c>
      <c r="Y279" s="268">
        <f>IFERROR(INDEX(Rainfall_Dry!$O$2:$O$217,MATCH(B279, Rainfall_Dry!$A$2:$A$217,0)),"")</f>
        <v>6.5250000359999998</v>
      </c>
      <c r="Z279" s="257">
        <v>25.96</v>
      </c>
      <c r="AA279" s="257">
        <v>6.9200000000000008</v>
      </c>
      <c r="AB279" s="257">
        <v>67.12</v>
      </c>
      <c r="AC279" s="258" t="s">
        <v>2654</v>
      </c>
      <c r="AD279" s="257">
        <v>1.7568260226712666</v>
      </c>
      <c r="AE279">
        <f>IF('WetLitterbags placem_collection'!AB60="","",'WetLitterbags placem_collection'!AB60)</f>
        <v>1.4</v>
      </c>
      <c r="AF279">
        <f>IF('WetLitterbags placem_collection'!Z60="","",'WetLitterbags placem_collection'!Z60)</f>
        <v>54.4</v>
      </c>
      <c r="AG279" s="243" t="str">
        <f>IF('WetLitterbags placem_collection'!AA60="","",'WetLitterbags placem_collection'!AA60)</f>
        <v>O</v>
      </c>
      <c r="AH279">
        <f>IF('WetLitterbags placem_collection'!AC60="","",'WetLitterbags placem_collection'!AC60)</f>
        <v>0</v>
      </c>
      <c r="AI279">
        <f>IFERROR(AVERAGE('Dry_Litterbag Placem_Collection'!O60,'Dry_Litterbag Placem_Collection'!R60),"")</f>
        <v>5.7</v>
      </c>
      <c r="AJ279" s="268">
        <f>IFERROR(AVERAGE('Dry_Litterbag Placem_Collection'!N60,'Dry_Litterbag Placem_Collection'!Q60),"")</f>
        <v>32.35</v>
      </c>
      <c r="AK279" s="267">
        <f>INDEX(Coordinates!$B$2:$B$197,MATCH(H279,Coordinates!$J$2:$J$197,0))</f>
        <v>-3.4065020079999999</v>
      </c>
      <c r="AL279" s="267">
        <f>INDEX(Coordinates!$C$2:$C$197,MATCH(H279,Coordinates!$J$2:$J$197,0))</f>
        <v>34.851056020000001</v>
      </c>
      <c r="AM279" s="267" t="str">
        <f>IF(ISNUMBER(SEARCH("C", 'Dry_Litterbag Placem_Collection'!T60)),"YES","NO")</f>
        <v>NO</v>
      </c>
      <c r="AN279" s="267" t="str">
        <f>IF(ISNUMBER(SEARCH("H", 'Dry_Litterbag Placem_Collection'!T60)),"YES","NO")</f>
        <v>YES</v>
      </c>
      <c r="AO279" s="267" t="str">
        <f>IF(ISNUMBER(SEARCH("R", 'Dry_Litterbag Placem_Collection'!T60)),"YES","NO")</f>
        <v>NO</v>
      </c>
    </row>
    <row r="280" spans="1:41" ht="15" customHeight="1">
      <c r="A280" s="259" t="s">
        <v>2643</v>
      </c>
      <c r="B280" s="260">
        <f>'Dry_Litterbag Placem_Collection'!A61</f>
        <v>59</v>
      </c>
      <c r="C280" s="260" t="str">
        <f>'Dry_Litterbag Placem_Collection'!B61</f>
        <v>Makao</v>
      </c>
      <c r="D280" s="260" t="s">
        <v>2643</v>
      </c>
      <c r="E280" s="260" t="s">
        <v>20</v>
      </c>
      <c r="F280" s="260">
        <v>4</v>
      </c>
      <c r="G280" s="260" t="s">
        <v>3809</v>
      </c>
      <c r="H280" s="261" t="str">
        <f>'Dry_Litterbag Placem_Collection'!C61</f>
        <v>Dry_P4_T3</v>
      </c>
      <c r="I280" s="262" t="s">
        <v>2525</v>
      </c>
      <c r="J280" s="269" t="s">
        <v>298</v>
      </c>
      <c r="K280" s="260" t="str">
        <f>IF(ISBLANK('Dry_Litterbag Placem_Collection'!K61),"","R"&amp;""&amp;'Dry_Litterbag Placem_Collection'!K61)</f>
        <v>R721</v>
      </c>
      <c r="L280" s="264">
        <f>IFERROR(INDEX('Green_rooibos initial weight'!$C$5:$C$2000,MATCH(K280, 'Green_rooibos initial weight'!$A$5:$A$2000,0)),"")</f>
        <v>2.2229999999999999</v>
      </c>
      <c r="M280" s="264">
        <f>IFERROR(L280-(TBIcalc!$Q$9+TBIcalc!$Q$10),"")</f>
        <v>1.9731999999999998</v>
      </c>
      <c r="N280" s="385">
        <f>AVERAGE(Ashed_controlls!$K$12:$K$14)</f>
        <v>2.2816647271287041</v>
      </c>
      <c r="O280" s="264">
        <f t="shared" si="21"/>
        <v>1.9281781916042962</v>
      </c>
      <c r="P280" s="264">
        <f>IFERROR(INDEX('Both teabags AfterDry'!$D$2:$D$2000,MATCH(K280,'Both teabags AfterDry'!$A$2:$A$2000,0)),"")</f>
        <v>1.9549000000000001</v>
      </c>
      <c r="Q280" s="264">
        <f>IFERROR(IF(P280&gt;0,P280-(TBIcalc!$Q$9),""),"")</f>
        <v>1.8043</v>
      </c>
      <c r="R280" s="275">
        <f>IFERROR(INDEX('Ashed teabags dry'!$K$2:$K$2000,MATCH(K280,'Ashed teabags dry'!$A$2:$A$2000,0)),"")</f>
        <v>2.6871401151632113</v>
      </c>
      <c r="S280" s="275">
        <f t="shared" si="22"/>
        <v>1.7558159309021102</v>
      </c>
      <c r="T280" s="265">
        <f>IF('Dry_Litterbag Placem_Collection'!E61="","",'Dry_Litterbag Placem_Collection'!E61)</f>
        <v>42938</v>
      </c>
      <c r="U280" s="265">
        <f>IF('Dry_Litterbag Placem_Collection'!G61="","",'Dry_Litterbag Placem_Collection'!G61)</f>
        <v>43005</v>
      </c>
      <c r="V280" s="266">
        <f t="shared" si="20"/>
        <v>67</v>
      </c>
      <c r="W280" s="264">
        <f t="shared" si="23"/>
        <v>0.16889999999999983</v>
      </c>
      <c r="X280" s="264">
        <f t="shared" si="24"/>
        <v>0.17236226070218597</v>
      </c>
      <c r="Y280" s="268">
        <f>IFERROR(INDEX(Rainfall_Dry!$O$2:$O$217,MATCH(B280, Rainfall_Dry!$A$2:$A$217,0)),"")</f>
        <v>6.5250000359999998</v>
      </c>
      <c r="Z280" s="257">
        <v>25.96</v>
      </c>
      <c r="AA280" s="257">
        <v>6.9200000000000008</v>
      </c>
      <c r="AB280" s="257">
        <v>67.12</v>
      </c>
      <c r="AC280" s="258" t="s">
        <v>2654</v>
      </c>
      <c r="AD280" s="257">
        <v>1.7568260226712666</v>
      </c>
      <c r="AE280">
        <f>IF('WetLitterbags placem_collection'!AB61="","",'WetLitterbags placem_collection'!AB61)</f>
        <v>3.3</v>
      </c>
      <c r="AF280">
        <f>IF('WetLitterbags placem_collection'!Z61="","",'WetLitterbags placem_collection'!Z61)</f>
        <v>46</v>
      </c>
      <c r="AG280" s="243" t="str">
        <f>IF('WetLitterbags placem_collection'!AA61="","",'WetLitterbags placem_collection'!AA61)</f>
        <v>O</v>
      </c>
      <c r="AH280">
        <f>IF('WetLitterbags placem_collection'!AC61="","",'WetLitterbags placem_collection'!AC61)</f>
        <v>0</v>
      </c>
      <c r="AI280">
        <f>IFERROR(AVERAGE('Dry_Litterbag Placem_Collection'!O61,'Dry_Litterbag Placem_Collection'!R61),"")</f>
        <v>7.6999999999999993</v>
      </c>
      <c r="AJ280" s="268">
        <f>IFERROR(AVERAGE('Dry_Litterbag Placem_Collection'!N61,'Dry_Litterbag Placem_Collection'!Q61),"")</f>
        <v>31.8</v>
      </c>
      <c r="AK280" s="267">
        <f>INDEX(Coordinates!$B$2:$B$197,MATCH(H280,Coordinates!$J$2:$J$197,0))</f>
        <v>-3.4062359670000002</v>
      </c>
      <c r="AL280" s="267">
        <f>INDEX(Coordinates!$C$2:$C$197,MATCH(H280,Coordinates!$J$2:$J$197,0))</f>
        <v>34.851107990000003</v>
      </c>
      <c r="AM280" s="267" t="str">
        <f>IF(ISNUMBER(SEARCH("C", 'Dry_Litterbag Placem_Collection'!T61)),"YES","NO")</f>
        <v>NO</v>
      </c>
      <c r="AN280" s="267" t="str">
        <f>IF(ISNUMBER(SEARCH("H", 'Dry_Litterbag Placem_Collection'!T61)),"YES","NO")</f>
        <v>NO</v>
      </c>
      <c r="AO280" s="267" t="str">
        <f>IF(ISNUMBER(SEARCH("R", 'Dry_Litterbag Placem_Collection'!T61)),"YES","NO")</f>
        <v>NO</v>
      </c>
    </row>
    <row r="281" spans="1:41" ht="15" customHeight="1">
      <c r="A281" s="259" t="s">
        <v>2643</v>
      </c>
      <c r="B281" s="260">
        <f>'Dry_Litterbag Placem_Collection'!A62</f>
        <v>60</v>
      </c>
      <c r="C281" s="260" t="str">
        <f>'Dry_Litterbag Placem_Collection'!B62</f>
        <v>Makao</v>
      </c>
      <c r="D281" s="260" t="s">
        <v>2643</v>
      </c>
      <c r="E281" s="260" t="s">
        <v>20</v>
      </c>
      <c r="F281" s="260">
        <v>4</v>
      </c>
      <c r="G281" s="260" t="s">
        <v>3809</v>
      </c>
      <c r="H281" s="261" t="str">
        <f>'Dry_Litterbag Placem_Collection'!C62</f>
        <v>Dry_P4_T4</v>
      </c>
      <c r="I281" s="262" t="s">
        <v>2525</v>
      </c>
      <c r="J281" s="269" t="s">
        <v>298</v>
      </c>
      <c r="K281" s="260" t="str">
        <f>IF(ISBLANK('Dry_Litterbag Placem_Collection'!K62),"","R"&amp;""&amp;'Dry_Litterbag Placem_Collection'!K62)</f>
        <v>R763</v>
      </c>
      <c r="L281" s="264">
        <f>IFERROR(INDEX('Green_rooibos initial weight'!$C$5:$C$2000,MATCH(K281, 'Green_rooibos initial weight'!$A$5:$A$2000,0)),"")</f>
        <v>2.2589999999999999</v>
      </c>
      <c r="M281" s="264">
        <f>IFERROR(L281-(TBIcalc!$Q$9+TBIcalc!$Q$10),"")</f>
        <v>2.0091999999999999</v>
      </c>
      <c r="N281" s="385">
        <f>AVERAGE(Ashed_controlls!$K$12:$K$14)</f>
        <v>2.2816647271287041</v>
      </c>
      <c r="O281" s="264">
        <f t="shared" si="21"/>
        <v>1.9633567923025299</v>
      </c>
      <c r="P281" s="264">
        <f>IFERROR(INDEX('Both teabags AfterDry'!$D$2:$D$2000,MATCH(K281,'Both teabags AfterDry'!$A$2:$A$2000,0)),"")</f>
        <v>1.9797</v>
      </c>
      <c r="Q281" s="264">
        <f>IFERROR(IF(P281&gt;0,P281-(TBIcalc!$Q$9),""),"")</f>
        <v>1.8290999999999999</v>
      </c>
      <c r="R281" s="275">
        <f>IFERROR(INDEX('Ashed teabags dry'!$K$2:$K$2000,MATCH(K281,'Ashed teabags dry'!$A$2:$A$2000,0)),"")</f>
        <v>2.8315946348738801</v>
      </c>
      <c r="S281" s="275">
        <f t="shared" si="22"/>
        <v>1.7773073025335218</v>
      </c>
      <c r="T281" s="265">
        <f>IF('Dry_Litterbag Placem_Collection'!E62="","",'Dry_Litterbag Placem_Collection'!E62)</f>
        <v>42938</v>
      </c>
      <c r="U281" s="265">
        <f>IF('Dry_Litterbag Placem_Collection'!G62="","",'Dry_Litterbag Placem_Collection'!G62)</f>
        <v>43005</v>
      </c>
      <c r="V281" s="266">
        <f t="shared" si="20"/>
        <v>67</v>
      </c>
      <c r="W281" s="264">
        <f t="shared" si="23"/>
        <v>0.18009999999999993</v>
      </c>
      <c r="X281" s="264">
        <f t="shared" si="24"/>
        <v>0.18604948976900815</v>
      </c>
      <c r="Y281" s="268">
        <f>IFERROR(INDEX(Rainfall_Dry!$O$2:$O$217,MATCH(B281, Rainfall_Dry!$A$2:$A$217,0)),"")</f>
        <v>6.5250000359999998</v>
      </c>
      <c r="Z281" s="257">
        <v>25.96</v>
      </c>
      <c r="AA281" s="257">
        <v>6.9200000000000008</v>
      </c>
      <c r="AB281" s="257">
        <v>67.12</v>
      </c>
      <c r="AC281" s="258" t="s">
        <v>2654</v>
      </c>
      <c r="AD281" s="257">
        <v>1.7568260226712666</v>
      </c>
      <c r="AE281">
        <f>IF('WetLitterbags placem_collection'!AB62="","",'WetLitterbags placem_collection'!AB62)</f>
        <v>2.4</v>
      </c>
      <c r="AF281">
        <f>IF('WetLitterbags placem_collection'!Z62="","",'WetLitterbags placem_collection'!Z62)</f>
        <v>10.199999999999999</v>
      </c>
      <c r="AG281" s="243" t="str">
        <f>IF('WetLitterbags placem_collection'!AA62="","",'WetLitterbags placem_collection'!AA62)</f>
        <v>O</v>
      </c>
      <c r="AH281">
        <f>IF('WetLitterbags placem_collection'!AC62="","",'WetLitterbags placem_collection'!AC62)</f>
        <v>0</v>
      </c>
      <c r="AI281">
        <f>IFERROR(AVERAGE('Dry_Litterbag Placem_Collection'!O62,'Dry_Litterbag Placem_Collection'!R62),"")</f>
        <v>5.65</v>
      </c>
      <c r="AJ281" s="268">
        <f>IFERROR(AVERAGE('Dry_Litterbag Placem_Collection'!N62,'Dry_Litterbag Placem_Collection'!Q62),"")</f>
        <v>32.650000000000006</v>
      </c>
      <c r="AK281" s="267">
        <f>INDEX(Coordinates!$B$2:$B$197,MATCH(H281,Coordinates!$J$2:$J$197,0))</f>
        <v>-3.406281983</v>
      </c>
      <c r="AL281" s="267">
        <f>INDEX(Coordinates!$C$2:$C$197,MATCH(H281,Coordinates!$J$2:$J$197,0))</f>
        <v>34.85137898</v>
      </c>
      <c r="AM281" s="267" t="str">
        <f>IF(ISNUMBER(SEARCH("C", 'Dry_Litterbag Placem_Collection'!T62)),"YES","NO")</f>
        <v>NO</v>
      </c>
      <c r="AN281" s="267" t="str">
        <f>IF(ISNUMBER(SEARCH("H", 'Dry_Litterbag Placem_Collection'!T62)),"YES","NO")</f>
        <v>NO</v>
      </c>
      <c r="AO281" s="267" t="str">
        <f>IF(ISNUMBER(SEARCH("R", 'Dry_Litterbag Placem_Collection'!T62)),"YES","NO")</f>
        <v>NO</v>
      </c>
    </row>
    <row r="282" spans="1:41" ht="15" customHeight="1">
      <c r="A282" s="259" t="s">
        <v>2643</v>
      </c>
      <c r="B282" s="260">
        <f>'Dry_Litterbag Placem_Collection'!A63</f>
        <v>61</v>
      </c>
      <c r="C282" s="260" t="str">
        <f>'Dry_Litterbag Placem_Collection'!B63</f>
        <v>Makao</v>
      </c>
      <c r="D282" s="260" t="s">
        <v>2643</v>
      </c>
      <c r="E282" s="260" t="s">
        <v>20</v>
      </c>
      <c r="F282" s="260">
        <v>4</v>
      </c>
      <c r="G282" s="260" t="s">
        <v>3809</v>
      </c>
      <c r="H282" s="261" t="str">
        <f>'Dry_Litterbag Placem_Collection'!C63</f>
        <v>Dry_P4_T5</v>
      </c>
      <c r="I282" s="262" t="s">
        <v>2525</v>
      </c>
      <c r="J282" s="269" t="s">
        <v>298</v>
      </c>
      <c r="K282" s="260" t="str">
        <f>IF(ISBLANK('Dry_Litterbag Placem_Collection'!K63),"","R"&amp;""&amp;'Dry_Litterbag Placem_Collection'!K63)</f>
        <v>R775</v>
      </c>
      <c r="L282" s="264">
        <f>IFERROR(INDEX('Green_rooibos initial weight'!$C$5:$C$2000,MATCH(K282, 'Green_rooibos initial weight'!$A$5:$A$2000,0)),"")</f>
        <v>2.2290000000000001</v>
      </c>
      <c r="M282" s="264">
        <f>IFERROR(L282-(TBIcalc!$Q$9+TBIcalc!$Q$10),"")</f>
        <v>1.9792000000000001</v>
      </c>
      <c r="N282" s="385">
        <f>AVERAGE(Ashed_controlls!$K$12:$K$14)</f>
        <v>2.2816647271287041</v>
      </c>
      <c r="O282" s="264">
        <f t="shared" si="21"/>
        <v>1.9340412917206689</v>
      </c>
      <c r="P282" s="264" t="str">
        <f>IFERROR(INDEX('Both teabags AfterDry'!$D$2:$D$2000,MATCH(K282,'Both teabags AfterDry'!$A$2:$A$2000,0)),"")</f>
        <v/>
      </c>
      <c r="Q282" s="264" t="str">
        <f>IFERROR(IF(P282&gt;0,P282-(TBIcalc!$Q$9),""),"")</f>
        <v/>
      </c>
      <c r="R282" s="275" t="str">
        <f>IFERROR(INDEX('Ashed teabags dry'!$K$2:$K$2000,MATCH(K282,'Ashed teabags dry'!$A$2:$A$2000,0)),"")</f>
        <v/>
      </c>
      <c r="S282" s="275" t="str">
        <f t="shared" si="22"/>
        <v/>
      </c>
      <c r="T282" s="265">
        <f>IF('Dry_Litterbag Placem_Collection'!E63="","",'Dry_Litterbag Placem_Collection'!E63)</f>
        <v>42938</v>
      </c>
      <c r="U282" s="265">
        <f>IF('Dry_Litterbag Placem_Collection'!G63="","",'Dry_Litterbag Placem_Collection'!G63)</f>
        <v>43005</v>
      </c>
      <c r="V282" s="266">
        <f t="shared" si="20"/>
        <v>67</v>
      </c>
      <c r="W282" s="264" t="str">
        <f t="shared" si="23"/>
        <v/>
      </c>
      <c r="X282" s="264" t="str">
        <f t="shared" si="24"/>
        <v/>
      </c>
      <c r="Y282" s="268">
        <f>IFERROR(INDEX(Rainfall_Dry!$O$2:$O$217,MATCH(B282, Rainfall_Dry!$A$2:$A$217,0)),"")</f>
        <v>6.5250000359999998</v>
      </c>
      <c r="Z282" s="257">
        <v>25.96</v>
      </c>
      <c r="AA282" s="257">
        <v>6.9200000000000008</v>
      </c>
      <c r="AB282" s="257">
        <v>67.12</v>
      </c>
      <c r="AC282" s="258" t="s">
        <v>2654</v>
      </c>
      <c r="AD282" s="257">
        <v>1.7568260226712666</v>
      </c>
      <c r="AE282">
        <f>IF('WetLitterbags placem_collection'!AB63="","",'WetLitterbags placem_collection'!AB63)</f>
        <v>5.6</v>
      </c>
      <c r="AF282">
        <f>IF('WetLitterbags placem_collection'!Z63="","",'WetLitterbags placem_collection'!Z63)</f>
        <v>34.200000000000003</v>
      </c>
      <c r="AG282" s="243" t="str">
        <f>IF('WetLitterbags placem_collection'!AA63="","",'WetLitterbags placem_collection'!AA63)</f>
        <v>O</v>
      </c>
      <c r="AH282">
        <f>IF('WetLitterbags placem_collection'!AC63="","",'WetLitterbags placem_collection'!AC63)</f>
        <v>0</v>
      </c>
      <c r="AI282">
        <f>IFERROR(AVERAGE('Dry_Litterbag Placem_Collection'!O63,'Dry_Litterbag Placem_Collection'!R63),"")</f>
        <v>4.5</v>
      </c>
      <c r="AJ282" s="268">
        <f>IFERROR(AVERAGE('Dry_Litterbag Placem_Collection'!N63,'Dry_Litterbag Placem_Collection'!Q63),"")</f>
        <v>34</v>
      </c>
      <c r="AK282" s="267">
        <f>INDEX(Coordinates!$B$2:$B$197,MATCH(H282,Coordinates!$J$2:$J$197,0))</f>
        <v>-3.406569986</v>
      </c>
      <c r="AL282" s="267">
        <f>INDEX(Coordinates!$C$2:$C$197,MATCH(H282,Coordinates!$J$2:$J$197,0))</f>
        <v>34.851323989999997</v>
      </c>
      <c r="AM282" s="267" t="str">
        <f>IF(ISNUMBER(SEARCH("C", 'Dry_Litterbag Placem_Collection'!T63)),"YES","NO")</f>
        <v>NO</v>
      </c>
      <c r="AN282" s="267" t="str">
        <f>IF(ISNUMBER(SEARCH("H", 'Dry_Litterbag Placem_Collection'!T63)),"YES","NO")</f>
        <v>NO</v>
      </c>
      <c r="AO282" s="267" t="str">
        <f>IF(ISNUMBER(SEARCH("R", 'Dry_Litterbag Placem_Collection'!T63)),"YES","NO")</f>
        <v>NO</v>
      </c>
    </row>
    <row r="283" spans="1:41" ht="15" customHeight="1">
      <c r="A283" s="259" t="s">
        <v>2643</v>
      </c>
      <c r="B283" s="260">
        <f>'Dry_Litterbag Placem_Collection'!A64</f>
        <v>62</v>
      </c>
      <c r="C283" s="260" t="str">
        <f>'Dry_Litterbag Placem_Collection'!B64</f>
        <v>Makao</v>
      </c>
      <c r="D283" s="260" t="s">
        <v>2643</v>
      </c>
      <c r="E283" s="260" t="s">
        <v>20</v>
      </c>
      <c r="F283" s="260">
        <v>4</v>
      </c>
      <c r="G283" s="260" t="s">
        <v>3809</v>
      </c>
      <c r="H283" s="261" t="str">
        <f>'Dry_Litterbag Placem_Collection'!C64</f>
        <v>Dry_P4_T6</v>
      </c>
      <c r="I283" s="262" t="s">
        <v>2525</v>
      </c>
      <c r="J283" s="269" t="s">
        <v>298</v>
      </c>
      <c r="K283" s="260" t="str">
        <f>IF(ISBLANK('Dry_Litterbag Placem_Collection'!K64),"","R"&amp;""&amp;'Dry_Litterbag Placem_Collection'!K64)</f>
        <v/>
      </c>
      <c r="L283" s="264" t="str">
        <f>IFERROR(INDEX('Green_rooibos initial weight'!$C$5:$C$2000,MATCH(K283, 'Green_rooibos initial weight'!$A$5:$A$2000,0)),"")</f>
        <v/>
      </c>
      <c r="M283" s="264" t="str">
        <f>IFERROR(L283-(TBIcalc!$Q$9+TBIcalc!$Q$10),"")</f>
        <v/>
      </c>
      <c r="N283" s="385">
        <f>AVERAGE(Ashed_controlls!$K$12:$K$14)</f>
        <v>2.2816647271287041</v>
      </c>
      <c r="O283" s="264" t="str">
        <f t="shared" si="21"/>
        <v/>
      </c>
      <c r="P283" s="264" t="str">
        <f>IFERROR(INDEX('Both teabags AfterDry'!$D$2:$D$2000,MATCH(K283,'Both teabags AfterDry'!$A$2:$A$2000,0)),"")</f>
        <v/>
      </c>
      <c r="Q283" s="264" t="str">
        <f>IFERROR(IF(P283&gt;0,P283-(TBIcalc!$Q$9),""),"")</f>
        <v/>
      </c>
      <c r="R283" s="275" t="str">
        <f>IFERROR(INDEX('Ashed teabags dry'!$K$2:$K$2000,MATCH(K283,'Ashed teabags dry'!$A$2:$A$2000,0)),"")</f>
        <v/>
      </c>
      <c r="S283" s="275" t="str">
        <f t="shared" si="22"/>
        <v/>
      </c>
      <c r="T283" s="265" t="str">
        <f>IF('Dry_Litterbag Placem_Collection'!E64="","",'Dry_Litterbag Placem_Collection'!E64)</f>
        <v/>
      </c>
      <c r="U283" s="265" t="str">
        <f>IF('Dry_Litterbag Placem_Collection'!G64="","",'Dry_Litterbag Placem_Collection'!G64)</f>
        <v/>
      </c>
      <c r="V283" s="266" t="str">
        <f t="shared" si="20"/>
        <v/>
      </c>
      <c r="W283" s="264" t="str">
        <f t="shared" si="23"/>
        <v/>
      </c>
      <c r="X283" s="264" t="str">
        <f t="shared" si="24"/>
        <v/>
      </c>
      <c r="Y283" s="268" t="str">
        <f>IFERROR(INDEX(Rainfall_Dry!$O$2:$O$217,MATCH(B283, Rainfall_Dry!$A$2:$A$217,0)),"")</f>
        <v/>
      </c>
      <c r="Z283" s="257">
        <v>25.96</v>
      </c>
      <c r="AA283" s="257">
        <v>6.9200000000000008</v>
      </c>
      <c r="AB283" s="257">
        <v>67.12</v>
      </c>
      <c r="AC283" s="258" t="s">
        <v>2654</v>
      </c>
      <c r="AD283" s="257">
        <v>1.7568260226712666</v>
      </c>
      <c r="AE283">
        <f>IF('WetLitterbags placem_collection'!AB64="","",'WetLitterbags placem_collection'!AB64)</f>
        <v>4.2</v>
      </c>
      <c r="AF283">
        <f>IF('WetLitterbags placem_collection'!Z64="","",'WetLitterbags placem_collection'!Z64)</f>
        <v>40.4</v>
      </c>
      <c r="AG283" s="243" t="str">
        <f>IF('WetLitterbags placem_collection'!AA64="","",'WetLitterbags placem_collection'!AA64)</f>
        <v>O</v>
      </c>
      <c r="AH283">
        <f>IF('WetLitterbags placem_collection'!AC64="","",'WetLitterbags placem_collection'!AC64)</f>
        <v>0</v>
      </c>
      <c r="AI283" t="str">
        <f>IFERROR(AVERAGE('Dry_Litterbag Placem_Collection'!O64,'Dry_Litterbag Placem_Collection'!R64),"")</f>
        <v/>
      </c>
      <c r="AJ283" s="268" t="str">
        <f>IFERROR(AVERAGE('Dry_Litterbag Placem_Collection'!N64,'Dry_Litterbag Placem_Collection'!Q64),"")</f>
        <v/>
      </c>
      <c r="AK283" s="267">
        <f>INDEX(Coordinates!$B$2:$B$197,MATCH(H283,Coordinates!$J$2:$J$197,0))</f>
        <v>-3.4065180179999999</v>
      </c>
      <c r="AL283" s="267">
        <f>INDEX(Coordinates!$C$2:$C$197,MATCH(H283,Coordinates!$J$2:$J$197,0))</f>
        <v>34.85121402</v>
      </c>
      <c r="AM283" s="267" t="str">
        <f>IF(ISNUMBER(SEARCH("C", 'Dry_Litterbag Placem_Collection'!T64)),"YES","NO")</f>
        <v>NO</v>
      </c>
      <c r="AN283" s="267" t="str">
        <f>IF(ISNUMBER(SEARCH("H", 'Dry_Litterbag Placem_Collection'!T64)),"YES","NO")</f>
        <v>NO</v>
      </c>
      <c r="AO283" s="267" t="str">
        <f>IF(ISNUMBER(SEARCH("R", 'Dry_Litterbag Placem_Collection'!T64)),"YES","NO")</f>
        <v>NO</v>
      </c>
    </row>
    <row r="284" spans="1:41" ht="15" customHeight="1">
      <c r="A284" s="259" t="s">
        <v>2643</v>
      </c>
      <c r="B284" s="260">
        <f>'Dry_Litterbag Placem_Collection'!A65</f>
        <v>63</v>
      </c>
      <c r="C284" s="260" t="str">
        <f>'Dry_Litterbag Placem_Collection'!B65</f>
        <v>Makao</v>
      </c>
      <c r="D284" s="260" t="s">
        <v>2643</v>
      </c>
      <c r="E284" s="260" t="s">
        <v>20</v>
      </c>
      <c r="F284" s="260">
        <v>4</v>
      </c>
      <c r="G284" s="260" t="s">
        <v>3809</v>
      </c>
      <c r="H284" s="261" t="str">
        <f>'Dry_Litterbag Placem_Collection'!C65</f>
        <v>Dry_P4_T7</v>
      </c>
      <c r="I284" s="262" t="s">
        <v>2525</v>
      </c>
      <c r="J284" s="269" t="s">
        <v>298</v>
      </c>
      <c r="K284" s="260" t="str">
        <f>IF(ISBLANK('Dry_Litterbag Placem_Collection'!K65),"","R"&amp;""&amp;'Dry_Litterbag Placem_Collection'!K65)</f>
        <v>R733</v>
      </c>
      <c r="L284" s="264">
        <f>IFERROR(INDEX('Green_rooibos initial weight'!$C$5:$C$2000,MATCH(K284, 'Green_rooibos initial weight'!$A$5:$A$2000,0)),"")</f>
        <v>2.181</v>
      </c>
      <c r="M284" s="264">
        <f>IFERROR(L284-(TBIcalc!$Q$9+TBIcalc!$Q$10),"")</f>
        <v>1.9312</v>
      </c>
      <c r="N284" s="385">
        <f>AVERAGE(Ashed_controlls!$K$12:$K$14)</f>
        <v>2.2816647271287041</v>
      </c>
      <c r="O284" s="264">
        <f t="shared" si="21"/>
        <v>1.8871364907896906</v>
      </c>
      <c r="P284" s="264">
        <f>IFERROR(INDEX('Both teabags AfterDry'!$D$2:$D$2000,MATCH(K284,'Both teabags AfterDry'!$A$2:$A$2000,0)),"")</f>
        <v>1.9025000000000001</v>
      </c>
      <c r="Q284" s="264">
        <f>IFERROR(IF(P284&gt;0,P284-(TBIcalc!$Q$9),""),"")</f>
        <v>1.7519</v>
      </c>
      <c r="R284" s="275">
        <f>IFERROR(INDEX('Ashed teabags dry'!$K$2:$K$2000,MATCH(K284,'Ashed teabags dry'!$A$2:$A$2000,0)),"")</f>
        <v>2.0627417275461966</v>
      </c>
      <c r="S284" s="275">
        <f t="shared" si="22"/>
        <v>1.7157628276751182</v>
      </c>
      <c r="T284" s="265">
        <f>IF('Dry_Litterbag Placem_Collection'!E65="","",'Dry_Litterbag Placem_Collection'!E65)</f>
        <v>42938</v>
      </c>
      <c r="U284" s="265">
        <f>IF('Dry_Litterbag Placem_Collection'!G65="","",'Dry_Litterbag Placem_Collection'!G65)</f>
        <v>43005</v>
      </c>
      <c r="V284" s="266">
        <f t="shared" si="20"/>
        <v>67</v>
      </c>
      <c r="W284" s="264">
        <f t="shared" si="23"/>
        <v>0.17930000000000001</v>
      </c>
      <c r="X284" s="264">
        <f t="shared" si="24"/>
        <v>0.17137366311457236</v>
      </c>
      <c r="Y284" s="268">
        <f>IFERROR(INDEX(Rainfall_Dry!$O$2:$O$217,MATCH(B284, Rainfall_Dry!$A$2:$A$217,0)),"")</f>
        <v>6.5250000359999998</v>
      </c>
      <c r="Z284" s="257">
        <v>25.96</v>
      </c>
      <c r="AA284" s="257">
        <v>6.9200000000000008</v>
      </c>
      <c r="AB284" s="257">
        <v>67.12</v>
      </c>
      <c r="AC284" s="258" t="s">
        <v>2654</v>
      </c>
      <c r="AD284" s="257">
        <v>1.7568260226712666</v>
      </c>
      <c r="AE284">
        <f>IF('WetLitterbags placem_collection'!AB65="","",'WetLitterbags placem_collection'!AB65)</f>
        <v>4.9000000000000004</v>
      </c>
      <c r="AF284">
        <f>IF('WetLitterbags placem_collection'!Z65="","",'WetLitterbags placem_collection'!Z65)</f>
        <v>45</v>
      </c>
      <c r="AG284" s="243" t="str">
        <f>IF('WetLitterbags placem_collection'!AA65="","",'WetLitterbags placem_collection'!AA65)</f>
        <v>O</v>
      </c>
      <c r="AH284">
        <f>IF('WetLitterbags placem_collection'!AC65="","",'WetLitterbags placem_collection'!AC65)</f>
        <v>0</v>
      </c>
      <c r="AI284">
        <f>IFERROR(AVERAGE('Dry_Litterbag Placem_Collection'!O65,'Dry_Litterbag Placem_Collection'!R65),"")</f>
        <v>4.75</v>
      </c>
      <c r="AJ284" s="268">
        <f>IFERROR(AVERAGE('Dry_Litterbag Placem_Collection'!N65,'Dry_Litterbag Placem_Collection'!Q65),"")</f>
        <v>31.3</v>
      </c>
      <c r="AK284" s="267">
        <f>INDEX(Coordinates!$B$2:$B$197,MATCH(H284,Coordinates!$J$2:$J$197,0))</f>
        <v>-3.406334035</v>
      </c>
      <c r="AL284" s="267">
        <f>INDEX(Coordinates!$C$2:$C$197,MATCH(H284,Coordinates!$J$2:$J$197,0))</f>
        <v>34.851172030000001</v>
      </c>
      <c r="AM284" s="267" t="str">
        <f>IF(ISNUMBER(SEARCH("C", 'Dry_Litterbag Placem_Collection'!T65)),"YES","NO")</f>
        <v>NO</v>
      </c>
      <c r="AN284" s="267" t="str">
        <f>IF(ISNUMBER(SEARCH("H", 'Dry_Litterbag Placem_Collection'!T65)),"YES","NO")</f>
        <v>NO</v>
      </c>
      <c r="AO284" s="267" t="str">
        <f>IF(ISNUMBER(SEARCH("R", 'Dry_Litterbag Placem_Collection'!T65)),"YES","NO")</f>
        <v>NO</v>
      </c>
    </row>
    <row r="285" spans="1:41" ht="15" customHeight="1">
      <c r="A285" s="259" t="s">
        <v>2643</v>
      </c>
      <c r="B285" s="260">
        <f>'Dry_Litterbag Placem_Collection'!A66</f>
        <v>64</v>
      </c>
      <c r="C285" s="260" t="str">
        <f>'Dry_Litterbag Placem_Collection'!B66</f>
        <v>Makao</v>
      </c>
      <c r="D285" s="260" t="s">
        <v>2643</v>
      </c>
      <c r="E285" s="260" t="s">
        <v>20</v>
      </c>
      <c r="F285" s="260">
        <v>4</v>
      </c>
      <c r="G285" s="260" t="s">
        <v>3809</v>
      </c>
      <c r="H285" s="261" t="str">
        <f>'Dry_Litterbag Placem_Collection'!C66</f>
        <v>Dry_P4_T8</v>
      </c>
      <c r="I285" s="262" t="s">
        <v>2525</v>
      </c>
      <c r="J285" s="269" t="s">
        <v>298</v>
      </c>
      <c r="K285" s="260" t="str">
        <f>IF(ISBLANK('Dry_Litterbag Placem_Collection'!K66),"","R"&amp;""&amp;'Dry_Litterbag Placem_Collection'!K66)</f>
        <v>R765</v>
      </c>
      <c r="L285" s="264">
        <f>IFERROR(INDEX('Green_rooibos initial weight'!$C$5:$C$2000,MATCH(K285, 'Green_rooibos initial weight'!$A$5:$A$2000,0)),"")</f>
        <v>2.2400000000000002</v>
      </c>
      <c r="M285" s="264">
        <f>IFERROR(L285-(TBIcalc!$Q$9+TBIcalc!$Q$10),"")</f>
        <v>1.9902000000000002</v>
      </c>
      <c r="N285" s="385">
        <f>AVERAGE(Ashed_controlls!$K$12:$K$14)</f>
        <v>2.2816647271287041</v>
      </c>
      <c r="O285" s="264">
        <f t="shared" si="21"/>
        <v>1.9447903086006848</v>
      </c>
      <c r="P285" s="264">
        <f>IFERROR(INDEX('Both teabags AfterDry'!$D$2:$D$2000,MATCH(K285,'Both teabags AfterDry'!$A$2:$A$2000,0)),"")</f>
        <v>1.9783999999999999</v>
      </c>
      <c r="Q285" s="264">
        <f>IFERROR(IF(P285&gt;0,P285-(TBIcalc!$Q$9),""),"")</f>
        <v>1.8277999999999999</v>
      </c>
      <c r="R285" s="275">
        <f>IFERROR(INDEX('Ashed teabags dry'!$K$2:$K$2000,MATCH(K285,'Ashed teabags dry'!$A$2:$A$2000,0)),"")</f>
        <v>2.2874191944304623</v>
      </c>
      <c r="S285" s="275">
        <f t="shared" si="22"/>
        <v>1.7859905519641999</v>
      </c>
      <c r="T285" s="265">
        <f>IF('Dry_Litterbag Placem_Collection'!E66="","",'Dry_Litterbag Placem_Collection'!E66)</f>
        <v>42938</v>
      </c>
      <c r="U285" s="265">
        <f>IF('Dry_Litterbag Placem_Collection'!G66="","",'Dry_Litterbag Placem_Collection'!G66)</f>
        <v>43005</v>
      </c>
      <c r="V285" s="266">
        <f t="shared" si="20"/>
        <v>67</v>
      </c>
      <c r="W285" s="264">
        <f t="shared" si="23"/>
        <v>0.16240000000000032</v>
      </c>
      <c r="X285" s="264">
        <f t="shared" si="24"/>
        <v>0.15879975663648493</v>
      </c>
      <c r="Y285" s="268">
        <f>IFERROR(INDEX(Rainfall_Dry!$O$2:$O$217,MATCH(B285, Rainfall_Dry!$A$2:$A$217,0)),"")</f>
        <v>6.5250000359999998</v>
      </c>
      <c r="Z285" s="257">
        <v>25.96</v>
      </c>
      <c r="AA285" s="257">
        <v>6.9200000000000008</v>
      </c>
      <c r="AB285" s="257">
        <v>67.12</v>
      </c>
      <c r="AC285" s="258" t="s">
        <v>2654</v>
      </c>
      <c r="AD285" s="257">
        <v>1.7568260226712666</v>
      </c>
      <c r="AE285">
        <f>IF('WetLitterbags placem_collection'!AB66="","",'WetLitterbags placem_collection'!AB66)</f>
        <v>3</v>
      </c>
      <c r="AF285">
        <f>IF('WetLitterbags placem_collection'!Z66="","",'WetLitterbags placem_collection'!Z66)</f>
        <v>22.8</v>
      </c>
      <c r="AG285" s="243" t="str">
        <f>IF('WetLitterbags placem_collection'!AA66="","",'WetLitterbags placem_collection'!AA66)</f>
        <v>O</v>
      </c>
      <c r="AH285">
        <f>IF('WetLitterbags placem_collection'!AC66="","",'WetLitterbags placem_collection'!AC66)</f>
        <v>1</v>
      </c>
      <c r="AI285">
        <f>IFERROR(AVERAGE('Dry_Litterbag Placem_Collection'!O66,'Dry_Litterbag Placem_Collection'!R66),"")</f>
        <v>5.55</v>
      </c>
      <c r="AJ285" s="268">
        <f>IFERROR(AVERAGE('Dry_Litterbag Placem_Collection'!N66,'Dry_Litterbag Placem_Collection'!Q66),"")</f>
        <v>31.5</v>
      </c>
      <c r="AK285" s="267">
        <f>INDEX(Coordinates!$B$2:$B$197,MATCH(H285,Coordinates!$J$2:$J$197,0))</f>
        <v>-3.4063409920000001</v>
      </c>
      <c r="AL285" s="267">
        <f>INDEX(Coordinates!$C$2:$C$197,MATCH(H285,Coordinates!$J$2:$J$197,0))</f>
        <v>34.85126004</v>
      </c>
      <c r="AM285" s="267" t="str">
        <f>IF(ISNUMBER(SEARCH("C", 'Dry_Litterbag Placem_Collection'!T66)),"YES","NO")</f>
        <v>NO</v>
      </c>
      <c r="AN285" s="267" t="str">
        <f>IF(ISNUMBER(SEARCH("H", 'Dry_Litterbag Placem_Collection'!T66)),"YES","NO")</f>
        <v>NO</v>
      </c>
      <c r="AO285" s="267" t="str">
        <f>IF(ISNUMBER(SEARCH("R", 'Dry_Litterbag Placem_Collection'!T66)),"YES","NO")</f>
        <v>NO</v>
      </c>
    </row>
    <row r="286" spans="1:41" ht="15" customHeight="1">
      <c r="A286" s="259" t="s">
        <v>2643</v>
      </c>
      <c r="B286" s="260">
        <f>'Dry_Litterbag Placem_Collection'!A67</f>
        <v>65</v>
      </c>
      <c r="C286" s="260" t="str">
        <f>'Dry_Litterbag Placem_Collection'!B67</f>
        <v>Maswa</v>
      </c>
      <c r="D286" s="260" t="s">
        <v>2643</v>
      </c>
      <c r="E286" s="260" t="s">
        <v>2645</v>
      </c>
      <c r="F286" s="260">
        <v>1</v>
      </c>
      <c r="G286" s="260" t="s">
        <v>3810</v>
      </c>
      <c r="H286" s="261" t="str">
        <f>'Dry_Litterbag Placem_Collection'!C67</f>
        <v>Dry_W1_T1</v>
      </c>
      <c r="I286" s="262" t="s">
        <v>2525</v>
      </c>
      <c r="J286" s="269" t="s">
        <v>298</v>
      </c>
      <c r="K286" s="260" t="str">
        <f>IF(ISBLANK('Dry_Litterbag Placem_Collection'!K67),"","R"&amp;""&amp;'Dry_Litterbag Placem_Collection'!K67)</f>
        <v>R731</v>
      </c>
      <c r="L286" s="264">
        <f>IFERROR(INDEX('Green_rooibos initial weight'!$C$5:$C$2000,MATCH(K286, 'Green_rooibos initial weight'!$A$5:$A$2000,0)),"")</f>
        <v>2.2480000000000002</v>
      </c>
      <c r="M286" s="264">
        <f>IFERROR(L286-(TBIcalc!$Q$9+TBIcalc!$Q$10),"")</f>
        <v>1.9982000000000002</v>
      </c>
      <c r="N286" s="385">
        <f>AVERAGE(Ashed_controlls!$K$12:$K$14)</f>
        <v>2.2816647271287041</v>
      </c>
      <c r="O286" s="264">
        <f t="shared" si="21"/>
        <v>1.9526077754225144</v>
      </c>
      <c r="P286" s="264" t="str">
        <f>IFERROR(INDEX('Both teabags AfterDry'!$D$2:$D$2000,MATCH(K286,'Both teabags AfterDry'!$A$2:$A$2000,0)),"")</f>
        <v/>
      </c>
      <c r="Q286" s="264" t="str">
        <f>IFERROR(IF(P286&gt;0,P286-(TBIcalc!$Q$9),""),"")</f>
        <v/>
      </c>
      <c r="R286" s="275" t="str">
        <f>IFERROR(INDEX('Ashed teabags dry'!$K$2:$K$2000,MATCH(K286,'Ashed teabags dry'!$A$2:$A$2000,0)),"")</f>
        <v/>
      </c>
      <c r="S286" s="275" t="str">
        <f t="shared" si="22"/>
        <v/>
      </c>
      <c r="T286" s="265">
        <f>IF('Dry_Litterbag Placem_Collection'!E67="","",'Dry_Litterbag Placem_Collection'!E67)</f>
        <v>42937</v>
      </c>
      <c r="U286" s="265">
        <f>IF('Dry_Litterbag Placem_Collection'!G67="","",'Dry_Litterbag Placem_Collection'!G67)</f>
        <v>43005</v>
      </c>
      <c r="V286" s="266">
        <f t="shared" si="20"/>
        <v>68</v>
      </c>
      <c r="W286" s="264" t="str">
        <f t="shared" si="23"/>
        <v/>
      </c>
      <c r="X286" s="264" t="str">
        <f t="shared" si="24"/>
        <v/>
      </c>
      <c r="Y286" s="268">
        <f>IFERROR(INDEX(Rainfall_Dry!$O$2:$O$217,MATCH(B286, Rainfall_Dry!$A$2:$A$217,0)),"")</f>
        <v>6.900000125</v>
      </c>
      <c r="Z286" s="257">
        <v>47.96</v>
      </c>
      <c r="AA286" s="257">
        <v>22.919999999999995</v>
      </c>
      <c r="AB286" s="257">
        <v>29.120000000000012</v>
      </c>
      <c r="AC286" s="258" t="s">
        <v>2657</v>
      </c>
      <c r="AD286" s="257">
        <v>2.8831936914736325</v>
      </c>
      <c r="AE286">
        <f>IF('WetLitterbags placem_collection'!AB67="","",'WetLitterbags placem_collection'!AB67)</f>
        <v>13.8</v>
      </c>
      <c r="AF286">
        <f>IF('WetLitterbags placem_collection'!Z67="","",'WetLitterbags placem_collection'!Z67)</f>
        <v>13.8</v>
      </c>
      <c r="AG286" s="243" t="str">
        <f>IF('WetLitterbags placem_collection'!AA67="","",'WetLitterbags placem_collection'!AA67)</f>
        <v>O</v>
      </c>
      <c r="AH286">
        <f>IF('WetLitterbags placem_collection'!AC67="","",'WetLitterbags placem_collection'!AC67)</f>
        <v>1</v>
      </c>
      <c r="AI286">
        <f>IFERROR(AVERAGE('Dry_Litterbag Placem_Collection'!O67,'Dry_Litterbag Placem_Collection'!R67),"")</f>
        <v>10.65</v>
      </c>
      <c r="AJ286" s="268">
        <f>IFERROR(AVERAGE('Dry_Litterbag Placem_Collection'!N67,'Dry_Litterbag Placem_Collection'!Q67),"")</f>
        <v>28</v>
      </c>
      <c r="AK286" s="267">
        <f>INDEX(Coordinates!$B$2:$B$197,MATCH(H286,Coordinates!$J$2:$J$197,0))</f>
        <v>-3.2993960379999998</v>
      </c>
      <c r="AL286" s="267">
        <f>INDEX(Coordinates!$C$2:$C$197,MATCH(H286,Coordinates!$J$2:$J$197,0))</f>
        <v>34.848240959999998</v>
      </c>
      <c r="AM286" s="267" t="str">
        <f>IF(ISNUMBER(SEARCH("C", 'Dry_Litterbag Placem_Collection'!T67)),"YES","NO")</f>
        <v>NO</v>
      </c>
      <c r="AN286" s="267" t="str">
        <f>IF(ISNUMBER(SEARCH("H", 'Dry_Litterbag Placem_Collection'!T67)),"YES","NO")</f>
        <v>NO</v>
      </c>
      <c r="AO286" s="267" t="str">
        <f>IF(ISNUMBER(SEARCH("R", 'Dry_Litterbag Placem_Collection'!T67)),"YES","NO")</f>
        <v>NO</v>
      </c>
    </row>
    <row r="287" spans="1:41" ht="15" customHeight="1">
      <c r="A287" s="259" t="s">
        <v>2643</v>
      </c>
      <c r="B287" s="260">
        <f>'Dry_Litterbag Placem_Collection'!A68</f>
        <v>66</v>
      </c>
      <c r="C287" s="260" t="str">
        <f>'Dry_Litterbag Placem_Collection'!B68</f>
        <v>Maswa</v>
      </c>
      <c r="D287" s="260" t="s">
        <v>2643</v>
      </c>
      <c r="E287" s="260" t="s">
        <v>2645</v>
      </c>
      <c r="F287" s="260">
        <v>1</v>
      </c>
      <c r="G287" s="260" t="s">
        <v>3810</v>
      </c>
      <c r="H287" s="261" t="str">
        <f>'Dry_Litterbag Placem_Collection'!C68</f>
        <v>Dry_W1_T2</v>
      </c>
      <c r="I287" s="262" t="s">
        <v>2525</v>
      </c>
      <c r="J287" s="269" t="s">
        <v>298</v>
      </c>
      <c r="K287" s="260" t="str">
        <f>IF(ISBLANK('Dry_Litterbag Placem_Collection'!K68),"","R"&amp;""&amp;'Dry_Litterbag Placem_Collection'!K68)</f>
        <v>R816</v>
      </c>
      <c r="L287" s="264">
        <f>IFERROR(INDEX('Green_rooibos initial weight'!$C$5:$C$2000,MATCH(K287, 'Green_rooibos initial weight'!$A$5:$A$2000,0)),"")</f>
        <v>2.194</v>
      </c>
      <c r="M287" s="264">
        <f>IFERROR(L287-(TBIcalc!$Q$9+TBIcalc!$Q$10),"")</f>
        <v>1.9441999999999999</v>
      </c>
      <c r="N287" s="385">
        <f>AVERAGE(Ashed_controlls!$K$12:$K$14)</f>
        <v>2.2816647271287041</v>
      </c>
      <c r="O287" s="264">
        <f t="shared" si="21"/>
        <v>1.8998398743751637</v>
      </c>
      <c r="P287" s="264">
        <f>IFERROR(INDEX('Both teabags AfterDry'!$D$2:$D$2000,MATCH(K287,'Both teabags AfterDry'!$A$2:$A$2000,0)),"")</f>
        <v>1.9451000000000001</v>
      </c>
      <c r="Q287" s="264">
        <f>IFERROR(IF(P287&gt;0,P287-(TBIcalc!$Q$9),""),"")</f>
        <v>1.7945</v>
      </c>
      <c r="R287" s="275">
        <f>IFERROR(INDEX('Ashed teabags dry'!$K$2:$K$2000,MATCH(K287,'Ashed teabags dry'!$A$2:$A$2000,0)),"")</f>
        <v>3.3524481693872197</v>
      </c>
      <c r="S287" s="275">
        <f t="shared" si="22"/>
        <v>1.7343403176003462</v>
      </c>
      <c r="T287" s="265">
        <f>IF('Dry_Litterbag Placem_Collection'!E68="","",'Dry_Litterbag Placem_Collection'!E68)</f>
        <v>42937</v>
      </c>
      <c r="U287" s="265">
        <f>IF('Dry_Litterbag Placem_Collection'!G68="","",'Dry_Litterbag Placem_Collection'!G68)</f>
        <v>43005</v>
      </c>
      <c r="V287" s="266">
        <f t="shared" si="20"/>
        <v>68</v>
      </c>
      <c r="W287" s="264">
        <f t="shared" si="23"/>
        <v>0.14969999999999994</v>
      </c>
      <c r="X287" s="264">
        <f t="shared" si="24"/>
        <v>0.16549955677481742</v>
      </c>
      <c r="Y287" s="268">
        <f>IFERROR(INDEX(Rainfall_Dry!$O$2:$O$217,MATCH(B287, Rainfall_Dry!$A$2:$A$217,0)),"")</f>
        <v>6.900000125</v>
      </c>
      <c r="Z287" s="257">
        <v>47.96</v>
      </c>
      <c r="AA287" s="257">
        <v>22.919999999999995</v>
      </c>
      <c r="AB287" s="257">
        <v>29.120000000000012</v>
      </c>
      <c r="AC287" s="258" t="s">
        <v>2657</v>
      </c>
      <c r="AD287" s="257">
        <v>3.8831936914736298</v>
      </c>
      <c r="AE287">
        <f>IF('WetLitterbags placem_collection'!AB68="","",'WetLitterbags placem_collection'!AB68)</f>
        <v>8</v>
      </c>
      <c r="AF287">
        <f>IF('WetLitterbags placem_collection'!Z68="","",'WetLitterbags placem_collection'!Z68)</f>
        <v>19.8</v>
      </c>
      <c r="AG287" s="243" t="str">
        <f>IF('WetLitterbags placem_collection'!AA68="","",'WetLitterbags placem_collection'!AA68)</f>
        <v>O</v>
      </c>
      <c r="AH287">
        <f>IF('WetLitterbags placem_collection'!AC68="","",'WetLitterbags placem_collection'!AC68)</f>
        <v>1</v>
      </c>
      <c r="AI287">
        <f>IFERROR(AVERAGE('Dry_Litterbag Placem_Collection'!O68,'Dry_Litterbag Placem_Collection'!R68),"")</f>
        <v>10.100000000000001</v>
      </c>
      <c r="AJ287" s="268">
        <f>IFERROR(AVERAGE('Dry_Litterbag Placem_Collection'!N68,'Dry_Litterbag Placem_Collection'!Q68),"")</f>
        <v>23.6</v>
      </c>
      <c r="AK287" s="267">
        <f>INDEX(Coordinates!$B$2:$B$197,MATCH(H287,Coordinates!$J$2:$J$197,0))</f>
        <v>-3.2993090340000002</v>
      </c>
      <c r="AL287" s="267">
        <f>INDEX(Coordinates!$C$2:$C$197,MATCH(H287,Coordinates!$J$2:$J$197,0))</f>
        <v>34.848404989999999</v>
      </c>
      <c r="AM287" s="267" t="str">
        <f>IF(ISNUMBER(SEARCH("C", 'Dry_Litterbag Placem_Collection'!T68)),"YES","NO")</f>
        <v>NO</v>
      </c>
      <c r="AN287" s="267" t="str">
        <f>IF(ISNUMBER(SEARCH("H", 'Dry_Litterbag Placem_Collection'!T68)),"YES","NO")</f>
        <v>NO</v>
      </c>
      <c r="AO287" s="267" t="str">
        <f>IF(ISNUMBER(SEARCH("R", 'Dry_Litterbag Placem_Collection'!T68)),"YES","NO")</f>
        <v>NO</v>
      </c>
    </row>
    <row r="288" spans="1:41" ht="15" customHeight="1">
      <c r="A288" s="259" t="s">
        <v>2643</v>
      </c>
      <c r="B288" s="260">
        <f>'Dry_Litterbag Placem_Collection'!A69</f>
        <v>67</v>
      </c>
      <c r="C288" s="260" t="str">
        <f>'Dry_Litterbag Placem_Collection'!B69</f>
        <v>Maswa</v>
      </c>
      <c r="D288" s="260" t="s">
        <v>2643</v>
      </c>
      <c r="E288" s="260" t="s">
        <v>2645</v>
      </c>
      <c r="F288" s="260">
        <v>1</v>
      </c>
      <c r="G288" s="260" t="s">
        <v>3810</v>
      </c>
      <c r="H288" s="261" t="str">
        <f>'Dry_Litterbag Placem_Collection'!C69</f>
        <v>Dry_W1_T3</v>
      </c>
      <c r="I288" s="262" t="s">
        <v>2525</v>
      </c>
      <c r="J288" s="269" t="s">
        <v>298</v>
      </c>
      <c r="K288" s="260" t="str">
        <f>IF(ISBLANK('Dry_Litterbag Placem_Collection'!K69),"","R"&amp;""&amp;'Dry_Litterbag Placem_Collection'!K69)</f>
        <v/>
      </c>
      <c r="L288" s="264" t="str">
        <f>IFERROR(INDEX('Green_rooibos initial weight'!$C$5:$C$2000,MATCH(K288, 'Green_rooibos initial weight'!$A$5:$A$2000,0)),"")</f>
        <v/>
      </c>
      <c r="M288" s="264" t="str">
        <f>IFERROR(L288-(TBIcalc!$Q$9+TBIcalc!$Q$10),"")</f>
        <v/>
      </c>
      <c r="N288" s="385">
        <f>AVERAGE(Ashed_controlls!$K$12:$K$14)</f>
        <v>2.2816647271287041</v>
      </c>
      <c r="O288" s="264" t="str">
        <f t="shared" si="21"/>
        <v/>
      </c>
      <c r="P288" s="264" t="str">
        <f>IFERROR(INDEX('Both teabags AfterDry'!$D$2:$D$2000,MATCH(K288,'Both teabags AfterDry'!$A$2:$A$2000,0)),"")</f>
        <v/>
      </c>
      <c r="Q288" s="264" t="str">
        <f>IFERROR(IF(P288&gt;0,P288-(TBIcalc!$Q$9),""),"")</f>
        <v/>
      </c>
      <c r="R288" s="275" t="str">
        <f>IFERROR(INDEX('Ashed teabags dry'!$K$2:$K$2000,MATCH(K288,'Ashed teabags dry'!$A$2:$A$2000,0)),"")</f>
        <v/>
      </c>
      <c r="S288" s="275" t="str">
        <f t="shared" si="22"/>
        <v/>
      </c>
      <c r="T288" s="265" t="str">
        <f>IF('Dry_Litterbag Placem_Collection'!E69="","",'Dry_Litterbag Placem_Collection'!E69)</f>
        <v/>
      </c>
      <c r="U288" s="265" t="str">
        <f>IF('Dry_Litterbag Placem_Collection'!G69="","",'Dry_Litterbag Placem_Collection'!G69)</f>
        <v/>
      </c>
      <c r="V288" s="266" t="str">
        <f t="shared" si="20"/>
        <v/>
      </c>
      <c r="W288" s="264" t="str">
        <f t="shared" si="23"/>
        <v/>
      </c>
      <c r="X288" s="264" t="str">
        <f t="shared" si="24"/>
        <v/>
      </c>
      <c r="Y288" s="268" t="str">
        <f>IFERROR(INDEX(Rainfall_Dry!$O$2:$O$217,MATCH(B288, Rainfall_Dry!$A$2:$A$217,0)),"")</f>
        <v/>
      </c>
      <c r="Z288" s="257">
        <v>47.96</v>
      </c>
      <c r="AA288" s="257">
        <v>22.919999999999995</v>
      </c>
      <c r="AB288" s="257">
        <v>29.120000000000012</v>
      </c>
      <c r="AC288" s="258" t="s">
        <v>2657</v>
      </c>
      <c r="AD288" s="257">
        <v>4.8831936914736298</v>
      </c>
      <c r="AE288">
        <f>IF('WetLitterbags placem_collection'!AB69="","",'WetLitterbags placem_collection'!AB69)</f>
        <v>5.5</v>
      </c>
      <c r="AF288">
        <f>IF('WetLitterbags placem_collection'!Z69="","",'WetLitterbags placem_collection'!Z69)</f>
        <v>5.5</v>
      </c>
      <c r="AG288" s="243" t="str">
        <f>IF('WetLitterbags placem_collection'!AA69="","",'WetLitterbags placem_collection'!AA69)</f>
        <v>O</v>
      </c>
      <c r="AH288">
        <f>IF('WetLitterbags placem_collection'!AC69="","",'WetLitterbags placem_collection'!AC69)</f>
        <v>1</v>
      </c>
      <c r="AI288" t="str">
        <f>IFERROR(AVERAGE('Dry_Litterbag Placem_Collection'!O69,'Dry_Litterbag Placem_Collection'!R69),"")</f>
        <v/>
      </c>
      <c r="AJ288" s="268" t="str">
        <f>IFERROR(AVERAGE('Dry_Litterbag Placem_Collection'!N69,'Dry_Litterbag Placem_Collection'!Q69),"")</f>
        <v/>
      </c>
      <c r="AK288" s="267">
        <f>INDEX(Coordinates!$B$2:$B$197,MATCH(H288,Coordinates!$J$2:$J$197,0))</f>
        <v>-3.299434008</v>
      </c>
      <c r="AL288" s="267">
        <f>INDEX(Coordinates!$C$2:$C$197,MATCH(H288,Coordinates!$J$2:$J$197,0))</f>
        <v>34.848514960000003</v>
      </c>
      <c r="AM288" s="267" t="str">
        <f>IF(ISNUMBER(SEARCH("C", 'Dry_Litterbag Placem_Collection'!T69)),"YES","NO")</f>
        <v>NO</v>
      </c>
      <c r="AN288" s="267" t="str">
        <f>IF(ISNUMBER(SEARCH("H", 'Dry_Litterbag Placem_Collection'!T69)),"YES","NO")</f>
        <v>NO</v>
      </c>
      <c r="AO288" s="267" t="str">
        <f>IF(ISNUMBER(SEARCH("R", 'Dry_Litterbag Placem_Collection'!T69)),"YES","NO")</f>
        <v>NO</v>
      </c>
    </row>
    <row r="289" spans="1:41" ht="15" customHeight="1">
      <c r="A289" s="259" t="s">
        <v>2643</v>
      </c>
      <c r="B289" s="260">
        <f>'Dry_Litterbag Placem_Collection'!A70</f>
        <v>68</v>
      </c>
      <c r="C289" s="260" t="str">
        <f>'Dry_Litterbag Placem_Collection'!B70</f>
        <v>Maswa</v>
      </c>
      <c r="D289" s="260" t="s">
        <v>2643</v>
      </c>
      <c r="E289" s="260" t="s">
        <v>2645</v>
      </c>
      <c r="F289" s="260">
        <v>1</v>
      </c>
      <c r="G289" s="260" t="s">
        <v>3810</v>
      </c>
      <c r="H289" s="261" t="str">
        <f>'Dry_Litterbag Placem_Collection'!C70</f>
        <v>Dry_W1_T4</v>
      </c>
      <c r="I289" s="262" t="s">
        <v>2525</v>
      </c>
      <c r="J289" s="269" t="s">
        <v>298</v>
      </c>
      <c r="K289" s="260" t="str">
        <f>IF(ISBLANK('Dry_Litterbag Placem_Collection'!K70),"","R"&amp;""&amp;'Dry_Litterbag Placem_Collection'!K70)</f>
        <v>R815</v>
      </c>
      <c r="L289" s="264">
        <f>IFERROR(INDEX('Green_rooibos initial weight'!$C$5:$C$2000,MATCH(K289, 'Green_rooibos initial weight'!$A$5:$A$2000,0)),"")</f>
        <v>2.2130000000000001</v>
      </c>
      <c r="M289" s="264">
        <f>IFERROR(L289-(TBIcalc!$Q$9+TBIcalc!$Q$10),"")</f>
        <v>1.9632000000000001</v>
      </c>
      <c r="N289" s="385">
        <f>AVERAGE(Ashed_controlls!$K$12:$K$14)</f>
        <v>2.2816647271287041</v>
      </c>
      <c r="O289" s="264">
        <f t="shared" si="21"/>
        <v>1.9184063580770094</v>
      </c>
      <c r="P289" s="264">
        <f>IFERROR(INDEX('Both teabags AfterDry'!$D$2:$D$2000,MATCH(K289,'Both teabags AfterDry'!$A$2:$A$2000,0)),"")</f>
        <v>1.9467000000000001</v>
      </c>
      <c r="Q289" s="264">
        <f>IFERROR(IF(P289&gt;0,P289-(TBIcalc!$Q$9),""),"")</f>
        <v>1.7961</v>
      </c>
      <c r="R289" s="275">
        <f>IFERROR(INDEX('Ashed teabags dry'!$K$2:$K$2000,MATCH(K289,'Ashed teabags dry'!$A$2:$A$2000,0)),"")</f>
        <v>2.8207461328482384</v>
      </c>
      <c r="S289" s="275">
        <f t="shared" si="22"/>
        <v>1.7454365787079129</v>
      </c>
      <c r="T289" s="265">
        <f>IF('Dry_Litterbag Placem_Collection'!E70="","",'Dry_Litterbag Placem_Collection'!E70)</f>
        <v>42937</v>
      </c>
      <c r="U289" s="265">
        <f>IF('Dry_Litterbag Placem_Collection'!G70="","",'Dry_Litterbag Placem_Collection'!G70)</f>
        <v>43005</v>
      </c>
      <c r="V289" s="266">
        <f t="shared" si="20"/>
        <v>68</v>
      </c>
      <c r="W289" s="264">
        <f t="shared" si="23"/>
        <v>0.16710000000000003</v>
      </c>
      <c r="X289" s="264">
        <f t="shared" si="24"/>
        <v>0.17296977936909652</v>
      </c>
      <c r="Y289" s="268">
        <f>IFERROR(INDEX(Rainfall_Dry!$O$2:$O$217,MATCH(B289, Rainfall_Dry!$A$2:$A$217,0)),"")</f>
        <v>6.900000125</v>
      </c>
      <c r="Z289" s="257">
        <v>47.96</v>
      </c>
      <c r="AA289" s="257">
        <v>22.919999999999995</v>
      </c>
      <c r="AB289" s="257">
        <v>29.120000000000012</v>
      </c>
      <c r="AC289" s="258" t="s">
        <v>2657</v>
      </c>
      <c r="AD289" s="257">
        <v>5.8831936914736298</v>
      </c>
      <c r="AE289">
        <f>IF('WetLitterbags placem_collection'!AB70="","",'WetLitterbags placem_collection'!AB70)</f>
        <v>9.6999999999999993</v>
      </c>
      <c r="AF289">
        <f>IF('WetLitterbags placem_collection'!Z70="","",'WetLitterbags placem_collection'!Z70)</f>
        <v>23.4</v>
      </c>
      <c r="AG289" s="243" t="str">
        <f>IF('WetLitterbags placem_collection'!AA70="","",'WetLitterbags placem_collection'!AA70)</f>
        <v>O</v>
      </c>
      <c r="AH289">
        <f>IF('WetLitterbags placem_collection'!AC70="","",'WetLitterbags placem_collection'!AC70)</f>
        <v>1</v>
      </c>
      <c r="AI289">
        <f>IFERROR(AVERAGE('Dry_Litterbag Placem_Collection'!O70,'Dry_Litterbag Placem_Collection'!R70),"")</f>
        <v>7.75</v>
      </c>
      <c r="AJ289" s="268">
        <f>IFERROR(AVERAGE('Dry_Litterbag Placem_Collection'!N70,'Dry_Litterbag Placem_Collection'!Q70),"")</f>
        <v>26.85</v>
      </c>
      <c r="AK289" s="267">
        <f>INDEX(Coordinates!$B$2:$B$197,MATCH(H289,Coordinates!$J$2:$J$197,0))</f>
        <v>-3.2991180099999999</v>
      </c>
      <c r="AL289" s="267">
        <f>INDEX(Coordinates!$C$2:$C$197,MATCH(H289,Coordinates!$J$2:$J$197,0))</f>
        <v>34.84824699</v>
      </c>
      <c r="AM289" s="267" t="str">
        <f>IF(ISNUMBER(SEARCH("C", 'Dry_Litterbag Placem_Collection'!T70)),"YES","NO")</f>
        <v>NO</v>
      </c>
      <c r="AN289" s="267" t="str">
        <f>IF(ISNUMBER(SEARCH("H", 'Dry_Litterbag Placem_Collection'!T70)),"YES","NO")</f>
        <v>NO</v>
      </c>
      <c r="AO289" s="267" t="str">
        <f>IF(ISNUMBER(SEARCH("R", 'Dry_Litterbag Placem_Collection'!T70)),"YES","NO")</f>
        <v>NO</v>
      </c>
    </row>
    <row r="290" spans="1:41" ht="15" customHeight="1">
      <c r="A290" s="259" t="s">
        <v>2643</v>
      </c>
      <c r="B290" s="260">
        <f>'Dry_Litterbag Placem_Collection'!A71</f>
        <v>69</v>
      </c>
      <c r="C290" s="260" t="str">
        <f>'Dry_Litterbag Placem_Collection'!B71</f>
        <v>Maswa</v>
      </c>
      <c r="D290" s="260" t="s">
        <v>2643</v>
      </c>
      <c r="E290" s="260" t="s">
        <v>2645</v>
      </c>
      <c r="F290" s="260">
        <v>1</v>
      </c>
      <c r="G290" s="260" t="s">
        <v>3810</v>
      </c>
      <c r="H290" s="261" t="str">
        <f>'Dry_Litterbag Placem_Collection'!C71</f>
        <v>Dry_W1_T5</v>
      </c>
      <c r="I290" s="262" t="s">
        <v>2525</v>
      </c>
      <c r="J290" s="269" t="s">
        <v>298</v>
      </c>
      <c r="K290" s="260" t="str">
        <f>IF(ISBLANK('Dry_Litterbag Placem_Collection'!K71),"","R"&amp;""&amp;'Dry_Litterbag Placem_Collection'!K71)</f>
        <v>R741</v>
      </c>
      <c r="L290" s="264">
        <f>IFERROR(INDEX('Green_rooibos initial weight'!$C$5:$C$2000,MATCH(K290, 'Green_rooibos initial weight'!$A$5:$A$2000,0)),"")</f>
        <v>2.262</v>
      </c>
      <c r="M290" s="264">
        <f>IFERROR(L290-(TBIcalc!$Q$9+TBIcalc!$Q$10),"")</f>
        <v>2.0122</v>
      </c>
      <c r="N290" s="385">
        <f>AVERAGE(Ashed_controlls!$K$12:$K$14)</f>
        <v>2.2816647271287041</v>
      </c>
      <c r="O290" s="264">
        <f t="shared" si="21"/>
        <v>1.9662883423607163</v>
      </c>
      <c r="P290" s="264">
        <f>IFERROR(INDEX('Both teabags AfterDry'!$D$2:$D$2000,MATCH(K290,'Both teabags AfterDry'!$A$2:$A$2000,0)),"")</f>
        <v>1.9702999999999999</v>
      </c>
      <c r="Q290" s="264">
        <f>IFERROR(IF(P290&gt;0,P290-(TBIcalc!$Q$9),""),"")</f>
        <v>1.8196999999999999</v>
      </c>
      <c r="R290" s="275">
        <f>IFERROR(INDEX('Ashed teabags dry'!$K$2:$K$2000,MATCH(K290,'Ashed teabags dry'!$A$2:$A$2000,0)),"")</f>
        <v>3.5535535535533986</v>
      </c>
      <c r="S290" s="275">
        <f t="shared" si="22"/>
        <v>1.7550359859859888</v>
      </c>
      <c r="T290" s="265">
        <f>IF('Dry_Litterbag Placem_Collection'!E71="","",'Dry_Litterbag Placem_Collection'!E71)</f>
        <v>42937</v>
      </c>
      <c r="U290" s="265">
        <f>IF('Dry_Litterbag Placem_Collection'!G71="","",'Dry_Litterbag Placem_Collection'!G71)</f>
        <v>43006</v>
      </c>
      <c r="V290" s="266">
        <f t="shared" si="20"/>
        <v>69</v>
      </c>
      <c r="W290" s="264">
        <f t="shared" si="23"/>
        <v>0.19250000000000012</v>
      </c>
      <c r="X290" s="264">
        <f t="shared" si="24"/>
        <v>0.2112523563747275</v>
      </c>
      <c r="Y290" s="268">
        <f>IFERROR(INDEX(Rainfall_Dry!$O$2:$O$217,MATCH(B290, Rainfall_Dry!$A$2:$A$217,0)),"")</f>
        <v>6.900000125</v>
      </c>
      <c r="Z290" s="257">
        <v>47.96</v>
      </c>
      <c r="AA290" s="257">
        <v>22.919999999999995</v>
      </c>
      <c r="AB290" s="257">
        <v>29.120000000000012</v>
      </c>
      <c r="AC290" s="258" t="s">
        <v>2657</v>
      </c>
      <c r="AD290" s="257">
        <v>6.8831936914736298</v>
      </c>
      <c r="AE290">
        <f>IF('WetLitterbags placem_collection'!AB71="","",'WetLitterbags placem_collection'!AB71)</f>
        <v>14.4</v>
      </c>
      <c r="AF290">
        <f>IF('WetLitterbags placem_collection'!Z71="","",'WetLitterbags placem_collection'!Z71)</f>
        <v>24.4</v>
      </c>
      <c r="AG290" s="243" t="str">
        <f>IF('WetLitterbags placem_collection'!AA71="","",'WetLitterbags placem_collection'!AA71)</f>
        <v>O</v>
      </c>
      <c r="AH290">
        <f>IF('WetLitterbags placem_collection'!AC71="","",'WetLitterbags placem_collection'!AC71)</f>
        <v>1</v>
      </c>
      <c r="AI290">
        <f>IFERROR(AVERAGE('Dry_Litterbag Placem_Collection'!O71,'Dry_Litterbag Placem_Collection'!R71),"")</f>
        <v>7.95</v>
      </c>
      <c r="AJ290" s="268">
        <f>IFERROR(AVERAGE('Dry_Litterbag Placem_Collection'!N71,'Dry_Litterbag Placem_Collection'!Q71),"")</f>
        <v>26.55</v>
      </c>
      <c r="AK290" s="267">
        <f>INDEX(Coordinates!$B$2:$B$197,MATCH(H290,Coordinates!$J$2:$J$197,0))</f>
        <v>-3.2993180030000002</v>
      </c>
      <c r="AL290" s="267">
        <f>INDEX(Coordinates!$C$2:$C$197,MATCH(H290,Coordinates!$J$2:$J$197,0))</f>
        <v>34.848235010000003</v>
      </c>
      <c r="AM290" s="267" t="str">
        <f>IF(ISNUMBER(SEARCH("C", 'Dry_Litterbag Placem_Collection'!T71)),"YES","NO")</f>
        <v>YES</v>
      </c>
      <c r="AN290" s="267" t="str">
        <f>IF(ISNUMBER(SEARCH("H", 'Dry_Litterbag Placem_Collection'!T71)),"YES","NO")</f>
        <v>NO</v>
      </c>
      <c r="AO290" s="267" t="str">
        <f>IF(ISNUMBER(SEARCH("R", 'Dry_Litterbag Placem_Collection'!T71)),"YES","NO")</f>
        <v>NO</v>
      </c>
    </row>
    <row r="291" spans="1:41" ht="15" customHeight="1">
      <c r="A291" s="259" t="s">
        <v>2643</v>
      </c>
      <c r="B291" s="260">
        <f>'Dry_Litterbag Placem_Collection'!A72</f>
        <v>70</v>
      </c>
      <c r="C291" s="260" t="str">
        <f>'Dry_Litterbag Placem_Collection'!B72</f>
        <v>Maswa</v>
      </c>
      <c r="D291" s="260" t="s">
        <v>2643</v>
      </c>
      <c r="E291" s="260" t="s">
        <v>2645</v>
      </c>
      <c r="F291" s="260">
        <v>1</v>
      </c>
      <c r="G291" s="260" t="s">
        <v>3810</v>
      </c>
      <c r="H291" s="261" t="str">
        <f>'Dry_Litterbag Placem_Collection'!C72</f>
        <v>Dry_W1_T6</v>
      </c>
      <c r="I291" s="262" t="s">
        <v>2525</v>
      </c>
      <c r="J291" s="269" t="s">
        <v>298</v>
      </c>
      <c r="K291" s="260" t="str">
        <f>IF(ISBLANK('Dry_Litterbag Placem_Collection'!K72),"","R"&amp;""&amp;'Dry_Litterbag Placem_Collection'!K72)</f>
        <v>R294</v>
      </c>
      <c r="L291" s="264">
        <f>IFERROR(INDEX('Green_rooibos initial weight'!$C$5:$C$2000,MATCH(K291, 'Green_rooibos initial weight'!$A$5:$A$2000,0)),"")</f>
        <v>2.226</v>
      </c>
      <c r="M291" s="264">
        <f>IFERROR(L291-(TBIcalc!$Q$9+TBIcalc!$Q$10),"")</f>
        <v>1.9762</v>
      </c>
      <c r="N291" s="385">
        <f>AVERAGE(Ashed_controlls!$K$12:$K$14)</f>
        <v>2.2816647271287041</v>
      </c>
      <c r="O291" s="264">
        <f t="shared" si="21"/>
        <v>1.9311097416624825</v>
      </c>
      <c r="P291" s="264">
        <f>IFERROR(INDEX('Both teabags AfterDry'!$D$2:$D$2000,MATCH(K291,'Both teabags AfterDry'!$A$2:$A$2000,0)),"")</f>
        <v>0.51</v>
      </c>
      <c r="Q291" s="264">
        <f>IFERROR(IF(P291&gt;0,P291-(TBIcalc!$Q$9),""),"")</f>
        <v>0.3594</v>
      </c>
      <c r="R291" s="275">
        <f>IFERROR(INDEX('Ashed teabags dry'!$K$2:$K$2000,MATCH(K291,'Ashed teabags dry'!$A$2:$A$2000,0)),"")</f>
        <v>66.450324513230314</v>
      </c>
      <c r="S291" s="275">
        <f t="shared" si="22"/>
        <v>0.12057753369945023</v>
      </c>
      <c r="T291" s="265">
        <f>IF('Dry_Litterbag Placem_Collection'!E72="","",'Dry_Litterbag Placem_Collection'!E72)</f>
        <v>42937</v>
      </c>
      <c r="U291" s="265">
        <f>IF('Dry_Litterbag Placem_Collection'!G72="","",'Dry_Litterbag Placem_Collection'!G72)</f>
        <v>43006</v>
      </c>
      <c r="V291" s="266">
        <f t="shared" si="20"/>
        <v>69</v>
      </c>
      <c r="W291" s="264">
        <f t="shared" si="23"/>
        <v>1.6168</v>
      </c>
      <c r="X291" s="264">
        <f t="shared" si="24"/>
        <v>1.8105322079630324</v>
      </c>
      <c r="Y291" s="268">
        <f>IFERROR(INDEX(Rainfall_Dry!$O$2:$O$217,MATCH(B291, Rainfall_Dry!$A$2:$A$217,0)),"")</f>
        <v>6.900000125</v>
      </c>
      <c r="Z291" s="257">
        <v>47.96</v>
      </c>
      <c r="AA291" s="257">
        <v>22.919999999999995</v>
      </c>
      <c r="AB291" s="257">
        <v>29.120000000000012</v>
      </c>
      <c r="AC291" s="258" t="s">
        <v>2657</v>
      </c>
      <c r="AD291" s="257">
        <v>7.8831936914736298</v>
      </c>
      <c r="AE291">
        <f>IF('WetLitterbags placem_collection'!AB72="","",'WetLitterbags placem_collection'!AB72)</f>
        <v>15</v>
      </c>
      <c r="AF291">
        <f>IF('WetLitterbags placem_collection'!Z72="","",'WetLitterbags placem_collection'!Z72)</f>
        <v>28</v>
      </c>
      <c r="AG291" s="243" t="str">
        <f>IF('WetLitterbags placem_collection'!AA72="","",'WetLitterbags placem_collection'!AA72)</f>
        <v>O</v>
      </c>
      <c r="AH291">
        <f>IF('WetLitterbags placem_collection'!AC72="","",'WetLitterbags placem_collection'!AC72)</f>
        <v>0</v>
      </c>
      <c r="AI291">
        <f>IFERROR(AVERAGE('Dry_Litterbag Placem_Collection'!O72,'Dry_Litterbag Placem_Collection'!R72),"")</f>
        <v>8.8000000000000007</v>
      </c>
      <c r="AJ291" s="268">
        <f>IFERROR(AVERAGE('Dry_Litterbag Placem_Collection'!N72,'Dry_Litterbag Placem_Collection'!Q72),"")</f>
        <v>27.200000000000003</v>
      </c>
      <c r="AK291" s="267">
        <f>INDEX(Coordinates!$B$2:$B$197,MATCH(H291,Coordinates!$J$2:$J$197,0))</f>
        <v>-3.299381034</v>
      </c>
      <c r="AL291" s="267">
        <f>INDEX(Coordinates!$C$2:$C$197,MATCH(H291,Coordinates!$J$2:$J$197,0))</f>
        <v>34.848312040000003</v>
      </c>
      <c r="AM291" s="267" t="str">
        <f>IF(ISNUMBER(SEARCH("C", 'Dry_Litterbag Placem_Collection'!T72)),"YES","NO")</f>
        <v>YES</v>
      </c>
      <c r="AN291" s="267" t="str">
        <f>IF(ISNUMBER(SEARCH("H", 'Dry_Litterbag Placem_Collection'!T72)),"YES","NO")</f>
        <v>YES</v>
      </c>
      <c r="AO291" s="267" t="str">
        <f>IF(ISNUMBER(SEARCH("R", 'Dry_Litterbag Placem_Collection'!T72)),"YES","NO")</f>
        <v>NO</v>
      </c>
    </row>
    <row r="292" spans="1:41" ht="15" customHeight="1">
      <c r="A292" s="259" t="s">
        <v>2643</v>
      </c>
      <c r="B292" s="260">
        <f>'Dry_Litterbag Placem_Collection'!A73</f>
        <v>71</v>
      </c>
      <c r="C292" s="260" t="str">
        <f>'Dry_Litterbag Placem_Collection'!B73</f>
        <v>Maswa</v>
      </c>
      <c r="D292" s="260" t="s">
        <v>2643</v>
      </c>
      <c r="E292" s="260" t="s">
        <v>2645</v>
      </c>
      <c r="F292" s="260">
        <v>1</v>
      </c>
      <c r="G292" s="260" t="s">
        <v>3810</v>
      </c>
      <c r="H292" s="261" t="str">
        <f>'Dry_Litterbag Placem_Collection'!C73</f>
        <v>Dry_W1_T7</v>
      </c>
      <c r="I292" s="262" t="s">
        <v>2525</v>
      </c>
      <c r="J292" s="269" t="s">
        <v>298</v>
      </c>
      <c r="K292" s="260" t="str">
        <f>IF(ISBLANK('Dry_Litterbag Placem_Collection'!K73),"","R"&amp;""&amp;'Dry_Litterbag Placem_Collection'!K73)</f>
        <v>R761</v>
      </c>
      <c r="L292" s="264">
        <f>IFERROR(INDEX('Green_rooibos initial weight'!$C$5:$C$2000,MATCH(K292, 'Green_rooibos initial weight'!$A$5:$A$2000,0)),"")</f>
        <v>2.1509999999999998</v>
      </c>
      <c r="M292" s="264">
        <f>IFERROR(L292-(TBIcalc!$Q$9+TBIcalc!$Q$10),"")</f>
        <v>1.9011999999999998</v>
      </c>
      <c r="N292" s="385">
        <f>AVERAGE(Ashed_controlls!$K$12:$K$14)</f>
        <v>2.2816647271287041</v>
      </c>
      <c r="O292" s="264">
        <f t="shared" si="21"/>
        <v>1.8578209902078289</v>
      </c>
      <c r="P292" s="264">
        <f>IFERROR(INDEX('Both teabags AfterDry'!$D$2:$D$2000,MATCH(K292,'Both teabags AfterDry'!$A$2:$A$2000,0)),"")</f>
        <v>1.9017999999999999</v>
      </c>
      <c r="Q292" s="264">
        <f>IFERROR(IF(P292&gt;0,P292-(TBIcalc!$Q$9),""),"")</f>
        <v>1.7511999999999999</v>
      </c>
      <c r="R292" s="275">
        <f>IFERROR(INDEX('Ashed teabags dry'!$K$2:$K$2000,MATCH(K292,'Ashed teabags dry'!$A$2:$A$2000,0)),"")</f>
        <v>2.5515210991172763</v>
      </c>
      <c r="S292" s="275">
        <f t="shared" si="22"/>
        <v>1.7065177625122581</v>
      </c>
      <c r="T292" s="265">
        <f>IF('Dry_Litterbag Placem_Collection'!E73="","",'Dry_Litterbag Placem_Collection'!E73)</f>
        <v>42937</v>
      </c>
      <c r="U292" s="265">
        <f>IF('Dry_Litterbag Placem_Collection'!G73="","",'Dry_Litterbag Placem_Collection'!G73)</f>
        <v>43006</v>
      </c>
      <c r="V292" s="266">
        <f t="shared" si="20"/>
        <v>69</v>
      </c>
      <c r="W292" s="264">
        <f t="shared" si="23"/>
        <v>0.14999999999999991</v>
      </c>
      <c r="X292" s="264">
        <f t="shared" si="24"/>
        <v>0.15130322769557081</v>
      </c>
      <c r="Y292" s="268">
        <f>IFERROR(INDEX(Rainfall_Dry!$O$2:$O$217,MATCH(B292, Rainfall_Dry!$A$2:$A$217,0)),"")</f>
        <v>6.900000125</v>
      </c>
      <c r="Z292" s="257">
        <v>47.96</v>
      </c>
      <c r="AA292" s="257">
        <v>22.919999999999995</v>
      </c>
      <c r="AB292" s="257">
        <v>29.120000000000012</v>
      </c>
      <c r="AC292" s="258" t="s">
        <v>2657</v>
      </c>
      <c r="AD292" s="257">
        <v>8.8831936914736307</v>
      </c>
      <c r="AE292">
        <f>IF('WetLitterbags placem_collection'!AB73="","",'WetLitterbags placem_collection'!AB73)</f>
        <v>15.5</v>
      </c>
      <c r="AF292">
        <f>IF('WetLitterbags placem_collection'!Z73="","",'WetLitterbags placem_collection'!Z73)</f>
        <v>32</v>
      </c>
      <c r="AG292" s="243" t="str">
        <f>IF('WetLitterbags placem_collection'!AA73="","",'WetLitterbags placem_collection'!AA73)</f>
        <v>O</v>
      </c>
      <c r="AH292">
        <f>IF('WetLitterbags placem_collection'!AC73="","",'WetLitterbags placem_collection'!AC73)</f>
        <v>1</v>
      </c>
      <c r="AI292">
        <f>IFERROR(AVERAGE('Dry_Litterbag Placem_Collection'!O73,'Dry_Litterbag Placem_Collection'!R73),"")</f>
        <v>9.9499999999999993</v>
      </c>
      <c r="AJ292" s="268">
        <f>IFERROR(AVERAGE('Dry_Litterbag Placem_Collection'!N73,'Dry_Litterbag Placem_Collection'!Q73),"")</f>
        <v>27.6</v>
      </c>
      <c r="AK292" s="267">
        <f>INDEX(Coordinates!$B$2:$B$197,MATCH(H292,Coordinates!$J$2:$J$197,0))</f>
        <v>-3.2992429849999998</v>
      </c>
      <c r="AL292" s="267">
        <f>INDEX(Coordinates!$C$2:$C$197,MATCH(H292,Coordinates!$J$2:$J$197,0))</f>
        <v>34.847900989999999</v>
      </c>
      <c r="AM292" s="267" t="str">
        <f>IF(ISNUMBER(SEARCH("C", 'Dry_Litterbag Placem_Collection'!T73)),"YES","NO")</f>
        <v>NO</v>
      </c>
      <c r="AN292" s="267" t="str">
        <f>IF(ISNUMBER(SEARCH("H", 'Dry_Litterbag Placem_Collection'!T73)),"YES","NO")</f>
        <v>NO</v>
      </c>
      <c r="AO292" s="267" t="str">
        <f>IF(ISNUMBER(SEARCH("R", 'Dry_Litterbag Placem_Collection'!T73)),"YES","NO")</f>
        <v>NO</v>
      </c>
    </row>
    <row r="293" spans="1:41" ht="15" customHeight="1">
      <c r="A293" s="259" t="s">
        <v>2643</v>
      </c>
      <c r="B293" s="260">
        <f>'Dry_Litterbag Placem_Collection'!A74</f>
        <v>72</v>
      </c>
      <c r="C293" s="260" t="str">
        <f>'Dry_Litterbag Placem_Collection'!B74</f>
        <v>Maswa</v>
      </c>
      <c r="D293" s="260" t="s">
        <v>2643</v>
      </c>
      <c r="E293" s="260" t="s">
        <v>2645</v>
      </c>
      <c r="F293" s="260">
        <v>1</v>
      </c>
      <c r="G293" s="260" t="s">
        <v>3810</v>
      </c>
      <c r="H293" s="261" t="str">
        <f>'Dry_Litterbag Placem_Collection'!C74</f>
        <v>Dry_W1_T8</v>
      </c>
      <c r="I293" s="262" t="s">
        <v>2525</v>
      </c>
      <c r="J293" s="269" t="s">
        <v>298</v>
      </c>
      <c r="K293" s="260" t="str">
        <f>IF(ISBLANK('Dry_Litterbag Placem_Collection'!K74),"","R"&amp;""&amp;'Dry_Litterbag Placem_Collection'!K74)</f>
        <v>R780</v>
      </c>
      <c r="L293" s="264">
        <f>IFERROR(INDEX('Green_rooibos initial weight'!$C$5:$C$2000,MATCH(K293, 'Green_rooibos initial weight'!$A$5:$A$2000,0)),"")</f>
        <v>2.19</v>
      </c>
      <c r="M293" s="264">
        <f>IFERROR(L293-(TBIcalc!$Q$9+TBIcalc!$Q$10),"")</f>
        <v>1.9401999999999999</v>
      </c>
      <c r="N293" s="385">
        <f>AVERAGE(Ashed_controlls!$K$12:$K$14)</f>
        <v>2.2816647271287041</v>
      </c>
      <c r="O293" s="264">
        <f t="shared" si="21"/>
        <v>1.8959311409642488</v>
      </c>
      <c r="P293" s="264">
        <f>IFERROR(INDEX('Both teabags AfterDry'!$D$2:$D$2000,MATCH(K293,'Both teabags AfterDry'!$A$2:$A$2000,0)),"")</f>
        <v>1.9477</v>
      </c>
      <c r="Q293" s="264">
        <f>IFERROR(IF(P293&gt;0,P293-(TBIcalc!$Q$9),""),"")</f>
        <v>1.7970999999999999</v>
      </c>
      <c r="R293" s="275">
        <f>IFERROR(INDEX('Ashed teabags dry'!$K$2:$K$2000,MATCH(K293,'Ashed teabags dry'!$A$2:$A$2000,0)),"")</f>
        <v>2.0045558086562076</v>
      </c>
      <c r="S293" s="275">
        <f t="shared" si="22"/>
        <v>1.7610761275626392</v>
      </c>
      <c r="T293" s="265">
        <f>IF('Dry_Litterbag Placem_Collection'!E74="","",'Dry_Litterbag Placem_Collection'!E74)</f>
        <v>42937</v>
      </c>
      <c r="U293" s="265">
        <f>IF('Dry_Litterbag Placem_Collection'!G74="","",'Dry_Litterbag Placem_Collection'!G74)</f>
        <v>43006</v>
      </c>
      <c r="V293" s="266">
        <f t="shared" si="20"/>
        <v>69</v>
      </c>
      <c r="W293" s="264">
        <f t="shared" si="23"/>
        <v>0.1431</v>
      </c>
      <c r="X293" s="264">
        <f t="shared" si="24"/>
        <v>0.13485501340160955</v>
      </c>
      <c r="Y293" s="268">
        <f>IFERROR(INDEX(Rainfall_Dry!$O$2:$O$217,MATCH(B293, Rainfall_Dry!$A$2:$A$217,0)),"")</f>
        <v>6.900000125</v>
      </c>
      <c r="Z293" s="257">
        <v>47.96</v>
      </c>
      <c r="AA293" s="257">
        <v>22.919999999999995</v>
      </c>
      <c r="AB293" s="257">
        <v>29.120000000000012</v>
      </c>
      <c r="AC293" s="258" t="s">
        <v>2657</v>
      </c>
      <c r="AD293" s="257">
        <v>9.8831936914736307</v>
      </c>
      <c r="AE293">
        <f>IF('WetLitterbags placem_collection'!AB74="","",'WetLitterbags placem_collection'!AB74)</f>
        <v>2.6</v>
      </c>
      <c r="AF293">
        <f>IF('WetLitterbags placem_collection'!Z74="","",'WetLitterbags placem_collection'!Z74)</f>
        <v>44</v>
      </c>
      <c r="AG293" s="243" t="str">
        <f>IF('WetLitterbags placem_collection'!AA74="","",'WetLitterbags placem_collection'!AA74)</f>
        <v>O</v>
      </c>
      <c r="AH293">
        <f>IF('WetLitterbags placem_collection'!AC74="","",'WetLitterbags placem_collection'!AC74)</f>
        <v>1</v>
      </c>
      <c r="AI293">
        <f>IFERROR(AVERAGE('Dry_Litterbag Placem_Collection'!O74,'Dry_Litterbag Placem_Collection'!R74),"")</f>
        <v>9.5</v>
      </c>
      <c r="AJ293" s="268">
        <f>IFERROR(AVERAGE('Dry_Litterbag Placem_Collection'!N74,'Dry_Litterbag Placem_Collection'!Q74),"")</f>
        <v>26.35</v>
      </c>
      <c r="AK293" s="267">
        <f>INDEX(Coordinates!$B$2:$B$197,MATCH(H293,Coordinates!$J$2:$J$197,0))</f>
        <v>-3.2996540329999999</v>
      </c>
      <c r="AL293" s="267">
        <f>INDEX(Coordinates!$C$2:$C$197,MATCH(H293,Coordinates!$J$2:$J$197,0))</f>
        <v>34.848151020000003</v>
      </c>
      <c r="AM293" s="267" t="str">
        <f>IF(ISNUMBER(SEARCH("C", 'Dry_Litterbag Placem_Collection'!T74)),"YES","NO")</f>
        <v>NO</v>
      </c>
      <c r="AN293" s="267" t="str">
        <f>IF(ISNUMBER(SEARCH("H", 'Dry_Litterbag Placem_Collection'!T74)),"YES","NO")</f>
        <v>NO</v>
      </c>
      <c r="AO293" s="267" t="str">
        <f>IF(ISNUMBER(SEARCH("R", 'Dry_Litterbag Placem_Collection'!T74)),"YES","NO")</f>
        <v>NO</v>
      </c>
    </row>
    <row r="294" spans="1:41" ht="15" customHeight="1">
      <c r="A294" s="259" t="s">
        <v>2643</v>
      </c>
      <c r="B294" s="260">
        <f>'Dry_Litterbag Placem_Collection'!A75</f>
        <v>73</v>
      </c>
      <c r="C294" s="260" t="str">
        <f>'Dry_Litterbag Placem_Collection'!B75</f>
        <v>Maswa</v>
      </c>
      <c r="D294" s="260" t="s">
        <v>2643</v>
      </c>
      <c r="E294" s="260" t="s">
        <v>2645</v>
      </c>
      <c r="F294" s="260">
        <v>2</v>
      </c>
      <c r="G294" s="260" t="s">
        <v>3812</v>
      </c>
      <c r="H294" s="261" t="str">
        <f>'Dry_Litterbag Placem_Collection'!C75</f>
        <v>Dry_W2_T1</v>
      </c>
      <c r="I294" s="262" t="s">
        <v>2525</v>
      </c>
      <c r="J294" s="269" t="s">
        <v>298</v>
      </c>
      <c r="K294" s="260" t="str">
        <f>IF(ISBLANK('Dry_Litterbag Placem_Collection'!K75),"","R"&amp;""&amp;'Dry_Litterbag Placem_Collection'!K75)</f>
        <v>R730</v>
      </c>
      <c r="L294" s="264">
        <f>IFERROR(INDEX('Green_rooibos initial weight'!$C$5:$C$2000,MATCH(K294, 'Green_rooibos initial weight'!$A$5:$A$2000,0)),"")</f>
        <v>2.1509999999999998</v>
      </c>
      <c r="M294" s="264">
        <f>IFERROR(L294-(TBIcalc!$Q$9+TBIcalc!$Q$10),"")</f>
        <v>1.9011999999999998</v>
      </c>
      <c r="N294" s="385">
        <f>AVERAGE(Ashed_controlls!$K$12:$K$14)</f>
        <v>2.2816647271287041</v>
      </c>
      <c r="O294" s="264">
        <f t="shared" si="21"/>
        <v>1.8578209902078289</v>
      </c>
      <c r="P294" s="264" t="str">
        <f>IFERROR(INDEX('Both teabags AfterDry'!$D$2:$D$2000,MATCH(K294,'Both teabags AfterDry'!$A$2:$A$2000,0)),"")</f>
        <v/>
      </c>
      <c r="Q294" s="264" t="str">
        <f>IFERROR(IF(P294&gt;0,P294-(TBIcalc!$Q$9),""),"")</f>
        <v/>
      </c>
      <c r="R294" s="275" t="str">
        <f>IFERROR(INDEX('Ashed teabags dry'!$K$2:$K$2000,MATCH(K294,'Ashed teabags dry'!$A$2:$A$2000,0)),"")</f>
        <v/>
      </c>
      <c r="S294" s="275" t="str">
        <f t="shared" si="22"/>
        <v/>
      </c>
      <c r="T294" s="265">
        <f>IF('Dry_Litterbag Placem_Collection'!E75="","",'Dry_Litterbag Placem_Collection'!E75)</f>
        <v>42937</v>
      </c>
      <c r="U294" s="265">
        <f>IF('Dry_Litterbag Placem_Collection'!G75="","",'Dry_Litterbag Placem_Collection'!G75)</f>
        <v>43006</v>
      </c>
      <c r="V294" s="266">
        <f t="shared" si="20"/>
        <v>69</v>
      </c>
      <c r="W294" s="264" t="str">
        <f t="shared" si="23"/>
        <v/>
      </c>
      <c r="X294" s="264" t="str">
        <f t="shared" si="24"/>
        <v/>
      </c>
      <c r="Y294" s="268">
        <f>IFERROR(INDEX(Rainfall_Dry!$O$2:$O$217,MATCH(B294, Rainfall_Dry!$A$2:$A$217,0)),"")</f>
        <v>6.900000125</v>
      </c>
      <c r="Z294" s="257">
        <v>45.272914521112256</v>
      </c>
      <c r="AA294" s="257">
        <v>23.604531410916575</v>
      </c>
      <c r="AB294" s="257">
        <v>31.122554067971166</v>
      </c>
      <c r="AC294" s="258" t="s">
        <v>2657</v>
      </c>
      <c r="AD294" s="257">
        <v>2.0547560374568752</v>
      </c>
      <c r="AE294">
        <f>IF('WetLitterbags placem_collection'!AB75="","",'WetLitterbags placem_collection'!AB75)</f>
        <v>9.1</v>
      </c>
      <c r="AF294">
        <f>IF('WetLitterbags placem_collection'!Z75="","",'WetLitterbags placem_collection'!Z75)</f>
        <v>10</v>
      </c>
      <c r="AG294" s="243" t="str">
        <f>IF('WetLitterbags placem_collection'!AA75="","",'WetLitterbags placem_collection'!AA75)</f>
        <v>M</v>
      </c>
      <c r="AH294">
        <f>IF('WetLitterbags placem_collection'!AC75="","",'WetLitterbags placem_collection'!AC75)</f>
        <v>1</v>
      </c>
      <c r="AI294">
        <f>IFERROR(AVERAGE('Dry_Litterbag Placem_Collection'!O75,'Dry_Litterbag Placem_Collection'!R75),"")</f>
        <v>9.5500000000000007</v>
      </c>
      <c r="AJ294" s="268">
        <f>IFERROR(AVERAGE('Dry_Litterbag Placem_Collection'!N75,'Dry_Litterbag Placem_Collection'!Q75),"")</f>
        <v>28.35</v>
      </c>
      <c r="AK294" s="267">
        <f>INDEX(Coordinates!$B$2:$B$197,MATCH(H294,Coordinates!$J$2:$J$197,0))</f>
        <v>-3.3025860229999999</v>
      </c>
      <c r="AL294" s="267">
        <f>INDEX(Coordinates!$C$2:$C$197,MATCH(H294,Coordinates!$J$2:$J$197,0))</f>
        <v>34.848048009999999</v>
      </c>
      <c r="AM294" s="267" t="str">
        <f>IF(ISNUMBER(SEARCH("C", 'Dry_Litterbag Placem_Collection'!T75)),"YES","NO")</f>
        <v>NO</v>
      </c>
      <c r="AN294" s="267" t="str">
        <f>IF(ISNUMBER(SEARCH("H", 'Dry_Litterbag Placem_Collection'!T75)),"YES","NO")</f>
        <v>NO</v>
      </c>
      <c r="AO294" s="267" t="str">
        <f>IF(ISNUMBER(SEARCH("R", 'Dry_Litterbag Placem_Collection'!T75)),"YES","NO")</f>
        <v>NO</v>
      </c>
    </row>
    <row r="295" spans="1:41" ht="15" customHeight="1">
      <c r="A295" s="259" t="s">
        <v>2643</v>
      </c>
      <c r="B295" s="260">
        <f>'Dry_Litterbag Placem_Collection'!A76</f>
        <v>74</v>
      </c>
      <c r="C295" s="260" t="str">
        <f>'Dry_Litterbag Placem_Collection'!B76</f>
        <v>Maswa</v>
      </c>
      <c r="D295" s="260" t="s">
        <v>2643</v>
      </c>
      <c r="E295" s="260" t="s">
        <v>2645</v>
      </c>
      <c r="F295" s="260">
        <v>2</v>
      </c>
      <c r="G295" s="260" t="s">
        <v>3812</v>
      </c>
      <c r="H295" s="261" t="str">
        <f>'Dry_Litterbag Placem_Collection'!C76</f>
        <v>Dry_W2_T2</v>
      </c>
      <c r="I295" s="262" t="s">
        <v>2525</v>
      </c>
      <c r="J295" s="269" t="s">
        <v>298</v>
      </c>
      <c r="K295" s="260" t="str">
        <f>IF(ISBLANK('Dry_Litterbag Placem_Collection'!K76),"","R"&amp;""&amp;'Dry_Litterbag Placem_Collection'!K76)</f>
        <v>R825</v>
      </c>
      <c r="L295" s="264">
        <f>IFERROR(INDEX('Green_rooibos initial weight'!$C$5:$C$2000,MATCH(K295, 'Green_rooibos initial weight'!$A$5:$A$2000,0)),"")</f>
        <v>2.1419999999999999</v>
      </c>
      <c r="M295" s="264">
        <f>IFERROR(L295-(TBIcalc!$Q$9+TBIcalc!$Q$10),"")</f>
        <v>1.8921999999999999</v>
      </c>
      <c r="N295" s="385">
        <f>AVERAGE(Ashed_controlls!$K$12:$K$14)</f>
        <v>2.2816647271287041</v>
      </c>
      <c r="O295" s="264">
        <f t="shared" si="21"/>
        <v>1.8490263400332705</v>
      </c>
      <c r="P295" s="264">
        <f>IFERROR(INDEX('Both teabags AfterDry'!$D$2:$D$2000,MATCH(K295,'Both teabags AfterDry'!$A$2:$A$2000,0)),"")</f>
        <v>1.8925000000000001</v>
      </c>
      <c r="Q295" s="264">
        <f>IFERROR(IF(P295&gt;0,P295-(TBIcalc!$Q$9),""),"")</f>
        <v>1.7419</v>
      </c>
      <c r="R295" s="275">
        <f>IFERROR(INDEX('Ashed teabags dry'!$K$2:$K$2000,MATCH(K295,'Ashed teabags dry'!$A$2:$A$2000,0)),"")</f>
        <v>2.7741655830084477</v>
      </c>
      <c r="S295" s="275">
        <f t="shared" si="22"/>
        <v>1.6935768097095758</v>
      </c>
      <c r="T295" s="265">
        <f>IF('Dry_Litterbag Placem_Collection'!E76="","",'Dry_Litterbag Placem_Collection'!E76)</f>
        <v>42937</v>
      </c>
      <c r="U295" s="265">
        <f>IF('Dry_Litterbag Placem_Collection'!G76="","",'Dry_Litterbag Placem_Collection'!G76)</f>
        <v>43006</v>
      </c>
      <c r="V295" s="266">
        <f t="shared" si="20"/>
        <v>69</v>
      </c>
      <c r="W295" s="264">
        <f t="shared" si="23"/>
        <v>0.15029999999999988</v>
      </c>
      <c r="X295" s="264">
        <f t="shared" si="24"/>
        <v>0.15544953032369468</v>
      </c>
      <c r="Y295" s="268">
        <f>IFERROR(INDEX(Rainfall_Dry!$O$2:$O$217,MATCH(B295, Rainfall_Dry!$A$2:$A$217,0)),"")</f>
        <v>6.900000125</v>
      </c>
      <c r="Z295" s="257">
        <v>45.272914521112256</v>
      </c>
      <c r="AA295" s="257">
        <v>23.604531410916575</v>
      </c>
      <c r="AB295" s="257">
        <v>31.122554067971166</v>
      </c>
      <c r="AC295" s="258" t="s">
        <v>2657</v>
      </c>
      <c r="AD295" s="257">
        <v>3.0547560374568801</v>
      </c>
      <c r="AE295">
        <f>IF('WetLitterbags placem_collection'!AB76="","",'WetLitterbags placem_collection'!AB76)</f>
        <v>7.7</v>
      </c>
      <c r="AF295">
        <f>IF('WetLitterbags placem_collection'!Z76="","",'WetLitterbags placem_collection'!Z76)</f>
        <v>9.4</v>
      </c>
      <c r="AG295" s="243" t="str">
        <f>IF('WetLitterbags placem_collection'!AA76="","",'WetLitterbags placem_collection'!AA76)</f>
        <v>M</v>
      </c>
      <c r="AH295">
        <f>IF('WetLitterbags placem_collection'!AC76="","",'WetLitterbags placem_collection'!AC76)</f>
        <v>1</v>
      </c>
      <c r="AI295">
        <f>IFERROR(AVERAGE('Dry_Litterbag Placem_Collection'!O76,'Dry_Litterbag Placem_Collection'!R76),"")</f>
        <v>10.8</v>
      </c>
      <c r="AJ295" s="268">
        <f>IFERROR(AVERAGE('Dry_Litterbag Placem_Collection'!N76,'Dry_Litterbag Placem_Collection'!Q76),"")</f>
        <v>28.1</v>
      </c>
      <c r="AK295" s="267">
        <f>INDEX(Coordinates!$B$2:$B$197,MATCH(H295,Coordinates!$J$2:$J$197,0))</f>
        <v>-3.3025779759999998</v>
      </c>
      <c r="AL295" s="267">
        <f>INDEX(Coordinates!$C$2:$C$197,MATCH(H295,Coordinates!$J$2:$J$197,0))</f>
        <v>34.848041969999997</v>
      </c>
      <c r="AM295" s="267" t="str">
        <f>IF(ISNUMBER(SEARCH("C", 'Dry_Litterbag Placem_Collection'!T76)),"YES","NO")</f>
        <v>NO</v>
      </c>
      <c r="AN295" s="267" t="str">
        <f>IF(ISNUMBER(SEARCH("H", 'Dry_Litterbag Placem_Collection'!T76)),"YES","NO")</f>
        <v>NO</v>
      </c>
      <c r="AO295" s="267" t="str">
        <f>IF(ISNUMBER(SEARCH("R", 'Dry_Litterbag Placem_Collection'!T76)),"YES","NO")</f>
        <v>NO</v>
      </c>
    </row>
    <row r="296" spans="1:41" ht="15" customHeight="1">
      <c r="A296" s="259" t="s">
        <v>2643</v>
      </c>
      <c r="B296" s="260">
        <f>'Dry_Litterbag Placem_Collection'!A77</f>
        <v>75</v>
      </c>
      <c r="C296" s="260" t="str">
        <f>'Dry_Litterbag Placem_Collection'!B77</f>
        <v>Maswa</v>
      </c>
      <c r="D296" s="260" t="s">
        <v>2643</v>
      </c>
      <c r="E296" s="260" t="s">
        <v>2645</v>
      </c>
      <c r="F296" s="260">
        <v>2</v>
      </c>
      <c r="G296" s="260" t="s">
        <v>3812</v>
      </c>
      <c r="H296" s="261" t="str">
        <f>'Dry_Litterbag Placem_Collection'!C77</f>
        <v>Dry_W2_T3</v>
      </c>
      <c r="I296" s="262" t="s">
        <v>2525</v>
      </c>
      <c r="J296" s="269" t="s">
        <v>298</v>
      </c>
      <c r="K296" s="260" t="str">
        <f>IF(ISBLANK('Dry_Litterbag Placem_Collection'!K77),"","R"&amp;""&amp;'Dry_Litterbag Placem_Collection'!K77)</f>
        <v>R840</v>
      </c>
      <c r="L296" s="264">
        <f>IFERROR(INDEX('Green_rooibos initial weight'!$C$5:$C$2000,MATCH(K296, 'Green_rooibos initial weight'!$A$5:$A$2000,0)),"")</f>
        <v>2.3010000000000002</v>
      </c>
      <c r="M296" s="264">
        <f>IFERROR(L296-(TBIcalc!$Q$9+TBIcalc!$Q$10),"")</f>
        <v>2.0512000000000001</v>
      </c>
      <c r="N296" s="385">
        <f>AVERAGE(Ashed_controlls!$K$12:$K$14)</f>
        <v>2.2816647271287041</v>
      </c>
      <c r="O296" s="264">
        <f t="shared" si="21"/>
        <v>2.0043984931171361</v>
      </c>
      <c r="P296" s="264">
        <f>IFERROR(INDEX('Both teabags AfterDry'!$D$2:$D$2000,MATCH(K296,'Both teabags AfterDry'!$A$2:$A$2000,0)),"")</f>
        <v>2.0405000000000002</v>
      </c>
      <c r="Q296" s="264">
        <f>IFERROR(IF(P296&gt;0,P296-(TBIcalc!$Q$9),""),"")</f>
        <v>1.8899000000000001</v>
      </c>
      <c r="R296" s="275">
        <f>IFERROR(INDEX('Ashed teabags dry'!$K$2:$K$2000,MATCH(K296,'Ashed teabags dry'!$A$2:$A$2000,0)),"")</f>
        <v>3.2504780114727398</v>
      </c>
      <c r="S296" s="275">
        <f t="shared" si="22"/>
        <v>1.8284692160611768</v>
      </c>
      <c r="T296" s="265">
        <f>IF('Dry_Litterbag Placem_Collection'!E77="","",'Dry_Litterbag Placem_Collection'!E77)</f>
        <v>42937</v>
      </c>
      <c r="U296" s="265">
        <f>IF('Dry_Litterbag Placem_Collection'!G77="","",'Dry_Litterbag Placem_Collection'!G77)</f>
        <v>43006</v>
      </c>
      <c r="V296" s="266">
        <f t="shared" si="20"/>
        <v>69</v>
      </c>
      <c r="W296" s="264">
        <f t="shared" si="23"/>
        <v>0.1613</v>
      </c>
      <c r="X296" s="264">
        <f t="shared" si="24"/>
        <v>0.17592927705595929</v>
      </c>
      <c r="Y296" s="268">
        <f>IFERROR(INDEX(Rainfall_Dry!$O$2:$O$217,MATCH(B296, Rainfall_Dry!$A$2:$A$217,0)),"")</f>
        <v>6.900000125</v>
      </c>
      <c r="Z296" s="257">
        <v>45.272914521112256</v>
      </c>
      <c r="AA296" s="257">
        <v>23.604531410916575</v>
      </c>
      <c r="AB296" s="257">
        <v>31.122554067971166</v>
      </c>
      <c r="AC296" s="258" t="s">
        <v>2657</v>
      </c>
      <c r="AD296" s="257">
        <v>4.0547560374568796</v>
      </c>
      <c r="AE296">
        <f>IF('WetLitterbags placem_collection'!AB77="","",'WetLitterbags placem_collection'!AB77)</f>
        <v>6.1</v>
      </c>
      <c r="AF296">
        <f>IF('WetLitterbags placem_collection'!Z77="","",'WetLitterbags placem_collection'!Z77)</f>
        <v>13.8</v>
      </c>
      <c r="AG296" s="243" t="str">
        <f>IF('WetLitterbags placem_collection'!AA77="","",'WetLitterbags placem_collection'!AA77)</f>
        <v>O</v>
      </c>
      <c r="AH296">
        <f>IF('WetLitterbags placem_collection'!AC77="","",'WetLitterbags placem_collection'!AC77)</f>
        <v>0</v>
      </c>
      <c r="AI296">
        <f>IFERROR(AVERAGE('Dry_Litterbag Placem_Collection'!O77,'Dry_Litterbag Placem_Collection'!R77),"")</f>
        <v>12.3</v>
      </c>
      <c r="AJ296" s="268">
        <f>IFERROR(AVERAGE('Dry_Litterbag Placem_Collection'!N77,'Dry_Litterbag Placem_Collection'!Q77),"")</f>
        <v>27.200000000000003</v>
      </c>
      <c r="AK296" s="267">
        <f>INDEX(Coordinates!$B$2:$B$197,MATCH(H296,Coordinates!$J$2:$J$197,0))</f>
        <v>-3.302687025</v>
      </c>
      <c r="AL296" s="267">
        <f>INDEX(Coordinates!$C$2:$C$197,MATCH(H296,Coordinates!$J$2:$J$197,0))</f>
        <v>34.847926970000003</v>
      </c>
      <c r="AM296" s="267" t="str">
        <f>IF(ISNUMBER(SEARCH("C", 'Dry_Litterbag Placem_Collection'!T77)),"YES","NO")</f>
        <v>NO</v>
      </c>
      <c r="AN296" s="267" t="str">
        <f>IF(ISNUMBER(SEARCH("H", 'Dry_Litterbag Placem_Collection'!T77)),"YES","NO")</f>
        <v>NO</v>
      </c>
      <c r="AO296" s="267" t="str">
        <f>IF(ISNUMBER(SEARCH("R", 'Dry_Litterbag Placem_Collection'!T77)),"YES","NO")</f>
        <v>NO</v>
      </c>
    </row>
    <row r="297" spans="1:41" ht="15" customHeight="1">
      <c r="A297" s="259" t="s">
        <v>2643</v>
      </c>
      <c r="B297" s="260">
        <f>'Dry_Litterbag Placem_Collection'!A78</f>
        <v>76</v>
      </c>
      <c r="C297" s="260" t="str">
        <f>'Dry_Litterbag Placem_Collection'!B78</f>
        <v>Maswa</v>
      </c>
      <c r="D297" s="260" t="s">
        <v>2643</v>
      </c>
      <c r="E297" s="260" t="s">
        <v>2645</v>
      </c>
      <c r="F297" s="260">
        <v>2</v>
      </c>
      <c r="G297" s="260" t="s">
        <v>3812</v>
      </c>
      <c r="H297" s="261" t="str">
        <f>'Dry_Litterbag Placem_Collection'!C78</f>
        <v>Dry_W2_T4</v>
      </c>
      <c r="I297" s="262" t="s">
        <v>2525</v>
      </c>
      <c r="J297" s="269" t="s">
        <v>298</v>
      </c>
      <c r="K297" s="260" t="str">
        <f>IF(ISBLANK('Dry_Litterbag Placem_Collection'!K78),"","R"&amp;""&amp;'Dry_Litterbag Placem_Collection'!K78)</f>
        <v>R770</v>
      </c>
      <c r="L297" s="264">
        <f>IFERROR(INDEX('Green_rooibos initial weight'!$C$5:$C$2000,MATCH(K297, 'Green_rooibos initial weight'!$A$5:$A$2000,0)),"")</f>
        <v>2.206</v>
      </c>
      <c r="M297" s="264">
        <f>IFERROR(L297-(TBIcalc!$Q$9+TBIcalc!$Q$10),"")</f>
        <v>1.9561999999999999</v>
      </c>
      <c r="N297" s="385">
        <f>AVERAGE(Ashed_controlls!$K$12:$K$14)</f>
        <v>2.2816647271287041</v>
      </c>
      <c r="O297" s="264">
        <f t="shared" si="21"/>
        <v>1.9115660746079082</v>
      </c>
      <c r="P297" s="264">
        <f>IFERROR(INDEX('Both teabags AfterDry'!$D$2:$D$2000,MATCH(K297,'Both teabags AfterDry'!$A$2:$A$2000,0)),"")</f>
        <v>1.9444999999999999</v>
      </c>
      <c r="Q297" s="264">
        <f>IFERROR(IF(P297&gt;0,P297-(TBIcalc!$Q$9),""),"")</f>
        <v>1.7938999999999998</v>
      </c>
      <c r="R297" s="275">
        <f>IFERROR(INDEX('Ashed teabags dry'!$K$2:$K$2000,MATCH(K297,'Ashed teabags dry'!$A$2:$A$2000,0)),"")</f>
        <v>2.8059990324146233</v>
      </c>
      <c r="S297" s="275">
        <f t="shared" si="22"/>
        <v>1.7435631833575138</v>
      </c>
      <c r="T297" s="265">
        <f>IF('Dry_Litterbag Placem_Collection'!E78="","",'Dry_Litterbag Placem_Collection'!E78)</f>
        <v>42937</v>
      </c>
      <c r="U297" s="265">
        <f>IF('Dry_Litterbag Placem_Collection'!G78="","",'Dry_Litterbag Placem_Collection'!G78)</f>
        <v>43006</v>
      </c>
      <c r="V297" s="266">
        <f t="shared" si="20"/>
        <v>69</v>
      </c>
      <c r="W297" s="264">
        <f t="shared" si="23"/>
        <v>0.16230000000000011</v>
      </c>
      <c r="X297" s="264">
        <f t="shared" si="24"/>
        <v>0.16800289125039436</v>
      </c>
      <c r="Y297" s="268">
        <f>IFERROR(INDEX(Rainfall_Dry!$O$2:$O$217,MATCH(B297, Rainfall_Dry!$A$2:$A$217,0)),"")</f>
        <v>6.900000125</v>
      </c>
      <c r="Z297" s="257">
        <v>45.272914521112256</v>
      </c>
      <c r="AA297" s="257">
        <v>23.604531410916575</v>
      </c>
      <c r="AB297" s="257">
        <v>31.122554067971166</v>
      </c>
      <c r="AC297" s="258" t="s">
        <v>2657</v>
      </c>
      <c r="AD297" s="257">
        <v>5.0547560374568796</v>
      </c>
      <c r="AE297">
        <f>IF('WetLitterbags placem_collection'!AB78="","",'WetLitterbags placem_collection'!AB78)</f>
        <v>6.7</v>
      </c>
      <c r="AF297">
        <f>IF('WetLitterbags placem_collection'!Z78="","",'WetLitterbags placem_collection'!Z78)</f>
        <v>19.3</v>
      </c>
      <c r="AG297" s="243" t="str">
        <f>IF('WetLitterbags placem_collection'!AA78="","",'WetLitterbags placem_collection'!AA78)</f>
        <v>M</v>
      </c>
      <c r="AH297">
        <f>IF('WetLitterbags placem_collection'!AC78="","",'WetLitterbags placem_collection'!AC78)</f>
        <v>1</v>
      </c>
      <c r="AI297">
        <f>IFERROR(AVERAGE('Dry_Litterbag Placem_Collection'!O78,'Dry_Litterbag Placem_Collection'!R78),"")</f>
        <v>11.1</v>
      </c>
      <c r="AJ297" s="268">
        <f>IFERROR(AVERAGE('Dry_Litterbag Placem_Collection'!N78,'Dry_Litterbag Placem_Collection'!Q78),"")</f>
        <v>27.75</v>
      </c>
      <c r="AK297" s="267">
        <f>INDEX(Coordinates!$B$2:$B$197,MATCH(H297,Coordinates!$J$2:$J$197,0))</f>
        <v>-3.3024560190000001</v>
      </c>
      <c r="AL297" s="267">
        <f>INDEX(Coordinates!$C$2:$C$197,MATCH(H297,Coordinates!$J$2:$J$197,0))</f>
        <v>34.847871990000002</v>
      </c>
      <c r="AM297" s="267" t="str">
        <f>IF(ISNUMBER(SEARCH("C", 'Dry_Litterbag Placem_Collection'!T78)),"YES","NO")</f>
        <v>NO</v>
      </c>
      <c r="AN297" s="267" t="str">
        <f>IF(ISNUMBER(SEARCH("H", 'Dry_Litterbag Placem_Collection'!T78)),"YES","NO")</f>
        <v>NO</v>
      </c>
      <c r="AO297" s="267" t="str">
        <f>IF(ISNUMBER(SEARCH("R", 'Dry_Litterbag Placem_Collection'!T78)),"YES","NO")</f>
        <v>NO</v>
      </c>
    </row>
    <row r="298" spans="1:41" ht="15" customHeight="1">
      <c r="A298" s="259" t="s">
        <v>2643</v>
      </c>
      <c r="B298" s="260">
        <f>'Dry_Litterbag Placem_Collection'!A79</f>
        <v>77</v>
      </c>
      <c r="C298" s="260" t="str">
        <f>'Dry_Litterbag Placem_Collection'!B79</f>
        <v>Maswa</v>
      </c>
      <c r="D298" s="260" t="s">
        <v>2643</v>
      </c>
      <c r="E298" s="260" t="s">
        <v>2645</v>
      </c>
      <c r="F298" s="260">
        <v>2</v>
      </c>
      <c r="G298" s="260" t="s">
        <v>3812</v>
      </c>
      <c r="H298" s="261" t="str">
        <f>'Dry_Litterbag Placem_Collection'!C79</f>
        <v>Dry_W2_T5</v>
      </c>
      <c r="I298" s="262" t="s">
        <v>2525</v>
      </c>
      <c r="J298" s="269" t="s">
        <v>298</v>
      </c>
      <c r="K298" s="260" t="str">
        <f>IF(ISBLANK('Dry_Litterbag Placem_Collection'!K79),"","R"&amp;""&amp;'Dry_Litterbag Placem_Collection'!K79)</f>
        <v/>
      </c>
      <c r="L298" s="264" t="str">
        <f>IFERROR(INDEX('Green_rooibos initial weight'!$C$5:$C$2000,MATCH(K298, 'Green_rooibos initial weight'!$A$5:$A$2000,0)),"")</f>
        <v/>
      </c>
      <c r="M298" s="264" t="str">
        <f>IFERROR(L298-(TBIcalc!$Q$9+TBIcalc!$Q$10),"")</f>
        <v/>
      </c>
      <c r="N298" s="385">
        <f>AVERAGE(Ashed_controlls!$K$12:$K$14)</f>
        <v>2.2816647271287041</v>
      </c>
      <c r="O298" s="264" t="str">
        <f t="shared" si="21"/>
        <v/>
      </c>
      <c r="P298" s="264" t="str">
        <f>IFERROR(INDEX('Both teabags AfterDry'!$D$2:$D$2000,MATCH(K298,'Both teabags AfterDry'!$A$2:$A$2000,0)),"")</f>
        <v/>
      </c>
      <c r="Q298" s="264" t="str">
        <f>IFERROR(IF(P298&gt;0,P298-(TBIcalc!$Q$9),""),"")</f>
        <v/>
      </c>
      <c r="R298" s="275" t="str">
        <f>IFERROR(INDEX('Ashed teabags dry'!$K$2:$K$2000,MATCH(K298,'Ashed teabags dry'!$A$2:$A$2000,0)),"")</f>
        <v/>
      </c>
      <c r="S298" s="275" t="str">
        <f t="shared" si="22"/>
        <v/>
      </c>
      <c r="T298" s="265" t="str">
        <f>IF('Dry_Litterbag Placem_Collection'!E79="","",'Dry_Litterbag Placem_Collection'!E79)</f>
        <v/>
      </c>
      <c r="U298" s="265" t="str">
        <f>IF('Dry_Litterbag Placem_Collection'!G79="","",'Dry_Litterbag Placem_Collection'!G79)</f>
        <v/>
      </c>
      <c r="V298" s="266" t="str">
        <f t="shared" si="20"/>
        <v/>
      </c>
      <c r="W298" s="264" t="str">
        <f t="shared" si="23"/>
        <v/>
      </c>
      <c r="X298" s="264" t="str">
        <f t="shared" si="24"/>
        <v/>
      </c>
      <c r="Y298" s="268" t="str">
        <f>IFERROR(INDEX(Rainfall_Dry!$O$2:$O$217,MATCH(B298, Rainfall_Dry!$A$2:$A$217,0)),"")</f>
        <v/>
      </c>
      <c r="Z298" s="257">
        <v>45.272914521112256</v>
      </c>
      <c r="AA298" s="257">
        <v>23.604531410916575</v>
      </c>
      <c r="AB298" s="257">
        <v>31.122554067971166</v>
      </c>
      <c r="AC298" s="258" t="s">
        <v>2657</v>
      </c>
      <c r="AD298" s="257">
        <v>6.0547560374568796</v>
      </c>
      <c r="AE298">
        <f>IF('WetLitterbags placem_collection'!AB79="","",'WetLitterbags placem_collection'!AB79)</f>
        <v>3.1</v>
      </c>
      <c r="AF298">
        <f>IF('WetLitterbags placem_collection'!Z79="","",'WetLitterbags placem_collection'!Z79)</f>
        <v>9.8000000000000007</v>
      </c>
      <c r="AG298" s="243" t="str">
        <f>IF('WetLitterbags placem_collection'!AA79="","",'WetLitterbags placem_collection'!AA79)</f>
        <v>O</v>
      </c>
      <c r="AH298">
        <f>IF('WetLitterbags placem_collection'!AC79="","",'WetLitterbags placem_collection'!AC79)</f>
        <v>1</v>
      </c>
      <c r="AI298" t="str">
        <f>IFERROR(AVERAGE('Dry_Litterbag Placem_Collection'!O79,'Dry_Litterbag Placem_Collection'!R79),"")</f>
        <v/>
      </c>
      <c r="AJ298" s="268" t="str">
        <f>IFERROR(AVERAGE('Dry_Litterbag Placem_Collection'!N79,'Dry_Litterbag Placem_Collection'!Q79),"")</f>
        <v/>
      </c>
      <c r="AK298" s="267">
        <f>INDEX(Coordinates!$B$2:$B$197,MATCH(H298,Coordinates!$J$2:$J$197,0))</f>
        <v>-3.3023280279999998</v>
      </c>
      <c r="AL298" s="267">
        <f>INDEX(Coordinates!$C$2:$C$197,MATCH(H298,Coordinates!$J$2:$J$197,0))</f>
        <v>34.848223019999999</v>
      </c>
      <c r="AM298" s="267" t="str">
        <f>IF(ISNUMBER(SEARCH("C", 'Dry_Litterbag Placem_Collection'!T79)),"YES","NO")</f>
        <v>NO</v>
      </c>
      <c r="AN298" s="267" t="str">
        <f>IF(ISNUMBER(SEARCH("H", 'Dry_Litterbag Placem_Collection'!T79)),"YES","NO")</f>
        <v>NO</v>
      </c>
      <c r="AO298" s="267" t="str">
        <f>IF(ISNUMBER(SEARCH("R", 'Dry_Litterbag Placem_Collection'!T79)),"YES","NO")</f>
        <v>NO</v>
      </c>
    </row>
    <row r="299" spans="1:41" ht="15" customHeight="1">
      <c r="A299" s="259" t="s">
        <v>2643</v>
      </c>
      <c r="B299" s="260">
        <f>'Dry_Litterbag Placem_Collection'!A80</f>
        <v>78</v>
      </c>
      <c r="C299" s="260" t="str">
        <f>'Dry_Litterbag Placem_Collection'!B80</f>
        <v>Maswa</v>
      </c>
      <c r="D299" s="260" t="s">
        <v>2643</v>
      </c>
      <c r="E299" s="260" t="s">
        <v>2645</v>
      </c>
      <c r="F299" s="260">
        <v>2</v>
      </c>
      <c r="G299" s="260" t="s">
        <v>3812</v>
      </c>
      <c r="H299" s="261" t="str">
        <f>'Dry_Litterbag Placem_Collection'!C80</f>
        <v>Dry_W2_T6</v>
      </c>
      <c r="I299" s="262" t="s">
        <v>2525</v>
      </c>
      <c r="J299" s="269" t="s">
        <v>298</v>
      </c>
      <c r="K299" s="260" t="str">
        <f>IF(ISBLANK('Dry_Litterbag Placem_Collection'!K80),"","R"&amp;""&amp;'Dry_Litterbag Placem_Collection'!K80)</f>
        <v>R696</v>
      </c>
      <c r="L299" s="264">
        <f>IFERROR(INDEX('Green_rooibos initial weight'!$C$5:$C$2000,MATCH(K299, 'Green_rooibos initial weight'!$A$5:$A$2000,0)),"")</f>
        <v>2.1389999999999998</v>
      </c>
      <c r="M299" s="264">
        <f>IFERROR(L299-(TBIcalc!$Q$9+TBIcalc!$Q$10),"")</f>
        <v>1.8891999999999998</v>
      </c>
      <c r="N299" s="385">
        <f>AVERAGE(Ashed_controlls!$K$12:$K$14)</f>
        <v>2.2816647271287041</v>
      </c>
      <c r="O299" s="264">
        <f t="shared" si="21"/>
        <v>1.8460947899750844</v>
      </c>
      <c r="P299" s="264">
        <f>IFERROR(INDEX('Both teabags AfterDry'!$D$2:$D$2000,MATCH(K299,'Both teabags AfterDry'!$A$2:$A$2000,0)),"")</f>
        <v>1.9605999999999999</v>
      </c>
      <c r="Q299" s="264">
        <f>IFERROR(IF(P299&gt;0,P299-(TBIcalc!$Q$9),""),"")</f>
        <v>1.8099999999999998</v>
      </c>
      <c r="R299" s="275">
        <f>IFERROR(INDEX('Ashed teabags dry'!$K$2:$K$2000,MATCH(K299,'Ashed teabags dry'!$A$2:$A$2000,0)),"")</f>
        <v>2.2848808945063115</v>
      </c>
      <c r="S299" s="275">
        <f t="shared" si="22"/>
        <v>1.7686436558094356</v>
      </c>
      <c r="T299" s="265">
        <f>IF('Dry_Litterbag Placem_Collection'!E80="","",'Dry_Litterbag Placem_Collection'!E80)</f>
        <v>42937</v>
      </c>
      <c r="U299" s="265">
        <f>IF('Dry_Litterbag Placem_Collection'!G80="","",'Dry_Litterbag Placem_Collection'!G80)</f>
        <v>43006</v>
      </c>
      <c r="V299" s="266">
        <f t="shared" si="20"/>
        <v>69</v>
      </c>
      <c r="W299" s="264">
        <f t="shared" si="23"/>
        <v>7.9199999999999937E-2</v>
      </c>
      <c r="X299" s="264">
        <f t="shared" si="24"/>
        <v>7.745113416564875E-2</v>
      </c>
      <c r="Y299" s="268">
        <f>IFERROR(INDEX(Rainfall_Dry!$O$2:$O$217,MATCH(B299, Rainfall_Dry!$A$2:$A$217,0)),"")</f>
        <v>6.900000125</v>
      </c>
      <c r="Z299" s="257">
        <v>45.272914521112256</v>
      </c>
      <c r="AA299" s="257">
        <v>23.604531410916575</v>
      </c>
      <c r="AB299" s="257">
        <v>31.122554067971166</v>
      </c>
      <c r="AC299" s="258" t="s">
        <v>2657</v>
      </c>
      <c r="AD299" s="257">
        <v>7.0547560374568796</v>
      </c>
      <c r="AE299">
        <f>IF('WetLitterbags placem_collection'!AB80="","",'WetLitterbags placem_collection'!AB80)</f>
        <v>10.4</v>
      </c>
      <c r="AF299">
        <f>IF('WetLitterbags placem_collection'!Z80="","",'WetLitterbags placem_collection'!Z80)</f>
        <v>15.4</v>
      </c>
      <c r="AG299" s="243" t="str">
        <f>IF('WetLitterbags placem_collection'!AA80="","",'WetLitterbags placem_collection'!AA80)</f>
        <v>M</v>
      </c>
      <c r="AH299">
        <f>IF('WetLitterbags placem_collection'!AC80="","",'WetLitterbags placem_collection'!AC80)</f>
        <v>1</v>
      </c>
      <c r="AI299">
        <f>IFERROR(AVERAGE('Dry_Litterbag Placem_Collection'!O80,'Dry_Litterbag Placem_Collection'!R80),"")</f>
        <v>11.149999999999999</v>
      </c>
      <c r="AJ299" s="268">
        <f>IFERROR(AVERAGE('Dry_Litterbag Placem_Collection'!N80,'Dry_Litterbag Placem_Collection'!Q80),"")</f>
        <v>28.35</v>
      </c>
      <c r="AK299" s="267">
        <f>INDEX(Coordinates!$B$2:$B$197,MATCH(H299,Coordinates!$J$2:$J$197,0))</f>
        <v>-3.3025680020000001</v>
      </c>
      <c r="AL299" s="267">
        <f>INDEX(Coordinates!$C$2:$C$197,MATCH(H299,Coordinates!$J$2:$J$197,0))</f>
        <v>34.848167029999999</v>
      </c>
      <c r="AM299" s="267" t="str">
        <f>IF(ISNUMBER(SEARCH("C", 'Dry_Litterbag Placem_Collection'!T80)),"YES","NO")</f>
        <v>NO</v>
      </c>
      <c r="AN299" s="267" t="str">
        <f>IF(ISNUMBER(SEARCH("H", 'Dry_Litterbag Placem_Collection'!T80)),"YES","NO")</f>
        <v>YES</v>
      </c>
      <c r="AO299" s="267" t="str">
        <f>IF(ISNUMBER(SEARCH("R", 'Dry_Litterbag Placem_Collection'!T80)),"YES","NO")</f>
        <v>NO</v>
      </c>
    </row>
    <row r="300" spans="1:41" ht="15" customHeight="1">
      <c r="A300" s="259" t="s">
        <v>2643</v>
      </c>
      <c r="B300" s="260">
        <f>'Dry_Litterbag Placem_Collection'!A81</f>
        <v>79</v>
      </c>
      <c r="C300" s="260" t="str">
        <f>'Dry_Litterbag Placem_Collection'!B81</f>
        <v>Maswa</v>
      </c>
      <c r="D300" s="260" t="s">
        <v>2643</v>
      </c>
      <c r="E300" s="260" t="s">
        <v>2645</v>
      </c>
      <c r="F300" s="260">
        <v>2</v>
      </c>
      <c r="G300" s="260" t="s">
        <v>3812</v>
      </c>
      <c r="H300" s="261" t="str">
        <f>'Dry_Litterbag Placem_Collection'!C81</f>
        <v>Dry_W2_T7</v>
      </c>
      <c r="I300" s="262" t="s">
        <v>2525</v>
      </c>
      <c r="J300" s="269" t="s">
        <v>298</v>
      </c>
      <c r="K300" s="260" t="str">
        <f>IF(ISBLANK('Dry_Litterbag Placem_Collection'!K81),"","R"&amp;""&amp;'Dry_Litterbag Placem_Collection'!K81)</f>
        <v>R270</v>
      </c>
      <c r="L300" s="264">
        <f>IFERROR(INDEX('Green_rooibos initial weight'!$C$5:$C$2000,MATCH(K300, 'Green_rooibos initial weight'!$A$5:$A$2000,0)),"")</f>
        <v>2.2170000000000001</v>
      </c>
      <c r="M300" s="264">
        <f>IFERROR(L300-(TBIcalc!$Q$9+TBIcalc!$Q$10),"")</f>
        <v>1.9672000000000001</v>
      </c>
      <c r="N300" s="385">
        <f>AVERAGE(Ashed_controlls!$K$12:$K$14)</f>
        <v>2.2816647271287041</v>
      </c>
      <c r="O300" s="264">
        <f t="shared" si="21"/>
        <v>1.9223150914879241</v>
      </c>
      <c r="P300" s="264">
        <f>IFERROR(INDEX('Both teabags AfterDry'!$D$2:$D$2000,MATCH(K300,'Both teabags AfterDry'!$A$2:$A$2000,0)),"")</f>
        <v>1.9970000000000001</v>
      </c>
      <c r="Q300" s="264">
        <f>IFERROR(IF(P300&gt;0,P300-(TBIcalc!$Q$9),""),"")</f>
        <v>1.8464</v>
      </c>
      <c r="R300" s="275">
        <f>IFERROR(INDEX('Ashed teabags dry'!$K$2:$K$2000,MATCH(K300,'Ashed teabags dry'!$A$2:$A$2000,0)),"")</f>
        <v>2.6437847866422564</v>
      </c>
      <c r="S300" s="275">
        <f t="shared" si="22"/>
        <v>1.7975851576994375</v>
      </c>
      <c r="T300" s="265">
        <f>IF('Dry_Litterbag Placem_Collection'!E81="","",'Dry_Litterbag Placem_Collection'!E81)</f>
        <v>42937</v>
      </c>
      <c r="U300" s="265">
        <f>IF('Dry_Litterbag Placem_Collection'!G81="","",'Dry_Litterbag Placem_Collection'!G81)</f>
        <v>43006</v>
      </c>
      <c r="V300" s="266">
        <f t="shared" si="20"/>
        <v>69</v>
      </c>
      <c r="W300" s="264">
        <f t="shared" si="23"/>
        <v>0.12080000000000002</v>
      </c>
      <c r="X300" s="264">
        <f t="shared" si="24"/>
        <v>0.12472993378848662</v>
      </c>
      <c r="Y300" s="268">
        <f>IFERROR(INDEX(Rainfall_Dry!$O$2:$O$217,MATCH(B300, Rainfall_Dry!$A$2:$A$217,0)),"")</f>
        <v>6.900000125</v>
      </c>
      <c r="Z300" s="257">
        <v>45.272914521112256</v>
      </c>
      <c r="AA300" s="257">
        <v>23.604531410916575</v>
      </c>
      <c r="AB300" s="257">
        <v>31.122554067971166</v>
      </c>
      <c r="AC300" s="258" t="s">
        <v>2657</v>
      </c>
      <c r="AD300" s="257">
        <v>8.0547560374568796</v>
      </c>
      <c r="AE300">
        <f>IF('WetLitterbags placem_collection'!AB81="","",'WetLitterbags placem_collection'!AB81)</f>
        <v>3</v>
      </c>
      <c r="AF300">
        <f>IF('WetLitterbags placem_collection'!Z81="","",'WetLitterbags placem_collection'!Z81)</f>
        <v>5</v>
      </c>
      <c r="AG300" s="243" t="str">
        <f>IF('WetLitterbags placem_collection'!AA81="","",'WetLitterbags placem_collection'!AA81)</f>
        <v>G</v>
      </c>
      <c r="AH300">
        <f>IF('WetLitterbags placem_collection'!AC81="","",'WetLitterbags placem_collection'!AC81)</f>
        <v>1</v>
      </c>
      <c r="AI300">
        <f>IFERROR(AVERAGE('Dry_Litterbag Placem_Collection'!O81,'Dry_Litterbag Placem_Collection'!R81),"")</f>
        <v>9.1999999999999993</v>
      </c>
      <c r="AJ300" s="268">
        <f>IFERROR(AVERAGE('Dry_Litterbag Placem_Collection'!N81,'Dry_Litterbag Placem_Collection'!Q81),"")</f>
        <v>26.25</v>
      </c>
      <c r="AK300" s="267">
        <f>INDEX(Coordinates!$B$2:$B$197,MATCH(H300,Coordinates!$J$2:$J$197,0))</f>
        <v>-3.3026270100000001</v>
      </c>
      <c r="AL300" s="267">
        <f>INDEX(Coordinates!$C$2:$C$197,MATCH(H300,Coordinates!$J$2:$J$197,0))</f>
        <v>34.84840801</v>
      </c>
      <c r="AM300" s="267" t="str">
        <f>IF(ISNUMBER(SEARCH("C", 'Dry_Litterbag Placem_Collection'!T81)),"YES","NO")</f>
        <v>NO</v>
      </c>
      <c r="AN300" s="267" t="str">
        <f>IF(ISNUMBER(SEARCH("H", 'Dry_Litterbag Placem_Collection'!T81)),"YES","NO")</f>
        <v>NO</v>
      </c>
      <c r="AO300" s="267" t="str">
        <f>IF(ISNUMBER(SEARCH("R", 'Dry_Litterbag Placem_Collection'!T81)),"YES","NO")</f>
        <v>NO</v>
      </c>
    </row>
    <row r="301" spans="1:41" ht="15" customHeight="1">
      <c r="A301" s="259" t="s">
        <v>2643</v>
      </c>
      <c r="B301" s="260">
        <f>'Dry_Litterbag Placem_Collection'!A82</f>
        <v>80</v>
      </c>
      <c r="C301" s="260" t="str">
        <f>'Dry_Litterbag Placem_Collection'!B82</f>
        <v>Maswa</v>
      </c>
      <c r="D301" s="260" t="s">
        <v>2643</v>
      </c>
      <c r="E301" s="260" t="s">
        <v>2645</v>
      </c>
      <c r="F301" s="260">
        <v>2</v>
      </c>
      <c r="G301" s="260" t="s">
        <v>3812</v>
      </c>
      <c r="H301" s="261" t="str">
        <f>'Dry_Litterbag Placem_Collection'!C82</f>
        <v>Dry_W2_T8</v>
      </c>
      <c r="I301" s="262" t="s">
        <v>2525</v>
      </c>
      <c r="J301" s="269" t="s">
        <v>298</v>
      </c>
      <c r="K301" s="260" t="str">
        <f>IF(ISBLANK('Dry_Litterbag Placem_Collection'!K82),"","R"&amp;""&amp;'Dry_Litterbag Placem_Collection'!K82)</f>
        <v>R726</v>
      </c>
      <c r="L301" s="264">
        <f>IFERROR(INDEX('Green_rooibos initial weight'!$C$5:$C$2000,MATCH(K301, 'Green_rooibos initial weight'!$A$5:$A$2000,0)),"")</f>
        <v>2.2810000000000001</v>
      </c>
      <c r="M301" s="264">
        <f>IFERROR(L301-(TBIcalc!$Q$9+TBIcalc!$Q$10),"")</f>
        <v>2.0312000000000001</v>
      </c>
      <c r="N301" s="385">
        <f>AVERAGE(Ashed_controlls!$K$12:$K$14)</f>
        <v>2.2816647271287041</v>
      </c>
      <c r="O301" s="264">
        <f t="shared" si="21"/>
        <v>1.9848548260625618</v>
      </c>
      <c r="P301" s="264">
        <f>IFERROR(INDEX('Both teabags AfterDry'!$D$2:$D$2000,MATCH(K301,'Both teabags AfterDry'!$A$2:$A$2000,0)),"")</f>
        <v>1.9471000000000001</v>
      </c>
      <c r="Q301" s="264">
        <f>IFERROR(IF(P301&gt;0,P301-(TBIcalc!$Q$9),""),"")</f>
        <v>1.7965</v>
      </c>
      <c r="R301" s="275">
        <f>IFERROR(INDEX('Ashed teabags dry'!$K$2:$K$2000,MATCH(K301,'Ashed teabags dry'!$A$2:$A$2000,0)),"")</f>
        <v>2.8653295128930178</v>
      </c>
      <c r="S301" s="275">
        <f t="shared" si="22"/>
        <v>1.7450243553008769</v>
      </c>
      <c r="T301" s="265">
        <f>IF('Dry_Litterbag Placem_Collection'!E82="","",'Dry_Litterbag Placem_Collection'!E82)</f>
        <v>42937</v>
      </c>
      <c r="U301" s="265">
        <f>IF('Dry_Litterbag Placem_Collection'!G82="","",'Dry_Litterbag Placem_Collection'!G82)</f>
        <v>43006</v>
      </c>
      <c r="V301" s="266">
        <f t="shared" si="20"/>
        <v>69</v>
      </c>
      <c r="W301" s="264">
        <f t="shared" si="23"/>
        <v>0.23470000000000013</v>
      </c>
      <c r="X301" s="264">
        <f t="shared" si="24"/>
        <v>0.23983047076168496</v>
      </c>
      <c r="Y301" s="268">
        <f>IFERROR(INDEX(Rainfall_Dry!$O$2:$O$217,MATCH(B301, Rainfall_Dry!$A$2:$A$217,0)),"")</f>
        <v>6.900000125</v>
      </c>
      <c r="Z301" s="257">
        <v>45.272914521112256</v>
      </c>
      <c r="AA301" s="257">
        <v>23.604531410916575</v>
      </c>
      <c r="AB301" s="257">
        <v>31.122554067971166</v>
      </c>
      <c r="AC301" s="258" t="s">
        <v>2657</v>
      </c>
      <c r="AD301" s="257">
        <v>9.0547560374568796</v>
      </c>
      <c r="AE301">
        <f>IF('WetLitterbags placem_collection'!AB82="","",'WetLitterbags placem_collection'!AB82)</f>
        <v>2.7</v>
      </c>
      <c r="AF301">
        <f>IF('WetLitterbags placem_collection'!Z82="","",'WetLitterbags placem_collection'!Z82)</f>
        <v>12.4</v>
      </c>
      <c r="AG301" s="243" t="str">
        <f>IF('WetLitterbags placem_collection'!AA82="","",'WetLitterbags placem_collection'!AA82)</f>
        <v>O</v>
      </c>
      <c r="AH301">
        <f>IF('WetLitterbags placem_collection'!AC82="","",'WetLitterbags placem_collection'!AC82)</f>
        <v>1</v>
      </c>
      <c r="AI301">
        <f>IFERROR(AVERAGE('Dry_Litterbag Placem_Collection'!O82,'Dry_Litterbag Placem_Collection'!R82),"")</f>
        <v>11.75</v>
      </c>
      <c r="AJ301" s="268">
        <f>IFERROR(AVERAGE('Dry_Litterbag Placem_Collection'!N82,'Dry_Litterbag Placem_Collection'!Q82),"")</f>
        <v>27.7</v>
      </c>
      <c r="AK301" s="267">
        <f>INDEX(Coordinates!$B$2:$B$197,MATCH(H301,Coordinates!$J$2:$J$197,0))</f>
        <v>-3.3028539920000002</v>
      </c>
      <c r="AL301" s="267">
        <f>INDEX(Coordinates!$C$2:$C$197,MATCH(H301,Coordinates!$J$2:$J$197,0))</f>
        <v>34.847988999999998</v>
      </c>
      <c r="AM301" s="267" t="str">
        <f>IF(ISNUMBER(SEARCH("C", 'Dry_Litterbag Placem_Collection'!T82)),"YES","NO")</f>
        <v>NO</v>
      </c>
      <c r="AN301" s="267" t="str">
        <f>IF(ISNUMBER(SEARCH("H", 'Dry_Litterbag Placem_Collection'!T82)),"YES","NO")</f>
        <v>NO</v>
      </c>
      <c r="AO301" s="267" t="str">
        <f>IF(ISNUMBER(SEARCH("R", 'Dry_Litterbag Placem_Collection'!T82)),"YES","NO")</f>
        <v>NO</v>
      </c>
    </row>
    <row r="302" spans="1:41" ht="15" customHeight="1">
      <c r="A302" s="259" t="s">
        <v>2643</v>
      </c>
      <c r="B302" s="260">
        <f>'Dry_Litterbag Placem_Collection'!A83</f>
        <v>81</v>
      </c>
      <c r="C302" s="260" t="str">
        <f>'Dry_Litterbag Placem_Collection'!B83</f>
        <v>Maswa</v>
      </c>
      <c r="D302" s="260" t="s">
        <v>2643</v>
      </c>
      <c r="E302" s="260" t="s">
        <v>2645</v>
      </c>
      <c r="F302" s="260">
        <v>3</v>
      </c>
      <c r="G302" s="260" t="s">
        <v>3813</v>
      </c>
      <c r="H302" s="261" t="str">
        <f>'Dry_Litterbag Placem_Collection'!C83</f>
        <v>Dry_W3_T1</v>
      </c>
      <c r="I302" s="262" t="s">
        <v>2525</v>
      </c>
      <c r="J302" s="269" t="s">
        <v>298</v>
      </c>
      <c r="K302" s="260" t="str">
        <f>IF(ISBLANK('Dry_Litterbag Placem_Collection'!K83),"","R"&amp;""&amp;'Dry_Litterbag Placem_Collection'!K83)</f>
        <v>R739</v>
      </c>
      <c r="L302" s="264">
        <f>IFERROR(INDEX('Green_rooibos initial weight'!$C$5:$C$2000,MATCH(K302, 'Green_rooibos initial weight'!$A$5:$A$2000,0)),"")</f>
        <v>2.222</v>
      </c>
      <c r="M302" s="264">
        <f>IFERROR(L302-(TBIcalc!$Q$9+TBIcalc!$Q$10),"")</f>
        <v>1.9722</v>
      </c>
      <c r="N302" s="385">
        <f>AVERAGE(Ashed_controlls!$K$12:$K$14)</f>
        <v>2.2816647271287041</v>
      </c>
      <c r="O302" s="264">
        <f t="shared" si="21"/>
        <v>1.9272010082515676</v>
      </c>
      <c r="P302" s="264">
        <f>IFERROR(INDEX('Both teabags AfterDry'!$D$2:$D$2000,MATCH(K302,'Both teabags AfterDry'!$A$2:$A$2000,0)),"")</f>
        <v>1.9457</v>
      </c>
      <c r="Q302" s="264">
        <f>IFERROR(IF(P302&gt;0,P302-(TBIcalc!$Q$9),""),"")</f>
        <v>1.7950999999999999</v>
      </c>
      <c r="R302" s="275">
        <f>IFERROR(INDEX('Ashed teabags dry'!$K$2:$K$2000,MATCH(K302,'Ashed teabags dry'!$A$2:$A$2000,0)),"")</f>
        <v>2.6627218934911183</v>
      </c>
      <c r="S302" s="275">
        <f t="shared" si="22"/>
        <v>1.7473014792899408</v>
      </c>
      <c r="T302" s="265">
        <f>IF('Dry_Litterbag Placem_Collection'!E83="","",'Dry_Litterbag Placem_Collection'!E83)</f>
        <v>42937</v>
      </c>
      <c r="U302" s="265">
        <f>IF('Dry_Litterbag Placem_Collection'!G83="","",'Dry_Litterbag Placem_Collection'!G83)</f>
        <v>43006</v>
      </c>
      <c r="V302" s="266">
        <f t="shared" si="20"/>
        <v>69</v>
      </c>
      <c r="W302" s="264">
        <f t="shared" si="23"/>
        <v>0.17710000000000004</v>
      </c>
      <c r="X302" s="264">
        <f t="shared" si="24"/>
        <v>0.17989952896162675</v>
      </c>
      <c r="Y302" s="268">
        <f>IFERROR(INDEX(Rainfall_Dry!$O$2:$O$217,MATCH(B302, Rainfall_Dry!$A$2:$A$217,0)),"")</f>
        <v>12.563016860999999</v>
      </c>
      <c r="Z302" s="257">
        <v>38.691629007962128</v>
      </c>
      <c r="AA302" s="257">
        <v>26.81299763288143</v>
      </c>
      <c r="AB302" s="257">
        <v>34.495373359156439</v>
      </c>
      <c r="AC302" s="258" t="s">
        <v>2659</v>
      </c>
      <c r="AD302" s="257">
        <v>2.5483587974371611</v>
      </c>
      <c r="AE302">
        <f>IF('WetLitterbags placem_collection'!AB83="","",'WetLitterbags placem_collection'!AB83)</f>
        <v>6.2</v>
      </c>
      <c r="AF302">
        <f>IF('WetLitterbags placem_collection'!Z83="","",'WetLitterbags placem_collection'!Z83)</f>
        <v>13.3</v>
      </c>
      <c r="AG302" s="243" t="str">
        <f>IF('WetLitterbags placem_collection'!AA83="","",'WetLitterbags placem_collection'!AA83)</f>
        <v>O</v>
      </c>
      <c r="AH302">
        <f>IF('WetLitterbags placem_collection'!AC83="","",'WetLitterbags placem_collection'!AC83)</f>
        <v>0</v>
      </c>
      <c r="AI302">
        <f>IFERROR(AVERAGE('Dry_Litterbag Placem_Collection'!O83,'Dry_Litterbag Placem_Collection'!R83),"")</f>
        <v>11.850000000000001</v>
      </c>
      <c r="AJ302" s="268">
        <f>IFERROR(AVERAGE('Dry_Litterbag Placem_Collection'!N83,'Dry_Litterbag Placem_Collection'!Q83),"")</f>
        <v>26.35</v>
      </c>
      <c r="AK302" s="267">
        <f>INDEX(Coordinates!$B$2:$B$197,MATCH(H302,Coordinates!$J$2:$J$197,0))</f>
        <v>-3.2957159630000001</v>
      </c>
      <c r="AL302" s="267">
        <f>INDEX(Coordinates!$C$2:$C$197,MATCH(H302,Coordinates!$J$2:$J$197,0))</f>
        <v>34.852460999999998</v>
      </c>
      <c r="AM302" s="267" t="str">
        <f>IF(ISNUMBER(SEARCH("C", 'Dry_Litterbag Placem_Collection'!T83)),"YES","NO")</f>
        <v>NO</v>
      </c>
      <c r="AN302" s="267" t="str">
        <f>IF(ISNUMBER(SEARCH("H", 'Dry_Litterbag Placem_Collection'!T83)),"YES","NO")</f>
        <v>NO</v>
      </c>
      <c r="AO302" s="267" t="str">
        <f>IF(ISNUMBER(SEARCH("R", 'Dry_Litterbag Placem_Collection'!T83)),"YES","NO")</f>
        <v>NO</v>
      </c>
    </row>
    <row r="303" spans="1:41" ht="15" customHeight="1">
      <c r="A303" s="259" t="s">
        <v>2643</v>
      </c>
      <c r="B303" s="260">
        <f>'Dry_Litterbag Placem_Collection'!A84</f>
        <v>82</v>
      </c>
      <c r="C303" s="260" t="str">
        <f>'Dry_Litterbag Placem_Collection'!B84</f>
        <v>Maswa</v>
      </c>
      <c r="D303" s="260" t="s">
        <v>2643</v>
      </c>
      <c r="E303" s="260" t="s">
        <v>2645</v>
      </c>
      <c r="F303" s="260">
        <v>3</v>
      </c>
      <c r="G303" s="260" t="s">
        <v>3813</v>
      </c>
      <c r="H303" s="261" t="str">
        <f>'Dry_Litterbag Placem_Collection'!C84</f>
        <v>Dry_W3_T2</v>
      </c>
      <c r="I303" s="262" t="s">
        <v>2525</v>
      </c>
      <c r="J303" s="269" t="s">
        <v>298</v>
      </c>
      <c r="K303" s="260" t="str">
        <f>IF(ISBLANK('Dry_Litterbag Placem_Collection'!K84),"","R"&amp;""&amp;'Dry_Litterbag Placem_Collection'!K84)</f>
        <v>R800</v>
      </c>
      <c r="L303" s="264">
        <f>IFERROR(INDEX('Green_rooibos initial weight'!$C$5:$C$2000,MATCH(K303, 'Green_rooibos initial weight'!$A$5:$A$2000,0)),"")</f>
        <v>2.1579999999999999</v>
      </c>
      <c r="M303" s="264">
        <f>IFERROR(L303-(TBIcalc!$Q$9+TBIcalc!$Q$10),"")</f>
        <v>1.9081999999999999</v>
      </c>
      <c r="N303" s="385">
        <f>AVERAGE(Ashed_controlls!$K$12:$K$14)</f>
        <v>2.2816647271287041</v>
      </c>
      <c r="O303" s="264">
        <f t="shared" si="21"/>
        <v>1.8646612736769299</v>
      </c>
      <c r="P303" s="264">
        <f>IFERROR(INDEX('Both teabags AfterDry'!$D$2:$D$2000,MATCH(K303,'Both teabags AfterDry'!$A$2:$A$2000,0)),"")</f>
        <v>1.8712</v>
      </c>
      <c r="Q303" s="264">
        <f>IFERROR(IF(P303&gt;0,P303-(TBIcalc!$Q$9),""),"")</f>
        <v>1.7205999999999999</v>
      </c>
      <c r="R303" s="275">
        <f>IFERROR(INDEX('Ashed teabags dry'!$K$2:$K$2000,MATCH(K303,'Ashed teabags dry'!$A$2:$A$2000,0)),"")</f>
        <v>2.8725314183131179</v>
      </c>
      <c r="S303" s="275">
        <f t="shared" si="22"/>
        <v>1.6711752244165043</v>
      </c>
      <c r="T303" s="265">
        <f>IF('Dry_Litterbag Placem_Collection'!E84="","",'Dry_Litterbag Placem_Collection'!E84)</f>
        <v>42937</v>
      </c>
      <c r="U303" s="265">
        <f>IF('Dry_Litterbag Placem_Collection'!G84="","",'Dry_Litterbag Placem_Collection'!G84)</f>
        <v>43006</v>
      </c>
      <c r="V303" s="266">
        <f t="shared" si="20"/>
        <v>69</v>
      </c>
      <c r="W303" s="264">
        <f t="shared" si="23"/>
        <v>0.18759999999999999</v>
      </c>
      <c r="X303" s="264">
        <f t="shared" si="24"/>
        <v>0.19348604926042556</v>
      </c>
      <c r="Y303" s="268">
        <f>IFERROR(INDEX(Rainfall_Dry!$O$2:$O$217,MATCH(B303, Rainfall_Dry!$A$2:$A$217,0)),"")</f>
        <v>12.563016860999999</v>
      </c>
      <c r="Z303" s="257">
        <v>38.691629007962128</v>
      </c>
      <c r="AA303" s="257">
        <v>26.81299763288143</v>
      </c>
      <c r="AB303" s="257">
        <v>34.495373359156439</v>
      </c>
      <c r="AC303" s="258" t="s">
        <v>2659</v>
      </c>
      <c r="AD303" s="257">
        <v>3.5483587974371602</v>
      </c>
      <c r="AE303">
        <f>IF('WetLitterbags placem_collection'!AB84="","",'WetLitterbags placem_collection'!AB84)</f>
        <v>2.4</v>
      </c>
      <c r="AF303">
        <f>IF('WetLitterbags placem_collection'!Z84="","",'WetLitterbags placem_collection'!Z84)</f>
        <v>16.600000000000001</v>
      </c>
      <c r="AG303" s="243" t="str">
        <f>IF('WetLitterbags placem_collection'!AA84="","",'WetLitterbags placem_collection'!AA84)</f>
        <v>O</v>
      </c>
      <c r="AH303" t="str">
        <f>IF('WetLitterbags placem_collection'!AC84="","",'WetLitterbags placem_collection'!AC84)</f>
        <v/>
      </c>
      <c r="AI303">
        <f>IFERROR(AVERAGE('Dry_Litterbag Placem_Collection'!O84,'Dry_Litterbag Placem_Collection'!R84),"")</f>
        <v>9.9499999999999993</v>
      </c>
      <c r="AJ303" s="268">
        <f>IFERROR(AVERAGE('Dry_Litterbag Placem_Collection'!N84,'Dry_Litterbag Placem_Collection'!Q84),"")</f>
        <v>25.5</v>
      </c>
      <c r="AK303" s="267">
        <f>INDEX(Coordinates!$B$2:$B$197,MATCH(H303,Coordinates!$J$2:$J$197,0))</f>
        <v>-3.2957230040000001</v>
      </c>
      <c r="AL303" s="267">
        <f>INDEX(Coordinates!$C$2:$C$197,MATCH(H303,Coordinates!$J$2:$J$197,0))</f>
        <v>34.852416990000002</v>
      </c>
      <c r="AM303" s="267" t="str">
        <f>IF(ISNUMBER(SEARCH("C", 'Dry_Litterbag Placem_Collection'!T84)),"YES","NO")</f>
        <v>NO</v>
      </c>
      <c r="AN303" s="267" t="str">
        <f>IF(ISNUMBER(SEARCH("H", 'Dry_Litterbag Placem_Collection'!T84)),"YES","NO")</f>
        <v>NO</v>
      </c>
      <c r="AO303" s="267" t="str">
        <f>IF(ISNUMBER(SEARCH("R", 'Dry_Litterbag Placem_Collection'!T84)),"YES","NO")</f>
        <v>NO</v>
      </c>
    </row>
    <row r="304" spans="1:41" ht="15" customHeight="1">
      <c r="A304" s="259" t="s">
        <v>2643</v>
      </c>
      <c r="B304" s="260">
        <f>'Dry_Litterbag Placem_Collection'!A85</f>
        <v>83</v>
      </c>
      <c r="C304" s="260" t="str">
        <f>'Dry_Litterbag Placem_Collection'!B85</f>
        <v>Maswa</v>
      </c>
      <c r="D304" s="260" t="s">
        <v>2643</v>
      </c>
      <c r="E304" s="260" t="s">
        <v>2645</v>
      </c>
      <c r="F304" s="260">
        <v>3</v>
      </c>
      <c r="G304" s="260" t="s">
        <v>3813</v>
      </c>
      <c r="H304" s="261" t="str">
        <f>'Dry_Litterbag Placem_Collection'!C85</f>
        <v>Dry_W3_T3</v>
      </c>
      <c r="I304" s="262" t="s">
        <v>2525</v>
      </c>
      <c r="J304" s="269" t="s">
        <v>298</v>
      </c>
      <c r="K304" s="260" t="str">
        <f>IF(ISBLANK('Dry_Litterbag Placem_Collection'!K85),"","R"&amp;""&amp;'Dry_Litterbag Placem_Collection'!K85)</f>
        <v>R764</v>
      </c>
      <c r="L304" s="264">
        <f>IFERROR(INDEX('Green_rooibos initial weight'!$C$5:$C$2000,MATCH(K304, 'Green_rooibos initial weight'!$A$5:$A$2000,0)),"")</f>
        <v>2.2160000000000002</v>
      </c>
      <c r="M304" s="264">
        <f>IFERROR(L304-(TBIcalc!$Q$9+TBIcalc!$Q$10),"")</f>
        <v>1.9662000000000002</v>
      </c>
      <c r="N304" s="385">
        <f>AVERAGE(Ashed_controlls!$K$12:$K$14)</f>
        <v>2.2816647271287041</v>
      </c>
      <c r="O304" s="264">
        <f t="shared" si="21"/>
        <v>1.9213379081351956</v>
      </c>
      <c r="P304" s="264">
        <f>IFERROR(INDEX('Both teabags AfterDry'!$D$2:$D$2000,MATCH(K304,'Both teabags AfterDry'!$A$2:$A$2000,0)),"")</f>
        <v>1.9178999999999999</v>
      </c>
      <c r="Q304" s="264">
        <f>IFERROR(IF(P304&gt;0,P304-(TBIcalc!$Q$9),""),"")</f>
        <v>1.7672999999999999</v>
      </c>
      <c r="R304" s="275">
        <f>IFERROR(INDEX('Ashed teabags dry'!$K$2:$K$2000,MATCH(K304,'Ashed teabags dry'!$A$2:$A$2000,0)),"")</f>
        <v>2.3591718825229306</v>
      </c>
      <c r="S304" s="275">
        <f t="shared" si="22"/>
        <v>1.7256063553201721</v>
      </c>
      <c r="T304" s="265">
        <f>IF('Dry_Litterbag Placem_Collection'!E85="","",'Dry_Litterbag Placem_Collection'!E85)</f>
        <v>42937</v>
      </c>
      <c r="U304" s="265">
        <f>IF('Dry_Litterbag Placem_Collection'!G85="","",'Dry_Litterbag Placem_Collection'!G85)</f>
        <v>43006</v>
      </c>
      <c r="V304" s="266">
        <f t="shared" si="20"/>
        <v>69</v>
      </c>
      <c r="W304" s="264">
        <f t="shared" si="23"/>
        <v>0.1989000000000003</v>
      </c>
      <c r="X304" s="264">
        <f t="shared" si="24"/>
        <v>0.19573155281502341</v>
      </c>
      <c r="Y304" s="268">
        <f>IFERROR(INDEX(Rainfall_Dry!$O$2:$O$217,MATCH(B304, Rainfall_Dry!$A$2:$A$217,0)),"")</f>
        <v>12.563016860999999</v>
      </c>
      <c r="Z304" s="257">
        <v>38.691629007962128</v>
      </c>
      <c r="AA304" s="257">
        <v>26.81299763288143</v>
      </c>
      <c r="AB304" s="257">
        <v>34.495373359156439</v>
      </c>
      <c r="AC304" s="258" t="s">
        <v>2659</v>
      </c>
      <c r="AD304" s="257">
        <v>4.5483587974371602</v>
      </c>
      <c r="AE304">
        <f>IF('WetLitterbags placem_collection'!AB85="","",'WetLitterbags placem_collection'!AB85)</f>
        <v>6.4</v>
      </c>
      <c r="AF304">
        <f>IF('WetLitterbags placem_collection'!Z85="","",'WetLitterbags placem_collection'!Z85)</f>
        <v>42</v>
      </c>
      <c r="AG304" s="243" t="str">
        <f>IF('WetLitterbags placem_collection'!AA85="","",'WetLitterbags placem_collection'!AA85)</f>
        <v>M</v>
      </c>
      <c r="AH304">
        <f>IF('WetLitterbags placem_collection'!AC85="","",'WetLitterbags placem_collection'!AC85)</f>
        <v>1</v>
      </c>
      <c r="AI304">
        <f>IFERROR(AVERAGE('Dry_Litterbag Placem_Collection'!O85,'Dry_Litterbag Placem_Collection'!R85),"")</f>
        <v>10.050000000000001</v>
      </c>
      <c r="AJ304" s="268">
        <f>IFERROR(AVERAGE('Dry_Litterbag Placem_Collection'!N85,'Dry_Litterbag Placem_Collection'!Q85),"")</f>
        <v>26.05</v>
      </c>
      <c r="AK304" s="267">
        <f>INDEX(Coordinates!$B$2:$B$197,MATCH(H304,Coordinates!$J$2:$J$197,0))</f>
        <v>-3.2957430369999998</v>
      </c>
      <c r="AL304" s="267">
        <f>INDEX(Coordinates!$C$2:$C$197,MATCH(H304,Coordinates!$J$2:$J$197,0))</f>
        <v>34.852309030000001</v>
      </c>
      <c r="AM304" s="267" t="str">
        <f>IF(ISNUMBER(SEARCH("C", 'Dry_Litterbag Placem_Collection'!T85)),"YES","NO")</f>
        <v>NO</v>
      </c>
      <c r="AN304" s="267" t="str">
        <f>IF(ISNUMBER(SEARCH("H", 'Dry_Litterbag Placem_Collection'!T85)),"YES","NO")</f>
        <v>NO</v>
      </c>
      <c r="AO304" s="267" t="str">
        <f>IF(ISNUMBER(SEARCH("R", 'Dry_Litterbag Placem_Collection'!T85)),"YES","NO")</f>
        <v>NO</v>
      </c>
    </row>
    <row r="305" spans="1:41" ht="15" customHeight="1">
      <c r="A305" s="259" t="s">
        <v>2643</v>
      </c>
      <c r="B305" s="260">
        <f>'Dry_Litterbag Placem_Collection'!A86</f>
        <v>84</v>
      </c>
      <c r="C305" s="260" t="str">
        <f>'Dry_Litterbag Placem_Collection'!B86</f>
        <v>Maswa</v>
      </c>
      <c r="D305" s="260" t="s">
        <v>2643</v>
      </c>
      <c r="E305" s="260" t="s">
        <v>2645</v>
      </c>
      <c r="F305" s="260">
        <v>3</v>
      </c>
      <c r="G305" s="260" t="s">
        <v>3813</v>
      </c>
      <c r="H305" s="261" t="str">
        <f>'Dry_Litterbag Placem_Collection'!C86</f>
        <v>Dry_W3_T4</v>
      </c>
      <c r="I305" s="262" t="s">
        <v>2525</v>
      </c>
      <c r="J305" s="269" t="s">
        <v>298</v>
      </c>
      <c r="K305" s="260" t="str">
        <f>IF(ISBLANK('Dry_Litterbag Placem_Collection'!K86),"","R"&amp;""&amp;'Dry_Litterbag Placem_Collection'!K86)</f>
        <v>R778</v>
      </c>
      <c r="L305" s="264">
        <f>IFERROR(INDEX('Green_rooibos initial weight'!$C$5:$C$2000,MATCH(K305, 'Green_rooibos initial weight'!$A$5:$A$2000,0)),"")</f>
        <v>2.2450000000000001</v>
      </c>
      <c r="M305" s="264">
        <f>IFERROR(L305-(TBIcalc!$Q$9+TBIcalc!$Q$10),"")</f>
        <v>1.9952000000000001</v>
      </c>
      <c r="N305" s="385">
        <f>AVERAGE(Ashed_controlls!$K$12:$K$14)</f>
        <v>2.2816647271287041</v>
      </c>
      <c r="O305" s="264">
        <f t="shared" si="21"/>
        <v>1.9496762253643283</v>
      </c>
      <c r="P305" s="264">
        <f>IFERROR(INDEX('Both teabags AfterDry'!$D$2:$D$2000,MATCH(K305,'Both teabags AfterDry'!$A$2:$A$2000,0)),"")</f>
        <v>1.9495</v>
      </c>
      <c r="Q305" s="264">
        <f>IFERROR(IF(P305&gt;0,P305-(TBIcalc!$Q$9),""),"")</f>
        <v>1.7988999999999999</v>
      </c>
      <c r="R305" s="275">
        <f>IFERROR(INDEX('Ashed teabags dry'!$K$2:$K$2000,MATCH(K305,'Ashed teabags dry'!$A$2:$A$2000,0)),"")</f>
        <v>2.5398406374508733</v>
      </c>
      <c r="S305" s="275">
        <f t="shared" si="22"/>
        <v>1.7532108067728962</v>
      </c>
      <c r="T305" s="265">
        <f>IF('Dry_Litterbag Placem_Collection'!E86="","",'Dry_Litterbag Placem_Collection'!E86)</f>
        <v>42937</v>
      </c>
      <c r="U305" s="265">
        <f>IF('Dry_Litterbag Placem_Collection'!G86="","",'Dry_Litterbag Placem_Collection'!G86)</f>
        <v>43006</v>
      </c>
      <c r="V305" s="266">
        <f t="shared" si="20"/>
        <v>69</v>
      </c>
      <c r="W305" s="264">
        <f t="shared" si="23"/>
        <v>0.19630000000000014</v>
      </c>
      <c r="X305" s="264">
        <f t="shared" si="24"/>
        <v>0.19646541859143207</v>
      </c>
      <c r="Y305" s="268">
        <f>IFERROR(INDEX(Rainfall_Dry!$O$2:$O$217,MATCH(B305, Rainfall_Dry!$A$2:$A$217,0)),"")</f>
        <v>12.563016860999999</v>
      </c>
      <c r="Z305" s="257">
        <v>38.691629007962128</v>
      </c>
      <c r="AA305" s="257">
        <v>26.81299763288143</v>
      </c>
      <c r="AB305" s="257">
        <v>34.495373359156439</v>
      </c>
      <c r="AC305" s="258" t="s">
        <v>2659</v>
      </c>
      <c r="AD305" s="257">
        <v>5.5483587974371602</v>
      </c>
      <c r="AE305">
        <f>IF('WetLitterbags placem_collection'!AB86="","",'WetLitterbags placem_collection'!AB86)</f>
        <v>5.5</v>
      </c>
      <c r="AF305">
        <f>IF('WetLitterbags placem_collection'!Z86="","",'WetLitterbags placem_collection'!Z86)</f>
        <v>55.8</v>
      </c>
      <c r="AG305" s="243" t="str">
        <f>IF('WetLitterbags placem_collection'!AA86="","",'WetLitterbags placem_collection'!AA86)</f>
        <v>M</v>
      </c>
      <c r="AH305">
        <f>IF('WetLitterbags placem_collection'!AC86="","",'WetLitterbags placem_collection'!AC86)</f>
        <v>1</v>
      </c>
      <c r="AI305">
        <f>IFERROR(AVERAGE('Dry_Litterbag Placem_Collection'!O86,'Dry_Litterbag Placem_Collection'!R86),"")</f>
        <v>10.15</v>
      </c>
      <c r="AJ305" s="268">
        <f>IFERROR(AVERAGE('Dry_Litterbag Placem_Collection'!N86,'Dry_Litterbag Placem_Collection'!Q86),"")</f>
        <v>26.549999999999997</v>
      </c>
      <c r="AK305" s="267">
        <f>INDEX(Coordinates!$B$2:$B$197,MATCH(H305,Coordinates!$J$2:$J$197,0))</f>
        <v>-3.295795005</v>
      </c>
      <c r="AL305" s="267">
        <f>INDEX(Coordinates!$C$2:$C$197,MATCH(H305,Coordinates!$J$2:$J$197,0))</f>
        <v>34.85232001</v>
      </c>
      <c r="AM305" s="267" t="str">
        <f>IF(ISNUMBER(SEARCH("C", 'Dry_Litterbag Placem_Collection'!T86)),"YES","NO")</f>
        <v>NO</v>
      </c>
      <c r="AN305" s="267" t="str">
        <f>IF(ISNUMBER(SEARCH("H", 'Dry_Litterbag Placem_Collection'!T86)),"YES","NO")</f>
        <v>NO</v>
      </c>
      <c r="AO305" s="267" t="str">
        <f>IF(ISNUMBER(SEARCH("R", 'Dry_Litterbag Placem_Collection'!T86)),"YES","NO")</f>
        <v>NO</v>
      </c>
    </row>
    <row r="306" spans="1:41" ht="15" customHeight="1">
      <c r="A306" s="259" t="s">
        <v>2643</v>
      </c>
      <c r="B306" s="260">
        <f>'Dry_Litterbag Placem_Collection'!A87</f>
        <v>85</v>
      </c>
      <c r="C306" s="260" t="str">
        <f>'Dry_Litterbag Placem_Collection'!B87</f>
        <v>Maswa</v>
      </c>
      <c r="D306" s="260" t="s">
        <v>2643</v>
      </c>
      <c r="E306" s="260" t="s">
        <v>2645</v>
      </c>
      <c r="F306" s="260">
        <v>3</v>
      </c>
      <c r="G306" s="260" t="s">
        <v>3813</v>
      </c>
      <c r="H306" s="261" t="str">
        <f>'Dry_Litterbag Placem_Collection'!C87</f>
        <v>Dry_W3_T5</v>
      </c>
      <c r="I306" s="262" t="s">
        <v>2525</v>
      </c>
      <c r="J306" s="269" t="s">
        <v>298</v>
      </c>
      <c r="K306" s="260" t="str">
        <f>IF(ISBLANK('Dry_Litterbag Placem_Collection'!K87),"","R"&amp;""&amp;'Dry_Litterbag Placem_Collection'!K87)</f>
        <v/>
      </c>
      <c r="L306" s="264" t="str">
        <f>IFERROR(INDEX('Green_rooibos initial weight'!$C$5:$C$2000,MATCH(K306, 'Green_rooibos initial weight'!$A$5:$A$2000,0)),"")</f>
        <v/>
      </c>
      <c r="M306" s="264" t="str">
        <f>IFERROR(L306-(TBIcalc!$Q$9+TBIcalc!$Q$10),"")</f>
        <v/>
      </c>
      <c r="N306" s="385">
        <f>AVERAGE(Ashed_controlls!$K$12:$K$14)</f>
        <v>2.2816647271287041</v>
      </c>
      <c r="O306" s="264" t="str">
        <f t="shared" si="21"/>
        <v/>
      </c>
      <c r="P306" s="264" t="str">
        <f>IFERROR(INDEX('Both teabags AfterDry'!$D$2:$D$2000,MATCH(K306,'Both teabags AfterDry'!$A$2:$A$2000,0)),"")</f>
        <v/>
      </c>
      <c r="Q306" s="264" t="str">
        <f>IFERROR(IF(P306&gt;0,P306-(TBIcalc!$Q$9),""),"")</f>
        <v/>
      </c>
      <c r="R306" s="275" t="str">
        <f>IFERROR(INDEX('Ashed teabags dry'!$K$2:$K$2000,MATCH(K306,'Ashed teabags dry'!$A$2:$A$2000,0)),"")</f>
        <v/>
      </c>
      <c r="S306" s="275" t="str">
        <f t="shared" si="22"/>
        <v/>
      </c>
      <c r="T306" s="265" t="str">
        <f>IF('Dry_Litterbag Placem_Collection'!E87="","",'Dry_Litterbag Placem_Collection'!E87)</f>
        <v/>
      </c>
      <c r="U306" s="265" t="str">
        <f>IF('Dry_Litterbag Placem_Collection'!G87="","",'Dry_Litterbag Placem_Collection'!G87)</f>
        <v/>
      </c>
      <c r="V306" s="266" t="str">
        <f t="shared" si="20"/>
        <v/>
      </c>
      <c r="W306" s="264" t="str">
        <f t="shared" si="23"/>
        <v/>
      </c>
      <c r="X306" s="264" t="str">
        <f t="shared" si="24"/>
        <v/>
      </c>
      <c r="Y306" s="268" t="str">
        <f>IFERROR(INDEX(Rainfall_Dry!$O$2:$O$217,MATCH(B306, Rainfall_Dry!$A$2:$A$217,0)),"")</f>
        <v/>
      </c>
      <c r="Z306" s="257">
        <v>38.691629007962128</v>
      </c>
      <c r="AA306" s="257">
        <v>26.81299763288143</v>
      </c>
      <c r="AB306" s="257">
        <v>34.495373359156439</v>
      </c>
      <c r="AC306" s="258" t="s">
        <v>2659</v>
      </c>
      <c r="AD306" s="257">
        <v>6.5483587974371602</v>
      </c>
      <c r="AE306">
        <f>IF('WetLitterbags placem_collection'!AB87="","",'WetLitterbags placem_collection'!AB87)</f>
        <v>8.6</v>
      </c>
      <c r="AF306">
        <f>IF('WetLitterbags placem_collection'!Z87="","",'WetLitterbags placem_collection'!Z87)</f>
        <v>3.8</v>
      </c>
      <c r="AG306" s="243" t="str">
        <f>IF('WetLitterbags placem_collection'!AA87="","",'WetLitterbags placem_collection'!AA87)</f>
        <v>O</v>
      </c>
      <c r="AH306">
        <f>IF('WetLitterbags placem_collection'!AC87="","",'WetLitterbags placem_collection'!AC87)</f>
        <v>0</v>
      </c>
      <c r="AI306" t="str">
        <f>IFERROR(AVERAGE('Dry_Litterbag Placem_Collection'!O87,'Dry_Litterbag Placem_Collection'!R87),"")</f>
        <v/>
      </c>
      <c r="AJ306" s="268" t="str">
        <f>IFERROR(AVERAGE('Dry_Litterbag Placem_Collection'!N87,'Dry_Litterbag Placem_Collection'!Q87),"")</f>
        <v/>
      </c>
      <c r="AK306" s="267">
        <f>INDEX(Coordinates!$B$2:$B$197,MATCH(H306,Coordinates!$J$2:$J$197,0))</f>
        <v>-3.2957100119999998</v>
      </c>
      <c r="AL306" s="267">
        <f>INDEX(Coordinates!$C$2:$C$197,MATCH(H306,Coordinates!$J$2:$J$197,0))</f>
        <v>34.852283970000002</v>
      </c>
      <c r="AM306" s="267" t="str">
        <f>IF(ISNUMBER(SEARCH("C", 'Dry_Litterbag Placem_Collection'!T87)),"YES","NO")</f>
        <v>NO</v>
      </c>
      <c r="AN306" s="267" t="str">
        <f>IF(ISNUMBER(SEARCH("H", 'Dry_Litterbag Placem_Collection'!T87)),"YES","NO")</f>
        <v>NO</v>
      </c>
      <c r="AO306" s="267" t="str">
        <f>IF(ISNUMBER(SEARCH("R", 'Dry_Litterbag Placem_Collection'!T87)),"YES","NO")</f>
        <v>NO</v>
      </c>
    </row>
    <row r="307" spans="1:41" ht="15" customHeight="1">
      <c r="A307" s="259" t="s">
        <v>2643</v>
      </c>
      <c r="B307" s="260">
        <f>'Dry_Litterbag Placem_Collection'!A88</f>
        <v>86</v>
      </c>
      <c r="C307" s="260" t="str">
        <f>'Dry_Litterbag Placem_Collection'!B88</f>
        <v>Maswa</v>
      </c>
      <c r="D307" s="260" t="s">
        <v>2643</v>
      </c>
      <c r="E307" s="260" t="s">
        <v>2645</v>
      </c>
      <c r="F307" s="260">
        <v>3</v>
      </c>
      <c r="G307" s="260" t="s">
        <v>3813</v>
      </c>
      <c r="H307" s="261" t="str">
        <f>'Dry_Litterbag Placem_Collection'!C88</f>
        <v>Dry_W3_T6</v>
      </c>
      <c r="I307" s="262" t="s">
        <v>2525</v>
      </c>
      <c r="J307" s="269" t="s">
        <v>298</v>
      </c>
      <c r="K307" s="260" t="str">
        <f>IF(ISBLANK('Dry_Litterbag Placem_Collection'!K88),"","R"&amp;""&amp;'Dry_Litterbag Placem_Collection'!K88)</f>
        <v>R738</v>
      </c>
      <c r="L307" s="264">
        <f>IFERROR(INDEX('Green_rooibos initial weight'!$C$5:$C$2000,MATCH(K307, 'Green_rooibos initial weight'!$A$5:$A$2000,0)),"")</f>
        <v>2.1890000000000001</v>
      </c>
      <c r="M307" s="264">
        <f>IFERROR(L307-(TBIcalc!$Q$9+TBIcalc!$Q$10),"")</f>
        <v>1.9392</v>
      </c>
      <c r="N307" s="385">
        <f>AVERAGE(Ashed_controlls!$K$12:$K$14)</f>
        <v>2.2816647271287041</v>
      </c>
      <c r="O307" s="264">
        <f t="shared" si="21"/>
        <v>1.8949539576115202</v>
      </c>
      <c r="P307" s="264" t="str">
        <f>IFERROR(INDEX('Both teabags AfterDry'!$D$2:$D$2000,MATCH(K307,'Both teabags AfterDry'!$A$2:$A$2000,0)),"")</f>
        <v/>
      </c>
      <c r="Q307" s="264" t="str">
        <f>IFERROR(IF(P307&gt;0,P307-(TBIcalc!$Q$9),""),"")</f>
        <v/>
      </c>
      <c r="R307" s="275" t="str">
        <f>IFERROR(INDEX('Ashed teabags dry'!$K$2:$K$2000,MATCH(K307,'Ashed teabags dry'!$A$2:$A$2000,0)),"")</f>
        <v/>
      </c>
      <c r="S307" s="275" t="str">
        <f t="shared" si="22"/>
        <v/>
      </c>
      <c r="T307" s="265">
        <f>IF('Dry_Litterbag Placem_Collection'!E88="","",'Dry_Litterbag Placem_Collection'!E88)</f>
        <v>42937</v>
      </c>
      <c r="U307" s="265">
        <f>IF('Dry_Litterbag Placem_Collection'!G88="","",'Dry_Litterbag Placem_Collection'!G88)</f>
        <v>43006</v>
      </c>
      <c r="V307" s="266">
        <f t="shared" si="20"/>
        <v>69</v>
      </c>
      <c r="W307" s="264" t="str">
        <f t="shared" si="23"/>
        <v/>
      </c>
      <c r="X307" s="264" t="str">
        <f t="shared" si="24"/>
        <v/>
      </c>
      <c r="Y307" s="268">
        <f>IFERROR(INDEX(Rainfall_Dry!$O$2:$O$217,MATCH(B307, Rainfall_Dry!$A$2:$A$217,0)),"")</f>
        <v>12.563016860999999</v>
      </c>
      <c r="Z307" s="257">
        <v>38.691629007962128</v>
      </c>
      <c r="AA307" s="257">
        <v>26.81299763288143</v>
      </c>
      <c r="AB307" s="257">
        <v>34.495373359156439</v>
      </c>
      <c r="AC307" s="258" t="s">
        <v>2659</v>
      </c>
      <c r="AD307" s="257">
        <v>7.5483587974371602</v>
      </c>
      <c r="AE307">
        <f>IF('WetLitterbags placem_collection'!AB88="","",'WetLitterbags placem_collection'!AB88)</f>
        <v>3.7</v>
      </c>
      <c r="AF307">
        <f>IF('WetLitterbags placem_collection'!Z88="","",'WetLitterbags placem_collection'!Z88)</f>
        <v>7.5</v>
      </c>
      <c r="AG307" s="243" t="str">
        <f>IF('WetLitterbags placem_collection'!AA88="","",'WetLitterbags placem_collection'!AA88)</f>
        <v>O</v>
      </c>
      <c r="AH307">
        <f>IF('WetLitterbags placem_collection'!AC88="","",'WetLitterbags placem_collection'!AC88)</f>
        <v>0</v>
      </c>
      <c r="AI307">
        <f>IFERROR(AVERAGE('Dry_Litterbag Placem_Collection'!O88,'Dry_Litterbag Placem_Collection'!R88),"")</f>
        <v>11.75</v>
      </c>
      <c r="AJ307" s="268">
        <f>IFERROR(AVERAGE('Dry_Litterbag Placem_Collection'!N88,'Dry_Litterbag Placem_Collection'!Q88),"")</f>
        <v>26.9</v>
      </c>
      <c r="AK307" s="267">
        <f>INDEX(Coordinates!$B$2:$B$197,MATCH(H307,Coordinates!$J$2:$J$197,0))</f>
        <v>-3.2956140399999998</v>
      </c>
      <c r="AL307" s="267">
        <f>INDEX(Coordinates!$C$2:$C$197,MATCH(H307,Coordinates!$J$2:$J$197,0))</f>
        <v>34.852137030000002</v>
      </c>
      <c r="AM307" s="267" t="str">
        <f>IF(ISNUMBER(SEARCH("C", 'Dry_Litterbag Placem_Collection'!T88)),"YES","NO")</f>
        <v>NO</v>
      </c>
      <c r="AN307" s="267" t="str">
        <f>IF(ISNUMBER(SEARCH("H", 'Dry_Litterbag Placem_Collection'!T88)),"YES","NO")</f>
        <v>NO</v>
      </c>
      <c r="AO307" s="267" t="str">
        <f>IF(ISNUMBER(SEARCH("R", 'Dry_Litterbag Placem_Collection'!T88)),"YES","NO")</f>
        <v>NO</v>
      </c>
    </row>
    <row r="308" spans="1:41" ht="15" customHeight="1">
      <c r="A308" s="259" t="s">
        <v>2643</v>
      </c>
      <c r="B308" s="260">
        <f>'Dry_Litterbag Placem_Collection'!A89</f>
        <v>87</v>
      </c>
      <c r="C308" s="260" t="str">
        <f>'Dry_Litterbag Placem_Collection'!B89</f>
        <v>Maswa</v>
      </c>
      <c r="D308" s="260" t="s">
        <v>2643</v>
      </c>
      <c r="E308" s="260" t="s">
        <v>2645</v>
      </c>
      <c r="F308" s="260">
        <v>3</v>
      </c>
      <c r="G308" s="260" t="s">
        <v>3813</v>
      </c>
      <c r="H308" s="261" t="str">
        <f>'Dry_Litterbag Placem_Collection'!C89</f>
        <v>Dry_W3_T7</v>
      </c>
      <c r="I308" s="262" t="s">
        <v>2525</v>
      </c>
      <c r="J308" s="269" t="s">
        <v>298</v>
      </c>
      <c r="K308" s="260" t="str">
        <f>IF(ISBLANK('Dry_Litterbag Placem_Collection'!K89),"","R"&amp;""&amp;'Dry_Litterbag Placem_Collection'!K89)</f>
        <v>R394</v>
      </c>
      <c r="L308" s="264">
        <f>IFERROR(INDEX('Green_rooibos initial weight'!$C$5:$C$2000,MATCH(K308, 'Green_rooibos initial weight'!$A$5:$A$2000,0)),"")</f>
        <v>2.1800000000000002</v>
      </c>
      <c r="M308" s="264">
        <f>IFERROR(L308-(TBIcalc!$Q$9+TBIcalc!$Q$10),"")</f>
        <v>1.9302000000000001</v>
      </c>
      <c r="N308" s="385">
        <f>AVERAGE(Ashed_controlls!$K$12:$K$14)</f>
        <v>2.2816647271287041</v>
      </c>
      <c r="O308" s="264">
        <f t="shared" si="21"/>
        <v>1.8861593074369618</v>
      </c>
      <c r="P308" s="264">
        <f>IFERROR(INDEX('Both teabags AfterDry'!$D$2:$D$2000,MATCH(K308,'Both teabags AfterDry'!$A$2:$A$2000,0)),"")</f>
        <v>1.9392</v>
      </c>
      <c r="Q308" s="264">
        <f>IFERROR(IF(P308&gt;0,P308-(TBIcalc!$Q$9),""),"")</f>
        <v>1.7886</v>
      </c>
      <c r="R308" s="275">
        <f>IFERROR(INDEX('Ashed teabags dry'!$K$2:$K$2000,MATCH(K308,'Ashed teabags dry'!$A$2:$A$2000,0)),"")</f>
        <v>3.1437125748499946</v>
      </c>
      <c r="S308" s="275">
        <f t="shared" si="22"/>
        <v>1.732371556886233</v>
      </c>
      <c r="T308" s="265">
        <f>IF('Dry_Litterbag Placem_Collection'!E89="","",'Dry_Litterbag Placem_Collection'!E89)</f>
        <v>42937</v>
      </c>
      <c r="U308" s="265">
        <f>IF('Dry_Litterbag Placem_Collection'!G89="","",'Dry_Litterbag Placem_Collection'!G89)</f>
        <v>43006</v>
      </c>
      <c r="V308" s="266">
        <f t="shared" si="20"/>
        <v>69</v>
      </c>
      <c r="W308" s="264">
        <f t="shared" si="23"/>
        <v>0.14160000000000017</v>
      </c>
      <c r="X308" s="264">
        <f t="shared" si="24"/>
        <v>0.1537877505507288</v>
      </c>
      <c r="Y308" s="268">
        <f>IFERROR(INDEX(Rainfall_Dry!$O$2:$O$217,MATCH(B308, Rainfall_Dry!$A$2:$A$217,0)),"")</f>
        <v>12.563016860999999</v>
      </c>
      <c r="Z308" s="257">
        <v>38.691629007962128</v>
      </c>
      <c r="AA308" s="257">
        <v>26.81299763288143</v>
      </c>
      <c r="AB308" s="257">
        <v>34.495373359156439</v>
      </c>
      <c r="AC308" s="258" t="s">
        <v>2659</v>
      </c>
      <c r="AD308" s="257">
        <v>8.5483587974371602</v>
      </c>
      <c r="AE308">
        <f>IF('WetLitterbags placem_collection'!AB89="","",'WetLitterbags placem_collection'!AB89)</f>
        <v>7.5</v>
      </c>
      <c r="AF308">
        <f>IF('WetLitterbags placem_collection'!Z89="","",'WetLitterbags placem_collection'!Z89)</f>
        <v>12.6</v>
      </c>
      <c r="AG308" s="243" t="str">
        <f>IF('WetLitterbags placem_collection'!AA89="","",'WetLitterbags placem_collection'!AA89)</f>
        <v>O</v>
      </c>
      <c r="AH308">
        <f>IF('WetLitterbags placem_collection'!AC89="","",'WetLitterbags placem_collection'!AC89)</f>
        <v>1</v>
      </c>
      <c r="AI308">
        <f>IFERROR(AVERAGE('Dry_Litterbag Placem_Collection'!O89,'Dry_Litterbag Placem_Collection'!R89),"")</f>
        <v>10.65</v>
      </c>
      <c r="AJ308" s="268">
        <f>IFERROR(AVERAGE('Dry_Litterbag Placem_Collection'!N89,'Dry_Litterbag Placem_Collection'!Q89),"")</f>
        <v>24.3</v>
      </c>
      <c r="AK308" s="267">
        <f>INDEX(Coordinates!$B$2:$B$197,MATCH(H308,Coordinates!$J$2:$J$197,0))</f>
        <v>-3.295904975</v>
      </c>
      <c r="AL308" s="267">
        <f>INDEX(Coordinates!$C$2:$C$197,MATCH(H308,Coordinates!$J$2:$J$197,0))</f>
        <v>34.852136029999997</v>
      </c>
      <c r="AM308" s="267" t="str">
        <f>IF(ISNUMBER(SEARCH("C", 'Dry_Litterbag Placem_Collection'!T89)),"YES","NO")</f>
        <v>NO</v>
      </c>
      <c r="AN308" s="267" t="str">
        <f>IF(ISNUMBER(SEARCH("H", 'Dry_Litterbag Placem_Collection'!T89)),"YES","NO")</f>
        <v>NO</v>
      </c>
      <c r="AO308" s="267" t="str">
        <f>IF(ISNUMBER(SEARCH("R", 'Dry_Litterbag Placem_Collection'!T89)),"YES","NO")</f>
        <v>NO</v>
      </c>
    </row>
    <row r="309" spans="1:41" ht="15" customHeight="1">
      <c r="A309" s="259" t="s">
        <v>2643</v>
      </c>
      <c r="B309" s="260">
        <f>'Dry_Litterbag Placem_Collection'!A90</f>
        <v>88</v>
      </c>
      <c r="C309" s="260" t="str">
        <f>'Dry_Litterbag Placem_Collection'!B90</f>
        <v>Maswa</v>
      </c>
      <c r="D309" s="260" t="s">
        <v>2643</v>
      </c>
      <c r="E309" s="260" t="s">
        <v>2645</v>
      </c>
      <c r="F309" s="260">
        <v>3</v>
      </c>
      <c r="G309" s="260" t="s">
        <v>3813</v>
      </c>
      <c r="H309" s="261" t="str">
        <f>'Dry_Litterbag Placem_Collection'!C90</f>
        <v>Dry_W3_T8</v>
      </c>
      <c r="I309" s="262" t="s">
        <v>2525</v>
      </c>
      <c r="J309" s="269" t="s">
        <v>298</v>
      </c>
      <c r="K309" s="260" t="str">
        <f>IF(ISBLANK('Dry_Litterbag Placem_Collection'!K90),"","R"&amp;""&amp;'Dry_Litterbag Placem_Collection'!K90)</f>
        <v>R810</v>
      </c>
      <c r="L309" s="264">
        <f>IFERROR(INDEX('Green_rooibos initial weight'!$C$5:$C$2000,MATCH(K309, 'Green_rooibos initial weight'!$A$5:$A$2000,0)),"")</f>
        <v>2.2109999999999999</v>
      </c>
      <c r="M309" s="264">
        <f>IFERROR(L309-(TBIcalc!$Q$9+TBIcalc!$Q$10),"")</f>
        <v>1.9611999999999998</v>
      </c>
      <c r="N309" s="385">
        <f>AVERAGE(Ashed_controlls!$K$12:$K$14)</f>
        <v>2.2816647271287041</v>
      </c>
      <c r="O309" s="264">
        <f t="shared" si="21"/>
        <v>1.9164519913715516</v>
      </c>
      <c r="P309" s="264">
        <f>IFERROR(INDEX('Both teabags AfterDry'!$D$2:$D$2000,MATCH(K309,'Both teabags AfterDry'!$A$2:$A$2000,0)),"")</f>
        <v>1.9188000000000001</v>
      </c>
      <c r="Q309" s="264">
        <f>IFERROR(IF(P309&gt;0,P309-(TBIcalc!$Q$9),""),"")</f>
        <v>1.7682</v>
      </c>
      <c r="R309" s="275">
        <f>IFERROR(INDEX('Ashed teabags dry'!$K$2:$K$2000,MATCH(K309,'Ashed teabags dry'!$A$2:$A$2000,0)),"")</f>
        <v>2.6202953787519343</v>
      </c>
      <c r="S309" s="275">
        <f t="shared" si="22"/>
        <v>1.7218679371129082</v>
      </c>
      <c r="T309" s="265">
        <f>IF('Dry_Litterbag Placem_Collection'!E90="","",'Dry_Litterbag Placem_Collection'!E90)</f>
        <v>42937</v>
      </c>
      <c r="U309" s="265">
        <f>IF('Dry_Litterbag Placem_Collection'!G90="","",'Dry_Litterbag Placem_Collection'!G90)</f>
        <v>43006</v>
      </c>
      <c r="V309" s="266">
        <f t="shared" si="20"/>
        <v>69</v>
      </c>
      <c r="W309" s="264">
        <f t="shared" si="23"/>
        <v>0.19299999999999984</v>
      </c>
      <c r="X309" s="264">
        <f t="shared" si="24"/>
        <v>0.19458405425864345</v>
      </c>
      <c r="Y309" s="268">
        <f>IFERROR(INDEX(Rainfall_Dry!$O$2:$O$217,MATCH(B309, Rainfall_Dry!$A$2:$A$217,0)),"")</f>
        <v>12.563016860999999</v>
      </c>
      <c r="Z309" s="257">
        <v>38.691629007962128</v>
      </c>
      <c r="AA309" s="257">
        <v>26.81299763288143</v>
      </c>
      <c r="AB309" s="257">
        <v>34.495373359156439</v>
      </c>
      <c r="AC309" s="258" t="s">
        <v>2659</v>
      </c>
      <c r="AD309" s="257">
        <v>9.5483587974371602</v>
      </c>
      <c r="AE309" t="str">
        <f>IF('WetLitterbags placem_collection'!AB90="","",'WetLitterbags placem_collection'!AB90)</f>
        <v/>
      </c>
      <c r="AF309" t="str">
        <f>IF('WetLitterbags placem_collection'!Z90="","",'WetLitterbags placem_collection'!Z90)</f>
        <v/>
      </c>
      <c r="AG309" s="243" t="str">
        <f>IF('WetLitterbags placem_collection'!AA90="","",'WetLitterbags placem_collection'!AA90)</f>
        <v/>
      </c>
      <c r="AH309" t="str">
        <f>IF('WetLitterbags placem_collection'!AC90="","",'WetLitterbags placem_collection'!AC90)</f>
        <v/>
      </c>
      <c r="AI309">
        <f>IFERROR(AVERAGE('Dry_Litterbag Placem_Collection'!O90,'Dry_Litterbag Placem_Collection'!R90),"")</f>
        <v>11.7</v>
      </c>
      <c r="AJ309" s="268">
        <f>IFERROR(AVERAGE('Dry_Litterbag Placem_Collection'!N90,'Dry_Litterbag Placem_Collection'!Q90),"")</f>
        <v>26.049999999999997</v>
      </c>
      <c r="AK309" s="267">
        <f>INDEX(Coordinates!$B$2:$B$197,MATCH(H309,Coordinates!$J$2:$J$197,0))</f>
        <v>-3.2959530039999998</v>
      </c>
      <c r="AL309" s="267">
        <f>INDEX(Coordinates!$C$2:$C$197,MATCH(H309,Coordinates!$J$2:$J$197,0))</f>
        <v>34.85242504</v>
      </c>
      <c r="AM309" s="267" t="str">
        <f>IF(ISNUMBER(SEARCH("C", 'Dry_Litterbag Placem_Collection'!T90)),"YES","NO")</f>
        <v>NO</v>
      </c>
      <c r="AN309" s="267" t="str">
        <f>IF(ISNUMBER(SEARCH("H", 'Dry_Litterbag Placem_Collection'!T90)),"YES","NO")</f>
        <v>NO</v>
      </c>
      <c r="AO309" s="267" t="str">
        <f>IF(ISNUMBER(SEARCH("R", 'Dry_Litterbag Placem_Collection'!T90)),"YES","NO")</f>
        <v>NO</v>
      </c>
    </row>
    <row r="310" spans="1:41" ht="15" customHeight="1">
      <c r="A310" s="259" t="s">
        <v>2643</v>
      </c>
      <c r="B310" s="260">
        <f>'Dry_Litterbag Placem_Collection'!A91</f>
        <v>89</v>
      </c>
      <c r="C310" s="260" t="str">
        <f>'Dry_Litterbag Placem_Collection'!B91</f>
        <v>Maswa</v>
      </c>
      <c r="D310" s="260" t="s">
        <v>2643</v>
      </c>
      <c r="E310" s="260" t="s">
        <v>2645</v>
      </c>
      <c r="F310" s="260">
        <v>4</v>
      </c>
      <c r="G310" s="260" t="s">
        <v>3814</v>
      </c>
      <c r="H310" s="261" t="str">
        <f>'Dry_Litterbag Placem_Collection'!C91</f>
        <v>Dry_W4_T1</v>
      </c>
      <c r="I310" s="262" t="s">
        <v>2525</v>
      </c>
      <c r="J310" s="269" t="s">
        <v>298</v>
      </c>
      <c r="K310" s="260" t="str">
        <f>IF(ISBLANK('Dry_Litterbag Placem_Collection'!K91),"","R"&amp;""&amp;'Dry_Litterbag Placem_Collection'!K91)</f>
        <v>R818</v>
      </c>
      <c r="L310" s="264">
        <f>IFERROR(INDEX('Green_rooibos initial weight'!$C$5:$C$2000,MATCH(K310, 'Green_rooibos initial weight'!$A$5:$A$2000,0)),"")</f>
        <v>2.1680000000000001</v>
      </c>
      <c r="M310" s="264">
        <f>IFERROR(L310-(TBIcalc!$Q$9+TBIcalc!$Q$10),"")</f>
        <v>1.9182000000000001</v>
      </c>
      <c r="N310" s="385">
        <f>AVERAGE(Ashed_controlls!$K$12:$K$14)</f>
        <v>2.2816647271287041</v>
      </c>
      <c r="O310" s="264">
        <f t="shared" si="21"/>
        <v>1.8744331072042173</v>
      </c>
      <c r="P310" s="264">
        <f>IFERROR(INDEX('Both teabags AfterDry'!$D$2:$D$2000,MATCH(K310,'Both teabags AfterDry'!$A$2:$A$2000,0)),"")</f>
        <v>1.9155</v>
      </c>
      <c r="Q310" s="264">
        <f>IFERROR(IF(P310&gt;0,P310-(TBIcalc!$Q$9),""),"")</f>
        <v>1.7648999999999999</v>
      </c>
      <c r="R310" s="275">
        <f>IFERROR(INDEX('Ashed teabags dry'!$K$2:$K$2000,MATCH(K310,'Ashed teabags dry'!$A$2:$A$2000,0)),"")</f>
        <v>2.8114396509937518</v>
      </c>
      <c r="S310" s="275">
        <f t="shared" si="22"/>
        <v>1.7152809015996111</v>
      </c>
      <c r="T310" s="265">
        <f>IF('Dry_Litterbag Placem_Collection'!E91="","",'Dry_Litterbag Placem_Collection'!E91)</f>
        <v>42937</v>
      </c>
      <c r="U310" s="265">
        <f>IF('Dry_Litterbag Placem_Collection'!G91="","",'Dry_Litterbag Placem_Collection'!G91)</f>
        <v>43006</v>
      </c>
      <c r="V310" s="266">
        <f t="shared" si="20"/>
        <v>69</v>
      </c>
      <c r="W310" s="264">
        <f t="shared" si="23"/>
        <v>0.15330000000000021</v>
      </c>
      <c r="X310" s="264">
        <f t="shared" si="24"/>
        <v>0.15915220560460619</v>
      </c>
      <c r="Y310" s="268">
        <f>IFERROR(INDEX(Rainfall_Dry!$O$2:$O$217,MATCH(B310, Rainfall_Dry!$A$2:$A$217,0)),"")</f>
        <v>12.563016860999999</v>
      </c>
      <c r="Z310" s="257">
        <v>28.145762029394</v>
      </c>
      <c r="AA310" s="257">
        <v>25.085564727199518</v>
      </c>
      <c r="AB310" s="257">
        <v>46.768673243406489</v>
      </c>
      <c r="AC310" s="258" t="s">
        <v>2654</v>
      </c>
      <c r="AD310" s="257">
        <v>2.1716214884179394</v>
      </c>
      <c r="AE310">
        <f>IF('WetLitterbags placem_collection'!AB91="","",'WetLitterbags placem_collection'!AB91)</f>
        <v>7.3</v>
      </c>
      <c r="AF310">
        <f>IF('WetLitterbags placem_collection'!Z91="","",'WetLitterbags placem_collection'!Z91)</f>
        <v>35.799999999999997</v>
      </c>
      <c r="AG310" s="243" t="str">
        <f>IF('WetLitterbags placem_collection'!AA91="","",'WetLitterbags placem_collection'!AA91)</f>
        <v>O</v>
      </c>
      <c r="AH310">
        <f>IF('WetLitterbags placem_collection'!AC91="","",'WetLitterbags placem_collection'!AC91)</f>
        <v>0</v>
      </c>
      <c r="AI310">
        <f>IFERROR(AVERAGE('Dry_Litterbag Placem_Collection'!O91,'Dry_Litterbag Placem_Collection'!R91),"")</f>
        <v>10.5</v>
      </c>
      <c r="AJ310" s="268">
        <f>IFERROR(AVERAGE('Dry_Litterbag Placem_Collection'!N91,'Dry_Litterbag Placem_Collection'!Q91),"")</f>
        <v>26.6</v>
      </c>
      <c r="AK310" s="267">
        <f>INDEX(Coordinates!$B$2:$B$197,MATCH(H310,Coordinates!$J$2:$J$197,0))</f>
        <v>-3.2966709980000002</v>
      </c>
      <c r="AL310" s="267">
        <f>INDEX(Coordinates!$C$2:$C$197,MATCH(H310,Coordinates!$J$2:$J$197,0))</f>
        <v>34.854407019999996</v>
      </c>
      <c r="AM310" s="267" t="str">
        <f>IF(ISNUMBER(SEARCH("C", 'Dry_Litterbag Placem_Collection'!T91)),"YES","NO")</f>
        <v>NO</v>
      </c>
      <c r="AN310" s="267" t="str">
        <f>IF(ISNUMBER(SEARCH("H", 'Dry_Litterbag Placem_Collection'!T91)),"YES","NO")</f>
        <v>NO</v>
      </c>
      <c r="AO310" s="267" t="str">
        <f>IF(ISNUMBER(SEARCH("R", 'Dry_Litterbag Placem_Collection'!T91)),"YES","NO")</f>
        <v>NO</v>
      </c>
    </row>
    <row r="311" spans="1:41" ht="15" customHeight="1">
      <c r="A311" s="259" t="s">
        <v>2643</v>
      </c>
      <c r="B311" s="260">
        <f>'Dry_Litterbag Placem_Collection'!A92</f>
        <v>90</v>
      </c>
      <c r="C311" s="260" t="str">
        <f>'Dry_Litterbag Placem_Collection'!B92</f>
        <v>Maswa</v>
      </c>
      <c r="D311" s="260" t="s">
        <v>2643</v>
      </c>
      <c r="E311" s="260" t="s">
        <v>2645</v>
      </c>
      <c r="F311" s="260">
        <v>4</v>
      </c>
      <c r="G311" s="260" t="s">
        <v>3814</v>
      </c>
      <c r="H311" s="261" t="str">
        <f>'Dry_Litterbag Placem_Collection'!C92</f>
        <v>Dry_W4_T2</v>
      </c>
      <c r="I311" s="262" t="s">
        <v>2525</v>
      </c>
      <c r="J311" s="269" t="s">
        <v>298</v>
      </c>
      <c r="K311" s="260" t="str">
        <f>IF(ISBLANK('Dry_Litterbag Placem_Collection'!K92),"","R"&amp;""&amp;'Dry_Litterbag Placem_Collection'!K92)</f>
        <v>R767</v>
      </c>
      <c r="L311" s="264">
        <f>IFERROR(INDEX('Green_rooibos initial weight'!$C$5:$C$2000,MATCH(K311, 'Green_rooibos initial weight'!$A$5:$A$2000,0)),"")</f>
        <v>2.1890000000000001</v>
      </c>
      <c r="M311" s="264">
        <f>IFERROR(L311-(TBIcalc!$Q$9+TBIcalc!$Q$10),"")</f>
        <v>1.9392</v>
      </c>
      <c r="N311" s="385">
        <f>AVERAGE(Ashed_controlls!$K$12:$K$14)</f>
        <v>2.2816647271287041</v>
      </c>
      <c r="O311" s="264">
        <f t="shared" si="21"/>
        <v>1.8949539576115202</v>
      </c>
      <c r="P311" s="264" t="str">
        <f>IFERROR(INDEX('Both teabags AfterDry'!$D$2:$D$2000,MATCH(K311,'Both teabags AfterDry'!$A$2:$A$2000,0)),"")</f>
        <v/>
      </c>
      <c r="Q311" s="264" t="str">
        <f>IFERROR(IF(P311&gt;0,P311-(TBIcalc!$Q$9),""),"")</f>
        <v/>
      </c>
      <c r="R311" s="275" t="str">
        <f>IFERROR(INDEX('Ashed teabags dry'!$K$2:$K$2000,MATCH(K311,'Ashed teabags dry'!$A$2:$A$2000,0)),"")</f>
        <v/>
      </c>
      <c r="S311" s="275" t="str">
        <f t="shared" si="22"/>
        <v/>
      </c>
      <c r="T311" s="265">
        <f>IF('Dry_Litterbag Placem_Collection'!E92="","",'Dry_Litterbag Placem_Collection'!E92)</f>
        <v>42937</v>
      </c>
      <c r="U311" s="265">
        <f>IF('Dry_Litterbag Placem_Collection'!G92="","",'Dry_Litterbag Placem_Collection'!G92)</f>
        <v>43006</v>
      </c>
      <c r="V311" s="266">
        <f t="shared" si="20"/>
        <v>69</v>
      </c>
      <c r="W311" s="264" t="str">
        <f t="shared" si="23"/>
        <v/>
      </c>
      <c r="X311" s="264" t="str">
        <f t="shared" si="24"/>
        <v/>
      </c>
      <c r="Y311" s="268">
        <f>IFERROR(INDEX(Rainfall_Dry!$O$2:$O$217,MATCH(B311, Rainfall_Dry!$A$2:$A$217,0)),"")</f>
        <v>12.563016860999999</v>
      </c>
      <c r="Z311" s="257">
        <v>28.145762029394</v>
      </c>
      <c r="AA311" s="257">
        <v>25.085564727199518</v>
      </c>
      <c r="AB311" s="257">
        <v>46.768673243406489</v>
      </c>
      <c r="AC311" s="258" t="s">
        <v>2654</v>
      </c>
      <c r="AD311" s="257">
        <v>3.1716214884179399</v>
      </c>
      <c r="AE311">
        <f>IF('WetLitterbags placem_collection'!AB92="","",'WetLitterbags placem_collection'!AB92)</f>
        <v>7.7</v>
      </c>
      <c r="AF311">
        <f>IF('WetLitterbags placem_collection'!Z92="","",'WetLitterbags placem_collection'!Z92)</f>
        <v>30.4</v>
      </c>
      <c r="AG311" s="243" t="str">
        <f>IF('WetLitterbags placem_collection'!AA92="","",'WetLitterbags placem_collection'!AA92)</f>
        <v>O</v>
      </c>
      <c r="AH311">
        <f>IF('WetLitterbags placem_collection'!AC92="","",'WetLitterbags placem_collection'!AC92)</f>
        <v>0</v>
      </c>
      <c r="AI311">
        <f>IFERROR(AVERAGE('Dry_Litterbag Placem_Collection'!O92,'Dry_Litterbag Placem_Collection'!R92),"")</f>
        <v>9.85</v>
      </c>
      <c r="AJ311" s="268">
        <f>IFERROR(AVERAGE('Dry_Litterbag Placem_Collection'!N92,'Dry_Litterbag Placem_Collection'!Q92),"")</f>
        <v>26.45</v>
      </c>
      <c r="AK311" s="267">
        <f>INDEX(Coordinates!$B$2:$B$197,MATCH(H311,Coordinates!$J$2:$J$197,0))</f>
        <v>-3.2966860009999999</v>
      </c>
      <c r="AL311" s="267">
        <f>INDEX(Coordinates!$C$2:$C$197,MATCH(H311,Coordinates!$J$2:$J$197,0))</f>
        <v>34.854371989999997</v>
      </c>
      <c r="AM311" s="267" t="str">
        <f>IF(ISNUMBER(SEARCH("C", 'Dry_Litterbag Placem_Collection'!T92)),"YES","NO")</f>
        <v>NO</v>
      </c>
      <c r="AN311" s="267" t="str">
        <f>IF(ISNUMBER(SEARCH("H", 'Dry_Litterbag Placem_Collection'!T92)),"YES","NO")</f>
        <v>NO</v>
      </c>
      <c r="AO311" s="267" t="str">
        <f>IF(ISNUMBER(SEARCH("R", 'Dry_Litterbag Placem_Collection'!T92)),"YES","NO")</f>
        <v>NO</v>
      </c>
    </row>
    <row r="312" spans="1:41" ht="15" customHeight="1">
      <c r="A312" s="259" t="s">
        <v>2643</v>
      </c>
      <c r="B312" s="260">
        <f>'Dry_Litterbag Placem_Collection'!A93</f>
        <v>91</v>
      </c>
      <c r="C312" s="260" t="str">
        <f>'Dry_Litterbag Placem_Collection'!B93</f>
        <v>Maswa</v>
      </c>
      <c r="D312" s="260" t="s">
        <v>2643</v>
      </c>
      <c r="E312" s="260" t="s">
        <v>2645</v>
      </c>
      <c r="F312" s="260">
        <v>4</v>
      </c>
      <c r="G312" s="260" t="s">
        <v>3814</v>
      </c>
      <c r="H312" s="261" t="str">
        <f>'Dry_Litterbag Placem_Collection'!C93</f>
        <v>Dry_W4_T3</v>
      </c>
      <c r="I312" s="262" t="s">
        <v>2525</v>
      </c>
      <c r="J312" s="269" t="s">
        <v>298</v>
      </c>
      <c r="K312" s="260" t="str">
        <f>IF(ISBLANK('Dry_Litterbag Placem_Collection'!K93),"","R"&amp;""&amp;'Dry_Litterbag Placem_Collection'!K93)</f>
        <v>R787</v>
      </c>
      <c r="L312" s="264">
        <f>IFERROR(INDEX('Green_rooibos initial weight'!$C$5:$C$2000,MATCH(K312, 'Green_rooibos initial weight'!$A$5:$A$2000,0)),"")</f>
        <v>2.1579999999999999</v>
      </c>
      <c r="M312" s="264">
        <f>IFERROR(L312-(TBIcalc!$Q$9+TBIcalc!$Q$10),"")</f>
        <v>1.9081999999999999</v>
      </c>
      <c r="N312" s="385">
        <f>AVERAGE(Ashed_controlls!$K$12:$K$14)</f>
        <v>2.2816647271287041</v>
      </c>
      <c r="O312" s="264">
        <f t="shared" si="21"/>
        <v>1.8646612736769299</v>
      </c>
      <c r="P312" s="264">
        <f>IFERROR(INDEX('Both teabags AfterDry'!$D$2:$D$2000,MATCH(K312,'Both teabags AfterDry'!$A$2:$A$2000,0)),"")</f>
        <v>1.8551</v>
      </c>
      <c r="Q312" s="264">
        <f>IFERROR(IF(P312&gt;0,P312-(TBIcalc!$Q$9),""),"")</f>
        <v>1.7044999999999999</v>
      </c>
      <c r="R312" s="275">
        <f>IFERROR(INDEX('Ashed teabags dry'!$K$2:$K$2000,MATCH(K312,'Ashed teabags dry'!$A$2:$A$2000,0)),"")</f>
        <v>3.5746606334838318</v>
      </c>
      <c r="S312" s="275">
        <f t="shared" si="22"/>
        <v>1.643569909502268</v>
      </c>
      <c r="T312" s="265">
        <f>IF('Dry_Litterbag Placem_Collection'!E93="","",'Dry_Litterbag Placem_Collection'!E93)</f>
        <v>42937</v>
      </c>
      <c r="U312" s="265">
        <f>IF('Dry_Litterbag Placem_Collection'!G93="","",'Dry_Litterbag Placem_Collection'!G93)</f>
        <v>43006</v>
      </c>
      <c r="V312" s="266">
        <f t="shared" si="20"/>
        <v>69</v>
      </c>
      <c r="W312" s="264">
        <f t="shared" si="23"/>
        <v>0.20369999999999999</v>
      </c>
      <c r="X312" s="264">
        <f t="shared" si="24"/>
        <v>0.22109136417466191</v>
      </c>
      <c r="Y312" s="268">
        <f>IFERROR(INDEX(Rainfall_Dry!$O$2:$O$217,MATCH(B312, Rainfall_Dry!$A$2:$A$217,0)),"")</f>
        <v>12.563016860999999</v>
      </c>
      <c r="Z312" s="257">
        <v>28.145762029394</v>
      </c>
      <c r="AA312" s="257">
        <v>25.085564727199518</v>
      </c>
      <c r="AB312" s="257">
        <v>46.768673243406489</v>
      </c>
      <c r="AC312" s="258" t="s">
        <v>2654</v>
      </c>
      <c r="AD312" s="257">
        <v>4.1716214884179399</v>
      </c>
      <c r="AE312">
        <f>IF('WetLitterbags placem_collection'!AB93="","",'WetLitterbags placem_collection'!AB93)</f>
        <v>6.1</v>
      </c>
      <c r="AF312">
        <f>IF('WetLitterbags placem_collection'!Z93="","",'WetLitterbags placem_collection'!Z93)</f>
        <v>39.4</v>
      </c>
      <c r="AG312" s="243" t="str">
        <f>IF('WetLitterbags placem_collection'!AA93="","",'WetLitterbags placem_collection'!AA93)</f>
        <v>O</v>
      </c>
      <c r="AH312">
        <f>IF('WetLitterbags placem_collection'!AC93="","",'WetLitterbags placem_collection'!AC93)</f>
        <v>1</v>
      </c>
      <c r="AI312">
        <f>IFERROR(AVERAGE('Dry_Litterbag Placem_Collection'!O93,'Dry_Litterbag Placem_Collection'!R93),"")</f>
        <v>10.95</v>
      </c>
      <c r="AJ312" s="268">
        <f>IFERROR(AVERAGE('Dry_Litterbag Placem_Collection'!N93,'Dry_Litterbag Placem_Collection'!Q93),"")</f>
        <v>25.95</v>
      </c>
      <c r="AK312" s="267">
        <f>INDEX(Coordinates!$B$2:$B$197,MATCH(H312,Coordinates!$J$2:$J$197,0))</f>
        <v>-3.2966180239999998</v>
      </c>
      <c r="AL312" s="267">
        <f>INDEX(Coordinates!$C$2:$C$197,MATCH(H312,Coordinates!$J$2:$J$197,0))</f>
        <v>34.854464020000002</v>
      </c>
      <c r="AM312" s="267" t="str">
        <f>IF(ISNUMBER(SEARCH("C", 'Dry_Litterbag Placem_Collection'!T93)),"YES","NO")</f>
        <v>NO</v>
      </c>
      <c r="AN312" s="267" t="str">
        <f>IF(ISNUMBER(SEARCH("H", 'Dry_Litterbag Placem_Collection'!T93)),"YES","NO")</f>
        <v>NO</v>
      </c>
      <c r="AO312" s="267" t="str">
        <f>IF(ISNUMBER(SEARCH("R", 'Dry_Litterbag Placem_Collection'!T93)),"YES","NO")</f>
        <v>NO</v>
      </c>
    </row>
    <row r="313" spans="1:41" ht="15" customHeight="1">
      <c r="A313" s="259" t="s">
        <v>2643</v>
      </c>
      <c r="B313" s="260">
        <f>'Dry_Litterbag Placem_Collection'!A94</f>
        <v>92</v>
      </c>
      <c r="C313" s="260" t="str">
        <f>'Dry_Litterbag Placem_Collection'!B94</f>
        <v>Maswa</v>
      </c>
      <c r="D313" s="260" t="s">
        <v>2643</v>
      </c>
      <c r="E313" s="260" t="s">
        <v>2645</v>
      </c>
      <c r="F313" s="260">
        <v>4</v>
      </c>
      <c r="G313" s="260" t="s">
        <v>3814</v>
      </c>
      <c r="H313" s="261" t="str">
        <f>'Dry_Litterbag Placem_Collection'!C94</f>
        <v>Dry_W4_T4</v>
      </c>
      <c r="I313" s="262" t="s">
        <v>2525</v>
      </c>
      <c r="J313" s="269" t="s">
        <v>298</v>
      </c>
      <c r="K313" s="260" t="str">
        <f>IF(ISBLANK('Dry_Litterbag Placem_Collection'!K94),"","R"&amp;""&amp;'Dry_Litterbag Placem_Collection'!K94)</f>
        <v>R812</v>
      </c>
      <c r="L313" s="264">
        <f>IFERROR(INDEX('Green_rooibos initial weight'!$C$5:$C$2000,MATCH(K313, 'Green_rooibos initial weight'!$A$5:$A$2000,0)),"")</f>
        <v>2.1819999999999999</v>
      </c>
      <c r="M313" s="264">
        <f>IFERROR(L313-(TBIcalc!$Q$9+TBIcalc!$Q$10),"")</f>
        <v>1.9321999999999999</v>
      </c>
      <c r="N313" s="385">
        <f>AVERAGE(Ashed_controlls!$K$12:$K$14)</f>
        <v>2.2816647271287041</v>
      </c>
      <c r="O313" s="264">
        <f t="shared" si="21"/>
        <v>1.8881136741424192</v>
      </c>
      <c r="P313" s="264">
        <f>IFERROR(INDEX('Both teabags AfterDry'!$D$2:$D$2000,MATCH(K313,'Both teabags AfterDry'!$A$2:$A$2000,0)),"")</f>
        <v>1.8855</v>
      </c>
      <c r="Q313" s="264">
        <f>IFERROR(IF(P313&gt;0,P313-(TBIcalc!$Q$9),""),"")</f>
        <v>1.7348999999999999</v>
      </c>
      <c r="R313" s="275">
        <f>IFERROR(INDEX('Ashed teabags dry'!$K$2:$K$2000,MATCH(K313,'Ashed teabags dry'!$A$2:$A$2000,0)),"")</f>
        <v>1.8952618453866015</v>
      </c>
      <c r="S313" s="275">
        <f t="shared" si="22"/>
        <v>1.7020191022443878</v>
      </c>
      <c r="T313" s="265">
        <f>IF('Dry_Litterbag Placem_Collection'!E94="","",'Dry_Litterbag Placem_Collection'!E94)</f>
        <v>42937</v>
      </c>
      <c r="U313" s="265">
        <f>IF('Dry_Litterbag Placem_Collection'!G94="","",'Dry_Litterbag Placem_Collection'!G94)</f>
        <v>43006</v>
      </c>
      <c r="V313" s="266">
        <f t="shared" si="20"/>
        <v>69</v>
      </c>
      <c r="W313" s="264">
        <f t="shared" si="23"/>
        <v>0.19730000000000003</v>
      </c>
      <c r="X313" s="264">
        <f t="shared" si="24"/>
        <v>0.18609457189803136</v>
      </c>
      <c r="Y313" s="268">
        <f>IFERROR(INDEX(Rainfall_Dry!$O$2:$O$217,MATCH(B313, Rainfall_Dry!$A$2:$A$217,0)),"")</f>
        <v>12.563016860999999</v>
      </c>
      <c r="Z313" s="257">
        <v>28.145762029394</v>
      </c>
      <c r="AA313" s="257">
        <v>25.085564727199518</v>
      </c>
      <c r="AB313" s="257">
        <v>46.768673243406489</v>
      </c>
      <c r="AC313" s="258" t="s">
        <v>2654</v>
      </c>
      <c r="AD313" s="257">
        <v>5.1716214884179399</v>
      </c>
      <c r="AE313">
        <f>IF('WetLitterbags placem_collection'!AB94="","",'WetLitterbags placem_collection'!AB94)</f>
        <v>7.7</v>
      </c>
      <c r="AF313">
        <f>IF('WetLitterbags placem_collection'!Z94="","",'WetLitterbags placem_collection'!Z94)</f>
        <v>24.8</v>
      </c>
      <c r="AG313" s="243" t="str">
        <f>IF('WetLitterbags placem_collection'!AA94="","",'WetLitterbags placem_collection'!AA94)</f>
        <v>O</v>
      </c>
      <c r="AH313">
        <f>IF('WetLitterbags placem_collection'!AC94="","",'WetLitterbags placem_collection'!AC94)</f>
        <v>1</v>
      </c>
      <c r="AI313">
        <f>IFERROR(AVERAGE('Dry_Litterbag Placem_Collection'!O94,'Dry_Litterbag Placem_Collection'!R94),"")</f>
        <v>10.25</v>
      </c>
      <c r="AJ313" s="268">
        <f>IFERROR(AVERAGE('Dry_Litterbag Placem_Collection'!N94,'Dry_Litterbag Placem_Collection'!Q94),"")</f>
        <v>26</v>
      </c>
      <c r="AK313" s="267">
        <f>INDEX(Coordinates!$B$2:$B$197,MATCH(H313,Coordinates!$J$2:$J$197,0))</f>
        <v>-3.2965539860000002</v>
      </c>
      <c r="AL313" s="267">
        <f>INDEX(Coordinates!$C$2:$C$197,MATCH(H313,Coordinates!$J$2:$J$197,0))</f>
        <v>34.854455969999997</v>
      </c>
      <c r="AM313" s="267" t="str">
        <f>IF(ISNUMBER(SEARCH("C", 'Dry_Litterbag Placem_Collection'!T94)),"YES","NO")</f>
        <v>NO</v>
      </c>
      <c r="AN313" s="267" t="str">
        <f>IF(ISNUMBER(SEARCH("H", 'Dry_Litterbag Placem_Collection'!T94)),"YES","NO")</f>
        <v>NO</v>
      </c>
      <c r="AO313" s="267" t="str">
        <f>IF(ISNUMBER(SEARCH("R", 'Dry_Litterbag Placem_Collection'!T94)),"YES","NO")</f>
        <v>NO</v>
      </c>
    </row>
    <row r="314" spans="1:41" ht="15" customHeight="1">
      <c r="A314" s="259" t="s">
        <v>2643</v>
      </c>
      <c r="B314" s="260">
        <f>'Dry_Litterbag Placem_Collection'!A95</f>
        <v>93</v>
      </c>
      <c r="C314" s="260" t="str">
        <f>'Dry_Litterbag Placem_Collection'!B95</f>
        <v>Maswa</v>
      </c>
      <c r="D314" s="260" t="s">
        <v>2643</v>
      </c>
      <c r="E314" s="260" t="s">
        <v>2645</v>
      </c>
      <c r="F314" s="260">
        <v>4</v>
      </c>
      <c r="G314" s="260" t="s">
        <v>3814</v>
      </c>
      <c r="H314" s="261" t="str">
        <f>'Dry_Litterbag Placem_Collection'!C95</f>
        <v>Dry_W4_T5</v>
      </c>
      <c r="I314" s="262" t="s">
        <v>2525</v>
      </c>
      <c r="J314" s="269" t="s">
        <v>298</v>
      </c>
      <c r="K314" s="260" t="str">
        <f>IF(ISBLANK('Dry_Litterbag Placem_Collection'!K95),"","R"&amp;""&amp;'Dry_Litterbag Placem_Collection'!K95)</f>
        <v>R675</v>
      </c>
      <c r="L314" s="264">
        <f>IFERROR(INDEX('Green_rooibos initial weight'!$C$5:$C$2000,MATCH(K314, 'Green_rooibos initial weight'!$A$5:$A$2000,0)),"")</f>
        <v>2.2069999999999999</v>
      </c>
      <c r="M314" s="264">
        <f>IFERROR(L314-(TBIcalc!$Q$9+TBIcalc!$Q$10),"")</f>
        <v>1.9571999999999998</v>
      </c>
      <c r="N314" s="385">
        <f>AVERAGE(Ashed_controlls!$K$12:$K$14)</f>
        <v>2.2816647271287041</v>
      </c>
      <c r="O314" s="264">
        <f t="shared" si="21"/>
        <v>1.9125432579606367</v>
      </c>
      <c r="P314" s="264">
        <f>IFERROR(INDEX('Both teabags AfterDry'!$D$2:$D$2000,MATCH(K314,'Both teabags AfterDry'!$A$2:$A$2000,0)),"")</f>
        <v>2.0310000000000001</v>
      </c>
      <c r="Q314" s="264">
        <f>IFERROR(IF(P314&gt;0,P314-(TBIcalc!$Q$9),""),"")</f>
        <v>1.8804000000000001</v>
      </c>
      <c r="R314" s="275">
        <f>IFERROR(INDEX('Ashed teabags dry'!$K$2:$K$2000,MATCH(K314,'Ashed teabags dry'!$A$2:$A$2000,0)),"")</f>
        <v>3.8099506947561541</v>
      </c>
      <c r="S314" s="275">
        <f t="shared" si="22"/>
        <v>1.8087576871358053</v>
      </c>
      <c r="T314" s="265">
        <f>IF('Dry_Litterbag Placem_Collection'!E95="","",'Dry_Litterbag Placem_Collection'!E95)</f>
        <v>42937</v>
      </c>
      <c r="U314" s="265">
        <f>IF('Dry_Litterbag Placem_Collection'!G95="","",'Dry_Litterbag Placem_Collection'!G95)</f>
        <v>43006</v>
      </c>
      <c r="V314" s="266">
        <f t="shared" si="20"/>
        <v>69</v>
      </c>
      <c r="W314" s="264">
        <f t="shared" si="23"/>
        <v>7.6799999999999757E-2</v>
      </c>
      <c r="X314" s="264">
        <f t="shared" si="24"/>
        <v>0.10378557082483142</v>
      </c>
      <c r="Y314" s="268">
        <f>IFERROR(INDEX(Rainfall_Dry!$O$2:$O$217,MATCH(B314, Rainfall_Dry!$A$2:$A$217,0)),"")</f>
        <v>12.563016860999999</v>
      </c>
      <c r="Z314" s="257">
        <v>28.145762029394</v>
      </c>
      <c r="AA314" s="257">
        <v>25.085564727199518</v>
      </c>
      <c r="AB314" s="257">
        <v>46.768673243406489</v>
      </c>
      <c r="AC314" s="258" t="s">
        <v>2654</v>
      </c>
      <c r="AD314" s="257">
        <v>6.1716214884179399</v>
      </c>
      <c r="AE314">
        <f>IF('WetLitterbags placem_collection'!AB95="","",'WetLitterbags placem_collection'!AB95)</f>
        <v>6.6</v>
      </c>
      <c r="AF314">
        <f>IF('WetLitterbags placem_collection'!Z95="","",'WetLitterbags placem_collection'!Z95)</f>
        <v>40</v>
      </c>
      <c r="AG314" s="243" t="str">
        <f>IF('WetLitterbags placem_collection'!AA95="","",'WetLitterbags placem_collection'!AA95)</f>
        <v>O</v>
      </c>
      <c r="AH314">
        <f>IF('WetLitterbags placem_collection'!AC95="","",'WetLitterbags placem_collection'!AC95)</f>
        <v>1</v>
      </c>
      <c r="AI314">
        <f>IFERROR(AVERAGE('Dry_Litterbag Placem_Collection'!O95,'Dry_Litterbag Placem_Collection'!R95),"")</f>
        <v>10.45</v>
      </c>
      <c r="AJ314" s="268">
        <f>IFERROR(AVERAGE('Dry_Litterbag Placem_Collection'!N95,'Dry_Litterbag Placem_Collection'!Q95),"")</f>
        <v>26.4</v>
      </c>
      <c r="AK314" s="267">
        <f>INDEX(Coordinates!$B$2:$B$197,MATCH(H314,Coordinates!$J$2:$J$197,0))</f>
        <v>-3.2964789680000002</v>
      </c>
      <c r="AL314" s="267">
        <f>INDEX(Coordinates!$C$2:$C$197,MATCH(H314,Coordinates!$J$2:$J$197,0))</f>
        <v>34.854331000000002</v>
      </c>
      <c r="AM314" s="267" t="str">
        <f>IF(ISNUMBER(SEARCH("C", 'Dry_Litterbag Placem_Collection'!T95)),"YES","NO")</f>
        <v>NO</v>
      </c>
      <c r="AN314" s="267" t="str">
        <f>IF(ISNUMBER(SEARCH("H", 'Dry_Litterbag Placem_Collection'!T95)),"YES","NO")</f>
        <v>YES</v>
      </c>
      <c r="AO314" s="267" t="str">
        <f>IF(ISNUMBER(SEARCH("R", 'Dry_Litterbag Placem_Collection'!T95)),"YES","NO")</f>
        <v>NO</v>
      </c>
    </row>
    <row r="315" spans="1:41" ht="15" customHeight="1">
      <c r="A315" s="259" t="s">
        <v>2643</v>
      </c>
      <c r="B315" s="260">
        <f>'Dry_Litterbag Placem_Collection'!A96</f>
        <v>94</v>
      </c>
      <c r="C315" s="260" t="str">
        <f>'Dry_Litterbag Placem_Collection'!B96</f>
        <v>Maswa</v>
      </c>
      <c r="D315" s="260" t="s">
        <v>2643</v>
      </c>
      <c r="E315" s="260" t="s">
        <v>2645</v>
      </c>
      <c r="F315" s="260">
        <v>4</v>
      </c>
      <c r="G315" s="260" t="s">
        <v>3814</v>
      </c>
      <c r="H315" s="261" t="str">
        <f>'Dry_Litterbag Placem_Collection'!C96</f>
        <v>Dry_W4_T6</v>
      </c>
      <c r="I315" s="262" t="s">
        <v>2525</v>
      </c>
      <c r="J315" s="269" t="s">
        <v>298</v>
      </c>
      <c r="K315" s="260" t="str">
        <f>IF(ISBLANK('Dry_Litterbag Placem_Collection'!K96),"","R"&amp;""&amp;'Dry_Litterbag Placem_Collection'!K96)</f>
        <v/>
      </c>
      <c r="L315" s="264" t="str">
        <f>IFERROR(INDEX('Green_rooibos initial weight'!$C$5:$C$2000,MATCH(K315, 'Green_rooibos initial weight'!$A$5:$A$2000,0)),"")</f>
        <v/>
      </c>
      <c r="M315" s="264" t="str">
        <f>IFERROR(L315-(TBIcalc!$Q$9+TBIcalc!$Q$10),"")</f>
        <v/>
      </c>
      <c r="N315" s="385">
        <f>AVERAGE(Ashed_controlls!$K$12:$K$14)</f>
        <v>2.2816647271287041</v>
      </c>
      <c r="O315" s="264" t="str">
        <f t="shared" si="21"/>
        <v/>
      </c>
      <c r="P315" s="264" t="str">
        <f>IFERROR(INDEX('Both teabags AfterDry'!$D$2:$D$2000,MATCH(K315,'Both teabags AfterDry'!$A$2:$A$2000,0)),"")</f>
        <v/>
      </c>
      <c r="Q315" s="264" t="str">
        <f>IFERROR(IF(P315&gt;0,P315-(TBIcalc!$Q$9),""),"")</f>
        <v/>
      </c>
      <c r="R315" s="275" t="str">
        <f>IFERROR(INDEX('Ashed teabags dry'!$K$2:$K$2000,MATCH(K315,'Ashed teabags dry'!$A$2:$A$2000,0)),"")</f>
        <v/>
      </c>
      <c r="S315" s="275" t="str">
        <f t="shared" si="22"/>
        <v/>
      </c>
      <c r="T315" s="265" t="str">
        <f>IF('Dry_Litterbag Placem_Collection'!E96="","",'Dry_Litterbag Placem_Collection'!E96)</f>
        <v/>
      </c>
      <c r="U315" s="265" t="str">
        <f>IF('Dry_Litterbag Placem_Collection'!G96="","",'Dry_Litterbag Placem_Collection'!G96)</f>
        <v/>
      </c>
      <c r="V315" s="266" t="str">
        <f t="shared" si="20"/>
        <v/>
      </c>
      <c r="W315" s="264" t="str">
        <f t="shared" si="23"/>
        <v/>
      </c>
      <c r="X315" s="264" t="str">
        <f t="shared" si="24"/>
        <v/>
      </c>
      <c r="Y315" s="268" t="str">
        <f>IFERROR(INDEX(Rainfall_Dry!$O$2:$O$217,MATCH(B315, Rainfall_Dry!$A$2:$A$217,0)),"")</f>
        <v/>
      </c>
      <c r="Z315" s="257">
        <v>28.145762029394</v>
      </c>
      <c r="AA315" s="257">
        <v>25.085564727199518</v>
      </c>
      <c r="AB315" s="257">
        <v>46.768673243406489</v>
      </c>
      <c r="AC315" s="258" t="s">
        <v>2654</v>
      </c>
      <c r="AD315" s="257">
        <v>7.1716214884179399</v>
      </c>
      <c r="AE315" t="str">
        <f>IF('WetLitterbags placem_collection'!AB96="","",'WetLitterbags placem_collection'!AB96)</f>
        <v/>
      </c>
      <c r="AF315" t="str">
        <f>IF('WetLitterbags placem_collection'!Z96="","",'WetLitterbags placem_collection'!Z96)</f>
        <v/>
      </c>
      <c r="AG315" s="243" t="str">
        <f>IF('WetLitterbags placem_collection'!AA96="","",'WetLitterbags placem_collection'!AA96)</f>
        <v/>
      </c>
      <c r="AH315" t="str">
        <f>IF('WetLitterbags placem_collection'!AC96="","",'WetLitterbags placem_collection'!AC96)</f>
        <v/>
      </c>
      <c r="AI315" t="str">
        <f>IFERROR(AVERAGE('Dry_Litterbag Placem_Collection'!O96,'Dry_Litterbag Placem_Collection'!R96),"")</f>
        <v/>
      </c>
      <c r="AJ315" s="268" t="str">
        <f>IFERROR(AVERAGE('Dry_Litterbag Placem_Collection'!N96,'Dry_Litterbag Placem_Collection'!Q96),"")</f>
        <v/>
      </c>
      <c r="AK315" s="267">
        <f>INDEX(Coordinates!$B$2:$B$197,MATCH(H315,Coordinates!$J$2:$J$197,0))</f>
        <v>-3.2964649700000002</v>
      </c>
      <c r="AL315" s="267">
        <f>INDEX(Coordinates!$C$2:$C$197,MATCH(H315,Coordinates!$J$2:$J$197,0))</f>
        <v>34.854340970000003</v>
      </c>
      <c r="AM315" s="267" t="str">
        <f>IF(ISNUMBER(SEARCH("C", 'Dry_Litterbag Placem_Collection'!T96)),"YES","NO")</f>
        <v>NO</v>
      </c>
      <c r="AN315" s="267" t="str">
        <f>IF(ISNUMBER(SEARCH("H", 'Dry_Litterbag Placem_Collection'!T96)),"YES","NO")</f>
        <v>NO</v>
      </c>
      <c r="AO315" s="267" t="str">
        <f>IF(ISNUMBER(SEARCH("R", 'Dry_Litterbag Placem_Collection'!T96)),"YES","NO")</f>
        <v>NO</v>
      </c>
    </row>
    <row r="316" spans="1:41" ht="15" customHeight="1">
      <c r="A316" s="259" t="s">
        <v>2643</v>
      </c>
      <c r="B316" s="260">
        <f>'Dry_Litterbag Placem_Collection'!A97</f>
        <v>95</v>
      </c>
      <c r="C316" s="260" t="str">
        <f>'Dry_Litterbag Placem_Collection'!B97</f>
        <v>Maswa</v>
      </c>
      <c r="D316" s="260" t="s">
        <v>2643</v>
      </c>
      <c r="E316" s="260" t="s">
        <v>2645</v>
      </c>
      <c r="F316" s="260">
        <v>4</v>
      </c>
      <c r="G316" s="260" t="s">
        <v>3814</v>
      </c>
      <c r="H316" s="261" t="str">
        <f>'Dry_Litterbag Placem_Collection'!C97</f>
        <v>Dry_W4_T7</v>
      </c>
      <c r="I316" s="262" t="s">
        <v>2525</v>
      </c>
      <c r="J316" s="269" t="s">
        <v>298</v>
      </c>
      <c r="K316" s="260" t="str">
        <f>IF(ISBLANK('Dry_Litterbag Placem_Collection'!K97),"","R"&amp;""&amp;'Dry_Litterbag Placem_Collection'!K97)</f>
        <v>R794</v>
      </c>
      <c r="L316" s="264">
        <f>IFERROR(INDEX('Green_rooibos initial weight'!$C$5:$C$2000,MATCH(K316, 'Green_rooibos initial weight'!$A$5:$A$2000,0)),"")</f>
        <v>2.2000000000000002</v>
      </c>
      <c r="M316" s="264">
        <f>IFERROR(L316-(TBIcalc!$Q$9+TBIcalc!$Q$10),"")</f>
        <v>1.9502000000000002</v>
      </c>
      <c r="N316" s="385">
        <f>AVERAGE(Ashed_controlls!$K$12:$K$14)</f>
        <v>2.2816647271287041</v>
      </c>
      <c r="O316" s="264">
        <f t="shared" si="21"/>
        <v>1.9057029744915361</v>
      </c>
      <c r="P316" s="264">
        <f>IFERROR(INDEX('Both teabags AfterDry'!$D$2:$D$2000,MATCH(K316,'Both teabags AfterDry'!$A$2:$A$2000,0)),"")</f>
        <v>1.9469000000000001</v>
      </c>
      <c r="Q316" s="264">
        <f>IFERROR(IF(P316&gt;0,P316-(TBIcalc!$Q$9),""),"")</f>
        <v>1.7963</v>
      </c>
      <c r="R316" s="275">
        <f>IFERROR(INDEX('Ashed teabags dry'!$K$2:$K$2000,MATCH(K316,'Ashed teabags dry'!$A$2:$A$2000,0)),"")</f>
        <v>2.6693030153240724</v>
      </c>
      <c r="S316" s="275">
        <f t="shared" si="22"/>
        <v>1.7483513099357337</v>
      </c>
      <c r="T316" s="265">
        <f>IF('Dry_Litterbag Placem_Collection'!E97="","",'Dry_Litterbag Placem_Collection'!E97)</f>
        <v>42937</v>
      </c>
      <c r="U316" s="265">
        <f>IF('Dry_Litterbag Placem_Collection'!G97="","",'Dry_Litterbag Placem_Collection'!G97)</f>
        <v>43006</v>
      </c>
      <c r="V316" s="266">
        <f t="shared" si="20"/>
        <v>69</v>
      </c>
      <c r="W316" s="264">
        <f t="shared" si="23"/>
        <v>0.15390000000000015</v>
      </c>
      <c r="X316" s="264">
        <f t="shared" si="24"/>
        <v>0.15735166455580241</v>
      </c>
      <c r="Y316" s="268">
        <f>IFERROR(INDEX(Rainfall_Dry!$O$2:$O$217,MATCH(B316, Rainfall_Dry!$A$2:$A$217,0)),"")</f>
        <v>12.563016860999999</v>
      </c>
      <c r="Z316" s="257">
        <v>28.145762029394</v>
      </c>
      <c r="AA316" s="257">
        <v>25.085564727199518</v>
      </c>
      <c r="AB316" s="257">
        <v>46.768673243406489</v>
      </c>
      <c r="AC316" s="258" t="s">
        <v>2654</v>
      </c>
      <c r="AD316" s="257">
        <v>8.1716214884179408</v>
      </c>
      <c r="AE316">
        <f>IF('WetLitterbags placem_collection'!AB97="","",'WetLitterbags placem_collection'!AB97)</f>
        <v>5.4</v>
      </c>
      <c r="AF316">
        <f>IF('WetLitterbags placem_collection'!Z97="","",'WetLitterbags placem_collection'!Z97)</f>
        <v>15.2</v>
      </c>
      <c r="AG316" s="243" t="str">
        <f>IF('WetLitterbags placem_collection'!AA97="","",'WetLitterbags placem_collection'!AA97)</f>
        <v>O</v>
      </c>
      <c r="AH316">
        <f>IF('WetLitterbags placem_collection'!AC97="","",'WetLitterbags placem_collection'!AC97)</f>
        <v>0</v>
      </c>
      <c r="AI316">
        <f>IFERROR(AVERAGE('Dry_Litterbag Placem_Collection'!O97,'Dry_Litterbag Placem_Collection'!R97),"")</f>
        <v>8.75</v>
      </c>
      <c r="AJ316" s="268">
        <f>IFERROR(AVERAGE('Dry_Litterbag Placem_Collection'!N97,'Dry_Litterbag Placem_Collection'!Q97),"")</f>
        <v>27.35</v>
      </c>
      <c r="AK316" s="267">
        <f>INDEX(Coordinates!$B$2:$B$197,MATCH(H316,Coordinates!$J$2:$J$197,0))</f>
        <v>-3.296725983</v>
      </c>
      <c r="AL316" s="267">
        <f>INDEX(Coordinates!$C$2:$C$197,MATCH(H316,Coordinates!$J$2:$J$197,0))</f>
        <v>34.854216000000001</v>
      </c>
      <c r="AM316" s="267" t="str">
        <f>IF(ISNUMBER(SEARCH("C", 'Dry_Litterbag Placem_Collection'!T97)),"YES","NO")</f>
        <v>NO</v>
      </c>
      <c r="AN316" s="267" t="str">
        <f>IF(ISNUMBER(SEARCH("H", 'Dry_Litterbag Placem_Collection'!T97)),"YES","NO")</f>
        <v>NO</v>
      </c>
      <c r="AO316" s="267" t="str">
        <f>IF(ISNUMBER(SEARCH("R", 'Dry_Litterbag Placem_Collection'!T97)),"YES","NO")</f>
        <v>NO</v>
      </c>
    </row>
    <row r="317" spans="1:41" ht="15" customHeight="1">
      <c r="A317" s="259" t="s">
        <v>2643</v>
      </c>
      <c r="B317" s="260">
        <f>'Dry_Litterbag Placem_Collection'!A98</f>
        <v>96</v>
      </c>
      <c r="C317" s="260" t="str">
        <f>'Dry_Litterbag Placem_Collection'!B98</f>
        <v>Maswa</v>
      </c>
      <c r="D317" s="260" t="s">
        <v>2643</v>
      </c>
      <c r="E317" s="260" t="s">
        <v>2645</v>
      </c>
      <c r="F317" s="260">
        <v>4</v>
      </c>
      <c r="G317" s="260" t="s">
        <v>3814</v>
      </c>
      <c r="H317" s="261" t="str">
        <f>'Dry_Litterbag Placem_Collection'!C98</f>
        <v>Dry_W4_T8</v>
      </c>
      <c r="I317" s="262" t="s">
        <v>2525</v>
      </c>
      <c r="J317" s="269" t="s">
        <v>298</v>
      </c>
      <c r="K317" s="260" t="str">
        <f>IF(ISBLANK('Dry_Litterbag Placem_Collection'!K98),"","R"&amp;""&amp;'Dry_Litterbag Placem_Collection'!K98)</f>
        <v>R737</v>
      </c>
      <c r="L317" s="264">
        <f>IFERROR(INDEX('Green_rooibos initial weight'!$C$5:$C$2000,MATCH(K317, 'Green_rooibos initial weight'!$A$5:$A$2000,0)),"")</f>
        <v>2.222</v>
      </c>
      <c r="M317" s="264">
        <f>IFERROR(L317-(TBIcalc!$Q$9+TBIcalc!$Q$10),"")</f>
        <v>1.9722</v>
      </c>
      <c r="N317" s="385">
        <f>AVERAGE(Ashed_controlls!$K$12:$K$14)</f>
        <v>2.2816647271287041</v>
      </c>
      <c r="O317" s="264">
        <f t="shared" si="21"/>
        <v>1.9272010082515676</v>
      </c>
      <c r="P317" s="264">
        <f>IFERROR(INDEX('Both teabags AfterDry'!$D$2:$D$2000,MATCH(K317,'Both teabags AfterDry'!$A$2:$A$2000,0)),"")</f>
        <v>1.9686999999999999</v>
      </c>
      <c r="Q317" s="264">
        <f>IFERROR(IF(P317&gt;0,P317-(TBIcalc!$Q$9),""),"")</f>
        <v>1.8180999999999998</v>
      </c>
      <c r="R317" s="275">
        <f>IFERROR(INDEX('Ashed teabags dry'!$K$2:$K$2000,MATCH(K317,'Ashed teabags dry'!$A$2:$A$2000,0)),"")</f>
        <v>3.1531531531539305</v>
      </c>
      <c r="S317" s="275">
        <f t="shared" si="22"/>
        <v>1.7607725225225082</v>
      </c>
      <c r="T317" s="265">
        <f>IF('Dry_Litterbag Placem_Collection'!E98="","",'Dry_Litterbag Placem_Collection'!E98)</f>
        <v>42937</v>
      </c>
      <c r="U317" s="265">
        <f>IF('Dry_Litterbag Placem_Collection'!G98="","",'Dry_Litterbag Placem_Collection'!G98)</f>
        <v>43006</v>
      </c>
      <c r="V317" s="266">
        <f t="shared" si="20"/>
        <v>69</v>
      </c>
      <c r="W317" s="264">
        <f t="shared" si="23"/>
        <v>0.15410000000000013</v>
      </c>
      <c r="X317" s="264">
        <f t="shared" si="24"/>
        <v>0.16642848572905944</v>
      </c>
      <c r="Y317" s="268">
        <f>IFERROR(INDEX(Rainfall_Dry!$O$2:$O$217,MATCH(B317, Rainfall_Dry!$A$2:$A$217,0)),"")</f>
        <v>12.563016860999999</v>
      </c>
      <c r="Z317" s="257">
        <v>28.145762029394</v>
      </c>
      <c r="AA317" s="257">
        <v>25.085564727199518</v>
      </c>
      <c r="AB317" s="257">
        <v>46.768673243406489</v>
      </c>
      <c r="AC317" s="258" t="s">
        <v>2654</v>
      </c>
      <c r="AD317" s="257">
        <v>9.1716214884179408</v>
      </c>
      <c r="AE317">
        <f>IF('WetLitterbags placem_collection'!AB98="","",'WetLitterbags placem_collection'!AB98)</f>
        <v>4</v>
      </c>
      <c r="AF317">
        <f>IF('WetLitterbags placem_collection'!Z98="","",'WetLitterbags placem_collection'!Z98)</f>
        <v>34.4</v>
      </c>
      <c r="AG317" s="243" t="str">
        <f>IF('WetLitterbags placem_collection'!AA98="","",'WetLitterbags placem_collection'!AA98)</f>
        <v>O</v>
      </c>
      <c r="AH317">
        <f>IF('WetLitterbags placem_collection'!AC98="","",'WetLitterbags placem_collection'!AC98)</f>
        <v>0</v>
      </c>
      <c r="AI317">
        <f>IFERROR(AVERAGE('Dry_Litterbag Placem_Collection'!O98,'Dry_Litterbag Placem_Collection'!R98),"")</f>
        <v>5.0999999999999996</v>
      </c>
      <c r="AJ317" s="268">
        <f>IFERROR(AVERAGE('Dry_Litterbag Placem_Collection'!N98,'Dry_Litterbag Placem_Collection'!Q98),"")</f>
        <v>25.950000000000003</v>
      </c>
      <c r="AK317" s="267">
        <f>INDEX(Coordinates!$B$2:$B$197,MATCH(H317,Coordinates!$J$2:$J$197,0))</f>
        <v>-3.2968360369999998</v>
      </c>
      <c r="AL317" s="267">
        <f>INDEX(Coordinates!$C$2:$C$197,MATCH(H317,Coordinates!$J$2:$J$197,0))</f>
        <v>34.854462009999999</v>
      </c>
      <c r="AM317" s="267" t="str">
        <f>IF(ISNUMBER(SEARCH("C", 'Dry_Litterbag Placem_Collection'!T98)),"YES","NO")</f>
        <v>NO</v>
      </c>
      <c r="AN317" s="267" t="str">
        <f>IF(ISNUMBER(SEARCH("H", 'Dry_Litterbag Placem_Collection'!T98)),"YES","NO")</f>
        <v>NO</v>
      </c>
      <c r="AO317" s="267" t="str">
        <f>IF(ISNUMBER(SEARCH("R", 'Dry_Litterbag Placem_Collection'!T98)),"YES","NO")</f>
        <v>NO</v>
      </c>
    </row>
    <row r="318" spans="1:41" ht="15" customHeight="1">
      <c r="A318" s="259" t="s">
        <v>2643</v>
      </c>
      <c r="B318" s="260">
        <f>'Dry_Litterbag Placem_Collection'!A99</f>
        <v>97</v>
      </c>
      <c r="C318" s="260" t="str">
        <f>'Dry_Litterbag Placem_Collection'!B99</f>
        <v xml:space="preserve">Mwantimba
</v>
      </c>
      <c r="D318" s="260" t="s">
        <v>2454</v>
      </c>
      <c r="E318" s="260" t="s">
        <v>2644</v>
      </c>
      <c r="F318" s="260">
        <v>1</v>
      </c>
      <c r="G318" s="260" t="s">
        <v>3815</v>
      </c>
      <c r="H318" s="261" t="str">
        <f>'Dry_Litterbag Placem_Collection'!C99</f>
        <v>Wet_Ag1_T1</v>
      </c>
      <c r="I318" s="262" t="s">
        <v>2525</v>
      </c>
      <c r="J318" s="269" t="s">
        <v>298</v>
      </c>
      <c r="K318" s="260" t="str">
        <f>IF(ISBLANK('Dry_Litterbag Placem_Collection'!K99),"","R"&amp;""&amp;'Dry_Litterbag Placem_Collection'!K99)</f>
        <v>R801</v>
      </c>
      <c r="L318" s="264">
        <f>IFERROR(INDEX('Green_rooibos initial weight'!$C$5:$C$2000,MATCH(K318, 'Green_rooibos initial weight'!$A$5:$A$2000,0)),"")</f>
        <v>2.17</v>
      </c>
      <c r="M318" s="264">
        <f>IFERROR(L318-(TBIcalc!$Q$9+TBIcalc!$Q$10),"")</f>
        <v>1.9201999999999999</v>
      </c>
      <c r="N318" s="385">
        <f>AVERAGE(Ashed_controlls!$K$12:$K$14)</f>
        <v>2.2816647271287041</v>
      </c>
      <c r="O318" s="264">
        <f t="shared" si="21"/>
        <v>1.8763874739096746</v>
      </c>
      <c r="P318" s="264" t="str">
        <f>IFERROR(INDEX('Both teabags AfterDry'!$D$2:$D$2000,MATCH(K318,'Both teabags AfterDry'!$A$2:$A$2000,0)),"")</f>
        <v/>
      </c>
      <c r="Q318" s="264" t="str">
        <f>IFERROR(IF(P318&gt;0,P318-(TBIcalc!$Q$9),""),"")</f>
        <v/>
      </c>
      <c r="R318" s="275" t="str">
        <f>IFERROR(INDEX('Ashed teabags dry'!$K$2:$K$2000,MATCH(K318,'Ashed teabags dry'!$A$2:$A$2000,0)),"")</f>
        <v/>
      </c>
      <c r="S318" s="275" t="str">
        <f t="shared" si="22"/>
        <v/>
      </c>
      <c r="T318" s="265">
        <f>IF('Dry_Litterbag Placem_Collection'!E99="","",'Dry_Litterbag Placem_Collection'!E99)</f>
        <v>42939</v>
      </c>
      <c r="U318" s="265">
        <f>IF('Dry_Litterbag Placem_Collection'!G99="","",'Dry_Litterbag Placem_Collection'!G99)</f>
        <v>43010</v>
      </c>
      <c r="V318" s="266">
        <f t="shared" si="20"/>
        <v>71</v>
      </c>
      <c r="W318" s="264" t="str">
        <f t="shared" si="23"/>
        <v/>
      </c>
      <c r="X318" s="264" t="str">
        <f t="shared" si="24"/>
        <v/>
      </c>
      <c r="Y318" s="268">
        <f>IFERROR(INDEX(Rainfall_Dry!$O$2:$O$217,MATCH(B318, Rainfall_Dry!$A$2:$A$217,0)),"")</f>
        <v>137.19979645800001</v>
      </c>
      <c r="Z318" s="257">
        <v>45.96</v>
      </c>
      <c r="AA318" s="257">
        <v>14.920000000000003</v>
      </c>
      <c r="AB318" s="257">
        <v>39.119999999999997</v>
      </c>
      <c r="AC318" s="258" t="s">
        <v>2657</v>
      </c>
      <c r="AD318" s="257">
        <v>2.0374568753080333</v>
      </c>
      <c r="AE318">
        <f>IF('WetLitterbags placem_collection'!AB99="","",'WetLitterbags placem_collection'!AB99)</f>
        <v>2.4</v>
      </c>
      <c r="AF318">
        <f>IF('WetLitterbags placem_collection'!Z99="","",'WetLitterbags placem_collection'!Z99)</f>
        <v>8.9</v>
      </c>
      <c r="AG318" s="243" t="str">
        <f>IF('WetLitterbags placem_collection'!AA99="","",'WetLitterbags placem_collection'!AA99)</f>
        <v>G</v>
      </c>
      <c r="AH318">
        <f>IF('WetLitterbags placem_collection'!AC99="","",'WetLitterbags placem_collection'!AC99)</f>
        <v>1</v>
      </c>
      <c r="AI318">
        <f>IFERROR(AVERAGE('Dry_Litterbag Placem_Collection'!O99,'Dry_Litterbag Placem_Collection'!R99),"")</f>
        <v>6.6</v>
      </c>
      <c r="AJ318" s="268">
        <f>IFERROR(AVERAGE('Dry_Litterbag Placem_Collection'!N99,'Dry_Litterbag Placem_Collection'!Q99),"")</f>
        <v>28.5</v>
      </c>
      <c r="AK318" s="267">
        <f>INDEX(Coordinates!$B$2:$B$197,MATCH(H318,Coordinates!$J$2:$J$197,0))</f>
        <v>-2.3691620310000001</v>
      </c>
      <c r="AL318" s="267">
        <f>INDEX(Coordinates!$C$2:$C$197,MATCH(H318,Coordinates!$J$2:$J$197,0))</f>
        <v>34.06028104</v>
      </c>
      <c r="AM318" s="267" t="str">
        <f>IF(ISNUMBER(SEARCH("C", 'Dry_Litterbag Placem_Collection'!T99)),"YES","NO")</f>
        <v>YES</v>
      </c>
      <c r="AN318" s="267" t="str">
        <f>IF(ISNUMBER(SEARCH("H", 'Dry_Litterbag Placem_Collection'!T99)),"YES","NO")</f>
        <v>YES</v>
      </c>
      <c r="AO318" s="267" t="str">
        <f>IF(ISNUMBER(SEARCH("R", 'Dry_Litterbag Placem_Collection'!T99)),"YES","NO")</f>
        <v>NO</v>
      </c>
    </row>
    <row r="319" spans="1:41" ht="15" customHeight="1">
      <c r="A319" s="259" t="s">
        <v>2643</v>
      </c>
      <c r="B319" s="260">
        <f>'Dry_Litterbag Placem_Collection'!A100</f>
        <v>98</v>
      </c>
      <c r="C319" s="260" t="str">
        <f>'Dry_Litterbag Placem_Collection'!B100</f>
        <v xml:space="preserve">Mwantimba
</v>
      </c>
      <c r="D319" s="260" t="s">
        <v>2454</v>
      </c>
      <c r="E319" s="260" t="s">
        <v>2644</v>
      </c>
      <c r="F319" s="260">
        <v>1</v>
      </c>
      <c r="G319" s="260" t="s">
        <v>3815</v>
      </c>
      <c r="H319" s="261" t="str">
        <f>'Dry_Litterbag Placem_Collection'!C100</f>
        <v>Wet_Ag1_T2</v>
      </c>
      <c r="I319" s="262" t="s">
        <v>2525</v>
      </c>
      <c r="J319" s="269" t="s">
        <v>298</v>
      </c>
      <c r="K319" s="260" t="str">
        <f>IF(ISBLANK('Dry_Litterbag Placem_Collection'!K100),"","R"&amp;""&amp;'Dry_Litterbag Placem_Collection'!K100)</f>
        <v>R808</v>
      </c>
      <c r="L319" s="264">
        <f>IFERROR(INDEX('Green_rooibos initial weight'!$C$5:$C$2000,MATCH(K319, 'Green_rooibos initial weight'!$A$5:$A$2000,0)),"")</f>
        <v>2.2309999999999999</v>
      </c>
      <c r="M319" s="264">
        <f>IFERROR(L319-(TBIcalc!$Q$9+TBIcalc!$Q$10),"")</f>
        <v>1.9811999999999999</v>
      </c>
      <c r="N319" s="385">
        <f>AVERAGE(Ashed_controlls!$K$12:$K$14)</f>
        <v>2.2816647271287041</v>
      </c>
      <c r="O319" s="264">
        <f t="shared" si="21"/>
        <v>1.935995658426126</v>
      </c>
      <c r="P319" s="264">
        <f>IFERROR(INDEX('Both teabags AfterDry'!$D$2:$D$2000,MATCH(K319,'Both teabags AfterDry'!$A$2:$A$2000,0)),"")</f>
        <v>0</v>
      </c>
      <c r="Q319" s="264" t="str">
        <f>IFERROR(IF(P319&gt;0,P319-(TBIcalc!$Q$9),""),"")</f>
        <v/>
      </c>
      <c r="R319" s="275">
        <f>IFERROR(INDEX('Ashed teabags dry'!$K$2:$K$2000,MATCH(K319,'Ashed teabags dry'!$A$2:$A$2000,0)),"")</f>
        <v>0</v>
      </c>
      <c r="S319" s="275" t="str">
        <f t="shared" si="22"/>
        <v/>
      </c>
      <c r="T319" s="265">
        <f>IF('Dry_Litterbag Placem_Collection'!E100="","",'Dry_Litterbag Placem_Collection'!E100)</f>
        <v>42939</v>
      </c>
      <c r="U319" s="265">
        <f>IF('Dry_Litterbag Placem_Collection'!G100="","",'Dry_Litterbag Placem_Collection'!G100)</f>
        <v>43010</v>
      </c>
      <c r="V319" s="266">
        <f t="shared" si="20"/>
        <v>71</v>
      </c>
      <c r="W319" s="264" t="str">
        <f t="shared" si="23"/>
        <v/>
      </c>
      <c r="X319" s="264" t="str">
        <f t="shared" si="24"/>
        <v/>
      </c>
      <c r="Y319" s="268">
        <f>IFERROR(INDEX(Rainfall_Dry!$O$2:$O$217,MATCH(B319, Rainfall_Dry!$A$2:$A$217,0)),"")</f>
        <v>137.19979645800001</v>
      </c>
      <c r="Z319" s="257">
        <v>45.96</v>
      </c>
      <c r="AA319" s="257">
        <v>14.920000000000003</v>
      </c>
      <c r="AB319" s="257">
        <v>39.119999999999997</v>
      </c>
      <c r="AC319" s="258" t="s">
        <v>2657</v>
      </c>
      <c r="AD319" s="257">
        <v>3.0374568753080302</v>
      </c>
      <c r="AE319">
        <f>IF('WetLitterbags placem_collection'!AB100="","",'WetLitterbags placem_collection'!AB100)</f>
        <v>7.8</v>
      </c>
      <c r="AF319">
        <f>IF('WetLitterbags placem_collection'!Z100="","",'WetLitterbags placem_collection'!Z100)</f>
        <v>4.45</v>
      </c>
      <c r="AG319" s="243" t="str">
        <f>IF('WetLitterbags placem_collection'!AA100="","",'WetLitterbags placem_collection'!AA100)</f>
        <v>G</v>
      </c>
      <c r="AH319">
        <f>IF('WetLitterbags placem_collection'!AC100="","",'WetLitterbags placem_collection'!AC100)</f>
        <v>1</v>
      </c>
      <c r="AI319">
        <f>IFERROR(AVERAGE('Dry_Litterbag Placem_Collection'!O100,'Dry_Litterbag Placem_Collection'!R100),"")</f>
        <v>7.25</v>
      </c>
      <c r="AJ319" s="268">
        <f>IFERROR(AVERAGE('Dry_Litterbag Placem_Collection'!N100,'Dry_Litterbag Placem_Collection'!Q100),"")</f>
        <v>29.3</v>
      </c>
      <c r="AK319" s="267">
        <f>INDEX(Coordinates!$B$2:$B$197,MATCH(H319,Coordinates!$J$2:$J$197,0))</f>
        <v>-2.3692249790000002</v>
      </c>
      <c r="AL319" s="267">
        <f>INDEX(Coordinates!$C$2:$C$197,MATCH(H319,Coordinates!$J$2:$J$197,0))</f>
        <v>34.060285989999997</v>
      </c>
      <c r="AM319" s="267" t="str">
        <f>IF(ISNUMBER(SEARCH("C", 'Dry_Litterbag Placem_Collection'!T100)),"YES","NO")</f>
        <v>YES</v>
      </c>
      <c r="AN319" s="267" t="str">
        <f>IF(ISNUMBER(SEARCH("H", 'Dry_Litterbag Placem_Collection'!T100)),"YES","NO")</f>
        <v>YES</v>
      </c>
      <c r="AO319" s="267" t="str">
        <f>IF(ISNUMBER(SEARCH("R", 'Dry_Litterbag Placem_Collection'!T100)),"YES","NO")</f>
        <v>NO</v>
      </c>
    </row>
    <row r="320" spans="1:41" ht="15" customHeight="1">
      <c r="A320" s="259" t="s">
        <v>2643</v>
      </c>
      <c r="B320" s="260">
        <f>'Dry_Litterbag Placem_Collection'!A101</f>
        <v>99</v>
      </c>
      <c r="C320" s="260" t="str">
        <f>'Dry_Litterbag Placem_Collection'!B101</f>
        <v xml:space="preserve">Mwantimba
</v>
      </c>
      <c r="D320" s="260" t="s">
        <v>2454</v>
      </c>
      <c r="E320" s="260" t="s">
        <v>2644</v>
      </c>
      <c r="F320" s="260">
        <v>1</v>
      </c>
      <c r="G320" s="260" t="s">
        <v>3815</v>
      </c>
      <c r="H320" s="261" t="str">
        <f>'Dry_Litterbag Placem_Collection'!C101</f>
        <v>Wet_Ag1_T3</v>
      </c>
      <c r="I320" s="262" t="s">
        <v>2525</v>
      </c>
      <c r="J320" s="269" t="s">
        <v>298</v>
      </c>
      <c r="K320" s="260" t="str">
        <f>IF(ISBLANK('Dry_Litterbag Placem_Collection'!K101),"","R"&amp;""&amp;'Dry_Litterbag Placem_Collection'!K101)</f>
        <v/>
      </c>
      <c r="L320" s="264" t="str">
        <f>IFERROR(INDEX('Green_rooibos initial weight'!$C$5:$C$2000,MATCH(K320, 'Green_rooibos initial weight'!$A$5:$A$2000,0)),"")</f>
        <v/>
      </c>
      <c r="M320" s="264" t="str">
        <f>IFERROR(L320-(TBIcalc!$Q$9+TBIcalc!$Q$10),"")</f>
        <v/>
      </c>
      <c r="N320" s="385">
        <f>AVERAGE(Ashed_controlls!$K$12:$K$14)</f>
        <v>2.2816647271287041</v>
      </c>
      <c r="O320" s="264" t="str">
        <f t="shared" si="21"/>
        <v/>
      </c>
      <c r="P320" s="264" t="str">
        <f>IFERROR(INDEX('Both teabags AfterDry'!$D$2:$D$2000,MATCH(K320,'Both teabags AfterDry'!$A$2:$A$2000,0)),"")</f>
        <v/>
      </c>
      <c r="Q320" s="264" t="str">
        <f>IFERROR(IF(P320&gt;0,P320-(TBIcalc!$Q$9),""),"")</f>
        <v/>
      </c>
      <c r="R320" s="275" t="str">
        <f>IFERROR(INDEX('Ashed teabags dry'!$K$2:$K$2000,MATCH(K320,'Ashed teabags dry'!$A$2:$A$2000,0)),"")</f>
        <v/>
      </c>
      <c r="S320" s="275" t="str">
        <f t="shared" si="22"/>
        <v/>
      </c>
      <c r="T320" s="265" t="str">
        <f>IF('Dry_Litterbag Placem_Collection'!E101="","",'Dry_Litterbag Placem_Collection'!E101)</f>
        <v/>
      </c>
      <c r="U320" s="265" t="str">
        <f>IF('Dry_Litterbag Placem_Collection'!G101="","",'Dry_Litterbag Placem_Collection'!G101)</f>
        <v/>
      </c>
      <c r="V320" s="266" t="str">
        <f t="shared" si="20"/>
        <v/>
      </c>
      <c r="W320" s="264" t="str">
        <f t="shared" si="23"/>
        <v/>
      </c>
      <c r="X320" s="264" t="str">
        <f t="shared" si="24"/>
        <v/>
      </c>
      <c r="Y320" s="268" t="str">
        <f>IFERROR(INDEX(Rainfall_Dry!$O$2:$O$217,MATCH(B320, Rainfall_Dry!$A$2:$A$217,0)),"")</f>
        <v/>
      </c>
      <c r="Z320" s="257">
        <v>45.96</v>
      </c>
      <c r="AA320" s="257">
        <v>14.920000000000003</v>
      </c>
      <c r="AB320" s="257">
        <v>39.119999999999997</v>
      </c>
      <c r="AC320" s="258" t="s">
        <v>2657</v>
      </c>
      <c r="AD320" s="257">
        <v>4.0374568753080302</v>
      </c>
      <c r="AE320">
        <f>IF('WetLitterbags placem_collection'!AB101="","",'WetLitterbags placem_collection'!AB101)</f>
        <v>5.0999999999999996</v>
      </c>
      <c r="AF320">
        <f>IF('WetLitterbags placem_collection'!Z101="","",'WetLitterbags placem_collection'!Z101)</f>
        <v>2.2999999999999998</v>
      </c>
      <c r="AG320" s="243" t="str">
        <f>IF('WetLitterbags placem_collection'!AA101="","",'WetLitterbags placem_collection'!AA101)</f>
        <v>G</v>
      </c>
      <c r="AH320">
        <f>IF('WetLitterbags placem_collection'!AC101="","",'WetLitterbags placem_collection'!AC101)</f>
        <v>0</v>
      </c>
      <c r="AI320" t="str">
        <f>IFERROR(AVERAGE('Dry_Litterbag Placem_Collection'!O101,'Dry_Litterbag Placem_Collection'!R101),"")</f>
        <v/>
      </c>
      <c r="AJ320" s="268" t="str">
        <f>IFERROR(AVERAGE('Dry_Litterbag Placem_Collection'!N101,'Dry_Litterbag Placem_Collection'!Q101),"")</f>
        <v/>
      </c>
      <c r="AK320" s="267">
        <f>INDEX(Coordinates!$B$2:$B$197,MATCH(H320,Coordinates!$J$2:$J$197,0))</f>
        <v>-2.369284993</v>
      </c>
      <c r="AL320" s="267">
        <f>INDEX(Coordinates!$C$2:$C$197,MATCH(H320,Coordinates!$J$2:$J$197,0))</f>
        <v>34.06028104</v>
      </c>
      <c r="AM320" s="267" t="str">
        <f>IF(ISNUMBER(SEARCH("C", 'Dry_Litterbag Placem_Collection'!T101)),"YES","NO")</f>
        <v>NO</v>
      </c>
      <c r="AN320" s="267" t="str">
        <f>IF(ISNUMBER(SEARCH("H", 'Dry_Litterbag Placem_Collection'!T101)),"YES","NO")</f>
        <v>NO</v>
      </c>
      <c r="AO320" s="267" t="str">
        <f>IF(ISNUMBER(SEARCH("R", 'Dry_Litterbag Placem_Collection'!T101)),"YES","NO")</f>
        <v>NO</v>
      </c>
    </row>
    <row r="321" spans="1:41" ht="15" customHeight="1">
      <c r="A321" s="259" t="s">
        <v>2643</v>
      </c>
      <c r="B321" s="260">
        <f>'Dry_Litterbag Placem_Collection'!A102</f>
        <v>100</v>
      </c>
      <c r="C321" s="260" t="str">
        <f>'Dry_Litterbag Placem_Collection'!B102</f>
        <v xml:space="preserve">Mwantimba
</v>
      </c>
      <c r="D321" s="260" t="s">
        <v>2454</v>
      </c>
      <c r="E321" s="260" t="s">
        <v>2644</v>
      </c>
      <c r="F321" s="260">
        <v>1</v>
      </c>
      <c r="G321" s="260" t="s">
        <v>3815</v>
      </c>
      <c r="H321" s="261" t="str">
        <f>'Dry_Litterbag Placem_Collection'!C102</f>
        <v>Wet_Ag1_T4</v>
      </c>
      <c r="I321" s="262" t="s">
        <v>2525</v>
      </c>
      <c r="J321" s="269" t="s">
        <v>298</v>
      </c>
      <c r="K321" s="260" t="str">
        <f>IF(ISBLANK('Dry_Litterbag Placem_Collection'!K102),"","R"&amp;""&amp;'Dry_Litterbag Placem_Collection'!K102)</f>
        <v>R276</v>
      </c>
      <c r="L321" s="264">
        <f>IFERROR(INDEX('Green_rooibos initial weight'!$C$5:$C$2000,MATCH(K321, 'Green_rooibos initial weight'!$A$5:$A$2000,0)),"")</f>
        <v>2.1930000000000001</v>
      </c>
      <c r="M321" s="264">
        <f>IFERROR(L321-(TBIcalc!$Q$9+TBIcalc!$Q$10),"")</f>
        <v>1.9432</v>
      </c>
      <c r="N321" s="385">
        <f>AVERAGE(Ashed_controlls!$K$12:$K$14)</f>
        <v>2.2816647271287041</v>
      </c>
      <c r="O321" s="264">
        <f t="shared" si="21"/>
        <v>1.8988626910224351</v>
      </c>
      <c r="P321" s="264">
        <f>IFERROR(INDEX('Both teabags AfterDry'!$D$2:$D$2000,MATCH(K321,'Both teabags AfterDry'!$A$2:$A$2000,0)),"")</f>
        <v>1.4581</v>
      </c>
      <c r="Q321" s="264">
        <f>IFERROR(IF(P321&gt;0,P321-(TBIcalc!$Q$9),""),"")</f>
        <v>1.3074999999999999</v>
      </c>
      <c r="R321" s="275">
        <f>IFERROR(INDEX('Ashed teabags dry'!$K$2:$K$2000,MATCH(K321,'Ashed teabags dry'!$A$2:$A$2000,0)),"")</f>
        <v>88.392857142857224</v>
      </c>
      <c r="S321" s="275">
        <f t="shared" si="22"/>
        <v>0.1517633928571418</v>
      </c>
      <c r="T321" s="265">
        <f>IF('Dry_Litterbag Placem_Collection'!E102="","",'Dry_Litterbag Placem_Collection'!E102)</f>
        <v>42939</v>
      </c>
      <c r="U321" s="265">
        <f>IF('Dry_Litterbag Placem_Collection'!G102="","",'Dry_Litterbag Placem_Collection'!G102)</f>
        <v>43010</v>
      </c>
      <c r="V321" s="266">
        <f t="shared" si="20"/>
        <v>71</v>
      </c>
      <c r="W321" s="264">
        <f t="shared" si="23"/>
        <v>0.63570000000000015</v>
      </c>
      <c r="X321" s="264">
        <f t="shared" si="24"/>
        <v>1.7470992981652933</v>
      </c>
      <c r="Y321" s="268">
        <f>IFERROR(INDEX(Rainfall_Dry!$O$2:$O$217,MATCH(B321, Rainfall_Dry!$A$2:$A$217,0)),"")</f>
        <v>137.19979645800001</v>
      </c>
      <c r="Z321" s="257">
        <v>45.96</v>
      </c>
      <c r="AA321" s="257">
        <v>14.920000000000003</v>
      </c>
      <c r="AB321" s="257">
        <v>39.119999999999997</v>
      </c>
      <c r="AC321" s="258" t="s">
        <v>2657</v>
      </c>
      <c r="AD321" s="257">
        <v>5.0374568753080302</v>
      </c>
      <c r="AE321">
        <f>IF('WetLitterbags placem_collection'!AB102="","",'WetLitterbags placem_collection'!AB102)</f>
        <v>1.6</v>
      </c>
      <c r="AF321">
        <f>IF('WetLitterbags placem_collection'!Z102="","",'WetLitterbags placem_collection'!Z102)</f>
        <v>15</v>
      </c>
      <c r="AG321" s="243" t="str">
        <f>IF('WetLitterbags placem_collection'!AA102="","",'WetLitterbags placem_collection'!AA102)</f>
        <v>G</v>
      </c>
      <c r="AH321">
        <f>IF('WetLitterbags placem_collection'!AC102="","",'WetLitterbags placem_collection'!AC102)</f>
        <v>1</v>
      </c>
      <c r="AI321">
        <f>IFERROR(AVERAGE('Dry_Litterbag Placem_Collection'!O102,'Dry_Litterbag Placem_Collection'!R102),"")</f>
        <v>6.75</v>
      </c>
      <c r="AJ321" s="268">
        <f>IFERROR(AVERAGE('Dry_Litterbag Placem_Collection'!N102,'Dry_Litterbag Placem_Collection'!Q102),"")</f>
        <v>29.1</v>
      </c>
      <c r="AK321" s="267">
        <f>INDEX(Coordinates!$B$2:$B$197,MATCH(H321,Coordinates!$J$2:$J$197,0))</f>
        <v>-2.3691989950000001</v>
      </c>
      <c r="AL321" s="267">
        <f>INDEX(Coordinates!$C$2:$C$197,MATCH(H321,Coordinates!$J$2:$J$197,0))</f>
        <v>34.060208029999998</v>
      </c>
      <c r="AM321" s="267" t="str">
        <f>IF(ISNUMBER(SEARCH("C", 'Dry_Litterbag Placem_Collection'!T102)),"YES","NO")</f>
        <v>YES</v>
      </c>
      <c r="AN321" s="267" t="str">
        <f>IF(ISNUMBER(SEARCH("H", 'Dry_Litterbag Placem_Collection'!T102)),"YES","NO")</f>
        <v>YES</v>
      </c>
      <c r="AO321" s="267" t="str">
        <f>IF(ISNUMBER(SEARCH("R", 'Dry_Litterbag Placem_Collection'!T102)),"YES","NO")</f>
        <v>NO</v>
      </c>
    </row>
    <row r="322" spans="1:41" ht="15" customHeight="1">
      <c r="A322" s="259" t="s">
        <v>2643</v>
      </c>
      <c r="B322" s="260">
        <f>'Dry_Litterbag Placem_Collection'!A103</f>
        <v>101</v>
      </c>
      <c r="C322" s="260" t="str">
        <f>'Dry_Litterbag Placem_Collection'!B103</f>
        <v xml:space="preserve">Mwantimba
</v>
      </c>
      <c r="D322" s="260" t="s">
        <v>2454</v>
      </c>
      <c r="E322" s="260" t="s">
        <v>2644</v>
      </c>
      <c r="F322" s="260">
        <v>1</v>
      </c>
      <c r="G322" s="260" t="s">
        <v>3815</v>
      </c>
      <c r="H322" s="261" t="str">
        <f>'Dry_Litterbag Placem_Collection'!C103</f>
        <v>Wet_Ag1_T5</v>
      </c>
      <c r="I322" s="262" t="s">
        <v>2525</v>
      </c>
      <c r="J322" s="269" t="s">
        <v>298</v>
      </c>
      <c r="K322" s="260" t="str">
        <f>IF(ISBLANK('Dry_Litterbag Placem_Collection'!K103),"","R"&amp;""&amp;'Dry_Litterbag Placem_Collection'!K103)</f>
        <v>R624</v>
      </c>
      <c r="L322" s="264">
        <f>IFERROR(INDEX('Green_rooibos initial weight'!$C$5:$C$2000,MATCH(K322, 'Green_rooibos initial weight'!$A$5:$A$2000,0)),"")</f>
        <v>2.0739999999999998</v>
      </c>
      <c r="M322" s="264">
        <f>IFERROR(L322-(TBIcalc!$Q$9+TBIcalc!$Q$10),"")</f>
        <v>1.8241999999999998</v>
      </c>
      <c r="N322" s="385">
        <f>AVERAGE(Ashed_controlls!$K$12:$K$14)</f>
        <v>2.2816647271287041</v>
      </c>
      <c r="O322" s="264">
        <f t="shared" si="21"/>
        <v>1.7825778720477179</v>
      </c>
      <c r="P322" s="264">
        <f>IFERROR(INDEX('Both teabags AfterDry'!$D$2:$D$2000,MATCH(K322,'Both teabags AfterDry'!$A$2:$A$2000,0)),"")</f>
        <v>0</v>
      </c>
      <c r="Q322" s="264" t="str">
        <f>IFERROR(IF(P322&gt;0,P322-(TBIcalc!$Q$9),""),"")</f>
        <v/>
      </c>
      <c r="R322" s="275">
        <f>IFERROR(INDEX('Ashed teabags dry'!$K$2:$K$2000,MATCH(K322,'Ashed teabags dry'!$A$2:$A$2000,0)),"")</f>
        <v>86.281234688877774</v>
      </c>
      <c r="S322" s="275" t="str">
        <f t="shared" si="22"/>
        <v/>
      </c>
      <c r="T322" s="265">
        <f>IF('Dry_Litterbag Placem_Collection'!E103="","",'Dry_Litterbag Placem_Collection'!E103)</f>
        <v>42939</v>
      </c>
      <c r="U322" s="265">
        <f>IF('Dry_Litterbag Placem_Collection'!G103="","",'Dry_Litterbag Placem_Collection'!G103)</f>
        <v>43010</v>
      </c>
      <c r="V322" s="266">
        <f t="shared" ref="V322:V385" si="25">IFERROR(U322-T322,"")</f>
        <v>71</v>
      </c>
      <c r="W322" s="264" t="str">
        <f t="shared" si="23"/>
        <v/>
      </c>
      <c r="X322" s="264" t="str">
        <f t="shared" si="24"/>
        <v/>
      </c>
      <c r="Y322" s="268">
        <f>IFERROR(INDEX(Rainfall_Dry!$O$2:$O$217,MATCH(B322, Rainfall_Dry!$A$2:$A$217,0)),"")</f>
        <v>137.19979645800001</v>
      </c>
      <c r="Z322" s="257">
        <v>45.96</v>
      </c>
      <c r="AA322" s="257">
        <v>14.920000000000003</v>
      </c>
      <c r="AB322" s="257">
        <v>39.119999999999997</v>
      </c>
      <c r="AC322" s="258" t="s">
        <v>2657</v>
      </c>
      <c r="AD322" s="257">
        <v>6.0374568753080302</v>
      </c>
      <c r="AE322">
        <f>IF('WetLitterbags placem_collection'!AB103="","",'WetLitterbags placem_collection'!AB103)</f>
        <v>4.3499999999999996</v>
      </c>
      <c r="AF322">
        <f>IF('WetLitterbags placem_collection'!Z103="","",'WetLitterbags placem_collection'!Z103)</f>
        <v>17</v>
      </c>
      <c r="AG322" s="243" t="str">
        <f>IF('WetLitterbags placem_collection'!AA103="","",'WetLitterbags placem_collection'!AA103)</f>
        <v>G</v>
      </c>
      <c r="AH322">
        <f>IF('WetLitterbags placem_collection'!AC103="","",'WetLitterbags placem_collection'!AC103)</f>
        <v>1</v>
      </c>
      <c r="AI322">
        <f>IFERROR(AVERAGE('Dry_Litterbag Placem_Collection'!O103,'Dry_Litterbag Placem_Collection'!R103),"")</f>
        <v>7.75</v>
      </c>
      <c r="AJ322" s="268">
        <f>IFERROR(AVERAGE('Dry_Litterbag Placem_Collection'!N103,'Dry_Litterbag Placem_Collection'!Q103),"")</f>
        <v>29.549999999999997</v>
      </c>
      <c r="AK322" s="267">
        <f>INDEX(Coordinates!$B$2:$B$197,MATCH(H322,Coordinates!$J$2:$J$197,0))</f>
        <v>-2.3691900260000001</v>
      </c>
      <c r="AL322" s="267">
        <f>INDEX(Coordinates!$C$2:$C$197,MATCH(H322,Coordinates!$J$2:$J$197,0))</f>
        <v>34.060177019999998</v>
      </c>
      <c r="AM322" s="267" t="str">
        <f>IF(ISNUMBER(SEARCH("C", 'Dry_Litterbag Placem_Collection'!T103)),"YES","NO")</f>
        <v>YES</v>
      </c>
      <c r="AN322" s="267" t="str">
        <f>IF(ISNUMBER(SEARCH("H", 'Dry_Litterbag Placem_Collection'!T103)),"YES","NO")</f>
        <v>YES</v>
      </c>
      <c r="AO322" s="267" t="str">
        <f>IF(ISNUMBER(SEARCH("R", 'Dry_Litterbag Placem_Collection'!T103)),"YES","NO")</f>
        <v>NO</v>
      </c>
    </row>
    <row r="323" spans="1:41" ht="15" customHeight="1">
      <c r="A323" s="259" t="s">
        <v>2643</v>
      </c>
      <c r="B323" s="260">
        <f>'Dry_Litterbag Placem_Collection'!A104</f>
        <v>102</v>
      </c>
      <c r="C323" s="260" t="str">
        <f>'Dry_Litterbag Placem_Collection'!B104</f>
        <v xml:space="preserve">Mwantimba
</v>
      </c>
      <c r="D323" s="260" t="s">
        <v>2454</v>
      </c>
      <c r="E323" s="260" t="s">
        <v>2644</v>
      </c>
      <c r="F323" s="260">
        <v>1</v>
      </c>
      <c r="G323" s="260" t="s">
        <v>3815</v>
      </c>
      <c r="H323" s="261" t="str">
        <f>'Dry_Litterbag Placem_Collection'!C104</f>
        <v>Wet_Ag1_T6</v>
      </c>
      <c r="I323" s="262" t="s">
        <v>2525</v>
      </c>
      <c r="J323" s="269" t="s">
        <v>298</v>
      </c>
      <c r="K323" s="260" t="str">
        <f>IF(ISBLANK('Dry_Litterbag Placem_Collection'!K104),"","R"&amp;""&amp;'Dry_Litterbag Placem_Collection'!K104)</f>
        <v>R781</v>
      </c>
      <c r="L323" s="264">
        <f>IFERROR(INDEX('Green_rooibos initial weight'!$C$5:$C$2000,MATCH(K323, 'Green_rooibos initial weight'!$A$5:$A$2000,0)),"")</f>
        <v>2.194</v>
      </c>
      <c r="M323" s="264">
        <f>IFERROR(L323-(TBIcalc!$Q$9+TBIcalc!$Q$10),"")</f>
        <v>1.9441999999999999</v>
      </c>
      <c r="N323" s="385">
        <f>AVERAGE(Ashed_controlls!$K$12:$K$14)</f>
        <v>2.2816647271287041</v>
      </c>
      <c r="O323" s="264">
        <f t="shared" ref="O323:O386" si="26">IFERROR(M323-(N323/100)*M323,"")</f>
        <v>1.8998398743751637</v>
      </c>
      <c r="P323" s="264">
        <f>IFERROR(INDEX('Both teabags AfterDry'!$D$2:$D$2000,MATCH(K323,'Both teabags AfterDry'!$A$2:$A$2000,0)),"")</f>
        <v>1.8687</v>
      </c>
      <c r="Q323" s="264">
        <f>IFERROR(IF(P323&gt;0,P323-(TBIcalc!$Q$9),""),"")</f>
        <v>1.7181</v>
      </c>
      <c r="R323" s="275">
        <f>IFERROR(INDEX('Ashed teabags dry'!$K$2:$K$2000,MATCH(K323,'Ashed teabags dry'!$A$2:$A$2000,0)),"")</f>
        <v>3.9305301645336419</v>
      </c>
      <c r="S323" s="275">
        <f t="shared" ref="S323:S386" si="27">IFERROR(Q323-(R323/100)*Q323,"")</f>
        <v>1.6505695612431475</v>
      </c>
      <c r="T323" s="265">
        <f>IF('Dry_Litterbag Placem_Collection'!E104="","",'Dry_Litterbag Placem_Collection'!E104)</f>
        <v>42939</v>
      </c>
      <c r="U323" s="265">
        <f>IF('Dry_Litterbag Placem_Collection'!G104="","",'Dry_Litterbag Placem_Collection'!G104)</f>
        <v>43010</v>
      </c>
      <c r="V323" s="266">
        <f t="shared" si="25"/>
        <v>71</v>
      </c>
      <c r="W323" s="264">
        <f t="shared" ref="W323:W386" si="28">IFERROR(M323-Q323,"")</f>
        <v>0.22609999999999997</v>
      </c>
      <c r="X323" s="264">
        <f t="shared" ref="X323:X386" si="29">IFERROR(O323-S323,"")</f>
        <v>0.2492703131320162</v>
      </c>
      <c r="Y323" s="268">
        <f>IFERROR(INDEX(Rainfall_Dry!$O$2:$O$217,MATCH(B323, Rainfall_Dry!$A$2:$A$217,0)),"")</f>
        <v>137.19979645800001</v>
      </c>
      <c r="Z323" s="257">
        <v>45.96</v>
      </c>
      <c r="AA323" s="257">
        <v>14.920000000000003</v>
      </c>
      <c r="AB323" s="257">
        <v>39.119999999999997</v>
      </c>
      <c r="AC323" s="258" t="s">
        <v>2657</v>
      </c>
      <c r="AD323" s="257">
        <v>7.0374568753080302</v>
      </c>
      <c r="AE323">
        <f>IF('WetLitterbags placem_collection'!AB104="","",'WetLitterbags placem_collection'!AB104)</f>
        <v>7.7</v>
      </c>
      <c r="AF323">
        <f>IF('WetLitterbags placem_collection'!Z104="","",'WetLitterbags placem_collection'!Z104)</f>
        <v>21</v>
      </c>
      <c r="AG323" s="243" t="str">
        <f>IF('WetLitterbags placem_collection'!AA104="","",'WetLitterbags placem_collection'!AA104)</f>
        <v>G</v>
      </c>
      <c r="AH323">
        <f>IF('WetLitterbags placem_collection'!AC104="","",'WetLitterbags placem_collection'!AC104)</f>
        <v>1</v>
      </c>
      <c r="AI323">
        <f>IFERROR(AVERAGE('Dry_Litterbag Placem_Collection'!O104,'Dry_Litterbag Placem_Collection'!R104),"")</f>
        <v>7.3000000000000007</v>
      </c>
      <c r="AJ323" s="268">
        <f>IFERROR(AVERAGE('Dry_Litterbag Placem_Collection'!N104,'Dry_Litterbag Placem_Collection'!Q104),"")</f>
        <v>29.05</v>
      </c>
      <c r="AK323" s="267">
        <f>INDEX(Coordinates!$B$2:$B$197,MATCH(H323,Coordinates!$J$2:$J$197,0))</f>
        <v>-2.3691350409999998</v>
      </c>
      <c r="AL323" s="267">
        <f>INDEX(Coordinates!$C$2:$C$197,MATCH(H323,Coordinates!$J$2:$J$197,0))</f>
        <v>34.06018297</v>
      </c>
      <c r="AM323" s="267" t="str">
        <f>IF(ISNUMBER(SEARCH("C", 'Dry_Litterbag Placem_Collection'!T104)),"YES","NO")</f>
        <v>YES</v>
      </c>
      <c r="AN323" s="267" t="str">
        <f>IF(ISNUMBER(SEARCH("H", 'Dry_Litterbag Placem_Collection'!T104)),"YES","NO")</f>
        <v>YES</v>
      </c>
      <c r="AO323" s="267" t="str">
        <f>IF(ISNUMBER(SEARCH("R", 'Dry_Litterbag Placem_Collection'!T104)),"YES","NO")</f>
        <v>NO</v>
      </c>
    </row>
    <row r="324" spans="1:41" ht="15" customHeight="1">
      <c r="A324" s="259" t="s">
        <v>2643</v>
      </c>
      <c r="B324" s="260">
        <f>'Dry_Litterbag Placem_Collection'!A105</f>
        <v>103</v>
      </c>
      <c r="C324" s="260" t="str">
        <f>'Dry_Litterbag Placem_Collection'!B105</f>
        <v xml:space="preserve">Mwantimba
</v>
      </c>
      <c r="D324" s="260" t="s">
        <v>2454</v>
      </c>
      <c r="E324" s="260" t="s">
        <v>2644</v>
      </c>
      <c r="F324" s="260">
        <v>1</v>
      </c>
      <c r="G324" s="260" t="s">
        <v>3815</v>
      </c>
      <c r="H324" s="261" t="str">
        <f>'Dry_Litterbag Placem_Collection'!C105</f>
        <v>Wet_Ag1_T7</v>
      </c>
      <c r="I324" s="262" t="s">
        <v>2525</v>
      </c>
      <c r="J324" s="269" t="s">
        <v>298</v>
      </c>
      <c r="K324" s="260" t="str">
        <f>IF(ISBLANK('Dry_Litterbag Placem_Collection'!K105),"","R"&amp;""&amp;'Dry_Litterbag Placem_Collection'!K105)</f>
        <v>R772</v>
      </c>
      <c r="L324" s="264">
        <f>IFERROR(INDEX('Green_rooibos initial weight'!$C$5:$C$2000,MATCH(K324, 'Green_rooibos initial weight'!$A$5:$A$2000,0)),"")</f>
        <v>2.1909999999999998</v>
      </c>
      <c r="M324" s="264">
        <f>IFERROR(L324-(TBIcalc!$Q$9+TBIcalc!$Q$10),"")</f>
        <v>1.9411999999999998</v>
      </c>
      <c r="N324" s="385">
        <f>AVERAGE(Ashed_controlls!$K$12:$K$14)</f>
        <v>2.2816647271287041</v>
      </c>
      <c r="O324" s="264">
        <f t="shared" si="26"/>
        <v>1.8969083243169773</v>
      </c>
      <c r="P324" s="264">
        <f>IFERROR(INDEX('Both teabags AfterDry'!$D$2:$D$2000,MATCH(K324,'Both teabags AfterDry'!$A$2:$A$2000,0)),"")</f>
        <v>1.5579000000000001</v>
      </c>
      <c r="Q324" s="264">
        <f>IFERROR(IF(P324&gt;0,P324-(TBIcalc!$Q$9),""),"")</f>
        <v>1.4073</v>
      </c>
      <c r="R324" s="275">
        <f>IFERROR(INDEX('Ashed teabags dry'!$K$2:$K$2000,MATCH(K324,'Ashed teabags dry'!$A$2:$A$2000,0)),"")</f>
        <v>79.426490669094463</v>
      </c>
      <c r="S324" s="275">
        <f t="shared" si="27"/>
        <v>0.28953099681383354</v>
      </c>
      <c r="T324" s="265">
        <f>IF('Dry_Litterbag Placem_Collection'!E105="","",'Dry_Litterbag Placem_Collection'!E105)</f>
        <v>42939</v>
      </c>
      <c r="U324" s="265">
        <f>IF('Dry_Litterbag Placem_Collection'!G105="","",'Dry_Litterbag Placem_Collection'!G105)</f>
        <v>43010</v>
      </c>
      <c r="V324" s="266">
        <f t="shared" si="25"/>
        <v>71</v>
      </c>
      <c r="W324" s="264">
        <f t="shared" si="28"/>
        <v>0.53389999999999982</v>
      </c>
      <c r="X324" s="264">
        <f t="shared" si="29"/>
        <v>1.6073773275031438</v>
      </c>
      <c r="Y324" s="268">
        <f>IFERROR(INDEX(Rainfall_Dry!$O$2:$O$217,MATCH(B324, Rainfall_Dry!$A$2:$A$217,0)),"")</f>
        <v>137.19979645800001</v>
      </c>
      <c r="Z324" s="257">
        <v>45.96</v>
      </c>
      <c r="AA324" s="257">
        <v>14.920000000000003</v>
      </c>
      <c r="AB324" s="257">
        <v>39.119999999999997</v>
      </c>
      <c r="AC324" s="258" t="s">
        <v>2657</v>
      </c>
      <c r="AD324" s="257">
        <v>8.0374568753080293</v>
      </c>
      <c r="AE324">
        <f>IF('WetLitterbags placem_collection'!AB105="","",'WetLitterbags placem_collection'!AB105)</f>
        <v>3.25</v>
      </c>
      <c r="AF324">
        <f>IF('WetLitterbags placem_collection'!Z105="","",'WetLitterbags placem_collection'!Z105)</f>
        <v>16</v>
      </c>
      <c r="AG324" s="243" t="str">
        <f>IF('WetLitterbags placem_collection'!AA105="","",'WetLitterbags placem_collection'!AA105)</f>
        <v>G</v>
      </c>
      <c r="AH324">
        <f>IF('WetLitterbags placem_collection'!AC105="","",'WetLitterbags placem_collection'!AC105)</f>
        <v>1</v>
      </c>
      <c r="AI324">
        <f>IFERROR(AVERAGE('Dry_Litterbag Placem_Collection'!O105,'Dry_Litterbag Placem_Collection'!R105),"")</f>
        <v>30.9</v>
      </c>
      <c r="AJ324" s="268">
        <f>IFERROR(AVERAGE('Dry_Litterbag Placem_Collection'!N105,'Dry_Litterbag Placem_Collection'!Q105),"")</f>
        <v>28.799999999999997</v>
      </c>
      <c r="AK324" s="267">
        <f>INDEX(Coordinates!$B$2:$B$197,MATCH(H324,Coordinates!$J$2:$J$197,0))</f>
        <v>-2.3691330289999999</v>
      </c>
      <c r="AL324" s="267">
        <f>INDEX(Coordinates!$C$2:$C$197,MATCH(H324,Coordinates!$J$2:$J$197,0))</f>
        <v>34.060233009999997</v>
      </c>
      <c r="AM324" s="267" t="str">
        <f>IF(ISNUMBER(SEARCH("C", 'Dry_Litterbag Placem_Collection'!T105)),"YES","NO")</f>
        <v>YES</v>
      </c>
      <c r="AN324" s="267" t="str">
        <f>IF(ISNUMBER(SEARCH("H", 'Dry_Litterbag Placem_Collection'!T105)),"YES","NO")</f>
        <v>YES</v>
      </c>
      <c r="AO324" s="267" t="str">
        <f>IF(ISNUMBER(SEARCH("R", 'Dry_Litterbag Placem_Collection'!T105)),"YES","NO")</f>
        <v>NO</v>
      </c>
    </row>
    <row r="325" spans="1:41" ht="15" customHeight="1">
      <c r="A325" s="259" t="s">
        <v>2643</v>
      </c>
      <c r="B325" s="260">
        <f>'Dry_Litterbag Placem_Collection'!A106</f>
        <v>104</v>
      </c>
      <c r="C325" s="260" t="str">
        <f>'Dry_Litterbag Placem_Collection'!B106</f>
        <v xml:space="preserve">Mwantimba
</v>
      </c>
      <c r="D325" s="260" t="s">
        <v>2454</v>
      </c>
      <c r="E325" s="260" t="s">
        <v>2644</v>
      </c>
      <c r="F325" s="260">
        <v>1</v>
      </c>
      <c r="G325" s="260" t="s">
        <v>3815</v>
      </c>
      <c r="H325" s="261" t="str">
        <f>'Dry_Litterbag Placem_Collection'!C106</f>
        <v>Wet_Ag1_T8</v>
      </c>
      <c r="I325" s="262" t="s">
        <v>2525</v>
      </c>
      <c r="J325" s="269" t="s">
        <v>298</v>
      </c>
      <c r="K325" s="260" t="str">
        <f>IF(ISBLANK('Dry_Litterbag Placem_Collection'!K106),"","R"&amp;""&amp;'Dry_Litterbag Placem_Collection'!K106)</f>
        <v>R744</v>
      </c>
      <c r="L325" s="264">
        <f>IFERROR(INDEX('Green_rooibos initial weight'!$C$5:$C$2000,MATCH(K325, 'Green_rooibos initial weight'!$A$5:$A$2000,0)),"")</f>
        <v>2.2280000000000002</v>
      </c>
      <c r="M325" s="264">
        <f>IFERROR(L325-(TBIcalc!$Q$9+TBIcalc!$Q$10),"")</f>
        <v>1.9782000000000002</v>
      </c>
      <c r="N325" s="385">
        <f>AVERAGE(Ashed_controlls!$K$12:$K$14)</f>
        <v>2.2816647271287041</v>
      </c>
      <c r="O325" s="264">
        <f t="shared" si="26"/>
        <v>1.9330641083679401</v>
      </c>
      <c r="P325" s="264">
        <f>IFERROR(INDEX('Both teabags AfterDry'!$D$2:$D$2000,MATCH(K325,'Both teabags AfterDry'!$A$2:$A$2000,0)),"")</f>
        <v>0</v>
      </c>
      <c r="Q325" s="264" t="str">
        <f>IFERROR(IF(P325&gt;0,P325-(TBIcalc!$Q$9),""),"")</f>
        <v/>
      </c>
      <c r="R325" s="275">
        <f>IFERROR(INDEX('Ashed teabags dry'!$K$2:$K$2000,MATCH(K325,'Ashed teabags dry'!$A$2:$A$2000,0)),"")</f>
        <v>84.528487229861895</v>
      </c>
      <c r="S325" s="275" t="str">
        <f t="shared" si="27"/>
        <v/>
      </c>
      <c r="T325" s="265">
        <f>IF('Dry_Litterbag Placem_Collection'!E106="","",'Dry_Litterbag Placem_Collection'!E106)</f>
        <v>42939</v>
      </c>
      <c r="U325" s="265">
        <f>IF('Dry_Litterbag Placem_Collection'!G106="","",'Dry_Litterbag Placem_Collection'!G106)</f>
        <v>43010</v>
      </c>
      <c r="V325" s="266">
        <f t="shared" si="25"/>
        <v>71</v>
      </c>
      <c r="W325" s="264" t="str">
        <f t="shared" si="28"/>
        <v/>
      </c>
      <c r="X325" s="264" t="str">
        <f t="shared" si="29"/>
        <v/>
      </c>
      <c r="Y325" s="268">
        <f>IFERROR(INDEX(Rainfall_Dry!$O$2:$O$217,MATCH(B325, Rainfall_Dry!$A$2:$A$217,0)),"")</f>
        <v>137.19979645800001</v>
      </c>
      <c r="Z325" s="257">
        <v>45.96</v>
      </c>
      <c r="AA325" s="257">
        <v>14.920000000000003</v>
      </c>
      <c r="AB325" s="257">
        <v>39.119999999999997</v>
      </c>
      <c r="AC325" s="258" t="s">
        <v>2657</v>
      </c>
      <c r="AD325" s="257">
        <v>9.0374568753080293</v>
      </c>
      <c r="AE325">
        <f>IF('WetLitterbags placem_collection'!AB106="","",'WetLitterbags placem_collection'!AB106)</f>
        <v>10.5</v>
      </c>
      <c r="AF325">
        <f>IF('WetLitterbags placem_collection'!Z106="","",'WetLitterbags placem_collection'!Z106)</f>
        <v>17</v>
      </c>
      <c r="AG325" s="243" t="str">
        <f>IF('WetLitterbags placem_collection'!AA106="","",'WetLitterbags placem_collection'!AA106)</f>
        <v>G</v>
      </c>
      <c r="AH325">
        <f>IF('WetLitterbags placem_collection'!AC106="","",'WetLitterbags placem_collection'!AC106)</f>
        <v>1</v>
      </c>
      <c r="AI325">
        <f>IFERROR(AVERAGE('Dry_Litterbag Placem_Collection'!O106,'Dry_Litterbag Placem_Collection'!R106),"")</f>
        <v>9.3000000000000007</v>
      </c>
      <c r="AJ325" s="268">
        <f>IFERROR(AVERAGE('Dry_Litterbag Placem_Collection'!N106,'Dry_Litterbag Placem_Collection'!Q106),"")</f>
        <v>28.05</v>
      </c>
      <c r="AK325" s="267">
        <f>INDEX(Coordinates!$B$2:$B$197,MATCH(H325,Coordinates!$J$2:$J$197,0))</f>
        <v>-2.3692910280000001</v>
      </c>
      <c r="AL325" s="267">
        <f>INDEX(Coordinates!$C$2:$C$197,MATCH(H325,Coordinates!$J$2:$J$197,0))</f>
        <v>34.06016202</v>
      </c>
      <c r="AM325" s="267" t="str">
        <f>IF(ISNUMBER(SEARCH("C", 'Dry_Litterbag Placem_Collection'!T106)),"YES","NO")</f>
        <v>YES</v>
      </c>
      <c r="AN325" s="267" t="str">
        <f>IF(ISNUMBER(SEARCH("H", 'Dry_Litterbag Placem_Collection'!T106)),"YES","NO")</f>
        <v>YES</v>
      </c>
      <c r="AO325" s="267" t="str">
        <f>IF(ISNUMBER(SEARCH("R", 'Dry_Litterbag Placem_Collection'!T106)),"YES","NO")</f>
        <v>NO</v>
      </c>
    </row>
    <row r="326" spans="1:41" ht="15" customHeight="1">
      <c r="A326" s="259" t="s">
        <v>2643</v>
      </c>
      <c r="B326" s="260">
        <f>'Dry_Litterbag Placem_Collection'!A107</f>
        <v>105</v>
      </c>
      <c r="C326" s="260" t="str">
        <f>'Dry_Litterbag Placem_Collection'!B107</f>
        <v xml:space="preserve">Mwantimba
</v>
      </c>
      <c r="D326" s="260" t="s">
        <v>2454</v>
      </c>
      <c r="E326" s="260" t="s">
        <v>2644</v>
      </c>
      <c r="F326" s="260">
        <v>2</v>
      </c>
      <c r="G326" s="260" t="s">
        <v>3817</v>
      </c>
      <c r="H326" s="261" t="str">
        <f>'Dry_Litterbag Placem_Collection'!C107</f>
        <v>Wet_Ag2_T1</v>
      </c>
      <c r="I326" s="262" t="s">
        <v>2525</v>
      </c>
      <c r="J326" s="269" t="s">
        <v>298</v>
      </c>
      <c r="K326" s="260" t="str">
        <f>IF(ISBLANK('Dry_Litterbag Placem_Collection'!K107),"","R"&amp;""&amp;'Dry_Litterbag Placem_Collection'!K107)</f>
        <v>R824</v>
      </c>
      <c r="L326" s="264">
        <f>IFERROR(INDEX('Green_rooibos initial weight'!$C$5:$C$2000,MATCH(K326, 'Green_rooibos initial weight'!$A$5:$A$2000,0)),"")</f>
        <v>2.173</v>
      </c>
      <c r="M326" s="264">
        <f>IFERROR(L326-(TBIcalc!$Q$9+TBIcalc!$Q$10),"")</f>
        <v>1.9232</v>
      </c>
      <c r="N326" s="385">
        <f>AVERAGE(Ashed_controlls!$K$12:$K$14)</f>
        <v>2.2816647271287041</v>
      </c>
      <c r="O326" s="264">
        <f t="shared" si="26"/>
        <v>1.8793190239678608</v>
      </c>
      <c r="P326" s="264">
        <f>IFERROR(INDEX('Both teabags AfterDry'!$D$2:$D$2000,MATCH(K326,'Both teabags AfterDry'!$A$2:$A$2000,0)),"")</f>
        <v>1.7653000000000001</v>
      </c>
      <c r="Q326" s="264">
        <f>IFERROR(IF(P326&gt;0,P326-(TBIcalc!$Q$9),""),"")</f>
        <v>1.6147</v>
      </c>
      <c r="R326" s="275">
        <f>IFERROR(INDEX('Ashed teabags dry'!$K$2:$K$2000,MATCH(K326,'Ashed teabags dry'!$A$2:$A$2000,0)),"")</f>
        <v>83.348375451263863</v>
      </c>
      <c r="S326" s="275">
        <f t="shared" si="27"/>
        <v>0.26887378158844233</v>
      </c>
      <c r="T326" s="265">
        <f>IF('Dry_Litterbag Placem_Collection'!E107="","",'Dry_Litterbag Placem_Collection'!E107)</f>
        <v>42939</v>
      </c>
      <c r="U326" s="265">
        <f>IF('Dry_Litterbag Placem_Collection'!G107="","",'Dry_Litterbag Placem_Collection'!G107)</f>
        <v>43010</v>
      </c>
      <c r="V326" s="266">
        <f t="shared" si="25"/>
        <v>71</v>
      </c>
      <c r="W326" s="264">
        <f t="shared" si="28"/>
        <v>0.3085</v>
      </c>
      <c r="X326" s="264">
        <f t="shared" si="29"/>
        <v>1.6104452423794184</v>
      </c>
      <c r="Y326" s="268">
        <f>IFERROR(INDEX(Rainfall_Dry!$O$2:$O$217,MATCH(B326, Rainfall_Dry!$A$2:$A$217,0)),"")</f>
        <v>137.19979645800001</v>
      </c>
      <c r="Z326" s="257">
        <v>34.344660194174757</v>
      </c>
      <c r="AA326" s="257">
        <v>19.22727272727273</v>
      </c>
      <c r="AB326" s="257">
        <v>46.428067078552509</v>
      </c>
      <c r="AC326" s="258" t="s">
        <v>2654</v>
      </c>
      <c r="AD326" s="257">
        <v>1.7452932479053718</v>
      </c>
      <c r="AE326">
        <f>IF('WetLitterbags placem_collection'!AB107="","",'WetLitterbags placem_collection'!AB107)</f>
        <v>5.5</v>
      </c>
      <c r="AF326">
        <f>IF('WetLitterbags placem_collection'!Z107="","",'WetLitterbags placem_collection'!Z107)</f>
        <v>23.5</v>
      </c>
      <c r="AG326" s="243" t="str">
        <f>IF('WetLitterbags placem_collection'!AA107="","",'WetLitterbags placem_collection'!AA107)</f>
        <v>M</v>
      </c>
      <c r="AH326">
        <f>IF('WetLitterbags placem_collection'!AC107="","",'WetLitterbags placem_collection'!AC107)</f>
        <v>0</v>
      </c>
      <c r="AI326">
        <f>IFERROR(AVERAGE('Dry_Litterbag Placem_Collection'!O107,'Dry_Litterbag Placem_Collection'!R107),"")</f>
        <v>7.5500000000000007</v>
      </c>
      <c r="AJ326" s="268">
        <f>IFERROR(AVERAGE('Dry_Litterbag Placem_Collection'!N107,'Dry_Litterbag Placem_Collection'!Q107),"")</f>
        <v>30.549999999999997</v>
      </c>
      <c r="AK326" s="267">
        <f>INDEX(Coordinates!$B$2:$B$197,MATCH(H326,Coordinates!$J$2:$J$197,0))</f>
        <v>-2.3698080240000001</v>
      </c>
      <c r="AL326" s="267">
        <f>INDEX(Coordinates!$C$2:$C$197,MATCH(H326,Coordinates!$J$2:$J$197,0))</f>
        <v>34.059671010000002</v>
      </c>
      <c r="AM326" s="267" t="str">
        <f>IF(ISNUMBER(SEARCH("C", 'Dry_Litterbag Placem_Collection'!T107)),"YES","NO")</f>
        <v>YES</v>
      </c>
      <c r="AN326" s="267" t="str">
        <f>IF(ISNUMBER(SEARCH("H", 'Dry_Litterbag Placem_Collection'!T107)),"YES","NO")</f>
        <v>YES</v>
      </c>
      <c r="AO326" s="267" t="str">
        <f>IF(ISNUMBER(SEARCH("R", 'Dry_Litterbag Placem_Collection'!T107)),"YES","NO")</f>
        <v>NO</v>
      </c>
    </row>
    <row r="327" spans="1:41" ht="15" customHeight="1">
      <c r="A327" s="259" t="s">
        <v>2643</v>
      </c>
      <c r="B327" s="260">
        <f>'Dry_Litterbag Placem_Collection'!A108</f>
        <v>106</v>
      </c>
      <c r="C327" s="260" t="str">
        <f>'Dry_Litterbag Placem_Collection'!B108</f>
        <v xml:space="preserve">Mwantimba
</v>
      </c>
      <c r="D327" s="260" t="s">
        <v>2454</v>
      </c>
      <c r="E327" s="260" t="s">
        <v>2644</v>
      </c>
      <c r="F327" s="260">
        <v>2</v>
      </c>
      <c r="G327" s="260" t="s">
        <v>3817</v>
      </c>
      <c r="H327" s="261" t="str">
        <f>'Dry_Litterbag Placem_Collection'!C108</f>
        <v>Wet_Ag2_T2</v>
      </c>
      <c r="I327" s="262" t="s">
        <v>2525</v>
      </c>
      <c r="J327" s="269" t="s">
        <v>298</v>
      </c>
      <c r="K327" s="260" t="str">
        <f>IF(ISBLANK('Dry_Litterbag Placem_Collection'!K108),"","R"&amp;""&amp;'Dry_Litterbag Placem_Collection'!K108)</f>
        <v>R790</v>
      </c>
      <c r="L327" s="264">
        <f>IFERROR(INDEX('Green_rooibos initial weight'!$C$5:$C$2000,MATCH(K327, 'Green_rooibos initial weight'!$A$5:$A$2000,0)),"")</f>
        <v>2.266</v>
      </c>
      <c r="M327" s="264">
        <f>IFERROR(L327-(TBIcalc!$Q$9+TBIcalc!$Q$10),"")</f>
        <v>2.0162</v>
      </c>
      <c r="N327" s="385">
        <f>AVERAGE(Ashed_controlls!$K$12:$K$14)</f>
        <v>2.2816647271287041</v>
      </c>
      <c r="O327" s="264">
        <f t="shared" si="26"/>
        <v>1.9701970757716312</v>
      </c>
      <c r="P327" s="264">
        <f>IFERROR(INDEX('Both teabags AfterDry'!$D$2:$D$2000,MATCH(K327,'Both teabags AfterDry'!$A$2:$A$2000,0)),"")</f>
        <v>2.2315</v>
      </c>
      <c r="Q327" s="264">
        <f>IFERROR(IF(P327&gt;0,P327-(TBIcalc!$Q$9),""),"")</f>
        <v>2.0809000000000002</v>
      </c>
      <c r="R327" s="275">
        <f>IFERROR(INDEX('Ashed teabags dry'!$K$2:$K$2000,MATCH(K327,'Ashed teabags dry'!$A$2:$A$2000,0)),"")</f>
        <v>81.485100146555695</v>
      </c>
      <c r="S327" s="275">
        <f t="shared" si="27"/>
        <v>0.38527655105032244</v>
      </c>
      <c r="T327" s="265">
        <f>IF('Dry_Litterbag Placem_Collection'!E108="","",'Dry_Litterbag Placem_Collection'!E108)</f>
        <v>42939</v>
      </c>
      <c r="U327" s="265">
        <f>IF('Dry_Litterbag Placem_Collection'!G108="","",'Dry_Litterbag Placem_Collection'!G108)</f>
        <v>43010</v>
      </c>
      <c r="V327" s="266">
        <f t="shared" si="25"/>
        <v>71</v>
      </c>
      <c r="W327" s="264">
        <f t="shared" si="28"/>
        <v>-6.4700000000000202E-2</v>
      </c>
      <c r="X327" s="264">
        <f t="shared" si="29"/>
        <v>1.5849205247213087</v>
      </c>
      <c r="Y327" s="268">
        <f>IFERROR(INDEX(Rainfall_Dry!$O$2:$O$217,MATCH(B327, Rainfall_Dry!$A$2:$A$217,0)),"")</f>
        <v>137.19979645800001</v>
      </c>
      <c r="Z327" s="257">
        <v>34.344660194174757</v>
      </c>
      <c r="AA327" s="257">
        <v>19.22727272727273</v>
      </c>
      <c r="AB327" s="257">
        <v>46.428067078552509</v>
      </c>
      <c r="AC327" s="258" t="s">
        <v>2654</v>
      </c>
      <c r="AD327" s="257">
        <v>2.7452932479053702</v>
      </c>
      <c r="AE327">
        <f>IF('WetLitterbags placem_collection'!AB108="","",'WetLitterbags placem_collection'!AB108)</f>
        <v>8.6</v>
      </c>
      <c r="AF327">
        <f>IF('WetLitterbags placem_collection'!Z108="","",'WetLitterbags placem_collection'!Z108)</f>
        <v>17</v>
      </c>
      <c r="AG327" s="243" t="str">
        <f>IF('WetLitterbags placem_collection'!AA108="","",'WetLitterbags placem_collection'!AA108)</f>
        <v>M</v>
      </c>
      <c r="AH327">
        <f>IF('WetLitterbags placem_collection'!AC108="","",'WetLitterbags placem_collection'!AC108)</f>
        <v>0</v>
      </c>
      <c r="AI327">
        <f>IFERROR(AVERAGE('Dry_Litterbag Placem_Collection'!O108,'Dry_Litterbag Placem_Collection'!R108),"")</f>
        <v>6.1</v>
      </c>
      <c r="AJ327" s="268">
        <f>IFERROR(AVERAGE('Dry_Litterbag Placem_Collection'!N108,'Dry_Litterbag Placem_Collection'!Q108),"")</f>
        <v>31.3</v>
      </c>
      <c r="AK327" s="267">
        <f>INDEX(Coordinates!$B$2:$B$197,MATCH(H327,Coordinates!$J$2:$J$197,0))</f>
        <v>-2.3697620069999998</v>
      </c>
      <c r="AL327" s="267">
        <f>INDEX(Coordinates!$C$2:$C$197,MATCH(H327,Coordinates!$J$2:$J$197,0))</f>
        <v>34.059730010000003</v>
      </c>
      <c r="AM327" s="267" t="str">
        <f>IF(ISNUMBER(SEARCH("C", 'Dry_Litterbag Placem_Collection'!T108)),"YES","NO")</f>
        <v>YES</v>
      </c>
      <c r="AN327" s="267" t="str">
        <f>IF(ISNUMBER(SEARCH("H", 'Dry_Litterbag Placem_Collection'!T108)),"YES","NO")</f>
        <v>YES</v>
      </c>
      <c r="AO327" s="267" t="str">
        <f>IF(ISNUMBER(SEARCH("R", 'Dry_Litterbag Placem_Collection'!T108)),"YES","NO")</f>
        <v>NO</v>
      </c>
    </row>
    <row r="328" spans="1:41" ht="15" customHeight="1">
      <c r="A328" s="259" t="s">
        <v>2643</v>
      </c>
      <c r="B328" s="260">
        <f>'Dry_Litterbag Placem_Collection'!A109</f>
        <v>107</v>
      </c>
      <c r="C328" s="260" t="str">
        <f>'Dry_Litterbag Placem_Collection'!B109</f>
        <v xml:space="preserve">Mwantimba
</v>
      </c>
      <c r="D328" s="260" t="s">
        <v>2454</v>
      </c>
      <c r="E328" s="260" t="s">
        <v>2644</v>
      </c>
      <c r="F328" s="260">
        <v>2</v>
      </c>
      <c r="G328" s="260" t="s">
        <v>3817</v>
      </c>
      <c r="H328" s="261" t="str">
        <f>'Dry_Litterbag Placem_Collection'!C109</f>
        <v>Wet_Ag2_T3</v>
      </c>
      <c r="I328" s="262" t="s">
        <v>2525</v>
      </c>
      <c r="J328" s="269" t="s">
        <v>298</v>
      </c>
      <c r="K328" s="260" t="str">
        <f>IF(ISBLANK('Dry_Litterbag Placem_Collection'!K109),"","R"&amp;""&amp;'Dry_Litterbag Placem_Collection'!K109)</f>
        <v>R809</v>
      </c>
      <c r="L328" s="264">
        <f>IFERROR(INDEX('Green_rooibos initial weight'!$C$5:$C$2000,MATCH(K328, 'Green_rooibos initial weight'!$A$5:$A$2000,0)),"")</f>
        <v>2.2210000000000001</v>
      </c>
      <c r="M328" s="264">
        <f>IFERROR(L328-(TBIcalc!$Q$9+TBIcalc!$Q$10),"")</f>
        <v>1.9712000000000001</v>
      </c>
      <c r="N328" s="385">
        <f>AVERAGE(Ashed_controlls!$K$12:$K$14)</f>
        <v>2.2816647271287041</v>
      </c>
      <c r="O328" s="264">
        <f t="shared" si="26"/>
        <v>1.926223824898839</v>
      </c>
      <c r="P328" s="264" t="str">
        <f>IFERROR(INDEX('Both teabags AfterDry'!$D$2:$D$2000,MATCH(K328,'Both teabags AfterDry'!$A$2:$A$2000,0)),"")</f>
        <v/>
      </c>
      <c r="Q328" s="264" t="str">
        <f>IFERROR(IF(P328&gt;0,P328-(TBIcalc!$Q$9),""),"")</f>
        <v/>
      </c>
      <c r="R328" s="275" t="str">
        <f>IFERROR(INDEX('Ashed teabags dry'!$K$2:$K$2000,MATCH(K328,'Ashed teabags dry'!$A$2:$A$2000,0)),"")</f>
        <v/>
      </c>
      <c r="S328" s="275" t="str">
        <f t="shared" si="27"/>
        <v/>
      </c>
      <c r="T328" s="265">
        <f>IF('Dry_Litterbag Placem_Collection'!E109="","",'Dry_Litterbag Placem_Collection'!E109)</f>
        <v>42939</v>
      </c>
      <c r="U328" s="265">
        <f>IF('Dry_Litterbag Placem_Collection'!G109="","",'Dry_Litterbag Placem_Collection'!G109)</f>
        <v>43010</v>
      </c>
      <c r="V328" s="266">
        <f t="shared" si="25"/>
        <v>71</v>
      </c>
      <c r="W328" s="264" t="str">
        <f t="shared" si="28"/>
        <v/>
      </c>
      <c r="X328" s="264" t="str">
        <f t="shared" si="29"/>
        <v/>
      </c>
      <c r="Y328" s="268">
        <f>IFERROR(INDEX(Rainfall_Dry!$O$2:$O$217,MATCH(B328, Rainfall_Dry!$A$2:$A$217,0)),"")</f>
        <v>137.19979645800001</v>
      </c>
      <c r="Z328" s="257">
        <v>34.344660194174757</v>
      </c>
      <c r="AA328" s="257">
        <v>19.22727272727273</v>
      </c>
      <c r="AB328" s="257">
        <v>46.428067078552509</v>
      </c>
      <c r="AC328" s="258" t="s">
        <v>2654</v>
      </c>
      <c r="AD328" s="257">
        <v>3.7452932479053702</v>
      </c>
      <c r="AE328">
        <f>IF('WetLitterbags placem_collection'!AB109="","",'WetLitterbags placem_collection'!AB109)</f>
        <v>3.85</v>
      </c>
      <c r="AF328">
        <f>IF('WetLitterbags placem_collection'!Z109="","",'WetLitterbags placem_collection'!Z109)</f>
        <v>15.5</v>
      </c>
      <c r="AG328" s="243" t="str">
        <f>IF('WetLitterbags placem_collection'!AA109="","",'WetLitterbags placem_collection'!AA109)</f>
        <v>M</v>
      </c>
      <c r="AH328">
        <f>IF('WetLitterbags placem_collection'!AC109="","",'WetLitterbags placem_collection'!AC109)</f>
        <v>0</v>
      </c>
      <c r="AI328">
        <f>IFERROR(AVERAGE('Dry_Litterbag Placem_Collection'!O109,'Dry_Litterbag Placem_Collection'!R109),"")</f>
        <v>5.3</v>
      </c>
      <c r="AJ328" s="268">
        <f>IFERROR(AVERAGE('Dry_Litterbag Placem_Collection'!N109,'Dry_Litterbag Placem_Collection'!Q109),"")</f>
        <v>30.200000000000003</v>
      </c>
      <c r="AK328" s="267">
        <f>INDEX(Coordinates!$B$2:$B$197,MATCH(H328,Coordinates!$J$2:$J$197,0))</f>
        <v>-2.3698409649999999</v>
      </c>
      <c r="AL328" s="267">
        <f>INDEX(Coordinates!$C$2:$C$197,MATCH(H328,Coordinates!$J$2:$J$197,0))</f>
        <v>34.059814000000003</v>
      </c>
      <c r="AM328" s="267" t="str">
        <f>IF(ISNUMBER(SEARCH("C", 'Dry_Litterbag Placem_Collection'!T109)),"YES","NO")</f>
        <v>YES</v>
      </c>
      <c r="AN328" s="267" t="str">
        <f>IF(ISNUMBER(SEARCH("H", 'Dry_Litterbag Placem_Collection'!T109)),"YES","NO")</f>
        <v>YES</v>
      </c>
      <c r="AO328" s="267" t="str">
        <f>IF(ISNUMBER(SEARCH("R", 'Dry_Litterbag Placem_Collection'!T109)),"YES","NO")</f>
        <v>NO</v>
      </c>
    </row>
    <row r="329" spans="1:41" ht="15" customHeight="1">
      <c r="A329" s="259" t="s">
        <v>2643</v>
      </c>
      <c r="B329" s="260">
        <f>'Dry_Litterbag Placem_Collection'!A110</f>
        <v>108</v>
      </c>
      <c r="C329" s="260" t="str">
        <f>'Dry_Litterbag Placem_Collection'!B110</f>
        <v xml:space="preserve">Mwantimba
</v>
      </c>
      <c r="D329" s="260" t="s">
        <v>2454</v>
      </c>
      <c r="E329" s="260" t="s">
        <v>2644</v>
      </c>
      <c r="F329" s="260">
        <v>2</v>
      </c>
      <c r="G329" s="260" t="s">
        <v>3817</v>
      </c>
      <c r="H329" s="261" t="str">
        <f>'Dry_Litterbag Placem_Collection'!C110</f>
        <v>Wet_Ag2_T4</v>
      </c>
      <c r="I329" s="262" t="s">
        <v>2525</v>
      </c>
      <c r="J329" s="269" t="s">
        <v>298</v>
      </c>
      <c r="K329" s="260" t="str">
        <f>IF(ISBLANK('Dry_Litterbag Placem_Collection'!K110),"","R"&amp;""&amp;'Dry_Litterbag Placem_Collection'!K110)</f>
        <v>R777</v>
      </c>
      <c r="L329" s="264">
        <f>IFERROR(INDEX('Green_rooibos initial weight'!$C$5:$C$2000,MATCH(K329, 'Green_rooibos initial weight'!$A$5:$A$2000,0)),"")</f>
        <v>2.2549999999999999</v>
      </c>
      <c r="M329" s="264">
        <f>IFERROR(L329-(TBIcalc!$Q$9+TBIcalc!$Q$10),"")</f>
        <v>2.0051999999999999</v>
      </c>
      <c r="N329" s="385">
        <f>AVERAGE(Ashed_controlls!$K$12:$K$14)</f>
        <v>2.2816647271287041</v>
      </c>
      <c r="O329" s="264">
        <f t="shared" si="26"/>
        <v>1.959448058891615</v>
      </c>
      <c r="P329" s="264">
        <f>IFERROR(INDEX('Both teabags AfterDry'!$D$2:$D$2000,MATCH(K329,'Both teabags AfterDry'!$A$2:$A$2000,0)),"")</f>
        <v>1.8240000000000001</v>
      </c>
      <c r="Q329" s="264">
        <f>IFERROR(IF(P329&gt;0,P329-(TBIcalc!$Q$9),""),"")</f>
        <v>1.6734</v>
      </c>
      <c r="R329" s="275">
        <f>IFERROR(INDEX('Ashed teabags dry'!$K$2:$K$2000,MATCH(K329,'Ashed teabags dry'!$A$2:$A$2000,0)),"")</f>
        <v>4.6835443037977491</v>
      </c>
      <c r="S329" s="275">
        <f t="shared" si="27"/>
        <v>1.5950255696202484</v>
      </c>
      <c r="T329" s="265">
        <f>IF('Dry_Litterbag Placem_Collection'!E110="","",'Dry_Litterbag Placem_Collection'!E110)</f>
        <v>42939</v>
      </c>
      <c r="U329" s="265">
        <f>IF('Dry_Litterbag Placem_Collection'!G110="","",'Dry_Litterbag Placem_Collection'!G110)</f>
        <v>43010</v>
      </c>
      <c r="V329" s="266">
        <f t="shared" si="25"/>
        <v>71</v>
      </c>
      <c r="W329" s="264">
        <f t="shared" si="28"/>
        <v>0.33179999999999987</v>
      </c>
      <c r="X329" s="264">
        <f t="shared" si="29"/>
        <v>0.36442248927136656</v>
      </c>
      <c r="Y329" s="268">
        <f>IFERROR(INDEX(Rainfall_Dry!$O$2:$O$217,MATCH(B329, Rainfall_Dry!$A$2:$A$217,0)),"")</f>
        <v>137.19979645800001</v>
      </c>
      <c r="Z329" s="257">
        <v>34.344660194174757</v>
      </c>
      <c r="AA329" s="257">
        <v>19.22727272727273</v>
      </c>
      <c r="AB329" s="257">
        <v>46.428067078552509</v>
      </c>
      <c r="AC329" s="258" t="s">
        <v>2654</v>
      </c>
      <c r="AD329" s="257">
        <v>4.7452932479053702</v>
      </c>
      <c r="AE329">
        <f>IF('WetLitterbags placem_collection'!AB110="","",'WetLitterbags placem_collection'!AB110)</f>
        <v>9.6999999999999993</v>
      </c>
      <c r="AF329">
        <f>IF('WetLitterbags placem_collection'!Z110="","",'WetLitterbags placem_collection'!Z110)</f>
        <v>22.5</v>
      </c>
      <c r="AG329" s="243" t="str">
        <f>IF('WetLitterbags placem_collection'!AA110="","",'WetLitterbags placem_collection'!AA110)</f>
        <v>M</v>
      </c>
      <c r="AH329">
        <f>IF('WetLitterbags placem_collection'!AC110="","",'WetLitterbags placem_collection'!AC110)</f>
        <v>0</v>
      </c>
      <c r="AI329">
        <f>IFERROR(AVERAGE('Dry_Litterbag Placem_Collection'!O110,'Dry_Litterbag Placem_Collection'!R110),"")</f>
        <v>7.65</v>
      </c>
      <c r="AJ329" s="268">
        <f>IFERROR(AVERAGE('Dry_Litterbag Placem_Collection'!N110,'Dry_Litterbag Placem_Collection'!Q110),"")</f>
        <v>31.8</v>
      </c>
      <c r="AK329" s="267">
        <f>INDEX(Coordinates!$B$2:$B$197,MATCH(H329,Coordinates!$J$2:$J$197,0))</f>
        <v>-2.3698620030000002</v>
      </c>
      <c r="AL329" s="267">
        <f>INDEX(Coordinates!$C$2:$C$197,MATCH(H329,Coordinates!$J$2:$J$197,0))</f>
        <v>34.059759020000001</v>
      </c>
      <c r="AM329" s="267" t="str">
        <f>IF(ISNUMBER(SEARCH("C", 'Dry_Litterbag Placem_Collection'!T110)),"YES","NO")</f>
        <v>NO</v>
      </c>
      <c r="AN329" s="267" t="str">
        <f>IF(ISNUMBER(SEARCH("H", 'Dry_Litterbag Placem_Collection'!T110)),"YES","NO")</f>
        <v>NO</v>
      </c>
      <c r="AO329" s="267" t="str">
        <f>IF(ISNUMBER(SEARCH("R", 'Dry_Litterbag Placem_Collection'!T110)),"YES","NO")</f>
        <v>NO</v>
      </c>
    </row>
    <row r="330" spans="1:41" ht="15" customHeight="1">
      <c r="A330" s="259" t="s">
        <v>2643</v>
      </c>
      <c r="B330" s="260">
        <f>'Dry_Litterbag Placem_Collection'!A111</f>
        <v>109</v>
      </c>
      <c r="C330" s="260" t="str">
        <f>'Dry_Litterbag Placem_Collection'!B111</f>
        <v xml:space="preserve">Mwantimba
</v>
      </c>
      <c r="D330" s="260" t="s">
        <v>2454</v>
      </c>
      <c r="E330" s="260" t="s">
        <v>2644</v>
      </c>
      <c r="F330" s="260">
        <v>2</v>
      </c>
      <c r="G330" s="260" t="s">
        <v>3817</v>
      </c>
      <c r="H330" s="261" t="str">
        <f>'Dry_Litterbag Placem_Collection'!C111</f>
        <v>Wet_Ag2_T5</v>
      </c>
      <c r="I330" s="262" t="s">
        <v>2525</v>
      </c>
      <c r="J330" s="269" t="s">
        <v>298</v>
      </c>
      <c r="K330" s="260" t="str">
        <f>IF(ISBLANK('Dry_Litterbag Placem_Collection'!K111),"","R"&amp;""&amp;'Dry_Litterbag Placem_Collection'!K111)</f>
        <v>R804</v>
      </c>
      <c r="L330" s="264">
        <f>IFERROR(INDEX('Green_rooibos initial weight'!$C$5:$C$2000,MATCH(K330, 'Green_rooibos initial weight'!$A$5:$A$2000,0)),"")</f>
        <v>2.1960000000000002</v>
      </c>
      <c r="M330" s="264">
        <f>IFERROR(L330-(TBIcalc!$Q$9+TBIcalc!$Q$10),"")</f>
        <v>1.9462000000000002</v>
      </c>
      <c r="N330" s="385">
        <f>AVERAGE(Ashed_controlls!$K$12:$K$14)</f>
        <v>2.2816647271287041</v>
      </c>
      <c r="O330" s="264">
        <f t="shared" si="26"/>
        <v>1.9017942410806212</v>
      </c>
      <c r="P330" s="264">
        <f>IFERROR(INDEX('Both teabags AfterDry'!$D$2:$D$2000,MATCH(K330,'Both teabags AfterDry'!$A$2:$A$2000,0)),"")</f>
        <v>1.3936999999999999</v>
      </c>
      <c r="Q330" s="264">
        <f>IFERROR(IF(P330&gt;0,P330-(TBIcalc!$Q$9),""),"")</f>
        <v>1.2430999999999999</v>
      </c>
      <c r="R330" s="275">
        <f>IFERROR(INDEX('Ashed teabags dry'!$K$2:$K$2000,MATCH(K330,'Ashed teabags dry'!$A$2:$A$2000,0)),"")</f>
        <v>71.520554730063893</v>
      </c>
      <c r="S330" s="275">
        <f t="shared" si="27"/>
        <v>0.35402798415057579</v>
      </c>
      <c r="T330" s="265">
        <f>IF('Dry_Litterbag Placem_Collection'!E111="","",'Dry_Litterbag Placem_Collection'!E111)</f>
        <v>42939</v>
      </c>
      <c r="U330" s="265">
        <f>IF('Dry_Litterbag Placem_Collection'!G111="","",'Dry_Litterbag Placem_Collection'!G111)</f>
        <v>43010</v>
      </c>
      <c r="V330" s="266">
        <f t="shared" si="25"/>
        <v>71</v>
      </c>
      <c r="W330" s="264">
        <f t="shared" si="28"/>
        <v>0.70310000000000028</v>
      </c>
      <c r="X330" s="264">
        <f t="shared" si="29"/>
        <v>1.5477662569300454</v>
      </c>
      <c r="Y330" s="268">
        <f>IFERROR(INDEX(Rainfall_Dry!$O$2:$O$217,MATCH(B330, Rainfall_Dry!$A$2:$A$217,0)),"")</f>
        <v>137.19979645800001</v>
      </c>
      <c r="Z330" s="257">
        <v>34.344660194174757</v>
      </c>
      <c r="AA330" s="257">
        <v>19.22727272727273</v>
      </c>
      <c r="AB330" s="257">
        <v>46.428067078552509</v>
      </c>
      <c r="AC330" s="258" t="s">
        <v>2654</v>
      </c>
      <c r="AD330" s="257">
        <v>5.7452932479053702</v>
      </c>
      <c r="AE330">
        <f>IF('WetLitterbags placem_collection'!AB111="","",'WetLitterbags placem_collection'!AB111)</f>
        <v>10.5</v>
      </c>
      <c r="AF330">
        <f>IF('WetLitterbags placem_collection'!Z111="","",'WetLitterbags placem_collection'!Z111)</f>
        <v>22.5</v>
      </c>
      <c r="AG330" s="243" t="str">
        <f>IF('WetLitterbags placem_collection'!AA111="","",'WetLitterbags placem_collection'!AA111)</f>
        <v>M</v>
      </c>
      <c r="AH330">
        <f>IF('WetLitterbags placem_collection'!AC111="","",'WetLitterbags placem_collection'!AC111)</f>
        <v>0</v>
      </c>
      <c r="AI330">
        <f>IFERROR(AVERAGE('Dry_Litterbag Placem_Collection'!O111,'Dry_Litterbag Placem_Collection'!R111),"")</f>
        <v>7.5</v>
      </c>
      <c r="AJ330" s="268">
        <f>IFERROR(AVERAGE('Dry_Litterbag Placem_Collection'!N111,'Dry_Litterbag Placem_Collection'!Q111),"")</f>
        <v>30.65</v>
      </c>
      <c r="AK330" s="267">
        <f>INDEX(Coordinates!$B$2:$B$197,MATCH(H330,Coordinates!$J$2:$J$197,0))</f>
        <v>-2.3698390370000002</v>
      </c>
      <c r="AL330" s="267">
        <f>INDEX(Coordinates!$C$2:$C$197,MATCH(H330,Coordinates!$J$2:$J$197,0))</f>
        <v>34.059714</v>
      </c>
      <c r="AM330" s="267" t="str">
        <f>IF(ISNUMBER(SEARCH("C", 'Dry_Litterbag Placem_Collection'!T111)),"YES","NO")</f>
        <v>YES</v>
      </c>
      <c r="AN330" s="267" t="str">
        <f>IF(ISNUMBER(SEARCH("H", 'Dry_Litterbag Placem_Collection'!T111)),"YES","NO")</f>
        <v>YES</v>
      </c>
      <c r="AO330" s="267" t="str">
        <f>IF(ISNUMBER(SEARCH("R", 'Dry_Litterbag Placem_Collection'!T111)),"YES","NO")</f>
        <v>NO</v>
      </c>
    </row>
    <row r="331" spans="1:41" ht="15" customHeight="1">
      <c r="A331" s="259" t="s">
        <v>2643</v>
      </c>
      <c r="B331" s="260">
        <f>'Dry_Litterbag Placem_Collection'!A112</f>
        <v>110</v>
      </c>
      <c r="C331" s="260" t="str">
        <f>'Dry_Litterbag Placem_Collection'!B112</f>
        <v xml:space="preserve">Mwantimba
</v>
      </c>
      <c r="D331" s="260" t="s">
        <v>2454</v>
      </c>
      <c r="E331" s="260" t="s">
        <v>2644</v>
      </c>
      <c r="F331" s="260">
        <v>2</v>
      </c>
      <c r="G331" s="260" t="s">
        <v>3817</v>
      </c>
      <c r="H331" s="261" t="str">
        <f>'Dry_Litterbag Placem_Collection'!C112</f>
        <v>Wet_Ag2_T6</v>
      </c>
      <c r="I331" s="262" t="s">
        <v>2525</v>
      </c>
      <c r="J331" s="269" t="s">
        <v>298</v>
      </c>
      <c r="K331" s="260" t="str">
        <f>IF(ISBLANK('Dry_Litterbag Placem_Collection'!K112),"","R"&amp;""&amp;'Dry_Litterbag Placem_Collection'!K112)</f>
        <v>R786</v>
      </c>
      <c r="L331" s="264">
        <f>IFERROR(INDEX('Green_rooibos initial weight'!$C$5:$C$2000,MATCH(K331, 'Green_rooibos initial weight'!$A$5:$A$2000,0)),"")</f>
        <v>2.177</v>
      </c>
      <c r="M331" s="264">
        <f>IFERROR(L331-(TBIcalc!$Q$9+TBIcalc!$Q$10),"")</f>
        <v>1.9272</v>
      </c>
      <c r="N331" s="385">
        <f>AVERAGE(Ashed_controlls!$K$12:$K$14)</f>
        <v>2.2816647271287041</v>
      </c>
      <c r="O331" s="264">
        <f t="shared" si="26"/>
        <v>1.8832277573787757</v>
      </c>
      <c r="P331" s="264">
        <f>IFERROR(INDEX('Both teabags AfterDry'!$D$2:$D$2000,MATCH(K331,'Both teabags AfterDry'!$A$2:$A$2000,0)),"")</f>
        <v>1.7806</v>
      </c>
      <c r="Q331" s="264">
        <f>IFERROR(IF(P331&gt;0,P331-(TBIcalc!$Q$9),""),"")</f>
        <v>1.63</v>
      </c>
      <c r="R331" s="275">
        <f>IFERROR(INDEX('Ashed teabags dry'!$K$2:$K$2000,MATCH(K331,'Ashed teabags dry'!$A$2:$A$2000,0)),"")</f>
        <v>88.700312639571393</v>
      </c>
      <c r="S331" s="275">
        <f t="shared" si="27"/>
        <v>0.18418490397498632</v>
      </c>
      <c r="T331" s="265">
        <f>IF('Dry_Litterbag Placem_Collection'!E112="","",'Dry_Litterbag Placem_Collection'!E112)</f>
        <v>42939</v>
      </c>
      <c r="U331" s="265">
        <f>IF('Dry_Litterbag Placem_Collection'!G112="","",'Dry_Litterbag Placem_Collection'!G112)</f>
        <v>43010</v>
      </c>
      <c r="V331" s="266">
        <f t="shared" si="25"/>
        <v>71</v>
      </c>
      <c r="W331" s="264">
        <f t="shared" si="28"/>
        <v>0.29720000000000013</v>
      </c>
      <c r="X331" s="264">
        <f t="shared" si="29"/>
        <v>1.6990428534037894</v>
      </c>
      <c r="Y331" s="268">
        <f>IFERROR(INDEX(Rainfall_Dry!$O$2:$O$217,MATCH(B331, Rainfall_Dry!$A$2:$A$217,0)),"")</f>
        <v>137.19979645800001</v>
      </c>
      <c r="Z331" s="257">
        <v>34.344660194174757</v>
      </c>
      <c r="AA331" s="257">
        <v>19.22727272727273</v>
      </c>
      <c r="AB331" s="257">
        <v>46.428067078552509</v>
      </c>
      <c r="AC331" s="258" t="s">
        <v>2654</v>
      </c>
      <c r="AD331" s="257">
        <v>6.7452932479053702</v>
      </c>
      <c r="AE331">
        <f>IF('WetLitterbags placem_collection'!AB112="","",'WetLitterbags placem_collection'!AB112)</f>
        <v>5.75</v>
      </c>
      <c r="AF331">
        <f>IF('WetLitterbags placem_collection'!Z112="","",'WetLitterbags placem_collection'!Z112)</f>
        <v>22.5</v>
      </c>
      <c r="AG331" s="243" t="str">
        <f>IF('WetLitterbags placem_collection'!AA112="","",'WetLitterbags placem_collection'!AA112)</f>
        <v>M</v>
      </c>
      <c r="AH331">
        <f>IF('WetLitterbags placem_collection'!AC112="","",'WetLitterbags placem_collection'!AC112)</f>
        <v>0</v>
      </c>
      <c r="AI331">
        <f>IFERROR(AVERAGE('Dry_Litterbag Placem_Collection'!O112,'Dry_Litterbag Placem_Collection'!R112),"")</f>
        <v>7.3500000000000005</v>
      </c>
      <c r="AJ331" s="268">
        <f>IFERROR(AVERAGE('Dry_Litterbag Placem_Collection'!N112,'Dry_Litterbag Placem_Collection'!Q112),"")</f>
        <v>31.150000000000002</v>
      </c>
      <c r="AK331" s="267">
        <f>INDEX(Coordinates!$B$2:$B$197,MATCH(H331,Coordinates!$J$2:$J$197,0))</f>
        <v>-2.3697549659999999</v>
      </c>
      <c r="AL331" s="267">
        <f>INDEX(Coordinates!$C$2:$C$197,MATCH(H331,Coordinates!$J$2:$J$197,0))</f>
        <v>34.059668989999999</v>
      </c>
      <c r="AM331" s="267" t="str">
        <f>IF(ISNUMBER(SEARCH("C", 'Dry_Litterbag Placem_Collection'!T112)),"YES","NO")</f>
        <v>YES</v>
      </c>
      <c r="AN331" s="267" t="str">
        <f>IF(ISNUMBER(SEARCH("H", 'Dry_Litterbag Placem_Collection'!T112)),"YES","NO")</f>
        <v>YES</v>
      </c>
      <c r="AO331" s="267" t="str">
        <f>IF(ISNUMBER(SEARCH("R", 'Dry_Litterbag Placem_Collection'!T112)),"YES","NO")</f>
        <v>NO</v>
      </c>
    </row>
    <row r="332" spans="1:41" ht="15" customHeight="1">
      <c r="A332" s="259" t="s">
        <v>2643</v>
      </c>
      <c r="B332" s="260">
        <f>'Dry_Litterbag Placem_Collection'!A113</f>
        <v>111</v>
      </c>
      <c r="C332" s="260" t="str">
        <f>'Dry_Litterbag Placem_Collection'!B113</f>
        <v xml:space="preserve">Mwantimba
</v>
      </c>
      <c r="D332" s="260" t="s">
        <v>2454</v>
      </c>
      <c r="E332" s="260" t="s">
        <v>2644</v>
      </c>
      <c r="F332" s="260">
        <v>2</v>
      </c>
      <c r="G332" s="260" t="s">
        <v>3817</v>
      </c>
      <c r="H332" s="261" t="str">
        <f>'Dry_Litterbag Placem_Collection'!C113</f>
        <v>Wet_Ag2_T7</v>
      </c>
      <c r="I332" s="262" t="s">
        <v>2525</v>
      </c>
      <c r="J332" s="269" t="s">
        <v>298</v>
      </c>
      <c r="K332" s="260" t="str">
        <f>IF(ISBLANK('Dry_Litterbag Placem_Collection'!K113),"","R"&amp;""&amp;'Dry_Litterbag Placem_Collection'!K113)</f>
        <v>R835</v>
      </c>
      <c r="L332" s="264">
        <f>IFERROR(INDEX('Green_rooibos initial weight'!$C$5:$C$2000,MATCH(K332, 'Green_rooibos initial weight'!$A$5:$A$2000,0)),"")</f>
        <v>2.15</v>
      </c>
      <c r="M332" s="264">
        <f>IFERROR(L332-(TBIcalc!$Q$9+TBIcalc!$Q$10),"")</f>
        <v>1.9001999999999999</v>
      </c>
      <c r="N332" s="385">
        <f>AVERAGE(Ashed_controlls!$K$12:$K$14)</f>
        <v>2.2816647271287041</v>
      </c>
      <c r="O332" s="264">
        <f t="shared" si="26"/>
        <v>1.8568438068551003</v>
      </c>
      <c r="P332" s="264">
        <f>IFERROR(INDEX('Both teabags AfterDry'!$D$2:$D$2000,MATCH(K332,'Both teabags AfterDry'!$A$2:$A$2000,0)),"")</f>
        <v>1.7563</v>
      </c>
      <c r="Q332" s="264">
        <f>IFERROR(IF(P332&gt;0,P332-(TBIcalc!$Q$9),""),"")</f>
        <v>1.6056999999999999</v>
      </c>
      <c r="R332" s="275">
        <f>IFERROR(INDEX('Ashed teabags dry'!$K$2:$K$2000,MATCH(K332,'Ashed teabags dry'!$A$2:$A$2000,0)),"")</f>
        <v>4.065040650406667</v>
      </c>
      <c r="S332" s="275">
        <f t="shared" si="27"/>
        <v>1.54042764227642</v>
      </c>
      <c r="T332" s="265">
        <f>IF('Dry_Litterbag Placem_Collection'!E113="","",'Dry_Litterbag Placem_Collection'!E113)</f>
        <v>42939</v>
      </c>
      <c r="U332" s="265">
        <f>IF('Dry_Litterbag Placem_Collection'!G113="","",'Dry_Litterbag Placem_Collection'!G113)</f>
        <v>43010</v>
      </c>
      <c r="V332" s="266">
        <f t="shared" si="25"/>
        <v>71</v>
      </c>
      <c r="W332" s="264">
        <f t="shared" si="28"/>
        <v>0.29449999999999998</v>
      </c>
      <c r="X332" s="264">
        <f t="shared" si="29"/>
        <v>0.31641616457868027</v>
      </c>
      <c r="Y332" s="268">
        <f>IFERROR(INDEX(Rainfall_Dry!$O$2:$O$217,MATCH(B332, Rainfall_Dry!$A$2:$A$217,0)),"")</f>
        <v>137.19979645800001</v>
      </c>
      <c r="Z332" s="257">
        <v>34.344660194174757</v>
      </c>
      <c r="AA332" s="257">
        <v>19.22727272727273</v>
      </c>
      <c r="AB332" s="257">
        <v>46.428067078552509</v>
      </c>
      <c r="AC332" s="258" t="s">
        <v>2654</v>
      </c>
      <c r="AD332" s="257">
        <v>7.7452932479053702</v>
      </c>
      <c r="AE332">
        <f>IF('WetLitterbags placem_collection'!AB113="","",'WetLitterbags placem_collection'!AB113)</f>
        <v>6.1</v>
      </c>
      <c r="AF332">
        <f>IF('WetLitterbags placem_collection'!Z113="","",'WetLitterbags placem_collection'!Z113)</f>
        <v>26</v>
      </c>
      <c r="AG332" s="243" t="str">
        <f>IF('WetLitterbags placem_collection'!AA113="","",'WetLitterbags placem_collection'!AA113)</f>
        <v>M</v>
      </c>
      <c r="AH332">
        <f>IF('WetLitterbags placem_collection'!AC113="","",'WetLitterbags placem_collection'!AC113)</f>
        <v>0</v>
      </c>
      <c r="AI332">
        <f>IFERROR(AVERAGE('Dry_Litterbag Placem_Collection'!O113,'Dry_Litterbag Placem_Collection'!R113),"")</f>
        <v>8.3000000000000007</v>
      </c>
      <c r="AJ332" s="268">
        <f>IFERROR(AVERAGE('Dry_Litterbag Placem_Collection'!N113,'Dry_Litterbag Placem_Collection'!Q113),"")</f>
        <v>29.549999999999997</v>
      </c>
      <c r="AK332" s="267">
        <f>INDEX(Coordinates!$B$2:$B$197,MATCH(H332,Coordinates!$J$2:$J$197,0))</f>
        <v>-2.3697330060000001</v>
      </c>
      <c r="AL332" s="267">
        <f>INDEX(Coordinates!$C$2:$C$197,MATCH(H332,Coordinates!$J$2:$J$197,0))</f>
        <v>34.059615010000002</v>
      </c>
      <c r="AM332" s="267" t="str">
        <f>IF(ISNUMBER(SEARCH("C", 'Dry_Litterbag Placem_Collection'!T113)),"YES","NO")</f>
        <v>NO</v>
      </c>
      <c r="AN332" s="267" t="str">
        <f>IF(ISNUMBER(SEARCH("H", 'Dry_Litterbag Placem_Collection'!T113)),"YES","NO")</f>
        <v>NO</v>
      </c>
      <c r="AO332" s="267" t="str">
        <f>IF(ISNUMBER(SEARCH("R", 'Dry_Litterbag Placem_Collection'!T113)),"YES","NO")</f>
        <v>NO</v>
      </c>
    </row>
    <row r="333" spans="1:41" ht="15" customHeight="1">
      <c r="A333" s="259" t="s">
        <v>2643</v>
      </c>
      <c r="B333" s="260">
        <f>'Dry_Litterbag Placem_Collection'!A114</f>
        <v>112</v>
      </c>
      <c r="C333" s="260" t="str">
        <f>'Dry_Litterbag Placem_Collection'!B114</f>
        <v xml:space="preserve">Mwantimba
</v>
      </c>
      <c r="D333" s="260" t="s">
        <v>2454</v>
      </c>
      <c r="E333" s="260" t="s">
        <v>2644</v>
      </c>
      <c r="F333" s="260">
        <v>2</v>
      </c>
      <c r="G333" s="260" t="s">
        <v>3817</v>
      </c>
      <c r="H333" s="261" t="str">
        <f>'Dry_Litterbag Placem_Collection'!C114</f>
        <v>Wet_Ag2_T8</v>
      </c>
      <c r="I333" s="262" t="s">
        <v>2525</v>
      </c>
      <c r="J333" s="269" t="s">
        <v>298</v>
      </c>
      <c r="K333" s="260" t="str">
        <f>IF(ISBLANK('Dry_Litterbag Placem_Collection'!K114),"","R"&amp;""&amp;'Dry_Litterbag Placem_Collection'!K114)</f>
        <v/>
      </c>
      <c r="L333" s="264" t="str">
        <f>IFERROR(INDEX('Green_rooibos initial weight'!$C$5:$C$2000,MATCH(K333, 'Green_rooibos initial weight'!$A$5:$A$2000,0)),"")</f>
        <v/>
      </c>
      <c r="M333" s="264" t="str">
        <f>IFERROR(L333-(TBIcalc!$Q$9+TBIcalc!$Q$10),"")</f>
        <v/>
      </c>
      <c r="N333" s="385">
        <f>AVERAGE(Ashed_controlls!$K$12:$K$14)</f>
        <v>2.2816647271287041</v>
      </c>
      <c r="O333" s="264" t="str">
        <f t="shared" si="26"/>
        <v/>
      </c>
      <c r="P333" s="264" t="str">
        <f>IFERROR(INDEX('Both teabags AfterDry'!$D$2:$D$2000,MATCH(K333,'Both teabags AfterDry'!$A$2:$A$2000,0)),"")</f>
        <v/>
      </c>
      <c r="Q333" s="264" t="str">
        <f>IFERROR(IF(P333&gt;0,P333-(TBIcalc!$Q$9),""),"")</f>
        <v/>
      </c>
      <c r="R333" s="275" t="str">
        <f>IFERROR(INDEX('Ashed teabags dry'!$K$2:$K$2000,MATCH(K333,'Ashed teabags dry'!$A$2:$A$2000,0)),"")</f>
        <v/>
      </c>
      <c r="S333" s="275" t="str">
        <f t="shared" si="27"/>
        <v/>
      </c>
      <c r="T333" s="265" t="str">
        <f>IF('Dry_Litterbag Placem_Collection'!E114="","",'Dry_Litterbag Placem_Collection'!E114)</f>
        <v/>
      </c>
      <c r="U333" s="265" t="str">
        <f>IF('Dry_Litterbag Placem_Collection'!G114="","",'Dry_Litterbag Placem_Collection'!G114)</f>
        <v/>
      </c>
      <c r="V333" s="266" t="str">
        <f t="shared" si="25"/>
        <v/>
      </c>
      <c r="W333" s="264" t="str">
        <f t="shared" si="28"/>
        <v/>
      </c>
      <c r="X333" s="264" t="str">
        <f t="shared" si="29"/>
        <v/>
      </c>
      <c r="Y333" s="268" t="str">
        <f>IFERROR(INDEX(Rainfall_Dry!$O$2:$O$217,MATCH(B333, Rainfall_Dry!$A$2:$A$217,0)),"")</f>
        <v/>
      </c>
      <c r="Z333" s="257">
        <v>34.344660194174757</v>
      </c>
      <c r="AA333" s="257">
        <v>19.22727272727273</v>
      </c>
      <c r="AB333" s="257">
        <v>46.428067078552509</v>
      </c>
      <c r="AC333" s="258" t="s">
        <v>2654</v>
      </c>
      <c r="AD333" s="257">
        <v>8.7452932479053693</v>
      </c>
      <c r="AE333">
        <f>IF('WetLitterbags placem_collection'!AB114="","",'WetLitterbags placem_collection'!AB114)</f>
        <v>11.5</v>
      </c>
      <c r="AF333">
        <f>IF('WetLitterbags placem_collection'!Z114="","",'WetLitterbags placem_collection'!Z114)</f>
        <v>15</v>
      </c>
      <c r="AG333" s="243" t="str">
        <f>IF('WetLitterbags placem_collection'!AA114="","",'WetLitterbags placem_collection'!AA114)</f>
        <v>M</v>
      </c>
      <c r="AH333">
        <f>IF('WetLitterbags placem_collection'!AC114="","",'WetLitterbags placem_collection'!AC114)</f>
        <v>0</v>
      </c>
      <c r="AI333" t="str">
        <f>IFERROR(AVERAGE('Dry_Litterbag Placem_Collection'!O114,'Dry_Litterbag Placem_Collection'!R114),"")</f>
        <v/>
      </c>
      <c r="AJ333" s="268" t="str">
        <f>IFERROR(AVERAGE('Dry_Litterbag Placem_Collection'!N114,'Dry_Litterbag Placem_Collection'!Q114),"")</f>
        <v/>
      </c>
      <c r="AK333" s="267">
        <f>INDEX(Coordinates!$B$2:$B$197,MATCH(H333,Coordinates!$J$2:$J$197,0))</f>
        <v>-2.36967098</v>
      </c>
      <c r="AL333" s="267">
        <f>INDEX(Coordinates!$C$2:$C$197,MATCH(H333,Coordinates!$J$2:$J$197,0))</f>
        <v>34.059735959999998</v>
      </c>
      <c r="AM333" s="267" t="str">
        <f>IF(ISNUMBER(SEARCH("C", 'Dry_Litterbag Placem_Collection'!T114)),"YES","NO")</f>
        <v>NO</v>
      </c>
      <c r="AN333" s="267" t="str">
        <f>IF(ISNUMBER(SEARCH("H", 'Dry_Litterbag Placem_Collection'!T114)),"YES","NO")</f>
        <v>NO</v>
      </c>
      <c r="AO333" s="267" t="str">
        <f>IF(ISNUMBER(SEARCH("R", 'Dry_Litterbag Placem_Collection'!T114)),"YES","NO")</f>
        <v>NO</v>
      </c>
    </row>
    <row r="334" spans="1:41" ht="15" customHeight="1">
      <c r="A334" s="259" t="s">
        <v>2643</v>
      </c>
      <c r="B334" s="260">
        <f>'Dry_Litterbag Placem_Collection'!A115</f>
        <v>113</v>
      </c>
      <c r="C334" s="260" t="str">
        <f>'Dry_Litterbag Placem_Collection'!B115</f>
        <v xml:space="preserve">Mwantimba
</v>
      </c>
      <c r="D334" s="260" t="s">
        <v>2454</v>
      </c>
      <c r="E334" s="260" t="s">
        <v>2644</v>
      </c>
      <c r="F334" s="260">
        <v>3</v>
      </c>
      <c r="G334" s="260" t="s">
        <v>3818</v>
      </c>
      <c r="H334" s="261" t="str">
        <f>'Dry_Litterbag Placem_Collection'!C115</f>
        <v>Wet_Ag3_T1</v>
      </c>
      <c r="I334" s="262" t="s">
        <v>2525</v>
      </c>
      <c r="J334" s="269" t="s">
        <v>298</v>
      </c>
      <c r="K334" s="260" t="str">
        <f>IF(ISBLANK('Dry_Litterbag Placem_Collection'!K115),"","R"&amp;""&amp;'Dry_Litterbag Placem_Collection'!K115)</f>
        <v>R807</v>
      </c>
      <c r="L334" s="264">
        <f>IFERROR(INDEX('Green_rooibos initial weight'!$C$5:$C$2000,MATCH(K334, 'Green_rooibos initial weight'!$A$5:$A$2000,0)),"")</f>
        <v>2.21</v>
      </c>
      <c r="M334" s="264">
        <f>IFERROR(L334-(TBIcalc!$Q$9+TBIcalc!$Q$10),"")</f>
        <v>1.9601999999999999</v>
      </c>
      <c r="N334" s="385">
        <f>AVERAGE(Ashed_controlls!$K$12:$K$14)</f>
        <v>2.2816647271287041</v>
      </c>
      <c r="O334" s="264">
        <f t="shared" si="26"/>
        <v>1.9154748080188231</v>
      </c>
      <c r="P334" s="264">
        <f>IFERROR(INDEX('Both teabags AfterDry'!$D$2:$D$2000,MATCH(K334,'Both teabags AfterDry'!$A$2:$A$2000,0)),"")</f>
        <v>1.5793999999999999</v>
      </c>
      <c r="Q334" s="264">
        <f>IFERROR(IF(P334&gt;0,P334-(TBIcalc!$Q$9),""),"")</f>
        <v>1.4287999999999998</v>
      </c>
      <c r="R334" s="275">
        <f>IFERROR(INDEX('Ashed teabags dry'!$K$2:$K$2000,MATCH(K334,'Ashed teabags dry'!$A$2:$A$2000,0)),"")</f>
        <v>9.4054580896693931</v>
      </c>
      <c r="S334" s="275">
        <f t="shared" si="27"/>
        <v>1.2944148148148036</v>
      </c>
      <c r="T334" s="265">
        <f>IF('Dry_Litterbag Placem_Collection'!E115="","",'Dry_Litterbag Placem_Collection'!E115)</f>
        <v>42939</v>
      </c>
      <c r="U334" s="265">
        <f>IF('Dry_Litterbag Placem_Collection'!G115="","",'Dry_Litterbag Placem_Collection'!G115)</f>
        <v>43008</v>
      </c>
      <c r="V334" s="266">
        <f t="shared" si="25"/>
        <v>69</v>
      </c>
      <c r="W334" s="264">
        <f t="shared" si="28"/>
        <v>0.53140000000000009</v>
      </c>
      <c r="X334" s="264">
        <f t="shared" si="29"/>
        <v>0.6210599932040195</v>
      </c>
      <c r="Y334" s="268">
        <f>IFERROR(INDEX(Rainfall_Dry!$O$2:$O$217,MATCH(B334, Rainfall_Dry!$A$2:$A$217,0)),"")</f>
        <v>136.27214243</v>
      </c>
      <c r="Z334" s="257">
        <v>27.96</v>
      </c>
      <c r="AA334" s="257">
        <v>4.9200000000000017</v>
      </c>
      <c r="AB334" s="257">
        <v>67.12</v>
      </c>
      <c r="AC334" s="258" t="s">
        <v>2654</v>
      </c>
      <c r="AD334" s="257">
        <v>0.88610152784622953</v>
      </c>
      <c r="AE334">
        <f>IF('WetLitterbags placem_collection'!AB115="","",'WetLitterbags placem_collection'!AB115)</f>
        <v>26</v>
      </c>
      <c r="AF334">
        <f>IF('WetLitterbags placem_collection'!Z115="","",'WetLitterbags placem_collection'!Z115)</f>
        <v>88.5</v>
      </c>
      <c r="AG334" s="243" t="str">
        <f>IF('WetLitterbags placem_collection'!AA115="","",'WetLitterbags placem_collection'!AA115)</f>
        <v>G</v>
      </c>
      <c r="AH334">
        <f>IF('WetLitterbags placem_collection'!AC115="","",'WetLitterbags placem_collection'!AC115)</f>
        <v>0</v>
      </c>
      <c r="AI334">
        <f>IFERROR(AVERAGE('Dry_Litterbag Placem_Collection'!O115,'Dry_Litterbag Placem_Collection'!R115),"")</f>
        <v>6.35</v>
      </c>
      <c r="AJ334" s="268">
        <f>IFERROR(AVERAGE('Dry_Litterbag Placem_Collection'!N115,'Dry_Litterbag Placem_Collection'!Q115),"")</f>
        <v>28.9</v>
      </c>
      <c r="AK334" s="267">
        <f>INDEX(Coordinates!$B$2:$B$197,MATCH(H334,Coordinates!$J$2:$J$197,0))</f>
        <v>-2.3487199940000001</v>
      </c>
      <c r="AL334" s="267">
        <f>INDEX(Coordinates!$C$2:$C$197,MATCH(H334,Coordinates!$J$2:$J$197,0))</f>
        <v>34.051391029999998</v>
      </c>
      <c r="AM334" s="267" t="str">
        <f>IF(ISNUMBER(SEARCH("C", 'Dry_Litterbag Placem_Collection'!T115)),"YES","NO")</f>
        <v>NO</v>
      </c>
      <c r="AN334" s="267" t="str">
        <f>IF(ISNUMBER(SEARCH("H", 'Dry_Litterbag Placem_Collection'!T115)),"YES","NO")</f>
        <v>NO</v>
      </c>
      <c r="AO334" s="267" t="str">
        <f>IF(ISNUMBER(SEARCH("R", 'Dry_Litterbag Placem_Collection'!T115)),"YES","NO")</f>
        <v>NO</v>
      </c>
    </row>
    <row r="335" spans="1:41" ht="15" customHeight="1">
      <c r="A335" s="259" t="s">
        <v>2643</v>
      </c>
      <c r="B335" s="260">
        <f>'Dry_Litterbag Placem_Collection'!A116</f>
        <v>114</v>
      </c>
      <c r="C335" s="260" t="str">
        <f>'Dry_Litterbag Placem_Collection'!B116</f>
        <v xml:space="preserve">Mwantimba
</v>
      </c>
      <c r="D335" s="260" t="s">
        <v>2454</v>
      </c>
      <c r="E335" s="260" t="s">
        <v>2644</v>
      </c>
      <c r="F335" s="260">
        <v>3</v>
      </c>
      <c r="G335" s="260" t="s">
        <v>3818</v>
      </c>
      <c r="H335" s="261" t="str">
        <f>'Dry_Litterbag Placem_Collection'!C116</f>
        <v>Wet_Ag3_T2</v>
      </c>
      <c r="I335" s="262" t="s">
        <v>2525</v>
      </c>
      <c r="J335" s="269" t="s">
        <v>298</v>
      </c>
      <c r="K335" s="260" t="str">
        <f>IF(ISBLANK('Dry_Litterbag Placem_Collection'!K116),"","R"&amp;""&amp;'Dry_Litterbag Placem_Collection'!K116)</f>
        <v>R829</v>
      </c>
      <c r="L335" s="264">
        <f>IFERROR(INDEX('Green_rooibos initial weight'!$C$5:$C$2000,MATCH(K335, 'Green_rooibos initial weight'!$A$5:$A$2000,0)),"")</f>
        <v>2.1880000000000002</v>
      </c>
      <c r="M335" s="264">
        <f>IFERROR(L335-(TBIcalc!$Q$9+TBIcalc!$Q$10),"")</f>
        <v>1.9382000000000001</v>
      </c>
      <c r="N335" s="385">
        <f>AVERAGE(Ashed_controlls!$K$12:$K$14)</f>
        <v>2.2816647271287041</v>
      </c>
      <c r="O335" s="264">
        <f t="shared" si="26"/>
        <v>1.8939767742587916</v>
      </c>
      <c r="P335" s="264">
        <f>IFERROR(INDEX('Both teabags AfterDry'!$D$2:$D$2000,MATCH(K335,'Both teabags AfterDry'!$A$2:$A$2000,0)),"")</f>
        <v>1.1127</v>
      </c>
      <c r="Q335" s="264">
        <f>IFERROR(IF(P335&gt;0,P335-(TBIcalc!$Q$9),""),"")</f>
        <v>0.96209999999999996</v>
      </c>
      <c r="R335" s="275">
        <f>IFERROR(INDEX('Ashed teabags dry'!$K$2:$K$2000,MATCH(K335,'Ashed teabags dry'!$A$2:$A$2000,0)),"")</f>
        <v>88.557650153441656</v>
      </c>
      <c r="S335" s="275">
        <f t="shared" si="27"/>
        <v>0.11008684787373779</v>
      </c>
      <c r="T335" s="265">
        <f>IF('Dry_Litterbag Placem_Collection'!E116="","",'Dry_Litterbag Placem_Collection'!E116)</f>
        <v>42939</v>
      </c>
      <c r="U335" s="265">
        <f>IF('Dry_Litterbag Placem_Collection'!G116="","",'Dry_Litterbag Placem_Collection'!G116)</f>
        <v>43008</v>
      </c>
      <c r="V335" s="266">
        <f t="shared" si="25"/>
        <v>69</v>
      </c>
      <c r="W335" s="264">
        <f t="shared" si="28"/>
        <v>0.97610000000000019</v>
      </c>
      <c r="X335" s="264">
        <f t="shared" si="29"/>
        <v>1.7838899263850538</v>
      </c>
      <c r="Y335" s="268">
        <f>IFERROR(INDEX(Rainfall_Dry!$O$2:$O$217,MATCH(B335, Rainfall_Dry!$A$2:$A$217,0)),"")</f>
        <v>136.27214243</v>
      </c>
      <c r="Z335" s="257">
        <v>27.96</v>
      </c>
      <c r="AA335" s="257">
        <v>4.9200000000000017</v>
      </c>
      <c r="AB335" s="257">
        <v>67.12</v>
      </c>
      <c r="AC335" s="258" t="s">
        <v>2654</v>
      </c>
      <c r="AD335" s="257">
        <v>1.8861015278462301</v>
      </c>
      <c r="AE335">
        <f>IF('WetLitterbags placem_collection'!AB116="","",'WetLitterbags placem_collection'!AB116)</f>
        <v>16.5</v>
      </c>
      <c r="AF335">
        <f>IF('WetLitterbags placem_collection'!Z116="","",'WetLitterbags placem_collection'!Z116)</f>
        <v>87.5</v>
      </c>
      <c r="AG335" s="243" t="str">
        <f>IF('WetLitterbags placem_collection'!AA116="","",'WetLitterbags placem_collection'!AA116)</f>
        <v>G</v>
      </c>
      <c r="AH335">
        <f>IF('WetLitterbags placem_collection'!AC116="","",'WetLitterbags placem_collection'!AC116)</f>
        <v>0</v>
      </c>
      <c r="AI335">
        <f>IFERROR(AVERAGE('Dry_Litterbag Placem_Collection'!O116,'Dry_Litterbag Placem_Collection'!R116),"")</f>
        <v>12.1</v>
      </c>
      <c r="AJ335" s="268">
        <f>IFERROR(AVERAGE('Dry_Litterbag Placem_Collection'!N116,'Dry_Litterbag Placem_Collection'!Q116),"")</f>
        <v>28.1</v>
      </c>
      <c r="AK335" s="267">
        <f>INDEX(Coordinates!$B$2:$B$197,MATCH(H335,Coordinates!$J$2:$J$197,0))</f>
        <v>-2.348716976</v>
      </c>
      <c r="AL335" s="267">
        <f>INDEX(Coordinates!$C$2:$C$197,MATCH(H335,Coordinates!$J$2:$J$197,0))</f>
        <v>34.051484989999999</v>
      </c>
      <c r="AM335" s="267" t="str">
        <f>IF(ISNUMBER(SEARCH("C", 'Dry_Litterbag Placem_Collection'!T116)),"YES","NO")</f>
        <v>NO</v>
      </c>
      <c r="AN335" s="267" t="str">
        <f>IF(ISNUMBER(SEARCH("H", 'Dry_Litterbag Placem_Collection'!T116)),"YES","NO")</f>
        <v>YES</v>
      </c>
      <c r="AO335" s="267" t="str">
        <f>IF(ISNUMBER(SEARCH("R", 'Dry_Litterbag Placem_Collection'!T116)),"YES","NO")</f>
        <v>NO</v>
      </c>
    </row>
    <row r="336" spans="1:41" ht="15" customHeight="1">
      <c r="A336" s="259" t="s">
        <v>2643</v>
      </c>
      <c r="B336" s="260">
        <f>'Dry_Litterbag Placem_Collection'!A117</f>
        <v>115</v>
      </c>
      <c r="C336" s="260" t="str">
        <f>'Dry_Litterbag Placem_Collection'!B117</f>
        <v xml:space="preserve">Mwantimba
</v>
      </c>
      <c r="D336" s="260" t="s">
        <v>2454</v>
      </c>
      <c r="E336" s="260" t="s">
        <v>2644</v>
      </c>
      <c r="F336" s="260">
        <v>3</v>
      </c>
      <c r="G336" s="260" t="s">
        <v>3818</v>
      </c>
      <c r="H336" s="261" t="str">
        <f>'Dry_Litterbag Placem_Collection'!C117</f>
        <v>Wet_Ag3_T3</v>
      </c>
      <c r="I336" s="262" t="s">
        <v>2525</v>
      </c>
      <c r="J336" s="269" t="s">
        <v>298</v>
      </c>
      <c r="K336" s="260" t="str">
        <f>IF(ISBLANK('Dry_Litterbag Placem_Collection'!K117),"","R"&amp;""&amp;'Dry_Litterbag Placem_Collection'!K117)</f>
        <v>R766</v>
      </c>
      <c r="L336" s="264">
        <f>IFERROR(INDEX('Green_rooibos initial weight'!$C$5:$C$2000,MATCH(K336, 'Green_rooibos initial weight'!$A$5:$A$2000,0)),"")</f>
        <v>2.21</v>
      </c>
      <c r="M336" s="264">
        <f>IFERROR(L336-(TBIcalc!$Q$9+TBIcalc!$Q$10),"")</f>
        <v>1.9601999999999999</v>
      </c>
      <c r="N336" s="385">
        <f>AVERAGE(Ashed_controlls!$K$12:$K$14)</f>
        <v>2.2816647271287041</v>
      </c>
      <c r="O336" s="264">
        <f t="shared" si="26"/>
        <v>1.9154748080188231</v>
      </c>
      <c r="P336" s="264">
        <f>IFERROR(INDEX('Both teabags AfterDry'!$D$2:$D$2000,MATCH(K336,'Both teabags AfterDry'!$A$2:$A$2000,0)),"")</f>
        <v>1.6694</v>
      </c>
      <c r="Q336" s="264">
        <f>IFERROR(IF(P336&gt;0,P336-(TBIcalc!$Q$9),""),"")</f>
        <v>1.5187999999999999</v>
      </c>
      <c r="R336" s="275">
        <f>IFERROR(INDEX('Ashed teabags dry'!$K$2:$K$2000,MATCH(K336,'Ashed teabags dry'!$A$2:$A$2000,0)),"")</f>
        <v>23.045267489711783</v>
      </c>
      <c r="S336" s="275">
        <f t="shared" si="27"/>
        <v>1.1687884773662574</v>
      </c>
      <c r="T336" s="265">
        <f>IF('Dry_Litterbag Placem_Collection'!E117="","",'Dry_Litterbag Placem_Collection'!E117)</f>
        <v>42939</v>
      </c>
      <c r="U336" s="265">
        <f>IF('Dry_Litterbag Placem_Collection'!G117="","",'Dry_Litterbag Placem_Collection'!G117)</f>
        <v>43008</v>
      </c>
      <c r="V336" s="266">
        <f t="shared" si="25"/>
        <v>69</v>
      </c>
      <c r="W336" s="264">
        <f t="shared" si="28"/>
        <v>0.44140000000000001</v>
      </c>
      <c r="X336" s="264">
        <f t="shared" si="29"/>
        <v>0.74668633065256573</v>
      </c>
      <c r="Y336" s="268">
        <f>IFERROR(INDEX(Rainfall_Dry!$O$2:$O$217,MATCH(B336, Rainfall_Dry!$A$2:$A$217,0)),"")</f>
        <v>136.27214243</v>
      </c>
      <c r="Z336" s="257">
        <v>27.96</v>
      </c>
      <c r="AA336" s="257">
        <v>4.9200000000000017</v>
      </c>
      <c r="AB336" s="257">
        <v>67.12</v>
      </c>
      <c r="AC336" s="258" t="s">
        <v>2654</v>
      </c>
      <c r="AD336" s="257">
        <v>2.8861015278462299</v>
      </c>
      <c r="AE336">
        <f>IF('WetLitterbags placem_collection'!AB117="","",'WetLitterbags placem_collection'!AB117)</f>
        <v>19</v>
      </c>
      <c r="AF336">
        <f>IF('WetLitterbags placem_collection'!Z117="","",'WetLitterbags placem_collection'!Z117)</f>
        <v>79.5</v>
      </c>
      <c r="AG336" s="243" t="str">
        <f>IF('WetLitterbags placem_collection'!AA117="","",'WetLitterbags placem_collection'!AA117)</f>
        <v>G</v>
      </c>
      <c r="AH336">
        <f>IF('WetLitterbags placem_collection'!AC117="","",'WetLitterbags placem_collection'!AC117)</f>
        <v>1</v>
      </c>
      <c r="AI336">
        <f>IFERROR(AVERAGE('Dry_Litterbag Placem_Collection'!O117,'Dry_Litterbag Placem_Collection'!R117),"")</f>
        <v>6.9</v>
      </c>
      <c r="AJ336" s="268">
        <f>IFERROR(AVERAGE('Dry_Litterbag Placem_Collection'!N117,'Dry_Litterbag Placem_Collection'!Q117),"")</f>
        <v>28.95</v>
      </c>
      <c r="AK336" s="267">
        <f>INDEX(Coordinates!$B$2:$B$197,MATCH(H336,Coordinates!$J$2:$J$197,0))</f>
        <v>-2.3487800079999999</v>
      </c>
      <c r="AL336" s="267">
        <f>INDEX(Coordinates!$C$2:$C$197,MATCH(H336,Coordinates!$J$2:$J$197,0))</f>
        <v>34.051495969999998</v>
      </c>
      <c r="AM336" s="267" t="str">
        <f>IF(ISNUMBER(SEARCH("C", 'Dry_Litterbag Placem_Collection'!T117)),"YES","NO")</f>
        <v>NO</v>
      </c>
      <c r="AN336" s="267" t="str">
        <f>IF(ISNUMBER(SEARCH("H", 'Dry_Litterbag Placem_Collection'!T117)),"YES","NO")</f>
        <v>YES</v>
      </c>
      <c r="AO336" s="267" t="str">
        <f>IF(ISNUMBER(SEARCH("R", 'Dry_Litterbag Placem_Collection'!T117)),"YES","NO")</f>
        <v>YES</v>
      </c>
    </row>
    <row r="337" spans="1:41" ht="15" customHeight="1">
      <c r="A337" s="259" t="s">
        <v>2643</v>
      </c>
      <c r="B337" s="260">
        <f>'Dry_Litterbag Placem_Collection'!A118</f>
        <v>116</v>
      </c>
      <c r="C337" s="260" t="str">
        <f>'Dry_Litterbag Placem_Collection'!B118</f>
        <v xml:space="preserve">Mwantimba
</v>
      </c>
      <c r="D337" s="260" t="s">
        <v>2454</v>
      </c>
      <c r="E337" s="260" t="s">
        <v>2644</v>
      </c>
      <c r="F337" s="260">
        <v>3</v>
      </c>
      <c r="G337" s="260" t="s">
        <v>3818</v>
      </c>
      <c r="H337" s="261" t="str">
        <f>'Dry_Litterbag Placem_Collection'!C118</f>
        <v>Wet_Ag3_T4</v>
      </c>
      <c r="I337" s="262" t="s">
        <v>2525</v>
      </c>
      <c r="J337" s="269" t="s">
        <v>298</v>
      </c>
      <c r="K337" s="260" t="str">
        <f>IF(ISBLANK('Dry_Litterbag Placem_Collection'!K118),"","R"&amp;""&amp;'Dry_Litterbag Placem_Collection'!K118)</f>
        <v>R757</v>
      </c>
      <c r="L337" s="264">
        <f>IFERROR(INDEX('Green_rooibos initial weight'!$C$5:$C$2000,MATCH(K337, 'Green_rooibos initial weight'!$A$5:$A$2000,0)),"")</f>
        <v>2.2050000000000001</v>
      </c>
      <c r="M337" s="264">
        <f>IFERROR(L337-(TBIcalc!$Q$9+TBIcalc!$Q$10),"")</f>
        <v>1.9552</v>
      </c>
      <c r="N337" s="385">
        <f>AVERAGE(Ashed_controlls!$K$12:$K$14)</f>
        <v>2.2816647271287041</v>
      </c>
      <c r="O337" s="264">
        <f t="shared" si="26"/>
        <v>1.9105888912551796</v>
      </c>
      <c r="P337" s="264">
        <f>IFERROR(INDEX('Both teabags AfterDry'!$D$2:$D$2000,MATCH(K337,'Both teabags AfterDry'!$A$2:$A$2000,0)),"")</f>
        <v>1.7337</v>
      </c>
      <c r="Q337" s="264">
        <f>IFERROR(IF(P337&gt;0,P337-(TBIcalc!$Q$9),""),"")</f>
        <v>1.5831</v>
      </c>
      <c r="R337" s="275">
        <f>IFERROR(INDEX('Ashed teabags dry'!$K$2:$K$2000,MATCH(K337,'Ashed teabags dry'!$A$2:$A$2000,0)),"")</f>
        <v>14.66357308584627</v>
      </c>
      <c r="S337" s="275">
        <f t="shared" si="27"/>
        <v>1.3509609744779676</v>
      </c>
      <c r="T337" s="265">
        <f>IF('Dry_Litterbag Placem_Collection'!E118="","",'Dry_Litterbag Placem_Collection'!E118)</f>
        <v>42939</v>
      </c>
      <c r="U337" s="265">
        <f>IF('Dry_Litterbag Placem_Collection'!G118="","",'Dry_Litterbag Placem_Collection'!G118)</f>
        <v>43008</v>
      </c>
      <c r="V337" s="266">
        <f t="shared" si="25"/>
        <v>69</v>
      </c>
      <c r="W337" s="264">
        <f t="shared" si="28"/>
        <v>0.3721000000000001</v>
      </c>
      <c r="X337" s="264">
        <f t="shared" si="29"/>
        <v>0.55962791677721202</v>
      </c>
      <c r="Y337" s="268">
        <f>IFERROR(INDEX(Rainfall_Dry!$O$2:$O$217,MATCH(B337, Rainfall_Dry!$A$2:$A$217,0)),"")</f>
        <v>136.27214243</v>
      </c>
      <c r="Z337" s="257">
        <v>27.96</v>
      </c>
      <c r="AA337" s="257">
        <v>4.9200000000000017</v>
      </c>
      <c r="AB337" s="257">
        <v>67.12</v>
      </c>
      <c r="AC337" s="258" t="s">
        <v>2654</v>
      </c>
      <c r="AD337" s="257">
        <v>3.8861015278462299</v>
      </c>
      <c r="AE337">
        <f>IF('WetLitterbags placem_collection'!AB118="","",'WetLitterbags placem_collection'!AB118)</f>
        <v>22.5</v>
      </c>
      <c r="AF337">
        <f>IF('WetLitterbags placem_collection'!Z118="","",'WetLitterbags placem_collection'!Z118)</f>
        <v>76</v>
      </c>
      <c r="AG337" s="243" t="str">
        <f>IF('WetLitterbags placem_collection'!AA118="","",'WetLitterbags placem_collection'!AA118)</f>
        <v>G</v>
      </c>
      <c r="AH337">
        <f>IF('WetLitterbags placem_collection'!AC118="","",'WetLitterbags placem_collection'!AC118)</f>
        <v>1</v>
      </c>
      <c r="AI337">
        <f>IFERROR(AVERAGE('Dry_Litterbag Placem_Collection'!O118,'Dry_Litterbag Placem_Collection'!R118),"")</f>
        <v>8.65</v>
      </c>
      <c r="AJ337" s="268">
        <f>IFERROR(AVERAGE('Dry_Litterbag Placem_Collection'!N118,'Dry_Litterbag Placem_Collection'!Q118),"")</f>
        <v>29.799999999999997</v>
      </c>
      <c r="AK337" s="267">
        <f>INDEX(Coordinates!$B$2:$B$197,MATCH(H337,Coordinates!$J$2:$J$197,0))</f>
        <v>-2.3488120270000001</v>
      </c>
      <c r="AL337" s="267">
        <f>INDEX(Coordinates!$C$2:$C$197,MATCH(H337,Coordinates!$J$2:$J$197,0))</f>
        <v>34.05146697</v>
      </c>
      <c r="AM337" s="267" t="str">
        <f>IF(ISNUMBER(SEARCH("C", 'Dry_Litterbag Placem_Collection'!T118)),"YES","NO")</f>
        <v>NO</v>
      </c>
      <c r="AN337" s="267" t="str">
        <f>IF(ISNUMBER(SEARCH("H", 'Dry_Litterbag Placem_Collection'!T118)),"YES","NO")</f>
        <v>NO</v>
      </c>
      <c r="AO337" s="267" t="str">
        <f>IF(ISNUMBER(SEARCH("R", 'Dry_Litterbag Placem_Collection'!T118)),"YES","NO")</f>
        <v>NO</v>
      </c>
    </row>
    <row r="338" spans="1:41" ht="15" customHeight="1">
      <c r="A338" s="259" t="s">
        <v>2643</v>
      </c>
      <c r="B338" s="260">
        <f>'Dry_Litterbag Placem_Collection'!A119</f>
        <v>117</v>
      </c>
      <c r="C338" s="260" t="str">
        <f>'Dry_Litterbag Placem_Collection'!B119</f>
        <v xml:space="preserve">Mwantimba
</v>
      </c>
      <c r="D338" s="260" t="s">
        <v>2454</v>
      </c>
      <c r="E338" s="260" t="s">
        <v>2644</v>
      </c>
      <c r="F338" s="260">
        <v>3</v>
      </c>
      <c r="G338" s="260" t="s">
        <v>3818</v>
      </c>
      <c r="H338" s="261" t="str">
        <f>'Dry_Litterbag Placem_Collection'!C119</f>
        <v>Wet_Ag3_T5</v>
      </c>
      <c r="I338" s="262" t="s">
        <v>2525</v>
      </c>
      <c r="J338" s="269" t="s">
        <v>298</v>
      </c>
      <c r="K338" s="260" t="str">
        <f>IF(ISBLANK('Dry_Litterbag Placem_Collection'!K119),"","R"&amp;""&amp;'Dry_Litterbag Placem_Collection'!K119)</f>
        <v>R745</v>
      </c>
      <c r="L338" s="264">
        <f>IFERROR(INDEX('Green_rooibos initial weight'!$C$5:$C$2000,MATCH(K338, 'Green_rooibos initial weight'!$A$5:$A$2000,0)),"")</f>
        <v>2.2909999999999999</v>
      </c>
      <c r="M338" s="264">
        <f>IFERROR(L338-(TBIcalc!$Q$9+TBIcalc!$Q$10),"")</f>
        <v>2.0411999999999999</v>
      </c>
      <c r="N338" s="385">
        <f>AVERAGE(Ashed_controlls!$K$12:$K$14)</f>
        <v>2.2816647271287041</v>
      </c>
      <c r="O338" s="264">
        <f t="shared" si="26"/>
        <v>1.9946266595898487</v>
      </c>
      <c r="P338" s="264" t="str">
        <f>IFERROR(INDEX('Both teabags AfterDry'!$D$2:$D$2000,MATCH(K338,'Both teabags AfterDry'!$A$2:$A$2000,0)),"")</f>
        <v/>
      </c>
      <c r="Q338" s="264" t="str">
        <f>IFERROR(IF(P338&gt;0,P338-(TBIcalc!$Q$9),""),"")</f>
        <v/>
      </c>
      <c r="R338" s="275" t="str">
        <f>IFERROR(INDEX('Ashed teabags dry'!$K$2:$K$2000,MATCH(K338,'Ashed teabags dry'!$A$2:$A$2000,0)),"")</f>
        <v/>
      </c>
      <c r="S338" s="275" t="str">
        <f t="shared" si="27"/>
        <v/>
      </c>
      <c r="T338" s="265">
        <f>IF('Dry_Litterbag Placem_Collection'!E119="","",'Dry_Litterbag Placem_Collection'!E119)</f>
        <v>42939</v>
      </c>
      <c r="U338" s="265">
        <f>IF('Dry_Litterbag Placem_Collection'!G119="","",'Dry_Litterbag Placem_Collection'!G119)</f>
        <v>43008</v>
      </c>
      <c r="V338" s="266">
        <f t="shared" si="25"/>
        <v>69</v>
      </c>
      <c r="W338" s="264" t="str">
        <f t="shared" si="28"/>
        <v/>
      </c>
      <c r="X338" s="264" t="str">
        <f t="shared" si="29"/>
        <v/>
      </c>
      <c r="Y338" s="268">
        <f>IFERROR(INDEX(Rainfall_Dry!$O$2:$O$217,MATCH(B338, Rainfall_Dry!$A$2:$A$217,0)),"")</f>
        <v>136.27214243</v>
      </c>
      <c r="Z338" s="257">
        <v>27.96</v>
      </c>
      <c r="AA338" s="257">
        <v>4.9200000000000017</v>
      </c>
      <c r="AB338" s="257">
        <v>67.12</v>
      </c>
      <c r="AC338" s="258" t="s">
        <v>2654</v>
      </c>
      <c r="AD338" s="257">
        <v>4.8861015278462299</v>
      </c>
      <c r="AE338">
        <f>IF('WetLitterbags placem_collection'!AB119="","",'WetLitterbags placem_collection'!AB119)</f>
        <v>23.5</v>
      </c>
      <c r="AF338">
        <f>IF('WetLitterbags placem_collection'!Z119="","",'WetLitterbags placem_collection'!Z119)</f>
        <v>76</v>
      </c>
      <c r="AG338" s="243" t="str">
        <f>IF('WetLitterbags placem_collection'!AA119="","",'WetLitterbags placem_collection'!AA119)</f>
        <v>G</v>
      </c>
      <c r="AH338">
        <f>IF('WetLitterbags placem_collection'!AC119="","",'WetLitterbags placem_collection'!AC119)</f>
        <v>1</v>
      </c>
      <c r="AI338">
        <f>IFERROR(AVERAGE('Dry_Litterbag Placem_Collection'!O119,'Dry_Litterbag Placem_Collection'!R119),"")</f>
        <v>10.149999999999999</v>
      </c>
      <c r="AJ338" s="268">
        <f>IFERROR(AVERAGE('Dry_Litterbag Placem_Collection'!N119,'Dry_Litterbag Placem_Collection'!Q119),"")</f>
        <v>29.05</v>
      </c>
      <c r="AK338" s="267">
        <f>INDEX(Coordinates!$B$2:$B$197,MATCH(H338,Coordinates!$J$2:$J$197,0))</f>
        <v>-2.348814961</v>
      </c>
      <c r="AL338" s="267">
        <f>INDEX(Coordinates!$C$2:$C$197,MATCH(H338,Coordinates!$J$2:$J$197,0))</f>
        <v>34.051439979999998</v>
      </c>
      <c r="AM338" s="267" t="str">
        <f>IF(ISNUMBER(SEARCH("C", 'Dry_Litterbag Placem_Collection'!T119)),"YES","NO")</f>
        <v>NO</v>
      </c>
      <c r="AN338" s="267" t="str">
        <f>IF(ISNUMBER(SEARCH("H", 'Dry_Litterbag Placem_Collection'!T119)),"YES","NO")</f>
        <v>NO</v>
      </c>
      <c r="AO338" s="267" t="str">
        <f>IF(ISNUMBER(SEARCH("R", 'Dry_Litterbag Placem_Collection'!T119)),"YES","NO")</f>
        <v>NO</v>
      </c>
    </row>
    <row r="339" spans="1:41" ht="15" customHeight="1">
      <c r="A339" s="259" t="s">
        <v>2643</v>
      </c>
      <c r="B339" s="260">
        <f>'Dry_Litterbag Placem_Collection'!A120</f>
        <v>118</v>
      </c>
      <c r="C339" s="260" t="str">
        <f>'Dry_Litterbag Placem_Collection'!B120</f>
        <v xml:space="preserve">Mwantimba
</v>
      </c>
      <c r="D339" s="260" t="s">
        <v>2454</v>
      </c>
      <c r="E339" s="260" t="s">
        <v>2644</v>
      </c>
      <c r="F339" s="260">
        <v>3</v>
      </c>
      <c r="G339" s="260" t="s">
        <v>3818</v>
      </c>
      <c r="H339" s="261" t="str">
        <f>'Dry_Litterbag Placem_Collection'!C120</f>
        <v>Wet_Ag3_T6</v>
      </c>
      <c r="I339" s="262" t="s">
        <v>2525</v>
      </c>
      <c r="J339" s="269" t="s">
        <v>298</v>
      </c>
      <c r="K339" s="260" t="str">
        <f>IF(ISBLANK('Dry_Litterbag Placem_Collection'!K120),"","R"&amp;""&amp;'Dry_Litterbag Placem_Collection'!K120)</f>
        <v>R791</v>
      </c>
      <c r="L339" s="264">
        <f>IFERROR(INDEX('Green_rooibos initial weight'!$C$5:$C$2000,MATCH(K339, 'Green_rooibos initial weight'!$A$5:$A$2000,0)),"")</f>
        <v>2.1579999999999999</v>
      </c>
      <c r="M339" s="264">
        <f>IFERROR(L339-(TBIcalc!$Q$9+TBIcalc!$Q$10),"")</f>
        <v>1.9081999999999999</v>
      </c>
      <c r="N339" s="385">
        <f>AVERAGE(Ashed_controlls!$K$12:$K$14)</f>
        <v>2.2816647271287041</v>
      </c>
      <c r="O339" s="264">
        <f t="shared" si="26"/>
        <v>1.8646612736769299</v>
      </c>
      <c r="P339" s="264">
        <f>IFERROR(INDEX('Both teabags AfterDry'!$D$2:$D$2000,MATCH(K339,'Both teabags AfterDry'!$A$2:$A$2000,0)),"")</f>
        <v>1.629</v>
      </c>
      <c r="Q339" s="264">
        <f>IFERROR(IF(P339&gt;0,P339-(TBIcalc!$Q$9),""),"")</f>
        <v>1.4783999999999999</v>
      </c>
      <c r="R339" s="275">
        <f>IFERROR(INDEX('Ashed teabags dry'!$K$2:$K$2000,MATCH(K339,'Ashed teabags dry'!$A$2:$A$2000,0)),"")</f>
        <v>7.1167883211671752</v>
      </c>
      <c r="S339" s="275">
        <f t="shared" si="27"/>
        <v>1.3731854014598643</v>
      </c>
      <c r="T339" s="265">
        <f>IF('Dry_Litterbag Placem_Collection'!E120="","",'Dry_Litterbag Placem_Collection'!E120)</f>
        <v>42939</v>
      </c>
      <c r="U339" s="265">
        <f>IF('Dry_Litterbag Placem_Collection'!G120="","",'Dry_Litterbag Placem_Collection'!G120)</f>
        <v>43008</v>
      </c>
      <c r="V339" s="266">
        <f t="shared" si="25"/>
        <v>69</v>
      </c>
      <c r="W339" s="264">
        <f t="shared" si="28"/>
        <v>0.42979999999999996</v>
      </c>
      <c r="X339" s="264">
        <f t="shared" si="29"/>
        <v>0.49147587221706557</v>
      </c>
      <c r="Y339" s="268">
        <f>IFERROR(INDEX(Rainfall_Dry!$O$2:$O$217,MATCH(B339, Rainfall_Dry!$A$2:$A$217,0)),"")</f>
        <v>136.27214243</v>
      </c>
      <c r="Z339" s="257">
        <v>27.96</v>
      </c>
      <c r="AA339" s="257">
        <v>4.9200000000000017</v>
      </c>
      <c r="AB339" s="257">
        <v>67.12</v>
      </c>
      <c r="AC339" s="258" t="s">
        <v>2654</v>
      </c>
      <c r="AD339" s="257">
        <v>5.8861015278462299</v>
      </c>
      <c r="AE339">
        <f>IF('WetLitterbags placem_collection'!AB120="","",'WetLitterbags placem_collection'!AB120)</f>
        <v>17.5</v>
      </c>
      <c r="AF339">
        <f>IF('WetLitterbags placem_collection'!Z120="","",'WetLitterbags placem_collection'!Z120)</f>
        <v>70.5</v>
      </c>
      <c r="AG339" s="243" t="str">
        <f>IF('WetLitterbags placem_collection'!AA120="","",'WetLitterbags placem_collection'!AA120)</f>
        <v>G</v>
      </c>
      <c r="AH339">
        <f>IF('WetLitterbags placem_collection'!AC120="","",'WetLitterbags placem_collection'!AC120)</f>
        <v>1</v>
      </c>
      <c r="AI339">
        <f>IFERROR(AVERAGE('Dry_Litterbag Placem_Collection'!O120,'Dry_Litterbag Placem_Collection'!R120),"")</f>
        <v>7.8000000000000007</v>
      </c>
      <c r="AJ339" s="268">
        <f>IFERROR(AVERAGE('Dry_Litterbag Placem_Collection'!N120,'Dry_Litterbag Placem_Collection'!Q120),"")</f>
        <v>28.25</v>
      </c>
      <c r="AK339" s="267">
        <f>INDEX(Coordinates!$B$2:$B$197,MATCH(H339,Coordinates!$J$2:$J$197,0))</f>
        <v>-2.3488729629999998</v>
      </c>
      <c r="AL339" s="267">
        <f>INDEX(Coordinates!$C$2:$C$197,MATCH(H339,Coordinates!$J$2:$J$197,0))</f>
        <v>34.051454980000003</v>
      </c>
      <c r="AM339" s="267" t="str">
        <f>IF(ISNUMBER(SEARCH("C", 'Dry_Litterbag Placem_Collection'!T120)),"YES","NO")</f>
        <v>NO</v>
      </c>
      <c r="AN339" s="267" t="str">
        <f>IF(ISNUMBER(SEARCH("H", 'Dry_Litterbag Placem_Collection'!T120)),"YES","NO")</f>
        <v>NO</v>
      </c>
      <c r="AO339" s="267" t="str">
        <f>IF(ISNUMBER(SEARCH("R", 'Dry_Litterbag Placem_Collection'!T120)),"YES","NO")</f>
        <v>NO</v>
      </c>
    </row>
    <row r="340" spans="1:41" ht="15" customHeight="1">
      <c r="A340" s="259" t="s">
        <v>2643</v>
      </c>
      <c r="B340" s="260">
        <f>'Dry_Litterbag Placem_Collection'!A121</f>
        <v>119</v>
      </c>
      <c r="C340" s="260" t="str">
        <f>'Dry_Litterbag Placem_Collection'!B121</f>
        <v xml:space="preserve">Mwantimba
</v>
      </c>
      <c r="D340" s="260" t="s">
        <v>2454</v>
      </c>
      <c r="E340" s="260" t="s">
        <v>2644</v>
      </c>
      <c r="F340" s="260">
        <v>3</v>
      </c>
      <c r="G340" s="260" t="s">
        <v>3818</v>
      </c>
      <c r="H340" s="261" t="str">
        <f>'Dry_Litterbag Placem_Collection'!C121</f>
        <v>Wet_Ag3_T7</v>
      </c>
      <c r="I340" s="262" t="s">
        <v>2525</v>
      </c>
      <c r="J340" s="269" t="s">
        <v>298</v>
      </c>
      <c r="K340" s="260" t="str">
        <f>IF(ISBLANK('Dry_Litterbag Placem_Collection'!K121),"","R"&amp;""&amp;'Dry_Litterbag Placem_Collection'!K121)</f>
        <v>R802</v>
      </c>
      <c r="L340" s="264">
        <f>IFERROR(INDEX('Green_rooibos initial weight'!$C$5:$C$2000,MATCH(K340, 'Green_rooibos initial weight'!$A$5:$A$2000,0)),"")</f>
        <v>2.25</v>
      </c>
      <c r="M340" s="264">
        <f>IFERROR(L340-(TBIcalc!$Q$9+TBIcalc!$Q$10),"")</f>
        <v>2.0002</v>
      </c>
      <c r="N340" s="385">
        <f>AVERAGE(Ashed_controlls!$K$12:$K$14)</f>
        <v>2.2816647271287041</v>
      </c>
      <c r="O340" s="264">
        <f t="shared" si="26"/>
        <v>1.9545621421279717</v>
      </c>
      <c r="P340" s="264">
        <f>IFERROR(INDEX('Both teabags AfterDry'!$D$2:$D$2000,MATCH(K340,'Both teabags AfterDry'!$A$2:$A$2000,0)),"")</f>
        <v>1.6778</v>
      </c>
      <c r="Q340" s="264">
        <f>IFERROR(IF(P340&gt;0,P340-(TBIcalc!$Q$9),""),"")</f>
        <v>1.5271999999999999</v>
      </c>
      <c r="R340" s="275">
        <f>IFERROR(INDEX('Ashed teabags dry'!$K$2:$K$2000,MATCH(K340,'Ashed teabags dry'!$A$2:$A$2000,0)),"")</f>
        <v>9.0650213573804805</v>
      </c>
      <c r="S340" s="275">
        <f t="shared" si="27"/>
        <v>1.3887589938300853</v>
      </c>
      <c r="T340" s="265">
        <f>IF('Dry_Litterbag Placem_Collection'!E121="","",'Dry_Litterbag Placem_Collection'!E121)</f>
        <v>42939</v>
      </c>
      <c r="U340" s="265">
        <f>IF('Dry_Litterbag Placem_Collection'!G121="","",'Dry_Litterbag Placem_Collection'!G121)</f>
        <v>43008</v>
      </c>
      <c r="V340" s="266">
        <f t="shared" si="25"/>
        <v>69</v>
      </c>
      <c r="W340" s="264">
        <f t="shared" si="28"/>
        <v>0.47300000000000009</v>
      </c>
      <c r="X340" s="264">
        <f t="shared" si="29"/>
        <v>0.56580314829788647</v>
      </c>
      <c r="Y340" s="268">
        <f>IFERROR(INDEX(Rainfall_Dry!$O$2:$O$217,MATCH(B340, Rainfall_Dry!$A$2:$A$217,0)),"")</f>
        <v>136.27214243</v>
      </c>
      <c r="Z340" s="257">
        <v>27.96</v>
      </c>
      <c r="AA340" s="257">
        <v>4.9200000000000017</v>
      </c>
      <c r="AB340" s="257">
        <v>67.12</v>
      </c>
      <c r="AC340" s="258" t="s">
        <v>2654</v>
      </c>
      <c r="AD340" s="257">
        <v>6.8861015278462299</v>
      </c>
      <c r="AE340">
        <f>IF('WetLitterbags placem_collection'!AB121="","",'WetLitterbags placem_collection'!AB121)</f>
        <v>18.5</v>
      </c>
      <c r="AF340">
        <f>IF('WetLitterbags placem_collection'!Z121="","",'WetLitterbags placem_collection'!Z121)</f>
        <v>74.5</v>
      </c>
      <c r="AG340" s="243" t="str">
        <f>IF('WetLitterbags placem_collection'!AA121="","",'WetLitterbags placem_collection'!AA121)</f>
        <v>G</v>
      </c>
      <c r="AH340">
        <f>IF('WetLitterbags placem_collection'!AC121="","",'WetLitterbags placem_collection'!AC121)</f>
        <v>1</v>
      </c>
      <c r="AI340">
        <f>IFERROR(AVERAGE('Dry_Litterbag Placem_Collection'!O121,'Dry_Litterbag Placem_Collection'!R121),"")</f>
        <v>10.050000000000001</v>
      </c>
      <c r="AJ340" s="268">
        <f>IFERROR(AVERAGE('Dry_Litterbag Placem_Collection'!N121,'Dry_Litterbag Placem_Collection'!Q121),"")</f>
        <v>27.95</v>
      </c>
      <c r="AK340" s="267">
        <f>INDEX(Coordinates!$B$2:$B$197,MATCH(H340,Coordinates!$J$2:$J$197,0))</f>
        <v>-2.3488589659999999</v>
      </c>
      <c r="AL340" s="267">
        <f>INDEX(Coordinates!$C$2:$C$197,MATCH(H340,Coordinates!$J$2:$J$197,0))</f>
        <v>34.051389010000001</v>
      </c>
      <c r="AM340" s="267" t="str">
        <f>IF(ISNUMBER(SEARCH("C", 'Dry_Litterbag Placem_Collection'!T121)),"YES","NO")</f>
        <v>NO</v>
      </c>
      <c r="AN340" s="267" t="str">
        <f>IF(ISNUMBER(SEARCH("H", 'Dry_Litterbag Placem_Collection'!T121)),"YES","NO")</f>
        <v>NO</v>
      </c>
      <c r="AO340" s="267" t="str">
        <f>IF(ISNUMBER(SEARCH("R", 'Dry_Litterbag Placem_Collection'!T121)),"YES","NO")</f>
        <v>NO</v>
      </c>
    </row>
    <row r="341" spans="1:41" ht="15" customHeight="1">
      <c r="A341" s="259" t="s">
        <v>2643</v>
      </c>
      <c r="B341" s="260">
        <f>'Dry_Litterbag Placem_Collection'!A122</f>
        <v>120</v>
      </c>
      <c r="C341" s="260" t="str">
        <f>'Dry_Litterbag Placem_Collection'!B122</f>
        <v xml:space="preserve">Mwantimba
</v>
      </c>
      <c r="D341" s="260" t="s">
        <v>2454</v>
      </c>
      <c r="E341" s="260" t="s">
        <v>2644</v>
      </c>
      <c r="F341" s="260">
        <v>3</v>
      </c>
      <c r="G341" s="260" t="s">
        <v>3818</v>
      </c>
      <c r="H341" s="261" t="str">
        <f>'Dry_Litterbag Placem_Collection'!C122</f>
        <v>Wet_Ag3_T8</v>
      </c>
      <c r="I341" s="262" t="s">
        <v>2525</v>
      </c>
      <c r="J341" s="269" t="s">
        <v>298</v>
      </c>
      <c r="K341" s="260" t="str">
        <f>IF(ISBLANK('Dry_Litterbag Placem_Collection'!K122),"","R"&amp;""&amp;'Dry_Litterbag Placem_Collection'!K122)</f>
        <v/>
      </c>
      <c r="L341" s="264" t="str">
        <f>IFERROR(INDEX('Green_rooibos initial weight'!$C$5:$C$2000,MATCH(K341, 'Green_rooibos initial weight'!$A$5:$A$2000,0)),"")</f>
        <v/>
      </c>
      <c r="M341" s="264" t="str">
        <f>IFERROR(L341-(TBIcalc!$Q$9+TBIcalc!$Q$10),"")</f>
        <v/>
      </c>
      <c r="N341" s="385">
        <f>AVERAGE(Ashed_controlls!$K$12:$K$14)</f>
        <v>2.2816647271287041</v>
      </c>
      <c r="O341" s="264" t="str">
        <f t="shared" si="26"/>
        <v/>
      </c>
      <c r="P341" s="264" t="str">
        <f>IFERROR(INDEX('Both teabags AfterDry'!$D$2:$D$2000,MATCH(K341,'Both teabags AfterDry'!$A$2:$A$2000,0)),"")</f>
        <v/>
      </c>
      <c r="Q341" s="264" t="str">
        <f>IFERROR(IF(P341&gt;0,P341-(TBIcalc!$Q$9),""),"")</f>
        <v/>
      </c>
      <c r="R341" s="275" t="str">
        <f>IFERROR(INDEX('Ashed teabags dry'!$K$2:$K$2000,MATCH(K341,'Ashed teabags dry'!$A$2:$A$2000,0)),"")</f>
        <v/>
      </c>
      <c r="S341" s="275" t="str">
        <f t="shared" si="27"/>
        <v/>
      </c>
      <c r="T341" s="265" t="str">
        <f>IF('Dry_Litterbag Placem_Collection'!E122="","",'Dry_Litterbag Placem_Collection'!E122)</f>
        <v/>
      </c>
      <c r="U341" s="265" t="str">
        <f>IF('Dry_Litterbag Placem_Collection'!G122="","",'Dry_Litterbag Placem_Collection'!G122)</f>
        <v/>
      </c>
      <c r="V341" s="266" t="str">
        <f t="shared" si="25"/>
        <v/>
      </c>
      <c r="W341" s="264" t="str">
        <f t="shared" si="28"/>
        <v/>
      </c>
      <c r="X341" s="264" t="str">
        <f t="shared" si="29"/>
        <v/>
      </c>
      <c r="Y341" s="268" t="str">
        <f>IFERROR(INDEX(Rainfall_Dry!$O$2:$O$217,MATCH(B341, Rainfall_Dry!$A$2:$A$217,0)),"")</f>
        <v/>
      </c>
      <c r="Z341" s="257">
        <v>27.96</v>
      </c>
      <c r="AA341" s="257">
        <v>4.9200000000000017</v>
      </c>
      <c r="AB341" s="257">
        <v>67.12</v>
      </c>
      <c r="AC341" s="258" t="s">
        <v>2654</v>
      </c>
      <c r="AD341" s="257">
        <v>7.8861015278462299</v>
      </c>
      <c r="AE341">
        <f>IF('WetLitterbags placem_collection'!AB122="","",'WetLitterbags placem_collection'!AB122)</f>
        <v>19</v>
      </c>
      <c r="AF341">
        <f>IF('WetLitterbags placem_collection'!Z122="","",'WetLitterbags placem_collection'!Z122)</f>
        <v>98.5</v>
      </c>
      <c r="AG341" s="243" t="str">
        <f>IF('WetLitterbags placem_collection'!AA122="","",'WetLitterbags placem_collection'!AA122)</f>
        <v>G</v>
      </c>
      <c r="AH341">
        <f>IF('WetLitterbags placem_collection'!AC122="","",'WetLitterbags placem_collection'!AC122)</f>
        <v>0</v>
      </c>
      <c r="AI341" t="str">
        <f>IFERROR(AVERAGE('Dry_Litterbag Placem_Collection'!O122,'Dry_Litterbag Placem_Collection'!R122),"")</f>
        <v/>
      </c>
      <c r="AJ341" s="268" t="str">
        <f>IFERROR(AVERAGE('Dry_Litterbag Placem_Collection'!N122,'Dry_Litterbag Placem_Collection'!Q122),"")</f>
        <v/>
      </c>
      <c r="AK341" s="267">
        <f>INDEX(Coordinates!$B$2:$B$197,MATCH(H341,Coordinates!$J$2:$J$197,0))</f>
        <v>-2.3486449760000001</v>
      </c>
      <c r="AL341" s="267">
        <f>INDEX(Coordinates!$C$2:$C$197,MATCH(H341,Coordinates!$J$2:$J$197,0))</f>
        <v>34.051495969999998</v>
      </c>
      <c r="AM341" s="267" t="str">
        <f>IF(ISNUMBER(SEARCH("C", 'Dry_Litterbag Placem_Collection'!T122)),"YES","NO")</f>
        <v>NO</v>
      </c>
      <c r="AN341" s="267" t="str">
        <f>IF(ISNUMBER(SEARCH("H", 'Dry_Litterbag Placem_Collection'!T122)),"YES","NO")</f>
        <v>NO</v>
      </c>
      <c r="AO341" s="267" t="str">
        <f>IF(ISNUMBER(SEARCH("R", 'Dry_Litterbag Placem_Collection'!T122)),"YES","NO")</f>
        <v>NO</v>
      </c>
    </row>
    <row r="342" spans="1:41" ht="15" customHeight="1">
      <c r="A342" s="259" t="s">
        <v>2643</v>
      </c>
      <c r="B342" s="260">
        <f>'Dry_Litterbag Placem_Collection'!A123</f>
        <v>121</v>
      </c>
      <c r="C342" s="260" t="str">
        <f>'Dry_Litterbag Placem_Collection'!B123</f>
        <v xml:space="preserve">Mwantimba
</v>
      </c>
      <c r="D342" s="260" t="s">
        <v>2454</v>
      </c>
      <c r="E342" s="260" t="s">
        <v>2644</v>
      </c>
      <c r="F342" s="260">
        <v>4</v>
      </c>
      <c r="G342" s="260" t="s">
        <v>3819</v>
      </c>
      <c r="H342" s="261" t="str">
        <f>'Dry_Litterbag Placem_Collection'!C123</f>
        <v>Wet_Ag4_T1</v>
      </c>
      <c r="I342" s="262" t="s">
        <v>2525</v>
      </c>
      <c r="J342" s="269" t="s">
        <v>298</v>
      </c>
      <c r="K342" s="260" t="str">
        <f>IF(ISBLANK('Dry_Litterbag Placem_Collection'!K123),"","R"&amp;""&amp;'Dry_Litterbag Placem_Collection'!K123)</f>
        <v>R822</v>
      </c>
      <c r="L342" s="264">
        <f>IFERROR(INDEX('Green_rooibos initial weight'!$C$5:$C$2000,MATCH(K342, 'Green_rooibos initial weight'!$A$5:$A$2000,0)),"")</f>
        <v>2.1880000000000002</v>
      </c>
      <c r="M342" s="264">
        <f>IFERROR(L342-(TBIcalc!$Q$9+TBIcalc!$Q$10),"")</f>
        <v>1.9382000000000001</v>
      </c>
      <c r="N342" s="385">
        <f>AVERAGE(Ashed_controlls!$K$12:$K$14)</f>
        <v>2.2816647271287041</v>
      </c>
      <c r="O342" s="264">
        <f t="shared" si="26"/>
        <v>1.8939767742587916</v>
      </c>
      <c r="P342" s="264" t="str">
        <f>IFERROR(INDEX('Both teabags AfterDry'!$D$2:$D$2000,MATCH(K342,'Both teabags AfterDry'!$A$2:$A$2000,0)),"")</f>
        <v/>
      </c>
      <c r="Q342" s="264" t="str">
        <f>IFERROR(IF(P342&gt;0,P342-(TBIcalc!$Q$9),""),"")</f>
        <v/>
      </c>
      <c r="R342" s="275" t="str">
        <f>IFERROR(INDEX('Ashed teabags dry'!$K$2:$K$2000,MATCH(K342,'Ashed teabags dry'!$A$2:$A$2000,0)),"")</f>
        <v/>
      </c>
      <c r="S342" s="275" t="str">
        <f t="shared" si="27"/>
        <v/>
      </c>
      <c r="T342" s="265">
        <f>IF('Dry_Litterbag Placem_Collection'!E123="","",'Dry_Litterbag Placem_Collection'!E123)</f>
        <v>42939</v>
      </c>
      <c r="U342" s="265">
        <f>IF('Dry_Litterbag Placem_Collection'!G123="","",'Dry_Litterbag Placem_Collection'!G123)</f>
        <v>43008</v>
      </c>
      <c r="V342" s="266">
        <f t="shared" si="25"/>
        <v>69</v>
      </c>
      <c r="W342" s="264" t="str">
        <f t="shared" si="28"/>
        <v/>
      </c>
      <c r="X342" s="264" t="str">
        <f t="shared" si="29"/>
        <v/>
      </c>
      <c r="Y342" s="268">
        <f>IFERROR(INDEX(Rainfall_Dry!$O$2:$O$217,MATCH(B342, Rainfall_Dry!$A$2:$A$217,0)),"")</f>
        <v>136.27214243</v>
      </c>
      <c r="Z342" s="257">
        <v>17.96</v>
      </c>
      <c r="AA342" s="257">
        <v>4.9199999999999982</v>
      </c>
      <c r="AB342" s="257">
        <v>77.12</v>
      </c>
      <c r="AC342" s="258" t="s">
        <v>2655</v>
      </c>
      <c r="AD342" s="257">
        <v>2.0220798422868409</v>
      </c>
      <c r="AE342">
        <f>IF('WetLitterbags placem_collection'!AB123="","",'WetLitterbags placem_collection'!AB123)</f>
        <v>9.65</v>
      </c>
      <c r="AF342">
        <f>IF('WetLitterbags placem_collection'!Z123="","",'WetLitterbags placem_collection'!Z123)</f>
        <v>63</v>
      </c>
      <c r="AG342" s="243" t="str">
        <f>IF('WetLitterbags placem_collection'!AA123="","",'WetLitterbags placem_collection'!AA123)</f>
        <v>G</v>
      </c>
      <c r="AH342">
        <f>IF('WetLitterbags placem_collection'!AC123="","",'WetLitterbags placem_collection'!AC123)</f>
        <v>0</v>
      </c>
      <c r="AI342">
        <f>IFERROR(AVERAGE('Dry_Litterbag Placem_Collection'!O123,'Dry_Litterbag Placem_Collection'!R123),"")</f>
        <v>5.5</v>
      </c>
      <c r="AJ342" s="268">
        <f>IFERROR(AVERAGE('Dry_Litterbag Placem_Collection'!N123,'Dry_Litterbag Placem_Collection'!Q123),"")</f>
        <v>29.1</v>
      </c>
      <c r="AK342" s="267">
        <f>INDEX(Coordinates!$B$2:$B$197,MATCH(H342,Coordinates!$J$2:$J$197,0))</f>
        <v>-2.3492639789999998</v>
      </c>
      <c r="AL342" s="267">
        <f>INDEX(Coordinates!$C$2:$C$197,MATCH(H342,Coordinates!$J$2:$J$197,0))</f>
        <v>34.051464029999998</v>
      </c>
      <c r="AM342" s="267" t="str">
        <f>IF(ISNUMBER(SEARCH("C", 'Dry_Litterbag Placem_Collection'!T123)),"YES","NO")</f>
        <v>NO</v>
      </c>
      <c r="AN342" s="267" t="str">
        <f>IF(ISNUMBER(SEARCH("H", 'Dry_Litterbag Placem_Collection'!T123)),"YES","NO")</f>
        <v>NO</v>
      </c>
      <c r="AO342" s="267" t="str">
        <f>IF(ISNUMBER(SEARCH("R", 'Dry_Litterbag Placem_Collection'!T123)),"YES","NO")</f>
        <v>NO</v>
      </c>
    </row>
    <row r="343" spans="1:41" ht="15" customHeight="1">
      <c r="A343" s="259" t="s">
        <v>2643</v>
      </c>
      <c r="B343" s="260">
        <f>'Dry_Litterbag Placem_Collection'!A124</f>
        <v>122</v>
      </c>
      <c r="C343" s="260" t="str">
        <f>'Dry_Litterbag Placem_Collection'!B124</f>
        <v xml:space="preserve">Mwantimba
</v>
      </c>
      <c r="D343" s="260" t="s">
        <v>2454</v>
      </c>
      <c r="E343" s="260" t="s">
        <v>2644</v>
      </c>
      <c r="F343" s="260">
        <v>4</v>
      </c>
      <c r="G343" s="260" t="s">
        <v>3819</v>
      </c>
      <c r="H343" s="261" t="str">
        <f>'Dry_Litterbag Placem_Collection'!C124</f>
        <v>Wet_Ag4_T2</v>
      </c>
      <c r="I343" s="262" t="s">
        <v>2525</v>
      </c>
      <c r="J343" s="269" t="s">
        <v>298</v>
      </c>
      <c r="K343" s="260" t="str">
        <f>IF(ISBLANK('Dry_Litterbag Placem_Collection'!K124),"","R"&amp;""&amp;'Dry_Litterbag Placem_Collection'!K124)</f>
        <v>R792</v>
      </c>
      <c r="L343" s="264">
        <f>IFERROR(INDEX('Green_rooibos initial weight'!$C$5:$C$2000,MATCH(K343, 'Green_rooibos initial weight'!$A$5:$A$2000,0)),"")</f>
        <v>2.2389999999999999</v>
      </c>
      <c r="M343" s="264">
        <f>IFERROR(L343-(TBIcalc!$Q$9+TBIcalc!$Q$10),"")</f>
        <v>1.9891999999999999</v>
      </c>
      <c r="N343" s="385">
        <f>AVERAGE(Ashed_controlls!$K$12:$K$14)</f>
        <v>2.2816647271287041</v>
      </c>
      <c r="O343" s="264">
        <f t="shared" si="26"/>
        <v>1.9438131252479556</v>
      </c>
      <c r="P343" s="264">
        <f>IFERROR(INDEX('Both teabags AfterDry'!$D$2:$D$2000,MATCH(K343,'Both teabags AfterDry'!$A$2:$A$2000,0)),"")</f>
        <v>0</v>
      </c>
      <c r="Q343" s="264" t="str">
        <f>IFERROR(IF(P343&gt;0,P343-(TBIcalc!$Q$9),""),"")</f>
        <v/>
      </c>
      <c r="R343" s="275">
        <f>IFERROR(INDEX('Ashed teabags dry'!$K$2:$K$2000,MATCH(K343,'Ashed teabags dry'!$A$2:$A$2000,0)),"")</f>
        <v>0</v>
      </c>
      <c r="S343" s="275" t="str">
        <f t="shared" si="27"/>
        <v/>
      </c>
      <c r="T343" s="265">
        <f>IF('Dry_Litterbag Placem_Collection'!E124="","",'Dry_Litterbag Placem_Collection'!E124)</f>
        <v>42939</v>
      </c>
      <c r="U343" s="265">
        <f>IF('Dry_Litterbag Placem_Collection'!G124="","",'Dry_Litterbag Placem_Collection'!G124)</f>
        <v>43008</v>
      </c>
      <c r="V343" s="266">
        <f t="shared" si="25"/>
        <v>69</v>
      </c>
      <c r="W343" s="264" t="str">
        <f t="shared" si="28"/>
        <v/>
      </c>
      <c r="X343" s="264" t="str">
        <f t="shared" si="29"/>
        <v/>
      </c>
      <c r="Y343" s="268">
        <f>IFERROR(INDEX(Rainfall_Dry!$O$2:$O$217,MATCH(B343, Rainfall_Dry!$A$2:$A$217,0)),"")</f>
        <v>136.27214243</v>
      </c>
      <c r="Z343" s="257">
        <v>17.96</v>
      </c>
      <c r="AA343" s="257">
        <v>4.9199999999999982</v>
      </c>
      <c r="AB343" s="257">
        <v>77.12</v>
      </c>
      <c r="AC343" s="258" t="s">
        <v>2655</v>
      </c>
      <c r="AD343" s="257">
        <v>3.02207984228684</v>
      </c>
      <c r="AE343">
        <f>IF('WetLitterbags placem_collection'!AB124="","",'WetLitterbags placem_collection'!AB124)</f>
        <v>3.1</v>
      </c>
      <c r="AF343">
        <f>IF('WetLitterbags placem_collection'!Z124="","",'WetLitterbags placem_collection'!Z124)</f>
        <v>53</v>
      </c>
      <c r="AG343" s="243" t="str">
        <f>IF('WetLitterbags placem_collection'!AA124="","",'WetLitterbags placem_collection'!AA124)</f>
        <v>G</v>
      </c>
      <c r="AH343">
        <f>IF('WetLitterbags placem_collection'!AC124="","",'WetLitterbags placem_collection'!AC124)</f>
        <v>0</v>
      </c>
      <c r="AI343">
        <f>IFERROR(AVERAGE('Dry_Litterbag Placem_Collection'!O124,'Dry_Litterbag Placem_Collection'!R124),"")</f>
        <v>9.0500000000000007</v>
      </c>
      <c r="AJ343" s="268">
        <f>IFERROR(AVERAGE('Dry_Litterbag Placem_Collection'!N124,'Dry_Litterbag Placem_Collection'!Q124),"")</f>
        <v>28.55</v>
      </c>
      <c r="AK343" s="267">
        <f>INDEX(Coordinates!$B$2:$B$197,MATCH(H343,Coordinates!$J$2:$J$197,0))</f>
        <v>-2.34923196</v>
      </c>
      <c r="AL343" s="267">
        <f>INDEX(Coordinates!$C$2:$C$197,MATCH(H343,Coordinates!$J$2:$J$197,0))</f>
        <v>34.051422039999999</v>
      </c>
      <c r="AM343" s="267" t="str">
        <f>IF(ISNUMBER(SEARCH("C", 'Dry_Litterbag Placem_Collection'!T124)),"YES","NO")</f>
        <v>YES</v>
      </c>
      <c r="AN343" s="267" t="str">
        <f>IF(ISNUMBER(SEARCH("H", 'Dry_Litterbag Placem_Collection'!T124)),"YES","NO")</f>
        <v>YES</v>
      </c>
      <c r="AO343" s="267" t="str">
        <f>IF(ISNUMBER(SEARCH("R", 'Dry_Litterbag Placem_Collection'!T124)),"YES","NO")</f>
        <v>NO</v>
      </c>
    </row>
    <row r="344" spans="1:41" ht="15" customHeight="1">
      <c r="A344" s="259" t="s">
        <v>2643</v>
      </c>
      <c r="B344" s="260">
        <f>'Dry_Litterbag Placem_Collection'!A125</f>
        <v>123</v>
      </c>
      <c r="C344" s="260" t="str">
        <f>'Dry_Litterbag Placem_Collection'!B125</f>
        <v xml:space="preserve">Mwantimba
</v>
      </c>
      <c r="D344" s="260" t="s">
        <v>2454</v>
      </c>
      <c r="E344" s="260" t="s">
        <v>2644</v>
      </c>
      <c r="F344" s="260">
        <v>4</v>
      </c>
      <c r="G344" s="260" t="s">
        <v>3819</v>
      </c>
      <c r="H344" s="261" t="str">
        <f>'Dry_Litterbag Placem_Collection'!C125</f>
        <v>Wet_Ag4_T3</v>
      </c>
      <c r="I344" s="262" t="s">
        <v>2525</v>
      </c>
      <c r="J344" s="269" t="s">
        <v>298</v>
      </c>
      <c r="K344" s="260" t="str">
        <f>IF(ISBLANK('Dry_Litterbag Placem_Collection'!K125),"","R"&amp;""&amp;'Dry_Litterbag Placem_Collection'!K125)</f>
        <v>R740</v>
      </c>
      <c r="L344" s="264">
        <f>IFERROR(INDEX('Green_rooibos initial weight'!$C$5:$C$2000,MATCH(K344, 'Green_rooibos initial weight'!$A$5:$A$2000,0)),"")</f>
        <v>2.161</v>
      </c>
      <c r="M344" s="264">
        <f>IFERROR(L344-(TBIcalc!$Q$9+TBIcalc!$Q$10),"")</f>
        <v>1.9112</v>
      </c>
      <c r="N344" s="385">
        <f>AVERAGE(Ashed_controlls!$K$12:$K$14)</f>
        <v>2.2816647271287041</v>
      </c>
      <c r="O344" s="264">
        <f t="shared" si="26"/>
        <v>1.8675928237351163</v>
      </c>
      <c r="P344" s="264">
        <f>IFERROR(INDEX('Both teabags AfterDry'!$D$2:$D$2000,MATCH(K344,'Both teabags AfterDry'!$A$2:$A$2000,0)),"")</f>
        <v>1.6575</v>
      </c>
      <c r="Q344" s="264">
        <f>IFERROR(IF(P344&gt;0,P344-(TBIcalc!$Q$9),""),"")</f>
        <v>1.5068999999999999</v>
      </c>
      <c r="R344" s="275">
        <f>IFERROR(INDEX('Ashed teabags dry'!$K$2:$K$2000,MATCH(K344,'Ashed teabags dry'!$A$2:$A$2000,0)),"")</f>
        <v>10.523831996223592</v>
      </c>
      <c r="S344" s="275">
        <f t="shared" si="27"/>
        <v>1.3483163756489067</v>
      </c>
      <c r="T344" s="265">
        <f>IF('Dry_Litterbag Placem_Collection'!E125="","",'Dry_Litterbag Placem_Collection'!E125)</f>
        <v>42939</v>
      </c>
      <c r="U344" s="265">
        <f>IF('Dry_Litterbag Placem_Collection'!G125="","",'Dry_Litterbag Placem_Collection'!G125)</f>
        <v>43008</v>
      </c>
      <c r="V344" s="266">
        <f t="shared" si="25"/>
        <v>69</v>
      </c>
      <c r="W344" s="264">
        <f t="shared" si="28"/>
        <v>0.4043000000000001</v>
      </c>
      <c r="X344" s="264">
        <f t="shared" si="29"/>
        <v>0.51927644808620954</v>
      </c>
      <c r="Y344" s="268">
        <f>IFERROR(INDEX(Rainfall_Dry!$O$2:$O$217,MATCH(B344, Rainfall_Dry!$A$2:$A$217,0)),"")</f>
        <v>136.27214243</v>
      </c>
      <c r="Z344" s="257">
        <v>17.96</v>
      </c>
      <c r="AA344" s="257">
        <v>4.9199999999999982</v>
      </c>
      <c r="AB344" s="257">
        <v>77.12</v>
      </c>
      <c r="AC344" s="258" t="s">
        <v>2655</v>
      </c>
      <c r="AD344" s="257">
        <v>4.02207984228684</v>
      </c>
      <c r="AE344">
        <f>IF('WetLitterbags placem_collection'!AB125="","",'WetLitterbags placem_collection'!AB125)</f>
        <v>3.9</v>
      </c>
      <c r="AF344">
        <f>IF('WetLitterbags placem_collection'!Z125="","",'WetLitterbags placem_collection'!Z125)</f>
        <v>51</v>
      </c>
      <c r="AG344" s="243" t="str">
        <f>IF('WetLitterbags placem_collection'!AA125="","",'WetLitterbags placem_collection'!AA125)</f>
        <v>G</v>
      </c>
      <c r="AH344">
        <f>IF('WetLitterbags placem_collection'!AC125="","",'WetLitterbags placem_collection'!AC125)</f>
        <v>1</v>
      </c>
      <c r="AI344">
        <f>IFERROR(AVERAGE('Dry_Litterbag Placem_Collection'!O125,'Dry_Litterbag Placem_Collection'!R125),"")</f>
        <v>10.7</v>
      </c>
      <c r="AJ344" s="268">
        <f>IFERROR(AVERAGE('Dry_Litterbag Placem_Collection'!N125,'Dry_Litterbag Placem_Collection'!Q125),"")</f>
        <v>27.1</v>
      </c>
      <c r="AK344" s="267">
        <f>INDEX(Coordinates!$B$2:$B$197,MATCH(H344,Coordinates!$J$2:$J$197,0))</f>
        <v>-2.3492390009999999</v>
      </c>
      <c r="AL344" s="267">
        <f>INDEX(Coordinates!$C$2:$C$197,MATCH(H344,Coordinates!$J$2:$J$197,0))</f>
        <v>34.051304020000003</v>
      </c>
      <c r="AM344" s="267" t="str">
        <f>IF(ISNUMBER(SEARCH("C", 'Dry_Litterbag Placem_Collection'!T125)),"YES","NO")</f>
        <v>NO</v>
      </c>
      <c r="AN344" s="267" t="str">
        <f>IF(ISNUMBER(SEARCH("H", 'Dry_Litterbag Placem_Collection'!T125)),"YES","NO")</f>
        <v>NO</v>
      </c>
      <c r="AO344" s="267" t="str">
        <f>IF(ISNUMBER(SEARCH("R", 'Dry_Litterbag Placem_Collection'!T125)),"YES","NO")</f>
        <v>NO</v>
      </c>
    </row>
    <row r="345" spans="1:41" ht="15" customHeight="1">
      <c r="A345" s="259" t="s">
        <v>2643</v>
      </c>
      <c r="B345" s="260">
        <f>'Dry_Litterbag Placem_Collection'!A126</f>
        <v>124</v>
      </c>
      <c r="C345" s="260" t="str">
        <f>'Dry_Litterbag Placem_Collection'!B126</f>
        <v xml:space="preserve">Mwantimba
</v>
      </c>
      <c r="D345" s="260" t="s">
        <v>2454</v>
      </c>
      <c r="E345" s="260" t="s">
        <v>2644</v>
      </c>
      <c r="F345" s="260">
        <v>4</v>
      </c>
      <c r="G345" s="260" t="s">
        <v>3819</v>
      </c>
      <c r="H345" s="261" t="str">
        <f>'Dry_Litterbag Placem_Collection'!C126</f>
        <v>Wet_Ag4_T4</v>
      </c>
      <c r="I345" s="262" t="s">
        <v>2525</v>
      </c>
      <c r="J345" s="269" t="s">
        <v>298</v>
      </c>
      <c r="K345" s="260" t="str">
        <f>IF(ISBLANK('Dry_Litterbag Placem_Collection'!K126),"","R"&amp;""&amp;'Dry_Litterbag Placem_Collection'!K126)</f>
        <v>R797</v>
      </c>
      <c r="L345" s="264">
        <f>IFERROR(INDEX('Green_rooibos initial weight'!$C$5:$C$2000,MATCH(K345, 'Green_rooibos initial weight'!$A$5:$A$2000,0)),"")</f>
        <v>2.2130000000000001</v>
      </c>
      <c r="M345" s="264">
        <f>IFERROR(L345-(TBIcalc!$Q$9+TBIcalc!$Q$10),"")</f>
        <v>1.9632000000000001</v>
      </c>
      <c r="N345" s="385">
        <f>AVERAGE(Ashed_controlls!$K$12:$K$14)</f>
        <v>2.2816647271287041</v>
      </c>
      <c r="O345" s="264">
        <f t="shared" si="26"/>
        <v>1.9184063580770094</v>
      </c>
      <c r="P345" s="264">
        <f>IFERROR(INDEX('Both teabags AfterDry'!$D$2:$D$2000,MATCH(K345,'Both teabags AfterDry'!$A$2:$A$2000,0)),"")</f>
        <v>1.5708</v>
      </c>
      <c r="Q345" s="264">
        <f>IFERROR(IF(P345&gt;0,P345-(TBIcalc!$Q$9),""),"")</f>
        <v>1.4201999999999999</v>
      </c>
      <c r="R345" s="275">
        <f>IFERROR(INDEX('Ashed teabags dry'!$K$2:$K$2000,MATCH(K345,'Ashed teabags dry'!$A$2:$A$2000,0)),"")</f>
        <v>3.4211742949603519</v>
      </c>
      <c r="S345" s="275">
        <f t="shared" si="27"/>
        <v>1.371612482662973</v>
      </c>
      <c r="T345" s="265">
        <f>IF('Dry_Litterbag Placem_Collection'!E126="","",'Dry_Litterbag Placem_Collection'!E126)</f>
        <v>42939</v>
      </c>
      <c r="U345" s="265">
        <f>IF('Dry_Litterbag Placem_Collection'!G126="","",'Dry_Litterbag Placem_Collection'!G126)</f>
        <v>43008</v>
      </c>
      <c r="V345" s="266">
        <f t="shared" si="25"/>
        <v>69</v>
      </c>
      <c r="W345" s="264">
        <f t="shared" si="28"/>
        <v>0.54300000000000015</v>
      </c>
      <c r="X345" s="264">
        <f t="shared" si="29"/>
        <v>0.54679387541403646</v>
      </c>
      <c r="Y345" s="268">
        <f>IFERROR(INDEX(Rainfall_Dry!$O$2:$O$217,MATCH(B345, Rainfall_Dry!$A$2:$A$217,0)),"")</f>
        <v>136.27214243</v>
      </c>
      <c r="Z345" s="257">
        <v>17.96</v>
      </c>
      <c r="AA345" s="257">
        <v>4.9199999999999982</v>
      </c>
      <c r="AB345" s="257">
        <v>77.12</v>
      </c>
      <c r="AC345" s="258" t="s">
        <v>2655</v>
      </c>
      <c r="AD345" s="257">
        <v>5.02207984228684</v>
      </c>
      <c r="AE345">
        <f>IF('WetLitterbags placem_collection'!AB126="","",'WetLitterbags placem_collection'!AB126)</f>
        <v>5.45</v>
      </c>
      <c r="AF345">
        <f>IF('WetLitterbags placem_collection'!Z126="","",'WetLitterbags placem_collection'!Z126)</f>
        <v>47</v>
      </c>
      <c r="AG345" s="243" t="str">
        <f>IF('WetLitterbags placem_collection'!AA126="","",'WetLitterbags placem_collection'!AA126)</f>
        <v>G</v>
      </c>
      <c r="AH345">
        <f>IF('WetLitterbags placem_collection'!AC126="","",'WetLitterbags placem_collection'!AC126)</f>
        <v>1</v>
      </c>
      <c r="AI345">
        <f>IFERROR(AVERAGE('Dry_Litterbag Placem_Collection'!O126,'Dry_Litterbag Placem_Collection'!R126),"")</f>
        <v>9.15</v>
      </c>
      <c r="AJ345" s="268">
        <f>IFERROR(AVERAGE('Dry_Litterbag Placem_Collection'!N126,'Dry_Litterbag Placem_Collection'!Q126),"")</f>
        <v>28.05</v>
      </c>
      <c r="AK345" s="267">
        <f>INDEX(Coordinates!$B$2:$B$197,MATCH(H345,Coordinates!$J$2:$J$197,0))</f>
        <v>-2.3492799889999998</v>
      </c>
      <c r="AL345" s="267">
        <f>INDEX(Coordinates!$C$2:$C$197,MATCH(H345,Coordinates!$J$2:$J$197,0))</f>
        <v>34.051280970000001</v>
      </c>
      <c r="AM345" s="267" t="str">
        <f>IF(ISNUMBER(SEARCH("C", 'Dry_Litterbag Placem_Collection'!T126)),"YES","NO")</f>
        <v>NO</v>
      </c>
      <c r="AN345" s="267" t="str">
        <f>IF(ISNUMBER(SEARCH("H", 'Dry_Litterbag Placem_Collection'!T126)),"YES","NO")</f>
        <v>YES</v>
      </c>
      <c r="AO345" s="267" t="str">
        <f>IF(ISNUMBER(SEARCH("R", 'Dry_Litterbag Placem_Collection'!T126)),"YES","NO")</f>
        <v>YES</v>
      </c>
    </row>
    <row r="346" spans="1:41" ht="15" customHeight="1">
      <c r="A346" s="259" t="s">
        <v>2643</v>
      </c>
      <c r="B346" s="260">
        <f>'Dry_Litterbag Placem_Collection'!A127</f>
        <v>125</v>
      </c>
      <c r="C346" s="260" t="str">
        <f>'Dry_Litterbag Placem_Collection'!B127</f>
        <v xml:space="preserve">Mwantimba
</v>
      </c>
      <c r="D346" s="260" t="s">
        <v>2454</v>
      </c>
      <c r="E346" s="260" t="s">
        <v>2644</v>
      </c>
      <c r="F346" s="260">
        <v>4</v>
      </c>
      <c r="G346" s="260" t="s">
        <v>3819</v>
      </c>
      <c r="H346" s="261" t="str">
        <f>'Dry_Litterbag Placem_Collection'!C127</f>
        <v>Wet_Ag4_T5</v>
      </c>
      <c r="I346" s="262" t="s">
        <v>2525</v>
      </c>
      <c r="J346" s="269" t="s">
        <v>298</v>
      </c>
      <c r="K346" s="260" t="str">
        <f>IF(ISBLANK('Dry_Litterbag Placem_Collection'!K127),"","R"&amp;""&amp;'Dry_Litterbag Placem_Collection'!K127)</f>
        <v>R795</v>
      </c>
      <c r="L346" s="264">
        <f>IFERROR(INDEX('Green_rooibos initial weight'!$C$5:$C$2000,MATCH(K346, 'Green_rooibos initial weight'!$A$5:$A$2000,0)),"")</f>
        <v>2.2170000000000001</v>
      </c>
      <c r="M346" s="264">
        <f>IFERROR(L346-(TBIcalc!$Q$9+TBIcalc!$Q$10),"")</f>
        <v>1.9672000000000001</v>
      </c>
      <c r="N346" s="385">
        <f>AVERAGE(Ashed_controlls!$K$12:$K$14)</f>
        <v>2.2816647271287041</v>
      </c>
      <c r="O346" s="264">
        <f t="shared" si="26"/>
        <v>1.9223150914879241</v>
      </c>
      <c r="P346" s="264">
        <f>IFERROR(INDEX('Both teabags AfterDry'!$D$2:$D$2000,MATCH(K346,'Both teabags AfterDry'!$A$2:$A$2000,0)),"")</f>
        <v>0.83220000000000005</v>
      </c>
      <c r="Q346" s="264">
        <f>IFERROR(IF(P346&gt;0,P346-(TBIcalc!$Q$9),""),"")</f>
        <v>0.68159999999999998</v>
      </c>
      <c r="R346" s="275">
        <f>IFERROR(INDEX('Ashed teabags dry'!$K$2:$K$2000,MATCH(K346,'Ashed teabags dry'!$A$2:$A$2000,0)),"")</f>
        <v>91.950000000000998</v>
      </c>
      <c r="S346" s="275">
        <f t="shared" si="27"/>
        <v>5.4868799999993167E-2</v>
      </c>
      <c r="T346" s="265">
        <f>IF('Dry_Litterbag Placem_Collection'!E127="","",'Dry_Litterbag Placem_Collection'!E127)</f>
        <v>42939</v>
      </c>
      <c r="U346" s="265">
        <f>IF('Dry_Litterbag Placem_Collection'!G127="","",'Dry_Litterbag Placem_Collection'!G127)</f>
        <v>43008</v>
      </c>
      <c r="V346" s="266">
        <f t="shared" si="25"/>
        <v>69</v>
      </c>
      <c r="W346" s="264">
        <f t="shared" si="28"/>
        <v>1.2856000000000001</v>
      </c>
      <c r="X346" s="264">
        <f t="shared" si="29"/>
        <v>1.8674462914879308</v>
      </c>
      <c r="Y346" s="268">
        <f>IFERROR(INDEX(Rainfall_Dry!$O$2:$O$217,MATCH(B346, Rainfall_Dry!$A$2:$A$217,0)),"")</f>
        <v>136.27214243</v>
      </c>
      <c r="Z346" s="257">
        <v>17.96</v>
      </c>
      <c r="AA346" s="257">
        <v>4.9199999999999982</v>
      </c>
      <c r="AB346" s="257">
        <v>77.12</v>
      </c>
      <c r="AC346" s="258" t="s">
        <v>2655</v>
      </c>
      <c r="AD346" s="257">
        <v>6.02207984228684</v>
      </c>
      <c r="AE346">
        <f>IF('WetLitterbags placem_collection'!AB127="","",'WetLitterbags placem_collection'!AB127)</f>
        <v>9.3000000000000007</v>
      </c>
      <c r="AF346">
        <f>IF('WetLitterbags placem_collection'!Z127="","",'WetLitterbags placem_collection'!Z127)</f>
        <v>43</v>
      </c>
      <c r="AG346" s="243" t="str">
        <f>IF('WetLitterbags placem_collection'!AA127="","",'WetLitterbags placem_collection'!AA127)</f>
        <v>G</v>
      </c>
      <c r="AH346">
        <f>IF('WetLitterbags placem_collection'!AC127="","",'WetLitterbags placem_collection'!AC127)</f>
        <v>1</v>
      </c>
      <c r="AI346">
        <f>IFERROR(AVERAGE('Dry_Litterbag Placem_Collection'!O127,'Dry_Litterbag Placem_Collection'!R127),"")</f>
        <v>10.85</v>
      </c>
      <c r="AJ346" s="268">
        <f>IFERROR(AVERAGE('Dry_Litterbag Placem_Collection'!N127,'Dry_Litterbag Placem_Collection'!Q127),"")</f>
        <v>28.05</v>
      </c>
      <c r="AK346" s="267">
        <f>INDEX(Coordinates!$B$2:$B$197,MATCH(H346,Coordinates!$J$2:$J$197,0))</f>
        <v>-2.3493320400000002</v>
      </c>
      <c r="AL346" s="267">
        <f>INDEX(Coordinates!$C$2:$C$197,MATCH(H346,Coordinates!$J$2:$J$197,0))</f>
        <v>34.051321960000003</v>
      </c>
      <c r="AM346" s="267" t="str">
        <f>IF(ISNUMBER(SEARCH("C", 'Dry_Litterbag Placem_Collection'!T127)),"YES","NO")</f>
        <v>YES</v>
      </c>
      <c r="AN346" s="267" t="str">
        <f>IF(ISNUMBER(SEARCH("H", 'Dry_Litterbag Placem_Collection'!T127)),"YES","NO")</f>
        <v>YES</v>
      </c>
      <c r="AO346" s="267" t="str">
        <f>IF(ISNUMBER(SEARCH("R", 'Dry_Litterbag Placem_Collection'!T127)),"YES","NO")</f>
        <v>NO</v>
      </c>
    </row>
    <row r="347" spans="1:41" ht="15" customHeight="1">
      <c r="A347" s="259" t="s">
        <v>2643</v>
      </c>
      <c r="B347" s="260">
        <f>'Dry_Litterbag Placem_Collection'!A128</f>
        <v>126</v>
      </c>
      <c r="C347" s="260" t="str">
        <f>'Dry_Litterbag Placem_Collection'!B128</f>
        <v xml:space="preserve">Mwantimba
</v>
      </c>
      <c r="D347" s="260" t="s">
        <v>2454</v>
      </c>
      <c r="E347" s="260" t="s">
        <v>2644</v>
      </c>
      <c r="F347" s="260">
        <v>4</v>
      </c>
      <c r="G347" s="260" t="s">
        <v>3819</v>
      </c>
      <c r="H347" s="261" t="str">
        <f>'Dry_Litterbag Placem_Collection'!C128</f>
        <v>Wet_Ag4_T6</v>
      </c>
      <c r="I347" s="262" t="s">
        <v>2525</v>
      </c>
      <c r="J347" s="269" t="s">
        <v>298</v>
      </c>
      <c r="K347" s="260" t="str">
        <f>IF(ISBLANK('Dry_Litterbag Placem_Collection'!K128),"","R"&amp;""&amp;'Dry_Litterbag Placem_Collection'!K128)</f>
        <v/>
      </c>
      <c r="L347" s="264" t="str">
        <f>IFERROR(INDEX('Green_rooibos initial weight'!$C$5:$C$2000,MATCH(K347, 'Green_rooibos initial weight'!$A$5:$A$2000,0)),"")</f>
        <v/>
      </c>
      <c r="M347" s="264" t="str">
        <f>IFERROR(L347-(TBIcalc!$Q$9+TBIcalc!$Q$10),"")</f>
        <v/>
      </c>
      <c r="N347" s="385">
        <f>AVERAGE(Ashed_controlls!$K$12:$K$14)</f>
        <v>2.2816647271287041</v>
      </c>
      <c r="O347" s="264" t="str">
        <f t="shared" si="26"/>
        <v/>
      </c>
      <c r="P347" s="264" t="str">
        <f>IFERROR(INDEX('Both teabags AfterDry'!$D$2:$D$2000,MATCH(K347,'Both teabags AfterDry'!$A$2:$A$2000,0)),"")</f>
        <v/>
      </c>
      <c r="Q347" s="264" t="str">
        <f>IFERROR(IF(P347&gt;0,P347-(TBIcalc!$Q$9),""),"")</f>
        <v/>
      </c>
      <c r="R347" s="275" t="str">
        <f>IFERROR(INDEX('Ashed teabags dry'!$K$2:$K$2000,MATCH(K347,'Ashed teabags dry'!$A$2:$A$2000,0)),"")</f>
        <v/>
      </c>
      <c r="S347" s="275" t="str">
        <f t="shared" si="27"/>
        <v/>
      </c>
      <c r="T347" s="265" t="str">
        <f>IF('Dry_Litterbag Placem_Collection'!E128="","",'Dry_Litterbag Placem_Collection'!E128)</f>
        <v/>
      </c>
      <c r="U347" s="265" t="str">
        <f>IF('Dry_Litterbag Placem_Collection'!G128="","",'Dry_Litterbag Placem_Collection'!G128)</f>
        <v/>
      </c>
      <c r="V347" s="266" t="str">
        <f t="shared" si="25"/>
        <v/>
      </c>
      <c r="W347" s="264" t="str">
        <f t="shared" si="28"/>
        <v/>
      </c>
      <c r="X347" s="264" t="str">
        <f t="shared" si="29"/>
        <v/>
      </c>
      <c r="Y347" s="268" t="str">
        <f>IFERROR(INDEX(Rainfall_Dry!$O$2:$O$217,MATCH(B347, Rainfall_Dry!$A$2:$A$217,0)),"")</f>
        <v/>
      </c>
      <c r="Z347" s="257">
        <v>17.96</v>
      </c>
      <c r="AA347" s="257">
        <v>4.9199999999999982</v>
      </c>
      <c r="AB347" s="257">
        <v>77.12</v>
      </c>
      <c r="AC347" s="258" t="s">
        <v>2655</v>
      </c>
      <c r="AD347" s="257">
        <v>7.02207984228684</v>
      </c>
      <c r="AE347">
        <f>IF('WetLitterbags placem_collection'!AB128="","",'WetLitterbags placem_collection'!AB128)</f>
        <v>10.85</v>
      </c>
      <c r="AF347">
        <f>IF('WetLitterbags placem_collection'!Z128="","",'WetLitterbags placem_collection'!Z128)</f>
        <v>40</v>
      </c>
      <c r="AG347" s="243" t="str">
        <f>IF('WetLitterbags placem_collection'!AA128="","",'WetLitterbags placem_collection'!AA128)</f>
        <v>G</v>
      </c>
      <c r="AH347">
        <f>IF('WetLitterbags placem_collection'!AC128="","",'WetLitterbags placem_collection'!AC128)</f>
        <v>1</v>
      </c>
      <c r="AI347" t="str">
        <f>IFERROR(AVERAGE('Dry_Litterbag Placem_Collection'!O128,'Dry_Litterbag Placem_Collection'!R128),"")</f>
        <v/>
      </c>
      <c r="AJ347" s="268" t="str">
        <f>IFERROR(AVERAGE('Dry_Litterbag Placem_Collection'!N128,'Dry_Litterbag Placem_Collection'!Q128),"")</f>
        <v/>
      </c>
      <c r="AK347" s="267">
        <f>INDEX(Coordinates!$B$2:$B$197,MATCH(H347,Coordinates!$J$2:$J$197,0))</f>
        <v>-2.3493509829999999</v>
      </c>
      <c r="AL347" s="267">
        <f>INDEX(Coordinates!$C$2:$C$197,MATCH(H347,Coordinates!$J$2:$J$197,0))</f>
        <v>34.051332019999997</v>
      </c>
      <c r="AM347" s="267" t="str">
        <f>IF(ISNUMBER(SEARCH("C", 'Dry_Litterbag Placem_Collection'!T128)),"YES","NO")</f>
        <v>NO</v>
      </c>
      <c r="AN347" s="267" t="str">
        <f>IF(ISNUMBER(SEARCH("H", 'Dry_Litterbag Placem_Collection'!T128)),"YES","NO")</f>
        <v>NO</v>
      </c>
      <c r="AO347" s="267" t="str">
        <f>IF(ISNUMBER(SEARCH("R", 'Dry_Litterbag Placem_Collection'!T128)),"YES","NO")</f>
        <v>NO</v>
      </c>
    </row>
    <row r="348" spans="1:41" ht="15" customHeight="1">
      <c r="A348" s="259" t="s">
        <v>2643</v>
      </c>
      <c r="B348" s="260">
        <f>'Dry_Litterbag Placem_Collection'!A129</f>
        <v>127</v>
      </c>
      <c r="C348" s="260" t="str">
        <f>'Dry_Litterbag Placem_Collection'!B129</f>
        <v xml:space="preserve">Mwantimba
</v>
      </c>
      <c r="D348" s="260" t="s">
        <v>2454</v>
      </c>
      <c r="E348" s="260" t="s">
        <v>2644</v>
      </c>
      <c r="F348" s="260">
        <v>4</v>
      </c>
      <c r="G348" s="260" t="s">
        <v>3819</v>
      </c>
      <c r="H348" s="261" t="str">
        <f>'Dry_Litterbag Placem_Collection'!C129</f>
        <v>Wet_Ag4_T7</v>
      </c>
      <c r="I348" s="262" t="s">
        <v>2525</v>
      </c>
      <c r="J348" s="269" t="s">
        <v>298</v>
      </c>
      <c r="K348" s="260" t="str">
        <f>IF(ISBLANK('Dry_Litterbag Placem_Collection'!K129),"","R"&amp;""&amp;'Dry_Litterbag Placem_Collection'!K129)</f>
        <v>R751</v>
      </c>
      <c r="L348" s="264">
        <f>IFERROR(INDEX('Green_rooibos initial weight'!$C$5:$C$2000,MATCH(K348, 'Green_rooibos initial weight'!$A$5:$A$2000,0)),"")</f>
        <v>2.262</v>
      </c>
      <c r="M348" s="264">
        <f>IFERROR(L348-(TBIcalc!$Q$9+TBIcalc!$Q$10),"")</f>
        <v>2.0122</v>
      </c>
      <c r="N348" s="385">
        <f>AVERAGE(Ashed_controlls!$K$12:$K$14)</f>
        <v>2.2816647271287041</v>
      </c>
      <c r="O348" s="264">
        <f t="shared" si="26"/>
        <v>1.9662883423607163</v>
      </c>
      <c r="P348" s="264">
        <f>IFERROR(INDEX('Both teabags AfterDry'!$D$2:$D$2000,MATCH(K348,'Both teabags AfterDry'!$A$2:$A$2000,0)),"")</f>
        <v>1.6394</v>
      </c>
      <c r="Q348" s="264">
        <f>IFERROR(IF(P348&gt;0,P348-(TBIcalc!$Q$9),""),"")</f>
        <v>1.4887999999999999</v>
      </c>
      <c r="R348" s="275">
        <f>IFERROR(INDEX('Ashed teabags dry'!$K$2:$K$2000,MATCH(K348,'Ashed teabags dry'!$A$2:$A$2000,0)),"")</f>
        <v>4.0196078431371527</v>
      </c>
      <c r="S348" s="275">
        <f t="shared" si="27"/>
        <v>1.428956078431374</v>
      </c>
      <c r="T348" s="265">
        <f>IF('Dry_Litterbag Placem_Collection'!E129="","",'Dry_Litterbag Placem_Collection'!E129)</f>
        <v>42939</v>
      </c>
      <c r="U348" s="265">
        <f>IF('Dry_Litterbag Placem_Collection'!G129="","",'Dry_Litterbag Placem_Collection'!G129)</f>
        <v>43008</v>
      </c>
      <c r="V348" s="266">
        <f t="shared" si="25"/>
        <v>69</v>
      </c>
      <c r="W348" s="264">
        <f t="shared" si="28"/>
        <v>0.52340000000000009</v>
      </c>
      <c r="X348" s="264">
        <f t="shared" si="29"/>
        <v>0.5373322639293423</v>
      </c>
      <c r="Y348" s="268">
        <f>IFERROR(INDEX(Rainfall_Dry!$O$2:$O$217,MATCH(B348, Rainfall_Dry!$A$2:$A$217,0)),"")</f>
        <v>136.27214243</v>
      </c>
      <c r="Z348" s="257">
        <v>17.96</v>
      </c>
      <c r="AA348" s="257">
        <v>4.9199999999999982</v>
      </c>
      <c r="AB348" s="257">
        <v>77.12</v>
      </c>
      <c r="AC348" s="258" t="s">
        <v>2655</v>
      </c>
      <c r="AD348" s="257">
        <v>8.0220798422868391</v>
      </c>
      <c r="AE348">
        <f>IF('WetLitterbags placem_collection'!AB129="","",'WetLitterbags placem_collection'!AB129)</f>
        <v>5.35</v>
      </c>
      <c r="AF348">
        <f>IF('WetLitterbags placem_collection'!Z129="","",'WetLitterbags placem_collection'!Z129)</f>
        <v>58</v>
      </c>
      <c r="AG348" s="243" t="str">
        <f>IF('WetLitterbags placem_collection'!AA129="","",'WetLitterbags placem_collection'!AA129)</f>
        <v>G</v>
      </c>
      <c r="AH348">
        <f>IF('WetLitterbags placem_collection'!AC129="","",'WetLitterbags placem_collection'!AC129)</f>
        <v>1</v>
      </c>
      <c r="AI348">
        <f>IFERROR(AVERAGE('Dry_Litterbag Placem_Collection'!O129,'Dry_Litterbag Placem_Collection'!R129),"")</f>
        <v>9.6999999999999993</v>
      </c>
      <c r="AJ348" s="268">
        <f>IFERROR(AVERAGE('Dry_Litterbag Placem_Collection'!N129,'Dry_Litterbag Placem_Collection'!Q129),"")</f>
        <v>28.1</v>
      </c>
      <c r="AK348" s="267">
        <f>INDEX(Coordinates!$B$2:$B$197,MATCH(H348,Coordinates!$J$2:$J$197,0))</f>
        <v>-2.3491850219999999</v>
      </c>
      <c r="AL348" s="267">
        <f>INDEX(Coordinates!$C$2:$C$197,MATCH(H348,Coordinates!$J$2:$J$197,0))</f>
        <v>34.051264959999997</v>
      </c>
      <c r="AM348" s="267" t="str">
        <f>IF(ISNUMBER(SEARCH("C", 'Dry_Litterbag Placem_Collection'!T129)),"YES","NO")</f>
        <v>NO</v>
      </c>
      <c r="AN348" s="267" t="str">
        <f>IF(ISNUMBER(SEARCH("H", 'Dry_Litterbag Placem_Collection'!T129)),"YES","NO")</f>
        <v>NO</v>
      </c>
      <c r="AO348" s="267" t="str">
        <f>IF(ISNUMBER(SEARCH("R", 'Dry_Litterbag Placem_Collection'!T129)),"YES","NO")</f>
        <v>NO</v>
      </c>
    </row>
    <row r="349" spans="1:41" ht="15" customHeight="1">
      <c r="A349" s="259" t="s">
        <v>2643</v>
      </c>
      <c r="B349" s="260">
        <f>'Dry_Litterbag Placem_Collection'!A130</f>
        <v>128</v>
      </c>
      <c r="C349" s="260" t="str">
        <f>'Dry_Litterbag Placem_Collection'!B130</f>
        <v xml:space="preserve">Mwantimba
</v>
      </c>
      <c r="D349" s="260" t="s">
        <v>2454</v>
      </c>
      <c r="E349" s="260" t="s">
        <v>2644</v>
      </c>
      <c r="F349" s="260">
        <v>4</v>
      </c>
      <c r="G349" s="260" t="s">
        <v>3819</v>
      </c>
      <c r="H349" s="261" t="str">
        <f>'Dry_Litterbag Placem_Collection'!C130</f>
        <v>Wet_Ag4_T8</v>
      </c>
      <c r="I349" s="262" t="s">
        <v>2525</v>
      </c>
      <c r="J349" s="269" t="s">
        <v>298</v>
      </c>
      <c r="K349" s="260" t="str">
        <f>IF(ISBLANK('Dry_Litterbag Placem_Collection'!K130),"","R"&amp;""&amp;'Dry_Litterbag Placem_Collection'!K130)</f>
        <v>R819</v>
      </c>
      <c r="L349" s="264">
        <f>IFERROR(INDEX('Green_rooibos initial weight'!$C$5:$C$2000,MATCH(K349, 'Green_rooibos initial weight'!$A$5:$A$2000,0)),"")</f>
        <v>2.16</v>
      </c>
      <c r="M349" s="264">
        <f>IFERROR(L349-(TBIcalc!$Q$9+TBIcalc!$Q$10),"")</f>
        <v>1.9102000000000001</v>
      </c>
      <c r="N349" s="385">
        <f>AVERAGE(Ashed_controlls!$K$12:$K$14)</f>
        <v>2.2816647271287041</v>
      </c>
      <c r="O349" s="264">
        <f t="shared" si="26"/>
        <v>1.8666156403823877</v>
      </c>
      <c r="P349" s="264">
        <f>IFERROR(INDEX('Both teabags AfterDry'!$D$2:$D$2000,MATCH(K349,'Both teabags AfterDry'!$A$2:$A$2000,0)),"")</f>
        <v>2.8028</v>
      </c>
      <c r="Q349" s="264">
        <f>IFERROR(IF(P349&gt;0,P349-(TBIcalc!$Q$9),""),"")</f>
        <v>2.6522000000000001</v>
      </c>
      <c r="R349" s="275">
        <f>IFERROR(INDEX('Ashed teabags dry'!$K$2:$K$2000,MATCH(K349,'Ashed teabags dry'!$A$2:$A$2000,0)),"")</f>
        <v>86.93858845096193</v>
      </c>
      <c r="S349" s="275">
        <f t="shared" si="27"/>
        <v>0.3464147571035876</v>
      </c>
      <c r="T349" s="265">
        <f>IF('Dry_Litterbag Placem_Collection'!E130="","",'Dry_Litterbag Placem_Collection'!E130)</f>
        <v>42939</v>
      </c>
      <c r="U349" s="265">
        <f>IF('Dry_Litterbag Placem_Collection'!G130="","",'Dry_Litterbag Placem_Collection'!G130)</f>
        <v>43008</v>
      </c>
      <c r="V349" s="266">
        <f t="shared" si="25"/>
        <v>69</v>
      </c>
      <c r="W349" s="264">
        <f t="shared" si="28"/>
        <v>-0.74199999999999999</v>
      </c>
      <c r="X349" s="264">
        <f t="shared" si="29"/>
        <v>1.5202008832788001</v>
      </c>
      <c r="Y349" s="268">
        <f>IFERROR(INDEX(Rainfall_Dry!$O$2:$O$217,MATCH(B349, Rainfall_Dry!$A$2:$A$217,0)),"")</f>
        <v>136.27214243</v>
      </c>
      <c r="Z349" s="257">
        <v>17.96</v>
      </c>
      <c r="AA349" s="257">
        <v>4.9199999999999982</v>
      </c>
      <c r="AB349" s="257">
        <v>77.12</v>
      </c>
      <c r="AC349" s="258" t="s">
        <v>2655</v>
      </c>
      <c r="AD349" s="257">
        <v>9.0220798422868391</v>
      </c>
      <c r="AE349">
        <f>IF('WetLitterbags placem_collection'!AB130="","",'WetLitterbags placem_collection'!AB130)</f>
        <v>10.9</v>
      </c>
      <c r="AF349">
        <f>IF('WetLitterbags placem_collection'!Z130="","",'WetLitterbags placem_collection'!Z130)</f>
        <v>44</v>
      </c>
      <c r="AG349" s="243" t="str">
        <f>IF('WetLitterbags placem_collection'!AA130="","",'WetLitterbags placem_collection'!AA130)</f>
        <v>G</v>
      </c>
      <c r="AH349">
        <f>IF('WetLitterbags placem_collection'!AC130="","",'WetLitterbags placem_collection'!AC130)</f>
        <v>0</v>
      </c>
      <c r="AI349">
        <f>IFERROR(AVERAGE('Dry_Litterbag Placem_Collection'!O130,'Dry_Litterbag Placem_Collection'!R130),"")</f>
        <v>8.4499999999999993</v>
      </c>
      <c r="AJ349" s="268">
        <f>IFERROR(AVERAGE('Dry_Litterbag Placem_Collection'!N130,'Dry_Litterbag Placem_Collection'!Q130),"")</f>
        <v>28.4</v>
      </c>
      <c r="AK349" s="267">
        <f>INDEX(Coordinates!$B$2:$B$197,MATCH(H349,Coordinates!$J$2:$J$197,0))</f>
        <v>-2.3493099960000001</v>
      </c>
      <c r="AL349" s="267">
        <f>INDEX(Coordinates!$C$2:$C$197,MATCH(H349,Coordinates!$J$2:$J$197,0))</f>
        <v>34.05141802</v>
      </c>
      <c r="AM349" s="267" t="str">
        <f>IF(ISNUMBER(SEARCH("C", 'Dry_Litterbag Placem_Collection'!T130)),"YES","NO")</f>
        <v>YES</v>
      </c>
      <c r="AN349" s="267" t="str">
        <f>IF(ISNUMBER(SEARCH("H", 'Dry_Litterbag Placem_Collection'!T130)),"YES","NO")</f>
        <v>YES</v>
      </c>
      <c r="AO349" s="267" t="str">
        <f>IF(ISNUMBER(SEARCH("R", 'Dry_Litterbag Placem_Collection'!T130)),"YES","NO")</f>
        <v>NO</v>
      </c>
    </row>
    <row r="350" spans="1:41" ht="15" customHeight="1">
      <c r="A350" s="259" t="s">
        <v>2643</v>
      </c>
      <c r="B350" s="260">
        <f>'Dry_Litterbag Placem_Collection'!A131</f>
        <v>129</v>
      </c>
      <c r="C350" s="260" t="str">
        <f>'Dry_Litterbag Placem_Collection'!B131</f>
        <v xml:space="preserve">Mwantimba
</v>
      </c>
      <c r="D350" s="260" t="s">
        <v>2454</v>
      </c>
      <c r="E350" s="260" t="s">
        <v>20</v>
      </c>
      <c r="F350" s="260">
        <v>1</v>
      </c>
      <c r="G350" s="260" t="s">
        <v>3820</v>
      </c>
      <c r="H350" s="261" t="str">
        <f>'Dry_Litterbag Placem_Collection'!C131</f>
        <v>Wet_P1_T1</v>
      </c>
      <c r="I350" s="262" t="s">
        <v>2525</v>
      </c>
      <c r="J350" s="269" t="s">
        <v>298</v>
      </c>
      <c r="K350" s="260" t="str">
        <f>IF(ISBLANK('Dry_Litterbag Placem_Collection'!K131),"","R"&amp;""&amp;'Dry_Litterbag Placem_Collection'!K131)</f>
        <v>R768</v>
      </c>
      <c r="L350" s="264">
        <f>IFERROR(INDEX('Green_rooibos initial weight'!$C$5:$C$2000,MATCH(K350, 'Green_rooibos initial weight'!$A$5:$A$2000,0)),"")</f>
        <v>2.2120000000000002</v>
      </c>
      <c r="M350" s="264">
        <f>IFERROR(L350-(TBIcalc!$Q$9+TBIcalc!$Q$10),"")</f>
        <v>1.9622000000000002</v>
      </c>
      <c r="N350" s="385">
        <f>AVERAGE(Ashed_controlls!$K$12:$K$14)</f>
        <v>2.2816647271287041</v>
      </c>
      <c r="O350" s="264">
        <f t="shared" si="26"/>
        <v>1.9174291747242806</v>
      </c>
      <c r="P350" s="264">
        <f>IFERROR(INDEX('Both teabags AfterDry'!$D$2:$D$2000,MATCH(K350,'Both teabags AfterDry'!$A$2:$A$2000,0)),"")</f>
        <v>0.67179999999999995</v>
      </c>
      <c r="Q350" s="264">
        <f>IFERROR(IF(P350&gt;0,P350-(TBIcalc!$Q$9),""),"")</f>
        <v>0.52119999999999989</v>
      </c>
      <c r="R350" s="275">
        <f>IFERROR(INDEX('Ashed teabags dry'!$K$2:$K$2000,MATCH(K350,'Ashed teabags dry'!$A$2:$A$2000,0)),"")</f>
        <v>87.766714082503427</v>
      </c>
      <c r="S350" s="275">
        <f t="shared" si="27"/>
        <v>6.3759886201992133E-2</v>
      </c>
      <c r="T350" s="265">
        <f>IF('Dry_Litterbag Placem_Collection'!E131="","",'Dry_Litterbag Placem_Collection'!E131)</f>
        <v>42939</v>
      </c>
      <c r="U350" s="265">
        <f>IF('Dry_Litterbag Placem_Collection'!G131="","",'Dry_Litterbag Placem_Collection'!G131)</f>
        <v>43008</v>
      </c>
      <c r="V350" s="266">
        <f t="shared" si="25"/>
        <v>69</v>
      </c>
      <c r="W350" s="264">
        <f t="shared" si="28"/>
        <v>1.4410000000000003</v>
      </c>
      <c r="X350" s="264">
        <f t="shared" si="29"/>
        <v>1.8536692885222885</v>
      </c>
      <c r="Y350" s="268">
        <f>IFERROR(INDEX(Rainfall_Dry!$O$2:$O$217,MATCH(B350, Rainfall_Dry!$A$2:$A$217,0)),"")</f>
        <v>136.27214243</v>
      </c>
      <c r="Z350" s="257">
        <v>31.214836424255054</v>
      </c>
      <c r="AA350" s="257">
        <v>11.377370285476141</v>
      </c>
      <c r="AB350" s="257">
        <v>57.407793290268799</v>
      </c>
      <c r="AC350" s="258" t="s">
        <v>2654</v>
      </c>
      <c r="AD350" s="257">
        <v>1.7337604731394776</v>
      </c>
      <c r="AE350">
        <f>IF('WetLitterbags placem_collection'!AB131="","",'WetLitterbags placem_collection'!AB131)</f>
        <v>2.4</v>
      </c>
      <c r="AF350">
        <f>IF('WetLitterbags placem_collection'!Z131="","",'WetLitterbags placem_collection'!Z131)</f>
        <v>2.4</v>
      </c>
      <c r="AG350" s="243" t="str">
        <f>IF('WetLitterbags placem_collection'!AA131="","",'WetLitterbags placem_collection'!AA131)</f>
        <v>O</v>
      </c>
      <c r="AH350">
        <f>IF('WetLitterbags placem_collection'!AC131="","",'WetLitterbags placem_collection'!AC131)</f>
        <v>1</v>
      </c>
      <c r="AI350">
        <f>IFERROR(AVERAGE('Dry_Litterbag Placem_Collection'!O131,'Dry_Litterbag Placem_Collection'!R131),"")</f>
        <v>11.8</v>
      </c>
      <c r="AJ350" s="268">
        <f>IFERROR(AVERAGE('Dry_Litterbag Placem_Collection'!N131,'Dry_Litterbag Placem_Collection'!Q131),"")</f>
        <v>29.05</v>
      </c>
      <c r="AK350" s="267">
        <f>INDEX(Coordinates!$B$2:$B$197,MATCH(H350,Coordinates!$J$2:$J$197,0))</f>
        <v>-2.3503360249999998</v>
      </c>
      <c r="AL350" s="267">
        <f>INDEX(Coordinates!$C$2:$C$197,MATCH(H350,Coordinates!$J$2:$J$197,0))</f>
        <v>34.049662009999999</v>
      </c>
      <c r="AM350" s="267" t="str">
        <f>IF(ISNUMBER(SEARCH("C", 'Dry_Litterbag Placem_Collection'!T131)),"YES","NO")</f>
        <v>YES</v>
      </c>
      <c r="AN350" s="267" t="str">
        <f>IF(ISNUMBER(SEARCH("H", 'Dry_Litterbag Placem_Collection'!T131)),"YES","NO")</f>
        <v>YES</v>
      </c>
      <c r="AO350" s="267" t="str">
        <f>IF(ISNUMBER(SEARCH("R", 'Dry_Litterbag Placem_Collection'!T131)),"YES","NO")</f>
        <v>NO</v>
      </c>
    </row>
    <row r="351" spans="1:41" ht="15" customHeight="1">
      <c r="A351" s="259" t="s">
        <v>2643</v>
      </c>
      <c r="B351" s="260">
        <f>'Dry_Litterbag Placem_Collection'!A132</f>
        <v>130</v>
      </c>
      <c r="C351" s="260" t="str">
        <f>'Dry_Litterbag Placem_Collection'!B132</f>
        <v xml:space="preserve">Mwantimba
</v>
      </c>
      <c r="D351" s="260" t="s">
        <v>2454</v>
      </c>
      <c r="E351" s="260" t="s">
        <v>20</v>
      </c>
      <c r="F351" s="260">
        <v>1</v>
      </c>
      <c r="G351" s="260" t="s">
        <v>3820</v>
      </c>
      <c r="H351" s="261" t="str">
        <f>'Dry_Litterbag Placem_Collection'!C132</f>
        <v>Wet_P1_T2</v>
      </c>
      <c r="I351" s="262" t="s">
        <v>2525</v>
      </c>
      <c r="J351" s="269" t="s">
        <v>298</v>
      </c>
      <c r="K351" s="260" t="str">
        <f>IF(ISBLANK('Dry_Litterbag Placem_Collection'!K132),"","R"&amp;""&amp;'Dry_Litterbag Placem_Collection'!K132)</f>
        <v>R789</v>
      </c>
      <c r="L351" s="264">
        <f>IFERROR(INDEX('Green_rooibos initial weight'!$C$5:$C$2000,MATCH(K351, 'Green_rooibos initial weight'!$A$5:$A$2000,0)),"")</f>
        <v>2.2549999999999999</v>
      </c>
      <c r="M351" s="264">
        <f>IFERROR(L351-(TBIcalc!$Q$9+TBIcalc!$Q$10),"")</f>
        <v>2.0051999999999999</v>
      </c>
      <c r="N351" s="385">
        <f>AVERAGE(Ashed_controlls!$K$12:$K$14)</f>
        <v>2.2816647271287041</v>
      </c>
      <c r="O351" s="264">
        <f t="shared" si="26"/>
        <v>1.959448058891615</v>
      </c>
      <c r="P351" s="264">
        <f>IFERROR(INDEX('Both teabags AfterDry'!$D$2:$D$2000,MATCH(K351,'Both teabags AfterDry'!$A$2:$A$2000,0)),"")</f>
        <v>2.4607999999999999</v>
      </c>
      <c r="Q351" s="264">
        <f>IFERROR(IF(P351&gt;0,P351-(TBIcalc!$Q$9),""),"")</f>
        <v>2.3102</v>
      </c>
      <c r="R351" s="275">
        <f>IFERROR(INDEX('Ashed teabags dry'!$K$2:$K$2000,MATCH(K351,'Ashed teabags dry'!$A$2:$A$2000,0)),"")</f>
        <v>91.804831833254127</v>
      </c>
      <c r="S351" s="275">
        <f t="shared" si="27"/>
        <v>0.18932477498816302</v>
      </c>
      <c r="T351" s="265">
        <f>IF('Dry_Litterbag Placem_Collection'!E132="","",'Dry_Litterbag Placem_Collection'!E132)</f>
        <v>42939</v>
      </c>
      <c r="U351" s="265">
        <f>IF('Dry_Litterbag Placem_Collection'!G132="","",'Dry_Litterbag Placem_Collection'!G132)</f>
        <v>43008</v>
      </c>
      <c r="V351" s="266">
        <f t="shared" si="25"/>
        <v>69</v>
      </c>
      <c r="W351" s="264">
        <f t="shared" si="28"/>
        <v>-0.30500000000000016</v>
      </c>
      <c r="X351" s="264">
        <f t="shared" si="29"/>
        <v>1.770123283903452</v>
      </c>
      <c r="Y351" s="268">
        <f>IFERROR(INDEX(Rainfall_Dry!$O$2:$O$217,MATCH(B351, Rainfall_Dry!$A$2:$A$217,0)),"")</f>
        <v>136.27214243</v>
      </c>
      <c r="Z351" s="257">
        <v>31.214836424255054</v>
      </c>
      <c r="AA351" s="257">
        <v>11.377370285476141</v>
      </c>
      <c r="AB351" s="257">
        <v>57.407793290268799</v>
      </c>
      <c r="AC351" s="258" t="s">
        <v>2654</v>
      </c>
      <c r="AD351" s="257">
        <v>2.7337604731394798</v>
      </c>
      <c r="AE351">
        <f>IF('WetLitterbags placem_collection'!AB132="","",'WetLitterbags placem_collection'!AB132)</f>
        <v>2.1</v>
      </c>
      <c r="AF351">
        <f>IF('WetLitterbags placem_collection'!Z132="","",'WetLitterbags placem_collection'!Z132)</f>
        <v>3.5</v>
      </c>
      <c r="AG351" s="243" t="str">
        <f>IF('WetLitterbags placem_collection'!AA132="","",'WetLitterbags placem_collection'!AA132)</f>
        <v>O</v>
      </c>
      <c r="AH351">
        <f>IF('WetLitterbags placem_collection'!AC132="","",'WetLitterbags placem_collection'!AC132)</f>
        <v>0</v>
      </c>
      <c r="AI351">
        <f>IFERROR(AVERAGE('Dry_Litterbag Placem_Collection'!O132,'Dry_Litterbag Placem_Collection'!R132),"")</f>
        <v>8.9499999999999993</v>
      </c>
      <c r="AJ351" s="268">
        <f>IFERROR(AVERAGE('Dry_Litterbag Placem_Collection'!N132,'Dry_Litterbag Placem_Collection'!Q132),"")</f>
        <v>28.55</v>
      </c>
      <c r="AK351" s="267">
        <f>INDEX(Coordinates!$B$2:$B$197,MATCH(H351,Coordinates!$J$2:$J$197,0))</f>
        <v>-2.3503729889999998</v>
      </c>
      <c r="AL351" s="267">
        <f>INDEX(Coordinates!$C$2:$C$197,MATCH(H351,Coordinates!$J$2:$J$197,0))</f>
        <v>34.049626969999998</v>
      </c>
      <c r="AM351" s="267" t="str">
        <f>IF(ISNUMBER(SEARCH("C", 'Dry_Litterbag Placem_Collection'!T132)),"YES","NO")</f>
        <v>YES</v>
      </c>
      <c r="AN351" s="267" t="str">
        <f>IF(ISNUMBER(SEARCH("H", 'Dry_Litterbag Placem_Collection'!T132)),"YES","NO")</f>
        <v>YES</v>
      </c>
      <c r="AO351" s="267" t="str">
        <f>IF(ISNUMBER(SEARCH("R", 'Dry_Litterbag Placem_Collection'!T132)),"YES","NO")</f>
        <v>NO</v>
      </c>
    </row>
    <row r="352" spans="1:41" ht="15" customHeight="1">
      <c r="A352" s="259" t="s">
        <v>2643</v>
      </c>
      <c r="B352" s="260">
        <f>'Dry_Litterbag Placem_Collection'!A133</f>
        <v>131</v>
      </c>
      <c r="C352" s="260" t="str">
        <f>'Dry_Litterbag Placem_Collection'!B133</f>
        <v xml:space="preserve">Mwantimba
</v>
      </c>
      <c r="D352" s="260" t="s">
        <v>2454</v>
      </c>
      <c r="E352" s="260" t="s">
        <v>20</v>
      </c>
      <c r="F352" s="260">
        <v>1</v>
      </c>
      <c r="G352" s="260" t="s">
        <v>3820</v>
      </c>
      <c r="H352" s="261" t="str">
        <f>'Dry_Litterbag Placem_Collection'!C133</f>
        <v>Wet_P1_T3</v>
      </c>
      <c r="I352" s="262" t="s">
        <v>2525</v>
      </c>
      <c r="J352" s="269" t="s">
        <v>298</v>
      </c>
      <c r="K352" s="260" t="str">
        <f>IF(ISBLANK('Dry_Litterbag Placem_Collection'!K133),"","R"&amp;""&amp;'Dry_Litterbag Placem_Collection'!K133)</f>
        <v>R586</v>
      </c>
      <c r="L352" s="264">
        <f>IFERROR(INDEX('Green_rooibos initial weight'!$C$5:$C$2000,MATCH(K352, 'Green_rooibos initial weight'!$A$5:$A$2000,0)),"")</f>
        <v>2.1520000000000001</v>
      </c>
      <c r="M352" s="264">
        <f>IFERROR(L352-(TBIcalc!$Q$9+TBIcalc!$Q$10),"")</f>
        <v>1.9022000000000001</v>
      </c>
      <c r="N352" s="385">
        <f>AVERAGE(Ashed_controlls!$K$12:$K$14)</f>
        <v>2.2816647271287041</v>
      </c>
      <c r="O352" s="264">
        <f t="shared" si="26"/>
        <v>1.8587981735605579</v>
      </c>
      <c r="P352" s="264">
        <f>IFERROR(INDEX('Both teabags AfterDry'!$D$2:$D$2000,MATCH(K352,'Both teabags AfterDry'!$A$2:$A$2000,0)),"")</f>
        <v>2.2069000000000001</v>
      </c>
      <c r="Q352" s="264">
        <f>IFERROR(IF(P352&gt;0,P352-(TBIcalc!$Q$9),""),"")</f>
        <v>2.0563000000000002</v>
      </c>
      <c r="R352" s="275">
        <f>IFERROR(INDEX('Ashed teabags dry'!$K$2:$K$2000,MATCH(K352,'Ashed teabags dry'!$A$2:$A$2000,0)),"")</f>
        <v>73.946360153256592</v>
      </c>
      <c r="S352" s="275">
        <f t="shared" si="27"/>
        <v>0.53574099616858462</v>
      </c>
      <c r="T352" s="265">
        <f>IF('Dry_Litterbag Placem_Collection'!E133="","",'Dry_Litterbag Placem_Collection'!E133)</f>
        <v>42939</v>
      </c>
      <c r="U352" s="265">
        <f>IF('Dry_Litterbag Placem_Collection'!G133="","",'Dry_Litterbag Placem_Collection'!G133)</f>
        <v>43008</v>
      </c>
      <c r="V352" s="266">
        <f t="shared" si="25"/>
        <v>69</v>
      </c>
      <c r="W352" s="264">
        <f t="shared" si="28"/>
        <v>-0.15410000000000013</v>
      </c>
      <c r="X352" s="264">
        <f t="shared" si="29"/>
        <v>1.3230571773919733</v>
      </c>
      <c r="Y352" s="268">
        <f>IFERROR(INDEX(Rainfall_Dry!$O$2:$O$217,MATCH(B352, Rainfall_Dry!$A$2:$A$217,0)),"")</f>
        <v>136.27214243</v>
      </c>
      <c r="Z352" s="257">
        <v>31.214836424255054</v>
      </c>
      <c r="AA352" s="257">
        <v>11.377370285476141</v>
      </c>
      <c r="AB352" s="257">
        <v>57.407793290268799</v>
      </c>
      <c r="AC352" s="258" t="s">
        <v>2654</v>
      </c>
      <c r="AD352" s="257">
        <v>3.7337604731394798</v>
      </c>
      <c r="AE352">
        <f>IF('WetLitterbags placem_collection'!AB133="","",'WetLitterbags placem_collection'!AB133)</f>
        <v>4.5</v>
      </c>
      <c r="AF352">
        <f>IF('WetLitterbags placem_collection'!Z133="","",'WetLitterbags placem_collection'!Z133)</f>
        <v>7.5</v>
      </c>
      <c r="AG352" s="243" t="str">
        <f>IF('WetLitterbags placem_collection'!AA133="","",'WetLitterbags placem_collection'!AA133)</f>
        <v>O</v>
      </c>
      <c r="AH352">
        <f>IF('WetLitterbags placem_collection'!AC133="","",'WetLitterbags placem_collection'!AC133)</f>
        <v>0</v>
      </c>
      <c r="AI352">
        <f>IFERROR(AVERAGE('Dry_Litterbag Placem_Collection'!O133,'Dry_Litterbag Placem_Collection'!R133),"")</f>
        <v>8.9499999999999993</v>
      </c>
      <c r="AJ352" s="268">
        <f>IFERROR(AVERAGE('Dry_Litterbag Placem_Collection'!N133,'Dry_Litterbag Placem_Collection'!Q133),"")</f>
        <v>28.6</v>
      </c>
      <c r="AK352" s="267">
        <f>INDEX(Coordinates!$B$2:$B$197,MATCH(H352,Coordinates!$J$2:$J$197,0))</f>
        <v>-2.3503259660000002</v>
      </c>
      <c r="AL352" s="267">
        <f>INDEX(Coordinates!$C$2:$C$197,MATCH(H352,Coordinates!$J$2:$J$197,0))</f>
        <v>34.049616999999998</v>
      </c>
      <c r="AM352" s="267" t="str">
        <f>IF(ISNUMBER(SEARCH("C", 'Dry_Litterbag Placem_Collection'!T133)),"YES","NO")</f>
        <v>YES</v>
      </c>
      <c r="AN352" s="267" t="str">
        <f>IF(ISNUMBER(SEARCH("H", 'Dry_Litterbag Placem_Collection'!T133)),"YES","NO")</f>
        <v>YES</v>
      </c>
      <c r="AO352" s="267" t="str">
        <f>IF(ISNUMBER(SEARCH("R", 'Dry_Litterbag Placem_Collection'!T133)),"YES","NO")</f>
        <v>NO</v>
      </c>
    </row>
    <row r="353" spans="1:41" ht="15" customHeight="1">
      <c r="A353" s="259" t="s">
        <v>2643</v>
      </c>
      <c r="B353" s="260">
        <f>'Dry_Litterbag Placem_Collection'!A134</f>
        <v>132</v>
      </c>
      <c r="C353" s="260" t="str">
        <f>'Dry_Litterbag Placem_Collection'!B134</f>
        <v xml:space="preserve">Mwantimba
</v>
      </c>
      <c r="D353" s="260" t="s">
        <v>2454</v>
      </c>
      <c r="E353" s="260" t="s">
        <v>20</v>
      </c>
      <c r="F353" s="260">
        <v>1</v>
      </c>
      <c r="G353" s="260" t="s">
        <v>3820</v>
      </c>
      <c r="H353" s="261" t="str">
        <f>'Dry_Litterbag Placem_Collection'!C134</f>
        <v>Wet_P1_T4</v>
      </c>
      <c r="I353" s="262" t="s">
        <v>2525</v>
      </c>
      <c r="J353" s="269" t="s">
        <v>298</v>
      </c>
      <c r="K353" s="260" t="str">
        <f>IF(ISBLANK('Dry_Litterbag Placem_Collection'!K134),"","R"&amp;""&amp;'Dry_Litterbag Placem_Collection'!K134)</f>
        <v/>
      </c>
      <c r="L353" s="264" t="str">
        <f>IFERROR(INDEX('Green_rooibos initial weight'!$C$5:$C$2000,MATCH(K353, 'Green_rooibos initial weight'!$A$5:$A$2000,0)),"")</f>
        <v/>
      </c>
      <c r="M353" s="264" t="str">
        <f>IFERROR(L353-(TBIcalc!$Q$9+TBIcalc!$Q$10),"")</f>
        <v/>
      </c>
      <c r="N353" s="385">
        <f>AVERAGE(Ashed_controlls!$K$12:$K$14)</f>
        <v>2.2816647271287041</v>
      </c>
      <c r="O353" s="264" t="str">
        <f t="shared" si="26"/>
        <v/>
      </c>
      <c r="P353" s="264" t="str">
        <f>IFERROR(INDEX('Both teabags AfterDry'!$D$2:$D$2000,MATCH(K353,'Both teabags AfterDry'!$A$2:$A$2000,0)),"")</f>
        <v/>
      </c>
      <c r="Q353" s="264" t="str">
        <f>IFERROR(IF(P353&gt;0,P353-(TBIcalc!$Q$9),""),"")</f>
        <v/>
      </c>
      <c r="R353" s="275" t="str">
        <f>IFERROR(INDEX('Ashed teabags dry'!$K$2:$K$2000,MATCH(K353,'Ashed teabags dry'!$A$2:$A$2000,0)),"")</f>
        <v/>
      </c>
      <c r="S353" s="275" t="str">
        <f t="shared" si="27"/>
        <v/>
      </c>
      <c r="T353" s="265" t="str">
        <f>IF('Dry_Litterbag Placem_Collection'!E134="","",'Dry_Litterbag Placem_Collection'!E134)</f>
        <v/>
      </c>
      <c r="U353" s="265" t="str">
        <f>IF('Dry_Litterbag Placem_Collection'!G134="","",'Dry_Litterbag Placem_Collection'!G134)</f>
        <v/>
      </c>
      <c r="V353" s="266" t="str">
        <f t="shared" si="25"/>
        <v/>
      </c>
      <c r="W353" s="264" t="str">
        <f t="shared" si="28"/>
        <v/>
      </c>
      <c r="X353" s="264" t="str">
        <f t="shared" si="29"/>
        <v/>
      </c>
      <c r="Y353" s="268" t="str">
        <f>IFERROR(INDEX(Rainfall_Dry!$O$2:$O$217,MATCH(B353, Rainfall_Dry!$A$2:$A$217,0)),"")</f>
        <v/>
      </c>
      <c r="Z353" s="257">
        <v>31.214836424255054</v>
      </c>
      <c r="AA353" s="257">
        <v>11.377370285476141</v>
      </c>
      <c r="AB353" s="257">
        <v>57.407793290268799</v>
      </c>
      <c r="AC353" s="258" t="s">
        <v>2654</v>
      </c>
      <c r="AD353" s="257">
        <v>4.7337604731394798</v>
      </c>
      <c r="AE353">
        <f>IF('WetLitterbags placem_collection'!AB134="","",'WetLitterbags placem_collection'!AB134)</f>
        <v>0.7</v>
      </c>
      <c r="AF353">
        <f>IF('WetLitterbags placem_collection'!Z134="","",'WetLitterbags placem_collection'!Z134)</f>
        <v>9.8000000000000007</v>
      </c>
      <c r="AG353" s="243" t="str">
        <f>IF('WetLitterbags placem_collection'!AA134="","",'WetLitterbags placem_collection'!AA134)</f>
        <v>G</v>
      </c>
      <c r="AH353">
        <f>IF('WetLitterbags placem_collection'!AC134="","",'WetLitterbags placem_collection'!AC134)</f>
        <v>1</v>
      </c>
      <c r="AI353" t="str">
        <f>IFERROR(AVERAGE('Dry_Litterbag Placem_Collection'!O134,'Dry_Litterbag Placem_Collection'!R134),"")</f>
        <v/>
      </c>
      <c r="AJ353" s="268" t="str">
        <f>IFERROR(AVERAGE('Dry_Litterbag Placem_Collection'!N134,'Dry_Litterbag Placem_Collection'!Q134),"")</f>
        <v/>
      </c>
      <c r="AK353" s="267">
        <f>INDEX(Coordinates!$B$2:$B$197,MATCH(H353,Coordinates!$J$2:$J$197,0))</f>
        <v>-2.3504800260000001</v>
      </c>
      <c r="AL353" s="267">
        <f>INDEX(Coordinates!$C$2:$C$197,MATCH(H353,Coordinates!$J$2:$J$197,0))</f>
        <v>34.049551030000003</v>
      </c>
      <c r="AM353" s="267" t="str">
        <f>IF(ISNUMBER(SEARCH("C", 'Dry_Litterbag Placem_Collection'!T134)),"YES","NO")</f>
        <v>NO</v>
      </c>
      <c r="AN353" s="267" t="str">
        <f>IF(ISNUMBER(SEARCH("H", 'Dry_Litterbag Placem_Collection'!T134)),"YES","NO")</f>
        <v>NO</v>
      </c>
      <c r="AO353" s="267" t="str">
        <f>IF(ISNUMBER(SEARCH("R", 'Dry_Litterbag Placem_Collection'!T134)),"YES","NO")</f>
        <v>NO</v>
      </c>
    </row>
    <row r="354" spans="1:41" ht="15" customHeight="1">
      <c r="A354" s="259" t="s">
        <v>2643</v>
      </c>
      <c r="B354" s="260">
        <f>'Dry_Litterbag Placem_Collection'!A135</f>
        <v>133</v>
      </c>
      <c r="C354" s="260" t="str">
        <f>'Dry_Litterbag Placem_Collection'!B135</f>
        <v xml:space="preserve">Mwantimba
</v>
      </c>
      <c r="D354" s="260" t="s">
        <v>2454</v>
      </c>
      <c r="E354" s="260" t="s">
        <v>20</v>
      </c>
      <c r="F354" s="260">
        <v>1</v>
      </c>
      <c r="G354" s="260" t="s">
        <v>3820</v>
      </c>
      <c r="H354" s="261" t="str">
        <f>'Dry_Litterbag Placem_Collection'!C135</f>
        <v>Wet_P1_T5</v>
      </c>
      <c r="I354" s="262" t="s">
        <v>2525</v>
      </c>
      <c r="J354" s="269" t="s">
        <v>298</v>
      </c>
      <c r="K354" s="260" t="str">
        <f>IF(ISBLANK('Dry_Litterbag Placem_Collection'!K135),"","R"&amp;""&amp;'Dry_Litterbag Placem_Collection'!K135)</f>
        <v>R817</v>
      </c>
      <c r="L354" s="264">
        <f>IFERROR(INDEX('Green_rooibos initial weight'!$C$5:$C$2000,MATCH(K354, 'Green_rooibos initial weight'!$A$5:$A$2000,0)),"")</f>
        <v>2.1749999999999998</v>
      </c>
      <c r="M354" s="264">
        <f>IFERROR(L354-(TBIcalc!$Q$9+TBIcalc!$Q$10),"")</f>
        <v>1.9251999999999998</v>
      </c>
      <c r="N354" s="385">
        <f>AVERAGE(Ashed_controlls!$K$12:$K$14)</f>
        <v>2.2816647271287041</v>
      </c>
      <c r="O354" s="264">
        <f t="shared" si="26"/>
        <v>1.8812733906733179</v>
      </c>
      <c r="P354" s="264" t="str">
        <f>IFERROR(INDEX('Both teabags AfterDry'!$D$2:$D$2000,MATCH(K354,'Both teabags AfterDry'!$A$2:$A$2000,0)),"")</f>
        <v/>
      </c>
      <c r="Q354" s="264" t="str">
        <f>IFERROR(IF(P354&gt;0,P354-(TBIcalc!$Q$9),""),"")</f>
        <v/>
      </c>
      <c r="R354" s="275" t="str">
        <f>IFERROR(INDEX('Ashed teabags dry'!$K$2:$K$2000,MATCH(K354,'Ashed teabags dry'!$A$2:$A$2000,0)),"")</f>
        <v/>
      </c>
      <c r="S354" s="275" t="str">
        <f t="shared" si="27"/>
        <v/>
      </c>
      <c r="T354" s="265">
        <f>IF('Dry_Litterbag Placem_Collection'!E135="","",'Dry_Litterbag Placem_Collection'!E135)</f>
        <v>42939</v>
      </c>
      <c r="U354" s="265">
        <f>IF('Dry_Litterbag Placem_Collection'!G135="","",'Dry_Litterbag Placem_Collection'!G135)</f>
        <v>43008</v>
      </c>
      <c r="V354" s="266">
        <f t="shared" si="25"/>
        <v>69</v>
      </c>
      <c r="W354" s="264" t="str">
        <f t="shared" si="28"/>
        <v/>
      </c>
      <c r="X354" s="264" t="str">
        <f t="shared" si="29"/>
        <v/>
      </c>
      <c r="Y354" s="268">
        <f>IFERROR(INDEX(Rainfall_Dry!$O$2:$O$217,MATCH(B354, Rainfall_Dry!$A$2:$A$217,0)),"")</f>
        <v>136.27214243</v>
      </c>
      <c r="Z354" s="257">
        <v>31.214836424255054</v>
      </c>
      <c r="AA354" s="257">
        <v>11.377370285476141</v>
      </c>
      <c r="AB354" s="257">
        <v>57.407793290268799</v>
      </c>
      <c r="AC354" s="258" t="s">
        <v>2654</v>
      </c>
      <c r="AD354" s="257">
        <v>5.7337604731394798</v>
      </c>
      <c r="AE354">
        <f>IF('WetLitterbags placem_collection'!AB135="","",'WetLitterbags placem_collection'!AB135)</f>
        <v>2.2000000000000002</v>
      </c>
      <c r="AF354">
        <f>IF('WetLitterbags placem_collection'!Z135="","",'WetLitterbags placem_collection'!Z135)</f>
        <v>10</v>
      </c>
      <c r="AG354" s="243" t="str">
        <f>IF('WetLitterbags placem_collection'!AA135="","",'WetLitterbags placem_collection'!AA135)</f>
        <v>O</v>
      </c>
      <c r="AH354">
        <f>IF('WetLitterbags placem_collection'!AC135="","",'WetLitterbags placem_collection'!AC135)</f>
        <v>1</v>
      </c>
      <c r="AI354">
        <f>IFERROR(AVERAGE('Dry_Litterbag Placem_Collection'!O135,'Dry_Litterbag Placem_Collection'!R135),"")</f>
        <v>8.75</v>
      </c>
      <c r="AJ354" s="268">
        <f>IFERROR(AVERAGE('Dry_Litterbag Placem_Collection'!N135,'Dry_Litterbag Placem_Collection'!Q135),"")</f>
        <v>31.3</v>
      </c>
      <c r="AK354" s="267">
        <f>INDEX(Coordinates!$B$2:$B$197,MATCH(H354,Coordinates!$J$2:$J$197,0))</f>
        <v>-2.350474996</v>
      </c>
      <c r="AL354" s="267">
        <f>INDEX(Coordinates!$C$2:$C$197,MATCH(H354,Coordinates!$J$2:$J$197,0))</f>
        <v>34.049801979999998</v>
      </c>
      <c r="AM354" s="267" t="str">
        <f>IF(ISNUMBER(SEARCH("C", 'Dry_Litterbag Placem_Collection'!T135)),"YES","NO")</f>
        <v>YES</v>
      </c>
      <c r="AN354" s="267" t="str">
        <f>IF(ISNUMBER(SEARCH("H", 'Dry_Litterbag Placem_Collection'!T135)),"YES","NO")</f>
        <v>NO</v>
      </c>
      <c r="AO354" s="267" t="str">
        <f>IF(ISNUMBER(SEARCH("R", 'Dry_Litterbag Placem_Collection'!T135)),"YES","NO")</f>
        <v>NO</v>
      </c>
    </row>
    <row r="355" spans="1:41" ht="15" customHeight="1">
      <c r="A355" s="259" t="s">
        <v>2643</v>
      </c>
      <c r="B355" s="260">
        <f>'Dry_Litterbag Placem_Collection'!A136</f>
        <v>134</v>
      </c>
      <c r="C355" s="260" t="str">
        <f>'Dry_Litterbag Placem_Collection'!B136</f>
        <v xml:space="preserve">Mwantimba
</v>
      </c>
      <c r="D355" s="260" t="s">
        <v>2454</v>
      </c>
      <c r="E355" s="260" t="s">
        <v>20</v>
      </c>
      <c r="F355" s="260">
        <v>1</v>
      </c>
      <c r="G355" s="260" t="s">
        <v>3820</v>
      </c>
      <c r="H355" s="261" t="str">
        <f>'Dry_Litterbag Placem_Collection'!C136</f>
        <v>Wet_P1_T6</v>
      </c>
      <c r="I355" s="262" t="s">
        <v>2525</v>
      </c>
      <c r="J355" s="269" t="s">
        <v>298</v>
      </c>
      <c r="K355" s="260" t="str">
        <f>IF(ISBLANK('Dry_Litterbag Placem_Collection'!K136),"","R"&amp;""&amp;'Dry_Litterbag Placem_Collection'!K136)</f>
        <v>R837</v>
      </c>
      <c r="L355" s="264">
        <f>IFERROR(INDEX('Green_rooibos initial weight'!$C$5:$C$2000,MATCH(K355, 'Green_rooibos initial weight'!$A$5:$A$2000,0)),"")</f>
        <v>2.1909999999999998</v>
      </c>
      <c r="M355" s="264">
        <f>IFERROR(L355-(TBIcalc!$Q$9+TBIcalc!$Q$10),"")</f>
        <v>1.9411999999999998</v>
      </c>
      <c r="N355" s="385">
        <f>AVERAGE(Ashed_controlls!$K$12:$K$14)</f>
        <v>2.2816647271287041</v>
      </c>
      <c r="O355" s="264">
        <f t="shared" si="26"/>
        <v>1.8969083243169773</v>
      </c>
      <c r="P355" s="264">
        <f>IFERROR(INDEX('Both teabags AfterDry'!$D$2:$D$2000,MATCH(K355,'Both teabags AfterDry'!$A$2:$A$2000,0)),"")</f>
        <v>1.7436</v>
      </c>
      <c r="Q355" s="264">
        <f>IFERROR(IF(P355&gt;0,P355-(TBIcalc!$Q$9),""),"")</f>
        <v>1.593</v>
      </c>
      <c r="R355" s="275">
        <f>IFERROR(INDEX('Ashed teabags dry'!$K$2:$K$2000,MATCH(K355,'Ashed teabags dry'!$A$2:$A$2000,0)),"")</f>
        <v>3.5795197100129474</v>
      </c>
      <c r="S355" s="275">
        <f t="shared" si="27"/>
        <v>1.5359782510194937</v>
      </c>
      <c r="T355" s="265">
        <f>IF('Dry_Litterbag Placem_Collection'!E136="","",'Dry_Litterbag Placem_Collection'!E136)</f>
        <v>42939</v>
      </c>
      <c r="U355" s="265">
        <f>IF('Dry_Litterbag Placem_Collection'!G136="","",'Dry_Litterbag Placem_Collection'!G136)</f>
        <v>43008</v>
      </c>
      <c r="V355" s="266">
        <f t="shared" si="25"/>
        <v>69</v>
      </c>
      <c r="W355" s="264">
        <f t="shared" si="28"/>
        <v>0.34819999999999984</v>
      </c>
      <c r="X355" s="264">
        <f t="shared" si="29"/>
        <v>0.36093007329748361</v>
      </c>
      <c r="Y355" s="268">
        <f>IFERROR(INDEX(Rainfall_Dry!$O$2:$O$217,MATCH(B355, Rainfall_Dry!$A$2:$A$217,0)),"")</f>
        <v>136.27214243</v>
      </c>
      <c r="Z355" s="257">
        <v>31.214836424255054</v>
      </c>
      <c r="AA355" s="257">
        <v>11.377370285476141</v>
      </c>
      <c r="AB355" s="257">
        <v>57.407793290268799</v>
      </c>
      <c r="AC355" s="258" t="s">
        <v>2654</v>
      </c>
      <c r="AD355" s="257">
        <v>6.7337604731394798</v>
      </c>
      <c r="AE355">
        <f>IF('WetLitterbags placem_collection'!AB136="","",'WetLitterbags placem_collection'!AB136)</f>
        <v>1.1000000000000001</v>
      </c>
      <c r="AF355">
        <f>IF('WetLitterbags placem_collection'!Z136="","",'WetLitterbags placem_collection'!Z136)</f>
        <v>15.4</v>
      </c>
      <c r="AG355" s="243" t="str">
        <f>IF('WetLitterbags placem_collection'!AA136="","",'WetLitterbags placem_collection'!AA136)</f>
        <v>O</v>
      </c>
      <c r="AH355">
        <f>IF('WetLitterbags placem_collection'!AC136="","",'WetLitterbags placem_collection'!AC136)</f>
        <v>1</v>
      </c>
      <c r="AI355">
        <f>IFERROR(AVERAGE('Dry_Litterbag Placem_Collection'!O136,'Dry_Litterbag Placem_Collection'!R136),"")</f>
        <v>6.65</v>
      </c>
      <c r="AJ355" s="268">
        <f>IFERROR(AVERAGE('Dry_Litterbag Placem_Collection'!N136,'Dry_Litterbag Placem_Collection'!Q136),"")</f>
        <v>29.200000000000003</v>
      </c>
      <c r="AK355" s="267">
        <f>INDEX(Coordinates!$B$2:$B$197,MATCH(H355,Coordinates!$J$2:$J$197,0))</f>
        <v>-2.3503559730000001</v>
      </c>
      <c r="AL355" s="267">
        <f>INDEX(Coordinates!$C$2:$C$197,MATCH(H355,Coordinates!$J$2:$J$197,0))</f>
        <v>34.049800980000001</v>
      </c>
      <c r="AM355" s="267" t="str">
        <f>IF(ISNUMBER(SEARCH("C", 'Dry_Litterbag Placem_Collection'!T136)),"YES","NO")</f>
        <v>YES</v>
      </c>
      <c r="AN355" s="267" t="str">
        <f>IF(ISNUMBER(SEARCH("H", 'Dry_Litterbag Placem_Collection'!T136)),"YES","NO")</f>
        <v>NO</v>
      </c>
      <c r="AO355" s="267" t="str">
        <f>IF(ISNUMBER(SEARCH("R", 'Dry_Litterbag Placem_Collection'!T136)),"YES","NO")</f>
        <v>NO</v>
      </c>
    </row>
    <row r="356" spans="1:41" ht="15" customHeight="1">
      <c r="A356" s="259" t="s">
        <v>2643</v>
      </c>
      <c r="B356" s="260">
        <f>'Dry_Litterbag Placem_Collection'!A137</f>
        <v>135</v>
      </c>
      <c r="C356" s="260" t="str">
        <f>'Dry_Litterbag Placem_Collection'!B137</f>
        <v xml:space="preserve">Mwantimba
</v>
      </c>
      <c r="D356" s="260" t="s">
        <v>2454</v>
      </c>
      <c r="E356" s="260" t="s">
        <v>20</v>
      </c>
      <c r="F356" s="260">
        <v>1</v>
      </c>
      <c r="G356" s="260" t="s">
        <v>3820</v>
      </c>
      <c r="H356" s="261" t="str">
        <f>'Dry_Litterbag Placem_Collection'!C137</f>
        <v>Wet_P1_T7</v>
      </c>
      <c r="I356" s="262" t="s">
        <v>2525</v>
      </c>
      <c r="J356" s="269" t="s">
        <v>298</v>
      </c>
      <c r="K356" s="260" t="str">
        <f>IF(ISBLANK('Dry_Litterbag Placem_Collection'!K137),"","R"&amp;""&amp;'Dry_Litterbag Placem_Collection'!K137)</f>
        <v>R756</v>
      </c>
      <c r="L356" s="264">
        <f>IFERROR(INDEX('Green_rooibos initial weight'!$C$5:$C$2000,MATCH(K356, 'Green_rooibos initial weight'!$A$5:$A$2000,0)),"")</f>
        <v>2.2690000000000001</v>
      </c>
      <c r="M356" s="264">
        <f>IFERROR(L356-(TBIcalc!$Q$9+TBIcalc!$Q$10),"")</f>
        <v>2.0192000000000001</v>
      </c>
      <c r="N356" s="385">
        <f>AVERAGE(Ashed_controlls!$K$12:$K$14)</f>
        <v>2.2816647271287041</v>
      </c>
      <c r="O356" s="264">
        <f t="shared" si="26"/>
        <v>1.9731286258298173</v>
      </c>
      <c r="P356" s="264">
        <f>IFERROR(INDEX('Both teabags AfterDry'!$D$2:$D$2000,MATCH(K356,'Both teabags AfterDry'!$A$2:$A$2000,0)),"")</f>
        <v>2.0406</v>
      </c>
      <c r="Q356" s="264">
        <f>IFERROR(IF(P356&gt;0,P356-(TBIcalc!$Q$9),""),"")</f>
        <v>1.89</v>
      </c>
      <c r="R356" s="275">
        <f>IFERROR(INDEX('Ashed teabags dry'!$K$2:$K$2000,MATCH(K356,'Ashed teabags dry'!$A$2:$A$2000,0)),"")</f>
        <v>89.95546759030151</v>
      </c>
      <c r="S356" s="275">
        <f t="shared" si="27"/>
        <v>0.18984166254330148</v>
      </c>
      <c r="T356" s="265">
        <f>IF('Dry_Litterbag Placem_Collection'!E137="","",'Dry_Litterbag Placem_Collection'!E137)</f>
        <v>42939</v>
      </c>
      <c r="U356" s="265">
        <f>IF('Dry_Litterbag Placem_Collection'!G137="","",'Dry_Litterbag Placem_Collection'!G137)</f>
        <v>43008</v>
      </c>
      <c r="V356" s="266">
        <f t="shared" si="25"/>
        <v>69</v>
      </c>
      <c r="W356" s="264">
        <f t="shared" si="28"/>
        <v>0.1292000000000002</v>
      </c>
      <c r="X356" s="264">
        <f t="shared" si="29"/>
        <v>1.7832869632865158</v>
      </c>
      <c r="Y356" s="268">
        <f>IFERROR(INDEX(Rainfall_Dry!$O$2:$O$217,MATCH(B356, Rainfall_Dry!$A$2:$A$217,0)),"")</f>
        <v>136.27214243</v>
      </c>
      <c r="Z356" s="257">
        <v>31.214836424255054</v>
      </c>
      <c r="AA356" s="257">
        <v>11.377370285476141</v>
      </c>
      <c r="AB356" s="257">
        <v>57.407793290268799</v>
      </c>
      <c r="AC356" s="258" t="s">
        <v>2654</v>
      </c>
      <c r="AD356" s="257">
        <v>7.7337604731394798</v>
      </c>
      <c r="AE356">
        <f>IF('WetLitterbags placem_collection'!AB137="","",'WetLitterbags placem_collection'!AB137)</f>
        <v>2.1</v>
      </c>
      <c r="AF356">
        <f>IF('WetLitterbags placem_collection'!Z137="","",'WetLitterbags placem_collection'!Z137)</f>
        <v>5.6</v>
      </c>
      <c r="AG356" s="243" t="str">
        <f>IF('WetLitterbags placem_collection'!AA137="","",'WetLitterbags placem_collection'!AA137)</f>
        <v>O</v>
      </c>
      <c r="AH356">
        <f>IF('WetLitterbags placem_collection'!AC137="","",'WetLitterbags placem_collection'!AC137)</f>
        <v>1</v>
      </c>
      <c r="AI356">
        <f>IFERROR(AVERAGE('Dry_Litterbag Placem_Collection'!O137,'Dry_Litterbag Placem_Collection'!R137),"")</f>
        <v>8.5500000000000007</v>
      </c>
      <c r="AJ356" s="268">
        <f>IFERROR(AVERAGE('Dry_Litterbag Placem_Collection'!N137,'Dry_Litterbag Placem_Collection'!Q137),"")</f>
        <v>31.35</v>
      </c>
      <c r="AK356" s="267">
        <f>INDEX(Coordinates!$B$2:$B$197,MATCH(H356,Coordinates!$J$2:$J$197,0))</f>
        <v>-2.3503589909999998</v>
      </c>
      <c r="AL356" s="267">
        <f>INDEX(Coordinates!$C$2:$C$197,MATCH(H356,Coordinates!$J$2:$J$197,0))</f>
        <v>34.049719000000003</v>
      </c>
      <c r="AM356" s="267" t="str">
        <f>IF(ISNUMBER(SEARCH("C", 'Dry_Litterbag Placem_Collection'!T137)),"YES","NO")</f>
        <v>YES</v>
      </c>
      <c r="AN356" s="267" t="str">
        <f>IF(ISNUMBER(SEARCH("H", 'Dry_Litterbag Placem_Collection'!T137)),"YES","NO")</f>
        <v>YES</v>
      </c>
      <c r="AO356" s="267" t="str">
        <f>IF(ISNUMBER(SEARCH("R", 'Dry_Litterbag Placem_Collection'!T137)),"YES","NO")</f>
        <v>NO</v>
      </c>
    </row>
    <row r="357" spans="1:41" ht="15" customHeight="1">
      <c r="A357" s="259" t="s">
        <v>2643</v>
      </c>
      <c r="B357" s="260">
        <f>'Dry_Litterbag Placem_Collection'!A138</f>
        <v>136</v>
      </c>
      <c r="C357" s="260" t="str">
        <f>'Dry_Litterbag Placem_Collection'!B138</f>
        <v xml:space="preserve">Mwantimba
</v>
      </c>
      <c r="D357" s="260" t="s">
        <v>2454</v>
      </c>
      <c r="E357" s="260" t="s">
        <v>20</v>
      </c>
      <c r="F357" s="260">
        <v>1</v>
      </c>
      <c r="G357" s="260" t="s">
        <v>3820</v>
      </c>
      <c r="H357" s="261" t="str">
        <f>'Dry_Litterbag Placem_Collection'!C138</f>
        <v>Wet_P1_T8</v>
      </c>
      <c r="I357" s="262" t="s">
        <v>2525</v>
      </c>
      <c r="J357" s="269" t="s">
        <v>298</v>
      </c>
      <c r="K357" s="260" t="str">
        <f>IF(ISBLANK('Dry_Litterbag Placem_Collection'!K138),"","R"&amp;""&amp;'Dry_Litterbag Placem_Collection'!K138)</f>
        <v>R184</v>
      </c>
      <c r="L357" s="264">
        <f>IFERROR(INDEX('Green_rooibos initial weight'!$C$5:$C$2000,MATCH(K357, 'Green_rooibos initial weight'!$A$5:$A$2000,0)),"")</f>
        <v>2.202</v>
      </c>
      <c r="M357" s="264">
        <f>IFERROR(L357-(TBIcalc!$Q$9+TBIcalc!$Q$10),"")</f>
        <v>1.9521999999999999</v>
      </c>
      <c r="N357" s="385">
        <f>AVERAGE(Ashed_controlls!$K$12:$K$14)</f>
        <v>2.2816647271287041</v>
      </c>
      <c r="O357" s="264">
        <f t="shared" si="26"/>
        <v>1.9076573411969935</v>
      </c>
      <c r="P357" s="264">
        <f>IFERROR(INDEX('Both teabags AfterDry'!$D$2:$D$2000,MATCH(K357,'Both teabags AfterDry'!$A$2:$A$2000,0)),"")</f>
        <v>1.7850999999999999</v>
      </c>
      <c r="Q357" s="264">
        <f>IFERROR(IF(P357&gt;0,P357-(TBIcalc!$Q$9),""),"")</f>
        <v>1.6344999999999998</v>
      </c>
      <c r="R357" s="275">
        <f>IFERROR(INDEX('Ashed teabags dry'!$K$2:$K$2000,MATCH(K357,'Ashed teabags dry'!$A$2:$A$2000,0)),"")</f>
        <v>4.4315992292882065</v>
      </c>
      <c r="S357" s="275">
        <f t="shared" si="27"/>
        <v>1.562065510597284</v>
      </c>
      <c r="T357" s="265">
        <f>IF('Dry_Litterbag Placem_Collection'!E138="","",'Dry_Litterbag Placem_Collection'!E138)</f>
        <v>42939</v>
      </c>
      <c r="U357" s="265">
        <f>IF('Dry_Litterbag Placem_Collection'!G138="","",'Dry_Litterbag Placem_Collection'!G138)</f>
        <v>43008</v>
      </c>
      <c r="V357" s="266">
        <f t="shared" si="25"/>
        <v>69</v>
      </c>
      <c r="W357" s="264">
        <f t="shared" si="28"/>
        <v>0.31770000000000009</v>
      </c>
      <c r="X357" s="264">
        <f t="shared" si="29"/>
        <v>0.34559183059970944</v>
      </c>
      <c r="Y357" s="268">
        <f>IFERROR(INDEX(Rainfall_Dry!$O$2:$O$217,MATCH(B357, Rainfall_Dry!$A$2:$A$217,0)),"")</f>
        <v>136.27214243</v>
      </c>
      <c r="Z357" s="257">
        <v>31.214836424255054</v>
      </c>
      <c r="AA357" s="257">
        <v>11.377370285476141</v>
      </c>
      <c r="AB357" s="257">
        <v>57.407793290268799</v>
      </c>
      <c r="AC357" s="258" t="s">
        <v>2654</v>
      </c>
      <c r="AD357" s="257">
        <v>8.7337604731394798</v>
      </c>
      <c r="AE357">
        <f>IF('WetLitterbags placem_collection'!AB138="","",'WetLitterbags placem_collection'!AB138)</f>
        <v>2.2999999999999998</v>
      </c>
      <c r="AF357">
        <f>IF('WetLitterbags placem_collection'!Z138="","",'WetLitterbags placem_collection'!Z138)</f>
        <v>16.3</v>
      </c>
      <c r="AG357" s="243" t="str">
        <f>IF('WetLitterbags placem_collection'!AA138="","",'WetLitterbags placem_collection'!AA138)</f>
        <v>G</v>
      </c>
      <c r="AH357">
        <f>IF('WetLitterbags placem_collection'!AC138="","",'WetLitterbags placem_collection'!AC138)</f>
        <v>1</v>
      </c>
      <c r="AI357">
        <f>IFERROR(AVERAGE('Dry_Litterbag Placem_Collection'!O138,'Dry_Litterbag Placem_Collection'!R138),"")</f>
        <v>5.9</v>
      </c>
      <c r="AJ357" s="268">
        <f>IFERROR(AVERAGE('Dry_Litterbag Placem_Collection'!N138,'Dry_Litterbag Placem_Collection'!Q138),"")</f>
        <v>29.9</v>
      </c>
      <c r="AK357" s="267">
        <f>INDEX(Coordinates!$B$2:$B$197,MATCH(H357,Coordinates!$J$2:$J$197,0))</f>
        <v>-2.3502159960000002</v>
      </c>
      <c r="AL357" s="267">
        <f>INDEX(Coordinates!$C$2:$C$197,MATCH(H357,Coordinates!$J$2:$J$197,0))</f>
        <v>34.049822020000001</v>
      </c>
      <c r="AM357" s="267" t="str">
        <f>IF(ISNUMBER(SEARCH("C", 'Dry_Litterbag Placem_Collection'!T138)),"YES","NO")</f>
        <v>NO</v>
      </c>
      <c r="AN357" s="267" t="str">
        <f>IF(ISNUMBER(SEARCH("H", 'Dry_Litterbag Placem_Collection'!T138)),"YES","NO")</f>
        <v>NO</v>
      </c>
      <c r="AO357" s="267" t="str">
        <f>IF(ISNUMBER(SEARCH("R", 'Dry_Litterbag Placem_Collection'!T138)),"YES","NO")</f>
        <v>NO</v>
      </c>
    </row>
    <row r="358" spans="1:41" ht="15" customHeight="1">
      <c r="A358" s="259" t="s">
        <v>2643</v>
      </c>
      <c r="B358" s="260">
        <f>'Dry_Litterbag Placem_Collection'!A139</f>
        <v>137</v>
      </c>
      <c r="C358" s="260" t="str">
        <f>'Dry_Litterbag Placem_Collection'!B139</f>
        <v xml:space="preserve">Mwantimba
</v>
      </c>
      <c r="D358" s="260" t="s">
        <v>2454</v>
      </c>
      <c r="E358" s="260" t="s">
        <v>20</v>
      </c>
      <c r="F358" s="260">
        <v>2</v>
      </c>
      <c r="G358" s="260" t="s">
        <v>3822</v>
      </c>
      <c r="H358" s="261" t="str">
        <f>'Dry_Litterbag Placem_Collection'!C139</f>
        <v>Wet_P2_T1</v>
      </c>
      <c r="I358" s="262" t="s">
        <v>2525</v>
      </c>
      <c r="J358" s="269" t="s">
        <v>298</v>
      </c>
      <c r="K358" s="260" t="str">
        <f>IF(ISBLANK('Dry_Litterbag Placem_Collection'!K139),"","R"&amp;""&amp;'Dry_Litterbag Placem_Collection'!K139)</f>
        <v>R746</v>
      </c>
      <c r="L358" s="264">
        <f>IFERROR(INDEX('Green_rooibos initial weight'!$C$5:$C$2000,MATCH(K358, 'Green_rooibos initial weight'!$A$5:$A$2000,0)),"")</f>
        <v>2.2290000000000001</v>
      </c>
      <c r="M358" s="264">
        <f>IFERROR(L358-(TBIcalc!$Q$9+TBIcalc!$Q$10),"")</f>
        <v>1.9792000000000001</v>
      </c>
      <c r="N358" s="385">
        <f>AVERAGE(Ashed_controlls!$K$12:$K$14)</f>
        <v>2.2816647271287041</v>
      </c>
      <c r="O358" s="264">
        <f t="shared" si="26"/>
        <v>1.9340412917206689</v>
      </c>
      <c r="P358" s="264">
        <f>IFERROR(INDEX('Both teabags AfterDry'!$D$2:$D$2000,MATCH(K358,'Both teabags AfterDry'!$A$2:$A$2000,0)),"")</f>
        <v>5.0305999999999997</v>
      </c>
      <c r="Q358" s="264">
        <f>IFERROR(IF(P358&gt;0,P358-(TBIcalc!$Q$9),""),"")</f>
        <v>4.88</v>
      </c>
      <c r="R358" s="275">
        <f>IFERROR(INDEX('Ashed teabags dry'!$K$2:$K$2000,MATCH(K358,'Ashed teabags dry'!$A$2:$A$2000,0)),"")</f>
        <v>91.181818181818144</v>
      </c>
      <c r="S358" s="275">
        <f t="shared" si="27"/>
        <v>0.43032727272727467</v>
      </c>
      <c r="T358" s="265">
        <f>IF('Dry_Litterbag Placem_Collection'!E139="","",'Dry_Litterbag Placem_Collection'!E139)</f>
        <v>42939</v>
      </c>
      <c r="U358" s="265">
        <f>IF('Dry_Litterbag Placem_Collection'!G139="","",'Dry_Litterbag Placem_Collection'!G139)</f>
        <v>43008</v>
      </c>
      <c r="V358" s="266">
        <f t="shared" si="25"/>
        <v>69</v>
      </c>
      <c r="W358" s="264">
        <f t="shared" si="28"/>
        <v>-2.9007999999999998</v>
      </c>
      <c r="X358" s="264">
        <f t="shared" si="29"/>
        <v>1.5037140189933942</v>
      </c>
      <c r="Y358" s="268">
        <f>IFERROR(INDEX(Rainfall_Dry!$O$2:$O$217,MATCH(B358, Rainfall_Dry!$A$2:$A$217,0)),"")</f>
        <v>136.27214243</v>
      </c>
      <c r="Z358" s="257">
        <v>33.96</v>
      </c>
      <c r="AA358" s="257">
        <v>8.9200000000000017</v>
      </c>
      <c r="AB358" s="257">
        <v>57.12</v>
      </c>
      <c r="AC358" s="258" t="s">
        <v>2654</v>
      </c>
      <c r="AD358" s="257">
        <v>2.072055199605717</v>
      </c>
      <c r="AE358">
        <f>IF('WetLitterbags placem_collection'!AB139="","",'WetLitterbags placem_collection'!AB139)</f>
        <v>1.2</v>
      </c>
      <c r="AF358">
        <f>IF('WetLitterbags placem_collection'!Z139="","",'WetLitterbags placem_collection'!Z139)</f>
        <v>32.4</v>
      </c>
      <c r="AG358" s="243" t="str">
        <f>IF('WetLitterbags placem_collection'!AA139="","",'WetLitterbags placem_collection'!AA139)</f>
        <v>G</v>
      </c>
      <c r="AH358">
        <f>IF('WetLitterbags placem_collection'!AC139="","",'WetLitterbags placem_collection'!AC139)</f>
        <v>1</v>
      </c>
      <c r="AI358">
        <f>IFERROR(AVERAGE('Dry_Litterbag Placem_Collection'!O139,'Dry_Litterbag Placem_Collection'!R139),"")</f>
        <v>8.9</v>
      </c>
      <c r="AJ358" s="268">
        <f>IFERROR(AVERAGE('Dry_Litterbag Placem_Collection'!N139,'Dry_Litterbag Placem_Collection'!Q139),"")</f>
        <v>27.55</v>
      </c>
      <c r="AK358" s="267">
        <f>INDEX(Coordinates!$B$2:$B$197,MATCH(H358,Coordinates!$J$2:$J$197,0))</f>
        <v>-2.348596025</v>
      </c>
      <c r="AL358" s="267">
        <f>INDEX(Coordinates!$C$2:$C$197,MATCH(H358,Coordinates!$J$2:$J$197,0))</f>
        <v>34.050070959999999</v>
      </c>
      <c r="AM358" s="267" t="str">
        <f>IF(ISNUMBER(SEARCH("C", 'Dry_Litterbag Placem_Collection'!T139)),"YES","NO")</f>
        <v>YES</v>
      </c>
      <c r="AN358" s="267" t="str">
        <f>IF(ISNUMBER(SEARCH("H", 'Dry_Litterbag Placem_Collection'!T139)),"YES","NO")</f>
        <v>YES</v>
      </c>
      <c r="AO358" s="267" t="str">
        <f>IF(ISNUMBER(SEARCH("R", 'Dry_Litterbag Placem_Collection'!T139)),"YES","NO")</f>
        <v>NO</v>
      </c>
    </row>
    <row r="359" spans="1:41" ht="15" customHeight="1">
      <c r="A359" s="259" t="s">
        <v>2643</v>
      </c>
      <c r="B359" s="260">
        <f>'Dry_Litterbag Placem_Collection'!A140</f>
        <v>138</v>
      </c>
      <c r="C359" s="260" t="str">
        <f>'Dry_Litterbag Placem_Collection'!B140</f>
        <v xml:space="preserve">Mwantimba
</v>
      </c>
      <c r="D359" s="260" t="s">
        <v>2454</v>
      </c>
      <c r="E359" s="260" t="s">
        <v>20</v>
      </c>
      <c r="F359" s="260">
        <v>2</v>
      </c>
      <c r="G359" s="260" t="s">
        <v>3822</v>
      </c>
      <c r="H359" s="261" t="str">
        <f>'Dry_Litterbag Placem_Collection'!C140</f>
        <v>Wet_P2_T2</v>
      </c>
      <c r="I359" s="262" t="s">
        <v>2525</v>
      </c>
      <c r="J359" s="269" t="s">
        <v>298</v>
      </c>
      <c r="K359" s="260" t="str">
        <f>IF(ISBLANK('Dry_Litterbag Placem_Collection'!K140),"","R"&amp;""&amp;'Dry_Litterbag Placem_Collection'!K140)</f>
        <v>R821</v>
      </c>
      <c r="L359" s="264">
        <f>IFERROR(INDEX('Green_rooibos initial weight'!$C$5:$C$2000,MATCH(K359, 'Green_rooibos initial weight'!$A$5:$A$2000,0)),"")</f>
        <v>2.1680000000000001</v>
      </c>
      <c r="M359" s="264">
        <f>IFERROR(L359-(TBIcalc!$Q$9+TBIcalc!$Q$10),"")</f>
        <v>1.9182000000000001</v>
      </c>
      <c r="N359" s="385">
        <f>AVERAGE(Ashed_controlls!$K$12:$K$14)</f>
        <v>2.2816647271287041</v>
      </c>
      <c r="O359" s="264">
        <f t="shared" si="26"/>
        <v>1.8744331072042173</v>
      </c>
      <c r="P359" s="264">
        <f>IFERROR(INDEX('Both teabags AfterDry'!$D$2:$D$2000,MATCH(K359,'Both teabags AfterDry'!$A$2:$A$2000,0)),"")</f>
        <v>0.2059</v>
      </c>
      <c r="Q359" s="264">
        <f>IFERROR(IF(P359&gt;0,P359-(TBIcalc!$Q$9),""),"")</f>
        <v>5.5299999999999988E-2</v>
      </c>
      <c r="R359" s="275">
        <f>IFERROR(INDEX('Ashed teabags dry'!$K$2:$K$2000,MATCH(K359,'Ashed teabags dry'!$A$2:$A$2000,0)),"")</f>
        <v>0</v>
      </c>
      <c r="S359" s="275">
        <f t="shared" si="27"/>
        <v>5.5299999999999988E-2</v>
      </c>
      <c r="T359" s="265">
        <f>IF('Dry_Litterbag Placem_Collection'!E140="","",'Dry_Litterbag Placem_Collection'!E140)</f>
        <v>42939</v>
      </c>
      <c r="U359" s="265">
        <f>IF('Dry_Litterbag Placem_Collection'!G140="","",'Dry_Litterbag Placem_Collection'!G140)</f>
        <v>43008</v>
      </c>
      <c r="V359" s="266">
        <f t="shared" si="25"/>
        <v>69</v>
      </c>
      <c r="W359" s="264">
        <f t="shared" si="28"/>
        <v>1.8629000000000002</v>
      </c>
      <c r="X359" s="264">
        <f t="shared" si="29"/>
        <v>1.8191331072042174</v>
      </c>
      <c r="Y359" s="268">
        <f>IFERROR(INDEX(Rainfall_Dry!$O$2:$O$217,MATCH(B359, Rainfall_Dry!$A$2:$A$217,0)),"")</f>
        <v>136.27214243</v>
      </c>
      <c r="Z359" s="257">
        <v>33.96</v>
      </c>
      <c r="AA359" s="257">
        <v>8.9200000000000017</v>
      </c>
      <c r="AB359" s="257">
        <v>57.12</v>
      </c>
      <c r="AC359" s="258" t="s">
        <v>2654</v>
      </c>
      <c r="AD359" s="257">
        <v>3.0720551996057202</v>
      </c>
      <c r="AE359">
        <f>IF('WetLitterbags placem_collection'!AB140="","",'WetLitterbags placem_collection'!AB140)</f>
        <v>2.8</v>
      </c>
      <c r="AF359">
        <f>IF('WetLitterbags placem_collection'!Z140="","",'WetLitterbags placem_collection'!Z140)</f>
        <v>26.4</v>
      </c>
      <c r="AG359" s="243" t="str">
        <f>IF('WetLitterbags placem_collection'!AA140="","",'WetLitterbags placem_collection'!AA140)</f>
        <v>G</v>
      </c>
      <c r="AH359">
        <f>IF('WetLitterbags placem_collection'!AC140="","",'WetLitterbags placem_collection'!AC140)</f>
        <v>1</v>
      </c>
      <c r="AI359">
        <f>IFERROR(AVERAGE('Dry_Litterbag Placem_Collection'!O140,'Dry_Litterbag Placem_Collection'!R140),"")</f>
        <v>7.05</v>
      </c>
      <c r="AJ359" s="268">
        <f>IFERROR(AVERAGE('Dry_Litterbag Placem_Collection'!N140,'Dry_Litterbag Placem_Collection'!Q140),"")</f>
        <v>28.799999999999997</v>
      </c>
      <c r="AK359" s="267">
        <f>INDEX(Coordinates!$B$2:$B$197,MATCH(H359,Coordinates!$J$2:$J$197,0))</f>
        <v>-2.3485449790000001</v>
      </c>
      <c r="AL359" s="267">
        <f>INDEX(Coordinates!$C$2:$C$197,MATCH(H359,Coordinates!$J$2:$J$197,0))</f>
        <v>34.050146980000001</v>
      </c>
      <c r="AM359" s="267" t="str">
        <f>IF(ISNUMBER(SEARCH("C", 'Dry_Litterbag Placem_Collection'!T140)),"YES","NO")</f>
        <v>YES</v>
      </c>
      <c r="AN359" s="267" t="str">
        <f>IF(ISNUMBER(SEARCH("H", 'Dry_Litterbag Placem_Collection'!T140)),"YES","NO")</f>
        <v>YES</v>
      </c>
      <c r="AO359" s="267" t="str">
        <f>IF(ISNUMBER(SEARCH("R", 'Dry_Litterbag Placem_Collection'!T140)),"YES","NO")</f>
        <v>NO</v>
      </c>
    </row>
    <row r="360" spans="1:41" ht="15" customHeight="1">
      <c r="A360" s="259" t="s">
        <v>2643</v>
      </c>
      <c r="B360" s="260">
        <f>'Dry_Litterbag Placem_Collection'!A141</f>
        <v>139</v>
      </c>
      <c r="C360" s="260" t="str">
        <f>'Dry_Litterbag Placem_Collection'!B141</f>
        <v xml:space="preserve">Mwantimba
</v>
      </c>
      <c r="D360" s="260" t="s">
        <v>2454</v>
      </c>
      <c r="E360" s="260" t="s">
        <v>20</v>
      </c>
      <c r="F360" s="260">
        <v>2</v>
      </c>
      <c r="G360" s="260" t="s">
        <v>3822</v>
      </c>
      <c r="H360" s="261" t="str">
        <f>'Dry_Litterbag Placem_Collection'!C141</f>
        <v>Wet_P2_T3</v>
      </c>
      <c r="I360" s="262" t="s">
        <v>2525</v>
      </c>
      <c r="J360" s="269" t="s">
        <v>298</v>
      </c>
      <c r="K360" s="260" t="str">
        <f>IF(ISBLANK('Dry_Litterbag Placem_Collection'!K141),"","R"&amp;""&amp;'Dry_Litterbag Placem_Collection'!K141)</f>
        <v>R813</v>
      </c>
      <c r="L360" s="264">
        <f>IFERROR(INDEX('Green_rooibos initial weight'!$C$5:$C$2000,MATCH(K360, 'Green_rooibos initial weight'!$A$5:$A$2000,0)),"")</f>
        <v>2.2309999999999999</v>
      </c>
      <c r="M360" s="264">
        <f>IFERROR(L360-(TBIcalc!$Q$9+TBIcalc!$Q$10),"")</f>
        <v>1.9811999999999999</v>
      </c>
      <c r="N360" s="385">
        <f>AVERAGE(Ashed_controlls!$K$12:$K$14)</f>
        <v>2.2816647271287041</v>
      </c>
      <c r="O360" s="264">
        <f t="shared" si="26"/>
        <v>1.935995658426126</v>
      </c>
      <c r="P360" s="264">
        <f>IFERROR(INDEX('Both teabags AfterDry'!$D$2:$D$2000,MATCH(K360,'Both teabags AfterDry'!$A$2:$A$2000,0)),"")</f>
        <v>2.1772999999999998</v>
      </c>
      <c r="Q360" s="264">
        <f>IFERROR(IF(P360&gt;0,P360-(TBIcalc!$Q$9),""),"")</f>
        <v>2.0266999999999999</v>
      </c>
      <c r="R360" s="275">
        <f>IFERROR(INDEX('Ashed teabags dry'!$K$2:$K$2000,MATCH(K360,'Ashed teabags dry'!$A$2:$A$2000,0)),"")</f>
        <v>88.823816495851673</v>
      </c>
      <c r="S360" s="275">
        <f t="shared" si="27"/>
        <v>0.22650771107857426</v>
      </c>
      <c r="T360" s="265">
        <f>IF('Dry_Litterbag Placem_Collection'!E141="","",'Dry_Litterbag Placem_Collection'!E141)</f>
        <v>42939</v>
      </c>
      <c r="U360" s="265">
        <f>IF('Dry_Litterbag Placem_Collection'!G141="","",'Dry_Litterbag Placem_Collection'!G141)</f>
        <v>43008</v>
      </c>
      <c r="V360" s="266">
        <f t="shared" si="25"/>
        <v>69</v>
      </c>
      <c r="W360" s="264">
        <f t="shared" si="28"/>
        <v>-4.5500000000000096E-2</v>
      </c>
      <c r="X360" s="264">
        <f t="shared" si="29"/>
        <v>1.7094879473475517</v>
      </c>
      <c r="Y360" s="268">
        <f>IFERROR(INDEX(Rainfall_Dry!$O$2:$O$217,MATCH(B360, Rainfall_Dry!$A$2:$A$217,0)),"")</f>
        <v>136.27214243</v>
      </c>
      <c r="Z360" s="257">
        <v>33.96</v>
      </c>
      <c r="AA360" s="257">
        <v>8.9200000000000017</v>
      </c>
      <c r="AB360" s="257">
        <v>57.12</v>
      </c>
      <c r="AC360" s="258" t="s">
        <v>2654</v>
      </c>
      <c r="AD360" s="257">
        <v>4.0720551996057202</v>
      </c>
      <c r="AE360">
        <f>IF('WetLitterbags placem_collection'!AB141="","",'WetLitterbags placem_collection'!AB141)</f>
        <v>5.7</v>
      </c>
      <c r="AF360">
        <f>IF('WetLitterbags placem_collection'!Z141="","",'WetLitterbags placem_collection'!Z141)</f>
        <v>19.399999999999999</v>
      </c>
      <c r="AG360" s="243" t="str">
        <f>IF('WetLitterbags placem_collection'!AA141="","",'WetLitterbags placem_collection'!AA141)</f>
        <v>G</v>
      </c>
      <c r="AH360">
        <f>IF('WetLitterbags placem_collection'!AC141="","",'WetLitterbags placem_collection'!AC141)</f>
        <v>1</v>
      </c>
      <c r="AI360">
        <f>IFERROR(AVERAGE('Dry_Litterbag Placem_Collection'!O141,'Dry_Litterbag Placem_Collection'!R141),"")</f>
        <v>11.200000000000001</v>
      </c>
      <c r="AJ360" s="268">
        <f>IFERROR(AVERAGE('Dry_Litterbag Placem_Collection'!N141,'Dry_Litterbag Placem_Collection'!Q141),"")</f>
        <v>28.15</v>
      </c>
      <c r="AK360" s="267">
        <f>INDEX(Coordinates!$B$2:$B$197,MATCH(H360,Coordinates!$J$2:$J$197,0))</f>
        <v>-2.3487209990000002</v>
      </c>
      <c r="AL360" s="267">
        <f>INDEX(Coordinates!$C$2:$C$197,MATCH(H360,Coordinates!$J$2:$J$197,0))</f>
        <v>34.050128039999997</v>
      </c>
      <c r="AM360" s="267" t="str">
        <f>IF(ISNUMBER(SEARCH("C", 'Dry_Litterbag Placem_Collection'!T141)),"YES","NO")</f>
        <v>YES</v>
      </c>
      <c r="AN360" s="267" t="str">
        <f>IF(ISNUMBER(SEARCH("H", 'Dry_Litterbag Placem_Collection'!T141)),"YES","NO")</f>
        <v>YES</v>
      </c>
      <c r="AO360" s="267" t="str">
        <f>IF(ISNUMBER(SEARCH("R", 'Dry_Litterbag Placem_Collection'!T141)),"YES","NO")</f>
        <v>NO</v>
      </c>
    </row>
    <row r="361" spans="1:41" ht="15" customHeight="1">
      <c r="A361" s="259" t="s">
        <v>2643</v>
      </c>
      <c r="B361" s="260">
        <f>'Dry_Litterbag Placem_Collection'!A142</f>
        <v>140</v>
      </c>
      <c r="C361" s="260" t="str">
        <f>'Dry_Litterbag Placem_Collection'!B142</f>
        <v xml:space="preserve">Mwantimba
</v>
      </c>
      <c r="D361" s="260" t="s">
        <v>2454</v>
      </c>
      <c r="E361" s="260" t="s">
        <v>20</v>
      </c>
      <c r="F361" s="260">
        <v>2</v>
      </c>
      <c r="G361" s="260" t="s">
        <v>3822</v>
      </c>
      <c r="H361" s="261" t="str">
        <f>'Dry_Litterbag Placem_Collection'!C142</f>
        <v>Wet_P2_T4</v>
      </c>
      <c r="I361" s="262" t="s">
        <v>2525</v>
      </c>
      <c r="J361" s="269" t="s">
        <v>298</v>
      </c>
      <c r="K361" s="260" t="str">
        <f>IF(ISBLANK('Dry_Litterbag Placem_Collection'!K142),"","R"&amp;""&amp;'Dry_Litterbag Placem_Collection'!K142)</f>
        <v>R729</v>
      </c>
      <c r="L361" s="264">
        <f>IFERROR(INDEX('Green_rooibos initial weight'!$C$5:$C$2000,MATCH(K361, 'Green_rooibos initial weight'!$A$5:$A$2000,0)),"")</f>
        <v>2.1970000000000001</v>
      </c>
      <c r="M361" s="264">
        <f>IFERROR(L361-(TBIcalc!$Q$9+TBIcalc!$Q$10),"")</f>
        <v>1.9472</v>
      </c>
      <c r="N361" s="385">
        <f>AVERAGE(Ashed_controlls!$K$12:$K$14)</f>
        <v>2.2816647271287041</v>
      </c>
      <c r="O361" s="264">
        <f t="shared" si="26"/>
        <v>1.90277142443335</v>
      </c>
      <c r="P361" s="264">
        <f>IFERROR(INDEX('Both teabags AfterDry'!$D$2:$D$2000,MATCH(K361,'Both teabags AfterDry'!$A$2:$A$2000,0)),"")</f>
        <v>1.7859</v>
      </c>
      <c r="Q361" s="264">
        <f>IFERROR(IF(P361&gt;0,P361-(TBIcalc!$Q$9),""),"")</f>
        <v>1.6353</v>
      </c>
      <c r="R361" s="275">
        <f>IFERROR(INDEX('Ashed teabags dry'!$K$2:$K$2000,MATCH(K361,'Ashed teabags dry'!$A$2:$A$2000,0)),"")</f>
        <v>7.374631268436298</v>
      </c>
      <c r="S361" s="275">
        <f t="shared" si="27"/>
        <v>1.5147026548672613</v>
      </c>
      <c r="T361" s="265">
        <f>IF('Dry_Litterbag Placem_Collection'!E142="","",'Dry_Litterbag Placem_Collection'!E142)</f>
        <v>42939</v>
      </c>
      <c r="U361" s="265">
        <f>IF('Dry_Litterbag Placem_Collection'!G142="","",'Dry_Litterbag Placem_Collection'!G142)</f>
        <v>43008</v>
      </c>
      <c r="V361" s="266">
        <f t="shared" si="25"/>
        <v>69</v>
      </c>
      <c r="W361" s="264">
        <f t="shared" si="28"/>
        <v>0.31190000000000007</v>
      </c>
      <c r="X361" s="264">
        <f t="shared" si="29"/>
        <v>0.38806876956608871</v>
      </c>
      <c r="Y361" s="268">
        <f>IFERROR(INDEX(Rainfall_Dry!$O$2:$O$217,MATCH(B361, Rainfall_Dry!$A$2:$A$217,0)),"")</f>
        <v>136.27214243</v>
      </c>
      <c r="Z361" s="257">
        <v>33.96</v>
      </c>
      <c r="AA361" s="257">
        <v>8.9200000000000017</v>
      </c>
      <c r="AB361" s="257">
        <v>57.12</v>
      </c>
      <c r="AC361" s="258" t="s">
        <v>2654</v>
      </c>
      <c r="AD361" s="257">
        <v>5.0720551996057202</v>
      </c>
      <c r="AE361">
        <f>IF('WetLitterbags placem_collection'!AB142="","",'WetLitterbags placem_collection'!AB142)</f>
        <v>1.4</v>
      </c>
      <c r="AF361">
        <f>IF('WetLitterbags placem_collection'!Z142="","",'WetLitterbags placem_collection'!Z142)</f>
        <v>33.4</v>
      </c>
      <c r="AG361" s="243" t="str">
        <f>IF('WetLitterbags placem_collection'!AA142="","",'WetLitterbags placem_collection'!AA142)</f>
        <v>G</v>
      </c>
      <c r="AH361">
        <f>IF('WetLitterbags placem_collection'!AC142="","",'WetLitterbags placem_collection'!AC142)</f>
        <v>1</v>
      </c>
      <c r="AI361">
        <f>IFERROR(AVERAGE('Dry_Litterbag Placem_Collection'!O142,'Dry_Litterbag Placem_Collection'!R142),"")</f>
        <v>7.3000000000000007</v>
      </c>
      <c r="AJ361" s="268">
        <f>IFERROR(AVERAGE('Dry_Litterbag Placem_Collection'!N142,'Dry_Litterbag Placem_Collection'!Q142),"")</f>
        <v>28</v>
      </c>
      <c r="AK361" s="267">
        <f>INDEX(Coordinates!$B$2:$B$197,MATCH(H361,Coordinates!$J$2:$J$197,0))</f>
        <v>-2.3486250270000002</v>
      </c>
      <c r="AL361" s="267">
        <f>INDEX(Coordinates!$C$2:$C$197,MATCH(H361,Coordinates!$J$2:$J$197,0))</f>
        <v>34.050070959999999</v>
      </c>
      <c r="AM361" s="267" t="str">
        <f>IF(ISNUMBER(SEARCH("C", 'Dry_Litterbag Placem_Collection'!T142)),"YES","NO")</f>
        <v>YES</v>
      </c>
      <c r="AN361" s="267" t="str">
        <f>IF(ISNUMBER(SEARCH("H", 'Dry_Litterbag Placem_Collection'!T142)),"YES","NO")</f>
        <v>YES</v>
      </c>
      <c r="AO361" s="267" t="str">
        <f>IF(ISNUMBER(SEARCH("R", 'Dry_Litterbag Placem_Collection'!T142)),"YES","NO")</f>
        <v>NO</v>
      </c>
    </row>
    <row r="362" spans="1:41" ht="15" customHeight="1">
      <c r="A362" s="259" t="s">
        <v>2643</v>
      </c>
      <c r="B362" s="260">
        <f>'Dry_Litterbag Placem_Collection'!A143</f>
        <v>141</v>
      </c>
      <c r="C362" s="260" t="str">
        <f>'Dry_Litterbag Placem_Collection'!B143</f>
        <v xml:space="preserve">Mwantimba
</v>
      </c>
      <c r="D362" s="260" t="s">
        <v>2454</v>
      </c>
      <c r="E362" s="260" t="s">
        <v>20</v>
      </c>
      <c r="F362" s="260">
        <v>2</v>
      </c>
      <c r="G362" s="260" t="s">
        <v>3822</v>
      </c>
      <c r="H362" s="261" t="str">
        <f>'Dry_Litterbag Placem_Collection'!C143</f>
        <v>Wet_P2_T5</v>
      </c>
      <c r="I362" s="262" t="s">
        <v>2525</v>
      </c>
      <c r="J362" s="269" t="s">
        <v>298</v>
      </c>
      <c r="K362" s="260" t="str">
        <f>IF(ISBLANK('Dry_Litterbag Placem_Collection'!K143),"","R"&amp;""&amp;'Dry_Litterbag Placem_Collection'!K143)</f>
        <v/>
      </c>
      <c r="L362" s="264" t="str">
        <f>IFERROR(INDEX('Green_rooibos initial weight'!$C$5:$C$2000,MATCH(K362, 'Green_rooibos initial weight'!$A$5:$A$2000,0)),"")</f>
        <v/>
      </c>
      <c r="M362" s="264" t="str">
        <f>IFERROR(L362-(TBIcalc!$Q$9+TBIcalc!$Q$10),"")</f>
        <v/>
      </c>
      <c r="N362" s="385">
        <f>AVERAGE(Ashed_controlls!$K$12:$K$14)</f>
        <v>2.2816647271287041</v>
      </c>
      <c r="O362" s="264" t="str">
        <f t="shared" si="26"/>
        <v/>
      </c>
      <c r="P362" s="264" t="str">
        <f>IFERROR(INDEX('Both teabags AfterDry'!$D$2:$D$2000,MATCH(K362,'Both teabags AfterDry'!$A$2:$A$2000,0)),"")</f>
        <v/>
      </c>
      <c r="Q362" s="264" t="str">
        <f>IFERROR(IF(P362&gt;0,P362-(TBIcalc!$Q$9),""),"")</f>
        <v/>
      </c>
      <c r="R362" s="275" t="str">
        <f>IFERROR(INDEX('Ashed teabags dry'!$K$2:$K$2000,MATCH(K362,'Ashed teabags dry'!$A$2:$A$2000,0)),"")</f>
        <v/>
      </c>
      <c r="S362" s="275" t="str">
        <f t="shared" si="27"/>
        <v/>
      </c>
      <c r="T362" s="265" t="str">
        <f>IF('Dry_Litterbag Placem_Collection'!E143="","",'Dry_Litterbag Placem_Collection'!E143)</f>
        <v/>
      </c>
      <c r="U362" s="265" t="str">
        <f>IF('Dry_Litterbag Placem_Collection'!G143="","",'Dry_Litterbag Placem_Collection'!G143)</f>
        <v/>
      </c>
      <c r="V362" s="266" t="str">
        <f t="shared" si="25"/>
        <v/>
      </c>
      <c r="W362" s="264" t="str">
        <f t="shared" si="28"/>
        <v/>
      </c>
      <c r="X362" s="264" t="str">
        <f t="shared" si="29"/>
        <v/>
      </c>
      <c r="Y362" s="268" t="str">
        <f>IFERROR(INDEX(Rainfall_Dry!$O$2:$O$217,MATCH(B362, Rainfall_Dry!$A$2:$A$217,0)),"")</f>
        <v/>
      </c>
      <c r="Z362" s="257">
        <v>33.96</v>
      </c>
      <c r="AA362" s="257">
        <v>8.9200000000000017</v>
      </c>
      <c r="AB362" s="257">
        <v>57.12</v>
      </c>
      <c r="AC362" s="258" t="s">
        <v>2654</v>
      </c>
      <c r="AD362" s="257">
        <v>6.0720551996057202</v>
      </c>
      <c r="AE362">
        <f>IF('WetLitterbags placem_collection'!AB143="","",'WetLitterbags placem_collection'!AB143)</f>
        <v>1.4</v>
      </c>
      <c r="AF362">
        <f>IF('WetLitterbags placem_collection'!Z143="","",'WetLitterbags placem_collection'!Z143)</f>
        <v>28.4</v>
      </c>
      <c r="AG362" s="243" t="str">
        <f>IF('WetLitterbags placem_collection'!AA143="","",'WetLitterbags placem_collection'!AA143)</f>
        <v>G</v>
      </c>
      <c r="AH362">
        <f>IF('WetLitterbags placem_collection'!AC143="","",'WetLitterbags placem_collection'!AC143)</f>
        <v>1</v>
      </c>
      <c r="AI362" t="str">
        <f>IFERROR(AVERAGE('Dry_Litterbag Placem_Collection'!O143,'Dry_Litterbag Placem_Collection'!R143),"")</f>
        <v/>
      </c>
      <c r="AJ362" s="268" t="str">
        <f>IFERROR(AVERAGE('Dry_Litterbag Placem_Collection'!N143,'Dry_Litterbag Placem_Collection'!Q143),"")</f>
        <v/>
      </c>
      <c r="AK362" s="267">
        <f>INDEX(Coordinates!$B$2:$B$197,MATCH(H362,Coordinates!$J$2:$J$197,0))</f>
        <v>-2.3486060000000002</v>
      </c>
      <c r="AL362" s="267">
        <f>INDEX(Coordinates!$C$2:$C$197,MATCH(H362,Coordinates!$J$2:$J$197,0))</f>
        <v>34.050010020000002</v>
      </c>
      <c r="AM362" s="267" t="str">
        <f>IF(ISNUMBER(SEARCH("C", 'Dry_Litterbag Placem_Collection'!T143)),"YES","NO")</f>
        <v>NO</v>
      </c>
      <c r="AN362" s="267" t="str">
        <f>IF(ISNUMBER(SEARCH("H", 'Dry_Litterbag Placem_Collection'!T143)),"YES","NO")</f>
        <v>NO</v>
      </c>
      <c r="AO362" s="267" t="str">
        <f>IF(ISNUMBER(SEARCH("R", 'Dry_Litterbag Placem_Collection'!T143)),"YES","NO")</f>
        <v>NO</v>
      </c>
    </row>
    <row r="363" spans="1:41" ht="15" customHeight="1">
      <c r="A363" s="259" t="s">
        <v>2643</v>
      </c>
      <c r="B363" s="260">
        <f>'Dry_Litterbag Placem_Collection'!A144</f>
        <v>142</v>
      </c>
      <c r="C363" s="260" t="str">
        <f>'Dry_Litterbag Placem_Collection'!B144</f>
        <v xml:space="preserve">Mwantimba
</v>
      </c>
      <c r="D363" s="260" t="s">
        <v>2454</v>
      </c>
      <c r="E363" s="260" t="s">
        <v>20</v>
      </c>
      <c r="F363" s="260">
        <v>2</v>
      </c>
      <c r="G363" s="260" t="s">
        <v>3822</v>
      </c>
      <c r="H363" s="261" t="str">
        <f>'Dry_Litterbag Placem_Collection'!C144</f>
        <v>Wet_P2_T6</v>
      </c>
      <c r="I363" s="262" t="s">
        <v>2525</v>
      </c>
      <c r="J363" s="269" t="s">
        <v>298</v>
      </c>
      <c r="K363" s="260" t="str">
        <f>IF(ISBLANK('Dry_Litterbag Placem_Collection'!K144),"","R"&amp;""&amp;'Dry_Litterbag Placem_Collection'!K144)</f>
        <v>R834</v>
      </c>
      <c r="L363" s="264">
        <f>IFERROR(INDEX('Green_rooibos initial weight'!$C$5:$C$2000,MATCH(K363, 'Green_rooibos initial weight'!$A$5:$A$2000,0)),"")</f>
        <v>2.1840000000000002</v>
      </c>
      <c r="M363" s="264">
        <f>IFERROR(L363-(TBIcalc!$Q$9+TBIcalc!$Q$10),"")</f>
        <v>1.9342000000000001</v>
      </c>
      <c r="N363" s="385">
        <f>AVERAGE(Ashed_controlls!$K$12:$K$14)</f>
        <v>2.2816647271287041</v>
      </c>
      <c r="O363" s="264">
        <f t="shared" si="26"/>
        <v>1.8900680408478767</v>
      </c>
      <c r="P363" s="264" t="str">
        <f>IFERROR(INDEX('Both teabags AfterDry'!$D$2:$D$2000,MATCH(K363,'Both teabags AfterDry'!$A$2:$A$2000,0)),"")</f>
        <v/>
      </c>
      <c r="Q363" s="264" t="str">
        <f>IFERROR(IF(P363&gt;0,P363-(TBIcalc!$Q$9),""),"")</f>
        <v/>
      </c>
      <c r="R363" s="275" t="str">
        <f>IFERROR(INDEX('Ashed teabags dry'!$K$2:$K$2000,MATCH(K363,'Ashed teabags dry'!$A$2:$A$2000,0)),"")</f>
        <v/>
      </c>
      <c r="S363" s="275" t="str">
        <f t="shared" si="27"/>
        <v/>
      </c>
      <c r="T363" s="265">
        <f>IF('Dry_Litterbag Placem_Collection'!E144="","",'Dry_Litterbag Placem_Collection'!E144)</f>
        <v>42939</v>
      </c>
      <c r="U363" s="265">
        <f>IF('Dry_Litterbag Placem_Collection'!G144="","",'Dry_Litterbag Placem_Collection'!G144)</f>
        <v>43008</v>
      </c>
      <c r="V363" s="266">
        <f t="shared" si="25"/>
        <v>69</v>
      </c>
      <c r="W363" s="264" t="str">
        <f t="shared" si="28"/>
        <v/>
      </c>
      <c r="X363" s="264" t="str">
        <f t="shared" si="29"/>
        <v/>
      </c>
      <c r="Y363" s="268">
        <f>IFERROR(INDEX(Rainfall_Dry!$O$2:$O$217,MATCH(B363, Rainfall_Dry!$A$2:$A$217,0)),"")</f>
        <v>136.27214243</v>
      </c>
      <c r="Z363" s="257">
        <v>33.96</v>
      </c>
      <c r="AA363" s="257">
        <v>8.9200000000000017</v>
      </c>
      <c r="AB363" s="257">
        <v>57.12</v>
      </c>
      <c r="AC363" s="258" t="s">
        <v>2654</v>
      </c>
      <c r="AD363" s="257">
        <v>7.0720551996057202</v>
      </c>
      <c r="AE363">
        <f>IF('WetLitterbags placem_collection'!AB144="","",'WetLitterbags placem_collection'!AB144)</f>
        <v>1.7</v>
      </c>
      <c r="AF363">
        <f>IF('WetLitterbags placem_collection'!Z144="","",'WetLitterbags placem_collection'!Z144)</f>
        <v>33.799999999999997</v>
      </c>
      <c r="AG363" s="243" t="str">
        <f>IF('WetLitterbags placem_collection'!AA144="","",'WetLitterbags placem_collection'!AA144)</f>
        <v>G</v>
      </c>
      <c r="AH363">
        <f>IF('WetLitterbags placem_collection'!AC144="","",'WetLitterbags placem_collection'!AC144)</f>
        <v>1</v>
      </c>
      <c r="AI363">
        <f>IFERROR(AVERAGE('Dry_Litterbag Placem_Collection'!O144,'Dry_Litterbag Placem_Collection'!R144),"")</f>
        <v>8.4499999999999993</v>
      </c>
      <c r="AJ363" s="268">
        <f>IFERROR(AVERAGE('Dry_Litterbag Placem_Collection'!N144,'Dry_Litterbag Placem_Collection'!Q144),"")</f>
        <v>28.4</v>
      </c>
      <c r="AK363" s="267">
        <f>INDEX(Coordinates!$B$2:$B$197,MATCH(H363,Coordinates!$J$2:$J$197,0))</f>
        <v>-2.348618992</v>
      </c>
      <c r="AL363" s="267">
        <f>INDEX(Coordinates!$C$2:$C$197,MATCH(H363,Coordinates!$J$2:$J$197,0))</f>
        <v>34.049996030000003</v>
      </c>
      <c r="AM363" s="267" t="str">
        <f>IF(ISNUMBER(SEARCH("C", 'Dry_Litterbag Placem_Collection'!T144)),"YES","NO")</f>
        <v>NO</v>
      </c>
      <c r="AN363" s="267" t="str">
        <f>IF(ISNUMBER(SEARCH("H", 'Dry_Litterbag Placem_Collection'!T144)),"YES","NO")</f>
        <v>NO</v>
      </c>
      <c r="AO363" s="267" t="str">
        <f>IF(ISNUMBER(SEARCH("R", 'Dry_Litterbag Placem_Collection'!T144)),"YES","NO")</f>
        <v>NO</v>
      </c>
    </row>
    <row r="364" spans="1:41" ht="15" customHeight="1">
      <c r="A364" s="259" t="s">
        <v>2643</v>
      </c>
      <c r="B364" s="260">
        <f>'Dry_Litterbag Placem_Collection'!A145</f>
        <v>143</v>
      </c>
      <c r="C364" s="260" t="str">
        <f>'Dry_Litterbag Placem_Collection'!B145</f>
        <v xml:space="preserve">Mwantimba
</v>
      </c>
      <c r="D364" s="260" t="s">
        <v>2454</v>
      </c>
      <c r="E364" s="260" t="s">
        <v>20</v>
      </c>
      <c r="F364" s="260">
        <v>2</v>
      </c>
      <c r="G364" s="260" t="s">
        <v>3822</v>
      </c>
      <c r="H364" s="261" t="str">
        <f>'Dry_Litterbag Placem_Collection'!C145</f>
        <v>Wet_P2_T7</v>
      </c>
      <c r="I364" s="262" t="s">
        <v>2525</v>
      </c>
      <c r="J364" s="269" t="s">
        <v>298</v>
      </c>
      <c r="K364" s="260" t="str">
        <f>IF(ISBLANK('Dry_Litterbag Placem_Collection'!K145),"","R"&amp;""&amp;'Dry_Litterbag Placem_Collection'!K145)</f>
        <v>R774</v>
      </c>
      <c r="L364" s="264">
        <f>IFERROR(INDEX('Green_rooibos initial weight'!$C$5:$C$2000,MATCH(K364, 'Green_rooibos initial weight'!$A$5:$A$2000,0)),"")</f>
        <v>2.1629999999999998</v>
      </c>
      <c r="M364" s="264">
        <f>IFERROR(L364-(TBIcalc!$Q$9+TBIcalc!$Q$10),"")</f>
        <v>1.9131999999999998</v>
      </c>
      <c r="N364" s="385">
        <f>AVERAGE(Ashed_controlls!$K$12:$K$14)</f>
        <v>2.2816647271287041</v>
      </c>
      <c r="O364" s="264">
        <f t="shared" si="26"/>
        <v>1.8695471904405734</v>
      </c>
      <c r="P364" s="264">
        <f>IFERROR(INDEX('Both teabags AfterDry'!$D$2:$D$2000,MATCH(K364,'Both teabags AfterDry'!$A$2:$A$2000,0)),"")</f>
        <v>1.5979000000000001</v>
      </c>
      <c r="Q364" s="264">
        <f>IFERROR(IF(P364&gt;0,P364-(TBIcalc!$Q$9),""),"")</f>
        <v>1.4473</v>
      </c>
      <c r="R364" s="275">
        <f>IFERROR(INDEX('Ashed teabags dry'!$K$2:$K$2000,MATCH(K364,'Ashed teabags dry'!$A$2:$A$2000,0)),"")</f>
        <v>5.2657480314956748</v>
      </c>
      <c r="S364" s="275">
        <f t="shared" si="27"/>
        <v>1.371088828740163</v>
      </c>
      <c r="T364" s="265">
        <f>IF('Dry_Litterbag Placem_Collection'!E145="","",'Dry_Litterbag Placem_Collection'!E145)</f>
        <v>42939</v>
      </c>
      <c r="U364" s="265">
        <f>IF('Dry_Litterbag Placem_Collection'!G145="","",'Dry_Litterbag Placem_Collection'!G145)</f>
        <v>43008</v>
      </c>
      <c r="V364" s="266">
        <f t="shared" si="25"/>
        <v>69</v>
      </c>
      <c r="W364" s="264">
        <f t="shared" si="28"/>
        <v>0.46589999999999976</v>
      </c>
      <c r="X364" s="264">
        <f t="shared" si="29"/>
        <v>0.49845836170041036</v>
      </c>
      <c r="Y364" s="268">
        <f>IFERROR(INDEX(Rainfall_Dry!$O$2:$O$217,MATCH(B364, Rainfall_Dry!$A$2:$A$217,0)),"")</f>
        <v>136.27214243</v>
      </c>
      <c r="Z364" s="257">
        <v>33.96</v>
      </c>
      <c r="AA364" s="257">
        <v>8.9200000000000017</v>
      </c>
      <c r="AB364" s="257">
        <v>57.12</v>
      </c>
      <c r="AC364" s="258" t="s">
        <v>2654</v>
      </c>
      <c r="AD364" s="257">
        <v>8.0720551996057193</v>
      </c>
      <c r="AE364">
        <f>IF('WetLitterbags placem_collection'!AB145="","",'WetLitterbags placem_collection'!AB145)</f>
        <v>2</v>
      </c>
      <c r="AF364">
        <f>IF('WetLitterbags placem_collection'!Z145="","",'WetLitterbags placem_collection'!Z145)</f>
        <v>23.4</v>
      </c>
      <c r="AG364" s="243" t="str">
        <f>IF('WetLitterbags placem_collection'!AA145="","",'WetLitterbags placem_collection'!AA145)</f>
        <v>G</v>
      </c>
      <c r="AH364">
        <f>IF('WetLitterbags placem_collection'!AC145="","",'WetLitterbags placem_collection'!AC145)</f>
        <v>1</v>
      </c>
      <c r="AI364">
        <f>IFERROR(AVERAGE('Dry_Litterbag Placem_Collection'!O145,'Dry_Litterbag Placem_Collection'!R145),"")</f>
        <v>12.5</v>
      </c>
      <c r="AJ364" s="268">
        <f>IFERROR(AVERAGE('Dry_Litterbag Placem_Collection'!N145,'Dry_Litterbag Placem_Collection'!Q145),"")</f>
        <v>28</v>
      </c>
      <c r="AK364" s="267">
        <f>INDEX(Coordinates!$B$2:$B$197,MATCH(H364,Coordinates!$J$2:$J$197,0))</f>
        <v>-2.3484970349999998</v>
      </c>
      <c r="AL364" s="267">
        <f>INDEX(Coordinates!$C$2:$C$197,MATCH(H364,Coordinates!$J$2:$J$197,0))</f>
        <v>34.049979010000001</v>
      </c>
      <c r="AM364" s="267" t="str">
        <f>IF(ISNUMBER(SEARCH("C", 'Dry_Litterbag Placem_Collection'!T145)),"YES","NO")</f>
        <v>NO</v>
      </c>
      <c r="AN364" s="267" t="str">
        <f>IF(ISNUMBER(SEARCH("H", 'Dry_Litterbag Placem_Collection'!T145)),"YES","NO")</f>
        <v>NO</v>
      </c>
      <c r="AO364" s="267" t="str">
        <f>IF(ISNUMBER(SEARCH("R", 'Dry_Litterbag Placem_Collection'!T145)),"YES","NO")</f>
        <v>NO</v>
      </c>
    </row>
    <row r="365" spans="1:41" ht="15" customHeight="1">
      <c r="A365" s="259" t="s">
        <v>2643</v>
      </c>
      <c r="B365" s="260">
        <f>'Dry_Litterbag Placem_Collection'!A146</f>
        <v>144</v>
      </c>
      <c r="C365" s="260" t="str">
        <f>'Dry_Litterbag Placem_Collection'!B146</f>
        <v xml:space="preserve">Mwantimba
</v>
      </c>
      <c r="D365" s="260" t="s">
        <v>2454</v>
      </c>
      <c r="E365" s="260" t="s">
        <v>20</v>
      </c>
      <c r="F365" s="260">
        <v>2</v>
      </c>
      <c r="G365" s="260" t="s">
        <v>3822</v>
      </c>
      <c r="H365" s="261" t="str">
        <f>'Dry_Litterbag Placem_Collection'!C146</f>
        <v>Wet_P2_T8</v>
      </c>
      <c r="I365" s="262" t="s">
        <v>2525</v>
      </c>
      <c r="J365" s="269" t="s">
        <v>298</v>
      </c>
      <c r="K365" s="260" t="str">
        <f>IF(ISBLANK('Dry_Litterbag Placem_Collection'!K146),"","R"&amp;""&amp;'Dry_Litterbag Placem_Collection'!K146)</f>
        <v>R779</v>
      </c>
      <c r="L365" s="264">
        <f>IFERROR(INDEX('Green_rooibos initial weight'!$C$5:$C$2000,MATCH(K365, 'Green_rooibos initial weight'!$A$5:$A$2000,0)),"")</f>
        <v>2.16</v>
      </c>
      <c r="M365" s="264">
        <f>IFERROR(L365-(TBIcalc!$Q$9+TBIcalc!$Q$10),"")</f>
        <v>1.9102000000000001</v>
      </c>
      <c r="N365" s="385">
        <f>AVERAGE(Ashed_controlls!$K$12:$K$14)</f>
        <v>2.2816647271287041</v>
      </c>
      <c r="O365" s="264">
        <f t="shared" si="26"/>
        <v>1.8666156403823877</v>
      </c>
      <c r="P365" s="264">
        <f>IFERROR(INDEX('Both teabags AfterDry'!$D$2:$D$2000,MATCH(K365,'Both teabags AfterDry'!$A$2:$A$2000,0)),"")</f>
        <v>0.17680000000000001</v>
      </c>
      <c r="Q365" s="264">
        <f>IFERROR(IF(P365&gt;0,P365-(TBIcalc!$Q$9),""),"")</f>
        <v>2.6200000000000001E-2</v>
      </c>
      <c r="R365" s="275">
        <f>IFERROR(INDEX('Ashed teabags dry'!$K$2:$K$2000,MATCH(K365,'Ashed teabags dry'!$A$2:$A$2000,0)),"")</f>
        <v>0</v>
      </c>
      <c r="S365" s="275">
        <f t="shared" si="27"/>
        <v>2.6200000000000001E-2</v>
      </c>
      <c r="T365" s="265">
        <f>IF('Dry_Litterbag Placem_Collection'!E146="","",'Dry_Litterbag Placem_Collection'!E146)</f>
        <v>42939</v>
      </c>
      <c r="U365" s="265">
        <f>IF('Dry_Litterbag Placem_Collection'!G146="","",'Dry_Litterbag Placem_Collection'!G146)</f>
        <v>43008</v>
      </c>
      <c r="V365" s="266">
        <f t="shared" si="25"/>
        <v>69</v>
      </c>
      <c r="W365" s="264">
        <f t="shared" si="28"/>
        <v>1.8840000000000001</v>
      </c>
      <c r="X365" s="264">
        <f t="shared" si="29"/>
        <v>1.8404156403823877</v>
      </c>
      <c r="Y365" s="268">
        <f>IFERROR(INDEX(Rainfall_Dry!$O$2:$O$217,MATCH(B365, Rainfall_Dry!$A$2:$A$217,0)),"")</f>
        <v>136.27214243</v>
      </c>
      <c r="Z365" s="257">
        <v>33.96</v>
      </c>
      <c r="AA365" s="257">
        <v>8.9200000000000017</v>
      </c>
      <c r="AB365" s="257">
        <v>57.12</v>
      </c>
      <c r="AC365" s="258" t="s">
        <v>2654</v>
      </c>
      <c r="AD365" s="257">
        <v>9.0720551996057193</v>
      </c>
      <c r="AE365">
        <f>IF('WetLitterbags placem_collection'!AB146="","",'WetLitterbags placem_collection'!AB146)</f>
        <v>2.5</v>
      </c>
      <c r="AF365">
        <f>IF('WetLitterbags placem_collection'!Z146="","",'WetLitterbags placem_collection'!Z146)</f>
        <v>19.8</v>
      </c>
      <c r="AG365" s="243" t="str">
        <f>IF('WetLitterbags placem_collection'!AA146="","",'WetLitterbags placem_collection'!AA146)</f>
        <v>G</v>
      </c>
      <c r="AH365">
        <f>IF('WetLitterbags placem_collection'!AC146="","",'WetLitterbags placem_collection'!AC146)</f>
        <v>1</v>
      </c>
      <c r="AI365">
        <f>IFERROR(AVERAGE('Dry_Litterbag Placem_Collection'!O146,'Dry_Litterbag Placem_Collection'!R146),"")</f>
        <v>9.4499999999999993</v>
      </c>
      <c r="AJ365" s="268">
        <f>IFERROR(AVERAGE('Dry_Litterbag Placem_Collection'!N146,'Dry_Litterbag Placem_Collection'!Q146),"")</f>
        <v>29.15</v>
      </c>
      <c r="AK365" s="267">
        <f>INDEX(Coordinates!$B$2:$B$197,MATCH(H365,Coordinates!$J$2:$J$197,0))</f>
        <v>-2.3486560399999998</v>
      </c>
      <c r="AL365" s="267">
        <f>INDEX(Coordinates!$C$2:$C$197,MATCH(H365,Coordinates!$J$2:$J$197,0))</f>
        <v>34.049895020000001</v>
      </c>
      <c r="AM365" s="267" t="str">
        <f>IF(ISNUMBER(SEARCH("C", 'Dry_Litterbag Placem_Collection'!T146)),"YES","NO")</f>
        <v>YES</v>
      </c>
      <c r="AN365" s="267" t="str">
        <f>IF(ISNUMBER(SEARCH("H", 'Dry_Litterbag Placem_Collection'!T146)),"YES","NO")</f>
        <v>YES</v>
      </c>
      <c r="AO365" s="267" t="str">
        <f>IF(ISNUMBER(SEARCH("R", 'Dry_Litterbag Placem_Collection'!T146)),"YES","NO")</f>
        <v>NO</v>
      </c>
    </row>
    <row r="366" spans="1:41" ht="15" customHeight="1">
      <c r="A366" s="259" t="s">
        <v>2643</v>
      </c>
      <c r="B366" s="260">
        <f>'Dry_Litterbag Placem_Collection'!A147</f>
        <v>145</v>
      </c>
      <c r="C366" s="260" t="str">
        <f>'Dry_Litterbag Placem_Collection'!B147</f>
        <v xml:space="preserve">Mwantimba
</v>
      </c>
      <c r="D366" s="260" t="s">
        <v>2454</v>
      </c>
      <c r="E366" s="260" t="s">
        <v>20</v>
      </c>
      <c r="F366" s="260">
        <v>3</v>
      </c>
      <c r="G366" s="260" t="s">
        <v>3823</v>
      </c>
      <c r="H366" s="261" t="str">
        <f>'Dry_Litterbag Placem_Collection'!C147</f>
        <v>Wet_P3_T1</v>
      </c>
      <c r="I366" s="262" t="s">
        <v>2525</v>
      </c>
      <c r="J366" s="269" t="s">
        <v>298</v>
      </c>
      <c r="K366" s="260" t="str">
        <f>IF(ISBLANK('Dry_Litterbag Placem_Collection'!K147),"","R"&amp;""&amp;'Dry_Litterbag Placem_Collection'!K147)</f>
        <v>R728</v>
      </c>
      <c r="L366" s="264">
        <f>IFERROR(INDEX('Green_rooibos initial weight'!$C$5:$C$2000,MATCH(K366, 'Green_rooibos initial weight'!$A$5:$A$2000,0)),"")</f>
        <v>2.2429999999999999</v>
      </c>
      <c r="M366" s="264">
        <f>IFERROR(L366-(TBIcalc!$Q$9+TBIcalc!$Q$10),"")</f>
        <v>1.9931999999999999</v>
      </c>
      <c r="N366" s="385">
        <f>AVERAGE(Ashed_controlls!$K$12:$K$14)</f>
        <v>2.2816647271287041</v>
      </c>
      <c r="O366" s="264">
        <f t="shared" si="26"/>
        <v>1.9477218586588705</v>
      </c>
      <c r="P366" s="264">
        <f>IFERROR(INDEX('Both teabags AfterDry'!$D$2:$D$2000,MATCH(K366,'Both teabags AfterDry'!$A$2:$A$2000,0)),"")</f>
        <v>1.9579</v>
      </c>
      <c r="Q366" s="264">
        <f>IFERROR(IF(P366&gt;0,P366-(TBIcalc!$Q$9),""),"")</f>
        <v>1.8072999999999999</v>
      </c>
      <c r="R366" s="275">
        <f>IFERROR(INDEX('Ashed teabags dry'!$K$2:$K$2000,MATCH(K366,'Ashed teabags dry'!$A$2:$A$2000,0)),"")</f>
        <v>3.1746031746032655</v>
      </c>
      <c r="S366" s="275">
        <f t="shared" si="27"/>
        <v>1.7499253968253952</v>
      </c>
      <c r="T366" s="265">
        <f>IF('Dry_Litterbag Placem_Collection'!E147="","",'Dry_Litterbag Placem_Collection'!E147)</f>
        <v>42939</v>
      </c>
      <c r="U366" s="265">
        <f>IF('Dry_Litterbag Placem_Collection'!G147="","",'Dry_Litterbag Placem_Collection'!G147)</f>
        <v>43010</v>
      </c>
      <c r="V366" s="266">
        <f t="shared" si="25"/>
        <v>71</v>
      </c>
      <c r="W366" s="264">
        <f t="shared" si="28"/>
        <v>0.18589999999999995</v>
      </c>
      <c r="X366" s="264">
        <f t="shared" si="29"/>
        <v>0.19779646183347532</v>
      </c>
      <c r="Y366" s="268">
        <f>IFERROR(INDEX(Rainfall_Dry!$O$2:$O$217,MATCH(B366, Rainfall_Dry!$A$2:$A$217,0)),"")</f>
        <v>137.19979645800001</v>
      </c>
      <c r="Z366" s="257">
        <v>39.96</v>
      </c>
      <c r="AA366" s="257">
        <v>12.920000000000002</v>
      </c>
      <c r="AB366" s="257">
        <v>47.12</v>
      </c>
      <c r="AC366" s="258" t="s">
        <v>2658</v>
      </c>
      <c r="AD366" s="257">
        <v>1.6549531789058647</v>
      </c>
      <c r="AE366">
        <f>IF('WetLitterbags placem_collection'!AB147="","",'WetLitterbags placem_collection'!AB147)</f>
        <v>3.95</v>
      </c>
      <c r="AF366">
        <f>IF('WetLitterbags placem_collection'!Z147="","",'WetLitterbags placem_collection'!Z147)</f>
        <v>13</v>
      </c>
      <c r="AG366" s="243" t="str">
        <f>IF('WetLitterbags placem_collection'!AA147="","",'WetLitterbags placem_collection'!AA147)</f>
        <v>O</v>
      </c>
      <c r="AH366">
        <f>IF('WetLitterbags placem_collection'!AC147="","",'WetLitterbags placem_collection'!AC147)</f>
        <v>0</v>
      </c>
      <c r="AI366">
        <f>IFERROR(AVERAGE('Dry_Litterbag Placem_Collection'!O147,'Dry_Litterbag Placem_Collection'!R147),"")</f>
        <v>6.35</v>
      </c>
      <c r="AJ366" s="268">
        <f>IFERROR(AVERAGE('Dry_Litterbag Placem_Collection'!N147,'Dry_Litterbag Placem_Collection'!Q147),"")</f>
        <v>30</v>
      </c>
      <c r="AK366" s="267">
        <f>INDEX(Coordinates!$B$2:$B$197,MATCH(H366,Coordinates!$J$2:$J$197,0))</f>
        <v>-2.3675269729999999</v>
      </c>
      <c r="AL366" s="267">
        <f>INDEX(Coordinates!$C$2:$C$197,MATCH(H366,Coordinates!$J$2:$J$197,0))</f>
        <v>34.06035799</v>
      </c>
      <c r="AM366" s="267" t="str">
        <f>IF(ISNUMBER(SEARCH("C", 'Dry_Litterbag Placem_Collection'!T147)),"YES","NO")</f>
        <v>NO</v>
      </c>
      <c r="AN366" s="267" t="str">
        <f>IF(ISNUMBER(SEARCH("H", 'Dry_Litterbag Placem_Collection'!T147)),"YES","NO")</f>
        <v>NO</v>
      </c>
      <c r="AO366" s="267" t="str">
        <f>IF(ISNUMBER(SEARCH("R", 'Dry_Litterbag Placem_Collection'!T147)),"YES","NO")</f>
        <v>NO</v>
      </c>
    </row>
    <row r="367" spans="1:41" ht="15" customHeight="1">
      <c r="A367" s="259" t="s">
        <v>2643</v>
      </c>
      <c r="B367" s="260">
        <f>'Dry_Litterbag Placem_Collection'!A148</f>
        <v>146</v>
      </c>
      <c r="C367" s="260" t="str">
        <f>'Dry_Litterbag Placem_Collection'!B148</f>
        <v xml:space="preserve">Mwantimba
</v>
      </c>
      <c r="D367" s="260" t="s">
        <v>2454</v>
      </c>
      <c r="E367" s="260" t="s">
        <v>20</v>
      </c>
      <c r="F367" s="260">
        <v>3</v>
      </c>
      <c r="G367" s="260" t="s">
        <v>3823</v>
      </c>
      <c r="H367" s="261" t="str">
        <f>'Dry_Litterbag Placem_Collection'!C148</f>
        <v>Wet_P3_T2</v>
      </c>
      <c r="I367" s="262" t="s">
        <v>2525</v>
      </c>
      <c r="J367" s="269" t="s">
        <v>298</v>
      </c>
      <c r="K367" s="260" t="str">
        <f>IF(ISBLANK('Dry_Litterbag Placem_Collection'!K148),"","R"&amp;""&amp;'Dry_Litterbag Placem_Collection'!K148)</f>
        <v>R13</v>
      </c>
      <c r="L367" s="264">
        <f>IFERROR(INDEX('Green_rooibos initial weight'!$C$5:$C$2000,MATCH(K367, 'Green_rooibos initial weight'!$A$5:$A$2000,0)),"")</f>
        <v>2.2490000000000001</v>
      </c>
      <c r="M367" s="264">
        <f>IFERROR(L367-(TBIcalc!$Q$9+TBIcalc!$Q$10),"")</f>
        <v>1.9992000000000001</v>
      </c>
      <c r="N367" s="385">
        <f>AVERAGE(Ashed_controlls!$K$12:$K$14)</f>
        <v>2.2816647271287041</v>
      </c>
      <c r="O367" s="264">
        <f t="shared" si="26"/>
        <v>1.953584958775243</v>
      </c>
      <c r="P367" s="264">
        <f>IFERROR(INDEX('Both teabags AfterDry'!$D$2:$D$2000,MATCH(K367,'Both teabags AfterDry'!$A$2:$A$2000,0)),"")</f>
        <v>0.68400000000000005</v>
      </c>
      <c r="Q367" s="264">
        <f>IFERROR(IF(P367&gt;0,P367-(TBIcalc!$Q$9),""),"")</f>
        <v>0.5334000000000001</v>
      </c>
      <c r="R367" s="275">
        <f>IFERROR(INDEX('Ashed teabags dry'!$K$2:$K$2000,MATCH(K367,'Ashed teabags dry'!$A$2:$A$2000,0)),"")</f>
        <v>88.478802992518979</v>
      </c>
      <c r="S367" s="275">
        <f t="shared" si="27"/>
        <v>6.1454064837903777E-2</v>
      </c>
      <c r="T367" s="265">
        <f>IF('Dry_Litterbag Placem_Collection'!E148="","",'Dry_Litterbag Placem_Collection'!E148)</f>
        <v>42939</v>
      </c>
      <c r="U367" s="265">
        <f>IF('Dry_Litterbag Placem_Collection'!G148="","",'Dry_Litterbag Placem_Collection'!G148)</f>
        <v>43010</v>
      </c>
      <c r="V367" s="266">
        <f t="shared" si="25"/>
        <v>71</v>
      </c>
      <c r="W367" s="264">
        <f t="shared" si="28"/>
        <v>1.4658</v>
      </c>
      <c r="X367" s="264">
        <f t="shared" si="29"/>
        <v>1.8921308939373391</v>
      </c>
      <c r="Y367" s="268">
        <f>IFERROR(INDEX(Rainfall_Dry!$O$2:$O$217,MATCH(B367, Rainfall_Dry!$A$2:$A$217,0)),"")</f>
        <v>137.19979645800001</v>
      </c>
      <c r="Z367" s="257">
        <v>39.96</v>
      </c>
      <c r="AA367" s="257">
        <v>12.920000000000002</v>
      </c>
      <c r="AB367" s="257">
        <v>47.12</v>
      </c>
      <c r="AC367" s="258" t="s">
        <v>2658</v>
      </c>
      <c r="AD367" s="257">
        <v>2.6549531789058598</v>
      </c>
      <c r="AE367">
        <f>IF('WetLitterbags placem_collection'!AB148="","",'WetLitterbags placem_collection'!AB148)</f>
        <v>2.75</v>
      </c>
      <c r="AF367">
        <f>IF('WetLitterbags placem_collection'!Z148="","",'WetLitterbags placem_collection'!Z148)</f>
        <v>17.7</v>
      </c>
      <c r="AG367" s="243" t="str">
        <f>IF('WetLitterbags placem_collection'!AA148="","",'WetLitterbags placem_collection'!AA148)</f>
        <v>O</v>
      </c>
      <c r="AH367">
        <f>IF('WetLitterbags placem_collection'!AC148="","",'WetLitterbags placem_collection'!AC148)</f>
        <v>1</v>
      </c>
      <c r="AI367">
        <f>IFERROR(AVERAGE('Dry_Litterbag Placem_Collection'!O148,'Dry_Litterbag Placem_Collection'!R148),"")</f>
        <v>6.1</v>
      </c>
      <c r="AJ367" s="268">
        <f>IFERROR(AVERAGE('Dry_Litterbag Placem_Collection'!N148,'Dry_Litterbag Placem_Collection'!Q148),"")</f>
        <v>31</v>
      </c>
      <c r="AK367" s="267">
        <f>INDEX(Coordinates!$B$2:$B$197,MATCH(H367,Coordinates!$J$2:$J$197,0))</f>
        <v>-2.3675380370000001</v>
      </c>
      <c r="AL367" s="267">
        <f>INDEX(Coordinates!$C$2:$C$197,MATCH(H367,Coordinates!$J$2:$J$197,0))</f>
        <v>34.060381960000001</v>
      </c>
      <c r="AM367" s="267" t="str">
        <f>IF(ISNUMBER(SEARCH("C", 'Dry_Litterbag Placem_Collection'!T148)),"YES","NO")</f>
        <v>NO</v>
      </c>
      <c r="AN367" s="267" t="str">
        <f>IF(ISNUMBER(SEARCH("H", 'Dry_Litterbag Placem_Collection'!T148)),"YES","NO")</f>
        <v>YES</v>
      </c>
      <c r="AO367" s="267" t="str">
        <f>IF(ISNUMBER(SEARCH("R", 'Dry_Litterbag Placem_Collection'!T148)),"YES","NO")</f>
        <v>NO</v>
      </c>
    </row>
    <row r="368" spans="1:41" ht="15" customHeight="1">
      <c r="A368" s="259" t="s">
        <v>2643</v>
      </c>
      <c r="B368" s="260">
        <f>'Dry_Litterbag Placem_Collection'!A149</f>
        <v>147</v>
      </c>
      <c r="C368" s="260" t="str">
        <f>'Dry_Litterbag Placem_Collection'!B149</f>
        <v xml:space="preserve">Mwantimba
</v>
      </c>
      <c r="D368" s="260" t="s">
        <v>2454</v>
      </c>
      <c r="E368" s="260" t="s">
        <v>20</v>
      </c>
      <c r="F368" s="260">
        <v>3</v>
      </c>
      <c r="G368" s="260" t="s">
        <v>3823</v>
      </c>
      <c r="H368" s="261" t="str">
        <f>'Dry_Litterbag Placem_Collection'!C149</f>
        <v>Wet_P3_T3</v>
      </c>
      <c r="I368" s="262" t="s">
        <v>2525</v>
      </c>
      <c r="J368" s="269" t="s">
        <v>298</v>
      </c>
      <c r="K368" s="260" t="str">
        <f>IF(ISBLANK('Dry_Litterbag Placem_Collection'!K149),"","R"&amp;""&amp;'Dry_Litterbag Placem_Collection'!K149)</f>
        <v>R832</v>
      </c>
      <c r="L368" s="264">
        <f>IFERROR(INDEX('Green_rooibos initial weight'!$C$5:$C$2000,MATCH(K368, 'Green_rooibos initial weight'!$A$5:$A$2000,0)),"")</f>
        <v>2.2149999999999999</v>
      </c>
      <c r="M368" s="264">
        <f>IFERROR(L368-(TBIcalc!$Q$9+TBIcalc!$Q$10),"")</f>
        <v>1.9651999999999998</v>
      </c>
      <c r="N368" s="385">
        <f>AVERAGE(Ashed_controlls!$K$12:$K$14)</f>
        <v>2.2816647271287041</v>
      </c>
      <c r="O368" s="264">
        <f t="shared" si="26"/>
        <v>1.9203607247824666</v>
      </c>
      <c r="P368" s="264">
        <f>IFERROR(INDEX('Both teabags AfterDry'!$D$2:$D$2000,MATCH(K368,'Both teabags AfterDry'!$A$2:$A$2000,0)),"")</f>
        <v>1.7279</v>
      </c>
      <c r="Q368" s="264">
        <f>IFERROR(IF(P368&gt;0,P368-(TBIcalc!$Q$9),""),"")</f>
        <v>1.5772999999999999</v>
      </c>
      <c r="R368" s="275">
        <f>IFERROR(INDEX('Ashed teabags dry'!$K$2:$K$2000,MATCH(K368,'Ashed teabags dry'!$A$2:$A$2000,0)),"")</f>
        <v>3.1790556334733524</v>
      </c>
      <c r="S368" s="275">
        <f t="shared" si="27"/>
        <v>1.5271567554932248</v>
      </c>
      <c r="T368" s="265">
        <f>IF('Dry_Litterbag Placem_Collection'!E149="","",'Dry_Litterbag Placem_Collection'!E149)</f>
        <v>42939</v>
      </c>
      <c r="U368" s="265">
        <f>IF('Dry_Litterbag Placem_Collection'!G149="","",'Dry_Litterbag Placem_Collection'!G149)</f>
        <v>43010</v>
      </c>
      <c r="V368" s="266">
        <f t="shared" si="25"/>
        <v>71</v>
      </c>
      <c r="W368" s="264">
        <f t="shared" si="28"/>
        <v>0.38789999999999991</v>
      </c>
      <c r="X368" s="264">
        <f t="shared" si="29"/>
        <v>0.39320396928924173</v>
      </c>
      <c r="Y368" s="268">
        <f>IFERROR(INDEX(Rainfall_Dry!$O$2:$O$217,MATCH(B368, Rainfall_Dry!$A$2:$A$217,0)),"")</f>
        <v>137.19979645800001</v>
      </c>
      <c r="Z368" s="257">
        <v>39.96</v>
      </c>
      <c r="AA368" s="257">
        <v>12.920000000000002</v>
      </c>
      <c r="AB368" s="257">
        <v>47.12</v>
      </c>
      <c r="AC368" s="258" t="s">
        <v>2658</v>
      </c>
      <c r="AD368" s="257">
        <v>3.6549531789058598</v>
      </c>
      <c r="AE368">
        <f>IF('WetLitterbags placem_collection'!AB149="","",'WetLitterbags placem_collection'!AB149)</f>
        <v>3.6</v>
      </c>
      <c r="AF368">
        <f>IF('WetLitterbags placem_collection'!Z149="","",'WetLitterbags placem_collection'!Z149)</f>
        <v>19</v>
      </c>
      <c r="AG368" s="243" t="str">
        <f>IF('WetLitterbags placem_collection'!AA149="","",'WetLitterbags placem_collection'!AA149)</f>
        <v>M</v>
      </c>
      <c r="AH368">
        <f>IF('WetLitterbags placem_collection'!AC149="","",'WetLitterbags placem_collection'!AC149)</f>
        <v>1</v>
      </c>
      <c r="AI368">
        <f>IFERROR(AVERAGE('Dry_Litterbag Placem_Collection'!O149,'Dry_Litterbag Placem_Collection'!R149),"")</f>
        <v>5.6</v>
      </c>
      <c r="AJ368" s="268">
        <f>IFERROR(AVERAGE('Dry_Litterbag Placem_Collection'!N149,'Dry_Litterbag Placem_Collection'!Q149),"")</f>
        <v>29.900000000000002</v>
      </c>
      <c r="AK368" s="267">
        <f>INDEX(Coordinates!$B$2:$B$197,MATCH(H368,Coordinates!$J$2:$J$197,0))</f>
        <v>-2.3675780180000001</v>
      </c>
      <c r="AL368" s="267">
        <f>INDEX(Coordinates!$C$2:$C$197,MATCH(H368,Coordinates!$J$2:$J$197,0))</f>
        <v>34.060323029999999</v>
      </c>
      <c r="AM368" s="267" t="str">
        <f>IF(ISNUMBER(SEARCH("C", 'Dry_Litterbag Placem_Collection'!T149)),"YES","NO")</f>
        <v>NO</v>
      </c>
      <c r="AN368" s="267" t="str">
        <f>IF(ISNUMBER(SEARCH("H", 'Dry_Litterbag Placem_Collection'!T149)),"YES","NO")</f>
        <v>YES</v>
      </c>
      <c r="AO368" s="267" t="str">
        <f>IF(ISNUMBER(SEARCH("R", 'Dry_Litterbag Placem_Collection'!T149)),"YES","NO")</f>
        <v>NO</v>
      </c>
    </row>
    <row r="369" spans="1:41" ht="15" customHeight="1">
      <c r="A369" s="259" t="s">
        <v>2643</v>
      </c>
      <c r="B369" s="260">
        <f>'Dry_Litterbag Placem_Collection'!A150</f>
        <v>148</v>
      </c>
      <c r="C369" s="260" t="str">
        <f>'Dry_Litterbag Placem_Collection'!B150</f>
        <v xml:space="preserve">Mwantimba
</v>
      </c>
      <c r="D369" s="260" t="s">
        <v>2454</v>
      </c>
      <c r="E369" s="260" t="s">
        <v>20</v>
      </c>
      <c r="F369" s="260">
        <v>3</v>
      </c>
      <c r="G369" s="260" t="s">
        <v>3823</v>
      </c>
      <c r="H369" s="261" t="str">
        <f>'Dry_Litterbag Placem_Collection'!C150</f>
        <v>Wet_P3_T4</v>
      </c>
      <c r="I369" s="262" t="s">
        <v>2525</v>
      </c>
      <c r="J369" s="269" t="s">
        <v>298</v>
      </c>
      <c r="K369" s="260" t="str">
        <f>IF(ISBLANK('Dry_Litterbag Placem_Collection'!K150),"","R"&amp;""&amp;'Dry_Litterbag Placem_Collection'!K150)</f>
        <v>R823</v>
      </c>
      <c r="L369" s="264">
        <f>IFERROR(INDEX('Green_rooibos initial weight'!$C$5:$C$2000,MATCH(K369, 'Green_rooibos initial weight'!$A$5:$A$2000,0)),"")</f>
        <v>2.214</v>
      </c>
      <c r="M369" s="264">
        <f>IFERROR(L369-(TBIcalc!$Q$9+TBIcalc!$Q$10),"")</f>
        <v>1.9641999999999999</v>
      </c>
      <c r="N369" s="385">
        <f>AVERAGE(Ashed_controlls!$K$12:$K$14)</f>
        <v>2.2816647271287041</v>
      </c>
      <c r="O369" s="264">
        <f t="shared" si="26"/>
        <v>1.919383541429738</v>
      </c>
      <c r="P369" s="264">
        <f>IFERROR(INDEX('Both teabags AfterDry'!$D$2:$D$2000,MATCH(K369,'Both teabags AfterDry'!$A$2:$A$2000,0)),"")</f>
        <v>0</v>
      </c>
      <c r="Q369" s="264" t="str">
        <f>IFERROR(IF(P369&gt;0,P369-(TBIcalc!$Q$9),""),"")</f>
        <v/>
      </c>
      <c r="R369" s="275">
        <f>IFERROR(INDEX('Ashed teabags dry'!$K$2:$K$2000,MATCH(K369,'Ashed teabags dry'!$A$2:$A$2000,0)),"")</f>
        <v>90.2597402597399</v>
      </c>
      <c r="S369" s="275" t="str">
        <f t="shared" si="27"/>
        <v/>
      </c>
      <c r="T369" s="265">
        <f>IF('Dry_Litterbag Placem_Collection'!E150="","",'Dry_Litterbag Placem_Collection'!E150)</f>
        <v>42939</v>
      </c>
      <c r="U369" s="265">
        <f>IF('Dry_Litterbag Placem_Collection'!G150="","",'Dry_Litterbag Placem_Collection'!G150)</f>
        <v>43010</v>
      </c>
      <c r="V369" s="266">
        <f t="shared" si="25"/>
        <v>71</v>
      </c>
      <c r="W369" s="264" t="str">
        <f t="shared" si="28"/>
        <v/>
      </c>
      <c r="X369" s="264" t="str">
        <f t="shared" si="29"/>
        <v/>
      </c>
      <c r="Y369" s="268">
        <f>IFERROR(INDEX(Rainfall_Dry!$O$2:$O$217,MATCH(B369, Rainfall_Dry!$A$2:$A$217,0)),"")</f>
        <v>137.19979645800001</v>
      </c>
      <c r="Z369" s="257">
        <v>39.96</v>
      </c>
      <c r="AA369" s="257">
        <v>12.920000000000002</v>
      </c>
      <c r="AB369" s="257">
        <v>47.12</v>
      </c>
      <c r="AC369" s="258" t="s">
        <v>2658</v>
      </c>
      <c r="AD369" s="257">
        <v>4.6549531789058696</v>
      </c>
      <c r="AE369">
        <f>IF('WetLitterbags placem_collection'!AB150="","",'WetLitterbags placem_collection'!AB150)</f>
        <v>4.9000000000000004</v>
      </c>
      <c r="AF369">
        <f>IF('WetLitterbags placem_collection'!Z150="","",'WetLitterbags placem_collection'!Z150)</f>
        <v>17.489999999999998</v>
      </c>
      <c r="AG369" s="243" t="str">
        <f>IF('WetLitterbags placem_collection'!AA150="","",'WetLitterbags placem_collection'!AA150)</f>
        <v>M</v>
      </c>
      <c r="AH369">
        <f>IF('WetLitterbags placem_collection'!AC150="","",'WetLitterbags placem_collection'!AC150)</f>
        <v>1</v>
      </c>
      <c r="AI369">
        <f>IFERROR(AVERAGE('Dry_Litterbag Placem_Collection'!O150,'Dry_Litterbag Placem_Collection'!R150),"")</f>
        <v>6.5</v>
      </c>
      <c r="AJ369" s="268">
        <f>IFERROR(AVERAGE('Dry_Litterbag Placem_Collection'!N150,'Dry_Litterbag Placem_Collection'!Q150),"")</f>
        <v>31.6</v>
      </c>
      <c r="AK369" s="267">
        <f>INDEX(Coordinates!$B$2:$B$197,MATCH(H369,Coordinates!$J$2:$J$197,0))</f>
        <v>-2.3676269689999998</v>
      </c>
      <c r="AL369" s="267">
        <f>INDEX(Coordinates!$C$2:$C$197,MATCH(H369,Coordinates!$J$2:$J$197,0))</f>
        <v>34.060310960000002</v>
      </c>
      <c r="AM369" s="267" t="str">
        <f>IF(ISNUMBER(SEARCH("C", 'Dry_Litterbag Placem_Collection'!T150)),"YES","NO")</f>
        <v>YES</v>
      </c>
      <c r="AN369" s="267" t="str">
        <f>IF(ISNUMBER(SEARCH("H", 'Dry_Litterbag Placem_Collection'!T150)),"YES","NO")</f>
        <v>YES</v>
      </c>
      <c r="AO369" s="267" t="str">
        <f>IF(ISNUMBER(SEARCH("R", 'Dry_Litterbag Placem_Collection'!T150)),"YES","NO")</f>
        <v>NO</v>
      </c>
    </row>
    <row r="370" spans="1:41" ht="15" customHeight="1">
      <c r="A370" s="259" t="s">
        <v>2643</v>
      </c>
      <c r="B370" s="260">
        <f>'Dry_Litterbag Placem_Collection'!A151</f>
        <v>149</v>
      </c>
      <c r="C370" s="260" t="str">
        <f>'Dry_Litterbag Placem_Collection'!B151</f>
        <v xml:space="preserve">Mwantimba
</v>
      </c>
      <c r="D370" s="260" t="s">
        <v>2454</v>
      </c>
      <c r="E370" s="260" t="s">
        <v>20</v>
      </c>
      <c r="F370" s="260">
        <v>3</v>
      </c>
      <c r="G370" s="260" t="s">
        <v>3823</v>
      </c>
      <c r="H370" s="261" t="str">
        <f>'Dry_Litterbag Placem_Collection'!C151</f>
        <v>Wet_P3_T5</v>
      </c>
      <c r="I370" s="262" t="s">
        <v>2525</v>
      </c>
      <c r="J370" s="269" t="s">
        <v>298</v>
      </c>
      <c r="K370" s="260" t="str">
        <f>IF(ISBLANK('Dry_Litterbag Placem_Collection'!K151),"","R"&amp;""&amp;'Dry_Litterbag Placem_Collection'!K151)</f>
        <v>R703</v>
      </c>
      <c r="L370" s="264">
        <f>IFERROR(INDEX('Green_rooibos initial weight'!$C$5:$C$2000,MATCH(K370, 'Green_rooibos initial weight'!$A$5:$A$2000,0)),"")</f>
        <v>2.1379999999999999</v>
      </c>
      <c r="M370" s="264">
        <f>IFERROR(L370-(TBIcalc!$Q$9+TBIcalc!$Q$10),"")</f>
        <v>1.8881999999999999</v>
      </c>
      <c r="N370" s="385">
        <f>AVERAGE(Ashed_controlls!$K$12:$K$14)</f>
        <v>2.2816647271287041</v>
      </c>
      <c r="O370" s="264">
        <f t="shared" si="26"/>
        <v>1.8451176066223556</v>
      </c>
      <c r="P370" s="264">
        <f>IFERROR(INDEX('Both teabags AfterDry'!$D$2:$D$2000,MATCH(K370,'Both teabags AfterDry'!$A$2:$A$2000,0)),"")</f>
        <v>1.9032</v>
      </c>
      <c r="Q370" s="264">
        <f>IFERROR(IF(P370&gt;0,P370-(TBIcalc!$Q$9),""),"")</f>
        <v>1.7525999999999999</v>
      </c>
      <c r="R370" s="275">
        <f>IFERROR(INDEX('Ashed teabags dry'!$K$2:$K$2000,MATCH(K370,'Ashed teabags dry'!$A$2:$A$2000,0)),"")</f>
        <v>3.0988686669941248</v>
      </c>
      <c r="S370" s="275">
        <f t="shared" si="27"/>
        <v>1.698289227742261</v>
      </c>
      <c r="T370" s="265">
        <f>IF('Dry_Litterbag Placem_Collection'!E151="","",'Dry_Litterbag Placem_Collection'!E151)</f>
        <v>42939</v>
      </c>
      <c r="U370" s="265">
        <f>IF('Dry_Litterbag Placem_Collection'!G151="","",'Dry_Litterbag Placem_Collection'!G151)</f>
        <v>43010</v>
      </c>
      <c r="V370" s="266">
        <f t="shared" si="25"/>
        <v>71</v>
      </c>
      <c r="W370" s="264">
        <f t="shared" si="28"/>
        <v>0.13559999999999994</v>
      </c>
      <c r="X370" s="264">
        <f t="shared" si="29"/>
        <v>0.14682837888009459</v>
      </c>
      <c r="Y370" s="268">
        <f>IFERROR(INDEX(Rainfall_Dry!$O$2:$O$217,MATCH(B370, Rainfall_Dry!$A$2:$A$217,0)),"")</f>
        <v>137.19979645800001</v>
      </c>
      <c r="Z370" s="257">
        <v>39.96</v>
      </c>
      <c r="AA370" s="257">
        <v>12.920000000000002</v>
      </c>
      <c r="AB370" s="257">
        <v>47.12</v>
      </c>
      <c r="AC370" s="258" t="s">
        <v>2658</v>
      </c>
      <c r="AD370" s="257">
        <v>5.6549531789058696</v>
      </c>
      <c r="AE370">
        <f>IF('WetLitterbags placem_collection'!AB151="","",'WetLitterbags placem_collection'!AB151)</f>
        <v>2.8</v>
      </c>
      <c r="AF370">
        <f>IF('WetLitterbags placem_collection'!Z151="","",'WetLitterbags placem_collection'!Z151)</f>
        <v>13</v>
      </c>
      <c r="AG370" s="243" t="str">
        <f>IF('WetLitterbags placem_collection'!AA151="","",'WetLitterbags placem_collection'!AA151)</f>
        <v>M</v>
      </c>
      <c r="AH370">
        <f>IF('WetLitterbags placem_collection'!AC151="","",'WetLitterbags placem_collection'!AC151)</f>
        <v>1</v>
      </c>
      <c r="AI370">
        <f>IFERROR(AVERAGE('Dry_Litterbag Placem_Collection'!O151,'Dry_Litterbag Placem_Collection'!R151),"")</f>
        <v>6.3000000000000007</v>
      </c>
      <c r="AJ370" s="268">
        <f>IFERROR(AVERAGE('Dry_Litterbag Placem_Collection'!N151,'Dry_Litterbag Placem_Collection'!Q151),"")</f>
        <v>31</v>
      </c>
      <c r="AK370" s="267">
        <f>INDEX(Coordinates!$B$2:$B$197,MATCH(H370,Coordinates!$J$2:$J$197,0))</f>
        <v>-2.3677179960000001</v>
      </c>
      <c r="AL370" s="267">
        <f>INDEX(Coordinates!$C$2:$C$197,MATCH(H370,Coordinates!$J$2:$J$197,0))</f>
        <v>34.060324960000003</v>
      </c>
      <c r="AM370" s="267" t="str">
        <f>IF(ISNUMBER(SEARCH("C", 'Dry_Litterbag Placem_Collection'!T151)),"YES","NO")</f>
        <v>NO</v>
      </c>
      <c r="AN370" s="267" t="str">
        <f>IF(ISNUMBER(SEARCH("H", 'Dry_Litterbag Placem_Collection'!T151)),"YES","NO")</f>
        <v>NO</v>
      </c>
      <c r="AO370" s="267" t="str">
        <f>IF(ISNUMBER(SEARCH("R", 'Dry_Litterbag Placem_Collection'!T151)),"YES","NO")</f>
        <v>NO</v>
      </c>
    </row>
    <row r="371" spans="1:41" ht="15" customHeight="1">
      <c r="A371" s="259" t="s">
        <v>2643</v>
      </c>
      <c r="B371" s="260">
        <f>'Dry_Litterbag Placem_Collection'!A152</f>
        <v>150</v>
      </c>
      <c r="C371" s="260" t="str">
        <f>'Dry_Litterbag Placem_Collection'!B152</f>
        <v xml:space="preserve">Mwantimba
</v>
      </c>
      <c r="D371" s="260" t="s">
        <v>2454</v>
      </c>
      <c r="E371" s="260" t="s">
        <v>20</v>
      </c>
      <c r="F371" s="260">
        <v>3</v>
      </c>
      <c r="G371" s="260" t="s">
        <v>3823</v>
      </c>
      <c r="H371" s="261" t="str">
        <f>'Dry_Litterbag Placem_Collection'!C152</f>
        <v>Wet_P3_T6</v>
      </c>
      <c r="I371" s="262" t="s">
        <v>2525</v>
      </c>
      <c r="J371" s="269" t="s">
        <v>298</v>
      </c>
      <c r="K371" s="260" t="str">
        <f>IF(ISBLANK('Dry_Litterbag Placem_Collection'!K152),"","R"&amp;""&amp;'Dry_Litterbag Placem_Collection'!K152)</f>
        <v>R668</v>
      </c>
      <c r="L371" s="264">
        <f>IFERROR(INDEX('Green_rooibos initial weight'!$C$5:$C$2000,MATCH(K371, 'Green_rooibos initial weight'!$A$5:$A$2000,0)),"")</f>
        <v>2.1419999999999999</v>
      </c>
      <c r="M371" s="264">
        <f>IFERROR(L371-(TBIcalc!$Q$9+TBIcalc!$Q$10),"")</f>
        <v>1.8921999999999999</v>
      </c>
      <c r="N371" s="385">
        <f>AVERAGE(Ashed_controlls!$K$12:$K$14)</f>
        <v>2.2816647271287041</v>
      </c>
      <c r="O371" s="264">
        <f t="shared" si="26"/>
        <v>1.8490263400332705</v>
      </c>
      <c r="P371" s="264" t="str">
        <f>IFERROR(INDEX('Both teabags AfterDry'!$D$2:$D$2000,MATCH(K371,'Both teabags AfterDry'!$A$2:$A$2000,0)),"")</f>
        <v/>
      </c>
      <c r="Q371" s="264" t="str">
        <f>IFERROR(IF(P371&gt;0,P371-(TBIcalc!$Q$9),""),"")</f>
        <v/>
      </c>
      <c r="R371" s="275" t="str">
        <f>IFERROR(INDEX('Ashed teabags dry'!$K$2:$K$2000,MATCH(K371,'Ashed teabags dry'!$A$2:$A$2000,0)),"")</f>
        <v/>
      </c>
      <c r="S371" s="275" t="str">
        <f t="shared" si="27"/>
        <v/>
      </c>
      <c r="T371" s="265">
        <f>IF('Dry_Litterbag Placem_Collection'!E152="","",'Dry_Litterbag Placem_Collection'!E152)</f>
        <v>42939</v>
      </c>
      <c r="U371" s="265">
        <f>IF('Dry_Litterbag Placem_Collection'!G152="","",'Dry_Litterbag Placem_Collection'!G152)</f>
        <v>43010</v>
      </c>
      <c r="V371" s="266">
        <f t="shared" si="25"/>
        <v>71</v>
      </c>
      <c r="W371" s="264" t="str">
        <f t="shared" si="28"/>
        <v/>
      </c>
      <c r="X371" s="264" t="str">
        <f t="shared" si="29"/>
        <v/>
      </c>
      <c r="Y371" s="268">
        <f>IFERROR(INDEX(Rainfall_Dry!$O$2:$O$217,MATCH(B371, Rainfall_Dry!$A$2:$A$217,0)),"")</f>
        <v>137.19979645800001</v>
      </c>
      <c r="Z371" s="257">
        <v>39.96</v>
      </c>
      <c r="AA371" s="257">
        <v>12.920000000000002</v>
      </c>
      <c r="AB371" s="257">
        <v>47.12</v>
      </c>
      <c r="AC371" s="258" t="s">
        <v>2658</v>
      </c>
      <c r="AD371" s="257">
        <v>6.6549531789058696</v>
      </c>
      <c r="AE371">
        <f>IF('WetLitterbags placem_collection'!AB152="","",'WetLitterbags placem_collection'!AB152)</f>
        <v>2.75</v>
      </c>
      <c r="AF371">
        <f>IF('WetLitterbags placem_collection'!Z152="","",'WetLitterbags placem_collection'!Z152)</f>
        <v>19</v>
      </c>
      <c r="AG371" s="243" t="str">
        <f>IF('WetLitterbags placem_collection'!AA152="","",'WetLitterbags placem_collection'!AA152)</f>
        <v>O</v>
      </c>
      <c r="AH371">
        <f>IF('WetLitterbags placem_collection'!AC152="","",'WetLitterbags placem_collection'!AC152)</f>
        <v>0</v>
      </c>
      <c r="AI371">
        <f>IFERROR(AVERAGE('Dry_Litterbag Placem_Collection'!O152,'Dry_Litterbag Placem_Collection'!R152),"")</f>
        <v>6.1999999999999993</v>
      </c>
      <c r="AJ371" s="268">
        <f>IFERROR(AVERAGE('Dry_Litterbag Placem_Collection'!N152,'Dry_Litterbag Placem_Collection'!Q152),"")</f>
        <v>30.8</v>
      </c>
      <c r="AK371" s="267">
        <f>INDEX(Coordinates!$B$2:$B$197,MATCH(H371,Coordinates!$J$2:$J$197,0))</f>
        <v>-2.3675230329999999</v>
      </c>
      <c r="AL371" s="267">
        <f>INDEX(Coordinates!$C$2:$C$197,MATCH(H371,Coordinates!$J$2:$J$197,0))</f>
        <v>34.060512969999998</v>
      </c>
      <c r="AM371" s="267" t="str">
        <f>IF(ISNUMBER(SEARCH("C", 'Dry_Litterbag Placem_Collection'!T152)),"YES","NO")</f>
        <v>NO</v>
      </c>
      <c r="AN371" s="267" t="str">
        <f>IF(ISNUMBER(SEARCH("H", 'Dry_Litterbag Placem_Collection'!T152)),"YES","NO")</f>
        <v>YES</v>
      </c>
      <c r="AO371" s="267" t="str">
        <f>IF(ISNUMBER(SEARCH("R", 'Dry_Litterbag Placem_Collection'!T152)),"YES","NO")</f>
        <v>NO</v>
      </c>
    </row>
    <row r="372" spans="1:41" ht="15" customHeight="1">
      <c r="A372" s="259" t="s">
        <v>2643</v>
      </c>
      <c r="B372" s="260">
        <f>'Dry_Litterbag Placem_Collection'!A153</f>
        <v>151</v>
      </c>
      <c r="C372" s="260" t="str">
        <f>'Dry_Litterbag Placem_Collection'!B153</f>
        <v xml:space="preserve">Mwantimba
</v>
      </c>
      <c r="D372" s="260" t="s">
        <v>2454</v>
      </c>
      <c r="E372" s="260" t="s">
        <v>20</v>
      </c>
      <c r="F372" s="260">
        <v>3</v>
      </c>
      <c r="G372" s="260" t="s">
        <v>3823</v>
      </c>
      <c r="H372" s="261" t="str">
        <f>'Dry_Litterbag Placem_Collection'!C153</f>
        <v>Wet_P3_T7</v>
      </c>
      <c r="I372" s="262" t="s">
        <v>2525</v>
      </c>
      <c r="J372" s="269" t="s">
        <v>298</v>
      </c>
      <c r="K372" s="260" t="str">
        <f>IF(ISBLANK('Dry_Litterbag Placem_Collection'!K153),"","R"&amp;""&amp;'Dry_Litterbag Placem_Collection'!K153)</f>
        <v/>
      </c>
      <c r="L372" s="264" t="str">
        <f>IFERROR(INDEX('Green_rooibos initial weight'!$C$5:$C$2000,MATCH(K372, 'Green_rooibos initial weight'!$A$5:$A$2000,0)),"")</f>
        <v/>
      </c>
      <c r="M372" s="264" t="str">
        <f>IFERROR(L372-(TBIcalc!$Q$9+TBIcalc!$Q$10),"")</f>
        <v/>
      </c>
      <c r="N372" s="385">
        <f>AVERAGE(Ashed_controlls!$K$12:$K$14)</f>
        <v>2.2816647271287041</v>
      </c>
      <c r="O372" s="264" t="str">
        <f t="shared" si="26"/>
        <v/>
      </c>
      <c r="P372" s="264" t="str">
        <f>IFERROR(INDEX('Both teabags AfterDry'!$D$2:$D$2000,MATCH(K372,'Both teabags AfterDry'!$A$2:$A$2000,0)),"")</f>
        <v/>
      </c>
      <c r="Q372" s="264" t="str">
        <f>IFERROR(IF(P372&gt;0,P372-(TBIcalc!$Q$9),""),"")</f>
        <v/>
      </c>
      <c r="R372" s="275" t="str">
        <f>IFERROR(INDEX('Ashed teabags dry'!$K$2:$K$2000,MATCH(K372,'Ashed teabags dry'!$A$2:$A$2000,0)),"")</f>
        <v/>
      </c>
      <c r="S372" s="275" t="str">
        <f t="shared" si="27"/>
        <v/>
      </c>
      <c r="T372" s="265" t="str">
        <f>IF('Dry_Litterbag Placem_Collection'!E153="","",'Dry_Litterbag Placem_Collection'!E153)</f>
        <v/>
      </c>
      <c r="U372" s="265" t="str">
        <f>IF('Dry_Litterbag Placem_Collection'!G153="","",'Dry_Litterbag Placem_Collection'!G153)</f>
        <v/>
      </c>
      <c r="V372" s="266" t="str">
        <f t="shared" si="25"/>
        <v/>
      </c>
      <c r="W372" s="264" t="str">
        <f t="shared" si="28"/>
        <v/>
      </c>
      <c r="X372" s="264" t="str">
        <f t="shared" si="29"/>
        <v/>
      </c>
      <c r="Y372" s="268" t="str">
        <f>IFERROR(INDEX(Rainfall_Dry!$O$2:$O$217,MATCH(B372, Rainfall_Dry!$A$2:$A$217,0)),"")</f>
        <v/>
      </c>
      <c r="Z372" s="257">
        <v>39.96</v>
      </c>
      <c r="AA372" s="257">
        <v>12.920000000000002</v>
      </c>
      <c r="AB372" s="257">
        <v>47.12</v>
      </c>
      <c r="AC372" s="258" t="s">
        <v>2658</v>
      </c>
      <c r="AD372" s="257">
        <v>7.6549531789058696</v>
      </c>
      <c r="AE372">
        <f>IF('WetLitterbags placem_collection'!AB153="","",'WetLitterbags placem_collection'!AB153)</f>
        <v>1.4</v>
      </c>
      <c r="AF372">
        <f>IF('WetLitterbags placem_collection'!Z153="","",'WetLitterbags placem_collection'!Z153)</f>
        <v>7.9</v>
      </c>
      <c r="AG372" s="243" t="str">
        <f>IF('WetLitterbags placem_collection'!AA153="","",'WetLitterbags placem_collection'!AA153)</f>
        <v>O</v>
      </c>
      <c r="AH372">
        <f>IF('WetLitterbags placem_collection'!AC153="","",'WetLitterbags placem_collection'!AC153)</f>
        <v>1</v>
      </c>
      <c r="AI372" t="str">
        <f>IFERROR(AVERAGE('Dry_Litterbag Placem_Collection'!O153,'Dry_Litterbag Placem_Collection'!R153),"")</f>
        <v/>
      </c>
      <c r="AJ372" s="268" t="str">
        <f>IFERROR(AVERAGE('Dry_Litterbag Placem_Collection'!N153,'Dry_Litterbag Placem_Collection'!Q153),"")</f>
        <v/>
      </c>
      <c r="AK372" s="267">
        <f>INDEX(Coordinates!$B$2:$B$197,MATCH(H372,Coordinates!$J$2:$J$197,0))</f>
        <v>-2.3673460070000001</v>
      </c>
      <c r="AL372" s="267">
        <f>INDEX(Coordinates!$C$2:$C$197,MATCH(H372,Coordinates!$J$2:$J$197,0))</f>
        <v>34.060310039999997</v>
      </c>
      <c r="AM372" s="267" t="str">
        <f>IF(ISNUMBER(SEARCH("C", 'Dry_Litterbag Placem_Collection'!T153)),"YES","NO")</f>
        <v>NO</v>
      </c>
      <c r="AN372" s="267" t="str">
        <f>IF(ISNUMBER(SEARCH("H", 'Dry_Litterbag Placem_Collection'!T153)),"YES","NO")</f>
        <v>NO</v>
      </c>
      <c r="AO372" s="267" t="str">
        <f>IF(ISNUMBER(SEARCH("R", 'Dry_Litterbag Placem_Collection'!T153)),"YES","NO")</f>
        <v>NO</v>
      </c>
    </row>
    <row r="373" spans="1:41" ht="15" customHeight="1">
      <c r="A373" s="259" t="s">
        <v>2643</v>
      </c>
      <c r="B373" s="260">
        <f>'Dry_Litterbag Placem_Collection'!A154</f>
        <v>152</v>
      </c>
      <c r="C373" s="260" t="str">
        <f>'Dry_Litterbag Placem_Collection'!B154</f>
        <v xml:space="preserve">Mwantimba
</v>
      </c>
      <c r="D373" s="260" t="s">
        <v>2454</v>
      </c>
      <c r="E373" s="260" t="s">
        <v>20</v>
      </c>
      <c r="F373" s="260">
        <v>3</v>
      </c>
      <c r="G373" s="260" t="s">
        <v>3823</v>
      </c>
      <c r="H373" s="261" t="str">
        <f>'Dry_Litterbag Placem_Collection'!C154</f>
        <v>Wet_P3_T8</v>
      </c>
      <c r="I373" s="262" t="s">
        <v>2525</v>
      </c>
      <c r="J373" s="269" t="s">
        <v>298</v>
      </c>
      <c r="K373" s="260" t="str">
        <f>IF(ISBLANK('Dry_Litterbag Placem_Collection'!K154),"","R"&amp;""&amp;'Dry_Litterbag Placem_Collection'!K154)</f>
        <v>R788</v>
      </c>
      <c r="L373" s="264">
        <f>IFERROR(INDEX('Green_rooibos initial weight'!$C$5:$C$2000,MATCH(K373, 'Green_rooibos initial weight'!$A$5:$A$2000,0)),"")</f>
        <v>2.1869999999999998</v>
      </c>
      <c r="M373" s="264">
        <f>IFERROR(L373-(TBIcalc!$Q$9+TBIcalc!$Q$10),"")</f>
        <v>1.9371999999999998</v>
      </c>
      <c r="N373" s="385">
        <f>AVERAGE(Ashed_controlls!$K$12:$K$14)</f>
        <v>2.2816647271287041</v>
      </c>
      <c r="O373" s="264">
        <f t="shared" si="26"/>
        <v>1.8929995909060626</v>
      </c>
      <c r="P373" s="264">
        <f>IFERROR(INDEX('Both teabags AfterDry'!$D$2:$D$2000,MATCH(K373,'Both teabags AfterDry'!$A$2:$A$2000,0)),"")</f>
        <v>0.43190000000000001</v>
      </c>
      <c r="Q373" s="264">
        <f>IFERROR(IF(P373&gt;0,P373-(TBIcalc!$Q$9),""),"")</f>
        <v>0.28129999999999999</v>
      </c>
      <c r="R373" s="275">
        <f>IFERROR(INDEX('Ashed teabags dry'!$K$2:$K$2000,MATCH(K373,'Ashed teabags dry'!$A$2:$A$2000,0)),"")</f>
        <v>89.775910364145446</v>
      </c>
      <c r="S373" s="275">
        <f t="shared" si="27"/>
        <v>2.8760364145658857E-2</v>
      </c>
      <c r="T373" s="265">
        <f>IF('Dry_Litterbag Placem_Collection'!E154="","",'Dry_Litterbag Placem_Collection'!E154)</f>
        <v>42939</v>
      </c>
      <c r="U373" s="265">
        <f>IF('Dry_Litterbag Placem_Collection'!G154="","",'Dry_Litterbag Placem_Collection'!G154)</f>
        <v>43010</v>
      </c>
      <c r="V373" s="266">
        <f t="shared" si="25"/>
        <v>71</v>
      </c>
      <c r="W373" s="264">
        <f t="shared" si="28"/>
        <v>1.6558999999999999</v>
      </c>
      <c r="X373" s="264">
        <f t="shared" si="29"/>
        <v>1.8642392267604038</v>
      </c>
      <c r="Y373" s="268">
        <f>IFERROR(INDEX(Rainfall_Dry!$O$2:$O$217,MATCH(B373, Rainfall_Dry!$A$2:$A$217,0)),"")</f>
        <v>137.19979645800001</v>
      </c>
      <c r="Z373" s="257">
        <v>39.96</v>
      </c>
      <c r="AA373" s="257">
        <v>12.920000000000002</v>
      </c>
      <c r="AB373" s="257">
        <v>47.12</v>
      </c>
      <c r="AC373" s="258" t="s">
        <v>2658</v>
      </c>
      <c r="AD373" s="257">
        <v>8.6549531789058705</v>
      </c>
      <c r="AE373">
        <f>IF('WetLitterbags placem_collection'!AB154="","",'WetLitterbags placem_collection'!AB154)</f>
        <v>2.2000000000000002</v>
      </c>
      <c r="AF373">
        <f>IF('WetLitterbags placem_collection'!Z154="","",'WetLitterbags placem_collection'!Z154)</f>
        <v>15</v>
      </c>
      <c r="AG373" s="243" t="str">
        <f>IF('WetLitterbags placem_collection'!AA154="","",'WetLitterbags placem_collection'!AA154)</f>
        <v>M</v>
      </c>
      <c r="AH373">
        <f>IF('WetLitterbags placem_collection'!AC154="","",'WetLitterbags placem_collection'!AC154)</f>
        <v>0</v>
      </c>
      <c r="AI373">
        <f>IFERROR(AVERAGE('Dry_Litterbag Placem_Collection'!O154,'Dry_Litterbag Placem_Collection'!R154),"")</f>
        <v>6.4</v>
      </c>
      <c r="AJ373" s="268">
        <f>IFERROR(AVERAGE('Dry_Litterbag Placem_Collection'!N154,'Dry_Litterbag Placem_Collection'!Q154),"")</f>
        <v>28.45</v>
      </c>
      <c r="AK373" s="267">
        <f>INDEX(Coordinates!$B$2:$B$197,MATCH(H373,Coordinates!$J$2:$J$197,0))</f>
        <v>-2.367543988</v>
      </c>
      <c r="AL373" s="267">
        <f>INDEX(Coordinates!$C$2:$C$197,MATCH(H373,Coordinates!$J$2:$J$197,0))</f>
        <v>34.060168969999999</v>
      </c>
      <c r="AM373" s="267" t="str">
        <f>IF(ISNUMBER(SEARCH("C", 'Dry_Litterbag Placem_Collection'!T154)),"YES","NO")</f>
        <v>NO</v>
      </c>
      <c r="AN373" s="267" t="str">
        <f>IF(ISNUMBER(SEARCH("H", 'Dry_Litterbag Placem_Collection'!T154)),"YES","NO")</f>
        <v>YES</v>
      </c>
      <c r="AO373" s="267" t="str">
        <f>IF(ISNUMBER(SEARCH("R", 'Dry_Litterbag Placem_Collection'!T154)),"YES","NO")</f>
        <v>NO</v>
      </c>
    </row>
    <row r="374" spans="1:41" ht="15" customHeight="1">
      <c r="A374" s="259" t="s">
        <v>2643</v>
      </c>
      <c r="B374" s="260">
        <f>'Dry_Litterbag Placem_Collection'!A155</f>
        <v>153</v>
      </c>
      <c r="C374" s="260" t="str">
        <f>'Dry_Litterbag Placem_Collection'!B155</f>
        <v xml:space="preserve">Mwantimba
</v>
      </c>
      <c r="D374" s="260" t="s">
        <v>2454</v>
      </c>
      <c r="E374" s="260" t="s">
        <v>20</v>
      </c>
      <c r="F374" s="260">
        <v>4</v>
      </c>
      <c r="G374" s="260" t="s">
        <v>3824</v>
      </c>
      <c r="H374" s="261" t="str">
        <f>'Dry_Litterbag Placem_Collection'!C155</f>
        <v>Wet_P4_T1</v>
      </c>
      <c r="I374" s="262" t="s">
        <v>2525</v>
      </c>
      <c r="J374" s="269" t="s">
        <v>298</v>
      </c>
      <c r="K374" s="260" t="str">
        <f>IF(ISBLANK('Dry_Litterbag Placem_Collection'!K155),"","R"&amp;""&amp;'Dry_Litterbag Placem_Collection'!K155)</f>
        <v>R735</v>
      </c>
      <c r="L374" s="264">
        <f>IFERROR(INDEX('Green_rooibos initial weight'!$C$5:$C$2000,MATCH(K374, 'Green_rooibos initial weight'!$A$5:$A$2000,0)),"")</f>
        <v>2.12</v>
      </c>
      <c r="M374" s="264">
        <f>IFERROR(L374-(TBIcalc!$Q$9+TBIcalc!$Q$10),"")</f>
        <v>1.8702000000000001</v>
      </c>
      <c r="N374" s="385">
        <f>AVERAGE(Ashed_controlls!$K$12:$K$14)</f>
        <v>2.2816647271287041</v>
      </c>
      <c r="O374" s="264">
        <f t="shared" si="26"/>
        <v>1.827528306273239</v>
      </c>
      <c r="P374" s="264">
        <f>IFERROR(INDEX('Both teabags AfterDry'!$D$2:$D$2000,MATCH(K374,'Both teabags AfterDry'!$A$2:$A$2000,0)),"")</f>
        <v>1.0566</v>
      </c>
      <c r="Q374" s="264">
        <f>IFERROR(IF(P374&gt;0,P374-(TBIcalc!$Q$9),""),"")</f>
        <v>0.90599999999999992</v>
      </c>
      <c r="R374" s="275">
        <f>IFERROR(INDEX('Ashed teabags dry'!$K$2:$K$2000,MATCH(K374,'Ashed teabags dry'!$A$2:$A$2000,0)),"")</f>
        <v>50.895883777238879</v>
      </c>
      <c r="S374" s="275">
        <f t="shared" si="27"/>
        <v>0.44488329297821572</v>
      </c>
      <c r="T374" s="265">
        <f>IF('Dry_Litterbag Placem_Collection'!E155="","",'Dry_Litterbag Placem_Collection'!E155)</f>
        <v>42939</v>
      </c>
      <c r="U374" s="265">
        <f>IF('Dry_Litterbag Placem_Collection'!G155="","",'Dry_Litterbag Placem_Collection'!G155)</f>
        <v>43010</v>
      </c>
      <c r="V374" s="266">
        <f t="shared" si="25"/>
        <v>71</v>
      </c>
      <c r="W374" s="264">
        <f t="shared" si="28"/>
        <v>0.96420000000000017</v>
      </c>
      <c r="X374" s="264">
        <f t="shared" si="29"/>
        <v>1.3826450132950234</v>
      </c>
      <c r="Y374" s="268">
        <f>IFERROR(INDEX(Rainfall_Dry!$O$2:$O$217,MATCH(B374, Rainfall_Dry!$A$2:$A$217,0)),"")</f>
        <v>137.19979645800001</v>
      </c>
      <c r="Z374" s="257">
        <v>27.96</v>
      </c>
      <c r="AA374" s="257">
        <v>4.9200000000000017</v>
      </c>
      <c r="AB374" s="257">
        <v>67.12</v>
      </c>
      <c r="AC374" s="258" t="s">
        <v>2654</v>
      </c>
      <c r="AD374" s="257">
        <v>1.0437161163134547</v>
      </c>
      <c r="AE374">
        <f>IF('WetLitterbags placem_collection'!AB155="","",'WetLitterbags placem_collection'!AB155)</f>
        <v>2.1</v>
      </c>
      <c r="AF374">
        <f>IF('WetLitterbags placem_collection'!Z155="","",'WetLitterbags placem_collection'!Z155)</f>
        <v>16.399999999999999</v>
      </c>
      <c r="AG374" s="243" t="str">
        <f>IF('WetLitterbags placem_collection'!AA155="","",'WetLitterbags placem_collection'!AA155)</f>
        <v>G</v>
      </c>
      <c r="AH374">
        <f>IF('WetLitterbags placem_collection'!AC155="","",'WetLitterbags placem_collection'!AC155)</f>
        <v>0</v>
      </c>
      <c r="AI374">
        <f>IFERROR(AVERAGE('Dry_Litterbag Placem_Collection'!O155,'Dry_Litterbag Placem_Collection'!R155),"")</f>
        <v>5.65</v>
      </c>
      <c r="AJ374" s="268">
        <f>IFERROR(AVERAGE('Dry_Litterbag Placem_Collection'!N155,'Dry_Litterbag Placem_Collection'!Q155),"")</f>
        <v>31.65</v>
      </c>
      <c r="AK374" s="267">
        <f>INDEX(Coordinates!$B$2:$B$197,MATCH(H374,Coordinates!$J$2:$J$197,0))</f>
        <v>-2.3676780150000001</v>
      </c>
      <c r="AL374" s="267">
        <f>INDEX(Coordinates!$C$2:$C$197,MATCH(H374,Coordinates!$J$2:$J$197,0))</f>
        <v>34.05937797</v>
      </c>
      <c r="AM374" s="267" t="str">
        <f>IF(ISNUMBER(SEARCH("C", 'Dry_Litterbag Placem_Collection'!T155)),"YES","NO")</f>
        <v>YES</v>
      </c>
      <c r="AN374" s="267" t="str">
        <f>IF(ISNUMBER(SEARCH("H", 'Dry_Litterbag Placem_Collection'!T155)),"YES","NO")</f>
        <v>YES</v>
      </c>
      <c r="AO374" s="267" t="str">
        <f>IF(ISNUMBER(SEARCH("R", 'Dry_Litterbag Placem_Collection'!T155)),"YES","NO")</f>
        <v>NO</v>
      </c>
    </row>
    <row r="375" spans="1:41" ht="15" customHeight="1">
      <c r="A375" s="259" t="s">
        <v>2643</v>
      </c>
      <c r="B375" s="260">
        <f>'Dry_Litterbag Placem_Collection'!A156</f>
        <v>154</v>
      </c>
      <c r="C375" s="260" t="str">
        <f>'Dry_Litterbag Placem_Collection'!B156</f>
        <v xml:space="preserve">Mwantimba
</v>
      </c>
      <c r="D375" s="260" t="s">
        <v>2454</v>
      </c>
      <c r="E375" s="260" t="s">
        <v>20</v>
      </c>
      <c r="F375" s="260">
        <v>4</v>
      </c>
      <c r="G375" s="260" t="s">
        <v>3824</v>
      </c>
      <c r="H375" s="261" t="str">
        <f>'Dry_Litterbag Placem_Collection'!C156</f>
        <v>Wet_P4_T2</v>
      </c>
      <c r="I375" s="262" t="s">
        <v>2525</v>
      </c>
      <c r="J375" s="269" t="s">
        <v>298</v>
      </c>
      <c r="K375" s="260" t="str">
        <f>IF(ISBLANK('Dry_Litterbag Placem_Collection'!K156),"","R"&amp;""&amp;'Dry_Litterbag Placem_Collection'!K156)</f>
        <v>R836</v>
      </c>
      <c r="L375" s="264">
        <f>IFERROR(INDEX('Green_rooibos initial weight'!$C$5:$C$2000,MATCH(K375, 'Green_rooibos initial weight'!$A$5:$A$2000,0)),"")</f>
        <v>2.2000000000000002</v>
      </c>
      <c r="M375" s="264">
        <f>IFERROR(L375-(TBIcalc!$Q$9+TBIcalc!$Q$10),"")</f>
        <v>1.9502000000000002</v>
      </c>
      <c r="N375" s="385">
        <f>AVERAGE(Ashed_controlls!$K$12:$K$14)</f>
        <v>2.2816647271287041</v>
      </c>
      <c r="O375" s="264">
        <f t="shared" si="26"/>
        <v>1.9057029744915361</v>
      </c>
      <c r="P375" s="264">
        <f>IFERROR(INDEX('Both teabags AfterDry'!$D$2:$D$2000,MATCH(K375,'Both teabags AfterDry'!$A$2:$A$2000,0)),"")</f>
        <v>0.62509999999999999</v>
      </c>
      <c r="Q375" s="264">
        <f>IFERROR(IF(P375&gt;0,P375-(TBIcalc!$Q$9),""),"")</f>
        <v>0.47449999999999998</v>
      </c>
      <c r="R375" s="275">
        <f>IFERROR(INDEX('Ashed teabags dry'!$K$2:$K$2000,MATCH(K375,'Ashed teabags dry'!$A$2:$A$2000,0)),"")</f>
        <v>87.866927592954596</v>
      </c>
      <c r="S375" s="275">
        <f t="shared" si="27"/>
        <v>5.7571428571430439E-2</v>
      </c>
      <c r="T375" s="265">
        <f>IF('Dry_Litterbag Placem_Collection'!E156="","",'Dry_Litterbag Placem_Collection'!E156)</f>
        <v>42939</v>
      </c>
      <c r="U375" s="265">
        <f>IF('Dry_Litterbag Placem_Collection'!G156="","",'Dry_Litterbag Placem_Collection'!G156)</f>
        <v>43010</v>
      </c>
      <c r="V375" s="266">
        <f t="shared" si="25"/>
        <v>71</v>
      </c>
      <c r="W375" s="264">
        <f t="shared" si="28"/>
        <v>1.4757000000000002</v>
      </c>
      <c r="X375" s="264">
        <f t="shared" si="29"/>
        <v>1.8481315459201058</v>
      </c>
      <c r="Y375" s="268">
        <f>IFERROR(INDEX(Rainfall_Dry!$O$2:$O$217,MATCH(B375, Rainfall_Dry!$A$2:$A$217,0)),"")</f>
        <v>137.19979645800001</v>
      </c>
      <c r="Z375" s="257">
        <v>27.96</v>
      </c>
      <c r="AA375" s="257">
        <v>4.9200000000000017</v>
      </c>
      <c r="AB375" s="257">
        <v>67.12</v>
      </c>
      <c r="AC375" s="258" t="s">
        <v>2654</v>
      </c>
      <c r="AD375" s="257">
        <v>2.0437161163134498</v>
      </c>
      <c r="AE375">
        <f>IF('WetLitterbags placem_collection'!AB156="","",'WetLitterbags placem_collection'!AB156)</f>
        <v>2.15</v>
      </c>
      <c r="AF375">
        <f>IF('WetLitterbags placem_collection'!Z156="","",'WetLitterbags placem_collection'!Z156)</f>
        <v>9</v>
      </c>
      <c r="AG375" s="243" t="str">
        <f>IF('WetLitterbags placem_collection'!AA156="","",'WetLitterbags placem_collection'!AA156)</f>
        <v>G</v>
      </c>
      <c r="AH375">
        <f>IF('WetLitterbags placem_collection'!AC156="","",'WetLitterbags placem_collection'!AC156)</f>
        <v>0</v>
      </c>
      <c r="AI375">
        <f>IFERROR(AVERAGE('Dry_Litterbag Placem_Collection'!O156,'Dry_Litterbag Placem_Collection'!R156),"")</f>
        <v>4.05</v>
      </c>
      <c r="AJ375" s="268">
        <f>IFERROR(AVERAGE('Dry_Litterbag Placem_Collection'!N156,'Dry_Litterbag Placem_Collection'!Q156),"")</f>
        <v>30.45</v>
      </c>
      <c r="AK375" s="267">
        <f>INDEX(Coordinates!$B$2:$B$197,MATCH(H375,Coordinates!$J$2:$J$197,0))</f>
        <v>-2.3677299820000002</v>
      </c>
      <c r="AL375" s="267">
        <f>INDEX(Coordinates!$C$2:$C$197,MATCH(H375,Coordinates!$J$2:$J$197,0))</f>
        <v>34.059351990000003</v>
      </c>
      <c r="AM375" s="267" t="str">
        <f>IF(ISNUMBER(SEARCH("C", 'Dry_Litterbag Placem_Collection'!T156)),"YES","NO")</f>
        <v>NO</v>
      </c>
      <c r="AN375" s="267" t="str">
        <f>IF(ISNUMBER(SEARCH("H", 'Dry_Litterbag Placem_Collection'!T156)),"YES","NO")</f>
        <v>YES</v>
      </c>
      <c r="AO375" s="267" t="str">
        <f>IF(ISNUMBER(SEARCH("R", 'Dry_Litterbag Placem_Collection'!T156)),"YES","NO")</f>
        <v>NO</v>
      </c>
    </row>
    <row r="376" spans="1:41" ht="15" customHeight="1">
      <c r="A376" s="259" t="s">
        <v>2643</v>
      </c>
      <c r="B376" s="260">
        <f>'Dry_Litterbag Placem_Collection'!A157</f>
        <v>155</v>
      </c>
      <c r="C376" s="260" t="str">
        <f>'Dry_Litterbag Placem_Collection'!B157</f>
        <v xml:space="preserve">Mwantimba
</v>
      </c>
      <c r="D376" s="260" t="s">
        <v>2454</v>
      </c>
      <c r="E376" s="260" t="s">
        <v>20</v>
      </c>
      <c r="F376" s="260">
        <v>4</v>
      </c>
      <c r="G376" s="260" t="s">
        <v>3824</v>
      </c>
      <c r="H376" s="261" t="str">
        <f>'Dry_Litterbag Placem_Collection'!C157</f>
        <v>Wet_P4_T3</v>
      </c>
      <c r="I376" s="262" t="s">
        <v>2525</v>
      </c>
      <c r="J376" s="269" t="s">
        <v>298</v>
      </c>
      <c r="K376" s="260" t="str">
        <f>IF(ISBLANK('Dry_Litterbag Placem_Collection'!K157),"","R"&amp;""&amp;'Dry_Litterbag Placem_Collection'!K157)</f>
        <v>R337</v>
      </c>
      <c r="L376" s="264">
        <f>IFERROR(INDEX('Green_rooibos initial weight'!$C$5:$C$2000,MATCH(K376, 'Green_rooibos initial weight'!$A$5:$A$2000,0)),"")</f>
        <v>2.2309999999999999</v>
      </c>
      <c r="M376" s="264">
        <f>IFERROR(L376-(TBIcalc!$Q$9+TBIcalc!$Q$10),"")</f>
        <v>1.9811999999999999</v>
      </c>
      <c r="N376" s="385">
        <f>AVERAGE(Ashed_controlls!$K$12:$K$14)</f>
        <v>2.2816647271287041</v>
      </c>
      <c r="O376" s="264">
        <f t="shared" si="26"/>
        <v>1.935995658426126</v>
      </c>
      <c r="P376" s="264">
        <f>IFERROR(INDEX('Both teabags AfterDry'!$D$2:$D$2000,MATCH(K376,'Both teabags AfterDry'!$A$2:$A$2000,0)),"")</f>
        <v>1.8893</v>
      </c>
      <c r="Q376" s="264">
        <f>IFERROR(IF(P376&gt;0,P376-(TBIcalc!$Q$9),""),"")</f>
        <v>1.7386999999999999</v>
      </c>
      <c r="R376" s="275">
        <f>IFERROR(INDEX('Ashed teabags dry'!$K$2:$K$2000,MATCH(K376,'Ashed teabags dry'!$A$2:$A$2000,0)),"")</f>
        <v>5.2232142857139205</v>
      </c>
      <c r="S376" s="275">
        <f t="shared" si="27"/>
        <v>1.647883973214292</v>
      </c>
      <c r="T376" s="265">
        <f>IF('Dry_Litterbag Placem_Collection'!E157="","",'Dry_Litterbag Placem_Collection'!E157)</f>
        <v>42939</v>
      </c>
      <c r="U376" s="265">
        <f>IF('Dry_Litterbag Placem_Collection'!G157="","",'Dry_Litterbag Placem_Collection'!G157)</f>
        <v>43010</v>
      </c>
      <c r="V376" s="266">
        <f t="shared" si="25"/>
        <v>71</v>
      </c>
      <c r="W376" s="264">
        <f t="shared" si="28"/>
        <v>0.24249999999999994</v>
      </c>
      <c r="X376" s="264">
        <f t="shared" si="29"/>
        <v>0.28811168521183395</v>
      </c>
      <c r="Y376" s="268">
        <f>IFERROR(INDEX(Rainfall_Dry!$O$2:$O$217,MATCH(B376, Rainfall_Dry!$A$2:$A$217,0)),"")</f>
        <v>137.19979645800001</v>
      </c>
      <c r="Z376" s="257">
        <v>27.96</v>
      </c>
      <c r="AA376" s="257">
        <v>4.9200000000000017</v>
      </c>
      <c r="AB376" s="257">
        <v>67.12</v>
      </c>
      <c r="AC376" s="258" t="s">
        <v>2654</v>
      </c>
      <c r="AD376" s="257">
        <v>3.0437161163134498</v>
      </c>
      <c r="AE376">
        <f>IF('WetLitterbags placem_collection'!AB157="","",'WetLitterbags placem_collection'!AB157)</f>
        <v>1.2</v>
      </c>
      <c r="AF376">
        <f>IF('WetLitterbags placem_collection'!Z157="","",'WetLitterbags placem_collection'!Z157)</f>
        <v>11</v>
      </c>
      <c r="AG376" s="243" t="str">
        <f>IF('WetLitterbags placem_collection'!AA157="","",'WetLitterbags placem_collection'!AA157)</f>
        <v>G</v>
      </c>
      <c r="AH376">
        <f>IF('WetLitterbags placem_collection'!AC157="","",'WetLitterbags placem_collection'!AC157)</f>
        <v>0</v>
      </c>
      <c r="AI376">
        <f>IFERROR(AVERAGE('Dry_Litterbag Placem_Collection'!O157,'Dry_Litterbag Placem_Collection'!R157),"")</f>
        <v>5.0999999999999996</v>
      </c>
      <c r="AJ376" s="268">
        <f>IFERROR(AVERAGE('Dry_Litterbag Placem_Collection'!N157,'Dry_Litterbag Placem_Collection'!Q157),"")</f>
        <v>29.4</v>
      </c>
      <c r="AK376" s="267">
        <f>INDEX(Coordinates!$B$2:$B$197,MATCH(H376,Coordinates!$J$2:$J$197,0))</f>
        <v>-2.3677119609999999</v>
      </c>
      <c r="AL376" s="267">
        <f>INDEX(Coordinates!$C$2:$C$197,MATCH(H376,Coordinates!$J$2:$J$197,0))</f>
        <v>34.059339000000001</v>
      </c>
      <c r="AM376" s="267" t="str">
        <f>IF(ISNUMBER(SEARCH("C", 'Dry_Litterbag Placem_Collection'!T157)),"YES","NO")</f>
        <v>YES</v>
      </c>
      <c r="AN376" s="267" t="str">
        <f>IF(ISNUMBER(SEARCH("H", 'Dry_Litterbag Placem_Collection'!T157)),"YES","NO")</f>
        <v>YES</v>
      </c>
      <c r="AO376" s="267" t="str">
        <f>IF(ISNUMBER(SEARCH("R", 'Dry_Litterbag Placem_Collection'!T157)),"YES","NO")</f>
        <v>NO</v>
      </c>
    </row>
    <row r="377" spans="1:41" ht="15" customHeight="1">
      <c r="A377" s="259" t="s">
        <v>2643</v>
      </c>
      <c r="B377" s="260">
        <f>'Dry_Litterbag Placem_Collection'!A158</f>
        <v>156</v>
      </c>
      <c r="C377" s="260" t="str">
        <f>'Dry_Litterbag Placem_Collection'!B158</f>
        <v xml:space="preserve">Mwantimba
</v>
      </c>
      <c r="D377" s="260" t="s">
        <v>2454</v>
      </c>
      <c r="E377" s="260" t="s">
        <v>20</v>
      </c>
      <c r="F377" s="260">
        <v>4</v>
      </c>
      <c r="G377" s="260" t="s">
        <v>3824</v>
      </c>
      <c r="H377" s="261" t="str">
        <f>'Dry_Litterbag Placem_Collection'!C158</f>
        <v>Wet_P4_T4</v>
      </c>
      <c r="I377" s="262" t="s">
        <v>2525</v>
      </c>
      <c r="J377" s="269" t="s">
        <v>298</v>
      </c>
      <c r="K377" s="260" t="str">
        <f>IF(ISBLANK('Dry_Litterbag Placem_Collection'!K158),"","R"&amp;""&amp;'Dry_Litterbag Placem_Collection'!K158)</f>
        <v>R118</v>
      </c>
      <c r="L377" s="264">
        <f>IFERROR(INDEX('Green_rooibos initial weight'!$C$5:$C$2000,MATCH(K377, 'Green_rooibos initial weight'!$A$5:$A$2000,0)),"")</f>
        <v>2.3330000000000002</v>
      </c>
      <c r="M377" s="264">
        <f>IFERROR(L377-(TBIcalc!$Q$9+TBIcalc!$Q$10),"")</f>
        <v>2.0832000000000002</v>
      </c>
      <c r="N377" s="385">
        <f>AVERAGE(Ashed_controlls!$K$12:$K$14)</f>
        <v>2.2816647271287041</v>
      </c>
      <c r="O377" s="264">
        <f t="shared" si="26"/>
        <v>2.035668360404455</v>
      </c>
      <c r="P377" s="264">
        <f>IFERROR(INDEX('Both teabags AfterDry'!$D$2:$D$2000,MATCH(K377,'Both teabags AfterDry'!$A$2:$A$2000,0)),"")</f>
        <v>0.79290000000000005</v>
      </c>
      <c r="Q377" s="264">
        <f>IFERROR(IF(P377&gt;0,P377-(TBIcalc!$Q$9),""),"")</f>
        <v>0.64230000000000009</v>
      </c>
      <c r="R377" s="275">
        <f>IFERROR(INDEX('Ashed teabags dry'!$K$2:$K$2000,MATCH(K377,'Ashed teabags dry'!$A$2:$A$2000,0)),"")</f>
        <v>77.250247279920742</v>
      </c>
      <c r="S377" s="275">
        <f t="shared" si="27"/>
        <v>0.14612166172106905</v>
      </c>
      <c r="T377" s="265">
        <f>IF('Dry_Litterbag Placem_Collection'!E158="","",'Dry_Litterbag Placem_Collection'!E158)</f>
        <v>42939</v>
      </c>
      <c r="U377" s="265">
        <f>IF('Dry_Litterbag Placem_Collection'!G158="","",'Dry_Litterbag Placem_Collection'!G158)</f>
        <v>43010</v>
      </c>
      <c r="V377" s="266">
        <f t="shared" si="25"/>
        <v>71</v>
      </c>
      <c r="W377" s="264">
        <f t="shared" si="28"/>
        <v>1.4409000000000001</v>
      </c>
      <c r="X377" s="264">
        <f t="shared" si="29"/>
        <v>1.889546698683386</v>
      </c>
      <c r="Y377" s="268">
        <f>IFERROR(INDEX(Rainfall_Dry!$O$2:$O$217,MATCH(B377, Rainfall_Dry!$A$2:$A$217,0)),"")</f>
        <v>137.19979645800001</v>
      </c>
      <c r="Z377" s="257">
        <v>27.96</v>
      </c>
      <c r="AA377" s="257">
        <v>4.9200000000000017</v>
      </c>
      <c r="AB377" s="257">
        <v>67.12</v>
      </c>
      <c r="AC377" s="258" t="s">
        <v>2654</v>
      </c>
      <c r="AD377" s="257">
        <v>4.0437161163134503</v>
      </c>
      <c r="AE377">
        <f>IF('WetLitterbags placem_collection'!AB158="","",'WetLitterbags placem_collection'!AB158)</f>
        <v>1.55</v>
      </c>
      <c r="AF377">
        <f>IF('WetLitterbags placem_collection'!Z158="","",'WetLitterbags placem_collection'!Z158)</f>
        <v>9.1</v>
      </c>
      <c r="AG377" s="243" t="str">
        <f>IF('WetLitterbags placem_collection'!AA158="","",'WetLitterbags placem_collection'!AA158)</f>
        <v>O</v>
      </c>
      <c r="AH377">
        <f>IF('WetLitterbags placem_collection'!AC158="","",'WetLitterbags placem_collection'!AC158)</f>
        <v>0</v>
      </c>
      <c r="AI377">
        <f>IFERROR(AVERAGE('Dry_Litterbag Placem_Collection'!O158,'Dry_Litterbag Placem_Collection'!R158),"")</f>
        <v>4.5</v>
      </c>
      <c r="AJ377" s="268">
        <f>IFERROR(AVERAGE('Dry_Litterbag Placem_Collection'!N158,'Dry_Litterbag Placem_Collection'!Q158),"")</f>
        <v>30.35</v>
      </c>
      <c r="AK377" s="267">
        <f>INDEX(Coordinates!$B$2:$B$197,MATCH(H377,Coordinates!$J$2:$J$197,0))</f>
        <v>-2.3676950300000001</v>
      </c>
      <c r="AL377" s="267">
        <f>INDEX(Coordinates!$C$2:$C$197,MATCH(H377,Coordinates!$J$2:$J$197,0))</f>
        <v>34.059499010000003</v>
      </c>
      <c r="AM377" s="267" t="str">
        <f>IF(ISNUMBER(SEARCH("C", 'Dry_Litterbag Placem_Collection'!T158)),"YES","NO")</f>
        <v>YES</v>
      </c>
      <c r="AN377" s="267" t="str">
        <f>IF(ISNUMBER(SEARCH("H", 'Dry_Litterbag Placem_Collection'!T158)),"YES","NO")</f>
        <v>YES</v>
      </c>
      <c r="AO377" s="267" t="str">
        <f>IF(ISNUMBER(SEARCH("R", 'Dry_Litterbag Placem_Collection'!T158)),"YES","NO")</f>
        <v>NO</v>
      </c>
    </row>
    <row r="378" spans="1:41" ht="15" customHeight="1">
      <c r="A378" s="259" t="s">
        <v>2643</v>
      </c>
      <c r="B378" s="260">
        <f>'Dry_Litterbag Placem_Collection'!A159</f>
        <v>157</v>
      </c>
      <c r="C378" s="260" t="str">
        <f>'Dry_Litterbag Placem_Collection'!B159</f>
        <v xml:space="preserve">Mwantimba
</v>
      </c>
      <c r="D378" s="260" t="s">
        <v>2454</v>
      </c>
      <c r="E378" s="260" t="s">
        <v>20</v>
      </c>
      <c r="F378" s="260">
        <v>4</v>
      </c>
      <c r="G378" s="260" t="s">
        <v>3824</v>
      </c>
      <c r="H378" s="261" t="str">
        <f>'Dry_Litterbag Placem_Collection'!C159</f>
        <v>Wet_P4_T5</v>
      </c>
      <c r="I378" s="262" t="s">
        <v>2525</v>
      </c>
      <c r="J378" s="269" t="s">
        <v>298</v>
      </c>
      <c r="K378" s="260" t="str">
        <f>IF(ISBLANK('Dry_Litterbag Placem_Collection'!K159),"","R"&amp;""&amp;'Dry_Litterbag Placem_Collection'!K159)</f>
        <v>R478</v>
      </c>
      <c r="L378" s="264">
        <f>IFERROR(INDEX('Green_rooibos initial weight'!$C$5:$C$2000,MATCH(K378, 'Green_rooibos initial weight'!$A$5:$A$2000,0)),"")</f>
        <v>2.1640000000000001</v>
      </c>
      <c r="M378" s="264">
        <f>IFERROR(L378-(TBIcalc!$Q$9+TBIcalc!$Q$10),"")</f>
        <v>1.9142000000000001</v>
      </c>
      <c r="N378" s="385">
        <f>AVERAGE(Ashed_controlls!$K$12:$K$14)</f>
        <v>2.2816647271287041</v>
      </c>
      <c r="O378" s="264">
        <f t="shared" si="26"/>
        <v>1.8705243737933024</v>
      </c>
      <c r="P378" s="264" t="str">
        <f>IFERROR(INDEX('Both teabags AfterDry'!$D$2:$D$2000,MATCH(K378,'Both teabags AfterDry'!$A$2:$A$2000,0)),"")</f>
        <v/>
      </c>
      <c r="Q378" s="264" t="str">
        <f>IFERROR(IF(P378&gt;0,P378-(TBIcalc!$Q$9),""),"")</f>
        <v/>
      </c>
      <c r="R378" s="275" t="str">
        <f>IFERROR(INDEX('Ashed teabags dry'!$K$2:$K$2000,MATCH(K378,'Ashed teabags dry'!$A$2:$A$2000,0)),"")</f>
        <v/>
      </c>
      <c r="S378" s="275" t="str">
        <f t="shared" si="27"/>
        <v/>
      </c>
      <c r="T378" s="265">
        <f>IF('Dry_Litterbag Placem_Collection'!E159="","",'Dry_Litterbag Placem_Collection'!E159)</f>
        <v>42939</v>
      </c>
      <c r="U378" s="265">
        <f>IF('Dry_Litterbag Placem_Collection'!G159="","",'Dry_Litterbag Placem_Collection'!G159)</f>
        <v>43010</v>
      </c>
      <c r="V378" s="266">
        <f t="shared" si="25"/>
        <v>71</v>
      </c>
      <c r="W378" s="264" t="str">
        <f t="shared" si="28"/>
        <v/>
      </c>
      <c r="X378" s="264" t="str">
        <f t="shared" si="29"/>
        <v/>
      </c>
      <c r="Y378" s="268">
        <f>IFERROR(INDEX(Rainfall_Dry!$O$2:$O$217,MATCH(B378, Rainfall_Dry!$A$2:$A$217,0)),"")</f>
        <v>137.19979645800001</v>
      </c>
      <c r="Z378" s="257">
        <v>27.96</v>
      </c>
      <c r="AA378" s="257">
        <v>4.9200000000000017</v>
      </c>
      <c r="AB378" s="257">
        <v>67.12</v>
      </c>
      <c r="AC378" s="258" t="s">
        <v>2654</v>
      </c>
      <c r="AD378" s="257">
        <v>5.0437161163134503</v>
      </c>
      <c r="AE378">
        <f>IF('WetLitterbags placem_collection'!AB159="","",'WetLitterbags placem_collection'!AB159)</f>
        <v>2.2999999999999998</v>
      </c>
      <c r="AF378">
        <f>IF('WetLitterbags placem_collection'!Z159="","",'WetLitterbags placem_collection'!Z159)</f>
        <v>7.7</v>
      </c>
      <c r="AG378" s="243" t="str">
        <f>IF('WetLitterbags placem_collection'!AA159="","",'WetLitterbags placem_collection'!AA159)</f>
        <v>O</v>
      </c>
      <c r="AH378">
        <f>IF('WetLitterbags placem_collection'!AC159="","",'WetLitterbags placem_collection'!AC159)</f>
        <v>0</v>
      </c>
      <c r="AI378">
        <f>IFERROR(AVERAGE('Dry_Litterbag Placem_Collection'!O159,'Dry_Litterbag Placem_Collection'!R159),"")</f>
        <v>5.65</v>
      </c>
      <c r="AJ378" s="268">
        <f>IFERROR(AVERAGE('Dry_Litterbag Placem_Collection'!N159,'Dry_Litterbag Placem_Collection'!Q159),"")</f>
        <v>29.85</v>
      </c>
      <c r="AK378" s="267">
        <f>INDEX(Coordinates!$B$2:$B$197,MATCH(H378,Coordinates!$J$2:$J$197,0))</f>
        <v>-2.3678019830000001</v>
      </c>
      <c r="AL378" s="267">
        <f>INDEX(Coordinates!$C$2:$C$197,MATCH(H378,Coordinates!$J$2:$J$197,0))</f>
        <v>34.059521969999999</v>
      </c>
      <c r="AM378" s="267" t="str">
        <f>IF(ISNUMBER(SEARCH("C", 'Dry_Litterbag Placem_Collection'!T159)),"YES","NO")</f>
        <v>YES</v>
      </c>
      <c r="AN378" s="267" t="str">
        <f>IF(ISNUMBER(SEARCH("H", 'Dry_Litterbag Placem_Collection'!T159)),"YES","NO")</f>
        <v>NO</v>
      </c>
      <c r="AO378" s="267" t="str">
        <f>IF(ISNUMBER(SEARCH("R", 'Dry_Litterbag Placem_Collection'!T159)),"YES","NO")</f>
        <v>YES</v>
      </c>
    </row>
    <row r="379" spans="1:41" ht="15" customHeight="1">
      <c r="A379" s="259" t="s">
        <v>2643</v>
      </c>
      <c r="B379" s="260">
        <f>'Dry_Litterbag Placem_Collection'!A160</f>
        <v>158</v>
      </c>
      <c r="C379" s="260" t="str">
        <f>'Dry_Litterbag Placem_Collection'!B160</f>
        <v xml:space="preserve">Mwantimba
</v>
      </c>
      <c r="D379" s="260" t="s">
        <v>2454</v>
      </c>
      <c r="E379" s="260" t="s">
        <v>20</v>
      </c>
      <c r="F379" s="260">
        <v>4</v>
      </c>
      <c r="G379" s="260" t="s">
        <v>3824</v>
      </c>
      <c r="H379" s="261" t="str">
        <f>'Dry_Litterbag Placem_Collection'!C160</f>
        <v>Wet_P4_T6</v>
      </c>
      <c r="I379" s="262" t="s">
        <v>2525</v>
      </c>
      <c r="J379" s="269" t="s">
        <v>298</v>
      </c>
      <c r="K379" s="260" t="str">
        <f>IF(ISBLANK('Dry_Litterbag Placem_Collection'!K160),"","R"&amp;""&amp;'Dry_Litterbag Placem_Collection'!K160)</f>
        <v>R773</v>
      </c>
      <c r="L379" s="264">
        <f>IFERROR(INDEX('Green_rooibos initial weight'!$C$5:$C$2000,MATCH(K379, 'Green_rooibos initial weight'!$A$5:$A$2000,0)),"")</f>
        <v>2.2320000000000002</v>
      </c>
      <c r="M379" s="264">
        <f>IFERROR(L379-(TBIcalc!$Q$9+TBIcalc!$Q$10),"")</f>
        <v>1.9822000000000002</v>
      </c>
      <c r="N379" s="385">
        <f>AVERAGE(Ashed_controlls!$K$12:$K$14)</f>
        <v>2.2816647271287041</v>
      </c>
      <c r="O379" s="264">
        <f t="shared" si="26"/>
        <v>1.936972841778855</v>
      </c>
      <c r="P379" s="264">
        <f>IFERROR(INDEX('Both teabags AfterDry'!$D$2:$D$2000,MATCH(K379,'Both teabags AfterDry'!$A$2:$A$2000,0)),"")</f>
        <v>1.3551</v>
      </c>
      <c r="Q379" s="264">
        <f>IFERROR(IF(P379&gt;0,P379-(TBIcalc!$Q$9),""),"")</f>
        <v>1.2044999999999999</v>
      </c>
      <c r="R379" s="275">
        <f>IFERROR(INDEX('Ashed teabags dry'!$K$2:$K$2000,MATCH(K379,'Ashed teabags dry'!$A$2:$A$2000,0)),"")</f>
        <v>86.234021632251483</v>
      </c>
      <c r="S379" s="275">
        <f t="shared" si="27"/>
        <v>0.16581120943953098</v>
      </c>
      <c r="T379" s="265">
        <f>IF('Dry_Litterbag Placem_Collection'!E160="","",'Dry_Litterbag Placem_Collection'!E160)</f>
        <v>42939</v>
      </c>
      <c r="U379" s="265">
        <f>IF('Dry_Litterbag Placem_Collection'!G160="","",'Dry_Litterbag Placem_Collection'!G160)</f>
        <v>43010</v>
      </c>
      <c r="V379" s="266">
        <f t="shared" si="25"/>
        <v>71</v>
      </c>
      <c r="W379" s="264">
        <f t="shared" si="28"/>
        <v>0.77770000000000028</v>
      </c>
      <c r="X379" s="264">
        <f t="shared" si="29"/>
        <v>1.771161632339324</v>
      </c>
      <c r="Y379" s="268">
        <f>IFERROR(INDEX(Rainfall_Dry!$O$2:$O$217,MATCH(B379, Rainfall_Dry!$A$2:$A$217,0)),"")</f>
        <v>137.19979645800001</v>
      </c>
      <c r="Z379" s="257">
        <v>27.96</v>
      </c>
      <c r="AA379" s="257">
        <v>4.9200000000000017</v>
      </c>
      <c r="AB379" s="257">
        <v>67.12</v>
      </c>
      <c r="AC379" s="258" t="s">
        <v>2654</v>
      </c>
      <c r="AD379" s="257">
        <v>6.0437161163134503</v>
      </c>
      <c r="AE379">
        <f>IF('WetLitterbags placem_collection'!AB160="","",'WetLitterbags placem_collection'!AB160)</f>
        <v>1.9</v>
      </c>
      <c r="AF379">
        <f>IF('WetLitterbags placem_collection'!Z160="","",'WetLitterbags placem_collection'!Z160)</f>
        <v>4.3</v>
      </c>
      <c r="AG379" s="243" t="str">
        <f>IF('WetLitterbags placem_collection'!AA160="","",'WetLitterbags placem_collection'!AA160)</f>
        <v>O</v>
      </c>
      <c r="AH379">
        <f>IF('WetLitterbags placem_collection'!AC160="","",'WetLitterbags placem_collection'!AC160)</f>
        <v>0</v>
      </c>
      <c r="AI379">
        <f>IFERROR(AVERAGE('Dry_Litterbag Placem_Collection'!O160,'Dry_Litterbag Placem_Collection'!R160),"")</f>
        <v>5.95</v>
      </c>
      <c r="AJ379" s="268">
        <f>IFERROR(AVERAGE('Dry_Litterbag Placem_Collection'!N160,'Dry_Litterbag Placem_Collection'!Q160),"")</f>
        <v>31.8</v>
      </c>
      <c r="AK379" s="267">
        <f>INDEX(Coordinates!$B$2:$B$197,MATCH(H379,Coordinates!$J$2:$J$197,0))</f>
        <v>-2.3679270410000002</v>
      </c>
      <c r="AL379" s="267">
        <f>INDEX(Coordinates!$C$2:$C$197,MATCH(H379,Coordinates!$J$2:$J$197,0))</f>
        <v>34.059300020000002</v>
      </c>
      <c r="AM379" s="267" t="str">
        <f>IF(ISNUMBER(SEARCH("C", 'Dry_Litterbag Placem_Collection'!T160)),"YES","NO")</f>
        <v>YES</v>
      </c>
      <c r="AN379" s="267" t="str">
        <f>IF(ISNUMBER(SEARCH("H", 'Dry_Litterbag Placem_Collection'!T160)),"YES","NO")</f>
        <v>YES</v>
      </c>
      <c r="AO379" s="267" t="str">
        <f>IF(ISNUMBER(SEARCH("R", 'Dry_Litterbag Placem_Collection'!T160)),"YES","NO")</f>
        <v>NO</v>
      </c>
    </row>
    <row r="380" spans="1:41" ht="15" customHeight="1">
      <c r="A380" s="259" t="s">
        <v>2643</v>
      </c>
      <c r="B380" s="260">
        <f>'Dry_Litterbag Placem_Collection'!A161</f>
        <v>159</v>
      </c>
      <c r="C380" s="260" t="str">
        <f>'Dry_Litterbag Placem_Collection'!B161</f>
        <v xml:space="preserve">Mwantimba
</v>
      </c>
      <c r="D380" s="260" t="s">
        <v>2454</v>
      </c>
      <c r="E380" s="260" t="s">
        <v>20</v>
      </c>
      <c r="F380" s="260">
        <v>4</v>
      </c>
      <c r="G380" s="260" t="s">
        <v>3824</v>
      </c>
      <c r="H380" s="261" t="str">
        <f>'Dry_Litterbag Placem_Collection'!C161</f>
        <v>Wet_P4_T7</v>
      </c>
      <c r="I380" s="262" t="s">
        <v>2525</v>
      </c>
      <c r="J380" s="269" t="s">
        <v>298</v>
      </c>
      <c r="K380" s="260" t="str">
        <f>IF(ISBLANK('Dry_Litterbag Placem_Collection'!K161),"","R"&amp;""&amp;'Dry_Litterbag Placem_Collection'!K161)</f>
        <v/>
      </c>
      <c r="L380" s="264" t="str">
        <f>IFERROR(INDEX('Green_rooibos initial weight'!$C$5:$C$2000,MATCH(K380, 'Green_rooibos initial weight'!$A$5:$A$2000,0)),"")</f>
        <v/>
      </c>
      <c r="M380" s="264" t="str">
        <f>IFERROR(L380-(TBIcalc!$Q$9+TBIcalc!$Q$10),"")</f>
        <v/>
      </c>
      <c r="N380" s="385">
        <f>AVERAGE(Ashed_controlls!$K$12:$K$14)</f>
        <v>2.2816647271287041</v>
      </c>
      <c r="O380" s="264" t="str">
        <f t="shared" si="26"/>
        <v/>
      </c>
      <c r="P380" s="264" t="str">
        <f>IFERROR(INDEX('Both teabags AfterDry'!$D$2:$D$2000,MATCH(K380,'Both teabags AfterDry'!$A$2:$A$2000,0)),"")</f>
        <v/>
      </c>
      <c r="Q380" s="264" t="str">
        <f>IFERROR(IF(P380&gt;0,P380-(TBIcalc!$Q$9),""),"")</f>
        <v/>
      </c>
      <c r="R380" s="275" t="str">
        <f>IFERROR(INDEX('Ashed teabags dry'!$K$2:$K$2000,MATCH(K380,'Ashed teabags dry'!$A$2:$A$2000,0)),"")</f>
        <v/>
      </c>
      <c r="S380" s="275" t="str">
        <f t="shared" si="27"/>
        <v/>
      </c>
      <c r="T380" s="265" t="str">
        <f>IF('Dry_Litterbag Placem_Collection'!E161="","",'Dry_Litterbag Placem_Collection'!E161)</f>
        <v/>
      </c>
      <c r="U380" s="265" t="str">
        <f>IF('Dry_Litterbag Placem_Collection'!G161="","",'Dry_Litterbag Placem_Collection'!G161)</f>
        <v/>
      </c>
      <c r="V380" s="266" t="str">
        <f t="shared" si="25"/>
        <v/>
      </c>
      <c r="W380" s="264" t="str">
        <f t="shared" si="28"/>
        <v/>
      </c>
      <c r="X380" s="264" t="str">
        <f t="shared" si="29"/>
        <v/>
      </c>
      <c r="Y380" s="268" t="str">
        <f>IFERROR(INDEX(Rainfall_Dry!$O$2:$O$217,MATCH(B380, Rainfall_Dry!$A$2:$A$217,0)),"")</f>
        <v/>
      </c>
      <c r="Z380" s="257">
        <v>27.96</v>
      </c>
      <c r="AA380" s="257">
        <v>4.9200000000000017</v>
      </c>
      <c r="AB380" s="257">
        <v>67.12</v>
      </c>
      <c r="AC380" s="258" t="s">
        <v>2654</v>
      </c>
      <c r="AD380" s="257">
        <v>7.0437161163134503</v>
      </c>
      <c r="AE380">
        <f>IF('WetLitterbags placem_collection'!AB161="","",'WetLitterbags placem_collection'!AB161)</f>
        <v>2.65</v>
      </c>
      <c r="AF380">
        <f>IF('WetLitterbags placem_collection'!Z161="","",'WetLitterbags placem_collection'!Z161)</f>
        <v>0</v>
      </c>
      <c r="AG380" s="243" t="str">
        <f>IF('WetLitterbags placem_collection'!AA161="","",'WetLitterbags placem_collection'!AA161)</f>
        <v>G</v>
      </c>
      <c r="AH380">
        <f>IF('WetLitterbags placem_collection'!AC161="","",'WetLitterbags placem_collection'!AC161)</f>
        <v>1</v>
      </c>
      <c r="AI380" t="str">
        <f>IFERROR(AVERAGE('Dry_Litterbag Placem_Collection'!O161,'Dry_Litterbag Placem_Collection'!R161),"")</f>
        <v/>
      </c>
      <c r="AJ380" s="268" t="str">
        <f>IFERROR(AVERAGE('Dry_Litterbag Placem_Collection'!N161,'Dry_Litterbag Placem_Collection'!Q161),"")</f>
        <v/>
      </c>
      <c r="AK380" s="267">
        <f>INDEX(Coordinates!$B$2:$B$197,MATCH(H380,Coordinates!$J$2:$J$197,0))</f>
        <v>-2.3676829599999998</v>
      </c>
      <c r="AL380" s="267">
        <f>INDEX(Coordinates!$C$2:$C$197,MATCH(H380,Coordinates!$J$2:$J$197,0))</f>
        <v>34.059236990000002</v>
      </c>
      <c r="AM380" s="267" t="str">
        <f>IF(ISNUMBER(SEARCH("C", 'Dry_Litterbag Placem_Collection'!T161)),"YES","NO")</f>
        <v>NO</v>
      </c>
      <c r="AN380" s="267" t="str">
        <f>IF(ISNUMBER(SEARCH("H", 'Dry_Litterbag Placem_Collection'!T161)),"YES","NO")</f>
        <v>NO</v>
      </c>
      <c r="AO380" s="267" t="str">
        <f>IF(ISNUMBER(SEARCH("R", 'Dry_Litterbag Placem_Collection'!T161)),"YES","NO")</f>
        <v>NO</v>
      </c>
    </row>
    <row r="381" spans="1:41" ht="15" customHeight="1">
      <c r="A381" s="259" t="s">
        <v>2643</v>
      </c>
      <c r="B381" s="260">
        <f>'Dry_Litterbag Placem_Collection'!A162</f>
        <v>160</v>
      </c>
      <c r="C381" s="260" t="str">
        <f>'Dry_Litterbag Placem_Collection'!B162</f>
        <v xml:space="preserve">Mwantimba
</v>
      </c>
      <c r="D381" s="260" t="s">
        <v>2454</v>
      </c>
      <c r="E381" s="260" t="s">
        <v>20</v>
      </c>
      <c r="F381" s="260">
        <v>4</v>
      </c>
      <c r="G381" s="260" t="s">
        <v>3824</v>
      </c>
      <c r="H381" s="261" t="str">
        <f>'Dry_Litterbag Placem_Collection'!C162</f>
        <v>Wet_P4_T8</v>
      </c>
      <c r="I381" s="262" t="s">
        <v>2525</v>
      </c>
      <c r="J381" s="269" t="s">
        <v>298</v>
      </c>
      <c r="K381" s="260" t="str">
        <f>IF(ISBLANK('Dry_Litterbag Placem_Collection'!K162),"","R"&amp;""&amp;'Dry_Litterbag Placem_Collection'!K162)</f>
        <v>R401</v>
      </c>
      <c r="L381" s="264">
        <f>IFERROR(INDEX('Green_rooibos initial weight'!$C$5:$C$2000,MATCH(K381, 'Green_rooibos initial weight'!$A$5:$A$2000,0)),"")</f>
        <v>2.214</v>
      </c>
      <c r="M381" s="264">
        <f>IFERROR(L381-(TBIcalc!$Q$9+TBIcalc!$Q$10),"")</f>
        <v>1.9641999999999999</v>
      </c>
      <c r="N381" s="385">
        <f>AVERAGE(Ashed_controlls!$K$12:$K$14)</f>
        <v>2.2816647271287041</v>
      </c>
      <c r="O381" s="264">
        <f t="shared" si="26"/>
        <v>1.919383541429738</v>
      </c>
      <c r="P381" s="264">
        <f>IFERROR(INDEX('Both teabags AfterDry'!$D$2:$D$2000,MATCH(K381,'Both teabags AfterDry'!$A$2:$A$2000,0)),"")</f>
        <v>1.7884</v>
      </c>
      <c r="Q381" s="264">
        <f>IFERROR(IF(P381&gt;0,P381-(TBIcalc!$Q$9),""),"")</f>
        <v>1.6377999999999999</v>
      </c>
      <c r="R381" s="275">
        <f>IFERROR(INDEX('Ashed teabags dry'!$K$2:$K$2000,MATCH(K381,'Ashed teabags dry'!$A$2:$A$2000,0)),"")</f>
        <v>5.077369439072041</v>
      </c>
      <c r="S381" s="275">
        <f t="shared" si="27"/>
        <v>1.554642843326878</v>
      </c>
      <c r="T381" s="265">
        <f>IF('Dry_Litterbag Placem_Collection'!E162="","",'Dry_Litterbag Placem_Collection'!E162)</f>
        <v>42939</v>
      </c>
      <c r="U381" s="265">
        <f>IF('Dry_Litterbag Placem_Collection'!G162="","",'Dry_Litterbag Placem_Collection'!G162)</f>
        <v>43010</v>
      </c>
      <c r="V381" s="266">
        <f t="shared" si="25"/>
        <v>71</v>
      </c>
      <c r="W381" s="264">
        <f t="shared" si="28"/>
        <v>0.32640000000000002</v>
      </c>
      <c r="X381" s="264">
        <f t="shared" si="29"/>
        <v>0.36474069810286003</v>
      </c>
      <c r="Y381" s="268">
        <f>IFERROR(INDEX(Rainfall_Dry!$O$2:$O$217,MATCH(B381, Rainfall_Dry!$A$2:$A$217,0)),"")</f>
        <v>137.19979645800001</v>
      </c>
      <c r="Z381" s="257">
        <v>27.96</v>
      </c>
      <c r="AA381" s="257">
        <v>4.9200000000000017</v>
      </c>
      <c r="AB381" s="257">
        <v>67.12</v>
      </c>
      <c r="AC381" s="258" t="s">
        <v>2654</v>
      </c>
      <c r="AD381" s="257">
        <v>8.0437161163134494</v>
      </c>
      <c r="AE381">
        <f>IF('WetLitterbags placem_collection'!AB162="","",'WetLitterbags placem_collection'!AB162)</f>
        <v>0.8</v>
      </c>
      <c r="AF381">
        <f>IF('WetLitterbags placem_collection'!Z162="","",'WetLitterbags placem_collection'!Z162)</f>
        <v>10.8</v>
      </c>
      <c r="AG381" s="243" t="str">
        <f>IF('WetLitterbags placem_collection'!AA162="","",'WetLitterbags placem_collection'!AA162)</f>
        <v>O</v>
      </c>
      <c r="AH381">
        <f>IF('WetLitterbags placem_collection'!AC162="","",'WetLitterbags placem_collection'!AC162)</f>
        <v>0</v>
      </c>
      <c r="AI381">
        <f>IFERROR(AVERAGE('Dry_Litterbag Placem_Collection'!O162,'Dry_Litterbag Placem_Collection'!R162),"")</f>
        <v>6.25</v>
      </c>
      <c r="AJ381" s="268">
        <f>IFERROR(AVERAGE('Dry_Litterbag Placem_Collection'!N162,'Dry_Litterbag Placem_Collection'!Q162),"")</f>
        <v>29.200000000000003</v>
      </c>
      <c r="AK381" s="267">
        <f>INDEX(Coordinates!$B$2:$B$197,MATCH(H381,Coordinates!$J$2:$J$197,0))</f>
        <v>-2.367547005</v>
      </c>
      <c r="AL381" s="267">
        <f>INDEX(Coordinates!$C$2:$C$197,MATCH(H381,Coordinates!$J$2:$J$197,0))</f>
        <v>34.059494989999997</v>
      </c>
      <c r="AM381" s="267" t="str">
        <f>IF(ISNUMBER(SEARCH("C", 'Dry_Litterbag Placem_Collection'!T162)),"YES","NO")</f>
        <v>NO</v>
      </c>
      <c r="AN381" s="267" t="str">
        <f>IF(ISNUMBER(SEARCH("H", 'Dry_Litterbag Placem_Collection'!T162)),"YES","NO")</f>
        <v>YES</v>
      </c>
      <c r="AO381" s="267" t="str">
        <f>IF(ISNUMBER(SEARCH("R", 'Dry_Litterbag Placem_Collection'!T162)),"YES","NO")</f>
        <v>NO</v>
      </c>
    </row>
    <row r="382" spans="1:41" ht="15" customHeight="1">
      <c r="A382" s="259" t="s">
        <v>2643</v>
      </c>
      <c r="B382" s="260">
        <f>'Dry_Litterbag Placem_Collection'!A163</f>
        <v>161</v>
      </c>
      <c r="C382" s="260" t="str">
        <f>'Dry_Litterbag Placem_Collection'!B163</f>
        <v>Handajega</v>
      </c>
      <c r="D382" s="260" t="s">
        <v>2454</v>
      </c>
      <c r="E382" s="260" t="s">
        <v>2645</v>
      </c>
      <c r="F382" s="260">
        <v>1</v>
      </c>
      <c r="G382" s="260" t="s">
        <v>3825</v>
      </c>
      <c r="H382" s="261" t="str">
        <f>'Dry_Litterbag Placem_Collection'!C163</f>
        <v>Wet_W1_T1</v>
      </c>
      <c r="I382" s="262" t="s">
        <v>2525</v>
      </c>
      <c r="J382" s="269" t="s">
        <v>298</v>
      </c>
      <c r="K382" s="260" t="str">
        <f>IF(ISBLANK('Dry_Litterbag Placem_Collection'!K163),"","R"&amp;""&amp;'Dry_Litterbag Placem_Collection'!K163)</f>
        <v>R673</v>
      </c>
      <c r="L382" s="264">
        <f>IFERROR(INDEX('Green_rooibos initial weight'!$C$5:$C$2000,MATCH(K382, 'Green_rooibos initial weight'!$A$5:$A$2000,0)),"")</f>
        <v>2.121</v>
      </c>
      <c r="M382" s="264">
        <f>IFERROR(L382-(TBIcalc!$Q$9+TBIcalc!$Q$10),"")</f>
        <v>1.8712</v>
      </c>
      <c r="N382" s="385">
        <f>AVERAGE(Ashed_controlls!$K$12:$K$14)</f>
        <v>2.2816647271287041</v>
      </c>
      <c r="O382" s="264">
        <f t="shared" si="26"/>
        <v>1.8285054896259676</v>
      </c>
      <c r="P382" s="264">
        <f>IFERROR(INDEX('Both teabags AfterDry'!$D$2:$D$2000,MATCH(K382,'Both teabags AfterDry'!$A$2:$A$2000,0)),"")</f>
        <v>1.1623000000000001</v>
      </c>
      <c r="Q382" s="264">
        <f>IFERROR(IF(P382&gt;0,P382-(TBIcalc!$Q$9),""),"")</f>
        <v>1.0117</v>
      </c>
      <c r="R382" s="275">
        <f>IFERROR(INDEX('Ashed teabags dry'!$K$2:$K$2000,MATCH(K382,'Ashed teabags dry'!$A$2:$A$2000,0)),"")</f>
        <v>32.285429141716598</v>
      </c>
      <c r="S382" s="275">
        <f t="shared" si="27"/>
        <v>0.68506831337325313</v>
      </c>
      <c r="T382" s="265">
        <f>IF('Dry_Litterbag Placem_Collection'!E163="","",'Dry_Litterbag Placem_Collection'!E163)</f>
        <v>42940</v>
      </c>
      <c r="U382" s="265">
        <f>IF('Dry_Litterbag Placem_Collection'!G163="","",'Dry_Litterbag Placem_Collection'!G163)</f>
        <v>43009</v>
      </c>
      <c r="V382" s="266">
        <f t="shared" si="25"/>
        <v>69</v>
      </c>
      <c r="W382" s="264">
        <f t="shared" si="28"/>
        <v>0.85949999999999993</v>
      </c>
      <c r="X382" s="264">
        <f t="shared" si="29"/>
        <v>1.1434371762527145</v>
      </c>
      <c r="Y382" s="268">
        <f>IFERROR(INDEX(Rainfall_Dry!$O$2:$O$217,MATCH(B382, Rainfall_Dry!$A$2:$A$217,0)),"")</f>
        <v>162.634207253</v>
      </c>
      <c r="Z382" s="257">
        <v>21.96</v>
      </c>
      <c r="AA382" s="257">
        <v>4.9199999999999982</v>
      </c>
      <c r="AB382" s="257">
        <v>73.12</v>
      </c>
      <c r="AC382" s="258" t="s">
        <v>2654</v>
      </c>
      <c r="AD382" s="257">
        <v>1.2416954164613114</v>
      </c>
      <c r="AE382">
        <f>IF('WetLitterbags placem_collection'!AB163="","",'WetLitterbags placem_collection'!AB163)</f>
        <v>7.6</v>
      </c>
      <c r="AF382">
        <f>IF('WetLitterbags placem_collection'!Z163="","",'WetLitterbags placem_collection'!Z163)</f>
        <v>35.799999999999997</v>
      </c>
      <c r="AG382" s="243" t="str">
        <f>IF('WetLitterbags placem_collection'!AA163="","",'WetLitterbags placem_collection'!AA163)</f>
        <v>M</v>
      </c>
      <c r="AH382">
        <f>IF('WetLitterbags placem_collection'!AC163="","",'WetLitterbags placem_collection'!AC163)</f>
        <v>0</v>
      </c>
      <c r="AI382">
        <f>IFERROR(AVERAGE('Dry_Litterbag Placem_Collection'!O163,'Dry_Litterbag Placem_Collection'!R163),"")</f>
        <v>5.65</v>
      </c>
      <c r="AJ382" s="268">
        <f>IFERROR(AVERAGE('Dry_Litterbag Placem_Collection'!N163,'Dry_Litterbag Placem_Collection'!Q163),"")</f>
        <v>31.7</v>
      </c>
      <c r="AK382" s="267">
        <f>INDEX(Coordinates!$B$2:$B$197,MATCH(H382,Coordinates!$J$2:$J$197,0))</f>
        <v>-2.272751033</v>
      </c>
      <c r="AL382" s="267">
        <f>INDEX(Coordinates!$C$2:$C$197,MATCH(H382,Coordinates!$J$2:$J$197,0))</f>
        <v>34.023176030000002</v>
      </c>
      <c r="AM382" s="267" t="str">
        <f>IF(ISNUMBER(SEARCH("C", 'Dry_Litterbag Placem_Collection'!T163)),"YES","NO")</f>
        <v>NO</v>
      </c>
      <c r="AN382" s="267" t="str">
        <f>IF(ISNUMBER(SEARCH("H", 'Dry_Litterbag Placem_Collection'!T163)),"YES","NO")</f>
        <v>YES</v>
      </c>
      <c r="AO382" s="267" t="str">
        <f>IF(ISNUMBER(SEARCH("R", 'Dry_Litterbag Placem_Collection'!T163)),"YES","NO")</f>
        <v>NO</v>
      </c>
    </row>
    <row r="383" spans="1:41" ht="15" customHeight="1">
      <c r="A383" s="259" t="s">
        <v>2643</v>
      </c>
      <c r="B383" s="260">
        <f>'Dry_Litterbag Placem_Collection'!A164</f>
        <v>162</v>
      </c>
      <c r="C383" s="260" t="str">
        <f>'Dry_Litterbag Placem_Collection'!B164</f>
        <v>Handajega</v>
      </c>
      <c r="D383" s="260" t="s">
        <v>2454</v>
      </c>
      <c r="E383" s="260" t="s">
        <v>2645</v>
      </c>
      <c r="F383" s="260">
        <v>1</v>
      </c>
      <c r="G383" s="260" t="s">
        <v>3825</v>
      </c>
      <c r="H383" s="261" t="str">
        <f>'Dry_Litterbag Placem_Collection'!C164</f>
        <v>Wet_W1_T2</v>
      </c>
      <c r="I383" s="262" t="s">
        <v>2525</v>
      </c>
      <c r="J383" s="269" t="s">
        <v>298</v>
      </c>
      <c r="K383" s="260" t="str">
        <f>IF(ISBLANK('Dry_Litterbag Placem_Collection'!K164),"","R"&amp;""&amp;'Dry_Litterbag Placem_Collection'!K164)</f>
        <v>R814</v>
      </c>
      <c r="L383" s="264">
        <f>IFERROR(INDEX('Green_rooibos initial weight'!$C$5:$C$2000,MATCH(K383, 'Green_rooibos initial weight'!$A$5:$A$2000,0)),"")</f>
        <v>2.2210000000000001</v>
      </c>
      <c r="M383" s="264">
        <f>IFERROR(L383-(TBIcalc!$Q$9+TBIcalc!$Q$10),"")</f>
        <v>1.9712000000000001</v>
      </c>
      <c r="N383" s="385">
        <f>AVERAGE(Ashed_controlls!$K$12:$K$14)</f>
        <v>2.2816647271287041</v>
      </c>
      <c r="O383" s="264">
        <f t="shared" si="26"/>
        <v>1.926223824898839</v>
      </c>
      <c r="P383" s="264">
        <f>IFERROR(INDEX('Both teabags AfterDry'!$D$2:$D$2000,MATCH(K383,'Both teabags AfterDry'!$A$2:$A$2000,0)),"")</f>
        <v>2.4714999999999998</v>
      </c>
      <c r="Q383" s="264">
        <f>IFERROR(IF(P383&gt;0,P383-(TBIcalc!$Q$9),""),"")</f>
        <v>2.3209</v>
      </c>
      <c r="R383" s="275">
        <f>IFERROR(INDEX('Ashed teabags dry'!$K$2:$K$2000,MATCH(K383,'Ashed teabags dry'!$A$2:$A$2000,0)),"")</f>
        <v>91.237322515213222</v>
      </c>
      <c r="S383" s="275">
        <f t="shared" si="27"/>
        <v>0.20337298174441631</v>
      </c>
      <c r="T383" s="265">
        <f>IF('Dry_Litterbag Placem_Collection'!E164="","",'Dry_Litterbag Placem_Collection'!E164)</f>
        <v>42940</v>
      </c>
      <c r="U383" s="265">
        <f>IF('Dry_Litterbag Placem_Collection'!G164="","",'Dry_Litterbag Placem_Collection'!G164)</f>
        <v>43009</v>
      </c>
      <c r="V383" s="266">
        <f t="shared" si="25"/>
        <v>69</v>
      </c>
      <c r="W383" s="264">
        <f t="shared" si="28"/>
        <v>-0.3496999999999999</v>
      </c>
      <c r="X383" s="264">
        <f t="shared" si="29"/>
        <v>1.7228508431544227</v>
      </c>
      <c r="Y383" s="268">
        <f>IFERROR(INDEX(Rainfall_Dry!$O$2:$O$217,MATCH(B383, Rainfall_Dry!$A$2:$A$217,0)),"")</f>
        <v>162.634207253</v>
      </c>
      <c r="Z383" s="257">
        <v>21.96</v>
      </c>
      <c r="AA383" s="257">
        <v>4.9199999999999982</v>
      </c>
      <c r="AB383" s="257">
        <v>73.12</v>
      </c>
      <c r="AC383" s="258" t="s">
        <v>2654</v>
      </c>
      <c r="AD383" s="257">
        <v>2.2416954164613099</v>
      </c>
      <c r="AE383">
        <f>IF('WetLitterbags placem_collection'!AB164="","",'WetLitterbags placem_collection'!AB164)</f>
        <v>4.0999999999999996</v>
      </c>
      <c r="AF383">
        <f>IF('WetLitterbags placem_collection'!Z164="","",'WetLitterbags placem_collection'!Z164)</f>
        <v>31.4</v>
      </c>
      <c r="AG383" s="243" t="str">
        <f>IF('WetLitterbags placem_collection'!AA164="","",'WetLitterbags placem_collection'!AA164)</f>
        <v>M</v>
      </c>
      <c r="AH383">
        <f>IF('WetLitterbags placem_collection'!AC164="","",'WetLitterbags placem_collection'!AC164)</f>
        <v>0</v>
      </c>
      <c r="AI383">
        <f>IFERROR(AVERAGE('Dry_Litterbag Placem_Collection'!O164,'Dry_Litterbag Placem_Collection'!R164),"")</f>
        <v>4.4499999999999993</v>
      </c>
      <c r="AJ383" s="268">
        <f>IFERROR(AVERAGE('Dry_Litterbag Placem_Collection'!N164,'Dry_Litterbag Placem_Collection'!Q164),"")</f>
        <v>31.650000000000002</v>
      </c>
      <c r="AK383" s="267">
        <f>INDEX(Coordinates!$B$2:$B$197,MATCH(H383,Coordinates!$J$2:$J$197,0))</f>
        <v>-2.2727060219999999</v>
      </c>
      <c r="AL383" s="267">
        <f>INDEX(Coordinates!$C$2:$C$197,MATCH(H383,Coordinates!$J$2:$J$197,0))</f>
        <v>34.023162030000002</v>
      </c>
      <c r="AM383" s="267" t="str">
        <f>IF(ISNUMBER(SEARCH("C", 'Dry_Litterbag Placem_Collection'!T164)),"YES","NO")</f>
        <v>YES</v>
      </c>
      <c r="AN383" s="267" t="str">
        <f>IF(ISNUMBER(SEARCH("H", 'Dry_Litterbag Placem_Collection'!T164)),"YES","NO")</f>
        <v>YES</v>
      </c>
      <c r="AO383" s="267" t="str">
        <f>IF(ISNUMBER(SEARCH("R", 'Dry_Litterbag Placem_Collection'!T164)),"YES","NO")</f>
        <v>NO</v>
      </c>
    </row>
    <row r="384" spans="1:41" ht="15" customHeight="1">
      <c r="A384" s="259" t="s">
        <v>2643</v>
      </c>
      <c r="B384" s="260">
        <f>'Dry_Litterbag Placem_Collection'!A165</f>
        <v>163</v>
      </c>
      <c r="C384" s="260" t="str">
        <f>'Dry_Litterbag Placem_Collection'!B165</f>
        <v>Handajega</v>
      </c>
      <c r="D384" s="260" t="s">
        <v>2454</v>
      </c>
      <c r="E384" s="260" t="s">
        <v>2645</v>
      </c>
      <c r="F384" s="260">
        <v>1</v>
      </c>
      <c r="G384" s="260" t="s">
        <v>3825</v>
      </c>
      <c r="H384" s="261" t="str">
        <f>'Dry_Litterbag Placem_Collection'!C165</f>
        <v>Wet_W1_T3</v>
      </c>
      <c r="I384" s="262" t="s">
        <v>2525</v>
      </c>
      <c r="J384" s="269" t="s">
        <v>298</v>
      </c>
      <c r="K384" s="260" t="str">
        <f>IF(ISBLANK('Dry_Litterbag Placem_Collection'!K165),"","R"&amp;""&amp;'Dry_Litterbag Placem_Collection'!K165)</f>
        <v>R615</v>
      </c>
      <c r="L384" s="264">
        <f>IFERROR(INDEX('Green_rooibos initial weight'!$C$5:$C$2000,MATCH(K384, 'Green_rooibos initial weight'!$A$5:$A$2000,0)),"")</f>
        <v>2.157</v>
      </c>
      <c r="M384" s="264">
        <f>IFERROR(L384-(TBIcalc!$Q$9+TBIcalc!$Q$10),"")</f>
        <v>1.9072</v>
      </c>
      <c r="N384" s="385">
        <f>AVERAGE(Ashed_controlls!$K$12:$K$14)</f>
        <v>2.2816647271287041</v>
      </c>
      <c r="O384" s="264">
        <f t="shared" si="26"/>
        <v>1.8636840903242013</v>
      </c>
      <c r="P384" s="264">
        <f>IFERROR(INDEX('Both teabags AfterDry'!$D$2:$D$2000,MATCH(K384,'Both teabags AfterDry'!$A$2:$A$2000,0)),"")</f>
        <v>1.4872000000000001</v>
      </c>
      <c r="Q384" s="264">
        <f>IFERROR(IF(P384&gt;0,P384-(TBIcalc!$Q$9),""),"")</f>
        <v>1.3366</v>
      </c>
      <c r="R384" s="275">
        <f>IFERROR(INDEX('Ashed teabags dry'!$K$2:$K$2000,MATCH(K384,'Ashed teabags dry'!$A$2:$A$2000,0)),"")</f>
        <v>30.154767848227259</v>
      </c>
      <c r="S384" s="275">
        <f t="shared" si="27"/>
        <v>0.93355137294059443</v>
      </c>
      <c r="T384" s="265">
        <f>IF('Dry_Litterbag Placem_Collection'!E165="","",'Dry_Litterbag Placem_Collection'!E165)</f>
        <v>42940</v>
      </c>
      <c r="U384" s="265">
        <f>IF('Dry_Litterbag Placem_Collection'!G165="","",'Dry_Litterbag Placem_Collection'!G165)</f>
        <v>43009</v>
      </c>
      <c r="V384" s="266">
        <f t="shared" si="25"/>
        <v>69</v>
      </c>
      <c r="W384" s="264">
        <f t="shared" si="28"/>
        <v>0.5706</v>
      </c>
      <c r="X384" s="264">
        <f t="shared" si="29"/>
        <v>0.93013271738360692</v>
      </c>
      <c r="Y384" s="268">
        <f>IFERROR(INDEX(Rainfall_Dry!$O$2:$O$217,MATCH(B384, Rainfall_Dry!$A$2:$A$217,0)),"")</f>
        <v>162.634207253</v>
      </c>
      <c r="Z384" s="257">
        <v>21.96</v>
      </c>
      <c r="AA384" s="257">
        <v>4.9199999999999982</v>
      </c>
      <c r="AB384" s="257">
        <v>73.12</v>
      </c>
      <c r="AC384" s="258" t="s">
        <v>2654</v>
      </c>
      <c r="AD384" s="257">
        <v>3.2416954164613099</v>
      </c>
      <c r="AE384">
        <f>IF('WetLitterbags placem_collection'!AB165="","",'WetLitterbags placem_collection'!AB165)</f>
        <v>7.8</v>
      </c>
      <c r="AF384">
        <f>IF('WetLitterbags placem_collection'!Z165="","",'WetLitterbags placem_collection'!Z165)</f>
        <v>28.8</v>
      </c>
      <c r="AG384" s="243" t="str">
        <f>IF('WetLitterbags placem_collection'!AA165="","",'WetLitterbags placem_collection'!AA165)</f>
        <v>M</v>
      </c>
      <c r="AH384">
        <f>IF('WetLitterbags placem_collection'!AC165="","",'WetLitterbags placem_collection'!AC165)</f>
        <v>0</v>
      </c>
      <c r="AI384">
        <f>IFERROR(AVERAGE('Dry_Litterbag Placem_Collection'!O165,'Dry_Litterbag Placem_Collection'!R165),"")</f>
        <v>4.45</v>
      </c>
      <c r="AJ384" s="268">
        <f>IFERROR(AVERAGE('Dry_Litterbag Placem_Collection'!N165,'Dry_Litterbag Placem_Collection'!Q165),"")</f>
        <v>32.75</v>
      </c>
      <c r="AK384" s="267">
        <f>INDEX(Coordinates!$B$2:$B$197,MATCH(H384,Coordinates!$J$2:$J$197,0))</f>
        <v>-2.2726719919999998</v>
      </c>
      <c r="AL384" s="267">
        <f>INDEX(Coordinates!$C$2:$C$197,MATCH(H384,Coordinates!$J$2:$J$197,0))</f>
        <v>34.023210980000002</v>
      </c>
      <c r="AM384" s="267" t="str">
        <f>IF(ISNUMBER(SEARCH("C", 'Dry_Litterbag Placem_Collection'!T165)),"YES","NO")</f>
        <v>NO</v>
      </c>
      <c r="AN384" s="267" t="str">
        <f>IF(ISNUMBER(SEARCH("H", 'Dry_Litterbag Placem_Collection'!T165)),"YES","NO")</f>
        <v>YES</v>
      </c>
      <c r="AO384" s="267" t="str">
        <f>IF(ISNUMBER(SEARCH("R", 'Dry_Litterbag Placem_Collection'!T165)),"YES","NO")</f>
        <v>NO</v>
      </c>
    </row>
    <row r="385" spans="1:41" ht="15" customHeight="1">
      <c r="A385" s="259" t="s">
        <v>2643</v>
      </c>
      <c r="B385" s="260">
        <f>'Dry_Litterbag Placem_Collection'!A166</f>
        <v>164</v>
      </c>
      <c r="C385" s="260" t="str">
        <f>'Dry_Litterbag Placem_Collection'!B166</f>
        <v>Handajega</v>
      </c>
      <c r="D385" s="260" t="s">
        <v>2454</v>
      </c>
      <c r="E385" s="260" t="s">
        <v>2645</v>
      </c>
      <c r="F385" s="260">
        <v>1</v>
      </c>
      <c r="G385" s="260" t="s">
        <v>3825</v>
      </c>
      <c r="H385" s="261" t="str">
        <f>'Dry_Litterbag Placem_Collection'!C166</f>
        <v>Wet_W1_T4</v>
      </c>
      <c r="I385" s="262" t="s">
        <v>2525</v>
      </c>
      <c r="J385" s="269" t="s">
        <v>298</v>
      </c>
      <c r="K385" s="260" t="str">
        <f>IF(ISBLANK('Dry_Litterbag Placem_Collection'!K166),"","R"&amp;""&amp;'Dry_Litterbag Placem_Collection'!K166)</f>
        <v>R514</v>
      </c>
      <c r="L385" s="264">
        <f>IFERROR(INDEX('Green_rooibos initial weight'!$C$5:$C$2000,MATCH(K385, 'Green_rooibos initial weight'!$A$5:$A$2000,0)),"")</f>
        <v>2.1059999999999999</v>
      </c>
      <c r="M385" s="264">
        <f>IFERROR(L385-(TBIcalc!$Q$9+TBIcalc!$Q$10),"")</f>
        <v>1.8561999999999999</v>
      </c>
      <c r="N385" s="385">
        <f>AVERAGE(Ashed_controlls!$K$12:$K$14)</f>
        <v>2.2816647271287041</v>
      </c>
      <c r="O385" s="264">
        <f t="shared" si="26"/>
        <v>1.8138477393350367</v>
      </c>
      <c r="P385" s="264">
        <f>IFERROR(INDEX('Both teabags AfterDry'!$D$2:$D$2000,MATCH(K385,'Both teabags AfterDry'!$A$2:$A$2000,0)),"")</f>
        <v>1.8293999999999999</v>
      </c>
      <c r="Q385" s="264">
        <f>IFERROR(IF(P385&gt;0,P385-(TBIcalc!$Q$9),""),"")</f>
        <v>1.6787999999999998</v>
      </c>
      <c r="R385" s="275">
        <f>IFERROR(INDEX('Ashed teabags dry'!$K$2:$K$2000,MATCH(K385,'Ashed teabags dry'!$A$2:$A$2000,0)),"")</f>
        <v>11.27856101118171</v>
      </c>
      <c r="S385" s="275">
        <f t="shared" si="27"/>
        <v>1.4894555177442814</v>
      </c>
      <c r="T385" s="265">
        <f>IF('Dry_Litterbag Placem_Collection'!E166="","",'Dry_Litterbag Placem_Collection'!E166)</f>
        <v>42940</v>
      </c>
      <c r="U385" s="265">
        <f>IF('Dry_Litterbag Placem_Collection'!G166="","",'Dry_Litterbag Placem_Collection'!G166)</f>
        <v>43009</v>
      </c>
      <c r="V385" s="266">
        <f t="shared" si="25"/>
        <v>69</v>
      </c>
      <c r="W385" s="264">
        <f t="shared" si="28"/>
        <v>0.1774</v>
      </c>
      <c r="X385" s="264">
        <f t="shared" si="29"/>
        <v>0.32439222159075531</v>
      </c>
      <c r="Y385" s="268">
        <f>IFERROR(INDEX(Rainfall_Dry!$O$2:$O$217,MATCH(B385, Rainfall_Dry!$A$2:$A$217,0)),"")</f>
        <v>162.634207253</v>
      </c>
      <c r="Z385" s="257">
        <v>21.96</v>
      </c>
      <c r="AA385" s="257">
        <v>4.9199999999999982</v>
      </c>
      <c r="AB385" s="257">
        <v>73.12</v>
      </c>
      <c r="AC385" s="258" t="s">
        <v>2654</v>
      </c>
      <c r="AD385" s="257">
        <v>4.2416954164613099</v>
      </c>
      <c r="AE385">
        <f>IF('WetLitterbags placem_collection'!AB166="","",'WetLitterbags placem_collection'!AB166)</f>
        <v>9.5</v>
      </c>
      <c r="AF385">
        <f>IF('WetLitterbags placem_collection'!Z166="","",'WetLitterbags placem_collection'!Z166)</f>
        <v>20.8</v>
      </c>
      <c r="AG385" s="243" t="str">
        <f>IF('WetLitterbags placem_collection'!AA166="","",'WetLitterbags placem_collection'!AA166)</f>
        <v>M</v>
      </c>
      <c r="AH385">
        <f>IF('WetLitterbags placem_collection'!AC166="","",'WetLitterbags placem_collection'!AC166)</f>
        <v>0</v>
      </c>
      <c r="AI385">
        <f>IFERROR(AVERAGE('Dry_Litterbag Placem_Collection'!O166,'Dry_Litterbag Placem_Collection'!R166),"")</f>
        <v>5.0500000000000007</v>
      </c>
      <c r="AJ385" s="268">
        <f>IFERROR(AVERAGE('Dry_Litterbag Placem_Collection'!N166,'Dry_Litterbag Placem_Collection'!Q166),"")</f>
        <v>31.3</v>
      </c>
      <c r="AK385" s="267">
        <f>INDEX(Coordinates!$B$2:$B$197,MATCH(H385,Coordinates!$J$2:$J$197,0))</f>
        <v>-2.2726180130000002</v>
      </c>
      <c r="AL385" s="267">
        <f>INDEX(Coordinates!$C$2:$C$197,MATCH(H385,Coordinates!$J$2:$J$197,0))</f>
        <v>34.023212999999998</v>
      </c>
      <c r="AM385" s="267" t="str">
        <f>IF(ISNUMBER(SEARCH("C", 'Dry_Litterbag Placem_Collection'!T166)),"YES","NO")</f>
        <v>NO</v>
      </c>
      <c r="AN385" s="267" t="str">
        <f>IF(ISNUMBER(SEARCH("H", 'Dry_Litterbag Placem_Collection'!T166)),"YES","NO")</f>
        <v>NO</v>
      </c>
      <c r="AO385" s="267" t="str">
        <f>IF(ISNUMBER(SEARCH("R", 'Dry_Litterbag Placem_Collection'!T166)),"YES","NO")</f>
        <v>NO</v>
      </c>
    </row>
    <row r="386" spans="1:41" ht="15" customHeight="1">
      <c r="A386" s="259" t="s">
        <v>2643</v>
      </c>
      <c r="B386" s="260">
        <f>'Dry_Litterbag Placem_Collection'!A167</f>
        <v>165</v>
      </c>
      <c r="C386" s="260" t="str">
        <f>'Dry_Litterbag Placem_Collection'!B167</f>
        <v>Handajega</v>
      </c>
      <c r="D386" s="260" t="s">
        <v>2454</v>
      </c>
      <c r="E386" s="260" t="s">
        <v>2645</v>
      </c>
      <c r="F386" s="260">
        <v>1</v>
      </c>
      <c r="G386" s="260" t="s">
        <v>3825</v>
      </c>
      <c r="H386" s="261" t="str">
        <f>'Dry_Litterbag Placem_Collection'!C167</f>
        <v>Wet_W1_T5</v>
      </c>
      <c r="I386" s="262" t="s">
        <v>2525</v>
      </c>
      <c r="J386" s="269" t="s">
        <v>298</v>
      </c>
      <c r="K386" s="260" t="str">
        <f>IF(ISBLANK('Dry_Litterbag Placem_Collection'!K167),"","R"&amp;""&amp;'Dry_Litterbag Placem_Collection'!K167)</f>
        <v>R127</v>
      </c>
      <c r="L386" s="264">
        <f>IFERROR(INDEX('Green_rooibos initial weight'!$C$5:$C$2000,MATCH(K386, 'Green_rooibos initial weight'!$A$5:$A$2000,0)),"")</f>
        <v>2.1869999999999998</v>
      </c>
      <c r="M386" s="264">
        <f>IFERROR(L386-(TBIcalc!$Q$9+TBIcalc!$Q$10),"")</f>
        <v>1.9371999999999998</v>
      </c>
      <c r="N386" s="385">
        <f>AVERAGE(Ashed_controlls!$K$12:$K$14)</f>
        <v>2.2816647271287041</v>
      </c>
      <c r="O386" s="264">
        <f t="shared" si="26"/>
        <v>1.8929995909060626</v>
      </c>
      <c r="P386" s="264">
        <f>IFERROR(INDEX('Both teabags AfterDry'!$D$2:$D$2000,MATCH(K386,'Both teabags AfterDry'!$A$2:$A$2000,0)),"")</f>
        <v>1.7946</v>
      </c>
      <c r="Q386" s="264">
        <f>IFERROR(IF(P386&gt;0,P386-(TBIcalc!$Q$9),""),"")</f>
        <v>1.6439999999999999</v>
      </c>
      <c r="R386" s="275">
        <f>IFERROR(INDEX('Ashed teabags dry'!$K$2:$K$2000,MATCH(K386,'Ashed teabags dry'!$A$2:$A$2000,0)),"")</f>
        <v>16.392649903288074</v>
      </c>
      <c r="S386" s="275">
        <f t="shared" si="27"/>
        <v>1.3745048355899441</v>
      </c>
      <c r="T386" s="265">
        <f>IF('Dry_Litterbag Placem_Collection'!E167="","",'Dry_Litterbag Placem_Collection'!E167)</f>
        <v>42940</v>
      </c>
      <c r="U386" s="265">
        <f>IF('Dry_Litterbag Placem_Collection'!G167="","",'Dry_Litterbag Placem_Collection'!G167)</f>
        <v>43009</v>
      </c>
      <c r="V386" s="266">
        <f t="shared" ref="V386:V449" si="30">IFERROR(U386-T386,"")</f>
        <v>69</v>
      </c>
      <c r="W386" s="264">
        <f t="shared" si="28"/>
        <v>0.29319999999999991</v>
      </c>
      <c r="X386" s="264">
        <f t="shared" si="29"/>
        <v>0.51849475531611855</v>
      </c>
      <c r="Y386" s="268">
        <f>IFERROR(INDEX(Rainfall_Dry!$O$2:$O$217,MATCH(B386, Rainfall_Dry!$A$2:$A$217,0)),"")</f>
        <v>162.634207253</v>
      </c>
      <c r="Z386" s="257">
        <v>21.96</v>
      </c>
      <c r="AA386" s="257">
        <v>4.9199999999999982</v>
      </c>
      <c r="AB386" s="257">
        <v>73.12</v>
      </c>
      <c r="AC386" s="258" t="s">
        <v>2654</v>
      </c>
      <c r="AD386" s="257">
        <v>5.2416954164613099</v>
      </c>
      <c r="AE386">
        <f>IF('WetLitterbags placem_collection'!AB167="","",'WetLitterbags placem_collection'!AB167)</f>
        <v>10.4</v>
      </c>
      <c r="AF386">
        <f>IF('WetLitterbags placem_collection'!Z167="","",'WetLitterbags placem_collection'!Z167)</f>
        <v>13.8</v>
      </c>
      <c r="AG386" s="243" t="str">
        <f>IF('WetLitterbags placem_collection'!AA167="","",'WetLitterbags placem_collection'!AA167)</f>
        <v>M</v>
      </c>
      <c r="AH386">
        <f>IF('WetLitterbags placem_collection'!AC167="","",'WetLitterbags placem_collection'!AC167)</f>
        <v>0</v>
      </c>
      <c r="AI386">
        <f>IFERROR(AVERAGE('Dry_Litterbag Placem_Collection'!O167,'Dry_Litterbag Placem_Collection'!R167),"")</f>
        <v>5.3000000000000007</v>
      </c>
      <c r="AJ386" s="268">
        <f>IFERROR(AVERAGE('Dry_Litterbag Placem_Collection'!N167,'Dry_Litterbag Placem_Collection'!Q167),"")</f>
        <v>32.049999999999997</v>
      </c>
      <c r="AK386" s="267">
        <f>INDEX(Coordinates!$B$2:$B$197,MATCH(H386,Coordinates!$J$2:$J$197,0))</f>
        <v>-2.2724750170000001</v>
      </c>
      <c r="AL386" s="267">
        <f>INDEX(Coordinates!$C$2:$C$197,MATCH(H386,Coordinates!$J$2:$J$197,0))</f>
        <v>34.02334501</v>
      </c>
      <c r="AM386" s="267" t="str">
        <f>IF(ISNUMBER(SEARCH("C", 'Dry_Litterbag Placem_Collection'!T167)),"YES","NO")</f>
        <v>NO</v>
      </c>
      <c r="AN386" s="267" t="str">
        <f>IF(ISNUMBER(SEARCH("H", 'Dry_Litterbag Placem_Collection'!T167)),"YES","NO")</f>
        <v>NO</v>
      </c>
      <c r="AO386" s="267" t="str">
        <f>IF(ISNUMBER(SEARCH("R", 'Dry_Litterbag Placem_Collection'!T167)),"YES","NO")</f>
        <v>NO</v>
      </c>
    </row>
    <row r="387" spans="1:41" ht="15" customHeight="1">
      <c r="A387" s="259" t="s">
        <v>2643</v>
      </c>
      <c r="B387" s="260">
        <f>'Dry_Litterbag Placem_Collection'!A168</f>
        <v>166</v>
      </c>
      <c r="C387" s="260" t="str">
        <f>'Dry_Litterbag Placem_Collection'!B168</f>
        <v>Handajega</v>
      </c>
      <c r="D387" s="260" t="s">
        <v>2454</v>
      </c>
      <c r="E387" s="260" t="s">
        <v>2645</v>
      </c>
      <c r="F387" s="260">
        <v>1</v>
      </c>
      <c r="G387" s="260" t="s">
        <v>3825</v>
      </c>
      <c r="H387" s="261" t="str">
        <f>'Dry_Litterbag Placem_Collection'!C168</f>
        <v>Wet_W1_T6</v>
      </c>
      <c r="I387" s="262" t="s">
        <v>2525</v>
      </c>
      <c r="J387" s="269" t="s">
        <v>298</v>
      </c>
      <c r="K387" s="260" t="str">
        <f>IF(ISBLANK('Dry_Litterbag Placem_Collection'!K168),"","R"&amp;""&amp;'Dry_Litterbag Placem_Collection'!K168)</f>
        <v>R752</v>
      </c>
      <c r="L387" s="264">
        <f>IFERROR(INDEX('Green_rooibos initial weight'!$C$5:$C$2000,MATCH(K387, 'Green_rooibos initial weight'!$A$5:$A$2000,0)),"")</f>
        <v>2.1970000000000001</v>
      </c>
      <c r="M387" s="264">
        <f>IFERROR(L387-(TBIcalc!$Q$9+TBIcalc!$Q$10),"")</f>
        <v>1.9472</v>
      </c>
      <c r="N387" s="385">
        <f>AVERAGE(Ashed_controlls!$K$12:$K$14)</f>
        <v>2.2816647271287041</v>
      </c>
      <c r="O387" s="264">
        <f t="shared" ref="O387:O450" si="31">IFERROR(M387-(N387/100)*M387,"")</f>
        <v>1.90277142443335</v>
      </c>
      <c r="P387" s="264">
        <f>IFERROR(INDEX('Both teabags AfterDry'!$D$2:$D$2000,MATCH(K387,'Both teabags AfterDry'!$A$2:$A$2000,0)),"")</f>
        <v>1.6897</v>
      </c>
      <c r="Q387" s="264">
        <f>IFERROR(IF(P387&gt;0,P387-(TBIcalc!$Q$9),""),"")</f>
        <v>1.5390999999999999</v>
      </c>
      <c r="R387" s="275">
        <f>IFERROR(INDEX('Ashed teabags dry'!$K$2:$K$2000,MATCH(K387,'Ashed teabags dry'!$A$2:$A$2000,0)),"")</f>
        <v>8.4949215143121215</v>
      </c>
      <c r="S387" s="275">
        <f t="shared" ref="S387:S450" si="32">IFERROR(Q387-(R387/100)*Q387,"")</f>
        <v>1.408354662973222</v>
      </c>
      <c r="T387" s="265">
        <f>IF('Dry_Litterbag Placem_Collection'!E168="","",'Dry_Litterbag Placem_Collection'!E168)</f>
        <v>42940</v>
      </c>
      <c r="U387" s="265">
        <f>IF('Dry_Litterbag Placem_Collection'!G168="","",'Dry_Litterbag Placem_Collection'!G168)</f>
        <v>43009</v>
      </c>
      <c r="V387" s="266">
        <f t="shared" si="30"/>
        <v>69</v>
      </c>
      <c r="W387" s="264">
        <f t="shared" ref="W387:W450" si="33">IFERROR(M387-Q387,"")</f>
        <v>0.40810000000000013</v>
      </c>
      <c r="X387" s="264">
        <f t="shared" ref="X387:X450" si="34">IFERROR(O387-S387,"")</f>
        <v>0.49441676146012803</v>
      </c>
      <c r="Y387" s="268">
        <f>IFERROR(INDEX(Rainfall_Dry!$O$2:$O$217,MATCH(B387, Rainfall_Dry!$A$2:$A$217,0)),"")</f>
        <v>162.634207253</v>
      </c>
      <c r="Z387" s="257">
        <v>21.96</v>
      </c>
      <c r="AA387" s="257">
        <v>4.9199999999999982</v>
      </c>
      <c r="AB387" s="257">
        <v>73.12</v>
      </c>
      <c r="AC387" s="258" t="s">
        <v>2654</v>
      </c>
      <c r="AD387" s="257">
        <v>6.2416954164613099</v>
      </c>
      <c r="AE387">
        <f>IF('WetLitterbags placem_collection'!AB168="","",'WetLitterbags placem_collection'!AB168)</f>
        <v>2.1</v>
      </c>
      <c r="AF387">
        <f>IF('WetLitterbags placem_collection'!Z168="","",'WetLitterbags placem_collection'!Z168)</f>
        <v>4.7</v>
      </c>
      <c r="AG387" s="243" t="str">
        <f>IF('WetLitterbags placem_collection'!AA168="","",'WetLitterbags placem_collection'!AA168)</f>
        <v>M</v>
      </c>
      <c r="AH387">
        <f>IF('WetLitterbags placem_collection'!AC168="","",'WetLitterbags placem_collection'!AC168)</f>
        <v>0</v>
      </c>
      <c r="AI387">
        <f>IFERROR(AVERAGE('Dry_Litterbag Placem_Collection'!O168,'Dry_Litterbag Placem_Collection'!R168),"")</f>
        <v>5.15</v>
      </c>
      <c r="AJ387" s="268">
        <f>IFERROR(AVERAGE('Dry_Litterbag Placem_Collection'!N168,'Dry_Litterbag Placem_Collection'!Q168),"")</f>
        <v>33.25</v>
      </c>
      <c r="AK387" s="267">
        <f>INDEX(Coordinates!$B$2:$B$197,MATCH(H387,Coordinates!$J$2:$J$197,0))</f>
        <v>-2.2725490289999999</v>
      </c>
      <c r="AL387" s="267">
        <f>INDEX(Coordinates!$C$2:$C$197,MATCH(H387,Coordinates!$J$2:$J$197,0))</f>
        <v>34.022886020000001</v>
      </c>
      <c r="AM387" s="267" t="str">
        <f>IF(ISNUMBER(SEARCH("C", 'Dry_Litterbag Placem_Collection'!T168)),"YES","NO")</f>
        <v>NO</v>
      </c>
      <c r="AN387" s="267" t="str">
        <f>IF(ISNUMBER(SEARCH("H", 'Dry_Litterbag Placem_Collection'!T168)),"YES","NO")</f>
        <v>NO</v>
      </c>
      <c r="AO387" s="267" t="str">
        <f>IF(ISNUMBER(SEARCH("R", 'Dry_Litterbag Placem_Collection'!T168)),"YES","NO")</f>
        <v>NO</v>
      </c>
    </row>
    <row r="388" spans="1:41" ht="15" customHeight="1">
      <c r="A388" s="259" t="s">
        <v>2643</v>
      </c>
      <c r="B388" s="260">
        <f>'Dry_Litterbag Placem_Collection'!A169</f>
        <v>167</v>
      </c>
      <c r="C388" s="260" t="str">
        <f>'Dry_Litterbag Placem_Collection'!B169</f>
        <v>Handajega</v>
      </c>
      <c r="D388" s="260" t="s">
        <v>2454</v>
      </c>
      <c r="E388" s="260" t="s">
        <v>2645</v>
      </c>
      <c r="F388" s="260">
        <v>1</v>
      </c>
      <c r="G388" s="260" t="s">
        <v>3825</v>
      </c>
      <c r="H388" s="261" t="str">
        <f>'Dry_Litterbag Placem_Collection'!C169</f>
        <v>Wet_W1_T7</v>
      </c>
      <c r="I388" s="262" t="s">
        <v>2525</v>
      </c>
      <c r="J388" s="269" t="s">
        <v>298</v>
      </c>
      <c r="K388" s="260" t="str">
        <f>IF(ISBLANK('Dry_Litterbag Placem_Collection'!K169),"","R"&amp;""&amp;'Dry_Litterbag Placem_Collection'!K169)</f>
        <v/>
      </c>
      <c r="L388" s="264" t="str">
        <f>IFERROR(INDEX('Green_rooibos initial weight'!$C$5:$C$2000,MATCH(K388, 'Green_rooibos initial weight'!$A$5:$A$2000,0)),"")</f>
        <v/>
      </c>
      <c r="M388" s="264" t="str">
        <f>IFERROR(L388-(TBIcalc!$Q$9+TBIcalc!$Q$10),"")</f>
        <v/>
      </c>
      <c r="N388" s="385">
        <f>AVERAGE(Ashed_controlls!$K$12:$K$14)</f>
        <v>2.2816647271287041</v>
      </c>
      <c r="O388" s="264" t="str">
        <f t="shared" si="31"/>
        <v/>
      </c>
      <c r="P388" s="264" t="str">
        <f>IFERROR(INDEX('Both teabags AfterDry'!$D$2:$D$2000,MATCH(K388,'Both teabags AfterDry'!$A$2:$A$2000,0)),"")</f>
        <v/>
      </c>
      <c r="Q388" s="264" t="str">
        <f>IFERROR(IF(P388&gt;0,P388-(TBIcalc!$Q$9),""),"")</f>
        <v/>
      </c>
      <c r="R388" s="275" t="str">
        <f>IFERROR(INDEX('Ashed teabags dry'!$K$2:$K$2000,MATCH(K388,'Ashed teabags dry'!$A$2:$A$2000,0)),"")</f>
        <v/>
      </c>
      <c r="S388" s="275" t="str">
        <f t="shared" si="32"/>
        <v/>
      </c>
      <c r="T388" s="265" t="str">
        <f>IF('Dry_Litterbag Placem_Collection'!E169="","",'Dry_Litterbag Placem_Collection'!E169)</f>
        <v/>
      </c>
      <c r="U388" s="265" t="str">
        <f>IF('Dry_Litterbag Placem_Collection'!G169="","",'Dry_Litterbag Placem_Collection'!G169)</f>
        <v/>
      </c>
      <c r="V388" s="266" t="str">
        <f t="shared" si="30"/>
        <v/>
      </c>
      <c r="W388" s="264" t="str">
        <f t="shared" si="33"/>
        <v/>
      </c>
      <c r="X388" s="264" t="str">
        <f t="shared" si="34"/>
        <v/>
      </c>
      <c r="Y388" s="268" t="str">
        <f>IFERROR(INDEX(Rainfall_Dry!$O$2:$O$217,MATCH(B388, Rainfall_Dry!$A$2:$A$217,0)),"")</f>
        <v/>
      </c>
      <c r="Z388" s="257">
        <v>21.96</v>
      </c>
      <c r="AA388" s="257">
        <v>4.9199999999999982</v>
      </c>
      <c r="AB388" s="257">
        <v>73.12</v>
      </c>
      <c r="AC388" s="258" t="s">
        <v>2654</v>
      </c>
      <c r="AD388" s="257">
        <v>7.2416954164613099</v>
      </c>
      <c r="AE388">
        <f>IF('WetLitterbags placem_collection'!AB169="","",'WetLitterbags placem_collection'!AB169)</f>
        <v>5.6</v>
      </c>
      <c r="AF388">
        <f>IF('WetLitterbags placem_collection'!Z169="","",'WetLitterbags placem_collection'!Z169)</f>
        <v>4.2</v>
      </c>
      <c r="AG388" s="243" t="str">
        <f>IF('WetLitterbags placem_collection'!AA169="","",'WetLitterbags placem_collection'!AA169)</f>
        <v>M</v>
      </c>
      <c r="AH388">
        <f>IF('WetLitterbags placem_collection'!AC169="","",'WetLitterbags placem_collection'!AC169)</f>
        <v>1</v>
      </c>
      <c r="AI388" t="str">
        <f>IFERROR(AVERAGE('Dry_Litterbag Placem_Collection'!O169,'Dry_Litterbag Placem_Collection'!R169),"")</f>
        <v/>
      </c>
      <c r="AJ388" s="268" t="str">
        <f>IFERROR(AVERAGE('Dry_Litterbag Placem_Collection'!N169,'Dry_Litterbag Placem_Collection'!Q169),"")</f>
        <v/>
      </c>
      <c r="AK388" s="267">
        <f>INDEX(Coordinates!$B$2:$B$197,MATCH(H388,Coordinates!$J$2:$J$197,0))</f>
        <v>-2.2729950310000002</v>
      </c>
      <c r="AL388" s="267">
        <f>INDEX(Coordinates!$C$2:$C$197,MATCH(H388,Coordinates!$J$2:$J$197,0))</f>
        <v>34.022923990000002</v>
      </c>
      <c r="AM388" s="267" t="str">
        <f>IF(ISNUMBER(SEARCH("C", 'Dry_Litterbag Placem_Collection'!T169)),"YES","NO")</f>
        <v>NO</v>
      </c>
      <c r="AN388" s="267" t="str">
        <f>IF(ISNUMBER(SEARCH("H", 'Dry_Litterbag Placem_Collection'!T169)),"YES","NO")</f>
        <v>NO</v>
      </c>
      <c r="AO388" s="267" t="str">
        <f>IF(ISNUMBER(SEARCH("R", 'Dry_Litterbag Placem_Collection'!T169)),"YES","NO")</f>
        <v>NO</v>
      </c>
    </row>
    <row r="389" spans="1:41" ht="15" customHeight="1">
      <c r="A389" s="259" t="s">
        <v>2643</v>
      </c>
      <c r="B389" s="260">
        <f>'Dry_Litterbag Placem_Collection'!A170</f>
        <v>168</v>
      </c>
      <c r="C389" s="260" t="str">
        <f>'Dry_Litterbag Placem_Collection'!B170</f>
        <v>Handajega</v>
      </c>
      <c r="D389" s="260" t="s">
        <v>2454</v>
      </c>
      <c r="E389" s="260" t="s">
        <v>2645</v>
      </c>
      <c r="F389" s="260">
        <v>1</v>
      </c>
      <c r="G389" s="260" t="s">
        <v>3825</v>
      </c>
      <c r="H389" s="261" t="str">
        <f>'Dry_Litterbag Placem_Collection'!C170</f>
        <v>Wet_W1_T8</v>
      </c>
      <c r="I389" s="262" t="s">
        <v>2525</v>
      </c>
      <c r="J389" s="269" t="s">
        <v>298</v>
      </c>
      <c r="K389" s="260" t="str">
        <f>IF(ISBLANK('Dry_Litterbag Placem_Collection'!K170),"","R"&amp;""&amp;'Dry_Litterbag Placem_Collection'!K170)</f>
        <v>R690</v>
      </c>
      <c r="L389" s="264">
        <f>IFERROR(INDEX('Green_rooibos initial weight'!$C$5:$C$2000,MATCH(K389, 'Green_rooibos initial weight'!$A$5:$A$2000,0)),"")</f>
        <v>2.141</v>
      </c>
      <c r="M389" s="264">
        <f>IFERROR(L389-(TBIcalc!$Q$9+TBIcalc!$Q$10),"")</f>
        <v>1.8912</v>
      </c>
      <c r="N389" s="385">
        <f>AVERAGE(Ashed_controlls!$K$12:$K$14)</f>
        <v>2.2816647271287041</v>
      </c>
      <c r="O389" s="264">
        <f t="shared" si="31"/>
        <v>1.8480491566805419</v>
      </c>
      <c r="P389" s="264" t="str">
        <f>IFERROR(INDEX('Both teabags AfterDry'!$D$2:$D$2000,MATCH(K389,'Both teabags AfterDry'!$A$2:$A$2000,0)),"")</f>
        <v/>
      </c>
      <c r="Q389" s="264" t="str">
        <f>IFERROR(IF(P389&gt;0,P389-(TBIcalc!$Q$9),""),"")</f>
        <v/>
      </c>
      <c r="R389" s="275" t="str">
        <f>IFERROR(INDEX('Ashed teabags dry'!$K$2:$K$2000,MATCH(K389,'Ashed teabags dry'!$A$2:$A$2000,0)),"")</f>
        <v/>
      </c>
      <c r="S389" s="275" t="str">
        <f t="shared" si="32"/>
        <v/>
      </c>
      <c r="T389" s="265">
        <f>IF('Dry_Litterbag Placem_Collection'!E170="","",'Dry_Litterbag Placem_Collection'!E170)</f>
        <v>42940</v>
      </c>
      <c r="U389" s="265">
        <f>IF('Dry_Litterbag Placem_Collection'!G170="","",'Dry_Litterbag Placem_Collection'!G170)</f>
        <v>43009</v>
      </c>
      <c r="V389" s="266">
        <f t="shared" si="30"/>
        <v>69</v>
      </c>
      <c r="W389" s="264" t="str">
        <f t="shared" si="33"/>
        <v/>
      </c>
      <c r="X389" s="264" t="str">
        <f t="shared" si="34"/>
        <v/>
      </c>
      <c r="Y389" s="268">
        <f>IFERROR(INDEX(Rainfall_Dry!$O$2:$O$217,MATCH(B389, Rainfall_Dry!$A$2:$A$217,0)),"")</f>
        <v>162.634207253</v>
      </c>
      <c r="Z389" s="257">
        <v>21.96</v>
      </c>
      <c r="AA389" s="257">
        <v>4.9199999999999982</v>
      </c>
      <c r="AB389" s="257">
        <v>73.12</v>
      </c>
      <c r="AC389" s="258" t="s">
        <v>2654</v>
      </c>
      <c r="AD389" s="257">
        <v>8.2416954164613099</v>
      </c>
      <c r="AE389">
        <f>IF('WetLitterbags placem_collection'!AB170="","",'WetLitterbags placem_collection'!AB170)</f>
        <v>2.4</v>
      </c>
      <c r="AF389">
        <f>IF('WetLitterbags placem_collection'!Z170="","",'WetLitterbags placem_collection'!Z170)</f>
        <v>46</v>
      </c>
      <c r="AG389" s="243" t="str">
        <f>IF('WetLitterbags placem_collection'!AA170="","",'WetLitterbags placem_collection'!AA170)</f>
        <v>M</v>
      </c>
      <c r="AH389">
        <f>IF('WetLitterbags placem_collection'!AC170="","",'WetLitterbags placem_collection'!AC170)</f>
        <v>0</v>
      </c>
      <c r="AI389">
        <f>IFERROR(AVERAGE('Dry_Litterbag Placem_Collection'!O170,'Dry_Litterbag Placem_Collection'!R170),"")</f>
        <v>4.0999999999999996</v>
      </c>
      <c r="AJ389" s="268">
        <f>IFERROR(AVERAGE('Dry_Litterbag Placem_Collection'!N170,'Dry_Litterbag Placem_Collection'!Q170),"")</f>
        <v>30.15</v>
      </c>
      <c r="AK389" s="267">
        <f>INDEX(Coordinates!$B$2:$B$197,MATCH(H389,Coordinates!$J$2:$J$197,0))</f>
        <v>-2.2729129719999999</v>
      </c>
      <c r="AL389" s="267">
        <f>INDEX(Coordinates!$C$2:$C$197,MATCH(H389,Coordinates!$J$2:$J$197,0))</f>
        <v>34.023350039999997</v>
      </c>
      <c r="AM389" s="267" t="str">
        <f>IF(ISNUMBER(SEARCH("C", 'Dry_Litterbag Placem_Collection'!T170)),"YES","NO")</f>
        <v>NO</v>
      </c>
      <c r="AN389" s="267" t="str">
        <f>IF(ISNUMBER(SEARCH("H", 'Dry_Litterbag Placem_Collection'!T170)),"YES","NO")</f>
        <v>YES</v>
      </c>
      <c r="AO389" s="267" t="str">
        <f>IF(ISNUMBER(SEARCH("R", 'Dry_Litterbag Placem_Collection'!T170)),"YES","NO")</f>
        <v>NO</v>
      </c>
    </row>
    <row r="390" spans="1:41" ht="15" customHeight="1">
      <c r="A390" s="259" t="s">
        <v>2643</v>
      </c>
      <c r="B390" s="260">
        <f>'Dry_Litterbag Placem_Collection'!A171</f>
        <v>169</v>
      </c>
      <c r="C390" s="260" t="str">
        <f>'Dry_Litterbag Placem_Collection'!B171</f>
        <v>Handajega</v>
      </c>
      <c r="D390" s="260" t="s">
        <v>2454</v>
      </c>
      <c r="E390" s="260" t="s">
        <v>2645</v>
      </c>
      <c r="F390" s="260">
        <v>2</v>
      </c>
      <c r="G390" s="260" t="s">
        <v>3827</v>
      </c>
      <c r="H390" s="261" t="str">
        <f>'Dry_Litterbag Placem_Collection'!C171</f>
        <v>Wet_W2_T1</v>
      </c>
      <c r="I390" s="262" t="s">
        <v>2525</v>
      </c>
      <c r="J390" s="269" t="s">
        <v>298</v>
      </c>
      <c r="K390" s="260" t="str">
        <f>IF(ISBLANK('Dry_Litterbag Placem_Collection'!K171),"","R"&amp;""&amp;'Dry_Litterbag Placem_Collection'!K171)</f>
        <v>R684</v>
      </c>
      <c r="L390" s="264">
        <f>IFERROR(INDEX('Green_rooibos initial weight'!$C$5:$C$2000,MATCH(K390, 'Green_rooibos initial weight'!$A$5:$A$2000,0)),"")</f>
        <v>2.1139999999999999</v>
      </c>
      <c r="M390" s="264">
        <f>IFERROR(L390-(TBIcalc!$Q$9+TBIcalc!$Q$10),"")</f>
        <v>1.8641999999999999</v>
      </c>
      <c r="N390" s="385">
        <f>AVERAGE(Ashed_controlls!$K$12:$K$14)</f>
        <v>2.2816647271287041</v>
      </c>
      <c r="O390" s="264">
        <f t="shared" si="31"/>
        <v>1.8216652061568666</v>
      </c>
      <c r="P390" s="264">
        <f>IFERROR(INDEX('Both teabags AfterDry'!$D$2:$D$2000,MATCH(K390,'Both teabags AfterDry'!$A$2:$A$2000,0)),"")</f>
        <v>1.8154999999999999</v>
      </c>
      <c r="Q390" s="264">
        <f>IFERROR(IF(P390&gt;0,P390-(TBIcalc!$Q$9),""),"")</f>
        <v>1.6648999999999998</v>
      </c>
      <c r="R390" s="275">
        <f>IFERROR(INDEX('Ashed teabags dry'!$K$2:$K$2000,MATCH(K390,'Ashed teabags dry'!$A$2:$A$2000,0)),"")</f>
        <v>11.642512077294652</v>
      </c>
      <c r="S390" s="275">
        <f t="shared" si="32"/>
        <v>1.4710638164251213</v>
      </c>
      <c r="T390" s="265">
        <f>IF('Dry_Litterbag Placem_Collection'!E171="","",'Dry_Litterbag Placem_Collection'!E171)</f>
        <v>42940</v>
      </c>
      <c r="U390" s="265">
        <f>IF('Dry_Litterbag Placem_Collection'!G171="","",'Dry_Litterbag Placem_Collection'!G171)</f>
        <v>43009</v>
      </c>
      <c r="V390" s="266">
        <f t="shared" si="30"/>
        <v>69</v>
      </c>
      <c r="W390" s="264">
        <f t="shared" si="33"/>
        <v>0.19930000000000003</v>
      </c>
      <c r="X390" s="264">
        <f t="shared" si="34"/>
        <v>0.35060138973174526</v>
      </c>
      <c r="Y390" s="268">
        <f>IFERROR(INDEX(Rainfall_Dry!$O$2:$O$217,MATCH(B390, Rainfall_Dry!$A$2:$A$217,0)),"")</f>
        <v>162.634207253</v>
      </c>
      <c r="Z390" s="257">
        <v>23.96</v>
      </c>
      <c r="AA390" s="257">
        <v>4.9199999999999982</v>
      </c>
      <c r="AB390" s="257">
        <v>71.12</v>
      </c>
      <c r="AC390" s="258" t="s">
        <v>2654</v>
      </c>
      <c r="AD390" s="257">
        <v>3.30913750616067</v>
      </c>
      <c r="AE390">
        <f>IF('WetLitterbags placem_collection'!AB171="","",'WetLitterbags placem_collection'!AB171)</f>
        <v>8.1999999999999993</v>
      </c>
      <c r="AF390">
        <f>IF('WetLitterbags placem_collection'!Z171="","",'WetLitterbags placem_collection'!Z171)</f>
        <v>11.4</v>
      </c>
      <c r="AG390" s="243" t="str">
        <f>IF('WetLitterbags placem_collection'!AA171="","",'WetLitterbags placem_collection'!AA171)</f>
        <v>O</v>
      </c>
      <c r="AH390">
        <f>IF('WetLitterbags placem_collection'!AC171="","",'WetLitterbags placem_collection'!AC171)</f>
        <v>1</v>
      </c>
      <c r="AI390">
        <f>IFERROR(AVERAGE('Dry_Litterbag Placem_Collection'!O171,'Dry_Litterbag Placem_Collection'!R171),"")</f>
        <v>6.65</v>
      </c>
      <c r="AJ390" s="268">
        <f>IFERROR(AVERAGE('Dry_Litterbag Placem_Collection'!N171,'Dry_Litterbag Placem_Collection'!Q171),"")</f>
        <v>35.049999999999997</v>
      </c>
      <c r="AK390" s="267">
        <f>INDEX(Coordinates!$B$2:$B$197,MATCH(H390,Coordinates!$J$2:$J$197,0))</f>
        <v>-2.2784290180000002</v>
      </c>
      <c r="AL390" s="267">
        <f>INDEX(Coordinates!$C$2:$C$197,MATCH(H390,Coordinates!$J$2:$J$197,0))</f>
        <v>34.024240030000001</v>
      </c>
      <c r="AM390" s="267" t="str">
        <f>IF(ISNUMBER(SEARCH("C", 'Dry_Litterbag Placem_Collection'!T171)),"YES","NO")</f>
        <v>YES</v>
      </c>
      <c r="AN390" s="267" t="str">
        <f>IF(ISNUMBER(SEARCH("H", 'Dry_Litterbag Placem_Collection'!T171)),"YES","NO")</f>
        <v>NO</v>
      </c>
      <c r="AO390" s="267" t="str">
        <f>IF(ISNUMBER(SEARCH("R", 'Dry_Litterbag Placem_Collection'!T171)),"YES","NO")</f>
        <v>NO</v>
      </c>
    </row>
    <row r="391" spans="1:41" ht="15" customHeight="1">
      <c r="A391" s="259" t="s">
        <v>2643</v>
      </c>
      <c r="B391" s="260">
        <f>'Dry_Litterbag Placem_Collection'!A172</f>
        <v>170</v>
      </c>
      <c r="C391" s="260" t="str">
        <f>'Dry_Litterbag Placem_Collection'!B172</f>
        <v>Handajega</v>
      </c>
      <c r="D391" s="260" t="s">
        <v>2454</v>
      </c>
      <c r="E391" s="260" t="s">
        <v>2645</v>
      </c>
      <c r="F391" s="260">
        <v>2</v>
      </c>
      <c r="G391" s="260" t="s">
        <v>3827</v>
      </c>
      <c r="H391" s="261" t="str">
        <f>'Dry_Litterbag Placem_Collection'!C172</f>
        <v>Wet_W2_T2</v>
      </c>
      <c r="I391" s="262" t="s">
        <v>2525</v>
      </c>
      <c r="J391" s="269" t="s">
        <v>298</v>
      </c>
      <c r="K391" s="260" t="str">
        <f>IF(ISBLANK('Dry_Litterbag Placem_Collection'!K172),"","R"&amp;""&amp;'Dry_Litterbag Placem_Collection'!K172)</f>
        <v>R694</v>
      </c>
      <c r="L391" s="264">
        <f>IFERROR(INDEX('Green_rooibos initial weight'!$C$5:$C$2000,MATCH(K391, 'Green_rooibos initial weight'!$A$5:$A$2000,0)),"")</f>
        <v>2.23</v>
      </c>
      <c r="M391" s="264">
        <f>IFERROR(L391-(TBIcalc!$Q$9+TBIcalc!$Q$10),"")</f>
        <v>1.9802</v>
      </c>
      <c r="N391" s="385">
        <f>AVERAGE(Ashed_controlls!$K$12:$K$14)</f>
        <v>2.2816647271287041</v>
      </c>
      <c r="O391" s="264">
        <f t="shared" si="31"/>
        <v>1.9350184750733974</v>
      </c>
      <c r="P391" s="264">
        <f>IFERROR(INDEX('Both teabags AfterDry'!$D$2:$D$2000,MATCH(K391,'Both teabags AfterDry'!$A$2:$A$2000,0)),"")</f>
        <v>1.7605</v>
      </c>
      <c r="Q391" s="264">
        <f>IFERROR(IF(P391&gt;0,P391-(TBIcalc!$Q$9),""),"")</f>
        <v>1.6098999999999999</v>
      </c>
      <c r="R391" s="275">
        <f>IFERROR(INDEX('Ashed teabags dry'!$K$2:$K$2000,MATCH(K391,'Ashed teabags dry'!$A$2:$A$2000,0)),"")</f>
        <v>4.9253731343281189</v>
      </c>
      <c r="S391" s="275">
        <f t="shared" si="32"/>
        <v>1.5306064179104515</v>
      </c>
      <c r="T391" s="265">
        <f>IF('Dry_Litterbag Placem_Collection'!E172="","",'Dry_Litterbag Placem_Collection'!E172)</f>
        <v>42940</v>
      </c>
      <c r="U391" s="265">
        <f>IF('Dry_Litterbag Placem_Collection'!G172="","",'Dry_Litterbag Placem_Collection'!G172)</f>
        <v>43009</v>
      </c>
      <c r="V391" s="266">
        <f t="shared" si="30"/>
        <v>69</v>
      </c>
      <c r="W391" s="264">
        <f t="shared" si="33"/>
        <v>0.37030000000000007</v>
      </c>
      <c r="X391" s="264">
        <f t="shared" si="34"/>
        <v>0.40441205716294593</v>
      </c>
      <c r="Y391" s="268">
        <f>IFERROR(INDEX(Rainfall_Dry!$O$2:$O$217,MATCH(B391, Rainfall_Dry!$A$2:$A$217,0)),"")</f>
        <v>162.634207253</v>
      </c>
      <c r="Z391" s="257">
        <v>23.96</v>
      </c>
      <c r="AA391" s="257">
        <v>4.9199999999999982</v>
      </c>
      <c r="AB391" s="257">
        <v>71.12</v>
      </c>
      <c r="AC391" s="258" t="s">
        <v>2654</v>
      </c>
      <c r="AD391" s="257">
        <v>4.3091375061606696</v>
      </c>
      <c r="AE391">
        <f>IF('WetLitterbags placem_collection'!AB172="","",'WetLitterbags placem_collection'!AB172)</f>
        <v>7.7</v>
      </c>
      <c r="AF391">
        <f>IF('WetLitterbags placem_collection'!Z172="","",'WetLitterbags placem_collection'!Z172)</f>
        <v>15.8</v>
      </c>
      <c r="AG391" s="243" t="str">
        <f>IF('WetLitterbags placem_collection'!AA172="","",'WetLitterbags placem_collection'!AA172)</f>
        <v>O</v>
      </c>
      <c r="AH391">
        <f>IF('WetLitterbags placem_collection'!AC172="","",'WetLitterbags placem_collection'!AC172)</f>
        <v>1</v>
      </c>
      <c r="AI391">
        <f>IFERROR(AVERAGE('Dry_Litterbag Placem_Collection'!O172,'Dry_Litterbag Placem_Collection'!R172),"")</f>
        <v>6.1</v>
      </c>
      <c r="AJ391" s="268">
        <f>IFERROR(AVERAGE('Dry_Litterbag Placem_Collection'!N172,'Dry_Litterbag Placem_Collection'!Q172),"")</f>
        <v>33.950000000000003</v>
      </c>
      <c r="AK391" s="267">
        <f>INDEX(Coordinates!$B$2:$B$197,MATCH(H391,Coordinates!$J$2:$J$197,0))</f>
        <v>-2.2784629650000001</v>
      </c>
      <c r="AL391" s="267">
        <f>INDEX(Coordinates!$C$2:$C$197,MATCH(H391,Coordinates!$J$2:$J$197,0))</f>
        <v>34.024177999999999</v>
      </c>
      <c r="AM391" s="267" t="str">
        <f>IF(ISNUMBER(SEARCH("C", 'Dry_Litterbag Placem_Collection'!T172)),"YES","NO")</f>
        <v>NO</v>
      </c>
      <c r="AN391" s="267" t="str">
        <f>IF(ISNUMBER(SEARCH("H", 'Dry_Litterbag Placem_Collection'!T172)),"YES","NO")</f>
        <v>NO</v>
      </c>
      <c r="AO391" s="267" t="str">
        <f>IF(ISNUMBER(SEARCH("R", 'Dry_Litterbag Placem_Collection'!T172)),"YES","NO")</f>
        <v>YES</v>
      </c>
    </row>
    <row r="392" spans="1:41" ht="15" customHeight="1">
      <c r="A392" s="259" t="s">
        <v>2643</v>
      </c>
      <c r="B392" s="260">
        <f>'Dry_Litterbag Placem_Collection'!A173</f>
        <v>171</v>
      </c>
      <c r="C392" s="260" t="str">
        <f>'Dry_Litterbag Placem_Collection'!B173</f>
        <v>Handajega</v>
      </c>
      <c r="D392" s="260" t="s">
        <v>2454</v>
      </c>
      <c r="E392" s="260" t="s">
        <v>2645</v>
      </c>
      <c r="F392" s="260">
        <v>2</v>
      </c>
      <c r="G392" s="260" t="s">
        <v>3827</v>
      </c>
      <c r="H392" s="261" t="str">
        <f>'Dry_Litterbag Placem_Collection'!C173</f>
        <v>Wet_W2_T3</v>
      </c>
      <c r="I392" s="262" t="s">
        <v>2525</v>
      </c>
      <c r="J392" s="269" t="s">
        <v>298</v>
      </c>
      <c r="K392" s="260" t="str">
        <f>IF(ISBLANK('Dry_Litterbag Placem_Collection'!K173),"","R"&amp;""&amp;'Dry_Litterbag Placem_Collection'!K173)</f>
        <v>R655</v>
      </c>
      <c r="L392" s="264">
        <f>IFERROR(INDEX('Green_rooibos initial weight'!$C$5:$C$2000,MATCH(K392, 'Green_rooibos initial weight'!$A$5:$A$2000,0)),"")</f>
        <v>2.1779999999999999</v>
      </c>
      <c r="M392" s="264">
        <f>IFERROR(L392-(TBIcalc!$Q$9+TBIcalc!$Q$10),"")</f>
        <v>1.9281999999999999</v>
      </c>
      <c r="N392" s="385">
        <f>AVERAGE(Ashed_controlls!$K$12:$K$14)</f>
        <v>2.2816647271287041</v>
      </c>
      <c r="O392" s="264">
        <f t="shared" si="31"/>
        <v>1.8842049407315042</v>
      </c>
      <c r="P392" s="264">
        <f>IFERROR(INDEX('Both teabags AfterDry'!$D$2:$D$2000,MATCH(K392,'Both teabags AfterDry'!$A$2:$A$2000,0)),"")</f>
        <v>3.7545000000000002</v>
      </c>
      <c r="Q392" s="264">
        <f>IFERROR(IF(P392&gt;0,P392-(TBIcalc!$Q$9),""),"")</f>
        <v>3.6039000000000003</v>
      </c>
      <c r="R392" s="275">
        <f>IFERROR(INDEX('Ashed teabags dry'!$K$2:$K$2000,MATCH(K392,'Ashed teabags dry'!$A$2:$A$2000,0)),"")</f>
        <v>89.436947417404014</v>
      </c>
      <c r="S392" s="275">
        <f t="shared" si="32"/>
        <v>0.38068185202417704</v>
      </c>
      <c r="T392" s="265">
        <f>IF('Dry_Litterbag Placem_Collection'!E173="","",'Dry_Litterbag Placem_Collection'!E173)</f>
        <v>42940</v>
      </c>
      <c r="U392" s="265">
        <f>IF('Dry_Litterbag Placem_Collection'!G173="","",'Dry_Litterbag Placem_Collection'!G173)</f>
        <v>43009</v>
      </c>
      <c r="V392" s="266">
        <f t="shared" si="30"/>
        <v>69</v>
      </c>
      <c r="W392" s="264">
        <f t="shared" si="33"/>
        <v>-1.6757000000000004</v>
      </c>
      <c r="X392" s="264">
        <f t="shared" si="34"/>
        <v>1.5035230887073272</v>
      </c>
      <c r="Y392" s="268">
        <f>IFERROR(INDEX(Rainfall_Dry!$O$2:$O$217,MATCH(B392, Rainfall_Dry!$A$2:$A$217,0)),"")</f>
        <v>162.634207253</v>
      </c>
      <c r="Z392" s="257">
        <v>23.96</v>
      </c>
      <c r="AA392" s="257">
        <v>4.9199999999999982</v>
      </c>
      <c r="AB392" s="257">
        <v>71.12</v>
      </c>
      <c r="AC392" s="258" t="s">
        <v>2654</v>
      </c>
      <c r="AD392" s="257">
        <v>5.3091375061606696</v>
      </c>
      <c r="AE392">
        <f>IF('WetLitterbags placem_collection'!AB173="","",'WetLitterbags placem_collection'!AB173)</f>
        <v>13.4</v>
      </c>
      <c r="AF392">
        <f>IF('WetLitterbags placem_collection'!Z173="","",'WetLitterbags placem_collection'!Z173)</f>
        <v>7.6</v>
      </c>
      <c r="AG392" s="243" t="str">
        <f>IF('WetLitterbags placem_collection'!AA173="","",'WetLitterbags placem_collection'!AA173)</f>
        <v>O</v>
      </c>
      <c r="AH392">
        <f>IF('WetLitterbags placem_collection'!AC173="","",'WetLitterbags placem_collection'!AC173)</f>
        <v>1</v>
      </c>
      <c r="AI392">
        <f>IFERROR(AVERAGE('Dry_Litterbag Placem_Collection'!O173,'Dry_Litterbag Placem_Collection'!R173),"")</f>
        <v>5.6</v>
      </c>
      <c r="AJ392" s="268">
        <f>IFERROR(AVERAGE('Dry_Litterbag Placem_Collection'!N173,'Dry_Litterbag Placem_Collection'!Q173),"")</f>
        <v>33</v>
      </c>
      <c r="AK392" s="267">
        <f>INDEX(Coordinates!$B$2:$B$197,MATCH(H392,Coordinates!$J$2:$J$197,0))</f>
        <v>-2.2785389889999998</v>
      </c>
      <c r="AL392" s="267">
        <f>INDEX(Coordinates!$C$2:$C$197,MATCH(H392,Coordinates!$J$2:$J$197,0))</f>
        <v>34.024371039999998</v>
      </c>
      <c r="AM392" s="267" t="str">
        <f>IF(ISNUMBER(SEARCH("C", 'Dry_Litterbag Placem_Collection'!T173)),"YES","NO")</f>
        <v>NO</v>
      </c>
      <c r="AN392" s="267" t="str">
        <f>IF(ISNUMBER(SEARCH("H", 'Dry_Litterbag Placem_Collection'!T173)),"YES","NO")</f>
        <v>YES</v>
      </c>
      <c r="AO392" s="267" t="str">
        <f>IF(ISNUMBER(SEARCH("R", 'Dry_Litterbag Placem_Collection'!T173)),"YES","NO")</f>
        <v>YES</v>
      </c>
    </row>
    <row r="393" spans="1:41" ht="15" customHeight="1">
      <c r="A393" s="259" t="s">
        <v>2643</v>
      </c>
      <c r="B393" s="260">
        <f>'Dry_Litterbag Placem_Collection'!A174</f>
        <v>172</v>
      </c>
      <c r="C393" s="260" t="str">
        <f>'Dry_Litterbag Placem_Collection'!B174</f>
        <v>Handajega</v>
      </c>
      <c r="D393" s="260" t="s">
        <v>2454</v>
      </c>
      <c r="E393" s="260" t="s">
        <v>2645</v>
      </c>
      <c r="F393" s="260">
        <v>2</v>
      </c>
      <c r="G393" s="260" t="s">
        <v>3827</v>
      </c>
      <c r="H393" s="261" t="str">
        <f>'Dry_Litterbag Placem_Collection'!C174</f>
        <v>Wet_W2_T4</v>
      </c>
      <c r="I393" s="262" t="s">
        <v>2525</v>
      </c>
      <c r="J393" s="269" t="s">
        <v>298</v>
      </c>
      <c r="K393" s="260" t="str">
        <f>IF(ISBLANK('Dry_Litterbag Placem_Collection'!K174),"","R"&amp;""&amp;'Dry_Litterbag Placem_Collection'!K174)</f>
        <v/>
      </c>
      <c r="L393" s="264" t="str">
        <f>IFERROR(INDEX('Green_rooibos initial weight'!$C$5:$C$2000,MATCH(K393, 'Green_rooibos initial weight'!$A$5:$A$2000,0)),"")</f>
        <v/>
      </c>
      <c r="M393" s="264" t="str">
        <f>IFERROR(L393-(TBIcalc!$Q$9+TBIcalc!$Q$10),"")</f>
        <v/>
      </c>
      <c r="N393" s="385">
        <f>AVERAGE(Ashed_controlls!$K$12:$K$14)</f>
        <v>2.2816647271287041</v>
      </c>
      <c r="O393" s="264" t="str">
        <f t="shared" si="31"/>
        <v/>
      </c>
      <c r="P393" s="264" t="str">
        <f>IFERROR(INDEX('Both teabags AfterDry'!$D$2:$D$2000,MATCH(K393,'Both teabags AfterDry'!$A$2:$A$2000,0)),"")</f>
        <v/>
      </c>
      <c r="Q393" s="264" t="str">
        <f>IFERROR(IF(P393&gt;0,P393-(TBIcalc!$Q$9),""),"")</f>
        <v/>
      </c>
      <c r="R393" s="275" t="str">
        <f>IFERROR(INDEX('Ashed teabags dry'!$K$2:$K$2000,MATCH(K393,'Ashed teabags dry'!$A$2:$A$2000,0)),"")</f>
        <v/>
      </c>
      <c r="S393" s="275" t="str">
        <f t="shared" si="32"/>
        <v/>
      </c>
      <c r="T393" s="265" t="str">
        <f>IF('Dry_Litterbag Placem_Collection'!E174="","",'Dry_Litterbag Placem_Collection'!E174)</f>
        <v/>
      </c>
      <c r="U393" s="265" t="str">
        <f>IF('Dry_Litterbag Placem_Collection'!G174="","",'Dry_Litterbag Placem_Collection'!G174)</f>
        <v/>
      </c>
      <c r="V393" s="266" t="str">
        <f t="shared" si="30"/>
        <v/>
      </c>
      <c r="W393" s="264" t="str">
        <f t="shared" si="33"/>
        <v/>
      </c>
      <c r="X393" s="264" t="str">
        <f t="shared" si="34"/>
        <v/>
      </c>
      <c r="Y393" s="268" t="str">
        <f>IFERROR(INDEX(Rainfall_Dry!$O$2:$O$217,MATCH(B393, Rainfall_Dry!$A$2:$A$217,0)),"")</f>
        <v/>
      </c>
      <c r="Z393" s="257">
        <v>23.96</v>
      </c>
      <c r="AA393" s="257">
        <v>4.9199999999999982</v>
      </c>
      <c r="AB393" s="257">
        <v>71.12</v>
      </c>
      <c r="AC393" s="258" t="s">
        <v>2654</v>
      </c>
      <c r="AD393" s="257">
        <v>6.3091375061606696</v>
      </c>
      <c r="AE393">
        <f>IF('WetLitterbags placem_collection'!AB174="","",'WetLitterbags placem_collection'!AB174)</f>
        <v>3.3</v>
      </c>
      <c r="AF393">
        <f>IF('WetLitterbags placem_collection'!Z174="","",'WetLitterbags placem_collection'!Z174)</f>
        <v>28.4</v>
      </c>
      <c r="AG393" s="243" t="str">
        <f>IF('WetLitterbags placem_collection'!AA174="","",'WetLitterbags placem_collection'!AA174)</f>
        <v>G</v>
      </c>
      <c r="AH393">
        <f>IF('WetLitterbags placem_collection'!AC174="","",'WetLitterbags placem_collection'!AC174)</f>
        <v>1</v>
      </c>
      <c r="AI393" t="str">
        <f>IFERROR(AVERAGE('Dry_Litterbag Placem_Collection'!O174,'Dry_Litterbag Placem_Collection'!R174),"")</f>
        <v/>
      </c>
      <c r="AJ393" s="268" t="str">
        <f>IFERROR(AVERAGE('Dry_Litterbag Placem_Collection'!N174,'Dry_Litterbag Placem_Collection'!Q174),"")</f>
        <v/>
      </c>
      <c r="AK393" s="267">
        <f>INDEX(Coordinates!$B$2:$B$197,MATCH(H393,Coordinates!$J$2:$J$197,0))</f>
        <v>-2.2781410160000002</v>
      </c>
      <c r="AL393" s="267">
        <f>INDEX(Coordinates!$C$2:$C$197,MATCH(H393,Coordinates!$J$2:$J$197,0))</f>
        <v>34.024136009999999</v>
      </c>
      <c r="AM393" s="267" t="str">
        <f>IF(ISNUMBER(SEARCH("C", 'Dry_Litterbag Placem_Collection'!T174)),"YES","NO")</f>
        <v>NO</v>
      </c>
      <c r="AN393" s="267" t="str">
        <f>IF(ISNUMBER(SEARCH("H", 'Dry_Litterbag Placem_Collection'!T174)),"YES","NO")</f>
        <v>NO</v>
      </c>
      <c r="AO393" s="267" t="str">
        <f>IF(ISNUMBER(SEARCH("R", 'Dry_Litterbag Placem_Collection'!T174)),"YES","NO")</f>
        <v>NO</v>
      </c>
    </row>
    <row r="394" spans="1:41" ht="15" customHeight="1">
      <c r="A394" s="259" t="s">
        <v>2643</v>
      </c>
      <c r="B394" s="260">
        <f>'Dry_Litterbag Placem_Collection'!A175</f>
        <v>173</v>
      </c>
      <c r="C394" s="260" t="str">
        <f>'Dry_Litterbag Placem_Collection'!B175</f>
        <v>Handajega</v>
      </c>
      <c r="D394" s="260" t="s">
        <v>2454</v>
      </c>
      <c r="E394" s="260" t="s">
        <v>2645</v>
      </c>
      <c r="F394" s="260">
        <v>2</v>
      </c>
      <c r="G394" s="260" t="s">
        <v>3827</v>
      </c>
      <c r="H394" s="261" t="str">
        <f>'Dry_Litterbag Placem_Collection'!C175</f>
        <v>Wet_W2_T5</v>
      </c>
      <c r="I394" s="262" t="s">
        <v>2525</v>
      </c>
      <c r="J394" s="269" t="s">
        <v>298</v>
      </c>
      <c r="K394" s="260" t="str">
        <f>IF(ISBLANK('Dry_Litterbag Placem_Collection'!K175),"","R"&amp;""&amp;'Dry_Litterbag Placem_Collection'!K175)</f>
        <v>R405</v>
      </c>
      <c r="L394" s="264">
        <f>IFERROR(INDEX('Green_rooibos initial weight'!$C$5:$C$2000,MATCH(K394, 'Green_rooibos initial weight'!$A$5:$A$2000,0)),"")</f>
        <v>2.2400000000000002</v>
      </c>
      <c r="M394" s="264">
        <f>IFERROR(L394-(TBIcalc!$Q$9+TBIcalc!$Q$10),"")</f>
        <v>1.9902000000000002</v>
      </c>
      <c r="N394" s="385">
        <f>AVERAGE(Ashed_controlls!$K$12:$K$14)</f>
        <v>2.2816647271287041</v>
      </c>
      <c r="O394" s="264">
        <f t="shared" si="31"/>
        <v>1.9447903086006848</v>
      </c>
      <c r="P394" s="264" t="str">
        <f>IFERROR(INDEX('Both teabags AfterDry'!$D$2:$D$2000,MATCH(K394,'Both teabags AfterDry'!$A$2:$A$2000,0)),"")</f>
        <v/>
      </c>
      <c r="Q394" s="264" t="str">
        <f>IFERROR(IF(P394&gt;0,P394-(TBIcalc!$Q$9),""),"")</f>
        <v/>
      </c>
      <c r="R394" s="275" t="str">
        <f>IFERROR(INDEX('Ashed teabags dry'!$K$2:$K$2000,MATCH(K394,'Ashed teabags dry'!$A$2:$A$2000,0)),"")</f>
        <v/>
      </c>
      <c r="S394" s="275" t="str">
        <f t="shared" si="32"/>
        <v/>
      </c>
      <c r="T394" s="265">
        <f>IF('Dry_Litterbag Placem_Collection'!E175="","",'Dry_Litterbag Placem_Collection'!E175)</f>
        <v>42940</v>
      </c>
      <c r="U394" s="265">
        <f>IF('Dry_Litterbag Placem_Collection'!G175="","",'Dry_Litterbag Placem_Collection'!G175)</f>
        <v>43009</v>
      </c>
      <c r="V394" s="266">
        <f t="shared" si="30"/>
        <v>69</v>
      </c>
      <c r="W394" s="264" t="str">
        <f t="shared" si="33"/>
        <v/>
      </c>
      <c r="X394" s="264" t="str">
        <f t="shared" si="34"/>
        <v/>
      </c>
      <c r="Y394" s="268">
        <f>IFERROR(INDEX(Rainfall_Dry!$O$2:$O$217,MATCH(B394, Rainfall_Dry!$A$2:$A$217,0)),"")</f>
        <v>162.634207253</v>
      </c>
      <c r="Z394" s="257">
        <v>23.96</v>
      </c>
      <c r="AA394" s="257">
        <v>4.9199999999999982</v>
      </c>
      <c r="AB394" s="257">
        <v>71.12</v>
      </c>
      <c r="AC394" s="258" t="s">
        <v>2654</v>
      </c>
      <c r="AD394" s="257">
        <v>7.3091375061606696</v>
      </c>
      <c r="AE394">
        <f>IF('WetLitterbags placem_collection'!AB175="","",'WetLitterbags placem_collection'!AB175)</f>
        <v>15.4</v>
      </c>
      <c r="AF394">
        <f>IF('WetLitterbags placem_collection'!Z175="","",'WetLitterbags placem_collection'!Z175)</f>
        <v>12.4</v>
      </c>
      <c r="AG394" s="243" t="str">
        <f>IF('WetLitterbags placem_collection'!AA175="","",'WetLitterbags placem_collection'!AA175)</f>
        <v>O</v>
      </c>
      <c r="AH394">
        <f>IF('WetLitterbags placem_collection'!AC175="","",'WetLitterbags placem_collection'!AC175)</f>
        <v>0</v>
      </c>
      <c r="AI394">
        <f>IFERROR(AVERAGE('Dry_Litterbag Placem_Collection'!O175,'Dry_Litterbag Placem_Collection'!R175),"")</f>
        <v>6.3</v>
      </c>
      <c r="AJ394" s="268">
        <f>IFERROR(AVERAGE('Dry_Litterbag Placem_Collection'!N175,'Dry_Litterbag Placem_Collection'!Q175),"")</f>
        <v>34.049999999999997</v>
      </c>
      <c r="AK394" s="267">
        <f>INDEX(Coordinates!$B$2:$B$197,MATCH(H394,Coordinates!$J$2:$J$197,0))</f>
        <v>-2.27856799</v>
      </c>
      <c r="AL394" s="267">
        <f>INDEX(Coordinates!$C$2:$C$197,MATCH(H394,Coordinates!$J$2:$J$197,0))</f>
        <v>34.023969970000003</v>
      </c>
      <c r="AM394" s="267" t="str">
        <f>IF(ISNUMBER(SEARCH("C", 'Dry_Litterbag Placem_Collection'!T175)),"YES","NO")</f>
        <v>NO</v>
      </c>
      <c r="AN394" s="267" t="str">
        <f>IF(ISNUMBER(SEARCH("H", 'Dry_Litterbag Placem_Collection'!T175)),"YES","NO")</f>
        <v>YES</v>
      </c>
      <c r="AO394" s="267" t="str">
        <f>IF(ISNUMBER(SEARCH("R", 'Dry_Litterbag Placem_Collection'!T175)),"YES","NO")</f>
        <v>YES</v>
      </c>
    </row>
    <row r="395" spans="1:41" ht="15" customHeight="1">
      <c r="A395" s="259" t="s">
        <v>2643</v>
      </c>
      <c r="B395" s="260">
        <f>'Dry_Litterbag Placem_Collection'!A176</f>
        <v>174</v>
      </c>
      <c r="C395" s="260" t="str">
        <f>'Dry_Litterbag Placem_Collection'!B176</f>
        <v>Handajega</v>
      </c>
      <c r="D395" s="260" t="s">
        <v>2454</v>
      </c>
      <c r="E395" s="260" t="s">
        <v>2645</v>
      </c>
      <c r="F395" s="260">
        <v>2</v>
      </c>
      <c r="G395" s="260" t="s">
        <v>3827</v>
      </c>
      <c r="H395" s="261" t="str">
        <f>'Dry_Litterbag Placem_Collection'!C176</f>
        <v>Wet_W2_T6</v>
      </c>
      <c r="I395" s="262" t="s">
        <v>2525</v>
      </c>
      <c r="J395" s="269" t="s">
        <v>298</v>
      </c>
      <c r="K395" s="260" t="str">
        <f>IF(ISBLANK('Dry_Litterbag Placem_Collection'!K176),"","R"&amp;""&amp;'Dry_Litterbag Placem_Collection'!K176)</f>
        <v>R736</v>
      </c>
      <c r="L395" s="264">
        <f>IFERROR(INDEX('Green_rooibos initial weight'!$C$5:$C$2000,MATCH(K395, 'Green_rooibos initial weight'!$A$5:$A$2000,0)),"")</f>
        <v>2.2189999999999999</v>
      </c>
      <c r="M395" s="264">
        <f>IFERROR(L395-(TBIcalc!$Q$9+TBIcalc!$Q$10),"")</f>
        <v>1.9691999999999998</v>
      </c>
      <c r="N395" s="385">
        <f>AVERAGE(Ashed_controlls!$K$12:$K$14)</f>
        <v>2.2816647271287041</v>
      </c>
      <c r="O395" s="264">
        <f t="shared" si="31"/>
        <v>1.9242694581933815</v>
      </c>
      <c r="P395" s="264">
        <f>IFERROR(INDEX('Both teabags AfterDry'!$D$2:$D$2000,MATCH(K395,'Both teabags AfterDry'!$A$2:$A$2000,0)),"")</f>
        <v>1.6238999999999999</v>
      </c>
      <c r="Q395" s="264">
        <f>IFERROR(IF(P395&gt;0,P395-(TBIcalc!$Q$9),""),"")</f>
        <v>1.4732999999999998</v>
      </c>
      <c r="R395" s="275">
        <f>IFERROR(INDEX('Ashed teabags dry'!$K$2:$K$2000,MATCH(K395,'Ashed teabags dry'!$A$2:$A$2000,0)),"")</f>
        <v>10.510638297872269</v>
      </c>
      <c r="S395" s="275">
        <f t="shared" si="32"/>
        <v>1.3184467659574477</v>
      </c>
      <c r="T395" s="265">
        <f>IF('Dry_Litterbag Placem_Collection'!E176="","",'Dry_Litterbag Placem_Collection'!E176)</f>
        <v>42940</v>
      </c>
      <c r="U395" s="265">
        <f>IF('Dry_Litterbag Placem_Collection'!G176="","",'Dry_Litterbag Placem_Collection'!G176)</f>
        <v>43009</v>
      </c>
      <c r="V395" s="266">
        <f t="shared" si="30"/>
        <v>69</v>
      </c>
      <c r="W395" s="264">
        <f t="shared" si="33"/>
        <v>0.49590000000000001</v>
      </c>
      <c r="X395" s="264">
        <f t="shared" si="34"/>
        <v>0.60582269223593377</v>
      </c>
      <c r="Y395" s="268">
        <f>IFERROR(INDEX(Rainfall_Dry!$O$2:$O$217,MATCH(B395, Rainfall_Dry!$A$2:$A$217,0)),"")</f>
        <v>162.634207253</v>
      </c>
      <c r="Z395" s="257">
        <v>23.96</v>
      </c>
      <c r="AA395" s="257">
        <v>4.9199999999999982</v>
      </c>
      <c r="AB395" s="257">
        <v>71.12</v>
      </c>
      <c r="AC395" s="258" t="s">
        <v>2654</v>
      </c>
      <c r="AD395" s="257">
        <v>8.3091375061606705</v>
      </c>
      <c r="AE395">
        <f>IF('WetLitterbags placem_collection'!AB176="","",'WetLitterbags placem_collection'!AB176)</f>
        <v>7.4</v>
      </c>
      <c r="AF395">
        <f>IF('WetLitterbags placem_collection'!Z176="","",'WetLitterbags placem_collection'!Z176)</f>
        <v>7.4</v>
      </c>
      <c r="AG395" s="243" t="str">
        <f>IF('WetLitterbags placem_collection'!AA176="","",'WetLitterbags placem_collection'!AA176)</f>
        <v>O</v>
      </c>
      <c r="AH395">
        <f>IF('WetLitterbags placem_collection'!AC176="","",'WetLitterbags placem_collection'!AC176)</f>
        <v>0</v>
      </c>
      <c r="AI395">
        <f>IFERROR(AVERAGE('Dry_Litterbag Placem_Collection'!O176,'Dry_Litterbag Placem_Collection'!R176),"")</f>
        <v>5.9</v>
      </c>
      <c r="AJ395" s="268">
        <f>IFERROR(AVERAGE('Dry_Litterbag Placem_Collection'!N176,'Dry_Litterbag Placem_Collection'!Q176),"")</f>
        <v>33.200000000000003</v>
      </c>
      <c r="AK395" s="267">
        <f>INDEX(Coordinates!$B$2:$B$197,MATCH(H395,Coordinates!$J$2:$J$197,0))</f>
        <v>-2.2786809780000001</v>
      </c>
      <c r="AL395" s="267">
        <f>INDEX(Coordinates!$C$2:$C$197,MATCH(H395,Coordinates!$J$2:$J$197,0))</f>
        <v>34.02434899</v>
      </c>
      <c r="AM395" s="267" t="str">
        <f>IF(ISNUMBER(SEARCH("C", 'Dry_Litterbag Placem_Collection'!T176)),"YES","NO")</f>
        <v>NO</v>
      </c>
      <c r="AN395" s="267" t="str">
        <f>IF(ISNUMBER(SEARCH("H", 'Dry_Litterbag Placem_Collection'!T176)),"YES","NO")</f>
        <v>NO</v>
      </c>
      <c r="AO395" s="267" t="str">
        <f>IF(ISNUMBER(SEARCH("R", 'Dry_Litterbag Placem_Collection'!T176)),"YES","NO")</f>
        <v>YES</v>
      </c>
    </row>
    <row r="396" spans="1:41" ht="15" customHeight="1">
      <c r="A396" s="259" t="s">
        <v>2643</v>
      </c>
      <c r="B396" s="260">
        <f>'Dry_Litterbag Placem_Collection'!A177</f>
        <v>175</v>
      </c>
      <c r="C396" s="260" t="str">
        <f>'Dry_Litterbag Placem_Collection'!B177</f>
        <v>Handajega</v>
      </c>
      <c r="D396" s="260" t="s">
        <v>2454</v>
      </c>
      <c r="E396" s="260" t="s">
        <v>2645</v>
      </c>
      <c r="F396" s="260">
        <v>2</v>
      </c>
      <c r="G396" s="260" t="s">
        <v>3827</v>
      </c>
      <c r="H396" s="261" t="str">
        <f>'Dry_Litterbag Placem_Collection'!C177</f>
        <v>Wet_W2_T7</v>
      </c>
      <c r="I396" s="262" t="s">
        <v>2525</v>
      </c>
      <c r="J396" s="269" t="s">
        <v>298</v>
      </c>
      <c r="K396" s="260" t="str">
        <f>IF(ISBLANK('Dry_Litterbag Placem_Collection'!K177),"","R"&amp;""&amp;'Dry_Litterbag Placem_Collection'!K177)</f>
        <v>R338</v>
      </c>
      <c r="L396" s="264">
        <f>IFERROR(INDEX('Green_rooibos initial weight'!$C$5:$C$2000,MATCH(K396, 'Green_rooibos initial weight'!$A$5:$A$2000,0)),"")</f>
        <v>2.1709999999999998</v>
      </c>
      <c r="M396" s="264">
        <f>IFERROR(L396-(TBIcalc!$Q$9+TBIcalc!$Q$10),"")</f>
        <v>1.9211999999999998</v>
      </c>
      <c r="N396" s="385">
        <f>AVERAGE(Ashed_controlls!$K$12:$K$14)</f>
        <v>2.2816647271287041</v>
      </c>
      <c r="O396" s="264">
        <f t="shared" si="31"/>
        <v>1.8773646572624032</v>
      </c>
      <c r="P396" s="264">
        <f>IFERROR(INDEX('Both teabags AfterDry'!$D$2:$D$2000,MATCH(K396,'Both teabags AfterDry'!$A$2:$A$2000,0)),"")</f>
        <v>1.8117000000000001</v>
      </c>
      <c r="Q396" s="264">
        <f>IFERROR(IF(P396&gt;0,P396-(TBIcalc!$Q$9),""),"")</f>
        <v>1.6611</v>
      </c>
      <c r="R396" s="275">
        <f>IFERROR(INDEX('Ashed teabags dry'!$K$2:$K$2000,MATCH(K396,'Ashed teabags dry'!$A$2:$A$2000,0)),"")</f>
        <v>8.794946550048822</v>
      </c>
      <c r="S396" s="275">
        <f t="shared" si="32"/>
        <v>1.515007142857139</v>
      </c>
      <c r="T396" s="265">
        <f>IF('Dry_Litterbag Placem_Collection'!E177="","",'Dry_Litterbag Placem_Collection'!E177)</f>
        <v>42940</v>
      </c>
      <c r="U396" s="265">
        <f>IF('Dry_Litterbag Placem_Collection'!G177="","",'Dry_Litterbag Placem_Collection'!G177)</f>
        <v>43009</v>
      </c>
      <c r="V396" s="266">
        <f t="shared" si="30"/>
        <v>69</v>
      </c>
      <c r="W396" s="264">
        <f t="shared" si="33"/>
        <v>0.26009999999999978</v>
      </c>
      <c r="X396" s="264">
        <f t="shared" si="34"/>
        <v>0.3623575144052642</v>
      </c>
      <c r="Y396" s="268">
        <f>IFERROR(INDEX(Rainfall_Dry!$O$2:$O$217,MATCH(B396, Rainfall_Dry!$A$2:$A$217,0)),"")</f>
        <v>162.634207253</v>
      </c>
      <c r="Z396" s="257">
        <v>23.96</v>
      </c>
      <c r="AA396" s="257">
        <v>4.9199999999999982</v>
      </c>
      <c r="AB396" s="257">
        <v>71.12</v>
      </c>
      <c r="AC396" s="258" t="s">
        <v>2654</v>
      </c>
      <c r="AD396" s="257">
        <v>9.3091375061606705</v>
      </c>
      <c r="AE396">
        <f>IF('WetLitterbags placem_collection'!AB177="","",'WetLitterbags placem_collection'!AB177)</f>
        <v>15.4</v>
      </c>
      <c r="AF396">
        <f>IF('WetLitterbags placem_collection'!Z177="","",'WetLitterbags placem_collection'!Z177)</f>
        <v>9.8000000000000007</v>
      </c>
      <c r="AG396" s="243" t="str">
        <f>IF('WetLitterbags placem_collection'!AA177="","",'WetLitterbags placem_collection'!AA177)</f>
        <v>O</v>
      </c>
      <c r="AH396">
        <f>IF('WetLitterbags placem_collection'!AC177="","",'WetLitterbags placem_collection'!AC177)</f>
        <v>1</v>
      </c>
      <c r="AI396">
        <f>IFERROR(AVERAGE('Dry_Litterbag Placem_Collection'!O177,'Dry_Litterbag Placem_Collection'!R177),"")</f>
        <v>5.9499999999999993</v>
      </c>
      <c r="AJ396" s="268">
        <f>IFERROR(AVERAGE('Dry_Litterbag Placem_Collection'!N177,'Dry_Litterbag Placem_Collection'!Q177),"")</f>
        <v>34.049999999999997</v>
      </c>
      <c r="AK396" s="267">
        <f>INDEX(Coordinates!$B$2:$B$197,MATCH(H396,Coordinates!$J$2:$J$197,0))</f>
        <v>-2.2784219779999999</v>
      </c>
      <c r="AL396" s="267">
        <f>INDEX(Coordinates!$C$2:$C$197,MATCH(H396,Coordinates!$J$2:$J$197,0))</f>
        <v>34.024374979999997</v>
      </c>
      <c r="AM396" s="267" t="str">
        <f>IF(ISNUMBER(SEARCH("C", 'Dry_Litterbag Placem_Collection'!T177)),"YES","NO")</f>
        <v>NO</v>
      </c>
      <c r="AN396" s="267" t="str">
        <f>IF(ISNUMBER(SEARCH("H", 'Dry_Litterbag Placem_Collection'!T177)),"YES","NO")</f>
        <v>NO</v>
      </c>
      <c r="AO396" s="267" t="str">
        <f>IF(ISNUMBER(SEARCH("R", 'Dry_Litterbag Placem_Collection'!T177)),"YES","NO")</f>
        <v>NO</v>
      </c>
    </row>
    <row r="397" spans="1:41" ht="15" customHeight="1">
      <c r="A397" s="259" t="s">
        <v>2643</v>
      </c>
      <c r="B397" s="260">
        <f>'Dry_Litterbag Placem_Collection'!A178</f>
        <v>176</v>
      </c>
      <c r="C397" s="260" t="str">
        <f>'Dry_Litterbag Placem_Collection'!B178</f>
        <v>Handajega</v>
      </c>
      <c r="D397" s="260" t="s">
        <v>2454</v>
      </c>
      <c r="E397" s="260" t="s">
        <v>2645</v>
      </c>
      <c r="F397" s="260">
        <v>2</v>
      </c>
      <c r="G397" s="260" t="s">
        <v>3827</v>
      </c>
      <c r="H397" s="261" t="str">
        <f>'Dry_Litterbag Placem_Collection'!C178</f>
        <v>Wet_W2_T8</v>
      </c>
      <c r="I397" s="262" t="s">
        <v>2525</v>
      </c>
      <c r="J397" s="269" t="s">
        <v>298</v>
      </c>
      <c r="K397" s="260" t="str">
        <f>IF(ISBLANK('Dry_Litterbag Placem_Collection'!K178),"","R"&amp;""&amp;'Dry_Litterbag Placem_Collection'!K178)</f>
        <v>R52</v>
      </c>
      <c r="L397" s="264">
        <f>IFERROR(INDEX('Green_rooibos initial weight'!$C$5:$C$2000,MATCH(K397, 'Green_rooibos initial weight'!$A$5:$A$2000,0)),"")</f>
        <v>2.1629999999999998</v>
      </c>
      <c r="M397" s="264">
        <f>IFERROR(L397-(TBIcalc!$Q$9+TBIcalc!$Q$10),"")</f>
        <v>1.9131999999999998</v>
      </c>
      <c r="N397" s="385">
        <f>AVERAGE(Ashed_controlls!$K$12:$K$14)</f>
        <v>2.2816647271287041</v>
      </c>
      <c r="O397" s="264">
        <f t="shared" si="31"/>
        <v>1.8695471904405734</v>
      </c>
      <c r="P397" s="264">
        <f>IFERROR(INDEX('Both teabags AfterDry'!$D$2:$D$2000,MATCH(K397,'Both teabags AfterDry'!$A$2:$A$2000,0)),"")</f>
        <v>0</v>
      </c>
      <c r="Q397" s="264" t="str">
        <f>IFERROR(IF(P397&gt;0,P397-(TBIcalc!$Q$9),""),"")</f>
        <v/>
      </c>
      <c r="R397" s="275">
        <f>IFERROR(INDEX('Ashed teabags dry'!$K$2:$K$2000,MATCH(K397,'Ashed teabags dry'!$A$2:$A$2000,0)),"")</f>
        <v>93.555555555555571</v>
      </c>
      <c r="S397" s="275" t="str">
        <f t="shared" si="32"/>
        <v/>
      </c>
      <c r="T397" s="265">
        <f>IF('Dry_Litterbag Placem_Collection'!E178="","",'Dry_Litterbag Placem_Collection'!E178)</f>
        <v>42940</v>
      </c>
      <c r="U397" s="265">
        <f>IF('Dry_Litterbag Placem_Collection'!G178="","",'Dry_Litterbag Placem_Collection'!G178)</f>
        <v>43009</v>
      </c>
      <c r="V397" s="266">
        <f t="shared" si="30"/>
        <v>69</v>
      </c>
      <c r="W397" s="264" t="str">
        <f t="shared" si="33"/>
        <v/>
      </c>
      <c r="X397" s="264" t="str">
        <f t="shared" si="34"/>
        <v/>
      </c>
      <c r="Y397" s="268">
        <f>IFERROR(INDEX(Rainfall_Dry!$O$2:$O$217,MATCH(B397, Rainfall_Dry!$A$2:$A$217,0)),"")</f>
        <v>162.634207253</v>
      </c>
      <c r="Z397" s="257">
        <v>23.96</v>
      </c>
      <c r="AA397" s="257">
        <v>4.9199999999999982</v>
      </c>
      <c r="AB397" s="257">
        <v>71.12</v>
      </c>
      <c r="AC397" s="258" t="s">
        <v>2654</v>
      </c>
      <c r="AD397" s="257">
        <v>10.309137506160701</v>
      </c>
      <c r="AE397">
        <f>IF('WetLitterbags placem_collection'!AB178="","",'WetLitterbags placem_collection'!AB178)</f>
        <v>6.8</v>
      </c>
      <c r="AF397">
        <f>IF('WetLitterbags placem_collection'!Z178="","",'WetLitterbags placem_collection'!Z178)</f>
        <v>6.9</v>
      </c>
      <c r="AG397" s="243" t="str">
        <f>IF('WetLitterbags placem_collection'!AA178="","",'WetLitterbags placem_collection'!AA178)</f>
        <v>O</v>
      </c>
      <c r="AH397">
        <f>IF('WetLitterbags placem_collection'!AC178="","",'WetLitterbags placem_collection'!AC178)</f>
        <v>0</v>
      </c>
      <c r="AI397">
        <f>IFERROR(AVERAGE('Dry_Litterbag Placem_Collection'!O178,'Dry_Litterbag Placem_Collection'!R178),"")</f>
        <v>4.5999999999999996</v>
      </c>
      <c r="AJ397" s="268">
        <f>IFERROR(AVERAGE('Dry_Litterbag Placem_Collection'!N178,'Dry_Litterbag Placem_Collection'!Q178),"")</f>
        <v>34.5</v>
      </c>
      <c r="AK397" s="267">
        <f>INDEX(Coordinates!$B$2:$B$197,MATCH(H397,Coordinates!$J$2:$J$197,0))</f>
        <v>-2.2782909679999999</v>
      </c>
      <c r="AL397" s="267">
        <f>INDEX(Coordinates!$C$2:$C$197,MATCH(H397,Coordinates!$J$2:$J$197,0))</f>
        <v>34.024574970000003</v>
      </c>
      <c r="AM397" s="267" t="str">
        <f>IF(ISNUMBER(SEARCH("C", 'Dry_Litterbag Placem_Collection'!T178)),"YES","NO")</f>
        <v>NO</v>
      </c>
      <c r="AN397" s="267" t="str">
        <f>IF(ISNUMBER(SEARCH("H", 'Dry_Litterbag Placem_Collection'!T178)),"YES","NO")</f>
        <v>YES</v>
      </c>
      <c r="AO397" s="267" t="str">
        <f>IF(ISNUMBER(SEARCH("R", 'Dry_Litterbag Placem_Collection'!T178)),"YES","NO")</f>
        <v>YES</v>
      </c>
    </row>
    <row r="398" spans="1:41" ht="15" customHeight="1">
      <c r="A398" s="259" t="s">
        <v>2643</v>
      </c>
      <c r="B398" s="260">
        <f>'Dry_Litterbag Placem_Collection'!A179</f>
        <v>177</v>
      </c>
      <c r="C398" s="260" t="str">
        <f>'Dry_Litterbag Placem_Collection'!B179</f>
        <v>Handajega</v>
      </c>
      <c r="D398" s="260" t="s">
        <v>2454</v>
      </c>
      <c r="E398" s="260" t="s">
        <v>2645</v>
      </c>
      <c r="F398" s="260">
        <v>3</v>
      </c>
      <c r="G398" s="260" t="s">
        <v>3828</v>
      </c>
      <c r="H398" s="261" t="str">
        <f>'Dry_Litterbag Placem_Collection'!C179</f>
        <v>Wet_W3_T1</v>
      </c>
      <c r="I398" s="262" t="s">
        <v>2525</v>
      </c>
      <c r="J398" s="269" t="s">
        <v>298</v>
      </c>
      <c r="K398" s="260" t="str">
        <f>IF(ISBLANK('Dry_Litterbag Placem_Collection'!K179),"","R"&amp;""&amp;'Dry_Litterbag Placem_Collection'!K179)</f>
        <v>R750</v>
      </c>
      <c r="L398" s="264">
        <f>IFERROR(INDEX('Green_rooibos initial weight'!$C$5:$C$2000,MATCH(K398, 'Green_rooibos initial weight'!$A$5:$A$2000,0)),"")</f>
        <v>2.2029999999999998</v>
      </c>
      <c r="M398" s="264">
        <f>IFERROR(L398-(TBIcalc!$Q$9+TBIcalc!$Q$10),"")</f>
        <v>1.9531999999999998</v>
      </c>
      <c r="N398" s="385">
        <f>AVERAGE(Ashed_controlls!$K$12:$K$14)</f>
        <v>2.2816647271287041</v>
      </c>
      <c r="O398" s="264">
        <f t="shared" si="31"/>
        <v>1.908634524549722</v>
      </c>
      <c r="P398" s="264" t="str">
        <f>IFERROR(INDEX('Both teabags AfterDry'!$D$2:$D$2000,MATCH(K398,'Both teabags AfterDry'!$A$2:$A$2000,0)),"")</f>
        <v/>
      </c>
      <c r="Q398" s="264" t="str">
        <f>IFERROR(IF(P398&gt;0,P398-(TBIcalc!$Q$9),""),"")</f>
        <v/>
      </c>
      <c r="R398" s="275" t="str">
        <f>IFERROR(INDEX('Ashed teabags dry'!$K$2:$K$2000,MATCH(K398,'Ashed teabags dry'!$A$2:$A$2000,0)),"")</f>
        <v/>
      </c>
      <c r="S398" s="275" t="str">
        <f t="shared" si="32"/>
        <v/>
      </c>
      <c r="T398" s="265">
        <f>IF('Dry_Litterbag Placem_Collection'!E179="","",'Dry_Litterbag Placem_Collection'!E179)</f>
        <v>42940</v>
      </c>
      <c r="U398" s="265">
        <f>IF('Dry_Litterbag Placem_Collection'!G179="","",'Dry_Litterbag Placem_Collection'!G179)</f>
        <v>43009</v>
      </c>
      <c r="V398" s="266">
        <f t="shared" si="30"/>
        <v>69</v>
      </c>
      <c r="W398" s="264" t="str">
        <f t="shared" si="33"/>
        <v/>
      </c>
      <c r="X398" s="264" t="str">
        <f t="shared" si="34"/>
        <v/>
      </c>
      <c r="Y398" s="268">
        <f>IFERROR(INDEX(Rainfall_Dry!$O$2:$O$217,MATCH(B398, Rainfall_Dry!$A$2:$A$217,0)),"")</f>
        <v>162.634207253</v>
      </c>
      <c r="Z398" s="257">
        <v>25.96</v>
      </c>
      <c r="AA398" s="257">
        <v>8.9200000000000017</v>
      </c>
      <c r="AB398" s="257">
        <v>65.12</v>
      </c>
      <c r="AC398" s="258" t="s">
        <v>2654</v>
      </c>
      <c r="AD398" s="257">
        <v>1.614588467225234</v>
      </c>
      <c r="AE398">
        <f>IF('WetLitterbags placem_collection'!AB179="","",'WetLitterbags placem_collection'!AB179)</f>
        <v>17.8</v>
      </c>
      <c r="AF398">
        <f>IF('WetLitterbags placem_collection'!Z179="","",'WetLitterbags placem_collection'!Z179)</f>
        <v>25.8</v>
      </c>
      <c r="AG398" s="243" t="str">
        <f>IF('WetLitterbags placem_collection'!AA179="","",'WetLitterbags placem_collection'!AA179)</f>
        <v>O</v>
      </c>
      <c r="AH398">
        <f>IF('WetLitterbags placem_collection'!AC179="","",'WetLitterbags placem_collection'!AC179)</f>
        <v>0</v>
      </c>
      <c r="AI398">
        <f>IFERROR(AVERAGE('Dry_Litterbag Placem_Collection'!O179,'Dry_Litterbag Placem_Collection'!R179),"")</f>
        <v>4.6999999999999993</v>
      </c>
      <c r="AJ398" s="268">
        <f>IFERROR(AVERAGE('Dry_Litterbag Placem_Collection'!N179,'Dry_Litterbag Placem_Collection'!Q179),"")</f>
        <v>34.150000000000006</v>
      </c>
      <c r="AK398" s="267">
        <f>INDEX(Coordinates!$B$2:$B$197,MATCH(H398,Coordinates!$J$2:$J$197,0))</f>
        <v>-2.277740026</v>
      </c>
      <c r="AL398" s="267">
        <f>INDEX(Coordinates!$C$2:$C$197,MATCH(H398,Coordinates!$J$2:$J$197,0))</f>
        <v>34.027640990000002</v>
      </c>
      <c r="AM398" s="267" t="str">
        <f>IF(ISNUMBER(SEARCH("C", 'Dry_Litterbag Placem_Collection'!T179)),"YES","NO")</f>
        <v>YES</v>
      </c>
      <c r="AN398" s="267" t="str">
        <f>IF(ISNUMBER(SEARCH("H", 'Dry_Litterbag Placem_Collection'!T179)),"YES","NO")</f>
        <v>YES</v>
      </c>
      <c r="AO398" s="267" t="str">
        <f>IF(ISNUMBER(SEARCH("R", 'Dry_Litterbag Placem_Collection'!T179)),"YES","NO")</f>
        <v>YES</v>
      </c>
    </row>
    <row r="399" spans="1:41" ht="15" customHeight="1">
      <c r="A399" s="259" t="s">
        <v>2643</v>
      </c>
      <c r="B399" s="260">
        <f>'Dry_Litterbag Placem_Collection'!A180</f>
        <v>178</v>
      </c>
      <c r="C399" s="260" t="str">
        <f>'Dry_Litterbag Placem_Collection'!B180</f>
        <v>Handajega</v>
      </c>
      <c r="D399" s="260" t="s">
        <v>2454</v>
      </c>
      <c r="E399" s="260" t="s">
        <v>2645</v>
      </c>
      <c r="F399" s="260">
        <v>3</v>
      </c>
      <c r="G399" s="260" t="s">
        <v>3828</v>
      </c>
      <c r="H399" s="261" t="str">
        <f>'Dry_Litterbag Placem_Collection'!C180</f>
        <v>Wet_W3_T2</v>
      </c>
      <c r="I399" s="262" t="s">
        <v>2525</v>
      </c>
      <c r="J399" s="269" t="s">
        <v>298</v>
      </c>
      <c r="K399" s="260" t="str">
        <f>IF(ISBLANK('Dry_Litterbag Placem_Collection'!K180),"","R"&amp;""&amp;'Dry_Litterbag Placem_Collection'!K180)</f>
        <v>R612</v>
      </c>
      <c r="L399" s="264">
        <f>IFERROR(INDEX('Green_rooibos initial weight'!$C$5:$C$2000,MATCH(K399, 'Green_rooibos initial weight'!$A$5:$A$2000,0)),"")</f>
        <v>2.11</v>
      </c>
      <c r="M399" s="264">
        <f>IFERROR(L399-(TBIcalc!$Q$9+TBIcalc!$Q$10),"")</f>
        <v>1.8601999999999999</v>
      </c>
      <c r="N399" s="385">
        <f>AVERAGE(Ashed_controlls!$K$12:$K$14)</f>
        <v>2.2816647271287041</v>
      </c>
      <c r="O399" s="264">
        <f t="shared" si="31"/>
        <v>1.8177564727459516</v>
      </c>
      <c r="P399" s="264">
        <f>IFERROR(INDEX('Both teabags AfterDry'!$D$2:$D$2000,MATCH(K399,'Both teabags AfterDry'!$A$2:$A$2000,0)),"")</f>
        <v>0</v>
      </c>
      <c r="Q399" s="264" t="str">
        <f>IFERROR(IF(P399&gt;0,P399-(TBIcalc!$Q$9),""),"")</f>
        <v/>
      </c>
      <c r="R399" s="275">
        <f>IFERROR(INDEX('Ashed teabags dry'!$K$2:$K$2000,MATCH(K399,'Ashed teabags dry'!$A$2:$A$2000,0)),"")</f>
        <v>94.417238001958822</v>
      </c>
      <c r="S399" s="275" t="str">
        <f t="shared" si="32"/>
        <v/>
      </c>
      <c r="T399" s="265">
        <f>IF('Dry_Litterbag Placem_Collection'!E180="","",'Dry_Litterbag Placem_Collection'!E180)</f>
        <v>42940</v>
      </c>
      <c r="U399" s="265">
        <f>IF('Dry_Litterbag Placem_Collection'!G180="","",'Dry_Litterbag Placem_Collection'!G180)</f>
        <v>43009</v>
      </c>
      <c r="V399" s="266">
        <f t="shared" si="30"/>
        <v>69</v>
      </c>
      <c r="W399" s="264" t="str">
        <f t="shared" si="33"/>
        <v/>
      </c>
      <c r="X399" s="264" t="str">
        <f t="shared" si="34"/>
        <v/>
      </c>
      <c r="Y399" s="268">
        <f>IFERROR(INDEX(Rainfall_Dry!$O$2:$O$217,MATCH(B399, Rainfall_Dry!$A$2:$A$217,0)),"")</f>
        <v>162.634207253</v>
      </c>
      <c r="Z399" s="257">
        <v>25.96</v>
      </c>
      <c r="AA399" s="257">
        <v>8.9200000000000017</v>
      </c>
      <c r="AB399" s="257">
        <v>65.12</v>
      </c>
      <c r="AC399" s="258" t="s">
        <v>2654</v>
      </c>
      <c r="AD399" s="257">
        <v>2.61458846722523</v>
      </c>
      <c r="AE399">
        <f>IF('WetLitterbags placem_collection'!AB180="","",'WetLitterbags placem_collection'!AB180)</f>
        <v>15.4</v>
      </c>
      <c r="AF399">
        <f>IF('WetLitterbags placem_collection'!Z180="","",'WetLitterbags placem_collection'!Z180)</f>
        <v>18.8</v>
      </c>
      <c r="AG399" s="243" t="str">
        <f>IF('WetLitterbags placem_collection'!AA180="","",'WetLitterbags placem_collection'!AA180)</f>
        <v>O</v>
      </c>
      <c r="AH399">
        <f>IF('WetLitterbags placem_collection'!AC180="","",'WetLitterbags placem_collection'!AC180)</f>
        <v>1</v>
      </c>
      <c r="AI399">
        <f>IFERROR(AVERAGE('Dry_Litterbag Placem_Collection'!O180,'Dry_Litterbag Placem_Collection'!R180),"")</f>
        <v>4.5</v>
      </c>
      <c r="AJ399" s="268">
        <f>IFERROR(AVERAGE('Dry_Litterbag Placem_Collection'!N180,'Dry_Litterbag Placem_Collection'!Q180),"")</f>
        <v>35.799999999999997</v>
      </c>
      <c r="AK399" s="267">
        <f>INDEX(Coordinates!$B$2:$B$197,MATCH(H399,Coordinates!$J$2:$J$197,0))</f>
        <v>-2.2777889760000001</v>
      </c>
      <c r="AL399" s="267">
        <f>INDEX(Coordinates!$C$2:$C$197,MATCH(H399,Coordinates!$J$2:$J$197,0))</f>
        <v>34.027664960000003</v>
      </c>
      <c r="AM399" s="267" t="str">
        <f>IF(ISNUMBER(SEARCH("C", 'Dry_Litterbag Placem_Collection'!T180)),"YES","NO")</f>
        <v>YES</v>
      </c>
      <c r="AN399" s="267" t="str">
        <f>IF(ISNUMBER(SEARCH("H", 'Dry_Litterbag Placem_Collection'!T180)),"YES","NO")</f>
        <v>YES</v>
      </c>
      <c r="AO399" s="267" t="str">
        <f>IF(ISNUMBER(SEARCH("R", 'Dry_Litterbag Placem_Collection'!T180)),"YES","NO")</f>
        <v>NO</v>
      </c>
    </row>
    <row r="400" spans="1:41" ht="15" customHeight="1">
      <c r="A400" s="259" t="s">
        <v>2643</v>
      </c>
      <c r="B400" s="260">
        <f>'Dry_Litterbag Placem_Collection'!A181</f>
        <v>179</v>
      </c>
      <c r="C400" s="260" t="str">
        <f>'Dry_Litterbag Placem_Collection'!B181</f>
        <v>Handajega</v>
      </c>
      <c r="D400" s="260" t="s">
        <v>2454</v>
      </c>
      <c r="E400" s="260" t="s">
        <v>2645</v>
      </c>
      <c r="F400" s="260">
        <v>3</v>
      </c>
      <c r="G400" s="260" t="s">
        <v>3828</v>
      </c>
      <c r="H400" s="261" t="str">
        <f>'Dry_Litterbag Placem_Collection'!C181</f>
        <v>Wet_W3_T3</v>
      </c>
      <c r="I400" s="262" t="s">
        <v>2525</v>
      </c>
      <c r="J400" s="269" t="s">
        <v>298</v>
      </c>
      <c r="K400" s="260" t="str">
        <f>IF(ISBLANK('Dry_Litterbag Placem_Collection'!K181),"","R"&amp;""&amp;'Dry_Litterbag Placem_Collection'!K181)</f>
        <v>R491</v>
      </c>
      <c r="L400" s="264">
        <f>IFERROR(INDEX('Green_rooibos initial weight'!$C$5:$C$2000,MATCH(K400, 'Green_rooibos initial weight'!$A$5:$A$2000,0)),"")</f>
        <v>2.2690000000000001</v>
      </c>
      <c r="M400" s="264">
        <f>IFERROR(L400-(TBIcalc!$Q$9+TBIcalc!$Q$10),"")</f>
        <v>2.0192000000000001</v>
      </c>
      <c r="N400" s="385">
        <f>AVERAGE(Ashed_controlls!$K$12:$K$14)</f>
        <v>2.2816647271287041</v>
      </c>
      <c r="O400" s="264">
        <f t="shared" si="31"/>
        <v>1.9731286258298173</v>
      </c>
      <c r="P400" s="264">
        <f>IFERROR(INDEX('Both teabags AfterDry'!$D$2:$D$2000,MATCH(K400,'Both teabags AfterDry'!$A$2:$A$2000,0)),"")</f>
        <v>2.0198</v>
      </c>
      <c r="Q400" s="264">
        <f>IFERROR(IF(P400&gt;0,P400-(TBIcalc!$Q$9),""),"")</f>
        <v>1.8692</v>
      </c>
      <c r="R400" s="275">
        <f>IFERROR(INDEX('Ashed teabags dry'!$K$2:$K$2000,MATCH(K400,'Ashed teabags dry'!$A$2:$A$2000,0)),"")</f>
        <v>14.684287812040845</v>
      </c>
      <c r="S400" s="275">
        <f t="shared" si="32"/>
        <v>1.5947212922173324</v>
      </c>
      <c r="T400" s="265">
        <f>IF('Dry_Litterbag Placem_Collection'!E181="","",'Dry_Litterbag Placem_Collection'!E181)</f>
        <v>42940</v>
      </c>
      <c r="U400" s="265">
        <f>IF('Dry_Litterbag Placem_Collection'!G181="","",'Dry_Litterbag Placem_Collection'!G181)</f>
        <v>43009</v>
      </c>
      <c r="V400" s="266">
        <f t="shared" si="30"/>
        <v>69</v>
      </c>
      <c r="W400" s="264">
        <f t="shared" si="33"/>
        <v>0.15000000000000013</v>
      </c>
      <c r="X400" s="264">
        <f t="shared" si="34"/>
        <v>0.37840733361248491</v>
      </c>
      <c r="Y400" s="268">
        <f>IFERROR(INDEX(Rainfall_Dry!$O$2:$O$217,MATCH(B400, Rainfall_Dry!$A$2:$A$217,0)),"")</f>
        <v>162.634207253</v>
      </c>
      <c r="Z400" s="257">
        <v>25.96</v>
      </c>
      <c r="AA400" s="257">
        <v>8.9200000000000017</v>
      </c>
      <c r="AB400" s="257">
        <v>65.12</v>
      </c>
      <c r="AC400" s="258" t="s">
        <v>2654</v>
      </c>
      <c r="AD400" s="257">
        <v>3.61458846722523</v>
      </c>
      <c r="AE400">
        <f>IF('WetLitterbags placem_collection'!AB181="","",'WetLitterbags placem_collection'!AB181)</f>
        <v>11.8</v>
      </c>
      <c r="AF400">
        <f>IF('WetLitterbags placem_collection'!Z181="","",'WetLitterbags placem_collection'!Z181)</f>
        <v>15.4</v>
      </c>
      <c r="AG400" s="243" t="str">
        <f>IF('WetLitterbags placem_collection'!AA181="","",'WetLitterbags placem_collection'!AA181)</f>
        <v>O</v>
      </c>
      <c r="AH400">
        <f>IF('WetLitterbags placem_collection'!AC181="","",'WetLitterbags placem_collection'!AC181)</f>
        <v>1</v>
      </c>
      <c r="AI400">
        <f>IFERROR(AVERAGE('Dry_Litterbag Placem_Collection'!O181,'Dry_Litterbag Placem_Collection'!R181),"")</f>
        <v>5.8</v>
      </c>
      <c r="AJ400" s="268">
        <f>IFERROR(AVERAGE('Dry_Litterbag Placem_Collection'!N181,'Dry_Litterbag Placem_Collection'!Q181),"")</f>
        <v>34.75</v>
      </c>
      <c r="AK400" s="267">
        <f>INDEX(Coordinates!$B$2:$B$197,MATCH(H400,Coordinates!$J$2:$J$197,0))</f>
        <v>-2.2778579589999999</v>
      </c>
      <c r="AL400" s="267">
        <f>INDEX(Coordinates!$C$2:$C$197,MATCH(H400,Coordinates!$J$2:$J$197,0))</f>
        <v>34.027682980000002</v>
      </c>
      <c r="AM400" s="267" t="str">
        <f>IF(ISNUMBER(SEARCH("C", 'Dry_Litterbag Placem_Collection'!T181)),"YES","NO")</f>
        <v>NO</v>
      </c>
      <c r="AN400" s="267" t="str">
        <f>IF(ISNUMBER(SEARCH("H", 'Dry_Litterbag Placem_Collection'!T181)),"YES","NO")</f>
        <v>NO</v>
      </c>
      <c r="AO400" s="267" t="str">
        <f>IF(ISNUMBER(SEARCH("R", 'Dry_Litterbag Placem_Collection'!T181)),"YES","NO")</f>
        <v>YES</v>
      </c>
    </row>
    <row r="401" spans="1:41" ht="15" customHeight="1">
      <c r="A401" s="259" t="s">
        <v>2643</v>
      </c>
      <c r="B401" s="260">
        <f>'Dry_Litterbag Placem_Collection'!A182</f>
        <v>180</v>
      </c>
      <c r="C401" s="260" t="str">
        <f>'Dry_Litterbag Placem_Collection'!B182</f>
        <v>Handajega</v>
      </c>
      <c r="D401" s="260" t="s">
        <v>2454</v>
      </c>
      <c r="E401" s="260" t="s">
        <v>2645</v>
      </c>
      <c r="F401" s="260">
        <v>3</v>
      </c>
      <c r="G401" s="260" t="s">
        <v>3828</v>
      </c>
      <c r="H401" s="261" t="str">
        <f>'Dry_Litterbag Placem_Collection'!C182</f>
        <v>Wet_W3_T4</v>
      </c>
      <c r="I401" s="262" t="s">
        <v>2525</v>
      </c>
      <c r="J401" s="269" t="s">
        <v>298</v>
      </c>
      <c r="K401" s="260" t="str">
        <f>IF(ISBLANK('Dry_Litterbag Placem_Collection'!K182),"","R"&amp;""&amp;'Dry_Litterbag Placem_Collection'!K182)</f>
        <v>R325</v>
      </c>
      <c r="L401" s="264">
        <f>IFERROR(INDEX('Green_rooibos initial weight'!$C$5:$C$2000,MATCH(K401, 'Green_rooibos initial weight'!$A$5:$A$2000,0)),"")</f>
        <v>2.2069999999999999</v>
      </c>
      <c r="M401" s="264">
        <f>IFERROR(L401-(TBIcalc!$Q$9+TBIcalc!$Q$10),"")</f>
        <v>1.9571999999999998</v>
      </c>
      <c r="N401" s="385">
        <f>AVERAGE(Ashed_controlls!$K$12:$K$14)</f>
        <v>2.2816647271287041</v>
      </c>
      <c r="O401" s="264">
        <f t="shared" si="31"/>
        <v>1.9125432579606367</v>
      </c>
      <c r="P401" s="264">
        <f>IFERROR(INDEX('Both teabags AfterDry'!$D$2:$D$2000,MATCH(K401,'Both teabags AfterDry'!$A$2:$A$2000,0)),"")</f>
        <v>1.6720999999999999</v>
      </c>
      <c r="Q401" s="264">
        <f>IFERROR(IF(P401&gt;0,P401-(TBIcalc!$Q$9),""),"")</f>
        <v>1.5214999999999999</v>
      </c>
      <c r="R401" s="275">
        <f>IFERROR(INDEX('Ashed teabags dry'!$K$2:$K$2000,MATCH(K401,'Ashed teabags dry'!$A$2:$A$2000,0)),"")</f>
        <v>6.4801178203239465</v>
      </c>
      <c r="S401" s="275">
        <f t="shared" si="32"/>
        <v>1.422905007363771</v>
      </c>
      <c r="T401" s="265">
        <f>IF('Dry_Litterbag Placem_Collection'!E182="","",'Dry_Litterbag Placem_Collection'!E182)</f>
        <v>42940</v>
      </c>
      <c r="U401" s="265">
        <f>IF('Dry_Litterbag Placem_Collection'!G182="","",'Dry_Litterbag Placem_Collection'!G182)</f>
        <v>43009</v>
      </c>
      <c r="V401" s="266">
        <f t="shared" si="30"/>
        <v>69</v>
      </c>
      <c r="W401" s="264">
        <f t="shared" si="33"/>
        <v>0.43569999999999998</v>
      </c>
      <c r="X401" s="264">
        <f t="shared" si="34"/>
        <v>0.48963825059686572</v>
      </c>
      <c r="Y401" s="268">
        <f>IFERROR(INDEX(Rainfall_Dry!$O$2:$O$217,MATCH(B401, Rainfall_Dry!$A$2:$A$217,0)),"")</f>
        <v>162.634207253</v>
      </c>
      <c r="Z401" s="257">
        <v>25.96</v>
      </c>
      <c r="AA401" s="257">
        <v>8.9200000000000017</v>
      </c>
      <c r="AB401" s="257">
        <v>65.12</v>
      </c>
      <c r="AC401" s="258" t="s">
        <v>2654</v>
      </c>
      <c r="AD401" s="257">
        <v>4.6145884672252304</v>
      </c>
      <c r="AE401">
        <f>IF('WetLitterbags placem_collection'!AB182="","",'WetLitterbags placem_collection'!AB182)</f>
        <v>8.3000000000000007</v>
      </c>
      <c r="AF401">
        <f>IF('WetLitterbags placem_collection'!Z182="","",'WetLitterbags placem_collection'!Z182)</f>
        <v>35</v>
      </c>
      <c r="AG401" s="243" t="str">
        <f>IF('WetLitterbags placem_collection'!AA182="","",'WetLitterbags placem_collection'!AA182)</f>
        <v>O</v>
      </c>
      <c r="AH401">
        <f>IF('WetLitterbags placem_collection'!AC182="","",'WetLitterbags placem_collection'!AC182)</f>
        <v>0</v>
      </c>
      <c r="AI401">
        <f>IFERROR(AVERAGE('Dry_Litterbag Placem_Collection'!O182,'Dry_Litterbag Placem_Collection'!R182),"")</f>
        <v>5.3</v>
      </c>
      <c r="AJ401" s="268">
        <f>IFERROR(AVERAGE('Dry_Litterbag Placem_Collection'!N182,'Dry_Litterbag Placem_Collection'!Q182),"")</f>
        <v>31</v>
      </c>
      <c r="AK401" s="267">
        <f>INDEX(Coordinates!$B$2:$B$197,MATCH(H401,Coordinates!$J$2:$J$197,0))</f>
        <v>-2.2780199809999999</v>
      </c>
      <c r="AL401" s="267">
        <f>INDEX(Coordinates!$C$2:$C$197,MATCH(H401,Coordinates!$J$2:$J$197,0))</f>
        <v>34.027705019999999</v>
      </c>
      <c r="AM401" s="267" t="str">
        <f>IF(ISNUMBER(SEARCH("C", 'Dry_Litterbag Placem_Collection'!T182)),"YES","NO")</f>
        <v>NO</v>
      </c>
      <c r="AN401" s="267" t="str">
        <f>IF(ISNUMBER(SEARCH("H", 'Dry_Litterbag Placem_Collection'!T182)),"YES","NO")</f>
        <v>NO</v>
      </c>
      <c r="AO401" s="267" t="str">
        <f>IF(ISNUMBER(SEARCH("R", 'Dry_Litterbag Placem_Collection'!T182)),"YES","NO")</f>
        <v>NO</v>
      </c>
    </row>
    <row r="402" spans="1:41" ht="15" customHeight="1">
      <c r="A402" s="259" t="s">
        <v>2643</v>
      </c>
      <c r="B402" s="260">
        <f>'Dry_Litterbag Placem_Collection'!A183</f>
        <v>181</v>
      </c>
      <c r="C402" s="260" t="str">
        <f>'Dry_Litterbag Placem_Collection'!B183</f>
        <v>Handajega</v>
      </c>
      <c r="D402" s="260" t="s">
        <v>2454</v>
      </c>
      <c r="E402" s="260" t="s">
        <v>2645</v>
      </c>
      <c r="F402" s="260">
        <v>3</v>
      </c>
      <c r="G402" s="260" t="s">
        <v>3828</v>
      </c>
      <c r="H402" s="261" t="str">
        <f>'Dry_Litterbag Placem_Collection'!C183</f>
        <v>Wet_W3_T5</v>
      </c>
      <c r="I402" s="262" t="s">
        <v>2525</v>
      </c>
      <c r="J402" s="269" t="s">
        <v>298</v>
      </c>
      <c r="K402" s="260" t="str">
        <f>IF(ISBLANK('Dry_Litterbag Placem_Collection'!K183),"","R"&amp;""&amp;'Dry_Litterbag Placem_Collection'!K183)</f>
        <v>R116</v>
      </c>
      <c r="L402" s="264">
        <f>IFERROR(INDEX('Green_rooibos initial weight'!$C$5:$C$2000,MATCH(K402, 'Green_rooibos initial weight'!$A$5:$A$2000,0)),"")</f>
        <v>2.2909999999999999</v>
      </c>
      <c r="M402" s="264">
        <f>IFERROR(L402-(TBIcalc!$Q$9+TBIcalc!$Q$10),"")</f>
        <v>2.0411999999999999</v>
      </c>
      <c r="N402" s="385">
        <f>AVERAGE(Ashed_controlls!$K$12:$K$14)</f>
        <v>2.2816647271287041</v>
      </c>
      <c r="O402" s="264">
        <f t="shared" si="31"/>
        <v>1.9946266595898487</v>
      </c>
      <c r="P402" s="264">
        <f>IFERROR(INDEX('Both teabags AfterDry'!$D$2:$D$2000,MATCH(K402,'Both teabags AfterDry'!$A$2:$A$2000,0)),"")</f>
        <v>2.0322</v>
      </c>
      <c r="Q402" s="264">
        <f>IFERROR(IF(P402&gt;0,P402-(TBIcalc!$Q$9),""),"")</f>
        <v>1.8815999999999999</v>
      </c>
      <c r="R402" s="275">
        <f>IFERROR(INDEX('Ashed teabags dry'!$K$2:$K$2000,MATCH(K402,'Ashed teabags dry'!$A$2:$A$2000,0)),"")</f>
        <v>7.2674418604643565</v>
      </c>
      <c r="S402" s="275">
        <f t="shared" si="32"/>
        <v>1.7448558139535026</v>
      </c>
      <c r="T402" s="265">
        <f>IF('Dry_Litterbag Placem_Collection'!E183="","",'Dry_Litterbag Placem_Collection'!E183)</f>
        <v>42940</v>
      </c>
      <c r="U402" s="265">
        <f>IF('Dry_Litterbag Placem_Collection'!G183="","",'Dry_Litterbag Placem_Collection'!G183)</f>
        <v>43009</v>
      </c>
      <c r="V402" s="266">
        <f t="shared" si="30"/>
        <v>69</v>
      </c>
      <c r="W402" s="264">
        <f t="shared" si="33"/>
        <v>0.15959999999999996</v>
      </c>
      <c r="X402" s="264">
        <f t="shared" si="34"/>
        <v>0.24977084563634611</v>
      </c>
      <c r="Y402" s="268">
        <f>IFERROR(INDEX(Rainfall_Dry!$O$2:$O$217,MATCH(B402, Rainfall_Dry!$A$2:$A$217,0)),"")</f>
        <v>162.634207253</v>
      </c>
      <c r="Z402" s="257">
        <v>25.96</v>
      </c>
      <c r="AA402" s="257">
        <v>8.9200000000000017</v>
      </c>
      <c r="AB402" s="257">
        <v>65.12</v>
      </c>
      <c r="AC402" s="258" t="s">
        <v>2654</v>
      </c>
      <c r="AD402" s="257">
        <v>5.6145884672252304</v>
      </c>
      <c r="AE402">
        <f>IF('WetLitterbags placem_collection'!AB183="","",'WetLitterbags placem_collection'!AB183)</f>
        <v>11.4</v>
      </c>
      <c r="AF402">
        <f>IF('WetLitterbags placem_collection'!Z183="","",'WetLitterbags placem_collection'!Z183)</f>
        <v>15.8</v>
      </c>
      <c r="AG402" s="243" t="str">
        <f>IF('WetLitterbags placem_collection'!AA183="","",'WetLitterbags placem_collection'!AA183)</f>
        <v>O</v>
      </c>
      <c r="AH402">
        <f>IF('WetLitterbags placem_collection'!AC183="","",'WetLitterbags placem_collection'!AC183)</f>
        <v>1</v>
      </c>
      <c r="AI402">
        <f>IFERROR(AVERAGE('Dry_Litterbag Placem_Collection'!O183,'Dry_Litterbag Placem_Collection'!R183),"")</f>
        <v>4.3000000000000007</v>
      </c>
      <c r="AJ402" s="268">
        <f>IFERROR(AVERAGE('Dry_Litterbag Placem_Collection'!N183,'Dry_Litterbag Placem_Collection'!Q183),"")</f>
        <v>35.099999999999994</v>
      </c>
      <c r="AK402" s="267">
        <f>INDEX(Coordinates!$B$2:$B$197,MATCH(H402,Coordinates!$J$2:$J$197,0))</f>
        <v>-2.2777329850000001</v>
      </c>
      <c r="AL402" s="267">
        <f>INDEX(Coordinates!$C$2:$C$197,MATCH(H402,Coordinates!$J$2:$J$197,0))</f>
        <v>34.027422970000003</v>
      </c>
      <c r="AM402" s="267" t="str">
        <f>IF(ISNUMBER(SEARCH("C", 'Dry_Litterbag Placem_Collection'!T183)),"YES","NO")</f>
        <v>NO</v>
      </c>
      <c r="AN402" s="267" t="str">
        <f>IF(ISNUMBER(SEARCH("H", 'Dry_Litterbag Placem_Collection'!T183)),"YES","NO")</f>
        <v>NO</v>
      </c>
      <c r="AO402" s="267" t="str">
        <f>IF(ISNUMBER(SEARCH("R", 'Dry_Litterbag Placem_Collection'!T183)),"YES","NO")</f>
        <v>YES</v>
      </c>
    </row>
    <row r="403" spans="1:41" ht="15" customHeight="1">
      <c r="A403" s="259" t="s">
        <v>2643</v>
      </c>
      <c r="B403" s="260">
        <f>'Dry_Litterbag Placem_Collection'!A184</f>
        <v>182</v>
      </c>
      <c r="C403" s="260" t="str">
        <f>'Dry_Litterbag Placem_Collection'!B184</f>
        <v>Handajega</v>
      </c>
      <c r="D403" s="260" t="s">
        <v>2454</v>
      </c>
      <c r="E403" s="260" t="s">
        <v>2645</v>
      </c>
      <c r="F403" s="260">
        <v>3</v>
      </c>
      <c r="G403" s="260" t="s">
        <v>3828</v>
      </c>
      <c r="H403" s="261" t="str">
        <f>'Dry_Litterbag Placem_Collection'!C184</f>
        <v>Wet_W3_T6</v>
      </c>
      <c r="I403" s="262" t="s">
        <v>2525</v>
      </c>
      <c r="J403" s="269" t="s">
        <v>298</v>
      </c>
      <c r="K403" s="260" t="str">
        <f>IF(ISBLANK('Dry_Litterbag Placem_Collection'!K184),"","R"&amp;""&amp;'Dry_Litterbag Placem_Collection'!K184)</f>
        <v>R613</v>
      </c>
      <c r="L403" s="264">
        <f>IFERROR(INDEX('Green_rooibos initial weight'!$C$5:$C$2000,MATCH(K403, 'Green_rooibos initial weight'!$A$5:$A$2000,0)),"")</f>
        <v>2.1680000000000001</v>
      </c>
      <c r="M403" s="264">
        <f>IFERROR(L403-(TBIcalc!$Q$9+TBIcalc!$Q$10),"")</f>
        <v>1.9182000000000001</v>
      </c>
      <c r="N403" s="385">
        <f>AVERAGE(Ashed_controlls!$K$12:$K$14)</f>
        <v>2.2816647271287041</v>
      </c>
      <c r="O403" s="264">
        <f t="shared" si="31"/>
        <v>1.8744331072042173</v>
      </c>
      <c r="P403" s="264">
        <f>IFERROR(INDEX('Both teabags AfterDry'!$D$2:$D$2000,MATCH(K403,'Both teabags AfterDry'!$A$2:$A$2000,0)),"")</f>
        <v>1.7827</v>
      </c>
      <c r="Q403" s="264">
        <f>IFERROR(IF(P403&gt;0,P403-(TBIcalc!$Q$9),""),"")</f>
        <v>1.6320999999999999</v>
      </c>
      <c r="R403" s="275">
        <f>IFERROR(INDEX('Ashed teabags dry'!$K$2:$K$2000,MATCH(K403,'Ashed teabags dry'!$A$2:$A$2000,0)),"")</f>
        <v>22.3821339950374</v>
      </c>
      <c r="S403" s="275">
        <f t="shared" si="32"/>
        <v>1.2668011910669945</v>
      </c>
      <c r="T403" s="265">
        <f>IF('Dry_Litterbag Placem_Collection'!E184="","",'Dry_Litterbag Placem_Collection'!E184)</f>
        <v>42940</v>
      </c>
      <c r="U403" s="265">
        <f>IF('Dry_Litterbag Placem_Collection'!G184="","",'Dry_Litterbag Placem_Collection'!G184)</f>
        <v>43009</v>
      </c>
      <c r="V403" s="266">
        <f t="shared" si="30"/>
        <v>69</v>
      </c>
      <c r="W403" s="264">
        <f t="shared" si="33"/>
        <v>0.28610000000000024</v>
      </c>
      <c r="X403" s="264">
        <f t="shared" si="34"/>
        <v>0.60763191613722278</v>
      </c>
      <c r="Y403" s="268">
        <f>IFERROR(INDEX(Rainfall_Dry!$O$2:$O$217,MATCH(B403, Rainfall_Dry!$A$2:$A$217,0)),"")</f>
        <v>162.634207253</v>
      </c>
      <c r="Z403" s="257">
        <v>25.96</v>
      </c>
      <c r="AA403" s="257">
        <v>8.9200000000000017</v>
      </c>
      <c r="AB403" s="257">
        <v>65.12</v>
      </c>
      <c r="AC403" s="258" t="s">
        <v>2654</v>
      </c>
      <c r="AD403" s="257">
        <v>6.6145884672252304</v>
      </c>
      <c r="AE403">
        <f>IF('WetLitterbags placem_collection'!AB184="","",'WetLitterbags placem_collection'!AB184)</f>
        <v>8.8000000000000007</v>
      </c>
      <c r="AF403">
        <f>IF('WetLitterbags placem_collection'!Z184="","",'WetLitterbags placem_collection'!Z184)</f>
        <v>15.8</v>
      </c>
      <c r="AG403" s="243" t="str">
        <f>IF('WetLitterbags placem_collection'!AA184="","",'WetLitterbags placem_collection'!AA184)</f>
        <v>O</v>
      </c>
      <c r="AH403">
        <f>IF('WetLitterbags placem_collection'!AC184="","",'WetLitterbags placem_collection'!AC184)</f>
        <v>1</v>
      </c>
      <c r="AI403">
        <f>IFERROR(AVERAGE('Dry_Litterbag Placem_Collection'!O184,'Dry_Litterbag Placem_Collection'!R184),"")</f>
        <v>6.55</v>
      </c>
      <c r="AJ403" s="268">
        <f>IFERROR(AVERAGE('Dry_Litterbag Placem_Collection'!N184,'Dry_Litterbag Placem_Collection'!Q184),"")</f>
        <v>36.400000000000006</v>
      </c>
      <c r="AK403" s="267">
        <f>INDEX(Coordinates!$B$2:$B$197,MATCH(H403,Coordinates!$J$2:$J$197,0))</f>
        <v>-2.2777009659999998</v>
      </c>
      <c r="AL403" s="267">
        <f>INDEX(Coordinates!$C$2:$C$197,MATCH(H403,Coordinates!$J$2:$J$197,0))</f>
        <v>34.027393969999999</v>
      </c>
      <c r="AM403" s="267" t="str">
        <f>IF(ISNUMBER(SEARCH("C", 'Dry_Litterbag Placem_Collection'!T184)),"YES","NO")</f>
        <v>YES</v>
      </c>
      <c r="AN403" s="267" t="str">
        <f>IF(ISNUMBER(SEARCH("H", 'Dry_Litterbag Placem_Collection'!T184)),"YES","NO")</f>
        <v>YES</v>
      </c>
      <c r="AO403" s="267" t="str">
        <f>IF(ISNUMBER(SEARCH("R", 'Dry_Litterbag Placem_Collection'!T184)),"YES","NO")</f>
        <v>YES</v>
      </c>
    </row>
    <row r="404" spans="1:41" ht="15" customHeight="1">
      <c r="A404" s="259" t="s">
        <v>2643</v>
      </c>
      <c r="B404" s="260">
        <f>'Dry_Litterbag Placem_Collection'!A185</f>
        <v>183</v>
      </c>
      <c r="C404" s="260" t="str">
        <f>'Dry_Litterbag Placem_Collection'!B185</f>
        <v>Handajega</v>
      </c>
      <c r="D404" s="260" t="s">
        <v>2454</v>
      </c>
      <c r="E404" s="260" t="s">
        <v>2645</v>
      </c>
      <c r="F404" s="260">
        <v>3</v>
      </c>
      <c r="G404" s="260" t="s">
        <v>3828</v>
      </c>
      <c r="H404" s="261" t="str">
        <f>'Dry_Litterbag Placem_Collection'!C185</f>
        <v>Wet_W3_T7</v>
      </c>
      <c r="I404" s="262" t="s">
        <v>2525</v>
      </c>
      <c r="J404" s="269" t="s">
        <v>298</v>
      </c>
      <c r="K404" s="260" t="str">
        <f>IF(ISBLANK('Dry_Litterbag Placem_Collection'!K185),"","R"&amp;""&amp;'Dry_Litterbag Placem_Collection'!K185)</f>
        <v/>
      </c>
      <c r="L404" s="264" t="str">
        <f>IFERROR(INDEX('Green_rooibos initial weight'!$C$5:$C$2000,MATCH(K404, 'Green_rooibos initial weight'!$A$5:$A$2000,0)),"")</f>
        <v/>
      </c>
      <c r="M404" s="264" t="str">
        <f>IFERROR(L404-(TBIcalc!$Q$9+TBIcalc!$Q$10),"")</f>
        <v/>
      </c>
      <c r="N404" s="385">
        <f>AVERAGE(Ashed_controlls!$K$12:$K$14)</f>
        <v>2.2816647271287041</v>
      </c>
      <c r="O404" s="264" t="str">
        <f t="shared" si="31"/>
        <v/>
      </c>
      <c r="P404" s="264" t="str">
        <f>IFERROR(INDEX('Both teabags AfterDry'!$D$2:$D$2000,MATCH(K404,'Both teabags AfterDry'!$A$2:$A$2000,0)),"")</f>
        <v/>
      </c>
      <c r="Q404" s="264" t="str">
        <f>IFERROR(IF(P404&gt;0,P404-(TBIcalc!$Q$9),""),"")</f>
        <v/>
      </c>
      <c r="R404" s="275" t="str">
        <f>IFERROR(INDEX('Ashed teabags dry'!$K$2:$K$2000,MATCH(K404,'Ashed teabags dry'!$A$2:$A$2000,0)),"")</f>
        <v/>
      </c>
      <c r="S404" s="275" t="str">
        <f t="shared" si="32"/>
        <v/>
      </c>
      <c r="T404" s="265" t="str">
        <f>IF('Dry_Litterbag Placem_Collection'!E185="","",'Dry_Litterbag Placem_Collection'!E185)</f>
        <v/>
      </c>
      <c r="U404" s="265" t="str">
        <f>IF('Dry_Litterbag Placem_Collection'!G185="","",'Dry_Litterbag Placem_Collection'!G185)</f>
        <v/>
      </c>
      <c r="V404" s="266" t="str">
        <f t="shared" si="30"/>
        <v/>
      </c>
      <c r="W404" s="264" t="str">
        <f t="shared" si="33"/>
        <v/>
      </c>
      <c r="X404" s="264" t="str">
        <f t="shared" si="34"/>
        <v/>
      </c>
      <c r="Y404" s="268" t="str">
        <f>IFERROR(INDEX(Rainfall_Dry!$O$2:$O$217,MATCH(B404, Rainfall_Dry!$A$2:$A$217,0)),"")</f>
        <v/>
      </c>
      <c r="Z404" s="257">
        <v>25.96</v>
      </c>
      <c r="AA404" s="257">
        <v>8.9200000000000017</v>
      </c>
      <c r="AB404" s="257">
        <v>65.12</v>
      </c>
      <c r="AC404" s="258" t="s">
        <v>2654</v>
      </c>
      <c r="AD404" s="257">
        <v>7.6145884672252304</v>
      </c>
      <c r="AE404">
        <f>IF('WetLitterbags placem_collection'!AB185="","",'WetLitterbags placem_collection'!AB185)</f>
        <v>11.4</v>
      </c>
      <c r="AF404">
        <f>IF('WetLitterbags placem_collection'!Z185="","",'WetLitterbags placem_collection'!Z185)</f>
        <v>35.799999999999997</v>
      </c>
      <c r="AG404" s="243" t="str">
        <f>IF('WetLitterbags placem_collection'!AA185="","",'WetLitterbags placem_collection'!AA185)</f>
        <v>G</v>
      </c>
      <c r="AH404">
        <f>IF('WetLitterbags placem_collection'!AC185="","",'WetLitterbags placem_collection'!AC185)</f>
        <v>1</v>
      </c>
      <c r="AI404" t="str">
        <f>IFERROR(AVERAGE('Dry_Litterbag Placem_Collection'!O185,'Dry_Litterbag Placem_Collection'!R185),"")</f>
        <v/>
      </c>
      <c r="AJ404" s="268" t="str">
        <f>IFERROR(AVERAGE('Dry_Litterbag Placem_Collection'!N185,'Dry_Litterbag Placem_Collection'!Q185),"")</f>
        <v/>
      </c>
      <c r="AK404" s="267">
        <f>INDEX(Coordinates!$B$2:$B$197,MATCH(H404,Coordinates!$J$2:$J$197,0))</f>
        <v>-2.2777790019999999</v>
      </c>
      <c r="AL404" s="267">
        <f>INDEX(Coordinates!$C$2:$C$197,MATCH(H404,Coordinates!$J$2:$J$197,0))</f>
        <v>34.028066029999998</v>
      </c>
      <c r="AM404" s="267" t="str">
        <f>IF(ISNUMBER(SEARCH("C", 'Dry_Litterbag Placem_Collection'!T185)),"YES","NO")</f>
        <v>NO</v>
      </c>
      <c r="AN404" s="267" t="str">
        <f>IF(ISNUMBER(SEARCH("H", 'Dry_Litterbag Placem_Collection'!T185)),"YES","NO")</f>
        <v>NO</v>
      </c>
      <c r="AO404" s="267" t="str">
        <f>IF(ISNUMBER(SEARCH("R", 'Dry_Litterbag Placem_Collection'!T185)),"YES","NO")</f>
        <v>NO</v>
      </c>
    </row>
    <row r="405" spans="1:41" ht="15" customHeight="1">
      <c r="A405" s="259" t="s">
        <v>2643</v>
      </c>
      <c r="B405" s="260">
        <f>'Dry_Litterbag Placem_Collection'!A186</f>
        <v>184</v>
      </c>
      <c r="C405" s="260" t="str">
        <f>'Dry_Litterbag Placem_Collection'!B186</f>
        <v>Handajega</v>
      </c>
      <c r="D405" s="260" t="s">
        <v>2454</v>
      </c>
      <c r="E405" s="260" t="s">
        <v>2645</v>
      </c>
      <c r="F405" s="260">
        <v>3</v>
      </c>
      <c r="G405" s="260" t="s">
        <v>3828</v>
      </c>
      <c r="H405" s="261" t="str">
        <f>'Dry_Litterbag Placem_Collection'!C186</f>
        <v>Wet_W3_T8</v>
      </c>
      <c r="I405" s="262" t="s">
        <v>2525</v>
      </c>
      <c r="J405" s="269" t="s">
        <v>298</v>
      </c>
      <c r="K405" s="260" t="str">
        <f>IF(ISBLANK('Dry_Litterbag Placem_Collection'!K186),"","R"&amp;""&amp;'Dry_Litterbag Placem_Collection'!K186)</f>
        <v>R179</v>
      </c>
      <c r="L405" s="264">
        <f>IFERROR(INDEX('Green_rooibos initial weight'!$C$5:$C$2000,MATCH(K405, 'Green_rooibos initial weight'!$A$5:$A$2000,0)),"")</f>
        <v>2.177</v>
      </c>
      <c r="M405" s="264">
        <f>IFERROR(L405-(TBIcalc!$Q$9+TBIcalc!$Q$10),"")</f>
        <v>1.9272</v>
      </c>
      <c r="N405" s="385">
        <f>AVERAGE(Ashed_controlls!$K$12:$K$14)</f>
        <v>2.2816647271287041</v>
      </c>
      <c r="O405" s="264">
        <f t="shared" si="31"/>
        <v>1.8832277573787757</v>
      </c>
      <c r="P405" s="264">
        <f>IFERROR(INDEX('Both teabags AfterDry'!$D$2:$D$2000,MATCH(K405,'Both teabags AfterDry'!$A$2:$A$2000,0)),"")</f>
        <v>1.7174</v>
      </c>
      <c r="Q405" s="264">
        <f>IFERROR(IF(P405&gt;0,P405-(TBIcalc!$Q$9),""),"")</f>
        <v>1.5668</v>
      </c>
      <c r="R405" s="275">
        <f>IFERROR(INDEX('Ashed teabags dry'!$K$2:$K$2000,MATCH(K405,'Ashed teabags dry'!$A$2:$A$2000,0)),"")</f>
        <v>5.7032382793619867</v>
      </c>
      <c r="S405" s="275">
        <f t="shared" si="32"/>
        <v>1.4774416626389564</v>
      </c>
      <c r="T405" s="265">
        <f>IF('Dry_Litterbag Placem_Collection'!E186="","",'Dry_Litterbag Placem_Collection'!E186)</f>
        <v>42940</v>
      </c>
      <c r="U405" s="265">
        <f>IF('Dry_Litterbag Placem_Collection'!G186="","",'Dry_Litterbag Placem_Collection'!G186)</f>
        <v>43009</v>
      </c>
      <c r="V405" s="266">
        <f t="shared" si="30"/>
        <v>69</v>
      </c>
      <c r="W405" s="264">
        <f t="shared" si="33"/>
        <v>0.36040000000000005</v>
      </c>
      <c r="X405" s="264">
        <f t="shared" si="34"/>
        <v>0.4057860947398193</v>
      </c>
      <c r="Y405" s="268">
        <f>IFERROR(INDEX(Rainfall_Dry!$O$2:$O$217,MATCH(B405, Rainfall_Dry!$A$2:$A$217,0)),"")</f>
        <v>162.634207253</v>
      </c>
      <c r="Z405" s="257">
        <v>25.96</v>
      </c>
      <c r="AA405" s="257">
        <v>8.9200000000000017</v>
      </c>
      <c r="AB405" s="257">
        <v>65.12</v>
      </c>
      <c r="AC405" s="258" t="s">
        <v>2654</v>
      </c>
      <c r="AD405" s="257">
        <v>8.6145884672252304</v>
      </c>
      <c r="AE405">
        <f>IF('WetLitterbags placem_collection'!AB186="","",'WetLitterbags placem_collection'!AB186)</f>
        <v>3.7</v>
      </c>
      <c r="AF405">
        <f>IF('WetLitterbags placem_collection'!Z186="","",'WetLitterbags placem_collection'!Z186)</f>
        <v>16.399999999999999</v>
      </c>
      <c r="AG405" s="243" t="str">
        <f>IF('WetLitterbags placem_collection'!AA186="","",'WetLitterbags placem_collection'!AA186)</f>
        <v>O</v>
      </c>
      <c r="AH405">
        <f>IF('WetLitterbags placem_collection'!AC186="","",'WetLitterbags placem_collection'!AC186)</f>
        <v>0</v>
      </c>
      <c r="AI405">
        <f>IFERROR(AVERAGE('Dry_Litterbag Placem_Collection'!O186,'Dry_Litterbag Placem_Collection'!R186),"")</f>
        <v>4.3</v>
      </c>
      <c r="AJ405" s="268">
        <f>IFERROR(AVERAGE('Dry_Litterbag Placem_Collection'!N186,'Dry_Litterbag Placem_Collection'!Q186),"")</f>
        <v>28.05</v>
      </c>
      <c r="AK405" s="267">
        <f>INDEX(Coordinates!$B$2:$B$197,MATCH(H405,Coordinates!$J$2:$J$197,0))</f>
        <v>-2.2775169829999999</v>
      </c>
      <c r="AL405" s="267">
        <f>INDEX(Coordinates!$C$2:$C$197,MATCH(H405,Coordinates!$J$2:$J$197,0))</f>
        <v>34.027766970000002</v>
      </c>
      <c r="AM405" s="267" t="str">
        <f>IF(ISNUMBER(SEARCH("C", 'Dry_Litterbag Placem_Collection'!T186)),"YES","NO")</f>
        <v>NO</v>
      </c>
      <c r="AN405" s="267" t="str">
        <f>IF(ISNUMBER(SEARCH("H", 'Dry_Litterbag Placem_Collection'!T186)),"YES","NO")</f>
        <v>NO</v>
      </c>
      <c r="AO405" s="267" t="str">
        <f>IF(ISNUMBER(SEARCH("R", 'Dry_Litterbag Placem_Collection'!T186)),"YES","NO")</f>
        <v>YES</v>
      </c>
    </row>
    <row r="406" spans="1:41" ht="15" customHeight="1">
      <c r="A406" s="259" t="s">
        <v>2643</v>
      </c>
      <c r="B406" s="260">
        <f>'Dry_Litterbag Placem_Collection'!A187</f>
        <v>185</v>
      </c>
      <c r="C406" s="260" t="str">
        <f>'Dry_Litterbag Placem_Collection'!B187</f>
        <v>Handajega</v>
      </c>
      <c r="D406" s="260" t="s">
        <v>2454</v>
      </c>
      <c r="E406" s="260" t="s">
        <v>2645</v>
      </c>
      <c r="F406" s="260">
        <v>4</v>
      </c>
      <c r="G406" s="260" t="s">
        <v>3829</v>
      </c>
      <c r="H406" s="261" t="str">
        <f>'Dry_Litterbag Placem_Collection'!C187</f>
        <v>Wet_W4_T1</v>
      </c>
      <c r="I406" s="262" t="s">
        <v>2525</v>
      </c>
      <c r="J406" s="269" t="s">
        <v>298</v>
      </c>
      <c r="K406" s="260" t="str">
        <f>IF(ISBLANK('Dry_Litterbag Placem_Collection'!K187),"","R"&amp;""&amp;'Dry_Litterbag Placem_Collection'!K187)</f>
        <v>R300</v>
      </c>
      <c r="L406" s="264">
        <f>IFERROR(INDEX('Green_rooibos initial weight'!$C$5:$C$2000,MATCH(K406, 'Green_rooibos initial weight'!$A$5:$A$2000,0)),"")</f>
        <v>2.2330000000000001</v>
      </c>
      <c r="M406" s="264">
        <f>IFERROR(L406-(TBIcalc!$Q$9+TBIcalc!$Q$10),"")</f>
        <v>1.9832000000000001</v>
      </c>
      <c r="N406" s="385">
        <f>AVERAGE(Ashed_controlls!$K$12:$K$14)</f>
        <v>2.2816647271287041</v>
      </c>
      <c r="O406" s="264">
        <f t="shared" si="31"/>
        <v>1.9379500251315835</v>
      </c>
      <c r="P406" s="264" t="str">
        <f>IFERROR(INDEX('Both teabags AfterDry'!$D$2:$D$2000,MATCH(K406,'Both teabags AfterDry'!$A$2:$A$2000,0)),"")</f>
        <v/>
      </c>
      <c r="Q406" s="264" t="str">
        <f>IFERROR(IF(P406&gt;0,P406-(TBIcalc!$Q$9),""),"")</f>
        <v/>
      </c>
      <c r="R406" s="275" t="str">
        <f>IFERROR(INDEX('Ashed teabags dry'!$K$2:$K$2000,MATCH(K406,'Ashed teabags dry'!$A$2:$A$2000,0)),"")</f>
        <v/>
      </c>
      <c r="S406" s="275" t="str">
        <f t="shared" si="32"/>
        <v/>
      </c>
      <c r="T406" s="265">
        <f>IF('Dry_Litterbag Placem_Collection'!E187="","",'Dry_Litterbag Placem_Collection'!E187)</f>
        <v>42940</v>
      </c>
      <c r="U406" s="265">
        <f>IF('Dry_Litterbag Placem_Collection'!G187="","",'Dry_Litterbag Placem_Collection'!G187)</f>
        <v>43009</v>
      </c>
      <c r="V406" s="266">
        <f t="shared" si="30"/>
        <v>69</v>
      </c>
      <c r="W406" s="264" t="str">
        <f t="shared" si="33"/>
        <v/>
      </c>
      <c r="X406" s="264" t="str">
        <f t="shared" si="34"/>
        <v/>
      </c>
      <c r="Y406" s="268">
        <f>IFERROR(INDEX(Rainfall_Dry!$O$2:$O$217,MATCH(B406, Rainfall_Dry!$A$2:$A$217,0)),"")</f>
        <v>162.634207253</v>
      </c>
      <c r="Z406" s="257">
        <v>25.96</v>
      </c>
      <c r="AA406" s="257">
        <v>8.9200000000000017</v>
      </c>
      <c r="AB406" s="257">
        <v>65.12</v>
      </c>
      <c r="AC406" s="258" t="s">
        <v>2654</v>
      </c>
      <c r="AD406" s="257">
        <v>1.6991621488417901</v>
      </c>
      <c r="AE406">
        <f>IF('WetLitterbags placem_collection'!AB187="","",'WetLitterbags placem_collection'!AB187)</f>
        <v>9.8000000000000007</v>
      </c>
      <c r="AF406">
        <f>IF('WetLitterbags placem_collection'!Z187="","",'WetLitterbags placem_collection'!Z187)</f>
        <v>29.4</v>
      </c>
      <c r="AG406" s="243" t="str">
        <f>IF('WetLitterbags placem_collection'!AA187="","",'WetLitterbags placem_collection'!AA187)</f>
        <v>O</v>
      </c>
      <c r="AH406">
        <f>IF('WetLitterbags placem_collection'!AC187="","",'WetLitterbags placem_collection'!AC187)</f>
        <v>0</v>
      </c>
      <c r="AI406">
        <f>IFERROR(AVERAGE('Dry_Litterbag Placem_Collection'!O187,'Dry_Litterbag Placem_Collection'!R187),"")</f>
        <v>4.9000000000000004</v>
      </c>
      <c r="AJ406" s="268">
        <f>IFERROR(AVERAGE('Dry_Litterbag Placem_Collection'!N187,'Dry_Litterbag Placem_Collection'!Q187),"")</f>
        <v>35</v>
      </c>
      <c r="AK406" s="267">
        <f>INDEX(Coordinates!$B$2:$B$197,MATCH(H406,Coordinates!$J$2:$J$197,0))</f>
        <v>-2.2787330300000002</v>
      </c>
      <c r="AL406" s="267">
        <f>INDEX(Coordinates!$C$2:$C$197,MATCH(H406,Coordinates!$J$2:$J$197,0))</f>
        <v>34.032136029999997</v>
      </c>
      <c r="AM406" s="267" t="str">
        <f>IF(ISNUMBER(SEARCH("C", 'Dry_Litterbag Placem_Collection'!T187)),"YES","NO")</f>
        <v>NO</v>
      </c>
      <c r="AN406" s="267" t="str">
        <f>IF(ISNUMBER(SEARCH("H", 'Dry_Litterbag Placem_Collection'!T187)),"YES","NO")</f>
        <v>YES</v>
      </c>
      <c r="AO406" s="267" t="str">
        <f>IF(ISNUMBER(SEARCH("R", 'Dry_Litterbag Placem_Collection'!T187)),"YES","NO")</f>
        <v>NO</v>
      </c>
    </row>
    <row r="407" spans="1:41" ht="15" customHeight="1">
      <c r="A407" s="259" t="s">
        <v>2643</v>
      </c>
      <c r="B407" s="260">
        <f>'Dry_Litterbag Placem_Collection'!A188</f>
        <v>186</v>
      </c>
      <c r="C407" s="260" t="str">
        <f>'Dry_Litterbag Placem_Collection'!B188</f>
        <v>Handajega</v>
      </c>
      <c r="D407" s="260" t="s">
        <v>2454</v>
      </c>
      <c r="E407" s="260" t="s">
        <v>2645</v>
      </c>
      <c r="F407" s="260">
        <v>4</v>
      </c>
      <c r="G407" s="260" t="s">
        <v>3829</v>
      </c>
      <c r="H407" s="261" t="str">
        <f>'Dry_Litterbag Placem_Collection'!C188</f>
        <v>Wet_W4_T2</v>
      </c>
      <c r="I407" s="262" t="s">
        <v>2525</v>
      </c>
      <c r="J407" s="269" t="s">
        <v>298</v>
      </c>
      <c r="K407" s="260" t="str">
        <f>IF(ISBLANK('Dry_Litterbag Placem_Collection'!K188),"","R"&amp;""&amp;'Dry_Litterbag Placem_Collection'!K188)</f>
        <v>R717</v>
      </c>
      <c r="L407" s="264">
        <f>IFERROR(INDEX('Green_rooibos initial weight'!$C$5:$C$2000,MATCH(K407, 'Green_rooibos initial weight'!$A$5:$A$2000,0)),"")</f>
        <v>2.1619999999999999</v>
      </c>
      <c r="M407" s="264">
        <f>IFERROR(L407-(TBIcalc!$Q$9+TBIcalc!$Q$10),"")</f>
        <v>1.9121999999999999</v>
      </c>
      <c r="N407" s="385">
        <f>AVERAGE(Ashed_controlls!$K$12:$K$14)</f>
        <v>2.2816647271287041</v>
      </c>
      <c r="O407" s="264">
        <f t="shared" si="31"/>
        <v>1.8685700070878448</v>
      </c>
      <c r="P407" s="264">
        <f>IFERROR(INDEX('Both teabags AfterDry'!$D$2:$D$2000,MATCH(K407,'Both teabags AfterDry'!$A$2:$A$2000,0)),"")</f>
        <v>1.7592000000000001</v>
      </c>
      <c r="Q407" s="264">
        <f>IFERROR(IF(P407&gt;0,P407-(TBIcalc!$Q$9),""),"")</f>
        <v>1.6086</v>
      </c>
      <c r="R407" s="275">
        <f>IFERROR(INDEX('Ashed teabags dry'!$K$2:$K$2000,MATCH(K407,'Ashed teabags dry'!$A$2:$A$2000,0)),"")</f>
        <v>31.265266243282504</v>
      </c>
      <c r="S407" s="275">
        <f t="shared" si="32"/>
        <v>1.1056669272105577</v>
      </c>
      <c r="T407" s="265">
        <f>IF('Dry_Litterbag Placem_Collection'!E188="","",'Dry_Litterbag Placem_Collection'!E188)</f>
        <v>42940</v>
      </c>
      <c r="U407" s="265">
        <f>IF('Dry_Litterbag Placem_Collection'!G188="","",'Dry_Litterbag Placem_Collection'!G188)</f>
        <v>43009</v>
      </c>
      <c r="V407" s="266">
        <f t="shared" si="30"/>
        <v>69</v>
      </c>
      <c r="W407" s="264">
        <f t="shared" si="33"/>
        <v>0.30359999999999987</v>
      </c>
      <c r="X407" s="264">
        <f t="shared" si="34"/>
        <v>0.76290307987728712</v>
      </c>
      <c r="Y407" s="268">
        <f>IFERROR(INDEX(Rainfall_Dry!$O$2:$O$217,MATCH(B407, Rainfall_Dry!$A$2:$A$217,0)),"")</f>
        <v>162.634207253</v>
      </c>
      <c r="Z407" s="257">
        <v>25.96</v>
      </c>
      <c r="AA407" s="257">
        <v>8.9200000000000017</v>
      </c>
      <c r="AB407" s="257">
        <v>65.12</v>
      </c>
      <c r="AC407" s="258" t="s">
        <v>2654</v>
      </c>
      <c r="AD407" s="257">
        <v>2.6991621488417898</v>
      </c>
      <c r="AE407">
        <f>IF('WetLitterbags placem_collection'!AB188="","",'WetLitterbags placem_collection'!AB188)</f>
        <v>11.4</v>
      </c>
      <c r="AF407">
        <f>IF('WetLitterbags placem_collection'!Z188="","",'WetLitterbags placem_collection'!Z188)</f>
        <v>45.4</v>
      </c>
      <c r="AG407" s="243" t="str">
        <f>IF('WetLitterbags placem_collection'!AA188="","",'WetLitterbags placem_collection'!AA188)</f>
        <v>O</v>
      </c>
      <c r="AH407">
        <f>IF('WetLitterbags placem_collection'!AC188="","",'WetLitterbags placem_collection'!AC188)</f>
        <v>0</v>
      </c>
      <c r="AI407">
        <f>IFERROR(AVERAGE('Dry_Litterbag Placem_Collection'!O188,'Dry_Litterbag Placem_Collection'!R188),"")</f>
        <v>7.55</v>
      </c>
      <c r="AJ407" s="268">
        <f>IFERROR(AVERAGE('Dry_Litterbag Placem_Collection'!N188,'Dry_Litterbag Placem_Collection'!Q188),"")</f>
        <v>35.299999999999997</v>
      </c>
      <c r="AK407" s="267">
        <f>INDEX(Coordinates!$B$2:$B$197,MATCH(H407,Coordinates!$J$2:$J$197,0))</f>
        <v>-2.278763037</v>
      </c>
      <c r="AL407" s="267">
        <f>INDEX(Coordinates!$C$2:$C$197,MATCH(H407,Coordinates!$J$2:$J$197,0))</f>
        <v>34.031974009999999</v>
      </c>
      <c r="AM407" s="267" t="str">
        <f>IF(ISNUMBER(SEARCH("C", 'Dry_Litterbag Placem_Collection'!T188)),"YES","NO")</f>
        <v>YES</v>
      </c>
      <c r="AN407" s="267" t="str">
        <f>IF(ISNUMBER(SEARCH("H", 'Dry_Litterbag Placem_Collection'!T188)),"YES","NO")</f>
        <v>YES</v>
      </c>
      <c r="AO407" s="267" t="str">
        <f>IF(ISNUMBER(SEARCH("R", 'Dry_Litterbag Placem_Collection'!T188)),"YES","NO")</f>
        <v>NO</v>
      </c>
    </row>
    <row r="408" spans="1:41" ht="15" customHeight="1">
      <c r="A408" s="259" t="s">
        <v>2643</v>
      </c>
      <c r="B408" s="260">
        <f>'Dry_Litterbag Placem_Collection'!A189</f>
        <v>187</v>
      </c>
      <c r="C408" s="260" t="str">
        <f>'Dry_Litterbag Placem_Collection'!B189</f>
        <v>Handajega</v>
      </c>
      <c r="D408" s="260" t="s">
        <v>2454</v>
      </c>
      <c r="E408" s="260" t="s">
        <v>2645</v>
      </c>
      <c r="F408" s="260">
        <v>4</v>
      </c>
      <c r="G408" s="260" t="s">
        <v>3829</v>
      </c>
      <c r="H408" s="261" t="str">
        <f>'Dry_Litterbag Placem_Collection'!C189</f>
        <v>Wet_W4_T3</v>
      </c>
      <c r="I408" s="262" t="s">
        <v>2525</v>
      </c>
      <c r="J408" s="269" t="s">
        <v>298</v>
      </c>
      <c r="K408" s="260" t="str">
        <f>IF(ISBLANK('Dry_Litterbag Placem_Collection'!K189),"","R"&amp;""&amp;'Dry_Litterbag Placem_Collection'!K189)</f>
        <v>R759</v>
      </c>
      <c r="L408" s="264">
        <f>IFERROR(INDEX('Green_rooibos initial weight'!$C$5:$C$2000,MATCH(K408, 'Green_rooibos initial weight'!$A$5:$A$2000,0)),"")</f>
        <v>2.2469999999999999</v>
      </c>
      <c r="M408" s="264">
        <f>IFERROR(L408-(TBIcalc!$Q$9+TBIcalc!$Q$10),"")</f>
        <v>1.9971999999999999</v>
      </c>
      <c r="N408" s="385">
        <f>AVERAGE(Ashed_controlls!$K$12:$K$14)</f>
        <v>2.2816647271287041</v>
      </c>
      <c r="O408" s="264">
        <f t="shared" si="31"/>
        <v>1.9516305920697854</v>
      </c>
      <c r="P408" s="264">
        <f>IFERROR(INDEX('Both teabags AfterDry'!$D$2:$D$2000,MATCH(K408,'Both teabags AfterDry'!$A$2:$A$2000,0)),"")</f>
        <v>1.7075</v>
      </c>
      <c r="Q408" s="264">
        <f>IFERROR(IF(P408&gt;0,P408-(TBIcalc!$Q$9),""),"")</f>
        <v>1.5569</v>
      </c>
      <c r="R408" s="275">
        <f>IFERROR(INDEX('Ashed teabags dry'!$K$2:$K$2000,MATCH(K408,'Ashed teabags dry'!$A$2:$A$2000,0)),"")</f>
        <v>9.3676814988289312</v>
      </c>
      <c r="S408" s="275">
        <f t="shared" si="32"/>
        <v>1.4110545667447323</v>
      </c>
      <c r="T408" s="265">
        <f>IF('Dry_Litterbag Placem_Collection'!E189="","",'Dry_Litterbag Placem_Collection'!E189)</f>
        <v>42940</v>
      </c>
      <c r="U408" s="265">
        <f>IF('Dry_Litterbag Placem_Collection'!G189="","",'Dry_Litterbag Placem_Collection'!G189)</f>
        <v>43009</v>
      </c>
      <c r="V408" s="266">
        <f t="shared" si="30"/>
        <v>69</v>
      </c>
      <c r="W408" s="264">
        <f t="shared" si="33"/>
        <v>0.44029999999999991</v>
      </c>
      <c r="X408" s="264">
        <f t="shared" si="34"/>
        <v>0.54057602532505311</v>
      </c>
      <c r="Y408" s="268">
        <f>IFERROR(INDEX(Rainfall_Dry!$O$2:$O$217,MATCH(B408, Rainfall_Dry!$A$2:$A$217,0)),"")</f>
        <v>162.634207253</v>
      </c>
      <c r="Z408" s="257">
        <v>25.96</v>
      </c>
      <c r="AA408" s="257">
        <v>8.9200000000000017</v>
      </c>
      <c r="AB408" s="257">
        <v>65.12</v>
      </c>
      <c r="AC408" s="258" t="s">
        <v>2654</v>
      </c>
      <c r="AD408" s="257">
        <v>3.6991621488417898</v>
      </c>
      <c r="AE408">
        <f>IF('WetLitterbags placem_collection'!AB189="","",'WetLitterbags placem_collection'!AB189)</f>
        <v>0.6</v>
      </c>
      <c r="AF408">
        <f>IF('WetLitterbags placem_collection'!Z189="","",'WetLitterbags placem_collection'!Z189)</f>
        <v>39.4</v>
      </c>
      <c r="AG408" s="243" t="str">
        <f>IF('WetLitterbags placem_collection'!AA189="","",'WetLitterbags placem_collection'!AA189)</f>
        <v>O</v>
      </c>
      <c r="AH408">
        <f>IF('WetLitterbags placem_collection'!AC189="","",'WetLitterbags placem_collection'!AC189)</f>
        <v>1</v>
      </c>
      <c r="AI408">
        <f>IFERROR(AVERAGE('Dry_Litterbag Placem_Collection'!O189,'Dry_Litterbag Placem_Collection'!R189),"")</f>
        <v>5.05</v>
      </c>
      <c r="AJ408" s="268">
        <f>IFERROR(AVERAGE('Dry_Litterbag Placem_Collection'!N189,'Dry_Litterbag Placem_Collection'!Q189),"")</f>
        <v>35.150000000000006</v>
      </c>
      <c r="AK408" s="267">
        <f>INDEX(Coordinates!$B$2:$B$197,MATCH(H408,Coordinates!$J$2:$J$197,0))</f>
        <v>-2.2785890289999999</v>
      </c>
      <c r="AL408" s="267">
        <f>INDEX(Coordinates!$C$2:$C$197,MATCH(H408,Coordinates!$J$2:$J$197,0))</f>
        <v>34.031841999999997</v>
      </c>
      <c r="AM408" s="267" t="str">
        <f>IF(ISNUMBER(SEARCH("C", 'Dry_Litterbag Placem_Collection'!T189)),"YES","NO")</f>
        <v>NO</v>
      </c>
      <c r="AN408" s="267" t="str">
        <f>IF(ISNUMBER(SEARCH("H", 'Dry_Litterbag Placem_Collection'!T189)),"YES","NO")</f>
        <v>NO</v>
      </c>
      <c r="AO408" s="267" t="str">
        <f>IF(ISNUMBER(SEARCH("R", 'Dry_Litterbag Placem_Collection'!T189)),"YES","NO")</f>
        <v>NO</v>
      </c>
    </row>
    <row r="409" spans="1:41" ht="15" customHeight="1">
      <c r="A409" s="259" t="s">
        <v>2643</v>
      </c>
      <c r="B409" s="260">
        <f>'Dry_Litterbag Placem_Collection'!A190</f>
        <v>188</v>
      </c>
      <c r="C409" s="260" t="str">
        <f>'Dry_Litterbag Placem_Collection'!B190</f>
        <v>Handajega</v>
      </c>
      <c r="D409" s="260" t="s">
        <v>2454</v>
      </c>
      <c r="E409" s="260" t="s">
        <v>2645</v>
      </c>
      <c r="F409" s="260">
        <v>4</v>
      </c>
      <c r="G409" s="260" t="s">
        <v>3829</v>
      </c>
      <c r="H409" s="261" t="str">
        <f>'Dry_Litterbag Placem_Collection'!C190</f>
        <v>Wet_W4_T4</v>
      </c>
      <c r="I409" s="262" t="s">
        <v>2525</v>
      </c>
      <c r="J409" s="269" t="s">
        <v>298</v>
      </c>
      <c r="K409" s="260" t="str">
        <f>IF(ISBLANK('Dry_Litterbag Placem_Collection'!K190),"","R"&amp;""&amp;'Dry_Litterbag Placem_Collection'!K190)</f>
        <v>R357</v>
      </c>
      <c r="L409" s="264">
        <f>IFERROR(INDEX('Green_rooibos initial weight'!$C$5:$C$2000,MATCH(K409, 'Green_rooibos initial weight'!$A$5:$A$2000,0)),"")</f>
        <v>2.2090000000000001</v>
      </c>
      <c r="M409" s="264">
        <f>IFERROR(L409-(TBIcalc!$Q$9+TBIcalc!$Q$10),"")</f>
        <v>1.9592000000000001</v>
      </c>
      <c r="N409" s="385">
        <f>AVERAGE(Ashed_controlls!$K$12:$K$14)</f>
        <v>2.2816647271287041</v>
      </c>
      <c r="O409" s="264">
        <f t="shared" si="31"/>
        <v>1.9144976246660945</v>
      </c>
      <c r="P409" s="264">
        <f>IFERROR(INDEX('Both teabags AfterDry'!$D$2:$D$2000,MATCH(K409,'Both teabags AfterDry'!$A$2:$A$2000,0)),"")</f>
        <v>0</v>
      </c>
      <c r="Q409" s="264" t="str">
        <f>IFERROR(IF(P409&gt;0,P409-(TBIcalc!$Q$9),""),"")</f>
        <v/>
      </c>
      <c r="R409" s="275">
        <f>IFERROR(INDEX('Ashed teabags dry'!$K$2:$K$2000,MATCH(K409,'Ashed teabags dry'!$A$2:$A$2000,0)),"")</f>
        <v>0</v>
      </c>
      <c r="S409" s="275" t="str">
        <f t="shared" si="32"/>
        <v/>
      </c>
      <c r="T409" s="265">
        <f>IF('Dry_Litterbag Placem_Collection'!E190="","",'Dry_Litterbag Placem_Collection'!E190)</f>
        <v>42940</v>
      </c>
      <c r="U409" s="265">
        <f>IF('Dry_Litterbag Placem_Collection'!G190="","",'Dry_Litterbag Placem_Collection'!G190)</f>
        <v>43009</v>
      </c>
      <c r="V409" s="266">
        <f t="shared" si="30"/>
        <v>69</v>
      </c>
      <c r="W409" s="264" t="str">
        <f t="shared" si="33"/>
        <v/>
      </c>
      <c r="X409" s="264" t="str">
        <f t="shared" si="34"/>
        <v/>
      </c>
      <c r="Y409" s="268">
        <f>IFERROR(INDEX(Rainfall_Dry!$O$2:$O$217,MATCH(B409, Rainfall_Dry!$A$2:$A$217,0)),"")</f>
        <v>162.634207253</v>
      </c>
      <c r="Z409" s="257">
        <v>25.96</v>
      </c>
      <c r="AA409" s="257">
        <v>8.9200000000000017</v>
      </c>
      <c r="AB409" s="257">
        <v>65.12</v>
      </c>
      <c r="AC409" s="258" t="s">
        <v>2654</v>
      </c>
      <c r="AD409" s="257">
        <v>4.6991621488417898</v>
      </c>
      <c r="AE409">
        <f>IF('WetLitterbags placem_collection'!AB190="","",'WetLitterbags placem_collection'!AB190)</f>
        <v>2.2999999999999998</v>
      </c>
      <c r="AF409">
        <f>IF('WetLitterbags placem_collection'!Z190="","",'WetLitterbags placem_collection'!Z190)</f>
        <v>14.4</v>
      </c>
      <c r="AG409" s="243" t="str">
        <f>IF('WetLitterbags placem_collection'!AA190="","",'WetLitterbags placem_collection'!AA190)</f>
        <v>O</v>
      </c>
      <c r="AH409">
        <f>IF('WetLitterbags placem_collection'!AC190="","",'WetLitterbags placem_collection'!AC190)</f>
        <v>0</v>
      </c>
      <c r="AI409">
        <f>IFERROR(AVERAGE('Dry_Litterbag Placem_Collection'!O190,'Dry_Litterbag Placem_Collection'!R190),"")</f>
        <v>7.35</v>
      </c>
      <c r="AJ409" s="268">
        <f>IFERROR(AVERAGE('Dry_Litterbag Placem_Collection'!N190,'Dry_Litterbag Placem_Collection'!Q190),"")</f>
        <v>34.150000000000006</v>
      </c>
      <c r="AK409" s="267">
        <f>INDEX(Coordinates!$B$2:$B$197,MATCH(H409,Coordinates!$J$2:$J$197,0))</f>
        <v>-2.278422983</v>
      </c>
      <c r="AL409" s="267">
        <f>INDEX(Coordinates!$C$2:$C$197,MATCH(H409,Coordinates!$J$2:$J$197,0))</f>
        <v>34.032261009999999</v>
      </c>
      <c r="AM409" s="267" t="str">
        <f>IF(ISNUMBER(SEARCH("C", 'Dry_Litterbag Placem_Collection'!T190)),"YES","NO")</f>
        <v>YES</v>
      </c>
      <c r="AN409" s="267" t="str">
        <f>IF(ISNUMBER(SEARCH("H", 'Dry_Litterbag Placem_Collection'!T190)),"YES","NO")</f>
        <v>YES</v>
      </c>
      <c r="AO409" s="267" t="str">
        <f>IF(ISNUMBER(SEARCH("R", 'Dry_Litterbag Placem_Collection'!T190)),"YES","NO")</f>
        <v>YES</v>
      </c>
    </row>
    <row r="410" spans="1:41" ht="15" customHeight="1">
      <c r="A410" s="259" t="s">
        <v>2643</v>
      </c>
      <c r="B410" s="260">
        <f>'Dry_Litterbag Placem_Collection'!A191</f>
        <v>189</v>
      </c>
      <c r="C410" s="260" t="str">
        <f>'Dry_Litterbag Placem_Collection'!B191</f>
        <v>Handajega</v>
      </c>
      <c r="D410" s="260" t="s">
        <v>2454</v>
      </c>
      <c r="E410" s="260" t="s">
        <v>2645</v>
      </c>
      <c r="F410" s="260">
        <v>4</v>
      </c>
      <c r="G410" s="260" t="s">
        <v>3829</v>
      </c>
      <c r="H410" s="261" t="str">
        <f>'Dry_Litterbag Placem_Collection'!C191</f>
        <v>Wet_W4_T5</v>
      </c>
      <c r="I410" s="262" t="s">
        <v>2525</v>
      </c>
      <c r="J410" s="269" t="s">
        <v>298</v>
      </c>
      <c r="K410" s="260" t="str">
        <f>IF(ISBLANK('Dry_Litterbag Placem_Collection'!K191),"","R"&amp;""&amp;'Dry_Litterbag Placem_Collection'!K191)</f>
        <v>R18</v>
      </c>
      <c r="L410" s="264">
        <f>IFERROR(INDEX('Green_rooibos initial weight'!$C$5:$C$2000,MATCH(K410, 'Green_rooibos initial weight'!$A$5:$A$2000,0)),"")</f>
        <v>2.2519999999999998</v>
      </c>
      <c r="M410" s="264">
        <f>IFERROR(L410-(TBIcalc!$Q$9+TBIcalc!$Q$10),"")</f>
        <v>2.0021999999999998</v>
      </c>
      <c r="N410" s="385">
        <f>AVERAGE(Ashed_controlls!$K$12:$K$14)</f>
        <v>2.2816647271287041</v>
      </c>
      <c r="O410" s="264">
        <f t="shared" si="31"/>
        <v>1.9565165088334289</v>
      </c>
      <c r="P410" s="264">
        <f>IFERROR(INDEX('Both teabags AfterDry'!$D$2:$D$2000,MATCH(K410,'Both teabags AfterDry'!$A$2:$A$2000,0)),"")</f>
        <v>0</v>
      </c>
      <c r="Q410" s="264" t="str">
        <f>IFERROR(IF(P410&gt;0,P410-(TBIcalc!$Q$9),""),"")</f>
        <v/>
      </c>
      <c r="R410" s="275">
        <f>IFERROR(INDEX('Ashed teabags dry'!$K$2:$K$2000,MATCH(K410,'Ashed teabags dry'!$A$2:$A$2000,0)),"")</f>
        <v>91.674047829938516</v>
      </c>
      <c r="S410" s="275" t="str">
        <f t="shared" si="32"/>
        <v/>
      </c>
      <c r="T410" s="265">
        <f>IF('Dry_Litterbag Placem_Collection'!E191="","",'Dry_Litterbag Placem_Collection'!E191)</f>
        <v>42940</v>
      </c>
      <c r="U410" s="265">
        <f>IF('Dry_Litterbag Placem_Collection'!G191="","",'Dry_Litterbag Placem_Collection'!G191)</f>
        <v>43009</v>
      </c>
      <c r="V410" s="266">
        <f t="shared" si="30"/>
        <v>69</v>
      </c>
      <c r="W410" s="264" t="str">
        <f t="shared" si="33"/>
        <v/>
      </c>
      <c r="X410" s="264" t="str">
        <f t="shared" si="34"/>
        <v/>
      </c>
      <c r="Y410" s="268">
        <f>IFERROR(INDEX(Rainfall_Dry!$O$2:$O$217,MATCH(B410, Rainfall_Dry!$A$2:$A$217,0)),"")</f>
        <v>162.634207253</v>
      </c>
      <c r="Z410" s="257">
        <v>25.96</v>
      </c>
      <c r="AA410" s="257">
        <v>8.9200000000000017</v>
      </c>
      <c r="AB410" s="257">
        <v>65.12</v>
      </c>
      <c r="AC410" s="258" t="s">
        <v>2654</v>
      </c>
      <c r="AD410" s="257">
        <v>5.6991621488417898</v>
      </c>
      <c r="AE410">
        <f>IF('WetLitterbags placem_collection'!AB191="","",'WetLitterbags placem_collection'!AB191)</f>
        <v>0.6</v>
      </c>
      <c r="AF410">
        <f>IF('WetLitterbags placem_collection'!Z191="","",'WetLitterbags placem_collection'!Z191)</f>
        <v>7</v>
      </c>
      <c r="AG410" s="243" t="str">
        <f>IF('WetLitterbags placem_collection'!AA191="","",'WetLitterbags placem_collection'!AA191)</f>
        <v>O</v>
      </c>
      <c r="AH410">
        <f>IF('WetLitterbags placem_collection'!AC191="","",'WetLitterbags placem_collection'!AC191)</f>
        <v>1</v>
      </c>
      <c r="AI410">
        <f>IFERROR(AVERAGE('Dry_Litterbag Placem_Collection'!O191,'Dry_Litterbag Placem_Collection'!R191),"")</f>
        <v>5.5</v>
      </c>
      <c r="AJ410" s="268">
        <f>IFERROR(AVERAGE('Dry_Litterbag Placem_Collection'!N191,'Dry_Litterbag Placem_Collection'!Q191),"")</f>
        <v>33</v>
      </c>
      <c r="AK410" s="267">
        <f>INDEX(Coordinates!$B$2:$B$197,MATCH(H410,Coordinates!$J$2:$J$197,0))</f>
        <v>-2.2787580080000001</v>
      </c>
      <c r="AL410" s="267">
        <f>INDEX(Coordinates!$C$2:$C$197,MATCH(H410,Coordinates!$J$2:$J$197,0))</f>
        <v>34.032463010000001</v>
      </c>
      <c r="AM410" s="267" t="str">
        <f>IF(ISNUMBER(SEARCH("C", 'Dry_Litterbag Placem_Collection'!T191)),"YES","NO")</f>
        <v>NO</v>
      </c>
      <c r="AN410" s="267" t="str">
        <f>IF(ISNUMBER(SEARCH("H", 'Dry_Litterbag Placem_Collection'!T191)),"YES","NO")</f>
        <v>YES</v>
      </c>
      <c r="AO410" s="267" t="str">
        <f>IF(ISNUMBER(SEARCH("R", 'Dry_Litterbag Placem_Collection'!T191)),"YES","NO")</f>
        <v>YES</v>
      </c>
    </row>
    <row r="411" spans="1:41" ht="15" customHeight="1">
      <c r="A411" s="259" t="s">
        <v>2643</v>
      </c>
      <c r="B411" s="260">
        <f>'Dry_Litterbag Placem_Collection'!A192</f>
        <v>190</v>
      </c>
      <c r="C411" s="260" t="str">
        <f>'Dry_Litterbag Placem_Collection'!B192</f>
        <v>Handajega</v>
      </c>
      <c r="D411" s="260" t="s">
        <v>2454</v>
      </c>
      <c r="E411" s="260" t="s">
        <v>2645</v>
      </c>
      <c r="F411" s="260">
        <v>4</v>
      </c>
      <c r="G411" s="260" t="s">
        <v>3829</v>
      </c>
      <c r="H411" s="261" t="str">
        <f>'Dry_Litterbag Placem_Collection'!C192</f>
        <v>Wet_W4_T6</v>
      </c>
      <c r="I411" s="262" t="s">
        <v>2525</v>
      </c>
      <c r="J411" s="269" t="s">
        <v>298</v>
      </c>
      <c r="K411" s="260" t="str">
        <f>IF(ISBLANK('Dry_Litterbag Placem_Collection'!K192),"","R"&amp;""&amp;'Dry_Litterbag Placem_Collection'!K192)</f>
        <v>R397</v>
      </c>
      <c r="L411" s="264">
        <f>IFERROR(INDEX('Green_rooibos initial weight'!$C$5:$C$2000,MATCH(K411, 'Green_rooibos initial weight'!$A$5:$A$2000,0)),"")</f>
        <v>2.1970000000000001</v>
      </c>
      <c r="M411" s="264">
        <f>IFERROR(L411-(TBIcalc!$Q$9+TBIcalc!$Q$10),"")</f>
        <v>1.9472</v>
      </c>
      <c r="N411" s="385">
        <f>AVERAGE(Ashed_controlls!$K$12:$K$14)</f>
        <v>2.2816647271287041</v>
      </c>
      <c r="O411" s="264">
        <f t="shared" si="31"/>
        <v>1.90277142443335</v>
      </c>
      <c r="P411" s="264">
        <f>IFERROR(INDEX('Both teabags AfterDry'!$D$2:$D$2000,MATCH(K411,'Both teabags AfterDry'!$A$2:$A$2000,0)),"")</f>
        <v>1.7444999999999999</v>
      </c>
      <c r="Q411" s="264">
        <f>IFERROR(IF(P411&gt;0,P411-(TBIcalc!$Q$9),""),"")</f>
        <v>1.5938999999999999</v>
      </c>
      <c r="R411" s="275">
        <f>IFERROR(INDEX('Ashed teabags dry'!$K$2:$K$2000,MATCH(K411,'Ashed teabags dry'!$A$2:$A$2000,0)),"")</f>
        <v>11.059262715818997</v>
      </c>
      <c r="S411" s="275">
        <f t="shared" si="32"/>
        <v>1.417626411572561</v>
      </c>
      <c r="T411" s="265">
        <f>IF('Dry_Litterbag Placem_Collection'!E192="","",'Dry_Litterbag Placem_Collection'!E192)</f>
        <v>42940</v>
      </c>
      <c r="U411" s="265">
        <f>IF('Dry_Litterbag Placem_Collection'!G192="","",'Dry_Litterbag Placem_Collection'!G192)</f>
        <v>43009</v>
      </c>
      <c r="V411" s="266">
        <f t="shared" si="30"/>
        <v>69</v>
      </c>
      <c r="W411" s="264">
        <f t="shared" si="33"/>
        <v>0.35330000000000017</v>
      </c>
      <c r="X411" s="264">
        <f t="shared" si="34"/>
        <v>0.48514501286078904</v>
      </c>
      <c r="Y411" s="268">
        <f>IFERROR(INDEX(Rainfall_Dry!$O$2:$O$217,MATCH(B411, Rainfall_Dry!$A$2:$A$217,0)),"")</f>
        <v>162.634207253</v>
      </c>
      <c r="Z411" s="257">
        <v>25.96</v>
      </c>
      <c r="AA411" s="257">
        <v>8.9200000000000017</v>
      </c>
      <c r="AB411" s="257">
        <v>65.12</v>
      </c>
      <c r="AC411" s="258" t="s">
        <v>2654</v>
      </c>
      <c r="AD411" s="257">
        <v>6.6991621488417898</v>
      </c>
      <c r="AE411">
        <f>IF('WetLitterbags placem_collection'!AB192="","",'WetLitterbags placem_collection'!AB192)</f>
        <v>9.5</v>
      </c>
      <c r="AF411">
        <f>IF('WetLitterbags placem_collection'!Z192="","",'WetLitterbags placem_collection'!Z192)</f>
        <v>17.399999999999999</v>
      </c>
      <c r="AG411" s="243" t="str">
        <f>IF('WetLitterbags placem_collection'!AA192="","",'WetLitterbags placem_collection'!AA192)</f>
        <v>O</v>
      </c>
      <c r="AH411">
        <f>IF('WetLitterbags placem_collection'!AC192="","",'WetLitterbags placem_collection'!AC192)</f>
        <v>0</v>
      </c>
      <c r="AI411">
        <f>IFERROR(AVERAGE('Dry_Litterbag Placem_Collection'!O192,'Dry_Litterbag Placem_Collection'!R192),"")</f>
        <v>5.0500000000000007</v>
      </c>
      <c r="AJ411" s="268">
        <f>IFERROR(AVERAGE('Dry_Litterbag Placem_Collection'!N192,'Dry_Litterbag Placem_Collection'!Q192),"")</f>
        <v>36.049999999999997</v>
      </c>
      <c r="AK411" s="267">
        <f>INDEX(Coordinates!$B$2:$B$197,MATCH(H411,Coordinates!$J$2:$J$197,0))</f>
        <v>-2.2787559960000001</v>
      </c>
      <c r="AL411" s="267">
        <f>INDEX(Coordinates!$C$2:$C$197,MATCH(H411,Coordinates!$J$2:$J$197,0))</f>
        <v>34.032268969999997</v>
      </c>
      <c r="AM411" s="267" t="str">
        <f>IF(ISNUMBER(SEARCH("C", 'Dry_Litterbag Placem_Collection'!T192)),"YES","NO")</f>
        <v>NO</v>
      </c>
      <c r="AN411" s="267" t="str">
        <f>IF(ISNUMBER(SEARCH("H", 'Dry_Litterbag Placem_Collection'!T192)),"YES","NO")</f>
        <v>NO</v>
      </c>
      <c r="AO411" s="267" t="str">
        <f>IF(ISNUMBER(SEARCH("R", 'Dry_Litterbag Placem_Collection'!T192)),"YES","NO")</f>
        <v>NO</v>
      </c>
    </row>
    <row r="412" spans="1:41" ht="15" customHeight="1">
      <c r="A412" s="259" t="s">
        <v>2643</v>
      </c>
      <c r="B412" s="260">
        <f>'Dry_Litterbag Placem_Collection'!A193</f>
        <v>191</v>
      </c>
      <c r="C412" s="260" t="str">
        <f>'Dry_Litterbag Placem_Collection'!B193</f>
        <v>Handajega</v>
      </c>
      <c r="D412" s="260" t="s">
        <v>2454</v>
      </c>
      <c r="E412" s="260" t="s">
        <v>2645</v>
      </c>
      <c r="F412" s="260">
        <v>4</v>
      </c>
      <c r="G412" s="260" t="s">
        <v>3829</v>
      </c>
      <c r="H412" s="261" t="str">
        <f>'Dry_Litterbag Placem_Collection'!C193</f>
        <v>Wet_W4_T7</v>
      </c>
      <c r="I412" s="262" t="s">
        <v>2525</v>
      </c>
      <c r="J412" s="269" t="s">
        <v>298</v>
      </c>
      <c r="K412" s="260" t="str">
        <f>IF(ISBLANK('Dry_Litterbag Placem_Collection'!K193),"","R"&amp;""&amp;'Dry_Litterbag Placem_Collection'!K193)</f>
        <v>R715</v>
      </c>
      <c r="L412" s="264">
        <f>IFERROR(INDEX('Green_rooibos initial weight'!$C$5:$C$2000,MATCH(K412, 'Green_rooibos initial weight'!$A$5:$A$2000,0)),"")</f>
        <v>2.161</v>
      </c>
      <c r="M412" s="264">
        <f>IFERROR(L412-(TBIcalc!$Q$9+TBIcalc!$Q$10),"")</f>
        <v>1.9112</v>
      </c>
      <c r="N412" s="385">
        <f>AVERAGE(Ashed_controlls!$K$12:$K$14)</f>
        <v>2.2816647271287041</v>
      </c>
      <c r="O412" s="264">
        <f t="shared" si="31"/>
        <v>1.8675928237351163</v>
      </c>
      <c r="P412" s="264">
        <f>IFERROR(INDEX('Both teabags AfterDry'!$D$2:$D$2000,MATCH(K412,'Both teabags AfterDry'!$A$2:$A$2000,0)),"")</f>
        <v>1.9014</v>
      </c>
      <c r="Q412" s="264">
        <f>IFERROR(IF(P412&gt;0,P412-(TBIcalc!$Q$9),""),"")</f>
        <v>1.7507999999999999</v>
      </c>
      <c r="R412" s="275">
        <f>IFERROR(INDEX('Ashed teabags dry'!$K$2:$K$2000,MATCH(K412,'Ashed teabags dry'!$A$2:$A$2000,0)),"")</f>
        <v>5.9051306873185379</v>
      </c>
      <c r="S412" s="275">
        <f t="shared" si="32"/>
        <v>1.647412971926427</v>
      </c>
      <c r="T412" s="265">
        <f>IF('Dry_Litterbag Placem_Collection'!E193="","",'Dry_Litterbag Placem_Collection'!E193)</f>
        <v>42940</v>
      </c>
      <c r="U412" s="265">
        <f>IF('Dry_Litterbag Placem_Collection'!G193="","",'Dry_Litterbag Placem_Collection'!G193)</f>
        <v>43009</v>
      </c>
      <c r="V412" s="266">
        <f t="shared" si="30"/>
        <v>69</v>
      </c>
      <c r="W412" s="264">
        <f t="shared" si="33"/>
        <v>0.1604000000000001</v>
      </c>
      <c r="X412" s="264">
        <f t="shared" si="34"/>
        <v>0.22017985180868926</v>
      </c>
      <c r="Y412" s="268">
        <f>IFERROR(INDEX(Rainfall_Dry!$O$2:$O$217,MATCH(B412, Rainfall_Dry!$A$2:$A$217,0)),"")</f>
        <v>162.634207253</v>
      </c>
      <c r="Z412" s="257">
        <v>25.96</v>
      </c>
      <c r="AA412" s="257">
        <v>8.9200000000000017</v>
      </c>
      <c r="AB412" s="257">
        <v>65.12</v>
      </c>
      <c r="AC412" s="258" t="s">
        <v>2654</v>
      </c>
      <c r="AD412" s="257">
        <v>7.6991621488417898</v>
      </c>
      <c r="AE412">
        <f>IF('WetLitterbags placem_collection'!AB193="","",'WetLitterbags placem_collection'!AB193)</f>
        <v>12.4</v>
      </c>
      <c r="AF412">
        <f>IF('WetLitterbags placem_collection'!Z193="","",'WetLitterbags placem_collection'!Z193)</f>
        <v>29.8</v>
      </c>
      <c r="AG412" s="243" t="str">
        <f>IF('WetLitterbags placem_collection'!AA193="","",'WetLitterbags placem_collection'!AA193)</f>
        <v>O</v>
      </c>
      <c r="AH412">
        <f>IF('WetLitterbags placem_collection'!AC193="","",'WetLitterbags placem_collection'!AC193)</f>
        <v>0</v>
      </c>
      <c r="AI412">
        <f>IFERROR(AVERAGE('Dry_Litterbag Placem_Collection'!O193,'Dry_Litterbag Placem_Collection'!R193),"")</f>
        <v>6.45</v>
      </c>
      <c r="AJ412" s="268">
        <f>IFERROR(AVERAGE('Dry_Litterbag Placem_Collection'!N193,'Dry_Litterbag Placem_Collection'!Q193),"")</f>
        <v>36.349999999999994</v>
      </c>
      <c r="AK412" s="267">
        <f>INDEX(Coordinates!$B$2:$B$197,MATCH(H412,Coordinates!$J$2:$J$197,0))</f>
        <v>-2.278704029</v>
      </c>
      <c r="AL412" s="267">
        <f>INDEX(Coordinates!$C$2:$C$197,MATCH(H412,Coordinates!$J$2:$J$197,0))</f>
        <v>34.032182970000001</v>
      </c>
      <c r="AM412" s="267" t="str">
        <f>IF(ISNUMBER(SEARCH("C", 'Dry_Litterbag Placem_Collection'!T193)),"YES","NO")</f>
        <v>NO</v>
      </c>
      <c r="AN412" s="267" t="str">
        <f>IF(ISNUMBER(SEARCH("H", 'Dry_Litterbag Placem_Collection'!T193)),"YES","NO")</f>
        <v>NO</v>
      </c>
      <c r="AO412" s="267" t="str">
        <f>IF(ISNUMBER(SEARCH("R", 'Dry_Litterbag Placem_Collection'!T193)),"YES","NO")</f>
        <v>NO</v>
      </c>
    </row>
    <row r="413" spans="1:41" ht="15" customHeight="1">
      <c r="A413" s="259" t="s">
        <v>2643</v>
      </c>
      <c r="B413" s="260">
        <f>'Dry_Litterbag Placem_Collection'!A194</f>
        <v>192</v>
      </c>
      <c r="C413" s="260" t="str">
        <f>'Dry_Litterbag Placem_Collection'!B194</f>
        <v>Handajega</v>
      </c>
      <c r="D413" s="260" t="s">
        <v>2454</v>
      </c>
      <c r="E413" s="260" t="s">
        <v>2645</v>
      </c>
      <c r="F413" s="260">
        <v>4</v>
      </c>
      <c r="G413" s="260" t="s">
        <v>3829</v>
      </c>
      <c r="H413" s="261" t="str">
        <f>'Dry_Litterbag Placem_Collection'!C194</f>
        <v>Wet_W4_T8</v>
      </c>
      <c r="I413" s="262" t="s">
        <v>2525</v>
      </c>
      <c r="J413" s="269" t="s">
        <v>298</v>
      </c>
      <c r="K413" s="260" t="str">
        <f>IF(ISBLANK('Dry_Litterbag Placem_Collection'!K194),"","R"&amp;""&amp;'Dry_Litterbag Placem_Collection'!K194)</f>
        <v/>
      </c>
      <c r="L413" s="264" t="str">
        <f>IFERROR(INDEX('Green_rooibos initial weight'!$C$5:$C$2000,MATCH(K413, 'Green_rooibos initial weight'!$A$5:$A$2000,0)),"")</f>
        <v/>
      </c>
      <c r="M413" s="264" t="str">
        <f>IFERROR(L413-(TBIcalc!$Q$9+TBIcalc!$Q$10),"")</f>
        <v/>
      </c>
      <c r="N413" s="385">
        <f>AVERAGE(Ashed_controlls!$K$12:$K$14)</f>
        <v>2.2816647271287041</v>
      </c>
      <c r="O413" s="264" t="str">
        <f t="shared" si="31"/>
        <v/>
      </c>
      <c r="P413" s="264" t="str">
        <f>IFERROR(INDEX('Both teabags AfterDry'!$D$2:$D$2000,MATCH(K413,'Both teabags AfterDry'!$A$2:$A$2000,0)),"")</f>
        <v/>
      </c>
      <c r="Q413" s="264" t="str">
        <f>IFERROR(IF(P413&gt;0,P413-(TBIcalc!$Q$9),""),"")</f>
        <v/>
      </c>
      <c r="R413" s="275" t="str">
        <f>IFERROR(INDEX('Ashed teabags dry'!$K$2:$K$2000,MATCH(K413,'Ashed teabags dry'!$A$2:$A$2000,0)),"")</f>
        <v/>
      </c>
      <c r="S413" s="275" t="str">
        <f t="shared" si="32"/>
        <v/>
      </c>
      <c r="T413" s="265" t="str">
        <f>IF('Dry_Litterbag Placem_Collection'!E194="","",'Dry_Litterbag Placem_Collection'!E194)</f>
        <v/>
      </c>
      <c r="U413" s="265" t="str">
        <f>IF('Dry_Litterbag Placem_Collection'!G194="","",'Dry_Litterbag Placem_Collection'!G194)</f>
        <v/>
      </c>
      <c r="V413" s="266" t="str">
        <f t="shared" si="30"/>
        <v/>
      </c>
      <c r="W413" s="264" t="str">
        <f t="shared" si="33"/>
        <v/>
      </c>
      <c r="X413" s="264" t="str">
        <f t="shared" si="34"/>
        <v/>
      </c>
      <c r="Y413" s="268" t="str">
        <f>IFERROR(INDEX(Rainfall_Dry!$O$2:$O$217,MATCH(B413, Rainfall_Dry!$A$2:$A$217,0)),"")</f>
        <v/>
      </c>
      <c r="Z413" s="257">
        <v>25.96</v>
      </c>
      <c r="AA413" s="257">
        <v>8.9200000000000017</v>
      </c>
      <c r="AB413" s="257">
        <v>65.12</v>
      </c>
      <c r="AC413" s="258" t="s">
        <v>2654</v>
      </c>
      <c r="AD413" s="257">
        <v>8.6991621488417898</v>
      </c>
      <c r="AE413">
        <f>IF('WetLitterbags placem_collection'!AB194="","",'WetLitterbags placem_collection'!AB194)</f>
        <v>3.6</v>
      </c>
      <c r="AF413">
        <f>IF('WetLitterbags placem_collection'!Z194="","",'WetLitterbags placem_collection'!Z194)</f>
        <v>37.799999999999997</v>
      </c>
      <c r="AG413" s="243" t="str">
        <f>IF('WetLitterbags placem_collection'!AA194="","",'WetLitterbags placem_collection'!AA194)</f>
        <v>O</v>
      </c>
      <c r="AH413">
        <f>IF('WetLitterbags placem_collection'!AC194="","",'WetLitterbags placem_collection'!AC194)</f>
        <v>0</v>
      </c>
      <c r="AI413" t="str">
        <f>IFERROR(AVERAGE('Dry_Litterbag Placem_Collection'!O194,'Dry_Litterbag Placem_Collection'!R194),"")</f>
        <v/>
      </c>
      <c r="AJ413" s="268" t="str">
        <f>IFERROR(AVERAGE('Dry_Litterbag Placem_Collection'!N194,'Dry_Litterbag Placem_Collection'!Q194),"")</f>
        <v/>
      </c>
      <c r="AK413" s="267">
        <f>INDEX(Coordinates!$B$2:$B$197,MATCH(H413,Coordinates!$J$2:$J$197,0))</f>
        <v>-2.2789770269999998</v>
      </c>
      <c r="AL413" s="267">
        <f>INDEX(Coordinates!$C$2:$C$197,MATCH(H413,Coordinates!$J$2:$J$197,0))</f>
        <v>34.032051039999999</v>
      </c>
      <c r="AM413" s="267" t="str">
        <f>IF(ISNUMBER(SEARCH("C", 'Dry_Litterbag Placem_Collection'!T194)),"YES","NO")</f>
        <v>NO</v>
      </c>
      <c r="AN413" s="267" t="str">
        <f>IF(ISNUMBER(SEARCH("H", 'Dry_Litterbag Placem_Collection'!T194)),"YES","NO")</f>
        <v>NO</v>
      </c>
      <c r="AO413" s="267" t="str">
        <f>IF(ISNUMBER(SEARCH("R", 'Dry_Litterbag Placem_Collection'!T194)),"YES","NO")</f>
        <v>NO</v>
      </c>
    </row>
    <row r="414" spans="1:41" ht="15" customHeight="1">
      <c r="A414" s="259" t="s">
        <v>2643</v>
      </c>
      <c r="B414" s="260">
        <f>'Dry_Litterbag Placem_Collection'!A195</f>
        <v>193</v>
      </c>
      <c r="C414" s="260" t="str">
        <f>'Dry_Litterbag Placem_Collection'!B195</f>
        <v>Makao</v>
      </c>
      <c r="D414" s="260" t="s">
        <v>2643</v>
      </c>
      <c r="E414" s="260" t="s">
        <v>2512</v>
      </c>
      <c r="F414" s="260">
        <v>4</v>
      </c>
      <c r="G414" s="260" t="s">
        <v>3798</v>
      </c>
      <c r="H414" s="261" t="str">
        <f>'Dry_Litterbag Placem_Collection'!C195</f>
        <v>Dry_Ag1_CG4</v>
      </c>
      <c r="I414" s="262" t="s">
        <v>2525</v>
      </c>
      <c r="J414" s="269" t="s">
        <v>298</v>
      </c>
      <c r="K414" s="260" t="str">
        <f>IF(ISBLANK('Dry_Litterbag Placem_Collection'!K195),"","R"&amp;""&amp;'Dry_Litterbag Placem_Collection'!K195)</f>
        <v>R695</v>
      </c>
      <c r="L414" s="264">
        <f>IFERROR(INDEX('Green_rooibos initial weight'!$C$5:$C$2000,MATCH(K414, 'Green_rooibos initial weight'!$A$5:$A$2000,0)),"")</f>
        <v>2.1789999999999998</v>
      </c>
      <c r="M414" s="264">
        <f>IFERROR(L414-(TBIcalc!$Q$9+TBIcalc!$Q$10),"")</f>
        <v>1.9291999999999998</v>
      </c>
      <c r="N414" s="385">
        <f>AVERAGE(Ashed_controlls!$K$12:$K$14)</f>
        <v>2.2816647271287041</v>
      </c>
      <c r="O414" s="264">
        <f t="shared" si="31"/>
        <v>1.8851821240842328</v>
      </c>
      <c r="P414" s="264">
        <f>IFERROR(INDEX('Both teabags AfterDry'!$D$2:$D$2000,MATCH(K414,'Both teabags AfterDry'!$A$2:$A$2000,0)),"")</f>
        <v>1.42</v>
      </c>
      <c r="Q414" s="264">
        <f>IFERROR(IF(P414&gt;0,P414-(TBIcalc!$Q$9),""),"")</f>
        <v>1.2693999999999999</v>
      </c>
      <c r="R414" s="275">
        <f>IFERROR(INDEX('Ashed teabags dry'!$K$2:$K$2000,MATCH(K414,'Ashed teabags dry'!$A$2:$A$2000,0)),"")</f>
        <v>8.5788561525128699</v>
      </c>
      <c r="S414" s="275">
        <f t="shared" si="32"/>
        <v>1.1605000000000014</v>
      </c>
      <c r="T414" s="265">
        <f>IF('Dry_Litterbag Placem_Collection'!E195="","",'Dry_Litterbag Placem_Collection'!E195)</f>
        <v>42942</v>
      </c>
      <c r="U414" s="265">
        <f>IF('Dry_Litterbag Placem_Collection'!G195="","",'Dry_Litterbag Placem_Collection'!G195)</f>
        <v>43004</v>
      </c>
      <c r="V414" s="266">
        <f t="shared" si="30"/>
        <v>62</v>
      </c>
      <c r="W414" s="264">
        <f t="shared" si="33"/>
        <v>0.65979999999999994</v>
      </c>
      <c r="X414" s="264">
        <f t="shared" si="34"/>
        <v>0.72468212408423138</v>
      </c>
      <c r="Y414" s="268">
        <f>IFERROR(INDEX(Rainfall_Dry!$O$2:$O$217,MATCH(B414, Rainfall_Dry!$A$2:$A$217,0)),"")</f>
        <v>171.84818423999999</v>
      </c>
      <c r="Z414" s="257">
        <v>12.565665055683967</v>
      </c>
      <c r="AA414" s="257">
        <v>0.9665896196679955</v>
      </c>
      <c r="AB414" s="257">
        <v>86.467745324648035</v>
      </c>
      <c r="AC414" s="258" t="s">
        <v>2656</v>
      </c>
      <c r="AD414" s="257">
        <v>1.0225726959093147</v>
      </c>
      <c r="AE414">
        <f>IF('WetLitterbags placem_collection'!AB195="","",'WetLitterbags placem_collection'!AB195)</f>
        <v>15.2</v>
      </c>
      <c r="AF414">
        <f>IF('WetLitterbags placem_collection'!Z195="","",'WetLitterbags placem_collection'!Z195)</f>
        <v>12.2</v>
      </c>
      <c r="AG414" s="243" t="str">
        <f>IF('WetLitterbags placem_collection'!AA195="","",'WetLitterbags placem_collection'!AA195)</f>
        <v>O</v>
      </c>
      <c r="AH414">
        <f>IF('WetLitterbags placem_collection'!AC195="","",'WetLitterbags placem_collection'!AC195)</f>
        <v>1</v>
      </c>
      <c r="AI414">
        <f>IFERROR(AVERAGE('Dry_Litterbag Placem_Collection'!O195,'Dry_Litterbag Placem_Collection'!R195),"")</f>
        <v>5.0999999999999996</v>
      </c>
      <c r="AJ414" s="268">
        <f>IFERROR(AVERAGE('Dry_Litterbag Placem_Collection'!N195,'Dry_Litterbag Placem_Collection'!Q195),"")</f>
        <v>28.799999999999997</v>
      </c>
      <c r="AK414">
        <v>-2.4396949910000001</v>
      </c>
      <c r="AL414">
        <v>34.838574029999997</v>
      </c>
      <c r="AM414" s="267" t="str">
        <f>IF(ISNUMBER(SEARCH("C", 'Dry_Litterbag Placem_Collection'!T195)),"YES","NO")</f>
        <v>NO</v>
      </c>
      <c r="AN414" s="267" t="str">
        <f>IF(ISNUMBER(SEARCH("H", 'Dry_Litterbag Placem_Collection'!T195)),"YES","NO")</f>
        <v>NO</v>
      </c>
      <c r="AO414" s="267" t="str">
        <f>IF(ISNUMBER(SEARCH("R", 'Dry_Litterbag Placem_Collection'!T195)),"YES","NO")</f>
        <v>NO</v>
      </c>
    </row>
    <row r="415" spans="1:41" ht="15" customHeight="1">
      <c r="A415" s="259" t="s">
        <v>2643</v>
      </c>
      <c r="B415" s="260">
        <f>'Dry_Litterbag Placem_Collection'!A196</f>
        <v>194</v>
      </c>
      <c r="C415" s="260" t="str">
        <f>'Dry_Litterbag Placem_Collection'!B196</f>
        <v>Makao</v>
      </c>
      <c r="D415" s="260" t="s">
        <v>2643</v>
      </c>
      <c r="E415" s="260" t="s">
        <v>2512</v>
      </c>
      <c r="F415" s="260">
        <v>3</v>
      </c>
      <c r="G415" s="260" t="s">
        <v>3802</v>
      </c>
      <c r="H415" s="261" t="str">
        <f>'Dry_Litterbag Placem_Collection'!C196</f>
        <v>Dry_Ag2_CG3</v>
      </c>
      <c r="I415" s="262" t="s">
        <v>2525</v>
      </c>
      <c r="J415" s="269" t="s">
        <v>298</v>
      </c>
      <c r="K415" s="260" t="str">
        <f>IF(ISBLANK('Dry_Litterbag Placem_Collection'!K196),"","R"&amp;""&amp;'Dry_Litterbag Placem_Collection'!K196)</f>
        <v>R653</v>
      </c>
      <c r="L415" s="264">
        <f>IFERROR(INDEX('Green_rooibos initial weight'!$C$5:$C$2000,MATCH(K415, 'Green_rooibos initial weight'!$A$5:$A$2000,0)),"")</f>
        <v>2.1989999999999998</v>
      </c>
      <c r="M415" s="264">
        <f>IFERROR(L415-(TBIcalc!$Q$9+TBIcalc!$Q$10),"")</f>
        <v>1.9491999999999998</v>
      </c>
      <c r="N415" s="385">
        <f>AVERAGE(Ashed_controlls!$K$12:$K$14)</f>
        <v>2.2816647271287041</v>
      </c>
      <c r="O415" s="264">
        <f t="shared" si="31"/>
        <v>1.9047257911388071</v>
      </c>
      <c r="P415" s="264">
        <f>IFERROR(INDEX('Both teabags AfterDry'!$D$2:$D$2000,MATCH(K415,'Both teabags AfterDry'!$A$2:$A$2000,0)),"")</f>
        <v>1.613</v>
      </c>
      <c r="Q415" s="264">
        <f>IFERROR(IF(P415&gt;0,P415-(TBIcalc!$Q$9),""),"")</f>
        <v>1.4623999999999999</v>
      </c>
      <c r="R415" s="275">
        <f>IFERROR(INDEX('Ashed teabags dry'!$K$2:$K$2000,MATCH(K415,'Ashed teabags dry'!$A$2:$A$2000,0)),"")</f>
        <v>6.2529384109078929</v>
      </c>
      <c r="S415" s="275">
        <f t="shared" si="32"/>
        <v>1.3709570286788828</v>
      </c>
      <c r="T415" s="265">
        <f>IF('Dry_Litterbag Placem_Collection'!E196="","",'Dry_Litterbag Placem_Collection'!E196)</f>
        <v>42942</v>
      </c>
      <c r="U415" s="265">
        <f>IF('Dry_Litterbag Placem_Collection'!G196="","",'Dry_Litterbag Placem_Collection'!G196)</f>
        <v>43004</v>
      </c>
      <c r="V415" s="266">
        <f t="shared" si="30"/>
        <v>62</v>
      </c>
      <c r="W415" s="264">
        <f t="shared" si="33"/>
        <v>0.4867999999999999</v>
      </c>
      <c r="X415" s="264">
        <f t="shared" si="34"/>
        <v>0.53376876245992433</v>
      </c>
      <c r="Y415" s="268">
        <f>IFERROR(INDEX(Rainfall_Dry!$O$2:$O$217,MATCH(B415, Rainfall_Dry!$A$2:$A$217,0)),"")</f>
        <v>171.84818423999999</v>
      </c>
      <c r="Z415" s="257">
        <v>21.13063730679653</v>
      </c>
      <c r="AA415" s="257">
        <v>3.0912555579081076</v>
      </c>
      <c r="AB415" s="257">
        <v>75.778107135295357</v>
      </c>
      <c r="AC415" s="258" t="s">
        <v>2654</v>
      </c>
      <c r="AD415" s="257">
        <v>0.46131099063578063</v>
      </c>
      <c r="AE415">
        <f>IF('WetLitterbags placem_collection'!AB196="","",'WetLitterbags placem_collection'!AB196)</f>
        <v>7.9</v>
      </c>
      <c r="AF415">
        <f>IF('WetLitterbags placem_collection'!Z196="","",'WetLitterbags placem_collection'!Z196)</f>
        <v>7.9</v>
      </c>
      <c r="AG415" s="243" t="str">
        <f>IF('WetLitterbags placem_collection'!AA196="","",'WetLitterbags placem_collection'!AA196)</f>
        <v>O</v>
      </c>
      <c r="AH415">
        <f>IF('WetLitterbags placem_collection'!AC196="","",'WetLitterbags placem_collection'!AC196)</f>
        <v>1</v>
      </c>
      <c r="AI415">
        <f>IFERROR(AVERAGE('Dry_Litterbag Placem_Collection'!O196,'Dry_Litterbag Placem_Collection'!R196),"")</f>
        <v>5.4</v>
      </c>
      <c r="AJ415" s="268">
        <f>IFERROR(AVERAGE('Dry_Litterbag Placem_Collection'!N196,'Dry_Litterbag Placem_Collection'!Q196),"")</f>
        <v>30.849999999999998</v>
      </c>
      <c r="AK415">
        <v>-2.4395990190000001</v>
      </c>
      <c r="AL415">
        <v>34.838418959999998</v>
      </c>
      <c r="AM415" s="267" t="str">
        <f>IF(ISNUMBER(SEARCH("C", 'Dry_Litterbag Placem_Collection'!T196)),"YES","NO")</f>
        <v>NO</v>
      </c>
      <c r="AN415" s="267" t="str">
        <f>IF(ISNUMBER(SEARCH("H", 'Dry_Litterbag Placem_Collection'!T196)),"YES","NO")</f>
        <v>NO</v>
      </c>
      <c r="AO415" s="267" t="str">
        <f>IF(ISNUMBER(SEARCH("R", 'Dry_Litterbag Placem_Collection'!T196)),"YES","NO")</f>
        <v>YES</v>
      </c>
    </row>
    <row r="416" spans="1:41" ht="15" customHeight="1">
      <c r="A416" s="259" t="s">
        <v>2643</v>
      </c>
      <c r="B416" s="260">
        <f>'Dry_Litterbag Placem_Collection'!A197</f>
        <v>195</v>
      </c>
      <c r="C416" s="260" t="str">
        <f>'Dry_Litterbag Placem_Collection'!B197</f>
        <v>Makao</v>
      </c>
      <c r="D416" s="260" t="s">
        <v>2643</v>
      </c>
      <c r="E416" s="260" t="s">
        <v>2512</v>
      </c>
      <c r="F416" s="260">
        <v>2</v>
      </c>
      <c r="G416" s="260" t="s">
        <v>3803</v>
      </c>
      <c r="H416" s="261" t="str">
        <f>'Dry_Litterbag Placem_Collection'!C197</f>
        <v>Dry_Ag3_CG2</v>
      </c>
      <c r="I416" s="262" t="s">
        <v>2525</v>
      </c>
      <c r="J416" s="269" t="s">
        <v>298</v>
      </c>
      <c r="K416" s="260" t="str">
        <f>IF(ISBLANK('Dry_Litterbag Placem_Collection'!K197),"","R"&amp;""&amp;'Dry_Litterbag Placem_Collection'!K197)</f>
        <v>R389</v>
      </c>
      <c r="L416" s="264">
        <f>IFERROR(INDEX('Green_rooibos initial weight'!$C$5:$C$2000,MATCH(K416, 'Green_rooibos initial weight'!$A$5:$A$2000,0)),"")</f>
        <v>2.2349999999999999</v>
      </c>
      <c r="M416" s="264">
        <f>IFERROR(L416-(TBIcalc!$Q$9+TBIcalc!$Q$10),"")</f>
        <v>1.9851999999999999</v>
      </c>
      <c r="N416" s="385">
        <f>AVERAGE(Ashed_controlls!$K$12:$K$14)</f>
        <v>2.2816647271287041</v>
      </c>
      <c r="O416" s="264">
        <f t="shared" si="31"/>
        <v>1.9399043918370409</v>
      </c>
      <c r="P416" s="264">
        <f>IFERROR(INDEX('Both teabags AfterDry'!$D$2:$D$2000,MATCH(K416,'Both teabags AfterDry'!$A$2:$A$2000,0)),"")</f>
        <v>0.78200000000000003</v>
      </c>
      <c r="Q416" s="264">
        <f>IFERROR(IF(P416&gt;0,P416-(TBIcalc!$Q$9),""),"")</f>
        <v>0.63139999999999996</v>
      </c>
      <c r="R416" s="275">
        <f>IFERROR(INDEX('Ashed teabags dry'!$K$2:$K$2000,MATCH(K416,'Ashed teabags dry'!$A$2:$A$2000,0)),"")</f>
        <v>74.075764491100372</v>
      </c>
      <c r="S416" s="275">
        <f t="shared" si="32"/>
        <v>0.16368562300319223</v>
      </c>
      <c r="T416" s="265">
        <f>IF('Dry_Litterbag Placem_Collection'!E197="","",'Dry_Litterbag Placem_Collection'!E197)</f>
        <v>42942</v>
      </c>
      <c r="U416" s="265">
        <f>IF('Dry_Litterbag Placem_Collection'!G197="","",'Dry_Litterbag Placem_Collection'!G197)</f>
        <v>43004</v>
      </c>
      <c r="V416" s="266">
        <f t="shared" si="30"/>
        <v>62</v>
      </c>
      <c r="W416" s="264">
        <f t="shared" si="33"/>
        <v>1.3537999999999999</v>
      </c>
      <c r="X416" s="264">
        <f t="shared" si="34"/>
        <v>1.7762187688338487</v>
      </c>
      <c r="Y416" s="268">
        <f>IFERROR(INDEX(Rainfall_Dry!$O$2:$O$217,MATCH(B416, Rainfall_Dry!$A$2:$A$217,0)),"")</f>
        <v>171.84818423999999</v>
      </c>
      <c r="Z416" s="257">
        <v>54.080969906906262</v>
      </c>
      <c r="AA416" s="257">
        <v>21.264484651351896</v>
      </c>
      <c r="AB416" s="257">
        <v>24.654545441741845</v>
      </c>
      <c r="AC416" s="258" t="s">
        <v>2657</v>
      </c>
      <c r="AD416" s="257">
        <v>1.8433218334154755</v>
      </c>
      <c r="AE416">
        <f>IF('WetLitterbags placem_collection'!AB197="","",'WetLitterbags placem_collection'!AB197)</f>
        <v>5.13</v>
      </c>
      <c r="AF416">
        <f>IF('WetLitterbags placem_collection'!Z197="","",'WetLitterbags placem_collection'!Z197)</f>
        <v>5.13</v>
      </c>
      <c r="AG416" s="243" t="str">
        <f>IF('WetLitterbags placem_collection'!AA197="","",'WetLitterbags placem_collection'!AA197)</f>
        <v>O</v>
      </c>
      <c r="AH416">
        <f>IF('WetLitterbags placem_collection'!AC197="","",'WetLitterbags placem_collection'!AC197)</f>
        <v>1</v>
      </c>
      <c r="AI416">
        <f>IFERROR(AVERAGE('Dry_Litterbag Placem_Collection'!O197,'Dry_Litterbag Placem_Collection'!R197),"")</f>
        <v>11.4</v>
      </c>
      <c r="AJ416" s="268">
        <f>IFERROR(AVERAGE('Dry_Litterbag Placem_Collection'!N197,'Dry_Litterbag Placem_Collection'!Q197),"")</f>
        <v>28.1</v>
      </c>
      <c r="AK416">
        <v>-2.4396450349999999</v>
      </c>
      <c r="AL416">
        <v>34.83836599</v>
      </c>
      <c r="AM416" s="267" t="str">
        <f>IF(ISNUMBER(SEARCH("C", 'Dry_Litterbag Placem_Collection'!T197)),"YES","NO")</f>
        <v>NO</v>
      </c>
      <c r="AN416" s="267" t="str">
        <f>IF(ISNUMBER(SEARCH("H", 'Dry_Litterbag Placem_Collection'!T197)),"YES","NO")</f>
        <v>NO</v>
      </c>
      <c r="AO416" s="267" t="str">
        <f>IF(ISNUMBER(SEARCH("R", 'Dry_Litterbag Placem_Collection'!T197)),"YES","NO")</f>
        <v>YES</v>
      </c>
    </row>
    <row r="417" spans="1:41" ht="15" customHeight="1">
      <c r="A417" s="259" t="s">
        <v>2643</v>
      </c>
      <c r="B417" s="260">
        <f>'Dry_Litterbag Placem_Collection'!A198</f>
        <v>196</v>
      </c>
      <c r="C417" s="260" t="str">
        <f>'Dry_Litterbag Placem_Collection'!B198</f>
        <v>Makao</v>
      </c>
      <c r="D417" s="260" t="s">
        <v>2643</v>
      </c>
      <c r="E417" s="260" t="s">
        <v>2512</v>
      </c>
      <c r="F417" s="260">
        <v>1</v>
      </c>
      <c r="G417" s="260" t="s">
        <v>3804</v>
      </c>
      <c r="H417" s="261" t="str">
        <f>'Dry_Litterbag Placem_Collection'!C198</f>
        <v>Dry_Ag4_CG1</v>
      </c>
      <c r="I417" s="262" t="s">
        <v>2525</v>
      </c>
      <c r="J417" s="269" t="s">
        <v>298</v>
      </c>
      <c r="K417" s="260" t="str">
        <f>IF(ISBLANK('Dry_Litterbag Placem_Collection'!K198),"","R"&amp;""&amp;'Dry_Litterbag Placem_Collection'!K198)</f>
        <v>R455</v>
      </c>
      <c r="L417" s="264">
        <f>IFERROR(INDEX('Green_rooibos initial weight'!$C$5:$C$2000,MATCH(K417, 'Green_rooibos initial weight'!$A$5:$A$2000,0)),"")</f>
        <v>2.1850000000000001</v>
      </c>
      <c r="M417" s="264">
        <f>IFERROR(L417-(TBIcalc!$Q$9+TBIcalc!$Q$10),"")</f>
        <v>1.9352</v>
      </c>
      <c r="N417" s="385">
        <f>AVERAGE(Ashed_controlls!$K$12:$K$14)</f>
        <v>2.2816647271287041</v>
      </c>
      <c r="O417" s="264">
        <f t="shared" si="31"/>
        <v>1.8910452242006053</v>
      </c>
      <c r="P417" s="264">
        <f>IFERROR(INDEX('Both teabags AfterDry'!$D$2:$D$2000,MATCH(K417,'Both teabags AfterDry'!$A$2:$A$2000,0)),"")</f>
        <v>0.19900000000000001</v>
      </c>
      <c r="Q417" s="264">
        <f>IFERROR(IF(P417&gt;0,P417-(TBIcalc!$Q$9),""),"")</f>
        <v>4.8399999999999999E-2</v>
      </c>
      <c r="R417" s="275" t="str">
        <f>IFERROR(INDEX('Ashed teabags dry'!$K$2:$K$2000,MATCH(K417,'Ashed teabags dry'!$A$2:$A$2000,0)),"")</f>
        <v/>
      </c>
      <c r="S417" s="275" t="str">
        <f t="shared" si="32"/>
        <v/>
      </c>
      <c r="T417" s="265">
        <f>IF('Dry_Litterbag Placem_Collection'!E198="","",'Dry_Litterbag Placem_Collection'!E198)</f>
        <v>42942</v>
      </c>
      <c r="U417" s="265">
        <f>IF('Dry_Litterbag Placem_Collection'!G198="","",'Dry_Litterbag Placem_Collection'!G198)</f>
        <v>43004</v>
      </c>
      <c r="V417" s="266">
        <f t="shared" si="30"/>
        <v>62</v>
      </c>
      <c r="W417" s="264">
        <f t="shared" si="33"/>
        <v>1.8868</v>
      </c>
      <c r="X417" s="264" t="str">
        <f t="shared" si="34"/>
        <v/>
      </c>
      <c r="Y417" s="268">
        <f>IFERROR(INDEX(Rainfall_Dry!$O$2:$O$217,MATCH(B417, Rainfall_Dry!$A$2:$A$217,0)),"")</f>
        <v>171.84818423999999</v>
      </c>
      <c r="Z417" s="257">
        <v>51.960000000000008</v>
      </c>
      <c r="AA417" s="257">
        <v>18.919999999999995</v>
      </c>
      <c r="AB417" s="257">
        <v>29.120000000000005</v>
      </c>
      <c r="AC417" s="258" t="s">
        <v>2657</v>
      </c>
      <c r="AD417" s="257">
        <v>1.85293247905372</v>
      </c>
      <c r="AE417">
        <f>IF('WetLitterbags placem_collection'!AB198="","",'WetLitterbags placem_collection'!AB198)</f>
        <v>13.8</v>
      </c>
      <c r="AF417">
        <f>IF('WetLitterbags placem_collection'!Z198="","",'WetLitterbags placem_collection'!Z198)</f>
        <v>17.399999999999999</v>
      </c>
      <c r="AG417" s="243" t="str">
        <f>IF('WetLitterbags placem_collection'!AA198="","",'WetLitterbags placem_collection'!AA198)</f>
        <v>O</v>
      </c>
      <c r="AH417">
        <f>IF('WetLitterbags placem_collection'!AC198="","",'WetLitterbags placem_collection'!AC198)</f>
        <v>1</v>
      </c>
      <c r="AI417">
        <f>IFERROR(AVERAGE('Dry_Litterbag Placem_Collection'!O198,'Dry_Litterbag Placem_Collection'!R198),"")</f>
        <v>12.45</v>
      </c>
      <c r="AJ417" s="268">
        <f>IFERROR(AVERAGE('Dry_Litterbag Placem_Collection'!N198,'Dry_Litterbag Placem_Collection'!Q198),"")</f>
        <v>26.65</v>
      </c>
      <c r="AK417">
        <v>-2.439403972</v>
      </c>
      <c r="AL417">
        <v>34.838404959999998</v>
      </c>
      <c r="AM417" s="267" t="str">
        <f>IF(ISNUMBER(SEARCH("C", 'Dry_Litterbag Placem_Collection'!T198)),"YES","NO")</f>
        <v>NO</v>
      </c>
      <c r="AN417" s="267" t="str">
        <f>IF(ISNUMBER(SEARCH("H", 'Dry_Litterbag Placem_Collection'!T198)),"YES","NO")</f>
        <v>YES</v>
      </c>
      <c r="AO417" s="267" t="str">
        <f>IF(ISNUMBER(SEARCH("R", 'Dry_Litterbag Placem_Collection'!T198)),"YES","NO")</f>
        <v>NO</v>
      </c>
    </row>
    <row r="418" spans="1:41" ht="15" customHeight="1">
      <c r="A418" s="259" t="s">
        <v>2643</v>
      </c>
      <c r="B418" s="260">
        <f>'Dry_Litterbag Placem_Collection'!A199</f>
        <v>197</v>
      </c>
      <c r="C418" s="260" t="str">
        <f>'Dry_Litterbag Placem_Collection'!B199</f>
        <v>Makao</v>
      </c>
      <c r="D418" s="260" t="s">
        <v>2643</v>
      </c>
      <c r="E418" s="260" t="s">
        <v>2512</v>
      </c>
      <c r="F418" s="260">
        <v>2</v>
      </c>
      <c r="G418" s="260" t="s">
        <v>3805</v>
      </c>
      <c r="H418" s="261" t="str">
        <f>'Dry_Litterbag Placem_Collection'!C199</f>
        <v>Dry_P1_CG2</v>
      </c>
      <c r="I418" s="262" t="s">
        <v>2525</v>
      </c>
      <c r="J418" s="269" t="s">
        <v>298</v>
      </c>
      <c r="K418" s="260" t="str">
        <f>IF(ISBLANK('Dry_Litterbag Placem_Collection'!K199),"","R"&amp;""&amp;'Dry_Litterbag Placem_Collection'!K199)</f>
        <v>R692</v>
      </c>
      <c r="L418" s="264">
        <f>IFERROR(INDEX('Green_rooibos initial weight'!$C$5:$C$2000,MATCH(K418, 'Green_rooibos initial weight'!$A$5:$A$2000,0)),"")</f>
        <v>2.1419999999999999</v>
      </c>
      <c r="M418" s="264">
        <f>IFERROR(L418-(TBIcalc!$Q$9+TBIcalc!$Q$10),"")</f>
        <v>1.8921999999999999</v>
      </c>
      <c r="N418" s="385">
        <f>AVERAGE(Ashed_controlls!$K$12:$K$14)</f>
        <v>2.2816647271287041</v>
      </c>
      <c r="O418" s="264">
        <f t="shared" si="31"/>
        <v>1.8490263400332705</v>
      </c>
      <c r="P418" s="264">
        <f>IFERROR(INDEX('Both teabags AfterDry'!$D$2:$D$2000,MATCH(K418,'Both teabags AfterDry'!$A$2:$A$2000,0)),"")</f>
        <v>1.6160000000000001</v>
      </c>
      <c r="Q418" s="264">
        <f>IFERROR(IF(P418&gt;0,P418-(TBIcalc!$Q$9),""),"")</f>
        <v>1.4654</v>
      </c>
      <c r="R418" s="275">
        <f>IFERROR(INDEX('Ashed teabags dry'!$K$2:$K$2000,MATCH(K418,'Ashed teabags dry'!$A$2:$A$2000,0)),"")</f>
        <v>6.6166740185264974</v>
      </c>
      <c r="S418" s="275">
        <f t="shared" si="32"/>
        <v>1.3684392589325127</v>
      </c>
      <c r="T418" s="265">
        <f>IF('Dry_Litterbag Placem_Collection'!E199="","",'Dry_Litterbag Placem_Collection'!E199)</f>
        <v>42942</v>
      </c>
      <c r="U418" s="265">
        <f>IF('Dry_Litterbag Placem_Collection'!G199="","",'Dry_Litterbag Placem_Collection'!G199)</f>
        <v>43004</v>
      </c>
      <c r="V418" s="266">
        <f t="shared" si="30"/>
        <v>62</v>
      </c>
      <c r="W418" s="264">
        <f t="shared" si="33"/>
        <v>0.42679999999999985</v>
      </c>
      <c r="X418" s="264">
        <f t="shared" si="34"/>
        <v>0.48058708110075776</v>
      </c>
      <c r="Y418" s="268">
        <f>IFERROR(INDEX(Rainfall_Dry!$O$2:$O$217,MATCH(B418, Rainfall_Dry!$A$2:$A$217,0)),"")</f>
        <v>171.84818423999999</v>
      </c>
      <c r="Z418" s="257">
        <v>23.96</v>
      </c>
      <c r="AA418" s="257">
        <v>0.91999999999999804</v>
      </c>
      <c r="AB418" s="257">
        <v>75.12</v>
      </c>
      <c r="AC418" s="258" t="s">
        <v>2654</v>
      </c>
      <c r="AD418" s="257">
        <v>1.2493839329719072</v>
      </c>
      <c r="AE418">
        <f>IF('WetLitterbags placem_collection'!AB199="","",'WetLitterbags placem_collection'!AB199)</f>
        <v>5.13</v>
      </c>
      <c r="AF418">
        <f>IF('WetLitterbags placem_collection'!Z199="","",'WetLitterbags placem_collection'!Z199)</f>
        <v>5.13</v>
      </c>
      <c r="AG418" s="243" t="str">
        <f>IF('WetLitterbags placem_collection'!AA199="","",'WetLitterbags placem_collection'!AA199)</f>
        <v>O</v>
      </c>
      <c r="AH418">
        <f>IF('WetLitterbags placem_collection'!AC199="","",'WetLitterbags placem_collection'!AC199)</f>
        <v>1</v>
      </c>
      <c r="AI418">
        <f>IFERROR(AVERAGE('Dry_Litterbag Placem_Collection'!O199,'Dry_Litterbag Placem_Collection'!R199),"")</f>
        <v>6.3000000000000007</v>
      </c>
      <c r="AJ418" s="268">
        <f>IFERROR(AVERAGE('Dry_Litterbag Placem_Collection'!N199,'Dry_Litterbag Placem_Collection'!Q199),"")</f>
        <v>29.05</v>
      </c>
      <c r="AK418">
        <v>-2.4396450349999999</v>
      </c>
      <c r="AL418">
        <v>34.83836599</v>
      </c>
      <c r="AM418" s="267" t="str">
        <f>IF(ISNUMBER(SEARCH("C", 'Dry_Litterbag Placem_Collection'!T199)),"YES","NO")</f>
        <v>NO</v>
      </c>
      <c r="AN418" s="267" t="str">
        <f>IF(ISNUMBER(SEARCH("H", 'Dry_Litterbag Placem_Collection'!T199)),"YES","NO")</f>
        <v>NO</v>
      </c>
      <c r="AO418" s="267" t="str">
        <f>IF(ISNUMBER(SEARCH("R", 'Dry_Litterbag Placem_Collection'!T199)),"YES","NO")</f>
        <v>YES</v>
      </c>
    </row>
    <row r="419" spans="1:41" ht="15" customHeight="1">
      <c r="A419" s="259" t="s">
        <v>2643</v>
      </c>
      <c r="B419" s="260">
        <f>'Dry_Litterbag Placem_Collection'!A200</f>
        <v>198</v>
      </c>
      <c r="C419" s="260" t="str">
        <f>'Dry_Litterbag Placem_Collection'!B200</f>
        <v>Makao</v>
      </c>
      <c r="D419" s="260" t="s">
        <v>2643</v>
      </c>
      <c r="E419" s="260" t="s">
        <v>2512</v>
      </c>
      <c r="F419" s="260">
        <v>3</v>
      </c>
      <c r="G419" s="260" t="s">
        <v>3807</v>
      </c>
      <c r="H419" s="261" t="str">
        <f>'Dry_Litterbag Placem_Collection'!C200</f>
        <v>Dry_P2_CG3</v>
      </c>
      <c r="I419" s="262" t="s">
        <v>2525</v>
      </c>
      <c r="J419" s="269" t="s">
        <v>298</v>
      </c>
      <c r="K419" s="260" t="str">
        <f>IF(ISBLANK('Dry_Litterbag Placem_Collection'!K200),"","R"&amp;""&amp;'Dry_Litterbag Placem_Collection'!K200)</f>
        <v>R352</v>
      </c>
      <c r="L419" s="264">
        <f>IFERROR(INDEX('Green_rooibos initial weight'!$C$5:$C$2000,MATCH(K419, 'Green_rooibos initial weight'!$A$5:$A$2000,0)),"")</f>
        <v>2.2789999999999999</v>
      </c>
      <c r="M419" s="264">
        <f>IFERROR(L419-(TBIcalc!$Q$9+TBIcalc!$Q$10),"")</f>
        <v>2.0291999999999999</v>
      </c>
      <c r="N419" s="385">
        <f>AVERAGE(Ashed_controlls!$K$12:$K$14)</f>
        <v>2.2816647271287041</v>
      </c>
      <c r="O419" s="264">
        <f t="shared" si="31"/>
        <v>1.9829004593571042</v>
      </c>
      <c r="P419" s="264">
        <f>IFERROR(INDEX('Both teabags AfterDry'!$D$2:$D$2000,MATCH(K419,'Both teabags AfterDry'!$A$2:$A$2000,0)),"")</f>
        <v>1.615</v>
      </c>
      <c r="Q419" s="264">
        <f>IFERROR(IF(P419&gt;0,P419-(TBIcalc!$Q$9),""),"")</f>
        <v>1.4643999999999999</v>
      </c>
      <c r="R419" s="275">
        <f>IFERROR(INDEX('Ashed teabags dry'!$K$2:$K$2000,MATCH(K419,'Ashed teabags dry'!$A$2:$A$2000,0)),"")</f>
        <v>5.1034482758627195</v>
      </c>
      <c r="S419" s="275">
        <f t="shared" si="32"/>
        <v>1.3896651034482663</v>
      </c>
      <c r="T419" s="265">
        <f>IF('Dry_Litterbag Placem_Collection'!E200="","",'Dry_Litterbag Placem_Collection'!E200)</f>
        <v>42942</v>
      </c>
      <c r="U419" s="265">
        <f>IF('Dry_Litterbag Placem_Collection'!G200="","",'Dry_Litterbag Placem_Collection'!G200)</f>
        <v>43004</v>
      </c>
      <c r="V419" s="266">
        <f t="shared" si="30"/>
        <v>62</v>
      </c>
      <c r="W419" s="264">
        <f t="shared" si="33"/>
        <v>0.56479999999999997</v>
      </c>
      <c r="X419" s="264">
        <f t="shared" si="34"/>
        <v>0.59323535590883791</v>
      </c>
      <c r="Y419" s="268">
        <f>IFERROR(INDEX(Rainfall_Dry!$O$2:$O$217,MATCH(B419, Rainfall_Dry!$A$2:$A$217,0)),"")</f>
        <v>171.84818423999999</v>
      </c>
      <c r="Z419" s="257">
        <v>19.96</v>
      </c>
      <c r="AA419" s="257">
        <v>4.9199999999999982</v>
      </c>
      <c r="AB419" s="257">
        <v>75.12</v>
      </c>
      <c r="AC419" s="258" t="s">
        <v>2655</v>
      </c>
      <c r="AD419" s="257">
        <v>1.641498275012321</v>
      </c>
      <c r="AE419">
        <f>IF('WetLitterbags placem_collection'!AB200="","",'WetLitterbags placem_collection'!AB200)</f>
        <v>7.9</v>
      </c>
      <c r="AF419">
        <f>IF('WetLitterbags placem_collection'!Z200="","",'WetLitterbags placem_collection'!Z200)</f>
        <v>7.9</v>
      </c>
      <c r="AG419" s="243" t="str">
        <f>IF('WetLitterbags placem_collection'!AA200="","",'WetLitterbags placem_collection'!AA200)</f>
        <v>O</v>
      </c>
      <c r="AH419">
        <f>IF('WetLitterbags placem_collection'!AC200="","",'WetLitterbags placem_collection'!AC200)</f>
        <v>1</v>
      </c>
      <c r="AI419">
        <f>IFERROR(AVERAGE('Dry_Litterbag Placem_Collection'!O200,'Dry_Litterbag Placem_Collection'!R200),"")</f>
        <v>4.8499999999999996</v>
      </c>
      <c r="AJ419" s="268">
        <f>IFERROR(AVERAGE('Dry_Litterbag Placem_Collection'!N200,'Dry_Litterbag Placem_Collection'!Q200),"")</f>
        <v>30.25</v>
      </c>
      <c r="AK419">
        <v>-2.4395990190000001</v>
      </c>
      <c r="AL419">
        <v>34.838418959999998</v>
      </c>
      <c r="AM419" s="267" t="str">
        <f>IF(ISNUMBER(SEARCH("C", 'Dry_Litterbag Placem_Collection'!T200)),"YES","NO")</f>
        <v>NO</v>
      </c>
      <c r="AN419" s="267" t="str">
        <f>IF(ISNUMBER(SEARCH("H", 'Dry_Litterbag Placem_Collection'!T200)),"YES","NO")</f>
        <v>YES</v>
      </c>
      <c r="AO419" s="267" t="str">
        <f>IF(ISNUMBER(SEARCH("R", 'Dry_Litterbag Placem_Collection'!T200)),"YES","NO")</f>
        <v>YES</v>
      </c>
    </row>
    <row r="420" spans="1:41" ht="15" customHeight="1">
      <c r="A420" s="259" t="s">
        <v>2643</v>
      </c>
      <c r="B420" s="260">
        <f>'Dry_Litterbag Placem_Collection'!A201</f>
        <v>199</v>
      </c>
      <c r="C420" s="260" t="str">
        <f>'Dry_Litterbag Placem_Collection'!B201</f>
        <v>Makao</v>
      </c>
      <c r="D420" s="260" t="s">
        <v>2643</v>
      </c>
      <c r="E420" s="260" t="s">
        <v>2512</v>
      </c>
      <c r="F420" s="260">
        <v>1</v>
      </c>
      <c r="G420" s="260" t="s">
        <v>3808</v>
      </c>
      <c r="H420" s="261" t="str">
        <f>'Dry_Litterbag Placem_Collection'!C201</f>
        <v>Dry_P3_CG1</v>
      </c>
      <c r="I420" s="262" t="s">
        <v>2525</v>
      </c>
      <c r="J420" s="269" t="s">
        <v>298</v>
      </c>
      <c r="K420" s="260" t="str">
        <f>IF(ISBLANK('Dry_Litterbag Placem_Collection'!K201),"","R"&amp;""&amp;'Dry_Litterbag Placem_Collection'!K201)</f>
        <v>R327</v>
      </c>
      <c r="L420" s="264">
        <f>IFERROR(INDEX('Green_rooibos initial weight'!$C$5:$C$2000,MATCH(K420, 'Green_rooibos initial weight'!$A$5:$A$2000,0)),"")</f>
        <v>2.2229999999999999</v>
      </c>
      <c r="M420" s="264">
        <f>IFERROR(L420-(TBIcalc!$Q$9+TBIcalc!$Q$10),"")</f>
        <v>1.9731999999999998</v>
      </c>
      <c r="N420" s="385">
        <f>AVERAGE(Ashed_controlls!$K$12:$K$14)</f>
        <v>2.2816647271287041</v>
      </c>
      <c r="O420" s="264">
        <f t="shared" si="31"/>
        <v>1.9281781916042962</v>
      </c>
      <c r="P420" s="264">
        <f>IFERROR(INDEX('Both teabags AfterDry'!$D$2:$D$2000,MATCH(K420,'Both teabags AfterDry'!$A$2:$A$2000,0)),"")</f>
        <v>1.5642</v>
      </c>
      <c r="Q420" s="264">
        <f>IFERROR(IF(P420&gt;0,P420-(TBIcalc!$Q$9),""),"")</f>
        <v>1.4136</v>
      </c>
      <c r="R420" s="275">
        <f>IFERROR(INDEX('Ashed teabags dry'!$K$2:$K$2000,MATCH(K420,'Ashed teabags dry'!$A$2:$A$2000,0)),"")</f>
        <v>3.4327009936770145</v>
      </c>
      <c r="S420" s="275">
        <f t="shared" si="32"/>
        <v>1.3650753387533816</v>
      </c>
      <c r="T420" s="265">
        <f>IF('Dry_Litterbag Placem_Collection'!E201="","",'Dry_Litterbag Placem_Collection'!E201)</f>
        <v>42942</v>
      </c>
      <c r="U420" s="265">
        <f>IF('Dry_Litterbag Placem_Collection'!G201="","",'Dry_Litterbag Placem_Collection'!G201)</f>
        <v>43004</v>
      </c>
      <c r="V420" s="266">
        <f t="shared" si="30"/>
        <v>62</v>
      </c>
      <c r="W420" s="264">
        <f t="shared" si="33"/>
        <v>0.55959999999999988</v>
      </c>
      <c r="X420" s="264">
        <f t="shared" si="34"/>
        <v>0.56310285285091455</v>
      </c>
      <c r="Y420" s="268">
        <f>IFERROR(INDEX(Rainfall_Dry!$O$2:$O$217,MATCH(B420, Rainfall_Dry!$A$2:$A$217,0)),"")</f>
        <v>171.84818423999999</v>
      </c>
      <c r="Z420" s="257">
        <v>21.96</v>
      </c>
      <c r="AA420" s="257">
        <v>8.9199999999999982</v>
      </c>
      <c r="AB420" s="257">
        <v>69.12</v>
      </c>
      <c r="AC420" s="258" t="s">
        <v>2654</v>
      </c>
      <c r="AD420" s="257">
        <v>1.7491375061606702</v>
      </c>
      <c r="AE420">
        <f>IF('WetLitterbags placem_collection'!AB201="","",'WetLitterbags placem_collection'!AB201)</f>
        <v>13.8</v>
      </c>
      <c r="AF420">
        <f>IF('WetLitterbags placem_collection'!Z201="","",'WetLitterbags placem_collection'!Z201)</f>
        <v>17.399999999999999</v>
      </c>
      <c r="AG420" s="243" t="str">
        <f>IF('WetLitterbags placem_collection'!AA201="","",'WetLitterbags placem_collection'!AA201)</f>
        <v>O</v>
      </c>
      <c r="AH420">
        <f>IF('WetLitterbags placem_collection'!AC201="","",'WetLitterbags placem_collection'!AC201)</f>
        <v>1</v>
      </c>
      <c r="AI420">
        <f>IFERROR(AVERAGE('Dry_Litterbag Placem_Collection'!O201,'Dry_Litterbag Placem_Collection'!R201),"")</f>
        <v>6.1999999999999993</v>
      </c>
      <c r="AJ420" s="268">
        <f>IFERROR(AVERAGE('Dry_Litterbag Placem_Collection'!N201,'Dry_Litterbag Placem_Collection'!Q201),"")</f>
        <v>27.200000000000003</v>
      </c>
      <c r="AK420">
        <v>-2.439403972</v>
      </c>
      <c r="AL420">
        <v>34.838404959999998</v>
      </c>
      <c r="AM420" s="267" t="str">
        <f>IF(ISNUMBER(SEARCH("C", 'Dry_Litterbag Placem_Collection'!T201)),"YES","NO")</f>
        <v>NO</v>
      </c>
      <c r="AN420" s="267" t="str">
        <f>IF(ISNUMBER(SEARCH("H", 'Dry_Litterbag Placem_Collection'!T201)),"YES","NO")</f>
        <v>YES</v>
      </c>
      <c r="AO420" s="267" t="str">
        <f>IF(ISNUMBER(SEARCH("R", 'Dry_Litterbag Placem_Collection'!T201)),"YES","NO")</f>
        <v>NO</v>
      </c>
    </row>
    <row r="421" spans="1:41" ht="15" customHeight="1">
      <c r="A421" s="259" t="s">
        <v>2643</v>
      </c>
      <c r="B421" s="260">
        <f>'Dry_Litterbag Placem_Collection'!A202</f>
        <v>200</v>
      </c>
      <c r="C421" s="260" t="str">
        <f>'Dry_Litterbag Placem_Collection'!B202</f>
        <v>Makao</v>
      </c>
      <c r="D421" s="260" t="s">
        <v>2643</v>
      </c>
      <c r="E421" s="260" t="s">
        <v>2512</v>
      </c>
      <c r="F421" s="260">
        <v>4</v>
      </c>
      <c r="G421" s="260" t="s">
        <v>3809</v>
      </c>
      <c r="H421" s="261" t="str">
        <f>'Dry_Litterbag Placem_Collection'!C202</f>
        <v>Dry_P4_CG4</v>
      </c>
      <c r="I421" s="262" t="s">
        <v>2525</v>
      </c>
      <c r="J421" s="269" t="s">
        <v>298</v>
      </c>
      <c r="K421" s="260" t="str">
        <f>IF(ISBLANK('Dry_Litterbag Placem_Collection'!K202),"","R"&amp;""&amp;'Dry_Litterbag Placem_Collection'!K202)</f>
        <v>R75</v>
      </c>
      <c r="L421" s="264">
        <f>IFERROR(INDEX('Green_rooibos initial weight'!$C$5:$C$2000,MATCH(K421, 'Green_rooibos initial weight'!$A$5:$A$2000,0)),"")</f>
        <v>2.1819999999999999</v>
      </c>
      <c r="M421" s="264">
        <f>IFERROR(L421-(TBIcalc!$Q$9+TBIcalc!$Q$10),"")</f>
        <v>1.9321999999999999</v>
      </c>
      <c r="N421" s="385">
        <f>AVERAGE(Ashed_controlls!$K$12:$K$14)</f>
        <v>2.2816647271287041</v>
      </c>
      <c r="O421" s="264">
        <f t="shared" si="31"/>
        <v>1.8881136741424192</v>
      </c>
      <c r="P421" s="264">
        <f>IFERROR(INDEX('Both teabags AfterDry'!$D$2:$D$2000,MATCH(K421,'Both teabags AfterDry'!$A$2:$A$2000,0)),"")</f>
        <v>0.1565</v>
      </c>
      <c r="Q421" s="264">
        <f>IFERROR(IF(P421&gt;0,P421-(TBIcalc!$Q$9),""),"")</f>
        <v>5.8999999999999886E-3</v>
      </c>
      <c r="R421" s="275">
        <f>IFERROR(INDEX('Ashed teabags dry'!$K$2:$K$2000,MATCH(K421,'Ashed teabags dry'!$A$2:$A$2000,0)),"")</f>
        <v>0</v>
      </c>
      <c r="S421" s="275">
        <f t="shared" si="32"/>
        <v>5.8999999999999886E-3</v>
      </c>
      <c r="T421" s="265">
        <f>IF('Dry_Litterbag Placem_Collection'!E202="","",'Dry_Litterbag Placem_Collection'!E202)</f>
        <v>42942</v>
      </c>
      <c r="U421" s="265">
        <f>IF('Dry_Litterbag Placem_Collection'!G202="","",'Dry_Litterbag Placem_Collection'!G202)</f>
        <v>43004</v>
      </c>
      <c r="V421" s="266">
        <f t="shared" si="30"/>
        <v>62</v>
      </c>
      <c r="W421" s="264">
        <f t="shared" si="33"/>
        <v>1.9262999999999999</v>
      </c>
      <c r="X421" s="264">
        <f t="shared" si="34"/>
        <v>1.8822136741424191</v>
      </c>
      <c r="Y421" s="268">
        <f>IFERROR(INDEX(Rainfall_Dry!$O$2:$O$217,MATCH(B421, Rainfall_Dry!$A$2:$A$217,0)),"")</f>
        <v>171.84818423999999</v>
      </c>
      <c r="Z421" s="257">
        <v>25.96</v>
      </c>
      <c r="AA421" s="257">
        <v>6.9200000000000008</v>
      </c>
      <c r="AB421" s="257">
        <v>67.12</v>
      </c>
      <c r="AC421" s="258" t="s">
        <v>2654</v>
      </c>
      <c r="AD421" s="257">
        <v>1.7568260226712666</v>
      </c>
      <c r="AE421">
        <f>IF('WetLitterbags placem_collection'!AB202="","",'WetLitterbags placem_collection'!AB202)</f>
        <v>15.2</v>
      </c>
      <c r="AF421">
        <f>IF('WetLitterbags placem_collection'!Z202="","",'WetLitterbags placem_collection'!Z202)</f>
        <v>12.2</v>
      </c>
      <c r="AG421" s="243" t="str">
        <f>IF('WetLitterbags placem_collection'!AA202="","",'WetLitterbags placem_collection'!AA202)</f>
        <v>O</v>
      </c>
      <c r="AH421">
        <f>IF('WetLitterbags placem_collection'!AC202="","",'WetLitterbags placem_collection'!AC202)</f>
        <v>1</v>
      </c>
      <c r="AI421">
        <f>IFERROR(AVERAGE('Dry_Litterbag Placem_Collection'!O202,'Dry_Litterbag Placem_Collection'!R202),"")</f>
        <v>7</v>
      </c>
      <c r="AJ421" s="268">
        <f>IFERROR(AVERAGE('Dry_Litterbag Placem_Collection'!N202,'Dry_Litterbag Placem_Collection'!Q202),"")</f>
        <v>32.9</v>
      </c>
      <c r="AK421">
        <v>-2.4396949910000001</v>
      </c>
      <c r="AL421">
        <v>34.838574029999997</v>
      </c>
      <c r="AM421" s="267" t="str">
        <f>IF(ISNUMBER(SEARCH("C", 'Dry_Litterbag Placem_Collection'!T202)),"YES","NO")</f>
        <v>NO</v>
      </c>
      <c r="AN421" s="267" t="str">
        <f>IF(ISNUMBER(SEARCH("H", 'Dry_Litterbag Placem_Collection'!T202)),"YES","NO")</f>
        <v>YES</v>
      </c>
      <c r="AO421" s="267" t="str">
        <f>IF(ISNUMBER(SEARCH("R", 'Dry_Litterbag Placem_Collection'!T202)),"YES","NO")</f>
        <v>YES</v>
      </c>
    </row>
    <row r="422" spans="1:41" ht="15" customHeight="1">
      <c r="A422" s="259" t="s">
        <v>2643</v>
      </c>
      <c r="B422" s="260">
        <f>'Dry_Litterbag Placem_Collection'!A203</f>
        <v>201</v>
      </c>
      <c r="C422" s="260" t="str">
        <f>'Dry_Litterbag Placem_Collection'!B203</f>
        <v>Maswa</v>
      </c>
      <c r="D422" s="260" t="s">
        <v>2643</v>
      </c>
      <c r="E422" s="260" t="s">
        <v>2512</v>
      </c>
      <c r="F422" s="260">
        <v>4</v>
      </c>
      <c r="G422" s="260" t="s">
        <v>3813</v>
      </c>
      <c r="H422" s="261" t="str">
        <f>'Dry_Litterbag Placem_Collection'!C203</f>
        <v>Dry_W3_CG4</v>
      </c>
      <c r="I422" s="262" t="s">
        <v>2525</v>
      </c>
      <c r="J422" s="269" t="s">
        <v>298</v>
      </c>
      <c r="K422" s="260" t="str">
        <f>IF(ISBLANK('Dry_Litterbag Placem_Collection'!K203),"","R"&amp;""&amp;'Dry_Litterbag Placem_Collection'!K203)</f>
        <v>R36</v>
      </c>
      <c r="L422" s="264">
        <f>IFERROR(INDEX('Green_rooibos initial weight'!$C$5:$C$2000,MATCH(K422, 'Green_rooibos initial weight'!$A$5:$A$2000,0)),"")</f>
        <v>2.298</v>
      </c>
      <c r="M422" s="264">
        <f>IFERROR(L422-(TBIcalc!$Q$9+TBIcalc!$Q$10),"")</f>
        <v>2.0482</v>
      </c>
      <c r="N422" s="385">
        <f>AVERAGE(Ashed_controlls!$K$12:$K$14)</f>
        <v>2.2816647271287041</v>
      </c>
      <c r="O422" s="264">
        <f t="shared" si="31"/>
        <v>2.0014669430589498</v>
      </c>
      <c r="P422" s="264">
        <f>IFERROR(INDEX('Both teabags AfterDry'!$D$2:$D$2000,MATCH(K422,'Both teabags AfterDry'!$A$2:$A$2000,0)),"")</f>
        <v>1.968</v>
      </c>
      <c r="Q422" s="264">
        <f>IFERROR(IF(P422&gt;0,P422-(TBIcalc!$Q$9),""),"")</f>
        <v>1.8173999999999999</v>
      </c>
      <c r="R422" s="275">
        <f>IFERROR(INDEX('Ashed teabags dry'!$K$2:$K$2000,MATCH(K422,'Ashed teabags dry'!$A$2:$A$2000,0)),"")</f>
        <v>10.068426197458811</v>
      </c>
      <c r="S422" s="275">
        <f t="shared" si="32"/>
        <v>1.6344164222873836</v>
      </c>
      <c r="T422" s="265">
        <f>IF('Dry_Litterbag Placem_Collection'!E203="","",'Dry_Litterbag Placem_Collection'!E203)</f>
        <v>42942</v>
      </c>
      <c r="U422" s="265">
        <f>IF('Dry_Litterbag Placem_Collection'!G203="","",'Dry_Litterbag Placem_Collection'!G203)</f>
        <v>43004</v>
      </c>
      <c r="V422" s="266">
        <f t="shared" si="30"/>
        <v>62</v>
      </c>
      <c r="W422" s="264">
        <f t="shared" si="33"/>
        <v>0.23080000000000012</v>
      </c>
      <c r="X422" s="264">
        <f t="shared" si="34"/>
        <v>0.36705052077156619</v>
      </c>
      <c r="Y422" s="268">
        <f>IFERROR(INDEX(Rainfall_Dry!$O$2:$O$217,MATCH(B422, Rainfall_Dry!$A$2:$A$217,0)),"")</f>
        <v>171.84818423999999</v>
      </c>
      <c r="Z422" s="257">
        <v>38.691629007962128</v>
      </c>
      <c r="AA422" s="257">
        <v>26.81299763288143</v>
      </c>
      <c r="AB422" s="257">
        <v>34.495373359156439</v>
      </c>
      <c r="AC422" s="258" t="s">
        <v>2659</v>
      </c>
      <c r="AD422" s="257">
        <v>2.5483587974371611</v>
      </c>
      <c r="AE422">
        <f>IF('WetLitterbags placem_collection'!AB203="","",'WetLitterbags placem_collection'!AB203)</f>
        <v>15.2</v>
      </c>
      <c r="AF422">
        <f>IF('WetLitterbags placem_collection'!Z203="","",'WetLitterbags placem_collection'!Z203)</f>
        <v>12.2</v>
      </c>
      <c r="AG422" s="243" t="str">
        <f>IF('WetLitterbags placem_collection'!AA203="","",'WetLitterbags placem_collection'!AA203)</f>
        <v>O</v>
      </c>
      <c r="AH422">
        <f>IF('WetLitterbags placem_collection'!AC203="","",'WetLitterbags placem_collection'!AC203)</f>
        <v>1</v>
      </c>
      <c r="AI422">
        <f>IFERROR(AVERAGE('Dry_Litterbag Placem_Collection'!O203,'Dry_Litterbag Placem_Collection'!R203),"")</f>
        <v>8.9</v>
      </c>
      <c r="AJ422" s="268">
        <f>IFERROR(AVERAGE('Dry_Litterbag Placem_Collection'!N203,'Dry_Litterbag Placem_Collection'!Q203),"")</f>
        <v>29.15</v>
      </c>
      <c r="AK422">
        <v>-2.4396949910000001</v>
      </c>
      <c r="AL422">
        <v>34.838574029999997</v>
      </c>
      <c r="AM422" s="267" t="str">
        <f>IF(ISNUMBER(SEARCH("C", 'Dry_Litterbag Placem_Collection'!T203)),"YES","NO")</f>
        <v>YES</v>
      </c>
      <c r="AN422" s="267" t="str">
        <f>IF(ISNUMBER(SEARCH("H", 'Dry_Litterbag Placem_Collection'!T203)),"YES","NO")</f>
        <v>YES</v>
      </c>
      <c r="AO422" s="267" t="str">
        <f>IF(ISNUMBER(SEARCH("R", 'Dry_Litterbag Placem_Collection'!T203)),"YES","NO")</f>
        <v>YES</v>
      </c>
    </row>
    <row r="423" spans="1:41" ht="15" customHeight="1">
      <c r="A423" s="259" t="s">
        <v>2643</v>
      </c>
      <c r="B423" s="260">
        <f>'Dry_Litterbag Placem_Collection'!A204</f>
        <v>202</v>
      </c>
      <c r="C423" s="260" t="str">
        <f>'Dry_Litterbag Placem_Collection'!B204</f>
        <v>Maswa</v>
      </c>
      <c r="D423" s="260" t="s">
        <v>2643</v>
      </c>
      <c r="E423" s="260" t="s">
        <v>2512</v>
      </c>
      <c r="F423" s="260">
        <v>1</v>
      </c>
      <c r="G423" s="260" t="s">
        <v>3812</v>
      </c>
      <c r="H423" s="261" t="str">
        <f>'Dry_Litterbag Placem_Collection'!C204</f>
        <v>Dry_W2_CG1</v>
      </c>
      <c r="I423" s="262" t="s">
        <v>2525</v>
      </c>
      <c r="J423" s="269" t="s">
        <v>298</v>
      </c>
      <c r="K423" s="260" t="str">
        <f>IF(ISBLANK('Dry_Litterbag Placem_Collection'!K204),"","R"&amp;""&amp;'Dry_Litterbag Placem_Collection'!K204)</f>
        <v>R676</v>
      </c>
      <c r="L423" s="264">
        <f>IFERROR(INDEX('Green_rooibos initial weight'!$C$5:$C$2000,MATCH(K423, 'Green_rooibos initial weight'!$A$5:$A$2000,0)),"")</f>
        <v>2.1459999999999999</v>
      </c>
      <c r="M423" s="264">
        <f>IFERROR(L423-(TBIcalc!$Q$9+TBIcalc!$Q$10),"")</f>
        <v>1.8961999999999999</v>
      </c>
      <c r="N423" s="385">
        <f>AVERAGE(Ashed_controlls!$K$12:$K$14)</f>
        <v>2.2816647271287041</v>
      </c>
      <c r="O423" s="264">
        <f t="shared" si="31"/>
        <v>1.8529350734441854</v>
      </c>
      <c r="P423" s="264">
        <f>IFERROR(INDEX('Both teabags AfterDry'!$D$2:$D$2000,MATCH(K423,'Both teabags AfterDry'!$A$2:$A$2000,0)),"")</f>
        <v>1.6712</v>
      </c>
      <c r="Q423" s="264">
        <f>IFERROR(IF(P423&gt;0,P423-(TBIcalc!$Q$9),""),"")</f>
        <v>1.5206</v>
      </c>
      <c r="R423" s="275">
        <f>IFERROR(INDEX('Ashed teabags dry'!$K$2:$K$2000,MATCH(K423,'Ashed teabags dry'!$A$2:$A$2000,0)),"")</f>
        <v>11.369253583786671</v>
      </c>
      <c r="S423" s="275">
        <f t="shared" si="32"/>
        <v>1.3477191300049398</v>
      </c>
      <c r="T423" s="265">
        <f>IF('Dry_Litterbag Placem_Collection'!E204="","",'Dry_Litterbag Placem_Collection'!E204)</f>
        <v>42942</v>
      </c>
      <c r="U423" s="265">
        <f>IF('Dry_Litterbag Placem_Collection'!G204="","",'Dry_Litterbag Placem_Collection'!G204)</f>
        <v>43004</v>
      </c>
      <c r="V423" s="266">
        <f t="shared" si="30"/>
        <v>62</v>
      </c>
      <c r="W423" s="264">
        <f t="shared" si="33"/>
        <v>0.37559999999999993</v>
      </c>
      <c r="X423" s="264">
        <f t="shared" si="34"/>
        <v>0.50521594343924559</v>
      </c>
      <c r="Y423" s="268">
        <f>IFERROR(INDEX(Rainfall_Dry!$O$2:$O$217,MATCH(B423, Rainfall_Dry!$A$2:$A$217,0)),"")</f>
        <v>171.84818423999999</v>
      </c>
      <c r="Z423" s="257">
        <v>45.272914521112256</v>
      </c>
      <c r="AA423" s="257">
        <v>23.604531410916575</v>
      </c>
      <c r="AB423" s="257">
        <v>31.122554067971166</v>
      </c>
      <c r="AC423" s="258" t="s">
        <v>2657</v>
      </c>
      <c r="AD423" s="257">
        <v>2.0547560374568752</v>
      </c>
      <c r="AE423">
        <f>IF('WetLitterbags placem_collection'!AB204="","",'WetLitterbags placem_collection'!AB204)</f>
        <v>13.8</v>
      </c>
      <c r="AF423">
        <f>IF('WetLitterbags placem_collection'!Z204="","",'WetLitterbags placem_collection'!Z204)</f>
        <v>17.399999999999999</v>
      </c>
      <c r="AG423" s="243" t="str">
        <f>IF('WetLitterbags placem_collection'!AA204="","",'WetLitterbags placem_collection'!AA204)</f>
        <v>O</v>
      </c>
      <c r="AH423">
        <f>IF('WetLitterbags placem_collection'!AC204="","",'WetLitterbags placem_collection'!AC204)</f>
        <v>1</v>
      </c>
      <c r="AI423">
        <f>IFERROR(AVERAGE('Dry_Litterbag Placem_Collection'!O204,'Dry_Litterbag Placem_Collection'!R204),"")</f>
        <v>6.3</v>
      </c>
      <c r="AJ423" s="268">
        <f>IFERROR(AVERAGE('Dry_Litterbag Placem_Collection'!N204,'Dry_Litterbag Placem_Collection'!Q204),"")</f>
        <v>28.85</v>
      </c>
      <c r="AK423">
        <v>-2.439403972</v>
      </c>
      <c r="AL423">
        <v>34.838404959999998</v>
      </c>
      <c r="AM423" s="267" t="str">
        <f>IF(ISNUMBER(SEARCH("C", 'Dry_Litterbag Placem_Collection'!T204)),"YES","NO")</f>
        <v>NO</v>
      </c>
      <c r="AN423" s="267" t="str">
        <f>IF(ISNUMBER(SEARCH("H", 'Dry_Litterbag Placem_Collection'!T204)),"YES","NO")</f>
        <v>YES</v>
      </c>
      <c r="AO423" s="267" t="str">
        <f>IF(ISNUMBER(SEARCH("R", 'Dry_Litterbag Placem_Collection'!T204)),"YES","NO")</f>
        <v>YES</v>
      </c>
    </row>
    <row r="424" spans="1:41" ht="15" customHeight="1">
      <c r="A424" s="259" t="s">
        <v>2643</v>
      </c>
      <c r="B424" s="260">
        <f>'Dry_Litterbag Placem_Collection'!A205</f>
        <v>203</v>
      </c>
      <c r="C424" s="260" t="str">
        <f>'Dry_Litterbag Placem_Collection'!B205</f>
        <v>Maswa</v>
      </c>
      <c r="D424" s="260" t="s">
        <v>2643</v>
      </c>
      <c r="E424" s="260" t="s">
        <v>2512</v>
      </c>
      <c r="F424" s="260">
        <v>2</v>
      </c>
      <c r="G424" s="260" t="s">
        <v>3810</v>
      </c>
      <c r="H424" s="261" t="str">
        <f>'Dry_Litterbag Placem_Collection'!C205</f>
        <v>Dry_W1_CG2</v>
      </c>
      <c r="I424" s="262" t="s">
        <v>2525</v>
      </c>
      <c r="J424" s="269" t="s">
        <v>298</v>
      </c>
      <c r="K424" s="260" t="str">
        <f>IF(ISBLANK('Dry_Litterbag Placem_Collection'!K205),"","R"&amp;""&amp;'Dry_Litterbag Placem_Collection'!K205)</f>
        <v>R685</v>
      </c>
      <c r="L424" s="264">
        <f>IFERROR(INDEX('Green_rooibos initial weight'!$C$5:$C$2000,MATCH(K424, 'Green_rooibos initial weight'!$A$5:$A$2000,0)),"")</f>
        <v>2.1629999999999998</v>
      </c>
      <c r="M424" s="264">
        <f>IFERROR(L424-(TBIcalc!$Q$9+TBIcalc!$Q$10),"")</f>
        <v>1.9131999999999998</v>
      </c>
      <c r="N424" s="385">
        <f>AVERAGE(Ashed_controlls!$K$12:$K$14)</f>
        <v>2.2816647271287041</v>
      </c>
      <c r="O424" s="264">
        <f t="shared" si="31"/>
        <v>1.8695471904405734</v>
      </c>
      <c r="P424" s="264">
        <f>IFERROR(INDEX('Both teabags AfterDry'!$D$2:$D$2000,MATCH(K424,'Both teabags AfterDry'!$A$2:$A$2000,0)),"")</f>
        <v>1.7919</v>
      </c>
      <c r="Q424" s="264">
        <f>IFERROR(IF(P424&gt;0,P424-(TBIcalc!$Q$9),""),"")</f>
        <v>1.6413</v>
      </c>
      <c r="R424" s="275">
        <f>IFERROR(INDEX('Ashed teabags dry'!$K$2:$K$2000,MATCH(K424,'Ashed teabags dry'!$A$2:$A$2000,0)),"")</f>
        <v>7.1924603174607373</v>
      </c>
      <c r="S424" s="275">
        <f t="shared" si="32"/>
        <v>1.5232501488095169</v>
      </c>
      <c r="T424" s="265">
        <f>IF('Dry_Litterbag Placem_Collection'!E205="","",'Dry_Litterbag Placem_Collection'!E205)</f>
        <v>42942</v>
      </c>
      <c r="U424" s="265">
        <f>IF('Dry_Litterbag Placem_Collection'!G205="","",'Dry_Litterbag Placem_Collection'!G205)</f>
        <v>43004</v>
      </c>
      <c r="V424" s="266">
        <f t="shared" si="30"/>
        <v>62</v>
      </c>
      <c r="W424" s="264">
        <f t="shared" si="33"/>
        <v>0.27189999999999981</v>
      </c>
      <c r="X424" s="264">
        <f t="shared" si="34"/>
        <v>0.34629704163105646</v>
      </c>
      <c r="Y424" s="268">
        <f>IFERROR(INDEX(Rainfall_Dry!$O$2:$O$217,MATCH(B424, Rainfall_Dry!$A$2:$A$217,0)),"")</f>
        <v>171.84818423999999</v>
      </c>
      <c r="Z424" s="257">
        <v>47.96</v>
      </c>
      <c r="AA424" s="257">
        <v>22.919999999999995</v>
      </c>
      <c r="AB424" s="257">
        <v>29.120000000000012</v>
      </c>
      <c r="AC424" s="258" t="s">
        <v>2657</v>
      </c>
      <c r="AD424" s="257">
        <v>2.8831936914736325</v>
      </c>
      <c r="AE424">
        <f>IF('WetLitterbags placem_collection'!AB205="","",'WetLitterbags placem_collection'!AB205)</f>
        <v>5.13</v>
      </c>
      <c r="AF424">
        <f>IF('WetLitterbags placem_collection'!Z205="","",'WetLitterbags placem_collection'!Z205)</f>
        <v>5.13</v>
      </c>
      <c r="AG424" s="243" t="str">
        <f>IF('WetLitterbags placem_collection'!AA205="","",'WetLitterbags placem_collection'!AA205)</f>
        <v>O</v>
      </c>
      <c r="AH424">
        <f>IF('WetLitterbags placem_collection'!AC205="","",'WetLitterbags placem_collection'!AC205)</f>
        <v>1</v>
      </c>
      <c r="AI424">
        <f>IFERROR(AVERAGE('Dry_Litterbag Placem_Collection'!O205,'Dry_Litterbag Placem_Collection'!R205),"")</f>
        <v>10.100000000000001</v>
      </c>
      <c r="AJ424" s="268">
        <f>IFERROR(AVERAGE('Dry_Litterbag Placem_Collection'!N205,'Dry_Litterbag Placem_Collection'!Q205),"")</f>
        <v>28.299999999999997</v>
      </c>
      <c r="AK424">
        <v>-2.4396450349999999</v>
      </c>
      <c r="AL424">
        <v>34.83836599</v>
      </c>
      <c r="AM424" s="267" t="str">
        <f>IF(ISNUMBER(SEARCH("C", 'Dry_Litterbag Placem_Collection'!T205)),"YES","NO")</f>
        <v>NO</v>
      </c>
      <c r="AN424" s="267" t="str">
        <f>IF(ISNUMBER(SEARCH("H", 'Dry_Litterbag Placem_Collection'!T205)),"YES","NO")</f>
        <v>NO</v>
      </c>
      <c r="AO424" s="267" t="str">
        <f>IF(ISNUMBER(SEARCH("R", 'Dry_Litterbag Placem_Collection'!T205)),"YES","NO")</f>
        <v>YES</v>
      </c>
    </row>
    <row r="425" spans="1:41" ht="15" customHeight="1">
      <c r="A425" s="259" t="s">
        <v>2643</v>
      </c>
      <c r="B425" s="260">
        <f>'Dry_Litterbag Placem_Collection'!A206</f>
        <v>204</v>
      </c>
      <c r="C425" s="260" t="str">
        <f>'Dry_Litterbag Placem_Collection'!B206</f>
        <v>Maswa</v>
      </c>
      <c r="D425" s="260" t="s">
        <v>2643</v>
      </c>
      <c r="E425" s="260" t="s">
        <v>2512</v>
      </c>
      <c r="F425" s="260">
        <v>3</v>
      </c>
      <c r="G425" s="260" t="s">
        <v>3814</v>
      </c>
      <c r="H425" s="261" t="str">
        <f>'Dry_Litterbag Placem_Collection'!C206</f>
        <v>Dry_W4_CG3</v>
      </c>
      <c r="I425" s="262" t="s">
        <v>2525</v>
      </c>
      <c r="J425" s="269" t="s">
        <v>298</v>
      </c>
      <c r="K425" s="260" t="str">
        <f>IF(ISBLANK('Dry_Litterbag Placem_Collection'!K206),"","R"&amp;""&amp;'Dry_Litterbag Placem_Collection'!K206)</f>
        <v>R254</v>
      </c>
      <c r="L425" s="264">
        <f>IFERROR(INDEX('Green_rooibos initial weight'!$C$5:$C$2000,MATCH(K425, 'Green_rooibos initial weight'!$A$5:$A$2000,0)),"")</f>
        <v>2.266</v>
      </c>
      <c r="M425" s="264">
        <f>IFERROR(L425-(TBIcalc!$Q$9+TBIcalc!$Q$10),"")</f>
        <v>2.0162</v>
      </c>
      <c r="N425" s="385">
        <f>AVERAGE(Ashed_controlls!$K$12:$K$14)</f>
        <v>2.2816647271287041</v>
      </c>
      <c r="O425" s="264">
        <f t="shared" si="31"/>
        <v>1.9701970757716312</v>
      </c>
      <c r="P425" s="264">
        <f>IFERROR(INDEX('Both teabags AfterDry'!$D$2:$D$2000,MATCH(K425,'Both teabags AfterDry'!$A$2:$A$2000,0)),"")</f>
        <v>1.8010999999999999</v>
      </c>
      <c r="Q425" s="264">
        <f>IFERROR(IF(P425&gt;0,P425-(TBIcalc!$Q$9),""),"")</f>
        <v>1.6504999999999999</v>
      </c>
      <c r="R425" s="275">
        <f>IFERROR(INDEX('Ashed teabags dry'!$K$2:$K$2000,MATCH(K425,'Ashed teabags dry'!$A$2:$A$2000,0)),"")</f>
        <v>6.0425953442297144</v>
      </c>
      <c r="S425" s="275">
        <f t="shared" si="32"/>
        <v>1.5507669638434884</v>
      </c>
      <c r="T425" s="265">
        <f>IF('Dry_Litterbag Placem_Collection'!E206="","",'Dry_Litterbag Placem_Collection'!E206)</f>
        <v>42942</v>
      </c>
      <c r="U425" s="265">
        <f>IF('Dry_Litterbag Placem_Collection'!G206="","",'Dry_Litterbag Placem_Collection'!G206)</f>
        <v>43004</v>
      </c>
      <c r="V425" s="266">
        <f t="shared" si="30"/>
        <v>62</v>
      </c>
      <c r="W425" s="264">
        <f t="shared" si="33"/>
        <v>0.36570000000000014</v>
      </c>
      <c r="X425" s="264">
        <f t="shared" si="34"/>
        <v>0.41943011192814272</v>
      </c>
      <c r="Y425" s="268">
        <f>IFERROR(INDEX(Rainfall_Dry!$O$2:$O$217,MATCH(B425, Rainfall_Dry!$A$2:$A$217,0)),"")</f>
        <v>171.84818423999999</v>
      </c>
      <c r="Z425" s="257">
        <v>28.145762029394</v>
      </c>
      <c r="AA425" s="257">
        <v>25.085564727199518</v>
      </c>
      <c r="AB425" s="257">
        <v>46.768673243406489</v>
      </c>
      <c r="AC425" s="258" t="s">
        <v>2654</v>
      </c>
      <c r="AD425" s="257">
        <v>2.1716214884179394</v>
      </c>
      <c r="AE425">
        <f>IF('WetLitterbags placem_collection'!AB206="","",'WetLitterbags placem_collection'!AB206)</f>
        <v>7.9</v>
      </c>
      <c r="AF425">
        <f>IF('WetLitterbags placem_collection'!Z206="","",'WetLitterbags placem_collection'!Z206)</f>
        <v>7.9</v>
      </c>
      <c r="AG425" s="243" t="str">
        <f>IF('WetLitterbags placem_collection'!AA206="","",'WetLitterbags placem_collection'!AA206)</f>
        <v>O</v>
      </c>
      <c r="AH425">
        <f>IF('WetLitterbags placem_collection'!AC206="","",'WetLitterbags placem_collection'!AC206)</f>
        <v>1</v>
      </c>
      <c r="AI425">
        <f>IFERROR(AVERAGE('Dry_Litterbag Placem_Collection'!O206,'Dry_Litterbag Placem_Collection'!R206),"")</f>
        <v>8.3500000000000014</v>
      </c>
      <c r="AJ425" s="268">
        <f>IFERROR(AVERAGE('Dry_Litterbag Placem_Collection'!N206,'Dry_Litterbag Placem_Collection'!Q206),"")</f>
        <v>27.299999999999997</v>
      </c>
      <c r="AK425">
        <v>-2.4395990190000001</v>
      </c>
      <c r="AL425">
        <v>34.838418959999998</v>
      </c>
      <c r="AM425" s="267" t="str">
        <f>IF(ISNUMBER(SEARCH("C", 'Dry_Litterbag Placem_Collection'!T206)),"YES","NO")</f>
        <v>NO</v>
      </c>
      <c r="AN425" s="267" t="str">
        <f>IF(ISNUMBER(SEARCH("H", 'Dry_Litterbag Placem_Collection'!T206)),"YES","NO")</f>
        <v>YES</v>
      </c>
      <c r="AO425" s="267" t="str">
        <f>IF(ISNUMBER(SEARCH("R", 'Dry_Litterbag Placem_Collection'!T206)),"YES","NO")</f>
        <v>YES</v>
      </c>
    </row>
    <row r="426" spans="1:41" ht="15" customHeight="1">
      <c r="A426" s="259" t="s">
        <v>2643</v>
      </c>
      <c r="B426" s="260">
        <f>'Dry_Litterbag Placem_Collection'!A207</f>
        <v>205</v>
      </c>
      <c r="C426" s="260" t="str">
        <f>'Dry_Litterbag Placem_Collection'!B207</f>
        <v xml:space="preserve">Mwantimba
</v>
      </c>
      <c r="D426" s="260" t="s">
        <v>2454</v>
      </c>
      <c r="E426" s="260" t="s">
        <v>2512</v>
      </c>
      <c r="F426" s="260">
        <v>2</v>
      </c>
      <c r="G426" s="260" t="s">
        <v>3815</v>
      </c>
      <c r="H426" s="261" t="str">
        <f>'Dry_Litterbag Placem_Collection'!C207</f>
        <v>Wet_Ag1_CG2</v>
      </c>
      <c r="I426" s="262" t="s">
        <v>2525</v>
      </c>
      <c r="J426" s="269" t="s">
        <v>298</v>
      </c>
      <c r="K426" s="260" t="str">
        <f>IF(ISBLANK('Dry_Litterbag Placem_Collection'!K207),"","R"&amp;""&amp;'Dry_Litterbag Placem_Collection'!K207)</f>
        <v>R348</v>
      </c>
      <c r="L426" s="264">
        <f>IFERROR(INDEX('Green_rooibos initial weight'!$C$5:$C$2000,MATCH(K426, 'Green_rooibos initial weight'!$A$5:$A$2000,0)),"")</f>
        <v>2.31</v>
      </c>
      <c r="M426" s="264">
        <f>IFERROR(L426-(TBIcalc!$Q$9+TBIcalc!$Q$10),"")</f>
        <v>2.0602</v>
      </c>
      <c r="N426" s="385">
        <f>AVERAGE(Ashed_controlls!$K$12:$K$14)</f>
        <v>2.2816647271287041</v>
      </c>
      <c r="O426" s="264">
        <f t="shared" si="31"/>
        <v>2.0131931432916943</v>
      </c>
      <c r="P426" s="264">
        <f>IFERROR(INDEX('Both teabags AfterDry'!$D$2:$D$2000,MATCH(K426,'Both teabags AfterDry'!$A$2:$A$2000,0)),"")</f>
        <v>1.7168000000000001</v>
      </c>
      <c r="Q426" s="264">
        <f>IFERROR(IF(P426&gt;0,P426-(TBIcalc!$Q$9),""),"")</f>
        <v>1.5662</v>
      </c>
      <c r="R426" s="275">
        <f>IFERROR(INDEX('Ashed teabags dry'!$K$2:$K$2000,MATCH(K426,'Ashed teabags dry'!$A$2:$A$2000,0)),"")</f>
        <v>5.9891107078038743</v>
      </c>
      <c r="S426" s="275">
        <f t="shared" si="32"/>
        <v>1.4723985480943758</v>
      </c>
      <c r="T426" s="265">
        <f>IF('Dry_Litterbag Placem_Collection'!E207="","",'Dry_Litterbag Placem_Collection'!E207)</f>
        <v>42942</v>
      </c>
      <c r="U426" s="265">
        <f>IF('Dry_Litterbag Placem_Collection'!G207="","",'Dry_Litterbag Placem_Collection'!G207)</f>
        <v>43004</v>
      </c>
      <c r="V426" s="266">
        <f t="shared" si="30"/>
        <v>62</v>
      </c>
      <c r="W426" s="264">
        <f t="shared" si="33"/>
        <v>0.49399999999999999</v>
      </c>
      <c r="X426" s="264">
        <f t="shared" si="34"/>
        <v>0.54079459519731854</v>
      </c>
      <c r="Y426" s="268">
        <f>IFERROR(INDEX(Rainfall_Dry!$O$2:$O$217,MATCH(B426, Rainfall_Dry!$A$2:$A$217,0)),"")</f>
        <v>171.84818423999999</v>
      </c>
      <c r="Z426" s="257">
        <v>45.96</v>
      </c>
      <c r="AA426" s="257">
        <v>14.920000000000003</v>
      </c>
      <c r="AB426" s="257">
        <v>39.119999999999997</v>
      </c>
      <c r="AC426" s="258" t="s">
        <v>2657</v>
      </c>
      <c r="AD426" s="257">
        <v>2.0374568753080333</v>
      </c>
      <c r="AE426">
        <f>IF('WetLitterbags placem_collection'!AB207="","",'WetLitterbags placem_collection'!AB207)</f>
        <v>5.13</v>
      </c>
      <c r="AF426">
        <f>IF('WetLitterbags placem_collection'!Z207="","",'WetLitterbags placem_collection'!Z207)</f>
        <v>5.13</v>
      </c>
      <c r="AG426" s="243" t="str">
        <f>IF('WetLitterbags placem_collection'!AA207="","",'WetLitterbags placem_collection'!AA207)</f>
        <v>O</v>
      </c>
      <c r="AH426">
        <f>IF('WetLitterbags placem_collection'!AC207="","",'WetLitterbags placem_collection'!AC207)</f>
        <v>1</v>
      </c>
      <c r="AI426">
        <f>IFERROR(AVERAGE('Dry_Litterbag Placem_Collection'!O207,'Dry_Litterbag Placem_Collection'!R207),"")</f>
        <v>7.9499999999999993</v>
      </c>
      <c r="AJ426" s="268">
        <f>IFERROR(AVERAGE('Dry_Litterbag Placem_Collection'!N207,'Dry_Litterbag Placem_Collection'!Q207),"")</f>
        <v>29.05</v>
      </c>
      <c r="AK426">
        <v>-2.4396450349999999</v>
      </c>
      <c r="AL426">
        <v>34.83836599</v>
      </c>
      <c r="AM426" s="267" t="str">
        <f>IF(ISNUMBER(SEARCH("C", 'Dry_Litterbag Placem_Collection'!T207)),"YES","NO")</f>
        <v>NO</v>
      </c>
      <c r="AN426" s="267" t="str">
        <f>IF(ISNUMBER(SEARCH("H", 'Dry_Litterbag Placem_Collection'!T207)),"YES","NO")</f>
        <v>YES</v>
      </c>
      <c r="AO426" s="267" t="str">
        <f>IF(ISNUMBER(SEARCH("R", 'Dry_Litterbag Placem_Collection'!T207)),"YES","NO")</f>
        <v>YES</v>
      </c>
    </row>
    <row r="427" spans="1:41" ht="15" customHeight="1">
      <c r="A427" s="259" t="s">
        <v>2643</v>
      </c>
      <c r="B427" s="260">
        <f>'Dry_Litterbag Placem_Collection'!A208</f>
        <v>206</v>
      </c>
      <c r="C427" s="260" t="str">
        <f>'Dry_Litterbag Placem_Collection'!B208</f>
        <v xml:space="preserve">Mwantimba
</v>
      </c>
      <c r="D427" s="260" t="s">
        <v>2454</v>
      </c>
      <c r="E427" s="260" t="s">
        <v>2512</v>
      </c>
      <c r="F427" s="260">
        <v>1</v>
      </c>
      <c r="G427" s="260" t="s">
        <v>3817</v>
      </c>
      <c r="H427" s="261" t="str">
        <f>'Dry_Litterbag Placem_Collection'!C208</f>
        <v>Wet_Ag2_CG1</v>
      </c>
      <c r="I427" s="262" t="s">
        <v>2525</v>
      </c>
      <c r="J427" s="269" t="s">
        <v>298</v>
      </c>
      <c r="K427" s="260" t="str">
        <f>IF(ISBLANK('Dry_Litterbag Placem_Collection'!K208),"","R"&amp;""&amp;'Dry_Litterbag Placem_Collection'!K208)</f>
        <v>R686</v>
      </c>
      <c r="L427" s="264">
        <f>IFERROR(INDEX('Green_rooibos initial weight'!$C$5:$C$2000,MATCH(K427, 'Green_rooibos initial weight'!$A$5:$A$2000,0)),"")</f>
        <v>2.1890000000000001</v>
      </c>
      <c r="M427" s="264">
        <f>IFERROR(L427-(TBIcalc!$Q$9+TBIcalc!$Q$10),"")</f>
        <v>1.9392</v>
      </c>
      <c r="N427" s="385">
        <f>AVERAGE(Ashed_controlls!$K$12:$K$14)</f>
        <v>2.2816647271287041</v>
      </c>
      <c r="O427" s="264">
        <f t="shared" si="31"/>
        <v>1.8949539576115202</v>
      </c>
      <c r="P427" s="264">
        <f>IFERROR(INDEX('Both teabags AfterDry'!$D$2:$D$2000,MATCH(K427,'Both teabags AfterDry'!$A$2:$A$2000,0)),"")</f>
        <v>3.4599000000000002</v>
      </c>
      <c r="Q427" s="264">
        <f>IFERROR(IF(P427&gt;0,P427-(TBIcalc!$Q$9),""),"")</f>
        <v>3.3093000000000004</v>
      </c>
      <c r="R427" s="275">
        <f>IFERROR(INDEX('Ashed teabags dry'!$K$2:$K$2000,MATCH(K427,'Ashed teabags dry'!$A$2:$A$2000,0)),"")</f>
        <v>95.258416311047142</v>
      </c>
      <c r="S427" s="275">
        <f t="shared" si="32"/>
        <v>0.1569132290185169</v>
      </c>
      <c r="T427" s="265">
        <f>IF('Dry_Litterbag Placem_Collection'!E208="","",'Dry_Litterbag Placem_Collection'!E208)</f>
        <v>42942</v>
      </c>
      <c r="U427" s="265">
        <f>IF('Dry_Litterbag Placem_Collection'!G208="","",'Dry_Litterbag Placem_Collection'!G208)</f>
        <v>43004</v>
      </c>
      <c r="V427" s="266">
        <f t="shared" si="30"/>
        <v>62</v>
      </c>
      <c r="W427" s="264">
        <f t="shared" si="33"/>
        <v>-1.3701000000000003</v>
      </c>
      <c r="X427" s="264">
        <f t="shared" si="34"/>
        <v>1.7380407285930033</v>
      </c>
      <c r="Y427" s="268">
        <f>IFERROR(INDEX(Rainfall_Dry!$O$2:$O$217,MATCH(B427, Rainfall_Dry!$A$2:$A$217,0)),"")</f>
        <v>171.84818423999999</v>
      </c>
      <c r="Z427" s="257">
        <v>34.344660194174757</v>
      </c>
      <c r="AA427" s="257">
        <v>19.22727272727273</v>
      </c>
      <c r="AB427" s="257">
        <v>46.428067078552509</v>
      </c>
      <c r="AC427" s="258" t="s">
        <v>2654</v>
      </c>
      <c r="AD427" s="257">
        <v>1.7452932479053718</v>
      </c>
      <c r="AE427">
        <f>IF('WetLitterbags placem_collection'!AB208="","",'WetLitterbags placem_collection'!AB208)</f>
        <v>13.8</v>
      </c>
      <c r="AF427">
        <f>IF('WetLitterbags placem_collection'!Z208="","",'WetLitterbags placem_collection'!Z208)</f>
        <v>17.399999999999999</v>
      </c>
      <c r="AG427" s="243" t="str">
        <f>IF('WetLitterbags placem_collection'!AA208="","",'WetLitterbags placem_collection'!AA208)</f>
        <v>O</v>
      </c>
      <c r="AH427">
        <f>IF('WetLitterbags placem_collection'!AC208="","",'WetLitterbags placem_collection'!AC208)</f>
        <v>1</v>
      </c>
      <c r="AI427">
        <f>IFERROR(AVERAGE('Dry_Litterbag Placem_Collection'!O208,'Dry_Litterbag Placem_Collection'!R208),"")</f>
        <v>6.4</v>
      </c>
      <c r="AJ427" s="268">
        <f>IFERROR(AVERAGE('Dry_Litterbag Placem_Collection'!N208,'Dry_Litterbag Placem_Collection'!Q208),"")</f>
        <v>27.799999999999997</v>
      </c>
      <c r="AK427">
        <v>-2.439403972</v>
      </c>
      <c r="AL427">
        <v>34.838404959999998</v>
      </c>
      <c r="AM427" s="267" t="str">
        <f>IF(ISNUMBER(SEARCH("C", 'Dry_Litterbag Placem_Collection'!T208)),"YES","NO")</f>
        <v>NO</v>
      </c>
      <c r="AN427" s="267" t="str">
        <f>IF(ISNUMBER(SEARCH("H", 'Dry_Litterbag Placem_Collection'!T208)),"YES","NO")</f>
        <v>YES</v>
      </c>
      <c r="AO427" s="267" t="str">
        <f>IF(ISNUMBER(SEARCH("R", 'Dry_Litterbag Placem_Collection'!T208)),"YES","NO")</f>
        <v>YES</v>
      </c>
    </row>
    <row r="428" spans="1:41" ht="15" customHeight="1">
      <c r="A428" s="259" t="s">
        <v>2643</v>
      </c>
      <c r="B428" s="260">
        <f>'Dry_Litterbag Placem_Collection'!A209</f>
        <v>207</v>
      </c>
      <c r="C428" s="260" t="str">
        <f>'Dry_Litterbag Placem_Collection'!B209</f>
        <v xml:space="preserve">Mwantimba
</v>
      </c>
      <c r="D428" s="260" t="s">
        <v>2454</v>
      </c>
      <c r="E428" s="260" t="s">
        <v>2512</v>
      </c>
      <c r="F428" s="260">
        <v>4</v>
      </c>
      <c r="G428" s="260" t="s">
        <v>3818</v>
      </c>
      <c r="H428" s="261" t="str">
        <f>'Dry_Litterbag Placem_Collection'!C209</f>
        <v>Wet_Ag3_CG4</v>
      </c>
      <c r="I428" s="262" t="s">
        <v>2525</v>
      </c>
      <c r="J428" s="269" t="s">
        <v>298</v>
      </c>
      <c r="K428" s="260" t="str">
        <f>IF(ISBLANK('Dry_Litterbag Placem_Collection'!K209),"","R"&amp;""&amp;'Dry_Litterbag Placem_Collection'!K209)</f>
        <v>R551</v>
      </c>
      <c r="L428" s="264">
        <f>IFERROR(INDEX('Green_rooibos initial weight'!$C$5:$C$2000,MATCH(K428, 'Green_rooibos initial weight'!$A$5:$A$2000,0)),"")</f>
        <v>2.1739999999999999</v>
      </c>
      <c r="M428" s="264">
        <f>IFERROR(L428-(TBIcalc!$Q$9+TBIcalc!$Q$10),"")</f>
        <v>1.9241999999999999</v>
      </c>
      <c r="N428" s="385">
        <f>AVERAGE(Ashed_controlls!$K$12:$K$14)</f>
        <v>2.2816647271287041</v>
      </c>
      <c r="O428" s="264">
        <f t="shared" si="31"/>
        <v>1.8802962073205893</v>
      </c>
      <c r="P428" s="264">
        <f>IFERROR(INDEX('Both teabags AfterDry'!$D$2:$D$2000,MATCH(K428,'Both teabags AfterDry'!$A$2:$A$2000,0)),"")</f>
        <v>8.3109999999999999</v>
      </c>
      <c r="Q428" s="264">
        <f>IFERROR(IF(P428&gt;0,P428-(TBIcalc!$Q$9),""),"")</f>
        <v>8.1603999999999992</v>
      </c>
      <c r="R428" s="275">
        <f>IFERROR(INDEX('Ashed teabags dry'!$K$2:$K$2000,MATCH(K428,'Ashed teabags dry'!$A$2:$A$2000,0)),"")</f>
        <v>95.853767275969844</v>
      </c>
      <c r="S428" s="275">
        <f t="shared" si="32"/>
        <v>0.33834917521175623</v>
      </c>
      <c r="T428" s="265">
        <f>IF('Dry_Litterbag Placem_Collection'!E209="","",'Dry_Litterbag Placem_Collection'!E209)</f>
        <v>42942</v>
      </c>
      <c r="U428" s="265">
        <f>IF('Dry_Litterbag Placem_Collection'!G209="","",'Dry_Litterbag Placem_Collection'!G209)</f>
        <v>43004</v>
      </c>
      <c r="V428" s="266">
        <f t="shared" si="30"/>
        <v>62</v>
      </c>
      <c r="W428" s="264">
        <f t="shared" si="33"/>
        <v>-6.2361999999999993</v>
      </c>
      <c r="X428" s="264">
        <f t="shared" si="34"/>
        <v>1.5419470321088331</v>
      </c>
      <c r="Y428" s="268">
        <f>IFERROR(INDEX(Rainfall_Dry!$O$2:$O$217,MATCH(B428, Rainfall_Dry!$A$2:$A$217,0)),"")</f>
        <v>171.84818423999999</v>
      </c>
      <c r="Z428" s="257">
        <v>27.96</v>
      </c>
      <c r="AA428" s="257">
        <v>4.9200000000000017</v>
      </c>
      <c r="AB428" s="257">
        <v>67.12</v>
      </c>
      <c r="AC428" s="258" t="s">
        <v>2654</v>
      </c>
      <c r="AD428" s="257">
        <v>0.88610152784622953</v>
      </c>
      <c r="AE428">
        <f>IF('WetLitterbags placem_collection'!AB209="","",'WetLitterbags placem_collection'!AB209)</f>
        <v>15.2</v>
      </c>
      <c r="AF428">
        <f>IF('WetLitterbags placem_collection'!Z209="","",'WetLitterbags placem_collection'!Z209)</f>
        <v>12.2</v>
      </c>
      <c r="AG428" s="243" t="str">
        <f>IF('WetLitterbags placem_collection'!AA209="","",'WetLitterbags placem_collection'!AA209)</f>
        <v>O</v>
      </c>
      <c r="AH428">
        <f>IF('WetLitterbags placem_collection'!AC209="","",'WetLitterbags placem_collection'!AC209)</f>
        <v>1</v>
      </c>
      <c r="AI428">
        <f>IFERROR(AVERAGE('Dry_Litterbag Placem_Collection'!O209,'Dry_Litterbag Placem_Collection'!R209),"")</f>
        <v>4.3</v>
      </c>
      <c r="AJ428" s="268">
        <f>IFERROR(AVERAGE('Dry_Litterbag Placem_Collection'!N209,'Dry_Litterbag Placem_Collection'!Q209),"")</f>
        <v>29.6</v>
      </c>
      <c r="AK428">
        <v>-2.4396949910000001</v>
      </c>
      <c r="AL428">
        <v>34.838574029999997</v>
      </c>
      <c r="AM428" s="267" t="str">
        <f>IF(ISNUMBER(SEARCH("C", 'Dry_Litterbag Placem_Collection'!T209)),"YES","NO")</f>
        <v>NO</v>
      </c>
      <c r="AN428" s="267" t="str">
        <f>IF(ISNUMBER(SEARCH("H", 'Dry_Litterbag Placem_Collection'!T209)),"YES","NO")</f>
        <v>NO</v>
      </c>
      <c r="AO428" s="267" t="str">
        <f>IF(ISNUMBER(SEARCH("R", 'Dry_Litterbag Placem_Collection'!T209)),"YES","NO")</f>
        <v>YES</v>
      </c>
    </row>
    <row r="429" spans="1:41" ht="15" customHeight="1">
      <c r="A429" s="259" t="s">
        <v>2643</v>
      </c>
      <c r="B429" s="260">
        <f>'Dry_Litterbag Placem_Collection'!A210</f>
        <v>208</v>
      </c>
      <c r="C429" s="260" t="str">
        <f>'Dry_Litterbag Placem_Collection'!B210</f>
        <v xml:space="preserve">Mwantimba
</v>
      </c>
      <c r="D429" s="260" t="s">
        <v>2454</v>
      </c>
      <c r="E429" s="260" t="s">
        <v>2512</v>
      </c>
      <c r="F429" s="260">
        <v>3</v>
      </c>
      <c r="G429" s="260" t="s">
        <v>3819</v>
      </c>
      <c r="H429" s="261" t="str">
        <f>'Dry_Litterbag Placem_Collection'!C210</f>
        <v>Wet_Ag4_CG3</v>
      </c>
      <c r="I429" s="262" t="s">
        <v>2525</v>
      </c>
      <c r="J429" s="269" t="s">
        <v>298</v>
      </c>
      <c r="K429" s="260" t="str">
        <f>IF(ISBLANK('Dry_Litterbag Placem_Collection'!K210),"","R"&amp;""&amp;'Dry_Litterbag Placem_Collection'!K210)</f>
        <v>R516</v>
      </c>
      <c r="L429" s="264">
        <f>IFERROR(INDEX('Green_rooibos initial weight'!$C$5:$C$2000,MATCH(K429, 'Green_rooibos initial weight'!$A$5:$A$2000,0)),"")</f>
        <v>2.141</v>
      </c>
      <c r="M429" s="264">
        <f>IFERROR(L429-(TBIcalc!$Q$9+TBIcalc!$Q$10),"")</f>
        <v>1.8912</v>
      </c>
      <c r="N429" s="385">
        <f>AVERAGE(Ashed_controlls!$K$12:$K$14)</f>
        <v>2.2816647271287041</v>
      </c>
      <c r="O429" s="264">
        <f t="shared" si="31"/>
        <v>1.8480491566805419</v>
      </c>
      <c r="P429" s="264">
        <f>IFERROR(INDEX('Both teabags AfterDry'!$D$2:$D$2000,MATCH(K429,'Both teabags AfterDry'!$A$2:$A$2000,0)),"")</f>
        <v>1.7749999999999999</v>
      </c>
      <c r="Q429" s="264">
        <f>IFERROR(IF(P429&gt;0,P429-(TBIcalc!$Q$9),""),"")</f>
        <v>1.6243999999999998</v>
      </c>
      <c r="R429" s="275">
        <f>IFERROR(INDEX('Ashed teabags dry'!$K$2:$K$2000,MATCH(K429,'Ashed teabags dry'!$A$2:$A$2000,0)),"")</f>
        <v>78.613771089831701</v>
      </c>
      <c r="S429" s="275">
        <f t="shared" si="32"/>
        <v>0.34739790241677393</v>
      </c>
      <c r="T429" s="265">
        <f>IF('Dry_Litterbag Placem_Collection'!E210="","",'Dry_Litterbag Placem_Collection'!E210)</f>
        <v>42942</v>
      </c>
      <c r="U429" s="265">
        <f>IF('Dry_Litterbag Placem_Collection'!G210="","",'Dry_Litterbag Placem_Collection'!G210)</f>
        <v>43004</v>
      </c>
      <c r="V429" s="266">
        <f t="shared" si="30"/>
        <v>62</v>
      </c>
      <c r="W429" s="264">
        <f t="shared" si="33"/>
        <v>0.26680000000000015</v>
      </c>
      <c r="X429" s="264">
        <f t="shared" si="34"/>
        <v>1.500651254263768</v>
      </c>
      <c r="Y429" s="268">
        <f>IFERROR(INDEX(Rainfall_Dry!$O$2:$O$217,MATCH(B429, Rainfall_Dry!$A$2:$A$217,0)),"")</f>
        <v>171.84818423999999</v>
      </c>
      <c r="Z429" s="257">
        <v>17.96</v>
      </c>
      <c r="AA429" s="257">
        <v>4.9199999999999982</v>
      </c>
      <c r="AB429" s="257">
        <v>77.12</v>
      </c>
      <c r="AC429" s="258" t="s">
        <v>2655</v>
      </c>
      <c r="AD429" s="257">
        <v>2.0220798422868409</v>
      </c>
      <c r="AE429">
        <f>IF('WetLitterbags placem_collection'!AB210="","",'WetLitterbags placem_collection'!AB210)</f>
        <v>7.9</v>
      </c>
      <c r="AF429">
        <f>IF('WetLitterbags placem_collection'!Z210="","",'WetLitterbags placem_collection'!Z210)</f>
        <v>7.9</v>
      </c>
      <c r="AG429" s="243" t="str">
        <f>IF('WetLitterbags placem_collection'!AA210="","",'WetLitterbags placem_collection'!AA210)</f>
        <v>O</v>
      </c>
      <c r="AH429">
        <f>IF('WetLitterbags placem_collection'!AC210="","",'WetLitterbags placem_collection'!AC210)</f>
        <v>1</v>
      </c>
      <c r="AI429">
        <f>IFERROR(AVERAGE('Dry_Litterbag Placem_Collection'!O210,'Dry_Litterbag Placem_Collection'!R210),"")</f>
        <v>6.2</v>
      </c>
      <c r="AJ429" s="268">
        <f>IFERROR(AVERAGE('Dry_Litterbag Placem_Collection'!N210,'Dry_Litterbag Placem_Collection'!Q210),"")</f>
        <v>29.1</v>
      </c>
      <c r="AK429">
        <v>-2.4395990190000001</v>
      </c>
      <c r="AL429">
        <v>34.838418959999998</v>
      </c>
      <c r="AM429" s="267" t="str">
        <f>IF(ISNUMBER(SEARCH("C", 'Dry_Litterbag Placem_Collection'!T210)),"YES","NO")</f>
        <v>YES</v>
      </c>
      <c r="AN429" s="267" t="str">
        <f>IF(ISNUMBER(SEARCH("H", 'Dry_Litterbag Placem_Collection'!T210)),"YES","NO")</f>
        <v>NO</v>
      </c>
      <c r="AO429" s="267" t="str">
        <f>IF(ISNUMBER(SEARCH("R", 'Dry_Litterbag Placem_Collection'!T210)),"YES","NO")</f>
        <v>NO</v>
      </c>
    </row>
    <row r="430" spans="1:41" ht="15" customHeight="1">
      <c r="A430" s="259" t="s">
        <v>2643</v>
      </c>
      <c r="B430" s="260">
        <f>'Dry_Litterbag Placem_Collection'!A211</f>
        <v>209</v>
      </c>
      <c r="C430" s="260" t="str">
        <f>'Dry_Litterbag Placem_Collection'!B211</f>
        <v xml:space="preserve">Mwantimba
</v>
      </c>
      <c r="D430" s="260" t="s">
        <v>2454</v>
      </c>
      <c r="E430" s="260" t="s">
        <v>2512</v>
      </c>
      <c r="F430" s="260">
        <v>2</v>
      </c>
      <c r="G430" s="260" t="s">
        <v>3820</v>
      </c>
      <c r="H430" s="261" t="str">
        <f>'Dry_Litterbag Placem_Collection'!C211</f>
        <v>Wet_P1_CG2</v>
      </c>
      <c r="I430" s="262" t="s">
        <v>2525</v>
      </c>
      <c r="J430" s="269" t="s">
        <v>298</v>
      </c>
      <c r="K430" s="260" t="str">
        <f>IF(ISBLANK('Dry_Litterbag Placem_Collection'!K211),"","R"&amp;""&amp;'Dry_Litterbag Placem_Collection'!K211)</f>
        <v>R678</v>
      </c>
      <c r="L430" s="264">
        <f>IFERROR(INDEX('Green_rooibos initial weight'!$C$5:$C$2000,MATCH(K430, 'Green_rooibos initial weight'!$A$5:$A$2000,0)),"")</f>
        <v>2.1320000000000001</v>
      </c>
      <c r="M430" s="264">
        <f>IFERROR(L430-(TBIcalc!$Q$9+TBIcalc!$Q$10),"")</f>
        <v>1.8822000000000001</v>
      </c>
      <c r="N430" s="385">
        <f>AVERAGE(Ashed_controlls!$K$12:$K$14)</f>
        <v>2.2816647271287041</v>
      </c>
      <c r="O430" s="264">
        <f t="shared" si="31"/>
        <v>1.8392545065059835</v>
      </c>
      <c r="P430" s="264">
        <f>IFERROR(INDEX('Both teabags AfterDry'!$D$2:$D$2000,MATCH(K430,'Both teabags AfterDry'!$A$2:$A$2000,0)),"")</f>
        <v>1.6856</v>
      </c>
      <c r="Q430" s="264">
        <f>IFERROR(IF(P430&gt;0,P430-(TBIcalc!$Q$9),""),"")</f>
        <v>1.5349999999999999</v>
      </c>
      <c r="R430" s="275">
        <f>IFERROR(INDEX('Ashed teabags dry'!$K$2:$K$2000,MATCH(K430,'Ashed teabags dry'!$A$2:$A$2000,0)),"")</f>
        <v>3.8461538461540399</v>
      </c>
      <c r="S430" s="275">
        <f t="shared" si="32"/>
        <v>1.4759615384615354</v>
      </c>
      <c r="T430" s="265">
        <f>IF('Dry_Litterbag Placem_Collection'!E211="","",'Dry_Litterbag Placem_Collection'!E211)</f>
        <v>42942</v>
      </c>
      <c r="U430" s="265">
        <f>IF('Dry_Litterbag Placem_Collection'!G211="","",'Dry_Litterbag Placem_Collection'!G211)</f>
        <v>43004</v>
      </c>
      <c r="V430" s="266">
        <f t="shared" si="30"/>
        <v>62</v>
      </c>
      <c r="W430" s="264">
        <f t="shared" si="33"/>
        <v>0.34720000000000018</v>
      </c>
      <c r="X430" s="264">
        <f t="shared" si="34"/>
        <v>0.36329296804444811</v>
      </c>
      <c r="Y430" s="268">
        <f>IFERROR(INDEX(Rainfall_Dry!$O$2:$O$217,MATCH(B430, Rainfall_Dry!$A$2:$A$217,0)),"")</f>
        <v>171.84818423999999</v>
      </c>
      <c r="Z430" s="257">
        <v>31.214836424255054</v>
      </c>
      <c r="AA430" s="257">
        <v>11.377370285476141</v>
      </c>
      <c r="AB430" s="257">
        <v>57.407793290268799</v>
      </c>
      <c r="AC430" s="258" t="s">
        <v>2654</v>
      </c>
      <c r="AD430" s="257">
        <v>1.7337604731394776</v>
      </c>
      <c r="AE430">
        <f>IF('WetLitterbags placem_collection'!AB211="","",'WetLitterbags placem_collection'!AB211)</f>
        <v>5.13</v>
      </c>
      <c r="AF430">
        <f>IF('WetLitterbags placem_collection'!Z211="","",'WetLitterbags placem_collection'!Z211)</f>
        <v>5.13</v>
      </c>
      <c r="AG430" s="243" t="str">
        <f>IF('WetLitterbags placem_collection'!AA211="","",'WetLitterbags placem_collection'!AA211)</f>
        <v>O</v>
      </c>
      <c r="AH430">
        <f>IF('WetLitterbags placem_collection'!AC211="","",'WetLitterbags placem_collection'!AC211)</f>
        <v>1</v>
      </c>
      <c r="AI430">
        <f>IFERROR(AVERAGE('Dry_Litterbag Placem_Collection'!O211,'Dry_Litterbag Placem_Collection'!R211),"")</f>
        <v>8.6000000000000014</v>
      </c>
      <c r="AJ430" s="268">
        <f>IFERROR(AVERAGE('Dry_Litterbag Placem_Collection'!N211,'Dry_Litterbag Placem_Collection'!Q211),"")</f>
        <v>29.6</v>
      </c>
      <c r="AK430">
        <v>-2.4396450349999999</v>
      </c>
      <c r="AL430">
        <v>34.83836599</v>
      </c>
      <c r="AM430" s="267" t="str">
        <f>IF(ISNUMBER(SEARCH("C", 'Dry_Litterbag Placem_Collection'!T211)),"YES","NO")</f>
        <v>NO</v>
      </c>
      <c r="AN430" s="267" t="str">
        <f>IF(ISNUMBER(SEARCH("H", 'Dry_Litterbag Placem_Collection'!T211)),"YES","NO")</f>
        <v>NO</v>
      </c>
      <c r="AO430" s="267" t="str">
        <f>IF(ISNUMBER(SEARCH("R", 'Dry_Litterbag Placem_Collection'!T211)),"YES","NO")</f>
        <v>NO</v>
      </c>
    </row>
    <row r="431" spans="1:41" ht="15" customHeight="1">
      <c r="A431" s="259" t="s">
        <v>2643</v>
      </c>
      <c r="B431" s="260">
        <f>'Dry_Litterbag Placem_Collection'!A212</f>
        <v>210</v>
      </c>
      <c r="C431" s="260" t="str">
        <f>'Dry_Litterbag Placem_Collection'!B212</f>
        <v xml:space="preserve">Mwantimba
</v>
      </c>
      <c r="D431" s="260" t="s">
        <v>2454</v>
      </c>
      <c r="E431" s="260" t="s">
        <v>2512</v>
      </c>
      <c r="F431" s="260">
        <v>4</v>
      </c>
      <c r="G431" s="260" t="s">
        <v>3822</v>
      </c>
      <c r="H431" s="261" t="str">
        <f>'Dry_Litterbag Placem_Collection'!C212</f>
        <v>Wet_P2_CG4</v>
      </c>
      <c r="I431" s="262" t="s">
        <v>2525</v>
      </c>
      <c r="J431" s="269" t="s">
        <v>298</v>
      </c>
      <c r="K431" s="260" t="str">
        <f>IF(ISBLANK('Dry_Litterbag Placem_Collection'!K212),"","R"&amp;""&amp;'Dry_Litterbag Placem_Collection'!K212)</f>
        <v>R335</v>
      </c>
      <c r="L431" s="264">
        <f>IFERROR(INDEX('Green_rooibos initial weight'!$C$5:$C$2000,MATCH(K431, 'Green_rooibos initial weight'!$A$5:$A$2000,0)),"")</f>
        <v>2.1629999999999998</v>
      </c>
      <c r="M431" s="264">
        <f>IFERROR(L431-(TBIcalc!$Q$9+TBIcalc!$Q$10),"")</f>
        <v>1.9131999999999998</v>
      </c>
      <c r="N431" s="385">
        <f>AVERAGE(Ashed_controlls!$K$12:$K$14)</f>
        <v>2.2816647271287041</v>
      </c>
      <c r="O431" s="264">
        <f t="shared" si="31"/>
        <v>1.8695471904405734</v>
      </c>
      <c r="P431" s="264">
        <f>IFERROR(INDEX('Both teabags AfterDry'!$D$2:$D$2000,MATCH(K431,'Both teabags AfterDry'!$A$2:$A$2000,0)),"")</f>
        <v>1.716</v>
      </c>
      <c r="Q431" s="264">
        <f>IFERROR(IF(P431&gt;0,P431-(TBIcalc!$Q$9),""),"")</f>
        <v>1.5653999999999999</v>
      </c>
      <c r="R431" s="275">
        <f>IFERROR(INDEX('Ashed teabags dry'!$K$2:$K$2000,MATCH(K431,'Ashed teabags dry'!$A$2:$A$2000,0)),"")</f>
        <v>89.116785265801681</v>
      </c>
      <c r="S431" s="275">
        <f t="shared" si="32"/>
        <v>0.17036584344914041</v>
      </c>
      <c r="T431" s="265">
        <f>IF('Dry_Litterbag Placem_Collection'!E212="","",'Dry_Litterbag Placem_Collection'!E212)</f>
        <v>42942</v>
      </c>
      <c r="U431" s="265">
        <f>IF('Dry_Litterbag Placem_Collection'!G212="","",'Dry_Litterbag Placem_Collection'!G212)</f>
        <v>43004</v>
      </c>
      <c r="V431" s="266">
        <f t="shared" si="30"/>
        <v>62</v>
      </c>
      <c r="W431" s="264">
        <f t="shared" si="33"/>
        <v>0.34779999999999989</v>
      </c>
      <c r="X431" s="264">
        <f t="shared" si="34"/>
        <v>1.699181346991433</v>
      </c>
      <c r="Y431" s="268">
        <f>IFERROR(INDEX(Rainfall_Dry!$O$2:$O$217,MATCH(B431, Rainfall_Dry!$A$2:$A$217,0)),"")</f>
        <v>171.84818423999999</v>
      </c>
      <c r="Z431" s="257">
        <v>33.96</v>
      </c>
      <c r="AA431" s="257">
        <v>8.9200000000000017</v>
      </c>
      <c r="AB431" s="257">
        <v>57.12</v>
      </c>
      <c r="AC431" s="258" t="s">
        <v>2654</v>
      </c>
      <c r="AD431" s="257">
        <v>2.072055199605717</v>
      </c>
      <c r="AE431">
        <f>IF('WetLitterbags placem_collection'!AB212="","",'WetLitterbags placem_collection'!AB212)</f>
        <v>15.2</v>
      </c>
      <c r="AF431">
        <f>IF('WetLitterbags placem_collection'!Z212="","",'WetLitterbags placem_collection'!Z212)</f>
        <v>12.2</v>
      </c>
      <c r="AG431" s="243" t="str">
        <f>IF('WetLitterbags placem_collection'!AA212="","",'WetLitterbags placem_collection'!AA212)</f>
        <v>O</v>
      </c>
      <c r="AH431">
        <f>IF('WetLitterbags placem_collection'!AC212="","",'WetLitterbags placem_collection'!AC212)</f>
        <v>1</v>
      </c>
      <c r="AI431">
        <f>IFERROR(AVERAGE('Dry_Litterbag Placem_Collection'!O212,'Dry_Litterbag Placem_Collection'!R212),"")</f>
        <v>6.1</v>
      </c>
      <c r="AJ431" s="268">
        <f>IFERROR(AVERAGE('Dry_Litterbag Placem_Collection'!N212,'Dry_Litterbag Placem_Collection'!Q212),"")</f>
        <v>27.5</v>
      </c>
      <c r="AK431">
        <v>-2.4396949910000001</v>
      </c>
      <c r="AL431">
        <v>34.838574029999997</v>
      </c>
      <c r="AM431" s="267" t="str">
        <f>IF(ISNUMBER(SEARCH("C", 'Dry_Litterbag Placem_Collection'!T212)),"YES","NO")</f>
        <v>YES</v>
      </c>
      <c r="AN431" s="267" t="str">
        <f>IF(ISNUMBER(SEARCH("H", 'Dry_Litterbag Placem_Collection'!T212)),"YES","NO")</f>
        <v>YES</v>
      </c>
      <c r="AO431" s="267" t="str">
        <f>IF(ISNUMBER(SEARCH("R", 'Dry_Litterbag Placem_Collection'!T212)),"YES","NO")</f>
        <v>NO</v>
      </c>
    </row>
    <row r="432" spans="1:41" ht="15" customHeight="1">
      <c r="A432" s="259" t="s">
        <v>2643</v>
      </c>
      <c r="B432" s="260">
        <f>'Dry_Litterbag Placem_Collection'!A213</f>
        <v>211</v>
      </c>
      <c r="C432" s="260" t="str">
        <f>'Dry_Litterbag Placem_Collection'!B213</f>
        <v xml:space="preserve">Mwantimba
</v>
      </c>
      <c r="D432" s="260" t="s">
        <v>2454</v>
      </c>
      <c r="E432" s="260" t="s">
        <v>2512</v>
      </c>
      <c r="F432" s="260">
        <v>1</v>
      </c>
      <c r="G432" s="260" t="s">
        <v>3823</v>
      </c>
      <c r="H432" s="261" t="str">
        <f>'Dry_Litterbag Placem_Collection'!C213</f>
        <v>Wet_P3_CG1</v>
      </c>
      <c r="I432" s="262" t="s">
        <v>2525</v>
      </c>
      <c r="J432" s="269" t="s">
        <v>298</v>
      </c>
      <c r="K432" s="260" t="str">
        <f>IF(ISBLANK('Dry_Litterbag Placem_Collection'!K213),"","R"&amp;""&amp;'Dry_Litterbag Placem_Collection'!K213)</f>
        <v>R249</v>
      </c>
      <c r="L432" s="264">
        <f>IFERROR(INDEX('Green_rooibos initial weight'!$C$5:$C$2000,MATCH(K432, 'Green_rooibos initial weight'!$A$5:$A$2000,0)),"")</f>
        <v>2.294</v>
      </c>
      <c r="M432" s="264">
        <f>IFERROR(L432-(TBIcalc!$Q$9+TBIcalc!$Q$10),"")</f>
        <v>2.0442</v>
      </c>
      <c r="N432" s="385">
        <f>AVERAGE(Ashed_controlls!$K$12:$K$14)</f>
        <v>2.2816647271287041</v>
      </c>
      <c r="O432" s="264">
        <f t="shared" si="31"/>
        <v>1.9975582096480351</v>
      </c>
      <c r="P432" s="264">
        <f>IFERROR(INDEX('Both teabags AfterDry'!$D$2:$D$2000,MATCH(K432,'Both teabags AfterDry'!$A$2:$A$2000,0)),"")</f>
        <v>1.1160000000000001</v>
      </c>
      <c r="Q432" s="264">
        <f>IFERROR(IF(P432&gt;0,P432-(TBIcalc!$Q$9),""),"")</f>
        <v>0.96540000000000004</v>
      </c>
      <c r="R432" s="275">
        <f>IFERROR(INDEX('Ashed teabags dry'!$K$2:$K$2000,MATCH(K432,'Ashed teabags dry'!$A$2:$A$2000,0)),"")</f>
        <v>35.262904003859205</v>
      </c>
      <c r="S432" s="275">
        <f t="shared" si="32"/>
        <v>0.62497192474674323</v>
      </c>
      <c r="T432" s="265">
        <f>IF('Dry_Litterbag Placem_Collection'!E213="","",'Dry_Litterbag Placem_Collection'!E213)</f>
        <v>42942</v>
      </c>
      <c r="U432" s="265">
        <f>IF('Dry_Litterbag Placem_Collection'!G213="","",'Dry_Litterbag Placem_Collection'!G213)</f>
        <v>43004</v>
      </c>
      <c r="V432" s="266">
        <f t="shared" si="30"/>
        <v>62</v>
      </c>
      <c r="W432" s="264">
        <f t="shared" si="33"/>
        <v>1.0788</v>
      </c>
      <c r="X432" s="264">
        <f t="shared" si="34"/>
        <v>1.372586284901292</v>
      </c>
      <c r="Y432" s="268">
        <f>IFERROR(INDEX(Rainfall_Dry!$O$2:$O$217,MATCH(B432, Rainfall_Dry!$A$2:$A$217,0)),"")</f>
        <v>171.84818423999999</v>
      </c>
      <c r="Z432" s="257">
        <v>39.96</v>
      </c>
      <c r="AA432" s="257">
        <v>12.920000000000002</v>
      </c>
      <c r="AB432" s="257">
        <v>47.12</v>
      </c>
      <c r="AC432" s="258" t="s">
        <v>2658</v>
      </c>
      <c r="AD432" s="257">
        <v>1.6549531789058647</v>
      </c>
      <c r="AE432">
        <f>IF('WetLitterbags placem_collection'!AB213="","",'WetLitterbags placem_collection'!AB213)</f>
        <v>13.8</v>
      </c>
      <c r="AF432">
        <f>IF('WetLitterbags placem_collection'!Z213="","",'WetLitterbags placem_collection'!Z213)</f>
        <v>17.399999999999999</v>
      </c>
      <c r="AG432" s="243" t="str">
        <f>IF('WetLitterbags placem_collection'!AA213="","",'WetLitterbags placem_collection'!AA213)</f>
        <v>O</v>
      </c>
      <c r="AH432">
        <f>IF('WetLitterbags placem_collection'!AC213="","",'WetLitterbags placem_collection'!AC213)</f>
        <v>1</v>
      </c>
      <c r="AI432">
        <f>IFERROR(AVERAGE('Dry_Litterbag Placem_Collection'!O213,'Dry_Litterbag Placem_Collection'!R213),"")</f>
        <v>7.55</v>
      </c>
      <c r="AJ432" s="268">
        <f>IFERROR(AVERAGE('Dry_Litterbag Placem_Collection'!N213,'Dry_Litterbag Placem_Collection'!Q213),"")</f>
        <v>28</v>
      </c>
      <c r="AK432">
        <v>-2.439403972</v>
      </c>
      <c r="AL432">
        <v>34.838404959999998</v>
      </c>
      <c r="AM432" s="267" t="str">
        <f>IF(ISNUMBER(SEARCH("C", 'Dry_Litterbag Placem_Collection'!T213)),"YES","NO")</f>
        <v>YES</v>
      </c>
      <c r="AN432" s="267" t="str">
        <f>IF(ISNUMBER(SEARCH("H", 'Dry_Litterbag Placem_Collection'!T213)),"YES","NO")</f>
        <v>YES</v>
      </c>
      <c r="AO432" s="267" t="str">
        <f>IF(ISNUMBER(SEARCH("R", 'Dry_Litterbag Placem_Collection'!T213)),"YES","NO")</f>
        <v>YES</v>
      </c>
    </row>
    <row r="433" spans="1:41" ht="15" customHeight="1">
      <c r="A433" s="259" t="s">
        <v>2643</v>
      </c>
      <c r="B433" s="260">
        <f>'Dry_Litterbag Placem_Collection'!A214</f>
        <v>215</v>
      </c>
      <c r="C433" s="260" t="str">
        <f>'Dry_Litterbag Placem_Collection'!B214</f>
        <v xml:space="preserve">Mwantimba
</v>
      </c>
      <c r="D433" s="260" t="s">
        <v>2454</v>
      </c>
      <c r="E433" s="260" t="s">
        <v>2512</v>
      </c>
      <c r="F433" s="260">
        <v>3</v>
      </c>
      <c r="G433" s="260" t="s">
        <v>3828</v>
      </c>
      <c r="H433" s="261" t="str">
        <f>'Dry_Litterbag Placem_Collection'!C214</f>
        <v>Wet_W3_CG1</v>
      </c>
      <c r="I433" s="262" t="s">
        <v>2525</v>
      </c>
      <c r="J433" s="269" t="s">
        <v>298</v>
      </c>
      <c r="K433" s="260" t="str">
        <f>IF(ISBLANK('Dry_Litterbag Placem_Collection'!K214),"","R"&amp;""&amp;'Dry_Litterbag Placem_Collection'!K214)</f>
        <v>R627</v>
      </c>
      <c r="L433" s="264">
        <f>IFERROR(INDEX('Green_rooibos initial weight'!$C$5:$C$2000,MATCH(K433, 'Green_rooibos initial weight'!$A$5:$A$2000,0)),"")</f>
        <v>2.1429999999999998</v>
      </c>
      <c r="M433" s="264">
        <f>IFERROR(L433-(TBIcalc!$Q$9+TBIcalc!$Q$10),"")</f>
        <v>1.8931999999999998</v>
      </c>
      <c r="N433" s="385">
        <f>AVERAGE(Ashed_controlls!$K$12:$K$14)</f>
        <v>2.2816647271287041</v>
      </c>
      <c r="O433" s="264">
        <f t="shared" si="31"/>
        <v>1.850003523385999</v>
      </c>
      <c r="P433" s="264">
        <f>IFERROR(INDEX('Both teabags AfterDry'!$D$2:$D$2000,MATCH(K433,'Both teabags AfterDry'!$A$2:$A$2000,0)),"")</f>
        <v>1.7356</v>
      </c>
      <c r="Q433" s="264">
        <f>IFERROR(IF(P433&gt;0,P433-(TBIcalc!$Q$9),""),"")</f>
        <v>1.585</v>
      </c>
      <c r="R433" s="275">
        <f>IFERROR(INDEX('Ashed teabags dry'!$K$2:$K$2000,MATCH(K433,'Ashed teabags dry'!$A$2:$A$2000,0)),"")</f>
        <v>5.6538839724678436</v>
      </c>
      <c r="S433" s="275">
        <f t="shared" si="32"/>
        <v>1.4953859390363846</v>
      </c>
      <c r="T433" s="265">
        <f>IF('Dry_Litterbag Placem_Collection'!E214="","",'Dry_Litterbag Placem_Collection'!E214)</f>
        <v>42942</v>
      </c>
      <c r="U433" s="265">
        <f>IF('Dry_Litterbag Placem_Collection'!G214="","",'Dry_Litterbag Placem_Collection'!G214)</f>
        <v>43004</v>
      </c>
      <c r="V433" s="266">
        <f t="shared" si="30"/>
        <v>62</v>
      </c>
      <c r="W433" s="264">
        <f t="shared" si="33"/>
        <v>0.30819999999999981</v>
      </c>
      <c r="X433" s="264">
        <f t="shared" si="34"/>
        <v>0.35461758434961443</v>
      </c>
      <c r="Y433" s="268" t="str">
        <f>IFERROR(INDEX(Rainfall_Dry!$O$2:$O$217,MATCH(B433, Rainfall_Dry!$A$2:$A$217,0)),"")</f>
        <v/>
      </c>
      <c r="Z433" s="257">
        <v>27.96</v>
      </c>
      <c r="AA433" s="257">
        <v>4.9200000000000017</v>
      </c>
      <c r="AB433" s="257">
        <v>67.12</v>
      </c>
      <c r="AC433" s="258" t="s">
        <v>2654</v>
      </c>
      <c r="AD433" s="257">
        <v>1.0437161163134547</v>
      </c>
      <c r="AE433">
        <f>IF('WetLitterbags placem_collection'!AB214="","",'WetLitterbags placem_collection'!AB214)</f>
        <v>7.9</v>
      </c>
      <c r="AF433">
        <f>IF('WetLitterbags placem_collection'!Z214="","",'WetLitterbags placem_collection'!Z214)</f>
        <v>7.9</v>
      </c>
      <c r="AG433" s="243" t="str">
        <f>IF('WetLitterbags placem_collection'!AA214="","",'WetLitterbags placem_collection'!AA214)</f>
        <v>O</v>
      </c>
      <c r="AH433">
        <f>IF('WetLitterbags placem_collection'!AC214="","",'WetLitterbags placem_collection'!AC214)</f>
        <v>1</v>
      </c>
      <c r="AI433">
        <f>IFERROR(AVERAGE('Dry_Litterbag Placem_Collection'!O214,'Dry_Litterbag Placem_Collection'!R214),"")</f>
        <v>4.3</v>
      </c>
      <c r="AJ433" s="268">
        <f>IFERROR(AVERAGE('Dry_Litterbag Placem_Collection'!N214,'Dry_Litterbag Placem_Collection'!Q214),"")</f>
        <v>28.75</v>
      </c>
      <c r="AK433">
        <v>-2.4395990190000001</v>
      </c>
      <c r="AL433">
        <v>34.838418959999998</v>
      </c>
      <c r="AM433" s="267" t="str">
        <f>IF(ISNUMBER(SEARCH("C", 'Dry_Litterbag Placem_Collection'!T214)),"YES","NO")</f>
        <v>NO</v>
      </c>
      <c r="AN433" s="267" t="str">
        <f>IF(ISNUMBER(SEARCH("H", 'Dry_Litterbag Placem_Collection'!T214)),"YES","NO")</f>
        <v>NO</v>
      </c>
      <c r="AO433" s="267" t="str">
        <f>IF(ISNUMBER(SEARCH("R", 'Dry_Litterbag Placem_Collection'!T214)),"YES","NO")</f>
        <v>YES</v>
      </c>
    </row>
    <row r="434" spans="1:41" ht="15" customHeight="1">
      <c r="A434" s="259" t="s">
        <v>2643</v>
      </c>
      <c r="B434" s="260">
        <f>'Dry_Litterbag Placem_Collection'!A215</f>
        <v>212</v>
      </c>
      <c r="C434" s="260" t="str">
        <f>'Dry_Litterbag Placem_Collection'!B215</f>
        <v xml:space="preserve">Mwantimba
</v>
      </c>
      <c r="D434" s="260" t="s">
        <v>2454</v>
      </c>
      <c r="E434" s="260" t="s">
        <v>2512</v>
      </c>
      <c r="F434" s="260">
        <v>4</v>
      </c>
      <c r="G434" s="260" t="s">
        <v>3824</v>
      </c>
      <c r="H434" s="261" t="str">
        <f>'Dry_Litterbag Placem_Collection'!C215</f>
        <v>Wet_P4_CG3</v>
      </c>
      <c r="I434" s="262" t="s">
        <v>2525</v>
      </c>
      <c r="J434" s="269" t="s">
        <v>298</v>
      </c>
      <c r="K434" s="260" t="str">
        <f>IF(ISBLANK('Dry_Litterbag Placem_Collection'!K215),"","R"&amp;""&amp;'Dry_Litterbag Placem_Collection'!K215)</f>
        <v>R803</v>
      </c>
      <c r="L434" s="264">
        <f>IFERROR(INDEX('Green_rooibos initial weight'!$C$5:$C$2000,MATCH(K434, 'Green_rooibos initial weight'!$A$5:$A$2000,0)),"")</f>
        <v>2.1930000000000001</v>
      </c>
      <c r="M434" s="264">
        <f>IFERROR(L434-(TBIcalc!$Q$9+TBIcalc!$Q$10),"")</f>
        <v>1.9432</v>
      </c>
      <c r="N434" s="385">
        <f>AVERAGE(Ashed_controlls!$K$12:$K$14)</f>
        <v>2.2816647271287041</v>
      </c>
      <c r="O434" s="264">
        <f t="shared" si="31"/>
        <v>1.8988626910224351</v>
      </c>
      <c r="P434" s="264">
        <f>IFERROR(INDEX('Both teabags AfterDry'!$D$2:$D$2000,MATCH(K434,'Both teabags AfterDry'!$A$2:$A$2000,0)),"")</f>
        <v>0.78500000000000003</v>
      </c>
      <c r="Q434" s="264">
        <f>IFERROR(IF(P434&gt;0,P434-(TBIcalc!$Q$9),""),"")</f>
        <v>0.63440000000000007</v>
      </c>
      <c r="R434" s="275">
        <f>IFERROR(INDEX('Ashed teabags dry'!$K$2:$K$2000,MATCH(K434,'Ashed teabags dry'!$A$2:$A$2000,0)),"")</f>
        <v>11.856932876041183</v>
      </c>
      <c r="S434" s="275">
        <f t="shared" si="32"/>
        <v>0.55917961783439485</v>
      </c>
      <c r="T434" s="265">
        <f>IF('Dry_Litterbag Placem_Collection'!E215="","",'Dry_Litterbag Placem_Collection'!E215)</f>
        <v>42942</v>
      </c>
      <c r="U434" s="265">
        <f>IF('Dry_Litterbag Placem_Collection'!G215="","",'Dry_Litterbag Placem_Collection'!G215)</f>
        <v>43004</v>
      </c>
      <c r="V434" s="266">
        <f t="shared" si="30"/>
        <v>62</v>
      </c>
      <c r="W434" s="264">
        <f t="shared" si="33"/>
        <v>1.3088</v>
      </c>
      <c r="X434" s="264">
        <f t="shared" si="34"/>
        <v>1.3396830731880403</v>
      </c>
      <c r="Y434" s="268">
        <f>IFERROR(INDEX(Rainfall_Dry!$O$2:$O$217,MATCH(B434, Rainfall_Dry!$A$2:$A$217,0)),"")</f>
        <v>171.84818423999999</v>
      </c>
      <c r="Z434" s="257">
        <v>21.96</v>
      </c>
      <c r="AA434" s="257">
        <v>4.9199999999999982</v>
      </c>
      <c r="AB434" s="257">
        <v>73.12</v>
      </c>
      <c r="AC434" s="258" t="s">
        <v>2654</v>
      </c>
      <c r="AD434" s="257">
        <v>1.2416954164613114</v>
      </c>
      <c r="AE434">
        <f>IF('WetLitterbags placem_collection'!AB215="","",'WetLitterbags placem_collection'!AB215)</f>
        <v>15.2</v>
      </c>
      <c r="AF434">
        <f>IF('WetLitterbags placem_collection'!Z215="","",'WetLitterbags placem_collection'!Z215)</f>
        <v>12.2</v>
      </c>
      <c r="AG434" s="243" t="str">
        <f>IF('WetLitterbags placem_collection'!AA215="","",'WetLitterbags placem_collection'!AA215)</f>
        <v>O</v>
      </c>
      <c r="AH434">
        <f>IF('WetLitterbags placem_collection'!AC215="","",'WetLitterbags placem_collection'!AC215)</f>
        <v>1</v>
      </c>
      <c r="AI434">
        <f>IFERROR(AVERAGE('Dry_Litterbag Placem_Collection'!O215,'Dry_Litterbag Placem_Collection'!R215),"")</f>
        <v>8.1499999999999986</v>
      </c>
      <c r="AJ434" s="268">
        <f>IFERROR(AVERAGE('Dry_Litterbag Placem_Collection'!N215,'Dry_Litterbag Placem_Collection'!Q215),"")</f>
        <v>28.25</v>
      </c>
      <c r="AK434">
        <v>-2.4396949910000001</v>
      </c>
      <c r="AL434">
        <v>34.838574029999997</v>
      </c>
      <c r="AM434" s="267" t="str">
        <f>IF(ISNUMBER(SEARCH("C", 'Dry_Litterbag Placem_Collection'!T215)),"YES","NO")</f>
        <v>NO</v>
      </c>
      <c r="AN434" s="267" t="str">
        <f>IF(ISNUMBER(SEARCH("H", 'Dry_Litterbag Placem_Collection'!T215)),"YES","NO")</f>
        <v>YES</v>
      </c>
      <c r="AO434" s="267" t="str">
        <f>IF(ISNUMBER(SEARCH("R", 'Dry_Litterbag Placem_Collection'!T215)),"YES","NO")</f>
        <v>YES</v>
      </c>
    </row>
    <row r="435" spans="1:41" ht="15" customHeight="1">
      <c r="A435" s="259" t="s">
        <v>2643</v>
      </c>
      <c r="B435" s="260">
        <f>'Dry_Litterbag Placem_Collection'!A216</f>
        <v>213</v>
      </c>
      <c r="C435" s="260" t="str">
        <f>'Dry_Litterbag Placem_Collection'!B216</f>
        <v>Handajega</v>
      </c>
      <c r="D435" s="260" t="s">
        <v>2454</v>
      </c>
      <c r="E435" s="260" t="s">
        <v>2512</v>
      </c>
      <c r="F435" s="260">
        <v>3</v>
      </c>
      <c r="G435" s="260" t="s">
        <v>3825</v>
      </c>
      <c r="H435" s="261" t="str">
        <f>'Dry_Litterbag Placem_Collection'!C216</f>
        <v>Wet_W1_CG4</v>
      </c>
      <c r="I435" s="262" t="s">
        <v>2525</v>
      </c>
      <c r="J435" s="269" t="s">
        <v>298</v>
      </c>
      <c r="K435" s="260" t="str">
        <f>IF(ISBLANK('Dry_Litterbag Placem_Collection'!K216),"","R"&amp;""&amp;'Dry_Litterbag Placem_Collection'!K216)</f>
        <v>R321</v>
      </c>
      <c r="L435" s="264">
        <f>IFERROR(INDEX('Green_rooibos initial weight'!$C$5:$C$2000,MATCH(K435, 'Green_rooibos initial weight'!$A$5:$A$2000,0)),"")</f>
        <v>2.1859999999999999</v>
      </c>
      <c r="M435" s="264">
        <f>IFERROR(L435-(TBIcalc!$Q$9+TBIcalc!$Q$10),"")</f>
        <v>1.9361999999999999</v>
      </c>
      <c r="N435" s="385">
        <f>AVERAGE(Ashed_controlls!$K$12:$K$14)</f>
        <v>2.2816647271287041</v>
      </c>
      <c r="O435" s="264">
        <f t="shared" si="31"/>
        <v>1.8920224075533341</v>
      </c>
      <c r="P435" s="264">
        <f>IFERROR(INDEX('Both teabags AfterDry'!$D$2:$D$2000,MATCH(K435,'Both teabags AfterDry'!$A$2:$A$2000,0)),"")</f>
        <v>1.6859999999999999</v>
      </c>
      <c r="Q435" s="264">
        <f>IFERROR(IF(P435&gt;0,P435-(TBIcalc!$Q$9),""),"")</f>
        <v>1.5353999999999999</v>
      </c>
      <c r="R435" s="275">
        <f>IFERROR(INDEX('Ashed teabags dry'!$K$2:$K$2000,MATCH(K435,'Ashed teabags dry'!$A$2:$A$2000,0)),"")</f>
        <v>5.7692307692305311</v>
      </c>
      <c r="S435" s="275">
        <f t="shared" si="32"/>
        <v>1.4468192307692342</v>
      </c>
      <c r="T435" s="265">
        <f>IF('Dry_Litterbag Placem_Collection'!E216="","",'Dry_Litterbag Placem_Collection'!E216)</f>
        <v>42942</v>
      </c>
      <c r="U435" s="265">
        <f>IF('Dry_Litterbag Placem_Collection'!G216="","",'Dry_Litterbag Placem_Collection'!G216)</f>
        <v>43004</v>
      </c>
      <c r="V435" s="266">
        <f t="shared" si="30"/>
        <v>62</v>
      </c>
      <c r="W435" s="264">
        <f t="shared" si="33"/>
        <v>0.40080000000000005</v>
      </c>
      <c r="X435" s="264">
        <f t="shared" si="34"/>
        <v>0.44520317678409982</v>
      </c>
      <c r="Y435" s="268">
        <f>IFERROR(INDEX(Rainfall_Dry!$O$2:$O$217,MATCH(B435, Rainfall_Dry!$A$2:$A$217,0)),"")</f>
        <v>171.84818423999999</v>
      </c>
      <c r="Z435" s="257">
        <v>23.96</v>
      </c>
      <c r="AA435" s="257">
        <v>4.9199999999999982</v>
      </c>
      <c r="AB435" s="257">
        <v>71.12</v>
      </c>
      <c r="AC435" s="258" t="s">
        <v>2654</v>
      </c>
      <c r="AD435" s="257">
        <v>3.30913750616067</v>
      </c>
      <c r="AE435">
        <f>IF('WetLitterbags placem_collection'!AB216="","",'WetLitterbags placem_collection'!AB216)</f>
        <v>7.9</v>
      </c>
      <c r="AF435">
        <f>IF('WetLitterbags placem_collection'!Z216="","",'WetLitterbags placem_collection'!Z216)</f>
        <v>7.9</v>
      </c>
      <c r="AG435" s="243" t="str">
        <f>IF('WetLitterbags placem_collection'!AA216="","",'WetLitterbags placem_collection'!AA216)</f>
        <v>O</v>
      </c>
      <c r="AH435">
        <f>IF('WetLitterbags placem_collection'!AC216="","",'WetLitterbags placem_collection'!AC216)</f>
        <v>1</v>
      </c>
      <c r="AI435">
        <f>IFERROR(AVERAGE('Dry_Litterbag Placem_Collection'!O216,'Dry_Litterbag Placem_Collection'!R216),"")</f>
        <v>4.3499999999999996</v>
      </c>
      <c r="AJ435" s="268">
        <f>IFERROR(AVERAGE('Dry_Litterbag Placem_Collection'!N216,'Dry_Litterbag Placem_Collection'!Q216),"")</f>
        <v>29.1</v>
      </c>
      <c r="AK435">
        <v>-2.4396949910000001</v>
      </c>
      <c r="AL435">
        <v>34.838574029999997</v>
      </c>
      <c r="AM435" s="267" t="str">
        <f>IF(ISNUMBER(SEARCH("C", 'Dry_Litterbag Placem_Collection'!T216)),"YES","NO")</f>
        <v>NO</v>
      </c>
      <c r="AN435" s="267" t="str">
        <f>IF(ISNUMBER(SEARCH("H", 'Dry_Litterbag Placem_Collection'!T216)),"YES","NO")</f>
        <v>NO</v>
      </c>
      <c r="AO435" s="267" t="str">
        <f>IF(ISNUMBER(SEARCH("R", 'Dry_Litterbag Placem_Collection'!T216)),"YES","NO")</f>
        <v>YES</v>
      </c>
    </row>
    <row r="436" spans="1:41" ht="15" customHeight="1">
      <c r="A436" s="259" t="s">
        <v>2643</v>
      </c>
      <c r="B436" s="260">
        <f>'Dry_Litterbag Placem_Collection'!A217</f>
        <v>214</v>
      </c>
      <c r="C436" s="260" t="str">
        <f>'Dry_Litterbag Placem_Collection'!B217</f>
        <v>Handajega</v>
      </c>
      <c r="D436" s="260" t="s">
        <v>2454</v>
      </c>
      <c r="E436" s="260" t="s">
        <v>2512</v>
      </c>
      <c r="F436" s="260">
        <v>1</v>
      </c>
      <c r="G436" s="260" t="s">
        <v>3827</v>
      </c>
      <c r="H436" s="261" t="str">
        <f>'Dry_Litterbag Placem_Collection'!C217</f>
        <v>Wet_W2_CG3</v>
      </c>
      <c r="I436" s="262" t="s">
        <v>2525</v>
      </c>
      <c r="J436" s="269" t="s">
        <v>298</v>
      </c>
      <c r="K436" s="260" t="str">
        <f>IF(ISBLANK('Dry_Litterbag Placem_Collection'!K217),"","R"&amp;""&amp;'Dry_Litterbag Placem_Collection'!K217)</f>
        <v>R677</v>
      </c>
      <c r="L436" s="264">
        <f>IFERROR(INDEX('Green_rooibos initial weight'!$C$5:$C$2000,MATCH(K436, 'Green_rooibos initial weight'!$A$5:$A$2000,0)),"")</f>
        <v>2.1240000000000001</v>
      </c>
      <c r="M436" s="264">
        <f>IFERROR(L436-(TBIcalc!$Q$9+TBIcalc!$Q$10),"")</f>
        <v>1.8742000000000001</v>
      </c>
      <c r="N436" s="385">
        <f>AVERAGE(Ashed_controlls!$K$12:$K$14)</f>
        <v>2.2816647271287041</v>
      </c>
      <c r="O436" s="264">
        <f t="shared" si="31"/>
        <v>1.8314370396841539</v>
      </c>
      <c r="P436" s="264">
        <f>IFERROR(INDEX('Both teabags AfterDry'!$D$2:$D$2000,MATCH(K436,'Both teabags AfterDry'!$A$2:$A$2000,0)),"")</f>
        <v>1.7569999999999999</v>
      </c>
      <c r="Q436" s="264">
        <f>IFERROR(IF(P436&gt;0,P436-(TBIcalc!$Q$9),""),"")</f>
        <v>1.6063999999999998</v>
      </c>
      <c r="R436" s="275">
        <f>IFERROR(INDEX('Ashed teabags dry'!$K$2:$K$2000,MATCH(K436,'Ashed teabags dry'!$A$2:$A$2000,0)),"")</f>
        <v>10.652591170825588</v>
      </c>
      <c r="S436" s="275">
        <f t="shared" si="32"/>
        <v>1.4352767754318576</v>
      </c>
      <c r="T436" s="265">
        <f>IF('Dry_Litterbag Placem_Collection'!E217="","",'Dry_Litterbag Placem_Collection'!E217)</f>
        <v>42942</v>
      </c>
      <c r="U436" s="265">
        <f>IF('Dry_Litterbag Placem_Collection'!G217="","",'Dry_Litterbag Placem_Collection'!G217)</f>
        <v>43004</v>
      </c>
      <c r="V436" s="266">
        <f t="shared" si="30"/>
        <v>62</v>
      </c>
      <c r="W436" s="264">
        <f t="shared" si="33"/>
        <v>0.26780000000000026</v>
      </c>
      <c r="X436" s="264">
        <f t="shared" si="34"/>
        <v>0.39616026425229633</v>
      </c>
      <c r="Y436" s="268">
        <f>IFERROR(INDEX(Rainfall_Dry!$O$2:$O$217,MATCH(B436, Rainfall_Dry!$A$2:$A$217,0)),"")</f>
        <v>171.84818423999999</v>
      </c>
      <c r="Z436" s="257">
        <v>25.96</v>
      </c>
      <c r="AA436" s="257">
        <v>8.9200000000000017</v>
      </c>
      <c r="AB436" s="257">
        <v>65.12</v>
      </c>
      <c r="AC436" s="258" t="s">
        <v>2654</v>
      </c>
      <c r="AD436" s="257">
        <v>1.614588467225234</v>
      </c>
      <c r="AE436">
        <f>IF('WetLitterbags placem_collection'!AB217="","",'WetLitterbags placem_collection'!AB217)</f>
        <v>13.8</v>
      </c>
      <c r="AF436">
        <f>IF('WetLitterbags placem_collection'!Z217="","",'WetLitterbags placem_collection'!Z217)</f>
        <v>17.399999999999999</v>
      </c>
      <c r="AG436" s="243" t="str">
        <f>IF('WetLitterbags placem_collection'!AA217="","",'WetLitterbags placem_collection'!AA217)</f>
        <v>O</v>
      </c>
      <c r="AH436">
        <f>IF('WetLitterbags placem_collection'!AC217="","",'WetLitterbags placem_collection'!AC217)</f>
        <v>1</v>
      </c>
      <c r="AI436">
        <f>IFERROR(AVERAGE('Dry_Litterbag Placem_Collection'!O217,'Dry_Litterbag Placem_Collection'!R217),"")</f>
        <v>6.3</v>
      </c>
      <c r="AJ436" s="268">
        <f>IFERROR(AVERAGE('Dry_Litterbag Placem_Collection'!N217,'Dry_Litterbag Placem_Collection'!Q217),"")</f>
        <v>29.8</v>
      </c>
      <c r="AK436">
        <v>-2.439403972</v>
      </c>
      <c r="AL436">
        <v>34.838404959999998</v>
      </c>
      <c r="AM436" s="267" t="str">
        <f>IF(ISNUMBER(SEARCH("C", 'Dry_Litterbag Placem_Collection'!T217)),"YES","NO")</f>
        <v>NO</v>
      </c>
      <c r="AN436" s="267" t="str">
        <f>IF(ISNUMBER(SEARCH("H", 'Dry_Litterbag Placem_Collection'!T217)),"YES","NO")</f>
        <v>YES</v>
      </c>
      <c r="AO436" s="267" t="str">
        <f>IF(ISNUMBER(SEARCH("R", 'Dry_Litterbag Placem_Collection'!T217)),"YES","NO")</f>
        <v>YES</v>
      </c>
    </row>
    <row r="437" spans="1:41" ht="15" customHeight="1">
      <c r="A437" s="259" t="s">
        <v>2643</v>
      </c>
      <c r="B437" s="260">
        <f>'Dry_Litterbag Placem_Collection'!A218</f>
        <v>216</v>
      </c>
      <c r="C437" s="260" t="str">
        <f>'Dry_Litterbag Placem_Collection'!B218</f>
        <v>Handajega</v>
      </c>
      <c r="D437" s="260" t="s">
        <v>2454</v>
      </c>
      <c r="E437" s="260" t="s">
        <v>2512</v>
      </c>
      <c r="F437" s="260">
        <v>2</v>
      </c>
      <c r="G437" s="260" t="s">
        <v>3829</v>
      </c>
      <c r="H437" s="261" t="str">
        <f>'Dry_Litterbag Placem_Collection'!C218</f>
        <v>Wet_W4_CG2</v>
      </c>
      <c r="I437" s="262" t="s">
        <v>2525</v>
      </c>
      <c r="J437" s="269" t="s">
        <v>298</v>
      </c>
      <c r="K437" s="260" t="str">
        <f>IF(ISBLANK('Dry_Litterbag Placem_Collection'!K218),"","R"&amp;""&amp;'Dry_Litterbag Placem_Collection'!K218)</f>
        <v>R379</v>
      </c>
      <c r="L437" s="264">
        <f>IFERROR(INDEX('Green_rooibos initial weight'!$C$5:$C$2000,MATCH(K437, 'Green_rooibos initial weight'!$A$5:$A$2000,0)),"")</f>
        <v>2.246</v>
      </c>
      <c r="M437" s="264">
        <f>IFERROR(L437-(TBIcalc!$Q$9+TBIcalc!$Q$10),"")</f>
        <v>1.9962</v>
      </c>
      <c r="N437" s="385">
        <f>AVERAGE(Ashed_controlls!$K$12:$K$14)</f>
        <v>2.2816647271287041</v>
      </c>
      <c r="O437" s="264">
        <f t="shared" si="31"/>
        <v>1.9506534087170568</v>
      </c>
      <c r="P437" s="264">
        <f>IFERROR(INDEX('Both teabags AfterDry'!$D$2:$D$2000,MATCH(K437,'Both teabags AfterDry'!$A$2:$A$2000,0)),"")</f>
        <v>1.736</v>
      </c>
      <c r="Q437" s="264">
        <f>IFERROR(IF(P437&gt;0,P437-(TBIcalc!$Q$9),""),"")</f>
        <v>1.5853999999999999</v>
      </c>
      <c r="R437" s="275">
        <f>IFERROR(INDEX('Ashed teabags dry'!$K$2:$K$2000,MATCH(K437,'Ashed teabags dry'!$A$2:$A$2000,0)),"")</f>
        <v>4.8247610377782575</v>
      </c>
      <c r="S437" s="275">
        <f t="shared" si="32"/>
        <v>1.5089082385070633</v>
      </c>
      <c r="T437" s="265">
        <f>IF('Dry_Litterbag Placem_Collection'!E218="","",'Dry_Litterbag Placem_Collection'!E218)</f>
        <v>42942</v>
      </c>
      <c r="U437" s="265">
        <f>IF('Dry_Litterbag Placem_Collection'!G218="","",'Dry_Litterbag Placem_Collection'!G218)</f>
        <v>43004</v>
      </c>
      <c r="V437" s="266">
        <f t="shared" si="30"/>
        <v>62</v>
      </c>
      <c r="W437" s="264">
        <f t="shared" si="33"/>
        <v>0.41080000000000005</v>
      </c>
      <c r="X437" s="264">
        <f t="shared" si="34"/>
        <v>0.44174517020999349</v>
      </c>
      <c r="Y437" s="268">
        <f>IFERROR(INDEX(Rainfall_Dry!$O$2:$O$217,MATCH(B437, Rainfall_Dry!$A$2:$A$217,0)),"")</f>
        <v>171.84818423999999</v>
      </c>
      <c r="Z437" s="257">
        <v>25.96</v>
      </c>
      <c r="AA437" s="257">
        <v>8.9200000000000017</v>
      </c>
      <c r="AB437" s="257">
        <v>65.12</v>
      </c>
      <c r="AC437" s="258" t="s">
        <v>2654</v>
      </c>
      <c r="AD437" s="257">
        <v>1.6991621488417901</v>
      </c>
      <c r="AE437">
        <f>IF('WetLitterbags placem_collection'!AB218="","",'WetLitterbags placem_collection'!AB218)</f>
        <v>5.13</v>
      </c>
      <c r="AF437">
        <f>IF('WetLitterbags placem_collection'!Z218="","",'WetLitterbags placem_collection'!Z218)</f>
        <v>5.13</v>
      </c>
      <c r="AG437" s="243" t="str">
        <f>IF('WetLitterbags placem_collection'!AA218="","",'WetLitterbags placem_collection'!AA218)</f>
        <v>O</v>
      </c>
      <c r="AH437">
        <f>IF('WetLitterbags placem_collection'!AC218="","",'WetLitterbags placem_collection'!AC218)</f>
        <v>1</v>
      </c>
      <c r="AI437">
        <f>IFERROR(AVERAGE('Dry_Litterbag Placem_Collection'!O218,'Dry_Litterbag Placem_Collection'!R218),"")</f>
        <v>7.0500000000000007</v>
      </c>
      <c r="AJ437" s="268">
        <f>IFERROR(AVERAGE('Dry_Litterbag Placem_Collection'!N218,'Dry_Litterbag Placem_Collection'!Q218),"")</f>
        <v>29.85</v>
      </c>
      <c r="AK437">
        <v>-2.4396450349999999</v>
      </c>
      <c r="AL437">
        <v>34.83836599</v>
      </c>
      <c r="AM437" s="267" t="str">
        <f>IF(ISNUMBER(SEARCH("C", 'Dry_Litterbag Placem_Collection'!T218)),"YES","NO")</f>
        <v>NO</v>
      </c>
      <c r="AN437" s="267" t="str">
        <f>IF(ISNUMBER(SEARCH("H", 'Dry_Litterbag Placem_Collection'!T218)),"YES","NO")</f>
        <v>NO</v>
      </c>
      <c r="AO437" s="267" t="str">
        <f>IF(ISNUMBER(SEARCH("R", 'Dry_Litterbag Placem_Collection'!T218)),"YES","NO")</f>
        <v>NO</v>
      </c>
    </row>
    <row r="438" spans="1:41" ht="15" customHeight="1">
      <c r="A438" s="259" t="s">
        <v>2643</v>
      </c>
      <c r="B438" s="260">
        <f>'Dry_Litterbag Placem_Collection'!A219</f>
        <v>217</v>
      </c>
      <c r="C438" s="260" t="str">
        <f>'Dry_Litterbag Placem_Collection'!B219</f>
        <v>Seronera</v>
      </c>
      <c r="D438" s="260" t="s">
        <v>2646</v>
      </c>
      <c r="E438" s="260" t="s">
        <v>2512</v>
      </c>
      <c r="F438" s="260">
        <v>1</v>
      </c>
      <c r="G438" s="260" t="s">
        <v>3885</v>
      </c>
      <c r="H438" s="261" t="str">
        <f>'Dry_Litterbag Placem_Collection'!C219</f>
        <v>Local1_CG1</v>
      </c>
      <c r="I438" s="262" t="s">
        <v>2525</v>
      </c>
      <c r="J438" s="269" t="s">
        <v>298</v>
      </c>
      <c r="K438" s="260" t="str">
        <f>IF(ISBLANK('Dry_Litterbag Placem_Collection'!K219),"","R"&amp;""&amp;'Dry_Litterbag Placem_Collection'!K219)</f>
        <v>R771</v>
      </c>
      <c r="L438" s="264">
        <f>IFERROR(INDEX('Green_rooibos initial weight'!$C$5:$C$2000,MATCH(K438, 'Green_rooibos initial weight'!$A$5:$A$2000,0)),"")</f>
        <v>2.2309999999999999</v>
      </c>
      <c r="M438" s="264">
        <f>IFERROR(L438-(TBIcalc!$Q$9+TBIcalc!$Q$10),"")</f>
        <v>1.9811999999999999</v>
      </c>
      <c r="N438" s="385">
        <f>AVERAGE(Ashed_controlls!$K$12:$K$14)</f>
        <v>2.2816647271287041</v>
      </c>
      <c r="O438" s="264">
        <f t="shared" si="31"/>
        <v>1.935995658426126</v>
      </c>
      <c r="P438" s="264">
        <f>IFERROR(INDEX('Both teabags AfterDry'!$D$2:$D$2000,MATCH(K438,'Both teabags AfterDry'!$A$2:$A$2000,0)),"")</f>
        <v>1.0895999999999999</v>
      </c>
      <c r="Q438" s="264">
        <f>IFERROR(IF(P438&gt;0,P438-(TBIcalc!$Q$9),""),"")</f>
        <v>0.93899999999999983</v>
      </c>
      <c r="R438" s="275">
        <f>IFERROR(INDEX('Ashed teabags dry'!$K$2:$K$2000,MATCH(K438,'Ashed teabags dry'!$A$2:$A$2000,0)),"")</f>
        <v>85.664182376150734</v>
      </c>
      <c r="S438" s="275">
        <f t="shared" si="32"/>
        <v>0.13461332748794463</v>
      </c>
      <c r="T438" s="265">
        <f>IF('Dry_Litterbag Placem_Collection'!E219="","",'Dry_Litterbag Placem_Collection'!E219)</f>
        <v>42942</v>
      </c>
      <c r="U438" s="265">
        <f>IF('Dry_Litterbag Placem_Collection'!G219="","",'Dry_Litterbag Placem_Collection'!G219)</f>
        <v>43004</v>
      </c>
      <c r="V438" s="266">
        <f t="shared" si="30"/>
        <v>62</v>
      </c>
      <c r="W438" s="264">
        <f t="shared" si="33"/>
        <v>1.0422</v>
      </c>
      <c r="X438" s="264">
        <f t="shared" si="34"/>
        <v>1.8013823309381813</v>
      </c>
      <c r="Y438" s="268">
        <f>IFERROR(INDEX(Rainfall_Dry!$O$2:$O$217,MATCH(B438, Rainfall_Dry!$A$2:$A$217,0)),"")</f>
        <v>171.84818423999999</v>
      </c>
      <c r="Z438" s="257">
        <v>29.076539101497506</v>
      </c>
      <c r="AA438" s="257">
        <v>7.1963394342762079</v>
      </c>
      <c r="AB438" s="257">
        <v>63.727121464226286</v>
      </c>
      <c r="AC438" s="257" t="s">
        <v>2654</v>
      </c>
      <c r="AD438" s="257">
        <v>1.0994578610152781</v>
      </c>
      <c r="AE438">
        <f>IF('WetLitterbags placem_collection'!AB219="","",'WetLitterbags placem_collection'!AB219)</f>
        <v>13.8</v>
      </c>
      <c r="AF438">
        <f>IF('WetLitterbags placem_collection'!Z219="","",'WetLitterbags placem_collection'!Z219)</f>
        <v>17.399999999999999</v>
      </c>
      <c r="AG438" s="243" t="str">
        <f>IF('WetLitterbags placem_collection'!AA219="","",'WetLitterbags placem_collection'!AA219)</f>
        <v>O</v>
      </c>
      <c r="AH438">
        <f>IF('WetLitterbags placem_collection'!AC219="","",'WetLitterbags placem_collection'!AC219)</f>
        <v>1</v>
      </c>
      <c r="AI438">
        <f>IFERROR(AVERAGE('Dry_Litterbag Placem_Collection'!O219,'Dry_Litterbag Placem_Collection'!R219),"")</f>
        <v>7.1999999999999993</v>
      </c>
      <c r="AJ438" s="268">
        <f>IFERROR(AVERAGE('Dry_Litterbag Placem_Collection'!N219,'Dry_Litterbag Placem_Collection'!Q219),"")</f>
        <v>31.25</v>
      </c>
      <c r="AK438">
        <v>-2.439403972</v>
      </c>
      <c r="AL438">
        <v>34.838404959999998</v>
      </c>
      <c r="AM438" s="267" t="str">
        <f>IF(ISNUMBER(SEARCH("C", 'Dry_Litterbag Placem_Collection'!T219)),"YES","NO")</f>
        <v>NO</v>
      </c>
      <c r="AN438" s="267" t="str">
        <f>IF(ISNUMBER(SEARCH("H", 'Dry_Litterbag Placem_Collection'!T219)),"YES","NO")</f>
        <v>YES</v>
      </c>
      <c r="AO438" s="267" t="str">
        <f>IF(ISNUMBER(SEARCH("R", 'Dry_Litterbag Placem_Collection'!T219)),"YES","NO")</f>
        <v>YES</v>
      </c>
    </row>
    <row r="439" spans="1:41" ht="15" customHeight="1">
      <c r="A439" s="259" t="s">
        <v>2643</v>
      </c>
      <c r="B439" s="260">
        <f>'Dry_Litterbag Placem_Collection'!A220</f>
        <v>218</v>
      </c>
      <c r="C439" s="260" t="str">
        <f>'Dry_Litterbag Placem_Collection'!B220</f>
        <v>Seronera</v>
      </c>
      <c r="D439" s="260" t="s">
        <v>2646</v>
      </c>
      <c r="E439" s="260" t="s">
        <v>2512</v>
      </c>
      <c r="F439" s="260">
        <v>2</v>
      </c>
      <c r="G439" s="260" t="s">
        <v>3886</v>
      </c>
      <c r="H439" s="261" t="str">
        <f>'Dry_Litterbag Placem_Collection'!C220</f>
        <v>Local2_CG2</v>
      </c>
      <c r="I439" s="262" t="s">
        <v>2525</v>
      </c>
      <c r="J439" s="269" t="s">
        <v>298</v>
      </c>
      <c r="K439" s="260" t="str">
        <f>IF(ISBLANK('Dry_Litterbag Placem_Collection'!K220),"","R"&amp;""&amp;'Dry_Litterbag Placem_Collection'!K220)</f>
        <v>R680</v>
      </c>
      <c r="L439" s="264">
        <f>IFERROR(INDEX('Green_rooibos initial weight'!$C$5:$C$2000,MATCH(K439, 'Green_rooibos initial weight'!$A$5:$A$2000,0)),"")</f>
        <v>2.1080000000000001</v>
      </c>
      <c r="M439" s="264">
        <f>IFERROR(L439-(TBIcalc!$Q$9+TBIcalc!$Q$10),"")</f>
        <v>1.8582000000000001</v>
      </c>
      <c r="N439" s="385">
        <f>AVERAGE(Ashed_controlls!$K$12:$K$14)</f>
        <v>2.2816647271287041</v>
      </c>
      <c r="O439" s="264">
        <f t="shared" si="31"/>
        <v>1.8158021060404945</v>
      </c>
      <c r="P439" s="264">
        <f>IFERROR(INDEX('Both teabags AfterDry'!$D$2:$D$2000,MATCH(K439,'Both teabags AfterDry'!$A$2:$A$2000,0)),"")</f>
        <v>0.17100000000000001</v>
      </c>
      <c r="Q439" s="264">
        <f>IFERROR(IF(P439&gt;0,P439-(TBIcalc!$Q$9),""),"")</f>
        <v>2.0400000000000001E-2</v>
      </c>
      <c r="R439" s="275">
        <f>IFERROR(INDEX('Ashed teabags dry'!$K$2:$K$2000,MATCH(K439,'Ashed teabags dry'!$A$2:$A$2000,0)),"")</f>
        <v>0</v>
      </c>
      <c r="S439" s="275">
        <f t="shared" si="32"/>
        <v>2.0400000000000001E-2</v>
      </c>
      <c r="T439" s="265">
        <f>IF('Dry_Litterbag Placem_Collection'!E220="","",'Dry_Litterbag Placem_Collection'!E220)</f>
        <v>42942</v>
      </c>
      <c r="U439" s="265">
        <f>IF('Dry_Litterbag Placem_Collection'!G220="","",'Dry_Litterbag Placem_Collection'!G220)</f>
        <v>43004</v>
      </c>
      <c r="V439" s="266">
        <f t="shared" si="30"/>
        <v>62</v>
      </c>
      <c r="W439" s="264">
        <f t="shared" si="33"/>
        <v>1.8378000000000001</v>
      </c>
      <c r="X439" s="264">
        <f t="shared" si="34"/>
        <v>1.7954021060404945</v>
      </c>
      <c r="Y439" s="268">
        <f>IFERROR(INDEX(Rainfall_Dry!$O$2:$O$217,MATCH(B439, Rainfall_Dry!$A$2:$A$217,0)),"")</f>
        <v>171.84818423999999</v>
      </c>
      <c r="Z439" s="257">
        <v>21.072635135135137</v>
      </c>
      <c r="AA439" s="257">
        <v>7.3057432432432412</v>
      </c>
      <c r="AB439" s="257">
        <v>71.621621621621614</v>
      </c>
      <c r="AC439" s="257" t="s">
        <v>2654</v>
      </c>
      <c r="AD439" s="257">
        <v>1.4512074913750617</v>
      </c>
      <c r="AE439">
        <f>IF('WetLitterbags placem_collection'!AB220="","",'WetLitterbags placem_collection'!AB220)</f>
        <v>5.13</v>
      </c>
      <c r="AF439">
        <f>IF('WetLitterbags placem_collection'!Z220="","",'WetLitterbags placem_collection'!Z220)</f>
        <v>5.13</v>
      </c>
      <c r="AG439" s="243" t="str">
        <f>IF('WetLitterbags placem_collection'!AA220="","",'WetLitterbags placem_collection'!AA220)</f>
        <v>O</v>
      </c>
      <c r="AH439">
        <f>IF('WetLitterbags placem_collection'!AC220="","",'WetLitterbags placem_collection'!AC220)</f>
        <v>1</v>
      </c>
      <c r="AI439">
        <f>IFERROR(AVERAGE('Dry_Litterbag Placem_Collection'!O220,'Dry_Litterbag Placem_Collection'!R220),"")</f>
        <v>6.45</v>
      </c>
      <c r="AJ439" s="268">
        <f>IFERROR(AVERAGE('Dry_Litterbag Placem_Collection'!N220,'Dry_Litterbag Placem_Collection'!Q220),"")</f>
        <v>29.15</v>
      </c>
      <c r="AK439">
        <v>-2.4396450349999999</v>
      </c>
      <c r="AL439">
        <v>34.83836599</v>
      </c>
      <c r="AM439" s="267" t="str">
        <f>IF(ISNUMBER(SEARCH("C", 'Dry_Litterbag Placem_Collection'!T220)),"YES","NO")</f>
        <v>NO</v>
      </c>
      <c r="AN439" s="267" t="str">
        <f>IF(ISNUMBER(SEARCH("H", 'Dry_Litterbag Placem_Collection'!T220)),"YES","NO")</f>
        <v>YES</v>
      </c>
      <c r="AO439" s="267" t="str">
        <f>IF(ISNUMBER(SEARCH("R", 'Dry_Litterbag Placem_Collection'!T220)),"YES","NO")</f>
        <v>YES</v>
      </c>
    </row>
    <row r="440" spans="1:41" ht="15" customHeight="1">
      <c r="A440" s="259" t="s">
        <v>2643</v>
      </c>
      <c r="B440" s="260">
        <f>'Dry_Litterbag Placem_Collection'!A221</f>
        <v>219</v>
      </c>
      <c r="C440" s="260" t="str">
        <f>'Dry_Litterbag Placem_Collection'!B221</f>
        <v>Seronera</v>
      </c>
      <c r="D440" s="260" t="s">
        <v>2646</v>
      </c>
      <c r="E440" s="260" t="s">
        <v>2512</v>
      </c>
      <c r="F440" s="260">
        <v>3</v>
      </c>
      <c r="G440" s="260" t="s">
        <v>3887</v>
      </c>
      <c r="H440" s="261" t="str">
        <f>'Dry_Litterbag Placem_Collection'!C221</f>
        <v>Local3_CG3</v>
      </c>
      <c r="I440" s="262" t="s">
        <v>2525</v>
      </c>
      <c r="J440" s="269" t="s">
        <v>298</v>
      </c>
      <c r="K440" s="260" t="str">
        <f>IF(ISBLANK('Dry_Litterbag Placem_Collection'!K221),"","R"&amp;""&amp;'Dry_Litterbag Placem_Collection'!K221)</f>
        <v>R178</v>
      </c>
      <c r="L440" s="264">
        <f>IFERROR(INDEX('Green_rooibos initial weight'!$C$5:$C$2000,MATCH(K440, 'Green_rooibos initial weight'!$A$5:$A$2000,0)),"")</f>
        <v>2.222</v>
      </c>
      <c r="M440" s="264">
        <f>IFERROR(L440-(TBIcalc!$Q$9+TBIcalc!$Q$10),"")</f>
        <v>1.9722</v>
      </c>
      <c r="N440" s="385">
        <f>AVERAGE(Ashed_controlls!$K$12:$K$14)</f>
        <v>2.2816647271287041</v>
      </c>
      <c r="O440" s="264">
        <f t="shared" si="31"/>
        <v>1.9272010082515676</v>
      </c>
      <c r="P440" s="264">
        <f>IFERROR(INDEX('Both teabags AfterDry'!$D$2:$D$2000,MATCH(K440,'Both teabags AfterDry'!$A$2:$A$2000,0)),"")</f>
        <v>1.8229</v>
      </c>
      <c r="Q440" s="264">
        <f>IFERROR(IF(P440&gt;0,P440-(TBIcalc!$Q$9),""),"")</f>
        <v>1.6722999999999999</v>
      </c>
      <c r="R440" s="275">
        <f>IFERROR(INDEX('Ashed teabags dry'!$K$2:$K$2000,MATCH(K440,'Ashed teabags dry'!$A$2:$A$2000,0)),"")</f>
        <v>19.137332672284675</v>
      </c>
      <c r="S440" s="275">
        <f t="shared" si="32"/>
        <v>1.3522663857213832</v>
      </c>
      <c r="T440" s="265">
        <f>IF('Dry_Litterbag Placem_Collection'!E221="","",'Dry_Litterbag Placem_Collection'!E221)</f>
        <v>42942</v>
      </c>
      <c r="U440" s="265">
        <f>IF('Dry_Litterbag Placem_Collection'!G221="","",'Dry_Litterbag Placem_Collection'!G221)</f>
        <v>43004</v>
      </c>
      <c r="V440" s="266">
        <f t="shared" si="30"/>
        <v>62</v>
      </c>
      <c r="W440" s="264">
        <f t="shared" si="33"/>
        <v>0.29990000000000006</v>
      </c>
      <c r="X440" s="264">
        <f t="shared" si="34"/>
        <v>0.57493462253018435</v>
      </c>
      <c r="Y440" s="268">
        <f>IFERROR(INDEX(Rainfall_Dry!$O$2:$O$217,MATCH(B440, Rainfall_Dry!$A$2:$A$217,0)),"")</f>
        <v>171.84818423999999</v>
      </c>
      <c r="Z440" s="257">
        <v>21.96</v>
      </c>
      <c r="AA440" s="257">
        <v>4.9199999999999982</v>
      </c>
      <c r="AB440" s="257">
        <v>73.12</v>
      </c>
      <c r="AC440" s="257" t="s">
        <v>2654</v>
      </c>
      <c r="AD440" s="257">
        <v>1.4012321340561851</v>
      </c>
      <c r="AE440">
        <f>IF('WetLitterbags placem_collection'!AB221="","",'WetLitterbags placem_collection'!AB221)</f>
        <v>7.9</v>
      </c>
      <c r="AF440">
        <f>IF('WetLitterbags placem_collection'!Z221="","",'WetLitterbags placem_collection'!Z221)</f>
        <v>7.9</v>
      </c>
      <c r="AG440" s="243" t="str">
        <f>IF('WetLitterbags placem_collection'!AA221="","",'WetLitterbags placem_collection'!AA221)</f>
        <v>O</v>
      </c>
      <c r="AH440">
        <f>IF('WetLitterbags placem_collection'!AC221="","",'WetLitterbags placem_collection'!AC221)</f>
        <v>1</v>
      </c>
      <c r="AI440">
        <f>IFERROR(AVERAGE('Dry_Litterbag Placem_Collection'!O221,'Dry_Litterbag Placem_Collection'!R221),"")</f>
        <v>5.75</v>
      </c>
      <c r="AJ440" s="268">
        <f>IFERROR(AVERAGE('Dry_Litterbag Placem_Collection'!N221,'Dry_Litterbag Placem_Collection'!Q221),"")</f>
        <v>32.75</v>
      </c>
      <c r="AK440">
        <v>-2.4395990190000001</v>
      </c>
      <c r="AL440">
        <v>34.838418959999998</v>
      </c>
      <c r="AM440" s="267" t="str">
        <f>IF(ISNUMBER(SEARCH("C", 'Dry_Litterbag Placem_Collection'!T221)),"YES","NO")</f>
        <v>NO</v>
      </c>
      <c r="AN440" s="267" t="str">
        <f>IF(ISNUMBER(SEARCH("H", 'Dry_Litterbag Placem_Collection'!T221)),"YES","NO")</f>
        <v>NO</v>
      </c>
      <c r="AO440" s="267" t="str">
        <f>IF(ISNUMBER(SEARCH("R", 'Dry_Litterbag Placem_Collection'!T221)),"YES","NO")</f>
        <v>YES</v>
      </c>
    </row>
    <row r="441" spans="1:41" ht="15" customHeight="1">
      <c r="A441" s="259" t="s">
        <v>2643</v>
      </c>
      <c r="B441" s="260">
        <f>'Dry_Litterbag Placem_Collection'!A222</f>
        <v>220</v>
      </c>
      <c r="C441" s="260" t="str">
        <f>'Dry_Litterbag Placem_Collection'!B222</f>
        <v>Seronera</v>
      </c>
      <c r="D441" s="260" t="s">
        <v>2646</v>
      </c>
      <c r="E441" s="260" t="s">
        <v>2512</v>
      </c>
      <c r="F441" s="260">
        <v>4</v>
      </c>
      <c r="G441" s="260" t="s">
        <v>3888</v>
      </c>
      <c r="H441" s="261" t="str">
        <f>'Dry_Litterbag Placem_Collection'!C222</f>
        <v>Local4_CG4</v>
      </c>
      <c r="I441" s="262" t="s">
        <v>2525</v>
      </c>
      <c r="J441" s="269" t="s">
        <v>298</v>
      </c>
      <c r="K441" s="260" t="str">
        <f>IF(ISBLANK('Dry_Litterbag Placem_Collection'!K222),"","R"&amp;""&amp;'Dry_Litterbag Placem_Collection'!K222)</f>
        <v>R194</v>
      </c>
      <c r="L441" s="264">
        <f>IFERROR(INDEX('Green_rooibos initial weight'!$C$5:$C$2000,MATCH(K441, 'Green_rooibos initial weight'!$A$5:$A$2000,0)),"")</f>
        <v>2.149</v>
      </c>
      <c r="M441" s="264">
        <f>IFERROR(L441-(TBIcalc!$Q$9+TBIcalc!$Q$10),"")</f>
        <v>1.8992</v>
      </c>
      <c r="N441" s="385">
        <f>AVERAGE(Ashed_controlls!$K$12:$K$14)</f>
        <v>2.2816647271287041</v>
      </c>
      <c r="O441" s="264">
        <f t="shared" si="31"/>
        <v>1.8558666235023717</v>
      </c>
      <c r="P441" s="264" t="str">
        <f>IFERROR(INDEX('Both teabags AfterDry'!$D$2:$D$2000,MATCH(K441,'Both teabags AfterDry'!$A$2:$A$2000,0)),"")</f>
        <v/>
      </c>
      <c r="Q441" s="264" t="str">
        <f>IFERROR(IF(P441&gt;0,P441-(TBIcalc!$Q$9),""),"")</f>
        <v/>
      </c>
      <c r="R441" s="275" t="str">
        <f>IFERROR(INDEX('Ashed teabags dry'!$K$2:$K$2000,MATCH(K441,'Ashed teabags dry'!$A$2:$A$2000,0)),"")</f>
        <v/>
      </c>
      <c r="S441" s="275" t="str">
        <f t="shared" si="32"/>
        <v/>
      </c>
      <c r="T441" s="265">
        <f>IF('Dry_Litterbag Placem_Collection'!E222="","",'Dry_Litterbag Placem_Collection'!E222)</f>
        <v>42942</v>
      </c>
      <c r="U441" s="265">
        <f>IF('Dry_Litterbag Placem_Collection'!G222="","",'Dry_Litterbag Placem_Collection'!G222)</f>
        <v>43004</v>
      </c>
      <c r="V441" s="266">
        <f t="shared" si="30"/>
        <v>62</v>
      </c>
      <c r="W441" s="264" t="str">
        <f t="shared" si="33"/>
        <v/>
      </c>
      <c r="X441" s="264" t="str">
        <f t="shared" si="34"/>
        <v/>
      </c>
      <c r="Y441" s="268">
        <f>IFERROR(INDEX(Rainfall_Dry!$O$2:$O$217,MATCH(B441, Rainfall_Dry!$A$2:$A$217,0)),"")</f>
        <v>171.84818423999999</v>
      </c>
      <c r="Z441" s="257">
        <v>15.960000000000003</v>
      </c>
      <c r="AA441" s="257">
        <v>6.9199999999999982</v>
      </c>
      <c r="AB441" s="257">
        <v>77.11999999999999</v>
      </c>
      <c r="AC441" s="257" t="s">
        <v>2655</v>
      </c>
      <c r="AD441" s="257">
        <v>0.60547067520946207</v>
      </c>
      <c r="AE441">
        <f>IF('WetLitterbags placem_collection'!AB222="","",'WetLitterbags placem_collection'!AB222)</f>
        <v>15.2</v>
      </c>
      <c r="AF441">
        <f>IF('WetLitterbags placem_collection'!Z222="","",'WetLitterbags placem_collection'!Z222)</f>
        <v>12.2</v>
      </c>
      <c r="AG441" s="243" t="str">
        <f>IF('WetLitterbags placem_collection'!AA222="","",'WetLitterbags placem_collection'!AA222)</f>
        <v>O</v>
      </c>
      <c r="AH441">
        <f>IF('WetLitterbags placem_collection'!AC222="","",'WetLitterbags placem_collection'!AC222)</f>
        <v>1</v>
      </c>
      <c r="AI441">
        <f>IFERROR(AVERAGE('Dry_Litterbag Placem_Collection'!O222,'Dry_Litterbag Placem_Collection'!R222),"")</f>
        <v>5.3</v>
      </c>
      <c r="AJ441" s="268">
        <f>IFERROR(AVERAGE('Dry_Litterbag Placem_Collection'!N222,'Dry_Litterbag Placem_Collection'!Q222),"")</f>
        <v>33.65</v>
      </c>
      <c r="AK441">
        <v>-2.4396949910000001</v>
      </c>
      <c r="AL441">
        <v>34.838574029999997</v>
      </c>
      <c r="AM441" s="267" t="str">
        <f>IF(ISNUMBER(SEARCH("C", 'Dry_Litterbag Placem_Collection'!T222)),"YES","NO")</f>
        <v>YES</v>
      </c>
      <c r="AN441" s="267" t="str">
        <f>IF(ISNUMBER(SEARCH("H", 'Dry_Litterbag Placem_Collection'!T222)),"YES","NO")</f>
        <v>YES</v>
      </c>
      <c r="AO441" s="267" t="str">
        <f>IF(ISNUMBER(SEARCH("R", 'Dry_Litterbag Placem_Collection'!T222)),"YES","NO")</f>
        <v>YES</v>
      </c>
    </row>
    <row r="442" spans="1:41" ht="15" customHeight="1">
      <c r="A442" s="259" t="s">
        <v>2643</v>
      </c>
      <c r="B442" s="260">
        <f>'Dry_Litterbag Placem_Collection'!A3</f>
        <v>1</v>
      </c>
      <c r="C442" s="260" t="str">
        <f>'Dry_Litterbag Placem_Collection'!B3</f>
        <v>Makao</v>
      </c>
      <c r="D442" s="260" t="s">
        <v>2643</v>
      </c>
      <c r="E442" s="260" t="s">
        <v>2644</v>
      </c>
      <c r="F442" s="260">
        <v>1</v>
      </c>
      <c r="G442" s="260" t="s">
        <v>3798</v>
      </c>
      <c r="H442" s="261" t="str">
        <f>'Dry_Litterbag Placem_Collection'!C3</f>
        <v>Dry_Ag1_T1</v>
      </c>
      <c r="I442" s="270" t="s">
        <v>3630</v>
      </c>
      <c r="J442" s="263" t="s">
        <v>1147</v>
      </c>
      <c r="K442" s="260" t="str">
        <f>IF(ISBLANK('Dry_Litterbag Placem_Collection'!L3),"","G"&amp;""&amp;'Dry_Litterbag Placem_Collection'!L3)</f>
        <v>G377</v>
      </c>
      <c r="L442" s="264">
        <f>IFERROR(INDEX('Green_rooibos initial weight'!$C$5:$C$2000,MATCH(K442, 'Green_rooibos initial weight'!$A$5:$A$2000,0)),"")</f>
        <v>2.1030000000000002</v>
      </c>
      <c r="M442" s="264">
        <f>IFERROR(L442-(TBIcalc!$Q$9+TBIcalc!$Q$10),"")</f>
        <v>1.8532000000000002</v>
      </c>
      <c r="N442" s="385">
        <f>AVERAGE(Ashed_controlls!$K$2:$K$11)</f>
        <v>5.5147656768714146</v>
      </c>
      <c r="O442" s="264">
        <f t="shared" si="31"/>
        <v>1.7510003624762192</v>
      </c>
      <c r="P442" s="264">
        <f>IFERROR(INDEX('Both teabags AfterDry'!$D$2:$D$2000,MATCH(K442,'Both teabags AfterDry'!$A$2:$A$2000,0)),"")</f>
        <v>1.3894</v>
      </c>
      <c r="Q442" s="264">
        <f>IFERROR(IF(P442&gt;0,P442-(TBIcalc!$Q$9),""),"")</f>
        <v>1.2387999999999999</v>
      </c>
      <c r="R442" s="275">
        <f>IFERROR(INDEX('Ashed teabags dry'!$K$2:$K$2000,MATCH(K442,'Ashed teabags dry'!$A$2:$A$2000,0)),"")</f>
        <v>16.862567811935126</v>
      </c>
      <c r="S442" s="275">
        <f t="shared" si="32"/>
        <v>1.0299065099457476</v>
      </c>
      <c r="T442" s="265">
        <f>IF('Dry_Litterbag Placem_Collection'!E3="","",'Dry_Litterbag Placem_Collection'!E3)</f>
        <v>42938</v>
      </c>
      <c r="U442" s="265">
        <f>IF('Dry_Litterbag Placem_Collection'!G3="","",'Dry_Litterbag Placem_Collection'!G3)</f>
        <v>43007</v>
      </c>
      <c r="V442" s="266">
        <f t="shared" si="30"/>
        <v>69</v>
      </c>
      <c r="W442" s="264">
        <f t="shared" si="33"/>
        <v>0.61440000000000028</v>
      </c>
      <c r="X442" s="264">
        <f t="shared" si="34"/>
        <v>0.72109385253047154</v>
      </c>
      <c r="Y442" s="268">
        <f>IFERROR(INDEX(Rainfall_Dry!$O$2:$O$217,MATCH(B442, Rainfall_Dry!$A$2:$A$217,0)),"")</f>
        <v>6.900000125</v>
      </c>
      <c r="Z442" s="257">
        <v>12.565665055683967</v>
      </c>
      <c r="AA442" s="257">
        <v>0.9665896196679955</v>
      </c>
      <c r="AB442" s="257">
        <v>86.467745324648035</v>
      </c>
      <c r="AC442" s="258" t="s">
        <v>2656</v>
      </c>
      <c r="AD442" s="257">
        <v>1.0225726959093147</v>
      </c>
      <c r="AE442">
        <f>IF('WetLitterbags placem_collection'!AB3="","",'WetLitterbags placem_collection'!AB3)</f>
        <v>26.4</v>
      </c>
      <c r="AF442">
        <f>IF('WetLitterbags placem_collection'!Z3="","",'WetLitterbags placem_collection'!Z3)</f>
        <v>41</v>
      </c>
      <c r="AG442" s="243" t="str">
        <f>IF('WetLitterbags placem_collection'!AA3="","",'WetLitterbags placem_collection'!AA3)</f>
        <v>M</v>
      </c>
      <c r="AH442">
        <f>IF('WetLitterbags placem_collection'!AC3="","",'WetLitterbags placem_collection'!AC3)</f>
        <v>1</v>
      </c>
      <c r="AI442">
        <f>IFERROR(AVERAGE('Dry_Litterbag Placem_Collection'!O3,'Dry_Litterbag Placem_Collection'!R3),"")</f>
        <v>3.8</v>
      </c>
      <c r="AJ442" s="268">
        <f>IFERROR(AVERAGE('Dry_Litterbag Placem_Collection'!N3,'Dry_Litterbag Placem_Collection'!Q3),"")</f>
        <v>26.9</v>
      </c>
      <c r="AK442" s="267">
        <f>INDEX(Coordinates!$B$2:$B$197,MATCH(H442,Coordinates!$J$2:$J$197,0))</f>
        <v>-3.3978609999999998</v>
      </c>
      <c r="AL442" s="267">
        <f>INDEX(Coordinates!$C$2:$C$197,MATCH(H442,Coordinates!$J$2:$J$197,0))</f>
        <v>34.837608000000003</v>
      </c>
      <c r="AM442" s="267" t="str">
        <f>IF(ISNUMBER(SEARCH("C", 'Dry_Litterbag Placem_Collection'!U3)),"YES","NO")</f>
        <v>NO</v>
      </c>
      <c r="AN442" s="267" t="str">
        <f>IF(ISNUMBER(SEARCH("H", 'Dry_Litterbag Placem_Collection'!U3)),"YES","NO")</f>
        <v>NO</v>
      </c>
      <c r="AO442" s="267" t="str">
        <f>IF(ISNUMBER(SEARCH("R", 'Dry_Litterbag Placem_Collection'!U3)),"YES","NO")</f>
        <v>YES</v>
      </c>
    </row>
    <row r="443" spans="1:41" ht="15" customHeight="1">
      <c r="A443" s="259" t="s">
        <v>2643</v>
      </c>
      <c r="B443" s="260">
        <f>'Dry_Litterbag Placem_Collection'!A4</f>
        <v>2</v>
      </c>
      <c r="C443" s="260" t="str">
        <f>'Dry_Litterbag Placem_Collection'!B4</f>
        <v>Makao</v>
      </c>
      <c r="D443" s="260" t="s">
        <v>2643</v>
      </c>
      <c r="E443" s="260" t="s">
        <v>2644</v>
      </c>
      <c r="F443" s="260">
        <v>1</v>
      </c>
      <c r="G443" s="260" t="s">
        <v>3798</v>
      </c>
      <c r="H443" s="261" t="str">
        <f>'Dry_Litterbag Placem_Collection'!C4</f>
        <v>Dry_Ag1_T2</v>
      </c>
      <c r="I443" s="270" t="s">
        <v>3630</v>
      </c>
      <c r="J443" s="263" t="s">
        <v>1147</v>
      </c>
      <c r="K443" s="260" t="str">
        <f>IF(ISBLANK('Dry_Litterbag Placem_Collection'!L4),"","G"&amp;""&amp;'Dry_Litterbag Placem_Collection'!L4)</f>
        <v/>
      </c>
      <c r="L443" s="264" t="str">
        <f>IFERROR(INDEX('Green_rooibos initial weight'!$C$5:$C$2000,MATCH(K443, 'Green_rooibos initial weight'!$A$5:$A$2000,0)),"")</f>
        <v/>
      </c>
      <c r="M443" s="264" t="str">
        <f>IFERROR(L443-(TBIcalc!$Q$9+TBIcalc!$Q$10),"")</f>
        <v/>
      </c>
      <c r="N443" s="385">
        <f>AVERAGE(Ashed_controlls!$K$2:$K$11)</f>
        <v>5.5147656768714146</v>
      </c>
      <c r="O443" s="264" t="str">
        <f t="shared" si="31"/>
        <v/>
      </c>
      <c r="P443" s="264" t="str">
        <f>IFERROR(INDEX('Both teabags AfterDry'!$D$2:$D$2000,MATCH(K443,'Both teabags AfterDry'!$A$2:$A$2000,0)),"")</f>
        <v/>
      </c>
      <c r="Q443" s="264" t="str">
        <f>IFERROR(IF(P443&gt;0,P443-(TBIcalc!$Q$9),""),"")</f>
        <v/>
      </c>
      <c r="R443" s="275" t="str">
        <f>IFERROR(INDEX('Ashed teabags dry'!$K$2:$K$2000,MATCH(K443,'Ashed teabags dry'!$A$2:$A$2000,0)),"")</f>
        <v/>
      </c>
      <c r="S443" s="275" t="str">
        <f t="shared" si="32"/>
        <v/>
      </c>
      <c r="T443" s="265" t="str">
        <f>IF('Dry_Litterbag Placem_Collection'!E4="","",'Dry_Litterbag Placem_Collection'!E4)</f>
        <v/>
      </c>
      <c r="U443" s="265" t="str">
        <f>IF('Dry_Litterbag Placem_Collection'!G4="","",'Dry_Litterbag Placem_Collection'!G4)</f>
        <v/>
      </c>
      <c r="V443" s="266" t="str">
        <f t="shared" si="30"/>
        <v/>
      </c>
      <c r="W443" s="264" t="str">
        <f t="shared" si="33"/>
        <v/>
      </c>
      <c r="X443" s="264" t="str">
        <f t="shared" si="34"/>
        <v/>
      </c>
      <c r="Y443" s="268" t="str">
        <f>IFERROR(INDEX(Rainfall_Dry!$O$2:$O$217,MATCH(B443, Rainfall_Dry!$A$2:$A$217,0)),"")</f>
        <v/>
      </c>
      <c r="Z443" s="257">
        <v>12.565665055683967</v>
      </c>
      <c r="AA443" s="257">
        <v>0.9665896196679955</v>
      </c>
      <c r="AB443" s="257">
        <v>86.467745324648035</v>
      </c>
      <c r="AC443" s="258" t="s">
        <v>2656</v>
      </c>
      <c r="AD443" s="257">
        <v>2.02257269590931</v>
      </c>
      <c r="AE443">
        <f>IF('WetLitterbags placem_collection'!AB4="","",'WetLitterbags placem_collection'!AB4)</f>
        <v>22.4</v>
      </c>
      <c r="AF443">
        <f>IF('WetLitterbags placem_collection'!Z4="","",'WetLitterbags placem_collection'!Z4)</f>
        <v>39.799999999999997</v>
      </c>
      <c r="AG443" s="243" t="str">
        <f>IF('WetLitterbags placem_collection'!AA4="","",'WetLitterbags placem_collection'!AA4)</f>
        <v>M</v>
      </c>
      <c r="AH443">
        <f>IF('WetLitterbags placem_collection'!AC4="","",'WetLitterbags placem_collection'!AC4)</f>
        <v>1</v>
      </c>
      <c r="AI443" t="str">
        <f>IFERROR(AVERAGE('Dry_Litterbag Placem_Collection'!O4,'Dry_Litterbag Placem_Collection'!R4),"")</f>
        <v/>
      </c>
      <c r="AJ443" s="268" t="str">
        <f>IFERROR(AVERAGE('Dry_Litterbag Placem_Collection'!N4,'Dry_Litterbag Placem_Collection'!Q4),"")</f>
        <v/>
      </c>
      <c r="AK443" s="267">
        <f>INDEX(Coordinates!$B$2:$B$197,MATCH(H443,Coordinates!$J$2:$J$197,0))</f>
        <v>-3.397879042</v>
      </c>
      <c r="AL443" s="267">
        <f>INDEX(Coordinates!$C$2:$C$197,MATCH(H443,Coordinates!$J$2:$J$197,0))</f>
        <v>34.837536010000001</v>
      </c>
      <c r="AM443" s="267" t="str">
        <f>IF(ISNUMBER(SEARCH("C", 'Dry_Litterbag Placem_Collection'!U4)),"YES","NO")</f>
        <v>NO</v>
      </c>
      <c r="AN443" s="267" t="str">
        <f>IF(ISNUMBER(SEARCH("H", 'Dry_Litterbag Placem_Collection'!U4)),"YES","NO")</f>
        <v>NO</v>
      </c>
      <c r="AO443" s="267" t="str">
        <f>IF(ISNUMBER(SEARCH("R", 'Dry_Litterbag Placem_Collection'!U4)),"YES","NO")</f>
        <v>NO</v>
      </c>
    </row>
    <row r="444" spans="1:41" ht="15" customHeight="1">
      <c r="A444" s="259" t="s">
        <v>2643</v>
      </c>
      <c r="B444" s="260">
        <f>'Dry_Litterbag Placem_Collection'!A5</f>
        <v>3</v>
      </c>
      <c r="C444" s="260" t="str">
        <f>'Dry_Litterbag Placem_Collection'!B5</f>
        <v>Makao</v>
      </c>
      <c r="D444" s="260" t="s">
        <v>2643</v>
      </c>
      <c r="E444" s="260" t="s">
        <v>2644</v>
      </c>
      <c r="F444" s="260">
        <v>1</v>
      </c>
      <c r="G444" s="260" t="s">
        <v>3798</v>
      </c>
      <c r="H444" s="261" t="str">
        <f>'Dry_Litterbag Placem_Collection'!C5</f>
        <v>Dry_Ag1_T3</v>
      </c>
      <c r="I444" s="270" t="s">
        <v>3630</v>
      </c>
      <c r="J444" s="263" t="s">
        <v>1147</v>
      </c>
      <c r="K444" s="260" t="str">
        <f>IF(ISBLANK('Dry_Litterbag Placem_Collection'!L5),"","G"&amp;""&amp;'Dry_Litterbag Placem_Collection'!L5)</f>
        <v>G44</v>
      </c>
      <c r="L444" s="264">
        <f>IFERROR(INDEX('Green_rooibos initial weight'!$C$5:$C$2000,MATCH(K444, 'Green_rooibos initial weight'!$A$5:$A$2000,0)),"")</f>
        <v>2.0680000000000001</v>
      </c>
      <c r="M444" s="264">
        <f>IFERROR(L444-(TBIcalc!$Q$9+TBIcalc!$Q$10),"")</f>
        <v>1.8182</v>
      </c>
      <c r="N444" s="385">
        <f>AVERAGE(Ashed_controlls!$K$2:$K$11)</f>
        <v>5.5147656768714146</v>
      </c>
      <c r="O444" s="264">
        <f t="shared" si="31"/>
        <v>1.7179305304631241</v>
      </c>
      <c r="P444" s="264">
        <f>IFERROR(INDEX('Both teabags AfterDry'!$D$2:$D$2000,MATCH(K444,'Both teabags AfterDry'!$A$2:$A$2000,0)),"")</f>
        <v>1.5553999999999999</v>
      </c>
      <c r="Q444" s="264">
        <f>IFERROR(IF(P444&gt;0,P444-(TBIcalc!$Q$9),""),"")</f>
        <v>1.4047999999999998</v>
      </c>
      <c r="R444" s="275">
        <f>IFERROR(INDEX('Ashed teabags dry'!$K$2:$K$2000,MATCH(K444,'Ashed teabags dry'!$A$2:$A$2000,0)),"")</f>
        <v>10.622710622710303</v>
      </c>
      <c r="S444" s="275">
        <f t="shared" si="32"/>
        <v>1.2555721611721655</v>
      </c>
      <c r="T444" s="265">
        <f>IF('Dry_Litterbag Placem_Collection'!E5="","",'Dry_Litterbag Placem_Collection'!E5)</f>
        <v>42938</v>
      </c>
      <c r="U444" s="265">
        <f>IF('Dry_Litterbag Placem_Collection'!G5="","",'Dry_Litterbag Placem_Collection'!G5)</f>
        <v>43007</v>
      </c>
      <c r="V444" s="266">
        <f t="shared" si="30"/>
        <v>69</v>
      </c>
      <c r="W444" s="264">
        <f t="shared" si="33"/>
        <v>0.41340000000000021</v>
      </c>
      <c r="X444" s="264">
        <f t="shared" si="34"/>
        <v>0.46235836929095853</v>
      </c>
      <c r="Y444" s="268">
        <f>IFERROR(INDEX(Rainfall_Dry!$O$2:$O$217,MATCH(B444, Rainfall_Dry!$A$2:$A$217,0)),"")</f>
        <v>6.900000125</v>
      </c>
      <c r="Z444" s="257">
        <v>12.565665055683967</v>
      </c>
      <c r="AA444" s="257">
        <v>0.9665896196679955</v>
      </c>
      <c r="AB444" s="257">
        <v>86.467745324648035</v>
      </c>
      <c r="AC444" s="258" t="s">
        <v>2656</v>
      </c>
      <c r="AD444" s="257">
        <v>3.02257269590931</v>
      </c>
      <c r="AE444" t="str">
        <f>IF('WetLitterbags placem_collection'!AB5="","",'WetLitterbags placem_collection'!AB5)</f>
        <v/>
      </c>
      <c r="AF444" t="str">
        <f>IF('WetLitterbags placem_collection'!Z5="","",'WetLitterbags placem_collection'!Z5)</f>
        <v/>
      </c>
      <c r="AG444" s="243" t="str">
        <f>IF('WetLitterbags placem_collection'!AA5="","",'WetLitterbags placem_collection'!AA5)</f>
        <v/>
      </c>
      <c r="AH444" t="str">
        <f>IF('WetLitterbags placem_collection'!AC5="","",'WetLitterbags placem_collection'!AC5)</f>
        <v/>
      </c>
      <c r="AI444">
        <f>IFERROR(AVERAGE('Dry_Litterbag Placem_Collection'!O5,'Dry_Litterbag Placem_Collection'!R5),"")</f>
        <v>3.3</v>
      </c>
      <c r="AJ444" s="268">
        <f>IFERROR(AVERAGE('Dry_Litterbag Placem_Collection'!N5,'Dry_Litterbag Placem_Collection'!Q5),"")</f>
        <v>25</v>
      </c>
      <c r="AK444" s="267">
        <f>INDEX(Coordinates!$B$2:$B$197,MATCH(H444,Coordinates!$J$2:$J$197,0))</f>
        <v>-3.3978739999999998</v>
      </c>
      <c r="AL444" s="267">
        <f>INDEX(Coordinates!$C$2:$C$197,MATCH(H444,Coordinates!$J$2:$J$197,0))</f>
        <v>34.837578999999998</v>
      </c>
      <c r="AM444" s="267" t="str">
        <f>IF(ISNUMBER(SEARCH("C", 'Dry_Litterbag Placem_Collection'!U5)),"YES","NO")</f>
        <v>NO</v>
      </c>
      <c r="AN444" s="267" t="str">
        <f>IF(ISNUMBER(SEARCH("H", 'Dry_Litterbag Placem_Collection'!U5)),"YES","NO")</f>
        <v>NO</v>
      </c>
      <c r="AO444" s="267" t="str">
        <f>IF(ISNUMBER(SEARCH("R", 'Dry_Litterbag Placem_Collection'!U5)),"YES","NO")</f>
        <v>YES</v>
      </c>
    </row>
    <row r="445" spans="1:41" ht="15" customHeight="1">
      <c r="A445" s="259" t="s">
        <v>2643</v>
      </c>
      <c r="B445" s="260">
        <f>'Dry_Litterbag Placem_Collection'!A6</f>
        <v>4</v>
      </c>
      <c r="C445" s="260" t="str">
        <f>'Dry_Litterbag Placem_Collection'!B6</f>
        <v>Makao</v>
      </c>
      <c r="D445" s="260" t="s">
        <v>2643</v>
      </c>
      <c r="E445" s="260" t="s">
        <v>2644</v>
      </c>
      <c r="F445" s="260">
        <v>1</v>
      </c>
      <c r="G445" s="260" t="s">
        <v>3798</v>
      </c>
      <c r="H445" s="261" t="str">
        <f>'Dry_Litterbag Placem_Collection'!C6</f>
        <v>Dry_Ag1_T4</v>
      </c>
      <c r="I445" s="270" t="s">
        <v>3630</v>
      </c>
      <c r="J445" s="263" t="s">
        <v>1147</v>
      </c>
      <c r="K445" s="260" t="str">
        <f>IF(ISBLANK('Dry_Litterbag Placem_Collection'!L6),"","G"&amp;""&amp;'Dry_Litterbag Placem_Collection'!L6)</f>
        <v>G357</v>
      </c>
      <c r="L445" s="264">
        <f>IFERROR(INDEX('Green_rooibos initial weight'!$C$5:$C$2000,MATCH(K445, 'Green_rooibos initial weight'!$A$5:$A$2000,0)),"")</f>
        <v>1.996</v>
      </c>
      <c r="M445" s="264">
        <f>IFERROR(L445-(TBIcalc!$Q$9+TBIcalc!$Q$10),"")</f>
        <v>1.7462</v>
      </c>
      <c r="N445" s="385">
        <f>AVERAGE(Ashed_controlls!$K$2:$K$11)</f>
        <v>5.5147656768714146</v>
      </c>
      <c r="O445" s="264">
        <f t="shared" si="31"/>
        <v>1.6499011617504713</v>
      </c>
      <c r="P445" s="264">
        <f>IFERROR(INDEX('Both teabags AfterDry'!$D$2:$D$2000,MATCH(K445,'Both teabags AfterDry'!$A$2:$A$2000,0)),"")</f>
        <v>1.6417999999999999</v>
      </c>
      <c r="Q445" s="264">
        <f>IFERROR(IF(P445&gt;0,P445-(TBIcalc!$Q$9),""),"")</f>
        <v>1.4911999999999999</v>
      </c>
      <c r="R445" s="275">
        <f>IFERROR(INDEX('Ashed teabags dry'!$K$2:$K$2000,MATCH(K445,'Ashed teabags dry'!$A$2:$A$2000,0)),"")</f>
        <v>6.3956144358153066</v>
      </c>
      <c r="S445" s="275">
        <f t="shared" si="32"/>
        <v>1.3958285975331219</v>
      </c>
      <c r="T445" s="265">
        <f>IF('Dry_Litterbag Placem_Collection'!E6="","",'Dry_Litterbag Placem_Collection'!E6)</f>
        <v>42938</v>
      </c>
      <c r="U445" s="265">
        <f>IF('Dry_Litterbag Placem_Collection'!G6="","",'Dry_Litterbag Placem_Collection'!G6)</f>
        <v>43007</v>
      </c>
      <c r="V445" s="266">
        <f t="shared" si="30"/>
        <v>69</v>
      </c>
      <c r="W445" s="264">
        <f t="shared" si="33"/>
        <v>0.25500000000000012</v>
      </c>
      <c r="X445" s="264">
        <f t="shared" si="34"/>
        <v>0.25407256421734936</v>
      </c>
      <c r="Y445" s="268">
        <f>IFERROR(INDEX(Rainfall_Dry!$O$2:$O$217,MATCH(B445, Rainfall_Dry!$A$2:$A$217,0)),"")</f>
        <v>6.900000125</v>
      </c>
      <c r="Z445" s="257">
        <v>12.565665055683967</v>
      </c>
      <c r="AA445" s="257">
        <v>0.9665896196679955</v>
      </c>
      <c r="AB445" s="257">
        <v>86.467745324648035</v>
      </c>
      <c r="AC445" s="258" t="s">
        <v>2656</v>
      </c>
      <c r="AD445" s="257">
        <v>4.02257269590931</v>
      </c>
      <c r="AE445" t="str">
        <f>IF('WetLitterbags placem_collection'!AB6="","",'WetLitterbags placem_collection'!AB6)</f>
        <v/>
      </c>
      <c r="AF445" t="str">
        <f>IF('WetLitterbags placem_collection'!Z6="","",'WetLitterbags placem_collection'!Z6)</f>
        <v/>
      </c>
      <c r="AG445" s="243" t="str">
        <f>IF('WetLitterbags placem_collection'!AA6="","",'WetLitterbags placem_collection'!AA6)</f>
        <v/>
      </c>
      <c r="AH445" t="str">
        <f>IF('WetLitterbags placem_collection'!AC6="","",'WetLitterbags placem_collection'!AC6)</f>
        <v/>
      </c>
      <c r="AI445">
        <f>IFERROR(AVERAGE('Dry_Litterbag Placem_Collection'!O6,'Dry_Litterbag Placem_Collection'!R6),"")</f>
        <v>2.25</v>
      </c>
      <c r="AJ445" s="268">
        <f>IFERROR(AVERAGE('Dry_Litterbag Placem_Collection'!N6,'Dry_Litterbag Placem_Collection'!Q6),"")</f>
        <v>27.35</v>
      </c>
      <c r="AK445" s="267">
        <f>INDEX(Coordinates!$B$2:$B$197,MATCH(H445,Coordinates!$J$2:$J$197,0))</f>
        <v>-3.3977780399999999</v>
      </c>
      <c r="AL445" s="267">
        <f>INDEX(Coordinates!$C$2:$C$197,MATCH(H445,Coordinates!$J$2:$J$197,0))</f>
        <v>34.83751204</v>
      </c>
      <c r="AM445" s="267" t="str">
        <f>IF(ISNUMBER(SEARCH("C", 'Dry_Litterbag Placem_Collection'!U6)),"YES","NO")</f>
        <v>NO</v>
      </c>
      <c r="AN445" s="267" t="str">
        <f>IF(ISNUMBER(SEARCH("H", 'Dry_Litterbag Placem_Collection'!U6)),"YES","NO")</f>
        <v>NO</v>
      </c>
      <c r="AO445" s="267" t="str">
        <f>IF(ISNUMBER(SEARCH("R", 'Dry_Litterbag Placem_Collection'!U6)),"YES","NO")</f>
        <v>NO</v>
      </c>
    </row>
    <row r="446" spans="1:41" ht="15" customHeight="1">
      <c r="A446" s="259" t="s">
        <v>2643</v>
      </c>
      <c r="B446" s="260">
        <f>'Dry_Litterbag Placem_Collection'!A7</f>
        <v>5</v>
      </c>
      <c r="C446" s="260" t="str">
        <f>'Dry_Litterbag Placem_Collection'!B7</f>
        <v>Makao</v>
      </c>
      <c r="D446" s="260" t="s">
        <v>2643</v>
      </c>
      <c r="E446" s="260" t="s">
        <v>2644</v>
      </c>
      <c r="F446" s="260">
        <v>1</v>
      </c>
      <c r="G446" s="260" t="s">
        <v>3798</v>
      </c>
      <c r="H446" s="261" t="str">
        <f>'Dry_Litterbag Placem_Collection'!C7</f>
        <v>Dry_Ag1_T5</v>
      </c>
      <c r="I446" s="270" t="s">
        <v>3630</v>
      </c>
      <c r="J446" s="263" t="s">
        <v>1147</v>
      </c>
      <c r="K446" s="260" t="str">
        <f>IF(ISBLANK('Dry_Litterbag Placem_Collection'!L7),"","G"&amp;""&amp;'Dry_Litterbag Placem_Collection'!L7)</f>
        <v>G734</v>
      </c>
      <c r="L446" s="264">
        <f>IFERROR(INDEX('Green_rooibos initial weight'!$C$5:$C$2000,MATCH(K446, 'Green_rooibos initial weight'!$A$5:$A$2000,0)),"")</f>
        <v>1.9870000000000001</v>
      </c>
      <c r="M446" s="264">
        <f>IFERROR(L446-(TBIcalc!$Q$9+TBIcalc!$Q$10),"")</f>
        <v>1.7372000000000001</v>
      </c>
      <c r="N446" s="385">
        <f>AVERAGE(Ashed_controlls!$K$2:$K$11)</f>
        <v>5.5147656768714146</v>
      </c>
      <c r="O446" s="264">
        <f t="shared" si="31"/>
        <v>1.64139749066139</v>
      </c>
      <c r="P446" s="264" t="str">
        <f>IFERROR(INDEX('Both teabags AfterDry'!$D$2:$D$2000,MATCH(K446,'Both teabags AfterDry'!$A$2:$A$2000,0)),"")</f>
        <v/>
      </c>
      <c r="Q446" s="264" t="str">
        <f>IFERROR(IF(P446&gt;0,P446-(TBIcalc!$Q$9),""),"")</f>
        <v/>
      </c>
      <c r="R446" s="275" t="str">
        <f>IFERROR(INDEX('Ashed teabags dry'!$K$2:$K$2000,MATCH(K446,'Ashed teabags dry'!$A$2:$A$2000,0)),"")</f>
        <v/>
      </c>
      <c r="S446" s="275" t="str">
        <f t="shared" si="32"/>
        <v/>
      </c>
      <c r="T446" s="265">
        <f>IF('Dry_Litterbag Placem_Collection'!E7="","",'Dry_Litterbag Placem_Collection'!E7)</f>
        <v>42938</v>
      </c>
      <c r="U446" s="265" t="str">
        <f>IF('Dry_Litterbag Placem_Collection'!G7="","",'Dry_Litterbag Placem_Collection'!G7)</f>
        <v/>
      </c>
      <c r="V446" s="266" t="str">
        <f t="shared" si="30"/>
        <v/>
      </c>
      <c r="W446" s="264" t="str">
        <f t="shared" si="33"/>
        <v/>
      </c>
      <c r="X446" s="264" t="str">
        <f t="shared" si="34"/>
        <v/>
      </c>
      <c r="Y446" s="268" t="str">
        <f>IFERROR(INDEX(Rainfall_Dry!$O$2:$O$217,MATCH(B446, Rainfall_Dry!$A$2:$A$217,0)),"")</f>
        <v/>
      </c>
      <c r="Z446" s="257">
        <v>12.565665055683967</v>
      </c>
      <c r="AA446" s="257">
        <v>0.9665896196679955</v>
      </c>
      <c r="AB446" s="257">
        <v>86.467745324648035</v>
      </c>
      <c r="AC446" s="258" t="s">
        <v>2656</v>
      </c>
      <c r="AD446" s="257">
        <v>5.02257269590931</v>
      </c>
      <c r="AE446">
        <f>IF('WetLitterbags placem_collection'!AB7="","",'WetLitterbags placem_collection'!AB7)</f>
        <v>28.4</v>
      </c>
      <c r="AF446">
        <f>IF('WetLitterbags placem_collection'!Z7="","",'WetLitterbags placem_collection'!Z7)</f>
        <v>36.4</v>
      </c>
      <c r="AG446" s="243" t="str">
        <f>IF('WetLitterbags placem_collection'!AA7="","",'WetLitterbags placem_collection'!AA7)</f>
        <v>M</v>
      </c>
      <c r="AH446">
        <f>IF('WetLitterbags placem_collection'!AC7="","",'WetLitterbags placem_collection'!AC7)</f>
        <v>1</v>
      </c>
      <c r="AI446">
        <f>IFERROR(AVERAGE('Dry_Litterbag Placem_Collection'!O7,'Dry_Litterbag Placem_Collection'!R7),"")</f>
        <v>3.2</v>
      </c>
      <c r="AJ446" s="268">
        <f>IFERROR(AVERAGE('Dry_Litterbag Placem_Collection'!N7,'Dry_Litterbag Placem_Collection'!Q7),"")</f>
        <v>26.7</v>
      </c>
      <c r="AK446" s="267">
        <f>INDEX(Coordinates!$B$2:$B$197,MATCH(H446,Coordinates!$J$2:$J$197,0))</f>
        <v>-3.3978020120000001</v>
      </c>
      <c r="AL446" s="267">
        <f>INDEX(Coordinates!$C$2:$C$197,MATCH(H446,Coordinates!$J$2:$J$197,0))</f>
        <v>34.83751204</v>
      </c>
      <c r="AM446" s="267" t="str">
        <f>IF(ISNUMBER(SEARCH("C", 'Dry_Litterbag Placem_Collection'!U7)),"YES","NO")</f>
        <v>NO</v>
      </c>
      <c r="AN446" s="267" t="str">
        <f>IF(ISNUMBER(SEARCH("H", 'Dry_Litterbag Placem_Collection'!U7)),"YES","NO")</f>
        <v>NO</v>
      </c>
      <c r="AO446" s="267" t="str">
        <f>IF(ISNUMBER(SEARCH("R", 'Dry_Litterbag Placem_Collection'!U7)),"YES","NO")</f>
        <v>NO</v>
      </c>
    </row>
    <row r="447" spans="1:41" ht="15" customHeight="1">
      <c r="A447" s="259" t="s">
        <v>2643</v>
      </c>
      <c r="B447" s="260">
        <f>'Dry_Litterbag Placem_Collection'!A8</f>
        <v>6</v>
      </c>
      <c r="C447" s="260" t="str">
        <f>'Dry_Litterbag Placem_Collection'!B8</f>
        <v>Makao</v>
      </c>
      <c r="D447" s="260" t="s">
        <v>2643</v>
      </c>
      <c r="E447" s="260" t="s">
        <v>2644</v>
      </c>
      <c r="F447" s="260">
        <v>1</v>
      </c>
      <c r="G447" s="260" t="s">
        <v>3798</v>
      </c>
      <c r="H447" s="261" t="str">
        <f>'Dry_Litterbag Placem_Collection'!C8</f>
        <v>Dry_Ag1_T6</v>
      </c>
      <c r="I447" s="270" t="s">
        <v>3630</v>
      </c>
      <c r="J447" s="263" t="s">
        <v>1147</v>
      </c>
      <c r="K447" s="260" t="str">
        <f>IF(ISBLANK('Dry_Litterbag Placem_Collection'!L8),"","G"&amp;""&amp;'Dry_Litterbag Placem_Collection'!L8)</f>
        <v>G164</v>
      </c>
      <c r="L447" s="264">
        <f>IFERROR(INDEX('Green_rooibos initial weight'!$C$5:$C$2000,MATCH(K447, 'Green_rooibos initial weight'!$A$5:$A$2000,0)),"")</f>
        <v>1.994</v>
      </c>
      <c r="M447" s="264">
        <f>IFERROR(L447-(TBIcalc!$Q$9+TBIcalc!$Q$10),"")</f>
        <v>1.7442</v>
      </c>
      <c r="N447" s="385">
        <f>AVERAGE(Ashed_controlls!$K$2:$K$11)</f>
        <v>5.5147656768714146</v>
      </c>
      <c r="O447" s="264">
        <f t="shared" si="31"/>
        <v>1.6480114570640088</v>
      </c>
      <c r="P447" s="264" t="str">
        <f>IFERROR(INDEX('Both teabags AfterDry'!$D$2:$D$2000,MATCH(K447,'Both teabags AfterDry'!$A$2:$A$2000,0)),"")</f>
        <v/>
      </c>
      <c r="Q447" s="264" t="str">
        <f>IFERROR(IF(P447&gt;0,P447-(TBIcalc!$Q$9),""),"")</f>
        <v/>
      </c>
      <c r="R447" s="275" t="str">
        <f>IFERROR(INDEX('Ashed teabags dry'!$K$2:$K$2000,MATCH(K447,'Ashed teabags dry'!$A$2:$A$2000,0)),"")</f>
        <v/>
      </c>
      <c r="S447" s="275" t="str">
        <f t="shared" si="32"/>
        <v/>
      </c>
      <c r="T447" s="265">
        <f>IF('Dry_Litterbag Placem_Collection'!E8="","",'Dry_Litterbag Placem_Collection'!E8)</f>
        <v>42938</v>
      </c>
      <c r="U447" s="265">
        <f>IF('Dry_Litterbag Placem_Collection'!G8="","",'Dry_Litterbag Placem_Collection'!G8)</f>
        <v>43007</v>
      </c>
      <c r="V447" s="266">
        <f t="shared" si="30"/>
        <v>69</v>
      </c>
      <c r="W447" s="264" t="str">
        <f t="shared" si="33"/>
        <v/>
      </c>
      <c r="X447" s="264" t="str">
        <f t="shared" si="34"/>
        <v/>
      </c>
      <c r="Y447" s="268">
        <f>IFERROR(INDEX(Rainfall_Dry!$O$2:$O$217,MATCH(B447, Rainfall_Dry!$A$2:$A$217,0)),"")</f>
        <v>6.900000125</v>
      </c>
      <c r="Z447" s="257">
        <v>12.565665055683967</v>
      </c>
      <c r="AA447" s="257">
        <v>0.9665896196679955</v>
      </c>
      <c r="AB447" s="257">
        <v>86.467745324648035</v>
      </c>
      <c r="AC447" s="258" t="s">
        <v>2656</v>
      </c>
      <c r="AD447" s="257">
        <v>6.02257269590931</v>
      </c>
      <c r="AE447">
        <f>IF('WetLitterbags placem_collection'!AB8="","",'WetLitterbags placem_collection'!AB8)</f>
        <v>32.4</v>
      </c>
      <c r="AF447">
        <f>IF('WetLitterbags placem_collection'!Z8="","",'WetLitterbags placem_collection'!Z8)</f>
        <v>31</v>
      </c>
      <c r="AG447" s="243" t="str">
        <f>IF('WetLitterbags placem_collection'!AA8="","",'WetLitterbags placem_collection'!AA8)</f>
        <v>M</v>
      </c>
      <c r="AH447">
        <f>IF('WetLitterbags placem_collection'!AC8="","",'WetLitterbags placem_collection'!AC8)</f>
        <v>1</v>
      </c>
      <c r="AI447">
        <f>IFERROR(AVERAGE('Dry_Litterbag Placem_Collection'!O8,'Dry_Litterbag Placem_Collection'!R8),"")</f>
        <v>5.35</v>
      </c>
      <c r="AJ447" s="268">
        <f>IFERROR(AVERAGE('Dry_Litterbag Placem_Collection'!N8,'Dry_Litterbag Placem_Collection'!Q8),"")</f>
        <v>26.6</v>
      </c>
      <c r="AK447" s="267">
        <f>INDEX(Coordinates!$B$2:$B$197,MATCH(H447,Coordinates!$J$2:$J$197,0))</f>
        <v>-3.3977389800000002</v>
      </c>
      <c r="AL447" s="267">
        <f>INDEX(Coordinates!$C$2:$C$197,MATCH(H447,Coordinates!$J$2:$J$197,0))</f>
        <v>34.837501979999999</v>
      </c>
      <c r="AM447" s="267" t="str">
        <f>IF(ISNUMBER(SEARCH("C", 'Dry_Litterbag Placem_Collection'!U8)),"YES","NO")</f>
        <v>NO</v>
      </c>
      <c r="AN447" s="267" t="str">
        <f>IF(ISNUMBER(SEARCH("H", 'Dry_Litterbag Placem_Collection'!U8)),"YES","NO")</f>
        <v>NO</v>
      </c>
      <c r="AO447" s="267" t="str">
        <f>IF(ISNUMBER(SEARCH("R", 'Dry_Litterbag Placem_Collection'!U8)),"YES","NO")</f>
        <v>NO</v>
      </c>
    </row>
    <row r="448" spans="1:41" ht="15" customHeight="1">
      <c r="A448" s="259" t="s">
        <v>2643</v>
      </c>
      <c r="B448" s="260">
        <f>'Dry_Litterbag Placem_Collection'!A9</f>
        <v>7</v>
      </c>
      <c r="C448" s="260" t="str">
        <f>'Dry_Litterbag Placem_Collection'!B9</f>
        <v>Makao</v>
      </c>
      <c r="D448" s="260" t="s">
        <v>2643</v>
      </c>
      <c r="E448" s="260" t="s">
        <v>2644</v>
      </c>
      <c r="F448" s="260">
        <v>1</v>
      </c>
      <c r="G448" s="260" t="s">
        <v>3798</v>
      </c>
      <c r="H448" s="261" t="str">
        <f>'Dry_Litterbag Placem_Collection'!C9</f>
        <v>Dry_Ag1_T7</v>
      </c>
      <c r="I448" s="270" t="s">
        <v>3630</v>
      </c>
      <c r="J448" s="263" t="s">
        <v>1147</v>
      </c>
      <c r="K448" s="260" t="str">
        <f>IF(ISBLANK('Dry_Litterbag Placem_Collection'!L9),"","G"&amp;""&amp;'Dry_Litterbag Placem_Collection'!L9)</f>
        <v>G776</v>
      </c>
      <c r="L448" s="264">
        <f>IFERROR(INDEX('Green_rooibos initial weight'!$C$5:$C$2000,MATCH(K448, 'Green_rooibos initial weight'!$A$5:$A$2000,0)),"")</f>
        <v>1.9790000000000001</v>
      </c>
      <c r="M448" s="264">
        <f>IFERROR(L448-(TBIcalc!$Q$9+TBIcalc!$Q$10),"")</f>
        <v>1.7292000000000001</v>
      </c>
      <c r="N448" s="385">
        <f>AVERAGE(Ashed_controlls!$K$2:$K$11)</f>
        <v>5.5147656768714146</v>
      </c>
      <c r="O448" s="264">
        <f t="shared" si="31"/>
        <v>1.6338386719155396</v>
      </c>
      <c r="P448" s="264">
        <f>IFERROR(INDEX('Both teabags AfterDry'!$D$2:$D$2000,MATCH(K448,'Both teabags AfterDry'!$A$2:$A$2000,0)),"")</f>
        <v>1.8093999999999999</v>
      </c>
      <c r="Q448" s="264">
        <f>IFERROR(IF(P448&gt;0,P448-(TBIcalc!$Q$9),""),"")</f>
        <v>1.6587999999999998</v>
      </c>
      <c r="R448" s="275">
        <f>IFERROR(INDEX('Ashed teabags dry'!$K$2:$K$2000,MATCH(K448,'Ashed teabags dry'!$A$2:$A$2000,0)),"")</f>
        <v>5.924510272335799</v>
      </c>
      <c r="S448" s="275">
        <f t="shared" si="32"/>
        <v>1.5605242236024937</v>
      </c>
      <c r="T448" s="265">
        <f>IF('Dry_Litterbag Placem_Collection'!E9="","",'Dry_Litterbag Placem_Collection'!E9)</f>
        <v>42938</v>
      </c>
      <c r="U448" s="265">
        <f>IF('Dry_Litterbag Placem_Collection'!G9="","",'Dry_Litterbag Placem_Collection'!G9)</f>
        <v>43007</v>
      </c>
      <c r="V448" s="266">
        <f t="shared" si="30"/>
        <v>69</v>
      </c>
      <c r="W448" s="264">
        <f t="shared" si="33"/>
        <v>7.040000000000024E-2</v>
      </c>
      <c r="X448" s="264">
        <f t="shared" si="34"/>
        <v>7.3314448313045899E-2</v>
      </c>
      <c r="Y448" s="268">
        <f>IFERROR(INDEX(Rainfall_Dry!$O$2:$O$217,MATCH(B448, Rainfall_Dry!$A$2:$A$217,0)),"")</f>
        <v>6.900000125</v>
      </c>
      <c r="Z448" s="257">
        <v>12.565665055683967</v>
      </c>
      <c r="AA448" s="257">
        <v>0.9665896196679955</v>
      </c>
      <c r="AB448" s="257">
        <v>86.467745324648035</v>
      </c>
      <c r="AC448" s="258" t="s">
        <v>2656</v>
      </c>
      <c r="AD448" s="257">
        <v>7.02257269590931</v>
      </c>
      <c r="AE448">
        <f>IF('WetLitterbags placem_collection'!AB9="","",'WetLitterbags placem_collection'!AB9)</f>
        <v>36</v>
      </c>
      <c r="AF448">
        <f>IF('WetLitterbags placem_collection'!Z9="","",'WetLitterbags placem_collection'!Z9)</f>
        <v>43.4</v>
      </c>
      <c r="AG448" s="243" t="str">
        <f>IF('WetLitterbags placem_collection'!AA9="","",'WetLitterbags placem_collection'!AA9)</f>
        <v>M</v>
      </c>
      <c r="AH448">
        <f>IF('WetLitterbags placem_collection'!AC9="","",'WetLitterbags placem_collection'!AC9)</f>
        <v>1</v>
      </c>
      <c r="AI448">
        <f>IFERROR(AVERAGE('Dry_Litterbag Placem_Collection'!O9,'Dry_Litterbag Placem_Collection'!R9),"")</f>
        <v>2.95</v>
      </c>
      <c r="AJ448" s="268">
        <f>IFERROR(AVERAGE('Dry_Litterbag Placem_Collection'!N9,'Dry_Litterbag Placem_Collection'!Q9),"")</f>
        <v>24.75</v>
      </c>
      <c r="AK448" s="267">
        <f>INDEX(Coordinates!$B$2:$B$197,MATCH(H448,Coordinates!$J$2:$J$197,0))</f>
        <v>-3.3977630360000002</v>
      </c>
      <c r="AL448" s="267">
        <f>INDEX(Coordinates!$C$2:$C$197,MATCH(H448,Coordinates!$J$2:$J$197,0))</f>
        <v>34.837600969999997</v>
      </c>
      <c r="AM448" s="267" t="str">
        <f>IF(ISNUMBER(SEARCH("C", 'Dry_Litterbag Placem_Collection'!U9)),"YES","NO")</f>
        <v>NO</v>
      </c>
      <c r="AN448" s="267" t="str">
        <f>IF(ISNUMBER(SEARCH("H", 'Dry_Litterbag Placem_Collection'!U9)),"YES","NO")</f>
        <v>NO</v>
      </c>
      <c r="AO448" s="267" t="str">
        <f>IF(ISNUMBER(SEARCH("R", 'Dry_Litterbag Placem_Collection'!U9)),"YES","NO")</f>
        <v>NO</v>
      </c>
    </row>
    <row r="449" spans="1:41" ht="15" customHeight="1">
      <c r="A449" s="259" t="s">
        <v>2643</v>
      </c>
      <c r="B449" s="260">
        <f>'Dry_Litterbag Placem_Collection'!A10</f>
        <v>8</v>
      </c>
      <c r="C449" s="260" t="str">
        <f>'Dry_Litterbag Placem_Collection'!B10</f>
        <v>Makao</v>
      </c>
      <c r="D449" s="260" t="s">
        <v>2643</v>
      </c>
      <c r="E449" s="260" t="s">
        <v>2644</v>
      </c>
      <c r="F449" s="260">
        <v>1</v>
      </c>
      <c r="G449" s="260" t="s">
        <v>3798</v>
      </c>
      <c r="H449" s="261" t="str">
        <f>'Dry_Litterbag Placem_Collection'!C10</f>
        <v>Dry_Ag1_T8</v>
      </c>
      <c r="I449" s="270" t="s">
        <v>3630</v>
      </c>
      <c r="J449" s="263" t="s">
        <v>1147</v>
      </c>
      <c r="K449" s="260" t="str">
        <f>IF(ISBLANK('Dry_Litterbag Placem_Collection'!L10),"","G"&amp;""&amp;'Dry_Litterbag Placem_Collection'!L10)</f>
        <v>G23</v>
      </c>
      <c r="L449" s="264">
        <f>IFERROR(INDEX('Green_rooibos initial weight'!$C$5:$C$2000,MATCH(K449, 'Green_rooibos initial weight'!$A$5:$A$2000,0)),"")</f>
        <v>2.0750000000000002</v>
      </c>
      <c r="M449" s="264">
        <f>IFERROR(L449-(TBIcalc!$Q$9+TBIcalc!$Q$10),"")</f>
        <v>1.8252000000000002</v>
      </c>
      <c r="N449" s="385">
        <f>AVERAGE(Ashed_controlls!$K$2:$K$11)</f>
        <v>5.5147656768714146</v>
      </c>
      <c r="O449" s="264">
        <f t="shared" si="31"/>
        <v>1.7245444968657431</v>
      </c>
      <c r="P449" s="264">
        <f>IFERROR(INDEX('Both teabags AfterDry'!$D$2:$D$2000,MATCH(K449,'Both teabags AfterDry'!$A$2:$A$2000,0)),"")</f>
        <v>0.94159999999999999</v>
      </c>
      <c r="Q449" s="264">
        <f>IFERROR(IF(P449&gt;0,P449-(TBIcalc!$Q$9),""),"")</f>
        <v>0.79099999999999993</v>
      </c>
      <c r="R449" s="275">
        <f>IFERROR(INDEX('Ashed teabags dry'!$K$2:$K$2000,MATCH(K449,'Ashed teabags dry'!$A$2:$A$2000,0)),"")</f>
        <v>19.020979020979762</v>
      </c>
      <c r="S449" s="275">
        <f t="shared" si="32"/>
        <v>0.64054405594405006</v>
      </c>
      <c r="T449" s="265">
        <f>IF('Dry_Litterbag Placem_Collection'!E10="","",'Dry_Litterbag Placem_Collection'!E10)</f>
        <v>42938</v>
      </c>
      <c r="U449" s="265">
        <f>IF('Dry_Litterbag Placem_Collection'!G10="","",'Dry_Litterbag Placem_Collection'!G10)</f>
        <v>43007</v>
      </c>
      <c r="V449" s="266">
        <f t="shared" si="30"/>
        <v>69</v>
      </c>
      <c r="W449" s="264">
        <f t="shared" si="33"/>
        <v>1.0342000000000002</v>
      </c>
      <c r="X449" s="264">
        <f t="shared" si="34"/>
        <v>1.084000440921693</v>
      </c>
      <c r="Y449" s="268">
        <f>IFERROR(INDEX(Rainfall_Dry!$O$2:$O$217,MATCH(B449, Rainfall_Dry!$A$2:$A$217,0)),"")</f>
        <v>6.900000125</v>
      </c>
      <c r="Z449" s="257">
        <v>12.565665055683967</v>
      </c>
      <c r="AA449" s="257">
        <v>0.9665896196679955</v>
      </c>
      <c r="AB449" s="257">
        <v>86.467745324648035</v>
      </c>
      <c r="AC449" s="258" t="s">
        <v>2656</v>
      </c>
      <c r="AD449" s="257">
        <v>8.0225726959093109</v>
      </c>
      <c r="AE449">
        <f>IF('WetLitterbags placem_collection'!AB10="","",'WetLitterbags placem_collection'!AB10)</f>
        <v>36</v>
      </c>
      <c r="AF449">
        <f>IF('WetLitterbags placem_collection'!Z10="","",'WetLitterbags placem_collection'!Z10)</f>
        <v>38.4</v>
      </c>
      <c r="AG449" s="243" t="str">
        <f>IF('WetLitterbags placem_collection'!AA10="","",'WetLitterbags placem_collection'!AA10)</f>
        <v>M</v>
      </c>
      <c r="AH449" t="str">
        <f>IF('WetLitterbags placem_collection'!AC10="","",'WetLitterbags placem_collection'!AC10)</f>
        <v/>
      </c>
      <c r="AI449">
        <f>IFERROR(AVERAGE('Dry_Litterbag Placem_Collection'!O10,'Dry_Litterbag Placem_Collection'!R10),"")</f>
        <v>2.5999999999999996</v>
      </c>
      <c r="AJ449" s="268">
        <f>IFERROR(AVERAGE('Dry_Litterbag Placem_Collection'!N10,'Dry_Litterbag Placem_Collection'!Q10),"")</f>
        <v>26</v>
      </c>
      <c r="AK449" s="267">
        <f>INDEX(Coordinates!$B$2:$B$197,MATCH(H449,Coordinates!$J$2:$J$197,0))</f>
        <v>-3.3977320230000001</v>
      </c>
      <c r="AL449" s="267">
        <f>INDEX(Coordinates!$C$2:$C$197,MATCH(H449,Coordinates!$J$2:$J$197,0))</f>
        <v>34.837561989999998</v>
      </c>
      <c r="AM449" s="267" t="str">
        <f>IF(ISNUMBER(SEARCH("C", 'Dry_Litterbag Placem_Collection'!U10)),"YES","NO")</f>
        <v>NO</v>
      </c>
      <c r="AN449" s="267" t="str">
        <f>IF(ISNUMBER(SEARCH("H", 'Dry_Litterbag Placem_Collection'!U10)),"YES","NO")</f>
        <v>NO</v>
      </c>
      <c r="AO449" s="267" t="str">
        <f>IF(ISNUMBER(SEARCH("R", 'Dry_Litterbag Placem_Collection'!U10)),"YES","NO")</f>
        <v>YES</v>
      </c>
    </row>
    <row r="450" spans="1:41" ht="15" customHeight="1">
      <c r="A450" s="259" t="s">
        <v>2643</v>
      </c>
      <c r="B450" s="260">
        <f>'Dry_Litterbag Placem_Collection'!A11</f>
        <v>9</v>
      </c>
      <c r="C450" s="260" t="str">
        <f>'Dry_Litterbag Placem_Collection'!B11</f>
        <v>Makao</v>
      </c>
      <c r="D450" s="260" t="s">
        <v>2643</v>
      </c>
      <c r="E450" s="260" t="s">
        <v>2644</v>
      </c>
      <c r="F450" s="260">
        <v>2</v>
      </c>
      <c r="G450" s="260" t="s">
        <v>3802</v>
      </c>
      <c r="H450" s="261" t="str">
        <f>'Dry_Litterbag Placem_Collection'!C11</f>
        <v>Dry_Ag2_T1</v>
      </c>
      <c r="I450" s="270" t="s">
        <v>3630</v>
      </c>
      <c r="J450" s="263" t="s">
        <v>1147</v>
      </c>
      <c r="K450" s="260" t="str">
        <f>IF(ISBLANK('Dry_Litterbag Placem_Collection'!L11),"","G"&amp;""&amp;'Dry_Litterbag Placem_Collection'!L11)</f>
        <v>G570</v>
      </c>
      <c r="L450" s="264">
        <f>IFERROR(INDEX('Green_rooibos initial weight'!$C$5:$C$2000,MATCH(K450, 'Green_rooibos initial weight'!$A$5:$A$2000,0)),"")</f>
        <v>2.1040000000000001</v>
      </c>
      <c r="M450" s="264">
        <f>IFERROR(L450-(TBIcalc!$Q$9+TBIcalc!$Q$10),"")</f>
        <v>1.8542000000000001</v>
      </c>
      <c r="N450" s="385">
        <f>AVERAGE(Ashed_controlls!$K$2:$K$11)</f>
        <v>5.5147656768714146</v>
      </c>
      <c r="O450" s="264">
        <f t="shared" si="31"/>
        <v>1.7519452148194503</v>
      </c>
      <c r="P450" s="264">
        <f>IFERROR(INDEX('Both teabags AfterDry'!$D$2:$D$2000,MATCH(K450,'Both teabags AfterDry'!$A$2:$A$2000,0)),"")</f>
        <v>1.9100999999999999</v>
      </c>
      <c r="Q450" s="264">
        <f>IFERROR(IF(P450&gt;0,P450-(TBIcalc!$Q$9),""),"")</f>
        <v>1.7594999999999998</v>
      </c>
      <c r="R450" s="275">
        <f>IFERROR(INDEX('Ashed teabags dry'!$K$2:$K$2000,MATCH(K450,'Ashed teabags dry'!$A$2:$A$2000,0)),"")</f>
        <v>5.923344947734277</v>
      </c>
      <c r="S450" s="275">
        <f t="shared" si="32"/>
        <v>1.6552787456446152</v>
      </c>
      <c r="T450" s="265">
        <f>IF('Dry_Litterbag Placem_Collection'!E11="","",'Dry_Litterbag Placem_Collection'!E11)</f>
        <v>42938</v>
      </c>
      <c r="U450" s="265">
        <f>IF('Dry_Litterbag Placem_Collection'!G11="","",'Dry_Litterbag Placem_Collection'!G11)</f>
        <v>43007</v>
      </c>
      <c r="V450" s="266">
        <f t="shared" ref="V450:V513" si="35">IFERROR(U450-T450,"")</f>
        <v>69</v>
      </c>
      <c r="W450" s="264">
        <f t="shared" si="33"/>
        <v>9.4700000000000228E-2</v>
      </c>
      <c r="X450" s="264">
        <f t="shared" si="34"/>
        <v>9.6666469174835123E-2</v>
      </c>
      <c r="Y450" s="268">
        <f>IFERROR(INDEX(Rainfall_Dry!$O$2:$O$217,MATCH(B450, Rainfall_Dry!$A$2:$A$217,0)),"")</f>
        <v>6.900000125</v>
      </c>
      <c r="Z450" s="257">
        <v>21.13063730679653</v>
      </c>
      <c r="AA450" s="257">
        <v>3.0912555579081076</v>
      </c>
      <c r="AB450" s="257">
        <v>75.778107135295357</v>
      </c>
      <c r="AC450" s="258" t="s">
        <v>2654</v>
      </c>
      <c r="AD450" s="257">
        <v>0.46131099063578063</v>
      </c>
      <c r="AE450">
        <f>IF('WetLitterbags placem_collection'!AB11="","",'WetLitterbags placem_collection'!AB11)</f>
        <v>10.8</v>
      </c>
      <c r="AF450">
        <f>IF('WetLitterbags placem_collection'!Z11="","",'WetLitterbags placem_collection'!Z11)</f>
        <v>28.4</v>
      </c>
      <c r="AG450" s="243" t="str">
        <f>IF('WetLitterbags placem_collection'!AA11="","",'WetLitterbags placem_collection'!AA11)</f>
        <v>M</v>
      </c>
      <c r="AH450">
        <f>IF('WetLitterbags placem_collection'!AC11="","",'WetLitterbags placem_collection'!AC11)</f>
        <v>0</v>
      </c>
      <c r="AI450">
        <f>IFERROR(AVERAGE('Dry_Litterbag Placem_Collection'!O11,'Dry_Litterbag Placem_Collection'!R11),"")</f>
        <v>3.3</v>
      </c>
      <c r="AJ450" s="268">
        <f>IFERROR(AVERAGE('Dry_Litterbag Placem_Collection'!N11,'Dry_Litterbag Placem_Collection'!Q11),"")</f>
        <v>26.15</v>
      </c>
      <c r="AK450" s="267">
        <f>INDEX(Coordinates!$B$2:$B$197,MATCH(H450,Coordinates!$J$2:$J$197,0))</f>
        <v>-3.3978290019999999</v>
      </c>
      <c r="AL450" s="267">
        <f>INDEX(Coordinates!$C$2:$C$197,MATCH(H450,Coordinates!$J$2:$J$197,0))</f>
        <v>34.837011969999999</v>
      </c>
      <c r="AM450" s="267" t="str">
        <f>IF(ISNUMBER(SEARCH("C", 'Dry_Litterbag Placem_Collection'!U11)),"YES","NO")</f>
        <v>NO</v>
      </c>
      <c r="AN450" s="267" t="str">
        <f>IF(ISNUMBER(SEARCH("H", 'Dry_Litterbag Placem_Collection'!U11)),"YES","NO")</f>
        <v>NO</v>
      </c>
      <c r="AO450" s="267" t="str">
        <f>IF(ISNUMBER(SEARCH("R", 'Dry_Litterbag Placem_Collection'!U11)),"YES","NO")</f>
        <v>NO</v>
      </c>
    </row>
    <row r="451" spans="1:41" ht="15" customHeight="1">
      <c r="A451" s="259" t="s">
        <v>2643</v>
      </c>
      <c r="B451" s="260">
        <f>'Dry_Litterbag Placem_Collection'!A12</f>
        <v>10</v>
      </c>
      <c r="C451" s="260" t="str">
        <f>'Dry_Litterbag Placem_Collection'!B12</f>
        <v>Makao</v>
      </c>
      <c r="D451" s="260" t="s">
        <v>2643</v>
      </c>
      <c r="E451" s="260" t="s">
        <v>2644</v>
      </c>
      <c r="F451" s="260">
        <v>2</v>
      </c>
      <c r="G451" s="260" t="s">
        <v>3802</v>
      </c>
      <c r="H451" s="261" t="str">
        <f>'Dry_Litterbag Placem_Collection'!C12</f>
        <v>Dry_Ag2_T2</v>
      </c>
      <c r="I451" s="270" t="s">
        <v>3630</v>
      </c>
      <c r="J451" s="263" t="s">
        <v>1147</v>
      </c>
      <c r="K451" s="260" t="str">
        <f>IF(ISBLANK('Dry_Litterbag Placem_Collection'!L12),"","G"&amp;""&amp;'Dry_Litterbag Placem_Collection'!L12)</f>
        <v>G642</v>
      </c>
      <c r="L451" s="264">
        <f>IFERROR(INDEX('Green_rooibos initial weight'!$C$5:$C$2000,MATCH(K451, 'Green_rooibos initial weight'!$A$5:$A$2000,0)),"")</f>
        <v>2.1269999999999998</v>
      </c>
      <c r="M451" s="264">
        <f>IFERROR(L451-(TBIcalc!$Q$9+TBIcalc!$Q$10),"")</f>
        <v>1.8771999999999998</v>
      </c>
      <c r="N451" s="385">
        <f>AVERAGE(Ashed_controlls!$K$2:$K$11)</f>
        <v>5.5147656768714146</v>
      </c>
      <c r="O451" s="264">
        <f t="shared" ref="O451:O514" si="36">IFERROR(M451-(N451/100)*M451,"")</f>
        <v>1.7736768187137695</v>
      </c>
      <c r="P451" s="264" t="str">
        <f>IFERROR(INDEX('Both teabags AfterDry'!$D$2:$D$2000,MATCH(K451,'Both teabags AfterDry'!$A$2:$A$2000,0)),"")</f>
        <v/>
      </c>
      <c r="Q451" s="264" t="str">
        <f>IFERROR(IF(P451&gt;0,P451-(TBIcalc!$Q$9),""),"")</f>
        <v/>
      </c>
      <c r="R451" s="275" t="str">
        <f>IFERROR(INDEX('Ashed teabags dry'!$K$2:$K$2000,MATCH(K451,'Ashed teabags dry'!$A$2:$A$2000,0)),"")</f>
        <v/>
      </c>
      <c r="S451" s="275" t="str">
        <f t="shared" ref="S451:S514" si="37">IFERROR(Q451-(R451/100)*Q451,"")</f>
        <v/>
      </c>
      <c r="T451" s="265">
        <f>IF('Dry_Litterbag Placem_Collection'!E12="","",'Dry_Litterbag Placem_Collection'!E12)</f>
        <v>42938</v>
      </c>
      <c r="U451" s="265" t="str">
        <f>IF('Dry_Litterbag Placem_Collection'!G12="","",'Dry_Litterbag Placem_Collection'!G12)</f>
        <v/>
      </c>
      <c r="V451" s="266" t="str">
        <f t="shared" si="35"/>
        <v/>
      </c>
      <c r="W451" s="264" t="str">
        <f t="shared" ref="W451:W514" si="38">IFERROR(M451-Q451,"")</f>
        <v/>
      </c>
      <c r="X451" s="264" t="str">
        <f t="shared" ref="X451:X514" si="39">IFERROR(O451-S451,"")</f>
        <v/>
      </c>
      <c r="Y451" s="268" t="str">
        <f>IFERROR(INDEX(Rainfall_Dry!$O$2:$O$217,MATCH(B451, Rainfall_Dry!$A$2:$A$217,0)),"")</f>
        <v/>
      </c>
      <c r="Z451" s="257">
        <v>21.13063730679653</v>
      </c>
      <c r="AA451" s="257">
        <v>3.0912555579081076</v>
      </c>
      <c r="AB451" s="257">
        <v>75.778107135295357</v>
      </c>
      <c r="AC451" s="258" t="s">
        <v>2654</v>
      </c>
      <c r="AD451" s="257">
        <v>1.46131099063578</v>
      </c>
      <c r="AE451">
        <f>IF('WetLitterbags placem_collection'!AB12="","",'WetLitterbags placem_collection'!AB12)</f>
        <v>16.8</v>
      </c>
      <c r="AF451">
        <f>IF('WetLitterbags placem_collection'!Z12="","",'WetLitterbags placem_collection'!Z12)</f>
        <v>30</v>
      </c>
      <c r="AG451" s="243" t="str">
        <f>IF('WetLitterbags placem_collection'!AA12="","",'WetLitterbags placem_collection'!AA12)</f>
        <v>M</v>
      </c>
      <c r="AH451">
        <f>IF('WetLitterbags placem_collection'!AC12="","",'WetLitterbags placem_collection'!AC12)</f>
        <v>0</v>
      </c>
      <c r="AI451">
        <f>IFERROR(AVERAGE('Dry_Litterbag Placem_Collection'!O12,'Dry_Litterbag Placem_Collection'!R12),"")</f>
        <v>1.5</v>
      </c>
      <c r="AJ451" s="268">
        <f>IFERROR(AVERAGE('Dry_Litterbag Placem_Collection'!N12,'Dry_Litterbag Placem_Collection'!Q12),"")</f>
        <v>26.1</v>
      </c>
      <c r="AK451" s="267">
        <f>INDEX(Coordinates!$B$2:$B$197,MATCH(H451,Coordinates!$J$2:$J$197,0))</f>
        <v>-3.3978119869999999</v>
      </c>
      <c r="AL451" s="267">
        <f>INDEX(Coordinates!$C$2:$C$197,MATCH(H451,Coordinates!$J$2:$J$197,0))</f>
        <v>34.836968980000002</v>
      </c>
      <c r="AM451" s="267" t="str">
        <f>IF(ISNUMBER(SEARCH("C", 'Dry_Litterbag Placem_Collection'!U12)),"YES","NO")</f>
        <v>NO</v>
      </c>
      <c r="AN451" s="267" t="str">
        <f>IF(ISNUMBER(SEARCH("H", 'Dry_Litterbag Placem_Collection'!U12)),"YES","NO")</f>
        <v>NO</v>
      </c>
      <c r="AO451" s="267" t="str">
        <f>IF(ISNUMBER(SEARCH("R", 'Dry_Litterbag Placem_Collection'!U12)),"YES","NO")</f>
        <v>NO</v>
      </c>
    </row>
    <row r="452" spans="1:41" ht="15" customHeight="1">
      <c r="A452" s="259" t="s">
        <v>2643</v>
      </c>
      <c r="B452" s="260">
        <f>'Dry_Litterbag Placem_Collection'!A13</f>
        <v>11</v>
      </c>
      <c r="C452" s="260" t="str">
        <f>'Dry_Litterbag Placem_Collection'!B13</f>
        <v>Makao</v>
      </c>
      <c r="D452" s="260" t="s">
        <v>2643</v>
      </c>
      <c r="E452" s="260" t="s">
        <v>2644</v>
      </c>
      <c r="F452" s="260">
        <v>2</v>
      </c>
      <c r="G452" s="260" t="s">
        <v>3802</v>
      </c>
      <c r="H452" s="261" t="str">
        <f>'Dry_Litterbag Placem_Collection'!C13</f>
        <v>Dry_Ag2_T3</v>
      </c>
      <c r="I452" s="270" t="s">
        <v>3630</v>
      </c>
      <c r="J452" s="263" t="s">
        <v>1147</v>
      </c>
      <c r="K452" s="260" t="str">
        <f>IF(ISBLANK('Dry_Litterbag Placem_Collection'!L13),"","G"&amp;""&amp;'Dry_Litterbag Placem_Collection'!L13)</f>
        <v>G663</v>
      </c>
      <c r="L452" s="264">
        <f>IFERROR(INDEX('Green_rooibos initial weight'!$C$5:$C$2000,MATCH(K452, 'Green_rooibos initial weight'!$A$5:$A$2000,0)),"")</f>
        <v>2.0760000000000001</v>
      </c>
      <c r="M452" s="264">
        <f>IFERROR(L452-(TBIcalc!$Q$9+TBIcalc!$Q$10),"")</f>
        <v>1.8262</v>
      </c>
      <c r="N452" s="385">
        <f>AVERAGE(Ashed_controlls!$K$2:$K$11)</f>
        <v>5.5147656768714146</v>
      </c>
      <c r="O452" s="264">
        <f t="shared" si="36"/>
        <v>1.7254893492089742</v>
      </c>
      <c r="P452" s="264">
        <f>IFERROR(INDEX('Both teabags AfterDry'!$D$2:$D$2000,MATCH(K452,'Both teabags AfterDry'!$A$2:$A$2000,0)),"")</f>
        <v>1.6718</v>
      </c>
      <c r="Q452" s="264">
        <f>IFERROR(IF(P452&gt;0,P452-(TBIcalc!$Q$9),""),"")</f>
        <v>1.5211999999999999</v>
      </c>
      <c r="R452" s="275">
        <f>IFERROR(INDEX('Ashed teabags dry'!$K$2:$K$2000,MATCH(K452,'Ashed teabags dry'!$A$2:$A$2000,0)),"")</f>
        <v>7.9058031959628696</v>
      </c>
      <c r="S452" s="275">
        <f t="shared" si="37"/>
        <v>1.4009369217830128</v>
      </c>
      <c r="T452" s="265">
        <f>IF('Dry_Litterbag Placem_Collection'!E13="","",'Dry_Litterbag Placem_Collection'!E13)</f>
        <v>42938</v>
      </c>
      <c r="U452" s="265">
        <f>IF('Dry_Litterbag Placem_Collection'!G13="","",'Dry_Litterbag Placem_Collection'!G13)</f>
        <v>43007</v>
      </c>
      <c r="V452" s="266">
        <f t="shared" si="35"/>
        <v>69</v>
      </c>
      <c r="W452" s="264">
        <f t="shared" si="38"/>
        <v>0.30500000000000016</v>
      </c>
      <c r="X452" s="264">
        <f t="shared" si="39"/>
        <v>0.32455242742596146</v>
      </c>
      <c r="Y452" s="268">
        <f>IFERROR(INDEX(Rainfall_Dry!$O$2:$O$217,MATCH(B452, Rainfall_Dry!$A$2:$A$217,0)),"")</f>
        <v>6.900000125</v>
      </c>
      <c r="Z452" s="257">
        <v>21.13063730679653</v>
      </c>
      <c r="AA452" s="257">
        <v>3.0912555579081076</v>
      </c>
      <c r="AB452" s="257">
        <v>75.778107135295357</v>
      </c>
      <c r="AC452" s="258" t="s">
        <v>2654</v>
      </c>
      <c r="AD452" s="257">
        <v>2.4613109906357802</v>
      </c>
      <c r="AE452">
        <f>IF('WetLitterbags placem_collection'!AB13="","",'WetLitterbags placem_collection'!AB13)</f>
        <v>11.4</v>
      </c>
      <c r="AF452">
        <f>IF('WetLitterbags placem_collection'!Z13="","",'WetLitterbags placem_collection'!Z13)</f>
        <v>24.4</v>
      </c>
      <c r="AG452" s="243" t="str">
        <f>IF('WetLitterbags placem_collection'!AA13="","",'WetLitterbags placem_collection'!AA13)</f>
        <v>M</v>
      </c>
      <c r="AH452">
        <f>IF('WetLitterbags placem_collection'!AC13="","",'WetLitterbags placem_collection'!AC13)</f>
        <v>0</v>
      </c>
      <c r="AI452">
        <f>IFERROR(AVERAGE('Dry_Litterbag Placem_Collection'!O13,'Dry_Litterbag Placem_Collection'!R13),"")</f>
        <v>5.3</v>
      </c>
      <c r="AJ452" s="268">
        <f>IFERROR(AVERAGE('Dry_Litterbag Placem_Collection'!N13,'Dry_Litterbag Placem_Collection'!Q13),"")</f>
        <v>26.450000000000003</v>
      </c>
      <c r="AK452" s="267">
        <f>INDEX(Coordinates!$B$2:$B$197,MATCH(H452,Coordinates!$J$2:$J$197,0))</f>
        <v>-3.3977929599999999</v>
      </c>
      <c r="AL452" s="267">
        <f>INDEX(Coordinates!$C$2:$C$197,MATCH(H452,Coordinates!$J$2:$J$197,0))</f>
        <v>34.837102999999999</v>
      </c>
      <c r="AM452" s="267" t="str">
        <f>IF(ISNUMBER(SEARCH("C", 'Dry_Litterbag Placem_Collection'!U13)),"YES","NO")</f>
        <v>NO</v>
      </c>
      <c r="AN452" s="267" t="str">
        <f>IF(ISNUMBER(SEARCH("H", 'Dry_Litterbag Placem_Collection'!U13)),"YES","NO")</f>
        <v>NO</v>
      </c>
      <c r="AO452" s="267" t="str">
        <f>IF(ISNUMBER(SEARCH("R", 'Dry_Litterbag Placem_Collection'!U13)),"YES","NO")</f>
        <v>NO</v>
      </c>
    </row>
    <row r="453" spans="1:41" ht="15" customHeight="1">
      <c r="A453" s="259" t="s">
        <v>2643</v>
      </c>
      <c r="B453" s="260">
        <f>'Dry_Litterbag Placem_Collection'!A14</f>
        <v>12</v>
      </c>
      <c r="C453" s="260" t="str">
        <f>'Dry_Litterbag Placem_Collection'!B14</f>
        <v>Makao</v>
      </c>
      <c r="D453" s="260" t="s">
        <v>2643</v>
      </c>
      <c r="E453" s="260" t="s">
        <v>2644</v>
      </c>
      <c r="F453" s="260">
        <v>2</v>
      </c>
      <c r="G453" s="260" t="s">
        <v>3802</v>
      </c>
      <c r="H453" s="261" t="str">
        <f>'Dry_Litterbag Placem_Collection'!C14</f>
        <v>Dry_Ag2_T4</v>
      </c>
      <c r="I453" s="270" t="s">
        <v>3630</v>
      </c>
      <c r="J453" s="263" t="s">
        <v>1147</v>
      </c>
      <c r="K453" s="260" t="str">
        <f>IF(ISBLANK('Dry_Litterbag Placem_Collection'!L14),"","G"&amp;""&amp;'Dry_Litterbag Placem_Collection'!L14)</f>
        <v/>
      </c>
      <c r="L453" s="264" t="str">
        <f>IFERROR(INDEX('Green_rooibos initial weight'!$C$5:$C$2000,MATCH(K453, 'Green_rooibos initial weight'!$A$5:$A$2000,0)),"")</f>
        <v/>
      </c>
      <c r="M453" s="264" t="str">
        <f>IFERROR(L453-(TBIcalc!$Q$9+TBIcalc!$Q$10),"")</f>
        <v/>
      </c>
      <c r="N453" s="385">
        <f>AVERAGE(Ashed_controlls!$K$2:$K$11)</f>
        <v>5.5147656768714146</v>
      </c>
      <c r="O453" s="264" t="str">
        <f t="shared" si="36"/>
        <v/>
      </c>
      <c r="P453" s="264" t="str">
        <f>IFERROR(INDEX('Both teabags AfterDry'!$D$2:$D$2000,MATCH(K453,'Both teabags AfterDry'!$A$2:$A$2000,0)),"")</f>
        <v/>
      </c>
      <c r="Q453" s="264" t="str">
        <f>IFERROR(IF(P453&gt;0,P453-(TBIcalc!$Q$9),""),"")</f>
        <v/>
      </c>
      <c r="R453" s="275" t="str">
        <f>IFERROR(INDEX('Ashed teabags dry'!$K$2:$K$2000,MATCH(K453,'Ashed teabags dry'!$A$2:$A$2000,0)),"")</f>
        <v/>
      </c>
      <c r="S453" s="275" t="str">
        <f t="shared" si="37"/>
        <v/>
      </c>
      <c r="T453" s="265" t="str">
        <f>IF('Dry_Litterbag Placem_Collection'!E14="","",'Dry_Litterbag Placem_Collection'!E14)</f>
        <v/>
      </c>
      <c r="U453" s="265" t="str">
        <f>IF('Dry_Litterbag Placem_Collection'!G14="","",'Dry_Litterbag Placem_Collection'!G14)</f>
        <v/>
      </c>
      <c r="V453" s="266" t="str">
        <f t="shared" si="35"/>
        <v/>
      </c>
      <c r="W453" s="264" t="str">
        <f t="shared" si="38"/>
        <v/>
      </c>
      <c r="X453" s="264" t="str">
        <f t="shared" si="39"/>
        <v/>
      </c>
      <c r="Y453" s="268" t="str">
        <f>IFERROR(INDEX(Rainfall_Dry!$O$2:$O$217,MATCH(B453, Rainfall_Dry!$A$2:$A$217,0)),"")</f>
        <v/>
      </c>
      <c r="Z453" s="257">
        <v>21.13063730679653</v>
      </c>
      <c r="AA453" s="257">
        <v>3.0912555579081076</v>
      </c>
      <c r="AB453" s="257">
        <v>75.778107135295357</v>
      </c>
      <c r="AC453" s="258" t="s">
        <v>2654</v>
      </c>
      <c r="AD453" s="257">
        <v>3.4613109906357802</v>
      </c>
      <c r="AE453" t="str">
        <f>IF('WetLitterbags placem_collection'!AB14="","",'WetLitterbags placem_collection'!AB14)</f>
        <v/>
      </c>
      <c r="AF453" t="str">
        <f>IF('WetLitterbags placem_collection'!Z14="","",'WetLitterbags placem_collection'!Z14)</f>
        <v/>
      </c>
      <c r="AG453" s="243" t="str">
        <f>IF('WetLitterbags placem_collection'!AA14="","",'WetLitterbags placem_collection'!AA14)</f>
        <v/>
      </c>
      <c r="AH453" t="str">
        <f>IF('WetLitterbags placem_collection'!AC14="","",'WetLitterbags placem_collection'!AC14)</f>
        <v/>
      </c>
      <c r="AI453" t="str">
        <f>IFERROR(AVERAGE('Dry_Litterbag Placem_Collection'!O14,'Dry_Litterbag Placem_Collection'!R14),"")</f>
        <v/>
      </c>
      <c r="AJ453" s="268" t="str">
        <f>IFERROR(AVERAGE('Dry_Litterbag Placem_Collection'!N14,'Dry_Litterbag Placem_Collection'!Q14),"")</f>
        <v/>
      </c>
      <c r="AK453" s="267">
        <f>INDEX(Coordinates!$B$2:$B$197,MATCH(H453,Coordinates!$J$2:$J$197,0))</f>
        <v>-3.3979050260000001</v>
      </c>
      <c r="AL453" s="267">
        <f>INDEX(Coordinates!$C$2:$C$197,MATCH(H453,Coordinates!$J$2:$J$197,0))</f>
        <v>34.837123030000001</v>
      </c>
      <c r="AM453" s="267" t="str">
        <f>IF(ISNUMBER(SEARCH("C", 'Dry_Litterbag Placem_Collection'!U14)),"YES","NO")</f>
        <v>NO</v>
      </c>
      <c r="AN453" s="267" t="str">
        <f>IF(ISNUMBER(SEARCH("H", 'Dry_Litterbag Placem_Collection'!U14)),"YES","NO")</f>
        <v>NO</v>
      </c>
      <c r="AO453" s="267" t="str">
        <f>IF(ISNUMBER(SEARCH("R", 'Dry_Litterbag Placem_Collection'!U14)),"YES","NO")</f>
        <v>NO</v>
      </c>
    </row>
    <row r="454" spans="1:41" ht="15" customHeight="1">
      <c r="A454" s="259" t="s">
        <v>2643</v>
      </c>
      <c r="B454" s="260">
        <f>'Dry_Litterbag Placem_Collection'!A15</f>
        <v>13</v>
      </c>
      <c r="C454" s="260" t="str">
        <f>'Dry_Litterbag Placem_Collection'!B15</f>
        <v>Makao</v>
      </c>
      <c r="D454" s="260" t="s">
        <v>2643</v>
      </c>
      <c r="E454" s="260" t="s">
        <v>2644</v>
      </c>
      <c r="F454" s="260">
        <v>2</v>
      </c>
      <c r="G454" s="260" t="s">
        <v>3802</v>
      </c>
      <c r="H454" s="261" t="str">
        <f>'Dry_Litterbag Placem_Collection'!C15</f>
        <v>Dry_Ag2_T5</v>
      </c>
      <c r="I454" s="270" t="s">
        <v>3630</v>
      </c>
      <c r="J454" s="263" t="s">
        <v>1147</v>
      </c>
      <c r="K454" s="260" t="str">
        <f>IF(ISBLANK('Dry_Litterbag Placem_Collection'!L15),"","G"&amp;""&amp;'Dry_Litterbag Placem_Collection'!L15)</f>
        <v>G874</v>
      </c>
      <c r="L454" s="264">
        <f>IFERROR(INDEX('Green_rooibos initial weight'!$C$5:$C$2000,MATCH(K454, 'Green_rooibos initial weight'!$A$5:$A$2000,0)),"")</f>
        <v>2.032</v>
      </c>
      <c r="M454" s="264">
        <f>IFERROR(L454-(TBIcalc!$Q$9+TBIcalc!$Q$10),"")</f>
        <v>1.7822</v>
      </c>
      <c r="N454" s="385">
        <f>AVERAGE(Ashed_controlls!$K$2:$K$11)</f>
        <v>5.5147656768714146</v>
      </c>
      <c r="O454" s="264">
        <f t="shared" si="36"/>
        <v>1.6839158461067976</v>
      </c>
      <c r="P454" s="264">
        <f>IFERROR(INDEX('Both teabags AfterDry'!$D$2:$D$2000,MATCH(K454,'Both teabags AfterDry'!$A$2:$A$2000,0)),"")</f>
        <v>1.361</v>
      </c>
      <c r="Q454" s="264">
        <f>IFERROR(IF(P454&gt;0,P454-(TBIcalc!$Q$9),""),"")</f>
        <v>1.2103999999999999</v>
      </c>
      <c r="R454" s="275">
        <f>IFERROR(INDEX('Ashed teabags dry'!$K$2:$K$2000,MATCH(K454,'Ashed teabags dry'!$A$2:$A$2000,0)),"")</f>
        <v>9.2644320297957403</v>
      </c>
      <c r="S454" s="275">
        <f t="shared" si="37"/>
        <v>1.0982633147113523</v>
      </c>
      <c r="T454" s="265">
        <f>IF('Dry_Litterbag Placem_Collection'!E15="","",'Dry_Litterbag Placem_Collection'!E15)</f>
        <v>42938</v>
      </c>
      <c r="U454" s="265">
        <f>IF('Dry_Litterbag Placem_Collection'!G15="","",'Dry_Litterbag Placem_Collection'!G15)</f>
        <v>43007</v>
      </c>
      <c r="V454" s="266">
        <f t="shared" si="35"/>
        <v>69</v>
      </c>
      <c r="W454" s="264">
        <f t="shared" si="38"/>
        <v>0.57180000000000009</v>
      </c>
      <c r="X454" s="264">
        <f t="shared" si="39"/>
        <v>0.58565253139544526</v>
      </c>
      <c r="Y454" s="268">
        <f>IFERROR(INDEX(Rainfall_Dry!$O$2:$O$217,MATCH(B454, Rainfall_Dry!$A$2:$A$217,0)),"")</f>
        <v>6.900000125</v>
      </c>
      <c r="Z454" s="257">
        <v>21.13063730679653</v>
      </c>
      <c r="AA454" s="257">
        <v>3.0912555579081076</v>
      </c>
      <c r="AB454" s="257">
        <v>75.778107135295357</v>
      </c>
      <c r="AC454" s="258" t="s">
        <v>2654</v>
      </c>
      <c r="AD454" s="257">
        <v>4.4613109906357797</v>
      </c>
      <c r="AE454">
        <f>IF('WetLitterbags placem_collection'!AB15="","",'WetLitterbags placem_collection'!AB15)</f>
        <v>11.4</v>
      </c>
      <c r="AF454">
        <f>IF('WetLitterbags placem_collection'!Z15="","",'WetLitterbags placem_collection'!Z15)</f>
        <v>31</v>
      </c>
      <c r="AG454" s="243" t="str">
        <f>IF('WetLitterbags placem_collection'!AA15="","",'WetLitterbags placem_collection'!AA15)</f>
        <v>M</v>
      </c>
      <c r="AH454">
        <f>IF('WetLitterbags placem_collection'!AC15="","",'WetLitterbags placem_collection'!AC15)</f>
        <v>0</v>
      </c>
      <c r="AI454">
        <f>IFERROR(AVERAGE('Dry_Litterbag Placem_Collection'!O15,'Dry_Litterbag Placem_Collection'!R15),"")</f>
        <v>4.8</v>
      </c>
      <c r="AJ454" s="268">
        <f>IFERROR(AVERAGE('Dry_Litterbag Placem_Collection'!N15,'Dry_Litterbag Placem_Collection'!Q15),"")</f>
        <v>26.1</v>
      </c>
      <c r="AK454" s="267">
        <f>INDEX(Coordinates!$B$2:$B$197,MATCH(H454,Coordinates!$J$2:$J$197,0))</f>
        <v>-3.3979040199999999</v>
      </c>
      <c r="AL454" s="267">
        <f>INDEX(Coordinates!$C$2:$C$197,MATCH(H454,Coordinates!$J$2:$J$197,0))</f>
        <v>34.837027980000002</v>
      </c>
      <c r="AM454" s="267" t="str">
        <f>IF(ISNUMBER(SEARCH("C", 'Dry_Litterbag Placem_Collection'!U15)),"YES","NO")</f>
        <v>NO</v>
      </c>
      <c r="AN454" s="267" t="str">
        <f>IF(ISNUMBER(SEARCH("H", 'Dry_Litterbag Placem_Collection'!U15)),"YES","NO")</f>
        <v>NO</v>
      </c>
      <c r="AO454" s="267" t="str">
        <f>IF(ISNUMBER(SEARCH("R", 'Dry_Litterbag Placem_Collection'!U15)),"YES","NO")</f>
        <v>NO</v>
      </c>
    </row>
    <row r="455" spans="1:41" ht="15" customHeight="1">
      <c r="A455" s="259" t="s">
        <v>2643</v>
      </c>
      <c r="B455" s="260">
        <f>'Dry_Litterbag Placem_Collection'!A16</f>
        <v>14</v>
      </c>
      <c r="C455" s="260" t="str">
        <f>'Dry_Litterbag Placem_Collection'!B16</f>
        <v>Makao</v>
      </c>
      <c r="D455" s="260" t="s">
        <v>2643</v>
      </c>
      <c r="E455" s="260" t="s">
        <v>2644</v>
      </c>
      <c r="F455" s="260">
        <v>2</v>
      </c>
      <c r="G455" s="260" t="s">
        <v>3802</v>
      </c>
      <c r="H455" s="261" t="str">
        <f>'Dry_Litterbag Placem_Collection'!C16</f>
        <v>Dry_Ag2_T6</v>
      </c>
      <c r="I455" s="270" t="s">
        <v>3630</v>
      </c>
      <c r="J455" s="263" t="s">
        <v>1147</v>
      </c>
      <c r="K455" s="260" t="str">
        <f>IF(ISBLANK('Dry_Litterbag Placem_Collection'!L16),"","G"&amp;""&amp;'Dry_Litterbag Placem_Collection'!L16)</f>
        <v>G219</v>
      </c>
      <c r="L455" s="264">
        <f>IFERROR(INDEX('Green_rooibos initial weight'!$C$5:$C$2000,MATCH(K455, 'Green_rooibos initial weight'!$A$5:$A$2000,0)),"")</f>
        <v>2.0110000000000001</v>
      </c>
      <c r="M455" s="264">
        <f>IFERROR(L455-(TBIcalc!$Q$9+TBIcalc!$Q$10),"")</f>
        <v>1.7612000000000001</v>
      </c>
      <c r="N455" s="385">
        <f>AVERAGE(Ashed_controlls!$K$2:$K$11)</f>
        <v>5.5147656768714146</v>
      </c>
      <c r="O455" s="264">
        <f t="shared" si="36"/>
        <v>1.6640739468989407</v>
      </c>
      <c r="P455" s="264">
        <f>IFERROR(INDEX('Both teabags AfterDry'!$D$2:$D$2000,MATCH(K455,'Both teabags AfterDry'!$A$2:$A$2000,0)),"")</f>
        <v>0.76939999999999997</v>
      </c>
      <c r="Q455" s="264">
        <f>IFERROR(IF(P455&gt;0,P455-(TBIcalc!$Q$9),""),"")</f>
        <v>0.61880000000000002</v>
      </c>
      <c r="R455" s="275">
        <f>IFERROR(INDEX('Ashed teabags dry'!$K$2:$K$2000,MATCH(K455,'Ashed teabags dry'!$A$2:$A$2000,0)),"")</f>
        <v>15.956439393940133</v>
      </c>
      <c r="S455" s="275">
        <f t="shared" si="37"/>
        <v>0.52006155303029844</v>
      </c>
      <c r="T455" s="265">
        <f>IF('Dry_Litterbag Placem_Collection'!E16="","",'Dry_Litterbag Placem_Collection'!E16)</f>
        <v>42938</v>
      </c>
      <c r="U455" s="265">
        <f>IF('Dry_Litterbag Placem_Collection'!G16="","",'Dry_Litterbag Placem_Collection'!G16)</f>
        <v>43007</v>
      </c>
      <c r="V455" s="266">
        <f t="shared" si="35"/>
        <v>69</v>
      </c>
      <c r="W455" s="264">
        <f t="shared" si="38"/>
        <v>1.1424000000000001</v>
      </c>
      <c r="X455" s="264">
        <f t="shared" si="39"/>
        <v>1.1440123938686422</v>
      </c>
      <c r="Y455" s="268">
        <f>IFERROR(INDEX(Rainfall_Dry!$O$2:$O$217,MATCH(B455, Rainfall_Dry!$A$2:$A$217,0)),"")</f>
        <v>6.900000125</v>
      </c>
      <c r="Z455" s="257">
        <v>21.13063730679653</v>
      </c>
      <c r="AA455" s="257">
        <v>3.0912555579081076</v>
      </c>
      <c r="AB455" s="257">
        <v>75.778107135295357</v>
      </c>
      <c r="AC455" s="258" t="s">
        <v>2654</v>
      </c>
      <c r="AD455" s="257">
        <v>5.4613109906357797</v>
      </c>
      <c r="AE455">
        <f>IF('WetLitterbags placem_collection'!AB16="","",'WetLitterbags placem_collection'!AB16)</f>
        <v>28.4</v>
      </c>
      <c r="AF455">
        <f>IF('WetLitterbags placem_collection'!Z16="","",'WetLitterbags placem_collection'!Z16)</f>
        <v>42.4</v>
      </c>
      <c r="AG455" s="243" t="str">
        <f>IF('WetLitterbags placem_collection'!AA16="","",'WetLitterbags placem_collection'!AA16)</f>
        <v>M</v>
      </c>
      <c r="AH455">
        <f>IF('WetLitterbags placem_collection'!AC16="","",'WetLitterbags placem_collection'!AC16)</f>
        <v>0</v>
      </c>
      <c r="AI455">
        <f>IFERROR(AVERAGE('Dry_Litterbag Placem_Collection'!O16,'Dry_Litterbag Placem_Collection'!R16),"")</f>
        <v>3.4</v>
      </c>
      <c r="AJ455" s="268">
        <f>IFERROR(AVERAGE('Dry_Litterbag Placem_Collection'!N16,'Dry_Litterbag Placem_Collection'!Q16),"")</f>
        <v>25.55</v>
      </c>
      <c r="AK455" s="267">
        <f>INDEX(Coordinates!$B$2:$B$197,MATCH(H455,Coordinates!$J$2:$J$197,0))</f>
        <v>-3.397854986</v>
      </c>
      <c r="AL455" s="267">
        <f>INDEX(Coordinates!$C$2:$C$197,MATCH(H455,Coordinates!$J$2:$J$197,0))</f>
        <v>34.836874010000002</v>
      </c>
      <c r="AM455" s="267" t="str">
        <f>IF(ISNUMBER(SEARCH("C", 'Dry_Litterbag Placem_Collection'!U16)),"YES","NO")</f>
        <v>NO</v>
      </c>
      <c r="AN455" s="267" t="str">
        <f>IF(ISNUMBER(SEARCH("H", 'Dry_Litterbag Placem_Collection'!U16)),"YES","NO")</f>
        <v>NO</v>
      </c>
      <c r="AO455" s="267" t="str">
        <f>IF(ISNUMBER(SEARCH("R", 'Dry_Litterbag Placem_Collection'!U16)),"YES","NO")</f>
        <v>YES</v>
      </c>
    </row>
    <row r="456" spans="1:41" ht="15" customHeight="1">
      <c r="A456" s="259" t="s">
        <v>2643</v>
      </c>
      <c r="B456" s="260">
        <f>'Dry_Litterbag Placem_Collection'!A17</f>
        <v>15</v>
      </c>
      <c r="C456" s="260" t="str">
        <f>'Dry_Litterbag Placem_Collection'!B17</f>
        <v>Makao</v>
      </c>
      <c r="D456" s="260" t="s">
        <v>2643</v>
      </c>
      <c r="E456" s="260" t="s">
        <v>2644</v>
      </c>
      <c r="F456" s="260">
        <v>2</v>
      </c>
      <c r="G456" s="260" t="s">
        <v>3802</v>
      </c>
      <c r="H456" s="261" t="str">
        <f>'Dry_Litterbag Placem_Collection'!C17</f>
        <v>Dry_Ag2_T7</v>
      </c>
      <c r="I456" s="270" t="s">
        <v>3630</v>
      </c>
      <c r="J456" s="263" t="s">
        <v>1147</v>
      </c>
      <c r="K456" s="260" t="str">
        <f>IF(ISBLANK('Dry_Litterbag Placem_Collection'!L17),"","G"&amp;""&amp;'Dry_Litterbag Placem_Collection'!L17)</f>
        <v>G630</v>
      </c>
      <c r="L456" s="264">
        <f>IFERROR(INDEX('Green_rooibos initial weight'!$C$5:$C$2000,MATCH(K456, 'Green_rooibos initial weight'!$A$5:$A$2000,0)),"")</f>
        <v>2.12</v>
      </c>
      <c r="M456" s="264">
        <f>IFERROR(L456-(TBIcalc!$Q$9+TBIcalc!$Q$10),"")</f>
        <v>1.8702000000000001</v>
      </c>
      <c r="N456" s="385">
        <f>AVERAGE(Ashed_controlls!$K$2:$K$11)</f>
        <v>5.5147656768714146</v>
      </c>
      <c r="O456" s="264">
        <f t="shared" si="36"/>
        <v>1.7670628523111509</v>
      </c>
      <c r="P456" s="264">
        <f>IFERROR(INDEX('Both teabags AfterDry'!$D$2:$D$2000,MATCH(K456,'Both teabags AfterDry'!$A$2:$A$2000,0)),"")</f>
        <v>1.8631</v>
      </c>
      <c r="Q456" s="264">
        <f>IFERROR(IF(P456&gt;0,P456-(TBIcalc!$Q$9),""),"")</f>
        <v>1.7124999999999999</v>
      </c>
      <c r="R456" s="275">
        <f>IFERROR(INDEX('Ashed teabags dry'!$K$2:$K$2000,MATCH(K456,'Ashed teabags dry'!$A$2:$A$2000,0)),"")</f>
        <v>6.134371957156727</v>
      </c>
      <c r="S456" s="275">
        <f t="shared" si="37"/>
        <v>1.607448880233691</v>
      </c>
      <c r="T456" s="265">
        <f>IF('Dry_Litterbag Placem_Collection'!E17="","",'Dry_Litterbag Placem_Collection'!E17)</f>
        <v>42938</v>
      </c>
      <c r="U456" s="265">
        <f>IF('Dry_Litterbag Placem_Collection'!G17="","",'Dry_Litterbag Placem_Collection'!G17)</f>
        <v>43007</v>
      </c>
      <c r="V456" s="266">
        <f t="shared" si="35"/>
        <v>69</v>
      </c>
      <c r="W456" s="264">
        <f t="shared" si="38"/>
        <v>0.15770000000000017</v>
      </c>
      <c r="X456" s="264">
        <f t="shared" si="39"/>
        <v>0.15961397207745986</v>
      </c>
      <c r="Y456" s="268">
        <f>IFERROR(INDEX(Rainfall_Dry!$O$2:$O$217,MATCH(B456, Rainfall_Dry!$A$2:$A$217,0)),"")</f>
        <v>6.900000125</v>
      </c>
      <c r="Z456" s="257">
        <v>21.13063730679653</v>
      </c>
      <c r="AA456" s="257">
        <v>3.0912555579081076</v>
      </c>
      <c r="AB456" s="257">
        <v>75.778107135295357</v>
      </c>
      <c r="AC456" s="258" t="s">
        <v>2654</v>
      </c>
      <c r="AD456" s="257">
        <v>6.4613109906357797</v>
      </c>
      <c r="AE456">
        <f>IF('WetLitterbags placem_collection'!AB17="","",'WetLitterbags placem_collection'!AB17)</f>
        <v>15.8</v>
      </c>
      <c r="AF456">
        <f>IF('WetLitterbags placem_collection'!Z17="","",'WetLitterbags placem_collection'!Z17)</f>
        <v>30.4</v>
      </c>
      <c r="AG456" s="243" t="str">
        <f>IF('WetLitterbags placem_collection'!AA17="","",'WetLitterbags placem_collection'!AA17)</f>
        <v>M</v>
      </c>
      <c r="AH456">
        <f>IF('WetLitterbags placem_collection'!AC17="","",'WetLitterbags placem_collection'!AC17)</f>
        <v>0</v>
      </c>
      <c r="AI456">
        <f>IFERROR(AVERAGE('Dry_Litterbag Placem_Collection'!O17,'Dry_Litterbag Placem_Collection'!R17),"")</f>
        <v>3.0999999999999996</v>
      </c>
      <c r="AJ456" s="268">
        <f>IFERROR(AVERAGE('Dry_Litterbag Placem_Collection'!N17,'Dry_Litterbag Placem_Collection'!Q17),"")</f>
        <v>28</v>
      </c>
      <c r="AK456" s="267">
        <f>INDEX(Coordinates!$B$2:$B$197,MATCH(H456,Coordinates!$J$2:$J$197,0))</f>
        <v>-3.3978060349999999</v>
      </c>
      <c r="AL456" s="267">
        <f>INDEX(Coordinates!$C$2:$C$197,MATCH(H456,Coordinates!$J$2:$J$197,0))</f>
        <v>34.837023960000003</v>
      </c>
      <c r="AM456" s="267" t="str">
        <f>IF(ISNUMBER(SEARCH("C", 'Dry_Litterbag Placem_Collection'!U17)),"YES","NO")</f>
        <v>NO</v>
      </c>
      <c r="AN456" s="267" t="str">
        <f>IF(ISNUMBER(SEARCH("H", 'Dry_Litterbag Placem_Collection'!U17)),"YES","NO")</f>
        <v>NO</v>
      </c>
      <c r="AO456" s="267" t="str">
        <f>IF(ISNUMBER(SEARCH("R", 'Dry_Litterbag Placem_Collection'!U17)),"YES","NO")</f>
        <v>NO</v>
      </c>
    </row>
    <row r="457" spans="1:41" ht="15" customHeight="1">
      <c r="A457" s="259" t="s">
        <v>2643</v>
      </c>
      <c r="B457" s="260">
        <f>'Dry_Litterbag Placem_Collection'!A18</f>
        <v>16</v>
      </c>
      <c r="C457" s="260" t="str">
        <f>'Dry_Litterbag Placem_Collection'!B18</f>
        <v>Makao</v>
      </c>
      <c r="D457" s="260" t="s">
        <v>2643</v>
      </c>
      <c r="E457" s="260" t="s">
        <v>2644</v>
      </c>
      <c r="F457" s="260">
        <v>2</v>
      </c>
      <c r="G457" s="260" t="s">
        <v>3802</v>
      </c>
      <c r="H457" s="261" t="str">
        <f>'Dry_Litterbag Placem_Collection'!C18</f>
        <v>Dry_Ag2_T8</v>
      </c>
      <c r="I457" s="270" t="s">
        <v>3630</v>
      </c>
      <c r="J457" s="263" t="s">
        <v>1147</v>
      </c>
      <c r="K457" s="260" t="str">
        <f>IF(ISBLANK('Dry_Litterbag Placem_Collection'!L18),"","G"&amp;""&amp;'Dry_Litterbag Placem_Collection'!L18)</f>
        <v>G662</v>
      </c>
      <c r="L457" s="264">
        <f>IFERROR(INDEX('Green_rooibos initial weight'!$C$5:$C$2000,MATCH(K457, 'Green_rooibos initial weight'!$A$5:$A$2000,0)),"")</f>
        <v>2.1349999999999998</v>
      </c>
      <c r="M457" s="264">
        <f>IFERROR(L457-(TBIcalc!$Q$9+TBIcalc!$Q$10),"")</f>
        <v>1.8851999999999998</v>
      </c>
      <c r="N457" s="385">
        <f>AVERAGE(Ashed_controlls!$K$2:$K$11)</f>
        <v>5.5147656768714146</v>
      </c>
      <c r="O457" s="264">
        <f t="shared" si="36"/>
        <v>1.7812356374596199</v>
      </c>
      <c r="P457" s="264" t="str">
        <f>IFERROR(INDEX('Both teabags AfterDry'!$D$2:$D$2000,MATCH(K457,'Both teabags AfterDry'!$A$2:$A$2000,0)),"")</f>
        <v/>
      </c>
      <c r="Q457" s="264" t="str">
        <f>IFERROR(IF(P457&gt;0,P457-(TBIcalc!$Q$9),""),"")</f>
        <v/>
      </c>
      <c r="R457" s="275" t="str">
        <f>IFERROR(INDEX('Ashed teabags dry'!$K$2:$K$2000,MATCH(K457,'Ashed teabags dry'!$A$2:$A$2000,0)),"")</f>
        <v/>
      </c>
      <c r="S457" s="275" t="str">
        <f t="shared" si="37"/>
        <v/>
      </c>
      <c r="T457" s="265">
        <f>IF('Dry_Litterbag Placem_Collection'!E18="","",'Dry_Litterbag Placem_Collection'!E18)</f>
        <v>42938</v>
      </c>
      <c r="U457" s="265">
        <f>IF('Dry_Litterbag Placem_Collection'!G18="","",'Dry_Litterbag Placem_Collection'!G18)</f>
        <v>43007</v>
      </c>
      <c r="V457" s="266">
        <f t="shared" si="35"/>
        <v>69</v>
      </c>
      <c r="W457" s="264" t="str">
        <f t="shared" si="38"/>
        <v/>
      </c>
      <c r="X457" s="264" t="str">
        <f t="shared" si="39"/>
        <v/>
      </c>
      <c r="Y457" s="268">
        <f>IFERROR(INDEX(Rainfall_Dry!$O$2:$O$217,MATCH(B457, Rainfall_Dry!$A$2:$A$217,0)),"")</f>
        <v>6.900000125</v>
      </c>
      <c r="Z457" s="257">
        <v>21.13063730679653</v>
      </c>
      <c r="AA457" s="257">
        <v>3.0912555579081076</v>
      </c>
      <c r="AB457" s="257">
        <v>75.778107135295357</v>
      </c>
      <c r="AC457" s="258" t="s">
        <v>2654</v>
      </c>
      <c r="AD457" s="257">
        <v>7.4613109906357797</v>
      </c>
      <c r="AE457">
        <f>IF('WetLitterbags placem_collection'!AB18="","",'WetLitterbags placem_collection'!AB18)</f>
        <v>8</v>
      </c>
      <c r="AF457">
        <f>IF('WetLitterbags placem_collection'!Z18="","",'WetLitterbags placem_collection'!Z18)</f>
        <v>12.4</v>
      </c>
      <c r="AG457" s="243" t="str">
        <f>IF('WetLitterbags placem_collection'!AA18="","",'WetLitterbags placem_collection'!AA18)</f>
        <v>M</v>
      </c>
      <c r="AH457">
        <f>IF('WetLitterbags placem_collection'!AC18="","",'WetLitterbags placem_collection'!AC18)</f>
        <v>0</v>
      </c>
      <c r="AI457">
        <f>IFERROR(AVERAGE('Dry_Litterbag Placem_Collection'!O18,'Dry_Litterbag Placem_Collection'!R18),"")</f>
        <v>9.1999999999999993</v>
      </c>
      <c r="AJ457" s="268">
        <f>IFERROR(AVERAGE('Dry_Litterbag Placem_Collection'!N18,'Dry_Litterbag Placem_Collection'!Q18),"")</f>
        <v>27.049999999999997</v>
      </c>
      <c r="AK457" s="267">
        <f>INDEX(Coordinates!$B$2:$B$197,MATCH(H457,Coordinates!$J$2:$J$197,0))</f>
        <v>-3.3977669760000002</v>
      </c>
      <c r="AL457" s="267">
        <f>INDEX(Coordinates!$C$2:$C$197,MATCH(H457,Coordinates!$J$2:$J$197,0))</f>
        <v>34.837181039999997</v>
      </c>
      <c r="AM457" s="267" t="str">
        <f>IF(ISNUMBER(SEARCH("C", 'Dry_Litterbag Placem_Collection'!U18)),"YES","NO")</f>
        <v>NO</v>
      </c>
      <c r="AN457" s="267" t="str">
        <f>IF(ISNUMBER(SEARCH("H", 'Dry_Litterbag Placem_Collection'!U18)),"YES","NO")</f>
        <v>NO</v>
      </c>
      <c r="AO457" s="267" t="str">
        <f>IF(ISNUMBER(SEARCH("R", 'Dry_Litterbag Placem_Collection'!U18)),"YES","NO")</f>
        <v>YES</v>
      </c>
    </row>
    <row r="458" spans="1:41" ht="15" customHeight="1">
      <c r="A458" s="259" t="s">
        <v>2643</v>
      </c>
      <c r="B458" s="260">
        <f>'Dry_Litterbag Placem_Collection'!A19</f>
        <v>17</v>
      </c>
      <c r="C458" s="260" t="str">
        <f>'Dry_Litterbag Placem_Collection'!B19</f>
        <v>Makao</v>
      </c>
      <c r="D458" s="260" t="s">
        <v>2643</v>
      </c>
      <c r="E458" s="260" t="s">
        <v>2644</v>
      </c>
      <c r="F458" s="260">
        <v>3</v>
      </c>
      <c r="G458" s="260" t="s">
        <v>3803</v>
      </c>
      <c r="H458" s="261" t="str">
        <f>'Dry_Litterbag Placem_Collection'!C19</f>
        <v>Dry_Ag3_T1</v>
      </c>
      <c r="I458" s="270" t="s">
        <v>3630</v>
      </c>
      <c r="J458" s="263" t="s">
        <v>1147</v>
      </c>
      <c r="K458" s="260" t="str">
        <f>IF(ISBLANK('Dry_Litterbag Placem_Collection'!L19),"","G"&amp;""&amp;'Dry_Litterbag Placem_Collection'!L19)</f>
        <v>G349</v>
      </c>
      <c r="L458" s="264">
        <f>IFERROR(INDEX('Green_rooibos initial weight'!$C$5:$C$2000,MATCH(K458, 'Green_rooibos initial weight'!$A$5:$A$2000,0)),"")</f>
        <v>1.9450000000000001</v>
      </c>
      <c r="M458" s="264">
        <f>IFERROR(L458-(TBIcalc!$Q$9+TBIcalc!$Q$10),"")</f>
        <v>1.6952</v>
      </c>
      <c r="N458" s="385">
        <f>AVERAGE(Ashed_controlls!$K$2:$K$11)</f>
        <v>5.5147656768714146</v>
      </c>
      <c r="O458" s="264">
        <f t="shared" si="36"/>
        <v>1.6017136922456758</v>
      </c>
      <c r="P458" s="264">
        <f>IFERROR(INDEX('Both teabags AfterDry'!$D$2:$D$2000,MATCH(K458,'Both teabags AfterDry'!$A$2:$A$2000,0)),"")</f>
        <v>1.7968</v>
      </c>
      <c r="Q458" s="264">
        <f>IFERROR(IF(P458&gt;0,P458-(TBIcalc!$Q$9),""),"")</f>
        <v>1.6461999999999999</v>
      </c>
      <c r="R458" s="275">
        <f>IFERROR(INDEX('Ashed teabags dry'!$K$2:$K$2000,MATCH(K458,'Ashed teabags dry'!$A$2:$A$2000,0)),"")</f>
        <v>5.923344947734277</v>
      </c>
      <c r="S458" s="275">
        <f t="shared" si="37"/>
        <v>1.5486898954703983</v>
      </c>
      <c r="T458" s="265">
        <f>IF('Dry_Litterbag Placem_Collection'!E19="","",'Dry_Litterbag Placem_Collection'!E19)</f>
        <v>42936</v>
      </c>
      <c r="U458" s="265">
        <f>IF('Dry_Litterbag Placem_Collection'!G19="","",'Dry_Litterbag Placem_Collection'!G19)</f>
        <v>43007</v>
      </c>
      <c r="V458" s="266">
        <f t="shared" si="35"/>
        <v>71</v>
      </c>
      <c r="W458" s="264">
        <f t="shared" si="38"/>
        <v>4.9000000000000155E-2</v>
      </c>
      <c r="X458" s="264">
        <f t="shared" si="39"/>
        <v>5.3023796775277576E-2</v>
      </c>
      <c r="Y458" s="268">
        <f>IFERROR(INDEX(Rainfall_Dry!$O$2:$O$217,MATCH(B458, Rainfall_Dry!$A$2:$A$217,0)),"")</f>
        <v>6.900000125</v>
      </c>
      <c r="Z458" s="257">
        <v>54.080969906906262</v>
      </c>
      <c r="AA458" s="257">
        <v>21.264484651351896</v>
      </c>
      <c r="AB458" s="257">
        <v>24.654545441741845</v>
      </c>
      <c r="AC458" s="258" t="s">
        <v>2657</v>
      </c>
      <c r="AD458" s="257">
        <v>1.8433218334154755</v>
      </c>
      <c r="AE458" t="str">
        <f>IF('WetLitterbags placem_collection'!AB19="","",'WetLitterbags placem_collection'!AB19)</f>
        <v/>
      </c>
      <c r="AF458" t="str">
        <f>IF('WetLitterbags placem_collection'!Z19="","",'WetLitterbags placem_collection'!Z19)</f>
        <v/>
      </c>
      <c r="AG458" s="243" t="str">
        <f>IF('WetLitterbags placem_collection'!AA19="","",'WetLitterbags placem_collection'!AA19)</f>
        <v/>
      </c>
      <c r="AH458" t="str">
        <f>IF('WetLitterbags placem_collection'!AC19="","",'WetLitterbags placem_collection'!AC19)</f>
        <v/>
      </c>
      <c r="AI458">
        <f>IFERROR(AVERAGE('Dry_Litterbag Placem_Collection'!O19,'Dry_Litterbag Placem_Collection'!R19),"")</f>
        <v>12.9</v>
      </c>
      <c r="AJ458" s="268">
        <f>IFERROR(AVERAGE('Dry_Litterbag Placem_Collection'!N19,'Dry_Litterbag Placem_Collection'!Q19),"")</f>
        <v>26.2</v>
      </c>
      <c r="AK458" s="267">
        <f>INDEX(Coordinates!$B$2:$B$197,MATCH(H458,Coordinates!$J$2:$J$197,0))</f>
        <v>-3.3854090330000002</v>
      </c>
      <c r="AL458" s="267">
        <f>INDEX(Coordinates!$C$2:$C$197,MATCH(H458,Coordinates!$J$2:$J$197,0))</f>
        <v>34.818901029999999</v>
      </c>
      <c r="AM458" s="267" t="str">
        <f>IF(ISNUMBER(SEARCH("C", 'Dry_Litterbag Placem_Collection'!U19)),"YES","NO")</f>
        <v>NO</v>
      </c>
      <c r="AN458" s="267" t="str">
        <f>IF(ISNUMBER(SEARCH("H", 'Dry_Litterbag Placem_Collection'!U19)),"YES","NO")</f>
        <v>NO</v>
      </c>
      <c r="AO458" s="267" t="str">
        <f>IF(ISNUMBER(SEARCH("R", 'Dry_Litterbag Placem_Collection'!U19)),"YES","NO")</f>
        <v>NO</v>
      </c>
    </row>
    <row r="459" spans="1:41" ht="15" customHeight="1">
      <c r="A459" s="259" t="s">
        <v>2643</v>
      </c>
      <c r="B459" s="260">
        <f>'Dry_Litterbag Placem_Collection'!A20</f>
        <v>18</v>
      </c>
      <c r="C459" s="260" t="str">
        <f>'Dry_Litterbag Placem_Collection'!B20</f>
        <v>Makao</v>
      </c>
      <c r="D459" s="260" t="s">
        <v>2643</v>
      </c>
      <c r="E459" s="260" t="s">
        <v>2644</v>
      </c>
      <c r="F459" s="260">
        <v>3</v>
      </c>
      <c r="G459" s="260" t="s">
        <v>3803</v>
      </c>
      <c r="H459" s="261" t="str">
        <f>'Dry_Litterbag Placem_Collection'!C20</f>
        <v>Dry_Ag3_T2</v>
      </c>
      <c r="I459" s="270" t="s">
        <v>3630</v>
      </c>
      <c r="J459" s="263" t="s">
        <v>1147</v>
      </c>
      <c r="K459" s="260" t="str">
        <f>IF(ISBLANK('Dry_Litterbag Placem_Collection'!L20),"","G"&amp;""&amp;'Dry_Litterbag Placem_Collection'!L20)</f>
        <v>G113</v>
      </c>
      <c r="L459" s="264">
        <f>IFERROR(INDEX('Green_rooibos initial weight'!$C$5:$C$2000,MATCH(K459, 'Green_rooibos initial weight'!$A$5:$A$2000,0)),"")</f>
        <v>2.0539999999999998</v>
      </c>
      <c r="M459" s="264">
        <f>IFERROR(L459-(TBIcalc!$Q$9+TBIcalc!$Q$10),"")</f>
        <v>1.8041999999999998</v>
      </c>
      <c r="N459" s="385">
        <f>AVERAGE(Ashed_controlls!$K$2:$K$11)</f>
        <v>5.5147656768714146</v>
      </c>
      <c r="O459" s="264">
        <f t="shared" si="36"/>
        <v>1.7047025976578858</v>
      </c>
      <c r="P459" s="264">
        <f>IFERROR(INDEX('Both teabags AfterDry'!$D$2:$D$2000,MATCH(K459,'Both teabags AfterDry'!$A$2:$A$2000,0)),"")</f>
        <v>1.8204</v>
      </c>
      <c r="Q459" s="264">
        <f>IFERROR(IF(P459&gt;0,P459-(TBIcalc!$Q$9),""),"")</f>
        <v>1.6698</v>
      </c>
      <c r="R459" s="275">
        <f>IFERROR(INDEX('Ashed teabags dry'!$K$2:$K$2000,MATCH(K459,'Ashed teabags dry'!$A$2:$A$2000,0)),"")</f>
        <v>6.7017711823853698</v>
      </c>
      <c r="S459" s="275">
        <f t="shared" si="37"/>
        <v>1.557893824796529</v>
      </c>
      <c r="T459" s="265">
        <f>IF('Dry_Litterbag Placem_Collection'!E20="","",'Dry_Litterbag Placem_Collection'!E20)</f>
        <v>42936</v>
      </c>
      <c r="U459" s="265">
        <f>IF('Dry_Litterbag Placem_Collection'!G20="","",'Dry_Litterbag Placem_Collection'!G20)</f>
        <v>43007</v>
      </c>
      <c r="V459" s="266">
        <f t="shared" si="35"/>
        <v>71</v>
      </c>
      <c r="W459" s="264">
        <f t="shared" si="38"/>
        <v>0.13439999999999985</v>
      </c>
      <c r="X459" s="264">
        <f t="shared" si="39"/>
        <v>0.14680877286135674</v>
      </c>
      <c r="Y459" s="268">
        <f>IFERROR(INDEX(Rainfall_Dry!$O$2:$O$217,MATCH(B459, Rainfall_Dry!$A$2:$A$217,0)),"")</f>
        <v>6.900000125</v>
      </c>
      <c r="Z459" s="257">
        <v>54.080969906906262</v>
      </c>
      <c r="AA459" s="257">
        <v>21.264484651351896</v>
      </c>
      <c r="AB459" s="257">
        <v>24.654545441741845</v>
      </c>
      <c r="AC459" s="258" t="s">
        <v>2657</v>
      </c>
      <c r="AD459" s="257">
        <v>2.8433218334154802</v>
      </c>
      <c r="AE459" t="str">
        <f>IF('WetLitterbags placem_collection'!AB20="","",'WetLitterbags placem_collection'!AB20)</f>
        <v/>
      </c>
      <c r="AF459" t="str">
        <f>IF('WetLitterbags placem_collection'!Z20="","",'WetLitterbags placem_collection'!Z20)</f>
        <v/>
      </c>
      <c r="AG459" s="243" t="str">
        <f>IF('WetLitterbags placem_collection'!AA20="","",'WetLitterbags placem_collection'!AA20)</f>
        <v/>
      </c>
      <c r="AH459" t="str">
        <f>IF('WetLitterbags placem_collection'!AC20="","",'WetLitterbags placem_collection'!AC20)</f>
        <v/>
      </c>
      <c r="AI459">
        <f>IFERROR(AVERAGE('Dry_Litterbag Placem_Collection'!O20,'Dry_Litterbag Placem_Collection'!R20),"")</f>
        <v>11.15</v>
      </c>
      <c r="AJ459" s="268">
        <f>IFERROR(AVERAGE('Dry_Litterbag Placem_Collection'!N20,'Dry_Litterbag Placem_Collection'!Q20),"")</f>
        <v>26.1</v>
      </c>
      <c r="AK459" s="267">
        <f>INDEX(Coordinates!$B$2:$B$197,MATCH(H459,Coordinates!$J$2:$J$197,0))</f>
        <v>-3.385375002</v>
      </c>
      <c r="AL459" s="267">
        <f>INDEX(Coordinates!$C$2:$C$197,MATCH(H459,Coordinates!$J$2:$J$197,0))</f>
        <v>34.818939999999998</v>
      </c>
      <c r="AM459" s="267" t="str">
        <f>IF(ISNUMBER(SEARCH("C", 'Dry_Litterbag Placem_Collection'!U20)),"YES","NO")</f>
        <v>NO</v>
      </c>
      <c r="AN459" s="267" t="str">
        <f>IF(ISNUMBER(SEARCH("H", 'Dry_Litterbag Placem_Collection'!U20)),"YES","NO")</f>
        <v>NO</v>
      </c>
      <c r="AO459" s="267" t="str">
        <f>IF(ISNUMBER(SEARCH("R", 'Dry_Litterbag Placem_Collection'!U20)),"YES","NO")</f>
        <v>NO</v>
      </c>
    </row>
    <row r="460" spans="1:41" ht="15" customHeight="1">
      <c r="A460" s="259" t="s">
        <v>2643</v>
      </c>
      <c r="B460" s="260">
        <f>'Dry_Litterbag Placem_Collection'!A21</f>
        <v>19</v>
      </c>
      <c r="C460" s="260" t="str">
        <f>'Dry_Litterbag Placem_Collection'!B21</f>
        <v>Makao</v>
      </c>
      <c r="D460" s="260" t="s">
        <v>2643</v>
      </c>
      <c r="E460" s="260" t="s">
        <v>2644</v>
      </c>
      <c r="F460" s="260">
        <v>3</v>
      </c>
      <c r="G460" s="260" t="s">
        <v>3803</v>
      </c>
      <c r="H460" s="261" t="str">
        <f>'Dry_Litterbag Placem_Collection'!C21</f>
        <v>Dry_Ag3_T3</v>
      </c>
      <c r="I460" s="270" t="s">
        <v>3630</v>
      </c>
      <c r="J460" s="263" t="s">
        <v>1147</v>
      </c>
      <c r="K460" s="260" t="str">
        <f>IF(ISBLANK('Dry_Litterbag Placem_Collection'!L21),"","G"&amp;""&amp;'Dry_Litterbag Placem_Collection'!L21)</f>
        <v>G394</v>
      </c>
      <c r="L460" s="264">
        <f>IFERROR(INDEX('Green_rooibos initial weight'!$C$5:$C$2000,MATCH(K460, 'Green_rooibos initial weight'!$A$5:$A$2000,0)),"")</f>
        <v>2.056</v>
      </c>
      <c r="M460" s="264">
        <f>IFERROR(L460-(TBIcalc!$Q$9+TBIcalc!$Q$10),"")</f>
        <v>1.8062</v>
      </c>
      <c r="N460" s="385">
        <f>AVERAGE(Ashed_controlls!$K$2:$K$11)</f>
        <v>5.5147656768714146</v>
      </c>
      <c r="O460" s="264">
        <f t="shared" si="36"/>
        <v>1.7065923023443486</v>
      </c>
      <c r="P460" s="264">
        <f>IFERROR(INDEX('Both teabags AfterDry'!$D$2:$D$2000,MATCH(K460,'Both teabags AfterDry'!$A$2:$A$2000,0)),"")</f>
        <v>1.8532999999999999</v>
      </c>
      <c r="Q460" s="264">
        <f>IFERROR(IF(P460&gt;0,P460-(TBIcalc!$Q$9),""),"")</f>
        <v>1.7026999999999999</v>
      </c>
      <c r="R460" s="275">
        <f>IFERROR(INDEX('Ashed teabags dry'!$K$2:$K$2000,MATCH(K460,'Ashed teabags dry'!$A$2:$A$2000,0)),"")</f>
        <v>6.2286689419790493</v>
      </c>
      <c r="S460" s="275">
        <f t="shared" si="37"/>
        <v>1.5966444539249227</v>
      </c>
      <c r="T460" s="265">
        <f>IF('Dry_Litterbag Placem_Collection'!E21="","",'Dry_Litterbag Placem_Collection'!E21)</f>
        <v>42936</v>
      </c>
      <c r="U460" s="265">
        <f>IF('Dry_Litterbag Placem_Collection'!G21="","",'Dry_Litterbag Placem_Collection'!G21)</f>
        <v>43007</v>
      </c>
      <c r="V460" s="266">
        <f t="shared" si="35"/>
        <v>71</v>
      </c>
      <c r="W460" s="264">
        <f t="shared" si="38"/>
        <v>0.10350000000000015</v>
      </c>
      <c r="X460" s="264">
        <f t="shared" si="39"/>
        <v>0.10994784841942584</v>
      </c>
      <c r="Y460" s="268">
        <f>IFERROR(INDEX(Rainfall_Dry!$O$2:$O$217,MATCH(B460, Rainfall_Dry!$A$2:$A$217,0)),"")</f>
        <v>6.900000125</v>
      </c>
      <c r="Z460" s="257">
        <v>54.080969906906262</v>
      </c>
      <c r="AA460" s="257">
        <v>21.264484651351896</v>
      </c>
      <c r="AB460" s="257">
        <v>24.654545441741845</v>
      </c>
      <c r="AC460" s="258" t="s">
        <v>2657</v>
      </c>
      <c r="AD460" s="257">
        <v>3.8433218334154802</v>
      </c>
      <c r="AE460" t="str">
        <f>IF('WetLitterbags placem_collection'!AB21="","",'WetLitterbags placem_collection'!AB21)</f>
        <v/>
      </c>
      <c r="AF460" t="str">
        <f>IF('WetLitterbags placem_collection'!Z21="","",'WetLitterbags placem_collection'!Z21)</f>
        <v/>
      </c>
      <c r="AG460" s="243" t="str">
        <f>IF('WetLitterbags placem_collection'!AA21="","",'WetLitterbags placem_collection'!AA21)</f>
        <v/>
      </c>
      <c r="AH460" t="str">
        <f>IF('WetLitterbags placem_collection'!AC21="","",'WetLitterbags placem_collection'!AC21)</f>
        <v/>
      </c>
      <c r="AI460">
        <f>IFERROR(AVERAGE('Dry_Litterbag Placem_Collection'!O21,'Dry_Litterbag Placem_Collection'!R21),"")</f>
        <v>15.75</v>
      </c>
      <c r="AJ460" s="268">
        <f>IFERROR(AVERAGE('Dry_Litterbag Placem_Collection'!N21,'Dry_Litterbag Placem_Collection'!Q21),"")</f>
        <v>25.700000000000003</v>
      </c>
      <c r="AK460" s="267">
        <f>INDEX(Coordinates!$B$2:$B$197,MATCH(H460,Coordinates!$J$2:$J$197,0))</f>
        <v>-3.3853589930000001</v>
      </c>
      <c r="AL460" s="267">
        <f>INDEX(Coordinates!$C$2:$C$197,MATCH(H460,Coordinates!$J$2:$J$197,0))</f>
        <v>34.818991969999999</v>
      </c>
      <c r="AM460" s="267" t="str">
        <f>IF(ISNUMBER(SEARCH("C", 'Dry_Litterbag Placem_Collection'!U21)),"YES","NO")</f>
        <v>NO</v>
      </c>
      <c r="AN460" s="267" t="str">
        <f>IF(ISNUMBER(SEARCH("H", 'Dry_Litterbag Placem_Collection'!U21)),"YES","NO")</f>
        <v>NO</v>
      </c>
      <c r="AO460" s="267" t="str">
        <f>IF(ISNUMBER(SEARCH("R", 'Dry_Litterbag Placem_Collection'!U21)),"YES","NO")</f>
        <v>NO</v>
      </c>
    </row>
    <row r="461" spans="1:41" ht="15" customHeight="1">
      <c r="A461" s="259" t="s">
        <v>2643</v>
      </c>
      <c r="B461" s="260">
        <f>'Dry_Litterbag Placem_Collection'!A22</f>
        <v>20</v>
      </c>
      <c r="C461" s="260" t="str">
        <f>'Dry_Litterbag Placem_Collection'!B22</f>
        <v>Makao</v>
      </c>
      <c r="D461" s="260" t="s">
        <v>2643</v>
      </c>
      <c r="E461" s="260" t="s">
        <v>2644</v>
      </c>
      <c r="F461" s="260">
        <v>3</v>
      </c>
      <c r="G461" s="260" t="s">
        <v>3803</v>
      </c>
      <c r="H461" s="261" t="str">
        <f>'Dry_Litterbag Placem_Collection'!C22</f>
        <v>Dry_Ag3_T4</v>
      </c>
      <c r="I461" s="270" t="s">
        <v>3630</v>
      </c>
      <c r="J461" s="263" t="s">
        <v>1147</v>
      </c>
      <c r="K461" s="260" t="str">
        <f>IF(ISBLANK('Dry_Litterbag Placem_Collection'!L22),"","G"&amp;""&amp;'Dry_Litterbag Placem_Collection'!L22)</f>
        <v>G79</v>
      </c>
      <c r="L461" s="264">
        <f>IFERROR(INDEX('Green_rooibos initial weight'!$C$5:$C$2000,MATCH(K461, 'Green_rooibos initial weight'!$A$5:$A$2000,0)),"")</f>
        <v>2.1120000000000001</v>
      </c>
      <c r="M461" s="264">
        <f>IFERROR(L461-(TBIcalc!$Q$9+TBIcalc!$Q$10),"")</f>
        <v>1.8622000000000001</v>
      </c>
      <c r="N461" s="385">
        <f>AVERAGE(Ashed_controlls!$K$2:$K$11)</f>
        <v>5.5147656768714146</v>
      </c>
      <c r="O461" s="264">
        <f t="shared" si="36"/>
        <v>1.7595040335653005</v>
      </c>
      <c r="P461" s="264">
        <f>IFERROR(INDEX('Both teabags AfterDry'!$D$2:$D$2000,MATCH(K461,'Both teabags AfterDry'!$A$2:$A$2000,0)),"")</f>
        <v>1.8559000000000001</v>
      </c>
      <c r="Q461" s="264">
        <f>IFERROR(IF(P461&gt;0,P461-(TBIcalc!$Q$9),""),"")</f>
        <v>1.7053</v>
      </c>
      <c r="R461" s="275">
        <f>IFERROR(INDEX('Ashed teabags dry'!$K$2:$K$2000,MATCH(K461,'Ashed teabags dry'!$A$2:$A$2000,0)),"")</f>
        <v>6.4935064935060867</v>
      </c>
      <c r="S461" s="275">
        <f t="shared" si="37"/>
        <v>1.5945662337662407</v>
      </c>
      <c r="T461" s="265">
        <f>IF('Dry_Litterbag Placem_Collection'!E22="","",'Dry_Litterbag Placem_Collection'!E22)</f>
        <v>42936</v>
      </c>
      <c r="U461" s="265">
        <f>IF('Dry_Litterbag Placem_Collection'!G22="","",'Dry_Litterbag Placem_Collection'!G22)</f>
        <v>43007</v>
      </c>
      <c r="V461" s="266">
        <f t="shared" si="35"/>
        <v>71</v>
      </c>
      <c r="W461" s="264">
        <f t="shared" si="38"/>
        <v>0.15690000000000004</v>
      </c>
      <c r="X461" s="264">
        <f t="shared" si="39"/>
        <v>0.16493779979905976</v>
      </c>
      <c r="Y461" s="268">
        <f>IFERROR(INDEX(Rainfall_Dry!$O$2:$O$217,MATCH(B461, Rainfall_Dry!$A$2:$A$217,0)),"")</f>
        <v>6.900000125</v>
      </c>
      <c r="Z461" s="257">
        <v>54.080969906906262</v>
      </c>
      <c r="AA461" s="257">
        <v>21.264484651351896</v>
      </c>
      <c r="AB461" s="257">
        <v>24.654545441741845</v>
      </c>
      <c r="AC461" s="258" t="s">
        <v>2657</v>
      </c>
      <c r="AD461" s="257">
        <v>4.8433218334154802</v>
      </c>
      <c r="AE461" t="str">
        <f>IF('WetLitterbags placem_collection'!AB22="","",'WetLitterbags placem_collection'!AB22)</f>
        <v/>
      </c>
      <c r="AF461" t="str">
        <f>IF('WetLitterbags placem_collection'!Z22="","",'WetLitterbags placem_collection'!Z22)</f>
        <v/>
      </c>
      <c r="AG461" s="243" t="str">
        <f>IF('WetLitterbags placem_collection'!AA22="","",'WetLitterbags placem_collection'!AA22)</f>
        <v/>
      </c>
      <c r="AH461" t="str">
        <f>IF('WetLitterbags placem_collection'!AC22="","",'WetLitterbags placem_collection'!AC22)</f>
        <v/>
      </c>
      <c r="AI461">
        <f>IFERROR(AVERAGE('Dry_Litterbag Placem_Collection'!O22,'Dry_Litterbag Placem_Collection'!R22),"")</f>
        <v>16</v>
      </c>
      <c r="AJ461" s="268">
        <f>IFERROR(AVERAGE('Dry_Litterbag Placem_Collection'!N22,'Dry_Litterbag Placem_Collection'!Q22),"")</f>
        <v>26.3</v>
      </c>
      <c r="AK461" s="267">
        <f>INDEX(Coordinates!$B$2:$B$197,MATCH(H461,Coordinates!$J$2:$J$197,0))</f>
        <v>-3.3853969629999998</v>
      </c>
      <c r="AL461" s="267">
        <f>INDEX(Coordinates!$C$2:$C$197,MATCH(H461,Coordinates!$J$2:$J$197,0))</f>
        <v>34.818977969999999</v>
      </c>
      <c r="AM461" s="267" t="str">
        <f>IF(ISNUMBER(SEARCH("C", 'Dry_Litterbag Placem_Collection'!U22)),"YES","NO")</f>
        <v>NO</v>
      </c>
      <c r="AN461" s="267" t="str">
        <f>IF(ISNUMBER(SEARCH("H", 'Dry_Litterbag Placem_Collection'!U22)),"YES","NO")</f>
        <v>NO</v>
      </c>
      <c r="AO461" s="267" t="str">
        <f>IF(ISNUMBER(SEARCH("R", 'Dry_Litterbag Placem_Collection'!U22)),"YES","NO")</f>
        <v>NO</v>
      </c>
    </row>
    <row r="462" spans="1:41" ht="15" customHeight="1">
      <c r="A462" s="259" t="s">
        <v>2643</v>
      </c>
      <c r="B462" s="260">
        <f>'Dry_Litterbag Placem_Collection'!A23</f>
        <v>21</v>
      </c>
      <c r="C462" s="260" t="str">
        <f>'Dry_Litterbag Placem_Collection'!B23</f>
        <v>Makao</v>
      </c>
      <c r="D462" s="260" t="s">
        <v>2643</v>
      </c>
      <c r="E462" s="260" t="s">
        <v>2644</v>
      </c>
      <c r="F462" s="260">
        <v>3</v>
      </c>
      <c r="G462" s="260" t="s">
        <v>3803</v>
      </c>
      <c r="H462" s="261" t="str">
        <f>'Dry_Litterbag Placem_Collection'!C23</f>
        <v>Dry_Ag3_T5</v>
      </c>
      <c r="I462" s="270" t="s">
        <v>3630</v>
      </c>
      <c r="J462" s="263" t="s">
        <v>1147</v>
      </c>
      <c r="K462" s="260" t="str">
        <f>IF(ISBLANK('Dry_Litterbag Placem_Collection'!L23),"","G"&amp;""&amp;'Dry_Litterbag Placem_Collection'!L23)</f>
        <v>G488</v>
      </c>
      <c r="L462" s="264">
        <f>IFERROR(INDEX('Green_rooibos initial weight'!$C$5:$C$2000,MATCH(K462, 'Green_rooibos initial weight'!$A$5:$A$2000,0)),"")</f>
        <v>1.9910000000000001</v>
      </c>
      <c r="M462" s="264">
        <f>IFERROR(L462-(TBIcalc!$Q$9+TBIcalc!$Q$10),"")</f>
        <v>1.7412000000000001</v>
      </c>
      <c r="N462" s="385">
        <f>AVERAGE(Ashed_controlls!$K$2:$K$11)</f>
        <v>5.5147656768714146</v>
      </c>
      <c r="O462" s="264">
        <f t="shared" si="36"/>
        <v>1.645176900034315</v>
      </c>
      <c r="P462" s="264" t="str">
        <f>IFERROR(INDEX('Both teabags AfterDry'!$D$2:$D$2000,MATCH(K462,'Both teabags AfterDry'!$A$2:$A$2000,0)),"")</f>
        <v/>
      </c>
      <c r="Q462" s="264" t="str">
        <f>IFERROR(IF(P462&gt;0,P462-(TBIcalc!$Q$9),""),"")</f>
        <v/>
      </c>
      <c r="R462" s="275" t="str">
        <f>IFERROR(INDEX('Ashed teabags dry'!$K$2:$K$2000,MATCH(K462,'Ashed teabags dry'!$A$2:$A$2000,0)),"")</f>
        <v/>
      </c>
      <c r="S462" s="275" t="str">
        <f t="shared" si="37"/>
        <v/>
      </c>
      <c r="T462" s="265">
        <f>IF('Dry_Litterbag Placem_Collection'!E23="","",'Dry_Litterbag Placem_Collection'!E23)</f>
        <v>42936</v>
      </c>
      <c r="U462" s="265">
        <f>IF('Dry_Litterbag Placem_Collection'!G23="","",'Dry_Litterbag Placem_Collection'!G23)</f>
        <v>43007</v>
      </c>
      <c r="V462" s="266">
        <f t="shared" si="35"/>
        <v>71</v>
      </c>
      <c r="W462" s="264" t="str">
        <f t="shared" si="38"/>
        <v/>
      </c>
      <c r="X462" s="264" t="str">
        <f t="shared" si="39"/>
        <v/>
      </c>
      <c r="Y462" s="268">
        <f>IFERROR(INDEX(Rainfall_Dry!$O$2:$O$217,MATCH(B462, Rainfall_Dry!$A$2:$A$217,0)),"")</f>
        <v>6.900000125</v>
      </c>
      <c r="Z462" s="257">
        <v>54.080969906906262</v>
      </c>
      <c r="AA462" s="257">
        <v>21.264484651351896</v>
      </c>
      <c r="AB462" s="257">
        <v>24.654545441741845</v>
      </c>
      <c r="AC462" s="258" t="s">
        <v>2657</v>
      </c>
      <c r="AD462" s="257">
        <v>5.8433218334154802</v>
      </c>
      <c r="AE462" t="str">
        <f>IF('WetLitterbags placem_collection'!AB23="","",'WetLitterbags placem_collection'!AB23)</f>
        <v/>
      </c>
      <c r="AF462" t="str">
        <f>IF('WetLitterbags placem_collection'!Z23="","",'WetLitterbags placem_collection'!Z23)</f>
        <v/>
      </c>
      <c r="AG462" s="243" t="str">
        <f>IF('WetLitterbags placem_collection'!AA23="","",'WetLitterbags placem_collection'!AA23)</f>
        <v/>
      </c>
      <c r="AH462" t="str">
        <f>IF('WetLitterbags placem_collection'!AC23="","",'WetLitterbags placem_collection'!AC23)</f>
        <v/>
      </c>
      <c r="AI462">
        <f>IFERROR(AVERAGE('Dry_Litterbag Placem_Collection'!O23,'Dry_Litterbag Placem_Collection'!R23),"")</f>
        <v>13.2</v>
      </c>
      <c r="AJ462" s="268">
        <f>IFERROR(AVERAGE('Dry_Litterbag Placem_Collection'!N23,'Dry_Litterbag Placem_Collection'!Q23),"")</f>
        <v>26.1</v>
      </c>
      <c r="AK462" s="267">
        <f>INDEX(Coordinates!$B$2:$B$197,MATCH(H462,Coordinates!$J$2:$J$197,0))</f>
        <v>-3.3854019919999998</v>
      </c>
      <c r="AL462" s="267">
        <f>INDEX(Coordinates!$C$2:$C$197,MATCH(H462,Coordinates!$J$2:$J$197,0))</f>
        <v>34.81894604</v>
      </c>
      <c r="AM462" s="267" t="str">
        <f>IF(ISNUMBER(SEARCH("C", 'Dry_Litterbag Placem_Collection'!U23)),"YES","NO")</f>
        <v>NO</v>
      </c>
      <c r="AN462" s="267" t="str">
        <f>IF(ISNUMBER(SEARCH("H", 'Dry_Litterbag Placem_Collection'!U23)),"YES","NO")</f>
        <v>NO</v>
      </c>
      <c r="AO462" s="267" t="str">
        <f>IF(ISNUMBER(SEARCH("R", 'Dry_Litterbag Placem_Collection'!U23)),"YES","NO")</f>
        <v>NO</v>
      </c>
    </row>
    <row r="463" spans="1:41" ht="15" customHeight="1">
      <c r="A463" s="259" t="s">
        <v>2643</v>
      </c>
      <c r="B463" s="260">
        <f>'Dry_Litterbag Placem_Collection'!A24</f>
        <v>22</v>
      </c>
      <c r="C463" s="260" t="str">
        <f>'Dry_Litterbag Placem_Collection'!B24</f>
        <v>Makao</v>
      </c>
      <c r="D463" s="260" t="s">
        <v>2643</v>
      </c>
      <c r="E463" s="260" t="s">
        <v>2644</v>
      </c>
      <c r="F463" s="260">
        <v>3</v>
      </c>
      <c r="G463" s="260" t="s">
        <v>3803</v>
      </c>
      <c r="H463" s="261" t="str">
        <f>'Dry_Litterbag Placem_Collection'!C24</f>
        <v>Dry_Ag3_T6</v>
      </c>
      <c r="I463" s="270" t="s">
        <v>3630</v>
      </c>
      <c r="J463" s="263" t="s">
        <v>1147</v>
      </c>
      <c r="K463" s="260" t="str">
        <f>IF(ISBLANK('Dry_Litterbag Placem_Collection'!L24),"","G"&amp;""&amp;'Dry_Litterbag Placem_Collection'!L24)</f>
        <v>G750</v>
      </c>
      <c r="L463" s="264">
        <f>IFERROR(INDEX('Green_rooibos initial weight'!$C$5:$C$2000,MATCH(K463, 'Green_rooibos initial weight'!$A$5:$A$2000,0)),"")</f>
        <v>1.966</v>
      </c>
      <c r="M463" s="264">
        <f>IFERROR(L463-(TBIcalc!$Q$9+TBIcalc!$Q$10),"")</f>
        <v>1.7161999999999999</v>
      </c>
      <c r="N463" s="385">
        <f>AVERAGE(Ashed_controlls!$K$2:$K$11)</f>
        <v>5.5147656768714146</v>
      </c>
      <c r="O463" s="264">
        <f t="shared" si="36"/>
        <v>1.6215555914535327</v>
      </c>
      <c r="P463" s="264">
        <f>IFERROR(INDEX('Both teabags AfterDry'!$D$2:$D$2000,MATCH(K463,'Both teabags AfterDry'!$A$2:$A$2000,0)),"")</f>
        <v>1.3833</v>
      </c>
      <c r="Q463" s="264">
        <f>IFERROR(IF(P463&gt;0,P463-(TBIcalc!$Q$9),""),"")</f>
        <v>1.2326999999999999</v>
      </c>
      <c r="R463" s="275">
        <f>IFERROR(INDEX('Ashed teabags dry'!$K$2:$K$2000,MATCH(K463,'Ashed teabags dry'!$A$2:$A$2000,0)),"")</f>
        <v>8.0118694362018044</v>
      </c>
      <c r="S463" s="275">
        <f t="shared" si="37"/>
        <v>1.1339376854599403</v>
      </c>
      <c r="T463" s="265">
        <f>IF('Dry_Litterbag Placem_Collection'!E24="","",'Dry_Litterbag Placem_Collection'!E24)</f>
        <v>42936</v>
      </c>
      <c r="U463" s="265">
        <f>IF('Dry_Litterbag Placem_Collection'!G24="","",'Dry_Litterbag Placem_Collection'!G24)</f>
        <v>43007</v>
      </c>
      <c r="V463" s="266">
        <f t="shared" si="35"/>
        <v>71</v>
      </c>
      <c r="W463" s="264">
        <f t="shared" si="38"/>
        <v>0.48350000000000004</v>
      </c>
      <c r="X463" s="264">
        <f t="shared" si="39"/>
        <v>0.48761790599359234</v>
      </c>
      <c r="Y463" s="268">
        <f>IFERROR(INDEX(Rainfall_Dry!$O$2:$O$217,MATCH(B463, Rainfall_Dry!$A$2:$A$217,0)),"")</f>
        <v>6.900000125</v>
      </c>
      <c r="Z463" s="257">
        <v>54.080969906906262</v>
      </c>
      <c r="AA463" s="257">
        <v>21.264484651351896</v>
      </c>
      <c r="AB463" s="257">
        <v>24.654545441741845</v>
      </c>
      <c r="AC463" s="258" t="s">
        <v>2657</v>
      </c>
      <c r="AD463" s="257">
        <v>6.8433218334154802</v>
      </c>
      <c r="AE463" t="str">
        <f>IF('WetLitterbags placem_collection'!AB24="","",'WetLitterbags placem_collection'!AB24)</f>
        <v/>
      </c>
      <c r="AF463" t="str">
        <f>IF('WetLitterbags placem_collection'!Z24="","",'WetLitterbags placem_collection'!Z24)</f>
        <v/>
      </c>
      <c r="AG463" s="243" t="str">
        <f>IF('WetLitterbags placem_collection'!AA24="","",'WetLitterbags placem_collection'!AA24)</f>
        <v/>
      </c>
      <c r="AH463" t="str">
        <f>IF('WetLitterbags placem_collection'!AC24="","",'WetLitterbags placem_collection'!AC24)</f>
        <v/>
      </c>
      <c r="AI463">
        <f>IFERROR(AVERAGE('Dry_Litterbag Placem_Collection'!O24,'Dry_Litterbag Placem_Collection'!R24),"")</f>
        <v>19.05</v>
      </c>
      <c r="AJ463" s="268">
        <f>IFERROR(AVERAGE('Dry_Litterbag Placem_Collection'!N24,'Dry_Litterbag Placem_Collection'!Q24),"")</f>
        <v>25.75</v>
      </c>
      <c r="AK463" s="267">
        <f>INDEX(Coordinates!$B$2:$B$197,MATCH(H463,Coordinates!$J$2:$J$197,0))</f>
        <v>-3.3854470029999999</v>
      </c>
      <c r="AL463" s="267">
        <f>INDEX(Coordinates!$C$2:$C$197,MATCH(H463,Coordinates!$J$2:$J$197,0))</f>
        <v>34.818946959999998</v>
      </c>
      <c r="AM463" s="267" t="str">
        <f>IF(ISNUMBER(SEARCH("C", 'Dry_Litterbag Placem_Collection'!U24)),"YES","NO")</f>
        <v>NO</v>
      </c>
      <c r="AN463" s="267" t="str">
        <f>IF(ISNUMBER(SEARCH("H", 'Dry_Litterbag Placem_Collection'!U24)),"YES","NO")</f>
        <v>NO</v>
      </c>
      <c r="AO463" s="267" t="str">
        <f>IF(ISNUMBER(SEARCH("R", 'Dry_Litterbag Placem_Collection'!U24)),"YES","NO")</f>
        <v>NO</v>
      </c>
    </row>
    <row r="464" spans="1:41" ht="15" customHeight="1">
      <c r="A464" s="259" t="s">
        <v>2643</v>
      </c>
      <c r="B464" s="260">
        <f>'Dry_Litterbag Placem_Collection'!A25</f>
        <v>23</v>
      </c>
      <c r="C464" s="260" t="str">
        <f>'Dry_Litterbag Placem_Collection'!B25</f>
        <v>Makao</v>
      </c>
      <c r="D464" s="260" t="s">
        <v>2643</v>
      </c>
      <c r="E464" s="260" t="s">
        <v>2644</v>
      </c>
      <c r="F464" s="260">
        <v>3</v>
      </c>
      <c r="G464" s="260" t="s">
        <v>3803</v>
      </c>
      <c r="H464" s="261" t="str">
        <f>'Dry_Litterbag Placem_Collection'!C25</f>
        <v>Dry_Ag3_T7</v>
      </c>
      <c r="I464" s="270" t="s">
        <v>3630</v>
      </c>
      <c r="J464" s="263" t="s">
        <v>1147</v>
      </c>
      <c r="K464" s="260" t="str">
        <f>IF(ISBLANK('Dry_Litterbag Placem_Collection'!L25),"","G"&amp;""&amp;'Dry_Litterbag Placem_Collection'!L25)</f>
        <v/>
      </c>
      <c r="L464" s="264" t="str">
        <f>IFERROR(INDEX('Green_rooibos initial weight'!$C$5:$C$2000,MATCH(K464, 'Green_rooibos initial weight'!$A$5:$A$2000,0)),"")</f>
        <v/>
      </c>
      <c r="M464" s="264" t="str">
        <f>IFERROR(L464-(TBIcalc!$Q$9+TBIcalc!$Q$10),"")</f>
        <v/>
      </c>
      <c r="N464" s="385">
        <f>AVERAGE(Ashed_controlls!$K$2:$K$11)</f>
        <v>5.5147656768714146</v>
      </c>
      <c r="O464" s="264" t="str">
        <f t="shared" si="36"/>
        <v/>
      </c>
      <c r="P464" s="264" t="str">
        <f>IFERROR(INDEX('Both teabags AfterDry'!$D$2:$D$2000,MATCH(K464,'Both teabags AfterDry'!$A$2:$A$2000,0)),"")</f>
        <v/>
      </c>
      <c r="Q464" s="264" t="str">
        <f>IFERROR(IF(P464&gt;0,P464-(TBIcalc!$Q$9),""),"")</f>
        <v/>
      </c>
      <c r="R464" s="275" t="str">
        <f>IFERROR(INDEX('Ashed teabags dry'!$K$2:$K$2000,MATCH(K464,'Ashed teabags dry'!$A$2:$A$2000,0)),"")</f>
        <v/>
      </c>
      <c r="S464" s="275" t="str">
        <f t="shared" si="37"/>
        <v/>
      </c>
      <c r="T464" s="265" t="str">
        <f>IF('Dry_Litterbag Placem_Collection'!E25="","",'Dry_Litterbag Placem_Collection'!E25)</f>
        <v/>
      </c>
      <c r="U464" s="265" t="str">
        <f>IF('Dry_Litterbag Placem_Collection'!G25="","",'Dry_Litterbag Placem_Collection'!G25)</f>
        <v/>
      </c>
      <c r="V464" s="266" t="str">
        <f t="shared" si="35"/>
        <v/>
      </c>
      <c r="W464" s="264" t="str">
        <f t="shared" si="38"/>
        <v/>
      </c>
      <c r="X464" s="264" t="str">
        <f t="shared" si="39"/>
        <v/>
      </c>
      <c r="Y464" s="268" t="str">
        <f>IFERROR(INDEX(Rainfall_Dry!$O$2:$O$217,MATCH(B464, Rainfall_Dry!$A$2:$A$217,0)),"")</f>
        <v/>
      </c>
      <c r="Z464" s="257">
        <v>54.080969906906262</v>
      </c>
      <c r="AA464" s="257">
        <v>21.264484651351896</v>
      </c>
      <c r="AB464" s="257">
        <v>24.654545441741845</v>
      </c>
      <c r="AC464" s="258" t="s">
        <v>2657</v>
      </c>
      <c r="AD464" s="257">
        <v>7.8433218334154802</v>
      </c>
      <c r="AE464" t="str">
        <f>IF('WetLitterbags placem_collection'!AB25="","",'WetLitterbags placem_collection'!AB25)</f>
        <v/>
      </c>
      <c r="AF464" t="str">
        <f>IF('WetLitterbags placem_collection'!Z25="","",'WetLitterbags placem_collection'!Z25)</f>
        <v/>
      </c>
      <c r="AG464" s="243" t="str">
        <f>IF('WetLitterbags placem_collection'!AA25="","",'WetLitterbags placem_collection'!AA25)</f>
        <v/>
      </c>
      <c r="AH464" t="str">
        <f>IF('WetLitterbags placem_collection'!AC25="","",'WetLitterbags placem_collection'!AC25)</f>
        <v/>
      </c>
      <c r="AI464" t="str">
        <f>IFERROR(AVERAGE('Dry_Litterbag Placem_Collection'!O25,'Dry_Litterbag Placem_Collection'!R25),"")</f>
        <v/>
      </c>
      <c r="AJ464" s="268" t="str">
        <f>IFERROR(AVERAGE('Dry_Litterbag Placem_Collection'!N25,'Dry_Litterbag Placem_Collection'!Q25),"")</f>
        <v/>
      </c>
      <c r="AK464" s="267">
        <f>INDEX(Coordinates!$B$2:$B$197,MATCH(H464,Coordinates!$J$2:$J$197,0))</f>
        <v>-3.3854200130000001</v>
      </c>
      <c r="AL464" s="267">
        <f>INDEX(Coordinates!$C$2:$C$197,MATCH(H464,Coordinates!$J$2:$J$197,0))</f>
        <v>34.818856019999998</v>
      </c>
      <c r="AM464" s="267" t="str">
        <f>IF(ISNUMBER(SEARCH("C", 'Dry_Litterbag Placem_Collection'!U25)),"YES","NO")</f>
        <v>NO</v>
      </c>
      <c r="AN464" s="267" t="str">
        <f>IF(ISNUMBER(SEARCH("H", 'Dry_Litterbag Placem_Collection'!U25)),"YES","NO")</f>
        <v>NO</v>
      </c>
      <c r="AO464" s="267" t="str">
        <f>IF(ISNUMBER(SEARCH("R", 'Dry_Litterbag Placem_Collection'!U25)),"YES","NO")</f>
        <v>NO</v>
      </c>
    </row>
    <row r="465" spans="1:41" ht="15" customHeight="1">
      <c r="A465" s="259" t="s">
        <v>2643</v>
      </c>
      <c r="B465" s="260">
        <f>'Dry_Litterbag Placem_Collection'!A26</f>
        <v>24</v>
      </c>
      <c r="C465" s="260" t="str">
        <f>'Dry_Litterbag Placem_Collection'!B26</f>
        <v>Makao</v>
      </c>
      <c r="D465" s="260" t="s">
        <v>2643</v>
      </c>
      <c r="E465" s="260" t="s">
        <v>2644</v>
      </c>
      <c r="F465" s="260">
        <v>3</v>
      </c>
      <c r="G465" s="260" t="s">
        <v>3803</v>
      </c>
      <c r="H465" s="261" t="str">
        <f>'Dry_Litterbag Placem_Collection'!C26</f>
        <v>Dry_Ag3_T8</v>
      </c>
      <c r="I465" s="270" t="s">
        <v>3630</v>
      </c>
      <c r="J465" s="263" t="s">
        <v>1147</v>
      </c>
      <c r="K465" s="260" t="str">
        <f>IF(ISBLANK('Dry_Litterbag Placem_Collection'!L26),"","G"&amp;""&amp;'Dry_Litterbag Placem_Collection'!L26)</f>
        <v>G562</v>
      </c>
      <c r="L465" s="264">
        <f>IFERROR(INDEX('Green_rooibos initial weight'!$C$5:$C$2000,MATCH(K465, 'Green_rooibos initial weight'!$A$5:$A$2000,0)),"")</f>
        <v>2.1419999999999999</v>
      </c>
      <c r="M465" s="264">
        <f>IFERROR(L465-(TBIcalc!$Q$9+TBIcalc!$Q$10),"")</f>
        <v>1.8921999999999999</v>
      </c>
      <c r="N465" s="385">
        <f>AVERAGE(Ashed_controlls!$K$2:$K$11)</f>
        <v>5.5147656768714146</v>
      </c>
      <c r="O465" s="264">
        <f t="shared" si="36"/>
        <v>1.7878496038622389</v>
      </c>
      <c r="P465" s="264">
        <f>IFERROR(INDEX('Both teabags AfterDry'!$D$2:$D$2000,MATCH(K465,'Both teabags AfterDry'!$A$2:$A$2000,0)),"")</f>
        <v>1.8862000000000001</v>
      </c>
      <c r="Q465" s="264">
        <f>IFERROR(IF(P465&gt;0,P465-(TBIcalc!$Q$9),""),"")</f>
        <v>1.7356</v>
      </c>
      <c r="R465" s="275">
        <f>IFERROR(INDEX('Ashed teabags dry'!$K$2:$K$2000,MATCH(K465,'Ashed teabags dry'!$A$2:$A$2000,0)),"")</f>
        <v>6.1334641805691774</v>
      </c>
      <c r="S465" s="275">
        <f t="shared" si="37"/>
        <v>1.6291475956820414</v>
      </c>
      <c r="T465" s="265">
        <f>IF('Dry_Litterbag Placem_Collection'!E26="","",'Dry_Litterbag Placem_Collection'!E26)</f>
        <v>42936</v>
      </c>
      <c r="U465" s="265">
        <f>IF('Dry_Litterbag Placem_Collection'!G26="","",'Dry_Litterbag Placem_Collection'!G26)</f>
        <v>43007</v>
      </c>
      <c r="V465" s="266">
        <f t="shared" si="35"/>
        <v>71</v>
      </c>
      <c r="W465" s="264">
        <f t="shared" si="38"/>
        <v>0.15659999999999985</v>
      </c>
      <c r="X465" s="264">
        <f t="shared" si="39"/>
        <v>0.15870200818019753</v>
      </c>
      <c r="Y465" s="268">
        <f>IFERROR(INDEX(Rainfall_Dry!$O$2:$O$217,MATCH(B465, Rainfall_Dry!$A$2:$A$217,0)),"")</f>
        <v>6.900000125</v>
      </c>
      <c r="Z465" s="257">
        <v>54.080969906906262</v>
      </c>
      <c r="AA465" s="257">
        <v>21.264484651351896</v>
      </c>
      <c r="AB465" s="257">
        <v>24.654545441741845</v>
      </c>
      <c r="AC465" s="258" t="s">
        <v>2657</v>
      </c>
      <c r="AD465" s="257">
        <v>8.8433218334154695</v>
      </c>
      <c r="AE465" t="str">
        <f>IF('WetLitterbags placem_collection'!AB26="","",'WetLitterbags placem_collection'!AB26)</f>
        <v/>
      </c>
      <c r="AF465" t="str">
        <f>IF('WetLitterbags placem_collection'!Z26="","",'WetLitterbags placem_collection'!Z26)</f>
        <v/>
      </c>
      <c r="AG465" s="243" t="str">
        <f>IF('WetLitterbags placem_collection'!AA26="","",'WetLitterbags placem_collection'!AA26)</f>
        <v/>
      </c>
      <c r="AH465" t="str">
        <f>IF('WetLitterbags placem_collection'!AC26="","",'WetLitterbags placem_collection'!AC26)</f>
        <v/>
      </c>
      <c r="AI465">
        <f>IFERROR(AVERAGE('Dry_Litterbag Placem_Collection'!O26,'Dry_Litterbag Placem_Collection'!R26),"")</f>
        <v>15.6</v>
      </c>
      <c r="AJ465" s="268">
        <f>IFERROR(AVERAGE('Dry_Litterbag Placem_Collection'!N26,'Dry_Litterbag Placem_Collection'!Q26),"")</f>
        <v>25.5</v>
      </c>
      <c r="AK465" s="267">
        <f>INDEX(Coordinates!$B$2:$B$197,MATCH(H465,Coordinates!$J$2:$J$197,0))</f>
        <v>-3.3853829649999998</v>
      </c>
      <c r="AL465" s="267">
        <f>INDEX(Coordinates!$C$2:$C$197,MATCH(H465,Coordinates!$J$2:$J$197,0))</f>
        <v>34.818877980000003</v>
      </c>
      <c r="AM465" s="267" t="str">
        <f>IF(ISNUMBER(SEARCH("C", 'Dry_Litterbag Placem_Collection'!U26)),"YES","NO")</f>
        <v>NO</v>
      </c>
      <c r="AN465" s="267" t="str">
        <f>IF(ISNUMBER(SEARCH("H", 'Dry_Litterbag Placem_Collection'!U26)),"YES","NO")</f>
        <v>NO</v>
      </c>
      <c r="AO465" s="267" t="str">
        <f>IF(ISNUMBER(SEARCH("R", 'Dry_Litterbag Placem_Collection'!U26)),"YES","NO")</f>
        <v>NO</v>
      </c>
    </row>
    <row r="466" spans="1:41" ht="15" customHeight="1">
      <c r="A466" s="259" t="s">
        <v>2643</v>
      </c>
      <c r="B466" s="260">
        <f>'Dry_Litterbag Placem_Collection'!A27</f>
        <v>25</v>
      </c>
      <c r="C466" s="260" t="str">
        <f>'Dry_Litterbag Placem_Collection'!B27</f>
        <v>Makao</v>
      </c>
      <c r="D466" s="260" t="s">
        <v>2643</v>
      </c>
      <c r="E466" s="260" t="s">
        <v>2644</v>
      </c>
      <c r="F466" s="260">
        <v>4</v>
      </c>
      <c r="G466" s="260" t="s">
        <v>3804</v>
      </c>
      <c r="H466" s="261" t="str">
        <f>'Dry_Litterbag Placem_Collection'!C27</f>
        <v>Dry_Ag4_T1</v>
      </c>
      <c r="I466" s="270" t="s">
        <v>3630</v>
      </c>
      <c r="J466" s="263" t="s">
        <v>1147</v>
      </c>
      <c r="K466" s="260" t="str">
        <f>IF(ISBLANK('Dry_Litterbag Placem_Collection'!L27),"","G"&amp;""&amp;'Dry_Litterbag Placem_Collection'!L27)</f>
        <v>G156</v>
      </c>
      <c r="L466" s="264">
        <f>IFERROR(INDEX('Green_rooibos initial weight'!$C$5:$C$2000,MATCH(K466, 'Green_rooibos initial weight'!$A$5:$A$2000,0)),"")</f>
        <v>1.944</v>
      </c>
      <c r="M466" s="264">
        <f>IFERROR(L466-(TBIcalc!$Q$9+TBIcalc!$Q$10),"")</f>
        <v>1.6941999999999999</v>
      </c>
      <c r="N466" s="385">
        <f>AVERAGE(Ashed_controlls!$K$2:$K$11)</f>
        <v>5.5147656768714146</v>
      </c>
      <c r="O466" s="264">
        <f t="shared" si="36"/>
        <v>1.6007688399024445</v>
      </c>
      <c r="P466" s="264">
        <f>IFERROR(INDEX('Both teabags AfterDry'!$D$2:$D$2000,MATCH(K466,'Both teabags AfterDry'!$A$2:$A$2000,0)),"")</f>
        <v>1.8079000000000001</v>
      </c>
      <c r="Q466" s="264">
        <f>IFERROR(IF(P466&gt;0,P466-(TBIcalc!$Q$9),""),"")</f>
        <v>1.6573</v>
      </c>
      <c r="R466" s="275">
        <f>IFERROR(INDEX('Ashed teabags dry'!$K$2:$K$2000,MATCH(K466,'Ashed teabags dry'!$A$2:$A$2000,0)),"")</f>
        <v>5.9562587249876717</v>
      </c>
      <c r="S466" s="275">
        <f t="shared" si="37"/>
        <v>1.5585869241507793</v>
      </c>
      <c r="T466" s="265">
        <f>IF('Dry_Litterbag Placem_Collection'!E27="","",'Dry_Litterbag Placem_Collection'!E27)</f>
        <v>42936</v>
      </c>
      <c r="U466" s="265">
        <f>IF('Dry_Litterbag Placem_Collection'!G27="","",'Dry_Litterbag Placem_Collection'!G27)</f>
        <v>43007</v>
      </c>
      <c r="V466" s="266">
        <f t="shared" si="35"/>
        <v>71</v>
      </c>
      <c r="W466" s="264">
        <f t="shared" si="38"/>
        <v>3.6899999999999933E-2</v>
      </c>
      <c r="X466" s="264">
        <f t="shared" si="39"/>
        <v>4.2181915751665189E-2</v>
      </c>
      <c r="Y466" s="268">
        <f>IFERROR(INDEX(Rainfall_Dry!$O$2:$O$217,MATCH(B466, Rainfall_Dry!$A$2:$A$217,0)),"")</f>
        <v>6.900000125</v>
      </c>
      <c r="Z466" s="257">
        <v>51.960000000000008</v>
      </c>
      <c r="AA466" s="257">
        <v>18.919999999999995</v>
      </c>
      <c r="AB466" s="257">
        <v>29.120000000000005</v>
      </c>
      <c r="AC466" s="258" t="s">
        <v>2657</v>
      </c>
      <c r="AD466" s="257">
        <v>1.85293247905372</v>
      </c>
      <c r="AE466" t="str">
        <f>IF('WetLitterbags placem_collection'!AB27="","",'WetLitterbags placem_collection'!AB27)</f>
        <v/>
      </c>
      <c r="AF466" t="str">
        <f>IF('WetLitterbags placem_collection'!Z27="","",'WetLitterbags placem_collection'!Z27)</f>
        <v/>
      </c>
      <c r="AG466" s="243" t="str">
        <f>IF('WetLitterbags placem_collection'!AA27="","",'WetLitterbags placem_collection'!AA27)</f>
        <v/>
      </c>
      <c r="AH466" t="str">
        <f>IF('WetLitterbags placem_collection'!AC27="","",'WetLitterbags placem_collection'!AC27)</f>
        <v/>
      </c>
      <c r="AI466">
        <f>IFERROR(AVERAGE('Dry_Litterbag Placem_Collection'!O27,'Dry_Litterbag Placem_Collection'!R27),"")</f>
        <v>9.85</v>
      </c>
      <c r="AJ466" s="268">
        <f>IFERROR(AVERAGE('Dry_Litterbag Placem_Collection'!N27,'Dry_Litterbag Placem_Collection'!Q27),"")</f>
        <v>25.4</v>
      </c>
      <c r="AK466" s="267">
        <f>INDEX(Coordinates!$B$2:$B$197,MATCH(H466,Coordinates!$J$2:$J$197,0))</f>
        <v>-3.3849129919999998</v>
      </c>
      <c r="AL466" s="267">
        <f>INDEX(Coordinates!$C$2:$C$197,MATCH(H466,Coordinates!$J$2:$J$197,0))</f>
        <v>34.818899020000003</v>
      </c>
      <c r="AM466" s="267" t="str">
        <f>IF(ISNUMBER(SEARCH("C", 'Dry_Litterbag Placem_Collection'!U27)),"YES","NO")</f>
        <v>NO</v>
      </c>
      <c r="AN466" s="267" t="str">
        <f>IF(ISNUMBER(SEARCH("H", 'Dry_Litterbag Placem_Collection'!U27)),"YES","NO")</f>
        <v>NO</v>
      </c>
      <c r="AO466" s="267" t="str">
        <f>IF(ISNUMBER(SEARCH("R", 'Dry_Litterbag Placem_Collection'!U27)),"YES","NO")</f>
        <v>NO</v>
      </c>
    </row>
    <row r="467" spans="1:41" ht="15" customHeight="1">
      <c r="A467" s="259" t="s">
        <v>2643</v>
      </c>
      <c r="B467" s="260">
        <f>'Dry_Litterbag Placem_Collection'!A28</f>
        <v>26</v>
      </c>
      <c r="C467" s="260" t="str">
        <f>'Dry_Litterbag Placem_Collection'!B28</f>
        <v>Makao</v>
      </c>
      <c r="D467" s="260" t="s">
        <v>2643</v>
      </c>
      <c r="E467" s="260" t="s">
        <v>2644</v>
      </c>
      <c r="F467" s="260">
        <v>4</v>
      </c>
      <c r="G467" s="260" t="s">
        <v>3804</v>
      </c>
      <c r="H467" s="261" t="str">
        <f>'Dry_Litterbag Placem_Collection'!C28</f>
        <v>Dry_Ag4_T2</v>
      </c>
      <c r="I467" s="270" t="s">
        <v>3630</v>
      </c>
      <c r="J467" s="263" t="s">
        <v>1147</v>
      </c>
      <c r="K467" s="260" t="str">
        <f>IF(ISBLANK('Dry_Litterbag Placem_Collection'!L28),"","G"&amp;""&amp;'Dry_Litterbag Placem_Collection'!L28)</f>
        <v>G555</v>
      </c>
      <c r="L467" s="264">
        <f>IFERROR(INDEX('Green_rooibos initial weight'!$C$5:$C$2000,MATCH(K467, 'Green_rooibos initial weight'!$A$5:$A$2000,0)),"")</f>
        <v>2.1469999999999998</v>
      </c>
      <c r="M467" s="264">
        <f>IFERROR(L467-(TBIcalc!$Q$9+TBIcalc!$Q$10),"")</f>
        <v>1.8971999999999998</v>
      </c>
      <c r="N467" s="385">
        <f>AVERAGE(Ashed_controlls!$K$2:$K$11)</f>
        <v>5.5147656768714146</v>
      </c>
      <c r="O467" s="264">
        <f t="shared" si="36"/>
        <v>1.7925738655783954</v>
      </c>
      <c r="P467" s="264">
        <f>IFERROR(INDEX('Both teabags AfterDry'!$D$2:$D$2000,MATCH(K467,'Both teabags AfterDry'!$A$2:$A$2000,0)),"")</f>
        <v>2.0030000000000001</v>
      </c>
      <c r="Q467" s="264">
        <f>IFERROR(IF(P467&gt;0,P467-(TBIcalc!$Q$9),""),"")</f>
        <v>1.8524</v>
      </c>
      <c r="R467" s="275">
        <f>IFERROR(INDEX('Ashed teabags dry'!$K$2:$K$2000,MATCH(K467,'Ashed teabags dry'!$A$2:$A$2000,0)),"")</f>
        <v>6.0509554140126784</v>
      </c>
      <c r="S467" s="275">
        <f t="shared" si="37"/>
        <v>1.7403121019108292</v>
      </c>
      <c r="T467" s="265">
        <f>IF('Dry_Litterbag Placem_Collection'!E28="","",'Dry_Litterbag Placem_Collection'!E28)</f>
        <v>42936</v>
      </c>
      <c r="U467" s="265">
        <f>IF('Dry_Litterbag Placem_Collection'!G28="","",'Dry_Litterbag Placem_Collection'!G28)</f>
        <v>43007</v>
      </c>
      <c r="V467" s="266">
        <f t="shared" si="35"/>
        <v>71</v>
      </c>
      <c r="W467" s="264">
        <f t="shared" si="38"/>
        <v>4.4799999999999729E-2</v>
      </c>
      <c r="X467" s="264">
        <f t="shared" si="39"/>
        <v>5.2261763667566186E-2</v>
      </c>
      <c r="Y467" s="268">
        <f>IFERROR(INDEX(Rainfall_Dry!$O$2:$O$217,MATCH(B467, Rainfall_Dry!$A$2:$A$217,0)),"")</f>
        <v>6.900000125</v>
      </c>
      <c r="Z467" s="257">
        <v>51.960000000000008</v>
      </c>
      <c r="AA467" s="257">
        <v>18.919999999999995</v>
      </c>
      <c r="AB467" s="257">
        <v>29.120000000000005</v>
      </c>
      <c r="AC467" s="258" t="s">
        <v>2657</v>
      </c>
      <c r="AD467" s="257">
        <v>2.8529324790537198</v>
      </c>
      <c r="AE467" t="str">
        <f>IF('WetLitterbags placem_collection'!AB28="","",'WetLitterbags placem_collection'!AB28)</f>
        <v/>
      </c>
      <c r="AF467" t="str">
        <f>IF('WetLitterbags placem_collection'!Z28="","",'WetLitterbags placem_collection'!Z28)</f>
        <v/>
      </c>
      <c r="AG467" s="243" t="str">
        <f>IF('WetLitterbags placem_collection'!AA28="","",'WetLitterbags placem_collection'!AA28)</f>
        <v/>
      </c>
      <c r="AH467" t="str">
        <f>IF('WetLitterbags placem_collection'!AC28="","",'WetLitterbags placem_collection'!AC28)</f>
        <v/>
      </c>
      <c r="AI467">
        <f>IFERROR(AVERAGE('Dry_Litterbag Placem_Collection'!O28,'Dry_Litterbag Placem_Collection'!R28),"")</f>
        <v>8.1</v>
      </c>
      <c r="AJ467" s="268">
        <f>IFERROR(AVERAGE('Dry_Litterbag Placem_Collection'!N28,'Dry_Litterbag Placem_Collection'!Q28),"")</f>
        <v>25.85</v>
      </c>
      <c r="AK467" s="267">
        <f>INDEX(Coordinates!$B$2:$B$197,MATCH(H467,Coordinates!$J$2:$J$197,0))</f>
        <v>-3.3849689999999999</v>
      </c>
      <c r="AL467" s="267">
        <f>INDEX(Coordinates!$C$2:$C$197,MATCH(H467,Coordinates!$J$2:$J$197,0))</f>
        <v>34.818908</v>
      </c>
      <c r="AM467" s="267" t="str">
        <f>IF(ISNUMBER(SEARCH("C", 'Dry_Litterbag Placem_Collection'!U28)),"YES","NO")</f>
        <v>NO</v>
      </c>
      <c r="AN467" s="267" t="str">
        <f>IF(ISNUMBER(SEARCH("H", 'Dry_Litterbag Placem_Collection'!U28)),"YES","NO")</f>
        <v>NO</v>
      </c>
      <c r="AO467" s="267" t="str">
        <f>IF(ISNUMBER(SEARCH("R", 'Dry_Litterbag Placem_Collection'!U28)),"YES","NO")</f>
        <v>NO</v>
      </c>
    </row>
    <row r="468" spans="1:41" ht="15" customHeight="1">
      <c r="A468" s="259" t="s">
        <v>2643</v>
      </c>
      <c r="B468" s="260">
        <f>'Dry_Litterbag Placem_Collection'!A29</f>
        <v>27</v>
      </c>
      <c r="C468" s="260" t="str">
        <f>'Dry_Litterbag Placem_Collection'!B29</f>
        <v>Makao</v>
      </c>
      <c r="D468" s="260" t="s">
        <v>2643</v>
      </c>
      <c r="E468" s="260" t="s">
        <v>2644</v>
      </c>
      <c r="F468" s="260">
        <v>4</v>
      </c>
      <c r="G468" s="260" t="s">
        <v>3804</v>
      </c>
      <c r="H468" s="261" t="str">
        <f>'Dry_Litterbag Placem_Collection'!C29</f>
        <v>Dry_Ag4_T3</v>
      </c>
      <c r="I468" s="270" t="s">
        <v>3630</v>
      </c>
      <c r="J468" s="263" t="s">
        <v>1147</v>
      </c>
      <c r="K468" s="260" t="str">
        <f>IF(ISBLANK('Dry_Litterbag Placem_Collection'!L29),"","G"&amp;""&amp;'Dry_Litterbag Placem_Collection'!L29)</f>
        <v>G378</v>
      </c>
      <c r="L468" s="264">
        <f>IFERROR(INDEX('Green_rooibos initial weight'!$C$5:$C$2000,MATCH(K468, 'Green_rooibos initial weight'!$A$5:$A$2000,0)),"")</f>
        <v>2.0830000000000002</v>
      </c>
      <c r="M468" s="264">
        <f>IFERROR(L468-(TBIcalc!$Q$9+TBIcalc!$Q$10),"")</f>
        <v>1.8332000000000002</v>
      </c>
      <c r="N468" s="385">
        <f>AVERAGE(Ashed_controlls!$K$2:$K$11)</f>
        <v>5.5147656768714146</v>
      </c>
      <c r="O468" s="264">
        <f t="shared" si="36"/>
        <v>1.7321033156115935</v>
      </c>
      <c r="P468" s="264" t="str">
        <f>IFERROR(INDEX('Both teabags AfterDry'!$D$2:$D$2000,MATCH(K468,'Both teabags AfterDry'!$A$2:$A$2000,0)),"")</f>
        <v/>
      </c>
      <c r="Q468" s="264" t="str">
        <f>IFERROR(IF(P468&gt;0,P468-(TBIcalc!$Q$9),""),"")</f>
        <v/>
      </c>
      <c r="R468" s="275" t="str">
        <f>IFERROR(INDEX('Ashed teabags dry'!$K$2:$K$2000,MATCH(K468,'Ashed teabags dry'!$A$2:$A$2000,0)),"")</f>
        <v/>
      </c>
      <c r="S468" s="275" t="str">
        <f t="shared" si="37"/>
        <v/>
      </c>
      <c r="T468" s="265">
        <f>IF('Dry_Litterbag Placem_Collection'!E29="","",'Dry_Litterbag Placem_Collection'!E29)</f>
        <v>42936</v>
      </c>
      <c r="U468" s="265">
        <f>IF('Dry_Litterbag Placem_Collection'!G29="","",'Dry_Litterbag Placem_Collection'!G29)</f>
        <v>43007</v>
      </c>
      <c r="V468" s="266">
        <f t="shared" si="35"/>
        <v>71</v>
      </c>
      <c r="W468" s="264" t="str">
        <f t="shared" si="38"/>
        <v/>
      </c>
      <c r="X468" s="264" t="str">
        <f t="shared" si="39"/>
        <v/>
      </c>
      <c r="Y468" s="268">
        <f>IFERROR(INDEX(Rainfall_Dry!$O$2:$O$217,MATCH(B468, Rainfall_Dry!$A$2:$A$217,0)),"")</f>
        <v>6.900000125</v>
      </c>
      <c r="Z468" s="257">
        <v>51.960000000000008</v>
      </c>
      <c r="AA468" s="257">
        <v>18.919999999999995</v>
      </c>
      <c r="AB468" s="257">
        <v>29.120000000000005</v>
      </c>
      <c r="AC468" s="258" t="s">
        <v>2657</v>
      </c>
      <c r="AD468" s="257">
        <v>3.8529324790537198</v>
      </c>
      <c r="AE468" t="str">
        <f>IF('WetLitterbags placem_collection'!AB29="","",'WetLitterbags placem_collection'!AB29)</f>
        <v/>
      </c>
      <c r="AF468" t="str">
        <f>IF('WetLitterbags placem_collection'!Z29="","",'WetLitterbags placem_collection'!Z29)</f>
        <v/>
      </c>
      <c r="AG468" s="243" t="str">
        <f>IF('WetLitterbags placem_collection'!AA29="","",'WetLitterbags placem_collection'!AA29)</f>
        <v/>
      </c>
      <c r="AH468" t="str">
        <f>IF('WetLitterbags placem_collection'!AC29="","",'WetLitterbags placem_collection'!AC29)</f>
        <v/>
      </c>
      <c r="AI468">
        <f>IFERROR(AVERAGE('Dry_Litterbag Placem_Collection'!O29,'Dry_Litterbag Placem_Collection'!R29),"")</f>
        <v>14.1</v>
      </c>
      <c r="AJ468" s="268">
        <f>IFERROR(AVERAGE('Dry_Litterbag Placem_Collection'!N29,'Dry_Litterbag Placem_Collection'!Q29),"")</f>
        <v>26.15</v>
      </c>
      <c r="AK468" s="267">
        <f>INDEX(Coordinates!$B$2:$B$197,MATCH(H468,Coordinates!$J$2:$J$197,0))</f>
        <v>-3.3849350359999999</v>
      </c>
      <c r="AL468" s="267">
        <f>INDEX(Coordinates!$C$2:$C$197,MATCH(H468,Coordinates!$J$2:$J$197,0))</f>
        <v>34.818943019999999</v>
      </c>
      <c r="AM468" s="267" t="str">
        <f>IF(ISNUMBER(SEARCH("C", 'Dry_Litterbag Placem_Collection'!U29)),"YES","NO")</f>
        <v>NO</v>
      </c>
      <c r="AN468" s="267" t="str">
        <f>IF(ISNUMBER(SEARCH("H", 'Dry_Litterbag Placem_Collection'!U29)),"YES","NO")</f>
        <v>NO</v>
      </c>
      <c r="AO468" s="267" t="str">
        <f>IF(ISNUMBER(SEARCH("R", 'Dry_Litterbag Placem_Collection'!U29)),"YES","NO")</f>
        <v>NO</v>
      </c>
    </row>
    <row r="469" spans="1:41" ht="15" customHeight="1">
      <c r="A469" s="259" t="s">
        <v>2643</v>
      </c>
      <c r="B469" s="260">
        <f>'Dry_Litterbag Placem_Collection'!A30</f>
        <v>28</v>
      </c>
      <c r="C469" s="260" t="str">
        <f>'Dry_Litterbag Placem_Collection'!B30</f>
        <v>Makao</v>
      </c>
      <c r="D469" s="260" t="s">
        <v>2643</v>
      </c>
      <c r="E469" s="260" t="s">
        <v>2644</v>
      </c>
      <c r="F469" s="260">
        <v>4</v>
      </c>
      <c r="G469" s="260" t="s">
        <v>3804</v>
      </c>
      <c r="H469" s="261" t="str">
        <f>'Dry_Litterbag Placem_Collection'!C30</f>
        <v>Dry_Ag4_T4</v>
      </c>
      <c r="I469" s="270" t="s">
        <v>3630</v>
      </c>
      <c r="J469" s="263" t="s">
        <v>1147</v>
      </c>
      <c r="K469" s="260" t="str">
        <f>IF(ISBLANK('Dry_Litterbag Placem_Collection'!L30),"","G"&amp;""&amp;'Dry_Litterbag Placem_Collection'!L30)</f>
        <v>G46</v>
      </c>
      <c r="L469" s="264">
        <f>IFERROR(INDEX('Green_rooibos initial weight'!$C$5:$C$2000,MATCH(K469, 'Green_rooibos initial weight'!$A$5:$A$2000,0)),"")</f>
        <v>1.895</v>
      </c>
      <c r="M469" s="264">
        <f>IFERROR(L469-(TBIcalc!$Q$9+TBIcalc!$Q$10),"")</f>
        <v>1.6452</v>
      </c>
      <c r="N469" s="385">
        <f>AVERAGE(Ashed_controlls!$K$2:$K$11)</f>
        <v>5.5147656768714146</v>
      </c>
      <c r="O469" s="264">
        <f t="shared" si="36"/>
        <v>1.5544710750841115</v>
      </c>
      <c r="P469" s="264">
        <f>IFERROR(INDEX('Both teabags AfterDry'!$D$2:$D$2000,MATCH(K469,'Both teabags AfterDry'!$A$2:$A$2000,0)),"")</f>
        <v>1.5884</v>
      </c>
      <c r="Q469" s="264">
        <f>IFERROR(IF(P469&gt;0,P469-(TBIcalc!$Q$9),""),"")</f>
        <v>1.4378</v>
      </c>
      <c r="R469" s="275">
        <f>IFERROR(INDEX('Ashed teabags dry'!$K$2:$K$2000,MATCH(K469,'Ashed teabags dry'!$A$2:$A$2000,0)),"")</f>
        <v>6.5978456014354894</v>
      </c>
      <c r="S469" s="275">
        <f t="shared" si="37"/>
        <v>1.3429361759425604</v>
      </c>
      <c r="T469" s="265">
        <f>IF('Dry_Litterbag Placem_Collection'!E30="","",'Dry_Litterbag Placem_Collection'!E30)</f>
        <v>42936</v>
      </c>
      <c r="U469" s="265">
        <f>IF('Dry_Litterbag Placem_Collection'!G30="","",'Dry_Litterbag Placem_Collection'!G30)</f>
        <v>43007</v>
      </c>
      <c r="V469" s="266">
        <f t="shared" si="35"/>
        <v>71</v>
      </c>
      <c r="W469" s="264">
        <f t="shared" si="38"/>
        <v>0.20740000000000003</v>
      </c>
      <c r="X469" s="264">
        <f t="shared" si="39"/>
        <v>0.2115348991415511</v>
      </c>
      <c r="Y469" s="268">
        <f>IFERROR(INDEX(Rainfall_Dry!$O$2:$O$217,MATCH(B469, Rainfall_Dry!$A$2:$A$217,0)),"")</f>
        <v>6.900000125</v>
      </c>
      <c r="Z469" s="257">
        <v>51.960000000000008</v>
      </c>
      <c r="AA469" s="257">
        <v>18.919999999999995</v>
      </c>
      <c r="AB469" s="257">
        <v>29.120000000000005</v>
      </c>
      <c r="AC469" s="258" t="s">
        <v>2657</v>
      </c>
      <c r="AD469" s="257">
        <v>4.8529324790537203</v>
      </c>
      <c r="AE469" t="str">
        <f>IF('WetLitterbags placem_collection'!AB30="","",'WetLitterbags placem_collection'!AB30)</f>
        <v/>
      </c>
      <c r="AF469" t="str">
        <f>IF('WetLitterbags placem_collection'!Z30="","",'WetLitterbags placem_collection'!Z30)</f>
        <v/>
      </c>
      <c r="AG469" s="243" t="str">
        <f>IF('WetLitterbags placem_collection'!AA30="","",'WetLitterbags placem_collection'!AA30)</f>
        <v/>
      </c>
      <c r="AH469" t="str">
        <f>IF('WetLitterbags placem_collection'!AC30="","",'WetLitterbags placem_collection'!AC30)</f>
        <v/>
      </c>
      <c r="AI469">
        <f>IFERROR(AVERAGE('Dry_Litterbag Placem_Collection'!O30,'Dry_Litterbag Placem_Collection'!R30),"")</f>
        <v>9.1000000000000014</v>
      </c>
      <c r="AJ469" s="268">
        <f>IFERROR(AVERAGE('Dry_Litterbag Placem_Collection'!N30,'Dry_Litterbag Placem_Collection'!Q30),"")</f>
        <v>25.700000000000003</v>
      </c>
      <c r="AK469" s="267">
        <f>INDEX(Coordinates!$B$2:$B$197,MATCH(H469,Coordinates!$J$2:$J$197,0))</f>
        <v>-3.3850070369999998</v>
      </c>
      <c r="AL469" s="267">
        <f>INDEX(Coordinates!$C$2:$C$197,MATCH(H469,Coordinates!$J$2:$J$197,0))</f>
        <v>34.818888960000002</v>
      </c>
      <c r="AM469" s="267" t="str">
        <f>IF(ISNUMBER(SEARCH("C", 'Dry_Litterbag Placem_Collection'!U30)),"YES","NO")</f>
        <v>NO</v>
      </c>
      <c r="AN469" s="267" t="str">
        <f>IF(ISNUMBER(SEARCH("H", 'Dry_Litterbag Placem_Collection'!U30)),"YES","NO")</f>
        <v>NO</v>
      </c>
      <c r="AO469" s="267" t="str">
        <f>IF(ISNUMBER(SEARCH("R", 'Dry_Litterbag Placem_Collection'!U30)),"YES","NO")</f>
        <v>NO</v>
      </c>
    </row>
    <row r="470" spans="1:41" ht="15" customHeight="1">
      <c r="A470" s="259" t="s">
        <v>2643</v>
      </c>
      <c r="B470" s="260">
        <f>'Dry_Litterbag Placem_Collection'!A31</f>
        <v>29</v>
      </c>
      <c r="C470" s="260" t="str">
        <f>'Dry_Litterbag Placem_Collection'!B31</f>
        <v>Makao</v>
      </c>
      <c r="D470" s="260" t="s">
        <v>2643</v>
      </c>
      <c r="E470" s="260" t="s">
        <v>2644</v>
      </c>
      <c r="F470" s="260">
        <v>4</v>
      </c>
      <c r="G470" s="260" t="s">
        <v>3804</v>
      </c>
      <c r="H470" s="261" t="str">
        <f>'Dry_Litterbag Placem_Collection'!C31</f>
        <v>Dry_Ag4_T5</v>
      </c>
      <c r="I470" s="270" t="s">
        <v>3630</v>
      </c>
      <c r="J470" s="263" t="s">
        <v>1147</v>
      </c>
      <c r="K470" s="260" t="str">
        <f>IF(ISBLANK('Dry_Litterbag Placem_Collection'!L31),"","G"&amp;""&amp;'Dry_Litterbag Placem_Collection'!L31)</f>
        <v>G397</v>
      </c>
      <c r="L470" s="264">
        <f>IFERROR(INDEX('Green_rooibos initial weight'!$C$5:$C$2000,MATCH(K470, 'Green_rooibos initial weight'!$A$5:$A$2000,0)),"")</f>
        <v>1.968</v>
      </c>
      <c r="M470" s="264">
        <f>IFERROR(L470-(TBIcalc!$Q$9+TBIcalc!$Q$10),"")</f>
        <v>1.7181999999999999</v>
      </c>
      <c r="N470" s="385">
        <f>AVERAGE(Ashed_controlls!$K$2:$K$11)</f>
        <v>5.5147656768714146</v>
      </c>
      <c r="O470" s="264">
        <f t="shared" si="36"/>
        <v>1.6234452961399952</v>
      </c>
      <c r="P470" s="264">
        <f>IFERROR(INDEX('Both teabags AfterDry'!$D$2:$D$2000,MATCH(K470,'Both teabags AfterDry'!$A$2:$A$2000,0)),"")</f>
        <v>1.7436</v>
      </c>
      <c r="Q470" s="264">
        <f>IFERROR(IF(P470&gt;0,P470-(TBIcalc!$Q$9),""),"")</f>
        <v>1.593</v>
      </c>
      <c r="R470" s="275">
        <f>IFERROR(INDEX('Ashed teabags dry'!$K$2:$K$2000,MATCH(K470,'Ashed teabags dry'!$A$2:$A$2000,0)),"")</f>
        <v>6.4090019569471499</v>
      </c>
      <c r="S470" s="275">
        <f t="shared" si="37"/>
        <v>1.4909045988258318</v>
      </c>
      <c r="T470" s="265">
        <f>IF('Dry_Litterbag Placem_Collection'!E31="","",'Dry_Litterbag Placem_Collection'!E31)</f>
        <v>42936</v>
      </c>
      <c r="U470" s="265">
        <f>IF('Dry_Litterbag Placem_Collection'!G31="","",'Dry_Litterbag Placem_Collection'!G31)</f>
        <v>43007</v>
      </c>
      <c r="V470" s="266">
        <f t="shared" si="35"/>
        <v>71</v>
      </c>
      <c r="W470" s="264">
        <f t="shared" si="38"/>
        <v>0.12519999999999998</v>
      </c>
      <c r="X470" s="264">
        <f t="shared" si="39"/>
        <v>0.1325406973141634</v>
      </c>
      <c r="Y470" s="268">
        <f>IFERROR(INDEX(Rainfall_Dry!$O$2:$O$217,MATCH(B470, Rainfall_Dry!$A$2:$A$217,0)),"")</f>
        <v>6.900000125</v>
      </c>
      <c r="Z470" s="257">
        <v>51.960000000000008</v>
      </c>
      <c r="AA470" s="257">
        <v>18.919999999999995</v>
      </c>
      <c r="AB470" s="257">
        <v>29.120000000000005</v>
      </c>
      <c r="AC470" s="258" t="s">
        <v>2657</v>
      </c>
      <c r="AD470" s="257">
        <v>5.8529324790537203</v>
      </c>
      <c r="AE470" t="str">
        <f>IF('WetLitterbags placem_collection'!AB31="","",'WetLitterbags placem_collection'!AB31)</f>
        <v/>
      </c>
      <c r="AF470" t="str">
        <f>IF('WetLitterbags placem_collection'!Z31="","",'WetLitterbags placem_collection'!Z31)</f>
        <v/>
      </c>
      <c r="AG470" s="243" t="str">
        <f>IF('WetLitterbags placem_collection'!AA31="","",'WetLitterbags placem_collection'!AA31)</f>
        <v/>
      </c>
      <c r="AH470" t="str">
        <f>IF('WetLitterbags placem_collection'!AC31="","",'WetLitterbags placem_collection'!AC31)</f>
        <v/>
      </c>
      <c r="AI470">
        <f>IFERROR(AVERAGE('Dry_Litterbag Placem_Collection'!O31,'Dry_Litterbag Placem_Collection'!R31),"")</f>
        <v>15.15</v>
      </c>
      <c r="AJ470" s="268">
        <f>IFERROR(AVERAGE('Dry_Litterbag Placem_Collection'!N31,'Dry_Litterbag Placem_Collection'!Q31),"")</f>
        <v>25.65</v>
      </c>
      <c r="AK470" s="267">
        <f>INDEX(Coordinates!$B$2:$B$197,MATCH(H470,Coordinates!$J$2:$J$197,0))</f>
        <v>-3.3849480280000002</v>
      </c>
      <c r="AL470" s="267">
        <f>INDEX(Coordinates!$C$2:$C$197,MATCH(H470,Coordinates!$J$2:$J$197,0))</f>
        <v>34.818854010000003</v>
      </c>
      <c r="AM470" s="267" t="str">
        <f>IF(ISNUMBER(SEARCH("C", 'Dry_Litterbag Placem_Collection'!U31)),"YES","NO")</f>
        <v>NO</v>
      </c>
      <c r="AN470" s="267" t="str">
        <f>IF(ISNUMBER(SEARCH("H", 'Dry_Litterbag Placem_Collection'!U31)),"YES","NO")</f>
        <v>NO</v>
      </c>
      <c r="AO470" s="267" t="str">
        <f>IF(ISNUMBER(SEARCH("R", 'Dry_Litterbag Placem_Collection'!U31)),"YES","NO")</f>
        <v>NO</v>
      </c>
    </row>
    <row r="471" spans="1:41" ht="15" customHeight="1">
      <c r="A471" s="259" t="s">
        <v>2643</v>
      </c>
      <c r="B471" s="260">
        <f>'Dry_Litterbag Placem_Collection'!A32</f>
        <v>30</v>
      </c>
      <c r="C471" s="260" t="str">
        <f>'Dry_Litterbag Placem_Collection'!B32</f>
        <v>Makao</v>
      </c>
      <c r="D471" s="260" t="s">
        <v>2643</v>
      </c>
      <c r="E471" s="260" t="s">
        <v>2644</v>
      </c>
      <c r="F471" s="260">
        <v>4</v>
      </c>
      <c r="G471" s="260" t="s">
        <v>3804</v>
      </c>
      <c r="H471" s="261" t="str">
        <f>'Dry_Litterbag Placem_Collection'!C32</f>
        <v>Dry_Ag4_T6</v>
      </c>
      <c r="I471" s="270" t="s">
        <v>3630</v>
      </c>
      <c r="J471" s="263" t="s">
        <v>1147</v>
      </c>
      <c r="K471" s="260" t="str">
        <f>IF(ISBLANK('Dry_Litterbag Placem_Collection'!L32),"","G"&amp;""&amp;'Dry_Litterbag Placem_Collection'!L32)</f>
        <v>G166</v>
      </c>
      <c r="L471" s="264">
        <f>IFERROR(INDEX('Green_rooibos initial weight'!$C$5:$C$2000,MATCH(K471, 'Green_rooibos initial weight'!$A$5:$A$2000,0)),"")</f>
        <v>2.032</v>
      </c>
      <c r="M471" s="264">
        <f>IFERROR(L471-(TBIcalc!$Q$9+TBIcalc!$Q$10),"")</f>
        <v>1.7822</v>
      </c>
      <c r="N471" s="385">
        <f>AVERAGE(Ashed_controlls!$K$2:$K$11)</f>
        <v>5.5147656768714146</v>
      </c>
      <c r="O471" s="264">
        <f t="shared" si="36"/>
        <v>1.6839158461067976</v>
      </c>
      <c r="P471" s="264">
        <f>IFERROR(INDEX('Both teabags AfterDry'!$D$2:$D$2000,MATCH(K471,'Both teabags AfterDry'!$A$2:$A$2000,0)),"")</f>
        <v>1.8809</v>
      </c>
      <c r="Q471" s="264">
        <f>IFERROR(IF(P471&gt;0,P471-(TBIcalc!$Q$9),""),"")</f>
        <v>1.7302999999999999</v>
      </c>
      <c r="R471" s="275">
        <f>IFERROR(INDEX('Ashed teabags dry'!$K$2:$K$2000,MATCH(K471,'Ashed teabags dry'!$A$2:$A$2000,0)),"")</f>
        <v>5.730937348227001</v>
      </c>
      <c r="S471" s="275">
        <f t="shared" si="37"/>
        <v>1.6311375910636281</v>
      </c>
      <c r="T471" s="265">
        <f>IF('Dry_Litterbag Placem_Collection'!E32="","",'Dry_Litterbag Placem_Collection'!E32)</f>
        <v>42936</v>
      </c>
      <c r="U471" s="265">
        <f>IF('Dry_Litterbag Placem_Collection'!G32="","",'Dry_Litterbag Placem_Collection'!G32)</f>
        <v>43007</v>
      </c>
      <c r="V471" s="266">
        <f t="shared" si="35"/>
        <v>71</v>
      </c>
      <c r="W471" s="264">
        <f t="shared" si="38"/>
        <v>5.1900000000000057E-2</v>
      </c>
      <c r="X471" s="264">
        <f t="shared" si="39"/>
        <v>5.2778255043169464E-2</v>
      </c>
      <c r="Y471" s="268">
        <f>IFERROR(INDEX(Rainfall_Dry!$O$2:$O$217,MATCH(B471, Rainfall_Dry!$A$2:$A$217,0)),"")</f>
        <v>6.900000125</v>
      </c>
      <c r="Z471" s="257">
        <v>51.960000000000008</v>
      </c>
      <c r="AA471" s="257">
        <v>18.919999999999995</v>
      </c>
      <c r="AB471" s="257">
        <v>29.120000000000005</v>
      </c>
      <c r="AC471" s="258" t="s">
        <v>2657</v>
      </c>
      <c r="AD471" s="257">
        <v>6.8529324790537203</v>
      </c>
      <c r="AE471" t="str">
        <f>IF('WetLitterbags placem_collection'!AB32="","",'WetLitterbags placem_collection'!AB32)</f>
        <v/>
      </c>
      <c r="AF471" t="str">
        <f>IF('WetLitterbags placem_collection'!Z32="","",'WetLitterbags placem_collection'!Z32)</f>
        <v/>
      </c>
      <c r="AG471" s="243" t="str">
        <f>IF('WetLitterbags placem_collection'!AA32="","",'WetLitterbags placem_collection'!AA32)</f>
        <v/>
      </c>
      <c r="AH471" t="str">
        <f>IF('WetLitterbags placem_collection'!AC32="","",'WetLitterbags placem_collection'!AC32)</f>
        <v/>
      </c>
      <c r="AI471">
        <f>IFERROR(AVERAGE('Dry_Litterbag Placem_Collection'!O32,'Dry_Litterbag Placem_Collection'!R32),"")</f>
        <v>9.3000000000000007</v>
      </c>
      <c r="AJ471" s="268">
        <f>IFERROR(AVERAGE('Dry_Litterbag Placem_Collection'!N32,'Dry_Litterbag Placem_Collection'!Q32),"")</f>
        <v>24</v>
      </c>
      <c r="AK471" s="267">
        <f>INDEX(Coordinates!$B$2:$B$197,MATCH(H471,Coordinates!$J$2:$J$197,0))</f>
        <v>-3.38496496</v>
      </c>
      <c r="AL471" s="267">
        <f>INDEX(Coordinates!$C$2:$C$197,MATCH(H471,Coordinates!$J$2:$J$197,0))</f>
        <v>34.818790970000002</v>
      </c>
      <c r="AM471" s="267" t="str">
        <f>IF(ISNUMBER(SEARCH("C", 'Dry_Litterbag Placem_Collection'!U32)),"YES","NO")</f>
        <v>NO</v>
      </c>
      <c r="AN471" s="267" t="str">
        <f>IF(ISNUMBER(SEARCH("H", 'Dry_Litterbag Placem_Collection'!U32)),"YES","NO")</f>
        <v>NO</v>
      </c>
      <c r="AO471" s="267" t="str">
        <f>IF(ISNUMBER(SEARCH("R", 'Dry_Litterbag Placem_Collection'!U32)),"YES","NO")</f>
        <v>NO</v>
      </c>
    </row>
    <row r="472" spans="1:41" ht="15" customHeight="1">
      <c r="A472" s="259" t="s">
        <v>2643</v>
      </c>
      <c r="B472" s="260">
        <f>'Dry_Litterbag Placem_Collection'!A33</f>
        <v>31</v>
      </c>
      <c r="C472" s="260" t="str">
        <f>'Dry_Litterbag Placem_Collection'!B33</f>
        <v>Makao</v>
      </c>
      <c r="D472" s="260" t="s">
        <v>2643</v>
      </c>
      <c r="E472" s="260" t="s">
        <v>2644</v>
      </c>
      <c r="F472" s="260">
        <v>4</v>
      </c>
      <c r="G472" s="260" t="s">
        <v>3804</v>
      </c>
      <c r="H472" s="261" t="str">
        <f>'Dry_Litterbag Placem_Collection'!C33</f>
        <v>Dry_Ag4_T7</v>
      </c>
      <c r="I472" s="270" t="s">
        <v>3630</v>
      </c>
      <c r="J472" s="263" t="s">
        <v>1147</v>
      </c>
      <c r="K472" s="260" t="str">
        <f>IF(ISBLANK('Dry_Litterbag Placem_Collection'!L33),"","G"&amp;""&amp;'Dry_Litterbag Placem_Collection'!L33)</f>
        <v/>
      </c>
      <c r="L472" s="264" t="str">
        <f>IFERROR(INDEX('Green_rooibos initial weight'!$C$5:$C$2000,MATCH(K472, 'Green_rooibos initial weight'!$A$5:$A$2000,0)),"")</f>
        <v/>
      </c>
      <c r="M472" s="264" t="str">
        <f>IFERROR(L472-(TBIcalc!$Q$9+TBIcalc!$Q$10),"")</f>
        <v/>
      </c>
      <c r="N472" s="385">
        <f>AVERAGE(Ashed_controlls!$K$2:$K$11)</f>
        <v>5.5147656768714146</v>
      </c>
      <c r="O472" s="264" t="str">
        <f t="shared" si="36"/>
        <v/>
      </c>
      <c r="P472" s="264" t="str">
        <f>IFERROR(INDEX('Both teabags AfterDry'!$D$2:$D$2000,MATCH(K472,'Both teabags AfterDry'!$A$2:$A$2000,0)),"")</f>
        <v/>
      </c>
      <c r="Q472" s="264" t="str">
        <f>IFERROR(IF(P472&gt;0,P472-(TBIcalc!$Q$9),""),"")</f>
        <v/>
      </c>
      <c r="R472" s="275" t="str">
        <f>IFERROR(INDEX('Ashed teabags dry'!$K$2:$K$2000,MATCH(K472,'Ashed teabags dry'!$A$2:$A$2000,0)),"")</f>
        <v/>
      </c>
      <c r="S472" s="275" t="str">
        <f t="shared" si="37"/>
        <v/>
      </c>
      <c r="T472" s="265" t="str">
        <f>IF('Dry_Litterbag Placem_Collection'!E33="","",'Dry_Litterbag Placem_Collection'!E33)</f>
        <v/>
      </c>
      <c r="U472" s="265" t="str">
        <f>IF('Dry_Litterbag Placem_Collection'!G33="","",'Dry_Litterbag Placem_Collection'!G33)</f>
        <v/>
      </c>
      <c r="V472" s="266" t="str">
        <f t="shared" si="35"/>
        <v/>
      </c>
      <c r="W472" s="264" t="str">
        <f t="shared" si="38"/>
        <v/>
      </c>
      <c r="X472" s="264" t="str">
        <f t="shared" si="39"/>
        <v/>
      </c>
      <c r="Y472" s="268" t="str">
        <f>IFERROR(INDEX(Rainfall_Dry!$O$2:$O$217,MATCH(B472, Rainfall_Dry!$A$2:$A$217,0)),"")</f>
        <v/>
      </c>
      <c r="Z472" s="257">
        <v>51.960000000000008</v>
      </c>
      <c r="AA472" s="257">
        <v>18.919999999999995</v>
      </c>
      <c r="AB472" s="257">
        <v>29.120000000000005</v>
      </c>
      <c r="AC472" s="258" t="s">
        <v>2657</v>
      </c>
      <c r="AD472" s="257">
        <v>7.8529324790537203</v>
      </c>
      <c r="AE472" t="str">
        <f>IF('WetLitterbags placem_collection'!AB33="","",'WetLitterbags placem_collection'!AB33)</f>
        <v/>
      </c>
      <c r="AF472" t="str">
        <f>IF('WetLitterbags placem_collection'!Z33="","",'WetLitterbags placem_collection'!Z33)</f>
        <v/>
      </c>
      <c r="AG472" s="243" t="str">
        <f>IF('WetLitterbags placem_collection'!AA33="","",'WetLitterbags placem_collection'!AA33)</f>
        <v/>
      </c>
      <c r="AH472" t="str">
        <f>IF('WetLitterbags placem_collection'!AC33="","",'WetLitterbags placem_collection'!AC33)</f>
        <v/>
      </c>
      <c r="AI472" t="str">
        <f>IFERROR(AVERAGE('Dry_Litterbag Placem_Collection'!O33,'Dry_Litterbag Placem_Collection'!R33),"")</f>
        <v/>
      </c>
      <c r="AJ472" s="268" t="str">
        <f>IFERROR(AVERAGE('Dry_Litterbag Placem_Collection'!N33,'Dry_Litterbag Placem_Collection'!Q33),"")</f>
        <v/>
      </c>
      <c r="AK472" s="267">
        <f>INDEX(Coordinates!$B$2:$B$197,MATCH(H472,Coordinates!$J$2:$J$197,0))</f>
        <v>-3.3848409909999999</v>
      </c>
      <c r="AL472" s="267">
        <f>INDEX(Coordinates!$C$2:$C$197,MATCH(H472,Coordinates!$J$2:$J$197,0))</f>
        <v>34.818838999999997</v>
      </c>
      <c r="AM472" s="267" t="str">
        <f>IF(ISNUMBER(SEARCH("C", 'Dry_Litterbag Placem_Collection'!U33)),"YES","NO")</f>
        <v>NO</v>
      </c>
      <c r="AN472" s="267" t="str">
        <f>IF(ISNUMBER(SEARCH("H", 'Dry_Litterbag Placem_Collection'!U33)),"YES","NO")</f>
        <v>NO</v>
      </c>
      <c r="AO472" s="267" t="str">
        <f>IF(ISNUMBER(SEARCH("R", 'Dry_Litterbag Placem_Collection'!U33)),"YES","NO")</f>
        <v>NO</v>
      </c>
    </row>
    <row r="473" spans="1:41" ht="15" customHeight="1">
      <c r="A473" s="259" t="s">
        <v>2643</v>
      </c>
      <c r="B473" s="260">
        <f>'Dry_Litterbag Placem_Collection'!A34</f>
        <v>32</v>
      </c>
      <c r="C473" s="260" t="str">
        <f>'Dry_Litterbag Placem_Collection'!B34</f>
        <v>Makao</v>
      </c>
      <c r="D473" s="260" t="s">
        <v>2643</v>
      </c>
      <c r="E473" s="260" t="s">
        <v>2644</v>
      </c>
      <c r="F473" s="260">
        <v>4</v>
      </c>
      <c r="G473" s="260" t="s">
        <v>3804</v>
      </c>
      <c r="H473" s="261" t="str">
        <f>'Dry_Litterbag Placem_Collection'!C34</f>
        <v>Dry_Ag4_T8</v>
      </c>
      <c r="I473" s="270" t="s">
        <v>3630</v>
      </c>
      <c r="J473" s="263" t="s">
        <v>1147</v>
      </c>
      <c r="K473" s="260" t="str">
        <f>IF(ISBLANK('Dry_Litterbag Placem_Collection'!L34),"","G"&amp;""&amp;'Dry_Litterbag Placem_Collection'!L34)</f>
        <v>G293</v>
      </c>
      <c r="L473" s="264">
        <f>IFERROR(INDEX('Green_rooibos initial weight'!$C$5:$C$2000,MATCH(K473, 'Green_rooibos initial weight'!$A$5:$A$2000,0)),"")</f>
        <v>2.0699999999999998</v>
      </c>
      <c r="M473" s="264">
        <f>IFERROR(L473-(TBIcalc!$Q$9+TBIcalc!$Q$10),"")</f>
        <v>1.8201999999999998</v>
      </c>
      <c r="N473" s="385">
        <f>AVERAGE(Ashed_controlls!$K$2:$K$11)</f>
        <v>5.5147656768714146</v>
      </c>
      <c r="O473" s="264">
        <f t="shared" si="36"/>
        <v>1.7198202351495864</v>
      </c>
      <c r="P473" s="264">
        <f>IFERROR(INDEX('Both teabags AfterDry'!$D$2:$D$2000,MATCH(K473,'Both teabags AfterDry'!$A$2:$A$2000,0)),"")</f>
        <v>1.8129</v>
      </c>
      <c r="Q473" s="264">
        <f>IFERROR(IF(P473&gt;0,P473-(TBIcalc!$Q$9),""),"")</f>
        <v>1.6622999999999999</v>
      </c>
      <c r="R473" s="275">
        <f>IFERROR(INDEX('Ashed teabags dry'!$K$2:$K$2000,MATCH(K473,'Ashed teabags dry'!$A$2:$A$2000,0)),"")</f>
        <v>6.7003792667513089</v>
      </c>
      <c r="S473" s="275">
        <f t="shared" si="37"/>
        <v>1.5509195954487929</v>
      </c>
      <c r="T473" s="265">
        <f>IF('Dry_Litterbag Placem_Collection'!E34="","",'Dry_Litterbag Placem_Collection'!E34)</f>
        <v>42936</v>
      </c>
      <c r="U473" s="265">
        <f>IF('Dry_Litterbag Placem_Collection'!G34="","",'Dry_Litterbag Placem_Collection'!G34)</f>
        <v>43007</v>
      </c>
      <c r="V473" s="266">
        <f t="shared" si="35"/>
        <v>71</v>
      </c>
      <c r="W473" s="264">
        <f t="shared" si="38"/>
        <v>0.15789999999999993</v>
      </c>
      <c r="X473" s="264">
        <f t="shared" si="39"/>
        <v>0.1689006397007935</v>
      </c>
      <c r="Y473" s="268">
        <f>IFERROR(INDEX(Rainfall_Dry!$O$2:$O$217,MATCH(B473, Rainfall_Dry!$A$2:$A$217,0)),"")</f>
        <v>6.900000125</v>
      </c>
      <c r="Z473" s="257">
        <v>51.960000000000008</v>
      </c>
      <c r="AA473" s="257">
        <v>18.919999999999995</v>
      </c>
      <c r="AB473" s="257">
        <v>29.120000000000005</v>
      </c>
      <c r="AC473" s="258" t="s">
        <v>2657</v>
      </c>
      <c r="AD473" s="257">
        <v>8.8529324790537203</v>
      </c>
      <c r="AE473" t="str">
        <f>IF('WetLitterbags placem_collection'!AB34="","",'WetLitterbags placem_collection'!AB34)</f>
        <v/>
      </c>
      <c r="AF473" t="str">
        <f>IF('WetLitterbags placem_collection'!Z34="","",'WetLitterbags placem_collection'!Z34)</f>
        <v/>
      </c>
      <c r="AG473" s="243" t="str">
        <f>IF('WetLitterbags placem_collection'!AA34="","",'WetLitterbags placem_collection'!AA34)</f>
        <v/>
      </c>
      <c r="AH473" t="str">
        <f>IF('WetLitterbags placem_collection'!AC34="","",'WetLitterbags placem_collection'!AC34)</f>
        <v/>
      </c>
      <c r="AI473">
        <f>IFERROR(AVERAGE('Dry_Litterbag Placem_Collection'!O34,'Dry_Litterbag Placem_Collection'!R34),"")</f>
        <v>11.850000000000001</v>
      </c>
      <c r="AJ473" s="268">
        <f>IFERROR(AVERAGE('Dry_Litterbag Placem_Collection'!N34,'Dry_Litterbag Placem_Collection'!Q34),"")</f>
        <v>25.45</v>
      </c>
      <c r="AK473" s="267">
        <f>INDEX(Coordinates!$B$2:$B$197,MATCH(H473,Coordinates!$J$2:$J$197,0))</f>
        <v>-3.3849010060000002</v>
      </c>
      <c r="AL473" s="267">
        <f>INDEX(Coordinates!$C$2:$C$197,MATCH(H473,Coordinates!$J$2:$J$197,0))</f>
        <v>34.818979990000003</v>
      </c>
      <c r="AM473" s="267" t="str">
        <f>IF(ISNUMBER(SEARCH("C", 'Dry_Litterbag Placem_Collection'!U34)),"YES","NO")</f>
        <v>NO</v>
      </c>
      <c r="AN473" s="267" t="str">
        <f>IF(ISNUMBER(SEARCH("H", 'Dry_Litterbag Placem_Collection'!U34)),"YES","NO")</f>
        <v>NO</v>
      </c>
      <c r="AO473" s="267" t="str">
        <f>IF(ISNUMBER(SEARCH("R", 'Dry_Litterbag Placem_Collection'!U34)),"YES","NO")</f>
        <v>NO</v>
      </c>
    </row>
    <row r="474" spans="1:41" ht="15" customHeight="1">
      <c r="A474" s="259" t="s">
        <v>2643</v>
      </c>
      <c r="B474" s="260">
        <f>'Dry_Litterbag Placem_Collection'!A35</f>
        <v>33</v>
      </c>
      <c r="C474" s="260" t="str">
        <f>'Dry_Litterbag Placem_Collection'!B35</f>
        <v>Makao</v>
      </c>
      <c r="D474" s="260" t="s">
        <v>2643</v>
      </c>
      <c r="E474" s="260" t="s">
        <v>20</v>
      </c>
      <c r="F474" s="260">
        <v>1</v>
      </c>
      <c r="G474" s="260" t="s">
        <v>3805</v>
      </c>
      <c r="H474" s="261" t="str">
        <f>'Dry_Litterbag Placem_Collection'!C35</f>
        <v>Dry_P1_T1</v>
      </c>
      <c r="I474" s="270" t="s">
        <v>3630</v>
      </c>
      <c r="J474" s="263" t="s">
        <v>1147</v>
      </c>
      <c r="K474" s="260" t="str">
        <f>IF(ISBLANK('Dry_Litterbag Placem_Collection'!L35),"","G"&amp;""&amp;'Dry_Litterbag Placem_Collection'!L35)</f>
        <v>G139</v>
      </c>
      <c r="L474" s="264">
        <f>IFERROR(INDEX('Green_rooibos initial weight'!$C$5:$C$2000,MATCH(K474, 'Green_rooibos initial weight'!$A$5:$A$2000,0)),"")</f>
        <v>2.0059999999999998</v>
      </c>
      <c r="M474" s="264">
        <f>IFERROR(L474-(TBIcalc!$Q$9+TBIcalc!$Q$10),"")</f>
        <v>1.7561999999999998</v>
      </c>
      <c r="N474" s="385">
        <f>AVERAGE(Ashed_controlls!$K$2:$K$11)</f>
        <v>5.5147656768714146</v>
      </c>
      <c r="O474" s="264">
        <f t="shared" si="36"/>
        <v>1.659349685182784</v>
      </c>
      <c r="P474" s="264">
        <f>IFERROR(INDEX('Both teabags AfterDry'!$D$2:$D$2000,MATCH(K474,'Both teabags AfterDry'!$A$2:$A$2000,0)),"")</f>
        <v>1.8048</v>
      </c>
      <c r="Q474" s="264">
        <f>IFERROR(IF(P474&gt;0,P474-(TBIcalc!$Q$9),""),"")</f>
        <v>1.6541999999999999</v>
      </c>
      <c r="R474" s="275">
        <f>IFERROR(INDEX('Ashed teabags dry'!$K$2:$K$2000,MATCH(K474,'Ashed teabags dry'!$A$2:$A$2000,0)),"")</f>
        <v>6.0181368507832858</v>
      </c>
      <c r="S474" s="275">
        <f t="shared" si="37"/>
        <v>1.5546479802143427</v>
      </c>
      <c r="T474" s="265">
        <f>IF('Dry_Litterbag Placem_Collection'!E35="","",'Dry_Litterbag Placem_Collection'!E35)</f>
        <v>42938</v>
      </c>
      <c r="U474" s="265">
        <f>IF('Dry_Litterbag Placem_Collection'!G35="","",'Dry_Litterbag Placem_Collection'!G35)</f>
        <v>43005</v>
      </c>
      <c r="V474" s="266">
        <f t="shared" si="35"/>
        <v>67</v>
      </c>
      <c r="W474" s="264">
        <f t="shared" si="38"/>
        <v>0.10199999999999987</v>
      </c>
      <c r="X474" s="264">
        <f t="shared" si="39"/>
        <v>0.10470170496844133</v>
      </c>
      <c r="Y474" s="268">
        <f>IFERROR(INDEX(Rainfall_Dry!$O$2:$O$217,MATCH(B474, Rainfall_Dry!$A$2:$A$217,0)),"")</f>
        <v>6.5250000359999998</v>
      </c>
      <c r="Z474" s="257">
        <v>23.96</v>
      </c>
      <c r="AA474" s="257">
        <v>0.91999999999999804</v>
      </c>
      <c r="AB474" s="257">
        <v>75.12</v>
      </c>
      <c r="AC474" s="258" t="s">
        <v>2654</v>
      </c>
      <c r="AD474" s="257">
        <v>1.2493839329719072</v>
      </c>
      <c r="AE474">
        <f>IF('WetLitterbags placem_collection'!AB35="","",'WetLitterbags placem_collection'!AB35)</f>
        <v>9.5</v>
      </c>
      <c r="AF474">
        <f>IF('WetLitterbags placem_collection'!Z35="","",'WetLitterbags placem_collection'!Z35)</f>
        <v>17.2</v>
      </c>
      <c r="AG474" s="243" t="str">
        <f>IF('WetLitterbags placem_collection'!AA35="","",'WetLitterbags placem_collection'!AA35)</f>
        <v>G</v>
      </c>
      <c r="AH474">
        <f>IF('WetLitterbags placem_collection'!AC35="","",'WetLitterbags placem_collection'!AC35)</f>
        <v>0</v>
      </c>
      <c r="AI474">
        <f>IFERROR(AVERAGE('Dry_Litterbag Placem_Collection'!O35,'Dry_Litterbag Placem_Collection'!R35),"")</f>
        <v>1.65</v>
      </c>
      <c r="AJ474" s="268">
        <f>IFERROR(AVERAGE('Dry_Litterbag Placem_Collection'!N35,'Dry_Litterbag Placem_Collection'!Q35),"")</f>
        <v>26.15</v>
      </c>
      <c r="AK474" s="267">
        <f>INDEX(Coordinates!$B$2:$B$197,MATCH(H474,Coordinates!$J$2:$J$197,0))</f>
        <v>-3.4092039989999998</v>
      </c>
      <c r="AL474" s="267">
        <f>INDEX(Coordinates!$C$2:$C$197,MATCH(H474,Coordinates!$J$2:$J$197,0))</f>
        <v>34.852751009999999</v>
      </c>
      <c r="AM474" s="267" t="str">
        <f>IF(ISNUMBER(SEARCH("C", 'Dry_Litterbag Placem_Collection'!U35)),"YES","NO")</f>
        <v>NO</v>
      </c>
      <c r="AN474" s="267" t="str">
        <f>IF(ISNUMBER(SEARCH("H", 'Dry_Litterbag Placem_Collection'!U35)),"YES","NO")</f>
        <v>NO</v>
      </c>
      <c r="AO474" s="267" t="str">
        <f>IF(ISNUMBER(SEARCH("R", 'Dry_Litterbag Placem_Collection'!U35)),"YES","NO")</f>
        <v>NO</v>
      </c>
    </row>
    <row r="475" spans="1:41" ht="15" customHeight="1">
      <c r="A475" s="259" t="s">
        <v>2643</v>
      </c>
      <c r="B475" s="260">
        <f>'Dry_Litterbag Placem_Collection'!A36</f>
        <v>34</v>
      </c>
      <c r="C475" s="260" t="str">
        <f>'Dry_Litterbag Placem_Collection'!B36</f>
        <v>Makao</v>
      </c>
      <c r="D475" s="260" t="s">
        <v>2643</v>
      </c>
      <c r="E475" s="260" t="s">
        <v>20</v>
      </c>
      <c r="F475" s="260">
        <v>1</v>
      </c>
      <c r="G475" s="260" t="s">
        <v>3805</v>
      </c>
      <c r="H475" s="261" t="str">
        <f>'Dry_Litterbag Placem_Collection'!C36</f>
        <v>Dry_P1_T2</v>
      </c>
      <c r="I475" s="270" t="s">
        <v>3630</v>
      </c>
      <c r="J475" s="263" t="s">
        <v>1147</v>
      </c>
      <c r="K475" s="260" t="str">
        <f>IF(ISBLANK('Dry_Litterbag Placem_Collection'!L36),"","G"&amp;""&amp;'Dry_Litterbag Placem_Collection'!L36)</f>
        <v>G487</v>
      </c>
      <c r="L475" s="264">
        <f>IFERROR(INDEX('Green_rooibos initial weight'!$C$5:$C$2000,MATCH(K475, 'Green_rooibos initial weight'!$A$5:$A$2000,0)),"")</f>
        <v>1.9259999999999999</v>
      </c>
      <c r="M475" s="264">
        <f>IFERROR(L475-(TBIcalc!$Q$9+TBIcalc!$Q$10),"")</f>
        <v>1.6761999999999999</v>
      </c>
      <c r="N475" s="385">
        <f>AVERAGE(Ashed_controlls!$K$2:$K$11)</f>
        <v>5.5147656768714146</v>
      </c>
      <c r="O475" s="264">
        <f t="shared" si="36"/>
        <v>1.5837614977242813</v>
      </c>
      <c r="P475" s="264" t="str">
        <f>IFERROR(INDEX('Both teabags AfterDry'!$D$2:$D$2000,MATCH(K475,'Both teabags AfterDry'!$A$2:$A$2000,0)),"")</f>
        <v/>
      </c>
      <c r="Q475" s="264" t="str">
        <f>IFERROR(IF(P475&gt;0,P475-(TBIcalc!$Q$9),""),"")</f>
        <v/>
      </c>
      <c r="R475" s="275" t="str">
        <f>IFERROR(INDEX('Ashed teabags dry'!$K$2:$K$2000,MATCH(K475,'Ashed teabags dry'!$A$2:$A$2000,0)),"")</f>
        <v/>
      </c>
      <c r="S475" s="275" t="str">
        <f t="shared" si="37"/>
        <v/>
      </c>
      <c r="T475" s="265">
        <f>IF('Dry_Litterbag Placem_Collection'!E36="","",'Dry_Litterbag Placem_Collection'!E36)</f>
        <v>42938</v>
      </c>
      <c r="U475" s="265">
        <f>IF('Dry_Litterbag Placem_Collection'!G36="","",'Dry_Litterbag Placem_Collection'!G36)</f>
        <v>43005</v>
      </c>
      <c r="V475" s="266">
        <f t="shared" si="35"/>
        <v>67</v>
      </c>
      <c r="W475" s="264" t="str">
        <f t="shared" si="38"/>
        <v/>
      </c>
      <c r="X475" s="264" t="str">
        <f t="shared" si="39"/>
        <v/>
      </c>
      <c r="Y475" s="268">
        <f>IFERROR(INDEX(Rainfall_Dry!$O$2:$O$217,MATCH(B475, Rainfall_Dry!$A$2:$A$217,0)),"")</f>
        <v>6.5250000359999998</v>
      </c>
      <c r="Z475" s="257">
        <v>23.96</v>
      </c>
      <c r="AA475" s="257">
        <v>0.91999999999999804</v>
      </c>
      <c r="AB475" s="257">
        <v>75.12</v>
      </c>
      <c r="AC475" s="258" t="s">
        <v>2654</v>
      </c>
      <c r="AD475" s="257">
        <v>1.2493839329719072</v>
      </c>
      <c r="AE475">
        <f>IF('WetLitterbags placem_collection'!AB36="","",'WetLitterbags placem_collection'!AB36)</f>
        <v>6.5</v>
      </c>
      <c r="AF475">
        <f>IF('WetLitterbags placem_collection'!Z36="","",'WetLitterbags placem_collection'!Z36)</f>
        <v>14.2</v>
      </c>
      <c r="AG475" s="243" t="str">
        <f>IF('WetLitterbags placem_collection'!AA36="","",'WetLitterbags placem_collection'!AA36)</f>
        <v>G</v>
      </c>
      <c r="AH475">
        <f>IF('WetLitterbags placem_collection'!AC36="","",'WetLitterbags placem_collection'!AC36)</f>
        <v>0</v>
      </c>
      <c r="AI475">
        <f>IFERROR(AVERAGE('Dry_Litterbag Placem_Collection'!O36,'Dry_Litterbag Placem_Collection'!R36),"")</f>
        <v>3.25</v>
      </c>
      <c r="AJ475" s="268">
        <f>IFERROR(AVERAGE('Dry_Litterbag Placem_Collection'!N36,'Dry_Litterbag Placem_Collection'!Q36),"")</f>
        <v>26.9</v>
      </c>
      <c r="AK475" s="267">
        <f>INDEX(Coordinates!$B$2:$B$197,MATCH(H475,Coordinates!$J$2:$J$197,0))</f>
        <v>-3.4092350119999999</v>
      </c>
      <c r="AL475" s="267">
        <f>INDEX(Coordinates!$C$2:$C$197,MATCH(H475,Coordinates!$J$2:$J$197,0))</f>
        <v>34.852782019999999</v>
      </c>
      <c r="AM475" s="267" t="str">
        <f>IF(ISNUMBER(SEARCH("C", 'Dry_Litterbag Placem_Collection'!U36)),"YES","NO")</f>
        <v>NO</v>
      </c>
      <c r="AN475" s="267" t="str">
        <f>IF(ISNUMBER(SEARCH("H", 'Dry_Litterbag Placem_Collection'!U36)),"YES","NO")</f>
        <v>NO</v>
      </c>
      <c r="AO475" s="267" t="str">
        <f>IF(ISNUMBER(SEARCH("R", 'Dry_Litterbag Placem_Collection'!U36)),"YES","NO")</f>
        <v>NO</v>
      </c>
    </row>
    <row r="476" spans="1:41" ht="15" customHeight="1">
      <c r="A476" s="259" t="s">
        <v>2643</v>
      </c>
      <c r="B476" s="260">
        <f>'Dry_Litterbag Placem_Collection'!A37</f>
        <v>35</v>
      </c>
      <c r="C476" s="260" t="str">
        <f>'Dry_Litterbag Placem_Collection'!B37</f>
        <v>Makao</v>
      </c>
      <c r="D476" s="260" t="s">
        <v>2643</v>
      </c>
      <c r="E476" s="260" t="s">
        <v>20</v>
      </c>
      <c r="F476" s="260">
        <v>1</v>
      </c>
      <c r="G476" s="260" t="s">
        <v>3805</v>
      </c>
      <c r="H476" s="261" t="str">
        <f>'Dry_Litterbag Placem_Collection'!C37</f>
        <v>Dry_P1_T3</v>
      </c>
      <c r="I476" s="270" t="s">
        <v>3630</v>
      </c>
      <c r="J476" s="263" t="s">
        <v>1147</v>
      </c>
      <c r="K476" s="260" t="str">
        <f>IF(ISBLANK('Dry_Litterbag Placem_Collection'!L37),"","G"&amp;""&amp;'Dry_Litterbag Placem_Collection'!L37)</f>
        <v>G717</v>
      </c>
      <c r="L476" s="264">
        <f>IFERROR(INDEX('Green_rooibos initial weight'!$C$5:$C$2000,MATCH(K476, 'Green_rooibos initial weight'!$A$5:$A$2000,0)),"")</f>
        <v>1.944</v>
      </c>
      <c r="M476" s="264">
        <f>IFERROR(L476-(TBIcalc!$Q$9+TBIcalc!$Q$10),"")</f>
        <v>1.6941999999999999</v>
      </c>
      <c r="N476" s="385">
        <f>AVERAGE(Ashed_controlls!$K$2:$K$11)</f>
        <v>5.5147656768714146</v>
      </c>
      <c r="O476" s="264">
        <f t="shared" si="36"/>
        <v>1.6007688399024445</v>
      </c>
      <c r="P476" s="264">
        <f>IFERROR(INDEX('Both teabags AfterDry'!$D$2:$D$2000,MATCH(K476,'Both teabags AfterDry'!$A$2:$A$2000,0)),"")</f>
        <v>1.8165</v>
      </c>
      <c r="Q476" s="264">
        <f>IFERROR(IF(P476&gt;0,P476-(TBIcalc!$Q$9),""),"")</f>
        <v>1.6658999999999999</v>
      </c>
      <c r="R476" s="275">
        <f>IFERROR(INDEX('Ashed teabags dry'!$K$2:$K$2000,MATCH(K476,'Ashed teabags dry'!$A$2:$A$2000,0)),"")</f>
        <v>5.65371024735001</v>
      </c>
      <c r="S476" s="275">
        <f t="shared" si="37"/>
        <v>1.5717148409893962</v>
      </c>
      <c r="T476" s="265">
        <f>IF('Dry_Litterbag Placem_Collection'!E37="","",'Dry_Litterbag Placem_Collection'!E37)</f>
        <v>42938</v>
      </c>
      <c r="U476" s="265">
        <f>IF('Dry_Litterbag Placem_Collection'!G37="","",'Dry_Litterbag Placem_Collection'!G37)</f>
        <v>43005</v>
      </c>
      <c r="V476" s="266">
        <f t="shared" si="35"/>
        <v>67</v>
      </c>
      <c r="W476" s="264">
        <f t="shared" si="38"/>
        <v>2.8299999999999992E-2</v>
      </c>
      <c r="X476" s="264">
        <f t="shared" si="39"/>
        <v>2.9053998913048273E-2</v>
      </c>
      <c r="Y476" s="268">
        <f>IFERROR(INDEX(Rainfall_Dry!$O$2:$O$217,MATCH(B476, Rainfall_Dry!$A$2:$A$217,0)),"")</f>
        <v>6.5250000359999998</v>
      </c>
      <c r="Z476" s="257">
        <v>23.96</v>
      </c>
      <c r="AA476" s="257">
        <v>0.91999999999999804</v>
      </c>
      <c r="AB476" s="257">
        <v>75.12</v>
      </c>
      <c r="AC476" s="258" t="s">
        <v>2654</v>
      </c>
      <c r="AD476" s="257">
        <v>1.2493839329719072</v>
      </c>
      <c r="AE476">
        <f>IF('WetLitterbags placem_collection'!AB37="","",'WetLitterbags placem_collection'!AB37)</f>
        <v>0.7</v>
      </c>
      <c r="AF476">
        <f>IF('WetLitterbags placem_collection'!Z37="","",'WetLitterbags placem_collection'!Z37)</f>
        <v>10.6</v>
      </c>
      <c r="AG476" s="243" t="str">
        <f>IF('WetLitterbags placem_collection'!AA37="","",'WetLitterbags placem_collection'!AA37)</f>
        <v>G</v>
      </c>
      <c r="AH476">
        <f>IF('WetLitterbags placem_collection'!AC37="","",'WetLitterbags placem_collection'!AC37)</f>
        <v>0</v>
      </c>
      <c r="AI476">
        <f>IFERROR(AVERAGE('Dry_Litterbag Placem_Collection'!O37,'Dry_Litterbag Placem_Collection'!R37),"")</f>
        <v>3.35</v>
      </c>
      <c r="AJ476" s="268">
        <f>IFERROR(AVERAGE('Dry_Litterbag Placem_Collection'!N37,'Dry_Litterbag Placem_Collection'!Q37),"")</f>
        <v>26.95</v>
      </c>
      <c r="AK476" s="267">
        <f>INDEX(Coordinates!$B$2:$B$197,MATCH(H476,Coordinates!$J$2:$J$197,0))</f>
        <v>-3.409177009</v>
      </c>
      <c r="AL476" s="267">
        <f>INDEX(Coordinates!$C$2:$C$197,MATCH(H476,Coordinates!$J$2:$J$197,0))</f>
        <v>34.852818990000003</v>
      </c>
      <c r="AM476" s="267" t="str">
        <f>IF(ISNUMBER(SEARCH("C", 'Dry_Litterbag Placem_Collection'!U37)),"YES","NO")</f>
        <v>NO</v>
      </c>
      <c r="AN476" s="267" t="str">
        <f>IF(ISNUMBER(SEARCH("H", 'Dry_Litterbag Placem_Collection'!U37)),"YES","NO")</f>
        <v>NO</v>
      </c>
      <c r="AO476" s="267" t="str">
        <f>IF(ISNUMBER(SEARCH("R", 'Dry_Litterbag Placem_Collection'!U37)),"YES","NO")</f>
        <v>NO</v>
      </c>
    </row>
    <row r="477" spans="1:41" ht="15" customHeight="1">
      <c r="A477" s="259" t="s">
        <v>2643</v>
      </c>
      <c r="B477" s="260">
        <f>'Dry_Litterbag Placem_Collection'!A38</f>
        <v>36</v>
      </c>
      <c r="C477" s="260" t="str">
        <f>'Dry_Litterbag Placem_Collection'!B38</f>
        <v>Makao</v>
      </c>
      <c r="D477" s="260" t="s">
        <v>2643</v>
      </c>
      <c r="E477" s="260" t="s">
        <v>20</v>
      </c>
      <c r="F477" s="260">
        <v>1</v>
      </c>
      <c r="G477" s="260" t="s">
        <v>3805</v>
      </c>
      <c r="H477" s="261" t="str">
        <f>'Dry_Litterbag Placem_Collection'!C38</f>
        <v>Dry_P1_T4</v>
      </c>
      <c r="I477" s="270" t="s">
        <v>3630</v>
      </c>
      <c r="J477" s="263" t="s">
        <v>1147</v>
      </c>
      <c r="K477" s="260" t="str">
        <f>IF(ISBLANK('Dry_Litterbag Placem_Collection'!L38),"","G"&amp;""&amp;'Dry_Litterbag Placem_Collection'!L38)</f>
        <v>G767</v>
      </c>
      <c r="L477" s="264">
        <f>IFERROR(INDEX('Green_rooibos initial weight'!$C$5:$C$2000,MATCH(K477, 'Green_rooibos initial weight'!$A$5:$A$2000,0)),"")</f>
        <v>1.8879999999999999</v>
      </c>
      <c r="M477" s="264">
        <f>IFERROR(L477-(TBIcalc!$Q$9+TBIcalc!$Q$10),"")</f>
        <v>1.6381999999999999</v>
      </c>
      <c r="N477" s="385">
        <f>AVERAGE(Ashed_controlls!$K$2:$K$11)</f>
        <v>5.5147656768714146</v>
      </c>
      <c r="O477" s="264">
        <f t="shared" si="36"/>
        <v>1.5478571086814923</v>
      </c>
      <c r="P477" s="264">
        <f>IFERROR(INDEX('Both teabags AfterDry'!$D$2:$D$2000,MATCH(K477,'Both teabags AfterDry'!$A$2:$A$2000,0)),"")</f>
        <v>1.4665999999999999</v>
      </c>
      <c r="Q477" s="264">
        <f>IFERROR(IF(P477&gt;0,P477-(TBIcalc!$Q$9),""),"")</f>
        <v>1.3159999999999998</v>
      </c>
      <c r="R477" s="275">
        <f>IFERROR(INDEX('Ashed teabags dry'!$K$2:$K$2000,MATCH(K477,'Ashed teabags dry'!$A$2:$A$2000,0)),"")</f>
        <v>8.3333333333337372</v>
      </c>
      <c r="S477" s="275">
        <f t="shared" si="37"/>
        <v>1.2063333333333279</v>
      </c>
      <c r="T477" s="265">
        <f>IF('Dry_Litterbag Placem_Collection'!E38="","",'Dry_Litterbag Placem_Collection'!E38)</f>
        <v>42938</v>
      </c>
      <c r="U477" s="265">
        <f>IF('Dry_Litterbag Placem_Collection'!G38="","",'Dry_Litterbag Placem_Collection'!G38)</f>
        <v>43005</v>
      </c>
      <c r="V477" s="266">
        <f t="shared" si="35"/>
        <v>67</v>
      </c>
      <c r="W477" s="264">
        <f t="shared" si="38"/>
        <v>0.32220000000000004</v>
      </c>
      <c r="X477" s="264">
        <f t="shared" si="39"/>
        <v>0.34152377534816436</v>
      </c>
      <c r="Y477" s="268">
        <f>IFERROR(INDEX(Rainfall_Dry!$O$2:$O$217,MATCH(B477, Rainfall_Dry!$A$2:$A$217,0)),"")</f>
        <v>6.5250000359999998</v>
      </c>
      <c r="Z477" s="257">
        <v>23.96</v>
      </c>
      <c r="AA477" s="257">
        <v>0.91999999999999804</v>
      </c>
      <c r="AB477" s="257">
        <v>75.12</v>
      </c>
      <c r="AC477" s="258" t="s">
        <v>2654</v>
      </c>
      <c r="AD477" s="257">
        <v>1.2493839329719072</v>
      </c>
      <c r="AE477">
        <f>IF('WetLitterbags placem_collection'!AB38="","",'WetLitterbags placem_collection'!AB38)</f>
        <v>3.3</v>
      </c>
      <c r="AF477">
        <f>IF('WetLitterbags placem_collection'!Z38="","",'WetLitterbags placem_collection'!Z38)</f>
        <v>4.9000000000000004</v>
      </c>
      <c r="AG477" s="243" t="str">
        <f>IF('WetLitterbags placem_collection'!AA38="","",'WetLitterbags placem_collection'!AA38)</f>
        <v>G</v>
      </c>
      <c r="AH477">
        <f>IF('WetLitterbags placem_collection'!AC38="","",'WetLitterbags placem_collection'!AC38)</f>
        <v>1</v>
      </c>
      <c r="AI477">
        <f>IFERROR(AVERAGE('Dry_Litterbag Placem_Collection'!O38,'Dry_Litterbag Placem_Collection'!R38),"")</f>
        <v>3</v>
      </c>
      <c r="AJ477" s="268">
        <f>IFERROR(AVERAGE('Dry_Litterbag Placem_Collection'!N38,'Dry_Litterbag Placem_Collection'!Q38),"")</f>
        <v>25.85</v>
      </c>
      <c r="AK477" s="267">
        <f>INDEX(Coordinates!$B$2:$B$197,MATCH(H477,Coordinates!$J$2:$J$197,0))</f>
        <v>-3.40917198</v>
      </c>
      <c r="AL477" s="267">
        <f>INDEX(Coordinates!$C$2:$C$197,MATCH(H477,Coordinates!$J$2:$J$197,0))</f>
        <v>34.852960979999999</v>
      </c>
      <c r="AM477" s="267" t="str">
        <f>IF(ISNUMBER(SEARCH("C", 'Dry_Litterbag Placem_Collection'!U38)),"YES","NO")</f>
        <v>NO</v>
      </c>
      <c r="AN477" s="267" t="str">
        <f>IF(ISNUMBER(SEARCH("H", 'Dry_Litterbag Placem_Collection'!U38)),"YES","NO")</f>
        <v>NO</v>
      </c>
      <c r="AO477" s="267" t="str">
        <f>IF(ISNUMBER(SEARCH("R", 'Dry_Litterbag Placem_Collection'!U38)),"YES","NO")</f>
        <v>YES</v>
      </c>
    </row>
    <row r="478" spans="1:41" ht="15" customHeight="1">
      <c r="A478" s="259" t="s">
        <v>2643</v>
      </c>
      <c r="B478" s="260">
        <f>'Dry_Litterbag Placem_Collection'!A39</f>
        <v>37</v>
      </c>
      <c r="C478" s="260" t="str">
        <f>'Dry_Litterbag Placem_Collection'!B39</f>
        <v>Makao</v>
      </c>
      <c r="D478" s="260" t="s">
        <v>2643</v>
      </c>
      <c r="E478" s="260" t="s">
        <v>20</v>
      </c>
      <c r="F478" s="260">
        <v>1</v>
      </c>
      <c r="G478" s="260" t="s">
        <v>3805</v>
      </c>
      <c r="H478" s="261" t="str">
        <f>'Dry_Litterbag Placem_Collection'!C39</f>
        <v>Dry_P1_T5</v>
      </c>
      <c r="I478" s="270" t="s">
        <v>3630</v>
      </c>
      <c r="J478" s="263" t="s">
        <v>1147</v>
      </c>
      <c r="K478" s="260" t="str">
        <f>IF(ISBLANK('Dry_Litterbag Placem_Collection'!L39),"","G"&amp;""&amp;'Dry_Litterbag Placem_Collection'!L39)</f>
        <v>G473</v>
      </c>
      <c r="L478" s="264">
        <f>IFERROR(INDEX('Green_rooibos initial weight'!$C$5:$C$2000,MATCH(K478, 'Green_rooibos initial weight'!$A$5:$A$2000,0)),"")</f>
        <v>2.077</v>
      </c>
      <c r="M478" s="264">
        <f>IFERROR(L478-(TBIcalc!$Q$9+TBIcalc!$Q$10),"")</f>
        <v>1.8271999999999999</v>
      </c>
      <c r="N478" s="385">
        <f>AVERAGE(Ashed_controlls!$K$2:$K$11)</f>
        <v>5.5147656768714146</v>
      </c>
      <c r="O478" s="264">
        <f t="shared" si="36"/>
        <v>1.7264342015522054</v>
      </c>
      <c r="P478" s="264">
        <f>IFERROR(INDEX('Both teabags AfterDry'!$D$2:$D$2000,MATCH(K478,'Both teabags AfterDry'!$A$2:$A$2000,0)),"")</f>
        <v>1.8992</v>
      </c>
      <c r="Q478" s="264">
        <f>IFERROR(IF(P478&gt;0,P478-(TBIcalc!$Q$9),""),"")</f>
        <v>1.7485999999999999</v>
      </c>
      <c r="R478" s="275">
        <f>IFERROR(INDEX('Ashed teabags dry'!$K$2:$K$2000,MATCH(K478,'Ashed teabags dry'!$A$2:$A$2000,0)),"")</f>
        <v>6.7924528301884193</v>
      </c>
      <c r="S478" s="275">
        <f t="shared" si="37"/>
        <v>1.6298271698113251</v>
      </c>
      <c r="T478" s="265">
        <f>IF('Dry_Litterbag Placem_Collection'!E39="","",'Dry_Litterbag Placem_Collection'!E39)</f>
        <v>42938</v>
      </c>
      <c r="U478" s="265">
        <f>IF('Dry_Litterbag Placem_Collection'!G39="","",'Dry_Litterbag Placem_Collection'!G39)</f>
        <v>43005</v>
      </c>
      <c r="V478" s="266">
        <f t="shared" si="35"/>
        <v>67</v>
      </c>
      <c r="W478" s="264">
        <f t="shared" si="38"/>
        <v>7.8600000000000003E-2</v>
      </c>
      <c r="X478" s="264">
        <f t="shared" si="39"/>
        <v>9.6607031740880256E-2</v>
      </c>
      <c r="Y478" s="268">
        <f>IFERROR(INDEX(Rainfall_Dry!$O$2:$O$217,MATCH(B478, Rainfall_Dry!$A$2:$A$217,0)),"")</f>
        <v>6.5250000359999998</v>
      </c>
      <c r="Z478" s="257">
        <v>23.96</v>
      </c>
      <c r="AA478" s="257">
        <v>0.91999999999999804</v>
      </c>
      <c r="AB478" s="257">
        <v>75.12</v>
      </c>
      <c r="AC478" s="258" t="s">
        <v>2654</v>
      </c>
      <c r="AD478" s="257">
        <v>1.2493839329719072</v>
      </c>
      <c r="AE478">
        <f>IF('WetLitterbags placem_collection'!AB39="","",'WetLitterbags placem_collection'!AB39)</f>
        <v>8.3000000000000007</v>
      </c>
      <c r="AF478">
        <f>IF('WetLitterbags placem_collection'!Z39="","",'WetLitterbags placem_collection'!Z39)</f>
        <v>27.8</v>
      </c>
      <c r="AG478" s="243" t="str">
        <f>IF('WetLitterbags placem_collection'!AA39="","",'WetLitterbags placem_collection'!AA39)</f>
        <v>G</v>
      </c>
      <c r="AH478">
        <f>IF('WetLitterbags placem_collection'!AC39="","",'WetLitterbags placem_collection'!AC39)</f>
        <v>0</v>
      </c>
      <c r="AI478">
        <f>IFERROR(AVERAGE('Dry_Litterbag Placem_Collection'!O39,'Dry_Litterbag Placem_Collection'!R39),"")</f>
        <v>4.25</v>
      </c>
      <c r="AJ478" s="268">
        <f>IFERROR(AVERAGE('Dry_Litterbag Placem_Collection'!N39,'Dry_Litterbag Placem_Collection'!Q39),"")</f>
        <v>26.1</v>
      </c>
      <c r="AK478" s="267">
        <f>INDEX(Coordinates!$B$2:$B$197,MATCH(H478,Coordinates!$J$2:$J$197,0))</f>
        <v>-3.4090709779999999</v>
      </c>
      <c r="AL478" s="267">
        <f>INDEX(Coordinates!$C$2:$C$197,MATCH(H478,Coordinates!$J$2:$J$197,0))</f>
        <v>34.852712029999999</v>
      </c>
      <c r="AM478" s="267" t="str">
        <f>IF(ISNUMBER(SEARCH("C", 'Dry_Litterbag Placem_Collection'!U39)),"YES","NO")</f>
        <v>NO</v>
      </c>
      <c r="AN478" s="267" t="str">
        <f>IF(ISNUMBER(SEARCH("H", 'Dry_Litterbag Placem_Collection'!U39)),"YES","NO")</f>
        <v>NO</v>
      </c>
      <c r="AO478" s="267" t="str">
        <f>IF(ISNUMBER(SEARCH("R", 'Dry_Litterbag Placem_Collection'!U39)),"YES","NO")</f>
        <v>NO</v>
      </c>
    </row>
    <row r="479" spans="1:41" ht="15" customHeight="1">
      <c r="A479" s="259" t="s">
        <v>2643</v>
      </c>
      <c r="B479" s="260">
        <f>'Dry_Litterbag Placem_Collection'!A40</f>
        <v>38</v>
      </c>
      <c r="C479" s="260" t="str">
        <f>'Dry_Litterbag Placem_Collection'!B40</f>
        <v>Makao</v>
      </c>
      <c r="D479" s="260" t="s">
        <v>2643</v>
      </c>
      <c r="E479" s="260" t="s">
        <v>20</v>
      </c>
      <c r="F479" s="260">
        <v>1</v>
      </c>
      <c r="G479" s="260" t="s">
        <v>3805</v>
      </c>
      <c r="H479" s="261" t="str">
        <f>'Dry_Litterbag Placem_Collection'!C40</f>
        <v>Dry_P1_T6</v>
      </c>
      <c r="I479" s="270" t="s">
        <v>3630</v>
      </c>
      <c r="J479" s="263" t="s">
        <v>1147</v>
      </c>
      <c r="K479" s="260" t="str">
        <f>IF(ISBLANK('Dry_Litterbag Placem_Collection'!L40),"","G"&amp;""&amp;'Dry_Litterbag Placem_Collection'!L40)</f>
        <v>G111</v>
      </c>
      <c r="L479" s="264">
        <f>IFERROR(INDEX('Green_rooibos initial weight'!$C$5:$C$2000,MATCH(K479, 'Green_rooibos initial weight'!$A$5:$A$2000,0)),"")</f>
        <v>2.0750000000000002</v>
      </c>
      <c r="M479" s="264">
        <f>IFERROR(L479-(TBIcalc!$Q$9+TBIcalc!$Q$10),"")</f>
        <v>1.8252000000000002</v>
      </c>
      <c r="N479" s="385">
        <f>AVERAGE(Ashed_controlls!$K$2:$K$11)</f>
        <v>5.5147656768714146</v>
      </c>
      <c r="O479" s="264">
        <f t="shared" si="36"/>
        <v>1.7245444968657431</v>
      </c>
      <c r="P479" s="264">
        <f>IFERROR(INDEX('Both teabags AfterDry'!$D$2:$D$2000,MATCH(K479,'Both teabags AfterDry'!$A$2:$A$2000,0)),"")</f>
        <v>1.8357000000000001</v>
      </c>
      <c r="Q479" s="264">
        <f>IFERROR(IF(P479&gt;0,P479-(TBIcalc!$Q$9),""),"")</f>
        <v>1.6851</v>
      </c>
      <c r="R479" s="275">
        <f>IFERROR(INDEX('Ashed teabags dry'!$K$2:$K$2000,MATCH(K479,'Ashed teabags dry'!$A$2:$A$2000,0)),"")</f>
        <v>6.2317429406042981</v>
      </c>
      <c r="S479" s="275">
        <f t="shared" si="37"/>
        <v>1.580088899707877</v>
      </c>
      <c r="T479" s="265">
        <f>IF('Dry_Litterbag Placem_Collection'!E40="","",'Dry_Litterbag Placem_Collection'!E40)</f>
        <v>42938</v>
      </c>
      <c r="U479" s="265">
        <f>IF('Dry_Litterbag Placem_Collection'!G40="","",'Dry_Litterbag Placem_Collection'!G40)</f>
        <v>43005</v>
      </c>
      <c r="V479" s="266">
        <f t="shared" si="35"/>
        <v>67</v>
      </c>
      <c r="W479" s="264">
        <f t="shared" si="38"/>
        <v>0.14010000000000011</v>
      </c>
      <c r="X479" s="264">
        <f t="shared" si="39"/>
        <v>0.14445559715786604</v>
      </c>
      <c r="Y479" s="268">
        <f>IFERROR(INDEX(Rainfall_Dry!$O$2:$O$217,MATCH(B479, Rainfall_Dry!$A$2:$A$217,0)),"")</f>
        <v>6.5250000359999998</v>
      </c>
      <c r="Z479" s="257">
        <v>23.96</v>
      </c>
      <c r="AA479" s="257">
        <v>0.91999999999999804</v>
      </c>
      <c r="AB479" s="257">
        <v>75.12</v>
      </c>
      <c r="AC479" s="258" t="s">
        <v>2654</v>
      </c>
      <c r="AD479" s="257">
        <v>1.2493839329719072</v>
      </c>
      <c r="AE479">
        <f>IF('WetLitterbags placem_collection'!AB40="","",'WetLitterbags placem_collection'!AB40)</f>
        <v>2</v>
      </c>
      <c r="AF479">
        <f>IF('WetLitterbags placem_collection'!Z40="","",'WetLitterbags placem_collection'!Z40)</f>
        <v>20.399999999999999</v>
      </c>
      <c r="AG479" s="243" t="str">
        <f>IF('WetLitterbags placem_collection'!AA40="","",'WetLitterbags placem_collection'!AA40)</f>
        <v>O</v>
      </c>
      <c r="AH479">
        <f>IF('WetLitterbags placem_collection'!AC40="","",'WetLitterbags placem_collection'!AC40)</f>
        <v>0</v>
      </c>
      <c r="AI479">
        <f>IFERROR(AVERAGE('Dry_Litterbag Placem_Collection'!O40,'Dry_Litterbag Placem_Collection'!R40),"")</f>
        <v>2.85</v>
      </c>
      <c r="AJ479" s="268">
        <f>IFERROR(AVERAGE('Dry_Litterbag Placem_Collection'!N40,'Dry_Litterbag Placem_Collection'!Q40),"")</f>
        <v>26.7</v>
      </c>
      <c r="AK479" s="267">
        <f>INDEX(Coordinates!$B$2:$B$197,MATCH(H479,Coordinates!$J$2:$J$197,0))</f>
        <v>-3.409280023</v>
      </c>
      <c r="AL479" s="267">
        <f>INDEX(Coordinates!$C$2:$C$197,MATCH(H479,Coordinates!$J$2:$J$197,0))</f>
        <v>34.852612960000002</v>
      </c>
      <c r="AM479" s="267" t="str">
        <f>IF(ISNUMBER(SEARCH("C", 'Dry_Litterbag Placem_Collection'!U40)),"YES","NO")</f>
        <v>NO</v>
      </c>
      <c r="AN479" s="267" t="str">
        <f>IF(ISNUMBER(SEARCH("H", 'Dry_Litterbag Placem_Collection'!U40)),"YES","NO")</f>
        <v>NO</v>
      </c>
      <c r="AO479" s="267" t="str">
        <f>IF(ISNUMBER(SEARCH("R", 'Dry_Litterbag Placem_Collection'!U40)),"YES","NO")</f>
        <v>NO</v>
      </c>
    </row>
    <row r="480" spans="1:41" ht="15" customHeight="1">
      <c r="A480" s="259" t="s">
        <v>2643</v>
      </c>
      <c r="B480" s="260">
        <f>'Dry_Litterbag Placem_Collection'!A41</f>
        <v>39</v>
      </c>
      <c r="C480" s="260" t="str">
        <f>'Dry_Litterbag Placem_Collection'!B41</f>
        <v>Makao</v>
      </c>
      <c r="D480" s="260" t="s">
        <v>2643</v>
      </c>
      <c r="E480" s="260" t="s">
        <v>20</v>
      </c>
      <c r="F480" s="260">
        <v>1</v>
      </c>
      <c r="G480" s="260" t="s">
        <v>3805</v>
      </c>
      <c r="H480" s="261" t="str">
        <f>'Dry_Litterbag Placem_Collection'!C41</f>
        <v>Dry_P1_T7</v>
      </c>
      <c r="I480" s="270" t="s">
        <v>3630</v>
      </c>
      <c r="J480" s="263" t="s">
        <v>1147</v>
      </c>
      <c r="K480" s="260" t="str">
        <f>IF(ISBLANK('Dry_Litterbag Placem_Collection'!L41),"","G"&amp;""&amp;'Dry_Litterbag Placem_Collection'!L41)</f>
        <v/>
      </c>
      <c r="L480" s="264" t="str">
        <f>IFERROR(INDEX('Green_rooibos initial weight'!$C$5:$C$2000,MATCH(K480, 'Green_rooibos initial weight'!$A$5:$A$2000,0)),"")</f>
        <v/>
      </c>
      <c r="M480" s="264" t="str">
        <f>IFERROR(L480-(TBIcalc!$Q$9+TBIcalc!$Q$10),"")</f>
        <v/>
      </c>
      <c r="N480" s="385">
        <f>AVERAGE(Ashed_controlls!$K$2:$K$11)</f>
        <v>5.5147656768714146</v>
      </c>
      <c r="O480" s="264" t="str">
        <f t="shared" si="36"/>
        <v/>
      </c>
      <c r="P480" s="264" t="str">
        <f>IFERROR(INDEX('Both teabags AfterDry'!$D$2:$D$2000,MATCH(K480,'Both teabags AfterDry'!$A$2:$A$2000,0)),"")</f>
        <v/>
      </c>
      <c r="Q480" s="264" t="str">
        <f>IFERROR(IF(P480&gt;0,P480-(TBIcalc!$Q$9),""),"")</f>
        <v/>
      </c>
      <c r="R480" s="275" t="str">
        <f>IFERROR(INDEX('Ashed teabags dry'!$K$2:$K$2000,MATCH(K480,'Ashed teabags dry'!$A$2:$A$2000,0)),"")</f>
        <v/>
      </c>
      <c r="S480" s="275" t="str">
        <f t="shared" si="37"/>
        <v/>
      </c>
      <c r="T480" s="265">
        <f>IF('Dry_Litterbag Placem_Collection'!E41="","",'Dry_Litterbag Placem_Collection'!E41)</f>
        <v>42938</v>
      </c>
      <c r="U480" s="265" t="str">
        <f>IF('Dry_Litterbag Placem_Collection'!G41="","",'Dry_Litterbag Placem_Collection'!G41)</f>
        <v/>
      </c>
      <c r="V480" s="266" t="str">
        <f t="shared" si="35"/>
        <v/>
      </c>
      <c r="W480" s="264" t="str">
        <f t="shared" si="38"/>
        <v/>
      </c>
      <c r="X480" s="264" t="str">
        <f t="shared" si="39"/>
        <v/>
      </c>
      <c r="Y480" s="268" t="str">
        <f>IFERROR(INDEX(Rainfall_Dry!$O$2:$O$217,MATCH(B480, Rainfall_Dry!$A$2:$A$217,0)),"")</f>
        <v/>
      </c>
      <c r="Z480" s="257">
        <v>23.96</v>
      </c>
      <c r="AA480" s="257">
        <v>0.91999999999999804</v>
      </c>
      <c r="AB480" s="257">
        <v>75.12</v>
      </c>
      <c r="AC480" s="258" t="s">
        <v>2654</v>
      </c>
      <c r="AD480" s="257">
        <v>1.2493839329719072</v>
      </c>
      <c r="AE480">
        <f>IF('WetLitterbags placem_collection'!AB41="","",'WetLitterbags placem_collection'!AB41)</f>
        <v>2.4</v>
      </c>
      <c r="AF480">
        <f>IF('WetLitterbags placem_collection'!Z41="","",'WetLitterbags placem_collection'!Z41)</f>
        <v>18</v>
      </c>
      <c r="AG480" s="243" t="str">
        <f>IF('WetLitterbags placem_collection'!AA41="","",'WetLitterbags placem_collection'!AA41)</f>
        <v>G</v>
      </c>
      <c r="AH480">
        <f>IF('WetLitterbags placem_collection'!AC41="","",'WetLitterbags placem_collection'!AC41)</f>
        <v>1</v>
      </c>
      <c r="AI480" t="str">
        <f>IFERROR(AVERAGE('Dry_Litterbag Placem_Collection'!O41,'Dry_Litterbag Placem_Collection'!R41),"")</f>
        <v/>
      </c>
      <c r="AJ480" s="268" t="str">
        <f>IFERROR(AVERAGE('Dry_Litterbag Placem_Collection'!N41,'Dry_Litterbag Placem_Collection'!Q41),"")</f>
        <v/>
      </c>
      <c r="AK480" s="267">
        <f>INDEX(Coordinates!$B$2:$B$197,MATCH(H480,Coordinates!$J$2:$J$197,0))</f>
        <v>-3.4093859700000002</v>
      </c>
      <c r="AL480" s="267">
        <f>INDEX(Coordinates!$C$2:$C$197,MATCH(H480,Coordinates!$J$2:$J$197,0))</f>
        <v>34.852855030000001</v>
      </c>
      <c r="AM480" s="267" t="str">
        <f>IF(ISNUMBER(SEARCH("C", 'Dry_Litterbag Placem_Collection'!U41)),"YES","NO")</f>
        <v>NO</v>
      </c>
      <c r="AN480" s="267" t="str">
        <f>IF(ISNUMBER(SEARCH("H", 'Dry_Litterbag Placem_Collection'!U41)),"YES","NO")</f>
        <v>NO</v>
      </c>
      <c r="AO480" s="267" t="str">
        <f>IF(ISNUMBER(SEARCH("R", 'Dry_Litterbag Placem_Collection'!U41)),"YES","NO")</f>
        <v>NO</v>
      </c>
    </row>
    <row r="481" spans="1:41" ht="15" customHeight="1">
      <c r="A481" s="259" t="s">
        <v>2643</v>
      </c>
      <c r="B481" s="260">
        <f>'Dry_Litterbag Placem_Collection'!A42</f>
        <v>40</v>
      </c>
      <c r="C481" s="260" t="str">
        <f>'Dry_Litterbag Placem_Collection'!B42</f>
        <v>Makao</v>
      </c>
      <c r="D481" s="260" t="s">
        <v>2643</v>
      </c>
      <c r="E481" s="260" t="s">
        <v>20</v>
      </c>
      <c r="F481" s="260">
        <v>1</v>
      </c>
      <c r="G481" s="260" t="s">
        <v>3805</v>
      </c>
      <c r="H481" s="261" t="str">
        <f>'Dry_Litterbag Placem_Collection'!C42</f>
        <v>Dry_P1_T8</v>
      </c>
      <c r="I481" s="270" t="s">
        <v>3630</v>
      </c>
      <c r="J481" s="263" t="s">
        <v>1147</v>
      </c>
      <c r="K481" s="260" t="str">
        <f>IF(ISBLANK('Dry_Litterbag Placem_Collection'!L42),"","G"&amp;""&amp;'Dry_Litterbag Placem_Collection'!L42)</f>
        <v>G646</v>
      </c>
      <c r="L481" s="264">
        <f>IFERROR(INDEX('Green_rooibos initial weight'!$C$5:$C$2000,MATCH(K481, 'Green_rooibos initial weight'!$A$5:$A$2000,0)),"")</f>
        <v>2.1629999999999998</v>
      </c>
      <c r="M481" s="264">
        <f>IFERROR(L481-(TBIcalc!$Q$9+TBIcalc!$Q$10),"")</f>
        <v>1.9131999999999998</v>
      </c>
      <c r="N481" s="385">
        <f>AVERAGE(Ashed_controlls!$K$2:$K$11)</f>
        <v>5.5147656768714146</v>
      </c>
      <c r="O481" s="264">
        <f t="shared" si="36"/>
        <v>1.807691503070096</v>
      </c>
      <c r="P481" s="264">
        <f>IFERROR(INDEX('Both teabags AfterDry'!$D$2:$D$2000,MATCH(K481,'Both teabags AfterDry'!$A$2:$A$2000,0)),"")</f>
        <v>1.9007000000000001</v>
      </c>
      <c r="Q481" s="264">
        <f>IFERROR(IF(P481&gt;0,P481-(TBIcalc!$Q$9),""),"")</f>
        <v>1.7501</v>
      </c>
      <c r="R481" s="275">
        <f>IFERROR(INDEX('Ashed teabags dry'!$K$2:$K$2000,MATCH(K481,'Ashed teabags dry'!$A$2:$A$2000,0)),"")</f>
        <v>6.7672833495611799</v>
      </c>
      <c r="S481" s="275">
        <f t="shared" si="37"/>
        <v>1.6316657740993297</v>
      </c>
      <c r="T481" s="265">
        <f>IF('Dry_Litterbag Placem_Collection'!E42="","",'Dry_Litterbag Placem_Collection'!E42)</f>
        <v>42938</v>
      </c>
      <c r="U481" s="265">
        <f>IF('Dry_Litterbag Placem_Collection'!G42="","",'Dry_Litterbag Placem_Collection'!G42)</f>
        <v>43005</v>
      </c>
      <c r="V481" s="266">
        <f t="shared" si="35"/>
        <v>67</v>
      </c>
      <c r="W481" s="264">
        <f t="shared" si="38"/>
        <v>0.1630999999999998</v>
      </c>
      <c r="X481" s="264">
        <f t="shared" si="39"/>
        <v>0.17602572897076629</v>
      </c>
      <c r="Y481" s="268">
        <f>IFERROR(INDEX(Rainfall_Dry!$O$2:$O$217,MATCH(B481, Rainfall_Dry!$A$2:$A$217,0)),"")</f>
        <v>6.5250000359999998</v>
      </c>
      <c r="Z481" s="257">
        <v>23.96</v>
      </c>
      <c r="AA481" s="257">
        <v>0.91999999999999804</v>
      </c>
      <c r="AB481" s="257">
        <v>75.12</v>
      </c>
      <c r="AC481" s="258" t="s">
        <v>2654</v>
      </c>
      <c r="AD481" s="257">
        <v>1.2493839329719072</v>
      </c>
      <c r="AE481">
        <f>IF('WetLitterbags placem_collection'!AB42="","",'WetLitterbags placem_collection'!AB42)</f>
        <v>8.6999999999999993</v>
      </c>
      <c r="AF481">
        <f>IF('WetLitterbags placem_collection'!Z42="","",'WetLitterbags placem_collection'!Z42)</f>
        <v>19.3</v>
      </c>
      <c r="AG481" s="243" t="str">
        <f>IF('WetLitterbags placem_collection'!AA42="","",'WetLitterbags placem_collection'!AA42)</f>
        <v>G</v>
      </c>
      <c r="AH481">
        <f>IF('WetLitterbags placem_collection'!AC42="","",'WetLitterbags placem_collection'!AC42)</f>
        <v>0</v>
      </c>
      <c r="AI481">
        <f>IFERROR(AVERAGE('Dry_Litterbag Placem_Collection'!O42,'Dry_Litterbag Placem_Collection'!R42),"")</f>
        <v>4.5999999999999996</v>
      </c>
      <c r="AJ481" s="268">
        <f>IFERROR(AVERAGE('Dry_Litterbag Placem_Collection'!N42,'Dry_Litterbag Placem_Collection'!Q42),"")</f>
        <v>26.2</v>
      </c>
      <c r="AK481" s="267">
        <f>INDEX(Coordinates!$B$2:$B$197,MATCH(H481,Coordinates!$J$2:$J$197,0))</f>
        <v>-3.4091539590000002</v>
      </c>
      <c r="AL481" s="267">
        <f>INDEX(Coordinates!$C$2:$C$197,MATCH(H481,Coordinates!$J$2:$J$197,0))</f>
        <v>34.852755029999997</v>
      </c>
      <c r="AM481" s="267" t="str">
        <f>IF(ISNUMBER(SEARCH("C", 'Dry_Litterbag Placem_Collection'!U42)),"YES","NO")</f>
        <v>NO</v>
      </c>
      <c r="AN481" s="267" t="str">
        <f>IF(ISNUMBER(SEARCH("H", 'Dry_Litterbag Placem_Collection'!U42)),"YES","NO")</f>
        <v>NO</v>
      </c>
      <c r="AO481" s="267" t="str">
        <f>IF(ISNUMBER(SEARCH("R", 'Dry_Litterbag Placem_Collection'!U42)),"YES","NO")</f>
        <v>NO</v>
      </c>
    </row>
    <row r="482" spans="1:41" ht="15" customHeight="1">
      <c r="A482" s="259" t="s">
        <v>2643</v>
      </c>
      <c r="B482" s="260">
        <f>'Dry_Litterbag Placem_Collection'!A43</f>
        <v>41</v>
      </c>
      <c r="C482" s="260" t="str">
        <f>'Dry_Litterbag Placem_Collection'!B43</f>
        <v>Makao</v>
      </c>
      <c r="D482" s="260" t="s">
        <v>2643</v>
      </c>
      <c r="E482" s="260" t="s">
        <v>20</v>
      </c>
      <c r="F482" s="260">
        <v>2</v>
      </c>
      <c r="G482" s="260" t="s">
        <v>3807</v>
      </c>
      <c r="H482" s="261" t="str">
        <f>'Dry_Litterbag Placem_Collection'!C43</f>
        <v>Dry_P2_T1</v>
      </c>
      <c r="I482" s="270" t="s">
        <v>3630</v>
      </c>
      <c r="J482" s="263" t="s">
        <v>1147</v>
      </c>
      <c r="K482" s="260" t="str">
        <f>IF(ISBLANK('Dry_Litterbag Placem_Collection'!L43),"","G"&amp;""&amp;'Dry_Litterbag Placem_Collection'!L43)</f>
        <v>G43</v>
      </c>
      <c r="L482" s="264">
        <f>IFERROR(INDEX('Green_rooibos initial weight'!$C$5:$C$2000,MATCH(K482, 'Green_rooibos initial weight'!$A$5:$A$2000,0)),"")</f>
        <v>1.9650000000000001</v>
      </c>
      <c r="M482" s="264">
        <f>IFERROR(L482-(TBIcalc!$Q$9+TBIcalc!$Q$10),"")</f>
        <v>1.7152000000000001</v>
      </c>
      <c r="N482" s="385">
        <f>AVERAGE(Ashed_controlls!$K$2:$K$11)</f>
        <v>5.5147656768714146</v>
      </c>
      <c r="O482" s="264">
        <f t="shared" si="36"/>
        <v>1.6206107391103015</v>
      </c>
      <c r="P482" s="264">
        <f>IFERROR(INDEX('Both teabags AfterDry'!$D$2:$D$2000,MATCH(K482,'Both teabags AfterDry'!$A$2:$A$2000,0)),"")</f>
        <v>1.7821</v>
      </c>
      <c r="Q482" s="264">
        <f>IFERROR(IF(P482&gt;0,P482-(TBIcalc!$Q$9),""),"")</f>
        <v>1.6315</v>
      </c>
      <c r="R482" s="275">
        <f>IFERROR(INDEX('Ashed teabags dry'!$K$2:$K$2000,MATCH(K482,'Ashed teabags dry'!$A$2:$A$2000,0)),"")</f>
        <v>4.8097944905995158</v>
      </c>
      <c r="S482" s="275">
        <f t="shared" si="37"/>
        <v>1.5530282028858688</v>
      </c>
      <c r="T482" s="265">
        <f>IF('Dry_Litterbag Placem_Collection'!E43="","",'Dry_Litterbag Placem_Collection'!E43)</f>
        <v>42938</v>
      </c>
      <c r="U482" s="265">
        <f>IF('Dry_Litterbag Placem_Collection'!G43="","",'Dry_Litterbag Placem_Collection'!G43)</f>
        <v>43005</v>
      </c>
      <c r="V482" s="266">
        <f t="shared" si="35"/>
        <v>67</v>
      </c>
      <c r="W482" s="264">
        <f t="shared" si="38"/>
        <v>8.3700000000000108E-2</v>
      </c>
      <c r="X482" s="264">
        <f t="shared" si="39"/>
        <v>6.7582536224432666E-2</v>
      </c>
      <c r="Y482" s="268">
        <f>IFERROR(INDEX(Rainfall_Dry!$O$2:$O$217,MATCH(B482, Rainfall_Dry!$A$2:$A$217,0)),"")</f>
        <v>6.5250000359999998</v>
      </c>
      <c r="Z482" s="257">
        <v>19.96</v>
      </c>
      <c r="AA482" s="257">
        <v>4.9199999999999982</v>
      </c>
      <c r="AB482" s="257">
        <v>75.12</v>
      </c>
      <c r="AC482" s="258" t="s">
        <v>2655</v>
      </c>
      <c r="AD482" s="257">
        <v>1.641498275012321</v>
      </c>
      <c r="AE482">
        <f>IF('WetLitterbags placem_collection'!AB43="","",'WetLitterbags placem_collection'!AB43)</f>
        <v>4</v>
      </c>
      <c r="AF482">
        <f>IF('WetLitterbags placem_collection'!Z43="","",'WetLitterbags placem_collection'!Z43)</f>
        <v>19.100000000000001</v>
      </c>
      <c r="AG482" s="243" t="str">
        <f>IF('WetLitterbags placem_collection'!AA43="","",'WetLitterbags placem_collection'!AA43)</f>
        <v>G</v>
      </c>
      <c r="AH482">
        <f>IF('WetLitterbags placem_collection'!AC43="","",'WetLitterbags placem_collection'!AC43)</f>
        <v>0</v>
      </c>
      <c r="AI482">
        <f>IFERROR(AVERAGE('Dry_Litterbag Placem_Collection'!O43,'Dry_Litterbag Placem_Collection'!R43),"")</f>
        <v>4.6500000000000004</v>
      </c>
      <c r="AJ482" s="268">
        <f>IFERROR(AVERAGE('Dry_Litterbag Placem_Collection'!N43,'Dry_Litterbag Placem_Collection'!Q43),"")</f>
        <v>27.85</v>
      </c>
      <c r="AK482" s="267">
        <f>INDEX(Coordinates!$B$2:$B$197,MATCH(H482,Coordinates!$J$2:$J$197,0))</f>
        <v>-3.4083420040000001</v>
      </c>
      <c r="AL482" s="267">
        <f>INDEX(Coordinates!$C$2:$C$197,MATCH(H482,Coordinates!$J$2:$J$197,0))</f>
        <v>34.850283040000001</v>
      </c>
      <c r="AM482" s="267" t="str">
        <f>IF(ISNUMBER(SEARCH("C", 'Dry_Litterbag Placem_Collection'!U43)),"YES","NO")</f>
        <v>NO</v>
      </c>
      <c r="AN482" s="267" t="str">
        <f>IF(ISNUMBER(SEARCH("H", 'Dry_Litterbag Placem_Collection'!U43)),"YES","NO")</f>
        <v>NO</v>
      </c>
      <c r="AO482" s="267" t="str">
        <f>IF(ISNUMBER(SEARCH("R", 'Dry_Litterbag Placem_Collection'!U43)),"YES","NO")</f>
        <v>NO</v>
      </c>
    </row>
    <row r="483" spans="1:41" ht="15" customHeight="1">
      <c r="A483" s="259" t="s">
        <v>2643</v>
      </c>
      <c r="B483" s="260">
        <f>'Dry_Litterbag Placem_Collection'!A44</f>
        <v>42</v>
      </c>
      <c r="C483" s="260" t="str">
        <f>'Dry_Litterbag Placem_Collection'!B44</f>
        <v>Makao</v>
      </c>
      <c r="D483" s="260" t="s">
        <v>2643</v>
      </c>
      <c r="E483" s="260" t="s">
        <v>20</v>
      </c>
      <c r="F483" s="260">
        <v>2</v>
      </c>
      <c r="G483" s="260" t="s">
        <v>3807</v>
      </c>
      <c r="H483" s="261" t="str">
        <f>'Dry_Litterbag Placem_Collection'!C44</f>
        <v>Dry_P2_T2</v>
      </c>
      <c r="I483" s="270" t="s">
        <v>3630</v>
      </c>
      <c r="J483" s="263" t="s">
        <v>1147</v>
      </c>
      <c r="K483" s="260" t="str">
        <f>IF(ISBLANK('Dry_Litterbag Placem_Collection'!L44),"","G"&amp;""&amp;'Dry_Litterbag Placem_Collection'!L44)</f>
        <v>G268</v>
      </c>
      <c r="L483" s="264">
        <f>IFERROR(INDEX('Green_rooibos initial weight'!$C$5:$C$2000,MATCH(K483, 'Green_rooibos initial weight'!$A$5:$A$2000,0)),"")</f>
        <v>2.1389999999999998</v>
      </c>
      <c r="M483" s="264">
        <f>IFERROR(L483-(TBIcalc!$Q$9+TBIcalc!$Q$10),"")</f>
        <v>1.8891999999999998</v>
      </c>
      <c r="N483" s="385">
        <f>AVERAGE(Ashed_controlls!$K$2:$K$11)</f>
        <v>5.5147656768714146</v>
      </c>
      <c r="O483" s="264">
        <f t="shared" si="36"/>
        <v>1.785015046832545</v>
      </c>
      <c r="P483" s="264">
        <f>IFERROR(INDEX('Both teabags AfterDry'!$D$2:$D$2000,MATCH(K483,'Both teabags AfterDry'!$A$2:$A$2000,0)),"")</f>
        <v>1.7633000000000001</v>
      </c>
      <c r="Q483" s="264">
        <f>IFERROR(IF(P483&gt;0,P483-(TBIcalc!$Q$9),""),"")</f>
        <v>1.6127</v>
      </c>
      <c r="R483" s="275">
        <f>IFERROR(INDEX('Ashed teabags dry'!$K$2:$K$2000,MATCH(K483,'Ashed teabags dry'!$A$2:$A$2000,0)),"")</f>
        <v>9.3972472710013903</v>
      </c>
      <c r="S483" s="275">
        <f t="shared" si="37"/>
        <v>1.4611505932605606</v>
      </c>
      <c r="T483" s="265">
        <f>IF('Dry_Litterbag Placem_Collection'!E44="","",'Dry_Litterbag Placem_Collection'!E44)</f>
        <v>42938</v>
      </c>
      <c r="U483" s="265">
        <f>IF('Dry_Litterbag Placem_Collection'!G44="","",'Dry_Litterbag Placem_Collection'!G44)</f>
        <v>43005</v>
      </c>
      <c r="V483" s="266">
        <f t="shared" si="35"/>
        <v>67</v>
      </c>
      <c r="W483" s="264">
        <f t="shared" si="38"/>
        <v>0.27649999999999975</v>
      </c>
      <c r="X483" s="264">
        <f t="shared" si="39"/>
        <v>0.32386445357198435</v>
      </c>
      <c r="Y483" s="268">
        <f>IFERROR(INDEX(Rainfall_Dry!$O$2:$O$217,MATCH(B483, Rainfall_Dry!$A$2:$A$217,0)),"")</f>
        <v>6.5250000359999998</v>
      </c>
      <c r="Z483" s="257">
        <v>19.96</v>
      </c>
      <c r="AA483" s="257">
        <v>4.9199999999999982</v>
      </c>
      <c r="AB483" s="257">
        <v>75.12</v>
      </c>
      <c r="AC483" s="258" t="s">
        <v>2655</v>
      </c>
      <c r="AD483" s="257">
        <v>1.641498275012321</v>
      </c>
      <c r="AE483">
        <f>IF('WetLitterbags placem_collection'!AB44="","",'WetLitterbags placem_collection'!AB44)</f>
        <v>5.9</v>
      </c>
      <c r="AF483">
        <f>IF('WetLitterbags placem_collection'!Z44="","",'WetLitterbags placem_collection'!Z44)</f>
        <v>12.7</v>
      </c>
      <c r="AG483" s="243" t="str">
        <f>IF('WetLitterbags placem_collection'!AA44="","",'WetLitterbags placem_collection'!AA44)</f>
        <v>G</v>
      </c>
      <c r="AH483">
        <f>IF('WetLitterbags placem_collection'!AC44="","",'WetLitterbags placem_collection'!AC44)</f>
        <v>0</v>
      </c>
      <c r="AI483">
        <f>IFERROR(AVERAGE('Dry_Litterbag Placem_Collection'!O44,'Dry_Litterbag Placem_Collection'!R44),"")</f>
        <v>5.1999999999999993</v>
      </c>
      <c r="AJ483" s="268">
        <f>IFERROR(AVERAGE('Dry_Litterbag Placem_Collection'!N44,'Dry_Litterbag Placem_Collection'!Q44),"")</f>
        <v>27.15</v>
      </c>
      <c r="AK483" s="267">
        <f>INDEX(Coordinates!$B$2:$B$197,MATCH(H483,Coordinates!$J$2:$J$197,0))</f>
        <v>-3.4084079690000002</v>
      </c>
      <c r="AL483" s="267">
        <f>INDEX(Coordinates!$C$2:$C$197,MATCH(H483,Coordinates!$J$2:$J$197,0))</f>
        <v>34.850295029999998</v>
      </c>
      <c r="AM483" s="267" t="str">
        <f>IF(ISNUMBER(SEARCH("C", 'Dry_Litterbag Placem_Collection'!U44)),"YES","NO")</f>
        <v>NO</v>
      </c>
      <c r="AN483" s="267" t="str">
        <f>IF(ISNUMBER(SEARCH("H", 'Dry_Litterbag Placem_Collection'!U44)),"YES","NO")</f>
        <v>NO</v>
      </c>
      <c r="AO483" s="267" t="str">
        <f>IF(ISNUMBER(SEARCH("R", 'Dry_Litterbag Placem_Collection'!U44)),"YES","NO")</f>
        <v>YES</v>
      </c>
    </row>
    <row r="484" spans="1:41" ht="15" customHeight="1">
      <c r="A484" s="259" t="s">
        <v>2643</v>
      </c>
      <c r="B484" s="260">
        <f>'Dry_Litterbag Placem_Collection'!A45</f>
        <v>43</v>
      </c>
      <c r="C484" s="260" t="str">
        <f>'Dry_Litterbag Placem_Collection'!B45</f>
        <v>Makao</v>
      </c>
      <c r="D484" s="260" t="s">
        <v>2643</v>
      </c>
      <c r="E484" s="260" t="s">
        <v>20</v>
      </c>
      <c r="F484" s="260">
        <v>2</v>
      </c>
      <c r="G484" s="260" t="s">
        <v>3807</v>
      </c>
      <c r="H484" s="261" t="str">
        <f>'Dry_Litterbag Placem_Collection'!C45</f>
        <v>Dry_P2_T3</v>
      </c>
      <c r="I484" s="270" t="s">
        <v>3630</v>
      </c>
      <c r="J484" s="263" t="s">
        <v>1147</v>
      </c>
      <c r="K484" s="260" t="str">
        <f>IF(ISBLANK('Dry_Litterbag Placem_Collection'!L45),"","G"&amp;""&amp;'Dry_Litterbag Placem_Collection'!L45)</f>
        <v>G300</v>
      </c>
      <c r="L484" s="264">
        <f>IFERROR(INDEX('Green_rooibos initial weight'!$C$5:$C$2000,MATCH(K484, 'Green_rooibos initial weight'!$A$5:$A$2000,0)),"")</f>
        <v>2.052</v>
      </c>
      <c r="M484" s="264">
        <f>IFERROR(L484-(TBIcalc!$Q$9+TBIcalc!$Q$10),"")</f>
        <v>1.8022</v>
      </c>
      <c r="N484" s="385">
        <f>AVERAGE(Ashed_controlls!$K$2:$K$11)</f>
        <v>5.5147656768714146</v>
      </c>
      <c r="O484" s="264">
        <f t="shared" si="36"/>
        <v>1.7028128929714235</v>
      </c>
      <c r="P484" s="264">
        <f>IFERROR(INDEX('Both teabags AfterDry'!$D$2:$D$2000,MATCH(K484,'Both teabags AfterDry'!$A$2:$A$2000,0)),"")</f>
        <v>1.8340000000000001</v>
      </c>
      <c r="Q484" s="264">
        <f>IFERROR(IF(P484&gt;0,P484-(TBIcalc!$Q$9),""),"")</f>
        <v>1.6834</v>
      </c>
      <c r="R484" s="275">
        <f>IFERROR(INDEX('Ashed teabags dry'!$K$2:$K$2000,MATCH(K484,'Ashed teabags dry'!$A$2:$A$2000,0)),"")</f>
        <v>6.2999529854254668</v>
      </c>
      <c r="S484" s="275">
        <f t="shared" si="37"/>
        <v>1.5773465914433478</v>
      </c>
      <c r="T484" s="265">
        <f>IF('Dry_Litterbag Placem_Collection'!E45="","",'Dry_Litterbag Placem_Collection'!E45)</f>
        <v>42938</v>
      </c>
      <c r="U484" s="265">
        <f>IF('Dry_Litterbag Placem_Collection'!G45="","",'Dry_Litterbag Placem_Collection'!G45)</f>
        <v>43005</v>
      </c>
      <c r="V484" s="266">
        <f t="shared" si="35"/>
        <v>67</v>
      </c>
      <c r="W484" s="264">
        <f t="shared" si="38"/>
        <v>0.11880000000000002</v>
      </c>
      <c r="X484" s="264">
        <f t="shared" si="39"/>
        <v>0.1254663015280757</v>
      </c>
      <c r="Y484" s="268">
        <f>IFERROR(INDEX(Rainfall_Dry!$O$2:$O$217,MATCH(B484, Rainfall_Dry!$A$2:$A$217,0)),"")</f>
        <v>6.5250000359999998</v>
      </c>
      <c r="Z484" s="257">
        <v>19.96</v>
      </c>
      <c r="AA484" s="257">
        <v>4.9199999999999982</v>
      </c>
      <c r="AB484" s="257">
        <v>75.12</v>
      </c>
      <c r="AC484" s="258" t="s">
        <v>2655</v>
      </c>
      <c r="AD484" s="257">
        <v>1.641498275012321</v>
      </c>
      <c r="AE484">
        <f>IF('WetLitterbags placem_collection'!AB45="","",'WetLitterbags placem_collection'!AB45)</f>
        <v>5</v>
      </c>
      <c r="AF484">
        <f>IF('WetLitterbags placem_collection'!Z45="","",'WetLitterbags placem_collection'!Z45)</f>
        <v>26.3</v>
      </c>
      <c r="AG484" s="243" t="str">
        <f>IF('WetLitterbags placem_collection'!AA45="","",'WetLitterbags placem_collection'!AA45)</f>
        <v>G</v>
      </c>
      <c r="AH484">
        <f>IF('WetLitterbags placem_collection'!AC45="","",'WetLitterbags placem_collection'!AC45)</f>
        <v>0</v>
      </c>
      <c r="AI484">
        <f>IFERROR(AVERAGE('Dry_Litterbag Placem_Collection'!O45,'Dry_Litterbag Placem_Collection'!R45),"")</f>
        <v>2.4500000000000002</v>
      </c>
      <c r="AJ484" s="268">
        <f>IFERROR(AVERAGE('Dry_Litterbag Placem_Collection'!N45,'Dry_Litterbag Placem_Collection'!Q45),"")</f>
        <v>26.1</v>
      </c>
      <c r="AK484" s="267">
        <f>INDEX(Coordinates!$B$2:$B$197,MATCH(H484,Coordinates!$J$2:$J$197,0))</f>
        <v>-3.4082369789999998</v>
      </c>
      <c r="AL484" s="267">
        <f>INDEX(Coordinates!$C$2:$C$197,MATCH(H484,Coordinates!$J$2:$J$197,0))</f>
        <v>34.850189999999998</v>
      </c>
      <c r="AM484" s="267" t="str">
        <f>IF(ISNUMBER(SEARCH("C", 'Dry_Litterbag Placem_Collection'!U45)),"YES","NO")</f>
        <v>NO</v>
      </c>
      <c r="AN484" s="267" t="str">
        <f>IF(ISNUMBER(SEARCH("H", 'Dry_Litterbag Placem_Collection'!U45)),"YES","NO")</f>
        <v>NO</v>
      </c>
      <c r="AO484" s="267" t="str">
        <f>IF(ISNUMBER(SEARCH("R", 'Dry_Litterbag Placem_Collection'!U45)),"YES","NO")</f>
        <v>NO</v>
      </c>
    </row>
    <row r="485" spans="1:41" ht="15" customHeight="1">
      <c r="A485" s="259" t="s">
        <v>2643</v>
      </c>
      <c r="B485" s="260">
        <f>'Dry_Litterbag Placem_Collection'!A46</f>
        <v>44</v>
      </c>
      <c r="C485" s="260" t="str">
        <f>'Dry_Litterbag Placem_Collection'!B46</f>
        <v>Makao</v>
      </c>
      <c r="D485" s="260" t="s">
        <v>2643</v>
      </c>
      <c r="E485" s="260" t="s">
        <v>20</v>
      </c>
      <c r="F485" s="260">
        <v>2</v>
      </c>
      <c r="G485" s="260" t="s">
        <v>3807</v>
      </c>
      <c r="H485" s="261" t="str">
        <f>'Dry_Litterbag Placem_Collection'!C46</f>
        <v>Dry_P2_T4</v>
      </c>
      <c r="I485" s="270" t="s">
        <v>3630</v>
      </c>
      <c r="J485" s="263" t="s">
        <v>1147</v>
      </c>
      <c r="K485" s="260" t="str">
        <f>IF(ISBLANK('Dry_Litterbag Placem_Collection'!L46),"","G"&amp;""&amp;'Dry_Litterbag Placem_Collection'!L46)</f>
        <v>G823</v>
      </c>
      <c r="L485" s="264">
        <f>IFERROR(INDEX('Green_rooibos initial weight'!$C$5:$C$2000,MATCH(K485, 'Green_rooibos initial weight'!$A$5:$A$2000,0)),"")</f>
        <v>1.9630000000000001</v>
      </c>
      <c r="M485" s="264">
        <f>IFERROR(L485-(TBIcalc!$Q$9+TBIcalc!$Q$10),"")</f>
        <v>1.7132000000000001</v>
      </c>
      <c r="N485" s="385">
        <f>AVERAGE(Ashed_controlls!$K$2:$K$11)</f>
        <v>5.5147656768714146</v>
      </c>
      <c r="O485" s="264">
        <f t="shared" si="36"/>
        <v>1.618721034423839</v>
      </c>
      <c r="P485" s="264">
        <f>IFERROR(INDEX('Both teabags AfterDry'!$D$2:$D$2000,MATCH(K485,'Both teabags AfterDry'!$A$2:$A$2000,0)),"")</f>
        <v>1.8245</v>
      </c>
      <c r="Q485" s="264">
        <f>IFERROR(IF(P485&gt;0,P485-(TBIcalc!$Q$9),""),"")</f>
        <v>1.6738999999999999</v>
      </c>
      <c r="R485" s="275">
        <f>IFERROR(INDEX('Ashed teabags dry'!$K$2:$K$2000,MATCH(K485,'Ashed teabags dry'!$A$2:$A$2000,0)),"")</f>
        <v>6.7021748779403518</v>
      </c>
      <c r="S485" s="275">
        <f t="shared" si="37"/>
        <v>1.5617122947181563</v>
      </c>
      <c r="T485" s="265">
        <f>IF('Dry_Litterbag Placem_Collection'!E46="","",'Dry_Litterbag Placem_Collection'!E46)</f>
        <v>42938</v>
      </c>
      <c r="U485" s="265">
        <f>IF('Dry_Litterbag Placem_Collection'!G46="","",'Dry_Litterbag Placem_Collection'!G46)</f>
        <v>43005</v>
      </c>
      <c r="V485" s="266">
        <f t="shared" si="35"/>
        <v>67</v>
      </c>
      <c r="W485" s="264">
        <f t="shared" si="38"/>
        <v>3.9300000000000113E-2</v>
      </c>
      <c r="X485" s="264">
        <f t="shared" si="39"/>
        <v>5.7008739705682654E-2</v>
      </c>
      <c r="Y485" s="268">
        <f>IFERROR(INDEX(Rainfall_Dry!$O$2:$O$217,MATCH(B485, Rainfall_Dry!$A$2:$A$217,0)),"")</f>
        <v>6.5250000359999998</v>
      </c>
      <c r="Z485" s="257">
        <v>19.96</v>
      </c>
      <c r="AA485" s="257">
        <v>4.9199999999999982</v>
      </c>
      <c r="AB485" s="257">
        <v>75.12</v>
      </c>
      <c r="AC485" s="258" t="s">
        <v>2655</v>
      </c>
      <c r="AD485" s="257">
        <v>1.641498275012321</v>
      </c>
      <c r="AE485">
        <f>IF('WetLitterbags placem_collection'!AB46="","",'WetLitterbags placem_collection'!AB46)</f>
        <v>2.6</v>
      </c>
      <c r="AF485">
        <f>IF('WetLitterbags placem_collection'!Z46="","",'WetLitterbags placem_collection'!Z46)</f>
        <v>39.200000000000003</v>
      </c>
      <c r="AG485" s="243" t="str">
        <f>IF('WetLitterbags placem_collection'!AA46="","",'WetLitterbags placem_collection'!AA46)</f>
        <v>G</v>
      </c>
      <c r="AH485">
        <f>IF('WetLitterbags placem_collection'!AC46="","",'WetLitterbags placem_collection'!AC46)</f>
        <v>0</v>
      </c>
      <c r="AI485">
        <f>IFERROR(AVERAGE('Dry_Litterbag Placem_Collection'!O46,'Dry_Litterbag Placem_Collection'!R46),"")</f>
        <v>3.8499999999999996</v>
      </c>
      <c r="AJ485" s="268">
        <f>IFERROR(AVERAGE('Dry_Litterbag Placem_Collection'!N46,'Dry_Litterbag Placem_Collection'!Q46),"")</f>
        <v>26.5</v>
      </c>
      <c r="AK485" s="267">
        <f>INDEX(Coordinates!$B$2:$B$197,MATCH(H485,Coordinates!$J$2:$J$197,0))</f>
        <v>-3.4081529920000002</v>
      </c>
      <c r="AL485" s="267">
        <f>INDEX(Coordinates!$C$2:$C$197,MATCH(H485,Coordinates!$J$2:$J$197,0))</f>
        <v>34.850168959999998</v>
      </c>
      <c r="AM485" s="267" t="str">
        <f>IF(ISNUMBER(SEARCH("C", 'Dry_Litterbag Placem_Collection'!U46)),"YES","NO")</f>
        <v>NO</v>
      </c>
      <c r="AN485" s="267" t="str">
        <f>IF(ISNUMBER(SEARCH("H", 'Dry_Litterbag Placem_Collection'!U46)),"YES","NO")</f>
        <v>NO</v>
      </c>
      <c r="AO485" s="267" t="str">
        <f>IF(ISNUMBER(SEARCH("R", 'Dry_Litterbag Placem_Collection'!U46)),"YES","NO")</f>
        <v>NO</v>
      </c>
    </row>
    <row r="486" spans="1:41" ht="15" customHeight="1">
      <c r="A486" s="259" t="s">
        <v>2643</v>
      </c>
      <c r="B486" s="260">
        <f>'Dry_Litterbag Placem_Collection'!A47</f>
        <v>45</v>
      </c>
      <c r="C486" s="260" t="str">
        <f>'Dry_Litterbag Placem_Collection'!B47</f>
        <v>Makao</v>
      </c>
      <c r="D486" s="260" t="s">
        <v>2643</v>
      </c>
      <c r="E486" s="260" t="s">
        <v>20</v>
      </c>
      <c r="F486" s="260">
        <v>2</v>
      </c>
      <c r="G486" s="260" t="s">
        <v>3807</v>
      </c>
      <c r="H486" s="261" t="str">
        <f>'Dry_Litterbag Placem_Collection'!C47</f>
        <v>Dry_P2_T5</v>
      </c>
      <c r="I486" s="270" t="s">
        <v>3630</v>
      </c>
      <c r="J486" s="263" t="s">
        <v>1147</v>
      </c>
      <c r="K486" s="260" t="str">
        <f>IF(ISBLANK('Dry_Litterbag Placem_Collection'!L47),"","G"&amp;""&amp;'Dry_Litterbag Placem_Collection'!L47)</f>
        <v>G354</v>
      </c>
      <c r="L486" s="264">
        <f>IFERROR(INDEX('Green_rooibos initial weight'!$C$5:$C$2000,MATCH(K486, 'Green_rooibos initial weight'!$A$5:$A$2000,0)),"")</f>
        <v>1.835</v>
      </c>
      <c r="M486" s="264">
        <f>IFERROR(L486-(TBIcalc!$Q$9+TBIcalc!$Q$10),"")</f>
        <v>1.5851999999999999</v>
      </c>
      <c r="N486" s="385">
        <f>AVERAGE(Ashed_controlls!$K$2:$K$11)</f>
        <v>5.5147656768714146</v>
      </c>
      <c r="O486" s="264">
        <f t="shared" si="36"/>
        <v>1.4977799344902343</v>
      </c>
      <c r="P486" s="264" t="str">
        <f>IFERROR(INDEX('Both teabags AfterDry'!$D$2:$D$2000,MATCH(K486,'Both teabags AfterDry'!$A$2:$A$2000,0)),"")</f>
        <v/>
      </c>
      <c r="Q486" s="264" t="str">
        <f>IFERROR(IF(P486&gt;0,P486-(TBIcalc!$Q$9),""),"")</f>
        <v/>
      </c>
      <c r="R486" s="275" t="str">
        <f>IFERROR(INDEX('Ashed teabags dry'!$K$2:$K$2000,MATCH(K486,'Ashed teabags dry'!$A$2:$A$2000,0)),"")</f>
        <v/>
      </c>
      <c r="S486" s="275" t="str">
        <f t="shared" si="37"/>
        <v/>
      </c>
      <c r="T486" s="265">
        <f>IF('Dry_Litterbag Placem_Collection'!E47="","",'Dry_Litterbag Placem_Collection'!E47)</f>
        <v>42938</v>
      </c>
      <c r="U486" s="265">
        <f>IF('Dry_Litterbag Placem_Collection'!G47="","",'Dry_Litterbag Placem_Collection'!G47)</f>
        <v>43005</v>
      </c>
      <c r="V486" s="266">
        <f t="shared" si="35"/>
        <v>67</v>
      </c>
      <c r="W486" s="264" t="str">
        <f t="shared" si="38"/>
        <v/>
      </c>
      <c r="X486" s="264" t="str">
        <f t="shared" si="39"/>
        <v/>
      </c>
      <c r="Y486" s="268">
        <f>IFERROR(INDEX(Rainfall_Dry!$O$2:$O$217,MATCH(B486, Rainfall_Dry!$A$2:$A$217,0)),"")</f>
        <v>6.5250000359999998</v>
      </c>
      <c r="Z486" s="257">
        <v>19.96</v>
      </c>
      <c r="AA486" s="257">
        <v>4.9199999999999982</v>
      </c>
      <c r="AB486" s="257">
        <v>75.12</v>
      </c>
      <c r="AC486" s="258" t="s">
        <v>2655</v>
      </c>
      <c r="AD486" s="257">
        <v>1.641498275012321</v>
      </c>
      <c r="AE486">
        <f>IF('WetLitterbags placem_collection'!AB47="","",'WetLitterbags placem_collection'!AB47)</f>
        <v>2.2999999999999998</v>
      </c>
      <c r="AF486">
        <f>IF('WetLitterbags placem_collection'!Z47="","",'WetLitterbags placem_collection'!Z47)</f>
        <v>9.3000000000000007</v>
      </c>
      <c r="AG486" s="243" t="str">
        <f>IF('WetLitterbags placem_collection'!AA47="","",'WetLitterbags placem_collection'!AA47)</f>
        <v>O</v>
      </c>
      <c r="AH486">
        <f>IF('WetLitterbags placem_collection'!AC47="","",'WetLitterbags placem_collection'!AC47)</f>
        <v>0</v>
      </c>
      <c r="AI486">
        <f>IFERROR(AVERAGE('Dry_Litterbag Placem_Collection'!O47,'Dry_Litterbag Placem_Collection'!R47),"")</f>
        <v>4.0999999999999996</v>
      </c>
      <c r="AJ486" s="268">
        <f>IFERROR(AVERAGE('Dry_Litterbag Placem_Collection'!N47,'Dry_Litterbag Placem_Collection'!Q47),"")</f>
        <v>27.25</v>
      </c>
      <c r="AK486" s="267">
        <f>INDEX(Coordinates!$B$2:$B$197,MATCH(H486,Coordinates!$J$2:$J$197,0))</f>
        <v>-3.4081789759999999</v>
      </c>
      <c r="AL486" s="267">
        <f>INDEX(Coordinates!$C$2:$C$197,MATCH(H486,Coordinates!$J$2:$J$197,0))</f>
        <v>34.850516980000002</v>
      </c>
      <c r="AM486" s="267" t="str">
        <f>IF(ISNUMBER(SEARCH("C", 'Dry_Litterbag Placem_Collection'!U47)),"YES","NO")</f>
        <v>NO</v>
      </c>
      <c r="AN486" s="267" t="str">
        <f>IF(ISNUMBER(SEARCH("H", 'Dry_Litterbag Placem_Collection'!U47)),"YES","NO")</f>
        <v>NO</v>
      </c>
      <c r="AO486" s="267" t="str">
        <f>IF(ISNUMBER(SEARCH("R", 'Dry_Litterbag Placem_Collection'!U47)),"YES","NO")</f>
        <v>NO</v>
      </c>
    </row>
    <row r="487" spans="1:41" ht="15" customHeight="1">
      <c r="A487" s="259" t="s">
        <v>2643</v>
      </c>
      <c r="B487" s="260">
        <f>'Dry_Litterbag Placem_Collection'!A48</f>
        <v>46</v>
      </c>
      <c r="C487" s="260" t="str">
        <f>'Dry_Litterbag Placem_Collection'!B48</f>
        <v>Makao</v>
      </c>
      <c r="D487" s="260" t="s">
        <v>2643</v>
      </c>
      <c r="E487" s="260" t="s">
        <v>20</v>
      </c>
      <c r="F487" s="260">
        <v>2</v>
      </c>
      <c r="G487" s="260" t="s">
        <v>3807</v>
      </c>
      <c r="H487" s="261" t="str">
        <f>'Dry_Litterbag Placem_Collection'!C48</f>
        <v>Dry_P2_T6</v>
      </c>
      <c r="I487" s="270" t="s">
        <v>3630</v>
      </c>
      <c r="J487" s="263" t="s">
        <v>1147</v>
      </c>
      <c r="K487" s="260" t="str">
        <f>IF(ISBLANK('Dry_Litterbag Placem_Collection'!L48),"","G"&amp;""&amp;'Dry_Litterbag Placem_Collection'!L48)</f>
        <v/>
      </c>
      <c r="L487" s="264" t="str">
        <f>IFERROR(INDEX('Green_rooibos initial weight'!$C$5:$C$2000,MATCH(K487, 'Green_rooibos initial weight'!$A$5:$A$2000,0)),"")</f>
        <v/>
      </c>
      <c r="M487" s="264" t="str">
        <f>IFERROR(L487-(TBIcalc!$Q$9+TBIcalc!$Q$10),"")</f>
        <v/>
      </c>
      <c r="N487" s="385">
        <f>AVERAGE(Ashed_controlls!$K$2:$K$11)</f>
        <v>5.5147656768714146</v>
      </c>
      <c r="O487" s="264" t="str">
        <f t="shared" si="36"/>
        <v/>
      </c>
      <c r="P487" s="264" t="str">
        <f>IFERROR(INDEX('Both teabags AfterDry'!$D$2:$D$2000,MATCH(K487,'Both teabags AfterDry'!$A$2:$A$2000,0)),"")</f>
        <v/>
      </c>
      <c r="Q487" s="264" t="str">
        <f>IFERROR(IF(P487&gt;0,P487-(TBIcalc!$Q$9),""),"")</f>
        <v/>
      </c>
      <c r="R487" s="275" t="str">
        <f>IFERROR(INDEX('Ashed teabags dry'!$K$2:$K$2000,MATCH(K487,'Ashed teabags dry'!$A$2:$A$2000,0)),"")</f>
        <v/>
      </c>
      <c r="S487" s="275" t="str">
        <f t="shared" si="37"/>
        <v/>
      </c>
      <c r="T487" s="265" t="str">
        <f>IF('Dry_Litterbag Placem_Collection'!E48="","",'Dry_Litterbag Placem_Collection'!E48)</f>
        <v/>
      </c>
      <c r="U487" s="265" t="str">
        <f>IF('Dry_Litterbag Placem_Collection'!G48="","",'Dry_Litterbag Placem_Collection'!G48)</f>
        <v/>
      </c>
      <c r="V487" s="266" t="str">
        <f t="shared" si="35"/>
        <v/>
      </c>
      <c r="W487" s="264" t="str">
        <f t="shared" si="38"/>
        <v/>
      </c>
      <c r="X487" s="264" t="str">
        <f t="shared" si="39"/>
        <v/>
      </c>
      <c r="Y487" s="268" t="str">
        <f>IFERROR(INDEX(Rainfall_Dry!$O$2:$O$217,MATCH(B487, Rainfall_Dry!$A$2:$A$217,0)),"")</f>
        <v/>
      </c>
      <c r="Z487" s="257">
        <v>19.96</v>
      </c>
      <c r="AA487" s="257">
        <v>4.9199999999999982</v>
      </c>
      <c r="AB487" s="257">
        <v>75.12</v>
      </c>
      <c r="AC487" s="258" t="s">
        <v>2655</v>
      </c>
      <c r="AD487" s="257">
        <v>1.641498275012321</v>
      </c>
      <c r="AE487" t="str">
        <f>IF('WetLitterbags placem_collection'!AB48="","",'WetLitterbags placem_collection'!AB48)</f>
        <v/>
      </c>
      <c r="AF487" t="str">
        <f>IF('WetLitterbags placem_collection'!Z48="","",'WetLitterbags placem_collection'!Z48)</f>
        <v/>
      </c>
      <c r="AG487" s="243" t="str">
        <f>IF('WetLitterbags placem_collection'!AA48="","",'WetLitterbags placem_collection'!AA48)</f>
        <v/>
      </c>
      <c r="AH487" t="str">
        <f>IF('WetLitterbags placem_collection'!AC48="","",'WetLitterbags placem_collection'!AC48)</f>
        <v/>
      </c>
      <c r="AI487" t="str">
        <f>IFERROR(AVERAGE('Dry_Litterbag Placem_Collection'!O48,'Dry_Litterbag Placem_Collection'!R48),"")</f>
        <v/>
      </c>
      <c r="AJ487" s="268" t="str">
        <f>IFERROR(AVERAGE('Dry_Litterbag Placem_Collection'!N48,'Dry_Litterbag Placem_Collection'!Q48),"")</f>
        <v/>
      </c>
      <c r="AK487" s="267">
        <f>INDEX(Coordinates!$B$2:$B$197,MATCH(H487,Coordinates!$J$2:$J$197,0))</f>
        <v>-3.4084730130000001</v>
      </c>
      <c r="AL487" s="267">
        <f>INDEX(Coordinates!$C$2:$C$197,MATCH(H487,Coordinates!$J$2:$J$197,0))</f>
        <v>34.850401980000001</v>
      </c>
      <c r="AM487" s="267" t="str">
        <f>IF(ISNUMBER(SEARCH("C", 'Dry_Litterbag Placem_Collection'!U48)),"YES","NO")</f>
        <v>NO</v>
      </c>
      <c r="AN487" s="267" t="str">
        <f>IF(ISNUMBER(SEARCH("H", 'Dry_Litterbag Placem_Collection'!U48)),"YES","NO")</f>
        <v>NO</v>
      </c>
      <c r="AO487" s="267" t="str">
        <f>IF(ISNUMBER(SEARCH("R", 'Dry_Litterbag Placem_Collection'!U48)),"YES","NO")</f>
        <v>NO</v>
      </c>
    </row>
    <row r="488" spans="1:41" ht="15" customHeight="1">
      <c r="A488" s="259" t="s">
        <v>2643</v>
      </c>
      <c r="B488" s="260">
        <f>'Dry_Litterbag Placem_Collection'!A49</f>
        <v>47</v>
      </c>
      <c r="C488" s="260" t="str">
        <f>'Dry_Litterbag Placem_Collection'!B49</f>
        <v>Makao</v>
      </c>
      <c r="D488" s="260" t="s">
        <v>2643</v>
      </c>
      <c r="E488" s="260" t="s">
        <v>20</v>
      </c>
      <c r="F488" s="260">
        <v>2</v>
      </c>
      <c r="G488" s="260" t="s">
        <v>3807</v>
      </c>
      <c r="H488" s="261" t="str">
        <f>'Dry_Litterbag Placem_Collection'!C49</f>
        <v>Dry_P2_T7</v>
      </c>
      <c r="I488" s="270" t="s">
        <v>3630</v>
      </c>
      <c r="J488" s="263" t="s">
        <v>1147</v>
      </c>
      <c r="K488" s="260" t="str">
        <f>IF(ISBLANK('Dry_Litterbag Placem_Collection'!L49),"","G"&amp;""&amp;'Dry_Litterbag Placem_Collection'!L49)</f>
        <v>G659</v>
      </c>
      <c r="L488" s="264">
        <f>IFERROR(INDEX('Green_rooibos initial weight'!$C$5:$C$2000,MATCH(K488, 'Green_rooibos initial weight'!$A$5:$A$2000,0)),"")</f>
        <v>2.0529999999999999</v>
      </c>
      <c r="M488" s="264">
        <f>IFERROR(L488-(TBIcalc!$Q$9+TBIcalc!$Q$10),"")</f>
        <v>1.8031999999999999</v>
      </c>
      <c r="N488" s="385">
        <f>AVERAGE(Ashed_controlls!$K$2:$K$11)</f>
        <v>5.5147656768714146</v>
      </c>
      <c r="O488" s="264">
        <f t="shared" si="36"/>
        <v>1.7037577453146546</v>
      </c>
      <c r="P488" s="264">
        <f>IFERROR(INDEX('Both teabags AfterDry'!$D$2:$D$2000,MATCH(K488,'Both teabags AfterDry'!$A$2:$A$2000,0)),"")</f>
        <v>1.8913</v>
      </c>
      <c r="Q488" s="264">
        <f>IFERROR(IF(P488&gt;0,P488-(TBIcalc!$Q$9),""),"")</f>
        <v>1.7406999999999999</v>
      </c>
      <c r="R488" s="275">
        <f>IFERROR(INDEX('Ashed teabags dry'!$K$2:$K$2000,MATCH(K488,'Ashed teabags dry'!$A$2:$A$2000,0)),"")</f>
        <v>5.8849557522116545</v>
      </c>
      <c r="S488" s="275">
        <f t="shared" si="37"/>
        <v>1.6382605752212516</v>
      </c>
      <c r="T488" s="265">
        <f>IF('Dry_Litterbag Placem_Collection'!E49="","",'Dry_Litterbag Placem_Collection'!E49)</f>
        <v>42938</v>
      </c>
      <c r="U488" s="265">
        <f>IF('Dry_Litterbag Placem_Collection'!G49="","",'Dry_Litterbag Placem_Collection'!G49)</f>
        <v>43005</v>
      </c>
      <c r="V488" s="266">
        <f t="shared" si="35"/>
        <v>67</v>
      </c>
      <c r="W488" s="264">
        <f t="shared" si="38"/>
        <v>6.25E-2</v>
      </c>
      <c r="X488" s="264">
        <f t="shared" si="39"/>
        <v>6.5497170093403057E-2</v>
      </c>
      <c r="Y488" s="268">
        <f>IFERROR(INDEX(Rainfall_Dry!$O$2:$O$217,MATCH(B488, Rainfall_Dry!$A$2:$A$217,0)),"")</f>
        <v>6.5250000359999998</v>
      </c>
      <c r="Z488" s="257">
        <v>19.96</v>
      </c>
      <c r="AA488" s="257">
        <v>4.9199999999999982</v>
      </c>
      <c r="AB488" s="257">
        <v>75.12</v>
      </c>
      <c r="AC488" s="258" t="s">
        <v>2655</v>
      </c>
      <c r="AD488" s="257">
        <v>1.641498275012321</v>
      </c>
      <c r="AE488">
        <f>IF('WetLitterbags placem_collection'!AB49="","",'WetLitterbags placem_collection'!AB49)</f>
        <v>5.2</v>
      </c>
      <c r="AF488">
        <f>IF('WetLitterbags placem_collection'!Z49="","",'WetLitterbags placem_collection'!Z49)</f>
        <v>5.2</v>
      </c>
      <c r="AG488" s="243" t="str">
        <f>IF('WetLitterbags placem_collection'!AA49="","",'WetLitterbags placem_collection'!AA49)</f>
        <v>G</v>
      </c>
      <c r="AH488">
        <f>IF('WetLitterbags placem_collection'!AC49="","",'WetLitterbags placem_collection'!AC49)</f>
        <v>0</v>
      </c>
      <c r="AI488">
        <f>IFERROR(AVERAGE('Dry_Litterbag Placem_Collection'!O49,'Dry_Litterbag Placem_Collection'!R49),"")</f>
        <v>5.35</v>
      </c>
      <c r="AJ488" s="268">
        <f>IFERROR(AVERAGE('Dry_Litterbag Placem_Collection'!N49,'Dry_Litterbag Placem_Collection'!Q49),"")</f>
        <v>26.4</v>
      </c>
      <c r="AK488" s="267">
        <f>INDEX(Coordinates!$B$2:$B$197,MATCH(H488,Coordinates!$J$2:$J$197,0))</f>
        <v>-3.4084819820000001</v>
      </c>
      <c r="AL488" s="267">
        <f>INDEX(Coordinates!$C$2:$C$197,MATCH(H488,Coordinates!$J$2:$J$197,0))</f>
        <v>34.850024040000001</v>
      </c>
      <c r="AM488" s="267" t="str">
        <f>IF(ISNUMBER(SEARCH("C", 'Dry_Litterbag Placem_Collection'!U49)),"YES","NO")</f>
        <v>NO</v>
      </c>
      <c r="AN488" s="267" t="str">
        <f>IF(ISNUMBER(SEARCH("H", 'Dry_Litterbag Placem_Collection'!U49)),"YES","NO")</f>
        <v>NO</v>
      </c>
      <c r="AO488" s="267" t="str">
        <f>IF(ISNUMBER(SEARCH("R", 'Dry_Litterbag Placem_Collection'!U49)),"YES","NO")</f>
        <v>NO</v>
      </c>
    </row>
    <row r="489" spans="1:41" ht="15" customHeight="1">
      <c r="A489" s="259" t="s">
        <v>2643</v>
      </c>
      <c r="B489" s="260">
        <f>'Dry_Litterbag Placem_Collection'!A50</f>
        <v>48</v>
      </c>
      <c r="C489" s="260" t="str">
        <f>'Dry_Litterbag Placem_Collection'!B50</f>
        <v>Makao</v>
      </c>
      <c r="D489" s="260" t="s">
        <v>2643</v>
      </c>
      <c r="E489" s="260" t="s">
        <v>20</v>
      </c>
      <c r="F489" s="260">
        <v>2</v>
      </c>
      <c r="G489" s="260" t="s">
        <v>3807</v>
      </c>
      <c r="H489" s="261" t="str">
        <f>'Dry_Litterbag Placem_Collection'!C50</f>
        <v>Dry_P2_T8</v>
      </c>
      <c r="I489" s="270" t="s">
        <v>3630</v>
      </c>
      <c r="J489" s="263" t="s">
        <v>1147</v>
      </c>
      <c r="K489" s="260" t="str">
        <f>IF(ISBLANK('Dry_Litterbag Placem_Collection'!L50),"","G"&amp;""&amp;'Dry_Litterbag Placem_Collection'!L50)</f>
        <v>G267</v>
      </c>
      <c r="L489" s="264">
        <f>IFERROR(INDEX('Green_rooibos initial weight'!$C$5:$C$2000,MATCH(K489, 'Green_rooibos initial weight'!$A$5:$A$2000,0)),"")</f>
        <v>2.069</v>
      </c>
      <c r="M489" s="264">
        <f>IFERROR(L489-(TBIcalc!$Q$9+TBIcalc!$Q$10),"")</f>
        <v>1.8191999999999999</v>
      </c>
      <c r="N489" s="385">
        <f>AVERAGE(Ashed_controlls!$K$2:$K$11)</f>
        <v>5.5147656768714146</v>
      </c>
      <c r="O489" s="264">
        <f t="shared" si="36"/>
        <v>1.7188753828063552</v>
      </c>
      <c r="P489" s="264">
        <f>IFERROR(INDEX('Both teabags AfterDry'!$D$2:$D$2000,MATCH(K489,'Both teabags AfterDry'!$A$2:$A$2000,0)),"")</f>
        <v>1.8248</v>
      </c>
      <c r="Q489" s="264">
        <f>IFERROR(IF(P489&gt;0,P489-(TBIcalc!$Q$9),""),"")</f>
        <v>1.6741999999999999</v>
      </c>
      <c r="R489" s="275">
        <f>IFERROR(INDEX('Ashed teabags dry'!$K$2:$K$2000,MATCH(K489,'Ashed teabags dry'!$A$2:$A$2000,0)),"")</f>
        <v>5.78791719476098</v>
      </c>
      <c r="S489" s="275">
        <f t="shared" si="37"/>
        <v>1.5772986903253117</v>
      </c>
      <c r="T489" s="265">
        <f>IF('Dry_Litterbag Placem_Collection'!E50="","",'Dry_Litterbag Placem_Collection'!E50)</f>
        <v>42938</v>
      </c>
      <c r="U489" s="265">
        <f>IF('Dry_Litterbag Placem_Collection'!G50="","",'Dry_Litterbag Placem_Collection'!G50)</f>
        <v>43005</v>
      </c>
      <c r="V489" s="266">
        <f t="shared" si="35"/>
        <v>67</v>
      </c>
      <c r="W489" s="264">
        <f t="shared" si="38"/>
        <v>0.14500000000000002</v>
      </c>
      <c r="X489" s="264">
        <f t="shared" si="39"/>
        <v>0.14157669248104354</v>
      </c>
      <c r="Y489" s="268">
        <f>IFERROR(INDEX(Rainfall_Dry!$O$2:$O$217,MATCH(B489, Rainfall_Dry!$A$2:$A$217,0)),"")</f>
        <v>6.5250000359999998</v>
      </c>
      <c r="Z489" s="257">
        <v>19.96</v>
      </c>
      <c r="AA489" s="257">
        <v>4.9199999999999982</v>
      </c>
      <c r="AB489" s="257">
        <v>75.12</v>
      </c>
      <c r="AC489" s="258" t="s">
        <v>2655</v>
      </c>
      <c r="AD489" s="257">
        <v>1.641498275012321</v>
      </c>
      <c r="AE489">
        <f>IF('WetLitterbags placem_collection'!AB50="","",'WetLitterbags placem_collection'!AB50)</f>
        <v>7.3</v>
      </c>
      <c r="AF489">
        <f>IF('WetLitterbags placem_collection'!Z50="","",'WetLitterbags placem_collection'!Z50)</f>
        <v>27.2</v>
      </c>
      <c r="AG489" s="243" t="str">
        <f>IF('WetLitterbags placem_collection'!AA50="","",'WetLitterbags placem_collection'!AA50)</f>
        <v>M</v>
      </c>
      <c r="AH489">
        <f>IF('WetLitterbags placem_collection'!AC50="","",'WetLitterbags placem_collection'!AC50)</f>
        <v>0</v>
      </c>
      <c r="AI489">
        <f>IFERROR(AVERAGE('Dry_Litterbag Placem_Collection'!O50,'Dry_Litterbag Placem_Collection'!R50),"")</f>
        <v>3.95</v>
      </c>
      <c r="AJ489" s="268">
        <f>IFERROR(AVERAGE('Dry_Litterbag Placem_Collection'!N50,'Dry_Litterbag Placem_Collection'!Q50),"")</f>
        <v>25.950000000000003</v>
      </c>
      <c r="AK489" s="267">
        <f>INDEX(Coordinates!$B$2:$B$197,MATCH(H489,Coordinates!$J$2:$J$197,0))</f>
        <v>-3.4081990090000001</v>
      </c>
      <c r="AL489" s="267">
        <f>INDEX(Coordinates!$C$2:$C$197,MATCH(H489,Coordinates!$J$2:$J$197,0))</f>
        <v>34.850254960000001</v>
      </c>
      <c r="AM489" s="267" t="str">
        <f>IF(ISNUMBER(SEARCH("C", 'Dry_Litterbag Placem_Collection'!U50)),"YES","NO")</f>
        <v>NO</v>
      </c>
      <c r="AN489" s="267" t="str">
        <f>IF(ISNUMBER(SEARCH("H", 'Dry_Litterbag Placem_Collection'!U50)),"YES","NO")</f>
        <v>NO</v>
      </c>
      <c r="AO489" s="267" t="str">
        <f>IF(ISNUMBER(SEARCH("R", 'Dry_Litterbag Placem_Collection'!U50)),"YES","NO")</f>
        <v>NO</v>
      </c>
    </row>
    <row r="490" spans="1:41" ht="15" customHeight="1">
      <c r="A490" s="259" t="s">
        <v>2643</v>
      </c>
      <c r="B490" s="260">
        <f>'Dry_Litterbag Placem_Collection'!A51</f>
        <v>49</v>
      </c>
      <c r="C490" s="260" t="str">
        <f>'Dry_Litterbag Placem_Collection'!B51</f>
        <v>Makao</v>
      </c>
      <c r="D490" s="260" t="s">
        <v>2643</v>
      </c>
      <c r="E490" s="260" t="s">
        <v>20</v>
      </c>
      <c r="F490" s="260">
        <v>3</v>
      </c>
      <c r="G490" s="260" t="s">
        <v>3808</v>
      </c>
      <c r="H490" s="261" t="str">
        <f>'Dry_Litterbag Placem_Collection'!C51</f>
        <v>Dry_P3_T1</v>
      </c>
      <c r="I490" s="270" t="s">
        <v>3630</v>
      </c>
      <c r="J490" s="263" t="s">
        <v>1147</v>
      </c>
      <c r="K490" s="260" t="str">
        <f>IF(ISBLANK('Dry_Litterbag Placem_Collection'!L51),"","G"&amp;""&amp;'Dry_Litterbag Placem_Collection'!L51)</f>
        <v>G812</v>
      </c>
      <c r="L490" s="264">
        <f>IFERROR(INDEX('Green_rooibos initial weight'!$C$5:$C$2000,MATCH(K490, 'Green_rooibos initial weight'!$A$5:$A$2000,0)),"")</f>
        <v>2.0169999999999999</v>
      </c>
      <c r="M490" s="264">
        <f>IFERROR(L490-(TBIcalc!$Q$9+TBIcalc!$Q$10),"")</f>
        <v>1.7671999999999999</v>
      </c>
      <c r="N490" s="385">
        <f>AVERAGE(Ashed_controlls!$K$2:$K$11)</f>
        <v>5.5147656768714146</v>
      </c>
      <c r="O490" s="264">
        <f t="shared" si="36"/>
        <v>1.6697430609583281</v>
      </c>
      <c r="P490" s="264" t="str">
        <f>IFERROR(INDEX('Both teabags AfterDry'!$D$2:$D$2000,MATCH(K490,'Both teabags AfterDry'!$A$2:$A$2000,0)),"")</f>
        <v/>
      </c>
      <c r="Q490" s="264" t="str">
        <f>IFERROR(IF(P490&gt;0,P490-(TBIcalc!$Q$9),""),"")</f>
        <v/>
      </c>
      <c r="R490" s="275" t="str">
        <f>IFERROR(INDEX('Ashed teabags dry'!$K$2:$K$2000,MATCH(K490,'Ashed teabags dry'!$A$2:$A$2000,0)),"")</f>
        <v/>
      </c>
      <c r="S490" s="275" t="str">
        <f t="shared" si="37"/>
        <v/>
      </c>
      <c r="T490" s="265">
        <f>IF('Dry_Litterbag Placem_Collection'!E51="","",'Dry_Litterbag Placem_Collection'!E51)</f>
        <v>42938</v>
      </c>
      <c r="U490" s="265">
        <f>IF('Dry_Litterbag Placem_Collection'!G51="","",'Dry_Litterbag Placem_Collection'!G51)</f>
        <v>43005</v>
      </c>
      <c r="V490" s="266">
        <f t="shared" si="35"/>
        <v>67</v>
      </c>
      <c r="W490" s="264" t="str">
        <f t="shared" si="38"/>
        <v/>
      </c>
      <c r="X490" s="264" t="str">
        <f t="shared" si="39"/>
        <v/>
      </c>
      <c r="Y490" s="268">
        <f>IFERROR(INDEX(Rainfall_Dry!$O$2:$O$217,MATCH(B490, Rainfall_Dry!$A$2:$A$217,0)),"")</f>
        <v>6.5250000359999998</v>
      </c>
      <c r="Z490" s="257">
        <v>21.96</v>
      </c>
      <c r="AA490" s="257">
        <v>8.9199999999999982</v>
      </c>
      <c r="AB490" s="257">
        <v>69.12</v>
      </c>
      <c r="AC490" s="258" t="s">
        <v>2654</v>
      </c>
      <c r="AD490" s="257">
        <v>1.7491375061606702</v>
      </c>
      <c r="AE490">
        <f>IF('WetLitterbags placem_collection'!AB51="","",'WetLitterbags placem_collection'!AB51)</f>
        <v>10.4</v>
      </c>
      <c r="AF490">
        <f>IF('WetLitterbags placem_collection'!Z51="","",'WetLitterbags placem_collection'!Z51)</f>
        <v>36</v>
      </c>
      <c r="AG490" s="243" t="str">
        <f>IF('WetLitterbags placem_collection'!AA51="","",'WetLitterbags placem_collection'!AA51)</f>
        <v>M</v>
      </c>
      <c r="AH490">
        <f>IF('WetLitterbags placem_collection'!AC51="","",'WetLitterbags placem_collection'!AC51)</f>
        <v>1</v>
      </c>
      <c r="AI490">
        <f>IFERROR(AVERAGE('Dry_Litterbag Placem_Collection'!O51,'Dry_Litterbag Placem_Collection'!R51),"")</f>
        <v>7.05</v>
      </c>
      <c r="AJ490" s="268">
        <f>IFERROR(AVERAGE('Dry_Litterbag Placem_Collection'!N51,'Dry_Litterbag Placem_Collection'!Q51),"")</f>
        <v>31.5</v>
      </c>
      <c r="AK490" s="267">
        <f>INDEX(Coordinates!$B$2:$B$197,MATCH(H490,Coordinates!$J$2:$J$197,0))</f>
        <v>-3.406225992</v>
      </c>
      <c r="AL490" s="267">
        <f>INDEX(Coordinates!$C$2:$C$197,MATCH(H490,Coordinates!$J$2:$J$197,0))</f>
        <v>34.85055998</v>
      </c>
      <c r="AM490" s="267" t="str">
        <f>IF(ISNUMBER(SEARCH("C", 'Dry_Litterbag Placem_Collection'!U51)),"YES","NO")</f>
        <v>NO</v>
      </c>
      <c r="AN490" s="267" t="str">
        <f>IF(ISNUMBER(SEARCH("H", 'Dry_Litterbag Placem_Collection'!U51)),"YES","NO")</f>
        <v>NO</v>
      </c>
      <c r="AO490" s="267" t="str">
        <f>IF(ISNUMBER(SEARCH("R", 'Dry_Litterbag Placem_Collection'!U51)),"YES","NO")</f>
        <v>NO</v>
      </c>
    </row>
    <row r="491" spans="1:41" ht="15" customHeight="1">
      <c r="A491" s="259" t="s">
        <v>2643</v>
      </c>
      <c r="B491" s="260">
        <f>'Dry_Litterbag Placem_Collection'!A52</f>
        <v>50</v>
      </c>
      <c r="C491" s="260" t="str">
        <f>'Dry_Litterbag Placem_Collection'!B52</f>
        <v>Makao</v>
      </c>
      <c r="D491" s="260" t="s">
        <v>2643</v>
      </c>
      <c r="E491" s="260" t="s">
        <v>20</v>
      </c>
      <c r="F491" s="260">
        <v>3</v>
      </c>
      <c r="G491" s="260" t="s">
        <v>3808</v>
      </c>
      <c r="H491" s="261" t="str">
        <f>'Dry_Litterbag Placem_Collection'!C52</f>
        <v>Dry_P3_T2</v>
      </c>
      <c r="I491" s="270" t="s">
        <v>3630</v>
      </c>
      <c r="J491" s="263" t="s">
        <v>1147</v>
      </c>
      <c r="K491" s="260" t="str">
        <f>IF(ISBLANK('Dry_Litterbag Placem_Collection'!L52),"","G"&amp;""&amp;'Dry_Litterbag Placem_Collection'!L52)</f>
        <v>G212</v>
      </c>
      <c r="L491" s="264">
        <f>IFERROR(INDEX('Green_rooibos initial weight'!$C$5:$C$2000,MATCH(K491, 'Green_rooibos initial weight'!$A$5:$A$2000,0)),"")</f>
        <v>1.9570000000000001</v>
      </c>
      <c r="M491" s="264">
        <f>IFERROR(L491-(TBIcalc!$Q$9+TBIcalc!$Q$10),"")</f>
        <v>1.7072000000000001</v>
      </c>
      <c r="N491" s="385">
        <f>AVERAGE(Ashed_controlls!$K$2:$K$11)</f>
        <v>5.5147656768714146</v>
      </c>
      <c r="O491" s="264">
        <f t="shared" si="36"/>
        <v>1.6130519203644513</v>
      </c>
      <c r="P491" s="264" t="str">
        <f>IFERROR(INDEX('Both teabags AfterDry'!$D$2:$D$2000,MATCH(K491,'Both teabags AfterDry'!$A$2:$A$2000,0)),"")</f>
        <v/>
      </c>
      <c r="Q491" s="264" t="str">
        <f>IFERROR(IF(P491&gt;0,P491-(TBIcalc!$Q$9),""),"")</f>
        <v/>
      </c>
      <c r="R491" s="275" t="str">
        <f>IFERROR(INDEX('Ashed teabags dry'!$K$2:$K$2000,MATCH(K491,'Ashed teabags dry'!$A$2:$A$2000,0)),"")</f>
        <v/>
      </c>
      <c r="S491" s="275" t="str">
        <f t="shared" si="37"/>
        <v/>
      </c>
      <c r="T491" s="265">
        <f>IF('Dry_Litterbag Placem_Collection'!E52="","",'Dry_Litterbag Placem_Collection'!E52)</f>
        <v>42938</v>
      </c>
      <c r="U491" s="265" t="str">
        <f>IF('Dry_Litterbag Placem_Collection'!G52="","",'Dry_Litterbag Placem_Collection'!G52)</f>
        <v/>
      </c>
      <c r="V491" s="266" t="str">
        <f t="shared" si="35"/>
        <v/>
      </c>
      <c r="W491" s="264" t="str">
        <f t="shared" si="38"/>
        <v/>
      </c>
      <c r="X491" s="264" t="str">
        <f t="shared" si="39"/>
        <v/>
      </c>
      <c r="Y491" s="268" t="str">
        <f>IFERROR(INDEX(Rainfall_Dry!$O$2:$O$217,MATCH(B491, Rainfall_Dry!$A$2:$A$217,0)),"")</f>
        <v/>
      </c>
      <c r="Z491" s="257">
        <v>21.96</v>
      </c>
      <c r="AA491" s="257">
        <v>8.9199999999999982</v>
      </c>
      <c r="AB491" s="257">
        <v>69.12</v>
      </c>
      <c r="AC491" s="258" t="s">
        <v>2654</v>
      </c>
      <c r="AD491" s="257">
        <v>1.7491375061606702</v>
      </c>
      <c r="AE491">
        <f>IF('WetLitterbags placem_collection'!AB52="","",'WetLitterbags placem_collection'!AB52)</f>
        <v>10</v>
      </c>
      <c r="AF491">
        <f>IF('WetLitterbags placem_collection'!Z52="","",'WetLitterbags placem_collection'!Z52)</f>
        <v>22.5</v>
      </c>
      <c r="AG491" s="243" t="str">
        <f>IF('WetLitterbags placem_collection'!AA52="","",'WetLitterbags placem_collection'!AA52)</f>
        <v>M</v>
      </c>
      <c r="AH491">
        <f>IF('WetLitterbags placem_collection'!AC52="","",'WetLitterbags placem_collection'!AC52)</f>
        <v>1</v>
      </c>
      <c r="AI491">
        <f>IFERROR(AVERAGE('Dry_Litterbag Placem_Collection'!O52,'Dry_Litterbag Placem_Collection'!R52),"")</f>
        <v>6.4</v>
      </c>
      <c r="AJ491" s="268">
        <f>IFERROR(AVERAGE('Dry_Litterbag Placem_Collection'!N52,'Dry_Litterbag Placem_Collection'!Q52),"")</f>
        <v>27.6</v>
      </c>
      <c r="AK491" s="267">
        <f>INDEX(Coordinates!$B$2:$B$197,MATCH(H491,Coordinates!$J$2:$J$197,0))</f>
        <v>-3.4062630399999998</v>
      </c>
      <c r="AL491" s="267">
        <f>INDEX(Coordinates!$C$2:$C$197,MATCH(H491,Coordinates!$J$2:$J$197,0))</f>
        <v>34.850566010000001</v>
      </c>
      <c r="AM491" s="267" t="str">
        <f>IF(ISNUMBER(SEARCH("C", 'Dry_Litterbag Placem_Collection'!U52)),"YES","NO")</f>
        <v>NO</v>
      </c>
      <c r="AN491" s="267" t="str">
        <f>IF(ISNUMBER(SEARCH("H", 'Dry_Litterbag Placem_Collection'!U52)),"YES","NO")</f>
        <v>NO</v>
      </c>
      <c r="AO491" s="267" t="str">
        <f>IF(ISNUMBER(SEARCH("R", 'Dry_Litterbag Placem_Collection'!U52)),"YES","NO")</f>
        <v>NO</v>
      </c>
    </row>
    <row r="492" spans="1:41" ht="15" customHeight="1">
      <c r="A492" s="259" t="s">
        <v>2643</v>
      </c>
      <c r="B492" s="260">
        <f>'Dry_Litterbag Placem_Collection'!A53</f>
        <v>51</v>
      </c>
      <c r="C492" s="260" t="str">
        <f>'Dry_Litterbag Placem_Collection'!B53</f>
        <v>Makao</v>
      </c>
      <c r="D492" s="260" t="s">
        <v>2643</v>
      </c>
      <c r="E492" s="260" t="s">
        <v>20</v>
      </c>
      <c r="F492" s="260">
        <v>3</v>
      </c>
      <c r="G492" s="260" t="s">
        <v>3808</v>
      </c>
      <c r="H492" s="261" t="str">
        <f>'Dry_Litterbag Placem_Collection'!C53</f>
        <v>Dry_P3_T3</v>
      </c>
      <c r="I492" s="270" t="s">
        <v>3630</v>
      </c>
      <c r="J492" s="263" t="s">
        <v>1147</v>
      </c>
      <c r="K492" s="260" t="str">
        <f>IF(ISBLANK('Dry_Litterbag Placem_Collection'!L53),"","G"&amp;""&amp;'Dry_Litterbag Placem_Collection'!L53)</f>
        <v>G598</v>
      </c>
      <c r="L492" s="264">
        <f>IFERROR(INDEX('Green_rooibos initial weight'!$C$5:$C$2000,MATCH(K492, 'Green_rooibos initial weight'!$A$5:$A$2000,0)),"")</f>
        <v>2.1680000000000001</v>
      </c>
      <c r="M492" s="264">
        <f>IFERROR(L492-(TBIcalc!$Q$9+TBIcalc!$Q$10),"")</f>
        <v>1.9182000000000001</v>
      </c>
      <c r="N492" s="385">
        <f>AVERAGE(Ashed_controlls!$K$2:$K$11)</f>
        <v>5.5147656768714146</v>
      </c>
      <c r="O492" s="264">
        <f t="shared" si="36"/>
        <v>1.8124157647862527</v>
      </c>
      <c r="P492" s="264">
        <f>IFERROR(INDEX('Both teabags AfterDry'!$D$2:$D$2000,MATCH(K492,'Both teabags AfterDry'!$A$2:$A$2000,0)),"")</f>
        <v>1.9169</v>
      </c>
      <c r="Q492" s="264">
        <f>IFERROR(IF(P492&gt;0,P492-(TBIcalc!$Q$9),""),"")</f>
        <v>1.7663</v>
      </c>
      <c r="R492" s="275">
        <f>IFERROR(INDEX('Ashed teabags dry'!$K$2:$K$2000,MATCH(K492,'Ashed teabags dry'!$A$2:$A$2000,0)),"")</f>
        <v>6.1355764473040955</v>
      </c>
      <c r="S492" s="275">
        <f t="shared" si="37"/>
        <v>1.6579273132112677</v>
      </c>
      <c r="T492" s="265">
        <f>IF('Dry_Litterbag Placem_Collection'!E53="","",'Dry_Litterbag Placem_Collection'!E53)</f>
        <v>42938</v>
      </c>
      <c r="U492" s="265">
        <f>IF('Dry_Litterbag Placem_Collection'!G53="","",'Dry_Litterbag Placem_Collection'!G53)</f>
        <v>43005</v>
      </c>
      <c r="V492" s="266">
        <f t="shared" si="35"/>
        <v>67</v>
      </c>
      <c r="W492" s="264">
        <f t="shared" si="38"/>
        <v>0.15190000000000015</v>
      </c>
      <c r="X492" s="264">
        <f t="shared" si="39"/>
        <v>0.15448845157498492</v>
      </c>
      <c r="Y492" s="268">
        <f>IFERROR(INDEX(Rainfall_Dry!$O$2:$O$217,MATCH(B492, Rainfall_Dry!$A$2:$A$217,0)),"")</f>
        <v>6.5250000359999998</v>
      </c>
      <c r="Z492" s="257">
        <v>21.96</v>
      </c>
      <c r="AA492" s="257">
        <v>8.9199999999999982</v>
      </c>
      <c r="AB492" s="257">
        <v>69.12</v>
      </c>
      <c r="AC492" s="258" t="s">
        <v>2654</v>
      </c>
      <c r="AD492" s="257">
        <v>1.7491375061606702</v>
      </c>
      <c r="AE492">
        <f>IF('WetLitterbags placem_collection'!AB53="","",'WetLitterbags placem_collection'!AB53)</f>
        <v>3</v>
      </c>
      <c r="AF492">
        <f>IF('WetLitterbags placem_collection'!Z53="","",'WetLitterbags placem_collection'!Z53)</f>
        <v>18</v>
      </c>
      <c r="AG492" s="243" t="str">
        <f>IF('WetLitterbags placem_collection'!AA53="","",'WetLitterbags placem_collection'!AA53)</f>
        <v>O</v>
      </c>
      <c r="AH492">
        <f>IF('WetLitterbags placem_collection'!AC53="","",'WetLitterbags placem_collection'!AC53)</f>
        <v>0</v>
      </c>
      <c r="AI492">
        <f>IFERROR(AVERAGE('Dry_Litterbag Placem_Collection'!O53,'Dry_Litterbag Placem_Collection'!R53),"")</f>
        <v>2.4500000000000002</v>
      </c>
      <c r="AJ492" s="268">
        <f>IFERROR(AVERAGE('Dry_Litterbag Placem_Collection'!N53,'Dry_Litterbag Placem_Collection'!Q53),"")</f>
        <v>34.450000000000003</v>
      </c>
      <c r="AK492" s="267">
        <f>INDEX(Coordinates!$B$2:$B$197,MATCH(H492,Coordinates!$J$2:$J$197,0))</f>
        <v>-3.4063920379999999</v>
      </c>
      <c r="AL492" s="267">
        <f>INDEX(Coordinates!$C$2:$C$197,MATCH(H492,Coordinates!$J$2:$J$197,0))</f>
        <v>34.850696020000001</v>
      </c>
      <c r="AM492" s="267" t="str">
        <f>IF(ISNUMBER(SEARCH("C", 'Dry_Litterbag Placem_Collection'!U53)),"YES","NO")</f>
        <v>NO</v>
      </c>
      <c r="AN492" s="267" t="str">
        <f>IF(ISNUMBER(SEARCH("H", 'Dry_Litterbag Placem_Collection'!U53)),"YES","NO")</f>
        <v>NO</v>
      </c>
      <c r="AO492" s="267" t="str">
        <f>IF(ISNUMBER(SEARCH("R", 'Dry_Litterbag Placem_Collection'!U53)),"YES","NO")</f>
        <v>NO</v>
      </c>
    </row>
    <row r="493" spans="1:41" ht="15" customHeight="1">
      <c r="A493" s="259" t="s">
        <v>2643</v>
      </c>
      <c r="B493" s="260">
        <f>'Dry_Litterbag Placem_Collection'!A54</f>
        <v>52</v>
      </c>
      <c r="C493" s="260" t="str">
        <f>'Dry_Litterbag Placem_Collection'!B54</f>
        <v>Makao</v>
      </c>
      <c r="D493" s="260" t="s">
        <v>2643</v>
      </c>
      <c r="E493" s="260" t="s">
        <v>20</v>
      </c>
      <c r="F493" s="260">
        <v>3</v>
      </c>
      <c r="G493" s="260" t="s">
        <v>3808</v>
      </c>
      <c r="H493" s="261" t="str">
        <f>'Dry_Litterbag Placem_Collection'!C54</f>
        <v>Dry_P3_T4</v>
      </c>
      <c r="I493" s="270" t="s">
        <v>3630</v>
      </c>
      <c r="J493" s="263" t="s">
        <v>1147</v>
      </c>
      <c r="K493" s="260" t="str">
        <f>IF(ISBLANK('Dry_Litterbag Placem_Collection'!L54),"","G"&amp;""&amp;'Dry_Litterbag Placem_Collection'!L54)</f>
        <v>G848</v>
      </c>
      <c r="L493" s="264">
        <f>IFERROR(INDEX('Green_rooibos initial weight'!$C$5:$C$2000,MATCH(K493, 'Green_rooibos initial weight'!$A$5:$A$2000,0)),"")</f>
        <v>2.0110000000000001</v>
      </c>
      <c r="M493" s="264">
        <f>IFERROR(L493-(TBIcalc!$Q$9+TBIcalc!$Q$10),"")</f>
        <v>1.7612000000000001</v>
      </c>
      <c r="N493" s="385">
        <f>AVERAGE(Ashed_controlls!$K$2:$K$11)</f>
        <v>5.5147656768714146</v>
      </c>
      <c r="O493" s="264">
        <f t="shared" si="36"/>
        <v>1.6640739468989407</v>
      </c>
      <c r="P493" s="264">
        <f>IFERROR(INDEX('Both teabags AfterDry'!$D$2:$D$2000,MATCH(K493,'Both teabags AfterDry'!$A$2:$A$2000,0)),"")</f>
        <v>1.8361000000000001</v>
      </c>
      <c r="Q493" s="264">
        <f>IFERROR(IF(P493&gt;0,P493-(TBIcalc!$Q$9),""),"")</f>
        <v>1.6855</v>
      </c>
      <c r="R493" s="275">
        <f>IFERROR(INDEX('Ashed teabags dry'!$K$2:$K$2000,MATCH(K493,'Ashed teabags dry'!$A$2:$A$2000,0)),"")</f>
        <v>5.7409879839785489</v>
      </c>
      <c r="S493" s="275">
        <f t="shared" si="37"/>
        <v>1.5887356475300416</v>
      </c>
      <c r="T493" s="265">
        <f>IF('Dry_Litterbag Placem_Collection'!E54="","",'Dry_Litterbag Placem_Collection'!E54)</f>
        <v>42938</v>
      </c>
      <c r="U493" s="265">
        <f>IF('Dry_Litterbag Placem_Collection'!G54="","",'Dry_Litterbag Placem_Collection'!G54)</f>
        <v>43005</v>
      </c>
      <c r="V493" s="266">
        <f t="shared" si="35"/>
        <v>67</v>
      </c>
      <c r="W493" s="264">
        <f t="shared" si="38"/>
        <v>7.5700000000000101E-2</v>
      </c>
      <c r="X493" s="264">
        <f t="shared" si="39"/>
        <v>7.5338299368899131E-2</v>
      </c>
      <c r="Y493" s="268">
        <f>IFERROR(INDEX(Rainfall_Dry!$O$2:$O$217,MATCH(B493, Rainfall_Dry!$A$2:$A$217,0)),"")</f>
        <v>6.5250000359999998</v>
      </c>
      <c r="Z493" s="257">
        <v>21.96</v>
      </c>
      <c r="AA493" s="257">
        <v>8.9199999999999982</v>
      </c>
      <c r="AB493" s="257">
        <v>69.12</v>
      </c>
      <c r="AC493" s="258" t="s">
        <v>2654</v>
      </c>
      <c r="AD493" s="257">
        <v>1.7491375061606702</v>
      </c>
      <c r="AE493">
        <f>IF('WetLitterbags placem_collection'!AB54="","",'WetLitterbags placem_collection'!AB54)</f>
        <v>13.4</v>
      </c>
      <c r="AF493">
        <f>IF('WetLitterbags placem_collection'!Z54="","",'WetLitterbags placem_collection'!Z54)</f>
        <v>67</v>
      </c>
      <c r="AG493" s="243" t="str">
        <f>IF('WetLitterbags placem_collection'!AA54="","",'WetLitterbags placem_collection'!AA54)</f>
        <v>M</v>
      </c>
      <c r="AH493">
        <f>IF('WetLitterbags placem_collection'!AC54="","",'WetLitterbags placem_collection'!AC54)</f>
        <v>1</v>
      </c>
      <c r="AI493">
        <f>IFERROR(AVERAGE('Dry_Litterbag Placem_Collection'!O54,'Dry_Litterbag Placem_Collection'!R54),"")</f>
        <v>5.75</v>
      </c>
      <c r="AJ493" s="268">
        <f>IFERROR(AVERAGE('Dry_Litterbag Placem_Collection'!N54,'Dry_Litterbag Placem_Collection'!Q54),"")</f>
        <v>30.75</v>
      </c>
      <c r="AK493" s="267">
        <f>INDEX(Coordinates!$B$2:$B$197,MATCH(H493,Coordinates!$J$2:$J$197,0))</f>
        <v>-3.4061569999999999</v>
      </c>
      <c r="AL493" s="267">
        <f>INDEX(Coordinates!$C$2:$C$197,MATCH(H493,Coordinates!$J$2:$J$197,0))</f>
        <v>34.850738999999997</v>
      </c>
      <c r="AM493" s="267" t="str">
        <f>IF(ISNUMBER(SEARCH("C", 'Dry_Litterbag Placem_Collection'!U54)),"YES","NO")</f>
        <v>NO</v>
      </c>
      <c r="AN493" s="267" t="str">
        <f>IF(ISNUMBER(SEARCH("H", 'Dry_Litterbag Placem_Collection'!U54)),"YES","NO")</f>
        <v>NO</v>
      </c>
      <c r="AO493" s="267" t="str">
        <f>IF(ISNUMBER(SEARCH("R", 'Dry_Litterbag Placem_Collection'!U54)),"YES","NO")</f>
        <v>NO</v>
      </c>
    </row>
    <row r="494" spans="1:41" ht="15" customHeight="1">
      <c r="A494" s="259" t="s">
        <v>2643</v>
      </c>
      <c r="B494" s="260">
        <f>'Dry_Litterbag Placem_Collection'!A55</f>
        <v>53</v>
      </c>
      <c r="C494" s="260" t="str">
        <f>'Dry_Litterbag Placem_Collection'!B55</f>
        <v>Makao</v>
      </c>
      <c r="D494" s="260" t="s">
        <v>2643</v>
      </c>
      <c r="E494" s="260" t="s">
        <v>20</v>
      </c>
      <c r="F494" s="260">
        <v>3</v>
      </c>
      <c r="G494" s="260" t="s">
        <v>3808</v>
      </c>
      <c r="H494" s="261" t="str">
        <f>'Dry_Litterbag Placem_Collection'!C55</f>
        <v>Dry_P3_T5</v>
      </c>
      <c r="I494" s="270" t="s">
        <v>3630</v>
      </c>
      <c r="J494" s="263" t="s">
        <v>1147</v>
      </c>
      <c r="K494" s="260" t="str">
        <f>IF(ISBLANK('Dry_Litterbag Placem_Collection'!L55),"","G"&amp;""&amp;'Dry_Litterbag Placem_Collection'!L55)</f>
        <v>G759</v>
      </c>
      <c r="L494" s="264">
        <f>IFERROR(INDEX('Green_rooibos initial weight'!$C$5:$C$2000,MATCH(K494, 'Green_rooibos initial weight'!$A$5:$A$2000,0)),"")</f>
        <v>2.0539999999999998</v>
      </c>
      <c r="M494" s="264">
        <f>IFERROR(L494-(TBIcalc!$Q$9+TBIcalc!$Q$10),"")</f>
        <v>1.8041999999999998</v>
      </c>
      <c r="N494" s="385">
        <f>AVERAGE(Ashed_controlls!$K$2:$K$11)</f>
        <v>5.5147656768714146</v>
      </c>
      <c r="O494" s="264">
        <f t="shared" si="36"/>
        <v>1.7047025976578858</v>
      </c>
      <c r="P494" s="264">
        <f>IFERROR(INDEX('Both teabags AfterDry'!$D$2:$D$2000,MATCH(K494,'Both teabags AfterDry'!$A$2:$A$2000,0)),"")</f>
        <v>1.8980999999999999</v>
      </c>
      <c r="Q494" s="264">
        <f>IFERROR(IF(P494&gt;0,P494-(TBIcalc!$Q$9),""),"")</f>
        <v>1.7474999999999998</v>
      </c>
      <c r="R494" s="275">
        <f>IFERROR(INDEX('Ashed teabags dry'!$K$2:$K$2000,MATCH(K494,'Ashed teabags dry'!$A$2:$A$2000,0)),"")</f>
        <v>5.7571359458148255</v>
      </c>
      <c r="S494" s="275">
        <f t="shared" si="37"/>
        <v>1.6468940493468858</v>
      </c>
      <c r="T494" s="265">
        <f>IF('Dry_Litterbag Placem_Collection'!E55="","",'Dry_Litterbag Placem_Collection'!E55)</f>
        <v>42938</v>
      </c>
      <c r="U494" s="265">
        <f>IF('Dry_Litterbag Placem_Collection'!G55="","",'Dry_Litterbag Placem_Collection'!G55)</f>
        <v>43005</v>
      </c>
      <c r="V494" s="266">
        <f t="shared" si="35"/>
        <v>67</v>
      </c>
      <c r="W494" s="264">
        <f t="shared" si="38"/>
        <v>5.6699999999999973E-2</v>
      </c>
      <c r="X494" s="264">
        <f t="shared" si="39"/>
        <v>5.7808548311000019E-2</v>
      </c>
      <c r="Y494" s="268">
        <f>IFERROR(INDEX(Rainfall_Dry!$O$2:$O$217,MATCH(B494, Rainfall_Dry!$A$2:$A$217,0)),"")</f>
        <v>6.5250000359999998</v>
      </c>
      <c r="Z494" s="257">
        <v>21.96</v>
      </c>
      <c r="AA494" s="257">
        <v>8.9199999999999982</v>
      </c>
      <c r="AB494" s="257">
        <v>69.12</v>
      </c>
      <c r="AC494" s="258" t="s">
        <v>2654</v>
      </c>
      <c r="AD494" s="257">
        <v>1.7491375061606702</v>
      </c>
      <c r="AE494" t="str">
        <f>IF('WetLitterbags placem_collection'!AB55="","",'WetLitterbags placem_collection'!AB55)</f>
        <v/>
      </c>
      <c r="AF494" t="str">
        <f>IF('WetLitterbags placem_collection'!Z55="","",'WetLitterbags placem_collection'!Z55)</f>
        <v/>
      </c>
      <c r="AG494" s="243" t="str">
        <f>IF('WetLitterbags placem_collection'!AA55="","",'WetLitterbags placem_collection'!AA55)</f>
        <v/>
      </c>
      <c r="AH494" t="str">
        <f>IF('WetLitterbags placem_collection'!AC55="","",'WetLitterbags placem_collection'!AC55)</f>
        <v/>
      </c>
      <c r="AI494">
        <f>IFERROR(AVERAGE('Dry_Litterbag Placem_Collection'!O55,'Dry_Litterbag Placem_Collection'!R55),"")</f>
        <v>6.5</v>
      </c>
      <c r="AJ494" s="268">
        <f>IFERROR(AVERAGE('Dry_Litterbag Placem_Collection'!N55,'Dry_Litterbag Placem_Collection'!Q55),"")</f>
        <v>30.4</v>
      </c>
      <c r="AK494" s="267">
        <f>INDEX(Coordinates!$B$2:$B$197,MATCH(H494,Coordinates!$J$2:$J$197,0))</f>
        <v>-3.4061140000000001</v>
      </c>
      <c r="AL494" s="267">
        <f>INDEX(Coordinates!$C$2:$C$197,MATCH(H494,Coordinates!$J$2:$J$197,0))</f>
        <v>34.850596000000003</v>
      </c>
      <c r="AM494" s="267" t="str">
        <f>IF(ISNUMBER(SEARCH("C", 'Dry_Litterbag Placem_Collection'!U55)),"YES","NO")</f>
        <v>NO</v>
      </c>
      <c r="AN494" s="267" t="str">
        <f>IF(ISNUMBER(SEARCH("H", 'Dry_Litterbag Placem_Collection'!U55)),"YES","NO")</f>
        <v>NO</v>
      </c>
      <c r="AO494" s="267" t="str">
        <f>IF(ISNUMBER(SEARCH("R", 'Dry_Litterbag Placem_Collection'!U55)),"YES","NO")</f>
        <v>NO</v>
      </c>
    </row>
    <row r="495" spans="1:41" ht="15" customHeight="1">
      <c r="A495" s="259" t="s">
        <v>2643</v>
      </c>
      <c r="B495" s="260">
        <f>'Dry_Litterbag Placem_Collection'!A56</f>
        <v>54</v>
      </c>
      <c r="C495" s="260" t="str">
        <f>'Dry_Litterbag Placem_Collection'!B56</f>
        <v>Makao</v>
      </c>
      <c r="D495" s="260" t="s">
        <v>2643</v>
      </c>
      <c r="E495" s="260" t="s">
        <v>20</v>
      </c>
      <c r="F495" s="260">
        <v>3</v>
      </c>
      <c r="G495" s="260" t="s">
        <v>3808</v>
      </c>
      <c r="H495" s="261" t="str">
        <f>'Dry_Litterbag Placem_Collection'!C56</f>
        <v>Dry_P3_T6</v>
      </c>
      <c r="I495" s="270" t="s">
        <v>3630</v>
      </c>
      <c r="J495" s="263" t="s">
        <v>1147</v>
      </c>
      <c r="K495" s="260" t="str">
        <f>IF(ISBLANK('Dry_Litterbag Placem_Collection'!L56),"","G"&amp;""&amp;'Dry_Litterbag Placem_Collection'!L56)</f>
        <v/>
      </c>
      <c r="L495" s="264" t="str">
        <f>IFERROR(INDEX('Green_rooibos initial weight'!$C$5:$C$2000,MATCH(K495, 'Green_rooibos initial weight'!$A$5:$A$2000,0)),"")</f>
        <v/>
      </c>
      <c r="M495" s="264" t="str">
        <f>IFERROR(L495-(TBIcalc!$Q$9+TBIcalc!$Q$10),"")</f>
        <v/>
      </c>
      <c r="N495" s="385">
        <f>AVERAGE(Ashed_controlls!$K$2:$K$11)</f>
        <v>5.5147656768714146</v>
      </c>
      <c r="O495" s="264" t="str">
        <f t="shared" si="36"/>
        <v/>
      </c>
      <c r="P495" s="264" t="str">
        <f>IFERROR(INDEX('Both teabags AfterDry'!$D$2:$D$2000,MATCH(K495,'Both teabags AfterDry'!$A$2:$A$2000,0)),"")</f>
        <v/>
      </c>
      <c r="Q495" s="264" t="str">
        <f>IFERROR(IF(P495&gt;0,P495-(TBIcalc!$Q$9),""),"")</f>
        <v/>
      </c>
      <c r="R495" s="275" t="str">
        <f>IFERROR(INDEX('Ashed teabags dry'!$K$2:$K$2000,MATCH(K495,'Ashed teabags dry'!$A$2:$A$2000,0)),"")</f>
        <v/>
      </c>
      <c r="S495" s="275" t="str">
        <f t="shared" si="37"/>
        <v/>
      </c>
      <c r="T495" s="265" t="str">
        <f>IF('Dry_Litterbag Placem_Collection'!E56="","",'Dry_Litterbag Placem_Collection'!E56)</f>
        <v/>
      </c>
      <c r="U495" s="265" t="str">
        <f>IF('Dry_Litterbag Placem_Collection'!G56="","",'Dry_Litterbag Placem_Collection'!G56)</f>
        <v/>
      </c>
      <c r="V495" s="266" t="str">
        <f t="shared" si="35"/>
        <v/>
      </c>
      <c r="W495" s="264" t="str">
        <f t="shared" si="38"/>
        <v/>
      </c>
      <c r="X495" s="264" t="str">
        <f t="shared" si="39"/>
        <v/>
      </c>
      <c r="Y495" s="268" t="str">
        <f>IFERROR(INDEX(Rainfall_Dry!$O$2:$O$217,MATCH(B495, Rainfall_Dry!$A$2:$A$217,0)),"")</f>
        <v/>
      </c>
      <c r="Z495" s="257">
        <v>21.96</v>
      </c>
      <c r="AA495" s="257">
        <v>8.9199999999999982</v>
      </c>
      <c r="AB495" s="257">
        <v>69.12</v>
      </c>
      <c r="AC495" s="258" t="s">
        <v>2654</v>
      </c>
      <c r="AD495" s="257">
        <v>1.7491375061606702</v>
      </c>
      <c r="AE495" t="str">
        <f>IF('WetLitterbags placem_collection'!AB56="","",'WetLitterbags placem_collection'!AB56)</f>
        <v/>
      </c>
      <c r="AF495" t="str">
        <f>IF('WetLitterbags placem_collection'!Z56="","",'WetLitterbags placem_collection'!Z56)</f>
        <v/>
      </c>
      <c r="AG495" s="243" t="str">
        <f>IF('WetLitterbags placem_collection'!AA56="","",'WetLitterbags placem_collection'!AA56)</f>
        <v/>
      </c>
      <c r="AH495" t="str">
        <f>IF('WetLitterbags placem_collection'!AC56="","",'WetLitterbags placem_collection'!AC56)</f>
        <v/>
      </c>
      <c r="AI495" t="str">
        <f>IFERROR(AVERAGE('Dry_Litterbag Placem_Collection'!O56,'Dry_Litterbag Placem_Collection'!R56),"")</f>
        <v/>
      </c>
      <c r="AJ495" s="268" t="str">
        <f>IFERROR(AVERAGE('Dry_Litterbag Placem_Collection'!N56,'Dry_Litterbag Placem_Collection'!Q56),"")</f>
        <v/>
      </c>
      <c r="AK495" s="267">
        <f>INDEX(Coordinates!$B$2:$B$197,MATCH(H495,Coordinates!$J$2:$J$197,0))</f>
        <v>-3.406058019</v>
      </c>
      <c r="AL495" s="267">
        <f>INDEX(Coordinates!$C$2:$C$197,MATCH(H495,Coordinates!$J$2:$J$197,0))</f>
        <v>34.850466019999999</v>
      </c>
      <c r="AM495" s="267" t="str">
        <f>IF(ISNUMBER(SEARCH("C", 'Dry_Litterbag Placem_Collection'!U56)),"YES","NO")</f>
        <v>NO</v>
      </c>
      <c r="AN495" s="267" t="str">
        <f>IF(ISNUMBER(SEARCH("H", 'Dry_Litterbag Placem_Collection'!U56)),"YES","NO")</f>
        <v>NO</v>
      </c>
      <c r="AO495" s="267" t="str">
        <f>IF(ISNUMBER(SEARCH("R", 'Dry_Litterbag Placem_Collection'!U56)),"YES","NO")</f>
        <v>NO</v>
      </c>
    </row>
    <row r="496" spans="1:41" ht="15" customHeight="1">
      <c r="A496" s="259" t="s">
        <v>2643</v>
      </c>
      <c r="B496" s="260">
        <f>'Dry_Litterbag Placem_Collection'!A57</f>
        <v>55</v>
      </c>
      <c r="C496" s="260" t="str">
        <f>'Dry_Litterbag Placem_Collection'!B57</f>
        <v>Makao</v>
      </c>
      <c r="D496" s="260" t="s">
        <v>2643</v>
      </c>
      <c r="E496" s="260" t="s">
        <v>20</v>
      </c>
      <c r="F496" s="260">
        <v>3</v>
      </c>
      <c r="G496" s="260" t="s">
        <v>3808</v>
      </c>
      <c r="H496" s="261" t="str">
        <f>'Dry_Litterbag Placem_Collection'!C57</f>
        <v>Dry_P3_T7</v>
      </c>
      <c r="I496" s="270" t="s">
        <v>3630</v>
      </c>
      <c r="J496" s="263" t="s">
        <v>1147</v>
      </c>
      <c r="K496" s="260" t="str">
        <f>IF(ISBLANK('Dry_Litterbag Placem_Collection'!L57),"","G"&amp;""&amp;'Dry_Litterbag Placem_Collection'!L57)</f>
        <v>G260</v>
      </c>
      <c r="L496" s="264">
        <f>IFERROR(INDEX('Green_rooibos initial weight'!$C$5:$C$2000,MATCH(K496, 'Green_rooibos initial weight'!$A$5:$A$2000,0)),"")</f>
        <v>2.1560000000000001</v>
      </c>
      <c r="M496" s="264">
        <f>IFERROR(L496-(TBIcalc!$Q$9+TBIcalc!$Q$10),"")</f>
        <v>1.9062000000000001</v>
      </c>
      <c r="N496" s="385">
        <f>AVERAGE(Ashed_controlls!$K$2:$K$11)</f>
        <v>5.5147656768714146</v>
      </c>
      <c r="O496" s="264">
        <f t="shared" si="36"/>
        <v>1.8010775366674772</v>
      </c>
      <c r="P496" s="264">
        <f>IFERROR(INDEX('Both teabags AfterDry'!$D$2:$D$2000,MATCH(K496,'Both teabags AfterDry'!$A$2:$A$2000,0)),"")</f>
        <v>1.9074</v>
      </c>
      <c r="Q496" s="264">
        <f>IFERROR(IF(P496&gt;0,P496-(TBIcalc!$Q$9),""),"")</f>
        <v>1.7567999999999999</v>
      </c>
      <c r="R496" s="275">
        <f>IFERROR(INDEX('Ashed teabags dry'!$K$2:$K$2000,MATCH(K496,'Ashed teabags dry'!$A$2:$A$2000,0)),"")</f>
        <v>8.8734232274901057</v>
      </c>
      <c r="S496" s="275">
        <f t="shared" si="37"/>
        <v>1.6009117007394538</v>
      </c>
      <c r="T496" s="265">
        <f>IF('Dry_Litterbag Placem_Collection'!E57="","",'Dry_Litterbag Placem_Collection'!E57)</f>
        <v>42938</v>
      </c>
      <c r="U496" s="265">
        <f>IF('Dry_Litterbag Placem_Collection'!G57="","",'Dry_Litterbag Placem_Collection'!G57)</f>
        <v>43005</v>
      </c>
      <c r="V496" s="266">
        <f t="shared" si="35"/>
        <v>67</v>
      </c>
      <c r="W496" s="264">
        <f t="shared" si="38"/>
        <v>0.1494000000000002</v>
      </c>
      <c r="X496" s="264">
        <f t="shared" si="39"/>
        <v>0.20016583592802339</v>
      </c>
      <c r="Y496" s="268">
        <f>IFERROR(INDEX(Rainfall_Dry!$O$2:$O$217,MATCH(B496, Rainfall_Dry!$A$2:$A$217,0)),"")</f>
        <v>6.5250000359999998</v>
      </c>
      <c r="Z496" s="257">
        <v>21.96</v>
      </c>
      <c r="AA496" s="257">
        <v>8.9199999999999982</v>
      </c>
      <c r="AB496" s="257">
        <v>69.12</v>
      </c>
      <c r="AC496" s="258" t="s">
        <v>2654</v>
      </c>
      <c r="AD496" s="257">
        <v>1.7491375061606702</v>
      </c>
      <c r="AE496">
        <f>IF('WetLitterbags placem_collection'!AB57="","",'WetLitterbags placem_collection'!AB57)</f>
        <v>15.8</v>
      </c>
      <c r="AF496">
        <f>IF('WetLitterbags placem_collection'!Z57="","",'WetLitterbags placem_collection'!Z57)</f>
        <v>45</v>
      </c>
      <c r="AG496" s="243" t="str">
        <f>IF('WetLitterbags placem_collection'!AA57="","",'WetLitterbags placem_collection'!AA57)</f>
        <v>M</v>
      </c>
      <c r="AH496">
        <f>IF('WetLitterbags placem_collection'!AC57="","",'WetLitterbags placem_collection'!AC57)</f>
        <v>1</v>
      </c>
      <c r="AI496">
        <f>IFERROR(AVERAGE('Dry_Litterbag Placem_Collection'!O57,'Dry_Litterbag Placem_Collection'!R57),"")</f>
        <v>4.8</v>
      </c>
      <c r="AJ496" s="268">
        <f>IFERROR(AVERAGE('Dry_Litterbag Placem_Collection'!N57,'Dry_Litterbag Placem_Collection'!Q57),"")</f>
        <v>31.9</v>
      </c>
      <c r="AK496" s="267">
        <f>INDEX(Coordinates!$B$2:$B$197,MATCH(H496,Coordinates!$J$2:$J$197,0))</f>
        <v>-3.4061389879999999</v>
      </c>
      <c r="AL496" s="267">
        <f>INDEX(Coordinates!$C$2:$C$197,MATCH(H496,Coordinates!$J$2:$J$197,0))</f>
        <v>34.850574979999998</v>
      </c>
      <c r="AM496" s="267" t="str">
        <f>IF(ISNUMBER(SEARCH("C", 'Dry_Litterbag Placem_Collection'!U57)),"YES","NO")</f>
        <v>NO</v>
      </c>
      <c r="AN496" s="267" t="str">
        <f>IF(ISNUMBER(SEARCH("H", 'Dry_Litterbag Placem_Collection'!U57)),"YES","NO")</f>
        <v>NO</v>
      </c>
      <c r="AO496" s="267" t="str">
        <f>IF(ISNUMBER(SEARCH("R", 'Dry_Litterbag Placem_Collection'!U57)),"YES","NO")</f>
        <v>NO</v>
      </c>
    </row>
    <row r="497" spans="1:41" ht="15" customHeight="1">
      <c r="A497" s="259" t="s">
        <v>2643</v>
      </c>
      <c r="B497" s="260">
        <f>'Dry_Litterbag Placem_Collection'!A58</f>
        <v>56</v>
      </c>
      <c r="C497" s="260" t="str">
        <f>'Dry_Litterbag Placem_Collection'!B58</f>
        <v>Makao</v>
      </c>
      <c r="D497" s="260" t="s">
        <v>2643</v>
      </c>
      <c r="E497" s="260" t="s">
        <v>20</v>
      </c>
      <c r="F497" s="260">
        <v>3</v>
      </c>
      <c r="G497" s="260" t="s">
        <v>3808</v>
      </c>
      <c r="H497" s="261" t="str">
        <f>'Dry_Litterbag Placem_Collection'!C58</f>
        <v>Dry_P3_T8</v>
      </c>
      <c r="I497" s="270" t="s">
        <v>3630</v>
      </c>
      <c r="J497" s="263" t="s">
        <v>1147</v>
      </c>
      <c r="K497" s="260" t="str">
        <f>IF(ISBLANK('Dry_Litterbag Placem_Collection'!L58),"","G"&amp;""&amp;'Dry_Litterbag Placem_Collection'!L58)</f>
        <v>G493</v>
      </c>
      <c r="L497" s="264">
        <f>IFERROR(INDEX('Green_rooibos initial weight'!$C$5:$C$2000,MATCH(K497, 'Green_rooibos initial weight'!$A$5:$A$2000,0)),"")</f>
        <v>2.0510000000000002</v>
      </c>
      <c r="M497" s="264">
        <f>IFERROR(L497-(TBIcalc!$Q$9+TBIcalc!$Q$10),"")</f>
        <v>1.8012000000000001</v>
      </c>
      <c r="N497" s="385">
        <f>AVERAGE(Ashed_controlls!$K$2:$K$11)</f>
        <v>5.5147656768714146</v>
      </c>
      <c r="O497" s="264">
        <f t="shared" si="36"/>
        <v>1.7018680406281923</v>
      </c>
      <c r="P497" s="264">
        <f>IFERROR(INDEX('Both teabags AfterDry'!$D$2:$D$2000,MATCH(K497,'Both teabags AfterDry'!$A$2:$A$2000,0)),"")</f>
        <v>1.8869</v>
      </c>
      <c r="Q497" s="264">
        <f>IFERROR(IF(P497&gt;0,P497-(TBIcalc!$Q$9),""),"")</f>
        <v>1.7363</v>
      </c>
      <c r="R497" s="275">
        <f>IFERROR(INDEX('Ashed teabags dry'!$K$2:$K$2000,MATCH(K497,'Ashed teabags dry'!$A$2:$A$2000,0)),"")</f>
        <v>6.380316930776055</v>
      </c>
      <c r="S497" s="275">
        <f t="shared" si="37"/>
        <v>1.6255185571309354</v>
      </c>
      <c r="T497" s="265">
        <f>IF('Dry_Litterbag Placem_Collection'!E58="","",'Dry_Litterbag Placem_Collection'!E58)</f>
        <v>42938</v>
      </c>
      <c r="U497" s="265">
        <f>IF('Dry_Litterbag Placem_Collection'!G58="","",'Dry_Litterbag Placem_Collection'!G58)</f>
        <v>43005</v>
      </c>
      <c r="V497" s="266">
        <f t="shared" si="35"/>
        <v>67</v>
      </c>
      <c r="W497" s="264">
        <f t="shared" si="38"/>
        <v>6.490000000000018E-2</v>
      </c>
      <c r="X497" s="264">
        <f t="shared" si="39"/>
        <v>7.6349483497256898E-2</v>
      </c>
      <c r="Y497" s="268">
        <f>IFERROR(INDEX(Rainfall_Dry!$O$2:$O$217,MATCH(B497, Rainfall_Dry!$A$2:$A$217,0)),"")</f>
        <v>6.5250000359999998</v>
      </c>
      <c r="Z497" s="257">
        <v>21.96</v>
      </c>
      <c r="AA497" s="257">
        <v>8.9199999999999982</v>
      </c>
      <c r="AB497" s="257">
        <v>69.12</v>
      </c>
      <c r="AC497" s="258" t="s">
        <v>2654</v>
      </c>
      <c r="AD497" s="257">
        <v>1.7491375061606702</v>
      </c>
      <c r="AE497">
        <f>IF('WetLitterbags placem_collection'!AB58="","",'WetLitterbags placem_collection'!AB58)</f>
        <v>15.4</v>
      </c>
      <c r="AF497">
        <f>IF('WetLitterbags placem_collection'!Z58="","",'WetLitterbags placem_collection'!Z58)</f>
        <v>30.8</v>
      </c>
      <c r="AG497" s="243" t="str">
        <f>IF('WetLitterbags placem_collection'!AA58="","",'WetLitterbags placem_collection'!AA58)</f>
        <v>M</v>
      </c>
      <c r="AH497">
        <f>IF('WetLitterbags placem_collection'!AC58="","",'WetLitterbags placem_collection'!AC58)</f>
        <v>0</v>
      </c>
      <c r="AI497">
        <f>IFERROR(AVERAGE('Dry_Litterbag Placem_Collection'!O58,'Dry_Litterbag Placem_Collection'!R58),"")</f>
        <v>8.3000000000000007</v>
      </c>
      <c r="AJ497" s="268">
        <f>IFERROR(AVERAGE('Dry_Litterbag Placem_Collection'!N58,'Dry_Litterbag Placem_Collection'!Q58),"")</f>
        <v>30.049999999999997</v>
      </c>
      <c r="AK497" s="267">
        <f>INDEX(Coordinates!$B$2:$B$197,MATCH(H497,Coordinates!$J$2:$J$197,0))</f>
        <v>-3.4062900300000001</v>
      </c>
      <c r="AL497" s="267">
        <f>INDEX(Coordinates!$C$2:$C$197,MATCH(H497,Coordinates!$J$2:$J$197,0))</f>
        <v>34.850441959999998</v>
      </c>
      <c r="AM497" s="267" t="str">
        <f>IF(ISNUMBER(SEARCH("C", 'Dry_Litterbag Placem_Collection'!U58)),"YES","NO")</f>
        <v>NO</v>
      </c>
      <c r="AN497" s="267" t="str">
        <f>IF(ISNUMBER(SEARCH("H", 'Dry_Litterbag Placem_Collection'!U58)),"YES","NO")</f>
        <v>NO</v>
      </c>
      <c r="AO497" s="267" t="str">
        <f>IF(ISNUMBER(SEARCH("R", 'Dry_Litterbag Placem_Collection'!U58)),"YES","NO")</f>
        <v>NO</v>
      </c>
    </row>
    <row r="498" spans="1:41" ht="15" customHeight="1">
      <c r="A498" s="259" t="s">
        <v>2643</v>
      </c>
      <c r="B498" s="260">
        <f>'Dry_Litterbag Placem_Collection'!A59</f>
        <v>57</v>
      </c>
      <c r="C498" s="260" t="str">
        <f>'Dry_Litterbag Placem_Collection'!B59</f>
        <v>Makao</v>
      </c>
      <c r="D498" s="260" t="s">
        <v>2643</v>
      </c>
      <c r="E498" s="260" t="s">
        <v>20</v>
      </c>
      <c r="F498" s="260">
        <v>4</v>
      </c>
      <c r="G498" s="260" t="s">
        <v>3809</v>
      </c>
      <c r="H498" s="261" t="str">
        <f>'Dry_Litterbag Placem_Collection'!C59</f>
        <v>Dry_P4_T1</v>
      </c>
      <c r="I498" s="270" t="s">
        <v>3630</v>
      </c>
      <c r="J498" s="263" t="s">
        <v>1147</v>
      </c>
      <c r="K498" s="260" t="str">
        <f>IF(ISBLANK('Dry_Litterbag Placem_Collection'!L59),"","G"&amp;""&amp;'Dry_Litterbag Placem_Collection'!L59)</f>
        <v>G342</v>
      </c>
      <c r="L498" s="264">
        <f>IFERROR(INDEX('Green_rooibos initial weight'!$C$5:$C$2000,MATCH(K498, 'Green_rooibos initial weight'!$A$5:$A$2000,0)),"")</f>
        <v>1.9039999999999999</v>
      </c>
      <c r="M498" s="264">
        <f>IFERROR(L498-(TBIcalc!$Q$9+TBIcalc!$Q$10),"")</f>
        <v>1.6541999999999999</v>
      </c>
      <c r="N498" s="385">
        <f>AVERAGE(Ashed_controlls!$K$2:$K$11)</f>
        <v>5.5147656768714146</v>
      </c>
      <c r="O498" s="264">
        <f t="shared" si="36"/>
        <v>1.5629747461731929</v>
      </c>
      <c r="P498" s="264">
        <f>IFERROR(INDEX('Both teabags AfterDry'!$D$2:$D$2000,MATCH(K498,'Both teabags AfterDry'!$A$2:$A$2000,0)),"")</f>
        <v>1.7556</v>
      </c>
      <c r="Q498" s="264">
        <f>IFERROR(IF(P498&gt;0,P498-(TBIcalc!$Q$9),""),"")</f>
        <v>1.605</v>
      </c>
      <c r="R498" s="275">
        <f>IFERROR(INDEX('Ashed teabags dry'!$K$2:$K$2000,MATCH(K498,'Ashed teabags dry'!$A$2:$A$2000,0)),"")</f>
        <v>5.6726094003237382</v>
      </c>
      <c r="S498" s="275">
        <f t="shared" si="37"/>
        <v>1.5139546191248039</v>
      </c>
      <c r="T498" s="265">
        <f>IF('Dry_Litterbag Placem_Collection'!E59="","",'Dry_Litterbag Placem_Collection'!E59)</f>
        <v>42938</v>
      </c>
      <c r="U498" s="265">
        <f>IF('Dry_Litterbag Placem_Collection'!G59="","",'Dry_Litterbag Placem_Collection'!G59)</f>
        <v>43005</v>
      </c>
      <c r="V498" s="266">
        <f t="shared" si="35"/>
        <v>67</v>
      </c>
      <c r="W498" s="264">
        <f t="shared" si="38"/>
        <v>4.919999999999991E-2</v>
      </c>
      <c r="X498" s="264">
        <f t="shared" si="39"/>
        <v>4.9020127048388984E-2</v>
      </c>
      <c r="Y498" s="268">
        <f>IFERROR(INDEX(Rainfall_Dry!$O$2:$O$217,MATCH(B498, Rainfall_Dry!$A$2:$A$217,0)),"")</f>
        <v>6.5250000359999998</v>
      </c>
      <c r="Z498" s="257">
        <v>25.96</v>
      </c>
      <c r="AA498" s="257">
        <v>6.9200000000000008</v>
      </c>
      <c r="AB498" s="257">
        <v>67.12</v>
      </c>
      <c r="AC498" s="258" t="s">
        <v>2654</v>
      </c>
      <c r="AD498" s="257">
        <v>1.7568260226712666</v>
      </c>
      <c r="AE498">
        <f>IF('WetLitterbags placem_collection'!AB59="","",'WetLitterbags placem_collection'!AB59)</f>
        <v>3.3</v>
      </c>
      <c r="AF498">
        <f>IF('WetLitterbags placem_collection'!Z59="","",'WetLitterbags placem_collection'!Z59)</f>
        <v>28.4</v>
      </c>
      <c r="AG498" s="243" t="str">
        <f>IF('WetLitterbags placem_collection'!AA59="","",'WetLitterbags placem_collection'!AA59)</f>
        <v>O</v>
      </c>
      <c r="AH498">
        <f>IF('WetLitterbags placem_collection'!AC59="","",'WetLitterbags placem_collection'!AC59)</f>
        <v>1</v>
      </c>
      <c r="AI498">
        <f>IFERROR(AVERAGE('Dry_Litterbag Placem_Collection'!O59,'Dry_Litterbag Placem_Collection'!R59),"")</f>
        <v>3.95</v>
      </c>
      <c r="AJ498" s="268">
        <f>IFERROR(AVERAGE('Dry_Litterbag Placem_Collection'!N59,'Dry_Litterbag Placem_Collection'!Q59),"")</f>
        <v>33.25</v>
      </c>
      <c r="AK498" s="267">
        <f>INDEX(Coordinates!$B$2:$B$197,MATCH(H498,Coordinates!$J$2:$J$197,0))</f>
        <v>-3.4064239729999999</v>
      </c>
      <c r="AL498" s="267">
        <f>INDEX(Coordinates!$C$2:$C$197,MATCH(H498,Coordinates!$J$2:$J$197,0))</f>
        <v>34.851213010000002</v>
      </c>
      <c r="AM498" s="267" t="str">
        <f>IF(ISNUMBER(SEARCH("C", 'Dry_Litterbag Placem_Collection'!U59)),"YES","NO")</f>
        <v>NO</v>
      </c>
      <c r="AN498" s="267" t="str">
        <f>IF(ISNUMBER(SEARCH("H", 'Dry_Litterbag Placem_Collection'!U59)),"YES","NO")</f>
        <v>NO</v>
      </c>
      <c r="AO498" s="267" t="str">
        <f>IF(ISNUMBER(SEARCH("R", 'Dry_Litterbag Placem_Collection'!U59)),"YES","NO")</f>
        <v>NO</v>
      </c>
    </row>
    <row r="499" spans="1:41" ht="15" customHeight="1">
      <c r="A499" s="259" t="s">
        <v>2643</v>
      </c>
      <c r="B499" s="260">
        <f>'Dry_Litterbag Placem_Collection'!A60</f>
        <v>58</v>
      </c>
      <c r="C499" s="260" t="str">
        <f>'Dry_Litterbag Placem_Collection'!B60</f>
        <v>Makao</v>
      </c>
      <c r="D499" s="260" t="s">
        <v>2643</v>
      </c>
      <c r="E499" s="260" t="s">
        <v>20</v>
      </c>
      <c r="F499" s="260">
        <v>4</v>
      </c>
      <c r="G499" s="260" t="s">
        <v>3809</v>
      </c>
      <c r="H499" s="261" t="str">
        <f>'Dry_Litterbag Placem_Collection'!C60</f>
        <v>Dry_P4_T2</v>
      </c>
      <c r="I499" s="270" t="s">
        <v>3630</v>
      </c>
      <c r="J499" s="263" t="s">
        <v>1147</v>
      </c>
      <c r="K499" s="260" t="str">
        <f>IF(ISBLANK('Dry_Litterbag Placem_Collection'!L60),"","G"&amp;""&amp;'Dry_Litterbag Placem_Collection'!L60)</f>
        <v>G735</v>
      </c>
      <c r="L499" s="264">
        <f>IFERROR(INDEX('Green_rooibos initial weight'!$C$5:$C$2000,MATCH(K499, 'Green_rooibos initial weight'!$A$5:$A$2000,0)),"")</f>
        <v>2.0950000000000002</v>
      </c>
      <c r="M499" s="264">
        <f>IFERROR(L499-(TBIcalc!$Q$9+TBIcalc!$Q$10),"")</f>
        <v>1.8452000000000002</v>
      </c>
      <c r="N499" s="385">
        <f>AVERAGE(Ashed_controlls!$K$2:$K$11)</f>
        <v>5.5147656768714146</v>
      </c>
      <c r="O499" s="264">
        <f t="shared" si="36"/>
        <v>1.7434415437303687</v>
      </c>
      <c r="P499" s="264">
        <f>IFERROR(INDEX('Both teabags AfterDry'!$D$2:$D$2000,MATCH(K499,'Both teabags AfterDry'!$A$2:$A$2000,0)),"")</f>
        <v>1.9036</v>
      </c>
      <c r="Q499" s="264">
        <f>IFERROR(IF(P499&gt;0,P499-(TBIcalc!$Q$9),""),"")</f>
        <v>1.7529999999999999</v>
      </c>
      <c r="R499" s="275">
        <f>IFERROR(INDEX('Ashed teabags dry'!$K$2:$K$2000,MATCH(K499,'Ashed teabags dry'!$A$2:$A$2000,0)),"")</f>
        <v>6.5088757396447594</v>
      </c>
      <c r="S499" s="275">
        <f t="shared" si="37"/>
        <v>1.6388994082840274</v>
      </c>
      <c r="T499" s="265">
        <f>IF('Dry_Litterbag Placem_Collection'!E60="","",'Dry_Litterbag Placem_Collection'!E60)</f>
        <v>42938</v>
      </c>
      <c r="U499" s="265">
        <f>IF('Dry_Litterbag Placem_Collection'!G60="","",'Dry_Litterbag Placem_Collection'!G60)</f>
        <v>43005</v>
      </c>
      <c r="V499" s="266">
        <f t="shared" si="35"/>
        <v>67</v>
      </c>
      <c r="W499" s="264">
        <f t="shared" si="38"/>
        <v>9.2200000000000282E-2</v>
      </c>
      <c r="X499" s="264">
        <f t="shared" si="39"/>
        <v>0.10454213544634139</v>
      </c>
      <c r="Y499" s="268">
        <f>IFERROR(INDEX(Rainfall_Dry!$O$2:$O$217,MATCH(B499, Rainfall_Dry!$A$2:$A$217,0)),"")</f>
        <v>6.5250000359999998</v>
      </c>
      <c r="Z499" s="257">
        <v>25.96</v>
      </c>
      <c r="AA499" s="257">
        <v>6.9200000000000008</v>
      </c>
      <c r="AB499" s="257">
        <v>67.12</v>
      </c>
      <c r="AC499" s="258" t="s">
        <v>2654</v>
      </c>
      <c r="AD499" s="257">
        <v>1.7568260226712666</v>
      </c>
      <c r="AE499">
        <f>IF('WetLitterbags placem_collection'!AB60="","",'WetLitterbags placem_collection'!AB60)</f>
        <v>1.4</v>
      </c>
      <c r="AF499">
        <f>IF('WetLitterbags placem_collection'!Z60="","",'WetLitterbags placem_collection'!Z60)</f>
        <v>54.4</v>
      </c>
      <c r="AG499" s="243" t="str">
        <f>IF('WetLitterbags placem_collection'!AA60="","",'WetLitterbags placem_collection'!AA60)</f>
        <v>O</v>
      </c>
      <c r="AH499">
        <f>IF('WetLitterbags placem_collection'!AC60="","",'WetLitterbags placem_collection'!AC60)</f>
        <v>0</v>
      </c>
      <c r="AI499">
        <f>IFERROR(AVERAGE('Dry_Litterbag Placem_Collection'!O60,'Dry_Litterbag Placem_Collection'!R60),"")</f>
        <v>5.7</v>
      </c>
      <c r="AJ499" s="268">
        <f>IFERROR(AVERAGE('Dry_Litterbag Placem_Collection'!N60,'Dry_Litterbag Placem_Collection'!Q60),"")</f>
        <v>32.35</v>
      </c>
      <c r="AK499" s="267">
        <f>INDEX(Coordinates!$B$2:$B$197,MATCH(H499,Coordinates!$J$2:$J$197,0))</f>
        <v>-3.4065020079999999</v>
      </c>
      <c r="AL499" s="267">
        <f>INDEX(Coordinates!$C$2:$C$197,MATCH(H499,Coordinates!$J$2:$J$197,0))</f>
        <v>34.851056020000001</v>
      </c>
      <c r="AM499" s="267" t="str">
        <f>IF(ISNUMBER(SEARCH("C", 'Dry_Litterbag Placem_Collection'!U60)),"YES","NO")</f>
        <v>NO</v>
      </c>
      <c r="AN499" s="267" t="str">
        <f>IF(ISNUMBER(SEARCH("H", 'Dry_Litterbag Placem_Collection'!U60)),"YES","NO")</f>
        <v>NO</v>
      </c>
      <c r="AO499" s="267" t="str">
        <f>IF(ISNUMBER(SEARCH("R", 'Dry_Litterbag Placem_Collection'!U60)),"YES","NO")</f>
        <v>NO</v>
      </c>
    </row>
    <row r="500" spans="1:41" ht="15" customHeight="1">
      <c r="A500" s="259" t="s">
        <v>2643</v>
      </c>
      <c r="B500" s="260">
        <f>'Dry_Litterbag Placem_Collection'!A61</f>
        <v>59</v>
      </c>
      <c r="C500" s="260" t="str">
        <f>'Dry_Litterbag Placem_Collection'!B61</f>
        <v>Makao</v>
      </c>
      <c r="D500" s="260" t="s">
        <v>2643</v>
      </c>
      <c r="E500" s="260" t="s">
        <v>20</v>
      </c>
      <c r="F500" s="260">
        <v>4</v>
      </c>
      <c r="G500" s="260" t="s">
        <v>3809</v>
      </c>
      <c r="H500" s="261" t="str">
        <f>'Dry_Litterbag Placem_Collection'!C61</f>
        <v>Dry_P4_T3</v>
      </c>
      <c r="I500" s="270" t="s">
        <v>3630</v>
      </c>
      <c r="J500" s="263" t="s">
        <v>1147</v>
      </c>
      <c r="K500" s="260" t="str">
        <f>IF(ISBLANK('Dry_Litterbag Placem_Collection'!L61),"","G"&amp;""&amp;'Dry_Litterbag Placem_Collection'!L61)</f>
        <v>G558</v>
      </c>
      <c r="L500" s="264">
        <f>IFERROR(INDEX('Green_rooibos initial weight'!$C$5:$C$2000,MATCH(K500, 'Green_rooibos initial weight'!$A$5:$A$2000,0)),"")</f>
        <v>2.1789999999999998</v>
      </c>
      <c r="M500" s="264">
        <f>IFERROR(L500-(TBIcalc!$Q$9+TBIcalc!$Q$10),"")</f>
        <v>1.9291999999999998</v>
      </c>
      <c r="N500" s="385">
        <f>AVERAGE(Ashed_controlls!$K$2:$K$11)</f>
        <v>5.5147656768714146</v>
      </c>
      <c r="O500" s="264">
        <f t="shared" si="36"/>
        <v>1.8228091405617965</v>
      </c>
      <c r="P500" s="264">
        <f>IFERROR(INDEX('Both teabags AfterDry'!$D$2:$D$2000,MATCH(K500,'Both teabags AfterDry'!$A$2:$A$2000,0)),"")</f>
        <v>1.9415</v>
      </c>
      <c r="Q500" s="264">
        <f>IFERROR(IF(P500&gt;0,P500-(TBIcalc!$Q$9),""),"")</f>
        <v>1.7908999999999999</v>
      </c>
      <c r="R500" s="275">
        <f>IFERROR(INDEX('Ashed teabags dry'!$K$2:$K$2000,MATCH(K500,'Ashed teabags dry'!$A$2:$A$2000,0)),"")</f>
        <v>5.6511056511055608</v>
      </c>
      <c r="S500" s="275">
        <f t="shared" si="37"/>
        <v>1.6896943488943506</v>
      </c>
      <c r="T500" s="265">
        <f>IF('Dry_Litterbag Placem_Collection'!E61="","",'Dry_Litterbag Placem_Collection'!E61)</f>
        <v>42938</v>
      </c>
      <c r="U500" s="265">
        <f>IF('Dry_Litterbag Placem_Collection'!G61="","",'Dry_Litterbag Placem_Collection'!G61)</f>
        <v>43005</v>
      </c>
      <c r="V500" s="266">
        <f t="shared" si="35"/>
        <v>67</v>
      </c>
      <c r="W500" s="264">
        <f t="shared" si="38"/>
        <v>0.13829999999999987</v>
      </c>
      <c r="X500" s="264">
        <f t="shared" si="39"/>
        <v>0.133114791667446</v>
      </c>
      <c r="Y500" s="268">
        <f>IFERROR(INDEX(Rainfall_Dry!$O$2:$O$217,MATCH(B500, Rainfall_Dry!$A$2:$A$217,0)),"")</f>
        <v>6.5250000359999998</v>
      </c>
      <c r="Z500" s="257">
        <v>25.96</v>
      </c>
      <c r="AA500" s="257">
        <v>6.9200000000000008</v>
      </c>
      <c r="AB500" s="257">
        <v>67.12</v>
      </c>
      <c r="AC500" s="258" t="s">
        <v>2654</v>
      </c>
      <c r="AD500" s="257">
        <v>1.7568260226712666</v>
      </c>
      <c r="AE500">
        <f>IF('WetLitterbags placem_collection'!AB61="","",'WetLitterbags placem_collection'!AB61)</f>
        <v>3.3</v>
      </c>
      <c r="AF500">
        <f>IF('WetLitterbags placem_collection'!Z61="","",'WetLitterbags placem_collection'!Z61)</f>
        <v>46</v>
      </c>
      <c r="AG500" s="243" t="str">
        <f>IF('WetLitterbags placem_collection'!AA61="","",'WetLitterbags placem_collection'!AA61)</f>
        <v>O</v>
      </c>
      <c r="AH500">
        <f>IF('WetLitterbags placem_collection'!AC61="","",'WetLitterbags placem_collection'!AC61)</f>
        <v>0</v>
      </c>
      <c r="AI500">
        <f>IFERROR(AVERAGE('Dry_Litterbag Placem_Collection'!O61,'Dry_Litterbag Placem_Collection'!R61),"")</f>
        <v>7.6999999999999993</v>
      </c>
      <c r="AJ500" s="268">
        <f>IFERROR(AVERAGE('Dry_Litterbag Placem_Collection'!N61,'Dry_Litterbag Placem_Collection'!Q61),"")</f>
        <v>31.8</v>
      </c>
      <c r="AK500" s="267">
        <f>INDEX(Coordinates!$B$2:$B$197,MATCH(H500,Coordinates!$J$2:$J$197,0))</f>
        <v>-3.4062359670000002</v>
      </c>
      <c r="AL500" s="267">
        <f>INDEX(Coordinates!$C$2:$C$197,MATCH(H500,Coordinates!$J$2:$J$197,0))</f>
        <v>34.851107990000003</v>
      </c>
      <c r="AM500" s="267" t="str">
        <f>IF(ISNUMBER(SEARCH("C", 'Dry_Litterbag Placem_Collection'!U61)),"YES","NO")</f>
        <v>NO</v>
      </c>
      <c r="AN500" s="267" t="str">
        <f>IF(ISNUMBER(SEARCH("H", 'Dry_Litterbag Placem_Collection'!U61)),"YES","NO")</f>
        <v>NO</v>
      </c>
      <c r="AO500" s="267" t="str">
        <f>IF(ISNUMBER(SEARCH("R", 'Dry_Litterbag Placem_Collection'!U61)),"YES","NO")</f>
        <v>NO</v>
      </c>
    </row>
    <row r="501" spans="1:41" ht="15" customHeight="1">
      <c r="A501" s="259" t="s">
        <v>2643</v>
      </c>
      <c r="B501" s="260">
        <f>'Dry_Litterbag Placem_Collection'!A62</f>
        <v>60</v>
      </c>
      <c r="C501" s="260" t="str">
        <f>'Dry_Litterbag Placem_Collection'!B62</f>
        <v>Makao</v>
      </c>
      <c r="D501" s="260" t="s">
        <v>2643</v>
      </c>
      <c r="E501" s="260" t="s">
        <v>20</v>
      </c>
      <c r="F501" s="260">
        <v>4</v>
      </c>
      <c r="G501" s="260" t="s">
        <v>3809</v>
      </c>
      <c r="H501" s="261" t="str">
        <f>'Dry_Litterbag Placem_Collection'!C62</f>
        <v>Dry_P4_T4</v>
      </c>
      <c r="I501" s="270" t="s">
        <v>3630</v>
      </c>
      <c r="J501" s="263" t="s">
        <v>1147</v>
      </c>
      <c r="K501" s="260" t="str">
        <f>IF(ISBLANK('Dry_Litterbag Placem_Collection'!L62),"","G"&amp;""&amp;'Dry_Litterbag Placem_Collection'!L62)</f>
        <v>G751</v>
      </c>
      <c r="L501" s="264">
        <f>IFERROR(INDEX('Green_rooibos initial weight'!$C$5:$C$2000,MATCH(K501, 'Green_rooibos initial weight'!$A$5:$A$2000,0)),"")</f>
        <v>2.0750000000000002</v>
      </c>
      <c r="M501" s="264">
        <f>IFERROR(L501-(TBIcalc!$Q$9+TBIcalc!$Q$10),"")</f>
        <v>1.8252000000000002</v>
      </c>
      <c r="N501" s="385">
        <f>AVERAGE(Ashed_controlls!$K$2:$K$11)</f>
        <v>5.5147656768714146</v>
      </c>
      <c r="O501" s="264">
        <f t="shared" si="36"/>
        <v>1.7245444968657431</v>
      </c>
      <c r="P501" s="264" t="str">
        <f>IFERROR(INDEX('Both teabags AfterDry'!$D$2:$D$2000,MATCH(K501,'Both teabags AfterDry'!$A$2:$A$2000,0)),"")</f>
        <v/>
      </c>
      <c r="Q501" s="264" t="str">
        <f>IFERROR(IF(P501&gt;0,P501-(TBIcalc!$Q$9),""),"")</f>
        <v/>
      </c>
      <c r="R501" s="275" t="str">
        <f>IFERROR(INDEX('Ashed teabags dry'!$K$2:$K$2000,MATCH(K501,'Ashed teabags dry'!$A$2:$A$2000,0)),"")</f>
        <v/>
      </c>
      <c r="S501" s="275" t="str">
        <f t="shared" si="37"/>
        <v/>
      </c>
      <c r="T501" s="265">
        <f>IF('Dry_Litterbag Placem_Collection'!E62="","",'Dry_Litterbag Placem_Collection'!E62)</f>
        <v>42938</v>
      </c>
      <c r="U501" s="265">
        <f>IF('Dry_Litterbag Placem_Collection'!G62="","",'Dry_Litterbag Placem_Collection'!G62)</f>
        <v>43005</v>
      </c>
      <c r="V501" s="266">
        <f t="shared" si="35"/>
        <v>67</v>
      </c>
      <c r="W501" s="264" t="str">
        <f t="shared" si="38"/>
        <v/>
      </c>
      <c r="X501" s="264" t="str">
        <f t="shared" si="39"/>
        <v/>
      </c>
      <c r="Y501" s="268">
        <f>IFERROR(INDEX(Rainfall_Dry!$O$2:$O$217,MATCH(B501, Rainfall_Dry!$A$2:$A$217,0)),"")</f>
        <v>6.5250000359999998</v>
      </c>
      <c r="Z501" s="257">
        <v>25.96</v>
      </c>
      <c r="AA501" s="257">
        <v>6.9200000000000008</v>
      </c>
      <c r="AB501" s="257">
        <v>67.12</v>
      </c>
      <c r="AC501" s="258" t="s">
        <v>2654</v>
      </c>
      <c r="AD501" s="257">
        <v>1.7568260226712666</v>
      </c>
      <c r="AE501">
        <f>IF('WetLitterbags placem_collection'!AB62="","",'WetLitterbags placem_collection'!AB62)</f>
        <v>2.4</v>
      </c>
      <c r="AF501">
        <f>IF('WetLitterbags placem_collection'!Z62="","",'WetLitterbags placem_collection'!Z62)</f>
        <v>10.199999999999999</v>
      </c>
      <c r="AG501" s="243" t="str">
        <f>IF('WetLitterbags placem_collection'!AA62="","",'WetLitterbags placem_collection'!AA62)</f>
        <v>O</v>
      </c>
      <c r="AH501">
        <f>IF('WetLitterbags placem_collection'!AC62="","",'WetLitterbags placem_collection'!AC62)</f>
        <v>0</v>
      </c>
      <c r="AI501">
        <f>IFERROR(AVERAGE('Dry_Litterbag Placem_Collection'!O62,'Dry_Litterbag Placem_Collection'!R62),"")</f>
        <v>5.65</v>
      </c>
      <c r="AJ501" s="268">
        <f>IFERROR(AVERAGE('Dry_Litterbag Placem_Collection'!N62,'Dry_Litterbag Placem_Collection'!Q62),"")</f>
        <v>32.650000000000006</v>
      </c>
      <c r="AK501" s="267">
        <f>INDEX(Coordinates!$B$2:$B$197,MATCH(H501,Coordinates!$J$2:$J$197,0))</f>
        <v>-3.406281983</v>
      </c>
      <c r="AL501" s="267">
        <f>INDEX(Coordinates!$C$2:$C$197,MATCH(H501,Coordinates!$J$2:$J$197,0))</f>
        <v>34.85137898</v>
      </c>
      <c r="AM501" s="267" t="str">
        <f>IF(ISNUMBER(SEARCH("C", 'Dry_Litterbag Placem_Collection'!U62)),"YES","NO")</f>
        <v>NO</v>
      </c>
      <c r="AN501" s="267" t="str">
        <f>IF(ISNUMBER(SEARCH("H", 'Dry_Litterbag Placem_Collection'!U62)),"YES","NO")</f>
        <v>NO</v>
      </c>
      <c r="AO501" s="267" t="str">
        <f>IF(ISNUMBER(SEARCH("R", 'Dry_Litterbag Placem_Collection'!U62)),"YES","NO")</f>
        <v>NO</v>
      </c>
    </row>
    <row r="502" spans="1:41" ht="15" customHeight="1">
      <c r="A502" s="259" t="s">
        <v>2643</v>
      </c>
      <c r="B502" s="260">
        <f>'Dry_Litterbag Placem_Collection'!A63</f>
        <v>61</v>
      </c>
      <c r="C502" s="260" t="str">
        <f>'Dry_Litterbag Placem_Collection'!B63</f>
        <v>Makao</v>
      </c>
      <c r="D502" s="260" t="s">
        <v>2643</v>
      </c>
      <c r="E502" s="260" t="s">
        <v>20</v>
      </c>
      <c r="F502" s="260">
        <v>4</v>
      </c>
      <c r="G502" s="260" t="s">
        <v>3809</v>
      </c>
      <c r="H502" s="261" t="str">
        <f>'Dry_Litterbag Placem_Collection'!C63</f>
        <v>Dry_P4_T5</v>
      </c>
      <c r="I502" s="270" t="s">
        <v>3630</v>
      </c>
      <c r="J502" s="263" t="s">
        <v>1147</v>
      </c>
      <c r="K502" s="260" t="str">
        <f>IF(ISBLANK('Dry_Litterbag Placem_Collection'!L63),"","G"&amp;""&amp;'Dry_Litterbag Placem_Collection'!L63)</f>
        <v>G748</v>
      </c>
      <c r="L502" s="264">
        <f>IFERROR(INDEX('Green_rooibos initial weight'!$C$5:$C$2000,MATCH(K502, 'Green_rooibos initial weight'!$A$5:$A$2000,0)),"")</f>
        <v>2.081</v>
      </c>
      <c r="M502" s="264">
        <f>IFERROR(L502-(TBIcalc!$Q$9+TBIcalc!$Q$10),"")</f>
        <v>1.8311999999999999</v>
      </c>
      <c r="N502" s="385">
        <f>AVERAGE(Ashed_controlls!$K$2:$K$11)</f>
        <v>5.5147656768714146</v>
      </c>
      <c r="O502" s="264">
        <f t="shared" si="36"/>
        <v>1.7302136109251305</v>
      </c>
      <c r="P502" s="264" t="str">
        <f>IFERROR(INDEX('Both teabags AfterDry'!$D$2:$D$2000,MATCH(K502,'Both teabags AfterDry'!$A$2:$A$2000,0)),"")</f>
        <v/>
      </c>
      <c r="Q502" s="264" t="str">
        <f>IFERROR(IF(P502&gt;0,P502-(TBIcalc!$Q$9),""),"")</f>
        <v/>
      </c>
      <c r="R502" s="275" t="str">
        <f>IFERROR(INDEX('Ashed teabags dry'!$K$2:$K$2000,MATCH(K502,'Ashed teabags dry'!$A$2:$A$2000,0)),"")</f>
        <v/>
      </c>
      <c r="S502" s="275" t="str">
        <f t="shared" si="37"/>
        <v/>
      </c>
      <c r="T502" s="265">
        <f>IF('Dry_Litterbag Placem_Collection'!E63="","",'Dry_Litterbag Placem_Collection'!E63)</f>
        <v>42938</v>
      </c>
      <c r="U502" s="265">
        <f>IF('Dry_Litterbag Placem_Collection'!G63="","",'Dry_Litterbag Placem_Collection'!G63)</f>
        <v>43005</v>
      </c>
      <c r="V502" s="266">
        <f t="shared" si="35"/>
        <v>67</v>
      </c>
      <c r="W502" s="264" t="str">
        <f t="shared" si="38"/>
        <v/>
      </c>
      <c r="X502" s="264" t="str">
        <f t="shared" si="39"/>
        <v/>
      </c>
      <c r="Y502" s="268">
        <f>IFERROR(INDEX(Rainfall_Dry!$O$2:$O$217,MATCH(B502, Rainfall_Dry!$A$2:$A$217,0)),"")</f>
        <v>6.5250000359999998</v>
      </c>
      <c r="Z502" s="257">
        <v>25.96</v>
      </c>
      <c r="AA502" s="257">
        <v>6.9200000000000008</v>
      </c>
      <c r="AB502" s="257">
        <v>67.12</v>
      </c>
      <c r="AC502" s="258" t="s">
        <v>2654</v>
      </c>
      <c r="AD502" s="257">
        <v>1.7568260226712666</v>
      </c>
      <c r="AE502">
        <f>IF('WetLitterbags placem_collection'!AB63="","",'WetLitterbags placem_collection'!AB63)</f>
        <v>5.6</v>
      </c>
      <c r="AF502">
        <f>IF('WetLitterbags placem_collection'!Z63="","",'WetLitterbags placem_collection'!Z63)</f>
        <v>34.200000000000003</v>
      </c>
      <c r="AG502" s="243" t="str">
        <f>IF('WetLitterbags placem_collection'!AA63="","",'WetLitterbags placem_collection'!AA63)</f>
        <v>O</v>
      </c>
      <c r="AH502">
        <f>IF('WetLitterbags placem_collection'!AC63="","",'WetLitterbags placem_collection'!AC63)</f>
        <v>0</v>
      </c>
      <c r="AI502">
        <f>IFERROR(AVERAGE('Dry_Litterbag Placem_Collection'!O63,'Dry_Litterbag Placem_Collection'!R63),"")</f>
        <v>4.5</v>
      </c>
      <c r="AJ502" s="268">
        <f>IFERROR(AVERAGE('Dry_Litterbag Placem_Collection'!N63,'Dry_Litterbag Placem_Collection'!Q63),"")</f>
        <v>34</v>
      </c>
      <c r="AK502" s="267">
        <f>INDEX(Coordinates!$B$2:$B$197,MATCH(H502,Coordinates!$J$2:$J$197,0))</f>
        <v>-3.406569986</v>
      </c>
      <c r="AL502" s="267">
        <f>INDEX(Coordinates!$C$2:$C$197,MATCH(H502,Coordinates!$J$2:$J$197,0))</f>
        <v>34.851323989999997</v>
      </c>
      <c r="AM502" s="267" t="str">
        <f>IF(ISNUMBER(SEARCH("C", 'Dry_Litterbag Placem_Collection'!U63)),"YES","NO")</f>
        <v>NO</v>
      </c>
      <c r="AN502" s="267" t="str">
        <f>IF(ISNUMBER(SEARCH("H", 'Dry_Litterbag Placem_Collection'!U63)),"YES","NO")</f>
        <v>NO</v>
      </c>
      <c r="AO502" s="267" t="str">
        <f>IF(ISNUMBER(SEARCH("R", 'Dry_Litterbag Placem_Collection'!U63)),"YES","NO")</f>
        <v>NO</v>
      </c>
    </row>
    <row r="503" spans="1:41" ht="15" customHeight="1">
      <c r="A503" s="259" t="s">
        <v>2643</v>
      </c>
      <c r="B503" s="260">
        <f>'Dry_Litterbag Placem_Collection'!A64</f>
        <v>62</v>
      </c>
      <c r="C503" s="260" t="str">
        <f>'Dry_Litterbag Placem_Collection'!B64</f>
        <v>Makao</v>
      </c>
      <c r="D503" s="260" t="s">
        <v>2643</v>
      </c>
      <c r="E503" s="260" t="s">
        <v>20</v>
      </c>
      <c r="F503" s="260">
        <v>4</v>
      </c>
      <c r="G503" s="260" t="s">
        <v>3809</v>
      </c>
      <c r="H503" s="261" t="str">
        <f>'Dry_Litterbag Placem_Collection'!C64</f>
        <v>Dry_P4_T6</v>
      </c>
      <c r="I503" s="270" t="s">
        <v>3630</v>
      </c>
      <c r="J503" s="263" t="s">
        <v>1147</v>
      </c>
      <c r="K503" s="260" t="str">
        <f>IF(ISBLANK('Dry_Litterbag Placem_Collection'!L64),"","G"&amp;""&amp;'Dry_Litterbag Placem_Collection'!L64)</f>
        <v/>
      </c>
      <c r="L503" s="264" t="str">
        <f>IFERROR(INDEX('Green_rooibos initial weight'!$C$5:$C$2000,MATCH(K503, 'Green_rooibos initial weight'!$A$5:$A$2000,0)),"")</f>
        <v/>
      </c>
      <c r="M503" s="264" t="str">
        <f>IFERROR(L503-(TBIcalc!$Q$9+TBIcalc!$Q$10),"")</f>
        <v/>
      </c>
      <c r="N503" s="385">
        <f>AVERAGE(Ashed_controlls!$K$2:$K$11)</f>
        <v>5.5147656768714146</v>
      </c>
      <c r="O503" s="264" t="str">
        <f t="shared" si="36"/>
        <v/>
      </c>
      <c r="P503" s="264" t="str">
        <f>IFERROR(INDEX('Both teabags AfterDry'!$D$2:$D$2000,MATCH(K503,'Both teabags AfterDry'!$A$2:$A$2000,0)),"")</f>
        <v/>
      </c>
      <c r="Q503" s="264" t="str">
        <f>IFERROR(IF(P503&gt;0,P503-(TBIcalc!$Q$9),""),"")</f>
        <v/>
      </c>
      <c r="R503" s="275" t="str">
        <f>IFERROR(INDEX('Ashed teabags dry'!$K$2:$K$2000,MATCH(K503,'Ashed teabags dry'!$A$2:$A$2000,0)),"")</f>
        <v/>
      </c>
      <c r="S503" s="275" t="str">
        <f t="shared" si="37"/>
        <v/>
      </c>
      <c r="T503" s="265" t="str">
        <f>IF('Dry_Litterbag Placem_Collection'!E64="","",'Dry_Litterbag Placem_Collection'!E64)</f>
        <v/>
      </c>
      <c r="U503" s="265" t="str">
        <f>IF('Dry_Litterbag Placem_Collection'!G64="","",'Dry_Litterbag Placem_Collection'!G64)</f>
        <v/>
      </c>
      <c r="V503" s="266" t="str">
        <f t="shared" si="35"/>
        <v/>
      </c>
      <c r="W503" s="264" t="str">
        <f t="shared" si="38"/>
        <v/>
      </c>
      <c r="X503" s="264" t="str">
        <f t="shared" si="39"/>
        <v/>
      </c>
      <c r="Y503" s="268" t="str">
        <f>IFERROR(INDEX(Rainfall_Dry!$O$2:$O$217,MATCH(B503, Rainfall_Dry!$A$2:$A$217,0)),"")</f>
        <v/>
      </c>
      <c r="Z503" s="257">
        <v>25.96</v>
      </c>
      <c r="AA503" s="257">
        <v>6.9200000000000008</v>
      </c>
      <c r="AB503" s="257">
        <v>67.12</v>
      </c>
      <c r="AC503" s="258" t="s">
        <v>2654</v>
      </c>
      <c r="AD503" s="257">
        <v>1.7568260226712666</v>
      </c>
      <c r="AE503">
        <f>IF('WetLitterbags placem_collection'!AB64="","",'WetLitterbags placem_collection'!AB64)</f>
        <v>4.2</v>
      </c>
      <c r="AF503">
        <f>IF('WetLitterbags placem_collection'!Z64="","",'WetLitterbags placem_collection'!Z64)</f>
        <v>40.4</v>
      </c>
      <c r="AG503" s="243" t="str">
        <f>IF('WetLitterbags placem_collection'!AA64="","",'WetLitterbags placem_collection'!AA64)</f>
        <v>O</v>
      </c>
      <c r="AH503">
        <f>IF('WetLitterbags placem_collection'!AC64="","",'WetLitterbags placem_collection'!AC64)</f>
        <v>0</v>
      </c>
      <c r="AI503" t="str">
        <f>IFERROR(AVERAGE('Dry_Litterbag Placem_Collection'!O64,'Dry_Litterbag Placem_Collection'!R64),"")</f>
        <v/>
      </c>
      <c r="AJ503" s="268" t="str">
        <f>IFERROR(AVERAGE('Dry_Litterbag Placem_Collection'!N64,'Dry_Litterbag Placem_Collection'!Q64),"")</f>
        <v/>
      </c>
      <c r="AK503" s="267">
        <f>INDEX(Coordinates!$B$2:$B$197,MATCH(H503,Coordinates!$J$2:$J$197,0))</f>
        <v>-3.4065180179999999</v>
      </c>
      <c r="AL503" s="267">
        <f>INDEX(Coordinates!$C$2:$C$197,MATCH(H503,Coordinates!$J$2:$J$197,0))</f>
        <v>34.85121402</v>
      </c>
      <c r="AM503" s="267" t="str">
        <f>IF(ISNUMBER(SEARCH("C", 'Dry_Litterbag Placem_Collection'!U64)),"YES","NO")</f>
        <v>NO</v>
      </c>
      <c r="AN503" s="267" t="str">
        <f>IF(ISNUMBER(SEARCH("H", 'Dry_Litterbag Placem_Collection'!U64)),"YES","NO")</f>
        <v>NO</v>
      </c>
      <c r="AO503" s="267" t="str">
        <f>IF(ISNUMBER(SEARCH("R", 'Dry_Litterbag Placem_Collection'!U64)),"YES","NO")</f>
        <v>NO</v>
      </c>
    </row>
    <row r="504" spans="1:41" ht="15" customHeight="1">
      <c r="A504" s="259" t="s">
        <v>2643</v>
      </c>
      <c r="B504" s="260">
        <f>'Dry_Litterbag Placem_Collection'!A65</f>
        <v>63</v>
      </c>
      <c r="C504" s="260" t="str">
        <f>'Dry_Litterbag Placem_Collection'!B65</f>
        <v>Makao</v>
      </c>
      <c r="D504" s="260" t="s">
        <v>2643</v>
      </c>
      <c r="E504" s="260" t="s">
        <v>20</v>
      </c>
      <c r="F504" s="260">
        <v>4</v>
      </c>
      <c r="G504" s="260" t="s">
        <v>3809</v>
      </c>
      <c r="H504" s="261" t="str">
        <f>'Dry_Litterbag Placem_Collection'!C65</f>
        <v>Dry_P4_T7</v>
      </c>
      <c r="I504" s="270" t="s">
        <v>3630</v>
      </c>
      <c r="J504" s="263" t="s">
        <v>1147</v>
      </c>
      <c r="K504" s="260" t="str">
        <f>IF(ISBLANK('Dry_Litterbag Placem_Collection'!L65),"","G"&amp;""&amp;'Dry_Litterbag Placem_Collection'!L65)</f>
        <v>G629</v>
      </c>
      <c r="L504" s="264">
        <f>IFERROR(INDEX('Green_rooibos initial weight'!$C$5:$C$2000,MATCH(K504, 'Green_rooibos initial weight'!$A$5:$A$2000,0)),"")</f>
        <v>1.978</v>
      </c>
      <c r="M504" s="264">
        <f>IFERROR(L504-(TBIcalc!$Q$9+TBIcalc!$Q$10),"")</f>
        <v>1.7282</v>
      </c>
      <c r="N504" s="385">
        <f>AVERAGE(Ashed_controlls!$K$2:$K$11)</f>
        <v>5.5147656768714146</v>
      </c>
      <c r="O504" s="264">
        <f t="shared" si="36"/>
        <v>1.6328938195723082</v>
      </c>
      <c r="P504" s="264">
        <f>IFERROR(INDEX('Both teabags AfterDry'!$D$2:$D$2000,MATCH(K504,'Both teabags AfterDry'!$A$2:$A$2000,0)),"")</f>
        <v>1.8411</v>
      </c>
      <c r="Q504" s="264">
        <f>IFERROR(IF(P504&gt;0,P504-(TBIcalc!$Q$9),""),"")</f>
        <v>1.6904999999999999</v>
      </c>
      <c r="R504" s="275">
        <f>IFERROR(INDEX('Ashed teabags dry'!$K$2:$K$2000,MATCH(K504,'Ashed teabags dry'!$A$2:$A$2000,0)),"")</f>
        <v>5.6801195814651884</v>
      </c>
      <c r="S504" s="275">
        <f t="shared" si="37"/>
        <v>1.5944775784753309</v>
      </c>
      <c r="T504" s="265">
        <f>IF('Dry_Litterbag Placem_Collection'!E65="","",'Dry_Litterbag Placem_Collection'!E65)</f>
        <v>42938</v>
      </c>
      <c r="U504" s="265">
        <f>IF('Dry_Litterbag Placem_Collection'!G65="","",'Dry_Litterbag Placem_Collection'!G65)</f>
        <v>43005</v>
      </c>
      <c r="V504" s="266">
        <f t="shared" si="35"/>
        <v>67</v>
      </c>
      <c r="W504" s="264">
        <f t="shared" si="38"/>
        <v>3.7700000000000067E-2</v>
      </c>
      <c r="X504" s="264">
        <f t="shared" si="39"/>
        <v>3.8416241096977277E-2</v>
      </c>
      <c r="Y504" s="268">
        <f>IFERROR(INDEX(Rainfall_Dry!$O$2:$O$217,MATCH(B504, Rainfall_Dry!$A$2:$A$217,0)),"")</f>
        <v>6.5250000359999998</v>
      </c>
      <c r="Z504" s="257">
        <v>25.96</v>
      </c>
      <c r="AA504" s="257">
        <v>6.9200000000000008</v>
      </c>
      <c r="AB504" s="257">
        <v>67.12</v>
      </c>
      <c r="AC504" s="258" t="s">
        <v>2654</v>
      </c>
      <c r="AD504" s="257">
        <v>1.7568260226712666</v>
      </c>
      <c r="AE504">
        <f>IF('WetLitterbags placem_collection'!AB65="","",'WetLitterbags placem_collection'!AB65)</f>
        <v>4.9000000000000004</v>
      </c>
      <c r="AF504">
        <f>IF('WetLitterbags placem_collection'!Z65="","",'WetLitterbags placem_collection'!Z65)</f>
        <v>45</v>
      </c>
      <c r="AG504" s="243" t="str">
        <f>IF('WetLitterbags placem_collection'!AA65="","",'WetLitterbags placem_collection'!AA65)</f>
        <v>O</v>
      </c>
      <c r="AH504">
        <f>IF('WetLitterbags placem_collection'!AC65="","",'WetLitterbags placem_collection'!AC65)</f>
        <v>0</v>
      </c>
      <c r="AI504">
        <f>IFERROR(AVERAGE('Dry_Litterbag Placem_Collection'!O65,'Dry_Litterbag Placem_Collection'!R65),"")</f>
        <v>4.75</v>
      </c>
      <c r="AJ504" s="268">
        <f>IFERROR(AVERAGE('Dry_Litterbag Placem_Collection'!N65,'Dry_Litterbag Placem_Collection'!Q65),"")</f>
        <v>31.3</v>
      </c>
      <c r="AK504" s="267">
        <f>INDEX(Coordinates!$B$2:$B$197,MATCH(H504,Coordinates!$J$2:$J$197,0))</f>
        <v>-3.406334035</v>
      </c>
      <c r="AL504" s="267">
        <f>INDEX(Coordinates!$C$2:$C$197,MATCH(H504,Coordinates!$J$2:$J$197,0))</f>
        <v>34.851172030000001</v>
      </c>
      <c r="AM504" s="267" t="str">
        <f>IF(ISNUMBER(SEARCH("C", 'Dry_Litterbag Placem_Collection'!U65)),"YES","NO")</f>
        <v>NO</v>
      </c>
      <c r="AN504" s="267" t="str">
        <f>IF(ISNUMBER(SEARCH("H", 'Dry_Litterbag Placem_Collection'!U65)),"YES","NO")</f>
        <v>NO</v>
      </c>
      <c r="AO504" s="267" t="str">
        <f>IF(ISNUMBER(SEARCH("R", 'Dry_Litterbag Placem_Collection'!U65)),"YES","NO")</f>
        <v>NO</v>
      </c>
    </row>
    <row r="505" spans="1:41" ht="15" customHeight="1">
      <c r="A505" s="259" t="s">
        <v>2643</v>
      </c>
      <c r="B505" s="260">
        <f>'Dry_Litterbag Placem_Collection'!A66</f>
        <v>64</v>
      </c>
      <c r="C505" s="260" t="str">
        <f>'Dry_Litterbag Placem_Collection'!B66</f>
        <v>Makao</v>
      </c>
      <c r="D505" s="260" t="s">
        <v>2643</v>
      </c>
      <c r="E505" s="260" t="s">
        <v>20</v>
      </c>
      <c r="F505" s="260">
        <v>4</v>
      </c>
      <c r="G505" s="260" t="s">
        <v>3809</v>
      </c>
      <c r="H505" s="261" t="str">
        <f>'Dry_Litterbag Placem_Collection'!C66</f>
        <v>Dry_P4_T8</v>
      </c>
      <c r="I505" s="270" t="s">
        <v>3630</v>
      </c>
      <c r="J505" s="263" t="s">
        <v>1147</v>
      </c>
      <c r="K505" s="260" t="str">
        <f>IF(ISBLANK('Dry_Litterbag Placem_Collection'!L66),"","G"&amp;""&amp;'Dry_Litterbag Placem_Collection'!L66)</f>
        <v>G84</v>
      </c>
      <c r="L505" s="264">
        <f>IFERROR(INDEX('Green_rooibos initial weight'!$C$5:$C$2000,MATCH(K505, 'Green_rooibos initial weight'!$A$5:$A$2000,0)),"")</f>
        <v>2.1259999999999999</v>
      </c>
      <c r="M505" s="264">
        <f>IFERROR(L505-(TBIcalc!$Q$9+TBIcalc!$Q$10),"")</f>
        <v>1.8761999999999999</v>
      </c>
      <c r="N505" s="385">
        <f>AVERAGE(Ashed_controlls!$K$2:$K$11)</f>
        <v>5.5147656768714146</v>
      </c>
      <c r="O505" s="264">
        <f t="shared" si="36"/>
        <v>1.7727319663705383</v>
      </c>
      <c r="P505" s="264">
        <f>IFERROR(INDEX('Both teabags AfterDry'!$D$2:$D$2000,MATCH(K505,'Both teabags AfterDry'!$A$2:$A$2000,0)),"")</f>
        <v>1.9314</v>
      </c>
      <c r="Q505" s="264">
        <f>IFERROR(IF(P505&gt;0,P505-(TBIcalc!$Q$9),""),"")</f>
        <v>1.7807999999999999</v>
      </c>
      <c r="R505" s="275">
        <f>IFERROR(INDEX('Ashed teabags dry'!$K$2:$K$2000,MATCH(K505,'Ashed teabags dry'!$A$2:$A$2000,0)),"")</f>
        <v>5.2683407188580818</v>
      </c>
      <c r="S505" s="275">
        <f t="shared" si="37"/>
        <v>1.6869813884785752</v>
      </c>
      <c r="T505" s="265">
        <f>IF('Dry_Litterbag Placem_Collection'!E66="","",'Dry_Litterbag Placem_Collection'!E66)</f>
        <v>42938</v>
      </c>
      <c r="U505" s="265">
        <f>IF('Dry_Litterbag Placem_Collection'!G66="","",'Dry_Litterbag Placem_Collection'!G66)</f>
        <v>43005</v>
      </c>
      <c r="V505" s="266">
        <f t="shared" si="35"/>
        <v>67</v>
      </c>
      <c r="W505" s="264">
        <f t="shared" si="38"/>
        <v>9.5399999999999929E-2</v>
      </c>
      <c r="X505" s="264">
        <f t="shared" si="39"/>
        <v>8.5750577891963164E-2</v>
      </c>
      <c r="Y505" s="268">
        <f>IFERROR(INDEX(Rainfall_Dry!$O$2:$O$217,MATCH(B505, Rainfall_Dry!$A$2:$A$217,0)),"")</f>
        <v>6.5250000359999998</v>
      </c>
      <c r="Z505" s="257">
        <v>25.96</v>
      </c>
      <c r="AA505" s="257">
        <v>6.9200000000000008</v>
      </c>
      <c r="AB505" s="257">
        <v>67.12</v>
      </c>
      <c r="AC505" s="258" t="s">
        <v>2654</v>
      </c>
      <c r="AD505" s="257">
        <v>1.7568260226712666</v>
      </c>
      <c r="AE505">
        <f>IF('WetLitterbags placem_collection'!AB66="","",'WetLitterbags placem_collection'!AB66)</f>
        <v>3</v>
      </c>
      <c r="AF505">
        <f>IF('WetLitterbags placem_collection'!Z66="","",'WetLitterbags placem_collection'!Z66)</f>
        <v>22.8</v>
      </c>
      <c r="AG505" s="243" t="str">
        <f>IF('WetLitterbags placem_collection'!AA66="","",'WetLitterbags placem_collection'!AA66)</f>
        <v>O</v>
      </c>
      <c r="AH505">
        <f>IF('WetLitterbags placem_collection'!AC66="","",'WetLitterbags placem_collection'!AC66)</f>
        <v>1</v>
      </c>
      <c r="AI505">
        <f>IFERROR(AVERAGE('Dry_Litterbag Placem_Collection'!O66,'Dry_Litterbag Placem_Collection'!R66),"")</f>
        <v>5.55</v>
      </c>
      <c r="AJ505" s="268">
        <f>IFERROR(AVERAGE('Dry_Litterbag Placem_Collection'!N66,'Dry_Litterbag Placem_Collection'!Q66),"")</f>
        <v>31.5</v>
      </c>
      <c r="AK505" s="267">
        <f>INDEX(Coordinates!$B$2:$B$197,MATCH(H505,Coordinates!$J$2:$J$197,0))</f>
        <v>-3.4063409920000001</v>
      </c>
      <c r="AL505" s="267">
        <f>INDEX(Coordinates!$C$2:$C$197,MATCH(H505,Coordinates!$J$2:$J$197,0))</f>
        <v>34.85126004</v>
      </c>
      <c r="AM505" s="267" t="str">
        <f>IF(ISNUMBER(SEARCH("C", 'Dry_Litterbag Placem_Collection'!U66)),"YES","NO")</f>
        <v>NO</v>
      </c>
      <c r="AN505" s="267" t="str">
        <f>IF(ISNUMBER(SEARCH("H", 'Dry_Litterbag Placem_Collection'!U66)),"YES","NO")</f>
        <v>NO</v>
      </c>
      <c r="AO505" s="267" t="str">
        <f>IF(ISNUMBER(SEARCH("R", 'Dry_Litterbag Placem_Collection'!U66)),"YES","NO")</f>
        <v>NO</v>
      </c>
    </row>
    <row r="506" spans="1:41" ht="15" customHeight="1">
      <c r="A506" s="259" t="s">
        <v>2643</v>
      </c>
      <c r="B506" s="260">
        <f>'Dry_Litterbag Placem_Collection'!A67</f>
        <v>65</v>
      </c>
      <c r="C506" s="260" t="str">
        <f>'Dry_Litterbag Placem_Collection'!B67</f>
        <v>Maswa</v>
      </c>
      <c r="D506" s="260" t="s">
        <v>2643</v>
      </c>
      <c r="E506" s="260" t="s">
        <v>2645</v>
      </c>
      <c r="F506" s="260">
        <v>1</v>
      </c>
      <c r="G506" s="260" t="s">
        <v>3810</v>
      </c>
      <c r="H506" s="261" t="str">
        <f>'Dry_Litterbag Placem_Collection'!C67</f>
        <v>Dry_W1_T1</v>
      </c>
      <c r="I506" s="270" t="s">
        <v>3630</v>
      </c>
      <c r="J506" s="263" t="s">
        <v>1147</v>
      </c>
      <c r="K506" s="260" t="str">
        <f>IF(ISBLANK('Dry_Litterbag Placem_Collection'!L67),"","G"&amp;""&amp;'Dry_Litterbag Placem_Collection'!L67)</f>
        <v>G586</v>
      </c>
      <c r="L506" s="264">
        <f>IFERROR(INDEX('Green_rooibos initial weight'!$C$5:$C$2000,MATCH(K506, 'Green_rooibos initial weight'!$A$5:$A$2000,0)),"")</f>
        <v>1.9590000000000001</v>
      </c>
      <c r="M506" s="264">
        <f>IFERROR(L506-(TBIcalc!$Q$9+TBIcalc!$Q$10),"")</f>
        <v>1.7092000000000001</v>
      </c>
      <c r="N506" s="385">
        <f>AVERAGE(Ashed_controlls!$K$2:$K$11)</f>
        <v>5.5147656768714146</v>
      </c>
      <c r="O506" s="264">
        <f t="shared" si="36"/>
        <v>1.6149416250509139</v>
      </c>
      <c r="P506" s="264" t="str">
        <f>IFERROR(INDEX('Both teabags AfterDry'!$D$2:$D$2000,MATCH(K506,'Both teabags AfterDry'!$A$2:$A$2000,0)),"")</f>
        <v/>
      </c>
      <c r="Q506" s="264" t="str">
        <f>IFERROR(IF(P506&gt;0,P506-(TBIcalc!$Q$9),""),"")</f>
        <v/>
      </c>
      <c r="R506" s="275" t="str">
        <f>IFERROR(INDEX('Ashed teabags dry'!$K$2:$K$2000,MATCH(K506,'Ashed teabags dry'!$A$2:$A$2000,0)),"")</f>
        <v/>
      </c>
      <c r="S506" s="275" t="str">
        <f t="shared" si="37"/>
        <v/>
      </c>
      <c r="T506" s="265">
        <f>IF('Dry_Litterbag Placem_Collection'!E67="","",'Dry_Litterbag Placem_Collection'!E67)</f>
        <v>42937</v>
      </c>
      <c r="U506" s="265">
        <f>IF('Dry_Litterbag Placem_Collection'!G67="","",'Dry_Litterbag Placem_Collection'!G67)</f>
        <v>43005</v>
      </c>
      <c r="V506" s="266">
        <f t="shared" si="35"/>
        <v>68</v>
      </c>
      <c r="W506" s="264" t="str">
        <f t="shared" si="38"/>
        <v/>
      </c>
      <c r="X506" s="264" t="str">
        <f t="shared" si="39"/>
        <v/>
      </c>
      <c r="Y506" s="268">
        <f>IFERROR(INDEX(Rainfall_Dry!$O$2:$O$217,MATCH(B506, Rainfall_Dry!$A$2:$A$217,0)),"")</f>
        <v>6.900000125</v>
      </c>
      <c r="Z506" s="257">
        <v>47.96</v>
      </c>
      <c r="AA506" s="257">
        <v>22.919999999999995</v>
      </c>
      <c r="AB506" s="257">
        <v>29.120000000000012</v>
      </c>
      <c r="AC506" s="258" t="s">
        <v>2657</v>
      </c>
      <c r="AD506" s="257">
        <v>2.8831936914736325</v>
      </c>
      <c r="AE506">
        <f>IF('WetLitterbags placem_collection'!AB67="","",'WetLitterbags placem_collection'!AB67)</f>
        <v>13.8</v>
      </c>
      <c r="AF506">
        <f>IF('WetLitterbags placem_collection'!Z67="","",'WetLitterbags placem_collection'!Z67)</f>
        <v>13.8</v>
      </c>
      <c r="AG506" s="243" t="str">
        <f>IF('WetLitterbags placem_collection'!AA67="","",'WetLitterbags placem_collection'!AA67)</f>
        <v>O</v>
      </c>
      <c r="AH506">
        <f>IF('WetLitterbags placem_collection'!AC67="","",'WetLitterbags placem_collection'!AC67)</f>
        <v>1</v>
      </c>
      <c r="AI506">
        <f>IFERROR(AVERAGE('Dry_Litterbag Placem_Collection'!O67,'Dry_Litterbag Placem_Collection'!R67),"")</f>
        <v>10.65</v>
      </c>
      <c r="AJ506" s="268">
        <f>IFERROR(AVERAGE('Dry_Litterbag Placem_Collection'!N67,'Dry_Litterbag Placem_Collection'!Q67),"")</f>
        <v>28</v>
      </c>
      <c r="AK506" s="267">
        <f>INDEX(Coordinates!$B$2:$B$197,MATCH(H506,Coordinates!$J$2:$J$197,0))</f>
        <v>-3.2993960379999998</v>
      </c>
      <c r="AL506" s="267">
        <f>INDEX(Coordinates!$C$2:$C$197,MATCH(H506,Coordinates!$J$2:$J$197,0))</f>
        <v>34.848240959999998</v>
      </c>
      <c r="AM506" s="267" t="str">
        <f>IF(ISNUMBER(SEARCH("C", 'Dry_Litterbag Placem_Collection'!U67)),"YES","NO")</f>
        <v>NO</v>
      </c>
      <c r="AN506" s="267" t="str">
        <f>IF(ISNUMBER(SEARCH("H", 'Dry_Litterbag Placem_Collection'!U67)),"YES","NO")</f>
        <v>NO</v>
      </c>
      <c r="AO506" s="267" t="str">
        <f>IF(ISNUMBER(SEARCH("R", 'Dry_Litterbag Placem_Collection'!U67)),"YES","NO")</f>
        <v>NO</v>
      </c>
    </row>
    <row r="507" spans="1:41" ht="15" customHeight="1">
      <c r="A507" s="259" t="s">
        <v>2643</v>
      </c>
      <c r="B507" s="260">
        <f>'Dry_Litterbag Placem_Collection'!A68</f>
        <v>66</v>
      </c>
      <c r="C507" s="260" t="str">
        <f>'Dry_Litterbag Placem_Collection'!B68</f>
        <v>Maswa</v>
      </c>
      <c r="D507" s="260" t="s">
        <v>2643</v>
      </c>
      <c r="E507" s="260" t="s">
        <v>2645</v>
      </c>
      <c r="F507" s="260">
        <v>1</v>
      </c>
      <c r="G507" s="260" t="s">
        <v>3810</v>
      </c>
      <c r="H507" s="261" t="str">
        <f>'Dry_Litterbag Placem_Collection'!C68</f>
        <v>Dry_W1_T2</v>
      </c>
      <c r="I507" s="270" t="s">
        <v>3630</v>
      </c>
      <c r="J507" s="263" t="s">
        <v>1147</v>
      </c>
      <c r="K507" s="260" t="str">
        <f>IF(ISBLANK('Dry_Litterbag Placem_Collection'!L68),"","G"&amp;""&amp;'Dry_Litterbag Placem_Collection'!L68)</f>
        <v>G851</v>
      </c>
      <c r="L507" s="264">
        <f>IFERROR(INDEX('Green_rooibos initial weight'!$C$5:$C$2000,MATCH(K507, 'Green_rooibos initial weight'!$A$5:$A$2000,0)),"")</f>
        <v>1.9930000000000001</v>
      </c>
      <c r="M507" s="264">
        <f>IFERROR(L507-(TBIcalc!$Q$9+TBIcalc!$Q$10),"")</f>
        <v>1.7432000000000001</v>
      </c>
      <c r="N507" s="385">
        <f>AVERAGE(Ashed_controlls!$K$2:$K$11)</f>
        <v>5.5147656768714146</v>
      </c>
      <c r="O507" s="264">
        <f t="shared" si="36"/>
        <v>1.6470666047207776</v>
      </c>
      <c r="P507" s="264">
        <f>IFERROR(INDEX('Both teabags AfterDry'!$D$2:$D$2000,MATCH(K507,'Both teabags AfterDry'!$A$2:$A$2000,0)),"")</f>
        <v>1.8367</v>
      </c>
      <c r="Q507" s="264">
        <f>IFERROR(IF(P507&gt;0,P507-(TBIcalc!$Q$9),""),"")</f>
        <v>1.6860999999999999</v>
      </c>
      <c r="R507" s="275">
        <f>IFERROR(INDEX('Ashed teabags dry'!$K$2:$K$2000,MATCH(K507,'Ashed teabags dry'!$A$2:$A$2000,0)),"")</f>
        <v>6.3484251968505419</v>
      </c>
      <c r="S507" s="275">
        <f t="shared" si="37"/>
        <v>1.5790592027559029</v>
      </c>
      <c r="T507" s="265">
        <f>IF('Dry_Litterbag Placem_Collection'!E68="","",'Dry_Litterbag Placem_Collection'!E68)</f>
        <v>42937</v>
      </c>
      <c r="U507" s="265">
        <f>IF('Dry_Litterbag Placem_Collection'!G68="","",'Dry_Litterbag Placem_Collection'!G68)</f>
        <v>43005</v>
      </c>
      <c r="V507" s="266">
        <f t="shared" si="35"/>
        <v>68</v>
      </c>
      <c r="W507" s="264">
        <f t="shared" si="38"/>
        <v>5.7100000000000151E-2</v>
      </c>
      <c r="X507" s="264">
        <f t="shared" si="39"/>
        <v>6.8007401964874648E-2</v>
      </c>
      <c r="Y507" s="268">
        <f>IFERROR(INDEX(Rainfall_Dry!$O$2:$O$217,MATCH(B507, Rainfall_Dry!$A$2:$A$217,0)),"")</f>
        <v>6.900000125</v>
      </c>
      <c r="Z507" s="257">
        <v>47.96</v>
      </c>
      <c r="AA507" s="257">
        <v>22.919999999999995</v>
      </c>
      <c r="AB507" s="257">
        <v>29.120000000000012</v>
      </c>
      <c r="AC507" s="258" t="s">
        <v>2657</v>
      </c>
      <c r="AD507" s="257">
        <v>3.8831936914736298</v>
      </c>
      <c r="AE507">
        <f>IF('WetLitterbags placem_collection'!AB68="","",'WetLitterbags placem_collection'!AB68)</f>
        <v>8</v>
      </c>
      <c r="AF507">
        <f>IF('WetLitterbags placem_collection'!Z68="","",'WetLitterbags placem_collection'!Z68)</f>
        <v>19.8</v>
      </c>
      <c r="AG507" s="243" t="str">
        <f>IF('WetLitterbags placem_collection'!AA68="","",'WetLitterbags placem_collection'!AA68)</f>
        <v>O</v>
      </c>
      <c r="AH507">
        <f>IF('WetLitterbags placem_collection'!AC68="","",'WetLitterbags placem_collection'!AC68)</f>
        <v>1</v>
      </c>
      <c r="AI507">
        <f>IFERROR(AVERAGE('Dry_Litterbag Placem_Collection'!O68,'Dry_Litterbag Placem_Collection'!R68),"")</f>
        <v>10.100000000000001</v>
      </c>
      <c r="AJ507" s="268">
        <f>IFERROR(AVERAGE('Dry_Litterbag Placem_Collection'!N68,'Dry_Litterbag Placem_Collection'!Q68),"")</f>
        <v>23.6</v>
      </c>
      <c r="AK507" s="267">
        <f>INDEX(Coordinates!$B$2:$B$197,MATCH(H507,Coordinates!$J$2:$J$197,0))</f>
        <v>-3.2993090340000002</v>
      </c>
      <c r="AL507" s="267">
        <f>INDEX(Coordinates!$C$2:$C$197,MATCH(H507,Coordinates!$J$2:$J$197,0))</f>
        <v>34.848404989999999</v>
      </c>
      <c r="AM507" s="267" t="str">
        <f>IF(ISNUMBER(SEARCH("C", 'Dry_Litterbag Placem_Collection'!U68)),"YES","NO")</f>
        <v>NO</v>
      </c>
      <c r="AN507" s="267" t="str">
        <f>IF(ISNUMBER(SEARCH("H", 'Dry_Litterbag Placem_Collection'!U68)),"YES","NO")</f>
        <v>NO</v>
      </c>
      <c r="AO507" s="267" t="str">
        <f>IF(ISNUMBER(SEARCH("R", 'Dry_Litterbag Placem_Collection'!U68)),"YES","NO")</f>
        <v>NO</v>
      </c>
    </row>
    <row r="508" spans="1:41" ht="15" customHeight="1">
      <c r="A508" s="259" t="s">
        <v>2643</v>
      </c>
      <c r="B508" s="260">
        <f>'Dry_Litterbag Placem_Collection'!A69</f>
        <v>67</v>
      </c>
      <c r="C508" s="260" t="str">
        <f>'Dry_Litterbag Placem_Collection'!B69</f>
        <v>Maswa</v>
      </c>
      <c r="D508" s="260" t="s">
        <v>2643</v>
      </c>
      <c r="E508" s="260" t="s">
        <v>2645</v>
      </c>
      <c r="F508" s="260">
        <v>1</v>
      </c>
      <c r="G508" s="260" t="s">
        <v>3810</v>
      </c>
      <c r="H508" s="261" t="str">
        <f>'Dry_Litterbag Placem_Collection'!C69</f>
        <v>Dry_W1_T3</v>
      </c>
      <c r="I508" s="270" t="s">
        <v>3630</v>
      </c>
      <c r="J508" s="263" t="s">
        <v>1147</v>
      </c>
      <c r="K508" s="260" t="str">
        <f>IF(ISBLANK('Dry_Litterbag Placem_Collection'!L69),"","G"&amp;""&amp;'Dry_Litterbag Placem_Collection'!L69)</f>
        <v/>
      </c>
      <c r="L508" s="264" t="str">
        <f>IFERROR(INDEX('Green_rooibos initial weight'!$C$5:$C$2000,MATCH(K508, 'Green_rooibos initial weight'!$A$5:$A$2000,0)),"")</f>
        <v/>
      </c>
      <c r="M508" s="264" t="str">
        <f>IFERROR(L508-(TBIcalc!$Q$9+TBIcalc!$Q$10),"")</f>
        <v/>
      </c>
      <c r="N508" s="385">
        <f>AVERAGE(Ashed_controlls!$K$2:$K$11)</f>
        <v>5.5147656768714146</v>
      </c>
      <c r="O508" s="264" t="str">
        <f t="shared" si="36"/>
        <v/>
      </c>
      <c r="P508" s="264" t="str">
        <f>IFERROR(INDEX('Both teabags AfterDry'!$D$2:$D$2000,MATCH(K508,'Both teabags AfterDry'!$A$2:$A$2000,0)),"")</f>
        <v/>
      </c>
      <c r="Q508" s="264" t="str">
        <f>IFERROR(IF(P508&gt;0,P508-(TBIcalc!$Q$9),""),"")</f>
        <v/>
      </c>
      <c r="R508" s="275" t="str">
        <f>IFERROR(INDEX('Ashed teabags dry'!$K$2:$K$2000,MATCH(K508,'Ashed teabags dry'!$A$2:$A$2000,0)),"")</f>
        <v/>
      </c>
      <c r="S508" s="275" t="str">
        <f t="shared" si="37"/>
        <v/>
      </c>
      <c r="T508" s="265" t="str">
        <f>IF('Dry_Litterbag Placem_Collection'!E69="","",'Dry_Litterbag Placem_Collection'!E69)</f>
        <v/>
      </c>
      <c r="U508" s="265" t="str">
        <f>IF('Dry_Litterbag Placem_Collection'!G69="","",'Dry_Litterbag Placem_Collection'!G69)</f>
        <v/>
      </c>
      <c r="V508" s="266" t="str">
        <f t="shared" si="35"/>
        <v/>
      </c>
      <c r="W508" s="264" t="str">
        <f t="shared" si="38"/>
        <v/>
      </c>
      <c r="X508" s="264" t="str">
        <f t="shared" si="39"/>
        <v/>
      </c>
      <c r="Y508" s="268" t="str">
        <f>IFERROR(INDEX(Rainfall_Dry!$O$2:$O$217,MATCH(B508, Rainfall_Dry!$A$2:$A$217,0)),"")</f>
        <v/>
      </c>
      <c r="Z508" s="257">
        <v>47.96</v>
      </c>
      <c r="AA508" s="257">
        <v>22.919999999999995</v>
      </c>
      <c r="AB508" s="257">
        <v>29.120000000000012</v>
      </c>
      <c r="AC508" s="258" t="s">
        <v>2657</v>
      </c>
      <c r="AD508" s="257">
        <v>4.8831936914736298</v>
      </c>
      <c r="AE508">
        <f>IF('WetLitterbags placem_collection'!AB69="","",'WetLitterbags placem_collection'!AB69)</f>
        <v>5.5</v>
      </c>
      <c r="AF508">
        <f>IF('WetLitterbags placem_collection'!Z69="","",'WetLitterbags placem_collection'!Z69)</f>
        <v>5.5</v>
      </c>
      <c r="AG508" s="243" t="str">
        <f>IF('WetLitterbags placem_collection'!AA69="","",'WetLitterbags placem_collection'!AA69)</f>
        <v>O</v>
      </c>
      <c r="AH508">
        <f>IF('WetLitterbags placem_collection'!AC69="","",'WetLitterbags placem_collection'!AC69)</f>
        <v>1</v>
      </c>
      <c r="AI508" t="str">
        <f>IFERROR(AVERAGE('Dry_Litterbag Placem_Collection'!O69,'Dry_Litterbag Placem_Collection'!R69),"")</f>
        <v/>
      </c>
      <c r="AJ508" s="268" t="str">
        <f>IFERROR(AVERAGE('Dry_Litterbag Placem_Collection'!N69,'Dry_Litterbag Placem_Collection'!Q69),"")</f>
        <v/>
      </c>
      <c r="AK508" s="267">
        <f>INDEX(Coordinates!$B$2:$B$197,MATCH(H508,Coordinates!$J$2:$J$197,0))</f>
        <v>-3.299434008</v>
      </c>
      <c r="AL508" s="267">
        <f>INDEX(Coordinates!$C$2:$C$197,MATCH(H508,Coordinates!$J$2:$J$197,0))</f>
        <v>34.848514960000003</v>
      </c>
      <c r="AM508" s="267" t="str">
        <f>IF(ISNUMBER(SEARCH("C", 'Dry_Litterbag Placem_Collection'!U69)),"YES","NO")</f>
        <v>NO</v>
      </c>
      <c r="AN508" s="267" t="str">
        <f>IF(ISNUMBER(SEARCH("H", 'Dry_Litterbag Placem_Collection'!U69)),"YES","NO")</f>
        <v>NO</v>
      </c>
      <c r="AO508" s="267" t="str">
        <f>IF(ISNUMBER(SEARCH("R", 'Dry_Litterbag Placem_Collection'!U69)),"YES","NO")</f>
        <v>NO</v>
      </c>
    </row>
    <row r="509" spans="1:41" ht="15" customHeight="1">
      <c r="A509" s="259" t="s">
        <v>2643</v>
      </c>
      <c r="B509" s="260">
        <f>'Dry_Litterbag Placem_Collection'!A70</f>
        <v>68</v>
      </c>
      <c r="C509" s="260" t="str">
        <f>'Dry_Litterbag Placem_Collection'!B70</f>
        <v>Maswa</v>
      </c>
      <c r="D509" s="260" t="s">
        <v>2643</v>
      </c>
      <c r="E509" s="260" t="s">
        <v>2645</v>
      </c>
      <c r="F509" s="260">
        <v>1</v>
      </c>
      <c r="G509" s="260" t="s">
        <v>3810</v>
      </c>
      <c r="H509" s="261" t="str">
        <f>'Dry_Litterbag Placem_Collection'!C70</f>
        <v>Dry_W1_T4</v>
      </c>
      <c r="I509" s="270" t="s">
        <v>3630</v>
      </c>
      <c r="J509" s="263" t="s">
        <v>1147</v>
      </c>
      <c r="K509" s="260" t="str">
        <f>IF(ISBLANK('Dry_Litterbag Placem_Collection'!L70),"","G"&amp;""&amp;'Dry_Litterbag Placem_Collection'!L70)</f>
        <v>G467</v>
      </c>
      <c r="L509" s="264">
        <f>IFERROR(INDEX('Green_rooibos initial weight'!$C$5:$C$2000,MATCH(K509, 'Green_rooibos initial weight'!$A$5:$A$2000,0)),"")</f>
        <v>2.0259999999999998</v>
      </c>
      <c r="M509" s="264">
        <f>IFERROR(L509-(TBIcalc!$Q$9+TBIcalc!$Q$10),"")</f>
        <v>1.7761999999999998</v>
      </c>
      <c r="N509" s="385">
        <f>AVERAGE(Ashed_controlls!$K$2:$K$11)</f>
        <v>5.5147656768714146</v>
      </c>
      <c r="O509" s="264">
        <f t="shared" si="36"/>
        <v>1.6782467320474097</v>
      </c>
      <c r="P509" s="264">
        <f>IFERROR(INDEX('Both teabags AfterDry'!$D$2:$D$2000,MATCH(K509,'Both teabags AfterDry'!$A$2:$A$2000,0)),"")</f>
        <v>1.8359000000000001</v>
      </c>
      <c r="Q509" s="264">
        <f>IFERROR(IF(P509&gt;0,P509-(TBIcalc!$Q$9),""),"")</f>
        <v>1.6853</v>
      </c>
      <c r="R509" s="275">
        <f>IFERROR(INDEX('Ashed teabags dry'!$K$2:$K$2000,MATCH(K509,'Ashed teabags dry'!$A$2:$A$2000,0)),"")</f>
        <v>5.6516237874314612</v>
      </c>
      <c r="S509" s="275">
        <f t="shared" si="37"/>
        <v>1.5900531843104175</v>
      </c>
      <c r="T509" s="265">
        <f>IF('Dry_Litterbag Placem_Collection'!E70="","",'Dry_Litterbag Placem_Collection'!E70)</f>
        <v>42937</v>
      </c>
      <c r="U509" s="265">
        <f>IF('Dry_Litterbag Placem_Collection'!G70="","",'Dry_Litterbag Placem_Collection'!G70)</f>
        <v>43005</v>
      </c>
      <c r="V509" s="266">
        <f t="shared" si="35"/>
        <v>68</v>
      </c>
      <c r="W509" s="264">
        <f t="shared" si="38"/>
        <v>9.0899999999999759E-2</v>
      </c>
      <c r="X509" s="264">
        <f t="shared" si="39"/>
        <v>8.8193547736992173E-2</v>
      </c>
      <c r="Y509" s="268">
        <f>IFERROR(INDEX(Rainfall_Dry!$O$2:$O$217,MATCH(B509, Rainfall_Dry!$A$2:$A$217,0)),"")</f>
        <v>6.900000125</v>
      </c>
      <c r="Z509" s="257">
        <v>47.96</v>
      </c>
      <c r="AA509" s="257">
        <v>22.919999999999995</v>
      </c>
      <c r="AB509" s="257">
        <v>29.120000000000012</v>
      </c>
      <c r="AC509" s="258" t="s">
        <v>2657</v>
      </c>
      <c r="AD509" s="257">
        <v>5.8831936914736298</v>
      </c>
      <c r="AE509">
        <f>IF('WetLitterbags placem_collection'!AB70="","",'WetLitterbags placem_collection'!AB70)</f>
        <v>9.6999999999999993</v>
      </c>
      <c r="AF509">
        <f>IF('WetLitterbags placem_collection'!Z70="","",'WetLitterbags placem_collection'!Z70)</f>
        <v>23.4</v>
      </c>
      <c r="AG509" s="243" t="str">
        <f>IF('WetLitterbags placem_collection'!AA70="","",'WetLitterbags placem_collection'!AA70)</f>
        <v>O</v>
      </c>
      <c r="AH509">
        <f>IF('WetLitterbags placem_collection'!AC70="","",'WetLitterbags placem_collection'!AC70)</f>
        <v>1</v>
      </c>
      <c r="AI509">
        <f>IFERROR(AVERAGE('Dry_Litterbag Placem_Collection'!O70,'Dry_Litterbag Placem_Collection'!R70),"")</f>
        <v>7.75</v>
      </c>
      <c r="AJ509" s="268">
        <f>IFERROR(AVERAGE('Dry_Litterbag Placem_Collection'!N70,'Dry_Litterbag Placem_Collection'!Q70),"")</f>
        <v>26.85</v>
      </c>
      <c r="AK509" s="267">
        <f>INDEX(Coordinates!$B$2:$B$197,MATCH(H509,Coordinates!$J$2:$J$197,0))</f>
        <v>-3.2991180099999999</v>
      </c>
      <c r="AL509" s="267">
        <f>INDEX(Coordinates!$C$2:$C$197,MATCH(H509,Coordinates!$J$2:$J$197,0))</f>
        <v>34.84824699</v>
      </c>
      <c r="AM509" s="267" t="str">
        <f>IF(ISNUMBER(SEARCH("C", 'Dry_Litterbag Placem_Collection'!U70)),"YES","NO")</f>
        <v>NO</v>
      </c>
      <c r="AN509" s="267" t="str">
        <f>IF(ISNUMBER(SEARCH("H", 'Dry_Litterbag Placem_Collection'!U70)),"YES","NO")</f>
        <v>NO</v>
      </c>
      <c r="AO509" s="267" t="str">
        <f>IF(ISNUMBER(SEARCH("R", 'Dry_Litterbag Placem_Collection'!U70)),"YES","NO")</f>
        <v>NO</v>
      </c>
    </row>
    <row r="510" spans="1:41" ht="15" customHeight="1">
      <c r="A510" s="259" t="s">
        <v>2643</v>
      </c>
      <c r="B510" s="260">
        <f>'Dry_Litterbag Placem_Collection'!A71</f>
        <v>69</v>
      </c>
      <c r="C510" s="260" t="str">
        <f>'Dry_Litterbag Placem_Collection'!B71</f>
        <v>Maswa</v>
      </c>
      <c r="D510" s="260" t="s">
        <v>2643</v>
      </c>
      <c r="E510" s="260" t="s">
        <v>2645</v>
      </c>
      <c r="F510" s="260">
        <v>1</v>
      </c>
      <c r="G510" s="260" t="s">
        <v>3810</v>
      </c>
      <c r="H510" s="261" t="str">
        <f>'Dry_Litterbag Placem_Collection'!C71</f>
        <v>Dry_W1_T5</v>
      </c>
      <c r="I510" s="270" t="s">
        <v>3630</v>
      </c>
      <c r="J510" s="263" t="s">
        <v>1147</v>
      </c>
      <c r="K510" s="260" t="str">
        <f>IF(ISBLANK('Dry_Litterbag Placem_Collection'!L71),"","G"&amp;""&amp;'Dry_Litterbag Placem_Collection'!L71)</f>
        <v>G766</v>
      </c>
      <c r="L510" s="264">
        <f>IFERROR(INDEX('Green_rooibos initial weight'!$C$5:$C$2000,MATCH(K510, 'Green_rooibos initial weight'!$A$5:$A$2000,0)),"")</f>
        <v>2.0409999999999999</v>
      </c>
      <c r="M510" s="264">
        <f>IFERROR(L510-(TBIcalc!$Q$9+TBIcalc!$Q$10),"")</f>
        <v>1.7911999999999999</v>
      </c>
      <c r="N510" s="385">
        <f>AVERAGE(Ashed_controlls!$K$2:$K$11)</f>
        <v>5.5147656768714146</v>
      </c>
      <c r="O510" s="264">
        <f t="shared" si="36"/>
        <v>1.6924195171958791</v>
      </c>
      <c r="P510" s="264">
        <f>IFERROR(INDEX('Both teabags AfterDry'!$D$2:$D$2000,MATCH(K510,'Both teabags AfterDry'!$A$2:$A$2000,0)),"")</f>
        <v>1.8654999999999999</v>
      </c>
      <c r="Q510" s="264">
        <f>IFERROR(IF(P510&gt;0,P510-(TBIcalc!$Q$9),""),"")</f>
        <v>1.7148999999999999</v>
      </c>
      <c r="R510" s="275">
        <f>IFERROR(INDEX('Ashed teabags dry'!$K$2:$K$2000,MATCH(K510,'Ashed teabags dry'!$A$2:$A$2000,0)),"")</f>
        <v>6.0009837678305544</v>
      </c>
      <c r="S510" s="275">
        <f t="shared" si="37"/>
        <v>1.6119891293654738</v>
      </c>
      <c r="T510" s="265">
        <f>IF('Dry_Litterbag Placem_Collection'!E71="","",'Dry_Litterbag Placem_Collection'!E71)</f>
        <v>42937</v>
      </c>
      <c r="U510" s="265">
        <f>IF('Dry_Litterbag Placem_Collection'!G71="","",'Dry_Litterbag Placem_Collection'!G71)</f>
        <v>43006</v>
      </c>
      <c r="V510" s="266">
        <f t="shared" si="35"/>
        <v>69</v>
      </c>
      <c r="W510" s="264">
        <f t="shared" si="38"/>
        <v>7.6300000000000034E-2</v>
      </c>
      <c r="X510" s="264">
        <f t="shared" si="39"/>
        <v>8.0430387830405348E-2</v>
      </c>
      <c r="Y510" s="268">
        <f>IFERROR(INDEX(Rainfall_Dry!$O$2:$O$217,MATCH(B510, Rainfall_Dry!$A$2:$A$217,0)),"")</f>
        <v>6.900000125</v>
      </c>
      <c r="Z510" s="257">
        <v>47.96</v>
      </c>
      <c r="AA510" s="257">
        <v>22.919999999999995</v>
      </c>
      <c r="AB510" s="257">
        <v>29.120000000000012</v>
      </c>
      <c r="AC510" s="258" t="s">
        <v>2657</v>
      </c>
      <c r="AD510" s="257">
        <v>6.8831936914736298</v>
      </c>
      <c r="AE510">
        <f>IF('WetLitterbags placem_collection'!AB71="","",'WetLitterbags placem_collection'!AB71)</f>
        <v>14.4</v>
      </c>
      <c r="AF510">
        <f>IF('WetLitterbags placem_collection'!Z71="","",'WetLitterbags placem_collection'!Z71)</f>
        <v>24.4</v>
      </c>
      <c r="AG510" s="243" t="str">
        <f>IF('WetLitterbags placem_collection'!AA71="","",'WetLitterbags placem_collection'!AA71)</f>
        <v>O</v>
      </c>
      <c r="AH510">
        <f>IF('WetLitterbags placem_collection'!AC71="","",'WetLitterbags placem_collection'!AC71)</f>
        <v>1</v>
      </c>
      <c r="AI510">
        <f>IFERROR(AVERAGE('Dry_Litterbag Placem_Collection'!O71,'Dry_Litterbag Placem_Collection'!R71),"")</f>
        <v>7.95</v>
      </c>
      <c r="AJ510" s="268">
        <f>IFERROR(AVERAGE('Dry_Litterbag Placem_Collection'!N71,'Dry_Litterbag Placem_Collection'!Q71),"")</f>
        <v>26.55</v>
      </c>
      <c r="AK510" s="267">
        <f>INDEX(Coordinates!$B$2:$B$197,MATCH(H510,Coordinates!$J$2:$J$197,0))</f>
        <v>-3.2993180030000002</v>
      </c>
      <c r="AL510" s="267">
        <f>INDEX(Coordinates!$C$2:$C$197,MATCH(H510,Coordinates!$J$2:$J$197,0))</f>
        <v>34.848235010000003</v>
      </c>
      <c r="AM510" s="267" t="str">
        <f>IF(ISNUMBER(SEARCH("C", 'Dry_Litterbag Placem_Collection'!U71)),"YES","NO")</f>
        <v>NO</v>
      </c>
      <c r="AN510" s="267" t="str">
        <f>IF(ISNUMBER(SEARCH("H", 'Dry_Litterbag Placem_Collection'!U71)),"YES","NO")</f>
        <v>NO</v>
      </c>
      <c r="AO510" s="267" t="str">
        <f>IF(ISNUMBER(SEARCH("R", 'Dry_Litterbag Placem_Collection'!U71)),"YES","NO")</f>
        <v>NO</v>
      </c>
    </row>
    <row r="511" spans="1:41" ht="15" customHeight="1">
      <c r="A511" s="259" t="s">
        <v>2643</v>
      </c>
      <c r="B511" s="260">
        <f>'Dry_Litterbag Placem_Collection'!A72</f>
        <v>70</v>
      </c>
      <c r="C511" s="260" t="str">
        <f>'Dry_Litterbag Placem_Collection'!B72</f>
        <v>Maswa</v>
      </c>
      <c r="D511" s="260" t="s">
        <v>2643</v>
      </c>
      <c r="E511" s="260" t="s">
        <v>2645</v>
      </c>
      <c r="F511" s="260">
        <v>1</v>
      </c>
      <c r="G511" s="260" t="s">
        <v>3810</v>
      </c>
      <c r="H511" s="261" t="str">
        <f>'Dry_Litterbag Placem_Collection'!C72</f>
        <v>Dry_W1_T6</v>
      </c>
      <c r="I511" s="270" t="s">
        <v>3630</v>
      </c>
      <c r="J511" s="263" t="s">
        <v>1147</v>
      </c>
      <c r="K511" s="260" t="str">
        <f>IF(ISBLANK('Dry_Litterbag Placem_Collection'!L72),"","G"&amp;""&amp;'Dry_Litterbag Placem_Collection'!L72)</f>
        <v>G430</v>
      </c>
      <c r="L511" s="264">
        <f>IFERROR(INDEX('Green_rooibos initial weight'!$C$5:$C$2000,MATCH(K511, 'Green_rooibos initial weight'!$A$5:$A$2000,0)),"")</f>
        <v>2.09</v>
      </c>
      <c r="M511" s="264">
        <f>IFERROR(L511-(TBIcalc!$Q$9+TBIcalc!$Q$10),"")</f>
        <v>1.8401999999999998</v>
      </c>
      <c r="N511" s="385">
        <f>AVERAGE(Ashed_controlls!$K$2:$K$11)</f>
        <v>5.5147656768714146</v>
      </c>
      <c r="O511" s="264">
        <f t="shared" si="36"/>
        <v>1.7387172820142121</v>
      </c>
      <c r="P511" s="264">
        <f>IFERROR(INDEX('Both teabags AfterDry'!$D$2:$D$2000,MATCH(K511,'Both teabags AfterDry'!$A$2:$A$2000,0)),"")</f>
        <v>1.8875999999999999</v>
      </c>
      <c r="Q511" s="264">
        <f>IFERROR(IF(P511&gt;0,P511-(TBIcalc!$Q$9),""),"")</f>
        <v>1.7369999999999999</v>
      </c>
      <c r="R511" s="275">
        <f>IFERROR(INDEX('Ashed teabags dry'!$K$2:$K$2000,MATCH(K511,'Ashed teabags dry'!$A$2:$A$2000,0)),"")</f>
        <v>5.6997022543597504</v>
      </c>
      <c r="S511" s="275">
        <f t="shared" si="37"/>
        <v>1.637996171841771</v>
      </c>
      <c r="T511" s="265">
        <f>IF('Dry_Litterbag Placem_Collection'!E72="","",'Dry_Litterbag Placem_Collection'!E72)</f>
        <v>42937</v>
      </c>
      <c r="U511" s="265">
        <f>IF('Dry_Litterbag Placem_Collection'!G72="","",'Dry_Litterbag Placem_Collection'!G72)</f>
        <v>43006</v>
      </c>
      <c r="V511" s="266">
        <f t="shared" si="35"/>
        <v>69</v>
      </c>
      <c r="W511" s="264">
        <f t="shared" si="38"/>
        <v>0.10319999999999996</v>
      </c>
      <c r="X511" s="264">
        <f t="shared" si="39"/>
        <v>0.10072111017244101</v>
      </c>
      <c r="Y511" s="268">
        <f>IFERROR(INDEX(Rainfall_Dry!$O$2:$O$217,MATCH(B511, Rainfall_Dry!$A$2:$A$217,0)),"")</f>
        <v>6.900000125</v>
      </c>
      <c r="Z511" s="257">
        <v>47.96</v>
      </c>
      <c r="AA511" s="257">
        <v>22.919999999999995</v>
      </c>
      <c r="AB511" s="257">
        <v>29.120000000000012</v>
      </c>
      <c r="AC511" s="258" t="s">
        <v>2657</v>
      </c>
      <c r="AD511" s="257">
        <v>7.8831936914736298</v>
      </c>
      <c r="AE511">
        <f>IF('WetLitterbags placem_collection'!AB72="","",'WetLitterbags placem_collection'!AB72)</f>
        <v>15</v>
      </c>
      <c r="AF511">
        <f>IF('WetLitterbags placem_collection'!Z72="","",'WetLitterbags placem_collection'!Z72)</f>
        <v>28</v>
      </c>
      <c r="AG511" s="243" t="str">
        <f>IF('WetLitterbags placem_collection'!AA72="","",'WetLitterbags placem_collection'!AA72)</f>
        <v>O</v>
      </c>
      <c r="AH511">
        <f>IF('WetLitterbags placem_collection'!AC72="","",'WetLitterbags placem_collection'!AC72)</f>
        <v>0</v>
      </c>
      <c r="AI511">
        <f>IFERROR(AVERAGE('Dry_Litterbag Placem_Collection'!O72,'Dry_Litterbag Placem_Collection'!R72),"")</f>
        <v>8.8000000000000007</v>
      </c>
      <c r="AJ511" s="268">
        <f>IFERROR(AVERAGE('Dry_Litterbag Placem_Collection'!N72,'Dry_Litterbag Placem_Collection'!Q72),"")</f>
        <v>27.200000000000003</v>
      </c>
      <c r="AK511" s="267">
        <f>INDEX(Coordinates!$B$2:$B$197,MATCH(H511,Coordinates!$J$2:$J$197,0))</f>
        <v>-3.299381034</v>
      </c>
      <c r="AL511" s="267">
        <f>INDEX(Coordinates!$C$2:$C$197,MATCH(H511,Coordinates!$J$2:$J$197,0))</f>
        <v>34.848312040000003</v>
      </c>
      <c r="AM511" s="267" t="str">
        <f>IF(ISNUMBER(SEARCH("C", 'Dry_Litterbag Placem_Collection'!U72)),"YES","NO")</f>
        <v>NO</v>
      </c>
      <c r="AN511" s="267" t="str">
        <f>IF(ISNUMBER(SEARCH("H", 'Dry_Litterbag Placem_Collection'!U72)),"YES","NO")</f>
        <v>NO</v>
      </c>
      <c r="AO511" s="267" t="str">
        <f>IF(ISNUMBER(SEARCH("R", 'Dry_Litterbag Placem_Collection'!U72)),"YES","NO")</f>
        <v>NO</v>
      </c>
    </row>
    <row r="512" spans="1:41" ht="15" customHeight="1">
      <c r="A512" s="259" t="s">
        <v>2643</v>
      </c>
      <c r="B512" s="260">
        <f>'Dry_Litterbag Placem_Collection'!A73</f>
        <v>71</v>
      </c>
      <c r="C512" s="260" t="str">
        <f>'Dry_Litterbag Placem_Collection'!B73</f>
        <v>Maswa</v>
      </c>
      <c r="D512" s="260" t="s">
        <v>2643</v>
      </c>
      <c r="E512" s="260" t="s">
        <v>2645</v>
      </c>
      <c r="F512" s="260">
        <v>1</v>
      </c>
      <c r="G512" s="260" t="s">
        <v>3810</v>
      </c>
      <c r="H512" s="261" t="str">
        <f>'Dry_Litterbag Placem_Collection'!C73</f>
        <v>Dry_W1_T7</v>
      </c>
      <c r="I512" s="270" t="s">
        <v>3630</v>
      </c>
      <c r="J512" s="263" t="s">
        <v>1147</v>
      </c>
      <c r="K512" s="260" t="str">
        <f>IF(ISBLANK('Dry_Litterbag Placem_Collection'!L73),"","G"&amp;""&amp;'Dry_Litterbag Placem_Collection'!L73)</f>
        <v>G174</v>
      </c>
      <c r="L512" s="264">
        <f>IFERROR(INDEX('Green_rooibos initial weight'!$C$5:$C$2000,MATCH(K512, 'Green_rooibos initial weight'!$A$5:$A$2000,0)),"")</f>
        <v>2.0649999999999999</v>
      </c>
      <c r="M512" s="264">
        <f>IFERROR(L512-(TBIcalc!$Q$9+TBIcalc!$Q$10),"")</f>
        <v>1.8151999999999999</v>
      </c>
      <c r="N512" s="385">
        <f>AVERAGE(Ashed_controlls!$K$2:$K$11)</f>
        <v>5.5147656768714146</v>
      </c>
      <c r="O512" s="264">
        <f t="shared" si="36"/>
        <v>1.7150959734334301</v>
      </c>
      <c r="P512" s="264">
        <f>IFERROR(INDEX('Both teabags AfterDry'!$D$2:$D$2000,MATCH(K512,'Both teabags AfterDry'!$A$2:$A$2000,0)),"")</f>
        <v>1.8838999999999999</v>
      </c>
      <c r="Q512" s="264">
        <f>IFERROR(IF(P512&gt;0,P512-(TBIcalc!$Q$9),""),"")</f>
        <v>1.7332999999999998</v>
      </c>
      <c r="R512" s="275">
        <f>IFERROR(INDEX('Ashed teabags dry'!$K$2:$K$2000,MATCH(K512,'Ashed teabags dry'!$A$2:$A$2000,0)),"")</f>
        <v>5.4401582591501034</v>
      </c>
      <c r="S512" s="275">
        <f t="shared" si="37"/>
        <v>1.6390057368941511</v>
      </c>
      <c r="T512" s="265">
        <f>IF('Dry_Litterbag Placem_Collection'!E73="","",'Dry_Litterbag Placem_Collection'!E73)</f>
        <v>42937</v>
      </c>
      <c r="U512" s="265">
        <f>IF('Dry_Litterbag Placem_Collection'!G73="","",'Dry_Litterbag Placem_Collection'!G73)</f>
        <v>43006</v>
      </c>
      <c r="V512" s="266">
        <f t="shared" si="35"/>
        <v>69</v>
      </c>
      <c r="W512" s="264">
        <f t="shared" si="38"/>
        <v>8.1900000000000084E-2</v>
      </c>
      <c r="X512" s="264">
        <f t="shared" si="39"/>
        <v>7.6090236539279044E-2</v>
      </c>
      <c r="Y512" s="268">
        <f>IFERROR(INDEX(Rainfall_Dry!$O$2:$O$217,MATCH(B512, Rainfall_Dry!$A$2:$A$217,0)),"")</f>
        <v>6.900000125</v>
      </c>
      <c r="Z512" s="257">
        <v>47.96</v>
      </c>
      <c r="AA512" s="257">
        <v>22.919999999999995</v>
      </c>
      <c r="AB512" s="257">
        <v>29.120000000000012</v>
      </c>
      <c r="AC512" s="258" t="s">
        <v>2657</v>
      </c>
      <c r="AD512" s="257">
        <v>8.8831936914736307</v>
      </c>
      <c r="AE512">
        <f>IF('WetLitterbags placem_collection'!AB73="","",'WetLitterbags placem_collection'!AB73)</f>
        <v>15.5</v>
      </c>
      <c r="AF512">
        <f>IF('WetLitterbags placem_collection'!Z73="","",'WetLitterbags placem_collection'!Z73)</f>
        <v>32</v>
      </c>
      <c r="AG512" s="243" t="str">
        <f>IF('WetLitterbags placem_collection'!AA73="","",'WetLitterbags placem_collection'!AA73)</f>
        <v>O</v>
      </c>
      <c r="AH512">
        <f>IF('WetLitterbags placem_collection'!AC73="","",'WetLitterbags placem_collection'!AC73)</f>
        <v>1</v>
      </c>
      <c r="AI512">
        <f>IFERROR(AVERAGE('Dry_Litterbag Placem_Collection'!O73,'Dry_Litterbag Placem_Collection'!R73),"")</f>
        <v>9.9499999999999993</v>
      </c>
      <c r="AJ512" s="268">
        <f>IFERROR(AVERAGE('Dry_Litterbag Placem_Collection'!N73,'Dry_Litterbag Placem_Collection'!Q73),"")</f>
        <v>27.6</v>
      </c>
      <c r="AK512" s="267">
        <f>INDEX(Coordinates!$B$2:$B$197,MATCH(H512,Coordinates!$J$2:$J$197,0))</f>
        <v>-3.2992429849999998</v>
      </c>
      <c r="AL512" s="267">
        <f>INDEX(Coordinates!$C$2:$C$197,MATCH(H512,Coordinates!$J$2:$J$197,0))</f>
        <v>34.847900989999999</v>
      </c>
      <c r="AM512" s="267" t="str">
        <f>IF(ISNUMBER(SEARCH("C", 'Dry_Litterbag Placem_Collection'!U73)),"YES","NO")</f>
        <v>NO</v>
      </c>
      <c r="AN512" s="267" t="str">
        <f>IF(ISNUMBER(SEARCH("H", 'Dry_Litterbag Placem_Collection'!U73)),"YES","NO")</f>
        <v>NO</v>
      </c>
      <c r="AO512" s="267" t="str">
        <f>IF(ISNUMBER(SEARCH("R", 'Dry_Litterbag Placem_Collection'!U73)),"YES","NO")</f>
        <v>NO</v>
      </c>
    </row>
    <row r="513" spans="1:41" ht="15" customHeight="1">
      <c r="A513" s="259" t="s">
        <v>2643</v>
      </c>
      <c r="B513" s="260">
        <f>'Dry_Litterbag Placem_Collection'!A74</f>
        <v>72</v>
      </c>
      <c r="C513" s="260" t="str">
        <f>'Dry_Litterbag Placem_Collection'!B74</f>
        <v>Maswa</v>
      </c>
      <c r="D513" s="260" t="s">
        <v>2643</v>
      </c>
      <c r="E513" s="260" t="s">
        <v>2645</v>
      </c>
      <c r="F513" s="260">
        <v>1</v>
      </c>
      <c r="G513" s="260" t="s">
        <v>3810</v>
      </c>
      <c r="H513" s="261" t="str">
        <f>'Dry_Litterbag Placem_Collection'!C74</f>
        <v>Dry_W1_T8</v>
      </c>
      <c r="I513" s="270" t="s">
        <v>3630</v>
      </c>
      <c r="J513" s="263" t="s">
        <v>1147</v>
      </c>
      <c r="K513" s="260" t="str">
        <f>IF(ISBLANK('Dry_Litterbag Placem_Collection'!L74),"","G"&amp;""&amp;'Dry_Litterbag Placem_Collection'!L74)</f>
        <v>G714</v>
      </c>
      <c r="L513" s="264">
        <f>IFERROR(INDEX('Green_rooibos initial weight'!$C$5:$C$2000,MATCH(K513, 'Green_rooibos initial weight'!$A$5:$A$2000,0)),"")</f>
        <v>2.0459999999999998</v>
      </c>
      <c r="M513" s="264">
        <f>IFERROR(L513-(TBIcalc!$Q$9+TBIcalc!$Q$10),"")</f>
        <v>1.7961999999999998</v>
      </c>
      <c r="N513" s="385">
        <f>AVERAGE(Ashed_controlls!$K$2:$K$11)</f>
        <v>5.5147656768714146</v>
      </c>
      <c r="O513" s="264">
        <f t="shared" si="36"/>
        <v>1.6971437789120354</v>
      </c>
      <c r="P513" s="264">
        <f>IFERROR(INDEX('Both teabags AfterDry'!$D$2:$D$2000,MATCH(K513,'Both teabags AfterDry'!$A$2:$A$2000,0)),"")</f>
        <v>1.8528</v>
      </c>
      <c r="Q513" s="264">
        <f>IFERROR(IF(P513&gt;0,P513-(TBIcalc!$Q$9),""),"")</f>
        <v>1.7021999999999999</v>
      </c>
      <c r="R513" s="275">
        <f>IFERROR(INDEX('Ashed teabags dry'!$K$2:$K$2000,MATCH(K513,'Ashed teabags dry'!$A$2:$A$2000,0)),"")</f>
        <v>5.4821341164956561</v>
      </c>
      <c r="S513" s="275">
        <f t="shared" si="37"/>
        <v>1.6088831130690109</v>
      </c>
      <c r="T513" s="265">
        <f>IF('Dry_Litterbag Placem_Collection'!E74="","",'Dry_Litterbag Placem_Collection'!E74)</f>
        <v>42937</v>
      </c>
      <c r="U513" s="265">
        <f>IF('Dry_Litterbag Placem_Collection'!G74="","",'Dry_Litterbag Placem_Collection'!G74)</f>
        <v>43006</v>
      </c>
      <c r="V513" s="266">
        <f t="shared" si="35"/>
        <v>69</v>
      </c>
      <c r="W513" s="264">
        <f t="shared" si="38"/>
        <v>9.3999999999999861E-2</v>
      </c>
      <c r="X513" s="264">
        <f t="shared" si="39"/>
        <v>8.8260665843024499E-2</v>
      </c>
      <c r="Y513" s="268">
        <f>IFERROR(INDEX(Rainfall_Dry!$O$2:$O$217,MATCH(B513, Rainfall_Dry!$A$2:$A$217,0)),"")</f>
        <v>6.900000125</v>
      </c>
      <c r="Z513" s="257">
        <v>47.96</v>
      </c>
      <c r="AA513" s="257">
        <v>22.919999999999995</v>
      </c>
      <c r="AB513" s="257">
        <v>29.120000000000012</v>
      </c>
      <c r="AC513" s="258" t="s">
        <v>2657</v>
      </c>
      <c r="AD513" s="257">
        <v>9.8831936914736307</v>
      </c>
      <c r="AE513">
        <f>IF('WetLitterbags placem_collection'!AB74="","",'WetLitterbags placem_collection'!AB74)</f>
        <v>2.6</v>
      </c>
      <c r="AF513">
        <f>IF('WetLitterbags placem_collection'!Z74="","",'WetLitterbags placem_collection'!Z74)</f>
        <v>44</v>
      </c>
      <c r="AG513" s="243" t="str">
        <f>IF('WetLitterbags placem_collection'!AA74="","",'WetLitterbags placem_collection'!AA74)</f>
        <v>O</v>
      </c>
      <c r="AH513">
        <f>IF('WetLitterbags placem_collection'!AC74="","",'WetLitterbags placem_collection'!AC74)</f>
        <v>1</v>
      </c>
      <c r="AI513">
        <f>IFERROR(AVERAGE('Dry_Litterbag Placem_Collection'!O74,'Dry_Litterbag Placem_Collection'!R74),"")</f>
        <v>9.5</v>
      </c>
      <c r="AJ513" s="268">
        <f>IFERROR(AVERAGE('Dry_Litterbag Placem_Collection'!N74,'Dry_Litterbag Placem_Collection'!Q74),"")</f>
        <v>26.35</v>
      </c>
      <c r="AK513" s="267">
        <f>INDEX(Coordinates!$B$2:$B$197,MATCH(H513,Coordinates!$J$2:$J$197,0))</f>
        <v>-3.2996540329999999</v>
      </c>
      <c r="AL513" s="267">
        <f>INDEX(Coordinates!$C$2:$C$197,MATCH(H513,Coordinates!$J$2:$J$197,0))</f>
        <v>34.848151020000003</v>
      </c>
      <c r="AM513" s="267" t="str">
        <f>IF(ISNUMBER(SEARCH("C", 'Dry_Litterbag Placem_Collection'!U74)),"YES","NO")</f>
        <v>NO</v>
      </c>
      <c r="AN513" s="267" t="str">
        <f>IF(ISNUMBER(SEARCH("H", 'Dry_Litterbag Placem_Collection'!U74)),"YES","NO")</f>
        <v>NO</v>
      </c>
      <c r="AO513" s="267" t="str">
        <f>IF(ISNUMBER(SEARCH("R", 'Dry_Litterbag Placem_Collection'!U74)),"YES","NO")</f>
        <v>NO</v>
      </c>
    </row>
    <row r="514" spans="1:41" ht="15" customHeight="1">
      <c r="A514" s="259" t="s">
        <v>2643</v>
      </c>
      <c r="B514" s="260">
        <f>'Dry_Litterbag Placem_Collection'!A75</f>
        <v>73</v>
      </c>
      <c r="C514" s="260" t="str">
        <f>'Dry_Litterbag Placem_Collection'!B75</f>
        <v>Maswa</v>
      </c>
      <c r="D514" s="260" t="s">
        <v>2643</v>
      </c>
      <c r="E514" s="260" t="s">
        <v>2645</v>
      </c>
      <c r="F514" s="260">
        <v>2</v>
      </c>
      <c r="G514" s="260" t="s">
        <v>3812</v>
      </c>
      <c r="H514" s="261" t="str">
        <f>'Dry_Litterbag Placem_Collection'!C75</f>
        <v>Dry_W2_T1</v>
      </c>
      <c r="I514" s="270" t="s">
        <v>3630</v>
      </c>
      <c r="J514" s="263" t="s">
        <v>1147</v>
      </c>
      <c r="K514" s="260" t="str">
        <f>IF(ISBLANK('Dry_Litterbag Placem_Collection'!L75),"","G"&amp;""&amp;'Dry_Litterbag Placem_Collection'!L75)</f>
        <v>G726</v>
      </c>
      <c r="L514" s="264">
        <f>IFERROR(INDEX('Green_rooibos initial weight'!$C$5:$C$2000,MATCH(K514, 'Green_rooibos initial weight'!$A$5:$A$2000,0)),"")</f>
        <v>1.9950000000000001</v>
      </c>
      <c r="M514" s="264">
        <f>IFERROR(L514-(TBIcalc!$Q$9+TBIcalc!$Q$10),"")</f>
        <v>1.7452000000000001</v>
      </c>
      <c r="N514" s="385">
        <f>AVERAGE(Ashed_controlls!$K$2:$K$11)</f>
        <v>5.5147656768714146</v>
      </c>
      <c r="O514" s="264">
        <f t="shared" si="36"/>
        <v>1.6489563094072401</v>
      </c>
      <c r="P514" s="264" t="str">
        <f>IFERROR(INDEX('Both teabags AfterDry'!$D$2:$D$2000,MATCH(K514,'Both teabags AfterDry'!$A$2:$A$2000,0)),"")</f>
        <v/>
      </c>
      <c r="Q514" s="264" t="str">
        <f>IFERROR(IF(P514&gt;0,P514-(TBIcalc!$Q$9),""),"")</f>
        <v/>
      </c>
      <c r="R514" s="275" t="str">
        <f>IFERROR(INDEX('Ashed teabags dry'!$K$2:$K$2000,MATCH(K514,'Ashed teabags dry'!$A$2:$A$2000,0)),"")</f>
        <v/>
      </c>
      <c r="S514" s="275" t="str">
        <f t="shared" si="37"/>
        <v/>
      </c>
      <c r="T514" s="265">
        <f>IF('Dry_Litterbag Placem_Collection'!E75="","",'Dry_Litterbag Placem_Collection'!E75)</f>
        <v>42937</v>
      </c>
      <c r="U514" s="265">
        <f>IF('Dry_Litterbag Placem_Collection'!G75="","",'Dry_Litterbag Placem_Collection'!G75)</f>
        <v>43006</v>
      </c>
      <c r="V514" s="266">
        <f t="shared" ref="V514:V577" si="40">IFERROR(U514-T514,"")</f>
        <v>69</v>
      </c>
      <c r="W514" s="264" t="str">
        <f t="shared" si="38"/>
        <v/>
      </c>
      <c r="X514" s="264" t="str">
        <f t="shared" si="39"/>
        <v/>
      </c>
      <c r="Y514" s="268">
        <f>IFERROR(INDEX(Rainfall_Dry!$O$2:$O$217,MATCH(B514, Rainfall_Dry!$A$2:$A$217,0)),"")</f>
        <v>6.900000125</v>
      </c>
      <c r="Z514" s="257">
        <v>45.272914521112256</v>
      </c>
      <c r="AA514" s="257">
        <v>23.604531410916575</v>
      </c>
      <c r="AB514" s="257">
        <v>31.122554067971166</v>
      </c>
      <c r="AC514" s="258" t="s">
        <v>2657</v>
      </c>
      <c r="AD514" s="257">
        <v>2.0547560374568752</v>
      </c>
      <c r="AE514">
        <f>IF('WetLitterbags placem_collection'!AB75="","",'WetLitterbags placem_collection'!AB75)</f>
        <v>9.1</v>
      </c>
      <c r="AF514">
        <f>IF('WetLitterbags placem_collection'!Z75="","",'WetLitterbags placem_collection'!Z75)</f>
        <v>10</v>
      </c>
      <c r="AG514" s="243" t="str">
        <f>IF('WetLitterbags placem_collection'!AA75="","",'WetLitterbags placem_collection'!AA75)</f>
        <v>M</v>
      </c>
      <c r="AH514">
        <f>IF('WetLitterbags placem_collection'!AC75="","",'WetLitterbags placem_collection'!AC75)</f>
        <v>1</v>
      </c>
      <c r="AI514">
        <f>IFERROR(AVERAGE('Dry_Litterbag Placem_Collection'!O75,'Dry_Litterbag Placem_Collection'!R75),"")</f>
        <v>9.5500000000000007</v>
      </c>
      <c r="AJ514" s="268">
        <f>IFERROR(AVERAGE('Dry_Litterbag Placem_Collection'!N75,'Dry_Litterbag Placem_Collection'!Q75),"")</f>
        <v>28.35</v>
      </c>
      <c r="AK514" s="267">
        <f>INDEX(Coordinates!$B$2:$B$197,MATCH(H514,Coordinates!$J$2:$J$197,0))</f>
        <v>-3.3025860229999999</v>
      </c>
      <c r="AL514" s="267">
        <f>INDEX(Coordinates!$C$2:$C$197,MATCH(H514,Coordinates!$J$2:$J$197,0))</f>
        <v>34.848048009999999</v>
      </c>
      <c r="AM514" s="267" t="str">
        <f>IF(ISNUMBER(SEARCH("C", 'Dry_Litterbag Placem_Collection'!U75)),"YES","NO")</f>
        <v>NO</v>
      </c>
      <c r="AN514" s="267" t="str">
        <f>IF(ISNUMBER(SEARCH("H", 'Dry_Litterbag Placem_Collection'!U75)),"YES","NO")</f>
        <v>NO</v>
      </c>
      <c r="AO514" s="267" t="str">
        <f>IF(ISNUMBER(SEARCH("R", 'Dry_Litterbag Placem_Collection'!U75)),"YES","NO")</f>
        <v>NO</v>
      </c>
    </row>
    <row r="515" spans="1:41" ht="15" customHeight="1">
      <c r="A515" s="259" t="s">
        <v>2643</v>
      </c>
      <c r="B515" s="260">
        <f>'Dry_Litterbag Placem_Collection'!A76</f>
        <v>74</v>
      </c>
      <c r="C515" s="260" t="str">
        <f>'Dry_Litterbag Placem_Collection'!B76</f>
        <v>Maswa</v>
      </c>
      <c r="D515" s="260" t="s">
        <v>2643</v>
      </c>
      <c r="E515" s="260" t="s">
        <v>2645</v>
      </c>
      <c r="F515" s="260">
        <v>2</v>
      </c>
      <c r="G515" s="260" t="s">
        <v>3812</v>
      </c>
      <c r="H515" s="261" t="str">
        <f>'Dry_Litterbag Placem_Collection'!C76</f>
        <v>Dry_W2_T2</v>
      </c>
      <c r="I515" s="270" t="s">
        <v>3630</v>
      </c>
      <c r="J515" s="263" t="s">
        <v>1147</v>
      </c>
      <c r="K515" s="260" t="str">
        <f>IF(ISBLANK('Dry_Litterbag Placem_Collection'!L76),"","G"&amp;""&amp;'Dry_Litterbag Placem_Collection'!L76)</f>
        <v>G866</v>
      </c>
      <c r="L515" s="264">
        <f>IFERROR(INDEX('Green_rooibos initial weight'!$C$5:$C$2000,MATCH(K515, 'Green_rooibos initial weight'!$A$5:$A$2000,0)),"")</f>
        <v>2.0310000000000001</v>
      </c>
      <c r="M515" s="264">
        <f>IFERROR(L515-(TBIcalc!$Q$9+TBIcalc!$Q$10),"")</f>
        <v>1.7812000000000001</v>
      </c>
      <c r="N515" s="385">
        <f>AVERAGE(Ashed_controlls!$K$2:$K$11)</f>
        <v>5.5147656768714146</v>
      </c>
      <c r="O515" s="264">
        <f t="shared" ref="O515:O578" si="41">IFERROR(M515-(N515/100)*M515,"")</f>
        <v>1.6829709937635664</v>
      </c>
      <c r="P515" s="264">
        <f>IFERROR(INDEX('Both teabags AfterDry'!$D$2:$D$2000,MATCH(K515,'Both teabags AfterDry'!$A$2:$A$2000,0)),"")</f>
        <v>1.8541000000000001</v>
      </c>
      <c r="Q515" s="264">
        <f>IFERROR(IF(P515&gt;0,P515-(TBIcalc!$Q$9),""),"")</f>
        <v>1.7035</v>
      </c>
      <c r="R515" s="275">
        <f>IFERROR(INDEX('Ashed teabags dry'!$K$2:$K$2000,MATCH(K515,'Ashed teabags dry'!$A$2:$A$2000,0)),"")</f>
        <v>5.5854973052423755</v>
      </c>
      <c r="S515" s="275">
        <f t="shared" ref="S515:S578" si="42">IFERROR(Q515-(R515/100)*Q515,"")</f>
        <v>1.6083510534051961</v>
      </c>
      <c r="T515" s="265">
        <f>IF('Dry_Litterbag Placem_Collection'!E76="","",'Dry_Litterbag Placem_Collection'!E76)</f>
        <v>42937</v>
      </c>
      <c r="U515" s="265">
        <f>IF('Dry_Litterbag Placem_Collection'!G76="","",'Dry_Litterbag Placem_Collection'!G76)</f>
        <v>43006</v>
      </c>
      <c r="V515" s="266">
        <f t="shared" si="40"/>
        <v>69</v>
      </c>
      <c r="W515" s="264">
        <f t="shared" ref="W515:W578" si="43">IFERROR(M515-Q515,"")</f>
        <v>7.7700000000000102E-2</v>
      </c>
      <c r="X515" s="264">
        <f t="shared" ref="X515:X578" si="44">IFERROR(O515-S515,"")</f>
        <v>7.4619940358370274E-2</v>
      </c>
      <c r="Y515" s="268">
        <f>IFERROR(INDEX(Rainfall_Dry!$O$2:$O$217,MATCH(B515, Rainfall_Dry!$A$2:$A$217,0)),"")</f>
        <v>6.900000125</v>
      </c>
      <c r="Z515" s="257">
        <v>45.272914521112256</v>
      </c>
      <c r="AA515" s="257">
        <v>23.604531410916575</v>
      </c>
      <c r="AB515" s="257">
        <v>31.122554067971166</v>
      </c>
      <c r="AC515" s="258" t="s">
        <v>2657</v>
      </c>
      <c r="AD515" s="257">
        <v>3.0547560374568801</v>
      </c>
      <c r="AE515">
        <f>IF('WetLitterbags placem_collection'!AB76="","",'WetLitterbags placem_collection'!AB76)</f>
        <v>7.7</v>
      </c>
      <c r="AF515">
        <f>IF('WetLitterbags placem_collection'!Z76="","",'WetLitterbags placem_collection'!Z76)</f>
        <v>9.4</v>
      </c>
      <c r="AG515" s="243" t="str">
        <f>IF('WetLitterbags placem_collection'!AA76="","",'WetLitterbags placem_collection'!AA76)</f>
        <v>M</v>
      </c>
      <c r="AH515">
        <f>IF('WetLitterbags placem_collection'!AC76="","",'WetLitterbags placem_collection'!AC76)</f>
        <v>1</v>
      </c>
      <c r="AI515">
        <f>IFERROR(AVERAGE('Dry_Litterbag Placem_Collection'!O76,'Dry_Litterbag Placem_Collection'!R76),"")</f>
        <v>10.8</v>
      </c>
      <c r="AJ515" s="268">
        <f>IFERROR(AVERAGE('Dry_Litterbag Placem_Collection'!N76,'Dry_Litterbag Placem_Collection'!Q76),"")</f>
        <v>28.1</v>
      </c>
      <c r="AK515" s="267">
        <f>INDEX(Coordinates!$B$2:$B$197,MATCH(H515,Coordinates!$J$2:$J$197,0))</f>
        <v>-3.3025779759999998</v>
      </c>
      <c r="AL515" s="267">
        <f>INDEX(Coordinates!$C$2:$C$197,MATCH(H515,Coordinates!$J$2:$J$197,0))</f>
        <v>34.848041969999997</v>
      </c>
      <c r="AM515" s="267" t="str">
        <f>IF(ISNUMBER(SEARCH("C", 'Dry_Litterbag Placem_Collection'!U76)),"YES","NO")</f>
        <v>NO</v>
      </c>
      <c r="AN515" s="267" t="str">
        <f>IF(ISNUMBER(SEARCH("H", 'Dry_Litterbag Placem_Collection'!U76)),"YES","NO")</f>
        <v>NO</v>
      </c>
      <c r="AO515" s="267" t="str">
        <f>IF(ISNUMBER(SEARCH("R", 'Dry_Litterbag Placem_Collection'!U76)),"YES","NO")</f>
        <v>NO</v>
      </c>
    </row>
    <row r="516" spans="1:41" ht="15" customHeight="1">
      <c r="A516" s="259" t="s">
        <v>2643</v>
      </c>
      <c r="B516" s="260">
        <f>'Dry_Litterbag Placem_Collection'!A77</f>
        <v>75</v>
      </c>
      <c r="C516" s="260" t="str">
        <f>'Dry_Litterbag Placem_Collection'!B77</f>
        <v>Maswa</v>
      </c>
      <c r="D516" s="260" t="s">
        <v>2643</v>
      </c>
      <c r="E516" s="260" t="s">
        <v>2645</v>
      </c>
      <c r="F516" s="260">
        <v>2</v>
      </c>
      <c r="G516" s="260" t="s">
        <v>3812</v>
      </c>
      <c r="H516" s="261" t="str">
        <f>'Dry_Litterbag Placem_Collection'!C77</f>
        <v>Dry_W2_T3</v>
      </c>
      <c r="I516" s="270" t="s">
        <v>3630</v>
      </c>
      <c r="J516" s="263" t="s">
        <v>1147</v>
      </c>
      <c r="K516" s="260" t="str">
        <f>IF(ISBLANK('Dry_Litterbag Placem_Collection'!L77),"","G"&amp;""&amp;'Dry_Litterbag Placem_Collection'!L77)</f>
        <v>G705</v>
      </c>
      <c r="L516" s="264">
        <f>IFERROR(INDEX('Green_rooibos initial weight'!$C$5:$C$2000,MATCH(K516, 'Green_rooibos initial weight'!$A$5:$A$2000,0)),"")</f>
        <v>1.9830000000000001</v>
      </c>
      <c r="M516" s="264">
        <f>IFERROR(L516-(TBIcalc!$Q$9+TBIcalc!$Q$10),"")</f>
        <v>1.7332000000000001</v>
      </c>
      <c r="N516" s="385">
        <f>AVERAGE(Ashed_controlls!$K$2:$K$11)</f>
        <v>5.5147656768714146</v>
      </c>
      <c r="O516" s="264">
        <f t="shared" si="41"/>
        <v>1.6376180812884646</v>
      </c>
      <c r="P516" s="264">
        <f>IFERROR(INDEX('Both teabags AfterDry'!$D$2:$D$2000,MATCH(K516,'Both teabags AfterDry'!$A$2:$A$2000,0)),"")</f>
        <v>1.8152999999999999</v>
      </c>
      <c r="Q516" s="264">
        <f>IFERROR(IF(P516&gt;0,P516-(TBIcalc!$Q$9),""),"")</f>
        <v>1.6646999999999998</v>
      </c>
      <c r="R516" s="275">
        <f>IFERROR(INDEX('Ashed teabags dry'!$K$2:$K$2000,MATCH(K516,'Ashed teabags dry'!$A$2:$A$2000,0)),"")</f>
        <v>5.8558558558565581</v>
      </c>
      <c r="S516" s="275">
        <f t="shared" si="42"/>
        <v>1.5672175675675557</v>
      </c>
      <c r="T516" s="265">
        <f>IF('Dry_Litterbag Placem_Collection'!E77="","",'Dry_Litterbag Placem_Collection'!E77)</f>
        <v>42937</v>
      </c>
      <c r="U516" s="265">
        <f>IF('Dry_Litterbag Placem_Collection'!G77="","",'Dry_Litterbag Placem_Collection'!G77)</f>
        <v>43006</v>
      </c>
      <c r="V516" s="266">
        <f t="shared" si="40"/>
        <v>69</v>
      </c>
      <c r="W516" s="264">
        <f t="shared" si="43"/>
        <v>6.8500000000000227E-2</v>
      </c>
      <c r="X516" s="264">
        <f t="shared" si="44"/>
        <v>7.0400513720908942E-2</v>
      </c>
      <c r="Y516" s="268">
        <f>IFERROR(INDEX(Rainfall_Dry!$O$2:$O$217,MATCH(B516, Rainfall_Dry!$A$2:$A$217,0)),"")</f>
        <v>6.900000125</v>
      </c>
      <c r="Z516" s="257">
        <v>45.272914521112256</v>
      </c>
      <c r="AA516" s="257">
        <v>23.604531410916575</v>
      </c>
      <c r="AB516" s="257">
        <v>31.122554067971166</v>
      </c>
      <c r="AC516" s="258" t="s">
        <v>2657</v>
      </c>
      <c r="AD516" s="257">
        <v>4.0547560374568796</v>
      </c>
      <c r="AE516">
        <f>IF('WetLitterbags placem_collection'!AB77="","",'WetLitterbags placem_collection'!AB77)</f>
        <v>6.1</v>
      </c>
      <c r="AF516">
        <f>IF('WetLitterbags placem_collection'!Z77="","",'WetLitterbags placem_collection'!Z77)</f>
        <v>13.8</v>
      </c>
      <c r="AG516" s="243" t="str">
        <f>IF('WetLitterbags placem_collection'!AA77="","",'WetLitterbags placem_collection'!AA77)</f>
        <v>O</v>
      </c>
      <c r="AH516">
        <f>IF('WetLitterbags placem_collection'!AC77="","",'WetLitterbags placem_collection'!AC77)</f>
        <v>0</v>
      </c>
      <c r="AI516">
        <f>IFERROR(AVERAGE('Dry_Litterbag Placem_Collection'!O77,'Dry_Litterbag Placem_Collection'!R77),"")</f>
        <v>12.3</v>
      </c>
      <c r="AJ516" s="268">
        <f>IFERROR(AVERAGE('Dry_Litterbag Placem_Collection'!N77,'Dry_Litterbag Placem_Collection'!Q77),"")</f>
        <v>27.200000000000003</v>
      </c>
      <c r="AK516" s="267">
        <f>INDEX(Coordinates!$B$2:$B$197,MATCH(H516,Coordinates!$J$2:$J$197,0))</f>
        <v>-3.302687025</v>
      </c>
      <c r="AL516" s="267">
        <f>INDEX(Coordinates!$C$2:$C$197,MATCH(H516,Coordinates!$J$2:$J$197,0))</f>
        <v>34.847926970000003</v>
      </c>
      <c r="AM516" s="267" t="str">
        <f>IF(ISNUMBER(SEARCH("C", 'Dry_Litterbag Placem_Collection'!U77)),"YES","NO")</f>
        <v>NO</v>
      </c>
      <c r="AN516" s="267" t="str">
        <f>IF(ISNUMBER(SEARCH("H", 'Dry_Litterbag Placem_Collection'!U77)),"YES","NO")</f>
        <v>NO</v>
      </c>
      <c r="AO516" s="267" t="str">
        <f>IF(ISNUMBER(SEARCH("R", 'Dry_Litterbag Placem_Collection'!U77)),"YES","NO")</f>
        <v>NO</v>
      </c>
    </row>
    <row r="517" spans="1:41" ht="15" customHeight="1">
      <c r="A517" s="259" t="s">
        <v>2643</v>
      </c>
      <c r="B517" s="260">
        <f>'Dry_Litterbag Placem_Collection'!A78</f>
        <v>76</v>
      </c>
      <c r="C517" s="260" t="str">
        <f>'Dry_Litterbag Placem_Collection'!B78</f>
        <v>Maswa</v>
      </c>
      <c r="D517" s="260" t="s">
        <v>2643</v>
      </c>
      <c r="E517" s="260" t="s">
        <v>2645</v>
      </c>
      <c r="F517" s="260">
        <v>2</v>
      </c>
      <c r="G517" s="260" t="s">
        <v>3812</v>
      </c>
      <c r="H517" s="261" t="str">
        <f>'Dry_Litterbag Placem_Collection'!C78</f>
        <v>Dry_W2_T4</v>
      </c>
      <c r="I517" s="270" t="s">
        <v>3630</v>
      </c>
      <c r="J517" s="263" t="s">
        <v>1147</v>
      </c>
      <c r="K517" s="260" t="str">
        <f>IF(ISBLANK('Dry_Litterbag Placem_Collection'!L78),"","G"&amp;""&amp;'Dry_Litterbag Placem_Collection'!L78)</f>
        <v>G601</v>
      </c>
      <c r="L517" s="264">
        <f>IFERROR(INDEX('Green_rooibos initial weight'!$C$5:$C$2000,MATCH(K517, 'Green_rooibos initial weight'!$A$5:$A$2000,0)),"")</f>
        <v>2.0099999999999998</v>
      </c>
      <c r="M517" s="264">
        <f>IFERROR(L517-(TBIcalc!$Q$9+TBIcalc!$Q$10),"")</f>
        <v>1.7601999999999998</v>
      </c>
      <c r="N517" s="385">
        <f>AVERAGE(Ashed_controlls!$K$2:$K$11)</f>
        <v>5.5147656768714146</v>
      </c>
      <c r="O517" s="264">
        <f t="shared" si="41"/>
        <v>1.6631290945557091</v>
      </c>
      <c r="P517" s="264">
        <f>IFERROR(INDEX('Both teabags AfterDry'!$D$2:$D$2000,MATCH(K517,'Both teabags AfterDry'!$A$2:$A$2000,0)),"")</f>
        <v>1.8379000000000001</v>
      </c>
      <c r="Q517" s="264">
        <f>IFERROR(IF(P517&gt;0,P517-(TBIcalc!$Q$9),""),"")</f>
        <v>1.6873</v>
      </c>
      <c r="R517" s="275">
        <f>IFERROR(INDEX('Ashed teabags dry'!$K$2:$K$2000,MATCH(K517,'Ashed teabags dry'!$A$2:$A$2000,0)),"")</f>
        <v>5.9833251593918666</v>
      </c>
      <c r="S517" s="275">
        <f t="shared" si="42"/>
        <v>1.586343354585581</v>
      </c>
      <c r="T517" s="265">
        <f>IF('Dry_Litterbag Placem_Collection'!E78="","",'Dry_Litterbag Placem_Collection'!E78)</f>
        <v>42937</v>
      </c>
      <c r="U517" s="265">
        <f>IF('Dry_Litterbag Placem_Collection'!G78="","",'Dry_Litterbag Placem_Collection'!G78)</f>
        <v>43006</v>
      </c>
      <c r="V517" s="266">
        <f t="shared" si="40"/>
        <v>69</v>
      </c>
      <c r="W517" s="264">
        <f t="shared" si="43"/>
        <v>7.2899999999999743E-2</v>
      </c>
      <c r="X517" s="264">
        <f t="shared" si="44"/>
        <v>7.6785739970128164E-2</v>
      </c>
      <c r="Y517" s="268">
        <f>IFERROR(INDEX(Rainfall_Dry!$O$2:$O$217,MATCH(B517, Rainfall_Dry!$A$2:$A$217,0)),"")</f>
        <v>6.900000125</v>
      </c>
      <c r="Z517" s="257">
        <v>45.272914521112256</v>
      </c>
      <c r="AA517" s="257">
        <v>23.604531410916575</v>
      </c>
      <c r="AB517" s="257">
        <v>31.122554067971166</v>
      </c>
      <c r="AC517" s="258" t="s">
        <v>2657</v>
      </c>
      <c r="AD517" s="257">
        <v>5.0547560374568796</v>
      </c>
      <c r="AE517">
        <f>IF('WetLitterbags placem_collection'!AB78="","",'WetLitterbags placem_collection'!AB78)</f>
        <v>6.7</v>
      </c>
      <c r="AF517">
        <f>IF('WetLitterbags placem_collection'!Z78="","",'WetLitterbags placem_collection'!Z78)</f>
        <v>19.3</v>
      </c>
      <c r="AG517" s="243" t="str">
        <f>IF('WetLitterbags placem_collection'!AA78="","",'WetLitterbags placem_collection'!AA78)</f>
        <v>M</v>
      </c>
      <c r="AH517">
        <f>IF('WetLitterbags placem_collection'!AC78="","",'WetLitterbags placem_collection'!AC78)</f>
        <v>1</v>
      </c>
      <c r="AI517">
        <f>IFERROR(AVERAGE('Dry_Litterbag Placem_Collection'!O78,'Dry_Litterbag Placem_Collection'!R78),"")</f>
        <v>11.1</v>
      </c>
      <c r="AJ517" s="268">
        <f>IFERROR(AVERAGE('Dry_Litterbag Placem_Collection'!N78,'Dry_Litterbag Placem_Collection'!Q78),"")</f>
        <v>27.75</v>
      </c>
      <c r="AK517" s="267">
        <f>INDEX(Coordinates!$B$2:$B$197,MATCH(H517,Coordinates!$J$2:$J$197,0))</f>
        <v>-3.3024560190000001</v>
      </c>
      <c r="AL517" s="267">
        <f>INDEX(Coordinates!$C$2:$C$197,MATCH(H517,Coordinates!$J$2:$J$197,0))</f>
        <v>34.847871990000002</v>
      </c>
      <c r="AM517" s="267" t="str">
        <f>IF(ISNUMBER(SEARCH("C", 'Dry_Litterbag Placem_Collection'!U78)),"YES","NO")</f>
        <v>NO</v>
      </c>
      <c r="AN517" s="267" t="str">
        <f>IF(ISNUMBER(SEARCH("H", 'Dry_Litterbag Placem_Collection'!U78)),"YES","NO")</f>
        <v>NO</v>
      </c>
      <c r="AO517" s="267" t="str">
        <f>IF(ISNUMBER(SEARCH("R", 'Dry_Litterbag Placem_Collection'!U78)),"YES","NO")</f>
        <v>NO</v>
      </c>
    </row>
    <row r="518" spans="1:41" ht="15" customHeight="1">
      <c r="A518" s="259" t="s">
        <v>2643</v>
      </c>
      <c r="B518" s="260">
        <f>'Dry_Litterbag Placem_Collection'!A79</f>
        <v>77</v>
      </c>
      <c r="C518" s="260" t="str">
        <f>'Dry_Litterbag Placem_Collection'!B79</f>
        <v>Maswa</v>
      </c>
      <c r="D518" s="260" t="s">
        <v>2643</v>
      </c>
      <c r="E518" s="260" t="s">
        <v>2645</v>
      </c>
      <c r="F518" s="260">
        <v>2</v>
      </c>
      <c r="G518" s="260" t="s">
        <v>3812</v>
      </c>
      <c r="H518" s="261" t="str">
        <f>'Dry_Litterbag Placem_Collection'!C79</f>
        <v>Dry_W2_T5</v>
      </c>
      <c r="I518" s="270" t="s">
        <v>3630</v>
      </c>
      <c r="J518" s="263" t="s">
        <v>1147</v>
      </c>
      <c r="K518" s="260" t="str">
        <f>IF(ISBLANK('Dry_Litterbag Placem_Collection'!L79),"","G"&amp;""&amp;'Dry_Litterbag Placem_Collection'!L79)</f>
        <v/>
      </c>
      <c r="L518" s="264" t="str">
        <f>IFERROR(INDEX('Green_rooibos initial weight'!$C$5:$C$2000,MATCH(K518, 'Green_rooibos initial weight'!$A$5:$A$2000,0)),"")</f>
        <v/>
      </c>
      <c r="M518" s="264" t="str">
        <f>IFERROR(L518-(TBIcalc!$Q$9+TBIcalc!$Q$10),"")</f>
        <v/>
      </c>
      <c r="N518" s="385">
        <f>AVERAGE(Ashed_controlls!$K$2:$K$11)</f>
        <v>5.5147656768714146</v>
      </c>
      <c r="O518" s="264" t="str">
        <f t="shared" si="41"/>
        <v/>
      </c>
      <c r="P518" s="264" t="str">
        <f>IFERROR(INDEX('Both teabags AfterDry'!$D$2:$D$2000,MATCH(K518,'Both teabags AfterDry'!$A$2:$A$2000,0)),"")</f>
        <v/>
      </c>
      <c r="Q518" s="264" t="str">
        <f>IFERROR(IF(P518&gt;0,P518-(TBIcalc!$Q$9),""),"")</f>
        <v/>
      </c>
      <c r="R518" s="275" t="str">
        <f>IFERROR(INDEX('Ashed teabags dry'!$K$2:$K$2000,MATCH(K518,'Ashed teabags dry'!$A$2:$A$2000,0)),"")</f>
        <v/>
      </c>
      <c r="S518" s="275" t="str">
        <f t="shared" si="42"/>
        <v/>
      </c>
      <c r="T518" s="265" t="str">
        <f>IF('Dry_Litterbag Placem_Collection'!E79="","",'Dry_Litterbag Placem_Collection'!E79)</f>
        <v/>
      </c>
      <c r="U518" s="265" t="str">
        <f>IF('Dry_Litterbag Placem_Collection'!G79="","",'Dry_Litterbag Placem_Collection'!G79)</f>
        <v/>
      </c>
      <c r="V518" s="266" t="str">
        <f t="shared" si="40"/>
        <v/>
      </c>
      <c r="W518" s="264" t="str">
        <f t="shared" si="43"/>
        <v/>
      </c>
      <c r="X518" s="264" t="str">
        <f t="shared" si="44"/>
        <v/>
      </c>
      <c r="Y518" s="268" t="str">
        <f>IFERROR(INDEX(Rainfall_Dry!$O$2:$O$217,MATCH(B518, Rainfall_Dry!$A$2:$A$217,0)),"")</f>
        <v/>
      </c>
      <c r="Z518" s="257">
        <v>45.272914521112256</v>
      </c>
      <c r="AA518" s="257">
        <v>23.604531410916575</v>
      </c>
      <c r="AB518" s="257">
        <v>31.122554067971166</v>
      </c>
      <c r="AC518" s="258" t="s">
        <v>2657</v>
      </c>
      <c r="AD518" s="257">
        <v>6.0547560374568796</v>
      </c>
      <c r="AE518">
        <f>IF('WetLitterbags placem_collection'!AB79="","",'WetLitterbags placem_collection'!AB79)</f>
        <v>3.1</v>
      </c>
      <c r="AF518">
        <f>IF('WetLitterbags placem_collection'!Z79="","",'WetLitterbags placem_collection'!Z79)</f>
        <v>9.8000000000000007</v>
      </c>
      <c r="AG518" s="243" t="str">
        <f>IF('WetLitterbags placem_collection'!AA79="","",'WetLitterbags placem_collection'!AA79)</f>
        <v>O</v>
      </c>
      <c r="AH518">
        <f>IF('WetLitterbags placem_collection'!AC79="","",'WetLitterbags placem_collection'!AC79)</f>
        <v>1</v>
      </c>
      <c r="AI518" t="str">
        <f>IFERROR(AVERAGE('Dry_Litterbag Placem_Collection'!O79,'Dry_Litterbag Placem_Collection'!R79),"")</f>
        <v/>
      </c>
      <c r="AJ518" s="268" t="str">
        <f>IFERROR(AVERAGE('Dry_Litterbag Placem_Collection'!N79,'Dry_Litterbag Placem_Collection'!Q79),"")</f>
        <v/>
      </c>
      <c r="AK518" s="267">
        <f>INDEX(Coordinates!$B$2:$B$197,MATCH(H518,Coordinates!$J$2:$J$197,0))</f>
        <v>-3.3023280279999998</v>
      </c>
      <c r="AL518" s="267">
        <f>INDEX(Coordinates!$C$2:$C$197,MATCH(H518,Coordinates!$J$2:$J$197,0))</f>
        <v>34.848223019999999</v>
      </c>
      <c r="AM518" s="267" t="str">
        <f>IF(ISNUMBER(SEARCH("C", 'Dry_Litterbag Placem_Collection'!U79)),"YES","NO")</f>
        <v>NO</v>
      </c>
      <c r="AN518" s="267" t="str">
        <f>IF(ISNUMBER(SEARCH("H", 'Dry_Litterbag Placem_Collection'!U79)),"YES","NO")</f>
        <v>NO</v>
      </c>
      <c r="AO518" s="267" t="str">
        <f>IF(ISNUMBER(SEARCH("R", 'Dry_Litterbag Placem_Collection'!U79)),"YES","NO")</f>
        <v>NO</v>
      </c>
    </row>
    <row r="519" spans="1:41" ht="15" customHeight="1">
      <c r="A519" s="259" t="s">
        <v>2643</v>
      </c>
      <c r="B519" s="260">
        <f>'Dry_Litterbag Placem_Collection'!A80</f>
        <v>78</v>
      </c>
      <c r="C519" s="260" t="str">
        <f>'Dry_Litterbag Placem_Collection'!B80</f>
        <v>Maswa</v>
      </c>
      <c r="D519" s="260" t="s">
        <v>2643</v>
      </c>
      <c r="E519" s="260" t="s">
        <v>2645</v>
      </c>
      <c r="F519" s="260">
        <v>2</v>
      </c>
      <c r="G519" s="260" t="s">
        <v>3812</v>
      </c>
      <c r="H519" s="261" t="str">
        <f>'Dry_Litterbag Placem_Collection'!C80</f>
        <v>Dry_W2_T6</v>
      </c>
      <c r="I519" s="270" t="s">
        <v>3630</v>
      </c>
      <c r="J519" s="263" t="s">
        <v>1147</v>
      </c>
      <c r="K519" s="260" t="str">
        <f>IF(ISBLANK('Dry_Litterbag Placem_Collection'!L80),"","G"&amp;""&amp;'Dry_Litterbag Placem_Collection'!L80)</f>
        <v>G157</v>
      </c>
      <c r="L519" s="264">
        <f>IFERROR(INDEX('Green_rooibos initial weight'!$C$5:$C$2000,MATCH(K519, 'Green_rooibos initial weight'!$A$5:$A$2000,0)),"")</f>
        <v>1.994</v>
      </c>
      <c r="M519" s="264">
        <f>IFERROR(L519-(TBIcalc!$Q$9+TBIcalc!$Q$10),"")</f>
        <v>1.7442</v>
      </c>
      <c r="N519" s="385">
        <f>AVERAGE(Ashed_controlls!$K$2:$K$11)</f>
        <v>5.5147656768714146</v>
      </c>
      <c r="O519" s="264">
        <f t="shared" si="41"/>
        <v>1.6480114570640088</v>
      </c>
      <c r="P519" s="264">
        <f>IFERROR(INDEX('Both teabags AfterDry'!$D$2:$D$2000,MATCH(K519,'Both teabags AfterDry'!$A$2:$A$2000,0)),"")</f>
        <v>1.8103</v>
      </c>
      <c r="Q519" s="264">
        <f>IFERROR(IF(P519&gt;0,P519-(TBIcalc!$Q$9),""),"")</f>
        <v>1.6597</v>
      </c>
      <c r="R519" s="275">
        <f>IFERROR(INDEX('Ashed teabags dry'!$K$2:$K$2000,MATCH(K519,'Ashed teabags dry'!$A$2:$A$2000,0)),"")</f>
        <v>6.3027295285366076</v>
      </c>
      <c r="S519" s="275">
        <f t="shared" si="42"/>
        <v>1.5550935980148779</v>
      </c>
      <c r="T519" s="265">
        <f>IF('Dry_Litterbag Placem_Collection'!E80="","",'Dry_Litterbag Placem_Collection'!E80)</f>
        <v>42937</v>
      </c>
      <c r="U519" s="265">
        <f>IF('Dry_Litterbag Placem_Collection'!G80="","",'Dry_Litterbag Placem_Collection'!G80)</f>
        <v>43006</v>
      </c>
      <c r="V519" s="266">
        <f t="shared" si="40"/>
        <v>69</v>
      </c>
      <c r="W519" s="264">
        <f t="shared" si="43"/>
        <v>8.450000000000002E-2</v>
      </c>
      <c r="X519" s="264">
        <f t="shared" si="44"/>
        <v>9.2917859049130858E-2</v>
      </c>
      <c r="Y519" s="268">
        <f>IFERROR(INDEX(Rainfall_Dry!$O$2:$O$217,MATCH(B519, Rainfall_Dry!$A$2:$A$217,0)),"")</f>
        <v>6.900000125</v>
      </c>
      <c r="Z519" s="257">
        <v>45.272914521112256</v>
      </c>
      <c r="AA519" s="257">
        <v>23.604531410916575</v>
      </c>
      <c r="AB519" s="257">
        <v>31.122554067971166</v>
      </c>
      <c r="AC519" s="258" t="s">
        <v>2657</v>
      </c>
      <c r="AD519" s="257">
        <v>7.0547560374568796</v>
      </c>
      <c r="AE519">
        <f>IF('WetLitterbags placem_collection'!AB80="","",'WetLitterbags placem_collection'!AB80)</f>
        <v>10.4</v>
      </c>
      <c r="AF519">
        <f>IF('WetLitterbags placem_collection'!Z80="","",'WetLitterbags placem_collection'!Z80)</f>
        <v>15.4</v>
      </c>
      <c r="AG519" s="243" t="str">
        <f>IF('WetLitterbags placem_collection'!AA80="","",'WetLitterbags placem_collection'!AA80)</f>
        <v>M</v>
      </c>
      <c r="AH519">
        <f>IF('WetLitterbags placem_collection'!AC80="","",'WetLitterbags placem_collection'!AC80)</f>
        <v>1</v>
      </c>
      <c r="AI519">
        <f>IFERROR(AVERAGE('Dry_Litterbag Placem_Collection'!O80,'Dry_Litterbag Placem_Collection'!R80),"")</f>
        <v>11.149999999999999</v>
      </c>
      <c r="AJ519" s="268">
        <f>IFERROR(AVERAGE('Dry_Litterbag Placem_Collection'!N80,'Dry_Litterbag Placem_Collection'!Q80),"")</f>
        <v>28.35</v>
      </c>
      <c r="AK519" s="267">
        <f>INDEX(Coordinates!$B$2:$B$197,MATCH(H519,Coordinates!$J$2:$J$197,0))</f>
        <v>-3.3025680020000001</v>
      </c>
      <c r="AL519" s="267">
        <f>INDEX(Coordinates!$C$2:$C$197,MATCH(H519,Coordinates!$J$2:$J$197,0))</f>
        <v>34.848167029999999</v>
      </c>
      <c r="AM519" s="267" t="str">
        <f>IF(ISNUMBER(SEARCH("C", 'Dry_Litterbag Placem_Collection'!U80)),"YES","NO")</f>
        <v>NO</v>
      </c>
      <c r="AN519" s="267" t="str">
        <f>IF(ISNUMBER(SEARCH("H", 'Dry_Litterbag Placem_Collection'!U80)),"YES","NO")</f>
        <v>NO</v>
      </c>
      <c r="AO519" s="267" t="str">
        <f>IF(ISNUMBER(SEARCH("R", 'Dry_Litterbag Placem_Collection'!U80)),"YES","NO")</f>
        <v>NO</v>
      </c>
    </row>
    <row r="520" spans="1:41" ht="15" customHeight="1">
      <c r="A520" s="259" t="s">
        <v>2643</v>
      </c>
      <c r="B520" s="260">
        <f>'Dry_Litterbag Placem_Collection'!A81</f>
        <v>79</v>
      </c>
      <c r="C520" s="260" t="str">
        <f>'Dry_Litterbag Placem_Collection'!B81</f>
        <v>Maswa</v>
      </c>
      <c r="D520" s="260" t="s">
        <v>2643</v>
      </c>
      <c r="E520" s="260" t="s">
        <v>2645</v>
      </c>
      <c r="F520" s="260">
        <v>2</v>
      </c>
      <c r="G520" s="260" t="s">
        <v>3812</v>
      </c>
      <c r="H520" s="261" t="str">
        <f>'Dry_Litterbag Placem_Collection'!C81</f>
        <v>Dry_W2_T7</v>
      </c>
      <c r="I520" s="270" t="s">
        <v>3630</v>
      </c>
      <c r="J520" s="263" t="s">
        <v>1147</v>
      </c>
      <c r="K520" s="260" t="str">
        <f>IF(ISBLANK('Dry_Litterbag Placem_Collection'!L81),"","G"&amp;""&amp;'Dry_Litterbag Placem_Collection'!L81)</f>
        <v>G226</v>
      </c>
      <c r="L520" s="264">
        <f>IFERROR(INDEX('Green_rooibos initial weight'!$C$5:$C$2000,MATCH(K520, 'Green_rooibos initial weight'!$A$5:$A$2000,0)),"")</f>
        <v>1.929</v>
      </c>
      <c r="M520" s="264">
        <f>IFERROR(L520-(TBIcalc!$Q$9+TBIcalc!$Q$10),"")</f>
        <v>1.6792</v>
      </c>
      <c r="N520" s="385">
        <f>AVERAGE(Ashed_controlls!$K$2:$K$11)</f>
        <v>5.5147656768714146</v>
      </c>
      <c r="O520" s="264">
        <f t="shared" si="41"/>
        <v>1.5865960547539752</v>
      </c>
      <c r="P520" s="264">
        <f>IFERROR(INDEX('Both teabags AfterDry'!$D$2:$D$2000,MATCH(K520,'Both teabags AfterDry'!$A$2:$A$2000,0)),"")</f>
        <v>1.7826</v>
      </c>
      <c r="Q520" s="264">
        <f>IFERROR(IF(P520&gt;0,P520-(TBIcalc!$Q$9),""),"")</f>
        <v>1.6319999999999999</v>
      </c>
      <c r="R520" s="275">
        <f>IFERROR(INDEX('Ashed teabags dry'!$K$2:$K$2000,MATCH(K520,'Ashed teabags dry'!$A$2:$A$2000,0)),"")</f>
        <v>5.6047197640117146</v>
      </c>
      <c r="S520" s="275">
        <f t="shared" si="42"/>
        <v>1.5405309734513288</v>
      </c>
      <c r="T520" s="265">
        <f>IF('Dry_Litterbag Placem_Collection'!E81="","",'Dry_Litterbag Placem_Collection'!E81)</f>
        <v>42937</v>
      </c>
      <c r="U520" s="265">
        <f>IF('Dry_Litterbag Placem_Collection'!G81="","",'Dry_Litterbag Placem_Collection'!G81)</f>
        <v>43006</v>
      </c>
      <c r="V520" s="266">
        <f t="shared" si="40"/>
        <v>69</v>
      </c>
      <c r="W520" s="264">
        <f t="shared" si="43"/>
        <v>4.7200000000000131E-2</v>
      </c>
      <c r="X520" s="264">
        <f t="shared" si="44"/>
        <v>4.6065081302646416E-2</v>
      </c>
      <c r="Y520" s="268">
        <f>IFERROR(INDEX(Rainfall_Dry!$O$2:$O$217,MATCH(B520, Rainfall_Dry!$A$2:$A$217,0)),"")</f>
        <v>6.900000125</v>
      </c>
      <c r="Z520" s="257">
        <v>45.272914521112256</v>
      </c>
      <c r="AA520" s="257">
        <v>23.604531410916575</v>
      </c>
      <c r="AB520" s="257">
        <v>31.122554067971166</v>
      </c>
      <c r="AC520" s="258" t="s">
        <v>2657</v>
      </c>
      <c r="AD520" s="257">
        <v>8.0547560374568796</v>
      </c>
      <c r="AE520">
        <f>IF('WetLitterbags placem_collection'!AB81="","",'WetLitterbags placem_collection'!AB81)</f>
        <v>3</v>
      </c>
      <c r="AF520">
        <f>IF('WetLitterbags placem_collection'!Z81="","",'WetLitterbags placem_collection'!Z81)</f>
        <v>5</v>
      </c>
      <c r="AG520" s="243" t="str">
        <f>IF('WetLitterbags placem_collection'!AA81="","",'WetLitterbags placem_collection'!AA81)</f>
        <v>G</v>
      </c>
      <c r="AH520">
        <f>IF('WetLitterbags placem_collection'!AC81="","",'WetLitterbags placem_collection'!AC81)</f>
        <v>1</v>
      </c>
      <c r="AI520">
        <f>IFERROR(AVERAGE('Dry_Litterbag Placem_Collection'!O81,'Dry_Litterbag Placem_Collection'!R81),"")</f>
        <v>9.1999999999999993</v>
      </c>
      <c r="AJ520" s="268">
        <f>IFERROR(AVERAGE('Dry_Litterbag Placem_Collection'!N81,'Dry_Litterbag Placem_Collection'!Q81),"")</f>
        <v>26.25</v>
      </c>
      <c r="AK520" s="267">
        <f>INDEX(Coordinates!$B$2:$B$197,MATCH(H520,Coordinates!$J$2:$J$197,0))</f>
        <v>-3.3026270100000001</v>
      </c>
      <c r="AL520" s="267">
        <f>INDEX(Coordinates!$C$2:$C$197,MATCH(H520,Coordinates!$J$2:$J$197,0))</f>
        <v>34.84840801</v>
      </c>
      <c r="AM520" s="267" t="str">
        <f>IF(ISNUMBER(SEARCH("C", 'Dry_Litterbag Placem_Collection'!U81)),"YES","NO")</f>
        <v>NO</v>
      </c>
      <c r="AN520" s="267" t="str">
        <f>IF(ISNUMBER(SEARCH("H", 'Dry_Litterbag Placem_Collection'!U81)),"YES","NO")</f>
        <v>NO</v>
      </c>
      <c r="AO520" s="267" t="str">
        <f>IF(ISNUMBER(SEARCH("R", 'Dry_Litterbag Placem_Collection'!U81)),"YES","NO")</f>
        <v>NO</v>
      </c>
    </row>
    <row r="521" spans="1:41" ht="15" customHeight="1">
      <c r="A521" s="259" t="s">
        <v>2643</v>
      </c>
      <c r="B521" s="260">
        <f>'Dry_Litterbag Placem_Collection'!A82</f>
        <v>80</v>
      </c>
      <c r="C521" s="260" t="str">
        <f>'Dry_Litterbag Placem_Collection'!B82</f>
        <v>Maswa</v>
      </c>
      <c r="D521" s="260" t="s">
        <v>2643</v>
      </c>
      <c r="E521" s="260" t="s">
        <v>2645</v>
      </c>
      <c r="F521" s="260">
        <v>2</v>
      </c>
      <c r="G521" s="260" t="s">
        <v>3812</v>
      </c>
      <c r="H521" s="261" t="str">
        <f>'Dry_Litterbag Placem_Collection'!C82</f>
        <v>Dry_W2_T8</v>
      </c>
      <c r="I521" s="270" t="s">
        <v>3630</v>
      </c>
      <c r="J521" s="263" t="s">
        <v>1147</v>
      </c>
      <c r="K521" s="260" t="str">
        <f>IF(ISBLANK('Dry_Litterbag Placem_Collection'!L82),"","G"&amp;""&amp;'Dry_Litterbag Placem_Collection'!L82)</f>
        <v>G855</v>
      </c>
      <c r="L521" s="264">
        <f>IFERROR(INDEX('Green_rooibos initial weight'!$C$5:$C$2000,MATCH(K521, 'Green_rooibos initial weight'!$A$5:$A$2000,0)),"")</f>
        <v>1.9570000000000001</v>
      </c>
      <c r="M521" s="264">
        <f>IFERROR(L521-(TBIcalc!$Q$9+TBIcalc!$Q$10),"")</f>
        <v>1.7072000000000001</v>
      </c>
      <c r="N521" s="385">
        <f>AVERAGE(Ashed_controlls!$K$2:$K$11)</f>
        <v>5.5147656768714146</v>
      </c>
      <c r="O521" s="264">
        <f t="shared" si="41"/>
        <v>1.6130519203644513</v>
      </c>
      <c r="P521" s="264">
        <f>IFERROR(INDEX('Both teabags AfterDry'!$D$2:$D$2000,MATCH(K521,'Both teabags AfterDry'!$A$2:$A$2000,0)),"")</f>
        <v>1.7664</v>
      </c>
      <c r="Q521" s="264">
        <f>IFERROR(IF(P521&gt;0,P521-(TBIcalc!$Q$9),""),"")</f>
        <v>1.6157999999999999</v>
      </c>
      <c r="R521" s="275">
        <f>IFERROR(INDEX('Ashed teabags dry'!$K$2:$K$2000,MATCH(K521,'Ashed teabags dry'!$A$2:$A$2000,0)),"")</f>
        <v>6.0306475531388282</v>
      </c>
      <c r="S521" s="275">
        <f t="shared" si="42"/>
        <v>1.5183567968363827</v>
      </c>
      <c r="T521" s="265">
        <f>IF('Dry_Litterbag Placem_Collection'!E82="","",'Dry_Litterbag Placem_Collection'!E82)</f>
        <v>42937</v>
      </c>
      <c r="U521" s="265">
        <f>IF('Dry_Litterbag Placem_Collection'!G82="","",'Dry_Litterbag Placem_Collection'!G82)</f>
        <v>43006</v>
      </c>
      <c r="V521" s="266">
        <f t="shared" si="40"/>
        <v>69</v>
      </c>
      <c r="W521" s="264">
        <f t="shared" si="43"/>
        <v>9.1400000000000148E-2</v>
      </c>
      <c r="X521" s="264">
        <f t="shared" si="44"/>
        <v>9.4695123528068637E-2</v>
      </c>
      <c r="Y521" s="268">
        <f>IFERROR(INDEX(Rainfall_Dry!$O$2:$O$217,MATCH(B521, Rainfall_Dry!$A$2:$A$217,0)),"")</f>
        <v>6.900000125</v>
      </c>
      <c r="Z521" s="257">
        <v>45.272914521112256</v>
      </c>
      <c r="AA521" s="257">
        <v>23.604531410916575</v>
      </c>
      <c r="AB521" s="257">
        <v>31.122554067971166</v>
      </c>
      <c r="AC521" s="258" t="s">
        <v>2657</v>
      </c>
      <c r="AD521" s="257">
        <v>9.0547560374568796</v>
      </c>
      <c r="AE521">
        <f>IF('WetLitterbags placem_collection'!AB82="","",'WetLitterbags placem_collection'!AB82)</f>
        <v>2.7</v>
      </c>
      <c r="AF521">
        <f>IF('WetLitterbags placem_collection'!Z82="","",'WetLitterbags placem_collection'!Z82)</f>
        <v>12.4</v>
      </c>
      <c r="AG521" s="243" t="str">
        <f>IF('WetLitterbags placem_collection'!AA82="","",'WetLitterbags placem_collection'!AA82)</f>
        <v>O</v>
      </c>
      <c r="AH521">
        <f>IF('WetLitterbags placem_collection'!AC82="","",'WetLitterbags placem_collection'!AC82)</f>
        <v>1</v>
      </c>
      <c r="AI521">
        <f>IFERROR(AVERAGE('Dry_Litterbag Placem_Collection'!O82,'Dry_Litterbag Placem_Collection'!R82),"")</f>
        <v>11.75</v>
      </c>
      <c r="AJ521" s="268">
        <f>IFERROR(AVERAGE('Dry_Litterbag Placem_Collection'!N82,'Dry_Litterbag Placem_Collection'!Q82),"")</f>
        <v>27.7</v>
      </c>
      <c r="AK521" s="267">
        <f>INDEX(Coordinates!$B$2:$B$197,MATCH(H521,Coordinates!$J$2:$J$197,0))</f>
        <v>-3.3028539920000002</v>
      </c>
      <c r="AL521" s="267">
        <f>INDEX(Coordinates!$C$2:$C$197,MATCH(H521,Coordinates!$J$2:$J$197,0))</f>
        <v>34.847988999999998</v>
      </c>
      <c r="AM521" s="267" t="str">
        <f>IF(ISNUMBER(SEARCH("C", 'Dry_Litterbag Placem_Collection'!U82)),"YES","NO")</f>
        <v>NO</v>
      </c>
      <c r="AN521" s="267" t="str">
        <f>IF(ISNUMBER(SEARCH("H", 'Dry_Litterbag Placem_Collection'!U82)),"YES","NO")</f>
        <v>NO</v>
      </c>
      <c r="AO521" s="267" t="str">
        <f>IF(ISNUMBER(SEARCH("R", 'Dry_Litterbag Placem_Collection'!U82)),"YES","NO")</f>
        <v>NO</v>
      </c>
    </row>
    <row r="522" spans="1:41" ht="15" customHeight="1">
      <c r="A522" s="259" t="s">
        <v>2643</v>
      </c>
      <c r="B522" s="260">
        <f>'Dry_Litterbag Placem_Collection'!A83</f>
        <v>81</v>
      </c>
      <c r="C522" s="260" t="str">
        <f>'Dry_Litterbag Placem_Collection'!B83</f>
        <v>Maswa</v>
      </c>
      <c r="D522" s="260" t="s">
        <v>2643</v>
      </c>
      <c r="E522" s="260" t="s">
        <v>2645</v>
      </c>
      <c r="F522" s="260">
        <v>3</v>
      </c>
      <c r="G522" s="260" t="s">
        <v>3813</v>
      </c>
      <c r="H522" s="261" t="str">
        <f>'Dry_Litterbag Placem_Collection'!C83</f>
        <v>Dry_W3_T1</v>
      </c>
      <c r="I522" s="270" t="s">
        <v>3630</v>
      </c>
      <c r="J522" s="263" t="s">
        <v>1147</v>
      </c>
      <c r="K522" s="260" t="str">
        <f>IF(ISBLANK('Dry_Litterbag Placem_Collection'!L83),"","G"&amp;""&amp;'Dry_Litterbag Placem_Collection'!L83)</f>
        <v>G413</v>
      </c>
      <c r="L522" s="264">
        <f>IFERROR(INDEX('Green_rooibos initial weight'!$C$5:$C$2000,MATCH(K522, 'Green_rooibos initial weight'!$A$5:$A$2000,0)),"")</f>
        <v>2.1589999999999998</v>
      </c>
      <c r="M522" s="264">
        <f>IFERROR(L522-(TBIcalc!$Q$9+TBIcalc!$Q$10),"")</f>
        <v>1.9091999999999998</v>
      </c>
      <c r="N522" s="385">
        <f>AVERAGE(Ashed_controlls!$K$2:$K$11)</f>
        <v>5.5147656768714146</v>
      </c>
      <c r="O522" s="264">
        <f t="shared" si="41"/>
        <v>1.8039120936971709</v>
      </c>
      <c r="P522" s="264">
        <f>IFERROR(INDEX('Both teabags AfterDry'!$D$2:$D$2000,MATCH(K522,'Both teabags AfterDry'!$A$2:$A$2000,0)),"")</f>
        <v>1.9466000000000001</v>
      </c>
      <c r="Q522" s="264">
        <f>IFERROR(IF(P522&gt;0,P522-(TBIcalc!$Q$9),""),"")</f>
        <v>1.796</v>
      </c>
      <c r="R522" s="275">
        <f>IFERROR(INDEX('Ashed teabags dry'!$K$2:$K$2000,MATCH(K522,'Ashed teabags dry'!$A$2:$A$2000,0)),"")</f>
        <v>5.3246753246752787</v>
      </c>
      <c r="S522" s="275">
        <f t="shared" si="42"/>
        <v>1.7003688311688321</v>
      </c>
      <c r="T522" s="265">
        <f>IF('Dry_Litterbag Placem_Collection'!E83="","",'Dry_Litterbag Placem_Collection'!E83)</f>
        <v>42937</v>
      </c>
      <c r="U522" s="265">
        <f>IF('Dry_Litterbag Placem_Collection'!G83="","",'Dry_Litterbag Placem_Collection'!G83)</f>
        <v>43006</v>
      </c>
      <c r="V522" s="266">
        <f t="shared" si="40"/>
        <v>69</v>
      </c>
      <c r="W522" s="264">
        <f t="shared" si="43"/>
        <v>0.11319999999999975</v>
      </c>
      <c r="X522" s="264">
        <f t="shared" si="44"/>
        <v>0.10354326252833879</v>
      </c>
      <c r="Y522" s="268">
        <f>IFERROR(INDEX(Rainfall_Dry!$O$2:$O$217,MATCH(B522, Rainfall_Dry!$A$2:$A$217,0)),"")</f>
        <v>12.563016860999999</v>
      </c>
      <c r="Z522" s="257">
        <v>38.691629007962128</v>
      </c>
      <c r="AA522" s="257">
        <v>26.81299763288143</v>
      </c>
      <c r="AB522" s="257">
        <v>34.495373359156439</v>
      </c>
      <c r="AC522" s="258" t="s">
        <v>2659</v>
      </c>
      <c r="AD522" s="257">
        <v>2.5483587974371611</v>
      </c>
      <c r="AE522">
        <f>IF('WetLitterbags placem_collection'!AB83="","",'WetLitterbags placem_collection'!AB83)</f>
        <v>6.2</v>
      </c>
      <c r="AF522">
        <f>IF('WetLitterbags placem_collection'!Z83="","",'WetLitterbags placem_collection'!Z83)</f>
        <v>13.3</v>
      </c>
      <c r="AG522" s="243" t="str">
        <f>IF('WetLitterbags placem_collection'!AA83="","",'WetLitterbags placem_collection'!AA83)</f>
        <v>O</v>
      </c>
      <c r="AH522">
        <f>IF('WetLitterbags placem_collection'!AC83="","",'WetLitterbags placem_collection'!AC83)</f>
        <v>0</v>
      </c>
      <c r="AI522">
        <f>IFERROR(AVERAGE('Dry_Litterbag Placem_Collection'!O83,'Dry_Litterbag Placem_Collection'!R83),"")</f>
        <v>11.850000000000001</v>
      </c>
      <c r="AJ522" s="268">
        <f>IFERROR(AVERAGE('Dry_Litterbag Placem_Collection'!N83,'Dry_Litterbag Placem_Collection'!Q83),"")</f>
        <v>26.35</v>
      </c>
      <c r="AK522" s="267">
        <f>INDEX(Coordinates!$B$2:$B$197,MATCH(H522,Coordinates!$J$2:$J$197,0))</f>
        <v>-3.2957159630000001</v>
      </c>
      <c r="AL522" s="267">
        <f>INDEX(Coordinates!$C$2:$C$197,MATCH(H522,Coordinates!$J$2:$J$197,0))</f>
        <v>34.852460999999998</v>
      </c>
      <c r="AM522" s="267" t="str">
        <f>IF(ISNUMBER(SEARCH("C", 'Dry_Litterbag Placem_Collection'!U83)),"YES","NO")</f>
        <v>NO</v>
      </c>
      <c r="AN522" s="267" t="str">
        <f>IF(ISNUMBER(SEARCH("H", 'Dry_Litterbag Placem_Collection'!U83)),"YES","NO")</f>
        <v>NO</v>
      </c>
      <c r="AO522" s="267" t="str">
        <f>IF(ISNUMBER(SEARCH("R", 'Dry_Litterbag Placem_Collection'!U83)),"YES","NO")</f>
        <v>NO</v>
      </c>
    </row>
    <row r="523" spans="1:41" ht="15" customHeight="1">
      <c r="A523" s="259" t="s">
        <v>2643</v>
      </c>
      <c r="B523" s="260">
        <f>'Dry_Litterbag Placem_Collection'!A84</f>
        <v>82</v>
      </c>
      <c r="C523" s="260" t="str">
        <f>'Dry_Litterbag Placem_Collection'!B84</f>
        <v>Maswa</v>
      </c>
      <c r="D523" s="260" t="s">
        <v>2643</v>
      </c>
      <c r="E523" s="260" t="s">
        <v>2645</v>
      </c>
      <c r="F523" s="260">
        <v>3</v>
      </c>
      <c r="G523" s="260" t="s">
        <v>3813</v>
      </c>
      <c r="H523" s="261" t="str">
        <f>'Dry_Litterbag Placem_Collection'!C84</f>
        <v>Dry_W3_T2</v>
      </c>
      <c r="I523" s="270" t="s">
        <v>3630</v>
      </c>
      <c r="J523" s="263" t="s">
        <v>1147</v>
      </c>
      <c r="K523" s="260" t="str">
        <f>IF(ISBLANK('Dry_Litterbag Placem_Collection'!L84),"","G"&amp;""&amp;'Dry_Litterbag Placem_Collection'!L84)</f>
        <v>G370</v>
      </c>
      <c r="L523" s="264">
        <f>IFERROR(INDEX('Green_rooibos initial weight'!$C$5:$C$2000,MATCH(K523, 'Green_rooibos initial weight'!$A$5:$A$2000,0)),"")</f>
        <v>2.0619999999999998</v>
      </c>
      <c r="M523" s="264">
        <f>IFERROR(L523-(TBIcalc!$Q$9+TBIcalc!$Q$10),"")</f>
        <v>1.8121999999999998</v>
      </c>
      <c r="N523" s="385">
        <f>AVERAGE(Ashed_controlls!$K$2:$K$11)</f>
        <v>5.5147656768714146</v>
      </c>
      <c r="O523" s="264">
        <f t="shared" si="41"/>
        <v>1.712261416403736</v>
      </c>
      <c r="P523" s="264">
        <f>IFERROR(INDEX('Both teabags AfterDry'!$D$2:$D$2000,MATCH(K523,'Both teabags AfterDry'!$A$2:$A$2000,0)),"")</f>
        <v>1.8433999999999999</v>
      </c>
      <c r="Q523" s="264">
        <f>IFERROR(IF(P523&gt;0,P523-(TBIcalc!$Q$9),""),"")</f>
        <v>1.6927999999999999</v>
      </c>
      <c r="R523" s="275">
        <f>IFERROR(INDEX('Ashed teabags dry'!$K$2:$K$2000,MATCH(K523,'Ashed teabags dry'!$A$2:$A$2000,0)),"")</f>
        <v>5.4829185997469585</v>
      </c>
      <c r="S523" s="275">
        <f t="shared" si="42"/>
        <v>1.5999851539434833</v>
      </c>
      <c r="T523" s="265">
        <f>IF('Dry_Litterbag Placem_Collection'!E84="","",'Dry_Litterbag Placem_Collection'!E84)</f>
        <v>42937</v>
      </c>
      <c r="U523" s="265">
        <f>IF('Dry_Litterbag Placem_Collection'!G84="","",'Dry_Litterbag Placem_Collection'!G84)</f>
        <v>43006</v>
      </c>
      <c r="V523" s="266">
        <f t="shared" si="40"/>
        <v>69</v>
      </c>
      <c r="W523" s="264">
        <f t="shared" si="43"/>
        <v>0.11939999999999995</v>
      </c>
      <c r="X523" s="264">
        <f t="shared" si="44"/>
        <v>0.11227626246025268</v>
      </c>
      <c r="Y523" s="268">
        <f>IFERROR(INDEX(Rainfall_Dry!$O$2:$O$217,MATCH(B523, Rainfall_Dry!$A$2:$A$217,0)),"")</f>
        <v>12.563016860999999</v>
      </c>
      <c r="Z523" s="257">
        <v>38.691629007962128</v>
      </c>
      <c r="AA523" s="257">
        <v>26.81299763288143</v>
      </c>
      <c r="AB523" s="257">
        <v>34.495373359156439</v>
      </c>
      <c r="AC523" s="258" t="s">
        <v>2659</v>
      </c>
      <c r="AD523" s="257">
        <v>3.5483587974371602</v>
      </c>
      <c r="AE523">
        <f>IF('WetLitterbags placem_collection'!AB84="","",'WetLitterbags placem_collection'!AB84)</f>
        <v>2.4</v>
      </c>
      <c r="AF523">
        <f>IF('WetLitterbags placem_collection'!Z84="","",'WetLitterbags placem_collection'!Z84)</f>
        <v>16.600000000000001</v>
      </c>
      <c r="AG523" s="243" t="str">
        <f>IF('WetLitterbags placem_collection'!AA84="","",'WetLitterbags placem_collection'!AA84)</f>
        <v>O</v>
      </c>
      <c r="AH523" t="str">
        <f>IF('WetLitterbags placem_collection'!AC84="","",'WetLitterbags placem_collection'!AC84)</f>
        <v/>
      </c>
      <c r="AI523">
        <f>IFERROR(AVERAGE('Dry_Litterbag Placem_Collection'!O84,'Dry_Litterbag Placem_Collection'!R84),"")</f>
        <v>9.9499999999999993</v>
      </c>
      <c r="AJ523" s="268">
        <f>IFERROR(AVERAGE('Dry_Litterbag Placem_Collection'!N84,'Dry_Litterbag Placem_Collection'!Q84),"")</f>
        <v>25.5</v>
      </c>
      <c r="AK523" s="267">
        <f>INDEX(Coordinates!$B$2:$B$197,MATCH(H523,Coordinates!$J$2:$J$197,0))</f>
        <v>-3.2957230040000001</v>
      </c>
      <c r="AL523" s="267">
        <f>INDEX(Coordinates!$C$2:$C$197,MATCH(H523,Coordinates!$J$2:$J$197,0))</f>
        <v>34.852416990000002</v>
      </c>
      <c r="AM523" s="267" t="str">
        <f>IF(ISNUMBER(SEARCH("C", 'Dry_Litterbag Placem_Collection'!U84)),"YES","NO")</f>
        <v>NO</v>
      </c>
      <c r="AN523" s="267" t="str">
        <f>IF(ISNUMBER(SEARCH("H", 'Dry_Litterbag Placem_Collection'!U84)),"YES","NO")</f>
        <v>NO</v>
      </c>
      <c r="AO523" s="267" t="str">
        <f>IF(ISNUMBER(SEARCH("R", 'Dry_Litterbag Placem_Collection'!U84)),"YES","NO")</f>
        <v>NO</v>
      </c>
    </row>
    <row r="524" spans="1:41" ht="15" customHeight="1">
      <c r="A524" s="259" t="s">
        <v>2643</v>
      </c>
      <c r="B524" s="260">
        <f>'Dry_Litterbag Placem_Collection'!A85</f>
        <v>83</v>
      </c>
      <c r="C524" s="260" t="str">
        <f>'Dry_Litterbag Placem_Collection'!B85</f>
        <v>Maswa</v>
      </c>
      <c r="D524" s="260" t="s">
        <v>2643</v>
      </c>
      <c r="E524" s="260" t="s">
        <v>2645</v>
      </c>
      <c r="F524" s="260">
        <v>3</v>
      </c>
      <c r="G524" s="260" t="s">
        <v>3813</v>
      </c>
      <c r="H524" s="261" t="str">
        <f>'Dry_Litterbag Placem_Collection'!C85</f>
        <v>Dry_W3_T3</v>
      </c>
      <c r="I524" s="270" t="s">
        <v>3630</v>
      </c>
      <c r="J524" s="263" t="s">
        <v>1147</v>
      </c>
      <c r="K524" s="260" t="str">
        <f>IF(ISBLANK('Dry_Litterbag Placem_Collection'!L85),"","G"&amp;""&amp;'Dry_Litterbag Placem_Collection'!L85)</f>
        <v>G879</v>
      </c>
      <c r="L524" s="264">
        <f>IFERROR(INDEX('Green_rooibos initial weight'!$C$5:$C$2000,MATCH(K524, 'Green_rooibos initial weight'!$A$5:$A$2000,0)),"")</f>
        <v>2.09</v>
      </c>
      <c r="M524" s="264">
        <f>IFERROR(L524-(TBIcalc!$Q$9+TBIcalc!$Q$10),"")</f>
        <v>1.8401999999999998</v>
      </c>
      <c r="N524" s="385">
        <f>AVERAGE(Ashed_controlls!$K$2:$K$11)</f>
        <v>5.5147656768714146</v>
      </c>
      <c r="O524" s="264">
        <f t="shared" si="41"/>
        <v>1.7387172820142121</v>
      </c>
      <c r="P524" s="264">
        <f>IFERROR(INDEX('Both teabags AfterDry'!$D$2:$D$2000,MATCH(K524,'Both teabags AfterDry'!$A$2:$A$2000,0)),"")</f>
        <v>1.8814</v>
      </c>
      <c r="Q524" s="264">
        <f>IFERROR(IF(P524&gt;0,P524-(TBIcalc!$Q$9),""),"")</f>
        <v>1.7307999999999999</v>
      </c>
      <c r="R524" s="275">
        <f>IFERROR(INDEX('Ashed teabags dry'!$K$2:$K$2000,MATCH(K524,'Ashed teabags dry'!$A$2:$A$2000,0)),"")</f>
        <v>6.0018903591673709</v>
      </c>
      <c r="S524" s="275">
        <f t="shared" si="42"/>
        <v>1.6269192816635309</v>
      </c>
      <c r="T524" s="265">
        <f>IF('Dry_Litterbag Placem_Collection'!E85="","",'Dry_Litterbag Placem_Collection'!E85)</f>
        <v>42937</v>
      </c>
      <c r="U524" s="265">
        <f>IF('Dry_Litterbag Placem_Collection'!G85="","",'Dry_Litterbag Placem_Collection'!G85)</f>
        <v>43006</v>
      </c>
      <c r="V524" s="266">
        <f t="shared" si="40"/>
        <v>69</v>
      </c>
      <c r="W524" s="264">
        <f t="shared" si="43"/>
        <v>0.10939999999999994</v>
      </c>
      <c r="X524" s="264">
        <f t="shared" si="44"/>
        <v>0.1117980003506811</v>
      </c>
      <c r="Y524" s="268">
        <f>IFERROR(INDEX(Rainfall_Dry!$O$2:$O$217,MATCH(B524, Rainfall_Dry!$A$2:$A$217,0)),"")</f>
        <v>12.563016860999999</v>
      </c>
      <c r="Z524" s="257">
        <v>38.691629007962128</v>
      </c>
      <c r="AA524" s="257">
        <v>26.81299763288143</v>
      </c>
      <c r="AB524" s="257">
        <v>34.495373359156439</v>
      </c>
      <c r="AC524" s="258" t="s">
        <v>2659</v>
      </c>
      <c r="AD524" s="257">
        <v>4.5483587974371602</v>
      </c>
      <c r="AE524">
        <f>IF('WetLitterbags placem_collection'!AB85="","",'WetLitterbags placem_collection'!AB85)</f>
        <v>6.4</v>
      </c>
      <c r="AF524">
        <f>IF('WetLitterbags placem_collection'!Z85="","",'WetLitterbags placem_collection'!Z85)</f>
        <v>42</v>
      </c>
      <c r="AG524" s="243" t="str">
        <f>IF('WetLitterbags placem_collection'!AA85="","",'WetLitterbags placem_collection'!AA85)</f>
        <v>M</v>
      </c>
      <c r="AH524">
        <f>IF('WetLitterbags placem_collection'!AC85="","",'WetLitterbags placem_collection'!AC85)</f>
        <v>1</v>
      </c>
      <c r="AI524">
        <f>IFERROR(AVERAGE('Dry_Litterbag Placem_Collection'!O85,'Dry_Litterbag Placem_Collection'!R85),"")</f>
        <v>10.050000000000001</v>
      </c>
      <c r="AJ524" s="268">
        <f>IFERROR(AVERAGE('Dry_Litterbag Placem_Collection'!N85,'Dry_Litterbag Placem_Collection'!Q85),"")</f>
        <v>26.05</v>
      </c>
      <c r="AK524" s="267">
        <f>INDEX(Coordinates!$B$2:$B$197,MATCH(H524,Coordinates!$J$2:$J$197,0))</f>
        <v>-3.2957430369999998</v>
      </c>
      <c r="AL524" s="267">
        <f>INDEX(Coordinates!$C$2:$C$197,MATCH(H524,Coordinates!$J$2:$J$197,0))</f>
        <v>34.852309030000001</v>
      </c>
      <c r="AM524" s="267" t="str">
        <f>IF(ISNUMBER(SEARCH("C", 'Dry_Litterbag Placem_Collection'!U85)),"YES","NO")</f>
        <v>NO</v>
      </c>
      <c r="AN524" s="267" t="str">
        <f>IF(ISNUMBER(SEARCH("H", 'Dry_Litterbag Placem_Collection'!U85)),"YES","NO")</f>
        <v>NO</v>
      </c>
      <c r="AO524" s="267" t="str">
        <f>IF(ISNUMBER(SEARCH("R", 'Dry_Litterbag Placem_Collection'!U85)),"YES","NO")</f>
        <v>NO</v>
      </c>
    </row>
    <row r="525" spans="1:41" ht="15" customHeight="1">
      <c r="A525" s="259" t="s">
        <v>2643</v>
      </c>
      <c r="B525" s="260">
        <f>'Dry_Litterbag Placem_Collection'!A86</f>
        <v>84</v>
      </c>
      <c r="C525" s="260" t="str">
        <f>'Dry_Litterbag Placem_Collection'!B86</f>
        <v>Maswa</v>
      </c>
      <c r="D525" s="260" t="s">
        <v>2643</v>
      </c>
      <c r="E525" s="260" t="s">
        <v>2645</v>
      </c>
      <c r="F525" s="260">
        <v>3</v>
      </c>
      <c r="G525" s="260" t="s">
        <v>3813</v>
      </c>
      <c r="H525" s="261" t="str">
        <f>'Dry_Litterbag Placem_Collection'!C86</f>
        <v>Dry_W3_T4</v>
      </c>
      <c r="I525" s="270" t="s">
        <v>3630</v>
      </c>
      <c r="J525" s="263" t="s">
        <v>1147</v>
      </c>
      <c r="K525" s="260" t="str">
        <f>IF(ISBLANK('Dry_Litterbag Placem_Collection'!L86),"","G"&amp;""&amp;'Dry_Litterbag Placem_Collection'!L86)</f>
        <v>G854</v>
      </c>
      <c r="L525" s="264">
        <f>IFERROR(INDEX('Green_rooibos initial weight'!$C$5:$C$2000,MATCH(K525, 'Green_rooibos initial weight'!$A$5:$A$2000,0)),"")</f>
        <v>1.998</v>
      </c>
      <c r="M525" s="264">
        <f>IFERROR(L525-(TBIcalc!$Q$9+TBIcalc!$Q$10),"")</f>
        <v>1.7482</v>
      </c>
      <c r="N525" s="385">
        <f>AVERAGE(Ashed_controlls!$K$2:$K$11)</f>
        <v>5.5147656768714146</v>
      </c>
      <c r="O525" s="264">
        <f t="shared" si="41"/>
        <v>1.6517908664369338</v>
      </c>
      <c r="P525" s="264">
        <f>IFERROR(INDEX('Both teabags AfterDry'!$D$2:$D$2000,MATCH(K525,'Both teabags AfterDry'!$A$2:$A$2000,0)),"")</f>
        <v>1.8062</v>
      </c>
      <c r="Q525" s="264">
        <f>IFERROR(IF(P525&gt;0,P525-(TBIcalc!$Q$9),""),"")</f>
        <v>1.6556</v>
      </c>
      <c r="R525" s="275">
        <f>IFERROR(INDEX('Ashed teabags dry'!$K$2:$K$2000,MATCH(K525,'Ashed teabags dry'!$A$2:$A$2000,0)),"")</f>
        <v>6.7607003891055024</v>
      </c>
      <c r="S525" s="275">
        <f t="shared" si="42"/>
        <v>1.5436698443579693</v>
      </c>
      <c r="T525" s="265">
        <f>IF('Dry_Litterbag Placem_Collection'!E86="","",'Dry_Litterbag Placem_Collection'!E86)</f>
        <v>42937</v>
      </c>
      <c r="U525" s="265">
        <f>IF('Dry_Litterbag Placem_Collection'!G86="","",'Dry_Litterbag Placem_Collection'!G86)</f>
        <v>43006</v>
      </c>
      <c r="V525" s="266">
        <f t="shared" si="40"/>
        <v>69</v>
      </c>
      <c r="W525" s="264">
        <f t="shared" si="43"/>
        <v>9.2600000000000016E-2</v>
      </c>
      <c r="X525" s="264">
        <f t="shared" si="44"/>
        <v>0.10812102207896457</v>
      </c>
      <c r="Y525" s="268">
        <f>IFERROR(INDEX(Rainfall_Dry!$O$2:$O$217,MATCH(B525, Rainfall_Dry!$A$2:$A$217,0)),"")</f>
        <v>12.563016860999999</v>
      </c>
      <c r="Z525" s="257">
        <v>38.691629007962128</v>
      </c>
      <c r="AA525" s="257">
        <v>26.81299763288143</v>
      </c>
      <c r="AB525" s="257">
        <v>34.495373359156439</v>
      </c>
      <c r="AC525" s="258" t="s">
        <v>2659</v>
      </c>
      <c r="AD525" s="257">
        <v>5.5483587974371602</v>
      </c>
      <c r="AE525">
        <f>IF('WetLitterbags placem_collection'!AB86="","",'WetLitterbags placem_collection'!AB86)</f>
        <v>5.5</v>
      </c>
      <c r="AF525">
        <f>IF('WetLitterbags placem_collection'!Z86="","",'WetLitterbags placem_collection'!Z86)</f>
        <v>55.8</v>
      </c>
      <c r="AG525" s="243" t="str">
        <f>IF('WetLitterbags placem_collection'!AA86="","",'WetLitterbags placem_collection'!AA86)</f>
        <v>M</v>
      </c>
      <c r="AH525">
        <f>IF('WetLitterbags placem_collection'!AC86="","",'WetLitterbags placem_collection'!AC86)</f>
        <v>1</v>
      </c>
      <c r="AI525">
        <f>IFERROR(AVERAGE('Dry_Litterbag Placem_Collection'!O86,'Dry_Litterbag Placem_Collection'!R86),"")</f>
        <v>10.15</v>
      </c>
      <c r="AJ525" s="268">
        <f>IFERROR(AVERAGE('Dry_Litterbag Placem_Collection'!N86,'Dry_Litterbag Placem_Collection'!Q86),"")</f>
        <v>26.549999999999997</v>
      </c>
      <c r="AK525" s="267">
        <f>INDEX(Coordinates!$B$2:$B$197,MATCH(H525,Coordinates!$J$2:$J$197,0))</f>
        <v>-3.295795005</v>
      </c>
      <c r="AL525" s="267">
        <f>INDEX(Coordinates!$C$2:$C$197,MATCH(H525,Coordinates!$J$2:$J$197,0))</f>
        <v>34.85232001</v>
      </c>
      <c r="AM525" s="267" t="str">
        <f>IF(ISNUMBER(SEARCH("C", 'Dry_Litterbag Placem_Collection'!U86)),"YES","NO")</f>
        <v>NO</v>
      </c>
      <c r="AN525" s="267" t="str">
        <f>IF(ISNUMBER(SEARCH("H", 'Dry_Litterbag Placem_Collection'!U86)),"YES","NO")</f>
        <v>NO</v>
      </c>
      <c r="AO525" s="267" t="str">
        <f>IF(ISNUMBER(SEARCH("R", 'Dry_Litterbag Placem_Collection'!U86)),"YES","NO")</f>
        <v>NO</v>
      </c>
    </row>
    <row r="526" spans="1:41" ht="15" customHeight="1">
      <c r="A526" s="259" t="s">
        <v>2643</v>
      </c>
      <c r="B526" s="260">
        <f>'Dry_Litterbag Placem_Collection'!A87</f>
        <v>85</v>
      </c>
      <c r="C526" s="260" t="str">
        <f>'Dry_Litterbag Placem_Collection'!B87</f>
        <v>Maswa</v>
      </c>
      <c r="D526" s="260" t="s">
        <v>2643</v>
      </c>
      <c r="E526" s="260" t="s">
        <v>2645</v>
      </c>
      <c r="F526" s="260">
        <v>3</v>
      </c>
      <c r="G526" s="260" t="s">
        <v>3813</v>
      </c>
      <c r="H526" s="261" t="str">
        <f>'Dry_Litterbag Placem_Collection'!C87</f>
        <v>Dry_W3_T5</v>
      </c>
      <c r="I526" s="270" t="s">
        <v>3630</v>
      </c>
      <c r="J526" s="263" t="s">
        <v>1147</v>
      </c>
      <c r="K526" s="260" t="str">
        <f>IF(ISBLANK('Dry_Litterbag Placem_Collection'!L87),"","G"&amp;""&amp;'Dry_Litterbag Placem_Collection'!L87)</f>
        <v/>
      </c>
      <c r="L526" s="264" t="str">
        <f>IFERROR(INDEX('Green_rooibos initial weight'!$C$5:$C$2000,MATCH(K526, 'Green_rooibos initial weight'!$A$5:$A$2000,0)),"")</f>
        <v/>
      </c>
      <c r="M526" s="264" t="str">
        <f>IFERROR(L526-(TBIcalc!$Q$9+TBIcalc!$Q$10),"")</f>
        <v/>
      </c>
      <c r="N526" s="385">
        <f>AVERAGE(Ashed_controlls!$K$2:$K$11)</f>
        <v>5.5147656768714146</v>
      </c>
      <c r="O526" s="264" t="str">
        <f t="shared" si="41"/>
        <v/>
      </c>
      <c r="P526" s="264" t="str">
        <f>IFERROR(INDEX('Both teabags AfterDry'!$D$2:$D$2000,MATCH(K526,'Both teabags AfterDry'!$A$2:$A$2000,0)),"")</f>
        <v/>
      </c>
      <c r="Q526" s="264" t="str">
        <f>IFERROR(IF(P526&gt;0,P526-(TBIcalc!$Q$9),""),"")</f>
        <v/>
      </c>
      <c r="R526" s="275" t="str">
        <f>IFERROR(INDEX('Ashed teabags dry'!$K$2:$K$2000,MATCH(K526,'Ashed teabags dry'!$A$2:$A$2000,0)),"")</f>
        <v/>
      </c>
      <c r="S526" s="275" t="str">
        <f t="shared" si="42"/>
        <v/>
      </c>
      <c r="T526" s="265" t="str">
        <f>IF('Dry_Litterbag Placem_Collection'!E87="","",'Dry_Litterbag Placem_Collection'!E87)</f>
        <v/>
      </c>
      <c r="U526" s="265" t="str">
        <f>IF('Dry_Litterbag Placem_Collection'!G87="","",'Dry_Litterbag Placem_Collection'!G87)</f>
        <v/>
      </c>
      <c r="V526" s="266" t="str">
        <f t="shared" si="40"/>
        <v/>
      </c>
      <c r="W526" s="264" t="str">
        <f t="shared" si="43"/>
        <v/>
      </c>
      <c r="X526" s="264" t="str">
        <f t="shared" si="44"/>
        <v/>
      </c>
      <c r="Y526" s="268" t="str">
        <f>IFERROR(INDEX(Rainfall_Dry!$O$2:$O$217,MATCH(B526, Rainfall_Dry!$A$2:$A$217,0)),"")</f>
        <v/>
      </c>
      <c r="Z526" s="257">
        <v>38.691629007962128</v>
      </c>
      <c r="AA526" s="257">
        <v>26.81299763288143</v>
      </c>
      <c r="AB526" s="257">
        <v>34.495373359156439</v>
      </c>
      <c r="AC526" s="258" t="s">
        <v>2659</v>
      </c>
      <c r="AD526" s="257">
        <v>6.5483587974371602</v>
      </c>
      <c r="AE526">
        <f>IF('WetLitterbags placem_collection'!AB87="","",'WetLitterbags placem_collection'!AB87)</f>
        <v>8.6</v>
      </c>
      <c r="AF526">
        <f>IF('WetLitterbags placem_collection'!Z87="","",'WetLitterbags placem_collection'!Z87)</f>
        <v>3.8</v>
      </c>
      <c r="AG526" s="243" t="str">
        <f>IF('WetLitterbags placem_collection'!AA87="","",'WetLitterbags placem_collection'!AA87)</f>
        <v>O</v>
      </c>
      <c r="AH526">
        <f>IF('WetLitterbags placem_collection'!AC87="","",'WetLitterbags placem_collection'!AC87)</f>
        <v>0</v>
      </c>
      <c r="AI526" t="str">
        <f>IFERROR(AVERAGE('Dry_Litterbag Placem_Collection'!O87,'Dry_Litterbag Placem_Collection'!R87),"")</f>
        <v/>
      </c>
      <c r="AJ526" s="268" t="str">
        <f>IFERROR(AVERAGE('Dry_Litterbag Placem_Collection'!N87,'Dry_Litterbag Placem_Collection'!Q87),"")</f>
        <v/>
      </c>
      <c r="AK526" s="267">
        <f>INDEX(Coordinates!$B$2:$B$197,MATCH(H526,Coordinates!$J$2:$J$197,0))</f>
        <v>-3.2957100119999998</v>
      </c>
      <c r="AL526" s="267">
        <f>INDEX(Coordinates!$C$2:$C$197,MATCH(H526,Coordinates!$J$2:$J$197,0))</f>
        <v>34.852283970000002</v>
      </c>
      <c r="AM526" s="267" t="str">
        <f>IF(ISNUMBER(SEARCH("C", 'Dry_Litterbag Placem_Collection'!U87)),"YES","NO")</f>
        <v>NO</v>
      </c>
      <c r="AN526" s="267" t="str">
        <f>IF(ISNUMBER(SEARCH("H", 'Dry_Litterbag Placem_Collection'!U87)),"YES","NO")</f>
        <v>NO</v>
      </c>
      <c r="AO526" s="267" t="str">
        <f>IF(ISNUMBER(SEARCH("R", 'Dry_Litterbag Placem_Collection'!U87)),"YES","NO")</f>
        <v>NO</v>
      </c>
    </row>
    <row r="527" spans="1:41" ht="15" customHeight="1">
      <c r="A527" s="259" t="s">
        <v>2643</v>
      </c>
      <c r="B527" s="260">
        <f>'Dry_Litterbag Placem_Collection'!A88</f>
        <v>86</v>
      </c>
      <c r="C527" s="260" t="str">
        <f>'Dry_Litterbag Placem_Collection'!B88</f>
        <v>Maswa</v>
      </c>
      <c r="D527" s="260" t="s">
        <v>2643</v>
      </c>
      <c r="E527" s="260" t="s">
        <v>2645</v>
      </c>
      <c r="F527" s="260">
        <v>3</v>
      </c>
      <c r="G527" s="260" t="s">
        <v>3813</v>
      </c>
      <c r="H527" s="261" t="str">
        <f>'Dry_Litterbag Placem_Collection'!C88</f>
        <v>Dry_W3_T6</v>
      </c>
      <c r="I527" s="270" t="s">
        <v>3630</v>
      </c>
      <c r="J527" s="263" t="s">
        <v>1147</v>
      </c>
      <c r="K527" s="260" t="str">
        <f>IF(ISBLANK('Dry_Litterbag Placem_Collection'!L88),"","G"&amp;""&amp;'Dry_Litterbag Placem_Collection'!L88)</f>
        <v>G788</v>
      </c>
      <c r="L527" s="264">
        <f>IFERROR(INDEX('Green_rooibos initial weight'!$C$5:$C$2000,MATCH(K527, 'Green_rooibos initial weight'!$A$5:$A$2000,0)),"")</f>
        <v>2.0699999999999998</v>
      </c>
      <c r="M527" s="264">
        <f>IFERROR(L527-(TBIcalc!$Q$9+TBIcalc!$Q$10),"")</f>
        <v>1.8201999999999998</v>
      </c>
      <c r="N527" s="385">
        <f>AVERAGE(Ashed_controlls!$K$2:$K$11)</f>
        <v>5.5147656768714146</v>
      </c>
      <c r="O527" s="264">
        <f t="shared" si="41"/>
        <v>1.7198202351495864</v>
      </c>
      <c r="P527" s="264" t="str">
        <f>IFERROR(INDEX('Both teabags AfterDry'!$D$2:$D$2000,MATCH(K527,'Both teabags AfterDry'!$A$2:$A$2000,0)),"")</f>
        <v/>
      </c>
      <c r="Q527" s="264" t="str">
        <f>IFERROR(IF(P527&gt;0,P527-(TBIcalc!$Q$9),""),"")</f>
        <v/>
      </c>
      <c r="R527" s="275" t="str">
        <f>IFERROR(INDEX('Ashed teabags dry'!$K$2:$K$2000,MATCH(K527,'Ashed teabags dry'!$A$2:$A$2000,0)),"")</f>
        <v/>
      </c>
      <c r="S527" s="275" t="str">
        <f t="shared" si="42"/>
        <v/>
      </c>
      <c r="T527" s="265">
        <f>IF('Dry_Litterbag Placem_Collection'!E88="","",'Dry_Litterbag Placem_Collection'!E88)</f>
        <v>42937</v>
      </c>
      <c r="U527" s="265">
        <f>IF('Dry_Litterbag Placem_Collection'!G88="","",'Dry_Litterbag Placem_Collection'!G88)</f>
        <v>43006</v>
      </c>
      <c r="V527" s="266">
        <f t="shared" si="40"/>
        <v>69</v>
      </c>
      <c r="W527" s="264" t="str">
        <f t="shared" si="43"/>
        <v/>
      </c>
      <c r="X527" s="264" t="str">
        <f t="shared" si="44"/>
        <v/>
      </c>
      <c r="Y527" s="268">
        <f>IFERROR(INDEX(Rainfall_Dry!$O$2:$O$217,MATCH(B527, Rainfall_Dry!$A$2:$A$217,0)),"")</f>
        <v>12.563016860999999</v>
      </c>
      <c r="Z527" s="257">
        <v>38.691629007962128</v>
      </c>
      <c r="AA527" s="257">
        <v>26.81299763288143</v>
      </c>
      <c r="AB527" s="257">
        <v>34.495373359156439</v>
      </c>
      <c r="AC527" s="258" t="s">
        <v>2659</v>
      </c>
      <c r="AD527" s="257">
        <v>7.5483587974371602</v>
      </c>
      <c r="AE527">
        <f>IF('WetLitterbags placem_collection'!AB88="","",'WetLitterbags placem_collection'!AB88)</f>
        <v>3.7</v>
      </c>
      <c r="AF527">
        <f>IF('WetLitterbags placem_collection'!Z88="","",'WetLitterbags placem_collection'!Z88)</f>
        <v>7.5</v>
      </c>
      <c r="AG527" s="243" t="str">
        <f>IF('WetLitterbags placem_collection'!AA88="","",'WetLitterbags placem_collection'!AA88)</f>
        <v>O</v>
      </c>
      <c r="AH527">
        <f>IF('WetLitterbags placem_collection'!AC88="","",'WetLitterbags placem_collection'!AC88)</f>
        <v>0</v>
      </c>
      <c r="AI527">
        <f>IFERROR(AVERAGE('Dry_Litterbag Placem_Collection'!O88,'Dry_Litterbag Placem_Collection'!R88),"")</f>
        <v>11.75</v>
      </c>
      <c r="AJ527" s="268">
        <f>IFERROR(AVERAGE('Dry_Litterbag Placem_Collection'!N88,'Dry_Litterbag Placem_Collection'!Q88),"")</f>
        <v>26.9</v>
      </c>
      <c r="AK527" s="267">
        <f>INDEX(Coordinates!$B$2:$B$197,MATCH(H527,Coordinates!$J$2:$J$197,0))</f>
        <v>-3.2956140399999998</v>
      </c>
      <c r="AL527" s="267">
        <f>INDEX(Coordinates!$C$2:$C$197,MATCH(H527,Coordinates!$J$2:$J$197,0))</f>
        <v>34.852137030000002</v>
      </c>
      <c r="AM527" s="267" t="str">
        <f>IF(ISNUMBER(SEARCH("C", 'Dry_Litterbag Placem_Collection'!U88)),"YES","NO")</f>
        <v>NO</v>
      </c>
      <c r="AN527" s="267" t="str">
        <f>IF(ISNUMBER(SEARCH("H", 'Dry_Litterbag Placem_Collection'!U88)),"YES","NO")</f>
        <v>NO</v>
      </c>
      <c r="AO527" s="267" t="str">
        <f>IF(ISNUMBER(SEARCH("R", 'Dry_Litterbag Placem_Collection'!U88)),"YES","NO")</f>
        <v>NO</v>
      </c>
    </row>
    <row r="528" spans="1:41" ht="15" customHeight="1">
      <c r="A528" s="259" t="s">
        <v>2643</v>
      </c>
      <c r="B528" s="260">
        <f>'Dry_Litterbag Placem_Collection'!A89</f>
        <v>87</v>
      </c>
      <c r="C528" s="260" t="str">
        <f>'Dry_Litterbag Placem_Collection'!B89</f>
        <v>Maswa</v>
      </c>
      <c r="D528" s="260" t="s">
        <v>2643</v>
      </c>
      <c r="E528" s="260" t="s">
        <v>2645</v>
      </c>
      <c r="F528" s="260">
        <v>3</v>
      </c>
      <c r="G528" s="260" t="s">
        <v>3813</v>
      </c>
      <c r="H528" s="261" t="str">
        <f>'Dry_Litterbag Placem_Collection'!C89</f>
        <v>Dry_W3_T7</v>
      </c>
      <c r="I528" s="270" t="s">
        <v>3630</v>
      </c>
      <c r="J528" s="263" t="s">
        <v>1147</v>
      </c>
      <c r="K528" s="260" t="str">
        <f>IF(ISBLANK('Dry_Litterbag Placem_Collection'!L89),"","G"&amp;""&amp;'Dry_Litterbag Placem_Collection'!L89)</f>
        <v>G91</v>
      </c>
      <c r="L528" s="264">
        <f>IFERROR(INDEX('Green_rooibos initial weight'!$C$5:$C$2000,MATCH(K528, 'Green_rooibos initial weight'!$A$5:$A$2000,0)),"")</f>
        <v>2.044</v>
      </c>
      <c r="M528" s="264">
        <f>IFERROR(L528-(TBIcalc!$Q$9+TBIcalc!$Q$10),"")</f>
        <v>1.7942</v>
      </c>
      <c r="N528" s="385">
        <f>AVERAGE(Ashed_controlls!$K$2:$K$11)</f>
        <v>5.5147656768714146</v>
      </c>
      <c r="O528" s="264">
        <f t="shared" si="41"/>
        <v>1.6952540742255731</v>
      </c>
      <c r="P528" s="264">
        <f>IFERROR(INDEX('Both teabags AfterDry'!$D$2:$D$2000,MATCH(K528,'Both teabags AfterDry'!$A$2:$A$2000,0)),"")</f>
        <v>1.8609</v>
      </c>
      <c r="Q528" s="264">
        <f>IFERROR(IF(P528&gt;0,P528-(TBIcalc!$Q$9),""),"")</f>
        <v>1.7102999999999999</v>
      </c>
      <c r="R528" s="275">
        <f>IFERROR(INDEX('Ashed teabags dry'!$K$2:$K$2000,MATCH(K528,'Ashed teabags dry'!$A$2:$A$2000,0)),"")</f>
        <v>5.6727613689638741</v>
      </c>
      <c r="S528" s="275">
        <f t="shared" si="42"/>
        <v>1.6132787623066107</v>
      </c>
      <c r="T528" s="265">
        <f>IF('Dry_Litterbag Placem_Collection'!E89="","",'Dry_Litterbag Placem_Collection'!E89)</f>
        <v>42937</v>
      </c>
      <c r="U528" s="265">
        <f>IF('Dry_Litterbag Placem_Collection'!G89="","",'Dry_Litterbag Placem_Collection'!G89)</f>
        <v>43006</v>
      </c>
      <c r="V528" s="266">
        <f t="shared" si="40"/>
        <v>69</v>
      </c>
      <c r="W528" s="264">
        <f t="shared" si="43"/>
        <v>8.3900000000000086E-2</v>
      </c>
      <c r="X528" s="264">
        <f t="shared" si="44"/>
        <v>8.1975311918962346E-2</v>
      </c>
      <c r="Y528" s="268">
        <f>IFERROR(INDEX(Rainfall_Dry!$O$2:$O$217,MATCH(B528, Rainfall_Dry!$A$2:$A$217,0)),"")</f>
        <v>12.563016860999999</v>
      </c>
      <c r="Z528" s="257">
        <v>38.691629007962128</v>
      </c>
      <c r="AA528" s="257">
        <v>26.81299763288143</v>
      </c>
      <c r="AB528" s="257">
        <v>34.495373359156439</v>
      </c>
      <c r="AC528" s="258" t="s">
        <v>2659</v>
      </c>
      <c r="AD528" s="257">
        <v>8.5483587974371602</v>
      </c>
      <c r="AE528">
        <f>IF('WetLitterbags placem_collection'!AB89="","",'WetLitterbags placem_collection'!AB89)</f>
        <v>7.5</v>
      </c>
      <c r="AF528">
        <f>IF('WetLitterbags placem_collection'!Z89="","",'WetLitterbags placem_collection'!Z89)</f>
        <v>12.6</v>
      </c>
      <c r="AG528" s="243" t="str">
        <f>IF('WetLitterbags placem_collection'!AA89="","",'WetLitterbags placem_collection'!AA89)</f>
        <v>O</v>
      </c>
      <c r="AH528">
        <f>IF('WetLitterbags placem_collection'!AC89="","",'WetLitterbags placem_collection'!AC89)</f>
        <v>1</v>
      </c>
      <c r="AI528">
        <f>IFERROR(AVERAGE('Dry_Litterbag Placem_Collection'!O89,'Dry_Litterbag Placem_Collection'!R89),"")</f>
        <v>10.65</v>
      </c>
      <c r="AJ528" s="268">
        <f>IFERROR(AVERAGE('Dry_Litterbag Placem_Collection'!N89,'Dry_Litterbag Placem_Collection'!Q89),"")</f>
        <v>24.3</v>
      </c>
      <c r="AK528" s="267">
        <f>INDEX(Coordinates!$B$2:$B$197,MATCH(H528,Coordinates!$J$2:$J$197,0))</f>
        <v>-3.295904975</v>
      </c>
      <c r="AL528" s="267">
        <f>INDEX(Coordinates!$C$2:$C$197,MATCH(H528,Coordinates!$J$2:$J$197,0))</f>
        <v>34.852136029999997</v>
      </c>
      <c r="AM528" s="267" t="str">
        <f>IF(ISNUMBER(SEARCH("C", 'Dry_Litterbag Placem_Collection'!U89)),"YES","NO")</f>
        <v>NO</v>
      </c>
      <c r="AN528" s="267" t="str">
        <f>IF(ISNUMBER(SEARCH("H", 'Dry_Litterbag Placem_Collection'!U89)),"YES","NO")</f>
        <v>NO</v>
      </c>
      <c r="AO528" s="267" t="str">
        <f>IF(ISNUMBER(SEARCH("R", 'Dry_Litterbag Placem_Collection'!U89)),"YES","NO")</f>
        <v>NO</v>
      </c>
    </row>
    <row r="529" spans="1:41" ht="15" customHeight="1">
      <c r="A529" s="259" t="s">
        <v>2643</v>
      </c>
      <c r="B529" s="260">
        <f>'Dry_Litterbag Placem_Collection'!A90</f>
        <v>88</v>
      </c>
      <c r="C529" s="260" t="str">
        <f>'Dry_Litterbag Placem_Collection'!B90</f>
        <v>Maswa</v>
      </c>
      <c r="D529" s="260" t="s">
        <v>2643</v>
      </c>
      <c r="E529" s="260" t="s">
        <v>2645</v>
      </c>
      <c r="F529" s="260">
        <v>3</v>
      </c>
      <c r="G529" s="260" t="s">
        <v>3813</v>
      </c>
      <c r="H529" s="261" t="str">
        <f>'Dry_Litterbag Placem_Collection'!C90</f>
        <v>Dry_W3_T8</v>
      </c>
      <c r="I529" s="270" t="s">
        <v>3630</v>
      </c>
      <c r="J529" s="263" t="s">
        <v>1147</v>
      </c>
      <c r="K529" s="260" t="str">
        <f>IF(ISBLANK('Dry_Litterbag Placem_Collection'!L90),"","G"&amp;""&amp;'Dry_Litterbag Placem_Collection'!L90)</f>
        <v>G364</v>
      </c>
      <c r="L529" s="264">
        <f>IFERROR(INDEX('Green_rooibos initial weight'!$C$5:$C$2000,MATCH(K529, 'Green_rooibos initial weight'!$A$5:$A$2000,0)),"")</f>
        <v>2.0569999999999999</v>
      </c>
      <c r="M529" s="264">
        <f>IFERROR(L529-(TBIcalc!$Q$9+TBIcalc!$Q$10),"")</f>
        <v>1.8071999999999999</v>
      </c>
      <c r="N529" s="385">
        <f>AVERAGE(Ashed_controlls!$K$2:$K$11)</f>
        <v>5.5147656768714146</v>
      </c>
      <c r="O529" s="264">
        <f t="shared" si="41"/>
        <v>1.7075371546875797</v>
      </c>
      <c r="P529" s="264">
        <f>IFERROR(INDEX('Both teabags AfterDry'!$D$2:$D$2000,MATCH(K529,'Both teabags AfterDry'!$A$2:$A$2000,0)),"")</f>
        <v>1.8589</v>
      </c>
      <c r="Q529" s="264">
        <f>IFERROR(IF(P529&gt;0,P529-(TBIcalc!$Q$9),""),"")</f>
        <v>1.7082999999999999</v>
      </c>
      <c r="R529" s="275">
        <f>IFERROR(INDEX('Ashed teabags dry'!$K$2:$K$2000,MATCH(K529,'Ashed teabags dry'!$A$2:$A$2000,0)),"")</f>
        <v>6.3441350981288833</v>
      </c>
      <c r="S529" s="275">
        <f t="shared" si="42"/>
        <v>1.5999231401186642</v>
      </c>
      <c r="T529" s="265">
        <f>IF('Dry_Litterbag Placem_Collection'!E90="","",'Dry_Litterbag Placem_Collection'!E90)</f>
        <v>42937</v>
      </c>
      <c r="U529" s="265">
        <f>IF('Dry_Litterbag Placem_Collection'!G90="","",'Dry_Litterbag Placem_Collection'!G90)</f>
        <v>43006</v>
      </c>
      <c r="V529" s="266">
        <f t="shared" si="40"/>
        <v>69</v>
      </c>
      <c r="W529" s="264">
        <f t="shared" si="43"/>
        <v>9.8899999999999988E-2</v>
      </c>
      <c r="X529" s="264">
        <f t="shared" si="44"/>
        <v>0.10761401456891551</v>
      </c>
      <c r="Y529" s="268">
        <f>IFERROR(INDEX(Rainfall_Dry!$O$2:$O$217,MATCH(B529, Rainfall_Dry!$A$2:$A$217,0)),"")</f>
        <v>12.563016860999999</v>
      </c>
      <c r="Z529" s="257">
        <v>38.691629007962128</v>
      </c>
      <c r="AA529" s="257">
        <v>26.81299763288143</v>
      </c>
      <c r="AB529" s="257">
        <v>34.495373359156439</v>
      </c>
      <c r="AC529" s="258" t="s">
        <v>2659</v>
      </c>
      <c r="AD529" s="257">
        <v>9.5483587974371602</v>
      </c>
      <c r="AE529" t="str">
        <f>IF('WetLitterbags placem_collection'!AB90="","",'WetLitterbags placem_collection'!AB90)</f>
        <v/>
      </c>
      <c r="AF529" t="str">
        <f>IF('WetLitterbags placem_collection'!Z90="","",'WetLitterbags placem_collection'!Z90)</f>
        <v/>
      </c>
      <c r="AG529" s="243" t="str">
        <f>IF('WetLitterbags placem_collection'!AA90="","",'WetLitterbags placem_collection'!AA90)</f>
        <v/>
      </c>
      <c r="AH529" t="str">
        <f>IF('WetLitterbags placem_collection'!AC90="","",'WetLitterbags placem_collection'!AC90)</f>
        <v/>
      </c>
      <c r="AI529">
        <f>IFERROR(AVERAGE('Dry_Litterbag Placem_Collection'!O90,'Dry_Litterbag Placem_Collection'!R90),"")</f>
        <v>11.7</v>
      </c>
      <c r="AJ529" s="268">
        <f>IFERROR(AVERAGE('Dry_Litterbag Placem_Collection'!N90,'Dry_Litterbag Placem_Collection'!Q90),"")</f>
        <v>26.049999999999997</v>
      </c>
      <c r="AK529" s="267">
        <f>INDEX(Coordinates!$B$2:$B$197,MATCH(H529,Coordinates!$J$2:$J$197,0))</f>
        <v>-3.2959530039999998</v>
      </c>
      <c r="AL529" s="267">
        <f>INDEX(Coordinates!$C$2:$C$197,MATCH(H529,Coordinates!$J$2:$J$197,0))</f>
        <v>34.85242504</v>
      </c>
      <c r="AM529" s="267" t="str">
        <f>IF(ISNUMBER(SEARCH("C", 'Dry_Litterbag Placem_Collection'!U90)),"YES","NO")</f>
        <v>NO</v>
      </c>
      <c r="AN529" s="267" t="str">
        <f>IF(ISNUMBER(SEARCH("H", 'Dry_Litterbag Placem_Collection'!U90)),"YES","NO")</f>
        <v>NO</v>
      </c>
      <c r="AO529" s="267" t="str">
        <f>IF(ISNUMBER(SEARCH("R", 'Dry_Litterbag Placem_Collection'!U90)),"YES","NO")</f>
        <v>NO</v>
      </c>
    </row>
    <row r="530" spans="1:41" ht="15" customHeight="1">
      <c r="A530" s="259" t="s">
        <v>2643</v>
      </c>
      <c r="B530" s="260">
        <f>'Dry_Litterbag Placem_Collection'!A91</f>
        <v>89</v>
      </c>
      <c r="C530" s="260" t="str">
        <f>'Dry_Litterbag Placem_Collection'!B91</f>
        <v>Maswa</v>
      </c>
      <c r="D530" s="260" t="s">
        <v>2643</v>
      </c>
      <c r="E530" s="260" t="s">
        <v>2645</v>
      </c>
      <c r="F530" s="260">
        <v>4</v>
      </c>
      <c r="G530" s="260" t="s">
        <v>3814</v>
      </c>
      <c r="H530" s="261" t="str">
        <f>'Dry_Litterbag Placem_Collection'!C91</f>
        <v>Dry_W4_T1</v>
      </c>
      <c r="I530" s="270" t="s">
        <v>3630</v>
      </c>
      <c r="J530" s="263" t="s">
        <v>1147</v>
      </c>
      <c r="K530" s="260" t="str">
        <f>IF(ISBLANK('Dry_Litterbag Placem_Collection'!L91),"","G"&amp;""&amp;'Dry_Litterbag Placem_Collection'!L91)</f>
        <v>G862</v>
      </c>
      <c r="L530" s="264">
        <f>IFERROR(INDEX('Green_rooibos initial weight'!$C$5:$C$2000,MATCH(K530, 'Green_rooibos initial weight'!$A$5:$A$2000,0)),"")</f>
        <v>1.996</v>
      </c>
      <c r="M530" s="264">
        <f>IFERROR(L530-(TBIcalc!$Q$9+TBIcalc!$Q$10),"")</f>
        <v>1.7462</v>
      </c>
      <c r="N530" s="385">
        <f>AVERAGE(Ashed_controlls!$K$2:$K$11)</f>
        <v>5.5147656768714146</v>
      </c>
      <c r="O530" s="264">
        <f t="shared" si="41"/>
        <v>1.6499011617504713</v>
      </c>
      <c r="P530" s="264">
        <f>IFERROR(INDEX('Both teabags AfterDry'!$D$2:$D$2000,MATCH(K530,'Both teabags AfterDry'!$A$2:$A$2000,0)),"")</f>
        <v>1.8160000000000001</v>
      </c>
      <c r="Q530" s="264">
        <f>IFERROR(IF(P530&gt;0,P530-(TBIcalc!$Q$9),""),"")</f>
        <v>1.6654</v>
      </c>
      <c r="R530" s="275">
        <f>IFERROR(INDEX('Ashed teabags dry'!$K$2:$K$2000,MATCH(K530,'Ashed teabags dry'!$A$2:$A$2000,0)),"")</f>
        <v>6.0205580029367782</v>
      </c>
      <c r="S530" s="275">
        <f t="shared" si="42"/>
        <v>1.565133627019091</v>
      </c>
      <c r="T530" s="265">
        <f>IF('Dry_Litterbag Placem_Collection'!E91="","",'Dry_Litterbag Placem_Collection'!E91)</f>
        <v>42937</v>
      </c>
      <c r="U530" s="265">
        <f>IF('Dry_Litterbag Placem_Collection'!G91="","",'Dry_Litterbag Placem_Collection'!G91)</f>
        <v>43006</v>
      </c>
      <c r="V530" s="266">
        <f t="shared" si="40"/>
        <v>69</v>
      </c>
      <c r="W530" s="264">
        <f t="shared" si="43"/>
        <v>8.0799999999999983E-2</v>
      </c>
      <c r="X530" s="264">
        <f t="shared" si="44"/>
        <v>8.4767534731380323E-2</v>
      </c>
      <c r="Y530" s="268">
        <f>IFERROR(INDEX(Rainfall_Dry!$O$2:$O$217,MATCH(B530, Rainfall_Dry!$A$2:$A$217,0)),"")</f>
        <v>12.563016860999999</v>
      </c>
      <c r="Z530" s="257">
        <v>28.145762029394</v>
      </c>
      <c r="AA530" s="257">
        <v>25.085564727199518</v>
      </c>
      <c r="AB530" s="257">
        <v>46.768673243406489</v>
      </c>
      <c r="AC530" s="258" t="s">
        <v>2654</v>
      </c>
      <c r="AD530" s="257">
        <v>2.1716214884179394</v>
      </c>
      <c r="AE530">
        <f>IF('WetLitterbags placem_collection'!AB91="","",'WetLitterbags placem_collection'!AB91)</f>
        <v>7.3</v>
      </c>
      <c r="AF530">
        <f>IF('WetLitterbags placem_collection'!Z91="","",'WetLitterbags placem_collection'!Z91)</f>
        <v>35.799999999999997</v>
      </c>
      <c r="AG530" s="243" t="str">
        <f>IF('WetLitterbags placem_collection'!AA91="","",'WetLitterbags placem_collection'!AA91)</f>
        <v>O</v>
      </c>
      <c r="AH530">
        <f>IF('WetLitterbags placem_collection'!AC91="","",'WetLitterbags placem_collection'!AC91)</f>
        <v>0</v>
      </c>
      <c r="AI530">
        <f>IFERROR(AVERAGE('Dry_Litterbag Placem_Collection'!O91,'Dry_Litterbag Placem_Collection'!R91),"")</f>
        <v>10.5</v>
      </c>
      <c r="AJ530" s="268">
        <f>IFERROR(AVERAGE('Dry_Litterbag Placem_Collection'!N91,'Dry_Litterbag Placem_Collection'!Q91),"")</f>
        <v>26.6</v>
      </c>
      <c r="AK530" s="267">
        <f>INDEX(Coordinates!$B$2:$B$197,MATCH(H530,Coordinates!$J$2:$J$197,0))</f>
        <v>-3.2966709980000002</v>
      </c>
      <c r="AL530" s="267">
        <f>INDEX(Coordinates!$C$2:$C$197,MATCH(H530,Coordinates!$J$2:$J$197,0))</f>
        <v>34.854407019999996</v>
      </c>
      <c r="AM530" s="267" t="str">
        <f>IF(ISNUMBER(SEARCH("C", 'Dry_Litterbag Placem_Collection'!U91)),"YES","NO")</f>
        <v>NO</v>
      </c>
      <c r="AN530" s="267" t="str">
        <f>IF(ISNUMBER(SEARCH("H", 'Dry_Litterbag Placem_Collection'!U91)),"YES","NO")</f>
        <v>NO</v>
      </c>
      <c r="AO530" s="267" t="str">
        <f>IF(ISNUMBER(SEARCH("R", 'Dry_Litterbag Placem_Collection'!U91)),"YES","NO")</f>
        <v>NO</v>
      </c>
    </row>
    <row r="531" spans="1:41" ht="15" customHeight="1">
      <c r="A531" s="259" t="s">
        <v>2643</v>
      </c>
      <c r="B531" s="260">
        <f>'Dry_Litterbag Placem_Collection'!A92</f>
        <v>90</v>
      </c>
      <c r="C531" s="260" t="str">
        <f>'Dry_Litterbag Placem_Collection'!B92</f>
        <v>Maswa</v>
      </c>
      <c r="D531" s="260" t="s">
        <v>2643</v>
      </c>
      <c r="E531" s="260" t="s">
        <v>2645</v>
      </c>
      <c r="F531" s="260">
        <v>4</v>
      </c>
      <c r="G531" s="260" t="s">
        <v>3814</v>
      </c>
      <c r="H531" s="261" t="str">
        <f>'Dry_Litterbag Placem_Collection'!C92</f>
        <v>Dry_W4_T2</v>
      </c>
      <c r="I531" s="270" t="s">
        <v>3630</v>
      </c>
      <c r="J531" s="263" t="s">
        <v>1147</v>
      </c>
      <c r="K531" s="260" t="str">
        <f>IF(ISBLANK('Dry_Litterbag Placem_Collection'!L92),"","G"&amp;""&amp;'Dry_Litterbag Placem_Collection'!L92)</f>
        <v>G330</v>
      </c>
      <c r="L531" s="264">
        <f>IFERROR(INDEX('Green_rooibos initial weight'!$C$5:$C$2000,MATCH(K531, 'Green_rooibos initial weight'!$A$5:$A$2000,0)),"")</f>
        <v>2.1379999999999999</v>
      </c>
      <c r="M531" s="264">
        <f>IFERROR(L531-(TBIcalc!$Q$9+TBIcalc!$Q$10),"")</f>
        <v>1.8881999999999999</v>
      </c>
      <c r="N531" s="385">
        <f>AVERAGE(Ashed_controlls!$K$2:$K$11)</f>
        <v>5.5147656768714146</v>
      </c>
      <c r="O531" s="264">
        <f t="shared" si="41"/>
        <v>1.7840701944893138</v>
      </c>
      <c r="P531" s="264" t="str">
        <f>IFERROR(INDEX('Both teabags AfterDry'!$D$2:$D$2000,MATCH(K531,'Both teabags AfterDry'!$A$2:$A$2000,0)),"")</f>
        <v/>
      </c>
      <c r="Q531" s="264" t="str">
        <f>IFERROR(IF(P531&gt;0,P531-(TBIcalc!$Q$9),""),"")</f>
        <v/>
      </c>
      <c r="R531" s="275" t="str">
        <f>IFERROR(INDEX('Ashed teabags dry'!$K$2:$K$2000,MATCH(K531,'Ashed teabags dry'!$A$2:$A$2000,0)),"")</f>
        <v/>
      </c>
      <c r="S531" s="275" t="str">
        <f t="shared" si="42"/>
        <v/>
      </c>
      <c r="T531" s="265">
        <f>IF('Dry_Litterbag Placem_Collection'!E92="","",'Dry_Litterbag Placem_Collection'!E92)</f>
        <v>42937</v>
      </c>
      <c r="U531" s="265">
        <f>IF('Dry_Litterbag Placem_Collection'!G92="","",'Dry_Litterbag Placem_Collection'!G92)</f>
        <v>43006</v>
      </c>
      <c r="V531" s="266">
        <f t="shared" si="40"/>
        <v>69</v>
      </c>
      <c r="W531" s="264" t="str">
        <f t="shared" si="43"/>
        <v/>
      </c>
      <c r="X531" s="264" t="str">
        <f t="shared" si="44"/>
        <v/>
      </c>
      <c r="Y531" s="268">
        <f>IFERROR(INDEX(Rainfall_Dry!$O$2:$O$217,MATCH(B531, Rainfall_Dry!$A$2:$A$217,0)),"")</f>
        <v>12.563016860999999</v>
      </c>
      <c r="Z531" s="257">
        <v>28.145762029394</v>
      </c>
      <c r="AA531" s="257">
        <v>25.085564727199518</v>
      </c>
      <c r="AB531" s="257">
        <v>46.768673243406489</v>
      </c>
      <c r="AC531" s="258" t="s">
        <v>2654</v>
      </c>
      <c r="AD531" s="257">
        <v>3.1716214884179399</v>
      </c>
      <c r="AE531">
        <f>IF('WetLitterbags placem_collection'!AB92="","",'WetLitterbags placem_collection'!AB92)</f>
        <v>7.7</v>
      </c>
      <c r="AF531">
        <f>IF('WetLitterbags placem_collection'!Z92="","",'WetLitterbags placem_collection'!Z92)</f>
        <v>30.4</v>
      </c>
      <c r="AG531" s="243" t="str">
        <f>IF('WetLitterbags placem_collection'!AA92="","",'WetLitterbags placem_collection'!AA92)</f>
        <v>O</v>
      </c>
      <c r="AH531">
        <f>IF('WetLitterbags placem_collection'!AC92="","",'WetLitterbags placem_collection'!AC92)</f>
        <v>0</v>
      </c>
      <c r="AI531">
        <f>IFERROR(AVERAGE('Dry_Litterbag Placem_Collection'!O92,'Dry_Litterbag Placem_Collection'!R92),"")</f>
        <v>9.85</v>
      </c>
      <c r="AJ531" s="268">
        <f>IFERROR(AVERAGE('Dry_Litterbag Placem_Collection'!N92,'Dry_Litterbag Placem_Collection'!Q92),"")</f>
        <v>26.45</v>
      </c>
      <c r="AK531" s="267">
        <f>INDEX(Coordinates!$B$2:$B$197,MATCH(H531,Coordinates!$J$2:$J$197,0))</f>
        <v>-3.2966860009999999</v>
      </c>
      <c r="AL531" s="267">
        <f>INDEX(Coordinates!$C$2:$C$197,MATCH(H531,Coordinates!$J$2:$J$197,0))</f>
        <v>34.854371989999997</v>
      </c>
      <c r="AM531" s="267" t="str">
        <f>IF(ISNUMBER(SEARCH("C", 'Dry_Litterbag Placem_Collection'!U92)),"YES","NO")</f>
        <v>NO</v>
      </c>
      <c r="AN531" s="267" t="str">
        <f>IF(ISNUMBER(SEARCH("H", 'Dry_Litterbag Placem_Collection'!U92)),"YES","NO")</f>
        <v>NO</v>
      </c>
      <c r="AO531" s="267" t="str">
        <f>IF(ISNUMBER(SEARCH("R", 'Dry_Litterbag Placem_Collection'!U92)),"YES","NO")</f>
        <v>NO</v>
      </c>
    </row>
    <row r="532" spans="1:41" ht="15" customHeight="1">
      <c r="A532" s="259" t="s">
        <v>2643</v>
      </c>
      <c r="B532" s="260">
        <f>'Dry_Litterbag Placem_Collection'!A93</f>
        <v>91</v>
      </c>
      <c r="C532" s="260" t="str">
        <f>'Dry_Litterbag Placem_Collection'!B93</f>
        <v>Maswa</v>
      </c>
      <c r="D532" s="260" t="s">
        <v>2643</v>
      </c>
      <c r="E532" s="260" t="s">
        <v>2645</v>
      </c>
      <c r="F532" s="260">
        <v>4</v>
      </c>
      <c r="G532" s="260" t="s">
        <v>3814</v>
      </c>
      <c r="H532" s="261" t="str">
        <f>'Dry_Litterbag Placem_Collection'!C93</f>
        <v>Dry_W4_T3</v>
      </c>
      <c r="I532" s="270" t="s">
        <v>3630</v>
      </c>
      <c r="J532" s="263" t="s">
        <v>1147</v>
      </c>
      <c r="K532" s="260" t="str">
        <f>IF(ISBLANK('Dry_Litterbag Placem_Collection'!L93),"","G"&amp;""&amp;'Dry_Litterbag Placem_Collection'!L93)</f>
        <v>G596</v>
      </c>
      <c r="L532" s="264">
        <f>IFERROR(INDEX('Green_rooibos initial weight'!$C$5:$C$2000,MATCH(K532, 'Green_rooibos initial weight'!$A$5:$A$2000,0)),"")</f>
        <v>2.0179999999999998</v>
      </c>
      <c r="M532" s="264">
        <f>IFERROR(L532-(TBIcalc!$Q$9+TBIcalc!$Q$10),"")</f>
        <v>1.7681999999999998</v>
      </c>
      <c r="N532" s="385">
        <f>AVERAGE(Ashed_controlls!$K$2:$K$11)</f>
        <v>5.5147656768714146</v>
      </c>
      <c r="O532" s="264">
        <f t="shared" si="41"/>
        <v>1.6706879133015595</v>
      </c>
      <c r="P532" s="264">
        <f>IFERROR(INDEX('Both teabags AfterDry'!$D$2:$D$2000,MATCH(K532,'Both teabags AfterDry'!$A$2:$A$2000,0)),"")</f>
        <v>1.8642000000000001</v>
      </c>
      <c r="Q532" s="264">
        <f>IFERROR(IF(P532&gt;0,P532-(TBIcalc!$Q$9),""),"")</f>
        <v>1.7136</v>
      </c>
      <c r="R532" s="275">
        <f>IFERROR(INDEX('Ashed teabags dry'!$K$2:$K$2000,MATCH(K532,'Ashed teabags dry'!$A$2:$A$2000,0)),"")</f>
        <v>5.1882845188279267</v>
      </c>
      <c r="S532" s="275">
        <f t="shared" si="42"/>
        <v>1.6246935564853646</v>
      </c>
      <c r="T532" s="265">
        <f>IF('Dry_Litterbag Placem_Collection'!E93="","",'Dry_Litterbag Placem_Collection'!E93)</f>
        <v>42937</v>
      </c>
      <c r="U532" s="265">
        <f>IF('Dry_Litterbag Placem_Collection'!G93="","",'Dry_Litterbag Placem_Collection'!G93)</f>
        <v>43006</v>
      </c>
      <c r="V532" s="266">
        <f t="shared" si="40"/>
        <v>69</v>
      </c>
      <c r="W532" s="264">
        <f t="shared" si="43"/>
        <v>5.459999999999976E-2</v>
      </c>
      <c r="X532" s="264">
        <f t="shared" si="44"/>
        <v>4.5994356816194903E-2</v>
      </c>
      <c r="Y532" s="268">
        <f>IFERROR(INDEX(Rainfall_Dry!$O$2:$O$217,MATCH(B532, Rainfall_Dry!$A$2:$A$217,0)),"")</f>
        <v>12.563016860999999</v>
      </c>
      <c r="Z532" s="257">
        <v>28.145762029394</v>
      </c>
      <c r="AA532" s="257">
        <v>25.085564727199518</v>
      </c>
      <c r="AB532" s="257">
        <v>46.768673243406489</v>
      </c>
      <c r="AC532" s="258" t="s">
        <v>2654</v>
      </c>
      <c r="AD532" s="257">
        <v>4.1716214884179399</v>
      </c>
      <c r="AE532">
        <f>IF('WetLitterbags placem_collection'!AB93="","",'WetLitterbags placem_collection'!AB93)</f>
        <v>6.1</v>
      </c>
      <c r="AF532">
        <f>IF('WetLitterbags placem_collection'!Z93="","",'WetLitterbags placem_collection'!Z93)</f>
        <v>39.4</v>
      </c>
      <c r="AG532" s="243" t="str">
        <f>IF('WetLitterbags placem_collection'!AA93="","",'WetLitterbags placem_collection'!AA93)</f>
        <v>O</v>
      </c>
      <c r="AH532">
        <f>IF('WetLitterbags placem_collection'!AC93="","",'WetLitterbags placem_collection'!AC93)</f>
        <v>1</v>
      </c>
      <c r="AI532">
        <f>IFERROR(AVERAGE('Dry_Litterbag Placem_Collection'!O93,'Dry_Litterbag Placem_Collection'!R93),"")</f>
        <v>10.95</v>
      </c>
      <c r="AJ532" s="268">
        <f>IFERROR(AVERAGE('Dry_Litterbag Placem_Collection'!N93,'Dry_Litterbag Placem_Collection'!Q93),"")</f>
        <v>25.95</v>
      </c>
      <c r="AK532" s="267">
        <f>INDEX(Coordinates!$B$2:$B$197,MATCH(H532,Coordinates!$J$2:$J$197,0))</f>
        <v>-3.2966180239999998</v>
      </c>
      <c r="AL532" s="267">
        <f>INDEX(Coordinates!$C$2:$C$197,MATCH(H532,Coordinates!$J$2:$J$197,0))</f>
        <v>34.854464020000002</v>
      </c>
      <c r="AM532" s="267" t="str">
        <f>IF(ISNUMBER(SEARCH("C", 'Dry_Litterbag Placem_Collection'!U93)),"YES","NO")</f>
        <v>NO</v>
      </c>
      <c r="AN532" s="267" t="str">
        <f>IF(ISNUMBER(SEARCH("H", 'Dry_Litterbag Placem_Collection'!U93)),"YES","NO")</f>
        <v>NO</v>
      </c>
      <c r="AO532" s="267" t="str">
        <f>IF(ISNUMBER(SEARCH("R", 'Dry_Litterbag Placem_Collection'!U93)),"YES","NO")</f>
        <v>NO</v>
      </c>
    </row>
    <row r="533" spans="1:41" ht="15" customHeight="1">
      <c r="A533" s="259" t="s">
        <v>2643</v>
      </c>
      <c r="B533" s="260">
        <f>'Dry_Litterbag Placem_Collection'!A94</f>
        <v>92</v>
      </c>
      <c r="C533" s="260" t="str">
        <f>'Dry_Litterbag Placem_Collection'!B94</f>
        <v>Maswa</v>
      </c>
      <c r="D533" s="260" t="s">
        <v>2643</v>
      </c>
      <c r="E533" s="260" t="s">
        <v>2645</v>
      </c>
      <c r="F533" s="260">
        <v>4</v>
      </c>
      <c r="G533" s="260" t="s">
        <v>3814</v>
      </c>
      <c r="H533" s="261" t="str">
        <f>'Dry_Litterbag Placem_Collection'!C94</f>
        <v>Dry_W4_T4</v>
      </c>
      <c r="I533" s="270" t="s">
        <v>3630</v>
      </c>
      <c r="J533" s="263" t="s">
        <v>1147</v>
      </c>
      <c r="K533" s="260" t="str">
        <f>IF(ISBLANK('Dry_Litterbag Placem_Collection'!L94),"","G"&amp;""&amp;'Dry_Litterbag Placem_Collection'!L94)</f>
        <v>G380</v>
      </c>
      <c r="L533" s="264">
        <f>IFERROR(INDEX('Green_rooibos initial weight'!$C$5:$C$2000,MATCH(K533, 'Green_rooibos initial weight'!$A$5:$A$2000,0)),"")</f>
        <v>2.0619999999999998</v>
      </c>
      <c r="M533" s="264">
        <f>IFERROR(L533-(TBIcalc!$Q$9+TBIcalc!$Q$10),"")</f>
        <v>1.8121999999999998</v>
      </c>
      <c r="N533" s="385">
        <f>AVERAGE(Ashed_controlls!$K$2:$K$11)</f>
        <v>5.5147656768714146</v>
      </c>
      <c r="O533" s="264">
        <f t="shared" si="41"/>
        <v>1.712261416403736</v>
      </c>
      <c r="P533" s="264">
        <f>IFERROR(INDEX('Both teabags AfterDry'!$D$2:$D$2000,MATCH(K533,'Both teabags AfterDry'!$A$2:$A$2000,0)),"")</f>
        <v>1.8685</v>
      </c>
      <c r="Q533" s="264">
        <f>IFERROR(IF(P533&gt;0,P533-(TBIcalc!$Q$9),""),"")</f>
        <v>1.7179</v>
      </c>
      <c r="R533" s="275">
        <f>IFERROR(INDEX('Ashed teabags dry'!$K$2:$K$2000,MATCH(K533,'Ashed teabags dry'!$A$2:$A$2000,0)),"")</f>
        <v>5.9040590405909334</v>
      </c>
      <c r="S533" s="275">
        <f t="shared" si="42"/>
        <v>1.6164741697416884</v>
      </c>
      <c r="T533" s="265">
        <f>IF('Dry_Litterbag Placem_Collection'!E94="","",'Dry_Litterbag Placem_Collection'!E94)</f>
        <v>42937</v>
      </c>
      <c r="U533" s="265">
        <f>IF('Dry_Litterbag Placem_Collection'!G94="","",'Dry_Litterbag Placem_Collection'!G94)</f>
        <v>43006</v>
      </c>
      <c r="V533" s="266">
        <f t="shared" si="40"/>
        <v>69</v>
      </c>
      <c r="W533" s="264">
        <f t="shared" si="43"/>
        <v>9.4299999999999828E-2</v>
      </c>
      <c r="X533" s="264">
        <f t="shared" si="44"/>
        <v>9.578724666204752E-2</v>
      </c>
      <c r="Y533" s="268">
        <f>IFERROR(INDEX(Rainfall_Dry!$O$2:$O$217,MATCH(B533, Rainfall_Dry!$A$2:$A$217,0)),"")</f>
        <v>12.563016860999999</v>
      </c>
      <c r="Z533" s="257">
        <v>28.145762029394</v>
      </c>
      <c r="AA533" s="257">
        <v>25.085564727199518</v>
      </c>
      <c r="AB533" s="257">
        <v>46.768673243406489</v>
      </c>
      <c r="AC533" s="258" t="s">
        <v>2654</v>
      </c>
      <c r="AD533" s="257">
        <v>5.1716214884179399</v>
      </c>
      <c r="AE533">
        <f>IF('WetLitterbags placem_collection'!AB94="","",'WetLitterbags placem_collection'!AB94)</f>
        <v>7.7</v>
      </c>
      <c r="AF533">
        <f>IF('WetLitterbags placem_collection'!Z94="","",'WetLitterbags placem_collection'!Z94)</f>
        <v>24.8</v>
      </c>
      <c r="AG533" s="243" t="str">
        <f>IF('WetLitterbags placem_collection'!AA94="","",'WetLitterbags placem_collection'!AA94)</f>
        <v>O</v>
      </c>
      <c r="AH533">
        <f>IF('WetLitterbags placem_collection'!AC94="","",'WetLitterbags placem_collection'!AC94)</f>
        <v>1</v>
      </c>
      <c r="AI533">
        <f>IFERROR(AVERAGE('Dry_Litterbag Placem_Collection'!O94,'Dry_Litterbag Placem_Collection'!R94),"")</f>
        <v>10.25</v>
      </c>
      <c r="AJ533" s="268">
        <f>IFERROR(AVERAGE('Dry_Litterbag Placem_Collection'!N94,'Dry_Litterbag Placem_Collection'!Q94),"")</f>
        <v>26</v>
      </c>
      <c r="AK533" s="267">
        <f>INDEX(Coordinates!$B$2:$B$197,MATCH(H533,Coordinates!$J$2:$J$197,0))</f>
        <v>-3.2965539860000002</v>
      </c>
      <c r="AL533" s="267">
        <f>INDEX(Coordinates!$C$2:$C$197,MATCH(H533,Coordinates!$J$2:$J$197,0))</f>
        <v>34.854455969999997</v>
      </c>
      <c r="AM533" s="267" t="str">
        <f>IF(ISNUMBER(SEARCH("C", 'Dry_Litterbag Placem_Collection'!U94)),"YES","NO")</f>
        <v>NO</v>
      </c>
      <c r="AN533" s="267" t="str">
        <f>IF(ISNUMBER(SEARCH("H", 'Dry_Litterbag Placem_Collection'!U94)),"YES","NO")</f>
        <v>NO</v>
      </c>
      <c r="AO533" s="267" t="str">
        <f>IF(ISNUMBER(SEARCH("R", 'Dry_Litterbag Placem_Collection'!U94)),"YES","NO")</f>
        <v>NO</v>
      </c>
    </row>
    <row r="534" spans="1:41" ht="15" customHeight="1">
      <c r="A534" s="259" t="s">
        <v>2643</v>
      </c>
      <c r="B534" s="260">
        <f>'Dry_Litterbag Placem_Collection'!A95</f>
        <v>93</v>
      </c>
      <c r="C534" s="260" t="str">
        <f>'Dry_Litterbag Placem_Collection'!B95</f>
        <v>Maswa</v>
      </c>
      <c r="D534" s="260" t="s">
        <v>2643</v>
      </c>
      <c r="E534" s="260" t="s">
        <v>2645</v>
      </c>
      <c r="F534" s="260">
        <v>4</v>
      </c>
      <c r="G534" s="260" t="s">
        <v>3814</v>
      </c>
      <c r="H534" s="261" t="str">
        <f>'Dry_Litterbag Placem_Collection'!C95</f>
        <v>Dry_W4_T5</v>
      </c>
      <c r="I534" s="270" t="s">
        <v>3630</v>
      </c>
      <c r="J534" s="263" t="s">
        <v>1147</v>
      </c>
      <c r="K534" s="260" t="str">
        <f>IF(ISBLANK('Dry_Litterbag Placem_Collection'!L95),"","G"&amp;""&amp;'Dry_Litterbag Placem_Collection'!L95)</f>
        <v>G872</v>
      </c>
      <c r="L534" s="264">
        <f>IFERROR(INDEX('Green_rooibos initial weight'!$C$5:$C$2000,MATCH(K534, 'Green_rooibos initial weight'!$A$5:$A$2000,0)),"")</f>
        <v>2.008</v>
      </c>
      <c r="M534" s="264">
        <f>IFERROR(L534-(TBIcalc!$Q$9+TBIcalc!$Q$10),"")</f>
        <v>1.7582</v>
      </c>
      <c r="N534" s="385">
        <f>AVERAGE(Ashed_controlls!$K$2:$K$11)</f>
        <v>5.5147656768714146</v>
      </c>
      <c r="O534" s="264">
        <f t="shared" si="41"/>
        <v>1.6612393898692468</v>
      </c>
      <c r="P534" s="264">
        <f>IFERROR(INDEX('Both teabags AfterDry'!$D$2:$D$2000,MATCH(K534,'Both teabags AfterDry'!$A$2:$A$2000,0)),"")</f>
        <v>1.8389</v>
      </c>
      <c r="Q534" s="264">
        <f>IFERROR(IF(P534&gt;0,P534-(TBIcalc!$Q$9),""),"")</f>
        <v>1.6882999999999999</v>
      </c>
      <c r="R534" s="275">
        <f>IFERROR(INDEX('Ashed teabags dry'!$K$2:$K$2000,MATCH(K534,'Ashed teabags dry'!$A$2:$A$2000,0)),"")</f>
        <v>5.7008144020571656</v>
      </c>
      <c r="S534" s="275">
        <f t="shared" si="42"/>
        <v>1.5920531504500688</v>
      </c>
      <c r="T534" s="265">
        <f>IF('Dry_Litterbag Placem_Collection'!E95="","",'Dry_Litterbag Placem_Collection'!E95)</f>
        <v>42937</v>
      </c>
      <c r="U534" s="265">
        <f>IF('Dry_Litterbag Placem_Collection'!G95="","",'Dry_Litterbag Placem_Collection'!G95)</f>
        <v>43006</v>
      </c>
      <c r="V534" s="266">
        <f t="shared" si="40"/>
        <v>69</v>
      </c>
      <c r="W534" s="264">
        <f t="shared" si="43"/>
        <v>6.9900000000000073E-2</v>
      </c>
      <c r="X534" s="264">
        <f t="shared" si="44"/>
        <v>6.9186239419178008E-2</v>
      </c>
      <c r="Y534" s="268">
        <f>IFERROR(INDEX(Rainfall_Dry!$O$2:$O$217,MATCH(B534, Rainfall_Dry!$A$2:$A$217,0)),"")</f>
        <v>12.563016860999999</v>
      </c>
      <c r="Z534" s="257">
        <v>28.145762029394</v>
      </c>
      <c r="AA534" s="257">
        <v>25.085564727199518</v>
      </c>
      <c r="AB534" s="257">
        <v>46.768673243406489</v>
      </c>
      <c r="AC534" s="258" t="s">
        <v>2654</v>
      </c>
      <c r="AD534" s="257">
        <v>6.1716214884179399</v>
      </c>
      <c r="AE534">
        <f>IF('WetLitterbags placem_collection'!AB95="","",'WetLitterbags placem_collection'!AB95)</f>
        <v>6.6</v>
      </c>
      <c r="AF534">
        <f>IF('WetLitterbags placem_collection'!Z95="","",'WetLitterbags placem_collection'!Z95)</f>
        <v>40</v>
      </c>
      <c r="AG534" s="243" t="str">
        <f>IF('WetLitterbags placem_collection'!AA95="","",'WetLitterbags placem_collection'!AA95)</f>
        <v>O</v>
      </c>
      <c r="AH534">
        <f>IF('WetLitterbags placem_collection'!AC95="","",'WetLitterbags placem_collection'!AC95)</f>
        <v>1</v>
      </c>
      <c r="AI534">
        <f>IFERROR(AVERAGE('Dry_Litterbag Placem_Collection'!O95,'Dry_Litterbag Placem_Collection'!R95),"")</f>
        <v>10.45</v>
      </c>
      <c r="AJ534" s="268">
        <f>IFERROR(AVERAGE('Dry_Litterbag Placem_Collection'!N95,'Dry_Litterbag Placem_Collection'!Q95),"")</f>
        <v>26.4</v>
      </c>
      <c r="AK534" s="267">
        <f>INDEX(Coordinates!$B$2:$B$197,MATCH(H534,Coordinates!$J$2:$J$197,0))</f>
        <v>-3.2964789680000002</v>
      </c>
      <c r="AL534" s="267">
        <f>INDEX(Coordinates!$C$2:$C$197,MATCH(H534,Coordinates!$J$2:$J$197,0))</f>
        <v>34.854331000000002</v>
      </c>
      <c r="AM534" s="267" t="str">
        <f>IF(ISNUMBER(SEARCH("C", 'Dry_Litterbag Placem_Collection'!U95)),"YES","NO")</f>
        <v>NO</v>
      </c>
      <c r="AN534" s="267" t="str">
        <f>IF(ISNUMBER(SEARCH("H", 'Dry_Litterbag Placem_Collection'!U95)),"YES","NO")</f>
        <v>NO</v>
      </c>
      <c r="AO534" s="267" t="str">
        <f>IF(ISNUMBER(SEARCH("R", 'Dry_Litterbag Placem_Collection'!U95)),"YES","NO")</f>
        <v>NO</v>
      </c>
    </row>
    <row r="535" spans="1:41" ht="15" customHeight="1">
      <c r="A535" s="259" t="s">
        <v>2643</v>
      </c>
      <c r="B535" s="260">
        <f>'Dry_Litterbag Placem_Collection'!A96</f>
        <v>94</v>
      </c>
      <c r="C535" s="260" t="str">
        <f>'Dry_Litterbag Placem_Collection'!B96</f>
        <v>Maswa</v>
      </c>
      <c r="D535" s="260" t="s">
        <v>2643</v>
      </c>
      <c r="E535" s="260" t="s">
        <v>2645</v>
      </c>
      <c r="F535" s="260">
        <v>4</v>
      </c>
      <c r="G535" s="260" t="s">
        <v>3814</v>
      </c>
      <c r="H535" s="261" t="str">
        <f>'Dry_Litterbag Placem_Collection'!C96</f>
        <v>Dry_W4_T6</v>
      </c>
      <c r="I535" s="270" t="s">
        <v>3630</v>
      </c>
      <c r="J535" s="263" t="s">
        <v>1147</v>
      </c>
      <c r="K535" s="260" t="str">
        <f>IF(ISBLANK('Dry_Litterbag Placem_Collection'!L96),"","G"&amp;""&amp;'Dry_Litterbag Placem_Collection'!L96)</f>
        <v/>
      </c>
      <c r="L535" s="264" t="str">
        <f>IFERROR(INDEX('Green_rooibos initial weight'!$C$5:$C$2000,MATCH(K535, 'Green_rooibos initial weight'!$A$5:$A$2000,0)),"")</f>
        <v/>
      </c>
      <c r="M535" s="264" t="str">
        <f>IFERROR(L535-(TBIcalc!$Q$9+TBIcalc!$Q$10),"")</f>
        <v/>
      </c>
      <c r="N535" s="385">
        <f>AVERAGE(Ashed_controlls!$K$2:$K$11)</f>
        <v>5.5147656768714146</v>
      </c>
      <c r="O535" s="264" t="str">
        <f t="shared" si="41"/>
        <v/>
      </c>
      <c r="P535" s="264" t="str">
        <f>IFERROR(INDEX('Both teabags AfterDry'!$D$2:$D$2000,MATCH(K535,'Both teabags AfterDry'!$A$2:$A$2000,0)),"")</f>
        <v/>
      </c>
      <c r="Q535" s="264" t="str">
        <f>IFERROR(IF(P535&gt;0,P535-(TBIcalc!$Q$9),""),"")</f>
        <v/>
      </c>
      <c r="R535" s="275" t="str">
        <f>IFERROR(INDEX('Ashed teabags dry'!$K$2:$K$2000,MATCH(K535,'Ashed teabags dry'!$A$2:$A$2000,0)),"")</f>
        <v/>
      </c>
      <c r="S535" s="275" t="str">
        <f t="shared" si="42"/>
        <v/>
      </c>
      <c r="T535" s="265" t="str">
        <f>IF('Dry_Litterbag Placem_Collection'!E96="","",'Dry_Litterbag Placem_Collection'!E96)</f>
        <v/>
      </c>
      <c r="U535" s="265" t="str">
        <f>IF('Dry_Litterbag Placem_Collection'!G96="","",'Dry_Litterbag Placem_Collection'!G96)</f>
        <v/>
      </c>
      <c r="V535" s="266" t="str">
        <f t="shared" si="40"/>
        <v/>
      </c>
      <c r="W535" s="264" t="str">
        <f t="shared" si="43"/>
        <v/>
      </c>
      <c r="X535" s="264" t="str">
        <f t="shared" si="44"/>
        <v/>
      </c>
      <c r="Y535" s="268" t="str">
        <f>IFERROR(INDEX(Rainfall_Dry!$O$2:$O$217,MATCH(B535, Rainfall_Dry!$A$2:$A$217,0)),"")</f>
        <v/>
      </c>
      <c r="Z535" s="257">
        <v>28.145762029394</v>
      </c>
      <c r="AA535" s="257">
        <v>25.085564727199518</v>
      </c>
      <c r="AB535" s="257">
        <v>46.768673243406489</v>
      </c>
      <c r="AC535" s="258" t="s">
        <v>2654</v>
      </c>
      <c r="AD535" s="257">
        <v>7.1716214884179399</v>
      </c>
      <c r="AE535" t="str">
        <f>IF('WetLitterbags placem_collection'!AB96="","",'WetLitterbags placem_collection'!AB96)</f>
        <v/>
      </c>
      <c r="AF535" t="str">
        <f>IF('WetLitterbags placem_collection'!Z96="","",'WetLitterbags placem_collection'!Z96)</f>
        <v/>
      </c>
      <c r="AG535" s="243" t="str">
        <f>IF('WetLitterbags placem_collection'!AA96="","",'WetLitterbags placem_collection'!AA96)</f>
        <v/>
      </c>
      <c r="AH535" t="str">
        <f>IF('WetLitterbags placem_collection'!AC96="","",'WetLitterbags placem_collection'!AC96)</f>
        <v/>
      </c>
      <c r="AI535" t="str">
        <f>IFERROR(AVERAGE('Dry_Litterbag Placem_Collection'!O96,'Dry_Litterbag Placem_Collection'!R96),"")</f>
        <v/>
      </c>
      <c r="AJ535" s="268" t="str">
        <f>IFERROR(AVERAGE('Dry_Litterbag Placem_Collection'!N96,'Dry_Litterbag Placem_Collection'!Q96),"")</f>
        <v/>
      </c>
      <c r="AK535" s="267">
        <f>INDEX(Coordinates!$B$2:$B$197,MATCH(H535,Coordinates!$J$2:$J$197,0))</f>
        <v>-3.2964649700000002</v>
      </c>
      <c r="AL535" s="267">
        <f>INDEX(Coordinates!$C$2:$C$197,MATCH(H535,Coordinates!$J$2:$J$197,0))</f>
        <v>34.854340970000003</v>
      </c>
      <c r="AM535" s="267" t="str">
        <f>IF(ISNUMBER(SEARCH("C", 'Dry_Litterbag Placem_Collection'!U96)),"YES","NO")</f>
        <v>NO</v>
      </c>
      <c r="AN535" s="267" t="str">
        <f>IF(ISNUMBER(SEARCH("H", 'Dry_Litterbag Placem_Collection'!U96)),"YES","NO")</f>
        <v>NO</v>
      </c>
      <c r="AO535" s="267" t="str">
        <f>IF(ISNUMBER(SEARCH("R", 'Dry_Litterbag Placem_Collection'!U96)),"YES","NO")</f>
        <v>NO</v>
      </c>
    </row>
    <row r="536" spans="1:41" ht="15" customHeight="1">
      <c r="A536" s="259" t="s">
        <v>2643</v>
      </c>
      <c r="B536" s="260">
        <f>'Dry_Litterbag Placem_Collection'!A97</f>
        <v>95</v>
      </c>
      <c r="C536" s="260" t="str">
        <f>'Dry_Litterbag Placem_Collection'!B97</f>
        <v>Maswa</v>
      </c>
      <c r="D536" s="260" t="s">
        <v>2643</v>
      </c>
      <c r="E536" s="260" t="s">
        <v>2645</v>
      </c>
      <c r="F536" s="260">
        <v>4</v>
      </c>
      <c r="G536" s="260" t="s">
        <v>3814</v>
      </c>
      <c r="H536" s="261" t="str">
        <f>'Dry_Litterbag Placem_Collection'!C97</f>
        <v>Dry_W4_T7</v>
      </c>
      <c r="I536" s="270" t="s">
        <v>3630</v>
      </c>
      <c r="J536" s="263" t="s">
        <v>1147</v>
      </c>
      <c r="K536" s="260" t="str">
        <f>IF(ISBLANK('Dry_Litterbag Placem_Collection'!L97),"","G"&amp;""&amp;'Dry_Litterbag Placem_Collection'!L97)</f>
        <v>G844</v>
      </c>
      <c r="L536" s="264">
        <f>IFERROR(INDEX('Green_rooibos initial weight'!$C$5:$C$2000,MATCH(K536, 'Green_rooibos initial weight'!$A$5:$A$2000,0)),"")</f>
        <v>1.95</v>
      </c>
      <c r="M536" s="264">
        <f>IFERROR(L536-(TBIcalc!$Q$9+TBIcalc!$Q$10),"")</f>
        <v>1.7001999999999999</v>
      </c>
      <c r="N536" s="385">
        <f>AVERAGE(Ashed_controlls!$K$2:$K$11)</f>
        <v>5.5147656768714146</v>
      </c>
      <c r="O536" s="264">
        <f t="shared" si="41"/>
        <v>1.6064379539618321</v>
      </c>
      <c r="P536" s="264">
        <f>IFERROR(INDEX('Both teabags AfterDry'!$D$2:$D$2000,MATCH(K536,'Both teabags AfterDry'!$A$2:$A$2000,0)),"")</f>
        <v>1.7751999999999999</v>
      </c>
      <c r="Q536" s="264">
        <f>IFERROR(IF(P536&gt;0,P536-(TBIcalc!$Q$9),""),"")</f>
        <v>1.6245999999999998</v>
      </c>
      <c r="R536" s="275">
        <f>IFERROR(INDEX('Ashed teabags dry'!$K$2:$K$2000,MATCH(K536,'Ashed teabags dry'!$A$2:$A$2000,0)),"")</f>
        <v>6.2158130283436162</v>
      </c>
      <c r="S536" s="275">
        <f t="shared" si="42"/>
        <v>1.5236179015415294</v>
      </c>
      <c r="T536" s="265">
        <f>IF('Dry_Litterbag Placem_Collection'!E97="","",'Dry_Litterbag Placem_Collection'!E97)</f>
        <v>42937</v>
      </c>
      <c r="U536" s="265">
        <f>IF('Dry_Litterbag Placem_Collection'!G97="","",'Dry_Litterbag Placem_Collection'!G97)</f>
        <v>43006</v>
      </c>
      <c r="V536" s="266">
        <f t="shared" si="40"/>
        <v>69</v>
      </c>
      <c r="W536" s="264">
        <f t="shared" si="43"/>
        <v>7.5600000000000112E-2</v>
      </c>
      <c r="X536" s="264">
        <f t="shared" si="44"/>
        <v>8.2820052420302659E-2</v>
      </c>
      <c r="Y536" s="268">
        <f>IFERROR(INDEX(Rainfall_Dry!$O$2:$O$217,MATCH(B536, Rainfall_Dry!$A$2:$A$217,0)),"")</f>
        <v>12.563016860999999</v>
      </c>
      <c r="Z536" s="257">
        <v>28.145762029394</v>
      </c>
      <c r="AA536" s="257">
        <v>25.085564727199518</v>
      </c>
      <c r="AB536" s="257">
        <v>46.768673243406489</v>
      </c>
      <c r="AC536" s="258" t="s">
        <v>2654</v>
      </c>
      <c r="AD536" s="257">
        <v>8.1716214884179408</v>
      </c>
      <c r="AE536">
        <f>IF('WetLitterbags placem_collection'!AB97="","",'WetLitterbags placem_collection'!AB97)</f>
        <v>5.4</v>
      </c>
      <c r="AF536">
        <f>IF('WetLitterbags placem_collection'!Z97="","",'WetLitterbags placem_collection'!Z97)</f>
        <v>15.2</v>
      </c>
      <c r="AG536" s="243" t="str">
        <f>IF('WetLitterbags placem_collection'!AA97="","",'WetLitterbags placem_collection'!AA97)</f>
        <v>O</v>
      </c>
      <c r="AH536">
        <f>IF('WetLitterbags placem_collection'!AC97="","",'WetLitterbags placem_collection'!AC97)</f>
        <v>0</v>
      </c>
      <c r="AI536">
        <f>IFERROR(AVERAGE('Dry_Litterbag Placem_Collection'!O97,'Dry_Litterbag Placem_Collection'!R97),"")</f>
        <v>8.75</v>
      </c>
      <c r="AJ536" s="268">
        <f>IFERROR(AVERAGE('Dry_Litterbag Placem_Collection'!N97,'Dry_Litterbag Placem_Collection'!Q97),"")</f>
        <v>27.35</v>
      </c>
      <c r="AK536" s="267">
        <f>INDEX(Coordinates!$B$2:$B$197,MATCH(H536,Coordinates!$J$2:$J$197,0))</f>
        <v>-3.296725983</v>
      </c>
      <c r="AL536" s="267">
        <f>INDEX(Coordinates!$C$2:$C$197,MATCH(H536,Coordinates!$J$2:$J$197,0))</f>
        <v>34.854216000000001</v>
      </c>
      <c r="AM536" s="267" t="str">
        <f>IF(ISNUMBER(SEARCH("C", 'Dry_Litterbag Placem_Collection'!U97)),"YES","NO")</f>
        <v>NO</v>
      </c>
      <c r="AN536" s="267" t="str">
        <f>IF(ISNUMBER(SEARCH("H", 'Dry_Litterbag Placem_Collection'!U97)),"YES","NO")</f>
        <v>NO</v>
      </c>
      <c r="AO536" s="267" t="str">
        <f>IF(ISNUMBER(SEARCH("R", 'Dry_Litterbag Placem_Collection'!U97)),"YES","NO")</f>
        <v>NO</v>
      </c>
    </row>
    <row r="537" spans="1:41" ht="15" customHeight="1">
      <c r="A537" s="259" t="s">
        <v>2643</v>
      </c>
      <c r="B537" s="260">
        <f>'Dry_Litterbag Placem_Collection'!A98</f>
        <v>96</v>
      </c>
      <c r="C537" s="260" t="str">
        <f>'Dry_Litterbag Placem_Collection'!B98</f>
        <v>Maswa</v>
      </c>
      <c r="D537" s="260" t="s">
        <v>2643</v>
      </c>
      <c r="E537" s="260" t="s">
        <v>2645</v>
      </c>
      <c r="F537" s="260">
        <v>4</v>
      </c>
      <c r="G537" s="260" t="s">
        <v>3814</v>
      </c>
      <c r="H537" s="261" t="str">
        <f>'Dry_Litterbag Placem_Collection'!C98</f>
        <v>Dry_W4_T8</v>
      </c>
      <c r="I537" s="270" t="s">
        <v>3630</v>
      </c>
      <c r="J537" s="263" t="s">
        <v>1147</v>
      </c>
      <c r="K537" s="260" t="str">
        <f>IF(ISBLANK('Dry_Litterbag Placem_Collection'!L98),"","G"&amp;""&amp;'Dry_Litterbag Placem_Collection'!L98)</f>
        <v>G372</v>
      </c>
      <c r="L537" s="264">
        <f>IFERROR(INDEX('Green_rooibos initial weight'!$C$5:$C$2000,MATCH(K537, 'Green_rooibos initial weight'!$A$5:$A$2000,0)),"")</f>
        <v>2.1539999999999999</v>
      </c>
      <c r="M537" s="264">
        <f>IFERROR(L537-(TBIcalc!$Q$9+TBIcalc!$Q$10),"")</f>
        <v>1.9041999999999999</v>
      </c>
      <c r="N537" s="385">
        <f>AVERAGE(Ashed_controlls!$K$2:$K$11)</f>
        <v>5.5147656768714146</v>
      </c>
      <c r="O537" s="264">
        <f t="shared" si="41"/>
        <v>1.7991878319810144</v>
      </c>
      <c r="P537" s="264">
        <f>IFERROR(INDEX('Both teabags AfterDry'!$D$2:$D$2000,MATCH(K537,'Both teabags AfterDry'!$A$2:$A$2000,0)),"")</f>
        <v>1.9605999999999999</v>
      </c>
      <c r="Q537" s="264">
        <f>IFERROR(IF(P537&gt;0,P537-(TBIcalc!$Q$9),""),"")</f>
        <v>1.8099999999999998</v>
      </c>
      <c r="R537" s="275">
        <f>IFERROR(INDEX('Ashed teabags dry'!$K$2:$K$2000,MATCH(K537,'Ashed teabags dry'!$A$2:$A$2000,0)),"")</f>
        <v>5.7128906249998721</v>
      </c>
      <c r="S537" s="275">
        <f t="shared" si="42"/>
        <v>1.7065966796875021</v>
      </c>
      <c r="T537" s="265">
        <f>IF('Dry_Litterbag Placem_Collection'!E98="","",'Dry_Litterbag Placem_Collection'!E98)</f>
        <v>42937</v>
      </c>
      <c r="U537" s="265">
        <f>IF('Dry_Litterbag Placem_Collection'!G98="","",'Dry_Litterbag Placem_Collection'!G98)</f>
        <v>43006</v>
      </c>
      <c r="V537" s="266">
        <f t="shared" si="40"/>
        <v>69</v>
      </c>
      <c r="W537" s="264">
        <f t="shared" si="43"/>
        <v>9.4200000000000061E-2</v>
      </c>
      <c r="X537" s="264">
        <f t="shared" si="44"/>
        <v>9.2591152293512335E-2</v>
      </c>
      <c r="Y537" s="268">
        <f>IFERROR(INDEX(Rainfall_Dry!$O$2:$O$217,MATCH(B537, Rainfall_Dry!$A$2:$A$217,0)),"")</f>
        <v>12.563016860999999</v>
      </c>
      <c r="Z537" s="257">
        <v>28.145762029394</v>
      </c>
      <c r="AA537" s="257">
        <v>25.085564727199518</v>
      </c>
      <c r="AB537" s="257">
        <v>46.768673243406489</v>
      </c>
      <c r="AC537" s="258" t="s">
        <v>2654</v>
      </c>
      <c r="AD537" s="257">
        <v>9.1716214884179408</v>
      </c>
      <c r="AE537">
        <f>IF('WetLitterbags placem_collection'!AB98="","",'WetLitterbags placem_collection'!AB98)</f>
        <v>4</v>
      </c>
      <c r="AF537">
        <f>IF('WetLitterbags placem_collection'!Z98="","",'WetLitterbags placem_collection'!Z98)</f>
        <v>34.4</v>
      </c>
      <c r="AG537" s="243" t="str">
        <f>IF('WetLitterbags placem_collection'!AA98="","",'WetLitterbags placem_collection'!AA98)</f>
        <v>O</v>
      </c>
      <c r="AH537">
        <f>IF('WetLitterbags placem_collection'!AC98="","",'WetLitterbags placem_collection'!AC98)</f>
        <v>0</v>
      </c>
      <c r="AI537">
        <f>IFERROR(AVERAGE('Dry_Litterbag Placem_Collection'!O98,'Dry_Litterbag Placem_Collection'!R98),"")</f>
        <v>5.0999999999999996</v>
      </c>
      <c r="AJ537" s="268">
        <f>IFERROR(AVERAGE('Dry_Litterbag Placem_Collection'!N98,'Dry_Litterbag Placem_Collection'!Q98),"")</f>
        <v>25.950000000000003</v>
      </c>
      <c r="AK537" s="267">
        <f>INDEX(Coordinates!$B$2:$B$197,MATCH(H537,Coordinates!$J$2:$J$197,0))</f>
        <v>-3.2968360369999998</v>
      </c>
      <c r="AL537" s="267">
        <f>INDEX(Coordinates!$C$2:$C$197,MATCH(H537,Coordinates!$J$2:$J$197,0))</f>
        <v>34.854462009999999</v>
      </c>
      <c r="AM537" s="267" t="str">
        <f>IF(ISNUMBER(SEARCH("C", 'Dry_Litterbag Placem_Collection'!U98)),"YES","NO")</f>
        <v>NO</v>
      </c>
      <c r="AN537" s="267" t="str">
        <f>IF(ISNUMBER(SEARCH("H", 'Dry_Litterbag Placem_Collection'!U98)),"YES","NO")</f>
        <v>NO</v>
      </c>
      <c r="AO537" s="267" t="str">
        <f>IF(ISNUMBER(SEARCH("R", 'Dry_Litterbag Placem_Collection'!U98)),"YES","NO")</f>
        <v>NO</v>
      </c>
    </row>
    <row r="538" spans="1:41" ht="15" customHeight="1">
      <c r="A538" s="259" t="s">
        <v>2643</v>
      </c>
      <c r="B538" s="260">
        <f>'Dry_Litterbag Placem_Collection'!A99</f>
        <v>97</v>
      </c>
      <c r="C538" s="260" t="str">
        <f>'Dry_Litterbag Placem_Collection'!B99</f>
        <v xml:space="preserve">Mwantimba
</v>
      </c>
      <c r="D538" s="260" t="s">
        <v>2454</v>
      </c>
      <c r="E538" s="260" t="s">
        <v>2644</v>
      </c>
      <c r="F538" s="260">
        <v>1</v>
      </c>
      <c r="G538" s="260" t="s">
        <v>3815</v>
      </c>
      <c r="H538" s="261" t="str">
        <f>'Dry_Litterbag Placem_Collection'!C99</f>
        <v>Wet_Ag1_T1</v>
      </c>
      <c r="I538" s="270" t="s">
        <v>3630</v>
      </c>
      <c r="J538" s="263" t="s">
        <v>1147</v>
      </c>
      <c r="K538" s="260" t="str">
        <f>IF(ISBLANK('Dry_Litterbag Placem_Collection'!L99),"","G"&amp;""&amp;'Dry_Litterbag Placem_Collection'!L99)</f>
        <v>G3</v>
      </c>
      <c r="L538" s="264">
        <f>IFERROR(INDEX('Green_rooibos initial weight'!$C$5:$C$2000,MATCH(K538, 'Green_rooibos initial weight'!$A$5:$A$2000,0)),"")</f>
        <v>2.0470000000000002</v>
      </c>
      <c r="M538" s="264">
        <f>IFERROR(L538-(TBIcalc!$Q$9+TBIcalc!$Q$10),"")</f>
        <v>1.7972000000000001</v>
      </c>
      <c r="N538" s="385">
        <f>AVERAGE(Ashed_controlls!$K$2:$K$11)</f>
        <v>5.5147656768714146</v>
      </c>
      <c r="O538" s="264">
        <f t="shared" si="41"/>
        <v>1.698088631255267</v>
      </c>
      <c r="P538" s="264" t="str">
        <f>IFERROR(INDEX('Both teabags AfterDry'!$D$2:$D$2000,MATCH(K538,'Both teabags AfterDry'!$A$2:$A$2000,0)),"")</f>
        <v/>
      </c>
      <c r="Q538" s="264" t="str">
        <f>IFERROR(IF(P538&gt;0,P538-(TBIcalc!$Q$9),""),"")</f>
        <v/>
      </c>
      <c r="R538" s="275" t="str">
        <f>IFERROR(INDEX('Ashed teabags dry'!$K$2:$K$2000,MATCH(K538,'Ashed teabags dry'!$A$2:$A$2000,0)),"")</f>
        <v/>
      </c>
      <c r="S538" s="275" t="str">
        <f t="shared" si="42"/>
        <v/>
      </c>
      <c r="T538" s="265">
        <f>IF('Dry_Litterbag Placem_Collection'!E99="","",'Dry_Litterbag Placem_Collection'!E99)</f>
        <v>42939</v>
      </c>
      <c r="U538" s="265">
        <f>IF('Dry_Litterbag Placem_Collection'!G99="","",'Dry_Litterbag Placem_Collection'!G99)</f>
        <v>43010</v>
      </c>
      <c r="V538" s="266">
        <f t="shared" si="40"/>
        <v>71</v>
      </c>
      <c r="W538" s="264" t="str">
        <f t="shared" si="43"/>
        <v/>
      </c>
      <c r="X538" s="264" t="str">
        <f t="shared" si="44"/>
        <v/>
      </c>
      <c r="Y538" s="268">
        <f>IFERROR(INDEX(Rainfall_Dry!$O$2:$O$217,MATCH(B538, Rainfall_Dry!$A$2:$A$217,0)),"")</f>
        <v>137.19979645800001</v>
      </c>
      <c r="Z538" s="257">
        <v>45.96</v>
      </c>
      <c r="AA538" s="257">
        <v>14.920000000000003</v>
      </c>
      <c r="AB538" s="257">
        <v>39.119999999999997</v>
      </c>
      <c r="AC538" s="258" t="s">
        <v>2657</v>
      </c>
      <c r="AD538" s="257">
        <v>2.0374568753080333</v>
      </c>
      <c r="AE538">
        <f>IF('WetLitterbags placem_collection'!AB99="","",'WetLitterbags placem_collection'!AB99)</f>
        <v>2.4</v>
      </c>
      <c r="AF538">
        <f>IF('WetLitterbags placem_collection'!Z99="","",'WetLitterbags placem_collection'!Z99)</f>
        <v>8.9</v>
      </c>
      <c r="AG538" s="243" t="str">
        <f>IF('WetLitterbags placem_collection'!AA99="","",'WetLitterbags placem_collection'!AA99)</f>
        <v>G</v>
      </c>
      <c r="AH538">
        <f>IF('WetLitterbags placem_collection'!AC99="","",'WetLitterbags placem_collection'!AC99)</f>
        <v>1</v>
      </c>
      <c r="AI538">
        <f>IFERROR(AVERAGE('Dry_Litterbag Placem_Collection'!O99,'Dry_Litterbag Placem_Collection'!R99),"")</f>
        <v>6.6</v>
      </c>
      <c r="AJ538" s="268">
        <f>IFERROR(AVERAGE('Dry_Litterbag Placem_Collection'!N99,'Dry_Litterbag Placem_Collection'!Q99),"")</f>
        <v>28.5</v>
      </c>
      <c r="AK538" s="267">
        <f>INDEX(Coordinates!$B$2:$B$197,MATCH(H538,Coordinates!$J$2:$J$197,0))</f>
        <v>-2.3691620310000001</v>
      </c>
      <c r="AL538" s="267">
        <f>INDEX(Coordinates!$C$2:$C$197,MATCH(H538,Coordinates!$J$2:$J$197,0))</f>
        <v>34.06028104</v>
      </c>
      <c r="AM538" s="267" t="str">
        <f>IF(ISNUMBER(SEARCH("C", 'Dry_Litterbag Placem_Collection'!U99)),"YES","NO")</f>
        <v>NO</v>
      </c>
      <c r="AN538" s="267" t="str">
        <f>IF(ISNUMBER(SEARCH("H", 'Dry_Litterbag Placem_Collection'!U99)),"YES","NO")</f>
        <v>NO</v>
      </c>
      <c r="AO538" s="267" t="str">
        <f>IF(ISNUMBER(SEARCH("R", 'Dry_Litterbag Placem_Collection'!U99)),"YES","NO")</f>
        <v>NO</v>
      </c>
    </row>
    <row r="539" spans="1:41" ht="15" customHeight="1">
      <c r="A539" s="259" t="s">
        <v>2643</v>
      </c>
      <c r="B539" s="260">
        <f>'Dry_Litterbag Placem_Collection'!A100</f>
        <v>98</v>
      </c>
      <c r="C539" s="260" t="str">
        <f>'Dry_Litterbag Placem_Collection'!B100</f>
        <v xml:space="preserve">Mwantimba
</v>
      </c>
      <c r="D539" s="260" t="s">
        <v>2454</v>
      </c>
      <c r="E539" s="260" t="s">
        <v>2644</v>
      </c>
      <c r="F539" s="260">
        <v>1</v>
      </c>
      <c r="G539" s="260" t="s">
        <v>3815</v>
      </c>
      <c r="H539" s="261" t="str">
        <f>'Dry_Litterbag Placem_Collection'!C100</f>
        <v>Wet_Ag1_T2</v>
      </c>
      <c r="I539" s="270" t="s">
        <v>3630</v>
      </c>
      <c r="J539" s="263" t="s">
        <v>1147</v>
      </c>
      <c r="K539" s="260" t="str">
        <f>IF(ISBLANK('Dry_Litterbag Placem_Collection'!L100),"","G"&amp;""&amp;'Dry_Litterbag Placem_Collection'!L100)</f>
        <v>G25</v>
      </c>
      <c r="L539" s="264">
        <f>IFERROR(INDEX('Green_rooibos initial weight'!$C$5:$C$2000,MATCH(K539, 'Green_rooibos initial weight'!$A$5:$A$2000,0)),"")</f>
        <v>2.0230000000000001</v>
      </c>
      <c r="M539" s="264">
        <f>IFERROR(L539-(TBIcalc!$Q$9+TBIcalc!$Q$10),"")</f>
        <v>1.7732000000000001</v>
      </c>
      <c r="N539" s="385">
        <f>AVERAGE(Ashed_controlls!$K$2:$K$11)</f>
        <v>5.5147656768714146</v>
      </c>
      <c r="O539" s="264">
        <f t="shared" si="41"/>
        <v>1.6754121750177162</v>
      </c>
      <c r="P539" s="264">
        <f>IFERROR(INDEX('Both teabags AfterDry'!$D$2:$D$2000,MATCH(K539,'Both teabags AfterDry'!$A$2:$A$2000,0)),"")</f>
        <v>0.995</v>
      </c>
      <c r="Q539" s="264">
        <f>IFERROR(IF(P539&gt;0,P539-(TBIcalc!$Q$9),""),"")</f>
        <v>0.84440000000000004</v>
      </c>
      <c r="R539" s="275">
        <f>IFERROR(INDEX('Ashed teabags dry'!$K$2:$K$2000,MATCH(K539,'Ashed teabags dry'!$A$2:$A$2000,0)),"")</f>
        <v>21.132793907663359</v>
      </c>
      <c r="S539" s="275">
        <f t="shared" si="42"/>
        <v>0.66595468824369064</v>
      </c>
      <c r="T539" s="265">
        <f>IF('Dry_Litterbag Placem_Collection'!E100="","",'Dry_Litterbag Placem_Collection'!E100)</f>
        <v>42939</v>
      </c>
      <c r="U539" s="265">
        <f>IF('Dry_Litterbag Placem_Collection'!G100="","",'Dry_Litterbag Placem_Collection'!G100)</f>
        <v>43010</v>
      </c>
      <c r="V539" s="266">
        <f t="shared" si="40"/>
        <v>71</v>
      </c>
      <c r="W539" s="264">
        <f t="shared" si="43"/>
        <v>0.92880000000000007</v>
      </c>
      <c r="X539" s="264">
        <f t="shared" si="44"/>
        <v>1.0094574867740256</v>
      </c>
      <c r="Y539" s="268">
        <f>IFERROR(INDEX(Rainfall_Dry!$O$2:$O$217,MATCH(B539, Rainfall_Dry!$A$2:$A$217,0)),"")</f>
        <v>137.19979645800001</v>
      </c>
      <c r="Z539" s="257">
        <v>45.96</v>
      </c>
      <c r="AA539" s="257">
        <v>14.920000000000003</v>
      </c>
      <c r="AB539" s="257">
        <v>39.119999999999997</v>
      </c>
      <c r="AC539" s="258" t="s">
        <v>2657</v>
      </c>
      <c r="AD539" s="257">
        <v>3.0374568753080302</v>
      </c>
      <c r="AE539">
        <f>IF('WetLitterbags placem_collection'!AB100="","",'WetLitterbags placem_collection'!AB100)</f>
        <v>7.8</v>
      </c>
      <c r="AF539">
        <f>IF('WetLitterbags placem_collection'!Z100="","",'WetLitterbags placem_collection'!Z100)</f>
        <v>4.45</v>
      </c>
      <c r="AG539" s="243" t="str">
        <f>IF('WetLitterbags placem_collection'!AA100="","",'WetLitterbags placem_collection'!AA100)</f>
        <v>G</v>
      </c>
      <c r="AH539">
        <f>IF('WetLitterbags placem_collection'!AC100="","",'WetLitterbags placem_collection'!AC100)</f>
        <v>1</v>
      </c>
      <c r="AI539">
        <f>IFERROR(AVERAGE('Dry_Litterbag Placem_Collection'!O100,'Dry_Litterbag Placem_Collection'!R100),"")</f>
        <v>7.25</v>
      </c>
      <c r="AJ539" s="268">
        <f>IFERROR(AVERAGE('Dry_Litterbag Placem_Collection'!N100,'Dry_Litterbag Placem_Collection'!Q100),"")</f>
        <v>29.3</v>
      </c>
      <c r="AK539" s="267">
        <f>INDEX(Coordinates!$B$2:$B$197,MATCH(H539,Coordinates!$J$2:$J$197,0))</f>
        <v>-2.3692249790000002</v>
      </c>
      <c r="AL539" s="267">
        <f>INDEX(Coordinates!$C$2:$C$197,MATCH(H539,Coordinates!$J$2:$J$197,0))</f>
        <v>34.060285989999997</v>
      </c>
      <c r="AM539" s="267" t="str">
        <f>IF(ISNUMBER(SEARCH("C", 'Dry_Litterbag Placem_Collection'!U100)),"YES","NO")</f>
        <v>NO</v>
      </c>
      <c r="AN539" s="267" t="str">
        <f>IF(ISNUMBER(SEARCH("H", 'Dry_Litterbag Placem_Collection'!U100)),"YES","NO")</f>
        <v>NO</v>
      </c>
      <c r="AO539" s="267" t="str">
        <f>IF(ISNUMBER(SEARCH("R", 'Dry_Litterbag Placem_Collection'!U100)),"YES","NO")</f>
        <v>NO</v>
      </c>
    </row>
    <row r="540" spans="1:41" ht="15" customHeight="1">
      <c r="A540" s="259" t="s">
        <v>2643</v>
      </c>
      <c r="B540" s="260">
        <f>'Dry_Litterbag Placem_Collection'!A101</f>
        <v>99</v>
      </c>
      <c r="C540" s="260" t="str">
        <f>'Dry_Litterbag Placem_Collection'!B101</f>
        <v xml:space="preserve">Mwantimba
</v>
      </c>
      <c r="D540" s="260" t="s">
        <v>2454</v>
      </c>
      <c r="E540" s="260" t="s">
        <v>2644</v>
      </c>
      <c r="F540" s="260">
        <v>1</v>
      </c>
      <c r="G540" s="260" t="s">
        <v>3815</v>
      </c>
      <c r="H540" s="261" t="str">
        <f>'Dry_Litterbag Placem_Collection'!C101</f>
        <v>Wet_Ag1_T3</v>
      </c>
      <c r="I540" s="270" t="s">
        <v>3630</v>
      </c>
      <c r="J540" s="263" t="s">
        <v>1147</v>
      </c>
      <c r="K540" s="260" t="str">
        <f>IF(ISBLANK('Dry_Litterbag Placem_Collection'!L101),"","G"&amp;""&amp;'Dry_Litterbag Placem_Collection'!L101)</f>
        <v/>
      </c>
      <c r="L540" s="264" t="str">
        <f>IFERROR(INDEX('Green_rooibos initial weight'!$C$5:$C$2000,MATCH(K540, 'Green_rooibos initial weight'!$A$5:$A$2000,0)),"")</f>
        <v/>
      </c>
      <c r="M540" s="264" t="str">
        <f>IFERROR(L540-(TBIcalc!$Q$9+TBIcalc!$Q$10),"")</f>
        <v/>
      </c>
      <c r="N540" s="385">
        <f>AVERAGE(Ashed_controlls!$K$2:$K$11)</f>
        <v>5.5147656768714146</v>
      </c>
      <c r="O540" s="264" t="str">
        <f t="shared" si="41"/>
        <v/>
      </c>
      <c r="P540" s="264" t="str">
        <f>IFERROR(INDEX('Both teabags AfterDry'!$D$2:$D$2000,MATCH(K540,'Both teabags AfterDry'!$A$2:$A$2000,0)),"")</f>
        <v/>
      </c>
      <c r="Q540" s="264" t="str">
        <f>IFERROR(IF(P540&gt;0,P540-(TBIcalc!$Q$9),""),"")</f>
        <v/>
      </c>
      <c r="R540" s="275" t="str">
        <f>IFERROR(INDEX('Ashed teabags dry'!$K$2:$K$2000,MATCH(K540,'Ashed teabags dry'!$A$2:$A$2000,0)),"")</f>
        <v/>
      </c>
      <c r="S540" s="275" t="str">
        <f t="shared" si="42"/>
        <v/>
      </c>
      <c r="T540" s="265" t="str">
        <f>IF('Dry_Litterbag Placem_Collection'!E101="","",'Dry_Litterbag Placem_Collection'!E101)</f>
        <v/>
      </c>
      <c r="U540" s="265" t="str">
        <f>IF('Dry_Litterbag Placem_Collection'!G101="","",'Dry_Litterbag Placem_Collection'!G101)</f>
        <v/>
      </c>
      <c r="V540" s="266" t="str">
        <f t="shared" si="40"/>
        <v/>
      </c>
      <c r="W540" s="264" t="str">
        <f t="shared" si="43"/>
        <v/>
      </c>
      <c r="X540" s="264" t="str">
        <f t="shared" si="44"/>
        <v/>
      </c>
      <c r="Y540" s="268" t="str">
        <f>IFERROR(INDEX(Rainfall_Dry!$O$2:$O$217,MATCH(B540, Rainfall_Dry!$A$2:$A$217,0)),"")</f>
        <v/>
      </c>
      <c r="Z540" s="257">
        <v>45.96</v>
      </c>
      <c r="AA540" s="257">
        <v>14.920000000000003</v>
      </c>
      <c r="AB540" s="257">
        <v>39.119999999999997</v>
      </c>
      <c r="AC540" s="258" t="s">
        <v>2657</v>
      </c>
      <c r="AD540" s="257">
        <v>4.0374568753080302</v>
      </c>
      <c r="AE540">
        <f>IF('WetLitterbags placem_collection'!AB101="","",'WetLitterbags placem_collection'!AB101)</f>
        <v>5.0999999999999996</v>
      </c>
      <c r="AF540">
        <f>IF('WetLitterbags placem_collection'!Z101="","",'WetLitterbags placem_collection'!Z101)</f>
        <v>2.2999999999999998</v>
      </c>
      <c r="AG540" s="243" t="str">
        <f>IF('WetLitterbags placem_collection'!AA101="","",'WetLitterbags placem_collection'!AA101)</f>
        <v>G</v>
      </c>
      <c r="AH540">
        <f>IF('WetLitterbags placem_collection'!AC101="","",'WetLitterbags placem_collection'!AC101)</f>
        <v>0</v>
      </c>
      <c r="AI540" t="str">
        <f>IFERROR(AVERAGE('Dry_Litterbag Placem_Collection'!O101,'Dry_Litterbag Placem_Collection'!R101),"")</f>
        <v/>
      </c>
      <c r="AJ540" s="268" t="str">
        <f>IFERROR(AVERAGE('Dry_Litterbag Placem_Collection'!N101,'Dry_Litterbag Placem_Collection'!Q101),"")</f>
        <v/>
      </c>
      <c r="AK540" s="267">
        <f>INDEX(Coordinates!$B$2:$B$197,MATCH(H540,Coordinates!$J$2:$J$197,0))</f>
        <v>-2.369284993</v>
      </c>
      <c r="AL540" s="267">
        <f>INDEX(Coordinates!$C$2:$C$197,MATCH(H540,Coordinates!$J$2:$J$197,0))</f>
        <v>34.06028104</v>
      </c>
      <c r="AM540" s="267" t="str">
        <f>IF(ISNUMBER(SEARCH("C", 'Dry_Litterbag Placem_Collection'!U101)),"YES","NO")</f>
        <v>NO</v>
      </c>
      <c r="AN540" s="267" t="str">
        <f>IF(ISNUMBER(SEARCH("H", 'Dry_Litterbag Placem_Collection'!U101)),"YES","NO")</f>
        <v>NO</v>
      </c>
      <c r="AO540" s="267" t="str">
        <f>IF(ISNUMBER(SEARCH("R", 'Dry_Litterbag Placem_Collection'!U101)),"YES","NO")</f>
        <v>NO</v>
      </c>
    </row>
    <row r="541" spans="1:41" ht="15" customHeight="1">
      <c r="A541" s="259" t="s">
        <v>2643</v>
      </c>
      <c r="B541" s="260">
        <f>'Dry_Litterbag Placem_Collection'!A102</f>
        <v>100</v>
      </c>
      <c r="C541" s="260" t="str">
        <f>'Dry_Litterbag Placem_Collection'!B102</f>
        <v xml:space="preserve">Mwantimba
</v>
      </c>
      <c r="D541" s="260" t="s">
        <v>2454</v>
      </c>
      <c r="E541" s="260" t="s">
        <v>2644</v>
      </c>
      <c r="F541" s="260">
        <v>1</v>
      </c>
      <c r="G541" s="260" t="s">
        <v>3815</v>
      </c>
      <c r="H541" s="261" t="str">
        <f>'Dry_Litterbag Placem_Collection'!C102</f>
        <v>Wet_Ag1_T4</v>
      </c>
      <c r="I541" s="270" t="s">
        <v>3630</v>
      </c>
      <c r="J541" s="263" t="s">
        <v>1147</v>
      </c>
      <c r="K541" s="260" t="str">
        <f>IF(ISBLANK('Dry_Litterbag Placem_Collection'!L102),"","G"&amp;""&amp;'Dry_Litterbag Placem_Collection'!L102)</f>
        <v>G187</v>
      </c>
      <c r="L541" s="264">
        <f>IFERROR(INDEX('Green_rooibos initial weight'!$C$5:$C$2000,MATCH(K541, 'Green_rooibos initial weight'!$A$5:$A$2000,0)),"")</f>
        <v>1.996</v>
      </c>
      <c r="M541" s="264">
        <f>IFERROR(L541-(TBIcalc!$Q$9+TBIcalc!$Q$10),"")</f>
        <v>1.7462</v>
      </c>
      <c r="N541" s="385">
        <f>AVERAGE(Ashed_controlls!$K$2:$K$11)</f>
        <v>5.5147656768714146</v>
      </c>
      <c r="O541" s="264">
        <f t="shared" si="41"/>
        <v>1.6499011617504713</v>
      </c>
      <c r="P541" s="264">
        <f>IFERROR(INDEX('Both teabags AfterDry'!$D$2:$D$2000,MATCH(K541,'Both teabags AfterDry'!$A$2:$A$2000,0)),"")</f>
        <v>1.1655</v>
      </c>
      <c r="Q541" s="264">
        <f>IFERROR(IF(P541&gt;0,P541-(TBIcalc!$Q$9),""),"")</f>
        <v>1.0148999999999999</v>
      </c>
      <c r="R541" s="275">
        <f>IFERROR(INDEX('Ashed teabags dry'!$K$2:$K$2000,MATCH(K541,'Ashed teabags dry'!$A$2:$A$2000,0)),"")</f>
        <v>10.999039385206627</v>
      </c>
      <c r="S541" s="275">
        <f t="shared" si="42"/>
        <v>0.90327074927953788</v>
      </c>
      <c r="T541" s="265">
        <f>IF('Dry_Litterbag Placem_Collection'!E102="","",'Dry_Litterbag Placem_Collection'!E102)</f>
        <v>42939</v>
      </c>
      <c r="U541" s="265">
        <f>IF('Dry_Litterbag Placem_Collection'!G102="","",'Dry_Litterbag Placem_Collection'!G102)</f>
        <v>43010</v>
      </c>
      <c r="V541" s="266">
        <f t="shared" si="40"/>
        <v>71</v>
      </c>
      <c r="W541" s="264">
        <f t="shared" si="43"/>
        <v>0.73130000000000006</v>
      </c>
      <c r="X541" s="264">
        <f t="shared" si="44"/>
        <v>0.74663041247093342</v>
      </c>
      <c r="Y541" s="268">
        <f>IFERROR(INDEX(Rainfall_Dry!$O$2:$O$217,MATCH(B541, Rainfall_Dry!$A$2:$A$217,0)),"")</f>
        <v>137.19979645800001</v>
      </c>
      <c r="Z541" s="257">
        <v>45.96</v>
      </c>
      <c r="AA541" s="257">
        <v>14.920000000000003</v>
      </c>
      <c r="AB541" s="257">
        <v>39.119999999999997</v>
      </c>
      <c r="AC541" s="258" t="s">
        <v>2657</v>
      </c>
      <c r="AD541" s="257">
        <v>5.0374568753080302</v>
      </c>
      <c r="AE541">
        <f>IF('WetLitterbags placem_collection'!AB102="","",'WetLitterbags placem_collection'!AB102)</f>
        <v>1.6</v>
      </c>
      <c r="AF541">
        <f>IF('WetLitterbags placem_collection'!Z102="","",'WetLitterbags placem_collection'!Z102)</f>
        <v>15</v>
      </c>
      <c r="AG541" s="243" t="str">
        <f>IF('WetLitterbags placem_collection'!AA102="","",'WetLitterbags placem_collection'!AA102)</f>
        <v>G</v>
      </c>
      <c r="AH541">
        <f>IF('WetLitterbags placem_collection'!AC102="","",'WetLitterbags placem_collection'!AC102)</f>
        <v>1</v>
      </c>
      <c r="AI541">
        <f>IFERROR(AVERAGE('Dry_Litterbag Placem_Collection'!O102,'Dry_Litterbag Placem_Collection'!R102),"")</f>
        <v>6.75</v>
      </c>
      <c r="AJ541" s="268">
        <f>IFERROR(AVERAGE('Dry_Litterbag Placem_Collection'!N102,'Dry_Litterbag Placem_Collection'!Q102),"")</f>
        <v>29.1</v>
      </c>
      <c r="AK541" s="267">
        <f>INDEX(Coordinates!$B$2:$B$197,MATCH(H541,Coordinates!$J$2:$J$197,0))</f>
        <v>-2.3691989950000001</v>
      </c>
      <c r="AL541" s="267">
        <f>INDEX(Coordinates!$C$2:$C$197,MATCH(H541,Coordinates!$J$2:$J$197,0))</f>
        <v>34.060208029999998</v>
      </c>
      <c r="AM541" s="267" t="str">
        <f>IF(ISNUMBER(SEARCH("C", 'Dry_Litterbag Placem_Collection'!U102)),"YES","NO")</f>
        <v>NO</v>
      </c>
      <c r="AN541" s="267" t="str">
        <f>IF(ISNUMBER(SEARCH("H", 'Dry_Litterbag Placem_Collection'!U102)),"YES","NO")</f>
        <v>NO</v>
      </c>
      <c r="AO541" s="267" t="str">
        <f>IF(ISNUMBER(SEARCH("R", 'Dry_Litterbag Placem_Collection'!U102)),"YES","NO")</f>
        <v>NO</v>
      </c>
    </row>
    <row r="542" spans="1:41" ht="15" customHeight="1">
      <c r="A542" s="259" t="s">
        <v>2643</v>
      </c>
      <c r="B542" s="260">
        <f>'Dry_Litterbag Placem_Collection'!A103</f>
        <v>101</v>
      </c>
      <c r="C542" s="260" t="str">
        <f>'Dry_Litterbag Placem_Collection'!B103</f>
        <v xml:space="preserve">Mwantimba
</v>
      </c>
      <c r="D542" s="260" t="s">
        <v>2454</v>
      </c>
      <c r="E542" s="260" t="s">
        <v>2644</v>
      </c>
      <c r="F542" s="260">
        <v>1</v>
      </c>
      <c r="G542" s="260" t="s">
        <v>3815</v>
      </c>
      <c r="H542" s="261" t="str">
        <f>'Dry_Litterbag Placem_Collection'!C103</f>
        <v>Wet_Ag1_T5</v>
      </c>
      <c r="I542" s="270" t="s">
        <v>3630</v>
      </c>
      <c r="J542" s="263" t="s">
        <v>1147</v>
      </c>
      <c r="K542" s="260" t="str">
        <f>IF(ISBLANK('Dry_Litterbag Placem_Collection'!L103),"","G"&amp;""&amp;'Dry_Litterbag Placem_Collection'!L103)</f>
        <v>G398</v>
      </c>
      <c r="L542" s="264">
        <f>IFERROR(INDEX('Green_rooibos initial weight'!$C$5:$C$2000,MATCH(K542, 'Green_rooibos initial weight'!$A$5:$A$2000,0)),"")</f>
        <v>1.9870000000000001</v>
      </c>
      <c r="M542" s="264">
        <f>IFERROR(L542-(TBIcalc!$Q$9+TBIcalc!$Q$10),"")</f>
        <v>1.7372000000000001</v>
      </c>
      <c r="N542" s="385">
        <f>AVERAGE(Ashed_controlls!$K$2:$K$11)</f>
        <v>5.5147656768714146</v>
      </c>
      <c r="O542" s="264">
        <f t="shared" si="41"/>
        <v>1.64139749066139</v>
      </c>
      <c r="P542" s="264">
        <f>IFERROR(INDEX('Both teabags AfterDry'!$D$2:$D$2000,MATCH(K542,'Both teabags AfterDry'!$A$2:$A$2000,0)),"")</f>
        <v>1.0217000000000001</v>
      </c>
      <c r="Q542" s="264">
        <f>IFERROR(IF(P542&gt;0,P542-(TBIcalc!$Q$9),""),"")</f>
        <v>0.87109999999999999</v>
      </c>
      <c r="R542" s="275">
        <f>IFERROR(INDEX('Ashed teabags dry'!$K$2:$K$2000,MATCH(K542,'Ashed teabags dry'!$A$2:$A$2000,0)),"")</f>
        <v>14.119832791454268</v>
      </c>
      <c r="S542" s="275">
        <f t="shared" si="42"/>
        <v>0.74810213655364188</v>
      </c>
      <c r="T542" s="265">
        <f>IF('Dry_Litterbag Placem_Collection'!E103="","",'Dry_Litterbag Placem_Collection'!E103)</f>
        <v>42939</v>
      </c>
      <c r="U542" s="265">
        <f>IF('Dry_Litterbag Placem_Collection'!G103="","",'Dry_Litterbag Placem_Collection'!G103)</f>
        <v>43010</v>
      </c>
      <c r="V542" s="266">
        <f t="shared" si="40"/>
        <v>71</v>
      </c>
      <c r="W542" s="264">
        <f t="shared" si="43"/>
        <v>0.86610000000000009</v>
      </c>
      <c r="X542" s="264">
        <f t="shared" si="44"/>
        <v>0.89329535410774807</v>
      </c>
      <c r="Y542" s="268">
        <f>IFERROR(INDEX(Rainfall_Dry!$O$2:$O$217,MATCH(B542, Rainfall_Dry!$A$2:$A$217,0)),"")</f>
        <v>137.19979645800001</v>
      </c>
      <c r="Z542" s="257">
        <v>45.96</v>
      </c>
      <c r="AA542" s="257">
        <v>14.920000000000003</v>
      </c>
      <c r="AB542" s="257">
        <v>39.119999999999997</v>
      </c>
      <c r="AC542" s="258" t="s">
        <v>2657</v>
      </c>
      <c r="AD542" s="257">
        <v>6.0374568753080302</v>
      </c>
      <c r="AE542">
        <f>IF('WetLitterbags placem_collection'!AB103="","",'WetLitterbags placem_collection'!AB103)</f>
        <v>4.3499999999999996</v>
      </c>
      <c r="AF542">
        <f>IF('WetLitterbags placem_collection'!Z103="","",'WetLitterbags placem_collection'!Z103)</f>
        <v>17</v>
      </c>
      <c r="AG542" s="243" t="str">
        <f>IF('WetLitterbags placem_collection'!AA103="","",'WetLitterbags placem_collection'!AA103)</f>
        <v>G</v>
      </c>
      <c r="AH542">
        <f>IF('WetLitterbags placem_collection'!AC103="","",'WetLitterbags placem_collection'!AC103)</f>
        <v>1</v>
      </c>
      <c r="AI542">
        <f>IFERROR(AVERAGE('Dry_Litterbag Placem_Collection'!O103,'Dry_Litterbag Placem_Collection'!R103),"")</f>
        <v>7.75</v>
      </c>
      <c r="AJ542" s="268">
        <f>IFERROR(AVERAGE('Dry_Litterbag Placem_Collection'!N103,'Dry_Litterbag Placem_Collection'!Q103),"")</f>
        <v>29.549999999999997</v>
      </c>
      <c r="AK542" s="267">
        <f>INDEX(Coordinates!$B$2:$B$197,MATCH(H542,Coordinates!$J$2:$J$197,0))</f>
        <v>-2.3691900260000001</v>
      </c>
      <c r="AL542" s="267">
        <f>INDEX(Coordinates!$C$2:$C$197,MATCH(H542,Coordinates!$J$2:$J$197,0))</f>
        <v>34.060177019999998</v>
      </c>
      <c r="AM542" s="267" t="str">
        <f>IF(ISNUMBER(SEARCH("C", 'Dry_Litterbag Placem_Collection'!U103)),"YES","NO")</f>
        <v>NO</v>
      </c>
      <c r="AN542" s="267" t="str">
        <f>IF(ISNUMBER(SEARCH("H", 'Dry_Litterbag Placem_Collection'!U103)),"YES","NO")</f>
        <v>NO</v>
      </c>
      <c r="AO542" s="267" t="str">
        <f>IF(ISNUMBER(SEARCH("R", 'Dry_Litterbag Placem_Collection'!U103)),"YES","NO")</f>
        <v>NO</v>
      </c>
    </row>
    <row r="543" spans="1:41" ht="15" customHeight="1">
      <c r="A543" s="259" t="s">
        <v>2643</v>
      </c>
      <c r="B543" s="260">
        <f>'Dry_Litterbag Placem_Collection'!A104</f>
        <v>102</v>
      </c>
      <c r="C543" s="260" t="str">
        <f>'Dry_Litterbag Placem_Collection'!B104</f>
        <v xml:space="preserve">Mwantimba
</v>
      </c>
      <c r="D543" s="260" t="s">
        <v>2454</v>
      </c>
      <c r="E543" s="260" t="s">
        <v>2644</v>
      </c>
      <c r="F543" s="260">
        <v>1</v>
      </c>
      <c r="G543" s="260" t="s">
        <v>3815</v>
      </c>
      <c r="H543" s="261" t="str">
        <f>'Dry_Litterbag Placem_Collection'!C104</f>
        <v>Wet_Ag1_T6</v>
      </c>
      <c r="I543" s="270" t="s">
        <v>3630</v>
      </c>
      <c r="J543" s="263" t="s">
        <v>1147</v>
      </c>
      <c r="K543" s="260" t="str">
        <f>IF(ISBLANK('Dry_Litterbag Placem_Collection'!L104),"","G"&amp;""&amp;'Dry_Litterbag Placem_Collection'!L104)</f>
        <v>G120</v>
      </c>
      <c r="L543" s="264">
        <f>IFERROR(INDEX('Green_rooibos initial weight'!$C$5:$C$2000,MATCH(K543, 'Green_rooibos initial weight'!$A$5:$A$2000,0)),"")</f>
        <v>2.0449999999999999</v>
      </c>
      <c r="M543" s="264">
        <f>IFERROR(L543-(TBIcalc!$Q$9+TBIcalc!$Q$10),"")</f>
        <v>1.7951999999999999</v>
      </c>
      <c r="N543" s="385">
        <f>AVERAGE(Ashed_controlls!$K$2:$K$11)</f>
        <v>5.5147656768714146</v>
      </c>
      <c r="O543" s="264">
        <f t="shared" si="41"/>
        <v>1.6961989265688042</v>
      </c>
      <c r="P543" s="264">
        <f>IFERROR(INDEX('Both teabags AfterDry'!$D$2:$D$2000,MATCH(K543,'Both teabags AfterDry'!$A$2:$A$2000,0)),"")</f>
        <v>1.0569999999999999</v>
      </c>
      <c r="Q543" s="264">
        <f>IFERROR(IF(P543&gt;0,P543-(TBIcalc!$Q$9),""),"")</f>
        <v>0.90639999999999987</v>
      </c>
      <c r="R543" s="275">
        <f>IFERROR(INDEX('Ashed teabags dry'!$K$2:$K$2000,MATCH(K543,'Ashed teabags dry'!$A$2:$A$2000,0)),"")</f>
        <v>10.580708661416786</v>
      </c>
      <c r="S543" s="275">
        <f t="shared" si="42"/>
        <v>0.81049645669291814</v>
      </c>
      <c r="T543" s="265">
        <f>IF('Dry_Litterbag Placem_Collection'!E104="","",'Dry_Litterbag Placem_Collection'!E104)</f>
        <v>42939</v>
      </c>
      <c r="U543" s="265">
        <f>IF('Dry_Litterbag Placem_Collection'!G104="","",'Dry_Litterbag Placem_Collection'!G104)</f>
        <v>43010</v>
      </c>
      <c r="V543" s="266">
        <f t="shared" si="40"/>
        <v>71</v>
      </c>
      <c r="W543" s="264">
        <f t="shared" si="43"/>
        <v>0.88880000000000003</v>
      </c>
      <c r="X543" s="264">
        <f t="shared" si="44"/>
        <v>0.88570246987588608</v>
      </c>
      <c r="Y543" s="268">
        <f>IFERROR(INDEX(Rainfall_Dry!$O$2:$O$217,MATCH(B543, Rainfall_Dry!$A$2:$A$217,0)),"")</f>
        <v>137.19979645800001</v>
      </c>
      <c r="Z543" s="257">
        <v>45.96</v>
      </c>
      <c r="AA543" s="257">
        <v>14.920000000000003</v>
      </c>
      <c r="AB543" s="257">
        <v>39.119999999999997</v>
      </c>
      <c r="AC543" s="258" t="s">
        <v>2657</v>
      </c>
      <c r="AD543" s="257">
        <v>7.0374568753080302</v>
      </c>
      <c r="AE543">
        <f>IF('WetLitterbags placem_collection'!AB104="","",'WetLitterbags placem_collection'!AB104)</f>
        <v>7.7</v>
      </c>
      <c r="AF543">
        <f>IF('WetLitterbags placem_collection'!Z104="","",'WetLitterbags placem_collection'!Z104)</f>
        <v>21</v>
      </c>
      <c r="AG543" s="243" t="str">
        <f>IF('WetLitterbags placem_collection'!AA104="","",'WetLitterbags placem_collection'!AA104)</f>
        <v>G</v>
      </c>
      <c r="AH543">
        <f>IF('WetLitterbags placem_collection'!AC104="","",'WetLitterbags placem_collection'!AC104)</f>
        <v>1</v>
      </c>
      <c r="AI543">
        <f>IFERROR(AVERAGE('Dry_Litterbag Placem_Collection'!O104,'Dry_Litterbag Placem_Collection'!R104),"")</f>
        <v>7.3000000000000007</v>
      </c>
      <c r="AJ543" s="268">
        <f>IFERROR(AVERAGE('Dry_Litterbag Placem_Collection'!N104,'Dry_Litterbag Placem_Collection'!Q104),"")</f>
        <v>29.05</v>
      </c>
      <c r="AK543" s="267">
        <f>INDEX(Coordinates!$B$2:$B$197,MATCH(H543,Coordinates!$J$2:$J$197,0))</f>
        <v>-2.3691350409999998</v>
      </c>
      <c r="AL543" s="267">
        <f>INDEX(Coordinates!$C$2:$C$197,MATCH(H543,Coordinates!$J$2:$J$197,0))</f>
        <v>34.06018297</v>
      </c>
      <c r="AM543" s="267" t="str">
        <f>IF(ISNUMBER(SEARCH("C", 'Dry_Litterbag Placem_Collection'!U104)),"YES","NO")</f>
        <v>NO</v>
      </c>
      <c r="AN543" s="267" t="str">
        <f>IF(ISNUMBER(SEARCH("H", 'Dry_Litterbag Placem_Collection'!U104)),"YES","NO")</f>
        <v>NO</v>
      </c>
      <c r="AO543" s="267" t="str">
        <f>IF(ISNUMBER(SEARCH("R", 'Dry_Litterbag Placem_Collection'!U104)),"YES","NO")</f>
        <v>NO</v>
      </c>
    </row>
    <row r="544" spans="1:41" ht="15" customHeight="1">
      <c r="A544" s="259" t="s">
        <v>2643</v>
      </c>
      <c r="B544" s="260">
        <f>'Dry_Litterbag Placem_Collection'!A105</f>
        <v>103</v>
      </c>
      <c r="C544" s="260" t="str">
        <f>'Dry_Litterbag Placem_Collection'!B105</f>
        <v xml:space="preserve">Mwantimba
</v>
      </c>
      <c r="D544" s="260" t="s">
        <v>2454</v>
      </c>
      <c r="E544" s="260" t="s">
        <v>2644</v>
      </c>
      <c r="F544" s="260">
        <v>1</v>
      </c>
      <c r="G544" s="260" t="s">
        <v>3815</v>
      </c>
      <c r="H544" s="261" t="str">
        <f>'Dry_Litterbag Placem_Collection'!C105</f>
        <v>Wet_Ag1_T7</v>
      </c>
      <c r="I544" s="270" t="s">
        <v>3630</v>
      </c>
      <c r="J544" s="263" t="s">
        <v>1147</v>
      </c>
      <c r="K544" s="260" t="str">
        <f>IF(ISBLANK('Dry_Litterbag Placem_Collection'!L105),"","G"&amp;""&amp;'Dry_Litterbag Placem_Collection'!L105)</f>
        <v>G145</v>
      </c>
      <c r="L544" s="264">
        <f>IFERROR(INDEX('Green_rooibos initial weight'!$C$5:$C$2000,MATCH(K544, 'Green_rooibos initial weight'!$A$5:$A$2000,0)),"")</f>
        <v>2.044</v>
      </c>
      <c r="M544" s="264">
        <f>IFERROR(L544-(TBIcalc!$Q$9+TBIcalc!$Q$10),"")</f>
        <v>1.7942</v>
      </c>
      <c r="N544" s="385">
        <f>AVERAGE(Ashed_controlls!$K$2:$K$11)</f>
        <v>5.5147656768714146</v>
      </c>
      <c r="O544" s="264">
        <f t="shared" si="41"/>
        <v>1.6952540742255731</v>
      </c>
      <c r="P544" s="264">
        <f>IFERROR(INDEX('Both teabags AfterDry'!$D$2:$D$2000,MATCH(K544,'Both teabags AfterDry'!$A$2:$A$2000,0)),"")</f>
        <v>1.0654999999999999</v>
      </c>
      <c r="Q544" s="264">
        <f>IFERROR(IF(P544&gt;0,P544-(TBIcalc!$Q$9),""),"")</f>
        <v>0.91489999999999982</v>
      </c>
      <c r="R544" s="275">
        <f>IFERROR(INDEX('Ashed teabags dry'!$K$2:$K$2000,MATCH(K544,'Ashed teabags dry'!$A$2:$A$2000,0)),"")</f>
        <v>11.406672678088214</v>
      </c>
      <c r="S544" s="275">
        <f t="shared" si="42"/>
        <v>0.81054035166817084</v>
      </c>
      <c r="T544" s="265">
        <f>IF('Dry_Litterbag Placem_Collection'!E105="","",'Dry_Litterbag Placem_Collection'!E105)</f>
        <v>42939</v>
      </c>
      <c r="U544" s="265">
        <f>IF('Dry_Litterbag Placem_Collection'!G105="","",'Dry_Litterbag Placem_Collection'!G105)</f>
        <v>43010</v>
      </c>
      <c r="V544" s="266">
        <f t="shared" si="40"/>
        <v>71</v>
      </c>
      <c r="W544" s="264">
        <f t="shared" si="43"/>
        <v>0.87930000000000019</v>
      </c>
      <c r="X544" s="264">
        <f t="shared" si="44"/>
        <v>0.88471372255740222</v>
      </c>
      <c r="Y544" s="268">
        <f>IFERROR(INDEX(Rainfall_Dry!$O$2:$O$217,MATCH(B544, Rainfall_Dry!$A$2:$A$217,0)),"")</f>
        <v>137.19979645800001</v>
      </c>
      <c r="Z544" s="257">
        <v>45.96</v>
      </c>
      <c r="AA544" s="257">
        <v>14.920000000000003</v>
      </c>
      <c r="AB544" s="257">
        <v>39.119999999999997</v>
      </c>
      <c r="AC544" s="258" t="s">
        <v>2657</v>
      </c>
      <c r="AD544" s="257">
        <v>8.0374568753080293</v>
      </c>
      <c r="AE544">
        <f>IF('WetLitterbags placem_collection'!AB105="","",'WetLitterbags placem_collection'!AB105)</f>
        <v>3.25</v>
      </c>
      <c r="AF544">
        <f>IF('WetLitterbags placem_collection'!Z105="","",'WetLitterbags placem_collection'!Z105)</f>
        <v>16</v>
      </c>
      <c r="AG544" s="243" t="str">
        <f>IF('WetLitterbags placem_collection'!AA105="","",'WetLitterbags placem_collection'!AA105)</f>
        <v>G</v>
      </c>
      <c r="AH544">
        <f>IF('WetLitterbags placem_collection'!AC105="","",'WetLitterbags placem_collection'!AC105)</f>
        <v>1</v>
      </c>
      <c r="AI544">
        <f>IFERROR(AVERAGE('Dry_Litterbag Placem_Collection'!O105,'Dry_Litterbag Placem_Collection'!R105),"")</f>
        <v>30.9</v>
      </c>
      <c r="AJ544" s="268">
        <f>IFERROR(AVERAGE('Dry_Litterbag Placem_Collection'!N105,'Dry_Litterbag Placem_Collection'!Q105),"")</f>
        <v>28.799999999999997</v>
      </c>
      <c r="AK544" s="267">
        <f>INDEX(Coordinates!$B$2:$B$197,MATCH(H544,Coordinates!$J$2:$J$197,0))</f>
        <v>-2.3691330289999999</v>
      </c>
      <c r="AL544" s="267">
        <f>INDEX(Coordinates!$C$2:$C$197,MATCH(H544,Coordinates!$J$2:$J$197,0))</f>
        <v>34.060233009999997</v>
      </c>
      <c r="AM544" s="267" t="str">
        <f>IF(ISNUMBER(SEARCH("C", 'Dry_Litterbag Placem_Collection'!U105)),"YES","NO")</f>
        <v>NO</v>
      </c>
      <c r="AN544" s="267" t="str">
        <f>IF(ISNUMBER(SEARCH("H", 'Dry_Litterbag Placem_Collection'!U105)),"YES","NO")</f>
        <v>NO</v>
      </c>
      <c r="AO544" s="267" t="str">
        <f>IF(ISNUMBER(SEARCH("R", 'Dry_Litterbag Placem_Collection'!U105)),"YES","NO")</f>
        <v>NO</v>
      </c>
    </row>
    <row r="545" spans="1:41" ht="15" customHeight="1">
      <c r="A545" s="259" t="s">
        <v>2643</v>
      </c>
      <c r="B545" s="260">
        <f>'Dry_Litterbag Placem_Collection'!A106</f>
        <v>104</v>
      </c>
      <c r="C545" s="260" t="str">
        <f>'Dry_Litterbag Placem_Collection'!B106</f>
        <v xml:space="preserve">Mwantimba
</v>
      </c>
      <c r="D545" s="260" t="s">
        <v>2454</v>
      </c>
      <c r="E545" s="260" t="s">
        <v>2644</v>
      </c>
      <c r="F545" s="260">
        <v>1</v>
      </c>
      <c r="G545" s="260" t="s">
        <v>3815</v>
      </c>
      <c r="H545" s="261" t="str">
        <f>'Dry_Litterbag Placem_Collection'!C106</f>
        <v>Wet_Ag1_T8</v>
      </c>
      <c r="I545" s="270" t="s">
        <v>3630</v>
      </c>
      <c r="J545" s="263" t="s">
        <v>1147</v>
      </c>
      <c r="K545" s="260" t="str">
        <f>IF(ISBLANK('Dry_Litterbag Placem_Collection'!L106),"","G"&amp;""&amp;'Dry_Litterbag Placem_Collection'!L106)</f>
        <v>G76</v>
      </c>
      <c r="L545" s="264">
        <f>IFERROR(INDEX('Green_rooibos initial weight'!$C$5:$C$2000,MATCH(K545, 'Green_rooibos initial weight'!$A$5:$A$2000,0)),"")</f>
        <v>2.0129999999999999</v>
      </c>
      <c r="M545" s="264">
        <f>IFERROR(L545-(TBIcalc!$Q$9+TBIcalc!$Q$10),"")</f>
        <v>1.7631999999999999</v>
      </c>
      <c r="N545" s="385">
        <f>AVERAGE(Ashed_controlls!$K$2:$K$11)</f>
        <v>5.5147656768714146</v>
      </c>
      <c r="O545" s="264">
        <f t="shared" si="41"/>
        <v>1.665963651585403</v>
      </c>
      <c r="P545" s="264">
        <f>IFERROR(INDEX('Both teabags AfterDry'!$D$2:$D$2000,MATCH(K545,'Both teabags AfterDry'!$A$2:$A$2000,0)),"")</f>
        <v>1.2876000000000001</v>
      </c>
      <c r="Q545" s="264">
        <f>IFERROR(IF(P545&gt;0,P545-(TBIcalc!$Q$9),""),"")</f>
        <v>1.137</v>
      </c>
      <c r="R545" s="275">
        <f>IFERROR(INDEX('Ashed teabags dry'!$K$2:$K$2000,MATCH(K545,'Ashed teabags dry'!$A$2:$A$2000,0)),"")</f>
        <v>9.59232613908814</v>
      </c>
      <c r="S545" s="275">
        <f t="shared" si="42"/>
        <v>1.0279352517985678</v>
      </c>
      <c r="T545" s="265">
        <f>IF('Dry_Litterbag Placem_Collection'!E106="","",'Dry_Litterbag Placem_Collection'!E106)</f>
        <v>42939</v>
      </c>
      <c r="U545" s="265">
        <f>IF('Dry_Litterbag Placem_Collection'!G106="","",'Dry_Litterbag Placem_Collection'!G106)</f>
        <v>43010</v>
      </c>
      <c r="V545" s="266">
        <f t="shared" si="40"/>
        <v>71</v>
      </c>
      <c r="W545" s="264">
        <f t="shared" si="43"/>
        <v>0.62619999999999987</v>
      </c>
      <c r="X545" s="264">
        <f t="shared" si="44"/>
        <v>0.63802839978683523</v>
      </c>
      <c r="Y545" s="268">
        <f>IFERROR(INDEX(Rainfall_Dry!$O$2:$O$217,MATCH(B545, Rainfall_Dry!$A$2:$A$217,0)),"")</f>
        <v>137.19979645800001</v>
      </c>
      <c r="Z545" s="257">
        <v>45.96</v>
      </c>
      <c r="AA545" s="257">
        <v>14.920000000000003</v>
      </c>
      <c r="AB545" s="257">
        <v>39.119999999999997</v>
      </c>
      <c r="AC545" s="258" t="s">
        <v>2657</v>
      </c>
      <c r="AD545" s="257">
        <v>9.0374568753080293</v>
      </c>
      <c r="AE545">
        <f>IF('WetLitterbags placem_collection'!AB106="","",'WetLitterbags placem_collection'!AB106)</f>
        <v>10.5</v>
      </c>
      <c r="AF545">
        <f>IF('WetLitterbags placem_collection'!Z106="","",'WetLitterbags placem_collection'!Z106)</f>
        <v>17</v>
      </c>
      <c r="AG545" s="243" t="str">
        <f>IF('WetLitterbags placem_collection'!AA106="","",'WetLitterbags placem_collection'!AA106)</f>
        <v>G</v>
      </c>
      <c r="AH545">
        <f>IF('WetLitterbags placem_collection'!AC106="","",'WetLitterbags placem_collection'!AC106)</f>
        <v>1</v>
      </c>
      <c r="AI545">
        <f>IFERROR(AVERAGE('Dry_Litterbag Placem_Collection'!O106,'Dry_Litterbag Placem_Collection'!R106),"")</f>
        <v>9.3000000000000007</v>
      </c>
      <c r="AJ545" s="268">
        <f>IFERROR(AVERAGE('Dry_Litterbag Placem_Collection'!N106,'Dry_Litterbag Placem_Collection'!Q106),"")</f>
        <v>28.05</v>
      </c>
      <c r="AK545" s="267">
        <f>INDEX(Coordinates!$B$2:$B$197,MATCH(H545,Coordinates!$J$2:$J$197,0))</f>
        <v>-2.3692910280000001</v>
      </c>
      <c r="AL545" s="267">
        <f>INDEX(Coordinates!$C$2:$C$197,MATCH(H545,Coordinates!$J$2:$J$197,0))</f>
        <v>34.06016202</v>
      </c>
      <c r="AM545" s="267" t="str">
        <f>IF(ISNUMBER(SEARCH("C", 'Dry_Litterbag Placem_Collection'!U106)),"YES","NO")</f>
        <v>NO</v>
      </c>
      <c r="AN545" s="267" t="str">
        <f>IF(ISNUMBER(SEARCH("H", 'Dry_Litterbag Placem_Collection'!U106)),"YES","NO")</f>
        <v>NO</v>
      </c>
      <c r="AO545" s="267" t="str">
        <f>IF(ISNUMBER(SEARCH("R", 'Dry_Litterbag Placem_Collection'!U106)),"YES","NO")</f>
        <v>NO</v>
      </c>
    </row>
    <row r="546" spans="1:41" ht="15" customHeight="1">
      <c r="A546" s="259" t="s">
        <v>2643</v>
      </c>
      <c r="B546" s="260">
        <f>'Dry_Litterbag Placem_Collection'!A107</f>
        <v>105</v>
      </c>
      <c r="C546" s="260" t="str">
        <f>'Dry_Litterbag Placem_Collection'!B107</f>
        <v xml:space="preserve">Mwantimba
</v>
      </c>
      <c r="D546" s="260" t="s">
        <v>2454</v>
      </c>
      <c r="E546" s="260" t="s">
        <v>2644</v>
      </c>
      <c r="F546" s="260">
        <v>2</v>
      </c>
      <c r="G546" s="260" t="s">
        <v>3817</v>
      </c>
      <c r="H546" s="261" t="str">
        <f>'Dry_Litterbag Placem_Collection'!C107</f>
        <v>Wet_Ag2_T1</v>
      </c>
      <c r="I546" s="270" t="s">
        <v>3630</v>
      </c>
      <c r="J546" s="263" t="s">
        <v>1147</v>
      </c>
      <c r="K546" s="260" t="str">
        <f>IF(ISBLANK('Dry_Litterbag Placem_Collection'!L107),"","G"&amp;""&amp;'Dry_Litterbag Placem_Collection'!L107)</f>
        <v>G57</v>
      </c>
      <c r="L546" s="264">
        <f>IFERROR(INDEX('Green_rooibos initial weight'!$C$5:$C$2000,MATCH(K546, 'Green_rooibos initial weight'!$A$5:$A$2000,0)),"")</f>
        <v>2.077</v>
      </c>
      <c r="M546" s="264">
        <f>IFERROR(L546-(TBIcalc!$Q$9+TBIcalc!$Q$10),"")</f>
        <v>1.8271999999999999</v>
      </c>
      <c r="N546" s="385">
        <f>AVERAGE(Ashed_controlls!$K$2:$K$11)</f>
        <v>5.5147656768714146</v>
      </c>
      <c r="O546" s="264">
        <f t="shared" si="41"/>
        <v>1.7264342015522054</v>
      </c>
      <c r="P546" s="264">
        <f>IFERROR(INDEX('Both teabags AfterDry'!$D$2:$D$2000,MATCH(K546,'Both teabags AfterDry'!$A$2:$A$2000,0)),"")</f>
        <v>1.0114000000000001</v>
      </c>
      <c r="Q546" s="264">
        <f>IFERROR(IF(P546&gt;0,P546-(TBIcalc!$Q$9),""),"")</f>
        <v>0.86080000000000001</v>
      </c>
      <c r="R546" s="275">
        <f>IFERROR(INDEX('Ashed teabags dry'!$K$2:$K$2000,MATCH(K546,'Ashed teabags dry'!$A$2:$A$2000,0)),"")</f>
        <v>24.439461883408928</v>
      </c>
      <c r="S546" s="275">
        <f t="shared" si="42"/>
        <v>0.65042511210761589</v>
      </c>
      <c r="T546" s="265">
        <f>IF('Dry_Litterbag Placem_Collection'!E107="","",'Dry_Litterbag Placem_Collection'!E107)</f>
        <v>42939</v>
      </c>
      <c r="U546" s="265">
        <f>IF('Dry_Litterbag Placem_Collection'!G107="","",'Dry_Litterbag Placem_Collection'!G107)</f>
        <v>43010</v>
      </c>
      <c r="V546" s="266">
        <f t="shared" si="40"/>
        <v>71</v>
      </c>
      <c r="W546" s="264">
        <f t="shared" si="43"/>
        <v>0.96639999999999993</v>
      </c>
      <c r="X546" s="264">
        <f t="shared" si="44"/>
        <v>1.0760090894445895</v>
      </c>
      <c r="Y546" s="268">
        <f>IFERROR(INDEX(Rainfall_Dry!$O$2:$O$217,MATCH(B546, Rainfall_Dry!$A$2:$A$217,0)),"")</f>
        <v>137.19979645800001</v>
      </c>
      <c r="Z546" s="257">
        <v>34.344660194174757</v>
      </c>
      <c r="AA546" s="257">
        <v>19.22727272727273</v>
      </c>
      <c r="AB546" s="257">
        <v>46.428067078552509</v>
      </c>
      <c r="AC546" s="258" t="s">
        <v>2654</v>
      </c>
      <c r="AD546" s="257">
        <v>1.7452932479053718</v>
      </c>
      <c r="AE546">
        <f>IF('WetLitterbags placem_collection'!AB107="","",'WetLitterbags placem_collection'!AB107)</f>
        <v>5.5</v>
      </c>
      <c r="AF546">
        <f>IF('WetLitterbags placem_collection'!Z107="","",'WetLitterbags placem_collection'!Z107)</f>
        <v>23.5</v>
      </c>
      <c r="AG546" s="243" t="str">
        <f>IF('WetLitterbags placem_collection'!AA107="","",'WetLitterbags placem_collection'!AA107)</f>
        <v>M</v>
      </c>
      <c r="AH546">
        <f>IF('WetLitterbags placem_collection'!AC107="","",'WetLitterbags placem_collection'!AC107)</f>
        <v>0</v>
      </c>
      <c r="AI546">
        <f>IFERROR(AVERAGE('Dry_Litterbag Placem_Collection'!O107,'Dry_Litterbag Placem_Collection'!R107),"")</f>
        <v>7.5500000000000007</v>
      </c>
      <c r="AJ546" s="268">
        <f>IFERROR(AVERAGE('Dry_Litterbag Placem_Collection'!N107,'Dry_Litterbag Placem_Collection'!Q107),"")</f>
        <v>30.549999999999997</v>
      </c>
      <c r="AK546" s="267">
        <f>INDEX(Coordinates!$B$2:$B$197,MATCH(H546,Coordinates!$J$2:$J$197,0))</f>
        <v>-2.3698080240000001</v>
      </c>
      <c r="AL546" s="267">
        <f>INDEX(Coordinates!$C$2:$C$197,MATCH(H546,Coordinates!$J$2:$J$197,0))</f>
        <v>34.059671010000002</v>
      </c>
      <c r="AM546" s="267" t="str">
        <f>IF(ISNUMBER(SEARCH("C", 'Dry_Litterbag Placem_Collection'!U107)),"YES","NO")</f>
        <v>NO</v>
      </c>
      <c r="AN546" s="267" t="str">
        <f>IF(ISNUMBER(SEARCH("H", 'Dry_Litterbag Placem_Collection'!U107)),"YES","NO")</f>
        <v>NO</v>
      </c>
      <c r="AO546" s="267" t="str">
        <f>IF(ISNUMBER(SEARCH("R", 'Dry_Litterbag Placem_Collection'!U107)),"YES","NO")</f>
        <v>NO</v>
      </c>
    </row>
    <row r="547" spans="1:41" ht="15" customHeight="1">
      <c r="A547" s="259" t="s">
        <v>2643</v>
      </c>
      <c r="B547" s="260">
        <f>'Dry_Litterbag Placem_Collection'!A108</f>
        <v>106</v>
      </c>
      <c r="C547" s="260" t="str">
        <f>'Dry_Litterbag Placem_Collection'!B108</f>
        <v xml:space="preserve">Mwantimba
</v>
      </c>
      <c r="D547" s="260" t="s">
        <v>2454</v>
      </c>
      <c r="E547" s="260" t="s">
        <v>2644</v>
      </c>
      <c r="F547" s="260">
        <v>2</v>
      </c>
      <c r="G547" s="260" t="s">
        <v>3817</v>
      </c>
      <c r="H547" s="261" t="str">
        <f>'Dry_Litterbag Placem_Collection'!C108</f>
        <v>Wet_Ag2_T2</v>
      </c>
      <c r="I547" s="270" t="s">
        <v>3630</v>
      </c>
      <c r="J547" s="263" t="s">
        <v>1147</v>
      </c>
      <c r="K547" s="260" t="str">
        <f>IF(ISBLANK('Dry_Litterbag Placem_Collection'!L108),"","G"&amp;""&amp;'Dry_Litterbag Placem_Collection'!L108)</f>
        <v>G167</v>
      </c>
      <c r="L547" s="264">
        <f>IFERROR(INDEX('Green_rooibos initial weight'!$C$5:$C$2000,MATCH(K547, 'Green_rooibos initial weight'!$A$5:$A$2000,0)),"")</f>
        <v>1.996</v>
      </c>
      <c r="M547" s="264">
        <f>IFERROR(L547-(TBIcalc!$Q$9+TBIcalc!$Q$10),"")</f>
        <v>1.7462</v>
      </c>
      <c r="N547" s="385">
        <f>AVERAGE(Ashed_controlls!$K$2:$K$11)</f>
        <v>5.5147656768714146</v>
      </c>
      <c r="O547" s="264">
        <f t="shared" si="41"/>
        <v>1.6499011617504713</v>
      </c>
      <c r="P547" s="264">
        <f>IFERROR(INDEX('Both teabags AfterDry'!$D$2:$D$2000,MATCH(K547,'Both teabags AfterDry'!$A$2:$A$2000,0)),"")</f>
        <v>0.98309999999999997</v>
      </c>
      <c r="Q547" s="264">
        <f>IFERROR(IF(P547&gt;0,P547-(TBIcalc!$Q$9),""),"")</f>
        <v>0.83250000000000002</v>
      </c>
      <c r="R547" s="275">
        <f>IFERROR(INDEX('Ashed teabags dry'!$K$2:$K$2000,MATCH(K547,'Ashed teabags dry'!$A$2:$A$2000,0)),"")</f>
        <v>18.432769367765196</v>
      </c>
      <c r="S547" s="275">
        <f t="shared" si="42"/>
        <v>0.67904719501335475</v>
      </c>
      <c r="T547" s="265">
        <f>IF('Dry_Litterbag Placem_Collection'!E108="","",'Dry_Litterbag Placem_Collection'!E108)</f>
        <v>42939</v>
      </c>
      <c r="U547" s="265">
        <f>IF('Dry_Litterbag Placem_Collection'!G108="","",'Dry_Litterbag Placem_Collection'!G108)</f>
        <v>43010</v>
      </c>
      <c r="V547" s="266">
        <f t="shared" si="40"/>
        <v>71</v>
      </c>
      <c r="W547" s="264">
        <f t="shared" si="43"/>
        <v>0.91369999999999996</v>
      </c>
      <c r="X547" s="264">
        <f t="shared" si="44"/>
        <v>0.97085396673711655</v>
      </c>
      <c r="Y547" s="268">
        <f>IFERROR(INDEX(Rainfall_Dry!$O$2:$O$217,MATCH(B547, Rainfall_Dry!$A$2:$A$217,0)),"")</f>
        <v>137.19979645800001</v>
      </c>
      <c r="Z547" s="257">
        <v>34.344660194174757</v>
      </c>
      <c r="AA547" s="257">
        <v>19.22727272727273</v>
      </c>
      <c r="AB547" s="257">
        <v>46.428067078552509</v>
      </c>
      <c r="AC547" s="258" t="s">
        <v>2654</v>
      </c>
      <c r="AD547" s="257">
        <v>2.7452932479053702</v>
      </c>
      <c r="AE547">
        <f>IF('WetLitterbags placem_collection'!AB108="","",'WetLitterbags placem_collection'!AB108)</f>
        <v>8.6</v>
      </c>
      <c r="AF547">
        <f>IF('WetLitterbags placem_collection'!Z108="","",'WetLitterbags placem_collection'!Z108)</f>
        <v>17</v>
      </c>
      <c r="AG547" s="243" t="str">
        <f>IF('WetLitterbags placem_collection'!AA108="","",'WetLitterbags placem_collection'!AA108)</f>
        <v>M</v>
      </c>
      <c r="AH547">
        <f>IF('WetLitterbags placem_collection'!AC108="","",'WetLitterbags placem_collection'!AC108)</f>
        <v>0</v>
      </c>
      <c r="AI547">
        <f>IFERROR(AVERAGE('Dry_Litterbag Placem_Collection'!O108,'Dry_Litterbag Placem_Collection'!R108),"")</f>
        <v>6.1</v>
      </c>
      <c r="AJ547" s="268">
        <f>IFERROR(AVERAGE('Dry_Litterbag Placem_Collection'!N108,'Dry_Litterbag Placem_Collection'!Q108),"")</f>
        <v>31.3</v>
      </c>
      <c r="AK547" s="267">
        <f>INDEX(Coordinates!$B$2:$B$197,MATCH(H547,Coordinates!$J$2:$J$197,0))</f>
        <v>-2.3697620069999998</v>
      </c>
      <c r="AL547" s="267">
        <f>INDEX(Coordinates!$C$2:$C$197,MATCH(H547,Coordinates!$J$2:$J$197,0))</f>
        <v>34.059730010000003</v>
      </c>
      <c r="AM547" s="267" t="str">
        <f>IF(ISNUMBER(SEARCH("C", 'Dry_Litterbag Placem_Collection'!U108)),"YES","NO")</f>
        <v>NO</v>
      </c>
      <c r="AN547" s="267" t="str">
        <f>IF(ISNUMBER(SEARCH("H", 'Dry_Litterbag Placem_Collection'!U108)),"YES","NO")</f>
        <v>NO</v>
      </c>
      <c r="AO547" s="267" t="str">
        <f>IF(ISNUMBER(SEARCH("R", 'Dry_Litterbag Placem_Collection'!U108)),"YES","NO")</f>
        <v>NO</v>
      </c>
    </row>
    <row r="548" spans="1:41" ht="15" customHeight="1">
      <c r="A548" s="259" t="s">
        <v>2643</v>
      </c>
      <c r="B548" s="260">
        <f>'Dry_Litterbag Placem_Collection'!A109</f>
        <v>107</v>
      </c>
      <c r="C548" s="260" t="str">
        <f>'Dry_Litterbag Placem_Collection'!B109</f>
        <v xml:space="preserve">Mwantimba
</v>
      </c>
      <c r="D548" s="260" t="s">
        <v>2454</v>
      </c>
      <c r="E548" s="260" t="s">
        <v>2644</v>
      </c>
      <c r="F548" s="260">
        <v>2</v>
      </c>
      <c r="G548" s="260" t="s">
        <v>3817</v>
      </c>
      <c r="H548" s="261" t="str">
        <f>'Dry_Litterbag Placem_Collection'!C109</f>
        <v>Wet_Ag2_T3</v>
      </c>
      <c r="I548" s="270" t="s">
        <v>3630</v>
      </c>
      <c r="J548" s="263" t="s">
        <v>1147</v>
      </c>
      <c r="K548" s="260" t="str">
        <f>IF(ISBLANK('Dry_Litterbag Placem_Collection'!L109),"","G"&amp;""&amp;'Dry_Litterbag Placem_Collection'!L109)</f>
        <v>G208</v>
      </c>
      <c r="L548" s="264">
        <f>IFERROR(INDEX('Green_rooibos initial weight'!$C$5:$C$2000,MATCH(K548, 'Green_rooibos initial weight'!$A$5:$A$2000,0)),"")</f>
        <v>2.0019999999999998</v>
      </c>
      <c r="M548" s="264">
        <f>IFERROR(L548-(TBIcalc!$Q$9+TBIcalc!$Q$10),"")</f>
        <v>1.7521999999999998</v>
      </c>
      <c r="N548" s="385">
        <f>AVERAGE(Ashed_controlls!$K$2:$K$11)</f>
        <v>5.5147656768714146</v>
      </c>
      <c r="O548" s="264">
        <f t="shared" si="41"/>
        <v>1.6555702758098589</v>
      </c>
      <c r="P548" s="264" t="str">
        <f>IFERROR(INDEX('Both teabags AfterDry'!$D$2:$D$2000,MATCH(K548,'Both teabags AfterDry'!$A$2:$A$2000,0)),"")</f>
        <v/>
      </c>
      <c r="Q548" s="264" t="str">
        <f>IFERROR(IF(P548&gt;0,P548-(TBIcalc!$Q$9),""),"")</f>
        <v/>
      </c>
      <c r="R548" s="275" t="str">
        <f>IFERROR(INDEX('Ashed teabags dry'!$K$2:$K$2000,MATCH(K548,'Ashed teabags dry'!$A$2:$A$2000,0)),"")</f>
        <v/>
      </c>
      <c r="S548" s="275" t="str">
        <f t="shared" si="42"/>
        <v/>
      </c>
      <c r="T548" s="265">
        <f>IF('Dry_Litterbag Placem_Collection'!E109="","",'Dry_Litterbag Placem_Collection'!E109)</f>
        <v>42939</v>
      </c>
      <c r="U548" s="265">
        <f>IF('Dry_Litterbag Placem_Collection'!G109="","",'Dry_Litterbag Placem_Collection'!G109)</f>
        <v>43010</v>
      </c>
      <c r="V548" s="266">
        <f t="shared" si="40"/>
        <v>71</v>
      </c>
      <c r="W548" s="264" t="str">
        <f t="shared" si="43"/>
        <v/>
      </c>
      <c r="X548" s="264" t="str">
        <f t="shared" si="44"/>
        <v/>
      </c>
      <c r="Y548" s="268">
        <f>IFERROR(INDEX(Rainfall_Dry!$O$2:$O$217,MATCH(B548, Rainfall_Dry!$A$2:$A$217,0)),"")</f>
        <v>137.19979645800001</v>
      </c>
      <c r="Z548" s="257">
        <v>34.344660194174757</v>
      </c>
      <c r="AA548" s="257">
        <v>19.22727272727273</v>
      </c>
      <c r="AB548" s="257">
        <v>46.428067078552509</v>
      </c>
      <c r="AC548" s="258" t="s">
        <v>2654</v>
      </c>
      <c r="AD548" s="257">
        <v>3.7452932479053702</v>
      </c>
      <c r="AE548">
        <f>IF('WetLitterbags placem_collection'!AB109="","",'WetLitterbags placem_collection'!AB109)</f>
        <v>3.85</v>
      </c>
      <c r="AF548">
        <f>IF('WetLitterbags placem_collection'!Z109="","",'WetLitterbags placem_collection'!Z109)</f>
        <v>15.5</v>
      </c>
      <c r="AG548" s="243" t="str">
        <f>IF('WetLitterbags placem_collection'!AA109="","",'WetLitterbags placem_collection'!AA109)</f>
        <v>M</v>
      </c>
      <c r="AH548">
        <f>IF('WetLitterbags placem_collection'!AC109="","",'WetLitterbags placem_collection'!AC109)</f>
        <v>0</v>
      </c>
      <c r="AI548">
        <f>IFERROR(AVERAGE('Dry_Litterbag Placem_Collection'!O109,'Dry_Litterbag Placem_Collection'!R109),"")</f>
        <v>5.3</v>
      </c>
      <c r="AJ548" s="268">
        <f>IFERROR(AVERAGE('Dry_Litterbag Placem_Collection'!N109,'Dry_Litterbag Placem_Collection'!Q109),"")</f>
        <v>30.200000000000003</v>
      </c>
      <c r="AK548" s="267">
        <f>INDEX(Coordinates!$B$2:$B$197,MATCH(H548,Coordinates!$J$2:$J$197,0))</f>
        <v>-2.3698409649999999</v>
      </c>
      <c r="AL548" s="267">
        <f>INDEX(Coordinates!$C$2:$C$197,MATCH(H548,Coordinates!$J$2:$J$197,0))</f>
        <v>34.059814000000003</v>
      </c>
      <c r="AM548" s="267" t="str">
        <f>IF(ISNUMBER(SEARCH("C", 'Dry_Litterbag Placem_Collection'!U109)),"YES","NO")</f>
        <v>NO</v>
      </c>
      <c r="AN548" s="267" t="str">
        <f>IF(ISNUMBER(SEARCH("H", 'Dry_Litterbag Placem_Collection'!U109)),"YES","NO")</f>
        <v>NO</v>
      </c>
      <c r="AO548" s="267" t="str">
        <f>IF(ISNUMBER(SEARCH("R", 'Dry_Litterbag Placem_Collection'!U109)),"YES","NO")</f>
        <v>NO</v>
      </c>
    </row>
    <row r="549" spans="1:41" ht="15" customHeight="1">
      <c r="A549" s="259" t="s">
        <v>2643</v>
      </c>
      <c r="B549" s="260">
        <f>'Dry_Litterbag Placem_Collection'!A110</f>
        <v>108</v>
      </c>
      <c r="C549" s="260" t="str">
        <f>'Dry_Litterbag Placem_Collection'!B110</f>
        <v xml:space="preserve">Mwantimba
</v>
      </c>
      <c r="D549" s="260" t="s">
        <v>2454</v>
      </c>
      <c r="E549" s="260" t="s">
        <v>2644</v>
      </c>
      <c r="F549" s="260">
        <v>2</v>
      </c>
      <c r="G549" s="260" t="s">
        <v>3817</v>
      </c>
      <c r="H549" s="261" t="str">
        <f>'Dry_Litterbag Placem_Collection'!C110</f>
        <v>Wet_Ag2_T4</v>
      </c>
      <c r="I549" s="270" t="s">
        <v>3630</v>
      </c>
      <c r="J549" s="263" t="s">
        <v>1147</v>
      </c>
      <c r="K549" s="260" t="str">
        <f>IF(ISBLANK('Dry_Litterbag Placem_Collection'!L110),"","G"&amp;""&amp;'Dry_Litterbag Placem_Collection'!L110)</f>
        <v>G62</v>
      </c>
      <c r="L549" s="264">
        <f>IFERROR(INDEX('Green_rooibos initial weight'!$C$5:$C$2000,MATCH(K549, 'Green_rooibos initial weight'!$A$5:$A$2000,0)),"")</f>
        <v>2.0819999999999999</v>
      </c>
      <c r="M549" s="264">
        <f>IFERROR(L549-(TBIcalc!$Q$9+TBIcalc!$Q$10),"")</f>
        <v>1.8321999999999998</v>
      </c>
      <c r="N549" s="385">
        <f>AVERAGE(Ashed_controlls!$K$2:$K$11)</f>
        <v>5.5147656768714146</v>
      </c>
      <c r="O549" s="264">
        <f t="shared" si="41"/>
        <v>1.7311584632683619</v>
      </c>
      <c r="P549" s="264">
        <f>IFERROR(INDEX('Both teabags AfterDry'!$D$2:$D$2000,MATCH(K549,'Both teabags AfterDry'!$A$2:$A$2000,0)),"")</f>
        <v>1.0947</v>
      </c>
      <c r="Q549" s="264">
        <f>IFERROR(IF(P549&gt;0,P549-(TBIcalc!$Q$9),""),"")</f>
        <v>0.94409999999999994</v>
      </c>
      <c r="R549" s="275">
        <f>IFERROR(INDEX('Ashed teabags dry'!$K$2:$K$2000,MATCH(K549,'Ashed teabags dry'!$A$2:$A$2000,0)),"")</f>
        <v>18.630647414997014</v>
      </c>
      <c r="S549" s="275">
        <f t="shared" si="42"/>
        <v>0.76820805775501311</v>
      </c>
      <c r="T549" s="265">
        <f>IF('Dry_Litterbag Placem_Collection'!E110="","",'Dry_Litterbag Placem_Collection'!E110)</f>
        <v>42939</v>
      </c>
      <c r="U549" s="265">
        <f>IF('Dry_Litterbag Placem_Collection'!G110="","",'Dry_Litterbag Placem_Collection'!G110)</f>
        <v>43010</v>
      </c>
      <c r="V549" s="266">
        <f t="shared" si="40"/>
        <v>71</v>
      </c>
      <c r="W549" s="264">
        <f t="shared" si="43"/>
        <v>0.88809999999999989</v>
      </c>
      <c r="X549" s="264">
        <f t="shared" si="44"/>
        <v>0.96295040551334876</v>
      </c>
      <c r="Y549" s="268">
        <f>IFERROR(INDEX(Rainfall_Dry!$O$2:$O$217,MATCH(B549, Rainfall_Dry!$A$2:$A$217,0)),"")</f>
        <v>137.19979645800001</v>
      </c>
      <c r="Z549" s="257">
        <v>34.344660194174757</v>
      </c>
      <c r="AA549" s="257">
        <v>19.22727272727273</v>
      </c>
      <c r="AB549" s="257">
        <v>46.428067078552509</v>
      </c>
      <c r="AC549" s="258" t="s">
        <v>2654</v>
      </c>
      <c r="AD549" s="257">
        <v>4.7452932479053702</v>
      </c>
      <c r="AE549">
        <f>IF('WetLitterbags placem_collection'!AB110="","",'WetLitterbags placem_collection'!AB110)</f>
        <v>9.6999999999999993</v>
      </c>
      <c r="AF549">
        <f>IF('WetLitterbags placem_collection'!Z110="","",'WetLitterbags placem_collection'!Z110)</f>
        <v>22.5</v>
      </c>
      <c r="AG549" s="243" t="str">
        <f>IF('WetLitterbags placem_collection'!AA110="","",'WetLitterbags placem_collection'!AA110)</f>
        <v>M</v>
      </c>
      <c r="AH549">
        <f>IF('WetLitterbags placem_collection'!AC110="","",'WetLitterbags placem_collection'!AC110)</f>
        <v>0</v>
      </c>
      <c r="AI549">
        <f>IFERROR(AVERAGE('Dry_Litterbag Placem_Collection'!O110,'Dry_Litterbag Placem_Collection'!R110),"")</f>
        <v>7.65</v>
      </c>
      <c r="AJ549" s="268">
        <f>IFERROR(AVERAGE('Dry_Litterbag Placem_Collection'!N110,'Dry_Litterbag Placem_Collection'!Q110),"")</f>
        <v>31.8</v>
      </c>
      <c r="AK549" s="267">
        <f>INDEX(Coordinates!$B$2:$B$197,MATCH(H549,Coordinates!$J$2:$J$197,0))</f>
        <v>-2.3698620030000002</v>
      </c>
      <c r="AL549" s="267">
        <f>INDEX(Coordinates!$C$2:$C$197,MATCH(H549,Coordinates!$J$2:$J$197,0))</f>
        <v>34.059759020000001</v>
      </c>
      <c r="AM549" s="267" t="str">
        <f>IF(ISNUMBER(SEARCH("C", 'Dry_Litterbag Placem_Collection'!U110)),"YES","NO")</f>
        <v>NO</v>
      </c>
      <c r="AN549" s="267" t="str">
        <f>IF(ISNUMBER(SEARCH("H", 'Dry_Litterbag Placem_Collection'!U110)),"YES","NO")</f>
        <v>NO</v>
      </c>
      <c r="AO549" s="267" t="str">
        <f>IF(ISNUMBER(SEARCH("R", 'Dry_Litterbag Placem_Collection'!U110)),"YES","NO")</f>
        <v>NO</v>
      </c>
    </row>
    <row r="550" spans="1:41" ht="15" customHeight="1">
      <c r="A550" s="259" t="s">
        <v>2643</v>
      </c>
      <c r="B550" s="260">
        <f>'Dry_Litterbag Placem_Collection'!A111</f>
        <v>109</v>
      </c>
      <c r="C550" s="260" t="str">
        <f>'Dry_Litterbag Placem_Collection'!B111</f>
        <v xml:space="preserve">Mwantimba
</v>
      </c>
      <c r="D550" s="260" t="s">
        <v>2454</v>
      </c>
      <c r="E550" s="260" t="s">
        <v>2644</v>
      </c>
      <c r="F550" s="260">
        <v>2</v>
      </c>
      <c r="G550" s="260" t="s">
        <v>3817</v>
      </c>
      <c r="H550" s="261" t="str">
        <f>'Dry_Litterbag Placem_Collection'!C111</f>
        <v>Wet_Ag2_T5</v>
      </c>
      <c r="I550" s="270" t="s">
        <v>3630</v>
      </c>
      <c r="J550" s="263" t="s">
        <v>1147</v>
      </c>
      <c r="K550" s="260" t="str">
        <f>IF(ISBLANK('Dry_Litterbag Placem_Collection'!L111),"","G"&amp;""&amp;'Dry_Litterbag Placem_Collection'!L111)</f>
        <v>G102</v>
      </c>
      <c r="L550" s="264">
        <f>IFERROR(INDEX('Green_rooibos initial weight'!$C$5:$C$2000,MATCH(K550, 'Green_rooibos initial weight'!$A$5:$A$2000,0)),"")</f>
        <v>2.0920000000000001</v>
      </c>
      <c r="M550" s="264">
        <f>IFERROR(L550-(TBIcalc!$Q$9+TBIcalc!$Q$10),"")</f>
        <v>1.8422000000000001</v>
      </c>
      <c r="N550" s="385">
        <f>AVERAGE(Ashed_controlls!$K$2:$K$11)</f>
        <v>5.5147656768714146</v>
      </c>
      <c r="O550" s="264">
        <f t="shared" si="41"/>
        <v>1.7406069867006748</v>
      </c>
      <c r="P550" s="264">
        <f>IFERROR(INDEX('Both teabags AfterDry'!$D$2:$D$2000,MATCH(K550,'Both teabags AfterDry'!$A$2:$A$2000,0)),"")</f>
        <v>1.0327999999999999</v>
      </c>
      <c r="Q550" s="264">
        <f>IFERROR(IF(P550&gt;0,P550-(TBIcalc!$Q$9),""),"")</f>
        <v>0.88219999999999987</v>
      </c>
      <c r="R550" s="275">
        <f>IFERROR(INDEX('Ashed teabags dry'!$K$2:$K$2000,MATCH(K550,'Ashed teabags dry'!$A$2:$A$2000,0)),"")</f>
        <v>18.731117824773449</v>
      </c>
      <c r="S550" s="275">
        <f t="shared" si="42"/>
        <v>0.71695407854984849</v>
      </c>
      <c r="T550" s="265">
        <f>IF('Dry_Litterbag Placem_Collection'!E111="","",'Dry_Litterbag Placem_Collection'!E111)</f>
        <v>42939</v>
      </c>
      <c r="U550" s="265">
        <f>IF('Dry_Litterbag Placem_Collection'!G111="","",'Dry_Litterbag Placem_Collection'!G111)</f>
        <v>43010</v>
      </c>
      <c r="V550" s="266">
        <f t="shared" si="40"/>
        <v>71</v>
      </c>
      <c r="W550" s="264">
        <f t="shared" si="43"/>
        <v>0.96000000000000019</v>
      </c>
      <c r="X550" s="264">
        <f t="shared" si="44"/>
        <v>1.0236529081508263</v>
      </c>
      <c r="Y550" s="268">
        <f>IFERROR(INDEX(Rainfall_Dry!$O$2:$O$217,MATCH(B550, Rainfall_Dry!$A$2:$A$217,0)),"")</f>
        <v>137.19979645800001</v>
      </c>
      <c r="Z550" s="257">
        <v>34.344660194174757</v>
      </c>
      <c r="AA550" s="257">
        <v>19.22727272727273</v>
      </c>
      <c r="AB550" s="257">
        <v>46.428067078552509</v>
      </c>
      <c r="AC550" s="258" t="s">
        <v>2654</v>
      </c>
      <c r="AD550" s="257">
        <v>5.7452932479053702</v>
      </c>
      <c r="AE550">
        <f>IF('WetLitterbags placem_collection'!AB111="","",'WetLitterbags placem_collection'!AB111)</f>
        <v>10.5</v>
      </c>
      <c r="AF550">
        <f>IF('WetLitterbags placem_collection'!Z111="","",'WetLitterbags placem_collection'!Z111)</f>
        <v>22.5</v>
      </c>
      <c r="AG550" s="243" t="str">
        <f>IF('WetLitterbags placem_collection'!AA111="","",'WetLitterbags placem_collection'!AA111)</f>
        <v>M</v>
      </c>
      <c r="AH550">
        <f>IF('WetLitterbags placem_collection'!AC111="","",'WetLitterbags placem_collection'!AC111)</f>
        <v>0</v>
      </c>
      <c r="AI550">
        <f>IFERROR(AVERAGE('Dry_Litterbag Placem_Collection'!O111,'Dry_Litterbag Placem_Collection'!R111),"")</f>
        <v>7.5</v>
      </c>
      <c r="AJ550" s="268">
        <f>IFERROR(AVERAGE('Dry_Litterbag Placem_Collection'!N111,'Dry_Litterbag Placem_Collection'!Q111),"")</f>
        <v>30.65</v>
      </c>
      <c r="AK550" s="267">
        <f>INDEX(Coordinates!$B$2:$B$197,MATCH(H550,Coordinates!$J$2:$J$197,0))</f>
        <v>-2.3698390370000002</v>
      </c>
      <c r="AL550" s="267">
        <f>INDEX(Coordinates!$C$2:$C$197,MATCH(H550,Coordinates!$J$2:$J$197,0))</f>
        <v>34.059714</v>
      </c>
      <c r="AM550" s="267" t="str">
        <f>IF(ISNUMBER(SEARCH("C", 'Dry_Litterbag Placem_Collection'!U111)),"YES","NO")</f>
        <v>NO</v>
      </c>
      <c r="AN550" s="267" t="str">
        <f>IF(ISNUMBER(SEARCH("H", 'Dry_Litterbag Placem_Collection'!U111)),"YES","NO")</f>
        <v>NO</v>
      </c>
      <c r="AO550" s="267" t="str">
        <f>IF(ISNUMBER(SEARCH("R", 'Dry_Litterbag Placem_Collection'!U111)),"YES","NO")</f>
        <v>NO</v>
      </c>
    </row>
    <row r="551" spans="1:41" ht="15" customHeight="1">
      <c r="A551" s="259" t="s">
        <v>2643</v>
      </c>
      <c r="B551" s="260">
        <f>'Dry_Litterbag Placem_Collection'!A112</f>
        <v>110</v>
      </c>
      <c r="C551" s="260" t="str">
        <f>'Dry_Litterbag Placem_Collection'!B112</f>
        <v xml:space="preserve">Mwantimba
</v>
      </c>
      <c r="D551" s="260" t="s">
        <v>2454</v>
      </c>
      <c r="E551" s="260" t="s">
        <v>2644</v>
      </c>
      <c r="F551" s="260">
        <v>2</v>
      </c>
      <c r="G551" s="260" t="s">
        <v>3817</v>
      </c>
      <c r="H551" s="261" t="str">
        <f>'Dry_Litterbag Placem_Collection'!C112</f>
        <v>Wet_Ag2_T6</v>
      </c>
      <c r="I551" s="270" t="s">
        <v>3630</v>
      </c>
      <c r="J551" s="263" t="s">
        <v>1147</v>
      </c>
      <c r="K551" s="260" t="str">
        <f>IF(ISBLANK('Dry_Litterbag Placem_Collection'!L112),"","G"&amp;""&amp;'Dry_Litterbag Placem_Collection'!L112)</f>
        <v>G265</v>
      </c>
      <c r="L551" s="264">
        <f>IFERROR(INDEX('Green_rooibos initial weight'!$C$5:$C$2000,MATCH(K551, 'Green_rooibos initial weight'!$A$5:$A$2000,0)),"")</f>
        <v>1.9790000000000001</v>
      </c>
      <c r="M551" s="264">
        <f>IFERROR(L551-(TBIcalc!$Q$9+TBIcalc!$Q$10),"")</f>
        <v>1.7292000000000001</v>
      </c>
      <c r="N551" s="385">
        <f>AVERAGE(Ashed_controlls!$K$2:$K$11)</f>
        <v>5.5147656768714146</v>
      </c>
      <c r="O551" s="264">
        <f t="shared" si="41"/>
        <v>1.6338386719155396</v>
      </c>
      <c r="P551" s="264">
        <f>IFERROR(INDEX('Both teabags AfterDry'!$D$2:$D$2000,MATCH(K551,'Both teabags AfterDry'!$A$2:$A$2000,0)),"")</f>
        <v>0.93579999999999997</v>
      </c>
      <c r="Q551" s="264">
        <f>IFERROR(IF(P551&gt;0,P551-(TBIcalc!$Q$9),""),"")</f>
        <v>0.7851999999999999</v>
      </c>
      <c r="R551" s="275">
        <f>IFERROR(INDEX('Ashed teabags dry'!$K$2:$K$2000,MATCH(K551,'Ashed teabags dry'!$A$2:$A$2000,0)),"")</f>
        <v>14.665354330708222</v>
      </c>
      <c r="S551" s="275">
        <f t="shared" si="42"/>
        <v>0.67004763779527898</v>
      </c>
      <c r="T551" s="265">
        <f>IF('Dry_Litterbag Placem_Collection'!E112="","",'Dry_Litterbag Placem_Collection'!E112)</f>
        <v>42939</v>
      </c>
      <c r="U551" s="265">
        <f>IF('Dry_Litterbag Placem_Collection'!G112="","",'Dry_Litterbag Placem_Collection'!G112)</f>
        <v>43010</v>
      </c>
      <c r="V551" s="266">
        <f t="shared" si="40"/>
        <v>71</v>
      </c>
      <c r="W551" s="264">
        <f t="shared" si="43"/>
        <v>0.94400000000000017</v>
      </c>
      <c r="X551" s="264">
        <f t="shared" si="44"/>
        <v>0.96379103412026057</v>
      </c>
      <c r="Y551" s="268">
        <f>IFERROR(INDEX(Rainfall_Dry!$O$2:$O$217,MATCH(B551, Rainfall_Dry!$A$2:$A$217,0)),"")</f>
        <v>137.19979645800001</v>
      </c>
      <c r="Z551" s="257">
        <v>34.344660194174757</v>
      </c>
      <c r="AA551" s="257">
        <v>19.22727272727273</v>
      </c>
      <c r="AB551" s="257">
        <v>46.428067078552509</v>
      </c>
      <c r="AC551" s="258" t="s">
        <v>2654</v>
      </c>
      <c r="AD551" s="257">
        <v>6.7452932479053702</v>
      </c>
      <c r="AE551">
        <f>IF('WetLitterbags placem_collection'!AB112="","",'WetLitterbags placem_collection'!AB112)</f>
        <v>5.75</v>
      </c>
      <c r="AF551">
        <f>IF('WetLitterbags placem_collection'!Z112="","",'WetLitterbags placem_collection'!Z112)</f>
        <v>22.5</v>
      </c>
      <c r="AG551" s="243" t="str">
        <f>IF('WetLitterbags placem_collection'!AA112="","",'WetLitterbags placem_collection'!AA112)</f>
        <v>M</v>
      </c>
      <c r="AH551">
        <f>IF('WetLitterbags placem_collection'!AC112="","",'WetLitterbags placem_collection'!AC112)</f>
        <v>0</v>
      </c>
      <c r="AI551">
        <f>IFERROR(AVERAGE('Dry_Litterbag Placem_Collection'!O112,'Dry_Litterbag Placem_Collection'!R112),"")</f>
        <v>7.3500000000000005</v>
      </c>
      <c r="AJ551" s="268">
        <f>IFERROR(AVERAGE('Dry_Litterbag Placem_Collection'!N112,'Dry_Litterbag Placem_Collection'!Q112),"")</f>
        <v>31.150000000000002</v>
      </c>
      <c r="AK551" s="267">
        <f>INDEX(Coordinates!$B$2:$B$197,MATCH(H551,Coordinates!$J$2:$J$197,0))</f>
        <v>-2.3697549659999999</v>
      </c>
      <c r="AL551" s="267">
        <f>INDEX(Coordinates!$C$2:$C$197,MATCH(H551,Coordinates!$J$2:$J$197,0))</f>
        <v>34.059668989999999</v>
      </c>
      <c r="AM551" s="267" t="str">
        <f>IF(ISNUMBER(SEARCH("C", 'Dry_Litterbag Placem_Collection'!U112)),"YES","NO")</f>
        <v>NO</v>
      </c>
      <c r="AN551" s="267" t="str">
        <f>IF(ISNUMBER(SEARCH("H", 'Dry_Litterbag Placem_Collection'!U112)),"YES","NO")</f>
        <v>NO</v>
      </c>
      <c r="AO551" s="267" t="str">
        <f>IF(ISNUMBER(SEARCH("R", 'Dry_Litterbag Placem_Collection'!U112)),"YES","NO")</f>
        <v>NO</v>
      </c>
    </row>
    <row r="552" spans="1:41" ht="15" customHeight="1">
      <c r="A552" s="259" t="s">
        <v>2643</v>
      </c>
      <c r="B552" s="260">
        <f>'Dry_Litterbag Placem_Collection'!A113</f>
        <v>111</v>
      </c>
      <c r="C552" s="260" t="str">
        <f>'Dry_Litterbag Placem_Collection'!B113</f>
        <v xml:space="preserve">Mwantimba
</v>
      </c>
      <c r="D552" s="260" t="s">
        <v>2454</v>
      </c>
      <c r="E552" s="260" t="s">
        <v>2644</v>
      </c>
      <c r="F552" s="260">
        <v>2</v>
      </c>
      <c r="G552" s="260" t="s">
        <v>3817</v>
      </c>
      <c r="H552" s="261" t="str">
        <f>'Dry_Litterbag Placem_Collection'!C113</f>
        <v>Wet_Ag2_T7</v>
      </c>
      <c r="I552" s="270" t="s">
        <v>3630</v>
      </c>
      <c r="J552" s="263" t="s">
        <v>1147</v>
      </c>
      <c r="K552" s="260" t="str">
        <f>IF(ISBLANK('Dry_Litterbag Placem_Collection'!L113),"","G"&amp;""&amp;'Dry_Litterbag Placem_Collection'!L113)</f>
        <v>G455</v>
      </c>
      <c r="L552" s="264">
        <f>IFERROR(INDEX('Green_rooibos initial weight'!$C$5:$C$2000,MATCH(K552, 'Green_rooibos initial weight'!$A$5:$A$2000,0)),"")</f>
        <v>2.0299999999999998</v>
      </c>
      <c r="M552" s="264">
        <f>IFERROR(L552-(TBIcalc!$Q$9+TBIcalc!$Q$10),"")</f>
        <v>1.7801999999999998</v>
      </c>
      <c r="N552" s="385">
        <f>AVERAGE(Ashed_controlls!$K$2:$K$11)</f>
        <v>5.5147656768714146</v>
      </c>
      <c r="O552" s="264">
        <f t="shared" si="41"/>
        <v>1.6820261414203348</v>
      </c>
      <c r="P552" s="264">
        <f>IFERROR(INDEX('Both teabags AfterDry'!$D$2:$D$2000,MATCH(K552,'Both teabags AfterDry'!$A$2:$A$2000,0)),"")</f>
        <v>0.92169999999999996</v>
      </c>
      <c r="Q552" s="264">
        <f>IFERROR(IF(P552&gt;0,P552-(TBIcalc!$Q$9),""),"")</f>
        <v>0.7710999999999999</v>
      </c>
      <c r="R552" s="275">
        <f>IFERROR(INDEX('Ashed teabags dry'!$K$2:$K$2000,MATCH(K552,'Ashed teabags dry'!$A$2:$A$2000,0)),"")</f>
        <v>17.328170377541223</v>
      </c>
      <c r="S552" s="275">
        <f t="shared" si="42"/>
        <v>0.63748247821877957</v>
      </c>
      <c r="T552" s="265">
        <f>IF('Dry_Litterbag Placem_Collection'!E113="","",'Dry_Litterbag Placem_Collection'!E113)</f>
        <v>42939</v>
      </c>
      <c r="U552" s="265">
        <f>IF('Dry_Litterbag Placem_Collection'!G113="","",'Dry_Litterbag Placem_Collection'!G113)</f>
        <v>43010</v>
      </c>
      <c r="V552" s="266">
        <f t="shared" si="40"/>
        <v>71</v>
      </c>
      <c r="W552" s="264">
        <f t="shared" si="43"/>
        <v>1.0090999999999999</v>
      </c>
      <c r="X552" s="264">
        <f t="shared" si="44"/>
        <v>1.0445436632015552</v>
      </c>
      <c r="Y552" s="268">
        <f>IFERROR(INDEX(Rainfall_Dry!$O$2:$O$217,MATCH(B552, Rainfall_Dry!$A$2:$A$217,0)),"")</f>
        <v>137.19979645800001</v>
      </c>
      <c r="Z552" s="257">
        <v>34.344660194174757</v>
      </c>
      <c r="AA552" s="257">
        <v>19.22727272727273</v>
      </c>
      <c r="AB552" s="257">
        <v>46.428067078552509</v>
      </c>
      <c r="AC552" s="258" t="s">
        <v>2654</v>
      </c>
      <c r="AD552" s="257">
        <v>7.7452932479053702</v>
      </c>
      <c r="AE552">
        <f>IF('WetLitterbags placem_collection'!AB113="","",'WetLitterbags placem_collection'!AB113)</f>
        <v>6.1</v>
      </c>
      <c r="AF552">
        <f>IF('WetLitterbags placem_collection'!Z113="","",'WetLitterbags placem_collection'!Z113)</f>
        <v>26</v>
      </c>
      <c r="AG552" s="243" t="str">
        <f>IF('WetLitterbags placem_collection'!AA113="","",'WetLitterbags placem_collection'!AA113)</f>
        <v>M</v>
      </c>
      <c r="AH552">
        <f>IF('WetLitterbags placem_collection'!AC113="","",'WetLitterbags placem_collection'!AC113)</f>
        <v>0</v>
      </c>
      <c r="AI552">
        <f>IFERROR(AVERAGE('Dry_Litterbag Placem_Collection'!O113,'Dry_Litterbag Placem_Collection'!R113),"")</f>
        <v>8.3000000000000007</v>
      </c>
      <c r="AJ552" s="268">
        <f>IFERROR(AVERAGE('Dry_Litterbag Placem_Collection'!N113,'Dry_Litterbag Placem_Collection'!Q113),"")</f>
        <v>29.549999999999997</v>
      </c>
      <c r="AK552" s="267">
        <f>INDEX(Coordinates!$B$2:$B$197,MATCH(H552,Coordinates!$J$2:$J$197,0))</f>
        <v>-2.3697330060000001</v>
      </c>
      <c r="AL552" s="267">
        <f>INDEX(Coordinates!$C$2:$C$197,MATCH(H552,Coordinates!$J$2:$J$197,0))</f>
        <v>34.059615010000002</v>
      </c>
      <c r="AM552" s="267" t="str">
        <f>IF(ISNUMBER(SEARCH("C", 'Dry_Litterbag Placem_Collection'!U113)),"YES","NO")</f>
        <v>NO</v>
      </c>
      <c r="AN552" s="267" t="str">
        <f>IF(ISNUMBER(SEARCH("H", 'Dry_Litterbag Placem_Collection'!U113)),"YES","NO")</f>
        <v>NO</v>
      </c>
      <c r="AO552" s="267" t="str">
        <f>IF(ISNUMBER(SEARCH("R", 'Dry_Litterbag Placem_Collection'!U113)),"YES","NO")</f>
        <v>NO</v>
      </c>
    </row>
    <row r="553" spans="1:41" ht="15" customHeight="1">
      <c r="A553" s="259" t="s">
        <v>2643</v>
      </c>
      <c r="B553" s="260">
        <f>'Dry_Litterbag Placem_Collection'!A114</f>
        <v>112</v>
      </c>
      <c r="C553" s="260" t="str">
        <f>'Dry_Litterbag Placem_Collection'!B114</f>
        <v xml:space="preserve">Mwantimba
</v>
      </c>
      <c r="D553" s="260" t="s">
        <v>2454</v>
      </c>
      <c r="E553" s="260" t="s">
        <v>2644</v>
      </c>
      <c r="F553" s="260">
        <v>2</v>
      </c>
      <c r="G553" s="260" t="s">
        <v>3817</v>
      </c>
      <c r="H553" s="261" t="str">
        <f>'Dry_Litterbag Placem_Collection'!C114</f>
        <v>Wet_Ag2_T8</v>
      </c>
      <c r="I553" s="270" t="s">
        <v>3630</v>
      </c>
      <c r="J553" s="263" t="s">
        <v>1147</v>
      </c>
      <c r="K553" s="260" t="str">
        <f>IF(ISBLANK('Dry_Litterbag Placem_Collection'!L114),"","G"&amp;""&amp;'Dry_Litterbag Placem_Collection'!L114)</f>
        <v/>
      </c>
      <c r="L553" s="264" t="str">
        <f>IFERROR(INDEX('Green_rooibos initial weight'!$C$5:$C$2000,MATCH(K553, 'Green_rooibos initial weight'!$A$5:$A$2000,0)),"")</f>
        <v/>
      </c>
      <c r="M553" s="264" t="str">
        <f>IFERROR(L553-(TBIcalc!$Q$9+TBIcalc!$Q$10),"")</f>
        <v/>
      </c>
      <c r="N553" s="385">
        <f>AVERAGE(Ashed_controlls!$K$2:$K$11)</f>
        <v>5.5147656768714146</v>
      </c>
      <c r="O553" s="264" t="str">
        <f t="shared" si="41"/>
        <v/>
      </c>
      <c r="P553" s="264" t="str">
        <f>IFERROR(INDEX('Both teabags AfterDry'!$D$2:$D$2000,MATCH(K553,'Both teabags AfterDry'!$A$2:$A$2000,0)),"")</f>
        <v/>
      </c>
      <c r="Q553" s="264" t="str">
        <f>IFERROR(IF(P553&gt;0,P553-(TBIcalc!$Q$9),""),"")</f>
        <v/>
      </c>
      <c r="R553" s="275" t="str">
        <f>IFERROR(INDEX('Ashed teabags dry'!$K$2:$K$2000,MATCH(K553,'Ashed teabags dry'!$A$2:$A$2000,0)),"")</f>
        <v/>
      </c>
      <c r="S553" s="275" t="str">
        <f t="shared" si="42"/>
        <v/>
      </c>
      <c r="T553" s="265" t="str">
        <f>IF('Dry_Litterbag Placem_Collection'!E114="","",'Dry_Litterbag Placem_Collection'!E114)</f>
        <v/>
      </c>
      <c r="U553" s="265" t="str">
        <f>IF('Dry_Litterbag Placem_Collection'!G114="","",'Dry_Litterbag Placem_Collection'!G114)</f>
        <v/>
      </c>
      <c r="V553" s="266" t="str">
        <f t="shared" si="40"/>
        <v/>
      </c>
      <c r="W553" s="264" t="str">
        <f t="shared" si="43"/>
        <v/>
      </c>
      <c r="X553" s="264" t="str">
        <f t="shared" si="44"/>
        <v/>
      </c>
      <c r="Y553" s="268" t="str">
        <f>IFERROR(INDEX(Rainfall_Dry!$O$2:$O$217,MATCH(B553, Rainfall_Dry!$A$2:$A$217,0)),"")</f>
        <v/>
      </c>
      <c r="Z553" s="257">
        <v>34.344660194174757</v>
      </c>
      <c r="AA553" s="257">
        <v>19.22727272727273</v>
      </c>
      <c r="AB553" s="257">
        <v>46.428067078552509</v>
      </c>
      <c r="AC553" s="258" t="s">
        <v>2654</v>
      </c>
      <c r="AD553" s="257">
        <v>8.7452932479053693</v>
      </c>
      <c r="AE553">
        <f>IF('WetLitterbags placem_collection'!AB114="","",'WetLitterbags placem_collection'!AB114)</f>
        <v>11.5</v>
      </c>
      <c r="AF553">
        <f>IF('WetLitterbags placem_collection'!Z114="","",'WetLitterbags placem_collection'!Z114)</f>
        <v>15</v>
      </c>
      <c r="AG553" s="243" t="str">
        <f>IF('WetLitterbags placem_collection'!AA114="","",'WetLitterbags placem_collection'!AA114)</f>
        <v>M</v>
      </c>
      <c r="AH553">
        <f>IF('WetLitterbags placem_collection'!AC114="","",'WetLitterbags placem_collection'!AC114)</f>
        <v>0</v>
      </c>
      <c r="AI553" t="str">
        <f>IFERROR(AVERAGE('Dry_Litterbag Placem_Collection'!O114,'Dry_Litterbag Placem_Collection'!R114),"")</f>
        <v/>
      </c>
      <c r="AJ553" s="268" t="str">
        <f>IFERROR(AVERAGE('Dry_Litterbag Placem_Collection'!N114,'Dry_Litterbag Placem_Collection'!Q114),"")</f>
        <v/>
      </c>
      <c r="AK553" s="267">
        <f>INDEX(Coordinates!$B$2:$B$197,MATCH(H553,Coordinates!$J$2:$J$197,0))</f>
        <v>-2.36967098</v>
      </c>
      <c r="AL553" s="267">
        <f>INDEX(Coordinates!$C$2:$C$197,MATCH(H553,Coordinates!$J$2:$J$197,0))</f>
        <v>34.059735959999998</v>
      </c>
      <c r="AM553" s="267" t="str">
        <f>IF(ISNUMBER(SEARCH("C", 'Dry_Litterbag Placem_Collection'!U114)),"YES","NO")</f>
        <v>NO</v>
      </c>
      <c r="AN553" s="267" t="str">
        <f>IF(ISNUMBER(SEARCH("H", 'Dry_Litterbag Placem_Collection'!U114)),"YES","NO")</f>
        <v>NO</v>
      </c>
      <c r="AO553" s="267" t="str">
        <f>IF(ISNUMBER(SEARCH("R", 'Dry_Litterbag Placem_Collection'!U114)),"YES","NO")</f>
        <v>NO</v>
      </c>
    </row>
    <row r="554" spans="1:41" ht="15" customHeight="1">
      <c r="A554" s="259" t="s">
        <v>2643</v>
      </c>
      <c r="B554" s="260">
        <f>'Dry_Litterbag Placem_Collection'!A115</f>
        <v>113</v>
      </c>
      <c r="C554" s="260" t="str">
        <f>'Dry_Litterbag Placem_Collection'!B115</f>
        <v xml:space="preserve">Mwantimba
</v>
      </c>
      <c r="D554" s="260" t="s">
        <v>2454</v>
      </c>
      <c r="E554" s="260" t="s">
        <v>2644</v>
      </c>
      <c r="F554" s="260">
        <v>3</v>
      </c>
      <c r="G554" s="260" t="s">
        <v>3818</v>
      </c>
      <c r="H554" s="261" t="str">
        <f>'Dry_Litterbag Placem_Collection'!C115</f>
        <v>Wet_Ag3_T1</v>
      </c>
      <c r="I554" s="270" t="s">
        <v>3630</v>
      </c>
      <c r="J554" s="263" t="s">
        <v>1147</v>
      </c>
      <c r="K554" s="260" t="str">
        <f>IF(ISBLANK('Dry_Litterbag Placem_Collection'!L115),"","G"&amp;""&amp;'Dry_Litterbag Placem_Collection'!L115)</f>
        <v>G490</v>
      </c>
      <c r="L554" s="264">
        <f>IFERROR(INDEX('Green_rooibos initial weight'!$C$5:$C$2000,MATCH(K554, 'Green_rooibos initial weight'!$A$5:$A$2000,0)),"")</f>
        <v>1.881</v>
      </c>
      <c r="M554" s="264">
        <f>IFERROR(L554-(TBIcalc!$Q$9+TBIcalc!$Q$10),"")</f>
        <v>1.6312</v>
      </c>
      <c r="N554" s="385">
        <f>AVERAGE(Ashed_controlls!$K$2:$K$11)</f>
        <v>5.5147656768714146</v>
      </c>
      <c r="O554" s="264">
        <f t="shared" si="41"/>
        <v>1.5412431422788735</v>
      </c>
      <c r="P554" s="264">
        <f>IFERROR(INDEX('Both teabags AfterDry'!$D$2:$D$2000,MATCH(K554,'Both teabags AfterDry'!$A$2:$A$2000,0)),"")</f>
        <v>0.72760000000000002</v>
      </c>
      <c r="Q554" s="264">
        <f>IFERROR(IF(P554&gt;0,P554-(TBIcalc!$Q$9),""),"")</f>
        <v>0.57699999999999996</v>
      </c>
      <c r="R554" s="275">
        <f>IFERROR(INDEX('Ashed teabags dry'!$K$2:$K$2000,MATCH(K554,'Ashed teabags dry'!$A$2:$A$2000,0)),"")</f>
        <v>23.173681664247997</v>
      </c>
      <c r="S554" s="275">
        <f t="shared" si="42"/>
        <v>0.44328785679728899</v>
      </c>
      <c r="T554" s="265">
        <f>IF('Dry_Litterbag Placem_Collection'!E115="","",'Dry_Litterbag Placem_Collection'!E115)</f>
        <v>42939</v>
      </c>
      <c r="U554" s="265">
        <f>IF('Dry_Litterbag Placem_Collection'!G115="","",'Dry_Litterbag Placem_Collection'!G115)</f>
        <v>43008</v>
      </c>
      <c r="V554" s="266">
        <f t="shared" si="40"/>
        <v>69</v>
      </c>
      <c r="W554" s="264">
        <f t="shared" si="43"/>
        <v>1.0542</v>
      </c>
      <c r="X554" s="264">
        <f t="shared" si="44"/>
        <v>1.0979552854815844</v>
      </c>
      <c r="Y554" s="268">
        <f>IFERROR(INDEX(Rainfall_Dry!$O$2:$O$217,MATCH(B554, Rainfall_Dry!$A$2:$A$217,0)),"")</f>
        <v>136.27214243</v>
      </c>
      <c r="Z554" s="257">
        <v>27.96</v>
      </c>
      <c r="AA554" s="257">
        <v>4.9200000000000017</v>
      </c>
      <c r="AB554" s="257">
        <v>67.12</v>
      </c>
      <c r="AC554" s="258" t="s">
        <v>2654</v>
      </c>
      <c r="AD554" s="257">
        <v>0.88610152784622953</v>
      </c>
      <c r="AE554">
        <f>IF('WetLitterbags placem_collection'!AB115="","",'WetLitterbags placem_collection'!AB115)</f>
        <v>26</v>
      </c>
      <c r="AF554">
        <f>IF('WetLitterbags placem_collection'!Z115="","",'WetLitterbags placem_collection'!Z115)</f>
        <v>88.5</v>
      </c>
      <c r="AG554" s="243" t="str">
        <f>IF('WetLitterbags placem_collection'!AA115="","",'WetLitterbags placem_collection'!AA115)</f>
        <v>G</v>
      </c>
      <c r="AH554">
        <f>IF('WetLitterbags placem_collection'!AC115="","",'WetLitterbags placem_collection'!AC115)</f>
        <v>0</v>
      </c>
      <c r="AI554">
        <f>IFERROR(AVERAGE('Dry_Litterbag Placem_Collection'!O115,'Dry_Litterbag Placem_Collection'!R115),"")</f>
        <v>6.35</v>
      </c>
      <c r="AJ554" s="268">
        <f>IFERROR(AVERAGE('Dry_Litterbag Placem_Collection'!N115,'Dry_Litterbag Placem_Collection'!Q115),"")</f>
        <v>28.9</v>
      </c>
      <c r="AK554" s="267">
        <f>INDEX(Coordinates!$B$2:$B$197,MATCH(H554,Coordinates!$J$2:$J$197,0))</f>
        <v>-2.3487199940000001</v>
      </c>
      <c r="AL554" s="267">
        <f>INDEX(Coordinates!$C$2:$C$197,MATCH(H554,Coordinates!$J$2:$J$197,0))</f>
        <v>34.051391029999998</v>
      </c>
      <c r="AM554" s="267" t="str">
        <f>IF(ISNUMBER(SEARCH("C", 'Dry_Litterbag Placem_Collection'!U115)),"YES","NO")</f>
        <v>NO</v>
      </c>
      <c r="AN554" s="267" t="str">
        <f>IF(ISNUMBER(SEARCH("H", 'Dry_Litterbag Placem_Collection'!U115)),"YES","NO")</f>
        <v>NO</v>
      </c>
      <c r="AO554" s="267" t="str">
        <f>IF(ISNUMBER(SEARCH("R", 'Dry_Litterbag Placem_Collection'!U115)),"YES","NO")</f>
        <v>NO</v>
      </c>
    </row>
    <row r="555" spans="1:41" ht="15" customHeight="1">
      <c r="A555" s="259" t="s">
        <v>2643</v>
      </c>
      <c r="B555" s="260">
        <f>'Dry_Litterbag Placem_Collection'!A116</f>
        <v>114</v>
      </c>
      <c r="C555" s="260" t="str">
        <f>'Dry_Litterbag Placem_Collection'!B116</f>
        <v xml:space="preserve">Mwantimba
</v>
      </c>
      <c r="D555" s="260" t="s">
        <v>2454</v>
      </c>
      <c r="E555" s="260" t="s">
        <v>2644</v>
      </c>
      <c r="F555" s="260">
        <v>3</v>
      </c>
      <c r="G555" s="260" t="s">
        <v>3818</v>
      </c>
      <c r="H555" s="261" t="str">
        <f>'Dry_Litterbag Placem_Collection'!C116</f>
        <v>Wet_Ag3_T2</v>
      </c>
      <c r="I555" s="270" t="s">
        <v>3630</v>
      </c>
      <c r="J555" s="263" t="s">
        <v>1147</v>
      </c>
      <c r="K555" s="260" t="str">
        <f>IF(ISBLANK('Dry_Litterbag Placem_Collection'!L116),"","G"&amp;""&amp;'Dry_Litterbag Placem_Collection'!L116)</f>
        <v>G650</v>
      </c>
      <c r="L555" s="264">
        <f>IFERROR(INDEX('Green_rooibos initial weight'!$C$5:$C$2000,MATCH(K555, 'Green_rooibos initial weight'!$A$5:$A$2000,0)),"")</f>
        <v>2.0270000000000001</v>
      </c>
      <c r="M555" s="264">
        <f>IFERROR(L555-(TBIcalc!$Q$9+TBIcalc!$Q$10),"")</f>
        <v>1.7772000000000001</v>
      </c>
      <c r="N555" s="385">
        <f>AVERAGE(Ashed_controlls!$K$2:$K$11)</f>
        <v>5.5147656768714146</v>
      </c>
      <c r="O555" s="264">
        <f t="shared" si="41"/>
        <v>1.6791915843906413</v>
      </c>
      <c r="P555" s="264">
        <f>IFERROR(INDEX('Both teabags AfterDry'!$D$2:$D$2000,MATCH(K555,'Both teabags AfterDry'!$A$2:$A$2000,0)),"")</f>
        <v>0.86890000000000001</v>
      </c>
      <c r="Q555" s="264">
        <f>IFERROR(IF(P555&gt;0,P555-(TBIcalc!$Q$9),""),"")</f>
        <v>0.71829999999999994</v>
      </c>
      <c r="R555" s="275">
        <f>IFERROR(INDEX('Ashed teabags dry'!$K$2:$K$2000,MATCH(K555,'Ashed teabags dry'!$A$2:$A$2000,0)),"")</f>
        <v>22.395326192794663</v>
      </c>
      <c r="S555" s="275">
        <f t="shared" si="42"/>
        <v>0.55743437195715595</v>
      </c>
      <c r="T555" s="265">
        <f>IF('Dry_Litterbag Placem_Collection'!E116="","",'Dry_Litterbag Placem_Collection'!E116)</f>
        <v>42939</v>
      </c>
      <c r="U555" s="265">
        <f>IF('Dry_Litterbag Placem_Collection'!G116="","",'Dry_Litterbag Placem_Collection'!G116)</f>
        <v>43008</v>
      </c>
      <c r="V555" s="266">
        <f t="shared" si="40"/>
        <v>69</v>
      </c>
      <c r="W555" s="264">
        <f t="shared" si="43"/>
        <v>1.0589000000000002</v>
      </c>
      <c r="X555" s="264">
        <f t="shared" si="44"/>
        <v>1.1217572124334854</v>
      </c>
      <c r="Y555" s="268">
        <f>IFERROR(INDEX(Rainfall_Dry!$O$2:$O$217,MATCH(B555, Rainfall_Dry!$A$2:$A$217,0)),"")</f>
        <v>136.27214243</v>
      </c>
      <c r="Z555" s="257">
        <v>27.96</v>
      </c>
      <c r="AA555" s="257">
        <v>4.9200000000000017</v>
      </c>
      <c r="AB555" s="257">
        <v>67.12</v>
      </c>
      <c r="AC555" s="258" t="s">
        <v>2654</v>
      </c>
      <c r="AD555" s="257">
        <v>1.8861015278462301</v>
      </c>
      <c r="AE555">
        <f>IF('WetLitterbags placem_collection'!AB116="","",'WetLitterbags placem_collection'!AB116)</f>
        <v>16.5</v>
      </c>
      <c r="AF555">
        <f>IF('WetLitterbags placem_collection'!Z116="","",'WetLitterbags placem_collection'!Z116)</f>
        <v>87.5</v>
      </c>
      <c r="AG555" s="243" t="str">
        <f>IF('WetLitterbags placem_collection'!AA116="","",'WetLitterbags placem_collection'!AA116)</f>
        <v>G</v>
      </c>
      <c r="AH555">
        <f>IF('WetLitterbags placem_collection'!AC116="","",'WetLitterbags placem_collection'!AC116)</f>
        <v>0</v>
      </c>
      <c r="AI555">
        <f>IFERROR(AVERAGE('Dry_Litterbag Placem_Collection'!O116,'Dry_Litterbag Placem_Collection'!R116),"")</f>
        <v>12.1</v>
      </c>
      <c r="AJ555" s="268">
        <f>IFERROR(AVERAGE('Dry_Litterbag Placem_Collection'!N116,'Dry_Litterbag Placem_Collection'!Q116),"")</f>
        <v>28.1</v>
      </c>
      <c r="AK555" s="267">
        <f>INDEX(Coordinates!$B$2:$B$197,MATCH(H555,Coordinates!$J$2:$J$197,0))</f>
        <v>-2.348716976</v>
      </c>
      <c r="AL555" s="267">
        <f>INDEX(Coordinates!$C$2:$C$197,MATCH(H555,Coordinates!$J$2:$J$197,0))</f>
        <v>34.051484989999999</v>
      </c>
      <c r="AM555" s="267" t="str">
        <f>IF(ISNUMBER(SEARCH("C", 'Dry_Litterbag Placem_Collection'!U116)),"YES","NO")</f>
        <v>NO</v>
      </c>
      <c r="AN555" s="267" t="str">
        <f>IF(ISNUMBER(SEARCH("H", 'Dry_Litterbag Placem_Collection'!U116)),"YES","NO")</f>
        <v>NO</v>
      </c>
      <c r="AO555" s="267" t="str">
        <f>IF(ISNUMBER(SEARCH("R", 'Dry_Litterbag Placem_Collection'!U116)),"YES","NO")</f>
        <v>NO</v>
      </c>
    </row>
    <row r="556" spans="1:41" ht="15" customHeight="1">
      <c r="A556" s="259" t="s">
        <v>2643</v>
      </c>
      <c r="B556" s="260">
        <f>'Dry_Litterbag Placem_Collection'!A117</f>
        <v>115</v>
      </c>
      <c r="C556" s="260" t="str">
        <f>'Dry_Litterbag Placem_Collection'!B117</f>
        <v xml:space="preserve">Mwantimba
</v>
      </c>
      <c r="D556" s="260" t="s">
        <v>2454</v>
      </c>
      <c r="E556" s="260" t="s">
        <v>2644</v>
      </c>
      <c r="F556" s="260">
        <v>3</v>
      </c>
      <c r="G556" s="260" t="s">
        <v>3818</v>
      </c>
      <c r="H556" s="261" t="str">
        <f>'Dry_Litterbag Placem_Collection'!C117</f>
        <v>Wet_Ag3_T3</v>
      </c>
      <c r="I556" s="270" t="s">
        <v>3630</v>
      </c>
      <c r="J556" s="263" t="s">
        <v>1147</v>
      </c>
      <c r="K556" s="260" t="str">
        <f>IF(ISBLANK('Dry_Litterbag Placem_Collection'!L117),"","G"&amp;""&amp;'Dry_Litterbag Placem_Collection'!L117)</f>
        <v>G873</v>
      </c>
      <c r="L556" s="264">
        <f>IFERROR(INDEX('Green_rooibos initial weight'!$C$5:$C$2000,MATCH(K556, 'Green_rooibos initial weight'!$A$5:$A$2000,0)),"")</f>
        <v>2.0089999999999999</v>
      </c>
      <c r="M556" s="264">
        <f>IFERROR(L556-(TBIcalc!$Q$9+TBIcalc!$Q$10),"")</f>
        <v>1.7591999999999999</v>
      </c>
      <c r="N556" s="385">
        <f>AVERAGE(Ashed_controlls!$K$2:$K$11)</f>
        <v>5.5147656768714146</v>
      </c>
      <c r="O556" s="264">
        <f t="shared" si="41"/>
        <v>1.662184242212478</v>
      </c>
      <c r="P556" s="264">
        <f>IFERROR(INDEX('Both teabags AfterDry'!$D$2:$D$2000,MATCH(K556,'Both teabags AfterDry'!$A$2:$A$2000,0)),"")</f>
        <v>0.68469999999999998</v>
      </c>
      <c r="Q556" s="264">
        <f>IFERROR(IF(P556&gt;0,P556-(TBIcalc!$Q$9),""),"")</f>
        <v>0.53410000000000002</v>
      </c>
      <c r="R556" s="275">
        <f>IFERROR(INDEX('Ashed teabags dry'!$K$2:$K$2000,MATCH(K556,'Ashed teabags dry'!$A$2:$A$2000,0)),"")</f>
        <v>14.840499306518451</v>
      </c>
      <c r="S556" s="275">
        <f t="shared" si="42"/>
        <v>0.45483689320388498</v>
      </c>
      <c r="T556" s="265">
        <f>IF('Dry_Litterbag Placem_Collection'!E117="","",'Dry_Litterbag Placem_Collection'!E117)</f>
        <v>42939</v>
      </c>
      <c r="U556" s="265">
        <f>IF('Dry_Litterbag Placem_Collection'!G117="","",'Dry_Litterbag Placem_Collection'!G117)</f>
        <v>43008</v>
      </c>
      <c r="V556" s="266">
        <f t="shared" si="40"/>
        <v>69</v>
      </c>
      <c r="W556" s="264">
        <f t="shared" si="43"/>
        <v>1.2250999999999999</v>
      </c>
      <c r="X556" s="264">
        <f t="shared" si="44"/>
        <v>1.2073473490085931</v>
      </c>
      <c r="Y556" s="268">
        <f>IFERROR(INDEX(Rainfall_Dry!$O$2:$O$217,MATCH(B556, Rainfall_Dry!$A$2:$A$217,0)),"")</f>
        <v>136.27214243</v>
      </c>
      <c r="Z556" s="257">
        <v>27.96</v>
      </c>
      <c r="AA556" s="257">
        <v>4.9200000000000017</v>
      </c>
      <c r="AB556" s="257">
        <v>67.12</v>
      </c>
      <c r="AC556" s="258" t="s">
        <v>2654</v>
      </c>
      <c r="AD556" s="257">
        <v>2.8861015278462299</v>
      </c>
      <c r="AE556">
        <f>IF('WetLitterbags placem_collection'!AB117="","",'WetLitterbags placem_collection'!AB117)</f>
        <v>19</v>
      </c>
      <c r="AF556">
        <f>IF('WetLitterbags placem_collection'!Z117="","",'WetLitterbags placem_collection'!Z117)</f>
        <v>79.5</v>
      </c>
      <c r="AG556" s="243" t="str">
        <f>IF('WetLitterbags placem_collection'!AA117="","",'WetLitterbags placem_collection'!AA117)</f>
        <v>G</v>
      </c>
      <c r="AH556">
        <f>IF('WetLitterbags placem_collection'!AC117="","",'WetLitterbags placem_collection'!AC117)</f>
        <v>1</v>
      </c>
      <c r="AI556">
        <f>IFERROR(AVERAGE('Dry_Litterbag Placem_Collection'!O117,'Dry_Litterbag Placem_Collection'!R117),"")</f>
        <v>6.9</v>
      </c>
      <c r="AJ556" s="268">
        <f>IFERROR(AVERAGE('Dry_Litterbag Placem_Collection'!N117,'Dry_Litterbag Placem_Collection'!Q117),"")</f>
        <v>28.95</v>
      </c>
      <c r="AK556" s="267">
        <f>INDEX(Coordinates!$B$2:$B$197,MATCH(H556,Coordinates!$J$2:$J$197,0))</f>
        <v>-2.3487800079999999</v>
      </c>
      <c r="AL556" s="267">
        <f>INDEX(Coordinates!$C$2:$C$197,MATCH(H556,Coordinates!$J$2:$J$197,0))</f>
        <v>34.051495969999998</v>
      </c>
      <c r="AM556" s="267" t="str">
        <f>IF(ISNUMBER(SEARCH("C", 'Dry_Litterbag Placem_Collection'!U117)),"YES","NO")</f>
        <v>NO</v>
      </c>
      <c r="AN556" s="267" t="str">
        <f>IF(ISNUMBER(SEARCH("H", 'Dry_Litterbag Placem_Collection'!U117)),"YES","NO")</f>
        <v>NO</v>
      </c>
      <c r="AO556" s="267" t="str">
        <f>IF(ISNUMBER(SEARCH("R", 'Dry_Litterbag Placem_Collection'!U117)),"YES","NO")</f>
        <v>NO</v>
      </c>
    </row>
    <row r="557" spans="1:41" ht="15" customHeight="1">
      <c r="A557" s="259" t="s">
        <v>2643</v>
      </c>
      <c r="B557" s="260">
        <f>'Dry_Litterbag Placem_Collection'!A118</f>
        <v>116</v>
      </c>
      <c r="C557" s="260" t="str">
        <f>'Dry_Litterbag Placem_Collection'!B118</f>
        <v xml:space="preserve">Mwantimba
</v>
      </c>
      <c r="D557" s="260" t="s">
        <v>2454</v>
      </c>
      <c r="E557" s="260" t="s">
        <v>2644</v>
      </c>
      <c r="F557" s="260">
        <v>3</v>
      </c>
      <c r="G557" s="260" t="s">
        <v>3818</v>
      </c>
      <c r="H557" s="261" t="str">
        <f>'Dry_Litterbag Placem_Collection'!C118</f>
        <v>Wet_Ag3_T4</v>
      </c>
      <c r="I557" s="270" t="s">
        <v>3630</v>
      </c>
      <c r="J557" s="263" t="s">
        <v>1147</v>
      </c>
      <c r="K557" s="260" t="str">
        <f>IF(ISBLANK('Dry_Litterbag Placem_Collection'!L118),"","G"&amp;""&amp;'Dry_Litterbag Placem_Collection'!L118)</f>
        <v>G206</v>
      </c>
      <c r="L557" s="264">
        <f>IFERROR(INDEX('Green_rooibos initial weight'!$C$5:$C$2000,MATCH(K557, 'Green_rooibos initial weight'!$A$5:$A$2000,0)),"")</f>
        <v>2.0249999999999999</v>
      </c>
      <c r="M557" s="264">
        <f>IFERROR(L557-(TBIcalc!$Q$9+TBIcalc!$Q$10),"")</f>
        <v>1.7751999999999999</v>
      </c>
      <c r="N557" s="385">
        <f>AVERAGE(Ashed_controlls!$K$2:$K$11)</f>
        <v>5.5147656768714146</v>
      </c>
      <c r="O557" s="264">
        <f t="shared" si="41"/>
        <v>1.6773018797041785</v>
      </c>
      <c r="P557" s="264">
        <f>IFERROR(INDEX('Both teabags AfterDry'!$D$2:$D$2000,MATCH(K557,'Both teabags AfterDry'!$A$2:$A$2000,0)),"")</f>
        <v>0.75260000000000005</v>
      </c>
      <c r="Q557" s="264">
        <f>IFERROR(IF(P557&gt;0,P557-(TBIcalc!$Q$9),""),"")</f>
        <v>0.60200000000000009</v>
      </c>
      <c r="R557" s="275">
        <f>IFERROR(INDEX('Ashed teabags dry'!$K$2:$K$2000,MATCH(K557,'Ashed teabags dry'!$A$2:$A$2000,0)),"")</f>
        <v>20.407259849490842</v>
      </c>
      <c r="S557" s="275">
        <f t="shared" si="42"/>
        <v>0.47914829570606521</v>
      </c>
      <c r="T557" s="265">
        <f>IF('Dry_Litterbag Placem_Collection'!E118="","",'Dry_Litterbag Placem_Collection'!E118)</f>
        <v>42939</v>
      </c>
      <c r="U557" s="265">
        <f>IF('Dry_Litterbag Placem_Collection'!G118="","",'Dry_Litterbag Placem_Collection'!G118)</f>
        <v>43008</v>
      </c>
      <c r="V557" s="266">
        <f t="shared" si="40"/>
        <v>69</v>
      </c>
      <c r="W557" s="264">
        <f t="shared" si="43"/>
        <v>1.1731999999999998</v>
      </c>
      <c r="X557" s="264">
        <f t="shared" si="44"/>
        <v>1.1981535839981134</v>
      </c>
      <c r="Y557" s="268">
        <f>IFERROR(INDEX(Rainfall_Dry!$O$2:$O$217,MATCH(B557, Rainfall_Dry!$A$2:$A$217,0)),"")</f>
        <v>136.27214243</v>
      </c>
      <c r="Z557" s="257">
        <v>27.96</v>
      </c>
      <c r="AA557" s="257">
        <v>4.9200000000000017</v>
      </c>
      <c r="AB557" s="257">
        <v>67.12</v>
      </c>
      <c r="AC557" s="258" t="s">
        <v>2654</v>
      </c>
      <c r="AD557" s="257">
        <v>3.8861015278462299</v>
      </c>
      <c r="AE557">
        <f>IF('WetLitterbags placem_collection'!AB118="","",'WetLitterbags placem_collection'!AB118)</f>
        <v>22.5</v>
      </c>
      <c r="AF557">
        <f>IF('WetLitterbags placem_collection'!Z118="","",'WetLitterbags placem_collection'!Z118)</f>
        <v>76</v>
      </c>
      <c r="AG557" s="243" t="str">
        <f>IF('WetLitterbags placem_collection'!AA118="","",'WetLitterbags placem_collection'!AA118)</f>
        <v>G</v>
      </c>
      <c r="AH557">
        <f>IF('WetLitterbags placem_collection'!AC118="","",'WetLitterbags placem_collection'!AC118)</f>
        <v>1</v>
      </c>
      <c r="AI557">
        <f>IFERROR(AVERAGE('Dry_Litterbag Placem_Collection'!O118,'Dry_Litterbag Placem_Collection'!R118),"")</f>
        <v>8.65</v>
      </c>
      <c r="AJ557" s="268">
        <f>IFERROR(AVERAGE('Dry_Litterbag Placem_Collection'!N118,'Dry_Litterbag Placem_Collection'!Q118),"")</f>
        <v>29.799999999999997</v>
      </c>
      <c r="AK557" s="267">
        <f>INDEX(Coordinates!$B$2:$B$197,MATCH(H557,Coordinates!$J$2:$J$197,0))</f>
        <v>-2.3488120270000001</v>
      </c>
      <c r="AL557" s="267">
        <f>INDEX(Coordinates!$C$2:$C$197,MATCH(H557,Coordinates!$J$2:$J$197,0))</f>
        <v>34.05146697</v>
      </c>
      <c r="AM557" s="267" t="str">
        <f>IF(ISNUMBER(SEARCH("C", 'Dry_Litterbag Placem_Collection'!U118)),"YES","NO")</f>
        <v>NO</v>
      </c>
      <c r="AN557" s="267" t="str">
        <f>IF(ISNUMBER(SEARCH("H", 'Dry_Litterbag Placem_Collection'!U118)),"YES","NO")</f>
        <v>NO</v>
      </c>
      <c r="AO557" s="267" t="str">
        <f>IF(ISNUMBER(SEARCH("R", 'Dry_Litterbag Placem_Collection'!U118)),"YES","NO")</f>
        <v>NO</v>
      </c>
    </row>
    <row r="558" spans="1:41" ht="15" customHeight="1">
      <c r="A558" s="259" t="s">
        <v>2643</v>
      </c>
      <c r="B558" s="260">
        <f>'Dry_Litterbag Placem_Collection'!A119</f>
        <v>117</v>
      </c>
      <c r="C558" s="260" t="str">
        <f>'Dry_Litterbag Placem_Collection'!B119</f>
        <v xml:space="preserve">Mwantimba
</v>
      </c>
      <c r="D558" s="260" t="s">
        <v>2454</v>
      </c>
      <c r="E558" s="260" t="s">
        <v>2644</v>
      </c>
      <c r="F558" s="260">
        <v>3</v>
      </c>
      <c r="G558" s="260" t="s">
        <v>3818</v>
      </c>
      <c r="H558" s="261" t="str">
        <f>'Dry_Litterbag Placem_Collection'!C119</f>
        <v>Wet_Ag3_T5</v>
      </c>
      <c r="I558" s="270" t="s">
        <v>3630</v>
      </c>
      <c r="J558" s="263" t="s">
        <v>1147</v>
      </c>
      <c r="K558" s="260" t="str">
        <f>IF(ISBLANK('Dry_Litterbag Placem_Collection'!L119),"","G"&amp;""&amp;'Dry_Litterbag Placem_Collection'!L119)</f>
        <v>G163</v>
      </c>
      <c r="L558" s="264">
        <f>IFERROR(INDEX('Green_rooibos initial weight'!$C$5:$C$2000,MATCH(K558, 'Green_rooibos initial weight'!$A$5:$A$2000,0)),"")</f>
        <v>2.04</v>
      </c>
      <c r="M558" s="264">
        <f>IFERROR(L558-(TBIcalc!$Q$9+TBIcalc!$Q$10),"")</f>
        <v>1.7902</v>
      </c>
      <c r="N558" s="385">
        <f>AVERAGE(Ashed_controlls!$K$2:$K$11)</f>
        <v>5.5147656768714146</v>
      </c>
      <c r="O558" s="264">
        <f t="shared" si="41"/>
        <v>1.691474664852648</v>
      </c>
      <c r="P558" s="264" t="str">
        <f>IFERROR(INDEX('Both teabags AfterDry'!$D$2:$D$2000,MATCH(K558,'Both teabags AfterDry'!$A$2:$A$2000,0)),"")</f>
        <v/>
      </c>
      <c r="Q558" s="264" t="str">
        <f>IFERROR(IF(P558&gt;0,P558-(TBIcalc!$Q$9),""),"")</f>
        <v/>
      </c>
      <c r="R558" s="275" t="str">
        <f>IFERROR(INDEX('Ashed teabags dry'!$K$2:$K$2000,MATCH(K558,'Ashed teabags dry'!$A$2:$A$2000,0)),"")</f>
        <v/>
      </c>
      <c r="S558" s="275" t="str">
        <f t="shared" si="42"/>
        <v/>
      </c>
      <c r="T558" s="265">
        <f>IF('Dry_Litterbag Placem_Collection'!E119="","",'Dry_Litterbag Placem_Collection'!E119)</f>
        <v>42939</v>
      </c>
      <c r="U558" s="265">
        <f>IF('Dry_Litterbag Placem_Collection'!G119="","",'Dry_Litterbag Placem_Collection'!G119)</f>
        <v>43008</v>
      </c>
      <c r="V558" s="266">
        <f t="shared" si="40"/>
        <v>69</v>
      </c>
      <c r="W558" s="264" t="str">
        <f t="shared" si="43"/>
        <v/>
      </c>
      <c r="X558" s="264" t="str">
        <f t="shared" si="44"/>
        <v/>
      </c>
      <c r="Y558" s="268">
        <f>IFERROR(INDEX(Rainfall_Dry!$O$2:$O$217,MATCH(B558, Rainfall_Dry!$A$2:$A$217,0)),"")</f>
        <v>136.27214243</v>
      </c>
      <c r="Z558" s="257">
        <v>27.96</v>
      </c>
      <c r="AA558" s="257">
        <v>4.9200000000000017</v>
      </c>
      <c r="AB558" s="257">
        <v>67.12</v>
      </c>
      <c r="AC558" s="258" t="s">
        <v>2654</v>
      </c>
      <c r="AD558" s="257">
        <v>4.8861015278462299</v>
      </c>
      <c r="AE558">
        <f>IF('WetLitterbags placem_collection'!AB119="","",'WetLitterbags placem_collection'!AB119)</f>
        <v>23.5</v>
      </c>
      <c r="AF558">
        <f>IF('WetLitterbags placem_collection'!Z119="","",'WetLitterbags placem_collection'!Z119)</f>
        <v>76</v>
      </c>
      <c r="AG558" s="243" t="str">
        <f>IF('WetLitterbags placem_collection'!AA119="","",'WetLitterbags placem_collection'!AA119)</f>
        <v>G</v>
      </c>
      <c r="AH558">
        <f>IF('WetLitterbags placem_collection'!AC119="","",'WetLitterbags placem_collection'!AC119)</f>
        <v>1</v>
      </c>
      <c r="AI558">
        <f>IFERROR(AVERAGE('Dry_Litterbag Placem_Collection'!O119,'Dry_Litterbag Placem_Collection'!R119),"")</f>
        <v>10.149999999999999</v>
      </c>
      <c r="AJ558" s="268">
        <f>IFERROR(AVERAGE('Dry_Litterbag Placem_Collection'!N119,'Dry_Litterbag Placem_Collection'!Q119),"")</f>
        <v>29.05</v>
      </c>
      <c r="AK558" s="267">
        <f>INDEX(Coordinates!$B$2:$B$197,MATCH(H558,Coordinates!$J$2:$J$197,0))</f>
        <v>-2.348814961</v>
      </c>
      <c r="AL558" s="267">
        <f>INDEX(Coordinates!$C$2:$C$197,MATCH(H558,Coordinates!$J$2:$J$197,0))</f>
        <v>34.051439979999998</v>
      </c>
      <c r="AM558" s="267" t="str">
        <f>IF(ISNUMBER(SEARCH("C", 'Dry_Litterbag Placem_Collection'!U119)),"YES","NO")</f>
        <v>NO</v>
      </c>
      <c r="AN558" s="267" t="str">
        <f>IF(ISNUMBER(SEARCH("H", 'Dry_Litterbag Placem_Collection'!U119)),"YES","NO")</f>
        <v>NO</v>
      </c>
      <c r="AO558" s="267" t="str">
        <f>IF(ISNUMBER(SEARCH("R", 'Dry_Litterbag Placem_Collection'!U119)),"YES","NO")</f>
        <v>NO</v>
      </c>
    </row>
    <row r="559" spans="1:41" ht="15" customHeight="1">
      <c r="A559" s="259" t="s">
        <v>2643</v>
      </c>
      <c r="B559" s="260">
        <f>'Dry_Litterbag Placem_Collection'!A120</f>
        <v>118</v>
      </c>
      <c r="C559" s="260" t="str">
        <f>'Dry_Litterbag Placem_Collection'!B120</f>
        <v xml:space="preserve">Mwantimba
</v>
      </c>
      <c r="D559" s="260" t="s">
        <v>2454</v>
      </c>
      <c r="E559" s="260" t="s">
        <v>2644</v>
      </c>
      <c r="F559" s="260">
        <v>3</v>
      </c>
      <c r="G559" s="260" t="s">
        <v>3818</v>
      </c>
      <c r="H559" s="261" t="str">
        <f>'Dry_Litterbag Placem_Collection'!C120</f>
        <v>Wet_Ag3_T6</v>
      </c>
      <c r="I559" s="270" t="s">
        <v>3630</v>
      </c>
      <c r="J559" s="263" t="s">
        <v>1147</v>
      </c>
      <c r="K559" s="260" t="str">
        <f>IF(ISBLANK('Dry_Litterbag Placem_Collection'!L120),"","G"&amp;""&amp;'Dry_Litterbag Placem_Collection'!L120)</f>
        <v>G83</v>
      </c>
      <c r="L559" s="264">
        <f>IFERROR(INDEX('Green_rooibos initial weight'!$C$5:$C$2000,MATCH(K559, 'Green_rooibos initial weight'!$A$5:$A$2000,0)),"")</f>
        <v>2.0209999999999999</v>
      </c>
      <c r="M559" s="264">
        <f>IFERROR(L559-(TBIcalc!$Q$9+TBIcalc!$Q$10),"")</f>
        <v>1.7711999999999999</v>
      </c>
      <c r="N559" s="385">
        <f>AVERAGE(Ashed_controlls!$K$2:$K$11)</f>
        <v>5.5147656768714146</v>
      </c>
      <c r="O559" s="264">
        <f t="shared" si="41"/>
        <v>1.6735224703312535</v>
      </c>
      <c r="P559" s="264">
        <f>IFERROR(INDEX('Both teabags AfterDry'!$D$2:$D$2000,MATCH(K559,'Both teabags AfterDry'!$A$2:$A$2000,0)),"")</f>
        <v>0.81779999999999997</v>
      </c>
      <c r="Q559" s="264">
        <f>IFERROR(IF(P559&gt;0,P559-(TBIcalc!$Q$9),""),"")</f>
        <v>0.66720000000000002</v>
      </c>
      <c r="R559" s="275">
        <f>IFERROR(INDEX('Ashed teabags dry'!$K$2:$K$2000,MATCH(K559,'Ashed teabags dry'!$A$2:$A$2000,0)),"")</f>
        <v>31.832094446874049</v>
      </c>
      <c r="S559" s="275">
        <f t="shared" si="42"/>
        <v>0.45481626585045637</v>
      </c>
      <c r="T559" s="265">
        <f>IF('Dry_Litterbag Placem_Collection'!E120="","",'Dry_Litterbag Placem_Collection'!E120)</f>
        <v>42939</v>
      </c>
      <c r="U559" s="265">
        <f>IF('Dry_Litterbag Placem_Collection'!G120="","",'Dry_Litterbag Placem_Collection'!G120)</f>
        <v>43008</v>
      </c>
      <c r="V559" s="266">
        <f t="shared" si="40"/>
        <v>69</v>
      </c>
      <c r="W559" s="264">
        <f t="shared" si="43"/>
        <v>1.1039999999999999</v>
      </c>
      <c r="X559" s="264">
        <f t="shared" si="44"/>
        <v>1.218706204480797</v>
      </c>
      <c r="Y559" s="268">
        <f>IFERROR(INDEX(Rainfall_Dry!$O$2:$O$217,MATCH(B559, Rainfall_Dry!$A$2:$A$217,0)),"")</f>
        <v>136.27214243</v>
      </c>
      <c r="Z559" s="257">
        <v>27.96</v>
      </c>
      <c r="AA559" s="257">
        <v>4.9200000000000017</v>
      </c>
      <c r="AB559" s="257">
        <v>67.12</v>
      </c>
      <c r="AC559" s="258" t="s">
        <v>2654</v>
      </c>
      <c r="AD559" s="257">
        <v>5.8861015278462299</v>
      </c>
      <c r="AE559">
        <f>IF('WetLitterbags placem_collection'!AB120="","",'WetLitterbags placem_collection'!AB120)</f>
        <v>17.5</v>
      </c>
      <c r="AF559">
        <f>IF('WetLitterbags placem_collection'!Z120="","",'WetLitterbags placem_collection'!Z120)</f>
        <v>70.5</v>
      </c>
      <c r="AG559" s="243" t="str">
        <f>IF('WetLitterbags placem_collection'!AA120="","",'WetLitterbags placem_collection'!AA120)</f>
        <v>G</v>
      </c>
      <c r="AH559">
        <f>IF('WetLitterbags placem_collection'!AC120="","",'WetLitterbags placem_collection'!AC120)</f>
        <v>1</v>
      </c>
      <c r="AI559">
        <f>IFERROR(AVERAGE('Dry_Litterbag Placem_Collection'!O120,'Dry_Litterbag Placem_Collection'!R120),"")</f>
        <v>7.8000000000000007</v>
      </c>
      <c r="AJ559" s="268">
        <f>IFERROR(AVERAGE('Dry_Litterbag Placem_Collection'!N120,'Dry_Litterbag Placem_Collection'!Q120),"")</f>
        <v>28.25</v>
      </c>
      <c r="AK559" s="267">
        <f>INDEX(Coordinates!$B$2:$B$197,MATCH(H559,Coordinates!$J$2:$J$197,0))</f>
        <v>-2.3488729629999998</v>
      </c>
      <c r="AL559" s="267">
        <f>INDEX(Coordinates!$C$2:$C$197,MATCH(H559,Coordinates!$J$2:$J$197,0))</f>
        <v>34.051454980000003</v>
      </c>
      <c r="AM559" s="267" t="str">
        <f>IF(ISNUMBER(SEARCH("C", 'Dry_Litterbag Placem_Collection'!U120)),"YES","NO")</f>
        <v>NO</v>
      </c>
      <c r="AN559" s="267" t="str">
        <f>IF(ISNUMBER(SEARCH("H", 'Dry_Litterbag Placem_Collection'!U120)),"YES","NO")</f>
        <v>NO</v>
      </c>
      <c r="AO559" s="267" t="str">
        <f>IF(ISNUMBER(SEARCH("R", 'Dry_Litterbag Placem_Collection'!U120)),"YES","NO")</f>
        <v>YES</v>
      </c>
    </row>
    <row r="560" spans="1:41" ht="15" customHeight="1">
      <c r="A560" s="259" t="s">
        <v>2643</v>
      </c>
      <c r="B560" s="260">
        <f>'Dry_Litterbag Placem_Collection'!A121</f>
        <v>119</v>
      </c>
      <c r="C560" s="260" t="str">
        <f>'Dry_Litterbag Placem_Collection'!B121</f>
        <v xml:space="preserve">Mwantimba
</v>
      </c>
      <c r="D560" s="260" t="s">
        <v>2454</v>
      </c>
      <c r="E560" s="260" t="s">
        <v>2644</v>
      </c>
      <c r="F560" s="260">
        <v>3</v>
      </c>
      <c r="G560" s="260" t="s">
        <v>3818</v>
      </c>
      <c r="H560" s="261" t="str">
        <f>'Dry_Litterbag Placem_Collection'!C121</f>
        <v>Wet_Ag3_T7</v>
      </c>
      <c r="I560" s="270" t="s">
        <v>3630</v>
      </c>
      <c r="J560" s="263" t="s">
        <v>1147</v>
      </c>
      <c r="K560" s="260" t="str">
        <f>IF(ISBLANK('Dry_Litterbag Placem_Collection'!L121),"","G"&amp;""&amp;'Dry_Litterbag Placem_Collection'!L121)</f>
        <v>G159</v>
      </c>
      <c r="L560" s="264">
        <f>IFERROR(INDEX('Green_rooibos initial weight'!$C$5:$C$2000,MATCH(K560, 'Green_rooibos initial weight'!$A$5:$A$2000,0)),"")</f>
        <v>2.1419999999999999</v>
      </c>
      <c r="M560" s="264">
        <f>IFERROR(L560-(TBIcalc!$Q$9+TBIcalc!$Q$10),"")</f>
        <v>1.8921999999999999</v>
      </c>
      <c r="N560" s="385">
        <f>AVERAGE(Ashed_controlls!$K$2:$K$11)</f>
        <v>5.5147656768714146</v>
      </c>
      <c r="O560" s="264">
        <f t="shared" si="41"/>
        <v>1.7878496038622389</v>
      </c>
      <c r="P560" s="264">
        <f>IFERROR(INDEX('Both teabags AfterDry'!$D$2:$D$2000,MATCH(K560,'Both teabags AfterDry'!$A$2:$A$2000,0)),"")</f>
        <v>0.76990000000000003</v>
      </c>
      <c r="Q560" s="264">
        <f>IFERROR(IF(P560&gt;0,P560-(TBIcalc!$Q$9),""),"")</f>
        <v>0.61929999999999996</v>
      </c>
      <c r="R560" s="275">
        <f>IFERROR(INDEX('Ashed teabags dry'!$K$2:$K$2000,MATCH(K560,'Ashed teabags dry'!$A$2:$A$2000,0)),"")</f>
        <v>17.673992673993002</v>
      </c>
      <c r="S560" s="275">
        <f t="shared" si="42"/>
        <v>0.50984496336996132</v>
      </c>
      <c r="T560" s="265">
        <f>IF('Dry_Litterbag Placem_Collection'!E121="","",'Dry_Litterbag Placem_Collection'!E121)</f>
        <v>42939</v>
      </c>
      <c r="U560" s="265">
        <f>IF('Dry_Litterbag Placem_Collection'!G121="","",'Dry_Litterbag Placem_Collection'!G121)</f>
        <v>43008</v>
      </c>
      <c r="V560" s="266">
        <f t="shared" si="40"/>
        <v>69</v>
      </c>
      <c r="W560" s="264">
        <f t="shared" si="43"/>
        <v>1.2728999999999999</v>
      </c>
      <c r="X560" s="264">
        <f t="shared" si="44"/>
        <v>1.2780046404922776</v>
      </c>
      <c r="Y560" s="268">
        <f>IFERROR(INDEX(Rainfall_Dry!$O$2:$O$217,MATCH(B560, Rainfall_Dry!$A$2:$A$217,0)),"")</f>
        <v>136.27214243</v>
      </c>
      <c r="Z560" s="257">
        <v>27.96</v>
      </c>
      <c r="AA560" s="257">
        <v>4.9200000000000017</v>
      </c>
      <c r="AB560" s="257">
        <v>67.12</v>
      </c>
      <c r="AC560" s="258" t="s">
        <v>2654</v>
      </c>
      <c r="AD560" s="257">
        <v>6.8861015278462299</v>
      </c>
      <c r="AE560">
        <f>IF('WetLitterbags placem_collection'!AB121="","",'WetLitterbags placem_collection'!AB121)</f>
        <v>18.5</v>
      </c>
      <c r="AF560">
        <f>IF('WetLitterbags placem_collection'!Z121="","",'WetLitterbags placem_collection'!Z121)</f>
        <v>74.5</v>
      </c>
      <c r="AG560" s="243" t="str">
        <f>IF('WetLitterbags placem_collection'!AA121="","",'WetLitterbags placem_collection'!AA121)</f>
        <v>G</v>
      </c>
      <c r="AH560">
        <f>IF('WetLitterbags placem_collection'!AC121="","",'WetLitterbags placem_collection'!AC121)</f>
        <v>1</v>
      </c>
      <c r="AI560">
        <f>IFERROR(AVERAGE('Dry_Litterbag Placem_Collection'!O121,'Dry_Litterbag Placem_Collection'!R121),"")</f>
        <v>10.050000000000001</v>
      </c>
      <c r="AJ560" s="268">
        <f>IFERROR(AVERAGE('Dry_Litterbag Placem_Collection'!N121,'Dry_Litterbag Placem_Collection'!Q121),"")</f>
        <v>27.95</v>
      </c>
      <c r="AK560" s="267">
        <f>INDEX(Coordinates!$B$2:$B$197,MATCH(H560,Coordinates!$J$2:$J$197,0))</f>
        <v>-2.3488589659999999</v>
      </c>
      <c r="AL560" s="267">
        <f>INDEX(Coordinates!$C$2:$C$197,MATCH(H560,Coordinates!$J$2:$J$197,0))</f>
        <v>34.051389010000001</v>
      </c>
      <c r="AM560" s="267" t="str">
        <f>IF(ISNUMBER(SEARCH("C", 'Dry_Litterbag Placem_Collection'!U121)),"YES","NO")</f>
        <v>NO</v>
      </c>
      <c r="AN560" s="267" t="str">
        <f>IF(ISNUMBER(SEARCH("H", 'Dry_Litterbag Placem_Collection'!U121)),"YES","NO")</f>
        <v>NO</v>
      </c>
      <c r="AO560" s="267" t="str">
        <f>IF(ISNUMBER(SEARCH("R", 'Dry_Litterbag Placem_Collection'!U121)),"YES","NO")</f>
        <v>YES</v>
      </c>
    </row>
    <row r="561" spans="1:41" ht="15" customHeight="1">
      <c r="A561" s="259" t="s">
        <v>2643</v>
      </c>
      <c r="B561" s="260">
        <f>'Dry_Litterbag Placem_Collection'!A122</f>
        <v>120</v>
      </c>
      <c r="C561" s="260" t="str">
        <f>'Dry_Litterbag Placem_Collection'!B122</f>
        <v xml:space="preserve">Mwantimba
</v>
      </c>
      <c r="D561" s="260" t="s">
        <v>2454</v>
      </c>
      <c r="E561" s="260" t="s">
        <v>2644</v>
      </c>
      <c r="F561" s="260">
        <v>3</v>
      </c>
      <c r="G561" s="260" t="s">
        <v>3818</v>
      </c>
      <c r="H561" s="261" t="str">
        <f>'Dry_Litterbag Placem_Collection'!C122</f>
        <v>Wet_Ag3_T8</v>
      </c>
      <c r="I561" s="270" t="s">
        <v>3630</v>
      </c>
      <c r="J561" s="263" t="s">
        <v>1147</v>
      </c>
      <c r="K561" s="260" t="str">
        <f>IF(ISBLANK('Dry_Litterbag Placem_Collection'!L122),"","G"&amp;""&amp;'Dry_Litterbag Placem_Collection'!L122)</f>
        <v/>
      </c>
      <c r="L561" s="264" t="str">
        <f>IFERROR(INDEX('Green_rooibos initial weight'!$C$5:$C$2000,MATCH(K561, 'Green_rooibos initial weight'!$A$5:$A$2000,0)),"")</f>
        <v/>
      </c>
      <c r="M561" s="264" t="str">
        <f>IFERROR(L561-(TBIcalc!$Q$9+TBIcalc!$Q$10),"")</f>
        <v/>
      </c>
      <c r="N561" s="385">
        <f>AVERAGE(Ashed_controlls!$K$2:$K$11)</f>
        <v>5.5147656768714146</v>
      </c>
      <c r="O561" s="264" t="str">
        <f t="shared" si="41"/>
        <v/>
      </c>
      <c r="P561" s="264" t="str">
        <f>IFERROR(INDEX('Both teabags AfterDry'!$D$2:$D$2000,MATCH(K561,'Both teabags AfterDry'!$A$2:$A$2000,0)),"")</f>
        <v/>
      </c>
      <c r="Q561" s="264" t="str">
        <f>IFERROR(IF(P561&gt;0,P561-(TBIcalc!$Q$9),""),"")</f>
        <v/>
      </c>
      <c r="R561" s="275" t="str">
        <f>IFERROR(INDEX('Ashed teabags dry'!$K$2:$K$2000,MATCH(K561,'Ashed teabags dry'!$A$2:$A$2000,0)),"")</f>
        <v/>
      </c>
      <c r="S561" s="275" t="str">
        <f t="shared" si="42"/>
        <v/>
      </c>
      <c r="T561" s="265" t="str">
        <f>IF('Dry_Litterbag Placem_Collection'!E122="","",'Dry_Litterbag Placem_Collection'!E122)</f>
        <v/>
      </c>
      <c r="U561" s="265" t="str">
        <f>IF('Dry_Litterbag Placem_Collection'!G122="","",'Dry_Litterbag Placem_Collection'!G122)</f>
        <v/>
      </c>
      <c r="V561" s="266" t="str">
        <f t="shared" si="40"/>
        <v/>
      </c>
      <c r="W561" s="264" t="str">
        <f t="shared" si="43"/>
        <v/>
      </c>
      <c r="X561" s="264" t="str">
        <f t="shared" si="44"/>
        <v/>
      </c>
      <c r="Y561" s="268" t="str">
        <f>IFERROR(INDEX(Rainfall_Dry!$O$2:$O$217,MATCH(B561, Rainfall_Dry!$A$2:$A$217,0)),"")</f>
        <v/>
      </c>
      <c r="Z561" s="257">
        <v>27.96</v>
      </c>
      <c r="AA561" s="257">
        <v>4.9200000000000017</v>
      </c>
      <c r="AB561" s="257">
        <v>67.12</v>
      </c>
      <c r="AC561" s="258" t="s">
        <v>2654</v>
      </c>
      <c r="AD561" s="257">
        <v>7.8861015278462299</v>
      </c>
      <c r="AE561">
        <f>IF('WetLitterbags placem_collection'!AB122="","",'WetLitterbags placem_collection'!AB122)</f>
        <v>19</v>
      </c>
      <c r="AF561">
        <f>IF('WetLitterbags placem_collection'!Z122="","",'WetLitterbags placem_collection'!Z122)</f>
        <v>98.5</v>
      </c>
      <c r="AG561" s="243" t="str">
        <f>IF('WetLitterbags placem_collection'!AA122="","",'WetLitterbags placem_collection'!AA122)</f>
        <v>G</v>
      </c>
      <c r="AH561">
        <f>IF('WetLitterbags placem_collection'!AC122="","",'WetLitterbags placem_collection'!AC122)</f>
        <v>0</v>
      </c>
      <c r="AI561" t="str">
        <f>IFERROR(AVERAGE('Dry_Litterbag Placem_Collection'!O122,'Dry_Litterbag Placem_Collection'!R122),"")</f>
        <v/>
      </c>
      <c r="AJ561" s="268" t="str">
        <f>IFERROR(AVERAGE('Dry_Litterbag Placem_Collection'!N122,'Dry_Litterbag Placem_Collection'!Q122),"")</f>
        <v/>
      </c>
      <c r="AK561" s="267">
        <f>INDEX(Coordinates!$B$2:$B$197,MATCH(H561,Coordinates!$J$2:$J$197,0))</f>
        <v>-2.3486449760000001</v>
      </c>
      <c r="AL561" s="267">
        <f>INDEX(Coordinates!$C$2:$C$197,MATCH(H561,Coordinates!$J$2:$J$197,0))</f>
        <v>34.051495969999998</v>
      </c>
      <c r="AM561" s="267" t="str">
        <f>IF(ISNUMBER(SEARCH("C", 'Dry_Litterbag Placem_Collection'!U122)),"YES","NO")</f>
        <v>NO</v>
      </c>
      <c r="AN561" s="267" t="str">
        <f>IF(ISNUMBER(SEARCH("H", 'Dry_Litterbag Placem_Collection'!U122)),"YES","NO")</f>
        <v>NO</v>
      </c>
      <c r="AO561" s="267" t="str">
        <f>IF(ISNUMBER(SEARCH("R", 'Dry_Litterbag Placem_Collection'!U122)),"YES","NO")</f>
        <v>NO</v>
      </c>
    </row>
    <row r="562" spans="1:41" ht="15" customHeight="1">
      <c r="A562" s="259" t="s">
        <v>2643</v>
      </c>
      <c r="B562" s="260">
        <f>'Dry_Litterbag Placem_Collection'!A123</f>
        <v>121</v>
      </c>
      <c r="C562" s="260" t="str">
        <f>'Dry_Litterbag Placem_Collection'!B123</f>
        <v xml:space="preserve">Mwantimba
</v>
      </c>
      <c r="D562" s="260" t="s">
        <v>2454</v>
      </c>
      <c r="E562" s="260" t="s">
        <v>2644</v>
      </c>
      <c r="F562" s="260">
        <v>4</v>
      </c>
      <c r="G562" s="260" t="s">
        <v>3819</v>
      </c>
      <c r="H562" s="261" t="str">
        <f>'Dry_Litterbag Placem_Collection'!C123</f>
        <v>Wet_Ag4_T1</v>
      </c>
      <c r="I562" s="270" t="s">
        <v>3630</v>
      </c>
      <c r="J562" s="263" t="s">
        <v>1147</v>
      </c>
      <c r="K562" s="260" t="str">
        <f>IF(ISBLANK('Dry_Litterbag Placem_Collection'!L123),"","G"&amp;""&amp;'Dry_Litterbag Placem_Collection'!L123)</f>
        <v>G16</v>
      </c>
      <c r="L562" s="264">
        <f>IFERROR(INDEX('Green_rooibos initial weight'!$C$5:$C$2000,MATCH(K562, 'Green_rooibos initial weight'!$A$5:$A$2000,0)),"")</f>
        <v>1.9410000000000001</v>
      </c>
      <c r="M562" s="264">
        <f>IFERROR(L562-(TBIcalc!$Q$9+TBIcalc!$Q$10),"")</f>
        <v>1.6912</v>
      </c>
      <c r="N562" s="385">
        <f>AVERAGE(Ashed_controlls!$K$2:$K$11)</f>
        <v>5.5147656768714146</v>
      </c>
      <c r="O562" s="264">
        <f t="shared" si="41"/>
        <v>1.5979342828727507</v>
      </c>
      <c r="P562" s="264" t="str">
        <f>IFERROR(INDEX('Both teabags AfterDry'!$D$2:$D$2000,MATCH(K562,'Both teabags AfterDry'!$A$2:$A$2000,0)),"")</f>
        <v/>
      </c>
      <c r="Q562" s="264" t="str">
        <f>IFERROR(IF(P562&gt;0,P562-(TBIcalc!$Q$9),""),"")</f>
        <v/>
      </c>
      <c r="R562" s="275" t="str">
        <f>IFERROR(INDEX('Ashed teabags dry'!$K$2:$K$2000,MATCH(K562,'Ashed teabags dry'!$A$2:$A$2000,0)),"")</f>
        <v/>
      </c>
      <c r="S562" s="275" t="str">
        <f t="shared" si="42"/>
        <v/>
      </c>
      <c r="T562" s="265">
        <f>IF('Dry_Litterbag Placem_Collection'!E123="","",'Dry_Litterbag Placem_Collection'!E123)</f>
        <v>42939</v>
      </c>
      <c r="U562" s="265">
        <f>IF('Dry_Litterbag Placem_Collection'!G123="","",'Dry_Litterbag Placem_Collection'!G123)</f>
        <v>43008</v>
      </c>
      <c r="V562" s="266">
        <f t="shared" si="40"/>
        <v>69</v>
      </c>
      <c r="W562" s="264" t="str">
        <f t="shared" si="43"/>
        <v/>
      </c>
      <c r="X562" s="264" t="str">
        <f t="shared" si="44"/>
        <v/>
      </c>
      <c r="Y562" s="268">
        <f>IFERROR(INDEX(Rainfall_Dry!$O$2:$O$217,MATCH(B562, Rainfall_Dry!$A$2:$A$217,0)),"")</f>
        <v>136.27214243</v>
      </c>
      <c r="Z562" s="257">
        <v>17.96</v>
      </c>
      <c r="AA562" s="257">
        <v>4.9199999999999982</v>
      </c>
      <c r="AB562" s="257">
        <v>77.12</v>
      </c>
      <c r="AC562" s="258" t="s">
        <v>2655</v>
      </c>
      <c r="AD562" s="257">
        <v>2.0220798422868409</v>
      </c>
      <c r="AE562">
        <f>IF('WetLitterbags placem_collection'!AB123="","",'WetLitterbags placem_collection'!AB123)</f>
        <v>9.65</v>
      </c>
      <c r="AF562">
        <f>IF('WetLitterbags placem_collection'!Z123="","",'WetLitterbags placem_collection'!Z123)</f>
        <v>63</v>
      </c>
      <c r="AG562" s="243" t="str">
        <f>IF('WetLitterbags placem_collection'!AA123="","",'WetLitterbags placem_collection'!AA123)</f>
        <v>G</v>
      </c>
      <c r="AH562">
        <f>IF('WetLitterbags placem_collection'!AC123="","",'WetLitterbags placem_collection'!AC123)</f>
        <v>0</v>
      </c>
      <c r="AI562">
        <f>IFERROR(AVERAGE('Dry_Litterbag Placem_Collection'!O123,'Dry_Litterbag Placem_Collection'!R123),"")</f>
        <v>5.5</v>
      </c>
      <c r="AJ562" s="268">
        <f>IFERROR(AVERAGE('Dry_Litterbag Placem_Collection'!N123,'Dry_Litterbag Placem_Collection'!Q123),"")</f>
        <v>29.1</v>
      </c>
      <c r="AK562" s="267">
        <f>INDEX(Coordinates!$B$2:$B$197,MATCH(H562,Coordinates!$J$2:$J$197,0))</f>
        <v>-2.3492639789999998</v>
      </c>
      <c r="AL562" s="267">
        <f>INDEX(Coordinates!$C$2:$C$197,MATCH(H562,Coordinates!$J$2:$J$197,0))</f>
        <v>34.051464029999998</v>
      </c>
      <c r="AM562" s="267" t="str">
        <f>IF(ISNUMBER(SEARCH("C", 'Dry_Litterbag Placem_Collection'!U123)),"YES","NO")</f>
        <v>NO</v>
      </c>
      <c r="AN562" s="267" t="str">
        <f>IF(ISNUMBER(SEARCH("H", 'Dry_Litterbag Placem_Collection'!U123)),"YES","NO")</f>
        <v>NO</v>
      </c>
      <c r="AO562" s="267" t="str">
        <f>IF(ISNUMBER(SEARCH("R", 'Dry_Litterbag Placem_Collection'!U123)),"YES","NO")</f>
        <v>NO</v>
      </c>
    </row>
    <row r="563" spans="1:41" ht="15" customHeight="1">
      <c r="A563" s="259" t="s">
        <v>2643</v>
      </c>
      <c r="B563" s="260">
        <f>'Dry_Litterbag Placem_Collection'!A124</f>
        <v>122</v>
      </c>
      <c r="C563" s="260" t="str">
        <f>'Dry_Litterbag Placem_Collection'!B124</f>
        <v xml:space="preserve">Mwantimba
</v>
      </c>
      <c r="D563" s="260" t="s">
        <v>2454</v>
      </c>
      <c r="E563" s="260" t="s">
        <v>2644</v>
      </c>
      <c r="F563" s="260">
        <v>4</v>
      </c>
      <c r="G563" s="260" t="s">
        <v>3819</v>
      </c>
      <c r="H563" s="261" t="str">
        <f>'Dry_Litterbag Placem_Collection'!C124</f>
        <v>Wet_Ag4_T2</v>
      </c>
      <c r="I563" s="270" t="s">
        <v>3630</v>
      </c>
      <c r="J563" s="263" t="s">
        <v>1147</v>
      </c>
      <c r="K563" s="260" t="str">
        <f>IF(ISBLANK('Dry_Litterbag Placem_Collection'!L124),"","G"&amp;""&amp;'Dry_Litterbag Placem_Collection'!L124)</f>
        <v>G109</v>
      </c>
      <c r="L563" s="264">
        <f>IFERROR(INDEX('Green_rooibos initial weight'!$C$5:$C$2000,MATCH(K563, 'Green_rooibos initial weight'!$A$5:$A$2000,0)),"")</f>
        <v>1.992</v>
      </c>
      <c r="M563" s="264">
        <f>IFERROR(L563-(TBIcalc!$Q$9+TBIcalc!$Q$10),"")</f>
        <v>1.7422</v>
      </c>
      <c r="N563" s="385">
        <f>AVERAGE(Ashed_controlls!$K$2:$K$11)</f>
        <v>5.5147656768714146</v>
      </c>
      <c r="O563" s="264">
        <f t="shared" si="41"/>
        <v>1.6461217523775462</v>
      </c>
      <c r="P563" s="264">
        <f>IFERROR(INDEX('Both teabags AfterDry'!$D$2:$D$2000,MATCH(K563,'Both teabags AfterDry'!$A$2:$A$2000,0)),"")</f>
        <v>0.67359999999999998</v>
      </c>
      <c r="Q563" s="264">
        <f>IFERROR(IF(P563&gt;0,P563-(TBIcalc!$Q$9),""),"")</f>
        <v>0.52299999999999991</v>
      </c>
      <c r="R563" s="275">
        <f>IFERROR(INDEX('Ashed teabags dry'!$K$2:$K$2000,MATCH(K563,'Ashed teabags dry'!$A$2:$A$2000,0)),"")</f>
        <v>17.174515235456546</v>
      </c>
      <c r="S563" s="275">
        <f t="shared" si="42"/>
        <v>0.4331772853185622</v>
      </c>
      <c r="T563" s="265">
        <f>IF('Dry_Litterbag Placem_Collection'!E124="","",'Dry_Litterbag Placem_Collection'!E124)</f>
        <v>42939</v>
      </c>
      <c r="U563" s="265">
        <f>IF('Dry_Litterbag Placem_Collection'!G124="","",'Dry_Litterbag Placem_Collection'!G124)</f>
        <v>43008</v>
      </c>
      <c r="V563" s="266">
        <f t="shared" si="40"/>
        <v>69</v>
      </c>
      <c r="W563" s="264">
        <f t="shared" si="43"/>
        <v>1.2192000000000001</v>
      </c>
      <c r="X563" s="264">
        <f t="shared" si="44"/>
        <v>1.212944467058984</v>
      </c>
      <c r="Y563" s="268">
        <f>IFERROR(INDEX(Rainfall_Dry!$O$2:$O$217,MATCH(B563, Rainfall_Dry!$A$2:$A$217,0)),"")</f>
        <v>136.27214243</v>
      </c>
      <c r="Z563" s="257">
        <v>17.96</v>
      </c>
      <c r="AA563" s="257">
        <v>4.9199999999999982</v>
      </c>
      <c r="AB563" s="257">
        <v>77.12</v>
      </c>
      <c r="AC563" s="258" t="s">
        <v>2655</v>
      </c>
      <c r="AD563" s="257">
        <v>3.02207984228684</v>
      </c>
      <c r="AE563">
        <f>IF('WetLitterbags placem_collection'!AB124="","",'WetLitterbags placem_collection'!AB124)</f>
        <v>3.1</v>
      </c>
      <c r="AF563">
        <f>IF('WetLitterbags placem_collection'!Z124="","",'WetLitterbags placem_collection'!Z124)</f>
        <v>53</v>
      </c>
      <c r="AG563" s="243" t="str">
        <f>IF('WetLitterbags placem_collection'!AA124="","",'WetLitterbags placem_collection'!AA124)</f>
        <v>G</v>
      </c>
      <c r="AH563">
        <f>IF('WetLitterbags placem_collection'!AC124="","",'WetLitterbags placem_collection'!AC124)</f>
        <v>0</v>
      </c>
      <c r="AI563">
        <f>IFERROR(AVERAGE('Dry_Litterbag Placem_Collection'!O124,'Dry_Litterbag Placem_Collection'!R124),"")</f>
        <v>9.0500000000000007</v>
      </c>
      <c r="AJ563" s="268">
        <f>IFERROR(AVERAGE('Dry_Litterbag Placem_Collection'!N124,'Dry_Litterbag Placem_Collection'!Q124),"")</f>
        <v>28.55</v>
      </c>
      <c r="AK563" s="267">
        <f>INDEX(Coordinates!$B$2:$B$197,MATCH(H563,Coordinates!$J$2:$J$197,0))</f>
        <v>-2.34923196</v>
      </c>
      <c r="AL563" s="267">
        <f>INDEX(Coordinates!$C$2:$C$197,MATCH(H563,Coordinates!$J$2:$J$197,0))</f>
        <v>34.051422039999999</v>
      </c>
      <c r="AM563" s="267" t="str">
        <f>IF(ISNUMBER(SEARCH("C", 'Dry_Litterbag Placem_Collection'!U124)),"YES","NO")</f>
        <v>NO</v>
      </c>
      <c r="AN563" s="267" t="str">
        <f>IF(ISNUMBER(SEARCH("H", 'Dry_Litterbag Placem_Collection'!U124)),"YES","NO")</f>
        <v>NO</v>
      </c>
      <c r="AO563" s="267" t="str">
        <f>IF(ISNUMBER(SEARCH("R", 'Dry_Litterbag Placem_Collection'!U124)),"YES","NO")</f>
        <v>NO</v>
      </c>
    </row>
    <row r="564" spans="1:41" ht="15" customHeight="1">
      <c r="A564" s="259" t="s">
        <v>2643</v>
      </c>
      <c r="B564" s="260">
        <f>'Dry_Litterbag Placem_Collection'!A125</f>
        <v>123</v>
      </c>
      <c r="C564" s="260" t="str">
        <f>'Dry_Litterbag Placem_Collection'!B125</f>
        <v xml:space="preserve">Mwantimba
</v>
      </c>
      <c r="D564" s="260" t="s">
        <v>2454</v>
      </c>
      <c r="E564" s="260" t="s">
        <v>2644</v>
      </c>
      <c r="F564" s="260">
        <v>4</v>
      </c>
      <c r="G564" s="260" t="s">
        <v>3819</v>
      </c>
      <c r="H564" s="261" t="str">
        <f>'Dry_Litterbag Placem_Collection'!C125</f>
        <v>Wet_Ag4_T3</v>
      </c>
      <c r="I564" s="270" t="s">
        <v>3630</v>
      </c>
      <c r="J564" s="263" t="s">
        <v>1147</v>
      </c>
      <c r="K564" s="260" t="str">
        <f>IF(ISBLANK('Dry_Litterbag Placem_Collection'!L125),"","G"&amp;""&amp;'Dry_Litterbag Placem_Collection'!L125)</f>
        <v>G344</v>
      </c>
      <c r="L564" s="264">
        <f>IFERROR(INDEX('Green_rooibos initial weight'!$C$5:$C$2000,MATCH(K564, 'Green_rooibos initial weight'!$A$5:$A$2000,0)),"")</f>
        <v>1.93</v>
      </c>
      <c r="M564" s="264">
        <f>IFERROR(L564-(TBIcalc!$Q$9+TBIcalc!$Q$10),"")</f>
        <v>1.6801999999999999</v>
      </c>
      <c r="N564" s="385">
        <f>AVERAGE(Ashed_controlls!$K$2:$K$11)</f>
        <v>5.5147656768714146</v>
      </c>
      <c r="O564" s="264">
        <f t="shared" si="41"/>
        <v>1.5875409070972064</v>
      </c>
      <c r="P564" s="264">
        <f>IFERROR(INDEX('Both teabags AfterDry'!$D$2:$D$2000,MATCH(K564,'Both teabags AfterDry'!$A$2:$A$2000,0)),"")</f>
        <v>0.78580000000000005</v>
      </c>
      <c r="Q564" s="264">
        <f>IFERROR(IF(P564&gt;0,P564-(TBIcalc!$Q$9),""),"")</f>
        <v>0.63519999999999999</v>
      </c>
      <c r="R564" s="275">
        <f>IFERROR(INDEX('Ashed teabags dry'!$K$2:$K$2000,MATCH(K564,'Ashed teabags dry'!$A$2:$A$2000,0)),"")</f>
        <v>19.618781961877247</v>
      </c>
      <c r="S564" s="275">
        <f t="shared" si="42"/>
        <v>0.51058149697815569</v>
      </c>
      <c r="T564" s="265">
        <f>IF('Dry_Litterbag Placem_Collection'!E125="","",'Dry_Litterbag Placem_Collection'!E125)</f>
        <v>42939</v>
      </c>
      <c r="U564" s="265">
        <f>IF('Dry_Litterbag Placem_Collection'!G125="","",'Dry_Litterbag Placem_Collection'!G125)</f>
        <v>43008</v>
      </c>
      <c r="V564" s="266">
        <f t="shared" si="40"/>
        <v>69</v>
      </c>
      <c r="W564" s="264">
        <f t="shared" si="43"/>
        <v>1.0449999999999999</v>
      </c>
      <c r="X564" s="264">
        <f t="shared" si="44"/>
        <v>1.0769594101190507</v>
      </c>
      <c r="Y564" s="268">
        <f>IFERROR(INDEX(Rainfall_Dry!$O$2:$O$217,MATCH(B564, Rainfall_Dry!$A$2:$A$217,0)),"")</f>
        <v>136.27214243</v>
      </c>
      <c r="Z564" s="257">
        <v>17.96</v>
      </c>
      <c r="AA564" s="257">
        <v>4.9199999999999982</v>
      </c>
      <c r="AB564" s="257">
        <v>77.12</v>
      </c>
      <c r="AC564" s="258" t="s">
        <v>2655</v>
      </c>
      <c r="AD564" s="257">
        <v>4.02207984228684</v>
      </c>
      <c r="AE564">
        <f>IF('WetLitterbags placem_collection'!AB125="","",'WetLitterbags placem_collection'!AB125)</f>
        <v>3.9</v>
      </c>
      <c r="AF564">
        <f>IF('WetLitterbags placem_collection'!Z125="","",'WetLitterbags placem_collection'!Z125)</f>
        <v>51</v>
      </c>
      <c r="AG564" s="243" t="str">
        <f>IF('WetLitterbags placem_collection'!AA125="","",'WetLitterbags placem_collection'!AA125)</f>
        <v>G</v>
      </c>
      <c r="AH564">
        <f>IF('WetLitterbags placem_collection'!AC125="","",'WetLitterbags placem_collection'!AC125)</f>
        <v>1</v>
      </c>
      <c r="AI564">
        <f>IFERROR(AVERAGE('Dry_Litterbag Placem_Collection'!O125,'Dry_Litterbag Placem_Collection'!R125),"")</f>
        <v>10.7</v>
      </c>
      <c r="AJ564" s="268">
        <f>IFERROR(AVERAGE('Dry_Litterbag Placem_Collection'!N125,'Dry_Litterbag Placem_Collection'!Q125),"")</f>
        <v>27.1</v>
      </c>
      <c r="AK564" s="267">
        <f>INDEX(Coordinates!$B$2:$B$197,MATCH(H564,Coordinates!$J$2:$J$197,0))</f>
        <v>-2.3492390009999999</v>
      </c>
      <c r="AL564" s="267">
        <f>INDEX(Coordinates!$C$2:$C$197,MATCH(H564,Coordinates!$J$2:$J$197,0))</f>
        <v>34.051304020000003</v>
      </c>
      <c r="AM564" s="267" t="str">
        <f>IF(ISNUMBER(SEARCH("C", 'Dry_Litterbag Placem_Collection'!U125)),"YES","NO")</f>
        <v>NO</v>
      </c>
      <c r="AN564" s="267" t="str">
        <f>IF(ISNUMBER(SEARCH("H", 'Dry_Litterbag Placem_Collection'!U125)),"YES","NO")</f>
        <v>NO</v>
      </c>
      <c r="AO564" s="267" t="str">
        <f>IF(ISNUMBER(SEARCH("R", 'Dry_Litterbag Placem_Collection'!U125)),"YES","NO")</f>
        <v>NO</v>
      </c>
    </row>
    <row r="565" spans="1:41" ht="15" customHeight="1">
      <c r="A565" s="259" t="s">
        <v>2643</v>
      </c>
      <c r="B565" s="260">
        <f>'Dry_Litterbag Placem_Collection'!A126</f>
        <v>124</v>
      </c>
      <c r="C565" s="260" t="str">
        <f>'Dry_Litterbag Placem_Collection'!B126</f>
        <v xml:space="preserve">Mwantimba
</v>
      </c>
      <c r="D565" s="260" t="s">
        <v>2454</v>
      </c>
      <c r="E565" s="260" t="s">
        <v>2644</v>
      </c>
      <c r="F565" s="260">
        <v>4</v>
      </c>
      <c r="G565" s="260" t="s">
        <v>3819</v>
      </c>
      <c r="H565" s="261" t="str">
        <f>'Dry_Litterbag Placem_Collection'!C126</f>
        <v>Wet_Ag4_T4</v>
      </c>
      <c r="I565" s="270" t="s">
        <v>3630</v>
      </c>
      <c r="J565" s="263" t="s">
        <v>1147</v>
      </c>
      <c r="K565" s="260" t="str">
        <f>IF(ISBLANK('Dry_Litterbag Placem_Collection'!L126),"","G"&amp;""&amp;'Dry_Litterbag Placem_Collection'!L126)</f>
        <v>G221</v>
      </c>
      <c r="L565" s="264">
        <f>IFERROR(INDEX('Green_rooibos initial weight'!$C$5:$C$2000,MATCH(K565, 'Green_rooibos initial weight'!$A$5:$A$2000,0)),"")</f>
        <v>2.004</v>
      </c>
      <c r="M565" s="264">
        <f>IFERROR(L565-(TBIcalc!$Q$9+TBIcalc!$Q$10),"")</f>
        <v>1.7542</v>
      </c>
      <c r="N565" s="385">
        <f>AVERAGE(Ashed_controlls!$K$2:$K$11)</f>
        <v>5.5147656768714146</v>
      </c>
      <c r="O565" s="264">
        <f t="shared" si="41"/>
        <v>1.6574599804963217</v>
      </c>
      <c r="P565" s="264">
        <f>IFERROR(INDEX('Both teabags AfterDry'!$D$2:$D$2000,MATCH(K565,'Both teabags AfterDry'!$A$2:$A$2000,0)),"")</f>
        <v>0.66700000000000004</v>
      </c>
      <c r="Q565" s="264">
        <f>IFERROR(IF(P565&gt;0,P565-(TBIcalc!$Q$9),""),"")</f>
        <v>0.51639999999999997</v>
      </c>
      <c r="R565" s="275">
        <f>IFERROR(INDEX('Ashed teabags dry'!$K$2:$K$2000,MATCH(K565,'Ashed teabags dry'!$A$2:$A$2000,0)),"")</f>
        <v>19.375305026842138</v>
      </c>
      <c r="S565" s="275">
        <f t="shared" si="42"/>
        <v>0.41634592484138716</v>
      </c>
      <c r="T565" s="265">
        <f>IF('Dry_Litterbag Placem_Collection'!E126="","",'Dry_Litterbag Placem_Collection'!E126)</f>
        <v>42939</v>
      </c>
      <c r="U565" s="265">
        <f>IF('Dry_Litterbag Placem_Collection'!G126="","",'Dry_Litterbag Placem_Collection'!G126)</f>
        <v>43008</v>
      </c>
      <c r="V565" s="266">
        <f t="shared" si="40"/>
        <v>69</v>
      </c>
      <c r="W565" s="264">
        <f t="shared" si="43"/>
        <v>1.2378</v>
      </c>
      <c r="X565" s="264">
        <f t="shared" si="44"/>
        <v>1.2411140556549345</v>
      </c>
      <c r="Y565" s="268">
        <f>IFERROR(INDEX(Rainfall_Dry!$O$2:$O$217,MATCH(B565, Rainfall_Dry!$A$2:$A$217,0)),"")</f>
        <v>136.27214243</v>
      </c>
      <c r="Z565" s="257">
        <v>17.96</v>
      </c>
      <c r="AA565" s="257">
        <v>4.9199999999999982</v>
      </c>
      <c r="AB565" s="257">
        <v>77.12</v>
      </c>
      <c r="AC565" s="258" t="s">
        <v>2655</v>
      </c>
      <c r="AD565" s="257">
        <v>5.02207984228684</v>
      </c>
      <c r="AE565">
        <f>IF('WetLitterbags placem_collection'!AB126="","",'WetLitterbags placem_collection'!AB126)</f>
        <v>5.45</v>
      </c>
      <c r="AF565">
        <f>IF('WetLitterbags placem_collection'!Z126="","",'WetLitterbags placem_collection'!Z126)</f>
        <v>47</v>
      </c>
      <c r="AG565" s="243" t="str">
        <f>IF('WetLitterbags placem_collection'!AA126="","",'WetLitterbags placem_collection'!AA126)</f>
        <v>G</v>
      </c>
      <c r="AH565">
        <f>IF('WetLitterbags placem_collection'!AC126="","",'WetLitterbags placem_collection'!AC126)</f>
        <v>1</v>
      </c>
      <c r="AI565">
        <f>IFERROR(AVERAGE('Dry_Litterbag Placem_Collection'!O126,'Dry_Litterbag Placem_Collection'!R126),"")</f>
        <v>9.15</v>
      </c>
      <c r="AJ565" s="268">
        <f>IFERROR(AVERAGE('Dry_Litterbag Placem_Collection'!N126,'Dry_Litterbag Placem_Collection'!Q126),"")</f>
        <v>28.05</v>
      </c>
      <c r="AK565" s="267">
        <f>INDEX(Coordinates!$B$2:$B$197,MATCH(H565,Coordinates!$J$2:$J$197,0))</f>
        <v>-2.3492799889999998</v>
      </c>
      <c r="AL565" s="267">
        <f>INDEX(Coordinates!$C$2:$C$197,MATCH(H565,Coordinates!$J$2:$J$197,0))</f>
        <v>34.051280970000001</v>
      </c>
      <c r="AM565" s="267" t="str">
        <f>IF(ISNUMBER(SEARCH("C", 'Dry_Litterbag Placem_Collection'!U126)),"YES","NO")</f>
        <v>NO</v>
      </c>
      <c r="AN565" s="267" t="str">
        <f>IF(ISNUMBER(SEARCH("H", 'Dry_Litterbag Placem_Collection'!U126)),"YES","NO")</f>
        <v>NO</v>
      </c>
      <c r="AO565" s="267" t="str">
        <f>IF(ISNUMBER(SEARCH("R", 'Dry_Litterbag Placem_Collection'!U126)),"YES","NO")</f>
        <v>NO</v>
      </c>
    </row>
    <row r="566" spans="1:41" ht="15" customHeight="1">
      <c r="A566" s="259" t="s">
        <v>2643</v>
      </c>
      <c r="B566" s="260">
        <f>'Dry_Litterbag Placem_Collection'!A127</f>
        <v>125</v>
      </c>
      <c r="C566" s="260" t="str">
        <f>'Dry_Litterbag Placem_Collection'!B127</f>
        <v xml:space="preserve">Mwantimba
</v>
      </c>
      <c r="D566" s="260" t="s">
        <v>2454</v>
      </c>
      <c r="E566" s="260" t="s">
        <v>2644</v>
      </c>
      <c r="F566" s="260">
        <v>4</v>
      </c>
      <c r="G566" s="260" t="s">
        <v>3819</v>
      </c>
      <c r="H566" s="261" t="str">
        <f>'Dry_Litterbag Placem_Collection'!C127</f>
        <v>Wet_Ag4_T5</v>
      </c>
      <c r="I566" s="270" t="s">
        <v>3630</v>
      </c>
      <c r="J566" s="263" t="s">
        <v>1147</v>
      </c>
      <c r="K566" s="260" t="str">
        <f>IF(ISBLANK('Dry_Litterbag Placem_Collection'!L127),"","G"&amp;""&amp;'Dry_Litterbag Placem_Collection'!L127)</f>
        <v>G757</v>
      </c>
      <c r="L566" s="264">
        <f>IFERROR(INDEX('Green_rooibos initial weight'!$C$5:$C$2000,MATCH(K566, 'Green_rooibos initial weight'!$A$5:$A$2000,0)),"")</f>
        <v>2.0670000000000002</v>
      </c>
      <c r="M566" s="264">
        <f>IFERROR(L566-(TBIcalc!$Q$9+TBIcalc!$Q$10),"")</f>
        <v>1.8172000000000001</v>
      </c>
      <c r="N566" s="385">
        <f>AVERAGE(Ashed_controlls!$K$2:$K$11)</f>
        <v>5.5147656768714146</v>
      </c>
      <c r="O566" s="264">
        <f t="shared" si="41"/>
        <v>1.7169856781198929</v>
      </c>
      <c r="P566" s="264">
        <f>IFERROR(INDEX('Both teabags AfterDry'!$D$2:$D$2000,MATCH(K566,'Both teabags AfterDry'!$A$2:$A$2000,0)),"")</f>
        <v>0.92230000000000001</v>
      </c>
      <c r="Q566" s="264">
        <f>IFERROR(IF(P566&gt;0,P566-(TBIcalc!$Q$9),""),"")</f>
        <v>0.77170000000000005</v>
      </c>
      <c r="R566" s="275">
        <f>IFERROR(INDEX('Ashed teabags dry'!$K$2:$K$2000,MATCH(K566,'Ashed teabags dry'!$A$2:$A$2000,0)),"")</f>
        <v>20.954254795868039</v>
      </c>
      <c r="S566" s="275">
        <f t="shared" si="42"/>
        <v>0.60999601574028639</v>
      </c>
      <c r="T566" s="265">
        <f>IF('Dry_Litterbag Placem_Collection'!E127="","",'Dry_Litterbag Placem_Collection'!E127)</f>
        <v>42939</v>
      </c>
      <c r="U566" s="265">
        <f>IF('Dry_Litterbag Placem_Collection'!G127="","",'Dry_Litterbag Placem_Collection'!G127)</f>
        <v>43008</v>
      </c>
      <c r="V566" s="266">
        <f t="shared" si="40"/>
        <v>69</v>
      </c>
      <c r="W566" s="264">
        <f t="shared" si="43"/>
        <v>1.0455000000000001</v>
      </c>
      <c r="X566" s="264">
        <f t="shared" si="44"/>
        <v>1.1069896623796065</v>
      </c>
      <c r="Y566" s="268">
        <f>IFERROR(INDEX(Rainfall_Dry!$O$2:$O$217,MATCH(B566, Rainfall_Dry!$A$2:$A$217,0)),"")</f>
        <v>136.27214243</v>
      </c>
      <c r="Z566" s="257">
        <v>17.96</v>
      </c>
      <c r="AA566" s="257">
        <v>4.9199999999999982</v>
      </c>
      <c r="AB566" s="257">
        <v>77.12</v>
      </c>
      <c r="AC566" s="258" t="s">
        <v>2655</v>
      </c>
      <c r="AD566" s="257">
        <v>6.02207984228684</v>
      </c>
      <c r="AE566">
        <f>IF('WetLitterbags placem_collection'!AB127="","",'WetLitterbags placem_collection'!AB127)</f>
        <v>9.3000000000000007</v>
      </c>
      <c r="AF566">
        <f>IF('WetLitterbags placem_collection'!Z127="","",'WetLitterbags placem_collection'!Z127)</f>
        <v>43</v>
      </c>
      <c r="AG566" s="243" t="str">
        <f>IF('WetLitterbags placem_collection'!AA127="","",'WetLitterbags placem_collection'!AA127)</f>
        <v>G</v>
      </c>
      <c r="AH566">
        <f>IF('WetLitterbags placem_collection'!AC127="","",'WetLitterbags placem_collection'!AC127)</f>
        <v>1</v>
      </c>
      <c r="AI566">
        <f>IFERROR(AVERAGE('Dry_Litterbag Placem_Collection'!O127,'Dry_Litterbag Placem_Collection'!R127),"")</f>
        <v>10.85</v>
      </c>
      <c r="AJ566" s="268">
        <f>IFERROR(AVERAGE('Dry_Litterbag Placem_Collection'!N127,'Dry_Litterbag Placem_Collection'!Q127),"")</f>
        <v>28.05</v>
      </c>
      <c r="AK566" s="267">
        <f>INDEX(Coordinates!$B$2:$B$197,MATCH(H566,Coordinates!$J$2:$J$197,0))</f>
        <v>-2.3493320400000002</v>
      </c>
      <c r="AL566" s="267">
        <f>INDEX(Coordinates!$C$2:$C$197,MATCH(H566,Coordinates!$J$2:$J$197,0))</f>
        <v>34.051321960000003</v>
      </c>
      <c r="AM566" s="267" t="str">
        <f>IF(ISNUMBER(SEARCH("C", 'Dry_Litterbag Placem_Collection'!U127)),"YES","NO")</f>
        <v>NO</v>
      </c>
      <c r="AN566" s="267" t="str">
        <f>IF(ISNUMBER(SEARCH("H", 'Dry_Litterbag Placem_Collection'!U127)),"YES","NO")</f>
        <v>NO</v>
      </c>
      <c r="AO566" s="267" t="str">
        <f>IF(ISNUMBER(SEARCH("R", 'Dry_Litterbag Placem_Collection'!U127)),"YES","NO")</f>
        <v>NO</v>
      </c>
    </row>
    <row r="567" spans="1:41" ht="15" customHeight="1">
      <c r="A567" s="259" t="s">
        <v>2643</v>
      </c>
      <c r="B567" s="260">
        <f>'Dry_Litterbag Placem_Collection'!A128</f>
        <v>126</v>
      </c>
      <c r="C567" s="260" t="str">
        <f>'Dry_Litterbag Placem_Collection'!B128</f>
        <v xml:space="preserve">Mwantimba
</v>
      </c>
      <c r="D567" s="260" t="s">
        <v>2454</v>
      </c>
      <c r="E567" s="260" t="s">
        <v>2644</v>
      </c>
      <c r="F567" s="260">
        <v>4</v>
      </c>
      <c r="G567" s="260" t="s">
        <v>3819</v>
      </c>
      <c r="H567" s="261" t="str">
        <f>'Dry_Litterbag Placem_Collection'!C128</f>
        <v>Wet_Ag4_T6</v>
      </c>
      <c r="I567" s="270" t="s">
        <v>3630</v>
      </c>
      <c r="J567" s="263" t="s">
        <v>1147</v>
      </c>
      <c r="K567" s="260" t="str">
        <f>IF(ISBLANK('Dry_Litterbag Placem_Collection'!L128),"","G"&amp;""&amp;'Dry_Litterbag Placem_Collection'!L128)</f>
        <v/>
      </c>
      <c r="L567" s="264" t="str">
        <f>IFERROR(INDEX('Green_rooibos initial weight'!$C$5:$C$2000,MATCH(K567, 'Green_rooibos initial weight'!$A$5:$A$2000,0)),"")</f>
        <v/>
      </c>
      <c r="M567" s="264" t="str">
        <f>IFERROR(L567-(TBIcalc!$Q$9+TBIcalc!$Q$10),"")</f>
        <v/>
      </c>
      <c r="N567" s="385">
        <f>AVERAGE(Ashed_controlls!$K$2:$K$11)</f>
        <v>5.5147656768714146</v>
      </c>
      <c r="O567" s="264" t="str">
        <f t="shared" si="41"/>
        <v/>
      </c>
      <c r="P567" s="264" t="str">
        <f>IFERROR(INDEX('Both teabags AfterDry'!$D$2:$D$2000,MATCH(K567,'Both teabags AfterDry'!$A$2:$A$2000,0)),"")</f>
        <v/>
      </c>
      <c r="Q567" s="264" t="str">
        <f>IFERROR(IF(P567&gt;0,P567-(TBIcalc!$Q$9),""),"")</f>
        <v/>
      </c>
      <c r="R567" s="275" t="str">
        <f>IFERROR(INDEX('Ashed teabags dry'!$K$2:$K$2000,MATCH(K567,'Ashed teabags dry'!$A$2:$A$2000,0)),"")</f>
        <v/>
      </c>
      <c r="S567" s="275" t="str">
        <f t="shared" si="42"/>
        <v/>
      </c>
      <c r="T567" s="265" t="str">
        <f>IF('Dry_Litterbag Placem_Collection'!E128="","",'Dry_Litterbag Placem_Collection'!E128)</f>
        <v/>
      </c>
      <c r="U567" s="265" t="str">
        <f>IF('Dry_Litterbag Placem_Collection'!G128="","",'Dry_Litterbag Placem_Collection'!G128)</f>
        <v/>
      </c>
      <c r="V567" s="266" t="str">
        <f t="shared" si="40"/>
        <v/>
      </c>
      <c r="W567" s="264" t="str">
        <f t="shared" si="43"/>
        <v/>
      </c>
      <c r="X567" s="264" t="str">
        <f t="shared" si="44"/>
        <v/>
      </c>
      <c r="Y567" s="268" t="str">
        <f>IFERROR(INDEX(Rainfall_Dry!$O$2:$O$217,MATCH(B567, Rainfall_Dry!$A$2:$A$217,0)),"")</f>
        <v/>
      </c>
      <c r="Z567" s="257">
        <v>17.96</v>
      </c>
      <c r="AA567" s="257">
        <v>4.9199999999999982</v>
      </c>
      <c r="AB567" s="257">
        <v>77.12</v>
      </c>
      <c r="AC567" s="258" t="s">
        <v>2655</v>
      </c>
      <c r="AD567" s="257">
        <v>7.02207984228684</v>
      </c>
      <c r="AE567">
        <f>IF('WetLitterbags placem_collection'!AB128="","",'WetLitterbags placem_collection'!AB128)</f>
        <v>10.85</v>
      </c>
      <c r="AF567">
        <f>IF('WetLitterbags placem_collection'!Z128="","",'WetLitterbags placem_collection'!Z128)</f>
        <v>40</v>
      </c>
      <c r="AG567" s="243" t="str">
        <f>IF('WetLitterbags placem_collection'!AA128="","",'WetLitterbags placem_collection'!AA128)</f>
        <v>G</v>
      </c>
      <c r="AH567">
        <f>IF('WetLitterbags placem_collection'!AC128="","",'WetLitterbags placem_collection'!AC128)</f>
        <v>1</v>
      </c>
      <c r="AI567" t="str">
        <f>IFERROR(AVERAGE('Dry_Litterbag Placem_Collection'!O128,'Dry_Litterbag Placem_Collection'!R128),"")</f>
        <v/>
      </c>
      <c r="AJ567" s="268" t="str">
        <f>IFERROR(AVERAGE('Dry_Litterbag Placem_Collection'!N128,'Dry_Litterbag Placem_Collection'!Q128),"")</f>
        <v/>
      </c>
      <c r="AK567" s="267">
        <f>INDEX(Coordinates!$B$2:$B$197,MATCH(H567,Coordinates!$J$2:$J$197,0))</f>
        <v>-2.3493509829999999</v>
      </c>
      <c r="AL567" s="267">
        <f>INDEX(Coordinates!$C$2:$C$197,MATCH(H567,Coordinates!$J$2:$J$197,0))</f>
        <v>34.051332019999997</v>
      </c>
      <c r="AM567" s="267" t="str">
        <f>IF(ISNUMBER(SEARCH("C", 'Dry_Litterbag Placem_Collection'!U128)),"YES","NO")</f>
        <v>NO</v>
      </c>
      <c r="AN567" s="267" t="str">
        <f>IF(ISNUMBER(SEARCH("H", 'Dry_Litterbag Placem_Collection'!U128)),"YES","NO")</f>
        <v>NO</v>
      </c>
      <c r="AO567" s="267" t="str">
        <f>IF(ISNUMBER(SEARCH("R", 'Dry_Litterbag Placem_Collection'!U128)),"YES","NO")</f>
        <v>NO</v>
      </c>
    </row>
    <row r="568" spans="1:41" ht="15" customHeight="1">
      <c r="A568" s="259" t="s">
        <v>2643</v>
      </c>
      <c r="B568" s="260">
        <f>'Dry_Litterbag Placem_Collection'!A129</f>
        <v>127</v>
      </c>
      <c r="C568" s="260" t="str">
        <f>'Dry_Litterbag Placem_Collection'!B129</f>
        <v xml:space="preserve">Mwantimba
</v>
      </c>
      <c r="D568" s="260" t="s">
        <v>2454</v>
      </c>
      <c r="E568" s="260" t="s">
        <v>2644</v>
      </c>
      <c r="F568" s="260">
        <v>4</v>
      </c>
      <c r="G568" s="260" t="s">
        <v>3819</v>
      </c>
      <c r="H568" s="261" t="str">
        <f>'Dry_Litterbag Placem_Collection'!C129</f>
        <v>Wet_Ag4_T7</v>
      </c>
      <c r="I568" s="270" t="s">
        <v>3630</v>
      </c>
      <c r="J568" s="263" t="s">
        <v>1147</v>
      </c>
      <c r="K568" s="260" t="str">
        <f>IF(ISBLANK('Dry_Litterbag Placem_Collection'!L129),"","G"&amp;""&amp;'Dry_Litterbag Placem_Collection'!L129)</f>
        <v>G96</v>
      </c>
      <c r="L568" s="264">
        <f>IFERROR(INDEX('Green_rooibos initial weight'!$C$5:$C$2000,MATCH(K568, 'Green_rooibos initial weight'!$A$5:$A$2000,0)),"")</f>
        <v>2.2349999999999999</v>
      </c>
      <c r="M568" s="264">
        <f>IFERROR(L568-(TBIcalc!$Q$9+TBIcalc!$Q$10),"")</f>
        <v>1.9851999999999999</v>
      </c>
      <c r="N568" s="385">
        <f>AVERAGE(Ashed_controlls!$K$2:$K$11)</f>
        <v>5.5147656768714146</v>
      </c>
      <c r="O568" s="264">
        <f t="shared" si="41"/>
        <v>1.8757208717827485</v>
      </c>
      <c r="P568" s="264">
        <f>IFERROR(INDEX('Both teabags AfterDry'!$D$2:$D$2000,MATCH(K568,'Both teabags AfterDry'!$A$2:$A$2000,0)),"")</f>
        <v>0.77790000000000004</v>
      </c>
      <c r="Q568" s="264">
        <f>IFERROR(IF(P568&gt;0,P568-(TBIcalc!$Q$9),""),"")</f>
        <v>0.62729999999999997</v>
      </c>
      <c r="R568" s="275">
        <f>IFERROR(INDEX('Ashed teabags dry'!$K$2:$K$2000,MATCH(K568,'Ashed teabags dry'!$A$2:$A$2000,0)),"")</f>
        <v>15.120274914089208</v>
      </c>
      <c r="S568" s="275">
        <f t="shared" si="42"/>
        <v>0.53245051546391842</v>
      </c>
      <c r="T568" s="265">
        <f>IF('Dry_Litterbag Placem_Collection'!E129="","",'Dry_Litterbag Placem_Collection'!E129)</f>
        <v>42939</v>
      </c>
      <c r="U568" s="265">
        <f>IF('Dry_Litterbag Placem_Collection'!G129="","",'Dry_Litterbag Placem_Collection'!G129)</f>
        <v>43008</v>
      </c>
      <c r="V568" s="266">
        <f t="shared" si="40"/>
        <v>69</v>
      </c>
      <c r="W568" s="264">
        <f t="shared" si="43"/>
        <v>1.3578999999999999</v>
      </c>
      <c r="X568" s="264">
        <f t="shared" si="44"/>
        <v>1.34327035631883</v>
      </c>
      <c r="Y568" s="268">
        <f>IFERROR(INDEX(Rainfall_Dry!$O$2:$O$217,MATCH(B568, Rainfall_Dry!$A$2:$A$217,0)),"")</f>
        <v>136.27214243</v>
      </c>
      <c r="Z568" s="257">
        <v>17.96</v>
      </c>
      <c r="AA568" s="257">
        <v>4.9199999999999982</v>
      </c>
      <c r="AB568" s="257">
        <v>77.12</v>
      </c>
      <c r="AC568" s="258" t="s">
        <v>2655</v>
      </c>
      <c r="AD568" s="257">
        <v>8.0220798422868391</v>
      </c>
      <c r="AE568">
        <f>IF('WetLitterbags placem_collection'!AB129="","",'WetLitterbags placem_collection'!AB129)</f>
        <v>5.35</v>
      </c>
      <c r="AF568">
        <f>IF('WetLitterbags placem_collection'!Z129="","",'WetLitterbags placem_collection'!Z129)</f>
        <v>58</v>
      </c>
      <c r="AG568" s="243" t="str">
        <f>IF('WetLitterbags placem_collection'!AA129="","",'WetLitterbags placem_collection'!AA129)</f>
        <v>G</v>
      </c>
      <c r="AH568">
        <f>IF('WetLitterbags placem_collection'!AC129="","",'WetLitterbags placem_collection'!AC129)</f>
        <v>1</v>
      </c>
      <c r="AI568">
        <f>IFERROR(AVERAGE('Dry_Litterbag Placem_Collection'!O129,'Dry_Litterbag Placem_Collection'!R129),"")</f>
        <v>9.6999999999999993</v>
      </c>
      <c r="AJ568" s="268">
        <f>IFERROR(AVERAGE('Dry_Litterbag Placem_Collection'!N129,'Dry_Litterbag Placem_Collection'!Q129),"")</f>
        <v>28.1</v>
      </c>
      <c r="AK568" s="267">
        <f>INDEX(Coordinates!$B$2:$B$197,MATCH(H568,Coordinates!$J$2:$J$197,0))</f>
        <v>-2.3491850219999999</v>
      </c>
      <c r="AL568" s="267">
        <f>INDEX(Coordinates!$C$2:$C$197,MATCH(H568,Coordinates!$J$2:$J$197,0))</f>
        <v>34.051264959999997</v>
      </c>
      <c r="AM568" s="267" t="str">
        <f>IF(ISNUMBER(SEARCH("C", 'Dry_Litterbag Placem_Collection'!U129)),"YES","NO")</f>
        <v>NO</v>
      </c>
      <c r="AN568" s="267" t="str">
        <f>IF(ISNUMBER(SEARCH("H", 'Dry_Litterbag Placem_Collection'!U129)),"YES","NO")</f>
        <v>NO</v>
      </c>
      <c r="AO568" s="267" t="str">
        <f>IF(ISNUMBER(SEARCH("R", 'Dry_Litterbag Placem_Collection'!U129)),"YES","NO")</f>
        <v>YES</v>
      </c>
    </row>
    <row r="569" spans="1:41" ht="15" customHeight="1">
      <c r="A569" s="259" t="s">
        <v>2643</v>
      </c>
      <c r="B569" s="260">
        <f>'Dry_Litterbag Placem_Collection'!A130</f>
        <v>128</v>
      </c>
      <c r="C569" s="260" t="str">
        <f>'Dry_Litterbag Placem_Collection'!B130</f>
        <v xml:space="preserve">Mwantimba
</v>
      </c>
      <c r="D569" s="260" t="s">
        <v>2454</v>
      </c>
      <c r="E569" s="260" t="s">
        <v>2644</v>
      </c>
      <c r="F569" s="260">
        <v>4</v>
      </c>
      <c r="G569" s="260" t="s">
        <v>3819</v>
      </c>
      <c r="H569" s="261" t="str">
        <f>'Dry_Litterbag Placem_Collection'!C130</f>
        <v>Wet_Ag4_T8</v>
      </c>
      <c r="I569" s="270" t="s">
        <v>3630</v>
      </c>
      <c r="J569" s="263" t="s">
        <v>1147</v>
      </c>
      <c r="K569" s="260" t="str">
        <f>IF(ISBLANK('Dry_Litterbag Placem_Collection'!L130),"","G"&amp;""&amp;'Dry_Litterbag Placem_Collection'!L130)</f>
        <v>G134</v>
      </c>
      <c r="L569" s="264">
        <f>IFERROR(INDEX('Green_rooibos initial weight'!$C$5:$C$2000,MATCH(K569, 'Green_rooibos initial weight'!$A$5:$A$2000,0)),"")</f>
        <v>2.0089999999999999</v>
      </c>
      <c r="M569" s="264">
        <f>IFERROR(L569-(TBIcalc!$Q$9+TBIcalc!$Q$10),"")</f>
        <v>1.7591999999999999</v>
      </c>
      <c r="N569" s="385">
        <f>AVERAGE(Ashed_controlls!$K$2:$K$11)</f>
        <v>5.5147656768714146</v>
      </c>
      <c r="O569" s="264">
        <f t="shared" si="41"/>
        <v>1.662184242212478</v>
      </c>
      <c r="P569" s="264">
        <f>IFERROR(INDEX('Both teabags AfterDry'!$D$2:$D$2000,MATCH(K569,'Both teabags AfterDry'!$A$2:$A$2000,0)),"")</f>
        <v>0.82289999999999996</v>
      </c>
      <c r="Q569" s="264">
        <f>IFERROR(IF(P569&gt;0,P569-(TBIcalc!$Q$9),""),"")</f>
        <v>0.6722999999999999</v>
      </c>
      <c r="R569" s="275">
        <f>IFERROR(INDEX('Ashed teabags dry'!$K$2:$K$2000,MATCH(K569,'Ashed teabags dry'!$A$2:$A$2000,0)),"")</f>
        <v>18.432510885341248</v>
      </c>
      <c r="S569" s="275">
        <f t="shared" si="42"/>
        <v>0.54837822931785074</v>
      </c>
      <c r="T569" s="265">
        <f>IF('Dry_Litterbag Placem_Collection'!E130="","",'Dry_Litterbag Placem_Collection'!E130)</f>
        <v>42939</v>
      </c>
      <c r="U569" s="265">
        <f>IF('Dry_Litterbag Placem_Collection'!G130="","",'Dry_Litterbag Placem_Collection'!G130)</f>
        <v>43008</v>
      </c>
      <c r="V569" s="266">
        <f t="shared" si="40"/>
        <v>69</v>
      </c>
      <c r="W569" s="264">
        <f t="shared" si="43"/>
        <v>1.0869</v>
      </c>
      <c r="X569" s="264">
        <f t="shared" si="44"/>
        <v>1.1138060128946272</v>
      </c>
      <c r="Y569" s="268">
        <f>IFERROR(INDEX(Rainfall_Dry!$O$2:$O$217,MATCH(B569, Rainfall_Dry!$A$2:$A$217,0)),"")</f>
        <v>136.27214243</v>
      </c>
      <c r="Z569" s="257">
        <v>17.96</v>
      </c>
      <c r="AA569" s="257">
        <v>4.9199999999999982</v>
      </c>
      <c r="AB569" s="257">
        <v>77.12</v>
      </c>
      <c r="AC569" s="258" t="s">
        <v>2655</v>
      </c>
      <c r="AD569" s="257">
        <v>9.0220798422868391</v>
      </c>
      <c r="AE569">
        <f>IF('WetLitterbags placem_collection'!AB130="","",'WetLitterbags placem_collection'!AB130)</f>
        <v>10.9</v>
      </c>
      <c r="AF569">
        <f>IF('WetLitterbags placem_collection'!Z130="","",'WetLitterbags placem_collection'!Z130)</f>
        <v>44</v>
      </c>
      <c r="AG569" s="243" t="str">
        <f>IF('WetLitterbags placem_collection'!AA130="","",'WetLitterbags placem_collection'!AA130)</f>
        <v>G</v>
      </c>
      <c r="AH569">
        <f>IF('WetLitterbags placem_collection'!AC130="","",'WetLitterbags placem_collection'!AC130)</f>
        <v>0</v>
      </c>
      <c r="AI569">
        <f>IFERROR(AVERAGE('Dry_Litterbag Placem_Collection'!O130,'Dry_Litterbag Placem_Collection'!R130),"")</f>
        <v>8.4499999999999993</v>
      </c>
      <c r="AJ569" s="268">
        <f>IFERROR(AVERAGE('Dry_Litterbag Placem_Collection'!N130,'Dry_Litterbag Placem_Collection'!Q130),"")</f>
        <v>28.4</v>
      </c>
      <c r="AK569" s="267">
        <f>INDEX(Coordinates!$B$2:$B$197,MATCH(H569,Coordinates!$J$2:$J$197,0))</f>
        <v>-2.3493099960000001</v>
      </c>
      <c r="AL569" s="267">
        <f>INDEX(Coordinates!$C$2:$C$197,MATCH(H569,Coordinates!$J$2:$J$197,0))</f>
        <v>34.05141802</v>
      </c>
      <c r="AM569" s="267" t="str">
        <f>IF(ISNUMBER(SEARCH("C", 'Dry_Litterbag Placem_Collection'!U130)),"YES","NO")</f>
        <v>NO</v>
      </c>
      <c r="AN569" s="267" t="str">
        <f>IF(ISNUMBER(SEARCH("H", 'Dry_Litterbag Placem_Collection'!U130)),"YES","NO")</f>
        <v>NO</v>
      </c>
      <c r="AO569" s="267" t="str">
        <f>IF(ISNUMBER(SEARCH("R", 'Dry_Litterbag Placem_Collection'!U130)),"YES","NO")</f>
        <v>NO</v>
      </c>
    </row>
    <row r="570" spans="1:41" ht="15" customHeight="1">
      <c r="A570" s="259" t="s">
        <v>2643</v>
      </c>
      <c r="B570" s="260">
        <f>'Dry_Litterbag Placem_Collection'!A131</f>
        <v>129</v>
      </c>
      <c r="C570" s="260" t="str">
        <f>'Dry_Litterbag Placem_Collection'!B131</f>
        <v xml:space="preserve">Mwantimba
</v>
      </c>
      <c r="D570" s="260" t="s">
        <v>2454</v>
      </c>
      <c r="E570" s="260" t="s">
        <v>20</v>
      </c>
      <c r="F570" s="260">
        <v>1</v>
      </c>
      <c r="G570" s="260" t="s">
        <v>3820</v>
      </c>
      <c r="H570" s="261" t="str">
        <f>'Dry_Litterbag Placem_Collection'!C131</f>
        <v>Wet_P1_T1</v>
      </c>
      <c r="I570" s="270" t="s">
        <v>3630</v>
      </c>
      <c r="J570" s="263" t="s">
        <v>1147</v>
      </c>
      <c r="K570" s="260" t="str">
        <f>IF(ISBLANK('Dry_Litterbag Placem_Collection'!L131),"","G"&amp;""&amp;'Dry_Litterbag Placem_Collection'!L131)</f>
        <v>G671</v>
      </c>
      <c r="L570" s="264">
        <f>IFERROR(INDEX('Green_rooibos initial weight'!$C$5:$C$2000,MATCH(K570, 'Green_rooibos initial weight'!$A$5:$A$2000,0)),"")</f>
        <v>2.0510000000000002</v>
      </c>
      <c r="M570" s="264">
        <f>IFERROR(L570-(TBIcalc!$Q$9+TBIcalc!$Q$10),"")</f>
        <v>1.8012000000000001</v>
      </c>
      <c r="N570" s="385">
        <f>AVERAGE(Ashed_controlls!$K$2:$K$11)</f>
        <v>5.5147656768714146</v>
      </c>
      <c r="O570" s="264">
        <f t="shared" si="41"/>
        <v>1.7018680406281923</v>
      </c>
      <c r="P570" s="264">
        <f>IFERROR(INDEX('Both teabags AfterDry'!$D$2:$D$2000,MATCH(K570,'Both teabags AfterDry'!$A$2:$A$2000,0)),"")</f>
        <v>0.68540000000000001</v>
      </c>
      <c r="Q570" s="264">
        <f>IFERROR(IF(P570&gt;0,P570-(TBIcalc!$Q$9),""),"")</f>
        <v>0.53479999999999994</v>
      </c>
      <c r="R570" s="275">
        <f>IFERROR(INDEX('Ashed teabags dry'!$K$2:$K$2000,MATCH(K570,'Ashed teabags dry'!$A$2:$A$2000,0)),"")</f>
        <v>15.942028985507489</v>
      </c>
      <c r="S570" s="275">
        <f t="shared" si="42"/>
        <v>0.44954202898550588</v>
      </c>
      <c r="T570" s="265">
        <f>IF('Dry_Litterbag Placem_Collection'!E131="","",'Dry_Litterbag Placem_Collection'!E131)</f>
        <v>42939</v>
      </c>
      <c r="U570" s="265">
        <f>IF('Dry_Litterbag Placem_Collection'!G131="","",'Dry_Litterbag Placem_Collection'!G131)</f>
        <v>43008</v>
      </c>
      <c r="V570" s="266">
        <f t="shared" si="40"/>
        <v>69</v>
      </c>
      <c r="W570" s="264">
        <f t="shared" si="43"/>
        <v>1.2664000000000002</v>
      </c>
      <c r="X570" s="264">
        <f t="shared" si="44"/>
        <v>1.2523260116426864</v>
      </c>
      <c r="Y570" s="268">
        <f>IFERROR(INDEX(Rainfall_Dry!$O$2:$O$217,MATCH(B570, Rainfall_Dry!$A$2:$A$217,0)),"")</f>
        <v>136.27214243</v>
      </c>
      <c r="Z570" s="257">
        <v>31.214836424255054</v>
      </c>
      <c r="AA570" s="257">
        <v>11.377370285476141</v>
      </c>
      <c r="AB570" s="257">
        <v>57.407793290268799</v>
      </c>
      <c r="AC570" s="258" t="s">
        <v>2654</v>
      </c>
      <c r="AD570" s="257">
        <v>1.7337604731394776</v>
      </c>
      <c r="AE570">
        <f>IF('WetLitterbags placem_collection'!AB131="","",'WetLitterbags placem_collection'!AB131)</f>
        <v>2.4</v>
      </c>
      <c r="AF570">
        <f>IF('WetLitterbags placem_collection'!Z131="","",'WetLitterbags placem_collection'!Z131)</f>
        <v>2.4</v>
      </c>
      <c r="AG570" s="243" t="str">
        <f>IF('WetLitterbags placem_collection'!AA131="","",'WetLitterbags placem_collection'!AA131)</f>
        <v>O</v>
      </c>
      <c r="AH570">
        <f>IF('WetLitterbags placem_collection'!AC131="","",'WetLitterbags placem_collection'!AC131)</f>
        <v>1</v>
      </c>
      <c r="AI570">
        <f>IFERROR(AVERAGE('Dry_Litterbag Placem_Collection'!O131,'Dry_Litterbag Placem_Collection'!R131),"")</f>
        <v>11.8</v>
      </c>
      <c r="AJ570" s="268">
        <f>IFERROR(AVERAGE('Dry_Litterbag Placem_Collection'!N131,'Dry_Litterbag Placem_Collection'!Q131),"")</f>
        <v>29.05</v>
      </c>
      <c r="AK570" s="267">
        <f>INDEX(Coordinates!$B$2:$B$197,MATCH(H570,Coordinates!$J$2:$J$197,0))</f>
        <v>-2.3503360249999998</v>
      </c>
      <c r="AL570" s="267">
        <f>INDEX(Coordinates!$C$2:$C$197,MATCH(H570,Coordinates!$J$2:$J$197,0))</f>
        <v>34.049662009999999</v>
      </c>
      <c r="AM570" s="267" t="str">
        <f>IF(ISNUMBER(SEARCH("C", 'Dry_Litterbag Placem_Collection'!U131)),"YES","NO")</f>
        <v>NO</v>
      </c>
      <c r="AN570" s="267" t="str">
        <f>IF(ISNUMBER(SEARCH("H", 'Dry_Litterbag Placem_Collection'!U131)),"YES","NO")</f>
        <v>NO</v>
      </c>
      <c r="AO570" s="267" t="str">
        <f>IF(ISNUMBER(SEARCH("R", 'Dry_Litterbag Placem_Collection'!U131)),"YES","NO")</f>
        <v>NO</v>
      </c>
    </row>
    <row r="571" spans="1:41" ht="15" customHeight="1">
      <c r="A571" s="259" t="s">
        <v>2643</v>
      </c>
      <c r="B571" s="260">
        <f>'Dry_Litterbag Placem_Collection'!A132</f>
        <v>130</v>
      </c>
      <c r="C571" s="260" t="str">
        <f>'Dry_Litterbag Placem_Collection'!B132</f>
        <v xml:space="preserve">Mwantimba
</v>
      </c>
      <c r="D571" s="260" t="s">
        <v>2454</v>
      </c>
      <c r="E571" s="260" t="s">
        <v>20</v>
      </c>
      <c r="F571" s="260">
        <v>1</v>
      </c>
      <c r="G571" s="260" t="s">
        <v>3820</v>
      </c>
      <c r="H571" s="261" t="str">
        <f>'Dry_Litterbag Placem_Collection'!C132</f>
        <v>Wet_P1_T2</v>
      </c>
      <c r="I571" s="270" t="s">
        <v>3630</v>
      </c>
      <c r="J571" s="263" t="s">
        <v>1147</v>
      </c>
      <c r="K571" s="260" t="str">
        <f>IF(ISBLANK('Dry_Litterbag Placem_Collection'!L132),"","G"&amp;""&amp;'Dry_Litterbag Placem_Collection'!L132)</f>
        <v>G400</v>
      </c>
      <c r="L571" s="264">
        <f>IFERROR(INDEX('Green_rooibos initial weight'!$C$5:$C$2000,MATCH(K571, 'Green_rooibos initial weight'!$A$5:$A$2000,0)),"")</f>
        <v>2.0089999999999999</v>
      </c>
      <c r="M571" s="264">
        <f>IFERROR(L571-(TBIcalc!$Q$9+TBIcalc!$Q$10),"")</f>
        <v>1.7591999999999999</v>
      </c>
      <c r="N571" s="385">
        <f>AVERAGE(Ashed_controlls!$K$2:$K$11)</f>
        <v>5.5147656768714146</v>
      </c>
      <c r="O571" s="264">
        <f t="shared" si="41"/>
        <v>1.662184242212478</v>
      </c>
      <c r="P571" s="264">
        <f>IFERROR(INDEX('Both teabags AfterDry'!$D$2:$D$2000,MATCH(K571,'Both teabags AfterDry'!$A$2:$A$2000,0)),"")</f>
        <v>0.86</v>
      </c>
      <c r="Q571" s="264">
        <f>IFERROR(IF(P571&gt;0,P571-(TBIcalc!$Q$9),""),"")</f>
        <v>0.70940000000000003</v>
      </c>
      <c r="R571" s="275">
        <f>IFERROR(INDEX('Ashed teabags dry'!$K$2:$K$2000,MATCH(K571,'Ashed teabags dry'!$A$2:$A$2000,0)),"")</f>
        <v>23.389830508474194</v>
      </c>
      <c r="S571" s="275">
        <f t="shared" si="42"/>
        <v>0.54347254237288412</v>
      </c>
      <c r="T571" s="265">
        <f>IF('Dry_Litterbag Placem_Collection'!E132="","",'Dry_Litterbag Placem_Collection'!E132)</f>
        <v>42939</v>
      </c>
      <c r="U571" s="265">
        <f>IF('Dry_Litterbag Placem_Collection'!G132="","",'Dry_Litterbag Placem_Collection'!G132)</f>
        <v>43008</v>
      </c>
      <c r="V571" s="266">
        <f t="shared" si="40"/>
        <v>69</v>
      </c>
      <c r="W571" s="264">
        <f t="shared" si="43"/>
        <v>1.0497999999999998</v>
      </c>
      <c r="X571" s="264">
        <f t="shared" si="44"/>
        <v>1.1187116998395938</v>
      </c>
      <c r="Y571" s="268">
        <f>IFERROR(INDEX(Rainfall_Dry!$O$2:$O$217,MATCH(B571, Rainfall_Dry!$A$2:$A$217,0)),"")</f>
        <v>136.27214243</v>
      </c>
      <c r="Z571" s="257">
        <v>31.214836424255054</v>
      </c>
      <c r="AA571" s="257">
        <v>11.377370285476141</v>
      </c>
      <c r="AB571" s="257">
        <v>57.407793290268799</v>
      </c>
      <c r="AC571" s="258" t="s">
        <v>2654</v>
      </c>
      <c r="AD571" s="257">
        <v>2.7337604731394798</v>
      </c>
      <c r="AE571">
        <f>IF('WetLitterbags placem_collection'!AB132="","",'WetLitterbags placem_collection'!AB132)</f>
        <v>2.1</v>
      </c>
      <c r="AF571">
        <f>IF('WetLitterbags placem_collection'!Z132="","",'WetLitterbags placem_collection'!Z132)</f>
        <v>3.5</v>
      </c>
      <c r="AG571" s="243" t="str">
        <f>IF('WetLitterbags placem_collection'!AA132="","",'WetLitterbags placem_collection'!AA132)</f>
        <v>O</v>
      </c>
      <c r="AH571">
        <f>IF('WetLitterbags placem_collection'!AC132="","",'WetLitterbags placem_collection'!AC132)</f>
        <v>0</v>
      </c>
      <c r="AI571">
        <f>IFERROR(AVERAGE('Dry_Litterbag Placem_Collection'!O132,'Dry_Litterbag Placem_Collection'!R132),"")</f>
        <v>8.9499999999999993</v>
      </c>
      <c r="AJ571" s="268">
        <f>IFERROR(AVERAGE('Dry_Litterbag Placem_Collection'!N132,'Dry_Litterbag Placem_Collection'!Q132),"")</f>
        <v>28.55</v>
      </c>
      <c r="AK571" s="267">
        <f>INDEX(Coordinates!$B$2:$B$197,MATCH(H571,Coordinates!$J$2:$J$197,0))</f>
        <v>-2.3503729889999998</v>
      </c>
      <c r="AL571" s="267">
        <f>INDEX(Coordinates!$C$2:$C$197,MATCH(H571,Coordinates!$J$2:$J$197,0))</f>
        <v>34.049626969999998</v>
      </c>
      <c r="AM571" s="267" t="str">
        <f>IF(ISNUMBER(SEARCH("C", 'Dry_Litterbag Placem_Collection'!U132)),"YES","NO")</f>
        <v>NO</v>
      </c>
      <c r="AN571" s="267" t="str">
        <f>IF(ISNUMBER(SEARCH("H", 'Dry_Litterbag Placem_Collection'!U132)),"YES","NO")</f>
        <v>NO</v>
      </c>
      <c r="AO571" s="267" t="str">
        <f>IF(ISNUMBER(SEARCH("R", 'Dry_Litterbag Placem_Collection'!U132)),"YES","NO")</f>
        <v>YES</v>
      </c>
    </row>
    <row r="572" spans="1:41" ht="15" customHeight="1">
      <c r="A572" s="259" t="s">
        <v>2643</v>
      </c>
      <c r="B572" s="260">
        <f>'Dry_Litterbag Placem_Collection'!A133</f>
        <v>131</v>
      </c>
      <c r="C572" s="260" t="str">
        <f>'Dry_Litterbag Placem_Collection'!B133</f>
        <v xml:space="preserve">Mwantimba
</v>
      </c>
      <c r="D572" s="260" t="s">
        <v>2454</v>
      </c>
      <c r="E572" s="260" t="s">
        <v>20</v>
      </c>
      <c r="F572" s="260">
        <v>1</v>
      </c>
      <c r="G572" s="260" t="s">
        <v>3820</v>
      </c>
      <c r="H572" s="261" t="str">
        <f>'Dry_Litterbag Placem_Collection'!C133</f>
        <v>Wet_P1_T3</v>
      </c>
      <c r="I572" s="270" t="s">
        <v>3630</v>
      </c>
      <c r="J572" s="263" t="s">
        <v>1147</v>
      </c>
      <c r="K572" s="260" t="str">
        <f>IF(ISBLANK('Dry_Litterbag Placem_Collection'!L133),"","G"&amp;""&amp;'Dry_Litterbag Placem_Collection'!L133)</f>
        <v>G48</v>
      </c>
      <c r="L572" s="264">
        <f>IFERROR(INDEX('Green_rooibos initial weight'!$C$5:$C$2000,MATCH(K572, 'Green_rooibos initial weight'!$A$5:$A$2000,0)),"")</f>
        <v>2.0590000000000002</v>
      </c>
      <c r="M572" s="264">
        <f>IFERROR(L572-(TBIcalc!$Q$9+TBIcalc!$Q$10),"")</f>
        <v>1.8092000000000001</v>
      </c>
      <c r="N572" s="385">
        <f>AVERAGE(Ashed_controlls!$K$2:$K$11)</f>
        <v>5.5147656768714146</v>
      </c>
      <c r="O572" s="264">
        <f t="shared" si="41"/>
        <v>1.7094268593740425</v>
      </c>
      <c r="P572" s="264">
        <f>IFERROR(INDEX('Both teabags AfterDry'!$D$2:$D$2000,MATCH(K572,'Both teabags AfterDry'!$A$2:$A$2000,0)),"")</f>
        <v>0.84750000000000003</v>
      </c>
      <c r="Q572" s="264">
        <f>IFERROR(IF(P572&gt;0,P572-(TBIcalc!$Q$9),""),"")</f>
        <v>0.69690000000000007</v>
      </c>
      <c r="R572" s="275">
        <f>IFERROR(INDEX('Ashed teabags dry'!$K$2:$K$2000,MATCH(K572,'Ashed teabags dry'!$A$2:$A$2000,0)),"")</f>
        <v>16.880037932669509</v>
      </c>
      <c r="S572" s="275">
        <f t="shared" si="42"/>
        <v>0.57926301564722626</v>
      </c>
      <c r="T572" s="265">
        <f>IF('Dry_Litterbag Placem_Collection'!E133="","",'Dry_Litterbag Placem_Collection'!E133)</f>
        <v>42939</v>
      </c>
      <c r="U572" s="265">
        <f>IF('Dry_Litterbag Placem_Collection'!G133="","",'Dry_Litterbag Placem_Collection'!G133)</f>
        <v>43008</v>
      </c>
      <c r="V572" s="266">
        <f t="shared" si="40"/>
        <v>69</v>
      </c>
      <c r="W572" s="264">
        <f t="shared" si="43"/>
        <v>1.1123000000000001</v>
      </c>
      <c r="X572" s="264">
        <f t="shared" si="44"/>
        <v>1.1301638437268162</v>
      </c>
      <c r="Y572" s="268">
        <f>IFERROR(INDEX(Rainfall_Dry!$O$2:$O$217,MATCH(B572, Rainfall_Dry!$A$2:$A$217,0)),"")</f>
        <v>136.27214243</v>
      </c>
      <c r="Z572" s="257">
        <v>31.214836424255054</v>
      </c>
      <c r="AA572" s="257">
        <v>11.377370285476141</v>
      </c>
      <c r="AB572" s="257">
        <v>57.407793290268799</v>
      </c>
      <c r="AC572" s="258" t="s">
        <v>2654</v>
      </c>
      <c r="AD572" s="257">
        <v>3.7337604731394798</v>
      </c>
      <c r="AE572">
        <f>IF('WetLitterbags placem_collection'!AB133="","",'WetLitterbags placem_collection'!AB133)</f>
        <v>4.5</v>
      </c>
      <c r="AF572">
        <f>IF('WetLitterbags placem_collection'!Z133="","",'WetLitterbags placem_collection'!Z133)</f>
        <v>7.5</v>
      </c>
      <c r="AG572" s="243" t="str">
        <f>IF('WetLitterbags placem_collection'!AA133="","",'WetLitterbags placem_collection'!AA133)</f>
        <v>O</v>
      </c>
      <c r="AH572">
        <f>IF('WetLitterbags placem_collection'!AC133="","",'WetLitterbags placem_collection'!AC133)</f>
        <v>0</v>
      </c>
      <c r="AI572">
        <f>IFERROR(AVERAGE('Dry_Litterbag Placem_Collection'!O133,'Dry_Litterbag Placem_Collection'!R133),"")</f>
        <v>8.9499999999999993</v>
      </c>
      <c r="AJ572" s="268">
        <f>IFERROR(AVERAGE('Dry_Litterbag Placem_Collection'!N133,'Dry_Litterbag Placem_Collection'!Q133),"")</f>
        <v>28.6</v>
      </c>
      <c r="AK572" s="267">
        <f>INDEX(Coordinates!$B$2:$B$197,MATCH(H572,Coordinates!$J$2:$J$197,0))</f>
        <v>-2.3503259660000002</v>
      </c>
      <c r="AL572" s="267">
        <f>INDEX(Coordinates!$C$2:$C$197,MATCH(H572,Coordinates!$J$2:$J$197,0))</f>
        <v>34.049616999999998</v>
      </c>
      <c r="AM572" s="267" t="str">
        <f>IF(ISNUMBER(SEARCH("C", 'Dry_Litterbag Placem_Collection'!U133)),"YES","NO")</f>
        <v>NO</v>
      </c>
      <c r="AN572" s="267" t="str">
        <f>IF(ISNUMBER(SEARCH("H", 'Dry_Litterbag Placem_Collection'!U133)),"YES","NO")</f>
        <v>NO</v>
      </c>
      <c r="AO572" s="267" t="str">
        <f>IF(ISNUMBER(SEARCH("R", 'Dry_Litterbag Placem_Collection'!U133)),"YES","NO")</f>
        <v>YES</v>
      </c>
    </row>
    <row r="573" spans="1:41" ht="15" customHeight="1">
      <c r="A573" s="259" t="s">
        <v>2643</v>
      </c>
      <c r="B573" s="260">
        <f>'Dry_Litterbag Placem_Collection'!A134</f>
        <v>132</v>
      </c>
      <c r="C573" s="260" t="str">
        <f>'Dry_Litterbag Placem_Collection'!B134</f>
        <v xml:space="preserve">Mwantimba
</v>
      </c>
      <c r="D573" s="260" t="s">
        <v>2454</v>
      </c>
      <c r="E573" s="260" t="s">
        <v>20</v>
      </c>
      <c r="F573" s="260">
        <v>1</v>
      </c>
      <c r="G573" s="260" t="s">
        <v>3820</v>
      </c>
      <c r="H573" s="261" t="str">
        <f>'Dry_Litterbag Placem_Collection'!C134</f>
        <v>Wet_P1_T4</v>
      </c>
      <c r="I573" s="270" t="s">
        <v>3630</v>
      </c>
      <c r="J573" s="263" t="s">
        <v>1147</v>
      </c>
      <c r="K573" s="260" t="str">
        <f>IF(ISBLANK('Dry_Litterbag Placem_Collection'!L134),"","G"&amp;""&amp;'Dry_Litterbag Placem_Collection'!L134)</f>
        <v/>
      </c>
      <c r="L573" s="264" t="str">
        <f>IFERROR(INDEX('Green_rooibos initial weight'!$C$5:$C$2000,MATCH(K573, 'Green_rooibos initial weight'!$A$5:$A$2000,0)),"")</f>
        <v/>
      </c>
      <c r="M573" s="264" t="str">
        <f>IFERROR(L573-(TBIcalc!$Q$9+TBIcalc!$Q$10),"")</f>
        <v/>
      </c>
      <c r="N573" s="385">
        <f>AVERAGE(Ashed_controlls!$K$2:$K$11)</f>
        <v>5.5147656768714146</v>
      </c>
      <c r="O573" s="264" t="str">
        <f t="shared" si="41"/>
        <v/>
      </c>
      <c r="P573" s="264" t="str">
        <f>IFERROR(INDEX('Both teabags AfterDry'!$D$2:$D$2000,MATCH(K573,'Both teabags AfterDry'!$A$2:$A$2000,0)),"")</f>
        <v/>
      </c>
      <c r="Q573" s="264" t="str">
        <f>IFERROR(IF(P573&gt;0,P573-(TBIcalc!$Q$9),""),"")</f>
        <v/>
      </c>
      <c r="R573" s="275" t="str">
        <f>IFERROR(INDEX('Ashed teabags dry'!$K$2:$K$2000,MATCH(K573,'Ashed teabags dry'!$A$2:$A$2000,0)),"")</f>
        <v/>
      </c>
      <c r="S573" s="275" t="str">
        <f t="shared" si="42"/>
        <v/>
      </c>
      <c r="T573" s="265" t="str">
        <f>IF('Dry_Litterbag Placem_Collection'!E134="","",'Dry_Litterbag Placem_Collection'!E134)</f>
        <v/>
      </c>
      <c r="U573" s="265" t="str">
        <f>IF('Dry_Litterbag Placem_Collection'!G134="","",'Dry_Litterbag Placem_Collection'!G134)</f>
        <v/>
      </c>
      <c r="V573" s="266" t="str">
        <f t="shared" si="40"/>
        <v/>
      </c>
      <c r="W573" s="264" t="str">
        <f t="shared" si="43"/>
        <v/>
      </c>
      <c r="X573" s="264" t="str">
        <f t="shared" si="44"/>
        <v/>
      </c>
      <c r="Y573" s="268" t="str">
        <f>IFERROR(INDEX(Rainfall_Dry!$O$2:$O$217,MATCH(B573, Rainfall_Dry!$A$2:$A$217,0)),"")</f>
        <v/>
      </c>
      <c r="Z573" s="257">
        <v>31.214836424255054</v>
      </c>
      <c r="AA573" s="257">
        <v>11.377370285476141</v>
      </c>
      <c r="AB573" s="257">
        <v>57.407793290268799</v>
      </c>
      <c r="AC573" s="258" t="s">
        <v>2654</v>
      </c>
      <c r="AD573" s="257">
        <v>4.7337604731394798</v>
      </c>
      <c r="AE573">
        <f>IF('WetLitterbags placem_collection'!AB134="","",'WetLitterbags placem_collection'!AB134)</f>
        <v>0.7</v>
      </c>
      <c r="AF573">
        <f>IF('WetLitterbags placem_collection'!Z134="","",'WetLitterbags placem_collection'!Z134)</f>
        <v>9.8000000000000007</v>
      </c>
      <c r="AG573" s="243" t="str">
        <f>IF('WetLitterbags placem_collection'!AA134="","",'WetLitterbags placem_collection'!AA134)</f>
        <v>G</v>
      </c>
      <c r="AH573">
        <f>IF('WetLitterbags placem_collection'!AC134="","",'WetLitterbags placem_collection'!AC134)</f>
        <v>1</v>
      </c>
      <c r="AI573" t="str">
        <f>IFERROR(AVERAGE('Dry_Litterbag Placem_Collection'!O134,'Dry_Litterbag Placem_Collection'!R134),"")</f>
        <v/>
      </c>
      <c r="AJ573" s="268" t="str">
        <f>IFERROR(AVERAGE('Dry_Litterbag Placem_Collection'!N134,'Dry_Litterbag Placem_Collection'!Q134),"")</f>
        <v/>
      </c>
      <c r="AK573" s="267">
        <f>INDEX(Coordinates!$B$2:$B$197,MATCH(H573,Coordinates!$J$2:$J$197,0))</f>
        <v>-2.3504800260000001</v>
      </c>
      <c r="AL573" s="267">
        <f>INDEX(Coordinates!$C$2:$C$197,MATCH(H573,Coordinates!$J$2:$J$197,0))</f>
        <v>34.049551030000003</v>
      </c>
      <c r="AM573" s="267" t="str">
        <f>IF(ISNUMBER(SEARCH("C", 'Dry_Litterbag Placem_Collection'!U134)),"YES","NO")</f>
        <v>NO</v>
      </c>
      <c r="AN573" s="267" t="str">
        <f>IF(ISNUMBER(SEARCH("H", 'Dry_Litterbag Placem_Collection'!U134)),"YES","NO")</f>
        <v>NO</v>
      </c>
      <c r="AO573" s="267" t="str">
        <f>IF(ISNUMBER(SEARCH("R", 'Dry_Litterbag Placem_Collection'!U134)),"YES","NO")</f>
        <v>NO</v>
      </c>
    </row>
    <row r="574" spans="1:41" ht="15" customHeight="1">
      <c r="A574" s="259" t="s">
        <v>2643</v>
      </c>
      <c r="B574" s="260">
        <f>'Dry_Litterbag Placem_Collection'!A135</f>
        <v>133</v>
      </c>
      <c r="C574" s="260" t="str">
        <f>'Dry_Litterbag Placem_Collection'!B135</f>
        <v xml:space="preserve">Mwantimba
</v>
      </c>
      <c r="D574" s="260" t="s">
        <v>2454</v>
      </c>
      <c r="E574" s="260" t="s">
        <v>20</v>
      </c>
      <c r="F574" s="260">
        <v>1</v>
      </c>
      <c r="G574" s="260" t="s">
        <v>3820</v>
      </c>
      <c r="H574" s="261" t="str">
        <f>'Dry_Litterbag Placem_Collection'!C135</f>
        <v>Wet_P1_T5</v>
      </c>
      <c r="I574" s="270" t="s">
        <v>3630</v>
      </c>
      <c r="J574" s="263" t="s">
        <v>1147</v>
      </c>
      <c r="K574" s="260" t="str">
        <f>IF(ISBLANK('Dry_Litterbag Placem_Collection'!L135),"","G"&amp;""&amp;'Dry_Litterbag Placem_Collection'!L135)</f>
        <v>G210</v>
      </c>
      <c r="L574" s="264">
        <f>IFERROR(INDEX('Green_rooibos initial weight'!$C$5:$C$2000,MATCH(K574, 'Green_rooibos initial weight'!$A$5:$A$2000,0)),"")</f>
        <v>1.923</v>
      </c>
      <c r="M574" s="264">
        <f>IFERROR(L574-(TBIcalc!$Q$9+TBIcalc!$Q$10),"")</f>
        <v>1.6732</v>
      </c>
      <c r="N574" s="385">
        <f>AVERAGE(Ashed_controlls!$K$2:$K$11)</f>
        <v>5.5147656768714146</v>
      </c>
      <c r="O574" s="264">
        <f t="shared" si="41"/>
        <v>1.5809269406945876</v>
      </c>
      <c r="P574" s="264" t="str">
        <f>IFERROR(INDEX('Both teabags AfterDry'!$D$2:$D$2000,MATCH(K574,'Both teabags AfterDry'!$A$2:$A$2000,0)),"")</f>
        <v/>
      </c>
      <c r="Q574" s="264" t="str">
        <f>IFERROR(IF(P574&gt;0,P574-(TBIcalc!$Q$9),""),"")</f>
        <v/>
      </c>
      <c r="R574" s="275" t="str">
        <f>IFERROR(INDEX('Ashed teabags dry'!$K$2:$K$2000,MATCH(K574,'Ashed teabags dry'!$A$2:$A$2000,0)),"")</f>
        <v/>
      </c>
      <c r="S574" s="275" t="str">
        <f t="shared" si="42"/>
        <v/>
      </c>
      <c r="T574" s="265">
        <f>IF('Dry_Litterbag Placem_Collection'!E135="","",'Dry_Litterbag Placem_Collection'!E135)</f>
        <v>42939</v>
      </c>
      <c r="U574" s="265">
        <f>IF('Dry_Litterbag Placem_Collection'!G135="","",'Dry_Litterbag Placem_Collection'!G135)</f>
        <v>43008</v>
      </c>
      <c r="V574" s="266">
        <f t="shared" si="40"/>
        <v>69</v>
      </c>
      <c r="W574" s="264" t="str">
        <f t="shared" si="43"/>
        <v/>
      </c>
      <c r="X574" s="264" t="str">
        <f t="shared" si="44"/>
        <v/>
      </c>
      <c r="Y574" s="268">
        <f>IFERROR(INDEX(Rainfall_Dry!$O$2:$O$217,MATCH(B574, Rainfall_Dry!$A$2:$A$217,0)),"")</f>
        <v>136.27214243</v>
      </c>
      <c r="Z574" s="257">
        <v>31.214836424255054</v>
      </c>
      <c r="AA574" s="257">
        <v>11.377370285476141</v>
      </c>
      <c r="AB574" s="257">
        <v>57.407793290268799</v>
      </c>
      <c r="AC574" s="258" t="s">
        <v>2654</v>
      </c>
      <c r="AD574" s="257">
        <v>5.7337604731394798</v>
      </c>
      <c r="AE574">
        <f>IF('WetLitterbags placem_collection'!AB135="","",'WetLitterbags placem_collection'!AB135)</f>
        <v>2.2000000000000002</v>
      </c>
      <c r="AF574">
        <f>IF('WetLitterbags placem_collection'!Z135="","",'WetLitterbags placem_collection'!Z135)</f>
        <v>10</v>
      </c>
      <c r="AG574" s="243" t="str">
        <f>IF('WetLitterbags placem_collection'!AA135="","",'WetLitterbags placem_collection'!AA135)</f>
        <v>O</v>
      </c>
      <c r="AH574">
        <f>IF('WetLitterbags placem_collection'!AC135="","",'WetLitterbags placem_collection'!AC135)</f>
        <v>1</v>
      </c>
      <c r="AI574">
        <f>IFERROR(AVERAGE('Dry_Litterbag Placem_Collection'!O135,'Dry_Litterbag Placem_Collection'!R135),"")</f>
        <v>8.75</v>
      </c>
      <c r="AJ574" s="268">
        <f>IFERROR(AVERAGE('Dry_Litterbag Placem_Collection'!N135,'Dry_Litterbag Placem_Collection'!Q135),"")</f>
        <v>31.3</v>
      </c>
      <c r="AK574" s="267">
        <f>INDEX(Coordinates!$B$2:$B$197,MATCH(H574,Coordinates!$J$2:$J$197,0))</f>
        <v>-2.350474996</v>
      </c>
      <c r="AL574" s="267">
        <f>INDEX(Coordinates!$C$2:$C$197,MATCH(H574,Coordinates!$J$2:$J$197,0))</f>
        <v>34.049801979999998</v>
      </c>
      <c r="AM574" s="267" t="str">
        <f>IF(ISNUMBER(SEARCH("C", 'Dry_Litterbag Placem_Collection'!U135)),"YES","NO")</f>
        <v>NO</v>
      </c>
      <c r="AN574" s="267" t="str">
        <f>IF(ISNUMBER(SEARCH("H", 'Dry_Litterbag Placem_Collection'!U135)),"YES","NO")</f>
        <v>NO</v>
      </c>
      <c r="AO574" s="267" t="str">
        <f>IF(ISNUMBER(SEARCH("R", 'Dry_Litterbag Placem_Collection'!U135)),"YES","NO")</f>
        <v>YES</v>
      </c>
    </row>
    <row r="575" spans="1:41" ht="15" customHeight="1">
      <c r="A575" s="259" t="s">
        <v>2643</v>
      </c>
      <c r="B575" s="260">
        <f>'Dry_Litterbag Placem_Collection'!A136</f>
        <v>134</v>
      </c>
      <c r="C575" s="260" t="str">
        <f>'Dry_Litterbag Placem_Collection'!B136</f>
        <v xml:space="preserve">Mwantimba
</v>
      </c>
      <c r="D575" s="260" t="s">
        <v>2454</v>
      </c>
      <c r="E575" s="260" t="s">
        <v>20</v>
      </c>
      <c r="F575" s="260">
        <v>1</v>
      </c>
      <c r="G575" s="260" t="s">
        <v>3820</v>
      </c>
      <c r="H575" s="261" t="str">
        <f>'Dry_Litterbag Placem_Collection'!C136</f>
        <v>Wet_P1_T6</v>
      </c>
      <c r="I575" s="270" t="s">
        <v>3630</v>
      </c>
      <c r="J575" s="263" t="s">
        <v>1147</v>
      </c>
      <c r="K575" s="260" t="str">
        <f>IF(ISBLANK('Dry_Litterbag Placem_Collection'!L136),"","G"&amp;""&amp;'Dry_Litterbag Placem_Collection'!L136)</f>
        <v>G40</v>
      </c>
      <c r="L575" s="264">
        <f>IFERROR(INDEX('Green_rooibos initial weight'!$C$5:$C$2000,MATCH(K575, 'Green_rooibos initial weight'!$A$5:$A$2000,0)),"")</f>
        <v>2.0369999999999999</v>
      </c>
      <c r="M575" s="264">
        <f>IFERROR(L575-(TBIcalc!$Q$9+TBIcalc!$Q$10),"")</f>
        <v>1.7871999999999999</v>
      </c>
      <c r="N575" s="385">
        <f>AVERAGE(Ashed_controlls!$K$2:$K$11)</f>
        <v>5.5147656768714146</v>
      </c>
      <c r="O575" s="264">
        <f t="shared" si="41"/>
        <v>1.688640107822954</v>
      </c>
      <c r="P575" s="264">
        <f>IFERROR(INDEX('Both teabags AfterDry'!$D$2:$D$2000,MATCH(K575,'Both teabags AfterDry'!$A$2:$A$2000,0)),"")</f>
        <v>0.68400000000000005</v>
      </c>
      <c r="Q575" s="264">
        <f>IFERROR(IF(P575&gt;0,P575-(TBIcalc!$Q$9),""),"")</f>
        <v>0.5334000000000001</v>
      </c>
      <c r="R575" s="275">
        <f>IFERROR(INDEX('Ashed teabags dry'!$K$2:$K$2000,MATCH(K575,'Ashed teabags dry'!$A$2:$A$2000,0)),"")</f>
        <v>16.995073891625683</v>
      </c>
      <c r="S575" s="275">
        <f t="shared" si="42"/>
        <v>0.44274827586206866</v>
      </c>
      <c r="T575" s="265">
        <f>IF('Dry_Litterbag Placem_Collection'!E136="","",'Dry_Litterbag Placem_Collection'!E136)</f>
        <v>42939</v>
      </c>
      <c r="U575" s="265">
        <f>IF('Dry_Litterbag Placem_Collection'!G136="","",'Dry_Litterbag Placem_Collection'!G136)</f>
        <v>43008</v>
      </c>
      <c r="V575" s="266">
        <f t="shared" si="40"/>
        <v>69</v>
      </c>
      <c r="W575" s="264">
        <f t="shared" si="43"/>
        <v>1.2537999999999998</v>
      </c>
      <c r="X575" s="264">
        <f t="shared" si="44"/>
        <v>1.2458918319608854</v>
      </c>
      <c r="Y575" s="268">
        <f>IFERROR(INDEX(Rainfall_Dry!$O$2:$O$217,MATCH(B575, Rainfall_Dry!$A$2:$A$217,0)),"")</f>
        <v>136.27214243</v>
      </c>
      <c r="Z575" s="257">
        <v>31.214836424255054</v>
      </c>
      <c r="AA575" s="257">
        <v>11.377370285476141</v>
      </c>
      <c r="AB575" s="257">
        <v>57.407793290268799</v>
      </c>
      <c r="AC575" s="258" t="s">
        <v>2654</v>
      </c>
      <c r="AD575" s="257">
        <v>6.7337604731394798</v>
      </c>
      <c r="AE575">
        <f>IF('WetLitterbags placem_collection'!AB136="","",'WetLitterbags placem_collection'!AB136)</f>
        <v>1.1000000000000001</v>
      </c>
      <c r="AF575">
        <f>IF('WetLitterbags placem_collection'!Z136="","",'WetLitterbags placem_collection'!Z136)</f>
        <v>15.4</v>
      </c>
      <c r="AG575" s="243" t="str">
        <f>IF('WetLitterbags placem_collection'!AA136="","",'WetLitterbags placem_collection'!AA136)</f>
        <v>O</v>
      </c>
      <c r="AH575">
        <f>IF('WetLitterbags placem_collection'!AC136="","",'WetLitterbags placem_collection'!AC136)</f>
        <v>1</v>
      </c>
      <c r="AI575">
        <f>IFERROR(AVERAGE('Dry_Litterbag Placem_Collection'!O136,'Dry_Litterbag Placem_Collection'!R136),"")</f>
        <v>6.65</v>
      </c>
      <c r="AJ575" s="268">
        <f>IFERROR(AVERAGE('Dry_Litterbag Placem_Collection'!N136,'Dry_Litterbag Placem_Collection'!Q136),"")</f>
        <v>29.200000000000003</v>
      </c>
      <c r="AK575" s="267">
        <f>INDEX(Coordinates!$B$2:$B$197,MATCH(H575,Coordinates!$J$2:$J$197,0))</f>
        <v>-2.3503559730000001</v>
      </c>
      <c r="AL575" s="267">
        <f>INDEX(Coordinates!$C$2:$C$197,MATCH(H575,Coordinates!$J$2:$J$197,0))</f>
        <v>34.049800980000001</v>
      </c>
      <c r="AM575" s="267" t="str">
        <f>IF(ISNUMBER(SEARCH("C", 'Dry_Litterbag Placem_Collection'!U136)),"YES","NO")</f>
        <v>NO</v>
      </c>
      <c r="AN575" s="267" t="str">
        <f>IF(ISNUMBER(SEARCH("H", 'Dry_Litterbag Placem_Collection'!U136)),"YES","NO")</f>
        <v>NO</v>
      </c>
      <c r="AO575" s="267" t="str">
        <f>IF(ISNUMBER(SEARCH("R", 'Dry_Litterbag Placem_Collection'!U136)),"YES","NO")</f>
        <v>YES</v>
      </c>
    </row>
    <row r="576" spans="1:41" ht="15" customHeight="1">
      <c r="A576" s="259" t="s">
        <v>2643</v>
      </c>
      <c r="B576" s="260">
        <f>'Dry_Litterbag Placem_Collection'!A137</f>
        <v>135</v>
      </c>
      <c r="C576" s="260" t="str">
        <f>'Dry_Litterbag Placem_Collection'!B137</f>
        <v xml:space="preserve">Mwantimba
</v>
      </c>
      <c r="D576" s="260" t="s">
        <v>2454</v>
      </c>
      <c r="E576" s="260" t="s">
        <v>20</v>
      </c>
      <c r="F576" s="260">
        <v>1</v>
      </c>
      <c r="G576" s="260" t="s">
        <v>3820</v>
      </c>
      <c r="H576" s="261" t="str">
        <f>'Dry_Litterbag Placem_Collection'!C137</f>
        <v>Wet_P1_T7</v>
      </c>
      <c r="I576" s="270" t="s">
        <v>3630</v>
      </c>
      <c r="J576" s="263" t="s">
        <v>1147</v>
      </c>
      <c r="K576" s="260" t="str">
        <f>IF(ISBLANK('Dry_Litterbag Placem_Collection'!L137),"","G"&amp;""&amp;'Dry_Litterbag Placem_Collection'!L137)</f>
        <v>G517</v>
      </c>
      <c r="L576" s="264">
        <f>IFERROR(INDEX('Green_rooibos initial weight'!$C$5:$C$2000,MATCH(K576, 'Green_rooibos initial weight'!$A$5:$A$2000,0)),"")</f>
        <v>2.069</v>
      </c>
      <c r="M576" s="264">
        <f>IFERROR(L576-(TBIcalc!$Q$9+TBIcalc!$Q$10),"")</f>
        <v>1.8191999999999999</v>
      </c>
      <c r="N576" s="385">
        <f>AVERAGE(Ashed_controlls!$K$2:$K$11)</f>
        <v>5.5147656768714146</v>
      </c>
      <c r="O576" s="264">
        <f t="shared" si="41"/>
        <v>1.7188753828063552</v>
      </c>
      <c r="P576" s="264">
        <f>IFERROR(INDEX('Both teabags AfterDry'!$D$2:$D$2000,MATCH(K576,'Both teabags AfterDry'!$A$2:$A$2000,0)),"")</f>
        <v>0.7097</v>
      </c>
      <c r="Q576" s="264">
        <f>IFERROR(IF(P576&gt;0,P576-(TBIcalc!$Q$9),""),"")</f>
        <v>0.55909999999999993</v>
      </c>
      <c r="R576" s="275">
        <f>IFERROR(INDEX('Ashed teabags dry'!$K$2:$K$2000,MATCH(K576,'Ashed teabags dry'!$A$2:$A$2000,0)),"")</f>
        <v>18.257464512971215</v>
      </c>
      <c r="S576" s="275">
        <f t="shared" si="42"/>
        <v>0.45702251590797788</v>
      </c>
      <c r="T576" s="265">
        <f>IF('Dry_Litterbag Placem_Collection'!E137="","",'Dry_Litterbag Placem_Collection'!E137)</f>
        <v>42939</v>
      </c>
      <c r="U576" s="265">
        <f>IF('Dry_Litterbag Placem_Collection'!G137="","",'Dry_Litterbag Placem_Collection'!G137)</f>
        <v>43008</v>
      </c>
      <c r="V576" s="266">
        <f t="shared" si="40"/>
        <v>69</v>
      </c>
      <c r="W576" s="264">
        <f t="shared" si="43"/>
        <v>1.2601</v>
      </c>
      <c r="X576" s="264">
        <f t="shared" si="44"/>
        <v>1.2618528668983773</v>
      </c>
      <c r="Y576" s="268">
        <f>IFERROR(INDEX(Rainfall_Dry!$O$2:$O$217,MATCH(B576, Rainfall_Dry!$A$2:$A$217,0)),"")</f>
        <v>136.27214243</v>
      </c>
      <c r="Z576" s="257">
        <v>31.214836424255054</v>
      </c>
      <c r="AA576" s="257">
        <v>11.377370285476141</v>
      </c>
      <c r="AB576" s="257">
        <v>57.407793290268799</v>
      </c>
      <c r="AC576" s="258" t="s">
        <v>2654</v>
      </c>
      <c r="AD576" s="257">
        <v>7.7337604731394798</v>
      </c>
      <c r="AE576">
        <f>IF('WetLitterbags placem_collection'!AB137="","",'WetLitterbags placem_collection'!AB137)</f>
        <v>2.1</v>
      </c>
      <c r="AF576">
        <f>IF('WetLitterbags placem_collection'!Z137="","",'WetLitterbags placem_collection'!Z137)</f>
        <v>5.6</v>
      </c>
      <c r="AG576" s="243" t="str">
        <f>IF('WetLitterbags placem_collection'!AA137="","",'WetLitterbags placem_collection'!AA137)</f>
        <v>O</v>
      </c>
      <c r="AH576">
        <f>IF('WetLitterbags placem_collection'!AC137="","",'WetLitterbags placem_collection'!AC137)</f>
        <v>1</v>
      </c>
      <c r="AI576">
        <f>IFERROR(AVERAGE('Dry_Litterbag Placem_Collection'!O137,'Dry_Litterbag Placem_Collection'!R137),"")</f>
        <v>8.5500000000000007</v>
      </c>
      <c r="AJ576" s="268">
        <f>IFERROR(AVERAGE('Dry_Litterbag Placem_Collection'!N137,'Dry_Litterbag Placem_Collection'!Q137),"")</f>
        <v>31.35</v>
      </c>
      <c r="AK576" s="267">
        <f>INDEX(Coordinates!$B$2:$B$197,MATCH(H576,Coordinates!$J$2:$J$197,0))</f>
        <v>-2.3503589909999998</v>
      </c>
      <c r="AL576" s="267">
        <f>INDEX(Coordinates!$C$2:$C$197,MATCH(H576,Coordinates!$J$2:$J$197,0))</f>
        <v>34.049719000000003</v>
      </c>
      <c r="AM576" s="267" t="str">
        <f>IF(ISNUMBER(SEARCH("C", 'Dry_Litterbag Placem_Collection'!U137)),"YES","NO")</f>
        <v>NO</v>
      </c>
      <c r="AN576" s="267" t="str">
        <f>IF(ISNUMBER(SEARCH("H", 'Dry_Litterbag Placem_Collection'!U137)),"YES","NO")</f>
        <v>NO</v>
      </c>
      <c r="AO576" s="267" t="str">
        <f>IF(ISNUMBER(SEARCH("R", 'Dry_Litterbag Placem_Collection'!U137)),"YES","NO")</f>
        <v>NO</v>
      </c>
    </row>
    <row r="577" spans="1:41" ht="15" customHeight="1">
      <c r="A577" s="259" t="s">
        <v>2643</v>
      </c>
      <c r="B577" s="260">
        <f>'Dry_Litterbag Placem_Collection'!A138</f>
        <v>136</v>
      </c>
      <c r="C577" s="260" t="str">
        <f>'Dry_Litterbag Placem_Collection'!B138</f>
        <v xml:space="preserve">Mwantimba
</v>
      </c>
      <c r="D577" s="260" t="s">
        <v>2454</v>
      </c>
      <c r="E577" s="260" t="s">
        <v>20</v>
      </c>
      <c r="F577" s="260">
        <v>1</v>
      </c>
      <c r="G577" s="260" t="s">
        <v>3820</v>
      </c>
      <c r="H577" s="261" t="str">
        <f>'Dry_Litterbag Placem_Collection'!C138</f>
        <v>Wet_P1_T8</v>
      </c>
      <c r="I577" s="270" t="s">
        <v>3630</v>
      </c>
      <c r="J577" s="263" t="s">
        <v>1147</v>
      </c>
      <c r="K577" s="260" t="str">
        <f>IF(ISBLANK('Dry_Litterbag Placem_Collection'!L138),"","G"&amp;""&amp;'Dry_Litterbag Placem_Collection'!L138)</f>
        <v>G67</v>
      </c>
      <c r="L577" s="264">
        <f>IFERROR(INDEX('Green_rooibos initial weight'!$C$5:$C$2000,MATCH(K577, 'Green_rooibos initial weight'!$A$5:$A$2000,0)),"")</f>
        <v>1.984</v>
      </c>
      <c r="M577" s="264">
        <f>IFERROR(L577-(TBIcalc!$Q$9+TBIcalc!$Q$10),"")</f>
        <v>1.7342</v>
      </c>
      <c r="N577" s="385">
        <f>AVERAGE(Ashed_controlls!$K$2:$K$11)</f>
        <v>5.5147656768714146</v>
      </c>
      <c r="O577" s="264">
        <f t="shared" si="41"/>
        <v>1.6385629336316958</v>
      </c>
      <c r="P577" s="264">
        <f>IFERROR(INDEX('Both teabags AfterDry'!$D$2:$D$2000,MATCH(K577,'Both teabags AfterDry'!$A$2:$A$2000,0)),"")</f>
        <v>0.77739999999999998</v>
      </c>
      <c r="Q577" s="264">
        <f>IFERROR(IF(P577&gt;0,P577-(TBIcalc!$Q$9),""),"")</f>
        <v>0.62680000000000002</v>
      </c>
      <c r="R577" s="275">
        <f>IFERROR(INDEX('Ashed teabags dry'!$K$2:$K$2000,MATCH(K577,'Ashed teabags dry'!$A$2:$A$2000,0)),"")</f>
        <v>23.004251299007908</v>
      </c>
      <c r="S577" s="275">
        <f t="shared" si="42"/>
        <v>0.48260935285781847</v>
      </c>
      <c r="T577" s="265">
        <f>IF('Dry_Litterbag Placem_Collection'!E138="","",'Dry_Litterbag Placem_Collection'!E138)</f>
        <v>42939</v>
      </c>
      <c r="U577" s="265">
        <f>IF('Dry_Litterbag Placem_Collection'!G138="","",'Dry_Litterbag Placem_Collection'!G138)</f>
        <v>43008</v>
      </c>
      <c r="V577" s="266">
        <f t="shared" si="40"/>
        <v>69</v>
      </c>
      <c r="W577" s="264">
        <f t="shared" si="43"/>
        <v>1.1073999999999999</v>
      </c>
      <c r="X577" s="264">
        <f t="shared" si="44"/>
        <v>1.1559535807738772</v>
      </c>
      <c r="Y577" s="268">
        <f>IFERROR(INDEX(Rainfall_Dry!$O$2:$O$217,MATCH(B577, Rainfall_Dry!$A$2:$A$217,0)),"")</f>
        <v>136.27214243</v>
      </c>
      <c r="Z577" s="257">
        <v>31.214836424255054</v>
      </c>
      <c r="AA577" s="257">
        <v>11.377370285476141</v>
      </c>
      <c r="AB577" s="257">
        <v>57.407793290268799</v>
      </c>
      <c r="AC577" s="258" t="s">
        <v>2654</v>
      </c>
      <c r="AD577" s="257">
        <v>8.7337604731394798</v>
      </c>
      <c r="AE577">
        <f>IF('WetLitterbags placem_collection'!AB138="","",'WetLitterbags placem_collection'!AB138)</f>
        <v>2.2999999999999998</v>
      </c>
      <c r="AF577">
        <f>IF('WetLitterbags placem_collection'!Z138="","",'WetLitterbags placem_collection'!Z138)</f>
        <v>16.3</v>
      </c>
      <c r="AG577" s="243" t="str">
        <f>IF('WetLitterbags placem_collection'!AA138="","",'WetLitterbags placem_collection'!AA138)</f>
        <v>G</v>
      </c>
      <c r="AH577">
        <f>IF('WetLitterbags placem_collection'!AC138="","",'WetLitterbags placem_collection'!AC138)</f>
        <v>1</v>
      </c>
      <c r="AI577">
        <f>IFERROR(AVERAGE('Dry_Litterbag Placem_Collection'!O138,'Dry_Litterbag Placem_Collection'!R138),"")</f>
        <v>5.9</v>
      </c>
      <c r="AJ577" s="268">
        <f>IFERROR(AVERAGE('Dry_Litterbag Placem_Collection'!N138,'Dry_Litterbag Placem_Collection'!Q138),"")</f>
        <v>29.9</v>
      </c>
      <c r="AK577" s="267">
        <f>INDEX(Coordinates!$B$2:$B$197,MATCH(H577,Coordinates!$J$2:$J$197,0))</f>
        <v>-2.3502159960000002</v>
      </c>
      <c r="AL577" s="267">
        <f>INDEX(Coordinates!$C$2:$C$197,MATCH(H577,Coordinates!$J$2:$J$197,0))</f>
        <v>34.049822020000001</v>
      </c>
      <c r="AM577" s="267" t="str">
        <f>IF(ISNUMBER(SEARCH("C", 'Dry_Litterbag Placem_Collection'!U138)),"YES","NO")</f>
        <v>NO</v>
      </c>
      <c r="AN577" s="267" t="str">
        <f>IF(ISNUMBER(SEARCH("H", 'Dry_Litterbag Placem_Collection'!U138)),"YES","NO")</f>
        <v>NO</v>
      </c>
      <c r="AO577" s="267" t="str">
        <f>IF(ISNUMBER(SEARCH("R", 'Dry_Litterbag Placem_Collection'!U138)),"YES","NO")</f>
        <v>YES</v>
      </c>
    </row>
    <row r="578" spans="1:41" ht="15" customHeight="1">
      <c r="A578" s="259" t="s">
        <v>2643</v>
      </c>
      <c r="B578" s="260">
        <f>'Dry_Litterbag Placem_Collection'!A139</f>
        <v>137</v>
      </c>
      <c r="C578" s="260" t="str">
        <f>'Dry_Litterbag Placem_Collection'!B139</f>
        <v xml:space="preserve">Mwantimba
</v>
      </c>
      <c r="D578" s="260" t="s">
        <v>2454</v>
      </c>
      <c r="E578" s="260" t="s">
        <v>20</v>
      </c>
      <c r="F578" s="260">
        <v>2</v>
      </c>
      <c r="G578" s="260" t="s">
        <v>3822</v>
      </c>
      <c r="H578" s="261" t="str">
        <f>'Dry_Litterbag Placem_Collection'!C139</f>
        <v>Wet_P2_T1</v>
      </c>
      <c r="I578" s="270" t="s">
        <v>3630</v>
      </c>
      <c r="J578" s="263" t="s">
        <v>1147</v>
      </c>
      <c r="K578" s="260" t="str">
        <f>IF(ISBLANK('Dry_Litterbag Placem_Collection'!L139),"","G"&amp;""&amp;'Dry_Litterbag Placem_Collection'!L139)</f>
        <v>G335</v>
      </c>
      <c r="L578" s="264">
        <f>IFERROR(INDEX('Green_rooibos initial weight'!$C$5:$C$2000,MATCH(K578, 'Green_rooibos initial weight'!$A$5:$A$2000,0)),"")</f>
        <v>1.956</v>
      </c>
      <c r="M578" s="264">
        <f>IFERROR(L578-(TBIcalc!$Q$9+TBIcalc!$Q$10),"")</f>
        <v>1.7061999999999999</v>
      </c>
      <c r="N578" s="385">
        <f>AVERAGE(Ashed_controlls!$K$2:$K$11)</f>
        <v>5.5147656768714146</v>
      </c>
      <c r="O578" s="264">
        <f t="shared" si="41"/>
        <v>1.6121070680212199</v>
      </c>
      <c r="P578" s="264">
        <f>IFERROR(INDEX('Both teabags AfterDry'!$D$2:$D$2000,MATCH(K578,'Both teabags AfterDry'!$A$2:$A$2000,0)),"")</f>
        <v>0.85829999999999995</v>
      </c>
      <c r="Q578" s="264">
        <f>IFERROR(IF(P578&gt;0,P578-(TBIcalc!$Q$9),""),"")</f>
        <v>0.7077</v>
      </c>
      <c r="R578" s="275">
        <f>IFERROR(INDEX('Ashed teabags dry'!$K$2:$K$2000,MATCH(K578,'Ashed teabags dry'!$A$2:$A$2000,0)),"")</f>
        <v>28.521997034107514</v>
      </c>
      <c r="S578" s="275">
        <f t="shared" si="42"/>
        <v>0.50584982698962111</v>
      </c>
      <c r="T578" s="265">
        <f>IF('Dry_Litterbag Placem_Collection'!E139="","",'Dry_Litterbag Placem_Collection'!E139)</f>
        <v>42939</v>
      </c>
      <c r="U578" s="265">
        <f>IF('Dry_Litterbag Placem_Collection'!G139="","",'Dry_Litterbag Placem_Collection'!G139)</f>
        <v>43008</v>
      </c>
      <c r="V578" s="266">
        <f t="shared" ref="V578:V641" si="45">IFERROR(U578-T578,"")</f>
        <v>69</v>
      </c>
      <c r="W578" s="264">
        <f t="shared" si="43"/>
        <v>0.99849999999999994</v>
      </c>
      <c r="X578" s="264">
        <f t="shared" si="44"/>
        <v>1.1062572410315989</v>
      </c>
      <c r="Y578" s="268">
        <f>IFERROR(INDEX(Rainfall_Dry!$O$2:$O$217,MATCH(B578, Rainfall_Dry!$A$2:$A$217,0)),"")</f>
        <v>136.27214243</v>
      </c>
      <c r="Z578" s="257">
        <v>33.96</v>
      </c>
      <c r="AA578" s="257">
        <v>8.9200000000000017</v>
      </c>
      <c r="AB578" s="257">
        <v>57.12</v>
      </c>
      <c r="AC578" s="258" t="s">
        <v>2654</v>
      </c>
      <c r="AD578" s="257">
        <v>2.072055199605717</v>
      </c>
      <c r="AE578">
        <f>IF('WetLitterbags placem_collection'!AB139="","",'WetLitterbags placem_collection'!AB139)</f>
        <v>1.2</v>
      </c>
      <c r="AF578">
        <f>IF('WetLitterbags placem_collection'!Z139="","",'WetLitterbags placem_collection'!Z139)</f>
        <v>32.4</v>
      </c>
      <c r="AG578" s="243" t="str">
        <f>IF('WetLitterbags placem_collection'!AA139="","",'WetLitterbags placem_collection'!AA139)</f>
        <v>G</v>
      </c>
      <c r="AH578">
        <f>IF('WetLitterbags placem_collection'!AC139="","",'WetLitterbags placem_collection'!AC139)</f>
        <v>1</v>
      </c>
      <c r="AI578">
        <f>IFERROR(AVERAGE('Dry_Litterbag Placem_Collection'!O139,'Dry_Litterbag Placem_Collection'!R139),"")</f>
        <v>8.9</v>
      </c>
      <c r="AJ578" s="268">
        <f>IFERROR(AVERAGE('Dry_Litterbag Placem_Collection'!N139,'Dry_Litterbag Placem_Collection'!Q139),"")</f>
        <v>27.55</v>
      </c>
      <c r="AK578" s="267">
        <f>INDEX(Coordinates!$B$2:$B$197,MATCH(H578,Coordinates!$J$2:$J$197,0))</f>
        <v>-2.348596025</v>
      </c>
      <c r="AL578" s="267">
        <f>INDEX(Coordinates!$C$2:$C$197,MATCH(H578,Coordinates!$J$2:$J$197,0))</f>
        <v>34.050070959999999</v>
      </c>
      <c r="AM578" s="267" t="str">
        <f>IF(ISNUMBER(SEARCH("C", 'Dry_Litterbag Placem_Collection'!U139)),"YES","NO")</f>
        <v>NO</v>
      </c>
      <c r="AN578" s="267" t="str">
        <f>IF(ISNUMBER(SEARCH("H", 'Dry_Litterbag Placem_Collection'!U139)),"YES","NO")</f>
        <v>NO</v>
      </c>
      <c r="AO578" s="267" t="str">
        <f>IF(ISNUMBER(SEARCH("R", 'Dry_Litterbag Placem_Collection'!U139)),"YES","NO")</f>
        <v>NO</v>
      </c>
    </row>
    <row r="579" spans="1:41" ht="15" customHeight="1">
      <c r="A579" s="259" t="s">
        <v>2643</v>
      </c>
      <c r="B579" s="260">
        <f>'Dry_Litterbag Placem_Collection'!A140</f>
        <v>138</v>
      </c>
      <c r="C579" s="260" t="str">
        <f>'Dry_Litterbag Placem_Collection'!B140</f>
        <v xml:space="preserve">Mwantimba
</v>
      </c>
      <c r="D579" s="260" t="s">
        <v>2454</v>
      </c>
      <c r="E579" s="260" t="s">
        <v>20</v>
      </c>
      <c r="F579" s="260">
        <v>2</v>
      </c>
      <c r="G579" s="260" t="s">
        <v>3822</v>
      </c>
      <c r="H579" s="261" t="str">
        <f>'Dry_Litterbag Placem_Collection'!C140</f>
        <v>Wet_P2_T2</v>
      </c>
      <c r="I579" s="270" t="s">
        <v>3630</v>
      </c>
      <c r="J579" s="263" t="s">
        <v>1147</v>
      </c>
      <c r="K579" s="260" t="str">
        <f>IF(ISBLANK('Dry_Litterbag Placem_Collection'!L140),"","G"&amp;""&amp;'Dry_Litterbag Placem_Collection'!L140)</f>
        <v>G484</v>
      </c>
      <c r="L579" s="264">
        <f>IFERROR(INDEX('Green_rooibos initial weight'!$C$5:$C$2000,MATCH(K579, 'Green_rooibos initial weight'!$A$5:$A$2000,0)),"")</f>
        <v>2.0009999999999999</v>
      </c>
      <c r="M579" s="264">
        <f>IFERROR(L579-(TBIcalc!$Q$9+TBIcalc!$Q$10),"")</f>
        <v>1.7511999999999999</v>
      </c>
      <c r="N579" s="385">
        <f>AVERAGE(Ashed_controlls!$K$2:$K$11)</f>
        <v>5.5147656768714146</v>
      </c>
      <c r="O579" s="264">
        <f t="shared" ref="O579:O642" si="46">IFERROR(M579-(N579/100)*M579,"")</f>
        <v>1.6546254234666278</v>
      </c>
      <c r="P579" s="264">
        <f>IFERROR(INDEX('Both teabags AfterDry'!$D$2:$D$2000,MATCH(K579,'Both teabags AfterDry'!$A$2:$A$2000,0)),"")</f>
        <v>0.66439999999999999</v>
      </c>
      <c r="Q579" s="264">
        <f>IFERROR(IF(P579&gt;0,P579-(TBIcalc!$Q$9),""),"")</f>
        <v>0.51380000000000003</v>
      </c>
      <c r="R579" s="275">
        <f>IFERROR(INDEX('Ashed teabags dry'!$K$2:$K$2000,MATCH(K579,'Ashed teabags dry'!$A$2:$A$2000,0)),"")</f>
        <v>17.053529133112047</v>
      </c>
      <c r="S579" s="275">
        <f t="shared" ref="S579:S642" si="47">IFERROR(Q579-(R579/100)*Q579,"")</f>
        <v>0.42617896731407034</v>
      </c>
      <c r="T579" s="265">
        <f>IF('Dry_Litterbag Placem_Collection'!E140="","",'Dry_Litterbag Placem_Collection'!E140)</f>
        <v>42939</v>
      </c>
      <c r="U579" s="265">
        <f>IF('Dry_Litterbag Placem_Collection'!G140="","",'Dry_Litterbag Placem_Collection'!G140)</f>
        <v>43008</v>
      </c>
      <c r="V579" s="266">
        <f t="shared" si="45"/>
        <v>69</v>
      </c>
      <c r="W579" s="264">
        <f t="shared" ref="W579:W642" si="48">IFERROR(M579-Q579,"")</f>
        <v>1.2373999999999998</v>
      </c>
      <c r="X579" s="264">
        <f t="shared" ref="X579:X642" si="49">IFERROR(O579-S579,"")</f>
        <v>1.2284464561525574</v>
      </c>
      <c r="Y579" s="268">
        <f>IFERROR(INDEX(Rainfall_Dry!$O$2:$O$217,MATCH(B579, Rainfall_Dry!$A$2:$A$217,0)),"")</f>
        <v>136.27214243</v>
      </c>
      <c r="Z579" s="257">
        <v>33.96</v>
      </c>
      <c r="AA579" s="257">
        <v>8.9200000000000017</v>
      </c>
      <c r="AB579" s="257">
        <v>57.12</v>
      </c>
      <c r="AC579" s="258" t="s">
        <v>2654</v>
      </c>
      <c r="AD579" s="257">
        <v>3.0720551996057202</v>
      </c>
      <c r="AE579">
        <f>IF('WetLitterbags placem_collection'!AB140="","",'WetLitterbags placem_collection'!AB140)</f>
        <v>2.8</v>
      </c>
      <c r="AF579">
        <f>IF('WetLitterbags placem_collection'!Z140="","",'WetLitterbags placem_collection'!Z140)</f>
        <v>26.4</v>
      </c>
      <c r="AG579" s="243" t="str">
        <f>IF('WetLitterbags placem_collection'!AA140="","",'WetLitterbags placem_collection'!AA140)</f>
        <v>G</v>
      </c>
      <c r="AH579">
        <f>IF('WetLitterbags placem_collection'!AC140="","",'WetLitterbags placem_collection'!AC140)</f>
        <v>1</v>
      </c>
      <c r="AI579">
        <f>IFERROR(AVERAGE('Dry_Litterbag Placem_Collection'!O140,'Dry_Litterbag Placem_Collection'!R140),"")</f>
        <v>7.05</v>
      </c>
      <c r="AJ579" s="268">
        <f>IFERROR(AVERAGE('Dry_Litterbag Placem_Collection'!N140,'Dry_Litterbag Placem_Collection'!Q140),"")</f>
        <v>28.799999999999997</v>
      </c>
      <c r="AK579" s="267">
        <f>INDEX(Coordinates!$B$2:$B$197,MATCH(H579,Coordinates!$J$2:$J$197,0))</f>
        <v>-2.3485449790000001</v>
      </c>
      <c r="AL579" s="267">
        <f>INDEX(Coordinates!$C$2:$C$197,MATCH(H579,Coordinates!$J$2:$J$197,0))</f>
        <v>34.050146980000001</v>
      </c>
      <c r="AM579" s="267" t="str">
        <f>IF(ISNUMBER(SEARCH("C", 'Dry_Litterbag Placem_Collection'!U140)),"YES","NO")</f>
        <v>NO</v>
      </c>
      <c r="AN579" s="267" t="str">
        <f>IF(ISNUMBER(SEARCH("H", 'Dry_Litterbag Placem_Collection'!U140)),"YES","NO")</f>
        <v>NO</v>
      </c>
      <c r="AO579" s="267" t="str">
        <f>IF(ISNUMBER(SEARCH("R", 'Dry_Litterbag Placem_Collection'!U140)),"YES","NO")</f>
        <v>NO</v>
      </c>
    </row>
    <row r="580" spans="1:41" ht="15" customHeight="1">
      <c r="A580" s="259" t="s">
        <v>2643</v>
      </c>
      <c r="B580" s="260">
        <f>'Dry_Litterbag Placem_Collection'!A141</f>
        <v>139</v>
      </c>
      <c r="C580" s="260" t="str">
        <f>'Dry_Litterbag Placem_Collection'!B141</f>
        <v xml:space="preserve">Mwantimba
</v>
      </c>
      <c r="D580" s="260" t="s">
        <v>2454</v>
      </c>
      <c r="E580" s="260" t="s">
        <v>20</v>
      </c>
      <c r="F580" s="260">
        <v>2</v>
      </c>
      <c r="G580" s="260" t="s">
        <v>3822</v>
      </c>
      <c r="H580" s="261" t="str">
        <f>'Dry_Litterbag Placem_Collection'!C141</f>
        <v>Wet_P2_T3</v>
      </c>
      <c r="I580" s="270" t="s">
        <v>3630</v>
      </c>
      <c r="J580" s="263" t="s">
        <v>1147</v>
      </c>
      <c r="K580" s="260" t="str">
        <f>IF(ISBLANK('Dry_Litterbag Placem_Collection'!L141),"","G"&amp;""&amp;'Dry_Litterbag Placem_Collection'!L141)</f>
        <v>G868</v>
      </c>
      <c r="L580" s="264">
        <f>IFERROR(INDEX('Green_rooibos initial weight'!$C$5:$C$2000,MATCH(K580, 'Green_rooibos initial weight'!$A$5:$A$2000,0)),"")</f>
        <v>1.95</v>
      </c>
      <c r="M580" s="264">
        <f>IFERROR(L580-(TBIcalc!$Q$9+TBIcalc!$Q$10),"")</f>
        <v>1.7001999999999999</v>
      </c>
      <c r="N580" s="385">
        <f>AVERAGE(Ashed_controlls!$K$2:$K$11)</f>
        <v>5.5147656768714146</v>
      </c>
      <c r="O580" s="264">
        <f t="shared" si="46"/>
        <v>1.6064379539618321</v>
      </c>
      <c r="P580" s="264">
        <f>IFERROR(INDEX('Both teabags AfterDry'!$D$2:$D$2000,MATCH(K580,'Both teabags AfterDry'!$A$2:$A$2000,0)),"")</f>
        <v>0.71699999999999997</v>
      </c>
      <c r="Q580" s="264">
        <f>IFERROR(IF(P580&gt;0,P580-(TBIcalc!$Q$9),""),"")</f>
        <v>0.56640000000000001</v>
      </c>
      <c r="R580" s="275">
        <f>IFERROR(INDEX('Ashed teabags dry'!$K$2:$K$2000,MATCH(K580,'Ashed teabags dry'!$A$2:$A$2000,0)),"")</f>
        <v>21.365853658537009</v>
      </c>
      <c r="S580" s="275">
        <f t="shared" si="47"/>
        <v>0.44538380487804641</v>
      </c>
      <c r="T580" s="265">
        <f>IF('Dry_Litterbag Placem_Collection'!E141="","",'Dry_Litterbag Placem_Collection'!E141)</f>
        <v>42939</v>
      </c>
      <c r="U580" s="265">
        <f>IF('Dry_Litterbag Placem_Collection'!G141="","",'Dry_Litterbag Placem_Collection'!G141)</f>
        <v>43008</v>
      </c>
      <c r="V580" s="266">
        <f t="shared" si="45"/>
        <v>69</v>
      </c>
      <c r="W580" s="264">
        <f t="shared" si="48"/>
        <v>1.1337999999999999</v>
      </c>
      <c r="X580" s="264">
        <f t="shared" si="49"/>
        <v>1.1610541490837858</v>
      </c>
      <c r="Y580" s="268">
        <f>IFERROR(INDEX(Rainfall_Dry!$O$2:$O$217,MATCH(B580, Rainfall_Dry!$A$2:$A$217,0)),"")</f>
        <v>136.27214243</v>
      </c>
      <c r="Z580" s="257">
        <v>33.96</v>
      </c>
      <c r="AA580" s="257">
        <v>8.9200000000000017</v>
      </c>
      <c r="AB580" s="257">
        <v>57.12</v>
      </c>
      <c r="AC580" s="258" t="s">
        <v>2654</v>
      </c>
      <c r="AD580" s="257">
        <v>4.0720551996057202</v>
      </c>
      <c r="AE580">
        <f>IF('WetLitterbags placem_collection'!AB141="","",'WetLitterbags placem_collection'!AB141)</f>
        <v>5.7</v>
      </c>
      <c r="AF580">
        <f>IF('WetLitterbags placem_collection'!Z141="","",'WetLitterbags placem_collection'!Z141)</f>
        <v>19.399999999999999</v>
      </c>
      <c r="AG580" s="243" t="str">
        <f>IF('WetLitterbags placem_collection'!AA141="","",'WetLitterbags placem_collection'!AA141)</f>
        <v>G</v>
      </c>
      <c r="AH580">
        <f>IF('WetLitterbags placem_collection'!AC141="","",'WetLitterbags placem_collection'!AC141)</f>
        <v>1</v>
      </c>
      <c r="AI580">
        <f>IFERROR(AVERAGE('Dry_Litterbag Placem_Collection'!O141,'Dry_Litterbag Placem_Collection'!R141),"")</f>
        <v>11.200000000000001</v>
      </c>
      <c r="AJ580" s="268">
        <f>IFERROR(AVERAGE('Dry_Litterbag Placem_Collection'!N141,'Dry_Litterbag Placem_Collection'!Q141),"")</f>
        <v>28.15</v>
      </c>
      <c r="AK580" s="267">
        <f>INDEX(Coordinates!$B$2:$B$197,MATCH(H580,Coordinates!$J$2:$J$197,0))</f>
        <v>-2.3487209990000002</v>
      </c>
      <c r="AL580" s="267">
        <f>INDEX(Coordinates!$C$2:$C$197,MATCH(H580,Coordinates!$J$2:$J$197,0))</f>
        <v>34.050128039999997</v>
      </c>
      <c r="AM580" s="267" t="str">
        <f>IF(ISNUMBER(SEARCH("C", 'Dry_Litterbag Placem_Collection'!U141)),"YES","NO")</f>
        <v>NO</v>
      </c>
      <c r="AN580" s="267" t="str">
        <f>IF(ISNUMBER(SEARCH("H", 'Dry_Litterbag Placem_Collection'!U141)),"YES","NO")</f>
        <v>NO</v>
      </c>
      <c r="AO580" s="267" t="str">
        <f>IF(ISNUMBER(SEARCH("R", 'Dry_Litterbag Placem_Collection'!U141)),"YES","NO")</f>
        <v>NO</v>
      </c>
    </row>
    <row r="581" spans="1:41" ht="15" customHeight="1">
      <c r="A581" s="259" t="s">
        <v>2643</v>
      </c>
      <c r="B581" s="260">
        <f>'Dry_Litterbag Placem_Collection'!A142</f>
        <v>140</v>
      </c>
      <c r="C581" s="260" t="str">
        <f>'Dry_Litterbag Placem_Collection'!B142</f>
        <v xml:space="preserve">Mwantimba
</v>
      </c>
      <c r="D581" s="260" t="s">
        <v>2454</v>
      </c>
      <c r="E581" s="260" t="s">
        <v>20</v>
      </c>
      <c r="F581" s="260">
        <v>2</v>
      </c>
      <c r="G581" s="260" t="s">
        <v>3822</v>
      </c>
      <c r="H581" s="261" t="str">
        <f>'Dry_Litterbag Placem_Collection'!C142</f>
        <v>Wet_P2_T4</v>
      </c>
      <c r="I581" s="270" t="s">
        <v>3630</v>
      </c>
      <c r="J581" s="263" t="s">
        <v>1147</v>
      </c>
      <c r="K581" s="260" t="str">
        <f>IF(ISBLANK('Dry_Litterbag Placem_Collection'!L142),"","G"&amp;""&amp;'Dry_Litterbag Placem_Collection'!L142)</f>
        <v>G792</v>
      </c>
      <c r="L581" s="264">
        <f>IFERROR(INDEX('Green_rooibos initial weight'!$C$5:$C$2000,MATCH(K581, 'Green_rooibos initial weight'!$A$5:$A$2000,0)),"")</f>
        <v>2.0550000000000002</v>
      </c>
      <c r="M581" s="264">
        <f>IFERROR(L581-(TBIcalc!$Q$9+TBIcalc!$Q$10),"")</f>
        <v>1.8052000000000001</v>
      </c>
      <c r="N581" s="385">
        <f>AVERAGE(Ashed_controlls!$K$2:$K$11)</f>
        <v>5.5147656768714146</v>
      </c>
      <c r="O581" s="264">
        <f t="shared" si="46"/>
        <v>1.7056474500011174</v>
      </c>
      <c r="P581" s="264">
        <f>IFERROR(INDEX('Both teabags AfterDry'!$D$2:$D$2000,MATCH(K581,'Both teabags AfterDry'!$A$2:$A$2000,0)),"")</f>
        <v>0.87409999999999999</v>
      </c>
      <c r="Q581" s="264">
        <f>IFERROR(IF(P581&gt;0,P581-(TBIcalc!$Q$9),""),"")</f>
        <v>0.72350000000000003</v>
      </c>
      <c r="R581" s="275">
        <f>IFERROR(INDEX('Ashed teabags dry'!$K$2:$K$2000,MATCH(K581,'Ashed teabags dry'!$A$2:$A$2000,0)),"")</f>
        <v>15.89673913043449</v>
      </c>
      <c r="S581" s="275">
        <f t="shared" si="47"/>
        <v>0.60848709239130649</v>
      </c>
      <c r="T581" s="265">
        <f>IF('Dry_Litterbag Placem_Collection'!E142="","",'Dry_Litterbag Placem_Collection'!E142)</f>
        <v>42939</v>
      </c>
      <c r="U581" s="265">
        <f>IF('Dry_Litterbag Placem_Collection'!G142="","",'Dry_Litterbag Placem_Collection'!G142)</f>
        <v>43008</v>
      </c>
      <c r="V581" s="266">
        <f t="shared" si="45"/>
        <v>69</v>
      </c>
      <c r="W581" s="264">
        <f t="shared" si="48"/>
        <v>1.0817000000000001</v>
      </c>
      <c r="X581" s="264">
        <f t="shared" si="49"/>
        <v>1.0971603576098108</v>
      </c>
      <c r="Y581" s="268">
        <f>IFERROR(INDEX(Rainfall_Dry!$O$2:$O$217,MATCH(B581, Rainfall_Dry!$A$2:$A$217,0)),"")</f>
        <v>136.27214243</v>
      </c>
      <c r="Z581" s="257">
        <v>33.96</v>
      </c>
      <c r="AA581" s="257">
        <v>8.9200000000000017</v>
      </c>
      <c r="AB581" s="257">
        <v>57.12</v>
      </c>
      <c r="AC581" s="258" t="s">
        <v>2654</v>
      </c>
      <c r="AD581" s="257">
        <v>5.0720551996057202</v>
      </c>
      <c r="AE581">
        <f>IF('WetLitterbags placem_collection'!AB142="","",'WetLitterbags placem_collection'!AB142)</f>
        <v>1.4</v>
      </c>
      <c r="AF581">
        <f>IF('WetLitterbags placem_collection'!Z142="","",'WetLitterbags placem_collection'!Z142)</f>
        <v>33.4</v>
      </c>
      <c r="AG581" s="243" t="str">
        <f>IF('WetLitterbags placem_collection'!AA142="","",'WetLitterbags placem_collection'!AA142)</f>
        <v>G</v>
      </c>
      <c r="AH581">
        <f>IF('WetLitterbags placem_collection'!AC142="","",'WetLitterbags placem_collection'!AC142)</f>
        <v>1</v>
      </c>
      <c r="AI581">
        <f>IFERROR(AVERAGE('Dry_Litterbag Placem_Collection'!O142,'Dry_Litterbag Placem_Collection'!R142),"")</f>
        <v>7.3000000000000007</v>
      </c>
      <c r="AJ581" s="268">
        <f>IFERROR(AVERAGE('Dry_Litterbag Placem_Collection'!N142,'Dry_Litterbag Placem_Collection'!Q142),"")</f>
        <v>28</v>
      </c>
      <c r="AK581" s="267">
        <f>INDEX(Coordinates!$B$2:$B$197,MATCH(H581,Coordinates!$J$2:$J$197,0))</f>
        <v>-2.3486250270000002</v>
      </c>
      <c r="AL581" s="267">
        <f>INDEX(Coordinates!$C$2:$C$197,MATCH(H581,Coordinates!$J$2:$J$197,0))</f>
        <v>34.050070959999999</v>
      </c>
      <c r="AM581" s="267" t="str">
        <f>IF(ISNUMBER(SEARCH("C", 'Dry_Litterbag Placem_Collection'!U142)),"YES","NO")</f>
        <v>NO</v>
      </c>
      <c r="AN581" s="267" t="str">
        <f>IF(ISNUMBER(SEARCH("H", 'Dry_Litterbag Placem_Collection'!U142)),"YES","NO")</f>
        <v>NO</v>
      </c>
      <c r="AO581" s="267" t="str">
        <f>IF(ISNUMBER(SEARCH("R", 'Dry_Litterbag Placem_Collection'!U142)),"YES","NO")</f>
        <v>NO</v>
      </c>
    </row>
    <row r="582" spans="1:41" ht="15" customHeight="1">
      <c r="A582" s="259" t="s">
        <v>2643</v>
      </c>
      <c r="B582" s="260">
        <f>'Dry_Litterbag Placem_Collection'!A143</f>
        <v>141</v>
      </c>
      <c r="C582" s="260" t="str">
        <f>'Dry_Litterbag Placem_Collection'!B143</f>
        <v xml:space="preserve">Mwantimba
</v>
      </c>
      <c r="D582" s="260" t="s">
        <v>2454</v>
      </c>
      <c r="E582" s="260" t="s">
        <v>20</v>
      </c>
      <c r="F582" s="260">
        <v>2</v>
      </c>
      <c r="G582" s="260" t="s">
        <v>3822</v>
      </c>
      <c r="H582" s="261" t="str">
        <f>'Dry_Litterbag Placem_Collection'!C143</f>
        <v>Wet_P2_T5</v>
      </c>
      <c r="I582" s="270" t="s">
        <v>3630</v>
      </c>
      <c r="J582" s="263" t="s">
        <v>1147</v>
      </c>
      <c r="K582" s="260" t="str">
        <f>IF(ISBLANK('Dry_Litterbag Placem_Collection'!L143),"","G"&amp;""&amp;'Dry_Litterbag Placem_Collection'!L143)</f>
        <v/>
      </c>
      <c r="L582" s="264" t="str">
        <f>IFERROR(INDEX('Green_rooibos initial weight'!$C$5:$C$2000,MATCH(K582, 'Green_rooibos initial weight'!$A$5:$A$2000,0)),"")</f>
        <v/>
      </c>
      <c r="M582" s="264" t="str">
        <f>IFERROR(L582-(TBIcalc!$Q$9+TBIcalc!$Q$10),"")</f>
        <v/>
      </c>
      <c r="N582" s="385">
        <f>AVERAGE(Ashed_controlls!$K$2:$K$11)</f>
        <v>5.5147656768714146</v>
      </c>
      <c r="O582" s="264" t="str">
        <f t="shared" si="46"/>
        <v/>
      </c>
      <c r="P582" s="264" t="str">
        <f>IFERROR(INDEX('Both teabags AfterDry'!$D$2:$D$2000,MATCH(K582,'Both teabags AfterDry'!$A$2:$A$2000,0)),"")</f>
        <v/>
      </c>
      <c r="Q582" s="264" t="str">
        <f>IFERROR(IF(P582&gt;0,P582-(TBIcalc!$Q$9),""),"")</f>
        <v/>
      </c>
      <c r="R582" s="275" t="str">
        <f>IFERROR(INDEX('Ashed teabags dry'!$K$2:$K$2000,MATCH(K582,'Ashed teabags dry'!$A$2:$A$2000,0)),"")</f>
        <v/>
      </c>
      <c r="S582" s="275" t="str">
        <f t="shared" si="47"/>
        <v/>
      </c>
      <c r="T582" s="265" t="str">
        <f>IF('Dry_Litterbag Placem_Collection'!E143="","",'Dry_Litterbag Placem_Collection'!E143)</f>
        <v/>
      </c>
      <c r="U582" s="265" t="str">
        <f>IF('Dry_Litterbag Placem_Collection'!G143="","",'Dry_Litterbag Placem_Collection'!G143)</f>
        <v/>
      </c>
      <c r="V582" s="266" t="str">
        <f t="shared" si="45"/>
        <v/>
      </c>
      <c r="W582" s="264" t="str">
        <f t="shared" si="48"/>
        <v/>
      </c>
      <c r="X582" s="264" t="str">
        <f t="shared" si="49"/>
        <v/>
      </c>
      <c r="Y582" s="268" t="str">
        <f>IFERROR(INDEX(Rainfall_Dry!$O$2:$O$217,MATCH(B582, Rainfall_Dry!$A$2:$A$217,0)),"")</f>
        <v/>
      </c>
      <c r="Z582" s="257">
        <v>33.96</v>
      </c>
      <c r="AA582" s="257">
        <v>8.9200000000000017</v>
      </c>
      <c r="AB582" s="257">
        <v>57.12</v>
      </c>
      <c r="AC582" s="258" t="s">
        <v>2654</v>
      </c>
      <c r="AD582" s="257">
        <v>6.0720551996057202</v>
      </c>
      <c r="AE582">
        <f>IF('WetLitterbags placem_collection'!AB143="","",'WetLitterbags placem_collection'!AB143)</f>
        <v>1.4</v>
      </c>
      <c r="AF582">
        <f>IF('WetLitterbags placem_collection'!Z143="","",'WetLitterbags placem_collection'!Z143)</f>
        <v>28.4</v>
      </c>
      <c r="AG582" s="243" t="str">
        <f>IF('WetLitterbags placem_collection'!AA143="","",'WetLitterbags placem_collection'!AA143)</f>
        <v>G</v>
      </c>
      <c r="AH582">
        <f>IF('WetLitterbags placem_collection'!AC143="","",'WetLitterbags placem_collection'!AC143)</f>
        <v>1</v>
      </c>
      <c r="AI582" t="str">
        <f>IFERROR(AVERAGE('Dry_Litterbag Placem_Collection'!O143,'Dry_Litterbag Placem_Collection'!R143),"")</f>
        <v/>
      </c>
      <c r="AJ582" s="268" t="str">
        <f>IFERROR(AVERAGE('Dry_Litterbag Placem_Collection'!N143,'Dry_Litterbag Placem_Collection'!Q143),"")</f>
        <v/>
      </c>
      <c r="AK582" s="267">
        <f>INDEX(Coordinates!$B$2:$B$197,MATCH(H582,Coordinates!$J$2:$J$197,0))</f>
        <v>-2.3486060000000002</v>
      </c>
      <c r="AL582" s="267">
        <f>INDEX(Coordinates!$C$2:$C$197,MATCH(H582,Coordinates!$J$2:$J$197,0))</f>
        <v>34.050010020000002</v>
      </c>
      <c r="AM582" s="267" t="str">
        <f>IF(ISNUMBER(SEARCH("C", 'Dry_Litterbag Placem_Collection'!U143)),"YES","NO")</f>
        <v>NO</v>
      </c>
      <c r="AN582" s="267" t="str">
        <f>IF(ISNUMBER(SEARCH("H", 'Dry_Litterbag Placem_Collection'!U143)),"YES","NO")</f>
        <v>NO</v>
      </c>
      <c r="AO582" s="267" t="str">
        <f>IF(ISNUMBER(SEARCH("R", 'Dry_Litterbag Placem_Collection'!U143)),"YES","NO")</f>
        <v>NO</v>
      </c>
    </row>
    <row r="583" spans="1:41" ht="15" customHeight="1">
      <c r="A583" s="259" t="s">
        <v>2643</v>
      </c>
      <c r="B583" s="260">
        <f>'Dry_Litterbag Placem_Collection'!A144</f>
        <v>142</v>
      </c>
      <c r="C583" s="260" t="str">
        <f>'Dry_Litterbag Placem_Collection'!B144</f>
        <v xml:space="preserve">Mwantimba
</v>
      </c>
      <c r="D583" s="260" t="s">
        <v>2454</v>
      </c>
      <c r="E583" s="260" t="s">
        <v>20</v>
      </c>
      <c r="F583" s="260">
        <v>2</v>
      </c>
      <c r="G583" s="260" t="s">
        <v>3822</v>
      </c>
      <c r="H583" s="261" t="str">
        <f>'Dry_Litterbag Placem_Collection'!C144</f>
        <v>Wet_P2_T6</v>
      </c>
      <c r="I583" s="270" t="s">
        <v>3630</v>
      </c>
      <c r="J583" s="263" t="s">
        <v>1147</v>
      </c>
      <c r="K583" s="260" t="str">
        <f>IF(ISBLANK('Dry_Litterbag Placem_Collection'!L144),"","G"&amp;""&amp;'Dry_Litterbag Placem_Collection'!L144)</f>
        <v>G711</v>
      </c>
      <c r="L583" s="264">
        <f>IFERROR(INDEX('Green_rooibos initial weight'!$C$5:$C$2000,MATCH(K583, 'Green_rooibos initial weight'!$A$5:$A$2000,0)),"")</f>
        <v>2.1070000000000002</v>
      </c>
      <c r="M583" s="264">
        <f>IFERROR(L583-(TBIcalc!$Q$9+TBIcalc!$Q$10),"")</f>
        <v>1.8572000000000002</v>
      </c>
      <c r="N583" s="385">
        <f>AVERAGE(Ashed_controlls!$K$2:$K$11)</f>
        <v>5.5147656768714146</v>
      </c>
      <c r="O583" s="264">
        <f t="shared" si="46"/>
        <v>1.7547797718491442</v>
      </c>
      <c r="P583" s="264" t="str">
        <f>IFERROR(INDEX('Both teabags AfterDry'!$D$2:$D$2000,MATCH(K583,'Both teabags AfterDry'!$A$2:$A$2000,0)),"")</f>
        <v/>
      </c>
      <c r="Q583" s="264" t="str">
        <f>IFERROR(IF(P583&gt;0,P583-(TBIcalc!$Q$9),""),"")</f>
        <v/>
      </c>
      <c r="R583" s="275" t="str">
        <f>IFERROR(INDEX('Ashed teabags dry'!$K$2:$K$2000,MATCH(K583,'Ashed teabags dry'!$A$2:$A$2000,0)),"")</f>
        <v/>
      </c>
      <c r="S583" s="275" t="str">
        <f t="shared" si="47"/>
        <v/>
      </c>
      <c r="T583" s="265">
        <f>IF('Dry_Litterbag Placem_Collection'!E144="","",'Dry_Litterbag Placem_Collection'!E144)</f>
        <v>42939</v>
      </c>
      <c r="U583" s="265">
        <f>IF('Dry_Litterbag Placem_Collection'!G144="","",'Dry_Litterbag Placem_Collection'!G144)</f>
        <v>43008</v>
      </c>
      <c r="V583" s="266">
        <f t="shared" si="45"/>
        <v>69</v>
      </c>
      <c r="W583" s="264" t="str">
        <f t="shared" si="48"/>
        <v/>
      </c>
      <c r="X583" s="264" t="str">
        <f t="shared" si="49"/>
        <v/>
      </c>
      <c r="Y583" s="268">
        <f>IFERROR(INDEX(Rainfall_Dry!$O$2:$O$217,MATCH(B583, Rainfall_Dry!$A$2:$A$217,0)),"")</f>
        <v>136.27214243</v>
      </c>
      <c r="Z583" s="257">
        <v>33.96</v>
      </c>
      <c r="AA583" s="257">
        <v>8.9200000000000017</v>
      </c>
      <c r="AB583" s="257">
        <v>57.12</v>
      </c>
      <c r="AC583" s="258" t="s">
        <v>2654</v>
      </c>
      <c r="AD583" s="257">
        <v>7.0720551996057202</v>
      </c>
      <c r="AE583">
        <f>IF('WetLitterbags placem_collection'!AB144="","",'WetLitterbags placem_collection'!AB144)</f>
        <v>1.7</v>
      </c>
      <c r="AF583">
        <f>IF('WetLitterbags placem_collection'!Z144="","",'WetLitterbags placem_collection'!Z144)</f>
        <v>33.799999999999997</v>
      </c>
      <c r="AG583" s="243" t="str">
        <f>IF('WetLitterbags placem_collection'!AA144="","",'WetLitterbags placem_collection'!AA144)</f>
        <v>G</v>
      </c>
      <c r="AH583">
        <f>IF('WetLitterbags placem_collection'!AC144="","",'WetLitterbags placem_collection'!AC144)</f>
        <v>1</v>
      </c>
      <c r="AI583">
        <f>IFERROR(AVERAGE('Dry_Litterbag Placem_Collection'!O144,'Dry_Litterbag Placem_Collection'!R144),"")</f>
        <v>8.4499999999999993</v>
      </c>
      <c r="AJ583" s="268">
        <f>IFERROR(AVERAGE('Dry_Litterbag Placem_Collection'!N144,'Dry_Litterbag Placem_Collection'!Q144),"")</f>
        <v>28.4</v>
      </c>
      <c r="AK583" s="267">
        <f>INDEX(Coordinates!$B$2:$B$197,MATCH(H583,Coordinates!$J$2:$J$197,0))</f>
        <v>-2.348618992</v>
      </c>
      <c r="AL583" s="267">
        <f>INDEX(Coordinates!$C$2:$C$197,MATCH(H583,Coordinates!$J$2:$J$197,0))</f>
        <v>34.049996030000003</v>
      </c>
      <c r="AM583" s="267" t="str">
        <f>IF(ISNUMBER(SEARCH("C", 'Dry_Litterbag Placem_Collection'!U144)),"YES","NO")</f>
        <v>NO</v>
      </c>
      <c r="AN583" s="267" t="str">
        <f>IF(ISNUMBER(SEARCH("H", 'Dry_Litterbag Placem_Collection'!U144)),"YES","NO")</f>
        <v>NO</v>
      </c>
      <c r="AO583" s="267" t="str">
        <f>IF(ISNUMBER(SEARCH("R", 'Dry_Litterbag Placem_Collection'!U144)),"YES","NO")</f>
        <v>YES</v>
      </c>
    </row>
    <row r="584" spans="1:41" ht="15" customHeight="1">
      <c r="A584" s="259" t="s">
        <v>2643</v>
      </c>
      <c r="B584" s="260">
        <f>'Dry_Litterbag Placem_Collection'!A145</f>
        <v>143</v>
      </c>
      <c r="C584" s="260" t="str">
        <f>'Dry_Litterbag Placem_Collection'!B145</f>
        <v xml:space="preserve">Mwantimba
</v>
      </c>
      <c r="D584" s="260" t="s">
        <v>2454</v>
      </c>
      <c r="E584" s="260" t="s">
        <v>20</v>
      </c>
      <c r="F584" s="260">
        <v>2</v>
      </c>
      <c r="G584" s="260" t="s">
        <v>3822</v>
      </c>
      <c r="H584" s="261" t="str">
        <f>'Dry_Litterbag Placem_Collection'!C145</f>
        <v>Wet_P2_T7</v>
      </c>
      <c r="I584" s="270" t="s">
        <v>3630</v>
      </c>
      <c r="J584" s="263" t="s">
        <v>1147</v>
      </c>
      <c r="K584" s="260" t="str">
        <f>IF(ISBLANK('Dry_Litterbag Placem_Collection'!L145),"","G"&amp;""&amp;'Dry_Litterbag Placem_Collection'!L145)</f>
        <v>G205</v>
      </c>
      <c r="L584" s="264">
        <f>IFERROR(INDEX('Green_rooibos initial weight'!$C$5:$C$2000,MATCH(K584, 'Green_rooibos initial weight'!$A$5:$A$2000,0)),"")</f>
        <v>2.1240000000000001</v>
      </c>
      <c r="M584" s="264">
        <f>IFERROR(L584-(TBIcalc!$Q$9+TBIcalc!$Q$10),"")</f>
        <v>1.8742000000000001</v>
      </c>
      <c r="N584" s="385">
        <f>AVERAGE(Ashed_controlls!$K$2:$K$11)</f>
        <v>5.5147656768714146</v>
      </c>
      <c r="O584" s="264">
        <f t="shared" si="46"/>
        <v>1.770842261684076</v>
      </c>
      <c r="P584" s="264">
        <f>IFERROR(INDEX('Both teabags AfterDry'!$D$2:$D$2000,MATCH(K584,'Both teabags AfterDry'!$A$2:$A$2000,0)),"")</f>
        <v>0.82040000000000002</v>
      </c>
      <c r="Q584" s="264">
        <f>IFERROR(IF(P584&gt;0,P584-(TBIcalc!$Q$9),""),"")</f>
        <v>0.66979999999999995</v>
      </c>
      <c r="R584" s="275">
        <f>IFERROR(INDEX('Ashed teabags dry'!$K$2:$K$2000,MATCH(K584,'Ashed teabags dry'!$A$2:$A$2000,0)),"")</f>
        <v>18.392504930966592</v>
      </c>
      <c r="S584" s="275">
        <f t="shared" si="47"/>
        <v>0.54660700197238576</v>
      </c>
      <c r="T584" s="265">
        <f>IF('Dry_Litterbag Placem_Collection'!E145="","",'Dry_Litterbag Placem_Collection'!E145)</f>
        <v>42939</v>
      </c>
      <c r="U584" s="265">
        <f>IF('Dry_Litterbag Placem_Collection'!G145="","",'Dry_Litterbag Placem_Collection'!G145)</f>
        <v>43008</v>
      </c>
      <c r="V584" s="266">
        <f t="shared" si="45"/>
        <v>69</v>
      </c>
      <c r="W584" s="264">
        <f t="shared" si="48"/>
        <v>1.2044000000000001</v>
      </c>
      <c r="X584" s="264">
        <f t="shared" si="49"/>
        <v>1.2242352597116901</v>
      </c>
      <c r="Y584" s="268">
        <f>IFERROR(INDEX(Rainfall_Dry!$O$2:$O$217,MATCH(B584, Rainfall_Dry!$A$2:$A$217,0)),"")</f>
        <v>136.27214243</v>
      </c>
      <c r="Z584" s="257">
        <v>33.96</v>
      </c>
      <c r="AA584" s="257">
        <v>8.9200000000000017</v>
      </c>
      <c r="AB584" s="257">
        <v>57.12</v>
      </c>
      <c r="AC584" s="258" t="s">
        <v>2654</v>
      </c>
      <c r="AD584" s="257">
        <v>8.0720551996057193</v>
      </c>
      <c r="AE584">
        <f>IF('WetLitterbags placem_collection'!AB145="","",'WetLitterbags placem_collection'!AB145)</f>
        <v>2</v>
      </c>
      <c r="AF584">
        <f>IF('WetLitterbags placem_collection'!Z145="","",'WetLitterbags placem_collection'!Z145)</f>
        <v>23.4</v>
      </c>
      <c r="AG584" s="243" t="str">
        <f>IF('WetLitterbags placem_collection'!AA145="","",'WetLitterbags placem_collection'!AA145)</f>
        <v>G</v>
      </c>
      <c r="AH584">
        <f>IF('WetLitterbags placem_collection'!AC145="","",'WetLitterbags placem_collection'!AC145)</f>
        <v>1</v>
      </c>
      <c r="AI584">
        <f>IFERROR(AVERAGE('Dry_Litterbag Placem_Collection'!O145,'Dry_Litterbag Placem_Collection'!R145),"")</f>
        <v>12.5</v>
      </c>
      <c r="AJ584" s="268">
        <f>IFERROR(AVERAGE('Dry_Litterbag Placem_Collection'!N145,'Dry_Litterbag Placem_Collection'!Q145),"")</f>
        <v>28</v>
      </c>
      <c r="AK584" s="267">
        <f>INDEX(Coordinates!$B$2:$B$197,MATCH(H584,Coordinates!$J$2:$J$197,0))</f>
        <v>-2.3484970349999998</v>
      </c>
      <c r="AL584" s="267">
        <f>INDEX(Coordinates!$C$2:$C$197,MATCH(H584,Coordinates!$J$2:$J$197,0))</f>
        <v>34.049979010000001</v>
      </c>
      <c r="AM584" s="267" t="str">
        <f>IF(ISNUMBER(SEARCH("C", 'Dry_Litterbag Placem_Collection'!U145)),"YES","NO")</f>
        <v>NO</v>
      </c>
      <c r="AN584" s="267" t="str">
        <f>IF(ISNUMBER(SEARCH("H", 'Dry_Litterbag Placem_Collection'!U145)),"YES","NO")</f>
        <v>NO</v>
      </c>
      <c r="AO584" s="267" t="str">
        <f>IF(ISNUMBER(SEARCH("R", 'Dry_Litterbag Placem_Collection'!U145)),"YES","NO")</f>
        <v>YES</v>
      </c>
    </row>
    <row r="585" spans="1:41" ht="15" customHeight="1">
      <c r="A585" s="259" t="s">
        <v>2643</v>
      </c>
      <c r="B585" s="260">
        <f>'Dry_Litterbag Placem_Collection'!A146</f>
        <v>144</v>
      </c>
      <c r="C585" s="260" t="str">
        <f>'Dry_Litterbag Placem_Collection'!B146</f>
        <v xml:space="preserve">Mwantimba
</v>
      </c>
      <c r="D585" s="260" t="s">
        <v>2454</v>
      </c>
      <c r="E585" s="260" t="s">
        <v>20</v>
      </c>
      <c r="F585" s="260">
        <v>2</v>
      </c>
      <c r="G585" s="260" t="s">
        <v>3822</v>
      </c>
      <c r="H585" s="261" t="str">
        <f>'Dry_Litterbag Placem_Collection'!C146</f>
        <v>Wet_P2_T8</v>
      </c>
      <c r="I585" s="270" t="s">
        <v>3630</v>
      </c>
      <c r="J585" s="263" t="s">
        <v>1147</v>
      </c>
      <c r="K585" s="260" t="str">
        <f>IF(ISBLANK('Dry_Litterbag Placem_Collection'!L146),"","G"&amp;""&amp;'Dry_Litterbag Placem_Collection'!L146)</f>
        <v>G384</v>
      </c>
      <c r="L585" s="264">
        <f>IFERROR(INDEX('Green_rooibos initial weight'!$C$5:$C$2000,MATCH(K585, 'Green_rooibos initial weight'!$A$5:$A$2000,0)),"")</f>
        <v>2.0499999999999998</v>
      </c>
      <c r="M585" s="264">
        <f>IFERROR(L585-(TBIcalc!$Q$9+TBIcalc!$Q$10),"")</f>
        <v>1.8001999999999998</v>
      </c>
      <c r="N585" s="385">
        <f>AVERAGE(Ashed_controlls!$K$2:$K$11)</f>
        <v>5.5147656768714146</v>
      </c>
      <c r="O585" s="264">
        <f t="shared" si="46"/>
        <v>1.7009231882849607</v>
      </c>
      <c r="P585" s="264">
        <f>IFERROR(INDEX('Both teabags AfterDry'!$D$2:$D$2000,MATCH(K585,'Both teabags AfterDry'!$A$2:$A$2000,0)),"")</f>
        <v>0.73660000000000003</v>
      </c>
      <c r="Q585" s="264">
        <f>IFERROR(IF(P585&gt;0,P585-(TBIcalc!$Q$9),""),"")</f>
        <v>0.58600000000000008</v>
      </c>
      <c r="R585" s="275">
        <f>IFERROR(INDEX('Ashed teabags dry'!$K$2:$K$2000,MATCH(K585,'Ashed teabags dry'!$A$2:$A$2000,0)),"")</f>
        <v>16.379310344827655</v>
      </c>
      <c r="S585" s="275">
        <f t="shared" si="47"/>
        <v>0.49001724137931002</v>
      </c>
      <c r="T585" s="265">
        <f>IF('Dry_Litterbag Placem_Collection'!E146="","",'Dry_Litterbag Placem_Collection'!E146)</f>
        <v>42939</v>
      </c>
      <c r="U585" s="265">
        <f>IF('Dry_Litterbag Placem_Collection'!G146="","",'Dry_Litterbag Placem_Collection'!G146)</f>
        <v>43008</v>
      </c>
      <c r="V585" s="266">
        <f t="shared" si="45"/>
        <v>69</v>
      </c>
      <c r="W585" s="264">
        <f t="shared" si="48"/>
        <v>1.2141999999999997</v>
      </c>
      <c r="X585" s="264">
        <f t="shared" si="49"/>
        <v>1.2109059469056507</v>
      </c>
      <c r="Y585" s="268">
        <f>IFERROR(INDEX(Rainfall_Dry!$O$2:$O$217,MATCH(B585, Rainfall_Dry!$A$2:$A$217,0)),"")</f>
        <v>136.27214243</v>
      </c>
      <c r="Z585" s="257">
        <v>33.96</v>
      </c>
      <c r="AA585" s="257">
        <v>8.9200000000000017</v>
      </c>
      <c r="AB585" s="257">
        <v>57.12</v>
      </c>
      <c r="AC585" s="258" t="s">
        <v>2654</v>
      </c>
      <c r="AD585" s="257">
        <v>9.0720551996057193</v>
      </c>
      <c r="AE585">
        <f>IF('WetLitterbags placem_collection'!AB146="","",'WetLitterbags placem_collection'!AB146)</f>
        <v>2.5</v>
      </c>
      <c r="AF585">
        <f>IF('WetLitterbags placem_collection'!Z146="","",'WetLitterbags placem_collection'!Z146)</f>
        <v>19.8</v>
      </c>
      <c r="AG585" s="243" t="str">
        <f>IF('WetLitterbags placem_collection'!AA146="","",'WetLitterbags placem_collection'!AA146)</f>
        <v>G</v>
      </c>
      <c r="AH585">
        <f>IF('WetLitterbags placem_collection'!AC146="","",'WetLitterbags placem_collection'!AC146)</f>
        <v>1</v>
      </c>
      <c r="AI585">
        <f>IFERROR(AVERAGE('Dry_Litterbag Placem_Collection'!O146,'Dry_Litterbag Placem_Collection'!R146),"")</f>
        <v>9.4499999999999993</v>
      </c>
      <c r="AJ585" s="268">
        <f>IFERROR(AVERAGE('Dry_Litterbag Placem_Collection'!N146,'Dry_Litterbag Placem_Collection'!Q146),"")</f>
        <v>29.15</v>
      </c>
      <c r="AK585" s="267">
        <f>INDEX(Coordinates!$B$2:$B$197,MATCH(H585,Coordinates!$J$2:$J$197,0))</f>
        <v>-2.3486560399999998</v>
      </c>
      <c r="AL585" s="267">
        <f>INDEX(Coordinates!$C$2:$C$197,MATCH(H585,Coordinates!$J$2:$J$197,0))</f>
        <v>34.049895020000001</v>
      </c>
      <c r="AM585" s="267" t="str">
        <f>IF(ISNUMBER(SEARCH("C", 'Dry_Litterbag Placem_Collection'!U146)),"YES","NO")</f>
        <v>NO</v>
      </c>
      <c r="AN585" s="267" t="str">
        <f>IF(ISNUMBER(SEARCH("H", 'Dry_Litterbag Placem_Collection'!U146)),"YES","NO")</f>
        <v>NO</v>
      </c>
      <c r="AO585" s="267" t="str">
        <f>IF(ISNUMBER(SEARCH("R", 'Dry_Litterbag Placem_Collection'!U146)),"YES","NO")</f>
        <v>NO</v>
      </c>
    </row>
    <row r="586" spans="1:41" ht="15" customHeight="1">
      <c r="A586" s="259" t="s">
        <v>2643</v>
      </c>
      <c r="B586" s="260">
        <f>'Dry_Litterbag Placem_Collection'!A147</f>
        <v>145</v>
      </c>
      <c r="C586" s="260" t="str">
        <f>'Dry_Litterbag Placem_Collection'!B147</f>
        <v xml:space="preserve">Mwantimba
</v>
      </c>
      <c r="D586" s="260" t="s">
        <v>2454</v>
      </c>
      <c r="E586" s="260" t="s">
        <v>20</v>
      </c>
      <c r="F586" s="260">
        <v>3</v>
      </c>
      <c r="G586" s="260" t="s">
        <v>3823</v>
      </c>
      <c r="H586" s="261" t="str">
        <f>'Dry_Litterbag Placem_Collection'!C147</f>
        <v>Wet_P3_T1</v>
      </c>
      <c r="I586" s="270" t="s">
        <v>3630</v>
      </c>
      <c r="J586" s="263" t="s">
        <v>1147</v>
      </c>
      <c r="K586" s="260" t="str">
        <f>IF(ISBLANK('Dry_Litterbag Placem_Collection'!L147),"","G"&amp;""&amp;'Dry_Litterbag Placem_Collection'!L147)</f>
        <v>G72</v>
      </c>
      <c r="L586" s="264">
        <f>IFERROR(INDEX('Green_rooibos initial weight'!$C$5:$C$2000,MATCH(K586, 'Green_rooibos initial weight'!$A$5:$A$2000,0)),"")</f>
        <v>2.0190000000000001</v>
      </c>
      <c r="M586" s="264">
        <f>IFERROR(L586-(TBIcalc!$Q$9+TBIcalc!$Q$10),"")</f>
        <v>1.7692000000000001</v>
      </c>
      <c r="N586" s="385">
        <f>AVERAGE(Ashed_controlls!$K$2:$K$11)</f>
        <v>5.5147656768714146</v>
      </c>
      <c r="O586" s="264">
        <f t="shared" si="46"/>
        <v>1.6716327656447911</v>
      </c>
      <c r="P586" s="264">
        <f>IFERROR(INDEX('Both teabags AfterDry'!$D$2:$D$2000,MATCH(K586,'Both teabags AfterDry'!$A$2:$A$2000,0)),"")</f>
        <v>1.7161999999999999</v>
      </c>
      <c r="Q586" s="264">
        <f>IFERROR(IF(P586&gt;0,P586-(TBIcalc!$Q$9),""),"")</f>
        <v>1.5655999999999999</v>
      </c>
      <c r="R586" s="275">
        <f>IFERROR(INDEX('Ashed teabags dry'!$K$2:$K$2000,MATCH(K586,'Ashed teabags dry'!$A$2:$A$2000,0)),"")</f>
        <v>10.842779694431051</v>
      </c>
      <c r="S586" s="275">
        <f t="shared" si="47"/>
        <v>1.3958454411039873</v>
      </c>
      <c r="T586" s="265">
        <f>IF('Dry_Litterbag Placem_Collection'!E147="","",'Dry_Litterbag Placem_Collection'!E147)</f>
        <v>42939</v>
      </c>
      <c r="U586" s="265">
        <f>IF('Dry_Litterbag Placem_Collection'!G147="","",'Dry_Litterbag Placem_Collection'!G147)</f>
        <v>43010</v>
      </c>
      <c r="V586" s="266">
        <f t="shared" si="45"/>
        <v>71</v>
      </c>
      <c r="W586" s="264">
        <f t="shared" si="48"/>
        <v>0.20360000000000023</v>
      </c>
      <c r="X586" s="264">
        <f t="shared" si="49"/>
        <v>0.27578732454080379</v>
      </c>
      <c r="Y586" s="268">
        <f>IFERROR(INDEX(Rainfall_Dry!$O$2:$O$217,MATCH(B586, Rainfall_Dry!$A$2:$A$217,0)),"")</f>
        <v>137.19979645800001</v>
      </c>
      <c r="Z586" s="257">
        <v>39.96</v>
      </c>
      <c r="AA586" s="257">
        <v>12.920000000000002</v>
      </c>
      <c r="AB586" s="257">
        <v>47.12</v>
      </c>
      <c r="AC586" s="258" t="s">
        <v>2658</v>
      </c>
      <c r="AD586" s="257">
        <v>1.6549531789058647</v>
      </c>
      <c r="AE586">
        <f>IF('WetLitterbags placem_collection'!AB147="","",'WetLitterbags placem_collection'!AB147)</f>
        <v>3.95</v>
      </c>
      <c r="AF586">
        <f>IF('WetLitterbags placem_collection'!Z147="","",'WetLitterbags placem_collection'!Z147)</f>
        <v>13</v>
      </c>
      <c r="AG586" s="243" t="str">
        <f>IF('WetLitterbags placem_collection'!AA147="","",'WetLitterbags placem_collection'!AA147)</f>
        <v>O</v>
      </c>
      <c r="AH586">
        <f>IF('WetLitterbags placem_collection'!AC147="","",'WetLitterbags placem_collection'!AC147)</f>
        <v>0</v>
      </c>
      <c r="AI586">
        <f>IFERROR(AVERAGE('Dry_Litterbag Placem_Collection'!O147,'Dry_Litterbag Placem_Collection'!R147),"")</f>
        <v>6.35</v>
      </c>
      <c r="AJ586" s="268">
        <f>IFERROR(AVERAGE('Dry_Litterbag Placem_Collection'!N147,'Dry_Litterbag Placem_Collection'!Q147),"")</f>
        <v>30</v>
      </c>
      <c r="AK586" s="267">
        <f>INDEX(Coordinates!$B$2:$B$197,MATCH(H586,Coordinates!$J$2:$J$197,0))</f>
        <v>-2.3675269729999999</v>
      </c>
      <c r="AL586" s="267">
        <f>INDEX(Coordinates!$C$2:$C$197,MATCH(H586,Coordinates!$J$2:$J$197,0))</f>
        <v>34.06035799</v>
      </c>
      <c r="AM586" s="267" t="str">
        <f>IF(ISNUMBER(SEARCH("C", 'Dry_Litterbag Placem_Collection'!U147)),"YES","NO")</f>
        <v>NO</v>
      </c>
      <c r="AN586" s="267" t="str">
        <f>IF(ISNUMBER(SEARCH("H", 'Dry_Litterbag Placem_Collection'!U147)),"YES","NO")</f>
        <v>NO</v>
      </c>
      <c r="AO586" s="267" t="str">
        <f>IF(ISNUMBER(SEARCH("R", 'Dry_Litterbag Placem_Collection'!U147)),"YES","NO")</f>
        <v>NO</v>
      </c>
    </row>
    <row r="587" spans="1:41" ht="15" customHeight="1">
      <c r="A587" s="259" t="s">
        <v>2643</v>
      </c>
      <c r="B587" s="260">
        <f>'Dry_Litterbag Placem_Collection'!A148</f>
        <v>146</v>
      </c>
      <c r="C587" s="260" t="str">
        <f>'Dry_Litterbag Placem_Collection'!B148</f>
        <v xml:space="preserve">Mwantimba
</v>
      </c>
      <c r="D587" s="260" t="s">
        <v>2454</v>
      </c>
      <c r="E587" s="260" t="s">
        <v>20</v>
      </c>
      <c r="F587" s="260">
        <v>3</v>
      </c>
      <c r="G587" s="260" t="s">
        <v>3823</v>
      </c>
      <c r="H587" s="261" t="str">
        <f>'Dry_Litterbag Placem_Collection'!C148</f>
        <v>Wet_P3_T2</v>
      </c>
      <c r="I587" s="270" t="s">
        <v>3630</v>
      </c>
      <c r="J587" s="263" t="s">
        <v>1147</v>
      </c>
      <c r="K587" s="260" t="str">
        <f>IF(ISBLANK('Dry_Litterbag Placem_Collection'!L148),"","G"&amp;""&amp;'Dry_Litterbag Placem_Collection'!L148)</f>
        <v>G336</v>
      </c>
      <c r="L587" s="264">
        <f>IFERROR(INDEX('Green_rooibos initial weight'!$C$5:$C$2000,MATCH(K587, 'Green_rooibos initial weight'!$A$5:$A$2000,0)),"")</f>
        <v>1.9950000000000001</v>
      </c>
      <c r="M587" s="264">
        <f>IFERROR(L587-(TBIcalc!$Q$9+TBIcalc!$Q$10),"")</f>
        <v>1.7452000000000001</v>
      </c>
      <c r="N587" s="385">
        <f>AVERAGE(Ashed_controlls!$K$2:$K$11)</f>
        <v>5.5147656768714146</v>
      </c>
      <c r="O587" s="264">
        <f t="shared" si="46"/>
        <v>1.6489563094072401</v>
      </c>
      <c r="P587" s="264">
        <f>IFERROR(INDEX('Both teabags AfterDry'!$D$2:$D$2000,MATCH(K587,'Both teabags AfterDry'!$A$2:$A$2000,0)),"")</f>
        <v>1.6466000000000001</v>
      </c>
      <c r="Q587" s="264">
        <f>IFERROR(IF(P587&gt;0,P587-(TBIcalc!$Q$9),""),"")</f>
        <v>1.496</v>
      </c>
      <c r="R587" s="275">
        <f>IFERROR(INDEX('Ashed teabags dry'!$K$2:$K$2000,MATCH(K587,'Ashed teabags dry'!$A$2:$A$2000,0)),"")</f>
        <v>9.7110374230223258</v>
      </c>
      <c r="S587" s="275">
        <f t="shared" si="47"/>
        <v>1.350722880151586</v>
      </c>
      <c r="T587" s="265">
        <f>IF('Dry_Litterbag Placem_Collection'!E148="","",'Dry_Litterbag Placem_Collection'!E148)</f>
        <v>42939</v>
      </c>
      <c r="U587" s="265">
        <f>IF('Dry_Litterbag Placem_Collection'!G148="","",'Dry_Litterbag Placem_Collection'!G148)</f>
        <v>43010</v>
      </c>
      <c r="V587" s="266">
        <f t="shared" si="45"/>
        <v>71</v>
      </c>
      <c r="W587" s="264">
        <f t="shared" si="48"/>
        <v>0.24920000000000009</v>
      </c>
      <c r="X587" s="264">
        <f t="shared" si="49"/>
        <v>0.2982334292556541</v>
      </c>
      <c r="Y587" s="268">
        <f>IFERROR(INDEX(Rainfall_Dry!$O$2:$O$217,MATCH(B587, Rainfall_Dry!$A$2:$A$217,0)),"")</f>
        <v>137.19979645800001</v>
      </c>
      <c r="Z587" s="257">
        <v>39.96</v>
      </c>
      <c r="AA587" s="257">
        <v>12.920000000000002</v>
      </c>
      <c r="AB587" s="257">
        <v>47.12</v>
      </c>
      <c r="AC587" s="258" t="s">
        <v>2658</v>
      </c>
      <c r="AD587" s="257">
        <v>2.6549531789058598</v>
      </c>
      <c r="AE587">
        <f>IF('WetLitterbags placem_collection'!AB148="","",'WetLitterbags placem_collection'!AB148)</f>
        <v>2.75</v>
      </c>
      <c r="AF587">
        <f>IF('WetLitterbags placem_collection'!Z148="","",'WetLitterbags placem_collection'!Z148)</f>
        <v>17.7</v>
      </c>
      <c r="AG587" s="243" t="str">
        <f>IF('WetLitterbags placem_collection'!AA148="","",'WetLitterbags placem_collection'!AA148)</f>
        <v>O</v>
      </c>
      <c r="AH587">
        <f>IF('WetLitterbags placem_collection'!AC148="","",'WetLitterbags placem_collection'!AC148)</f>
        <v>1</v>
      </c>
      <c r="AI587">
        <f>IFERROR(AVERAGE('Dry_Litterbag Placem_Collection'!O148,'Dry_Litterbag Placem_Collection'!R148),"")</f>
        <v>6.1</v>
      </c>
      <c r="AJ587" s="268">
        <f>IFERROR(AVERAGE('Dry_Litterbag Placem_Collection'!N148,'Dry_Litterbag Placem_Collection'!Q148),"")</f>
        <v>31</v>
      </c>
      <c r="AK587" s="267">
        <f>INDEX(Coordinates!$B$2:$B$197,MATCH(H587,Coordinates!$J$2:$J$197,0))</f>
        <v>-2.3675380370000001</v>
      </c>
      <c r="AL587" s="267">
        <f>INDEX(Coordinates!$C$2:$C$197,MATCH(H587,Coordinates!$J$2:$J$197,0))</f>
        <v>34.060381960000001</v>
      </c>
      <c r="AM587" s="267" t="str">
        <f>IF(ISNUMBER(SEARCH("C", 'Dry_Litterbag Placem_Collection'!U148)),"YES","NO")</f>
        <v>NO</v>
      </c>
      <c r="AN587" s="267" t="str">
        <f>IF(ISNUMBER(SEARCH("H", 'Dry_Litterbag Placem_Collection'!U148)),"YES","NO")</f>
        <v>NO</v>
      </c>
      <c r="AO587" s="267" t="str">
        <f>IF(ISNUMBER(SEARCH("R", 'Dry_Litterbag Placem_Collection'!U148)),"YES","NO")</f>
        <v>NO</v>
      </c>
    </row>
    <row r="588" spans="1:41" ht="15" customHeight="1">
      <c r="A588" s="259" t="s">
        <v>2643</v>
      </c>
      <c r="B588" s="260">
        <f>'Dry_Litterbag Placem_Collection'!A149</f>
        <v>147</v>
      </c>
      <c r="C588" s="260" t="str">
        <f>'Dry_Litterbag Placem_Collection'!B149</f>
        <v xml:space="preserve">Mwantimba
</v>
      </c>
      <c r="D588" s="260" t="s">
        <v>2454</v>
      </c>
      <c r="E588" s="260" t="s">
        <v>20</v>
      </c>
      <c r="F588" s="260">
        <v>3</v>
      </c>
      <c r="G588" s="260" t="s">
        <v>3823</v>
      </c>
      <c r="H588" s="261" t="str">
        <f>'Dry_Litterbag Placem_Collection'!C149</f>
        <v>Wet_P3_T3</v>
      </c>
      <c r="I588" s="270" t="s">
        <v>3630</v>
      </c>
      <c r="J588" s="263" t="s">
        <v>1147</v>
      </c>
      <c r="K588" s="260" t="str">
        <f>IF(ISBLANK('Dry_Litterbag Placem_Collection'!L149),"","G"&amp;""&amp;'Dry_Litterbag Placem_Collection'!L149)</f>
        <v>G303</v>
      </c>
      <c r="L588" s="264">
        <f>IFERROR(INDEX('Green_rooibos initial weight'!$C$5:$C$2000,MATCH(K588, 'Green_rooibos initial weight'!$A$5:$A$2000,0)),"")</f>
        <v>1.9850000000000001</v>
      </c>
      <c r="M588" s="264">
        <f>IFERROR(L588-(TBIcalc!$Q$9+TBIcalc!$Q$10),"")</f>
        <v>1.7352000000000001</v>
      </c>
      <c r="N588" s="385">
        <f>AVERAGE(Ashed_controlls!$K$2:$K$11)</f>
        <v>5.5147656768714146</v>
      </c>
      <c r="O588" s="264">
        <f t="shared" si="46"/>
        <v>1.6395077859749272</v>
      </c>
      <c r="P588" s="264">
        <f>IFERROR(INDEX('Both teabags AfterDry'!$D$2:$D$2000,MATCH(K588,'Both teabags AfterDry'!$A$2:$A$2000,0)),"")</f>
        <v>1.6654</v>
      </c>
      <c r="Q588" s="264">
        <f>IFERROR(IF(P588&gt;0,P588-(TBIcalc!$Q$9),""),"")</f>
        <v>1.5147999999999999</v>
      </c>
      <c r="R588" s="275">
        <f>IFERROR(INDEX('Ashed teabags dry'!$K$2:$K$2000,MATCH(K588,'Ashed teabags dry'!$A$2:$A$2000,0)),"")</f>
        <v>8.1562036579344408</v>
      </c>
      <c r="S588" s="275">
        <f t="shared" si="47"/>
        <v>1.391249826989609</v>
      </c>
      <c r="T588" s="265">
        <f>IF('Dry_Litterbag Placem_Collection'!E149="","",'Dry_Litterbag Placem_Collection'!E149)</f>
        <v>42939</v>
      </c>
      <c r="U588" s="265">
        <f>IF('Dry_Litterbag Placem_Collection'!G149="","",'Dry_Litterbag Placem_Collection'!G149)</f>
        <v>43010</v>
      </c>
      <c r="V588" s="266">
        <f t="shared" si="45"/>
        <v>71</v>
      </c>
      <c r="W588" s="264">
        <f t="shared" si="48"/>
        <v>0.22040000000000015</v>
      </c>
      <c r="X588" s="264">
        <f t="shared" si="49"/>
        <v>0.24825795898531822</v>
      </c>
      <c r="Y588" s="268">
        <f>IFERROR(INDEX(Rainfall_Dry!$O$2:$O$217,MATCH(B588, Rainfall_Dry!$A$2:$A$217,0)),"")</f>
        <v>137.19979645800001</v>
      </c>
      <c r="Z588" s="257">
        <v>39.96</v>
      </c>
      <c r="AA588" s="257">
        <v>12.920000000000002</v>
      </c>
      <c r="AB588" s="257">
        <v>47.12</v>
      </c>
      <c r="AC588" s="258" t="s">
        <v>2658</v>
      </c>
      <c r="AD588" s="257">
        <v>3.6549531789058598</v>
      </c>
      <c r="AE588">
        <f>IF('WetLitterbags placem_collection'!AB149="","",'WetLitterbags placem_collection'!AB149)</f>
        <v>3.6</v>
      </c>
      <c r="AF588">
        <f>IF('WetLitterbags placem_collection'!Z149="","",'WetLitterbags placem_collection'!Z149)</f>
        <v>19</v>
      </c>
      <c r="AG588" s="243" t="str">
        <f>IF('WetLitterbags placem_collection'!AA149="","",'WetLitterbags placem_collection'!AA149)</f>
        <v>M</v>
      </c>
      <c r="AH588">
        <f>IF('WetLitterbags placem_collection'!AC149="","",'WetLitterbags placem_collection'!AC149)</f>
        <v>1</v>
      </c>
      <c r="AI588">
        <f>IFERROR(AVERAGE('Dry_Litterbag Placem_Collection'!O149,'Dry_Litterbag Placem_Collection'!R149),"")</f>
        <v>5.6</v>
      </c>
      <c r="AJ588" s="268">
        <f>IFERROR(AVERAGE('Dry_Litterbag Placem_Collection'!N149,'Dry_Litterbag Placem_Collection'!Q149),"")</f>
        <v>29.900000000000002</v>
      </c>
      <c r="AK588" s="267">
        <f>INDEX(Coordinates!$B$2:$B$197,MATCH(H588,Coordinates!$J$2:$J$197,0))</f>
        <v>-2.3675780180000001</v>
      </c>
      <c r="AL588" s="267">
        <f>INDEX(Coordinates!$C$2:$C$197,MATCH(H588,Coordinates!$J$2:$J$197,0))</f>
        <v>34.060323029999999</v>
      </c>
      <c r="AM588" s="267" t="str">
        <f>IF(ISNUMBER(SEARCH("C", 'Dry_Litterbag Placem_Collection'!U149)),"YES","NO")</f>
        <v>NO</v>
      </c>
      <c r="AN588" s="267" t="str">
        <f>IF(ISNUMBER(SEARCH("H", 'Dry_Litterbag Placem_Collection'!U149)),"YES","NO")</f>
        <v>NO</v>
      </c>
      <c r="AO588" s="267" t="str">
        <f>IF(ISNUMBER(SEARCH("R", 'Dry_Litterbag Placem_Collection'!U149)),"YES","NO")</f>
        <v>NO</v>
      </c>
    </row>
    <row r="589" spans="1:41" ht="15" customHeight="1">
      <c r="A589" s="259" t="s">
        <v>2643</v>
      </c>
      <c r="B589" s="260">
        <f>'Dry_Litterbag Placem_Collection'!A150</f>
        <v>148</v>
      </c>
      <c r="C589" s="260" t="str">
        <f>'Dry_Litterbag Placem_Collection'!B150</f>
        <v xml:space="preserve">Mwantimba
</v>
      </c>
      <c r="D589" s="260" t="s">
        <v>2454</v>
      </c>
      <c r="E589" s="260" t="s">
        <v>20</v>
      </c>
      <c r="F589" s="260">
        <v>3</v>
      </c>
      <c r="G589" s="260" t="s">
        <v>3823</v>
      </c>
      <c r="H589" s="261" t="str">
        <f>'Dry_Litterbag Placem_Collection'!C150</f>
        <v>Wet_P3_T4</v>
      </c>
      <c r="I589" s="270" t="s">
        <v>3630</v>
      </c>
      <c r="J589" s="263" t="s">
        <v>1147</v>
      </c>
      <c r="K589" s="260" t="str">
        <f>IF(ISBLANK('Dry_Litterbag Placem_Collection'!L150),"","G"&amp;""&amp;'Dry_Litterbag Placem_Collection'!L150)</f>
        <v>G161</v>
      </c>
      <c r="L589" s="264">
        <f>IFERROR(INDEX('Green_rooibos initial weight'!$C$5:$C$2000,MATCH(K589, 'Green_rooibos initial weight'!$A$5:$A$2000,0)),"")</f>
        <v>2.0979999999999999</v>
      </c>
      <c r="M589" s="264">
        <f>IFERROR(L589-(TBIcalc!$Q$9+TBIcalc!$Q$10),"")</f>
        <v>1.8481999999999998</v>
      </c>
      <c r="N589" s="385">
        <f>AVERAGE(Ashed_controlls!$K$2:$K$11)</f>
        <v>5.5147656768714146</v>
      </c>
      <c r="O589" s="264">
        <f t="shared" si="46"/>
        <v>1.7462761007600625</v>
      </c>
      <c r="P589" s="264">
        <f>IFERROR(INDEX('Both teabags AfterDry'!$D$2:$D$2000,MATCH(K589,'Both teabags AfterDry'!$A$2:$A$2000,0)),"")</f>
        <v>1.7174</v>
      </c>
      <c r="Q589" s="264">
        <f>IFERROR(IF(P589&gt;0,P589-(TBIcalc!$Q$9),""),"")</f>
        <v>1.5668</v>
      </c>
      <c r="R589" s="275">
        <f>IFERROR(INDEX('Ashed teabags dry'!$K$2:$K$2000,MATCH(K589,'Ashed teabags dry'!$A$2:$A$2000,0)),"")</f>
        <v>9.0731707317073607</v>
      </c>
      <c r="S589" s="275">
        <f t="shared" si="47"/>
        <v>1.4246415609756091</v>
      </c>
      <c r="T589" s="265">
        <f>IF('Dry_Litterbag Placem_Collection'!E150="","",'Dry_Litterbag Placem_Collection'!E150)</f>
        <v>42939</v>
      </c>
      <c r="U589" s="265">
        <f>IF('Dry_Litterbag Placem_Collection'!G150="","",'Dry_Litterbag Placem_Collection'!G150)</f>
        <v>43010</v>
      </c>
      <c r="V589" s="266">
        <f t="shared" si="45"/>
        <v>71</v>
      </c>
      <c r="W589" s="264">
        <f t="shared" si="48"/>
        <v>0.28139999999999987</v>
      </c>
      <c r="X589" s="264">
        <f t="shared" si="49"/>
        <v>0.32163453978445333</v>
      </c>
      <c r="Y589" s="268">
        <f>IFERROR(INDEX(Rainfall_Dry!$O$2:$O$217,MATCH(B589, Rainfall_Dry!$A$2:$A$217,0)),"")</f>
        <v>137.19979645800001</v>
      </c>
      <c r="Z589" s="257">
        <v>39.96</v>
      </c>
      <c r="AA589" s="257">
        <v>12.920000000000002</v>
      </c>
      <c r="AB589" s="257">
        <v>47.12</v>
      </c>
      <c r="AC589" s="258" t="s">
        <v>2658</v>
      </c>
      <c r="AD589" s="257">
        <v>4.6549531789058696</v>
      </c>
      <c r="AE589">
        <f>IF('WetLitterbags placem_collection'!AB150="","",'WetLitterbags placem_collection'!AB150)</f>
        <v>4.9000000000000004</v>
      </c>
      <c r="AF589">
        <f>IF('WetLitterbags placem_collection'!Z150="","",'WetLitterbags placem_collection'!Z150)</f>
        <v>17.489999999999998</v>
      </c>
      <c r="AG589" s="243" t="str">
        <f>IF('WetLitterbags placem_collection'!AA150="","",'WetLitterbags placem_collection'!AA150)</f>
        <v>M</v>
      </c>
      <c r="AH589">
        <f>IF('WetLitterbags placem_collection'!AC150="","",'WetLitterbags placem_collection'!AC150)</f>
        <v>1</v>
      </c>
      <c r="AI589">
        <f>IFERROR(AVERAGE('Dry_Litterbag Placem_Collection'!O150,'Dry_Litterbag Placem_Collection'!R150),"")</f>
        <v>6.5</v>
      </c>
      <c r="AJ589" s="268">
        <f>IFERROR(AVERAGE('Dry_Litterbag Placem_Collection'!N150,'Dry_Litterbag Placem_Collection'!Q150),"")</f>
        <v>31.6</v>
      </c>
      <c r="AK589" s="267">
        <f>INDEX(Coordinates!$B$2:$B$197,MATCH(H589,Coordinates!$J$2:$J$197,0))</f>
        <v>-2.3676269689999998</v>
      </c>
      <c r="AL589" s="267">
        <f>INDEX(Coordinates!$C$2:$C$197,MATCH(H589,Coordinates!$J$2:$J$197,0))</f>
        <v>34.060310960000002</v>
      </c>
      <c r="AM589" s="267" t="str">
        <f>IF(ISNUMBER(SEARCH("C", 'Dry_Litterbag Placem_Collection'!U150)),"YES","NO")</f>
        <v>YES</v>
      </c>
      <c r="AN589" s="267" t="str">
        <f>IF(ISNUMBER(SEARCH("H", 'Dry_Litterbag Placem_Collection'!U150)),"YES","NO")</f>
        <v>NO</v>
      </c>
      <c r="AO589" s="267" t="str">
        <f>IF(ISNUMBER(SEARCH("R", 'Dry_Litterbag Placem_Collection'!U150)),"YES","NO")</f>
        <v>NO</v>
      </c>
    </row>
    <row r="590" spans="1:41" ht="15" customHeight="1">
      <c r="A590" s="259" t="s">
        <v>2643</v>
      </c>
      <c r="B590" s="260">
        <f>'Dry_Litterbag Placem_Collection'!A151</f>
        <v>149</v>
      </c>
      <c r="C590" s="260" t="str">
        <f>'Dry_Litterbag Placem_Collection'!B151</f>
        <v xml:space="preserve">Mwantimba
</v>
      </c>
      <c r="D590" s="260" t="s">
        <v>2454</v>
      </c>
      <c r="E590" s="260" t="s">
        <v>20</v>
      </c>
      <c r="F590" s="260">
        <v>3</v>
      </c>
      <c r="G590" s="260" t="s">
        <v>3823</v>
      </c>
      <c r="H590" s="261" t="str">
        <f>'Dry_Litterbag Placem_Collection'!C151</f>
        <v>Wet_P3_T5</v>
      </c>
      <c r="I590" s="270" t="s">
        <v>3630</v>
      </c>
      <c r="J590" s="263" t="s">
        <v>1147</v>
      </c>
      <c r="K590" s="260" t="str">
        <f>IF(ISBLANK('Dry_Litterbag Placem_Collection'!L151),"","G"&amp;""&amp;'Dry_Litterbag Placem_Collection'!L151)</f>
        <v>G464</v>
      </c>
      <c r="L590" s="264">
        <f>IFERROR(INDEX('Green_rooibos initial weight'!$C$5:$C$2000,MATCH(K590, 'Green_rooibos initial weight'!$A$5:$A$2000,0)),"")</f>
        <v>1.964</v>
      </c>
      <c r="M590" s="264">
        <f>IFERROR(L590-(TBIcalc!$Q$9+TBIcalc!$Q$10),"")</f>
        <v>1.7141999999999999</v>
      </c>
      <c r="N590" s="385">
        <f>AVERAGE(Ashed_controlls!$K$2:$K$11)</f>
        <v>5.5147656768714146</v>
      </c>
      <c r="O590" s="264">
        <f t="shared" si="46"/>
        <v>1.6196658867670701</v>
      </c>
      <c r="P590" s="264">
        <f>IFERROR(INDEX('Both teabags AfterDry'!$D$2:$D$2000,MATCH(K590,'Both teabags AfterDry'!$A$2:$A$2000,0)),"")</f>
        <v>1.571</v>
      </c>
      <c r="Q590" s="264">
        <f>IFERROR(IF(P590&gt;0,P590-(TBIcalc!$Q$9),""),"")</f>
        <v>1.4203999999999999</v>
      </c>
      <c r="R590" s="275">
        <f>IFERROR(INDEX('Ashed teabags dry'!$K$2:$K$2000,MATCH(K590,'Ashed teabags dry'!$A$2:$A$2000,0)),"")</f>
        <v>7.6546506453042547</v>
      </c>
      <c r="S590" s="275">
        <f t="shared" si="47"/>
        <v>1.3116733422340983</v>
      </c>
      <c r="T590" s="265">
        <f>IF('Dry_Litterbag Placem_Collection'!E151="","",'Dry_Litterbag Placem_Collection'!E151)</f>
        <v>42939</v>
      </c>
      <c r="U590" s="265">
        <f>IF('Dry_Litterbag Placem_Collection'!G151="","",'Dry_Litterbag Placem_Collection'!G151)</f>
        <v>43010</v>
      </c>
      <c r="V590" s="266">
        <f t="shared" si="45"/>
        <v>71</v>
      </c>
      <c r="W590" s="264">
        <f t="shared" si="48"/>
        <v>0.29380000000000006</v>
      </c>
      <c r="X590" s="264">
        <f t="shared" si="49"/>
        <v>0.30799254453297187</v>
      </c>
      <c r="Y590" s="268">
        <f>IFERROR(INDEX(Rainfall_Dry!$O$2:$O$217,MATCH(B590, Rainfall_Dry!$A$2:$A$217,0)),"")</f>
        <v>137.19979645800001</v>
      </c>
      <c r="Z590" s="257">
        <v>39.96</v>
      </c>
      <c r="AA590" s="257">
        <v>12.920000000000002</v>
      </c>
      <c r="AB590" s="257">
        <v>47.12</v>
      </c>
      <c r="AC590" s="258" t="s">
        <v>2658</v>
      </c>
      <c r="AD590" s="257">
        <v>5.6549531789058696</v>
      </c>
      <c r="AE590">
        <f>IF('WetLitterbags placem_collection'!AB151="","",'WetLitterbags placem_collection'!AB151)</f>
        <v>2.8</v>
      </c>
      <c r="AF590">
        <f>IF('WetLitterbags placem_collection'!Z151="","",'WetLitterbags placem_collection'!Z151)</f>
        <v>13</v>
      </c>
      <c r="AG590" s="243" t="str">
        <f>IF('WetLitterbags placem_collection'!AA151="","",'WetLitterbags placem_collection'!AA151)</f>
        <v>M</v>
      </c>
      <c r="AH590">
        <f>IF('WetLitterbags placem_collection'!AC151="","",'WetLitterbags placem_collection'!AC151)</f>
        <v>1</v>
      </c>
      <c r="AI590">
        <f>IFERROR(AVERAGE('Dry_Litterbag Placem_Collection'!O151,'Dry_Litterbag Placem_Collection'!R151),"")</f>
        <v>6.3000000000000007</v>
      </c>
      <c r="AJ590" s="268">
        <f>IFERROR(AVERAGE('Dry_Litterbag Placem_Collection'!N151,'Dry_Litterbag Placem_Collection'!Q151),"")</f>
        <v>31</v>
      </c>
      <c r="AK590" s="267">
        <f>INDEX(Coordinates!$B$2:$B$197,MATCH(H590,Coordinates!$J$2:$J$197,0))</f>
        <v>-2.3677179960000001</v>
      </c>
      <c r="AL590" s="267">
        <f>INDEX(Coordinates!$C$2:$C$197,MATCH(H590,Coordinates!$J$2:$J$197,0))</f>
        <v>34.060324960000003</v>
      </c>
      <c r="AM590" s="267" t="str">
        <f>IF(ISNUMBER(SEARCH("C", 'Dry_Litterbag Placem_Collection'!U151)),"YES","NO")</f>
        <v>NO</v>
      </c>
      <c r="AN590" s="267" t="str">
        <f>IF(ISNUMBER(SEARCH("H", 'Dry_Litterbag Placem_Collection'!U151)),"YES","NO")</f>
        <v>NO</v>
      </c>
      <c r="AO590" s="267" t="str">
        <f>IF(ISNUMBER(SEARCH("R", 'Dry_Litterbag Placem_Collection'!U151)),"YES","NO")</f>
        <v>NO</v>
      </c>
    </row>
    <row r="591" spans="1:41" ht="15" customHeight="1">
      <c r="A591" s="259" t="s">
        <v>2643</v>
      </c>
      <c r="B591" s="260">
        <f>'Dry_Litterbag Placem_Collection'!A152</f>
        <v>150</v>
      </c>
      <c r="C591" s="260" t="str">
        <f>'Dry_Litterbag Placem_Collection'!B152</f>
        <v xml:space="preserve">Mwantimba
</v>
      </c>
      <c r="D591" s="260" t="s">
        <v>2454</v>
      </c>
      <c r="E591" s="260" t="s">
        <v>20</v>
      </c>
      <c r="F591" s="260">
        <v>3</v>
      </c>
      <c r="G591" s="260" t="s">
        <v>3823</v>
      </c>
      <c r="H591" s="261" t="str">
        <f>'Dry_Litterbag Placem_Collection'!C152</f>
        <v>Wet_P3_T6</v>
      </c>
      <c r="I591" s="270" t="s">
        <v>3630</v>
      </c>
      <c r="J591" s="263" t="s">
        <v>1147</v>
      </c>
      <c r="K591" s="260" t="str">
        <f>IF(ISBLANK('Dry_Litterbag Placem_Collection'!L152),"","G"&amp;""&amp;'Dry_Litterbag Placem_Collection'!L152)</f>
        <v>G843</v>
      </c>
      <c r="L591" s="264">
        <f>IFERROR(INDEX('Green_rooibos initial weight'!$C$5:$C$2000,MATCH(K591, 'Green_rooibos initial weight'!$A$5:$A$2000,0)),"")</f>
        <v>1.964</v>
      </c>
      <c r="M591" s="264">
        <f>IFERROR(L591-(TBIcalc!$Q$9+TBIcalc!$Q$10),"")</f>
        <v>1.7141999999999999</v>
      </c>
      <c r="N591" s="385">
        <f>AVERAGE(Ashed_controlls!$K$2:$K$11)</f>
        <v>5.5147656768714146</v>
      </c>
      <c r="O591" s="264">
        <f t="shared" si="46"/>
        <v>1.6196658867670701</v>
      </c>
      <c r="P591" s="264" t="str">
        <f>IFERROR(INDEX('Both teabags AfterDry'!$D$2:$D$2000,MATCH(K591,'Both teabags AfterDry'!$A$2:$A$2000,0)),"")</f>
        <v/>
      </c>
      <c r="Q591" s="264" t="str">
        <f>IFERROR(IF(P591&gt;0,P591-(TBIcalc!$Q$9),""),"")</f>
        <v/>
      </c>
      <c r="R591" s="275" t="str">
        <f>IFERROR(INDEX('Ashed teabags dry'!$K$2:$K$2000,MATCH(K591,'Ashed teabags dry'!$A$2:$A$2000,0)),"")</f>
        <v/>
      </c>
      <c r="S591" s="275" t="str">
        <f t="shared" si="47"/>
        <v/>
      </c>
      <c r="T591" s="265">
        <f>IF('Dry_Litterbag Placem_Collection'!E152="","",'Dry_Litterbag Placem_Collection'!E152)</f>
        <v>42939</v>
      </c>
      <c r="U591" s="265">
        <f>IF('Dry_Litterbag Placem_Collection'!G152="","",'Dry_Litterbag Placem_Collection'!G152)</f>
        <v>43010</v>
      </c>
      <c r="V591" s="266">
        <f t="shared" si="45"/>
        <v>71</v>
      </c>
      <c r="W591" s="264" t="str">
        <f t="shared" si="48"/>
        <v/>
      </c>
      <c r="X591" s="264" t="str">
        <f t="shared" si="49"/>
        <v/>
      </c>
      <c r="Y591" s="268">
        <f>IFERROR(INDEX(Rainfall_Dry!$O$2:$O$217,MATCH(B591, Rainfall_Dry!$A$2:$A$217,0)),"")</f>
        <v>137.19979645800001</v>
      </c>
      <c r="Z591" s="257">
        <v>39.96</v>
      </c>
      <c r="AA591" s="257">
        <v>12.920000000000002</v>
      </c>
      <c r="AB591" s="257">
        <v>47.12</v>
      </c>
      <c r="AC591" s="258" t="s">
        <v>2658</v>
      </c>
      <c r="AD591" s="257">
        <v>6.6549531789058696</v>
      </c>
      <c r="AE591">
        <f>IF('WetLitterbags placem_collection'!AB152="","",'WetLitterbags placem_collection'!AB152)</f>
        <v>2.75</v>
      </c>
      <c r="AF591">
        <f>IF('WetLitterbags placem_collection'!Z152="","",'WetLitterbags placem_collection'!Z152)</f>
        <v>19</v>
      </c>
      <c r="AG591" s="243" t="str">
        <f>IF('WetLitterbags placem_collection'!AA152="","",'WetLitterbags placem_collection'!AA152)</f>
        <v>O</v>
      </c>
      <c r="AH591">
        <f>IF('WetLitterbags placem_collection'!AC152="","",'WetLitterbags placem_collection'!AC152)</f>
        <v>0</v>
      </c>
      <c r="AI591">
        <f>IFERROR(AVERAGE('Dry_Litterbag Placem_Collection'!O152,'Dry_Litterbag Placem_Collection'!R152),"")</f>
        <v>6.1999999999999993</v>
      </c>
      <c r="AJ591" s="268">
        <f>IFERROR(AVERAGE('Dry_Litterbag Placem_Collection'!N152,'Dry_Litterbag Placem_Collection'!Q152),"")</f>
        <v>30.8</v>
      </c>
      <c r="AK591" s="267">
        <f>INDEX(Coordinates!$B$2:$B$197,MATCH(H591,Coordinates!$J$2:$J$197,0))</f>
        <v>-2.3675230329999999</v>
      </c>
      <c r="AL591" s="267">
        <f>INDEX(Coordinates!$C$2:$C$197,MATCH(H591,Coordinates!$J$2:$J$197,0))</f>
        <v>34.060512969999998</v>
      </c>
      <c r="AM591" s="267" t="str">
        <f>IF(ISNUMBER(SEARCH("C", 'Dry_Litterbag Placem_Collection'!U152)),"YES","NO")</f>
        <v>NO</v>
      </c>
      <c r="AN591" s="267" t="str">
        <f>IF(ISNUMBER(SEARCH("H", 'Dry_Litterbag Placem_Collection'!U152)),"YES","NO")</f>
        <v>NO</v>
      </c>
      <c r="AO591" s="267" t="str">
        <f>IF(ISNUMBER(SEARCH("R", 'Dry_Litterbag Placem_Collection'!U152)),"YES","NO")</f>
        <v>NO</v>
      </c>
    </row>
    <row r="592" spans="1:41" ht="15" customHeight="1">
      <c r="A592" s="259" t="s">
        <v>2643</v>
      </c>
      <c r="B592" s="260">
        <f>'Dry_Litterbag Placem_Collection'!A153</f>
        <v>151</v>
      </c>
      <c r="C592" s="260" t="str">
        <f>'Dry_Litterbag Placem_Collection'!B153</f>
        <v xml:space="preserve">Mwantimba
</v>
      </c>
      <c r="D592" s="260" t="s">
        <v>2454</v>
      </c>
      <c r="E592" s="260" t="s">
        <v>20</v>
      </c>
      <c r="F592" s="260">
        <v>3</v>
      </c>
      <c r="G592" s="260" t="s">
        <v>3823</v>
      </c>
      <c r="H592" s="261" t="str">
        <f>'Dry_Litterbag Placem_Collection'!C153</f>
        <v>Wet_P3_T7</v>
      </c>
      <c r="I592" s="270" t="s">
        <v>3630</v>
      </c>
      <c r="J592" s="263" t="s">
        <v>1147</v>
      </c>
      <c r="K592" s="260" t="str">
        <f>IF(ISBLANK('Dry_Litterbag Placem_Collection'!L153),"","G"&amp;""&amp;'Dry_Litterbag Placem_Collection'!L153)</f>
        <v/>
      </c>
      <c r="L592" s="264" t="str">
        <f>IFERROR(INDEX('Green_rooibos initial weight'!$C$5:$C$2000,MATCH(K592, 'Green_rooibos initial weight'!$A$5:$A$2000,0)),"")</f>
        <v/>
      </c>
      <c r="M592" s="264" t="str">
        <f>IFERROR(L592-(TBIcalc!$Q$9+TBIcalc!$Q$10),"")</f>
        <v/>
      </c>
      <c r="N592" s="385">
        <f>AVERAGE(Ashed_controlls!$K$2:$K$11)</f>
        <v>5.5147656768714146</v>
      </c>
      <c r="O592" s="264" t="str">
        <f t="shared" si="46"/>
        <v/>
      </c>
      <c r="P592" s="264" t="str">
        <f>IFERROR(INDEX('Both teabags AfterDry'!$D$2:$D$2000,MATCH(K592,'Both teabags AfterDry'!$A$2:$A$2000,0)),"")</f>
        <v/>
      </c>
      <c r="Q592" s="264" t="str">
        <f>IFERROR(IF(P592&gt;0,P592-(TBIcalc!$Q$9),""),"")</f>
        <v/>
      </c>
      <c r="R592" s="275" t="str">
        <f>IFERROR(INDEX('Ashed teabags dry'!$K$2:$K$2000,MATCH(K592,'Ashed teabags dry'!$A$2:$A$2000,0)),"")</f>
        <v/>
      </c>
      <c r="S592" s="275" t="str">
        <f t="shared" si="47"/>
        <v/>
      </c>
      <c r="T592" s="265" t="str">
        <f>IF('Dry_Litterbag Placem_Collection'!E153="","",'Dry_Litterbag Placem_Collection'!E153)</f>
        <v/>
      </c>
      <c r="U592" s="265" t="str">
        <f>IF('Dry_Litterbag Placem_Collection'!G153="","",'Dry_Litterbag Placem_Collection'!G153)</f>
        <v/>
      </c>
      <c r="V592" s="266" t="str">
        <f t="shared" si="45"/>
        <v/>
      </c>
      <c r="W592" s="264" t="str">
        <f t="shared" si="48"/>
        <v/>
      </c>
      <c r="X592" s="264" t="str">
        <f t="shared" si="49"/>
        <v/>
      </c>
      <c r="Y592" s="268" t="str">
        <f>IFERROR(INDEX(Rainfall_Dry!$O$2:$O$217,MATCH(B592, Rainfall_Dry!$A$2:$A$217,0)),"")</f>
        <v/>
      </c>
      <c r="Z592" s="257">
        <v>39.96</v>
      </c>
      <c r="AA592" s="257">
        <v>12.920000000000002</v>
      </c>
      <c r="AB592" s="257">
        <v>47.12</v>
      </c>
      <c r="AC592" s="258" t="s">
        <v>2658</v>
      </c>
      <c r="AD592" s="257">
        <v>7.6549531789058696</v>
      </c>
      <c r="AE592">
        <f>IF('WetLitterbags placem_collection'!AB153="","",'WetLitterbags placem_collection'!AB153)</f>
        <v>1.4</v>
      </c>
      <c r="AF592">
        <f>IF('WetLitterbags placem_collection'!Z153="","",'WetLitterbags placem_collection'!Z153)</f>
        <v>7.9</v>
      </c>
      <c r="AG592" s="243" t="str">
        <f>IF('WetLitterbags placem_collection'!AA153="","",'WetLitterbags placem_collection'!AA153)</f>
        <v>O</v>
      </c>
      <c r="AH592">
        <f>IF('WetLitterbags placem_collection'!AC153="","",'WetLitterbags placem_collection'!AC153)</f>
        <v>1</v>
      </c>
      <c r="AI592" t="str">
        <f>IFERROR(AVERAGE('Dry_Litterbag Placem_Collection'!O153,'Dry_Litterbag Placem_Collection'!R153),"")</f>
        <v/>
      </c>
      <c r="AJ592" s="268" t="str">
        <f>IFERROR(AVERAGE('Dry_Litterbag Placem_Collection'!N153,'Dry_Litterbag Placem_Collection'!Q153),"")</f>
        <v/>
      </c>
      <c r="AK592" s="267">
        <f>INDEX(Coordinates!$B$2:$B$197,MATCH(H592,Coordinates!$J$2:$J$197,0))</f>
        <v>-2.3673460070000001</v>
      </c>
      <c r="AL592" s="267">
        <f>INDEX(Coordinates!$C$2:$C$197,MATCH(H592,Coordinates!$J$2:$J$197,0))</f>
        <v>34.060310039999997</v>
      </c>
      <c r="AM592" s="267" t="str">
        <f>IF(ISNUMBER(SEARCH("C", 'Dry_Litterbag Placem_Collection'!U153)),"YES","NO")</f>
        <v>NO</v>
      </c>
      <c r="AN592" s="267" t="str">
        <f>IF(ISNUMBER(SEARCH("H", 'Dry_Litterbag Placem_Collection'!U153)),"YES","NO")</f>
        <v>NO</v>
      </c>
      <c r="AO592" s="267" t="str">
        <f>IF(ISNUMBER(SEARCH("R", 'Dry_Litterbag Placem_Collection'!U153)),"YES","NO")</f>
        <v>NO</v>
      </c>
    </row>
    <row r="593" spans="1:41" ht="15" customHeight="1">
      <c r="A593" s="259" t="s">
        <v>2643</v>
      </c>
      <c r="B593" s="260">
        <f>'Dry_Litterbag Placem_Collection'!A154</f>
        <v>152</v>
      </c>
      <c r="C593" s="260" t="str">
        <f>'Dry_Litterbag Placem_Collection'!B154</f>
        <v xml:space="preserve">Mwantimba
</v>
      </c>
      <c r="D593" s="260" t="s">
        <v>2454</v>
      </c>
      <c r="E593" s="260" t="s">
        <v>20</v>
      </c>
      <c r="F593" s="260">
        <v>3</v>
      </c>
      <c r="G593" s="260" t="s">
        <v>3823</v>
      </c>
      <c r="H593" s="261" t="str">
        <f>'Dry_Litterbag Placem_Collection'!C154</f>
        <v>Wet_P3_T8</v>
      </c>
      <c r="I593" s="270" t="s">
        <v>3630</v>
      </c>
      <c r="J593" s="263" t="s">
        <v>1147</v>
      </c>
      <c r="K593" s="260" t="str">
        <f>IF(ISBLANK('Dry_Litterbag Placem_Collection'!L154),"","G"&amp;""&amp;'Dry_Litterbag Placem_Collection'!L154)</f>
        <v>G617</v>
      </c>
      <c r="L593" s="264">
        <f>IFERROR(INDEX('Green_rooibos initial weight'!$C$5:$C$2000,MATCH(K593, 'Green_rooibos initial weight'!$A$5:$A$2000,0)),"")</f>
        <v>2.0880000000000001</v>
      </c>
      <c r="M593" s="264">
        <f>IFERROR(L593-(TBIcalc!$Q$9+TBIcalc!$Q$10),"")</f>
        <v>1.8382000000000001</v>
      </c>
      <c r="N593" s="385">
        <f>AVERAGE(Ashed_controlls!$K$2:$K$11)</f>
        <v>5.5147656768714146</v>
      </c>
      <c r="O593" s="264">
        <f t="shared" si="46"/>
        <v>1.7368275773277497</v>
      </c>
      <c r="P593" s="264">
        <f>IFERROR(INDEX('Both teabags AfterDry'!$D$2:$D$2000,MATCH(K593,'Both teabags AfterDry'!$A$2:$A$2000,0)),"")</f>
        <v>1.3632</v>
      </c>
      <c r="Q593" s="264">
        <f>IFERROR(IF(P593&gt;0,P593-(TBIcalc!$Q$9),""),"")</f>
        <v>1.2125999999999999</v>
      </c>
      <c r="R593" s="275">
        <f>IFERROR(INDEX('Ashed teabags dry'!$K$2:$K$2000,MATCH(K593,'Ashed teabags dry'!$A$2:$A$2000,0)),"")</f>
        <v>7.889033376679512</v>
      </c>
      <c r="S593" s="275">
        <f t="shared" si="47"/>
        <v>1.1169375812743843</v>
      </c>
      <c r="T593" s="265">
        <f>IF('Dry_Litterbag Placem_Collection'!E154="","",'Dry_Litterbag Placem_Collection'!E154)</f>
        <v>42939</v>
      </c>
      <c r="U593" s="265">
        <f>IF('Dry_Litterbag Placem_Collection'!G154="","",'Dry_Litterbag Placem_Collection'!G154)</f>
        <v>43010</v>
      </c>
      <c r="V593" s="266">
        <f t="shared" si="45"/>
        <v>71</v>
      </c>
      <c r="W593" s="264">
        <f t="shared" si="48"/>
        <v>0.62560000000000016</v>
      </c>
      <c r="X593" s="264">
        <f t="shared" si="49"/>
        <v>0.61988999605336548</v>
      </c>
      <c r="Y593" s="268">
        <f>IFERROR(INDEX(Rainfall_Dry!$O$2:$O$217,MATCH(B593, Rainfall_Dry!$A$2:$A$217,0)),"")</f>
        <v>137.19979645800001</v>
      </c>
      <c r="Z593" s="257">
        <v>39.96</v>
      </c>
      <c r="AA593" s="257">
        <v>12.920000000000002</v>
      </c>
      <c r="AB593" s="257">
        <v>47.12</v>
      </c>
      <c r="AC593" s="258" t="s">
        <v>2658</v>
      </c>
      <c r="AD593" s="257">
        <v>8.6549531789058705</v>
      </c>
      <c r="AE593">
        <f>IF('WetLitterbags placem_collection'!AB154="","",'WetLitterbags placem_collection'!AB154)</f>
        <v>2.2000000000000002</v>
      </c>
      <c r="AF593">
        <f>IF('WetLitterbags placem_collection'!Z154="","",'WetLitterbags placem_collection'!Z154)</f>
        <v>15</v>
      </c>
      <c r="AG593" s="243" t="str">
        <f>IF('WetLitterbags placem_collection'!AA154="","",'WetLitterbags placem_collection'!AA154)</f>
        <v>M</v>
      </c>
      <c r="AH593">
        <f>IF('WetLitterbags placem_collection'!AC154="","",'WetLitterbags placem_collection'!AC154)</f>
        <v>0</v>
      </c>
      <c r="AI593">
        <f>IFERROR(AVERAGE('Dry_Litterbag Placem_Collection'!O154,'Dry_Litterbag Placem_Collection'!R154),"")</f>
        <v>6.4</v>
      </c>
      <c r="AJ593" s="268">
        <f>IFERROR(AVERAGE('Dry_Litterbag Placem_Collection'!N154,'Dry_Litterbag Placem_Collection'!Q154),"")</f>
        <v>28.45</v>
      </c>
      <c r="AK593" s="267">
        <f>INDEX(Coordinates!$B$2:$B$197,MATCH(H593,Coordinates!$J$2:$J$197,0))</f>
        <v>-2.367543988</v>
      </c>
      <c r="AL593" s="267">
        <f>INDEX(Coordinates!$C$2:$C$197,MATCH(H593,Coordinates!$J$2:$J$197,0))</f>
        <v>34.060168969999999</v>
      </c>
      <c r="AM593" s="267" t="str">
        <f>IF(ISNUMBER(SEARCH("C", 'Dry_Litterbag Placem_Collection'!U154)),"YES","NO")</f>
        <v>NO</v>
      </c>
      <c r="AN593" s="267" t="str">
        <f>IF(ISNUMBER(SEARCH("H", 'Dry_Litterbag Placem_Collection'!U154)),"YES","NO")</f>
        <v>NO</v>
      </c>
      <c r="AO593" s="267" t="str">
        <f>IF(ISNUMBER(SEARCH("R", 'Dry_Litterbag Placem_Collection'!U154)),"YES","NO")</f>
        <v>NO</v>
      </c>
    </row>
    <row r="594" spans="1:41" ht="15" customHeight="1">
      <c r="A594" s="259" t="s">
        <v>2643</v>
      </c>
      <c r="B594" s="260">
        <f>'Dry_Litterbag Placem_Collection'!A155</f>
        <v>153</v>
      </c>
      <c r="C594" s="260" t="str">
        <f>'Dry_Litterbag Placem_Collection'!B155</f>
        <v xml:space="preserve">Mwantimba
</v>
      </c>
      <c r="D594" s="260" t="s">
        <v>2454</v>
      </c>
      <c r="E594" s="260" t="s">
        <v>20</v>
      </c>
      <c r="F594" s="260">
        <v>4</v>
      </c>
      <c r="G594" s="260" t="s">
        <v>3824</v>
      </c>
      <c r="H594" s="261" t="str">
        <f>'Dry_Litterbag Placem_Collection'!C155</f>
        <v>Wet_P4_T1</v>
      </c>
      <c r="I594" s="270" t="s">
        <v>3630</v>
      </c>
      <c r="J594" s="263" t="s">
        <v>1147</v>
      </c>
      <c r="K594" s="260" t="str">
        <f>IF(ISBLANK('Dry_Litterbag Placem_Collection'!L155),"","G"&amp;""&amp;'Dry_Litterbag Placem_Collection'!L155)</f>
        <v>G19</v>
      </c>
      <c r="L594" s="264">
        <f>IFERROR(INDEX('Green_rooibos initial weight'!$C$5:$C$2000,MATCH(K594, 'Green_rooibos initial weight'!$A$5:$A$2000,0)),"")</f>
        <v>2.0659999999999998</v>
      </c>
      <c r="M594" s="264">
        <f>IFERROR(L594-(TBIcalc!$Q$9+TBIcalc!$Q$10),"")</f>
        <v>1.8161999999999998</v>
      </c>
      <c r="N594" s="385">
        <f>AVERAGE(Ashed_controlls!$K$2:$K$11)</f>
        <v>5.5147656768714146</v>
      </c>
      <c r="O594" s="264">
        <f t="shared" si="46"/>
        <v>1.7160408257766613</v>
      </c>
      <c r="P594" s="264">
        <f>IFERROR(INDEX('Both teabags AfterDry'!$D$2:$D$2000,MATCH(K594,'Both teabags AfterDry'!$A$2:$A$2000,0)),"")</f>
        <v>1.0404</v>
      </c>
      <c r="Q594" s="264">
        <f>IFERROR(IF(P594&gt;0,P594-(TBIcalc!$Q$9),""),"")</f>
        <v>0.88979999999999992</v>
      </c>
      <c r="R594" s="275">
        <f>IFERROR(INDEX('Ashed teabags dry'!$K$2:$K$2000,MATCH(K594,'Ashed teabags dry'!$A$2:$A$2000,0)),"")</f>
        <v>12.463485881207744</v>
      </c>
      <c r="S594" s="275">
        <f t="shared" si="47"/>
        <v>0.77889990262901343</v>
      </c>
      <c r="T594" s="265">
        <f>IF('Dry_Litterbag Placem_Collection'!E155="","",'Dry_Litterbag Placem_Collection'!E155)</f>
        <v>42939</v>
      </c>
      <c r="U594" s="265">
        <f>IF('Dry_Litterbag Placem_Collection'!G155="","",'Dry_Litterbag Placem_Collection'!G155)</f>
        <v>43010</v>
      </c>
      <c r="V594" s="266">
        <f t="shared" si="45"/>
        <v>71</v>
      </c>
      <c r="W594" s="264">
        <f t="shared" si="48"/>
        <v>0.92639999999999989</v>
      </c>
      <c r="X594" s="264">
        <f t="shared" si="49"/>
        <v>0.93714092314764785</v>
      </c>
      <c r="Y594" s="268">
        <f>IFERROR(INDEX(Rainfall_Dry!$O$2:$O$217,MATCH(B594, Rainfall_Dry!$A$2:$A$217,0)),"")</f>
        <v>137.19979645800001</v>
      </c>
      <c r="Z594" s="257">
        <v>27.96</v>
      </c>
      <c r="AA594" s="257">
        <v>4.9200000000000017</v>
      </c>
      <c r="AB594" s="257">
        <v>67.12</v>
      </c>
      <c r="AC594" s="258" t="s">
        <v>2654</v>
      </c>
      <c r="AD594" s="257">
        <v>1.0437161163134547</v>
      </c>
      <c r="AE594">
        <f>IF('WetLitterbags placem_collection'!AB155="","",'WetLitterbags placem_collection'!AB155)</f>
        <v>2.1</v>
      </c>
      <c r="AF594">
        <f>IF('WetLitterbags placem_collection'!Z155="","",'WetLitterbags placem_collection'!Z155)</f>
        <v>16.399999999999999</v>
      </c>
      <c r="AG594" s="243" t="str">
        <f>IF('WetLitterbags placem_collection'!AA155="","",'WetLitterbags placem_collection'!AA155)</f>
        <v>G</v>
      </c>
      <c r="AH594">
        <f>IF('WetLitterbags placem_collection'!AC155="","",'WetLitterbags placem_collection'!AC155)</f>
        <v>0</v>
      </c>
      <c r="AI594">
        <f>IFERROR(AVERAGE('Dry_Litterbag Placem_Collection'!O155,'Dry_Litterbag Placem_Collection'!R155),"")</f>
        <v>5.65</v>
      </c>
      <c r="AJ594" s="268">
        <f>IFERROR(AVERAGE('Dry_Litterbag Placem_Collection'!N155,'Dry_Litterbag Placem_Collection'!Q155),"")</f>
        <v>31.65</v>
      </c>
      <c r="AK594" s="267">
        <f>INDEX(Coordinates!$B$2:$B$197,MATCH(H594,Coordinates!$J$2:$J$197,0))</f>
        <v>-2.3676780150000001</v>
      </c>
      <c r="AL594" s="267">
        <f>INDEX(Coordinates!$C$2:$C$197,MATCH(H594,Coordinates!$J$2:$J$197,0))</f>
        <v>34.05937797</v>
      </c>
      <c r="AM594" s="267" t="str">
        <f>IF(ISNUMBER(SEARCH("C", 'Dry_Litterbag Placem_Collection'!U155)),"YES","NO")</f>
        <v>NO</v>
      </c>
      <c r="AN594" s="267" t="str">
        <f>IF(ISNUMBER(SEARCH("H", 'Dry_Litterbag Placem_Collection'!U155)),"YES","NO")</f>
        <v>NO</v>
      </c>
      <c r="AO594" s="267" t="str">
        <f>IF(ISNUMBER(SEARCH("R", 'Dry_Litterbag Placem_Collection'!U155)),"YES","NO")</f>
        <v>NO</v>
      </c>
    </row>
    <row r="595" spans="1:41" ht="15" customHeight="1">
      <c r="A595" s="259" t="s">
        <v>2643</v>
      </c>
      <c r="B595" s="260">
        <f>'Dry_Litterbag Placem_Collection'!A156</f>
        <v>154</v>
      </c>
      <c r="C595" s="260" t="str">
        <f>'Dry_Litterbag Placem_Collection'!B156</f>
        <v xml:space="preserve">Mwantimba
</v>
      </c>
      <c r="D595" s="260" t="s">
        <v>2454</v>
      </c>
      <c r="E595" s="260" t="s">
        <v>20</v>
      </c>
      <c r="F595" s="260">
        <v>4</v>
      </c>
      <c r="G595" s="260" t="s">
        <v>3824</v>
      </c>
      <c r="H595" s="261" t="str">
        <f>'Dry_Litterbag Placem_Collection'!C156</f>
        <v>Wet_P4_T2</v>
      </c>
      <c r="I595" s="270" t="s">
        <v>3630</v>
      </c>
      <c r="J595" s="263" t="s">
        <v>1147</v>
      </c>
      <c r="K595" s="260" t="str">
        <f>IF(ISBLANK('Dry_Litterbag Placem_Collection'!L156),"","G"&amp;""&amp;'Dry_Litterbag Placem_Collection'!L156)</f>
        <v>G275</v>
      </c>
      <c r="L595" s="264">
        <f>IFERROR(INDEX('Green_rooibos initial weight'!$C$5:$C$2000,MATCH(K595, 'Green_rooibos initial weight'!$A$5:$A$2000,0)),"")</f>
        <v>2.097</v>
      </c>
      <c r="M595" s="264">
        <f>IFERROR(L595-(TBIcalc!$Q$9+TBIcalc!$Q$10),"")</f>
        <v>1.8472</v>
      </c>
      <c r="N595" s="385">
        <f>AVERAGE(Ashed_controlls!$K$2:$K$11)</f>
        <v>5.5147656768714146</v>
      </c>
      <c r="O595" s="264">
        <f t="shared" si="46"/>
        <v>1.7453312484168313</v>
      </c>
      <c r="P595" s="264">
        <f>IFERROR(INDEX('Both teabags AfterDry'!$D$2:$D$2000,MATCH(K595,'Both teabags AfterDry'!$A$2:$A$2000,0)),"")</f>
        <v>1.2171000000000001</v>
      </c>
      <c r="Q595" s="264">
        <f>IFERROR(IF(P595&gt;0,P595-(TBIcalc!$Q$9),""),"")</f>
        <v>1.0665</v>
      </c>
      <c r="R595" s="275">
        <f>IFERROR(INDEX('Ashed teabags dry'!$K$2:$K$2000,MATCH(K595,'Ashed teabags dry'!$A$2:$A$2000,0)),"")</f>
        <v>17.669902912621797</v>
      </c>
      <c r="S595" s="275">
        <f t="shared" si="47"/>
        <v>0.87805048543688857</v>
      </c>
      <c r="T595" s="265">
        <f>IF('Dry_Litterbag Placem_Collection'!E156="","",'Dry_Litterbag Placem_Collection'!E156)</f>
        <v>42939</v>
      </c>
      <c r="U595" s="265">
        <f>IF('Dry_Litterbag Placem_Collection'!G156="","",'Dry_Litterbag Placem_Collection'!G156)</f>
        <v>43010</v>
      </c>
      <c r="V595" s="266">
        <f t="shared" si="45"/>
        <v>71</v>
      </c>
      <c r="W595" s="264">
        <f t="shared" si="48"/>
        <v>0.78069999999999995</v>
      </c>
      <c r="X595" s="264">
        <f t="shared" si="49"/>
        <v>0.86728076297994272</v>
      </c>
      <c r="Y595" s="268">
        <f>IFERROR(INDEX(Rainfall_Dry!$O$2:$O$217,MATCH(B595, Rainfall_Dry!$A$2:$A$217,0)),"")</f>
        <v>137.19979645800001</v>
      </c>
      <c r="Z595" s="257">
        <v>27.96</v>
      </c>
      <c r="AA595" s="257">
        <v>4.9200000000000017</v>
      </c>
      <c r="AB595" s="257">
        <v>67.12</v>
      </c>
      <c r="AC595" s="258" t="s">
        <v>2654</v>
      </c>
      <c r="AD595" s="257">
        <v>2.0437161163134498</v>
      </c>
      <c r="AE595">
        <f>IF('WetLitterbags placem_collection'!AB156="","",'WetLitterbags placem_collection'!AB156)</f>
        <v>2.15</v>
      </c>
      <c r="AF595">
        <f>IF('WetLitterbags placem_collection'!Z156="","",'WetLitterbags placem_collection'!Z156)</f>
        <v>9</v>
      </c>
      <c r="AG595" s="243" t="str">
        <f>IF('WetLitterbags placem_collection'!AA156="","",'WetLitterbags placem_collection'!AA156)</f>
        <v>G</v>
      </c>
      <c r="AH595">
        <f>IF('WetLitterbags placem_collection'!AC156="","",'WetLitterbags placem_collection'!AC156)</f>
        <v>0</v>
      </c>
      <c r="AI595">
        <f>IFERROR(AVERAGE('Dry_Litterbag Placem_Collection'!O156,'Dry_Litterbag Placem_Collection'!R156),"")</f>
        <v>4.05</v>
      </c>
      <c r="AJ595" s="268">
        <f>IFERROR(AVERAGE('Dry_Litterbag Placem_Collection'!N156,'Dry_Litterbag Placem_Collection'!Q156),"")</f>
        <v>30.45</v>
      </c>
      <c r="AK595" s="267">
        <f>INDEX(Coordinates!$B$2:$B$197,MATCH(H595,Coordinates!$J$2:$J$197,0))</f>
        <v>-2.3677299820000002</v>
      </c>
      <c r="AL595" s="267">
        <f>INDEX(Coordinates!$C$2:$C$197,MATCH(H595,Coordinates!$J$2:$J$197,0))</f>
        <v>34.059351990000003</v>
      </c>
      <c r="AM595" s="267" t="str">
        <f>IF(ISNUMBER(SEARCH("C", 'Dry_Litterbag Placem_Collection'!U156)),"YES","NO")</f>
        <v>NO</v>
      </c>
      <c r="AN595" s="267" t="str">
        <f>IF(ISNUMBER(SEARCH("H", 'Dry_Litterbag Placem_Collection'!U156)),"YES","NO")</f>
        <v>NO</v>
      </c>
      <c r="AO595" s="267" t="str">
        <f>IF(ISNUMBER(SEARCH("R", 'Dry_Litterbag Placem_Collection'!U156)),"YES","NO")</f>
        <v>NO</v>
      </c>
    </row>
    <row r="596" spans="1:41" ht="15" customHeight="1">
      <c r="A596" s="259" t="s">
        <v>2643</v>
      </c>
      <c r="B596" s="260">
        <f>'Dry_Litterbag Placem_Collection'!A157</f>
        <v>155</v>
      </c>
      <c r="C596" s="260" t="str">
        <f>'Dry_Litterbag Placem_Collection'!B157</f>
        <v xml:space="preserve">Mwantimba
</v>
      </c>
      <c r="D596" s="260" t="s">
        <v>2454</v>
      </c>
      <c r="E596" s="260" t="s">
        <v>20</v>
      </c>
      <c r="F596" s="260">
        <v>4</v>
      </c>
      <c r="G596" s="260" t="s">
        <v>3824</v>
      </c>
      <c r="H596" s="261" t="str">
        <f>'Dry_Litterbag Placem_Collection'!C157</f>
        <v>Wet_P4_T3</v>
      </c>
      <c r="I596" s="270" t="s">
        <v>3630</v>
      </c>
      <c r="J596" s="263" t="s">
        <v>1147</v>
      </c>
      <c r="K596" s="260" t="str">
        <f>IF(ISBLANK('Dry_Litterbag Placem_Collection'!L157),"","G"&amp;""&amp;'Dry_Litterbag Placem_Collection'!L157)</f>
        <v>G289</v>
      </c>
      <c r="L596" s="264">
        <f>IFERROR(INDEX('Green_rooibos initial weight'!$C$5:$C$2000,MATCH(K596, 'Green_rooibos initial weight'!$A$5:$A$2000,0)),"")</f>
        <v>2.093</v>
      </c>
      <c r="M596" s="264">
        <f>IFERROR(L596-(TBIcalc!$Q$9+TBIcalc!$Q$10),"")</f>
        <v>1.8431999999999999</v>
      </c>
      <c r="N596" s="385">
        <f>AVERAGE(Ashed_controlls!$K$2:$K$11)</f>
        <v>5.5147656768714146</v>
      </c>
      <c r="O596" s="264">
        <f t="shared" si="46"/>
        <v>1.741551839043906</v>
      </c>
      <c r="P596" s="264">
        <f>IFERROR(INDEX('Both teabags AfterDry'!$D$2:$D$2000,MATCH(K596,'Both teabags AfterDry'!$A$2:$A$2000,0)),"")</f>
        <v>1.2491000000000001</v>
      </c>
      <c r="Q596" s="264">
        <f>IFERROR(IF(P596&gt;0,P596-(TBIcalc!$Q$9),""),"")</f>
        <v>1.0985</v>
      </c>
      <c r="R596" s="275">
        <f>IFERROR(INDEX('Ashed teabags dry'!$K$2:$K$2000,MATCH(K596,'Ashed teabags dry'!$A$2:$A$2000,0)),"")</f>
        <v>10.862152946907919</v>
      </c>
      <c r="S596" s="275">
        <f t="shared" si="47"/>
        <v>0.97917924987821658</v>
      </c>
      <c r="T596" s="265">
        <f>IF('Dry_Litterbag Placem_Collection'!E157="","",'Dry_Litterbag Placem_Collection'!E157)</f>
        <v>42939</v>
      </c>
      <c r="U596" s="265">
        <f>IF('Dry_Litterbag Placem_Collection'!G157="","",'Dry_Litterbag Placem_Collection'!G157)</f>
        <v>43010</v>
      </c>
      <c r="V596" s="266">
        <f t="shared" si="45"/>
        <v>71</v>
      </c>
      <c r="W596" s="264">
        <f t="shared" si="48"/>
        <v>0.74469999999999992</v>
      </c>
      <c r="X596" s="264">
        <f t="shared" si="49"/>
        <v>0.7623725891656894</v>
      </c>
      <c r="Y596" s="268">
        <f>IFERROR(INDEX(Rainfall_Dry!$O$2:$O$217,MATCH(B596, Rainfall_Dry!$A$2:$A$217,0)),"")</f>
        <v>137.19979645800001</v>
      </c>
      <c r="Z596" s="257">
        <v>27.96</v>
      </c>
      <c r="AA596" s="257">
        <v>4.9200000000000017</v>
      </c>
      <c r="AB596" s="257">
        <v>67.12</v>
      </c>
      <c r="AC596" s="258" t="s">
        <v>2654</v>
      </c>
      <c r="AD596" s="257">
        <v>3.0437161163134498</v>
      </c>
      <c r="AE596">
        <f>IF('WetLitterbags placem_collection'!AB157="","",'WetLitterbags placem_collection'!AB157)</f>
        <v>1.2</v>
      </c>
      <c r="AF596">
        <f>IF('WetLitterbags placem_collection'!Z157="","",'WetLitterbags placem_collection'!Z157)</f>
        <v>11</v>
      </c>
      <c r="AG596" s="243" t="str">
        <f>IF('WetLitterbags placem_collection'!AA157="","",'WetLitterbags placem_collection'!AA157)</f>
        <v>G</v>
      </c>
      <c r="AH596">
        <f>IF('WetLitterbags placem_collection'!AC157="","",'WetLitterbags placem_collection'!AC157)</f>
        <v>0</v>
      </c>
      <c r="AI596">
        <f>IFERROR(AVERAGE('Dry_Litterbag Placem_Collection'!O157,'Dry_Litterbag Placem_Collection'!R157),"")</f>
        <v>5.0999999999999996</v>
      </c>
      <c r="AJ596" s="268">
        <f>IFERROR(AVERAGE('Dry_Litterbag Placem_Collection'!N157,'Dry_Litterbag Placem_Collection'!Q157),"")</f>
        <v>29.4</v>
      </c>
      <c r="AK596" s="267">
        <f>INDEX(Coordinates!$B$2:$B$197,MATCH(H596,Coordinates!$J$2:$J$197,0))</f>
        <v>-2.3677119609999999</v>
      </c>
      <c r="AL596" s="267">
        <f>INDEX(Coordinates!$C$2:$C$197,MATCH(H596,Coordinates!$J$2:$J$197,0))</f>
        <v>34.059339000000001</v>
      </c>
      <c r="AM596" s="267" t="str">
        <f>IF(ISNUMBER(SEARCH("C", 'Dry_Litterbag Placem_Collection'!U157)),"YES","NO")</f>
        <v>NO</v>
      </c>
      <c r="AN596" s="267" t="str">
        <f>IF(ISNUMBER(SEARCH("H", 'Dry_Litterbag Placem_Collection'!U157)),"YES","NO")</f>
        <v>NO</v>
      </c>
      <c r="AO596" s="267" t="str">
        <f>IF(ISNUMBER(SEARCH("R", 'Dry_Litterbag Placem_Collection'!U157)),"YES","NO")</f>
        <v>NO</v>
      </c>
    </row>
    <row r="597" spans="1:41" ht="15" customHeight="1">
      <c r="A597" s="259" t="s">
        <v>2643</v>
      </c>
      <c r="B597" s="260">
        <f>'Dry_Litterbag Placem_Collection'!A158</f>
        <v>156</v>
      </c>
      <c r="C597" s="260" t="str">
        <f>'Dry_Litterbag Placem_Collection'!B158</f>
        <v xml:space="preserve">Mwantimba
</v>
      </c>
      <c r="D597" s="260" t="s">
        <v>2454</v>
      </c>
      <c r="E597" s="260" t="s">
        <v>20</v>
      </c>
      <c r="F597" s="260">
        <v>4</v>
      </c>
      <c r="G597" s="260" t="s">
        <v>3824</v>
      </c>
      <c r="H597" s="261" t="str">
        <f>'Dry_Litterbag Placem_Collection'!C158</f>
        <v>Wet_P4_T4</v>
      </c>
      <c r="I597" s="270" t="s">
        <v>3630</v>
      </c>
      <c r="J597" s="263" t="s">
        <v>1147</v>
      </c>
      <c r="K597" s="260" t="str">
        <f>IF(ISBLANK('Dry_Litterbag Placem_Collection'!L158),"","G"&amp;""&amp;'Dry_Litterbag Placem_Collection'!L158)</f>
        <v>G65</v>
      </c>
      <c r="L597" s="264">
        <f>IFERROR(INDEX('Green_rooibos initial weight'!$C$5:$C$2000,MATCH(K597, 'Green_rooibos initial weight'!$A$5:$A$2000,0)),"")</f>
        <v>2.0750000000000002</v>
      </c>
      <c r="M597" s="264">
        <f>IFERROR(L597-(TBIcalc!$Q$9+TBIcalc!$Q$10),"")</f>
        <v>1.8252000000000002</v>
      </c>
      <c r="N597" s="385">
        <f>AVERAGE(Ashed_controlls!$K$2:$K$11)</f>
        <v>5.5147656768714146</v>
      </c>
      <c r="O597" s="264">
        <f t="shared" si="46"/>
        <v>1.7245444968657431</v>
      </c>
      <c r="P597" s="264">
        <f>IFERROR(INDEX('Both teabags AfterDry'!$D$2:$D$2000,MATCH(K597,'Both teabags AfterDry'!$A$2:$A$2000,0)),"")</f>
        <v>1.0561</v>
      </c>
      <c r="Q597" s="264">
        <f>IFERROR(IF(P597&gt;0,P597-(TBIcalc!$Q$9),""),"")</f>
        <v>0.90549999999999997</v>
      </c>
      <c r="R597" s="275">
        <f>IFERROR(INDEX('Ashed teabags dry'!$K$2:$K$2000,MATCH(K597,'Ashed teabags dry'!$A$2:$A$2000,0)),"")</f>
        <v>16.530514175876895</v>
      </c>
      <c r="S597" s="275">
        <f t="shared" si="47"/>
        <v>0.75581619413743473</v>
      </c>
      <c r="T597" s="265">
        <f>IF('Dry_Litterbag Placem_Collection'!E158="","",'Dry_Litterbag Placem_Collection'!E158)</f>
        <v>42939</v>
      </c>
      <c r="U597" s="265">
        <f>IF('Dry_Litterbag Placem_Collection'!G158="","",'Dry_Litterbag Placem_Collection'!G158)</f>
        <v>43010</v>
      </c>
      <c r="V597" s="266">
        <f t="shared" si="45"/>
        <v>71</v>
      </c>
      <c r="W597" s="264">
        <f t="shared" si="48"/>
        <v>0.91970000000000018</v>
      </c>
      <c r="X597" s="264">
        <f t="shared" si="49"/>
        <v>0.96872830272830834</v>
      </c>
      <c r="Y597" s="268">
        <f>IFERROR(INDEX(Rainfall_Dry!$O$2:$O$217,MATCH(B597, Rainfall_Dry!$A$2:$A$217,0)),"")</f>
        <v>137.19979645800001</v>
      </c>
      <c r="Z597" s="257">
        <v>27.96</v>
      </c>
      <c r="AA597" s="257">
        <v>4.9200000000000017</v>
      </c>
      <c r="AB597" s="257">
        <v>67.12</v>
      </c>
      <c r="AC597" s="258" t="s">
        <v>2654</v>
      </c>
      <c r="AD597" s="257">
        <v>4.0437161163134503</v>
      </c>
      <c r="AE597">
        <f>IF('WetLitterbags placem_collection'!AB158="","",'WetLitterbags placem_collection'!AB158)</f>
        <v>1.55</v>
      </c>
      <c r="AF597">
        <f>IF('WetLitterbags placem_collection'!Z158="","",'WetLitterbags placem_collection'!Z158)</f>
        <v>9.1</v>
      </c>
      <c r="AG597" s="243" t="str">
        <f>IF('WetLitterbags placem_collection'!AA158="","",'WetLitterbags placem_collection'!AA158)</f>
        <v>O</v>
      </c>
      <c r="AH597">
        <f>IF('WetLitterbags placem_collection'!AC158="","",'WetLitterbags placem_collection'!AC158)</f>
        <v>0</v>
      </c>
      <c r="AI597">
        <f>IFERROR(AVERAGE('Dry_Litterbag Placem_Collection'!O158,'Dry_Litterbag Placem_Collection'!R158),"")</f>
        <v>4.5</v>
      </c>
      <c r="AJ597" s="268">
        <f>IFERROR(AVERAGE('Dry_Litterbag Placem_Collection'!N158,'Dry_Litterbag Placem_Collection'!Q158),"")</f>
        <v>30.35</v>
      </c>
      <c r="AK597" s="267">
        <f>INDEX(Coordinates!$B$2:$B$197,MATCH(H597,Coordinates!$J$2:$J$197,0))</f>
        <v>-2.3676950300000001</v>
      </c>
      <c r="AL597" s="267">
        <f>INDEX(Coordinates!$C$2:$C$197,MATCH(H597,Coordinates!$J$2:$J$197,0))</f>
        <v>34.059499010000003</v>
      </c>
      <c r="AM597" s="267" t="str">
        <f>IF(ISNUMBER(SEARCH("C", 'Dry_Litterbag Placem_Collection'!U158)),"YES","NO")</f>
        <v>NO</v>
      </c>
      <c r="AN597" s="267" t="str">
        <f>IF(ISNUMBER(SEARCH("H", 'Dry_Litterbag Placem_Collection'!U158)),"YES","NO")</f>
        <v>NO</v>
      </c>
      <c r="AO597" s="267" t="str">
        <f>IF(ISNUMBER(SEARCH("R", 'Dry_Litterbag Placem_Collection'!U158)),"YES","NO")</f>
        <v>NO</v>
      </c>
    </row>
    <row r="598" spans="1:41" ht="15" customHeight="1">
      <c r="A598" s="259" t="s">
        <v>2643</v>
      </c>
      <c r="B598" s="260">
        <f>'Dry_Litterbag Placem_Collection'!A159</f>
        <v>157</v>
      </c>
      <c r="C598" s="260" t="str">
        <f>'Dry_Litterbag Placem_Collection'!B159</f>
        <v xml:space="preserve">Mwantimba
</v>
      </c>
      <c r="D598" s="260" t="s">
        <v>2454</v>
      </c>
      <c r="E598" s="260" t="s">
        <v>20</v>
      </c>
      <c r="F598" s="260">
        <v>4</v>
      </c>
      <c r="G598" s="260" t="s">
        <v>3824</v>
      </c>
      <c r="H598" s="261" t="str">
        <f>'Dry_Litterbag Placem_Collection'!C159</f>
        <v>Wet_P4_T5</v>
      </c>
      <c r="I598" s="270" t="s">
        <v>3630</v>
      </c>
      <c r="J598" s="263" t="s">
        <v>1147</v>
      </c>
      <c r="K598" s="260" t="str">
        <f>IF(ISBLANK('Dry_Litterbag Placem_Collection'!L159),"","G"&amp;""&amp;'Dry_Litterbag Placem_Collection'!L159)</f>
        <v>G33</v>
      </c>
      <c r="L598" s="264">
        <f>IFERROR(INDEX('Green_rooibos initial weight'!$C$5:$C$2000,MATCH(K598, 'Green_rooibos initial weight'!$A$5:$A$2000,0)),"")</f>
        <v>2.0579999999999998</v>
      </c>
      <c r="M598" s="264">
        <f>IFERROR(L598-(TBIcalc!$Q$9+TBIcalc!$Q$10),"")</f>
        <v>1.8081999999999998</v>
      </c>
      <c r="N598" s="385">
        <f>AVERAGE(Ashed_controlls!$K$2:$K$11)</f>
        <v>5.5147656768714146</v>
      </c>
      <c r="O598" s="264">
        <f t="shared" si="46"/>
        <v>1.7084820070308109</v>
      </c>
      <c r="P598" s="264" t="str">
        <f>IFERROR(INDEX('Both teabags AfterDry'!$D$2:$D$2000,MATCH(K598,'Both teabags AfterDry'!$A$2:$A$2000,0)),"")</f>
        <v/>
      </c>
      <c r="Q598" s="264" t="str">
        <f>IFERROR(IF(P598&gt;0,P598-(TBIcalc!$Q$9),""),"")</f>
        <v/>
      </c>
      <c r="R598" s="275" t="str">
        <f>IFERROR(INDEX('Ashed teabags dry'!$K$2:$K$2000,MATCH(K598,'Ashed teabags dry'!$A$2:$A$2000,0)),"")</f>
        <v/>
      </c>
      <c r="S598" s="275" t="str">
        <f t="shared" si="47"/>
        <v/>
      </c>
      <c r="T598" s="265">
        <f>IF('Dry_Litterbag Placem_Collection'!E159="","",'Dry_Litterbag Placem_Collection'!E159)</f>
        <v>42939</v>
      </c>
      <c r="U598" s="265">
        <f>IF('Dry_Litterbag Placem_Collection'!G159="","",'Dry_Litterbag Placem_Collection'!G159)</f>
        <v>43010</v>
      </c>
      <c r="V598" s="266">
        <f t="shared" si="45"/>
        <v>71</v>
      </c>
      <c r="W598" s="264" t="str">
        <f t="shared" si="48"/>
        <v/>
      </c>
      <c r="X598" s="264" t="str">
        <f t="shared" si="49"/>
        <v/>
      </c>
      <c r="Y598" s="268">
        <f>IFERROR(INDEX(Rainfall_Dry!$O$2:$O$217,MATCH(B598, Rainfall_Dry!$A$2:$A$217,0)),"")</f>
        <v>137.19979645800001</v>
      </c>
      <c r="Z598" s="257">
        <v>27.96</v>
      </c>
      <c r="AA598" s="257">
        <v>4.9200000000000017</v>
      </c>
      <c r="AB598" s="257">
        <v>67.12</v>
      </c>
      <c r="AC598" s="258" t="s">
        <v>2654</v>
      </c>
      <c r="AD598" s="257">
        <v>5.0437161163134503</v>
      </c>
      <c r="AE598">
        <f>IF('WetLitterbags placem_collection'!AB159="","",'WetLitterbags placem_collection'!AB159)</f>
        <v>2.2999999999999998</v>
      </c>
      <c r="AF598">
        <f>IF('WetLitterbags placem_collection'!Z159="","",'WetLitterbags placem_collection'!Z159)</f>
        <v>7.7</v>
      </c>
      <c r="AG598" s="243" t="str">
        <f>IF('WetLitterbags placem_collection'!AA159="","",'WetLitterbags placem_collection'!AA159)</f>
        <v>O</v>
      </c>
      <c r="AH598">
        <f>IF('WetLitterbags placem_collection'!AC159="","",'WetLitterbags placem_collection'!AC159)</f>
        <v>0</v>
      </c>
      <c r="AI598">
        <f>IFERROR(AVERAGE('Dry_Litterbag Placem_Collection'!O159,'Dry_Litterbag Placem_Collection'!R159),"")</f>
        <v>5.65</v>
      </c>
      <c r="AJ598" s="268">
        <f>IFERROR(AVERAGE('Dry_Litterbag Placem_Collection'!N159,'Dry_Litterbag Placem_Collection'!Q159),"")</f>
        <v>29.85</v>
      </c>
      <c r="AK598" s="267">
        <f>INDEX(Coordinates!$B$2:$B$197,MATCH(H598,Coordinates!$J$2:$J$197,0))</f>
        <v>-2.3678019830000001</v>
      </c>
      <c r="AL598" s="267">
        <f>INDEX(Coordinates!$C$2:$C$197,MATCH(H598,Coordinates!$J$2:$J$197,0))</f>
        <v>34.059521969999999</v>
      </c>
      <c r="AM598" s="267" t="str">
        <f>IF(ISNUMBER(SEARCH("C", 'Dry_Litterbag Placem_Collection'!U159)),"YES","NO")</f>
        <v>NO</v>
      </c>
      <c r="AN598" s="267" t="str">
        <f>IF(ISNUMBER(SEARCH("H", 'Dry_Litterbag Placem_Collection'!U159)),"YES","NO")</f>
        <v>NO</v>
      </c>
      <c r="AO598" s="267" t="str">
        <f>IF(ISNUMBER(SEARCH("R", 'Dry_Litterbag Placem_Collection'!U159)),"YES","NO")</f>
        <v>NO</v>
      </c>
    </row>
    <row r="599" spans="1:41" ht="15" customHeight="1">
      <c r="A599" s="259" t="s">
        <v>2643</v>
      </c>
      <c r="B599" s="260">
        <f>'Dry_Litterbag Placem_Collection'!A160</f>
        <v>158</v>
      </c>
      <c r="C599" s="260" t="str">
        <f>'Dry_Litterbag Placem_Collection'!B160</f>
        <v xml:space="preserve">Mwantimba
</v>
      </c>
      <c r="D599" s="260" t="s">
        <v>2454</v>
      </c>
      <c r="E599" s="260" t="s">
        <v>20</v>
      </c>
      <c r="F599" s="260">
        <v>4</v>
      </c>
      <c r="G599" s="260" t="s">
        <v>3824</v>
      </c>
      <c r="H599" s="261" t="str">
        <f>'Dry_Litterbag Placem_Collection'!C160</f>
        <v>Wet_P4_T6</v>
      </c>
      <c r="I599" s="270" t="s">
        <v>3630</v>
      </c>
      <c r="J599" s="263" t="s">
        <v>1147</v>
      </c>
      <c r="K599" s="260" t="str">
        <f>IF(ISBLANK('Dry_Litterbag Placem_Collection'!L160),"","G"&amp;""&amp;'Dry_Litterbag Placem_Collection'!L160)</f>
        <v>G153</v>
      </c>
      <c r="L599" s="264">
        <f>IFERROR(INDEX('Green_rooibos initial weight'!$C$5:$C$2000,MATCH(K599, 'Green_rooibos initial weight'!$A$5:$A$2000,0)),"")</f>
        <v>2.0529999999999999</v>
      </c>
      <c r="M599" s="264">
        <f>IFERROR(L599-(TBIcalc!$Q$9+TBIcalc!$Q$10),"")</f>
        <v>1.8031999999999999</v>
      </c>
      <c r="N599" s="385">
        <f>AVERAGE(Ashed_controlls!$K$2:$K$11)</f>
        <v>5.5147656768714146</v>
      </c>
      <c r="O599" s="264">
        <f t="shared" si="46"/>
        <v>1.7037577453146546</v>
      </c>
      <c r="P599" s="264">
        <f>IFERROR(INDEX('Both teabags AfterDry'!$D$2:$D$2000,MATCH(K599,'Both teabags AfterDry'!$A$2:$A$2000,0)),"")</f>
        <v>0.87609999999999999</v>
      </c>
      <c r="Q599" s="264">
        <f>IFERROR(IF(P599&gt;0,P599-(TBIcalc!$Q$9),""),"")</f>
        <v>0.72550000000000003</v>
      </c>
      <c r="R599" s="275">
        <f>IFERROR(INDEX('Ashed teabags dry'!$K$2:$K$2000,MATCH(K599,'Ashed teabags dry'!$A$2:$A$2000,0)),"")</f>
        <v>71.165940977261897</v>
      </c>
      <c r="S599" s="275">
        <f t="shared" si="47"/>
        <v>0.20919109820996495</v>
      </c>
      <c r="T599" s="265">
        <f>IF('Dry_Litterbag Placem_Collection'!E160="","",'Dry_Litterbag Placem_Collection'!E160)</f>
        <v>42939</v>
      </c>
      <c r="U599" s="265">
        <f>IF('Dry_Litterbag Placem_Collection'!G160="","",'Dry_Litterbag Placem_Collection'!G160)</f>
        <v>43010</v>
      </c>
      <c r="V599" s="266">
        <f t="shared" si="45"/>
        <v>71</v>
      </c>
      <c r="W599" s="264">
        <f t="shared" si="48"/>
        <v>1.0776999999999999</v>
      </c>
      <c r="X599" s="264">
        <f t="shared" si="49"/>
        <v>1.4945666471046897</v>
      </c>
      <c r="Y599" s="268">
        <f>IFERROR(INDEX(Rainfall_Dry!$O$2:$O$217,MATCH(B599, Rainfall_Dry!$A$2:$A$217,0)),"")</f>
        <v>137.19979645800001</v>
      </c>
      <c r="Z599" s="257">
        <v>27.96</v>
      </c>
      <c r="AA599" s="257">
        <v>4.9200000000000017</v>
      </c>
      <c r="AB599" s="257">
        <v>67.12</v>
      </c>
      <c r="AC599" s="258" t="s">
        <v>2654</v>
      </c>
      <c r="AD599" s="257">
        <v>6.0437161163134503</v>
      </c>
      <c r="AE599">
        <f>IF('WetLitterbags placem_collection'!AB160="","",'WetLitterbags placem_collection'!AB160)</f>
        <v>1.9</v>
      </c>
      <c r="AF599">
        <f>IF('WetLitterbags placem_collection'!Z160="","",'WetLitterbags placem_collection'!Z160)</f>
        <v>4.3</v>
      </c>
      <c r="AG599" s="243" t="str">
        <f>IF('WetLitterbags placem_collection'!AA160="","",'WetLitterbags placem_collection'!AA160)</f>
        <v>O</v>
      </c>
      <c r="AH599">
        <f>IF('WetLitterbags placem_collection'!AC160="","",'WetLitterbags placem_collection'!AC160)</f>
        <v>0</v>
      </c>
      <c r="AI599">
        <f>IFERROR(AVERAGE('Dry_Litterbag Placem_Collection'!O160,'Dry_Litterbag Placem_Collection'!R160),"")</f>
        <v>5.95</v>
      </c>
      <c r="AJ599" s="268">
        <f>IFERROR(AVERAGE('Dry_Litterbag Placem_Collection'!N160,'Dry_Litterbag Placem_Collection'!Q160),"")</f>
        <v>31.8</v>
      </c>
      <c r="AK599" s="267">
        <f>INDEX(Coordinates!$B$2:$B$197,MATCH(H599,Coordinates!$J$2:$J$197,0))</f>
        <v>-2.3679270410000002</v>
      </c>
      <c r="AL599" s="267">
        <f>INDEX(Coordinates!$C$2:$C$197,MATCH(H599,Coordinates!$J$2:$J$197,0))</f>
        <v>34.059300020000002</v>
      </c>
      <c r="AM599" s="267" t="str">
        <f>IF(ISNUMBER(SEARCH("C", 'Dry_Litterbag Placem_Collection'!U160)),"YES","NO")</f>
        <v>NO</v>
      </c>
      <c r="AN599" s="267" t="str">
        <f>IF(ISNUMBER(SEARCH("H", 'Dry_Litterbag Placem_Collection'!U160)),"YES","NO")</f>
        <v>NO</v>
      </c>
      <c r="AO599" s="267" t="str">
        <f>IF(ISNUMBER(SEARCH("R", 'Dry_Litterbag Placem_Collection'!U160)),"YES","NO")</f>
        <v>NO</v>
      </c>
    </row>
    <row r="600" spans="1:41" ht="15" customHeight="1">
      <c r="A600" s="259" t="s">
        <v>2643</v>
      </c>
      <c r="B600" s="260">
        <f>'Dry_Litterbag Placem_Collection'!A161</f>
        <v>159</v>
      </c>
      <c r="C600" s="260" t="str">
        <f>'Dry_Litterbag Placem_Collection'!B161</f>
        <v xml:space="preserve">Mwantimba
</v>
      </c>
      <c r="D600" s="260" t="s">
        <v>2454</v>
      </c>
      <c r="E600" s="260" t="s">
        <v>20</v>
      </c>
      <c r="F600" s="260">
        <v>4</v>
      </c>
      <c r="G600" s="260" t="s">
        <v>3824</v>
      </c>
      <c r="H600" s="261" t="str">
        <f>'Dry_Litterbag Placem_Collection'!C161</f>
        <v>Wet_P4_T7</v>
      </c>
      <c r="I600" s="270" t="s">
        <v>3630</v>
      </c>
      <c r="J600" s="263" t="s">
        <v>1147</v>
      </c>
      <c r="K600" s="260" t="str">
        <f>IF(ISBLANK('Dry_Litterbag Placem_Collection'!L161),"","G"&amp;""&amp;'Dry_Litterbag Placem_Collection'!L161)</f>
        <v/>
      </c>
      <c r="L600" s="264" t="str">
        <f>IFERROR(INDEX('Green_rooibos initial weight'!$C$5:$C$2000,MATCH(K600, 'Green_rooibos initial weight'!$A$5:$A$2000,0)),"")</f>
        <v/>
      </c>
      <c r="M600" s="264" t="str">
        <f>IFERROR(L600-(TBIcalc!$Q$9+TBIcalc!$Q$10),"")</f>
        <v/>
      </c>
      <c r="N600" s="385">
        <f>AVERAGE(Ashed_controlls!$K$2:$K$11)</f>
        <v>5.5147656768714146</v>
      </c>
      <c r="O600" s="264" t="str">
        <f t="shared" si="46"/>
        <v/>
      </c>
      <c r="P600" s="264" t="str">
        <f>IFERROR(INDEX('Both teabags AfterDry'!$D$2:$D$2000,MATCH(K600,'Both teabags AfterDry'!$A$2:$A$2000,0)),"")</f>
        <v/>
      </c>
      <c r="Q600" s="264" t="str">
        <f>IFERROR(IF(P600&gt;0,P600-(TBIcalc!$Q$9),""),"")</f>
        <v/>
      </c>
      <c r="R600" s="275" t="str">
        <f>IFERROR(INDEX('Ashed teabags dry'!$K$2:$K$2000,MATCH(K600,'Ashed teabags dry'!$A$2:$A$2000,0)),"")</f>
        <v/>
      </c>
      <c r="S600" s="275" t="str">
        <f t="shared" si="47"/>
        <v/>
      </c>
      <c r="T600" s="265" t="str">
        <f>IF('Dry_Litterbag Placem_Collection'!E161="","",'Dry_Litterbag Placem_Collection'!E161)</f>
        <v/>
      </c>
      <c r="U600" s="265" t="str">
        <f>IF('Dry_Litterbag Placem_Collection'!G161="","",'Dry_Litterbag Placem_Collection'!G161)</f>
        <v/>
      </c>
      <c r="V600" s="266" t="str">
        <f t="shared" si="45"/>
        <v/>
      </c>
      <c r="W600" s="264" t="str">
        <f t="shared" si="48"/>
        <v/>
      </c>
      <c r="X600" s="264" t="str">
        <f t="shared" si="49"/>
        <v/>
      </c>
      <c r="Y600" s="268" t="str">
        <f>IFERROR(INDEX(Rainfall_Dry!$O$2:$O$217,MATCH(B600, Rainfall_Dry!$A$2:$A$217,0)),"")</f>
        <v/>
      </c>
      <c r="Z600" s="257">
        <v>27.96</v>
      </c>
      <c r="AA600" s="257">
        <v>4.9200000000000017</v>
      </c>
      <c r="AB600" s="257">
        <v>67.12</v>
      </c>
      <c r="AC600" s="258" t="s">
        <v>2654</v>
      </c>
      <c r="AD600" s="257">
        <v>7.0437161163134503</v>
      </c>
      <c r="AE600">
        <f>IF('WetLitterbags placem_collection'!AB161="","",'WetLitterbags placem_collection'!AB161)</f>
        <v>2.65</v>
      </c>
      <c r="AF600">
        <f>IF('WetLitterbags placem_collection'!Z161="","",'WetLitterbags placem_collection'!Z161)</f>
        <v>0</v>
      </c>
      <c r="AG600" s="243" t="str">
        <f>IF('WetLitterbags placem_collection'!AA161="","",'WetLitterbags placem_collection'!AA161)</f>
        <v>G</v>
      </c>
      <c r="AH600">
        <f>IF('WetLitterbags placem_collection'!AC161="","",'WetLitterbags placem_collection'!AC161)</f>
        <v>1</v>
      </c>
      <c r="AI600" t="str">
        <f>IFERROR(AVERAGE('Dry_Litterbag Placem_Collection'!O161,'Dry_Litterbag Placem_Collection'!R161),"")</f>
        <v/>
      </c>
      <c r="AJ600" s="268" t="str">
        <f>IFERROR(AVERAGE('Dry_Litterbag Placem_Collection'!N161,'Dry_Litterbag Placem_Collection'!Q161),"")</f>
        <v/>
      </c>
      <c r="AK600" s="267">
        <f>INDEX(Coordinates!$B$2:$B$197,MATCH(H600,Coordinates!$J$2:$J$197,0))</f>
        <v>-2.3676829599999998</v>
      </c>
      <c r="AL600" s="267">
        <f>INDEX(Coordinates!$C$2:$C$197,MATCH(H600,Coordinates!$J$2:$J$197,0))</f>
        <v>34.059236990000002</v>
      </c>
      <c r="AM600" s="267" t="str">
        <f>IF(ISNUMBER(SEARCH("C", 'Dry_Litterbag Placem_Collection'!U161)),"YES","NO")</f>
        <v>NO</v>
      </c>
      <c r="AN600" s="267" t="str">
        <f>IF(ISNUMBER(SEARCH("H", 'Dry_Litterbag Placem_Collection'!U161)),"YES","NO")</f>
        <v>NO</v>
      </c>
      <c r="AO600" s="267" t="str">
        <f>IF(ISNUMBER(SEARCH("R", 'Dry_Litterbag Placem_Collection'!U161)),"YES","NO")</f>
        <v>NO</v>
      </c>
    </row>
    <row r="601" spans="1:41" ht="15" customHeight="1">
      <c r="A601" s="259" t="s">
        <v>2643</v>
      </c>
      <c r="B601" s="260">
        <f>'Dry_Litterbag Placem_Collection'!A162</f>
        <v>160</v>
      </c>
      <c r="C601" s="260" t="str">
        <f>'Dry_Litterbag Placem_Collection'!B162</f>
        <v xml:space="preserve">Mwantimba
</v>
      </c>
      <c r="D601" s="260" t="s">
        <v>2454</v>
      </c>
      <c r="E601" s="260" t="s">
        <v>20</v>
      </c>
      <c r="F601" s="260">
        <v>4</v>
      </c>
      <c r="G601" s="260" t="s">
        <v>3824</v>
      </c>
      <c r="H601" s="261" t="str">
        <f>'Dry_Litterbag Placem_Collection'!C162</f>
        <v>Wet_P4_T8</v>
      </c>
      <c r="I601" s="270" t="s">
        <v>3630</v>
      </c>
      <c r="J601" s="263" t="s">
        <v>1147</v>
      </c>
      <c r="K601" s="260" t="str">
        <f>IF(ISBLANK('Dry_Litterbag Placem_Collection'!L162),"","G"&amp;""&amp;'Dry_Litterbag Placem_Collection'!L162)</f>
        <v>G175</v>
      </c>
      <c r="L601" s="264">
        <f>IFERROR(INDEX('Green_rooibos initial weight'!$C$5:$C$2000,MATCH(K601, 'Green_rooibos initial weight'!$A$5:$A$2000,0)),"")</f>
        <v>1.9930000000000001</v>
      </c>
      <c r="M601" s="264">
        <f>IFERROR(L601-(TBIcalc!$Q$9+TBIcalc!$Q$10),"")</f>
        <v>1.7432000000000001</v>
      </c>
      <c r="N601" s="385">
        <f>AVERAGE(Ashed_controlls!$K$2:$K$11)</f>
        <v>5.5147656768714146</v>
      </c>
      <c r="O601" s="264">
        <f t="shared" si="46"/>
        <v>1.6470666047207776</v>
      </c>
      <c r="P601" s="264">
        <f>IFERROR(INDEX('Both teabags AfterDry'!$D$2:$D$2000,MATCH(K601,'Both teabags AfterDry'!$A$2:$A$2000,0)),"")</f>
        <v>1.2042999999999999</v>
      </c>
      <c r="Q601" s="264">
        <f>IFERROR(IF(P601&gt;0,P601-(TBIcalc!$Q$9),""),"")</f>
        <v>1.0536999999999999</v>
      </c>
      <c r="R601" s="275">
        <f>IFERROR(INDEX('Ashed teabags dry'!$K$2:$K$2000,MATCH(K601,'Ashed teabags dry'!$A$2:$A$2000,0)),"")</f>
        <v>22.557651991613749</v>
      </c>
      <c r="S601" s="275">
        <f t="shared" si="47"/>
        <v>0.81601002096436581</v>
      </c>
      <c r="T601" s="265">
        <f>IF('Dry_Litterbag Placem_Collection'!E162="","",'Dry_Litterbag Placem_Collection'!E162)</f>
        <v>42939</v>
      </c>
      <c r="U601" s="265">
        <f>IF('Dry_Litterbag Placem_Collection'!G162="","",'Dry_Litterbag Placem_Collection'!G162)</f>
        <v>43010</v>
      </c>
      <c r="V601" s="266">
        <f t="shared" si="45"/>
        <v>71</v>
      </c>
      <c r="W601" s="264">
        <f t="shared" si="48"/>
        <v>0.68950000000000022</v>
      </c>
      <c r="X601" s="264">
        <f t="shared" si="49"/>
        <v>0.83105658375641178</v>
      </c>
      <c r="Y601" s="268">
        <f>IFERROR(INDEX(Rainfall_Dry!$O$2:$O$217,MATCH(B601, Rainfall_Dry!$A$2:$A$217,0)),"")</f>
        <v>137.19979645800001</v>
      </c>
      <c r="Z601" s="257">
        <v>27.96</v>
      </c>
      <c r="AA601" s="257">
        <v>4.9200000000000017</v>
      </c>
      <c r="AB601" s="257">
        <v>67.12</v>
      </c>
      <c r="AC601" s="258" t="s">
        <v>2654</v>
      </c>
      <c r="AD601" s="257">
        <v>8.0437161163134494</v>
      </c>
      <c r="AE601">
        <f>IF('WetLitterbags placem_collection'!AB162="","",'WetLitterbags placem_collection'!AB162)</f>
        <v>0.8</v>
      </c>
      <c r="AF601">
        <f>IF('WetLitterbags placem_collection'!Z162="","",'WetLitterbags placem_collection'!Z162)</f>
        <v>10.8</v>
      </c>
      <c r="AG601" s="243" t="str">
        <f>IF('WetLitterbags placem_collection'!AA162="","",'WetLitterbags placem_collection'!AA162)</f>
        <v>O</v>
      </c>
      <c r="AH601">
        <f>IF('WetLitterbags placem_collection'!AC162="","",'WetLitterbags placem_collection'!AC162)</f>
        <v>0</v>
      </c>
      <c r="AI601">
        <f>IFERROR(AVERAGE('Dry_Litterbag Placem_Collection'!O162,'Dry_Litterbag Placem_Collection'!R162),"")</f>
        <v>6.25</v>
      </c>
      <c r="AJ601" s="268">
        <f>IFERROR(AVERAGE('Dry_Litterbag Placem_Collection'!N162,'Dry_Litterbag Placem_Collection'!Q162),"")</f>
        <v>29.200000000000003</v>
      </c>
      <c r="AK601" s="267">
        <f>INDEX(Coordinates!$B$2:$B$197,MATCH(H601,Coordinates!$J$2:$J$197,0))</f>
        <v>-2.367547005</v>
      </c>
      <c r="AL601" s="267">
        <f>INDEX(Coordinates!$C$2:$C$197,MATCH(H601,Coordinates!$J$2:$J$197,0))</f>
        <v>34.059494989999997</v>
      </c>
      <c r="AM601" s="267" t="str">
        <f>IF(ISNUMBER(SEARCH("C", 'Dry_Litterbag Placem_Collection'!U162)),"YES","NO")</f>
        <v>NO</v>
      </c>
      <c r="AN601" s="267" t="str">
        <f>IF(ISNUMBER(SEARCH("H", 'Dry_Litterbag Placem_Collection'!U162)),"YES","NO")</f>
        <v>NO</v>
      </c>
      <c r="AO601" s="267" t="str">
        <f>IF(ISNUMBER(SEARCH("R", 'Dry_Litterbag Placem_Collection'!U162)),"YES","NO")</f>
        <v>NO</v>
      </c>
    </row>
    <row r="602" spans="1:41" ht="15" customHeight="1">
      <c r="A602" s="259" t="s">
        <v>2643</v>
      </c>
      <c r="B602" s="260">
        <f>'Dry_Litterbag Placem_Collection'!A163</f>
        <v>161</v>
      </c>
      <c r="C602" s="260" t="str">
        <f>'Dry_Litterbag Placem_Collection'!B163</f>
        <v>Handajega</v>
      </c>
      <c r="D602" s="260" t="s">
        <v>2454</v>
      </c>
      <c r="E602" s="260" t="s">
        <v>2645</v>
      </c>
      <c r="F602" s="260">
        <v>1</v>
      </c>
      <c r="G602" s="260" t="s">
        <v>3825</v>
      </c>
      <c r="H602" s="261" t="str">
        <f>'Dry_Litterbag Placem_Collection'!C163</f>
        <v>Wet_W1_T1</v>
      </c>
      <c r="I602" s="270" t="s">
        <v>3630</v>
      </c>
      <c r="J602" s="263" t="s">
        <v>1147</v>
      </c>
      <c r="K602" s="260" t="str">
        <f>IF(ISBLANK('Dry_Litterbag Placem_Collection'!L163),"","G"&amp;""&amp;'Dry_Litterbag Placem_Collection'!L163)</f>
        <v>G207</v>
      </c>
      <c r="L602" s="264">
        <f>IFERROR(INDEX('Green_rooibos initial weight'!$C$5:$C$2000,MATCH(K602, 'Green_rooibos initial weight'!$A$5:$A$2000,0)),"")</f>
        <v>2.1539999999999999</v>
      </c>
      <c r="M602" s="264">
        <f>IFERROR(L602-(TBIcalc!$Q$9+TBIcalc!$Q$10),"")</f>
        <v>1.9041999999999999</v>
      </c>
      <c r="N602" s="385">
        <f>AVERAGE(Ashed_controlls!$K$2:$K$11)</f>
        <v>5.5147656768714146</v>
      </c>
      <c r="O602" s="264">
        <f t="shared" si="46"/>
        <v>1.7991878319810144</v>
      </c>
      <c r="P602" s="264">
        <f>IFERROR(INDEX('Both teabags AfterDry'!$D$2:$D$2000,MATCH(K602,'Both teabags AfterDry'!$A$2:$A$2000,0)),"")</f>
        <v>0.76570000000000005</v>
      </c>
      <c r="Q602" s="264">
        <f>IFERROR(IF(P602&gt;0,P602-(TBIcalc!$Q$9),""),"")</f>
        <v>0.61509999999999998</v>
      </c>
      <c r="R602" s="275">
        <f>IFERROR(INDEX('Ashed teabags dry'!$K$2:$K$2000,MATCH(K602,'Ashed teabags dry'!$A$2:$A$2000,0)),"")</f>
        <v>21.881091617933993</v>
      </c>
      <c r="S602" s="275">
        <f t="shared" si="47"/>
        <v>0.48050940545808796</v>
      </c>
      <c r="T602" s="265">
        <f>IF('Dry_Litterbag Placem_Collection'!E163="","",'Dry_Litterbag Placem_Collection'!E163)</f>
        <v>42940</v>
      </c>
      <c r="U602" s="265">
        <f>IF('Dry_Litterbag Placem_Collection'!G163="","",'Dry_Litterbag Placem_Collection'!G163)</f>
        <v>43009</v>
      </c>
      <c r="V602" s="266">
        <f t="shared" si="45"/>
        <v>69</v>
      </c>
      <c r="W602" s="264">
        <f t="shared" si="48"/>
        <v>1.2890999999999999</v>
      </c>
      <c r="X602" s="264">
        <f t="shared" si="49"/>
        <v>1.3186784265229266</v>
      </c>
      <c r="Y602" s="268">
        <f>IFERROR(INDEX(Rainfall_Dry!$O$2:$O$217,MATCH(B602, Rainfall_Dry!$A$2:$A$217,0)),"")</f>
        <v>162.634207253</v>
      </c>
      <c r="Z602" s="257">
        <v>21.96</v>
      </c>
      <c r="AA602" s="257">
        <v>4.9199999999999982</v>
      </c>
      <c r="AB602" s="257">
        <v>73.12</v>
      </c>
      <c r="AC602" s="258" t="s">
        <v>2654</v>
      </c>
      <c r="AD602" s="257">
        <v>1.2416954164613114</v>
      </c>
      <c r="AE602">
        <f>IF('WetLitterbags placem_collection'!AB163="","",'WetLitterbags placem_collection'!AB163)</f>
        <v>7.6</v>
      </c>
      <c r="AF602">
        <f>IF('WetLitterbags placem_collection'!Z163="","",'WetLitterbags placem_collection'!Z163)</f>
        <v>35.799999999999997</v>
      </c>
      <c r="AG602" s="243" t="str">
        <f>IF('WetLitterbags placem_collection'!AA163="","",'WetLitterbags placem_collection'!AA163)</f>
        <v>M</v>
      </c>
      <c r="AH602">
        <f>IF('WetLitterbags placem_collection'!AC163="","",'WetLitterbags placem_collection'!AC163)</f>
        <v>0</v>
      </c>
      <c r="AI602">
        <f>IFERROR(AVERAGE('Dry_Litterbag Placem_Collection'!O163,'Dry_Litterbag Placem_Collection'!R163),"")</f>
        <v>5.65</v>
      </c>
      <c r="AJ602" s="268">
        <f>IFERROR(AVERAGE('Dry_Litterbag Placem_Collection'!N163,'Dry_Litterbag Placem_Collection'!Q163),"")</f>
        <v>31.7</v>
      </c>
      <c r="AK602" s="267">
        <f>INDEX(Coordinates!$B$2:$B$197,MATCH(H602,Coordinates!$J$2:$J$197,0))</f>
        <v>-2.272751033</v>
      </c>
      <c r="AL602" s="267">
        <f>INDEX(Coordinates!$C$2:$C$197,MATCH(H602,Coordinates!$J$2:$J$197,0))</f>
        <v>34.023176030000002</v>
      </c>
      <c r="AM602" s="267" t="str">
        <f>IF(ISNUMBER(SEARCH("C", 'Dry_Litterbag Placem_Collection'!U163)),"YES","NO")</f>
        <v>NO</v>
      </c>
      <c r="AN602" s="267" t="str">
        <f>IF(ISNUMBER(SEARCH("H", 'Dry_Litterbag Placem_Collection'!U163)),"YES","NO")</f>
        <v>NO</v>
      </c>
      <c r="AO602" s="267" t="str">
        <f>IF(ISNUMBER(SEARCH("R", 'Dry_Litterbag Placem_Collection'!U163)),"YES","NO")</f>
        <v>NO</v>
      </c>
    </row>
    <row r="603" spans="1:41" ht="15" customHeight="1">
      <c r="A603" s="259" t="s">
        <v>2643</v>
      </c>
      <c r="B603" s="260">
        <f>'Dry_Litterbag Placem_Collection'!A164</f>
        <v>162</v>
      </c>
      <c r="C603" s="260" t="str">
        <f>'Dry_Litterbag Placem_Collection'!B164</f>
        <v>Handajega</v>
      </c>
      <c r="D603" s="260" t="s">
        <v>2454</v>
      </c>
      <c r="E603" s="260" t="s">
        <v>2645</v>
      </c>
      <c r="F603" s="260">
        <v>1</v>
      </c>
      <c r="G603" s="260" t="s">
        <v>3825</v>
      </c>
      <c r="H603" s="261" t="str">
        <f>'Dry_Litterbag Placem_Collection'!C164</f>
        <v>Wet_W1_T2</v>
      </c>
      <c r="I603" s="270" t="s">
        <v>3630</v>
      </c>
      <c r="J603" s="263" t="s">
        <v>1147</v>
      </c>
      <c r="K603" s="260" t="str">
        <f>IF(ISBLANK('Dry_Litterbag Placem_Collection'!L164),"","G"&amp;""&amp;'Dry_Litterbag Placem_Collection'!L164)</f>
        <v>G580</v>
      </c>
      <c r="L603" s="264">
        <f>IFERROR(INDEX('Green_rooibos initial weight'!$C$5:$C$2000,MATCH(K603, 'Green_rooibos initial weight'!$A$5:$A$2000,0)),"")</f>
        <v>2.1440000000000001</v>
      </c>
      <c r="M603" s="264">
        <f>IFERROR(L603-(TBIcalc!$Q$9+TBIcalc!$Q$10),"")</f>
        <v>1.8942000000000001</v>
      </c>
      <c r="N603" s="385">
        <f>AVERAGE(Ashed_controlls!$K$2:$K$11)</f>
        <v>5.5147656768714146</v>
      </c>
      <c r="O603" s="264">
        <f t="shared" si="46"/>
        <v>1.7897393085487017</v>
      </c>
      <c r="P603" s="264">
        <f>IFERROR(INDEX('Both teabags AfterDry'!$D$2:$D$2000,MATCH(K603,'Both teabags AfterDry'!$A$2:$A$2000,0)),"")</f>
        <v>0.84409999999999996</v>
      </c>
      <c r="Q603" s="264">
        <f>IFERROR(IF(P603&gt;0,P603-(TBIcalc!$Q$9),""),"")</f>
        <v>0.69350000000000001</v>
      </c>
      <c r="R603" s="275">
        <f>IFERROR(INDEX('Ashed teabags dry'!$K$2:$K$2000,MATCH(K603,'Ashed teabags dry'!$A$2:$A$2000,0)),"")</f>
        <v>19.492789656887485</v>
      </c>
      <c r="S603" s="275">
        <f t="shared" si="47"/>
        <v>0.5583175037294853</v>
      </c>
      <c r="T603" s="265">
        <f>IF('Dry_Litterbag Placem_Collection'!E164="","",'Dry_Litterbag Placem_Collection'!E164)</f>
        <v>42940</v>
      </c>
      <c r="U603" s="265">
        <f>IF('Dry_Litterbag Placem_Collection'!G164="","",'Dry_Litterbag Placem_Collection'!G164)</f>
        <v>43009</v>
      </c>
      <c r="V603" s="266">
        <f t="shared" si="45"/>
        <v>69</v>
      </c>
      <c r="W603" s="264">
        <f t="shared" si="48"/>
        <v>1.2007000000000001</v>
      </c>
      <c r="X603" s="264">
        <f t="shared" si="49"/>
        <v>1.2314218048192163</v>
      </c>
      <c r="Y603" s="268">
        <f>IFERROR(INDEX(Rainfall_Dry!$O$2:$O$217,MATCH(B603, Rainfall_Dry!$A$2:$A$217,0)),"")</f>
        <v>162.634207253</v>
      </c>
      <c r="Z603" s="257">
        <v>21.96</v>
      </c>
      <c r="AA603" s="257">
        <v>4.9199999999999982</v>
      </c>
      <c r="AB603" s="257">
        <v>73.12</v>
      </c>
      <c r="AC603" s="258" t="s">
        <v>2654</v>
      </c>
      <c r="AD603" s="257">
        <v>2.2416954164613099</v>
      </c>
      <c r="AE603">
        <f>IF('WetLitterbags placem_collection'!AB164="","",'WetLitterbags placem_collection'!AB164)</f>
        <v>4.0999999999999996</v>
      </c>
      <c r="AF603">
        <f>IF('WetLitterbags placem_collection'!Z164="","",'WetLitterbags placem_collection'!Z164)</f>
        <v>31.4</v>
      </c>
      <c r="AG603" s="243" t="str">
        <f>IF('WetLitterbags placem_collection'!AA164="","",'WetLitterbags placem_collection'!AA164)</f>
        <v>M</v>
      </c>
      <c r="AH603">
        <f>IF('WetLitterbags placem_collection'!AC164="","",'WetLitterbags placem_collection'!AC164)</f>
        <v>0</v>
      </c>
      <c r="AI603">
        <f>IFERROR(AVERAGE('Dry_Litterbag Placem_Collection'!O164,'Dry_Litterbag Placem_Collection'!R164),"")</f>
        <v>4.4499999999999993</v>
      </c>
      <c r="AJ603" s="268">
        <f>IFERROR(AVERAGE('Dry_Litterbag Placem_Collection'!N164,'Dry_Litterbag Placem_Collection'!Q164),"")</f>
        <v>31.650000000000002</v>
      </c>
      <c r="AK603" s="267">
        <f>INDEX(Coordinates!$B$2:$B$197,MATCH(H603,Coordinates!$J$2:$J$197,0))</f>
        <v>-2.2727060219999999</v>
      </c>
      <c r="AL603" s="267">
        <f>INDEX(Coordinates!$C$2:$C$197,MATCH(H603,Coordinates!$J$2:$J$197,0))</f>
        <v>34.023162030000002</v>
      </c>
      <c r="AM603" s="267" t="str">
        <f>IF(ISNUMBER(SEARCH("C", 'Dry_Litterbag Placem_Collection'!U164)),"YES","NO")</f>
        <v>NO</v>
      </c>
      <c r="AN603" s="267" t="str">
        <f>IF(ISNUMBER(SEARCH("H", 'Dry_Litterbag Placem_Collection'!U164)),"YES","NO")</f>
        <v>NO</v>
      </c>
      <c r="AO603" s="267" t="str">
        <f>IF(ISNUMBER(SEARCH("R", 'Dry_Litterbag Placem_Collection'!U164)),"YES","NO")</f>
        <v>NO</v>
      </c>
    </row>
    <row r="604" spans="1:41" ht="15" customHeight="1">
      <c r="A604" s="259" t="s">
        <v>2643</v>
      </c>
      <c r="B604" s="260">
        <f>'Dry_Litterbag Placem_Collection'!A165</f>
        <v>163</v>
      </c>
      <c r="C604" s="260" t="str">
        <f>'Dry_Litterbag Placem_Collection'!B165</f>
        <v>Handajega</v>
      </c>
      <c r="D604" s="260" t="s">
        <v>2454</v>
      </c>
      <c r="E604" s="260" t="s">
        <v>2645</v>
      </c>
      <c r="F604" s="260">
        <v>1</v>
      </c>
      <c r="G604" s="260" t="s">
        <v>3825</v>
      </c>
      <c r="H604" s="261" t="str">
        <f>'Dry_Litterbag Placem_Collection'!C165</f>
        <v>Wet_W1_T3</v>
      </c>
      <c r="I604" s="270" t="s">
        <v>3630</v>
      </c>
      <c r="J604" s="263" t="s">
        <v>1147</v>
      </c>
      <c r="K604" s="260" t="str">
        <f>IF(ISBLANK('Dry_Litterbag Placem_Collection'!L165),"","G"&amp;""&amp;'Dry_Litterbag Placem_Collection'!L165)</f>
        <v>G722</v>
      </c>
      <c r="L604" s="264">
        <f>IFERROR(INDEX('Green_rooibos initial weight'!$C$5:$C$2000,MATCH(K604, 'Green_rooibos initial weight'!$A$5:$A$2000,0)),"")</f>
        <v>2.0790000000000002</v>
      </c>
      <c r="M604" s="264">
        <f>IFERROR(L604-(TBIcalc!$Q$9+TBIcalc!$Q$10),"")</f>
        <v>1.8292000000000002</v>
      </c>
      <c r="N604" s="385">
        <f>AVERAGE(Ashed_controlls!$K$2:$K$11)</f>
        <v>5.5147656768714146</v>
      </c>
      <c r="O604" s="264">
        <f t="shared" si="46"/>
        <v>1.7283239062386682</v>
      </c>
      <c r="P604" s="264">
        <f>IFERROR(INDEX('Both teabags AfterDry'!$D$2:$D$2000,MATCH(K604,'Both teabags AfterDry'!$A$2:$A$2000,0)),"")</f>
        <v>0.86109999999999998</v>
      </c>
      <c r="Q604" s="264">
        <f>IFERROR(IF(P604&gt;0,P604-(TBIcalc!$Q$9),""),"")</f>
        <v>0.71049999999999991</v>
      </c>
      <c r="R604" s="275">
        <f>IFERROR(INDEX('Ashed teabags dry'!$K$2:$K$2000,MATCH(K604,'Ashed teabags dry'!$A$2:$A$2000,0)),"")</f>
        <v>29.172785119922423</v>
      </c>
      <c r="S604" s="275">
        <f t="shared" si="47"/>
        <v>0.50322736172295113</v>
      </c>
      <c r="T604" s="265">
        <f>IF('Dry_Litterbag Placem_Collection'!E165="","",'Dry_Litterbag Placem_Collection'!E165)</f>
        <v>42940</v>
      </c>
      <c r="U604" s="265">
        <f>IF('Dry_Litterbag Placem_Collection'!G165="","",'Dry_Litterbag Placem_Collection'!G165)</f>
        <v>43009</v>
      </c>
      <c r="V604" s="266">
        <f t="shared" si="45"/>
        <v>69</v>
      </c>
      <c r="W604" s="264">
        <f t="shared" si="48"/>
        <v>1.1187000000000002</v>
      </c>
      <c r="X604" s="264">
        <f t="shared" si="49"/>
        <v>1.2250965445157171</v>
      </c>
      <c r="Y604" s="268">
        <f>IFERROR(INDEX(Rainfall_Dry!$O$2:$O$217,MATCH(B604, Rainfall_Dry!$A$2:$A$217,0)),"")</f>
        <v>162.634207253</v>
      </c>
      <c r="Z604" s="257">
        <v>21.96</v>
      </c>
      <c r="AA604" s="257">
        <v>4.9199999999999982</v>
      </c>
      <c r="AB604" s="257">
        <v>73.12</v>
      </c>
      <c r="AC604" s="258" t="s">
        <v>2654</v>
      </c>
      <c r="AD604" s="257">
        <v>3.2416954164613099</v>
      </c>
      <c r="AE604">
        <f>IF('WetLitterbags placem_collection'!AB165="","",'WetLitterbags placem_collection'!AB165)</f>
        <v>7.8</v>
      </c>
      <c r="AF604">
        <f>IF('WetLitterbags placem_collection'!Z165="","",'WetLitterbags placem_collection'!Z165)</f>
        <v>28.8</v>
      </c>
      <c r="AG604" s="243" t="str">
        <f>IF('WetLitterbags placem_collection'!AA165="","",'WetLitterbags placem_collection'!AA165)</f>
        <v>M</v>
      </c>
      <c r="AH604">
        <f>IF('WetLitterbags placem_collection'!AC165="","",'WetLitterbags placem_collection'!AC165)</f>
        <v>0</v>
      </c>
      <c r="AI604">
        <f>IFERROR(AVERAGE('Dry_Litterbag Placem_Collection'!O165,'Dry_Litterbag Placem_Collection'!R165),"")</f>
        <v>4.45</v>
      </c>
      <c r="AJ604" s="268">
        <f>IFERROR(AVERAGE('Dry_Litterbag Placem_Collection'!N165,'Dry_Litterbag Placem_Collection'!Q165),"")</f>
        <v>32.75</v>
      </c>
      <c r="AK604" s="267">
        <f>INDEX(Coordinates!$B$2:$B$197,MATCH(H604,Coordinates!$J$2:$J$197,0))</f>
        <v>-2.2726719919999998</v>
      </c>
      <c r="AL604" s="267">
        <f>INDEX(Coordinates!$C$2:$C$197,MATCH(H604,Coordinates!$J$2:$J$197,0))</f>
        <v>34.023210980000002</v>
      </c>
      <c r="AM604" s="267" t="str">
        <f>IF(ISNUMBER(SEARCH("C", 'Dry_Litterbag Placem_Collection'!U165)),"YES","NO")</f>
        <v>NO</v>
      </c>
      <c r="AN604" s="267" t="str">
        <f>IF(ISNUMBER(SEARCH("H", 'Dry_Litterbag Placem_Collection'!U165)),"YES","NO")</f>
        <v>NO</v>
      </c>
      <c r="AO604" s="267" t="str">
        <f>IF(ISNUMBER(SEARCH("R", 'Dry_Litterbag Placem_Collection'!U165)),"YES","NO")</f>
        <v>NO</v>
      </c>
    </row>
    <row r="605" spans="1:41" ht="15" customHeight="1">
      <c r="A605" s="259" t="s">
        <v>2643</v>
      </c>
      <c r="B605" s="260">
        <f>'Dry_Litterbag Placem_Collection'!A166</f>
        <v>164</v>
      </c>
      <c r="C605" s="260" t="str">
        <f>'Dry_Litterbag Placem_Collection'!B166</f>
        <v>Handajega</v>
      </c>
      <c r="D605" s="260" t="s">
        <v>2454</v>
      </c>
      <c r="E605" s="260" t="s">
        <v>2645</v>
      </c>
      <c r="F605" s="260">
        <v>1</v>
      </c>
      <c r="G605" s="260" t="s">
        <v>3825</v>
      </c>
      <c r="H605" s="261" t="str">
        <f>'Dry_Litterbag Placem_Collection'!C166</f>
        <v>Wet_W1_T4</v>
      </c>
      <c r="I605" s="270" t="s">
        <v>3630</v>
      </c>
      <c r="J605" s="263" t="s">
        <v>1147</v>
      </c>
      <c r="K605" s="260" t="str">
        <f>IF(ISBLANK('Dry_Litterbag Placem_Collection'!L166),"","G"&amp;""&amp;'Dry_Litterbag Placem_Collection'!L166)</f>
        <v>G239</v>
      </c>
      <c r="L605" s="264">
        <f>IFERROR(INDEX('Green_rooibos initial weight'!$C$5:$C$2000,MATCH(K605, 'Green_rooibos initial weight'!$A$5:$A$2000,0)),"")</f>
        <v>2.1019999999999999</v>
      </c>
      <c r="M605" s="264">
        <f>IFERROR(L605-(TBIcalc!$Q$9+TBIcalc!$Q$10),"")</f>
        <v>1.8521999999999998</v>
      </c>
      <c r="N605" s="385">
        <f>AVERAGE(Ashed_controlls!$K$2:$K$11)</f>
        <v>5.5147656768714146</v>
      </c>
      <c r="O605" s="264">
        <f t="shared" si="46"/>
        <v>1.7500555101329875</v>
      </c>
      <c r="P605" s="264">
        <f>IFERROR(INDEX('Both teabags AfterDry'!$D$2:$D$2000,MATCH(K605,'Both teabags AfterDry'!$A$2:$A$2000,0)),"")</f>
        <v>0.73950000000000005</v>
      </c>
      <c r="Q605" s="264">
        <f>IFERROR(IF(P605&gt;0,P605-(TBIcalc!$Q$9),""),"")</f>
        <v>0.58889999999999998</v>
      </c>
      <c r="R605" s="275">
        <f>IFERROR(INDEX('Ashed teabags dry'!$K$2:$K$2000,MATCH(K605,'Ashed teabags dry'!$A$2:$A$2000,0)),"")</f>
        <v>17.516081147946309</v>
      </c>
      <c r="S605" s="275">
        <f t="shared" si="47"/>
        <v>0.48574779811974417</v>
      </c>
      <c r="T605" s="265">
        <f>IF('Dry_Litterbag Placem_Collection'!E166="","",'Dry_Litterbag Placem_Collection'!E166)</f>
        <v>42940</v>
      </c>
      <c r="U605" s="265">
        <f>IF('Dry_Litterbag Placem_Collection'!G166="","",'Dry_Litterbag Placem_Collection'!G166)</f>
        <v>43009</v>
      </c>
      <c r="V605" s="266">
        <f t="shared" si="45"/>
        <v>69</v>
      </c>
      <c r="W605" s="264">
        <f t="shared" si="48"/>
        <v>1.2632999999999999</v>
      </c>
      <c r="X605" s="264">
        <f t="shared" si="49"/>
        <v>1.2643077120132433</v>
      </c>
      <c r="Y605" s="268">
        <f>IFERROR(INDEX(Rainfall_Dry!$O$2:$O$217,MATCH(B605, Rainfall_Dry!$A$2:$A$217,0)),"")</f>
        <v>162.634207253</v>
      </c>
      <c r="Z605" s="257">
        <v>21.96</v>
      </c>
      <c r="AA605" s="257">
        <v>4.9199999999999982</v>
      </c>
      <c r="AB605" s="257">
        <v>73.12</v>
      </c>
      <c r="AC605" s="258" t="s">
        <v>2654</v>
      </c>
      <c r="AD605" s="257">
        <v>4.2416954164613099</v>
      </c>
      <c r="AE605">
        <f>IF('WetLitterbags placem_collection'!AB166="","",'WetLitterbags placem_collection'!AB166)</f>
        <v>9.5</v>
      </c>
      <c r="AF605">
        <f>IF('WetLitterbags placem_collection'!Z166="","",'WetLitterbags placem_collection'!Z166)</f>
        <v>20.8</v>
      </c>
      <c r="AG605" s="243" t="str">
        <f>IF('WetLitterbags placem_collection'!AA166="","",'WetLitterbags placem_collection'!AA166)</f>
        <v>M</v>
      </c>
      <c r="AH605">
        <f>IF('WetLitterbags placem_collection'!AC166="","",'WetLitterbags placem_collection'!AC166)</f>
        <v>0</v>
      </c>
      <c r="AI605">
        <f>IFERROR(AVERAGE('Dry_Litterbag Placem_Collection'!O166,'Dry_Litterbag Placem_Collection'!R166),"")</f>
        <v>5.0500000000000007</v>
      </c>
      <c r="AJ605" s="268">
        <f>IFERROR(AVERAGE('Dry_Litterbag Placem_Collection'!N166,'Dry_Litterbag Placem_Collection'!Q166),"")</f>
        <v>31.3</v>
      </c>
      <c r="AK605" s="267">
        <f>INDEX(Coordinates!$B$2:$B$197,MATCH(H605,Coordinates!$J$2:$J$197,0))</f>
        <v>-2.2726180130000002</v>
      </c>
      <c r="AL605" s="267">
        <f>INDEX(Coordinates!$C$2:$C$197,MATCH(H605,Coordinates!$J$2:$J$197,0))</f>
        <v>34.023212999999998</v>
      </c>
      <c r="AM605" s="267" t="str">
        <f>IF(ISNUMBER(SEARCH("C", 'Dry_Litterbag Placem_Collection'!U166)),"YES","NO")</f>
        <v>NO</v>
      </c>
      <c r="AN605" s="267" t="str">
        <f>IF(ISNUMBER(SEARCH("H", 'Dry_Litterbag Placem_Collection'!U166)),"YES","NO")</f>
        <v>NO</v>
      </c>
      <c r="AO605" s="267" t="str">
        <f>IF(ISNUMBER(SEARCH("R", 'Dry_Litterbag Placem_Collection'!U166)),"YES","NO")</f>
        <v>YES</v>
      </c>
    </row>
    <row r="606" spans="1:41" ht="15" customHeight="1">
      <c r="A606" s="259" t="s">
        <v>2643</v>
      </c>
      <c r="B606" s="260">
        <f>'Dry_Litterbag Placem_Collection'!A167</f>
        <v>165</v>
      </c>
      <c r="C606" s="260" t="str">
        <f>'Dry_Litterbag Placem_Collection'!B167</f>
        <v>Handajega</v>
      </c>
      <c r="D606" s="260" t="s">
        <v>2454</v>
      </c>
      <c r="E606" s="260" t="s">
        <v>2645</v>
      </c>
      <c r="F606" s="260">
        <v>1</v>
      </c>
      <c r="G606" s="260" t="s">
        <v>3825</v>
      </c>
      <c r="H606" s="261" t="str">
        <f>'Dry_Litterbag Placem_Collection'!C167</f>
        <v>Wet_W1_T5</v>
      </c>
      <c r="I606" s="270" t="s">
        <v>3630</v>
      </c>
      <c r="J606" s="263" t="s">
        <v>1147</v>
      </c>
      <c r="K606" s="260" t="str">
        <f>IF(ISBLANK('Dry_Litterbag Placem_Collection'!L167),"","G"&amp;""&amp;'Dry_Litterbag Placem_Collection'!L167)</f>
        <v>G343</v>
      </c>
      <c r="L606" s="264">
        <f>IFERROR(INDEX('Green_rooibos initial weight'!$C$5:$C$2000,MATCH(K606, 'Green_rooibos initial weight'!$A$5:$A$2000,0)),"")</f>
        <v>1.8340000000000001</v>
      </c>
      <c r="M606" s="264">
        <f>IFERROR(L606-(TBIcalc!$Q$9+TBIcalc!$Q$10),"")</f>
        <v>1.5842000000000001</v>
      </c>
      <c r="N606" s="385">
        <f>AVERAGE(Ashed_controlls!$K$2:$K$11)</f>
        <v>5.5147656768714146</v>
      </c>
      <c r="O606" s="264">
        <f t="shared" si="46"/>
        <v>1.4968350821470031</v>
      </c>
      <c r="P606" s="264">
        <f>IFERROR(INDEX('Both teabags AfterDry'!$D$2:$D$2000,MATCH(K606,'Both teabags AfterDry'!$A$2:$A$2000,0)),"")</f>
        <v>0.68059999999999998</v>
      </c>
      <c r="Q606" s="264">
        <f>IFERROR(IF(P606&gt;0,P606-(TBIcalc!$Q$9),""),"")</f>
        <v>0.53</v>
      </c>
      <c r="R606" s="275">
        <f>IFERROR(INDEX('Ashed teabags dry'!$K$2:$K$2000,MATCH(K606,'Ashed teabags dry'!$A$2:$A$2000,0)),"")</f>
        <v>16.867469879518342</v>
      </c>
      <c r="S606" s="275">
        <f t="shared" si="47"/>
        <v>0.44060240963855279</v>
      </c>
      <c r="T606" s="265">
        <f>IF('Dry_Litterbag Placem_Collection'!E167="","",'Dry_Litterbag Placem_Collection'!E167)</f>
        <v>42940</v>
      </c>
      <c r="U606" s="265">
        <f>IF('Dry_Litterbag Placem_Collection'!G167="","",'Dry_Litterbag Placem_Collection'!G167)</f>
        <v>43009</v>
      </c>
      <c r="V606" s="266">
        <f t="shared" si="45"/>
        <v>69</v>
      </c>
      <c r="W606" s="264">
        <f t="shared" si="48"/>
        <v>1.0542</v>
      </c>
      <c r="X606" s="264">
        <f t="shared" si="49"/>
        <v>1.0562326725084503</v>
      </c>
      <c r="Y606" s="268">
        <f>IFERROR(INDEX(Rainfall_Dry!$O$2:$O$217,MATCH(B606, Rainfall_Dry!$A$2:$A$217,0)),"")</f>
        <v>162.634207253</v>
      </c>
      <c r="Z606" s="257">
        <v>21.96</v>
      </c>
      <c r="AA606" s="257">
        <v>4.9199999999999982</v>
      </c>
      <c r="AB606" s="257">
        <v>73.12</v>
      </c>
      <c r="AC606" s="258" t="s">
        <v>2654</v>
      </c>
      <c r="AD606" s="257">
        <v>5.2416954164613099</v>
      </c>
      <c r="AE606">
        <f>IF('WetLitterbags placem_collection'!AB167="","",'WetLitterbags placem_collection'!AB167)</f>
        <v>10.4</v>
      </c>
      <c r="AF606">
        <f>IF('WetLitterbags placem_collection'!Z167="","",'WetLitterbags placem_collection'!Z167)</f>
        <v>13.8</v>
      </c>
      <c r="AG606" s="243" t="str">
        <f>IF('WetLitterbags placem_collection'!AA167="","",'WetLitterbags placem_collection'!AA167)</f>
        <v>M</v>
      </c>
      <c r="AH606">
        <f>IF('WetLitterbags placem_collection'!AC167="","",'WetLitterbags placem_collection'!AC167)</f>
        <v>0</v>
      </c>
      <c r="AI606">
        <f>IFERROR(AVERAGE('Dry_Litterbag Placem_Collection'!O167,'Dry_Litterbag Placem_Collection'!R167),"")</f>
        <v>5.3000000000000007</v>
      </c>
      <c r="AJ606" s="268">
        <f>IFERROR(AVERAGE('Dry_Litterbag Placem_Collection'!N167,'Dry_Litterbag Placem_Collection'!Q167),"")</f>
        <v>32.049999999999997</v>
      </c>
      <c r="AK606" s="267">
        <f>INDEX(Coordinates!$B$2:$B$197,MATCH(H606,Coordinates!$J$2:$J$197,0))</f>
        <v>-2.2724750170000001</v>
      </c>
      <c r="AL606" s="267">
        <f>INDEX(Coordinates!$C$2:$C$197,MATCH(H606,Coordinates!$J$2:$J$197,0))</f>
        <v>34.02334501</v>
      </c>
      <c r="AM606" s="267" t="str">
        <f>IF(ISNUMBER(SEARCH("C", 'Dry_Litterbag Placem_Collection'!U167)),"YES","NO")</f>
        <v>NO</v>
      </c>
      <c r="AN606" s="267" t="str">
        <f>IF(ISNUMBER(SEARCH("H", 'Dry_Litterbag Placem_Collection'!U167)),"YES","NO")</f>
        <v>NO</v>
      </c>
      <c r="AO606" s="267" t="str">
        <f>IF(ISNUMBER(SEARCH("R", 'Dry_Litterbag Placem_Collection'!U167)),"YES","NO")</f>
        <v>NO</v>
      </c>
    </row>
    <row r="607" spans="1:41" ht="15" customHeight="1">
      <c r="A607" s="259" t="s">
        <v>2643</v>
      </c>
      <c r="B607" s="260">
        <f>'Dry_Litterbag Placem_Collection'!A168</f>
        <v>166</v>
      </c>
      <c r="C607" s="260" t="str">
        <f>'Dry_Litterbag Placem_Collection'!B168</f>
        <v>Handajega</v>
      </c>
      <c r="D607" s="260" t="s">
        <v>2454</v>
      </c>
      <c r="E607" s="260" t="s">
        <v>2645</v>
      </c>
      <c r="F607" s="260">
        <v>1</v>
      </c>
      <c r="G607" s="260" t="s">
        <v>3825</v>
      </c>
      <c r="H607" s="261" t="str">
        <f>'Dry_Litterbag Placem_Collection'!C168</f>
        <v>Wet_W1_T6</v>
      </c>
      <c r="I607" s="270" t="s">
        <v>3630</v>
      </c>
      <c r="J607" s="263" t="s">
        <v>1147</v>
      </c>
      <c r="K607" s="260" t="str">
        <f>IF(ISBLANK('Dry_Litterbag Placem_Collection'!L168),"","G"&amp;""&amp;'Dry_Litterbag Placem_Collection'!L168)</f>
        <v>G409</v>
      </c>
      <c r="L607" s="264">
        <f>IFERROR(INDEX('Green_rooibos initial weight'!$C$5:$C$2000,MATCH(K607, 'Green_rooibos initial weight'!$A$5:$A$2000,0)),"")</f>
        <v>1.968</v>
      </c>
      <c r="M607" s="264">
        <f>IFERROR(L607-(TBIcalc!$Q$9+TBIcalc!$Q$10),"")</f>
        <v>1.7181999999999999</v>
      </c>
      <c r="N607" s="385">
        <f>AVERAGE(Ashed_controlls!$K$2:$K$11)</f>
        <v>5.5147656768714146</v>
      </c>
      <c r="O607" s="264">
        <f t="shared" si="46"/>
        <v>1.6234452961399952</v>
      </c>
      <c r="P607" s="264">
        <f>IFERROR(INDEX('Both teabags AfterDry'!$D$2:$D$2000,MATCH(K607,'Both teabags AfterDry'!$A$2:$A$2000,0)),"")</f>
        <v>0.77039999999999997</v>
      </c>
      <c r="Q607" s="264">
        <f>IFERROR(IF(P607&gt;0,P607-(TBIcalc!$Q$9),""),"")</f>
        <v>0.61979999999999991</v>
      </c>
      <c r="R607" s="275">
        <f>IFERROR(INDEX('Ashed teabags dry'!$K$2:$K$2000,MATCH(K607,'Ashed teabags dry'!$A$2:$A$2000,0)),"")</f>
        <v>23.019571295433156</v>
      </c>
      <c r="S607" s="275">
        <f t="shared" si="47"/>
        <v>0.47712469711090522</v>
      </c>
      <c r="T607" s="265">
        <f>IF('Dry_Litterbag Placem_Collection'!E168="","",'Dry_Litterbag Placem_Collection'!E168)</f>
        <v>42940</v>
      </c>
      <c r="U607" s="265">
        <f>IF('Dry_Litterbag Placem_Collection'!G168="","",'Dry_Litterbag Placem_Collection'!G168)</f>
        <v>43009</v>
      </c>
      <c r="V607" s="266">
        <f t="shared" si="45"/>
        <v>69</v>
      </c>
      <c r="W607" s="264">
        <f t="shared" si="48"/>
        <v>1.0984</v>
      </c>
      <c r="X607" s="264">
        <f t="shared" si="49"/>
        <v>1.1463205990290901</v>
      </c>
      <c r="Y607" s="268">
        <f>IFERROR(INDEX(Rainfall_Dry!$O$2:$O$217,MATCH(B607, Rainfall_Dry!$A$2:$A$217,0)),"")</f>
        <v>162.634207253</v>
      </c>
      <c r="Z607" s="257">
        <v>21.96</v>
      </c>
      <c r="AA607" s="257">
        <v>4.9199999999999982</v>
      </c>
      <c r="AB607" s="257">
        <v>73.12</v>
      </c>
      <c r="AC607" s="258" t="s">
        <v>2654</v>
      </c>
      <c r="AD607" s="257">
        <v>6.2416954164613099</v>
      </c>
      <c r="AE607">
        <f>IF('WetLitterbags placem_collection'!AB168="","",'WetLitterbags placem_collection'!AB168)</f>
        <v>2.1</v>
      </c>
      <c r="AF607">
        <f>IF('WetLitterbags placem_collection'!Z168="","",'WetLitterbags placem_collection'!Z168)</f>
        <v>4.7</v>
      </c>
      <c r="AG607" s="243" t="str">
        <f>IF('WetLitterbags placem_collection'!AA168="","",'WetLitterbags placem_collection'!AA168)</f>
        <v>M</v>
      </c>
      <c r="AH607">
        <f>IF('WetLitterbags placem_collection'!AC168="","",'WetLitterbags placem_collection'!AC168)</f>
        <v>0</v>
      </c>
      <c r="AI607">
        <f>IFERROR(AVERAGE('Dry_Litterbag Placem_Collection'!O168,'Dry_Litterbag Placem_Collection'!R168),"")</f>
        <v>5.15</v>
      </c>
      <c r="AJ607" s="268">
        <f>IFERROR(AVERAGE('Dry_Litterbag Placem_Collection'!N168,'Dry_Litterbag Placem_Collection'!Q168),"")</f>
        <v>33.25</v>
      </c>
      <c r="AK607" s="267">
        <f>INDEX(Coordinates!$B$2:$B$197,MATCH(H607,Coordinates!$J$2:$J$197,0))</f>
        <v>-2.2725490289999999</v>
      </c>
      <c r="AL607" s="267">
        <f>INDEX(Coordinates!$C$2:$C$197,MATCH(H607,Coordinates!$J$2:$J$197,0))</f>
        <v>34.022886020000001</v>
      </c>
      <c r="AM607" s="267" t="str">
        <f>IF(ISNUMBER(SEARCH("C", 'Dry_Litterbag Placem_Collection'!U168)),"YES","NO")</f>
        <v>NO</v>
      </c>
      <c r="AN607" s="267" t="str">
        <f>IF(ISNUMBER(SEARCH("H", 'Dry_Litterbag Placem_Collection'!U168)),"YES","NO")</f>
        <v>NO</v>
      </c>
      <c r="AO607" s="267" t="str">
        <f>IF(ISNUMBER(SEARCH("R", 'Dry_Litterbag Placem_Collection'!U168)),"YES","NO")</f>
        <v>NO</v>
      </c>
    </row>
    <row r="608" spans="1:41" ht="15" customHeight="1">
      <c r="A608" s="259" t="s">
        <v>2643</v>
      </c>
      <c r="B608" s="260">
        <f>'Dry_Litterbag Placem_Collection'!A169</f>
        <v>167</v>
      </c>
      <c r="C608" s="260" t="str">
        <f>'Dry_Litterbag Placem_Collection'!B169</f>
        <v>Handajega</v>
      </c>
      <c r="D608" s="260" t="s">
        <v>2454</v>
      </c>
      <c r="E608" s="260" t="s">
        <v>2645</v>
      </c>
      <c r="F608" s="260">
        <v>1</v>
      </c>
      <c r="G608" s="260" t="s">
        <v>3825</v>
      </c>
      <c r="H608" s="261" t="str">
        <f>'Dry_Litterbag Placem_Collection'!C169</f>
        <v>Wet_W1_T7</v>
      </c>
      <c r="I608" s="270" t="s">
        <v>3630</v>
      </c>
      <c r="J608" s="263" t="s">
        <v>1147</v>
      </c>
      <c r="K608" s="260" t="str">
        <f>IF(ISBLANK('Dry_Litterbag Placem_Collection'!L169),"","G"&amp;""&amp;'Dry_Litterbag Placem_Collection'!L169)</f>
        <v/>
      </c>
      <c r="L608" s="264" t="str">
        <f>IFERROR(INDEX('Green_rooibos initial weight'!$C$5:$C$2000,MATCH(K608, 'Green_rooibos initial weight'!$A$5:$A$2000,0)),"")</f>
        <v/>
      </c>
      <c r="M608" s="264" t="str">
        <f>IFERROR(L608-(TBIcalc!$Q$9+TBIcalc!$Q$10),"")</f>
        <v/>
      </c>
      <c r="N608" s="385">
        <f>AVERAGE(Ashed_controlls!$K$2:$K$11)</f>
        <v>5.5147656768714146</v>
      </c>
      <c r="O608" s="264" t="str">
        <f t="shared" si="46"/>
        <v/>
      </c>
      <c r="P608" s="264" t="str">
        <f>IFERROR(INDEX('Both teabags AfterDry'!$D$2:$D$2000,MATCH(K608,'Both teabags AfterDry'!$A$2:$A$2000,0)),"")</f>
        <v/>
      </c>
      <c r="Q608" s="264" t="str">
        <f>IFERROR(IF(P608&gt;0,P608-(TBIcalc!$Q$9),""),"")</f>
        <v/>
      </c>
      <c r="R608" s="275" t="str">
        <f>IFERROR(INDEX('Ashed teabags dry'!$K$2:$K$2000,MATCH(K608,'Ashed teabags dry'!$A$2:$A$2000,0)),"")</f>
        <v/>
      </c>
      <c r="S608" s="275" t="str">
        <f t="shared" si="47"/>
        <v/>
      </c>
      <c r="T608" s="265" t="str">
        <f>IF('Dry_Litterbag Placem_Collection'!E169="","",'Dry_Litterbag Placem_Collection'!E169)</f>
        <v/>
      </c>
      <c r="U608" s="265" t="str">
        <f>IF('Dry_Litterbag Placem_Collection'!G169="","",'Dry_Litterbag Placem_Collection'!G169)</f>
        <v/>
      </c>
      <c r="V608" s="266" t="str">
        <f t="shared" si="45"/>
        <v/>
      </c>
      <c r="W608" s="264" t="str">
        <f t="shared" si="48"/>
        <v/>
      </c>
      <c r="X608" s="264" t="str">
        <f t="shared" si="49"/>
        <v/>
      </c>
      <c r="Y608" s="268" t="str">
        <f>IFERROR(INDEX(Rainfall_Dry!$O$2:$O$217,MATCH(B608, Rainfall_Dry!$A$2:$A$217,0)),"")</f>
        <v/>
      </c>
      <c r="Z608" s="257">
        <v>21.96</v>
      </c>
      <c r="AA608" s="257">
        <v>4.9199999999999982</v>
      </c>
      <c r="AB608" s="257">
        <v>73.12</v>
      </c>
      <c r="AC608" s="258" t="s">
        <v>2654</v>
      </c>
      <c r="AD608" s="257">
        <v>7.2416954164613099</v>
      </c>
      <c r="AE608">
        <f>IF('WetLitterbags placem_collection'!AB169="","",'WetLitterbags placem_collection'!AB169)</f>
        <v>5.6</v>
      </c>
      <c r="AF608">
        <f>IF('WetLitterbags placem_collection'!Z169="","",'WetLitterbags placem_collection'!Z169)</f>
        <v>4.2</v>
      </c>
      <c r="AG608" s="243" t="str">
        <f>IF('WetLitterbags placem_collection'!AA169="","",'WetLitterbags placem_collection'!AA169)</f>
        <v>M</v>
      </c>
      <c r="AH608">
        <f>IF('WetLitterbags placem_collection'!AC169="","",'WetLitterbags placem_collection'!AC169)</f>
        <v>1</v>
      </c>
      <c r="AI608" t="str">
        <f>IFERROR(AVERAGE('Dry_Litterbag Placem_Collection'!O169,'Dry_Litterbag Placem_Collection'!R169),"")</f>
        <v/>
      </c>
      <c r="AJ608" s="268" t="str">
        <f>IFERROR(AVERAGE('Dry_Litterbag Placem_Collection'!N169,'Dry_Litterbag Placem_Collection'!Q169),"")</f>
        <v/>
      </c>
      <c r="AK608" s="267">
        <f>INDEX(Coordinates!$B$2:$B$197,MATCH(H608,Coordinates!$J$2:$J$197,0))</f>
        <v>-2.2729950310000002</v>
      </c>
      <c r="AL608" s="267">
        <f>INDEX(Coordinates!$C$2:$C$197,MATCH(H608,Coordinates!$J$2:$J$197,0))</f>
        <v>34.022923990000002</v>
      </c>
      <c r="AM608" s="267" t="str">
        <f>IF(ISNUMBER(SEARCH("C", 'Dry_Litterbag Placem_Collection'!U169)),"YES","NO")</f>
        <v>NO</v>
      </c>
      <c r="AN608" s="267" t="str">
        <f>IF(ISNUMBER(SEARCH("H", 'Dry_Litterbag Placem_Collection'!U169)),"YES","NO")</f>
        <v>NO</v>
      </c>
      <c r="AO608" s="267" t="str">
        <f>IF(ISNUMBER(SEARCH("R", 'Dry_Litterbag Placem_Collection'!U169)),"YES","NO")</f>
        <v>NO</v>
      </c>
    </row>
    <row r="609" spans="1:41" ht="15" customHeight="1">
      <c r="A609" s="259" t="s">
        <v>2643</v>
      </c>
      <c r="B609" s="260">
        <f>'Dry_Litterbag Placem_Collection'!A170</f>
        <v>168</v>
      </c>
      <c r="C609" s="260" t="str">
        <f>'Dry_Litterbag Placem_Collection'!B170</f>
        <v>Handajega</v>
      </c>
      <c r="D609" s="260" t="s">
        <v>2454</v>
      </c>
      <c r="E609" s="260" t="s">
        <v>2645</v>
      </c>
      <c r="F609" s="260">
        <v>1</v>
      </c>
      <c r="G609" s="260" t="s">
        <v>3825</v>
      </c>
      <c r="H609" s="261" t="str">
        <f>'Dry_Litterbag Placem_Collection'!C170</f>
        <v>Wet_W1_T8</v>
      </c>
      <c r="I609" s="270" t="s">
        <v>3630</v>
      </c>
      <c r="J609" s="263" t="s">
        <v>1147</v>
      </c>
      <c r="K609" s="260" t="str">
        <f>IF(ISBLANK('Dry_Litterbag Placem_Collection'!L170),"","G"&amp;""&amp;'Dry_Litterbag Placem_Collection'!L170)</f>
        <v>G304</v>
      </c>
      <c r="L609" s="264">
        <f>IFERROR(INDEX('Green_rooibos initial weight'!$C$5:$C$2000,MATCH(K609, 'Green_rooibos initial weight'!$A$5:$A$2000,0)),"")</f>
        <v>1.9490000000000001</v>
      </c>
      <c r="M609" s="264">
        <f>IFERROR(L609-(TBIcalc!$Q$9+TBIcalc!$Q$10),"")</f>
        <v>1.6992</v>
      </c>
      <c r="N609" s="385">
        <f>AVERAGE(Ashed_controlls!$K$2:$K$11)</f>
        <v>5.5147656768714146</v>
      </c>
      <c r="O609" s="264">
        <f t="shared" si="46"/>
        <v>1.6054931016186009</v>
      </c>
      <c r="P609" s="264" t="str">
        <f>IFERROR(INDEX('Both teabags AfterDry'!$D$2:$D$2000,MATCH(K609,'Both teabags AfterDry'!$A$2:$A$2000,0)),"")</f>
        <v/>
      </c>
      <c r="Q609" s="264" t="str">
        <f>IFERROR(IF(P609&gt;0,P609-(TBIcalc!$Q$9),""),"")</f>
        <v/>
      </c>
      <c r="R609" s="275" t="str">
        <f>IFERROR(INDEX('Ashed teabags dry'!$K$2:$K$2000,MATCH(K609,'Ashed teabags dry'!$A$2:$A$2000,0)),"")</f>
        <v/>
      </c>
      <c r="S609" s="275" t="str">
        <f t="shared" si="47"/>
        <v/>
      </c>
      <c r="T609" s="265">
        <f>IF('Dry_Litterbag Placem_Collection'!E170="","",'Dry_Litterbag Placem_Collection'!E170)</f>
        <v>42940</v>
      </c>
      <c r="U609" s="265">
        <f>IF('Dry_Litterbag Placem_Collection'!G170="","",'Dry_Litterbag Placem_Collection'!G170)</f>
        <v>43009</v>
      </c>
      <c r="V609" s="266">
        <f t="shared" si="45"/>
        <v>69</v>
      </c>
      <c r="W609" s="264" t="str">
        <f t="shared" si="48"/>
        <v/>
      </c>
      <c r="X609" s="264" t="str">
        <f t="shared" si="49"/>
        <v/>
      </c>
      <c r="Y609" s="268">
        <f>IFERROR(INDEX(Rainfall_Dry!$O$2:$O$217,MATCH(B609, Rainfall_Dry!$A$2:$A$217,0)),"")</f>
        <v>162.634207253</v>
      </c>
      <c r="Z609" s="257">
        <v>21.96</v>
      </c>
      <c r="AA609" s="257">
        <v>4.9199999999999982</v>
      </c>
      <c r="AB609" s="257">
        <v>73.12</v>
      </c>
      <c r="AC609" s="258" t="s">
        <v>2654</v>
      </c>
      <c r="AD609" s="257">
        <v>8.2416954164613099</v>
      </c>
      <c r="AE609">
        <f>IF('WetLitterbags placem_collection'!AB170="","",'WetLitterbags placem_collection'!AB170)</f>
        <v>2.4</v>
      </c>
      <c r="AF609">
        <f>IF('WetLitterbags placem_collection'!Z170="","",'WetLitterbags placem_collection'!Z170)</f>
        <v>46</v>
      </c>
      <c r="AG609" s="243" t="str">
        <f>IF('WetLitterbags placem_collection'!AA170="","",'WetLitterbags placem_collection'!AA170)</f>
        <v>M</v>
      </c>
      <c r="AH609">
        <f>IF('WetLitterbags placem_collection'!AC170="","",'WetLitterbags placem_collection'!AC170)</f>
        <v>0</v>
      </c>
      <c r="AI609">
        <f>IFERROR(AVERAGE('Dry_Litterbag Placem_Collection'!O170,'Dry_Litterbag Placem_Collection'!R170),"")</f>
        <v>4.0999999999999996</v>
      </c>
      <c r="AJ609" s="268">
        <f>IFERROR(AVERAGE('Dry_Litterbag Placem_Collection'!N170,'Dry_Litterbag Placem_Collection'!Q170),"")</f>
        <v>30.15</v>
      </c>
      <c r="AK609" s="267">
        <f>INDEX(Coordinates!$B$2:$B$197,MATCH(H609,Coordinates!$J$2:$J$197,0))</f>
        <v>-2.2729129719999999</v>
      </c>
      <c r="AL609" s="267">
        <f>INDEX(Coordinates!$C$2:$C$197,MATCH(H609,Coordinates!$J$2:$J$197,0))</f>
        <v>34.023350039999997</v>
      </c>
      <c r="AM609" s="267" t="str">
        <f>IF(ISNUMBER(SEARCH("C", 'Dry_Litterbag Placem_Collection'!U170)),"YES","NO")</f>
        <v>NO</v>
      </c>
      <c r="AN609" s="267" t="str">
        <f>IF(ISNUMBER(SEARCH("H", 'Dry_Litterbag Placem_Collection'!U170)),"YES","NO")</f>
        <v>NO</v>
      </c>
      <c r="AO609" s="267" t="str">
        <f>IF(ISNUMBER(SEARCH("R", 'Dry_Litterbag Placem_Collection'!U170)),"YES","NO")</f>
        <v>NO</v>
      </c>
    </row>
    <row r="610" spans="1:41" ht="15" customHeight="1">
      <c r="A610" s="259" t="s">
        <v>2643</v>
      </c>
      <c r="B610" s="260">
        <f>'Dry_Litterbag Placem_Collection'!A171</f>
        <v>169</v>
      </c>
      <c r="C610" s="260" t="str">
        <f>'Dry_Litterbag Placem_Collection'!B171</f>
        <v>Handajega</v>
      </c>
      <c r="D610" s="260" t="s">
        <v>2454</v>
      </c>
      <c r="E610" s="260" t="s">
        <v>2645</v>
      </c>
      <c r="F610" s="260">
        <v>2</v>
      </c>
      <c r="G610" s="260" t="s">
        <v>3827</v>
      </c>
      <c r="H610" s="261" t="str">
        <f>'Dry_Litterbag Placem_Collection'!C171</f>
        <v>Wet_W2_T1</v>
      </c>
      <c r="I610" s="270" t="s">
        <v>3630</v>
      </c>
      <c r="J610" s="263" t="s">
        <v>1147</v>
      </c>
      <c r="K610" s="260" t="str">
        <f>IF(ISBLANK('Dry_Litterbag Placem_Collection'!L171),"","G"&amp;""&amp;'Dry_Litterbag Placem_Collection'!L171)</f>
        <v>G135</v>
      </c>
      <c r="L610" s="264">
        <f>IFERROR(INDEX('Green_rooibos initial weight'!$C$5:$C$2000,MATCH(K610, 'Green_rooibos initial weight'!$A$5:$A$2000,0)),"")</f>
        <v>2.0049999999999999</v>
      </c>
      <c r="M610" s="264">
        <f>IFERROR(L610-(TBIcalc!$Q$9+TBIcalc!$Q$10),"")</f>
        <v>1.7551999999999999</v>
      </c>
      <c r="N610" s="385">
        <f>AVERAGE(Ashed_controlls!$K$2:$K$11)</f>
        <v>5.5147656768714146</v>
      </c>
      <c r="O610" s="264">
        <f t="shared" si="46"/>
        <v>1.6584048328395529</v>
      </c>
      <c r="P610" s="264">
        <f>IFERROR(INDEX('Both teabags AfterDry'!$D$2:$D$2000,MATCH(K610,'Both teabags AfterDry'!$A$2:$A$2000,0)),"")</f>
        <v>0.78129999999999999</v>
      </c>
      <c r="Q610" s="264">
        <f>IFERROR(IF(P610&gt;0,P610-(TBIcalc!$Q$9),""),"")</f>
        <v>0.63070000000000004</v>
      </c>
      <c r="R610" s="275">
        <f>IFERROR(INDEX('Ashed teabags dry'!$K$2:$K$2000,MATCH(K610,'Ashed teabags dry'!$A$2:$A$2000,0)),"")</f>
        <v>21.873514027579272</v>
      </c>
      <c r="S610" s="275">
        <f t="shared" si="47"/>
        <v>0.49274374702805757</v>
      </c>
      <c r="T610" s="265">
        <f>IF('Dry_Litterbag Placem_Collection'!E171="","",'Dry_Litterbag Placem_Collection'!E171)</f>
        <v>42940</v>
      </c>
      <c r="U610" s="265">
        <f>IF('Dry_Litterbag Placem_Collection'!G171="","",'Dry_Litterbag Placem_Collection'!G171)</f>
        <v>43009</v>
      </c>
      <c r="V610" s="266">
        <f t="shared" si="45"/>
        <v>69</v>
      </c>
      <c r="W610" s="264">
        <f t="shared" si="48"/>
        <v>1.1244999999999998</v>
      </c>
      <c r="X610" s="264">
        <f t="shared" si="49"/>
        <v>1.1656610858114953</v>
      </c>
      <c r="Y610" s="268">
        <f>IFERROR(INDEX(Rainfall_Dry!$O$2:$O$217,MATCH(B610, Rainfall_Dry!$A$2:$A$217,0)),"")</f>
        <v>162.634207253</v>
      </c>
      <c r="Z610" s="257">
        <v>23.96</v>
      </c>
      <c r="AA610" s="257">
        <v>4.9199999999999982</v>
      </c>
      <c r="AB610" s="257">
        <v>71.12</v>
      </c>
      <c r="AC610" s="258" t="s">
        <v>2654</v>
      </c>
      <c r="AD610" s="257">
        <v>3.30913750616067</v>
      </c>
      <c r="AE610">
        <f>IF('WetLitterbags placem_collection'!AB171="","",'WetLitterbags placem_collection'!AB171)</f>
        <v>8.1999999999999993</v>
      </c>
      <c r="AF610">
        <f>IF('WetLitterbags placem_collection'!Z171="","",'WetLitterbags placem_collection'!Z171)</f>
        <v>11.4</v>
      </c>
      <c r="AG610" s="243" t="str">
        <f>IF('WetLitterbags placem_collection'!AA171="","",'WetLitterbags placem_collection'!AA171)</f>
        <v>O</v>
      </c>
      <c r="AH610">
        <f>IF('WetLitterbags placem_collection'!AC171="","",'WetLitterbags placem_collection'!AC171)</f>
        <v>1</v>
      </c>
      <c r="AI610">
        <f>IFERROR(AVERAGE('Dry_Litterbag Placem_Collection'!O171,'Dry_Litterbag Placem_Collection'!R171),"")</f>
        <v>6.65</v>
      </c>
      <c r="AJ610" s="268">
        <f>IFERROR(AVERAGE('Dry_Litterbag Placem_Collection'!N171,'Dry_Litterbag Placem_Collection'!Q171),"")</f>
        <v>35.049999999999997</v>
      </c>
      <c r="AK610" s="267">
        <f>INDEX(Coordinates!$B$2:$B$197,MATCH(H610,Coordinates!$J$2:$J$197,0))</f>
        <v>-2.2784290180000002</v>
      </c>
      <c r="AL610" s="267">
        <f>INDEX(Coordinates!$C$2:$C$197,MATCH(H610,Coordinates!$J$2:$J$197,0))</f>
        <v>34.024240030000001</v>
      </c>
      <c r="AM610" s="267" t="str">
        <f>IF(ISNUMBER(SEARCH("C", 'Dry_Litterbag Placem_Collection'!U171)),"YES","NO")</f>
        <v>NO</v>
      </c>
      <c r="AN610" s="267" t="str">
        <f>IF(ISNUMBER(SEARCH("H", 'Dry_Litterbag Placem_Collection'!U171)),"YES","NO")</f>
        <v>NO</v>
      </c>
      <c r="AO610" s="267" t="str">
        <f>IF(ISNUMBER(SEARCH("R", 'Dry_Litterbag Placem_Collection'!U171)),"YES","NO")</f>
        <v>YES</v>
      </c>
    </row>
    <row r="611" spans="1:41" ht="15" customHeight="1">
      <c r="A611" s="259" t="s">
        <v>2643</v>
      </c>
      <c r="B611" s="260">
        <f>'Dry_Litterbag Placem_Collection'!A172</f>
        <v>170</v>
      </c>
      <c r="C611" s="260" t="str">
        <f>'Dry_Litterbag Placem_Collection'!B172</f>
        <v>Handajega</v>
      </c>
      <c r="D611" s="260" t="s">
        <v>2454</v>
      </c>
      <c r="E611" s="260" t="s">
        <v>2645</v>
      </c>
      <c r="F611" s="260">
        <v>2</v>
      </c>
      <c r="G611" s="260" t="s">
        <v>3827</v>
      </c>
      <c r="H611" s="261" t="str">
        <f>'Dry_Litterbag Placem_Collection'!C172</f>
        <v>Wet_W2_T2</v>
      </c>
      <c r="I611" s="270" t="s">
        <v>3630</v>
      </c>
      <c r="J611" s="263" t="s">
        <v>1147</v>
      </c>
      <c r="K611" s="260" t="str">
        <f>IF(ISBLANK('Dry_Litterbag Placem_Collection'!L172),"","G"&amp;""&amp;'Dry_Litterbag Placem_Collection'!L172)</f>
        <v>G515</v>
      </c>
      <c r="L611" s="264">
        <f>IFERROR(INDEX('Green_rooibos initial weight'!$C$5:$C$2000,MATCH(K611, 'Green_rooibos initial weight'!$A$5:$A$2000,0)),"")</f>
        <v>1.9890000000000001</v>
      </c>
      <c r="M611" s="264">
        <f>IFERROR(L611-(TBIcalc!$Q$9+TBIcalc!$Q$10),"")</f>
        <v>1.7392000000000001</v>
      </c>
      <c r="N611" s="385">
        <f>AVERAGE(Ashed_controlls!$K$2:$K$11)</f>
        <v>5.5147656768714146</v>
      </c>
      <c r="O611" s="264">
        <f t="shared" si="46"/>
        <v>1.6432871953478525</v>
      </c>
      <c r="P611" s="264">
        <f>IFERROR(INDEX('Both teabags AfterDry'!$D$2:$D$2000,MATCH(K611,'Both teabags AfterDry'!$A$2:$A$2000,0)),"")</f>
        <v>0.77959999999999996</v>
      </c>
      <c r="Q611" s="264">
        <f>IFERROR(IF(P611&gt;0,P611-(TBIcalc!$Q$9),""),"")</f>
        <v>0.629</v>
      </c>
      <c r="R611" s="275">
        <f>IFERROR(INDEX('Ashed teabags dry'!$K$2:$K$2000,MATCH(K611,'Ashed teabags dry'!$A$2:$A$2000,0)),"")</f>
        <v>24.595469255663417</v>
      </c>
      <c r="S611" s="275">
        <f t="shared" si="47"/>
        <v>0.47429449838187709</v>
      </c>
      <c r="T611" s="265">
        <f>IF('Dry_Litterbag Placem_Collection'!E172="","",'Dry_Litterbag Placem_Collection'!E172)</f>
        <v>42940</v>
      </c>
      <c r="U611" s="265">
        <f>IF('Dry_Litterbag Placem_Collection'!G172="","",'Dry_Litterbag Placem_Collection'!G172)</f>
        <v>43009</v>
      </c>
      <c r="V611" s="266">
        <f t="shared" si="45"/>
        <v>69</v>
      </c>
      <c r="W611" s="264">
        <f t="shared" si="48"/>
        <v>1.1102000000000001</v>
      </c>
      <c r="X611" s="264">
        <f t="shared" si="49"/>
        <v>1.1689926969659754</v>
      </c>
      <c r="Y611" s="268">
        <f>IFERROR(INDEX(Rainfall_Dry!$O$2:$O$217,MATCH(B611, Rainfall_Dry!$A$2:$A$217,0)),"")</f>
        <v>162.634207253</v>
      </c>
      <c r="Z611" s="257">
        <v>23.96</v>
      </c>
      <c r="AA611" s="257">
        <v>4.9199999999999982</v>
      </c>
      <c r="AB611" s="257">
        <v>71.12</v>
      </c>
      <c r="AC611" s="258" t="s">
        <v>2654</v>
      </c>
      <c r="AD611" s="257">
        <v>4.3091375061606696</v>
      </c>
      <c r="AE611">
        <f>IF('WetLitterbags placem_collection'!AB172="","",'WetLitterbags placem_collection'!AB172)</f>
        <v>7.7</v>
      </c>
      <c r="AF611">
        <f>IF('WetLitterbags placem_collection'!Z172="","",'WetLitterbags placem_collection'!Z172)</f>
        <v>15.8</v>
      </c>
      <c r="AG611" s="243" t="str">
        <f>IF('WetLitterbags placem_collection'!AA172="","",'WetLitterbags placem_collection'!AA172)</f>
        <v>O</v>
      </c>
      <c r="AH611">
        <f>IF('WetLitterbags placem_collection'!AC172="","",'WetLitterbags placem_collection'!AC172)</f>
        <v>1</v>
      </c>
      <c r="AI611">
        <f>IFERROR(AVERAGE('Dry_Litterbag Placem_Collection'!O172,'Dry_Litterbag Placem_Collection'!R172),"")</f>
        <v>6.1</v>
      </c>
      <c r="AJ611" s="268">
        <f>IFERROR(AVERAGE('Dry_Litterbag Placem_Collection'!N172,'Dry_Litterbag Placem_Collection'!Q172),"")</f>
        <v>33.950000000000003</v>
      </c>
      <c r="AK611" s="267">
        <f>INDEX(Coordinates!$B$2:$B$197,MATCH(H611,Coordinates!$J$2:$J$197,0))</f>
        <v>-2.2784629650000001</v>
      </c>
      <c r="AL611" s="267">
        <f>INDEX(Coordinates!$C$2:$C$197,MATCH(H611,Coordinates!$J$2:$J$197,0))</f>
        <v>34.024177999999999</v>
      </c>
      <c r="AM611" s="267" t="str">
        <f>IF(ISNUMBER(SEARCH("C", 'Dry_Litterbag Placem_Collection'!U172)),"YES","NO")</f>
        <v>NO</v>
      </c>
      <c r="AN611" s="267" t="str">
        <f>IF(ISNUMBER(SEARCH("H", 'Dry_Litterbag Placem_Collection'!U172)),"YES","NO")</f>
        <v>NO</v>
      </c>
      <c r="AO611" s="267" t="str">
        <f>IF(ISNUMBER(SEARCH("R", 'Dry_Litterbag Placem_Collection'!U172)),"YES","NO")</f>
        <v>YES</v>
      </c>
    </row>
    <row r="612" spans="1:41" ht="15" customHeight="1">
      <c r="A612" s="259" t="s">
        <v>2643</v>
      </c>
      <c r="B612" s="260">
        <f>'Dry_Litterbag Placem_Collection'!A173</f>
        <v>171</v>
      </c>
      <c r="C612" s="260" t="str">
        <f>'Dry_Litterbag Placem_Collection'!B173</f>
        <v>Handajega</v>
      </c>
      <c r="D612" s="260" t="s">
        <v>2454</v>
      </c>
      <c r="E612" s="260" t="s">
        <v>2645</v>
      </c>
      <c r="F612" s="260">
        <v>2</v>
      </c>
      <c r="G612" s="260" t="s">
        <v>3827</v>
      </c>
      <c r="H612" s="261" t="str">
        <f>'Dry_Litterbag Placem_Collection'!C173</f>
        <v>Wet_W2_T3</v>
      </c>
      <c r="I612" s="270" t="s">
        <v>3630</v>
      </c>
      <c r="J612" s="263" t="s">
        <v>1147</v>
      </c>
      <c r="K612" s="260" t="str">
        <f>IF(ISBLANK('Dry_Litterbag Placem_Collection'!L173),"","G"&amp;""&amp;'Dry_Litterbag Placem_Collection'!L173)</f>
        <v>G348</v>
      </c>
      <c r="L612" s="264">
        <f>IFERROR(INDEX('Green_rooibos initial weight'!$C$5:$C$2000,MATCH(K612, 'Green_rooibos initial weight'!$A$5:$A$2000,0)),"")</f>
        <v>2.0139999999999998</v>
      </c>
      <c r="M612" s="264">
        <f>IFERROR(L612-(TBIcalc!$Q$9+TBIcalc!$Q$10),"")</f>
        <v>1.7641999999999998</v>
      </c>
      <c r="N612" s="385">
        <f>AVERAGE(Ashed_controlls!$K$2:$K$11)</f>
        <v>5.5147656768714146</v>
      </c>
      <c r="O612" s="264">
        <f t="shared" si="46"/>
        <v>1.6669085039286342</v>
      </c>
      <c r="P612" s="264">
        <f>IFERROR(INDEX('Both teabags AfterDry'!$D$2:$D$2000,MATCH(K612,'Both teabags AfterDry'!$A$2:$A$2000,0)),"")</f>
        <v>0.69310000000000005</v>
      </c>
      <c r="Q612" s="264">
        <f>IFERROR(IF(P612&gt;0,P612-(TBIcalc!$Q$9),""),"")</f>
        <v>0.54249999999999998</v>
      </c>
      <c r="R612" s="275">
        <f>IFERROR(INDEX('Ashed teabags dry'!$K$2:$K$2000,MATCH(K612,'Ashed teabags dry'!$A$2:$A$2000,0)),"")</f>
        <v>19.412878787879041</v>
      </c>
      <c r="S612" s="275">
        <f t="shared" si="47"/>
        <v>0.4371851325757562</v>
      </c>
      <c r="T612" s="265">
        <f>IF('Dry_Litterbag Placem_Collection'!E173="","",'Dry_Litterbag Placem_Collection'!E173)</f>
        <v>42940</v>
      </c>
      <c r="U612" s="265">
        <f>IF('Dry_Litterbag Placem_Collection'!G173="","",'Dry_Litterbag Placem_Collection'!G173)</f>
        <v>43009</v>
      </c>
      <c r="V612" s="266">
        <f t="shared" si="45"/>
        <v>69</v>
      </c>
      <c r="W612" s="264">
        <f t="shared" si="48"/>
        <v>1.2216999999999998</v>
      </c>
      <c r="X612" s="264">
        <f t="shared" si="49"/>
        <v>1.2297233713528781</v>
      </c>
      <c r="Y612" s="268">
        <f>IFERROR(INDEX(Rainfall_Dry!$O$2:$O$217,MATCH(B612, Rainfall_Dry!$A$2:$A$217,0)),"")</f>
        <v>162.634207253</v>
      </c>
      <c r="Z612" s="257">
        <v>23.96</v>
      </c>
      <c r="AA612" s="257">
        <v>4.9199999999999982</v>
      </c>
      <c r="AB612" s="257">
        <v>71.12</v>
      </c>
      <c r="AC612" s="258" t="s">
        <v>2654</v>
      </c>
      <c r="AD612" s="257">
        <v>5.3091375061606696</v>
      </c>
      <c r="AE612">
        <f>IF('WetLitterbags placem_collection'!AB173="","",'WetLitterbags placem_collection'!AB173)</f>
        <v>13.4</v>
      </c>
      <c r="AF612">
        <f>IF('WetLitterbags placem_collection'!Z173="","",'WetLitterbags placem_collection'!Z173)</f>
        <v>7.6</v>
      </c>
      <c r="AG612" s="243" t="str">
        <f>IF('WetLitterbags placem_collection'!AA173="","",'WetLitterbags placem_collection'!AA173)</f>
        <v>O</v>
      </c>
      <c r="AH612">
        <f>IF('WetLitterbags placem_collection'!AC173="","",'WetLitterbags placem_collection'!AC173)</f>
        <v>1</v>
      </c>
      <c r="AI612">
        <f>IFERROR(AVERAGE('Dry_Litterbag Placem_Collection'!O173,'Dry_Litterbag Placem_Collection'!R173),"")</f>
        <v>5.6</v>
      </c>
      <c r="AJ612" s="268">
        <f>IFERROR(AVERAGE('Dry_Litterbag Placem_Collection'!N173,'Dry_Litterbag Placem_Collection'!Q173),"")</f>
        <v>33</v>
      </c>
      <c r="AK612" s="267">
        <f>INDEX(Coordinates!$B$2:$B$197,MATCH(H612,Coordinates!$J$2:$J$197,0))</f>
        <v>-2.2785389889999998</v>
      </c>
      <c r="AL612" s="267">
        <f>INDEX(Coordinates!$C$2:$C$197,MATCH(H612,Coordinates!$J$2:$J$197,0))</f>
        <v>34.024371039999998</v>
      </c>
      <c r="AM612" s="267" t="str">
        <f>IF(ISNUMBER(SEARCH("C", 'Dry_Litterbag Placem_Collection'!U173)),"YES","NO")</f>
        <v>NO</v>
      </c>
      <c r="AN612" s="267" t="str">
        <f>IF(ISNUMBER(SEARCH("H", 'Dry_Litterbag Placem_Collection'!U173)),"YES","NO")</f>
        <v>NO</v>
      </c>
      <c r="AO612" s="267" t="str">
        <f>IF(ISNUMBER(SEARCH("R", 'Dry_Litterbag Placem_Collection'!U173)),"YES","NO")</f>
        <v>YES</v>
      </c>
    </row>
    <row r="613" spans="1:41" ht="15" customHeight="1">
      <c r="A613" s="259" t="s">
        <v>2643</v>
      </c>
      <c r="B613" s="260">
        <f>'Dry_Litterbag Placem_Collection'!A174</f>
        <v>172</v>
      </c>
      <c r="C613" s="260" t="str">
        <f>'Dry_Litterbag Placem_Collection'!B174</f>
        <v>Handajega</v>
      </c>
      <c r="D613" s="260" t="s">
        <v>2454</v>
      </c>
      <c r="E613" s="260" t="s">
        <v>2645</v>
      </c>
      <c r="F613" s="260">
        <v>2</v>
      </c>
      <c r="G613" s="260" t="s">
        <v>3827</v>
      </c>
      <c r="H613" s="261" t="str">
        <f>'Dry_Litterbag Placem_Collection'!C174</f>
        <v>Wet_W2_T4</v>
      </c>
      <c r="I613" s="270" t="s">
        <v>3630</v>
      </c>
      <c r="J613" s="263" t="s">
        <v>1147</v>
      </c>
      <c r="K613" s="260" t="str">
        <f>IF(ISBLANK('Dry_Litterbag Placem_Collection'!L174),"","G"&amp;""&amp;'Dry_Litterbag Placem_Collection'!L174)</f>
        <v/>
      </c>
      <c r="L613" s="264" t="str">
        <f>IFERROR(INDEX('Green_rooibos initial weight'!$C$5:$C$2000,MATCH(K613, 'Green_rooibos initial weight'!$A$5:$A$2000,0)),"")</f>
        <v/>
      </c>
      <c r="M613" s="264" t="str">
        <f>IFERROR(L613-(TBIcalc!$Q$9+TBIcalc!$Q$10),"")</f>
        <v/>
      </c>
      <c r="N613" s="385">
        <f>AVERAGE(Ashed_controlls!$K$2:$K$11)</f>
        <v>5.5147656768714146</v>
      </c>
      <c r="O613" s="264" t="str">
        <f t="shared" si="46"/>
        <v/>
      </c>
      <c r="P613" s="264" t="str">
        <f>IFERROR(INDEX('Both teabags AfterDry'!$D$2:$D$2000,MATCH(K613,'Both teabags AfterDry'!$A$2:$A$2000,0)),"")</f>
        <v/>
      </c>
      <c r="Q613" s="264" t="str">
        <f>IFERROR(IF(P613&gt;0,P613-(TBIcalc!$Q$9),""),"")</f>
        <v/>
      </c>
      <c r="R613" s="275" t="str">
        <f>IFERROR(INDEX('Ashed teabags dry'!$K$2:$K$2000,MATCH(K613,'Ashed teabags dry'!$A$2:$A$2000,0)),"")</f>
        <v/>
      </c>
      <c r="S613" s="275" t="str">
        <f t="shared" si="47"/>
        <v/>
      </c>
      <c r="T613" s="265" t="str">
        <f>IF('Dry_Litterbag Placem_Collection'!E174="","",'Dry_Litterbag Placem_Collection'!E174)</f>
        <v/>
      </c>
      <c r="U613" s="265" t="str">
        <f>IF('Dry_Litterbag Placem_Collection'!G174="","",'Dry_Litterbag Placem_Collection'!G174)</f>
        <v/>
      </c>
      <c r="V613" s="266" t="str">
        <f t="shared" si="45"/>
        <v/>
      </c>
      <c r="W613" s="264" t="str">
        <f t="shared" si="48"/>
        <v/>
      </c>
      <c r="X613" s="264" t="str">
        <f t="shared" si="49"/>
        <v/>
      </c>
      <c r="Y613" s="268" t="str">
        <f>IFERROR(INDEX(Rainfall_Dry!$O$2:$O$217,MATCH(B613, Rainfall_Dry!$A$2:$A$217,0)),"")</f>
        <v/>
      </c>
      <c r="Z613" s="257">
        <v>23.96</v>
      </c>
      <c r="AA613" s="257">
        <v>4.9199999999999982</v>
      </c>
      <c r="AB613" s="257">
        <v>71.12</v>
      </c>
      <c r="AC613" s="258" t="s">
        <v>2654</v>
      </c>
      <c r="AD613" s="257">
        <v>6.3091375061606696</v>
      </c>
      <c r="AE613">
        <f>IF('WetLitterbags placem_collection'!AB174="","",'WetLitterbags placem_collection'!AB174)</f>
        <v>3.3</v>
      </c>
      <c r="AF613">
        <f>IF('WetLitterbags placem_collection'!Z174="","",'WetLitterbags placem_collection'!Z174)</f>
        <v>28.4</v>
      </c>
      <c r="AG613" s="243" t="str">
        <f>IF('WetLitterbags placem_collection'!AA174="","",'WetLitterbags placem_collection'!AA174)</f>
        <v>G</v>
      </c>
      <c r="AH613">
        <f>IF('WetLitterbags placem_collection'!AC174="","",'WetLitterbags placem_collection'!AC174)</f>
        <v>1</v>
      </c>
      <c r="AI613" t="str">
        <f>IFERROR(AVERAGE('Dry_Litterbag Placem_Collection'!O174,'Dry_Litterbag Placem_Collection'!R174),"")</f>
        <v/>
      </c>
      <c r="AJ613" s="268" t="str">
        <f>IFERROR(AVERAGE('Dry_Litterbag Placem_Collection'!N174,'Dry_Litterbag Placem_Collection'!Q174),"")</f>
        <v/>
      </c>
      <c r="AK613" s="267">
        <f>INDEX(Coordinates!$B$2:$B$197,MATCH(H613,Coordinates!$J$2:$J$197,0))</f>
        <v>-2.2781410160000002</v>
      </c>
      <c r="AL613" s="267">
        <f>INDEX(Coordinates!$C$2:$C$197,MATCH(H613,Coordinates!$J$2:$J$197,0))</f>
        <v>34.024136009999999</v>
      </c>
      <c r="AM613" s="267" t="str">
        <f>IF(ISNUMBER(SEARCH("C", 'Dry_Litterbag Placem_Collection'!U174)),"YES","NO")</f>
        <v>NO</v>
      </c>
      <c r="AN613" s="267" t="str">
        <f>IF(ISNUMBER(SEARCH("H", 'Dry_Litterbag Placem_Collection'!U174)),"YES","NO")</f>
        <v>NO</v>
      </c>
      <c r="AO613" s="267" t="str">
        <f>IF(ISNUMBER(SEARCH("R", 'Dry_Litterbag Placem_Collection'!U174)),"YES","NO")</f>
        <v>NO</v>
      </c>
    </row>
    <row r="614" spans="1:41" ht="15" customHeight="1">
      <c r="A614" s="259" t="s">
        <v>2643</v>
      </c>
      <c r="B614" s="260">
        <f>'Dry_Litterbag Placem_Collection'!A175</f>
        <v>173</v>
      </c>
      <c r="C614" s="260" t="str">
        <f>'Dry_Litterbag Placem_Collection'!B175</f>
        <v>Handajega</v>
      </c>
      <c r="D614" s="260" t="s">
        <v>2454</v>
      </c>
      <c r="E614" s="260" t="s">
        <v>2645</v>
      </c>
      <c r="F614" s="260">
        <v>2</v>
      </c>
      <c r="G614" s="260" t="s">
        <v>3827</v>
      </c>
      <c r="H614" s="261" t="str">
        <f>'Dry_Litterbag Placem_Collection'!C175</f>
        <v>Wet_W2_T5</v>
      </c>
      <c r="I614" s="270" t="s">
        <v>3630</v>
      </c>
      <c r="J614" s="263" t="s">
        <v>1147</v>
      </c>
      <c r="K614" s="260" t="str">
        <f>IF(ISBLANK('Dry_Litterbag Placem_Collection'!L175),"","G"&amp;""&amp;'Dry_Litterbag Placem_Collection'!L175)</f>
        <v>G307</v>
      </c>
      <c r="L614" s="264">
        <f>IFERROR(INDEX('Green_rooibos initial weight'!$C$5:$C$2000,MATCH(K614, 'Green_rooibos initial weight'!$A$5:$A$2000,0)),"")</f>
        <v>1.9810000000000001</v>
      </c>
      <c r="M614" s="264">
        <f>IFERROR(L614-(TBIcalc!$Q$9+TBIcalc!$Q$10),"")</f>
        <v>1.7312000000000001</v>
      </c>
      <c r="N614" s="385">
        <f>AVERAGE(Ashed_controlls!$K$2:$K$11)</f>
        <v>5.5147656768714146</v>
      </c>
      <c r="O614" s="264">
        <f t="shared" si="46"/>
        <v>1.6357283766020021</v>
      </c>
      <c r="P614" s="264" t="str">
        <f>IFERROR(INDEX('Both teabags AfterDry'!$D$2:$D$2000,MATCH(K614,'Both teabags AfterDry'!$A$2:$A$2000,0)),"")</f>
        <v/>
      </c>
      <c r="Q614" s="264" t="str">
        <f>IFERROR(IF(P614&gt;0,P614-(TBIcalc!$Q$9),""),"")</f>
        <v/>
      </c>
      <c r="R614" s="275" t="str">
        <f>IFERROR(INDEX('Ashed teabags dry'!$K$2:$K$2000,MATCH(K614,'Ashed teabags dry'!$A$2:$A$2000,0)),"")</f>
        <v/>
      </c>
      <c r="S614" s="275" t="str">
        <f t="shared" si="47"/>
        <v/>
      </c>
      <c r="T614" s="265">
        <f>IF('Dry_Litterbag Placem_Collection'!E175="","",'Dry_Litterbag Placem_Collection'!E175)</f>
        <v>42940</v>
      </c>
      <c r="U614" s="265">
        <f>IF('Dry_Litterbag Placem_Collection'!G175="","",'Dry_Litterbag Placem_Collection'!G175)</f>
        <v>43009</v>
      </c>
      <c r="V614" s="266">
        <f t="shared" si="45"/>
        <v>69</v>
      </c>
      <c r="W614" s="264" t="str">
        <f t="shared" si="48"/>
        <v/>
      </c>
      <c r="X614" s="264" t="str">
        <f t="shared" si="49"/>
        <v/>
      </c>
      <c r="Y614" s="268">
        <f>IFERROR(INDEX(Rainfall_Dry!$O$2:$O$217,MATCH(B614, Rainfall_Dry!$A$2:$A$217,0)),"")</f>
        <v>162.634207253</v>
      </c>
      <c r="Z614" s="257">
        <v>23.96</v>
      </c>
      <c r="AA614" s="257">
        <v>4.9199999999999982</v>
      </c>
      <c r="AB614" s="257">
        <v>71.12</v>
      </c>
      <c r="AC614" s="258" t="s">
        <v>2654</v>
      </c>
      <c r="AD614" s="257">
        <v>7.3091375061606696</v>
      </c>
      <c r="AE614">
        <f>IF('WetLitterbags placem_collection'!AB175="","",'WetLitterbags placem_collection'!AB175)</f>
        <v>15.4</v>
      </c>
      <c r="AF614">
        <f>IF('WetLitterbags placem_collection'!Z175="","",'WetLitterbags placem_collection'!Z175)</f>
        <v>12.4</v>
      </c>
      <c r="AG614" s="243" t="str">
        <f>IF('WetLitterbags placem_collection'!AA175="","",'WetLitterbags placem_collection'!AA175)</f>
        <v>O</v>
      </c>
      <c r="AH614">
        <f>IF('WetLitterbags placem_collection'!AC175="","",'WetLitterbags placem_collection'!AC175)</f>
        <v>0</v>
      </c>
      <c r="AI614">
        <f>IFERROR(AVERAGE('Dry_Litterbag Placem_Collection'!O175,'Dry_Litterbag Placem_Collection'!R175),"")</f>
        <v>6.3</v>
      </c>
      <c r="AJ614" s="268">
        <f>IFERROR(AVERAGE('Dry_Litterbag Placem_Collection'!N175,'Dry_Litterbag Placem_Collection'!Q175),"")</f>
        <v>34.049999999999997</v>
      </c>
      <c r="AK614" s="267">
        <f>INDEX(Coordinates!$B$2:$B$197,MATCH(H614,Coordinates!$J$2:$J$197,0))</f>
        <v>-2.27856799</v>
      </c>
      <c r="AL614" s="267">
        <f>INDEX(Coordinates!$C$2:$C$197,MATCH(H614,Coordinates!$J$2:$J$197,0))</f>
        <v>34.023969970000003</v>
      </c>
      <c r="AM614" s="267" t="str">
        <f>IF(ISNUMBER(SEARCH("C", 'Dry_Litterbag Placem_Collection'!U175)),"YES","NO")</f>
        <v>NO</v>
      </c>
      <c r="AN614" s="267" t="str">
        <f>IF(ISNUMBER(SEARCH("H", 'Dry_Litterbag Placem_Collection'!U175)),"YES","NO")</f>
        <v>NO</v>
      </c>
      <c r="AO614" s="267" t="str">
        <f>IF(ISNUMBER(SEARCH("R", 'Dry_Litterbag Placem_Collection'!U175)),"YES","NO")</f>
        <v>NO</v>
      </c>
    </row>
    <row r="615" spans="1:41" ht="15" customHeight="1">
      <c r="A615" s="259" t="s">
        <v>2643</v>
      </c>
      <c r="B615" s="260">
        <f>'Dry_Litterbag Placem_Collection'!A176</f>
        <v>174</v>
      </c>
      <c r="C615" s="260" t="str">
        <f>'Dry_Litterbag Placem_Collection'!B176</f>
        <v>Handajega</v>
      </c>
      <c r="D615" s="260" t="s">
        <v>2454</v>
      </c>
      <c r="E615" s="260" t="s">
        <v>2645</v>
      </c>
      <c r="F615" s="260">
        <v>2</v>
      </c>
      <c r="G615" s="260" t="s">
        <v>3827</v>
      </c>
      <c r="H615" s="261" t="str">
        <f>'Dry_Litterbag Placem_Collection'!C176</f>
        <v>Wet_W2_T6</v>
      </c>
      <c r="I615" s="270" t="s">
        <v>3630</v>
      </c>
      <c r="J615" s="263" t="s">
        <v>1147</v>
      </c>
      <c r="K615" s="260" t="str">
        <f>IF(ISBLANK('Dry_Litterbag Placem_Collection'!L176),"","G"&amp;""&amp;'Dry_Litterbag Placem_Collection'!L176)</f>
        <v>G155</v>
      </c>
      <c r="L615" s="264">
        <f>IFERROR(INDEX('Green_rooibos initial weight'!$C$5:$C$2000,MATCH(K615, 'Green_rooibos initial weight'!$A$5:$A$2000,0)),"")</f>
        <v>2.0379999999999998</v>
      </c>
      <c r="M615" s="264">
        <f>IFERROR(L615-(TBIcalc!$Q$9+TBIcalc!$Q$10),"")</f>
        <v>1.7881999999999998</v>
      </c>
      <c r="N615" s="385">
        <f>AVERAGE(Ashed_controlls!$K$2:$K$11)</f>
        <v>5.5147656768714146</v>
      </c>
      <c r="O615" s="264">
        <f t="shared" si="46"/>
        <v>1.6895849601661852</v>
      </c>
      <c r="P615" s="264">
        <f>IFERROR(INDEX('Both teabags AfterDry'!$D$2:$D$2000,MATCH(K615,'Both teabags AfterDry'!$A$2:$A$2000,0)),"")</f>
        <v>0.78239999999999998</v>
      </c>
      <c r="Q615" s="264">
        <f>IFERROR(IF(P615&gt;0,P615-(TBIcalc!$Q$9),""),"")</f>
        <v>0.63179999999999992</v>
      </c>
      <c r="R615" s="275">
        <f>IFERROR(INDEX('Ashed teabags dry'!$K$2:$K$2000,MATCH(K615,'Ashed teabags dry'!$A$2:$A$2000,0)),"")</f>
        <v>23.40527577937609</v>
      </c>
      <c r="S615" s="275">
        <f t="shared" si="47"/>
        <v>0.48392546762590183</v>
      </c>
      <c r="T615" s="265">
        <f>IF('Dry_Litterbag Placem_Collection'!E176="","",'Dry_Litterbag Placem_Collection'!E176)</f>
        <v>42940</v>
      </c>
      <c r="U615" s="265">
        <f>IF('Dry_Litterbag Placem_Collection'!G176="","",'Dry_Litterbag Placem_Collection'!G176)</f>
        <v>43009</v>
      </c>
      <c r="V615" s="266">
        <f t="shared" si="45"/>
        <v>69</v>
      </c>
      <c r="W615" s="264">
        <f t="shared" si="48"/>
        <v>1.1563999999999999</v>
      </c>
      <c r="X615" s="264">
        <f t="shared" si="49"/>
        <v>1.2056594925402835</v>
      </c>
      <c r="Y615" s="268">
        <f>IFERROR(INDEX(Rainfall_Dry!$O$2:$O$217,MATCH(B615, Rainfall_Dry!$A$2:$A$217,0)),"")</f>
        <v>162.634207253</v>
      </c>
      <c r="Z615" s="257">
        <v>23.96</v>
      </c>
      <c r="AA615" s="257">
        <v>4.9199999999999982</v>
      </c>
      <c r="AB615" s="257">
        <v>71.12</v>
      </c>
      <c r="AC615" s="258" t="s">
        <v>2654</v>
      </c>
      <c r="AD615" s="257">
        <v>8.3091375061606705</v>
      </c>
      <c r="AE615">
        <f>IF('WetLitterbags placem_collection'!AB176="","",'WetLitterbags placem_collection'!AB176)</f>
        <v>7.4</v>
      </c>
      <c r="AF615">
        <f>IF('WetLitterbags placem_collection'!Z176="","",'WetLitterbags placem_collection'!Z176)</f>
        <v>7.4</v>
      </c>
      <c r="AG615" s="243" t="str">
        <f>IF('WetLitterbags placem_collection'!AA176="","",'WetLitterbags placem_collection'!AA176)</f>
        <v>O</v>
      </c>
      <c r="AH615">
        <f>IF('WetLitterbags placem_collection'!AC176="","",'WetLitterbags placem_collection'!AC176)</f>
        <v>0</v>
      </c>
      <c r="AI615">
        <f>IFERROR(AVERAGE('Dry_Litterbag Placem_Collection'!O176,'Dry_Litterbag Placem_Collection'!R176),"")</f>
        <v>5.9</v>
      </c>
      <c r="AJ615" s="268">
        <f>IFERROR(AVERAGE('Dry_Litterbag Placem_Collection'!N176,'Dry_Litterbag Placem_Collection'!Q176),"")</f>
        <v>33.200000000000003</v>
      </c>
      <c r="AK615" s="267">
        <f>INDEX(Coordinates!$B$2:$B$197,MATCH(H615,Coordinates!$J$2:$J$197,0))</f>
        <v>-2.2786809780000001</v>
      </c>
      <c r="AL615" s="267">
        <f>INDEX(Coordinates!$C$2:$C$197,MATCH(H615,Coordinates!$J$2:$J$197,0))</f>
        <v>34.02434899</v>
      </c>
      <c r="AM615" s="267" t="str">
        <f>IF(ISNUMBER(SEARCH("C", 'Dry_Litterbag Placem_Collection'!U176)),"YES","NO")</f>
        <v>NO</v>
      </c>
      <c r="AN615" s="267" t="str">
        <f>IF(ISNUMBER(SEARCH("H", 'Dry_Litterbag Placem_Collection'!U176)),"YES","NO")</f>
        <v>NO</v>
      </c>
      <c r="AO615" s="267" t="str">
        <f>IF(ISNUMBER(SEARCH("R", 'Dry_Litterbag Placem_Collection'!U176)),"YES","NO")</f>
        <v>NO</v>
      </c>
    </row>
    <row r="616" spans="1:41" ht="15" customHeight="1">
      <c r="A616" s="259" t="s">
        <v>2643</v>
      </c>
      <c r="B616" s="260">
        <f>'Dry_Litterbag Placem_Collection'!A177</f>
        <v>175</v>
      </c>
      <c r="C616" s="260" t="str">
        <f>'Dry_Litterbag Placem_Collection'!B177</f>
        <v>Handajega</v>
      </c>
      <c r="D616" s="260" t="s">
        <v>2454</v>
      </c>
      <c r="E616" s="260" t="s">
        <v>2645</v>
      </c>
      <c r="F616" s="260">
        <v>2</v>
      </c>
      <c r="G616" s="260" t="s">
        <v>3827</v>
      </c>
      <c r="H616" s="261" t="str">
        <f>'Dry_Litterbag Placem_Collection'!C177</f>
        <v>Wet_W2_T7</v>
      </c>
      <c r="I616" s="270" t="s">
        <v>3630</v>
      </c>
      <c r="J616" s="263" t="s">
        <v>1147</v>
      </c>
      <c r="K616" s="260" t="str">
        <f>IF(ISBLANK('Dry_Litterbag Placem_Collection'!L177),"","G"&amp;""&amp;'Dry_Litterbag Placem_Collection'!L177)</f>
        <v>G719</v>
      </c>
      <c r="L616" s="264">
        <f>IFERROR(INDEX('Green_rooibos initial weight'!$C$5:$C$2000,MATCH(K616, 'Green_rooibos initial weight'!$A$5:$A$2000,0)),"")</f>
        <v>2.02</v>
      </c>
      <c r="M616" s="264">
        <f>IFERROR(L616-(TBIcalc!$Q$9+TBIcalc!$Q$10),"")</f>
        <v>1.7702</v>
      </c>
      <c r="N616" s="385">
        <f>AVERAGE(Ashed_controlls!$K$2:$K$11)</f>
        <v>5.5147656768714146</v>
      </c>
      <c r="O616" s="264">
        <f t="shared" si="46"/>
        <v>1.6725776179880223</v>
      </c>
      <c r="P616" s="264">
        <f>IFERROR(INDEX('Both teabags AfterDry'!$D$2:$D$2000,MATCH(K616,'Both teabags AfterDry'!$A$2:$A$2000,0)),"")</f>
        <v>0.80269999999999997</v>
      </c>
      <c r="Q616" s="264">
        <f>IFERROR(IF(P616&gt;0,P616-(TBIcalc!$Q$9),""),"")</f>
        <v>0.6520999999999999</v>
      </c>
      <c r="R616" s="275">
        <f>IFERROR(INDEX('Ashed teabags dry'!$K$2:$K$2000,MATCH(K616,'Ashed teabags dry'!$A$2:$A$2000,0)),"")</f>
        <v>20.371275036638856</v>
      </c>
      <c r="S616" s="275">
        <f t="shared" si="47"/>
        <v>0.51925891548607794</v>
      </c>
      <c r="T616" s="265">
        <f>IF('Dry_Litterbag Placem_Collection'!E177="","",'Dry_Litterbag Placem_Collection'!E177)</f>
        <v>42940</v>
      </c>
      <c r="U616" s="265">
        <f>IF('Dry_Litterbag Placem_Collection'!G177="","",'Dry_Litterbag Placem_Collection'!G177)</f>
        <v>43009</v>
      </c>
      <c r="V616" s="266">
        <f t="shared" si="45"/>
        <v>69</v>
      </c>
      <c r="W616" s="264">
        <f t="shared" si="48"/>
        <v>1.1181000000000001</v>
      </c>
      <c r="X616" s="264">
        <f t="shared" si="49"/>
        <v>1.1533187025019442</v>
      </c>
      <c r="Y616" s="268">
        <f>IFERROR(INDEX(Rainfall_Dry!$O$2:$O$217,MATCH(B616, Rainfall_Dry!$A$2:$A$217,0)),"")</f>
        <v>162.634207253</v>
      </c>
      <c r="Z616" s="257">
        <v>23.96</v>
      </c>
      <c r="AA616" s="257">
        <v>4.9199999999999982</v>
      </c>
      <c r="AB616" s="257">
        <v>71.12</v>
      </c>
      <c r="AC616" s="258" t="s">
        <v>2654</v>
      </c>
      <c r="AD616" s="257">
        <v>9.3091375061606705</v>
      </c>
      <c r="AE616">
        <f>IF('WetLitterbags placem_collection'!AB177="","",'WetLitterbags placem_collection'!AB177)</f>
        <v>15.4</v>
      </c>
      <c r="AF616">
        <f>IF('WetLitterbags placem_collection'!Z177="","",'WetLitterbags placem_collection'!Z177)</f>
        <v>9.8000000000000007</v>
      </c>
      <c r="AG616" s="243" t="str">
        <f>IF('WetLitterbags placem_collection'!AA177="","",'WetLitterbags placem_collection'!AA177)</f>
        <v>O</v>
      </c>
      <c r="AH616">
        <f>IF('WetLitterbags placem_collection'!AC177="","",'WetLitterbags placem_collection'!AC177)</f>
        <v>1</v>
      </c>
      <c r="AI616">
        <f>IFERROR(AVERAGE('Dry_Litterbag Placem_Collection'!O177,'Dry_Litterbag Placem_Collection'!R177),"")</f>
        <v>5.9499999999999993</v>
      </c>
      <c r="AJ616" s="268">
        <f>IFERROR(AVERAGE('Dry_Litterbag Placem_Collection'!N177,'Dry_Litterbag Placem_Collection'!Q177),"")</f>
        <v>34.049999999999997</v>
      </c>
      <c r="AK616" s="267">
        <f>INDEX(Coordinates!$B$2:$B$197,MATCH(H616,Coordinates!$J$2:$J$197,0))</f>
        <v>-2.2784219779999999</v>
      </c>
      <c r="AL616" s="267">
        <f>INDEX(Coordinates!$C$2:$C$197,MATCH(H616,Coordinates!$J$2:$J$197,0))</f>
        <v>34.024374979999997</v>
      </c>
      <c r="AM616" s="267" t="str">
        <f>IF(ISNUMBER(SEARCH("C", 'Dry_Litterbag Placem_Collection'!U177)),"YES","NO")</f>
        <v>NO</v>
      </c>
      <c r="AN616" s="267" t="str">
        <f>IF(ISNUMBER(SEARCH("H", 'Dry_Litterbag Placem_Collection'!U177)),"YES","NO")</f>
        <v>NO</v>
      </c>
      <c r="AO616" s="267" t="str">
        <f>IF(ISNUMBER(SEARCH("R", 'Dry_Litterbag Placem_Collection'!U177)),"YES","NO")</f>
        <v>NO</v>
      </c>
    </row>
    <row r="617" spans="1:41" ht="15" customHeight="1">
      <c r="A617" s="259" t="s">
        <v>2643</v>
      </c>
      <c r="B617" s="260">
        <f>'Dry_Litterbag Placem_Collection'!A178</f>
        <v>176</v>
      </c>
      <c r="C617" s="260" t="str">
        <f>'Dry_Litterbag Placem_Collection'!B178</f>
        <v>Handajega</v>
      </c>
      <c r="D617" s="260" t="s">
        <v>2454</v>
      </c>
      <c r="E617" s="260" t="s">
        <v>2645</v>
      </c>
      <c r="F617" s="260">
        <v>2</v>
      </c>
      <c r="G617" s="260" t="s">
        <v>3827</v>
      </c>
      <c r="H617" s="261" t="str">
        <f>'Dry_Litterbag Placem_Collection'!C178</f>
        <v>Wet_W2_T8</v>
      </c>
      <c r="I617" s="270" t="s">
        <v>3630</v>
      </c>
      <c r="J617" s="263" t="s">
        <v>1147</v>
      </c>
      <c r="K617" s="260" t="str">
        <f>IF(ISBLANK('Dry_Litterbag Placem_Collection'!L178),"","G"&amp;""&amp;'Dry_Litterbag Placem_Collection'!L178)</f>
        <v>G323</v>
      </c>
      <c r="L617" s="264">
        <f>IFERROR(INDEX('Green_rooibos initial weight'!$C$5:$C$2000,MATCH(K617, 'Green_rooibos initial weight'!$A$5:$A$2000,0)),"")</f>
        <v>1.97</v>
      </c>
      <c r="M617" s="264">
        <f>IFERROR(L617-(TBIcalc!$Q$9+TBIcalc!$Q$10),"")</f>
        <v>1.7202</v>
      </c>
      <c r="N617" s="385">
        <f>AVERAGE(Ashed_controlls!$K$2:$K$11)</f>
        <v>5.5147656768714146</v>
      </c>
      <c r="O617" s="264">
        <f t="shared" si="46"/>
        <v>1.6253350008264578</v>
      </c>
      <c r="P617" s="264">
        <f>IFERROR(INDEX('Both teabags AfterDry'!$D$2:$D$2000,MATCH(K617,'Both teabags AfterDry'!$A$2:$A$2000,0)),"")</f>
        <v>0.74829999999999997</v>
      </c>
      <c r="Q617" s="264">
        <f>IFERROR(IF(P617&gt;0,P617-(TBIcalc!$Q$9),""),"")</f>
        <v>0.5976999999999999</v>
      </c>
      <c r="R617" s="275">
        <f>IFERROR(INDEX('Ashed teabags dry'!$K$2:$K$2000,MATCH(K617,'Ashed teabags dry'!$A$2:$A$2000,0)),"")</f>
        <v>19.55361475012176</v>
      </c>
      <c r="S617" s="275">
        <f t="shared" si="47"/>
        <v>0.48082804463852213</v>
      </c>
      <c r="T617" s="265">
        <f>IF('Dry_Litterbag Placem_Collection'!E178="","",'Dry_Litterbag Placem_Collection'!E178)</f>
        <v>42940</v>
      </c>
      <c r="U617" s="265">
        <f>IF('Dry_Litterbag Placem_Collection'!G178="","",'Dry_Litterbag Placem_Collection'!G178)</f>
        <v>43009</v>
      </c>
      <c r="V617" s="266">
        <f t="shared" si="45"/>
        <v>69</v>
      </c>
      <c r="W617" s="264">
        <f t="shared" si="48"/>
        <v>1.1225000000000001</v>
      </c>
      <c r="X617" s="264">
        <f t="shared" si="49"/>
        <v>1.1445069561879357</v>
      </c>
      <c r="Y617" s="268">
        <f>IFERROR(INDEX(Rainfall_Dry!$O$2:$O$217,MATCH(B617, Rainfall_Dry!$A$2:$A$217,0)),"")</f>
        <v>162.634207253</v>
      </c>
      <c r="Z617" s="257">
        <v>23.96</v>
      </c>
      <c r="AA617" s="257">
        <v>4.9199999999999982</v>
      </c>
      <c r="AB617" s="257">
        <v>71.12</v>
      </c>
      <c r="AC617" s="258" t="s">
        <v>2654</v>
      </c>
      <c r="AD617" s="257">
        <v>10.309137506160701</v>
      </c>
      <c r="AE617">
        <f>IF('WetLitterbags placem_collection'!AB178="","",'WetLitterbags placem_collection'!AB178)</f>
        <v>6.8</v>
      </c>
      <c r="AF617">
        <f>IF('WetLitterbags placem_collection'!Z178="","",'WetLitterbags placem_collection'!Z178)</f>
        <v>6.9</v>
      </c>
      <c r="AG617" s="243" t="str">
        <f>IF('WetLitterbags placem_collection'!AA178="","",'WetLitterbags placem_collection'!AA178)</f>
        <v>O</v>
      </c>
      <c r="AH617">
        <f>IF('WetLitterbags placem_collection'!AC178="","",'WetLitterbags placem_collection'!AC178)</f>
        <v>0</v>
      </c>
      <c r="AI617">
        <f>IFERROR(AVERAGE('Dry_Litterbag Placem_Collection'!O178,'Dry_Litterbag Placem_Collection'!R178),"")</f>
        <v>4.5999999999999996</v>
      </c>
      <c r="AJ617" s="268">
        <f>IFERROR(AVERAGE('Dry_Litterbag Placem_Collection'!N178,'Dry_Litterbag Placem_Collection'!Q178),"")</f>
        <v>34.5</v>
      </c>
      <c r="AK617" s="267">
        <f>INDEX(Coordinates!$B$2:$B$197,MATCH(H617,Coordinates!$J$2:$J$197,0))</f>
        <v>-2.2782909679999999</v>
      </c>
      <c r="AL617" s="267">
        <f>INDEX(Coordinates!$C$2:$C$197,MATCH(H617,Coordinates!$J$2:$J$197,0))</f>
        <v>34.024574970000003</v>
      </c>
      <c r="AM617" s="267" t="str">
        <f>IF(ISNUMBER(SEARCH("C", 'Dry_Litterbag Placem_Collection'!U178)),"YES","NO")</f>
        <v>NO</v>
      </c>
      <c r="AN617" s="267" t="str">
        <f>IF(ISNUMBER(SEARCH("H", 'Dry_Litterbag Placem_Collection'!U178)),"YES","NO")</f>
        <v>NO</v>
      </c>
      <c r="AO617" s="267" t="str">
        <f>IF(ISNUMBER(SEARCH("R", 'Dry_Litterbag Placem_Collection'!U178)),"YES","NO")</f>
        <v>YES</v>
      </c>
    </row>
    <row r="618" spans="1:41" ht="15" customHeight="1">
      <c r="A618" s="259" t="s">
        <v>2643</v>
      </c>
      <c r="B618" s="260">
        <f>'Dry_Litterbag Placem_Collection'!A179</f>
        <v>177</v>
      </c>
      <c r="C618" s="260" t="str">
        <f>'Dry_Litterbag Placem_Collection'!B179</f>
        <v>Handajega</v>
      </c>
      <c r="D618" s="260" t="s">
        <v>2454</v>
      </c>
      <c r="E618" s="260" t="s">
        <v>2645</v>
      </c>
      <c r="F618" s="260">
        <v>3</v>
      </c>
      <c r="G618" s="260" t="s">
        <v>3828</v>
      </c>
      <c r="H618" s="261" t="str">
        <f>'Dry_Litterbag Placem_Collection'!C179</f>
        <v>Wet_W3_T1</v>
      </c>
      <c r="I618" s="270" t="s">
        <v>3630</v>
      </c>
      <c r="J618" s="263" t="s">
        <v>1147</v>
      </c>
      <c r="K618" s="260" t="str">
        <f>IF(ISBLANK('Dry_Litterbag Placem_Collection'!L179),"","G"&amp;""&amp;'Dry_Litterbag Placem_Collection'!L179)</f>
        <v>G14</v>
      </c>
      <c r="L618" s="264">
        <f>IFERROR(INDEX('Green_rooibos initial weight'!$C$5:$C$2000,MATCH(K618, 'Green_rooibos initial weight'!$A$5:$A$2000,0)),"")</f>
        <v>2.0750000000000002</v>
      </c>
      <c r="M618" s="264">
        <f>IFERROR(L618-(TBIcalc!$Q$9+TBIcalc!$Q$10),"")</f>
        <v>1.8252000000000002</v>
      </c>
      <c r="N618" s="385">
        <f>AVERAGE(Ashed_controlls!$K$2:$K$11)</f>
        <v>5.5147656768714146</v>
      </c>
      <c r="O618" s="264">
        <f t="shared" si="46"/>
        <v>1.7245444968657431</v>
      </c>
      <c r="P618" s="264" t="str">
        <f>IFERROR(INDEX('Both teabags AfterDry'!$D$2:$D$2000,MATCH(K618,'Both teabags AfterDry'!$A$2:$A$2000,0)),"")</f>
        <v/>
      </c>
      <c r="Q618" s="264" t="str">
        <f>IFERROR(IF(P618&gt;0,P618-(TBIcalc!$Q$9),""),"")</f>
        <v/>
      </c>
      <c r="R618" s="275" t="str">
        <f>IFERROR(INDEX('Ashed teabags dry'!$K$2:$K$2000,MATCH(K618,'Ashed teabags dry'!$A$2:$A$2000,0)),"")</f>
        <v/>
      </c>
      <c r="S618" s="275" t="str">
        <f t="shared" si="47"/>
        <v/>
      </c>
      <c r="T618" s="265">
        <f>IF('Dry_Litterbag Placem_Collection'!E179="","",'Dry_Litterbag Placem_Collection'!E179)</f>
        <v>42940</v>
      </c>
      <c r="U618" s="265">
        <f>IF('Dry_Litterbag Placem_Collection'!G179="","",'Dry_Litterbag Placem_Collection'!G179)</f>
        <v>43009</v>
      </c>
      <c r="V618" s="266">
        <f t="shared" si="45"/>
        <v>69</v>
      </c>
      <c r="W618" s="264" t="str">
        <f t="shared" si="48"/>
        <v/>
      </c>
      <c r="X618" s="264" t="str">
        <f t="shared" si="49"/>
        <v/>
      </c>
      <c r="Y618" s="268">
        <f>IFERROR(INDEX(Rainfall_Dry!$O$2:$O$217,MATCH(B618, Rainfall_Dry!$A$2:$A$217,0)),"")</f>
        <v>162.634207253</v>
      </c>
      <c r="Z618" s="257">
        <v>25.96</v>
      </c>
      <c r="AA618" s="257">
        <v>8.9200000000000017</v>
      </c>
      <c r="AB618" s="257">
        <v>65.12</v>
      </c>
      <c r="AC618" s="258" t="s">
        <v>2654</v>
      </c>
      <c r="AD618" s="257">
        <v>1.614588467225234</v>
      </c>
      <c r="AE618">
        <f>IF('WetLitterbags placem_collection'!AB179="","",'WetLitterbags placem_collection'!AB179)</f>
        <v>17.8</v>
      </c>
      <c r="AF618">
        <f>IF('WetLitterbags placem_collection'!Z179="","",'WetLitterbags placem_collection'!Z179)</f>
        <v>25.8</v>
      </c>
      <c r="AG618" s="243" t="str">
        <f>IF('WetLitterbags placem_collection'!AA179="","",'WetLitterbags placem_collection'!AA179)</f>
        <v>O</v>
      </c>
      <c r="AH618">
        <f>IF('WetLitterbags placem_collection'!AC179="","",'WetLitterbags placem_collection'!AC179)</f>
        <v>0</v>
      </c>
      <c r="AI618">
        <f>IFERROR(AVERAGE('Dry_Litterbag Placem_Collection'!O179,'Dry_Litterbag Placem_Collection'!R179),"")</f>
        <v>4.6999999999999993</v>
      </c>
      <c r="AJ618" s="268">
        <f>IFERROR(AVERAGE('Dry_Litterbag Placem_Collection'!N179,'Dry_Litterbag Placem_Collection'!Q179),"")</f>
        <v>34.150000000000006</v>
      </c>
      <c r="AK618" s="267">
        <f>INDEX(Coordinates!$B$2:$B$197,MATCH(H618,Coordinates!$J$2:$J$197,0))</f>
        <v>-2.277740026</v>
      </c>
      <c r="AL618" s="267">
        <f>INDEX(Coordinates!$C$2:$C$197,MATCH(H618,Coordinates!$J$2:$J$197,0))</f>
        <v>34.027640990000002</v>
      </c>
      <c r="AM618" s="267" t="str">
        <f>IF(ISNUMBER(SEARCH("C", 'Dry_Litterbag Placem_Collection'!U179)),"YES","NO")</f>
        <v>NO</v>
      </c>
      <c r="AN618" s="267" t="str">
        <f>IF(ISNUMBER(SEARCH("H", 'Dry_Litterbag Placem_Collection'!U179)),"YES","NO")</f>
        <v>NO</v>
      </c>
      <c r="AO618" s="267" t="str">
        <f>IF(ISNUMBER(SEARCH("R", 'Dry_Litterbag Placem_Collection'!U179)),"YES","NO")</f>
        <v>NO</v>
      </c>
    </row>
    <row r="619" spans="1:41" ht="15" customHeight="1">
      <c r="A619" s="259" t="s">
        <v>2643</v>
      </c>
      <c r="B619" s="260">
        <f>'Dry_Litterbag Placem_Collection'!A180</f>
        <v>178</v>
      </c>
      <c r="C619" s="260" t="str">
        <f>'Dry_Litterbag Placem_Collection'!B180</f>
        <v>Handajega</v>
      </c>
      <c r="D619" s="260" t="s">
        <v>2454</v>
      </c>
      <c r="E619" s="260" t="s">
        <v>2645</v>
      </c>
      <c r="F619" s="260">
        <v>3</v>
      </c>
      <c r="G619" s="260" t="s">
        <v>3828</v>
      </c>
      <c r="H619" s="261" t="str">
        <f>'Dry_Litterbag Placem_Collection'!C180</f>
        <v>Wet_W3_T2</v>
      </c>
      <c r="I619" s="270" t="s">
        <v>3630</v>
      </c>
      <c r="J619" s="263" t="s">
        <v>1147</v>
      </c>
      <c r="K619" s="260" t="str">
        <f>IF(ISBLANK('Dry_Litterbag Placem_Collection'!L180),"","G"&amp;""&amp;'Dry_Litterbag Placem_Collection'!L180)</f>
        <v>G410</v>
      </c>
      <c r="L619" s="264">
        <f>IFERROR(INDEX('Green_rooibos initial weight'!$C$5:$C$2000,MATCH(K619, 'Green_rooibos initial weight'!$A$5:$A$2000,0)),"")</f>
        <v>2.1110000000000002</v>
      </c>
      <c r="M619" s="264">
        <f>IFERROR(L619-(TBIcalc!$Q$9+TBIcalc!$Q$10),"")</f>
        <v>1.8612000000000002</v>
      </c>
      <c r="N619" s="385">
        <f>AVERAGE(Ashed_controlls!$K$2:$K$11)</f>
        <v>5.5147656768714146</v>
      </c>
      <c r="O619" s="264">
        <f t="shared" si="46"/>
        <v>1.7585591812220693</v>
      </c>
      <c r="P619" s="264">
        <f>IFERROR(INDEX('Both teabags AfterDry'!$D$2:$D$2000,MATCH(K619,'Both teabags AfterDry'!$A$2:$A$2000,0)),"")</f>
        <v>0.71050000000000002</v>
      </c>
      <c r="Q619" s="264">
        <f>IFERROR(IF(P619&gt;0,P619-(TBIcalc!$Q$9),""),"")</f>
        <v>0.55990000000000006</v>
      </c>
      <c r="R619" s="275">
        <f>IFERROR(INDEX('Ashed teabags dry'!$K$2:$K$2000,MATCH(K619,'Ashed teabags dry'!$A$2:$A$2000,0)),"")</f>
        <v>18.892185954499759</v>
      </c>
      <c r="S619" s="275">
        <f t="shared" si="47"/>
        <v>0.45412265084075587</v>
      </c>
      <c r="T619" s="265">
        <f>IF('Dry_Litterbag Placem_Collection'!E180="","",'Dry_Litterbag Placem_Collection'!E180)</f>
        <v>42940</v>
      </c>
      <c r="U619" s="265">
        <f>IF('Dry_Litterbag Placem_Collection'!G180="","",'Dry_Litterbag Placem_Collection'!G180)</f>
        <v>43009</v>
      </c>
      <c r="V619" s="266">
        <f t="shared" si="45"/>
        <v>69</v>
      </c>
      <c r="W619" s="264">
        <f t="shared" si="48"/>
        <v>1.3013000000000001</v>
      </c>
      <c r="X619" s="264">
        <f t="shared" si="49"/>
        <v>1.3044365303813135</v>
      </c>
      <c r="Y619" s="268">
        <f>IFERROR(INDEX(Rainfall_Dry!$O$2:$O$217,MATCH(B619, Rainfall_Dry!$A$2:$A$217,0)),"")</f>
        <v>162.634207253</v>
      </c>
      <c r="Z619" s="257">
        <v>25.96</v>
      </c>
      <c r="AA619" s="257">
        <v>8.9200000000000017</v>
      </c>
      <c r="AB619" s="257">
        <v>65.12</v>
      </c>
      <c r="AC619" s="258" t="s">
        <v>2654</v>
      </c>
      <c r="AD619" s="257">
        <v>2.61458846722523</v>
      </c>
      <c r="AE619">
        <f>IF('WetLitterbags placem_collection'!AB180="","",'WetLitterbags placem_collection'!AB180)</f>
        <v>15.4</v>
      </c>
      <c r="AF619">
        <f>IF('WetLitterbags placem_collection'!Z180="","",'WetLitterbags placem_collection'!Z180)</f>
        <v>18.8</v>
      </c>
      <c r="AG619" s="243" t="str">
        <f>IF('WetLitterbags placem_collection'!AA180="","",'WetLitterbags placem_collection'!AA180)</f>
        <v>O</v>
      </c>
      <c r="AH619">
        <f>IF('WetLitterbags placem_collection'!AC180="","",'WetLitterbags placem_collection'!AC180)</f>
        <v>1</v>
      </c>
      <c r="AI619">
        <f>IFERROR(AVERAGE('Dry_Litterbag Placem_Collection'!O180,'Dry_Litterbag Placem_Collection'!R180),"")</f>
        <v>4.5</v>
      </c>
      <c r="AJ619" s="268">
        <f>IFERROR(AVERAGE('Dry_Litterbag Placem_Collection'!N180,'Dry_Litterbag Placem_Collection'!Q180),"")</f>
        <v>35.799999999999997</v>
      </c>
      <c r="AK619" s="267">
        <f>INDEX(Coordinates!$B$2:$B$197,MATCH(H619,Coordinates!$J$2:$J$197,0))</f>
        <v>-2.2777889760000001</v>
      </c>
      <c r="AL619" s="267">
        <f>INDEX(Coordinates!$C$2:$C$197,MATCH(H619,Coordinates!$J$2:$J$197,0))</f>
        <v>34.027664960000003</v>
      </c>
      <c r="AM619" s="267" t="str">
        <f>IF(ISNUMBER(SEARCH("C", 'Dry_Litterbag Placem_Collection'!U180)),"YES","NO")</f>
        <v>NO</v>
      </c>
      <c r="AN619" s="267" t="str">
        <f>IF(ISNUMBER(SEARCH("H", 'Dry_Litterbag Placem_Collection'!U180)),"YES","NO")</f>
        <v>NO</v>
      </c>
      <c r="AO619" s="267" t="str">
        <f>IF(ISNUMBER(SEARCH("R", 'Dry_Litterbag Placem_Collection'!U180)),"YES","NO")</f>
        <v>NO</v>
      </c>
    </row>
    <row r="620" spans="1:41" ht="15" customHeight="1">
      <c r="A620" s="259" t="s">
        <v>2643</v>
      </c>
      <c r="B620" s="260">
        <f>'Dry_Litterbag Placem_Collection'!A181</f>
        <v>179</v>
      </c>
      <c r="C620" s="260" t="str">
        <f>'Dry_Litterbag Placem_Collection'!B181</f>
        <v>Handajega</v>
      </c>
      <c r="D620" s="260" t="s">
        <v>2454</v>
      </c>
      <c r="E620" s="260" t="s">
        <v>2645</v>
      </c>
      <c r="F620" s="260">
        <v>3</v>
      </c>
      <c r="G620" s="260" t="s">
        <v>3828</v>
      </c>
      <c r="H620" s="261" t="str">
        <f>'Dry_Litterbag Placem_Collection'!C181</f>
        <v>Wet_W3_T3</v>
      </c>
      <c r="I620" s="270" t="s">
        <v>3630</v>
      </c>
      <c r="J620" s="263" t="s">
        <v>1147</v>
      </c>
      <c r="K620" s="260" t="str">
        <f>IF(ISBLANK('Dry_Litterbag Placem_Collection'!L181),"","G"&amp;""&amp;'Dry_Litterbag Placem_Collection'!L181)</f>
        <v>G78</v>
      </c>
      <c r="L620" s="264">
        <f>IFERROR(INDEX('Green_rooibos initial weight'!$C$5:$C$2000,MATCH(K620, 'Green_rooibos initial weight'!$A$5:$A$2000,0)),"")</f>
        <v>2.0379999999999998</v>
      </c>
      <c r="M620" s="264">
        <f>IFERROR(L620-(TBIcalc!$Q$9+TBIcalc!$Q$10),"")</f>
        <v>1.7881999999999998</v>
      </c>
      <c r="N620" s="385">
        <f>AVERAGE(Ashed_controlls!$K$2:$K$11)</f>
        <v>5.5147656768714146</v>
      </c>
      <c r="O620" s="264">
        <f t="shared" si="46"/>
        <v>1.6895849601661852</v>
      </c>
      <c r="P620" s="264">
        <f>IFERROR(INDEX('Both teabags AfterDry'!$D$2:$D$2000,MATCH(K620,'Both teabags AfterDry'!$A$2:$A$2000,0)),"")</f>
        <v>0.871</v>
      </c>
      <c r="Q620" s="264">
        <f>IFERROR(IF(P620&gt;0,P620-(TBIcalc!$Q$9),""),"")</f>
        <v>0.72039999999999993</v>
      </c>
      <c r="R620" s="275">
        <f>IFERROR(INDEX('Ashed teabags dry'!$K$2:$K$2000,MATCH(K620,'Ashed teabags dry'!$A$2:$A$2000,0)),"")</f>
        <v>31.412103746397996</v>
      </c>
      <c r="S620" s="275">
        <f t="shared" si="47"/>
        <v>0.49410720461094881</v>
      </c>
      <c r="T620" s="265">
        <f>IF('Dry_Litterbag Placem_Collection'!E181="","",'Dry_Litterbag Placem_Collection'!E181)</f>
        <v>42940</v>
      </c>
      <c r="U620" s="265">
        <f>IF('Dry_Litterbag Placem_Collection'!G181="","",'Dry_Litterbag Placem_Collection'!G181)</f>
        <v>43009</v>
      </c>
      <c r="V620" s="266">
        <f t="shared" si="45"/>
        <v>69</v>
      </c>
      <c r="W620" s="264">
        <f t="shared" si="48"/>
        <v>1.0677999999999999</v>
      </c>
      <c r="X620" s="264">
        <f t="shared" si="49"/>
        <v>1.1954777555552365</v>
      </c>
      <c r="Y620" s="268">
        <f>IFERROR(INDEX(Rainfall_Dry!$O$2:$O$217,MATCH(B620, Rainfall_Dry!$A$2:$A$217,0)),"")</f>
        <v>162.634207253</v>
      </c>
      <c r="Z620" s="257">
        <v>25.96</v>
      </c>
      <c r="AA620" s="257">
        <v>8.9200000000000017</v>
      </c>
      <c r="AB620" s="257">
        <v>65.12</v>
      </c>
      <c r="AC620" s="258" t="s">
        <v>2654</v>
      </c>
      <c r="AD620" s="257">
        <v>3.61458846722523</v>
      </c>
      <c r="AE620">
        <f>IF('WetLitterbags placem_collection'!AB181="","",'WetLitterbags placem_collection'!AB181)</f>
        <v>11.8</v>
      </c>
      <c r="AF620">
        <f>IF('WetLitterbags placem_collection'!Z181="","",'WetLitterbags placem_collection'!Z181)</f>
        <v>15.4</v>
      </c>
      <c r="AG620" s="243" t="str">
        <f>IF('WetLitterbags placem_collection'!AA181="","",'WetLitterbags placem_collection'!AA181)</f>
        <v>O</v>
      </c>
      <c r="AH620">
        <f>IF('WetLitterbags placem_collection'!AC181="","",'WetLitterbags placem_collection'!AC181)</f>
        <v>1</v>
      </c>
      <c r="AI620">
        <f>IFERROR(AVERAGE('Dry_Litterbag Placem_Collection'!O181,'Dry_Litterbag Placem_Collection'!R181),"")</f>
        <v>5.8</v>
      </c>
      <c r="AJ620" s="268">
        <f>IFERROR(AVERAGE('Dry_Litterbag Placem_Collection'!N181,'Dry_Litterbag Placem_Collection'!Q181),"")</f>
        <v>34.75</v>
      </c>
      <c r="AK620" s="267">
        <f>INDEX(Coordinates!$B$2:$B$197,MATCH(H620,Coordinates!$J$2:$J$197,0))</f>
        <v>-2.2778579589999999</v>
      </c>
      <c r="AL620" s="267">
        <f>INDEX(Coordinates!$C$2:$C$197,MATCH(H620,Coordinates!$J$2:$J$197,0))</f>
        <v>34.027682980000002</v>
      </c>
      <c r="AM620" s="267" t="str">
        <f>IF(ISNUMBER(SEARCH("C", 'Dry_Litterbag Placem_Collection'!U181)),"YES","NO")</f>
        <v>NO</v>
      </c>
      <c r="AN620" s="267" t="str">
        <f>IF(ISNUMBER(SEARCH("H", 'Dry_Litterbag Placem_Collection'!U181)),"YES","NO")</f>
        <v>NO</v>
      </c>
      <c r="AO620" s="267" t="str">
        <f>IF(ISNUMBER(SEARCH("R", 'Dry_Litterbag Placem_Collection'!U181)),"YES","NO")</f>
        <v>YES</v>
      </c>
    </row>
    <row r="621" spans="1:41" ht="15" customHeight="1">
      <c r="A621" s="259" t="s">
        <v>2643</v>
      </c>
      <c r="B621" s="260">
        <f>'Dry_Litterbag Placem_Collection'!A182</f>
        <v>180</v>
      </c>
      <c r="C621" s="260" t="str">
        <f>'Dry_Litterbag Placem_Collection'!B182</f>
        <v>Handajega</v>
      </c>
      <c r="D621" s="260" t="s">
        <v>2454</v>
      </c>
      <c r="E621" s="260" t="s">
        <v>2645</v>
      </c>
      <c r="F621" s="260">
        <v>3</v>
      </c>
      <c r="G621" s="260" t="s">
        <v>3828</v>
      </c>
      <c r="H621" s="261" t="str">
        <f>'Dry_Litterbag Placem_Collection'!C182</f>
        <v>Wet_W3_T4</v>
      </c>
      <c r="I621" s="270" t="s">
        <v>3630</v>
      </c>
      <c r="J621" s="263" t="s">
        <v>1147</v>
      </c>
      <c r="K621" s="260" t="str">
        <f>IF(ISBLANK('Dry_Litterbag Placem_Collection'!L182),"","G"&amp;""&amp;'Dry_Litterbag Placem_Collection'!L182)</f>
        <v>G422</v>
      </c>
      <c r="L621" s="264">
        <f>IFERROR(INDEX('Green_rooibos initial weight'!$C$5:$C$2000,MATCH(K621, 'Green_rooibos initial weight'!$A$5:$A$2000,0)),"")</f>
        <v>2.0049999999999999</v>
      </c>
      <c r="M621" s="264">
        <f>IFERROR(L621-(TBIcalc!$Q$9+TBIcalc!$Q$10),"")</f>
        <v>1.7551999999999999</v>
      </c>
      <c r="N621" s="385">
        <f>AVERAGE(Ashed_controlls!$K$2:$K$11)</f>
        <v>5.5147656768714146</v>
      </c>
      <c r="O621" s="264">
        <f t="shared" si="46"/>
        <v>1.6584048328395529</v>
      </c>
      <c r="P621" s="264">
        <f>IFERROR(INDEX('Both teabags AfterDry'!$D$2:$D$2000,MATCH(K621,'Both teabags AfterDry'!$A$2:$A$2000,0)),"")</f>
        <v>0.751</v>
      </c>
      <c r="Q621" s="264">
        <f>IFERROR(IF(P621&gt;0,P621-(TBIcalc!$Q$9),""),"")</f>
        <v>0.60040000000000004</v>
      </c>
      <c r="R621" s="275">
        <f>IFERROR(INDEX('Ashed teabags dry'!$K$2:$K$2000,MATCH(K621,'Ashed teabags dry'!$A$2:$A$2000,0)),"")</f>
        <v>20.896226415094358</v>
      </c>
      <c r="S621" s="275">
        <f t="shared" si="47"/>
        <v>0.4749390566037735</v>
      </c>
      <c r="T621" s="265">
        <f>IF('Dry_Litterbag Placem_Collection'!E182="","",'Dry_Litterbag Placem_Collection'!E182)</f>
        <v>42940</v>
      </c>
      <c r="U621" s="265">
        <f>IF('Dry_Litterbag Placem_Collection'!G182="","",'Dry_Litterbag Placem_Collection'!G182)</f>
        <v>43009</v>
      </c>
      <c r="V621" s="266">
        <f t="shared" si="45"/>
        <v>69</v>
      </c>
      <c r="W621" s="264">
        <f t="shared" si="48"/>
        <v>1.1547999999999998</v>
      </c>
      <c r="X621" s="264">
        <f t="shared" si="49"/>
        <v>1.1834657762357794</v>
      </c>
      <c r="Y621" s="268">
        <f>IFERROR(INDEX(Rainfall_Dry!$O$2:$O$217,MATCH(B621, Rainfall_Dry!$A$2:$A$217,0)),"")</f>
        <v>162.634207253</v>
      </c>
      <c r="Z621" s="257">
        <v>25.96</v>
      </c>
      <c r="AA621" s="257">
        <v>8.9200000000000017</v>
      </c>
      <c r="AB621" s="257">
        <v>65.12</v>
      </c>
      <c r="AC621" s="258" t="s">
        <v>2654</v>
      </c>
      <c r="AD621" s="257">
        <v>4.6145884672252304</v>
      </c>
      <c r="AE621">
        <f>IF('WetLitterbags placem_collection'!AB182="","",'WetLitterbags placem_collection'!AB182)</f>
        <v>8.3000000000000007</v>
      </c>
      <c r="AF621">
        <f>IF('WetLitterbags placem_collection'!Z182="","",'WetLitterbags placem_collection'!Z182)</f>
        <v>35</v>
      </c>
      <c r="AG621" s="243" t="str">
        <f>IF('WetLitterbags placem_collection'!AA182="","",'WetLitterbags placem_collection'!AA182)</f>
        <v>O</v>
      </c>
      <c r="AH621">
        <f>IF('WetLitterbags placem_collection'!AC182="","",'WetLitterbags placem_collection'!AC182)</f>
        <v>0</v>
      </c>
      <c r="AI621">
        <f>IFERROR(AVERAGE('Dry_Litterbag Placem_Collection'!O182,'Dry_Litterbag Placem_Collection'!R182),"")</f>
        <v>5.3</v>
      </c>
      <c r="AJ621" s="268">
        <f>IFERROR(AVERAGE('Dry_Litterbag Placem_Collection'!N182,'Dry_Litterbag Placem_Collection'!Q182),"")</f>
        <v>31</v>
      </c>
      <c r="AK621" s="267">
        <f>INDEX(Coordinates!$B$2:$B$197,MATCH(H621,Coordinates!$J$2:$J$197,0))</f>
        <v>-2.2780199809999999</v>
      </c>
      <c r="AL621" s="267">
        <f>INDEX(Coordinates!$C$2:$C$197,MATCH(H621,Coordinates!$J$2:$J$197,0))</f>
        <v>34.027705019999999</v>
      </c>
      <c r="AM621" s="267" t="str">
        <f>IF(ISNUMBER(SEARCH("C", 'Dry_Litterbag Placem_Collection'!U182)),"YES","NO")</f>
        <v>NO</v>
      </c>
      <c r="AN621" s="267" t="str">
        <f>IF(ISNUMBER(SEARCH("H", 'Dry_Litterbag Placem_Collection'!U182)),"YES","NO")</f>
        <v>NO</v>
      </c>
      <c r="AO621" s="267" t="str">
        <f>IF(ISNUMBER(SEARCH("R", 'Dry_Litterbag Placem_Collection'!U182)),"YES","NO")</f>
        <v>YES</v>
      </c>
    </row>
    <row r="622" spans="1:41" ht="15" customHeight="1">
      <c r="A622" s="259" t="s">
        <v>2643</v>
      </c>
      <c r="B622" s="260">
        <f>'Dry_Litterbag Placem_Collection'!A183</f>
        <v>181</v>
      </c>
      <c r="C622" s="260" t="str">
        <f>'Dry_Litterbag Placem_Collection'!B183</f>
        <v>Handajega</v>
      </c>
      <c r="D622" s="260" t="s">
        <v>2454</v>
      </c>
      <c r="E622" s="260" t="s">
        <v>2645</v>
      </c>
      <c r="F622" s="260">
        <v>3</v>
      </c>
      <c r="G622" s="260" t="s">
        <v>3828</v>
      </c>
      <c r="H622" s="261" t="str">
        <f>'Dry_Litterbag Placem_Collection'!C183</f>
        <v>Wet_W3_T5</v>
      </c>
      <c r="I622" s="270" t="s">
        <v>3630</v>
      </c>
      <c r="J622" s="263" t="s">
        <v>1147</v>
      </c>
      <c r="K622" s="260" t="str">
        <f>IF(ISBLANK('Dry_Litterbag Placem_Collection'!L183),"","G"&amp;""&amp;'Dry_Litterbag Placem_Collection'!L183)</f>
        <v>G870</v>
      </c>
      <c r="L622" s="264">
        <f>IFERROR(INDEX('Green_rooibos initial weight'!$C$5:$C$2000,MATCH(K622, 'Green_rooibos initial weight'!$A$5:$A$2000,0)),"")</f>
        <v>1.972</v>
      </c>
      <c r="M622" s="264">
        <f>IFERROR(L622-(TBIcalc!$Q$9+TBIcalc!$Q$10),"")</f>
        <v>1.7222</v>
      </c>
      <c r="N622" s="385">
        <f>AVERAGE(Ashed_controlls!$K$2:$K$11)</f>
        <v>5.5147656768714146</v>
      </c>
      <c r="O622" s="264">
        <f t="shared" si="46"/>
        <v>1.6272247055129205</v>
      </c>
      <c r="P622" s="264">
        <f>IFERROR(INDEX('Both teabags AfterDry'!$D$2:$D$2000,MATCH(K622,'Both teabags AfterDry'!$A$2:$A$2000,0)),"")</f>
        <v>0.75219999999999998</v>
      </c>
      <c r="Q622" s="264">
        <f>IFERROR(IF(P622&gt;0,P622-(TBIcalc!$Q$9),""),"")</f>
        <v>0.60159999999999991</v>
      </c>
      <c r="R622" s="275">
        <f>IFERROR(INDEX('Ashed teabags dry'!$K$2:$K$2000,MATCH(K622,'Ashed teabags dry'!$A$2:$A$2000,0)),"")</f>
        <v>17.470472440944899</v>
      </c>
      <c r="S622" s="275">
        <f t="shared" si="47"/>
        <v>0.49649763779527545</v>
      </c>
      <c r="T622" s="265">
        <f>IF('Dry_Litterbag Placem_Collection'!E183="","",'Dry_Litterbag Placem_Collection'!E183)</f>
        <v>42940</v>
      </c>
      <c r="U622" s="265">
        <f>IF('Dry_Litterbag Placem_Collection'!G183="","",'Dry_Litterbag Placem_Collection'!G183)</f>
        <v>43009</v>
      </c>
      <c r="V622" s="266">
        <f t="shared" si="45"/>
        <v>69</v>
      </c>
      <c r="W622" s="264">
        <f t="shared" si="48"/>
        <v>1.1206</v>
      </c>
      <c r="X622" s="264">
        <f t="shared" si="49"/>
        <v>1.1307270677176451</v>
      </c>
      <c r="Y622" s="268">
        <f>IFERROR(INDEX(Rainfall_Dry!$O$2:$O$217,MATCH(B622, Rainfall_Dry!$A$2:$A$217,0)),"")</f>
        <v>162.634207253</v>
      </c>
      <c r="Z622" s="257">
        <v>25.96</v>
      </c>
      <c r="AA622" s="257">
        <v>8.9200000000000017</v>
      </c>
      <c r="AB622" s="257">
        <v>65.12</v>
      </c>
      <c r="AC622" s="258" t="s">
        <v>2654</v>
      </c>
      <c r="AD622" s="257">
        <v>5.6145884672252304</v>
      </c>
      <c r="AE622">
        <f>IF('WetLitterbags placem_collection'!AB183="","",'WetLitterbags placem_collection'!AB183)</f>
        <v>11.4</v>
      </c>
      <c r="AF622">
        <f>IF('WetLitterbags placem_collection'!Z183="","",'WetLitterbags placem_collection'!Z183)</f>
        <v>15.8</v>
      </c>
      <c r="AG622" s="243" t="str">
        <f>IF('WetLitterbags placem_collection'!AA183="","",'WetLitterbags placem_collection'!AA183)</f>
        <v>O</v>
      </c>
      <c r="AH622">
        <f>IF('WetLitterbags placem_collection'!AC183="","",'WetLitterbags placem_collection'!AC183)</f>
        <v>1</v>
      </c>
      <c r="AI622">
        <f>IFERROR(AVERAGE('Dry_Litterbag Placem_Collection'!O183,'Dry_Litterbag Placem_Collection'!R183),"")</f>
        <v>4.3000000000000007</v>
      </c>
      <c r="AJ622" s="268">
        <f>IFERROR(AVERAGE('Dry_Litterbag Placem_Collection'!N183,'Dry_Litterbag Placem_Collection'!Q183),"")</f>
        <v>35.099999999999994</v>
      </c>
      <c r="AK622" s="267">
        <f>INDEX(Coordinates!$B$2:$B$197,MATCH(H622,Coordinates!$J$2:$J$197,0))</f>
        <v>-2.2777329850000001</v>
      </c>
      <c r="AL622" s="267">
        <f>INDEX(Coordinates!$C$2:$C$197,MATCH(H622,Coordinates!$J$2:$J$197,0))</f>
        <v>34.027422970000003</v>
      </c>
      <c r="AM622" s="267" t="str">
        <f>IF(ISNUMBER(SEARCH("C", 'Dry_Litterbag Placem_Collection'!U183)),"YES","NO")</f>
        <v>NO</v>
      </c>
      <c r="AN622" s="267" t="str">
        <f>IF(ISNUMBER(SEARCH("H", 'Dry_Litterbag Placem_Collection'!U183)),"YES","NO")</f>
        <v>NO</v>
      </c>
      <c r="AO622" s="267" t="str">
        <f>IF(ISNUMBER(SEARCH("R", 'Dry_Litterbag Placem_Collection'!U183)),"YES","NO")</f>
        <v>NO</v>
      </c>
    </row>
    <row r="623" spans="1:41" ht="15" customHeight="1">
      <c r="A623" s="259" t="s">
        <v>2643</v>
      </c>
      <c r="B623" s="260">
        <f>'Dry_Litterbag Placem_Collection'!A184</f>
        <v>182</v>
      </c>
      <c r="C623" s="260" t="str">
        <f>'Dry_Litterbag Placem_Collection'!B184</f>
        <v>Handajega</v>
      </c>
      <c r="D623" s="260" t="s">
        <v>2454</v>
      </c>
      <c r="E623" s="260" t="s">
        <v>2645</v>
      </c>
      <c r="F623" s="260">
        <v>3</v>
      </c>
      <c r="G623" s="260" t="s">
        <v>3828</v>
      </c>
      <c r="H623" s="261" t="str">
        <f>'Dry_Litterbag Placem_Collection'!C184</f>
        <v>Wet_W3_T6</v>
      </c>
      <c r="I623" s="270" t="s">
        <v>3630</v>
      </c>
      <c r="J623" s="263" t="s">
        <v>1147</v>
      </c>
      <c r="K623" s="260" t="str">
        <f>IF(ISBLANK('Dry_Litterbag Placem_Collection'!L184),"","G"&amp;""&amp;'Dry_Litterbag Placem_Collection'!L184)</f>
        <v>G136</v>
      </c>
      <c r="L623" s="264">
        <f>IFERROR(INDEX('Green_rooibos initial weight'!$C$5:$C$2000,MATCH(K623, 'Green_rooibos initial weight'!$A$5:$A$2000,0)),"")</f>
        <v>1.9430000000000001</v>
      </c>
      <c r="M623" s="264">
        <f>IFERROR(L623-(TBIcalc!$Q$9+TBIcalc!$Q$10),"")</f>
        <v>1.6932</v>
      </c>
      <c r="N623" s="385">
        <f>AVERAGE(Ashed_controlls!$K$2:$K$11)</f>
        <v>5.5147656768714146</v>
      </c>
      <c r="O623" s="264">
        <f t="shared" si="46"/>
        <v>1.5998239875592133</v>
      </c>
      <c r="P623" s="264">
        <f>IFERROR(INDEX('Both teabags AfterDry'!$D$2:$D$2000,MATCH(K623,'Both teabags AfterDry'!$A$2:$A$2000,0)),"")</f>
        <v>0.71589999999999998</v>
      </c>
      <c r="Q623" s="264">
        <f>IFERROR(IF(P623&gt;0,P623-(TBIcalc!$Q$9),""),"")</f>
        <v>0.56529999999999991</v>
      </c>
      <c r="R623" s="275">
        <f>IFERROR(INDEX('Ashed teabags dry'!$K$2:$K$2000,MATCH(K623,'Ashed teabags dry'!$A$2:$A$2000,0)),"")</f>
        <v>16.379734382685722</v>
      </c>
      <c r="S623" s="275">
        <f t="shared" si="47"/>
        <v>0.47270536153467752</v>
      </c>
      <c r="T623" s="265">
        <f>IF('Dry_Litterbag Placem_Collection'!E184="","",'Dry_Litterbag Placem_Collection'!E184)</f>
        <v>42940</v>
      </c>
      <c r="U623" s="265">
        <f>IF('Dry_Litterbag Placem_Collection'!G184="","",'Dry_Litterbag Placem_Collection'!G184)</f>
        <v>43009</v>
      </c>
      <c r="V623" s="266">
        <f t="shared" si="45"/>
        <v>69</v>
      </c>
      <c r="W623" s="264">
        <f t="shared" si="48"/>
        <v>1.1279000000000001</v>
      </c>
      <c r="X623" s="264">
        <f t="shared" si="49"/>
        <v>1.1271186260245358</v>
      </c>
      <c r="Y623" s="268">
        <f>IFERROR(INDEX(Rainfall_Dry!$O$2:$O$217,MATCH(B623, Rainfall_Dry!$A$2:$A$217,0)),"")</f>
        <v>162.634207253</v>
      </c>
      <c r="Z623" s="257">
        <v>25.96</v>
      </c>
      <c r="AA623" s="257">
        <v>8.9200000000000017</v>
      </c>
      <c r="AB623" s="257">
        <v>65.12</v>
      </c>
      <c r="AC623" s="258" t="s">
        <v>2654</v>
      </c>
      <c r="AD623" s="257">
        <v>6.6145884672252304</v>
      </c>
      <c r="AE623">
        <f>IF('WetLitterbags placem_collection'!AB184="","",'WetLitterbags placem_collection'!AB184)</f>
        <v>8.8000000000000007</v>
      </c>
      <c r="AF623">
        <f>IF('WetLitterbags placem_collection'!Z184="","",'WetLitterbags placem_collection'!Z184)</f>
        <v>15.8</v>
      </c>
      <c r="AG623" s="243" t="str">
        <f>IF('WetLitterbags placem_collection'!AA184="","",'WetLitterbags placem_collection'!AA184)</f>
        <v>O</v>
      </c>
      <c r="AH623">
        <f>IF('WetLitterbags placem_collection'!AC184="","",'WetLitterbags placem_collection'!AC184)</f>
        <v>1</v>
      </c>
      <c r="AI623">
        <f>IFERROR(AVERAGE('Dry_Litterbag Placem_Collection'!O184,'Dry_Litterbag Placem_Collection'!R184),"")</f>
        <v>6.55</v>
      </c>
      <c r="AJ623" s="268">
        <f>IFERROR(AVERAGE('Dry_Litterbag Placem_Collection'!N184,'Dry_Litterbag Placem_Collection'!Q184),"")</f>
        <v>36.400000000000006</v>
      </c>
      <c r="AK623" s="267">
        <f>INDEX(Coordinates!$B$2:$B$197,MATCH(H623,Coordinates!$J$2:$J$197,0))</f>
        <v>-2.2777009659999998</v>
      </c>
      <c r="AL623" s="267">
        <f>INDEX(Coordinates!$C$2:$C$197,MATCH(H623,Coordinates!$J$2:$J$197,0))</f>
        <v>34.027393969999999</v>
      </c>
      <c r="AM623" s="267" t="str">
        <f>IF(ISNUMBER(SEARCH("C", 'Dry_Litterbag Placem_Collection'!U184)),"YES","NO")</f>
        <v>NO</v>
      </c>
      <c r="AN623" s="267" t="str">
        <f>IF(ISNUMBER(SEARCH("H", 'Dry_Litterbag Placem_Collection'!U184)),"YES","NO")</f>
        <v>NO</v>
      </c>
      <c r="AO623" s="267" t="str">
        <f>IF(ISNUMBER(SEARCH("R", 'Dry_Litterbag Placem_Collection'!U184)),"YES","NO")</f>
        <v>YES</v>
      </c>
    </row>
    <row r="624" spans="1:41" ht="15" customHeight="1">
      <c r="A624" s="259" t="s">
        <v>2643</v>
      </c>
      <c r="B624" s="260">
        <f>'Dry_Litterbag Placem_Collection'!A185</f>
        <v>183</v>
      </c>
      <c r="C624" s="260" t="str">
        <f>'Dry_Litterbag Placem_Collection'!B185</f>
        <v>Handajega</v>
      </c>
      <c r="D624" s="260" t="s">
        <v>2454</v>
      </c>
      <c r="E624" s="260" t="s">
        <v>2645</v>
      </c>
      <c r="F624" s="260">
        <v>3</v>
      </c>
      <c r="G624" s="260" t="s">
        <v>3828</v>
      </c>
      <c r="H624" s="261" t="str">
        <f>'Dry_Litterbag Placem_Collection'!C185</f>
        <v>Wet_W3_T7</v>
      </c>
      <c r="I624" s="270" t="s">
        <v>3630</v>
      </c>
      <c r="J624" s="263" t="s">
        <v>1147</v>
      </c>
      <c r="K624" s="260" t="str">
        <f>IF(ISBLANK('Dry_Litterbag Placem_Collection'!L185),"","G"&amp;""&amp;'Dry_Litterbag Placem_Collection'!L185)</f>
        <v/>
      </c>
      <c r="L624" s="264" t="str">
        <f>IFERROR(INDEX('Green_rooibos initial weight'!$C$5:$C$2000,MATCH(K624, 'Green_rooibos initial weight'!$A$5:$A$2000,0)),"")</f>
        <v/>
      </c>
      <c r="M624" s="264" t="str">
        <f>IFERROR(L624-(TBIcalc!$Q$9+TBIcalc!$Q$10),"")</f>
        <v/>
      </c>
      <c r="N624" s="385">
        <f>AVERAGE(Ashed_controlls!$K$2:$K$11)</f>
        <v>5.5147656768714146</v>
      </c>
      <c r="O624" s="264" t="str">
        <f t="shared" si="46"/>
        <v/>
      </c>
      <c r="P624" s="264" t="str">
        <f>IFERROR(INDEX('Both teabags AfterDry'!$D$2:$D$2000,MATCH(K624,'Both teabags AfterDry'!$A$2:$A$2000,0)),"")</f>
        <v/>
      </c>
      <c r="Q624" s="264" t="str">
        <f>IFERROR(IF(P624&gt;0,P624-(TBIcalc!$Q$9),""),"")</f>
        <v/>
      </c>
      <c r="R624" s="275" t="str">
        <f>IFERROR(INDEX('Ashed teabags dry'!$K$2:$K$2000,MATCH(K624,'Ashed teabags dry'!$A$2:$A$2000,0)),"")</f>
        <v/>
      </c>
      <c r="S624" s="275" t="str">
        <f t="shared" si="47"/>
        <v/>
      </c>
      <c r="T624" s="265" t="str">
        <f>IF('Dry_Litterbag Placem_Collection'!E185="","",'Dry_Litterbag Placem_Collection'!E185)</f>
        <v/>
      </c>
      <c r="U624" s="265" t="str">
        <f>IF('Dry_Litterbag Placem_Collection'!G185="","",'Dry_Litterbag Placem_Collection'!G185)</f>
        <v/>
      </c>
      <c r="V624" s="266" t="str">
        <f t="shared" si="45"/>
        <v/>
      </c>
      <c r="W624" s="264" t="str">
        <f t="shared" si="48"/>
        <v/>
      </c>
      <c r="X624" s="264" t="str">
        <f t="shared" si="49"/>
        <v/>
      </c>
      <c r="Y624" s="268" t="str">
        <f>IFERROR(INDEX(Rainfall_Dry!$O$2:$O$217,MATCH(B624, Rainfall_Dry!$A$2:$A$217,0)),"")</f>
        <v/>
      </c>
      <c r="Z624" s="257">
        <v>25.96</v>
      </c>
      <c r="AA624" s="257">
        <v>8.9200000000000017</v>
      </c>
      <c r="AB624" s="257">
        <v>65.12</v>
      </c>
      <c r="AC624" s="258" t="s">
        <v>2654</v>
      </c>
      <c r="AD624" s="257">
        <v>7.6145884672252304</v>
      </c>
      <c r="AE624">
        <f>IF('WetLitterbags placem_collection'!AB185="","",'WetLitterbags placem_collection'!AB185)</f>
        <v>11.4</v>
      </c>
      <c r="AF624">
        <f>IF('WetLitterbags placem_collection'!Z185="","",'WetLitterbags placem_collection'!Z185)</f>
        <v>35.799999999999997</v>
      </c>
      <c r="AG624" s="243" t="str">
        <f>IF('WetLitterbags placem_collection'!AA185="","",'WetLitterbags placem_collection'!AA185)</f>
        <v>G</v>
      </c>
      <c r="AH624">
        <f>IF('WetLitterbags placem_collection'!AC185="","",'WetLitterbags placem_collection'!AC185)</f>
        <v>1</v>
      </c>
      <c r="AI624" t="str">
        <f>IFERROR(AVERAGE('Dry_Litterbag Placem_Collection'!O185,'Dry_Litterbag Placem_Collection'!R185),"")</f>
        <v/>
      </c>
      <c r="AJ624" s="268" t="str">
        <f>IFERROR(AVERAGE('Dry_Litterbag Placem_Collection'!N185,'Dry_Litterbag Placem_Collection'!Q185),"")</f>
        <v/>
      </c>
      <c r="AK624" s="267">
        <f>INDEX(Coordinates!$B$2:$B$197,MATCH(H624,Coordinates!$J$2:$J$197,0))</f>
        <v>-2.2777790019999999</v>
      </c>
      <c r="AL624" s="267">
        <f>INDEX(Coordinates!$C$2:$C$197,MATCH(H624,Coordinates!$J$2:$J$197,0))</f>
        <v>34.028066029999998</v>
      </c>
      <c r="AM624" s="267" t="str">
        <f>IF(ISNUMBER(SEARCH("C", 'Dry_Litterbag Placem_Collection'!U185)),"YES","NO")</f>
        <v>NO</v>
      </c>
      <c r="AN624" s="267" t="str">
        <f>IF(ISNUMBER(SEARCH("H", 'Dry_Litterbag Placem_Collection'!U185)),"YES","NO")</f>
        <v>NO</v>
      </c>
      <c r="AO624" s="267" t="str">
        <f>IF(ISNUMBER(SEARCH("R", 'Dry_Litterbag Placem_Collection'!U185)),"YES","NO")</f>
        <v>NO</v>
      </c>
    </row>
    <row r="625" spans="1:41" ht="15" customHeight="1">
      <c r="A625" s="259" t="s">
        <v>2643</v>
      </c>
      <c r="B625" s="260">
        <f>'Dry_Litterbag Placem_Collection'!A186</f>
        <v>184</v>
      </c>
      <c r="C625" s="260" t="str">
        <f>'Dry_Litterbag Placem_Collection'!B186</f>
        <v>Handajega</v>
      </c>
      <c r="D625" s="260" t="s">
        <v>2454</v>
      </c>
      <c r="E625" s="260" t="s">
        <v>2645</v>
      </c>
      <c r="F625" s="260">
        <v>3</v>
      </c>
      <c r="G625" s="260" t="s">
        <v>3828</v>
      </c>
      <c r="H625" s="261" t="str">
        <f>'Dry_Litterbag Placem_Collection'!C186</f>
        <v>Wet_W3_T8</v>
      </c>
      <c r="I625" s="270" t="s">
        <v>3630</v>
      </c>
      <c r="J625" s="263" t="s">
        <v>1147</v>
      </c>
      <c r="K625" s="260" t="str">
        <f>IF(ISBLANK('Dry_Litterbag Placem_Collection'!L186),"","G"&amp;""&amp;'Dry_Litterbag Placem_Collection'!L186)</f>
        <v>G266</v>
      </c>
      <c r="L625" s="264">
        <f>IFERROR(INDEX('Green_rooibos initial weight'!$C$5:$C$2000,MATCH(K625, 'Green_rooibos initial weight'!$A$5:$A$2000,0)),"")</f>
        <v>1.9570000000000001</v>
      </c>
      <c r="M625" s="264">
        <f>IFERROR(L625-(TBIcalc!$Q$9+TBIcalc!$Q$10),"")</f>
        <v>1.7072000000000001</v>
      </c>
      <c r="N625" s="385">
        <f>AVERAGE(Ashed_controlls!$K$2:$K$11)</f>
        <v>5.5147656768714146</v>
      </c>
      <c r="O625" s="264">
        <f t="shared" si="46"/>
        <v>1.6130519203644513</v>
      </c>
      <c r="P625" s="264">
        <f>IFERROR(INDEX('Both teabags AfterDry'!$D$2:$D$2000,MATCH(K625,'Both teabags AfterDry'!$A$2:$A$2000,0)),"")</f>
        <v>0.69879999999999998</v>
      </c>
      <c r="Q625" s="264">
        <f>IFERROR(IF(P625&gt;0,P625-(TBIcalc!$Q$9),""),"")</f>
        <v>0.54820000000000002</v>
      </c>
      <c r="R625" s="275">
        <f>IFERROR(INDEX('Ashed teabags dry'!$K$2:$K$2000,MATCH(K625,'Ashed teabags dry'!$A$2:$A$2000,0)),"")</f>
        <v>29.369282619161797</v>
      </c>
      <c r="S625" s="275">
        <f t="shared" si="47"/>
        <v>0.38719759268175502</v>
      </c>
      <c r="T625" s="265">
        <f>IF('Dry_Litterbag Placem_Collection'!E186="","",'Dry_Litterbag Placem_Collection'!E186)</f>
        <v>42940</v>
      </c>
      <c r="U625" s="265">
        <f>IF('Dry_Litterbag Placem_Collection'!G186="","",'Dry_Litterbag Placem_Collection'!G186)</f>
        <v>43009</v>
      </c>
      <c r="V625" s="266">
        <f t="shared" si="45"/>
        <v>69</v>
      </c>
      <c r="W625" s="264">
        <f t="shared" si="48"/>
        <v>1.159</v>
      </c>
      <c r="X625" s="264">
        <f t="shared" si="49"/>
        <v>1.2258543276826963</v>
      </c>
      <c r="Y625" s="268">
        <f>IFERROR(INDEX(Rainfall_Dry!$O$2:$O$217,MATCH(B625, Rainfall_Dry!$A$2:$A$217,0)),"")</f>
        <v>162.634207253</v>
      </c>
      <c r="Z625" s="257">
        <v>25.96</v>
      </c>
      <c r="AA625" s="257">
        <v>8.9200000000000017</v>
      </c>
      <c r="AB625" s="257">
        <v>65.12</v>
      </c>
      <c r="AC625" s="258" t="s">
        <v>2654</v>
      </c>
      <c r="AD625" s="257">
        <v>8.6145884672252304</v>
      </c>
      <c r="AE625">
        <f>IF('WetLitterbags placem_collection'!AB186="","",'WetLitterbags placem_collection'!AB186)</f>
        <v>3.7</v>
      </c>
      <c r="AF625">
        <f>IF('WetLitterbags placem_collection'!Z186="","",'WetLitterbags placem_collection'!Z186)</f>
        <v>16.399999999999999</v>
      </c>
      <c r="AG625" s="243" t="str">
        <f>IF('WetLitterbags placem_collection'!AA186="","",'WetLitterbags placem_collection'!AA186)</f>
        <v>O</v>
      </c>
      <c r="AH625">
        <f>IF('WetLitterbags placem_collection'!AC186="","",'WetLitterbags placem_collection'!AC186)</f>
        <v>0</v>
      </c>
      <c r="AI625">
        <f>IFERROR(AVERAGE('Dry_Litterbag Placem_Collection'!O186,'Dry_Litterbag Placem_Collection'!R186),"")</f>
        <v>4.3</v>
      </c>
      <c r="AJ625" s="268">
        <f>IFERROR(AVERAGE('Dry_Litterbag Placem_Collection'!N186,'Dry_Litterbag Placem_Collection'!Q186),"")</f>
        <v>28.05</v>
      </c>
      <c r="AK625" s="267">
        <f>INDEX(Coordinates!$B$2:$B$197,MATCH(H625,Coordinates!$J$2:$J$197,0))</f>
        <v>-2.2775169829999999</v>
      </c>
      <c r="AL625" s="267">
        <f>INDEX(Coordinates!$C$2:$C$197,MATCH(H625,Coordinates!$J$2:$J$197,0))</f>
        <v>34.027766970000002</v>
      </c>
      <c r="AM625" s="267" t="str">
        <f>IF(ISNUMBER(SEARCH("C", 'Dry_Litterbag Placem_Collection'!U186)),"YES","NO")</f>
        <v>NO</v>
      </c>
      <c r="AN625" s="267" t="str">
        <f>IF(ISNUMBER(SEARCH("H", 'Dry_Litterbag Placem_Collection'!U186)),"YES","NO")</f>
        <v>NO</v>
      </c>
      <c r="AO625" s="267" t="str">
        <f>IF(ISNUMBER(SEARCH("R", 'Dry_Litterbag Placem_Collection'!U186)),"YES","NO")</f>
        <v>YES</v>
      </c>
    </row>
    <row r="626" spans="1:41" ht="15" customHeight="1">
      <c r="A626" s="259" t="s">
        <v>2643</v>
      </c>
      <c r="B626" s="260">
        <f>'Dry_Litterbag Placem_Collection'!A187</f>
        <v>185</v>
      </c>
      <c r="C626" s="260" t="str">
        <f>'Dry_Litterbag Placem_Collection'!B187</f>
        <v>Handajega</v>
      </c>
      <c r="D626" s="260" t="s">
        <v>2454</v>
      </c>
      <c r="E626" s="260" t="s">
        <v>2645</v>
      </c>
      <c r="F626" s="260">
        <v>4</v>
      </c>
      <c r="G626" s="260" t="s">
        <v>3829</v>
      </c>
      <c r="H626" s="261" t="str">
        <f>'Dry_Litterbag Placem_Collection'!C187</f>
        <v>Wet_W4_T1</v>
      </c>
      <c r="I626" s="270" t="s">
        <v>3630</v>
      </c>
      <c r="J626" s="263" t="s">
        <v>1147</v>
      </c>
      <c r="K626" s="260" t="str">
        <f>IF(ISBLANK('Dry_Litterbag Placem_Collection'!L187),"","G"&amp;""&amp;'Dry_Litterbag Placem_Collection'!L187)</f>
        <v>G165</v>
      </c>
      <c r="L626" s="264">
        <f>IFERROR(INDEX('Green_rooibos initial weight'!$C$5:$C$2000,MATCH(K626, 'Green_rooibos initial weight'!$A$5:$A$2000,0)),"")</f>
        <v>2.0089999999999999</v>
      </c>
      <c r="M626" s="264">
        <f>IFERROR(L626-(TBIcalc!$Q$9+TBIcalc!$Q$10),"")</f>
        <v>1.7591999999999999</v>
      </c>
      <c r="N626" s="385">
        <f>AVERAGE(Ashed_controlls!$K$2:$K$11)</f>
        <v>5.5147656768714146</v>
      </c>
      <c r="O626" s="264">
        <f t="shared" si="46"/>
        <v>1.662184242212478</v>
      </c>
      <c r="P626" s="264" t="str">
        <f>IFERROR(INDEX('Both teabags AfterDry'!$D$2:$D$2000,MATCH(K626,'Both teabags AfterDry'!$A$2:$A$2000,0)),"")</f>
        <v/>
      </c>
      <c r="Q626" s="264" t="str">
        <f>IFERROR(IF(P626&gt;0,P626-(TBIcalc!$Q$9),""),"")</f>
        <v/>
      </c>
      <c r="R626" s="275" t="str">
        <f>IFERROR(INDEX('Ashed teabags dry'!$K$2:$K$2000,MATCH(K626,'Ashed teabags dry'!$A$2:$A$2000,0)),"")</f>
        <v/>
      </c>
      <c r="S626" s="275" t="str">
        <f t="shared" si="47"/>
        <v/>
      </c>
      <c r="T626" s="265">
        <f>IF('Dry_Litterbag Placem_Collection'!E187="","",'Dry_Litterbag Placem_Collection'!E187)</f>
        <v>42940</v>
      </c>
      <c r="U626" s="265">
        <f>IF('Dry_Litterbag Placem_Collection'!G187="","",'Dry_Litterbag Placem_Collection'!G187)</f>
        <v>43009</v>
      </c>
      <c r="V626" s="266">
        <f t="shared" si="45"/>
        <v>69</v>
      </c>
      <c r="W626" s="264" t="str">
        <f t="shared" si="48"/>
        <v/>
      </c>
      <c r="X626" s="264" t="str">
        <f t="shared" si="49"/>
        <v/>
      </c>
      <c r="Y626" s="268">
        <f>IFERROR(INDEX(Rainfall_Dry!$O$2:$O$217,MATCH(B626, Rainfall_Dry!$A$2:$A$217,0)),"")</f>
        <v>162.634207253</v>
      </c>
      <c r="Z626" s="257">
        <v>25.96</v>
      </c>
      <c r="AA626" s="257">
        <v>8.9200000000000017</v>
      </c>
      <c r="AB626" s="257">
        <v>65.12</v>
      </c>
      <c r="AC626" s="258" t="s">
        <v>2654</v>
      </c>
      <c r="AD626" s="257">
        <v>1.6991621488417901</v>
      </c>
      <c r="AE626">
        <f>IF('WetLitterbags placem_collection'!AB187="","",'WetLitterbags placem_collection'!AB187)</f>
        <v>9.8000000000000007</v>
      </c>
      <c r="AF626">
        <f>IF('WetLitterbags placem_collection'!Z187="","",'WetLitterbags placem_collection'!Z187)</f>
        <v>29.4</v>
      </c>
      <c r="AG626" s="243" t="str">
        <f>IF('WetLitterbags placem_collection'!AA187="","",'WetLitterbags placem_collection'!AA187)</f>
        <v>O</v>
      </c>
      <c r="AH626">
        <f>IF('WetLitterbags placem_collection'!AC187="","",'WetLitterbags placem_collection'!AC187)</f>
        <v>0</v>
      </c>
      <c r="AI626">
        <f>IFERROR(AVERAGE('Dry_Litterbag Placem_Collection'!O187,'Dry_Litterbag Placem_Collection'!R187),"")</f>
        <v>4.9000000000000004</v>
      </c>
      <c r="AJ626" s="268">
        <f>IFERROR(AVERAGE('Dry_Litterbag Placem_Collection'!N187,'Dry_Litterbag Placem_Collection'!Q187),"")</f>
        <v>35</v>
      </c>
      <c r="AK626" s="267">
        <f>INDEX(Coordinates!$B$2:$B$197,MATCH(H626,Coordinates!$J$2:$J$197,0))</f>
        <v>-2.2787330300000002</v>
      </c>
      <c r="AL626" s="267">
        <f>INDEX(Coordinates!$C$2:$C$197,MATCH(H626,Coordinates!$J$2:$J$197,0))</f>
        <v>34.032136029999997</v>
      </c>
      <c r="AM626" s="267" t="str">
        <f>IF(ISNUMBER(SEARCH("C", 'Dry_Litterbag Placem_Collection'!U187)),"YES","NO")</f>
        <v>NO</v>
      </c>
      <c r="AN626" s="267" t="str">
        <f>IF(ISNUMBER(SEARCH("H", 'Dry_Litterbag Placem_Collection'!U187)),"YES","NO")</f>
        <v>NO</v>
      </c>
      <c r="AO626" s="267" t="str">
        <f>IF(ISNUMBER(SEARCH("R", 'Dry_Litterbag Placem_Collection'!U187)),"YES","NO")</f>
        <v>YES</v>
      </c>
    </row>
    <row r="627" spans="1:41" ht="15" customHeight="1">
      <c r="A627" s="259" t="s">
        <v>2643</v>
      </c>
      <c r="B627" s="260">
        <f>'Dry_Litterbag Placem_Collection'!A188</f>
        <v>186</v>
      </c>
      <c r="C627" s="260" t="str">
        <f>'Dry_Litterbag Placem_Collection'!B188</f>
        <v>Handajega</v>
      </c>
      <c r="D627" s="260" t="s">
        <v>2454</v>
      </c>
      <c r="E627" s="260" t="s">
        <v>2645</v>
      </c>
      <c r="F627" s="260">
        <v>4</v>
      </c>
      <c r="G627" s="260" t="s">
        <v>3829</v>
      </c>
      <c r="H627" s="261" t="str">
        <f>'Dry_Litterbag Placem_Collection'!C188</f>
        <v>Wet_W4_T2</v>
      </c>
      <c r="I627" s="270" t="s">
        <v>3630</v>
      </c>
      <c r="J627" s="263" t="s">
        <v>1147</v>
      </c>
      <c r="K627" s="260" t="str">
        <f>IF(ISBLANK('Dry_Litterbag Placem_Collection'!L188),"","G"&amp;""&amp;'Dry_Litterbag Placem_Collection'!L188)</f>
        <v>G22</v>
      </c>
      <c r="L627" s="264">
        <f>IFERROR(INDEX('Green_rooibos initial weight'!$C$5:$C$2000,MATCH(K627, 'Green_rooibos initial weight'!$A$5:$A$2000,0)),"")</f>
        <v>2.1</v>
      </c>
      <c r="M627" s="264">
        <f>IFERROR(L627-(TBIcalc!$Q$9+TBIcalc!$Q$10),"")</f>
        <v>1.8502000000000001</v>
      </c>
      <c r="N627" s="385">
        <f>AVERAGE(Ashed_controlls!$K$2:$K$11)</f>
        <v>5.5147656768714146</v>
      </c>
      <c r="O627" s="264">
        <f t="shared" si="46"/>
        <v>1.7481658054465252</v>
      </c>
      <c r="P627" s="264">
        <f>IFERROR(INDEX('Both teabags AfterDry'!$D$2:$D$2000,MATCH(K627,'Both teabags AfterDry'!$A$2:$A$2000,0)),"")</f>
        <v>0.7238</v>
      </c>
      <c r="Q627" s="264">
        <f>IFERROR(IF(P627&gt;0,P627-(TBIcalc!$Q$9),""),"")</f>
        <v>0.57319999999999993</v>
      </c>
      <c r="R627" s="275">
        <f>IFERROR(INDEX('Ashed teabags dry'!$K$2:$K$2000,MATCH(K627,'Ashed teabags dry'!$A$2:$A$2000,0)),"")</f>
        <v>19.430172816441186</v>
      </c>
      <c r="S627" s="275">
        <f t="shared" si="47"/>
        <v>0.46182624941615907</v>
      </c>
      <c r="T627" s="265">
        <f>IF('Dry_Litterbag Placem_Collection'!E188="","",'Dry_Litterbag Placem_Collection'!E188)</f>
        <v>42940</v>
      </c>
      <c r="U627" s="265">
        <f>IF('Dry_Litterbag Placem_Collection'!G188="","",'Dry_Litterbag Placem_Collection'!G188)</f>
        <v>43009</v>
      </c>
      <c r="V627" s="266">
        <f t="shared" si="45"/>
        <v>69</v>
      </c>
      <c r="W627" s="264">
        <f t="shared" si="48"/>
        <v>1.2770000000000001</v>
      </c>
      <c r="X627" s="264">
        <f t="shared" si="49"/>
        <v>1.2863395560303661</v>
      </c>
      <c r="Y627" s="268">
        <f>IFERROR(INDEX(Rainfall_Dry!$O$2:$O$217,MATCH(B627, Rainfall_Dry!$A$2:$A$217,0)),"")</f>
        <v>162.634207253</v>
      </c>
      <c r="Z627" s="257">
        <v>25.96</v>
      </c>
      <c r="AA627" s="257">
        <v>8.9200000000000017</v>
      </c>
      <c r="AB627" s="257">
        <v>65.12</v>
      </c>
      <c r="AC627" s="258" t="s">
        <v>2654</v>
      </c>
      <c r="AD627" s="257">
        <v>2.6991621488417898</v>
      </c>
      <c r="AE627">
        <f>IF('WetLitterbags placem_collection'!AB188="","",'WetLitterbags placem_collection'!AB188)</f>
        <v>11.4</v>
      </c>
      <c r="AF627">
        <f>IF('WetLitterbags placem_collection'!Z188="","",'WetLitterbags placem_collection'!Z188)</f>
        <v>45.4</v>
      </c>
      <c r="AG627" s="243" t="str">
        <f>IF('WetLitterbags placem_collection'!AA188="","",'WetLitterbags placem_collection'!AA188)</f>
        <v>O</v>
      </c>
      <c r="AH627">
        <f>IF('WetLitterbags placem_collection'!AC188="","",'WetLitterbags placem_collection'!AC188)</f>
        <v>0</v>
      </c>
      <c r="AI627">
        <f>IFERROR(AVERAGE('Dry_Litterbag Placem_Collection'!O188,'Dry_Litterbag Placem_Collection'!R188),"")</f>
        <v>7.55</v>
      </c>
      <c r="AJ627" s="268">
        <f>IFERROR(AVERAGE('Dry_Litterbag Placem_Collection'!N188,'Dry_Litterbag Placem_Collection'!Q188),"")</f>
        <v>35.299999999999997</v>
      </c>
      <c r="AK627" s="267">
        <f>INDEX(Coordinates!$B$2:$B$197,MATCH(H627,Coordinates!$J$2:$J$197,0))</f>
        <v>-2.278763037</v>
      </c>
      <c r="AL627" s="267">
        <f>INDEX(Coordinates!$C$2:$C$197,MATCH(H627,Coordinates!$J$2:$J$197,0))</f>
        <v>34.031974009999999</v>
      </c>
      <c r="AM627" s="267" t="str">
        <f>IF(ISNUMBER(SEARCH("C", 'Dry_Litterbag Placem_Collection'!U188)),"YES","NO")</f>
        <v>NO</v>
      </c>
      <c r="AN627" s="267" t="str">
        <f>IF(ISNUMBER(SEARCH("H", 'Dry_Litterbag Placem_Collection'!U188)),"YES","NO")</f>
        <v>NO</v>
      </c>
      <c r="AO627" s="267" t="str">
        <f>IF(ISNUMBER(SEARCH("R", 'Dry_Litterbag Placem_Collection'!U188)),"YES","NO")</f>
        <v>NO</v>
      </c>
    </row>
    <row r="628" spans="1:41" ht="15" customHeight="1">
      <c r="A628" s="259" t="s">
        <v>2643</v>
      </c>
      <c r="B628" s="260">
        <f>'Dry_Litterbag Placem_Collection'!A189</f>
        <v>187</v>
      </c>
      <c r="C628" s="260" t="str">
        <f>'Dry_Litterbag Placem_Collection'!B189</f>
        <v>Handajega</v>
      </c>
      <c r="D628" s="260" t="s">
        <v>2454</v>
      </c>
      <c r="E628" s="260" t="s">
        <v>2645</v>
      </c>
      <c r="F628" s="260">
        <v>4</v>
      </c>
      <c r="G628" s="260" t="s">
        <v>3829</v>
      </c>
      <c r="H628" s="261" t="str">
        <f>'Dry_Litterbag Placem_Collection'!C189</f>
        <v>Wet_W4_T3</v>
      </c>
      <c r="I628" s="270" t="s">
        <v>3630</v>
      </c>
      <c r="J628" s="263" t="s">
        <v>1147</v>
      </c>
      <c r="K628" s="260" t="str">
        <f>IF(ISBLANK('Dry_Litterbag Placem_Collection'!L189),"","G"&amp;""&amp;'Dry_Litterbag Placem_Collection'!L189)</f>
        <v>G371</v>
      </c>
      <c r="L628" s="264">
        <f>IFERROR(INDEX('Green_rooibos initial weight'!$C$5:$C$2000,MATCH(K628, 'Green_rooibos initial weight'!$A$5:$A$2000,0)),"")</f>
        <v>2.06</v>
      </c>
      <c r="M628" s="264">
        <f>IFERROR(L628-(TBIcalc!$Q$9+TBIcalc!$Q$10),"")</f>
        <v>1.8102</v>
      </c>
      <c r="N628" s="385">
        <f>AVERAGE(Ashed_controlls!$K$2:$K$11)</f>
        <v>5.5147656768714146</v>
      </c>
      <c r="O628" s="264">
        <f t="shared" si="46"/>
        <v>1.7103717117172736</v>
      </c>
      <c r="P628" s="264">
        <f>IFERROR(INDEX('Both teabags AfterDry'!$D$2:$D$2000,MATCH(K628,'Both teabags AfterDry'!$A$2:$A$2000,0)),"")</f>
        <v>0.81369999999999998</v>
      </c>
      <c r="Q628" s="264">
        <f>IFERROR(IF(P628&gt;0,P628-(TBIcalc!$Q$9),""),"")</f>
        <v>0.66310000000000002</v>
      </c>
      <c r="R628" s="275">
        <f>IFERROR(INDEX('Ashed teabags dry'!$K$2:$K$2000,MATCH(K628,'Ashed teabags dry'!$A$2:$A$2000,0)),"")</f>
        <v>24.951361867703799</v>
      </c>
      <c r="S628" s="275">
        <f t="shared" si="47"/>
        <v>0.49764751945525609</v>
      </c>
      <c r="T628" s="265">
        <f>IF('Dry_Litterbag Placem_Collection'!E189="","",'Dry_Litterbag Placem_Collection'!E189)</f>
        <v>42940</v>
      </c>
      <c r="U628" s="265">
        <f>IF('Dry_Litterbag Placem_Collection'!G189="","",'Dry_Litterbag Placem_Collection'!G189)</f>
        <v>43009</v>
      </c>
      <c r="V628" s="266">
        <f t="shared" si="45"/>
        <v>69</v>
      </c>
      <c r="W628" s="264">
        <f t="shared" si="48"/>
        <v>1.1471</v>
      </c>
      <c r="X628" s="264">
        <f t="shared" si="49"/>
        <v>1.2127241922620176</v>
      </c>
      <c r="Y628" s="268">
        <f>IFERROR(INDEX(Rainfall_Dry!$O$2:$O$217,MATCH(B628, Rainfall_Dry!$A$2:$A$217,0)),"")</f>
        <v>162.634207253</v>
      </c>
      <c r="Z628" s="257">
        <v>25.96</v>
      </c>
      <c r="AA628" s="257">
        <v>8.9200000000000017</v>
      </c>
      <c r="AB628" s="257">
        <v>65.12</v>
      </c>
      <c r="AC628" s="258" t="s">
        <v>2654</v>
      </c>
      <c r="AD628" s="257">
        <v>3.6991621488417898</v>
      </c>
      <c r="AE628">
        <f>IF('WetLitterbags placem_collection'!AB189="","",'WetLitterbags placem_collection'!AB189)</f>
        <v>0.6</v>
      </c>
      <c r="AF628">
        <f>IF('WetLitterbags placem_collection'!Z189="","",'WetLitterbags placem_collection'!Z189)</f>
        <v>39.4</v>
      </c>
      <c r="AG628" s="243" t="str">
        <f>IF('WetLitterbags placem_collection'!AA189="","",'WetLitterbags placem_collection'!AA189)</f>
        <v>O</v>
      </c>
      <c r="AH628">
        <f>IF('WetLitterbags placem_collection'!AC189="","",'WetLitterbags placem_collection'!AC189)</f>
        <v>1</v>
      </c>
      <c r="AI628">
        <f>IFERROR(AVERAGE('Dry_Litterbag Placem_Collection'!O189,'Dry_Litterbag Placem_Collection'!R189),"")</f>
        <v>5.05</v>
      </c>
      <c r="AJ628" s="268">
        <f>IFERROR(AVERAGE('Dry_Litterbag Placem_Collection'!N189,'Dry_Litterbag Placem_Collection'!Q189),"")</f>
        <v>35.150000000000006</v>
      </c>
      <c r="AK628" s="267">
        <f>INDEX(Coordinates!$B$2:$B$197,MATCH(H628,Coordinates!$J$2:$J$197,0))</f>
        <v>-2.2785890289999999</v>
      </c>
      <c r="AL628" s="267">
        <f>INDEX(Coordinates!$C$2:$C$197,MATCH(H628,Coordinates!$J$2:$J$197,0))</f>
        <v>34.031841999999997</v>
      </c>
      <c r="AM628" s="267" t="str">
        <f>IF(ISNUMBER(SEARCH("C", 'Dry_Litterbag Placem_Collection'!U189)),"YES","NO")</f>
        <v>NO</v>
      </c>
      <c r="AN628" s="267" t="str">
        <f>IF(ISNUMBER(SEARCH("H", 'Dry_Litterbag Placem_Collection'!U189)),"YES","NO")</f>
        <v>NO</v>
      </c>
      <c r="AO628" s="267" t="str">
        <f>IF(ISNUMBER(SEARCH("R", 'Dry_Litterbag Placem_Collection'!U189)),"YES","NO")</f>
        <v>NO</v>
      </c>
    </row>
    <row r="629" spans="1:41" ht="15" customHeight="1">
      <c r="A629" s="259" t="s">
        <v>2643</v>
      </c>
      <c r="B629" s="260">
        <f>'Dry_Litterbag Placem_Collection'!A190</f>
        <v>188</v>
      </c>
      <c r="C629" s="260" t="str">
        <f>'Dry_Litterbag Placem_Collection'!B190</f>
        <v>Handajega</v>
      </c>
      <c r="D629" s="260" t="s">
        <v>2454</v>
      </c>
      <c r="E629" s="260" t="s">
        <v>2645</v>
      </c>
      <c r="F629" s="260">
        <v>4</v>
      </c>
      <c r="G629" s="260" t="s">
        <v>3829</v>
      </c>
      <c r="H629" s="261" t="str">
        <f>'Dry_Litterbag Placem_Collection'!C190</f>
        <v>Wet_W4_T4</v>
      </c>
      <c r="I629" s="270" t="s">
        <v>3630</v>
      </c>
      <c r="J629" s="263" t="s">
        <v>1147</v>
      </c>
      <c r="K629" s="260" t="str">
        <f>IF(ISBLANK('Dry_Litterbag Placem_Collection'!L190),"","G"&amp;""&amp;'Dry_Litterbag Placem_Collection'!L190)</f>
        <v>G185</v>
      </c>
      <c r="L629" s="264">
        <f>IFERROR(INDEX('Green_rooibos initial weight'!$C$5:$C$2000,MATCH(K629, 'Green_rooibos initial weight'!$A$5:$A$2000,0)),"")</f>
        <v>2.13</v>
      </c>
      <c r="M629" s="264">
        <f>IFERROR(L629-(TBIcalc!$Q$9+TBIcalc!$Q$10),"")</f>
        <v>1.8801999999999999</v>
      </c>
      <c r="N629" s="385">
        <f>AVERAGE(Ashed_controlls!$K$2:$K$11)</f>
        <v>5.5147656768714146</v>
      </c>
      <c r="O629" s="264">
        <f t="shared" si="46"/>
        <v>1.7765113757434636</v>
      </c>
      <c r="P629" s="264">
        <f>IFERROR(INDEX('Both teabags AfterDry'!$D$2:$D$2000,MATCH(K629,'Both teabags AfterDry'!$A$2:$A$2000,0)),"")</f>
        <v>0.74670000000000003</v>
      </c>
      <c r="Q629" s="264">
        <f>IFERROR(IF(P629&gt;0,P629-(TBIcalc!$Q$9),""),"")</f>
        <v>0.59610000000000007</v>
      </c>
      <c r="R629" s="275">
        <f>IFERROR(INDEX('Ashed teabags dry'!$K$2:$K$2000,MATCH(K629,'Ashed teabags dry'!$A$2:$A$2000,0)),"")</f>
        <v>22.108345534406503</v>
      </c>
      <c r="S629" s="275">
        <f t="shared" si="47"/>
        <v>0.46431215226940292</v>
      </c>
      <c r="T629" s="265">
        <f>IF('Dry_Litterbag Placem_Collection'!E190="","",'Dry_Litterbag Placem_Collection'!E190)</f>
        <v>42940</v>
      </c>
      <c r="U629" s="265">
        <f>IF('Dry_Litterbag Placem_Collection'!G190="","",'Dry_Litterbag Placem_Collection'!G190)</f>
        <v>43009</v>
      </c>
      <c r="V629" s="266">
        <f t="shared" si="45"/>
        <v>69</v>
      </c>
      <c r="W629" s="264">
        <f t="shared" si="48"/>
        <v>1.2840999999999998</v>
      </c>
      <c r="X629" s="264">
        <f t="shared" si="49"/>
        <v>1.3121992234740607</v>
      </c>
      <c r="Y629" s="268">
        <f>IFERROR(INDEX(Rainfall_Dry!$O$2:$O$217,MATCH(B629, Rainfall_Dry!$A$2:$A$217,0)),"")</f>
        <v>162.634207253</v>
      </c>
      <c r="Z629" s="257">
        <v>25.96</v>
      </c>
      <c r="AA629" s="257">
        <v>8.9200000000000017</v>
      </c>
      <c r="AB629" s="257">
        <v>65.12</v>
      </c>
      <c r="AC629" s="258" t="s">
        <v>2654</v>
      </c>
      <c r="AD629" s="257">
        <v>4.6991621488417898</v>
      </c>
      <c r="AE629">
        <f>IF('WetLitterbags placem_collection'!AB190="","",'WetLitterbags placem_collection'!AB190)</f>
        <v>2.2999999999999998</v>
      </c>
      <c r="AF629">
        <f>IF('WetLitterbags placem_collection'!Z190="","",'WetLitterbags placem_collection'!Z190)</f>
        <v>14.4</v>
      </c>
      <c r="AG629" s="243" t="str">
        <f>IF('WetLitterbags placem_collection'!AA190="","",'WetLitterbags placem_collection'!AA190)</f>
        <v>O</v>
      </c>
      <c r="AH629">
        <f>IF('WetLitterbags placem_collection'!AC190="","",'WetLitterbags placem_collection'!AC190)</f>
        <v>0</v>
      </c>
      <c r="AI629">
        <f>IFERROR(AVERAGE('Dry_Litterbag Placem_Collection'!O190,'Dry_Litterbag Placem_Collection'!R190),"")</f>
        <v>7.35</v>
      </c>
      <c r="AJ629" s="268">
        <f>IFERROR(AVERAGE('Dry_Litterbag Placem_Collection'!N190,'Dry_Litterbag Placem_Collection'!Q190),"")</f>
        <v>34.150000000000006</v>
      </c>
      <c r="AK629" s="267">
        <f>INDEX(Coordinates!$B$2:$B$197,MATCH(H629,Coordinates!$J$2:$J$197,0))</f>
        <v>-2.278422983</v>
      </c>
      <c r="AL629" s="267">
        <f>INDEX(Coordinates!$C$2:$C$197,MATCH(H629,Coordinates!$J$2:$J$197,0))</f>
        <v>34.032261009999999</v>
      </c>
      <c r="AM629" s="267" t="str">
        <f>IF(ISNUMBER(SEARCH("C", 'Dry_Litterbag Placem_Collection'!U190)),"YES","NO")</f>
        <v>NO</v>
      </c>
      <c r="AN629" s="267" t="str">
        <f>IF(ISNUMBER(SEARCH("H", 'Dry_Litterbag Placem_Collection'!U190)),"YES","NO")</f>
        <v>NO</v>
      </c>
      <c r="AO629" s="267" t="str">
        <f>IF(ISNUMBER(SEARCH("R", 'Dry_Litterbag Placem_Collection'!U190)),"YES","NO")</f>
        <v>NO</v>
      </c>
    </row>
    <row r="630" spans="1:41" ht="15" customHeight="1">
      <c r="A630" s="259" t="s">
        <v>2643</v>
      </c>
      <c r="B630" s="260">
        <f>'Dry_Litterbag Placem_Collection'!A191</f>
        <v>189</v>
      </c>
      <c r="C630" s="260" t="str">
        <f>'Dry_Litterbag Placem_Collection'!B191</f>
        <v>Handajega</v>
      </c>
      <c r="D630" s="260" t="s">
        <v>2454</v>
      </c>
      <c r="E630" s="260" t="s">
        <v>2645</v>
      </c>
      <c r="F630" s="260">
        <v>4</v>
      </c>
      <c r="G630" s="260" t="s">
        <v>3829</v>
      </c>
      <c r="H630" s="261" t="str">
        <f>'Dry_Litterbag Placem_Collection'!C191</f>
        <v>Wet_W4_T5</v>
      </c>
      <c r="I630" s="270" t="s">
        <v>3630</v>
      </c>
      <c r="J630" s="263" t="s">
        <v>1147</v>
      </c>
      <c r="K630" s="260" t="str">
        <f>IF(ISBLANK('Dry_Litterbag Placem_Collection'!L191),"","G"&amp;""&amp;'Dry_Litterbag Placem_Collection'!L191)</f>
        <v>G301</v>
      </c>
      <c r="L630" s="264">
        <f>IFERROR(INDEX('Green_rooibos initial weight'!$C$5:$C$2000,MATCH(K630, 'Green_rooibos initial weight'!$A$5:$A$2000,0)),"")</f>
        <v>1.9379999999999999</v>
      </c>
      <c r="M630" s="264">
        <f>IFERROR(L630-(TBIcalc!$Q$9+TBIcalc!$Q$10),"")</f>
        <v>1.6881999999999999</v>
      </c>
      <c r="N630" s="385">
        <f>AVERAGE(Ashed_controlls!$K$2:$K$11)</f>
        <v>5.5147656768714146</v>
      </c>
      <c r="O630" s="264">
        <f t="shared" si="46"/>
        <v>1.5950997258430566</v>
      </c>
      <c r="P630" s="264">
        <f>IFERROR(INDEX('Both teabags AfterDry'!$D$2:$D$2000,MATCH(K630,'Both teabags AfterDry'!$A$2:$A$2000,0)),"")</f>
        <v>0.66849999999999998</v>
      </c>
      <c r="Q630" s="264">
        <f>IFERROR(IF(P630&gt;0,P630-(TBIcalc!$Q$9),""),"")</f>
        <v>0.51790000000000003</v>
      </c>
      <c r="R630" s="275">
        <f>IFERROR(INDEX('Ashed teabags dry'!$K$2:$K$2000,MATCH(K630,'Ashed teabags dry'!$A$2:$A$2000,0)),"")</f>
        <v>15.626326963906347</v>
      </c>
      <c r="S630" s="275">
        <f t="shared" si="47"/>
        <v>0.43697125265392905</v>
      </c>
      <c r="T630" s="265">
        <f>IF('Dry_Litterbag Placem_Collection'!E191="","",'Dry_Litterbag Placem_Collection'!E191)</f>
        <v>42940</v>
      </c>
      <c r="U630" s="265">
        <f>IF('Dry_Litterbag Placem_Collection'!G191="","",'Dry_Litterbag Placem_Collection'!G191)</f>
        <v>43009</v>
      </c>
      <c r="V630" s="266">
        <f t="shared" si="45"/>
        <v>69</v>
      </c>
      <c r="W630" s="264">
        <f t="shared" si="48"/>
        <v>1.1702999999999999</v>
      </c>
      <c r="X630" s="264">
        <f t="shared" si="49"/>
        <v>1.1581284731891275</v>
      </c>
      <c r="Y630" s="268">
        <f>IFERROR(INDEX(Rainfall_Dry!$O$2:$O$217,MATCH(B630, Rainfall_Dry!$A$2:$A$217,0)),"")</f>
        <v>162.634207253</v>
      </c>
      <c r="Z630" s="257">
        <v>25.96</v>
      </c>
      <c r="AA630" s="257">
        <v>8.9200000000000017</v>
      </c>
      <c r="AB630" s="257">
        <v>65.12</v>
      </c>
      <c r="AC630" s="258" t="s">
        <v>2654</v>
      </c>
      <c r="AD630" s="257">
        <v>5.6991621488417898</v>
      </c>
      <c r="AE630">
        <f>IF('WetLitterbags placem_collection'!AB191="","",'WetLitterbags placem_collection'!AB191)</f>
        <v>0.6</v>
      </c>
      <c r="AF630">
        <f>IF('WetLitterbags placem_collection'!Z191="","",'WetLitterbags placem_collection'!Z191)</f>
        <v>7</v>
      </c>
      <c r="AG630" s="243" t="str">
        <f>IF('WetLitterbags placem_collection'!AA191="","",'WetLitterbags placem_collection'!AA191)</f>
        <v>O</v>
      </c>
      <c r="AH630">
        <f>IF('WetLitterbags placem_collection'!AC191="","",'WetLitterbags placem_collection'!AC191)</f>
        <v>1</v>
      </c>
      <c r="AI630">
        <f>IFERROR(AVERAGE('Dry_Litterbag Placem_Collection'!O191,'Dry_Litterbag Placem_Collection'!R191),"")</f>
        <v>5.5</v>
      </c>
      <c r="AJ630" s="268">
        <f>IFERROR(AVERAGE('Dry_Litterbag Placem_Collection'!N191,'Dry_Litterbag Placem_Collection'!Q191),"")</f>
        <v>33</v>
      </c>
      <c r="AK630" s="267">
        <f>INDEX(Coordinates!$B$2:$B$197,MATCH(H630,Coordinates!$J$2:$J$197,0))</f>
        <v>-2.2787580080000001</v>
      </c>
      <c r="AL630" s="267">
        <f>INDEX(Coordinates!$C$2:$C$197,MATCH(H630,Coordinates!$J$2:$J$197,0))</f>
        <v>34.032463010000001</v>
      </c>
      <c r="AM630" s="267" t="str">
        <f>IF(ISNUMBER(SEARCH("C", 'Dry_Litterbag Placem_Collection'!U191)),"YES","NO")</f>
        <v>NO</v>
      </c>
      <c r="AN630" s="267" t="str">
        <f>IF(ISNUMBER(SEARCH("H", 'Dry_Litterbag Placem_Collection'!U191)),"YES","NO")</f>
        <v>NO</v>
      </c>
      <c r="AO630" s="267" t="str">
        <f>IF(ISNUMBER(SEARCH("R", 'Dry_Litterbag Placem_Collection'!U191)),"YES","NO")</f>
        <v>YES</v>
      </c>
    </row>
    <row r="631" spans="1:41" ht="15" customHeight="1">
      <c r="A631" s="259" t="s">
        <v>2643</v>
      </c>
      <c r="B631" s="260">
        <f>'Dry_Litterbag Placem_Collection'!A192</f>
        <v>190</v>
      </c>
      <c r="C631" s="260" t="str">
        <f>'Dry_Litterbag Placem_Collection'!B192</f>
        <v>Handajega</v>
      </c>
      <c r="D631" s="260" t="s">
        <v>2454</v>
      </c>
      <c r="E631" s="260" t="s">
        <v>2645</v>
      </c>
      <c r="F631" s="260">
        <v>4</v>
      </c>
      <c r="G631" s="260" t="s">
        <v>3829</v>
      </c>
      <c r="H631" s="261" t="str">
        <f>'Dry_Litterbag Placem_Collection'!C192</f>
        <v>Wet_W4_T6</v>
      </c>
      <c r="I631" s="270" t="s">
        <v>3630</v>
      </c>
      <c r="J631" s="263" t="s">
        <v>1147</v>
      </c>
      <c r="K631" s="260" t="str">
        <f>IF(ISBLANK('Dry_Litterbag Placem_Collection'!L192),"","G"&amp;""&amp;'Dry_Litterbag Placem_Collection'!L192)</f>
        <v>G466</v>
      </c>
      <c r="L631" s="264">
        <f>IFERROR(INDEX('Green_rooibos initial weight'!$C$5:$C$2000,MATCH(K631, 'Green_rooibos initial weight'!$A$5:$A$2000,0)),"")</f>
        <v>1.9319999999999999</v>
      </c>
      <c r="M631" s="264">
        <f>IFERROR(L631-(TBIcalc!$Q$9+TBIcalc!$Q$10),"")</f>
        <v>1.6821999999999999</v>
      </c>
      <c r="N631" s="385">
        <f>AVERAGE(Ashed_controlls!$K$2:$K$11)</f>
        <v>5.5147656768714146</v>
      </c>
      <c r="O631" s="264">
        <f t="shared" si="46"/>
        <v>1.589430611783669</v>
      </c>
      <c r="P631" s="264">
        <f>IFERROR(INDEX('Both teabags AfterDry'!$D$2:$D$2000,MATCH(K631,'Both teabags AfterDry'!$A$2:$A$2000,0)),"")</f>
        <v>0.81599999999999995</v>
      </c>
      <c r="Q631" s="264">
        <f>IFERROR(IF(P631&gt;0,P631-(TBIcalc!$Q$9),""),"")</f>
        <v>0.66539999999999999</v>
      </c>
      <c r="R631" s="275">
        <f>IFERROR(INDEX('Ashed teabags dry'!$K$2:$K$2000,MATCH(K631,'Ashed teabags dry'!$A$2:$A$2000,0)),"")</f>
        <v>24.385447394296765</v>
      </c>
      <c r="S631" s="275">
        <f t="shared" si="47"/>
        <v>0.50313923303834929</v>
      </c>
      <c r="T631" s="265">
        <f>IF('Dry_Litterbag Placem_Collection'!E192="","",'Dry_Litterbag Placem_Collection'!E192)</f>
        <v>42940</v>
      </c>
      <c r="U631" s="265">
        <f>IF('Dry_Litterbag Placem_Collection'!G192="","",'Dry_Litterbag Placem_Collection'!G192)</f>
        <v>43009</v>
      </c>
      <c r="V631" s="266">
        <f t="shared" si="45"/>
        <v>69</v>
      </c>
      <c r="W631" s="264">
        <f t="shared" si="48"/>
        <v>1.0167999999999999</v>
      </c>
      <c r="X631" s="264">
        <f t="shared" si="49"/>
        <v>1.0862913787453197</v>
      </c>
      <c r="Y631" s="268">
        <f>IFERROR(INDEX(Rainfall_Dry!$O$2:$O$217,MATCH(B631, Rainfall_Dry!$A$2:$A$217,0)),"")</f>
        <v>162.634207253</v>
      </c>
      <c r="Z631" s="257">
        <v>25.96</v>
      </c>
      <c r="AA631" s="257">
        <v>8.9200000000000017</v>
      </c>
      <c r="AB631" s="257">
        <v>65.12</v>
      </c>
      <c r="AC631" s="258" t="s">
        <v>2654</v>
      </c>
      <c r="AD631" s="257">
        <v>6.6991621488417898</v>
      </c>
      <c r="AE631">
        <f>IF('WetLitterbags placem_collection'!AB192="","",'WetLitterbags placem_collection'!AB192)</f>
        <v>9.5</v>
      </c>
      <c r="AF631">
        <f>IF('WetLitterbags placem_collection'!Z192="","",'WetLitterbags placem_collection'!Z192)</f>
        <v>17.399999999999999</v>
      </c>
      <c r="AG631" s="243" t="str">
        <f>IF('WetLitterbags placem_collection'!AA192="","",'WetLitterbags placem_collection'!AA192)</f>
        <v>O</v>
      </c>
      <c r="AH631">
        <f>IF('WetLitterbags placem_collection'!AC192="","",'WetLitterbags placem_collection'!AC192)</f>
        <v>0</v>
      </c>
      <c r="AI631">
        <f>IFERROR(AVERAGE('Dry_Litterbag Placem_Collection'!O192,'Dry_Litterbag Placem_Collection'!R192),"")</f>
        <v>5.0500000000000007</v>
      </c>
      <c r="AJ631" s="268">
        <f>IFERROR(AVERAGE('Dry_Litterbag Placem_Collection'!N192,'Dry_Litterbag Placem_Collection'!Q192),"")</f>
        <v>36.049999999999997</v>
      </c>
      <c r="AK631" s="267">
        <f>INDEX(Coordinates!$B$2:$B$197,MATCH(H631,Coordinates!$J$2:$J$197,0))</f>
        <v>-2.2787559960000001</v>
      </c>
      <c r="AL631" s="267">
        <f>INDEX(Coordinates!$C$2:$C$197,MATCH(H631,Coordinates!$J$2:$J$197,0))</f>
        <v>34.032268969999997</v>
      </c>
      <c r="AM631" s="267" t="str">
        <f>IF(ISNUMBER(SEARCH("C", 'Dry_Litterbag Placem_Collection'!U192)),"YES","NO")</f>
        <v>NO</v>
      </c>
      <c r="AN631" s="267" t="str">
        <f>IF(ISNUMBER(SEARCH("H", 'Dry_Litterbag Placem_Collection'!U192)),"YES","NO")</f>
        <v>NO</v>
      </c>
      <c r="AO631" s="267" t="str">
        <f>IF(ISNUMBER(SEARCH("R", 'Dry_Litterbag Placem_Collection'!U192)),"YES","NO")</f>
        <v>NO</v>
      </c>
    </row>
    <row r="632" spans="1:41" ht="15" customHeight="1">
      <c r="A632" s="259" t="s">
        <v>2643</v>
      </c>
      <c r="B632" s="260">
        <f>'Dry_Litterbag Placem_Collection'!A193</f>
        <v>191</v>
      </c>
      <c r="C632" s="260" t="str">
        <f>'Dry_Litterbag Placem_Collection'!B193</f>
        <v>Handajega</v>
      </c>
      <c r="D632" s="260" t="s">
        <v>2454</v>
      </c>
      <c r="E632" s="260" t="s">
        <v>2645</v>
      </c>
      <c r="F632" s="260">
        <v>4</v>
      </c>
      <c r="G632" s="260" t="s">
        <v>3829</v>
      </c>
      <c r="H632" s="261" t="str">
        <f>'Dry_Litterbag Placem_Collection'!C193</f>
        <v>Wet_W4_T7</v>
      </c>
      <c r="I632" s="270" t="s">
        <v>3630</v>
      </c>
      <c r="J632" s="263" t="s">
        <v>1147</v>
      </c>
      <c r="K632" s="260" t="str">
        <f>IF(ISBLANK('Dry_Litterbag Placem_Collection'!L193),"","G"&amp;""&amp;'Dry_Litterbag Placem_Collection'!L193)</f>
        <v>G32</v>
      </c>
      <c r="L632" s="264">
        <f>IFERROR(INDEX('Green_rooibos initial weight'!$C$5:$C$2000,MATCH(K632, 'Green_rooibos initial weight'!$A$5:$A$2000,0)),"")</f>
        <v>2.0510000000000002</v>
      </c>
      <c r="M632" s="264">
        <f>IFERROR(L632-(TBIcalc!$Q$9+TBIcalc!$Q$10),"")</f>
        <v>1.8012000000000001</v>
      </c>
      <c r="N632" s="385">
        <f>AVERAGE(Ashed_controlls!$K$2:$K$11)</f>
        <v>5.5147656768714146</v>
      </c>
      <c r="O632" s="264">
        <f t="shared" si="46"/>
        <v>1.7018680406281923</v>
      </c>
      <c r="P632" s="264">
        <f>IFERROR(INDEX('Both teabags AfterDry'!$D$2:$D$2000,MATCH(K632,'Both teabags AfterDry'!$A$2:$A$2000,0)),"")</f>
        <v>0.77580000000000005</v>
      </c>
      <c r="Q632" s="264">
        <f>IFERROR(IF(P632&gt;0,P632-(TBIcalc!$Q$9),""),"")</f>
        <v>0.62519999999999998</v>
      </c>
      <c r="R632" s="275">
        <f>IFERROR(INDEX('Ashed teabags dry'!$K$2:$K$2000,MATCH(K632,'Ashed teabags dry'!$A$2:$A$2000,0)),"")</f>
        <v>25.871121718377726</v>
      </c>
      <c r="S632" s="275">
        <f t="shared" si="47"/>
        <v>0.46345374701670244</v>
      </c>
      <c r="T632" s="265">
        <f>IF('Dry_Litterbag Placem_Collection'!E193="","",'Dry_Litterbag Placem_Collection'!E193)</f>
        <v>42940</v>
      </c>
      <c r="U632" s="265">
        <f>IF('Dry_Litterbag Placem_Collection'!G193="","",'Dry_Litterbag Placem_Collection'!G193)</f>
        <v>43009</v>
      </c>
      <c r="V632" s="266">
        <f t="shared" si="45"/>
        <v>69</v>
      </c>
      <c r="W632" s="264">
        <f t="shared" si="48"/>
        <v>1.1760000000000002</v>
      </c>
      <c r="X632" s="264">
        <f t="shared" si="49"/>
        <v>1.2384142936114899</v>
      </c>
      <c r="Y632" s="268">
        <f>IFERROR(INDEX(Rainfall_Dry!$O$2:$O$217,MATCH(B632, Rainfall_Dry!$A$2:$A$217,0)),"")</f>
        <v>162.634207253</v>
      </c>
      <c r="Z632" s="257">
        <v>25.96</v>
      </c>
      <c r="AA632" s="257">
        <v>8.9200000000000017</v>
      </c>
      <c r="AB632" s="257">
        <v>65.12</v>
      </c>
      <c r="AC632" s="258" t="s">
        <v>2654</v>
      </c>
      <c r="AD632" s="257">
        <v>7.6991621488417898</v>
      </c>
      <c r="AE632">
        <f>IF('WetLitterbags placem_collection'!AB193="","",'WetLitterbags placem_collection'!AB193)</f>
        <v>12.4</v>
      </c>
      <c r="AF632">
        <f>IF('WetLitterbags placem_collection'!Z193="","",'WetLitterbags placem_collection'!Z193)</f>
        <v>29.8</v>
      </c>
      <c r="AG632" s="243" t="str">
        <f>IF('WetLitterbags placem_collection'!AA193="","",'WetLitterbags placem_collection'!AA193)</f>
        <v>O</v>
      </c>
      <c r="AH632">
        <f>IF('WetLitterbags placem_collection'!AC193="","",'WetLitterbags placem_collection'!AC193)</f>
        <v>0</v>
      </c>
      <c r="AI632">
        <f>IFERROR(AVERAGE('Dry_Litterbag Placem_Collection'!O193,'Dry_Litterbag Placem_Collection'!R193),"")</f>
        <v>6.45</v>
      </c>
      <c r="AJ632" s="268">
        <f>IFERROR(AVERAGE('Dry_Litterbag Placem_Collection'!N193,'Dry_Litterbag Placem_Collection'!Q193),"")</f>
        <v>36.349999999999994</v>
      </c>
      <c r="AK632" s="267">
        <f>INDEX(Coordinates!$B$2:$B$197,MATCH(H632,Coordinates!$J$2:$J$197,0))</f>
        <v>-2.278704029</v>
      </c>
      <c r="AL632" s="267">
        <f>INDEX(Coordinates!$C$2:$C$197,MATCH(H632,Coordinates!$J$2:$J$197,0))</f>
        <v>34.032182970000001</v>
      </c>
      <c r="AM632" s="267" t="str">
        <f>IF(ISNUMBER(SEARCH("C", 'Dry_Litterbag Placem_Collection'!U193)),"YES","NO")</f>
        <v>NO</v>
      </c>
      <c r="AN632" s="267" t="str">
        <f>IF(ISNUMBER(SEARCH("H", 'Dry_Litterbag Placem_Collection'!U193)),"YES","NO")</f>
        <v>NO</v>
      </c>
      <c r="AO632" s="267" t="str">
        <f>IF(ISNUMBER(SEARCH("R", 'Dry_Litterbag Placem_Collection'!U193)),"YES","NO")</f>
        <v>NO</v>
      </c>
    </row>
    <row r="633" spans="1:41" ht="15" customHeight="1">
      <c r="A633" s="259" t="s">
        <v>2643</v>
      </c>
      <c r="B633" s="260">
        <f>'Dry_Litterbag Placem_Collection'!A194</f>
        <v>192</v>
      </c>
      <c r="C633" s="260" t="str">
        <f>'Dry_Litterbag Placem_Collection'!B194</f>
        <v>Handajega</v>
      </c>
      <c r="D633" s="260" t="s">
        <v>2454</v>
      </c>
      <c r="E633" s="260" t="s">
        <v>2645</v>
      </c>
      <c r="F633" s="260">
        <v>4</v>
      </c>
      <c r="G633" s="260" t="s">
        <v>3829</v>
      </c>
      <c r="H633" s="261" t="str">
        <f>'Dry_Litterbag Placem_Collection'!C194</f>
        <v>Wet_W4_T8</v>
      </c>
      <c r="I633" s="270" t="s">
        <v>3630</v>
      </c>
      <c r="J633" s="263" t="s">
        <v>1147</v>
      </c>
      <c r="K633" s="260" t="str">
        <f>IF(ISBLANK('Dry_Litterbag Placem_Collection'!L194),"","G"&amp;""&amp;'Dry_Litterbag Placem_Collection'!L194)</f>
        <v/>
      </c>
      <c r="L633" s="264" t="str">
        <f>IFERROR(INDEX('Green_rooibos initial weight'!$C$5:$C$2000,MATCH(K633, 'Green_rooibos initial weight'!$A$5:$A$2000,0)),"")</f>
        <v/>
      </c>
      <c r="M633" s="264" t="str">
        <f>IFERROR(L633-(TBIcalc!$Q$9+TBIcalc!$Q$10),"")</f>
        <v/>
      </c>
      <c r="N633" s="385">
        <f>AVERAGE(Ashed_controlls!$K$2:$K$11)</f>
        <v>5.5147656768714146</v>
      </c>
      <c r="O633" s="264" t="str">
        <f t="shared" si="46"/>
        <v/>
      </c>
      <c r="P633" s="264" t="str">
        <f>IFERROR(INDEX('Both teabags AfterDry'!$D$2:$D$2000,MATCH(K633,'Both teabags AfterDry'!$A$2:$A$2000,0)),"")</f>
        <v/>
      </c>
      <c r="Q633" s="264" t="str">
        <f>IFERROR(IF(P633&gt;0,P633-(TBIcalc!$Q$9),""),"")</f>
        <v/>
      </c>
      <c r="R633" s="275" t="str">
        <f>IFERROR(INDEX('Ashed teabags dry'!$K$2:$K$2000,MATCH(K633,'Ashed teabags dry'!$A$2:$A$2000,0)),"")</f>
        <v/>
      </c>
      <c r="S633" s="275" t="str">
        <f t="shared" si="47"/>
        <v/>
      </c>
      <c r="T633" s="265" t="str">
        <f>IF('Dry_Litterbag Placem_Collection'!E194="","",'Dry_Litterbag Placem_Collection'!E194)</f>
        <v/>
      </c>
      <c r="U633" s="265" t="str">
        <f>IF('Dry_Litterbag Placem_Collection'!G194="","",'Dry_Litterbag Placem_Collection'!G194)</f>
        <v/>
      </c>
      <c r="V633" s="266" t="str">
        <f t="shared" si="45"/>
        <v/>
      </c>
      <c r="W633" s="264" t="str">
        <f t="shared" si="48"/>
        <v/>
      </c>
      <c r="X633" s="264" t="str">
        <f t="shared" si="49"/>
        <v/>
      </c>
      <c r="Y633" s="268" t="str">
        <f>IFERROR(INDEX(Rainfall_Dry!$O$2:$O$217,MATCH(B633, Rainfall_Dry!$A$2:$A$217,0)),"")</f>
        <v/>
      </c>
      <c r="Z633" s="257">
        <v>25.96</v>
      </c>
      <c r="AA633" s="257">
        <v>8.9200000000000017</v>
      </c>
      <c r="AB633" s="257">
        <v>65.12</v>
      </c>
      <c r="AC633" s="258" t="s">
        <v>2654</v>
      </c>
      <c r="AD633" s="257">
        <v>8.6991621488417898</v>
      </c>
      <c r="AE633">
        <f>IF('WetLitterbags placem_collection'!AB194="","",'WetLitterbags placem_collection'!AB194)</f>
        <v>3.6</v>
      </c>
      <c r="AF633">
        <f>IF('WetLitterbags placem_collection'!Z194="","",'WetLitterbags placem_collection'!Z194)</f>
        <v>37.799999999999997</v>
      </c>
      <c r="AG633" s="243" t="str">
        <f>IF('WetLitterbags placem_collection'!AA194="","",'WetLitterbags placem_collection'!AA194)</f>
        <v>O</v>
      </c>
      <c r="AH633">
        <f>IF('WetLitterbags placem_collection'!AC194="","",'WetLitterbags placem_collection'!AC194)</f>
        <v>0</v>
      </c>
      <c r="AI633" t="str">
        <f>IFERROR(AVERAGE('Dry_Litterbag Placem_Collection'!O194,'Dry_Litterbag Placem_Collection'!R194),"")</f>
        <v/>
      </c>
      <c r="AJ633" s="268" t="str">
        <f>IFERROR(AVERAGE('Dry_Litterbag Placem_Collection'!N194,'Dry_Litterbag Placem_Collection'!Q194),"")</f>
        <v/>
      </c>
      <c r="AK633" s="267">
        <f>INDEX(Coordinates!$B$2:$B$197,MATCH(H633,Coordinates!$J$2:$J$197,0))</f>
        <v>-2.2789770269999998</v>
      </c>
      <c r="AL633" s="267">
        <f>INDEX(Coordinates!$C$2:$C$197,MATCH(H633,Coordinates!$J$2:$J$197,0))</f>
        <v>34.032051039999999</v>
      </c>
      <c r="AM633" s="267" t="str">
        <f>IF(ISNUMBER(SEARCH("C", 'Dry_Litterbag Placem_Collection'!U194)),"YES","NO")</f>
        <v>NO</v>
      </c>
      <c r="AN633" s="267" t="str">
        <f>IF(ISNUMBER(SEARCH("H", 'Dry_Litterbag Placem_Collection'!U194)),"YES","NO")</f>
        <v>NO</v>
      </c>
      <c r="AO633" s="267" t="str">
        <f>IF(ISNUMBER(SEARCH("R", 'Dry_Litterbag Placem_Collection'!U194)),"YES","NO")</f>
        <v>NO</v>
      </c>
    </row>
    <row r="634" spans="1:41" ht="15" customHeight="1">
      <c r="A634" s="259" t="s">
        <v>2643</v>
      </c>
      <c r="B634" s="260">
        <f>'Dry_Litterbag Placem_Collection'!A195</f>
        <v>193</v>
      </c>
      <c r="C634" s="260" t="str">
        <f>'Dry_Litterbag Placem_Collection'!B195</f>
        <v>Makao</v>
      </c>
      <c r="D634" s="260" t="s">
        <v>2643</v>
      </c>
      <c r="E634" s="260" t="s">
        <v>2512</v>
      </c>
      <c r="F634" s="260">
        <v>4</v>
      </c>
      <c r="G634" s="260" t="s">
        <v>3798</v>
      </c>
      <c r="H634" s="261" t="str">
        <f>'Dry_Litterbag Placem_Collection'!C195</f>
        <v>Dry_Ag1_CG4</v>
      </c>
      <c r="I634" s="270" t="s">
        <v>3630</v>
      </c>
      <c r="J634" s="263" t="s">
        <v>1147</v>
      </c>
      <c r="K634" s="260" t="str">
        <f>IF(ISBLANK('Dry_Litterbag Placem_Collection'!L195),"","G"&amp;""&amp;'Dry_Litterbag Placem_Collection'!L195)</f>
        <v>G45</v>
      </c>
      <c r="L634" s="264">
        <f>IFERROR(INDEX('Green_rooibos initial weight'!$C$5:$C$2000,MATCH(K634, 'Green_rooibos initial weight'!$A$5:$A$2000,0)),"")</f>
        <v>2.0779999999999998</v>
      </c>
      <c r="M634" s="264">
        <f>IFERROR(L634-(TBIcalc!$Q$9+TBIcalc!$Q$10),"")</f>
        <v>1.8281999999999998</v>
      </c>
      <c r="N634" s="385">
        <f>AVERAGE(Ashed_controlls!$K$2:$K$11)</f>
        <v>5.5147656768714146</v>
      </c>
      <c r="O634" s="264">
        <f t="shared" si="46"/>
        <v>1.7273790538954366</v>
      </c>
      <c r="P634" s="264">
        <f>IFERROR(INDEX('Both teabags AfterDry'!$D$2:$D$2000,MATCH(K634,'Both teabags AfterDry'!$A$2:$A$2000,0)),"")</f>
        <v>0.82699999999999996</v>
      </c>
      <c r="Q634" s="264">
        <f>IFERROR(IF(P634&gt;0,P634-(TBIcalc!$Q$9),""),"")</f>
        <v>0.67639999999999989</v>
      </c>
      <c r="R634" s="275">
        <f>IFERROR(INDEX('Ashed teabags dry'!$K$2:$K$2000,MATCH(K634,'Ashed teabags dry'!$A$2:$A$2000,0)),"")</f>
        <v>13.455953533397516</v>
      </c>
      <c r="S634" s="275">
        <f t="shared" si="47"/>
        <v>0.58538393030009916</v>
      </c>
      <c r="T634" s="265">
        <f>IF('Dry_Litterbag Placem_Collection'!E195="","",'Dry_Litterbag Placem_Collection'!E195)</f>
        <v>42942</v>
      </c>
      <c r="U634" s="265">
        <f>IF('Dry_Litterbag Placem_Collection'!G195="","",'Dry_Litterbag Placem_Collection'!G195)</f>
        <v>43004</v>
      </c>
      <c r="V634" s="266">
        <f t="shared" si="45"/>
        <v>62</v>
      </c>
      <c r="W634" s="264">
        <f t="shared" si="48"/>
        <v>1.1517999999999999</v>
      </c>
      <c r="X634" s="264">
        <f t="shared" si="49"/>
        <v>1.1419951235953374</v>
      </c>
      <c r="Y634" s="268">
        <f>IFERROR(INDEX(Rainfall_Dry!$O$2:$O$217,MATCH(B634, Rainfall_Dry!$A$2:$A$217,0)),"")</f>
        <v>171.84818423999999</v>
      </c>
      <c r="Z634" s="257">
        <v>12.565665055683967</v>
      </c>
      <c r="AA634" s="257">
        <v>0.9665896196679955</v>
      </c>
      <c r="AB634" s="257">
        <v>86.467745324648035</v>
      </c>
      <c r="AC634" s="258" t="s">
        <v>2656</v>
      </c>
      <c r="AD634" s="257">
        <v>1.0225726959093147</v>
      </c>
      <c r="AE634">
        <f>IF('WetLitterbags placem_collection'!AB195="","",'WetLitterbags placem_collection'!AB195)</f>
        <v>15.2</v>
      </c>
      <c r="AF634">
        <f>IF('WetLitterbags placem_collection'!Z195="","",'WetLitterbags placem_collection'!Z195)</f>
        <v>12.2</v>
      </c>
      <c r="AG634" s="243" t="str">
        <f>IF('WetLitterbags placem_collection'!AA195="","",'WetLitterbags placem_collection'!AA195)</f>
        <v>O</v>
      </c>
      <c r="AH634">
        <f>IF('WetLitterbags placem_collection'!AC195="","",'WetLitterbags placem_collection'!AC195)</f>
        <v>1</v>
      </c>
      <c r="AI634">
        <f>IFERROR(AVERAGE('Dry_Litterbag Placem_Collection'!O195,'Dry_Litterbag Placem_Collection'!R195),"")</f>
        <v>5.0999999999999996</v>
      </c>
      <c r="AJ634" s="268">
        <f>IFERROR(AVERAGE('Dry_Litterbag Placem_Collection'!N195,'Dry_Litterbag Placem_Collection'!Q195),"")</f>
        <v>28.799999999999997</v>
      </c>
      <c r="AK634">
        <v>-2.4396949910000001</v>
      </c>
      <c r="AL634">
        <v>34.838574029999997</v>
      </c>
      <c r="AM634" s="267" t="str">
        <f>IF(ISNUMBER(SEARCH("C", 'Dry_Litterbag Placem_Collection'!U195)),"YES","NO")</f>
        <v>NO</v>
      </c>
      <c r="AN634" s="267" t="str">
        <f>IF(ISNUMBER(SEARCH("H", 'Dry_Litterbag Placem_Collection'!U195)),"YES","NO")</f>
        <v>NO</v>
      </c>
      <c r="AO634" s="267" t="str">
        <f>IF(ISNUMBER(SEARCH("R", 'Dry_Litterbag Placem_Collection'!U195)),"YES","NO")</f>
        <v>YES</v>
      </c>
    </row>
    <row r="635" spans="1:41" ht="15" customHeight="1">
      <c r="A635" s="259" t="s">
        <v>2643</v>
      </c>
      <c r="B635" s="260">
        <f>'Dry_Litterbag Placem_Collection'!A196</f>
        <v>194</v>
      </c>
      <c r="C635" s="260" t="str">
        <f>'Dry_Litterbag Placem_Collection'!B196</f>
        <v>Makao</v>
      </c>
      <c r="D635" s="260" t="s">
        <v>2643</v>
      </c>
      <c r="E635" s="260" t="s">
        <v>2512</v>
      </c>
      <c r="F635" s="260">
        <v>3</v>
      </c>
      <c r="G635" s="260" t="s">
        <v>3802</v>
      </c>
      <c r="H635" s="261" t="str">
        <f>'Dry_Litterbag Placem_Collection'!C196</f>
        <v>Dry_Ag2_CG3</v>
      </c>
      <c r="I635" s="270" t="s">
        <v>3630</v>
      </c>
      <c r="J635" s="263" t="s">
        <v>1147</v>
      </c>
      <c r="K635" s="260" t="str">
        <f>IF(ISBLANK('Dry_Litterbag Placem_Collection'!L196),"","G"&amp;""&amp;'Dry_Litterbag Placem_Collection'!L196)</f>
        <v>G90</v>
      </c>
      <c r="L635" s="264">
        <f>IFERROR(INDEX('Green_rooibos initial weight'!$C$5:$C$2000,MATCH(K635, 'Green_rooibos initial weight'!$A$5:$A$2000,0)),"")</f>
        <v>2.0409999999999999</v>
      </c>
      <c r="M635" s="264">
        <f>IFERROR(L635-(TBIcalc!$Q$9+TBIcalc!$Q$10),"")</f>
        <v>1.7911999999999999</v>
      </c>
      <c r="N635" s="385">
        <f>AVERAGE(Ashed_controlls!$K$2:$K$11)</f>
        <v>5.5147656768714146</v>
      </c>
      <c r="O635" s="264">
        <f t="shared" si="46"/>
        <v>1.6924195171958791</v>
      </c>
      <c r="P635" s="264">
        <f>IFERROR(INDEX('Both teabags AfterDry'!$D$2:$D$2000,MATCH(K635,'Both teabags AfterDry'!$A$2:$A$2000,0)),"")</f>
        <v>0.74199999999999999</v>
      </c>
      <c r="Q635" s="264">
        <f>IFERROR(IF(P635&gt;0,P635-(TBIcalc!$Q$9),""),"")</f>
        <v>0.59139999999999993</v>
      </c>
      <c r="R635" s="275">
        <f>IFERROR(INDEX('Ashed teabags dry'!$K$2:$K$2000,MATCH(K635,'Ashed teabags dry'!$A$2:$A$2000,0)),"")</f>
        <v>15.52150271873475</v>
      </c>
      <c r="S635" s="275">
        <f t="shared" si="47"/>
        <v>0.49960583292140259</v>
      </c>
      <c r="T635" s="265">
        <f>IF('Dry_Litterbag Placem_Collection'!E196="","",'Dry_Litterbag Placem_Collection'!E196)</f>
        <v>42942</v>
      </c>
      <c r="U635" s="265">
        <f>IF('Dry_Litterbag Placem_Collection'!G196="","",'Dry_Litterbag Placem_Collection'!G196)</f>
        <v>43004</v>
      </c>
      <c r="V635" s="266">
        <f t="shared" si="45"/>
        <v>62</v>
      </c>
      <c r="W635" s="264">
        <f t="shared" si="48"/>
        <v>1.1998</v>
      </c>
      <c r="X635" s="264">
        <f t="shared" si="49"/>
        <v>1.1928136842744765</v>
      </c>
      <c r="Y635" s="268">
        <f>IFERROR(INDEX(Rainfall_Dry!$O$2:$O$217,MATCH(B635, Rainfall_Dry!$A$2:$A$217,0)),"")</f>
        <v>171.84818423999999</v>
      </c>
      <c r="Z635" s="257">
        <v>21.13063730679653</v>
      </c>
      <c r="AA635" s="257">
        <v>3.0912555579081076</v>
      </c>
      <c r="AB635" s="257">
        <v>75.778107135295357</v>
      </c>
      <c r="AC635" s="258" t="s">
        <v>2654</v>
      </c>
      <c r="AD635" s="257">
        <v>0.46131099063578063</v>
      </c>
      <c r="AE635">
        <f>IF('WetLitterbags placem_collection'!AB196="","",'WetLitterbags placem_collection'!AB196)</f>
        <v>7.9</v>
      </c>
      <c r="AF635">
        <f>IF('WetLitterbags placem_collection'!Z196="","",'WetLitterbags placem_collection'!Z196)</f>
        <v>7.9</v>
      </c>
      <c r="AG635" s="243" t="str">
        <f>IF('WetLitterbags placem_collection'!AA196="","",'WetLitterbags placem_collection'!AA196)</f>
        <v>O</v>
      </c>
      <c r="AH635">
        <f>IF('WetLitterbags placem_collection'!AC196="","",'WetLitterbags placem_collection'!AC196)</f>
        <v>1</v>
      </c>
      <c r="AI635">
        <f>IFERROR(AVERAGE('Dry_Litterbag Placem_Collection'!O196,'Dry_Litterbag Placem_Collection'!R196),"")</f>
        <v>5.4</v>
      </c>
      <c r="AJ635" s="268">
        <f>IFERROR(AVERAGE('Dry_Litterbag Placem_Collection'!N196,'Dry_Litterbag Placem_Collection'!Q196),"")</f>
        <v>30.849999999999998</v>
      </c>
      <c r="AK635">
        <v>-2.4395990190000001</v>
      </c>
      <c r="AL635">
        <v>34.838418959999998</v>
      </c>
      <c r="AM635" s="267" t="str">
        <f>IF(ISNUMBER(SEARCH("C", 'Dry_Litterbag Placem_Collection'!U196)),"YES","NO")</f>
        <v>NO</v>
      </c>
      <c r="AN635" s="267" t="str">
        <f>IF(ISNUMBER(SEARCH("H", 'Dry_Litterbag Placem_Collection'!U196)),"YES","NO")</f>
        <v>NO</v>
      </c>
      <c r="AO635" s="267" t="str">
        <f>IF(ISNUMBER(SEARCH("R", 'Dry_Litterbag Placem_Collection'!U196)),"YES","NO")</f>
        <v>YES</v>
      </c>
    </row>
    <row r="636" spans="1:41" ht="15" customHeight="1">
      <c r="A636" s="259" t="s">
        <v>2643</v>
      </c>
      <c r="B636" s="260">
        <f>'Dry_Litterbag Placem_Collection'!A197</f>
        <v>195</v>
      </c>
      <c r="C636" s="260" t="str">
        <f>'Dry_Litterbag Placem_Collection'!B197</f>
        <v>Makao</v>
      </c>
      <c r="D636" s="260" t="s">
        <v>2643</v>
      </c>
      <c r="E636" s="260" t="s">
        <v>2512</v>
      </c>
      <c r="F636" s="260">
        <v>2</v>
      </c>
      <c r="G636" s="260" t="s">
        <v>3803</v>
      </c>
      <c r="H636" s="261" t="str">
        <f>'Dry_Litterbag Placem_Collection'!C197</f>
        <v>Dry_Ag3_CG2</v>
      </c>
      <c r="I636" s="270" t="s">
        <v>3630</v>
      </c>
      <c r="J636" s="263" t="s">
        <v>1147</v>
      </c>
      <c r="K636" s="260" t="str">
        <f>IF(ISBLANK('Dry_Litterbag Placem_Collection'!L197),"","G"&amp;""&amp;'Dry_Litterbag Placem_Collection'!L197)</f>
        <v>G338</v>
      </c>
      <c r="L636" s="264">
        <f>IFERROR(INDEX('Green_rooibos initial weight'!$C$5:$C$2000,MATCH(K636, 'Green_rooibos initial weight'!$A$5:$A$2000,0)),"")</f>
        <v>1.946</v>
      </c>
      <c r="M636" s="264">
        <f>IFERROR(L636-(TBIcalc!$Q$9+TBIcalc!$Q$10),"")</f>
        <v>1.6961999999999999</v>
      </c>
      <c r="N636" s="385">
        <f>AVERAGE(Ashed_controlls!$K$2:$K$11)</f>
        <v>5.5147656768714146</v>
      </c>
      <c r="O636" s="264">
        <f t="shared" si="46"/>
        <v>1.602658544588907</v>
      </c>
      <c r="P636" s="264">
        <f>IFERROR(INDEX('Both teabags AfterDry'!$D$2:$D$2000,MATCH(K636,'Both teabags AfterDry'!$A$2:$A$2000,0)),"")</f>
        <v>0.83299999999999996</v>
      </c>
      <c r="Q636" s="264">
        <f>IFERROR(IF(P636&gt;0,P636-(TBIcalc!$Q$9),""),"")</f>
        <v>0.6823999999999999</v>
      </c>
      <c r="R636" s="275">
        <f>IFERROR(INDEX('Ashed teabags dry'!$K$2:$K$2000,MATCH(K636,'Ashed teabags dry'!$A$2:$A$2000,0)),"")</f>
        <v>16.185258964144143</v>
      </c>
      <c r="S636" s="275">
        <f t="shared" si="47"/>
        <v>0.57195179282868025</v>
      </c>
      <c r="T636" s="265">
        <f>IF('Dry_Litterbag Placem_Collection'!E197="","",'Dry_Litterbag Placem_Collection'!E197)</f>
        <v>42942</v>
      </c>
      <c r="U636" s="265">
        <f>IF('Dry_Litterbag Placem_Collection'!G197="","",'Dry_Litterbag Placem_Collection'!G197)</f>
        <v>43004</v>
      </c>
      <c r="V636" s="266">
        <f t="shared" si="45"/>
        <v>62</v>
      </c>
      <c r="W636" s="264">
        <f t="shared" si="48"/>
        <v>1.0138</v>
      </c>
      <c r="X636" s="264">
        <f t="shared" si="49"/>
        <v>1.0307067517602269</v>
      </c>
      <c r="Y636" s="268">
        <f>IFERROR(INDEX(Rainfall_Dry!$O$2:$O$217,MATCH(B636, Rainfall_Dry!$A$2:$A$217,0)),"")</f>
        <v>171.84818423999999</v>
      </c>
      <c r="Z636" s="257">
        <v>54.080969906906262</v>
      </c>
      <c r="AA636" s="257">
        <v>21.264484651351896</v>
      </c>
      <c r="AB636" s="257">
        <v>24.654545441741845</v>
      </c>
      <c r="AC636" s="258" t="s">
        <v>2657</v>
      </c>
      <c r="AD636" s="257">
        <v>1.8433218334154755</v>
      </c>
      <c r="AE636">
        <f>IF('WetLitterbags placem_collection'!AB197="","",'WetLitterbags placem_collection'!AB197)</f>
        <v>5.13</v>
      </c>
      <c r="AF636">
        <f>IF('WetLitterbags placem_collection'!Z197="","",'WetLitterbags placem_collection'!Z197)</f>
        <v>5.13</v>
      </c>
      <c r="AG636" s="243" t="str">
        <f>IF('WetLitterbags placem_collection'!AA197="","",'WetLitterbags placem_collection'!AA197)</f>
        <v>O</v>
      </c>
      <c r="AH636">
        <f>IF('WetLitterbags placem_collection'!AC197="","",'WetLitterbags placem_collection'!AC197)</f>
        <v>1</v>
      </c>
      <c r="AI636">
        <f>IFERROR(AVERAGE('Dry_Litterbag Placem_Collection'!O197,'Dry_Litterbag Placem_Collection'!R197),"")</f>
        <v>11.4</v>
      </c>
      <c r="AJ636" s="268">
        <f>IFERROR(AVERAGE('Dry_Litterbag Placem_Collection'!N197,'Dry_Litterbag Placem_Collection'!Q197),"")</f>
        <v>28.1</v>
      </c>
      <c r="AK636">
        <v>-2.4396450349999999</v>
      </c>
      <c r="AL636">
        <v>34.83836599</v>
      </c>
      <c r="AM636" s="267" t="str">
        <f>IF(ISNUMBER(SEARCH("C", 'Dry_Litterbag Placem_Collection'!U197)),"YES","NO")</f>
        <v>NO</v>
      </c>
      <c r="AN636" s="267" t="str">
        <f>IF(ISNUMBER(SEARCH("H", 'Dry_Litterbag Placem_Collection'!U197)),"YES","NO")</f>
        <v>NO</v>
      </c>
      <c r="AO636" s="267" t="str">
        <f>IF(ISNUMBER(SEARCH("R", 'Dry_Litterbag Placem_Collection'!U197)),"YES","NO")</f>
        <v>YES</v>
      </c>
    </row>
    <row r="637" spans="1:41" ht="15" customHeight="1">
      <c r="A637" s="259" t="s">
        <v>2643</v>
      </c>
      <c r="B637" s="260">
        <f>'Dry_Litterbag Placem_Collection'!A198</f>
        <v>196</v>
      </c>
      <c r="C637" s="260" t="str">
        <f>'Dry_Litterbag Placem_Collection'!B198</f>
        <v>Makao</v>
      </c>
      <c r="D637" s="260" t="s">
        <v>2643</v>
      </c>
      <c r="E637" s="260" t="s">
        <v>2512</v>
      </c>
      <c r="F637" s="260">
        <v>1</v>
      </c>
      <c r="G637" s="260" t="s">
        <v>3804</v>
      </c>
      <c r="H637" s="261" t="str">
        <f>'Dry_Litterbag Placem_Collection'!C198</f>
        <v>Dry_Ag4_CG1</v>
      </c>
      <c r="I637" s="270" t="s">
        <v>3630</v>
      </c>
      <c r="J637" s="263" t="s">
        <v>1147</v>
      </c>
      <c r="K637" s="260" t="str">
        <f>IF(ISBLANK('Dry_Litterbag Placem_Collection'!L198),"","G"&amp;""&amp;'Dry_Litterbag Placem_Collection'!L198)</f>
        <v>G243</v>
      </c>
      <c r="L637" s="264">
        <f>IFERROR(INDEX('Green_rooibos initial weight'!$C$5:$C$2000,MATCH(K637, 'Green_rooibos initial weight'!$A$5:$A$2000,0)),"")</f>
        <v>2.13</v>
      </c>
      <c r="M637" s="264">
        <f>IFERROR(L637-(TBIcalc!$Q$9+TBIcalc!$Q$10),"")</f>
        <v>1.8801999999999999</v>
      </c>
      <c r="N637" s="385">
        <f>AVERAGE(Ashed_controlls!$K$2:$K$11)</f>
        <v>5.5147656768714146</v>
      </c>
      <c r="O637" s="264">
        <f t="shared" si="46"/>
        <v>1.7765113757434636</v>
      </c>
      <c r="P637" s="264">
        <f>IFERROR(INDEX('Both teabags AfterDry'!$D$2:$D$2000,MATCH(K637,'Both teabags AfterDry'!$A$2:$A$2000,0)),"")</f>
        <v>1.04</v>
      </c>
      <c r="Q637" s="264">
        <f>IFERROR(IF(P637&gt;0,P637-(TBIcalc!$Q$9),""),"")</f>
        <v>0.88939999999999997</v>
      </c>
      <c r="R637" s="275">
        <f>IFERROR(INDEX('Ashed teabags dry'!$K$2:$K$2000,MATCH(K637,'Ashed teabags dry'!$A$2:$A$2000,0)),"")</f>
        <v>17.944173681878588</v>
      </c>
      <c r="S637" s="275">
        <f t="shared" si="47"/>
        <v>0.72980451927337175</v>
      </c>
      <c r="T637" s="265">
        <f>IF('Dry_Litterbag Placem_Collection'!E198="","",'Dry_Litterbag Placem_Collection'!E198)</f>
        <v>42942</v>
      </c>
      <c r="U637" s="265">
        <f>IF('Dry_Litterbag Placem_Collection'!G198="","",'Dry_Litterbag Placem_Collection'!G198)</f>
        <v>43004</v>
      </c>
      <c r="V637" s="266">
        <f t="shared" si="45"/>
        <v>62</v>
      </c>
      <c r="W637" s="264">
        <f t="shared" si="48"/>
        <v>0.9907999999999999</v>
      </c>
      <c r="X637" s="264">
        <f t="shared" si="49"/>
        <v>1.0467068564700919</v>
      </c>
      <c r="Y637" s="268">
        <f>IFERROR(INDEX(Rainfall_Dry!$O$2:$O$217,MATCH(B637, Rainfall_Dry!$A$2:$A$217,0)),"")</f>
        <v>171.84818423999999</v>
      </c>
      <c r="Z637" s="257">
        <v>51.960000000000008</v>
      </c>
      <c r="AA637" s="257">
        <v>18.919999999999995</v>
      </c>
      <c r="AB637" s="257">
        <v>29.120000000000005</v>
      </c>
      <c r="AC637" s="258" t="s">
        <v>2657</v>
      </c>
      <c r="AD637" s="257">
        <v>1.85293247905372</v>
      </c>
      <c r="AE637">
        <f>IF('WetLitterbags placem_collection'!AB198="","",'WetLitterbags placem_collection'!AB198)</f>
        <v>13.8</v>
      </c>
      <c r="AF637">
        <f>IF('WetLitterbags placem_collection'!Z198="","",'WetLitterbags placem_collection'!Z198)</f>
        <v>17.399999999999999</v>
      </c>
      <c r="AG637" s="243" t="str">
        <f>IF('WetLitterbags placem_collection'!AA198="","",'WetLitterbags placem_collection'!AA198)</f>
        <v>O</v>
      </c>
      <c r="AH637">
        <f>IF('WetLitterbags placem_collection'!AC198="","",'WetLitterbags placem_collection'!AC198)</f>
        <v>1</v>
      </c>
      <c r="AI637">
        <f>IFERROR(AVERAGE('Dry_Litterbag Placem_Collection'!O198,'Dry_Litterbag Placem_Collection'!R198),"")</f>
        <v>12.45</v>
      </c>
      <c r="AJ637" s="268">
        <f>IFERROR(AVERAGE('Dry_Litterbag Placem_Collection'!N198,'Dry_Litterbag Placem_Collection'!Q198),"")</f>
        <v>26.65</v>
      </c>
      <c r="AK637">
        <v>-2.439403972</v>
      </c>
      <c r="AL637">
        <v>34.838404959999998</v>
      </c>
      <c r="AM637" s="267" t="str">
        <f>IF(ISNUMBER(SEARCH("C", 'Dry_Litterbag Placem_Collection'!U198)),"YES","NO")</f>
        <v>NO</v>
      </c>
      <c r="AN637" s="267" t="str">
        <f>IF(ISNUMBER(SEARCH("H", 'Dry_Litterbag Placem_Collection'!U198)),"YES","NO")</f>
        <v>NO</v>
      </c>
      <c r="AO637" s="267" t="str">
        <f>IF(ISNUMBER(SEARCH("R", 'Dry_Litterbag Placem_Collection'!U198)),"YES","NO")</f>
        <v>YES</v>
      </c>
    </row>
    <row r="638" spans="1:41" ht="15" customHeight="1">
      <c r="A638" s="259" t="s">
        <v>2643</v>
      </c>
      <c r="B638" s="260">
        <f>'Dry_Litterbag Placem_Collection'!A199</f>
        <v>197</v>
      </c>
      <c r="C638" s="260" t="str">
        <f>'Dry_Litterbag Placem_Collection'!B199</f>
        <v>Makao</v>
      </c>
      <c r="D638" s="260" t="s">
        <v>2643</v>
      </c>
      <c r="E638" s="260" t="s">
        <v>2512</v>
      </c>
      <c r="F638" s="260">
        <v>2</v>
      </c>
      <c r="G638" s="260" t="s">
        <v>3805</v>
      </c>
      <c r="H638" s="261" t="str">
        <f>'Dry_Litterbag Placem_Collection'!C199</f>
        <v>Dry_P1_CG2</v>
      </c>
      <c r="I638" s="270" t="s">
        <v>3630</v>
      </c>
      <c r="J638" s="263" t="s">
        <v>1147</v>
      </c>
      <c r="K638" s="260" t="str">
        <f>IF(ISBLANK('Dry_Litterbag Placem_Collection'!L199),"","G"&amp;""&amp;'Dry_Litterbag Placem_Collection'!L199)</f>
        <v>G254</v>
      </c>
      <c r="L638" s="264">
        <f>IFERROR(INDEX('Green_rooibos initial weight'!$C$5:$C$2000,MATCH(K638, 'Green_rooibos initial weight'!$A$5:$A$2000,0)),"")</f>
        <v>1.917</v>
      </c>
      <c r="M638" s="264">
        <f>IFERROR(L638-(TBIcalc!$Q$9+TBIcalc!$Q$10),"")</f>
        <v>1.6672</v>
      </c>
      <c r="N638" s="385">
        <f>AVERAGE(Ashed_controlls!$K$2:$K$11)</f>
        <v>5.5147656768714146</v>
      </c>
      <c r="O638" s="264">
        <f t="shared" si="46"/>
        <v>1.5752578266351998</v>
      </c>
      <c r="P638" s="264">
        <f>IFERROR(INDEX('Both teabags AfterDry'!$D$2:$D$2000,MATCH(K638,'Both teabags AfterDry'!$A$2:$A$2000,0)),"")</f>
        <v>0.82399999999999995</v>
      </c>
      <c r="Q638" s="264">
        <f>IFERROR(IF(P638&gt;0,P638-(TBIcalc!$Q$9),""),"")</f>
        <v>0.6734</v>
      </c>
      <c r="R638" s="275">
        <f>IFERROR(INDEX('Ashed teabags dry'!$K$2:$K$2000,MATCH(K638,'Ashed teabags dry'!$A$2:$A$2000,0)),"")</f>
        <v>25.135802469135722</v>
      </c>
      <c r="S638" s="275">
        <f t="shared" si="47"/>
        <v>0.50413550617284009</v>
      </c>
      <c r="T638" s="265">
        <f>IF('Dry_Litterbag Placem_Collection'!E199="","",'Dry_Litterbag Placem_Collection'!E199)</f>
        <v>42942</v>
      </c>
      <c r="U638" s="265">
        <f>IF('Dry_Litterbag Placem_Collection'!G199="","",'Dry_Litterbag Placem_Collection'!G199)</f>
        <v>43004</v>
      </c>
      <c r="V638" s="266">
        <f t="shared" si="45"/>
        <v>62</v>
      </c>
      <c r="W638" s="264">
        <f t="shared" si="48"/>
        <v>0.99380000000000002</v>
      </c>
      <c r="X638" s="264">
        <f t="shared" si="49"/>
        <v>1.0711223204623597</v>
      </c>
      <c r="Y638" s="268">
        <f>IFERROR(INDEX(Rainfall_Dry!$O$2:$O$217,MATCH(B638, Rainfall_Dry!$A$2:$A$217,0)),"")</f>
        <v>171.84818423999999</v>
      </c>
      <c r="Z638" s="257">
        <v>23.96</v>
      </c>
      <c r="AA638" s="257">
        <v>0.91999999999999804</v>
      </c>
      <c r="AB638" s="257">
        <v>75.12</v>
      </c>
      <c r="AC638" s="258" t="s">
        <v>2654</v>
      </c>
      <c r="AD638" s="257">
        <v>1.2493839329719072</v>
      </c>
      <c r="AE638">
        <f>IF('WetLitterbags placem_collection'!AB199="","",'WetLitterbags placem_collection'!AB199)</f>
        <v>5.13</v>
      </c>
      <c r="AF638">
        <f>IF('WetLitterbags placem_collection'!Z199="","",'WetLitterbags placem_collection'!Z199)</f>
        <v>5.13</v>
      </c>
      <c r="AG638" s="243" t="str">
        <f>IF('WetLitterbags placem_collection'!AA199="","",'WetLitterbags placem_collection'!AA199)</f>
        <v>O</v>
      </c>
      <c r="AH638">
        <f>IF('WetLitterbags placem_collection'!AC199="","",'WetLitterbags placem_collection'!AC199)</f>
        <v>1</v>
      </c>
      <c r="AI638">
        <f>IFERROR(AVERAGE('Dry_Litterbag Placem_Collection'!O199,'Dry_Litterbag Placem_Collection'!R199),"")</f>
        <v>6.3000000000000007</v>
      </c>
      <c r="AJ638" s="268">
        <f>IFERROR(AVERAGE('Dry_Litterbag Placem_Collection'!N199,'Dry_Litterbag Placem_Collection'!Q199),"")</f>
        <v>29.05</v>
      </c>
      <c r="AK638">
        <v>-2.4396450349999999</v>
      </c>
      <c r="AL638">
        <v>34.83836599</v>
      </c>
      <c r="AM638" s="267" t="str">
        <f>IF(ISNUMBER(SEARCH("C", 'Dry_Litterbag Placem_Collection'!U199)),"YES","NO")</f>
        <v>NO</v>
      </c>
      <c r="AN638" s="267" t="str">
        <f>IF(ISNUMBER(SEARCH("H", 'Dry_Litterbag Placem_Collection'!U199)),"YES","NO")</f>
        <v>NO</v>
      </c>
      <c r="AO638" s="267" t="str">
        <f>IF(ISNUMBER(SEARCH("R", 'Dry_Litterbag Placem_Collection'!U199)),"YES","NO")</f>
        <v>YES</v>
      </c>
    </row>
    <row r="639" spans="1:41" ht="15" customHeight="1">
      <c r="A639" s="259" t="s">
        <v>2643</v>
      </c>
      <c r="B639" s="260">
        <f>'Dry_Litterbag Placem_Collection'!A200</f>
        <v>198</v>
      </c>
      <c r="C639" s="260" t="str">
        <f>'Dry_Litterbag Placem_Collection'!B200</f>
        <v>Makao</v>
      </c>
      <c r="D639" s="260" t="s">
        <v>2643</v>
      </c>
      <c r="E639" s="260" t="s">
        <v>2512</v>
      </c>
      <c r="F639" s="260">
        <v>3</v>
      </c>
      <c r="G639" s="260" t="s">
        <v>3807</v>
      </c>
      <c r="H639" s="261" t="str">
        <f>'Dry_Litterbag Placem_Collection'!C200</f>
        <v>Dry_P2_CG3</v>
      </c>
      <c r="I639" s="270" t="s">
        <v>3630</v>
      </c>
      <c r="J639" s="263" t="s">
        <v>1147</v>
      </c>
      <c r="K639" s="260" t="str">
        <f>IF(ISBLANK('Dry_Litterbag Placem_Collection'!L200),"","G"&amp;""&amp;'Dry_Litterbag Placem_Collection'!L200)</f>
        <v>G780</v>
      </c>
      <c r="L639" s="264">
        <f>IFERROR(INDEX('Green_rooibos initial weight'!$C$5:$C$2000,MATCH(K639, 'Green_rooibos initial weight'!$A$5:$A$2000,0)),"")</f>
        <v>1.962</v>
      </c>
      <c r="M639" s="264">
        <f>IFERROR(L639-(TBIcalc!$Q$9+TBIcalc!$Q$10),"")</f>
        <v>1.7121999999999999</v>
      </c>
      <c r="N639" s="385">
        <f>AVERAGE(Ashed_controlls!$K$2:$K$11)</f>
        <v>5.5147656768714146</v>
      </c>
      <c r="O639" s="264">
        <f t="shared" si="46"/>
        <v>1.6177761820806076</v>
      </c>
      <c r="P639" s="264">
        <f>IFERROR(INDEX('Both teabags AfterDry'!$D$2:$D$2000,MATCH(K639,'Both teabags AfterDry'!$A$2:$A$2000,0)),"")</f>
        <v>0.69899999999999995</v>
      </c>
      <c r="Q639" s="264">
        <f>IFERROR(IF(P639&gt;0,P639-(TBIcalc!$Q$9),""),"")</f>
        <v>0.5484</v>
      </c>
      <c r="R639" s="275">
        <f>IFERROR(INDEX('Ashed teabags dry'!$K$2:$K$2000,MATCH(K639,'Ashed teabags dry'!$A$2:$A$2000,0)),"")</f>
        <v>13.974854932302094</v>
      </c>
      <c r="S639" s="275">
        <f t="shared" si="47"/>
        <v>0.47176189555125531</v>
      </c>
      <c r="T639" s="265">
        <f>IF('Dry_Litterbag Placem_Collection'!E200="","",'Dry_Litterbag Placem_Collection'!E200)</f>
        <v>42942</v>
      </c>
      <c r="U639" s="265">
        <f>IF('Dry_Litterbag Placem_Collection'!G200="","",'Dry_Litterbag Placem_Collection'!G200)</f>
        <v>43004</v>
      </c>
      <c r="V639" s="266">
        <f t="shared" si="45"/>
        <v>62</v>
      </c>
      <c r="W639" s="264">
        <f t="shared" si="48"/>
        <v>1.1637999999999999</v>
      </c>
      <c r="X639" s="264">
        <f t="shared" si="49"/>
        <v>1.1460142865293523</v>
      </c>
      <c r="Y639" s="268">
        <f>IFERROR(INDEX(Rainfall_Dry!$O$2:$O$217,MATCH(B639, Rainfall_Dry!$A$2:$A$217,0)),"")</f>
        <v>171.84818423999999</v>
      </c>
      <c r="Z639" s="257">
        <v>19.96</v>
      </c>
      <c r="AA639" s="257">
        <v>4.9199999999999982</v>
      </c>
      <c r="AB639" s="257">
        <v>75.12</v>
      </c>
      <c r="AC639" s="258" t="s">
        <v>2655</v>
      </c>
      <c r="AD639" s="257">
        <v>1.641498275012321</v>
      </c>
      <c r="AE639">
        <f>IF('WetLitterbags placem_collection'!AB200="","",'WetLitterbags placem_collection'!AB200)</f>
        <v>7.9</v>
      </c>
      <c r="AF639">
        <f>IF('WetLitterbags placem_collection'!Z200="","",'WetLitterbags placem_collection'!Z200)</f>
        <v>7.9</v>
      </c>
      <c r="AG639" s="243" t="str">
        <f>IF('WetLitterbags placem_collection'!AA200="","",'WetLitterbags placem_collection'!AA200)</f>
        <v>O</v>
      </c>
      <c r="AH639">
        <f>IF('WetLitterbags placem_collection'!AC200="","",'WetLitterbags placem_collection'!AC200)</f>
        <v>1</v>
      </c>
      <c r="AI639">
        <f>IFERROR(AVERAGE('Dry_Litterbag Placem_Collection'!O200,'Dry_Litterbag Placem_Collection'!R200),"")</f>
        <v>4.8499999999999996</v>
      </c>
      <c r="AJ639" s="268">
        <f>IFERROR(AVERAGE('Dry_Litterbag Placem_Collection'!N200,'Dry_Litterbag Placem_Collection'!Q200),"")</f>
        <v>30.25</v>
      </c>
      <c r="AK639">
        <v>-2.4395990190000001</v>
      </c>
      <c r="AL639">
        <v>34.838418959999998</v>
      </c>
      <c r="AM639" s="267" t="str">
        <f>IF(ISNUMBER(SEARCH("C", 'Dry_Litterbag Placem_Collection'!U200)),"YES","NO")</f>
        <v>NO</v>
      </c>
      <c r="AN639" s="267" t="str">
        <f>IF(ISNUMBER(SEARCH("H", 'Dry_Litterbag Placem_Collection'!U200)),"YES","NO")</f>
        <v>NO</v>
      </c>
      <c r="AO639" s="267" t="str">
        <f>IF(ISNUMBER(SEARCH("R", 'Dry_Litterbag Placem_Collection'!U200)),"YES","NO")</f>
        <v>YES</v>
      </c>
    </row>
    <row r="640" spans="1:41" ht="15" customHeight="1">
      <c r="A640" s="259" t="s">
        <v>2643</v>
      </c>
      <c r="B640" s="260">
        <f>'Dry_Litterbag Placem_Collection'!A201</f>
        <v>199</v>
      </c>
      <c r="C640" s="260" t="str">
        <f>'Dry_Litterbag Placem_Collection'!B201</f>
        <v>Makao</v>
      </c>
      <c r="D640" s="260" t="s">
        <v>2643</v>
      </c>
      <c r="E640" s="260" t="s">
        <v>2512</v>
      </c>
      <c r="F640" s="260">
        <v>1</v>
      </c>
      <c r="G640" s="260" t="s">
        <v>3808</v>
      </c>
      <c r="H640" s="261" t="str">
        <f>'Dry_Litterbag Placem_Collection'!C201</f>
        <v>Dry_P3_CG1</v>
      </c>
      <c r="I640" s="270" t="s">
        <v>3630</v>
      </c>
      <c r="J640" s="263" t="s">
        <v>1147</v>
      </c>
      <c r="K640" s="260" t="str">
        <f>IF(ISBLANK('Dry_Litterbag Placem_Collection'!L201),"","G"&amp;""&amp;'Dry_Litterbag Placem_Collection'!L201)</f>
        <v>G182</v>
      </c>
      <c r="L640" s="264">
        <f>IFERROR(INDEX('Green_rooibos initial weight'!$C$5:$C$2000,MATCH(K640, 'Green_rooibos initial weight'!$A$5:$A$2000,0)),"")</f>
        <v>1.8919999999999999</v>
      </c>
      <c r="M640" s="264">
        <f>IFERROR(L640-(TBIcalc!$Q$9+TBIcalc!$Q$10),"")</f>
        <v>1.6421999999999999</v>
      </c>
      <c r="N640" s="385">
        <f>AVERAGE(Ashed_controlls!$K$2:$K$11)</f>
        <v>5.5147656768714146</v>
      </c>
      <c r="O640" s="264">
        <f t="shared" si="46"/>
        <v>1.5516365180544176</v>
      </c>
      <c r="P640" s="264">
        <f>IFERROR(INDEX('Both teabags AfterDry'!$D$2:$D$2000,MATCH(K640,'Both teabags AfterDry'!$A$2:$A$2000,0)),"")</f>
        <v>0.62490000000000001</v>
      </c>
      <c r="Q640" s="264">
        <f>IFERROR(IF(P640&gt;0,P640-(TBIcalc!$Q$9),""),"")</f>
        <v>0.4743</v>
      </c>
      <c r="R640" s="275">
        <f>IFERROR(INDEX('Ashed teabags dry'!$K$2:$K$2000,MATCH(K640,'Ashed teabags dry'!$A$2:$A$2000,0)),"")</f>
        <v>15.096201282683586</v>
      </c>
      <c r="S640" s="275">
        <f t="shared" si="47"/>
        <v>0.40269871731623175</v>
      </c>
      <c r="T640" s="265">
        <f>IF('Dry_Litterbag Placem_Collection'!E201="","",'Dry_Litterbag Placem_Collection'!E201)</f>
        <v>42942</v>
      </c>
      <c r="U640" s="265">
        <f>IF('Dry_Litterbag Placem_Collection'!G201="","",'Dry_Litterbag Placem_Collection'!G201)</f>
        <v>43004</v>
      </c>
      <c r="V640" s="266">
        <f t="shared" si="45"/>
        <v>62</v>
      </c>
      <c r="W640" s="264">
        <f t="shared" si="48"/>
        <v>1.1678999999999999</v>
      </c>
      <c r="X640" s="264">
        <f t="shared" si="49"/>
        <v>1.1489378007381859</v>
      </c>
      <c r="Y640" s="268">
        <f>IFERROR(INDEX(Rainfall_Dry!$O$2:$O$217,MATCH(B640, Rainfall_Dry!$A$2:$A$217,0)),"")</f>
        <v>171.84818423999999</v>
      </c>
      <c r="Z640" s="257">
        <v>21.96</v>
      </c>
      <c r="AA640" s="257">
        <v>8.9199999999999982</v>
      </c>
      <c r="AB640" s="257">
        <v>69.12</v>
      </c>
      <c r="AC640" s="258" t="s">
        <v>2654</v>
      </c>
      <c r="AD640" s="257">
        <v>1.7491375061606702</v>
      </c>
      <c r="AE640">
        <f>IF('WetLitterbags placem_collection'!AB201="","",'WetLitterbags placem_collection'!AB201)</f>
        <v>13.8</v>
      </c>
      <c r="AF640">
        <f>IF('WetLitterbags placem_collection'!Z201="","",'WetLitterbags placem_collection'!Z201)</f>
        <v>17.399999999999999</v>
      </c>
      <c r="AG640" s="243" t="str">
        <f>IF('WetLitterbags placem_collection'!AA201="","",'WetLitterbags placem_collection'!AA201)</f>
        <v>O</v>
      </c>
      <c r="AH640">
        <f>IF('WetLitterbags placem_collection'!AC201="","",'WetLitterbags placem_collection'!AC201)</f>
        <v>1</v>
      </c>
      <c r="AI640">
        <f>IFERROR(AVERAGE('Dry_Litterbag Placem_Collection'!O201,'Dry_Litterbag Placem_Collection'!R201),"")</f>
        <v>6.1999999999999993</v>
      </c>
      <c r="AJ640" s="268">
        <f>IFERROR(AVERAGE('Dry_Litterbag Placem_Collection'!N201,'Dry_Litterbag Placem_Collection'!Q201),"")</f>
        <v>27.200000000000003</v>
      </c>
      <c r="AK640">
        <v>-2.439403972</v>
      </c>
      <c r="AL640">
        <v>34.838404959999998</v>
      </c>
      <c r="AM640" s="267" t="str">
        <f>IF(ISNUMBER(SEARCH("C", 'Dry_Litterbag Placem_Collection'!U201)),"YES","NO")</f>
        <v>NO</v>
      </c>
      <c r="AN640" s="267" t="str">
        <f>IF(ISNUMBER(SEARCH("H", 'Dry_Litterbag Placem_Collection'!U201)),"YES","NO")</f>
        <v>NO</v>
      </c>
      <c r="AO640" s="267" t="str">
        <f>IF(ISNUMBER(SEARCH("R", 'Dry_Litterbag Placem_Collection'!U201)),"YES","NO")</f>
        <v>YES</v>
      </c>
    </row>
    <row r="641" spans="1:41" ht="15" customHeight="1">
      <c r="A641" s="259" t="s">
        <v>2643</v>
      </c>
      <c r="B641" s="260">
        <f>'Dry_Litterbag Placem_Collection'!A202</f>
        <v>200</v>
      </c>
      <c r="C641" s="260" t="str">
        <f>'Dry_Litterbag Placem_Collection'!B202</f>
        <v>Makao</v>
      </c>
      <c r="D641" s="260" t="s">
        <v>2643</v>
      </c>
      <c r="E641" s="260" t="s">
        <v>2512</v>
      </c>
      <c r="F641" s="260">
        <v>4</v>
      </c>
      <c r="G641" s="260" t="s">
        <v>3809</v>
      </c>
      <c r="H641" s="261" t="str">
        <f>'Dry_Litterbag Placem_Collection'!C202</f>
        <v>Dry_P4_CG4</v>
      </c>
      <c r="I641" s="270" t="s">
        <v>3630</v>
      </c>
      <c r="J641" s="263" t="s">
        <v>1147</v>
      </c>
      <c r="K641" s="260" t="str">
        <f>IF(ISBLANK('Dry_Litterbag Placem_Collection'!L202),"","G"&amp;""&amp;'Dry_Litterbag Placem_Collection'!L202)</f>
        <v>G186</v>
      </c>
      <c r="L641" s="264">
        <f>IFERROR(INDEX('Green_rooibos initial weight'!$C$5:$C$2000,MATCH(K641, 'Green_rooibos initial weight'!$A$5:$A$2000,0)),"")</f>
        <v>2.0419999999999998</v>
      </c>
      <c r="M641" s="264">
        <f>IFERROR(L641-(TBIcalc!$Q$9+TBIcalc!$Q$10),"")</f>
        <v>1.7921999999999998</v>
      </c>
      <c r="N641" s="385">
        <f>AVERAGE(Ashed_controlls!$K$2:$K$11)</f>
        <v>5.5147656768714146</v>
      </c>
      <c r="O641" s="264">
        <f t="shared" si="46"/>
        <v>1.6933643695391103</v>
      </c>
      <c r="P641" s="264">
        <f>IFERROR(INDEX('Both teabags AfterDry'!$D$2:$D$2000,MATCH(K641,'Both teabags AfterDry'!$A$2:$A$2000,0)),"")</f>
        <v>0.6643</v>
      </c>
      <c r="Q641" s="264">
        <f>IFERROR(IF(P641&gt;0,P641-(TBIcalc!$Q$9),""),"")</f>
        <v>0.51370000000000005</v>
      </c>
      <c r="R641" s="275">
        <f>IFERROR(INDEX('Ashed teabags dry'!$K$2:$K$2000,MATCH(K641,'Ashed teabags dry'!$A$2:$A$2000,0)),"")</f>
        <v>12.606837606837463</v>
      </c>
      <c r="S641" s="275">
        <f t="shared" si="47"/>
        <v>0.44893867521367603</v>
      </c>
      <c r="T641" s="265">
        <f>IF('Dry_Litterbag Placem_Collection'!E202="","",'Dry_Litterbag Placem_Collection'!E202)</f>
        <v>42942</v>
      </c>
      <c r="U641" s="265">
        <f>IF('Dry_Litterbag Placem_Collection'!G202="","",'Dry_Litterbag Placem_Collection'!G202)</f>
        <v>43004</v>
      </c>
      <c r="V641" s="266">
        <f t="shared" si="45"/>
        <v>62</v>
      </c>
      <c r="W641" s="264">
        <f t="shared" si="48"/>
        <v>1.2784999999999997</v>
      </c>
      <c r="X641" s="264">
        <f t="shared" si="49"/>
        <v>1.2444256943254342</v>
      </c>
      <c r="Y641" s="268">
        <f>IFERROR(INDEX(Rainfall_Dry!$O$2:$O$217,MATCH(B641, Rainfall_Dry!$A$2:$A$217,0)),"")</f>
        <v>171.84818423999999</v>
      </c>
      <c r="Z641" s="257">
        <v>25.96</v>
      </c>
      <c r="AA641" s="257">
        <v>6.9200000000000008</v>
      </c>
      <c r="AB641" s="257">
        <v>67.12</v>
      </c>
      <c r="AC641" s="258" t="s">
        <v>2654</v>
      </c>
      <c r="AD641" s="257">
        <v>1.7568260226712666</v>
      </c>
      <c r="AE641">
        <f>IF('WetLitterbags placem_collection'!AB202="","",'WetLitterbags placem_collection'!AB202)</f>
        <v>15.2</v>
      </c>
      <c r="AF641">
        <f>IF('WetLitterbags placem_collection'!Z202="","",'WetLitterbags placem_collection'!Z202)</f>
        <v>12.2</v>
      </c>
      <c r="AG641" s="243" t="str">
        <f>IF('WetLitterbags placem_collection'!AA202="","",'WetLitterbags placem_collection'!AA202)</f>
        <v>O</v>
      </c>
      <c r="AH641">
        <f>IF('WetLitterbags placem_collection'!AC202="","",'WetLitterbags placem_collection'!AC202)</f>
        <v>1</v>
      </c>
      <c r="AI641">
        <f>IFERROR(AVERAGE('Dry_Litterbag Placem_Collection'!O202,'Dry_Litterbag Placem_Collection'!R202),"")</f>
        <v>7</v>
      </c>
      <c r="AJ641" s="268">
        <f>IFERROR(AVERAGE('Dry_Litterbag Placem_Collection'!N202,'Dry_Litterbag Placem_Collection'!Q202),"")</f>
        <v>32.9</v>
      </c>
      <c r="AK641">
        <v>-2.4396949910000001</v>
      </c>
      <c r="AL641">
        <v>34.838574029999997</v>
      </c>
      <c r="AM641" s="267" t="str">
        <f>IF(ISNUMBER(SEARCH("C", 'Dry_Litterbag Placem_Collection'!U202)),"YES","NO")</f>
        <v>NO</v>
      </c>
      <c r="AN641" s="267" t="str">
        <f>IF(ISNUMBER(SEARCH("H", 'Dry_Litterbag Placem_Collection'!U202)),"YES","NO")</f>
        <v>NO</v>
      </c>
      <c r="AO641" s="267" t="str">
        <f>IF(ISNUMBER(SEARCH("R", 'Dry_Litterbag Placem_Collection'!U202)),"YES","NO")</f>
        <v>YES</v>
      </c>
    </row>
    <row r="642" spans="1:41" ht="15" customHeight="1">
      <c r="A642" s="259" t="s">
        <v>2643</v>
      </c>
      <c r="B642" s="260">
        <f>'Dry_Litterbag Placem_Collection'!A203</f>
        <v>201</v>
      </c>
      <c r="C642" s="260" t="str">
        <f>'Dry_Litterbag Placem_Collection'!B203</f>
        <v>Maswa</v>
      </c>
      <c r="D642" s="260" t="s">
        <v>2643</v>
      </c>
      <c r="E642" s="260" t="s">
        <v>2512</v>
      </c>
      <c r="F642" s="260">
        <v>4</v>
      </c>
      <c r="G642" s="260" t="s">
        <v>3813</v>
      </c>
      <c r="H642" s="261" t="str">
        <f>'Dry_Litterbag Placem_Collection'!C203</f>
        <v>Dry_W3_CG4</v>
      </c>
      <c r="I642" s="270" t="s">
        <v>3630</v>
      </c>
      <c r="J642" s="263" t="s">
        <v>1147</v>
      </c>
      <c r="K642" s="260" t="str">
        <f>IF(ISBLANK('Dry_Litterbag Placem_Collection'!L203),"","G"&amp;""&amp;'Dry_Litterbag Placem_Collection'!L203)</f>
        <v>G315</v>
      </c>
      <c r="L642" s="264">
        <f>IFERROR(INDEX('Green_rooibos initial weight'!$C$5:$C$2000,MATCH(K642, 'Green_rooibos initial weight'!$A$5:$A$2000,0)),"")</f>
        <v>2.0960000000000001</v>
      </c>
      <c r="M642" s="264">
        <f>IFERROR(L642-(TBIcalc!$Q$9+TBIcalc!$Q$10),"")</f>
        <v>1.8462000000000001</v>
      </c>
      <c r="N642" s="385">
        <f>AVERAGE(Ashed_controlls!$K$2:$K$11)</f>
        <v>5.5147656768714146</v>
      </c>
      <c r="O642" s="264">
        <f t="shared" si="46"/>
        <v>1.7443863960735999</v>
      </c>
      <c r="P642" s="264">
        <f>IFERROR(INDEX('Both teabags AfterDry'!$D$2:$D$2000,MATCH(K642,'Both teabags AfterDry'!$A$2:$A$2000,0)),"")</f>
        <v>0.84</v>
      </c>
      <c r="Q642" s="264">
        <f>IFERROR(IF(P642&gt;0,P642-(TBIcalc!$Q$9),""),"")</f>
        <v>0.68940000000000001</v>
      </c>
      <c r="R642" s="275">
        <f>IFERROR(INDEX('Ashed teabags dry'!$K$2:$K$2000,MATCH(K642,'Ashed teabags dry'!$A$2:$A$2000,0)),"")</f>
        <v>16.658642272508086</v>
      </c>
      <c r="S642" s="275">
        <f t="shared" si="47"/>
        <v>0.57455532017332922</v>
      </c>
      <c r="T642" s="265">
        <f>IF('Dry_Litterbag Placem_Collection'!E203="","",'Dry_Litterbag Placem_Collection'!E203)</f>
        <v>42942</v>
      </c>
      <c r="U642" s="265">
        <f>IF('Dry_Litterbag Placem_Collection'!G203="","",'Dry_Litterbag Placem_Collection'!G203)</f>
        <v>43004</v>
      </c>
      <c r="V642" s="266">
        <f t="shared" ref="V642:V705" si="50">IFERROR(U642-T642,"")</f>
        <v>62</v>
      </c>
      <c r="W642" s="264">
        <f t="shared" si="48"/>
        <v>1.1568000000000001</v>
      </c>
      <c r="X642" s="264">
        <f t="shared" si="49"/>
        <v>1.1698310759002708</v>
      </c>
      <c r="Y642" s="268">
        <f>IFERROR(INDEX(Rainfall_Dry!$O$2:$O$217,MATCH(B642, Rainfall_Dry!$A$2:$A$217,0)),"")</f>
        <v>171.84818423999999</v>
      </c>
      <c r="Z642" s="257">
        <v>38.691629007962128</v>
      </c>
      <c r="AA642" s="257">
        <v>26.81299763288143</v>
      </c>
      <c r="AB642" s="257">
        <v>34.495373359156439</v>
      </c>
      <c r="AC642" s="258" t="s">
        <v>2659</v>
      </c>
      <c r="AD642" s="257">
        <v>2.5483587974371611</v>
      </c>
      <c r="AE642">
        <f>IF('WetLitterbags placem_collection'!AB203="","",'WetLitterbags placem_collection'!AB203)</f>
        <v>15.2</v>
      </c>
      <c r="AF642">
        <f>IF('WetLitterbags placem_collection'!Z203="","",'WetLitterbags placem_collection'!Z203)</f>
        <v>12.2</v>
      </c>
      <c r="AG642" s="243" t="str">
        <f>IF('WetLitterbags placem_collection'!AA203="","",'WetLitterbags placem_collection'!AA203)</f>
        <v>O</v>
      </c>
      <c r="AH642">
        <f>IF('WetLitterbags placem_collection'!AC203="","",'WetLitterbags placem_collection'!AC203)</f>
        <v>1</v>
      </c>
      <c r="AI642">
        <f>IFERROR(AVERAGE('Dry_Litterbag Placem_Collection'!O203,'Dry_Litterbag Placem_Collection'!R203),"")</f>
        <v>8.9</v>
      </c>
      <c r="AJ642" s="268">
        <f>IFERROR(AVERAGE('Dry_Litterbag Placem_Collection'!N203,'Dry_Litterbag Placem_Collection'!Q203),"")</f>
        <v>29.15</v>
      </c>
      <c r="AK642">
        <v>-2.4396949910000001</v>
      </c>
      <c r="AL642">
        <v>34.838574029999997</v>
      </c>
      <c r="AM642" s="267" t="str">
        <f>IF(ISNUMBER(SEARCH("C", 'Dry_Litterbag Placem_Collection'!U203)),"YES","NO")</f>
        <v>NO</v>
      </c>
      <c r="AN642" s="267" t="str">
        <f>IF(ISNUMBER(SEARCH("H", 'Dry_Litterbag Placem_Collection'!U203)),"YES","NO")</f>
        <v>NO</v>
      </c>
      <c r="AO642" s="267" t="str">
        <f>IF(ISNUMBER(SEARCH("R", 'Dry_Litterbag Placem_Collection'!U203)),"YES","NO")</f>
        <v>YES</v>
      </c>
    </row>
    <row r="643" spans="1:41" ht="15" customHeight="1">
      <c r="A643" s="259" t="s">
        <v>2643</v>
      </c>
      <c r="B643" s="260">
        <f>'Dry_Litterbag Placem_Collection'!A204</f>
        <v>202</v>
      </c>
      <c r="C643" s="260" t="str">
        <f>'Dry_Litterbag Placem_Collection'!B204</f>
        <v>Maswa</v>
      </c>
      <c r="D643" s="260" t="s">
        <v>2643</v>
      </c>
      <c r="E643" s="260" t="s">
        <v>2512</v>
      </c>
      <c r="F643" s="260">
        <v>1</v>
      </c>
      <c r="G643" s="260" t="s">
        <v>3812</v>
      </c>
      <c r="H643" s="261" t="str">
        <f>'Dry_Litterbag Placem_Collection'!C204</f>
        <v>Dry_W2_CG1</v>
      </c>
      <c r="I643" s="270" t="s">
        <v>3630</v>
      </c>
      <c r="J643" s="263" t="s">
        <v>1147</v>
      </c>
      <c r="K643" s="260" t="str">
        <f>IF(ISBLANK('Dry_Litterbag Placem_Collection'!L204),"","G"&amp;""&amp;'Dry_Litterbag Placem_Collection'!L204)</f>
        <v>G147</v>
      </c>
      <c r="L643" s="264">
        <f>IFERROR(INDEX('Green_rooibos initial weight'!$C$5:$C$2000,MATCH(K643, 'Green_rooibos initial weight'!$A$5:$A$2000,0)),"")</f>
        <v>2.0369999999999999</v>
      </c>
      <c r="M643" s="264">
        <f>IFERROR(L643-(TBIcalc!$Q$9+TBIcalc!$Q$10),"")</f>
        <v>1.7871999999999999</v>
      </c>
      <c r="N643" s="385">
        <f>AVERAGE(Ashed_controlls!$K$2:$K$11)</f>
        <v>5.5147656768714146</v>
      </c>
      <c r="O643" s="264">
        <f t="shared" ref="O643:O706" si="51">IFERROR(M643-(N643/100)*M643,"")</f>
        <v>1.688640107822954</v>
      </c>
      <c r="P643" s="264">
        <f>IFERROR(INDEX('Both teabags AfterDry'!$D$2:$D$2000,MATCH(K643,'Both teabags AfterDry'!$A$2:$A$2000,0)),"")</f>
        <v>0.71709999999999996</v>
      </c>
      <c r="Q643" s="264">
        <f>IFERROR(IF(P643&gt;0,P643-(TBIcalc!$Q$9),""),"")</f>
        <v>0.5665</v>
      </c>
      <c r="R643" s="275">
        <f>IFERROR(INDEX('Ashed teabags dry'!$K$2:$K$2000,MATCH(K643,'Ashed teabags dry'!$A$2:$A$2000,0)),"")</f>
        <v>19.843214110729726</v>
      </c>
      <c r="S643" s="275">
        <f t="shared" ref="S643:S706" si="52">IFERROR(Q643-(R643/100)*Q643,"")</f>
        <v>0.45408819206271611</v>
      </c>
      <c r="T643" s="265">
        <f>IF('Dry_Litterbag Placem_Collection'!E204="","",'Dry_Litterbag Placem_Collection'!E204)</f>
        <v>42942</v>
      </c>
      <c r="U643" s="265">
        <f>IF('Dry_Litterbag Placem_Collection'!G204="","",'Dry_Litterbag Placem_Collection'!G204)</f>
        <v>43004</v>
      </c>
      <c r="V643" s="266">
        <f t="shared" si="50"/>
        <v>62</v>
      </c>
      <c r="W643" s="264">
        <f t="shared" ref="W643:W706" si="53">IFERROR(M643-Q643,"")</f>
        <v>1.2206999999999999</v>
      </c>
      <c r="X643" s="264">
        <f t="shared" ref="X643:X706" si="54">IFERROR(O643-S643,"")</f>
        <v>1.234551915760238</v>
      </c>
      <c r="Y643" s="268">
        <f>IFERROR(INDEX(Rainfall_Dry!$O$2:$O$217,MATCH(B643, Rainfall_Dry!$A$2:$A$217,0)),"")</f>
        <v>171.84818423999999</v>
      </c>
      <c r="Z643" s="257">
        <v>45.272914521112256</v>
      </c>
      <c r="AA643" s="257">
        <v>23.604531410916575</v>
      </c>
      <c r="AB643" s="257">
        <v>31.122554067971166</v>
      </c>
      <c r="AC643" s="258" t="s">
        <v>2657</v>
      </c>
      <c r="AD643" s="257">
        <v>2.0547560374568752</v>
      </c>
      <c r="AE643">
        <f>IF('WetLitterbags placem_collection'!AB204="","",'WetLitterbags placem_collection'!AB204)</f>
        <v>13.8</v>
      </c>
      <c r="AF643">
        <f>IF('WetLitterbags placem_collection'!Z204="","",'WetLitterbags placem_collection'!Z204)</f>
        <v>17.399999999999999</v>
      </c>
      <c r="AG643" s="243" t="str">
        <f>IF('WetLitterbags placem_collection'!AA204="","",'WetLitterbags placem_collection'!AA204)</f>
        <v>O</v>
      </c>
      <c r="AH643">
        <f>IF('WetLitterbags placem_collection'!AC204="","",'WetLitterbags placem_collection'!AC204)</f>
        <v>1</v>
      </c>
      <c r="AI643">
        <f>IFERROR(AVERAGE('Dry_Litterbag Placem_Collection'!O204,'Dry_Litterbag Placem_Collection'!R204),"")</f>
        <v>6.3</v>
      </c>
      <c r="AJ643" s="268">
        <f>IFERROR(AVERAGE('Dry_Litterbag Placem_Collection'!N204,'Dry_Litterbag Placem_Collection'!Q204),"")</f>
        <v>28.85</v>
      </c>
      <c r="AK643">
        <v>-2.439403972</v>
      </c>
      <c r="AL643">
        <v>34.838404959999998</v>
      </c>
      <c r="AM643" s="267" t="str">
        <f>IF(ISNUMBER(SEARCH("C", 'Dry_Litterbag Placem_Collection'!U204)),"YES","NO")</f>
        <v>NO</v>
      </c>
      <c r="AN643" s="267" t="str">
        <f>IF(ISNUMBER(SEARCH("H", 'Dry_Litterbag Placem_Collection'!U204)),"YES","NO")</f>
        <v>NO</v>
      </c>
      <c r="AO643" s="267" t="str">
        <f>IF(ISNUMBER(SEARCH("R", 'Dry_Litterbag Placem_Collection'!U204)),"YES","NO")</f>
        <v>YES</v>
      </c>
    </row>
    <row r="644" spans="1:41" ht="15" customHeight="1">
      <c r="A644" s="259" t="s">
        <v>2643</v>
      </c>
      <c r="B644" s="260">
        <f>'Dry_Litterbag Placem_Collection'!A205</f>
        <v>203</v>
      </c>
      <c r="C644" s="260" t="str">
        <f>'Dry_Litterbag Placem_Collection'!B205</f>
        <v>Maswa</v>
      </c>
      <c r="D644" s="260" t="s">
        <v>2643</v>
      </c>
      <c r="E644" s="260" t="s">
        <v>2512</v>
      </c>
      <c r="F644" s="260">
        <v>2</v>
      </c>
      <c r="G644" s="260" t="s">
        <v>3810</v>
      </c>
      <c r="H644" s="261" t="str">
        <f>'Dry_Litterbag Placem_Collection'!C205</f>
        <v>Dry_W1_CG2</v>
      </c>
      <c r="I644" s="270" t="s">
        <v>3630</v>
      </c>
      <c r="J644" s="263" t="s">
        <v>1147</v>
      </c>
      <c r="K644" s="260" t="str">
        <f>IF(ISBLANK('Dry_Litterbag Placem_Collection'!L205),"","G"&amp;""&amp;'Dry_Litterbag Placem_Collection'!L205)</f>
        <v>G168</v>
      </c>
      <c r="L644" s="264">
        <f>IFERROR(INDEX('Green_rooibos initial weight'!$C$5:$C$2000,MATCH(K644, 'Green_rooibos initial weight'!$A$5:$A$2000,0)),"")</f>
        <v>2.0499999999999998</v>
      </c>
      <c r="M644" s="264">
        <f>IFERROR(L644-(TBIcalc!$Q$9+TBIcalc!$Q$10),"")</f>
        <v>1.8001999999999998</v>
      </c>
      <c r="N644" s="385">
        <f>AVERAGE(Ashed_controlls!$K$2:$K$11)</f>
        <v>5.5147656768714146</v>
      </c>
      <c r="O644" s="264">
        <f t="shared" si="51"/>
        <v>1.7009231882849607</v>
      </c>
      <c r="P644" s="264">
        <f>IFERROR(INDEX('Both teabags AfterDry'!$D$2:$D$2000,MATCH(K644,'Both teabags AfterDry'!$A$2:$A$2000,0)),"")</f>
        <v>0.72609999999999997</v>
      </c>
      <c r="Q644" s="264">
        <f>IFERROR(IF(P644&gt;0,P644-(TBIcalc!$Q$9),""),"")</f>
        <v>0.5754999999999999</v>
      </c>
      <c r="R644" s="275">
        <f>IFERROR(INDEX('Ashed teabags dry'!$K$2:$K$2000,MATCH(K644,'Ashed teabags dry'!$A$2:$A$2000,0)),"")</f>
        <v>14.424477901894273</v>
      </c>
      <c r="S644" s="275">
        <f t="shared" si="52"/>
        <v>0.4924871296745984</v>
      </c>
      <c r="T644" s="265">
        <f>IF('Dry_Litterbag Placem_Collection'!E205="","",'Dry_Litterbag Placem_Collection'!E205)</f>
        <v>42942</v>
      </c>
      <c r="U644" s="265">
        <f>IF('Dry_Litterbag Placem_Collection'!G205="","",'Dry_Litterbag Placem_Collection'!G205)</f>
        <v>43004</v>
      </c>
      <c r="V644" s="266">
        <f t="shared" si="50"/>
        <v>62</v>
      </c>
      <c r="W644" s="264">
        <f t="shared" si="53"/>
        <v>1.2246999999999999</v>
      </c>
      <c r="X644" s="264">
        <f t="shared" si="54"/>
        <v>1.2084360586103622</v>
      </c>
      <c r="Y644" s="268">
        <f>IFERROR(INDEX(Rainfall_Dry!$O$2:$O$217,MATCH(B644, Rainfall_Dry!$A$2:$A$217,0)),"")</f>
        <v>171.84818423999999</v>
      </c>
      <c r="Z644" s="257">
        <v>47.96</v>
      </c>
      <c r="AA644" s="257">
        <v>22.919999999999995</v>
      </c>
      <c r="AB644" s="257">
        <v>29.120000000000012</v>
      </c>
      <c r="AC644" s="258" t="s">
        <v>2657</v>
      </c>
      <c r="AD644" s="257">
        <v>2.8831936914736325</v>
      </c>
      <c r="AE644">
        <f>IF('WetLitterbags placem_collection'!AB205="","",'WetLitterbags placem_collection'!AB205)</f>
        <v>5.13</v>
      </c>
      <c r="AF644">
        <f>IF('WetLitterbags placem_collection'!Z205="","",'WetLitterbags placem_collection'!Z205)</f>
        <v>5.13</v>
      </c>
      <c r="AG644" s="243" t="str">
        <f>IF('WetLitterbags placem_collection'!AA205="","",'WetLitterbags placem_collection'!AA205)</f>
        <v>O</v>
      </c>
      <c r="AH644">
        <f>IF('WetLitterbags placem_collection'!AC205="","",'WetLitterbags placem_collection'!AC205)</f>
        <v>1</v>
      </c>
      <c r="AI644">
        <f>IFERROR(AVERAGE('Dry_Litterbag Placem_Collection'!O205,'Dry_Litterbag Placem_Collection'!R205),"")</f>
        <v>10.100000000000001</v>
      </c>
      <c r="AJ644" s="268">
        <f>IFERROR(AVERAGE('Dry_Litterbag Placem_Collection'!N205,'Dry_Litterbag Placem_Collection'!Q205),"")</f>
        <v>28.299999999999997</v>
      </c>
      <c r="AK644">
        <v>-2.4396450349999999</v>
      </c>
      <c r="AL644">
        <v>34.83836599</v>
      </c>
      <c r="AM644" s="267" t="str">
        <f>IF(ISNUMBER(SEARCH("C", 'Dry_Litterbag Placem_Collection'!U205)),"YES","NO")</f>
        <v>NO</v>
      </c>
      <c r="AN644" s="267" t="str">
        <f>IF(ISNUMBER(SEARCH("H", 'Dry_Litterbag Placem_Collection'!U205)),"YES","NO")</f>
        <v>NO</v>
      </c>
      <c r="AO644" s="267" t="str">
        <f>IF(ISNUMBER(SEARCH("R", 'Dry_Litterbag Placem_Collection'!U205)),"YES","NO")</f>
        <v>YES</v>
      </c>
    </row>
    <row r="645" spans="1:41" ht="15" customHeight="1">
      <c r="A645" s="259" t="s">
        <v>2643</v>
      </c>
      <c r="B645" s="260">
        <f>'Dry_Litterbag Placem_Collection'!A206</f>
        <v>204</v>
      </c>
      <c r="C645" s="260" t="str">
        <f>'Dry_Litterbag Placem_Collection'!B206</f>
        <v>Maswa</v>
      </c>
      <c r="D645" s="260" t="s">
        <v>2643</v>
      </c>
      <c r="E645" s="260" t="s">
        <v>2512</v>
      </c>
      <c r="F645" s="260">
        <v>3</v>
      </c>
      <c r="G645" s="260" t="s">
        <v>3814</v>
      </c>
      <c r="H645" s="261" t="str">
        <f>'Dry_Litterbag Placem_Collection'!C206</f>
        <v>Dry_W4_CG3</v>
      </c>
      <c r="I645" s="270" t="s">
        <v>3630</v>
      </c>
      <c r="J645" s="263" t="s">
        <v>1147</v>
      </c>
      <c r="K645" s="260" t="str">
        <f>IF(ISBLANK('Dry_Litterbag Placem_Collection'!L206),"","G"&amp;""&amp;'Dry_Litterbag Placem_Collection'!L206)</f>
        <v>G672</v>
      </c>
      <c r="L645" s="264">
        <f>IFERROR(INDEX('Green_rooibos initial weight'!$C$5:$C$2000,MATCH(K645, 'Green_rooibos initial weight'!$A$5:$A$2000,0)),"")</f>
        <v>2.0350000000000001</v>
      </c>
      <c r="M645" s="264">
        <f>IFERROR(L645-(TBIcalc!$Q$9+TBIcalc!$Q$10),"")</f>
        <v>1.7852000000000001</v>
      </c>
      <c r="N645" s="385">
        <f>AVERAGE(Ashed_controlls!$K$2:$K$11)</f>
        <v>5.5147656768714146</v>
      </c>
      <c r="O645" s="264">
        <f t="shared" si="51"/>
        <v>1.6867504031364917</v>
      </c>
      <c r="P645" s="264">
        <f>IFERROR(INDEX('Both teabags AfterDry'!$D$2:$D$2000,MATCH(K645,'Both teabags AfterDry'!$A$2:$A$2000,0)),"")</f>
        <v>0.75690000000000002</v>
      </c>
      <c r="Q645" s="264">
        <f>IFERROR(IF(P645&gt;0,P645-(TBIcalc!$Q$9),""),"")</f>
        <v>0.60630000000000006</v>
      </c>
      <c r="R645" s="275">
        <f>IFERROR(INDEX('Ashed teabags dry'!$K$2:$K$2000,MATCH(K645,'Ashed teabags dry'!$A$2:$A$2000,0)),"")</f>
        <v>21.599219892735228</v>
      </c>
      <c r="S645" s="275">
        <f t="shared" si="52"/>
        <v>0.47534392979034634</v>
      </c>
      <c r="T645" s="265">
        <f>IF('Dry_Litterbag Placem_Collection'!E206="","",'Dry_Litterbag Placem_Collection'!E206)</f>
        <v>42942</v>
      </c>
      <c r="U645" s="265">
        <f>IF('Dry_Litterbag Placem_Collection'!G206="","",'Dry_Litterbag Placem_Collection'!G206)</f>
        <v>43004</v>
      </c>
      <c r="V645" s="266">
        <f t="shared" si="50"/>
        <v>62</v>
      </c>
      <c r="W645" s="264">
        <f t="shared" si="53"/>
        <v>1.1789000000000001</v>
      </c>
      <c r="X645" s="264">
        <f t="shared" si="54"/>
        <v>1.2114064733461454</v>
      </c>
      <c r="Y645" s="268">
        <f>IFERROR(INDEX(Rainfall_Dry!$O$2:$O$217,MATCH(B645, Rainfall_Dry!$A$2:$A$217,0)),"")</f>
        <v>171.84818423999999</v>
      </c>
      <c r="Z645" s="257">
        <v>28.145762029394</v>
      </c>
      <c r="AA645" s="257">
        <v>25.085564727199518</v>
      </c>
      <c r="AB645" s="257">
        <v>46.768673243406489</v>
      </c>
      <c r="AC645" s="258" t="s">
        <v>2654</v>
      </c>
      <c r="AD645" s="257">
        <v>2.1716214884179394</v>
      </c>
      <c r="AE645">
        <f>IF('WetLitterbags placem_collection'!AB206="","",'WetLitterbags placem_collection'!AB206)</f>
        <v>7.9</v>
      </c>
      <c r="AF645">
        <f>IF('WetLitterbags placem_collection'!Z206="","",'WetLitterbags placem_collection'!Z206)</f>
        <v>7.9</v>
      </c>
      <c r="AG645" s="243" t="str">
        <f>IF('WetLitterbags placem_collection'!AA206="","",'WetLitterbags placem_collection'!AA206)</f>
        <v>O</v>
      </c>
      <c r="AH645">
        <f>IF('WetLitterbags placem_collection'!AC206="","",'WetLitterbags placem_collection'!AC206)</f>
        <v>1</v>
      </c>
      <c r="AI645">
        <f>IFERROR(AVERAGE('Dry_Litterbag Placem_Collection'!O206,'Dry_Litterbag Placem_Collection'!R206),"")</f>
        <v>8.3500000000000014</v>
      </c>
      <c r="AJ645" s="268">
        <f>IFERROR(AVERAGE('Dry_Litterbag Placem_Collection'!N206,'Dry_Litterbag Placem_Collection'!Q206),"")</f>
        <v>27.299999999999997</v>
      </c>
      <c r="AK645">
        <v>-2.4395990190000001</v>
      </c>
      <c r="AL645">
        <v>34.838418959999998</v>
      </c>
      <c r="AM645" s="267" t="str">
        <f>IF(ISNUMBER(SEARCH("C", 'Dry_Litterbag Placem_Collection'!U206)),"YES","NO")</f>
        <v>NO</v>
      </c>
      <c r="AN645" s="267" t="str">
        <f>IF(ISNUMBER(SEARCH("H", 'Dry_Litterbag Placem_Collection'!U206)),"YES","NO")</f>
        <v>NO</v>
      </c>
      <c r="AO645" s="267" t="str">
        <f>IF(ISNUMBER(SEARCH("R", 'Dry_Litterbag Placem_Collection'!U206)),"YES","NO")</f>
        <v>NO</v>
      </c>
    </row>
    <row r="646" spans="1:41" ht="15" customHeight="1">
      <c r="A646" s="259" t="s">
        <v>2643</v>
      </c>
      <c r="B646" s="260">
        <f>'Dry_Litterbag Placem_Collection'!A207</f>
        <v>205</v>
      </c>
      <c r="C646" s="260" t="str">
        <f>'Dry_Litterbag Placem_Collection'!B207</f>
        <v xml:space="preserve">Mwantimba
</v>
      </c>
      <c r="D646" s="260" t="s">
        <v>2454</v>
      </c>
      <c r="E646" s="260" t="s">
        <v>2512</v>
      </c>
      <c r="F646" s="260">
        <v>2</v>
      </c>
      <c r="G646" s="260" t="s">
        <v>3815</v>
      </c>
      <c r="H646" s="261" t="str">
        <f>'Dry_Litterbag Placem_Collection'!C207</f>
        <v>Wet_Ag1_CG2</v>
      </c>
      <c r="I646" s="270" t="s">
        <v>3630</v>
      </c>
      <c r="J646" s="263" t="s">
        <v>1147</v>
      </c>
      <c r="K646" s="260" t="str">
        <f>IF(ISBLANK('Dry_Litterbag Placem_Collection'!L207),"","G"&amp;""&amp;'Dry_Litterbag Placem_Collection'!L207)</f>
        <v>G173</v>
      </c>
      <c r="L646" s="264">
        <f>IFERROR(INDEX('Green_rooibos initial weight'!$C$5:$C$2000,MATCH(K646, 'Green_rooibos initial weight'!$A$5:$A$2000,0)),"")</f>
        <v>2.1419999999999999</v>
      </c>
      <c r="M646" s="264">
        <f>IFERROR(L646-(TBIcalc!$Q$9+TBIcalc!$Q$10),"")</f>
        <v>1.8921999999999999</v>
      </c>
      <c r="N646" s="385">
        <f>AVERAGE(Ashed_controlls!$K$2:$K$11)</f>
        <v>5.5147656768714146</v>
      </c>
      <c r="O646" s="264">
        <f t="shared" si="51"/>
        <v>1.7878496038622389</v>
      </c>
      <c r="P646" s="264">
        <f>IFERROR(INDEX('Both teabags AfterDry'!$D$2:$D$2000,MATCH(K646,'Both teabags AfterDry'!$A$2:$A$2000,0)),"")</f>
        <v>0.79190000000000005</v>
      </c>
      <c r="Q646" s="264">
        <f>IFERROR(IF(P646&gt;0,P646-(TBIcalc!$Q$9),""),"")</f>
        <v>0.64129999999999998</v>
      </c>
      <c r="R646" s="275">
        <f>IFERROR(INDEX('Ashed teabags dry'!$K$2:$K$2000,MATCH(K646,'Ashed teabags dry'!$A$2:$A$2000,0)),"")</f>
        <v>18.018433179723015</v>
      </c>
      <c r="S646" s="275">
        <f t="shared" si="52"/>
        <v>0.52574778801843625</v>
      </c>
      <c r="T646" s="265">
        <f>IF('Dry_Litterbag Placem_Collection'!E207="","",'Dry_Litterbag Placem_Collection'!E207)</f>
        <v>42942</v>
      </c>
      <c r="U646" s="265">
        <f>IF('Dry_Litterbag Placem_Collection'!G207="","",'Dry_Litterbag Placem_Collection'!G207)</f>
        <v>43004</v>
      </c>
      <c r="V646" s="266">
        <f t="shared" si="50"/>
        <v>62</v>
      </c>
      <c r="W646" s="264">
        <f t="shared" si="53"/>
        <v>1.2508999999999999</v>
      </c>
      <c r="X646" s="264">
        <f t="shared" si="54"/>
        <v>1.2621018158438027</v>
      </c>
      <c r="Y646" s="268">
        <f>IFERROR(INDEX(Rainfall_Dry!$O$2:$O$217,MATCH(B646, Rainfall_Dry!$A$2:$A$217,0)),"")</f>
        <v>171.84818423999999</v>
      </c>
      <c r="Z646" s="257">
        <v>45.96</v>
      </c>
      <c r="AA646" s="257">
        <v>14.920000000000003</v>
      </c>
      <c r="AB646" s="257">
        <v>39.119999999999997</v>
      </c>
      <c r="AC646" s="258" t="s">
        <v>2657</v>
      </c>
      <c r="AD646" s="257">
        <v>2.0374568753080333</v>
      </c>
      <c r="AE646">
        <f>IF('WetLitterbags placem_collection'!AB207="","",'WetLitterbags placem_collection'!AB207)</f>
        <v>5.13</v>
      </c>
      <c r="AF646">
        <f>IF('WetLitterbags placem_collection'!Z207="","",'WetLitterbags placem_collection'!Z207)</f>
        <v>5.13</v>
      </c>
      <c r="AG646" s="243" t="str">
        <f>IF('WetLitterbags placem_collection'!AA207="","",'WetLitterbags placem_collection'!AA207)</f>
        <v>O</v>
      </c>
      <c r="AH646">
        <f>IF('WetLitterbags placem_collection'!AC207="","",'WetLitterbags placem_collection'!AC207)</f>
        <v>1</v>
      </c>
      <c r="AI646">
        <f>IFERROR(AVERAGE('Dry_Litterbag Placem_Collection'!O207,'Dry_Litterbag Placem_Collection'!R207),"")</f>
        <v>7.9499999999999993</v>
      </c>
      <c r="AJ646" s="268">
        <f>IFERROR(AVERAGE('Dry_Litterbag Placem_Collection'!N207,'Dry_Litterbag Placem_Collection'!Q207),"")</f>
        <v>29.05</v>
      </c>
      <c r="AK646">
        <v>-2.4396450349999999</v>
      </c>
      <c r="AL646">
        <v>34.83836599</v>
      </c>
      <c r="AM646" s="267" t="str">
        <f>IF(ISNUMBER(SEARCH("C", 'Dry_Litterbag Placem_Collection'!U207)),"YES","NO")</f>
        <v>NO</v>
      </c>
      <c r="AN646" s="267" t="str">
        <f>IF(ISNUMBER(SEARCH("H", 'Dry_Litterbag Placem_Collection'!U207)),"YES","NO")</f>
        <v>NO</v>
      </c>
      <c r="AO646" s="267" t="str">
        <f>IF(ISNUMBER(SEARCH("R", 'Dry_Litterbag Placem_Collection'!U207)),"YES","NO")</f>
        <v>YES</v>
      </c>
    </row>
    <row r="647" spans="1:41" ht="15" customHeight="1">
      <c r="A647" s="259" t="s">
        <v>2643</v>
      </c>
      <c r="B647" s="260">
        <f>'Dry_Litterbag Placem_Collection'!A208</f>
        <v>206</v>
      </c>
      <c r="C647" s="260" t="str">
        <f>'Dry_Litterbag Placem_Collection'!B208</f>
        <v xml:space="preserve">Mwantimba
</v>
      </c>
      <c r="D647" s="260" t="s">
        <v>2454</v>
      </c>
      <c r="E647" s="260" t="s">
        <v>2512</v>
      </c>
      <c r="F647" s="260">
        <v>1</v>
      </c>
      <c r="G647" s="260" t="s">
        <v>3817</v>
      </c>
      <c r="H647" s="261" t="str">
        <f>'Dry_Litterbag Placem_Collection'!C208</f>
        <v>Wet_Ag2_CG1</v>
      </c>
      <c r="I647" s="270" t="s">
        <v>3630</v>
      </c>
      <c r="J647" s="263" t="s">
        <v>1147</v>
      </c>
      <c r="K647" s="260" t="str">
        <f>IF(ISBLANK('Dry_Litterbag Placem_Collection'!L208),"","G"&amp;""&amp;'Dry_Litterbag Placem_Collection'!L208)</f>
        <v>G262</v>
      </c>
      <c r="L647" s="264">
        <f>IFERROR(INDEX('Green_rooibos initial weight'!$C$5:$C$2000,MATCH(K647, 'Green_rooibos initial weight'!$A$5:$A$2000,0)),"")</f>
        <v>2.012</v>
      </c>
      <c r="M647" s="264">
        <f>IFERROR(L647-(TBIcalc!$Q$9+TBIcalc!$Q$10),"")</f>
        <v>1.7622</v>
      </c>
      <c r="N647" s="385">
        <f>AVERAGE(Ashed_controlls!$K$2:$K$11)</f>
        <v>5.5147656768714146</v>
      </c>
      <c r="O647" s="264">
        <f t="shared" si="51"/>
        <v>1.6650187992421719</v>
      </c>
      <c r="P647" s="264">
        <f>IFERROR(INDEX('Both teabags AfterDry'!$D$2:$D$2000,MATCH(K647,'Both teabags AfterDry'!$A$2:$A$2000,0)),"")</f>
        <v>0.59640000000000004</v>
      </c>
      <c r="Q647" s="264">
        <f>IFERROR(IF(P647&gt;0,P647-(TBIcalc!$Q$9),""),"")</f>
        <v>0.44580000000000003</v>
      </c>
      <c r="R647" s="275">
        <f>IFERROR(INDEX('Ashed teabags dry'!$K$2:$K$2000,MATCH(K647,'Ashed teabags dry'!$A$2:$A$2000,0)),"")</f>
        <v>18.61042183622844</v>
      </c>
      <c r="S647" s="275">
        <f t="shared" si="52"/>
        <v>0.36283473945409361</v>
      </c>
      <c r="T647" s="265">
        <f>IF('Dry_Litterbag Placem_Collection'!E208="","",'Dry_Litterbag Placem_Collection'!E208)</f>
        <v>42942</v>
      </c>
      <c r="U647" s="265">
        <f>IF('Dry_Litterbag Placem_Collection'!G208="","",'Dry_Litterbag Placem_Collection'!G208)</f>
        <v>43004</v>
      </c>
      <c r="V647" s="266">
        <f t="shared" si="50"/>
        <v>62</v>
      </c>
      <c r="W647" s="264">
        <f t="shared" si="53"/>
        <v>1.3164</v>
      </c>
      <c r="X647" s="264">
        <f t="shared" si="54"/>
        <v>1.3021840597880783</v>
      </c>
      <c r="Y647" s="268">
        <f>IFERROR(INDEX(Rainfall_Dry!$O$2:$O$217,MATCH(B647, Rainfall_Dry!$A$2:$A$217,0)),"")</f>
        <v>171.84818423999999</v>
      </c>
      <c r="Z647" s="257">
        <v>34.344660194174757</v>
      </c>
      <c r="AA647" s="257">
        <v>19.22727272727273</v>
      </c>
      <c r="AB647" s="257">
        <v>46.428067078552509</v>
      </c>
      <c r="AC647" s="258" t="s">
        <v>2654</v>
      </c>
      <c r="AD647" s="257">
        <v>1.7452932479053718</v>
      </c>
      <c r="AE647">
        <f>IF('WetLitterbags placem_collection'!AB208="","",'WetLitterbags placem_collection'!AB208)</f>
        <v>13.8</v>
      </c>
      <c r="AF647">
        <f>IF('WetLitterbags placem_collection'!Z208="","",'WetLitterbags placem_collection'!Z208)</f>
        <v>17.399999999999999</v>
      </c>
      <c r="AG647" s="243" t="str">
        <f>IF('WetLitterbags placem_collection'!AA208="","",'WetLitterbags placem_collection'!AA208)</f>
        <v>O</v>
      </c>
      <c r="AH647">
        <f>IF('WetLitterbags placem_collection'!AC208="","",'WetLitterbags placem_collection'!AC208)</f>
        <v>1</v>
      </c>
      <c r="AI647">
        <f>IFERROR(AVERAGE('Dry_Litterbag Placem_Collection'!O208,'Dry_Litterbag Placem_Collection'!R208),"")</f>
        <v>6.4</v>
      </c>
      <c r="AJ647" s="268">
        <f>IFERROR(AVERAGE('Dry_Litterbag Placem_Collection'!N208,'Dry_Litterbag Placem_Collection'!Q208),"")</f>
        <v>27.799999999999997</v>
      </c>
      <c r="AK647">
        <v>-2.439403972</v>
      </c>
      <c r="AL647">
        <v>34.838404959999998</v>
      </c>
      <c r="AM647" s="267" t="str">
        <f>IF(ISNUMBER(SEARCH("C", 'Dry_Litterbag Placem_Collection'!U208)),"YES","NO")</f>
        <v>NO</v>
      </c>
      <c r="AN647" s="267" t="str">
        <f>IF(ISNUMBER(SEARCH("H", 'Dry_Litterbag Placem_Collection'!U208)),"YES","NO")</f>
        <v>NO</v>
      </c>
      <c r="AO647" s="267" t="str">
        <f>IF(ISNUMBER(SEARCH("R", 'Dry_Litterbag Placem_Collection'!U208)),"YES","NO")</f>
        <v>YES</v>
      </c>
    </row>
    <row r="648" spans="1:41" ht="15" customHeight="1">
      <c r="A648" s="259" t="s">
        <v>2643</v>
      </c>
      <c r="B648" s="260">
        <f>'Dry_Litterbag Placem_Collection'!A209</f>
        <v>207</v>
      </c>
      <c r="C648" s="260" t="str">
        <f>'Dry_Litterbag Placem_Collection'!B209</f>
        <v xml:space="preserve">Mwantimba
</v>
      </c>
      <c r="D648" s="260" t="s">
        <v>2454</v>
      </c>
      <c r="E648" s="260" t="s">
        <v>2512</v>
      </c>
      <c r="F648" s="260">
        <v>4</v>
      </c>
      <c r="G648" s="260" t="s">
        <v>3818</v>
      </c>
      <c r="H648" s="261" t="str">
        <f>'Dry_Litterbag Placem_Collection'!C209</f>
        <v>Wet_Ag3_CG4</v>
      </c>
      <c r="I648" s="270" t="s">
        <v>3630</v>
      </c>
      <c r="J648" s="263" t="s">
        <v>1147</v>
      </c>
      <c r="K648" s="260" t="str">
        <f>IF(ISBLANK('Dry_Litterbag Placem_Collection'!L209),"","G"&amp;""&amp;'Dry_Litterbag Placem_Collection'!L209)</f>
        <v>G230</v>
      </c>
      <c r="L648" s="264">
        <f>IFERROR(INDEX('Green_rooibos initial weight'!$C$5:$C$2000,MATCH(K648, 'Green_rooibos initial weight'!$A$5:$A$2000,0)),"")</f>
        <v>2.0030000000000001</v>
      </c>
      <c r="M648" s="264">
        <f>IFERROR(L648-(TBIcalc!$Q$9+TBIcalc!$Q$10),"")</f>
        <v>1.7532000000000001</v>
      </c>
      <c r="N648" s="385">
        <f>AVERAGE(Ashed_controlls!$K$2:$K$11)</f>
        <v>5.5147656768714146</v>
      </c>
      <c r="O648" s="264">
        <f t="shared" si="51"/>
        <v>1.6565151281530905</v>
      </c>
      <c r="P648" s="264">
        <f>IFERROR(INDEX('Both teabags AfterDry'!$D$2:$D$2000,MATCH(K648,'Both teabags AfterDry'!$A$2:$A$2000,0)),"")</f>
        <v>0.73299999999999998</v>
      </c>
      <c r="Q648" s="264">
        <f>IFERROR(IF(P648&gt;0,P648-(TBIcalc!$Q$9),""),"")</f>
        <v>0.58240000000000003</v>
      </c>
      <c r="R648" s="275">
        <f>IFERROR(INDEX('Ashed teabags dry'!$K$2:$K$2000,MATCH(K648,'Ashed teabags dry'!$A$2:$A$2000,0)),"")</f>
        <v>20.488997555012073</v>
      </c>
      <c r="S648" s="275">
        <f t="shared" si="52"/>
        <v>0.46307207823960972</v>
      </c>
      <c r="T648" s="265">
        <f>IF('Dry_Litterbag Placem_Collection'!E209="","",'Dry_Litterbag Placem_Collection'!E209)</f>
        <v>42942</v>
      </c>
      <c r="U648" s="265">
        <f>IF('Dry_Litterbag Placem_Collection'!G209="","",'Dry_Litterbag Placem_Collection'!G209)</f>
        <v>43004</v>
      </c>
      <c r="V648" s="266">
        <f t="shared" si="50"/>
        <v>62</v>
      </c>
      <c r="W648" s="264">
        <f t="shared" si="53"/>
        <v>1.1708000000000001</v>
      </c>
      <c r="X648" s="264">
        <f t="shared" si="54"/>
        <v>1.1934430499134807</v>
      </c>
      <c r="Y648" s="268">
        <f>IFERROR(INDEX(Rainfall_Dry!$O$2:$O$217,MATCH(B648, Rainfall_Dry!$A$2:$A$217,0)),"")</f>
        <v>171.84818423999999</v>
      </c>
      <c r="Z648" s="257">
        <v>27.96</v>
      </c>
      <c r="AA648" s="257">
        <v>4.9200000000000017</v>
      </c>
      <c r="AB648" s="257">
        <v>67.12</v>
      </c>
      <c r="AC648" s="258" t="s">
        <v>2654</v>
      </c>
      <c r="AD648" s="257">
        <v>0.88610152784622953</v>
      </c>
      <c r="AE648">
        <f>IF('WetLitterbags placem_collection'!AB209="","",'WetLitterbags placem_collection'!AB209)</f>
        <v>15.2</v>
      </c>
      <c r="AF648">
        <f>IF('WetLitterbags placem_collection'!Z209="","",'WetLitterbags placem_collection'!Z209)</f>
        <v>12.2</v>
      </c>
      <c r="AG648" s="243" t="str">
        <f>IF('WetLitterbags placem_collection'!AA209="","",'WetLitterbags placem_collection'!AA209)</f>
        <v>O</v>
      </c>
      <c r="AH648">
        <f>IF('WetLitterbags placem_collection'!AC209="","",'WetLitterbags placem_collection'!AC209)</f>
        <v>1</v>
      </c>
      <c r="AI648">
        <f>IFERROR(AVERAGE('Dry_Litterbag Placem_Collection'!O209,'Dry_Litterbag Placem_Collection'!R209),"")</f>
        <v>4.3</v>
      </c>
      <c r="AJ648" s="268">
        <f>IFERROR(AVERAGE('Dry_Litterbag Placem_Collection'!N209,'Dry_Litterbag Placem_Collection'!Q209),"")</f>
        <v>29.6</v>
      </c>
      <c r="AK648">
        <v>-2.4396949910000001</v>
      </c>
      <c r="AL648">
        <v>34.838574029999997</v>
      </c>
      <c r="AM648" s="267" t="str">
        <f>IF(ISNUMBER(SEARCH("C", 'Dry_Litterbag Placem_Collection'!U209)),"YES","NO")</f>
        <v>NO</v>
      </c>
      <c r="AN648" s="267" t="str">
        <f>IF(ISNUMBER(SEARCH("H", 'Dry_Litterbag Placem_Collection'!U209)),"YES","NO")</f>
        <v>NO</v>
      </c>
      <c r="AO648" s="267" t="str">
        <f>IF(ISNUMBER(SEARCH("R", 'Dry_Litterbag Placem_Collection'!U209)),"YES","NO")</f>
        <v>NO</v>
      </c>
    </row>
    <row r="649" spans="1:41" ht="15" customHeight="1">
      <c r="A649" s="259" t="s">
        <v>2643</v>
      </c>
      <c r="B649" s="260">
        <f>'Dry_Litterbag Placem_Collection'!A210</f>
        <v>208</v>
      </c>
      <c r="C649" s="260" t="str">
        <f>'Dry_Litterbag Placem_Collection'!B210</f>
        <v xml:space="preserve">Mwantimba
</v>
      </c>
      <c r="D649" s="260" t="s">
        <v>2454</v>
      </c>
      <c r="E649" s="260" t="s">
        <v>2512</v>
      </c>
      <c r="F649" s="260">
        <v>3</v>
      </c>
      <c r="G649" s="260" t="s">
        <v>3819</v>
      </c>
      <c r="H649" s="261" t="str">
        <f>'Dry_Litterbag Placem_Collection'!C210</f>
        <v>Wet_Ag4_CG3</v>
      </c>
      <c r="I649" s="270" t="s">
        <v>3630</v>
      </c>
      <c r="J649" s="263" t="s">
        <v>1147</v>
      </c>
      <c r="K649" s="260" t="str">
        <f>IF(ISBLANK('Dry_Litterbag Placem_Collection'!L210),"","G"&amp;""&amp;'Dry_Litterbag Placem_Collection'!L210)</f>
        <v>G140</v>
      </c>
      <c r="L649" s="264">
        <f>IFERROR(INDEX('Green_rooibos initial weight'!$C$5:$C$2000,MATCH(K649, 'Green_rooibos initial weight'!$A$5:$A$2000,0)),"")</f>
        <v>2.0590000000000002</v>
      </c>
      <c r="M649" s="264">
        <f>IFERROR(L649-(TBIcalc!$Q$9+TBIcalc!$Q$10),"")</f>
        <v>1.8092000000000001</v>
      </c>
      <c r="N649" s="385">
        <f>AVERAGE(Ashed_controlls!$K$2:$K$11)</f>
        <v>5.5147656768714146</v>
      </c>
      <c r="O649" s="264">
        <f t="shared" si="51"/>
        <v>1.7094268593740425</v>
      </c>
      <c r="P649" s="264">
        <f>IFERROR(INDEX('Both teabags AfterDry'!$D$2:$D$2000,MATCH(K649,'Both teabags AfterDry'!$A$2:$A$2000,0)),"")</f>
        <v>0.74199999999999999</v>
      </c>
      <c r="Q649" s="264">
        <f>IFERROR(IF(P649&gt;0,P649-(TBIcalc!$Q$9),""),"")</f>
        <v>0.59139999999999993</v>
      </c>
      <c r="R649" s="275">
        <f>IFERROR(INDEX('Ashed teabags dry'!$K$2:$K$2000,MATCH(K649,'Ashed teabags dry'!$A$2:$A$2000,0)),"")</f>
        <v>20.585365853658182</v>
      </c>
      <c r="S649" s="275">
        <f t="shared" si="52"/>
        <v>0.46965814634146547</v>
      </c>
      <c r="T649" s="265">
        <f>IF('Dry_Litterbag Placem_Collection'!E210="","",'Dry_Litterbag Placem_Collection'!E210)</f>
        <v>42942</v>
      </c>
      <c r="U649" s="265">
        <f>IF('Dry_Litterbag Placem_Collection'!G210="","",'Dry_Litterbag Placem_Collection'!G210)</f>
        <v>43004</v>
      </c>
      <c r="V649" s="266">
        <f t="shared" si="50"/>
        <v>62</v>
      </c>
      <c r="W649" s="264">
        <f t="shared" si="53"/>
        <v>1.2178000000000002</v>
      </c>
      <c r="X649" s="264">
        <f t="shared" si="54"/>
        <v>1.239768713032577</v>
      </c>
      <c r="Y649" s="268">
        <f>IFERROR(INDEX(Rainfall_Dry!$O$2:$O$217,MATCH(B649, Rainfall_Dry!$A$2:$A$217,0)),"")</f>
        <v>171.84818423999999</v>
      </c>
      <c r="Z649" s="257">
        <v>17.96</v>
      </c>
      <c r="AA649" s="257">
        <v>4.9199999999999982</v>
      </c>
      <c r="AB649" s="257">
        <v>77.12</v>
      </c>
      <c r="AC649" s="258" t="s">
        <v>2655</v>
      </c>
      <c r="AD649" s="257">
        <v>2.0220798422868409</v>
      </c>
      <c r="AE649">
        <f>IF('WetLitterbags placem_collection'!AB210="","",'WetLitterbags placem_collection'!AB210)</f>
        <v>7.9</v>
      </c>
      <c r="AF649">
        <f>IF('WetLitterbags placem_collection'!Z210="","",'WetLitterbags placem_collection'!Z210)</f>
        <v>7.9</v>
      </c>
      <c r="AG649" s="243" t="str">
        <f>IF('WetLitterbags placem_collection'!AA210="","",'WetLitterbags placem_collection'!AA210)</f>
        <v>O</v>
      </c>
      <c r="AH649">
        <f>IF('WetLitterbags placem_collection'!AC210="","",'WetLitterbags placem_collection'!AC210)</f>
        <v>1</v>
      </c>
      <c r="AI649">
        <f>IFERROR(AVERAGE('Dry_Litterbag Placem_Collection'!O210,'Dry_Litterbag Placem_Collection'!R210),"")</f>
        <v>6.2</v>
      </c>
      <c r="AJ649" s="268">
        <f>IFERROR(AVERAGE('Dry_Litterbag Placem_Collection'!N210,'Dry_Litterbag Placem_Collection'!Q210),"")</f>
        <v>29.1</v>
      </c>
      <c r="AK649">
        <v>-2.4395990190000001</v>
      </c>
      <c r="AL649">
        <v>34.838418959999998</v>
      </c>
      <c r="AM649" s="267" t="str">
        <f>IF(ISNUMBER(SEARCH("C", 'Dry_Litterbag Placem_Collection'!U210)),"YES","NO")</f>
        <v>NO</v>
      </c>
      <c r="AN649" s="267" t="str">
        <f>IF(ISNUMBER(SEARCH("H", 'Dry_Litterbag Placem_Collection'!U210)),"YES","NO")</f>
        <v>NO</v>
      </c>
      <c r="AO649" s="267" t="str">
        <f>IF(ISNUMBER(SEARCH("R", 'Dry_Litterbag Placem_Collection'!U210)),"YES","NO")</f>
        <v>YES</v>
      </c>
    </row>
    <row r="650" spans="1:41" ht="15" customHeight="1">
      <c r="A650" s="259" t="s">
        <v>2643</v>
      </c>
      <c r="B650" s="260">
        <f>'Dry_Litterbag Placem_Collection'!A211</f>
        <v>209</v>
      </c>
      <c r="C650" s="260" t="str">
        <f>'Dry_Litterbag Placem_Collection'!B211</f>
        <v xml:space="preserve">Mwantimba
</v>
      </c>
      <c r="D650" s="260" t="s">
        <v>2454</v>
      </c>
      <c r="E650" s="260" t="s">
        <v>2512</v>
      </c>
      <c r="F650" s="260">
        <v>2</v>
      </c>
      <c r="G650" s="260" t="s">
        <v>3820</v>
      </c>
      <c r="H650" s="261" t="str">
        <f>'Dry_Litterbag Placem_Collection'!C211</f>
        <v>Wet_P1_CG2</v>
      </c>
      <c r="I650" s="270" t="s">
        <v>3630</v>
      </c>
      <c r="J650" s="263" t="s">
        <v>1147</v>
      </c>
      <c r="K650" s="260" t="str">
        <f>IF(ISBLANK('Dry_Litterbag Placem_Collection'!L211),"","G"&amp;""&amp;'Dry_Litterbag Placem_Collection'!L211)</f>
        <v>G92</v>
      </c>
      <c r="L650" s="264">
        <f>IFERROR(INDEX('Green_rooibos initial weight'!$C$5:$C$2000,MATCH(K650, 'Green_rooibos initial weight'!$A$5:$A$2000,0)),"")</f>
        <v>2.1930000000000001</v>
      </c>
      <c r="M650" s="264">
        <f>IFERROR(L650-(TBIcalc!$Q$9+TBIcalc!$Q$10),"")</f>
        <v>1.9432</v>
      </c>
      <c r="N650" s="385">
        <f>AVERAGE(Ashed_controlls!$K$2:$K$11)</f>
        <v>5.5147656768714146</v>
      </c>
      <c r="O650" s="264">
        <f t="shared" si="51"/>
        <v>1.8360370733670348</v>
      </c>
      <c r="P650" s="264">
        <f>IFERROR(INDEX('Both teabags AfterDry'!$D$2:$D$2000,MATCH(K650,'Both teabags AfterDry'!$A$2:$A$2000,0)),"")</f>
        <v>0.73619999999999997</v>
      </c>
      <c r="Q650" s="264">
        <f>IFERROR(IF(P650&gt;0,P650-(TBIcalc!$Q$9),""),"")</f>
        <v>0.5855999999999999</v>
      </c>
      <c r="R650" s="275">
        <f>IFERROR(INDEX('Ashed teabags dry'!$K$2:$K$2000,MATCH(K650,'Ashed teabags dry'!$A$2:$A$2000,0)),"")</f>
        <v>17.387081107333806</v>
      </c>
      <c r="S650" s="275">
        <f t="shared" si="52"/>
        <v>0.48378125303545316</v>
      </c>
      <c r="T650" s="265">
        <f>IF('Dry_Litterbag Placem_Collection'!E211="","",'Dry_Litterbag Placem_Collection'!E211)</f>
        <v>42942</v>
      </c>
      <c r="U650" s="265">
        <f>IF('Dry_Litterbag Placem_Collection'!G211="","",'Dry_Litterbag Placem_Collection'!G211)</f>
        <v>43004</v>
      </c>
      <c r="V650" s="266">
        <f t="shared" si="50"/>
        <v>62</v>
      </c>
      <c r="W650" s="264">
        <f t="shared" si="53"/>
        <v>1.3576000000000001</v>
      </c>
      <c r="X650" s="264">
        <f t="shared" si="54"/>
        <v>1.3522558203315818</v>
      </c>
      <c r="Y650" s="268">
        <f>IFERROR(INDEX(Rainfall_Dry!$O$2:$O$217,MATCH(B650, Rainfall_Dry!$A$2:$A$217,0)),"")</f>
        <v>171.84818423999999</v>
      </c>
      <c r="Z650" s="257">
        <v>31.214836424255054</v>
      </c>
      <c r="AA650" s="257">
        <v>11.377370285476141</v>
      </c>
      <c r="AB650" s="257">
        <v>57.407793290268799</v>
      </c>
      <c r="AC650" s="258" t="s">
        <v>2654</v>
      </c>
      <c r="AD650" s="257">
        <v>1.7337604731394776</v>
      </c>
      <c r="AE650">
        <f>IF('WetLitterbags placem_collection'!AB211="","",'WetLitterbags placem_collection'!AB211)</f>
        <v>5.13</v>
      </c>
      <c r="AF650">
        <f>IF('WetLitterbags placem_collection'!Z211="","",'WetLitterbags placem_collection'!Z211)</f>
        <v>5.13</v>
      </c>
      <c r="AG650" s="243" t="str">
        <f>IF('WetLitterbags placem_collection'!AA211="","",'WetLitterbags placem_collection'!AA211)</f>
        <v>O</v>
      </c>
      <c r="AH650">
        <f>IF('WetLitterbags placem_collection'!AC211="","",'WetLitterbags placem_collection'!AC211)</f>
        <v>1</v>
      </c>
      <c r="AI650">
        <f>IFERROR(AVERAGE('Dry_Litterbag Placem_Collection'!O211,'Dry_Litterbag Placem_Collection'!R211),"")</f>
        <v>8.6000000000000014</v>
      </c>
      <c r="AJ650" s="268">
        <f>IFERROR(AVERAGE('Dry_Litterbag Placem_Collection'!N211,'Dry_Litterbag Placem_Collection'!Q211),"")</f>
        <v>29.6</v>
      </c>
      <c r="AK650">
        <v>-2.4396450349999999</v>
      </c>
      <c r="AL650">
        <v>34.83836599</v>
      </c>
      <c r="AM650" s="267" t="str">
        <f>IF(ISNUMBER(SEARCH("C", 'Dry_Litterbag Placem_Collection'!U211)),"YES","NO")</f>
        <v>NO</v>
      </c>
      <c r="AN650" s="267" t="str">
        <f>IF(ISNUMBER(SEARCH("H", 'Dry_Litterbag Placem_Collection'!U211)),"YES","NO")</f>
        <v>NO</v>
      </c>
      <c r="AO650" s="267" t="str">
        <f>IF(ISNUMBER(SEARCH("R", 'Dry_Litterbag Placem_Collection'!U211)),"YES","NO")</f>
        <v>YES</v>
      </c>
    </row>
    <row r="651" spans="1:41" ht="15" customHeight="1">
      <c r="A651" s="259" t="s">
        <v>2643</v>
      </c>
      <c r="B651" s="260">
        <f>'Dry_Litterbag Placem_Collection'!A212</f>
        <v>210</v>
      </c>
      <c r="C651" s="260" t="str">
        <f>'Dry_Litterbag Placem_Collection'!B212</f>
        <v xml:space="preserve">Mwantimba
</v>
      </c>
      <c r="D651" s="260" t="s">
        <v>2454</v>
      </c>
      <c r="E651" s="260" t="s">
        <v>2512</v>
      </c>
      <c r="F651" s="260">
        <v>4</v>
      </c>
      <c r="G651" s="260" t="s">
        <v>3822</v>
      </c>
      <c r="H651" s="261" t="str">
        <f>'Dry_Litterbag Placem_Collection'!C212</f>
        <v>Wet_P2_CG4</v>
      </c>
      <c r="I651" s="270" t="s">
        <v>3630</v>
      </c>
      <c r="J651" s="263" t="s">
        <v>1147</v>
      </c>
      <c r="K651" s="260" t="str">
        <f>IF(ISBLANK('Dry_Litterbag Placem_Collection'!L212),"","G"&amp;""&amp;'Dry_Litterbag Placem_Collection'!L212)</f>
        <v>G36</v>
      </c>
      <c r="L651" s="264">
        <f>IFERROR(INDEX('Green_rooibos initial weight'!$C$5:$C$2000,MATCH(K651, 'Green_rooibos initial weight'!$A$5:$A$2000,0)),"")</f>
        <v>2.1429999999999998</v>
      </c>
      <c r="M651" s="264">
        <f>IFERROR(L651-(TBIcalc!$Q$9+TBIcalc!$Q$10),"")</f>
        <v>1.8931999999999998</v>
      </c>
      <c r="N651" s="385">
        <f>AVERAGE(Ashed_controlls!$K$2:$K$11)</f>
        <v>5.5147656768714146</v>
      </c>
      <c r="O651" s="264">
        <f t="shared" si="51"/>
        <v>1.7887944562054701</v>
      </c>
      <c r="P651" s="264">
        <f>IFERROR(INDEX('Both teabags AfterDry'!$D$2:$D$2000,MATCH(K651,'Both teabags AfterDry'!$A$2:$A$2000,0)),"")</f>
        <v>0.84599999999999997</v>
      </c>
      <c r="Q651" s="264">
        <f>IFERROR(IF(P651&gt;0,P651-(TBIcalc!$Q$9),""),"")</f>
        <v>0.69540000000000002</v>
      </c>
      <c r="R651" s="275">
        <f>IFERROR(INDEX('Ashed teabags dry'!$K$2:$K$2000,MATCH(K651,'Ashed teabags dry'!$A$2:$A$2000,0)),"")</f>
        <v>19.173412867490324</v>
      </c>
      <c r="S651" s="275">
        <f t="shared" si="52"/>
        <v>0.5620680869194723</v>
      </c>
      <c r="T651" s="265">
        <f>IF('Dry_Litterbag Placem_Collection'!E212="","",'Dry_Litterbag Placem_Collection'!E212)</f>
        <v>42942</v>
      </c>
      <c r="U651" s="265">
        <f>IF('Dry_Litterbag Placem_Collection'!G212="","",'Dry_Litterbag Placem_Collection'!G212)</f>
        <v>43004</v>
      </c>
      <c r="V651" s="266">
        <f t="shared" si="50"/>
        <v>62</v>
      </c>
      <c r="W651" s="264">
        <f t="shared" si="53"/>
        <v>1.1977999999999998</v>
      </c>
      <c r="X651" s="264">
        <f t="shared" si="54"/>
        <v>1.2267263692859978</v>
      </c>
      <c r="Y651" s="268">
        <f>IFERROR(INDEX(Rainfall_Dry!$O$2:$O$217,MATCH(B651, Rainfall_Dry!$A$2:$A$217,0)),"")</f>
        <v>171.84818423999999</v>
      </c>
      <c r="Z651" s="257">
        <v>33.96</v>
      </c>
      <c r="AA651" s="257">
        <v>8.9200000000000017</v>
      </c>
      <c r="AB651" s="257">
        <v>57.12</v>
      </c>
      <c r="AC651" s="258" t="s">
        <v>2654</v>
      </c>
      <c r="AD651" s="257">
        <v>2.072055199605717</v>
      </c>
      <c r="AE651">
        <f>IF('WetLitterbags placem_collection'!AB212="","",'WetLitterbags placem_collection'!AB212)</f>
        <v>15.2</v>
      </c>
      <c r="AF651">
        <f>IF('WetLitterbags placem_collection'!Z212="","",'WetLitterbags placem_collection'!Z212)</f>
        <v>12.2</v>
      </c>
      <c r="AG651" s="243" t="str">
        <f>IF('WetLitterbags placem_collection'!AA212="","",'WetLitterbags placem_collection'!AA212)</f>
        <v>O</v>
      </c>
      <c r="AH651">
        <f>IF('WetLitterbags placem_collection'!AC212="","",'WetLitterbags placem_collection'!AC212)</f>
        <v>1</v>
      </c>
      <c r="AI651">
        <f>IFERROR(AVERAGE('Dry_Litterbag Placem_Collection'!O212,'Dry_Litterbag Placem_Collection'!R212),"")</f>
        <v>6.1</v>
      </c>
      <c r="AJ651" s="268">
        <f>IFERROR(AVERAGE('Dry_Litterbag Placem_Collection'!N212,'Dry_Litterbag Placem_Collection'!Q212),"")</f>
        <v>27.5</v>
      </c>
      <c r="AK651">
        <v>-2.4396949910000001</v>
      </c>
      <c r="AL651">
        <v>34.838574029999997</v>
      </c>
      <c r="AM651" s="267" t="str">
        <f>IF(ISNUMBER(SEARCH("C", 'Dry_Litterbag Placem_Collection'!U212)),"YES","NO")</f>
        <v>NO</v>
      </c>
      <c r="AN651" s="267" t="str">
        <f>IF(ISNUMBER(SEARCH("H", 'Dry_Litterbag Placem_Collection'!U212)),"YES","NO")</f>
        <v>NO</v>
      </c>
      <c r="AO651" s="267" t="str">
        <f>IF(ISNUMBER(SEARCH("R", 'Dry_Litterbag Placem_Collection'!U212)),"YES","NO")</f>
        <v>NO</v>
      </c>
    </row>
    <row r="652" spans="1:41" ht="15" customHeight="1">
      <c r="A652" s="259" t="s">
        <v>2643</v>
      </c>
      <c r="B652" s="260">
        <f>'Dry_Litterbag Placem_Collection'!A213</f>
        <v>211</v>
      </c>
      <c r="C652" s="260" t="str">
        <f>'Dry_Litterbag Placem_Collection'!B213</f>
        <v xml:space="preserve">Mwantimba
</v>
      </c>
      <c r="D652" s="260" t="s">
        <v>2454</v>
      </c>
      <c r="E652" s="260" t="s">
        <v>2512</v>
      </c>
      <c r="F652" s="260">
        <v>1</v>
      </c>
      <c r="G652" s="260" t="s">
        <v>3823</v>
      </c>
      <c r="H652" s="261" t="str">
        <f>'Dry_Litterbag Placem_Collection'!C213</f>
        <v>Wet_P3_CG1</v>
      </c>
      <c r="I652" s="270" t="s">
        <v>3630</v>
      </c>
      <c r="J652" s="263" t="s">
        <v>1147</v>
      </c>
      <c r="K652" s="260" t="str">
        <f>IF(ISBLANK('Dry_Litterbag Placem_Collection'!L213),"","G"&amp;""&amp;'Dry_Litterbag Placem_Collection'!L213)</f>
        <v>G434</v>
      </c>
      <c r="L652" s="264">
        <f>IFERROR(INDEX('Green_rooibos initial weight'!$C$5:$C$2000,MATCH(K652, 'Green_rooibos initial weight'!$A$5:$A$2000,0)),"")</f>
        <v>2.0339999999999998</v>
      </c>
      <c r="M652" s="264">
        <f>IFERROR(L652-(TBIcalc!$Q$9+TBIcalc!$Q$10),"")</f>
        <v>1.7841999999999998</v>
      </c>
      <c r="N652" s="385">
        <f>AVERAGE(Ashed_controlls!$K$2:$K$11)</f>
        <v>5.5147656768714146</v>
      </c>
      <c r="O652" s="264">
        <f t="shared" si="51"/>
        <v>1.6858055507932601</v>
      </c>
      <c r="P652" s="264">
        <f>IFERROR(INDEX('Both teabags AfterDry'!$D$2:$D$2000,MATCH(K652,'Both teabags AfterDry'!$A$2:$A$2000,0)),"")</f>
        <v>0.74099999999999999</v>
      </c>
      <c r="Q652" s="264">
        <f>IFERROR(IF(P652&gt;0,P652-(TBIcalc!$Q$9),""),"")</f>
        <v>0.59040000000000004</v>
      </c>
      <c r="R652" s="275">
        <f>IFERROR(INDEX('Ashed teabags dry'!$K$2:$K$2000,MATCH(K652,'Ashed teabags dry'!$A$2:$A$2000,0)),"")</f>
        <v>15.012106537530052</v>
      </c>
      <c r="S652" s="275">
        <f t="shared" si="52"/>
        <v>0.50176852300242258</v>
      </c>
      <c r="T652" s="265">
        <f>IF('Dry_Litterbag Placem_Collection'!E213="","",'Dry_Litterbag Placem_Collection'!E213)</f>
        <v>42942</v>
      </c>
      <c r="U652" s="265">
        <f>IF('Dry_Litterbag Placem_Collection'!G213="","",'Dry_Litterbag Placem_Collection'!G213)</f>
        <v>43004</v>
      </c>
      <c r="V652" s="266">
        <f t="shared" si="50"/>
        <v>62</v>
      </c>
      <c r="W652" s="264">
        <f t="shared" si="53"/>
        <v>1.1937999999999998</v>
      </c>
      <c r="X652" s="264">
        <f t="shared" si="54"/>
        <v>1.1840370277908376</v>
      </c>
      <c r="Y652" s="268">
        <f>IFERROR(INDEX(Rainfall_Dry!$O$2:$O$217,MATCH(B652, Rainfall_Dry!$A$2:$A$217,0)),"")</f>
        <v>171.84818423999999</v>
      </c>
      <c r="Z652" s="257">
        <v>39.96</v>
      </c>
      <c r="AA652" s="257">
        <v>12.920000000000002</v>
      </c>
      <c r="AB652" s="257">
        <v>47.12</v>
      </c>
      <c r="AC652" s="258" t="s">
        <v>2658</v>
      </c>
      <c r="AD652" s="257">
        <v>1.6549531789058647</v>
      </c>
      <c r="AE652">
        <f>IF('WetLitterbags placem_collection'!AB213="","",'WetLitterbags placem_collection'!AB213)</f>
        <v>13.8</v>
      </c>
      <c r="AF652">
        <f>IF('WetLitterbags placem_collection'!Z213="","",'WetLitterbags placem_collection'!Z213)</f>
        <v>17.399999999999999</v>
      </c>
      <c r="AG652" s="243" t="str">
        <f>IF('WetLitterbags placem_collection'!AA213="","",'WetLitterbags placem_collection'!AA213)</f>
        <v>O</v>
      </c>
      <c r="AH652">
        <f>IF('WetLitterbags placem_collection'!AC213="","",'WetLitterbags placem_collection'!AC213)</f>
        <v>1</v>
      </c>
      <c r="AI652">
        <f>IFERROR(AVERAGE('Dry_Litterbag Placem_Collection'!O213,'Dry_Litterbag Placem_Collection'!R213),"")</f>
        <v>7.55</v>
      </c>
      <c r="AJ652" s="268">
        <f>IFERROR(AVERAGE('Dry_Litterbag Placem_Collection'!N213,'Dry_Litterbag Placem_Collection'!Q213),"")</f>
        <v>28</v>
      </c>
      <c r="AK652">
        <v>-2.439403972</v>
      </c>
      <c r="AL652">
        <v>34.838404959999998</v>
      </c>
      <c r="AM652" s="267" t="str">
        <f>IF(ISNUMBER(SEARCH("C", 'Dry_Litterbag Placem_Collection'!U213)),"YES","NO")</f>
        <v>NO</v>
      </c>
      <c r="AN652" s="267" t="str">
        <f>IF(ISNUMBER(SEARCH("H", 'Dry_Litterbag Placem_Collection'!U213)),"YES","NO")</f>
        <v>NO</v>
      </c>
      <c r="AO652" s="267" t="str">
        <f>IF(ISNUMBER(SEARCH("R", 'Dry_Litterbag Placem_Collection'!U213)),"YES","NO")</f>
        <v>YES</v>
      </c>
    </row>
    <row r="653" spans="1:41" ht="15" customHeight="1">
      <c r="A653" s="259" t="s">
        <v>2643</v>
      </c>
      <c r="B653" s="260">
        <f>'Dry_Litterbag Placem_Collection'!A214</f>
        <v>215</v>
      </c>
      <c r="C653" s="260" t="str">
        <f>'Dry_Litterbag Placem_Collection'!B214</f>
        <v xml:space="preserve">Mwantimba
</v>
      </c>
      <c r="D653" s="260" t="s">
        <v>2454</v>
      </c>
      <c r="E653" s="260" t="s">
        <v>2512</v>
      </c>
      <c r="F653" s="260">
        <v>3</v>
      </c>
      <c r="G653" s="260" t="s">
        <v>3828</v>
      </c>
      <c r="H653" s="261" t="str">
        <f>'Dry_Litterbag Placem_Collection'!C214</f>
        <v>Wet_W3_CG1</v>
      </c>
      <c r="I653" s="270" t="s">
        <v>3630</v>
      </c>
      <c r="J653" s="263" t="s">
        <v>1147</v>
      </c>
      <c r="K653" s="260" t="str">
        <f>IF(ISBLANK('Dry_Litterbag Placem_Collection'!L214),"","G"&amp;""&amp;'Dry_Litterbag Placem_Collection'!L214)</f>
        <v>G56</v>
      </c>
      <c r="L653" s="264">
        <f>IFERROR(INDEX('Green_rooibos initial weight'!$C$5:$C$2000,MATCH(K653, 'Green_rooibos initial weight'!$A$5:$A$2000,0)),"")</f>
        <v>2.02</v>
      </c>
      <c r="M653" s="264">
        <f>IFERROR(L653-(TBIcalc!$Q$9+TBIcalc!$Q$10),"")</f>
        <v>1.7702</v>
      </c>
      <c r="N653" s="385">
        <f>AVERAGE(Ashed_controlls!$K$2:$K$11)</f>
        <v>5.5147656768714146</v>
      </c>
      <c r="O653" s="264">
        <f t="shared" si="51"/>
        <v>1.6725776179880223</v>
      </c>
      <c r="P653" s="264">
        <f>IFERROR(INDEX('Both teabags AfterDry'!$D$2:$D$2000,MATCH(K653,'Both teabags AfterDry'!$A$2:$A$2000,0)),"")</f>
        <v>0.7238</v>
      </c>
      <c r="Q653" s="264">
        <f>IFERROR(IF(P653&gt;0,P653-(TBIcalc!$Q$9),""),"")</f>
        <v>0.57319999999999993</v>
      </c>
      <c r="R653" s="275">
        <f>IFERROR(INDEX('Ashed teabags dry'!$K$2:$K$2000,MATCH(K653,'Ashed teabags dry'!$A$2:$A$2000,0)),"")</f>
        <v>20.311027332705713</v>
      </c>
      <c r="S653" s="275">
        <f t="shared" si="52"/>
        <v>0.4567771913289308</v>
      </c>
      <c r="T653" s="265">
        <f>IF('Dry_Litterbag Placem_Collection'!E214="","",'Dry_Litterbag Placem_Collection'!E214)</f>
        <v>42942</v>
      </c>
      <c r="U653" s="265">
        <f>IF('Dry_Litterbag Placem_Collection'!G214="","",'Dry_Litterbag Placem_Collection'!G214)</f>
        <v>43004</v>
      </c>
      <c r="V653" s="266">
        <f t="shared" si="50"/>
        <v>62</v>
      </c>
      <c r="W653" s="264">
        <f t="shared" si="53"/>
        <v>1.1970000000000001</v>
      </c>
      <c r="X653" s="264">
        <f t="shared" si="54"/>
        <v>1.2158004266590914</v>
      </c>
      <c r="Y653" s="268" t="str">
        <f>IFERROR(INDEX(Rainfall_Dry!$O$2:$O$217,MATCH(B653, Rainfall_Dry!$A$2:$A$217,0)),"")</f>
        <v/>
      </c>
      <c r="Z653" s="257">
        <v>27.96</v>
      </c>
      <c r="AA653" s="257">
        <v>4.9200000000000017</v>
      </c>
      <c r="AB653" s="257">
        <v>67.12</v>
      </c>
      <c r="AC653" s="258" t="s">
        <v>2654</v>
      </c>
      <c r="AD653" s="257">
        <v>1.0437161163134547</v>
      </c>
      <c r="AE653">
        <f>IF('WetLitterbags placem_collection'!AB214="","",'WetLitterbags placem_collection'!AB214)</f>
        <v>7.9</v>
      </c>
      <c r="AF653">
        <f>IF('WetLitterbags placem_collection'!Z214="","",'WetLitterbags placem_collection'!Z214)</f>
        <v>7.9</v>
      </c>
      <c r="AG653" s="243" t="str">
        <f>IF('WetLitterbags placem_collection'!AA214="","",'WetLitterbags placem_collection'!AA214)</f>
        <v>O</v>
      </c>
      <c r="AH653">
        <f>IF('WetLitterbags placem_collection'!AC214="","",'WetLitterbags placem_collection'!AC214)</f>
        <v>1</v>
      </c>
      <c r="AI653">
        <f>IFERROR(AVERAGE('Dry_Litterbag Placem_Collection'!O214,'Dry_Litterbag Placem_Collection'!R214),"")</f>
        <v>4.3</v>
      </c>
      <c r="AJ653" s="268">
        <f>IFERROR(AVERAGE('Dry_Litterbag Placem_Collection'!N214,'Dry_Litterbag Placem_Collection'!Q214),"")</f>
        <v>28.75</v>
      </c>
      <c r="AK653">
        <v>-2.4395990190000001</v>
      </c>
      <c r="AL653">
        <v>34.838418959999998</v>
      </c>
      <c r="AM653" s="267" t="str">
        <f>IF(ISNUMBER(SEARCH("C", 'Dry_Litterbag Placem_Collection'!U214)),"YES","NO")</f>
        <v>NO</v>
      </c>
      <c r="AN653" s="267" t="str">
        <f>IF(ISNUMBER(SEARCH("H", 'Dry_Litterbag Placem_Collection'!U214)),"YES","NO")</f>
        <v>NO</v>
      </c>
      <c r="AO653" s="267" t="str">
        <f>IF(ISNUMBER(SEARCH("R", 'Dry_Litterbag Placem_Collection'!U214)),"YES","NO")</f>
        <v>YES</v>
      </c>
    </row>
    <row r="654" spans="1:41" ht="15" customHeight="1">
      <c r="A654" s="259" t="s">
        <v>2643</v>
      </c>
      <c r="B654" s="260">
        <f>'Dry_Litterbag Placem_Collection'!A215</f>
        <v>212</v>
      </c>
      <c r="C654" s="260" t="str">
        <f>'Dry_Litterbag Placem_Collection'!B215</f>
        <v xml:space="preserve">Mwantimba
</v>
      </c>
      <c r="D654" s="260" t="s">
        <v>2454</v>
      </c>
      <c r="E654" s="260" t="s">
        <v>2512</v>
      </c>
      <c r="F654" s="260">
        <v>4</v>
      </c>
      <c r="G654" s="260" t="s">
        <v>3824</v>
      </c>
      <c r="H654" s="261" t="str">
        <f>'Dry_Litterbag Placem_Collection'!C215</f>
        <v>Wet_P4_CG3</v>
      </c>
      <c r="I654" s="270" t="s">
        <v>3630</v>
      </c>
      <c r="J654" s="263" t="s">
        <v>1147</v>
      </c>
      <c r="K654" s="260" t="str">
        <f>IF(ISBLANK('Dry_Litterbag Placem_Collection'!L215),"","G"&amp;""&amp;'Dry_Litterbag Placem_Collection'!L215)</f>
        <v>G363</v>
      </c>
      <c r="L654" s="264">
        <f>IFERROR(INDEX('Green_rooibos initial weight'!$C$5:$C$2000,MATCH(K654, 'Green_rooibos initial weight'!$A$5:$A$2000,0)),"")</f>
        <v>2.02</v>
      </c>
      <c r="M654" s="264">
        <f>IFERROR(L654-(TBIcalc!$Q$9+TBIcalc!$Q$10),"")</f>
        <v>1.7702</v>
      </c>
      <c r="N654" s="385">
        <f>AVERAGE(Ashed_controlls!$K$2:$K$11)</f>
        <v>5.5147656768714146</v>
      </c>
      <c r="O654" s="264">
        <f t="shared" si="51"/>
        <v>1.6725776179880223</v>
      </c>
      <c r="P654" s="264">
        <f>IFERROR(INDEX('Both teabags AfterDry'!$D$2:$D$2000,MATCH(K654,'Both teabags AfterDry'!$A$2:$A$2000,0)),"")</f>
        <v>0.753</v>
      </c>
      <c r="Q654" s="264">
        <f>IFERROR(IF(P654&gt;0,P654-(TBIcalc!$Q$9),""),"")</f>
        <v>0.60240000000000005</v>
      </c>
      <c r="R654" s="275">
        <f>IFERROR(INDEX('Ashed teabags dry'!$K$2:$K$2000,MATCH(K654,'Ashed teabags dry'!$A$2:$A$2000,0)),"")</f>
        <v>15.347950428979985</v>
      </c>
      <c r="S654" s="275">
        <f t="shared" si="52"/>
        <v>0.50994394661582465</v>
      </c>
      <c r="T654" s="265">
        <f>IF('Dry_Litterbag Placem_Collection'!E215="","",'Dry_Litterbag Placem_Collection'!E215)</f>
        <v>42942</v>
      </c>
      <c r="U654" s="265">
        <f>IF('Dry_Litterbag Placem_Collection'!G215="","",'Dry_Litterbag Placem_Collection'!G215)</f>
        <v>43004</v>
      </c>
      <c r="V654" s="266">
        <f t="shared" si="50"/>
        <v>62</v>
      </c>
      <c r="W654" s="264">
        <f t="shared" si="53"/>
        <v>1.1677999999999999</v>
      </c>
      <c r="X654" s="264">
        <f t="shared" si="54"/>
        <v>1.1626336713721976</v>
      </c>
      <c r="Y654" s="268">
        <f>IFERROR(INDEX(Rainfall_Dry!$O$2:$O$217,MATCH(B654, Rainfall_Dry!$A$2:$A$217,0)),"")</f>
        <v>171.84818423999999</v>
      </c>
      <c r="Z654" s="257">
        <v>21.96</v>
      </c>
      <c r="AA654" s="257">
        <v>4.9199999999999982</v>
      </c>
      <c r="AB654" s="257">
        <v>73.12</v>
      </c>
      <c r="AC654" s="258" t="s">
        <v>2654</v>
      </c>
      <c r="AD654" s="257">
        <v>1.2416954164613114</v>
      </c>
      <c r="AE654">
        <f>IF('WetLitterbags placem_collection'!AB215="","",'WetLitterbags placem_collection'!AB215)</f>
        <v>15.2</v>
      </c>
      <c r="AF654">
        <f>IF('WetLitterbags placem_collection'!Z215="","",'WetLitterbags placem_collection'!Z215)</f>
        <v>12.2</v>
      </c>
      <c r="AG654" s="243" t="str">
        <f>IF('WetLitterbags placem_collection'!AA215="","",'WetLitterbags placem_collection'!AA215)</f>
        <v>O</v>
      </c>
      <c r="AH654">
        <f>IF('WetLitterbags placem_collection'!AC215="","",'WetLitterbags placem_collection'!AC215)</f>
        <v>1</v>
      </c>
      <c r="AI654">
        <f>IFERROR(AVERAGE('Dry_Litterbag Placem_Collection'!O215,'Dry_Litterbag Placem_Collection'!R215),"")</f>
        <v>8.1499999999999986</v>
      </c>
      <c r="AJ654" s="268">
        <f>IFERROR(AVERAGE('Dry_Litterbag Placem_Collection'!N215,'Dry_Litterbag Placem_Collection'!Q215),"")</f>
        <v>28.25</v>
      </c>
      <c r="AK654">
        <v>-2.4396949910000001</v>
      </c>
      <c r="AL654">
        <v>34.838574029999997</v>
      </c>
      <c r="AM654" s="267" t="str">
        <f>IF(ISNUMBER(SEARCH("C", 'Dry_Litterbag Placem_Collection'!U215)),"YES","NO")</f>
        <v>NO</v>
      </c>
      <c r="AN654" s="267" t="str">
        <f>IF(ISNUMBER(SEARCH("H", 'Dry_Litterbag Placem_Collection'!U215)),"YES","NO")</f>
        <v>NO</v>
      </c>
      <c r="AO654" s="267" t="str">
        <f>IF(ISNUMBER(SEARCH("R", 'Dry_Litterbag Placem_Collection'!U215)),"YES","NO")</f>
        <v>YES</v>
      </c>
    </row>
    <row r="655" spans="1:41" ht="15" customHeight="1">
      <c r="A655" s="259" t="s">
        <v>2643</v>
      </c>
      <c r="B655" s="260">
        <f>'Dry_Litterbag Placem_Collection'!A216</f>
        <v>213</v>
      </c>
      <c r="C655" s="260" t="str">
        <f>'Dry_Litterbag Placem_Collection'!B216</f>
        <v>Handajega</v>
      </c>
      <c r="D655" s="260" t="s">
        <v>2454</v>
      </c>
      <c r="E655" s="260" t="s">
        <v>2512</v>
      </c>
      <c r="F655" s="260">
        <v>3</v>
      </c>
      <c r="G655" s="260" t="s">
        <v>3825</v>
      </c>
      <c r="H655" s="261" t="str">
        <f>'Dry_Litterbag Placem_Collection'!C216</f>
        <v>Wet_W1_CG4</v>
      </c>
      <c r="I655" s="270" t="s">
        <v>3630</v>
      </c>
      <c r="J655" s="263" t="s">
        <v>1147</v>
      </c>
      <c r="K655" s="260" t="str">
        <f>IF(ISBLANK('Dry_Litterbag Placem_Collection'!L216),"","G"&amp;""&amp;'Dry_Litterbag Placem_Collection'!L216)</f>
        <v>G5</v>
      </c>
      <c r="L655" s="264">
        <f>IFERROR(INDEX('Green_rooibos initial weight'!$C$5:$C$2000,MATCH(K655, 'Green_rooibos initial weight'!$A$5:$A$2000,0)),"")</f>
        <v>2.0139999999999998</v>
      </c>
      <c r="M655" s="264">
        <f>IFERROR(L655-(TBIcalc!$Q$9+TBIcalc!$Q$10),"")</f>
        <v>1.7641999999999998</v>
      </c>
      <c r="N655" s="385">
        <f>AVERAGE(Ashed_controlls!$K$2:$K$11)</f>
        <v>5.5147656768714146</v>
      </c>
      <c r="O655" s="264">
        <f t="shared" si="51"/>
        <v>1.6669085039286342</v>
      </c>
      <c r="P655" s="264">
        <f>IFERROR(INDEX('Both teabags AfterDry'!$D$2:$D$2000,MATCH(K655,'Both teabags AfterDry'!$A$2:$A$2000,0)),"")</f>
        <v>0.67</v>
      </c>
      <c r="Q655" s="264">
        <f>IFERROR(IF(P655&gt;0,P655-(TBIcalc!$Q$9),""),"")</f>
        <v>0.51940000000000008</v>
      </c>
      <c r="R655" s="275">
        <f>IFERROR(INDEX('Ashed teabags dry'!$K$2:$K$2000,MATCH(K655,'Ashed teabags dry'!$A$2:$A$2000,0)),"")</f>
        <v>14.037698412698299</v>
      </c>
      <c r="S655" s="275">
        <f t="shared" si="52"/>
        <v>0.4464881944444451</v>
      </c>
      <c r="T655" s="265">
        <f>IF('Dry_Litterbag Placem_Collection'!E216="","",'Dry_Litterbag Placem_Collection'!E216)</f>
        <v>42942</v>
      </c>
      <c r="U655" s="265">
        <f>IF('Dry_Litterbag Placem_Collection'!G216="","",'Dry_Litterbag Placem_Collection'!G216)</f>
        <v>43004</v>
      </c>
      <c r="V655" s="266">
        <f t="shared" si="50"/>
        <v>62</v>
      </c>
      <c r="W655" s="264">
        <f t="shared" si="53"/>
        <v>1.2447999999999997</v>
      </c>
      <c r="X655" s="264">
        <f t="shared" si="54"/>
        <v>1.2204203094841892</v>
      </c>
      <c r="Y655" s="268">
        <f>IFERROR(INDEX(Rainfall_Dry!$O$2:$O$217,MATCH(B655, Rainfall_Dry!$A$2:$A$217,0)),"")</f>
        <v>171.84818423999999</v>
      </c>
      <c r="Z655" s="257">
        <v>23.96</v>
      </c>
      <c r="AA655" s="257">
        <v>4.9199999999999982</v>
      </c>
      <c r="AB655" s="257">
        <v>71.12</v>
      </c>
      <c r="AC655" s="258" t="s">
        <v>2654</v>
      </c>
      <c r="AD655" s="257">
        <v>3.30913750616067</v>
      </c>
      <c r="AE655">
        <f>IF('WetLitterbags placem_collection'!AB216="","",'WetLitterbags placem_collection'!AB216)</f>
        <v>7.9</v>
      </c>
      <c r="AF655">
        <f>IF('WetLitterbags placem_collection'!Z216="","",'WetLitterbags placem_collection'!Z216)</f>
        <v>7.9</v>
      </c>
      <c r="AG655" s="243" t="str">
        <f>IF('WetLitterbags placem_collection'!AA216="","",'WetLitterbags placem_collection'!AA216)</f>
        <v>O</v>
      </c>
      <c r="AH655">
        <f>IF('WetLitterbags placem_collection'!AC216="","",'WetLitterbags placem_collection'!AC216)</f>
        <v>1</v>
      </c>
      <c r="AI655">
        <f>IFERROR(AVERAGE('Dry_Litterbag Placem_Collection'!O216,'Dry_Litterbag Placem_Collection'!R216),"")</f>
        <v>4.3499999999999996</v>
      </c>
      <c r="AJ655" s="268">
        <f>IFERROR(AVERAGE('Dry_Litterbag Placem_Collection'!N216,'Dry_Litterbag Placem_Collection'!Q216),"")</f>
        <v>29.1</v>
      </c>
      <c r="AK655">
        <v>-2.4396949910000001</v>
      </c>
      <c r="AL655">
        <v>34.838574029999997</v>
      </c>
      <c r="AM655" s="267" t="str">
        <f>IF(ISNUMBER(SEARCH("C", 'Dry_Litterbag Placem_Collection'!U216)),"YES","NO")</f>
        <v>NO</v>
      </c>
      <c r="AN655" s="267" t="str">
        <f>IF(ISNUMBER(SEARCH("H", 'Dry_Litterbag Placem_Collection'!U216)),"YES","NO")</f>
        <v>NO</v>
      </c>
      <c r="AO655" s="267" t="str">
        <f>IF(ISNUMBER(SEARCH("R", 'Dry_Litterbag Placem_Collection'!U216)),"YES","NO")</f>
        <v>NO</v>
      </c>
    </row>
    <row r="656" spans="1:41" ht="15" customHeight="1">
      <c r="A656" s="259" t="s">
        <v>2643</v>
      </c>
      <c r="B656" s="260">
        <f>'Dry_Litterbag Placem_Collection'!A217</f>
        <v>214</v>
      </c>
      <c r="C656" s="260" t="str">
        <f>'Dry_Litterbag Placem_Collection'!B217</f>
        <v>Handajega</v>
      </c>
      <c r="D656" s="260" t="s">
        <v>2454</v>
      </c>
      <c r="E656" s="260" t="s">
        <v>2512</v>
      </c>
      <c r="F656" s="260">
        <v>1</v>
      </c>
      <c r="G656" s="260" t="s">
        <v>3827</v>
      </c>
      <c r="H656" s="261" t="str">
        <f>'Dry_Litterbag Placem_Collection'!C217</f>
        <v>Wet_W2_CG3</v>
      </c>
      <c r="I656" s="270" t="s">
        <v>3630</v>
      </c>
      <c r="J656" s="263" t="s">
        <v>1147</v>
      </c>
      <c r="K656" s="260" t="str">
        <f>IF(ISBLANK('Dry_Litterbag Placem_Collection'!L217),"","G"&amp;""&amp;'Dry_Litterbag Placem_Collection'!L217)</f>
        <v>G771</v>
      </c>
      <c r="L656" s="264">
        <f>IFERROR(INDEX('Green_rooibos initial weight'!$C$5:$C$2000,MATCH(K656, 'Green_rooibos initial weight'!$A$5:$A$2000,0)),"")</f>
        <v>1.9910000000000001</v>
      </c>
      <c r="M656" s="264">
        <f>IFERROR(L656-(TBIcalc!$Q$9+TBIcalc!$Q$10),"")</f>
        <v>1.7412000000000001</v>
      </c>
      <c r="N656" s="385">
        <f>AVERAGE(Ashed_controlls!$K$2:$K$11)</f>
        <v>5.5147656768714146</v>
      </c>
      <c r="O656" s="264">
        <f t="shared" si="51"/>
        <v>1.645176900034315</v>
      </c>
      <c r="P656" s="264">
        <f>IFERROR(INDEX('Both teabags AfterDry'!$D$2:$D$2000,MATCH(K656,'Both teabags AfterDry'!$A$2:$A$2000,0)),"")</f>
        <v>0.65300000000000002</v>
      </c>
      <c r="Q656" s="264">
        <f>IFERROR(IF(P656&gt;0,P656-(TBIcalc!$Q$9),""),"")</f>
        <v>0.50239999999999996</v>
      </c>
      <c r="R656" s="275">
        <f>IFERROR(INDEX('Ashed teabags dry'!$K$2:$K$2000,MATCH(K656,'Ashed teabags dry'!$A$2:$A$2000,0)),"")</f>
        <v>13.496637848223109</v>
      </c>
      <c r="S656" s="275">
        <f t="shared" si="52"/>
        <v>0.43459289145052704</v>
      </c>
      <c r="T656" s="265">
        <f>IF('Dry_Litterbag Placem_Collection'!E217="","",'Dry_Litterbag Placem_Collection'!E217)</f>
        <v>42942</v>
      </c>
      <c r="U656" s="265">
        <f>IF('Dry_Litterbag Placem_Collection'!G217="","",'Dry_Litterbag Placem_Collection'!G217)</f>
        <v>43004</v>
      </c>
      <c r="V656" s="266">
        <f t="shared" si="50"/>
        <v>62</v>
      </c>
      <c r="W656" s="264">
        <f t="shared" si="53"/>
        <v>1.2388000000000001</v>
      </c>
      <c r="X656" s="264">
        <f t="shared" si="54"/>
        <v>1.210584008583788</v>
      </c>
      <c r="Y656" s="268">
        <f>IFERROR(INDEX(Rainfall_Dry!$O$2:$O$217,MATCH(B656, Rainfall_Dry!$A$2:$A$217,0)),"")</f>
        <v>171.84818423999999</v>
      </c>
      <c r="Z656" s="257">
        <v>25.96</v>
      </c>
      <c r="AA656" s="257">
        <v>8.9200000000000017</v>
      </c>
      <c r="AB656" s="257">
        <v>65.12</v>
      </c>
      <c r="AC656" s="258" t="s">
        <v>2654</v>
      </c>
      <c r="AD656" s="257">
        <v>1.614588467225234</v>
      </c>
      <c r="AE656">
        <f>IF('WetLitterbags placem_collection'!AB217="","",'WetLitterbags placem_collection'!AB217)</f>
        <v>13.8</v>
      </c>
      <c r="AF656">
        <f>IF('WetLitterbags placem_collection'!Z217="","",'WetLitterbags placem_collection'!Z217)</f>
        <v>17.399999999999999</v>
      </c>
      <c r="AG656" s="243" t="str">
        <f>IF('WetLitterbags placem_collection'!AA217="","",'WetLitterbags placem_collection'!AA217)</f>
        <v>O</v>
      </c>
      <c r="AH656">
        <f>IF('WetLitterbags placem_collection'!AC217="","",'WetLitterbags placem_collection'!AC217)</f>
        <v>1</v>
      </c>
      <c r="AI656">
        <f>IFERROR(AVERAGE('Dry_Litterbag Placem_Collection'!O217,'Dry_Litterbag Placem_Collection'!R217),"")</f>
        <v>6.3</v>
      </c>
      <c r="AJ656" s="268">
        <f>IFERROR(AVERAGE('Dry_Litterbag Placem_Collection'!N217,'Dry_Litterbag Placem_Collection'!Q217),"")</f>
        <v>29.8</v>
      </c>
      <c r="AK656">
        <v>-2.439403972</v>
      </c>
      <c r="AL656">
        <v>34.838404959999998</v>
      </c>
      <c r="AM656" s="267" t="str">
        <f>IF(ISNUMBER(SEARCH("C", 'Dry_Litterbag Placem_Collection'!U217)),"YES","NO")</f>
        <v>NO</v>
      </c>
      <c r="AN656" s="267" t="str">
        <f>IF(ISNUMBER(SEARCH("H", 'Dry_Litterbag Placem_Collection'!U217)),"YES","NO")</f>
        <v>NO</v>
      </c>
      <c r="AO656" s="267" t="str">
        <f>IF(ISNUMBER(SEARCH("R", 'Dry_Litterbag Placem_Collection'!U217)),"YES","NO")</f>
        <v>YES</v>
      </c>
    </row>
    <row r="657" spans="1:41" ht="15" customHeight="1">
      <c r="A657" s="259" t="s">
        <v>2643</v>
      </c>
      <c r="B657" s="260">
        <f>'Dry_Litterbag Placem_Collection'!A218</f>
        <v>216</v>
      </c>
      <c r="C657" s="260" t="str">
        <f>'Dry_Litterbag Placem_Collection'!B218</f>
        <v>Handajega</v>
      </c>
      <c r="D657" s="260" t="s">
        <v>2454</v>
      </c>
      <c r="E657" s="260" t="s">
        <v>2512</v>
      </c>
      <c r="F657" s="260">
        <v>2</v>
      </c>
      <c r="G657" s="260" t="s">
        <v>3829</v>
      </c>
      <c r="H657" s="261" t="str">
        <f>'Dry_Litterbag Placem_Collection'!C218</f>
        <v>Wet_W4_CG2</v>
      </c>
      <c r="I657" s="270" t="s">
        <v>3630</v>
      </c>
      <c r="J657" s="263" t="s">
        <v>1147</v>
      </c>
      <c r="K657" s="260" t="str">
        <f>IF(ISBLANK('Dry_Litterbag Placem_Collection'!L218),"","G"&amp;""&amp;'Dry_Litterbag Placem_Collection'!L218)</f>
        <v>G361</v>
      </c>
      <c r="L657" s="264">
        <f>IFERROR(INDEX('Green_rooibos initial weight'!$C$5:$C$2000,MATCH(K657, 'Green_rooibos initial weight'!$A$5:$A$2000,0)),"")</f>
        <v>2.0590000000000002</v>
      </c>
      <c r="M657" s="264">
        <f>IFERROR(L657-(TBIcalc!$Q$9+TBIcalc!$Q$10),"")</f>
        <v>1.8092000000000001</v>
      </c>
      <c r="N657" s="385">
        <f>AVERAGE(Ashed_controlls!$K$2:$K$11)</f>
        <v>5.5147656768714146</v>
      </c>
      <c r="O657" s="264">
        <f t="shared" si="51"/>
        <v>1.7094268593740425</v>
      </c>
      <c r="P657" s="264">
        <f>IFERROR(INDEX('Both teabags AfterDry'!$D$2:$D$2000,MATCH(K657,'Both teabags AfterDry'!$A$2:$A$2000,0)),"")</f>
        <v>0.73499999999999999</v>
      </c>
      <c r="Q657" s="264">
        <f>IFERROR(IF(P657&gt;0,P657-(TBIcalc!$Q$9),""),"")</f>
        <v>0.58440000000000003</v>
      </c>
      <c r="R657" s="275">
        <f>IFERROR(INDEX('Ashed teabags dry'!$K$2:$K$2000,MATCH(K657,'Ashed teabags dry'!$A$2:$A$2000,0)),"")</f>
        <v>12.954939341420824</v>
      </c>
      <c r="S657" s="275">
        <f t="shared" si="52"/>
        <v>0.50869133448873671</v>
      </c>
      <c r="T657" s="265">
        <f>IF('Dry_Litterbag Placem_Collection'!E218="","",'Dry_Litterbag Placem_Collection'!E218)</f>
        <v>42942</v>
      </c>
      <c r="U657" s="265">
        <f>IF('Dry_Litterbag Placem_Collection'!G218="","",'Dry_Litterbag Placem_Collection'!G218)</f>
        <v>43004</v>
      </c>
      <c r="V657" s="266">
        <f t="shared" si="50"/>
        <v>62</v>
      </c>
      <c r="W657" s="264">
        <f t="shared" si="53"/>
        <v>1.2248000000000001</v>
      </c>
      <c r="X657" s="264">
        <f t="shared" si="54"/>
        <v>1.2007355248853058</v>
      </c>
      <c r="Y657" s="268">
        <f>IFERROR(INDEX(Rainfall_Dry!$O$2:$O$217,MATCH(B657, Rainfall_Dry!$A$2:$A$217,0)),"")</f>
        <v>171.84818423999999</v>
      </c>
      <c r="Z657" s="257">
        <v>25.96</v>
      </c>
      <c r="AA657" s="257">
        <v>8.9200000000000017</v>
      </c>
      <c r="AB657" s="257">
        <v>65.12</v>
      </c>
      <c r="AC657" s="258" t="s">
        <v>2654</v>
      </c>
      <c r="AD657" s="257">
        <v>1.6991621488417901</v>
      </c>
      <c r="AE657">
        <f>IF('WetLitterbags placem_collection'!AB218="","",'WetLitterbags placem_collection'!AB218)</f>
        <v>5.13</v>
      </c>
      <c r="AF657">
        <f>IF('WetLitterbags placem_collection'!Z218="","",'WetLitterbags placem_collection'!Z218)</f>
        <v>5.13</v>
      </c>
      <c r="AG657" s="243" t="str">
        <f>IF('WetLitterbags placem_collection'!AA218="","",'WetLitterbags placem_collection'!AA218)</f>
        <v>O</v>
      </c>
      <c r="AH657">
        <f>IF('WetLitterbags placem_collection'!AC218="","",'WetLitterbags placem_collection'!AC218)</f>
        <v>1</v>
      </c>
      <c r="AI657">
        <f>IFERROR(AVERAGE('Dry_Litterbag Placem_Collection'!O218,'Dry_Litterbag Placem_Collection'!R218),"")</f>
        <v>7.0500000000000007</v>
      </c>
      <c r="AJ657" s="268">
        <f>IFERROR(AVERAGE('Dry_Litterbag Placem_Collection'!N218,'Dry_Litterbag Placem_Collection'!Q218),"")</f>
        <v>29.85</v>
      </c>
      <c r="AK657">
        <v>-2.4396450349999999</v>
      </c>
      <c r="AL657">
        <v>34.83836599</v>
      </c>
      <c r="AM657" s="267" t="str">
        <f>IF(ISNUMBER(SEARCH("C", 'Dry_Litterbag Placem_Collection'!U218)),"YES","NO")</f>
        <v>NO</v>
      </c>
      <c r="AN657" s="267" t="str">
        <f>IF(ISNUMBER(SEARCH("H", 'Dry_Litterbag Placem_Collection'!U218)),"YES","NO")</f>
        <v>NO</v>
      </c>
      <c r="AO657" s="267" t="str">
        <f>IF(ISNUMBER(SEARCH("R", 'Dry_Litterbag Placem_Collection'!U218)),"YES","NO")</f>
        <v>NO</v>
      </c>
    </row>
    <row r="658" spans="1:41" ht="15" customHeight="1">
      <c r="A658" s="259" t="s">
        <v>2643</v>
      </c>
      <c r="B658" s="260">
        <f>'Dry_Litterbag Placem_Collection'!A219</f>
        <v>217</v>
      </c>
      <c r="C658" s="260" t="str">
        <f>'Dry_Litterbag Placem_Collection'!B219</f>
        <v>Seronera</v>
      </c>
      <c r="D658" s="260" t="s">
        <v>2646</v>
      </c>
      <c r="E658" s="260" t="s">
        <v>2512</v>
      </c>
      <c r="F658" s="260">
        <v>1</v>
      </c>
      <c r="G658" s="260" t="s">
        <v>3885</v>
      </c>
      <c r="H658" s="261" t="str">
        <f>'Dry_Litterbag Placem_Collection'!C219</f>
        <v>Local1_CG1</v>
      </c>
      <c r="I658" s="270" t="s">
        <v>3630</v>
      </c>
      <c r="J658" s="263" t="s">
        <v>1147</v>
      </c>
      <c r="K658" s="260" t="str">
        <f>IF(ISBLANK('Dry_Litterbag Placem_Collection'!L219),"","G"&amp;""&amp;'Dry_Litterbag Placem_Collection'!L219)</f>
        <v>G204</v>
      </c>
      <c r="L658" s="264">
        <f>IFERROR(INDEX('Green_rooibos initial weight'!$C$5:$C$2000,MATCH(K658, 'Green_rooibos initial weight'!$A$5:$A$2000,0)),"")</f>
        <v>2.1970000000000001</v>
      </c>
      <c r="M658" s="264">
        <f>IFERROR(L658-(TBIcalc!$Q$9+TBIcalc!$Q$10),"")</f>
        <v>1.9472</v>
      </c>
      <c r="N658" s="385">
        <f>AVERAGE(Ashed_controlls!$K$2:$K$11)</f>
        <v>5.5147656768714146</v>
      </c>
      <c r="O658" s="264">
        <f t="shared" si="51"/>
        <v>1.8398164827399599</v>
      </c>
      <c r="P658" s="264">
        <f>IFERROR(INDEX('Both teabags AfterDry'!$D$2:$D$2000,MATCH(K658,'Both teabags AfterDry'!$A$2:$A$2000,0)),"")</f>
        <v>0.80579999999999996</v>
      </c>
      <c r="Q658" s="264">
        <f>IFERROR(IF(P658&gt;0,P658-(TBIcalc!$Q$9),""),"")</f>
        <v>0.6552</v>
      </c>
      <c r="R658" s="275">
        <f>IFERROR(INDEX('Ashed teabags dry'!$K$2:$K$2000,MATCH(K658,'Ashed teabags dry'!$A$2:$A$2000,0)),"")</f>
        <v>19.368932038835744</v>
      </c>
      <c r="S658" s="275">
        <f t="shared" si="52"/>
        <v>0.52829475728154818</v>
      </c>
      <c r="T658" s="265">
        <f>IF('Dry_Litterbag Placem_Collection'!E219="","",'Dry_Litterbag Placem_Collection'!E219)</f>
        <v>42942</v>
      </c>
      <c r="U658" s="265">
        <f>IF('Dry_Litterbag Placem_Collection'!G219="","",'Dry_Litterbag Placem_Collection'!G219)</f>
        <v>43004</v>
      </c>
      <c r="V658" s="266">
        <f t="shared" si="50"/>
        <v>62</v>
      </c>
      <c r="W658" s="264">
        <f t="shared" si="53"/>
        <v>1.292</v>
      </c>
      <c r="X658" s="264">
        <f t="shared" si="54"/>
        <v>1.3115217254584117</v>
      </c>
      <c r="Y658" s="268">
        <f>IFERROR(INDEX(Rainfall_Dry!$O$2:$O$217,MATCH(B658, Rainfall_Dry!$A$2:$A$217,0)),"")</f>
        <v>171.84818423999999</v>
      </c>
      <c r="Z658" s="257">
        <v>29.076539101497506</v>
      </c>
      <c r="AA658" s="257">
        <v>7.1963394342762079</v>
      </c>
      <c r="AB658" s="257">
        <v>63.727121464226286</v>
      </c>
      <c r="AC658" s="257" t="s">
        <v>2654</v>
      </c>
      <c r="AD658" s="257">
        <v>1.0994578610152781</v>
      </c>
      <c r="AE658">
        <f>IF('WetLitterbags placem_collection'!AB219="","",'WetLitterbags placem_collection'!AB219)</f>
        <v>13.8</v>
      </c>
      <c r="AF658">
        <f>IF('WetLitterbags placem_collection'!Z219="","",'WetLitterbags placem_collection'!Z219)</f>
        <v>17.399999999999999</v>
      </c>
      <c r="AG658" s="243" t="str">
        <f>IF('WetLitterbags placem_collection'!AA219="","",'WetLitterbags placem_collection'!AA219)</f>
        <v>O</v>
      </c>
      <c r="AH658">
        <f>IF('WetLitterbags placem_collection'!AC219="","",'WetLitterbags placem_collection'!AC219)</f>
        <v>1</v>
      </c>
      <c r="AI658">
        <f>IFERROR(AVERAGE('Dry_Litterbag Placem_Collection'!O219,'Dry_Litterbag Placem_Collection'!R219),"")</f>
        <v>7.1999999999999993</v>
      </c>
      <c r="AJ658" s="268">
        <f>IFERROR(AVERAGE('Dry_Litterbag Placem_Collection'!N219,'Dry_Litterbag Placem_Collection'!Q219),"")</f>
        <v>31.25</v>
      </c>
      <c r="AK658">
        <v>-2.439403972</v>
      </c>
      <c r="AL658">
        <v>34.838404959999998</v>
      </c>
      <c r="AM658" s="267" t="str">
        <f>IF(ISNUMBER(SEARCH("C", 'Dry_Litterbag Placem_Collection'!U219)),"YES","NO")</f>
        <v>NO</v>
      </c>
      <c r="AN658" s="267" t="str">
        <f>IF(ISNUMBER(SEARCH("H", 'Dry_Litterbag Placem_Collection'!U219)),"YES","NO")</f>
        <v>NO</v>
      </c>
      <c r="AO658" s="267" t="str">
        <f>IF(ISNUMBER(SEARCH("R", 'Dry_Litterbag Placem_Collection'!U219)),"YES","NO")</f>
        <v>YES</v>
      </c>
    </row>
    <row r="659" spans="1:41" ht="15" customHeight="1">
      <c r="A659" s="259" t="s">
        <v>2643</v>
      </c>
      <c r="B659" s="260">
        <f>'Dry_Litterbag Placem_Collection'!A220</f>
        <v>218</v>
      </c>
      <c r="C659" s="260" t="str">
        <f>'Dry_Litterbag Placem_Collection'!B220</f>
        <v>Seronera</v>
      </c>
      <c r="D659" s="260" t="s">
        <v>2646</v>
      </c>
      <c r="E659" s="260" t="s">
        <v>2512</v>
      </c>
      <c r="F659" s="260">
        <v>2</v>
      </c>
      <c r="G659" s="260" t="s">
        <v>3886</v>
      </c>
      <c r="H659" s="261" t="str">
        <f>'Dry_Litterbag Placem_Collection'!C220</f>
        <v>Local2_CG2</v>
      </c>
      <c r="I659" s="270" t="s">
        <v>3630</v>
      </c>
      <c r="J659" s="263" t="s">
        <v>1147</v>
      </c>
      <c r="K659" s="260" t="str">
        <f>IF(ISBLANK('Dry_Litterbag Placem_Collection'!L220),"","G"&amp;""&amp;'Dry_Litterbag Placem_Collection'!L220)</f>
        <v>G170</v>
      </c>
      <c r="L659" s="264">
        <f>IFERROR(INDEX('Green_rooibos initial weight'!$C$5:$C$2000,MATCH(K659, 'Green_rooibos initial weight'!$A$5:$A$2000,0)),"")</f>
        <v>2.0390000000000001</v>
      </c>
      <c r="M659" s="264">
        <f>IFERROR(L659-(TBIcalc!$Q$9+TBIcalc!$Q$10),"")</f>
        <v>1.7892000000000001</v>
      </c>
      <c r="N659" s="385">
        <f>AVERAGE(Ashed_controlls!$K$2:$K$11)</f>
        <v>5.5147656768714146</v>
      </c>
      <c r="O659" s="264">
        <f t="shared" si="51"/>
        <v>1.6905298125094168</v>
      </c>
      <c r="P659" s="264">
        <f>IFERROR(INDEX('Both teabags AfterDry'!$D$2:$D$2000,MATCH(K659,'Both teabags AfterDry'!$A$2:$A$2000,0)),"")</f>
        <v>0.66100000000000003</v>
      </c>
      <c r="Q659" s="264">
        <f>IFERROR(IF(P659&gt;0,P659-(TBIcalc!$Q$9),""),"")</f>
        <v>0.51039999999999996</v>
      </c>
      <c r="R659" s="275">
        <f>IFERROR(INDEX('Ashed teabags dry'!$K$2:$K$2000,MATCH(K659,'Ashed teabags dry'!$A$2:$A$2000,0)),"")</f>
        <v>23.022929340196391</v>
      </c>
      <c r="S659" s="275">
        <f t="shared" si="52"/>
        <v>0.39289096864763762</v>
      </c>
      <c r="T659" s="265">
        <f>IF('Dry_Litterbag Placem_Collection'!E220="","",'Dry_Litterbag Placem_Collection'!E220)</f>
        <v>42942</v>
      </c>
      <c r="U659" s="265">
        <f>IF('Dry_Litterbag Placem_Collection'!G220="","",'Dry_Litterbag Placem_Collection'!G220)</f>
        <v>43004</v>
      </c>
      <c r="V659" s="266">
        <f t="shared" si="50"/>
        <v>62</v>
      </c>
      <c r="W659" s="264">
        <f t="shared" si="53"/>
        <v>1.2788000000000002</v>
      </c>
      <c r="X659" s="264">
        <f t="shared" si="54"/>
        <v>1.2976388438617792</v>
      </c>
      <c r="Y659" s="268">
        <f>IFERROR(INDEX(Rainfall_Dry!$O$2:$O$217,MATCH(B659, Rainfall_Dry!$A$2:$A$217,0)),"")</f>
        <v>171.84818423999999</v>
      </c>
      <c r="Z659" s="257">
        <v>21.072635135135137</v>
      </c>
      <c r="AA659" s="257">
        <v>7.3057432432432412</v>
      </c>
      <c r="AB659" s="257">
        <v>71.621621621621614</v>
      </c>
      <c r="AC659" s="257" t="s">
        <v>2654</v>
      </c>
      <c r="AD659" s="257">
        <v>1.4512074913750617</v>
      </c>
      <c r="AE659">
        <f>IF('WetLitterbags placem_collection'!AB220="","",'WetLitterbags placem_collection'!AB220)</f>
        <v>5.13</v>
      </c>
      <c r="AF659">
        <f>IF('WetLitterbags placem_collection'!Z220="","",'WetLitterbags placem_collection'!Z220)</f>
        <v>5.13</v>
      </c>
      <c r="AG659" s="243" t="str">
        <f>IF('WetLitterbags placem_collection'!AA220="","",'WetLitterbags placem_collection'!AA220)</f>
        <v>O</v>
      </c>
      <c r="AH659">
        <f>IF('WetLitterbags placem_collection'!AC220="","",'WetLitterbags placem_collection'!AC220)</f>
        <v>1</v>
      </c>
      <c r="AI659">
        <f>IFERROR(AVERAGE('Dry_Litterbag Placem_Collection'!O220,'Dry_Litterbag Placem_Collection'!R220),"")</f>
        <v>6.45</v>
      </c>
      <c r="AJ659" s="268">
        <f>IFERROR(AVERAGE('Dry_Litterbag Placem_Collection'!N220,'Dry_Litterbag Placem_Collection'!Q220),"")</f>
        <v>29.15</v>
      </c>
      <c r="AK659">
        <v>-2.4396450349999999</v>
      </c>
      <c r="AL659">
        <v>34.83836599</v>
      </c>
      <c r="AM659" s="267" t="str">
        <f>IF(ISNUMBER(SEARCH("C", 'Dry_Litterbag Placem_Collection'!U220)),"YES","NO")</f>
        <v>NO</v>
      </c>
      <c r="AN659" s="267" t="str">
        <f>IF(ISNUMBER(SEARCH("H", 'Dry_Litterbag Placem_Collection'!U220)),"YES","NO")</f>
        <v>NO</v>
      </c>
      <c r="AO659" s="267" t="str">
        <f>IF(ISNUMBER(SEARCH("R", 'Dry_Litterbag Placem_Collection'!U220)),"YES","NO")</f>
        <v>YES</v>
      </c>
    </row>
    <row r="660" spans="1:41" ht="15" customHeight="1">
      <c r="A660" s="259" t="s">
        <v>2643</v>
      </c>
      <c r="B660" s="260">
        <f>'Dry_Litterbag Placem_Collection'!A221</f>
        <v>219</v>
      </c>
      <c r="C660" s="260" t="str">
        <f>'Dry_Litterbag Placem_Collection'!B221</f>
        <v>Seronera</v>
      </c>
      <c r="D660" s="260" t="s">
        <v>2646</v>
      </c>
      <c r="E660" s="260" t="s">
        <v>2512</v>
      </c>
      <c r="F660" s="260">
        <v>3</v>
      </c>
      <c r="G660" s="260" t="s">
        <v>3887</v>
      </c>
      <c r="H660" s="261" t="str">
        <f>'Dry_Litterbag Placem_Collection'!C221</f>
        <v>Local3_CG3</v>
      </c>
      <c r="I660" s="270" t="s">
        <v>3630</v>
      </c>
      <c r="J660" s="263" t="s">
        <v>1147</v>
      </c>
      <c r="K660" s="260" t="str">
        <f>IF(ISBLANK('Dry_Litterbag Placem_Collection'!L221),"","G"&amp;""&amp;'Dry_Litterbag Placem_Collection'!L221)</f>
        <v>G123</v>
      </c>
      <c r="L660" s="264">
        <f>IFERROR(INDEX('Green_rooibos initial weight'!$C$5:$C$2000,MATCH(K660, 'Green_rooibos initial weight'!$A$5:$A$2000,0)),"")</f>
        <v>2.133</v>
      </c>
      <c r="M660" s="264">
        <f>IFERROR(L660-(TBIcalc!$Q$9+TBIcalc!$Q$10),"")</f>
        <v>1.8832</v>
      </c>
      <c r="N660" s="385">
        <f>AVERAGE(Ashed_controlls!$K$2:$K$11)</f>
        <v>5.5147656768714146</v>
      </c>
      <c r="O660" s="264">
        <f t="shared" si="51"/>
        <v>1.7793459327731576</v>
      </c>
      <c r="P660" s="264">
        <f>IFERROR(INDEX('Both teabags AfterDry'!$D$2:$D$2000,MATCH(K660,'Both teabags AfterDry'!$A$2:$A$2000,0)),"")</f>
        <v>0.82250000000000001</v>
      </c>
      <c r="Q660" s="264">
        <f>IFERROR(IF(P660&gt;0,P660-(TBIcalc!$Q$9),""),"")</f>
        <v>0.67189999999999994</v>
      </c>
      <c r="R660" s="275">
        <f>IFERROR(INDEX('Ashed teabags dry'!$K$2:$K$2000,MATCH(K660,'Ashed teabags dry'!$A$2:$A$2000,0)),"")</f>
        <v>24.6799116997799</v>
      </c>
      <c r="S660" s="275">
        <f t="shared" si="52"/>
        <v>0.5060756732891788</v>
      </c>
      <c r="T660" s="265">
        <f>IF('Dry_Litterbag Placem_Collection'!E221="","",'Dry_Litterbag Placem_Collection'!E221)</f>
        <v>42942</v>
      </c>
      <c r="U660" s="265">
        <f>IF('Dry_Litterbag Placem_Collection'!G221="","",'Dry_Litterbag Placem_Collection'!G221)</f>
        <v>43004</v>
      </c>
      <c r="V660" s="266">
        <f t="shared" si="50"/>
        <v>62</v>
      </c>
      <c r="W660" s="264">
        <f t="shared" si="53"/>
        <v>1.2113</v>
      </c>
      <c r="X660" s="264">
        <f t="shared" si="54"/>
        <v>1.2732702594839789</v>
      </c>
      <c r="Y660" s="268">
        <f>IFERROR(INDEX(Rainfall_Dry!$O$2:$O$217,MATCH(B660, Rainfall_Dry!$A$2:$A$217,0)),"")</f>
        <v>171.84818423999999</v>
      </c>
      <c r="Z660" s="257">
        <v>21.96</v>
      </c>
      <c r="AA660" s="257">
        <v>4.9199999999999982</v>
      </c>
      <c r="AB660" s="257">
        <v>73.12</v>
      </c>
      <c r="AC660" s="257" t="s">
        <v>2654</v>
      </c>
      <c r="AD660" s="257">
        <v>1.4012321340561851</v>
      </c>
      <c r="AE660">
        <f>IF('WetLitterbags placem_collection'!AB221="","",'WetLitterbags placem_collection'!AB221)</f>
        <v>7.9</v>
      </c>
      <c r="AF660">
        <f>IF('WetLitterbags placem_collection'!Z221="","",'WetLitterbags placem_collection'!Z221)</f>
        <v>7.9</v>
      </c>
      <c r="AG660" s="243" t="str">
        <f>IF('WetLitterbags placem_collection'!AA221="","",'WetLitterbags placem_collection'!AA221)</f>
        <v>O</v>
      </c>
      <c r="AH660">
        <f>IF('WetLitterbags placem_collection'!AC221="","",'WetLitterbags placem_collection'!AC221)</f>
        <v>1</v>
      </c>
      <c r="AI660">
        <f>IFERROR(AVERAGE('Dry_Litterbag Placem_Collection'!O221,'Dry_Litterbag Placem_Collection'!R221),"")</f>
        <v>5.75</v>
      </c>
      <c r="AJ660" s="268">
        <f>IFERROR(AVERAGE('Dry_Litterbag Placem_Collection'!N221,'Dry_Litterbag Placem_Collection'!Q221),"")</f>
        <v>32.75</v>
      </c>
      <c r="AK660">
        <v>-2.4395990190000001</v>
      </c>
      <c r="AL660">
        <v>34.838418959999998</v>
      </c>
      <c r="AM660" s="267" t="str">
        <f>IF(ISNUMBER(SEARCH("C", 'Dry_Litterbag Placem_Collection'!U221)),"YES","NO")</f>
        <v>NO</v>
      </c>
      <c r="AN660" s="267" t="str">
        <f>IF(ISNUMBER(SEARCH("H", 'Dry_Litterbag Placem_Collection'!U221)),"YES","NO")</f>
        <v>NO</v>
      </c>
      <c r="AO660" s="267" t="str">
        <f>IF(ISNUMBER(SEARCH("R", 'Dry_Litterbag Placem_Collection'!U221)),"YES","NO")</f>
        <v>YES</v>
      </c>
    </row>
    <row r="661" spans="1:41" ht="15" customHeight="1">
      <c r="A661" s="259" t="s">
        <v>2643</v>
      </c>
      <c r="B661" s="260">
        <f>'Dry_Litterbag Placem_Collection'!A222</f>
        <v>220</v>
      </c>
      <c r="C661" s="260" t="str">
        <f>'Dry_Litterbag Placem_Collection'!B222</f>
        <v>Seronera</v>
      </c>
      <c r="D661" s="260" t="s">
        <v>2646</v>
      </c>
      <c r="E661" s="260" t="s">
        <v>2512</v>
      </c>
      <c r="F661" s="260">
        <v>4</v>
      </c>
      <c r="G661" s="260" t="s">
        <v>3888</v>
      </c>
      <c r="H661" s="261" t="str">
        <f>'Dry_Litterbag Placem_Collection'!C222</f>
        <v>Local4_CG4</v>
      </c>
      <c r="I661" s="270" t="s">
        <v>3630</v>
      </c>
      <c r="J661" s="263" t="s">
        <v>1147</v>
      </c>
      <c r="K661" s="260" t="str">
        <f>IF(ISBLANK('Dry_Litterbag Placem_Collection'!L222),"","G"&amp;""&amp;'Dry_Litterbag Placem_Collection'!L222)</f>
        <v>G53</v>
      </c>
      <c r="L661" s="264">
        <f>IFERROR(INDEX('Green_rooibos initial weight'!$C$5:$C$2000,MATCH(K661, 'Green_rooibos initial weight'!$A$5:$A$2000,0)),"")</f>
        <v>1.907</v>
      </c>
      <c r="M661" s="264">
        <f>IFERROR(L661-(TBIcalc!$Q$9+TBIcalc!$Q$10),"")</f>
        <v>1.6572</v>
      </c>
      <c r="N661" s="385">
        <f>AVERAGE(Ashed_controlls!$K$2:$K$11)</f>
        <v>5.5147656768714146</v>
      </c>
      <c r="O661" s="264">
        <f t="shared" si="51"/>
        <v>1.565809303202887</v>
      </c>
      <c r="P661" s="264" t="str">
        <f>IFERROR(INDEX('Both teabags AfterDry'!$D$2:$D$2000,MATCH(K661,'Both teabags AfterDry'!$A$2:$A$2000,0)),"")</f>
        <v/>
      </c>
      <c r="Q661" s="264" t="str">
        <f>IFERROR(IF(P661&gt;0,P661-(TBIcalc!$Q$9),""),"")</f>
        <v/>
      </c>
      <c r="R661" s="275" t="str">
        <f>IFERROR(INDEX('Ashed teabags dry'!$K$2:$K$2000,MATCH(K661,'Ashed teabags dry'!$A$2:$A$2000,0)),"")</f>
        <v/>
      </c>
      <c r="S661" s="275" t="str">
        <f t="shared" si="52"/>
        <v/>
      </c>
      <c r="T661" s="265">
        <f>IF('Dry_Litterbag Placem_Collection'!E222="","",'Dry_Litterbag Placem_Collection'!E222)</f>
        <v>42942</v>
      </c>
      <c r="U661" s="265">
        <f>IF('Dry_Litterbag Placem_Collection'!G222="","",'Dry_Litterbag Placem_Collection'!G222)</f>
        <v>43004</v>
      </c>
      <c r="V661" s="266">
        <f t="shared" si="50"/>
        <v>62</v>
      </c>
      <c r="W661" s="264" t="str">
        <f t="shared" si="53"/>
        <v/>
      </c>
      <c r="X661" s="264" t="str">
        <f t="shared" si="54"/>
        <v/>
      </c>
      <c r="Y661" s="268">
        <f>IFERROR(INDEX(Rainfall_Dry!$O$2:$O$217,MATCH(B661, Rainfall_Dry!$A$2:$A$217,0)),"")</f>
        <v>171.84818423999999</v>
      </c>
      <c r="Z661" s="257">
        <v>15.960000000000003</v>
      </c>
      <c r="AA661" s="257">
        <v>6.9199999999999982</v>
      </c>
      <c r="AB661" s="257">
        <v>77.11999999999999</v>
      </c>
      <c r="AC661" s="257" t="s">
        <v>2655</v>
      </c>
      <c r="AD661" s="257">
        <v>0.60547067520946207</v>
      </c>
      <c r="AE661">
        <f>IF('WetLitterbags placem_collection'!AB222="","",'WetLitterbags placem_collection'!AB222)</f>
        <v>15.2</v>
      </c>
      <c r="AF661">
        <f>IF('WetLitterbags placem_collection'!Z222="","",'WetLitterbags placem_collection'!Z222)</f>
        <v>12.2</v>
      </c>
      <c r="AG661" s="243" t="str">
        <f>IF('WetLitterbags placem_collection'!AA222="","",'WetLitterbags placem_collection'!AA222)</f>
        <v>O</v>
      </c>
      <c r="AH661">
        <f>IF('WetLitterbags placem_collection'!AC222="","",'WetLitterbags placem_collection'!AC222)</f>
        <v>1</v>
      </c>
      <c r="AI661">
        <f>IFERROR(AVERAGE('Dry_Litterbag Placem_Collection'!O222,'Dry_Litterbag Placem_Collection'!R222),"")</f>
        <v>5.3</v>
      </c>
      <c r="AJ661" s="268">
        <f>IFERROR(AVERAGE('Dry_Litterbag Placem_Collection'!N222,'Dry_Litterbag Placem_Collection'!Q222),"")</f>
        <v>33.65</v>
      </c>
      <c r="AK661">
        <v>-2.4396949910000001</v>
      </c>
      <c r="AL661">
        <v>34.838574029999997</v>
      </c>
      <c r="AM661" s="267" t="str">
        <f>IF(ISNUMBER(SEARCH("C", 'Dry_Litterbag Placem_Collection'!U222)),"YES","NO")</f>
        <v>NO</v>
      </c>
      <c r="AN661" s="267" t="str">
        <f>IF(ISNUMBER(SEARCH("H", 'Dry_Litterbag Placem_Collection'!U222)),"YES","NO")</f>
        <v>NO</v>
      </c>
      <c r="AO661" s="267" t="str">
        <f>IF(ISNUMBER(SEARCH("R", 'Dry_Litterbag Placem_Collection'!U222)),"YES","NO")</f>
        <v>YES</v>
      </c>
    </row>
    <row r="662" spans="1:41" ht="15" customHeight="1">
      <c r="A662" s="259" t="s">
        <v>2643</v>
      </c>
      <c r="B662" s="260">
        <f>'Dry_Litterbag Placem_Collection'!A3</f>
        <v>1</v>
      </c>
      <c r="C662" s="260" t="str">
        <f>'Dry_Litterbag Placem_Collection'!B3</f>
        <v>Makao</v>
      </c>
      <c r="D662" s="260" t="s">
        <v>2643</v>
      </c>
      <c r="E662" s="260" t="s">
        <v>2644</v>
      </c>
      <c r="F662" s="260">
        <v>1</v>
      </c>
      <c r="G662" s="260" t="s">
        <v>3798</v>
      </c>
      <c r="H662" s="261" t="str">
        <f>'Dry_Litterbag Placem_Collection'!C3</f>
        <v>Dry_Ag1_T1</v>
      </c>
      <c r="I662" s="270" t="s">
        <v>3630</v>
      </c>
      <c r="J662" s="271" t="s">
        <v>298</v>
      </c>
      <c r="K662" s="260" t="str">
        <f>IF(ISBLANK('Dry_Litterbag Placem_Collection'!M3),"","R"&amp;""&amp;'Dry_Litterbag Placem_Collection'!M3)</f>
        <v>R204</v>
      </c>
      <c r="L662" s="264">
        <f>IFERROR(INDEX('Green_rooibos initial weight'!$C$5:$C$2000,MATCH(K662, 'Green_rooibos initial weight'!$A$5:$A$2000,0)),"")</f>
        <v>2.2290000000000001</v>
      </c>
      <c r="M662" s="264">
        <f>IFERROR(L662-(TBIcalc!$Q$9+TBIcalc!$Q$10),"")</f>
        <v>1.9792000000000001</v>
      </c>
      <c r="N662" s="385">
        <f>AVERAGE(Ashed_controlls!$K$12:$K$14)</f>
        <v>2.2816647271287041</v>
      </c>
      <c r="O662" s="264">
        <f t="shared" si="51"/>
        <v>1.9340412917206689</v>
      </c>
      <c r="P662" s="264">
        <f>IFERROR(INDEX('Both teabags AfterDry'!$D$2:$D$2000,MATCH(K662,'Both teabags AfterDry'!$A$2:$A$2000,0)),"")</f>
        <v>1.8874</v>
      </c>
      <c r="Q662" s="264">
        <f>IFERROR(IF(P662&gt;0,P662-(TBIcalc!$Q$9),""),"")</f>
        <v>1.7367999999999999</v>
      </c>
      <c r="R662" s="275">
        <f>IFERROR(INDEX('Ashed teabags dry'!$K$2:$K$2000,MATCH(K662,'Ashed teabags dry'!$A$2:$A$2000,0)),"")</f>
        <v>2.3391812865495751</v>
      </c>
      <c r="S662" s="275">
        <f t="shared" si="52"/>
        <v>1.6961730994152069</v>
      </c>
      <c r="T662" s="265">
        <f>IF('Dry_Litterbag Placem_Collection'!E3="","",'Dry_Litterbag Placem_Collection'!E3)</f>
        <v>42938</v>
      </c>
      <c r="U662" s="265">
        <f>IF('Dry_Litterbag Placem_Collection'!G3="","",'Dry_Litterbag Placem_Collection'!G3)</f>
        <v>43007</v>
      </c>
      <c r="V662" s="266">
        <f t="shared" si="50"/>
        <v>69</v>
      </c>
      <c r="W662" s="264">
        <f t="shared" si="53"/>
        <v>0.24240000000000017</v>
      </c>
      <c r="X662" s="264">
        <f t="shared" si="54"/>
        <v>0.23786819230546197</v>
      </c>
      <c r="Y662" s="268">
        <f>IFERROR(INDEX(Rainfall_Dry!$O$2:$O$217,MATCH(B662, Rainfall_Dry!$A$2:$A$217,0)),"")</f>
        <v>6.900000125</v>
      </c>
      <c r="Z662" s="257">
        <v>12.565665055683967</v>
      </c>
      <c r="AA662" s="257">
        <v>0.9665896196679955</v>
      </c>
      <c r="AB662" s="257">
        <v>86.467745324648035</v>
      </c>
      <c r="AC662" s="258" t="s">
        <v>2656</v>
      </c>
      <c r="AD662" s="257">
        <v>1.0225726959093147</v>
      </c>
      <c r="AE662">
        <f>IF('WetLitterbags placem_collection'!AB3="","",'WetLitterbags placem_collection'!AB3)</f>
        <v>26.4</v>
      </c>
      <c r="AF662">
        <f>IF('WetLitterbags placem_collection'!Z3="","",'WetLitterbags placem_collection'!Z3)</f>
        <v>41</v>
      </c>
      <c r="AG662" s="243" t="str">
        <f>IF('WetLitterbags placem_collection'!AA3="","",'WetLitterbags placem_collection'!AA3)</f>
        <v>M</v>
      </c>
      <c r="AH662">
        <f>IF('WetLitterbags placem_collection'!AC3="","",'WetLitterbags placem_collection'!AC3)</f>
        <v>1</v>
      </c>
      <c r="AI662">
        <f>IFERROR(AVERAGE('Dry_Litterbag Placem_Collection'!O3,'Dry_Litterbag Placem_Collection'!R3),"")</f>
        <v>3.8</v>
      </c>
      <c r="AJ662" s="268">
        <f>IFERROR(AVERAGE('Dry_Litterbag Placem_Collection'!N3,'Dry_Litterbag Placem_Collection'!Q3),"")</f>
        <v>26.9</v>
      </c>
      <c r="AK662" s="267">
        <f>INDEX(Coordinates!$B$2:$B$197,MATCH(H662,Coordinates!$J$2:$J$197,0))</f>
        <v>-3.3978609999999998</v>
      </c>
      <c r="AL662" s="267">
        <f>INDEX(Coordinates!$C$2:$C$197,MATCH(H662,Coordinates!$J$2:$J$197,0))</f>
        <v>34.837608000000003</v>
      </c>
      <c r="AM662" s="267" t="str">
        <f>IF(ISNUMBER(SEARCH("C", 'Dry_Litterbag Placem_Collection'!V3)),"YES","NO")</f>
        <v>NO</v>
      </c>
      <c r="AN662" s="267" t="str">
        <f>IF(ISNUMBER(SEARCH("H", 'Dry_Litterbag Placem_Collection'!V3)),"YES","NO")</f>
        <v>NO</v>
      </c>
      <c r="AO662" s="267" t="str">
        <f>IF(ISNUMBER(SEARCH("R", 'Dry_Litterbag Placem_Collection'!V3)),"YES","NO")</f>
        <v>NO</v>
      </c>
    </row>
    <row r="663" spans="1:41" ht="15" customHeight="1">
      <c r="A663" s="259" t="s">
        <v>2643</v>
      </c>
      <c r="B663" s="260">
        <f>'Dry_Litterbag Placem_Collection'!A4</f>
        <v>2</v>
      </c>
      <c r="C663" s="260" t="str">
        <f>'Dry_Litterbag Placem_Collection'!B4</f>
        <v>Makao</v>
      </c>
      <c r="D663" s="260" t="s">
        <v>2643</v>
      </c>
      <c r="E663" s="260" t="s">
        <v>2644</v>
      </c>
      <c r="F663" s="260">
        <v>1</v>
      </c>
      <c r="G663" s="260" t="s">
        <v>3798</v>
      </c>
      <c r="H663" s="261" t="str">
        <f>'Dry_Litterbag Placem_Collection'!C4</f>
        <v>Dry_Ag1_T2</v>
      </c>
      <c r="I663" s="270" t="s">
        <v>3630</v>
      </c>
      <c r="J663" s="271" t="s">
        <v>298</v>
      </c>
      <c r="K663" s="260" t="str">
        <f>IF(ISBLANK('Dry_Litterbag Placem_Collection'!M4),"","R"&amp;""&amp;'Dry_Litterbag Placem_Collection'!M4)</f>
        <v/>
      </c>
      <c r="L663" s="264" t="str">
        <f>IFERROR(INDEX('Green_rooibos initial weight'!$C$5:$C$2000,MATCH(K663, 'Green_rooibos initial weight'!$A$5:$A$2000,0)),"")</f>
        <v/>
      </c>
      <c r="M663" s="264" t="str">
        <f>IFERROR(L663-(TBIcalc!$Q$9+TBIcalc!$Q$10),"")</f>
        <v/>
      </c>
      <c r="N663" s="385">
        <f>AVERAGE(Ashed_controlls!$K$12:$K$14)</f>
        <v>2.2816647271287041</v>
      </c>
      <c r="O663" s="264" t="str">
        <f t="shared" si="51"/>
        <v/>
      </c>
      <c r="P663" s="264" t="str">
        <f>IFERROR(INDEX('Both teabags AfterDry'!$D$2:$D$2000,MATCH(K663,'Both teabags AfterDry'!$A$2:$A$2000,0)),"")</f>
        <v/>
      </c>
      <c r="Q663" s="264" t="str">
        <f>IFERROR(IF(P663&gt;0,P663-(TBIcalc!$Q$9),""),"")</f>
        <v/>
      </c>
      <c r="R663" s="275" t="str">
        <f>IFERROR(INDEX('Ashed teabags dry'!$K$2:$K$2000,MATCH(K663,'Ashed teabags dry'!$A$2:$A$2000,0)),"")</f>
        <v/>
      </c>
      <c r="S663" s="275" t="str">
        <f t="shared" si="52"/>
        <v/>
      </c>
      <c r="T663" s="265" t="str">
        <f>IF('Dry_Litterbag Placem_Collection'!E4="","",'Dry_Litterbag Placem_Collection'!E4)</f>
        <v/>
      </c>
      <c r="U663" s="265" t="str">
        <f>IF('Dry_Litterbag Placem_Collection'!G4="","",'Dry_Litterbag Placem_Collection'!G4)</f>
        <v/>
      </c>
      <c r="V663" s="266" t="str">
        <f t="shared" si="50"/>
        <v/>
      </c>
      <c r="W663" s="264" t="str">
        <f t="shared" si="53"/>
        <v/>
      </c>
      <c r="X663" s="264" t="str">
        <f t="shared" si="54"/>
        <v/>
      </c>
      <c r="Y663" s="268" t="str">
        <f>IFERROR(INDEX(Rainfall_Dry!$O$2:$O$217,MATCH(B663, Rainfall_Dry!$A$2:$A$217,0)),"")</f>
        <v/>
      </c>
      <c r="Z663" s="257">
        <v>12.565665055683967</v>
      </c>
      <c r="AA663" s="257">
        <v>0.9665896196679955</v>
      </c>
      <c r="AB663" s="257">
        <v>86.467745324648035</v>
      </c>
      <c r="AC663" s="258" t="s">
        <v>2656</v>
      </c>
      <c r="AD663" s="257">
        <v>2.02257269590931</v>
      </c>
      <c r="AE663">
        <f>IF('WetLitterbags placem_collection'!AB4="","",'WetLitterbags placem_collection'!AB4)</f>
        <v>22.4</v>
      </c>
      <c r="AF663">
        <f>IF('WetLitterbags placem_collection'!Z4="","",'WetLitterbags placem_collection'!Z4)</f>
        <v>39.799999999999997</v>
      </c>
      <c r="AG663" s="243" t="str">
        <f>IF('WetLitterbags placem_collection'!AA4="","",'WetLitterbags placem_collection'!AA4)</f>
        <v>M</v>
      </c>
      <c r="AH663">
        <f>IF('WetLitterbags placem_collection'!AC4="","",'WetLitterbags placem_collection'!AC4)</f>
        <v>1</v>
      </c>
      <c r="AI663" t="str">
        <f>IFERROR(AVERAGE('Dry_Litterbag Placem_Collection'!O4,'Dry_Litterbag Placem_Collection'!R4),"")</f>
        <v/>
      </c>
      <c r="AJ663" s="268" t="str">
        <f>IFERROR(AVERAGE('Dry_Litterbag Placem_Collection'!N4,'Dry_Litterbag Placem_Collection'!Q4),"")</f>
        <v/>
      </c>
      <c r="AK663" s="267">
        <f>INDEX(Coordinates!$B$2:$B$197,MATCH(H663,Coordinates!$J$2:$J$197,0))</f>
        <v>-3.397879042</v>
      </c>
      <c r="AL663" s="267">
        <f>INDEX(Coordinates!$C$2:$C$197,MATCH(H663,Coordinates!$J$2:$J$197,0))</f>
        <v>34.837536010000001</v>
      </c>
      <c r="AM663" s="267" t="str">
        <f>IF(ISNUMBER(SEARCH("C", 'Dry_Litterbag Placem_Collection'!V4)),"YES","NO")</f>
        <v>NO</v>
      </c>
      <c r="AN663" s="267" t="str">
        <f>IF(ISNUMBER(SEARCH("H", 'Dry_Litterbag Placem_Collection'!V4)),"YES","NO")</f>
        <v>NO</v>
      </c>
      <c r="AO663" s="267" t="str">
        <f>IF(ISNUMBER(SEARCH("R", 'Dry_Litterbag Placem_Collection'!V4)),"YES","NO")</f>
        <v>NO</v>
      </c>
    </row>
    <row r="664" spans="1:41" ht="15" customHeight="1">
      <c r="A664" s="259" t="s">
        <v>2643</v>
      </c>
      <c r="B664" s="260">
        <f>'Dry_Litterbag Placem_Collection'!A5</f>
        <v>3</v>
      </c>
      <c r="C664" s="260" t="str">
        <f>'Dry_Litterbag Placem_Collection'!B5</f>
        <v>Makao</v>
      </c>
      <c r="D664" s="260" t="s">
        <v>2643</v>
      </c>
      <c r="E664" s="260" t="s">
        <v>2644</v>
      </c>
      <c r="F664" s="260">
        <v>1</v>
      </c>
      <c r="G664" s="260" t="s">
        <v>3798</v>
      </c>
      <c r="H664" s="261" t="str">
        <f>'Dry_Litterbag Placem_Collection'!C5</f>
        <v>Dry_Ag1_T3</v>
      </c>
      <c r="I664" s="270" t="s">
        <v>3630</v>
      </c>
      <c r="J664" s="271" t="s">
        <v>298</v>
      </c>
      <c r="K664" s="260" t="str">
        <f>IF(ISBLANK('Dry_Litterbag Placem_Collection'!M5),"","R"&amp;""&amp;'Dry_Litterbag Placem_Collection'!M5)</f>
        <v>R283</v>
      </c>
      <c r="L664" s="264">
        <f>IFERROR(INDEX('Green_rooibos initial weight'!$C$5:$C$2000,MATCH(K664, 'Green_rooibos initial weight'!$A$5:$A$2000,0)),"")</f>
        <v>2.21</v>
      </c>
      <c r="M664" s="264">
        <f>IFERROR(L664-(TBIcalc!$Q$9+TBIcalc!$Q$10),"")</f>
        <v>1.9601999999999999</v>
      </c>
      <c r="N664" s="385">
        <f>AVERAGE(Ashed_controlls!$K$12:$K$14)</f>
        <v>2.2816647271287041</v>
      </c>
      <c r="O664" s="264">
        <f t="shared" si="51"/>
        <v>1.9154748080188231</v>
      </c>
      <c r="P664" s="264">
        <f>IFERROR(INDEX('Both teabags AfterDry'!$D$2:$D$2000,MATCH(K664,'Both teabags AfterDry'!$A$2:$A$2000,0)),"")</f>
        <v>1.9180999999999999</v>
      </c>
      <c r="Q664" s="264">
        <f>IFERROR(IF(P664&gt;0,P664-(TBIcalc!$Q$9),""),"")</f>
        <v>1.7674999999999998</v>
      </c>
      <c r="R664" s="275">
        <f>IFERROR(INDEX('Ashed teabags dry'!$K$2:$K$2000,MATCH(K664,'Ashed teabags dry'!$A$2:$A$2000,0)),"")</f>
        <v>2.5675077467904308</v>
      </c>
      <c r="S664" s="275">
        <f t="shared" si="52"/>
        <v>1.7221193005754789</v>
      </c>
      <c r="T664" s="265">
        <f>IF('Dry_Litterbag Placem_Collection'!E5="","",'Dry_Litterbag Placem_Collection'!E5)</f>
        <v>42938</v>
      </c>
      <c r="U664" s="265">
        <f>IF('Dry_Litterbag Placem_Collection'!G5="","",'Dry_Litterbag Placem_Collection'!G5)</f>
        <v>43007</v>
      </c>
      <c r="V664" s="266">
        <f t="shared" si="50"/>
        <v>69</v>
      </c>
      <c r="W664" s="264">
        <f t="shared" si="53"/>
        <v>0.19270000000000009</v>
      </c>
      <c r="X664" s="264">
        <f t="shared" si="54"/>
        <v>0.19335550744334418</v>
      </c>
      <c r="Y664" s="268">
        <f>IFERROR(INDEX(Rainfall_Dry!$O$2:$O$217,MATCH(B664, Rainfall_Dry!$A$2:$A$217,0)),"")</f>
        <v>6.900000125</v>
      </c>
      <c r="Z664" s="257">
        <v>12.565665055683967</v>
      </c>
      <c r="AA664" s="257">
        <v>0.9665896196679955</v>
      </c>
      <c r="AB664" s="257">
        <v>86.467745324648035</v>
      </c>
      <c r="AC664" s="258" t="s">
        <v>2656</v>
      </c>
      <c r="AD664" s="257">
        <v>3.02257269590931</v>
      </c>
      <c r="AE664" t="str">
        <f>IF('WetLitterbags placem_collection'!AB5="","",'WetLitterbags placem_collection'!AB5)</f>
        <v/>
      </c>
      <c r="AF664" t="str">
        <f>IF('WetLitterbags placem_collection'!Z5="","",'WetLitterbags placem_collection'!Z5)</f>
        <v/>
      </c>
      <c r="AG664" s="243" t="str">
        <f>IF('WetLitterbags placem_collection'!AA5="","",'WetLitterbags placem_collection'!AA5)</f>
        <v/>
      </c>
      <c r="AH664" t="str">
        <f>IF('WetLitterbags placem_collection'!AC5="","",'WetLitterbags placem_collection'!AC5)</f>
        <v/>
      </c>
      <c r="AI664">
        <f>IFERROR(AVERAGE('Dry_Litterbag Placem_Collection'!O5,'Dry_Litterbag Placem_Collection'!R5),"")</f>
        <v>3.3</v>
      </c>
      <c r="AJ664" s="268">
        <f>IFERROR(AVERAGE('Dry_Litterbag Placem_Collection'!N5,'Dry_Litterbag Placem_Collection'!Q5),"")</f>
        <v>25</v>
      </c>
      <c r="AK664" s="267">
        <f>INDEX(Coordinates!$B$2:$B$197,MATCH(H664,Coordinates!$J$2:$J$197,0))</f>
        <v>-3.3978739999999998</v>
      </c>
      <c r="AL664" s="267">
        <f>INDEX(Coordinates!$C$2:$C$197,MATCH(H664,Coordinates!$J$2:$J$197,0))</f>
        <v>34.837578999999998</v>
      </c>
      <c r="AM664" s="267" t="str">
        <f>IF(ISNUMBER(SEARCH("C", 'Dry_Litterbag Placem_Collection'!V5)),"YES","NO")</f>
        <v>NO</v>
      </c>
      <c r="AN664" s="267" t="str">
        <f>IF(ISNUMBER(SEARCH("H", 'Dry_Litterbag Placem_Collection'!V5)),"YES","NO")</f>
        <v>NO</v>
      </c>
      <c r="AO664" s="267" t="str">
        <f>IF(ISNUMBER(SEARCH("R", 'Dry_Litterbag Placem_Collection'!V5)),"YES","NO")</f>
        <v>NO</v>
      </c>
    </row>
    <row r="665" spans="1:41" ht="15" customHeight="1">
      <c r="A665" s="259" t="s">
        <v>2643</v>
      </c>
      <c r="B665" s="260">
        <f>'Dry_Litterbag Placem_Collection'!A6</f>
        <v>4</v>
      </c>
      <c r="C665" s="260" t="str">
        <f>'Dry_Litterbag Placem_Collection'!B6</f>
        <v>Makao</v>
      </c>
      <c r="D665" s="260" t="s">
        <v>2643</v>
      </c>
      <c r="E665" s="260" t="s">
        <v>2644</v>
      </c>
      <c r="F665" s="260">
        <v>1</v>
      </c>
      <c r="G665" s="260" t="s">
        <v>3798</v>
      </c>
      <c r="H665" s="261" t="str">
        <f>'Dry_Litterbag Placem_Collection'!C6</f>
        <v>Dry_Ag1_T4</v>
      </c>
      <c r="I665" s="270" t="s">
        <v>3630</v>
      </c>
      <c r="J665" s="271" t="s">
        <v>298</v>
      </c>
      <c r="K665" s="260" t="str">
        <f>IF(ISBLANK('Dry_Litterbag Placem_Collection'!M6),"","R"&amp;""&amp;'Dry_Litterbag Placem_Collection'!M6)</f>
        <v>R298</v>
      </c>
      <c r="L665" s="264">
        <f>IFERROR(INDEX('Green_rooibos initial weight'!$C$5:$C$2000,MATCH(K665, 'Green_rooibos initial weight'!$A$5:$A$2000,0)),"")</f>
        <v>2.2229999999999999</v>
      </c>
      <c r="M665" s="264">
        <f>IFERROR(L665-(TBIcalc!$Q$9+TBIcalc!$Q$10),"")</f>
        <v>1.9731999999999998</v>
      </c>
      <c r="N665" s="385">
        <f>AVERAGE(Ashed_controlls!$K$12:$K$14)</f>
        <v>2.2816647271287041</v>
      </c>
      <c r="O665" s="264">
        <f t="shared" si="51"/>
        <v>1.9281781916042962</v>
      </c>
      <c r="P665" s="264">
        <f>IFERROR(INDEX('Both teabags AfterDry'!$D$2:$D$2000,MATCH(K665,'Both teabags AfterDry'!$A$2:$A$2000,0)),"")</f>
        <v>1.9487000000000001</v>
      </c>
      <c r="Q665" s="264">
        <f>IFERROR(IF(P665&gt;0,P665-(TBIcalc!$Q$9),""),"")</f>
        <v>1.7981</v>
      </c>
      <c r="R665" s="275">
        <f>IFERROR(INDEX('Ashed teabags dry'!$K$2:$K$2000,MATCH(K665,'Ashed teabags dry'!$A$2:$A$2000,0)),"")</f>
        <v>2.1226415094341604</v>
      </c>
      <c r="S665" s="275">
        <f t="shared" si="52"/>
        <v>1.7599327830188645</v>
      </c>
      <c r="T665" s="265">
        <f>IF('Dry_Litterbag Placem_Collection'!E6="","",'Dry_Litterbag Placem_Collection'!E6)</f>
        <v>42938</v>
      </c>
      <c r="U665" s="265">
        <f>IF('Dry_Litterbag Placem_Collection'!G6="","",'Dry_Litterbag Placem_Collection'!G6)</f>
        <v>43007</v>
      </c>
      <c r="V665" s="266">
        <f t="shared" si="50"/>
        <v>69</v>
      </c>
      <c r="W665" s="264">
        <f t="shared" si="53"/>
        <v>0.17509999999999981</v>
      </c>
      <c r="X665" s="264">
        <f t="shared" si="54"/>
        <v>0.16824540858543169</v>
      </c>
      <c r="Y665" s="268">
        <f>IFERROR(INDEX(Rainfall_Dry!$O$2:$O$217,MATCH(B665, Rainfall_Dry!$A$2:$A$217,0)),"")</f>
        <v>6.900000125</v>
      </c>
      <c r="Z665" s="257">
        <v>12.565665055683967</v>
      </c>
      <c r="AA665" s="257">
        <v>0.9665896196679955</v>
      </c>
      <c r="AB665" s="257">
        <v>86.467745324648035</v>
      </c>
      <c r="AC665" s="258" t="s">
        <v>2656</v>
      </c>
      <c r="AD665" s="257">
        <v>4.02257269590931</v>
      </c>
      <c r="AE665" t="str">
        <f>IF('WetLitterbags placem_collection'!AB6="","",'WetLitterbags placem_collection'!AB6)</f>
        <v/>
      </c>
      <c r="AF665" t="str">
        <f>IF('WetLitterbags placem_collection'!Z6="","",'WetLitterbags placem_collection'!Z6)</f>
        <v/>
      </c>
      <c r="AG665" s="243" t="str">
        <f>IF('WetLitterbags placem_collection'!AA6="","",'WetLitterbags placem_collection'!AA6)</f>
        <v/>
      </c>
      <c r="AH665" t="str">
        <f>IF('WetLitterbags placem_collection'!AC6="","",'WetLitterbags placem_collection'!AC6)</f>
        <v/>
      </c>
      <c r="AI665">
        <f>IFERROR(AVERAGE('Dry_Litterbag Placem_Collection'!O6,'Dry_Litterbag Placem_Collection'!R6),"")</f>
        <v>2.25</v>
      </c>
      <c r="AJ665" s="268">
        <f>IFERROR(AVERAGE('Dry_Litterbag Placem_Collection'!N6,'Dry_Litterbag Placem_Collection'!Q6),"")</f>
        <v>27.35</v>
      </c>
      <c r="AK665" s="267">
        <f>INDEX(Coordinates!$B$2:$B$197,MATCH(H665,Coordinates!$J$2:$J$197,0))</f>
        <v>-3.3977780399999999</v>
      </c>
      <c r="AL665" s="267">
        <f>INDEX(Coordinates!$C$2:$C$197,MATCH(H665,Coordinates!$J$2:$J$197,0))</f>
        <v>34.83751204</v>
      </c>
      <c r="AM665" s="267" t="str">
        <f>IF(ISNUMBER(SEARCH("C", 'Dry_Litterbag Placem_Collection'!V6)),"YES","NO")</f>
        <v>NO</v>
      </c>
      <c r="AN665" s="267" t="str">
        <f>IF(ISNUMBER(SEARCH("H", 'Dry_Litterbag Placem_Collection'!V6)),"YES","NO")</f>
        <v>NO</v>
      </c>
      <c r="AO665" s="267" t="str">
        <f>IF(ISNUMBER(SEARCH("R", 'Dry_Litterbag Placem_Collection'!V6)),"YES","NO")</f>
        <v>NO</v>
      </c>
    </row>
    <row r="666" spans="1:41" ht="15" customHeight="1">
      <c r="A666" s="259" t="s">
        <v>2643</v>
      </c>
      <c r="B666" s="260">
        <f>'Dry_Litterbag Placem_Collection'!A7</f>
        <v>5</v>
      </c>
      <c r="C666" s="260" t="str">
        <f>'Dry_Litterbag Placem_Collection'!B7</f>
        <v>Makao</v>
      </c>
      <c r="D666" s="260" t="s">
        <v>2643</v>
      </c>
      <c r="E666" s="260" t="s">
        <v>2644</v>
      </c>
      <c r="F666" s="260">
        <v>1</v>
      </c>
      <c r="G666" s="260" t="s">
        <v>3798</v>
      </c>
      <c r="H666" s="261" t="str">
        <f>'Dry_Litterbag Placem_Collection'!C7</f>
        <v>Dry_Ag1_T5</v>
      </c>
      <c r="I666" s="270" t="s">
        <v>3630</v>
      </c>
      <c r="J666" s="271" t="s">
        <v>298</v>
      </c>
      <c r="K666" s="260" t="str">
        <f>IF(ISBLANK('Dry_Litterbag Placem_Collection'!M7),"","R"&amp;""&amp;'Dry_Litterbag Placem_Collection'!M7)</f>
        <v>R226</v>
      </c>
      <c r="L666" s="264">
        <f>IFERROR(INDEX('Green_rooibos initial weight'!$C$5:$C$2000,MATCH(K666, 'Green_rooibos initial weight'!$A$5:$A$2000,0)),"")</f>
        <v>2.2410000000000001</v>
      </c>
      <c r="M666" s="264">
        <f>IFERROR(L666-(TBIcalc!$Q$9+TBIcalc!$Q$10),"")</f>
        <v>1.9912000000000001</v>
      </c>
      <c r="N666" s="385">
        <f>AVERAGE(Ashed_controlls!$K$12:$K$14)</f>
        <v>2.2816647271287041</v>
      </c>
      <c r="O666" s="264">
        <f t="shared" si="51"/>
        <v>1.9457674919534134</v>
      </c>
      <c r="P666" s="264" t="str">
        <f>IFERROR(INDEX('Both teabags AfterDry'!$D$2:$D$2000,MATCH(K666,'Both teabags AfterDry'!$A$2:$A$2000,0)),"")</f>
        <v/>
      </c>
      <c r="Q666" s="264" t="str">
        <f>IFERROR(IF(P666&gt;0,P666-(TBIcalc!$Q$9),""),"")</f>
        <v/>
      </c>
      <c r="R666" s="275" t="str">
        <f>IFERROR(INDEX('Ashed teabags dry'!$K$2:$K$2000,MATCH(K666,'Ashed teabags dry'!$A$2:$A$2000,0)),"")</f>
        <v/>
      </c>
      <c r="S666" s="275" t="str">
        <f t="shared" si="52"/>
        <v/>
      </c>
      <c r="T666" s="265">
        <f>IF('Dry_Litterbag Placem_Collection'!E7="","",'Dry_Litterbag Placem_Collection'!E7)</f>
        <v>42938</v>
      </c>
      <c r="U666" s="265" t="str">
        <f>IF('Dry_Litterbag Placem_Collection'!G7="","",'Dry_Litterbag Placem_Collection'!G7)</f>
        <v/>
      </c>
      <c r="V666" s="266" t="str">
        <f t="shared" si="50"/>
        <v/>
      </c>
      <c r="W666" s="264" t="str">
        <f t="shared" si="53"/>
        <v/>
      </c>
      <c r="X666" s="264" t="str">
        <f t="shared" si="54"/>
        <v/>
      </c>
      <c r="Y666" s="268" t="str">
        <f>IFERROR(INDEX(Rainfall_Dry!$O$2:$O$217,MATCH(B666, Rainfall_Dry!$A$2:$A$217,0)),"")</f>
        <v/>
      </c>
      <c r="Z666" s="257">
        <v>12.565665055683967</v>
      </c>
      <c r="AA666" s="257">
        <v>0.9665896196679955</v>
      </c>
      <c r="AB666" s="257">
        <v>86.467745324648035</v>
      </c>
      <c r="AC666" s="258" t="s">
        <v>2656</v>
      </c>
      <c r="AD666" s="257">
        <v>5.02257269590931</v>
      </c>
      <c r="AE666">
        <f>IF('WetLitterbags placem_collection'!AB7="","",'WetLitterbags placem_collection'!AB7)</f>
        <v>28.4</v>
      </c>
      <c r="AF666">
        <f>IF('WetLitterbags placem_collection'!Z7="","",'WetLitterbags placem_collection'!Z7)</f>
        <v>36.4</v>
      </c>
      <c r="AG666" s="243" t="str">
        <f>IF('WetLitterbags placem_collection'!AA7="","",'WetLitterbags placem_collection'!AA7)</f>
        <v>M</v>
      </c>
      <c r="AH666">
        <f>IF('WetLitterbags placem_collection'!AC7="","",'WetLitterbags placem_collection'!AC7)</f>
        <v>1</v>
      </c>
      <c r="AI666">
        <f>IFERROR(AVERAGE('Dry_Litterbag Placem_Collection'!O7,'Dry_Litterbag Placem_Collection'!R7),"")</f>
        <v>3.2</v>
      </c>
      <c r="AJ666" s="268">
        <f>IFERROR(AVERAGE('Dry_Litterbag Placem_Collection'!N7,'Dry_Litterbag Placem_Collection'!Q7),"")</f>
        <v>26.7</v>
      </c>
      <c r="AK666" s="267">
        <f>INDEX(Coordinates!$B$2:$B$197,MATCH(H666,Coordinates!$J$2:$J$197,0))</f>
        <v>-3.3978020120000001</v>
      </c>
      <c r="AL666" s="267">
        <f>INDEX(Coordinates!$C$2:$C$197,MATCH(H666,Coordinates!$J$2:$J$197,0))</f>
        <v>34.83751204</v>
      </c>
      <c r="AM666" s="267" t="str">
        <f>IF(ISNUMBER(SEARCH("C", 'Dry_Litterbag Placem_Collection'!V7)),"YES","NO")</f>
        <v>NO</v>
      </c>
      <c r="AN666" s="267" t="str">
        <f>IF(ISNUMBER(SEARCH("H", 'Dry_Litterbag Placem_Collection'!V7)),"YES","NO")</f>
        <v>NO</v>
      </c>
      <c r="AO666" s="267" t="str">
        <f>IF(ISNUMBER(SEARCH("R", 'Dry_Litterbag Placem_Collection'!V7)),"YES","NO")</f>
        <v>NO</v>
      </c>
    </row>
    <row r="667" spans="1:41" ht="15" customHeight="1">
      <c r="A667" s="259" t="s">
        <v>2643</v>
      </c>
      <c r="B667" s="260">
        <f>'Dry_Litterbag Placem_Collection'!A8</f>
        <v>6</v>
      </c>
      <c r="C667" s="260" t="str">
        <f>'Dry_Litterbag Placem_Collection'!B8</f>
        <v>Makao</v>
      </c>
      <c r="D667" s="260" t="s">
        <v>2643</v>
      </c>
      <c r="E667" s="260" t="s">
        <v>2644</v>
      </c>
      <c r="F667" s="260">
        <v>1</v>
      </c>
      <c r="G667" s="260" t="s">
        <v>3798</v>
      </c>
      <c r="H667" s="261" t="str">
        <f>'Dry_Litterbag Placem_Collection'!C8</f>
        <v>Dry_Ag1_T6</v>
      </c>
      <c r="I667" s="270" t="s">
        <v>3630</v>
      </c>
      <c r="J667" s="271" t="s">
        <v>298</v>
      </c>
      <c r="K667" s="260" t="str">
        <f>IF(ISBLANK('Dry_Litterbag Placem_Collection'!M8),"","R"&amp;""&amp;'Dry_Litterbag Placem_Collection'!M8)</f>
        <v>R286</v>
      </c>
      <c r="L667" s="264">
        <f>IFERROR(INDEX('Green_rooibos initial weight'!$C$5:$C$2000,MATCH(K667, 'Green_rooibos initial weight'!$A$5:$A$2000,0)),"")</f>
        <v>2.2160000000000002</v>
      </c>
      <c r="M667" s="264">
        <f>IFERROR(L667-(TBIcalc!$Q$9+TBIcalc!$Q$10),"")</f>
        <v>1.9662000000000002</v>
      </c>
      <c r="N667" s="385">
        <f>AVERAGE(Ashed_controlls!$K$12:$K$14)</f>
        <v>2.2816647271287041</v>
      </c>
      <c r="O667" s="264">
        <f t="shared" si="51"/>
        <v>1.9213379081351956</v>
      </c>
      <c r="P667" s="264" t="str">
        <f>IFERROR(INDEX('Both teabags AfterDry'!$D$2:$D$2000,MATCH(K667,'Both teabags AfterDry'!$A$2:$A$2000,0)),"")</f>
        <v/>
      </c>
      <c r="Q667" s="264" t="str">
        <f>IFERROR(IF(P667&gt;0,P667-(TBIcalc!$Q$9),""),"")</f>
        <v/>
      </c>
      <c r="R667" s="275" t="str">
        <f>IFERROR(INDEX('Ashed teabags dry'!$K$2:$K$2000,MATCH(K667,'Ashed teabags dry'!$A$2:$A$2000,0)),"")</f>
        <v/>
      </c>
      <c r="S667" s="275" t="str">
        <f t="shared" si="52"/>
        <v/>
      </c>
      <c r="T667" s="265">
        <f>IF('Dry_Litterbag Placem_Collection'!E8="","",'Dry_Litterbag Placem_Collection'!E8)</f>
        <v>42938</v>
      </c>
      <c r="U667" s="265">
        <f>IF('Dry_Litterbag Placem_Collection'!G8="","",'Dry_Litterbag Placem_Collection'!G8)</f>
        <v>43007</v>
      </c>
      <c r="V667" s="266">
        <f t="shared" si="50"/>
        <v>69</v>
      </c>
      <c r="W667" s="264" t="str">
        <f t="shared" si="53"/>
        <v/>
      </c>
      <c r="X667" s="264" t="str">
        <f t="shared" si="54"/>
        <v/>
      </c>
      <c r="Y667" s="268">
        <f>IFERROR(INDEX(Rainfall_Dry!$O$2:$O$217,MATCH(B667, Rainfall_Dry!$A$2:$A$217,0)),"")</f>
        <v>6.900000125</v>
      </c>
      <c r="Z667" s="257">
        <v>12.565665055683967</v>
      </c>
      <c r="AA667" s="257">
        <v>0.9665896196679955</v>
      </c>
      <c r="AB667" s="257">
        <v>86.467745324648035</v>
      </c>
      <c r="AC667" s="258" t="s">
        <v>2656</v>
      </c>
      <c r="AD667" s="257">
        <v>6.02257269590931</v>
      </c>
      <c r="AE667">
        <f>IF('WetLitterbags placem_collection'!AB8="","",'WetLitterbags placem_collection'!AB8)</f>
        <v>32.4</v>
      </c>
      <c r="AF667">
        <f>IF('WetLitterbags placem_collection'!Z8="","",'WetLitterbags placem_collection'!Z8)</f>
        <v>31</v>
      </c>
      <c r="AG667" s="243" t="str">
        <f>IF('WetLitterbags placem_collection'!AA8="","",'WetLitterbags placem_collection'!AA8)</f>
        <v>M</v>
      </c>
      <c r="AH667">
        <f>IF('WetLitterbags placem_collection'!AC8="","",'WetLitterbags placem_collection'!AC8)</f>
        <v>1</v>
      </c>
      <c r="AI667">
        <f>IFERROR(AVERAGE('Dry_Litterbag Placem_Collection'!O8,'Dry_Litterbag Placem_Collection'!R8),"")</f>
        <v>5.35</v>
      </c>
      <c r="AJ667" s="268">
        <f>IFERROR(AVERAGE('Dry_Litterbag Placem_Collection'!N8,'Dry_Litterbag Placem_Collection'!Q8),"")</f>
        <v>26.6</v>
      </c>
      <c r="AK667" s="267">
        <f>INDEX(Coordinates!$B$2:$B$197,MATCH(H667,Coordinates!$J$2:$J$197,0))</f>
        <v>-3.3977389800000002</v>
      </c>
      <c r="AL667" s="267">
        <f>INDEX(Coordinates!$C$2:$C$197,MATCH(H667,Coordinates!$J$2:$J$197,0))</f>
        <v>34.837501979999999</v>
      </c>
      <c r="AM667" s="267" t="str">
        <f>IF(ISNUMBER(SEARCH("C", 'Dry_Litterbag Placem_Collection'!V8)),"YES","NO")</f>
        <v>NO</v>
      </c>
      <c r="AN667" s="267" t="str">
        <f>IF(ISNUMBER(SEARCH("H", 'Dry_Litterbag Placem_Collection'!V8)),"YES","NO")</f>
        <v>NO</v>
      </c>
      <c r="AO667" s="267" t="str">
        <f>IF(ISNUMBER(SEARCH("R", 'Dry_Litterbag Placem_Collection'!V8)),"YES","NO")</f>
        <v>NO</v>
      </c>
    </row>
    <row r="668" spans="1:41" ht="15" customHeight="1">
      <c r="A668" s="259" t="s">
        <v>2643</v>
      </c>
      <c r="B668" s="260">
        <f>'Dry_Litterbag Placem_Collection'!A9</f>
        <v>7</v>
      </c>
      <c r="C668" s="260" t="str">
        <f>'Dry_Litterbag Placem_Collection'!B9</f>
        <v>Makao</v>
      </c>
      <c r="D668" s="260" t="s">
        <v>2643</v>
      </c>
      <c r="E668" s="260" t="s">
        <v>2644</v>
      </c>
      <c r="F668" s="260">
        <v>1</v>
      </c>
      <c r="G668" s="260" t="s">
        <v>3798</v>
      </c>
      <c r="H668" s="261" t="str">
        <f>'Dry_Litterbag Placem_Collection'!C9</f>
        <v>Dry_Ag1_T7</v>
      </c>
      <c r="I668" s="270" t="s">
        <v>3630</v>
      </c>
      <c r="J668" s="271" t="s">
        <v>298</v>
      </c>
      <c r="K668" s="260" t="str">
        <f>IF(ISBLANK('Dry_Litterbag Placem_Collection'!M9),"","R"&amp;""&amp;'Dry_Litterbag Placem_Collection'!M9)</f>
        <v>R210</v>
      </c>
      <c r="L668" s="264">
        <f>IFERROR(INDEX('Green_rooibos initial weight'!$C$5:$C$2000,MATCH(K668, 'Green_rooibos initial weight'!$A$5:$A$2000,0)),"")</f>
        <v>2.2429999999999999</v>
      </c>
      <c r="M668" s="264">
        <f>IFERROR(L668-(TBIcalc!$Q$9+TBIcalc!$Q$10),"")</f>
        <v>1.9931999999999999</v>
      </c>
      <c r="N668" s="385">
        <f>AVERAGE(Ashed_controlls!$K$12:$K$14)</f>
        <v>2.2816647271287041</v>
      </c>
      <c r="O668" s="264">
        <f t="shared" si="51"/>
        <v>1.9477218586588705</v>
      </c>
      <c r="P668" s="264">
        <f>IFERROR(INDEX('Both teabags AfterDry'!$D$2:$D$2000,MATCH(K668,'Both teabags AfterDry'!$A$2:$A$2000,0)),"")</f>
        <v>2.0261</v>
      </c>
      <c r="Q668" s="264">
        <f>IFERROR(IF(P668&gt;0,P668-(TBIcalc!$Q$9),""),"")</f>
        <v>1.8754999999999999</v>
      </c>
      <c r="R668" s="275">
        <f>IFERROR(INDEX('Ashed teabags dry'!$K$2:$K$2000,MATCH(K668,'Ashed teabags dry'!$A$2:$A$2000,0)),"")</f>
        <v>3.0331753554506005</v>
      </c>
      <c r="S668" s="275">
        <f t="shared" si="52"/>
        <v>1.8186127962085239</v>
      </c>
      <c r="T668" s="265">
        <f>IF('Dry_Litterbag Placem_Collection'!E9="","",'Dry_Litterbag Placem_Collection'!E9)</f>
        <v>42938</v>
      </c>
      <c r="U668" s="265">
        <f>IF('Dry_Litterbag Placem_Collection'!G9="","",'Dry_Litterbag Placem_Collection'!G9)</f>
        <v>43007</v>
      </c>
      <c r="V668" s="266">
        <f t="shared" si="50"/>
        <v>69</v>
      </c>
      <c r="W668" s="264">
        <f t="shared" si="53"/>
        <v>0.11769999999999992</v>
      </c>
      <c r="X668" s="264">
        <f t="shared" si="54"/>
        <v>0.12910906245034659</v>
      </c>
      <c r="Y668" s="268">
        <f>IFERROR(INDEX(Rainfall_Dry!$O$2:$O$217,MATCH(B668, Rainfall_Dry!$A$2:$A$217,0)),"")</f>
        <v>6.900000125</v>
      </c>
      <c r="Z668" s="257">
        <v>12.565665055683967</v>
      </c>
      <c r="AA668" s="257">
        <v>0.9665896196679955</v>
      </c>
      <c r="AB668" s="257">
        <v>86.467745324648035</v>
      </c>
      <c r="AC668" s="258" t="s">
        <v>2656</v>
      </c>
      <c r="AD668" s="257">
        <v>7.02257269590931</v>
      </c>
      <c r="AE668">
        <f>IF('WetLitterbags placem_collection'!AB9="","",'WetLitterbags placem_collection'!AB9)</f>
        <v>36</v>
      </c>
      <c r="AF668">
        <f>IF('WetLitterbags placem_collection'!Z9="","",'WetLitterbags placem_collection'!Z9)</f>
        <v>43.4</v>
      </c>
      <c r="AG668" s="243" t="str">
        <f>IF('WetLitterbags placem_collection'!AA9="","",'WetLitterbags placem_collection'!AA9)</f>
        <v>M</v>
      </c>
      <c r="AH668">
        <f>IF('WetLitterbags placem_collection'!AC9="","",'WetLitterbags placem_collection'!AC9)</f>
        <v>1</v>
      </c>
      <c r="AI668">
        <f>IFERROR(AVERAGE('Dry_Litterbag Placem_Collection'!O9,'Dry_Litterbag Placem_Collection'!R9),"")</f>
        <v>2.95</v>
      </c>
      <c r="AJ668" s="268">
        <f>IFERROR(AVERAGE('Dry_Litterbag Placem_Collection'!N9,'Dry_Litterbag Placem_Collection'!Q9),"")</f>
        <v>24.75</v>
      </c>
      <c r="AK668" s="267">
        <f>INDEX(Coordinates!$B$2:$B$197,MATCH(H668,Coordinates!$J$2:$J$197,0))</f>
        <v>-3.3977630360000002</v>
      </c>
      <c r="AL668" s="267">
        <f>INDEX(Coordinates!$C$2:$C$197,MATCH(H668,Coordinates!$J$2:$J$197,0))</f>
        <v>34.837600969999997</v>
      </c>
      <c r="AM668" s="267" t="str">
        <f>IF(ISNUMBER(SEARCH("C", 'Dry_Litterbag Placem_Collection'!V9)),"YES","NO")</f>
        <v>NO</v>
      </c>
      <c r="AN668" s="267" t="str">
        <f>IF(ISNUMBER(SEARCH("H", 'Dry_Litterbag Placem_Collection'!V9)),"YES","NO")</f>
        <v>NO</v>
      </c>
      <c r="AO668" s="267" t="str">
        <f>IF(ISNUMBER(SEARCH("R", 'Dry_Litterbag Placem_Collection'!V9)),"YES","NO")</f>
        <v>NO</v>
      </c>
    </row>
    <row r="669" spans="1:41" ht="15" customHeight="1">
      <c r="A669" s="259" t="s">
        <v>2643</v>
      </c>
      <c r="B669" s="260">
        <f>'Dry_Litterbag Placem_Collection'!A10</f>
        <v>8</v>
      </c>
      <c r="C669" s="260" t="str">
        <f>'Dry_Litterbag Placem_Collection'!B10</f>
        <v>Makao</v>
      </c>
      <c r="D669" s="260" t="s">
        <v>2643</v>
      </c>
      <c r="E669" s="260" t="s">
        <v>2644</v>
      </c>
      <c r="F669" s="260">
        <v>1</v>
      </c>
      <c r="G669" s="260" t="s">
        <v>3798</v>
      </c>
      <c r="H669" s="261" t="str">
        <f>'Dry_Litterbag Placem_Collection'!C10</f>
        <v>Dry_Ag1_T8</v>
      </c>
      <c r="I669" s="270" t="s">
        <v>3630</v>
      </c>
      <c r="J669" s="271" t="s">
        <v>298</v>
      </c>
      <c r="K669" s="260" t="str">
        <f>IF(ISBLANK('Dry_Litterbag Placem_Collection'!M10),"","R"&amp;""&amp;'Dry_Litterbag Placem_Collection'!M10)</f>
        <v>R213</v>
      </c>
      <c r="L669" s="264">
        <f>IFERROR(INDEX('Green_rooibos initial weight'!$C$5:$C$2000,MATCH(K669, 'Green_rooibos initial weight'!$A$5:$A$2000,0)),"")</f>
        <v>2.254</v>
      </c>
      <c r="M669" s="264">
        <f>IFERROR(L669-(TBIcalc!$Q$9+TBIcalc!$Q$10),"")</f>
        <v>2.0042</v>
      </c>
      <c r="N669" s="385">
        <f>AVERAGE(Ashed_controlls!$K$12:$K$14)</f>
        <v>2.2816647271287041</v>
      </c>
      <c r="O669" s="264">
        <f t="shared" si="51"/>
        <v>1.9584708755388864</v>
      </c>
      <c r="P669" s="264">
        <f>IFERROR(INDEX('Both teabags AfterDry'!$D$2:$D$2000,MATCH(K669,'Both teabags AfterDry'!$A$2:$A$2000,0)),"")</f>
        <v>1.7698</v>
      </c>
      <c r="Q669" s="264">
        <f>IFERROR(IF(P669&gt;0,P669-(TBIcalc!$Q$9),""),"")</f>
        <v>1.6192</v>
      </c>
      <c r="R669" s="275">
        <f>IFERROR(INDEX('Ashed teabags dry'!$K$2:$K$2000,MATCH(K669,'Ashed teabags dry'!$A$2:$A$2000,0)),"")</f>
        <v>2.3334747560458351</v>
      </c>
      <c r="S669" s="275">
        <f t="shared" si="52"/>
        <v>1.5814163767501057</v>
      </c>
      <c r="T669" s="265">
        <f>IF('Dry_Litterbag Placem_Collection'!E10="","",'Dry_Litterbag Placem_Collection'!E10)</f>
        <v>42938</v>
      </c>
      <c r="U669" s="265">
        <f>IF('Dry_Litterbag Placem_Collection'!G10="","",'Dry_Litterbag Placem_Collection'!G10)</f>
        <v>43007</v>
      </c>
      <c r="V669" s="266">
        <f t="shared" si="50"/>
        <v>69</v>
      </c>
      <c r="W669" s="264">
        <f t="shared" si="53"/>
        <v>0.38500000000000001</v>
      </c>
      <c r="X669" s="264">
        <f t="shared" si="54"/>
        <v>0.37705449878878072</v>
      </c>
      <c r="Y669" s="268">
        <f>IFERROR(INDEX(Rainfall_Dry!$O$2:$O$217,MATCH(B669, Rainfall_Dry!$A$2:$A$217,0)),"")</f>
        <v>6.900000125</v>
      </c>
      <c r="Z669" s="257">
        <v>12.565665055683967</v>
      </c>
      <c r="AA669" s="257">
        <v>0.9665896196679955</v>
      </c>
      <c r="AB669" s="257">
        <v>86.467745324648035</v>
      </c>
      <c r="AC669" s="258" t="s">
        <v>2656</v>
      </c>
      <c r="AD669" s="257">
        <v>8.0225726959093109</v>
      </c>
      <c r="AE669">
        <f>IF('WetLitterbags placem_collection'!AB10="","",'WetLitterbags placem_collection'!AB10)</f>
        <v>36</v>
      </c>
      <c r="AF669">
        <f>IF('WetLitterbags placem_collection'!Z10="","",'WetLitterbags placem_collection'!Z10)</f>
        <v>38.4</v>
      </c>
      <c r="AG669" s="243" t="str">
        <f>IF('WetLitterbags placem_collection'!AA10="","",'WetLitterbags placem_collection'!AA10)</f>
        <v>M</v>
      </c>
      <c r="AH669" t="str">
        <f>IF('WetLitterbags placem_collection'!AC10="","",'WetLitterbags placem_collection'!AC10)</f>
        <v/>
      </c>
      <c r="AI669">
        <f>IFERROR(AVERAGE('Dry_Litterbag Placem_Collection'!O10,'Dry_Litterbag Placem_Collection'!R10),"")</f>
        <v>2.5999999999999996</v>
      </c>
      <c r="AJ669" s="268">
        <f>IFERROR(AVERAGE('Dry_Litterbag Placem_Collection'!N10,'Dry_Litterbag Placem_Collection'!Q10),"")</f>
        <v>26</v>
      </c>
      <c r="AK669" s="267">
        <f>INDEX(Coordinates!$B$2:$B$197,MATCH(H669,Coordinates!$J$2:$J$197,0))</f>
        <v>-3.3977320230000001</v>
      </c>
      <c r="AL669" s="267">
        <f>INDEX(Coordinates!$C$2:$C$197,MATCH(H669,Coordinates!$J$2:$J$197,0))</f>
        <v>34.837561989999998</v>
      </c>
      <c r="AM669" s="267" t="str">
        <f>IF(ISNUMBER(SEARCH("C", 'Dry_Litterbag Placem_Collection'!V10)),"YES","NO")</f>
        <v>NO</v>
      </c>
      <c r="AN669" s="267" t="str">
        <f>IF(ISNUMBER(SEARCH("H", 'Dry_Litterbag Placem_Collection'!V10)),"YES","NO")</f>
        <v>NO</v>
      </c>
      <c r="AO669" s="267" t="str">
        <f>IF(ISNUMBER(SEARCH("R", 'Dry_Litterbag Placem_Collection'!V10)),"YES","NO")</f>
        <v>NO</v>
      </c>
    </row>
    <row r="670" spans="1:41" ht="15" customHeight="1">
      <c r="A670" s="259" t="s">
        <v>2643</v>
      </c>
      <c r="B670" s="260">
        <f>'Dry_Litterbag Placem_Collection'!A11</f>
        <v>9</v>
      </c>
      <c r="C670" s="260" t="str">
        <f>'Dry_Litterbag Placem_Collection'!B11</f>
        <v>Makao</v>
      </c>
      <c r="D670" s="260" t="s">
        <v>2643</v>
      </c>
      <c r="E670" s="260" t="s">
        <v>2644</v>
      </c>
      <c r="F670" s="260">
        <v>2</v>
      </c>
      <c r="G670" s="260" t="s">
        <v>3802</v>
      </c>
      <c r="H670" s="261" t="str">
        <f>'Dry_Litterbag Placem_Collection'!C11</f>
        <v>Dry_Ag2_T1</v>
      </c>
      <c r="I670" s="270" t="s">
        <v>3630</v>
      </c>
      <c r="J670" s="271" t="s">
        <v>298</v>
      </c>
      <c r="K670" s="260" t="str">
        <f>IF(ISBLANK('Dry_Litterbag Placem_Collection'!M11),"","R"&amp;""&amp;'Dry_Litterbag Placem_Collection'!M11)</f>
        <v>R704</v>
      </c>
      <c r="L670" s="264">
        <f>IFERROR(INDEX('Green_rooibos initial weight'!$C$5:$C$2000,MATCH(K670, 'Green_rooibos initial weight'!$A$5:$A$2000,0)),"")</f>
        <v>2.1480000000000001</v>
      </c>
      <c r="M670" s="264">
        <f>IFERROR(L670-(TBIcalc!$Q$9+TBIcalc!$Q$10),"")</f>
        <v>1.8982000000000001</v>
      </c>
      <c r="N670" s="385">
        <f>AVERAGE(Ashed_controlls!$K$12:$K$14)</f>
        <v>2.2816647271287041</v>
      </c>
      <c r="O670" s="264">
        <f t="shared" si="51"/>
        <v>1.854889440149643</v>
      </c>
      <c r="P670" s="264">
        <f>IFERROR(INDEX('Both teabags AfterDry'!$D$2:$D$2000,MATCH(K670,'Both teabags AfterDry'!$A$2:$A$2000,0)),"")</f>
        <v>1.9311</v>
      </c>
      <c r="Q670" s="264">
        <f>IFERROR(IF(P670&gt;0,P670-(TBIcalc!$Q$9),""),"")</f>
        <v>1.7805</v>
      </c>
      <c r="R670" s="275">
        <f>IFERROR(INDEX('Ashed teabags dry'!$K$2:$K$2000,MATCH(K670,'Ashed teabags dry'!$A$2:$A$2000,0)),"")</f>
        <v>2.4847632442568237</v>
      </c>
      <c r="S670" s="275">
        <f t="shared" si="52"/>
        <v>1.7362587904360072</v>
      </c>
      <c r="T670" s="265">
        <f>IF('Dry_Litterbag Placem_Collection'!E11="","",'Dry_Litterbag Placem_Collection'!E11)</f>
        <v>42938</v>
      </c>
      <c r="U670" s="265">
        <f>IF('Dry_Litterbag Placem_Collection'!G11="","",'Dry_Litterbag Placem_Collection'!G11)</f>
        <v>43007</v>
      </c>
      <c r="V670" s="266">
        <f t="shared" si="50"/>
        <v>69</v>
      </c>
      <c r="W670" s="264">
        <f t="shared" si="53"/>
        <v>0.11770000000000014</v>
      </c>
      <c r="X670" s="264">
        <f t="shared" si="54"/>
        <v>0.11863064971363579</v>
      </c>
      <c r="Y670" s="268">
        <f>IFERROR(INDEX(Rainfall_Dry!$O$2:$O$217,MATCH(B670, Rainfall_Dry!$A$2:$A$217,0)),"")</f>
        <v>6.900000125</v>
      </c>
      <c r="Z670" s="257">
        <v>21.13063730679653</v>
      </c>
      <c r="AA670" s="257">
        <v>3.0912555579081076</v>
      </c>
      <c r="AB670" s="257">
        <v>75.778107135295357</v>
      </c>
      <c r="AC670" s="258" t="s">
        <v>2654</v>
      </c>
      <c r="AD670" s="257">
        <v>0.46131099063578063</v>
      </c>
      <c r="AE670">
        <f>IF('WetLitterbags placem_collection'!AB11="","",'WetLitterbags placem_collection'!AB11)</f>
        <v>10.8</v>
      </c>
      <c r="AF670">
        <f>IF('WetLitterbags placem_collection'!Z11="","",'WetLitterbags placem_collection'!Z11)</f>
        <v>28.4</v>
      </c>
      <c r="AG670" s="243" t="str">
        <f>IF('WetLitterbags placem_collection'!AA11="","",'WetLitterbags placem_collection'!AA11)</f>
        <v>M</v>
      </c>
      <c r="AH670">
        <f>IF('WetLitterbags placem_collection'!AC11="","",'WetLitterbags placem_collection'!AC11)</f>
        <v>0</v>
      </c>
      <c r="AI670">
        <f>IFERROR(AVERAGE('Dry_Litterbag Placem_Collection'!O11,'Dry_Litterbag Placem_Collection'!R11),"")</f>
        <v>3.3</v>
      </c>
      <c r="AJ670" s="268">
        <f>IFERROR(AVERAGE('Dry_Litterbag Placem_Collection'!N11,'Dry_Litterbag Placem_Collection'!Q11),"")</f>
        <v>26.15</v>
      </c>
      <c r="AK670" s="267">
        <f>INDEX(Coordinates!$B$2:$B$197,MATCH(H670,Coordinates!$J$2:$J$197,0))</f>
        <v>-3.3978290019999999</v>
      </c>
      <c r="AL670" s="267">
        <f>INDEX(Coordinates!$C$2:$C$197,MATCH(H670,Coordinates!$J$2:$J$197,0))</f>
        <v>34.837011969999999</v>
      </c>
      <c r="AM670" s="267" t="str">
        <f>IF(ISNUMBER(SEARCH("C", 'Dry_Litterbag Placem_Collection'!V11)),"YES","NO")</f>
        <v>NO</v>
      </c>
      <c r="AN670" s="267" t="str">
        <f>IF(ISNUMBER(SEARCH("H", 'Dry_Litterbag Placem_Collection'!V11)),"YES","NO")</f>
        <v>NO</v>
      </c>
      <c r="AO670" s="267" t="str">
        <f>IF(ISNUMBER(SEARCH("R", 'Dry_Litterbag Placem_Collection'!V11)),"YES","NO")</f>
        <v>NO</v>
      </c>
    </row>
    <row r="671" spans="1:41" ht="15" customHeight="1">
      <c r="A671" s="259" t="s">
        <v>2643</v>
      </c>
      <c r="B671" s="260">
        <f>'Dry_Litterbag Placem_Collection'!A12</f>
        <v>10</v>
      </c>
      <c r="C671" s="260" t="str">
        <f>'Dry_Litterbag Placem_Collection'!B12</f>
        <v>Makao</v>
      </c>
      <c r="D671" s="260" t="s">
        <v>2643</v>
      </c>
      <c r="E671" s="260" t="s">
        <v>2644</v>
      </c>
      <c r="F671" s="260">
        <v>2</v>
      </c>
      <c r="G671" s="260" t="s">
        <v>3802</v>
      </c>
      <c r="H671" s="261" t="str">
        <f>'Dry_Litterbag Placem_Collection'!C12</f>
        <v>Dry_Ag2_T2</v>
      </c>
      <c r="I671" s="270" t="s">
        <v>3630</v>
      </c>
      <c r="J671" s="271" t="s">
        <v>298</v>
      </c>
      <c r="K671" s="260" t="str">
        <f>IF(ISBLANK('Dry_Litterbag Placem_Collection'!M12),"","R"&amp;""&amp;'Dry_Litterbag Placem_Collection'!M12)</f>
        <v>R355</v>
      </c>
      <c r="L671" s="264">
        <f>IFERROR(INDEX('Green_rooibos initial weight'!$C$5:$C$2000,MATCH(K671, 'Green_rooibos initial weight'!$A$5:$A$2000,0)),"")</f>
        <v>2.1850000000000001</v>
      </c>
      <c r="M671" s="264">
        <f>IFERROR(L671-(TBIcalc!$Q$9+TBIcalc!$Q$10),"")</f>
        <v>1.9352</v>
      </c>
      <c r="N671" s="385">
        <f>AVERAGE(Ashed_controlls!$K$12:$K$14)</f>
        <v>2.2816647271287041</v>
      </c>
      <c r="O671" s="264">
        <f t="shared" si="51"/>
        <v>1.8910452242006053</v>
      </c>
      <c r="P671" s="264" t="str">
        <f>IFERROR(INDEX('Both teabags AfterDry'!$D$2:$D$2000,MATCH(K671,'Both teabags AfterDry'!$A$2:$A$2000,0)),"")</f>
        <v/>
      </c>
      <c r="Q671" s="264" t="str">
        <f>IFERROR(IF(P671&gt;0,P671-(TBIcalc!$Q$9),""),"")</f>
        <v/>
      </c>
      <c r="R671" s="275" t="str">
        <f>IFERROR(INDEX('Ashed teabags dry'!$K$2:$K$2000,MATCH(K671,'Ashed teabags dry'!$A$2:$A$2000,0)),"")</f>
        <v/>
      </c>
      <c r="S671" s="275" t="str">
        <f t="shared" si="52"/>
        <v/>
      </c>
      <c r="T671" s="265">
        <f>IF('Dry_Litterbag Placem_Collection'!E12="","",'Dry_Litterbag Placem_Collection'!E12)</f>
        <v>42938</v>
      </c>
      <c r="U671" s="265" t="str">
        <f>IF('Dry_Litterbag Placem_Collection'!G12="","",'Dry_Litterbag Placem_Collection'!G12)</f>
        <v/>
      </c>
      <c r="V671" s="266" t="str">
        <f t="shared" si="50"/>
        <v/>
      </c>
      <c r="W671" s="264" t="str">
        <f t="shared" si="53"/>
        <v/>
      </c>
      <c r="X671" s="264" t="str">
        <f t="shared" si="54"/>
        <v/>
      </c>
      <c r="Y671" s="268" t="str">
        <f>IFERROR(INDEX(Rainfall_Dry!$O$2:$O$217,MATCH(B671, Rainfall_Dry!$A$2:$A$217,0)),"")</f>
        <v/>
      </c>
      <c r="Z671" s="257">
        <v>21.13063730679653</v>
      </c>
      <c r="AA671" s="257">
        <v>3.0912555579081076</v>
      </c>
      <c r="AB671" s="257">
        <v>75.778107135295357</v>
      </c>
      <c r="AC671" s="258" t="s">
        <v>2654</v>
      </c>
      <c r="AD671" s="257">
        <v>1.46131099063578</v>
      </c>
      <c r="AE671">
        <f>IF('WetLitterbags placem_collection'!AB12="","",'WetLitterbags placem_collection'!AB12)</f>
        <v>16.8</v>
      </c>
      <c r="AF671">
        <f>IF('WetLitterbags placem_collection'!Z12="","",'WetLitterbags placem_collection'!Z12)</f>
        <v>30</v>
      </c>
      <c r="AG671" s="243" t="str">
        <f>IF('WetLitterbags placem_collection'!AA12="","",'WetLitterbags placem_collection'!AA12)</f>
        <v>M</v>
      </c>
      <c r="AH671">
        <f>IF('WetLitterbags placem_collection'!AC12="","",'WetLitterbags placem_collection'!AC12)</f>
        <v>0</v>
      </c>
      <c r="AI671">
        <f>IFERROR(AVERAGE('Dry_Litterbag Placem_Collection'!O12,'Dry_Litterbag Placem_Collection'!R12),"")</f>
        <v>1.5</v>
      </c>
      <c r="AJ671" s="268">
        <f>IFERROR(AVERAGE('Dry_Litterbag Placem_Collection'!N12,'Dry_Litterbag Placem_Collection'!Q12),"")</f>
        <v>26.1</v>
      </c>
      <c r="AK671" s="267">
        <f>INDEX(Coordinates!$B$2:$B$197,MATCH(H671,Coordinates!$J$2:$J$197,0))</f>
        <v>-3.3978119869999999</v>
      </c>
      <c r="AL671" s="267">
        <f>INDEX(Coordinates!$C$2:$C$197,MATCH(H671,Coordinates!$J$2:$J$197,0))</f>
        <v>34.836968980000002</v>
      </c>
      <c r="AM671" s="267" t="str">
        <f>IF(ISNUMBER(SEARCH("C", 'Dry_Litterbag Placem_Collection'!V12)),"YES","NO")</f>
        <v>NO</v>
      </c>
      <c r="AN671" s="267" t="str">
        <f>IF(ISNUMBER(SEARCH("H", 'Dry_Litterbag Placem_Collection'!V12)),"YES","NO")</f>
        <v>NO</v>
      </c>
      <c r="AO671" s="267" t="str">
        <f>IF(ISNUMBER(SEARCH("R", 'Dry_Litterbag Placem_Collection'!V12)),"YES","NO")</f>
        <v>NO</v>
      </c>
    </row>
    <row r="672" spans="1:41" ht="15" customHeight="1">
      <c r="A672" s="259" t="s">
        <v>2643</v>
      </c>
      <c r="B672" s="260">
        <f>'Dry_Litterbag Placem_Collection'!A13</f>
        <v>11</v>
      </c>
      <c r="C672" s="260" t="str">
        <f>'Dry_Litterbag Placem_Collection'!B13</f>
        <v>Makao</v>
      </c>
      <c r="D672" s="260" t="s">
        <v>2643</v>
      </c>
      <c r="E672" s="260" t="s">
        <v>2644</v>
      </c>
      <c r="F672" s="260">
        <v>2</v>
      </c>
      <c r="G672" s="260" t="s">
        <v>3802</v>
      </c>
      <c r="H672" s="261" t="str">
        <f>'Dry_Litterbag Placem_Collection'!C13</f>
        <v>Dry_Ag2_T3</v>
      </c>
      <c r="I672" s="270" t="s">
        <v>3630</v>
      </c>
      <c r="J672" s="271" t="s">
        <v>298</v>
      </c>
      <c r="K672" s="260" t="str">
        <f>IF(ISBLANK('Dry_Litterbag Placem_Collection'!M13),"","R"&amp;""&amp;'Dry_Litterbag Placem_Collection'!M13)</f>
        <v>R616</v>
      </c>
      <c r="L672" s="264">
        <f>IFERROR(INDEX('Green_rooibos initial weight'!$C$5:$C$2000,MATCH(K672, 'Green_rooibos initial weight'!$A$5:$A$2000,0)),"")</f>
        <v>2.1739999999999999</v>
      </c>
      <c r="M672" s="264">
        <f>IFERROR(L672-(TBIcalc!$Q$9+TBIcalc!$Q$10),"")</f>
        <v>1.9241999999999999</v>
      </c>
      <c r="N672" s="385">
        <f>AVERAGE(Ashed_controlls!$K$12:$K$14)</f>
        <v>2.2816647271287041</v>
      </c>
      <c r="O672" s="264">
        <f t="shared" si="51"/>
        <v>1.8802962073205893</v>
      </c>
      <c r="P672" s="264">
        <f>IFERROR(INDEX('Both teabags AfterDry'!$D$2:$D$2000,MATCH(K672,'Both teabags AfterDry'!$A$2:$A$2000,0)),"")</f>
        <v>1.9423999999999999</v>
      </c>
      <c r="Q672" s="264">
        <f>IFERROR(IF(P672&gt;0,P672-(TBIcalc!$Q$9),""),"")</f>
        <v>1.7917999999999998</v>
      </c>
      <c r="R672" s="275">
        <f>IFERROR(INDEX('Ashed teabags dry'!$K$2:$K$2000,MATCH(K672,'Ashed teabags dry'!$A$2:$A$2000,0)),"")</f>
        <v>2.5878906250002163</v>
      </c>
      <c r="S672" s="275">
        <f t="shared" si="52"/>
        <v>1.745430175781246</v>
      </c>
      <c r="T672" s="265">
        <f>IF('Dry_Litterbag Placem_Collection'!E13="","",'Dry_Litterbag Placem_Collection'!E13)</f>
        <v>42938</v>
      </c>
      <c r="U672" s="265">
        <f>IF('Dry_Litterbag Placem_Collection'!G13="","",'Dry_Litterbag Placem_Collection'!G13)</f>
        <v>43007</v>
      </c>
      <c r="V672" s="266">
        <f t="shared" si="50"/>
        <v>69</v>
      </c>
      <c r="W672" s="264">
        <f t="shared" si="53"/>
        <v>0.13240000000000007</v>
      </c>
      <c r="X672" s="264">
        <f t="shared" si="54"/>
        <v>0.13486603153934329</v>
      </c>
      <c r="Y672" s="268">
        <f>IFERROR(INDEX(Rainfall_Dry!$O$2:$O$217,MATCH(B672, Rainfall_Dry!$A$2:$A$217,0)),"")</f>
        <v>6.900000125</v>
      </c>
      <c r="Z672" s="257">
        <v>21.13063730679653</v>
      </c>
      <c r="AA672" s="257">
        <v>3.0912555579081076</v>
      </c>
      <c r="AB672" s="257">
        <v>75.778107135295357</v>
      </c>
      <c r="AC672" s="258" t="s">
        <v>2654</v>
      </c>
      <c r="AD672" s="257">
        <v>2.4613109906357802</v>
      </c>
      <c r="AE672">
        <f>IF('WetLitterbags placem_collection'!AB13="","",'WetLitterbags placem_collection'!AB13)</f>
        <v>11.4</v>
      </c>
      <c r="AF672">
        <f>IF('WetLitterbags placem_collection'!Z13="","",'WetLitterbags placem_collection'!Z13)</f>
        <v>24.4</v>
      </c>
      <c r="AG672" s="243" t="str">
        <f>IF('WetLitterbags placem_collection'!AA13="","",'WetLitterbags placem_collection'!AA13)</f>
        <v>M</v>
      </c>
      <c r="AH672">
        <f>IF('WetLitterbags placem_collection'!AC13="","",'WetLitterbags placem_collection'!AC13)</f>
        <v>0</v>
      </c>
      <c r="AI672">
        <f>IFERROR(AVERAGE('Dry_Litterbag Placem_Collection'!O13,'Dry_Litterbag Placem_Collection'!R13),"")</f>
        <v>5.3</v>
      </c>
      <c r="AJ672" s="268">
        <f>IFERROR(AVERAGE('Dry_Litterbag Placem_Collection'!N13,'Dry_Litterbag Placem_Collection'!Q13),"")</f>
        <v>26.450000000000003</v>
      </c>
      <c r="AK672" s="267">
        <f>INDEX(Coordinates!$B$2:$B$197,MATCH(H672,Coordinates!$J$2:$J$197,0))</f>
        <v>-3.3977929599999999</v>
      </c>
      <c r="AL672" s="267">
        <f>INDEX(Coordinates!$C$2:$C$197,MATCH(H672,Coordinates!$J$2:$J$197,0))</f>
        <v>34.837102999999999</v>
      </c>
      <c r="AM672" s="267" t="str">
        <f>IF(ISNUMBER(SEARCH("C", 'Dry_Litterbag Placem_Collection'!V13)),"YES","NO")</f>
        <v>NO</v>
      </c>
      <c r="AN672" s="267" t="str">
        <f>IF(ISNUMBER(SEARCH("H", 'Dry_Litterbag Placem_Collection'!V13)),"YES","NO")</f>
        <v>NO</v>
      </c>
      <c r="AO672" s="267" t="str">
        <f>IF(ISNUMBER(SEARCH("R", 'Dry_Litterbag Placem_Collection'!V13)),"YES","NO")</f>
        <v>NO</v>
      </c>
    </row>
    <row r="673" spans="1:41" ht="15" customHeight="1">
      <c r="A673" s="259" t="s">
        <v>2643</v>
      </c>
      <c r="B673" s="260">
        <f>'Dry_Litterbag Placem_Collection'!A14</f>
        <v>12</v>
      </c>
      <c r="C673" s="260" t="str">
        <f>'Dry_Litterbag Placem_Collection'!B14</f>
        <v>Makao</v>
      </c>
      <c r="D673" s="260" t="s">
        <v>2643</v>
      </c>
      <c r="E673" s="260" t="s">
        <v>2644</v>
      </c>
      <c r="F673" s="260">
        <v>2</v>
      </c>
      <c r="G673" s="260" t="s">
        <v>3802</v>
      </c>
      <c r="H673" s="261" t="str">
        <f>'Dry_Litterbag Placem_Collection'!C14</f>
        <v>Dry_Ag2_T4</v>
      </c>
      <c r="I673" s="270" t="s">
        <v>3630</v>
      </c>
      <c r="J673" s="271" t="s">
        <v>298</v>
      </c>
      <c r="K673" s="260" t="str">
        <f>IF(ISBLANK('Dry_Litterbag Placem_Collection'!M14),"","R"&amp;""&amp;'Dry_Litterbag Placem_Collection'!M14)</f>
        <v/>
      </c>
      <c r="L673" s="264" t="str">
        <f>IFERROR(INDEX('Green_rooibos initial weight'!$C$5:$C$2000,MATCH(K673, 'Green_rooibos initial weight'!$A$5:$A$2000,0)),"")</f>
        <v/>
      </c>
      <c r="M673" s="264" t="str">
        <f>IFERROR(L673-(TBIcalc!$Q$9+TBIcalc!$Q$10),"")</f>
        <v/>
      </c>
      <c r="N673" s="385">
        <f>AVERAGE(Ashed_controlls!$K$12:$K$14)</f>
        <v>2.2816647271287041</v>
      </c>
      <c r="O673" s="264" t="str">
        <f t="shared" si="51"/>
        <v/>
      </c>
      <c r="P673" s="264" t="str">
        <f>IFERROR(INDEX('Both teabags AfterDry'!$D$2:$D$2000,MATCH(K673,'Both teabags AfterDry'!$A$2:$A$2000,0)),"")</f>
        <v/>
      </c>
      <c r="Q673" s="264" t="str">
        <f>IFERROR(IF(P673&gt;0,P673-(TBIcalc!$Q$9),""),"")</f>
        <v/>
      </c>
      <c r="R673" s="275" t="str">
        <f>IFERROR(INDEX('Ashed teabags dry'!$K$2:$K$2000,MATCH(K673,'Ashed teabags dry'!$A$2:$A$2000,0)),"")</f>
        <v/>
      </c>
      <c r="S673" s="275" t="str">
        <f t="shared" si="52"/>
        <v/>
      </c>
      <c r="T673" s="265" t="str">
        <f>IF('Dry_Litterbag Placem_Collection'!E14="","",'Dry_Litterbag Placem_Collection'!E14)</f>
        <v/>
      </c>
      <c r="U673" s="265" t="str">
        <f>IF('Dry_Litterbag Placem_Collection'!G14="","",'Dry_Litterbag Placem_Collection'!G14)</f>
        <v/>
      </c>
      <c r="V673" s="266" t="str">
        <f t="shared" si="50"/>
        <v/>
      </c>
      <c r="W673" s="264" t="str">
        <f t="shared" si="53"/>
        <v/>
      </c>
      <c r="X673" s="264" t="str">
        <f t="shared" si="54"/>
        <v/>
      </c>
      <c r="Y673" s="268" t="str">
        <f>IFERROR(INDEX(Rainfall_Dry!$O$2:$O$217,MATCH(B673, Rainfall_Dry!$A$2:$A$217,0)),"")</f>
        <v/>
      </c>
      <c r="Z673" s="257">
        <v>21.13063730679653</v>
      </c>
      <c r="AA673" s="257">
        <v>3.0912555579081076</v>
      </c>
      <c r="AB673" s="257">
        <v>75.778107135295357</v>
      </c>
      <c r="AC673" s="258" t="s">
        <v>2654</v>
      </c>
      <c r="AD673" s="257">
        <v>3.4613109906357802</v>
      </c>
      <c r="AE673" t="str">
        <f>IF('WetLitterbags placem_collection'!AB14="","",'WetLitterbags placem_collection'!AB14)</f>
        <v/>
      </c>
      <c r="AF673" t="str">
        <f>IF('WetLitterbags placem_collection'!Z14="","",'WetLitterbags placem_collection'!Z14)</f>
        <v/>
      </c>
      <c r="AG673" s="243" t="str">
        <f>IF('WetLitterbags placem_collection'!AA14="","",'WetLitterbags placem_collection'!AA14)</f>
        <v/>
      </c>
      <c r="AH673" t="str">
        <f>IF('WetLitterbags placem_collection'!AC14="","",'WetLitterbags placem_collection'!AC14)</f>
        <v/>
      </c>
      <c r="AI673" t="str">
        <f>IFERROR(AVERAGE('Dry_Litterbag Placem_Collection'!O14,'Dry_Litterbag Placem_Collection'!R14),"")</f>
        <v/>
      </c>
      <c r="AJ673" s="268" t="str">
        <f>IFERROR(AVERAGE('Dry_Litterbag Placem_Collection'!N14,'Dry_Litterbag Placem_Collection'!Q14),"")</f>
        <v/>
      </c>
      <c r="AK673" s="267">
        <f>INDEX(Coordinates!$B$2:$B$197,MATCH(H673,Coordinates!$J$2:$J$197,0))</f>
        <v>-3.3979050260000001</v>
      </c>
      <c r="AL673" s="267">
        <f>INDEX(Coordinates!$C$2:$C$197,MATCH(H673,Coordinates!$J$2:$J$197,0))</f>
        <v>34.837123030000001</v>
      </c>
      <c r="AM673" s="267" t="str">
        <f>IF(ISNUMBER(SEARCH("C", 'Dry_Litterbag Placem_Collection'!V14)),"YES","NO")</f>
        <v>NO</v>
      </c>
      <c r="AN673" s="267" t="str">
        <f>IF(ISNUMBER(SEARCH("H", 'Dry_Litterbag Placem_Collection'!V14)),"YES","NO")</f>
        <v>NO</v>
      </c>
      <c r="AO673" s="267" t="str">
        <f>IF(ISNUMBER(SEARCH("R", 'Dry_Litterbag Placem_Collection'!V14)),"YES","NO")</f>
        <v>NO</v>
      </c>
    </row>
    <row r="674" spans="1:41" ht="15" customHeight="1">
      <c r="A674" s="259" t="s">
        <v>2643</v>
      </c>
      <c r="B674" s="260">
        <f>'Dry_Litterbag Placem_Collection'!A15</f>
        <v>13</v>
      </c>
      <c r="C674" s="260" t="str">
        <f>'Dry_Litterbag Placem_Collection'!B15</f>
        <v>Makao</v>
      </c>
      <c r="D674" s="260" t="s">
        <v>2643</v>
      </c>
      <c r="E674" s="260" t="s">
        <v>2644</v>
      </c>
      <c r="F674" s="260">
        <v>2</v>
      </c>
      <c r="G674" s="260" t="s">
        <v>3802</v>
      </c>
      <c r="H674" s="261" t="str">
        <f>'Dry_Litterbag Placem_Collection'!C15</f>
        <v>Dry_Ag2_T5</v>
      </c>
      <c r="I674" s="270" t="s">
        <v>3630</v>
      </c>
      <c r="J674" s="271" t="s">
        <v>298</v>
      </c>
      <c r="K674" s="260" t="str">
        <f>IF(ISBLANK('Dry_Litterbag Placem_Collection'!M15),"","R"&amp;""&amp;'Dry_Litterbag Placem_Collection'!M15)</f>
        <v>R603</v>
      </c>
      <c r="L674" s="264">
        <f>IFERROR(INDEX('Green_rooibos initial weight'!$C$5:$C$2000,MATCH(K674, 'Green_rooibos initial weight'!$A$5:$A$2000,0)),"")</f>
        <v>2.1440000000000001</v>
      </c>
      <c r="M674" s="264">
        <f>IFERROR(L674-(TBIcalc!$Q$9+TBIcalc!$Q$10),"")</f>
        <v>1.8942000000000001</v>
      </c>
      <c r="N674" s="385">
        <f>AVERAGE(Ashed_controlls!$K$12:$K$14)</f>
        <v>2.2816647271287041</v>
      </c>
      <c r="O674" s="264">
        <f t="shared" si="51"/>
        <v>1.8509807067387283</v>
      </c>
      <c r="P674" s="264">
        <f>IFERROR(INDEX('Both teabags AfterDry'!$D$2:$D$2000,MATCH(K674,'Both teabags AfterDry'!$A$2:$A$2000,0)),"")</f>
        <v>1.9094</v>
      </c>
      <c r="Q674" s="264">
        <f>IFERROR(IF(P674&gt;0,P674-(TBIcalc!$Q$9),""),"")</f>
        <v>1.7587999999999999</v>
      </c>
      <c r="R674" s="275">
        <f>IFERROR(INDEX('Ashed teabags dry'!$K$2:$K$2000,MATCH(K674,'Ashed teabags dry'!$A$2:$A$2000,0)),"")</f>
        <v>3.2763532763534955</v>
      </c>
      <c r="S674" s="275">
        <f t="shared" si="52"/>
        <v>1.7011754985754945</v>
      </c>
      <c r="T674" s="265">
        <f>IF('Dry_Litterbag Placem_Collection'!E15="","",'Dry_Litterbag Placem_Collection'!E15)</f>
        <v>42938</v>
      </c>
      <c r="U674" s="265">
        <f>IF('Dry_Litterbag Placem_Collection'!G15="","",'Dry_Litterbag Placem_Collection'!G15)</f>
        <v>43007</v>
      </c>
      <c r="V674" s="266">
        <f t="shared" si="50"/>
        <v>69</v>
      </c>
      <c r="W674" s="264">
        <f t="shared" si="53"/>
        <v>0.13540000000000019</v>
      </c>
      <c r="X674" s="264">
        <f t="shared" si="54"/>
        <v>0.14980520816323373</v>
      </c>
      <c r="Y674" s="268">
        <f>IFERROR(INDEX(Rainfall_Dry!$O$2:$O$217,MATCH(B674, Rainfall_Dry!$A$2:$A$217,0)),"")</f>
        <v>6.900000125</v>
      </c>
      <c r="Z674" s="257">
        <v>21.13063730679653</v>
      </c>
      <c r="AA674" s="257">
        <v>3.0912555579081076</v>
      </c>
      <c r="AB674" s="257">
        <v>75.778107135295357</v>
      </c>
      <c r="AC674" s="258" t="s">
        <v>2654</v>
      </c>
      <c r="AD674" s="257">
        <v>4.4613109906357797</v>
      </c>
      <c r="AE674">
        <f>IF('WetLitterbags placem_collection'!AB15="","",'WetLitterbags placem_collection'!AB15)</f>
        <v>11.4</v>
      </c>
      <c r="AF674">
        <f>IF('WetLitterbags placem_collection'!Z15="","",'WetLitterbags placem_collection'!Z15)</f>
        <v>31</v>
      </c>
      <c r="AG674" s="243" t="str">
        <f>IF('WetLitterbags placem_collection'!AA15="","",'WetLitterbags placem_collection'!AA15)</f>
        <v>M</v>
      </c>
      <c r="AH674">
        <f>IF('WetLitterbags placem_collection'!AC15="","",'WetLitterbags placem_collection'!AC15)</f>
        <v>0</v>
      </c>
      <c r="AI674">
        <f>IFERROR(AVERAGE('Dry_Litterbag Placem_Collection'!O15,'Dry_Litterbag Placem_Collection'!R15),"")</f>
        <v>4.8</v>
      </c>
      <c r="AJ674" s="268">
        <f>IFERROR(AVERAGE('Dry_Litterbag Placem_Collection'!N15,'Dry_Litterbag Placem_Collection'!Q15),"")</f>
        <v>26.1</v>
      </c>
      <c r="AK674" s="267">
        <f>INDEX(Coordinates!$B$2:$B$197,MATCH(H674,Coordinates!$J$2:$J$197,0))</f>
        <v>-3.3979040199999999</v>
      </c>
      <c r="AL674" s="267">
        <f>INDEX(Coordinates!$C$2:$C$197,MATCH(H674,Coordinates!$J$2:$J$197,0))</f>
        <v>34.837027980000002</v>
      </c>
      <c r="AM674" s="267" t="str">
        <f>IF(ISNUMBER(SEARCH("C", 'Dry_Litterbag Placem_Collection'!V15)),"YES","NO")</f>
        <v>NO</v>
      </c>
      <c r="AN674" s="267" t="str">
        <f>IF(ISNUMBER(SEARCH("H", 'Dry_Litterbag Placem_Collection'!V15)),"YES","NO")</f>
        <v>NO</v>
      </c>
      <c r="AO674" s="267" t="str">
        <f>IF(ISNUMBER(SEARCH("R", 'Dry_Litterbag Placem_Collection'!V15)),"YES","NO")</f>
        <v>NO</v>
      </c>
    </row>
    <row r="675" spans="1:41" ht="15" customHeight="1">
      <c r="A675" s="259" t="s">
        <v>2643</v>
      </c>
      <c r="B675" s="260">
        <f>'Dry_Litterbag Placem_Collection'!A16</f>
        <v>14</v>
      </c>
      <c r="C675" s="260" t="str">
        <f>'Dry_Litterbag Placem_Collection'!B16</f>
        <v>Makao</v>
      </c>
      <c r="D675" s="260" t="s">
        <v>2643</v>
      </c>
      <c r="E675" s="260" t="s">
        <v>2644</v>
      </c>
      <c r="F675" s="260">
        <v>2</v>
      </c>
      <c r="G675" s="260" t="s">
        <v>3802</v>
      </c>
      <c r="H675" s="261" t="str">
        <f>'Dry_Litterbag Placem_Collection'!C16</f>
        <v>Dry_Ag2_T6</v>
      </c>
      <c r="I675" s="270" t="s">
        <v>3630</v>
      </c>
      <c r="J675" s="271" t="s">
        <v>298</v>
      </c>
      <c r="K675" s="260" t="str">
        <f>IF(ISBLANK('Dry_Litterbag Placem_Collection'!M16),"","R"&amp;""&amp;'Dry_Litterbag Placem_Collection'!M16)</f>
        <v>R652</v>
      </c>
      <c r="L675" s="264">
        <f>IFERROR(INDEX('Green_rooibos initial weight'!$C$5:$C$2000,MATCH(K675, 'Green_rooibos initial weight'!$A$5:$A$2000,0)),"")</f>
        <v>2.2090000000000001</v>
      </c>
      <c r="M675" s="264">
        <f>IFERROR(L675-(TBIcalc!$Q$9+TBIcalc!$Q$10),"")</f>
        <v>1.9592000000000001</v>
      </c>
      <c r="N675" s="385">
        <f>AVERAGE(Ashed_controlls!$K$12:$K$14)</f>
        <v>2.2816647271287041</v>
      </c>
      <c r="O675" s="264">
        <f t="shared" si="51"/>
        <v>1.9144976246660945</v>
      </c>
      <c r="P675" s="264">
        <f>IFERROR(INDEX('Both teabags AfterDry'!$D$2:$D$2000,MATCH(K675,'Both teabags AfterDry'!$A$2:$A$2000,0)),"")</f>
        <v>1.9245000000000001</v>
      </c>
      <c r="Q675" s="264">
        <f>IFERROR(IF(P675&gt;0,P675-(TBIcalc!$Q$9),""),"")</f>
        <v>1.7739</v>
      </c>
      <c r="R675" s="275">
        <f>IFERROR(INDEX('Ashed teabags dry'!$K$2:$K$2000,MATCH(K675,'Ashed teabags dry'!$A$2:$A$2000,0)),"")</f>
        <v>2.5664115263402163</v>
      </c>
      <c r="S675" s="275">
        <f t="shared" si="52"/>
        <v>1.7283744259342508</v>
      </c>
      <c r="T675" s="265">
        <f>IF('Dry_Litterbag Placem_Collection'!E16="","",'Dry_Litterbag Placem_Collection'!E16)</f>
        <v>42938</v>
      </c>
      <c r="U675" s="265">
        <f>IF('Dry_Litterbag Placem_Collection'!G16="","",'Dry_Litterbag Placem_Collection'!G16)</f>
        <v>43007</v>
      </c>
      <c r="V675" s="266">
        <f t="shared" si="50"/>
        <v>69</v>
      </c>
      <c r="W675" s="264">
        <f t="shared" si="53"/>
        <v>0.18530000000000002</v>
      </c>
      <c r="X675" s="264">
        <f t="shared" si="54"/>
        <v>0.18612319873184369</v>
      </c>
      <c r="Y675" s="268">
        <f>IFERROR(INDEX(Rainfall_Dry!$O$2:$O$217,MATCH(B675, Rainfall_Dry!$A$2:$A$217,0)),"")</f>
        <v>6.900000125</v>
      </c>
      <c r="Z675" s="257">
        <v>21.13063730679653</v>
      </c>
      <c r="AA675" s="257">
        <v>3.0912555579081076</v>
      </c>
      <c r="AB675" s="257">
        <v>75.778107135295357</v>
      </c>
      <c r="AC675" s="258" t="s">
        <v>2654</v>
      </c>
      <c r="AD675" s="257">
        <v>5.4613109906357797</v>
      </c>
      <c r="AE675">
        <f>IF('WetLitterbags placem_collection'!AB16="","",'WetLitterbags placem_collection'!AB16)</f>
        <v>28.4</v>
      </c>
      <c r="AF675">
        <f>IF('WetLitterbags placem_collection'!Z16="","",'WetLitterbags placem_collection'!Z16)</f>
        <v>42.4</v>
      </c>
      <c r="AG675" s="243" t="str">
        <f>IF('WetLitterbags placem_collection'!AA16="","",'WetLitterbags placem_collection'!AA16)</f>
        <v>M</v>
      </c>
      <c r="AH675">
        <f>IF('WetLitterbags placem_collection'!AC16="","",'WetLitterbags placem_collection'!AC16)</f>
        <v>0</v>
      </c>
      <c r="AI675">
        <f>IFERROR(AVERAGE('Dry_Litterbag Placem_Collection'!O16,'Dry_Litterbag Placem_Collection'!R16),"")</f>
        <v>3.4</v>
      </c>
      <c r="AJ675" s="268">
        <f>IFERROR(AVERAGE('Dry_Litterbag Placem_Collection'!N16,'Dry_Litterbag Placem_Collection'!Q16),"")</f>
        <v>25.55</v>
      </c>
      <c r="AK675" s="267">
        <f>INDEX(Coordinates!$B$2:$B$197,MATCH(H675,Coordinates!$J$2:$J$197,0))</f>
        <v>-3.397854986</v>
      </c>
      <c r="AL675" s="267">
        <f>INDEX(Coordinates!$C$2:$C$197,MATCH(H675,Coordinates!$J$2:$J$197,0))</f>
        <v>34.836874010000002</v>
      </c>
      <c r="AM675" s="267" t="str">
        <f>IF(ISNUMBER(SEARCH("C", 'Dry_Litterbag Placem_Collection'!V16)),"YES","NO")</f>
        <v>NO</v>
      </c>
      <c r="AN675" s="267" t="str">
        <f>IF(ISNUMBER(SEARCH("H", 'Dry_Litterbag Placem_Collection'!V16)),"YES","NO")</f>
        <v>NO</v>
      </c>
      <c r="AO675" s="267" t="str">
        <f>IF(ISNUMBER(SEARCH("R", 'Dry_Litterbag Placem_Collection'!V16)),"YES","NO")</f>
        <v>NO</v>
      </c>
    </row>
    <row r="676" spans="1:41" ht="15" customHeight="1">
      <c r="A676" s="259" t="s">
        <v>2643</v>
      </c>
      <c r="B676" s="260">
        <f>'Dry_Litterbag Placem_Collection'!A17</f>
        <v>15</v>
      </c>
      <c r="C676" s="260" t="str">
        <f>'Dry_Litterbag Placem_Collection'!B17</f>
        <v>Makao</v>
      </c>
      <c r="D676" s="260" t="s">
        <v>2643</v>
      </c>
      <c r="E676" s="260" t="s">
        <v>2644</v>
      </c>
      <c r="F676" s="260">
        <v>2</v>
      </c>
      <c r="G676" s="260" t="s">
        <v>3802</v>
      </c>
      <c r="H676" s="261" t="str">
        <f>'Dry_Litterbag Placem_Collection'!C17</f>
        <v>Dry_Ag2_T7</v>
      </c>
      <c r="I676" s="270" t="s">
        <v>3630</v>
      </c>
      <c r="J676" s="271" t="s">
        <v>298</v>
      </c>
      <c r="K676" s="260" t="str">
        <f>IF(ISBLANK('Dry_Litterbag Placem_Collection'!M17),"","R"&amp;""&amp;'Dry_Litterbag Placem_Collection'!M17)</f>
        <v>R304</v>
      </c>
      <c r="L676" s="264">
        <f>IFERROR(INDEX('Green_rooibos initial weight'!$C$5:$C$2000,MATCH(K676, 'Green_rooibos initial weight'!$A$5:$A$2000,0)),"")</f>
        <v>2.1930000000000001</v>
      </c>
      <c r="M676" s="264">
        <f>IFERROR(L676-(TBIcalc!$Q$9+TBIcalc!$Q$10),"")</f>
        <v>1.9432</v>
      </c>
      <c r="N676" s="385">
        <f>AVERAGE(Ashed_controlls!$K$12:$K$14)</f>
        <v>2.2816647271287041</v>
      </c>
      <c r="O676" s="264">
        <f t="shared" si="51"/>
        <v>1.8988626910224351</v>
      </c>
      <c r="P676" s="264">
        <f>IFERROR(INDEX('Both teabags AfterDry'!$D$2:$D$2000,MATCH(K676,'Both teabags AfterDry'!$A$2:$A$2000,0)),"")</f>
        <v>1.8989</v>
      </c>
      <c r="Q676" s="264">
        <f>IFERROR(IF(P676&gt;0,P676-(TBIcalc!$Q$9),""),"")</f>
        <v>1.7483</v>
      </c>
      <c r="R676" s="275">
        <f>IFERROR(INDEX('Ashed teabags dry'!$K$2:$K$2000,MATCH(K676,'Ashed teabags dry'!$A$2:$A$2000,0)),"")</f>
        <v>3.0414746543770974</v>
      </c>
      <c r="S676" s="275">
        <f t="shared" si="52"/>
        <v>1.6951258986175253</v>
      </c>
      <c r="T676" s="265">
        <f>IF('Dry_Litterbag Placem_Collection'!E17="","",'Dry_Litterbag Placem_Collection'!E17)</f>
        <v>42938</v>
      </c>
      <c r="U676" s="265">
        <f>IF('Dry_Litterbag Placem_Collection'!G17="","",'Dry_Litterbag Placem_Collection'!G17)</f>
        <v>43007</v>
      </c>
      <c r="V676" s="266">
        <f t="shared" si="50"/>
        <v>69</v>
      </c>
      <c r="W676" s="264">
        <f t="shared" si="53"/>
        <v>0.19490000000000007</v>
      </c>
      <c r="X676" s="264">
        <f t="shared" si="54"/>
        <v>0.20373679240490983</v>
      </c>
      <c r="Y676" s="268">
        <f>IFERROR(INDEX(Rainfall_Dry!$O$2:$O$217,MATCH(B676, Rainfall_Dry!$A$2:$A$217,0)),"")</f>
        <v>6.900000125</v>
      </c>
      <c r="Z676" s="257">
        <v>21.13063730679653</v>
      </c>
      <c r="AA676" s="257">
        <v>3.0912555579081076</v>
      </c>
      <c r="AB676" s="257">
        <v>75.778107135295357</v>
      </c>
      <c r="AC676" s="258" t="s">
        <v>2654</v>
      </c>
      <c r="AD676" s="257">
        <v>6.4613109906357797</v>
      </c>
      <c r="AE676">
        <f>IF('WetLitterbags placem_collection'!AB17="","",'WetLitterbags placem_collection'!AB17)</f>
        <v>15.8</v>
      </c>
      <c r="AF676">
        <f>IF('WetLitterbags placem_collection'!Z17="","",'WetLitterbags placem_collection'!Z17)</f>
        <v>30.4</v>
      </c>
      <c r="AG676" s="243" t="str">
        <f>IF('WetLitterbags placem_collection'!AA17="","",'WetLitterbags placem_collection'!AA17)</f>
        <v>M</v>
      </c>
      <c r="AH676">
        <f>IF('WetLitterbags placem_collection'!AC17="","",'WetLitterbags placem_collection'!AC17)</f>
        <v>0</v>
      </c>
      <c r="AI676">
        <f>IFERROR(AVERAGE('Dry_Litterbag Placem_Collection'!O17,'Dry_Litterbag Placem_Collection'!R17),"")</f>
        <v>3.0999999999999996</v>
      </c>
      <c r="AJ676" s="268">
        <f>IFERROR(AVERAGE('Dry_Litterbag Placem_Collection'!N17,'Dry_Litterbag Placem_Collection'!Q17),"")</f>
        <v>28</v>
      </c>
      <c r="AK676" s="267">
        <f>INDEX(Coordinates!$B$2:$B$197,MATCH(H676,Coordinates!$J$2:$J$197,0))</f>
        <v>-3.3978060349999999</v>
      </c>
      <c r="AL676" s="267">
        <f>INDEX(Coordinates!$C$2:$C$197,MATCH(H676,Coordinates!$J$2:$J$197,0))</f>
        <v>34.837023960000003</v>
      </c>
      <c r="AM676" s="267" t="str">
        <f>IF(ISNUMBER(SEARCH("C", 'Dry_Litterbag Placem_Collection'!V17)),"YES","NO")</f>
        <v>NO</v>
      </c>
      <c r="AN676" s="267" t="str">
        <f>IF(ISNUMBER(SEARCH("H", 'Dry_Litterbag Placem_Collection'!V17)),"YES","NO")</f>
        <v>NO</v>
      </c>
      <c r="AO676" s="267" t="str">
        <f>IF(ISNUMBER(SEARCH("R", 'Dry_Litterbag Placem_Collection'!V17)),"YES","NO")</f>
        <v>NO</v>
      </c>
    </row>
    <row r="677" spans="1:41" ht="15" customHeight="1">
      <c r="A677" s="259" t="s">
        <v>2643</v>
      </c>
      <c r="B677" s="260">
        <f>'Dry_Litterbag Placem_Collection'!A18</f>
        <v>16</v>
      </c>
      <c r="C677" s="260" t="str">
        <f>'Dry_Litterbag Placem_Collection'!B18</f>
        <v>Makao</v>
      </c>
      <c r="D677" s="260" t="s">
        <v>2643</v>
      </c>
      <c r="E677" s="260" t="s">
        <v>2644</v>
      </c>
      <c r="F677" s="260">
        <v>2</v>
      </c>
      <c r="G677" s="260" t="s">
        <v>3802</v>
      </c>
      <c r="H677" s="261" t="str">
        <f>'Dry_Litterbag Placem_Collection'!C18</f>
        <v>Dry_Ag2_T8</v>
      </c>
      <c r="I677" s="270" t="s">
        <v>3630</v>
      </c>
      <c r="J677" s="271" t="s">
        <v>298</v>
      </c>
      <c r="K677" s="260" t="str">
        <f>IF(ISBLANK('Dry_Litterbag Placem_Collection'!M18),"","R"&amp;""&amp;'Dry_Litterbag Placem_Collection'!M18)</f>
        <v>R687</v>
      </c>
      <c r="L677" s="264">
        <f>IFERROR(INDEX('Green_rooibos initial weight'!$C$5:$C$2000,MATCH(K677, 'Green_rooibos initial weight'!$A$5:$A$2000,0)),"")</f>
        <v>2.2029999999999998</v>
      </c>
      <c r="M677" s="264">
        <f>IFERROR(L677-(TBIcalc!$Q$9+TBIcalc!$Q$10),"")</f>
        <v>1.9531999999999998</v>
      </c>
      <c r="N677" s="385">
        <f>AVERAGE(Ashed_controlls!$K$12:$K$14)</f>
        <v>2.2816647271287041</v>
      </c>
      <c r="O677" s="264">
        <f t="shared" si="51"/>
        <v>1.908634524549722</v>
      </c>
      <c r="P677" s="264" t="str">
        <f>IFERROR(INDEX('Both teabags AfterDry'!$D$2:$D$2000,MATCH(K677,'Both teabags AfterDry'!$A$2:$A$2000,0)),"")</f>
        <v/>
      </c>
      <c r="Q677" s="264" t="str">
        <f>IFERROR(IF(P677&gt;0,P677-(TBIcalc!$Q$9),""),"")</f>
        <v/>
      </c>
      <c r="R677" s="275" t="str">
        <f>IFERROR(INDEX('Ashed teabags dry'!$K$2:$K$2000,MATCH(K677,'Ashed teabags dry'!$A$2:$A$2000,0)),"")</f>
        <v/>
      </c>
      <c r="S677" s="275" t="str">
        <f t="shared" si="52"/>
        <v/>
      </c>
      <c r="T677" s="265">
        <f>IF('Dry_Litterbag Placem_Collection'!E18="","",'Dry_Litterbag Placem_Collection'!E18)</f>
        <v>42938</v>
      </c>
      <c r="U677" s="265">
        <f>IF('Dry_Litterbag Placem_Collection'!G18="","",'Dry_Litterbag Placem_Collection'!G18)</f>
        <v>43007</v>
      </c>
      <c r="V677" s="266">
        <f t="shared" si="50"/>
        <v>69</v>
      </c>
      <c r="W677" s="264" t="str">
        <f t="shared" si="53"/>
        <v/>
      </c>
      <c r="X677" s="264" t="str">
        <f t="shared" si="54"/>
        <v/>
      </c>
      <c r="Y677" s="268">
        <f>IFERROR(INDEX(Rainfall_Dry!$O$2:$O$217,MATCH(B677, Rainfall_Dry!$A$2:$A$217,0)),"")</f>
        <v>6.900000125</v>
      </c>
      <c r="Z677" s="257">
        <v>21.13063730679653</v>
      </c>
      <c r="AA677" s="257">
        <v>3.0912555579081076</v>
      </c>
      <c r="AB677" s="257">
        <v>75.778107135295357</v>
      </c>
      <c r="AC677" s="258" t="s">
        <v>2654</v>
      </c>
      <c r="AD677" s="257">
        <v>7.4613109906357797</v>
      </c>
      <c r="AE677">
        <f>IF('WetLitterbags placem_collection'!AB18="","",'WetLitterbags placem_collection'!AB18)</f>
        <v>8</v>
      </c>
      <c r="AF677">
        <f>IF('WetLitterbags placem_collection'!Z18="","",'WetLitterbags placem_collection'!Z18)</f>
        <v>12.4</v>
      </c>
      <c r="AG677" s="243" t="str">
        <f>IF('WetLitterbags placem_collection'!AA18="","",'WetLitterbags placem_collection'!AA18)</f>
        <v>M</v>
      </c>
      <c r="AH677">
        <f>IF('WetLitterbags placem_collection'!AC18="","",'WetLitterbags placem_collection'!AC18)</f>
        <v>0</v>
      </c>
      <c r="AI677">
        <f>IFERROR(AVERAGE('Dry_Litterbag Placem_Collection'!O18,'Dry_Litterbag Placem_Collection'!R18),"")</f>
        <v>9.1999999999999993</v>
      </c>
      <c r="AJ677" s="268">
        <f>IFERROR(AVERAGE('Dry_Litterbag Placem_Collection'!N18,'Dry_Litterbag Placem_Collection'!Q18),"")</f>
        <v>27.049999999999997</v>
      </c>
      <c r="AK677" s="267">
        <f>INDEX(Coordinates!$B$2:$B$197,MATCH(H677,Coordinates!$J$2:$J$197,0))</f>
        <v>-3.3977669760000002</v>
      </c>
      <c r="AL677" s="267">
        <f>INDEX(Coordinates!$C$2:$C$197,MATCH(H677,Coordinates!$J$2:$J$197,0))</f>
        <v>34.837181039999997</v>
      </c>
      <c r="AM677" s="267" t="str">
        <f>IF(ISNUMBER(SEARCH("C", 'Dry_Litterbag Placem_Collection'!V18)),"YES","NO")</f>
        <v>NO</v>
      </c>
      <c r="AN677" s="267" t="str">
        <f>IF(ISNUMBER(SEARCH("H", 'Dry_Litterbag Placem_Collection'!V18)),"YES","NO")</f>
        <v>NO</v>
      </c>
      <c r="AO677" s="267" t="str">
        <f>IF(ISNUMBER(SEARCH("R", 'Dry_Litterbag Placem_Collection'!V18)),"YES","NO")</f>
        <v>NO</v>
      </c>
    </row>
    <row r="678" spans="1:41" ht="15" customHeight="1">
      <c r="A678" s="259" t="s">
        <v>2643</v>
      </c>
      <c r="B678" s="260">
        <f>'Dry_Litterbag Placem_Collection'!A19</f>
        <v>17</v>
      </c>
      <c r="C678" s="260" t="str">
        <f>'Dry_Litterbag Placem_Collection'!B19</f>
        <v>Makao</v>
      </c>
      <c r="D678" s="260" t="s">
        <v>2643</v>
      </c>
      <c r="E678" s="260" t="s">
        <v>2644</v>
      </c>
      <c r="F678" s="260">
        <v>3</v>
      </c>
      <c r="G678" s="260" t="s">
        <v>3803</v>
      </c>
      <c r="H678" s="261" t="str">
        <f>'Dry_Litterbag Placem_Collection'!C19</f>
        <v>Dry_Ag3_T1</v>
      </c>
      <c r="I678" s="270" t="s">
        <v>3630</v>
      </c>
      <c r="J678" s="271" t="s">
        <v>298</v>
      </c>
      <c r="K678" s="260" t="str">
        <f>IF(ISBLANK('Dry_Litterbag Placem_Collection'!M19),"","R"&amp;""&amp;'Dry_Litterbag Placem_Collection'!M19)</f>
        <v>R407</v>
      </c>
      <c r="L678" s="264">
        <f>IFERROR(INDEX('Green_rooibos initial weight'!$C$5:$C$2000,MATCH(K678, 'Green_rooibos initial weight'!$A$5:$A$2000,0)),"")</f>
        <v>2.1859999999999999</v>
      </c>
      <c r="M678" s="264">
        <f>IFERROR(L678-(TBIcalc!$Q$9+TBIcalc!$Q$10),"")</f>
        <v>1.9361999999999999</v>
      </c>
      <c r="N678" s="385">
        <f>AVERAGE(Ashed_controlls!$K$12:$K$14)</f>
        <v>2.2816647271287041</v>
      </c>
      <c r="O678" s="264">
        <f t="shared" si="51"/>
        <v>1.8920224075533341</v>
      </c>
      <c r="P678" s="264">
        <f>IFERROR(INDEX('Both teabags AfterDry'!$D$2:$D$2000,MATCH(K678,'Both teabags AfterDry'!$A$2:$A$2000,0)),"")</f>
        <v>2.0062000000000002</v>
      </c>
      <c r="Q678" s="264">
        <f>IFERROR(IF(P678&gt;0,P678-(TBIcalc!$Q$9),""),"")</f>
        <v>1.8556000000000001</v>
      </c>
      <c r="R678" s="275">
        <f>IFERROR(INDEX('Ashed teabags dry'!$K$2:$K$2000,MATCH(K678,'Ashed teabags dry'!$A$2:$A$2000,0)),"")</f>
        <v>2.9004329004331213</v>
      </c>
      <c r="S678" s="275">
        <f t="shared" si="52"/>
        <v>1.8017795670995631</v>
      </c>
      <c r="T678" s="265">
        <f>IF('Dry_Litterbag Placem_Collection'!E19="","",'Dry_Litterbag Placem_Collection'!E19)</f>
        <v>42936</v>
      </c>
      <c r="U678" s="265">
        <f>IF('Dry_Litterbag Placem_Collection'!G19="","",'Dry_Litterbag Placem_Collection'!G19)</f>
        <v>43007</v>
      </c>
      <c r="V678" s="266">
        <f t="shared" si="50"/>
        <v>71</v>
      </c>
      <c r="W678" s="264">
        <f t="shared" si="53"/>
        <v>8.0599999999999783E-2</v>
      </c>
      <c r="X678" s="264">
        <f t="shared" si="54"/>
        <v>9.0242840453770956E-2</v>
      </c>
      <c r="Y678" s="268">
        <f>IFERROR(INDEX(Rainfall_Dry!$O$2:$O$217,MATCH(B678, Rainfall_Dry!$A$2:$A$217,0)),"")</f>
        <v>6.900000125</v>
      </c>
      <c r="Z678" s="257">
        <v>54.080969906906262</v>
      </c>
      <c r="AA678" s="257">
        <v>21.264484651351896</v>
      </c>
      <c r="AB678" s="257">
        <v>24.654545441741845</v>
      </c>
      <c r="AC678" s="258" t="s">
        <v>2657</v>
      </c>
      <c r="AD678" s="257">
        <v>1.8433218334154755</v>
      </c>
      <c r="AE678" t="str">
        <f>IF('WetLitterbags placem_collection'!AB19="","",'WetLitterbags placem_collection'!AB19)</f>
        <v/>
      </c>
      <c r="AF678" t="str">
        <f>IF('WetLitterbags placem_collection'!Z19="","",'WetLitterbags placem_collection'!Z19)</f>
        <v/>
      </c>
      <c r="AG678" s="243" t="str">
        <f>IF('WetLitterbags placem_collection'!AA19="","",'WetLitterbags placem_collection'!AA19)</f>
        <v/>
      </c>
      <c r="AH678" t="str">
        <f>IF('WetLitterbags placem_collection'!AC19="","",'WetLitterbags placem_collection'!AC19)</f>
        <v/>
      </c>
      <c r="AI678">
        <f>IFERROR(AVERAGE('Dry_Litterbag Placem_Collection'!O19,'Dry_Litterbag Placem_Collection'!R19),"")</f>
        <v>12.9</v>
      </c>
      <c r="AJ678" s="268">
        <f>IFERROR(AVERAGE('Dry_Litterbag Placem_Collection'!N19,'Dry_Litterbag Placem_Collection'!Q19),"")</f>
        <v>26.2</v>
      </c>
      <c r="AK678" s="267">
        <f>INDEX(Coordinates!$B$2:$B$197,MATCH(H678,Coordinates!$J$2:$J$197,0))</f>
        <v>-3.3854090330000002</v>
      </c>
      <c r="AL678" s="267">
        <f>INDEX(Coordinates!$C$2:$C$197,MATCH(H678,Coordinates!$J$2:$J$197,0))</f>
        <v>34.818901029999999</v>
      </c>
      <c r="AM678" s="267" t="str">
        <f>IF(ISNUMBER(SEARCH("C", 'Dry_Litterbag Placem_Collection'!V19)),"YES","NO")</f>
        <v>NO</v>
      </c>
      <c r="AN678" s="267" t="str">
        <f>IF(ISNUMBER(SEARCH("H", 'Dry_Litterbag Placem_Collection'!V19)),"YES","NO")</f>
        <v>NO</v>
      </c>
      <c r="AO678" s="267" t="str">
        <f>IF(ISNUMBER(SEARCH("R", 'Dry_Litterbag Placem_Collection'!V19)),"YES","NO")</f>
        <v>NO</v>
      </c>
    </row>
    <row r="679" spans="1:41" ht="15" customHeight="1">
      <c r="A679" s="259" t="s">
        <v>2643</v>
      </c>
      <c r="B679" s="260">
        <f>'Dry_Litterbag Placem_Collection'!A20</f>
        <v>18</v>
      </c>
      <c r="C679" s="260" t="str">
        <f>'Dry_Litterbag Placem_Collection'!B20</f>
        <v>Makao</v>
      </c>
      <c r="D679" s="260" t="s">
        <v>2643</v>
      </c>
      <c r="E679" s="260" t="s">
        <v>2644</v>
      </c>
      <c r="F679" s="260">
        <v>3</v>
      </c>
      <c r="G679" s="260" t="s">
        <v>3803</v>
      </c>
      <c r="H679" s="261" t="str">
        <f>'Dry_Litterbag Placem_Collection'!C20</f>
        <v>Dry_Ag3_T2</v>
      </c>
      <c r="I679" s="270" t="s">
        <v>3630</v>
      </c>
      <c r="J679" s="271" t="s">
        <v>298</v>
      </c>
      <c r="K679" s="260" t="str">
        <f>IF(ISBLANK('Dry_Litterbag Placem_Collection'!M20),"","R"&amp;""&amp;'Dry_Litterbag Placem_Collection'!M20)</f>
        <v>R361</v>
      </c>
      <c r="L679" s="264">
        <f>IFERROR(INDEX('Green_rooibos initial weight'!$C$5:$C$2000,MATCH(K679, 'Green_rooibos initial weight'!$A$5:$A$2000,0)),"")</f>
        <v>2.2210000000000001</v>
      </c>
      <c r="M679" s="264">
        <f>IFERROR(L679-(TBIcalc!$Q$9+TBIcalc!$Q$10),"")</f>
        <v>1.9712000000000001</v>
      </c>
      <c r="N679" s="385">
        <f>AVERAGE(Ashed_controlls!$K$12:$K$14)</f>
        <v>2.2816647271287041</v>
      </c>
      <c r="O679" s="264">
        <f t="shared" si="51"/>
        <v>1.926223824898839</v>
      </c>
      <c r="P679" s="264">
        <f>IFERROR(INDEX('Both teabags AfterDry'!$D$2:$D$2000,MATCH(K679,'Both teabags AfterDry'!$A$2:$A$2000,0)),"")</f>
        <v>2.0156999999999998</v>
      </c>
      <c r="Q679" s="264">
        <f>IFERROR(IF(P679&gt;0,P679-(TBIcalc!$Q$9),""),"")</f>
        <v>1.8650999999999998</v>
      </c>
      <c r="R679" s="275">
        <f>IFERROR(INDEX('Ashed teabags dry'!$K$2:$K$2000,MATCH(K679,'Ashed teabags dry'!$A$2:$A$2000,0)),"")</f>
        <v>2.3668639053252516</v>
      </c>
      <c r="S679" s="275">
        <f t="shared" si="52"/>
        <v>1.8209556213017786</v>
      </c>
      <c r="T679" s="265">
        <f>IF('Dry_Litterbag Placem_Collection'!E20="","",'Dry_Litterbag Placem_Collection'!E20)</f>
        <v>42936</v>
      </c>
      <c r="U679" s="265">
        <f>IF('Dry_Litterbag Placem_Collection'!G20="","",'Dry_Litterbag Placem_Collection'!G20)</f>
        <v>43007</v>
      </c>
      <c r="V679" s="266">
        <f t="shared" si="50"/>
        <v>71</v>
      </c>
      <c r="W679" s="264">
        <f t="shared" si="53"/>
        <v>0.10610000000000031</v>
      </c>
      <c r="X679" s="264">
        <f t="shared" si="54"/>
        <v>0.10526820359706046</v>
      </c>
      <c r="Y679" s="268">
        <f>IFERROR(INDEX(Rainfall_Dry!$O$2:$O$217,MATCH(B679, Rainfall_Dry!$A$2:$A$217,0)),"")</f>
        <v>6.900000125</v>
      </c>
      <c r="Z679" s="257">
        <v>54.080969906906262</v>
      </c>
      <c r="AA679" s="257">
        <v>21.264484651351896</v>
      </c>
      <c r="AB679" s="257">
        <v>24.654545441741845</v>
      </c>
      <c r="AC679" s="258" t="s">
        <v>2657</v>
      </c>
      <c r="AD679" s="257">
        <v>2.8433218334154802</v>
      </c>
      <c r="AE679" t="str">
        <f>IF('WetLitterbags placem_collection'!AB20="","",'WetLitterbags placem_collection'!AB20)</f>
        <v/>
      </c>
      <c r="AF679" t="str">
        <f>IF('WetLitterbags placem_collection'!Z20="","",'WetLitterbags placem_collection'!Z20)</f>
        <v/>
      </c>
      <c r="AG679" s="243" t="str">
        <f>IF('WetLitterbags placem_collection'!AA20="","",'WetLitterbags placem_collection'!AA20)</f>
        <v/>
      </c>
      <c r="AH679" t="str">
        <f>IF('WetLitterbags placem_collection'!AC20="","",'WetLitterbags placem_collection'!AC20)</f>
        <v/>
      </c>
      <c r="AI679">
        <f>IFERROR(AVERAGE('Dry_Litterbag Placem_Collection'!O20,'Dry_Litterbag Placem_Collection'!R20),"")</f>
        <v>11.15</v>
      </c>
      <c r="AJ679" s="268">
        <f>IFERROR(AVERAGE('Dry_Litterbag Placem_Collection'!N20,'Dry_Litterbag Placem_Collection'!Q20),"")</f>
        <v>26.1</v>
      </c>
      <c r="AK679" s="267">
        <f>INDEX(Coordinates!$B$2:$B$197,MATCH(H679,Coordinates!$J$2:$J$197,0))</f>
        <v>-3.385375002</v>
      </c>
      <c r="AL679" s="267">
        <f>INDEX(Coordinates!$C$2:$C$197,MATCH(H679,Coordinates!$J$2:$J$197,0))</f>
        <v>34.818939999999998</v>
      </c>
      <c r="AM679" s="267" t="str">
        <f>IF(ISNUMBER(SEARCH("C", 'Dry_Litterbag Placem_Collection'!V20)),"YES","NO")</f>
        <v>NO</v>
      </c>
      <c r="AN679" s="267" t="str">
        <f>IF(ISNUMBER(SEARCH("H", 'Dry_Litterbag Placem_Collection'!V20)),"YES","NO")</f>
        <v>NO</v>
      </c>
      <c r="AO679" s="267" t="str">
        <f>IF(ISNUMBER(SEARCH("R", 'Dry_Litterbag Placem_Collection'!V20)),"YES","NO")</f>
        <v>NO</v>
      </c>
    </row>
    <row r="680" spans="1:41" ht="15" customHeight="1">
      <c r="A680" s="259" t="s">
        <v>2643</v>
      </c>
      <c r="B680" s="260">
        <f>'Dry_Litterbag Placem_Collection'!A21</f>
        <v>19</v>
      </c>
      <c r="C680" s="260" t="str">
        <f>'Dry_Litterbag Placem_Collection'!B21</f>
        <v>Makao</v>
      </c>
      <c r="D680" s="260" t="s">
        <v>2643</v>
      </c>
      <c r="E680" s="260" t="s">
        <v>2644</v>
      </c>
      <c r="F680" s="260">
        <v>3</v>
      </c>
      <c r="G680" s="260" t="s">
        <v>3803</v>
      </c>
      <c r="H680" s="261" t="str">
        <f>'Dry_Litterbag Placem_Collection'!C21</f>
        <v>Dry_Ag3_T3</v>
      </c>
      <c r="I680" s="270" t="s">
        <v>3630</v>
      </c>
      <c r="J680" s="271" t="s">
        <v>298</v>
      </c>
      <c r="K680" s="260" t="str">
        <f>IF(ISBLANK('Dry_Litterbag Placem_Collection'!M21),"","R"&amp;""&amp;'Dry_Litterbag Placem_Collection'!M21)</f>
        <v>R280</v>
      </c>
      <c r="L680" s="264">
        <f>IFERROR(INDEX('Green_rooibos initial weight'!$C$5:$C$2000,MATCH(K680, 'Green_rooibos initial weight'!$A$5:$A$2000,0)),"")</f>
        <v>2.11</v>
      </c>
      <c r="M680" s="264">
        <f>IFERROR(L680-(TBIcalc!$Q$9+TBIcalc!$Q$10),"")</f>
        <v>1.8601999999999999</v>
      </c>
      <c r="N680" s="385">
        <f>AVERAGE(Ashed_controlls!$K$12:$K$14)</f>
        <v>2.2816647271287041</v>
      </c>
      <c r="O680" s="264">
        <f t="shared" si="51"/>
        <v>1.8177564727459516</v>
      </c>
      <c r="P680" s="264">
        <f>IFERROR(INDEX('Both teabags AfterDry'!$D$2:$D$2000,MATCH(K680,'Both teabags AfterDry'!$A$2:$A$2000,0)),"")</f>
        <v>1.9007000000000001</v>
      </c>
      <c r="Q680" s="264">
        <f>IFERROR(IF(P680&gt;0,P680-(TBIcalc!$Q$9),""),"")</f>
        <v>1.7501</v>
      </c>
      <c r="R680" s="275">
        <f>IFERROR(INDEX('Ashed teabags dry'!$K$2:$K$2000,MATCH(K680,'Ashed teabags dry'!$A$2:$A$2000,0)),"")</f>
        <v>2.6531596719727872</v>
      </c>
      <c r="S680" s="275">
        <f t="shared" si="52"/>
        <v>1.7036670525808042</v>
      </c>
      <c r="T680" s="265">
        <f>IF('Dry_Litterbag Placem_Collection'!E21="","",'Dry_Litterbag Placem_Collection'!E21)</f>
        <v>42936</v>
      </c>
      <c r="U680" s="265">
        <f>IF('Dry_Litterbag Placem_Collection'!G21="","",'Dry_Litterbag Placem_Collection'!G21)</f>
        <v>43007</v>
      </c>
      <c r="V680" s="266">
        <f t="shared" si="50"/>
        <v>71</v>
      </c>
      <c r="W680" s="264">
        <f t="shared" si="53"/>
        <v>0.11009999999999986</v>
      </c>
      <c r="X680" s="264">
        <f t="shared" si="54"/>
        <v>0.11408942016514745</v>
      </c>
      <c r="Y680" s="268">
        <f>IFERROR(INDEX(Rainfall_Dry!$O$2:$O$217,MATCH(B680, Rainfall_Dry!$A$2:$A$217,0)),"")</f>
        <v>6.900000125</v>
      </c>
      <c r="Z680" s="257">
        <v>54.080969906906262</v>
      </c>
      <c r="AA680" s="257">
        <v>21.264484651351896</v>
      </c>
      <c r="AB680" s="257">
        <v>24.654545441741845</v>
      </c>
      <c r="AC680" s="258" t="s">
        <v>2657</v>
      </c>
      <c r="AD680" s="257">
        <v>3.8433218334154802</v>
      </c>
      <c r="AE680" t="str">
        <f>IF('WetLitterbags placem_collection'!AB21="","",'WetLitterbags placem_collection'!AB21)</f>
        <v/>
      </c>
      <c r="AF680" t="str">
        <f>IF('WetLitterbags placem_collection'!Z21="","",'WetLitterbags placem_collection'!Z21)</f>
        <v/>
      </c>
      <c r="AG680" s="243" t="str">
        <f>IF('WetLitterbags placem_collection'!AA21="","",'WetLitterbags placem_collection'!AA21)</f>
        <v/>
      </c>
      <c r="AH680" t="str">
        <f>IF('WetLitterbags placem_collection'!AC21="","",'WetLitterbags placem_collection'!AC21)</f>
        <v/>
      </c>
      <c r="AI680">
        <f>IFERROR(AVERAGE('Dry_Litterbag Placem_Collection'!O21,'Dry_Litterbag Placem_Collection'!R21),"")</f>
        <v>15.75</v>
      </c>
      <c r="AJ680" s="268">
        <f>IFERROR(AVERAGE('Dry_Litterbag Placem_Collection'!N21,'Dry_Litterbag Placem_Collection'!Q21),"")</f>
        <v>25.700000000000003</v>
      </c>
      <c r="AK680" s="267">
        <f>INDEX(Coordinates!$B$2:$B$197,MATCH(H680,Coordinates!$J$2:$J$197,0))</f>
        <v>-3.3853589930000001</v>
      </c>
      <c r="AL680" s="267">
        <f>INDEX(Coordinates!$C$2:$C$197,MATCH(H680,Coordinates!$J$2:$J$197,0))</f>
        <v>34.818991969999999</v>
      </c>
      <c r="AM680" s="267" t="str">
        <f>IF(ISNUMBER(SEARCH("C", 'Dry_Litterbag Placem_Collection'!V21)),"YES","NO")</f>
        <v>NO</v>
      </c>
      <c r="AN680" s="267" t="str">
        <f>IF(ISNUMBER(SEARCH("H", 'Dry_Litterbag Placem_Collection'!V21)),"YES","NO")</f>
        <v>NO</v>
      </c>
      <c r="AO680" s="267" t="str">
        <f>IF(ISNUMBER(SEARCH("R", 'Dry_Litterbag Placem_Collection'!V21)),"YES","NO")</f>
        <v>NO</v>
      </c>
    </row>
    <row r="681" spans="1:41" ht="15" customHeight="1">
      <c r="A681" s="259" t="s">
        <v>2643</v>
      </c>
      <c r="B681" s="260">
        <f>'Dry_Litterbag Placem_Collection'!A22</f>
        <v>20</v>
      </c>
      <c r="C681" s="260" t="str">
        <f>'Dry_Litterbag Placem_Collection'!B22</f>
        <v>Makao</v>
      </c>
      <c r="D681" s="260" t="s">
        <v>2643</v>
      </c>
      <c r="E681" s="260" t="s">
        <v>2644</v>
      </c>
      <c r="F681" s="260">
        <v>3</v>
      </c>
      <c r="G681" s="260" t="s">
        <v>3803</v>
      </c>
      <c r="H681" s="261" t="str">
        <f>'Dry_Litterbag Placem_Collection'!C22</f>
        <v>Dry_Ag3_T4</v>
      </c>
      <c r="I681" s="270" t="s">
        <v>3630</v>
      </c>
      <c r="J681" s="271" t="s">
        <v>298</v>
      </c>
      <c r="K681" s="260" t="str">
        <f>IF(ISBLANK('Dry_Litterbag Placem_Collection'!M22),"","R"&amp;""&amp;'Dry_Litterbag Placem_Collection'!M22)</f>
        <v>R320</v>
      </c>
      <c r="L681" s="264">
        <f>IFERROR(INDEX('Green_rooibos initial weight'!$C$5:$C$2000,MATCH(K681, 'Green_rooibos initial weight'!$A$5:$A$2000,0)),"")</f>
        <v>2.1459999999999999</v>
      </c>
      <c r="M681" s="264">
        <f>IFERROR(L681-(TBIcalc!$Q$9+TBIcalc!$Q$10),"")</f>
        <v>1.8961999999999999</v>
      </c>
      <c r="N681" s="385">
        <f>AVERAGE(Ashed_controlls!$K$12:$K$14)</f>
        <v>2.2816647271287041</v>
      </c>
      <c r="O681" s="264">
        <f t="shared" si="51"/>
        <v>1.8529350734441854</v>
      </c>
      <c r="P681" s="264">
        <f>IFERROR(INDEX('Both teabags AfterDry'!$D$2:$D$2000,MATCH(K681,'Both teabags AfterDry'!$A$2:$A$2000,0)),"")</f>
        <v>1.9332</v>
      </c>
      <c r="Q681" s="264">
        <f>IFERROR(IF(P681&gt;0,P681-(TBIcalc!$Q$9),""),"")</f>
        <v>1.7826</v>
      </c>
      <c r="R681" s="275">
        <f>IFERROR(INDEX('Ashed teabags dry'!$K$2:$K$2000,MATCH(K681,'Ashed teabags dry'!$A$2:$A$2000,0)),"")</f>
        <v>2.2439024390243194</v>
      </c>
      <c r="S681" s="275">
        <f t="shared" si="52"/>
        <v>1.7426001951219525</v>
      </c>
      <c r="T681" s="265">
        <f>IF('Dry_Litterbag Placem_Collection'!E22="","",'Dry_Litterbag Placem_Collection'!E22)</f>
        <v>42936</v>
      </c>
      <c r="U681" s="265">
        <f>IF('Dry_Litterbag Placem_Collection'!G22="","",'Dry_Litterbag Placem_Collection'!G22)</f>
        <v>43007</v>
      </c>
      <c r="V681" s="266">
        <f t="shared" si="50"/>
        <v>71</v>
      </c>
      <c r="W681" s="264">
        <f t="shared" si="53"/>
        <v>0.11359999999999992</v>
      </c>
      <c r="X681" s="264">
        <f t="shared" si="54"/>
        <v>0.11033487832223288</v>
      </c>
      <c r="Y681" s="268">
        <f>IFERROR(INDEX(Rainfall_Dry!$O$2:$O$217,MATCH(B681, Rainfall_Dry!$A$2:$A$217,0)),"")</f>
        <v>6.900000125</v>
      </c>
      <c r="Z681" s="257">
        <v>54.080969906906262</v>
      </c>
      <c r="AA681" s="257">
        <v>21.264484651351896</v>
      </c>
      <c r="AB681" s="257">
        <v>24.654545441741845</v>
      </c>
      <c r="AC681" s="258" t="s">
        <v>2657</v>
      </c>
      <c r="AD681" s="257">
        <v>4.8433218334154802</v>
      </c>
      <c r="AE681" t="str">
        <f>IF('WetLitterbags placem_collection'!AB22="","",'WetLitterbags placem_collection'!AB22)</f>
        <v/>
      </c>
      <c r="AF681" t="str">
        <f>IF('WetLitterbags placem_collection'!Z22="","",'WetLitterbags placem_collection'!Z22)</f>
        <v/>
      </c>
      <c r="AG681" s="243" t="str">
        <f>IF('WetLitterbags placem_collection'!AA22="","",'WetLitterbags placem_collection'!AA22)</f>
        <v/>
      </c>
      <c r="AH681" t="str">
        <f>IF('WetLitterbags placem_collection'!AC22="","",'WetLitterbags placem_collection'!AC22)</f>
        <v/>
      </c>
      <c r="AI681">
        <f>IFERROR(AVERAGE('Dry_Litterbag Placem_Collection'!O22,'Dry_Litterbag Placem_Collection'!R22),"")</f>
        <v>16</v>
      </c>
      <c r="AJ681" s="268">
        <f>IFERROR(AVERAGE('Dry_Litterbag Placem_Collection'!N22,'Dry_Litterbag Placem_Collection'!Q22),"")</f>
        <v>26.3</v>
      </c>
      <c r="AK681" s="267">
        <f>INDEX(Coordinates!$B$2:$B$197,MATCH(H681,Coordinates!$J$2:$J$197,0))</f>
        <v>-3.3853969629999998</v>
      </c>
      <c r="AL681" s="267">
        <f>INDEX(Coordinates!$C$2:$C$197,MATCH(H681,Coordinates!$J$2:$J$197,0))</f>
        <v>34.818977969999999</v>
      </c>
      <c r="AM681" s="267" t="str">
        <f>IF(ISNUMBER(SEARCH("C", 'Dry_Litterbag Placem_Collection'!V22)),"YES","NO")</f>
        <v>NO</v>
      </c>
      <c r="AN681" s="267" t="str">
        <f>IF(ISNUMBER(SEARCH("H", 'Dry_Litterbag Placem_Collection'!V22)),"YES","NO")</f>
        <v>NO</v>
      </c>
      <c r="AO681" s="267" t="str">
        <f>IF(ISNUMBER(SEARCH("R", 'Dry_Litterbag Placem_Collection'!V22)),"YES","NO")</f>
        <v>NO</v>
      </c>
    </row>
    <row r="682" spans="1:41" ht="15" customHeight="1">
      <c r="A682" s="259" t="s">
        <v>2643</v>
      </c>
      <c r="B682" s="260">
        <f>'Dry_Litterbag Placem_Collection'!A23</f>
        <v>21</v>
      </c>
      <c r="C682" s="260" t="str">
        <f>'Dry_Litterbag Placem_Collection'!B23</f>
        <v>Makao</v>
      </c>
      <c r="D682" s="260" t="s">
        <v>2643</v>
      </c>
      <c r="E682" s="260" t="s">
        <v>2644</v>
      </c>
      <c r="F682" s="260">
        <v>3</v>
      </c>
      <c r="G682" s="260" t="s">
        <v>3803</v>
      </c>
      <c r="H682" s="261" t="str">
        <f>'Dry_Litterbag Placem_Collection'!C23</f>
        <v>Dry_Ag3_T5</v>
      </c>
      <c r="I682" s="270" t="s">
        <v>3630</v>
      </c>
      <c r="J682" s="271" t="s">
        <v>298</v>
      </c>
      <c r="K682" s="260" t="str">
        <f>IF(ISBLANK('Dry_Litterbag Placem_Collection'!M23),"","R"&amp;""&amp;'Dry_Litterbag Placem_Collection'!M23)</f>
        <v>R209</v>
      </c>
      <c r="L682" s="264">
        <f>IFERROR(INDEX('Green_rooibos initial weight'!$C$5:$C$2000,MATCH(K682, 'Green_rooibos initial weight'!$A$5:$A$2000,0)),"")</f>
        <v>2.2069999999999999</v>
      </c>
      <c r="M682" s="264">
        <f>IFERROR(L682-(TBIcalc!$Q$9+TBIcalc!$Q$10),"")</f>
        <v>1.9571999999999998</v>
      </c>
      <c r="N682" s="385">
        <f>AVERAGE(Ashed_controlls!$K$12:$K$14)</f>
        <v>2.2816647271287041</v>
      </c>
      <c r="O682" s="264">
        <f t="shared" si="51"/>
        <v>1.9125432579606367</v>
      </c>
      <c r="P682" s="264" t="str">
        <f>IFERROR(INDEX('Both teabags AfterDry'!$D$2:$D$2000,MATCH(K682,'Both teabags AfterDry'!$A$2:$A$2000,0)),"")</f>
        <v/>
      </c>
      <c r="Q682" s="264" t="str">
        <f>IFERROR(IF(P682&gt;0,P682-(TBIcalc!$Q$9),""),"")</f>
        <v/>
      </c>
      <c r="R682" s="275" t="str">
        <f>IFERROR(INDEX('Ashed teabags dry'!$K$2:$K$2000,MATCH(K682,'Ashed teabags dry'!$A$2:$A$2000,0)),"")</f>
        <v/>
      </c>
      <c r="S682" s="275" t="str">
        <f t="shared" si="52"/>
        <v/>
      </c>
      <c r="T682" s="265">
        <f>IF('Dry_Litterbag Placem_Collection'!E23="","",'Dry_Litterbag Placem_Collection'!E23)</f>
        <v>42936</v>
      </c>
      <c r="U682" s="265">
        <f>IF('Dry_Litterbag Placem_Collection'!G23="","",'Dry_Litterbag Placem_Collection'!G23)</f>
        <v>43007</v>
      </c>
      <c r="V682" s="266">
        <f t="shared" si="50"/>
        <v>71</v>
      </c>
      <c r="W682" s="264" t="str">
        <f t="shared" si="53"/>
        <v/>
      </c>
      <c r="X682" s="264" t="str">
        <f t="shared" si="54"/>
        <v/>
      </c>
      <c r="Y682" s="268">
        <f>IFERROR(INDEX(Rainfall_Dry!$O$2:$O$217,MATCH(B682, Rainfall_Dry!$A$2:$A$217,0)),"")</f>
        <v>6.900000125</v>
      </c>
      <c r="Z682" s="257">
        <v>54.080969906906262</v>
      </c>
      <c r="AA682" s="257">
        <v>21.264484651351896</v>
      </c>
      <c r="AB682" s="257">
        <v>24.654545441741845</v>
      </c>
      <c r="AC682" s="258" t="s">
        <v>2657</v>
      </c>
      <c r="AD682" s="257">
        <v>5.8433218334154802</v>
      </c>
      <c r="AE682" t="str">
        <f>IF('WetLitterbags placem_collection'!AB23="","",'WetLitterbags placem_collection'!AB23)</f>
        <v/>
      </c>
      <c r="AF682" t="str">
        <f>IF('WetLitterbags placem_collection'!Z23="","",'WetLitterbags placem_collection'!Z23)</f>
        <v/>
      </c>
      <c r="AG682" s="243" t="str">
        <f>IF('WetLitterbags placem_collection'!AA23="","",'WetLitterbags placem_collection'!AA23)</f>
        <v/>
      </c>
      <c r="AH682" t="str">
        <f>IF('WetLitterbags placem_collection'!AC23="","",'WetLitterbags placem_collection'!AC23)</f>
        <v/>
      </c>
      <c r="AI682">
        <f>IFERROR(AVERAGE('Dry_Litterbag Placem_Collection'!O23,'Dry_Litterbag Placem_Collection'!R23),"")</f>
        <v>13.2</v>
      </c>
      <c r="AJ682" s="268">
        <f>IFERROR(AVERAGE('Dry_Litterbag Placem_Collection'!N23,'Dry_Litterbag Placem_Collection'!Q23),"")</f>
        <v>26.1</v>
      </c>
      <c r="AK682" s="267">
        <f>INDEX(Coordinates!$B$2:$B$197,MATCH(H682,Coordinates!$J$2:$J$197,0))</f>
        <v>-3.3854019919999998</v>
      </c>
      <c r="AL682" s="267">
        <f>INDEX(Coordinates!$C$2:$C$197,MATCH(H682,Coordinates!$J$2:$J$197,0))</f>
        <v>34.81894604</v>
      </c>
      <c r="AM682" s="267" t="str">
        <f>IF(ISNUMBER(SEARCH("C", 'Dry_Litterbag Placem_Collection'!V23)),"YES","NO")</f>
        <v>NO</v>
      </c>
      <c r="AN682" s="267" t="str">
        <f>IF(ISNUMBER(SEARCH("H", 'Dry_Litterbag Placem_Collection'!V23)),"YES","NO")</f>
        <v>NO</v>
      </c>
      <c r="AO682" s="267" t="str">
        <f>IF(ISNUMBER(SEARCH("R", 'Dry_Litterbag Placem_Collection'!V23)),"YES","NO")</f>
        <v>NO</v>
      </c>
    </row>
    <row r="683" spans="1:41" ht="15" customHeight="1">
      <c r="A683" s="259" t="s">
        <v>2643</v>
      </c>
      <c r="B683" s="260">
        <f>'Dry_Litterbag Placem_Collection'!A24</f>
        <v>22</v>
      </c>
      <c r="C683" s="260" t="str">
        <f>'Dry_Litterbag Placem_Collection'!B24</f>
        <v>Makao</v>
      </c>
      <c r="D683" s="260" t="s">
        <v>2643</v>
      </c>
      <c r="E683" s="260" t="s">
        <v>2644</v>
      </c>
      <c r="F683" s="260">
        <v>3</v>
      </c>
      <c r="G683" s="260" t="s">
        <v>3803</v>
      </c>
      <c r="H683" s="261" t="str">
        <f>'Dry_Litterbag Placem_Collection'!C24</f>
        <v>Dry_Ag3_T6</v>
      </c>
      <c r="I683" s="270" t="s">
        <v>3630</v>
      </c>
      <c r="J683" s="271" t="s">
        <v>298</v>
      </c>
      <c r="K683" s="260" t="str">
        <f>IF(ISBLANK('Dry_Litterbag Placem_Collection'!M24),"","R"&amp;""&amp;'Dry_Litterbag Placem_Collection'!M24)</f>
        <v>R646</v>
      </c>
      <c r="L683" s="264">
        <f>IFERROR(INDEX('Green_rooibos initial weight'!$C$5:$C$2000,MATCH(K683, 'Green_rooibos initial weight'!$A$5:$A$2000,0)),"")</f>
        <v>2.1480000000000001</v>
      </c>
      <c r="M683" s="264">
        <f>IFERROR(L683-(TBIcalc!$Q$9+TBIcalc!$Q$10),"")</f>
        <v>1.8982000000000001</v>
      </c>
      <c r="N683" s="385">
        <f>AVERAGE(Ashed_controlls!$K$12:$K$14)</f>
        <v>2.2816647271287041</v>
      </c>
      <c r="O683" s="264">
        <f t="shared" si="51"/>
        <v>1.854889440149643</v>
      </c>
      <c r="P683" s="264">
        <f>IFERROR(INDEX('Both teabags AfterDry'!$D$2:$D$2000,MATCH(K683,'Both teabags AfterDry'!$A$2:$A$2000,0)),"")</f>
        <v>1.8704000000000001</v>
      </c>
      <c r="Q683" s="264">
        <f>IFERROR(IF(P683&gt;0,P683-(TBIcalc!$Q$9),""),"")</f>
        <v>1.7198</v>
      </c>
      <c r="R683" s="275">
        <f>IFERROR(INDEX('Ashed teabags dry'!$K$2:$K$2000,MATCH(K683,'Ashed teabags dry'!$A$2:$A$2000,0)),"")</f>
        <v>2.497502497502583</v>
      </c>
      <c r="S683" s="275">
        <f t="shared" si="52"/>
        <v>1.6768479520479507</v>
      </c>
      <c r="T683" s="265">
        <f>IF('Dry_Litterbag Placem_Collection'!E24="","",'Dry_Litterbag Placem_Collection'!E24)</f>
        <v>42936</v>
      </c>
      <c r="U683" s="265">
        <f>IF('Dry_Litterbag Placem_Collection'!G24="","",'Dry_Litterbag Placem_Collection'!G24)</f>
        <v>43007</v>
      </c>
      <c r="V683" s="266">
        <f t="shared" si="50"/>
        <v>71</v>
      </c>
      <c r="W683" s="264">
        <f t="shared" si="53"/>
        <v>0.17840000000000011</v>
      </c>
      <c r="X683" s="264">
        <f t="shared" si="54"/>
        <v>0.17804148810169229</v>
      </c>
      <c r="Y683" s="268">
        <f>IFERROR(INDEX(Rainfall_Dry!$O$2:$O$217,MATCH(B683, Rainfall_Dry!$A$2:$A$217,0)),"")</f>
        <v>6.900000125</v>
      </c>
      <c r="Z683" s="257">
        <v>54.080969906906262</v>
      </c>
      <c r="AA683" s="257">
        <v>21.264484651351896</v>
      </c>
      <c r="AB683" s="257">
        <v>24.654545441741845</v>
      </c>
      <c r="AC683" s="258" t="s">
        <v>2657</v>
      </c>
      <c r="AD683" s="257">
        <v>6.8433218334154802</v>
      </c>
      <c r="AE683" t="str">
        <f>IF('WetLitterbags placem_collection'!AB24="","",'WetLitterbags placem_collection'!AB24)</f>
        <v/>
      </c>
      <c r="AF683" t="str">
        <f>IF('WetLitterbags placem_collection'!Z24="","",'WetLitterbags placem_collection'!Z24)</f>
        <v/>
      </c>
      <c r="AG683" s="243" t="str">
        <f>IF('WetLitterbags placem_collection'!AA24="","",'WetLitterbags placem_collection'!AA24)</f>
        <v/>
      </c>
      <c r="AH683" t="str">
        <f>IF('WetLitterbags placem_collection'!AC24="","",'WetLitterbags placem_collection'!AC24)</f>
        <v/>
      </c>
      <c r="AI683">
        <f>IFERROR(AVERAGE('Dry_Litterbag Placem_Collection'!O24,'Dry_Litterbag Placem_Collection'!R24),"")</f>
        <v>19.05</v>
      </c>
      <c r="AJ683" s="268">
        <f>IFERROR(AVERAGE('Dry_Litterbag Placem_Collection'!N24,'Dry_Litterbag Placem_Collection'!Q24),"")</f>
        <v>25.75</v>
      </c>
      <c r="AK683" s="267">
        <f>INDEX(Coordinates!$B$2:$B$197,MATCH(H683,Coordinates!$J$2:$J$197,0))</f>
        <v>-3.3854470029999999</v>
      </c>
      <c r="AL683" s="267">
        <f>INDEX(Coordinates!$C$2:$C$197,MATCH(H683,Coordinates!$J$2:$J$197,0))</f>
        <v>34.818946959999998</v>
      </c>
      <c r="AM683" s="267" t="str">
        <f>IF(ISNUMBER(SEARCH("C", 'Dry_Litterbag Placem_Collection'!V24)),"YES","NO")</f>
        <v>NO</v>
      </c>
      <c r="AN683" s="267" t="str">
        <f>IF(ISNUMBER(SEARCH("H", 'Dry_Litterbag Placem_Collection'!V24)),"YES","NO")</f>
        <v>NO</v>
      </c>
      <c r="AO683" s="267" t="str">
        <f>IF(ISNUMBER(SEARCH("R", 'Dry_Litterbag Placem_Collection'!V24)),"YES","NO")</f>
        <v>NO</v>
      </c>
    </row>
    <row r="684" spans="1:41" ht="15" customHeight="1">
      <c r="A684" s="259" t="s">
        <v>2643</v>
      </c>
      <c r="B684" s="260">
        <f>'Dry_Litterbag Placem_Collection'!A25</f>
        <v>23</v>
      </c>
      <c r="C684" s="260" t="str">
        <f>'Dry_Litterbag Placem_Collection'!B25</f>
        <v>Makao</v>
      </c>
      <c r="D684" s="260" t="s">
        <v>2643</v>
      </c>
      <c r="E684" s="260" t="s">
        <v>2644</v>
      </c>
      <c r="F684" s="260">
        <v>3</v>
      </c>
      <c r="G684" s="260" t="s">
        <v>3803</v>
      </c>
      <c r="H684" s="261" t="str">
        <f>'Dry_Litterbag Placem_Collection'!C25</f>
        <v>Dry_Ag3_T7</v>
      </c>
      <c r="I684" s="270" t="s">
        <v>3630</v>
      </c>
      <c r="J684" s="271" t="s">
        <v>298</v>
      </c>
      <c r="K684" s="260" t="str">
        <f>IF(ISBLANK('Dry_Litterbag Placem_Collection'!M25),"","R"&amp;""&amp;'Dry_Litterbag Placem_Collection'!M25)</f>
        <v/>
      </c>
      <c r="L684" s="264" t="str">
        <f>IFERROR(INDEX('Green_rooibos initial weight'!$C$5:$C$2000,MATCH(K684, 'Green_rooibos initial weight'!$A$5:$A$2000,0)),"")</f>
        <v/>
      </c>
      <c r="M684" s="264" t="str">
        <f>IFERROR(L684-(TBIcalc!$Q$9+TBIcalc!$Q$10),"")</f>
        <v/>
      </c>
      <c r="N684" s="385">
        <f>AVERAGE(Ashed_controlls!$K$12:$K$14)</f>
        <v>2.2816647271287041</v>
      </c>
      <c r="O684" s="264" t="str">
        <f t="shared" si="51"/>
        <v/>
      </c>
      <c r="P684" s="264" t="str">
        <f>IFERROR(INDEX('Both teabags AfterDry'!$D$2:$D$2000,MATCH(K684,'Both teabags AfterDry'!$A$2:$A$2000,0)),"")</f>
        <v/>
      </c>
      <c r="Q684" s="264" t="str">
        <f>IFERROR(IF(P684&gt;0,P684-(TBIcalc!$Q$9),""),"")</f>
        <v/>
      </c>
      <c r="R684" s="275" t="str">
        <f>IFERROR(INDEX('Ashed teabags dry'!$K$2:$K$2000,MATCH(K684,'Ashed teabags dry'!$A$2:$A$2000,0)),"")</f>
        <v/>
      </c>
      <c r="S684" s="275" t="str">
        <f t="shared" si="52"/>
        <v/>
      </c>
      <c r="T684" s="265" t="str">
        <f>IF('Dry_Litterbag Placem_Collection'!E25="","",'Dry_Litterbag Placem_Collection'!E25)</f>
        <v/>
      </c>
      <c r="U684" s="265" t="str">
        <f>IF('Dry_Litterbag Placem_Collection'!G25="","",'Dry_Litterbag Placem_Collection'!G25)</f>
        <v/>
      </c>
      <c r="V684" s="266" t="str">
        <f t="shared" si="50"/>
        <v/>
      </c>
      <c r="W684" s="264" t="str">
        <f t="shared" si="53"/>
        <v/>
      </c>
      <c r="X684" s="264" t="str">
        <f t="shared" si="54"/>
        <v/>
      </c>
      <c r="Y684" s="268" t="str">
        <f>IFERROR(INDEX(Rainfall_Dry!$O$2:$O$217,MATCH(B684, Rainfall_Dry!$A$2:$A$217,0)),"")</f>
        <v/>
      </c>
      <c r="Z684" s="257">
        <v>54.080969906906262</v>
      </c>
      <c r="AA684" s="257">
        <v>21.264484651351896</v>
      </c>
      <c r="AB684" s="257">
        <v>24.654545441741845</v>
      </c>
      <c r="AC684" s="258" t="s">
        <v>2657</v>
      </c>
      <c r="AD684" s="257">
        <v>7.8433218334154802</v>
      </c>
      <c r="AE684" t="str">
        <f>IF('WetLitterbags placem_collection'!AB25="","",'WetLitterbags placem_collection'!AB25)</f>
        <v/>
      </c>
      <c r="AF684" t="str">
        <f>IF('WetLitterbags placem_collection'!Z25="","",'WetLitterbags placem_collection'!Z25)</f>
        <v/>
      </c>
      <c r="AG684" s="243" t="str">
        <f>IF('WetLitterbags placem_collection'!AA25="","",'WetLitterbags placem_collection'!AA25)</f>
        <v/>
      </c>
      <c r="AH684" t="str">
        <f>IF('WetLitterbags placem_collection'!AC25="","",'WetLitterbags placem_collection'!AC25)</f>
        <v/>
      </c>
      <c r="AI684" t="str">
        <f>IFERROR(AVERAGE('Dry_Litterbag Placem_Collection'!O25,'Dry_Litterbag Placem_Collection'!R25),"")</f>
        <v/>
      </c>
      <c r="AJ684" s="268" t="str">
        <f>IFERROR(AVERAGE('Dry_Litterbag Placem_Collection'!N25,'Dry_Litterbag Placem_Collection'!Q25),"")</f>
        <v/>
      </c>
      <c r="AK684" s="267">
        <f>INDEX(Coordinates!$B$2:$B$197,MATCH(H684,Coordinates!$J$2:$J$197,0))</f>
        <v>-3.3854200130000001</v>
      </c>
      <c r="AL684" s="267">
        <f>INDEX(Coordinates!$C$2:$C$197,MATCH(H684,Coordinates!$J$2:$J$197,0))</f>
        <v>34.818856019999998</v>
      </c>
      <c r="AM684" s="267" t="str">
        <f>IF(ISNUMBER(SEARCH("C", 'Dry_Litterbag Placem_Collection'!V25)),"YES","NO")</f>
        <v>NO</v>
      </c>
      <c r="AN684" s="267" t="str">
        <f>IF(ISNUMBER(SEARCH("H", 'Dry_Litterbag Placem_Collection'!V25)),"YES","NO")</f>
        <v>NO</v>
      </c>
      <c r="AO684" s="267" t="str">
        <f>IF(ISNUMBER(SEARCH("R", 'Dry_Litterbag Placem_Collection'!V25)),"YES","NO")</f>
        <v>NO</v>
      </c>
    </row>
    <row r="685" spans="1:41" ht="15" customHeight="1">
      <c r="A685" s="259" t="s">
        <v>2643</v>
      </c>
      <c r="B685" s="260">
        <f>'Dry_Litterbag Placem_Collection'!A26</f>
        <v>24</v>
      </c>
      <c r="C685" s="260" t="str">
        <f>'Dry_Litterbag Placem_Collection'!B26</f>
        <v>Makao</v>
      </c>
      <c r="D685" s="260" t="s">
        <v>2643</v>
      </c>
      <c r="E685" s="260" t="s">
        <v>2644</v>
      </c>
      <c r="F685" s="260">
        <v>3</v>
      </c>
      <c r="G685" s="260" t="s">
        <v>3803</v>
      </c>
      <c r="H685" s="261" t="str">
        <f>'Dry_Litterbag Placem_Collection'!C26</f>
        <v>Dry_Ag3_T8</v>
      </c>
      <c r="I685" s="270" t="s">
        <v>3630</v>
      </c>
      <c r="J685" s="271" t="s">
        <v>298</v>
      </c>
      <c r="K685" s="260" t="str">
        <f>IF(ISBLANK('Dry_Litterbag Placem_Collection'!M26),"","R"&amp;""&amp;'Dry_Litterbag Placem_Collection'!M26)</f>
        <v>R650</v>
      </c>
      <c r="L685" s="264">
        <f>IFERROR(INDEX('Green_rooibos initial weight'!$C$5:$C$2000,MATCH(K685, 'Green_rooibos initial weight'!$A$5:$A$2000,0)),"")</f>
        <v>2.169</v>
      </c>
      <c r="M685" s="264">
        <f>IFERROR(L685-(TBIcalc!$Q$9+TBIcalc!$Q$10),"")</f>
        <v>1.9192</v>
      </c>
      <c r="N685" s="385">
        <f>AVERAGE(Ashed_controlls!$K$12:$K$14)</f>
        <v>2.2816647271287041</v>
      </c>
      <c r="O685" s="264">
        <f t="shared" si="51"/>
        <v>1.8754102905569459</v>
      </c>
      <c r="P685" s="264">
        <f>IFERROR(INDEX('Both teabags AfterDry'!$D$2:$D$2000,MATCH(K685,'Both teabags AfterDry'!$A$2:$A$2000,0)),"")</f>
        <v>1.9756</v>
      </c>
      <c r="Q685" s="264">
        <f>IFERROR(IF(P685&gt;0,P685-(TBIcalc!$Q$9),""),"")</f>
        <v>1.825</v>
      </c>
      <c r="R685" s="275">
        <f>IFERROR(INDEX('Ashed teabags dry'!$K$2:$K$2000,MATCH(K685,'Ashed teabags dry'!$A$2:$A$2000,0)),"")</f>
        <v>3.4467713787080392</v>
      </c>
      <c r="S685" s="275">
        <f t="shared" si="52"/>
        <v>1.7620964223385782</v>
      </c>
      <c r="T685" s="265">
        <f>IF('Dry_Litterbag Placem_Collection'!E26="","",'Dry_Litterbag Placem_Collection'!E26)</f>
        <v>42936</v>
      </c>
      <c r="U685" s="265">
        <f>IF('Dry_Litterbag Placem_Collection'!G26="","",'Dry_Litterbag Placem_Collection'!G26)</f>
        <v>43007</v>
      </c>
      <c r="V685" s="266">
        <f t="shared" si="50"/>
        <v>71</v>
      </c>
      <c r="W685" s="264">
        <f t="shared" si="53"/>
        <v>9.4200000000000061E-2</v>
      </c>
      <c r="X685" s="264">
        <f t="shared" si="54"/>
        <v>0.11331386821836764</v>
      </c>
      <c r="Y685" s="268">
        <f>IFERROR(INDEX(Rainfall_Dry!$O$2:$O$217,MATCH(B685, Rainfall_Dry!$A$2:$A$217,0)),"")</f>
        <v>6.900000125</v>
      </c>
      <c r="Z685" s="257">
        <v>54.080969906906262</v>
      </c>
      <c r="AA685" s="257">
        <v>21.264484651351896</v>
      </c>
      <c r="AB685" s="257">
        <v>24.654545441741845</v>
      </c>
      <c r="AC685" s="258" t="s">
        <v>2657</v>
      </c>
      <c r="AD685" s="257">
        <v>8.8433218334154695</v>
      </c>
      <c r="AE685" t="str">
        <f>IF('WetLitterbags placem_collection'!AB26="","",'WetLitterbags placem_collection'!AB26)</f>
        <v/>
      </c>
      <c r="AF685" t="str">
        <f>IF('WetLitterbags placem_collection'!Z26="","",'WetLitterbags placem_collection'!Z26)</f>
        <v/>
      </c>
      <c r="AG685" s="243" t="str">
        <f>IF('WetLitterbags placem_collection'!AA26="","",'WetLitterbags placem_collection'!AA26)</f>
        <v/>
      </c>
      <c r="AH685" t="str">
        <f>IF('WetLitterbags placem_collection'!AC26="","",'WetLitterbags placem_collection'!AC26)</f>
        <v/>
      </c>
      <c r="AI685">
        <f>IFERROR(AVERAGE('Dry_Litterbag Placem_Collection'!O26,'Dry_Litterbag Placem_Collection'!R26),"")</f>
        <v>15.6</v>
      </c>
      <c r="AJ685" s="268">
        <f>IFERROR(AVERAGE('Dry_Litterbag Placem_Collection'!N26,'Dry_Litterbag Placem_Collection'!Q26),"")</f>
        <v>25.5</v>
      </c>
      <c r="AK685" s="267">
        <f>INDEX(Coordinates!$B$2:$B$197,MATCH(H685,Coordinates!$J$2:$J$197,0))</f>
        <v>-3.3853829649999998</v>
      </c>
      <c r="AL685" s="267">
        <f>INDEX(Coordinates!$C$2:$C$197,MATCH(H685,Coordinates!$J$2:$J$197,0))</f>
        <v>34.818877980000003</v>
      </c>
      <c r="AM685" s="267" t="str">
        <f>IF(ISNUMBER(SEARCH("C", 'Dry_Litterbag Placem_Collection'!V26)),"YES","NO")</f>
        <v>NO</v>
      </c>
      <c r="AN685" s="267" t="str">
        <f>IF(ISNUMBER(SEARCH("H", 'Dry_Litterbag Placem_Collection'!V26)),"YES","NO")</f>
        <v>NO</v>
      </c>
      <c r="AO685" s="267" t="str">
        <f>IF(ISNUMBER(SEARCH("R", 'Dry_Litterbag Placem_Collection'!V26)),"YES","NO")</f>
        <v>NO</v>
      </c>
    </row>
    <row r="686" spans="1:41" ht="15" customHeight="1">
      <c r="A686" s="259" t="s">
        <v>2643</v>
      </c>
      <c r="B686" s="260">
        <f>'Dry_Litterbag Placem_Collection'!A27</f>
        <v>25</v>
      </c>
      <c r="C686" s="260" t="str">
        <f>'Dry_Litterbag Placem_Collection'!B27</f>
        <v>Makao</v>
      </c>
      <c r="D686" s="260" t="s">
        <v>2643</v>
      </c>
      <c r="E686" s="260" t="s">
        <v>2644</v>
      </c>
      <c r="F686" s="260">
        <v>4</v>
      </c>
      <c r="G686" s="260" t="s">
        <v>3804</v>
      </c>
      <c r="H686" s="261" t="str">
        <f>'Dry_Litterbag Placem_Collection'!C27</f>
        <v>Dry_Ag4_T1</v>
      </c>
      <c r="I686" s="270" t="s">
        <v>3630</v>
      </c>
      <c r="J686" s="271" t="s">
        <v>298</v>
      </c>
      <c r="K686" s="260" t="str">
        <f>IF(ISBLANK('Dry_Litterbag Placem_Collection'!M27),"","R"&amp;""&amp;'Dry_Litterbag Placem_Collection'!M27)</f>
        <v>R230</v>
      </c>
      <c r="L686" s="264">
        <f>IFERROR(INDEX('Green_rooibos initial weight'!$C$5:$C$2000,MATCH(K686, 'Green_rooibos initial weight'!$A$5:$A$2000,0)),"")</f>
        <v>2.2589999999999999</v>
      </c>
      <c r="M686" s="264">
        <f>IFERROR(L686-(TBIcalc!$Q$9+TBIcalc!$Q$10),"")</f>
        <v>2.0091999999999999</v>
      </c>
      <c r="N686" s="385">
        <f>AVERAGE(Ashed_controlls!$K$12:$K$14)</f>
        <v>2.2816647271287041</v>
      </c>
      <c r="O686" s="264">
        <f t="shared" si="51"/>
        <v>1.9633567923025299</v>
      </c>
      <c r="P686" s="264">
        <f>IFERROR(INDEX('Both teabags AfterDry'!$D$2:$D$2000,MATCH(K686,'Both teabags AfterDry'!$A$2:$A$2000,0)),"")</f>
        <v>2.0360999999999998</v>
      </c>
      <c r="Q686" s="264">
        <f>IFERROR(IF(P686&gt;0,P686-(TBIcalc!$Q$9),""),"")</f>
        <v>1.8854999999999997</v>
      </c>
      <c r="R686" s="275">
        <f>IFERROR(INDEX('Ashed teabags dry'!$K$2:$K$2000,MATCH(K686,'Ashed teabags dry'!$A$2:$A$2000,0)),"")</f>
        <v>3.0508474576268232</v>
      </c>
      <c r="S686" s="275">
        <f t="shared" si="52"/>
        <v>1.827976271186446</v>
      </c>
      <c r="T686" s="265">
        <f>IF('Dry_Litterbag Placem_Collection'!E27="","",'Dry_Litterbag Placem_Collection'!E27)</f>
        <v>42936</v>
      </c>
      <c r="U686" s="265">
        <f>IF('Dry_Litterbag Placem_Collection'!G27="","",'Dry_Litterbag Placem_Collection'!G27)</f>
        <v>43007</v>
      </c>
      <c r="V686" s="266">
        <f t="shared" si="50"/>
        <v>71</v>
      </c>
      <c r="W686" s="264">
        <f t="shared" si="53"/>
        <v>0.12370000000000014</v>
      </c>
      <c r="X686" s="264">
        <f t="shared" si="54"/>
        <v>0.1353805211160839</v>
      </c>
      <c r="Y686" s="268">
        <f>IFERROR(INDEX(Rainfall_Dry!$O$2:$O$217,MATCH(B686, Rainfall_Dry!$A$2:$A$217,0)),"")</f>
        <v>6.900000125</v>
      </c>
      <c r="Z686" s="257">
        <v>51.960000000000008</v>
      </c>
      <c r="AA686" s="257">
        <v>18.919999999999995</v>
      </c>
      <c r="AB686" s="257">
        <v>29.120000000000005</v>
      </c>
      <c r="AC686" s="258" t="s">
        <v>2657</v>
      </c>
      <c r="AD686" s="257">
        <v>1.85293247905372</v>
      </c>
      <c r="AE686" t="str">
        <f>IF('WetLitterbags placem_collection'!AB27="","",'WetLitterbags placem_collection'!AB27)</f>
        <v/>
      </c>
      <c r="AF686" t="str">
        <f>IF('WetLitterbags placem_collection'!Z27="","",'WetLitterbags placem_collection'!Z27)</f>
        <v/>
      </c>
      <c r="AG686" s="243" t="str">
        <f>IF('WetLitterbags placem_collection'!AA27="","",'WetLitterbags placem_collection'!AA27)</f>
        <v/>
      </c>
      <c r="AH686" t="str">
        <f>IF('WetLitterbags placem_collection'!AC27="","",'WetLitterbags placem_collection'!AC27)</f>
        <v/>
      </c>
      <c r="AI686">
        <f>IFERROR(AVERAGE('Dry_Litterbag Placem_Collection'!O27,'Dry_Litterbag Placem_Collection'!R27),"")</f>
        <v>9.85</v>
      </c>
      <c r="AJ686" s="268">
        <f>IFERROR(AVERAGE('Dry_Litterbag Placem_Collection'!N27,'Dry_Litterbag Placem_Collection'!Q27),"")</f>
        <v>25.4</v>
      </c>
      <c r="AK686" s="267">
        <f>INDEX(Coordinates!$B$2:$B$197,MATCH(H686,Coordinates!$J$2:$J$197,0))</f>
        <v>-3.3849129919999998</v>
      </c>
      <c r="AL686" s="267">
        <f>INDEX(Coordinates!$C$2:$C$197,MATCH(H686,Coordinates!$J$2:$J$197,0))</f>
        <v>34.818899020000003</v>
      </c>
      <c r="AM686" s="267" t="str">
        <f>IF(ISNUMBER(SEARCH("C", 'Dry_Litterbag Placem_Collection'!V27)),"YES","NO")</f>
        <v>NO</v>
      </c>
      <c r="AN686" s="267" t="str">
        <f>IF(ISNUMBER(SEARCH("H", 'Dry_Litterbag Placem_Collection'!V27)),"YES","NO")</f>
        <v>NO</v>
      </c>
      <c r="AO686" s="267" t="str">
        <f>IF(ISNUMBER(SEARCH("R", 'Dry_Litterbag Placem_Collection'!V27)),"YES","NO")</f>
        <v>NO</v>
      </c>
    </row>
    <row r="687" spans="1:41" ht="15" customHeight="1">
      <c r="A687" s="259" t="s">
        <v>2643</v>
      </c>
      <c r="B687" s="260">
        <f>'Dry_Litterbag Placem_Collection'!A28</f>
        <v>26</v>
      </c>
      <c r="C687" s="260" t="str">
        <f>'Dry_Litterbag Placem_Collection'!B28</f>
        <v>Makao</v>
      </c>
      <c r="D687" s="260" t="s">
        <v>2643</v>
      </c>
      <c r="E687" s="260" t="s">
        <v>2644</v>
      </c>
      <c r="F687" s="260">
        <v>4</v>
      </c>
      <c r="G687" s="260" t="s">
        <v>3804</v>
      </c>
      <c r="H687" s="261" t="str">
        <f>'Dry_Litterbag Placem_Collection'!C28</f>
        <v>Dry_Ag4_T2</v>
      </c>
      <c r="I687" s="270" t="s">
        <v>3630</v>
      </c>
      <c r="J687" s="271" t="s">
        <v>298</v>
      </c>
      <c r="K687" s="260" t="str">
        <f>IF(ISBLANK('Dry_Litterbag Placem_Collection'!M28),"","R"&amp;""&amp;'Dry_Litterbag Placem_Collection'!M28)</f>
        <v>R642</v>
      </c>
      <c r="L687" s="264">
        <f>IFERROR(INDEX('Green_rooibos initial weight'!$C$5:$C$2000,MATCH(K687, 'Green_rooibos initial weight'!$A$5:$A$2000,0)),"")</f>
        <v>2.14</v>
      </c>
      <c r="M687" s="264">
        <f>IFERROR(L687-(TBIcalc!$Q$9+TBIcalc!$Q$10),"")</f>
        <v>1.8902000000000001</v>
      </c>
      <c r="N687" s="385">
        <f>AVERAGE(Ashed_controlls!$K$12:$K$14)</f>
        <v>2.2816647271287041</v>
      </c>
      <c r="O687" s="264">
        <f t="shared" si="51"/>
        <v>1.8470719733278134</v>
      </c>
      <c r="P687" s="264">
        <f>IFERROR(INDEX('Both teabags AfterDry'!$D$2:$D$2000,MATCH(K687,'Both teabags AfterDry'!$A$2:$A$2000,0)),"")</f>
        <v>1.9686999999999999</v>
      </c>
      <c r="Q687" s="264">
        <f>IFERROR(IF(P687&gt;0,P687-(TBIcalc!$Q$9),""),"")</f>
        <v>1.8180999999999998</v>
      </c>
      <c r="R687" s="275">
        <f>IFERROR(INDEX('Ashed teabags dry'!$K$2:$K$2000,MATCH(K687,'Ashed teabags dry'!$A$2:$A$2000,0)),"")</f>
        <v>2.1136683889149204</v>
      </c>
      <c r="S687" s="275">
        <f t="shared" si="52"/>
        <v>1.7796713950211376</v>
      </c>
      <c r="T687" s="265">
        <f>IF('Dry_Litterbag Placem_Collection'!E28="","",'Dry_Litterbag Placem_Collection'!E28)</f>
        <v>42936</v>
      </c>
      <c r="U687" s="265">
        <f>IF('Dry_Litterbag Placem_Collection'!G28="","",'Dry_Litterbag Placem_Collection'!G28)</f>
        <v>43007</v>
      </c>
      <c r="V687" s="266">
        <f t="shared" si="50"/>
        <v>71</v>
      </c>
      <c r="W687" s="264">
        <f t="shared" si="53"/>
        <v>7.2100000000000275E-2</v>
      </c>
      <c r="X687" s="264">
        <f t="shared" si="54"/>
        <v>6.7400578306675785E-2</v>
      </c>
      <c r="Y687" s="268">
        <f>IFERROR(INDEX(Rainfall_Dry!$O$2:$O$217,MATCH(B687, Rainfall_Dry!$A$2:$A$217,0)),"")</f>
        <v>6.900000125</v>
      </c>
      <c r="Z687" s="257">
        <v>51.960000000000008</v>
      </c>
      <c r="AA687" s="257">
        <v>18.919999999999995</v>
      </c>
      <c r="AB687" s="257">
        <v>29.120000000000005</v>
      </c>
      <c r="AC687" s="258" t="s">
        <v>2657</v>
      </c>
      <c r="AD687" s="257">
        <v>2.8529324790537198</v>
      </c>
      <c r="AE687" t="str">
        <f>IF('WetLitterbags placem_collection'!AB28="","",'WetLitterbags placem_collection'!AB28)</f>
        <v/>
      </c>
      <c r="AF687" t="str">
        <f>IF('WetLitterbags placem_collection'!Z28="","",'WetLitterbags placem_collection'!Z28)</f>
        <v/>
      </c>
      <c r="AG687" s="243" t="str">
        <f>IF('WetLitterbags placem_collection'!AA28="","",'WetLitterbags placem_collection'!AA28)</f>
        <v/>
      </c>
      <c r="AH687" t="str">
        <f>IF('WetLitterbags placem_collection'!AC28="","",'WetLitterbags placem_collection'!AC28)</f>
        <v/>
      </c>
      <c r="AI687">
        <f>IFERROR(AVERAGE('Dry_Litterbag Placem_Collection'!O28,'Dry_Litterbag Placem_Collection'!R28),"")</f>
        <v>8.1</v>
      </c>
      <c r="AJ687" s="268">
        <f>IFERROR(AVERAGE('Dry_Litterbag Placem_Collection'!N28,'Dry_Litterbag Placem_Collection'!Q28),"")</f>
        <v>25.85</v>
      </c>
      <c r="AK687" s="267">
        <f>INDEX(Coordinates!$B$2:$B$197,MATCH(H687,Coordinates!$J$2:$J$197,0))</f>
        <v>-3.3849689999999999</v>
      </c>
      <c r="AL687" s="267">
        <f>INDEX(Coordinates!$C$2:$C$197,MATCH(H687,Coordinates!$J$2:$J$197,0))</f>
        <v>34.818908</v>
      </c>
      <c r="AM687" s="267" t="str">
        <f>IF(ISNUMBER(SEARCH("C", 'Dry_Litterbag Placem_Collection'!V28)),"YES","NO")</f>
        <v>NO</v>
      </c>
      <c r="AN687" s="267" t="str">
        <f>IF(ISNUMBER(SEARCH("H", 'Dry_Litterbag Placem_Collection'!V28)),"YES","NO")</f>
        <v>NO</v>
      </c>
      <c r="AO687" s="267" t="str">
        <f>IF(ISNUMBER(SEARCH("R", 'Dry_Litterbag Placem_Collection'!V28)),"YES","NO")</f>
        <v>NO</v>
      </c>
    </row>
    <row r="688" spans="1:41" ht="15" customHeight="1">
      <c r="A688" s="259" t="s">
        <v>2643</v>
      </c>
      <c r="B688" s="260">
        <f>'Dry_Litterbag Placem_Collection'!A29</f>
        <v>27</v>
      </c>
      <c r="C688" s="260" t="str">
        <f>'Dry_Litterbag Placem_Collection'!B29</f>
        <v>Makao</v>
      </c>
      <c r="D688" s="260" t="s">
        <v>2643</v>
      </c>
      <c r="E688" s="260" t="s">
        <v>2644</v>
      </c>
      <c r="F688" s="260">
        <v>4</v>
      </c>
      <c r="G688" s="260" t="s">
        <v>3804</v>
      </c>
      <c r="H688" s="261" t="str">
        <f>'Dry_Litterbag Placem_Collection'!C29</f>
        <v>Dry_Ag4_T3</v>
      </c>
      <c r="I688" s="270" t="s">
        <v>3630</v>
      </c>
      <c r="J688" s="271" t="s">
        <v>298</v>
      </c>
      <c r="K688" s="260" t="str">
        <f>IF(ISBLANK('Dry_Litterbag Placem_Collection'!M29),"","R"&amp;""&amp;'Dry_Litterbag Placem_Collection'!M29)</f>
        <v>R199</v>
      </c>
      <c r="L688" s="264">
        <f>IFERROR(INDEX('Green_rooibos initial weight'!$C$5:$C$2000,MATCH(K688, 'Green_rooibos initial weight'!$A$5:$A$2000,0)),"")</f>
        <v>2.1850000000000001</v>
      </c>
      <c r="M688" s="264">
        <f>IFERROR(L688-(TBIcalc!$Q$9+TBIcalc!$Q$10),"")</f>
        <v>1.9352</v>
      </c>
      <c r="N688" s="385">
        <f>AVERAGE(Ashed_controlls!$K$12:$K$14)</f>
        <v>2.2816647271287041</v>
      </c>
      <c r="O688" s="264">
        <f t="shared" si="51"/>
        <v>1.8910452242006053</v>
      </c>
      <c r="P688" s="264" t="str">
        <f>IFERROR(INDEX('Both teabags AfterDry'!$D$2:$D$2000,MATCH(K688,'Both teabags AfterDry'!$A$2:$A$2000,0)),"")</f>
        <v/>
      </c>
      <c r="Q688" s="264" t="str">
        <f>IFERROR(IF(P688&gt;0,P688-(TBIcalc!$Q$9),""),"")</f>
        <v/>
      </c>
      <c r="R688" s="275" t="str">
        <f>IFERROR(INDEX('Ashed teabags dry'!$K$2:$K$2000,MATCH(K688,'Ashed teabags dry'!$A$2:$A$2000,0)),"")</f>
        <v/>
      </c>
      <c r="S688" s="275" t="str">
        <f t="shared" si="52"/>
        <v/>
      </c>
      <c r="T688" s="265">
        <f>IF('Dry_Litterbag Placem_Collection'!E29="","",'Dry_Litterbag Placem_Collection'!E29)</f>
        <v>42936</v>
      </c>
      <c r="U688" s="265">
        <f>IF('Dry_Litterbag Placem_Collection'!G29="","",'Dry_Litterbag Placem_Collection'!G29)</f>
        <v>43007</v>
      </c>
      <c r="V688" s="266">
        <f t="shared" si="50"/>
        <v>71</v>
      </c>
      <c r="W688" s="264" t="str">
        <f t="shared" si="53"/>
        <v/>
      </c>
      <c r="X688" s="264" t="str">
        <f t="shared" si="54"/>
        <v/>
      </c>
      <c r="Y688" s="268">
        <f>IFERROR(INDEX(Rainfall_Dry!$O$2:$O$217,MATCH(B688, Rainfall_Dry!$A$2:$A$217,0)),"")</f>
        <v>6.900000125</v>
      </c>
      <c r="Z688" s="257">
        <v>51.960000000000008</v>
      </c>
      <c r="AA688" s="257">
        <v>18.919999999999995</v>
      </c>
      <c r="AB688" s="257">
        <v>29.120000000000005</v>
      </c>
      <c r="AC688" s="258" t="s">
        <v>2657</v>
      </c>
      <c r="AD688" s="257">
        <v>3.8529324790537198</v>
      </c>
      <c r="AE688" t="str">
        <f>IF('WetLitterbags placem_collection'!AB29="","",'WetLitterbags placem_collection'!AB29)</f>
        <v/>
      </c>
      <c r="AF688" t="str">
        <f>IF('WetLitterbags placem_collection'!Z29="","",'WetLitterbags placem_collection'!Z29)</f>
        <v/>
      </c>
      <c r="AG688" s="243" t="str">
        <f>IF('WetLitterbags placem_collection'!AA29="","",'WetLitterbags placem_collection'!AA29)</f>
        <v/>
      </c>
      <c r="AH688" t="str">
        <f>IF('WetLitterbags placem_collection'!AC29="","",'WetLitterbags placem_collection'!AC29)</f>
        <v/>
      </c>
      <c r="AI688">
        <f>IFERROR(AVERAGE('Dry_Litterbag Placem_Collection'!O29,'Dry_Litterbag Placem_Collection'!R29),"")</f>
        <v>14.1</v>
      </c>
      <c r="AJ688" s="268">
        <f>IFERROR(AVERAGE('Dry_Litterbag Placem_Collection'!N29,'Dry_Litterbag Placem_Collection'!Q29),"")</f>
        <v>26.15</v>
      </c>
      <c r="AK688" s="267">
        <f>INDEX(Coordinates!$B$2:$B$197,MATCH(H688,Coordinates!$J$2:$J$197,0))</f>
        <v>-3.3849350359999999</v>
      </c>
      <c r="AL688" s="267">
        <f>INDEX(Coordinates!$C$2:$C$197,MATCH(H688,Coordinates!$J$2:$J$197,0))</f>
        <v>34.818943019999999</v>
      </c>
      <c r="AM688" s="267" t="str">
        <f>IF(ISNUMBER(SEARCH("C", 'Dry_Litterbag Placem_Collection'!V29)),"YES","NO")</f>
        <v>NO</v>
      </c>
      <c r="AN688" s="267" t="str">
        <f>IF(ISNUMBER(SEARCH("H", 'Dry_Litterbag Placem_Collection'!V29)),"YES","NO")</f>
        <v>NO</v>
      </c>
      <c r="AO688" s="267" t="str">
        <f>IF(ISNUMBER(SEARCH("R", 'Dry_Litterbag Placem_Collection'!V29)),"YES","NO")</f>
        <v>NO</v>
      </c>
    </row>
    <row r="689" spans="1:41" ht="15" customHeight="1">
      <c r="A689" s="259" t="s">
        <v>2643</v>
      </c>
      <c r="B689" s="260">
        <f>'Dry_Litterbag Placem_Collection'!A30</f>
        <v>28</v>
      </c>
      <c r="C689" s="260" t="str">
        <f>'Dry_Litterbag Placem_Collection'!B30</f>
        <v>Makao</v>
      </c>
      <c r="D689" s="260" t="s">
        <v>2643</v>
      </c>
      <c r="E689" s="260" t="s">
        <v>2644</v>
      </c>
      <c r="F689" s="260">
        <v>4</v>
      </c>
      <c r="G689" s="260" t="s">
        <v>3804</v>
      </c>
      <c r="H689" s="261" t="str">
        <f>'Dry_Litterbag Placem_Collection'!C30</f>
        <v>Dry_Ag4_T4</v>
      </c>
      <c r="I689" s="270" t="s">
        <v>3630</v>
      </c>
      <c r="J689" s="271" t="s">
        <v>298</v>
      </c>
      <c r="K689" s="260" t="str">
        <f>IF(ISBLANK('Dry_Litterbag Placem_Collection'!M30),"","R"&amp;""&amp;'Dry_Litterbag Placem_Collection'!M30)</f>
        <v>R162</v>
      </c>
      <c r="L689" s="264">
        <f>IFERROR(INDEX('Green_rooibos initial weight'!$C$5:$C$2000,MATCH(K689, 'Green_rooibos initial weight'!$A$5:$A$2000,0)),"")</f>
        <v>2.242</v>
      </c>
      <c r="M689" s="264">
        <f>IFERROR(L689-(TBIcalc!$Q$9+TBIcalc!$Q$10),"")</f>
        <v>1.9922</v>
      </c>
      <c r="N689" s="385">
        <f>AVERAGE(Ashed_controlls!$K$12:$K$14)</f>
        <v>2.2816647271287041</v>
      </c>
      <c r="O689" s="264">
        <f t="shared" si="51"/>
        <v>1.9467446753061419</v>
      </c>
      <c r="P689" s="264">
        <f>IFERROR(INDEX('Both teabags AfterDry'!$D$2:$D$2000,MATCH(K689,'Both teabags AfterDry'!$A$2:$A$2000,0)),"")</f>
        <v>1.964</v>
      </c>
      <c r="Q689" s="264">
        <f>IFERROR(IF(P689&gt;0,P689-(TBIcalc!$Q$9),""),"")</f>
        <v>1.8133999999999999</v>
      </c>
      <c r="R689" s="275">
        <f>IFERROR(INDEX('Ashed teabags dry'!$K$2:$K$2000,MATCH(K689,'Ashed teabags dry'!$A$2:$A$2000,0)),"")</f>
        <v>3.596059113301163</v>
      </c>
      <c r="S689" s="275">
        <f t="shared" si="52"/>
        <v>1.7481890640393967</v>
      </c>
      <c r="T689" s="265">
        <f>IF('Dry_Litterbag Placem_Collection'!E30="","",'Dry_Litterbag Placem_Collection'!E30)</f>
        <v>42936</v>
      </c>
      <c r="U689" s="265">
        <f>IF('Dry_Litterbag Placem_Collection'!G30="","",'Dry_Litterbag Placem_Collection'!G30)</f>
        <v>43007</v>
      </c>
      <c r="V689" s="266">
        <f t="shared" si="50"/>
        <v>71</v>
      </c>
      <c r="W689" s="264">
        <f t="shared" si="53"/>
        <v>0.17880000000000007</v>
      </c>
      <c r="X689" s="264">
        <f t="shared" si="54"/>
        <v>0.19855561126674526</v>
      </c>
      <c r="Y689" s="268">
        <f>IFERROR(INDEX(Rainfall_Dry!$O$2:$O$217,MATCH(B689, Rainfall_Dry!$A$2:$A$217,0)),"")</f>
        <v>6.900000125</v>
      </c>
      <c r="Z689" s="257">
        <v>51.960000000000008</v>
      </c>
      <c r="AA689" s="257">
        <v>18.919999999999995</v>
      </c>
      <c r="AB689" s="257">
        <v>29.120000000000005</v>
      </c>
      <c r="AC689" s="258" t="s">
        <v>2657</v>
      </c>
      <c r="AD689" s="257">
        <v>4.8529324790537203</v>
      </c>
      <c r="AE689" t="str">
        <f>IF('WetLitterbags placem_collection'!AB30="","",'WetLitterbags placem_collection'!AB30)</f>
        <v/>
      </c>
      <c r="AF689" t="str">
        <f>IF('WetLitterbags placem_collection'!Z30="","",'WetLitterbags placem_collection'!Z30)</f>
        <v/>
      </c>
      <c r="AG689" s="243" t="str">
        <f>IF('WetLitterbags placem_collection'!AA30="","",'WetLitterbags placem_collection'!AA30)</f>
        <v/>
      </c>
      <c r="AH689" t="str">
        <f>IF('WetLitterbags placem_collection'!AC30="","",'WetLitterbags placem_collection'!AC30)</f>
        <v/>
      </c>
      <c r="AI689">
        <f>IFERROR(AVERAGE('Dry_Litterbag Placem_Collection'!O30,'Dry_Litterbag Placem_Collection'!R30),"")</f>
        <v>9.1000000000000014</v>
      </c>
      <c r="AJ689" s="268">
        <f>IFERROR(AVERAGE('Dry_Litterbag Placem_Collection'!N30,'Dry_Litterbag Placem_Collection'!Q30),"")</f>
        <v>25.700000000000003</v>
      </c>
      <c r="AK689" s="267">
        <f>INDEX(Coordinates!$B$2:$B$197,MATCH(H689,Coordinates!$J$2:$J$197,0))</f>
        <v>-3.3850070369999998</v>
      </c>
      <c r="AL689" s="267">
        <f>INDEX(Coordinates!$C$2:$C$197,MATCH(H689,Coordinates!$J$2:$J$197,0))</f>
        <v>34.818888960000002</v>
      </c>
      <c r="AM689" s="267" t="str">
        <f>IF(ISNUMBER(SEARCH("C", 'Dry_Litterbag Placem_Collection'!V30)),"YES","NO")</f>
        <v>NO</v>
      </c>
      <c r="AN689" s="267" t="str">
        <f>IF(ISNUMBER(SEARCH("H", 'Dry_Litterbag Placem_Collection'!V30)),"YES","NO")</f>
        <v>NO</v>
      </c>
      <c r="AO689" s="267" t="str">
        <f>IF(ISNUMBER(SEARCH("R", 'Dry_Litterbag Placem_Collection'!V30)),"YES","NO")</f>
        <v>NO</v>
      </c>
    </row>
    <row r="690" spans="1:41" ht="15" customHeight="1">
      <c r="A690" s="259" t="s">
        <v>2643</v>
      </c>
      <c r="B690" s="260">
        <f>'Dry_Litterbag Placem_Collection'!A31</f>
        <v>29</v>
      </c>
      <c r="C690" s="260" t="str">
        <f>'Dry_Litterbag Placem_Collection'!B31</f>
        <v>Makao</v>
      </c>
      <c r="D690" s="260" t="s">
        <v>2643</v>
      </c>
      <c r="E690" s="260" t="s">
        <v>2644</v>
      </c>
      <c r="F690" s="260">
        <v>4</v>
      </c>
      <c r="G690" s="260" t="s">
        <v>3804</v>
      </c>
      <c r="H690" s="261" t="str">
        <f>'Dry_Litterbag Placem_Collection'!C31</f>
        <v>Dry_Ag4_T5</v>
      </c>
      <c r="I690" s="270" t="s">
        <v>3630</v>
      </c>
      <c r="J690" s="271" t="s">
        <v>298</v>
      </c>
      <c r="K690" s="260" t="str">
        <f>IF(ISBLANK('Dry_Litterbag Placem_Collection'!M31),"","R"&amp;""&amp;'Dry_Litterbag Placem_Collection'!M31)</f>
        <v>R163</v>
      </c>
      <c r="L690" s="264">
        <f>IFERROR(INDEX('Green_rooibos initial weight'!$C$5:$C$2000,MATCH(K690, 'Green_rooibos initial weight'!$A$5:$A$2000,0)),"")</f>
        <v>2.23</v>
      </c>
      <c r="M690" s="264">
        <f>IFERROR(L690-(TBIcalc!$Q$9+TBIcalc!$Q$10),"")</f>
        <v>1.9802</v>
      </c>
      <c r="N690" s="385">
        <f>AVERAGE(Ashed_controlls!$K$12:$K$14)</f>
        <v>2.2816647271287041</v>
      </c>
      <c r="O690" s="264">
        <f t="shared" si="51"/>
        <v>1.9350184750733974</v>
      </c>
      <c r="P690" s="264">
        <f>IFERROR(INDEX('Both teabags AfterDry'!$D$2:$D$2000,MATCH(K690,'Both teabags AfterDry'!$A$2:$A$2000,0)),"")</f>
        <v>1.9955000000000001</v>
      </c>
      <c r="Q690" s="264">
        <f>IFERROR(IF(P690&gt;0,P690-(TBIcalc!$Q$9),""),"")</f>
        <v>1.8449</v>
      </c>
      <c r="R690" s="275">
        <f>IFERROR(INDEX('Ashed teabags dry'!$K$2:$K$2000,MATCH(K690,'Ashed teabags dry'!$A$2:$A$2000,0)),"")</f>
        <v>2.8292682926832247</v>
      </c>
      <c r="S690" s="275">
        <f t="shared" si="52"/>
        <v>1.7927028292682872</v>
      </c>
      <c r="T690" s="265">
        <f>IF('Dry_Litterbag Placem_Collection'!E31="","",'Dry_Litterbag Placem_Collection'!E31)</f>
        <v>42936</v>
      </c>
      <c r="U690" s="265">
        <f>IF('Dry_Litterbag Placem_Collection'!G31="","",'Dry_Litterbag Placem_Collection'!G31)</f>
        <v>43007</v>
      </c>
      <c r="V690" s="266">
        <f t="shared" si="50"/>
        <v>71</v>
      </c>
      <c r="W690" s="264">
        <f t="shared" si="53"/>
        <v>0.13529999999999998</v>
      </c>
      <c r="X690" s="264">
        <f t="shared" si="54"/>
        <v>0.14231564580511025</v>
      </c>
      <c r="Y690" s="268">
        <f>IFERROR(INDEX(Rainfall_Dry!$O$2:$O$217,MATCH(B690, Rainfall_Dry!$A$2:$A$217,0)),"")</f>
        <v>6.900000125</v>
      </c>
      <c r="Z690" s="257">
        <v>51.960000000000008</v>
      </c>
      <c r="AA690" s="257">
        <v>18.919999999999995</v>
      </c>
      <c r="AB690" s="257">
        <v>29.120000000000005</v>
      </c>
      <c r="AC690" s="258" t="s">
        <v>2657</v>
      </c>
      <c r="AD690" s="257">
        <v>5.8529324790537203</v>
      </c>
      <c r="AE690" t="str">
        <f>IF('WetLitterbags placem_collection'!AB31="","",'WetLitterbags placem_collection'!AB31)</f>
        <v/>
      </c>
      <c r="AF690" t="str">
        <f>IF('WetLitterbags placem_collection'!Z31="","",'WetLitterbags placem_collection'!Z31)</f>
        <v/>
      </c>
      <c r="AG690" s="243" t="str">
        <f>IF('WetLitterbags placem_collection'!AA31="","",'WetLitterbags placem_collection'!AA31)</f>
        <v/>
      </c>
      <c r="AH690" t="str">
        <f>IF('WetLitterbags placem_collection'!AC31="","",'WetLitterbags placem_collection'!AC31)</f>
        <v/>
      </c>
      <c r="AI690">
        <f>IFERROR(AVERAGE('Dry_Litterbag Placem_Collection'!O31,'Dry_Litterbag Placem_Collection'!R31),"")</f>
        <v>15.15</v>
      </c>
      <c r="AJ690" s="268">
        <f>IFERROR(AVERAGE('Dry_Litterbag Placem_Collection'!N31,'Dry_Litterbag Placem_Collection'!Q31),"")</f>
        <v>25.65</v>
      </c>
      <c r="AK690" s="267">
        <f>INDEX(Coordinates!$B$2:$B$197,MATCH(H690,Coordinates!$J$2:$J$197,0))</f>
        <v>-3.3849480280000002</v>
      </c>
      <c r="AL690" s="267">
        <f>INDEX(Coordinates!$C$2:$C$197,MATCH(H690,Coordinates!$J$2:$J$197,0))</f>
        <v>34.818854010000003</v>
      </c>
      <c r="AM690" s="267" t="str">
        <f>IF(ISNUMBER(SEARCH("C", 'Dry_Litterbag Placem_Collection'!V31)),"YES","NO")</f>
        <v>NO</v>
      </c>
      <c r="AN690" s="267" t="str">
        <f>IF(ISNUMBER(SEARCH("H", 'Dry_Litterbag Placem_Collection'!V31)),"YES","NO")</f>
        <v>NO</v>
      </c>
      <c r="AO690" s="267" t="str">
        <f>IF(ISNUMBER(SEARCH("R", 'Dry_Litterbag Placem_Collection'!V31)),"YES","NO")</f>
        <v>NO</v>
      </c>
    </row>
    <row r="691" spans="1:41" ht="15" customHeight="1">
      <c r="A691" s="259" t="s">
        <v>2643</v>
      </c>
      <c r="B691" s="260">
        <f>'Dry_Litterbag Placem_Collection'!A32</f>
        <v>30</v>
      </c>
      <c r="C691" s="260" t="str">
        <f>'Dry_Litterbag Placem_Collection'!B32</f>
        <v>Makao</v>
      </c>
      <c r="D691" s="260" t="s">
        <v>2643</v>
      </c>
      <c r="E691" s="260" t="s">
        <v>2644</v>
      </c>
      <c r="F691" s="260">
        <v>4</v>
      </c>
      <c r="G691" s="260" t="s">
        <v>3804</v>
      </c>
      <c r="H691" s="261" t="str">
        <f>'Dry_Litterbag Placem_Collection'!C32</f>
        <v>Dry_Ag4_T6</v>
      </c>
      <c r="I691" s="270" t="s">
        <v>3630</v>
      </c>
      <c r="J691" s="271" t="s">
        <v>298</v>
      </c>
      <c r="K691" s="260" t="str">
        <f>IF(ISBLANK('Dry_Litterbag Placem_Collection'!M32),"","R"&amp;""&amp;'Dry_Litterbag Placem_Collection'!M32)</f>
        <v>R345</v>
      </c>
      <c r="L691" s="264">
        <f>IFERROR(INDEX('Green_rooibos initial weight'!$C$5:$C$2000,MATCH(K691, 'Green_rooibos initial weight'!$A$5:$A$2000,0)),"")</f>
        <v>2.2599999999999998</v>
      </c>
      <c r="M691" s="264">
        <f>IFERROR(L691-(TBIcalc!$Q$9+TBIcalc!$Q$10),"")</f>
        <v>2.0101999999999998</v>
      </c>
      <c r="N691" s="385">
        <f>AVERAGE(Ashed_controlls!$K$12:$K$14)</f>
        <v>2.2816647271287041</v>
      </c>
      <c r="O691" s="264">
        <f t="shared" si="51"/>
        <v>1.9643339756552585</v>
      </c>
      <c r="P691" s="264">
        <f>IFERROR(INDEX('Both teabags AfterDry'!$D$2:$D$2000,MATCH(K691,'Both teabags AfterDry'!$A$2:$A$2000,0)),"")</f>
        <v>2.0409000000000002</v>
      </c>
      <c r="Q691" s="264">
        <f>IFERROR(IF(P691&gt;0,P691-(TBIcalc!$Q$9),""),"")</f>
        <v>1.8903000000000001</v>
      </c>
      <c r="R691" s="275">
        <f>IFERROR(INDEX('Ashed teabags dry'!$K$2:$K$2000,MATCH(K691,'Ashed teabags dry'!$A$2:$A$2000,0)),"")</f>
        <v>2.2449975597850815</v>
      </c>
      <c r="S691" s="275">
        <f t="shared" si="52"/>
        <v>1.8478628111273827</v>
      </c>
      <c r="T691" s="265">
        <f>IF('Dry_Litterbag Placem_Collection'!E32="","",'Dry_Litterbag Placem_Collection'!E32)</f>
        <v>42936</v>
      </c>
      <c r="U691" s="265">
        <f>IF('Dry_Litterbag Placem_Collection'!G32="","",'Dry_Litterbag Placem_Collection'!G32)</f>
        <v>43007</v>
      </c>
      <c r="V691" s="266">
        <f t="shared" si="50"/>
        <v>71</v>
      </c>
      <c r="W691" s="264">
        <f t="shared" si="53"/>
        <v>0.11989999999999967</v>
      </c>
      <c r="X691" s="264">
        <f t="shared" si="54"/>
        <v>0.11647116452787576</v>
      </c>
      <c r="Y691" s="268">
        <f>IFERROR(INDEX(Rainfall_Dry!$O$2:$O$217,MATCH(B691, Rainfall_Dry!$A$2:$A$217,0)),"")</f>
        <v>6.900000125</v>
      </c>
      <c r="Z691" s="257">
        <v>51.960000000000008</v>
      </c>
      <c r="AA691" s="257">
        <v>18.919999999999995</v>
      </c>
      <c r="AB691" s="257">
        <v>29.120000000000005</v>
      </c>
      <c r="AC691" s="258" t="s">
        <v>2657</v>
      </c>
      <c r="AD691" s="257">
        <v>6.8529324790537203</v>
      </c>
      <c r="AE691" t="str">
        <f>IF('WetLitterbags placem_collection'!AB32="","",'WetLitterbags placem_collection'!AB32)</f>
        <v/>
      </c>
      <c r="AF691" t="str">
        <f>IF('WetLitterbags placem_collection'!Z32="","",'WetLitterbags placem_collection'!Z32)</f>
        <v/>
      </c>
      <c r="AG691" s="243" t="str">
        <f>IF('WetLitterbags placem_collection'!AA32="","",'WetLitterbags placem_collection'!AA32)</f>
        <v/>
      </c>
      <c r="AH691" t="str">
        <f>IF('WetLitterbags placem_collection'!AC32="","",'WetLitterbags placem_collection'!AC32)</f>
        <v/>
      </c>
      <c r="AI691">
        <f>IFERROR(AVERAGE('Dry_Litterbag Placem_Collection'!O32,'Dry_Litterbag Placem_Collection'!R32),"")</f>
        <v>9.3000000000000007</v>
      </c>
      <c r="AJ691" s="268">
        <f>IFERROR(AVERAGE('Dry_Litterbag Placem_Collection'!N32,'Dry_Litterbag Placem_Collection'!Q32),"")</f>
        <v>24</v>
      </c>
      <c r="AK691" s="267">
        <f>INDEX(Coordinates!$B$2:$B$197,MATCH(H691,Coordinates!$J$2:$J$197,0))</f>
        <v>-3.38496496</v>
      </c>
      <c r="AL691" s="267">
        <f>INDEX(Coordinates!$C$2:$C$197,MATCH(H691,Coordinates!$J$2:$J$197,0))</f>
        <v>34.818790970000002</v>
      </c>
      <c r="AM691" s="267" t="str">
        <f>IF(ISNUMBER(SEARCH("C", 'Dry_Litterbag Placem_Collection'!V32)),"YES","NO")</f>
        <v>NO</v>
      </c>
      <c r="AN691" s="267" t="str">
        <f>IF(ISNUMBER(SEARCH("H", 'Dry_Litterbag Placem_Collection'!V32)),"YES","NO")</f>
        <v>NO</v>
      </c>
      <c r="AO691" s="267" t="str">
        <f>IF(ISNUMBER(SEARCH("R", 'Dry_Litterbag Placem_Collection'!V32)),"YES","NO")</f>
        <v>NO</v>
      </c>
    </row>
    <row r="692" spans="1:41" ht="15" customHeight="1">
      <c r="A692" s="259" t="s">
        <v>2643</v>
      </c>
      <c r="B692" s="260">
        <f>'Dry_Litterbag Placem_Collection'!A33</f>
        <v>31</v>
      </c>
      <c r="C692" s="260" t="str">
        <f>'Dry_Litterbag Placem_Collection'!B33</f>
        <v>Makao</v>
      </c>
      <c r="D692" s="260" t="s">
        <v>2643</v>
      </c>
      <c r="E692" s="260" t="s">
        <v>2644</v>
      </c>
      <c r="F692" s="260">
        <v>4</v>
      </c>
      <c r="G692" s="260" t="s">
        <v>3804</v>
      </c>
      <c r="H692" s="261" t="str">
        <f>'Dry_Litterbag Placem_Collection'!C33</f>
        <v>Dry_Ag4_T7</v>
      </c>
      <c r="I692" s="270" t="s">
        <v>3630</v>
      </c>
      <c r="J692" s="271" t="s">
        <v>298</v>
      </c>
      <c r="K692" s="260" t="str">
        <f>IF(ISBLANK('Dry_Litterbag Placem_Collection'!M33),"","R"&amp;""&amp;'Dry_Litterbag Placem_Collection'!M33)</f>
        <v/>
      </c>
      <c r="L692" s="264" t="str">
        <f>IFERROR(INDEX('Green_rooibos initial weight'!$C$5:$C$2000,MATCH(K692, 'Green_rooibos initial weight'!$A$5:$A$2000,0)),"")</f>
        <v/>
      </c>
      <c r="M692" s="264" t="str">
        <f>IFERROR(L692-(TBIcalc!$Q$9+TBIcalc!$Q$10),"")</f>
        <v/>
      </c>
      <c r="N692" s="385">
        <f>AVERAGE(Ashed_controlls!$K$12:$K$14)</f>
        <v>2.2816647271287041</v>
      </c>
      <c r="O692" s="264" t="str">
        <f t="shared" si="51"/>
        <v/>
      </c>
      <c r="P692" s="264" t="str">
        <f>IFERROR(INDEX('Both teabags AfterDry'!$D$2:$D$2000,MATCH(K692,'Both teabags AfterDry'!$A$2:$A$2000,0)),"")</f>
        <v/>
      </c>
      <c r="Q692" s="264" t="str">
        <f>IFERROR(IF(P692&gt;0,P692-(TBIcalc!$Q$9),""),"")</f>
        <v/>
      </c>
      <c r="R692" s="275" t="str">
        <f>IFERROR(INDEX('Ashed teabags dry'!$K$2:$K$2000,MATCH(K692,'Ashed teabags dry'!$A$2:$A$2000,0)),"")</f>
        <v/>
      </c>
      <c r="S692" s="275" t="str">
        <f t="shared" si="52"/>
        <v/>
      </c>
      <c r="T692" s="265" t="str">
        <f>IF('Dry_Litterbag Placem_Collection'!E33="","",'Dry_Litterbag Placem_Collection'!E33)</f>
        <v/>
      </c>
      <c r="U692" s="265" t="str">
        <f>IF('Dry_Litterbag Placem_Collection'!G33="","",'Dry_Litterbag Placem_Collection'!G33)</f>
        <v/>
      </c>
      <c r="V692" s="266" t="str">
        <f t="shared" si="50"/>
        <v/>
      </c>
      <c r="W692" s="264" t="str">
        <f t="shared" si="53"/>
        <v/>
      </c>
      <c r="X692" s="264" t="str">
        <f t="shared" si="54"/>
        <v/>
      </c>
      <c r="Y692" s="268" t="str">
        <f>IFERROR(INDEX(Rainfall_Dry!$O$2:$O$217,MATCH(B692, Rainfall_Dry!$A$2:$A$217,0)),"")</f>
        <v/>
      </c>
      <c r="Z692" s="257">
        <v>51.960000000000008</v>
      </c>
      <c r="AA692" s="257">
        <v>18.919999999999995</v>
      </c>
      <c r="AB692" s="257">
        <v>29.120000000000005</v>
      </c>
      <c r="AC692" s="258" t="s">
        <v>2657</v>
      </c>
      <c r="AD692" s="257">
        <v>7.8529324790537203</v>
      </c>
      <c r="AE692" t="str">
        <f>IF('WetLitterbags placem_collection'!AB33="","",'WetLitterbags placem_collection'!AB33)</f>
        <v/>
      </c>
      <c r="AF692" t="str">
        <f>IF('WetLitterbags placem_collection'!Z33="","",'WetLitterbags placem_collection'!Z33)</f>
        <v/>
      </c>
      <c r="AG692" s="243" t="str">
        <f>IF('WetLitterbags placem_collection'!AA33="","",'WetLitterbags placem_collection'!AA33)</f>
        <v/>
      </c>
      <c r="AH692" t="str">
        <f>IF('WetLitterbags placem_collection'!AC33="","",'WetLitterbags placem_collection'!AC33)</f>
        <v/>
      </c>
      <c r="AI692" t="str">
        <f>IFERROR(AVERAGE('Dry_Litterbag Placem_Collection'!O33,'Dry_Litterbag Placem_Collection'!R33),"")</f>
        <v/>
      </c>
      <c r="AJ692" s="268" t="str">
        <f>IFERROR(AVERAGE('Dry_Litterbag Placem_Collection'!N33,'Dry_Litterbag Placem_Collection'!Q33),"")</f>
        <v/>
      </c>
      <c r="AK692" s="267">
        <f>INDEX(Coordinates!$B$2:$B$197,MATCH(H692,Coordinates!$J$2:$J$197,0))</f>
        <v>-3.3848409909999999</v>
      </c>
      <c r="AL692" s="267">
        <f>INDEX(Coordinates!$C$2:$C$197,MATCH(H692,Coordinates!$J$2:$J$197,0))</f>
        <v>34.818838999999997</v>
      </c>
      <c r="AM692" s="267" t="str">
        <f>IF(ISNUMBER(SEARCH("C", 'Dry_Litterbag Placem_Collection'!V33)),"YES","NO")</f>
        <v>NO</v>
      </c>
      <c r="AN692" s="267" t="str">
        <f>IF(ISNUMBER(SEARCH("H", 'Dry_Litterbag Placem_Collection'!V33)),"YES","NO")</f>
        <v>NO</v>
      </c>
      <c r="AO692" s="267" t="str">
        <f>IF(ISNUMBER(SEARCH("R", 'Dry_Litterbag Placem_Collection'!V33)),"YES","NO")</f>
        <v>NO</v>
      </c>
    </row>
    <row r="693" spans="1:41" ht="15" customHeight="1">
      <c r="A693" s="259" t="s">
        <v>2643</v>
      </c>
      <c r="B693" s="260">
        <f>'Dry_Litterbag Placem_Collection'!A34</f>
        <v>32</v>
      </c>
      <c r="C693" s="260" t="str">
        <f>'Dry_Litterbag Placem_Collection'!B34</f>
        <v>Makao</v>
      </c>
      <c r="D693" s="260" t="s">
        <v>2643</v>
      </c>
      <c r="E693" s="260" t="s">
        <v>2644</v>
      </c>
      <c r="F693" s="260">
        <v>4</v>
      </c>
      <c r="G693" s="260" t="s">
        <v>3804</v>
      </c>
      <c r="H693" s="261" t="str">
        <f>'Dry_Litterbag Placem_Collection'!C34</f>
        <v>Dry_Ag4_T8</v>
      </c>
      <c r="I693" s="270" t="s">
        <v>3630</v>
      </c>
      <c r="J693" s="271" t="s">
        <v>298</v>
      </c>
      <c r="K693" s="260" t="str">
        <f>IF(ISBLANK('Dry_Litterbag Placem_Collection'!M34),"","R"&amp;""&amp;'Dry_Litterbag Placem_Collection'!M34)</f>
        <v>R660</v>
      </c>
      <c r="L693" s="264">
        <f>IFERROR(INDEX('Green_rooibos initial weight'!$C$5:$C$2000,MATCH(K693, 'Green_rooibos initial weight'!$A$5:$A$2000,0)),"")</f>
        <v>2.2080000000000002</v>
      </c>
      <c r="M693" s="264">
        <f>IFERROR(L693-(TBIcalc!$Q$9+TBIcalc!$Q$10),"")</f>
        <v>1.9582000000000002</v>
      </c>
      <c r="N693" s="385">
        <f>AVERAGE(Ashed_controlls!$K$12:$K$14)</f>
        <v>2.2816647271287041</v>
      </c>
      <c r="O693" s="264">
        <f t="shared" si="51"/>
        <v>1.913520441313366</v>
      </c>
      <c r="P693" s="264">
        <f>IFERROR(INDEX('Both teabags AfterDry'!$D$2:$D$2000,MATCH(K693,'Both teabags AfterDry'!$A$2:$A$2000,0)),"")</f>
        <v>2.0331000000000001</v>
      </c>
      <c r="Q693" s="264">
        <f>IFERROR(IF(P693&gt;0,P693-(TBIcalc!$Q$9),""),"")</f>
        <v>1.8825000000000001</v>
      </c>
      <c r="R693" s="275">
        <f>IFERROR(INDEX('Ashed teabags dry'!$K$2:$K$2000,MATCH(K693,'Ashed teabags dry'!$A$2:$A$2000,0)),"")</f>
        <v>2.8682547399117464</v>
      </c>
      <c r="S693" s="275">
        <f t="shared" si="52"/>
        <v>1.8285051045211613</v>
      </c>
      <c r="T693" s="265">
        <f>IF('Dry_Litterbag Placem_Collection'!E34="","",'Dry_Litterbag Placem_Collection'!E34)</f>
        <v>42936</v>
      </c>
      <c r="U693" s="265">
        <f>IF('Dry_Litterbag Placem_Collection'!G34="","",'Dry_Litterbag Placem_Collection'!G34)</f>
        <v>43007</v>
      </c>
      <c r="V693" s="266">
        <f t="shared" si="50"/>
        <v>71</v>
      </c>
      <c r="W693" s="264">
        <f t="shared" si="53"/>
        <v>7.5700000000000101E-2</v>
      </c>
      <c r="X693" s="264">
        <f t="shared" si="54"/>
        <v>8.5015336792204632E-2</v>
      </c>
      <c r="Y693" s="268">
        <f>IFERROR(INDEX(Rainfall_Dry!$O$2:$O$217,MATCH(B693, Rainfall_Dry!$A$2:$A$217,0)),"")</f>
        <v>6.900000125</v>
      </c>
      <c r="Z693" s="257">
        <v>51.960000000000008</v>
      </c>
      <c r="AA693" s="257">
        <v>18.919999999999995</v>
      </c>
      <c r="AB693" s="257">
        <v>29.120000000000005</v>
      </c>
      <c r="AC693" s="258" t="s">
        <v>2657</v>
      </c>
      <c r="AD693" s="257">
        <v>8.8529324790537203</v>
      </c>
      <c r="AE693" t="str">
        <f>IF('WetLitterbags placem_collection'!AB34="","",'WetLitterbags placem_collection'!AB34)</f>
        <v/>
      </c>
      <c r="AF693" t="str">
        <f>IF('WetLitterbags placem_collection'!Z34="","",'WetLitterbags placem_collection'!Z34)</f>
        <v/>
      </c>
      <c r="AG693" s="243" t="str">
        <f>IF('WetLitterbags placem_collection'!AA34="","",'WetLitterbags placem_collection'!AA34)</f>
        <v/>
      </c>
      <c r="AH693" t="str">
        <f>IF('WetLitterbags placem_collection'!AC34="","",'WetLitterbags placem_collection'!AC34)</f>
        <v/>
      </c>
      <c r="AI693">
        <f>IFERROR(AVERAGE('Dry_Litterbag Placem_Collection'!O34,'Dry_Litterbag Placem_Collection'!R34),"")</f>
        <v>11.850000000000001</v>
      </c>
      <c r="AJ693" s="268">
        <f>IFERROR(AVERAGE('Dry_Litterbag Placem_Collection'!N34,'Dry_Litterbag Placem_Collection'!Q34),"")</f>
        <v>25.45</v>
      </c>
      <c r="AK693" s="267">
        <f>INDEX(Coordinates!$B$2:$B$197,MATCH(H693,Coordinates!$J$2:$J$197,0))</f>
        <v>-3.3849010060000002</v>
      </c>
      <c r="AL693" s="267">
        <f>INDEX(Coordinates!$C$2:$C$197,MATCH(H693,Coordinates!$J$2:$J$197,0))</f>
        <v>34.818979990000003</v>
      </c>
      <c r="AM693" s="267" t="str">
        <f>IF(ISNUMBER(SEARCH("C", 'Dry_Litterbag Placem_Collection'!V34)),"YES","NO")</f>
        <v>NO</v>
      </c>
      <c r="AN693" s="267" t="str">
        <f>IF(ISNUMBER(SEARCH("H", 'Dry_Litterbag Placem_Collection'!V34)),"YES","NO")</f>
        <v>NO</v>
      </c>
      <c r="AO693" s="267" t="str">
        <f>IF(ISNUMBER(SEARCH("R", 'Dry_Litterbag Placem_Collection'!V34)),"YES","NO")</f>
        <v>NO</v>
      </c>
    </row>
    <row r="694" spans="1:41" ht="15" customHeight="1">
      <c r="A694" s="259" t="s">
        <v>2643</v>
      </c>
      <c r="B694" s="260">
        <f>'Dry_Litterbag Placem_Collection'!A35</f>
        <v>33</v>
      </c>
      <c r="C694" s="260" t="str">
        <f>'Dry_Litterbag Placem_Collection'!B35</f>
        <v>Makao</v>
      </c>
      <c r="D694" s="260" t="s">
        <v>2643</v>
      </c>
      <c r="E694" s="260" t="s">
        <v>20</v>
      </c>
      <c r="F694" s="260">
        <v>1</v>
      </c>
      <c r="G694" s="260" t="s">
        <v>3805</v>
      </c>
      <c r="H694" s="261" t="str">
        <f>'Dry_Litterbag Placem_Collection'!C35</f>
        <v>Dry_P1_T1</v>
      </c>
      <c r="I694" s="270" t="s">
        <v>3630</v>
      </c>
      <c r="J694" s="271" t="s">
        <v>298</v>
      </c>
      <c r="K694" s="260" t="str">
        <f>IF(ISBLANK('Dry_Litterbag Placem_Collection'!M35),"","R"&amp;""&amp;'Dry_Litterbag Placem_Collection'!M35)</f>
        <v>R712</v>
      </c>
      <c r="L694" s="264">
        <f>IFERROR(INDEX('Green_rooibos initial weight'!$C$5:$C$2000,MATCH(K694, 'Green_rooibos initial weight'!$A$5:$A$2000,0)),"")</f>
        <v>2.161</v>
      </c>
      <c r="M694" s="264">
        <f>IFERROR(L694-(TBIcalc!$Q$9+TBIcalc!$Q$10),"")</f>
        <v>1.9112</v>
      </c>
      <c r="N694" s="385">
        <f>AVERAGE(Ashed_controlls!$K$12:$K$14)</f>
        <v>2.2816647271287041</v>
      </c>
      <c r="O694" s="264">
        <f t="shared" si="51"/>
        <v>1.8675928237351163</v>
      </c>
      <c r="P694" s="264">
        <f>IFERROR(INDEX('Both teabags AfterDry'!$D$2:$D$2000,MATCH(K694,'Both teabags AfterDry'!$A$2:$A$2000,0)),"")</f>
        <v>1.9524999999999999</v>
      </c>
      <c r="Q694" s="264">
        <f>IFERROR(IF(P694&gt;0,P694-(TBIcalc!$Q$9),""),"")</f>
        <v>1.8018999999999998</v>
      </c>
      <c r="R694" s="275">
        <f>IFERROR(INDEX('Ashed teabags dry'!$K$2:$K$2000,MATCH(K694,'Ashed teabags dry'!$A$2:$A$2000,0)),"")</f>
        <v>2.162162162162347</v>
      </c>
      <c r="S694" s="275">
        <f t="shared" si="52"/>
        <v>1.7629399999999964</v>
      </c>
      <c r="T694" s="265">
        <f>IF('Dry_Litterbag Placem_Collection'!E35="","",'Dry_Litterbag Placem_Collection'!E35)</f>
        <v>42938</v>
      </c>
      <c r="U694" s="265">
        <f>IF('Dry_Litterbag Placem_Collection'!G35="","",'Dry_Litterbag Placem_Collection'!G35)</f>
        <v>43005</v>
      </c>
      <c r="V694" s="266">
        <f t="shared" si="50"/>
        <v>67</v>
      </c>
      <c r="W694" s="264">
        <f t="shared" si="53"/>
        <v>0.10930000000000017</v>
      </c>
      <c r="X694" s="264">
        <f t="shared" si="54"/>
        <v>0.10465282373511986</v>
      </c>
      <c r="Y694" s="268">
        <f>IFERROR(INDEX(Rainfall_Dry!$O$2:$O$217,MATCH(B694, Rainfall_Dry!$A$2:$A$217,0)),"")</f>
        <v>6.5250000359999998</v>
      </c>
      <c r="Z694" s="257">
        <v>23.96</v>
      </c>
      <c r="AA694" s="257">
        <v>0.91999999999999804</v>
      </c>
      <c r="AB694" s="257">
        <v>75.12</v>
      </c>
      <c r="AC694" s="258" t="s">
        <v>2654</v>
      </c>
      <c r="AD694" s="257">
        <v>1.2493839329719072</v>
      </c>
      <c r="AE694">
        <f>IF('WetLitterbags placem_collection'!AB35="","",'WetLitterbags placem_collection'!AB35)</f>
        <v>9.5</v>
      </c>
      <c r="AF694">
        <f>IF('WetLitterbags placem_collection'!Z35="","",'WetLitterbags placem_collection'!Z35)</f>
        <v>17.2</v>
      </c>
      <c r="AG694" s="243" t="str">
        <f>IF('WetLitterbags placem_collection'!AA35="","",'WetLitterbags placem_collection'!AA35)</f>
        <v>G</v>
      </c>
      <c r="AH694">
        <f>IF('WetLitterbags placem_collection'!AC35="","",'WetLitterbags placem_collection'!AC35)</f>
        <v>0</v>
      </c>
      <c r="AI694">
        <f>IFERROR(AVERAGE('Dry_Litterbag Placem_Collection'!O35,'Dry_Litterbag Placem_Collection'!R35),"")</f>
        <v>1.65</v>
      </c>
      <c r="AJ694" s="268">
        <f>IFERROR(AVERAGE('Dry_Litterbag Placem_Collection'!N35,'Dry_Litterbag Placem_Collection'!Q35),"")</f>
        <v>26.15</v>
      </c>
      <c r="AK694" s="267">
        <f>INDEX(Coordinates!$B$2:$B$197,MATCH(H694,Coordinates!$J$2:$J$197,0))</f>
        <v>-3.4092039989999998</v>
      </c>
      <c r="AL694" s="267">
        <f>INDEX(Coordinates!$C$2:$C$197,MATCH(H694,Coordinates!$J$2:$J$197,0))</f>
        <v>34.852751009999999</v>
      </c>
      <c r="AM694" s="267" t="str">
        <f>IF(ISNUMBER(SEARCH("C", 'Dry_Litterbag Placem_Collection'!V35)),"YES","NO")</f>
        <v>NO</v>
      </c>
      <c r="AN694" s="267" t="str">
        <f>IF(ISNUMBER(SEARCH("H", 'Dry_Litterbag Placem_Collection'!V35)),"YES","NO")</f>
        <v>NO</v>
      </c>
      <c r="AO694" s="267" t="str">
        <f>IF(ISNUMBER(SEARCH("R", 'Dry_Litterbag Placem_Collection'!V35)),"YES","NO")</f>
        <v>NO</v>
      </c>
    </row>
    <row r="695" spans="1:41" ht="15" customHeight="1">
      <c r="A695" s="259" t="s">
        <v>2643</v>
      </c>
      <c r="B695" s="260">
        <f>'Dry_Litterbag Placem_Collection'!A36</f>
        <v>34</v>
      </c>
      <c r="C695" s="260" t="str">
        <f>'Dry_Litterbag Placem_Collection'!B36</f>
        <v>Makao</v>
      </c>
      <c r="D695" s="260" t="s">
        <v>2643</v>
      </c>
      <c r="E695" s="260" t="s">
        <v>20</v>
      </c>
      <c r="F695" s="260">
        <v>1</v>
      </c>
      <c r="G695" s="260" t="s">
        <v>3805</v>
      </c>
      <c r="H695" s="261" t="str">
        <f>'Dry_Litterbag Placem_Collection'!C36</f>
        <v>Dry_P1_T2</v>
      </c>
      <c r="I695" s="270" t="s">
        <v>3630</v>
      </c>
      <c r="J695" s="271" t="s">
        <v>298</v>
      </c>
      <c r="K695" s="260" t="str">
        <f>IF(ISBLANK('Dry_Litterbag Placem_Collection'!M36),"","R"&amp;""&amp;'Dry_Litterbag Placem_Collection'!M36)</f>
        <v>R324</v>
      </c>
      <c r="L695" s="264">
        <f>IFERROR(INDEX('Green_rooibos initial weight'!$C$5:$C$2000,MATCH(K695, 'Green_rooibos initial weight'!$A$5:$A$2000,0)),"")</f>
        <v>2.2410000000000001</v>
      </c>
      <c r="M695" s="264">
        <f>IFERROR(L695-(TBIcalc!$Q$9+TBIcalc!$Q$10),"")</f>
        <v>1.9912000000000001</v>
      </c>
      <c r="N695" s="385">
        <f>AVERAGE(Ashed_controlls!$K$12:$K$14)</f>
        <v>2.2816647271287041</v>
      </c>
      <c r="O695" s="264">
        <f t="shared" si="51"/>
        <v>1.9457674919534134</v>
      </c>
      <c r="P695" s="264" t="str">
        <f>IFERROR(INDEX('Both teabags AfterDry'!$D$2:$D$2000,MATCH(K695,'Both teabags AfterDry'!$A$2:$A$2000,0)),"")</f>
        <v/>
      </c>
      <c r="Q695" s="264" t="str">
        <f>IFERROR(IF(P695&gt;0,P695-(TBIcalc!$Q$9),""),"")</f>
        <v/>
      </c>
      <c r="R695" s="275" t="str">
        <f>IFERROR(INDEX('Ashed teabags dry'!$K$2:$K$2000,MATCH(K695,'Ashed teabags dry'!$A$2:$A$2000,0)),"")</f>
        <v/>
      </c>
      <c r="S695" s="275" t="str">
        <f t="shared" si="52"/>
        <v/>
      </c>
      <c r="T695" s="265">
        <f>IF('Dry_Litterbag Placem_Collection'!E36="","",'Dry_Litterbag Placem_Collection'!E36)</f>
        <v>42938</v>
      </c>
      <c r="U695" s="265">
        <f>IF('Dry_Litterbag Placem_Collection'!G36="","",'Dry_Litterbag Placem_Collection'!G36)</f>
        <v>43005</v>
      </c>
      <c r="V695" s="266">
        <f t="shared" si="50"/>
        <v>67</v>
      </c>
      <c r="W695" s="264" t="str">
        <f t="shared" si="53"/>
        <v/>
      </c>
      <c r="X695" s="264" t="str">
        <f t="shared" si="54"/>
        <v/>
      </c>
      <c r="Y695" s="268">
        <f>IFERROR(INDEX(Rainfall_Dry!$O$2:$O$217,MATCH(B695, Rainfall_Dry!$A$2:$A$217,0)),"")</f>
        <v>6.5250000359999998</v>
      </c>
      <c r="Z695" s="257">
        <v>23.96</v>
      </c>
      <c r="AA695" s="257">
        <v>0.91999999999999804</v>
      </c>
      <c r="AB695" s="257">
        <v>75.12</v>
      </c>
      <c r="AC695" s="258" t="s">
        <v>2654</v>
      </c>
      <c r="AD695" s="257">
        <v>1.2493839329719072</v>
      </c>
      <c r="AE695">
        <f>IF('WetLitterbags placem_collection'!AB36="","",'WetLitterbags placem_collection'!AB36)</f>
        <v>6.5</v>
      </c>
      <c r="AF695">
        <f>IF('WetLitterbags placem_collection'!Z36="","",'WetLitterbags placem_collection'!Z36)</f>
        <v>14.2</v>
      </c>
      <c r="AG695" s="243" t="str">
        <f>IF('WetLitterbags placem_collection'!AA36="","",'WetLitterbags placem_collection'!AA36)</f>
        <v>G</v>
      </c>
      <c r="AH695">
        <f>IF('WetLitterbags placem_collection'!AC36="","",'WetLitterbags placem_collection'!AC36)</f>
        <v>0</v>
      </c>
      <c r="AI695">
        <f>IFERROR(AVERAGE('Dry_Litterbag Placem_Collection'!O36,'Dry_Litterbag Placem_Collection'!R36),"")</f>
        <v>3.25</v>
      </c>
      <c r="AJ695" s="268">
        <f>IFERROR(AVERAGE('Dry_Litterbag Placem_Collection'!N36,'Dry_Litterbag Placem_Collection'!Q36),"")</f>
        <v>26.9</v>
      </c>
      <c r="AK695" s="267">
        <f>INDEX(Coordinates!$B$2:$B$197,MATCH(H695,Coordinates!$J$2:$J$197,0))</f>
        <v>-3.4092350119999999</v>
      </c>
      <c r="AL695" s="267">
        <f>INDEX(Coordinates!$C$2:$C$197,MATCH(H695,Coordinates!$J$2:$J$197,0))</f>
        <v>34.852782019999999</v>
      </c>
      <c r="AM695" s="267" t="str">
        <f>IF(ISNUMBER(SEARCH("C", 'Dry_Litterbag Placem_Collection'!V36)),"YES","NO")</f>
        <v>NO</v>
      </c>
      <c r="AN695" s="267" t="str">
        <f>IF(ISNUMBER(SEARCH("H", 'Dry_Litterbag Placem_Collection'!V36)),"YES","NO")</f>
        <v>NO</v>
      </c>
      <c r="AO695" s="267" t="str">
        <f>IF(ISNUMBER(SEARCH("R", 'Dry_Litterbag Placem_Collection'!V36)),"YES","NO")</f>
        <v>NO</v>
      </c>
    </row>
    <row r="696" spans="1:41" ht="15" customHeight="1">
      <c r="A696" s="259" t="s">
        <v>2643</v>
      </c>
      <c r="B696" s="260">
        <f>'Dry_Litterbag Placem_Collection'!A37</f>
        <v>35</v>
      </c>
      <c r="C696" s="260" t="str">
        <f>'Dry_Litterbag Placem_Collection'!B37</f>
        <v>Makao</v>
      </c>
      <c r="D696" s="260" t="s">
        <v>2643</v>
      </c>
      <c r="E696" s="260" t="s">
        <v>20</v>
      </c>
      <c r="F696" s="260">
        <v>1</v>
      </c>
      <c r="G696" s="260" t="s">
        <v>3805</v>
      </c>
      <c r="H696" s="261" t="str">
        <f>'Dry_Litterbag Placem_Collection'!C37</f>
        <v>Dry_P1_T3</v>
      </c>
      <c r="I696" s="270" t="s">
        <v>3630</v>
      </c>
      <c r="J696" s="271" t="s">
        <v>298</v>
      </c>
      <c r="K696" s="260" t="str">
        <f>IF(ISBLANK('Dry_Litterbag Placem_Collection'!M37),"","R"&amp;""&amp;'Dry_Litterbag Placem_Collection'!M37)</f>
        <v>R108</v>
      </c>
      <c r="L696" s="264">
        <f>IFERROR(INDEX('Green_rooibos initial weight'!$C$5:$C$2000,MATCH(K696, 'Green_rooibos initial weight'!$A$5:$A$2000,0)),"")</f>
        <v>2.1680000000000001</v>
      </c>
      <c r="M696" s="264">
        <f>IFERROR(L696-(TBIcalc!$Q$9+TBIcalc!$Q$10),"")</f>
        <v>1.9182000000000001</v>
      </c>
      <c r="N696" s="385">
        <f>AVERAGE(Ashed_controlls!$K$12:$K$14)</f>
        <v>2.2816647271287041</v>
      </c>
      <c r="O696" s="264">
        <f t="shared" si="51"/>
        <v>1.8744331072042173</v>
      </c>
      <c r="P696" s="264">
        <f>IFERROR(INDEX('Both teabags AfterDry'!$D$2:$D$2000,MATCH(K696,'Both teabags AfterDry'!$A$2:$A$2000,0)),"")</f>
        <v>1.9638</v>
      </c>
      <c r="Q696" s="264">
        <f>IFERROR(IF(P696&gt;0,P696-(TBIcalc!$Q$9),""),"")</f>
        <v>1.8131999999999999</v>
      </c>
      <c r="R696" s="275">
        <f>IFERROR(INDEX('Ashed teabags dry'!$K$2:$K$2000,MATCH(K696,'Ashed teabags dry'!$A$2:$A$2000,0)),"")</f>
        <v>2.5853658536585367</v>
      </c>
      <c r="S696" s="275">
        <f t="shared" si="52"/>
        <v>1.7663221463414633</v>
      </c>
      <c r="T696" s="265">
        <f>IF('Dry_Litterbag Placem_Collection'!E37="","",'Dry_Litterbag Placem_Collection'!E37)</f>
        <v>42938</v>
      </c>
      <c r="U696" s="265">
        <f>IF('Dry_Litterbag Placem_Collection'!G37="","",'Dry_Litterbag Placem_Collection'!G37)</f>
        <v>43005</v>
      </c>
      <c r="V696" s="266">
        <f t="shared" si="50"/>
        <v>67</v>
      </c>
      <c r="W696" s="264">
        <f t="shared" si="53"/>
        <v>0.1050000000000002</v>
      </c>
      <c r="X696" s="264">
        <f t="shared" si="54"/>
        <v>0.10811096086275396</v>
      </c>
      <c r="Y696" s="268">
        <f>IFERROR(INDEX(Rainfall_Dry!$O$2:$O$217,MATCH(B696, Rainfall_Dry!$A$2:$A$217,0)),"")</f>
        <v>6.5250000359999998</v>
      </c>
      <c r="Z696" s="257">
        <v>23.96</v>
      </c>
      <c r="AA696" s="257">
        <v>0.91999999999999804</v>
      </c>
      <c r="AB696" s="257">
        <v>75.12</v>
      </c>
      <c r="AC696" s="258" t="s">
        <v>2654</v>
      </c>
      <c r="AD696" s="257">
        <v>1.2493839329719072</v>
      </c>
      <c r="AE696">
        <f>IF('WetLitterbags placem_collection'!AB37="","",'WetLitterbags placem_collection'!AB37)</f>
        <v>0.7</v>
      </c>
      <c r="AF696">
        <f>IF('WetLitterbags placem_collection'!Z37="","",'WetLitterbags placem_collection'!Z37)</f>
        <v>10.6</v>
      </c>
      <c r="AG696" s="243" t="str">
        <f>IF('WetLitterbags placem_collection'!AA37="","",'WetLitterbags placem_collection'!AA37)</f>
        <v>G</v>
      </c>
      <c r="AH696">
        <f>IF('WetLitterbags placem_collection'!AC37="","",'WetLitterbags placem_collection'!AC37)</f>
        <v>0</v>
      </c>
      <c r="AI696">
        <f>IFERROR(AVERAGE('Dry_Litterbag Placem_Collection'!O37,'Dry_Litterbag Placem_Collection'!R37),"")</f>
        <v>3.35</v>
      </c>
      <c r="AJ696" s="268">
        <f>IFERROR(AVERAGE('Dry_Litterbag Placem_Collection'!N37,'Dry_Litterbag Placem_Collection'!Q37),"")</f>
        <v>26.95</v>
      </c>
      <c r="AK696" s="267">
        <f>INDEX(Coordinates!$B$2:$B$197,MATCH(H696,Coordinates!$J$2:$J$197,0))</f>
        <v>-3.409177009</v>
      </c>
      <c r="AL696" s="267">
        <f>INDEX(Coordinates!$C$2:$C$197,MATCH(H696,Coordinates!$J$2:$J$197,0))</f>
        <v>34.852818990000003</v>
      </c>
      <c r="AM696" s="267" t="str">
        <f>IF(ISNUMBER(SEARCH("C", 'Dry_Litterbag Placem_Collection'!V37)),"YES","NO")</f>
        <v>NO</v>
      </c>
      <c r="AN696" s="267" t="str">
        <f>IF(ISNUMBER(SEARCH("H", 'Dry_Litterbag Placem_Collection'!V37)),"YES","NO")</f>
        <v>NO</v>
      </c>
      <c r="AO696" s="267" t="str">
        <f>IF(ISNUMBER(SEARCH("R", 'Dry_Litterbag Placem_Collection'!V37)),"YES","NO")</f>
        <v>NO</v>
      </c>
    </row>
    <row r="697" spans="1:41" ht="15" customHeight="1">
      <c r="A697" s="259" t="s">
        <v>2643</v>
      </c>
      <c r="B697" s="260">
        <f>'Dry_Litterbag Placem_Collection'!A38</f>
        <v>36</v>
      </c>
      <c r="C697" s="260" t="str">
        <f>'Dry_Litterbag Placem_Collection'!B38</f>
        <v>Makao</v>
      </c>
      <c r="D697" s="260" t="s">
        <v>2643</v>
      </c>
      <c r="E697" s="260" t="s">
        <v>20</v>
      </c>
      <c r="F697" s="260">
        <v>1</v>
      </c>
      <c r="G697" s="260" t="s">
        <v>3805</v>
      </c>
      <c r="H697" s="261" t="str">
        <f>'Dry_Litterbag Placem_Collection'!C38</f>
        <v>Dry_P1_T4</v>
      </c>
      <c r="I697" s="270" t="s">
        <v>3630</v>
      </c>
      <c r="J697" s="271" t="s">
        <v>298</v>
      </c>
      <c r="K697" s="260" t="str">
        <f>IF(ISBLANK('Dry_Litterbag Placem_Collection'!M38),"","R"&amp;""&amp;'Dry_Litterbag Placem_Collection'!M38)</f>
        <v>R152</v>
      </c>
      <c r="L697" s="264">
        <f>IFERROR(INDEX('Green_rooibos initial weight'!$C$5:$C$2000,MATCH(K697, 'Green_rooibos initial weight'!$A$5:$A$2000,0)),"")</f>
        <v>2.1800000000000002</v>
      </c>
      <c r="M697" s="264">
        <f>IFERROR(L697-(TBIcalc!$Q$9+TBIcalc!$Q$10),"")</f>
        <v>1.9302000000000001</v>
      </c>
      <c r="N697" s="385">
        <f>AVERAGE(Ashed_controlls!$K$12:$K$14)</f>
        <v>2.2816647271287041</v>
      </c>
      <c r="O697" s="264">
        <f t="shared" si="51"/>
        <v>1.8861593074369618</v>
      </c>
      <c r="P697" s="264" t="str">
        <f>IFERROR(INDEX('Both teabags AfterDry'!$D$2:$D$2000,MATCH(K697,'Both teabags AfterDry'!$A$2:$A$2000,0)),"")</f>
        <v/>
      </c>
      <c r="Q697" s="264" t="str">
        <f>IFERROR(IF(P697&gt;0,P697-(TBIcalc!$Q$9),""),"")</f>
        <v/>
      </c>
      <c r="R697" s="275" t="str">
        <f>IFERROR(INDEX('Ashed teabags dry'!$K$2:$K$2000,MATCH(K697,'Ashed teabags dry'!$A$2:$A$2000,0)),"")</f>
        <v/>
      </c>
      <c r="S697" s="275" t="str">
        <f t="shared" si="52"/>
        <v/>
      </c>
      <c r="T697" s="265">
        <f>IF('Dry_Litterbag Placem_Collection'!E38="","",'Dry_Litterbag Placem_Collection'!E38)</f>
        <v>42938</v>
      </c>
      <c r="U697" s="265">
        <f>IF('Dry_Litterbag Placem_Collection'!G38="","",'Dry_Litterbag Placem_Collection'!G38)</f>
        <v>43005</v>
      </c>
      <c r="V697" s="266">
        <f t="shared" si="50"/>
        <v>67</v>
      </c>
      <c r="W697" s="264" t="str">
        <f t="shared" si="53"/>
        <v/>
      </c>
      <c r="X697" s="264" t="str">
        <f t="shared" si="54"/>
        <v/>
      </c>
      <c r="Y697" s="268">
        <f>IFERROR(INDEX(Rainfall_Dry!$O$2:$O$217,MATCH(B697, Rainfall_Dry!$A$2:$A$217,0)),"")</f>
        <v>6.5250000359999998</v>
      </c>
      <c r="Z697" s="257">
        <v>23.96</v>
      </c>
      <c r="AA697" s="257">
        <v>0.91999999999999804</v>
      </c>
      <c r="AB697" s="257">
        <v>75.12</v>
      </c>
      <c r="AC697" s="258" t="s">
        <v>2654</v>
      </c>
      <c r="AD697" s="257">
        <v>1.2493839329719072</v>
      </c>
      <c r="AE697">
        <f>IF('WetLitterbags placem_collection'!AB38="","",'WetLitterbags placem_collection'!AB38)</f>
        <v>3.3</v>
      </c>
      <c r="AF697">
        <f>IF('WetLitterbags placem_collection'!Z38="","",'WetLitterbags placem_collection'!Z38)</f>
        <v>4.9000000000000004</v>
      </c>
      <c r="AG697" s="243" t="str">
        <f>IF('WetLitterbags placem_collection'!AA38="","",'WetLitterbags placem_collection'!AA38)</f>
        <v>G</v>
      </c>
      <c r="AH697">
        <f>IF('WetLitterbags placem_collection'!AC38="","",'WetLitterbags placem_collection'!AC38)</f>
        <v>1</v>
      </c>
      <c r="AI697">
        <f>IFERROR(AVERAGE('Dry_Litterbag Placem_Collection'!O38,'Dry_Litterbag Placem_Collection'!R38),"")</f>
        <v>3</v>
      </c>
      <c r="AJ697" s="268">
        <f>IFERROR(AVERAGE('Dry_Litterbag Placem_Collection'!N38,'Dry_Litterbag Placem_Collection'!Q38),"")</f>
        <v>25.85</v>
      </c>
      <c r="AK697" s="267">
        <f>INDEX(Coordinates!$B$2:$B$197,MATCH(H697,Coordinates!$J$2:$J$197,0))</f>
        <v>-3.40917198</v>
      </c>
      <c r="AL697" s="267">
        <f>INDEX(Coordinates!$C$2:$C$197,MATCH(H697,Coordinates!$J$2:$J$197,0))</f>
        <v>34.852960979999999</v>
      </c>
      <c r="AM697" s="267" t="str">
        <f>IF(ISNUMBER(SEARCH("C", 'Dry_Litterbag Placem_Collection'!V38)),"YES","NO")</f>
        <v>NO</v>
      </c>
      <c r="AN697" s="267" t="str">
        <f>IF(ISNUMBER(SEARCH("H", 'Dry_Litterbag Placem_Collection'!V38)),"YES","NO")</f>
        <v>NO</v>
      </c>
      <c r="AO697" s="267" t="str">
        <f>IF(ISNUMBER(SEARCH("R", 'Dry_Litterbag Placem_Collection'!V38)),"YES","NO")</f>
        <v>NO</v>
      </c>
    </row>
    <row r="698" spans="1:41" ht="15" customHeight="1">
      <c r="A698" s="259" t="s">
        <v>2643</v>
      </c>
      <c r="B698" s="260">
        <f>'Dry_Litterbag Placem_Collection'!A39</f>
        <v>37</v>
      </c>
      <c r="C698" s="260" t="str">
        <f>'Dry_Litterbag Placem_Collection'!B39</f>
        <v>Makao</v>
      </c>
      <c r="D698" s="260" t="s">
        <v>2643</v>
      </c>
      <c r="E698" s="260" t="s">
        <v>20</v>
      </c>
      <c r="F698" s="260">
        <v>1</v>
      </c>
      <c r="G698" s="260" t="s">
        <v>3805</v>
      </c>
      <c r="H698" s="261" t="str">
        <f>'Dry_Litterbag Placem_Collection'!C39</f>
        <v>Dry_P1_T5</v>
      </c>
      <c r="I698" s="270" t="s">
        <v>3630</v>
      </c>
      <c r="J698" s="271" t="s">
        <v>298</v>
      </c>
      <c r="K698" s="260" t="str">
        <f>IF(ISBLANK('Dry_Litterbag Placem_Collection'!M39),"","R"&amp;""&amp;'Dry_Litterbag Placem_Collection'!M39)</f>
        <v>R681</v>
      </c>
      <c r="L698" s="264">
        <f>IFERROR(INDEX('Green_rooibos initial weight'!$C$5:$C$2000,MATCH(K698, 'Green_rooibos initial weight'!$A$5:$A$2000,0)),"")</f>
        <v>2.1859999999999999</v>
      </c>
      <c r="M698" s="264">
        <f>IFERROR(L698-(TBIcalc!$Q$9+TBIcalc!$Q$10),"")</f>
        <v>1.9361999999999999</v>
      </c>
      <c r="N698" s="385">
        <f>AVERAGE(Ashed_controlls!$K$12:$K$14)</f>
        <v>2.2816647271287041</v>
      </c>
      <c r="O698" s="264">
        <f t="shared" si="51"/>
        <v>1.8920224075533341</v>
      </c>
      <c r="P698" s="264">
        <f>IFERROR(INDEX('Both teabags AfterDry'!$D$2:$D$2000,MATCH(K698,'Both teabags AfterDry'!$A$2:$A$2000,0)),"")</f>
        <v>1.9663999999999999</v>
      </c>
      <c r="Q698" s="264">
        <f>IFERROR(IF(P698&gt;0,P698-(TBIcalc!$Q$9),""),"")</f>
        <v>1.8157999999999999</v>
      </c>
      <c r="R698" s="275">
        <f>IFERROR(INDEX('Ashed teabags dry'!$K$2:$K$2000,MATCH(K698,'Ashed teabags dry'!$A$2:$A$2000,0)),"")</f>
        <v>4.1249999999999165</v>
      </c>
      <c r="S698" s="275">
        <f t="shared" si="52"/>
        <v>1.7408982500000014</v>
      </c>
      <c r="T698" s="265">
        <f>IF('Dry_Litterbag Placem_Collection'!E39="","",'Dry_Litterbag Placem_Collection'!E39)</f>
        <v>42938</v>
      </c>
      <c r="U698" s="265">
        <f>IF('Dry_Litterbag Placem_Collection'!G39="","",'Dry_Litterbag Placem_Collection'!G39)</f>
        <v>43005</v>
      </c>
      <c r="V698" s="266">
        <f t="shared" si="50"/>
        <v>67</v>
      </c>
      <c r="W698" s="264">
        <f t="shared" si="53"/>
        <v>0.12040000000000006</v>
      </c>
      <c r="X698" s="264">
        <f t="shared" si="54"/>
        <v>0.15112415755333264</v>
      </c>
      <c r="Y698" s="268">
        <f>IFERROR(INDEX(Rainfall_Dry!$O$2:$O$217,MATCH(B698, Rainfall_Dry!$A$2:$A$217,0)),"")</f>
        <v>6.5250000359999998</v>
      </c>
      <c r="Z698" s="257">
        <v>23.96</v>
      </c>
      <c r="AA698" s="257">
        <v>0.91999999999999804</v>
      </c>
      <c r="AB698" s="257">
        <v>75.12</v>
      </c>
      <c r="AC698" s="258" t="s">
        <v>2654</v>
      </c>
      <c r="AD698" s="257">
        <v>1.2493839329719072</v>
      </c>
      <c r="AE698">
        <f>IF('WetLitterbags placem_collection'!AB39="","",'WetLitterbags placem_collection'!AB39)</f>
        <v>8.3000000000000007</v>
      </c>
      <c r="AF698">
        <f>IF('WetLitterbags placem_collection'!Z39="","",'WetLitterbags placem_collection'!Z39)</f>
        <v>27.8</v>
      </c>
      <c r="AG698" s="243" t="str">
        <f>IF('WetLitterbags placem_collection'!AA39="","",'WetLitterbags placem_collection'!AA39)</f>
        <v>G</v>
      </c>
      <c r="AH698">
        <f>IF('WetLitterbags placem_collection'!AC39="","",'WetLitterbags placem_collection'!AC39)</f>
        <v>0</v>
      </c>
      <c r="AI698">
        <f>IFERROR(AVERAGE('Dry_Litterbag Placem_Collection'!O39,'Dry_Litterbag Placem_Collection'!R39),"")</f>
        <v>4.25</v>
      </c>
      <c r="AJ698" s="268">
        <f>IFERROR(AVERAGE('Dry_Litterbag Placem_Collection'!N39,'Dry_Litterbag Placem_Collection'!Q39),"")</f>
        <v>26.1</v>
      </c>
      <c r="AK698" s="267">
        <f>INDEX(Coordinates!$B$2:$B$197,MATCH(H698,Coordinates!$J$2:$J$197,0))</f>
        <v>-3.4090709779999999</v>
      </c>
      <c r="AL698" s="267">
        <f>INDEX(Coordinates!$C$2:$C$197,MATCH(H698,Coordinates!$J$2:$J$197,0))</f>
        <v>34.852712029999999</v>
      </c>
      <c r="AM698" s="267" t="str">
        <f>IF(ISNUMBER(SEARCH("C", 'Dry_Litterbag Placem_Collection'!V39)),"YES","NO")</f>
        <v>NO</v>
      </c>
      <c r="AN698" s="267" t="str">
        <f>IF(ISNUMBER(SEARCH("H", 'Dry_Litterbag Placem_Collection'!V39)),"YES","NO")</f>
        <v>NO</v>
      </c>
      <c r="AO698" s="267" t="str">
        <f>IF(ISNUMBER(SEARCH("R", 'Dry_Litterbag Placem_Collection'!V39)),"YES","NO")</f>
        <v>NO</v>
      </c>
    </row>
    <row r="699" spans="1:41" ht="15" customHeight="1">
      <c r="A699" s="259" t="s">
        <v>2643</v>
      </c>
      <c r="B699" s="260">
        <f>'Dry_Litterbag Placem_Collection'!A40</f>
        <v>38</v>
      </c>
      <c r="C699" s="260" t="str">
        <f>'Dry_Litterbag Placem_Collection'!B40</f>
        <v>Makao</v>
      </c>
      <c r="D699" s="260" t="s">
        <v>2643</v>
      </c>
      <c r="E699" s="260" t="s">
        <v>20</v>
      </c>
      <c r="F699" s="260">
        <v>1</v>
      </c>
      <c r="G699" s="260" t="s">
        <v>3805</v>
      </c>
      <c r="H699" s="261" t="str">
        <f>'Dry_Litterbag Placem_Collection'!C40</f>
        <v>Dry_P1_T6</v>
      </c>
      <c r="I699" s="270" t="s">
        <v>3630</v>
      </c>
      <c r="J699" s="271" t="s">
        <v>298</v>
      </c>
      <c r="K699" s="260" t="str">
        <f>IF(ISBLANK('Dry_Litterbag Placem_Collection'!M40),"","R"&amp;""&amp;'Dry_Litterbag Placem_Collection'!M40)</f>
        <v>R260</v>
      </c>
      <c r="L699" s="264">
        <f>IFERROR(INDEX('Green_rooibos initial weight'!$C$5:$C$2000,MATCH(K699, 'Green_rooibos initial weight'!$A$5:$A$2000,0)),"")</f>
        <v>2.1779999999999999</v>
      </c>
      <c r="M699" s="264">
        <f>IFERROR(L699-(TBIcalc!$Q$9+TBIcalc!$Q$10),"")</f>
        <v>1.9281999999999999</v>
      </c>
      <c r="N699" s="385">
        <f>AVERAGE(Ashed_controlls!$K$12:$K$14)</f>
        <v>2.2816647271287041</v>
      </c>
      <c r="O699" s="264">
        <f t="shared" si="51"/>
        <v>1.8842049407315042</v>
      </c>
      <c r="P699" s="264">
        <f>IFERROR(INDEX('Both teabags AfterDry'!$D$2:$D$2000,MATCH(K699,'Both teabags AfterDry'!$A$2:$A$2000,0)),"")</f>
        <v>1.8734</v>
      </c>
      <c r="Q699" s="264">
        <f>IFERROR(IF(P699&gt;0,P699-(TBIcalc!$Q$9),""),"")</f>
        <v>1.7227999999999999</v>
      </c>
      <c r="R699" s="275">
        <f>IFERROR(INDEX('Ashed teabags dry'!$K$2:$K$2000,MATCH(K699,'Ashed teabags dry'!$A$2:$A$2000,0)),"")</f>
        <v>3.7144036318613898</v>
      </c>
      <c r="S699" s="275">
        <f t="shared" si="52"/>
        <v>1.6588082542302918</v>
      </c>
      <c r="T699" s="265">
        <f>IF('Dry_Litterbag Placem_Collection'!E40="","",'Dry_Litterbag Placem_Collection'!E40)</f>
        <v>42938</v>
      </c>
      <c r="U699" s="265">
        <f>IF('Dry_Litterbag Placem_Collection'!G40="","",'Dry_Litterbag Placem_Collection'!G40)</f>
        <v>43005</v>
      </c>
      <c r="V699" s="266">
        <f t="shared" si="50"/>
        <v>67</v>
      </c>
      <c r="W699" s="264">
        <f t="shared" si="53"/>
        <v>0.20540000000000003</v>
      </c>
      <c r="X699" s="264">
        <f t="shared" si="54"/>
        <v>0.22539668650121247</v>
      </c>
      <c r="Y699" s="268">
        <f>IFERROR(INDEX(Rainfall_Dry!$O$2:$O$217,MATCH(B699, Rainfall_Dry!$A$2:$A$217,0)),"")</f>
        <v>6.5250000359999998</v>
      </c>
      <c r="Z699" s="257">
        <v>23.96</v>
      </c>
      <c r="AA699" s="257">
        <v>0.91999999999999804</v>
      </c>
      <c r="AB699" s="257">
        <v>75.12</v>
      </c>
      <c r="AC699" s="258" t="s">
        <v>2654</v>
      </c>
      <c r="AD699" s="257">
        <v>1.2493839329719072</v>
      </c>
      <c r="AE699">
        <f>IF('WetLitterbags placem_collection'!AB40="","",'WetLitterbags placem_collection'!AB40)</f>
        <v>2</v>
      </c>
      <c r="AF699">
        <f>IF('WetLitterbags placem_collection'!Z40="","",'WetLitterbags placem_collection'!Z40)</f>
        <v>20.399999999999999</v>
      </c>
      <c r="AG699" s="243" t="str">
        <f>IF('WetLitterbags placem_collection'!AA40="","",'WetLitterbags placem_collection'!AA40)</f>
        <v>O</v>
      </c>
      <c r="AH699">
        <f>IF('WetLitterbags placem_collection'!AC40="","",'WetLitterbags placem_collection'!AC40)</f>
        <v>0</v>
      </c>
      <c r="AI699">
        <f>IFERROR(AVERAGE('Dry_Litterbag Placem_Collection'!O40,'Dry_Litterbag Placem_Collection'!R40),"")</f>
        <v>2.85</v>
      </c>
      <c r="AJ699" s="268">
        <f>IFERROR(AVERAGE('Dry_Litterbag Placem_Collection'!N40,'Dry_Litterbag Placem_Collection'!Q40),"")</f>
        <v>26.7</v>
      </c>
      <c r="AK699" s="267">
        <f>INDEX(Coordinates!$B$2:$B$197,MATCH(H699,Coordinates!$J$2:$J$197,0))</f>
        <v>-3.409280023</v>
      </c>
      <c r="AL699" s="267">
        <f>INDEX(Coordinates!$C$2:$C$197,MATCH(H699,Coordinates!$J$2:$J$197,0))</f>
        <v>34.852612960000002</v>
      </c>
      <c r="AM699" s="267" t="str">
        <f>IF(ISNUMBER(SEARCH("C", 'Dry_Litterbag Placem_Collection'!V40)),"YES","NO")</f>
        <v>NO</v>
      </c>
      <c r="AN699" s="267" t="str">
        <f>IF(ISNUMBER(SEARCH("H", 'Dry_Litterbag Placem_Collection'!V40)),"YES","NO")</f>
        <v>NO</v>
      </c>
      <c r="AO699" s="267" t="str">
        <f>IF(ISNUMBER(SEARCH("R", 'Dry_Litterbag Placem_Collection'!V40)),"YES","NO")</f>
        <v>NO</v>
      </c>
    </row>
    <row r="700" spans="1:41" ht="15" customHeight="1">
      <c r="A700" s="259" t="s">
        <v>2643</v>
      </c>
      <c r="B700" s="260">
        <f>'Dry_Litterbag Placem_Collection'!A41</f>
        <v>39</v>
      </c>
      <c r="C700" s="260" t="str">
        <f>'Dry_Litterbag Placem_Collection'!B41</f>
        <v>Makao</v>
      </c>
      <c r="D700" s="260" t="s">
        <v>2643</v>
      </c>
      <c r="E700" s="260" t="s">
        <v>20</v>
      </c>
      <c r="F700" s="260">
        <v>1</v>
      </c>
      <c r="G700" s="260" t="s">
        <v>3805</v>
      </c>
      <c r="H700" s="261" t="str">
        <f>'Dry_Litterbag Placem_Collection'!C41</f>
        <v>Dry_P1_T7</v>
      </c>
      <c r="I700" s="270" t="s">
        <v>3630</v>
      </c>
      <c r="J700" s="271" t="s">
        <v>298</v>
      </c>
      <c r="K700" s="260" t="str">
        <f>IF(ISBLANK('Dry_Litterbag Placem_Collection'!M41),"","R"&amp;""&amp;'Dry_Litterbag Placem_Collection'!M41)</f>
        <v/>
      </c>
      <c r="L700" s="264" t="str">
        <f>IFERROR(INDEX('Green_rooibos initial weight'!$C$5:$C$2000,MATCH(K700, 'Green_rooibos initial weight'!$A$5:$A$2000,0)),"")</f>
        <v/>
      </c>
      <c r="M700" s="264" t="str">
        <f>IFERROR(L700-(TBIcalc!$Q$9+TBIcalc!$Q$10),"")</f>
        <v/>
      </c>
      <c r="N700" s="385">
        <f>AVERAGE(Ashed_controlls!$K$12:$K$14)</f>
        <v>2.2816647271287041</v>
      </c>
      <c r="O700" s="264" t="str">
        <f t="shared" si="51"/>
        <v/>
      </c>
      <c r="P700" s="264" t="str">
        <f>IFERROR(INDEX('Both teabags AfterDry'!$D$2:$D$2000,MATCH(K700,'Both teabags AfterDry'!$A$2:$A$2000,0)),"")</f>
        <v/>
      </c>
      <c r="Q700" s="264" t="str">
        <f>IFERROR(IF(P700&gt;0,P700-(TBIcalc!$Q$9),""),"")</f>
        <v/>
      </c>
      <c r="R700" s="275" t="str">
        <f>IFERROR(INDEX('Ashed teabags dry'!$K$2:$K$2000,MATCH(K700,'Ashed teabags dry'!$A$2:$A$2000,0)),"")</f>
        <v/>
      </c>
      <c r="S700" s="275" t="str">
        <f t="shared" si="52"/>
        <v/>
      </c>
      <c r="T700" s="265">
        <f>IF('Dry_Litterbag Placem_Collection'!E41="","",'Dry_Litterbag Placem_Collection'!E41)</f>
        <v>42938</v>
      </c>
      <c r="U700" s="265" t="str">
        <f>IF('Dry_Litterbag Placem_Collection'!G41="","",'Dry_Litterbag Placem_Collection'!G41)</f>
        <v/>
      </c>
      <c r="V700" s="266" t="str">
        <f t="shared" si="50"/>
        <v/>
      </c>
      <c r="W700" s="264" t="str">
        <f t="shared" si="53"/>
        <v/>
      </c>
      <c r="X700" s="264" t="str">
        <f t="shared" si="54"/>
        <v/>
      </c>
      <c r="Y700" s="268" t="str">
        <f>IFERROR(INDEX(Rainfall_Dry!$O$2:$O$217,MATCH(B700, Rainfall_Dry!$A$2:$A$217,0)),"")</f>
        <v/>
      </c>
      <c r="Z700" s="257">
        <v>23.96</v>
      </c>
      <c r="AA700" s="257">
        <v>0.91999999999999804</v>
      </c>
      <c r="AB700" s="257">
        <v>75.12</v>
      </c>
      <c r="AC700" s="258" t="s">
        <v>2654</v>
      </c>
      <c r="AD700" s="257">
        <v>1.2493839329719072</v>
      </c>
      <c r="AE700">
        <f>IF('WetLitterbags placem_collection'!AB41="","",'WetLitterbags placem_collection'!AB41)</f>
        <v>2.4</v>
      </c>
      <c r="AF700">
        <f>IF('WetLitterbags placem_collection'!Z41="","",'WetLitterbags placem_collection'!Z41)</f>
        <v>18</v>
      </c>
      <c r="AG700" s="243" t="str">
        <f>IF('WetLitterbags placem_collection'!AA41="","",'WetLitterbags placem_collection'!AA41)</f>
        <v>G</v>
      </c>
      <c r="AH700">
        <f>IF('WetLitterbags placem_collection'!AC41="","",'WetLitterbags placem_collection'!AC41)</f>
        <v>1</v>
      </c>
      <c r="AI700" t="str">
        <f>IFERROR(AVERAGE('Dry_Litterbag Placem_Collection'!O41,'Dry_Litterbag Placem_Collection'!R41),"")</f>
        <v/>
      </c>
      <c r="AJ700" s="268" t="str">
        <f>IFERROR(AVERAGE('Dry_Litterbag Placem_Collection'!N41,'Dry_Litterbag Placem_Collection'!Q41),"")</f>
        <v/>
      </c>
      <c r="AK700" s="267">
        <f>INDEX(Coordinates!$B$2:$B$197,MATCH(H700,Coordinates!$J$2:$J$197,0))</f>
        <v>-3.4093859700000002</v>
      </c>
      <c r="AL700" s="267">
        <f>INDEX(Coordinates!$C$2:$C$197,MATCH(H700,Coordinates!$J$2:$J$197,0))</f>
        <v>34.852855030000001</v>
      </c>
      <c r="AM700" s="267" t="str">
        <f>IF(ISNUMBER(SEARCH("C", 'Dry_Litterbag Placem_Collection'!V41)),"YES","NO")</f>
        <v>NO</v>
      </c>
      <c r="AN700" s="267" t="str">
        <f>IF(ISNUMBER(SEARCH("H", 'Dry_Litterbag Placem_Collection'!V41)),"YES","NO")</f>
        <v>NO</v>
      </c>
      <c r="AO700" s="267" t="str">
        <f>IF(ISNUMBER(SEARCH("R", 'Dry_Litterbag Placem_Collection'!V41)),"YES","NO")</f>
        <v>NO</v>
      </c>
    </row>
    <row r="701" spans="1:41" ht="15" customHeight="1">
      <c r="A701" s="259" t="s">
        <v>2643</v>
      </c>
      <c r="B701" s="260">
        <f>'Dry_Litterbag Placem_Collection'!A42</f>
        <v>40</v>
      </c>
      <c r="C701" s="260" t="str">
        <f>'Dry_Litterbag Placem_Collection'!B42</f>
        <v>Makao</v>
      </c>
      <c r="D701" s="260" t="s">
        <v>2643</v>
      </c>
      <c r="E701" s="260" t="s">
        <v>20</v>
      </c>
      <c r="F701" s="260">
        <v>1</v>
      </c>
      <c r="G701" s="260" t="s">
        <v>3805</v>
      </c>
      <c r="H701" s="261" t="str">
        <f>'Dry_Litterbag Placem_Collection'!C42</f>
        <v>Dry_P1_T8</v>
      </c>
      <c r="I701" s="270" t="s">
        <v>3630</v>
      </c>
      <c r="J701" s="271" t="s">
        <v>298</v>
      </c>
      <c r="K701" s="260" t="str">
        <f>IF(ISBLANK('Dry_Litterbag Placem_Collection'!M42),"","R"&amp;""&amp;'Dry_Litterbag Placem_Collection'!M42)</f>
        <v>R402</v>
      </c>
      <c r="L701" s="264">
        <f>IFERROR(INDEX('Green_rooibos initial weight'!$C$5:$C$2000,MATCH(K701, 'Green_rooibos initial weight'!$A$5:$A$2000,0)),"")</f>
        <v>2.1459999999999999</v>
      </c>
      <c r="M701" s="264">
        <f>IFERROR(L701-(TBIcalc!$Q$9+TBIcalc!$Q$10),"")</f>
        <v>1.8961999999999999</v>
      </c>
      <c r="N701" s="385">
        <f>AVERAGE(Ashed_controlls!$K$12:$K$14)</f>
        <v>2.2816647271287041</v>
      </c>
      <c r="O701" s="264">
        <f t="shared" si="51"/>
        <v>1.8529350734441854</v>
      </c>
      <c r="P701" s="264">
        <f>IFERROR(INDEX('Both teabags AfterDry'!$D$2:$D$2000,MATCH(K701,'Both teabags AfterDry'!$A$2:$A$2000,0)),"")</f>
        <v>1.9192</v>
      </c>
      <c r="Q701" s="264">
        <f>IFERROR(IF(P701&gt;0,P701-(TBIcalc!$Q$9),""),"")</f>
        <v>1.7685999999999999</v>
      </c>
      <c r="R701" s="275">
        <f>IFERROR(INDEX('Ashed teabags dry'!$K$2:$K$2000,MATCH(K701,'Ashed teabags dry'!$A$2:$A$2000,0)),"")</f>
        <v>3.0697674418608112</v>
      </c>
      <c r="S701" s="275">
        <f t="shared" si="52"/>
        <v>1.7143080930232497</v>
      </c>
      <c r="T701" s="265">
        <f>IF('Dry_Litterbag Placem_Collection'!E42="","",'Dry_Litterbag Placem_Collection'!E42)</f>
        <v>42938</v>
      </c>
      <c r="U701" s="265">
        <f>IF('Dry_Litterbag Placem_Collection'!G42="","",'Dry_Litterbag Placem_Collection'!G42)</f>
        <v>43005</v>
      </c>
      <c r="V701" s="266">
        <f t="shared" si="50"/>
        <v>67</v>
      </c>
      <c r="W701" s="264">
        <f t="shared" si="53"/>
        <v>0.12759999999999994</v>
      </c>
      <c r="X701" s="264">
        <f t="shared" si="54"/>
        <v>0.13862698042093569</v>
      </c>
      <c r="Y701" s="268">
        <f>IFERROR(INDEX(Rainfall_Dry!$O$2:$O$217,MATCH(B701, Rainfall_Dry!$A$2:$A$217,0)),"")</f>
        <v>6.5250000359999998</v>
      </c>
      <c r="Z701" s="257">
        <v>23.96</v>
      </c>
      <c r="AA701" s="257">
        <v>0.91999999999999804</v>
      </c>
      <c r="AB701" s="257">
        <v>75.12</v>
      </c>
      <c r="AC701" s="258" t="s">
        <v>2654</v>
      </c>
      <c r="AD701" s="257">
        <v>1.2493839329719072</v>
      </c>
      <c r="AE701">
        <f>IF('WetLitterbags placem_collection'!AB42="","",'WetLitterbags placem_collection'!AB42)</f>
        <v>8.6999999999999993</v>
      </c>
      <c r="AF701">
        <f>IF('WetLitterbags placem_collection'!Z42="","",'WetLitterbags placem_collection'!Z42)</f>
        <v>19.3</v>
      </c>
      <c r="AG701" s="243" t="str">
        <f>IF('WetLitterbags placem_collection'!AA42="","",'WetLitterbags placem_collection'!AA42)</f>
        <v>G</v>
      </c>
      <c r="AH701">
        <f>IF('WetLitterbags placem_collection'!AC42="","",'WetLitterbags placem_collection'!AC42)</f>
        <v>0</v>
      </c>
      <c r="AI701">
        <f>IFERROR(AVERAGE('Dry_Litterbag Placem_Collection'!O42,'Dry_Litterbag Placem_Collection'!R42),"")</f>
        <v>4.5999999999999996</v>
      </c>
      <c r="AJ701" s="268">
        <f>IFERROR(AVERAGE('Dry_Litterbag Placem_Collection'!N42,'Dry_Litterbag Placem_Collection'!Q42),"")</f>
        <v>26.2</v>
      </c>
      <c r="AK701" s="267">
        <f>INDEX(Coordinates!$B$2:$B$197,MATCH(H701,Coordinates!$J$2:$J$197,0))</f>
        <v>-3.4091539590000002</v>
      </c>
      <c r="AL701" s="267">
        <f>INDEX(Coordinates!$C$2:$C$197,MATCH(H701,Coordinates!$J$2:$J$197,0))</f>
        <v>34.852755029999997</v>
      </c>
      <c r="AM701" s="267" t="str">
        <f>IF(ISNUMBER(SEARCH("C", 'Dry_Litterbag Placem_Collection'!V42)),"YES","NO")</f>
        <v>NO</v>
      </c>
      <c r="AN701" s="267" t="str">
        <f>IF(ISNUMBER(SEARCH("H", 'Dry_Litterbag Placem_Collection'!V42)),"YES","NO")</f>
        <v>NO</v>
      </c>
      <c r="AO701" s="267" t="str">
        <f>IF(ISNUMBER(SEARCH("R", 'Dry_Litterbag Placem_Collection'!V42)),"YES","NO")</f>
        <v>NO</v>
      </c>
    </row>
    <row r="702" spans="1:41" ht="15" customHeight="1">
      <c r="A702" s="259" t="s">
        <v>2643</v>
      </c>
      <c r="B702" s="260">
        <f>'Dry_Litterbag Placem_Collection'!A43</f>
        <v>41</v>
      </c>
      <c r="C702" s="260" t="str">
        <f>'Dry_Litterbag Placem_Collection'!B43</f>
        <v>Makao</v>
      </c>
      <c r="D702" s="260" t="s">
        <v>2643</v>
      </c>
      <c r="E702" s="260" t="s">
        <v>20</v>
      </c>
      <c r="F702" s="260">
        <v>2</v>
      </c>
      <c r="G702" s="260" t="s">
        <v>3807</v>
      </c>
      <c r="H702" s="261" t="str">
        <f>'Dry_Litterbag Placem_Collection'!C43</f>
        <v>Dry_P2_T1</v>
      </c>
      <c r="I702" s="270" t="s">
        <v>3630</v>
      </c>
      <c r="J702" s="271" t="s">
        <v>298</v>
      </c>
      <c r="K702" s="260" t="str">
        <f>IF(ISBLANK('Dry_Litterbag Placem_Collection'!M43),"","R"&amp;""&amp;'Dry_Litterbag Placem_Collection'!M43)</f>
        <v>R648</v>
      </c>
      <c r="L702" s="264">
        <f>IFERROR(INDEX('Green_rooibos initial weight'!$C$5:$C$2000,MATCH(K702, 'Green_rooibos initial weight'!$A$5:$A$2000,0)),"")</f>
        <v>2.1920000000000002</v>
      </c>
      <c r="M702" s="264">
        <f>IFERROR(L702-(TBIcalc!$Q$9+TBIcalc!$Q$10),"")</f>
        <v>1.9422000000000001</v>
      </c>
      <c r="N702" s="385">
        <f>AVERAGE(Ashed_controlls!$K$12:$K$14)</f>
        <v>2.2816647271287041</v>
      </c>
      <c r="O702" s="264">
        <f t="shared" si="51"/>
        <v>1.8978855076697065</v>
      </c>
      <c r="P702" s="264">
        <f>IFERROR(INDEX('Both teabags AfterDry'!$D$2:$D$2000,MATCH(K702,'Both teabags AfterDry'!$A$2:$A$2000,0)),"")</f>
        <v>1.9649000000000001</v>
      </c>
      <c r="Q702" s="264">
        <f>IFERROR(IF(P702&gt;0,P702-(TBIcalc!$Q$9),""),"")</f>
        <v>1.8143</v>
      </c>
      <c r="R702" s="275">
        <f>IFERROR(INDEX('Ashed teabags dry'!$K$2:$K$2000,MATCH(K702,'Ashed teabags dry'!$A$2:$A$2000,0)),"")</f>
        <v>3.1295137217131312</v>
      </c>
      <c r="S702" s="275">
        <f t="shared" si="52"/>
        <v>1.7575212325469587</v>
      </c>
      <c r="T702" s="265">
        <f>IF('Dry_Litterbag Placem_Collection'!E43="","",'Dry_Litterbag Placem_Collection'!E43)</f>
        <v>42938</v>
      </c>
      <c r="U702" s="265">
        <f>IF('Dry_Litterbag Placem_Collection'!G43="","",'Dry_Litterbag Placem_Collection'!G43)</f>
        <v>43005</v>
      </c>
      <c r="V702" s="266">
        <f t="shared" si="50"/>
        <v>67</v>
      </c>
      <c r="W702" s="264">
        <f t="shared" si="53"/>
        <v>0.12790000000000012</v>
      </c>
      <c r="X702" s="264">
        <f t="shared" si="54"/>
        <v>0.14036427512274785</v>
      </c>
      <c r="Y702" s="268">
        <f>IFERROR(INDEX(Rainfall_Dry!$O$2:$O$217,MATCH(B702, Rainfall_Dry!$A$2:$A$217,0)),"")</f>
        <v>6.5250000359999998</v>
      </c>
      <c r="Z702" s="257">
        <v>19.96</v>
      </c>
      <c r="AA702" s="257">
        <v>4.9199999999999982</v>
      </c>
      <c r="AB702" s="257">
        <v>75.12</v>
      </c>
      <c r="AC702" s="258" t="s">
        <v>2655</v>
      </c>
      <c r="AD702" s="257">
        <v>1.641498275012321</v>
      </c>
      <c r="AE702">
        <f>IF('WetLitterbags placem_collection'!AB43="","",'WetLitterbags placem_collection'!AB43)</f>
        <v>4</v>
      </c>
      <c r="AF702">
        <f>IF('WetLitterbags placem_collection'!Z43="","",'WetLitterbags placem_collection'!Z43)</f>
        <v>19.100000000000001</v>
      </c>
      <c r="AG702" s="243" t="str">
        <f>IF('WetLitterbags placem_collection'!AA43="","",'WetLitterbags placem_collection'!AA43)</f>
        <v>G</v>
      </c>
      <c r="AH702">
        <f>IF('WetLitterbags placem_collection'!AC43="","",'WetLitterbags placem_collection'!AC43)</f>
        <v>0</v>
      </c>
      <c r="AI702">
        <f>IFERROR(AVERAGE('Dry_Litterbag Placem_Collection'!O43,'Dry_Litterbag Placem_Collection'!R43),"")</f>
        <v>4.6500000000000004</v>
      </c>
      <c r="AJ702" s="268">
        <f>IFERROR(AVERAGE('Dry_Litterbag Placem_Collection'!N43,'Dry_Litterbag Placem_Collection'!Q43),"")</f>
        <v>27.85</v>
      </c>
      <c r="AK702" s="267">
        <f>INDEX(Coordinates!$B$2:$B$197,MATCH(H702,Coordinates!$J$2:$J$197,0))</f>
        <v>-3.4083420040000001</v>
      </c>
      <c r="AL702" s="267">
        <f>INDEX(Coordinates!$C$2:$C$197,MATCH(H702,Coordinates!$J$2:$J$197,0))</f>
        <v>34.850283040000001</v>
      </c>
      <c r="AM702" s="267" t="str">
        <f>IF(ISNUMBER(SEARCH("C", 'Dry_Litterbag Placem_Collection'!V43)),"YES","NO")</f>
        <v>NO</v>
      </c>
      <c r="AN702" s="267" t="str">
        <f>IF(ISNUMBER(SEARCH("H", 'Dry_Litterbag Placem_Collection'!V43)),"YES","NO")</f>
        <v>NO</v>
      </c>
      <c r="AO702" s="267" t="str">
        <f>IF(ISNUMBER(SEARCH("R", 'Dry_Litterbag Placem_Collection'!V43)),"YES","NO")</f>
        <v>NO</v>
      </c>
    </row>
    <row r="703" spans="1:41" ht="15" customHeight="1">
      <c r="A703" s="259" t="s">
        <v>2643</v>
      </c>
      <c r="B703" s="260">
        <f>'Dry_Litterbag Placem_Collection'!A44</f>
        <v>42</v>
      </c>
      <c r="C703" s="260" t="str">
        <f>'Dry_Litterbag Placem_Collection'!B44</f>
        <v>Makao</v>
      </c>
      <c r="D703" s="260" t="s">
        <v>2643</v>
      </c>
      <c r="E703" s="260" t="s">
        <v>20</v>
      </c>
      <c r="F703" s="260">
        <v>2</v>
      </c>
      <c r="G703" s="260" t="s">
        <v>3807</v>
      </c>
      <c r="H703" s="261" t="str">
        <f>'Dry_Litterbag Placem_Collection'!C44</f>
        <v>Dry_P2_T2</v>
      </c>
      <c r="I703" s="270" t="s">
        <v>3630</v>
      </c>
      <c r="J703" s="271" t="s">
        <v>298</v>
      </c>
      <c r="K703" s="260" t="str">
        <f>IF(ISBLANK('Dry_Litterbag Placem_Collection'!M44),"","R"&amp;""&amp;'Dry_Litterbag Placem_Collection'!M44)</f>
        <v>R257</v>
      </c>
      <c r="L703" s="264">
        <f>IFERROR(INDEX('Green_rooibos initial weight'!$C$5:$C$2000,MATCH(K703, 'Green_rooibos initial weight'!$A$5:$A$2000,0)),"")</f>
        <v>2.222</v>
      </c>
      <c r="M703" s="264">
        <f>IFERROR(L703-(TBIcalc!$Q$9+TBIcalc!$Q$10),"")</f>
        <v>1.9722</v>
      </c>
      <c r="N703" s="385">
        <f>AVERAGE(Ashed_controlls!$K$12:$K$14)</f>
        <v>2.2816647271287041</v>
      </c>
      <c r="O703" s="264">
        <f t="shared" si="51"/>
        <v>1.9272010082515676</v>
      </c>
      <c r="P703" s="264">
        <f>IFERROR(INDEX('Both teabags AfterDry'!$D$2:$D$2000,MATCH(K703,'Both teabags AfterDry'!$A$2:$A$2000,0)),"")</f>
        <v>1.956</v>
      </c>
      <c r="Q703" s="264">
        <f>IFERROR(IF(P703&gt;0,P703-(TBIcalc!$Q$9),""),"")</f>
        <v>1.8053999999999999</v>
      </c>
      <c r="R703" s="275">
        <f>IFERROR(INDEX('Ashed teabags dry'!$K$2:$K$2000,MATCH(K703,'Ashed teabags dry'!$A$2:$A$2000,0)),"")</f>
        <v>2.8571428571426241</v>
      </c>
      <c r="S703" s="275">
        <f t="shared" si="52"/>
        <v>1.753817142857147</v>
      </c>
      <c r="T703" s="265">
        <f>IF('Dry_Litterbag Placem_Collection'!E44="","",'Dry_Litterbag Placem_Collection'!E44)</f>
        <v>42938</v>
      </c>
      <c r="U703" s="265">
        <f>IF('Dry_Litterbag Placem_Collection'!G44="","",'Dry_Litterbag Placem_Collection'!G44)</f>
        <v>43005</v>
      </c>
      <c r="V703" s="266">
        <f t="shared" si="50"/>
        <v>67</v>
      </c>
      <c r="W703" s="264">
        <f t="shared" si="53"/>
        <v>0.16680000000000006</v>
      </c>
      <c r="X703" s="264">
        <f t="shared" si="54"/>
        <v>0.17338386539442063</v>
      </c>
      <c r="Y703" s="268">
        <f>IFERROR(INDEX(Rainfall_Dry!$O$2:$O$217,MATCH(B703, Rainfall_Dry!$A$2:$A$217,0)),"")</f>
        <v>6.5250000359999998</v>
      </c>
      <c r="Z703" s="257">
        <v>19.96</v>
      </c>
      <c r="AA703" s="257">
        <v>4.9199999999999982</v>
      </c>
      <c r="AB703" s="257">
        <v>75.12</v>
      </c>
      <c r="AC703" s="258" t="s">
        <v>2655</v>
      </c>
      <c r="AD703" s="257">
        <v>1.641498275012321</v>
      </c>
      <c r="AE703">
        <f>IF('WetLitterbags placem_collection'!AB44="","",'WetLitterbags placem_collection'!AB44)</f>
        <v>5.9</v>
      </c>
      <c r="AF703">
        <f>IF('WetLitterbags placem_collection'!Z44="","",'WetLitterbags placem_collection'!Z44)</f>
        <v>12.7</v>
      </c>
      <c r="AG703" s="243" t="str">
        <f>IF('WetLitterbags placem_collection'!AA44="","",'WetLitterbags placem_collection'!AA44)</f>
        <v>G</v>
      </c>
      <c r="AH703">
        <f>IF('WetLitterbags placem_collection'!AC44="","",'WetLitterbags placem_collection'!AC44)</f>
        <v>0</v>
      </c>
      <c r="AI703">
        <f>IFERROR(AVERAGE('Dry_Litterbag Placem_Collection'!O44,'Dry_Litterbag Placem_Collection'!R44),"")</f>
        <v>5.1999999999999993</v>
      </c>
      <c r="AJ703" s="268">
        <f>IFERROR(AVERAGE('Dry_Litterbag Placem_Collection'!N44,'Dry_Litterbag Placem_Collection'!Q44),"")</f>
        <v>27.15</v>
      </c>
      <c r="AK703" s="267">
        <f>INDEX(Coordinates!$B$2:$B$197,MATCH(H703,Coordinates!$J$2:$J$197,0))</f>
        <v>-3.4084079690000002</v>
      </c>
      <c r="AL703" s="267">
        <f>INDEX(Coordinates!$C$2:$C$197,MATCH(H703,Coordinates!$J$2:$J$197,0))</f>
        <v>34.850295029999998</v>
      </c>
      <c r="AM703" s="267" t="str">
        <f>IF(ISNUMBER(SEARCH("C", 'Dry_Litterbag Placem_Collection'!V44)),"YES","NO")</f>
        <v>NO</v>
      </c>
      <c r="AN703" s="267" t="str">
        <f>IF(ISNUMBER(SEARCH("H", 'Dry_Litterbag Placem_Collection'!V44)),"YES","NO")</f>
        <v>NO</v>
      </c>
      <c r="AO703" s="267" t="str">
        <f>IF(ISNUMBER(SEARCH("R", 'Dry_Litterbag Placem_Collection'!V44)),"YES","NO")</f>
        <v>NO</v>
      </c>
    </row>
    <row r="704" spans="1:41" ht="15" customHeight="1">
      <c r="A704" s="259" t="s">
        <v>2643</v>
      </c>
      <c r="B704" s="260">
        <f>'Dry_Litterbag Placem_Collection'!A45</f>
        <v>43</v>
      </c>
      <c r="C704" s="260" t="str">
        <f>'Dry_Litterbag Placem_Collection'!B45</f>
        <v>Makao</v>
      </c>
      <c r="D704" s="260" t="s">
        <v>2643</v>
      </c>
      <c r="E704" s="260" t="s">
        <v>20</v>
      </c>
      <c r="F704" s="260">
        <v>2</v>
      </c>
      <c r="G704" s="260" t="s">
        <v>3807</v>
      </c>
      <c r="H704" s="261" t="str">
        <f>'Dry_Litterbag Placem_Collection'!C45</f>
        <v>Dry_P2_T3</v>
      </c>
      <c r="I704" s="270" t="s">
        <v>3630</v>
      </c>
      <c r="J704" s="271" t="s">
        <v>298</v>
      </c>
      <c r="K704" s="260" t="str">
        <f>IF(ISBLANK('Dry_Litterbag Placem_Collection'!M45),"","R"&amp;""&amp;'Dry_Litterbag Placem_Collection'!M45)</f>
        <v>R691</v>
      </c>
      <c r="L704" s="264">
        <f>IFERROR(INDEX('Green_rooibos initial weight'!$C$5:$C$2000,MATCH(K704, 'Green_rooibos initial weight'!$A$5:$A$2000,0)),"")</f>
        <v>2.1859999999999999</v>
      </c>
      <c r="M704" s="264">
        <f>IFERROR(L704-(TBIcalc!$Q$9+TBIcalc!$Q$10),"")</f>
        <v>1.9361999999999999</v>
      </c>
      <c r="N704" s="385">
        <f>AVERAGE(Ashed_controlls!$K$12:$K$14)</f>
        <v>2.2816647271287041</v>
      </c>
      <c r="O704" s="264">
        <f t="shared" si="51"/>
        <v>1.8920224075533341</v>
      </c>
      <c r="P704" s="264">
        <f>IFERROR(INDEX('Both teabags AfterDry'!$D$2:$D$2000,MATCH(K704,'Both teabags AfterDry'!$A$2:$A$2000,0)),"")</f>
        <v>1.9609000000000001</v>
      </c>
      <c r="Q704" s="264">
        <f>IFERROR(IF(P704&gt;0,P704-(TBIcalc!$Q$9),""),"")</f>
        <v>1.8103</v>
      </c>
      <c r="R704" s="275">
        <f>IFERROR(INDEX('Ashed teabags dry'!$K$2:$K$2000,MATCH(K704,'Ashed teabags dry'!$A$2:$A$2000,0)),"")</f>
        <v>3.8599640933580917</v>
      </c>
      <c r="S704" s="275">
        <f t="shared" si="52"/>
        <v>1.7404230700179384</v>
      </c>
      <c r="T704" s="265">
        <f>IF('Dry_Litterbag Placem_Collection'!E45="","",'Dry_Litterbag Placem_Collection'!E45)</f>
        <v>42938</v>
      </c>
      <c r="U704" s="265">
        <f>IF('Dry_Litterbag Placem_Collection'!G45="","",'Dry_Litterbag Placem_Collection'!G45)</f>
        <v>43005</v>
      </c>
      <c r="V704" s="266">
        <f t="shared" si="50"/>
        <v>67</v>
      </c>
      <c r="W704" s="264">
        <f t="shared" si="53"/>
        <v>0.1258999999999999</v>
      </c>
      <c r="X704" s="264">
        <f t="shared" si="54"/>
        <v>0.15159933753539567</v>
      </c>
      <c r="Y704" s="268">
        <f>IFERROR(INDEX(Rainfall_Dry!$O$2:$O$217,MATCH(B704, Rainfall_Dry!$A$2:$A$217,0)),"")</f>
        <v>6.5250000359999998</v>
      </c>
      <c r="Z704" s="257">
        <v>19.96</v>
      </c>
      <c r="AA704" s="257">
        <v>4.9199999999999982</v>
      </c>
      <c r="AB704" s="257">
        <v>75.12</v>
      </c>
      <c r="AC704" s="258" t="s">
        <v>2655</v>
      </c>
      <c r="AD704" s="257">
        <v>1.641498275012321</v>
      </c>
      <c r="AE704">
        <f>IF('WetLitterbags placem_collection'!AB45="","",'WetLitterbags placem_collection'!AB45)</f>
        <v>5</v>
      </c>
      <c r="AF704">
        <f>IF('WetLitterbags placem_collection'!Z45="","",'WetLitterbags placem_collection'!Z45)</f>
        <v>26.3</v>
      </c>
      <c r="AG704" s="243" t="str">
        <f>IF('WetLitterbags placem_collection'!AA45="","",'WetLitterbags placem_collection'!AA45)</f>
        <v>G</v>
      </c>
      <c r="AH704">
        <f>IF('WetLitterbags placem_collection'!AC45="","",'WetLitterbags placem_collection'!AC45)</f>
        <v>0</v>
      </c>
      <c r="AI704">
        <f>IFERROR(AVERAGE('Dry_Litterbag Placem_Collection'!O45,'Dry_Litterbag Placem_Collection'!R45),"")</f>
        <v>2.4500000000000002</v>
      </c>
      <c r="AJ704" s="268">
        <f>IFERROR(AVERAGE('Dry_Litterbag Placem_Collection'!N45,'Dry_Litterbag Placem_Collection'!Q45),"")</f>
        <v>26.1</v>
      </c>
      <c r="AK704" s="267">
        <f>INDEX(Coordinates!$B$2:$B$197,MATCH(H704,Coordinates!$J$2:$J$197,0))</f>
        <v>-3.4082369789999998</v>
      </c>
      <c r="AL704" s="267">
        <f>INDEX(Coordinates!$C$2:$C$197,MATCH(H704,Coordinates!$J$2:$J$197,0))</f>
        <v>34.850189999999998</v>
      </c>
      <c r="AM704" s="267" t="str">
        <f>IF(ISNUMBER(SEARCH("C", 'Dry_Litterbag Placem_Collection'!V45)),"YES","NO")</f>
        <v>NO</v>
      </c>
      <c r="AN704" s="267" t="str">
        <f>IF(ISNUMBER(SEARCH("H", 'Dry_Litterbag Placem_Collection'!V45)),"YES","NO")</f>
        <v>NO</v>
      </c>
      <c r="AO704" s="267" t="str">
        <f>IF(ISNUMBER(SEARCH("R", 'Dry_Litterbag Placem_Collection'!V45)),"YES","NO")</f>
        <v>NO</v>
      </c>
    </row>
    <row r="705" spans="1:41" ht="15" customHeight="1">
      <c r="A705" s="259" t="s">
        <v>2643</v>
      </c>
      <c r="B705" s="260">
        <f>'Dry_Litterbag Placem_Collection'!A46</f>
        <v>44</v>
      </c>
      <c r="C705" s="260" t="str">
        <f>'Dry_Litterbag Placem_Collection'!B46</f>
        <v>Makao</v>
      </c>
      <c r="D705" s="260" t="s">
        <v>2643</v>
      </c>
      <c r="E705" s="260" t="s">
        <v>20</v>
      </c>
      <c r="F705" s="260">
        <v>2</v>
      </c>
      <c r="G705" s="260" t="s">
        <v>3807</v>
      </c>
      <c r="H705" s="261" t="str">
        <f>'Dry_Litterbag Placem_Collection'!C46</f>
        <v>Dry_P2_T4</v>
      </c>
      <c r="I705" s="270" t="s">
        <v>3630</v>
      </c>
      <c r="J705" s="271" t="s">
        <v>298</v>
      </c>
      <c r="K705" s="260" t="str">
        <f>IF(ISBLANK('Dry_Litterbag Placem_Collection'!M46),"","R"&amp;""&amp;'Dry_Litterbag Placem_Collection'!M46)</f>
        <v>R716</v>
      </c>
      <c r="L705" s="264">
        <f>IFERROR(INDEX('Green_rooibos initial weight'!$C$5:$C$2000,MATCH(K705, 'Green_rooibos initial weight'!$A$5:$A$2000,0)),"")</f>
        <v>2.2280000000000002</v>
      </c>
      <c r="M705" s="264">
        <f>IFERROR(L705-(TBIcalc!$Q$9+TBIcalc!$Q$10),"")</f>
        <v>1.9782000000000002</v>
      </c>
      <c r="N705" s="385">
        <f>AVERAGE(Ashed_controlls!$K$12:$K$14)</f>
        <v>2.2816647271287041</v>
      </c>
      <c r="O705" s="264">
        <f t="shared" si="51"/>
        <v>1.9330641083679401</v>
      </c>
      <c r="P705" s="264">
        <f>IFERROR(INDEX('Both teabags AfterDry'!$D$2:$D$2000,MATCH(K705,'Both teabags AfterDry'!$A$2:$A$2000,0)),"")</f>
        <v>1.9879</v>
      </c>
      <c r="Q705" s="264">
        <f>IFERROR(IF(P705&gt;0,P705-(TBIcalc!$Q$9),""),"")</f>
        <v>1.8372999999999999</v>
      </c>
      <c r="R705" s="275">
        <f>IFERROR(INDEX('Ashed teabags dry'!$K$2:$K$2000,MATCH(K705,'Ashed teabags dry'!$A$2:$A$2000,0)),"")</f>
        <v>2.9353233830845578</v>
      </c>
      <c r="S705" s="275">
        <f t="shared" si="52"/>
        <v>1.7833693034825873</v>
      </c>
      <c r="T705" s="265">
        <f>IF('Dry_Litterbag Placem_Collection'!E46="","",'Dry_Litterbag Placem_Collection'!E46)</f>
        <v>42938</v>
      </c>
      <c r="U705" s="265">
        <f>IF('Dry_Litterbag Placem_Collection'!G46="","",'Dry_Litterbag Placem_Collection'!G46)</f>
        <v>43005</v>
      </c>
      <c r="V705" s="266">
        <f t="shared" si="50"/>
        <v>67</v>
      </c>
      <c r="W705" s="264">
        <f t="shared" si="53"/>
        <v>0.14090000000000025</v>
      </c>
      <c r="X705" s="264">
        <f t="shared" si="54"/>
        <v>0.14969480488535281</v>
      </c>
      <c r="Y705" s="268">
        <f>IFERROR(INDEX(Rainfall_Dry!$O$2:$O$217,MATCH(B705, Rainfall_Dry!$A$2:$A$217,0)),"")</f>
        <v>6.5250000359999998</v>
      </c>
      <c r="Z705" s="257">
        <v>19.96</v>
      </c>
      <c r="AA705" s="257">
        <v>4.9199999999999982</v>
      </c>
      <c r="AB705" s="257">
        <v>75.12</v>
      </c>
      <c r="AC705" s="258" t="s">
        <v>2655</v>
      </c>
      <c r="AD705" s="257">
        <v>1.641498275012321</v>
      </c>
      <c r="AE705">
        <f>IF('WetLitterbags placem_collection'!AB46="","",'WetLitterbags placem_collection'!AB46)</f>
        <v>2.6</v>
      </c>
      <c r="AF705">
        <f>IF('WetLitterbags placem_collection'!Z46="","",'WetLitterbags placem_collection'!Z46)</f>
        <v>39.200000000000003</v>
      </c>
      <c r="AG705" s="243" t="str">
        <f>IF('WetLitterbags placem_collection'!AA46="","",'WetLitterbags placem_collection'!AA46)</f>
        <v>G</v>
      </c>
      <c r="AH705">
        <f>IF('WetLitterbags placem_collection'!AC46="","",'WetLitterbags placem_collection'!AC46)</f>
        <v>0</v>
      </c>
      <c r="AI705">
        <f>IFERROR(AVERAGE('Dry_Litterbag Placem_Collection'!O46,'Dry_Litterbag Placem_Collection'!R46),"")</f>
        <v>3.8499999999999996</v>
      </c>
      <c r="AJ705" s="268">
        <f>IFERROR(AVERAGE('Dry_Litterbag Placem_Collection'!N46,'Dry_Litterbag Placem_Collection'!Q46),"")</f>
        <v>26.5</v>
      </c>
      <c r="AK705" s="267">
        <f>INDEX(Coordinates!$B$2:$B$197,MATCH(H705,Coordinates!$J$2:$J$197,0))</f>
        <v>-3.4081529920000002</v>
      </c>
      <c r="AL705" s="267">
        <f>INDEX(Coordinates!$C$2:$C$197,MATCH(H705,Coordinates!$J$2:$J$197,0))</f>
        <v>34.850168959999998</v>
      </c>
      <c r="AM705" s="267" t="str">
        <f>IF(ISNUMBER(SEARCH("C", 'Dry_Litterbag Placem_Collection'!V46)),"YES","NO")</f>
        <v>NO</v>
      </c>
      <c r="AN705" s="267" t="str">
        <f>IF(ISNUMBER(SEARCH("H", 'Dry_Litterbag Placem_Collection'!V46)),"YES","NO")</f>
        <v>NO</v>
      </c>
      <c r="AO705" s="267" t="str">
        <f>IF(ISNUMBER(SEARCH("R", 'Dry_Litterbag Placem_Collection'!V46)),"YES","NO")</f>
        <v>NO</v>
      </c>
    </row>
    <row r="706" spans="1:41" ht="15" customHeight="1">
      <c r="A706" s="259" t="s">
        <v>2643</v>
      </c>
      <c r="B706" s="260">
        <f>'Dry_Litterbag Placem_Collection'!A47</f>
        <v>45</v>
      </c>
      <c r="C706" s="260" t="str">
        <f>'Dry_Litterbag Placem_Collection'!B47</f>
        <v>Makao</v>
      </c>
      <c r="D706" s="260" t="s">
        <v>2643</v>
      </c>
      <c r="E706" s="260" t="s">
        <v>20</v>
      </c>
      <c r="F706" s="260">
        <v>2</v>
      </c>
      <c r="G706" s="260" t="s">
        <v>3807</v>
      </c>
      <c r="H706" s="261" t="str">
        <f>'Dry_Litterbag Placem_Collection'!C47</f>
        <v>Dry_P2_T5</v>
      </c>
      <c r="I706" s="270" t="s">
        <v>3630</v>
      </c>
      <c r="J706" s="271" t="s">
        <v>298</v>
      </c>
      <c r="K706" s="260" t="str">
        <f>IF(ISBLANK('Dry_Litterbag Placem_Collection'!M47),"","R"&amp;""&amp;'Dry_Litterbag Placem_Collection'!M47)</f>
        <v>R631</v>
      </c>
      <c r="L706" s="264">
        <f>IFERROR(INDEX('Green_rooibos initial weight'!$C$5:$C$2000,MATCH(K706, 'Green_rooibos initial weight'!$A$5:$A$2000,0)),"")</f>
        <v>2.133</v>
      </c>
      <c r="M706" s="264">
        <f>IFERROR(L706-(TBIcalc!$Q$9+TBIcalc!$Q$10),"")</f>
        <v>1.8832</v>
      </c>
      <c r="N706" s="385">
        <f>AVERAGE(Ashed_controlls!$K$12:$K$14)</f>
        <v>2.2816647271287041</v>
      </c>
      <c r="O706" s="264">
        <f t="shared" si="51"/>
        <v>1.8402316898587123</v>
      </c>
      <c r="P706" s="264" t="str">
        <f>IFERROR(INDEX('Both teabags AfterDry'!$D$2:$D$2000,MATCH(K706,'Both teabags AfterDry'!$A$2:$A$2000,0)),"")</f>
        <v/>
      </c>
      <c r="Q706" s="264" t="str">
        <f>IFERROR(IF(P706&gt;0,P706-(TBIcalc!$Q$9),""),"")</f>
        <v/>
      </c>
      <c r="R706" s="275" t="str">
        <f>IFERROR(INDEX('Ashed teabags dry'!$K$2:$K$2000,MATCH(K706,'Ashed teabags dry'!$A$2:$A$2000,0)),"")</f>
        <v/>
      </c>
      <c r="S706" s="275" t="str">
        <f t="shared" si="52"/>
        <v/>
      </c>
      <c r="T706" s="265">
        <f>IF('Dry_Litterbag Placem_Collection'!E47="","",'Dry_Litterbag Placem_Collection'!E47)</f>
        <v>42938</v>
      </c>
      <c r="U706" s="265">
        <f>IF('Dry_Litterbag Placem_Collection'!G47="","",'Dry_Litterbag Placem_Collection'!G47)</f>
        <v>43005</v>
      </c>
      <c r="V706" s="266">
        <f t="shared" ref="V706:V769" si="55">IFERROR(U706-T706,"")</f>
        <v>67</v>
      </c>
      <c r="W706" s="264" t="str">
        <f t="shared" si="53"/>
        <v/>
      </c>
      <c r="X706" s="264" t="str">
        <f t="shared" si="54"/>
        <v/>
      </c>
      <c r="Y706" s="268">
        <f>IFERROR(INDEX(Rainfall_Dry!$O$2:$O$217,MATCH(B706, Rainfall_Dry!$A$2:$A$217,0)),"")</f>
        <v>6.5250000359999998</v>
      </c>
      <c r="Z706" s="257">
        <v>19.96</v>
      </c>
      <c r="AA706" s="257">
        <v>4.9199999999999982</v>
      </c>
      <c r="AB706" s="257">
        <v>75.12</v>
      </c>
      <c r="AC706" s="258" t="s">
        <v>2655</v>
      </c>
      <c r="AD706" s="257">
        <v>1.641498275012321</v>
      </c>
      <c r="AE706">
        <f>IF('WetLitterbags placem_collection'!AB47="","",'WetLitterbags placem_collection'!AB47)</f>
        <v>2.2999999999999998</v>
      </c>
      <c r="AF706">
        <f>IF('WetLitterbags placem_collection'!Z47="","",'WetLitterbags placem_collection'!Z47)</f>
        <v>9.3000000000000007</v>
      </c>
      <c r="AG706" s="243" t="str">
        <f>IF('WetLitterbags placem_collection'!AA47="","",'WetLitterbags placem_collection'!AA47)</f>
        <v>O</v>
      </c>
      <c r="AH706">
        <f>IF('WetLitterbags placem_collection'!AC47="","",'WetLitterbags placem_collection'!AC47)</f>
        <v>0</v>
      </c>
      <c r="AI706">
        <f>IFERROR(AVERAGE('Dry_Litterbag Placem_Collection'!O47,'Dry_Litterbag Placem_Collection'!R47),"")</f>
        <v>4.0999999999999996</v>
      </c>
      <c r="AJ706" s="268">
        <f>IFERROR(AVERAGE('Dry_Litterbag Placem_Collection'!N47,'Dry_Litterbag Placem_Collection'!Q47),"")</f>
        <v>27.25</v>
      </c>
      <c r="AK706" s="267">
        <f>INDEX(Coordinates!$B$2:$B$197,MATCH(H706,Coordinates!$J$2:$J$197,0))</f>
        <v>-3.4081789759999999</v>
      </c>
      <c r="AL706" s="267">
        <f>INDEX(Coordinates!$C$2:$C$197,MATCH(H706,Coordinates!$J$2:$J$197,0))</f>
        <v>34.850516980000002</v>
      </c>
      <c r="AM706" s="267" t="str">
        <f>IF(ISNUMBER(SEARCH("C", 'Dry_Litterbag Placem_Collection'!V47)),"YES","NO")</f>
        <v>NO</v>
      </c>
      <c r="AN706" s="267" t="str">
        <f>IF(ISNUMBER(SEARCH("H", 'Dry_Litterbag Placem_Collection'!V47)),"YES","NO")</f>
        <v>NO</v>
      </c>
      <c r="AO706" s="267" t="str">
        <f>IF(ISNUMBER(SEARCH("R", 'Dry_Litterbag Placem_Collection'!V47)),"YES","NO")</f>
        <v>NO</v>
      </c>
    </row>
    <row r="707" spans="1:41" ht="15" customHeight="1">
      <c r="A707" s="259" t="s">
        <v>2643</v>
      </c>
      <c r="B707" s="260">
        <f>'Dry_Litterbag Placem_Collection'!A48</f>
        <v>46</v>
      </c>
      <c r="C707" s="260" t="str">
        <f>'Dry_Litterbag Placem_Collection'!B48</f>
        <v>Makao</v>
      </c>
      <c r="D707" s="260" t="s">
        <v>2643</v>
      </c>
      <c r="E707" s="260" t="s">
        <v>20</v>
      </c>
      <c r="F707" s="260">
        <v>2</v>
      </c>
      <c r="G707" s="260" t="s">
        <v>3807</v>
      </c>
      <c r="H707" s="261" t="str">
        <f>'Dry_Litterbag Placem_Collection'!C48</f>
        <v>Dry_P2_T6</v>
      </c>
      <c r="I707" s="270" t="s">
        <v>3630</v>
      </c>
      <c r="J707" s="271" t="s">
        <v>298</v>
      </c>
      <c r="K707" s="260" t="str">
        <f>IF(ISBLANK('Dry_Litterbag Placem_Collection'!M48),"","R"&amp;""&amp;'Dry_Litterbag Placem_Collection'!M48)</f>
        <v/>
      </c>
      <c r="L707" s="264" t="str">
        <f>IFERROR(INDEX('Green_rooibos initial weight'!$C$5:$C$2000,MATCH(K707, 'Green_rooibos initial weight'!$A$5:$A$2000,0)),"")</f>
        <v/>
      </c>
      <c r="M707" s="264" t="str">
        <f>IFERROR(L707-(TBIcalc!$Q$9+TBIcalc!$Q$10),"")</f>
        <v/>
      </c>
      <c r="N707" s="385">
        <f>AVERAGE(Ashed_controlls!$K$12:$K$14)</f>
        <v>2.2816647271287041</v>
      </c>
      <c r="O707" s="264" t="str">
        <f t="shared" ref="O707:O770" si="56">IFERROR(M707-(N707/100)*M707,"")</f>
        <v/>
      </c>
      <c r="P707" s="264" t="str">
        <f>IFERROR(INDEX('Both teabags AfterDry'!$D$2:$D$2000,MATCH(K707,'Both teabags AfterDry'!$A$2:$A$2000,0)),"")</f>
        <v/>
      </c>
      <c r="Q707" s="264" t="str">
        <f>IFERROR(IF(P707&gt;0,P707-(TBIcalc!$Q$9),""),"")</f>
        <v/>
      </c>
      <c r="R707" s="275" t="str">
        <f>IFERROR(INDEX('Ashed teabags dry'!$K$2:$K$2000,MATCH(K707,'Ashed teabags dry'!$A$2:$A$2000,0)),"")</f>
        <v/>
      </c>
      <c r="S707" s="275" t="str">
        <f t="shared" ref="S707:S770" si="57">IFERROR(Q707-(R707/100)*Q707,"")</f>
        <v/>
      </c>
      <c r="T707" s="265" t="str">
        <f>IF('Dry_Litterbag Placem_Collection'!E48="","",'Dry_Litterbag Placem_Collection'!E48)</f>
        <v/>
      </c>
      <c r="U707" s="265" t="str">
        <f>IF('Dry_Litterbag Placem_Collection'!G48="","",'Dry_Litterbag Placem_Collection'!G48)</f>
        <v/>
      </c>
      <c r="V707" s="266" t="str">
        <f t="shared" si="55"/>
        <v/>
      </c>
      <c r="W707" s="264" t="str">
        <f t="shared" ref="W707:W770" si="58">IFERROR(M707-Q707,"")</f>
        <v/>
      </c>
      <c r="X707" s="264" t="str">
        <f t="shared" ref="X707:X770" si="59">IFERROR(O707-S707,"")</f>
        <v/>
      </c>
      <c r="Y707" s="268" t="str">
        <f>IFERROR(INDEX(Rainfall_Dry!$O$2:$O$217,MATCH(B707, Rainfall_Dry!$A$2:$A$217,0)),"")</f>
        <v/>
      </c>
      <c r="Z707" s="257">
        <v>19.96</v>
      </c>
      <c r="AA707" s="257">
        <v>4.9199999999999982</v>
      </c>
      <c r="AB707" s="257">
        <v>75.12</v>
      </c>
      <c r="AC707" s="258" t="s">
        <v>2655</v>
      </c>
      <c r="AD707" s="257">
        <v>1.641498275012321</v>
      </c>
      <c r="AE707" t="str">
        <f>IF('WetLitterbags placem_collection'!AB48="","",'WetLitterbags placem_collection'!AB48)</f>
        <v/>
      </c>
      <c r="AF707" t="str">
        <f>IF('WetLitterbags placem_collection'!Z48="","",'WetLitterbags placem_collection'!Z48)</f>
        <v/>
      </c>
      <c r="AG707" s="243" t="str">
        <f>IF('WetLitterbags placem_collection'!AA48="","",'WetLitterbags placem_collection'!AA48)</f>
        <v/>
      </c>
      <c r="AH707" t="str">
        <f>IF('WetLitterbags placem_collection'!AC48="","",'WetLitterbags placem_collection'!AC48)</f>
        <v/>
      </c>
      <c r="AI707" t="str">
        <f>IFERROR(AVERAGE('Dry_Litterbag Placem_Collection'!O48,'Dry_Litterbag Placem_Collection'!R48),"")</f>
        <v/>
      </c>
      <c r="AJ707" s="268" t="str">
        <f>IFERROR(AVERAGE('Dry_Litterbag Placem_Collection'!N48,'Dry_Litterbag Placem_Collection'!Q48),"")</f>
        <v/>
      </c>
      <c r="AK707" s="267">
        <f>INDEX(Coordinates!$B$2:$B$197,MATCH(H707,Coordinates!$J$2:$J$197,0))</f>
        <v>-3.4084730130000001</v>
      </c>
      <c r="AL707" s="267">
        <f>INDEX(Coordinates!$C$2:$C$197,MATCH(H707,Coordinates!$J$2:$J$197,0))</f>
        <v>34.850401980000001</v>
      </c>
      <c r="AM707" s="267" t="str">
        <f>IF(ISNUMBER(SEARCH("C", 'Dry_Litterbag Placem_Collection'!V48)),"YES","NO")</f>
        <v>NO</v>
      </c>
      <c r="AN707" s="267" t="str">
        <f>IF(ISNUMBER(SEARCH("H", 'Dry_Litterbag Placem_Collection'!V48)),"YES","NO")</f>
        <v>NO</v>
      </c>
      <c r="AO707" s="267" t="str">
        <f>IF(ISNUMBER(SEARCH("R", 'Dry_Litterbag Placem_Collection'!V48)),"YES","NO")</f>
        <v>NO</v>
      </c>
    </row>
    <row r="708" spans="1:41" ht="15" customHeight="1">
      <c r="A708" s="259" t="s">
        <v>2643</v>
      </c>
      <c r="B708" s="260">
        <f>'Dry_Litterbag Placem_Collection'!A49</f>
        <v>47</v>
      </c>
      <c r="C708" s="260" t="str">
        <f>'Dry_Litterbag Placem_Collection'!B49</f>
        <v>Makao</v>
      </c>
      <c r="D708" s="260" t="s">
        <v>2643</v>
      </c>
      <c r="E708" s="260" t="s">
        <v>20</v>
      </c>
      <c r="F708" s="260">
        <v>2</v>
      </c>
      <c r="G708" s="260" t="s">
        <v>3807</v>
      </c>
      <c r="H708" s="261" t="str">
        <f>'Dry_Litterbag Placem_Collection'!C49</f>
        <v>Dry_P2_T7</v>
      </c>
      <c r="I708" s="270" t="s">
        <v>3630</v>
      </c>
      <c r="J708" s="271" t="s">
        <v>298</v>
      </c>
      <c r="K708" s="260" t="str">
        <f>IF(ISBLANK('Dry_Litterbag Placem_Collection'!M49),"","R"&amp;""&amp;'Dry_Litterbag Placem_Collection'!M49)</f>
        <v>R606</v>
      </c>
      <c r="L708" s="264">
        <f>IFERROR(INDEX('Green_rooibos initial weight'!$C$5:$C$2000,MATCH(K708, 'Green_rooibos initial weight'!$A$5:$A$2000,0)),"")</f>
        <v>2.15</v>
      </c>
      <c r="M708" s="264">
        <f>IFERROR(L708-(TBIcalc!$Q$9+TBIcalc!$Q$10),"")</f>
        <v>1.9001999999999999</v>
      </c>
      <c r="N708" s="385">
        <f>AVERAGE(Ashed_controlls!$K$12:$K$14)</f>
        <v>2.2816647271287041</v>
      </c>
      <c r="O708" s="264">
        <f t="shared" si="56"/>
        <v>1.8568438068551003</v>
      </c>
      <c r="P708" s="264">
        <f>IFERROR(INDEX('Both teabags AfterDry'!$D$2:$D$2000,MATCH(K708,'Both teabags AfterDry'!$A$2:$A$2000,0)),"")</f>
        <v>1.9615</v>
      </c>
      <c r="Q708" s="264">
        <f>IFERROR(IF(P708&gt;0,P708-(TBIcalc!$Q$9),""),"")</f>
        <v>1.8109</v>
      </c>
      <c r="R708" s="275">
        <f>IFERROR(INDEX('Ashed teabags dry'!$K$2:$K$2000,MATCH(K708,'Ashed teabags dry'!$A$2:$A$2000,0)),"")</f>
        <v>1.9589106545621751</v>
      </c>
      <c r="S708" s="275">
        <f t="shared" si="57"/>
        <v>1.7754260869565335</v>
      </c>
      <c r="T708" s="265">
        <f>IF('Dry_Litterbag Placem_Collection'!E49="","",'Dry_Litterbag Placem_Collection'!E49)</f>
        <v>42938</v>
      </c>
      <c r="U708" s="265">
        <f>IF('Dry_Litterbag Placem_Collection'!G49="","",'Dry_Litterbag Placem_Collection'!G49)</f>
        <v>43005</v>
      </c>
      <c r="V708" s="266">
        <f t="shared" si="55"/>
        <v>67</v>
      </c>
      <c r="W708" s="264">
        <f t="shared" si="58"/>
        <v>8.9299999999999935E-2</v>
      </c>
      <c r="X708" s="264">
        <f t="shared" si="59"/>
        <v>8.1417719898566832E-2</v>
      </c>
      <c r="Y708" s="268">
        <f>IFERROR(INDEX(Rainfall_Dry!$O$2:$O$217,MATCH(B708, Rainfall_Dry!$A$2:$A$217,0)),"")</f>
        <v>6.5250000359999998</v>
      </c>
      <c r="Z708" s="257">
        <v>19.96</v>
      </c>
      <c r="AA708" s="257">
        <v>4.9199999999999982</v>
      </c>
      <c r="AB708" s="257">
        <v>75.12</v>
      </c>
      <c r="AC708" s="258" t="s">
        <v>2655</v>
      </c>
      <c r="AD708" s="257">
        <v>1.641498275012321</v>
      </c>
      <c r="AE708">
        <f>IF('WetLitterbags placem_collection'!AB49="","",'WetLitterbags placem_collection'!AB49)</f>
        <v>5.2</v>
      </c>
      <c r="AF708">
        <f>IF('WetLitterbags placem_collection'!Z49="","",'WetLitterbags placem_collection'!Z49)</f>
        <v>5.2</v>
      </c>
      <c r="AG708" s="243" t="str">
        <f>IF('WetLitterbags placem_collection'!AA49="","",'WetLitterbags placem_collection'!AA49)</f>
        <v>G</v>
      </c>
      <c r="AH708">
        <f>IF('WetLitterbags placem_collection'!AC49="","",'WetLitterbags placem_collection'!AC49)</f>
        <v>0</v>
      </c>
      <c r="AI708">
        <f>IFERROR(AVERAGE('Dry_Litterbag Placem_Collection'!O49,'Dry_Litterbag Placem_Collection'!R49),"")</f>
        <v>5.35</v>
      </c>
      <c r="AJ708" s="268">
        <f>IFERROR(AVERAGE('Dry_Litterbag Placem_Collection'!N49,'Dry_Litterbag Placem_Collection'!Q49),"")</f>
        <v>26.4</v>
      </c>
      <c r="AK708" s="267">
        <f>INDEX(Coordinates!$B$2:$B$197,MATCH(H708,Coordinates!$J$2:$J$197,0))</f>
        <v>-3.4084819820000001</v>
      </c>
      <c r="AL708" s="267">
        <f>INDEX(Coordinates!$C$2:$C$197,MATCH(H708,Coordinates!$J$2:$J$197,0))</f>
        <v>34.850024040000001</v>
      </c>
      <c r="AM708" s="267" t="str">
        <f>IF(ISNUMBER(SEARCH("C", 'Dry_Litterbag Placem_Collection'!V49)),"YES","NO")</f>
        <v>NO</v>
      </c>
      <c r="AN708" s="267" t="str">
        <f>IF(ISNUMBER(SEARCH("H", 'Dry_Litterbag Placem_Collection'!V49)),"YES","NO")</f>
        <v>NO</v>
      </c>
      <c r="AO708" s="267" t="str">
        <f>IF(ISNUMBER(SEARCH("R", 'Dry_Litterbag Placem_Collection'!V49)),"YES","NO")</f>
        <v>NO</v>
      </c>
    </row>
    <row r="709" spans="1:41" ht="15" customHeight="1">
      <c r="A709" s="259" t="s">
        <v>2643</v>
      </c>
      <c r="B709" s="260">
        <f>'Dry_Litterbag Placem_Collection'!A50</f>
        <v>48</v>
      </c>
      <c r="C709" s="260" t="str">
        <f>'Dry_Litterbag Placem_Collection'!B50</f>
        <v>Makao</v>
      </c>
      <c r="D709" s="260" t="s">
        <v>2643</v>
      </c>
      <c r="E709" s="260" t="s">
        <v>20</v>
      </c>
      <c r="F709" s="260">
        <v>2</v>
      </c>
      <c r="G709" s="260" t="s">
        <v>3807</v>
      </c>
      <c r="H709" s="261" t="str">
        <f>'Dry_Litterbag Placem_Collection'!C50</f>
        <v>Dry_P2_T8</v>
      </c>
      <c r="I709" s="270" t="s">
        <v>3630</v>
      </c>
      <c r="J709" s="271" t="s">
        <v>298</v>
      </c>
      <c r="K709" s="260" t="str">
        <f>IF(ISBLANK('Dry_Litterbag Placem_Collection'!M50),"","R"&amp;""&amp;'Dry_Litterbag Placem_Collection'!M50)</f>
        <v>R221</v>
      </c>
      <c r="L709" s="264">
        <f>IFERROR(INDEX('Green_rooibos initial weight'!$C$5:$C$2000,MATCH(K709, 'Green_rooibos initial weight'!$A$5:$A$2000,0)),"")</f>
        <v>2.2210000000000001</v>
      </c>
      <c r="M709" s="264">
        <f>IFERROR(L709-(TBIcalc!$Q$9+TBIcalc!$Q$10),"")</f>
        <v>1.9712000000000001</v>
      </c>
      <c r="N709" s="385">
        <f>AVERAGE(Ashed_controlls!$K$12:$K$14)</f>
        <v>2.2816647271287041</v>
      </c>
      <c r="O709" s="264">
        <f t="shared" si="56"/>
        <v>1.926223824898839</v>
      </c>
      <c r="P709" s="264">
        <f>IFERROR(INDEX('Both teabags AfterDry'!$D$2:$D$2000,MATCH(K709,'Both teabags AfterDry'!$A$2:$A$2000,0)),"")</f>
        <v>1.8791</v>
      </c>
      <c r="Q709" s="264">
        <f>IFERROR(IF(P709&gt;0,P709-(TBIcalc!$Q$9),""),"")</f>
        <v>1.7284999999999999</v>
      </c>
      <c r="R709" s="275">
        <f>IFERROR(INDEX('Ashed teabags dry'!$K$2:$K$2000,MATCH(K709,'Ashed teabags dry'!$A$2:$A$2000,0)),"")</f>
        <v>2.6198934280645174</v>
      </c>
      <c r="S709" s="275">
        <f t="shared" si="57"/>
        <v>1.6832151420959047</v>
      </c>
      <c r="T709" s="265">
        <f>IF('Dry_Litterbag Placem_Collection'!E50="","",'Dry_Litterbag Placem_Collection'!E50)</f>
        <v>42938</v>
      </c>
      <c r="U709" s="265">
        <f>IF('Dry_Litterbag Placem_Collection'!G50="","",'Dry_Litterbag Placem_Collection'!G50)</f>
        <v>43005</v>
      </c>
      <c r="V709" s="266">
        <f t="shared" si="55"/>
        <v>67</v>
      </c>
      <c r="W709" s="264">
        <f t="shared" si="58"/>
        <v>0.24270000000000014</v>
      </c>
      <c r="X709" s="264">
        <f t="shared" si="59"/>
        <v>0.24300868280293431</v>
      </c>
      <c r="Y709" s="268">
        <f>IFERROR(INDEX(Rainfall_Dry!$O$2:$O$217,MATCH(B709, Rainfall_Dry!$A$2:$A$217,0)),"")</f>
        <v>6.5250000359999998</v>
      </c>
      <c r="Z709" s="257">
        <v>19.96</v>
      </c>
      <c r="AA709" s="257">
        <v>4.9199999999999982</v>
      </c>
      <c r="AB709" s="257">
        <v>75.12</v>
      </c>
      <c r="AC709" s="258" t="s">
        <v>2655</v>
      </c>
      <c r="AD709" s="257">
        <v>1.641498275012321</v>
      </c>
      <c r="AE709">
        <f>IF('WetLitterbags placem_collection'!AB50="","",'WetLitterbags placem_collection'!AB50)</f>
        <v>7.3</v>
      </c>
      <c r="AF709">
        <f>IF('WetLitterbags placem_collection'!Z50="","",'WetLitterbags placem_collection'!Z50)</f>
        <v>27.2</v>
      </c>
      <c r="AG709" s="243" t="str">
        <f>IF('WetLitterbags placem_collection'!AA50="","",'WetLitterbags placem_collection'!AA50)</f>
        <v>M</v>
      </c>
      <c r="AH709">
        <f>IF('WetLitterbags placem_collection'!AC50="","",'WetLitterbags placem_collection'!AC50)</f>
        <v>0</v>
      </c>
      <c r="AI709">
        <f>IFERROR(AVERAGE('Dry_Litterbag Placem_Collection'!O50,'Dry_Litterbag Placem_Collection'!R50),"")</f>
        <v>3.95</v>
      </c>
      <c r="AJ709" s="268">
        <f>IFERROR(AVERAGE('Dry_Litterbag Placem_Collection'!N50,'Dry_Litterbag Placem_Collection'!Q50),"")</f>
        <v>25.950000000000003</v>
      </c>
      <c r="AK709" s="267">
        <f>INDEX(Coordinates!$B$2:$B$197,MATCH(H709,Coordinates!$J$2:$J$197,0))</f>
        <v>-3.4081990090000001</v>
      </c>
      <c r="AL709" s="267">
        <f>INDEX(Coordinates!$C$2:$C$197,MATCH(H709,Coordinates!$J$2:$J$197,0))</f>
        <v>34.850254960000001</v>
      </c>
      <c r="AM709" s="267" t="str">
        <f>IF(ISNUMBER(SEARCH("C", 'Dry_Litterbag Placem_Collection'!V50)),"YES","NO")</f>
        <v>NO</v>
      </c>
      <c r="AN709" s="267" t="str">
        <f>IF(ISNUMBER(SEARCH("H", 'Dry_Litterbag Placem_Collection'!V50)),"YES","NO")</f>
        <v>NO</v>
      </c>
      <c r="AO709" s="267" t="str">
        <f>IF(ISNUMBER(SEARCH("R", 'Dry_Litterbag Placem_Collection'!V50)),"YES","NO")</f>
        <v>NO</v>
      </c>
    </row>
    <row r="710" spans="1:41" ht="15" customHeight="1">
      <c r="A710" s="259" t="s">
        <v>2643</v>
      </c>
      <c r="B710" s="260">
        <f>'Dry_Litterbag Placem_Collection'!A51</f>
        <v>49</v>
      </c>
      <c r="C710" s="260" t="str">
        <f>'Dry_Litterbag Placem_Collection'!B51</f>
        <v>Makao</v>
      </c>
      <c r="D710" s="260" t="s">
        <v>2643</v>
      </c>
      <c r="E710" s="260" t="s">
        <v>20</v>
      </c>
      <c r="F710" s="260">
        <v>3</v>
      </c>
      <c r="G710" s="260" t="s">
        <v>3808</v>
      </c>
      <c r="H710" s="261" t="str">
        <f>'Dry_Litterbag Placem_Collection'!C51</f>
        <v>Dry_P3_T1</v>
      </c>
      <c r="I710" s="270" t="s">
        <v>3630</v>
      </c>
      <c r="J710" s="271" t="s">
        <v>298</v>
      </c>
      <c r="K710" s="260" t="str">
        <f>IF(ISBLANK('Dry_Litterbag Placem_Collection'!M51),"","R"&amp;""&amp;'Dry_Litterbag Placem_Collection'!M51)</f>
        <v>R308</v>
      </c>
      <c r="L710" s="264">
        <f>IFERROR(INDEX('Green_rooibos initial weight'!$C$5:$C$2000,MATCH(K710, 'Green_rooibos initial weight'!$A$5:$A$2000,0)),"")</f>
        <v>2.173</v>
      </c>
      <c r="M710" s="264">
        <f>IFERROR(L710-(TBIcalc!$Q$9+TBIcalc!$Q$10),"")</f>
        <v>1.9232</v>
      </c>
      <c r="N710" s="385">
        <f>AVERAGE(Ashed_controlls!$K$12:$K$14)</f>
        <v>2.2816647271287041</v>
      </c>
      <c r="O710" s="264">
        <f t="shared" si="56"/>
        <v>1.8793190239678608</v>
      </c>
      <c r="P710" s="264" t="str">
        <f>IFERROR(INDEX('Both teabags AfterDry'!$D$2:$D$2000,MATCH(K710,'Both teabags AfterDry'!$A$2:$A$2000,0)),"")</f>
        <v/>
      </c>
      <c r="Q710" s="264" t="str">
        <f>IFERROR(IF(P710&gt;0,P710-(TBIcalc!$Q$9),""),"")</f>
        <v/>
      </c>
      <c r="R710" s="275" t="str">
        <f>IFERROR(INDEX('Ashed teabags dry'!$K$2:$K$2000,MATCH(K710,'Ashed teabags dry'!$A$2:$A$2000,0)),"")</f>
        <v/>
      </c>
      <c r="S710" s="275" t="str">
        <f t="shared" si="57"/>
        <v/>
      </c>
      <c r="T710" s="265">
        <f>IF('Dry_Litterbag Placem_Collection'!E51="","",'Dry_Litterbag Placem_Collection'!E51)</f>
        <v>42938</v>
      </c>
      <c r="U710" s="265">
        <f>IF('Dry_Litterbag Placem_Collection'!G51="","",'Dry_Litterbag Placem_Collection'!G51)</f>
        <v>43005</v>
      </c>
      <c r="V710" s="266">
        <f t="shared" si="55"/>
        <v>67</v>
      </c>
      <c r="W710" s="264" t="str">
        <f t="shared" si="58"/>
        <v/>
      </c>
      <c r="X710" s="264" t="str">
        <f t="shared" si="59"/>
        <v/>
      </c>
      <c r="Y710" s="268">
        <f>IFERROR(INDEX(Rainfall_Dry!$O$2:$O$217,MATCH(B710, Rainfall_Dry!$A$2:$A$217,0)),"")</f>
        <v>6.5250000359999998</v>
      </c>
      <c r="Z710" s="257">
        <v>21.96</v>
      </c>
      <c r="AA710" s="257">
        <v>8.9199999999999982</v>
      </c>
      <c r="AB710" s="257">
        <v>69.12</v>
      </c>
      <c r="AC710" s="258" t="s">
        <v>2654</v>
      </c>
      <c r="AD710" s="257">
        <v>1.7491375061606702</v>
      </c>
      <c r="AE710">
        <f>IF('WetLitterbags placem_collection'!AB51="","",'WetLitterbags placem_collection'!AB51)</f>
        <v>10.4</v>
      </c>
      <c r="AF710">
        <f>IF('WetLitterbags placem_collection'!Z51="","",'WetLitterbags placem_collection'!Z51)</f>
        <v>36</v>
      </c>
      <c r="AG710" s="243" t="str">
        <f>IF('WetLitterbags placem_collection'!AA51="","",'WetLitterbags placem_collection'!AA51)</f>
        <v>M</v>
      </c>
      <c r="AH710">
        <f>IF('WetLitterbags placem_collection'!AC51="","",'WetLitterbags placem_collection'!AC51)</f>
        <v>1</v>
      </c>
      <c r="AI710">
        <f>IFERROR(AVERAGE('Dry_Litterbag Placem_Collection'!O51,'Dry_Litterbag Placem_Collection'!R51),"")</f>
        <v>7.05</v>
      </c>
      <c r="AJ710" s="268">
        <f>IFERROR(AVERAGE('Dry_Litterbag Placem_Collection'!N51,'Dry_Litterbag Placem_Collection'!Q51),"")</f>
        <v>31.5</v>
      </c>
      <c r="AK710" s="267">
        <f>INDEX(Coordinates!$B$2:$B$197,MATCH(H710,Coordinates!$J$2:$J$197,0))</f>
        <v>-3.406225992</v>
      </c>
      <c r="AL710" s="267">
        <f>INDEX(Coordinates!$C$2:$C$197,MATCH(H710,Coordinates!$J$2:$J$197,0))</f>
        <v>34.85055998</v>
      </c>
      <c r="AM710" s="267" t="str">
        <f>IF(ISNUMBER(SEARCH("C", 'Dry_Litterbag Placem_Collection'!V51)),"YES","NO")</f>
        <v>NO</v>
      </c>
      <c r="AN710" s="267" t="str">
        <f>IF(ISNUMBER(SEARCH("H", 'Dry_Litterbag Placem_Collection'!V51)),"YES","NO")</f>
        <v>NO</v>
      </c>
      <c r="AO710" s="267" t="str">
        <f>IF(ISNUMBER(SEARCH("R", 'Dry_Litterbag Placem_Collection'!V51)),"YES","NO")</f>
        <v>NO</v>
      </c>
    </row>
    <row r="711" spans="1:41" ht="15" customHeight="1">
      <c r="A711" s="259" t="s">
        <v>2643</v>
      </c>
      <c r="B711" s="260">
        <f>'Dry_Litterbag Placem_Collection'!A52</f>
        <v>50</v>
      </c>
      <c r="C711" s="260" t="str">
        <f>'Dry_Litterbag Placem_Collection'!B52</f>
        <v>Makao</v>
      </c>
      <c r="D711" s="260" t="s">
        <v>2643</v>
      </c>
      <c r="E711" s="260" t="s">
        <v>20</v>
      </c>
      <c r="F711" s="260">
        <v>3</v>
      </c>
      <c r="G711" s="260" t="s">
        <v>3808</v>
      </c>
      <c r="H711" s="261" t="str">
        <f>'Dry_Litterbag Placem_Collection'!C52</f>
        <v>Dry_P3_T2</v>
      </c>
      <c r="I711" s="270" t="s">
        <v>3630</v>
      </c>
      <c r="J711" s="271" t="s">
        <v>298</v>
      </c>
      <c r="K711" s="260" t="str">
        <f>IF(ISBLANK('Dry_Litterbag Placem_Collection'!M52),"","R"&amp;""&amp;'Dry_Litterbag Placem_Collection'!M52)</f>
        <v>R644</v>
      </c>
      <c r="L711" s="264">
        <f>IFERROR(INDEX('Green_rooibos initial weight'!$C$5:$C$2000,MATCH(K711, 'Green_rooibos initial weight'!$A$5:$A$2000,0)),"")</f>
        <v>2.2240000000000002</v>
      </c>
      <c r="M711" s="264">
        <f>IFERROR(L711-(TBIcalc!$Q$9+TBIcalc!$Q$10),"")</f>
        <v>1.9742000000000002</v>
      </c>
      <c r="N711" s="385">
        <f>AVERAGE(Ashed_controlls!$K$12:$K$14)</f>
        <v>2.2816647271287041</v>
      </c>
      <c r="O711" s="264">
        <f t="shared" si="56"/>
        <v>1.9291553749570254</v>
      </c>
      <c r="P711" s="264" t="str">
        <f>IFERROR(INDEX('Both teabags AfterDry'!$D$2:$D$2000,MATCH(K711,'Both teabags AfterDry'!$A$2:$A$2000,0)),"")</f>
        <v/>
      </c>
      <c r="Q711" s="264" t="str">
        <f>IFERROR(IF(P711&gt;0,P711-(TBIcalc!$Q$9),""),"")</f>
        <v/>
      </c>
      <c r="R711" s="275" t="str">
        <f>IFERROR(INDEX('Ashed teabags dry'!$K$2:$K$2000,MATCH(K711,'Ashed teabags dry'!$A$2:$A$2000,0)),"")</f>
        <v/>
      </c>
      <c r="S711" s="275" t="str">
        <f t="shared" si="57"/>
        <v/>
      </c>
      <c r="T711" s="265">
        <f>IF('Dry_Litterbag Placem_Collection'!E52="","",'Dry_Litterbag Placem_Collection'!E52)</f>
        <v>42938</v>
      </c>
      <c r="U711" s="265" t="str">
        <f>IF('Dry_Litterbag Placem_Collection'!G52="","",'Dry_Litterbag Placem_Collection'!G52)</f>
        <v/>
      </c>
      <c r="V711" s="266" t="str">
        <f t="shared" si="55"/>
        <v/>
      </c>
      <c r="W711" s="264" t="str">
        <f t="shared" si="58"/>
        <v/>
      </c>
      <c r="X711" s="264" t="str">
        <f t="shared" si="59"/>
        <v/>
      </c>
      <c r="Y711" s="268" t="str">
        <f>IFERROR(INDEX(Rainfall_Dry!$O$2:$O$217,MATCH(B711, Rainfall_Dry!$A$2:$A$217,0)),"")</f>
        <v/>
      </c>
      <c r="Z711" s="257">
        <v>21.96</v>
      </c>
      <c r="AA711" s="257">
        <v>8.9199999999999982</v>
      </c>
      <c r="AB711" s="257">
        <v>69.12</v>
      </c>
      <c r="AC711" s="258" t="s">
        <v>2654</v>
      </c>
      <c r="AD711" s="257">
        <v>1.7491375061606702</v>
      </c>
      <c r="AE711">
        <f>IF('WetLitterbags placem_collection'!AB52="","",'WetLitterbags placem_collection'!AB52)</f>
        <v>10</v>
      </c>
      <c r="AF711">
        <f>IF('WetLitterbags placem_collection'!Z52="","",'WetLitterbags placem_collection'!Z52)</f>
        <v>22.5</v>
      </c>
      <c r="AG711" s="243" t="str">
        <f>IF('WetLitterbags placem_collection'!AA52="","",'WetLitterbags placem_collection'!AA52)</f>
        <v>M</v>
      </c>
      <c r="AH711">
        <f>IF('WetLitterbags placem_collection'!AC52="","",'WetLitterbags placem_collection'!AC52)</f>
        <v>1</v>
      </c>
      <c r="AI711">
        <f>IFERROR(AVERAGE('Dry_Litterbag Placem_Collection'!O52,'Dry_Litterbag Placem_Collection'!R52),"")</f>
        <v>6.4</v>
      </c>
      <c r="AJ711" s="268">
        <f>IFERROR(AVERAGE('Dry_Litterbag Placem_Collection'!N52,'Dry_Litterbag Placem_Collection'!Q52),"")</f>
        <v>27.6</v>
      </c>
      <c r="AK711" s="267">
        <f>INDEX(Coordinates!$B$2:$B$197,MATCH(H711,Coordinates!$J$2:$J$197,0))</f>
        <v>-3.4062630399999998</v>
      </c>
      <c r="AL711" s="267">
        <f>INDEX(Coordinates!$C$2:$C$197,MATCH(H711,Coordinates!$J$2:$J$197,0))</f>
        <v>34.850566010000001</v>
      </c>
      <c r="AM711" s="267" t="str">
        <f>IF(ISNUMBER(SEARCH("C", 'Dry_Litterbag Placem_Collection'!V52)),"YES","NO")</f>
        <v>NO</v>
      </c>
      <c r="AN711" s="267" t="str">
        <f>IF(ISNUMBER(SEARCH("H", 'Dry_Litterbag Placem_Collection'!V52)),"YES","NO")</f>
        <v>NO</v>
      </c>
      <c r="AO711" s="267" t="str">
        <f>IF(ISNUMBER(SEARCH("R", 'Dry_Litterbag Placem_Collection'!V52)),"YES","NO")</f>
        <v>NO</v>
      </c>
    </row>
    <row r="712" spans="1:41" ht="15" customHeight="1">
      <c r="A712" s="259" t="s">
        <v>2643</v>
      </c>
      <c r="B712" s="260">
        <f>'Dry_Litterbag Placem_Collection'!A53</f>
        <v>51</v>
      </c>
      <c r="C712" s="260" t="str">
        <f>'Dry_Litterbag Placem_Collection'!B53</f>
        <v>Makao</v>
      </c>
      <c r="D712" s="260" t="s">
        <v>2643</v>
      </c>
      <c r="E712" s="260" t="s">
        <v>20</v>
      </c>
      <c r="F712" s="260">
        <v>3</v>
      </c>
      <c r="G712" s="260" t="s">
        <v>3808</v>
      </c>
      <c r="H712" s="261" t="str">
        <f>'Dry_Litterbag Placem_Collection'!C53</f>
        <v>Dry_P3_T3</v>
      </c>
      <c r="I712" s="270" t="s">
        <v>3630</v>
      </c>
      <c r="J712" s="271" t="s">
        <v>298</v>
      </c>
      <c r="K712" s="260" t="str">
        <f>IF(ISBLANK('Dry_Litterbag Placem_Collection'!M53),"","R"&amp;""&amp;'Dry_Litterbag Placem_Collection'!M53)</f>
        <v>R242</v>
      </c>
      <c r="L712" s="264">
        <f>IFERROR(INDEX('Green_rooibos initial weight'!$C$5:$C$2000,MATCH(K712, 'Green_rooibos initial weight'!$A$5:$A$2000,0)),"")</f>
        <v>2.194</v>
      </c>
      <c r="M712" s="264">
        <f>IFERROR(L712-(TBIcalc!$Q$9+TBIcalc!$Q$10),"")</f>
        <v>1.9441999999999999</v>
      </c>
      <c r="N712" s="385">
        <f>AVERAGE(Ashed_controlls!$K$12:$K$14)</f>
        <v>2.2816647271287041</v>
      </c>
      <c r="O712" s="264">
        <f t="shared" si="56"/>
        <v>1.8998398743751637</v>
      </c>
      <c r="P712" s="264">
        <f>IFERROR(INDEX('Both teabags AfterDry'!$D$2:$D$2000,MATCH(K712,'Both teabags AfterDry'!$A$2:$A$2000,0)),"")</f>
        <v>1.9262999999999999</v>
      </c>
      <c r="Q712" s="264">
        <f>IFERROR(IF(P712&gt;0,P712-(TBIcalc!$Q$9),""),"")</f>
        <v>1.7756999999999998</v>
      </c>
      <c r="R712" s="275">
        <f>IFERROR(INDEX('Ashed teabags dry'!$K$2:$K$2000,MATCH(K712,'Ashed teabags dry'!$A$2:$A$2000,0)),"")</f>
        <v>3.7440758293834344</v>
      </c>
      <c r="S712" s="275">
        <f t="shared" si="57"/>
        <v>1.7092164454976382</v>
      </c>
      <c r="T712" s="265">
        <f>IF('Dry_Litterbag Placem_Collection'!E53="","",'Dry_Litterbag Placem_Collection'!E53)</f>
        <v>42938</v>
      </c>
      <c r="U712" s="265">
        <f>IF('Dry_Litterbag Placem_Collection'!G53="","",'Dry_Litterbag Placem_Collection'!G53)</f>
        <v>43005</v>
      </c>
      <c r="V712" s="266">
        <f t="shared" si="55"/>
        <v>67</v>
      </c>
      <c r="W712" s="264">
        <f t="shared" si="58"/>
        <v>0.16850000000000009</v>
      </c>
      <c r="X712" s="264">
        <f t="shared" si="59"/>
        <v>0.19062342887752548</v>
      </c>
      <c r="Y712" s="268">
        <f>IFERROR(INDEX(Rainfall_Dry!$O$2:$O$217,MATCH(B712, Rainfall_Dry!$A$2:$A$217,0)),"")</f>
        <v>6.5250000359999998</v>
      </c>
      <c r="Z712" s="257">
        <v>21.96</v>
      </c>
      <c r="AA712" s="257">
        <v>8.9199999999999982</v>
      </c>
      <c r="AB712" s="257">
        <v>69.12</v>
      </c>
      <c r="AC712" s="258" t="s">
        <v>2654</v>
      </c>
      <c r="AD712" s="257">
        <v>1.7491375061606702</v>
      </c>
      <c r="AE712">
        <f>IF('WetLitterbags placem_collection'!AB53="","",'WetLitterbags placem_collection'!AB53)</f>
        <v>3</v>
      </c>
      <c r="AF712">
        <f>IF('WetLitterbags placem_collection'!Z53="","",'WetLitterbags placem_collection'!Z53)</f>
        <v>18</v>
      </c>
      <c r="AG712" s="243" t="str">
        <f>IF('WetLitterbags placem_collection'!AA53="","",'WetLitterbags placem_collection'!AA53)</f>
        <v>O</v>
      </c>
      <c r="AH712">
        <f>IF('WetLitterbags placem_collection'!AC53="","",'WetLitterbags placem_collection'!AC53)</f>
        <v>0</v>
      </c>
      <c r="AI712">
        <f>IFERROR(AVERAGE('Dry_Litterbag Placem_Collection'!O53,'Dry_Litterbag Placem_Collection'!R53),"")</f>
        <v>2.4500000000000002</v>
      </c>
      <c r="AJ712" s="268">
        <f>IFERROR(AVERAGE('Dry_Litterbag Placem_Collection'!N53,'Dry_Litterbag Placem_Collection'!Q53),"")</f>
        <v>34.450000000000003</v>
      </c>
      <c r="AK712" s="267">
        <f>INDEX(Coordinates!$B$2:$B$197,MATCH(H712,Coordinates!$J$2:$J$197,0))</f>
        <v>-3.4063920379999999</v>
      </c>
      <c r="AL712" s="267">
        <f>INDEX(Coordinates!$C$2:$C$197,MATCH(H712,Coordinates!$J$2:$J$197,0))</f>
        <v>34.850696020000001</v>
      </c>
      <c r="AM712" s="267" t="str">
        <f>IF(ISNUMBER(SEARCH("C", 'Dry_Litterbag Placem_Collection'!V53)),"YES","NO")</f>
        <v>NO</v>
      </c>
      <c r="AN712" s="267" t="str">
        <f>IF(ISNUMBER(SEARCH("H", 'Dry_Litterbag Placem_Collection'!V53)),"YES","NO")</f>
        <v>NO</v>
      </c>
      <c r="AO712" s="267" t="str">
        <f>IF(ISNUMBER(SEARCH("R", 'Dry_Litterbag Placem_Collection'!V53)),"YES","NO")</f>
        <v>NO</v>
      </c>
    </row>
    <row r="713" spans="1:41" ht="15" customHeight="1">
      <c r="A713" s="259" t="s">
        <v>2643</v>
      </c>
      <c r="B713" s="260">
        <f>'Dry_Litterbag Placem_Collection'!A54</f>
        <v>52</v>
      </c>
      <c r="C713" s="260" t="str">
        <f>'Dry_Litterbag Placem_Collection'!B54</f>
        <v>Makao</v>
      </c>
      <c r="D713" s="260" t="s">
        <v>2643</v>
      </c>
      <c r="E713" s="260" t="s">
        <v>20</v>
      </c>
      <c r="F713" s="260">
        <v>3</v>
      </c>
      <c r="G713" s="260" t="s">
        <v>3808</v>
      </c>
      <c r="H713" s="261" t="str">
        <f>'Dry_Litterbag Placem_Collection'!C54</f>
        <v>Dry_P3_T4</v>
      </c>
      <c r="I713" s="270" t="s">
        <v>3630</v>
      </c>
      <c r="J713" s="271" t="s">
        <v>298</v>
      </c>
      <c r="K713" s="260" t="str">
        <f>IF(ISBLANK('Dry_Litterbag Placem_Collection'!M54),"","R"&amp;""&amp;'Dry_Litterbag Placem_Collection'!M54)</f>
        <v>R618</v>
      </c>
      <c r="L713" s="264">
        <f>IFERROR(INDEX('Green_rooibos initial weight'!$C$5:$C$2000,MATCH(K713, 'Green_rooibos initial weight'!$A$5:$A$2000,0)),"")</f>
        <v>2.1240000000000001</v>
      </c>
      <c r="M713" s="264">
        <f>IFERROR(L713-(TBIcalc!$Q$9+TBIcalc!$Q$10),"")</f>
        <v>1.8742000000000001</v>
      </c>
      <c r="N713" s="385">
        <f>AVERAGE(Ashed_controlls!$K$12:$K$14)</f>
        <v>2.2816647271287041</v>
      </c>
      <c r="O713" s="264">
        <f t="shared" si="56"/>
        <v>1.8314370396841539</v>
      </c>
      <c r="P713" s="264">
        <f>IFERROR(INDEX('Both teabags AfterDry'!$D$2:$D$2000,MATCH(K713,'Both teabags AfterDry'!$A$2:$A$2000,0)),"")</f>
        <v>1.9595</v>
      </c>
      <c r="Q713" s="264">
        <f>IFERROR(IF(P713&gt;0,P713-(TBIcalc!$Q$9),""),"")</f>
        <v>1.8089</v>
      </c>
      <c r="R713" s="275">
        <f>IFERROR(INDEX('Ashed teabags dry'!$K$2:$K$2000,MATCH(K713,'Ashed teabags dry'!$A$2:$A$2000,0)),"")</f>
        <v>5.4091539528428063</v>
      </c>
      <c r="S713" s="275">
        <f t="shared" si="57"/>
        <v>1.7110538141470264</v>
      </c>
      <c r="T713" s="265">
        <f>IF('Dry_Litterbag Placem_Collection'!E54="","",'Dry_Litterbag Placem_Collection'!E54)</f>
        <v>42938</v>
      </c>
      <c r="U713" s="265">
        <f>IF('Dry_Litterbag Placem_Collection'!G54="","",'Dry_Litterbag Placem_Collection'!G54)</f>
        <v>43005</v>
      </c>
      <c r="V713" s="266">
        <f t="shared" si="55"/>
        <v>67</v>
      </c>
      <c r="W713" s="264">
        <f t="shared" si="58"/>
        <v>6.5300000000000136E-2</v>
      </c>
      <c r="X713" s="264">
        <f t="shared" si="59"/>
        <v>0.12038322553712755</v>
      </c>
      <c r="Y713" s="268">
        <f>IFERROR(INDEX(Rainfall_Dry!$O$2:$O$217,MATCH(B713, Rainfall_Dry!$A$2:$A$217,0)),"")</f>
        <v>6.5250000359999998</v>
      </c>
      <c r="Z713" s="257">
        <v>21.96</v>
      </c>
      <c r="AA713" s="257">
        <v>8.9199999999999982</v>
      </c>
      <c r="AB713" s="257">
        <v>69.12</v>
      </c>
      <c r="AC713" s="258" t="s">
        <v>2654</v>
      </c>
      <c r="AD713" s="257">
        <v>1.7491375061606702</v>
      </c>
      <c r="AE713">
        <f>IF('WetLitterbags placem_collection'!AB54="","",'WetLitterbags placem_collection'!AB54)</f>
        <v>13.4</v>
      </c>
      <c r="AF713">
        <f>IF('WetLitterbags placem_collection'!Z54="","",'WetLitterbags placem_collection'!Z54)</f>
        <v>67</v>
      </c>
      <c r="AG713" s="243" t="str">
        <f>IF('WetLitterbags placem_collection'!AA54="","",'WetLitterbags placem_collection'!AA54)</f>
        <v>M</v>
      </c>
      <c r="AH713">
        <f>IF('WetLitterbags placem_collection'!AC54="","",'WetLitterbags placem_collection'!AC54)</f>
        <v>1</v>
      </c>
      <c r="AI713">
        <f>IFERROR(AVERAGE('Dry_Litterbag Placem_Collection'!O54,'Dry_Litterbag Placem_Collection'!R54),"")</f>
        <v>5.75</v>
      </c>
      <c r="AJ713" s="268">
        <f>IFERROR(AVERAGE('Dry_Litterbag Placem_Collection'!N54,'Dry_Litterbag Placem_Collection'!Q54),"")</f>
        <v>30.75</v>
      </c>
      <c r="AK713" s="267">
        <f>INDEX(Coordinates!$B$2:$B$197,MATCH(H713,Coordinates!$J$2:$J$197,0))</f>
        <v>-3.4061569999999999</v>
      </c>
      <c r="AL713" s="267">
        <f>INDEX(Coordinates!$C$2:$C$197,MATCH(H713,Coordinates!$J$2:$J$197,0))</f>
        <v>34.850738999999997</v>
      </c>
      <c r="AM713" s="267" t="str">
        <f>IF(ISNUMBER(SEARCH("C", 'Dry_Litterbag Placem_Collection'!V54)),"YES","NO")</f>
        <v>NO</v>
      </c>
      <c r="AN713" s="267" t="str">
        <f>IF(ISNUMBER(SEARCH("H", 'Dry_Litterbag Placem_Collection'!V54)),"YES","NO")</f>
        <v>NO</v>
      </c>
      <c r="AO713" s="267" t="str">
        <f>IF(ISNUMBER(SEARCH("R", 'Dry_Litterbag Placem_Collection'!V54)),"YES","NO")</f>
        <v>NO</v>
      </c>
    </row>
    <row r="714" spans="1:41" ht="15" customHeight="1">
      <c r="A714" s="259" t="s">
        <v>2643</v>
      </c>
      <c r="B714" s="260">
        <f>'Dry_Litterbag Placem_Collection'!A55</f>
        <v>53</v>
      </c>
      <c r="C714" s="260" t="str">
        <f>'Dry_Litterbag Placem_Collection'!B55</f>
        <v>Makao</v>
      </c>
      <c r="D714" s="260" t="s">
        <v>2643</v>
      </c>
      <c r="E714" s="260" t="s">
        <v>20</v>
      </c>
      <c r="F714" s="260">
        <v>3</v>
      </c>
      <c r="G714" s="260" t="s">
        <v>3808</v>
      </c>
      <c r="H714" s="261" t="str">
        <f>'Dry_Litterbag Placem_Collection'!C55</f>
        <v>Dry_P3_T5</v>
      </c>
      <c r="I714" s="270" t="s">
        <v>3630</v>
      </c>
      <c r="J714" s="271" t="s">
        <v>298</v>
      </c>
      <c r="K714" s="260" t="str">
        <f>IF(ISBLANK('Dry_Litterbag Placem_Collection'!M55),"","R"&amp;""&amp;'Dry_Litterbag Placem_Collection'!M55)</f>
        <v>R140</v>
      </c>
      <c r="L714" s="264">
        <f>IFERROR(INDEX('Green_rooibos initial weight'!$C$5:$C$2000,MATCH(K714, 'Green_rooibos initial weight'!$A$5:$A$2000,0)),"")</f>
        <v>2.1930000000000001</v>
      </c>
      <c r="M714" s="264">
        <f>IFERROR(L714-(TBIcalc!$Q$9+TBIcalc!$Q$10),"")</f>
        <v>1.9432</v>
      </c>
      <c r="N714" s="385">
        <f>AVERAGE(Ashed_controlls!$K$12:$K$14)</f>
        <v>2.2816647271287041</v>
      </c>
      <c r="O714" s="264">
        <f t="shared" si="56"/>
        <v>1.8988626910224351</v>
      </c>
      <c r="P714" s="264">
        <f>IFERROR(INDEX('Both teabags AfterDry'!$D$2:$D$2000,MATCH(K714,'Both teabags AfterDry'!$A$2:$A$2000,0)),"")</f>
        <v>1.9561999999999999</v>
      </c>
      <c r="Q714" s="264">
        <f>IFERROR(IF(P714&gt;0,P714-(TBIcalc!$Q$9),""),"")</f>
        <v>1.8055999999999999</v>
      </c>
      <c r="R714" s="275">
        <f>IFERROR(INDEX('Ashed teabags dry'!$K$2:$K$2000,MATCH(K714,'Ashed teabags dry'!$A$2:$A$2000,0)),"")</f>
        <v>3.1146767343080963</v>
      </c>
      <c r="S714" s="275">
        <f t="shared" si="57"/>
        <v>1.749361396885333</v>
      </c>
      <c r="T714" s="265">
        <f>IF('Dry_Litterbag Placem_Collection'!E55="","",'Dry_Litterbag Placem_Collection'!E55)</f>
        <v>42938</v>
      </c>
      <c r="U714" s="265">
        <f>IF('Dry_Litterbag Placem_Collection'!G55="","",'Dry_Litterbag Placem_Collection'!G55)</f>
        <v>43005</v>
      </c>
      <c r="V714" s="266">
        <f t="shared" si="55"/>
        <v>67</v>
      </c>
      <c r="W714" s="264">
        <f t="shared" si="58"/>
        <v>0.13760000000000017</v>
      </c>
      <c r="X714" s="264">
        <f t="shared" si="59"/>
        <v>0.14950129413710211</v>
      </c>
      <c r="Y714" s="268">
        <f>IFERROR(INDEX(Rainfall_Dry!$O$2:$O$217,MATCH(B714, Rainfall_Dry!$A$2:$A$217,0)),"")</f>
        <v>6.5250000359999998</v>
      </c>
      <c r="Z714" s="257">
        <v>21.96</v>
      </c>
      <c r="AA714" s="257">
        <v>8.9199999999999982</v>
      </c>
      <c r="AB714" s="257">
        <v>69.12</v>
      </c>
      <c r="AC714" s="258" t="s">
        <v>2654</v>
      </c>
      <c r="AD714" s="257">
        <v>1.7491375061606702</v>
      </c>
      <c r="AE714" t="str">
        <f>IF('WetLitterbags placem_collection'!AB55="","",'WetLitterbags placem_collection'!AB55)</f>
        <v/>
      </c>
      <c r="AF714" t="str">
        <f>IF('WetLitterbags placem_collection'!Z55="","",'WetLitterbags placem_collection'!Z55)</f>
        <v/>
      </c>
      <c r="AG714" s="243" t="str">
        <f>IF('WetLitterbags placem_collection'!AA55="","",'WetLitterbags placem_collection'!AA55)</f>
        <v/>
      </c>
      <c r="AH714" t="str">
        <f>IF('WetLitterbags placem_collection'!AC55="","",'WetLitterbags placem_collection'!AC55)</f>
        <v/>
      </c>
      <c r="AI714">
        <f>IFERROR(AVERAGE('Dry_Litterbag Placem_Collection'!O55,'Dry_Litterbag Placem_Collection'!R55),"")</f>
        <v>6.5</v>
      </c>
      <c r="AJ714" s="268">
        <f>IFERROR(AVERAGE('Dry_Litterbag Placem_Collection'!N55,'Dry_Litterbag Placem_Collection'!Q55),"")</f>
        <v>30.4</v>
      </c>
      <c r="AK714" s="267">
        <f>INDEX(Coordinates!$B$2:$B$197,MATCH(H714,Coordinates!$J$2:$J$197,0))</f>
        <v>-3.4061140000000001</v>
      </c>
      <c r="AL714" s="267">
        <f>INDEX(Coordinates!$C$2:$C$197,MATCH(H714,Coordinates!$J$2:$J$197,0))</f>
        <v>34.850596000000003</v>
      </c>
      <c r="AM714" s="267" t="str">
        <f>IF(ISNUMBER(SEARCH("C", 'Dry_Litterbag Placem_Collection'!V55)),"YES","NO")</f>
        <v>NO</v>
      </c>
      <c r="AN714" s="267" t="str">
        <f>IF(ISNUMBER(SEARCH("H", 'Dry_Litterbag Placem_Collection'!V55)),"YES","NO")</f>
        <v>NO</v>
      </c>
      <c r="AO714" s="267" t="str">
        <f>IF(ISNUMBER(SEARCH("R", 'Dry_Litterbag Placem_Collection'!V55)),"YES","NO")</f>
        <v>NO</v>
      </c>
    </row>
    <row r="715" spans="1:41" ht="15" customHeight="1">
      <c r="A715" s="259" t="s">
        <v>2643</v>
      </c>
      <c r="B715" s="260">
        <f>'Dry_Litterbag Placem_Collection'!A56</f>
        <v>54</v>
      </c>
      <c r="C715" s="260" t="str">
        <f>'Dry_Litterbag Placem_Collection'!B56</f>
        <v>Makao</v>
      </c>
      <c r="D715" s="260" t="s">
        <v>2643</v>
      </c>
      <c r="E715" s="260" t="s">
        <v>20</v>
      </c>
      <c r="F715" s="260">
        <v>3</v>
      </c>
      <c r="G715" s="260" t="s">
        <v>3808</v>
      </c>
      <c r="H715" s="261" t="str">
        <f>'Dry_Litterbag Placem_Collection'!C56</f>
        <v>Dry_P3_T6</v>
      </c>
      <c r="I715" s="270" t="s">
        <v>3630</v>
      </c>
      <c r="J715" s="271" t="s">
        <v>298</v>
      </c>
      <c r="K715" s="260" t="str">
        <f>IF(ISBLANK('Dry_Litterbag Placem_Collection'!M56),"","R"&amp;""&amp;'Dry_Litterbag Placem_Collection'!M56)</f>
        <v/>
      </c>
      <c r="L715" s="264" t="str">
        <f>IFERROR(INDEX('Green_rooibos initial weight'!$C$5:$C$2000,MATCH(K715, 'Green_rooibos initial weight'!$A$5:$A$2000,0)),"")</f>
        <v/>
      </c>
      <c r="M715" s="264" t="str">
        <f>IFERROR(L715-(TBIcalc!$Q$9+TBIcalc!$Q$10),"")</f>
        <v/>
      </c>
      <c r="N715" s="385">
        <f>AVERAGE(Ashed_controlls!$K$12:$K$14)</f>
        <v>2.2816647271287041</v>
      </c>
      <c r="O715" s="264" t="str">
        <f t="shared" si="56"/>
        <v/>
      </c>
      <c r="P715" s="264" t="str">
        <f>IFERROR(INDEX('Both teabags AfterDry'!$D$2:$D$2000,MATCH(K715,'Both teabags AfterDry'!$A$2:$A$2000,0)),"")</f>
        <v/>
      </c>
      <c r="Q715" s="264" t="str">
        <f>IFERROR(IF(P715&gt;0,P715-(TBIcalc!$Q$9),""),"")</f>
        <v/>
      </c>
      <c r="R715" s="275" t="str">
        <f>IFERROR(INDEX('Ashed teabags dry'!$K$2:$K$2000,MATCH(K715,'Ashed teabags dry'!$A$2:$A$2000,0)),"")</f>
        <v/>
      </c>
      <c r="S715" s="275" t="str">
        <f t="shared" si="57"/>
        <v/>
      </c>
      <c r="T715" s="265" t="str">
        <f>IF('Dry_Litterbag Placem_Collection'!E56="","",'Dry_Litterbag Placem_Collection'!E56)</f>
        <v/>
      </c>
      <c r="U715" s="265" t="str">
        <f>IF('Dry_Litterbag Placem_Collection'!G56="","",'Dry_Litterbag Placem_Collection'!G56)</f>
        <v/>
      </c>
      <c r="V715" s="266" t="str">
        <f t="shared" si="55"/>
        <v/>
      </c>
      <c r="W715" s="264" t="str">
        <f t="shared" si="58"/>
        <v/>
      </c>
      <c r="X715" s="264" t="str">
        <f t="shared" si="59"/>
        <v/>
      </c>
      <c r="Y715" s="268" t="str">
        <f>IFERROR(INDEX(Rainfall_Dry!$O$2:$O$217,MATCH(B715, Rainfall_Dry!$A$2:$A$217,0)),"")</f>
        <v/>
      </c>
      <c r="Z715" s="257">
        <v>21.96</v>
      </c>
      <c r="AA715" s="257">
        <v>8.9199999999999982</v>
      </c>
      <c r="AB715" s="257">
        <v>69.12</v>
      </c>
      <c r="AC715" s="258" t="s">
        <v>2654</v>
      </c>
      <c r="AD715" s="257">
        <v>1.7491375061606702</v>
      </c>
      <c r="AE715" t="str">
        <f>IF('WetLitterbags placem_collection'!AB56="","",'WetLitterbags placem_collection'!AB56)</f>
        <v/>
      </c>
      <c r="AF715" t="str">
        <f>IF('WetLitterbags placem_collection'!Z56="","",'WetLitterbags placem_collection'!Z56)</f>
        <v/>
      </c>
      <c r="AG715" s="243" t="str">
        <f>IF('WetLitterbags placem_collection'!AA56="","",'WetLitterbags placem_collection'!AA56)</f>
        <v/>
      </c>
      <c r="AH715" t="str">
        <f>IF('WetLitterbags placem_collection'!AC56="","",'WetLitterbags placem_collection'!AC56)</f>
        <v/>
      </c>
      <c r="AI715" t="str">
        <f>IFERROR(AVERAGE('Dry_Litterbag Placem_Collection'!O56,'Dry_Litterbag Placem_Collection'!R56),"")</f>
        <v/>
      </c>
      <c r="AJ715" s="268" t="str">
        <f>IFERROR(AVERAGE('Dry_Litterbag Placem_Collection'!N56,'Dry_Litterbag Placem_Collection'!Q56),"")</f>
        <v/>
      </c>
      <c r="AK715" s="267">
        <f>INDEX(Coordinates!$B$2:$B$197,MATCH(H715,Coordinates!$J$2:$J$197,0))</f>
        <v>-3.406058019</v>
      </c>
      <c r="AL715" s="267">
        <f>INDEX(Coordinates!$C$2:$C$197,MATCH(H715,Coordinates!$J$2:$J$197,0))</f>
        <v>34.850466019999999</v>
      </c>
      <c r="AM715" s="267" t="str">
        <f>IF(ISNUMBER(SEARCH("C", 'Dry_Litterbag Placem_Collection'!V56)),"YES","NO")</f>
        <v>NO</v>
      </c>
      <c r="AN715" s="267" t="str">
        <f>IF(ISNUMBER(SEARCH("H", 'Dry_Litterbag Placem_Collection'!V56)),"YES","NO")</f>
        <v>NO</v>
      </c>
      <c r="AO715" s="267" t="str">
        <f>IF(ISNUMBER(SEARCH("R", 'Dry_Litterbag Placem_Collection'!V56)),"YES","NO")</f>
        <v>NO</v>
      </c>
    </row>
    <row r="716" spans="1:41" ht="15" customHeight="1">
      <c r="A716" s="259" t="s">
        <v>2643</v>
      </c>
      <c r="B716" s="260">
        <f>'Dry_Litterbag Placem_Collection'!A57</f>
        <v>55</v>
      </c>
      <c r="C716" s="260" t="str">
        <f>'Dry_Litterbag Placem_Collection'!B57</f>
        <v>Makao</v>
      </c>
      <c r="D716" s="260" t="s">
        <v>2643</v>
      </c>
      <c r="E716" s="260" t="s">
        <v>20</v>
      </c>
      <c r="F716" s="260">
        <v>3</v>
      </c>
      <c r="G716" s="260" t="s">
        <v>3808</v>
      </c>
      <c r="H716" s="261" t="str">
        <f>'Dry_Litterbag Placem_Collection'!C57</f>
        <v>Dry_P3_T7</v>
      </c>
      <c r="I716" s="270" t="s">
        <v>3630</v>
      </c>
      <c r="J716" s="271" t="s">
        <v>298</v>
      </c>
      <c r="K716" s="260" t="str">
        <f>IF(ISBLANK('Dry_Litterbag Placem_Collection'!M57),"","R"&amp;""&amp;'Dry_Litterbag Placem_Collection'!M57)</f>
        <v>R192</v>
      </c>
      <c r="L716" s="264">
        <f>IFERROR(INDEX('Green_rooibos initial weight'!$C$5:$C$2000,MATCH(K716, 'Green_rooibos initial weight'!$A$5:$A$2000,0)),"")</f>
        <v>2.1970000000000001</v>
      </c>
      <c r="M716" s="264">
        <f>IFERROR(L716-(TBIcalc!$Q$9+TBIcalc!$Q$10),"")</f>
        <v>1.9472</v>
      </c>
      <c r="N716" s="385">
        <f>AVERAGE(Ashed_controlls!$K$12:$K$14)</f>
        <v>2.2816647271287041</v>
      </c>
      <c r="O716" s="264">
        <f t="shared" si="56"/>
        <v>1.90277142443335</v>
      </c>
      <c r="P716" s="264">
        <f>IFERROR(INDEX('Both teabags AfterDry'!$D$2:$D$2000,MATCH(K716,'Both teabags AfterDry'!$A$2:$A$2000,0)),"")</f>
        <v>1.9886999999999999</v>
      </c>
      <c r="Q716" s="264">
        <f>IFERROR(IF(P716&gt;0,P716-(TBIcalc!$Q$9),""),"")</f>
        <v>1.8380999999999998</v>
      </c>
      <c r="R716" s="275">
        <f>IFERROR(INDEX('Ashed teabags dry'!$K$2:$K$2000,MATCH(K716,'Ashed teabags dry'!$A$2:$A$2000,0)),"")</f>
        <v>3.4583536288358885</v>
      </c>
      <c r="S716" s="275">
        <f t="shared" si="57"/>
        <v>1.7745320019483675</v>
      </c>
      <c r="T716" s="265">
        <f>IF('Dry_Litterbag Placem_Collection'!E57="","",'Dry_Litterbag Placem_Collection'!E57)</f>
        <v>42938</v>
      </c>
      <c r="U716" s="265">
        <f>IF('Dry_Litterbag Placem_Collection'!G57="","",'Dry_Litterbag Placem_Collection'!G57)</f>
        <v>43005</v>
      </c>
      <c r="V716" s="266">
        <f t="shared" si="55"/>
        <v>67</v>
      </c>
      <c r="W716" s="264">
        <f t="shared" si="58"/>
        <v>0.1091000000000002</v>
      </c>
      <c r="X716" s="264">
        <f t="shared" si="59"/>
        <v>0.12823942248498255</v>
      </c>
      <c r="Y716" s="268">
        <f>IFERROR(INDEX(Rainfall_Dry!$O$2:$O$217,MATCH(B716, Rainfall_Dry!$A$2:$A$217,0)),"")</f>
        <v>6.5250000359999998</v>
      </c>
      <c r="Z716" s="257">
        <v>21.96</v>
      </c>
      <c r="AA716" s="257">
        <v>8.9199999999999982</v>
      </c>
      <c r="AB716" s="257">
        <v>69.12</v>
      </c>
      <c r="AC716" s="258" t="s">
        <v>2654</v>
      </c>
      <c r="AD716" s="257">
        <v>1.7491375061606702</v>
      </c>
      <c r="AE716">
        <f>IF('WetLitterbags placem_collection'!AB57="","",'WetLitterbags placem_collection'!AB57)</f>
        <v>15.8</v>
      </c>
      <c r="AF716">
        <f>IF('WetLitterbags placem_collection'!Z57="","",'WetLitterbags placem_collection'!Z57)</f>
        <v>45</v>
      </c>
      <c r="AG716" s="243" t="str">
        <f>IF('WetLitterbags placem_collection'!AA57="","",'WetLitterbags placem_collection'!AA57)</f>
        <v>M</v>
      </c>
      <c r="AH716">
        <f>IF('WetLitterbags placem_collection'!AC57="","",'WetLitterbags placem_collection'!AC57)</f>
        <v>1</v>
      </c>
      <c r="AI716">
        <f>IFERROR(AVERAGE('Dry_Litterbag Placem_Collection'!O57,'Dry_Litterbag Placem_Collection'!R57),"")</f>
        <v>4.8</v>
      </c>
      <c r="AJ716" s="268">
        <f>IFERROR(AVERAGE('Dry_Litterbag Placem_Collection'!N57,'Dry_Litterbag Placem_Collection'!Q57),"")</f>
        <v>31.9</v>
      </c>
      <c r="AK716" s="267">
        <f>INDEX(Coordinates!$B$2:$B$197,MATCH(H716,Coordinates!$J$2:$J$197,0))</f>
        <v>-3.4061389879999999</v>
      </c>
      <c r="AL716" s="267">
        <f>INDEX(Coordinates!$C$2:$C$197,MATCH(H716,Coordinates!$J$2:$J$197,0))</f>
        <v>34.850574979999998</v>
      </c>
      <c r="AM716" s="267" t="str">
        <f>IF(ISNUMBER(SEARCH("C", 'Dry_Litterbag Placem_Collection'!V57)),"YES","NO")</f>
        <v>NO</v>
      </c>
      <c r="AN716" s="267" t="str">
        <f>IF(ISNUMBER(SEARCH("H", 'Dry_Litterbag Placem_Collection'!V57)),"YES","NO")</f>
        <v>NO</v>
      </c>
      <c r="AO716" s="267" t="str">
        <f>IF(ISNUMBER(SEARCH("R", 'Dry_Litterbag Placem_Collection'!V57)),"YES","NO")</f>
        <v>NO</v>
      </c>
    </row>
    <row r="717" spans="1:41" ht="15" customHeight="1">
      <c r="A717" s="259" t="s">
        <v>2643</v>
      </c>
      <c r="B717" s="260">
        <f>'Dry_Litterbag Placem_Collection'!A58</f>
        <v>56</v>
      </c>
      <c r="C717" s="260" t="str">
        <f>'Dry_Litterbag Placem_Collection'!B58</f>
        <v>Makao</v>
      </c>
      <c r="D717" s="260" t="s">
        <v>2643</v>
      </c>
      <c r="E717" s="260" t="s">
        <v>20</v>
      </c>
      <c r="F717" s="260">
        <v>3</v>
      </c>
      <c r="G717" s="260" t="s">
        <v>3808</v>
      </c>
      <c r="H717" s="261" t="str">
        <f>'Dry_Litterbag Placem_Collection'!C58</f>
        <v>Dry_P3_T8</v>
      </c>
      <c r="I717" s="270" t="s">
        <v>3630</v>
      </c>
      <c r="J717" s="271" t="s">
        <v>298</v>
      </c>
      <c r="K717" s="260" t="str">
        <f>IF(ISBLANK('Dry_Litterbag Placem_Collection'!M58),"","R"&amp;""&amp;'Dry_Litterbag Placem_Collection'!M58)</f>
        <v>R227</v>
      </c>
      <c r="L717" s="264">
        <f>IFERROR(INDEX('Green_rooibos initial weight'!$C$5:$C$2000,MATCH(K717, 'Green_rooibos initial weight'!$A$5:$A$2000,0)),"")</f>
        <v>2.254</v>
      </c>
      <c r="M717" s="264">
        <f>IFERROR(L717-(TBIcalc!$Q$9+TBIcalc!$Q$10),"")</f>
        <v>2.0042</v>
      </c>
      <c r="N717" s="385">
        <f>AVERAGE(Ashed_controlls!$K$12:$K$14)</f>
        <v>2.2816647271287041</v>
      </c>
      <c r="O717" s="264">
        <f t="shared" si="56"/>
        <v>1.9584708755388864</v>
      </c>
      <c r="P717" s="264">
        <f>IFERROR(INDEX('Both teabags AfterDry'!$D$2:$D$2000,MATCH(K717,'Both teabags AfterDry'!$A$2:$A$2000,0)),"")</f>
        <v>2.0263</v>
      </c>
      <c r="Q717" s="264">
        <f>IFERROR(IF(P717&gt;0,P717-(TBIcalc!$Q$9),""),"")</f>
        <v>1.8756999999999999</v>
      </c>
      <c r="R717" s="275">
        <f>IFERROR(INDEX('Ashed teabags dry'!$K$2:$K$2000,MATCH(K717,'Ashed teabags dry'!$A$2:$A$2000,0)),"")</f>
        <v>3.7500000000005613</v>
      </c>
      <c r="S717" s="275">
        <f t="shared" si="57"/>
        <v>1.8053612499999894</v>
      </c>
      <c r="T717" s="265">
        <f>IF('Dry_Litterbag Placem_Collection'!E58="","",'Dry_Litterbag Placem_Collection'!E58)</f>
        <v>42938</v>
      </c>
      <c r="U717" s="265">
        <f>IF('Dry_Litterbag Placem_Collection'!G58="","",'Dry_Litterbag Placem_Collection'!G58)</f>
        <v>43005</v>
      </c>
      <c r="V717" s="266">
        <f t="shared" si="55"/>
        <v>67</v>
      </c>
      <c r="W717" s="264">
        <f t="shared" si="58"/>
        <v>0.12850000000000006</v>
      </c>
      <c r="X717" s="264">
        <f t="shared" si="59"/>
        <v>0.15310962553889707</v>
      </c>
      <c r="Y717" s="268">
        <f>IFERROR(INDEX(Rainfall_Dry!$O$2:$O$217,MATCH(B717, Rainfall_Dry!$A$2:$A$217,0)),"")</f>
        <v>6.5250000359999998</v>
      </c>
      <c r="Z717" s="257">
        <v>21.96</v>
      </c>
      <c r="AA717" s="257">
        <v>8.9199999999999982</v>
      </c>
      <c r="AB717" s="257">
        <v>69.12</v>
      </c>
      <c r="AC717" s="258" t="s">
        <v>2654</v>
      </c>
      <c r="AD717" s="257">
        <v>1.7491375061606702</v>
      </c>
      <c r="AE717">
        <f>IF('WetLitterbags placem_collection'!AB58="","",'WetLitterbags placem_collection'!AB58)</f>
        <v>15.4</v>
      </c>
      <c r="AF717">
        <f>IF('WetLitterbags placem_collection'!Z58="","",'WetLitterbags placem_collection'!Z58)</f>
        <v>30.8</v>
      </c>
      <c r="AG717" s="243" t="str">
        <f>IF('WetLitterbags placem_collection'!AA58="","",'WetLitterbags placem_collection'!AA58)</f>
        <v>M</v>
      </c>
      <c r="AH717">
        <f>IF('WetLitterbags placem_collection'!AC58="","",'WetLitterbags placem_collection'!AC58)</f>
        <v>0</v>
      </c>
      <c r="AI717">
        <f>IFERROR(AVERAGE('Dry_Litterbag Placem_Collection'!O58,'Dry_Litterbag Placem_Collection'!R58),"")</f>
        <v>8.3000000000000007</v>
      </c>
      <c r="AJ717" s="268">
        <f>IFERROR(AVERAGE('Dry_Litterbag Placem_Collection'!N58,'Dry_Litterbag Placem_Collection'!Q58),"")</f>
        <v>30.049999999999997</v>
      </c>
      <c r="AK717" s="267">
        <f>INDEX(Coordinates!$B$2:$B$197,MATCH(H717,Coordinates!$J$2:$J$197,0))</f>
        <v>-3.4062900300000001</v>
      </c>
      <c r="AL717" s="267">
        <f>INDEX(Coordinates!$C$2:$C$197,MATCH(H717,Coordinates!$J$2:$J$197,0))</f>
        <v>34.850441959999998</v>
      </c>
      <c r="AM717" s="267" t="str">
        <f>IF(ISNUMBER(SEARCH("C", 'Dry_Litterbag Placem_Collection'!V58)),"YES","NO")</f>
        <v>NO</v>
      </c>
      <c r="AN717" s="267" t="str">
        <f>IF(ISNUMBER(SEARCH("H", 'Dry_Litterbag Placem_Collection'!V58)),"YES","NO")</f>
        <v>NO</v>
      </c>
      <c r="AO717" s="267" t="str">
        <f>IF(ISNUMBER(SEARCH("R", 'Dry_Litterbag Placem_Collection'!V58)),"YES","NO")</f>
        <v>NO</v>
      </c>
    </row>
    <row r="718" spans="1:41" ht="15" customHeight="1">
      <c r="A718" s="259" t="s">
        <v>2643</v>
      </c>
      <c r="B718" s="260">
        <f>'Dry_Litterbag Placem_Collection'!A59</f>
        <v>57</v>
      </c>
      <c r="C718" s="260" t="str">
        <f>'Dry_Litterbag Placem_Collection'!B59</f>
        <v>Makao</v>
      </c>
      <c r="D718" s="260" t="s">
        <v>2643</v>
      </c>
      <c r="E718" s="260" t="s">
        <v>20</v>
      </c>
      <c r="F718" s="260">
        <v>4</v>
      </c>
      <c r="G718" s="260" t="s">
        <v>3809</v>
      </c>
      <c r="H718" s="261" t="str">
        <f>'Dry_Litterbag Placem_Collection'!C59</f>
        <v>Dry_P4_T1</v>
      </c>
      <c r="I718" s="270" t="s">
        <v>3630</v>
      </c>
      <c r="J718" s="271" t="s">
        <v>298</v>
      </c>
      <c r="K718" s="260" t="str">
        <f>IF(ISBLANK('Dry_Litterbag Placem_Collection'!M59),"","R"&amp;""&amp;'Dry_Litterbag Placem_Collection'!M59)</f>
        <v>R416</v>
      </c>
      <c r="L718" s="264">
        <f>IFERROR(INDEX('Green_rooibos initial weight'!$C$5:$C$2000,MATCH(K718, 'Green_rooibos initial weight'!$A$5:$A$2000,0)),"")</f>
        <v>2.2469999999999999</v>
      </c>
      <c r="M718" s="264">
        <f>IFERROR(L718-(TBIcalc!$Q$9+TBIcalc!$Q$10),"")</f>
        <v>1.9971999999999999</v>
      </c>
      <c r="N718" s="385">
        <f>AVERAGE(Ashed_controlls!$K$12:$K$14)</f>
        <v>2.2816647271287041</v>
      </c>
      <c r="O718" s="264">
        <f t="shared" si="56"/>
        <v>1.9516305920697854</v>
      </c>
      <c r="P718" s="264">
        <f>IFERROR(INDEX('Both teabags AfterDry'!$D$2:$D$2000,MATCH(K718,'Both teabags AfterDry'!$A$2:$A$2000,0)),"")</f>
        <v>2.0192999999999999</v>
      </c>
      <c r="Q718" s="264">
        <f>IFERROR(IF(P718&gt;0,P718-(TBIcalc!$Q$9),""),"")</f>
        <v>1.8686999999999998</v>
      </c>
      <c r="R718" s="275">
        <f>IFERROR(INDEX('Ashed teabags dry'!$K$2:$K$2000,MATCH(K718,'Ashed teabags dry'!$A$2:$A$2000,0)),"")</f>
        <v>1.8527315914489777</v>
      </c>
      <c r="S718" s="275">
        <f t="shared" si="57"/>
        <v>1.8340780047505927</v>
      </c>
      <c r="T718" s="265">
        <f>IF('Dry_Litterbag Placem_Collection'!E59="","",'Dry_Litterbag Placem_Collection'!E59)</f>
        <v>42938</v>
      </c>
      <c r="U718" s="265">
        <f>IF('Dry_Litterbag Placem_Collection'!G59="","",'Dry_Litterbag Placem_Collection'!G59)</f>
        <v>43005</v>
      </c>
      <c r="V718" s="266">
        <f t="shared" si="55"/>
        <v>67</v>
      </c>
      <c r="W718" s="264">
        <f t="shared" si="58"/>
        <v>0.12850000000000006</v>
      </c>
      <c r="X718" s="264">
        <f t="shared" si="59"/>
        <v>0.11755258731919271</v>
      </c>
      <c r="Y718" s="268">
        <f>IFERROR(INDEX(Rainfall_Dry!$O$2:$O$217,MATCH(B718, Rainfall_Dry!$A$2:$A$217,0)),"")</f>
        <v>6.5250000359999998</v>
      </c>
      <c r="Z718" s="257">
        <v>25.96</v>
      </c>
      <c r="AA718" s="257">
        <v>6.9200000000000008</v>
      </c>
      <c r="AB718" s="257">
        <v>67.12</v>
      </c>
      <c r="AC718" s="258" t="s">
        <v>2654</v>
      </c>
      <c r="AD718" s="257">
        <v>1.7568260226712666</v>
      </c>
      <c r="AE718">
        <f>IF('WetLitterbags placem_collection'!AB59="","",'WetLitterbags placem_collection'!AB59)</f>
        <v>3.3</v>
      </c>
      <c r="AF718">
        <f>IF('WetLitterbags placem_collection'!Z59="","",'WetLitterbags placem_collection'!Z59)</f>
        <v>28.4</v>
      </c>
      <c r="AG718" s="243" t="str">
        <f>IF('WetLitterbags placem_collection'!AA59="","",'WetLitterbags placem_collection'!AA59)</f>
        <v>O</v>
      </c>
      <c r="AH718">
        <f>IF('WetLitterbags placem_collection'!AC59="","",'WetLitterbags placem_collection'!AC59)</f>
        <v>1</v>
      </c>
      <c r="AI718">
        <f>IFERROR(AVERAGE('Dry_Litterbag Placem_Collection'!O59,'Dry_Litterbag Placem_Collection'!R59),"")</f>
        <v>3.95</v>
      </c>
      <c r="AJ718" s="268">
        <f>IFERROR(AVERAGE('Dry_Litterbag Placem_Collection'!N59,'Dry_Litterbag Placem_Collection'!Q59),"")</f>
        <v>33.25</v>
      </c>
      <c r="AK718" s="267">
        <f>INDEX(Coordinates!$B$2:$B$197,MATCH(H718,Coordinates!$J$2:$J$197,0))</f>
        <v>-3.4064239729999999</v>
      </c>
      <c r="AL718" s="267">
        <f>INDEX(Coordinates!$C$2:$C$197,MATCH(H718,Coordinates!$J$2:$J$197,0))</f>
        <v>34.851213010000002</v>
      </c>
      <c r="AM718" s="267" t="str">
        <f>IF(ISNUMBER(SEARCH("C", 'Dry_Litterbag Placem_Collection'!V59)),"YES","NO")</f>
        <v>NO</v>
      </c>
      <c r="AN718" s="267" t="str">
        <f>IF(ISNUMBER(SEARCH("H", 'Dry_Litterbag Placem_Collection'!V59)),"YES","NO")</f>
        <v>NO</v>
      </c>
      <c r="AO718" s="267" t="str">
        <f>IF(ISNUMBER(SEARCH("R", 'Dry_Litterbag Placem_Collection'!V59)),"YES","NO")</f>
        <v>NO</v>
      </c>
    </row>
    <row r="719" spans="1:41" ht="15" customHeight="1">
      <c r="A719" s="259" t="s">
        <v>2643</v>
      </c>
      <c r="B719" s="260">
        <f>'Dry_Litterbag Placem_Collection'!A60</f>
        <v>58</v>
      </c>
      <c r="C719" s="260" t="str">
        <f>'Dry_Litterbag Placem_Collection'!B60</f>
        <v>Makao</v>
      </c>
      <c r="D719" s="260" t="s">
        <v>2643</v>
      </c>
      <c r="E719" s="260" t="s">
        <v>20</v>
      </c>
      <c r="F719" s="260">
        <v>4</v>
      </c>
      <c r="G719" s="260" t="s">
        <v>3809</v>
      </c>
      <c r="H719" s="261" t="str">
        <f>'Dry_Litterbag Placem_Collection'!C60</f>
        <v>Dry_P4_T2</v>
      </c>
      <c r="I719" s="270" t="s">
        <v>3630</v>
      </c>
      <c r="J719" s="271" t="s">
        <v>298</v>
      </c>
      <c r="K719" s="260" t="str">
        <f>IF(ISBLANK('Dry_Litterbag Placem_Collection'!M60),"","R"&amp;""&amp;'Dry_Litterbag Placem_Collection'!M60)</f>
        <v>R689</v>
      </c>
      <c r="L719" s="264">
        <f>IFERROR(INDEX('Green_rooibos initial weight'!$C$5:$C$2000,MATCH(K719, 'Green_rooibos initial weight'!$A$5:$A$2000,0)),"")</f>
        <v>2.11</v>
      </c>
      <c r="M719" s="264">
        <f>IFERROR(L719-(TBIcalc!$Q$9+TBIcalc!$Q$10),"")</f>
        <v>1.8601999999999999</v>
      </c>
      <c r="N719" s="385">
        <f>AVERAGE(Ashed_controlls!$K$12:$K$14)</f>
        <v>2.2816647271287041</v>
      </c>
      <c r="O719" s="264">
        <f t="shared" si="56"/>
        <v>1.8177564727459516</v>
      </c>
      <c r="P719" s="264">
        <f>IFERROR(INDEX('Both teabags AfterDry'!$D$2:$D$2000,MATCH(K719,'Both teabags AfterDry'!$A$2:$A$2000,0)),"")</f>
        <v>1.9226000000000001</v>
      </c>
      <c r="Q719" s="264">
        <f>IFERROR(IF(P719&gt;0,P719-(TBIcalc!$Q$9),""),"")</f>
        <v>1.772</v>
      </c>
      <c r="R719" s="275">
        <f>IFERROR(INDEX('Ashed teabags dry'!$K$2:$K$2000,MATCH(K719,'Ashed teabags dry'!$A$2:$A$2000,0)),"")</f>
        <v>2.075098814229281</v>
      </c>
      <c r="S719" s="275">
        <f t="shared" si="57"/>
        <v>1.7352292490118573</v>
      </c>
      <c r="T719" s="265">
        <f>IF('Dry_Litterbag Placem_Collection'!E60="","",'Dry_Litterbag Placem_Collection'!E60)</f>
        <v>42938</v>
      </c>
      <c r="U719" s="265">
        <f>IF('Dry_Litterbag Placem_Collection'!G60="","",'Dry_Litterbag Placem_Collection'!G60)</f>
        <v>43005</v>
      </c>
      <c r="V719" s="266">
        <f t="shared" si="55"/>
        <v>67</v>
      </c>
      <c r="W719" s="264">
        <f t="shared" si="58"/>
        <v>8.8199999999999834E-2</v>
      </c>
      <c r="X719" s="264">
        <f t="shared" si="59"/>
        <v>8.2527223734094379E-2</v>
      </c>
      <c r="Y719" s="268">
        <f>IFERROR(INDEX(Rainfall_Dry!$O$2:$O$217,MATCH(B719, Rainfall_Dry!$A$2:$A$217,0)),"")</f>
        <v>6.5250000359999998</v>
      </c>
      <c r="Z719" s="257">
        <v>25.96</v>
      </c>
      <c r="AA719" s="257">
        <v>6.9200000000000008</v>
      </c>
      <c r="AB719" s="257">
        <v>67.12</v>
      </c>
      <c r="AC719" s="258" t="s">
        <v>2654</v>
      </c>
      <c r="AD719" s="257">
        <v>1.7568260226712666</v>
      </c>
      <c r="AE719">
        <f>IF('WetLitterbags placem_collection'!AB60="","",'WetLitterbags placem_collection'!AB60)</f>
        <v>1.4</v>
      </c>
      <c r="AF719">
        <f>IF('WetLitterbags placem_collection'!Z60="","",'WetLitterbags placem_collection'!Z60)</f>
        <v>54.4</v>
      </c>
      <c r="AG719" s="243" t="str">
        <f>IF('WetLitterbags placem_collection'!AA60="","",'WetLitterbags placem_collection'!AA60)</f>
        <v>O</v>
      </c>
      <c r="AH719">
        <f>IF('WetLitterbags placem_collection'!AC60="","",'WetLitterbags placem_collection'!AC60)</f>
        <v>0</v>
      </c>
      <c r="AI719">
        <f>IFERROR(AVERAGE('Dry_Litterbag Placem_Collection'!O60,'Dry_Litterbag Placem_Collection'!R60),"")</f>
        <v>5.7</v>
      </c>
      <c r="AJ719" s="268">
        <f>IFERROR(AVERAGE('Dry_Litterbag Placem_Collection'!N60,'Dry_Litterbag Placem_Collection'!Q60),"")</f>
        <v>32.35</v>
      </c>
      <c r="AK719" s="267">
        <f>INDEX(Coordinates!$B$2:$B$197,MATCH(H719,Coordinates!$J$2:$J$197,0))</f>
        <v>-3.4065020079999999</v>
      </c>
      <c r="AL719" s="267">
        <f>INDEX(Coordinates!$C$2:$C$197,MATCH(H719,Coordinates!$J$2:$J$197,0))</f>
        <v>34.851056020000001</v>
      </c>
      <c r="AM719" s="267" t="str">
        <f>IF(ISNUMBER(SEARCH("C", 'Dry_Litterbag Placem_Collection'!V60)),"YES","NO")</f>
        <v>NO</v>
      </c>
      <c r="AN719" s="267" t="str">
        <f>IF(ISNUMBER(SEARCH("H", 'Dry_Litterbag Placem_Collection'!V60)),"YES","NO")</f>
        <v>NO</v>
      </c>
      <c r="AO719" s="267" t="str">
        <f>IF(ISNUMBER(SEARCH("R", 'Dry_Litterbag Placem_Collection'!V60)),"YES","NO")</f>
        <v>NO</v>
      </c>
    </row>
    <row r="720" spans="1:41" ht="15" customHeight="1">
      <c r="A720" s="259" t="s">
        <v>2643</v>
      </c>
      <c r="B720" s="260">
        <f>'Dry_Litterbag Placem_Collection'!A61</f>
        <v>59</v>
      </c>
      <c r="C720" s="260" t="str">
        <f>'Dry_Litterbag Placem_Collection'!B61</f>
        <v>Makao</v>
      </c>
      <c r="D720" s="260" t="s">
        <v>2643</v>
      </c>
      <c r="E720" s="260" t="s">
        <v>20</v>
      </c>
      <c r="F720" s="260">
        <v>4</v>
      </c>
      <c r="G720" s="260" t="s">
        <v>3809</v>
      </c>
      <c r="H720" s="261" t="str">
        <f>'Dry_Litterbag Placem_Collection'!C61</f>
        <v>Dry_P4_T3</v>
      </c>
      <c r="I720" s="270" t="s">
        <v>3630</v>
      </c>
      <c r="J720" s="271" t="s">
        <v>298</v>
      </c>
      <c r="K720" s="260" t="str">
        <f>IF(ISBLANK('Dry_Litterbag Placem_Collection'!M61),"","R"&amp;""&amp;'Dry_Litterbag Placem_Collection'!M61)</f>
        <v>R231</v>
      </c>
      <c r="L720" s="264">
        <f>IFERROR(INDEX('Green_rooibos initial weight'!$C$5:$C$2000,MATCH(K720, 'Green_rooibos initial weight'!$A$5:$A$2000,0)),"")</f>
        <v>2.1230000000000002</v>
      </c>
      <c r="M720" s="264">
        <f>IFERROR(L720-(TBIcalc!$Q$9+TBIcalc!$Q$10),"")</f>
        <v>1.8732000000000002</v>
      </c>
      <c r="N720" s="385">
        <f>AVERAGE(Ashed_controlls!$K$12:$K$14)</f>
        <v>2.2816647271287041</v>
      </c>
      <c r="O720" s="264">
        <f t="shared" si="56"/>
        <v>1.8304598563314254</v>
      </c>
      <c r="P720" s="264">
        <f>IFERROR(INDEX('Both teabags AfterDry'!$D$2:$D$2000,MATCH(K720,'Both teabags AfterDry'!$A$2:$A$2000,0)),"")</f>
        <v>1.8747</v>
      </c>
      <c r="Q720" s="264">
        <f>IFERROR(IF(P720&gt;0,P720-(TBIcalc!$Q$9),""),"")</f>
        <v>1.7241</v>
      </c>
      <c r="R720" s="275">
        <f>IFERROR(INDEX('Ashed teabags dry'!$K$2:$K$2000,MATCH(K720,'Ashed teabags dry'!$A$2:$A$2000,0)),"")</f>
        <v>2.4205748865354395</v>
      </c>
      <c r="S720" s="275">
        <f t="shared" si="57"/>
        <v>1.6823668683812425</v>
      </c>
      <c r="T720" s="265">
        <f>IF('Dry_Litterbag Placem_Collection'!E61="","",'Dry_Litterbag Placem_Collection'!E61)</f>
        <v>42938</v>
      </c>
      <c r="U720" s="265">
        <f>IF('Dry_Litterbag Placem_Collection'!G61="","",'Dry_Litterbag Placem_Collection'!G61)</f>
        <v>43005</v>
      </c>
      <c r="V720" s="266">
        <f t="shared" si="55"/>
        <v>67</v>
      </c>
      <c r="W720" s="264">
        <f t="shared" si="58"/>
        <v>0.14910000000000023</v>
      </c>
      <c r="X720" s="264">
        <f t="shared" si="59"/>
        <v>0.14809298795018289</v>
      </c>
      <c r="Y720" s="268">
        <f>IFERROR(INDEX(Rainfall_Dry!$O$2:$O$217,MATCH(B720, Rainfall_Dry!$A$2:$A$217,0)),"")</f>
        <v>6.5250000359999998</v>
      </c>
      <c r="Z720" s="257">
        <v>25.96</v>
      </c>
      <c r="AA720" s="257">
        <v>6.9200000000000008</v>
      </c>
      <c r="AB720" s="257">
        <v>67.12</v>
      </c>
      <c r="AC720" s="258" t="s">
        <v>2654</v>
      </c>
      <c r="AD720" s="257">
        <v>1.7568260226712666</v>
      </c>
      <c r="AE720">
        <f>IF('WetLitterbags placem_collection'!AB61="","",'WetLitterbags placem_collection'!AB61)</f>
        <v>3.3</v>
      </c>
      <c r="AF720">
        <f>IF('WetLitterbags placem_collection'!Z61="","",'WetLitterbags placem_collection'!Z61)</f>
        <v>46</v>
      </c>
      <c r="AG720" s="243" t="str">
        <f>IF('WetLitterbags placem_collection'!AA61="","",'WetLitterbags placem_collection'!AA61)</f>
        <v>O</v>
      </c>
      <c r="AH720">
        <f>IF('WetLitterbags placem_collection'!AC61="","",'WetLitterbags placem_collection'!AC61)</f>
        <v>0</v>
      </c>
      <c r="AI720">
        <f>IFERROR(AVERAGE('Dry_Litterbag Placem_Collection'!O61,'Dry_Litterbag Placem_Collection'!R61),"")</f>
        <v>7.6999999999999993</v>
      </c>
      <c r="AJ720" s="268">
        <f>IFERROR(AVERAGE('Dry_Litterbag Placem_Collection'!N61,'Dry_Litterbag Placem_Collection'!Q61),"")</f>
        <v>31.8</v>
      </c>
      <c r="AK720" s="267">
        <f>INDEX(Coordinates!$B$2:$B$197,MATCH(H720,Coordinates!$J$2:$J$197,0))</f>
        <v>-3.4062359670000002</v>
      </c>
      <c r="AL720" s="267">
        <f>INDEX(Coordinates!$C$2:$C$197,MATCH(H720,Coordinates!$J$2:$J$197,0))</f>
        <v>34.851107990000003</v>
      </c>
      <c r="AM720" s="267" t="str">
        <f>IF(ISNUMBER(SEARCH("C", 'Dry_Litterbag Placem_Collection'!V61)),"YES","NO")</f>
        <v>NO</v>
      </c>
      <c r="AN720" s="267" t="str">
        <f>IF(ISNUMBER(SEARCH("H", 'Dry_Litterbag Placem_Collection'!V61)),"YES","NO")</f>
        <v>NO</v>
      </c>
      <c r="AO720" s="267" t="str">
        <f>IF(ISNUMBER(SEARCH("R", 'Dry_Litterbag Placem_Collection'!V61)),"YES","NO")</f>
        <v>NO</v>
      </c>
    </row>
    <row r="721" spans="1:41" ht="15" customHeight="1">
      <c r="A721" s="259" t="s">
        <v>2643</v>
      </c>
      <c r="B721" s="260">
        <f>'Dry_Litterbag Placem_Collection'!A62</f>
        <v>60</v>
      </c>
      <c r="C721" s="260" t="str">
        <f>'Dry_Litterbag Placem_Collection'!B62</f>
        <v>Makao</v>
      </c>
      <c r="D721" s="260" t="s">
        <v>2643</v>
      </c>
      <c r="E721" s="260" t="s">
        <v>20</v>
      </c>
      <c r="F721" s="260">
        <v>4</v>
      </c>
      <c r="G721" s="260" t="s">
        <v>3809</v>
      </c>
      <c r="H721" s="261" t="str">
        <f>'Dry_Litterbag Placem_Collection'!C62</f>
        <v>Dry_P4_T4</v>
      </c>
      <c r="I721" s="270" t="s">
        <v>3630</v>
      </c>
      <c r="J721" s="271" t="s">
        <v>298</v>
      </c>
      <c r="K721" s="260" t="str">
        <f>IF(ISBLANK('Dry_Litterbag Placem_Collection'!M62),"","R"&amp;""&amp;'Dry_Litterbag Placem_Collection'!M62)</f>
        <v>R297</v>
      </c>
      <c r="L721" s="264">
        <f>IFERROR(INDEX('Green_rooibos initial weight'!$C$5:$C$2000,MATCH(K721, 'Green_rooibos initial weight'!$A$5:$A$2000,0)),"")</f>
        <v>2.1800000000000002</v>
      </c>
      <c r="M721" s="264">
        <f>IFERROR(L721-(TBIcalc!$Q$9+TBIcalc!$Q$10),"")</f>
        <v>1.9302000000000001</v>
      </c>
      <c r="N721" s="385">
        <f>AVERAGE(Ashed_controlls!$K$12:$K$14)</f>
        <v>2.2816647271287041</v>
      </c>
      <c r="O721" s="264">
        <f t="shared" si="56"/>
        <v>1.8861593074369618</v>
      </c>
      <c r="P721" s="264">
        <f>IFERROR(INDEX('Both teabags AfterDry'!$D$2:$D$2000,MATCH(K721,'Both teabags AfterDry'!$A$2:$A$2000,0)),"")</f>
        <v>1.9569000000000001</v>
      </c>
      <c r="Q721" s="264">
        <f>IFERROR(IF(P721&gt;0,P721-(TBIcalc!$Q$9),""),"")</f>
        <v>1.8063</v>
      </c>
      <c r="R721" s="275">
        <f>IFERROR(INDEX('Ashed teabags dry'!$K$2:$K$2000,MATCH(K721,'Ashed teabags dry'!$A$2:$A$2000,0)),"")</f>
        <v>2.1921641791054141</v>
      </c>
      <c r="S721" s="275">
        <f t="shared" si="57"/>
        <v>1.766702938432819</v>
      </c>
      <c r="T721" s="265">
        <f>IF('Dry_Litterbag Placem_Collection'!E62="","",'Dry_Litterbag Placem_Collection'!E62)</f>
        <v>42938</v>
      </c>
      <c r="U721" s="265">
        <f>IF('Dry_Litterbag Placem_Collection'!G62="","",'Dry_Litterbag Placem_Collection'!G62)</f>
        <v>43005</v>
      </c>
      <c r="V721" s="266">
        <f t="shared" si="55"/>
        <v>67</v>
      </c>
      <c r="W721" s="264">
        <f t="shared" si="58"/>
        <v>0.12390000000000012</v>
      </c>
      <c r="X721" s="264">
        <f t="shared" si="59"/>
        <v>0.1194563690041428</v>
      </c>
      <c r="Y721" s="268">
        <f>IFERROR(INDEX(Rainfall_Dry!$O$2:$O$217,MATCH(B721, Rainfall_Dry!$A$2:$A$217,0)),"")</f>
        <v>6.5250000359999998</v>
      </c>
      <c r="Z721" s="257">
        <v>25.96</v>
      </c>
      <c r="AA721" s="257">
        <v>6.9200000000000008</v>
      </c>
      <c r="AB721" s="257">
        <v>67.12</v>
      </c>
      <c r="AC721" s="258" t="s">
        <v>2654</v>
      </c>
      <c r="AD721" s="257">
        <v>1.7568260226712666</v>
      </c>
      <c r="AE721">
        <f>IF('WetLitterbags placem_collection'!AB62="","",'WetLitterbags placem_collection'!AB62)</f>
        <v>2.4</v>
      </c>
      <c r="AF721">
        <f>IF('WetLitterbags placem_collection'!Z62="","",'WetLitterbags placem_collection'!Z62)</f>
        <v>10.199999999999999</v>
      </c>
      <c r="AG721" s="243" t="str">
        <f>IF('WetLitterbags placem_collection'!AA62="","",'WetLitterbags placem_collection'!AA62)</f>
        <v>O</v>
      </c>
      <c r="AH721">
        <f>IF('WetLitterbags placem_collection'!AC62="","",'WetLitterbags placem_collection'!AC62)</f>
        <v>0</v>
      </c>
      <c r="AI721">
        <f>IFERROR(AVERAGE('Dry_Litterbag Placem_Collection'!O62,'Dry_Litterbag Placem_Collection'!R62),"")</f>
        <v>5.65</v>
      </c>
      <c r="AJ721" s="268">
        <f>IFERROR(AVERAGE('Dry_Litterbag Placem_Collection'!N62,'Dry_Litterbag Placem_Collection'!Q62),"")</f>
        <v>32.650000000000006</v>
      </c>
      <c r="AK721" s="267">
        <f>INDEX(Coordinates!$B$2:$B$197,MATCH(H721,Coordinates!$J$2:$J$197,0))</f>
        <v>-3.406281983</v>
      </c>
      <c r="AL721" s="267">
        <f>INDEX(Coordinates!$C$2:$C$197,MATCH(H721,Coordinates!$J$2:$J$197,0))</f>
        <v>34.85137898</v>
      </c>
      <c r="AM721" s="267" t="str">
        <f>IF(ISNUMBER(SEARCH("C", 'Dry_Litterbag Placem_Collection'!V62)),"YES","NO")</f>
        <v>NO</v>
      </c>
      <c r="AN721" s="267" t="str">
        <f>IF(ISNUMBER(SEARCH("H", 'Dry_Litterbag Placem_Collection'!V62)),"YES","NO")</f>
        <v>NO</v>
      </c>
      <c r="AO721" s="267" t="str">
        <f>IF(ISNUMBER(SEARCH("R", 'Dry_Litterbag Placem_Collection'!V62)),"YES","NO")</f>
        <v>NO</v>
      </c>
    </row>
    <row r="722" spans="1:41" ht="15" customHeight="1">
      <c r="A722" s="259" t="s">
        <v>2643</v>
      </c>
      <c r="B722" s="260">
        <f>'Dry_Litterbag Placem_Collection'!A63</f>
        <v>61</v>
      </c>
      <c r="C722" s="260" t="str">
        <f>'Dry_Litterbag Placem_Collection'!B63</f>
        <v>Makao</v>
      </c>
      <c r="D722" s="260" t="s">
        <v>2643</v>
      </c>
      <c r="E722" s="260" t="s">
        <v>20</v>
      </c>
      <c r="F722" s="260">
        <v>4</v>
      </c>
      <c r="G722" s="260" t="s">
        <v>3809</v>
      </c>
      <c r="H722" s="261" t="str">
        <f>'Dry_Litterbag Placem_Collection'!C63</f>
        <v>Dry_P4_T5</v>
      </c>
      <c r="I722" s="270" t="s">
        <v>3630</v>
      </c>
      <c r="J722" s="271" t="s">
        <v>298</v>
      </c>
      <c r="K722" s="260" t="str">
        <f>IF(ISBLANK('Dry_Litterbag Placem_Collection'!M63),"","R"&amp;""&amp;'Dry_Litterbag Placem_Collection'!M63)</f>
        <v>R200</v>
      </c>
      <c r="L722" s="264">
        <f>IFERROR(INDEX('Green_rooibos initial weight'!$C$5:$C$2000,MATCH(K722, 'Green_rooibos initial weight'!$A$5:$A$2000,0)),"")</f>
        <v>2.242</v>
      </c>
      <c r="M722" s="264">
        <f>IFERROR(L722-(TBIcalc!$Q$9+TBIcalc!$Q$10),"")</f>
        <v>1.9922</v>
      </c>
      <c r="N722" s="385">
        <f>AVERAGE(Ashed_controlls!$K$12:$K$14)</f>
        <v>2.2816647271287041</v>
      </c>
      <c r="O722" s="264">
        <f t="shared" si="56"/>
        <v>1.9467446753061419</v>
      </c>
      <c r="P722" s="264" t="str">
        <f>IFERROR(INDEX('Both teabags AfterDry'!$D$2:$D$2000,MATCH(K722,'Both teabags AfterDry'!$A$2:$A$2000,0)),"")</f>
        <v/>
      </c>
      <c r="Q722" s="264" t="str">
        <f>IFERROR(IF(P722&gt;0,P722-(TBIcalc!$Q$9),""),"")</f>
        <v/>
      </c>
      <c r="R722" s="275" t="str">
        <f>IFERROR(INDEX('Ashed teabags dry'!$K$2:$K$2000,MATCH(K722,'Ashed teabags dry'!$A$2:$A$2000,0)),"")</f>
        <v/>
      </c>
      <c r="S722" s="275" t="str">
        <f t="shared" si="57"/>
        <v/>
      </c>
      <c r="T722" s="265">
        <f>IF('Dry_Litterbag Placem_Collection'!E63="","",'Dry_Litterbag Placem_Collection'!E63)</f>
        <v>42938</v>
      </c>
      <c r="U722" s="265">
        <f>IF('Dry_Litterbag Placem_Collection'!G63="","",'Dry_Litterbag Placem_Collection'!G63)</f>
        <v>43005</v>
      </c>
      <c r="V722" s="266">
        <f t="shared" si="55"/>
        <v>67</v>
      </c>
      <c r="W722" s="264" t="str">
        <f t="shared" si="58"/>
        <v/>
      </c>
      <c r="X722" s="264" t="str">
        <f t="shared" si="59"/>
        <v/>
      </c>
      <c r="Y722" s="268">
        <f>IFERROR(INDEX(Rainfall_Dry!$O$2:$O$217,MATCH(B722, Rainfall_Dry!$A$2:$A$217,0)),"")</f>
        <v>6.5250000359999998</v>
      </c>
      <c r="Z722" s="257">
        <v>25.96</v>
      </c>
      <c r="AA722" s="257">
        <v>6.9200000000000008</v>
      </c>
      <c r="AB722" s="257">
        <v>67.12</v>
      </c>
      <c r="AC722" s="258" t="s">
        <v>2654</v>
      </c>
      <c r="AD722" s="257">
        <v>1.7568260226712666</v>
      </c>
      <c r="AE722">
        <f>IF('WetLitterbags placem_collection'!AB63="","",'WetLitterbags placem_collection'!AB63)</f>
        <v>5.6</v>
      </c>
      <c r="AF722">
        <f>IF('WetLitterbags placem_collection'!Z63="","",'WetLitterbags placem_collection'!Z63)</f>
        <v>34.200000000000003</v>
      </c>
      <c r="AG722" s="243" t="str">
        <f>IF('WetLitterbags placem_collection'!AA63="","",'WetLitterbags placem_collection'!AA63)</f>
        <v>O</v>
      </c>
      <c r="AH722">
        <f>IF('WetLitterbags placem_collection'!AC63="","",'WetLitterbags placem_collection'!AC63)</f>
        <v>0</v>
      </c>
      <c r="AI722">
        <f>IFERROR(AVERAGE('Dry_Litterbag Placem_Collection'!O63,'Dry_Litterbag Placem_Collection'!R63),"")</f>
        <v>4.5</v>
      </c>
      <c r="AJ722" s="268">
        <f>IFERROR(AVERAGE('Dry_Litterbag Placem_Collection'!N63,'Dry_Litterbag Placem_Collection'!Q63),"")</f>
        <v>34</v>
      </c>
      <c r="AK722" s="267">
        <f>INDEX(Coordinates!$B$2:$B$197,MATCH(H722,Coordinates!$J$2:$J$197,0))</f>
        <v>-3.406569986</v>
      </c>
      <c r="AL722" s="267">
        <f>INDEX(Coordinates!$C$2:$C$197,MATCH(H722,Coordinates!$J$2:$J$197,0))</f>
        <v>34.851323989999997</v>
      </c>
      <c r="AM722" s="267" t="str">
        <f>IF(ISNUMBER(SEARCH("C", 'Dry_Litterbag Placem_Collection'!V63)),"YES","NO")</f>
        <v>NO</v>
      </c>
      <c r="AN722" s="267" t="str">
        <f>IF(ISNUMBER(SEARCH("H", 'Dry_Litterbag Placem_Collection'!V63)),"YES","NO")</f>
        <v>NO</v>
      </c>
      <c r="AO722" s="267" t="str">
        <f>IF(ISNUMBER(SEARCH("R", 'Dry_Litterbag Placem_Collection'!V63)),"YES","NO")</f>
        <v>NO</v>
      </c>
    </row>
    <row r="723" spans="1:41" ht="15" customHeight="1">
      <c r="A723" s="259" t="s">
        <v>2643</v>
      </c>
      <c r="B723" s="260">
        <f>'Dry_Litterbag Placem_Collection'!A64</f>
        <v>62</v>
      </c>
      <c r="C723" s="260" t="str">
        <f>'Dry_Litterbag Placem_Collection'!B64</f>
        <v>Makao</v>
      </c>
      <c r="D723" s="260" t="s">
        <v>2643</v>
      </c>
      <c r="E723" s="260" t="s">
        <v>20</v>
      </c>
      <c r="F723" s="260">
        <v>4</v>
      </c>
      <c r="G723" s="260" t="s">
        <v>3809</v>
      </c>
      <c r="H723" s="261" t="str">
        <f>'Dry_Litterbag Placem_Collection'!C64</f>
        <v>Dry_P4_T6</v>
      </c>
      <c r="I723" s="270" t="s">
        <v>3630</v>
      </c>
      <c r="J723" s="271" t="s">
        <v>298</v>
      </c>
      <c r="K723" s="260" t="str">
        <f>IF(ISBLANK('Dry_Litterbag Placem_Collection'!M64),"","R"&amp;""&amp;'Dry_Litterbag Placem_Collection'!M64)</f>
        <v/>
      </c>
      <c r="L723" s="264" t="str">
        <f>IFERROR(INDEX('Green_rooibos initial weight'!$C$5:$C$2000,MATCH(K723, 'Green_rooibos initial weight'!$A$5:$A$2000,0)),"")</f>
        <v/>
      </c>
      <c r="M723" s="264" t="str">
        <f>IFERROR(L723-(TBIcalc!$Q$9+TBIcalc!$Q$10),"")</f>
        <v/>
      </c>
      <c r="N723" s="385">
        <f>AVERAGE(Ashed_controlls!$K$12:$K$14)</f>
        <v>2.2816647271287041</v>
      </c>
      <c r="O723" s="264" t="str">
        <f t="shared" si="56"/>
        <v/>
      </c>
      <c r="P723" s="264" t="str">
        <f>IFERROR(INDEX('Both teabags AfterDry'!$D$2:$D$2000,MATCH(K723,'Both teabags AfterDry'!$A$2:$A$2000,0)),"")</f>
        <v/>
      </c>
      <c r="Q723" s="264" t="str">
        <f>IFERROR(IF(P723&gt;0,P723-(TBIcalc!$Q$9),""),"")</f>
        <v/>
      </c>
      <c r="R723" s="275" t="str">
        <f>IFERROR(INDEX('Ashed teabags dry'!$K$2:$K$2000,MATCH(K723,'Ashed teabags dry'!$A$2:$A$2000,0)),"")</f>
        <v/>
      </c>
      <c r="S723" s="275" t="str">
        <f t="shared" si="57"/>
        <v/>
      </c>
      <c r="T723" s="265" t="str">
        <f>IF('Dry_Litterbag Placem_Collection'!E64="","",'Dry_Litterbag Placem_Collection'!E64)</f>
        <v/>
      </c>
      <c r="U723" s="265" t="str">
        <f>IF('Dry_Litterbag Placem_Collection'!G64="","",'Dry_Litterbag Placem_Collection'!G64)</f>
        <v/>
      </c>
      <c r="V723" s="266" t="str">
        <f t="shared" si="55"/>
        <v/>
      </c>
      <c r="W723" s="264" t="str">
        <f t="shared" si="58"/>
        <v/>
      </c>
      <c r="X723" s="264" t="str">
        <f t="shared" si="59"/>
        <v/>
      </c>
      <c r="Y723" s="268" t="str">
        <f>IFERROR(INDEX(Rainfall_Dry!$O$2:$O$217,MATCH(B723, Rainfall_Dry!$A$2:$A$217,0)),"")</f>
        <v/>
      </c>
      <c r="Z723" s="257">
        <v>25.96</v>
      </c>
      <c r="AA723" s="257">
        <v>6.9200000000000008</v>
      </c>
      <c r="AB723" s="257">
        <v>67.12</v>
      </c>
      <c r="AC723" s="258" t="s">
        <v>2654</v>
      </c>
      <c r="AD723" s="257">
        <v>1.7568260226712666</v>
      </c>
      <c r="AE723">
        <f>IF('WetLitterbags placem_collection'!AB64="","",'WetLitterbags placem_collection'!AB64)</f>
        <v>4.2</v>
      </c>
      <c r="AF723">
        <f>IF('WetLitterbags placem_collection'!Z64="","",'WetLitterbags placem_collection'!Z64)</f>
        <v>40.4</v>
      </c>
      <c r="AG723" s="243" t="str">
        <f>IF('WetLitterbags placem_collection'!AA64="","",'WetLitterbags placem_collection'!AA64)</f>
        <v>O</v>
      </c>
      <c r="AH723">
        <f>IF('WetLitterbags placem_collection'!AC64="","",'WetLitterbags placem_collection'!AC64)</f>
        <v>0</v>
      </c>
      <c r="AI723" t="str">
        <f>IFERROR(AVERAGE('Dry_Litterbag Placem_Collection'!O64,'Dry_Litterbag Placem_Collection'!R64),"")</f>
        <v/>
      </c>
      <c r="AJ723" s="268" t="str">
        <f>IFERROR(AVERAGE('Dry_Litterbag Placem_Collection'!N64,'Dry_Litterbag Placem_Collection'!Q64),"")</f>
        <v/>
      </c>
      <c r="AK723" s="267">
        <f>INDEX(Coordinates!$B$2:$B$197,MATCH(H723,Coordinates!$J$2:$J$197,0))</f>
        <v>-3.4065180179999999</v>
      </c>
      <c r="AL723" s="267">
        <f>INDEX(Coordinates!$C$2:$C$197,MATCH(H723,Coordinates!$J$2:$J$197,0))</f>
        <v>34.85121402</v>
      </c>
      <c r="AM723" s="267" t="str">
        <f>IF(ISNUMBER(SEARCH("C", 'Dry_Litterbag Placem_Collection'!V64)),"YES","NO")</f>
        <v>NO</v>
      </c>
      <c r="AN723" s="267" t="str">
        <f>IF(ISNUMBER(SEARCH("H", 'Dry_Litterbag Placem_Collection'!V64)),"YES","NO")</f>
        <v>NO</v>
      </c>
      <c r="AO723" s="267" t="str">
        <f>IF(ISNUMBER(SEARCH("R", 'Dry_Litterbag Placem_Collection'!V64)),"YES","NO")</f>
        <v>NO</v>
      </c>
    </row>
    <row r="724" spans="1:41" ht="15" customHeight="1">
      <c r="A724" s="259" t="s">
        <v>2643</v>
      </c>
      <c r="B724" s="260">
        <f>'Dry_Litterbag Placem_Collection'!A65</f>
        <v>63</v>
      </c>
      <c r="C724" s="260" t="str">
        <f>'Dry_Litterbag Placem_Collection'!B65</f>
        <v>Makao</v>
      </c>
      <c r="D724" s="260" t="s">
        <v>2643</v>
      </c>
      <c r="E724" s="260" t="s">
        <v>20</v>
      </c>
      <c r="F724" s="260">
        <v>4</v>
      </c>
      <c r="G724" s="260" t="s">
        <v>3809</v>
      </c>
      <c r="H724" s="261" t="str">
        <f>'Dry_Litterbag Placem_Collection'!C65</f>
        <v>Dry_P4_T7</v>
      </c>
      <c r="I724" s="270" t="s">
        <v>3630</v>
      </c>
      <c r="J724" s="271" t="s">
        <v>298</v>
      </c>
      <c r="K724" s="260" t="str">
        <f>IF(ISBLANK('Dry_Litterbag Placem_Collection'!M65),"","R"&amp;""&amp;'Dry_Litterbag Placem_Collection'!M65)</f>
        <v>R713</v>
      </c>
      <c r="L724" s="264">
        <f>IFERROR(INDEX('Green_rooibos initial weight'!$C$5:$C$2000,MATCH(K724, 'Green_rooibos initial weight'!$A$5:$A$2000,0)),"")</f>
        <v>2.1619999999999999</v>
      </c>
      <c r="M724" s="264">
        <f>IFERROR(L724-(TBIcalc!$Q$9+TBIcalc!$Q$10),"")</f>
        <v>1.9121999999999999</v>
      </c>
      <c r="N724" s="385">
        <f>AVERAGE(Ashed_controlls!$K$12:$K$14)</f>
        <v>2.2816647271287041</v>
      </c>
      <c r="O724" s="264">
        <f t="shared" si="56"/>
        <v>1.8685700070878448</v>
      </c>
      <c r="P724" s="264">
        <f>IFERROR(INDEX('Both teabags AfterDry'!$D$2:$D$2000,MATCH(K724,'Both teabags AfterDry'!$A$2:$A$2000,0)),"")</f>
        <v>1.9921</v>
      </c>
      <c r="Q724" s="264">
        <f>IFERROR(IF(P724&gt;0,P724-(TBIcalc!$Q$9),""),"")</f>
        <v>1.8414999999999999</v>
      </c>
      <c r="R724" s="275">
        <f>IFERROR(INDEX('Ashed teabags dry'!$K$2:$K$2000,MATCH(K724,'Ashed teabags dry'!$A$2:$A$2000,0)),"")</f>
        <v>2.4745269286755853</v>
      </c>
      <c r="S724" s="275">
        <f t="shared" si="57"/>
        <v>1.7959315866084391</v>
      </c>
      <c r="T724" s="265">
        <f>IF('Dry_Litterbag Placem_Collection'!E65="","",'Dry_Litterbag Placem_Collection'!E65)</f>
        <v>42938</v>
      </c>
      <c r="U724" s="265">
        <f>IF('Dry_Litterbag Placem_Collection'!G65="","",'Dry_Litterbag Placem_Collection'!G65)</f>
        <v>43005</v>
      </c>
      <c r="V724" s="266">
        <f t="shared" si="55"/>
        <v>67</v>
      </c>
      <c r="W724" s="264">
        <f t="shared" si="58"/>
        <v>7.0699999999999985E-2</v>
      </c>
      <c r="X724" s="264">
        <f t="shared" si="59"/>
        <v>7.2638420479405719E-2</v>
      </c>
      <c r="Y724" s="268">
        <f>IFERROR(INDEX(Rainfall_Dry!$O$2:$O$217,MATCH(B724, Rainfall_Dry!$A$2:$A$217,0)),"")</f>
        <v>6.5250000359999998</v>
      </c>
      <c r="Z724" s="257">
        <v>25.96</v>
      </c>
      <c r="AA724" s="257">
        <v>6.9200000000000008</v>
      </c>
      <c r="AB724" s="257">
        <v>67.12</v>
      </c>
      <c r="AC724" s="258" t="s">
        <v>2654</v>
      </c>
      <c r="AD724" s="257">
        <v>1.7568260226712666</v>
      </c>
      <c r="AE724">
        <f>IF('WetLitterbags placem_collection'!AB65="","",'WetLitterbags placem_collection'!AB65)</f>
        <v>4.9000000000000004</v>
      </c>
      <c r="AF724">
        <f>IF('WetLitterbags placem_collection'!Z65="","",'WetLitterbags placem_collection'!Z65)</f>
        <v>45</v>
      </c>
      <c r="AG724" s="243" t="str">
        <f>IF('WetLitterbags placem_collection'!AA65="","",'WetLitterbags placem_collection'!AA65)</f>
        <v>O</v>
      </c>
      <c r="AH724">
        <f>IF('WetLitterbags placem_collection'!AC65="","",'WetLitterbags placem_collection'!AC65)</f>
        <v>0</v>
      </c>
      <c r="AI724">
        <f>IFERROR(AVERAGE('Dry_Litterbag Placem_Collection'!O65,'Dry_Litterbag Placem_Collection'!R65),"")</f>
        <v>4.75</v>
      </c>
      <c r="AJ724" s="268">
        <f>IFERROR(AVERAGE('Dry_Litterbag Placem_Collection'!N65,'Dry_Litterbag Placem_Collection'!Q65),"")</f>
        <v>31.3</v>
      </c>
      <c r="AK724" s="267">
        <f>INDEX(Coordinates!$B$2:$B$197,MATCH(H724,Coordinates!$J$2:$J$197,0))</f>
        <v>-3.406334035</v>
      </c>
      <c r="AL724" s="267">
        <f>INDEX(Coordinates!$C$2:$C$197,MATCH(H724,Coordinates!$J$2:$J$197,0))</f>
        <v>34.851172030000001</v>
      </c>
      <c r="AM724" s="267" t="str">
        <f>IF(ISNUMBER(SEARCH("C", 'Dry_Litterbag Placem_Collection'!V65)),"YES","NO")</f>
        <v>NO</v>
      </c>
      <c r="AN724" s="267" t="str">
        <f>IF(ISNUMBER(SEARCH("H", 'Dry_Litterbag Placem_Collection'!V65)),"YES","NO")</f>
        <v>NO</v>
      </c>
      <c r="AO724" s="267" t="str">
        <f>IF(ISNUMBER(SEARCH("R", 'Dry_Litterbag Placem_Collection'!V65)),"YES","NO")</f>
        <v>NO</v>
      </c>
    </row>
    <row r="725" spans="1:41" ht="15" customHeight="1">
      <c r="A725" s="259" t="s">
        <v>2643</v>
      </c>
      <c r="B725" s="260">
        <f>'Dry_Litterbag Placem_Collection'!A66</f>
        <v>64</v>
      </c>
      <c r="C725" s="260" t="str">
        <f>'Dry_Litterbag Placem_Collection'!B66</f>
        <v>Makao</v>
      </c>
      <c r="D725" s="260" t="s">
        <v>2643</v>
      </c>
      <c r="E725" s="260" t="s">
        <v>20</v>
      </c>
      <c r="F725" s="260">
        <v>4</v>
      </c>
      <c r="G725" s="260" t="s">
        <v>3809</v>
      </c>
      <c r="H725" s="261" t="str">
        <f>'Dry_Litterbag Placem_Collection'!C66</f>
        <v>Dry_P4_T8</v>
      </c>
      <c r="I725" s="270" t="s">
        <v>3630</v>
      </c>
      <c r="J725" s="271" t="s">
        <v>298</v>
      </c>
      <c r="K725" s="260" t="str">
        <f>IF(ISBLANK('Dry_Litterbag Placem_Collection'!M66),"","R"&amp;""&amp;'Dry_Litterbag Placem_Collection'!M66)</f>
        <v>R237</v>
      </c>
      <c r="L725" s="264">
        <f>IFERROR(INDEX('Green_rooibos initial weight'!$C$5:$C$2000,MATCH(K725, 'Green_rooibos initial weight'!$A$5:$A$2000,0)),"")</f>
        <v>2.1989999999999998</v>
      </c>
      <c r="M725" s="264">
        <f>IFERROR(L725-(TBIcalc!$Q$9+TBIcalc!$Q$10),"")</f>
        <v>1.9491999999999998</v>
      </c>
      <c r="N725" s="385">
        <f>AVERAGE(Ashed_controlls!$K$12:$K$14)</f>
        <v>2.2816647271287041</v>
      </c>
      <c r="O725" s="264">
        <f t="shared" si="56"/>
        <v>1.9047257911388071</v>
      </c>
      <c r="P725" s="264">
        <f>IFERROR(INDEX('Both teabags AfterDry'!$D$2:$D$2000,MATCH(K725,'Both teabags AfterDry'!$A$2:$A$2000,0)),"")</f>
        <v>1.9715</v>
      </c>
      <c r="Q725" s="264">
        <f>IFERROR(IF(P725&gt;0,P725-(TBIcalc!$Q$9),""),"")</f>
        <v>1.8209</v>
      </c>
      <c r="R725" s="275">
        <f>IFERROR(INDEX('Ashed teabags dry'!$K$2:$K$2000,MATCH(K725,'Ashed teabags dry'!$A$2:$A$2000,0)),"")</f>
        <v>2.2650602409639138</v>
      </c>
      <c r="S725" s="275">
        <f t="shared" si="57"/>
        <v>1.7796555180722882</v>
      </c>
      <c r="T725" s="265">
        <f>IF('Dry_Litterbag Placem_Collection'!E66="","",'Dry_Litterbag Placem_Collection'!E66)</f>
        <v>42938</v>
      </c>
      <c r="U725" s="265">
        <f>IF('Dry_Litterbag Placem_Collection'!G66="","",'Dry_Litterbag Placem_Collection'!G66)</f>
        <v>43005</v>
      </c>
      <c r="V725" s="266">
        <f t="shared" si="55"/>
        <v>67</v>
      </c>
      <c r="W725" s="264">
        <f t="shared" si="58"/>
        <v>0.12829999999999986</v>
      </c>
      <c r="X725" s="264">
        <f t="shared" si="59"/>
        <v>0.12507027306651897</v>
      </c>
      <c r="Y725" s="268">
        <f>IFERROR(INDEX(Rainfall_Dry!$O$2:$O$217,MATCH(B725, Rainfall_Dry!$A$2:$A$217,0)),"")</f>
        <v>6.5250000359999998</v>
      </c>
      <c r="Z725" s="257">
        <v>25.96</v>
      </c>
      <c r="AA725" s="257">
        <v>6.9200000000000008</v>
      </c>
      <c r="AB725" s="257">
        <v>67.12</v>
      </c>
      <c r="AC725" s="258" t="s">
        <v>2654</v>
      </c>
      <c r="AD725" s="257">
        <v>1.7568260226712666</v>
      </c>
      <c r="AE725">
        <f>IF('WetLitterbags placem_collection'!AB66="","",'WetLitterbags placem_collection'!AB66)</f>
        <v>3</v>
      </c>
      <c r="AF725">
        <f>IF('WetLitterbags placem_collection'!Z66="","",'WetLitterbags placem_collection'!Z66)</f>
        <v>22.8</v>
      </c>
      <c r="AG725" s="243" t="str">
        <f>IF('WetLitterbags placem_collection'!AA66="","",'WetLitterbags placem_collection'!AA66)</f>
        <v>O</v>
      </c>
      <c r="AH725">
        <f>IF('WetLitterbags placem_collection'!AC66="","",'WetLitterbags placem_collection'!AC66)</f>
        <v>1</v>
      </c>
      <c r="AI725">
        <f>IFERROR(AVERAGE('Dry_Litterbag Placem_Collection'!O66,'Dry_Litterbag Placem_Collection'!R66),"")</f>
        <v>5.55</v>
      </c>
      <c r="AJ725" s="268">
        <f>IFERROR(AVERAGE('Dry_Litterbag Placem_Collection'!N66,'Dry_Litterbag Placem_Collection'!Q66),"")</f>
        <v>31.5</v>
      </c>
      <c r="AK725" s="267">
        <f>INDEX(Coordinates!$B$2:$B$197,MATCH(H725,Coordinates!$J$2:$J$197,0))</f>
        <v>-3.4063409920000001</v>
      </c>
      <c r="AL725" s="267">
        <f>INDEX(Coordinates!$C$2:$C$197,MATCH(H725,Coordinates!$J$2:$J$197,0))</f>
        <v>34.85126004</v>
      </c>
      <c r="AM725" s="267" t="str">
        <f>IF(ISNUMBER(SEARCH("C", 'Dry_Litterbag Placem_Collection'!V66)),"YES","NO")</f>
        <v>NO</v>
      </c>
      <c r="AN725" s="267" t="str">
        <f>IF(ISNUMBER(SEARCH("H", 'Dry_Litterbag Placem_Collection'!V66)),"YES","NO")</f>
        <v>NO</v>
      </c>
      <c r="AO725" s="267" t="str">
        <f>IF(ISNUMBER(SEARCH("R", 'Dry_Litterbag Placem_Collection'!V66)),"YES","NO")</f>
        <v>NO</v>
      </c>
    </row>
    <row r="726" spans="1:41" ht="15" customHeight="1">
      <c r="A726" s="259" t="s">
        <v>2643</v>
      </c>
      <c r="B726" s="260">
        <f>'Dry_Litterbag Placem_Collection'!A67</f>
        <v>65</v>
      </c>
      <c r="C726" s="260" t="str">
        <f>'Dry_Litterbag Placem_Collection'!B67</f>
        <v>Maswa</v>
      </c>
      <c r="D726" s="260" t="s">
        <v>2643</v>
      </c>
      <c r="E726" s="260" t="s">
        <v>2645</v>
      </c>
      <c r="F726" s="260">
        <v>1</v>
      </c>
      <c r="G726" s="260" t="s">
        <v>3810</v>
      </c>
      <c r="H726" s="261" t="str">
        <f>'Dry_Litterbag Placem_Collection'!C67</f>
        <v>Dry_W1_T1</v>
      </c>
      <c r="I726" s="270" t="s">
        <v>3630</v>
      </c>
      <c r="J726" s="271" t="s">
        <v>298</v>
      </c>
      <c r="K726" s="260" t="str">
        <f>IF(ISBLANK('Dry_Litterbag Placem_Collection'!M67),"","R"&amp;""&amp;'Dry_Litterbag Placem_Collection'!M67)</f>
        <v>R654</v>
      </c>
      <c r="L726" s="264">
        <f>IFERROR(INDEX('Green_rooibos initial weight'!$C$5:$C$2000,MATCH(K726, 'Green_rooibos initial weight'!$A$5:$A$2000,0)),"")</f>
        <v>2.2040000000000002</v>
      </c>
      <c r="M726" s="264">
        <f>IFERROR(L726-(TBIcalc!$Q$9+TBIcalc!$Q$10),"")</f>
        <v>1.9542000000000002</v>
      </c>
      <c r="N726" s="385">
        <f>AVERAGE(Ashed_controlls!$K$12:$K$14)</f>
        <v>2.2816647271287041</v>
      </c>
      <c r="O726" s="264">
        <f t="shared" si="56"/>
        <v>1.909611707902451</v>
      </c>
      <c r="P726" s="264" t="str">
        <f>IFERROR(INDEX('Both teabags AfterDry'!$D$2:$D$2000,MATCH(K726,'Both teabags AfterDry'!$A$2:$A$2000,0)),"")</f>
        <v/>
      </c>
      <c r="Q726" s="264" t="str">
        <f>IFERROR(IF(P726&gt;0,P726-(TBIcalc!$Q$9),""),"")</f>
        <v/>
      </c>
      <c r="R726" s="275" t="str">
        <f>IFERROR(INDEX('Ashed teabags dry'!$K$2:$K$2000,MATCH(K726,'Ashed teabags dry'!$A$2:$A$2000,0)),"")</f>
        <v/>
      </c>
      <c r="S726" s="275" t="str">
        <f t="shared" si="57"/>
        <v/>
      </c>
      <c r="T726" s="265">
        <f>IF('Dry_Litterbag Placem_Collection'!E67="","",'Dry_Litterbag Placem_Collection'!E67)</f>
        <v>42937</v>
      </c>
      <c r="U726" s="265">
        <f>IF('Dry_Litterbag Placem_Collection'!G67="","",'Dry_Litterbag Placem_Collection'!G67)</f>
        <v>43005</v>
      </c>
      <c r="V726" s="266">
        <f t="shared" si="55"/>
        <v>68</v>
      </c>
      <c r="W726" s="264" t="str">
        <f t="shared" si="58"/>
        <v/>
      </c>
      <c r="X726" s="264" t="str">
        <f t="shared" si="59"/>
        <v/>
      </c>
      <c r="Y726" s="268">
        <f>IFERROR(INDEX(Rainfall_Dry!$O$2:$O$217,MATCH(B726, Rainfall_Dry!$A$2:$A$217,0)),"")</f>
        <v>6.900000125</v>
      </c>
      <c r="Z726" s="257">
        <v>47.96</v>
      </c>
      <c r="AA726" s="257">
        <v>22.919999999999995</v>
      </c>
      <c r="AB726" s="257">
        <v>29.120000000000012</v>
      </c>
      <c r="AC726" s="258" t="s">
        <v>2657</v>
      </c>
      <c r="AD726" s="257">
        <v>2.8831936914736325</v>
      </c>
      <c r="AE726">
        <f>IF('WetLitterbags placem_collection'!AB67="","",'WetLitterbags placem_collection'!AB67)</f>
        <v>13.8</v>
      </c>
      <c r="AF726">
        <f>IF('WetLitterbags placem_collection'!Z67="","",'WetLitterbags placem_collection'!Z67)</f>
        <v>13.8</v>
      </c>
      <c r="AG726" s="243" t="str">
        <f>IF('WetLitterbags placem_collection'!AA67="","",'WetLitterbags placem_collection'!AA67)</f>
        <v>O</v>
      </c>
      <c r="AH726">
        <f>IF('WetLitterbags placem_collection'!AC67="","",'WetLitterbags placem_collection'!AC67)</f>
        <v>1</v>
      </c>
      <c r="AI726">
        <f>IFERROR(AVERAGE('Dry_Litterbag Placem_Collection'!O67,'Dry_Litterbag Placem_Collection'!R67),"")</f>
        <v>10.65</v>
      </c>
      <c r="AJ726" s="268">
        <f>IFERROR(AVERAGE('Dry_Litterbag Placem_Collection'!N67,'Dry_Litterbag Placem_Collection'!Q67),"")</f>
        <v>28</v>
      </c>
      <c r="AK726" s="267">
        <f>INDEX(Coordinates!$B$2:$B$197,MATCH(H726,Coordinates!$J$2:$J$197,0))</f>
        <v>-3.2993960379999998</v>
      </c>
      <c r="AL726" s="267">
        <f>INDEX(Coordinates!$C$2:$C$197,MATCH(H726,Coordinates!$J$2:$J$197,0))</f>
        <v>34.848240959999998</v>
      </c>
      <c r="AM726" s="267" t="str">
        <f>IF(ISNUMBER(SEARCH("C", 'Dry_Litterbag Placem_Collection'!V67)),"YES","NO")</f>
        <v>NO</v>
      </c>
      <c r="AN726" s="267" t="str">
        <f>IF(ISNUMBER(SEARCH("H", 'Dry_Litterbag Placem_Collection'!V67)),"YES","NO")</f>
        <v>NO</v>
      </c>
      <c r="AO726" s="267" t="str">
        <f>IF(ISNUMBER(SEARCH("R", 'Dry_Litterbag Placem_Collection'!V67)),"YES","NO")</f>
        <v>NO</v>
      </c>
    </row>
    <row r="727" spans="1:41" ht="15" customHeight="1">
      <c r="A727" s="259" t="s">
        <v>2643</v>
      </c>
      <c r="B727" s="260">
        <f>'Dry_Litterbag Placem_Collection'!A68</f>
        <v>66</v>
      </c>
      <c r="C727" s="260" t="str">
        <f>'Dry_Litterbag Placem_Collection'!B68</f>
        <v>Maswa</v>
      </c>
      <c r="D727" s="260" t="s">
        <v>2643</v>
      </c>
      <c r="E727" s="260" t="s">
        <v>2645</v>
      </c>
      <c r="F727" s="260">
        <v>1</v>
      </c>
      <c r="G727" s="260" t="s">
        <v>3810</v>
      </c>
      <c r="H727" s="261" t="str">
        <f>'Dry_Litterbag Placem_Collection'!C68</f>
        <v>Dry_W1_T2</v>
      </c>
      <c r="I727" s="270" t="s">
        <v>3630</v>
      </c>
      <c r="J727" s="271" t="s">
        <v>298</v>
      </c>
      <c r="K727" s="260" t="str">
        <f>IF(ISBLANK('Dry_Litterbag Placem_Collection'!M68),"","R"&amp;""&amp;'Dry_Litterbag Placem_Collection'!M68)</f>
        <v>R634</v>
      </c>
      <c r="L727" s="264">
        <f>IFERROR(INDEX('Green_rooibos initial weight'!$C$5:$C$2000,MATCH(K727, 'Green_rooibos initial weight'!$A$5:$A$2000,0)),"")</f>
        <v>2.0979999999999999</v>
      </c>
      <c r="M727" s="264">
        <f>IFERROR(L727-(TBIcalc!$Q$9+TBIcalc!$Q$10),"")</f>
        <v>1.8481999999999998</v>
      </c>
      <c r="N727" s="385">
        <f>AVERAGE(Ashed_controlls!$K$12:$K$14)</f>
        <v>2.2816647271287041</v>
      </c>
      <c r="O727" s="264">
        <f t="shared" si="56"/>
        <v>1.8060302725132071</v>
      </c>
      <c r="P727" s="264">
        <f>IFERROR(INDEX('Both teabags AfterDry'!$D$2:$D$2000,MATCH(K727,'Both teabags AfterDry'!$A$2:$A$2000,0)),"")</f>
        <v>1.9177</v>
      </c>
      <c r="Q727" s="264">
        <f>IFERROR(IF(P727&gt;0,P727-(TBIcalc!$Q$9),""),"")</f>
        <v>1.7670999999999999</v>
      </c>
      <c r="R727" s="275">
        <f>IFERROR(INDEX('Ashed teabags dry'!$K$2:$K$2000,MATCH(K727,'Ashed teabags dry'!$A$2:$A$2000,0)),"")</f>
        <v>2.2058823529412819</v>
      </c>
      <c r="S727" s="275">
        <f t="shared" si="57"/>
        <v>1.7281198529411745</v>
      </c>
      <c r="T727" s="265">
        <f>IF('Dry_Litterbag Placem_Collection'!E68="","",'Dry_Litterbag Placem_Collection'!E68)</f>
        <v>42937</v>
      </c>
      <c r="U727" s="265">
        <f>IF('Dry_Litterbag Placem_Collection'!G68="","",'Dry_Litterbag Placem_Collection'!G68)</f>
        <v>43005</v>
      </c>
      <c r="V727" s="266">
        <f t="shared" si="55"/>
        <v>68</v>
      </c>
      <c r="W727" s="264">
        <f t="shared" si="58"/>
        <v>8.109999999999995E-2</v>
      </c>
      <c r="X727" s="264">
        <f t="shared" si="59"/>
        <v>7.7910419572032596E-2</v>
      </c>
      <c r="Y727" s="268">
        <f>IFERROR(INDEX(Rainfall_Dry!$O$2:$O$217,MATCH(B727, Rainfall_Dry!$A$2:$A$217,0)),"")</f>
        <v>6.900000125</v>
      </c>
      <c r="Z727" s="257">
        <v>47.96</v>
      </c>
      <c r="AA727" s="257">
        <v>22.919999999999995</v>
      </c>
      <c r="AB727" s="257">
        <v>29.120000000000012</v>
      </c>
      <c r="AC727" s="258" t="s">
        <v>2657</v>
      </c>
      <c r="AD727" s="257">
        <v>3.8831936914736298</v>
      </c>
      <c r="AE727">
        <f>IF('WetLitterbags placem_collection'!AB68="","",'WetLitterbags placem_collection'!AB68)</f>
        <v>8</v>
      </c>
      <c r="AF727">
        <f>IF('WetLitterbags placem_collection'!Z68="","",'WetLitterbags placem_collection'!Z68)</f>
        <v>19.8</v>
      </c>
      <c r="AG727" s="243" t="str">
        <f>IF('WetLitterbags placem_collection'!AA68="","",'WetLitterbags placem_collection'!AA68)</f>
        <v>O</v>
      </c>
      <c r="AH727">
        <f>IF('WetLitterbags placem_collection'!AC68="","",'WetLitterbags placem_collection'!AC68)</f>
        <v>1</v>
      </c>
      <c r="AI727">
        <f>IFERROR(AVERAGE('Dry_Litterbag Placem_Collection'!O68,'Dry_Litterbag Placem_Collection'!R68),"")</f>
        <v>10.100000000000001</v>
      </c>
      <c r="AJ727" s="268">
        <f>IFERROR(AVERAGE('Dry_Litterbag Placem_Collection'!N68,'Dry_Litterbag Placem_Collection'!Q68),"")</f>
        <v>23.6</v>
      </c>
      <c r="AK727" s="267">
        <f>INDEX(Coordinates!$B$2:$B$197,MATCH(H727,Coordinates!$J$2:$J$197,0))</f>
        <v>-3.2993090340000002</v>
      </c>
      <c r="AL727" s="267">
        <f>INDEX(Coordinates!$C$2:$C$197,MATCH(H727,Coordinates!$J$2:$J$197,0))</f>
        <v>34.848404989999999</v>
      </c>
      <c r="AM727" s="267" t="str">
        <f>IF(ISNUMBER(SEARCH("C", 'Dry_Litterbag Placem_Collection'!V68)),"YES","NO")</f>
        <v>NO</v>
      </c>
      <c r="AN727" s="267" t="str">
        <f>IF(ISNUMBER(SEARCH("H", 'Dry_Litterbag Placem_Collection'!V68)),"YES","NO")</f>
        <v>NO</v>
      </c>
      <c r="AO727" s="267" t="str">
        <f>IF(ISNUMBER(SEARCH("R", 'Dry_Litterbag Placem_Collection'!V68)),"YES","NO")</f>
        <v>NO</v>
      </c>
    </row>
    <row r="728" spans="1:41" ht="15" customHeight="1">
      <c r="A728" s="259" t="s">
        <v>2643</v>
      </c>
      <c r="B728" s="260">
        <f>'Dry_Litterbag Placem_Collection'!A69</f>
        <v>67</v>
      </c>
      <c r="C728" s="260" t="str">
        <f>'Dry_Litterbag Placem_Collection'!B69</f>
        <v>Maswa</v>
      </c>
      <c r="D728" s="260" t="s">
        <v>2643</v>
      </c>
      <c r="E728" s="260" t="s">
        <v>2645</v>
      </c>
      <c r="F728" s="260">
        <v>1</v>
      </c>
      <c r="G728" s="260" t="s">
        <v>3810</v>
      </c>
      <c r="H728" s="261" t="str">
        <f>'Dry_Litterbag Placem_Collection'!C69</f>
        <v>Dry_W1_T3</v>
      </c>
      <c r="I728" s="270" t="s">
        <v>3630</v>
      </c>
      <c r="J728" s="271" t="s">
        <v>298</v>
      </c>
      <c r="K728" s="260" t="str">
        <f>IF(ISBLANK('Dry_Litterbag Placem_Collection'!M69),"","R"&amp;""&amp;'Dry_Litterbag Placem_Collection'!M69)</f>
        <v/>
      </c>
      <c r="L728" s="264" t="str">
        <f>IFERROR(INDEX('Green_rooibos initial weight'!$C$5:$C$2000,MATCH(K728, 'Green_rooibos initial weight'!$A$5:$A$2000,0)),"")</f>
        <v/>
      </c>
      <c r="M728" s="264" t="str">
        <f>IFERROR(L728-(TBIcalc!$Q$9+TBIcalc!$Q$10),"")</f>
        <v/>
      </c>
      <c r="N728" s="385">
        <f>AVERAGE(Ashed_controlls!$K$12:$K$14)</f>
        <v>2.2816647271287041</v>
      </c>
      <c r="O728" s="264" t="str">
        <f t="shared" si="56"/>
        <v/>
      </c>
      <c r="P728" s="264" t="str">
        <f>IFERROR(INDEX('Both teabags AfterDry'!$D$2:$D$2000,MATCH(K728,'Both teabags AfterDry'!$A$2:$A$2000,0)),"")</f>
        <v/>
      </c>
      <c r="Q728" s="264" t="str">
        <f>IFERROR(IF(P728&gt;0,P728-(TBIcalc!$Q$9),""),"")</f>
        <v/>
      </c>
      <c r="R728" s="275" t="str">
        <f>IFERROR(INDEX('Ashed teabags dry'!$K$2:$K$2000,MATCH(K728,'Ashed teabags dry'!$A$2:$A$2000,0)),"")</f>
        <v/>
      </c>
      <c r="S728" s="275" t="str">
        <f t="shared" si="57"/>
        <v/>
      </c>
      <c r="T728" s="265" t="str">
        <f>IF('Dry_Litterbag Placem_Collection'!E69="","",'Dry_Litterbag Placem_Collection'!E69)</f>
        <v/>
      </c>
      <c r="U728" s="265" t="str">
        <f>IF('Dry_Litterbag Placem_Collection'!G69="","",'Dry_Litterbag Placem_Collection'!G69)</f>
        <v/>
      </c>
      <c r="V728" s="266" t="str">
        <f t="shared" si="55"/>
        <v/>
      </c>
      <c r="W728" s="264" t="str">
        <f t="shared" si="58"/>
        <v/>
      </c>
      <c r="X728" s="264" t="str">
        <f t="shared" si="59"/>
        <v/>
      </c>
      <c r="Y728" s="268" t="str">
        <f>IFERROR(INDEX(Rainfall_Dry!$O$2:$O$217,MATCH(B728, Rainfall_Dry!$A$2:$A$217,0)),"")</f>
        <v/>
      </c>
      <c r="Z728" s="257">
        <v>47.96</v>
      </c>
      <c r="AA728" s="257">
        <v>22.919999999999995</v>
      </c>
      <c r="AB728" s="257">
        <v>29.120000000000012</v>
      </c>
      <c r="AC728" s="258" t="s">
        <v>2657</v>
      </c>
      <c r="AD728" s="257">
        <v>4.8831936914736298</v>
      </c>
      <c r="AE728">
        <f>IF('WetLitterbags placem_collection'!AB69="","",'WetLitterbags placem_collection'!AB69)</f>
        <v>5.5</v>
      </c>
      <c r="AF728">
        <f>IF('WetLitterbags placem_collection'!Z69="","",'WetLitterbags placem_collection'!Z69)</f>
        <v>5.5</v>
      </c>
      <c r="AG728" s="243" t="str">
        <f>IF('WetLitterbags placem_collection'!AA69="","",'WetLitterbags placem_collection'!AA69)</f>
        <v>O</v>
      </c>
      <c r="AH728">
        <f>IF('WetLitterbags placem_collection'!AC69="","",'WetLitterbags placem_collection'!AC69)</f>
        <v>1</v>
      </c>
      <c r="AI728" t="str">
        <f>IFERROR(AVERAGE('Dry_Litterbag Placem_Collection'!O69,'Dry_Litterbag Placem_Collection'!R69),"")</f>
        <v/>
      </c>
      <c r="AJ728" s="268" t="str">
        <f>IFERROR(AVERAGE('Dry_Litterbag Placem_Collection'!N69,'Dry_Litterbag Placem_Collection'!Q69),"")</f>
        <v/>
      </c>
      <c r="AK728" s="267">
        <f>INDEX(Coordinates!$B$2:$B$197,MATCH(H728,Coordinates!$J$2:$J$197,0))</f>
        <v>-3.299434008</v>
      </c>
      <c r="AL728" s="267">
        <f>INDEX(Coordinates!$C$2:$C$197,MATCH(H728,Coordinates!$J$2:$J$197,0))</f>
        <v>34.848514960000003</v>
      </c>
      <c r="AM728" s="267" t="str">
        <f>IF(ISNUMBER(SEARCH("C", 'Dry_Litterbag Placem_Collection'!V69)),"YES","NO")</f>
        <v>NO</v>
      </c>
      <c r="AN728" s="267" t="str">
        <f>IF(ISNUMBER(SEARCH("H", 'Dry_Litterbag Placem_Collection'!V69)),"YES","NO")</f>
        <v>NO</v>
      </c>
      <c r="AO728" s="267" t="str">
        <f>IF(ISNUMBER(SEARCH("R", 'Dry_Litterbag Placem_Collection'!V69)),"YES","NO")</f>
        <v>NO</v>
      </c>
    </row>
    <row r="729" spans="1:41" ht="15" customHeight="1">
      <c r="A729" s="259" t="s">
        <v>2643</v>
      </c>
      <c r="B729" s="260">
        <f>'Dry_Litterbag Placem_Collection'!A70</f>
        <v>68</v>
      </c>
      <c r="C729" s="260" t="str">
        <f>'Dry_Litterbag Placem_Collection'!B70</f>
        <v>Maswa</v>
      </c>
      <c r="D729" s="260" t="s">
        <v>2643</v>
      </c>
      <c r="E729" s="260" t="s">
        <v>2645</v>
      </c>
      <c r="F729" s="260">
        <v>1</v>
      </c>
      <c r="G729" s="260" t="s">
        <v>3810</v>
      </c>
      <c r="H729" s="261" t="str">
        <f>'Dry_Litterbag Placem_Collection'!C70</f>
        <v>Dry_W1_T4</v>
      </c>
      <c r="I729" s="270" t="s">
        <v>3630</v>
      </c>
      <c r="J729" s="271" t="s">
        <v>298</v>
      </c>
      <c r="K729" s="260" t="str">
        <f>IF(ISBLANK('Dry_Litterbag Placem_Collection'!M70),"","R"&amp;""&amp;'Dry_Litterbag Placem_Collection'!M70)</f>
        <v>R201</v>
      </c>
      <c r="L729" s="264">
        <f>IFERROR(INDEX('Green_rooibos initial weight'!$C$5:$C$2000,MATCH(K729, 'Green_rooibos initial weight'!$A$5:$A$2000,0)),"")</f>
        <v>2.2349999999999999</v>
      </c>
      <c r="M729" s="264">
        <f>IFERROR(L729-(TBIcalc!$Q$9+TBIcalc!$Q$10),"")</f>
        <v>1.9851999999999999</v>
      </c>
      <c r="N729" s="385">
        <f>AVERAGE(Ashed_controlls!$K$12:$K$14)</f>
        <v>2.2816647271287041</v>
      </c>
      <c r="O729" s="264">
        <f t="shared" si="56"/>
        <v>1.9399043918370409</v>
      </c>
      <c r="P729" s="264">
        <f>IFERROR(INDEX('Both teabags AfterDry'!$D$2:$D$2000,MATCH(K729,'Both teabags AfterDry'!$A$2:$A$2000,0)),"")</f>
        <v>2.0015000000000001</v>
      </c>
      <c r="Q729" s="264">
        <f>IFERROR(IF(P729&gt;0,P729-(TBIcalc!$Q$9),""),"")</f>
        <v>1.8509</v>
      </c>
      <c r="R729" s="275">
        <f>IFERROR(INDEX('Ashed teabags dry'!$K$2:$K$2000,MATCH(K729,'Ashed teabags dry'!$A$2:$A$2000,0)),"")</f>
        <v>3.2690695725061474</v>
      </c>
      <c r="S729" s="275">
        <f t="shared" si="57"/>
        <v>1.7903927912824837</v>
      </c>
      <c r="T729" s="265">
        <f>IF('Dry_Litterbag Placem_Collection'!E70="","",'Dry_Litterbag Placem_Collection'!E70)</f>
        <v>42937</v>
      </c>
      <c r="U729" s="265">
        <f>IF('Dry_Litterbag Placem_Collection'!G70="","",'Dry_Litterbag Placem_Collection'!G70)</f>
        <v>43005</v>
      </c>
      <c r="V729" s="266">
        <f t="shared" si="55"/>
        <v>68</v>
      </c>
      <c r="W729" s="264">
        <f t="shared" si="58"/>
        <v>0.13429999999999986</v>
      </c>
      <c r="X729" s="264">
        <f t="shared" si="59"/>
        <v>0.14951160055455714</v>
      </c>
      <c r="Y729" s="268">
        <f>IFERROR(INDEX(Rainfall_Dry!$O$2:$O$217,MATCH(B729, Rainfall_Dry!$A$2:$A$217,0)),"")</f>
        <v>6.900000125</v>
      </c>
      <c r="Z729" s="257">
        <v>47.96</v>
      </c>
      <c r="AA729" s="257">
        <v>22.919999999999995</v>
      </c>
      <c r="AB729" s="257">
        <v>29.120000000000012</v>
      </c>
      <c r="AC729" s="258" t="s">
        <v>2657</v>
      </c>
      <c r="AD729" s="257">
        <v>5.8831936914736298</v>
      </c>
      <c r="AE729">
        <f>IF('WetLitterbags placem_collection'!AB70="","",'WetLitterbags placem_collection'!AB70)</f>
        <v>9.6999999999999993</v>
      </c>
      <c r="AF729">
        <f>IF('WetLitterbags placem_collection'!Z70="","",'WetLitterbags placem_collection'!Z70)</f>
        <v>23.4</v>
      </c>
      <c r="AG729" s="243" t="str">
        <f>IF('WetLitterbags placem_collection'!AA70="","",'WetLitterbags placem_collection'!AA70)</f>
        <v>O</v>
      </c>
      <c r="AH729">
        <f>IF('WetLitterbags placem_collection'!AC70="","",'WetLitterbags placem_collection'!AC70)</f>
        <v>1</v>
      </c>
      <c r="AI729">
        <f>IFERROR(AVERAGE('Dry_Litterbag Placem_Collection'!O70,'Dry_Litterbag Placem_Collection'!R70),"")</f>
        <v>7.75</v>
      </c>
      <c r="AJ729" s="268">
        <f>IFERROR(AVERAGE('Dry_Litterbag Placem_Collection'!N70,'Dry_Litterbag Placem_Collection'!Q70),"")</f>
        <v>26.85</v>
      </c>
      <c r="AK729" s="267">
        <f>INDEX(Coordinates!$B$2:$B$197,MATCH(H729,Coordinates!$J$2:$J$197,0))</f>
        <v>-3.2991180099999999</v>
      </c>
      <c r="AL729" s="267">
        <f>INDEX(Coordinates!$C$2:$C$197,MATCH(H729,Coordinates!$J$2:$J$197,0))</f>
        <v>34.84824699</v>
      </c>
      <c r="AM729" s="267" t="str">
        <f>IF(ISNUMBER(SEARCH("C", 'Dry_Litterbag Placem_Collection'!V70)),"YES","NO")</f>
        <v>NO</v>
      </c>
      <c r="AN729" s="267" t="str">
        <f>IF(ISNUMBER(SEARCH("H", 'Dry_Litterbag Placem_Collection'!V70)),"YES","NO")</f>
        <v>NO</v>
      </c>
      <c r="AO729" s="267" t="str">
        <f>IF(ISNUMBER(SEARCH("R", 'Dry_Litterbag Placem_Collection'!V70)),"YES","NO")</f>
        <v>NO</v>
      </c>
    </row>
    <row r="730" spans="1:41" ht="15" customHeight="1">
      <c r="A730" s="259" t="s">
        <v>2643</v>
      </c>
      <c r="B730" s="260">
        <f>'Dry_Litterbag Placem_Collection'!A71</f>
        <v>69</v>
      </c>
      <c r="C730" s="260" t="str">
        <f>'Dry_Litterbag Placem_Collection'!B71</f>
        <v>Maswa</v>
      </c>
      <c r="D730" s="260" t="s">
        <v>2643</v>
      </c>
      <c r="E730" s="260" t="s">
        <v>2645</v>
      </c>
      <c r="F730" s="260">
        <v>1</v>
      </c>
      <c r="G730" s="260" t="s">
        <v>3810</v>
      </c>
      <c r="H730" s="261" t="str">
        <f>'Dry_Litterbag Placem_Collection'!C71</f>
        <v>Dry_W1_T5</v>
      </c>
      <c r="I730" s="270" t="s">
        <v>3630</v>
      </c>
      <c r="J730" s="271" t="s">
        <v>298</v>
      </c>
      <c r="K730" s="260" t="str">
        <f>IF(ISBLANK('Dry_Litterbag Placem_Collection'!M71),"","R"&amp;""&amp;'Dry_Litterbag Placem_Collection'!M71)</f>
        <v>R174</v>
      </c>
      <c r="L730" s="264">
        <f>IFERROR(INDEX('Green_rooibos initial weight'!$C$5:$C$2000,MATCH(K730, 'Green_rooibos initial weight'!$A$5:$A$2000,0)),"")</f>
        <v>2.2410000000000001</v>
      </c>
      <c r="M730" s="264">
        <f>IFERROR(L730-(TBIcalc!$Q$9+TBIcalc!$Q$10),"")</f>
        <v>1.9912000000000001</v>
      </c>
      <c r="N730" s="385">
        <f>AVERAGE(Ashed_controlls!$K$12:$K$14)</f>
        <v>2.2816647271287041</v>
      </c>
      <c r="O730" s="264">
        <f t="shared" si="56"/>
        <v>1.9457674919534134</v>
      </c>
      <c r="P730" s="264">
        <f>IFERROR(INDEX('Both teabags AfterDry'!$D$2:$D$2000,MATCH(K730,'Both teabags AfterDry'!$A$2:$A$2000,0)),"")</f>
        <v>1.9946999999999999</v>
      </c>
      <c r="Q730" s="264">
        <f>IFERROR(IF(P730&gt;0,P730-(TBIcalc!$Q$9),""),"")</f>
        <v>1.8440999999999999</v>
      </c>
      <c r="R730" s="275">
        <f>IFERROR(INDEX('Ashed teabags dry'!$K$2:$K$2000,MATCH(K730,'Ashed teabags dry'!$A$2:$A$2000,0)),"")</f>
        <v>2.7638190954781701</v>
      </c>
      <c r="S730" s="275">
        <f t="shared" si="57"/>
        <v>1.793132412060287</v>
      </c>
      <c r="T730" s="265">
        <f>IF('Dry_Litterbag Placem_Collection'!E71="","",'Dry_Litterbag Placem_Collection'!E71)</f>
        <v>42937</v>
      </c>
      <c r="U730" s="265">
        <f>IF('Dry_Litterbag Placem_Collection'!G71="","",'Dry_Litterbag Placem_Collection'!G71)</f>
        <v>43006</v>
      </c>
      <c r="V730" s="266">
        <f t="shared" si="55"/>
        <v>69</v>
      </c>
      <c r="W730" s="264">
        <f t="shared" si="58"/>
        <v>0.14710000000000023</v>
      </c>
      <c r="X730" s="264">
        <f t="shared" si="59"/>
        <v>0.15263507989312641</v>
      </c>
      <c r="Y730" s="268">
        <f>IFERROR(INDEX(Rainfall_Dry!$O$2:$O$217,MATCH(B730, Rainfall_Dry!$A$2:$A$217,0)),"")</f>
        <v>6.900000125</v>
      </c>
      <c r="Z730" s="257">
        <v>47.96</v>
      </c>
      <c r="AA730" s="257">
        <v>22.919999999999995</v>
      </c>
      <c r="AB730" s="257">
        <v>29.120000000000012</v>
      </c>
      <c r="AC730" s="258" t="s">
        <v>2657</v>
      </c>
      <c r="AD730" s="257">
        <v>6.8831936914736298</v>
      </c>
      <c r="AE730">
        <f>IF('WetLitterbags placem_collection'!AB71="","",'WetLitterbags placem_collection'!AB71)</f>
        <v>14.4</v>
      </c>
      <c r="AF730">
        <f>IF('WetLitterbags placem_collection'!Z71="","",'WetLitterbags placem_collection'!Z71)</f>
        <v>24.4</v>
      </c>
      <c r="AG730" s="243" t="str">
        <f>IF('WetLitterbags placem_collection'!AA71="","",'WetLitterbags placem_collection'!AA71)</f>
        <v>O</v>
      </c>
      <c r="AH730">
        <f>IF('WetLitterbags placem_collection'!AC71="","",'WetLitterbags placem_collection'!AC71)</f>
        <v>1</v>
      </c>
      <c r="AI730">
        <f>IFERROR(AVERAGE('Dry_Litterbag Placem_Collection'!O71,'Dry_Litterbag Placem_Collection'!R71),"")</f>
        <v>7.95</v>
      </c>
      <c r="AJ730" s="268">
        <f>IFERROR(AVERAGE('Dry_Litterbag Placem_Collection'!N71,'Dry_Litterbag Placem_Collection'!Q71),"")</f>
        <v>26.55</v>
      </c>
      <c r="AK730" s="267">
        <f>INDEX(Coordinates!$B$2:$B$197,MATCH(H730,Coordinates!$J$2:$J$197,0))</f>
        <v>-3.2993180030000002</v>
      </c>
      <c r="AL730" s="267">
        <f>INDEX(Coordinates!$C$2:$C$197,MATCH(H730,Coordinates!$J$2:$J$197,0))</f>
        <v>34.848235010000003</v>
      </c>
      <c r="AM730" s="267" t="str">
        <f>IF(ISNUMBER(SEARCH("C", 'Dry_Litterbag Placem_Collection'!V71)),"YES","NO")</f>
        <v>NO</v>
      </c>
      <c r="AN730" s="267" t="str">
        <f>IF(ISNUMBER(SEARCH("H", 'Dry_Litterbag Placem_Collection'!V71)),"YES","NO")</f>
        <v>NO</v>
      </c>
      <c r="AO730" s="267" t="str">
        <f>IF(ISNUMBER(SEARCH("R", 'Dry_Litterbag Placem_Collection'!V71)),"YES","NO")</f>
        <v>NO</v>
      </c>
    </row>
    <row r="731" spans="1:41" ht="15" customHeight="1">
      <c r="A731" s="259" t="s">
        <v>2643</v>
      </c>
      <c r="B731" s="260">
        <f>'Dry_Litterbag Placem_Collection'!A72</f>
        <v>70</v>
      </c>
      <c r="C731" s="260" t="str">
        <f>'Dry_Litterbag Placem_Collection'!B72</f>
        <v>Maswa</v>
      </c>
      <c r="D731" s="260" t="s">
        <v>2643</v>
      </c>
      <c r="E731" s="260" t="s">
        <v>2645</v>
      </c>
      <c r="F731" s="260">
        <v>1</v>
      </c>
      <c r="G731" s="260" t="s">
        <v>3810</v>
      </c>
      <c r="H731" s="261" t="str">
        <f>'Dry_Litterbag Placem_Collection'!C72</f>
        <v>Dry_W1_T6</v>
      </c>
      <c r="I731" s="270" t="s">
        <v>3630</v>
      </c>
      <c r="J731" s="271" t="s">
        <v>298</v>
      </c>
      <c r="K731" s="260" t="str">
        <f>IF(ISBLANK('Dry_Litterbag Placem_Collection'!M72),"","R"&amp;""&amp;'Dry_Litterbag Placem_Collection'!M72)</f>
        <v>R261</v>
      </c>
      <c r="L731" s="264">
        <f>IFERROR(INDEX('Green_rooibos initial weight'!$C$5:$C$2000,MATCH(K731, 'Green_rooibos initial weight'!$A$5:$A$2000,0)),"")</f>
        <v>2.2080000000000002</v>
      </c>
      <c r="M731" s="264">
        <f>IFERROR(L731-(TBIcalc!$Q$9+TBIcalc!$Q$10),"")</f>
        <v>1.9582000000000002</v>
      </c>
      <c r="N731" s="385">
        <f>AVERAGE(Ashed_controlls!$K$12:$K$14)</f>
        <v>2.2816647271287041</v>
      </c>
      <c r="O731" s="264">
        <f t="shared" si="56"/>
        <v>1.913520441313366</v>
      </c>
      <c r="P731" s="264">
        <f>IFERROR(INDEX('Both teabags AfterDry'!$D$2:$D$2000,MATCH(K731,'Both teabags AfterDry'!$A$2:$A$2000,0)),"")</f>
        <v>1.9642999999999999</v>
      </c>
      <c r="Q731" s="264">
        <f>IFERROR(IF(P731&gt;0,P731-(TBIcalc!$Q$9),""),"")</f>
        <v>1.8136999999999999</v>
      </c>
      <c r="R731" s="275">
        <f>IFERROR(INDEX('Ashed teabags dry'!$K$2:$K$2000,MATCH(K731,'Ashed teabags dry'!$A$2:$A$2000,0)),"")</f>
        <v>3.9428289797936209</v>
      </c>
      <c r="S731" s="275">
        <f t="shared" si="57"/>
        <v>1.7421889107934829</v>
      </c>
      <c r="T731" s="265">
        <f>IF('Dry_Litterbag Placem_Collection'!E72="","",'Dry_Litterbag Placem_Collection'!E72)</f>
        <v>42937</v>
      </c>
      <c r="U731" s="265">
        <f>IF('Dry_Litterbag Placem_Collection'!G72="","",'Dry_Litterbag Placem_Collection'!G72)</f>
        <v>43006</v>
      </c>
      <c r="V731" s="266">
        <f t="shared" si="55"/>
        <v>69</v>
      </c>
      <c r="W731" s="264">
        <f t="shared" si="58"/>
        <v>0.14450000000000029</v>
      </c>
      <c r="X731" s="264">
        <f t="shared" si="59"/>
        <v>0.17133153051988304</v>
      </c>
      <c r="Y731" s="268">
        <f>IFERROR(INDEX(Rainfall_Dry!$O$2:$O$217,MATCH(B731, Rainfall_Dry!$A$2:$A$217,0)),"")</f>
        <v>6.900000125</v>
      </c>
      <c r="Z731" s="257">
        <v>47.96</v>
      </c>
      <c r="AA731" s="257">
        <v>22.919999999999995</v>
      </c>
      <c r="AB731" s="257">
        <v>29.120000000000012</v>
      </c>
      <c r="AC731" s="258" t="s">
        <v>2657</v>
      </c>
      <c r="AD731" s="257">
        <v>7.8831936914736298</v>
      </c>
      <c r="AE731">
        <f>IF('WetLitterbags placem_collection'!AB72="","",'WetLitterbags placem_collection'!AB72)</f>
        <v>15</v>
      </c>
      <c r="AF731">
        <f>IF('WetLitterbags placem_collection'!Z72="","",'WetLitterbags placem_collection'!Z72)</f>
        <v>28</v>
      </c>
      <c r="AG731" s="243" t="str">
        <f>IF('WetLitterbags placem_collection'!AA72="","",'WetLitterbags placem_collection'!AA72)</f>
        <v>O</v>
      </c>
      <c r="AH731">
        <f>IF('WetLitterbags placem_collection'!AC72="","",'WetLitterbags placem_collection'!AC72)</f>
        <v>0</v>
      </c>
      <c r="AI731">
        <f>IFERROR(AVERAGE('Dry_Litterbag Placem_Collection'!O72,'Dry_Litterbag Placem_Collection'!R72),"")</f>
        <v>8.8000000000000007</v>
      </c>
      <c r="AJ731" s="268">
        <f>IFERROR(AVERAGE('Dry_Litterbag Placem_Collection'!N72,'Dry_Litterbag Placem_Collection'!Q72),"")</f>
        <v>27.200000000000003</v>
      </c>
      <c r="AK731" s="267">
        <f>INDEX(Coordinates!$B$2:$B$197,MATCH(H731,Coordinates!$J$2:$J$197,0))</f>
        <v>-3.299381034</v>
      </c>
      <c r="AL731" s="267">
        <f>INDEX(Coordinates!$C$2:$C$197,MATCH(H731,Coordinates!$J$2:$J$197,0))</f>
        <v>34.848312040000003</v>
      </c>
      <c r="AM731" s="267" t="str">
        <f>IF(ISNUMBER(SEARCH("C", 'Dry_Litterbag Placem_Collection'!V72)),"YES","NO")</f>
        <v>NO</v>
      </c>
      <c r="AN731" s="267" t="str">
        <f>IF(ISNUMBER(SEARCH("H", 'Dry_Litterbag Placem_Collection'!V72)),"YES","NO")</f>
        <v>NO</v>
      </c>
      <c r="AO731" s="267" t="str">
        <f>IF(ISNUMBER(SEARCH("R", 'Dry_Litterbag Placem_Collection'!V72)),"YES","NO")</f>
        <v>NO</v>
      </c>
    </row>
    <row r="732" spans="1:41" ht="15" customHeight="1">
      <c r="A732" s="259" t="s">
        <v>2643</v>
      </c>
      <c r="B732" s="260">
        <f>'Dry_Litterbag Placem_Collection'!A73</f>
        <v>71</v>
      </c>
      <c r="C732" s="260" t="str">
        <f>'Dry_Litterbag Placem_Collection'!B73</f>
        <v>Maswa</v>
      </c>
      <c r="D732" s="260" t="s">
        <v>2643</v>
      </c>
      <c r="E732" s="260" t="s">
        <v>2645</v>
      </c>
      <c r="F732" s="260">
        <v>1</v>
      </c>
      <c r="G732" s="260" t="s">
        <v>3810</v>
      </c>
      <c r="H732" s="261" t="str">
        <f>'Dry_Litterbag Placem_Collection'!C73</f>
        <v>Dry_W1_T7</v>
      </c>
      <c r="I732" s="270" t="s">
        <v>3630</v>
      </c>
      <c r="J732" s="271" t="s">
        <v>298</v>
      </c>
      <c r="K732" s="260" t="str">
        <f>IF(ISBLANK('Dry_Litterbag Placem_Collection'!M73),"","R"&amp;""&amp;'Dry_Litterbag Placem_Collection'!M73)</f>
        <v>R203</v>
      </c>
      <c r="L732" s="264">
        <f>IFERROR(INDEX('Green_rooibos initial weight'!$C$5:$C$2000,MATCH(K732, 'Green_rooibos initial weight'!$A$5:$A$2000,0)),"")</f>
        <v>2.2839999999999998</v>
      </c>
      <c r="M732" s="264">
        <f>IFERROR(L732-(TBIcalc!$Q$9+TBIcalc!$Q$10),"")</f>
        <v>2.0341999999999998</v>
      </c>
      <c r="N732" s="385">
        <f>AVERAGE(Ashed_controlls!$K$12:$K$14)</f>
        <v>2.2816647271287041</v>
      </c>
      <c r="O732" s="264">
        <f t="shared" si="56"/>
        <v>1.9877863761207477</v>
      </c>
      <c r="P732" s="264">
        <f>IFERROR(INDEX('Both teabags AfterDry'!$D$2:$D$2000,MATCH(K732,'Both teabags AfterDry'!$A$2:$A$2000,0)),"")</f>
        <v>2.0466000000000002</v>
      </c>
      <c r="Q732" s="264">
        <f>IFERROR(IF(P732&gt;0,P732-(TBIcalc!$Q$9),""),"")</f>
        <v>1.8960000000000001</v>
      </c>
      <c r="R732" s="275">
        <f>IFERROR(INDEX('Ashed teabags dry'!$K$2:$K$2000,MATCH(K732,'Ashed teabags dry'!$A$2:$A$2000,0)),"")</f>
        <v>3.3625730994153482</v>
      </c>
      <c r="S732" s="275">
        <f t="shared" si="57"/>
        <v>1.8322456140350851</v>
      </c>
      <c r="T732" s="265">
        <f>IF('Dry_Litterbag Placem_Collection'!E73="","",'Dry_Litterbag Placem_Collection'!E73)</f>
        <v>42937</v>
      </c>
      <c r="U732" s="265">
        <f>IF('Dry_Litterbag Placem_Collection'!G73="","",'Dry_Litterbag Placem_Collection'!G73)</f>
        <v>43006</v>
      </c>
      <c r="V732" s="266">
        <f t="shared" si="55"/>
        <v>69</v>
      </c>
      <c r="W732" s="264">
        <f t="shared" si="58"/>
        <v>0.13819999999999966</v>
      </c>
      <c r="X732" s="264">
        <f t="shared" si="59"/>
        <v>0.15554076208566259</v>
      </c>
      <c r="Y732" s="268">
        <f>IFERROR(INDEX(Rainfall_Dry!$O$2:$O$217,MATCH(B732, Rainfall_Dry!$A$2:$A$217,0)),"")</f>
        <v>6.900000125</v>
      </c>
      <c r="Z732" s="257">
        <v>47.96</v>
      </c>
      <c r="AA732" s="257">
        <v>22.919999999999995</v>
      </c>
      <c r="AB732" s="257">
        <v>29.120000000000012</v>
      </c>
      <c r="AC732" s="258" t="s">
        <v>2657</v>
      </c>
      <c r="AD732" s="257">
        <v>8.8831936914736307</v>
      </c>
      <c r="AE732">
        <f>IF('WetLitterbags placem_collection'!AB73="","",'WetLitterbags placem_collection'!AB73)</f>
        <v>15.5</v>
      </c>
      <c r="AF732">
        <f>IF('WetLitterbags placem_collection'!Z73="","",'WetLitterbags placem_collection'!Z73)</f>
        <v>32</v>
      </c>
      <c r="AG732" s="243" t="str">
        <f>IF('WetLitterbags placem_collection'!AA73="","",'WetLitterbags placem_collection'!AA73)</f>
        <v>O</v>
      </c>
      <c r="AH732">
        <f>IF('WetLitterbags placem_collection'!AC73="","",'WetLitterbags placem_collection'!AC73)</f>
        <v>1</v>
      </c>
      <c r="AI732">
        <f>IFERROR(AVERAGE('Dry_Litterbag Placem_Collection'!O73,'Dry_Litterbag Placem_Collection'!R73),"")</f>
        <v>9.9499999999999993</v>
      </c>
      <c r="AJ732" s="268">
        <f>IFERROR(AVERAGE('Dry_Litterbag Placem_Collection'!N73,'Dry_Litterbag Placem_Collection'!Q73),"")</f>
        <v>27.6</v>
      </c>
      <c r="AK732" s="267">
        <f>INDEX(Coordinates!$B$2:$B$197,MATCH(H732,Coordinates!$J$2:$J$197,0))</f>
        <v>-3.2992429849999998</v>
      </c>
      <c r="AL732" s="267">
        <f>INDEX(Coordinates!$C$2:$C$197,MATCH(H732,Coordinates!$J$2:$J$197,0))</f>
        <v>34.847900989999999</v>
      </c>
      <c r="AM732" s="267" t="str">
        <f>IF(ISNUMBER(SEARCH("C", 'Dry_Litterbag Placem_Collection'!V73)),"YES","NO")</f>
        <v>NO</v>
      </c>
      <c r="AN732" s="267" t="str">
        <f>IF(ISNUMBER(SEARCH("H", 'Dry_Litterbag Placem_Collection'!V73)),"YES","NO")</f>
        <v>NO</v>
      </c>
      <c r="AO732" s="267" t="str">
        <f>IF(ISNUMBER(SEARCH("R", 'Dry_Litterbag Placem_Collection'!V73)),"YES","NO")</f>
        <v>NO</v>
      </c>
    </row>
    <row r="733" spans="1:41" ht="15" customHeight="1">
      <c r="A733" s="259" t="s">
        <v>2643</v>
      </c>
      <c r="B733" s="260">
        <f>'Dry_Litterbag Placem_Collection'!A74</f>
        <v>72</v>
      </c>
      <c r="C733" s="260" t="str">
        <f>'Dry_Litterbag Placem_Collection'!B74</f>
        <v>Maswa</v>
      </c>
      <c r="D733" s="260" t="s">
        <v>2643</v>
      </c>
      <c r="E733" s="260" t="s">
        <v>2645</v>
      </c>
      <c r="F733" s="260">
        <v>1</v>
      </c>
      <c r="G733" s="260" t="s">
        <v>3810</v>
      </c>
      <c r="H733" s="261" t="str">
        <f>'Dry_Litterbag Placem_Collection'!C74</f>
        <v>Dry_W1_T8</v>
      </c>
      <c r="I733" s="270" t="s">
        <v>3630</v>
      </c>
      <c r="J733" s="271" t="s">
        <v>298</v>
      </c>
      <c r="K733" s="260" t="str">
        <f>IF(ISBLANK('Dry_Litterbag Placem_Collection'!M74),"","R"&amp;""&amp;'Dry_Litterbag Placem_Collection'!M74)</f>
        <v>R191</v>
      </c>
      <c r="L733" s="264">
        <f>IFERROR(INDEX('Green_rooibos initial weight'!$C$5:$C$2000,MATCH(K733, 'Green_rooibos initial weight'!$A$5:$A$2000,0)),"")</f>
        <v>2.1789999999999998</v>
      </c>
      <c r="M733" s="264">
        <f>IFERROR(L733-(TBIcalc!$Q$9+TBIcalc!$Q$10),"")</f>
        <v>1.9291999999999998</v>
      </c>
      <c r="N733" s="385">
        <f>AVERAGE(Ashed_controlls!$K$12:$K$14)</f>
        <v>2.2816647271287041</v>
      </c>
      <c r="O733" s="264">
        <f t="shared" si="56"/>
        <v>1.8851821240842328</v>
      </c>
      <c r="P733" s="264">
        <f>IFERROR(INDEX('Both teabags AfterDry'!$D$2:$D$2000,MATCH(K733,'Both teabags AfterDry'!$A$2:$A$2000,0)),"")</f>
        <v>1.9675</v>
      </c>
      <c r="Q733" s="264">
        <f>IFERROR(IF(P733&gt;0,P733-(TBIcalc!$Q$9),""),"")</f>
        <v>1.8169</v>
      </c>
      <c r="R733" s="275">
        <f>IFERROR(INDEX('Ashed teabags dry'!$K$2:$K$2000,MATCH(K733,'Ashed teabags dry'!$A$2:$A$2000,0)),"")</f>
        <v>1.8121125417263937</v>
      </c>
      <c r="S733" s="275">
        <f t="shared" si="57"/>
        <v>1.783975727229373</v>
      </c>
      <c r="T733" s="265">
        <f>IF('Dry_Litterbag Placem_Collection'!E74="","",'Dry_Litterbag Placem_Collection'!E74)</f>
        <v>42937</v>
      </c>
      <c r="U733" s="265">
        <f>IF('Dry_Litterbag Placem_Collection'!G74="","",'Dry_Litterbag Placem_Collection'!G74)</f>
        <v>43006</v>
      </c>
      <c r="V733" s="266">
        <f t="shared" si="55"/>
        <v>69</v>
      </c>
      <c r="W733" s="264">
        <f t="shared" si="58"/>
        <v>0.11229999999999984</v>
      </c>
      <c r="X733" s="264">
        <f t="shared" si="59"/>
        <v>0.10120639685485977</v>
      </c>
      <c r="Y733" s="268">
        <f>IFERROR(INDEX(Rainfall_Dry!$O$2:$O$217,MATCH(B733, Rainfall_Dry!$A$2:$A$217,0)),"")</f>
        <v>6.900000125</v>
      </c>
      <c r="Z733" s="257">
        <v>47.96</v>
      </c>
      <c r="AA733" s="257">
        <v>22.919999999999995</v>
      </c>
      <c r="AB733" s="257">
        <v>29.120000000000012</v>
      </c>
      <c r="AC733" s="258" t="s">
        <v>2657</v>
      </c>
      <c r="AD733" s="257">
        <v>9.8831936914736307</v>
      </c>
      <c r="AE733">
        <f>IF('WetLitterbags placem_collection'!AB74="","",'WetLitterbags placem_collection'!AB74)</f>
        <v>2.6</v>
      </c>
      <c r="AF733">
        <f>IF('WetLitterbags placem_collection'!Z74="","",'WetLitterbags placem_collection'!Z74)</f>
        <v>44</v>
      </c>
      <c r="AG733" s="243" t="str">
        <f>IF('WetLitterbags placem_collection'!AA74="","",'WetLitterbags placem_collection'!AA74)</f>
        <v>O</v>
      </c>
      <c r="AH733">
        <f>IF('WetLitterbags placem_collection'!AC74="","",'WetLitterbags placem_collection'!AC74)</f>
        <v>1</v>
      </c>
      <c r="AI733">
        <f>IFERROR(AVERAGE('Dry_Litterbag Placem_Collection'!O74,'Dry_Litterbag Placem_Collection'!R74),"")</f>
        <v>9.5</v>
      </c>
      <c r="AJ733" s="268">
        <f>IFERROR(AVERAGE('Dry_Litterbag Placem_Collection'!N74,'Dry_Litterbag Placem_Collection'!Q74),"")</f>
        <v>26.35</v>
      </c>
      <c r="AK733" s="267">
        <f>INDEX(Coordinates!$B$2:$B$197,MATCH(H733,Coordinates!$J$2:$J$197,0))</f>
        <v>-3.2996540329999999</v>
      </c>
      <c r="AL733" s="267">
        <f>INDEX(Coordinates!$C$2:$C$197,MATCH(H733,Coordinates!$J$2:$J$197,0))</f>
        <v>34.848151020000003</v>
      </c>
      <c r="AM733" s="267" t="str">
        <f>IF(ISNUMBER(SEARCH("C", 'Dry_Litterbag Placem_Collection'!V74)),"YES","NO")</f>
        <v>NO</v>
      </c>
      <c r="AN733" s="267" t="str">
        <f>IF(ISNUMBER(SEARCH("H", 'Dry_Litterbag Placem_Collection'!V74)),"YES","NO")</f>
        <v>NO</v>
      </c>
      <c r="AO733" s="267" t="str">
        <f>IF(ISNUMBER(SEARCH("R", 'Dry_Litterbag Placem_Collection'!V74)),"YES","NO")</f>
        <v>NO</v>
      </c>
    </row>
    <row r="734" spans="1:41" ht="15" customHeight="1">
      <c r="A734" s="259" t="s">
        <v>2643</v>
      </c>
      <c r="B734" s="260">
        <f>'Dry_Litterbag Placem_Collection'!A75</f>
        <v>73</v>
      </c>
      <c r="C734" s="260" t="str">
        <f>'Dry_Litterbag Placem_Collection'!B75</f>
        <v>Maswa</v>
      </c>
      <c r="D734" s="260" t="s">
        <v>2643</v>
      </c>
      <c r="E734" s="260" t="s">
        <v>2645</v>
      </c>
      <c r="F734" s="260">
        <v>2</v>
      </c>
      <c r="G734" s="260" t="s">
        <v>3812</v>
      </c>
      <c r="H734" s="261" t="str">
        <f>'Dry_Litterbag Placem_Collection'!C75</f>
        <v>Dry_W2_T1</v>
      </c>
      <c r="I734" s="270" t="s">
        <v>3630</v>
      </c>
      <c r="J734" s="271" t="s">
        <v>298</v>
      </c>
      <c r="K734" s="260" t="str">
        <f>IF(ISBLANK('Dry_Litterbag Placem_Collection'!M75),"","R"&amp;""&amp;'Dry_Litterbag Placem_Collection'!M75)</f>
        <v>R160</v>
      </c>
      <c r="L734" s="264">
        <f>IFERROR(INDEX('Green_rooibos initial weight'!$C$5:$C$2000,MATCH(K734, 'Green_rooibos initial weight'!$A$5:$A$2000,0)),"")</f>
        <v>2.1880000000000002</v>
      </c>
      <c r="M734" s="264">
        <f>IFERROR(L734-(TBIcalc!$Q$9+TBIcalc!$Q$10),"")</f>
        <v>1.9382000000000001</v>
      </c>
      <c r="N734" s="385">
        <f>AVERAGE(Ashed_controlls!$K$12:$K$14)</f>
        <v>2.2816647271287041</v>
      </c>
      <c r="O734" s="264">
        <f t="shared" si="56"/>
        <v>1.8939767742587916</v>
      </c>
      <c r="P734" s="264" t="str">
        <f>IFERROR(INDEX('Both teabags AfterDry'!$D$2:$D$2000,MATCH(K734,'Both teabags AfterDry'!$A$2:$A$2000,0)),"")</f>
        <v/>
      </c>
      <c r="Q734" s="264" t="str">
        <f>IFERROR(IF(P734&gt;0,P734-(TBIcalc!$Q$9),""),"")</f>
        <v/>
      </c>
      <c r="R734" s="275" t="str">
        <f>IFERROR(INDEX('Ashed teabags dry'!$K$2:$K$2000,MATCH(K734,'Ashed teabags dry'!$A$2:$A$2000,0)),"")</f>
        <v/>
      </c>
      <c r="S734" s="275" t="str">
        <f t="shared" si="57"/>
        <v/>
      </c>
      <c r="T734" s="265">
        <f>IF('Dry_Litterbag Placem_Collection'!E75="","",'Dry_Litterbag Placem_Collection'!E75)</f>
        <v>42937</v>
      </c>
      <c r="U734" s="265">
        <f>IF('Dry_Litterbag Placem_Collection'!G75="","",'Dry_Litterbag Placem_Collection'!G75)</f>
        <v>43006</v>
      </c>
      <c r="V734" s="266">
        <f t="shared" si="55"/>
        <v>69</v>
      </c>
      <c r="W734" s="264" t="str">
        <f t="shared" si="58"/>
        <v/>
      </c>
      <c r="X734" s="264" t="str">
        <f t="shared" si="59"/>
        <v/>
      </c>
      <c r="Y734" s="268">
        <f>IFERROR(INDEX(Rainfall_Dry!$O$2:$O$217,MATCH(B734, Rainfall_Dry!$A$2:$A$217,0)),"")</f>
        <v>6.900000125</v>
      </c>
      <c r="Z734" s="257">
        <v>45.272914521112256</v>
      </c>
      <c r="AA734" s="257">
        <v>23.604531410916575</v>
      </c>
      <c r="AB734" s="257">
        <v>31.122554067971166</v>
      </c>
      <c r="AC734" s="258" t="s">
        <v>2657</v>
      </c>
      <c r="AD734" s="257">
        <v>2.0547560374568752</v>
      </c>
      <c r="AE734">
        <f>IF('WetLitterbags placem_collection'!AB75="","",'WetLitterbags placem_collection'!AB75)</f>
        <v>9.1</v>
      </c>
      <c r="AF734">
        <f>IF('WetLitterbags placem_collection'!Z75="","",'WetLitterbags placem_collection'!Z75)</f>
        <v>10</v>
      </c>
      <c r="AG734" s="243" t="str">
        <f>IF('WetLitterbags placem_collection'!AA75="","",'WetLitterbags placem_collection'!AA75)</f>
        <v>M</v>
      </c>
      <c r="AH734">
        <f>IF('WetLitterbags placem_collection'!AC75="","",'WetLitterbags placem_collection'!AC75)</f>
        <v>1</v>
      </c>
      <c r="AI734">
        <f>IFERROR(AVERAGE('Dry_Litterbag Placem_Collection'!O75,'Dry_Litterbag Placem_Collection'!R75),"")</f>
        <v>9.5500000000000007</v>
      </c>
      <c r="AJ734" s="268">
        <f>IFERROR(AVERAGE('Dry_Litterbag Placem_Collection'!N75,'Dry_Litterbag Placem_Collection'!Q75),"")</f>
        <v>28.35</v>
      </c>
      <c r="AK734" s="267">
        <f>INDEX(Coordinates!$B$2:$B$197,MATCH(H734,Coordinates!$J$2:$J$197,0))</f>
        <v>-3.3025860229999999</v>
      </c>
      <c r="AL734" s="267">
        <f>INDEX(Coordinates!$C$2:$C$197,MATCH(H734,Coordinates!$J$2:$J$197,0))</f>
        <v>34.848048009999999</v>
      </c>
      <c r="AM734" s="267" t="str">
        <f>IF(ISNUMBER(SEARCH("C", 'Dry_Litterbag Placem_Collection'!V75)),"YES","NO")</f>
        <v>NO</v>
      </c>
      <c r="AN734" s="267" t="str">
        <f>IF(ISNUMBER(SEARCH("H", 'Dry_Litterbag Placem_Collection'!V75)),"YES","NO")</f>
        <v>NO</v>
      </c>
      <c r="AO734" s="267" t="str">
        <f>IF(ISNUMBER(SEARCH("R", 'Dry_Litterbag Placem_Collection'!V75)),"YES","NO")</f>
        <v>NO</v>
      </c>
    </row>
    <row r="735" spans="1:41" ht="15" customHeight="1">
      <c r="A735" s="259" t="s">
        <v>2643</v>
      </c>
      <c r="B735" s="260">
        <f>'Dry_Litterbag Placem_Collection'!A76</f>
        <v>74</v>
      </c>
      <c r="C735" s="260" t="str">
        <f>'Dry_Litterbag Placem_Collection'!B76</f>
        <v>Maswa</v>
      </c>
      <c r="D735" s="260" t="s">
        <v>2643</v>
      </c>
      <c r="E735" s="260" t="s">
        <v>2645</v>
      </c>
      <c r="F735" s="260">
        <v>2</v>
      </c>
      <c r="G735" s="260" t="s">
        <v>3812</v>
      </c>
      <c r="H735" s="261" t="str">
        <f>'Dry_Litterbag Placem_Collection'!C76</f>
        <v>Dry_W2_T2</v>
      </c>
      <c r="I735" s="270" t="s">
        <v>3630</v>
      </c>
      <c r="J735" s="271" t="s">
        <v>298</v>
      </c>
      <c r="K735" s="260" t="str">
        <f>IF(ISBLANK('Dry_Litterbag Placem_Collection'!M76),"","R"&amp;""&amp;'Dry_Litterbag Placem_Collection'!M76)</f>
        <v>R275</v>
      </c>
      <c r="L735" s="264">
        <f>IFERROR(INDEX('Green_rooibos initial weight'!$C$5:$C$2000,MATCH(K735, 'Green_rooibos initial weight'!$A$5:$A$2000,0)),"")</f>
        <v>0.22900000000000001</v>
      </c>
      <c r="M735" s="264">
        <f>IFERROR(L735-(TBIcalc!$Q$9+TBIcalc!$Q$10),"")</f>
        <v>-2.0800000000000013E-2</v>
      </c>
      <c r="N735" s="385">
        <f>AVERAGE(Ashed_controlls!$K$12:$K$14)</f>
        <v>2.2816647271287041</v>
      </c>
      <c r="O735" s="264">
        <f t="shared" si="56"/>
        <v>-2.0325413736757243E-2</v>
      </c>
      <c r="P735" s="264">
        <f>IFERROR(INDEX('Both teabags AfterDry'!$D$2:$D$2000,MATCH(K735,'Both teabags AfterDry'!$A$2:$A$2000,0)),"")</f>
        <v>1.9981</v>
      </c>
      <c r="Q735" s="264">
        <f>IFERROR(IF(P735&gt;0,P735-(TBIcalc!$Q$9),""),"")</f>
        <v>1.8474999999999999</v>
      </c>
      <c r="R735" s="275">
        <f>IFERROR(INDEX('Ashed teabags dry'!$K$2:$K$2000,MATCH(K735,'Ashed teabags dry'!$A$2:$A$2000,0)),"")</f>
        <v>2.3587223587229587</v>
      </c>
      <c r="S735" s="275">
        <f t="shared" si="57"/>
        <v>1.8039226044225933</v>
      </c>
      <c r="T735" s="265">
        <f>IF('Dry_Litterbag Placem_Collection'!E76="","",'Dry_Litterbag Placem_Collection'!E76)</f>
        <v>42937</v>
      </c>
      <c r="U735" s="265">
        <f>IF('Dry_Litterbag Placem_Collection'!G76="","",'Dry_Litterbag Placem_Collection'!G76)</f>
        <v>43006</v>
      </c>
      <c r="V735" s="266">
        <f t="shared" si="55"/>
        <v>69</v>
      </c>
      <c r="W735" s="264">
        <f t="shared" si="58"/>
        <v>-1.8682999999999998</v>
      </c>
      <c r="X735" s="264">
        <f t="shared" si="59"/>
        <v>-1.8242480181593506</v>
      </c>
      <c r="Y735" s="268">
        <f>IFERROR(INDEX(Rainfall_Dry!$O$2:$O$217,MATCH(B735, Rainfall_Dry!$A$2:$A$217,0)),"")</f>
        <v>6.900000125</v>
      </c>
      <c r="Z735" s="257">
        <v>45.272914521112256</v>
      </c>
      <c r="AA735" s="257">
        <v>23.604531410916575</v>
      </c>
      <c r="AB735" s="257">
        <v>31.122554067971166</v>
      </c>
      <c r="AC735" s="258" t="s">
        <v>2657</v>
      </c>
      <c r="AD735" s="257">
        <v>3.0547560374568801</v>
      </c>
      <c r="AE735">
        <f>IF('WetLitterbags placem_collection'!AB76="","",'WetLitterbags placem_collection'!AB76)</f>
        <v>7.7</v>
      </c>
      <c r="AF735">
        <f>IF('WetLitterbags placem_collection'!Z76="","",'WetLitterbags placem_collection'!Z76)</f>
        <v>9.4</v>
      </c>
      <c r="AG735" s="243" t="str">
        <f>IF('WetLitterbags placem_collection'!AA76="","",'WetLitterbags placem_collection'!AA76)</f>
        <v>M</v>
      </c>
      <c r="AH735">
        <f>IF('WetLitterbags placem_collection'!AC76="","",'WetLitterbags placem_collection'!AC76)</f>
        <v>1</v>
      </c>
      <c r="AI735">
        <f>IFERROR(AVERAGE('Dry_Litterbag Placem_Collection'!O76,'Dry_Litterbag Placem_Collection'!R76),"")</f>
        <v>10.8</v>
      </c>
      <c r="AJ735" s="268">
        <f>IFERROR(AVERAGE('Dry_Litterbag Placem_Collection'!N76,'Dry_Litterbag Placem_Collection'!Q76),"")</f>
        <v>28.1</v>
      </c>
      <c r="AK735" s="267">
        <f>INDEX(Coordinates!$B$2:$B$197,MATCH(H735,Coordinates!$J$2:$J$197,0))</f>
        <v>-3.3025779759999998</v>
      </c>
      <c r="AL735" s="267">
        <f>INDEX(Coordinates!$C$2:$C$197,MATCH(H735,Coordinates!$J$2:$J$197,0))</f>
        <v>34.848041969999997</v>
      </c>
      <c r="AM735" s="267" t="str">
        <f>IF(ISNUMBER(SEARCH("C", 'Dry_Litterbag Placem_Collection'!V76)),"YES","NO")</f>
        <v>NO</v>
      </c>
      <c r="AN735" s="267" t="str">
        <f>IF(ISNUMBER(SEARCH("H", 'Dry_Litterbag Placem_Collection'!V76)),"YES","NO")</f>
        <v>NO</v>
      </c>
      <c r="AO735" s="267" t="str">
        <f>IF(ISNUMBER(SEARCH("R", 'Dry_Litterbag Placem_Collection'!V76)),"YES","NO")</f>
        <v>NO</v>
      </c>
    </row>
    <row r="736" spans="1:41" ht="15" customHeight="1">
      <c r="A736" s="259" t="s">
        <v>2643</v>
      </c>
      <c r="B736" s="260">
        <f>'Dry_Litterbag Placem_Collection'!A77</f>
        <v>75</v>
      </c>
      <c r="C736" s="260" t="str">
        <f>'Dry_Litterbag Placem_Collection'!B77</f>
        <v>Maswa</v>
      </c>
      <c r="D736" s="260" t="s">
        <v>2643</v>
      </c>
      <c r="E736" s="260" t="s">
        <v>2645</v>
      </c>
      <c r="F736" s="260">
        <v>2</v>
      </c>
      <c r="G736" s="260" t="s">
        <v>3812</v>
      </c>
      <c r="H736" s="261" t="str">
        <f>'Dry_Litterbag Placem_Collection'!C77</f>
        <v>Dry_W2_T3</v>
      </c>
      <c r="I736" s="270" t="s">
        <v>3630</v>
      </c>
      <c r="J736" s="271" t="s">
        <v>298</v>
      </c>
      <c r="K736" s="260" t="str">
        <f>IF(ISBLANK('Dry_Litterbag Placem_Collection'!M77),"","R"&amp;""&amp;'Dry_Litterbag Placem_Collection'!M77)</f>
        <v>R657</v>
      </c>
      <c r="L736" s="264">
        <f>IFERROR(INDEX('Green_rooibos initial weight'!$C$5:$C$2000,MATCH(K736, 'Green_rooibos initial weight'!$A$5:$A$2000,0)),"")</f>
        <v>2.2509999999999999</v>
      </c>
      <c r="M736" s="264">
        <f>IFERROR(L736-(TBIcalc!$Q$9+TBIcalc!$Q$10),"")</f>
        <v>2.0011999999999999</v>
      </c>
      <c r="N736" s="385">
        <f>AVERAGE(Ashed_controlls!$K$12:$K$14)</f>
        <v>2.2816647271287041</v>
      </c>
      <c r="O736" s="264">
        <f t="shared" si="56"/>
        <v>1.9555393254807003</v>
      </c>
      <c r="P736" s="264">
        <f>IFERROR(INDEX('Both teabags AfterDry'!$D$2:$D$2000,MATCH(K736,'Both teabags AfterDry'!$A$2:$A$2000,0)),"")</f>
        <v>2.0581999999999998</v>
      </c>
      <c r="Q736" s="264">
        <f>IFERROR(IF(P736&gt;0,P736-(TBIcalc!$Q$9),""),"")</f>
        <v>1.9075999999999997</v>
      </c>
      <c r="R736" s="275">
        <f>IFERROR(INDEX('Ashed teabags dry'!$K$2:$K$2000,MATCH(K736,'Ashed teabags dry'!$A$2:$A$2000,0)),"")</f>
        <v>2.5461807289067337</v>
      </c>
      <c r="S736" s="275">
        <f t="shared" si="57"/>
        <v>1.8590290564153749</v>
      </c>
      <c r="T736" s="265">
        <f>IF('Dry_Litterbag Placem_Collection'!E77="","",'Dry_Litterbag Placem_Collection'!E77)</f>
        <v>42937</v>
      </c>
      <c r="U736" s="265">
        <f>IF('Dry_Litterbag Placem_Collection'!G77="","",'Dry_Litterbag Placem_Collection'!G77)</f>
        <v>43006</v>
      </c>
      <c r="V736" s="266">
        <f t="shared" si="55"/>
        <v>69</v>
      </c>
      <c r="W736" s="264">
        <f t="shared" si="58"/>
        <v>9.3600000000000128E-2</v>
      </c>
      <c r="X736" s="264">
        <f t="shared" si="59"/>
        <v>9.6510269065325449E-2</v>
      </c>
      <c r="Y736" s="268">
        <f>IFERROR(INDEX(Rainfall_Dry!$O$2:$O$217,MATCH(B736, Rainfall_Dry!$A$2:$A$217,0)),"")</f>
        <v>6.900000125</v>
      </c>
      <c r="Z736" s="257">
        <v>45.272914521112256</v>
      </c>
      <c r="AA736" s="257">
        <v>23.604531410916575</v>
      </c>
      <c r="AB736" s="257">
        <v>31.122554067971166</v>
      </c>
      <c r="AC736" s="258" t="s">
        <v>2657</v>
      </c>
      <c r="AD736" s="257">
        <v>4.0547560374568796</v>
      </c>
      <c r="AE736">
        <f>IF('WetLitterbags placem_collection'!AB77="","",'WetLitterbags placem_collection'!AB77)</f>
        <v>6.1</v>
      </c>
      <c r="AF736">
        <f>IF('WetLitterbags placem_collection'!Z77="","",'WetLitterbags placem_collection'!Z77)</f>
        <v>13.8</v>
      </c>
      <c r="AG736" s="243" t="str">
        <f>IF('WetLitterbags placem_collection'!AA77="","",'WetLitterbags placem_collection'!AA77)</f>
        <v>O</v>
      </c>
      <c r="AH736">
        <f>IF('WetLitterbags placem_collection'!AC77="","",'WetLitterbags placem_collection'!AC77)</f>
        <v>0</v>
      </c>
      <c r="AI736">
        <f>IFERROR(AVERAGE('Dry_Litterbag Placem_Collection'!O77,'Dry_Litterbag Placem_Collection'!R77),"")</f>
        <v>12.3</v>
      </c>
      <c r="AJ736" s="268">
        <f>IFERROR(AVERAGE('Dry_Litterbag Placem_Collection'!N77,'Dry_Litterbag Placem_Collection'!Q77),"")</f>
        <v>27.200000000000003</v>
      </c>
      <c r="AK736" s="267">
        <f>INDEX(Coordinates!$B$2:$B$197,MATCH(H736,Coordinates!$J$2:$J$197,0))</f>
        <v>-3.302687025</v>
      </c>
      <c r="AL736" s="267">
        <f>INDEX(Coordinates!$C$2:$C$197,MATCH(H736,Coordinates!$J$2:$J$197,0))</f>
        <v>34.847926970000003</v>
      </c>
      <c r="AM736" s="267" t="str">
        <f>IF(ISNUMBER(SEARCH("C", 'Dry_Litterbag Placem_Collection'!V77)),"YES","NO")</f>
        <v>NO</v>
      </c>
      <c r="AN736" s="267" t="str">
        <f>IF(ISNUMBER(SEARCH("H", 'Dry_Litterbag Placem_Collection'!V77)),"YES","NO")</f>
        <v>NO</v>
      </c>
      <c r="AO736" s="267" t="str">
        <f>IF(ISNUMBER(SEARCH("R", 'Dry_Litterbag Placem_Collection'!V77)),"YES","NO")</f>
        <v>NO</v>
      </c>
    </row>
    <row r="737" spans="1:41" ht="15" customHeight="1">
      <c r="A737" s="259" t="s">
        <v>2643</v>
      </c>
      <c r="B737" s="260">
        <f>'Dry_Litterbag Placem_Collection'!A78</f>
        <v>76</v>
      </c>
      <c r="C737" s="260" t="str">
        <f>'Dry_Litterbag Placem_Collection'!B78</f>
        <v>Maswa</v>
      </c>
      <c r="D737" s="260" t="s">
        <v>2643</v>
      </c>
      <c r="E737" s="260" t="s">
        <v>2645</v>
      </c>
      <c r="F737" s="260">
        <v>2</v>
      </c>
      <c r="G737" s="260" t="s">
        <v>3812</v>
      </c>
      <c r="H737" s="261" t="str">
        <f>'Dry_Litterbag Placem_Collection'!C78</f>
        <v>Dry_W2_T4</v>
      </c>
      <c r="I737" s="270" t="s">
        <v>3630</v>
      </c>
      <c r="J737" s="271" t="s">
        <v>298</v>
      </c>
      <c r="K737" s="260" t="str">
        <f>IF(ISBLANK('Dry_Litterbag Placem_Collection'!M78),"","R"&amp;""&amp;'Dry_Litterbag Placem_Collection'!M78)</f>
        <v>R306</v>
      </c>
      <c r="L737" s="264">
        <f>IFERROR(INDEX('Green_rooibos initial weight'!$C$5:$C$2000,MATCH(K737, 'Green_rooibos initial weight'!$A$5:$A$2000,0)),"")</f>
        <v>2.2440000000000002</v>
      </c>
      <c r="M737" s="264">
        <f>IFERROR(L737-(TBIcalc!$Q$9+TBIcalc!$Q$10),"")</f>
        <v>1.9942000000000002</v>
      </c>
      <c r="N737" s="385">
        <f>AVERAGE(Ashed_controlls!$K$12:$K$14)</f>
        <v>2.2816647271287041</v>
      </c>
      <c r="O737" s="264">
        <f t="shared" si="56"/>
        <v>1.9486990420115995</v>
      </c>
      <c r="P737" s="264">
        <f>IFERROR(INDEX('Both teabags AfterDry'!$D$2:$D$2000,MATCH(K737,'Both teabags AfterDry'!$A$2:$A$2000,0)),"")</f>
        <v>2.0337999999999998</v>
      </c>
      <c r="Q737" s="264">
        <f>IFERROR(IF(P737&gt;0,P737-(TBIcalc!$Q$9),""),"")</f>
        <v>1.8831999999999998</v>
      </c>
      <c r="R737" s="275">
        <f>IFERROR(INDEX('Ashed teabags dry'!$K$2:$K$2000,MATCH(K737,'Ashed teabags dry'!$A$2:$A$2000,0)),"")</f>
        <v>3.2818532818523578</v>
      </c>
      <c r="S737" s="275">
        <f t="shared" si="57"/>
        <v>1.8213961389961562</v>
      </c>
      <c r="T737" s="265">
        <f>IF('Dry_Litterbag Placem_Collection'!E78="","",'Dry_Litterbag Placem_Collection'!E78)</f>
        <v>42937</v>
      </c>
      <c r="U737" s="265">
        <f>IF('Dry_Litterbag Placem_Collection'!G78="","",'Dry_Litterbag Placem_Collection'!G78)</f>
        <v>43006</v>
      </c>
      <c r="V737" s="266">
        <f t="shared" si="55"/>
        <v>69</v>
      </c>
      <c r="W737" s="264">
        <f t="shared" si="58"/>
        <v>0.11100000000000043</v>
      </c>
      <c r="X737" s="264">
        <f t="shared" si="59"/>
        <v>0.12730290301544334</v>
      </c>
      <c r="Y737" s="268">
        <f>IFERROR(INDEX(Rainfall_Dry!$O$2:$O$217,MATCH(B737, Rainfall_Dry!$A$2:$A$217,0)),"")</f>
        <v>6.900000125</v>
      </c>
      <c r="Z737" s="257">
        <v>45.272914521112256</v>
      </c>
      <c r="AA737" s="257">
        <v>23.604531410916575</v>
      </c>
      <c r="AB737" s="257">
        <v>31.122554067971166</v>
      </c>
      <c r="AC737" s="258" t="s">
        <v>2657</v>
      </c>
      <c r="AD737" s="257">
        <v>5.0547560374568796</v>
      </c>
      <c r="AE737">
        <f>IF('WetLitterbags placem_collection'!AB78="","",'WetLitterbags placem_collection'!AB78)</f>
        <v>6.7</v>
      </c>
      <c r="AF737">
        <f>IF('WetLitterbags placem_collection'!Z78="","",'WetLitterbags placem_collection'!Z78)</f>
        <v>19.3</v>
      </c>
      <c r="AG737" s="243" t="str">
        <f>IF('WetLitterbags placem_collection'!AA78="","",'WetLitterbags placem_collection'!AA78)</f>
        <v>M</v>
      </c>
      <c r="AH737">
        <f>IF('WetLitterbags placem_collection'!AC78="","",'WetLitterbags placem_collection'!AC78)</f>
        <v>1</v>
      </c>
      <c r="AI737">
        <f>IFERROR(AVERAGE('Dry_Litterbag Placem_Collection'!O78,'Dry_Litterbag Placem_Collection'!R78),"")</f>
        <v>11.1</v>
      </c>
      <c r="AJ737" s="268">
        <f>IFERROR(AVERAGE('Dry_Litterbag Placem_Collection'!N78,'Dry_Litterbag Placem_Collection'!Q78),"")</f>
        <v>27.75</v>
      </c>
      <c r="AK737" s="267">
        <f>INDEX(Coordinates!$B$2:$B$197,MATCH(H737,Coordinates!$J$2:$J$197,0))</f>
        <v>-3.3024560190000001</v>
      </c>
      <c r="AL737" s="267">
        <f>INDEX(Coordinates!$C$2:$C$197,MATCH(H737,Coordinates!$J$2:$J$197,0))</f>
        <v>34.847871990000002</v>
      </c>
      <c r="AM737" s="267" t="str">
        <f>IF(ISNUMBER(SEARCH("C", 'Dry_Litterbag Placem_Collection'!V78)),"YES","NO")</f>
        <v>NO</v>
      </c>
      <c r="AN737" s="267" t="str">
        <f>IF(ISNUMBER(SEARCH("H", 'Dry_Litterbag Placem_Collection'!V78)),"YES","NO")</f>
        <v>NO</v>
      </c>
      <c r="AO737" s="267" t="str">
        <f>IF(ISNUMBER(SEARCH("R", 'Dry_Litterbag Placem_Collection'!V78)),"YES","NO")</f>
        <v>NO</v>
      </c>
    </row>
    <row r="738" spans="1:41" ht="15" customHeight="1">
      <c r="A738" s="259" t="s">
        <v>2643</v>
      </c>
      <c r="B738" s="260">
        <f>'Dry_Litterbag Placem_Collection'!A79</f>
        <v>77</v>
      </c>
      <c r="C738" s="260" t="str">
        <f>'Dry_Litterbag Placem_Collection'!B79</f>
        <v>Maswa</v>
      </c>
      <c r="D738" s="260" t="s">
        <v>2643</v>
      </c>
      <c r="E738" s="260" t="s">
        <v>2645</v>
      </c>
      <c r="F738" s="260">
        <v>2</v>
      </c>
      <c r="G738" s="260" t="s">
        <v>3812</v>
      </c>
      <c r="H738" s="261" t="str">
        <f>'Dry_Litterbag Placem_Collection'!C79</f>
        <v>Dry_W2_T5</v>
      </c>
      <c r="I738" s="270" t="s">
        <v>3630</v>
      </c>
      <c r="J738" s="271" t="s">
        <v>298</v>
      </c>
      <c r="K738" s="260" t="str">
        <f>IF(ISBLANK('Dry_Litterbag Placem_Collection'!M79),"","R"&amp;""&amp;'Dry_Litterbag Placem_Collection'!M79)</f>
        <v/>
      </c>
      <c r="L738" s="264" t="str">
        <f>IFERROR(INDEX('Green_rooibos initial weight'!$C$5:$C$2000,MATCH(K738, 'Green_rooibos initial weight'!$A$5:$A$2000,0)),"")</f>
        <v/>
      </c>
      <c r="M738" s="264" t="str">
        <f>IFERROR(L738-(TBIcalc!$Q$9+TBIcalc!$Q$10),"")</f>
        <v/>
      </c>
      <c r="N738" s="385">
        <f>AVERAGE(Ashed_controlls!$K$12:$K$14)</f>
        <v>2.2816647271287041</v>
      </c>
      <c r="O738" s="264" t="str">
        <f t="shared" si="56"/>
        <v/>
      </c>
      <c r="P738" s="264" t="str">
        <f>IFERROR(INDEX('Both teabags AfterDry'!$D$2:$D$2000,MATCH(K738,'Both teabags AfterDry'!$A$2:$A$2000,0)),"")</f>
        <v/>
      </c>
      <c r="Q738" s="264" t="str">
        <f>IFERROR(IF(P738&gt;0,P738-(TBIcalc!$Q$9),""),"")</f>
        <v/>
      </c>
      <c r="R738" s="275" t="str">
        <f>IFERROR(INDEX('Ashed teabags dry'!$K$2:$K$2000,MATCH(K738,'Ashed teabags dry'!$A$2:$A$2000,0)),"")</f>
        <v/>
      </c>
      <c r="S738" s="275" t="str">
        <f t="shared" si="57"/>
        <v/>
      </c>
      <c r="T738" s="265" t="str">
        <f>IF('Dry_Litterbag Placem_Collection'!E79="","",'Dry_Litterbag Placem_Collection'!E79)</f>
        <v/>
      </c>
      <c r="U738" s="265" t="str">
        <f>IF('Dry_Litterbag Placem_Collection'!G79="","",'Dry_Litterbag Placem_Collection'!G79)</f>
        <v/>
      </c>
      <c r="V738" s="266" t="str">
        <f t="shared" si="55"/>
        <v/>
      </c>
      <c r="W738" s="264" t="str">
        <f t="shared" si="58"/>
        <v/>
      </c>
      <c r="X738" s="264" t="str">
        <f t="shared" si="59"/>
        <v/>
      </c>
      <c r="Y738" s="268" t="str">
        <f>IFERROR(INDEX(Rainfall_Dry!$O$2:$O$217,MATCH(B738, Rainfall_Dry!$A$2:$A$217,0)),"")</f>
        <v/>
      </c>
      <c r="Z738" s="257">
        <v>45.272914521112256</v>
      </c>
      <c r="AA738" s="257">
        <v>23.604531410916575</v>
      </c>
      <c r="AB738" s="257">
        <v>31.122554067971166</v>
      </c>
      <c r="AC738" s="258" t="s">
        <v>2657</v>
      </c>
      <c r="AD738" s="257">
        <v>6.0547560374568796</v>
      </c>
      <c r="AE738">
        <f>IF('WetLitterbags placem_collection'!AB79="","",'WetLitterbags placem_collection'!AB79)</f>
        <v>3.1</v>
      </c>
      <c r="AF738">
        <f>IF('WetLitterbags placem_collection'!Z79="","",'WetLitterbags placem_collection'!Z79)</f>
        <v>9.8000000000000007</v>
      </c>
      <c r="AG738" s="243" t="str">
        <f>IF('WetLitterbags placem_collection'!AA79="","",'WetLitterbags placem_collection'!AA79)</f>
        <v>O</v>
      </c>
      <c r="AH738">
        <f>IF('WetLitterbags placem_collection'!AC79="","",'WetLitterbags placem_collection'!AC79)</f>
        <v>1</v>
      </c>
      <c r="AI738" t="str">
        <f>IFERROR(AVERAGE('Dry_Litterbag Placem_Collection'!O79,'Dry_Litterbag Placem_Collection'!R79),"")</f>
        <v/>
      </c>
      <c r="AJ738" s="268" t="str">
        <f>IFERROR(AVERAGE('Dry_Litterbag Placem_Collection'!N79,'Dry_Litterbag Placem_Collection'!Q79),"")</f>
        <v/>
      </c>
      <c r="AK738" s="267">
        <f>INDEX(Coordinates!$B$2:$B$197,MATCH(H738,Coordinates!$J$2:$J$197,0))</f>
        <v>-3.3023280279999998</v>
      </c>
      <c r="AL738" s="267">
        <f>INDEX(Coordinates!$C$2:$C$197,MATCH(H738,Coordinates!$J$2:$J$197,0))</f>
        <v>34.848223019999999</v>
      </c>
      <c r="AM738" s="267" t="str">
        <f>IF(ISNUMBER(SEARCH("C", 'Dry_Litterbag Placem_Collection'!V79)),"YES","NO")</f>
        <v>NO</v>
      </c>
      <c r="AN738" s="267" t="str">
        <f>IF(ISNUMBER(SEARCH("H", 'Dry_Litterbag Placem_Collection'!V79)),"YES","NO")</f>
        <v>NO</v>
      </c>
      <c r="AO738" s="267" t="str">
        <f>IF(ISNUMBER(SEARCH("R", 'Dry_Litterbag Placem_Collection'!V79)),"YES","NO")</f>
        <v>NO</v>
      </c>
    </row>
    <row r="739" spans="1:41" ht="15" customHeight="1">
      <c r="A739" s="259" t="s">
        <v>2643</v>
      </c>
      <c r="B739" s="260">
        <f>'Dry_Litterbag Placem_Collection'!A80</f>
        <v>78</v>
      </c>
      <c r="C739" s="260" t="str">
        <f>'Dry_Litterbag Placem_Collection'!B80</f>
        <v>Maswa</v>
      </c>
      <c r="D739" s="260" t="s">
        <v>2643</v>
      </c>
      <c r="E739" s="260" t="s">
        <v>2645</v>
      </c>
      <c r="F739" s="260">
        <v>2</v>
      </c>
      <c r="G739" s="260" t="s">
        <v>3812</v>
      </c>
      <c r="H739" s="261" t="str">
        <f>'Dry_Litterbag Placem_Collection'!C80</f>
        <v>Dry_W2_T6</v>
      </c>
      <c r="I739" s="270" t="s">
        <v>3630</v>
      </c>
      <c r="J739" s="271" t="s">
        <v>298</v>
      </c>
      <c r="K739" s="260" t="str">
        <f>IF(ISBLANK('Dry_Litterbag Placem_Collection'!M80),"","R"&amp;""&amp;'Dry_Litterbag Placem_Collection'!M80)</f>
        <v>R377</v>
      </c>
      <c r="L739" s="264">
        <f>IFERROR(INDEX('Green_rooibos initial weight'!$C$5:$C$2000,MATCH(K739, 'Green_rooibos initial weight'!$A$5:$A$2000,0)),"")</f>
        <v>2.2309999999999999</v>
      </c>
      <c r="M739" s="264">
        <f>IFERROR(L739-(TBIcalc!$Q$9+TBIcalc!$Q$10),"")</f>
        <v>1.9811999999999999</v>
      </c>
      <c r="N739" s="385">
        <f>AVERAGE(Ashed_controlls!$K$12:$K$14)</f>
        <v>2.2816647271287041</v>
      </c>
      <c r="O739" s="264">
        <f t="shared" si="56"/>
        <v>1.935995658426126</v>
      </c>
      <c r="P739" s="264">
        <f>IFERROR(INDEX('Both teabags AfterDry'!$D$2:$D$2000,MATCH(K739,'Both teabags AfterDry'!$A$2:$A$2000,0)),"")</f>
        <v>1.9925999999999999</v>
      </c>
      <c r="Q739" s="264">
        <f>IFERROR(IF(P739&gt;0,P739-(TBIcalc!$Q$9),""),"")</f>
        <v>1.8419999999999999</v>
      </c>
      <c r="R739" s="275">
        <f>IFERROR(INDEX('Ashed teabags dry'!$K$2:$K$2000,MATCH(K739,'Ashed teabags dry'!$A$2:$A$2000,0)),"")</f>
        <v>2.2244191794369352</v>
      </c>
      <c r="S739" s="275">
        <f t="shared" si="57"/>
        <v>1.8010261987147715</v>
      </c>
      <c r="T739" s="265">
        <f>IF('Dry_Litterbag Placem_Collection'!E80="","",'Dry_Litterbag Placem_Collection'!E80)</f>
        <v>42937</v>
      </c>
      <c r="U739" s="265">
        <f>IF('Dry_Litterbag Placem_Collection'!G80="","",'Dry_Litterbag Placem_Collection'!G80)</f>
        <v>43006</v>
      </c>
      <c r="V739" s="266">
        <f t="shared" si="55"/>
        <v>69</v>
      </c>
      <c r="W739" s="264">
        <f t="shared" si="58"/>
        <v>0.13919999999999999</v>
      </c>
      <c r="X739" s="264">
        <f t="shared" si="59"/>
        <v>0.13496945971135443</v>
      </c>
      <c r="Y739" s="268">
        <f>IFERROR(INDEX(Rainfall_Dry!$O$2:$O$217,MATCH(B739, Rainfall_Dry!$A$2:$A$217,0)),"")</f>
        <v>6.900000125</v>
      </c>
      <c r="Z739" s="257">
        <v>45.272914521112256</v>
      </c>
      <c r="AA739" s="257">
        <v>23.604531410916575</v>
      </c>
      <c r="AB739" s="257">
        <v>31.122554067971166</v>
      </c>
      <c r="AC739" s="258" t="s">
        <v>2657</v>
      </c>
      <c r="AD739" s="257">
        <v>7.0547560374568796</v>
      </c>
      <c r="AE739">
        <f>IF('WetLitterbags placem_collection'!AB80="","",'WetLitterbags placem_collection'!AB80)</f>
        <v>10.4</v>
      </c>
      <c r="AF739">
        <f>IF('WetLitterbags placem_collection'!Z80="","",'WetLitterbags placem_collection'!Z80)</f>
        <v>15.4</v>
      </c>
      <c r="AG739" s="243" t="str">
        <f>IF('WetLitterbags placem_collection'!AA80="","",'WetLitterbags placem_collection'!AA80)</f>
        <v>M</v>
      </c>
      <c r="AH739">
        <f>IF('WetLitterbags placem_collection'!AC80="","",'WetLitterbags placem_collection'!AC80)</f>
        <v>1</v>
      </c>
      <c r="AI739">
        <f>IFERROR(AVERAGE('Dry_Litterbag Placem_Collection'!O80,'Dry_Litterbag Placem_Collection'!R80),"")</f>
        <v>11.149999999999999</v>
      </c>
      <c r="AJ739" s="268">
        <f>IFERROR(AVERAGE('Dry_Litterbag Placem_Collection'!N80,'Dry_Litterbag Placem_Collection'!Q80),"")</f>
        <v>28.35</v>
      </c>
      <c r="AK739" s="267">
        <f>INDEX(Coordinates!$B$2:$B$197,MATCH(H739,Coordinates!$J$2:$J$197,0))</f>
        <v>-3.3025680020000001</v>
      </c>
      <c r="AL739" s="267">
        <f>INDEX(Coordinates!$C$2:$C$197,MATCH(H739,Coordinates!$J$2:$J$197,0))</f>
        <v>34.848167029999999</v>
      </c>
      <c r="AM739" s="267" t="str">
        <f>IF(ISNUMBER(SEARCH("C", 'Dry_Litterbag Placem_Collection'!V80)),"YES","NO")</f>
        <v>NO</v>
      </c>
      <c r="AN739" s="267" t="str">
        <f>IF(ISNUMBER(SEARCH("H", 'Dry_Litterbag Placem_Collection'!V80)),"YES","NO")</f>
        <v>NO</v>
      </c>
      <c r="AO739" s="267" t="str">
        <f>IF(ISNUMBER(SEARCH("R", 'Dry_Litterbag Placem_Collection'!V80)),"YES","NO")</f>
        <v>NO</v>
      </c>
    </row>
    <row r="740" spans="1:41" ht="15" customHeight="1">
      <c r="A740" s="259" t="s">
        <v>2643</v>
      </c>
      <c r="B740" s="260">
        <f>'Dry_Litterbag Placem_Collection'!A81</f>
        <v>79</v>
      </c>
      <c r="C740" s="260" t="str">
        <f>'Dry_Litterbag Placem_Collection'!B81</f>
        <v>Maswa</v>
      </c>
      <c r="D740" s="260" t="s">
        <v>2643</v>
      </c>
      <c r="E740" s="260" t="s">
        <v>2645</v>
      </c>
      <c r="F740" s="260">
        <v>2</v>
      </c>
      <c r="G740" s="260" t="s">
        <v>3812</v>
      </c>
      <c r="H740" s="261" t="str">
        <f>'Dry_Litterbag Placem_Collection'!C81</f>
        <v>Dry_W2_T7</v>
      </c>
      <c r="I740" s="270" t="s">
        <v>3630</v>
      </c>
      <c r="J740" s="271" t="s">
        <v>298</v>
      </c>
      <c r="K740" s="260" t="str">
        <f>IF(ISBLANK('Dry_Litterbag Placem_Collection'!M81),"","R"&amp;""&amp;'Dry_Litterbag Placem_Collection'!M81)</f>
        <v>R61</v>
      </c>
      <c r="L740" s="264">
        <f>IFERROR(INDEX('Green_rooibos initial weight'!$C$5:$C$2000,MATCH(K740, 'Green_rooibos initial weight'!$A$5:$A$2000,0)),"")</f>
        <v>2.2450000000000001</v>
      </c>
      <c r="M740" s="264">
        <f>IFERROR(L740-(TBIcalc!$Q$9+TBIcalc!$Q$10),"")</f>
        <v>1.9952000000000001</v>
      </c>
      <c r="N740" s="385">
        <f>AVERAGE(Ashed_controlls!$K$12:$K$14)</f>
        <v>2.2816647271287041</v>
      </c>
      <c r="O740" s="264">
        <f t="shared" si="56"/>
        <v>1.9496762253643283</v>
      </c>
      <c r="P740" s="264">
        <f>IFERROR(INDEX('Both teabags AfterDry'!$D$2:$D$2000,MATCH(K740,'Both teabags AfterDry'!$A$2:$A$2000,0)),"")</f>
        <v>1.9782999999999999</v>
      </c>
      <c r="Q740" s="264">
        <f>IFERROR(IF(P740&gt;0,P740-(TBIcalc!$Q$9),""),"")</f>
        <v>1.8276999999999999</v>
      </c>
      <c r="R740" s="275">
        <f>IFERROR(INDEX('Ashed teabags dry'!$K$2:$K$2000,MATCH(K740,'Ashed teabags dry'!$A$2:$A$2000,0)),"")</f>
        <v>2.8766455387618852</v>
      </c>
      <c r="S740" s="275">
        <f t="shared" si="57"/>
        <v>1.7751235494880488</v>
      </c>
      <c r="T740" s="265">
        <f>IF('Dry_Litterbag Placem_Collection'!E81="","",'Dry_Litterbag Placem_Collection'!E81)</f>
        <v>42937</v>
      </c>
      <c r="U740" s="265">
        <f>IF('Dry_Litterbag Placem_Collection'!G81="","",'Dry_Litterbag Placem_Collection'!G81)</f>
        <v>43006</v>
      </c>
      <c r="V740" s="266">
        <f t="shared" si="55"/>
        <v>69</v>
      </c>
      <c r="W740" s="264">
        <f t="shared" si="58"/>
        <v>0.1675000000000002</v>
      </c>
      <c r="X740" s="264">
        <f t="shared" si="59"/>
        <v>0.17455267587627943</v>
      </c>
      <c r="Y740" s="268">
        <f>IFERROR(INDEX(Rainfall_Dry!$O$2:$O$217,MATCH(B740, Rainfall_Dry!$A$2:$A$217,0)),"")</f>
        <v>6.900000125</v>
      </c>
      <c r="Z740" s="257">
        <v>45.272914521112256</v>
      </c>
      <c r="AA740" s="257">
        <v>23.604531410916575</v>
      </c>
      <c r="AB740" s="257">
        <v>31.122554067971166</v>
      </c>
      <c r="AC740" s="258" t="s">
        <v>2657</v>
      </c>
      <c r="AD740" s="257">
        <v>8.0547560374568796</v>
      </c>
      <c r="AE740">
        <f>IF('WetLitterbags placem_collection'!AB81="","",'WetLitterbags placem_collection'!AB81)</f>
        <v>3</v>
      </c>
      <c r="AF740">
        <f>IF('WetLitterbags placem_collection'!Z81="","",'WetLitterbags placem_collection'!Z81)</f>
        <v>5</v>
      </c>
      <c r="AG740" s="243" t="str">
        <f>IF('WetLitterbags placem_collection'!AA81="","",'WetLitterbags placem_collection'!AA81)</f>
        <v>G</v>
      </c>
      <c r="AH740">
        <f>IF('WetLitterbags placem_collection'!AC81="","",'WetLitterbags placem_collection'!AC81)</f>
        <v>1</v>
      </c>
      <c r="AI740">
        <f>IFERROR(AVERAGE('Dry_Litterbag Placem_Collection'!O81,'Dry_Litterbag Placem_Collection'!R81),"")</f>
        <v>9.1999999999999993</v>
      </c>
      <c r="AJ740" s="268">
        <f>IFERROR(AVERAGE('Dry_Litterbag Placem_Collection'!N81,'Dry_Litterbag Placem_Collection'!Q81),"")</f>
        <v>26.25</v>
      </c>
      <c r="AK740" s="267">
        <f>INDEX(Coordinates!$B$2:$B$197,MATCH(H740,Coordinates!$J$2:$J$197,0))</f>
        <v>-3.3026270100000001</v>
      </c>
      <c r="AL740" s="267">
        <f>INDEX(Coordinates!$C$2:$C$197,MATCH(H740,Coordinates!$J$2:$J$197,0))</f>
        <v>34.84840801</v>
      </c>
      <c r="AM740" s="267" t="str">
        <f>IF(ISNUMBER(SEARCH("C", 'Dry_Litterbag Placem_Collection'!V81)),"YES","NO")</f>
        <v>NO</v>
      </c>
      <c r="AN740" s="267" t="str">
        <f>IF(ISNUMBER(SEARCH("H", 'Dry_Litterbag Placem_Collection'!V81)),"YES","NO")</f>
        <v>NO</v>
      </c>
      <c r="AO740" s="267" t="str">
        <f>IF(ISNUMBER(SEARCH("R", 'Dry_Litterbag Placem_Collection'!V81)),"YES","NO")</f>
        <v>NO</v>
      </c>
    </row>
    <row r="741" spans="1:41" ht="15" customHeight="1">
      <c r="A741" s="259" t="s">
        <v>2643</v>
      </c>
      <c r="B741" s="260">
        <f>'Dry_Litterbag Placem_Collection'!A82</f>
        <v>80</v>
      </c>
      <c r="C741" s="260" t="str">
        <f>'Dry_Litterbag Placem_Collection'!B82</f>
        <v>Maswa</v>
      </c>
      <c r="D741" s="260" t="s">
        <v>2643</v>
      </c>
      <c r="E741" s="260" t="s">
        <v>2645</v>
      </c>
      <c r="F741" s="260">
        <v>2</v>
      </c>
      <c r="G741" s="260" t="s">
        <v>3812</v>
      </c>
      <c r="H741" s="261" t="str">
        <f>'Dry_Litterbag Placem_Collection'!C82</f>
        <v>Dry_W2_T8</v>
      </c>
      <c r="I741" s="270" t="s">
        <v>3630</v>
      </c>
      <c r="J741" s="271" t="s">
        <v>298</v>
      </c>
      <c r="K741" s="260" t="str">
        <f>IF(ISBLANK('Dry_Litterbag Placem_Collection'!M82),"","R"&amp;""&amp;'Dry_Litterbag Placem_Collection'!M82)</f>
        <v>R620</v>
      </c>
      <c r="L741" s="264">
        <f>IFERROR(INDEX('Green_rooibos initial weight'!$C$5:$C$2000,MATCH(K741, 'Green_rooibos initial weight'!$A$5:$A$2000,0)),"")</f>
        <v>2.1800000000000002</v>
      </c>
      <c r="M741" s="264">
        <f>IFERROR(L741-(TBIcalc!$Q$9+TBIcalc!$Q$10),"")</f>
        <v>1.9302000000000001</v>
      </c>
      <c r="N741" s="385">
        <f>AVERAGE(Ashed_controlls!$K$12:$K$14)</f>
        <v>2.2816647271287041</v>
      </c>
      <c r="O741" s="264">
        <f t="shared" si="56"/>
        <v>1.8861593074369618</v>
      </c>
      <c r="P741" s="264">
        <f>IFERROR(INDEX('Both teabags AfterDry'!$D$2:$D$2000,MATCH(K741,'Both teabags AfterDry'!$A$2:$A$2000,0)),"")</f>
        <v>2.0047999999999999</v>
      </c>
      <c r="Q741" s="264">
        <f>IFERROR(IF(P741&gt;0,P741-(TBIcalc!$Q$9),""),"")</f>
        <v>1.8541999999999998</v>
      </c>
      <c r="R741" s="275">
        <f>IFERROR(INDEX('Ashed teabags dry'!$K$2:$K$2000,MATCH(K741,'Ashed teabags dry'!$A$2:$A$2000,0)),"")</f>
        <v>3.2972440944880175</v>
      </c>
      <c r="S741" s="275">
        <f t="shared" si="57"/>
        <v>1.7930625000000031</v>
      </c>
      <c r="T741" s="265">
        <f>IF('Dry_Litterbag Placem_Collection'!E82="","",'Dry_Litterbag Placem_Collection'!E82)</f>
        <v>42937</v>
      </c>
      <c r="U741" s="265">
        <f>IF('Dry_Litterbag Placem_Collection'!G82="","",'Dry_Litterbag Placem_Collection'!G82)</f>
        <v>43006</v>
      </c>
      <c r="V741" s="266">
        <f t="shared" si="55"/>
        <v>69</v>
      </c>
      <c r="W741" s="264">
        <f t="shared" si="58"/>
        <v>7.600000000000029E-2</v>
      </c>
      <c r="X741" s="264">
        <f t="shared" si="59"/>
        <v>9.3096807436958695E-2</v>
      </c>
      <c r="Y741" s="268">
        <f>IFERROR(INDEX(Rainfall_Dry!$O$2:$O$217,MATCH(B741, Rainfall_Dry!$A$2:$A$217,0)),"")</f>
        <v>6.900000125</v>
      </c>
      <c r="Z741" s="257">
        <v>45.272914521112256</v>
      </c>
      <c r="AA741" s="257">
        <v>23.604531410916575</v>
      </c>
      <c r="AB741" s="257">
        <v>31.122554067971166</v>
      </c>
      <c r="AC741" s="258" t="s">
        <v>2657</v>
      </c>
      <c r="AD741" s="257">
        <v>9.0547560374568796</v>
      </c>
      <c r="AE741">
        <f>IF('WetLitterbags placem_collection'!AB82="","",'WetLitterbags placem_collection'!AB82)</f>
        <v>2.7</v>
      </c>
      <c r="AF741">
        <f>IF('WetLitterbags placem_collection'!Z82="","",'WetLitterbags placem_collection'!Z82)</f>
        <v>12.4</v>
      </c>
      <c r="AG741" s="243" t="str">
        <f>IF('WetLitterbags placem_collection'!AA82="","",'WetLitterbags placem_collection'!AA82)</f>
        <v>O</v>
      </c>
      <c r="AH741">
        <f>IF('WetLitterbags placem_collection'!AC82="","",'WetLitterbags placem_collection'!AC82)</f>
        <v>1</v>
      </c>
      <c r="AI741">
        <f>IFERROR(AVERAGE('Dry_Litterbag Placem_Collection'!O82,'Dry_Litterbag Placem_Collection'!R82),"")</f>
        <v>11.75</v>
      </c>
      <c r="AJ741" s="268">
        <f>IFERROR(AVERAGE('Dry_Litterbag Placem_Collection'!N82,'Dry_Litterbag Placem_Collection'!Q82),"")</f>
        <v>27.7</v>
      </c>
      <c r="AK741" s="267">
        <f>INDEX(Coordinates!$B$2:$B$197,MATCH(H741,Coordinates!$J$2:$J$197,0))</f>
        <v>-3.3028539920000002</v>
      </c>
      <c r="AL741" s="267">
        <f>INDEX(Coordinates!$C$2:$C$197,MATCH(H741,Coordinates!$J$2:$J$197,0))</f>
        <v>34.847988999999998</v>
      </c>
      <c r="AM741" s="267" t="str">
        <f>IF(ISNUMBER(SEARCH("C", 'Dry_Litterbag Placem_Collection'!V82)),"YES","NO")</f>
        <v>NO</v>
      </c>
      <c r="AN741" s="267" t="str">
        <f>IF(ISNUMBER(SEARCH("H", 'Dry_Litterbag Placem_Collection'!V82)),"YES","NO")</f>
        <v>NO</v>
      </c>
      <c r="AO741" s="267" t="str">
        <f>IF(ISNUMBER(SEARCH("R", 'Dry_Litterbag Placem_Collection'!V82)),"YES","NO")</f>
        <v>NO</v>
      </c>
    </row>
    <row r="742" spans="1:41" ht="15" customHeight="1">
      <c r="A742" s="259" t="s">
        <v>2643</v>
      </c>
      <c r="B742" s="260">
        <f>'Dry_Litterbag Placem_Collection'!A83</f>
        <v>81</v>
      </c>
      <c r="C742" s="260" t="str">
        <f>'Dry_Litterbag Placem_Collection'!B83</f>
        <v>Maswa</v>
      </c>
      <c r="D742" s="260" t="s">
        <v>2643</v>
      </c>
      <c r="E742" s="260" t="s">
        <v>2645</v>
      </c>
      <c r="F742" s="260">
        <v>3</v>
      </c>
      <c r="G742" s="260" t="s">
        <v>3813</v>
      </c>
      <c r="H742" s="261" t="str">
        <f>'Dry_Litterbag Placem_Collection'!C83</f>
        <v>Dry_W3_T1</v>
      </c>
      <c r="I742" s="270" t="s">
        <v>3630</v>
      </c>
      <c r="J742" s="271" t="s">
        <v>298</v>
      </c>
      <c r="K742" s="260" t="str">
        <f>IF(ISBLANK('Dry_Litterbag Placem_Collection'!M83),"","R"&amp;""&amp;'Dry_Litterbag Placem_Collection'!M83)</f>
        <v>R366</v>
      </c>
      <c r="L742" s="264">
        <f>IFERROR(INDEX('Green_rooibos initial weight'!$C$5:$C$2000,MATCH(K742, 'Green_rooibos initial weight'!$A$5:$A$2000,0)),"")</f>
        <v>2.2330000000000001</v>
      </c>
      <c r="M742" s="264">
        <f>IFERROR(L742-(TBIcalc!$Q$9+TBIcalc!$Q$10),"")</f>
        <v>1.9832000000000001</v>
      </c>
      <c r="N742" s="385">
        <f>AVERAGE(Ashed_controlls!$K$12:$K$14)</f>
        <v>2.2816647271287041</v>
      </c>
      <c r="O742" s="264">
        <f t="shared" si="56"/>
        <v>1.9379500251315835</v>
      </c>
      <c r="P742" s="264">
        <f>IFERROR(INDEX('Both teabags AfterDry'!$D$2:$D$2000,MATCH(K742,'Both teabags AfterDry'!$A$2:$A$2000,0)),"")</f>
        <v>1.9832000000000001</v>
      </c>
      <c r="Q742" s="264">
        <f>IFERROR(IF(P742&gt;0,P742-(TBIcalc!$Q$9),""),"")</f>
        <v>1.8326</v>
      </c>
      <c r="R742" s="275">
        <f>IFERROR(INDEX('Ashed teabags dry'!$K$2:$K$2000,MATCH(K742,'Ashed teabags dry'!$A$2:$A$2000,0)),"")</f>
        <v>3.3302497687320054</v>
      </c>
      <c r="S742" s="275">
        <f t="shared" si="57"/>
        <v>1.7715698427382174</v>
      </c>
      <c r="T742" s="265">
        <f>IF('Dry_Litterbag Placem_Collection'!E83="","",'Dry_Litterbag Placem_Collection'!E83)</f>
        <v>42937</v>
      </c>
      <c r="U742" s="265">
        <f>IF('Dry_Litterbag Placem_Collection'!G83="","",'Dry_Litterbag Placem_Collection'!G83)</f>
        <v>43006</v>
      </c>
      <c r="V742" s="266">
        <f t="shared" si="55"/>
        <v>69</v>
      </c>
      <c r="W742" s="264">
        <f t="shared" si="58"/>
        <v>0.15060000000000007</v>
      </c>
      <c r="X742" s="264">
        <f t="shared" si="59"/>
        <v>0.16638018239336616</v>
      </c>
      <c r="Y742" s="268">
        <f>IFERROR(INDEX(Rainfall_Dry!$O$2:$O$217,MATCH(B742, Rainfall_Dry!$A$2:$A$217,0)),"")</f>
        <v>12.563016860999999</v>
      </c>
      <c r="Z742" s="257">
        <v>38.691629007962128</v>
      </c>
      <c r="AA742" s="257">
        <v>26.81299763288143</v>
      </c>
      <c r="AB742" s="257">
        <v>34.495373359156439</v>
      </c>
      <c r="AC742" s="258" t="s">
        <v>2659</v>
      </c>
      <c r="AD742" s="257">
        <v>2.5483587974371611</v>
      </c>
      <c r="AE742">
        <f>IF('WetLitterbags placem_collection'!AB83="","",'WetLitterbags placem_collection'!AB83)</f>
        <v>6.2</v>
      </c>
      <c r="AF742">
        <f>IF('WetLitterbags placem_collection'!Z83="","",'WetLitterbags placem_collection'!Z83)</f>
        <v>13.3</v>
      </c>
      <c r="AG742" s="243" t="str">
        <f>IF('WetLitterbags placem_collection'!AA83="","",'WetLitterbags placem_collection'!AA83)</f>
        <v>O</v>
      </c>
      <c r="AH742">
        <f>IF('WetLitterbags placem_collection'!AC83="","",'WetLitterbags placem_collection'!AC83)</f>
        <v>0</v>
      </c>
      <c r="AI742">
        <f>IFERROR(AVERAGE('Dry_Litterbag Placem_Collection'!O83,'Dry_Litterbag Placem_Collection'!R83),"")</f>
        <v>11.850000000000001</v>
      </c>
      <c r="AJ742" s="268">
        <f>IFERROR(AVERAGE('Dry_Litterbag Placem_Collection'!N83,'Dry_Litterbag Placem_Collection'!Q83),"")</f>
        <v>26.35</v>
      </c>
      <c r="AK742" s="267">
        <f>INDEX(Coordinates!$B$2:$B$197,MATCH(H742,Coordinates!$J$2:$J$197,0))</f>
        <v>-3.2957159630000001</v>
      </c>
      <c r="AL742" s="267">
        <f>INDEX(Coordinates!$C$2:$C$197,MATCH(H742,Coordinates!$J$2:$J$197,0))</f>
        <v>34.852460999999998</v>
      </c>
      <c r="AM742" s="267" t="str">
        <f>IF(ISNUMBER(SEARCH("C", 'Dry_Litterbag Placem_Collection'!V83)),"YES","NO")</f>
        <v>NO</v>
      </c>
      <c r="AN742" s="267" t="str">
        <f>IF(ISNUMBER(SEARCH("H", 'Dry_Litterbag Placem_Collection'!V83)),"YES","NO")</f>
        <v>NO</v>
      </c>
      <c r="AO742" s="267" t="str">
        <f>IF(ISNUMBER(SEARCH("R", 'Dry_Litterbag Placem_Collection'!V83)),"YES","NO")</f>
        <v>NO</v>
      </c>
    </row>
    <row r="743" spans="1:41" ht="15" customHeight="1">
      <c r="A743" s="259" t="s">
        <v>2643</v>
      </c>
      <c r="B743" s="260">
        <f>'Dry_Litterbag Placem_Collection'!A84</f>
        <v>82</v>
      </c>
      <c r="C743" s="260" t="str">
        <f>'Dry_Litterbag Placem_Collection'!B84</f>
        <v>Maswa</v>
      </c>
      <c r="D743" s="260" t="s">
        <v>2643</v>
      </c>
      <c r="E743" s="260" t="s">
        <v>2645</v>
      </c>
      <c r="F743" s="260">
        <v>3</v>
      </c>
      <c r="G743" s="260" t="s">
        <v>3813</v>
      </c>
      <c r="H743" s="261" t="str">
        <f>'Dry_Litterbag Placem_Collection'!C84</f>
        <v>Dry_W3_T2</v>
      </c>
      <c r="I743" s="270" t="s">
        <v>3630</v>
      </c>
      <c r="J743" s="271" t="s">
        <v>298</v>
      </c>
      <c r="K743" s="260" t="str">
        <f>IF(ISBLANK('Dry_Litterbag Placem_Collection'!M84),"","R"&amp;""&amp;'Dry_Litterbag Placem_Collection'!M84)</f>
        <v>R610</v>
      </c>
      <c r="L743" s="264">
        <f>IFERROR(INDEX('Green_rooibos initial weight'!$C$5:$C$2000,MATCH(K743, 'Green_rooibos initial weight'!$A$5:$A$2000,0)),"")</f>
        <v>2.1230000000000002</v>
      </c>
      <c r="M743" s="264">
        <f>IFERROR(L743-(TBIcalc!$Q$9+TBIcalc!$Q$10),"")</f>
        <v>1.8732000000000002</v>
      </c>
      <c r="N743" s="385">
        <f>AVERAGE(Ashed_controlls!$K$12:$K$14)</f>
        <v>2.2816647271287041</v>
      </c>
      <c r="O743" s="264">
        <f t="shared" si="56"/>
        <v>1.8304598563314254</v>
      </c>
      <c r="P743" s="264">
        <f>IFERROR(INDEX('Both teabags AfterDry'!$D$2:$D$2000,MATCH(K743,'Both teabags AfterDry'!$A$2:$A$2000,0)),"")</f>
        <v>1.9097999999999999</v>
      </c>
      <c r="Q743" s="264">
        <f>IFERROR(IF(P743&gt;0,P743-(TBIcalc!$Q$9),""),"")</f>
        <v>1.7591999999999999</v>
      </c>
      <c r="R743" s="275">
        <f>IFERROR(INDEX('Ashed teabags dry'!$K$2:$K$2000,MATCH(K743,'Ashed teabags dry'!$A$2:$A$2000,0)),"")</f>
        <v>2.8992628992631118</v>
      </c>
      <c r="S743" s="275">
        <f t="shared" si="57"/>
        <v>1.7081961670761632</v>
      </c>
      <c r="T743" s="265">
        <f>IF('Dry_Litterbag Placem_Collection'!E84="","",'Dry_Litterbag Placem_Collection'!E84)</f>
        <v>42937</v>
      </c>
      <c r="U743" s="265">
        <f>IF('Dry_Litterbag Placem_Collection'!G84="","",'Dry_Litterbag Placem_Collection'!G84)</f>
        <v>43006</v>
      </c>
      <c r="V743" s="266">
        <f t="shared" si="55"/>
        <v>69</v>
      </c>
      <c r="W743" s="264">
        <f t="shared" si="58"/>
        <v>0.11400000000000032</v>
      </c>
      <c r="X743" s="264">
        <f t="shared" si="59"/>
        <v>0.12226368925526221</v>
      </c>
      <c r="Y743" s="268">
        <f>IFERROR(INDEX(Rainfall_Dry!$O$2:$O$217,MATCH(B743, Rainfall_Dry!$A$2:$A$217,0)),"")</f>
        <v>12.563016860999999</v>
      </c>
      <c r="Z743" s="257">
        <v>38.691629007962128</v>
      </c>
      <c r="AA743" s="257">
        <v>26.81299763288143</v>
      </c>
      <c r="AB743" s="257">
        <v>34.495373359156439</v>
      </c>
      <c r="AC743" s="258" t="s">
        <v>2659</v>
      </c>
      <c r="AD743" s="257">
        <v>3.5483587974371602</v>
      </c>
      <c r="AE743">
        <f>IF('WetLitterbags placem_collection'!AB84="","",'WetLitterbags placem_collection'!AB84)</f>
        <v>2.4</v>
      </c>
      <c r="AF743">
        <f>IF('WetLitterbags placem_collection'!Z84="","",'WetLitterbags placem_collection'!Z84)</f>
        <v>16.600000000000001</v>
      </c>
      <c r="AG743" s="243" t="str">
        <f>IF('WetLitterbags placem_collection'!AA84="","",'WetLitterbags placem_collection'!AA84)</f>
        <v>O</v>
      </c>
      <c r="AH743" t="str">
        <f>IF('WetLitterbags placem_collection'!AC84="","",'WetLitterbags placem_collection'!AC84)</f>
        <v/>
      </c>
      <c r="AI743">
        <f>IFERROR(AVERAGE('Dry_Litterbag Placem_Collection'!O84,'Dry_Litterbag Placem_Collection'!R84),"")</f>
        <v>9.9499999999999993</v>
      </c>
      <c r="AJ743" s="268">
        <f>IFERROR(AVERAGE('Dry_Litterbag Placem_Collection'!N84,'Dry_Litterbag Placem_Collection'!Q84),"")</f>
        <v>25.5</v>
      </c>
      <c r="AK743" s="267">
        <f>INDEX(Coordinates!$B$2:$B$197,MATCH(H743,Coordinates!$J$2:$J$197,0))</f>
        <v>-3.2957230040000001</v>
      </c>
      <c r="AL743" s="267">
        <f>INDEX(Coordinates!$C$2:$C$197,MATCH(H743,Coordinates!$J$2:$J$197,0))</f>
        <v>34.852416990000002</v>
      </c>
      <c r="AM743" s="267" t="str">
        <f>IF(ISNUMBER(SEARCH("C", 'Dry_Litterbag Placem_Collection'!V84)),"YES","NO")</f>
        <v>NO</v>
      </c>
      <c r="AN743" s="267" t="str">
        <f>IF(ISNUMBER(SEARCH("H", 'Dry_Litterbag Placem_Collection'!V84)),"YES","NO")</f>
        <v>NO</v>
      </c>
      <c r="AO743" s="267" t="str">
        <f>IF(ISNUMBER(SEARCH("R", 'Dry_Litterbag Placem_Collection'!V84)),"YES","NO")</f>
        <v>NO</v>
      </c>
    </row>
    <row r="744" spans="1:41" ht="15" customHeight="1">
      <c r="A744" s="259" t="s">
        <v>2643</v>
      </c>
      <c r="B744" s="260">
        <f>'Dry_Litterbag Placem_Collection'!A85</f>
        <v>83</v>
      </c>
      <c r="C744" s="260" t="str">
        <f>'Dry_Litterbag Placem_Collection'!B85</f>
        <v>Maswa</v>
      </c>
      <c r="D744" s="260" t="s">
        <v>2643</v>
      </c>
      <c r="E744" s="260" t="s">
        <v>2645</v>
      </c>
      <c r="F744" s="260">
        <v>3</v>
      </c>
      <c r="G744" s="260" t="s">
        <v>3813</v>
      </c>
      <c r="H744" s="261" t="str">
        <f>'Dry_Litterbag Placem_Collection'!C85</f>
        <v>Dry_W3_T3</v>
      </c>
      <c r="I744" s="270" t="s">
        <v>3630</v>
      </c>
      <c r="J744" s="271" t="s">
        <v>298</v>
      </c>
      <c r="K744" s="260" t="str">
        <f>IF(ISBLANK('Dry_Litterbag Placem_Collection'!M85),"","R"&amp;""&amp;'Dry_Litterbag Placem_Collection'!M85)</f>
        <v>R614</v>
      </c>
      <c r="L744" s="264">
        <f>IFERROR(INDEX('Green_rooibos initial weight'!$C$5:$C$2000,MATCH(K744, 'Green_rooibos initial weight'!$A$5:$A$2000,0)),"")</f>
        <v>2.1459999999999999</v>
      </c>
      <c r="M744" s="264">
        <f>IFERROR(L744-(TBIcalc!$Q$9+TBIcalc!$Q$10),"")</f>
        <v>1.8961999999999999</v>
      </c>
      <c r="N744" s="385">
        <f>AVERAGE(Ashed_controlls!$K$12:$K$14)</f>
        <v>2.2816647271287041</v>
      </c>
      <c r="O744" s="264">
        <f t="shared" si="56"/>
        <v>1.8529350734441854</v>
      </c>
      <c r="P744" s="264">
        <f>IFERROR(INDEX('Both teabags AfterDry'!$D$2:$D$2000,MATCH(K744,'Both teabags AfterDry'!$A$2:$A$2000,0)),"")</f>
        <v>1.9262999999999999</v>
      </c>
      <c r="Q744" s="264">
        <f>IFERROR(IF(P744&gt;0,P744-(TBIcalc!$Q$9),""),"")</f>
        <v>1.7756999999999998</v>
      </c>
      <c r="R744" s="275">
        <f>IFERROR(INDEX('Ashed teabags dry'!$K$2:$K$2000,MATCH(K744,'Ashed teabags dry'!$A$2:$A$2000,0)),"")</f>
        <v>2.629063097514555</v>
      </c>
      <c r="S744" s="275">
        <f t="shared" si="57"/>
        <v>1.729015726577434</v>
      </c>
      <c r="T744" s="265">
        <f>IF('Dry_Litterbag Placem_Collection'!E85="","",'Dry_Litterbag Placem_Collection'!E85)</f>
        <v>42937</v>
      </c>
      <c r="U744" s="265">
        <f>IF('Dry_Litterbag Placem_Collection'!G85="","",'Dry_Litterbag Placem_Collection'!G85)</f>
        <v>43006</v>
      </c>
      <c r="V744" s="266">
        <f t="shared" si="55"/>
        <v>69</v>
      </c>
      <c r="W744" s="264">
        <f t="shared" si="58"/>
        <v>0.12050000000000005</v>
      </c>
      <c r="X744" s="264">
        <f t="shared" si="59"/>
        <v>0.12391934686675143</v>
      </c>
      <c r="Y744" s="268">
        <f>IFERROR(INDEX(Rainfall_Dry!$O$2:$O$217,MATCH(B744, Rainfall_Dry!$A$2:$A$217,0)),"")</f>
        <v>12.563016860999999</v>
      </c>
      <c r="Z744" s="257">
        <v>38.691629007962128</v>
      </c>
      <c r="AA744" s="257">
        <v>26.81299763288143</v>
      </c>
      <c r="AB744" s="257">
        <v>34.495373359156439</v>
      </c>
      <c r="AC744" s="258" t="s">
        <v>2659</v>
      </c>
      <c r="AD744" s="257">
        <v>4.5483587974371602</v>
      </c>
      <c r="AE744">
        <f>IF('WetLitterbags placem_collection'!AB85="","",'WetLitterbags placem_collection'!AB85)</f>
        <v>6.4</v>
      </c>
      <c r="AF744">
        <f>IF('WetLitterbags placem_collection'!Z85="","",'WetLitterbags placem_collection'!Z85)</f>
        <v>42</v>
      </c>
      <c r="AG744" s="243" t="str">
        <f>IF('WetLitterbags placem_collection'!AA85="","",'WetLitterbags placem_collection'!AA85)</f>
        <v>M</v>
      </c>
      <c r="AH744">
        <f>IF('WetLitterbags placem_collection'!AC85="","",'WetLitterbags placem_collection'!AC85)</f>
        <v>1</v>
      </c>
      <c r="AI744">
        <f>IFERROR(AVERAGE('Dry_Litterbag Placem_Collection'!O85,'Dry_Litterbag Placem_Collection'!R85),"")</f>
        <v>10.050000000000001</v>
      </c>
      <c r="AJ744" s="268">
        <f>IFERROR(AVERAGE('Dry_Litterbag Placem_Collection'!N85,'Dry_Litterbag Placem_Collection'!Q85),"")</f>
        <v>26.05</v>
      </c>
      <c r="AK744" s="267">
        <f>INDEX(Coordinates!$B$2:$B$197,MATCH(H744,Coordinates!$J$2:$J$197,0))</f>
        <v>-3.2957430369999998</v>
      </c>
      <c r="AL744" s="267">
        <f>INDEX(Coordinates!$C$2:$C$197,MATCH(H744,Coordinates!$J$2:$J$197,0))</f>
        <v>34.852309030000001</v>
      </c>
      <c r="AM744" s="267" t="str">
        <f>IF(ISNUMBER(SEARCH("C", 'Dry_Litterbag Placem_Collection'!V85)),"YES","NO")</f>
        <v>NO</v>
      </c>
      <c r="AN744" s="267" t="str">
        <f>IF(ISNUMBER(SEARCH("H", 'Dry_Litterbag Placem_Collection'!V85)),"YES","NO")</f>
        <v>NO</v>
      </c>
      <c r="AO744" s="267" t="str">
        <f>IF(ISNUMBER(SEARCH("R", 'Dry_Litterbag Placem_Collection'!V85)),"YES","NO")</f>
        <v>NO</v>
      </c>
    </row>
    <row r="745" spans="1:41" ht="15" customHeight="1">
      <c r="A745" s="259" t="s">
        <v>2643</v>
      </c>
      <c r="B745" s="260">
        <f>'Dry_Litterbag Placem_Collection'!A86</f>
        <v>84</v>
      </c>
      <c r="C745" s="260" t="str">
        <f>'Dry_Litterbag Placem_Collection'!B86</f>
        <v>Maswa</v>
      </c>
      <c r="D745" s="260" t="s">
        <v>2643</v>
      </c>
      <c r="E745" s="260" t="s">
        <v>2645</v>
      </c>
      <c r="F745" s="260">
        <v>3</v>
      </c>
      <c r="G745" s="260" t="s">
        <v>3813</v>
      </c>
      <c r="H745" s="261" t="str">
        <f>'Dry_Litterbag Placem_Collection'!C86</f>
        <v>Dry_W3_T4</v>
      </c>
      <c r="I745" s="270" t="s">
        <v>3630</v>
      </c>
      <c r="J745" s="271" t="s">
        <v>298</v>
      </c>
      <c r="K745" s="260" t="str">
        <f>IF(ISBLANK('Dry_Litterbag Placem_Collection'!M86),"","R"&amp;""&amp;'Dry_Litterbag Placem_Collection'!M86)</f>
        <v>R720</v>
      </c>
      <c r="L745" s="264">
        <f>IFERROR(INDEX('Green_rooibos initial weight'!$C$5:$C$2000,MATCH(K745, 'Green_rooibos initial weight'!$A$5:$A$2000,0)),"")</f>
        <v>2.2080000000000002</v>
      </c>
      <c r="M745" s="264">
        <f>IFERROR(L745-(TBIcalc!$Q$9+TBIcalc!$Q$10),"")</f>
        <v>1.9582000000000002</v>
      </c>
      <c r="N745" s="385">
        <f>AVERAGE(Ashed_controlls!$K$12:$K$14)</f>
        <v>2.2816647271287041</v>
      </c>
      <c r="O745" s="264">
        <f t="shared" si="56"/>
        <v>1.913520441313366</v>
      </c>
      <c r="P745" s="264">
        <f>IFERROR(INDEX('Both teabags AfterDry'!$D$2:$D$2000,MATCH(K745,'Both teabags AfterDry'!$A$2:$A$2000,0)),"")</f>
        <v>1.9978</v>
      </c>
      <c r="Q745" s="264">
        <f>IFERROR(IF(P745&gt;0,P745-(TBIcalc!$Q$9),""),"")</f>
        <v>1.8472</v>
      </c>
      <c r="R745" s="275">
        <f>IFERROR(INDEX('Ashed teabags dry'!$K$2:$K$2000,MATCH(K745,'Ashed teabags dry'!$A$2:$A$2000,0)),"")</f>
        <v>2.5841053144808623</v>
      </c>
      <c r="S745" s="275">
        <f t="shared" si="57"/>
        <v>1.7994664066309094</v>
      </c>
      <c r="T745" s="265">
        <f>IF('Dry_Litterbag Placem_Collection'!E86="","",'Dry_Litterbag Placem_Collection'!E86)</f>
        <v>42937</v>
      </c>
      <c r="U745" s="265">
        <f>IF('Dry_Litterbag Placem_Collection'!G86="","",'Dry_Litterbag Placem_Collection'!G86)</f>
        <v>43006</v>
      </c>
      <c r="V745" s="266">
        <f t="shared" si="55"/>
        <v>69</v>
      </c>
      <c r="W745" s="264">
        <f t="shared" si="58"/>
        <v>0.11100000000000021</v>
      </c>
      <c r="X745" s="264">
        <f t="shared" si="59"/>
        <v>0.11405403468245656</v>
      </c>
      <c r="Y745" s="268">
        <f>IFERROR(INDEX(Rainfall_Dry!$O$2:$O$217,MATCH(B745, Rainfall_Dry!$A$2:$A$217,0)),"")</f>
        <v>12.563016860999999</v>
      </c>
      <c r="Z745" s="257">
        <v>38.691629007962128</v>
      </c>
      <c r="AA745" s="257">
        <v>26.81299763288143</v>
      </c>
      <c r="AB745" s="257">
        <v>34.495373359156439</v>
      </c>
      <c r="AC745" s="258" t="s">
        <v>2659</v>
      </c>
      <c r="AD745" s="257">
        <v>5.5483587974371602</v>
      </c>
      <c r="AE745">
        <f>IF('WetLitterbags placem_collection'!AB86="","",'WetLitterbags placem_collection'!AB86)</f>
        <v>5.5</v>
      </c>
      <c r="AF745">
        <f>IF('WetLitterbags placem_collection'!Z86="","",'WetLitterbags placem_collection'!Z86)</f>
        <v>55.8</v>
      </c>
      <c r="AG745" s="243" t="str">
        <f>IF('WetLitterbags placem_collection'!AA86="","",'WetLitterbags placem_collection'!AA86)</f>
        <v>M</v>
      </c>
      <c r="AH745">
        <f>IF('WetLitterbags placem_collection'!AC86="","",'WetLitterbags placem_collection'!AC86)</f>
        <v>1</v>
      </c>
      <c r="AI745">
        <f>IFERROR(AVERAGE('Dry_Litterbag Placem_Collection'!O86,'Dry_Litterbag Placem_Collection'!R86),"")</f>
        <v>10.15</v>
      </c>
      <c r="AJ745" s="268">
        <f>IFERROR(AVERAGE('Dry_Litterbag Placem_Collection'!N86,'Dry_Litterbag Placem_Collection'!Q86),"")</f>
        <v>26.549999999999997</v>
      </c>
      <c r="AK745" s="267">
        <f>INDEX(Coordinates!$B$2:$B$197,MATCH(H745,Coordinates!$J$2:$J$197,0))</f>
        <v>-3.295795005</v>
      </c>
      <c r="AL745" s="267">
        <f>INDEX(Coordinates!$C$2:$C$197,MATCH(H745,Coordinates!$J$2:$J$197,0))</f>
        <v>34.85232001</v>
      </c>
      <c r="AM745" s="267" t="str">
        <f>IF(ISNUMBER(SEARCH("C", 'Dry_Litterbag Placem_Collection'!V86)),"YES","NO")</f>
        <v>NO</v>
      </c>
      <c r="AN745" s="267" t="str">
        <f>IF(ISNUMBER(SEARCH("H", 'Dry_Litterbag Placem_Collection'!V86)),"YES","NO")</f>
        <v>NO</v>
      </c>
      <c r="AO745" s="267" t="str">
        <f>IF(ISNUMBER(SEARCH("R", 'Dry_Litterbag Placem_Collection'!V86)),"YES","NO")</f>
        <v>NO</v>
      </c>
    </row>
    <row r="746" spans="1:41" ht="15" customHeight="1">
      <c r="A746" s="259" t="s">
        <v>2643</v>
      </c>
      <c r="B746" s="260">
        <f>'Dry_Litterbag Placem_Collection'!A87</f>
        <v>85</v>
      </c>
      <c r="C746" s="260" t="str">
        <f>'Dry_Litterbag Placem_Collection'!B87</f>
        <v>Maswa</v>
      </c>
      <c r="D746" s="260" t="s">
        <v>2643</v>
      </c>
      <c r="E746" s="260" t="s">
        <v>2645</v>
      </c>
      <c r="F746" s="260">
        <v>3</v>
      </c>
      <c r="G746" s="260" t="s">
        <v>3813</v>
      </c>
      <c r="H746" s="261" t="str">
        <f>'Dry_Litterbag Placem_Collection'!C87</f>
        <v>Dry_W3_T5</v>
      </c>
      <c r="I746" s="270" t="s">
        <v>3630</v>
      </c>
      <c r="J746" s="271" t="s">
        <v>298</v>
      </c>
      <c r="K746" s="260" t="str">
        <f>IF(ISBLANK('Dry_Litterbag Placem_Collection'!M87),"","R"&amp;""&amp;'Dry_Litterbag Placem_Collection'!M87)</f>
        <v/>
      </c>
      <c r="L746" s="264" t="str">
        <f>IFERROR(INDEX('Green_rooibos initial weight'!$C$5:$C$2000,MATCH(K746, 'Green_rooibos initial weight'!$A$5:$A$2000,0)),"")</f>
        <v/>
      </c>
      <c r="M746" s="264" t="str">
        <f>IFERROR(L746-(TBIcalc!$Q$9+TBIcalc!$Q$10),"")</f>
        <v/>
      </c>
      <c r="N746" s="385">
        <f>AVERAGE(Ashed_controlls!$K$12:$K$14)</f>
        <v>2.2816647271287041</v>
      </c>
      <c r="O746" s="264" t="str">
        <f t="shared" si="56"/>
        <v/>
      </c>
      <c r="P746" s="264" t="str">
        <f>IFERROR(INDEX('Both teabags AfterDry'!$D$2:$D$2000,MATCH(K746,'Both teabags AfterDry'!$A$2:$A$2000,0)),"")</f>
        <v/>
      </c>
      <c r="Q746" s="264" t="str">
        <f>IFERROR(IF(P746&gt;0,P746-(TBIcalc!$Q$9),""),"")</f>
        <v/>
      </c>
      <c r="R746" s="275" t="str">
        <f>IFERROR(INDEX('Ashed teabags dry'!$K$2:$K$2000,MATCH(K746,'Ashed teabags dry'!$A$2:$A$2000,0)),"")</f>
        <v/>
      </c>
      <c r="S746" s="275" t="str">
        <f t="shared" si="57"/>
        <v/>
      </c>
      <c r="T746" s="265" t="str">
        <f>IF('Dry_Litterbag Placem_Collection'!E87="","",'Dry_Litterbag Placem_Collection'!E87)</f>
        <v/>
      </c>
      <c r="U746" s="265" t="str">
        <f>IF('Dry_Litterbag Placem_Collection'!G87="","",'Dry_Litterbag Placem_Collection'!G87)</f>
        <v/>
      </c>
      <c r="V746" s="266" t="str">
        <f t="shared" si="55"/>
        <v/>
      </c>
      <c r="W746" s="264" t="str">
        <f t="shared" si="58"/>
        <v/>
      </c>
      <c r="X746" s="264" t="str">
        <f t="shared" si="59"/>
        <v/>
      </c>
      <c r="Y746" s="268" t="str">
        <f>IFERROR(INDEX(Rainfall_Dry!$O$2:$O$217,MATCH(B746, Rainfall_Dry!$A$2:$A$217,0)),"")</f>
        <v/>
      </c>
      <c r="Z746" s="257">
        <v>38.691629007962128</v>
      </c>
      <c r="AA746" s="257">
        <v>26.81299763288143</v>
      </c>
      <c r="AB746" s="257">
        <v>34.495373359156439</v>
      </c>
      <c r="AC746" s="258" t="s">
        <v>2659</v>
      </c>
      <c r="AD746" s="257">
        <v>6.5483587974371602</v>
      </c>
      <c r="AE746">
        <f>IF('WetLitterbags placem_collection'!AB87="","",'WetLitterbags placem_collection'!AB87)</f>
        <v>8.6</v>
      </c>
      <c r="AF746">
        <f>IF('WetLitterbags placem_collection'!Z87="","",'WetLitterbags placem_collection'!Z87)</f>
        <v>3.8</v>
      </c>
      <c r="AG746" s="243" t="str">
        <f>IF('WetLitterbags placem_collection'!AA87="","",'WetLitterbags placem_collection'!AA87)</f>
        <v>O</v>
      </c>
      <c r="AH746">
        <f>IF('WetLitterbags placem_collection'!AC87="","",'WetLitterbags placem_collection'!AC87)</f>
        <v>0</v>
      </c>
      <c r="AI746" t="str">
        <f>IFERROR(AVERAGE('Dry_Litterbag Placem_Collection'!O87,'Dry_Litterbag Placem_Collection'!R87),"")</f>
        <v/>
      </c>
      <c r="AJ746" s="268" t="str">
        <f>IFERROR(AVERAGE('Dry_Litterbag Placem_Collection'!N87,'Dry_Litterbag Placem_Collection'!Q87),"")</f>
        <v/>
      </c>
      <c r="AK746" s="267">
        <f>INDEX(Coordinates!$B$2:$B$197,MATCH(H746,Coordinates!$J$2:$J$197,0))</f>
        <v>-3.2957100119999998</v>
      </c>
      <c r="AL746" s="267">
        <f>INDEX(Coordinates!$C$2:$C$197,MATCH(H746,Coordinates!$J$2:$J$197,0))</f>
        <v>34.852283970000002</v>
      </c>
      <c r="AM746" s="267" t="str">
        <f>IF(ISNUMBER(SEARCH("C", 'Dry_Litterbag Placem_Collection'!V87)),"YES","NO")</f>
        <v>NO</v>
      </c>
      <c r="AN746" s="267" t="str">
        <f>IF(ISNUMBER(SEARCH("H", 'Dry_Litterbag Placem_Collection'!V87)),"YES","NO")</f>
        <v>NO</v>
      </c>
      <c r="AO746" s="267" t="str">
        <f>IF(ISNUMBER(SEARCH("R", 'Dry_Litterbag Placem_Collection'!V87)),"YES","NO")</f>
        <v>NO</v>
      </c>
    </row>
    <row r="747" spans="1:41" ht="15" customHeight="1">
      <c r="A747" s="259" t="s">
        <v>2643</v>
      </c>
      <c r="B747" s="260">
        <f>'Dry_Litterbag Placem_Collection'!A88</f>
        <v>86</v>
      </c>
      <c r="C747" s="260" t="str">
        <f>'Dry_Litterbag Placem_Collection'!B88</f>
        <v>Maswa</v>
      </c>
      <c r="D747" s="260" t="s">
        <v>2643</v>
      </c>
      <c r="E747" s="260" t="s">
        <v>2645</v>
      </c>
      <c r="F747" s="260">
        <v>3</v>
      </c>
      <c r="G747" s="260" t="s">
        <v>3813</v>
      </c>
      <c r="H747" s="261" t="str">
        <f>'Dry_Litterbag Placem_Collection'!C88</f>
        <v>Dry_W3_T6</v>
      </c>
      <c r="I747" s="270" t="s">
        <v>3630</v>
      </c>
      <c r="J747" s="271" t="s">
        <v>298</v>
      </c>
      <c r="K747" s="260" t="str">
        <f>IF(ISBLANK('Dry_Litterbag Placem_Collection'!M88),"","R"&amp;""&amp;'Dry_Litterbag Placem_Collection'!M88)</f>
        <v>R643</v>
      </c>
      <c r="L747" s="264">
        <f>IFERROR(INDEX('Green_rooibos initial weight'!$C$5:$C$2000,MATCH(K747, 'Green_rooibos initial weight'!$A$5:$A$2000,0)),"")</f>
        <v>2.1930000000000001</v>
      </c>
      <c r="M747" s="264">
        <f>IFERROR(L747-(TBIcalc!$Q$9+TBIcalc!$Q$10),"")</f>
        <v>1.9432</v>
      </c>
      <c r="N747" s="385">
        <f>AVERAGE(Ashed_controlls!$K$12:$K$14)</f>
        <v>2.2816647271287041</v>
      </c>
      <c r="O747" s="264">
        <f t="shared" si="56"/>
        <v>1.8988626910224351</v>
      </c>
      <c r="P747" s="264" t="str">
        <f>IFERROR(INDEX('Both teabags AfterDry'!$D$2:$D$2000,MATCH(K747,'Both teabags AfterDry'!$A$2:$A$2000,0)),"")</f>
        <v/>
      </c>
      <c r="Q747" s="264" t="str">
        <f>IFERROR(IF(P747&gt;0,P747-(TBIcalc!$Q$9),""),"")</f>
        <v/>
      </c>
      <c r="R747" s="275" t="str">
        <f>IFERROR(INDEX('Ashed teabags dry'!$K$2:$K$2000,MATCH(K747,'Ashed teabags dry'!$A$2:$A$2000,0)),"")</f>
        <v/>
      </c>
      <c r="S747" s="275" t="str">
        <f t="shared" si="57"/>
        <v/>
      </c>
      <c r="T747" s="265">
        <f>IF('Dry_Litterbag Placem_Collection'!E88="","",'Dry_Litterbag Placem_Collection'!E88)</f>
        <v>42937</v>
      </c>
      <c r="U747" s="265">
        <f>IF('Dry_Litterbag Placem_Collection'!G88="","",'Dry_Litterbag Placem_Collection'!G88)</f>
        <v>43006</v>
      </c>
      <c r="V747" s="266">
        <f t="shared" si="55"/>
        <v>69</v>
      </c>
      <c r="W747" s="264" t="str">
        <f t="shared" si="58"/>
        <v/>
      </c>
      <c r="X747" s="264" t="str">
        <f t="shared" si="59"/>
        <v/>
      </c>
      <c r="Y747" s="268">
        <f>IFERROR(INDEX(Rainfall_Dry!$O$2:$O$217,MATCH(B747, Rainfall_Dry!$A$2:$A$217,0)),"")</f>
        <v>12.563016860999999</v>
      </c>
      <c r="Z747" s="257">
        <v>38.691629007962128</v>
      </c>
      <c r="AA747" s="257">
        <v>26.81299763288143</v>
      </c>
      <c r="AB747" s="257">
        <v>34.495373359156439</v>
      </c>
      <c r="AC747" s="258" t="s">
        <v>2659</v>
      </c>
      <c r="AD747" s="257">
        <v>7.5483587974371602</v>
      </c>
      <c r="AE747">
        <f>IF('WetLitterbags placem_collection'!AB88="","",'WetLitterbags placem_collection'!AB88)</f>
        <v>3.7</v>
      </c>
      <c r="AF747">
        <f>IF('WetLitterbags placem_collection'!Z88="","",'WetLitterbags placem_collection'!Z88)</f>
        <v>7.5</v>
      </c>
      <c r="AG747" s="243" t="str">
        <f>IF('WetLitterbags placem_collection'!AA88="","",'WetLitterbags placem_collection'!AA88)</f>
        <v>O</v>
      </c>
      <c r="AH747">
        <f>IF('WetLitterbags placem_collection'!AC88="","",'WetLitterbags placem_collection'!AC88)</f>
        <v>0</v>
      </c>
      <c r="AI747">
        <f>IFERROR(AVERAGE('Dry_Litterbag Placem_Collection'!O88,'Dry_Litterbag Placem_Collection'!R88),"")</f>
        <v>11.75</v>
      </c>
      <c r="AJ747" s="268">
        <f>IFERROR(AVERAGE('Dry_Litterbag Placem_Collection'!N88,'Dry_Litterbag Placem_Collection'!Q88),"")</f>
        <v>26.9</v>
      </c>
      <c r="AK747" s="267">
        <f>INDEX(Coordinates!$B$2:$B$197,MATCH(H747,Coordinates!$J$2:$J$197,0))</f>
        <v>-3.2956140399999998</v>
      </c>
      <c r="AL747" s="267">
        <f>INDEX(Coordinates!$C$2:$C$197,MATCH(H747,Coordinates!$J$2:$J$197,0))</f>
        <v>34.852137030000002</v>
      </c>
      <c r="AM747" s="267" t="str">
        <f>IF(ISNUMBER(SEARCH("C", 'Dry_Litterbag Placem_Collection'!V88)),"YES","NO")</f>
        <v>NO</v>
      </c>
      <c r="AN747" s="267" t="str">
        <f>IF(ISNUMBER(SEARCH("H", 'Dry_Litterbag Placem_Collection'!V88)),"YES","NO")</f>
        <v>NO</v>
      </c>
      <c r="AO747" s="267" t="str">
        <f>IF(ISNUMBER(SEARCH("R", 'Dry_Litterbag Placem_Collection'!V88)),"YES","NO")</f>
        <v>NO</v>
      </c>
    </row>
    <row r="748" spans="1:41" ht="15" customHeight="1">
      <c r="A748" s="259" t="s">
        <v>2643</v>
      </c>
      <c r="B748" s="260">
        <f>'Dry_Litterbag Placem_Collection'!A89</f>
        <v>87</v>
      </c>
      <c r="C748" s="260" t="str">
        <f>'Dry_Litterbag Placem_Collection'!B89</f>
        <v>Maswa</v>
      </c>
      <c r="D748" s="260" t="s">
        <v>2643</v>
      </c>
      <c r="E748" s="260" t="s">
        <v>2645</v>
      </c>
      <c r="F748" s="260">
        <v>3</v>
      </c>
      <c r="G748" s="260" t="s">
        <v>3813</v>
      </c>
      <c r="H748" s="261" t="str">
        <f>'Dry_Litterbag Placem_Collection'!C89</f>
        <v>Dry_W3_T7</v>
      </c>
      <c r="I748" s="270" t="s">
        <v>3630</v>
      </c>
      <c r="J748" s="271" t="s">
        <v>298</v>
      </c>
      <c r="K748" s="260" t="str">
        <f>IF(ISBLANK('Dry_Litterbag Placem_Collection'!M89),"","R"&amp;""&amp;'Dry_Litterbag Placem_Collection'!M89)</f>
        <v>R277</v>
      </c>
      <c r="L748" s="264">
        <f>IFERROR(INDEX('Green_rooibos initial weight'!$C$5:$C$2000,MATCH(K748, 'Green_rooibos initial weight'!$A$5:$A$2000,0)),"")</f>
        <v>2.1949999999999998</v>
      </c>
      <c r="M748" s="264">
        <f>IFERROR(L748-(TBIcalc!$Q$9+TBIcalc!$Q$10),"")</f>
        <v>1.9451999999999998</v>
      </c>
      <c r="N748" s="385">
        <f>AVERAGE(Ashed_controlls!$K$12:$K$14)</f>
        <v>2.2816647271287041</v>
      </c>
      <c r="O748" s="264">
        <f t="shared" si="56"/>
        <v>1.9008170577278922</v>
      </c>
      <c r="P748" s="264">
        <f>IFERROR(INDEX('Both teabags AfterDry'!$D$2:$D$2000,MATCH(K748,'Both teabags AfterDry'!$A$2:$A$2000,0)),"")</f>
        <v>1.9473</v>
      </c>
      <c r="Q748" s="264">
        <f>IFERROR(IF(P748&gt;0,P748-(TBIcalc!$Q$9),""),"")</f>
        <v>1.7967</v>
      </c>
      <c r="R748" s="275">
        <f>IFERROR(INDEX('Ashed teabags dry'!$K$2:$K$2000,MATCH(K748,'Ashed teabags dry'!$A$2:$A$2000,0)),"")</f>
        <v>2.1385402138541729</v>
      </c>
      <c r="S748" s="275">
        <f t="shared" si="57"/>
        <v>1.758276847977682</v>
      </c>
      <c r="T748" s="265">
        <f>IF('Dry_Litterbag Placem_Collection'!E89="","",'Dry_Litterbag Placem_Collection'!E89)</f>
        <v>42937</v>
      </c>
      <c r="U748" s="265">
        <f>IF('Dry_Litterbag Placem_Collection'!G89="","",'Dry_Litterbag Placem_Collection'!G89)</f>
        <v>43006</v>
      </c>
      <c r="V748" s="266">
        <f t="shared" si="55"/>
        <v>69</v>
      </c>
      <c r="W748" s="264">
        <f t="shared" si="58"/>
        <v>0.14849999999999985</v>
      </c>
      <c r="X748" s="264">
        <f t="shared" si="59"/>
        <v>0.1425402097502102</v>
      </c>
      <c r="Y748" s="268">
        <f>IFERROR(INDEX(Rainfall_Dry!$O$2:$O$217,MATCH(B748, Rainfall_Dry!$A$2:$A$217,0)),"")</f>
        <v>12.563016860999999</v>
      </c>
      <c r="Z748" s="257">
        <v>38.691629007962128</v>
      </c>
      <c r="AA748" s="257">
        <v>26.81299763288143</v>
      </c>
      <c r="AB748" s="257">
        <v>34.495373359156439</v>
      </c>
      <c r="AC748" s="258" t="s">
        <v>2659</v>
      </c>
      <c r="AD748" s="257">
        <v>8.5483587974371602</v>
      </c>
      <c r="AE748">
        <f>IF('WetLitterbags placem_collection'!AB89="","",'WetLitterbags placem_collection'!AB89)</f>
        <v>7.5</v>
      </c>
      <c r="AF748">
        <f>IF('WetLitterbags placem_collection'!Z89="","",'WetLitterbags placem_collection'!Z89)</f>
        <v>12.6</v>
      </c>
      <c r="AG748" s="243" t="str">
        <f>IF('WetLitterbags placem_collection'!AA89="","",'WetLitterbags placem_collection'!AA89)</f>
        <v>O</v>
      </c>
      <c r="AH748">
        <f>IF('WetLitterbags placem_collection'!AC89="","",'WetLitterbags placem_collection'!AC89)</f>
        <v>1</v>
      </c>
      <c r="AI748">
        <f>IFERROR(AVERAGE('Dry_Litterbag Placem_Collection'!O89,'Dry_Litterbag Placem_Collection'!R89),"")</f>
        <v>10.65</v>
      </c>
      <c r="AJ748" s="268">
        <f>IFERROR(AVERAGE('Dry_Litterbag Placem_Collection'!N89,'Dry_Litterbag Placem_Collection'!Q89),"")</f>
        <v>24.3</v>
      </c>
      <c r="AK748" s="267">
        <f>INDEX(Coordinates!$B$2:$B$197,MATCH(H748,Coordinates!$J$2:$J$197,0))</f>
        <v>-3.295904975</v>
      </c>
      <c r="AL748" s="267">
        <f>INDEX(Coordinates!$C$2:$C$197,MATCH(H748,Coordinates!$J$2:$J$197,0))</f>
        <v>34.852136029999997</v>
      </c>
      <c r="AM748" s="267" t="str">
        <f>IF(ISNUMBER(SEARCH("C", 'Dry_Litterbag Placem_Collection'!V89)),"YES","NO")</f>
        <v>NO</v>
      </c>
      <c r="AN748" s="267" t="str">
        <f>IF(ISNUMBER(SEARCH("H", 'Dry_Litterbag Placem_Collection'!V89)),"YES","NO")</f>
        <v>NO</v>
      </c>
      <c r="AO748" s="267" t="str">
        <f>IF(ISNUMBER(SEARCH("R", 'Dry_Litterbag Placem_Collection'!V89)),"YES","NO")</f>
        <v>NO</v>
      </c>
    </row>
    <row r="749" spans="1:41" ht="15" customHeight="1">
      <c r="A749" s="259" t="s">
        <v>2643</v>
      </c>
      <c r="B749" s="260">
        <f>'Dry_Litterbag Placem_Collection'!A90</f>
        <v>88</v>
      </c>
      <c r="C749" s="260" t="str">
        <f>'Dry_Litterbag Placem_Collection'!B90</f>
        <v>Maswa</v>
      </c>
      <c r="D749" s="260" t="s">
        <v>2643</v>
      </c>
      <c r="E749" s="260" t="s">
        <v>2645</v>
      </c>
      <c r="F749" s="260">
        <v>3</v>
      </c>
      <c r="G749" s="260" t="s">
        <v>3813</v>
      </c>
      <c r="H749" s="261" t="str">
        <f>'Dry_Litterbag Placem_Collection'!C90</f>
        <v>Dry_W3_T8</v>
      </c>
      <c r="I749" s="270" t="s">
        <v>3630</v>
      </c>
      <c r="J749" s="271" t="s">
        <v>298</v>
      </c>
      <c r="K749" s="260" t="str">
        <f>IF(ISBLANK('Dry_Litterbag Placem_Collection'!M90),"","R"&amp;""&amp;'Dry_Litterbag Placem_Collection'!M90)</f>
        <v>R197</v>
      </c>
      <c r="L749" s="264">
        <f>IFERROR(INDEX('Green_rooibos initial weight'!$C$5:$C$2000,MATCH(K749, 'Green_rooibos initial weight'!$A$5:$A$2000,0)),"")</f>
        <v>2.2330000000000001</v>
      </c>
      <c r="M749" s="264">
        <f>IFERROR(L749-(TBIcalc!$Q$9+TBIcalc!$Q$10),"")</f>
        <v>1.9832000000000001</v>
      </c>
      <c r="N749" s="385">
        <f>AVERAGE(Ashed_controlls!$K$12:$K$14)</f>
        <v>2.2816647271287041</v>
      </c>
      <c r="O749" s="264">
        <f t="shared" si="56"/>
        <v>1.9379500251315835</v>
      </c>
      <c r="P749" s="264">
        <f>IFERROR(INDEX('Both teabags AfterDry'!$D$2:$D$2000,MATCH(K749,'Both teabags AfterDry'!$A$2:$A$2000,0)),"")</f>
        <v>1.9945999999999999</v>
      </c>
      <c r="Q749" s="264">
        <f>IFERROR(IF(P749&gt;0,P749-(TBIcalc!$Q$9),""),"")</f>
        <v>1.8439999999999999</v>
      </c>
      <c r="R749" s="275">
        <f>IFERROR(INDEX('Ashed teabags dry'!$K$2:$K$2000,MATCH(K749,'Ashed teabags dry'!$A$2:$A$2000,0)),"")</f>
        <v>1.9186843307443828</v>
      </c>
      <c r="S749" s="275">
        <f t="shared" si="57"/>
        <v>1.8086194609410735</v>
      </c>
      <c r="T749" s="265">
        <f>IF('Dry_Litterbag Placem_Collection'!E90="","",'Dry_Litterbag Placem_Collection'!E90)</f>
        <v>42937</v>
      </c>
      <c r="U749" s="265">
        <f>IF('Dry_Litterbag Placem_Collection'!G90="","",'Dry_Litterbag Placem_Collection'!G90)</f>
        <v>43006</v>
      </c>
      <c r="V749" s="266">
        <f t="shared" si="55"/>
        <v>69</v>
      </c>
      <c r="W749" s="264">
        <f t="shared" si="58"/>
        <v>0.13920000000000021</v>
      </c>
      <c r="X749" s="264">
        <f t="shared" si="59"/>
        <v>0.12933056419051003</v>
      </c>
      <c r="Y749" s="268">
        <f>IFERROR(INDEX(Rainfall_Dry!$O$2:$O$217,MATCH(B749, Rainfall_Dry!$A$2:$A$217,0)),"")</f>
        <v>12.563016860999999</v>
      </c>
      <c r="Z749" s="257">
        <v>38.691629007962128</v>
      </c>
      <c r="AA749" s="257">
        <v>26.81299763288143</v>
      </c>
      <c r="AB749" s="257">
        <v>34.495373359156439</v>
      </c>
      <c r="AC749" s="258" t="s">
        <v>2659</v>
      </c>
      <c r="AD749" s="257">
        <v>9.5483587974371602</v>
      </c>
      <c r="AE749" t="str">
        <f>IF('WetLitterbags placem_collection'!AB90="","",'WetLitterbags placem_collection'!AB90)</f>
        <v/>
      </c>
      <c r="AF749" t="str">
        <f>IF('WetLitterbags placem_collection'!Z90="","",'WetLitterbags placem_collection'!Z90)</f>
        <v/>
      </c>
      <c r="AG749" s="243" t="str">
        <f>IF('WetLitterbags placem_collection'!AA90="","",'WetLitterbags placem_collection'!AA90)</f>
        <v/>
      </c>
      <c r="AH749" t="str">
        <f>IF('WetLitterbags placem_collection'!AC90="","",'WetLitterbags placem_collection'!AC90)</f>
        <v/>
      </c>
      <c r="AI749">
        <f>IFERROR(AVERAGE('Dry_Litterbag Placem_Collection'!O90,'Dry_Litterbag Placem_Collection'!R90),"")</f>
        <v>11.7</v>
      </c>
      <c r="AJ749" s="268">
        <f>IFERROR(AVERAGE('Dry_Litterbag Placem_Collection'!N90,'Dry_Litterbag Placem_Collection'!Q90),"")</f>
        <v>26.049999999999997</v>
      </c>
      <c r="AK749" s="267">
        <f>INDEX(Coordinates!$B$2:$B$197,MATCH(H749,Coordinates!$J$2:$J$197,0))</f>
        <v>-3.2959530039999998</v>
      </c>
      <c r="AL749" s="267">
        <f>INDEX(Coordinates!$C$2:$C$197,MATCH(H749,Coordinates!$J$2:$J$197,0))</f>
        <v>34.85242504</v>
      </c>
      <c r="AM749" s="267" t="str">
        <f>IF(ISNUMBER(SEARCH("C", 'Dry_Litterbag Placem_Collection'!V90)),"YES","NO")</f>
        <v>NO</v>
      </c>
      <c r="AN749" s="267" t="str">
        <f>IF(ISNUMBER(SEARCH("H", 'Dry_Litterbag Placem_Collection'!V90)),"YES","NO")</f>
        <v>NO</v>
      </c>
      <c r="AO749" s="267" t="str">
        <f>IF(ISNUMBER(SEARCH("R", 'Dry_Litterbag Placem_Collection'!V90)),"YES","NO")</f>
        <v>NO</v>
      </c>
    </row>
    <row r="750" spans="1:41" ht="15" customHeight="1">
      <c r="A750" s="259" t="s">
        <v>2643</v>
      </c>
      <c r="B750" s="260">
        <f>'Dry_Litterbag Placem_Collection'!A91</f>
        <v>89</v>
      </c>
      <c r="C750" s="260" t="str">
        <f>'Dry_Litterbag Placem_Collection'!B91</f>
        <v>Maswa</v>
      </c>
      <c r="D750" s="260" t="s">
        <v>2643</v>
      </c>
      <c r="E750" s="260" t="s">
        <v>2645</v>
      </c>
      <c r="F750" s="260">
        <v>4</v>
      </c>
      <c r="G750" s="260" t="s">
        <v>3814</v>
      </c>
      <c r="H750" s="261" t="str">
        <f>'Dry_Litterbag Placem_Collection'!C91</f>
        <v>Dry_W4_T1</v>
      </c>
      <c r="I750" s="270" t="s">
        <v>3630</v>
      </c>
      <c r="J750" s="271" t="s">
        <v>298</v>
      </c>
      <c r="K750" s="260" t="str">
        <f>IF(ISBLANK('Dry_Litterbag Placem_Collection'!M91),"","R"&amp;""&amp;'Dry_Litterbag Placem_Collection'!M91)</f>
        <v>R841</v>
      </c>
      <c r="L750" s="264">
        <f>IFERROR(INDEX('Green_rooibos initial weight'!$C$5:$C$2000,MATCH(K750, 'Green_rooibos initial weight'!$A$5:$A$2000,0)),"")</f>
        <v>2.13</v>
      </c>
      <c r="M750" s="264">
        <f>IFERROR(L750-(TBIcalc!$Q$9+TBIcalc!$Q$10),"")</f>
        <v>1.8801999999999999</v>
      </c>
      <c r="N750" s="385">
        <f>AVERAGE(Ashed_controlls!$K$12:$K$14)</f>
        <v>2.2816647271287041</v>
      </c>
      <c r="O750" s="264">
        <f t="shared" si="56"/>
        <v>1.837300139800526</v>
      </c>
      <c r="P750" s="264">
        <f>IFERROR(INDEX('Both teabags AfterDry'!$D$2:$D$2000,MATCH(K750,'Both teabags AfterDry'!$A$2:$A$2000,0)),"")</f>
        <v>1.9592000000000001</v>
      </c>
      <c r="Q750" s="264">
        <f>IFERROR(IF(P750&gt;0,P750-(TBIcalc!$Q$9),""),"")</f>
        <v>1.8086</v>
      </c>
      <c r="R750" s="275">
        <f>IFERROR(INDEX('Ashed teabags dry'!$K$2:$K$2000,MATCH(K750,'Ashed teabags dry'!$A$2:$A$2000,0)),"")</f>
        <v>1.8271604938270138</v>
      </c>
      <c r="S750" s="275">
        <f t="shared" si="57"/>
        <v>1.7755539753086447</v>
      </c>
      <c r="T750" s="265">
        <f>IF('Dry_Litterbag Placem_Collection'!E91="","",'Dry_Litterbag Placem_Collection'!E91)</f>
        <v>42937</v>
      </c>
      <c r="U750" s="265">
        <f>IF('Dry_Litterbag Placem_Collection'!G91="","",'Dry_Litterbag Placem_Collection'!G91)</f>
        <v>43006</v>
      </c>
      <c r="V750" s="266">
        <f t="shared" si="55"/>
        <v>69</v>
      </c>
      <c r="W750" s="264">
        <f t="shared" si="58"/>
        <v>7.1599999999999886E-2</v>
      </c>
      <c r="X750" s="264">
        <f t="shared" si="59"/>
        <v>6.1746164491881306E-2</v>
      </c>
      <c r="Y750" s="268">
        <f>IFERROR(INDEX(Rainfall_Dry!$O$2:$O$217,MATCH(B750, Rainfall_Dry!$A$2:$A$217,0)),"")</f>
        <v>12.563016860999999</v>
      </c>
      <c r="Z750" s="257">
        <v>28.145762029394</v>
      </c>
      <c r="AA750" s="257">
        <v>25.085564727199518</v>
      </c>
      <c r="AB750" s="257">
        <v>46.768673243406489</v>
      </c>
      <c r="AC750" s="258" t="s">
        <v>2654</v>
      </c>
      <c r="AD750" s="257">
        <v>2.1716214884179394</v>
      </c>
      <c r="AE750">
        <f>IF('WetLitterbags placem_collection'!AB91="","",'WetLitterbags placem_collection'!AB91)</f>
        <v>7.3</v>
      </c>
      <c r="AF750">
        <f>IF('WetLitterbags placem_collection'!Z91="","",'WetLitterbags placem_collection'!Z91)</f>
        <v>35.799999999999997</v>
      </c>
      <c r="AG750" s="243" t="str">
        <f>IF('WetLitterbags placem_collection'!AA91="","",'WetLitterbags placem_collection'!AA91)</f>
        <v>O</v>
      </c>
      <c r="AH750">
        <f>IF('WetLitterbags placem_collection'!AC91="","",'WetLitterbags placem_collection'!AC91)</f>
        <v>0</v>
      </c>
      <c r="AI750">
        <f>IFERROR(AVERAGE('Dry_Litterbag Placem_Collection'!O91,'Dry_Litterbag Placem_Collection'!R91),"")</f>
        <v>10.5</v>
      </c>
      <c r="AJ750" s="268">
        <f>IFERROR(AVERAGE('Dry_Litterbag Placem_Collection'!N91,'Dry_Litterbag Placem_Collection'!Q91),"")</f>
        <v>26.6</v>
      </c>
      <c r="AK750" s="267">
        <f>INDEX(Coordinates!$B$2:$B$197,MATCH(H750,Coordinates!$J$2:$J$197,0))</f>
        <v>-3.2966709980000002</v>
      </c>
      <c r="AL750" s="267">
        <f>INDEX(Coordinates!$C$2:$C$197,MATCH(H750,Coordinates!$J$2:$J$197,0))</f>
        <v>34.854407019999996</v>
      </c>
      <c r="AM750" s="267" t="str">
        <f>IF(ISNUMBER(SEARCH("C", 'Dry_Litterbag Placem_Collection'!V91)),"YES","NO")</f>
        <v>NO</v>
      </c>
      <c r="AN750" s="267" t="str">
        <f>IF(ISNUMBER(SEARCH("H", 'Dry_Litterbag Placem_Collection'!V91)),"YES","NO")</f>
        <v>NO</v>
      </c>
      <c r="AO750" s="267" t="str">
        <f>IF(ISNUMBER(SEARCH("R", 'Dry_Litterbag Placem_Collection'!V91)),"YES","NO")</f>
        <v>NO</v>
      </c>
    </row>
    <row r="751" spans="1:41" ht="15" customHeight="1">
      <c r="A751" s="259" t="s">
        <v>2643</v>
      </c>
      <c r="B751" s="260">
        <f>'Dry_Litterbag Placem_Collection'!A92</f>
        <v>90</v>
      </c>
      <c r="C751" s="260" t="str">
        <f>'Dry_Litterbag Placem_Collection'!B92</f>
        <v>Maswa</v>
      </c>
      <c r="D751" s="260" t="s">
        <v>2643</v>
      </c>
      <c r="E751" s="260" t="s">
        <v>2645</v>
      </c>
      <c r="F751" s="260">
        <v>4</v>
      </c>
      <c r="G751" s="260" t="s">
        <v>3814</v>
      </c>
      <c r="H751" s="261" t="str">
        <f>'Dry_Litterbag Placem_Collection'!C92</f>
        <v>Dry_W4_T2</v>
      </c>
      <c r="I751" s="270" t="s">
        <v>3630</v>
      </c>
      <c r="J751" s="271" t="s">
        <v>298</v>
      </c>
      <c r="K751" s="260" t="str">
        <f>IF(ISBLANK('Dry_Litterbag Placem_Collection'!M92),"","R"&amp;""&amp;'Dry_Litterbag Placem_Collection'!M92)</f>
        <v>R220</v>
      </c>
      <c r="L751" s="264">
        <f>IFERROR(INDEX('Green_rooibos initial weight'!$C$5:$C$2000,MATCH(K751, 'Green_rooibos initial weight'!$A$5:$A$2000,0)),"")</f>
        <v>2.2269999999999999</v>
      </c>
      <c r="M751" s="264">
        <f>IFERROR(L751-(TBIcalc!$Q$9+TBIcalc!$Q$10),"")</f>
        <v>1.9771999999999998</v>
      </c>
      <c r="N751" s="385">
        <f>AVERAGE(Ashed_controlls!$K$12:$K$14)</f>
        <v>2.2816647271287041</v>
      </c>
      <c r="O751" s="264">
        <f t="shared" si="56"/>
        <v>1.9320869250152111</v>
      </c>
      <c r="P751" s="264" t="str">
        <f>IFERROR(INDEX('Both teabags AfterDry'!$D$2:$D$2000,MATCH(K751,'Both teabags AfterDry'!$A$2:$A$2000,0)),"")</f>
        <v/>
      </c>
      <c r="Q751" s="264" t="str">
        <f>IFERROR(IF(P751&gt;0,P751-(TBIcalc!$Q$9),""),"")</f>
        <v/>
      </c>
      <c r="R751" s="275" t="str">
        <f>IFERROR(INDEX('Ashed teabags dry'!$K$2:$K$2000,MATCH(K751,'Ashed teabags dry'!$A$2:$A$2000,0)),"")</f>
        <v/>
      </c>
      <c r="S751" s="275" t="str">
        <f t="shared" si="57"/>
        <v/>
      </c>
      <c r="T751" s="265">
        <f>IF('Dry_Litterbag Placem_Collection'!E92="","",'Dry_Litterbag Placem_Collection'!E92)</f>
        <v>42937</v>
      </c>
      <c r="U751" s="265">
        <f>IF('Dry_Litterbag Placem_Collection'!G92="","",'Dry_Litterbag Placem_Collection'!G92)</f>
        <v>43006</v>
      </c>
      <c r="V751" s="266">
        <f t="shared" si="55"/>
        <v>69</v>
      </c>
      <c r="W751" s="264" t="str">
        <f t="shared" si="58"/>
        <v/>
      </c>
      <c r="X751" s="264" t="str">
        <f t="shared" si="59"/>
        <v/>
      </c>
      <c r="Y751" s="268">
        <f>IFERROR(INDEX(Rainfall_Dry!$O$2:$O$217,MATCH(B751, Rainfall_Dry!$A$2:$A$217,0)),"")</f>
        <v>12.563016860999999</v>
      </c>
      <c r="Z751" s="257">
        <v>28.145762029394</v>
      </c>
      <c r="AA751" s="257">
        <v>25.085564727199518</v>
      </c>
      <c r="AB751" s="257">
        <v>46.768673243406489</v>
      </c>
      <c r="AC751" s="258" t="s">
        <v>2654</v>
      </c>
      <c r="AD751" s="257">
        <v>3.1716214884179399</v>
      </c>
      <c r="AE751">
        <f>IF('WetLitterbags placem_collection'!AB92="","",'WetLitterbags placem_collection'!AB92)</f>
        <v>7.7</v>
      </c>
      <c r="AF751">
        <f>IF('WetLitterbags placem_collection'!Z92="","",'WetLitterbags placem_collection'!Z92)</f>
        <v>30.4</v>
      </c>
      <c r="AG751" s="243" t="str">
        <f>IF('WetLitterbags placem_collection'!AA92="","",'WetLitterbags placem_collection'!AA92)</f>
        <v>O</v>
      </c>
      <c r="AH751">
        <f>IF('WetLitterbags placem_collection'!AC92="","",'WetLitterbags placem_collection'!AC92)</f>
        <v>0</v>
      </c>
      <c r="AI751">
        <f>IFERROR(AVERAGE('Dry_Litterbag Placem_Collection'!O92,'Dry_Litterbag Placem_Collection'!R92),"")</f>
        <v>9.85</v>
      </c>
      <c r="AJ751" s="268">
        <f>IFERROR(AVERAGE('Dry_Litterbag Placem_Collection'!N92,'Dry_Litterbag Placem_Collection'!Q92),"")</f>
        <v>26.45</v>
      </c>
      <c r="AK751" s="267">
        <f>INDEX(Coordinates!$B$2:$B$197,MATCH(H751,Coordinates!$J$2:$J$197,0))</f>
        <v>-3.2966860009999999</v>
      </c>
      <c r="AL751" s="267">
        <f>INDEX(Coordinates!$C$2:$C$197,MATCH(H751,Coordinates!$J$2:$J$197,0))</f>
        <v>34.854371989999997</v>
      </c>
      <c r="AM751" s="267" t="str">
        <f>IF(ISNUMBER(SEARCH("C", 'Dry_Litterbag Placem_Collection'!V92)),"YES","NO")</f>
        <v>NO</v>
      </c>
      <c r="AN751" s="267" t="str">
        <f>IF(ISNUMBER(SEARCH("H", 'Dry_Litterbag Placem_Collection'!V92)),"YES","NO")</f>
        <v>NO</v>
      </c>
      <c r="AO751" s="267" t="str">
        <f>IF(ISNUMBER(SEARCH("R", 'Dry_Litterbag Placem_Collection'!V92)),"YES","NO")</f>
        <v>NO</v>
      </c>
    </row>
    <row r="752" spans="1:41" ht="15" customHeight="1">
      <c r="A752" s="259" t="s">
        <v>2643</v>
      </c>
      <c r="B752" s="260">
        <f>'Dry_Litterbag Placem_Collection'!A93</f>
        <v>91</v>
      </c>
      <c r="C752" s="260" t="str">
        <f>'Dry_Litterbag Placem_Collection'!B93</f>
        <v>Maswa</v>
      </c>
      <c r="D752" s="260" t="s">
        <v>2643</v>
      </c>
      <c r="E752" s="260" t="s">
        <v>2645</v>
      </c>
      <c r="F752" s="260">
        <v>4</v>
      </c>
      <c r="G752" s="260" t="s">
        <v>3814</v>
      </c>
      <c r="H752" s="261" t="str">
        <f>'Dry_Litterbag Placem_Collection'!C93</f>
        <v>Dry_W4_T3</v>
      </c>
      <c r="I752" s="270" t="s">
        <v>3630</v>
      </c>
      <c r="J752" s="271" t="s">
        <v>298</v>
      </c>
      <c r="K752" s="260" t="str">
        <f>IF(ISBLANK('Dry_Litterbag Placem_Collection'!M93),"","R"&amp;""&amp;'Dry_Litterbag Placem_Collection'!M93)</f>
        <v>R659</v>
      </c>
      <c r="L752" s="264">
        <f>IFERROR(INDEX('Green_rooibos initial weight'!$C$5:$C$2000,MATCH(K752, 'Green_rooibos initial weight'!$A$5:$A$2000,0)),"")</f>
        <v>2.2349999999999999</v>
      </c>
      <c r="M752" s="264">
        <f>IFERROR(L752-(TBIcalc!$Q$9+TBIcalc!$Q$10),"")</f>
        <v>1.9851999999999999</v>
      </c>
      <c r="N752" s="385">
        <f>AVERAGE(Ashed_controlls!$K$12:$K$14)</f>
        <v>2.2816647271287041</v>
      </c>
      <c r="O752" s="264">
        <f t="shared" si="56"/>
        <v>1.9399043918370409</v>
      </c>
      <c r="P752" s="264">
        <f>IFERROR(INDEX('Both teabags AfterDry'!$D$2:$D$2000,MATCH(K752,'Both teabags AfterDry'!$A$2:$A$2000,0)),"")</f>
        <v>2.0495999999999999</v>
      </c>
      <c r="Q752" s="264">
        <f>IFERROR(IF(P752&gt;0,P752-(TBIcalc!$Q$9),""),"")</f>
        <v>1.8989999999999998</v>
      </c>
      <c r="R752" s="275">
        <f>IFERROR(INDEX('Ashed teabags dry'!$K$2:$K$2000,MATCH(K752,'Ashed teabags dry'!$A$2:$A$2000,0)),"")</f>
        <v>4.1826717883060072</v>
      </c>
      <c r="S752" s="275">
        <f t="shared" si="57"/>
        <v>1.8195710627400687</v>
      </c>
      <c r="T752" s="265">
        <f>IF('Dry_Litterbag Placem_Collection'!E93="","",'Dry_Litterbag Placem_Collection'!E93)</f>
        <v>42937</v>
      </c>
      <c r="U752" s="265">
        <f>IF('Dry_Litterbag Placem_Collection'!G93="","",'Dry_Litterbag Placem_Collection'!G93)</f>
        <v>43006</v>
      </c>
      <c r="V752" s="266">
        <f t="shared" si="55"/>
        <v>69</v>
      </c>
      <c r="W752" s="264">
        <f t="shared" si="58"/>
        <v>8.6200000000000054E-2</v>
      </c>
      <c r="X752" s="264">
        <f t="shared" si="59"/>
        <v>0.12033332909697214</v>
      </c>
      <c r="Y752" s="268">
        <f>IFERROR(INDEX(Rainfall_Dry!$O$2:$O$217,MATCH(B752, Rainfall_Dry!$A$2:$A$217,0)),"")</f>
        <v>12.563016860999999</v>
      </c>
      <c r="Z752" s="257">
        <v>28.145762029394</v>
      </c>
      <c r="AA752" s="257">
        <v>25.085564727199518</v>
      </c>
      <c r="AB752" s="257">
        <v>46.768673243406489</v>
      </c>
      <c r="AC752" s="258" t="s">
        <v>2654</v>
      </c>
      <c r="AD752" s="257">
        <v>4.1716214884179399</v>
      </c>
      <c r="AE752">
        <f>IF('WetLitterbags placem_collection'!AB93="","",'WetLitterbags placem_collection'!AB93)</f>
        <v>6.1</v>
      </c>
      <c r="AF752">
        <f>IF('WetLitterbags placem_collection'!Z93="","",'WetLitterbags placem_collection'!Z93)</f>
        <v>39.4</v>
      </c>
      <c r="AG752" s="243" t="str">
        <f>IF('WetLitterbags placem_collection'!AA93="","",'WetLitterbags placem_collection'!AA93)</f>
        <v>O</v>
      </c>
      <c r="AH752">
        <f>IF('WetLitterbags placem_collection'!AC93="","",'WetLitterbags placem_collection'!AC93)</f>
        <v>1</v>
      </c>
      <c r="AI752">
        <f>IFERROR(AVERAGE('Dry_Litterbag Placem_Collection'!O93,'Dry_Litterbag Placem_Collection'!R93),"")</f>
        <v>10.95</v>
      </c>
      <c r="AJ752" s="268">
        <f>IFERROR(AVERAGE('Dry_Litterbag Placem_Collection'!N93,'Dry_Litterbag Placem_Collection'!Q93),"")</f>
        <v>25.95</v>
      </c>
      <c r="AK752" s="267">
        <f>INDEX(Coordinates!$B$2:$B$197,MATCH(H752,Coordinates!$J$2:$J$197,0))</f>
        <v>-3.2966180239999998</v>
      </c>
      <c r="AL752" s="267">
        <f>INDEX(Coordinates!$C$2:$C$197,MATCH(H752,Coordinates!$J$2:$J$197,0))</f>
        <v>34.854464020000002</v>
      </c>
      <c r="AM752" s="267" t="str">
        <f>IF(ISNUMBER(SEARCH("C", 'Dry_Litterbag Placem_Collection'!V93)),"YES","NO")</f>
        <v>NO</v>
      </c>
      <c r="AN752" s="267" t="str">
        <f>IF(ISNUMBER(SEARCH("H", 'Dry_Litterbag Placem_Collection'!V93)),"YES","NO")</f>
        <v>NO</v>
      </c>
      <c r="AO752" s="267" t="str">
        <f>IF(ISNUMBER(SEARCH("R", 'Dry_Litterbag Placem_Collection'!V93)),"YES","NO")</f>
        <v>NO</v>
      </c>
    </row>
    <row r="753" spans="1:41" ht="15" customHeight="1">
      <c r="A753" s="259" t="s">
        <v>2643</v>
      </c>
      <c r="B753" s="260">
        <f>'Dry_Litterbag Placem_Collection'!A94</f>
        <v>92</v>
      </c>
      <c r="C753" s="260" t="str">
        <f>'Dry_Litterbag Placem_Collection'!B94</f>
        <v>Maswa</v>
      </c>
      <c r="D753" s="260" t="s">
        <v>2643</v>
      </c>
      <c r="E753" s="260" t="s">
        <v>2645</v>
      </c>
      <c r="F753" s="260">
        <v>4</v>
      </c>
      <c r="G753" s="260" t="s">
        <v>3814</v>
      </c>
      <c r="H753" s="261" t="str">
        <f>'Dry_Litterbag Placem_Collection'!C94</f>
        <v>Dry_W4_T4</v>
      </c>
      <c r="I753" s="270" t="s">
        <v>3630</v>
      </c>
      <c r="J753" s="271" t="s">
        <v>298</v>
      </c>
      <c r="K753" s="260" t="str">
        <f>IF(ISBLANK('Dry_Litterbag Placem_Collection'!M94),"","R"&amp;""&amp;'Dry_Litterbag Placem_Collection'!M94)</f>
        <v>R619</v>
      </c>
      <c r="L753" s="264">
        <f>IFERROR(INDEX('Green_rooibos initial weight'!$C$5:$C$2000,MATCH(K753, 'Green_rooibos initial weight'!$A$5:$A$2000,0)),"")</f>
        <v>2.1480000000000001</v>
      </c>
      <c r="M753" s="264">
        <f>IFERROR(L753-(TBIcalc!$Q$9+TBIcalc!$Q$10),"")</f>
        <v>1.8982000000000001</v>
      </c>
      <c r="N753" s="385">
        <f>AVERAGE(Ashed_controlls!$K$12:$K$14)</f>
        <v>2.2816647271287041</v>
      </c>
      <c r="O753" s="264">
        <f t="shared" si="56"/>
        <v>1.854889440149643</v>
      </c>
      <c r="P753" s="264">
        <f>IFERROR(INDEX('Both teabags AfterDry'!$D$2:$D$2000,MATCH(K753,'Both teabags AfterDry'!$A$2:$A$2000,0)),"")</f>
        <v>1.9713000000000001</v>
      </c>
      <c r="Q753" s="264">
        <f>IFERROR(IF(P753&gt;0,P753-(TBIcalc!$Q$9),""),"")</f>
        <v>1.8207</v>
      </c>
      <c r="R753" s="275">
        <f>IFERROR(INDEX('Ashed teabags dry'!$K$2:$K$2000,MATCH(K753,'Ashed teabags dry'!$A$2:$A$2000,0)),"")</f>
        <v>3.4364261168385459</v>
      </c>
      <c r="S753" s="275">
        <f t="shared" si="57"/>
        <v>1.7581329896907205</v>
      </c>
      <c r="T753" s="265">
        <f>IF('Dry_Litterbag Placem_Collection'!E94="","",'Dry_Litterbag Placem_Collection'!E94)</f>
        <v>42937</v>
      </c>
      <c r="U753" s="265">
        <f>IF('Dry_Litterbag Placem_Collection'!G94="","",'Dry_Litterbag Placem_Collection'!G94)</f>
        <v>43006</v>
      </c>
      <c r="V753" s="266">
        <f t="shared" si="55"/>
        <v>69</v>
      </c>
      <c r="W753" s="264">
        <f t="shared" si="58"/>
        <v>7.7500000000000124E-2</v>
      </c>
      <c r="X753" s="264">
        <f t="shared" si="59"/>
        <v>9.6756450458922449E-2</v>
      </c>
      <c r="Y753" s="268">
        <f>IFERROR(INDEX(Rainfall_Dry!$O$2:$O$217,MATCH(B753, Rainfall_Dry!$A$2:$A$217,0)),"")</f>
        <v>12.563016860999999</v>
      </c>
      <c r="Z753" s="257">
        <v>28.145762029394</v>
      </c>
      <c r="AA753" s="257">
        <v>25.085564727199518</v>
      </c>
      <c r="AB753" s="257">
        <v>46.768673243406489</v>
      </c>
      <c r="AC753" s="258" t="s">
        <v>2654</v>
      </c>
      <c r="AD753" s="257">
        <v>5.1716214884179399</v>
      </c>
      <c r="AE753">
        <f>IF('WetLitterbags placem_collection'!AB94="","",'WetLitterbags placem_collection'!AB94)</f>
        <v>7.7</v>
      </c>
      <c r="AF753">
        <f>IF('WetLitterbags placem_collection'!Z94="","",'WetLitterbags placem_collection'!Z94)</f>
        <v>24.8</v>
      </c>
      <c r="AG753" s="243" t="str">
        <f>IF('WetLitterbags placem_collection'!AA94="","",'WetLitterbags placem_collection'!AA94)</f>
        <v>O</v>
      </c>
      <c r="AH753">
        <f>IF('WetLitterbags placem_collection'!AC94="","",'WetLitterbags placem_collection'!AC94)</f>
        <v>1</v>
      </c>
      <c r="AI753">
        <f>IFERROR(AVERAGE('Dry_Litterbag Placem_Collection'!O94,'Dry_Litterbag Placem_Collection'!R94),"")</f>
        <v>10.25</v>
      </c>
      <c r="AJ753" s="268">
        <f>IFERROR(AVERAGE('Dry_Litterbag Placem_Collection'!N94,'Dry_Litterbag Placem_Collection'!Q94),"")</f>
        <v>26</v>
      </c>
      <c r="AK753" s="267">
        <f>INDEX(Coordinates!$B$2:$B$197,MATCH(H753,Coordinates!$J$2:$J$197,0))</f>
        <v>-3.2965539860000002</v>
      </c>
      <c r="AL753" s="267">
        <f>INDEX(Coordinates!$C$2:$C$197,MATCH(H753,Coordinates!$J$2:$J$197,0))</f>
        <v>34.854455969999997</v>
      </c>
      <c r="AM753" s="267" t="str">
        <f>IF(ISNUMBER(SEARCH("C", 'Dry_Litterbag Placem_Collection'!V94)),"YES","NO")</f>
        <v>NO</v>
      </c>
      <c r="AN753" s="267" t="str">
        <f>IF(ISNUMBER(SEARCH("H", 'Dry_Litterbag Placem_Collection'!V94)),"YES","NO")</f>
        <v>NO</v>
      </c>
      <c r="AO753" s="267" t="str">
        <f>IF(ISNUMBER(SEARCH("R", 'Dry_Litterbag Placem_Collection'!V94)),"YES","NO")</f>
        <v>NO</v>
      </c>
    </row>
    <row r="754" spans="1:41" ht="15" customHeight="1">
      <c r="A754" s="259" t="s">
        <v>2643</v>
      </c>
      <c r="B754" s="260">
        <f>'Dry_Litterbag Placem_Collection'!A95</f>
        <v>93</v>
      </c>
      <c r="C754" s="260" t="str">
        <f>'Dry_Litterbag Placem_Collection'!B95</f>
        <v>Maswa</v>
      </c>
      <c r="D754" s="260" t="s">
        <v>2643</v>
      </c>
      <c r="E754" s="260" t="s">
        <v>2645</v>
      </c>
      <c r="F754" s="260">
        <v>4</v>
      </c>
      <c r="G754" s="260" t="s">
        <v>3814</v>
      </c>
      <c r="H754" s="261" t="str">
        <f>'Dry_Litterbag Placem_Collection'!C95</f>
        <v>Dry_W4_T5</v>
      </c>
      <c r="I754" s="270" t="s">
        <v>3630</v>
      </c>
      <c r="J754" s="271" t="s">
        <v>298</v>
      </c>
      <c r="K754" s="260" t="str">
        <f>IF(ISBLANK('Dry_Litterbag Placem_Collection'!M95),"","R"&amp;""&amp;'Dry_Litterbag Placem_Collection'!M95)</f>
        <v>R106</v>
      </c>
      <c r="L754" s="264">
        <f>IFERROR(INDEX('Green_rooibos initial weight'!$C$5:$C$2000,MATCH(K754, 'Green_rooibos initial weight'!$A$5:$A$2000,0)),"")</f>
        <v>2.2330000000000001</v>
      </c>
      <c r="M754" s="264">
        <f>IFERROR(L754-(TBIcalc!$Q$9+TBIcalc!$Q$10),"")</f>
        <v>1.9832000000000001</v>
      </c>
      <c r="N754" s="385">
        <f>AVERAGE(Ashed_controlls!$K$12:$K$14)</f>
        <v>2.2816647271287041</v>
      </c>
      <c r="O754" s="264">
        <f t="shared" si="56"/>
        <v>1.9379500251315835</v>
      </c>
      <c r="P754" s="264">
        <f>IFERROR(INDEX('Both teabags AfterDry'!$D$2:$D$2000,MATCH(K754,'Both teabags AfterDry'!$A$2:$A$2000,0)),"")</f>
        <v>2.0352999999999999</v>
      </c>
      <c r="Q754" s="264">
        <f>IFERROR(IF(P754&gt;0,P754-(TBIcalc!$Q$9),""),"")</f>
        <v>1.8846999999999998</v>
      </c>
      <c r="R754" s="275">
        <f>IFERROR(INDEX('Ashed teabags dry'!$K$2:$K$2000,MATCH(K754,'Ashed teabags dry'!$A$2:$A$2000,0)),"")</f>
        <v>2.5896414342635063</v>
      </c>
      <c r="S754" s="275">
        <f t="shared" si="57"/>
        <v>1.8358930278884356</v>
      </c>
      <c r="T754" s="265">
        <f>IF('Dry_Litterbag Placem_Collection'!E95="","",'Dry_Litterbag Placem_Collection'!E95)</f>
        <v>42937</v>
      </c>
      <c r="U754" s="265">
        <f>IF('Dry_Litterbag Placem_Collection'!G95="","",'Dry_Litterbag Placem_Collection'!G95)</f>
        <v>43006</v>
      </c>
      <c r="V754" s="266">
        <f t="shared" si="55"/>
        <v>69</v>
      </c>
      <c r="W754" s="264">
        <f t="shared" si="58"/>
        <v>9.8500000000000254E-2</v>
      </c>
      <c r="X754" s="264">
        <f t="shared" si="59"/>
        <v>0.10205699724314798</v>
      </c>
      <c r="Y754" s="268">
        <f>IFERROR(INDEX(Rainfall_Dry!$O$2:$O$217,MATCH(B754, Rainfall_Dry!$A$2:$A$217,0)),"")</f>
        <v>12.563016860999999</v>
      </c>
      <c r="Z754" s="257">
        <v>28.145762029394</v>
      </c>
      <c r="AA754" s="257">
        <v>25.085564727199518</v>
      </c>
      <c r="AB754" s="257">
        <v>46.768673243406489</v>
      </c>
      <c r="AC754" s="258" t="s">
        <v>2654</v>
      </c>
      <c r="AD754" s="257">
        <v>6.1716214884179399</v>
      </c>
      <c r="AE754">
        <f>IF('WetLitterbags placem_collection'!AB95="","",'WetLitterbags placem_collection'!AB95)</f>
        <v>6.6</v>
      </c>
      <c r="AF754">
        <f>IF('WetLitterbags placem_collection'!Z95="","",'WetLitterbags placem_collection'!Z95)</f>
        <v>40</v>
      </c>
      <c r="AG754" s="243" t="str">
        <f>IF('WetLitterbags placem_collection'!AA95="","",'WetLitterbags placem_collection'!AA95)</f>
        <v>O</v>
      </c>
      <c r="AH754">
        <f>IF('WetLitterbags placem_collection'!AC95="","",'WetLitterbags placem_collection'!AC95)</f>
        <v>1</v>
      </c>
      <c r="AI754">
        <f>IFERROR(AVERAGE('Dry_Litterbag Placem_Collection'!O95,'Dry_Litterbag Placem_Collection'!R95),"")</f>
        <v>10.45</v>
      </c>
      <c r="AJ754" s="268">
        <f>IFERROR(AVERAGE('Dry_Litterbag Placem_Collection'!N95,'Dry_Litterbag Placem_Collection'!Q95),"")</f>
        <v>26.4</v>
      </c>
      <c r="AK754" s="267">
        <f>INDEX(Coordinates!$B$2:$B$197,MATCH(H754,Coordinates!$J$2:$J$197,0))</f>
        <v>-3.2964789680000002</v>
      </c>
      <c r="AL754" s="267">
        <f>INDEX(Coordinates!$C$2:$C$197,MATCH(H754,Coordinates!$J$2:$J$197,0))</f>
        <v>34.854331000000002</v>
      </c>
      <c r="AM754" s="267" t="str">
        <f>IF(ISNUMBER(SEARCH("C", 'Dry_Litterbag Placem_Collection'!V95)),"YES","NO")</f>
        <v>NO</v>
      </c>
      <c r="AN754" s="267" t="str">
        <f>IF(ISNUMBER(SEARCH("H", 'Dry_Litterbag Placem_Collection'!V95)),"YES","NO")</f>
        <v>NO</v>
      </c>
      <c r="AO754" s="267" t="str">
        <f>IF(ISNUMBER(SEARCH("R", 'Dry_Litterbag Placem_Collection'!V95)),"YES","NO")</f>
        <v>NO</v>
      </c>
    </row>
    <row r="755" spans="1:41" ht="15" customHeight="1">
      <c r="A755" s="259" t="s">
        <v>2643</v>
      </c>
      <c r="B755" s="260">
        <f>'Dry_Litterbag Placem_Collection'!A96</f>
        <v>94</v>
      </c>
      <c r="C755" s="260" t="str">
        <f>'Dry_Litterbag Placem_Collection'!B96</f>
        <v>Maswa</v>
      </c>
      <c r="D755" s="260" t="s">
        <v>2643</v>
      </c>
      <c r="E755" s="260" t="s">
        <v>2645</v>
      </c>
      <c r="F755" s="260">
        <v>4</v>
      </c>
      <c r="G755" s="260" t="s">
        <v>3814</v>
      </c>
      <c r="H755" s="261" t="str">
        <f>'Dry_Litterbag Placem_Collection'!C96</f>
        <v>Dry_W4_T6</v>
      </c>
      <c r="I755" s="270" t="s">
        <v>3630</v>
      </c>
      <c r="J755" s="271" t="s">
        <v>298</v>
      </c>
      <c r="K755" s="260" t="str">
        <f>IF(ISBLANK('Dry_Litterbag Placem_Collection'!M96),"","R"&amp;""&amp;'Dry_Litterbag Placem_Collection'!M96)</f>
        <v/>
      </c>
      <c r="L755" s="264" t="str">
        <f>IFERROR(INDEX('Green_rooibos initial weight'!$C$5:$C$2000,MATCH(K755, 'Green_rooibos initial weight'!$A$5:$A$2000,0)),"")</f>
        <v/>
      </c>
      <c r="M755" s="264" t="str">
        <f>IFERROR(L755-(TBIcalc!$Q$9+TBIcalc!$Q$10),"")</f>
        <v/>
      </c>
      <c r="N755" s="385">
        <f>AVERAGE(Ashed_controlls!$K$12:$K$14)</f>
        <v>2.2816647271287041</v>
      </c>
      <c r="O755" s="264" t="str">
        <f t="shared" si="56"/>
        <v/>
      </c>
      <c r="P755" s="264" t="str">
        <f>IFERROR(INDEX('Both teabags AfterDry'!$D$2:$D$2000,MATCH(K755,'Both teabags AfterDry'!$A$2:$A$2000,0)),"")</f>
        <v/>
      </c>
      <c r="Q755" s="264" t="str">
        <f>IFERROR(IF(P755&gt;0,P755-(TBIcalc!$Q$9),""),"")</f>
        <v/>
      </c>
      <c r="R755" s="275" t="str">
        <f>IFERROR(INDEX('Ashed teabags dry'!$K$2:$K$2000,MATCH(K755,'Ashed teabags dry'!$A$2:$A$2000,0)),"")</f>
        <v/>
      </c>
      <c r="S755" s="275" t="str">
        <f t="shared" si="57"/>
        <v/>
      </c>
      <c r="T755" s="265" t="str">
        <f>IF('Dry_Litterbag Placem_Collection'!E96="","",'Dry_Litterbag Placem_Collection'!E96)</f>
        <v/>
      </c>
      <c r="U755" s="265" t="str">
        <f>IF('Dry_Litterbag Placem_Collection'!G96="","",'Dry_Litterbag Placem_Collection'!G96)</f>
        <v/>
      </c>
      <c r="V755" s="266" t="str">
        <f t="shared" si="55"/>
        <v/>
      </c>
      <c r="W755" s="264" t="str">
        <f t="shared" si="58"/>
        <v/>
      </c>
      <c r="X755" s="264" t="str">
        <f t="shared" si="59"/>
        <v/>
      </c>
      <c r="Y755" s="268" t="str">
        <f>IFERROR(INDEX(Rainfall_Dry!$O$2:$O$217,MATCH(B755, Rainfall_Dry!$A$2:$A$217,0)),"")</f>
        <v/>
      </c>
      <c r="Z755" s="257">
        <v>28.145762029394</v>
      </c>
      <c r="AA755" s="257">
        <v>25.085564727199518</v>
      </c>
      <c r="AB755" s="257">
        <v>46.768673243406489</v>
      </c>
      <c r="AC755" s="258" t="s">
        <v>2654</v>
      </c>
      <c r="AD755" s="257">
        <v>7.1716214884179399</v>
      </c>
      <c r="AE755" t="str">
        <f>IF('WetLitterbags placem_collection'!AB96="","",'WetLitterbags placem_collection'!AB96)</f>
        <v/>
      </c>
      <c r="AF755" t="str">
        <f>IF('WetLitterbags placem_collection'!Z96="","",'WetLitterbags placem_collection'!Z96)</f>
        <v/>
      </c>
      <c r="AG755" s="243" t="str">
        <f>IF('WetLitterbags placem_collection'!AA96="","",'WetLitterbags placem_collection'!AA96)</f>
        <v/>
      </c>
      <c r="AH755" t="str">
        <f>IF('WetLitterbags placem_collection'!AC96="","",'WetLitterbags placem_collection'!AC96)</f>
        <v/>
      </c>
      <c r="AI755" t="str">
        <f>IFERROR(AVERAGE('Dry_Litterbag Placem_Collection'!O96,'Dry_Litterbag Placem_Collection'!R96),"")</f>
        <v/>
      </c>
      <c r="AJ755" s="268" t="str">
        <f>IFERROR(AVERAGE('Dry_Litterbag Placem_Collection'!N96,'Dry_Litterbag Placem_Collection'!Q96),"")</f>
        <v/>
      </c>
      <c r="AK755" s="267">
        <f>INDEX(Coordinates!$B$2:$B$197,MATCH(H755,Coordinates!$J$2:$J$197,0))</f>
        <v>-3.2964649700000002</v>
      </c>
      <c r="AL755" s="267">
        <f>INDEX(Coordinates!$C$2:$C$197,MATCH(H755,Coordinates!$J$2:$J$197,0))</f>
        <v>34.854340970000003</v>
      </c>
      <c r="AM755" s="267" t="str">
        <f>IF(ISNUMBER(SEARCH("C", 'Dry_Litterbag Placem_Collection'!V96)),"YES","NO")</f>
        <v>NO</v>
      </c>
      <c r="AN755" s="267" t="str">
        <f>IF(ISNUMBER(SEARCH("H", 'Dry_Litterbag Placem_Collection'!V96)),"YES","NO")</f>
        <v>NO</v>
      </c>
      <c r="AO755" s="267" t="str">
        <f>IF(ISNUMBER(SEARCH("R", 'Dry_Litterbag Placem_Collection'!V96)),"YES","NO")</f>
        <v>NO</v>
      </c>
    </row>
    <row r="756" spans="1:41" ht="15" customHeight="1">
      <c r="A756" s="259" t="s">
        <v>2643</v>
      </c>
      <c r="B756" s="260">
        <f>'Dry_Litterbag Placem_Collection'!A97</f>
        <v>95</v>
      </c>
      <c r="C756" s="260" t="str">
        <f>'Dry_Litterbag Placem_Collection'!B97</f>
        <v>Maswa</v>
      </c>
      <c r="D756" s="260" t="s">
        <v>2643</v>
      </c>
      <c r="E756" s="260" t="s">
        <v>2645</v>
      </c>
      <c r="F756" s="260">
        <v>4</v>
      </c>
      <c r="G756" s="260" t="s">
        <v>3814</v>
      </c>
      <c r="H756" s="261" t="str">
        <f>'Dry_Litterbag Placem_Collection'!C97</f>
        <v>Dry_W4_T7</v>
      </c>
      <c r="I756" s="270" t="s">
        <v>3630</v>
      </c>
      <c r="J756" s="271" t="s">
        <v>298</v>
      </c>
      <c r="K756" s="260" t="str">
        <f>IF(ISBLANK('Dry_Litterbag Placem_Collection'!M97),"","R"&amp;""&amp;'Dry_Litterbag Placem_Collection'!M97)</f>
        <v>R233</v>
      </c>
      <c r="L756" s="264">
        <f>IFERROR(INDEX('Green_rooibos initial weight'!$C$5:$C$2000,MATCH(K756, 'Green_rooibos initial weight'!$A$5:$A$2000,0)),"")</f>
        <v>2.1749999999999998</v>
      </c>
      <c r="M756" s="264">
        <f>IFERROR(L756-(TBIcalc!$Q$9+TBIcalc!$Q$10),"")</f>
        <v>1.9251999999999998</v>
      </c>
      <c r="N756" s="385">
        <f>AVERAGE(Ashed_controlls!$K$12:$K$14)</f>
        <v>2.2816647271287041</v>
      </c>
      <c r="O756" s="264">
        <f t="shared" si="56"/>
        <v>1.8812733906733179</v>
      </c>
      <c r="P756" s="264">
        <f>IFERROR(INDEX('Both teabags AfterDry'!$D$2:$D$2000,MATCH(K756,'Both teabags AfterDry'!$A$2:$A$2000,0)),"")</f>
        <v>1.9479</v>
      </c>
      <c r="Q756" s="264">
        <f>IFERROR(IF(P756&gt;0,P756-(TBIcalc!$Q$9),""),"")</f>
        <v>1.7972999999999999</v>
      </c>
      <c r="R756" s="275">
        <f>IFERROR(INDEX('Ashed teabags dry'!$K$2:$K$2000,MATCH(K756,'Ashed teabags dry'!$A$2:$A$2000,0)),"")</f>
        <v>2.2635814889335339</v>
      </c>
      <c r="S756" s="275">
        <f t="shared" si="57"/>
        <v>1.7566166498993976</v>
      </c>
      <c r="T756" s="265">
        <f>IF('Dry_Litterbag Placem_Collection'!E97="","",'Dry_Litterbag Placem_Collection'!E97)</f>
        <v>42937</v>
      </c>
      <c r="U756" s="265">
        <f>IF('Dry_Litterbag Placem_Collection'!G97="","",'Dry_Litterbag Placem_Collection'!G97)</f>
        <v>43006</v>
      </c>
      <c r="V756" s="266">
        <f t="shared" si="55"/>
        <v>69</v>
      </c>
      <c r="W756" s="264">
        <f t="shared" si="58"/>
        <v>0.1278999999999999</v>
      </c>
      <c r="X756" s="264">
        <f t="shared" si="59"/>
        <v>0.1246567407739203</v>
      </c>
      <c r="Y756" s="268">
        <f>IFERROR(INDEX(Rainfall_Dry!$O$2:$O$217,MATCH(B756, Rainfall_Dry!$A$2:$A$217,0)),"")</f>
        <v>12.563016860999999</v>
      </c>
      <c r="Z756" s="257">
        <v>28.145762029394</v>
      </c>
      <c r="AA756" s="257">
        <v>25.085564727199518</v>
      </c>
      <c r="AB756" s="257">
        <v>46.768673243406489</v>
      </c>
      <c r="AC756" s="258" t="s">
        <v>2654</v>
      </c>
      <c r="AD756" s="257">
        <v>8.1716214884179408</v>
      </c>
      <c r="AE756">
        <f>IF('WetLitterbags placem_collection'!AB97="","",'WetLitterbags placem_collection'!AB97)</f>
        <v>5.4</v>
      </c>
      <c r="AF756">
        <f>IF('WetLitterbags placem_collection'!Z97="","",'WetLitterbags placem_collection'!Z97)</f>
        <v>15.2</v>
      </c>
      <c r="AG756" s="243" t="str">
        <f>IF('WetLitterbags placem_collection'!AA97="","",'WetLitterbags placem_collection'!AA97)</f>
        <v>O</v>
      </c>
      <c r="AH756">
        <f>IF('WetLitterbags placem_collection'!AC97="","",'WetLitterbags placem_collection'!AC97)</f>
        <v>0</v>
      </c>
      <c r="AI756">
        <f>IFERROR(AVERAGE('Dry_Litterbag Placem_Collection'!O97,'Dry_Litterbag Placem_Collection'!R97),"")</f>
        <v>8.75</v>
      </c>
      <c r="AJ756" s="268">
        <f>IFERROR(AVERAGE('Dry_Litterbag Placem_Collection'!N97,'Dry_Litterbag Placem_Collection'!Q97),"")</f>
        <v>27.35</v>
      </c>
      <c r="AK756" s="267">
        <f>INDEX(Coordinates!$B$2:$B$197,MATCH(H756,Coordinates!$J$2:$J$197,0))</f>
        <v>-3.296725983</v>
      </c>
      <c r="AL756" s="267">
        <f>INDEX(Coordinates!$C$2:$C$197,MATCH(H756,Coordinates!$J$2:$J$197,0))</f>
        <v>34.854216000000001</v>
      </c>
      <c r="AM756" s="267" t="str">
        <f>IF(ISNUMBER(SEARCH("C", 'Dry_Litterbag Placem_Collection'!V97)),"YES","NO")</f>
        <v>NO</v>
      </c>
      <c r="AN756" s="267" t="str">
        <f>IF(ISNUMBER(SEARCH("H", 'Dry_Litterbag Placem_Collection'!V97)),"YES","NO")</f>
        <v>NO</v>
      </c>
      <c r="AO756" s="267" t="str">
        <f>IF(ISNUMBER(SEARCH("R", 'Dry_Litterbag Placem_Collection'!V97)),"YES","NO")</f>
        <v>NO</v>
      </c>
    </row>
    <row r="757" spans="1:41" ht="15" customHeight="1">
      <c r="A757" s="259" t="s">
        <v>2643</v>
      </c>
      <c r="B757" s="260">
        <f>'Dry_Litterbag Placem_Collection'!A98</f>
        <v>96</v>
      </c>
      <c r="C757" s="260" t="str">
        <f>'Dry_Litterbag Placem_Collection'!B98</f>
        <v>Maswa</v>
      </c>
      <c r="D757" s="260" t="s">
        <v>2643</v>
      </c>
      <c r="E757" s="260" t="s">
        <v>2645</v>
      </c>
      <c r="F757" s="260">
        <v>4</v>
      </c>
      <c r="G757" s="260" t="s">
        <v>3814</v>
      </c>
      <c r="H757" s="261" t="str">
        <f>'Dry_Litterbag Placem_Collection'!C98</f>
        <v>Dry_W4_T8</v>
      </c>
      <c r="I757" s="270" t="s">
        <v>3630</v>
      </c>
      <c r="J757" s="271" t="s">
        <v>298</v>
      </c>
      <c r="K757" s="260" t="str">
        <f>IF(ISBLANK('Dry_Litterbag Placem_Collection'!M98),"","R"&amp;""&amp;'Dry_Litterbag Placem_Collection'!M98)</f>
        <v>R698</v>
      </c>
      <c r="L757" s="264">
        <f>IFERROR(INDEX('Green_rooibos initial weight'!$C$5:$C$2000,MATCH(K757, 'Green_rooibos initial weight'!$A$5:$A$2000,0)),"")</f>
        <v>2.1779999999999999</v>
      </c>
      <c r="M757" s="264">
        <f>IFERROR(L757-(TBIcalc!$Q$9+TBIcalc!$Q$10),"")</f>
        <v>1.9281999999999999</v>
      </c>
      <c r="N757" s="385">
        <f>AVERAGE(Ashed_controlls!$K$12:$K$14)</f>
        <v>2.2816647271287041</v>
      </c>
      <c r="O757" s="264">
        <f t="shared" si="56"/>
        <v>1.8842049407315042</v>
      </c>
      <c r="P757" s="264">
        <f>IFERROR(INDEX('Both teabags AfterDry'!$D$2:$D$2000,MATCH(K757,'Both teabags AfterDry'!$A$2:$A$2000,0)),"")</f>
        <v>2.0065</v>
      </c>
      <c r="Q757" s="264">
        <f>IFERROR(IF(P757&gt;0,P757-(TBIcalc!$Q$9),""),"")</f>
        <v>1.8558999999999999</v>
      </c>
      <c r="R757" s="275">
        <f>IFERROR(INDEX('Ashed teabags dry'!$K$2:$K$2000,MATCH(K757,'Ashed teabags dry'!$A$2:$A$2000,0)),"")</f>
        <v>3.4017008504250739</v>
      </c>
      <c r="S757" s="275">
        <f t="shared" si="57"/>
        <v>1.792767833916961</v>
      </c>
      <c r="T757" s="265">
        <f>IF('Dry_Litterbag Placem_Collection'!E98="","",'Dry_Litterbag Placem_Collection'!E98)</f>
        <v>42937</v>
      </c>
      <c r="U757" s="265">
        <f>IF('Dry_Litterbag Placem_Collection'!G98="","",'Dry_Litterbag Placem_Collection'!G98)</f>
        <v>43006</v>
      </c>
      <c r="V757" s="266">
        <f t="shared" si="55"/>
        <v>69</v>
      </c>
      <c r="W757" s="264">
        <f t="shared" si="58"/>
        <v>7.2300000000000031E-2</v>
      </c>
      <c r="X757" s="264">
        <f t="shared" si="59"/>
        <v>9.1437106814543201E-2</v>
      </c>
      <c r="Y757" s="268">
        <f>IFERROR(INDEX(Rainfall_Dry!$O$2:$O$217,MATCH(B757, Rainfall_Dry!$A$2:$A$217,0)),"")</f>
        <v>12.563016860999999</v>
      </c>
      <c r="Z757" s="257">
        <v>28.145762029394</v>
      </c>
      <c r="AA757" s="257">
        <v>25.085564727199518</v>
      </c>
      <c r="AB757" s="257">
        <v>46.768673243406489</v>
      </c>
      <c r="AC757" s="258" t="s">
        <v>2654</v>
      </c>
      <c r="AD757" s="257">
        <v>9.1716214884179408</v>
      </c>
      <c r="AE757">
        <f>IF('WetLitterbags placem_collection'!AB98="","",'WetLitterbags placem_collection'!AB98)</f>
        <v>4</v>
      </c>
      <c r="AF757">
        <f>IF('WetLitterbags placem_collection'!Z98="","",'WetLitterbags placem_collection'!Z98)</f>
        <v>34.4</v>
      </c>
      <c r="AG757" s="243" t="str">
        <f>IF('WetLitterbags placem_collection'!AA98="","",'WetLitterbags placem_collection'!AA98)</f>
        <v>O</v>
      </c>
      <c r="AH757">
        <f>IF('WetLitterbags placem_collection'!AC98="","",'WetLitterbags placem_collection'!AC98)</f>
        <v>0</v>
      </c>
      <c r="AI757">
        <f>IFERROR(AVERAGE('Dry_Litterbag Placem_Collection'!O98,'Dry_Litterbag Placem_Collection'!R98),"")</f>
        <v>5.0999999999999996</v>
      </c>
      <c r="AJ757" s="268">
        <f>IFERROR(AVERAGE('Dry_Litterbag Placem_Collection'!N98,'Dry_Litterbag Placem_Collection'!Q98),"")</f>
        <v>25.950000000000003</v>
      </c>
      <c r="AK757" s="267">
        <f>INDEX(Coordinates!$B$2:$B$197,MATCH(H757,Coordinates!$J$2:$J$197,0))</f>
        <v>-3.2968360369999998</v>
      </c>
      <c r="AL757" s="267">
        <f>INDEX(Coordinates!$C$2:$C$197,MATCH(H757,Coordinates!$J$2:$J$197,0))</f>
        <v>34.854462009999999</v>
      </c>
      <c r="AM757" s="267" t="str">
        <f>IF(ISNUMBER(SEARCH("C", 'Dry_Litterbag Placem_Collection'!V98)),"YES","NO")</f>
        <v>NO</v>
      </c>
      <c r="AN757" s="267" t="str">
        <f>IF(ISNUMBER(SEARCH("H", 'Dry_Litterbag Placem_Collection'!V98)),"YES","NO")</f>
        <v>NO</v>
      </c>
      <c r="AO757" s="267" t="str">
        <f>IF(ISNUMBER(SEARCH("R", 'Dry_Litterbag Placem_Collection'!V98)),"YES","NO")</f>
        <v>NO</v>
      </c>
    </row>
    <row r="758" spans="1:41" ht="15" customHeight="1">
      <c r="A758" s="259" t="s">
        <v>2643</v>
      </c>
      <c r="B758" s="260">
        <f>'Dry_Litterbag Placem_Collection'!A99</f>
        <v>97</v>
      </c>
      <c r="C758" s="260" t="str">
        <f>'Dry_Litterbag Placem_Collection'!B99</f>
        <v xml:space="preserve">Mwantimba
</v>
      </c>
      <c r="D758" s="260" t="s">
        <v>2454</v>
      </c>
      <c r="E758" s="260" t="s">
        <v>2644</v>
      </c>
      <c r="F758" s="260">
        <v>1</v>
      </c>
      <c r="G758" s="260" t="s">
        <v>3815</v>
      </c>
      <c r="H758" s="261" t="str">
        <f>'Dry_Litterbag Placem_Collection'!C99</f>
        <v>Wet_Ag1_T1</v>
      </c>
      <c r="I758" s="270" t="s">
        <v>3630</v>
      </c>
      <c r="J758" s="271" t="s">
        <v>298</v>
      </c>
      <c r="K758" s="260" t="str">
        <f>IF(ISBLANK('Dry_Litterbag Placem_Collection'!M99),"","R"&amp;""&amp;'Dry_Litterbag Placem_Collection'!M99)</f>
        <v>R47</v>
      </c>
      <c r="L758" s="264">
        <f>IFERROR(INDEX('Green_rooibos initial weight'!$C$5:$C$2000,MATCH(K758, 'Green_rooibos initial weight'!$A$5:$A$2000,0)),"")</f>
        <v>2.1850000000000001</v>
      </c>
      <c r="M758" s="264">
        <f>IFERROR(L758-(TBIcalc!$Q$9+TBIcalc!$Q$10),"")</f>
        <v>1.9352</v>
      </c>
      <c r="N758" s="385">
        <f>AVERAGE(Ashed_controlls!$K$12:$K$14)</f>
        <v>2.2816647271287041</v>
      </c>
      <c r="O758" s="264">
        <f t="shared" si="56"/>
        <v>1.8910452242006053</v>
      </c>
      <c r="P758" s="264" t="str">
        <f>IFERROR(INDEX('Both teabags AfterDry'!$D$2:$D$2000,MATCH(K758,'Both teabags AfterDry'!$A$2:$A$2000,0)),"")</f>
        <v/>
      </c>
      <c r="Q758" s="264" t="str">
        <f>IFERROR(IF(P758&gt;0,P758-(TBIcalc!$Q$9),""),"")</f>
        <v/>
      </c>
      <c r="R758" s="275" t="str">
        <f>IFERROR(INDEX('Ashed teabags dry'!$K$2:$K$2000,MATCH(K758,'Ashed teabags dry'!$A$2:$A$2000,0)),"")</f>
        <v/>
      </c>
      <c r="S758" s="275" t="str">
        <f t="shared" si="57"/>
        <v/>
      </c>
      <c r="T758" s="265">
        <f>IF('Dry_Litterbag Placem_Collection'!E99="","",'Dry_Litterbag Placem_Collection'!E99)</f>
        <v>42939</v>
      </c>
      <c r="U758" s="265">
        <f>IF('Dry_Litterbag Placem_Collection'!G99="","",'Dry_Litterbag Placem_Collection'!G99)</f>
        <v>43010</v>
      </c>
      <c r="V758" s="266">
        <f t="shared" si="55"/>
        <v>71</v>
      </c>
      <c r="W758" s="264" t="str">
        <f t="shared" si="58"/>
        <v/>
      </c>
      <c r="X758" s="264" t="str">
        <f t="shared" si="59"/>
        <v/>
      </c>
      <c r="Y758" s="268">
        <f>IFERROR(INDEX(Rainfall_Dry!$O$2:$O$217,MATCH(B758, Rainfall_Dry!$A$2:$A$217,0)),"")</f>
        <v>137.19979645800001</v>
      </c>
      <c r="Z758" s="257">
        <v>45.96</v>
      </c>
      <c r="AA758" s="257">
        <v>14.920000000000003</v>
      </c>
      <c r="AB758" s="257">
        <v>39.119999999999997</v>
      </c>
      <c r="AC758" s="258" t="s">
        <v>2657</v>
      </c>
      <c r="AD758" s="257">
        <v>2.0374568753080333</v>
      </c>
      <c r="AE758">
        <f>IF('WetLitterbags placem_collection'!AB99="","",'WetLitterbags placem_collection'!AB99)</f>
        <v>2.4</v>
      </c>
      <c r="AF758">
        <f>IF('WetLitterbags placem_collection'!Z99="","",'WetLitterbags placem_collection'!Z99)</f>
        <v>8.9</v>
      </c>
      <c r="AG758" s="243" t="str">
        <f>IF('WetLitterbags placem_collection'!AA99="","",'WetLitterbags placem_collection'!AA99)</f>
        <v>G</v>
      </c>
      <c r="AH758">
        <f>IF('WetLitterbags placem_collection'!AC99="","",'WetLitterbags placem_collection'!AC99)</f>
        <v>1</v>
      </c>
      <c r="AI758">
        <f>IFERROR(AVERAGE('Dry_Litterbag Placem_Collection'!O99,'Dry_Litterbag Placem_Collection'!R99),"")</f>
        <v>6.6</v>
      </c>
      <c r="AJ758" s="268">
        <f>IFERROR(AVERAGE('Dry_Litterbag Placem_Collection'!N99,'Dry_Litterbag Placem_Collection'!Q99),"")</f>
        <v>28.5</v>
      </c>
      <c r="AK758" s="267">
        <f>INDEX(Coordinates!$B$2:$B$197,MATCH(H758,Coordinates!$J$2:$J$197,0))</f>
        <v>-2.3691620310000001</v>
      </c>
      <c r="AL758" s="267">
        <f>INDEX(Coordinates!$C$2:$C$197,MATCH(H758,Coordinates!$J$2:$J$197,0))</f>
        <v>34.06028104</v>
      </c>
      <c r="AM758" s="267" t="str">
        <f>IF(ISNUMBER(SEARCH("C", 'Dry_Litterbag Placem_Collection'!V99)),"YES","NO")</f>
        <v>NO</v>
      </c>
      <c r="AN758" s="267" t="str">
        <f>IF(ISNUMBER(SEARCH("H", 'Dry_Litterbag Placem_Collection'!V99)),"YES","NO")</f>
        <v>NO</v>
      </c>
      <c r="AO758" s="267" t="str">
        <f>IF(ISNUMBER(SEARCH("R", 'Dry_Litterbag Placem_Collection'!V99)),"YES","NO")</f>
        <v>NO</v>
      </c>
    </row>
    <row r="759" spans="1:41" ht="15" customHeight="1">
      <c r="A759" s="259" t="s">
        <v>2643</v>
      </c>
      <c r="B759" s="260">
        <f>'Dry_Litterbag Placem_Collection'!A100</f>
        <v>98</v>
      </c>
      <c r="C759" s="260" t="str">
        <f>'Dry_Litterbag Placem_Collection'!B100</f>
        <v xml:space="preserve">Mwantimba
</v>
      </c>
      <c r="D759" s="260" t="s">
        <v>2454</v>
      </c>
      <c r="E759" s="260" t="s">
        <v>2644</v>
      </c>
      <c r="F759" s="260">
        <v>1</v>
      </c>
      <c r="G759" s="260" t="s">
        <v>3815</v>
      </c>
      <c r="H759" s="261" t="str">
        <f>'Dry_Litterbag Placem_Collection'!C100</f>
        <v>Wet_Ag1_T2</v>
      </c>
      <c r="I759" s="270" t="s">
        <v>3630</v>
      </c>
      <c r="J759" s="271" t="s">
        <v>298</v>
      </c>
      <c r="K759" s="260" t="str">
        <f>IF(ISBLANK('Dry_Litterbag Placem_Collection'!M100),"","R"&amp;""&amp;'Dry_Litterbag Placem_Collection'!M100)</f>
        <v>R707</v>
      </c>
      <c r="L759" s="264">
        <f>IFERROR(INDEX('Green_rooibos initial weight'!$C$5:$C$2000,MATCH(K759, 'Green_rooibos initial weight'!$A$5:$A$2000,0)),"")</f>
        <v>2.145</v>
      </c>
      <c r="M759" s="264">
        <f>IFERROR(L759-(TBIcalc!$Q$9+TBIcalc!$Q$10),"")</f>
        <v>1.8952</v>
      </c>
      <c r="N759" s="385">
        <f>AVERAGE(Ashed_controlls!$K$12:$K$14)</f>
        <v>2.2816647271287041</v>
      </c>
      <c r="O759" s="264">
        <f t="shared" si="56"/>
        <v>1.8519578900914568</v>
      </c>
      <c r="P759" s="264">
        <f>IFERROR(INDEX('Both teabags AfterDry'!$D$2:$D$2000,MATCH(K759,'Both teabags AfterDry'!$A$2:$A$2000,0)),"")</f>
        <v>1.8146</v>
      </c>
      <c r="Q759" s="264">
        <f>IFERROR(IF(P759&gt;0,P759-(TBIcalc!$Q$9),""),"")</f>
        <v>1.6639999999999999</v>
      </c>
      <c r="R759" s="275">
        <f>IFERROR(INDEX('Ashed teabags dry'!$K$2:$K$2000,MATCH(K759,'Ashed teabags dry'!$A$2:$A$2000,0)),"")</f>
        <v>4.2060491493383303</v>
      </c>
      <c r="S759" s="275">
        <f t="shared" si="57"/>
        <v>1.5940113421550102</v>
      </c>
      <c r="T759" s="265">
        <f>IF('Dry_Litterbag Placem_Collection'!E100="","",'Dry_Litterbag Placem_Collection'!E100)</f>
        <v>42939</v>
      </c>
      <c r="U759" s="265">
        <f>IF('Dry_Litterbag Placem_Collection'!G100="","",'Dry_Litterbag Placem_Collection'!G100)</f>
        <v>43010</v>
      </c>
      <c r="V759" s="266">
        <f t="shared" si="55"/>
        <v>71</v>
      </c>
      <c r="W759" s="264">
        <f t="shared" si="58"/>
        <v>0.23120000000000007</v>
      </c>
      <c r="X759" s="264">
        <f t="shared" si="59"/>
        <v>0.25794654793644667</v>
      </c>
      <c r="Y759" s="268">
        <f>IFERROR(INDEX(Rainfall_Dry!$O$2:$O$217,MATCH(B759, Rainfall_Dry!$A$2:$A$217,0)),"")</f>
        <v>137.19979645800001</v>
      </c>
      <c r="Z759" s="257">
        <v>45.96</v>
      </c>
      <c r="AA759" s="257">
        <v>14.920000000000003</v>
      </c>
      <c r="AB759" s="257">
        <v>39.119999999999997</v>
      </c>
      <c r="AC759" s="258" t="s">
        <v>2657</v>
      </c>
      <c r="AD759" s="257">
        <v>3.0374568753080302</v>
      </c>
      <c r="AE759">
        <f>IF('WetLitterbags placem_collection'!AB100="","",'WetLitterbags placem_collection'!AB100)</f>
        <v>7.8</v>
      </c>
      <c r="AF759">
        <f>IF('WetLitterbags placem_collection'!Z100="","",'WetLitterbags placem_collection'!Z100)</f>
        <v>4.45</v>
      </c>
      <c r="AG759" s="243" t="str">
        <f>IF('WetLitterbags placem_collection'!AA100="","",'WetLitterbags placem_collection'!AA100)</f>
        <v>G</v>
      </c>
      <c r="AH759">
        <f>IF('WetLitterbags placem_collection'!AC100="","",'WetLitterbags placem_collection'!AC100)</f>
        <v>1</v>
      </c>
      <c r="AI759">
        <f>IFERROR(AVERAGE('Dry_Litterbag Placem_Collection'!O100,'Dry_Litterbag Placem_Collection'!R100),"")</f>
        <v>7.25</v>
      </c>
      <c r="AJ759" s="268">
        <f>IFERROR(AVERAGE('Dry_Litterbag Placem_Collection'!N100,'Dry_Litterbag Placem_Collection'!Q100),"")</f>
        <v>29.3</v>
      </c>
      <c r="AK759" s="267">
        <f>INDEX(Coordinates!$B$2:$B$197,MATCH(H759,Coordinates!$J$2:$J$197,0))</f>
        <v>-2.3692249790000002</v>
      </c>
      <c r="AL759" s="267">
        <f>INDEX(Coordinates!$C$2:$C$197,MATCH(H759,Coordinates!$J$2:$J$197,0))</f>
        <v>34.060285989999997</v>
      </c>
      <c r="AM759" s="267" t="str">
        <f>IF(ISNUMBER(SEARCH("C", 'Dry_Litterbag Placem_Collection'!V100)),"YES","NO")</f>
        <v>NO</v>
      </c>
      <c r="AN759" s="267" t="str">
        <f>IF(ISNUMBER(SEARCH("H", 'Dry_Litterbag Placem_Collection'!V100)),"YES","NO")</f>
        <v>NO</v>
      </c>
      <c r="AO759" s="267" t="str">
        <f>IF(ISNUMBER(SEARCH("R", 'Dry_Litterbag Placem_Collection'!V100)),"YES","NO")</f>
        <v>NO</v>
      </c>
    </row>
    <row r="760" spans="1:41" ht="15" customHeight="1">
      <c r="A760" s="259" t="s">
        <v>2643</v>
      </c>
      <c r="B760" s="260">
        <f>'Dry_Litterbag Placem_Collection'!A101</f>
        <v>99</v>
      </c>
      <c r="C760" s="260" t="str">
        <f>'Dry_Litterbag Placem_Collection'!B101</f>
        <v xml:space="preserve">Mwantimba
</v>
      </c>
      <c r="D760" s="260" t="s">
        <v>2454</v>
      </c>
      <c r="E760" s="260" t="s">
        <v>2644</v>
      </c>
      <c r="F760" s="260">
        <v>1</v>
      </c>
      <c r="G760" s="260" t="s">
        <v>3815</v>
      </c>
      <c r="H760" s="261" t="str">
        <f>'Dry_Litterbag Placem_Collection'!C101</f>
        <v>Wet_Ag1_T3</v>
      </c>
      <c r="I760" s="270" t="s">
        <v>3630</v>
      </c>
      <c r="J760" s="271" t="s">
        <v>298</v>
      </c>
      <c r="K760" s="260" t="str">
        <f>IF(ISBLANK('Dry_Litterbag Placem_Collection'!M101),"","R"&amp;""&amp;'Dry_Litterbag Placem_Collection'!M101)</f>
        <v/>
      </c>
      <c r="L760" s="264" t="str">
        <f>IFERROR(INDEX('Green_rooibos initial weight'!$C$5:$C$2000,MATCH(K760, 'Green_rooibos initial weight'!$A$5:$A$2000,0)),"")</f>
        <v/>
      </c>
      <c r="M760" s="264" t="str">
        <f>IFERROR(L760-(TBIcalc!$Q$9+TBIcalc!$Q$10),"")</f>
        <v/>
      </c>
      <c r="N760" s="385">
        <f>AVERAGE(Ashed_controlls!$K$12:$K$14)</f>
        <v>2.2816647271287041</v>
      </c>
      <c r="O760" s="264" t="str">
        <f t="shared" si="56"/>
        <v/>
      </c>
      <c r="P760" s="264" t="str">
        <f>IFERROR(INDEX('Both teabags AfterDry'!$D$2:$D$2000,MATCH(K760,'Both teabags AfterDry'!$A$2:$A$2000,0)),"")</f>
        <v/>
      </c>
      <c r="Q760" s="264" t="str">
        <f>IFERROR(IF(P760&gt;0,P760-(TBIcalc!$Q$9),""),"")</f>
        <v/>
      </c>
      <c r="R760" s="275" t="str">
        <f>IFERROR(INDEX('Ashed teabags dry'!$K$2:$K$2000,MATCH(K760,'Ashed teabags dry'!$A$2:$A$2000,0)),"")</f>
        <v/>
      </c>
      <c r="S760" s="275" t="str">
        <f t="shared" si="57"/>
        <v/>
      </c>
      <c r="T760" s="265" t="str">
        <f>IF('Dry_Litterbag Placem_Collection'!E101="","",'Dry_Litterbag Placem_Collection'!E101)</f>
        <v/>
      </c>
      <c r="U760" s="265" t="str">
        <f>IF('Dry_Litterbag Placem_Collection'!G101="","",'Dry_Litterbag Placem_Collection'!G101)</f>
        <v/>
      </c>
      <c r="V760" s="266" t="str">
        <f t="shared" si="55"/>
        <v/>
      </c>
      <c r="W760" s="264" t="str">
        <f t="shared" si="58"/>
        <v/>
      </c>
      <c r="X760" s="264" t="str">
        <f t="shared" si="59"/>
        <v/>
      </c>
      <c r="Y760" s="268" t="str">
        <f>IFERROR(INDEX(Rainfall_Dry!$O$2:$O$217,MATCH(B760, Rainfall_Dry!$A$2:$A$217,0)),"")</f>
        <v/>
      </c>
      <c r="Z760" s="257">
        <v>45.96</v>
      </c>
      <c r="AA760" s="257">
        <v>14.920000000000003</v>
      </c>
      <c r="AB760" s="257">
        <v>39.119999999999997</v>
      </c>
      <c r="AC760" s="258" t="s">
        <v>2657</v>
      </c>
      <c r="AD760" s="257">
        <v>4.0374568753080302</v>
      </c>
      <c r="AE760">
        <f>IF('WetLitterbags placem_collection'!AB101="","",'WetLitterbags placem_collection'!AB101)</f>
        <v>5.0999999999999996</v>
      </c>
      <c r="AF760">
        <f>IF('WetLitterbags placem_collection'!Z101="","",'WetLitterbags placem_collection'!Z101)</f>
        <v>2.2999999999999998</v>
      </c>
      <c r="AG760" s="243" t="str">
        <f>IF('WetLitterbags placem_collection'!AA101="","",'WetLitterbags placem_collection'!AA101)</f>
        <v>G</v>
      </c>
      <c r="AH760">
        <f>IF('WetLitterbags placem_collection'!AC101="","",'WetLitterbags placem_collection'!AC101)</f>
        <v>0</v>
      </c>
      <c r="AI760" t="str">
        <f>IFERROR(AVERAGE('Dry_Litterbag Placem_Collection'!O101,'Dry_Litterbag Placem_Collection'!R101),"")</f>
        <v/>
      </c>
      <c r="AJ760" s="268" t="str">
        <f>IFERROR(AVERAGE('Dry_Litterbag Placem_Collection'!N101,'Dry_Litterbag Placem_Collection'!Q101),"")</f>
        <v/>
      </c>
      <c r="AK760" s="267">
        <f>INDEX(Coordinates!$B$2:$B$197,MATCH(H760,Coordinates!$J$2:$J$197,0))</f>
        <v>-2.369284993</v>
      </c>
      <c r="AL760" s="267">
        <f>INDEX(Coordinates!$C$2:$C$197,MATCH(H760,Coordinates!$J$2:$J$197,0))</f>
        <v>34.06028104</v>
      </c>
      <c r="AM760" s="267" t="str">
        <f>IF(ISNUMBER(SEARCH("C", 'Dry_Litterbag Placem_Collection'!V101)),"YES","NO")</f>
        <v>NO</v>
      </c>
      <c r="AN760" s="267" t="str">
        <f>IF(ISNUMBER(SEARCH("H", 'Dry_Litterbag Placem_Collection'!V101)),"YES","NO")</f>
        <v>NO</v>
      </c>
      <c r="AO760" s="267" t="str">
        <f>IF(ISNUMBER(SEARCH("R", 'Dry_Litterbag Placem_Collection'!V101)),"YES","NO")</f>
        <v>NO</v>
      </c>
    </row>
    <row r="761" spans="1:41" ht="15" customHeight="1">
      <c r="A761" s="259" t="s">
        <v>2643</v>
      </c>
      <c r="B761" s="260">
        <f>'Dry_Litterbag Placem_Collection'!A102</f>
        <v>100</v>
      </c>
      <c r="C761" s="260" t="str">
        <f>'Dry_Litterbag Placem_Collection'!B102</f>
        <v xml:space="preserve">Mwantimba
</v>
      </c>
      <c r="D761" s="260" t="s">
        <v>2454</v>
      </c>
      <c r="E761" s="260" t="s">
        <v>2644</v>
      </c>
      <c r="F761" s="260">
        <v>1</v>
      </c>
      <c r="G761" s="260" t="s">
        <v>3815</v>
      </c>
      <c r="H761" s="261" t="str">
        <f>'Dry_Litterbag Placem_Collection'!C102</f>
        <v>Wet_Ag1_T4</v>
      </c>
      <c r="I761" s="270" t="s">
        <v>3630</v>
      </c>
      <c r="J761" s="271" t="s">
        <v>298</v>
      </c>
      <c r="K761" s="260" t="str">
        <f>IF(ISBLANK('Dry_Litterbag Placem_Collection'!M102),"","R"&amp;""&amp;'Dry_Litterbag Placem_Collection'!M102)</f>
        <v>R641</v>
      </c>
      <c r="L761" s="264">
        <f>IFERROR(INDEX('Green_rooibos initial weight'!$C$5:$C$2000,MATCH(K761, 'Green_rooibos initial weight'!$A$5:$A$2000,0)),"")</f>
        <v>2.1459999999999999</v>
      </c>
      <c r="M761" s="264">
        <f>IFERROR(L761-(TBIcalc!$Q$9+TBIcalc!$Q$10),"")</f>
        <v>1.8961999999999999</v>
      </c>
      <c r="N761" s="385">
        <f>AVERAGE(Ashed_controlls!$K$12:$K$14)</f>
        <v>2.2816647271287041</v>
      </c>
      <c r="O761" s="264">
        <f t="shared" si="56"/>
        <v>1.8529350734441854</v>
      </c>
      <c r="P761" s="264">
        <f>IFERROR(INDEX('Both teabags AfterDry'!$D$2:$D$2000,MATCH(K761,'Both teabags AfterDry'!$A$2:$A$2000,0)),"")</f>
        <v>1.9777</v>
      </c>
      <c r="Q761" s="264">
        <f>IFERROR(IF(P761&gt;0,P761-(TBIcalc!$Q$9),""),"")</f>
        <v>1.8270999999999999</v>
      </c>
      <c r="R761" s="275">
        <f>IFERROR(INDEX('Ashed teabags dry'!$K$2:$K$2000,MATCH(K761,'Ashed teabags dry'!$A$2:$A$2000,0)),"")</f>
        <v>3.7708830548921735</v>
      </c>
      <c r="S761" s="275">
        <f t="shared" si="57"/>
        <v>1.758202195704065</v>
      </c>
      <c r="T761" s="265">
        <f>IF('Dry_Litterbag Placem_Collection'!E102="","",'Dry_Litterbag Placem_Collection'!E102)</f>
        <v>42939</v>
      </c>
      <c r="U761" s="265">
        <f>IF('Dry_Litterbag Placem_Collection'!G102="","",'Dry_Litterbag Placem_Collection'!G102)</f>
        <v>43010</v>
      </c>
      <c r="V761" s="266">
        <f t="shared" si="55"/>
        <v>71</v>
      </c>
      <c r="W761" s="264">
        <f t="shared" si="58"/>
        <v>6.9099999999999939E-2</v>
      </c>
      <c r="X761" s="264">
        <f t="shared" si="59"/>
        <v>9.4732877740120403E-2</v>
      </c>
      <c r="Y761" s="268">
        <f>IFERROR(INDEX(Rainfall_Dry!$O$2:$O$217,MATCH(B761, Rainfall_Dry!$A$2:$A$217,0)),"")</f>
        <v>137.19979645800001</v>
      </c>
      <c r="Z761" s="257">
        <v>45.96</v>
      </c>
      <c r="AA761" s="257">
        <v>14.920000000000003</v>
      </c>
      <c r="AB761" s="257">
        <v>39.119999999999997</v>
      </c>
      <c r="AC761" s="258" t="s">
        <v>2657</v>
      </c>
      <c r="AD761" s="257">
        <v>5.0374568753080302</v>
      </c>
      <c r="AE761">
        <f>IF('WetLitterbags placem_collection'!AB102="","",'WetLitterbags placem_collection'!AB102)</f>
        <v>1.6</v>
      </c>
      <c r="AF761">
        <f>IF('WetLitterbags placem_collection'!Z102="","",'WetLitterbags placem_collection'!Z102)</f>
        <v>15</v>
      </c>
      <c r="AG761" s="243" t="str">
        <f>IF('WetLitterbags placem_collection'!AA102="","",'WetLitterbags placem_collection'!AA102)</f>
        <v>G</v>
      </c>
      <c r="AH761">
        <f>IF('WetLitterbags placem_collection'!AC102="","",'WetLitterbags placem_collection'!AC102)</f>
        <v>1</v>
      </c>
      <c r="AI761">
        <f>IFERROR(AVERAGE('Dry_Litterbag Placem_Collection'!O102,'Dry_Litterbag Placem_Collection'!R102),"")</f>
        <v>6.75</v>
      </c>
      <c r="AJ761" s="268">
        <f>IFERROR(AVERAGE('Dry_Litterbag Placem_Collection'!N102,'Dry_Litterbag Placem_Collection'!Q102),"")</f>
        <v>29.1</v>
      </c>
      <c r="AK761" s="267">
        <f>INDEX(Coordinates!$B$2:$B$197,MATCH(H761,Coordinates!$J$2:$J$197,0))</f>
        <v>-2.3691989950000001</v>
      </c>
      <c r="AL761" s="267">
        <f>INDEX(Coordinates!$C$2:$C$197,MATCH(H761,Coordinates!$J$2:$J$197,0))</f>
        <v>34.060208029999998</v>
      </c>
      <c r="AM761" s="267" t="str">
        <f>IF(ISNUMBER(SEARCH("C", 'Dry_Litterbag Placem_Collection'!V102)),"YES","NO")</f>
        <v>NO</v>
      </c>
      <c r="AN761" s="267" t="str">
        <f>IF(ISNUMBER(SEARCH("H", 'Dry_Litterbag Placem_Collection'!V102)),"YES","NO")</f>
        <v>NO</v>
      </c>
      <c r="AO761" s="267" t="str">
        <f>IF(ISNUMBER(SEARCH("R", 'Dry_Litterbag Placem_Collection'!V102)),"YES","NO")</f>
        <v>NO</v>
      </c>
    </row>
    <row r="762" spans="1:41" ht="15" customHeight="1">
      <c r="A762" s="259" t="s">
        <v>2643</v>
      </c>
      <c r="B762" s="260">
        <f>'Dry_Litterbag Placem_Collection'!A103</f>
        <v>101</v>
      </c>
      <c r="C762" s="260" t="str">
        <f>'Dry_Litterbag Placem_Collection'!B103</f>
        <v xml:space="preserve">Mwantimba
</v>
      </c>
      <c r="D762" s="260" t="s">
        <v>2454</v>
      </c>
      <c r="E762" s="260" t="s">
        <v>2644</v>
      </c>
      <c r="F762" s="260">
        <v>1</v>
      </c>
      <c r="G762" s="260" t="s">
        <v>3815</v>
      </c>
      <c r="H762" s="261" t="str">
        <f>'Dry_Litterbag Placem_Collection'!C103</f>
        <v>Wet_Ag1_T5</v>
      </c>
      <c r="I762" s="270" t="s">
        <v>3630</v>
      </c>
      <c r="J762" s="271" t="s">
        <v>298</v>
      </c>
      <c r="K762" s="260" t="str">
        <f>IF(ISBLANK('Dry_Litterbag Placem_Collection'!M103),"","R"&amp;""&amp;'Dry_Litterbag Placem_Collection'!M103)</f>
        <v>R245</v>
      </c>
      <c r="L762" s="264">
        <f>IFERROR(INDEX('Green_rooibos initial weight'!$C$5:$C$2000,MATCH(K762, 'Green_rooibos initial weight'!$A$5:$A$2000,0)),"")</f>
        <v>2.258</v>
      </c>
      <c r="M762" s="264">
        <f>IFERROR(L762-(TBIcalc!$Q$9+TBIcalc!$Q$10),"")</f>
        <v>2.0082</v>
      </c>
      <c r="N762" s="385">
        <f>AVERAGE(Ashed_controlls!$K$12:$K$14)</f>
        <v>2.2816647271287041</v>
      </c>
      <c r="O762" s="264">
        <f t="shared" si="56"/>
        <v>1.9623796089498013</v>
      </c>
      <c r="P762" s="264">
        <f>IFERROR(INDEX('Both teabags AfterDry'!$D$2:$D$2000,MATCH(K762,'Both teabags AfterDry'!$A$2:$A$2000,0)),"")</f>
        <v>1.8418000000000001</v>
      </c>
      <c r="Q762" s="264">
        <f>IFERROR(IF(P762&gt;0,P762-(TBIcalc!$Q$9),""),"")</f>
        <v>1.6912</v>
      </c>
      <c r="R762" s="275">
        <f>IFERROR(INDEX('Ashed teabags dry'!$K$2:$K$2000,MATCH(K762,'Ashed teabags dry'!$A$2:$A$2000,0)),"")</f>
        <v>3.2786885245898914</v>
      </c>
      <c r="S762" s="275">
        <f t="shared" si="57"/>
        <v>1.6357508196721358</v>
      </c>
      <c r="T762" s="265">
        <f>IF('Dry_Litterbag Placem_Collection'!E103="","",'Dry_Litterbag Placem_Collection'!E103)</f>
        <v>42939</v>
      </c>
      <c r="U762" s="265">
        <f>IF('Dry_Litterbag Placem_Collection'!G103="","",'Dry_Litterbag Placem_Collection'!G103)</f>
        <v>43010</v>
      </c>
      <c r="V762" s="266">
        <f t="shared" si="55"/>
        <v>71</v>
      </c>
      <c r="W762" s="264">
        <f t="shared" si="58"/>
        <v>0.31699999999999995</v>
      </c>
      <c r="X762" s="264">
        <f t="shared" si="59"/>
        <v>0.32662878927766559</v>
      </c>
      <c r="Y762" s="268">
        <f>IFERROR(INDEX(Rainfall_Dry!$O$2:$O$217,MATCH(B762, Rainfall_Dry!$A$2:$A$217,0)),"")</f>
        <v>137.19979645800001</v>
      </c>
      <c r="Z762" s="257">
        <v>45.96</v>
      </c>
      <c r="AA762" s="257">
        <v>14.920000000000003</v>
      </c>
      <c r="AB762" s="257">
        <v>39.119999999999997</v>
      </c>
      <c r="AC762" s="258" t="s">
        <v>2657</v>
      </c>
      <c r="AD762" s="257">
        <v>6.0374568753080302</v>
      </c>
      <c r="AE762">
        <f>IF('WetLitterbags placem_collection'!AB103="","",'WetLitterbags placem_collection'!AB103)</f>
        <v>4.3499999999999996</v>
      </c>
      <c r="AF762">
        <f>IF('WetLitterbags placem_collection'!Z103="","",'WetLitterbags placem_collection'!Z103)</f>
        <v>17</v>
      </c>
      <c r="AG762" s="243" t="str">
        <f>IF('WetLitterbags placem_collection'!AA103="","",'WetLitterbags placem_collection'!AA103)</f>
        <v>G</v>
      </c>
      <c r="AH762">
        <f>IF('WetLitterbags placem_collection'!AC103="","",'WetLitterbags placem_collection'!AC103)</f>
        <v>1</v>
      </c>
      <c r="AI762">
        <f>IFERROR(AVERAGE('Dry_Litterbag Placem_Collection'!O103,'Dry_Litterbag Placem_Collection'!R103),"")</f>
        <v>7.75</v>
      </c>
      <c r="AJ762" s="268">
        <f>IFERROR(AVERAGE('Dry_Litterbag Placem_Collection'!N103,'Dry_Litterbag Placem_Collection'!Q103),"")</f>
        <v>29.549999999999997</v>
      </c>
      <c r="AK762" s="267">
        <f>INDEX(Coordinates!$B$2:$B$197,MATCH(H762,Coordinates!$J$2:$J$197,0))</f>
        <v>-2.3691900260000001</v>
      </c>
      <c r="AL762" s="267">
        <f>INDEX(Coordinates!$C$2:$C$197,MATCH(H762,Coordinates!$J$2:$J$197,0))</f>
        <v>34.060177019999998</v>
      </c>
      <c r="AM762" s="267" t="str">
        <f>IF(ISNUMBER(SEARCH("C", 'Dry_Litterbag Placem_Collection'!V103)),"YES","NO")</f>
        <v>NO</v>
      </c>
      <c r="AN762" s="267" t="str">
        <f>IF(ISNUMBER(SEARCH("H", 'Dry_Litterbag Placem_Collection'!V103)),"YES","NO")</f>
        <v>NO</v>
      </c>
      <c r="AO762" s="267" t="str">
        <f>IF(ISNUMBER(SEARCH("R", 'Dry_Litterbag Placem_Collection'!V103)),"YES","NO")</f>
        <v>NO</v>
      </c>
    </row>
    <row r="763" spans="1:41" ht="15" customHeight="1">
      <c r="A763" s="259" t="s">
        <v>2643</v>
      </c>
      <c r="B763" s="260">
        <f>'Dry_Litterbag Placem_Collection'!A104</f>
        <v>102</v>
      </c>
      <c r="C763" s="260" t="str">
        <f>'Dry_Litterbag Placem_Collection'!B104</f>
        <v xml:space="preserve">Mwantimba
</v>
      </c>
      <c r="D763" s="260" t="s">
        <v>2454</v>
      </c>
      <c r="E763" s="260" t="s">
        <v>2644</v>
      </c>
      <c r="F763" s="260">
        <v>1</v>
      </c>
      <c r="G763" s="260" t="s">
        <v>3815</v>
      </c>
      <c r="H763" s="261" t="str">
        <f>'Dry_Litterbag Placem_Collection'!C104</f>
        <v>Wet_Ag1_T6</v>
      </c>
      <c r="I763" s="270" t="s">
        <v>3630</v>
      </c>
      <c r="J763" s="271" t="s">
        <v>298</v>
      </c>
      <c r="K763" s="260" t="str">
        <f>IF(ISBLANK('Dry_Litterbag Placem_Collection'!M104),"","R"&amp;""&amp;'Dry_Litterbag Placem_Collection'!M104)</f>
        <v>R714</v>
      </c>
      <c r="L763" s="264">
        <f>IFERROR(INDEX('Green_rooibos initial weight'!$C$5:$C$2000,MATCH(K763, 'Green_rooibos initial weight'!$A$5:$A$2000,0)),"")</f>
        <v>2.1560000000000001</v>
      </c>
      <c r="M763" s="264">
        <f>IFERROR(L763-(TBIcalc!$Q$9+TBIcalc!$Q$10),"")</f>
        <v>1.9062000000000001</v>
      </c>
      <c r="N763" s="385">
        <f>AVERAGE(Ashed_controlls!$K$12:$K$14)</f>
        <v>2.2816647271287041</v>
      </c>
      <c r="O763" s="264">
        <f t="shared" si="56"/>
        <v>1.8627069069714728</v>
      </c>
      <c r="P763" s="264">
        <f>IFERROR(INDEX('Both teabags AfterDry'!$D$2:$D$2000,MATCH(K763,'Both teabags AfterDry'!$A$2:$A$2000,0)),"")</f>
        <v>1.8105</v>
      </c>
      <c r="Q763" s="264">
        <f>IFERROR(IF(P763&gt;0,P763-(TBIcalc!$Q$9),""),"")</f>
        <v>1.6598999999999999</v>
      </c>
      <c r="R763" s="275">
        <f>IFERROR(INDEX('Ashed teabags dry'!$K$2:$K$2000,MATCH(K763,'Ashed teabags dry'!$A$2:$A$2000,0)),"")</f>
        <v>4.3863535666823292</v>
      </c>
      <c r="S763" s="275">
        <f t="shared" si="57"/>
        <v>1.5870909171466399</v>
      </c>
      <c r="T763" s="265">
        <f>IF('Dry_Litterbag Placem_Collection'!E104="","",'Dry_Litterbag Placem_Collection'!E104)</f>
        <v>42939</v>
      </c>
      <c r="U763" s="265">
        <f>IF('Dry_Litterbag Placem_Collection'!G104="","",'Dry_Litterbag Placem_Collection'!G104)</f>
        <v>43010</v>
      </c>
      <c r="V763" s="266">
        <f t="shared" si="55"/>
        <v>71</v>
      </c>
      <c r="W763" s="264">
        <f t="shared" si="58"/>
        <v>0.24630000000000019</v>
      </c>
      <c r="X763" s="264">
        <f t="shared" si="59"/>
        <v>0.27561598982483293</v>
      </c>
      <c r="Y763" s="268">
        <f>IFERROR(INDEX(Rainfall_Dry!$O$2:$O$217,MATCH(B763, Rainfall_Dry!$A$2:$A$217,0)),"")</f>
        <v>137.19979645800001</v>
      </c>
      <c r="Z763" s="257">
        <v>45.96</v>
      </c>
      <c r="AA763" s="257">
        <v>14.920000000000003</v>
      </c>
      <c r="AB763" s="257">
        <v>39.119999999999997</v>
      </c>
      <c r="AC763" s="258" t="s">
        <v>2657</v>
      </c>
      <c r="AD763" s="257">
        <v>7.0374568753080302</v>
      </c>
      <c r="AE763">
        <f>IF('WetLitterbags placem_collection'!AB104="","",'WetLitterbags placem_collection'!AB104)</f>
        <v>7.7</v>
      </c>
      <c r="AF763">
        <f>IF('WetLitterbags placem_collection'!Z104="","",'WetLitterbags placem_collection'!Z104)</f>
        <v>21</v>
      </c>
      <c r="AG763" s="243" t="str">
        <f>IF('WetLitterbags placem_collection'!AA104="","",'WetLitterbags placem_collection'!AA104)</f>
        <v>G</v>
      </c>
      <c r="AH763">
        <f>IF('WetLitterbags placem_collection'!AC104="","",'WetLitterbags placem_collection'!AC104)</f>
        <v>1</v>
      </c>
      <c r="AI763">
        <f>IFERROR(AVERAGE('Dry_Litterbag Placem_Collection'!O104,'Dry_Litterbag Placem_Collection'!R104),"")</f>
        <v>7.3000000000000007</v>
      </c>
      <c r="AJ763" s="268">
        <f>IFERROR(AVERAGE('Dry_Litterbag Placem_Collection'!N104,'Dry_Litterbag Placem_Collection'!Q104),"")</f>
        <v>29.05</v>
      </c>
      <c r="AK763" s="267">
        <f>INDEX(Coordinates!$B$2:$B$197,MATCH(H763,Coordinates!$J$2:$J$197,0))</f>
        <v>-2.3691350409999998</v>
      </c>
      <c r="AL763" s="267">
        <f>INDEX(Coordinates!$C$2:$C$197,MATCH(H763,Coordinates!$J$2:$J$197,0))</f>
        <v>34.06018297</v>
      </c>
      <c r="AM763" s="267" t="str">
        <f>IF(ISNUMBER(SEARCH("C", 'Dry_Litterbag Placem_Collection'!V104)),"YES","NO")</f>
        <v>NO</v>
      </c>
      <c r="AN763" s="267" t="str">
        <f>IF(ISNUMBER(SEARCH("H", 'Dry_Litterbag Placem_Collection'!V104)),"YES","NO")</f>
        <v>NO</v>
      </c>
      <c r="AO763" s="267" t="str">
        <f>IF(ISNUMBER(SEARCH("R", 'Dry_Litterbag Placem_Collection'!V104)),"YES","NO")</f>
        <v>NO</v>
      </c>
    </row>
    <row r="764" spans="1:41" ht="15" customHeight="1">
      <c r="A764" s="259" t="s">
        <v>2643</v>
      </c>
      <c r="B764" s="260">
        <f>'Dry_Litterbag Placem_Collection'!A105</f>
        <v>103</v>
      </c>
      <c r="C764" s="260" t="str">
        <f>'Dry_Litterbag Placem_Collection'!B105</f>
        <v xml:space="preserve">Mwantimba
</v>
      </c>
      <c r="D764" s="260" t="s">
        <v>2454</v>
      </c>
      <c r="E764" s="260" t="s">
        <v>2644</v>
      </c>
      <c r="F764" s="260">
        <v>1</v>
      </c>
      <c r="G764" s="260" t="s">
        <v>3815</v>
      </c>
      <c r="H764" s="261" t="str">
        <f>'Dry_Litterbag Placem_Collection'!C105</f>
        <v>Wet_Ag1_T7</v>
      </c>
      <c r="I764" s="270" t="s">
        <v>3630</v>
      </c>
      <c r="J764" s="271" t="s">
        <v>298</v>
      </c>
      <c r="K764" s="260" t="str">
        <f>IF(ISBLANK('Dry_Litterbag Placem_Collection'!M105),"","R"&amp;""&amp;'Dry_Litterbag Placem_Collection'!M105)</f>
        <v>R701</v>
      </c>
      <c r="L764" s="264">
        <f>IFERROR(INDEX('Green_rooibos initial weight'!$C$5:$C$2000,MATCH(K764, 'Green_rooibos initial weight'!$A$5:$A$2000,0)),"")</f>
        <v>2.1549999999999998</v>
      </c>
      <c r="M764" s="264">
        <f>IFERROR(L764-(TBIcalc!$Q$9+TBIcalc!$Q$10),"")</f>
        <v>1.9051999999999998</v>
      </c>
      <c r="N764" s="385">
        <f>AVERAGE(Ashed_controlls!$K$12:$K$14)</f>
        <v>2.2816647271287041</v>
      </c>
      <c r="O764" s="264">
        <f t="shared" si="56"/>
        <v>1.8617297236187438</v>
      </c>
      <c r="P764" s="264">
        <f>IFERROR(INDEX('Both teabags AfterDry'!$D$2:$D$2000,MATCH(K764,'Both teabags AfterDry'!$A$2:$A$2000,0)),"")</f>
        <v>1.8272999999999999</v>
      </c>
      <c r="Q764" s="264">
        <f>IFERROR(IF(P764&gt;0,P764-(TBIcalc!$Q$9),""),"")</f>
        <v>1.6766999999999999</v>
      </c>
      <c r="R764" s="275">
        <f>IFERROR(INDEX('Ashed teabags dry'!$K$2:$K$2000,MATCH(K764,'Ashed teabags dry'!$A$2:$A$2000,0)),"")</f>
        <v>4.2152466367706989</v>
      </c>
      <c r="S764" s="275">
        <f t="shared" si="57"/>
        <v>1.6060229596412656</v>
      </c>
      <c r="T764" s="265">
        <f>IF('Dry_Litterbag Placem_Collection'!E105="","",'Dry_Litterbag Placem_Collection'!E105)</f>
        <v>42939</v>
      </c>
      <c r="U764" s="265">
        <f>IF('Dry_Litterbag Placem_Collection'!G105="","",'Dry_Litterbag Placem_Collection'!G105)</f>
        <v>43010</v>
      </c>
      <c r="V764" s="266">
        <f t="shared" si="55"/>
        <v>71</v>
      </c>
      <c r="W764" s="264">
        <f t="shared" si="58"/>
        <v>0.22849999999999993</v>
      </c>
      <c r="X764" s="264">
        <f t="shared" si="59"/>
        <v>0.25570676397747816</v>
      </c>
      <c r="Y764" s="268">
        <f>IFERROR(INDEX(Rainfall_Dry!$O$2:$O$217,MATCH(B764, Rainfall_Dry!$A$2:$A$217,0)),"")</f>
        <v>137.19979645800001</v>
      </c>
      <c r="Z764" s="257">
        <v>45.96</v>
      </c>
      <c r="AA764" s="257">
        <v>14.920000000000003</v>
      </c>
      <c r="AB764" s="257">
        <v>39.119999999999997</v>
      </c>
      <c r="AC764" s="258" t="s">
        <v>2657</v>
      </c>
      <c r="AD764" s="257">
        <v>8.0374568753080293</v>
      </c>
      <c r="AE764">
        <f>IF('WetLitterbags placem_collection'!AB105="","",'WetLitterbags placem_collection'!AB105)</f>
        <v>3.25</v>
      </c>
      <c r="AF764">
        <f>IF('WetLitterbags placem_collection'!Z105="","",'WetLitterbags placem_collection'!Z105)</f>
        <v>16</v>
      </c>
      <c r="AG764" s="243" t="str">
        <f>IF('WetLitterbags placem_collection'!AA105="","",'WetLitterbags placem_collection'!AA105)</f>
        <v>G</v>
      </c>
      <c r="AH764">
        <f>IF('WetLitterbags placem_collection'!AC105="","",'WetLitterbags placem_collection'!AC105)</f>
        <v>1</v>
      </c>
      <c r="AI764">
        <f>IFERROR(AVERAGE('Dry_Litterbag Placem_Collection'!O105,'Dry_Litterbag Placem_Collection'!R105),"")</f>
        <v>30.9</v>
      </c>
      <c r="AJ764" s="268">
        <f>IFERROR(AVERAGE('Dry_Litterbag Placem_Collection'!N105,'Dry_Litterbag Placem_Collection'!Q105),"")</f>
        <v>28.799999999999997</v>
      </c>
      <c r="AK764" s="267">
        <f>INDEX(Coordinates!$B$2:$B$197,MATCH(H764,Coordinates!$J$2:$J$197,0))</f>
        <v>-2.3691330289999999</v>
      </c>
      <c r="AL764" s="267">
        <f>INDEX(Coordinates!$C$2:$C$197,MATCH(H764,Coordinates!$J$2:$J$197,0))</f>
        <v>34.060233009999997</v>
      </c>
      <c r="AM764" s="267" t="str">
        <f>IF(ISNUMBER(SEARCH("C", 'Dry_Litterbag Placem_Collection'!V105)),"YES","NO")</f>
        <v>NO</v>
      </c>
      <c r="AN764" s="267" t="str">
        <f>IF(ISNUMBER(SEARCH("H", 'Dry_Litterbag Placem_Collection'!V105)),"YES","NO")</f>
        <v>NO</v>
      </c>
      <c r="AO764" s="267" t="str">
        <f>IF(ISNUMBER(SEARCH("R", 'Dry_Litterbag Placem_Collection'!V105)),"YES","NO")</f>
        <v>NO</v>
      </c>
    </row>
    <row r="765" spans="1:41" ht="15" customHeight="1">
      <c r="A765" s="259" t="s">
        <v>2643</v>
      </c>
      <c r="B765" s="260">
        <f>'Dry_Litterbag Placem_Collection'!A106</f>
        <v>104</v>
      </c>
      <c r="C765" s="260" t="str">
        <f>'Dry_Litterbag Placem_Collection'!B106</f>
        <v xml:space="preserve">Mwantimba
</v>
      </c>
      <c r="D765" s="260" t="s">
        <v>2454</v>
      </c>
      <c r="E765" s="260" t="s">
        <v>2644</v>
      </c>
      <c r="F765" s="260">
        <v>1</v>
      </c>
      <c r="G765" s="260" t="s">
        <v>3815</v>
      </c>
      <c r="H765" s="261" t="str">
        <f>'Dry_Litterbag Placem_Collection'!C106</f>
        <v>Wet_Ag1_T8</v>
      </c>
      <c r="I765" s="270" t="s">
        <v>3630</v>
      </c>
      <c r="J765" s="271" t="s">
        <v>298</v>
      </c>
      <c r="K765" s="260" t="str">
        <f>IF(ISBLANK('Dry_Litterbag Placem_Collection'!M106),"","R"&amp;""&amp;'Dry_Litterbag Placem_Collection'!M106)</f>
        <v>R365</v>
      </c>
      <c r="L765" s="264">
        <f>IFERROR(INDEX('Green_rooibos initial weight'!$C$5:$C$2000,MATCH(K765, 'Green_rooibos initial weight'!$A$5:$A$2000,0)),"")</f>
        <v>2.2130000000000001</v>
      </c>
      <c r="M765" s="264">
        <f>IFERROR(L765-(TBIcalc!$Q$9+TBIcalc!$Q$10),"")</f>
        <v>1.9632000000000001</v>
      </c>
      <c r="N765" s="385">
        <f>AVERAGE(Ashed_controlls!$K$12:$K$14)</f>
        <v>2.2816647271287041</v>
      </c>
      <c r="O765" s="264">
        <f t="shared" si="56"/>
        <v>1.9184063580770094</v>
      </c>
      <c r="P765" s="264">
        <f>IFERROR(INDEX('Both teabags AfterDry'!$D$2:$D$2000,MATCH(K765,'Both teabags AfterDry'!$A$2:$A$2000,0)),"")</f>
        <v>1.9468000000000001</v>
      </c>
      <c r="Q765" s="264">
        <f>IFERROR(IF(P765&gt;0,P765-(TBIcalc!$Q$9),""),"")</f>
        <v>1.7962</v>
      </c>
      <c r="R765" s="275">
        <f>IFERROR(INDEX('Ashed teabags dry'!$K$2:$K$2000,MATCH(K765,'Ashed teabags dry'!$A$2:$A$2000,0)),"")</f>
        <v>3.5681186283600224</v>
      </c>
      <c r="S765" s="275">
        <f t="shared" si="57"/>
        <v>1.7321094531973973</v>
      </c>
      <c r="T765" s="265">
        <f>IF('Dry_Litterbag Placem_Collection'!E106="","",'Dry_Litterbag Placem_Collection'!E106)</f>
        <v>42939</v>
      </c>
      <c r="U765" s="265">
        <f>IF('Dry_Litterbag Placem_Collection'!G106="","",'Dry_Litterbag Placem_Collection'!G106)</f>
        <v>43010</v>
      </c>
      <c r="V765" s="266">
        <f t="shared" si="55"/>
        <v>71</v>
      </c>
      <c r="W765" s="264">
        <f t="shared" si="58"/>
        <v>0.16700000000000004</v>
      </c>
      <c r="X765" s="264">
        <f t="shared" si="59"/>
        <v>0.18629690487961215</v>
      </c>
      <c r="Y765" s="268">
        <f>IFERROR(INDEX(Rainfall_Dry!$O$2:$O$217,MATCH(B765, Rainfall_Dry!$A$2:$A$217,0)),"")</f>
        <v>137.19979645800001</v>
      </c>
      <c r="Z765" s="257">
        <v>45.96</v>
      </c>
      <c r="AA765" s="257">
        <v>14.920000000000003</v>
      </c>
      <c r="AB765" s="257">
        <v>39.119999999999997</v>
      </c>
      <c r="AC765" s="258" t="s">
        <v>2657</v>
      </c>
      <c r="AD765" s="257">
        <v>9.0374568753080293</v>
      </c>
      <c r="AE765">
        <f>IF('WetLitterbags placem_collection'!AB106="","",'WetLitterbags placem_collection'!AB106)</f>
        <v>10.5</v>
      </c>
      <c r="AF765">
        <f>IF('WetLitterbags placem_collection'!Z106="","",'WetLitterbags placem_collection'!Z106)</f>
        <v>17</v>
      </c>
      <c r="AG765" s="243" t="str">
        <f>IF('WetLitterbags placem_collection'!AA106="","",'WetLitterbags placem_collection'!AA106)</f>
        <v>G</v>
      </c>
      <c r="AH765">
        <f>IF('WetLitterbags placem_collection'!AC106="","",'WetLitterbags placem_collection'!AC106)</f>
        <v>1</v>
      </c>
      <c r="AI765">
        <f>IFERROR(AVERAGE('Dry_Litterbag Placem_Collection'!O106,'Dry_Litterbag Placem_Collection'!R106),"")</f>
        <v>9.3000000000000007</v>
      </c>
      <c r="AJ765" s="268">
        <f>IFERROR(AVERAGE('Dry_Litterbag Placem_Collection'!N106,'Dry_Litterbag Placem_Collection'!Q106),"")</f>
        <v>28.05</v>
      </c>
      <c r="AK765" s="267">
        <f>INDEX(Coordinates!$B$2:$B$197,MATCH(H765,Coordinates!$J$2:$J$197,0))</f>
        <v>-2.3692910280000001</v>
      </c>
      <c r="AL765" s="267">
        <f>INDEX(Coordinates!$C$2:$C$197,MATCH(H765,Coordinates!$J$2:$J$197,0))</f>
        <v>34.06016202</v>
      </c>
      <c r="AM765" s="267" t="str">
        <f>IF(ISNUMBER(SEARCH("C", 'Dry_Litterbag Placem_Collection'!V106)),"YES","NO")</f>
        <v>NO</v>
      </c>
      <c r="AN765" s="267" t="str">
        <f>IF(ISNUMBER(SEARCH("H", 'Dry_Litterbag Placem_Collection'!V106)),"YES","NO")</f>
        <v>NO</v>
      </c>
      <c r="AO765" s="267" t="str">
        <f>IF(ISNUMBER(SEARCH("R", 'Dry_Litterbag Placem_Collection'!V106)),"YES","NO")</f>
        <v>NO</v>
      </c>
    </row>
    <row r="766" spans="1:41" ht="15" customHeight="1">
      <c r="A766" s="259" t="s">
        <v>2643</v>
      </c>
      <c r="B766" s="260">
        <f>'Dry_Litterbag Placem_Collection'!A107</f>
        <v>105</v>
      </c>
      <c r="C766" s="260" t="str">
        <f>'Dry_Litterbag Placem_Collection'!B107</f>
        <v xml:space="preserve">Mwantimba
</v>
      </c>
      <c r="D766" s="260" t="s">
        <v>2454</v>
      </c>
      <c r="E766" s="260" t="s">
        <v>2644</v>
      </c>
      <c r="F766" s="260">
        <v>2</v>
      </c>
      <c r="G766" s="260" t="s">
        <v>3817</v>
      </c>
      <c r="H766" s="261" t="str">
        <f>'Dry_Litterbag Placem_Collection'!C107</f>
        <v>Wet_Ag2_T1</v>
      </c>
      <c r="I766" s="270" t="s">
        <v>3630</v>
      </c>
      <c r="J766" s="271" t="s">
        <v>298</v>
      </c>
      <c r="K766" s="260" t="str">
        <f>IF(ISBLANK('Dry_Litterbag Placem_Collection'!M107),"","R"&amp;""&amp;'Dry_Litterbag Placem_Collection'!M107)</f>
        <v>R212</v>
      </c>
      <c r="L766" s="264">
        <f>IFERROR(INDEX('Green_rooibos initial weight'!$C$5:$C$2000,MATCH(K766, 'Green_rooibos initial weight'!$A$5:$A$2000,0)),"")</f>
        <v>2.2519999999999998</v>
      </c>
      <c r="M766" s="264">
        <f>IFERROR(L766-(TBIcalc!$Q$9+TBIcalc!$Q$10),"")</f>
        <v>2.0021999999999998</v>
      </c>
      <c r="N766" s="385">
        <f>AVERAGE(Ashed_controlls!$K$12:$K$14)</f>
        <v>2.2816647271287041</v>
      </c>
      <c r="O766" s="264">
        <f t="shared" si="56"/>
        <v>1.9565165088334289</v>
      </c>
      <c r="P766" s="264">
        <f>IFERROR(INDEX('Both teabags AfterDry'!$D$2:$D$2000,MATCH(K766,'Both teabags AfterDry'!$A$2:$A$2000,0)),"")</f>
        <v>1.9135</v>
      </c>
      <c r="Q766" s="264">
        <f>IFERROR(IF(P766&gt;0,P766-(TBIcalc!$Q$9),""),"")</f>
        <v>1.7628999999999999</v>
      </c>
      <c r="R766" s="275">
        <f>IFERROR(INDEX('Ashed teabags dry'!$K$2:$K$2000,MATCH(K766,'Ashed teabags dry'!$A$2:$A$2000,0)),"")</f>
        <v>7.1020019065774402</v>
      </c>
      <c r="S766" s="275">
        <f t="shared" si="57"/>
        <v>1.6376988083889463</v>
      </c>
      <c r="T766" s="265">
        <f>IF('Dry_Litterbag Placem_Collection'!E107="","",'Dry_Litterbag Placem_Collection'!E107)</f>
        <v>42939</v>
      </c>
      <c r="U766" s="265">
        <f>IF('Dry_Litterbag Placem_Collection'!G107="","",'Dry_Litterbag Placem_Collection'!G107)</f>
        <v>43010</v>
      </c>
      <c r="V766" s="266">
        <f t="shared" si="55"/>
        <v>71</v>
      </c>
      <c r="W766" s="264">
        <f t="shared" si="58"/>
        <v>0.23929999999999985</v>
      </c>
      <c r="X766" s="264">
        <f t="shared" si="59"/>
        <v>0.31881770044448254</v>
      </c>
      <c r="Y766" s="268">
        <f>IFERROR(INDEX(Rainfall_Dry!$O$2:$O$217,MATCH(B766, Rainfall_Dry!$A$2:$A$217,0)),"")</f>
        <v>137.19979645800001</v>
      </c>
      <c r="Z766" s="257">
        <v>34.344660194174757</v>
      </c>
      <c r="AA766" s="257">
        <v>19.22727272727273</v>
      </c>
      <c r="AB766" s="257">
        <v>46.428067078552509</v>
      </c>
      <c r="AC766" s="258" t="s">
        <v>2654</v>
      </c>
      <c r="AD766" s="257">
        <v>1.7452932479053718</v>
      </c>
      <c r="AE766">
        <f>IF('WetLitterbags placem_collection'!AB107="","",'WetLitterbags placem_collection'!AB107)</f>
        <v>5.5</v>
      </c>
      <c r="AF766">
        <f>IF('WetLitterbags placem_collection'!Z107="","",'WetLitterbags placem_collection'!Z107)</f>
        <v>23.5</v>
      </c>
      <c r="AG766" s="243" t="str">
        <f>IF('WetLitterbags placem_collection'!AA107="","",'WetLitterbags placem_collection'!AA107)</f>
        <v>M</v>
      </c>
      <c r="AH766">
        <f>IF('WetLitterbags placem_collection'!AC107="","",'WetLitterbags placem_collection'!AC107)</f>
        <v>0</v>
      </c>
      <c r="AI766">
        <f>IFERROR(AVERAGE('Dry_Litterbag Placem_Collection'!O107,'Dry_Litterbag Placem_Collection'!R107),"")</f>
        <v>7.5500000000000007</v>
      </c>
      <c r="AJ766" s="268">
        <f>IFERROR(AVERAGE('Dry_Litterbag Placem_Collection'!N107,'Dry_Litterbag Placem_Collection'!Q107),"")</f>
        <v>30.549999999999997</v>
      </c>
      <c r="AK766" s="267">
        <f>INDEX(Coordinates!$B$2:$B$197,MATCH(H766,Coordinates!$J$2:$J$197,0))</f>
        <v>-2.3698080240000001</v>
      </c>
      <c r="AL766" s="267">
        <f>INDEX(Coordinates!$C$2:$C$197,MATCH(H766,Coordinates!$J$2:$J$197,0))</f>
        <v>34.059671010000002</v>
      </c>
      <c r="AM766" s="267" t="str">
        <f>IF(ISNUMBER(SEARCH("C", 'Dry_Litterbag Placem_Collection'!V107)),"YES","NO")</f>
        <v>NO</v>
      </c>
      <c r="AN766" s="267" t="str">
        <f>IF(ISNUMBER(SEARCH("H", 'Dry_Litterbag Placem_Collection'!V107)),"YES","NO")</f>
        <v>NO</v>
      </c>
      <c r="AO766" s="267" t="str">
        <f>IF(ISNUMBER(SEARCH("R", 'Dry_Litterbag Placem_Collection'!V107)),"YES","NO")</f>
        <v>NO</v>
      </c>
    </row>
    <row r="767" spans="1:41" ht="15" customHeight="1">
      <c r="A767" s="259" t="s">
        <v>2643</v>
      </c>
      <c r="B767" s="260">
        <f>'Dry_Litterbag Placem_Collection'!A108</f>
        <v>106</v>
      </c>
      <c r="C767" s="260" t="str">
        <f>'Dry_Litterbag Placem_Collection'!B108</f>
        <v xml:space="preserve">Mwantimba
</v>
      </c>
      <c r="D767" s="260" t="s">
        <v>2454</v>
      </c>
      <c r="E767" s="260" t="s">
        <v>2644</v>
      </c>
      <c r="F767" s="260">
        <v>2</v>
      </c>
      <c r="G767" s="260" t="s">
        <v>3817</v>
      </c>
      <c r="H767" s="261" t="str">
        <f>'Dry_Litterbag Placem_Collection'!C108</f>
        <v>Wet_Ag2_T2</v>
      </c>
      <c r="I767" s="270" t="s">
        <v>3630</v>
      </c>
      <c r="J767" s="271" t="s">
        <v>298</v>
      </c>
      <c r="K767" s="260" t="str">
        <f>IF(ISBLANK('Dry_Litterbag Placem_Collection'!M108),"","R"&amp;""&amp;'Dry_Litterbag Placem_Collection'!M108)</f>
        <v>R66</v>
      </c>
      <c r="L767" s="264">
        <f>IFERROR(INDEX('Green_rooibos initial weight'!$C$5:$C$2000,MATCH(K767, 'Green_rooibos initial weight'!$A$5:$A$2000,0)),"")</f>
        <v>2.1120000000000001</v>
      </c>
      <c r="M767" s="264">
        <f>IFERROR(L767-(TBIcalc!$Q$9+TBIcalc!$Q$10),"")</f>
        <v>1.8622000000000001</v>
      </c>
      <c r="N767" s="385">
        <f>AVERAGE(Ashed_controlls!$K$12:$K$14)</f>
        <v>2.2816647271287041</v>
      </c>
      <c r="O767" s="264">
        <f t="shared" si="56"/>
        <v>1.8197108394514094</v>
      </c>
      <c r="P767" s="264">
        <f>IFERROR(INDEX('Both teabags AfterDry'!$D$2:$D$2000,MATCH(K767,'Both teabags AfterDry'!$A$2:$A$2000,0)),"")</f>
        <v>1.7972999999999999</v>
      </c>
      <c r="Q767" s="264">
        <f>IFERROR(IF(P767&gt;0,P767-(TBIcalc!$Q$9),""),"")</f>
        <v>1.6466999999999998</v>
      </c>
      <c r="R767" s="275">
        <f>IFERROR(INDEX('Ashed teabags dry'!$K$2:$K$2000,MATCH(K767,'Ashed teabags dry'!$A$2:$A$2000,0)),"")</f>
        <v>2.6819923371648411</v>
      </c>
      <c r="S767" s="275">
        <f t="shared" si="57"/>
        <v>1.6025356321839064</v>
      </c>
      <c r="T767" s="265">
        <f>IF('Dry_Litterbag Placem_Collection'!E108="","",'Dry_Litterbag Placem_Collection'!E108)</f>
        <v>42939</v>
      </c>
      <c r="U767" s="265">
        <f>IF('Dry_Litterbag Placem_Collection'!G108="","",'Dry_Litterbag Placem_Collection'!G108)</f>
        <v>43010</v>
      </c>
      <c r="V767" s="266">
        <f t="shared" si="55"/>
        <v>71</v>
      </c>
      <c r="W767" s="264">
        <f t="shared" si="58"/>
        <v>0.21550000000000025</v>
      </c>
      <c r="X767" s="264">
        <f t="shared" si="59"/>
        <v>0.21717520726750306</v>
      </c>
      <c r="Y767" s="268">
        <f>IFERROR(INDEX(Rainfall_Dry!$O$2:$O$217,MATCH(B767, Rainfall_Dry!$A$2:$A$217,0)),"")</f>
        <v>137.19979645800001</v>
      </c>
      <c r="Z767" s="257">
        <v>34.344660194174757</v>
      </c>
      <c r="AA767" s="257">
        <v>19.22727272727273</v>
      </c>
      <c r="AB767" s="257">
        <v>46.428067078552509</v>
      </c>
      <c r="AC767" s="258" t="s">
        <v>2654</v>
      </c>
      <c r="AD767" s="257">
        <v>2.7452932479053702</v>
      </c>
      <c r="AE767">
        <f>IF('WetLitterbags placem_collection'!AB108="","",'WetLitterbags placem_collection'!AB108)</f>
        <v>8.6</v>
      </c>
      <c r="AF767">
        <f>IF('WetLitterbags placem_collection'!Z108="","",'WetLitterbags placem_collection'!Z108)</f>
        <v>17</v>
      </c>
      <c r="AG767" s="243" t="str">
        <f>IF('WetLitterbags placem_collection'!AA108="","",'WetLitterbags placem_collection'!AA108)</f>
        <v>M</v>
      </c>
      <c r="AH767">
        <f>IF('WetLitterbags placem_collection'!AC108="","",'WetLitterbags placem_collection'!AC108)</f>
        <v>0</v>
      </c>
      <c r="AI767">
        <f>IFERROR(AVERAGE('Dry_Litterbag Placem_Collection'!O108,'Dry_Litterbag Placem_Collection'!R108),"")</f>
        <v>6.1</v>
      </c>
      <c r="AJ767" s="268">
        <f>IFERROR(AVERAGE('Dry_Litterbag Placem_Collection'!N108,'Dry_Litterbag Placem_Collection'!Q108),"")</f>
        <v>31.3</v>
      </c>
      <c r="AK767" s="267">
        <f>INDEX(Coordinates!$B$2:$B$197,MATCH(H767,Coordinates!$J$2:$J$197,0))</f>
        <v>-2.3697620069999998</v>
      </c>
      <c r="AL767" s="267">
        <f>INDEX(Coordinates!$C$2:$C$197,MATCH(H767,Coordinates!$J$2:$J$197,0))</f>
        <v>34.059730010000003</v>
      </c>
      <c r="AM767" s="267" t="str">
        <f>IF(ISNUMBER(SEARCH("C", 'Dry_Litterbag Placem_Collection'!V108)),"YES","NO")</f>
        <v>NO</v>
      </c>
      <c r="AN767" s="267" t="str">
        <f>IF(ISNUMBER(SEARCH("H", 'Dry_Litterbag Placem_Collection'!V108)),"YES","NO")</f>
        <v>NO</v>
      </c>
      <c r="AO767" s="267" t="str">
        <f>IF(ISNUMBER(SEARCH("R", 'Dry_Litterbag Placem_Collection'!V108)),"YES","NO")</f>
        <v>NO</v>
      </c>
    </row>
    <row r="768" spans="1:41" ht="15" customHeight="1">
      <c r="A768" s="259" t="s">
        <v>2643</v>
      </c>
      <c r="B768" s="260">
        <f>'Dry_Litterbag Placem_Collection'!A109</f>
        <v>107</v>
      </c>
      <c r="C768" s="260" t="str">
        <f>'Dry_Litterbag Placem_Collection'!B109</f>
        <v xml:space="preserve">Mwantimba
</v>
      </c>
      <c r="D768" s="260" t="s">
        <v>2454</v>
      </c>
      <c r="E768" s="260" t="s">
        <v>2644</v>
      </c>
      <c r="F768" s="260">
        <v>2</v>
      </c>
      <c r="G768" s="260" t="s">
        <v>3817</v>
      </c>
      <c r="H768" s="261" t="str">
        <f>'Dry_Litterbag Placem_Collection'!C109</f>
        <v>Wet_Ag2_T3</v>
      </c>
      <c r="I768" s="270" t="s">
        <v>3630</v>
      </c>
      <c r="J768" s="271" t="s">
        <v>298</v>
      </c>
      <c r="K768" s="260" t="str">
        <f>IF(ISBLANK('Dry_Litterbag Placem_Collection'!M109),"","R"&amp;""&amp;'Dry_Litterbag Placem_Collection'!M109)</f>
        <v>R347</v>
      </c>
      <c r="L768" s="264">
        <f>IFERROR(INDEX('Green_rooibos initial weight'!$C$5:$C$2000,MATCH(K768, 'Green_rooibos initial weight'!$A$5:$A$2000,0)),"")</f>
        <v>2.2400000000000002</v>
      </c>
      <c r="M768" s="264">
        <f>IFERROR(L768-(TBIcalc!$Q$9+TBIcalc!$Q$10),"")</f>
        <v>1.9902000000000002</v>
      </c>
      <c r="N768" s="385">
        <f>AVERAGE(Ashed_controlls!$K$12:$K$14)</f>
        <v>2.2816647271287041</v>
      </c>
      <c r="O768" s="264">
        <f t="shared" si="56"/>
        <v>1.9447903086006848</v>
      </c>
      <c r="P768" s="264" t="str">
        <f>IFERROR(INDEX('Both teabags AfterDry'!$D$2:$D$2000,MATCH(K768,'Both teabags AfterDry'!$A$2:$A$2000,0)),"")</f>
        <v/>
      </c>
      <c r="Q768" s="264" t="str">
        <f>IFERROR(IF(P768&gt;0,P768-(TBIcalc!$Q$9),""),"")</f>
        <v/>
      </c>
      <c r="R768" s="275" t="str">
        <f>IFERROR(INDEX('Ashed teabags dry'!$K$2:$K$2000,MATCH(K768,'Ashed teabags dry'!$A$2:$A$2000,0)),"")</f>
        <v/>
      </c>
      <c r="S768" s="275" t="str">
        <f t="shared" si="57"/>
        <v/>
      </c>
      <c r="T768" s="265">
        <f>IF('Dry_Litterbag Placem_Collection'!E109="","",'Dry_Litterbag Placem_Collection'!E109)</f>
        <v>42939</v>
      </c>
      <c r="U768" s="265">
        <f>IF('Dry_Litterbag Placem_Collection'!G109="","",'Dry_Litterbag Placem_Collection'!G109)</f>
        <v>43010</v>
      </c>
      <c r="V768" s="266">
        <f t="shared" si="55"/>
        <v>71</v>
      </c>
      <c r="W768" s="264" t="str">
        <f t="shared" si="58"/>
        <v/>
      </c>
      <c r="X768" s="264" t="str">
        <f t="shared" si="59"/>
        <v/>
      </c>
      <c r="Y768" s="268">
        <f>IFERROR(INDEX(Rainfall_Dry!$O$2:$O$217,MATCH(B768, Rainfall_Dry!$A$2:$A$217,0)),"")</f>
        <v>137.19979645800001</v>
      </c>
      <c r="Z768" s="257">
        <v>34.344660194174757</v>
      </c>
      <c r="AA768" s="257">
        <v>19.22727272727273</v>
      </c>
      <c r="AB768" s="257">
        <v>46.428067078552509</v>
      </c>
      <c r="AC768" s="258" t="s">
        <v>2654</v>
      </c>
      <c r="AD768" s="257">
        <v>3.7452932479053702</v>
      </c>
      <c r="AE768">
        <f>IF('WetLitterbags placem_collection'!AB109="","",'WetLitterbags placem_collection'!AB109)</f>
        <v>3.85</v>
      </c>
      <c r="AF768">
        <f>IF('WetLitterbags placem_collection'!Z109="","",'WetLitterbags placem_collection'!Z109)</f>
        <v>15.5</v>
      </c>
      <c r="AG768" s="243" t="str">
        <f>IF('WetLitterbags placem_collection'!AA109="","",'WetLitterbags placem_collection'!AA109)</f>
        <v>M</v>
      </c>
      <c r="AH768">
        <f>IF('WetLitterbags placem_collection'!AC109="","",'WetLitterbags placem_collection'!AC109)</f>
        <v>0</v>
      </c>
      <c r="AI768">
        <f>IFERROR(AVERAGE('Dry_Litterbag Placem_Collection'!O109,'Dry_Litterbag Placem_Collection'!R109),"")</f>
        <v>5.3</v>
      </c>
      <c r="AJ768" s="268">
        <f>IFERROR(AVERAGE('Dry_Litterbag Placem_Collection'!N109,'Dry_Litterbag Placem_Collection'!Q109),"")</f>
        <v>30.200000000000003</v>
      </c>
      <c r="AK768" s="267">
        <f>INDEX(Coordinates!$B$2:$B$197,MATCH(H768,Coordinates!$J$2:$J$197,0))</f>
        <v>-2.3698409649999999</v>
      </c>
      <c r="AL768" s="267">
        <f>INDEX(Coordinates!$C$2:$C$197,MATCH(H768,Coordinates!$J$2:$J$197,0))</f>
        <v>34.059814000000003</v>
      </c>
      <c r="AM768" s="267" t="str">
        <f>IF(ISNUMBER(SEARCH("C", 'Dry_Litterbag Placem_Collection'!V109)),"YES","NO")</f>
        <v>NO</v>
      </c>
      <c r="AN768" s="267" t="str">
        <f>IF(ISNUMBER(SEARCH("H", 'Dry_Litterbag Placem_Collection'!V109)),"YES","NO")</f>
        <v>NO</v>
      </c>
      <c r="AO768" s="267" t="str">
        <f>IF(ISNUMBER(SEARCH("R", 'Dry_Litterbag Placem_Collection'!V109)),"YES","NO")</f>
        <v>NO</v>
      </c>
    </row>
    <row r="769" spans="1:41" ht="15" customHeight="1">
      <c r="A769" s="259" t="s">
        <v>2643</v>
      </c>
      <c r="B769" s="260">
        <f>'Dry_Litterbag Placem_Collection'!A110</f>
        <v>108</v>
      </c>
      <c r="C769" s="260" t="str">
        <f>'Dry_Litterbag Placem_Collection'!B110</f>
        <v xml:space="preserve">Mwantimba
</v>
      </c>
      <c r="D769" s="260" t="s">
        <v>2454</v>
      </c>
      <c r="E769" s="260" t="s">
        <v>2644</v>
      </c>
      <c r="F769" s="260">
        <v>2</v>
      </c>
      <c r="G769" s="260" t="s">
        <v>3817</v>
      </c>
      <c r="H769" s="261" t="str">
        <f>'Dry_Litterbag Placem_Collection'!C110</f>
        <v>Wet_Ag2_T4</v>
      </c>
      <c r="I769" s="270" t="s">
        <v>3630</v>
      </c>
      <c r="J769" s="271" t="s">
        <v>298</v>
      </c>
      <c r="K769" s="260" t="str">
        <f>IF(ISBLANK('Dry_Litterbag Placem_Collection'!M110),"","R"&amp;""&amp;'Dry_Litterbag Placem_Collection'!M110)</f>
        <v>R206</v>
      </c>
      <c r="L769" s="264">
        <f>IFERROR(INDEX('Green_rooibos initial weight'!$C$5:$C$2000,MATCH(K769, 'Green_rooibos initial weight'!$A$5:$A$2000,0)),"")</f>
        <v>2.2549999999999999</v>
      </c>
      <c r="M769" s="264">
        <f>IFERROR(L769-(TBIcalc!$Q$9+TBIcalc!$Q$10),"")</f>
        <v>2.0051999999999999</v>
      </c>
      <c r="N769" s="385">
        <f>AVERAGE(Ashed_controlls!$K$12:$K$14)</f>
        <v>2.2816647271287041</v>
      </c>
      <c r="O769" s="264">
        <f t="shared" si="56"/>
        <v>1.959448058891615</v>
      </c>
      <c r="P769" s="264">
        <f>IFERROR(INDEX('Both teabags AfterDry'!$D$2:$D$2000,MATCH(K769,'Both teabags AfterDry'!$A$2:$A$2000,0)),"")</f>
        <v>1.9655</v>
      </c>
      <c r="Q769" s="264">
        <f>IFERROR(IF(P769&gt;0,P769-(TBIcalc!$Q$9),""),"")</f>
        <v>1.8149</v>
      </c>
      <c r="R769" s="275">
        <f>IFERROR(INDEX('Ashed teabags dry'!$K$2:$K$2000,MATCH(K769,'Ashed teabags dry'!$A$2:$A$2000,0)),"")</f>
        <v>4.1293532338306944</v>
      </c>
      <c r="S769" s="275">
        <f t="shared" si="57"/>
        <v>1.7399563681592067</v>
      </c>
      <c r="T769" s="265">
        <f>IF('Dry_Litterbag Placem_Collection'!E110="","",'Dry_Litterbag Placem_Collection'!E110)</f>
        <v>42939</v>
      </c>
      <c r="U769" s="265">
        <f>IF('Dry_Litterbag Placem_Collection'!G110="","",'Dry_Litterbag Placem_Collection'!G110)</f>
        <v>43010</v>
      </c>
      <c r="V769" s="266">
        <f t="shared" si="55"/>
        <v>71</v>
      </c>
      <c r="W769" s="264">
        <f t="shared" si="58"/>
        <v>0.19029999999999991</v>
      </c>
      <c r="X769" s="264">
        <f t="shared" si="59"/>
        <v>0.21949169073240826</v>
      </c>
      <c r="Y769" s="268">
        <f>IFERROR(INDEX(Rainfall_Dry!$O$2:$O$217,MATCH(B769, Rainfall_Dry!$A$2:$A$217,0)),"")</f>
        <v>137.19979645800001</v>
      </c>
      <c r="Z769" s="257">
        <v>34.344660194174757</v>
      </c>
      <c r="AA769" s="257">
        <v>19.22727272727273</v>
      </c>
      <c r="AB769" s="257">
        <v>46.428067078552509</v>
      </c>
      <c r="AC769" s="258" t="s">
        <v>2654</v>
      </c>
      <c r="AD769" s="257">
        <v>4.7452932479053702</v>
      </c>
      <c r="AE769">
        <f>IF('WetLitterbags placem_collection'!AB110="","",'WetLitterbags placem_collection'!AB110)</f>
        <v>9.6999999999999993</v>
      </c>
      <c r="AF769">
        <f>IF('WetLitterbags placem_collection'!Z110="","",'WetLitterbags placem_collection'!Z110)</f>
        <v>22.5</v>
      </c>
      <c r="AG769" s="243" t="str">
        <f>IF('WetLitterbags placem_collection'!AA110="","",'WetLitterbags placem_collection'!AA110)</f>
        <v>M</v>
      </c>
      <c r="AH769">
        <f>IF('WetLitterbags placem_collection'!AC110="","",'WetLitterbags placem_collection'!AC110)</f>
        <v>0</v>
      </c>
      <c r="AI769">
        <f>IFERROR(AVERAGE('Dry_Litterbag Placem_Collection'!O110,'Dry_Litterbag Placem_Collection'!R110),"")</f>
        <v>7.65</v>
      </c>
      <c r="AJ769" s="268">
        <f>IFERROR(AVERAGE('Dry_Litterbag Placem_Collection'!N110,'Dry_Litterbag Placem_Collection'!Q110),"")</f>
        <v>31.8</v>
      </c>
      <c r="AK769" s="267">
        <f>INDEX(Coordinates!$B$2:$B$197,MATCH(H769,Coordinates!$J$2:$J$197,0))</f>
        <v>-2.3698620030000002</v>
      </c>
      <c r="AL769" s="267">
        <f>INDEX(Coordinates!$C$2:$C$197,MATCH(H769,Coordinates!$J$2:$J$197,0))</f>
        <v>34.059759020000001</v>
      </c>
      <c r="AM769" s="267" t="str">
        <f>IF(ISNUMBER(SEARCH("C", 'Dry_Litterbag Placem_Collection'!V110)),"YES","NO")</f>
        <v>NO</v>
      </c>
      <c r="AN769" s="267" t="str">
        <f>IF(ISNUMBER(SEARCH("H", 'Dry_Litterbag Placem_Collection'!V110)),"YES","NO")</f>
        <v>NO</v>
      </c>
      <c r="AO769" s="267" t="str">
        <f>IF(ISNUMBER(SEARCH("R", 'Dry_Litterbag Placem_Collection'!V110)),"YES","NO")</f>
        <v>NO</v>
      </c>
    </row>
    <row r="770" spans="1:41" ht="15" customHeight="1">
      <c r="A770" s="259" t="s">
        <v>2643</v>
      </c>
      <c r="B770" s="260">
        <f>'Dry_Litterbag Placem_Collection'!A111</f>
        <v>109</v>
      </c>
      <c r="C770" s="260" t="str">
        <f>'Dry_Litterbag Placem_Collection'!B111</f>
        <v xml:space="preserve">Mwantimba
</v>
      </c>
      <c r="D770" s="260" t="s">
        <v>2454</v>
      </c>
      <c r="E770" s="260" t="s">
        <v>2644</v>
      </c>
      <c r="F770" s="260">
        <v>2</v>
      </c>
      <c r="G770" s="260" t="s">
        <v>3817</v>
      </c>
      <c r="H770" s="261" t="str">
        <f>'Dry_Litterbag Placem_Collection'!C111</f>
        <v>Wet_Ag2_T5</v>
      </c>
      <c r="I770" s="270" t="s">
        <v>3630</v>
      </c>
      <c r="J770" s="271" t="s">
        <v>298</v>
      </c>
      <c r="K770" s="260" t="str">
        <f>IF(ISBLANK('Dry_Litterbag Placem_Collection'!M111),"","R"&amp;""&amp;'Dry_Litterbag Placem_Collection'!M111)</f>
        <v>R299</v>
      </c>
      <c r="L770" s="264">
        <f>IFERROR(INDEX('Green_rooibos initial weight'!$C$5:$C$2000,MATCH(K770, 'Green_rooibos initial weight'!$A$5:$A$2000,0)),"")</f>
        <v>2.2919999999999998</v>
      </c>
      <c r="M770" s="264">
        <f>IFERROR(L770-(TBIcalc!$Q$9+TBIcalc!$Q$10),"")</f>
        <v>2.0421999999999998</v>
      </c>
      <c r="N770" s="385">
        <f>AVERAGE(Ashed_controlls!$K$12:$K$14)</f>
        <v>2.2816647271287041</v>
      </c>
      <c r="O770" s="264">
        <f t="shared" si="56"/>
        <v>1.9956038429425773</v>
      </c>
      <c r="P770" s="264">
        <f>IFERROR(INDEX('Both teabags AfterDry'!$D$2:$D$2000,MATCH(K770,'Both teabags AfterDry'!$A$2:$A$2000,0)),"")</f>
        <v>1.8811</v>
      </c>
      <c r="Q770" s="264">
        <f>IFERROR(IF(P770&gt;0,P770-(TBIcalc!$Q$9),""),"")</f>
        <v>1.7304999999999999</v>
      </c>
      <c r="R770" s="275">
        <f>IFERROR(INDEX('Ashed teabags dry'!$K$2:$K$2000,MATCH(K770,'Ashed teabags dry'!$A$2:$A$2000,0)),"")</f>
        <v>6.3173359451526663</v>
      </c>
      <c r="S770" s="275">
        <f t="shared" si="57"/>
        <v>1.6211785014691331</v>
      </c>
      <c r="T770" s="265">
        <f>IF('Dry_Litterbag Placem_Collection'!E111="","",'Dry_Litterbag Placem_Collection'!E111)</f>
        <v>42939</v>
      </c>
      <c r="U770" s="265">
        <f>IF('Dry_Litterbag Placem_Collection'!G111="","",'Dry_Litterbag Placem_Collection'!G111)</f>
        <v>43010</v>
      </c>
      <c r="V770" s="266">
        <f t="shared" ref="V770:V833" si="60">IFERROR(U770-T770,"")</f>
        <v>71</v>
      </c>
      <c r="W770" s="264">
        <f t="shared" si="58"/>
        <v>0.31169999999999987</v>
      </c>
      <c r="X770" s="264">
        <f t="shared" si="59"/>
        <v>0.3744253414734442</v>
      </c>
      <c r="Y770" s="268">
        <f>IFERROR(INDEX(Rainfall_Dry!$O$2:$O$217,MATCH(B770, Rainfall_Dry!$A$2:$A$217,0)),"")</f>
        <v>137.19979645800001</v>
      </c>
      <c r="Z770" s="257">
        <v>34.344660194174757</v>
      </c>
      <c r="AA770" s="257">
        <v>19.22727272727273</v>
      </c>
      <c r="AB770" s="257">
        <v>46.428067078552509</v>
      </c>
      <c r="AC770" s="258" t="s">
        <v>2654</v>
      </c>
      <c r="AD770" s="257">
        <v>5.7452932479053702</v>
      </c>
      <c r="AE770">
        <f>IF('WetLitterbags placem_collection'!AB111="","",'WetLitterbags placem_collection'!AB111)</f>
        <v>10.5</v>
      </c>
      <c r="AF770">
        <f>IF('WetLitterbags placem_collection'!Z111="","",'WetLitterbags placem_collection'!Z111)</f>
        <v>22.5</v>
      </c>
      <c r="AG770" s="243" t="str">
        <f>IF('WetLitterbags placem_collection'!AA111="","",'WetLitterbags placem_collection'!AA111)</f>
        <v>M</v>
      </c>
      <c r="AH770">
        <f>IF('WetLitterbags placem_collection'!AC111="","",'WetLitterbags placem_collection'!AC111)</f>
        <v>0</v>
      </c>
      <c r="AI770">
        <f>IFERROR(AVERAGE('Dry_Litterbag Placem_Collection'!O111,'Dry_Litterbag Placem_Collection'!R111),"")</f>
        <v>7.5</v>
      </c>
      <c r="AJ770" s="268">
        <f>IFERROR(AVERAGE('Dry_Litterbag Placem_Collection'!N111,'Dry_Litterbag Placem_Collection'!Q111),"")</f>
        <v>30.65</v>
      </c>
      <c r="AK770" s="267">
        <f>INDEX(Coordinates!$B$2:$B$197,MATCH(H770,Coordinates!$J$2:$J$197,0))</f>
        <v>-2.3698390370000002</v>
      </c>
      <c r="AL770" s="267">
        <f>INDEX(Coordinates!$C$2:$C$197,MATCH(H770,Coordinates!$J$2:$J$197,0))</f>
        <v>34.059714</v>
      </c>
      <c r="AM770" s="267" t="str">
        <f>IF(ISNUMBER(SEARCH("C", 'Dry_Litterbag Placem_Collection'!V111)),"YES","NO")</f>
        <v>NO</v>
      </c>
      <c r="AN770" s="267" t="str">
        <f>IF(ISNUMBER(SEARCH("H", 'Dry_Litterbag Placem_Collection'!V111)),"YES","NO")</f>
        <v>NO</v>
      </c>
      <c r="AO770" s="267" t="str">
        <f>IF(ISNUMBER(SEARCH("R", 'Dry_Litterbag Placem_Collection'!V111)),"YES","NO")</f>
        <v>NO</v>
      </c>
    </row>
    <row r="771" spans="1:41" ht="15" customHeight="1">
      <c r="A771" s="259" t="s">
        <v>2643</v>
      </c>
      <c r="B771" s="260">
        <f>'Dry_Litterbag Placem_Collection'!A112</f>
        <v>110</v>
      </c>
      <c r="C771" s="260" t="str">
        <f>'Dry_Litterbag Placem_Collection'!B112</f>
        <v xml:space="preserve">Mwantimba
</v>
      </c>
      <c r="D771" s="260" t="s">
        <v>2454</v>
      </c>
      <c r="E771" s="260" t="s">
        <v>2644</v>
      </c>
      <c r="F771" s="260">
        <v>2</v>
      </c>
      <c r="G771" s="260" t="s">
        <v>3817</v>
      </c>
      <c r="H771" s="261" t="str">
        <f>'Dry_Litterbag Placem_Collection'!C112</f>
        <v>Wet_Ag2_T6</v>
      </c>
      <c r="I771" s="270" t="s">
        <v>3630</v>
      </c>
      <c r="J771" s="271" t="s">
        <v>298</v>
      </c>
      <c r="K771" s="260" t="str">
        <f>IF(ISBLANK('Dry_Litterbag Placem_Collection'!M112),"","R"&amp;""&amp;'Dry_Litterbag Placem_Collection'!M112)</f>
        <v>R636</v>
      </c>
      <c r="L771" s="264">
        <f>IFERROR(INDEX('Green_rooibos initial weight'!$C$5:$C$2000,MATCH(K771, 'Green_rooibos initial weight'!$A$5:$A$2000,0)),"")</f>
        <v>2.1080000000000001</v>
      </c>
      <c r="M771" s="264">
        <f>IFERROR(L771-(TBIcalc!$Q$9+TBIcalc!$Q$10),"")</f>
        <v>1.8582000000000001</v>
      </c>
      <c r="N771" s="385">
        <f>AVERAGE(Ashed_controlls!$K$12:$K$14)</f>
        <v>2.2816647271287041</v>
      </c>
      <c r="O771" s="264">
        <f t="shared" ref="O771:O834" si="61">IFERROR(M771-(N771/100)*M771,"")</f>
        <v>1.8158021060404945</v>
      </c>
      <c r="P771" s="264">
        <f>IFERROR(INDEX('Both teabags AfterDry'!$D$2:$D$2000,MATCH(K771,'Both teabags AfterDry'!$A$2:$A$2000,0)),"")</f>
        <v>1.8521000000000001</v>
      </c>
      <c r="Q771" s="264">
        <f>IFERROR(IF(P771&gt;0,P771-(TBIcalc!$Q$9),""),"")</f>
        <v>1.7015</v>
      </c>
      <c r="R771" s="275">
        <f>IFERROR(INDEX('Ashed teabags dry'!$K$2:$K$2000,MATCH(K771,'Ashed teabags dry'!$A$2:$A$2000,0)),"")</f>
        <v>3.9122137404573722</v>
      </c>
      <c r="S771" s="275">
        <f t="shared" ref="S771:S834" si="62">IFERROR(Q771-(R771/100)*Q771,"")</f>
        <v>1.6349336832061179</v>
      </c>
      <c r="T771" s="265">
        <f>IF('Dry_Litterbag Placem_Collection'!E112="","",'Dry_Litterbag Placem_Collection'!E112)</f>
        <v>42939</v>
      </c>
      <c r="U771" s="265">
        <f>IF('Dry_Litterbag Placem_Collection'!G112="","",'Dry_Litterbag Placem_Collection'!G112)</f>
        <v>43010</v>
      </c>
      <c r="V771" s="266">
        <f t="shared" si="60"/>
        <v>71</v>
      </c>
      <c r="W771" s="264">
        <f t="shared" ref="W771:W834" si="63">IFERROR(M771-Q771,"")</f>
        <v>0.15670000000000006</v>
      </c>
      <c r="X771" s="264">
        <f t="shared" ref="X771:X834" si="64">IFERROR(O771-S771,"")</f>
        <v>0.18086842283437665</v>
      </c>
      <c r="Y771" s="268">
        <f>IFERROR(INDEX(Rainfall_Dry!$O$2:$O$217,MATCH(B771, Rainfall_Dry!$A$2:$A$217,0)),"")</f>
        <v>137.19979645800001</v>
      </c>
      <c r="Z771" s="257">
        <v>34.344660194174757</v>
      </c>
      <c r="AA771" s="257">
        <v>19.22727272727273</v>
      </c>
      <c r="AB771" s="257">
        <v>46.428067078552509</v>
      </c>
      <c r="AC771" s="258" t="s">
        <v>2654</v>
      </c>
      <c r="AD771" s="257">
        <v>6.7452932479053702</v>
      </c>
      <c r="AE771">
        <f>IF('WetLitterbags placem_collection'!AB112="","",'WetLitterbags placem_collection'!AB112)</f>
        <v>5.75</v>
      </c>
      <c r="AF771">
        <f>IF('WetLitterbags placem_collection'!Z112="","",'WetLitterbags placem_collection'!Z112)</f>
        <v>22.5</v>
      </c>
      <c r="AG771" s="243" t="str">
        <f>IF('WetLitterbags placem_collection'!AA112="","",'WetLitterbags placem_collection'!AA112)</f>
        <v>M</v>
      </c>
      <c r="AH771">
        <f>IF('WetLitterbags placem_collection'!AC112="","",'WetLitterbags placem_collection'!AC112)</f>
        <v>0</v>
      </c>
      <c r="AI771">
        <f>IFERROR(AVERAGE('Dry_Litterbag Placem_Collection'!O112,'Dry_Litterbag Placem_Collection'!R112),"")</f>
        <v>7.3500000000000005</v>
      </c>
      <c r="AJ771" s="268">
        <f>IFERROR(AVERAGE('Dry_Litterbag Placem_Collection'!N112,'Dry_Litterbag Placem_Collection'!Q112),"")</f>
        <v>31.150000000000002</v>
      </c>
      <c r="AK771" s="267">
        <f>INDEX(Coordinates!$B$2:$B$197,MATCH(H771,Coordinates!$J$2:$J$197,0))</f>
        <v>-2.3697549659999999</v>
      </c>
      <c r="AL771" s="267">
        <f>INDEX(Coordinates!$C$2:$C$197,MATCH(H771,Coordinates!$J$2:$J$197,0))</f>
        <v>34.059668989999999</v>
      </c>
      <c r="AM771" s="267" t="str">
        <f>IF(ISNUMBER(SEARCH("C", 'Dry_Litterbag Placem_Collection'!V112)),"YES","NO")</f>
        <v>NO</v>
      </c>
      <c r="AN771" s="267" t="str">
        <f>IF(ISNUMBER(SEARCH("H", 'Dry_Litterbag Placem_Collection'!V112)),"YES","NO")</f>
        <v>NO</v>
      </c>
      <c r="AO771" s="267" t="str">
        <f>IF(ISNUMBER(SEARCH("R", 'Dry_Litterbag Placem_Collection'!V112)),"YES","NO")</f>
        <v>NO</v>
      </c>
    </row>
    <row r="772" spans="1:41" ht="15" customHeight="1">
      <c r="A772" s="259" t="s">
        <v>2643</v>
      </c>
      <c r="B772" s="260">
        <f>'Dry_Litterbag Placem_Collection'!A113</f>
        <v>111</v>
      </c>
      <c r="C772" s="260" t="str">
        <f>'Dry_Litterbag Placem_Collection'!B113</f>
        <v xml:space="preserve">Mwantimba
</v>
      </c>
      <c r="D772" s="260" t="s">
        <v>2454</v>
      </c>
      <c r="E772" s="260" t="s">
        <v>2644</v>
      </c>
      <c r="F772" s="260">
        <v>2</v>
      </c>
      <c r="G772" s="260" t="s">
        <v>3817</v>
      </c>
      <c r="H772" s="261" t="str">
        <f>'Dry_Litterbag Placem_Collection'!C113</f>
        <v>Wet_Ag2_T7</v>
      </c>
      <c r="I772" s="270" t="s">
        <v>3630</v>
      </c>
      <c r="J772" s="271" t="s">
        <v>298</v>
      </c>
      <c r="K772" s="260" t="str">
        <f>IF(ISBLANK('Dry_Litterbag Placem_Collection'!M113),"","R"&amp;""&amp;'Dry_Litterbag Placem_Collection'!M113)</f>
        <v>R239</v>
      </c>
      <c r="L772" s="264">
        <f>IFERROR(INDEX('Green_rooibos initial weight'!$C$5:$C$2000,MATCH(K772, 'Green_rooibos initial weight'!$A$5:$A$2000,0)),"")</f>
        <v>2.2189999999999999</v>
      </c>
      <c r="M772" s="264">
        <f>IFERROR(L772-(TBIcalc!$Q$9+TBIcalc!$Q$10),"")</f>
        <v>1.9691999999999998</v>
      </c>
      <c r="N772" s="385">
        <f>AVERAGE(Ashed_controlls!$K$12:$K$14)</f>
        <v>2.2816647271287041</v>
      </c>
      <c r="O772" s="264">
        <f t="shared" si="61"/>
        <v>1.9242694581933815</v>
      </c>
      <c r="P772" s="264">
        <f>IFERROR(INDEX('Both teabags AfterDry'!$D$2:$D$2000,MATCH(K772,'Both teabags AfterDry'!$A$2:$A$2000,0)),"")</f>
        <v>1.8743000000000001</v>
      </c>
      <c r="Q772" s="264">
        <f>IFERROR(IF(P772&gt;0,P772-(TBIcalc!$Q$9),""),"")</f>
        <v>1.7237</v>
      </c>
      <c r="R772" s="275">
        <f>IFERROR(INDEX('Ashed teabags dry'!$K$2:$K$2000,MATCH(K772,'Ashed teabags dry'!$A$2:$A$2000,0)),"")</f>
        <v>2.9234338747099509</v>
      </c>
      <c r="S772" s="275">
        <f t="shared" si="62"/>
        <v>1.6733087703016245</v>
      </c>
      <c r="T772" s="265">
        <f>IF('Dry_Litterbag Placem_Collection'!E113="","",'Dry_Litterbag Placem_Collection'!E113)</f>
        <v>42939</v>
      </c>
      <c r="U772" s="265">
        <f>IF('Dry_Litterbag Placem_Collection'!G113="","",'Dry_Litterbag Placem_Collection'!G113)</f>
        <v>43010</v>
      </c>
      <c r="V772" s="266">
        <f t="shared" si="60"/>
        <v>71</v>
      </c>
      <c r="W772" s="264">
        <f t="shared" si="63"/>
        <v>0.24549999999999983</v>
      </c>
      <c r="X772" s="264">
        <f t="shared" si="64"/>
        <v>0.25096068789175696</v>
      </c>
      <c r="Y772" s="268">
        <f>IFERROR(INDEX(Rainfall_Dry!$O$2:$O$217,MATCH(B772, Rainfall_Dry!$A$2:$A$217,0)),"")</f>
        <v>137.19979645800001</v>
      </c>
      <c r="Z772" s="257">
        <v>34.344660194174757</v>
      </c>
      <c r="AA772" s="257">
        <v>19.22727272727273</v>
      </c>
      <c r="AB772" s="257">
        <v>46.428067078552509</v>
      </c>
      <c r="AC772" s="258" t="s">
        <v>2654</v>
      </c>
      <c r="AD772" s="257">
        <v>7.7452932479053702</v>
      </c>
      <c r="AE772">
        <f>IF('WetLitterbags placem_collection'!AB113="","",'WetLitterbags placem_collection'!AB113)</f>
        <v>6.1</v>
      </c>
      <c r="AF772">
        <f>IF('WetLitterbags placem_collection'!Z113="","",'WetLitterbags placem_collection'!Z113)</f>
        <v>26</v>
      </c>
      <c r="AG772" s="243" t="str">
        <f>IF('WetLitterbags placem_collection'!AA113="","",'WetLitterbags placem_collection'!AA113)</f>
        <v>M</v>
      </c>
      <c r="AH772">
        <f>IF('WetLitterbags placem_collection'!AC113="","",'WetLitterbags placem_collection'!AC113)</f>
        <v>0</v>
      </c>
      <c r="AI772">
        <f>IFERROR(AVERAGE('Dry_Litterbag Placem_Collection'!O113,'Dry_Litterbag Placem_Collection'!R113),"")</f>
        <v>8.3000000000000007</v>
      </c>
      <c r="AJ772" s="268">
        <f>IFERROR(AVERAGE('Dry_Litterbag Placem_Collection'!N113,'Dry_Litterbag Placem_Collection'!Q113),"")</f>
        <v>29.549999999999997</v>
      </c>
      <c r="AK772" s="267">
        <f>INDEX(Coordinates!$B$2:$B$197,MATCH(H772,Coordinates!$J$2:$J$197,0))</f>
        <v>-2.3697330060000001</v>
      </c>
      <c r="AL772" s="267">
        <f>INDEX(Coordinates!$C$2:$C$197,MATCH(H772,Coordinates!$J$2:$J$197,0))</f>
        <v>34.059615010000002</v>
      </c>
      <c r="AM772" s="267" t="str">
        <f>IF(ISNUMBER(SEARCH("C", 'Dry_Litterbag Placem_Collection'!V113)),"YES","NO")</f>
        <v>NO</v>
      </c>
      <c r="AN772" s="267" t="str">
        <f>IF(ISNUMBER(SEARCH("H", 'Dry_Litterbag Placem_Collection'!V113)),"YES","NO")</f>
        <v>NO</v>
      </c>
      <c r="AO772" s="267" t="str">
        <f>IF(ISNUMBER(SEARCH("R", 'Dry_Litterbag Placem_Collection'!V113)),"YES","NO")</f>
        <v>NO</v>
      </c>
    </row>
    <row r="773" spans="1:41" ht="15" customHeight="1">
      <c r="A773" s="259" t="s">
        <v>2643</v>
      </c>
      <c r="B773" s="260">
        <f>'Dry_Litterbag Placem_Collection'!A114</f>
        <v>112</v>
      </c>
      <c r="C773" s="260" t="str">
        <f>'Dry_Litterbag Placem_Collection'!B114</f>
        <v xml:space="preserve">Mwantimba
</v>
      </c>
      <c r="D773" s="260" t="s">
        <v>2454</v>
      </c>
      <c r="E773" s="260" t="s">
        <v>2644</v>
      </c>
      <c r="F773" s="260">
        <v>2</v>
      </c>
      <c r="G773" s="260" t="s">
        <v>3817</v>
      </c>
      <c r="H773" s="261" t="str">
        <f>'Dry_Litterbag Placem_Collection'!C114</f>
        <v>Wet_Ag2_T8</v>
      </c>
      <c r="I773" s="270" t="s">
        <v>3630</v>
      </c>
      <c r="J773" s="271" t="s">
        <v>298</v>
      </c>
      <c r="K773" s="260" t="str">
        <f>IF(ISBLANK('Dry_Litterbag Placem_Collection'!M114),"","R"&amp;""&amp;'Dry_Litterbag Placem_Collection'!M114)</f>
        <v/>
      </c>
      <c r="L773" s="264" t="str">
        <f>IFERROR(INDEX('Green_rooibos initial weight'!$C$5:$C$2000,MATCH(K773, 'Green_rooibos initial weight'!$A$5:$A$2000,0)),"")</f>
        <v/>
      </c>
      <c r="M773" s="264" t="str">
        <f>IFERROR(L773-(TBIcalc!$Q$9+TBIcalc!$Q$10),"")</f>
        <v/>
      </c>
      <c r="N773" s="385">
        <f>AVERAGE(Ashed_controlls!$K$12:$K$14)</f>
        <v>2.2816647271287041</v>
      </c>
      <c r="O773" s="264" t="str">
        <f t="shared" si="61"/>
        <v/>
      </c>
      <c r="P773" s="264" t="str">
        <f>IFERROR(INDEX('Both teabags AfterDry'!$D$2:$D$2000,MATCH(K773,'Both teabags AfterDry'!$A$2:$A$2000,0)),"")</f>
        <v/>
      </c>
      <c r="Q773" s="264" t="str">
        <f>IFERROR(IF(P773&gt;0,P773-(TBIcalc!$Q$9),""),"")</f>
        <v/>
      </c>
      <c r="R773" s="275" t="str">
        <f>IFERROR(INDEX('Ashed teabags dry'!$K$2:$K$2000,MATCH(K773,'Ashed teabags dry'!$A$2:$A$2000,0)),"")</f>
        <v/>
      </c>
      <c r="S773" s="275" t="str">
        <f t="shared" si="62"/>
        <v/>
      </c>
      <c r="T773" s="265" t="str">
        <f>IF('Dry_Litterbag Placem_Collection'!E114="","",'Dry_Litterbag Placem_Collection'!E114)</f>
        <v/>
      </c>
      <c r="U773" s="265" t="str">
        <f>IF('Dry_Litterbag Placem_Collection'!G114="","",'Dry_Litterbag Placem_Collection'!G114)</f>
        <v/>
      </c>
      <c r="V773" s="266" t="str">
        <f t="shared" si="60"/>
        <v/>
      </c>
      <c r="W773" s="264" t="str">
        <f t="shared" si="63"/>
        <v/>
      </c>
      <c r="X773" s="264" t="str">
        <f t="shared" si="64"/>
        <v/>
      </c>
      <c r="Y773" s="268" t="str">
        <f>IFERROR(INDEX(Rainfall_Dry!$O$2:$O$217,MATCH(B773, Rainfall_Dry!$A$2:$A$217,0)),"")</f>
        <v/>
      </c>
      <c r="Z773" s="257">
        <v>34.344660194174757</v>
      </c>
      <c r="AA773" s="257">
        <v>19.22727272727273</v>
      </c>
      <c r="AB773" s="257">
        <v>46.428067078552509</v>
      </c>
      <c r="AC773" s="258" t="s">
        <v>2654</v>
      </c>
      <c r="AD773" s="257">
        <v>8.7452932479053693</v>
      </c>
      <c r="AE773">
        <f>IF('WetLitterbags placem_collection'!AB114="","",'WetLitterbags placem_collection'!AB114)</f>
        <v>11.5</v>
      </c>
      <c r="AF773">
        <f>IF('WetLitterbags placem_collection'!Z114="","",'WetLitterbags placem_collection'!Z114)</f>
        <v>15</v>
      </c>
      <c r="AG773" s="243" t="str">
        <f>IF('WetLitterbags placem_collection'!AA114="","",'WetLitterbags placem_collection'!AA114)</f>
        <v>M</v>
      </c>
      <c r="AH773">
        <f>IF('WetLitterbags placem_collection'!AC114="","",'WetLitterbags placem_collection'!AC114)</f>
        <v>0</v>
      </c>
      <c r="AI773" t="str">
        <f>IFERROR(AVERAGE('Dry_Litterbag Placem_Collection'!O114,'Dry_Litterbag Placem_Collection'!R114),"")</f>
        <v/>
      </c>
      <c r="AJ773" s="268" t="str">
        <f>IFERROR(AVERAGE('Dry_Litterbag Placem_Collection'!N114,'Dry_Litterbag Placem_Collection'!Q114),"")</f>
        <v/>
      </c>
      <c r="AK773" s="267">
        <f>INDEX(Coordinates!$B$2:$B$197,MATCH(H773,Coordinates!$J$2:$J$197,0))</f>
        <v>-2.36967098</v>
      </c>
      <c r="AL773" s="267">
        <f>INDEX(Coordinates!$C$2:$C$197,MATCH(H773,Coordinates!$J$2:$J$197,0))</f>
        <v>34.059735959999998</v>
      </c>
      <c r="AM773" s="267" t="str">
        <f>IF(ISNUMBER(SEARCH("C", 'Dry_Litterbag Placem_Collection'!V114)),"YES","NO")</f>
        <v>NO</v>
      </c>
      <c r="AN773" s="267" t="str">
        <f>IF(ISNUMBER(SEARCH("H", 'Dry_Litterbag Placem_Collection'!V114)),"YES","NO")</f>
        <v>NO</v>
      </c>
      <c r="AO773" s="267" t="str">
        <f>IF(ISNUMBER(SEARCH("R", 'Dry_Litterbag Placem_Collection'!V114)),"YES","NO")</f>
        <v>NO</v>
      </c>
    </row>
    <row r="774" spans="1:41" ht="15" customHeight="1">
      <c r="A774" s="259" t="s">
        <v>2643</v>
      </c>
      <c r="B774" s="260">
        <f>'Dry_Litterbag Placem_Collection'!A115</f>
        <v>113</v>
      </c>
      <c r="C774" s="260" t="str">
        <f>'Dry_Litterbag Placem_Collection'!B115</f>
        <v xml:space="preserve">Mwantimba
</v>
      </c>
      <c r="D774" s="260" t="s">
        <v>2454</v>
      </c>
      <c r="E774" s="260" t="s">
        <v>2644</v>
      </c>
      <c r="F774" s="260">
        <v>3</v>
      </c>
      <c r="G774" s="260" t="s">
        <v>3818</v>
      </c>
      <c r="H774" s="261" t="str">
        <f>'Dry_Litterbag Placem_Collection'!C115</f>
        <v>Wet_Ag3_T1</v>
      </c>
      <c r="I774" s="270" t="s">
        <v>3630</v>
      </c>
      <c r="J774" s="271" t="s">
        <v>298</v>
      </c>
      <c r="K774" s="260" t="str">
        <f>IF(ISBLANK('Dry_Litterbag Placem_Collection'!M115),"","R"&amp;""&amp;'Dry_Litterbag Placem_Collection'!M115)</f>
        <v>R313</v>
      </c>
      <c r="L774" s="264">
        <f>IFERROR(INDEX('Green_rooibos initial weight'!$C$5:$C$2000,MATCH(K774, 'Green_rooibos initial weight'!$A$5:$A$2000,0)),"")</f>
        <v>2.2450000000000001</v>
      </c>
      <c r="M774" s="264">
        <f>IFERROR(L774-(TBIcalc!$Q$9+TBIcalc!$Q$10),"")</f>
        <v>1.9952000000000001</v>
      </c>
      <c r="N774" s="385">
        <f>AVERAGE(Ashed_controlls!$K$12:$K$14)</f>
        <v>2.2816647271287041</v>
      </c>
      <c r="O774" s="264">
        <f t="shared" si="61"/>
        <v>1.9496762253643283</v>
      </c>
      <c r="P774" s="264">
        <f>IFERROR(INDEX('Both teabags AfterDry'!$D$2:$D$2000,MATCH(K774,'Both teabags AfterDry'!$A$2:$A$2000,0)),"")</f>
        <v>1.6048</v>
      </c>
      <c r="Q774" s="264">
        <f>IFERROR(IF(P774&gt;0,P774-(TBIcalc!$Q$9),""),"")</f>
        <v>1.4541999999999999</v>
      </c>
      <c r="R774" s="275">
        <f>IFERROR(INDEX('Ashed teabags dry'!$K$2:$K$2000,MATCH(K774,'Ashed teabags dry'!$A$2:$A$2000,0)),"")</f>
        <v>8.9047619047618891</v>
      </c>
      <c r="S774" s="275">
        <f t="shared" si="62"/>
        <v>1.3247069523809525</v>
      </c>
      <c r="T774" s="265">
        <f>IF('Dry_Litterbag Placem_Collection'!E115="","",'Dry_Litterbag Placem_Collection'!E115)</f>
        <v>42939</v>
      </c>
      <c r="U774" s="265">
        <f>IF('Dry_Litterbag Placem_Collection'!G115="","",'Dry_Litterbag Placem_Collection'!G115)</f>
        <v>43008</v>
      </c>
      <c r="V774" s="266">
        <f t="shared" si="60"/>
        <v>69</v>
      </c>
      <c r="W774" s="264">
        <f t="shared" si="63"/>
        <v>0.54100000000000015</v>
      </c>
      <c r="X774" s="264">
        <f t="shared" si="64"/>
        <v>0.62496927298337579</v>
      </c>
      <c r="Y774" s="268">
        <f>IFERROR(INDEX(Rainfall_Dry!$O$2:$O$217,MATCH(B774, Rainfall_Dry!$A$2:$A$217,0)),"")</f>
        <v>136.27214243</v>
      </c>
      <c r="Z774" s="257">
        <v>27.96</v>
      </c>
      <c r="AA774" s="257">
        <v>4.9200000000000017</v>
      </c>
      <c r="AB774" s="257">
        <v>67.12</v>
      </c>
      <c r="AC774" s="258" t="s">
        <v>2654</v>
      </c>
      <c r="AD774" s="257">
        <v>0.88610152784622953</v>
      </c>
      <c r="AE774">
        <f>IF('WetLitterbags placem_collection'!AB115="","",'WetLitterbags placem_collection'!AB115)</f>
        <v>26</v>
      </c>
      <c r="AF774">
        <f>IF('WetLitterbags placem_collection'!Z115="","",'WetLitterbags placem_collection'!Z115)</f>
        <v>88.5</v>
      </c>
      <c r="AG774" s="243" t="str">
        <f>IF('WetLitterbags placem_collection'!AA115="","",'WetLitterbags placem_collection'!AA115)</f>
        <v>G</v>
      </c>
      <c r="AH774">
        <f>IF('WetLitterbags placem_collection'!AC115="","",'WetLitterbags placem_collection'!AC115)</f>
        <v>0</v>
      </c>
      <c r="AI774">
        <f>IFERROR(AVERAGE('Dry_Litterbag Placem_Collection'!O115,'Dry_Litterbag Placem_Collection'!R115),"")</f>
        <v>6.35</v>
      </c>
      <c r="AJ774" s="268">
        <f>IFERROR(AVERAGE('Dry_Litterbag Placem_Collection'!N115,'Dry_Litterbag Placem_Collection'!Q115),"")</f>
        <v>28.9</v>
      </c>
      <c r="AK774" s="267">
        <f>INDEX(Coordinates!$B$2:$B$197,MATCH(H774,Coordinates!$J$2:$J$197,0))</f>
        <v>-2.3487199940000001</v>
      </c>
      <c r="AL774" s="267">
        <f>INDEX(Coordinates!$C$2:$C$197,MATCH(H774,Coordinates!$J$2:$J$197,0))</f>
        <v>34.051391029999998</v>
      </c>
      <c r="AM774" s="267" t="str">
        <f>IF(ISNUMBER(SEARCH("C", 'Dry_Litterbag Placem_Collection'!V115)),"YES","NO")</f>
        <v>NO</v>
      </c>
      <c r="AN774" s="267" t="str">
        <f>IF(ISNUMBER(SEARCH("H", 'Dry_Litterbag Placem_Collection'!V115)),"YES","NO")</f>
        <v>NO</v>
      </c>
      <c r="AO774" s="267" t="str">
        <f>IF(ISNUMBER(SEARCH("R", 'Dry_Litterbag Placem_Collection'!V115)),"YES","NO")</f>
        <v>NO</v>
      </c>
    </row>
    <row r="775" spans="1:41" ht="15" customHeight="1">
      <c r="A775" s="259" t="s">
        <v>2643</v>
      </c>
      <c r="B775" s="260">
        <f>'Dry_Litterbag Placem_Collection'!A116</f>
        <v>114</v>
      </c>
      <c r="C775" s="260" t="str">
        <f>'Dry_Litterbag Placem_Collection'!B116</f>
        <v xml:space="preserve">Mwantimba
</v>
      </c>
      <c r="D775" s="260" t="s">
        <v>2454</v>
      </c>
      <c r="E775" s="260" t="s">
        <v>2644</v>
      </c>
      <c r="F775" s="260">
        <v>3</v>
      </c>
      <c r="G775" s="260" t="s">
        <v>3818</v>
      </c>
      <c r="H775" s="261" t="str">
        <f>'Dry_Litterbag Placem_Collection'!C116</f>
        <v>Wet_Ag3_T2</v>
      </c>
      <c r="I775" s="270" t="s">
        <v>3630</v>
      </c>
      <c r="J775" s="271" t="s">
        <v>298</v>
      </c>
      <c r="K775" s="260" t="str">
        <f>IF(ISBLANK('Dry_Litterbag Placem_Collection'!M116),"","R"&amp;""&amp;'Dry_Litterbag Placem_Collection'!M116)</f>
        <v>R247</v>
      </c>
      <c r="L775" s="264">
        <f>IFERROR(INDEX('Green_rooibos initial weight'!$C$5:$C$2000,MATCH(K775, 'Green_rooibos initial weight'!$A$5:$A$2000,0)),"")</f>
        <v>2.2330000000000001</v>
      </c>
      <c r="M775" s="264">
        <f>IFERROR(L775-(TBIcalc!$Q$9+TBIcalc!$Q$10),"")</f>
        <v>1.9832000000000001</v>
      </c>
      <c r="N775" s="385">
        <f>AVERAGE(Ashed_controlls!$K$12:$K$14)</f>
        <v>2.2816647271287041</v>
      </c>
      <c r="O775" s="264">
        <f t="shared" si="61"/>
        <v>1.9379500251315835</v>
      </c>
      <c r="P775" s="264">
        <f>IFERROR(INDEX('Both teabags AfterDry'!$D$2:$D$2000,MATCH(K775,'Both teabags AfterDry'!$A$2:$A$2000,0)),"")</f>
        <v>1.7551000000000001</v>
      </c>
      <c r="Q775" s="264">
        <f>IFERROR(IF(P775&gt;0,P775-(TBIcalc!$Q$9),""),"")</f>
        <v>1.6045</v>
      </c>
      <c r="R775" s="275">
        <f>IFERROR(INDEX('Ashed teabags dry'!$K$2:$K$2000,MATCH(K775,'Ashed teabags dry'!$A$2:$A$2000,0)),"")</f>
        <v>8.2853345148423898</v>
      </c>
      <c r="S775" s="275">
        <f t="shared" si="62"/>
        <v>1.471561807709354</v>
      </c>
      <c r="T775" s="265">
        <f>IF('Dry_Litterbag Placem_Collection'!E116="","",'Dry_Litterbag Placem_Collection'!E116)</f>
        <v>42939</v>
      </c>
      <c r="U775" s="265">
        <f>IF('Dry_Litterbag Placem_Collection'!G116="","",'Dry_Litterbag Placem_Collection'!G116)</f>
        <v>43008</v>
      </c>
      <c r="V775" s="266">
        <f t="shared" si="60"/>
        <v>69</v>
      </c>
      <c r="W775" s="264">
        <f t="shared" si="63"/>
        <v>0.37870000000000004</v>
      </c>
      <c r="X775" s="264">
        <f t="shared" si="64"/>
        <v>0.46638821742222958</v>
      </c>
      <c r="Y775" s="268">
        <f>IFERROR(INDEX(Rainfall_Dry!$O$2:$O$217,MATCH(B775, Rainfall_Dry!$A$2:$A$217,0)),"")</f>
        <v>136.27214243</v>
      </c>
      <c r="Z775" s="257">
        <v>27.96</v>
      </c>
      <c r="AA775" s="257">
        <v>4.9200000000000017</v>
      </c>
      <c r="AB775" s="257">
        <v>67.12</v>
      </c>
      <c r="AC775" s="258" t="s">
        <v>2654</v>
      </c>
      <c r="AD775" s="257">
        <v>1.8861015278462301</v>
      </c>
      <c r="AE775">
        <f>IF('WetLitterbags placem_collection'!AB116="","",'WetLitterbags placem_collection'!AB116)</f>
        <v>16.5</v>
      </c>
      <c r="AF775">
        <f>IF('WetLitterbags placem_collection'!Z116="","",'WetLitterbags placem_collection'!Z116)</f>
        <v>87.5</v>
      </c>
      <c r="AG775" s="243" t="str">
        <f>IF('WetLitterbags placem_collection'!AA116="","",'WetLitterbags placem_collection'!AA116)</f>
        <v>G</v>
      </c>
      <c r="AH775">
        <f>IF('WetLitterbags placem_collection'!AC116="","",'WetLitterbags placem_collection'!AC116)</f>
        <v>0</v>
      </c>
      <c r="AI775">
        <f>IFERROR(AVERAGE('Dry_Litterbag Placem_Collection'!O116,'Dry_Litterbag Placem_Collection'!R116),"")</f>
        <v>12.1</v>
      </c>
      <c r="AJ775" s="268">
        <f>IFERROR(AVERAGE('Dry_Litterbag Placem_Collection'!N116,'Dry_Litterbag Placem_Collection'!Q116),"")</f>
        <v>28.1</v>
      </c>
      <c r="AK775" s="267">
        <f>INDEX(Coordinates!$B$2:$B$197,MATCH(H775,Coordinates!$J$2:$J$197,0))</f>
        <v>-2.348716976</v>
      </c>
      <c r="AL775" s="267">
        <f>INDEX(Coordinates!$C$2:$C$197,MATCH(H775,Coordinates!$J$2:$J$197,0))</f>
        <v>34.051484989999999</v>
      </c>
      <c r="AM775" s="267" t="str">
        <f>IF(ISNUMBER(SEARCH("C", 'Dry_Litterbag Placem_Collection'!V116)),"YES","NO")</f>
        <v>NO</v>
      </c>
      <c r="AN775" s="267" t="str">
        <f>IF(ISNUMBER(SEARCH("H", 'Dry_Litterbag Placem_Collection'!V116)),"YES","NO")</f>
        <v>NO</v>
      </c>
      <c r="AO775" s="267" t="str">
        <f>IF(ISNUMBER(SEARCH("R", 'Dry_Litterbag Placem_Collection'!V116)),"YES","NO")</f>
        <v>NO</v>
      </c>
    </row>
    <row r="776" spans="1:41" ht="15" customHeight="1">
      <c r="A776" s="259" t="s">
        <v>2643</v>
      </c>
      <c r="B776" s="260">
        <f>'Dry_Litterbag Placem_Collection'!A117</f>
        <v>115</v>
      </c>
      <c r="C776" s="260" t="str">
        <f>'Dry_Litterbag Placem_Collection'!B117</f>
        <v xml:space="preserve">Mwantimba
</v>
      </c>
      <c r="D776" s="260" t="s">
        <v>2454</v>
      </c>
      <c r="E776" s="260" t="s">
        <v>2644</v>
      </c>
      <c r="F776" s="260">
        <v>3</v>
      </c>
      <c r="G776" s="260" t="s">
        <v>3818</v>
      </c>
      <c r="H776" s="261" t="str">
        <f>'Dry_Litterbag Placem_Collection'!C117</f>
        <v>Wet_Ag3_T3</v>
      </c>
      <c r="I776" s="270" t="s">
        <v>3630</v>
      </c>
      <c r="J776" s="271" t="s">
        <v>298</v>
      </c>
      <c r="K776" s="260" t="str">
        <f>IF(ISBLANK('Dry_Litterbag Placem_Collection'!M117),"","R"&amp;""&amp;'Dry_Litterbag Placem_Collection'!M117)</f>
        <v>R671</v>
      </c>
      <c r="L776" s="264">
        <f>IFERROR(INDEX('Green_rooibos initial weight'!$C$5:$C$2000,MATCH(K776, 'Green_rooibos initial weight'!$A$5:$A$2000,0)),"")</f>
        <v>2.202</v>
      </c>
      <c r="M776" s="264">
        <f>IFERROR(L776-(TBIcalc!$Q$9+TBIcalc!$Q$10),"")</f>
        <v>1.9521999999999999</v>
      </c>
      <c r="N776" s="385">
        <f>AVERAGE(Ashed_controlls!$K$12:$K$14)</f>
        <v>2.2816647271287041</v>
      </c>
      <c r="O776" s="264">
        <f t="shared" si="61"/>
        <v>1.9076573411969935</v>
      </c>
      <c r="P776" s="264">
        <f>IFERROR(INDEX('Both teabags AfterDry'!$D$2:$D$2000,MATCH(K776,'Both teabags AfterDry'!$A$2:$A$2000,0)),"")</f>
        <v>1.6099000000000001</v>
      </c>
      <c r="Q776" s="264">
        <f>IFERROR(IF(P776&gt;0,P776-(TBIcalc!$Q$9),""),"")</f>
        <v>1.4593</v>
      </c>
      <c r="R776" s="275">
        <f>IFERROR(INDEX('Ashed teabags dry'!$K$2:$K$2000,MATCH(K776,'Ashed teabags dry'!$A$2:$A$2000,0)),"")</f>
        <v>9.1992373689235691</v>
      </c>
      <c r="S776" s="275">
        <f t="shared" si="62"/>
        <v>1.3250555290752983</v>
      </c>
      <c r="T776" s="265">
        <f>IF('Dry_Litterbag Placem_Collection'!E117="","",'Dry_Litterbag Placem_Collection'!E117)</f>
        <v>42939</v>
      </c>
      <c r="U776" s="265">
        <f>IF('Dry_Litterbag Placem_Collection'!G117="","",'Dry_Litterbag Placem_Collection'!G117)</f>
        <v>43008</v>
      </c>
      <c r="V776" s="266">
        <f t="shared" si="60"/>
        <v>69</v>
      </c>
      <c r="W776" s="264">
        <f t="shared" si="63"/>
        <v>0.49289999999999989</v>
      </c>
      <c r="X776" s="264">
        <f t="shared" si="64"/>
        <v>0.58260181212169515</v>
      </c>
      <c r="Y776" s="268">
        <f>IFERROR(INDEX(Rainfall_Dry!$O$2:$O$217,MATCH(B776, Rainfall_Dry!$A$2:$A$217,0)),"")</f>
        <v>136.27214243</v>
      </c>
      <c r="Z776" s="257">
        <v>27.96</v>
      </c>
      <c r="AA776" s="257">
        <v>4.9200000000000017</v>
      </c>
      <c r="AB776" s="257">
        <v>67.12</v>
      </c>
      <c r="AC776" s="258" t="s">
        <v>2654</v>
      </c>
      <c r="AD776" s="257">
        <v>2.8861015278462299</v>
      </c>
      <c r="AE776">
        <f>IF('WetLitterbags placem_collection'!AB117="","",'WetLitterbags placem_collection'!AB117)</f>
        <v>19</v>
      </c>
      <c r="AF776">
        <f>IF('WetLitterbags placem_collection'!Z117="","",'WetLitterbags placem_collection'!Z117)</f>
        <v>79.5</v>
      </c>
      <c r="AG776" s="243" t="str">
        <f>IF('WetLitterbags placem_collection'!AA117="","",'WetLitterbags placem_collection'!AA117)</f>
        <v>G</v>
      </c>
      <c r="AH776">
        <f>IF('WetLitterbags placem_collection'!AC117="","",'WetLitterbags placem_collection'!AC117)</f>
        <v>1</v>
      </c>
      <c r="AI776">
        <f>IFERROR(AVERAGE('Dry_Litterbag Placem_Collection'!O117,'Dry_Litterbag Placem_Collection'!R117),"")</f>
        <v>6.9</v>
      </c>
      <c r="AJ776" s="268">
        <f>IFERROR(AVERAGE('Dry_Litterbag Placem_Collection'!N117,'Dry_Litterbag Placem_Collection'!Q117),"")</f>
        <v>28.95</v>
      </c>
      <c r="AK776" s="267">
        <f>INDEX(Coordinates!$B$2:$B$197,MATCH(H776,Coordinates!$J$2:$J$197,0))</f>
        <v>-2.3487800079999999</v>
      </c>
      <c r="AL776" s="267">
        <f>INDEX(Coordinates!$C$2:$C$197,MATCH(H776,Coordinates!$J$2:$J$197,0))</f>
        <v>34.051495969999998</v>
      </c>
      <c r="AM776" s="267" t="str">
        <f>IF(ISNUMBER(SEARCH("C", 'Dry_Litterbag Placem_Collection'!V117)),"YES","NO")</f>
        <v>NO</v>
      </c>
      <c r="AN776" s="267" t="str">
        <f>IF(ISNUMBER(SEARCH("H", 'Dry_Litterbag Placem_Collection'!V117)),"YES","NO")</f>
        <v>NO</v>
      </c>
      <c r="AO776" s="267" t="str">
        <f>IF(ISNUMBER(SEARCH("R", 'Dry_Litterbag Placem_Collection'!V117)),"YES","NO")</f>
        <v>NO</v>
      </c>
    </row>
    <row r="777" spans="1:41" ht="15" customHeight="1">
      <c r="A777" s="259" t="s">
        <v>2643</v>
      </c>
      <c r="B777" s="260">
        <f>'Dry_Litterbag Placem_Collection'!A118</f>
        <v>116</v>
      </c>
      <c r="C777" s="260" t="str">
        <f>'Dry_Litterbag Placem_Collection'!B118</f>
        <v xml:space="preserve">Mwantimba
</v>
      </c>
      <c r="D777" s="260" t="s">
        <v>2454</v>
      </c>
      <c r="E777" s="260" t="s">
        <v>2644</v>
      </c>
      <c r="F777" s="260">
        <v>3</v>
      </c>
      <c r="G777" s="260" t="s">
        <v>3818</v>
      </c>
      <c r="H777" s="261" t="str">
        <f>'Dry_Litterbag Placem_Collection'!C118</f>
        <v>Wet_Ag3_T4</v>
      </c>
      <c r="I777" s="270" t="s">
        <v>3630</v>
      </c>
      <c r="J777" s="271" t="s">
        <v>298</v>
      </c>
      <c r="K777" s="260" t="str">
        <f>IF(ISBLANK('Dry_Litterbag Placem_Collection'!M118),"","R"&amp;""&amp;'Dry_Litterbag Placem_Collection'!M118)</f>
        <v>R638</v>
      </c>
      <c r="L777" s="264">
        <f>IFERROR(INDEX('Green_rooibos initial weight'!$C$5:$C$2000,MATCH(K777, 'Green_rooibos initial weight'!$A$5:$A$2000,0)),"")</f>
        <v>2.1659999999999999</v>
      </c>
      <c r="M777" s="264">
        <f>IFERROR(L777-(TBIcalc!$Q$9+TBIcalc!$Q$10),"")</f>
        <v>1.9161999999999999</v>
      </c>
      <c r="N777" s="385">
        <f>AVERAGE(Ashed_controlls!$K$12:$K$14)</f>
        <v>2.2816647271287041</v>
      </c>
      <c r="O777" s="264">
        <f t="shared" si="61"/>
        <v>1.8724787404987597</v>
      </c>
      <c r="P777" s="264">
        <f>IFERROR(INDEX('Both teabags AfterDry'!$D$2:$D$2000,MATCH(K777,'Both teabags AfterDry'!$A$2:$A$2000,0)),"")</f>
        <v>1.5814999999999999</v>
      </c>
      <c r="Q777" s="264">
        <f>IFERROR(IF(P777&gt;0,P777-(TBIcalc!$Q$9),""),"")</f>
        <v>1.4308999999999998</v>
      </c>
      <c r="R777" s="275">
        <f>IFERROR(INDEX('Ashed teabags dry'!$K$2:$K$2000,MATCH(K777,'Ashed teabags dry'!$A$2:$A$2000,0)),"")</f>
        <v>7.3855913004079357</v>
      </c>
      <c r="S777" s="275">
        <f t="shared" si="62"/>
        <v>1.3252195740824626</v>
      </c>
      <c r="T777" s="265">
        <f>IF('Dry_Litterbag Placem_Collection'!E118="","",'Dry_Litterbag Placem_Collection'!E118)</f>
        <v>42939</v>
      </c>
      <c r="U777" s="265">
        <f>IF('Dry_Litterbag Placem_Collection'!G118="","",'Dry_Litterbag Placem_Collection'!G118)</f>
        <v>43008</v>
      </c>
      <c r="V777" s="266">
        <f t="shared" si="60"/>
        <v>69</v>
      </c>
      <c r="W777" s="264">
        <f t="shared" si="63"/>
        <v>0.48530000000000006</v>
      </c>
      <c r="X777" s="264">
        <f t="shared" si="64"/>
        <v>0.54725916641629713</v>
      </c>
      <c r="Y777" s="268">
        <f>IFERROR(INDEX(Rainfall_Dry!$O$2:$O$217,MATCH(B777, Rainfall_Dry!$A$2:$A$217,0)),"")</f>
        <v>136.27214243</v>
      </c>
      <c r="Z777" s="257">
        <v>27.96</v>
      </c>
      <c r="AA777" s="257">
        <v>4.9200000000000017</v>
      </c>
      <c r="AB777" s="257">
        <v>67.12</v>
      </c>
      <c r="AC777" s="258" t="s">
        <v>2654</v>
      </c>
      <c r="AD777" s="257">
        <v>3.8861015278462299</v>
      </c>
      <c r="AE777">
        <f>IF('WetLitterbags placem_collection'!AB118="","",'WetLitterbags placem_collection'!AB118)</f>
        <v>22.5</v>
      </c>
      <c r="AF777">
        <f>IF('WetLitterbags placem_collection'!Z118="","",'WetLitterbags placem_collection'!Z118)</f>
        <v>76</v>
      </c>
      <c r="AG777" s="243" t="str">
        <f>IF('WetLitterbags placem_collection'!AA118="","",'WetLitterbags placem_collection'!AA118)</f>
        <v>G</v>
      </c>
      <c r="AH777">
        <f>IF('WetLitterbags placem_collection'!AC118="","",'WetLitterbags placem_collection'!AC118)</f>
        <v>1</v>
      </c>
      <c r="AI777">
        <f>IFERROR(AVERAGE('Dry_Litterbag Placem_Collection'!O118,'Dry_Litterbag Placem_Collection'!R118),"")</f>
        <v>8.65</v>
      </c>
      <c r="AJ777" s="268">
        <f>IFERROR(AVERAGE('Dry_Litterbag Placem_Collection'!N118,'Dry_Litterbag Placem_Collection'!Q118),"")</f>
        <v>29.799999999999997</v>
      </c>
      <c r="AK777" s="267">
        <f>INDEX(Coordinates!$B$2:$B$197,MATCH(H777,Coordinates!$J$2:$J$197,0))</f>
        <v>-2.3488120270000001</v>
      </c>
      <c r="AL777" s="267">
        <f>INDEX(Coordinates!$C$2:$C$197,MATCH(H777,Coordinates!$J$2:$J$197,0))</f>
        <v>34.05146697</v>
      </c>
      <c r="AM777" s="267" t="str">
        <f>IF(ISNUMBER(SEARCH("C", 'Dry_Litterbag Placem_Collection'!V118)),"YES","NO")</f>
        <v>NO</v>
      </c>
      <c r="AN777" s="267" t="str">
        <f>IF(ISNUMBER(SEARCH("H", 'Dry_Litterbag Placem_Collection'!V118)),"YES","NO")</f>
        <v>NO</v>
      </c>
      <c r="AO777" s="267" t="str">
        <f>IF(ISNUMBER(SEARCH("R", 'Dry_Litterbag Placem_Collection'!V118)),"YES","NO")</f>
        <v>NO</v>
      </c>
    </row>
    <row r="778" spans="1:41" ht="15" customHeight="1">
      <c r="A778" s="259" t="s">
        <v>2643</v>
      </c>
      <c r="B778" s="260">
        <f>'Dry_Litterbag Placem_Collection'!A119</f>
        <v>117</v>
      </c>
      <c r="C778" s="260" t="str">
        <f>'Dry_Litterbag Placem_Collection'!B119</f>
        <v xml:space="preserve">Mwantimba
</v>
      </c>
      <c r="D778" s="260" t="s">
        <v>2454</v>
      </c>
      <c r="E778" s="260" t="s">
        <v>2644</v>
      </c>
      <c r="F778" s="260">
        <v>3</v>
      </c>
      <c r="G778" s="260" t="s">
        <v>3818</v>
      </c>
      <c r="H778" s="261" t="str">
        <f>'Dry_Litterbag Placem_Collection'!C119</f>
        <v>Wet_Ag3_T5</v>
      </c>
      <c r="I778" s="270" t="s">
        <v>3630</v>
      </c>
      <c r="J778" s="271" t="s">
        <v>298</v>
      </c>
      <c r="K778" s="260" t="str">
        <f>IF(ISBLANK('Dry_Litterbag Placem_Collection'!M119),"","R"&amp;""&amp;'Dry_Litterbag Placem_Collection'!M119)</f>
        <v>R719</v>
      </c>
      <c r="L778" s="264">
        <f>IFERROR(INDEX('Green_rooibos initial weight'!$C$5:$C$2000,MATCH(K778, 'Green_rooibos initial weight'!$A$5:$A$2000,0)),"")</f>
        <v>2.2050000000000001</v>
      </c>
      <c r="M778" s="264">
        <f>IFERROR(L778-(TBIcalc!$Q$9+TBIcalc!$Q$10),"")</f>
        <v>1.9552</v>
      </c>
      <c r="N778" s="385">
        <f>AVERAGE(Ashed_controlls!$K$12:$K$14)</f>
        <v>2.2816647271287041</v>
      </c>
      <c r="O778" s="264">
        <f t="shared" si="61"/>
        <v>1.9105888912551796</v>
      </c>
      <c r="P778" s="264" t="str">
        <f>IFERROR(INDEX('Both teabags AfterDry'!$D$2:$D$2000,MATCH(K778,'Both teabags AfterDry'!$A$2:$A$2000,0)),"")</f>
        <v/>
      </c>
      <c r="Q778" s="264" t="str">
        <f>IFERROR(IF(P778&gt;0,P778-(TBIcalc!$Q$9),""),"")</f>
        <v/>
      </c>
      <c r="R778" s="275" t="str">
        <f>IFERROR(INDEX('Ashed teabags dry'!$K$2:$K$2000,MATCH(K778,'Ashed teabags dry'!$A$2:$A$2000,0)),"")</f>
        <v/>
      </c>
      <c r="S778" s="275" t="str">
        <f t="shared" si="62"/>
        <v/>
      </c>
      <c r="T778" s="265">
        <f>IF('Dry_Litterbag Placem_Collection'!E119="","",'Dry_Litterbag Placem_Collection'!E119)</f>
        <v>42939</v>
      </c>
      <c r="U778" s="265">
        <f>IF('Dry_Litterbag Placem_Collection'!G119="","",'Dry_Litterbag Placem_Collection'!G119)</f>
        <v>43008</v>
      </c>
      <c r="V778" s="266">
        <f t="shared" si="60"/>
        <v>69</v>
      </c>
      <c r="W778" s="264" t="str">
        <f t="shared" si="63"/>
        <v/>
      </c>
      <c r="X778" s="264" t="str">
        <f t="shared" si="64"/>
        <v/>
      </c>
      <c r="Y778" s="268">
        <f>IFERROR(INDEX(Rainfall_Dry!$O$2:$O$217,MATCH(B778, Rainfall_Dry!$A$2:$A$217,0)),"")</f>
        <v>136.27214243</v>
      </c>
      <c r="Z778" s="257">
        <v>27.96</v>
      </c>
      <c r="AA778" s="257">
        <v>4.9200000000000017</v>
      </c>
      <c r="AB778" s="257">
        <v>67.12</v>
      </c>
      <c r="AC778" s="258" t="s">
        <v>2654</v>
      </c>
      <c r="AD778" s="257">
        <v>4.8861015278462299</v>
      </c>
      <c r="AE778">
        <f>IF('WetLitterbags placem_collection'!AB119="","",'WetLitterbags placem_collection'!AB119)</f>
        <v>23.5</v>
      </c>
      <c r="AF778">
        <f>IF('WetLitterbags placem_collection'!Z119="","",'WetLitterbags placem_collection'!Z119)</f>
        <v>76</v>
      </c>
      <c r="AG778" s="243" t="str">
        <f>IF('WetLitterbags placem_collection'!AA119="","",'WetLitterbags placem_collection'!AA119)</f>
        <v>G</v>
      </c>
      <c r="AH778">
        <f>IF('WetLitterbags placem_collection'!AC119="","",'WetLitterbags placem_collection'!AC119)</f>
        <v>1</v>
      </c>
      <c r="AI778">
        <f>IFERROR(AVERAGE('Dry_Litterbag Placem_Collection'!O119,'Dry_Litterbag Placem_Collection'!R119),"")</f>
        <v>10.149999999999999</v>
      </c>
      <c r="AJ778" s="268">
        <f>IFERROR(AVERAGE('Dry_Litterbag Placem_Collection'!N119,'Dry_Litterbag Placem_Collection'!Q119),"")</f>
        <v>29.05</v>
      </c>
      <c r="AK778" s="267">
        <f>INDEX(Coordinates!$B$2:$B$197,MATCH(H778,Coordinates!$J$2:$J$197,0))</f>
        <v>-2.348814961</v>
      </c>
      <c r="AL778" s="267">
        <f>INDEX(Coordinates!$C$2:$C$197,MATCH(H778,Coordinates!$J$2:$J$197,0))</f>
        <v>34.051439979999998</v>
      </c>
      <c r="AM778" s="267" t="str">
        <f>IF(ISNUMBER(SEARCH("C", 'Dry_Litterbag Placem_Collection'!V119)),"YES","NO")</f>
        <v>NO</v>
      </c>
      <c r="AN778" s="267" t="str">
        <f>IF(ISNUMBER(SEARCH("H", 'Dry_Litterbag Placem_Collection'!V119)),"YES","NO")</f>
        <v>NO</v>
      </c>
      <c r="AO778" s="267" t="str">
        <f>IF(ISNUMBER(SEARCH("R", 'Dry_Litterbag Placem_Collection'!V119)),"YES","NO")</f>
        <v>NO</v>
      </c>
    </row>
    <row r="779" spans="1:41" ht="15" customHeight="1">
      <c r="A779" s="259" t="s">
        <v>2643</v>
      </c>
      <c r="B779" s="260">
        <f>'Dry_Litterbag Placem_Collection'!A120</f>
        <v>118</v>
      </c>
      <c r="C779" s="260" t="str">
        <f>'Dry_Litterbag Placem_Collection'!B120</f>
        <v xml:space="preserve">Mwantimba
</v>
      </c>
      <c r="D779" s="260" t="s">
        <v>2454</v>
      </c>
      <c r="E779" s="260" t="s">
        <v>2644</v>
      </c>
      <c r="F779" s="260">
        <v>3</v>
      </c>
      <c r="G779" s="260" t="s">
        <v>3818</v>
      </c>
      <c r="H779" s="261" t="str">
        <f>'Dry_Litterbag Placem_Collection'!C120</f>
        <v>Wet_Ag3_T6</v>
      </c>
      <c r="I779" s="270" t="s">
        <v>3630</v>
      </c>
      <c r="J779" s="271" t="s">
        <v>298</v>
      </c>
      <c r="K779" s="260" t="str">
        <f>IF(ISBLANK('Dry_Litterbag Placem_Collection'!M120),"","R"&amp;""&amp;'Dry_Litterbag Placem_Collection'!M120)</f>
        <v>R173</v>
      </c>
      <c r="L779" s="264">
        <f>IFERROR(INDEX('Green_rooibos initial weight'!$C$5:$C$2000,MATCH(K779, 'Green_rooibos initial weight'!$A$5:$A$2000,0)),"")</f>
        <v>2.2040000000000002</v>
      </c>
      <c r="M779" s="264">
        <f>IFERROR(L779-(TBIcalc!$Q$9+TBIcalc!$Q$10),"")</f>
        <v>1.9542000000000002</v>
      </c>
      <c r="N779" s="385">
        <f>AVERAGE(Ashed_controlls!$K$12:$K$14)</f>
        <v>2.2816647271287041</v>
      </c>
      <c r="O779" s="264">
        <f t="shared" si="61"/>
        <v>1.909611707902451</v>
      </c>
      <c r="P779" s="264">
        <f>IFERROR(INDEX('Both teabags AfterDry'!$D$2:$D$2000,MATCH(K779,'Both teabags AfterDry'!$A$2:$A$2000,0)),"")</f>
        <v>1.5261</v>
      </c>
      <c r="Q779" s="264">
        <f>IFERROR(IF(P779&gt;0,P779-(TBIcalc!$Q$9),""),"")</f>
        <v>1.3754999999999999</v>
      </c>
      <c r="R779" s="275">
        <f>IFERROR(INDEX('Ashed teabags dry'!$K$2:$K$2000,MATCH(K779,'Ashed teabags dry'!$A$2:$A$2000,0)),"")</f>
        <v>8.9977728285078307</v>
      </c>
      <c r="S779" s="275">
        <f t="shared" si="62"/>
        <v>1.2517356347438748</v>
      </c>
      <c r="T779" s="265">
        <f>IF('Dry_Litterbag Placem_Collection'!E120="","",'Dry_Litterbag Placem_Collection'!E120)</f>
        <v>42939</v>
      </c>
      <c r="U779" s="265">
        <f>IF('Dry_Litterbag Placem_Collection'!G120="","",'Dry_Litterbag Placem_Collection'!G120)</f>
        <v>43008</v>
      </c>
      <c r="V779" s="266">
        <f t="shared" si="60"/>
        <v>69</v>
      </c>
      <c r="W779" s="264">
        <f t="shared" si="63"/>
        <v>0.57870000000000021</v>
      </c>
      <c r="X779" s="264">
        <f t="shared" si="64"/>
        <v>0.65787607315857621</v>
      </c>
      <c r="Y779" s="268">
        <f>IFERROR(INDEX(Rainfall_Dry!$O$2:$O$217,MATCH(B779, Rainfall_Dry!$A$2:$A$217,0)),"")</f>
        <v>136.27214243</v>
      </c>
      <c r="Z779" s="257">
        <v>27.96</v>
      </c>
      <c r="AA779" s="257">
        <v>4.9200000000000017</v>
      </c>
      <c r="AB779" s="257">
        <v>67.12</v>
      </c>
      <c r="AC779" s="258" t="s">
        <v>2654</v>
      </c>
      <c r="AD779" s="257">
        <v>5.8861015278462299</v>
      </c>
      <c r="AE779">
        <f>IF('WetLitterbags placem_collection'!AB120="","",'WetLitterbags placem_collection'!AB120)</f>
        <v>17.5</v>
      </c>
      <c r="AF779">
        <f>IF('WetLitterbags placem_collection'!Z120="","",'WetLitterbags placem_collection'!Z120)</f>
        <v>70.5</v>
      </c>
      <c r="AG779" s="243" t="str">
        <f>IF('WetLitterbags placem_collection'!AA120="","",'WetLitterbags placem_collection'!AA120)</f>
        <v>G</v>
      </c>
      <c r="AH779">
        <f>IF('WetLitterbags placem_collection'!AC120="","",'WetLitterbags placem_collection'!AC120)</f>
        <v>1</v>
      </c>
      <c r="AI779">
        <f>IFERROR(AVERAGE('Dry_Litterbag Placem_Collection'!O120,'Dry_Litterbag Placem_Collection'!R120),"")</f>
        <v>7.8000000000000007</v>
      </c>
      <c r="AJ779" s="268">
        <f>IFERROR(AVERAGE('Dry_Litterbag Placem_Collection'!N120,'Dry_Litterbag Placem_Collection'!Q120),"")</f>
        <v>28.25</v>
      </c>
      <c r="AK779" s="267">
        <f>INDEX(Coordinates!$B$2:$B$197,MATCH(H779,Coordinates!$J$2:$J$197,0))</f>
        <v>-2.3488729629999998</v>
      </c>
      <c r="AL779" s="267">
        <f>INDEX(Coordinates!$C$2:$C$197,MATCH(H779,Coordinates!$J$2:$J$197,0))</f>
        <v>34.051454980000003</v>
      </c>
      <c r="AM779" s="267" t="str">
        <f>IF(ISNUMBER(SEARCH("C", 'Dry_Litterbag Placem_Collection'!V120)),"YES","NO")</f>
        <v>NO</v>
      </c>
      <c r="AN779" s="267" t="str">
        <f>IF(ISNUMBER(SEARCH("H", 'Dry_Litterbag Placem_Collection'!V120)),"YES","NO")</f>
        <v>NO</v>
      </c>
      <c r="AO779" s="267" t="str">
        <f>IF(ISNUMBER(SEARCH("R", 'Dry_Litterbag Placem_Collection'!V120)),"YES","NO")</f>
        <v>NO</v>
      </c>
    </row>
    <row r="780" spans="1:41" ht="15" customHeight="1">
      <c r="A780" s="259" t="s">
        <v>2643</v>
      </c>
      <c r="B780" s="260">
        <f>'Dry_Litterbag Placem_Collection'!A121</f>
        <v>119</v>
      </c>
      <c r="C780" s="260" t="str">
        <f>'Dry_Litterbag Placem_Collection'!B121</f>
        <v xml:space="preserve">Mwantimba
</v>
      </c>
      <c r="D780" s="260" t="s">
        <v>2454</v>
      </c>
      <c r="E780" s="260" t="s">
        <v>2644</v>
      </c>
      <c r="F780" s="260">
        <v>3</v>
      </c>
      <c r="G780" s="260" t="s">
        <v>3818</v>
      </c>
      <c r="H780" s="261" t="str">
        <f>'Dry_Litterbag Placem_Collection'!C121</f>
        <v>Wet_Ag3_T7</v>
      </c>
      <c r="I780" s="270" t="s">
        <v>3630</v>
      </c>
      <c r="J780" s="271" t="s">
        <v>298</v>
      </c>
      <c r="K780" s="260" t="str">
        <f>IF(ISBLANK('Dry_Litterbag Placem_Collection'!M121),"","R"&amp;""&amp;'Dry_Litterbag Placem_Collection'!M121)</f>
        <v>R373</v>
      </c>
      <c r="L780" s="264">
        <f>IFERROR(INDEX('Green_rooibos initial weight'!$C$5:$C$2000,MATCH(K780, 'Green_rooibos initial weight'!$A$5:$A$2000,0)),"")</f>
        <v>2.226</v>
      </c>
      <c r="M780" s="264">
        <f>IFERROR(L780-(TBIcalc!$Q$9+TBIcalc!$Q$10),"")</f>
        <v>1.9762</v>
      </c>
      <c r="N780" s="385">
        <f>AVERAGE(Ashed_controlls!$K$12:$K$14)</f>
        <v>2.2816647271287041</v>
      </c>
      <c r="O780" s="264">
        <f t="shared" si="61"/>
        <v>1.9311097416624825</v>
      </c>
      <c r="P780" s="264">
        <f>IFERROR(INDEX('Both teabags AfterDry'!$D$2:$D$2000,MATCH(K780,'Both teabags AfterDry'!$A$2:$A$2000,0)),"")</f>
        <v>1.5419</v>
      </c>
      <c r="Q780" s="264">
        <f>IFERROR(IF(P780&gt;0,P780-(TBIcalc!$Q$9),""),"")</f>
        <v>1.3913</v>
      </c>
      <c r="R780" s="275">
        <f>IFERROR(INDEX('Ashed teabags dry'!$K$2:$K$2000,MATCH(K780,'Ashed teabags dry'!$A$2:$A$2000,0)),"")</f>
        <v>6.2859884836854203</v>
      </c>
      <c r="S780" s="275">
        <f t="shared" si="62"/>
        <v>1.3038430422264846</v>
      </c>
      <c r="T780" s="265">
        <f>IF('Dry_Litterbag Placem_Collection'!E121="","",'Dry_Litterbag Placem_Collection'!E121)</f>
        <v>42939</v>
      </c>
      <c r="U780" s="265">
        <f>IF('Dry_Litterbag Placem_Collection'!G121="","",'Dry_Litterbag Placem_Collection'!G121)</f>
        <v>43008</v>
      </c>
      <c r="V780" s="266">
        <f t="shared" si="60"/>
        <v>69</v>
      </c>
      <c r="W780" s="264">
        <f t="shared" si="63"/>
        <v>0.58489999999999998</v>
      </c>
      <c r="X780" s="264">
        <f t="shared" si="64"/>
        <v>0.62726669943599789</v>
      </c>
      <c r="Y780" s="268">
        <f>IFERROR(INDEX(Rainfall_Dry!$O$2:$O$217,MATCH(B780, Rainfall_Dry!$A$2:$A$217,0)),"")</f>
        <v>136.27214243</v>
      </c>
      <c r="Z780" s="257">
        <v>27.96</v>
      </c>
      <c r="AA780" s="257">
        <v>4.9200000000000017</v>
      </c>
      <c r="AB780" s="257">
        <v>67.12</v>
      </c>
      <c r="AC780" s="258" t="s">
        <v>2654</v>
      </c>
      <c r="AD780" s="257">
        <v>6.8861015278462299</v>
      </c>
      <c r="AE780">
        <f>IF('WetLitterbags placem_collection'!AB121="","",'WetLitterbags placem_collection'!AB121)</f>
        <v>18.5</v>
      </c>
      <c r="AF780">
        <f>IF('WetLitterbags placem_collection'!Z121="","",'WetLitterbags placem_collection'!Z121)</f>
        <v>74.5</v>
      </c>
      <c r="AG780" s="243" t="str">
        <f>IF('WetLitterbags placem_collection'!AA121="","",'WetLitterbags placem_collection'!AA121)</f>
        <v>G</v>
      </c>
      <c r="AH780">
        <f>IF('WetLitterbags placem_collection'!AC121="","",'WetLitterbags placem_collection'!AC121)</f>
        <v>1</v>
      </c>
      <c r="AI780">
        <f>IFERROR(AVERAGE('Dry_Litterbag Placem_Collection'!O121,'Dry_Litterbag Placem_Collection'!R121),"")</f>
        <v>10.050000000000001</v>
      </c>
      <c r="AJ780" s="268">
        <f>IFERROR(AVERAGE('Dry_Litterbag Placem_Collection'!N121,'Dry_Litterbag Placem_Collection'!Q121),"")</f>
        <v>27.95</v>
      </c>
      <c r="AK780" s="267">
        <f>INDEX(Coordinates!$B$2:$B$197,MATCH(H780,Coordinates!$J$2:$J$197,0))</f>
        <v>-2.3488589659999999</v>
      </c>
      <c r="AL780" s="267">
        <f>INDEX(Coordinates!$C$2:$C$197,MATCH(H780,Coordinates!$J$2:$J$197,0))</f>
        <v>34.051389010000001</v>
      </c>
      <c r="AM780" s="267" t="str">
        <f>IF(ISNUMBER(SEARCH("C", 'Dry_Litterbag Placem_Collection'!V121)),"YES","NO")</f>
        <v>NO</v>
      </c>
      <c r="AN780" s="267" t="str">
        <f>IF(ISNUMBER(SEARCH("H", 'Dry_Litterbag Placem_Collection'!V121)),"YES","NO")</f>
        <v>NO</v>
      </c>
      <c r="AO780" s="267" t="str">
        <f>IF(ISNUMBER(SEARCH("R", 'Dry_Litterbag Placem_Collection'!V121)),"YES","NO")</f>
        <v>NO</v>
      </c>
    </row>
    <row r="781" spans="1:41" ht="15" customHeight="1">
      <c r="A781" s="259" t="s">
        <v>2643</v>
      </c>
      <c r="B781" s="260">
        <f>'Dry_Litterbag Placem_Collection'!A122</f>
        <v>120</v>
      </c>
      <c r="C781" s="260" t="str">
        <f>'Dry_Litterbag Placem_Collection'!B122</f>
        <v xml:space="preserve">Mwantimba
</v>
      </c>
      <c r="D781" s="260" t="s">
        <v>2454</v>
      </c>
      <c r="E781" s="260" t="s">
        <v>2644</v>
      </c>
      <c r="F781" s="260">
        <v>3</v>
      </c>
      <c r="G781" s="260" t="s">
        <v>3818</v>
      </c>
      <c r="H781" s="261" t="str">
        <f>'Dry_Litterbag Placem_Collection'!C122</f>
        <v>Wet_Ag3_T8</v>
      </c>
      <c r="I781" s="270" t="s">
        <v>3630</v>
      </c>
      <c r="J781" s="271" t="s">
        <v>298</v>
      </c>
      <c r="K781" s="260" t="str">
        <f>IF(ISBLANK('Dry_Litterbag Placem_Collection'!M122),"","R"&amp;""&amp;'Dry_Litterbag Placem_Collection'!M122)</f>
        <v/>
      </c>
      <c r="L781" s="264" t="str">
        <f>IFERROR(INDEX('Green_rooibos initial weight'!$C$5:$C$2000,MATCH(K781, 'Green_rooibos initial weight'!$A$5:$A$2000,0)),"")</f>
        <v/>
      </c>
      <c r="M781" s="264" t="str">
        <f>IFERROR(L781-(TBIcalc!$Q$9+TBIcalc!$Q$10),"")</f>
        <v/>
      </c>
      <c r="N781" s="385">
        <f>AVERAGE(Ashed_controlls!$K$12:$K$14)</f>
        <v>2.2816647271287041</v>
      </c>
      <c r="O781" s="264" t="str">
        <f t="shared" si="61"/>
        <v/>
      </c>
      <c r="P781" s="264" t="str">
        <f>IFERROR(INDEX('Both teabags AfterDry'!$D$2:$D$2000,MATCH(K781,'Both teabags AfterDry'!$A$2:$A$2000,0)),"")</f>
        <v/>
      </c>
      <c r="Q781" s="264" t="str">
        <f>IFERROR(IF(P781&gt;0,P781-(TBIcalc!$Q$9),""),"")</f>
        <v/>
      </c>
      <c r="R781" s="275" t="str">
        <f>IFERROR(INDEX('Ashed teabags dry'!$K$2:$K$2000,MATCH(K781,'Ashed teabags dry'!$A$2:$A$2000,0)),"")</f>
        <v/>
      </c>
      <c r="S781" s="275" t="str">
        <f t="shared" si="62"/>
        <v/>
      </c>
      <c r="T781" s="265" t="str">
        <f>IF('Dry_Litterbag Placem_Collection'!E122="","",'Dry_Litterbag Placem_Collection'!E122)</f>
        <v/>
      </c>
      <c r="U781" s="265" t="str">
        <f>IF('Dry_Litterbag Placem_Collection'!G122="","",'Dry_Litterbag Placem_Collection'!G122)</f>
        <v/>
      </c>
      <c r="V781" s="266" t="str">
        <f t="shared" si="60"/>
        <v/>
      </c>
      <c r="W781" s="264" t="str">
        <f t="shared" si="63"/>
        <v/>
      </c>
      <c r="X781" s="264" t="str">
        <f t="shared" si="64"/>
        <v/>
      </c>
      <c r="Y781" s="268" t="str">
        <f>IFERROR(INDEX(Rainfall_Dry!$O$2:$O$217,MATCH(B781, Rainfall_Dry!$A$2:$A$217,0)),"")</f>
        <v/>
      </c>
      <c r="Z781" s="257">
        <v>27.96</v>
      </c>
      <c r="AA781" s="257">
        <v>4.9200000000000017</v>
      </c>
      <c r="AB781" s="257">
        <v>67.12</v>
      </c>
      <c r="AC781" s="258" t="s">
        <v>2654</v>
      </c>
      <c r="AD781" s="257">
        <v>7.8861015278462299</v>
      </c>
      <c r="AE781">
        <f>IF('WetLitterbags placem_collection'!AB122="","",'WetLitterbags placem_collection'!AB122)</f>
        <v>19</v>
      </c>
      <c r="AF781">
        <f>IF('WetLitterbags placem_collection'!Z122="","",'WetLitterbags placem_collection'!Z122)</f>
        <v>98.5</v>
      </c>
      <c r="AG781" s="243" t="str">
        <f>IF('WetLitterbags placem_collection'!AA122="","",'WetLitterbags placem_collection'!AA122)</f>
        <v>G</v>
      </c>
      <c r="AH781">
        <f>IF('WetLitterbags placem_collection'!AC122="","",'WetLitterbags placem_collection'!AC122)</f>
        <v>0</v>
      </c>
      <c r="AI781" t="str">
        <f>IFERROR(AVERAGE('Dry_Litterbag Placem_Collection'!O122,'Dry_Litterbag Placem_Collection'!R122),"")</f>
        <v/>
      </c>
      <c r="AJ781" s="268" t="str">
        <f>IFERROR(AVERAGE('Dry_Litterbag Placem_Collection'!N122,'Dry_Litterbag Placem_Collection'!Q122),"")</f>
        <v/>
      </c>
      <c r="AK781" s="267">
        <f>INDEX(Coordinates!$B$2:$B$197,MATCH(H781,Coordinates!$J$2:$J$197,0))</f>
        <v>-2.3486449760000001</v>
      </c>
      <c r="AL781" s="267">
        <f>INDEX(Coordinates!$C$2:$C$197,MATCH(H781,Coordinates!$J$2:$J$197,0))</f>
        <v>34.051495969999998</v>
      </c>
      <c r="AM781" s="267" t="str">
        <f>IF(ISNUMBER(SEARCH("C", 'Dry_Litterbag Placem_Collection'!V122)),"YES","NO")</f>
        <v>NO</v>
      </c>
      <c r="AN781" s="267" t="str">
        <f>IF(ISNUMBER(SEARCH("H", 'Dry_Litterbag Placem_Collection'!V122)),"YES","NO")</f>
        <v>NO</v>
      </c>
      <c r="AO781" s="267" t="str">
        <f>IF(ISNUMBER(SEARCH("R", 'Dry_Litterbag Placem_Collection'!V122)),"YES","NO")</f>
        <v>NO</v>
      </c>
    </row>
    <row r="782" spans="1:41" ht="15" customHeight="1">
      <c r="A782" s="259" t="s">
        <v>2643</v>
      </c>
      <c r="B782" s="260">
        <f>'Dry_Litterbag Placem_Collection'!A123</f>
        <v>121</v>
      </c>
      <c r="C782" s="260" t="str">
        <f>'Dry_Litterbag Placem_Collection'!B123</f>
        <v xml:space="preserve">Mwantimba
</v>
      </c>
      <c r="D782" s="260" t="s">
        <v>2454</v>
      </c>
      <c r="E782" s="260" t="s">
        <v>2644</v>
      </c>
      <c r="F782" s="260">
        <v>4</v>
      </c>
      <c r="G782" s="260" t="s">
        <v>3819</v>
      </c>
      <c r="H782" s="261" t="str">
        <f>'Dry_Litterbag Placem_Collection'!C123</f>
        <v>Wet_Ag4_T1</v>
      </c>
      <c r="I782" s="270" t="s">
        <v>3630</v>
      </c>
      <c r="J782" s="271" t="s">
        <v>298</v>
      </c>
      <c r="K782" s="260" t="str">
        <f>IF(ISBLANK('Dry_Litterbag Placem_Collection'!M123),"","R"&amp;""&amp;'Dry_Litterbag Placem_Collection'!M123)</f>
        <v>R374</v>
      </c>
      <c r="L782" s="264">
        <f>IFERROR(INDEX('Green_rooibos initial weight'!$C$5:$C$2000,MATCH(K782, 'Green_rooibos initial weight'!$A$5:$A$2000,0)),"")</f>
        <v>2.2090000000000001</v>
      </c>
      <c r="M782" s="264">
        <f>IFERROR(L782-(TBIcalc!$Q$9+TBIcalc!$Q$10),"")</f>
        <v>1.9592000000000001</v>
      </c>
      <c r="N782" s="385">
        <f>AVERAGE(Ashed_controlls!$K$12:$K$14)</f>
        <v>2.2816647271287041</v>
      </c>
      <c r="O782" s="264">
        <f t="shared" si="61"/>
        <v>1.9144976246660945</v>
      </c>
      <c r="P782" s="264" t="str">
        <f>IFERROR(INDEX('Both teabags AfterDry'!$D$2:$D$2000,MATCH(K782,'Both teabags AfterDry'!$A$2:$A$2000,0)),"")</f>
        <v/>
      </c>
      <c r="Q782" s="264" t="str">
        <f>IFERROR(IF(P782&gt;0,P782-(TBIcalc!$Q$9),""),"")</f>
        <v/>
      </c>
      <c r="R782" s="275" t="str">
        <f>IFERROR(INDEX('Ashed teabags dry'!$K$2:$K$2000,MATCH(K782,'Ashed teabags dry'!$A$2:$A$2000,0)),"")</f>
        <v/>
      </c>
      <c r="S782" s="275" t="str">
        <f t="shared" si="62"/>
        <v/>
      </c>
      <c r="T782" s="265">
        <f>IF('Dry_Litterbag Placem_Collection'!E123="","",'Dry_Litterbag Placem_Collection'!E123)</f>
        <v>42939</v>
      </c>
      <c r="U782" s="265">
        <f>IF('Dry_Litterbag Placem_Collection'!G123="","",'Dry_Litterbag Placem_Collection'!G123)</f>
        <v>43008</v>
      </c>
      <c r="V782" s="266">
        <f t="shared" si="60"/>
        <v>69</v>
      </c>
      <c r="W782" s="264" t="str">
        <f t="shared" si="63"/>
        <v/>
      </c>
      <c r="X782" s="264" t="str">
        <f t="shared" si="64"/>
        <v/>
      </c>
      <c r="Y782" s="268">
        <f>IFERROR(INDEX(Rainfall_Dry!$O$2:$O$217,MATCH(B782, Rainfall_Dry!$A$2:$A$217,0)),"")</f>
        <v>136.27214243</v>
      </c>
      <c r="Z782" s="257">
        <v>17.96</v>
      </c>
      <c r="AA782" s="257">
        <v>4.9199999999999982</v>
      </c>
      <c r="AB782" s="257">
        <v>77.12</v>
      </c>
      <c r="AC782" s="258" t="s">
        <v>2655</v>
      </c>
      <c r="AD782" s="257">
        <v>2.0220798422868409</v>
      </c>
      <c r="AE782">
        <f>IF('WetLitterbags placem_collection'!AB123="","",'WetLitterbags placem_collection'!AB123)</f>
        <v>9.65</v>
      </c>
      <c r="AF782">
        <f>IF('WetLitterbags placem_collection'!Z123="","",'WetLitterbags placem_collection'!Z123)</f>
        <v>63</v>
      </c>
      <c r="AG782" s="243" t="str">
        <f>IF('WetLitterbags placem_collection'!AA123="","",'WetLitterbags placem_collection'!AA123)</f>
        <v>G</v>
      </c>
      <c r="AH782">
        <f>IF('WetLitterbags placem_collection'!AC123="","",'WetLitterbags placem_collection'!AC123)</f>
        <v>0</v>
      </c>
      <c r="AI782">
        <f>IFERROR(AVERAGE('Dry_Litterbag Placem_Collection'!O123,'Dry_Litterbag Placem_Collection'!R123),"")</f>
        <v>5.5</v>
      </c>
      <c r="AJ782" s="268">
        <f>IFERROR(AVERAGE('Dry_Litterbag Placem_Collection'!N123,'Dry_Litterbag Placem_Collection'!Q123),"")</f>
        <v>29.1</v>
      </c>
      <c r="AK782" s="267">
        <f>INDEX(Coordinates!$B$2:$B$197,MATCH(H782,Coordinates!$J$2:$J$197,0))</f>
        <v>-2.3492639789999998</v>
      </c>
      <c r="AL782" s="267">
        <f>INDEX(Coordinates!$C$2:$C$197,MATCH(H782,Coordinates!$J$2:$J$197,0))</f>
        <v>34.051464029999998</v>
      </c>
      <c r="AM782" s="267" t="str">
        <f>IF(ISNUMBER(SEARCH("C", 'Dry_Litterbag Placem_Collection'!V123)),"YES","NO")</f>
        <v>NO</v>
      </c>
      <c r="AN782" s="267" t="str">
        <f>IF(ISNUMBER(SEARCH("H", 'Dry_Litterbag Placem_Collection'!V123)),"YES","NO")</f>
        <v>NO</v>
      </c>
      <c r="AO782" s="267" t="str">
        <f>IF(ISNUMBER(SEARCH("R", 'Dry_Litterbag Placem_Collection'!V123)),"YES","NO")</f>
        <v>NO</v>
      </c>
    </row>
    <row r="783" spans="1:41" ht="15" customHeight="1">
      <c r="A783" s="259" t="s">
        <v>2643</v>
      </c>
      <c r="B783" s="260">
        <f>'Dry_Litterbag Placem_Collection'!A124</f>
        <v>122</v>
      </c>
      <c r="C783" s="260" t="str">
        <f>'Dry_Litterbag Placem_Collection'!B124</f>
        <v xml:space="preserve">Mwantimba
</v>
      </c>
      <c r="D783" s="260" t="s">
        <v>2454</v>
      </c>
      <c r="E783" s="260" t="s">
        <v>2644</v>
      </c>
      <c r="F783" s="260">
        <v>4</v>
      </c>
      <c r="G783" s="260" t="s">
        <v>3819</v>
      </c>
      <c r="H783" s="261" t="str">
        <f>'Dry_Litterbag Placem_Collection'!C124</f>
        <v>Wet_Ag4_T2</v>
      </c>
      <c r="I783" s="270" t="s">
        <v>3630</v>
      </c>
      <c r="J783" s="271" t="s">
        <v>298</v>
      </c>
      <c r="K783" s="260" t="str">
        <f>IF(ISBLANK('Dry_Litterbag Placem_Collection'!M124),"","R"&amp;""&amp;'Dry_Litterbag Placem_Collection'!M124)</f>
        <v>R388</v>
      </c>
      <c r="L783" s="264">
        <f>IFERROR(INDEX('Green_rooibos initial weight'!$C$5:$C$2000,MATCH(K783, 'Green_rooibos initial weight'!$A$5:$A$2000,0)),"")</f>
        <v>2.2349999999999999</v>
      </c>
      <c r="M783" s="264">
        <f>IFERROR(L783-(TBIcalc!$Q$9+TBIcalc!$Q$10),"")</f>
        <v>1.9851999999999999</v>
      </c>
      <c r="N783" s="385">
        <f>AVERAGE(Ashed_controlls!$K$12:$K$14)</f>
        <v>2.2816647271287041</v>
      </c>
      <c r="O783" s="264">
        <f t="shared" si="61"/>
        <v>1.9399043918370409</v>
      </c>
      <c r="P783" s="264">
        <f>IFERROR(INDEX('Both teabags AfterDry'!$D$2:$D$2000,MATCH(K783,'Both teabags AfterDry'!$A$2:$A$2000,0)),"")</f>
        <v>1.4536</v>
      </c>
      <c r="Q783" s="264">
        <f>IFERROR(IF(P783&gt;0,P783-(TBIcalc!$Q$9),""),"")</f>
        <v>1.3029999999999999</v>
      </c>
      <c r="R783" s="275">
        <f>IFERROR(INDEX('Ashed teabags dry'!$K$2:$K$2000,MATCH(K783,'Ashed teabags dry'!$A$2:$A$2000,0)),"")</f>
        <v>14.899853444064959</v>
      </c>
      <c r="S783" s="275">
        <f t="shared" si="62"/>
        <v>1.1088549096238336</v>
      </c>
      <c r="T783" s="265">
        <f>IF('Dry_Litterbag Placem_Collection'!E124="","",'Dry_Litterbag Placem_Collection'!E124)</f>
        <v>42939</v>
      </c>
      <c r="U783" s="265">
        <f>IF('Dry_Litterbag Placem_Collection'!G124="","",'Dry_Litterbag Placem_Collection'!G124)</f>
        <v>43008</v>
      </c>
      <c r="V783" s="266">
        <f t="shared" si="60"/>
        <v>69</v>
      </c>
      <c r="W783" s="264">
        <f t="shared" si="63"/>
        <v>0.68219999999999992</v>
      </c>
      <c r="X783" s="264">
        <f t="shared" si="64"/>
        <v>0.83104948221320729</v>
      </c>
      <c r="Y783" s="268">
        <f>IFERROR(INDEX(Rainfall_Dry!$O$2:$O$217,MATCH(B783, Rainfall_Dry!$A$2:$A$217,0)),"")</f>
        <v>136.27214243</v>
      </c>
      <c r="Z783" s="257">
        <v>17.96</v>
      </c>
      <c r="AA783" s="257">
        <v>4.9199999999999982</v>
      </c>
      <c r="AB783" s="257">
        <v>77.12</v>
      </c>
      <c r="AC783" s="258" t="s">
        <v>2655</v>
      </c>
      <c r="AD783" s="257">
        <v>3.02207984228684</v>
      </c>
      <c r="AE783">
        <f>IF('WetLitterbags placem_collection'!AB124="","",'WetLitterbags placem_collection'!AB124)</f>
        <v>3.1</v>
      </c>
      <c r="AF783">
        <f>IF('WetLitterbags placem_collection'!Z124="","",'WetLitterbags placem_collection'!Z124)</f>
        <v>53</v>
      </c>
      <c r="AG783" s="243" t="str">
        <f>IF('WetLitterbags placem_collection'!AA124="","",'WetLitterbags placem_collection'!AA124)</f>
        <v>G</v>
      </c>
      <c r="AH783">
        <f>IF('WetLitterbags placem_collection'!AC124="","",'WetLitterbags placem_collection'!AC124)</f>
        <v>0</v>
      </c>
      <c r="AI783">
        <f>IFERROR(AVERAGE('Dry_Litterbag Placem_Collection'!O124,'Dry_Litterbag Placem_Collection'!R124),"")</f>
        <v>9.0500000000000007</v>
      </c>
      <c r="AJ783" s="268">
        <f>IFERROR(AVERAGE('Dry_Litterbag Placem_Collection'!N124,'Dry_Litterbag Placem_Collection'!Q124),"")</f>
        <v>28.55</v>
      </c>
      <c r="AK783" s="267">
        <f>INDEX(Coordinates!$B$2:$B$197,MATCH(H783,Coordinates!$J$2:$J$197,0))</f>
        <v>-2.34923196</v>
      </c>
      <c r="AL783" s="267">
        <f>INDEX(Coordinates!$C$2:$C$197,MATCH(H783,Coordinates!$J$2:$J$197,0))</f>
        <v>34.051422039999999</v>
      </c>
      <c r="AM783" s="267" t="str">
        <f>IF(ISNUMBER(SEARCH("C", 'Dry_Litterbag Placem_Collection'!V124)),"YES","NO")</f>
        <v>NO</v>
      </c>
      <c r="AN783" s="267" t="str">
        <f>IF(ISNUMBER(SEARCH("H", 'Dry_Litterbag Placem_Collection'!V124)),"YES","NO")</f>
        <v>NO</v>
      </c>
      <c r="AO783" s="267" t="str">
        <f>IF(ISNUMBER(SEARCH("R", 'Dry_Litterbag Placem_Collection'!V124)),"YES","NO")</f>
        <v>NO</v>
      </c>
    </row>
    <row r="784" spans="1:41" ht="15" customHeight="1">
      <c r="A784" s="259" t="s">
        <v>2643</v>
      </c>
      <c r="B784" s="260">
        <f>'Dry_Litterbag Placem_Collection'!A125</f>
        <v>123</v>
      </c>
      <c r="C784" s="260" t="str">
        <f>'Dry_Litterbag Placem_Collection'!B125</f>
        <v xml:space="preserve">Mwantimba
</v>
      </c>
      <c r="D784" s="260" t="s">
        <v>2454</v>
      </c>
      <c r="E784" s="260" t="s">
        <v>2644</v>
      </c>
      <c r="F784" s="260">
        <v>4</v>
      </c>
      <c r="G784" s="260" t="s">
        <v>3819</v>
      </c>
      <c r="H784" s="261" t="str">
        <f>'Dry_Litterbag Placem_Collection'!C125</f>
        <v>Wet_Ag4_T3</v>
      </c>
      <c r="I784" s="270" t="s">
        <v>3630</v>
      </c>
      <c r="J784" s="271" t="s">
        <v>298</v>
      </c>
      <c r="K784" s="260" t="str">
        <f>IF(ISBLANK('Dry_Litterbag Placem_Collection'!M125),"","R"&amp;""&amp;'Dry_Litterbag Placem_Collection'!M125)</f>
        <v>R281</v>
      </c>
      <c r="L784" s="264">
        <f>IFERROR(INDEX('Green_rooibos initial weight'!$C$5:$C$2000,MATCH(K784, 'Green_rooibos initial weight'!$A$5:$A$2000,0)),"")</f>
        <v>2.17</v>
      </c>
      <c r="M784" s="264">
        <f>IFERROR(L784-(TBIcalc!$Q$9+TBIcalc!$Q$10),"")</f>
        <v>1.9201999999999999</v>
      </c>
      <c r="N784" s="385">
        <f>AVERAGE(Ashed_controlls!$K$12:$K$14)</f>
        <v>2.2816647271287041</v>
      </c>
      <c r="O784" s="264">
        <f t="shared" si="61"/>
        <v>1.8763874739096746</v>
      </c>
      <c r="P784" s="264">
        <f>IFERROR(INDEX('Both teabags AfterDry'!$D$2:$D$2000,MATCH(K784,'Both teabags AfterDry'!$A$2:$A$2000,0)),"")</f>
        <v>1.7361</v>
      </c>
      <c r="Q784" s="264">
        <f>IFERROR(IF(P784&gt;0,P784-(TBIcalc!$Q$9),""),"")</f>
        <v>1.5854999999999999</v>
      </c>
      <c r="R784" s="275">
        <f>IFERROR(INDEX('Ashed teabags dry'!$K$2:$K$2000,MATCH(K784,'Ashed teabags dry'!$A$2:$A$2000,0)),"")</f>
        <v>4.862385321101006</v>
      </c>
      <c r="S784" s="275">
        <f t="shared" si="62"/>
        <v>1.5084068807339435</v>
      </c>
      <c r="T784" s="265">
        <f>IF('Dry_Litterbag Placem_Collection'!E125="","",'Dry_Litterbag Placem_Collection'!E125)</f>
        <v>42939</v>
      </c>
      <c r="U784" s="265">
        <f>IF('Dry_Litterbag Placem_Collection'!G125="","",'Dry_Litterbag Placem_Collection'!G125)</f>
        <v>43008</v>
      </c>
      <c r="V784" s="266">
        <f t="shared" si="60"/>
        <v>69</v>
      </c>
      <c r="W784" s="264">
        <f t="shared" si="63"/>
        <v>0.3347</v>
      </c>
      <c r="X784" s="264">
        <f t="shared" si="64"/>
        <v>0.36798059317573117</v>
      </c>
      <c r="Y784" s="268">
        <f>IFERROR(INDEX(Rainfall_Dry!$O$2:$O$217,MATCH(B784, Rainfall_Dry!$A$2:$A$217,0)),"")</f>
        <v>136.27214243</v>
      </c>
      <c r="Z784" s="257">
        <v>17.96</v>
      </c>
      <c r="AA784" s="257">
        <v>4.9199999999999982</v>
      </c>
      <c r="AB784" s="257">
        <v>77.12</v>
      </c>
      <c r="AC784" s="258" t="s">
        <v>2655</v>
      </c>
      <c r="AD784" s="257">
        <v>4.02207984228684</v>
      </c>
      <c r="AE784">
        <f>IF('WetLitterbags placem_collection'!AB125="","",'WetLitterbags placem_collection'!AB125)</f>
        <v>3.9</v>
      </c>
      <c r="AF784">
        <f>IF('WetLitterbags placem_collection'!Z125="","",'WetLitterbags placem_collection'!Z125)</f>
        <v>51</v>
      </c>
      <c r="AG784" s="243" t="str">
        <f>IF('WetLitterbags placem_collection'!AA125="","",'WetLitterbags placem_collection'!AA125)</f>
        <v>G</v>
      </c>
      <c r="AH784">
        <f>IF('WetLitterbags placem_collection'!AC125="","",'WetLitterbags placem_collection'!AC125)</f>
        <v>1</v>
      </c>
      <c r="AI784">
        <f>IFERROR(AVERAGE('Dry_Litterbag Placem_Collection'!O125,'Dry_Litterbag Placem_Collection'!R125),"")</f>
        <v>10.7</v>
      </c>
      <c r="AJ784" s="268">
        <f>IFERROR(AVERAGE('Dry_Litterbag Placem_Collection'!N125,'Dry_Litterbag Placem_Collection'!Q125),"")</f>
        <v>27.1</v>
      </c>
      <c r="AK784" s="267">
        <f>INDEX(Coordinates!$B$2:$B$197,MATCH(H784,Coordinates!$J$2:$J$197,0))</f>
        <v>-2.3492390009999999</v>
      </c>
      <c r="AL784" s="267">
        <f>INDEX(Coordinates!$C$2:$C$197,MATCH(H784,Coordinates!$J$2:$J$197,0))</f>
        <v>34.051304020000003</v>
      </c>
      <c r="AM784" s="267" t="str">
        <f>IF(ISNUMBER(SEARCH("C", 'Dry_Litterbag Placem_Collection'!V125)),"YES","NO")</f>
        <v>NO</v>
      </c>
      <c r="AN784" s="267" t="str">
        <f>IF(ISNUMBER(SEARCH("H", 'Dry_Litterbag Placem_Collection'!V125)),"YES","NO")</f>
        <v>NO</v>
      </c>
      <c r="AO784" s="267" t="str">
        <f>IF(ISNUMBER(SEARCH("R", 'Dry_Litterbag Placem_Collection'!V125)),"YES","NO")</f>
        <v>NO</v>
      </c>
    </row>
    <row r="785" spans="1:41" ht="15" customHeight="1">
      <c r="A785" s="259" t="s">
        <v>2643</v>
      </c>
      <c r="B785" s="260">
        <f>'Dry_Litterbag Placem_Collection'!A126</f>
        <v>124</v>
      </c>
      <c r="C785" s="260" t="str">
        <f>'Dry_Litterbag Placem_Collection'!B126</f>
        <v xml:space="preserve">Mwantimba
</v>
      </c>
      <c r="D785" s="260" t="s">
        <v>2454</v>
      </c>
      <c r="E785" s="260" t="s">
        <v>2644</v>
      </c>
      <c r="F785" s="260">
        <v>4</v>
      </c>
      <c r="G785" s="260" t="s">
        <v>3819</v>
      </c>
      <c r="H785" s="261" t="str">
        <f>'Dry_Litterbag Placem_Collection'!C126</f>
        <v>Wet_Ag4_T4</v>
      </c>
      <c r="I785" s="270" t="s">
        <v>3630</v>
      </c>
      <c r="J785" s="271" t="s">
        <v>298</v>
      </c>
      <c r="K785" s="260" t="str">
        <f>IF(ISBLANK('Dry_Litterbag Placem_Collection'!M126),"","R"&amp;""&amp;'Dry_Litterbag Placem_Collection'!M126)</f>
        <v>R443</v>
      </c>
      <c r="L785" s="264">
        <f>IFERROR(INDEX('Green_rooibos initial weight'!$C$5:$C$2000,MATCH(K785, 'Green_rooibos initial weight'!$A$5:$A$2000,0)),"")</f>
        <v>2.2149999999999999</v>
      </c>
      <c r="M785" s="264">
        <f>IFERROR(L785-(TBIcalc!$Q$9+TBIcalc!$Q$10),"")</f>
        <v>1.9651999999999998</v>
      </c>
      <c r="N785" s="385">
        <f>AVERAGE(Ashed_controlls!$K$12:$K$14)</f>
        <v>2.2816647271287041</v>
      </c>
      <c r="O785" s="264">
        <f t="shared" si="61"/>
        <v>1.9203607247824666</v>
      </c>
      <c r="P785" s="264">
        <f>IFERROR(INDEX('Both teabags AfterDry'!$D$2:$D$2000,MATCH(K785,'Both teabags AfterDry'!$A$2:$A$2000,0)),"")</f>
        <v>1.5766</v>
      </c>
      <c r="Q785" s="264">
        <f>IFERROR(IF(P785&gt;0,P785-(TBIcalc!$Q$9),""),"")</f>
        <v>1.4259999999999999</v>
      </c>
      <c r="R785" s="275">
        <f>IFERROR(INDEX('Ashed teabags dry'!$K$2:$K$2000,MATCH(K785,'Ashed teabags dry'!$A$2:$A$2000,0)),"")</f>
        <v>9.9950024987499955</v>
      </c>
      <c r="S785" s="275">
        <f t="shared" si="62"/>
        <v>1.283471264367825</v>
      </c>
      <c r="T785" s="265">
        <f>IF('Dry_Litterbag Placem_Collection'!E126="","",'Dry_Litterbag Placem_Collection'!E126)</f>
        <v>42939</v>
      </c>
      <c r="U785" s="265">
        <f>IF('Dry_Litterbag Placem_Collection'!G126="","",'Dry_Litterbag Placem_Collection'!G126)</f>
        <v>43008</v>
      </c>
      <c r="V785" s="266">
        <f t="shared" si="60"/>
        <v>69</v>
      </c>
      <c r="W785" s="264">
        <f t="shared" si="63"/>
        <v>0.5391999999999999</v>
      </c>
      <c r="X785" s="264">
        <f t="shared" si="64"/>
        <v>0.63688946041464156</v>
      </c>
      <c r="Y785" s="268">
        <f>IFERROR(INDEX(Rainfall_Dry!$O$2:$O$217,MATCH(B785, Rainfall_Dry!$A$2:$A$217,0)),"")</f>
        <v>136.27214243</v>
      </c>
      <c r="Z785" s="257">
        <v>17.96</v>
      </c>
      <c r="AA785" s="257">
        <v>4.9199999999999982</v>
      </c>
      <c r="AB785" s="257">
        <v>77.12</v>
      </c>
      <c r="AC785" s="258" t="s">
        <v>2655</v>
      </c>
      <c r="AD785" s="257">
        <v>5.02207984228684</v>
      </c>
      <c r="AE785">
        <f>IF('WetLitterbags placem_collection'!AB126="","",'WetLitterbags placem_collection'!AB126)</f>
        <v>5.45</v>
      </c>
      <c r="AF785">
        <f>IF('WetLitterbags placem_collection'!Z126="","",'WetLitterbags placem_collection'!Z126)</f>
        <v>47</v>
      </c>
      <c r="AG785" s="243" t="str">
        <f>IF('WetLitterbags placem_collection'!AA126="","",'WetLitterbags placem_collection'!AA126)</f>
        <v>G</v>
      </c>
      <c r="AH785">
        <f>IF('WetLitterbags placem_collection'!AC126="","",'WetLitterbags placem_collection'!AC126)</f>
        <v>1</v>
      </c>
      <c r="AI785">
        <f>IFERROR(AVERAGE('Dry_Litterbag Placem_Collection'!O126,'Dry_Litterbag Placem_Collection'!R126),"")</f>
        <v>9.15</v>
      </c>
      <c r="AJ785" s="268">
        <f>IFERROR(AVERAGE('Dry_Litterbag Placem_Collection'!N126,'Dry_Litterbag Placem_Collection'!Q126),"")</f>
        <v>28.05</v>
      </c>
      <c r="AK785" s="267">
        <f>INDEX(Coordinates!$B$2:$B$197,MATCH(H785,Coordinates!$J$2:$J$197,0))</f>
        <v>-2.3492799889999998</v>
      </c>
      <c r="AL785" s="267">
        <f>INDEX(Coordinates!$C$2:$C$197,MATCH(H785,Coordinates!$J$2:$J$197,0))</f>
        <v>34.051280970000001</v>
      </c>
      <c r="AM785" s="267" t="str">
        <f>IF(ISNUMBER(SEARCH("C", 'Dry_Litterbag Placem_Collection'!V126)),"YES","NO")</f>
        <v>NO</v>
      </c>
      <c r="AN785" s="267" t="str">
        <f>IF(ISNUMBER(SEARCH("H", 'Dry_Litterbag Placem_Collection'!V126)),"YES","NO")</f>
        <v>NO</v>
      </c>
      <c r="AO785" s="267" t="str">
        <f>IF(ISNUMBER(SEARCH("R", 'Dry_Litterbag Placem_Collection'!V126)),"YES","NO")</f>
        <v>NO</v>
      </c>
    </row>
    <row r="786" spans="1:41" ht="15" customHeight="1">
      <c r="A786" s="259" t="s">
        <v>2643</v>
      </c>
      <c r="B786" s="260">
        <f>'Dry_Litterbag Placem_Collection'!A127</f>
        <v>125</v>
      </c>
      <c r="C786" s="260" t="str">
        <f>'Dry_Litterbag Placem_Collection'!B127</f>
        <v xml:space="preserve">Mwantimba
</v>
      </c>
      <c r="D786" s="260" t="s">
        <v>2454</v>
      </c>
      <c r="E786" s="260" t="s">
        <v>2644</v>
      </c>
      <c r="F786" s="260">
        <v>4</v>
      </c>
      <c r="G786" s="260" t="s">
        <v>3819</v>
      </c>
      <c r="H786" s="261" t="str">
        <f>'Dry_Litterbag Placem_Collection'!C127</f>
        <v>Wet_Ag4_T5</v>
      </c>
      <c r="I786" s="270" t="s">
        <v>3630</v>
      </c>
      <c r="J786" s="271" t="s">
        <v>298</v>
      </c>
      <c r="K786" s="260" t="str">
        <f>IF(ISBLANK('Dry_Litterbag Placem_Collection'!M127),"","R"&amp;""&amp;'Dry_Litterbag Placem_Collection'!M127)</f>
        <v>R180</v>
      </c>
      <c r="L786" s="264">
        <f>IFERROR(INDEX('Green_rooibos initial weight'!$C$5:$C$2000,MATCH(K786, 'Green_rooibos initial weight'!$A$5:$A$2000,0)),"")</f>
        <v>2.2010000000000001</v>
      </c>
      <c r="M786" s="264">
        <f>IFERROR(L786-(TBIcalc!$Q$9+TBIcalc!$Q$10),"")</f>
        <v>1.9512</v>
      </c>
      <c r="N786" s="385">
        <f>AVERAGE(Ashed_controlls!$K$12:$K$14)</f>
        <v>2.2816647271287041</v>
      </c>
      <c r="O786" s="264">
        <f t="shared" si="61"/>
        <v>1.9066801578442647</v>
      </c>
      <c r="P786" s="264">
        <f>IFERROR(INDEX('Both teabags AfterDry'!$D$2:$D$2000,MATCH(K786,'Both teabags AfterDry'!$A$2:$A$2000,0)),"")</f>
        <v>1.595</v>
      </c>
      <c r="Q786" s="264">
        <f>IFERROR(IF(P786&gt;0,P786-(TBIcalc!$Q$9),""),"")</f>
        <v>1.4443999999999999</v>
      </c>
      <c r="R786" s="275">
        <f>IFERROR(INDEX('Ashed teabags dry'!$K$2:$K$2000,MATCH(K786,'Ashed teabags dry'!$A$2:$A$2000,0)),"")</f>
        <v>5.480093676815204</v>
      </c>
      <c r="S786" s="275">
        <f t="shared" si="62"/>
        <v>1.3652455269320811</v>
      </c>
      <c r="T786" s="265">
        <f>IF('Dry_Litterbag Placem_Collection'!E127="","",'Dry_Litterbag Placem_Collection'!E127)</f>
        <v>42939</v>
      </c>
      <c r="U786" s="265">
        <f>IF('Dry_Litterbag Placem_Collection'!G127="","",'Dry_Litterbag Placem_Collection'!G127)</f>
        <v>43008</v>
      </c>
      <c r="V786" s="266">
        <f t="shared" si="60"/>
        <v>69</v>
      </c>
      <c r="W786" s="264">
        <f t="shared" si="63"/>
        <v>0.50680000000000014</v>
      </c>
      <c r="X786" s="264">
        <f t="shared" si="64"/>
        <v>0.54143463091218358</v>
      </c>
      <c r="Y786" s="268">
        <f>IFERROR(INDEX(Rainfall_Dry!$O$2:$O$217,MATCH(B786, Rainfall_Dry!$A$2:$A$217,0)),"")</f>
        <v>136.27214243</v>
      </c>
      <c r="Z786" s="257">
        <v>17.96</v>
      </c>
      <c r="AA786" s="257">
        <v>4.9199999999999982</v>
      </c>
      <c r="AB786" s="257">
        <v>77.12</v>
      </c>
      <c r="AC786" s="258" t="s">
        <v>2655</v>
      </c>
      <c r="AD786" s="257">
        <v>6.02207984228684</v>
      </c>
      <c r="AE786">
        <f>IF('WetLitterbags placem_collection'!AB127="","",'WetLitterbags placem_collection'!AB127)</f>
        <v>9.3000000000000007</v>
      </c>
      <c r="AF786">
        <f>IF('WetLitterbags placem_collection'!Z127="","",'WetLitterbags placem_collection'!Z127)</f>
        <v>43</v>
      </c>
      <c r="AG786" s="243" t="str">
        <f>IF('WetLitterbags placem_collection'!AA127="","",'WetLitterbags placem_collection'!AA127)</f>
        <v>G</v>
      </c>
      <c r="AH786">
        <f>IF('WetLitterbags placem_collection'!AC127="","",'WetLitterbags placem_collection'!AC127)</f>
        <v>1</v>
      </c>
      <c r="AI786">
        <f>IFERROR(AVERAGE('Dry_Litterbag Placem_Collection'!O127,'Dry_Litterbag Placem_Collection'!R127),"")</f>
        <v>10.85</v>
      </c>
      <c r="AJ786" s="268">
        <f>IFERROR(AVERAGE('Dry_Litterbag Placem_Collection'!N127,'Dry_Litterbag Placem_Collection'!Q127),"")</f>
        <v>28.05</v>
      </c>
      <c r="AK786" s="267">
        <f>INDEX(Coordinates!$B$2:$B$197,MATCH(H786,Coordinates!$J$2:$J$197,0))</f>
        <v>-2.3493320400000002</v>
      </c>
      <c r="AL786" s="267">
        <f>INDEX(Coordinates!$C$2:$C$197,MATCH(H786,Coordinates!$J$2:$J$197,0))</f>
        <v>34.051321960000003</v>
      </c>
      <c r="AM786" s="267" t="str">
        <f>IF(ISNUMBER(SEARCH("C", 'Dry_Litterbag Placem_Collection'!V127)),"YES","NO")</f>
        <v>NO</v>
      </c>
      <c r="AN786" s="267" t="str">
        <f>IF(ISNUMBER(SEARCH("H", 'Dry_Litterbag Placem_Collection'!V127)),"YES","NO")</f>
        <v>NO</v>
      </c>
      <c r="AO786" s="267" t="str">
        <f>IF(ISNUMBER(SEARCH("R", 'Dry_Litterbag Placem_Collection'!V127)),"YES","NO")</f>
        <v>NO</v>
      </c>
    </row>
    <row r="787" spans="1:41" ht="15" customHeight="1">
      <c r="A787" s="259" t="s">
        <v>2643</v>
      </c>
      <c r="B787" s="260">
        <f>'Dry_Litterbag Placem_Collection'!A128</f>
        <v>126</v>
      </c>
      <c r="C787" s="260" t="str">
        <f>'Dry_Litterbag Placem_Collection'!B128</f>
        <v xml:space="preserve">Mwantimba
</v>
      </c>
      <c r="D787" s="260" t="s">
        <v>2454</v>
      </c>
      <c r="E787" s="260" t="s">
        <v>2644</v>
      </c>
      <c r="F787" s="260">
        <v>4</v>
      </c>
      <c r="G787" s="260" t="s">
        <v>3819</v>
      </c>
      <c r="H787" s="261" t="str">
        <f>'Dry_Litterbag Placem_Collection'!C128</f>
        <v>Wet_Ag4_T6</v>
      </c>
      <c r="I787" s="270" t="s">
        <v>3630</v>
      </c>
      <c r="J787" s="271" t="s">
        <v>298</v>
      </c>
      <c r="K787" s="260" t="str">
        <f>IF(ISBLANK('Dry_Litterbag Placem_Collection'!M128),"","R"&amp;""&amp;'Dry_Litterbag Placem_Collection'!M128)</f>
        <v/>
      </c>
      <c r="L787" s="264" t="str">
        <f>IFERROR(INDEX('Green_rooibos initial weight'!$C$5:$C$2000,MATCH(K787, 'Green_rooibos initial weight'!$A$5:$A$2000,0)),"")</f>
        <v/>
      </c>
      <c r="M787" s="264" t="str">
        <f>IFERROR(L787-(TBIcalc!$Q$9+TBIcalc!$Q$10),"")</f>
        <v/>
      </c>
      <c r="N787" s="385">
        <f>AVERAGE(Ashed_controlls!$K$12:$K$14)</f>
        <v>2.2816647271287041</v>
      </c>
      <c r="O787" s="264" t="str">
        <f t="shared" si="61"/>
        <v/>
      </c>
      <c r="P787" s="264" t="str">
        <f>IFERROR(INDEX('Both teabags AfterDry'!$D$2:$D$2000,MATCH(K787,'Both teabags AfterDry'!$A$2:$A$2000,0)),"")</f>
        <v/>
      </c>
      <c r="Q787" s="264" t="str">
        <f>IFERROR(IF(P787&gt;0,P787-(TBIcalc!$Q$9),""),"")</f>
        <v/>
      </c>
      <c r="R787" s="275" t="str">
        <f>IFERROR(INDEX('Ashed teabags dry'!$K$2:$K$2000,MATCH(K787,'Ashed teabags dry'!$A$2:$A$2000,0)),"")</f>
        <v/>
      </c>
      <c r="S787" s="275" t="str">
        <f t="shared" si="62"/>
        <v/>
      </c>
      <c r="T787" s="265" t="str">
        <f>IF('Dry_Litterbag Placem_Collection'!E128="","",'Dry_Litterbag Placem_Collection'!E128)</f>
        <v/>
      </c>
      <c r="U787" s="265" t="str">
        <f>IF('Dry_Litterbag Placem_Collection'!G128="","",'Dry_Litterbag Placem_Collection'!G128)</f>
        <v/>
      </c>
      <c r="V787" s="266" t="str">
        <f t="shared" si="60"/>
        <v/>
      </c>
      <c r="W787" s="264" t="str">
        <f t="shared" si="63"/>
        <v/>
      </c>
      <c r="X787" s="264" t="str">
        <f t="shared" si="64"/>
        <v/>
      </c>
      <c r="Y787" s="268" t="str">
        <f>IFERROR(INDEX(Rainfall_Dry!$O$2:$O$217,MATCH(B787, Rainfall_Dry!$A$2:$A$217,0)),"")</f>
        <v/>
      </c>
      <c r="Z787" s="257">
        <v>17.96</v>
      </c>
      <c r="AA787" s="257">
        <v>4.9199999999999982</v>
      </c>
      <c r="AB787" s="257">
        <v>77.12</v>
      </c>
      <c r="AC787" s="258" t="s">
        <v>2655</v>
      </c>
      <c r="AD787" s="257">
        <v>7.02207984228684</v>
      </c>
      <c r="AE787">
        <f>IF('WetLitterbags placem_collection'!AB128="","",'WetLitterbags placem_collection'!AB128)</f>
        <v>10.85</v>
      </c>
      <c r="AF787">
        <f>IF('WetLitterbags placem_collection'!Z128="","",'WetLitterbags placem_collection'!Z128)</f>
        <v>40</v>
      </c>
      <c r="AG787" s="243" t="str">
        <f>IF('WetLitterbags placem_collection'!AA128="","",'WetLitterbags placem_collection'!AA128)</f>
        <v>G</v>
      </c>
      <c r="AH787">
        <f>IF('WetLitterbags placem_collection'!AC128="","",'WetLitterbags placem_collection'!AC128)</f>
        <v>1</v>
      </c>
      <c r="AI787" t="str">
        <f>IFERROR(AVERAGE('Dry_Litterbag Placem_Collection'!O128,'Dry_Litterbag Placem_Collection'!R128),"")</f>
        <v/>
      </c>
      <c r="AJ787" s="268" t="str">
        <f>IFERROR(AVERAGE('Dry_Litterbag Placem_Collection'!N128,'Dry_Litterbag Placem_Collection'!Q128),"")</f>
        <v/>
      </c>
      <c r="AK787" s="267">
        <f>INDEX(Coordinates!$B$2:$B$197,MATCH(H787,Coordinates!$J$2:$J$197,0))</f>
        <v>-2.3493509829999999</v>
      </c>
      <c r="AL787" s="267">
        <f>INDEX(Coordinates!$C$2:$C$197,MATCH(H787,Coordinates!$J$2:$J$197,0))</f>
        <v>34.051332019999997</v>
      </c>
      <c r="AM787" s="267" t="str">
        <f>IF(ISNUMBER(SEARCH("C", 'Dry_Litterbag Placem_Collection'!V128)),"YES","NO")</f>
        <v>NO</v>
      </c>
      <c r="AN787" s="267" t="str">
        <f>IF(ISNUMBER(SEARCH("H", 'Dry_Litterbag Placem_Collection'!V128)),"YES","NO")</f>
        <v>NO</v>
      </c>
      <c r="AO787" s="267" t="str">
        <f>IF(ISNUMBER(SEARCH("R", 'Dry_Litterbag Placem_Collection'!V128)),"YES","NO")</f>
        <v>NO</v>
      </c>
    </row>
    <row r="788" spans="1:41" ht="15" customHeight="1">
      <c r="A788" s="259" t="s">
        <v>2643</v>
      </c>
      <c r="B788" s="260">
        <f>'Dry_Litterbag Placem_Collection'!A129</f>
        <v>127</v>
      </c>
      <c r="C788" s="260" t="str">
        <f>'Dry_Litterbag Placem_Collection'!B129</f>
        <v xml:space="preserve">Mwantimba
</v>
      </c>
      <c r="D788" s="260" t="s">
        <v>2454</v>
      </c>
      <c r="E788" s="260" t="s">
        <v>2644</v>
      </c>
      <c r="F788" s="260">
        <v>4</v>
      </c>
      <c r="G788" s="260" t="s">
        <v>3819</v>
      </c>
      <c r="H788" s="261" t="str">
        <f>'Dry_Litterbag Placem_Collection'!C129</f>
        <v>Wet_Ag4_T7</v>
      </c>
      <c r="I788" s="270" t="s">
        <v>3630</v>
      </c>
      <c r="J788" s="271" t="s">
        <v>298</v>
      </c>
      <c r="K788" s="260" t="str">
        <f>IF(ISBLANK('Dry_Litterbag Placem_Collection'!M129),"","R"&amp;""&amp;'Dry_Litterbag Placem_Collection'!M129)</f>
        <v>R229</v>
      </c>
      <c r="L788" s="264">
        <f>IFERROR(INDEX('Green_rooibos initial weight'!$C$5:$C$2000,MATCH(K788, 'Green_rooibos initial weight'!$A$5:$A$2000,0)),"")</f>
        <v>2.2530000000000001</v>
      </c>
      <c r="M788" s="264">
        <f>IFERROR(L788-(TBIcalc!$Q$9+TBIcalc!$Q$10),"")</f>
        <v>2.0032000000000001</v>
      </c>
      <c r="N788" s="385">
        <f>AVERAGE(Ashed_controlls!$K$12:$K$14)</f>
        <v>2.2816647271287041</v>
      </c>
      <c r="O788" s="264">
        <f t="shared" si="61"/>
        <v>1.9574936921861579</v>
      </c>
      <c r="P788" s="264">
        <f>IFERROR(INDEX('Both teabags AfterDry'!$D$2:$D$2000,MATCH(K788,'Both teabags AfterDry'!$A$2:$A$2000,0)),"")</f>
        <v>1.5876999999999999</v>
      </c>
      <c r="Q788" s="264">
        <f>IFERROR(IF(P788&gt;0,P788-(TBIcalc!$Q$9),""),"")</f>
        <v>1.4370999999999998</v>
      </c>
      <c r="R788" s="275">
        <f>IFERROR(INDEX('Ashed teabags dry'!$K$2:$K$2000,MATCH(K788,'Ashed teabags dry'!$A$2:$A$2000,0)),"")</f>
        <v>6.6340160284944094</v>
      </c>
      <c r="S788" s="275">
        <f t="shared" si="62"/>
        <v>1.3417625556545068</v>
      </c>
      <c r="T788" s="265">
        <f>IF('Dry_Litterbag Placem_Collection'!E129="","",'Dry_Litterbag Placem_Collection'!E129)</f>
        <v>42939</v>
      </c>
      <c r="U788" s="265">
        <f>IF('Dry_Litterbag Placem_Collection'!G129="","",'Dry_Litterbag Placem_Collection'!G129)</f>
        <v>43008</v>
      </c>
      <c r="V788" s="266">
        <f t="shared" si="60"/>
        <v>69</v>
      </c>
      <c r="W788" s="264">
        <f t="shared" si="63"/>
        <v>0.56610000000000027</v>
      </c>
      <c r="X788" s="264">
        <f t="shared" si="64"/>
        <v>0.61573113653165112</v>
      </c>
      <c r="Y788" s="268">
        <f>IFERROR(INDEX(Rainfall_Dry!$O$2:$O$217,MATCH(B788, Rainfall_Dry!$A$2:$A$217,0)),"")</f>
        <v>136.27214243</v>
      </c>
      <c r="Z788" s="257">
        <v>17.96</v>
      </c>
      <c r="AA788" s="257">
        <v>4.9199999999999982</v>
      </c>
      <c r="AB788" s="257">
        <v>77.12</v>
      </c>
      <c r="AC788" s="258" t="s">
        <v>2655</v>
      </c>
      <c r="AD788" s="257">
        <v>8.0220798422868391</v>
      </c>
      <c r="AE788">
        <f>IF('WetLitterbags placem_collection'!AB129="","",'WetLitterbags placem_collection'!AB129)</f>
        <v>5.35</v>
      </c>
      <c r="AF788">
        <f>IF('WetLitterbags placem_collection'!Z129="","",'WetLitterbags placem_collection'!Z129)</f>
        <v>58</v>
      </c>
      <c r="AG788" s="243" t="str">
        <f>IF('WetLitterbags placem_collection'!AA129="","",'WetLitterbags placem_collection'!AA129)</f>
        <v>G</v>
      </c>
      <c r="AH788">
        <f>IF('WetLitterbags placem_collection'!AC129="","",'WetLitterbags placem_collection'!AC129)</f>
        <v>1</v>
      </c>
      <c r="AI788">
        <f>IFERROR(AVERAGE('Dry_Litterbag Placem_Collection'!O129,'Dry_Litterbag Placem_Collection'!R129),"")</f>
        <v>9.6999999999999993</v>
      </c>
      <c r="AJ788" s="268">
        <f>IFERROR(AVERAGE('Dry_Litterbag Placem_Collection'!N129,'Dry_Litterbag Placem_Collection'!Q129),"")</f>
        <v>28.1</v>
      </c>
      <c r="AK788" s="267">
        <f>INDEX(Coordinates!$B$2:$B$197,MATCH(H788,Coordinates!$J$2:$J$197,0))</f>
        <v>-2.3491850219999999</v>
      </c>
      <c r="AL788" s="267">
        <f>INDEX(Coordinates!$C$2:$C$197,MATCH(H788,Coordinates!$J$2:$J$197,0))</f>
        <v>34.051264959999997</v>
      </c>
      <c r="AM788" s="267" t="str">
        <f>IF(ISNUMBER(SEARCH("C", 'Dry_Litterbag Placem_Collection'!V129)),"YES","NO")</f>
        <v>NO</v>
      </c>
      <c r="AN788" s="267" t="str">
        <f>IF(ISNUMBER(SEARCH("H", 'Dry_Litterbag Placem_Collection'!V129)),"YES","NO")</f>
        <v>NO</v>
      </c>
      <c r="AO788" s="267" t="str">
        <f>IF(ISNUMBER(SEARCH("R", 'Dry_Litterbag Placem_Collection'!V129)),"YES","NO")</f>
        <v>NO</v>
      </c>
    </row>
    <row r="789" spans="1:41" ht="15" customHeight="1">
      <c r="A789" s="259" t="s">
        <v>2643</v>
      </c>
      <c r="B789" s="260">
        <f>'Dry_Litterbag Placem_Collection'!A130</f>
        <v>128</v>
      </c>
      <c r="C789" s="260" t="str">
        <f>'Dry_Litterbag Placem_Collection'!B130</f>
        <v xml:space="preserve">Mwantimba
</v>
      </c>
      <c r="D789" s="260" t="s">
        <v>2454</v>
      </c>
      <c r="E789" s="260" t="s">
        <v>2644</v>
      </c>
      <c r="F789" s="260">
        <v>4</v>
      </c>
      <c r="G789" s="260" t="s">
        <v>3819</v>
      </c>
      <c r="H789" s="261" t="str">
        <f>'Dry_Litterbag Placem_Collection'!C130</f>
        <v>Wet_Ag4_T8</v>
      </c>
      <c r="I789" s="270" t="s">
        <v>3630</v>
      </c>
      <c r="J789" s="271" t="s">
        <v>298</v>
      </c>
      <c r="K789" s="260" t="str">
        <f>IF(ISBLANK('Dry_Litterbag Placem_Collection'!M130),"","R"&amp;""&amp;'Dry_Litterbag Placem_Collection'!M130)</f>
        <v>R272</v>
      </c>
      <c r="L789" s="264">
        <f>IFERROR(INDEX('Green_rooibos initial weight'!$C$5:$C$2000,MATCH(K789, 'Green_rooibos initial weight'!$A$5:$A$2000,0)),"")</f>
        <v>2.2999999999999998</v>
      </c>
      <c r="M789" s="264">
        <f>IFERROR(L789-(TBIcalc!$Q$9+TBIcalc!$Q$10),"")</f>
        <v>2.0501999999999998</v>
      </c>
      <c r="N789" s="385">
        <f>AVERAGE(Ashed_controlls!$K$12:$K$14)</f>
        <v>2.2816647271287041</v>
      </c>
      <c r="O789" s="264">
        <f t="shared" si="61"/>
        <v>2.0034213097644069</v>
      </c>
      <c r="P789" s="264">
        <f>IFERROR(INDEX('Both teabags AfterDry'!$D$2:$D$2000,MATCH(K789,'Both teabags AfterDry'!$A$2:$A$2000,0)),"")</f>
        <v>1.6163000000000001</v>
      </c>
      <c r="Q789" s="264">
        <f>IFERROR(IF(P789&gt;0,P789-(TBIcalc!$Q$9),""),"")</f>
        <v>1.4657</v>
      </c>
      <c r="R789" s="275">
        <f>IFERROR(INDEX('Ashed teabags dry'!$K$2:$K$2000,MATCH(K789,'Ashed teabags dry'!$A$2:$A$2000,0)),"")</f>
        <v>8.0924855491328049</v>
      </c>
      <c r="S789" s="275">
        <f t="shared" si="62"/>
        <v>1.3470884393063605</v>
      </c>
      <c r="T789" s="265">
        <f>IF('Dry_Litterbag Placem_Collection'!E130="","",'Dry_Litterbag Placem_Collection'!E130)</f>
        <v>42939</v>
      </c>
      <c r="U789" s="265">
        <f>IF('Dry_Litterbag Placem_Collection'!G130="","",'Dry_Litterbag Placem_Collection'!G130)</f>
        <v>43008</v>
      </c>
      <c r="V789" s="266">
        <f t="shared" si="60"/>
        <v>69</v>
      </c>
      <c r="W789" s="264">
        <f t="shared" si="63"/>
        <v>0.5844999999999998</v>
      </c>
      <c r="X789" s="264">
        <f t="shared" si="64"/>
        <v>0.65633287045804645</v>
      </c>
      <c r="Y789" s="268">
        <f>IFERROR(INDEX(Rainfall_Dry!$O$2:$O$217,MATCH(B789, Rainfall_Dry!$A$2:$A$217,0)),"")</f>
        <v>136.27214243</v>
      </c>
      <c r="Z789" s="257">
        <v>17.96</v>
      </c>
      <c r="AA789" s="257">
        <v>4.9199999999999982</v>
      </c>
      <c r="AB789" s="257">
        <v>77.12</v>
      </c>
      <c r="AC789" s="258" t="s">
        <v>2655</v>
      </c>
      <c r="AD789" s="257">
        <v>9.0220798422868391</v>
      </c>
      <c r="AE789">
        <f>IF('WetLitterbags placem_collection'!AB130="","",'WetLitterbags placem_collection'!AB130)</f>
        <v>10.9</v>
      </c>
      <c r="AF789">
        <f>IF('WetLitterbags placem_collection'!Z130="","",'WetLitterbags placem_collection'!Z130)</f>
        <v>44</v>
      </c>
      <c r="AG789" s="243" t="str">
        <f>IF('WetLitterbags placem_collection'!AA130="","",'WetLitterbags placem_collection'!AA130)</f>
        <v>G</v>
      </c>
      <c r="AH789">
        <f>IF('WetLitterbags placem_collection'!AC130="","",'WetLitterbags placem_collection'!AC130)</f>
        <v>0</v>
      </c>
      <c r="AI789">
        <f>IFERROR(AVERAGE('Dry_Litterbag Placem_Collection'!O130,'Dry_Litterbag Placem_Collection'!R130),"")</f>
        <v>8.4499999999999993</v>
      </c>
      <c r="AJ789" s="268">
        <f>IFERROR(AVERAGE('Dry_Litterbag Placem_Collection'!N130,'Dry_Litterbag Placem_Collection'!Q130),"")</f>
        <v>28.4</v>
      </c>
      <c r="AK789" s="267">
        <f>INDEX(Coordinates!$B$2:$B$197,MATCH(H789,Coordinates!$J$2:$J$197,0))</f>
        <v>-2.3493099960000001</v>
      </c>
      <c r="AL789" s="267">
        <f>INDEX(Coordinates!$C$2:$C$197,MATCH(H789,Coordinates!$J$2:$J$197,0))</f>
        <v>34.05141802</v>
      </c>
      <c r="AM789" s="267" t="str">
        <f>IF(ISNUMBER(SEARCH("C", 'Dry_Litterbag Placem_Collection'!V130)),"YES","NO")</f>
        <v>NO</v>
      </c>
      <c r="AN789" s="267" t="str">
        <f>IF(ISNUMBER(SEARCH("H", 'Dry_Litterbag Placem_Collection'!V130)),"YES","NO")</f>
        <v>NO</v>
      </c>
      <c r="AO789" s="267" t="str">
        <f>IF(ISNUMBER(SEARCH("R", 'Dry_Litterbag Placem_Collection'!V130)),"YES","NO")</f>
        <v>NO</v>
      </c>
    </row>
    <row r="790" spans="1:41" ht="15" customHeight="1">
      <c r="A790" s="259" t="s">
        <v>2643</v>
      </c>
      <c r="B790" s="260">
        <f>'Dry_Litterbag Placem_Collection'!A131</f>
        <v>129</v>
      </c>
      <c r="C790" s="260" t="str">
        <f>'Dry_Litterbag Placem_Collection'!B131</f>
        <v xml:space="preserve">Mwantimba
</v>
      </c>
      <c r="D790" s="260" t="s">
        <v>2454</v>
      </c>
      <c r="E790" s="260" t="s">
        <v>20</v>
      </c>
      <c r="F790" s="260">
        <v>1</v>
      </c>
      <c r="G790" s="260" t="s">
        <v>3820</v>
      </c>
      <c r="H790" s="261" t="str">
        <f>'Dry_Litterbag Placem_Collection'!C131</f>
        <v>Wet_P1_T1</v>
      </c>
      <c r="I790" s="270" t="s">
        <v>3630</v>
      </c>
      <c r="J790" s="271" t="s">
        <v>298</v>
      </c>
      <c r="K790" s="260" t="str">
        <f>IF(ISBLANK('Dry_Litterbag Placem_Collection'!M131),"","R"&amp;""&amp;'Dry_Litterbag Placem_Collection'!M131)</f>
        <v>R207</v>
      </c>
      <c r="L790" s="264">
        <f>IFERROR(INDEX('Green_rooibos initial weight'!$C$5:$C$2000,MATCH(K790, 'Green_rooibos initial weight'!$A$5:$A$2000,0)),"")</f>
        <v>2.1800000000000002</v>
      </c>
      <c r="M790" s="264">
        <f>IFERROR(L790-(TBIcalc!$Q$9+TBIcalc!$Q$10),"")</f>
        <v>1.9302000000000001</v>
      </c>
      <c r="N790" s="385">
        <f>AVERAGE(Ashed_controlls!$K$12:$K$14)</f>
        <v>2.2816647271287041</v>
      </c>
      <c r="O790" s="264">
        <f t="shared" si="61"/>
        <v>1.8861593074369618</v>
      </c>
      <c r="P790" s="264">
        <f>IFERROR(INDEX('Both teabags AfterDry'!$D$2:$D$2000,MATCH(K790,'Both teabags AfterDry'!$A$2:$A$2000,0)),"")</f>
        <v>1.6962999999999999</v>
      </c>
      <c r="Q790" s="264">
        <f>IFERROR(IF(P790&gt;0,P790-(TBIcalc!$Q$9),""),"")</f>
        <v>1.5456999999999999</v>
      </c>
      <c r="R790" s="275">
        <f>IFERROR(INDEX('Ashed teabags dry'!$K$2:$K$2000,MATCH(K790,'Ashed teabags dry'!$A$2:$A$2000,0)),"")</f>
        <v>6.3134657836639967</v>
      </c>
      <c r="S790" s="275">
        <f t="shared" si="62"/>
        <v>1.4481127593819054</v>
      </c>
      <c r="T790" s="265">
        <f>IF('Dry_Litterbag Placem_Collection'!E131="","",'Dry_Litterbag Placem_Collection'!E131)</f>
        <v>42939</v>
      </c>
      <c r="U790" s="265">
        <f>IF('Dry_Litterbag Placem_Collection'!G131="","",'Dry_Litterbag Placem_Collection'!G131)</f>
        <v>43008</v>
      </c>
      <c r="V790" s="266">
        <f t="shared" si="60"/>
        <v>69</v>
      </c>
      <c r="W790" s="264">
        <f t="shared" si="63"/>
        <v>0.38450000000000029</v>
      </c>
      <c r="X790" s="264">
        <f t="shared" si="64"/>
        <v>0.43804654805505638</v>
      </c>
      <c r="Y790" s="268">
        <f>IFERROR(INDEX(Rainfall_Dry!$O$2:$O$217,MATCH(B790, Rainfall_Dry!$A$2:$A$217,0)),"")</f>
        <v>136.27214243</v>
      </c>
      <c r="Z790" s="257">
        <v>31.214836424255054</v>
      </c>
      <c r="AA790" s="257">
        <v>11.377370285476141</v>
      </c>
      <c r="AB790" s="257">
        <v>57.407793290268799</v>
      </c>
      <c r="AC790" s="258" t="s">
        <v>2654</v>
      </c>
      <c r="AD790" s="257">
        <v>1.7337604731394776</v>
      </c>
      <c r="AE790">
        <f>IF('WetLitterbags placem_collection'!AB131="","",'WetLitterbags placem_collection'!AB131)</f>
        <v>2.4</v>
      </c>
      <c r="AF790">
        <f>IF('WetLitterbags placem_collection'!Z131="","",'WetLitterbags placem_collection'!Z131)</f>
        <v>2.4</v>
      </c>
      <c r="AG790" s="243" t="str">
        <f>IF('WetLitterbags placem_collection'!AA131="","",'WetLitterbags placem_collection'!AA131)</f>
        <v>O</v>
      </c>
      <c r="AH790">
        <f>IF('WetLitterbags placem_collection'!AC131="","",'WetLitterbags placem_collection'!AC131)</f>
        <v>1</v>
      </c>
      <c r="AI790">
        <f>IFERROR(AVERAGE('Dry_Litterbag Placem_Collection'!O131,'Dry_Litterbag Placem_Collection'!R131),"")</f>
        <v>11.8</v>
      </c>
      <c r="AJ790" s="268">
        <f>IFERROR(AVERAGE('Dry_Litterbag Placem_Collection'!N131,'Dry_Litterbag Placem_Collection'!Q131),"")</f>
        <v>29.05</v>
      </c>
      <c r="AK790" s="267">
        <f>INDEX(Coordinates!$B$2:$B$197,MATCH(H790,Coordinates!$J$2:$J$197,0))</f>
        <v>-2.3503360249999998</v>
      </c>
      <c r="AL790" s="267">
        <f>INDEX(Coordinates!$C$2:$C$197,MATCH(H790,Coordinates!$J$2:$J$197,0))</f>
        <v>34.049662009999999</v>
      </c>
      <c r="AM790" s="267" t="str">
        <f>IF(ISNUMBER(SEARCH("C", 'Dry_Litterbag Placem_Collection'!V131)),"YES","NO")</f>
        <v>NO</v>
      </c>
      <c r="AN790" s="267" t="str">
        <f>IF(ISNUMBER(SEARCH("H", 'Dry_Litterbag Placem_Collection'!V131)),"YES","NO")</f>
        <v>NO</v>
      </c>
      <c r="AO790" s="267" t="str">
        <f>IF(ISNUMBER(SEARCH("R", 'Dry_Litterbag Placem_Collection'!V131)),"YES","NO")</f>
        <v>NO</v>
      </c>
    </row>
    <row r="791" spans="1:41" ht="15" customHeight="1">
      <c r="A791" s="259" t="s">
        <v>2643</v>
      </c>
      <c r="B791" s="260">
        <f>'Dry_Litterbag Placem_Collection'!A132</f>
        <v>130</v>
      </c>
      <c r="C791" s="260" t="str">
        <f>'Dry_Litterbag Placem_Collection'!B132</f>
        <v xml:space="preserve">Mwantimba
</v>
      </c>
      <c r="D791" s="260" t="s">
        <v>2454</v>
      </c>
      <c r="E791" s="260" t="s">
        <v>20</v>
      </c>
      <c r="F791" s="260">
        <v>1</v>
      </c>
      <c r="G791" s="260" t="s">
        <v>3820</v>
      </c>
      <c r="H791" s="261" t="str">
        <f>'Dry_Litterbag Placem_Collection'!C132</f>
        <v>Wet_P1_T2</v>
      </c>
      <c r="I791" s="270" t="s">
        <v>3630</v>
      </c>
      <c r="J791" s="271" t="s">
        <v>298</v>
      </c>
      <c r="K791" s="260" t="str">
        <f>IF(ISBLANK('Dry_Litterbag Placem_Collection'!M132),"","R"&amp;""&amp;'Dry_Litterbag Placem_Collection'!M132)</f>
        <v>R193</v>
      </c>
      <c r="L791" s="264">
        <f>IFERROR(INDEX('Green_rooibos initial weight'!$C$5:$C$2000,MATCH(K791, 'Green_rooibos initial weight'!$A$5:$A$2000,0)),"")</f>
        <v>2.198</v>
      </c>
      <c r="M791" s="264">
        <f>IFERROR(L791-(TBIcalc!$Q$9+TBIcalc!$Q$10),"")</f>
        <v>1.9481999999999999</v>
      </c>
      <c r="N791" s="385">
        <f>AVERAGE(Ashed_controlls!$K$12:$K$14)</f>
        <v>2.2816647271287041</v>
      </c>
      <c r="O791" s="264">
        <f t="shared" si="61"/>
        <v>1.9037486077860786</v>
      </c>
      <c r="P791" s="264">
        <f>IFERROR(INDEX('Both teabags AfterDry'!$D$2:$D$2000,MATCH(K791,'Both teabags AfterDry'!$A$2:$A$2000,0)),"")</f>
        <v>1.7978000000000001</v>
      </c>
      <c r="Q791" s="264">
        <f>IFERROR(IF(P791&gt;0,P791-(TBIcalc!$Q$9),""),"")</f>
        <v>1.6472</v>
      </c>
      <c r="R791" s="275">
        <f>IFERROR(INDEX('Ashed teabags dry'!$K$2:$K$2000,MATCH(K791,'Ashed teabags dry'!$A$2:$A$2000,0)),"")</f>
        <v>7.9980610761027835</v>
      </c>
      <c r="S791" s="275">
        <f t="shared" si="62"/>
        <v>1.515455937954435</v>
      </c>
      <c r="T791" s="265">
        <f>IF('Dry_Litterbag Placem_Collection'!E132="","",'Dry_Litterbag Placem_Collection'!E132)</f>
        <v>42939</v>
      </c>
      <c r="U791" s="265">
        <f>IF('Dry_Litterbag Placem_Collection'!G132="","",'Dry_Litterbag Placem_Collection'!G132)</f>
        <v>43008</v>
      </c>
      <c r="V791" s="266">
        <f t="shared" si="60"/>
        <v>69</v>
      </c>
      <c r="W791" s="264">
        <f t="shared" si="63"/>
        <v>0.30099999999999993</v>
      </c>
      <c r="X791" s="264">
        <f t="shared" si="64"/>
        <v>0.38829266983164357</v>
      </c>
      <c r="Y791" s="268">
        <f>IFERROR(INDEX(Rainfall_Dry!$O$2:$O$217,MATCH(B791, Rainfall_Dry!$A$2:$A$217,0)),"")</f>
        <v>136.27214243</v>
      </c>
      <c r="Z791" s="257">
        <v>31.214836424255054</v>
      </c>
      <c r="AA791" s="257">
        <v>11.377370285476141</v>
      </c>
      <c r="AB791" s="257">
        <v>57.407793290268799</v>
      </c>
      <c r="AC791" s="258" t="s">
        <v>2654</v>
      </c>
      <c r="AD791" s="257">
        <v>2.7337604731394798</v>
      </c>
      <c r="AE791">
        <f>IF('WetLitterbags placem_collection'!AB132="","",'WetLitterbags placem_collection'!AB132)</f>
        <v>2.1</v>
      </c>
      <c r="AF791">
        <f>IF('WetLitterbags placem_collection'!Z132="","",'WetLitterbags placem_collection'!Z132)</f>
        <v>3.5</v>
      </c>
      <c r="AG791" s="243" t="str">
        <f>IF('WetLitterbags placem_collection'!AA132="","",'WetLitterbags placem_collection'!AA132)</f>
        <v>O</v>
      </c>
      <c r="AH791">
        <f>IF('WetLitterbags placem_collection'!AC132="","",'WetLitterbags placem_collection'!AC132)</f>
        <v>0</v>
      </c>
      <c r="AI791">
        <f>IFERROR(AVERAGE('Dry_Litterbag Placem_Collection'!O132,'Dry_Litterbag Placem_Collection'!R132),"")</f>
        <v>8.9499999999999993</v>
      </c>
      <c r="AJ791" s="268">
        <f>IFERROR(AVERAGE('Dry_Litterbag Placem_Collection'!N132,'Dry_Litterbag Placem_Collection'!Q132),"")</f>
        <v>28.55</v>
      </c>
      <c r="AK791" s="267">
        <f>INDEX(Coordinates!$B$2:$B$197,MATCH(H791,Coordinates!$J$2:$J$197,0))</f>
        <v>-2.3503729889999998</v>
      </c>
      <c r="AL791" s="267">
        <f>INDEX(Coordinates!$C$2:$C$197,MATCH(H791,Coordinates!$J$2:$J$197,0))</f>
        <v>34.049626969999998</v>
      </c>
      <c r="AM791" s="267" t="str">
        <f>IF(ISNUMBER(SEARCH("C", 'Dry_Litterbag Placem_Collection'!V132)),"YES","NO")</f>
        <v>NO</v>
      </c>
      <c r="AN791" s="267" t="str">
        <f>IF(ISNUMBER(SEARCH("H", 'Dry_Litterbag Placem_Collection'!V132)),"YES","NO")</f>
        <v>NO</v>
      </c>
      <c r="AO791" s="267" t="str">
        <f>IF(ISNUMBER(SEARCH("R", 'Dry_Litterbag Placem_Collection'!V132)),"YES","NO")</f>
        <v>NO</v>
      </c>
    </row>
    <row r="792" spans="1:41" ht="15" customHeight="1">
      <c r="A792" s="259" t="s">
        <v>2643</v>
      </c>
      <c r="B792" s="260">
        <f>'Dry_Litterbag Placem_Collection'!A133</f>
        <v>131</v>
      </c>
      <c r="C792" s="260" t="str">
        <f>'Dry_Litterbag Placem_Collection'!B133</f>
        <v xml:space="preserve">Mwantimba
</v>
      </c>
      <c r="D792" s="260" t="s">
        <v>2454</v>
      </c>
      <c r="E792" s="260" t="s">
        <v>20</v>
      </c>
      <c r="F792" s="260">
        <v>1</v>
      </c>
      <c r="G792" s="260" t="s">
        <v>3820</v>
      </c>
      <c r="H792" s="261" t="str">
        <f>'Dry_Litterbag Placem_Collection'!C133</f>
        <v>Wet_P1_T3</v>
      </c>
      <c r="I792" s="270" t="s">
        <v>3630</v>
      </c>
      <c r="J792" s="271" t="s">
        <v>298</v>
      </c>
      <c r="K792" s="260" t="str">
        <f>IF(ISBLANK('Dry_Litterbag Placem_Collection'!M133),"","R"&amp;""&amp;'Dry_Litterbag Placem_Collection'!M133)</f>
        <v>R188</v>
      </c>
      <c r="L792" s="264">
        <f>IFERROR(INDEX('Green_rooibos initial weight'!$C$5:$C$2000,MATCH(K792, 'Green_rooibos initial weight'!$A$5:$A$2000,0)),"")</f>
        <v>2.2440000000000002</v>
      </c>
      <c r="M792" s="264">
        <f>IFERROR(L792-(TBIcalc!$Q$9+TBIcalc!$Q$10),"")</f>
        <v>1.9942000000000002</v>
      </c>
      <c r="N792" s="385">
        <f>AVERAGE(Ashed_controlls!$K$12:$K$14)</f>
        <v>2.2816647271287041</v>
      </c>
      <c r="O792" s="264">
        <f t="shared" si="61"/>
        <v>1.9486990420115995</v>
      </c>
      <c r="P792" s="264">
        <f>IFERROR(INDEX('Both teabags AfterDry'!$D$2:$D$2000,MATCH(K792,'Both teabags AfterDry'!$A$2:$A$2000,0)),"")</f>
        <v>1.7876000000000001</v>
      </c>
      <c r="Q792" s="264">
        <f>IFERROR(IF(P792&gt;0,P792-(TBIcalc!$Q$9),""),"")</f>
        <v>1.637</v>
      </c>
      <c r="R792" s="275">
        <f>IFERROR(INDEX('Ashed teabags dry'!$K$2:$K$2000,MATCH(K792,'Ashed teabags dry'!$A$2:$A$2000,0)),"")</f>
        <v>4.3834296724473862</v>
      </c>
      <c r="S792" s="275">
        <f t="shared" si="62"/>
        <v>1.5652432562620362</v>
      </c>
      <c r="T792" s="265">
        <f>IF('Dry_Litterbag Placem_Collection'!E133="","",'Dry_Litterbag Placem_Collection'!E133)</f>
        <v>42939</v>
      </c>
      <c r="U792" s="265">
        <f>IF('Dry_Litterbag Placem_Collection'!G133="","",'Dry_Litterbag Placem_Collection'!G133)</f>
        <v>43008</v>
      </c>
      <c r="V792" s="266">
        <f t="shared" si="60"/>
        <v>69</v>
      </c>
      <c r="W792" s="264">
        <f t="shared" si="63"/>
        <v>0.35720000000000018</v>
      </c>
      <c r="X792" s="264">
        <f t="shared" si="64"/>
        <v>0.38345578574956329</v>
      </c>
      <c r="Y792" s="268">
        <f>IFERROR(INDEX(Rainfall_Dry!$O$2:$O$217,MATCH(B792, Rainfall_Dry!$A$2:$A$217,0)),"")</f>
        <v>136.27214243</v>
      </c>
      <c r="Z792" s="257">
        <v>31.214836424255054</v>
      </c>
      <c r="AA792" s="257">
        <v>11.377370285476141</v>
      </c>
      <c r="AB792" s="257">
        <v>57.407793290268799</v>
      </c>
      <c r="AC792" s="258" t="s">
        <v>2654</v>
      </c>
      <c r="AD792" s="257">
        <v>3.7337604731394798</v>
      </c>
      <c r="AE792">
        <f>IF('WetLitterbags placem_collection'!AB133="","",'WetLitterbags placem_collection'!AB133)</f>
        <v>4.5</v>
      </c>
      <c r="AF792">
        <f>IF('WetLitterbags placem_collection'!Z133="","",'WetLitterbags placem_collection'!Z133)</f>
        <v>7.5</v>
      </c>
      <c r="AG792" s="243" t="str">
        <f>IF('WetLitterbags placem_collection'!AA133="","",'WetLitterbags placem_collection'!AA133)</f>
        <v>O</v>
      </c>
      <c r="AH792">
        <f>IF('WetLitterbags placem_collection'!AC133="","",'WetLitterbags placem_collection'!AC133)</f>
        <v>0</v>
      </c>
      <c r="AI792">
        <f>IFERROR(AVERAGE('Dry_Litterbag Placem_Collection'!O133,'Dry_Litterbag Placem_Collection'!R133),"")</f>
        <v>8.9499999999999993</v>
      </c>
      <c r="AJ792" s="268">
        <f>IFERROR(AVERAGE('Dry_Litterbag Placem_Collection'!N133,'Dry_Litterbag Placem_Collection'!Q133),"")</f>
        <v>28.6</v>
      </c>
      <c r="AK792" s="267">
        <f>INDEX(Coordinates!$B$2:$B$197,MATCH(H792,Coordinates!$J$2:$J$197,0))</f>
        <v>-2.3503259660000002</v>
      </c>
      <c r="AL792" s="267">
        <f>INDEX(Coordinates!$C$2:$C$197,MATCH(H792,Coordinates!$J$2:$J$197,0))</f>
        <v>34.049616999999998</v>
      </c>
      <c r="AM792" s="267" t="str">
        <f>IF(ISNUMBER(SEARCH("C", 'Dry_Litterbag Placem_Collection'!V133)),"YES","NO")</f>
        <v>NO</v>
      </c>
      <c r="AN792" s="267" t="str">
        <f>IF(ISNUMBER(SEARCH("H", 'Dry_Litterbag Placem_Collection'!V133)),"YES","NO")</f>
        <v>NO</v>
      </c>
      <c r="AO792" s="267" t="str">
        <f>IF(ISNUMBER(SEARCH("R", 'Dry_Litterbag Placem_Collection'!V133)),"YES","NO")</f>
        <v>YES</v>
      </c>
    </row>
    <row r="793" spans="1:41" ht="15" customHeight="1">
      <c r="A793" s="259" t="s">
        <v>2643</v>
      </c>
      <c r="B793" s="260">
        <f>'Dry_Litterbag Placem_Collection'!A134</f>
        <v>132</v>
      </c>
      <c r="C793" s="260" t="str">
        <f>'Dry_Litterbag Placem_Collection'!B134</f>
        <v xml:space="preserve">Mwantimba
</v>
      </c>
      <c r="D793" s="260" t="s">
        <v>2454</v>
      </c>
      <c r="E793" s="260" t="s">
        <v>20</v>
      </c>
      <c r="F793" s="260">
        <v>1</v>
      </c>
      <c r="G793" s="260" t="s">
        <v>3820</v>
      </c>
      <c r="H793" s="261" t="str">
        <f>'Dry_Litterbag Placem_Collection'!C134</f>
        <v>Wet_P1_T4</v>
      </c>
      <c r="I793" s="270" t="s">
        <v>3630</v>
      </c>
      <c r="J793" s="271" t="s">
        <v>298</v>
      </c>
      <c r="K793" s="260" t="str">
        <f>IF(ISBLANK('Dry_Litterbag Placem_Collection'!M134),"","R"&amp;""&amp;'Dry_Litterbag Placem_Collection'!M134)</f>
        <v/>
      </c>
      <c r="L793" s="264" t="str">
        <f>IFERROR(INDEX('Green_rooibos initial weight'!$C$5:$C$2000,MATCH(K793, 'Green_rooibos initial weight'!$A$5:$A$2000,0)),"")</f>
        <v/>
      </c>
      <c r="M793" s="264" t="str">
        <f>IFERROR(L793-(TBIcalc!$Q$9+TBIcalc!$Q$10),"")</f>
        <v/>
      </c>
      <c r="N793" s="385">
        <f>AVERAGE(Ashed_controlls!$K$12:$K$14)</f>
        <v>2.2816647271287041</v>
      </c>
      <c r="O793" s="264" t="str">
        <f t="shared" si="61"/>
        <v/>
      </c>
      <c r="P793" s="264" t="str">
        <f>IFERROR(INDEX('Both teabags AfterDry'!$D$2:$D$2000,MATCH(K793,'Both teabags AfterDry'!$A$2:$A$2000,0)),"")</f>
        <v/>
      </c>
      <c r="Q793" s="264" t="str">
        <f>IFERROR(IF(P793&gt;0,P793-(TBIcalc!$Q$9),""),"")</f>
        <v/>
      </c>
      <c r="R793" s="275" t="str">
        <f>IFERROR(INDEX('Ashed teabags dry'!$K$2:$K$2000,MATCH(K793,'Ashed teabags dry'!$A$2:$A$2000,0)),"")</f>
        <v/>
      </c>
      <c r="S793" s="275" t="str">
        <f t="shared" si="62"/>
        <v/>
      </c>
      <c r="T793" s="265" t="str">
        <f>IF('Dry_Litterbag Placem_Collection'!E134="","",'Dry_Litterbag Placem_Collection'!E134)</f>
        <v/>
      </c>
      <c r="U793" s="265" t="str">
        <f>IF('Dry_Litterbag Placem_Collection'!G134="","",'Dry_Litterbag Placem_Collection'!G134)</f>
        <v/>
      </c>
      <c r="V793" s="266" t="str">
        <f t="shared" si="60"/>
        <v/>
      </c>
      <c r="W793" s="264" t="str">
        <f t="shared" si="63"/>
        <v/>
      </c>
      <c r="X793" s="264" t="str">
        <f t="shared" si="64"/>
        <v/>
      </c>
      <c r="Y793" s="268" t="str">
        <f>IFERROR(INDEX(Rainfall_Dry!$O$2:$O$217,MATCH(B793, Rainfall_Dry!$A$2:$A$217,0)),"")</f>
        <v/>
      </c>
      <c r="Z793" s="257">
        <v>31.214836424255054</v>
      </c>
      <c r="AA793" s="257">
        <v>11.377370285476141</v>
      </c>
      <c r="AB793" s="257">
        <v>57.407793290268799</v>
      </c>
      <c r="AC793" s="258" t="s">
        <v>2654</v>
      </c>
      <c r="AD793" s="257">
        <v>4.7337604731394798</v>
      </c>
      <c r="AE793">
        <f>IF('WetLitterbags placem_collection'!AB134="","",'WetLitterbags placem_collection'!AB134)</f>
        <v>0.7</v>
      </c>
      <c r="AF793">
        <f>IF('WetLitterbags placem_collection'!Z134="","",'WetLitterbags placem_collection'!Z134)</f>
        <v>9.8000000000000007</v>
      </c>
      <c r="AG793" s="243" t="str">
        <f>IF('WetLitterbags placem_collection'!AA134="","",'WetLitterbags placem_collection'!AA134)</f>
        <v>G</v>
      </c>
      <c r="AH793">
        <f>IF('WetLitterbags placem_collection'!AC134="","",'WetLitterbags placem_collection'!AC134)</f>
        <v>1</v>
      </c>
      <c r="AI793" t="str">
        <f>IFERROR(AVERAGE('Dry_Litterbag Placem_Collection'!O134,'Dry_Litterbag Placem_Collection'!R134),"")</f>
        <v/>
      </c>
      <c r="AJ793" s="268" t="str">
        <f>IFERROR(AVERAGE('Dry_Litterbag Placem_Collection'!N134,'Dry_Litterbag Placem_Collection'!Q134),"")</f>
        <v/>
      </c>
      <c r="AK793" s="267">
        <f>INDEX(Coordinates!$B$2:$B$197,MATCH(H793,Coordinates!$J$2:$J$197,0))</f>
        <v>-2.3504800260000001</v>
      </c>
      <c r="AL793" s="267">
        <f>INDEX(Coordinates!$C$2:$C$197,MATCH(H793,Coordinates!$J$2:$J$197,0))</f>
        <v>34.049551030000003</v>
      </c>
      <c r="AM793" s="267" t="str">
        <f>IF(ISNUMBER(SEARCH("C", 'Dry_Litterbag Placem_Collection'!V134)),"YES","NO")</f>
        <v>NO</v>
      </c>
      <c r="AN793" s="267" t="str">
        <f>IF(ISNUMBER(SEARCH("H", 'Dry_Litterbag Placem_Collection'!V134)),"YES","NO")</f>
        <v>NO</v>
      </c>
      <c r="AO793" s="267" t="str">
        <f>IF(ISNUMBER(SEARCH("R", 'Dry_Litterbag Placem_Collection'!V134)),"YES","NO")</f>
        <v>NO</v>
      </c>
    </row>
    <row r="794" spans="1:41" ht="15" customHeight="1">
      <c r="A794" s="259" t="s">
        <v>2643</v>
      </c>
      <c r="B794" s="260">
        <f>'Dry_Litterbag Placem_Collection'!A135</f>
        <v>133</v>
      </c>
      <c r="C794" s="260" t="str">
        <f>'Dry_Litterbag Placem_Collection'!B135</f>
        <v xml:space="preserve">Mwantimba
</v>
      </c>
      <c r="D794" s="260" t="s">
        <v>2454</v>
      </c>
      <c r="E794" s="260" t="s">
        <v>20</v>
      </c>
      <c r="F794" s="260">
        <v>1</v>
      </c>
      <c r="G794" s="260" t="s">
        <v>3820</v>
      </c>
      <c r="H794" s="261" t="str">
        <f>'Dry_Litterbag Placem_Collection'!C135</f>
        <v>Wet_P1_T5</v>
      </c>
      <c r="I794" s="270" t="s">
        <v>3630</v>
      </c>
      <c r="J794" s="271" t="s">
        <v>298</v>
      </c>
      <c r="K794" s="260" t="str">
        <f>IF(ISBLANK('Dry_Litterbag Placem_Collection'!M135),"","R"&amp;""&amp;'Dry_Litterbag Placem_Collection'!M135)</f>
        <v>R683</v>
      </c>
      <c r="L794" s="264">
        <f>IFERROR(INDEX('Green_rooibos initial weight'!$C$5:$C$2000,MATCH(K794, 'Green_rooibos initial weight'!$A$5:$A$2000,0)),"")</f>
        <v>2.141</v>
      </c>
      <c r="M794" s="264">
        <f>IFERROR(L794-(TBIcalc!$Q$9+TBIcalc!$Q$10),"")</f>
        <v>1.8912</v>
      </c>
      <c r="N794" s="385">
        <f>AVERAGE(Ashed_controlls!$K$12:$K$14)</f>
        <v>2.2816647271287041</v>
      </c>
      <c r="O794" s="264">
        <f t="shared" si="61"/>
        <v>1.8480491566805419</v>
      </c>
      <c r="P794" s="264" t="str">
        <f>IFERROR(INDEX('Both teabags AfterDry'!$D$2:$D$2000,MATCH(K794,'Both teabags AfterDry'!$A$2:$A$2000,0)),"")</f>
        <v/>
      </c>
      <c r="Q794" s="264" t="str">
        <f>IFERROR(IF(P794&gt;0,P794-(TBIcalc!$Q$9),""),"")</f>
        <v/>
      </c>
      <c r="R794" s="275" t="str">
        <f>IFERROR(INDEX('Ashed teabags dry'!$K$2:$K$2000,MATCH(K794,'Ashed teabags dry'!$A$2:$A$2000,0)),"")</f>
        <v/>
      </c>
      <c r="S794" s="275" t="str">
        <f t="shared" si="62"/>
        <v/>
      </c>
      <c r="T794" s="265">
        <f>IF('Dry_Litterbag Placem_Collection'!E135="","",'Dry_Litterbag Placem_Collection'!E135)</f>
        <v>42939</v>
      </c>
      <c r="U794" s="265">
        <f>IF('Dry_Litterbag Placem_Collection'!G135="","",'Dry_Litterbag Placem_Collection'!G135)</f>
        <v>43008</v>
      </c>
      <c r="V794" s="266">
        <f t="shared" si="60"/>
        <v>69</v>
      </c>
      <c r="W794" s="264" t="str">
        <f t="shared" si="63"/>
        <v/>
      </c>
      <c r="X794" s="264" t="str">
        <f t="shared" si="64"/>
        <v/>
      </c>
      <c r="Y794" s="268">
        <f>IFERROR(INDEX(Rainfall_Dry!$O$2:$O$217,MATCH(B794, Rainfall_Dry!$A$2:$A$217,0)),"")</f>
        <v>136.27214243</v>
      </c>
      <c r="Z794" s="257">
        <v>31.214836424255054</v>
      </c>
      <c r="AA794" s="257">
        <v>11.377370285476141</v>
      </c>
      <c r="AB794" s="257">
        <v>57.407793290268799</v>
      </c>
      <c r="AC794" s="258" t="s">
        <v>2654</v>
      </c>
      <c r="AD794" s="257">
        <v>5.7337604731394798</v>
      </c>
      <c r="AE794">
        <f>IF('WetLitterbags placem_collection'!AB135="","",'WetLitterbags placem_collection'!AB135)</f>
        <v>2.2000000000000002</v>
      </c>
      <c r="AF794">
        <f>IF('WetLitterbags placem_collection'!Z135="","",'WetLitterbags placem_collection'!Z135)</f>
        <v>10</v>
      </c>
      <c r="AG794" s="243" t="str">
        <f>IF('WetLitterbags placem_collection'!AA135="","",'WetLitterbags placem_collection'!AA135)</f>
        <v>O</v>
      </c>
      <c r="AH794">
        <f>IF('WetLitterbags placem_collection'!AC135="","",'WetLitterbags placem_collection'!AC135)</f>
        <v>1</v>
      </c>
      <c r="AI794">
        <f>IFERROR(AVERAGE('Dry_Litterbag Placem_Collection'!O135,'Dry_Litterbag Placem_Collection'!R135),"")</f>
        <v>8.75</v>
      </c>
      <c r="AJ794" s="268">
        <f>IFERROR(AVERAGE('Dry_Litterbag Placem_Collection'!N135,'Dry_Litterbag Placem_Collection'!Q135),"")</f>
        <v>31.3</v>
      </c>
      <c r="AK794" s="267">
        <f>INDEX(Coordinates!$B$2:$B$197,MATCH(H794,Coordinates!$J$2:$J$197,0))</f>
        <v>-2.350474996</v>
      </c>
      <c r="AL794" s="267">
        <f>INDEX(Coordinates!$C$2:$C$197,MATCH(H794,Coordinates!$J$2:$J$197,0))</f>
        <v>34.049801979999998</v>
      </c>
      <c r="AM794" s="267" t="str">
        <f>IF(ISNUMBER(SEARCH("C", 'Dry_Litterbag Placem_Collection'!V135)),"YES","NO")</f>
        <v>NO</v>
      </c>
      <c r="AN794" s="267" t="str">
        <f>IF(ISNUMBER(SEARCH("H", 'Dry_Litterbag Placem_Collection'!V135)),"YES","NO")</f>
        <v>NO</v>
      </c>
      <c r="AO794" s="267" t="str">
        <f>IF(ISNUMBER(SEARCH("R", 'Dry_Litterbag Placem_Collection'!V135)),"YES","NO")</f>
        <v>NO</v>
      </c>
    </row>
    <row r="795" spans="1:41" ht="15" customHeight="1">
      <c r="A795" s="259" t="s">
        <v>2643</v>
      </c>
      <c r="B795" s="260">
        <f>'Dry_Litterbag Placem_Collection'!A136</f>
        <v>134</v>
      </c>
      <c r="C795" s="260" t="str">
        <f>'Dry_Litterbag Placem_Collection'!B136</f>
        <v xml:space="preserve">Mwantimba
</v>
      </c>
      <c r="D795" s="260" t="s">
        <v>2454</v>
      </c>
      <c r="E795" s="260" t="s">
        <v>20</v>
      </c>
      <c r="F795" s="260">
        <v>1</v>
      </c>
      <c r="G795" s="260" t="s">
        <v>3820</v>
      </c>
      <c r="H795" s="261" t="str">
        <f>'Dry_Litterbag Placem_Collection'!C136</f>
        <v>Wet_P1_T6</v>
      </c>
      <c r="I795" s="270" t="s">
        <v>3630</v>
      </c>
      <c r="J795" s="271" t="s">
        <v>298</v>
      </c>
      <c r="K795" s="260" t="str">
        <f>IF(ISBLANK('Dry_Litterbag Placem_Collection'!M136),"","R"&amp;""&amp;'Dry_Litterbag Placem_Collection'!M136)</f>
        <v>R649</v>
      </c>
      <c r="L795" s="264">
        <f>IFERROR(INDEX('Green_rooibos initial weight'!$C$5:$C$2000,MATCH(K795, 'Green_rooibos initial weight'!$A$5:$A$2000,0)),"")</f>
        <v>2.161</v>
      </c>
      <c r="M795" s="264">
        <f>IFERROR(L795-(TBIcalc!$Q$9+TBIcalc!$Q$10),"")</f>
        <v>1.9112</v>
      </c>
      <c r="N795" s="385">
        <f>AVERAGE(Ashed_controlls!$K$12:$K$14)</f>
        <v>2.2816647271287041</v>
      </c>
      <c r="O795" s="264">
        <f t="shared" si="61"/>
        <v>1.8675928237351163</v>
      </c>
      <c r="P795" s="264">
        <f>IFERROR(INDEX('Both teabags AfterDry'!$D$2:$D$2000,MATCH(K795,'Both teabags AfterDry'!$A$2:$A$2000,0)),"")</f>
        <v>1.7554000000000001</v>
      </c>
      <c r="Q795" s="264">
        <f>IFERROR(IF(P795&gt;0,P795-(TBIcalc!$Q$9),""),"")</f>
        <v>1.6048</v>
      </c>
      <c r="R795" s="275">
        <f>IFERROR(INDEX('Ashed teabags dry'!$K$2:$K$2000,MATCH(K795,'Ashed teabags dry'!$A$2:$A$2000,0)),"")</f>
        <v>5.5740828966174707</v>
      </c>
      <c r="S795" s="275">
        <f t="shared" si="62"/>
        <v>1.5153471176750828</v>
      </c>
      <c r="T795" s="265">
        <f>IF('Dry_Litterbag Placem_Collection'!E136="","",'Dry_Litterbag Placem_Collection'!E136)</f>
        <v>42939</v>
      </c>
      <c r="U795" s="265">
        <f>IF('Dry_Litterbag Placem_Collection'!G136="","",'Dry_Litterbag Placem_Collection'!G136)</f>
        <v>43008</v>
      </c>
      <c r="V795" s="266">
        <f t="shared" si="60"/>
        <v>69</v>
      </c>
      <c r="W795" s="264">
        <f t="shared" si="63"/>
        <v>0.30640000000000001</v>
      </c>
      <c r="X795" s="264">
        <f t="shared" si="64"/>
        <v>0.35224570606003347</v>
      </c>
      <c r="Y795" s="268">
        <f>IFERROR(INDEX(Rainfall_Dry!$O$2:$O$217,MATCH(B795, Rainfall_Dry!$A$2:$A$217,0)),"")</f>
        <v>136.27214243</v>
      </c>
      <c r="Z795" s="257">
        <v>31.214836424255054</v>
      </c>
      <c r="AA795" s="257">
        <v>11.377370285476141</v>
      </c>
      <c r="AB795" s="257">
        <v>57.407793290268799</v>
      </c>
      <c r="AC795" s="258" t="s">
        <v>2654</v>
      </c>
      <c r="AD795" s="257">
        <v>6.7337604731394798</v>
      </c>
      <c r="AE795">
        <f>IF('WetLitterbags placem_collection'!AB136="","",'WetLitterbags placem_collection'!AB136)</f>
        <v>1.1000000000000001</v>
      </c>
      <c r="AF795">
        <f>IF('WetLitterbags placem_collection'!Z136="","",'WetLitterbags placem_collection'!Z136)</f>
        <v>15.4</v>
      </c>
      <c r="AG795" s="243" t="str">
        <f>IF('WetLitterbags placem_collection'!AA136="","",'WetLitterbags placem_collection'!AA136)</f>
        <v>O</v>
      </c>
      <c r="AH795">
        <f>IF('WetLitterbags placem_collection'!AC136="","",'WetLitterbags placem_collection'!AC136)</f>
        <v>1</v>
      </c>
      <c r="AI795">
        <f>IFERROR(AVERAGE('Dry_Litterbag Placem_Collection'!O136,'Dry_Litterbag Placem_Collection'!R136),"")</f>
        <v>6.65</v>
      </c>
      <c r="AJ795" s="268">
        <f>IFERROR(AVERAGE('Dry_Litterbag Placem_Collection'!N136,'Dry_Litterbag Placem_Collection'!Q136),"")</f>
        <v>29.200000000000003</v>
      </c>
      <c r="AK795" s="267">
        <f>INDEX(Coordinates!$B$2:$B$197,MATCH(H795,Coordinates!$J$2:$J$197,0))</f>
        <v>-2.3503559730000001</v>
      </c>
      <c r="AL795" s="267">
        <f>INDEX(Coordinates!$C$2:$C$197,MATCH(H795,Coordinates!$J$2:$J$197,0))</f>
        <v>34.049800980000001</v>
      </c>
      <c r="AM795" s="267" t="str">
        <f>IF(ISNUMBER(SEARCH("C", 'Dry_Litterbag Placem_Collection'!V136)),"YES","NO")</f>
        <v>NO</v>
      </c>
      <c r="AN795" s="267" t="str">
        <f>IF(ISNUMBER(SEARCH("H", 'Dry_Litterbag Placem_Collection'!V136)),"YES","NO")</f>
        <v>NO</v>
      </c>
      <c r="AO795" s="267" t="str">
        <f>IF(ISNUMBER(SEARCH("R", 'Dry_Litterbag Placem_Collection'!V136)),"YES","NO")</f>
        <v>YES</v>
      </c>
    </row>
    <row r="796" spans="1:41" ht="15" customHeight="1">
      <c r="A796" s="259" t="s">
        <v>2643</v>
      </c>
      <c r="B796" s="260">
        <f>'Dry_Litterbag Placem_Collection'!A137</f>
        <v>135</v>
      </c>
      <c r="C796" s="260" t="str">
        <f>'Dry_Litterbag Placem_Collection'!B137</f>
        <v xml:space="preserve">Mwantimba
</v>
      </c>
      <c r="D796" s="260" t="s">
        <v>2454</v>
      </c>
      <c r="E796" s="260" t="s">
        <v>20</v>
      </c>
      <c r="F796" s="260">
        <v>1</v>
      </c>
      <c r="G796" s="260" t="s">
        <v>3820</v>
      </c>
      <c r="H796" s="261" t="str">
        <f>'Dry_Litterbag Placem_Collection'!C137</f>
        <v>Wet_P1_T7</v>
      </c>
      <c r="I796" s="270" t="s">
        <v>3630</v>
      </c>
      <c r="J796" s="271" t="s">
        <v>298</v>
      </c>
      <c r="K796" s="260" t="str">
        <f>IF(ISBLANK('Dry_Litterbag Placem_Collection'!M137),"","R"&amp;""&amp;'Dry_Litterbag Placem_Collection'!M137)</f>
        <v>R223</v>
      </c>
      <c r="L796" s="264">
        <f>IFERROR(INDEX('Green_rooibos initial weight'!$C$5:$C$2000,MATCH(K796, 'Green_rooibos initial weight'!$A$5:$A$2000,0)),"")</f>
        <v>2.2170000000000001</v>
      </c>
      <c r="M796" s="264">
        <f>IFERROR(L796-(TBIcalc!$Q$9+TBIcalc!$Q$10),"")</f>
        <v>1.9672000000000001</v>
      </c>
      <c r="N796" s="385">
        <f>AVERAGE(Ashed_controlls!$K$12:$K$14)</f>
        <v>2.2816647271287041</v>
      </c>
      <c r="O796" s="264">
        <f t="shared" si="61"/>
        <v>1.9223150914879241</v>
      </c>
      <c r="P796" s="264">
        <f>IFERROR(INDEX('Both teabags AfterDry'!$D$2:$D$2000,MATCH(K796,'Both teabags AfterDry'!$A$2:$A$2000,0)),"")</f>
        <v>1.7884</v>
      </c>
      <c r="Q796" s="264">
        <f>IFERROR(IF(P796&gt;0,P796-(TBIcalc!$Q$9),""),"")</f>
        <v>1.6377999999999999</v>
      </c>
      <c r="R796" s="275">
        <f>IFERROR(INDEX('Ashed teabags dry'!$K$2:$K$2000,MATCH(K796,'Ashed teabags dry'!$A$2:$A$2000,0)),"")</f>
        <v>7.1172784243511256</v>
      </c>
      <c r="S796" s="275">
        <f t="shared" si="62"/>
        <v>1.5212332139659772</v>
      </c>
      <c r="T796" s="265">
        <f>IF('Dry_Litterbag Placem_Collection'!E137="","",'Dry_Litterbag Placem_Collection'!E137)</f>
        <v>42939</v>
      </c>
      <c r="U796" s="265">
        <f>IF('Dry_Litterbag Placem_Collection'!G137="","",'Dry_Litterbag Placem_Collection'!G137)</f>
        <v>43008</v>
      </c>
      <c r="V796" s="266">
        <f t="shared" si="60"/>
        <v>69</v>
      </c>
      <c r="W796" s="264">
        <f t="shared" si="63"/>
        <v>0.32940000000000014</v>
      </c>
      <c r="X796" s="264">
        <f t="shared" si="64"/>
        <v>0.40108187752194691</v>
      </c>
      <c r="Y796" s="268">
        <f>IFERROR(INDEX(Rainfall_Dry!$O$2:$O$217,MATCH(B796, Rainfall_Dry!$A$2:$A$217,0)),"")</f>
        <v>136.27214243</v>
      </c>
      <c r="Z796" s="257">
        <v>31.214836424255054</v>
      </c>
      <c r="AA796" s="257">
        <v>11.377370285476141</v>
      </c>
      <c r="AB796" s="257">
        <v>57.407793290268799</v>
      </c>
      <c r="AC796" s="258" t="s">
        <v>2654</v>
      </c>
      <c r="AD796" s="257">
        <v>7.7337604731394798</v>
      </c>
      <c r="AE796">
        <f>IF('WetLitterbags placem_collection'!AB137="","",'WetLitterbags placem_collection'!AB137)</f>
        <v>2.1</v>
      </c>
      <c r="AF796">
        <f>IF('WetLitterbags placem_collection'!Z137="","",'WetLitterbags placem_collection'!Z137)</f>
        <v>5.6</v>
      </c>
      <c r="AG796" s="243" t="str">
        <f>IF('WetLitterbags placem_collection'!AA137="","",'WetLitterbags placem_collection'!AA137)</f>
        <v>O</v>
      </c>
      <c r="AH796">
        <f>IF('WetLitterbags placem_collection'!AC137="","",'WetLitterbags placem_collection'!AC137)</f>
        <v>1</v>
      </c>
      <c r="AI796">
        <f>IFERROR(AVERAGE('Dry_Litterbag Placem_Collection'!O137,'Dry_Litterbag Placem_Collection'!R137),"")</f>
        <v>8.5500000000000007</v>
      </c>
      <c r="AJ796" s="268">
        <f>IFERROR(AVERAGE('Dry_Litterbag Placem_Collection'!N137,'Dry_Litterbag Placem_Collection'!Q137),"")</f>
        <v>31.35</v>
      </c>
      <c r="AK796" s="267">
        <f>INDEX(Coordinates!$B$2:$B$197,MATCH(H796,Coordinates!$J$2:$J$197,0))</f>
        <v>-2.3503589909999998</v>
      </c>
      <c r="AL796" s="267">
        <f>INDEX(Coordinates!$C$2:$C$197,MATCH(H796,Coordinates!$J$2:$J$197,0))</f>
        <v>34.049719000000003</v>
      </c>
      <c r="AM796" s="267" t="str">
        <f>IF(ISNUMBER(SEARCH("C", 'Dry_Litterbag Placem_Collection'!V137)),"YES","NO")</f>
        <v>NO</v>
      </c>
      <c r="AN796" s="267" t="str">
        <f>IF(ISNUMBER(SEARCH("H", 'Dry_Litterbag Placem_Collection'!V137)),"YES","NO")</f>
        <v>NO</v>
      </c>
      <c r="AO796" s="267" t="str">
        <f>IF(ISNUMBER(SEARCH("R", 'Dry_Litterbag Placem_Collection'!V137)),"YES","NO")</f>
        <v>NO</v>
      </c>
    </row>
    <row r="797" spans="1:41" ht="15" customHeight="1">
      <c r="A797" s="259" t="s">
        <v>2643</v>
      </c>
      <c r="B797" s="260">
        <f>'Dry_Litterbag Placem_Collection'!A138</f>
        <v>136</v>
      </c>
      <c r="C797" s="260" t="str">
        <f>'Dry_Litterbag Placem_Collection'!B138</f>
        <v xml:space="preserve">Mwantimba
</v>
      </c>
      <c r="D797" s="260" t="s">
        <v>2454</v>
      </c>
      <c r="E797" s="260" t="s">
        <v>20</v>
      </c>
      <c r="F797" s="260">
        <v>1</v>
      </c>
      <c r="G797" s="260" t="s">
        <v>3820</v>
      </c>
      <c r="H797" s="261" t="str">
        <f>'Dry_Litterbag Placem_Collection'!C138</f>
        <v>Wet_P1_T8</v>
      </c>
      <c r="I797" s="270" t="s">
        <v>3630</v>
      </c>
      <c r="J797" s="271" t="s">
        <v>298</v>
      </c>
      <c r="K797" s="260" t="str">
        <f>IF(ISBLANK('Dry_Litterbag Placem_Collection'!M138),"","R"&amp;""&amp;'Dry_Litterbag Placem_Collection'!M138)</f>
        <v>R214</v>
      </c>
      <c r="L797" s="264">
        <f>IFERROR(INDEX('Green_rooibos initial weight'!$C$5:$C$2000,MATCH(K797, 'Green_rooibos initial weight'!$A$5:$A$2000,0)),"")</f>
        <v>2.1960000000000002</v>
      </c>
      <c r="M797" s="264">
        <f>IFERROR(L797-(TBIcalc!$Q$9+TBIcalc!$Q$10),"")</f>
        <v>1.9462000000000002</v>
      </c>
      <c r="N797" s="385">
        <f>AVERAGE(Ashed_controlls!$K$12:$K$14)</f>
        <v>2.2816647271287041</v>
      </c>
      <c r="O797" s="264">
        <f t="shared" si="61"/>
        <v>1.9017942410806212</v>
      </c>
      <c r="P797" s="264">
        <f>IFERROR(INDEX('Both teabags AfterDry'!$D$2:$D$2000,MATCH(K797,'Both teabags AfterDry'!$A$2:$A$2000,0)),"")</f>
        <v>1.7265999999999999</v>
      </c>
      <c r="Q797" s="264">
        <f>IFERROR(IF(P797&gt;0,P797-(TBIcalc!$Q$9),""),"")</f>
        <v>1.5759999999999998</v>
      </c>
      <c r="R797" s="275">
        <f>IFERROR(INDEX('Ashed teabags dry'!$K$2:$K$2000,MATCH(K797,'Ashed teabags dry'!$A$2:$A$2000,0)),"")</f>
        <v>9.4517958412093144</v>
      </c>
      <c r="S797" s="275">
        <f t="shared" si="62"/>
        <v>1.427039697542541</v>
      </c>
      <c r="T797" s="265">
        <f>IF('Dry_Litterbag Placem_Collection'!E138="","",'Dry_Litterbag Placem_Collection'!E138)</f>
        <v>42939</v>
      </c>
      <c r="U797" s="265">
        <f>IF('Dry_Litterbag Placem_Collection'!G138="","",'Dry_Litterbag Placem_Collection'!G138)</f>
        <v>43008</v>
      </c>
      <c r="V797" s="266">
        <f t="shared" si="60"/>
        <v>69</v>
      </c>
      <c r="W797" s="264">
        <f t="shared" si="63"/>
        <v>0.37020000000000031</v>
      </c>
      <c r="X797" s="264">
        <f t="shared" si="64"/>
        <v>0.47475454353808022</v>
      </c>
      <c r="Y797" s="268">
        <f>IFERROR(INDEX(Rainfall_Dry!$O$2:$O$217,MATCH(B797, Rainfall_Dry!$A$2:$A$217,0)),"")</f>
        <v>136.27214243</v>
      </c>
      <c r="Z797" s="257">
        <v>31.214836424255054</v>
      </c>
      <c r="AA797" s="257">
        <v>11.377370285476141</v>
      </c>
      <c r="AB797" s="257">
        <v>57.407793290268799</v>
      </c>
      <c r="AC797" s="258" t="s">
        <v>2654</v>
      </c>
      <c r="AD797" s="257">
        <v>8.7337604731394798</v>
      </c>
      <c r="AE797">
        <f>IF('WetLitterbags placem_collection'!AB138="","",'WetLitterbags placem_collection'!AB138)</f>
        <v>2.2999999999999998</v>
      </c>
      <c r="AF797">
        <f>IF('WetLitterbags placem_collection'!Z138="","",'WetLitterbags placem_collection'!Z138)</f>
        <v>16.3</v>
      </c>
      <c r="AG797" s="243" t="str">
        <f>IF('WetLitterbags placem_collection'!AA138="","",'WetLitterbags placem_collection'!AA138)</f>
        <v>G</v>
      </c>
      <c r="AH797">
        <f>IF('WetLitterbags placem_collection'!AC138="","",'WetLitterbags placem_collection'!AC138)</f>
        <v>1</v>
      </c>
      <c r="AI797">
        <f>IFERROR(AVERAGE('Dry_Litterbag Placem_Collection'!O138,'Dry_Litterbag Placem_Collection'!R138),"")</f>
        <v>5.9</v>
      </c>
      <c r="AJ797" s="268">
        <f>IFERROR(AVERAGE('Dry_Litterbag Placem_Collection'!N138,'Dry_Litterbag Placem_Collection'!Q138),"")</f>
        <v>29.9</v>
      </c>
      <c r="AK797" s="267">
        <f>INDEX(Coordinates!$B$2:$B$197,MATCH(H797,Coordinates!$J$2:$J$197,0))</f>
        <v>-2.3502159960000002</v>
      </c>
      <c r="AL797" s="267">
        <f>INDEX(Coordinates!$C$2:$C$197,MATCH(H797,Coordinates!$J$2:$J$197,0))</f>
        <v>34.049822020000001</v>
      </c>
      <c r="AM797" s="267" t="str">
        <f>IF(ISNUMBER(SEARCH("C", 'Dry_Litterbag Placem_Collection'!V138)),"YES","NO")</f>
        <v>NO</v>
      </c>
      <c r="AN797" s="267" t="str">
        <f>IF(ISNUMBER(SEARCH("H", 'Dry_Litterbag Placem_Collection'!V138)),"YES","NO")</f>
        <v>NO</v>
      </c>
      <c r="AO797" s="267" t="str">
        <f>IF(ISNUMBER(SEARCH("R", 'Dry_Litterbag Placem_Collection'!V138)),"YES","NO")</f>
        <v>NO</v>
      </c>
    </row>
    <row r="798" spans="1:41" ht="15" customHeight="1">
      <c r="A798" s="259" t="s">
        <v>2643</v>
      </c>
      <c r="B798" s="260">
        <f>'Dry_Litterbag Placem_Collection'!A139</f>
        <v>137</v>
      </c>
      <c r="C798" s="260" t="str">
        <f>'Dry_Litterbag Placem_Collection'!B139</f>
        <v xml:space="preserve">Mwantimba
</v>
      </c>
      <c r="D798" s="260" t="s">
        <v>2454</v>
      </c>
      <c r="E798" s="260" t="s">
        <v>20</v>
      </c>
      <c r="F798" s="260">
        <v>2</v>
      </c>
      <c r="G798" s="260" t="s">
        <v>3822</v>
      </c>
      <c r="H798" s="261" t="str">
        <f>'Dry_Litterbag Placem_Collection'!C139</f>
        <v>Wet_P2_T1</v>
      </c>
      <c r="I798" s="270" t="s">
        <v>3630</v>
      </c>
      <c r="J798" s="271" t="s">
        <v>298</v>
      </c>
      <c r="K798" s="260" t="str">
        <f>IF(ISBLANK('Dry_Litterbag Placem_Collection'!M139),"","R"&amp;""&amp;'Dry_Litterbag Placem_Collection'!M139)</f>
        <v>R628</v>
      </c>
      <c r="L798" s="264">
        <f>IFERROR(INDEX('Green_rooibos initial weight'!$C$5:$C$2000,MATCH(K798, 'Green_rooibos initial weight'!$A$5:$A$2000,0)),"")</f>
        <v>2.0110000000000001</v>
      </c>
      <c r="M798" s="264">
        <f>IFERROR(L798-(TBIcalc!$Q$9+TBIcalc!$Q$10),"")</f>
        <v>1.7612000000000001</v>
      </c>
      <c r="N798" s="385">
        <f>AVERAGE(Ashed_controlls!$K$12:$K$14)</f>
        <v>2.2816647271287041</v>
      </c>
      <c r="O798" s="264">
        <f t="shared" si="61"/>
        <v>1.7210153208258094</v>
      </c>
      <c r="P798" s="264">
        <f>IFERROR(INDEX('Both teabags AfterDry'!$D$2:$D$2000,MATCH(K798,'Both teabags AfterDry'!$A$2:$A$2000,0)),"")</f>
        <v>1.7652000000000001</v>
      </c>
      <c r="Q798" s="264">
        <f>IFERROR(IF(P798&gt;0,P798-(TBIcalc!$Q$9),""),"")</f>
        <v>1.6146</v>
      </c>
      <c r="R798" s="275">
        <f>IFERROR(INDEX('Ashed teabags dry'!$K$2:$K$2000,MATCH(K798,'Ashed teabags dry'!$A$2:$A$2000,0)),"")</f>
        <v>9.0322580645165651</v>
      </c>
      <c r="S798" s="275">
        <f t="shared" si="62"/>
        <v>1.4687651612903156</v>
      </c>
      <c r="T798" s="265">
        <f>IF('Dry_Litterbag Placem_Collection'!E139="","",'Dry_Litterbag Placem_Collection'!E139)</f>
        <v>42939</v>
      </c>
      <c r="U798" s="265">
        <f>IF('Dry_Litterbag Placem_Collection'!G139="","",'Dry_Litterbag Placem_Collection'!G139)</f>
        <v>43008</v>
      </c>
      <c r="V798" s="266">
        <f t="shared" si="60"/>
        <v>69</v>
      </c>
      <c r="W798" s="264">
        <f t="shared" si="63"/>
        <v>0.14660000000000006</v>
      </c>
      <c r="X798" s="264">
        <f t="shared" si="64"/>
        <v>0.25225015953549379</v>
      </c>
      <c r="Y798" s="268">
        <f>IFERROR(INDEX(Rainfall_Dry!$O$2:$O$217,MATCH(B798, Rainfall_Dry!$A$2:$A$217,0)),"")</f>
        <v>136.27214243</v>
      </c>
      <c r="Z798" s="257">
        <v>33.96</v>
      </c>
      <c r="AA798" s="257">
        <v>8.9200000000000017</v>
      </c>
      <c r="AB798" s="257">
        <v>57.12</v>
      </c>
      <c r="AC798" s="258" t="s">
        <v>2654</v>
      </c>
      <c r="AD798" s="257">
        <v>2.072055199605717</v>
      </c>
      <c r="AE798">
        <f>IF('WetLitterbags placem_collection'!AB139="","",'WetLitterbags placem_collection'!AB139)</f>
        <v>1.2</v>
      </c>
      <c r="AF798">
        <f>IF('WetLitterbags placem_collection'!Z139="","",'WetLitterbags placem_collection'!Z139)</f>
        <v>32.4</v>
      </c>
      <c r="AG798" s="243" t="str">
        <f>IF('WetLitterbags placem_collection'!AA139="","",'WetLitterbags placem_collection'!AA139)</f>
        <v>G</v>
      </c>
      <c r="AH798">
        <f>IF('WetLitterbags placem_collection'!AC139="","",'WetLitterbags placem_collection'!AC139)</f>
        <v>1</v>
      </c>
      <c r="AI798">
        <f>IFERROR(AVERAGE('Dry_Litterbag Placem_Collection'!O139,'Dry_Litterbag Placem_Collection'!R139),"")</f>
        <v>8.9</v>
      </c>
      <c r="AJ798" s="268">
        <f>IFERROR(AVERAGE('Dry_Litterbag Placem_Collection'!N139,'Dry_Litterbag Placem_Collection'!Q139),"")</f>
        <v>27.55</v>
      </c>
      <c r="AK798" s="267">
        <f>INDEX(Coordinates!$B$2:$B$197,MATCH(H798,Coordinates!$J$2:$J$197,0))</f>
        <v>-2.348596025</v>
      </c>
      <c r="AL798" s="267">
        <f>INDEX(Coordinates!$C$2:$C$197,MATCH(H798,Coordinates!$J$2:$J$197,0))</f>
        <v>34.050070959999999</v>
      </c>
      <c r="AM798" s="267" t="str">
        <f>IF(ISNUMBER(SEARCH("C", 'Dry_Litterbag Placem_Collection'!V139)),"YES","NO")</f>
        <v>NO</v>
      </c>
      <c r="AN798" s="267" t="str">
        <f>IF(ISNUMBER(SEARCH("H", 'Dry_Litterbag Placem_Collection'!V139)),"YES","NO")</f>
        <v>NO</v>
      </c>
      <c r="AO798" s="267" t="str">
        <f>IF(ISNUMBER(SEARCH("R", 'Dry_Litterbag Placem_Collection'!V139)),"YES","NO")</f>
        <v>NO</v>
      </c>
    </row>
    <row r="799" spans="1:41" ht="15" customHeight="1">
      <c r="A799" s="259" t="s">
        <v>2643</v>
      </c>
      <c r="B799" s="260">
        <f>'Dry_Litterbag Placem_Collection'!A140</f>
        <v>138</v>
      </c>
      <c r="C799" s="260" t="str">
        <f>'Dry_Litterbag Placem_Collection'!B140</f>
        <v xml:space="preserve">Mwantimba
</v>
      </c>
      <c r="D799" s="260" t="s">
        <v>2454</v>
      </c>
      <c r="E799" s="260" t="s">
        <v>20</v>
      </c>
      <c r="F799" s="260">
        <v>2</v>
      </c>
      <c r="G799" s="260" t="s">
        <v>3822</v>
      </c>
      <c r="H799" s="261" t="str">
        <f>'Dry_Litterbag Placem_Collection'!C140</f>
        <v>Wet_P2_T2</v>
      </c>
      <c r="I799" s="270" t="s">
        <v>3630</v>
      </c>
      <c r="J799" s="271" t="s">
        <v>298</v>
      </c>
      <c r="K799" s="260" t="str">
        <f>IF(ISBLANK('Dry_Litterbag Placem_Collection'!M140),"","R"&amp;""&amp;'Dry_Litterbag Placem_Collection'!M140)</f>
        <v>R198</v>
      </c>
      <c r="L799" s="264">
        <f>IFERROR(INDEX('Green_rooibos initial weight'!$C$5:$C$2000,MATCH(K799, 'Green_rooibos initial weight'!$A$5:$A$2000,0)),"")</f>
        <v>2.1970000000000001</v>
      </c>
      <c r="M799" s="264">
        <f>IFERROR(L799-(TBIcalc!$Q$9+TBIcalc!$Q$10),"")</f>
        <v>1.9472</v>
      </c>
      <c r="N799" s="385">
        <f>AVERAGE(Ashed_controlls!$K$12:$K$14)</f>
        <v>2.2816647271287041</v>
      </c>
      <c r="O799" s="264">
        <f t="shared" si="61"/>
        <v>1.90277142443335</v>
      </c>
      <c r="P799" s="264">
        <f>IFERROR(INDEX('Both teabags AfterDry'!$D$2:$D$2000,MATCH(K799,'Both teabags AfterDry'!$A$2:$A$2000,0)),"")</f>
        <v>1.7765</v>
      </c>
      <c r="Q799" s="264">
        <f>IFERROR(IF(P799&gt;0,P799-(TBIcalc!$Q$9),""),"")</f>
        <v>1.6258999999999999</v>
      </c>
      <c r="R799" s="275">
        <f>IFERROR(INDEX('Ashed teabags dry'!$K$2:$K$2000,MATCH(K799,'Ashed teabags dry'!$A$2:$A$2000,0)),"")</f>
        <v>5.3694581280797298</v>
      </c>
      <c r="S799" s="275">
        <f t="shared" si="62"/>
        <v>1.5385979802955516</v>
      </c>
      <c r="T799" s="265">
        <f>IF('Dry_Litterbag Placem_Collection'!E140="","",'Dry_Litterbag Placem_Collection'!E140)</f>
        <v>42939</v>
      </c>
      <c r="U799" s="265">
        <f>IF('Dry_Litterbag Placem_Collection'!G140="","",'Dry_Litterbag Placem_Collection'!G140)</f>
        <v>43008</v>
      </c>
      <c r="V799" s="266">
        <f t="shared" si="60"/>
        <v>69</v>
      </c>
      <c r="W799" s="264">
        <f t="shared" si="63"/>
        <v>0.32130000000000014</v>
      </c>
      <c r="X799" s="264">
        <f t="shared" si="64"/>
        <v>0.3641734441377984</v>
      </c>
      <c r="Y799" s="268">
        <f>IFERROR(INDEX(Rainfall_Dry!$O$2:$O$217,MATCH(B799, Rainfall_Dry!$A$2:$A$217,0)),"")</f>
        <v>136.27214243</v>
      </c>
      <c r="Z799" s="257">
        <v>33.96</v>
      </c>
      <c r="AA799" s="257">
        <v>8.9200000000000017</v>
      </c>
      <c r="AB799" s="257">
        <v>57.12</v>
      </c>
      <c r="AC799" s="258" t="s">
        <v>2654</v>
      </c>
      <c r="AD799" s="257">
        <v>3.0720551996057202</v>
      </c>
      <c r="AE799">
        <f>IF('WetLitterbags placem_collection'!AB140="","",'WetLitterbags placem_collection'!AB140)</f>
        <v>2.8</v>
      </c>
      <c r="AF799">
        <f>IF('WetLitterbags placem_collection'!Z140="","",'WetLitterbags placem_collection'!Z140)</f>
        <v>26.4</v>
      </c>
      <c r="AG799" s="243" t="str">
        <f>IF('WetLitterbags placem_collection'!AA140="","",'WetLitterbags placem_collection'!AA140)</f>
        <v>G</v>
      </c>
      <c r="AH799">
        <f>IF('WetLitterbags placem_collection'!AC140="","",'WetLitterbags placem_collection'!AC140)</f>
        <v>1</v>
      </c>
      <c r="AI799">
        <f>IFERROR(AVERAGE('Dry_Litterbag Placem_Collection'!O140,'Dry_Litterbag Placem_Collection'!R140),"")</f>
        <v>7.05</v>
      </c>
      <c r="AJ799" s="268">
        <f>IFERROR(AVERAGE('Dry_Litterbag Placem_Collection'!N140,'Dry_Litterbag Placem_Collection'!Q140),"")</f>
        <v>28.799999999999997</v>
      </c>
      <c r="AK799" s="267">
        <f>INDEX(Coordinates!$B$2:$B$197,MATCH(H799,Coordinates!$J$2:$J$197,0))</f>
        <v>-2.3485449790000001</v>
      </c>
      <c r="AL799" s="267">
        <f>INDEX(Coordinates!$C$2:$C$197,MATCH(H799,Coordinates!$J$2:$J$197,0))</f>
        <v>34.050146980000001</v>
      </c>
      <c r="AM799" s="267" t="str">
        <f>IF(ISNUMBER(SEARCH("C", 'Dry_Litterbag Placem_Collection'!V140)),"YES","NO")</f>
        <v>NO</v>
      </c>
      <c r="AN799" s="267" t="str">
        <f>IF(ISNUMBER(SEARCH("H", 'Dry_Litterbag Placem_Collection'!V140)),"YES","NO")</f>
        <v>NO</v>
      </c>
      <c r="AO799" s="267" t="str">
        <f>IF(ISNUMBER(SEARCH("R", 'Dry_Litterbag Placem_Collection'!V140)),"YES","NO")</f>
        <v>NO</v>
      </c>
    </row>
    <row r="800" spans="1:41" ht="15" customHeight="1">
      <c r="A800" s="259" t="s">
        <v>2643</v>
      </c>
      <c r="B800" s="260">
        <f>'Dry_Litterbag Placem_Collection'!A141</f>
        <v>139</v>
      </c>
      <c r="C800" s="260" t="str">
        <f>'Dry_Litterbag Placem_Collection'!B141</f>
        <v xml:space="preserve">Mwantimba
</v>
      </c>
      <c r="D800" s="260" t="s">
        <v>2454</v>
      </c>
      <c r="E800" s="260" t="s">
        <v>20</v>
      </c>
      <c r="F800" s="260">
        <v>2</v>
      </c>
      <c r="G800" s="260" t="s">
        <v>3822</v>
      </c>
      <c r="H800" s="261" t="str">
        <f>'Dry_Litterbag Placem_Collection'!C141</f>
        <v>Wet_P2_T3</v>
      </c>
      <c r="I800" s="270" t="s">
        <v>3630</v>
      </c>
      <c r="J800" s="271" t="s">
        <v>298</v>
      </c>
      <c r="K800" s="260" t="str">
        <f>IF(ISBLANK('Dry_Litterbag Placem_Collection'!M141),"","R"&amp;""&amp;'Dry_Litterbag Placem_Collection'!M141)</f>
        <v>R706</v>
      </c>
      <c r="L800" s="264">
        <f>IFERROR(INDEX('Green_rooibos initial weight'!$C$5:$C$2000,MATCH(K800, 'Green_rooibos initial weight'!$A$5:$A$2000,0)),"")</f>
        <v>2.1480000000000001</v>
      </c>
      <c r="M800" s="264">
        <f>IFERROR(L800-(TBIcalc!$Q$9+TBIcalc!$Q$10),"")</f>
        <v>1.8982000000000001</v>
      </c>
      <c r="N800" s="385">
        <f>AVERAGE(Ashed_controlls!$K$12:$K$14)</f>
        <v>2.2816647271287041</v>
      </c>
      <c r="O800" s="264">
        <f t="shared" si="61"/>
        <v>1.854889440149643</v>
      </c>
      <c r="P800" s="264">
        <f>IFERROR(INDEX('Both teabags AfterDry'!$D$2:$D$2000,MATCH(K800,'Both teabags AfterDry'!$A$2:$A$2000,0)),"")</f>
        <v>1.5846</v>
      </c>
      <c r="Q800" s="264">
        <f>IFERROR(IF(P800&gt;0,P800-(TBIcalc!$Q$9),""),"")</f>
        <v>1.4339999999999999</v>
      </c>
      <c r="R800" s="275">
        <f>IFERROR(INDEX('Ashed teabags dry'!$K$2:$K$2000,MATCH(K800,'Ashed teabags dry'!$A$2:$A$2000,0)),"")</f>
        <v>7.9318734793180647</v>
      </c>
      <c r="S800" s="275">
        <f t="shared" si="62"/>
        <v>1.3202569343065789</v>
      </c>
      <c r="T800" s="265">
        <f>IF('Dry_Litterbag Placem_Collection'!E141="","",'Dry_Litterbag Placem_Collection'!E141)</f>
        <v>42939</v>
      </c>
      <c r="U800" s="265">
        <f>IF('Dry_Litterbag Placem_Collection'!G141="","",'Dry_Litterbag Placem_Collection'!G141)</f>
        <v>43008</v>
      </c>
      <c r="V800" s="266">
        <f t="shared" si="60"/>
        <v>69</v>
      </c>
      <c r="W800" s="264">
        <f t="shared" si="63"/>
        <v>0.46420000000000017</v>
      </c>
      <c r="X800" s="264">
        <f t="shared" si="64"/>
        <v>0.5346325058430641</v>
      </c>
      <c r="Y800" s="268">
        <f>IFERROR(INDEX(Rainfall_Dry!$O$2:$O$217,MATCH(B800, Rainfall_Dry!$A$2:$A$217,0)),"")</f>
        <v>136.27214243</v>
      </c>
      <c r="Z800" s="257">
        <v>33.96</v>
      </c>
      <c r="AA800" s="257">
        <v>8.9200000000000017</v>
      </c>
      <c r="AB800" s="257">
        <v>57.12</v>
      </c>
      <c r="AC800" s="258" t="s">
        <v>2654</v>
      </c>
      <c r="AD800" s="257">
        <v>4.0720551996057202</v>
      </c>
      <c r="AE800">
        <f>IF('WetLitterbags placem_collection'!AB141="","",'WetLitterbags placem_collection'!AB141)</f>
        <v>5.7</v>
      </c>
      <c r="AF800">
        <f>IF('WetLitterbags placem_collection'!Z141="","",'WetLitterbags placem_collection'!Z141)</f>
        <v>19.399999999999999</v>
      </c>
      <c r="AG800" s="243" t="str">
        <f>IF('WetLitterbags placem_collection'!AA141="","",'WetLitterbags placem_collection'!AA141)</f>
        <v>G</v>
      </c>
      <c r="AH800">
        <f>IF('WetLitterbags placem_collection'!AC141="","",'WetLitterbags placem_collection'!AC141)</f>
        <v>1</v>
      </c>
      <c r="AI800">
        <f>IFERROR(AVERAGE('Dry_Litterbag Placem_Collection'!O141,'Dry_Litterbag Placem_Collection'!R141),"")</f>
        <v>11.200000000000001</v>
      </c>
      <c r="AJ800" s="268">
        <f>IFERROR(AVERAGE('Dry_Litterbag Placem_Collection'!N141,'Dry_Litterbag Placem_Collection'!Q141),"")</f>
        <v>28.15</v>
      </c>
      <c r="AK800" s="267">
        <f>INDEX(Coordinates!$B$2:$B$197,MATCH(H800,Coordinates!$J$2:$J$197,0))</f>
        <v>-2.3487209990000002</v>
      </c>
      <c r="AL800" s="267">
        <f>INDEX(Coordinates!$C$2:$C$197,MATCH(H800,Coordinates!$J$2:$J$197,0))</f>
        <v>34.050128039999997</v>
      </c>
      <c r="AM800" s="267" t="str">
        <f>IF(ISNUMBER(SEARCH("C", 'Dry_Litterbag Placem_Collection'!V141)),"YES","NO")</f>
        <v>NO</v>
      </c>
      <c r="AN800" s="267" t="str">
        <f>IF(ISNUMBER(SEARCH("H", 'Dry_Litterbag Placem_Collection'!V141)),"YES","NO")</f>
        <v>NO</v>
      </c>
      <c r="AO800" s="267" t="str">
        <f>IF(ISNUMBER(SEARCH("R", 'Dry_Litterbag Placem_Collection'!V141)),"YES","NO")</f>
        <v>NO</v>
      </c>
    </row>
    <row r="801" spans="1:41" ht="15" customHeight="1">
      <c r="A801" s="259" t="s">
        <v>2643</v>
      </c>
      <c r="B801" s="260">
        <f>'Dry_Litterbag Placem_Collection'!A142</f>
        <v>140</v>
      </c>
      <c r="C801" s="260" t="str">
        <f>'Dry_Litterbag Placem_Collection'!B142</f>
        <v xml:space="preserve">Mwantimba
</v>
      </c>
      <c r="D801" s="260" t="s">
        <v>2454</v>
      </c>
      <c r="E801" s="260" t="s">
        <v>20</v>
      </c>
      <c r="F801" s="260">
        <v>2</v>
      </c>
      <c r="G801" s="260" t="s">
        <v>3822</v>
      </c>
      <c r="H801" s="261" t="str">
        <f>'Dry_Litterbag Placem_Collection'!C142</f>
        <v>Wet_P2_T4</v>
      </c>
      <c r="I801" s="270" t="s">
        <v>3630</v>
      </c>
      <c r="J801" s="271" t="s">
        <v>298</v>
      </c>
      <c r="K801" s="260" t="str">
        <f>IF(ISBLANK('Dry_Litterbag Placem_Collection'!M142),"","R"&amp;""&amp;'Dry_Litterbag Placem_Collection'!M142)</f>
        <v>R710</v>
      </c>
      <c r="L801" s="264">
        <f>IFERROR(INDEX('Green_rooibos initial weight'!$C$5:$C$2000,MATCH(K801, 'Green_rooibos initial weight'!$A$5:$A$2000,0)),"")</f>
        <v>2.1070000000000002</v>
      </c>
      <c r="M801" s="264">
        <f>IFERROR(L801-(TBIcalc!$Q$9+TBIcalc!$Q$10),"")</f>
        <v>1.8572000000000002</v>
      </c>
      <c r="N801" s="385">
        <f>AVERAGE(Ashed_controlls!$K$12:$K$14)</f>
        <v>2.2816647271287041</v>
      </c>
      <c r="O801" s="264">
        <f t="shared" si="61"/>
        <v>1.814824922687766</v>
      </c>
      <c r="P801" s="264">
        <f>IFERROR(INDEX('Both teabags AfterDry'!$D$2:$D$2000,MATCH(K801,'Both teabags AfterDry'!$A$2:$A$2000,0)),"")</f>
        <v>1.7403999999999999</v>
      </c>
      <c r="Q801" s="264">
        <f>IFERROR(IF(P801&gt;0,P801-(TBIcalc!$Q$9),""),"")</f>
        <v>1.5897999999999999</v>
      </c>
      <c r="R801" s="275">
        <f>IFERROR(INDEX('Ashed teabags dry'!$K$2:$K$2000,MATCH(K801,'Ashed teabags dry'!$A$2:$A$2000,0)),"")</f>
        <v>14.236453201970816</v>
      </c>
      <c r="S801" s="275">
        <f t="shared" si="62"/>
        <v>1.3634688669950679</v>
      </c>
      <c r="T801" s="265">
        <f>IF('Dry_Litterbag Placem_Collection'!E142="","",'Dry_Litterbag Placem_Collection'!E142)</f>
        <v>42939</v>
      </c>
      <c r="U801" s="265">
        <f>IF('Dry_Litterbag Placem_Collection'!G142="","",'Dry_Litterbag Placem_Collection'!G142)</f>
        <v>43008</v>
      </c>
      <c r="V801" s="266">
        <f t="shared" si="60"/>
        <v>69</v>
      </c>
      <c r="W801" s="264">
        <f t="shared" si="63"/>
        <v>0.2674000000000003</v>
      </c>
      <c r="X801" s="264">
        <f t="shared" si="64"/>
        <v>0.4513560556926981</v>
      </c>
      <c r="Y801" s="268">
        <f>IFERROR(INDEX(Rainfall_Dry!$O$2:$O$217,MATCH(B801, Rainfall_Dry!$A$2:$A$217,0)),"")</f>
        <v>136.27214243</v>
      </c>
      <c r="Z801" s="257">
        <v>33.96</v>
      </c>
      <c r="AA801" s="257">
        <v>8.9200000000000017</v>
      </c>
      <c r="AB801" s="257">
        <v>57.12</v>
      </c>
      <c r="AC801" s="258" t="s">
        <v>2654</v>
      </c>
      <c r="AD801" s="257">
        <v>5.0720551996057202</v>
      </c>
      <c r="AE801">
        <f>IF('WetLitterbags placem_collection'!AB142="","",'WetLitterbags placem_collection'!AB142)</f>
        <v>1.4</v>
      </c>
      <c r="AF801">
        <f>IF('WetLitterbags placem_collection'!Z142="","",'WetLitterbags placem_collection'!Z142)</f>
        <v>33.4</v>
      </c>
      <c r="AG801" s="243" t="str">
        <f>IF('WetLitterbags placem_collection'!AA142="","",'WetLitterbags placem_collection'!AA142)</f>
        <v>G</v>
      </c>
      <c r="AH801">
        <f>IF('WetLitterbags placem_collection'!AC142="","",'WetLitterbags placem_collection'!AC142)</f>
        <v>1</v>
      </c>
      <c r="AI801">
        <f>IFERROR(AVERAGE('Dry_Litterbag Placem_Collection'!O142,'Dry_Litterbag Placem_Collection'!R142),"")</f>
        <v>7.3000000000000007</v>
      </c>
      <c r="AJ801" s="268">
        <f>IFERROR(AVERAGE('Dry_Litterbag Placem_Collection'!N142,'Dry_Litterbag Placem_Collection'!Q142),"")</f>
        <v>28</v>
      </c>
      <c r="AK801" s="267">
        <f>INDEX(Coordinates!$B$2:$B$197,MATCH(H801,Coordinates!$J$2:$J$197,0))</f>
        <v>-2.3486250270000002</v>
      </c>
      <c r="AL801" s="267">
        <f>INDEX(Coordinates!$C$2:$C$197,MATCH(H801,Coordinates!$J$2:$J$197,0))</f>
        <v>34.050070959999999</v>
      </c>
      <c r="AM801" s="267" t="str">
        <f>IF(ISNUMBER(SEARCH("C", 'Dry_Litterbag Placem_Collection'!V142)),"YES","NO")</f>
        <v>NO</v>
      </c>
      <c r="AN801" s="267" t="str">
        <f>IF(ISNUMBER(SEARCH("H", 'Dry_Litterbag Placem_Collection'!V142)),"YES","NO")</f>
        <v>NO</v>
      </c>
      <c r="AO801" s="267" t="str">
        <f>IF(ISNUMBER(SEARCH("R", 'Dry_Litterbag Placem_Collection'!V142)),"YES","NO")</f>
        <v>NO</v>
      </c>
    </row>
    <row r="802" spans="1:41" ht="15" customHeight="1">
      <c r="A802" s="259" t="s">
        <v>2643</v>
      </c>
      <c r="B802" s="260">
        <f>'Dry_Litterbag Placem_Collection'!A143</f>
        <v>141</v>
      </c>
      <c r="C802" s="260" t="str">
        <f>'Dry_Litterbag Placem_Collection'!B143</f>
        <v xml:space="preserve">Mwantimba
</v>
      </c>
      <c r="D802" s="260" t="s">
        <v>2454</v>
      </c>
      <c r="E802" s="260" t="s">
        <v>20</v>
      </c>
      <c r="F802" s="260">
        <v>2</v>
      </c>
      <c r="G802" s="260" t="s">
        <v>3822</v>
      </c>
      <c r="H802" s="261" t="str">
        <f>'Dry_Litterbag Placem_Collection'!C143</f>
        <v>Wet_P2_T5</v>
      </c>
      <c r="I802" s="270" t="s">
        <v>3630</v>
      </c>
      <c r="J802" s="271" t="s">
        <v>298</v>
      </c>
      <c r="K802" s="260" t="str">
        <f>IF(ISBLANK('Dry_Litterbag Placem_Collection'!M143),"","R"&amp;""&amp;'Dry_Litterbag Placem_Collection'!M143)</f>
        <v/>
      </c>
      <c r="L802" s="264" t="str">
        <f>IFERROR(INDEX('Green_rooibos initial weight'!$C$5:$C$2000,MATCH(K802, 'Green_rooibos initial weight'!$A$5:$A$2000,0)),"")</f>
        <v/>
      </c>
      <c r="M802" s="264" t="str">
        <f>IFERROR(L802-(TBIcalc!$Q$9+TBIcalc!$Q$10),"")</f>
        <v/>
      </c>
      <c r="N802" s="385">
        <f>AVERAGE(Ashed_controlls!$K$12:$K$14)</f>
        <v>2.2816647271287041</v>
      </c>
      <c r="O802" s="264" t="str">
        <f t="shared" si="61"/>
        <v/>
      </c>
      <c r="P802" s="264" t="str">
        <f>IFERROR(INDEX('Both teabags AfterDry'!$D$2:$D$2000,MATCH(K802,'Both teabags AfterDry'!$A$2:$A$2000,0)),"")</f>
        <v/>
      </c>
      <c r="Q802" s="264" t="str">
        <f>IFERROR(IF(P802&gt;0,P802-(TBIcalc!$Q$9),""),"")</f>
        <v/>
      </c>
      <c r="R802" s="275" t="str">
        <f>IFERROR(INDEX('Ashed teabags dry'!$K$2:$K$2000,MATCH(K802,'Ashed teabags dry'!$A$2:$A$2000,0)),"")</f>
        <v/>
      </c>
      <c r="S802" s="275" t="str">
        <f t="shared" si="62"/>
        <v/>
      </c>
      <c r="T802" s="265" t="str">
        <f>IF('Dry_Litterbag Placem_Collection'!E143="","",'Dry_Litterbag Placem_Collection'!E143)</f>
        <v/>
      </c>
      <c r="U802" s="265" t="str">
        <f>IF('Dry_Litterbag Placem_Collection'!G143="","",'Dry_Litterbag Placem_Collection'!G143)</f>
        <v/>
      </c>
      <c r="V802" s="266" t="str">
        <f t="shared" si="60"/>
        <v/>
      </c>
      <c r="W802" s="264" t="str">
        <f t="shared" si="63"/>
        <v/>
      </c>
      <c r="X802" s="264" t="str">
        <f t="shared" si="64"/>
        <v/>
      </c>
      <c r="Y802" s="268" t="str">
        <f>IFERROR(INDEX(Rainfall_Dry!$O$2:$O$217,MATCH(B802, Rainfall_Dry!$A$2:$A$217,0)),"")</f>
        <v/>
      </c>
      <c r="Z802" s="257">
        <v>33.96</v>
      </c>
      <c r="AA802" s="257">
        <v>8.9200000000000017</v>
      </c>
      <c r="AB802" s="257">
        <v>57.12</v>
      </c>
      <c r="AC802" s="258" t="s">
        <v>2654</v>
      </c>
      <c r="AD802" s="257">
        <v>6.0720551996057202</v>
      </c>
      <c r="AE802">
        <f>IF('WetLitterbags placem_collection'!AB143="","",'WetLitterbags placem_collection'!AB143)</f>
        <v>1.4</v>
      </c>
      <c r="AF802">
        <f>IF('WetLitterbags placem_collection'!Z143="","",'WetLitterbags placem_collection'!Z143)</f>
        <v>28.4</v>
      </c>
      <c r="AG802" s="243" t="str">
        <f>IF('WetLitterbags placem_collection'!AA143="","",'WetLitterbags placem_collection'!AA143)</f>
        <v>G</v>
      </c>
      <c r="AH802">
        <f>IF('WetLitterbags placem_collection'!AC143="","",'WetLitterbags placem_collection'!AC143)</f>
        <v>1</v>
      </c>
      <c r="AI802" t="str">
        <f>IFERROR(AVERAGE('Dry_Litterbag Placem_Collection'!O143,'Dry_Litterbag Placem_Collection'!R143),"")</f>
        <v/>
      </c>
      <c r="AJ802" s="268" t="str">
        <f>IFERROR(AVERAGE('Dry_Litterbag Placem_Collection'!N143,'Dry_Litterbag Placem_Collection'!Q143),"")</f>
        <v/>
      </c>
      <c r="AK802" s="267">
        <f>INDEX(Coordinates!$B$2:$B$197,MATCH(H802,Coordinates!$J$2:$J$197,0))</f>
        <v>-2.3486060000000002</v>
      </c>
      <c r="AL802" s="267">
        <f>INDEX(Coordinates!$C$2:$C$197,MATCH(H802,Coordinates!$J$2:$J$197,0))</f>
        <v>34.050010020000002</v>
      </c>
      <c r="AM802" s="267" t="str">
        <f>IF(ISNUMBER(SEARCH("C", 'Dry_Litterbag Placem_Collection'!V143)),"YES","NO")</f>
        <v>NO</v>
      </c>
      <c r="AN802" s="267" t="str">
        <f>IF(ISNUMBER(SEARCH("H", 'Dry_Litterbag Placem_Collection'!V143)),"YES","NO")</f>
        <v>NO</v>
      </c>
      <c r="AO802" s="267" t="str">
        <f>IF(ISNUMBER(SEARCH("R", 'Dry_Litterbag Placem_Collection'!V143)),"YES","NO")</f>
        <v>NO</v>
      </c>
    </row>
    <row r="803" spans="1:41" ht="15" customHeight="1">
      <c r="A803" s="259" t="s">
        <v>2643</v>
      </c>
      <c r="B803" s="260">
        <f>'Dry_Litterbag Placem_Collection'!A144</f>
        <v>142</v>
      </c>
      <c r="C803" s="260" t="str">
        <f>'Dry_Litterbag Placem_Collection'!B144</f>
        <v xml:space="preserve">Mwantimba
</v>
      </c>
      <c r="D803" s="260" t="s">
        <v>2454</v>
      </c>
      <c r="E803" s="260" t="s">
        <v>20</v>
      </c>
      <c r="F803" s="260">
        <v>2</v>
      </c>
      <c r="G803" s="260" t="s">
        <v>3822</v>
      </c>
      <c r="H803" s="261" t="str">
        <f>'Dry_Litterbag Placem_Collection'!C144</f>
        <v>Wet_P2_T6</v>
      </c>
      <c r="I803" s="270" t="s">
        <v>3630</v>
      </c>
      <c r="J803" s="271" t="s">
        <v>298</v>
      </c>
      <c r="K803" s="260" t="str">
        <f>IF(ISBLANK('Dry_Litterbag Placem_Collection'!M144),"","R"&amp;""&amp;'Dry_Litterbag Placem_Collection'!M144)</f>
        <v>R626</v>
      </c>
      <c r="L803" s="264">
        <f>IFERROR(INDEX('Green_rooibos initial weight'!$C$5:$C$2000,MATCH(K803, 'Green_rooibos initial weight'!$A$5:$A$2000,0)),"")</f>
        <v>2.0699999999999998</v>
      </c>
      <c r="M803" s="264">
        <f>IFERROR(L803-(TBIcalc!$Q$9+TBIcalc!$Q$10),"")</f>
        <v>1.8201999999999998</v>
      </c>
      <c r="N803" s="385">
        <f>AVERAGE(Ashed_controlls!$K$12:$K$14)</f>
        <v>2.2816647271287041</v>
      </c>
      <c r="O803" s="264">
        <f t="shared" si="61"/>
        <v>1.7786691386368032</v>
      </c>
      <c r="P803" s="264" t="str">
        <f>IFERROR(INDEX('Both teabags AfterDry'!$D$2:$D$2000,MATCH(K803,'Both teabags AfterDry'!$A$2:$A$2000,0)),"")</f>
        <v/>
      </c>
      <c r="Q803" s="264" t="str">
        <f>IFERROR(IF(P803&gt;0,P803-(TBIcalc!$Q$9),""),"")</f>
        <v/>
      </c>
      <c r="R803" s="275" t="str">
        <f>IFERROR(INDEX('Ashed teabags dry'!$K$2:$K$2000,MATCH(K803,'Ashed teabags dry'!$A$2:$A$2000,0)),"")</f>
        <v/>
      </c>
      <c r="S803" s="275" t="str">
        <f t="shared" si="62"/>
        <v/>
      </c>
      <c r="T803" s="265">
        <f>IF('Dry_Litterbag Placem_Collection'!E144="","",'Dry_Litterbag Placem_Collection'!E144)</f>
        <v>42939</v>
      </c>
      <c r="U803" s="265">
        <f>IF('Dry_Litterbag Placem_Collection'!G144="","",'Dry_Litterbag Placem_Collection'!G144)</f>
        <v>43008</v>
      </c>
      <c r="V803" s="266">
        <f t="shared" si="60"/>
        <v>69</v>
      </c>
      <c r="W803" s="264" t="str">
        <f t="shared" si="63"/>
        <v/>
      </c>
      <c r="X803" s="264" t="str">
        <f t="shared" si="64"/>
        <v/>
      </c>
      <c r="Y803" s="268">
        <f>IFERROR(INDEX(Rainfall_Dry!$O$2:$O$217,MATCH(B803, Rainfall_Dry!$A$2:$A$217,0)),"")</f>
        <v>136.27214243</v>
      </c>
      <c r="Z803" s="257">
        <v>33.96</v>
      </c>
      <c r="AA803" s="257">
        <v>8.9200000000000017</v>
      </c>
      <c r="AB803" s="257">
        <v>57.12</v>
      </c>
      <c r="AC803" s="258" t="s">
        <v>2654</v>
      </c>
      <c r="AD803" s="257">
        <v>7.0720551996057202</v>
      </c>
      <c r="AE803">
        <f>IF('WetLitterbags placem_collection'!AB144="","",'WetLitterbags placem_collection'!AB144)</f>
        <v>1.7</v>
      </c>
      <c r="AF803">
        <f>IF('WetLitterbags placem_collection'!Z144="","",'WetLitterbags placem_collection'!Z144)</f>
        <v>33.799999999999997</v>
      </c>
      <c r="AG803" s="243" t="str">
        <f>IF('WetLitterbags placem_collection'!AA144="","",'WetLitterbags placem_collection'!AA144)</f>
        <v>G</v>
      </c>
      <c r="AH803">
        <f>IF('WetLitterbags placem_collection'!AC144="","",'WetLitterbags placem_collection'!AC144)</f>
        <v>1</v>
      </c>
      <c r="AI803">
        <f>IFERROR(AVERAGE('Dry_Litterbag Placem_Collection'!O144,'Dry_Litterbag Placem_Collection'!R144),"")</f>
        <v>8.4499999999999993</v>
      </c>
      <c r="AJ803" s="268">
        <f>IFERROR(AVERAGE('Dry_Litterbag Placem_Collection'!N144,'Dry_Litterbag Placem_Collection'!Q144),"")</f>
        <v>28.4</v>
      </c>
      <c r="AK803" s="267">
        <f>INDEX(Coordinates!$B$2:$B$197,MATCH(H803,Coordinates!$J$2:$J$197,0))</f>
        <v>-2.348618992</v>
      </c>
      <c r="AL803" s="267">
        <f>INDEX(Coordinates!$C$2:$C$197,MATCH(H803,Coordinates!$J$2:$J$197,0))</f>
        <v>34.049996030000003</v>
      </c>
      <c r="AM803" s="267" t="str">
        <f>IF(ISNUMBER(SEARCH("C", 'Dry_Litterbag Placem_Collection'!V144)),"YES","NO")</f>
        <v>NO</v>
      </c>
      <c r="AN803" s="267" t="str">
        <f>IF(ISNUMBER(SEARCH("H", 'Dry_Litterbag Placem_Collection'!V144)),"YES","NO")</f>
        <v>NO</v>
      </c>
      <c r="AO803" s="267" t="str">
        <f>IF(ISNUMBER(SEARCH("R", 'Dry_Litterbag Placem_Collection'!V144)),"YES","NO")</f>
        <v>NO</v>
      </c>
    </row>
    <row r="804" spans="1:41" ht="15" customHeight="1">
      <c r="A804" s="259" t="s">
        <v>2643</v>
      </c>
      <c r="B804" s="260">
        <f>'Dry_Litterbag Placem_Collection'!A145</f>
        <v>143</v>
      </c>
      <c r="C804" s="260" t="str">
        <f>'Dry_Litterbag Placem_Collection'!B145</f>
        <v xml:space="preserve">Mwantimba
</v>
      </c>
      <c r="D804" s="260" t="s">
        <v>2454</v>
      </c>
      <c r="E804" s="260" t="s">
        <v>20</v>
      </c>
      <c r="F804" s="260">
        <v>2</v>
      </c>
      <c r="G804" s="260" t="s">
        <v>3822</v>
      </c>
      <c r="H804" s="261" t="str">
        <f>'Dry_Litterbag Placem_Collection'!C145</f>
        <v>Wet_P2_T7</v>
      </c>
      <c r="I804" s="270" t="s">
        <v>3630</v>
      </c>
      <c r="J804" s="271" t="s">
        <v>298</v>
      </c>
      <c r="K804" s="260" t="str">
        <f>IF(ISBLANK('Dry_Litterbag Placem_Collection'!M145),"","R"&amp;""&amp;'Dry_Litterbag Placem_Collection'!M145)</f>
        <v>R195</v>
      </c>
      <c r="L804" s="264">
        <f>IFERROR(INDEX('Green_rooibos initial weight'!$C$5:$C$2000,MATCH(K804, 'Green_rooibos initial weight'!$A$5:$A$2000,0)),"")</f>
        <v>2.1640000000000001</v>
      </c>
      <c r="M804" s="264">
        <f>IFERROR(L804-(TBIcalc!$Q$9+TBIcalc!$Q$10),"")</f>
        <v>1.9142000000000001</v>
      </c>
      <c r="N804" s="385">
        <f>AVERAGE(Ashed_controlls!$K$12:$K$14)</f>
        <v>2.2816647271287041</v>
      </c>
      <c r="O804" s="264">
        <f t="shared" si="61"/>
        <v>1.8705243737933024</v>
      </c>
      <c r="P804" s="264">
        <f>IFERROR(INDEX('Both teabags AfterDry'!$D$2:$D$2000,MATCH(K804,'Both teabags AfterDry'!$A$2:$A$2000,0)),"")</f>
        <v>1.6592</v>
      </c>
      <c r="Q804" s="264">
        <f>IFERROR(IF(P804&gt;0,P804-(TBIcalc!$Q$9),""),"")</f>
        <v>1.5085999999999999</v>
      </c>
      <c r="R804" s="275">
        <f>IFERROR(INDEX('Ashed teabags dry'!$K$2:$K$2000,MATCH(K804,'Ashed teabags dry'!$A$2:$A$2000,0)),"")</f>
        <v>10.110294117647566</v>
      </c>
      <c r="S804" s="275">
        <f t="shared" si="62"/>
        <v>1.3560761029411688</v>
      </c>
      <c r="T804" s="265">
        <f>IF('Dry_Litterbag Placem_Collection'!E145="","",'Dry_Litterbag Placem_Collection'!E145)</f>
        <v>42939</v>
      </c>
      <c r="U804" s="265">
        <f>IF('Dry_Litterbag Placem_Collection'!G145="","",'Dry_Litterbag Placem_Collection'!G145)</f>
        <v>43008</v>
      </c>
      <c r="V804" s="266">
        <f t="shared" si="60"/>
        <v>69</v>
      </c>
      <c r="W804" s="264">
        <f t="shared" si="63"/>
        <v>0.40560000000000018</v>
      </c>
      <c r="X804" s="264">
        <f t="shared" si="64"/>
        <v>0.51444827085213363</v>
      </c>
      <c r="Y804" s="268">
        <f>IFERROR(INDEX(Rainfall_Dry!$O$2:$O$217,MATCH(B804, Rainfall_Dry!$A$2:$A$217,0)),"")</f>
        <v>136.27214243</v>
      </c>
      <c r="Z804" s="257">
        <v>33.96</v>
      </c>
      <c r="AA804" s="257">
        <v>8.9200000000000017</v>
      </c>
      <c r="AB804" s="257">
        <v>57.12</v>
      </c>
      <c r="AC804" s="258" t="s">
        <v>2654</v>
      </c>
      <c r="AD804" s="257">
        <v>8.0720551996057193</v>
      </c>
      <c r="AE804">
        <f>IF('WetLitterbags placem_collection'!AB145="","",'WetLitterbags placem_collection'!AB145)</f>
        <v>2</v>
      </c>
      <c r="AF804">
        <f>IF('WetLitterbags placem_collection'!Z145="","",'WetLitterbags placem_collection'!Z145)</f>
        <v>23.4</v>
      </c>
      <c r="AG804" s="243" t="str">
        <f>IF('WetLitterbags placem_collection'!AA145="","",'WetLitterbags placem_collection'!AA145)</f>
        <v>G</v>
      </c>
      <c r="AH804">
        <f>IF('WetLitterbags placem_collection'!AC145="","",'WetLitterbags placem_collection'!AC145)</f>
        <v>1</v>
      </c>
      <c r="AI804">
        <f>IFERROR(AVERAGE('Dry_Litterbag Placem_Collection'!O145,'Dry_Litterbag Placem_Collection'!R145),"")</f>
        <v>12.5</v>
      </c>
      <c r="AJ804" s="268">
        <f>IFERROR(AVERAGE('Dry_Litterbag Placem_Collection'!N145,'Dry_Litterbag Placem_Collection'!Q145),"")</f>
        <v>28</v>
      </c>
      <c r="AK804" s="267">
        <f>INDEX(Coordinates!$B$2:$B$197,MATCH(H804,Coordinates!$J$2:$J$197,0))</f>
        <v>-2.3484970349999998</v>
      </c>
      <c r="AL804" s="267">
        <f>INDEX(Coordinates!$C$2:$C$197,MATCH(H804,Coordinates!$J$2:$J$197,0))</f>
        <v>34.049979010000001</v>
      </c>
      <c r="AM804" s="267" t="str">
        <f>IF(ISNUMBER(SEARCH("C", 'Dry_Litterbag Placem_Collection'!V145)),"YES","NO")</f>
        <v>NO</v>
      </c>
      <c r="AN804" s="267" t="str">
        <f>IF(ISNUMBER(SEARCH("H", 'Dry_Litterbag Placem_Collection'!V145)),"YES","NO")</f>
        <v>NO</v>
      </c>
      <c r="AO804" s="267" t="str">
        <f>IF(ISNUMBER(SEARCH("R", 'Dry_Litterbag Placem_Collection'!V145)),"YES","NO")</f>
        <v>NO</v>
      </c>
    </row>
    <row r="805" spans="1:41" ht="15" customHeight="1">
      <c r="A805" s="259" t="s">
        <v>2643</v>
      </c>
      <c r="B805" s="260">
        <f>'Dry_Litterbag Placem_Collection'!A146</f>
        <v>144</v>
      </c>
      <c r="C805" s="260" t="str">
        <f>'Dry_Litterbag Placem_Collection'!B146</f>
        <v xml:space="preserve">Mwantimba
</v>
      </c>
      <c r="D805" s="260" t="s">
        <v>2454</v>
      </c>
      <c r="E805" s="260" t="s">
        <v>20</v>
      </c>
      <c r="F805" s="260">
        <v>2</v>
      </c>
      <c r="G805" s="260" t="s">
        <v>3822</v>
      </c>
      <c r="H805" s="261" t="str">
        <f>'Dry_Litterbag Placem_Collection'!C146</f>
        <v>Wet_P2_T8</v>
      </c>
      <c r="I805" s="270" t="s">
        <v>3630</v>
      </c>
      <c r="J805" s="271" t="s">
        <v>298</v>
      </c>
      <c r="K805" s="260" t="str">
        <f>IF(ISBLANK('Dry_Litterbag Placem_Collection'!M146),"","R"&amp;""&amp;'Dry_Litterbag Placem_Collection'!M146)</f>
        <v>R295</v>
      </c>
      <c r="L805" s="264">
        <f>IFERROR(INDEX('Green_rooibos initial weight'!$C$5:$C$2000,MATCH(K805, 'Green_rooibos initial weight'!$A$5:$A$2000,0)),"")</f>
        <v>2.194</v>
      </c>
      <c r="M805" s="264">
        <f>IFERROR(L805-(TBIcalc!$Q$9+TBIcalc!$Q$10),"")</f>
        <v>1.9441999999999999</v>
      </c>
      <c r="N805" s="385">
        <f>AVERAGE(Ashed_controlls!$K$12:$K$14)</f>
        <v>2.2816647271287041</v>
      </c>
      <c r="O805" s="264">
        <f t="shared" si="61"/>
        <v>1.8998398743751637</v>
      </c>
      <c r="P805" s="264">
        <f>IFERROR(INDEX('Both teabags AfterDry'!$D$2:$D$2000,MATCH(K805,'Both teabags AfterDry'!$A$2:$A$2000,0)),"")</f>
        <v>1.7096</v>
      </c>
      <c r="Q805" s="264">
        <f>IFERROR(IF(P805&gt;0,P805-(TBIcalc!$Q$9),""),"")</f>
        <v>1.5589999999999999</v>
      </c>
      <c r="R805" s="275">
        <f>IFERROR(INDEX('Ashed teabags dry'!$K$2:$K$2000,MATCH(K805,'Ashed teabags dry'!$A$2:$A$2000,0)),"")</f>
        <v>6.2071917808215078</v>
      </c>
      <c r="S805" s="275">
        <f t="shared" si="62"/>
        <v>1.4622298801369926</v>
      </c>
      <c r="T805" s="265">
        <f>IF('Dry_Litterbag Placem_Collection'!E146="","",'Dry_Litterbag Placem_Collection'!E146)</f>
        <v>42939</v>
      </c>
      <c r="U805" s="265">
        <f>IF('Dry_Litterbag Placem_Collection'!G146="","",'Dry_Litterbag Placem_Collection'!G146)</f>
        <v>43008</v>
      </c>
      <c r="V805" s="266">
        <f t="shared" si="60"/>
        <v>69</v>
      </c>
      <c r="W805" s="264">
        <f t="shared" si="63"/>
        <v>0.38519999999999999</v>
      </c>
      <c r="X805" s="264">
        <f t="shared" si="64"/>
        <v>0.43760999423817104</v>
      </c>
      <c r="Y805" s="268">
        <f>IFERROR(INDEX(Rainfall_Dry!$O$2:$O$217,MATCH(B805, Rainfall_Dry!$A$2:$A$217,0)),"")</f>
        <v>136.27214243</v>
      </c>
      <c r="Z805" s="257">
        <v>33.96</v>
      </c>
      <c r="AA805" s="257">
        <v>8.9200000000000017</v>
      </c>
      <c r="AB805" s="257">
        <v>57.12</v>
      </c>
      <c r="AC805" s="258" t="s">
        <v>2654</v>
      </c>
      <c r="AD805" s="257">
        <v>9.0720551996057193</v>
      </c>
      <c r="AE805">
        <f>IF('WetLitterbags placem_collection'!AB146="","",'WetLitterbags placem_collection'!AB146)</f>
        <v>2.5</v>
      </c>
      <c r="AF805">
        <f>IF('WetLitterbags placem_collection'!Z146="","",'WetLitterbags placem_collection'!Z146)</f>
        <v>19.8</v>
      </c>
      <c r="AG805" s="243" t="str">
        <f>IF('WetLitterbags placem_collection'!AA146="","",'WetLitterbags placem_collection'!AA146)</f>
        <v>G</v>
      </c>
      <c r="AH805">
        <f>IF('WetLitterbags placem_collection'!AC146="","",'WetLitterbags placem_collection'!AC146)</f>
        <v>1</v>
      </c>
      <c r="AI805">
        <f>IFERROR(AVERAGE('Dry_Litterbag Placem_Collection'!O146,'Dry_Litterbag Placem_Collection'!R146),"")</f>
        <v>9.4499999999999993</v>
      </c>
      <c r="AJ805" s="268">
        <f>IFERROR(AVERAGE('Dry_Litterbag Placem_Collection'!N146,'Dry_Litterbag Placem_Collection'!Q146),"")</f>
        <v>29.15</v>
      </c>
      <c r="AK805" s="267">
        <f>INDEX(Coordinates!$B$2:$B$197,MATCH(H805,Coordinates!$J$2:$J$197,0))</f>
        <v>-2.3486560399999998</v>
      </c>
      <c r="AL805" s="267">
        <f>INDEX(Coordinates!$C$2:$C$197,MATCH(H805,Coordinates!$J$2:$J$197,0))</f>
        <v>34.049895020000001</v>
      </c>
      <c r="AM805" s="267" t="str">
        <f>IF(ISNUMBER(SEARCH("C", 'Dry_Litterbag Placem_Collection'!V146)),"YES","NO")</f>
        <v>NO</v>
      </c>
      <c r="AN805" s="267" t="str">
        <f>IF(ISNUMBER(SEARCH("H", 'Dry_Litterbag Placem_Collection'!V146)),"YES","NO")</f>
        <v>NO</v>
      </c>
      <c r="AO805" s="267" t="str">
        <f>IF(ISNUMBER(SEARCH("R", 'Dry_Litterbag Placem_Collection'!V146)),"YES","NO")</f>
        <v>NO</v>
      </c>
    </row>
    <row r="806" spans="1:41" ht="15" customHeight="1">
      <c r="A806" s="259" t="s">
        <v>2643</v>
      </c>
      <c r="B806" s="260">
        <f>'Dry_Litterbag Placem_Collection'!A147</f>
        <v>145</v>
      </c>
      <c r="C806" s="260" t="str">
        <f>'Dry_Litterbag Placem_Collection'!B147</f>
        <v xml:space="preserve">Mwantimba
</v>
      </c>
      <c r="D806" s="260" t="s">
        <v>2454</v>
      </c>
      <c r="E806" s="260" t="s">
        <v>20</v>
      </c>
      <c r="F806" s="260">
        <v>3</v>
      </c>
      <c r="G806" s="260" t="s">
        <v>3823</v>
      </c>
      <c r="H806" s="261" t="str">
        <f>'Dry_Litterbag Placem_Collection'!C147</f>
        <v>Wet_P3_T1</v>
      </c>
      <c r="I806" s="270" t="s">
        <v>3630</v>
      </c>
      <c r="J806" s="271" t="s">
        <v>298</v>
      </c>
      <c r="K806" s="260" t="str">
        <f>IF(ISBLANK('Dry_Litterbag Placem_Collection'!M147),"","R"&amp;""&amp;'Dry_Litterbag Placem_Collection'!M147)</f>
        <v>R609</v>
      </c>
      <c r="L806" s="264">
        <f>IFERROR(INDEX('Green_rooibos initial weight'!$C$5:$C$2000,MATCH(K806, 'Green_rooibos initial weight'!$A$5:$A$2000,0)),"")</f>
        <v>2.165</v>
      </c>
      <c r="M806" s="264">
        <f>IFERROR(L806-(TBIcalc!$Q$9+TBIcalc!$Q$10),"")</f>
        <v>1.9152</v>
      </c>
      <c r="N806" s="385">
        <f>AVERAGE(Ashed_controlls!$K$12:$K$14)</f>
        <v>2.2816647271287041</v>
      </c>
      <c r="O806" s="264">
        <f t="shared" si="61"/>
        <v>1.8715015571460312</v>
      </c>
      <c r="P806" s="264">
        <f>IFERROR(INDEX('Both teabags AfterDry'!$D$2:$D$2000,MATCH(K806,'Both teabags AfterDry'!$A$2:$A$2000,0)),"")</f>
        <v>1.9753000000000001</v>
      </c>
      <c r="Q806" s="264">
        <f>IFERROR(IF(P806&gt;0,P806-(TBIcalc!$Q$9),""),"")</f>
        <v>1.8247</v>
      </c>
      <c r="R806" s="275">
        <f>IFERROR(INDEX('Ashed teabags dry'!$K$2:$K$2000,MATCH(K806,'Ashed teabags dry'!$A$2:$A$2000,0)),"")</f>
        <v>3.7512339585388541</v>
      </c>
      <c r="S806" s="275">
        <f t="shared" si="62"/>
        <v>1.7562512339585414</v>
      </c>
      <c r="T806" s="265">
        <f>IF('Dry_Litterbag Placem_Collection'!E147="","",'Dry_Litterbag Placem_Collection'!E147)</f>
        <v>42939</v>
      </c>
      <c r="U806" s="265">
        <f>IF('Dry_Litterbag Placem_Collection'!G147="","",'Dry_Litterbag Placem_Collection'!G147)</f>
        <v>43010</v>
      </c>
      <c r="V806" s="266">
        <f t="shared" si="60"/>
        <v>71</v>
      </c>
      <c r="W806" s="264">
        <f t="shared" si="63"/>
        <v>9.0500000000000025E-2</v>
      </c>
      <c r="X806" s="264">
        <f t="shared" si="64"/>
        <v>0.11525032318748973</v>
      </c>
      <c r="Y806" s="268">
        <f>IFERROR(INDEX(Rainfall_Dry!$O$2:$O$217,MATCH(B806, Rainfall_Dry!$A$2:$A$217,0)),"")</f>
        <v>137.19979645800001</v>
      </c>
      <c r="Z806" s="257">
        <v>39.96</v>
      </c>
      <c r="AA806" s="257">
        <v>12.920000000000002</v>
      </c>
      <c r="AB806" s="257">
        <v>47.12</v>
      </c>
      <c r="AC806" s="258" t="s">
        <v>2658</v>
      </c>
      <c r="AD806" s="257">
        <v>1.6549531789058647</v>
      </c>
      <c r="AE806">
        <f>IF('WetLitterbags placem_collection'!AB147="","",'WetLitterbags placem_collection'!AB147)</f>
        <v>3.95</v>
      </c>
      <c r="AF806">
        <f>IF('WetLitterbags placem_collection'!Z147="","",'WetLitterbags placem_collection'!Z147)</f>
        <v>13</v>
      </c>
      <c r="AG806" s="243" t="str">
        <f>IF('WetLitterbags placem_collection'!AA147="","",'WetLitterbags placem_collection'!AA147)</f>
        <v>O</v>
      </c>
      <c r="AH806">
        <f>IF('WetLitterbags placem_collection'!AC147="","",'WetLitterbags placem_collection'!AC147)</f>
        <v>0</v>
      </c>
      <c r="AI806">
        <f>IFERROR(AVERAGE('Dry_Litterbag Placem_Collection'!O147,'Dry_Litterbag Placem_Collection'!R147),"")</f>
        <v>6.35</v>
      </c>
      <c r="AJ806" s="268">
        <f>IFERROR(AVERAGE('Dry_Litterbag Placem_Collection'!N147,'Dry_Litterbag Placem_Collection'!Q147),"")</f>
        <v>30</v>
      </c>
      <c r="AK806" s="267">
        <f>INDEX(Coordinates!$B$2:$B$197,MATCH(H806,Coordinates!$J$2:$J$197,0))</f>
        <v>-2.3675269729999999</v>
      </c>
      <c r="AL806" s="267">
        <f>INDEX(Coordinates!$C$2:$C$197,MATCH(H806,Coordinates!$J$2:$J$197,0))</f>
        <v>34.06035799</v>
      </c>
      <c r="AM806" s="267" t="str">
        <f>IF(ISNUMBER(SEARCH("C", 'Dry_Litterbag Placem_Collection'!V147)),"YES","NO")</f>
        <v>NO</v>
      </c>
      <c r="AN806" s="267" t="str">
        <f>IF(ISNUMBER(SEARCH("H", 'Dry_Litterbag Placem_Collection'!V147)),"YES","NO")</f>
        <v>NO</v>
      </c>
      <c r="AO806" s="267" t="str">
        <f>IF(ISNUMBER(SEARCH("R", 'Dry_Litterbag Placem_Collection'!V147)),"YES","NO")</f>
        <v>NO</v>
      </c>
    </row>
    <row r="807" spans="1:41" ht="15" customHeight="1">
      <c r="A807" s="259" t="s">
        <v>2643</v>
      </c>
      <c r="B807" s="260">
        <f>'Dry_Litterbag Placem_Collection'!A148</f>
        <v>146</v>
      </c>
      <c r="C807" s="260" t="str">
        <f>'Dry_Litterbag Placem_Collection'!B148</f>
        <v xml:space="preserve">Mwantimba
</v>
      </c>
      <c r="D807" s="260" t="s">
        <v>2454</v>
      </c>
      <c r="E807" s="260" t="s">
        <v>20</v>
      </c>
      <c r="F807" s="260">
        <v>3</v>
      </c>
      <c r="G807" s="260" t="s">
        <v>3823</v>
      </c>
      <c r="H807" s="261" t="str">
        <f>'Dry_Litterbag Placem_Collection'!C148</f>
        <v>Wet_P3_T2</v>
      </c>
      <c r="I807" s="270" t="s">
        <v>3630</v>
      </c>
      <c r="J807" s="271" t="s">
        <v>298</v>
      </c>
      <c r="K807" s="260" t="str">
        <f>IF(ISBLANK('Dry_Litterbag Placem_Collection'!M148),"","R"&amp;""&amp;'Dry_Litterbag Placem_Collection'!M148)</f>
        <v>R292</v>
      </c>
      <c r="L807" s="264">
        <f>IFERROR(INDEX('Green_rooibos initial weight'!$C$5:$C$2000,MATCH(K807, 'Green_rooibos initial weight'!$A$5:$A$2000,0)),"")</f>
        <v>2.2370000000000001</v>
      </c>
      <c r="M807" s="264">
        <f>IFERROR(L807-(TBIcalc!$Q$9+TBIcalc!$Q$10),"")</f>
        <v>1.9872000000000001</v>
      </c>
      <c r="N807" s="385">
        <f>AVERAGE(Ashed_controlls!$K$12:$K$14)</f>
        <v>2.2816647271287041</v>
      </c>
      <c r="O807" s="264">
        <f t="shared" si="61"/>
        <v>1.9418587585424985</v>
      </c>
      <c r="P807" s="264">
        <f>IFERROR(INDEX('Both teabags AfterDry'!$D$2:$D$2000,MATCH(K807,'Both teabags AfterDry'!$A$2:$A$2000,0)),"")</f>
        <v>2.0505</v>
      </c>
      <c r="Q807" s="264">
        <f>IFERROR(IF(P807&gt;0,P807-(TBIcalc!$Q$9),""),"")</f>
        <v>1.8998999999999999</v>
      </c>
      <c r="R807" s="275">
        <f>IFERROR(INDEX('Ashed teabags dry'!$K$2:$K$2000,MATCH(K807,'Ashed teabags dry'!$A$2:$A$2000,0)),"")</f>
        <v>2.5435704192176245</v>
      </c>
      <c r="S807" s="275">
        <f t="shared" si="62"/>
        <v>1.8515747056052843</v>
      </c>
      <c r="T807" s="265">
        <f>IF('Dry_Litterbag Placem_Collection'!E148="","",'Dry_Litterbag Placem_Collection'!E148)</f>
        <v>42939</v>
      </c>
      <c r="U807" s="265">
        <f>IF('Dry_Litterbag Placem_Collection'!G148="","",'Dry_Litterbag Placem_Collection'!G148)</f>
        <v>43010</v>
      </c>
      <c r="V807" s="266">
        <f t="shared" si="60"/>
        <v>71</v>
      </c>
      <c r="W807" s="264">
        <f t="shared" si="63"/>
        <v>8.7300000000000155E-2</v>
      </c>
      <c r="X807" s="264">
        <f t="shared" si="64"/>
        <v>9.0284052937214199E-2</v>
      </c>
      <c r="Y807" s="268">
        <f>IFERROR(INDEX(Rainfall_Dry!$O$2:$O$217,MATCH(B807, Rainfall_Dry!$A$2:$A$217,0)),"")</f>
        <v>137.19979645800001</v>
      </c>
      <c r="Z807" s="257">
        <v>39.96</v>
      </c>
      <c r="AA807" s="257">
        <v>12.920000000000002</v>
      </c>
      <c r="AB807" s="257">
        <v>47.12</v>
      </c>
      <c r="AC807" s="258" t="s">
        <v>2658</v>
      </c>
      <c r="AD807" s="257">
        <v>2.6549531789058598</v>
      </c>
      <c r="AE807">
        <f>IF('WetLitterbags placem_collection'!AB148="","",'WetLitterbags placem_collection'!AB148)</f>
        <v>2.75</v>
      </c>
      <c r="AF807">
        <f>IF('WetLitterbags placem_collection'!Z148="","",'WetLitterbags placem_collection'!Z148)</f>
        <v>17.7</v>
      </c>
      <c r="AG807" s="243" t="str">
        <f>IF('WetLitterbags placem_collection'!AA148="","",'WetLitterbags placem_collection'!AA148)</f>
        <v>O</v>
      </c>
      <c r="AH807">
        <f>IF('WetLitterbags placem_collection'!AC148="","",'WetLitterbags placem_collection'!AC148)</f>
        <v>1</v>
      </c>
      <c r="AI807">
        <f>IFERROR(AVERAGE('Dry_Litterbag Placem_Collection'!O148,'Dry_Litterbag Placem_Collection'!R148),"")</f>
        <v>6.1</v>
      </c>
      <c r="AJ807" s="268">
        <f>IFERROR(AVERAGE('Dry_Litterbag Placem_Collection'!N148,'Dry_Litterbag Placem_Collection'!Q148),"")</f>
        <v>31</v>
      </c>
      <c r="AK807" s="267">
        <f>INDEX(Coordinates!$B$2:$B$197,MATCH(H807,Coordinates!$J$2:$J$197,0))</f>
        <v>-2.3675380370000001</v>
      </c>
      <c r="AL807" s="267">
        <f>INDEX(Coordinates!$C$2:$C$197,MATCH(H807,Coordinates!$J$2:$J$197,0))</f>
        <v>34.060381960000001</v>
      </c>
      <c r="AM807" s="267" t="str">
        <f>IF(ISNUMBER(SEARCH("C", 'Dry_Litterbag Placem_Collection'!V148)),"YES","NO")</f>
        <v>NO</v>
      </c>
      <c r="AN807" s="267" t="str">
        <f>IF(ISNUMBER(SEARCH("H", 'Dry_Litterbag Placem_Collection'!V148)),"YES","NO")</f>
        <v>NO</v>
      </c>
      <c r="AO807" s="267" t="str">
        <f>IF(ISNUMBER(SEARCH("R", 'Dry_Litterbag Placem_Collection'!V148)),"YES","NO")</f>
        <v>NO</v>
      </c>
    </row>
    <row r="808" spans="1:41" ht="15" customHeight="1">
      <c r="A808" s="259" t="s">
        <v>2643</v>
      </c>
      <c r="B808" s="260">
        <f>'Dry_Litterbag Placem_Collection'!A149</f>
        <v>147</v>
      </c>
      <c r="C808" s="260" t="str">
        <f>'Dry_Litterbag Placem_Collection'!B149</f>
        <v xml:space="preserve">Mwantimba
</v>
      </c>
      <c r="D808" s="260" t="s">
        <v>2454</v>
      </c>
      <c r="E808" s="260" t="s">
        <v>20</v>
      </c>
      <c r="F808" s="260">
        <v>3</v>
      </c>
      <c r="G808" s="260" t="s">
        <v>3823</v>
      </c>
      <c r="H808" s="261" t="str">
        <f>'Dry_Litterbag Placem_Collection'!C149</f>
        <v>Wet_P3_T3</v>
      </c>
      <c r="I808" s="270" t="s">
        <v>3630</v>
      </c>
      <c r="J808" s="271" t="s">
        <v>298</v>
      </c>
      <c r="K808" s="260" t="str">
        <f>IF(ISBLANK('Dry_Litterbag Placem_Collection'!M149),"","R"&amp;""&amp;'Dry_Litterbag Placem_Collection'!M149)</f>
        <v>R243</v>
      </c>
      <c r="L808" s="264">
        <f>IFERROR(INDEX('Green_rooibos initial weight'!$C$5:$C$2000,MATCH(K808, 'Green_rooibos initial weight'!$A$5:$A$2000,0)),"")</f>
        <v>2.1680000000000001</v>
      </c>
      <c r="M808" s="264">
        <f>IFERROR(L808-(TBIcalc!$Q$9+TBIcalc!$Q$10),"")</f>
        <v>1.9182000000000001</v>
      </c>
      <c r="N808" s="385">
        <f>AVERAGE(Ashed_controlls!$K$12:$K$14)</f>
        <v>2.2816647271287041</v>
      </c>
      <c r="O808" s="264">
        <f t="shared" si="61"/>
        <v>1.8744331072042173</v>
      </c>
      <c r="P808" s="264">
        <f>IFERROR(INDEX('Both teabags AfterDry'!$D$2:$D$2000,MATCH(K808,'Both teabags AfterDry'!$A$2:$A$2000,0)),"")</f>
        <v>1.9182999999999999</v>
      </c>
      <c r="Q808" s="264">
        <f>IFERROR(IF(P808&gt;0,P808-(TBIcalc!$Q$9),""),"")</f>
        <v>1.7676999999999998</v>
      </c>
      <c r="R808" s="275">
        <f>IFERROR(INDEX('Ashed teabags dry'!$K$2:$K$2000,MATCH(K808,'Ashed teabags dry'!$A$2:$A$2000,0)),"")</f>
        <v>3.2670454545454892</v>
      </c>
      <c r="S808" s="275">
        <f t="shared" si="62"/>
        <v>1.7099484374999991</v>
      </c>
      <c r="T808" s="265">
        <f>IF('Dry_Litterbag Placem_Collection'!E149="","",'Dry_Litterbag Placem_Collection'!E149)</f>
        <v>42939</v>
      </c>
      <c r="U808" s="265">
        <f>IF('Dry_Litterbag Placem_Collection'!G149="","",'Dry_Litterbag Placem_Collection'!G149)</f>
        <v>43010</v>
      </c>
      <c r="V808" s="266">
        <f t="shared" si="60"/>
        <v>71</v>
      </c>
      <c r="W808" s="264">
        <f t="shared" si="63"/>
        <v>0.1505000000000003</v>
      </c>
      <c r="X808" s="264">
        <f t="shared" si="64"/>
        <v>0.16448466970421816</v>
      </c>
      <c r="Y808" s="268">
        <f>IFERROR(INDEX(Rainfall_Dry!$O$2:$O$217,MATCH(B808, Rainfall_Dry!$A$2:$A$217,0)),"")</f>
        <v>137.19979645800001</v>
      </c>
      <c r="Z808" s="257">
        <v>39.96</v>
      </c>
      <c r="AA808" s="257">
        <v>12.920000000000002</v>
      </c>
      <c r="AB808" s="257">
        <v>47.12</v>
      </c>
      <c r="AC808" s="258" t="s">
        <v>2658</v>
      </c>
      <c r="AD808" s="257">
        <v>3.6549531789058598</v>
      </c>
      <c r="AE808">
        <f>IF('WetLitterbags placem_collection'!AB149="","",'WetLitterbags placem_collection'!AB149)</f>
        <v>3.6</v>
      </c>
      <c r="AF808">
        <f>IF('WetLitterbags placem_collection'!Z149="","",'WetLitterbags placem_collection'!Z149)</f>
        <v>19</v>
      </c>
      <c r="AG808" s="243" t="str">
        <f>IF('WetLitterbags placem_collection'!AA149="","",'WetLitterbags placem_collection'!AA149)</f>
        <v>M</v>
      </c>
      <c r="AH808">
        <f>IF('WetLitterbags placem_collection'!AC149="","",'WetLitterbags placem_collection'!AC149)</f>
        <v>1</v>
      </c>
      <c r="AI808">
        <f>IFERROR(AVERAGE('Dry_Litterbag Placem_Collection'!O149,'Dry_Litterbag Placem_Collection'!R149),"")</f>
        <v>5.6</v>
      </c>
      <c r="AJ808" s="268">
        <f>IFERROR(AVERAGE('Dry_Litterbag Placem_Collection'!N149,'Dry_Litterbag Placem_Collection'!Q149),"")</f>
        <v>29.900000000000002</v>
      </c>
      <c r="AK808" s="267">
        <f>INDEX(Coordinates!$B$2:$B$197,MATCH(H808,Coordinates!$J$2:$J$197,0))</f>
        <v>-2.3675780180000001</v>
      </c>
      <c r="AL808" s="267">
        <f>INDEX(Coordinates!$C$2:$C$197,MATCH(H808,Coordinates!$J$2:$J$197,0))</f>
        <v>34.060323029999999</v>
      </c>
      <c r="AM808" s="267" t="str">
        <f>IF(ISNUMBER(SEARCH("C", 'Dry_Litterbag Placem_Collection'!V149)),"YES","NO")</f>
        <v>NO</v>
      </c>
      <c r="AN808" s="267" t="str">
        <f>IF(ISNUMBER(SEARCH("H", 'Dry_Litterbag Placem_Collection'!V149)),"YES","NO")</f>
        <v>NO</v>
      </c>
      <c r="AO808" s="267" t="str">
        <f>IF(ISNUMBER(SEARCH("R", 'Dry_Litterbag Placem_Collection'!V149)),"YES","NO")</f>
        <v>NO</v>
      </c>
    </row>
    <row r="809" spans="1:41" ht="15" customHeight="1">
      <c r="A809" s="259" t="s">
        <v>2643</v>
      </c>
      <c r="B809" s="260">
        <f>'Dry_Litterbag Placem_Collection'!A150</f>
        <v>148</v>
      </c>
      <c r="C809" s="260" t="str">
        <f>'Dry_Litterbag Placem_Collection'!B150</f>
        <v xml:space="preserve">Mwantimba
</v>
      </c>
      <c r="D809" s="260" t="s">
        <v>2454</v>
      </c>
      <c r="E809" s="260" t="s">
        <v>20</v>
      </c>
      <c r="F809" s="260">
        <v>3</v>
      </c>
      <c r="G809" s="260" t="s">
        <v>3823</v>
      </c>
      <c r="H809" s="261" t="str">
        <f>'Dry_Litterbag Placem_Collection'!C150</f>
        <v>Wet_P3_T4</v>
      </c>
      <c r="I809" s="270" t="s">
        <v>3630</v>
      </c>
      <c r="J809" s="271" t="s">
        <v>298</v>
      </c>
      <c r="K809" s="260" t="str">
        <f>IF(ISBLANK('Dry_Litterbag Placem_Collection'!M150),"","R"&amp;""&amp;'Dry_Litterbag Placem_Collection'!M150)</f>
        <v>R422</v>
      </c>
      <c r="L809" s="264">
        <f>IFERROR(INDEX('Green_rooibos initial weight'!$C$5:$C$2000,MATCH(K809, 'Green_rooibos initial weight'!$A$5:$A$2000,0)),"")</f>
        <v>2.1760000000000002</v>
      </c>
      <c r="M809" s="264">
        <f>IFERROR(L809-(TBIcalc!$Q$9+TBIcalc!$Q$10),"")</f>
        <v>1.9262000000000001</v>
      </c>
      <c r="N809" s="385">
        <f>AVERAGE(Ashed_controlls!$K$12:$K$14)</f>
        <v>2.2816647271287041</v>
      </c>
      <c r="O809" s="264">
        <f t="shared" si="61"/>
        <v>1.8822505740260471</v>
      </c>
      <c r="P809" s="264">
        <f>IFERROR(INDEX('Both teabags AfterDry'!$D$2:$D$2000,MATCH(K809,'Both teabags AfterDry'!$A$2:$A$2000,0)),"")</f>
        <v>1.9601999999999999</v>
      </c>
      <c r="Q809" s="264">
        <f>IFERROR(IF(P809&gt;0,P809-(TBIcalc!$Q$9),""),"")</f>
        <v>1.8095999999999999</v>
      </c>
      <c r="R809" s="275">
        <f>IFERROR(INDEX('Ashed teabags dry'!$K$2:$K$2000,MATCH(K809,'Ashed teabags dry'!$A$2:$A$2000,0)),"")</f>
        <v>4.0076335877862421</v>
      </c>
      <c r="S809" s="275">
        <f t="shared" si="62"/>
        <v>1.73707786259542</v>
      </c>
      <c r="T809" s="265">
        <f>IF('Dry_Litterbag Placem_Collection'!E150="","",'Dry_Litterbag Placem_Collection'!E150)</f>
        <v>42939</v>
      </c>
      <c r="U809" s="265">
        <f>IF('Dry_Litterbag Placem_Collection'!G150="","",'Dry_Litterbag Placem_Collection'!G150)</f>
        <v>43010</v>
      </c>
      <c r="V809" s="266">
        <f t="shared" si="60"/>
        <v>71</v>
      </c>
      <c r="W809" s="264">
        <f t="shared" si="63"/>
        <v>0.11660000000000026</v>
      </c>
      <c r="X809" s="264">
        <f t="shared" si="64"/>
        <v>0.14517271143062715</v>
      </c>
      <c r="Y809" s="268">
        <f>IFERROR(INDEX(Rainfall_Dry!$O$2:$O$217,MATCH(B809, Rainfall_Dry!$A$2:$A$217,0)),"")</f>
        <v>137.19979645800001</v>
      </c>
      <c r="Z809" s="257">
        <v>39.96</v>
      </c>
      <c r="AA809" s="257">
        <v>12.920000000000002</v>
      </c>
      <c r="AB809" s="257">
        <v>47.12</v>
      </c>
      <c r="AC809" s="258" t="s">
        <v>2658</v>
      </c>
      <c r="AD809" s="257">
        <v>4.6549531789058696</v>
      </c>
      <c r="AE809">
        <f>IF('WetLitterbags placem_collection'!AB150="","",'WetLitterbags placem_collection'!AB150)</f>
        <v>4.9000000000000004</v>
      </c>
      <c r="AF809">
        <f>IF('WetLitterbags placem_collection'!Z150="","",'WetLitterbags placem_collection'!Z150)</f>
        <v>17.489999999999998</v>
      </c>
      <c r="AG809" s="243" t="str">
        <f>IF('WetLitterbags placem_collection'!AA150="","",'WetLitterbags placem_collection'!AA150)</f>
        <v>M</v>
      </c>
      <c r="AH809">
        <f>IF('WetLitterbags placem_collection'!AC150="","",'WetLitterbags placem_collection'!AC150)</f>
        <v>1</v>
      </c>
      <c r="AI809">
        <f>IFERROR(AVERAGE('Dry_Litterbag Placem_Collection'!O150,'Dry_Litterbag Placem_Collection'!R150),"")</f>
        <v>6.5</v>
      </c>
      <c r="AJ809" s="268">
        <f>IFERROR(AVERAGE('Dry_Litterbag Placem_Collection'!N150,'Dry_Litterbag Placem_Collection'!Q150),"")</f>
        <v>31.6</v>
      </c>
      <c r="AK809" s="267">
        <f>INDEX(Coordinates!$B$2:$B$197,MATCH(H809,Coordinates!$J$2:$J$197,0))</f>
        <v>-2.3676269689999998</v>
      </c>
      <c r="AL809" s="267">
        <f>INDEX(Coordinates!$C$2:$C$197,MATCH(H809,Coordinates!$J$2:$J$197,0))</f>
        <v>34.060310960000002</v>
      </c>
      <c r="AM809" s="267" t="str">
        <f>IF(ISNUMBER(SEARCH("C", 'Dry_Litterbag Placem_Collection'!V150)),"YES","NO")</f>
        <v>NO</v>
      </c>
      <c r="AN809" s="267" t="str">
        <f>IF(ISNUMBER(SEARCH("H", 'Dry_Litterbag Placem_Collection'!V150)),"YES","NO")</f>
        <v>NO</v>
      </c>
      <c r="AO809" s="267" t="str">
        <f>IF(ISNUMBER(SEARCH("R", 'Dry_Litterbag Placem_Collection'!V150)),"YES","NO")</f>
        <v>NO</v>
      </c>
    </row>
    <row r="810" spans="1:41" ht="15" customHeight="1">
      <c r="A810" s="259" t="s">
        <v>2643</v>
      </c>
      <c r="B810" s="260">
        <f>'Dry_Litterbag Placem_Collection'!A151</f>
        <v>149</v>
      </c>
      <c r="C810" s="260" t="str">
        <f>'Dry_Litterbag Placem_Collection'!B151</f>
        <v xml:space="preserve">Mwantimba
</v>
      </c>
      <c r="D810" s="260" t="s">
        <v>2454</v>
      </c>
      <c r="E810" s="260" t="s">
        <v>20</v>
      </c>
      <c r="F810" s="260">
        <v>3</v>
      </c>
      <c r="G810" s="260" t="s">
        <v>3823</v>
      </c>
      <c r="H810" s="261" t="str">
        <f>'Dry_Litterbag Placem_Collection'!C151</f>
        <v>Wet_P3_T5</v>
      </c>
      <c r="I810" s="270" t="s">
        <v>3630</v>
      </c>
      <c r="J810" s="271" t="s">
        <v>298</v>
      </c>
      <c r="K810" s="260" t="str">
        <f>IF(ISBLANK('Dry_Litterbag Placem_Collection'!M151),"","R"&amp;""&amp;'Dry_Litterbag Placem_Collection'!M151)</f>
        <v>R664</v>
      </c>
      <c r="L810" s="264">
        <f>IFERROR(INDEX('Green_rooibos initial weight'!$C$5:$C$2000,MATCH(K810, 'Green_rooibos initial weight'!$A$5:$A$2000,0)),"")</f>
        <v>2.09</v>
      </c>
      <c r="M810" s="264">
        <f>IFERROR(L810-(TBIcalc!$Q$9+TBIcalc!$Q$10),"")</f>
        <v>1.8401999999999998</v>
      </c>
      <c r="N810" s="385">
        <f>AVERAGE(Ashed_controlls!$K$12:$K$14)</f>
        <v>2.2816647271287041</v>
      </c>
      <c r="O810" s="264">
        <f t="shared" si="61"/>
        <v>1.7982128056913775</v>
      </c>
      <c r="P810" s="264">
        <f>IFERROR(INDEX('Both teabags AfterDry'!$D$2:$D$2000,MATCH(K810,'Both teabags AfterDry'!$A$2:$A$2000,0)),"")</f>
        <v>1.8895999999999999</v>
      </c>
      <c r="Q810" s="264">
        <f>IFERROR(IF(P810&gt;0,P810-(TBIcalc!$Q$9),""),"")</f>
        <v>1.7389999999999999</v>
      </c>
      <c r="R810" s="275">
        <f>IFERROR(INDEX('Ashed teabags dry'!$K$2:$K$2000,MATCH(K810,'Ashed teabags dry'!$A$2:$A$2000,0)),"")</f>
        <v>3.7617554858933753</v>
      </c>
      <c r="S810" s="275">
        <f t="shared" si="62"/>
        <v>1.673583072100314</v>
      </c>
      <c r="T810" s="265">
        <f>IF('Dry_Litterbag Placem_Collection'!E151="","",'Dry_Litterbag Placem_Collection'!E151)</f>
        <v>42939</v>
      </c>
      <c r="U810" s="265">
        <f>IF('Dry_Litterbag Placem_Collection'!G151="","",'Dry_Litterbag Placem_Collection'!G151)</f>
        <v>43010</v>
      </c>
      <c r="V810" s="266">
        <f t="shared" si="60"/>
        <v>71</v>
      </c>
      <c r="W810" s="264">
        <f t="shared" si="63"/>
        <v>0.10119999999999996</v>
      </c>
      <c r="X810" s="264">
        <f t="shared" si="64"/>
        <v>0.12462973359106355</v>
      </c>
      <c r="Y810" s="268">
        <f>IFERROR(INDEX(Rainfall_Dry!$O$2:$O$217,MATCH(B810, Rainfall_Dry!$A$2:$A$217,0)),"")</f>
        <v>137.19979645800001</v>
      </c>
      <c r="Z810" s="257">
        <v>39.96</v>
      </c>
      <c r="AA810" s="257">
        <v>12.920000000000002</v>
      </c>
      <c r="AB810" s="257">
        <v>47.12</v>
      </c>
      <c r="AC810" s="258" t="s">
        <v>2658</v>
      </c>
      <c r="AD810" s="257">
        <v>5.6549531789058696</v>
      </c>
      <c r="AE810">
        <f>IF('WetLitterbags placem_collection'!AB151="","",'WetLitterbags placem_collection'!AB151)</f>
        <v>2.8</v>
      </c>
      <c r="AF810">
        <f>IF('WetLitterbags placem_collection'!Z151="","",'WetLitterbags placem_collection'!Z151)</f>
        <v>13</v>
      </c>
      <c r="AG810" s="243" t="str">
        <f>IF('WetLitterbags placem_collection'!AA151="","",'WetLitterbags placem_collection'!AA151)</f>
        <v>M</v>
      </c>
      <c r="AH810">
        <f>IF('WetLitterbags placem_collection'!AC151="","",'WetLitterbags placem_collection'!AC151)</f>
        <v>1</v>
      </c>
      <c r="AI810">
        <f>IFERROR(AVERAGE('Dry_Litterbag Placem_Collection'!O151,'Dry_Litterbag Placem_Collection'!R151),"")</f>
        <v>6.3000000000000007</v>
      </c>
      <c r="AJ810" s="268">
        <f>IFERROR(AVERAGE('Dry_Litterbag Placem_Collection'!N151,'Dry_Litterbag Placem_Collection'!Q151),"")</f>
        <v>31</v>
      </c>
      <c r="AK810" s="267">
        <f>INDEX(Coordinates!$B$2:$B$197,MATCH(H810,Coordinates!$J$2:$J$197,0))</f>
        <v>-2.3677179960000001</v>
      </c>
      <c r="AL810" s="267">
        <f>INDEX(Coordinates!$C$2:$C$197,MATCH(H810,Coordinates!$J$2:$J$197,0))</f>
        <v>34.060324960000003</v>
      </c>
      <c r="AM810" s="267" t="str">
        <f>IF(ISNUMBER(SEARCH("C", 'Dry_Litterbag Placem_Collection'!V151)),"YES","NO")</f>
        <v>NO</v>
      </c>
      <c r="AN810" s="267" t="str">
        <f>IF(ISNUMBER(SEARCH("H", 'Dry_Litterbag Placem_Collection'!V151)),"YES","NO")</f>
        <v>NO</v>
      </c>
      <c r="AO810" s="267" t="str">
        <f>IF(ISNUMBER(SEARCH("R", 'Dry_Litterbag Placem_Collection'!V151)),"YES","NO")</f>
        <v>NO</v>
      </c>
    </row>
    <row r="811" spans="1:41" ht="15" customHeight="1">
      <c r="A811" s="259" t="s">
        <v>2643</v>
      </c>
      <c r="B811" s="260">
        <f>'Dry_Litterbag Placem_Collection'!A152</f>
        <v>150</v>
      </c>
      <c r="C811" s="260" t="str">
        <f>'Dry_Litterbag Placem_Collection'!B152</f>
        <v xml:space="preserve">Mwantimba
</v>
      </c>
      <c r="D811" s="260" t="s">
        <v>2454</v>
      </c>
      <c r="E811" s="260" t="s">
        <v>20</v>
      </c>
      <c r="F811" s="260">
        <v>3</v>
      </c>
      <c r="G811" s="260" t="s">
        <v>3823</v>
      </c>
      <c r="H811" s="261" t="str">
        <f>'Dry_Litterbag Placem_Collection'!C152</f>
        <v>Wet_P3_T6</v>
      </c>
      <c r="I811" s="270" t="s">
        <v>3630</v>
      </c>
      <c r="J811" s="271" t="s">
        <v>298</v>
      </c>
      <c r="K811" s="260" t="str">
        <f>IF(ISBLANK('Dry_Litterbag Placem_Collection'!M152),"","R"&amp;""&amp;'Dry_Litterbag Placem_Collection'!M152)</f>
        <v>R316</v>
      </c>
      <c r="L811" s="264">
        <f>IFERROR(INDEX('Green_rooibos initial weight'!$C$5:$C$2000,MATCH(K811, 'Green_rooibos initial weight'!$A$5:$A$2000,0)),"")</f>
        <v>2.1779999999999999</v>
      </c>
      <c r="M811" s="264">
        <f>IFERROR(L811-(TBIcalc!$Q$9+TBIcalc!$Q$10),"")</f>
        <v>1.9281999999999999</v>
      </c>
      <c r="N811" s="385">
        <f>AVERAGE(Ashed_controlls!$K$12:$K$14)</f>
        <v>2.2816647271287041</v>
      </c>
      <c r="O811" s="264">
        <f t="shared" si="61"/>
        <v>1.8842049407315042</v>
      </c>
      <c r="P811" s="264" t="str">
        <f>IFERROR(INDEX('Both teabags AfterDry'!$D$2:$D$2000,MATCH(K811,'Both teabags AfterDry'!$A$2:$A$2000,0)),"")</f>
        <v/>
      </c>
      <c r="Q811" s="264" t="str">
        <f>IFERROR(IF(P811&gt;0,P811-(TBIcalc!$Q$9),""),"")</f>
        <v/>
      </c>
      <c r="R811" s="275" t="str">
        <f>IFERROR(INDEX('Ashed teabags dry'!$K$2:$K$2000,MATCH(K811,'Ashed teabags dry'!$A$2:$A$2000,0)),"")</f>
        <v/>
      </c>
      <c r="S811" s="275" t="str">
        <f t="shared" si="62"/>
        <v/>
      </c>
      <c r="T811" s="265">
        <f>IF('Dry_Litterbag Placem_Collection'!E152="","",'Dry_Litterbag Placem_Collection'!E152)</f>
        <v>42939</v>
      </c>
      <c r="U811" s="265">
        <f>IF('Dry_Litterbag Placem_Collection'!G152="","",'Dry_Litterbag Placem_Collection'!G152)</f>
        <v>43010</v>
      </c>
      <c r="V811" s="266">
        <f t="shared" si="60"/>
        <v>71</v>
      </c>
      <c r="W811" s="264" t="str">
        <f t="shared" si="63"/>
        <v/>
      </c>
      <c r="X811" s="264" t="str">
        <f t="shared" si="64"/>
        <v/>
      </c>
      <c r="Y811" s="268">
        <f>IFERROR(INDEX(Rainfall_Dry!$O$2:$O$217,MATCH(B811, Rainfall_Dry!$A$2:$A$217,0)),"")</f>
        <v>137.19979645800001</v>
      </c>
      <c r="Z811" s="257">
        <v>39.96</v>
      </c>
      <c r="AA811" s="257">
        <v>12.920000000000002</v>
      </c>
      <c r="AB811" s="257">
        <v>47.12</v>
      </c>
      <c r="AC811" s="258" t="s">
        <v>2658</v>
      </c>
      <c r="AD811" s="257">
        <v>6.6549531789058696</v>
      </c>
      <c r="AE811">
        <f>IF('WetLitterbags placem_collection'!AB152="","",'WetLitterbags placem_collection'!AB152)</f>
        <v>2.75</v>
      </c>
      <c r="AF811">
        <f>IF('WetLitterbags placem_collection'!Z152="","",'WetLitterbags placem_collection'!Z152)</f>
        <v>19</v>
      </c>
      <c r="AG811" s="243" t="str">
        <f>IF('WetLitterbags placem_collection'!AA152="","",'WetLitterbags placem_collection'!AA152)</f>
        <v>O</v>
      </c>
      <c r="AH811">
        <f>IF('WetLitterbags placem_collection'!AC152="","",'WetLitterbags placem_collection'!AC152)</f>
        <v>0</v>
      </c>
      <c r="AI811">
        <f>IFERROR(AVERAGE('Dry_Litterbag Placem_Collection'!O152,'Dry_Litterbag Placem_Collection'!R152),"")</f>
        <v>6.1999999999999993</v>
      </c>
      <c r="AJ811" s="268">
        <f>IFERROR(AVERAGE('Dry_Litterbag Placem_Collection'!N152,'Dry_Litterbag Placem_Collection'!Q152),"")</f>
        <v>30.8</v>
      </c>
      <c r="AK811" s="267">
        <f>INDEX(Coordinates!$B$2:$B$197,MATCH(H811,Coordinates!$J$2:$J$197,0))</f>
        <v>-2.3675230329999999</v>
      </c>
      <c r="AL811" s="267">
        <f>INDEX(Coordinates!$C$2:$C$197,MATCH(H811,Coordinates!$J$2:$J$197,0))</f>
        <v>34.060512969999998</v>
      </c>
      <c r="AM811" s="267" t="str">
        <f>IF(ISNUMBER(SEARCH("C", 'Dry_Litterbag Placem_Collection'!V152)),"YES","NO")</f>
        <v>NO</v>
      </c>
      <c r="AN811" s="267" t="str">
        <f>IF(ISNUMBER(SEARCH("H", 'Dry_Litterbag Placem_Collection'!V152)),"YES","NO")</f>
        <v>NO</v>
      </c>
      <c r="AO811" s="267" t="str">
        <f>IF(ISNUMBER(SEARCH("R", 'Dry_Litterbag Placem_Collection'!V152)),"YES","NO")</f>
        <v>NO</v>
      </c>
    </row>
    <row r="812" spans="1:41" ht="15" customHeight="1">
      <c r="A812" s="259" t="s">
        <v>2643</v>
      </c>
      <c r="B812" s="260">
        <f>'Dry_Litterbag Placem_Collection'!A153</f>
        <v>151</v>
      </c>
      <c r="C812" s="260" t="str">
        <f>'Dry_Litterbag Placem_Collection'!B153</f>
        <v xml:space="preserve">Mwantimba
</v>
      </c>
      <c r="D812" s="260" t="s">
        <v>2454</v>
      </c>
      <c r="E812" s="260" t="s">
        <v>20</v>
      </c>
      <c r="F812" s="260">
        <v>3</v>
      </c>
      <c r="G812" s="260" t="s">
        <v>3823</v>
      </c>
      <c r="H812" s="261" t="str">
        <f>'Dry_Litterbag Placem_Collection'!C153</f>
        <v>Wet_P3_T7</v>
      </c>
      <c r="I812" s="270" t="s">
        <v>3630</v>
      </c>
      <c r="J812" s="271" t="s">
        <v>298</v>
      </c>
      <c r="K812" s="260" t="str">
        <f>IF(ISBLANK('Dry_Litterbag Placem_Collection'!M153),"","R"&amp;""&amp;'Dry_Litterbag Placem_Collection'!M153)</f>
        <v/>
      </c>
      <c r="L812" s="264" t="str">
        <f>IFERROR(INDEX('Green_rooibos initial weight'!$C$5:$C$2000,MATCH(K812, 'Green_rooibos initial weight'!$A$5:$A$2000,0)),"")</f>
        <v/>
      </c>
      <c r="M812" s="264" t="str">
        <f>IFERROR(L812-(TBIcalc!$Q$9+TBIcalc!$Q$10),"")</f>
        <v/>
      </c>
      <c r="N812" s="385">
        <f>AVERAGE(Ashed_controlls!$K$12:$K$14)</f>
        <v>2.2816647271287041</v>
      </c>
      <c r="O812" s="264" t="str">
        <f t="shared" si="61"/>
        <v/>
      </c>
      <c r="P812" s="264" t="str">
        <f>IFERROR(INDEX('Both teabags AfterDry'!$D$2:$D$2000,MATCH(K812,'Both teabags AfterDry'!$A$2:$A$2000,0)),"")</f>
        <v/>
      </c>
      <c r="Q812" s="264" t="str">
        <f>IFERROR(IF(P812&gt;0,P812-(TBIcalc!$Q$9),""),"")</f>
        <v/>
      </c>
      <c r="R812" s="275" t="str">
        <f>IFERROR(INDEX('Ashed teabags dry'!$K$2:$K$2000,MATCH(K812,'Ashed teabags dry'!$A$2:$A$2000,0)),"")</f>
        <v/>
      </c>
      <c r="S812" s="275" t="str">
        <f t="shared" si="62"/>
        <v/>
      </c>
      <c r="T812" s="265" t="str">
        <f>IF('Dry_Litterbag Placem_Collection'!E153="","",'Dry_Litterbag Placem_Collection'!E153)</f>
        <v/>
      </c>
      <c r="U812" s="265" t="str">
        <f>IF('Dry_Litterbag Placem_Collection'!G153="","",'Dry_Litterbag Placem_Collection'!G153)</f>
        <v/>
      </c>
      <c r="V812" s="266" t="str">
        <f t="shared" si="60"/>
        <v/>
      </c>
      <c r="W812" s="264" t="str">
        <f t="shared" si="63"/>
        <v/>
      </c>
      <c r="X812" s="264" t="str">
        <f t="shared" si="64"/>
        <v/>
      </c>
      <c r="Y812" s="268" t="str">
        <f>IFERROR(INDEX(Rainfall_Dry!$O$2:$O$217,MATCH(B812, Rainfall_Dry!$A$2:$A$217,0)),"")</f>
        <v/>
      </c>
      <c r="Z812" s="257">
        <v>39.96</v>
      </c>
      <c r="AA812" s="257">
        <v>12.920000000000002</v>
      </c>
      <c r="AB812" s="257">
        <v>47.12</v>
      </c>
      <c r="AC812" s="258" t="s">
        <v>2658</v>
      </c>
      <c r="AD812" s="257">
        <v>7.6549531789058696</v>
      </c>
      <c r="AE812">
        <f>IF('WetLitterbags placem_collection'!AB153="","",'WetLitterbags placem_collection'!AB153)</f>
        <v>1.4</v>
      </c>
      <c r="AF812">
        <f>IF('WetLitterbags placem_collection'!Z153="","",'WetLitterbags placem_collection'!Z153)</f>
        <v>7.9</v>
      </c>
      <c r="AG812" s="243" t="str">
        <f>IF('WetLitterbags placem_collection'!AA153="","",'WetLitterbags placem_collection'!AA153)</f>
        <v>O</v>
      </c>
      <c r="AH812">
        <f>IF('WetLitterbags placem_collection'!AC153="","",'WetLitterbags placem_collection'!AC153)</f>
        <v>1</v>
      </c>
      <c r="AI812" t="str">
        <f>IFERROR(AVERAGE('Dry_Litterbag Placem_Collection'!O153,'Dry_Litterbag Placem_Collection'!R153),"")</f>
        <v/>
      </c>
      <c r="AJ812" s="268" t="str">
        <f>IFERROR(AVERAGE('Dry_Litterbag Placem_Collection'!N153,'Dry_Litterbag Placem_Collection'!Q153),"")</f>
        <v/>
      </c>
      <c r="AK812" s="267">
        <f>INDEX(Coordinates!$B$2:$B$197,MATCH(H812,Coordinates!$J$2:$J$197,0))</f>
        <v>-2.3673460070000001</v>
      </c>
      <c r="AL812" s="267">
        <f>INDEX(Coordinates!$C$2:$C$197,MATCH(H812,Coordinates!$J$2:$J$197,0))</f>
        <v>34.060310039999997</v>
      </c>
      <c r="AM812" s="267" t="str">
        <f>IF(ISNUMBER(SEARCH("C", 'Dry_Litterbag Placem_Collection'!V153)),"YES","NO")</f>
        <v>NO</v>
      </c>
      <c r="AN812" s="267" t="str">
        <f>IF(ISNUMBER(SEARCH("H", 'Dry_Litterbag Placem_Collection'!V153)),"YES","NO")</f>
        <v>NO</v>
      </c>
      <c r="AO812" s="267" t="str">
        <f>IF(ISNUMBER(SEARCH("R", 'Dry_Litterbag Placem_Collection'!V153)),"YES","NO")</f>
        <v>NO</v>
      </c>
    </row>
    <row r="813" spans="1:41" ht="15" customHeight="1">
      <c r="A813" s="259" t="s">
        <v>2643</v>
      </c>
      <c r="B813" s="260">
        <f>'Dry_Litterbag Placem_Collection'!A154</f>
        <v>152</v>
      </c>
      <c r="C813" s="260" t="str">
        <f>'Dry_Litterbag Placem_Collection'!B154</f>
        <v xml:space="preserve">Mwantimba
</v>
      </c>
      <c r="D813" s="260" t="s">
        <v>2454</v>
      </c>
      <c r="E813" s="260" t="s">
        <v>20</v>
      </c>
      <c r="F813" s="260">
        <v>3</v>
      </c>
      <c r="G813" s="260" t="s">
        <v>3823</v>
      </c>
      <c r="H813" s="261" t="str">
        <f>'Dry_Litterbag Placem_Collection'!C154</f>
        <v>Wet_P3_T8</v>
      </c>
      <c r="I813" s="270" t="s">
        <v>3630</v>
      </c>
      <c r="J813" s="271" t="s">
        <v>298</v>
      </c>
      <c r="K813" s="260" t="str">
        <f>IF(ISBLANK('Dry_Litterbag Placem_Collection'!M154),"","R"&amp;""&amp;'Dry_Litterbag Placem_Collection'!M154)</f>
        <v>R635</v>
      </c>
      <c r="L813" s="264">
        <f>IFERROR(INDEX('Green_rooibos initial weight'!$C$5:$C$2000,MATCH(K813, 'Green_rooibos initial weight'!$A$5:$A$2000,0)),"")</f>
        <v>2.1320000000000001</v>
      </c>
      <c r="M813" s="264">
        <f>IFERROR(L813-(TBIcalc!$Q$9+TBIcalc!$Q$10),"")</f>
        <v>1.8822000000000001</v>
      </c>
      <c r="N813" s="385">
        <f>AVERAGE(Ashed_controlls!$K$12:$K$14)</f>
        <v>2.2816647271287041</v>
      </c>
      <c r="O813" s="264">
        <f t="shared" si="61"/>
        <v>1.8392545065059835</v>
      </c>
      <c r="P813" s="264">
        <f>IFERROR(INDEX('Both teabags AfterDry'!$D$2:$D$2000,MATCH(K813,'Both teabags AfterDry'!$A$2:$A$2000,0)),"")</f>
        <v>1.9524999999999999</v>
      </c>
      <c r="Q813" s="264">
        <f>IFERROR(IF(P813&gt;0,P813-(TBIcalc!$Q$9),""),"")</f>
        <v>1.8018999999999998</v>
      </c>
      <c r="R813" s="275">
        <f>IFERROR(INDEX('Ashed teabags dry'!$K$2:$K$2000,MATCH(K813,'Ashed teabags dry'!$A$2:$A$2000,0)),"")</f>
        <v>3.6981509245371296</v>
      </c>
      <c r="S813" s="275">
        <f t="shared" si="62"/>
        <v>1.7352630184907654</v>
      </c>
      <c r="T813" s="265">
        <f>IF('Dry_Litterbag Placem_Collection'!E154="","",'Dry_Litterbag Placem_Collection'!E154)</f>
        <v>42939</v>
      </c>
      <c r="U813" s="265">
        <f>IF('Dry_Litterbag Placem_Collection'!G154="","",'Dry_Litterbag Placem_Collection'!G154)</f>
        <v>43010</v>
      </c>
      <c r="V813" s="266">
        <f t="shared" si="60"/>
        <v>71</v>
      </c>
      <c r="W813" s="264">
        <f t="shared" si="63"/>
        <v>8.030000000000026E-2</v>
      </c>
      <c r="X813" s="264">
        <f t="shared" si="64"/>
        <v>0.10399148801521818</v>
      </c>
      <c r="Y813" s="268">
        <f>IFERROR(INDEX(Rainfall_Dry!$O$2:$O$217,MATCH(B813, Rainfall_Dry!$A$2:$A$217,0)),"")</f>
        <v>137.19979645800001</v>
      </c>
      <c r="Z813" s="257">
        <v>39.96</v>
      </c>
      <c r="AA813" s="257">
        <v>12.920000000000002</v>
      </c>
      <c r="AB813" s="257">
        <v>47.12</v>
      </c>
      <c r="AC813" s="258" t="s">
        <v>2658</v>
      </c>
      <c r="AD813" s="257">
        <v>8.6549531789058705</v>
      </c>
      <c r="AE813">
        <f>IF('WetLitterbags placem_collection'!AB154="","",'WetLitterbags placem_collection'!AB154)</f>
        <v>2.2000000000000002</v>
      </c>
      <c r="AF813">
        <f>IF('WetLitterbags placem_collection'!Z154="","",'WetLitterbags placem_collection'!Z154)</f>
        <v>15</v>
      </c>
      <c r="AG813" s="243" t="str">
        <f>IF('WetLitterbags placem_collection'!AA154="","",'WetLitterbags placem_collection'!AA154)</f>
        <v>M</v>
      </c>
      <c r="AH813">
        <f>IF('WetLitterbags placem_collection'!AC154="","",'WetLitterbags placem_collection'!AC154)</f>
        <v>0</v>
      </c>
      <c r="AI813">
        <f>IFERROR(AVERAGE('Dry_Litterbag Placem_Collection'!O154,'Dry_Litterbag Placem_Collection'!R154),"")</f>
        <v>6.4</v>
      </c>
      <c r="AJ813" s="268">
        <f>IFERROR(AVERAGE('Dry_Litterbag Placem_Collection'!N154,'Dry_Litterbag Placem_Collection'!Q154),"")</f>
        <v>28.45</v>
      </c>
      <c r="AK813" s="267">
        <f>INDEX(Coordinates!$B$2:$B$197,MATCH(H813,Coordinates!$J$2:$J$197,0))</f>
        <v>-2.367543988</v>
      </c>
      <c r="AL813" s="267">
        <f>INDEX(Coordinates!$C$2:$C$197,MATCH(H813,Coordinates!$J$2:$J$197,0))</f>
        <v>34.060168969999999</v>
      </c>
      <c r="AM813" s="267" t="str">
        <f>IF(ISNUMBER(SEARCH("C", 'Dry_Litterbag Placem_Collection'!V154)),"YES","NO")</f>
        <v>NO</v>
      </c>
      <c r="AN813" s="267" t="str">
        <f>IF(ISNUMBER(SEARCH("H", 'Dry_Litterbag Placem_Collection'!V154)),"YES","NO")</f>
        <v>NO</v>
      </c>
      <c r="AO813" s="267" t="str">
        <f>IF(ISNUMBER(SEARCH("R", 'Dry_Litterbag Placem_Collection'!V154)),"YES","NO")</f>
        <v>NO</v>
      </c>
    </row>
    <row r="814" spans="1:41" ht="15" customHeight="1">
      <c r="A814" s="259" t="s">
        <v>2643</v>
      </c>
      <c r="B814" s="260">
        <f>'Dry_Litterbag Placem_Collection'!A155</f>
        <v>153</v>
      </c>
      <c r="C814" s="260" t="str">
        <f>'Dry_Litterbag Placem_Collection'!B155</f>
        <v xml:space="preserve">Mwantimba
</v>
      </c>
      <c r="D814" s="260" t="s">
        <v>2454</v>
      </c>
      <c r="E814" s="260" t="s">
        <v>20</v>
      </c>
      <c r="F814" s="260">
        <v>4</v>
      </c>
      <c r="G814" s="260" t="s">
        <v>3824</v>
      </c>
      <c r="H814" s="261" t="str">
        <f>'Dry_Litterbag Placem_Collection'!C155</f>
        <v>Wet_P4_T1</v>
      </c>
      <c r="I814" s="270" t="s">
        <v>3630</v>
      </c>
      <c r="J814" s="271" t="s">
        <v>298</v>
      </c>
      <c r="K814" s="260" t="str">
        <f>IF(ISBLANK('Dry_Litterbag Placem_Collection'!M155),"","R"&amp;""&amp;'Dry_Litterbag Placem_Collection'!M155)</f>
        <v>R651</v>
      </c>
      <c r="L814" s="264">
        <f>IFERROR(INDEX('Green_rooibos initial weight'!$C$5:$C$2000,MATCH(K814, 'Green_rooibos initial weight'!$A$5:$A$2000,0)),"")</f>
        <v>2.2349999999999999</v>
      </c>
      <c r="M814" s="264">
        <f>IFERROR(L814-(TBIcalc!$Q$9+TBIcalc!$Q$10),"")</f>
        <v>1.9851999999999999</v>
      </c>
      <c r="N814" s="385">
        <f>AVERAGE(Ashed_controlls!$K$12:$K$14)</f>
        <v>2.2816647271287041</v>
      </c>
      <c r="O814" s="264">
        <f t="shared" si="61"/>
        <v>1.9399043918370409</v>
      </c>
      <c r="P814" s="264">
        <f>IFERROR(INDEX('Both teabags AfterDry'!$D$2:$D$2000,MATCH(K814,'Both teabags AfterDry'!$A$2:$A$2000,0)),"")</f>
        <v>2.0049000000000001</v>
      </c>
      <c r="Q814" s="264">
        <f>IFERROR(IF(P814&gt;0,P814-(TBIcalc!$Q$9),""),"")</f>
        <v>1.8543000000000001</v>
      </c>
      <c r="R814" s="275">
        <f>IFERROR(INDEX('Ashed teabags dry'!$K$2:$K$2000,MATCH(K814,'Ashed teabags dry'!$A$2:$A$2000,0)),"")</f>
        <v>4.6750818139321764</v>
      </c>
      <c r="S814" s="275">
        <f t="shared" si="62"/>
        <v>1.7676099579242557</v>
      </c>
      <c r="T814" s="265">
        <f>IF('Dry_Litterbag Placem_Collection'!E155="","",'Dry_Litterbag Placem_Collection'!E155)</f>
        <v>42939</v>
      </c>
      <c r="U814" s="265">
        <f>IF('Dry_Litterbag Placem_Collection'!G155="","",'Dry_Litterbag Placem_Collection'!G155)</f>
        <v>43010</v>
      </c>
      <c r="V814" s="266">
        <f t="shared" si="60"/>
        <v>71</v>
      </c>
      <c r="W814" s="264">
        <f t="shared" si="63"/>
        <v>0.13089999999999979</v>
      </c>
      <c r="X814" s="264">
        <f t="shared" si="64"/>
        <v>0.17229443391278521</v>
      </c>
      <c r="Y814" s="268">
        <f>IFERROR(INDEX(Rainfall_Dry!$O$2:$O$217,MATCH(B814, Rainfall_Dry!$A$2:$A$217,0)),"")</f>
        <v>137.19979645800001</v>
      </c>
      <c r="Z814" s="257">
        <v>27.96</v>
      </c>
      <c r="AA814" s="257">
        <v>4.9200000000000017</v>
      </c>
      <c r="AB814" s="257">
        <v>67.12</v>
      </c>
      <c r="AC814" s="258" t="s">
        <v>2654</v>
      </c>
      <c r="AD814" s="257">
        <v>1.0437161163134547</v>
      </c>
      <c r="AE814">
        <f>IF('WetLitterbags placem_collection'!AB155="","",'WetLitterbags placem_collection'!AB155)</f>
        <v>2.1</v>
      </c>
      <c r="AF814">
        <f>IF('WetLitterbags placem_collection'!Z155="","",'WetLitterbags placem_collection'!Z155)</f>
        <v>16.399999999999999</v>
      </c>
      <c r="AG814" s="243" t="str">
        <f>IF('WetLitterbags placem_collection'!AA155="","",'WetLitterbags placem_collection'!AA155)</f>
        <v>G</v>
      </c>
      <c r="AH814">
        <f>IF('WetLitterbags placem_collection'!AC155="","",'WetLitterbags placem_collection'!AC155)</f>
        <v>0</v>
      </c>
      <c r="AI814">
        <f>IFERROR(AVERAGE('Dry_Litterbag Placem_Collection'!O155,'Dry_Litterbag Placem_Collection'!R155),"")</f>
        <v>5.65</v>
      </c>
      <c r="AJ814" s="268">
        <f>IFERROR(AVERAGE('Dry_Litterbag Placem_Collection'!N155,'Dry_Litterbag Placem_Collection'!Q155),"")</f>
        <v>31.65</v>
      </c>
      <c r="AK814" s="267">
        <f>INDEX(Coordinates!$B$2:$B$197,MATCH(H814,Coordinates!$J$2:$J$197,0))</f>
        <v>-2.3676780150000001</v>
      </c>
      <c r="AL814" s="267">
        <f>INDEX(Coordinates!$C$2:$C$197,MATCH(H814,Coordinates!$J$2:$J$197,0))</f>
        <v>34.05937797</v>
      </c>
      <c r="AM814" s="267" t="str">
        <f>IF(ISNUMBER(SEARCH("C", 'Dry_Litterbag Placem_Collection'!V155)),"YES","NO")</f>
        <v>NO</v>
      </c>
      <c r="AN814" s="267" t="str">
        <f>IF(ISNUMBER(SEARCH("H", 'Dry_Litterbag Placem_Collection'!V155)),"YES","NO")</f>
        <v>NO</v>
      </c>
      <c r="AO814" s="267" t="str">
        <f>IF(ISNUMBER(SEARCH("R", 'Dry_Litterbag Placem_Collection'!V155)),"YES","NO")</f>
        <v>NO</v>
      </c>
    </row>
    <row r="815" spans="1:41" ht="15" customHeight="1">
      <c r="A815" s="259" t="s">
        <v>2643</v>
      </c>
      <c r="B815" s="260">
        <f>'Dry_Litterbag Placem_Collection'!A156</f>
        <v>154</v>
      </c>
      <c r="C815" s="260" t="str">
        <f>'Dry_Litterbag Placem_Collection'!B156</f>
        <v xml:space="preserve">Mwantimba
</v>
      </c>
      <c r="D815" s="260" t="s">
        <v>2454</v>
      </c>
      <c r="E815" s="260" t="s">
        <v>20</v>
      </c>
      <c r="F815" s="260">
        <v>4</v>
      </c>
      <c r="G815" s="260" t="s">
        <v>3824</v>
      </c>
      <c r="H815" s="261" t="str">
        <f>'Dry_Litterbag Placem_Collection'!C156</f>
        <v>Wet_P4_T2</v>
      </c>
      <c r="I815" s="270" t="s">
        <v>3630</v>
      </c>
      <c r="J815" s="271" t="s">
        <v>298</v>
      </c>
      <c r="K815" s="260" t="str">
        <f>IF(ISBLANK('Dry_Litterbag Placem_Collection'!M156),"","R"&amp;""&amp;'Dry_Litterbag Placem_Collection'!M156)</f>
        <v>R367</v>
      </c>
      <c r="L815" s="264">
        <f>IFERROR(INDEX('Green_rooibos initial weight'!$C$5:$C$2000,MATCH(K815, 'Green_rooibos initial weight'!$A$5:$A$2000,0)),"")</f>
        <v>2.165</v>
      </c>
      <c r="M815" s="264">
        <f>IFERROR(L815-(TBIcalc!$Q$9+TBIcalc!$Q$10),"")</f>
        <v>1.9152</v>
      </c>
      <c r="N815" s="385">
        <f>AVERAGE(Ashed_controlls!$K$12:$K$14)</f>
        <v>2.2816647271287041</v>
      </c>
      <c r="O815" s="264">
        <f t="shared" si="61"/>
        <v>1.8715015571460312</v>
      </c>
      <c r="P815" s="264">
        <f>IFERROR(INDEX('Both teabags AfterDry'!$D$2:$D$2000,MATCH(K815,'Both teabags AfterDry'!$A$2:$A$2000,0)),"")</f>
        <v>1.8496999999999999</v>
      </c>
      <c r="Q815" s="264">
        <f>IFERROR(IF(P815&gt;0,P815-(TBIcalc!$Q$9),""),"")</f>
        <v>1.6990999999999998</v>
      </c>
      <c r="R815" s="275">
        <f>IFERROR(INDEX('Ashed teabags dry'!$K$2:$K$2000,MATCH(K815,'Ashed teabags dry'!$A$2:$A$2000,0)),"")</f>
        <v>2.917264466762604</v>
      </c>
      <c r="S815" s="275">
        <f t="shared" si="62"/>
        <v>1.6495327594452365</v>
      </c>
      <c r="T815" s="265">
        <f>IF('Dry_Litterbag Placem_Collection'!E156="","",'Dry_Litterbag Placem_Collection'!E156)</f>
        <v>42939</v>
      </c>
      <c r="U815" s="265">
        <f>IF('Dry_Litterbag Placem_Collection'!G156="","",'Dry_Litterbag Placem_Collection'!G156)</f>
        <v>43010</v>
      </c>
      <c r="V815" s="266">
        <f t="shared" si="60"/>
        <v>71</v>
      </c>
      <c r="W815" s="264">
        <f t="shared" si="63"/>
        <v>0.21610000000000018</v>
      </c>
      <c r="X815" s="264">
        <f t="shared" si="64"/>
        <v>0.2219687977007947</v>
      </c>
      <c r="Y815" s="268">
        <f>IFERROR(INDEX(Rainfall_Dry!$O$2:$O$217,MATCH(B815, Rainfall_Dry!$A$2:$A$217,0)),"")</f>
        <v>137.19979645800001</v>
      </c>
      <c r="Z815" s="257">
        <v>27.96</v>
      </c>
      <c r="AA815" s="257">
        <v>4.9200000000000017</v>
      </c>
      <c r="AB815" s="257">
        <v>67.12</v>
      </c>
      <c r="AC815" s="258" t="s">
        <v>2654</v>
      </c>
      <c r="AD815" s="257">
        <v>2.0437161163134498</v>
      </c>
      <c r="AE815">
        <f>IF('WetLitterbags placem_collection'!AB156="","",'WetLitterbags placem_collection'!AB156)</f>
        <v>2.15</v>
      </c>
      <c r="AF815">
        <f>IF('WetLitterbags placem_collection'!Z156="","",'WetLitterbags placem_collection'!Z156)</f>
        <v>9</v>
      </c>
      <c r="AG815" s="243" t="str">
        <f>IF('WetLitterbags placem_collection'!AA156="","",'WetLitterbags placem_collection'!AA156)</f>
        <v>G</v>
      </c>
      <c r="AH815">
        <f>IF('WetLitterbags placem_collection'!AC156="","",'WetLitterbags placem_collection'!AC156)</f>
        <v>0</v>
      </c>
      <c r="AI815">
        <f>IFERROR(AVERAGE('Dry_Litterbag Placem_Collection'!O156,'Dry_Litterbag Placem_Collection'!R156),"")</f>
        <v>4.05</v>
      </c>
      <c r="AJ815" s="268">
        <f>IFERROR(AVERAGE('Dry_Litterbag Placem_Collection'!N156,'Dry_Litterbag Placem_Collection'!Q156),"")</f>
        <v>30.45</v>
      </c>
      <c r="AK815" s="267">
        <f>INDEX(Coordinates!$B$2:$B$197,MATCH(H815,Coordinates!$J$2:$J$197,0))</f>
        <v>-2.3677299820000002</v>
      </c>
      <c r="AL815" s="267">
        <f>INDEX(Coordinates!$C$2:$C$197,MATCH(H815,Coordinates!$J$2:$J$197,0))</f>
        <v>34.059351990000003</v>
      </c>
      <c r="AM815" s="267" t="str">
        <f>IF(ISNUMBER(SEARCH("C", 'Dry_Litterbag Placem_Collection'!V156)),"YES","NO")</f>
        <v>NO</v>
      </c>
      <c r="AN815" s="267" t="str">
        <f>IF(ISNUMBER(SEARCH("H", 'Dry_Litterbag Placem_Collection'!V156)),"YES","NO")</f>
        <v>NO</v>
      </c>
      <c r="AO815" s="267" t="str">
        <f>IF(ISNUMBER(SEARCH("R", 'Dry_Litterbag Placem_Collection'!V156)),"YES","NO")</f>
        <v>NO</v>
      </c>
    </row>
    <row r="816" spans="1:41" ht="15" customHeight="1">
      <c r="A816" s="259" t="s">
        <v>2643</v>
      </c>
      <c r="B816" s="260">
        <f>'Dry_Litterbag Placem_Collection'!A157</f>
        <v>155</v>
      </c>
      <c r="C816" s="260" t="str">
        <f>'Dry_Litterbag Placem_Collection'!B157</f>
        <v xml:space="preserve">Mwantimba
</v>
      </c>
      <c r="D816" s="260" t="s">
        <v>2454</v>
      </c>
      <c r="E816" s="260" t="s">
        <v>20</v>
      </c>
      <c r="F816" s="260">
        <v>4</v>
      </c>
      <c r="G816" s="260" t="s">
        <v>3824</v>
      </c>
      <c r="H816" s="261" t="str">
        <f>'Dry_Litterbag Placem_Collection'!C157</f>
        <v>Wet_P4_T3</v>
      </c>
      <c r="I816" s="270" t="s">
        <v>3630</v>
      </c>
      <c r="J816" s="271" t="s">
        <v>298</v>
      </c>
      <c r="K816" s="260" t="str">
        <f>IF(ISBLANK('Dry_Litterbag Placem_Collection'!M157),"","R"&amp;""&amp;'Dry_Litterbag Placem_Collection'!M157)</f>
        <v>R617</v>
      </c>
      <c r="L816" s="264">
        <f>IFERROR(INDEX('Green_rooibos initial weight'!$C$5:$C$2000,MATCH(K816, 'Green_rooibos initial weight'!$A$5:$A$2000,0)),"")</f>
        <v>2.2010000000000001</v>
      </c>
      <c r="M816" s="264">
        <f>IFERROR(L816-(TBIcalc!$Q$9+TBIcalc!$Q$10),"")</f>
        <v>1.9512</v>
      </c>
      <c r="N816" s="385">
        <f>AVERAGE(Ashed_controlls!$K$12:$K$14)</f>
        <v>2.2816647271287041</v>
      </c>
      <c r="O816" s="264">
        <f t="shared" si="61"/>
        <v>1.9066801578442647</v>
      </c>
      <c r="P816" s="264">
        <f>IFERROR(INDEX('Both teabags AfterDry'!$D$2:$D$2000,MATCH(K816,'Both teabags AfterDry'!$A$2:$A$2000,0)),"")</f>
        <v>1.8621000000000001</v>
      </c>
      <c r="Q816" s="264">
        <f>IFERROR(IF(P816&gt;0,P816-(TBIcalc!$Q$9),""),"")</f>
        <v>1.7115</v>
      </c>
      <c r="R816" s="275">
        <f>IFERROR(INDEX('Ashed teabags dry'!$K$2:$K$2000,MATCH(K816,'Ashed teabags dry'!$A$2:$A$2000,0)),"")</f>
        <v>2.5172754195451326</v>
      </c>
      <c r="S816" s="275">
        <f t="shared" si="62"/>
        <v>1.6684168311944851</v>
      </c>
      <c r="T816" s="265">
        <f>IF('Dry_Litterbag Placem_Collection'!E157="","",'Dry_Litterbag Placem_Collection'!E157)</f>
        <v>42939</v>
      </c>
      <c r="U816" s="265">
        <f>IF('Dry_Litterbag Placem_Collection'!G157="","",'Dry_Litterbag Placem_Collection'!G157)</f>
        <v>43010</v>
      </c>
      <c r="V816" s="266">
        <f t="shared" si="60"/>
        <v>71</v>
      </c>
      <c r="W816" s="264">
        <f t="shared" si="63"/>
        <v>0.23970000000000002</v>
      </c>
      <c r="X816" s="264">
        <f t="shared" si="64"/>
        <v>0.23826332664977956</v>
      </c>
      <c r="Y816" s="268">
        <f>IFERROR(INDEX(Rainfall_Dry!$O$2:$O$217,MATCH(B816, Rainfall_Dry!$A$2:$A$217,0)),"")</f>
        <v>137.19979645800001</v>
      </c>
      <c r="Z816" s="257">
        <v>27.96</v>
      </c>
      <c r="AA816" s="257">
        <v>4.9200000000000017</v>
      </c>
      <c r="AB816" s="257">
        <v>67.12</v>
      </c>
      <c r="AC816" s="258" t="s">
        <v>2654</v>
      </c>
      <c r="AD816" s="257">
        <v>3.0437161163134498</v>
      </c>
      <c r="AE816">
        <f>IF('WetLitterbags placem_collection'!AB157="","",'WetLitterbags placem_collection'!AB157)</f>
        <v>1.2</v>
      </c>
      <c r="AF816">
        <f>IF('WetLitterbags placem_collection'!Z157="","",'WetLitterbags placem_collection'!Z157)</f>
        <v>11</v>
      </c>
      <c r="AG816" s="243" t="str">
        <f>IF('WetLitterbags placem_collection'!AA157="","",'WetLitterbags placem_collection'!AA157)</f>
        <v>G</v>
      </c>
      <c r="AH816">
        <f>IF('WetLitterbags placem_collection'!AC157="","",'WetLitterbags placem_collection'!AC157)</f>
        <v>0</v>
      </c>
      <c r="AI816">
        <f>IFERROR(AVERAGE('Dry_Litterbag Placem_Collection'!O157,'Dry_Litterbag Placem_Collection'!R157),"")</f>
        <v>5.0999999999999996</v>
      </c>
      <c r="AJ816" s="268">
        <f>IFERROR(AVERAGE('Dry_Litterbag Placem_Collection'!N157,'Dry_Litterbag Placem_Collection'!Q157),"")</f>
        <v>29.4</v>
      </c>
      <c r="AK816" s="267">
        <f>INDEX(Coordinates!$B$2:$B$197,MATCH(H816,Coordinates!$J$2:$J$197,0))</f>
        <v>-2.3677119609999999</v>
      </c>
      <c r="AL816" s="267">
        <f>INDEX(Coordinates!$C$2:$C$197,MATCH(H816,Coordinates!$J$2:$J$197,0))</f>
        <v>34.059339000000001</v>
      </c>
      <c r="AM816" s="267" t="str">
        <f>IF(ISNUMBER(SEARCH("C", 'Dry_Litterbag Placem_Collection'!V157)),"YES","NO")</f>
        <v>NO</v>
      </c>
      <c r="AN816" s="267" t="str">
        <f>IF(ISNUMBER(SEARCH("H", 'Dry_Litterbag Placem_Collection'!V157)),"YES","NO")</f>
        <v>NO</v>
      </c>
      <c r="AO816" s="267" t="str">
        <f>IF(ISNUMBER(SEARCH("R", 'Dry_Litterbag Placem_Collection'!V157)),"YES","NO")</f>
        <v>NO</v>
      </c>
    </row>
    <row r="817" spans="1:41" ht="15" customHeight="1">
      <c r="A817" s="259" t="s">
        <v>2643</v>
      </c>
      <c r="B817" s="260">
        <f>'Dry_Litterbag Placem_Collection'!A158</f>
        <v>156</v>
      </c>
      <c r="C817" s="260" t="str">
        <f>'Dry_Litterbag Placem_Collection'!B158</f>
        <v xml:space="preserve">Mwantimba
</v>
      </c>
      <c r="D817" s="260" t="s">
        <v>2454</v>
      </c>
      <c r="E817" s="260" t="s">
        <v>20</v>
      </c>
      <c r="F817" s="260">
        <v>4</v>
      </c>
      <c r="G817" s="260" t="s">
        <v>3824</v>
      </c>
      <c r="H817" s="261" t="str">
        <f>'Dry_Litterbag Placem_Collection'!C158</f>
        <v>Wet_P4_T4</v>
      </c>
      <c r="I817" s="270" t="s">
        <v>3630</v>
      </c>
      <c r="J817" s="271" t="s">
        <v>298</v>
      </c>
      <c r="K817" s="260" t="str">
        <f>IF(ISBLANK('Dry_Litterbag Placem_Collection'!M158),"","R"&amp;""&amp;'Dry_Litterbag Placem_Collection'!M158)</f>
        <v>R84</v>
      </c>
      <c r="L817" s="264">
        <f>IFERROR(INDEX('Green_rooibos initial weight'!$C$5:$C$2000,MATCH(K817, 'Green_rooibos initial weight'!$A$5:$A$2000,0)),"")</f>
        <v>2.1629999999999998</v>
      </c>
      <c r="M817" s="264">
        <f>IFERROR(L817-(TBIcalc!$Q$9+TBIcalc!$Q$10),"")</f>
        <v>1.9131999999999998</v>
      </c>
      <c r="N817" s="385">
        <f>AVERAGE(Ashed_controlls!$K$12:$K$14)</f>
        <v>2.2816647271287041</v>
      </c>
      <c r="O817" s="264">
        <f t="shared" si="61"/>
        <v>1.8695471904405734</v>
      </c>
      <c r="P817" s="264">
        <f>IFERROR(INDEX('Both teabags AfterDry'!$D$2:$D$2000,MATCH(K817,'Both teabags AfterDry'!$A$2:$A$2000,0)),"")</f>
        <v>1.8827</v>
      </c>
      <c r="Q817" s="264">
        <f>IFERROR(IF(P817&gt;0,P817-(TBIcalc!$Q$9),""),"")</f>
        <v>1.7321</v>
      </c>
      <c r="R817" s="275">
        <f>IFERROR(INDEX('Ashed teabags dry'!$K$2:$K$2000,MATCH(K817,'Ashed teabags dry'!$A$2:$A$2000,0)),"")</f>
        <v>7.2855953372191182</v>
      </c>
      <c r="S817" s="275">
        <f t="shared" si="62"/>
        <v>1.6059062031640277</v>
      </c>
      <c r="T817" s="265">
        <f>IF('Dry_Litterbag Placem_Collection'!E158="","",'Dry_Litterbag Placem_Collection'!E158)</f>
        <v>42939</v>
      </c>
      <c r="U817" s="265">
        <f>IF('Dry_Litterbag Placem_Collection'!G158="","",'Dry_Litterbag Placem_Collection'!G158)</f>
        <v>43010</v>
      </c>
      <c r="V817" s="266">
        <f t="shared" si="60"/>
        <v>71</v>
      </c>
      <c r="W817" s="264">
        <f t="shared" si="63"/>
        <v>0.18109999999999982</v>
      </c>
      <c r="X817" s="264">
        <f t="shared" si="64"/>
        <v>0.26364098727654572</v>
      </c>
      <c r="Y817" s="268">
        <f>IFERROR(INDEX(Rainfall_Dry!$O$2:$O$217,MATCH(B817, Rainfall_Dry!$A$2:$A$217,0)),"")</f>
        <v>137.19979645800001</v>
      </c>
      <c r="Z817" s="257">
        <v>27.96</v>
      </c>
      <c r="AA817" s="257">
        <v>4.9200000000000017</v>
      </c>
      <c r="AB817" s="257">
        <v>67.12</v>
      </c>
      <c r="AC817" s="258" t="s">
        <v>2654</v>
      </c>
      <c r="AD817" s="257">
        <v>4.0437161163134503</v>
      </c>
      <c r="AE817">
        <f>IF('WetLitterbags placem_collection'!AB158="","",'WetLitterbags placem_collection'!AB158)</f>
        <v>1.55</v>
      </c>
      <c r="AF817">
        <f>IF('WetLitterbags placem_collection'!Z158="","",'WetLitterbags placem_collection'!Z158)</f>
        <v>9.1</v>
      </c>
      <c r="AG817" s="243" t="str">
        <f>IF('WetLitterbags placem_collection'!AA158="","",'WetLitterbags placem_collection'!AA158)</f>
        <v>O</v>
      </c>
      <c r="AH817">
        <f>IF('WetLitterbags placem_collection'!AC158="","",'WetLitterbags placem_collection'!AC158)</f>
        <v>0</v>
      </c>
      <c r="AI817">
        <f>IFERROR(AVERAGE('Dry_Litterbag Placem_Collection'!O158,'Dry_Litterbag Placem_Collection'!R158),"")</f>
        <v>4.5</v>
      </c>
      <c r="AJ817" s="268">
        <f>IFERROR(AVERAGE('Dry_Litterbag Placem_Collection'!N158,'Dry_Litterbag Placem_Collection'!Q158),"")</f>
        <v>30.35</v>
      </c>
      <c r="AK817" s="267">
        <f>INDEX(Coordinates!$B$2:$B$197,MATCH(H817,Coordinates!$J$2:$J$197,0))</f>
        <v>-2.3676950300000001</v>
      </c>
      <c r="AL817" s="267">
        <f>INDEX(Coordinates!$C$2:$C$197,MATCH(H817,Coordinates!$J$2:$J$197,0))</f>
        <v>34.059499010000003</v>
      </c>
      <c r="AM817" s="267" t="str">
        <f>IF(ISNUMBER(SEARCH("C", 'Dry_Litterbag Placem_Collection'!V158)),"YES","NO")</f>
        <v>NO</v>
      </c>
      <c r="AN817" s="267" t="str">
        <f>IF(ISNUMBER(SEARCH("H", 'Dry_Litterbag Placem_Collection'!V158)),"YES","NO")</f>
        <v>NO</v>
      </c>
      <c r="AO817" s="267" t="str">
        <f>IF(ISNUMBER(SEARCH("R", 'Dry_Litterbag Placem_Collection'!V158)),"YES","NO")</f>
        <v>NO</v>
      </c>
    </row>
    <row r="818" spans="1:41" ht="15" customHeight="1">
      <c r="A818" s="259" t="s">
        <v>2643</v>
      </c>
      <c r="B818" s="260">
        <f>'Dry_Litterbag Placem_Collection'!A159</f>
        <v>157</v>
      </c>
      <c r="C818" s="260" t="str">
        <f>'Dry_Litterbag Placem_Collection'!B159</f>
        <v xml:space="preserve">Mwantimba
</v>
      </c>
      <c r="D818" s="260" t="s">
        <v>2454</v>
      </c>
      <c r="E818" s="260" t="s">
        <v>20</v>
      </c>
      <c r="F818" s="260">
        <v>4</v>
      </c>
      <c r="G818" s="260" t="s">
        <v>3824</v>
      </c>
      <c r="H818" s="261" t="str">
        <f>'Dry_Litterbag Placem_Collection'!C159</f>
        <v>Wet_P4_T5</v>
      </c>
      <c r="I818" s="270" t="s">
        <v>3630</v>
      </c>
      <c r="J818" s="271" t="s">
        <v>298</v>
      </c>
      <c r="K818" s="260" t="str">
        <f>IF(ISBLANK('Dry_Litterbag Placem_Collection'!M159),"","R"&amp;""&amp;'Dry_Litterbag Placem_Collection'!M159)</f>
        <v>R248</v>
      </c>
      <c r="L818" s="264">
        <f>IFERROR(INDEX('Green_rooibos initial weight'!$C$5:$C$2000,MATCH(K818, 'Green_rooibos initial weight'!$A$5:$A$2000,0)),"")</f>
        <v>2.1829999999999998</v>
      </c>
      <c r="M818" s="264">
        <f>IFERROR(L818-(TBIcalc!$Q$9+TBIcalc!$Q$10),"")</f>
        <v>1.9331999999999998</v>
      </c>
      <c r="N818" s="385">
        <f>AVERAGE(Ashed_controlls!$K$12:$K$14)</f>
        <v>2.2816647271287041</v>
      </c>
      <c r="O818" s="264">
        <f t="shared" si="61"/>
        <v>1.8890908574951477</v>
      </c>
      <c r="P818" s="264" t="str">
        <f>IFERROR(INDEX('Both teabags AfterDry'!$D$2:$D$2000,MATCH(K818,'Both teabags AfterDry'!$A$2:$A$2000,0)),"")</f>
        <v/>
      </c>
      <c r="Q818" s="264" t="str">
        <f>IFERROR(IF(P818&gt;0,P818-(TBIcalc!$Q$9),""),"")</f>
        <v/>
      </c>
      <c r="R818" s="275" t="str">
        <f>IFERROR(INDEX('Ashed teabags dry'!$K$2:$K$2000,MATCH(K818,'Ashed teabags dry'!$A$2:$A$2000,0)),"")</f>
        <v/>
      </c>
      <c r="S818" s="275" t="str">
        <f t="shared" si="62"/>
        <v/>
      </c>
      <c r="T818" s="265">
        <f>IF('Dry_Litterbag Placem_Collection'!E159="","",'Dry_Litterbag Placem_Collection'!E159)</f>
        <v>42939</v>
      </c>
      <c r="U818" s="265">
        <f>IF('Dry_Litterbag Placem_Collection'!G159="","",'Dry_Litterbag Placem_Collection'!G159)</f>
        <v>43010</v>
      </c>
      <c r="V818" s="266">
        <f t="shared" si="60"/>
        <v>71</v>
      </c>
      <c r="W818" s="264" t="str">
        <f t="shared" si="63"/>
        <v/>
      </c>
      <c r="X818" s="264" t="str">
        <f t="shared" si="64"/>
        <v/>
      </c>
      <c r="Y818" s="268">
        <f>IFERROR(INDEX(Rainfall_Dry!$O$2:$O$217,MATCH(B818, Rainfall_Dry!$A$2:$A$217,0)),"")</f>
        <v>137.19979645800001</v>
      </c>
      <c r="Z818" s="257">
        <v>27.96</v>
      </c>
      <c r="AA818" s="257">
        <v>4.9200000000000017</v>
      </c>
      <c r="AB818" s="257">
        <v>67.12</v>
      </c>
      <c r="AC818" s="258" t="s">
        <v>2654</v>
      </c>
      <c r="AD818" s="257">
        <v>5.0437161163134503</v>
      </c>
      <c r="AE818">
        <f>IF('WetLitterbags placem_collection'!AB159="","",'WetLitterbags placem_collection'!AB159)</f>
        <v>2.2999999999999998</v>
      </c>
      <c r="AF818">
        <f>IF('WetLitterbags placem_collection'!Z159="","",'WetLitterbags placem_collection'!Z159)</f>
        <v>7.7</v>
      </c>
      <c r="AG818" s="243" t="str">
        <f>IF('WetLitterbags placem_collection'!AA159="","",'WetLitterbags placem_collection'!AA159)</f>
        <v>O</v>
      </c>
      <c r="AH818">
        <f>IF('WetLitterbags placem_collection'!AC159="","",'WetLitterbags placem_collection'!AC159)</f>
        <v>0</v>
      </c>
      <c r="AI818">
        <f>IFERROR(AVERAGE('Dry_Litterbag Placem_Collection'!O159,'Dry_Litterbag Placem_Collection'!R159),"")</f>
        <v>5.65</v>
      </c>
      <c r="AJ818" s="268">
        <f>IFERROR(AVERAGE('Dry_Litterbag Placem_Collection'!N159,'Dry_Litterbag Placem_Collection'!Q159),"")</f>
        <v>29.85</v>
      </c>
      <c r="AK818" s="267">
        <f>INDEX(Coordinates!$B$2:$B$197,MATCH(H818,Coordinates!$J$2:$J$197,0))</f>
        <v>-2.3678019830000001</v>
      </c>
      <c r="AL818" s="267">
        <f>INDEX(Coordinates!$C$2:$C$197,MATCH(H818,Coordinates!$J$2:$J$197,0))</f>
        <v>34.059521969999999</v>
      </c>
      <c r="AM818" s="267" t="str">
        <f>IF(ISNUMBER(SEARCH("C", 'Dry_Litterbag Placem_Collection'!V159)),"YES","NO")</f>
        <v>NO</v>
      </c>
      <c r="AN818" s="267" t="str">
        <f>IF(ISNUMBER(SEARCH("H", 'Dry_Litterbag Placem_Collection'!V159)),"YES","NO")</f>
        <v>NO</v>
      </c>
      <c r="AO818" s="267" t="str">
        <f>IF(ISNUMBER(SEARCH("R", 'Dry_Litterbag Placem_Collection'!V159)),"YES","NO")</f>
        <v>NO</v>
      </c>
    </row>
    <row r="819" spans="1:41" ht="15" customHeight="1">
      <c r="A819" s="259" t="s">
        <v>2643</v>
      </c>
      <c r="B819" s="260">
        <f>'Dry_Litterbag Placem_Collection'!A160</f>
        <v>158</v>
      </c>
      <c r="C819" s="260" t="str">
        <f>'Dry_Litterbag Placem_Collection'!B160</f>
        <v xml:space="preserve">Mwantimba
</v>
      </c>
      <c r="D819" s="260" t="s">
        <v>2454</v>
      </c>
      <c r="E819" s="260" t="s">
        <v>20</v>
      </c>
      <c r="F819" s="260">
        <v>4</v>
      </c>
      <c r="G819" s="260" t="s">
        <v>3824</v>
      </c>
      <c r="H819" s="261" t="str">
        <f>'Dry_Litterbag Placem_Collection'!C160</f>
        <v>Wet_P4_T6</v>
      </c>
      <c r="I819" s="270" t="s">
        <v>3630</v>
      </c>
      <c r="J819" s="271" t="s">
        <v>298</v>
      </c>
      <c r="K819" s="260" t="str">
        <f>IF(ISBLANK('Dry_Litterbag Placem_Collection'!M160),"","R"&amp;""&amp;'Dry_Litterbag Placem_Collection'!M160)</f>
        <v>R238</v>
      </c>
      <c r="L819" s="264">
        <f>IFERROR(INDEX('Green_rooibos initial weight'!$C$5:$C$2000,MATCH(K819, 'Green_rooibos initial weight'!$A$5:$A$2000,0)),"")</f>
        <v>2.2389999999999999</v>
      </c>
      <c r="M819" s="264">
        <f>IFERROR(L819-(TBIcalc!$Q$9+TBIcalc!$Q$10),"")</f>
        <v>1.9891999999999999</v>
      </c>
      <c r="N819" s="385">
        <f>AVERAGE(Ashed_controlls!$K$12:$K$14)</f>
        <v>2.2816647271287041</v>
      </c>
      <c r="O819" s="264">
        <f t="shared" si="61"/>
        <v>1.9438131252479556</v>
      </c>
      <c r="P819" s="264">
        <f>IFERROR(INDEX('Both teabags AfterDry'!$D$2:$D$2000,MATCH(K819,'Both teabags AfterDry'!$A$2:$A$2000,0)),"")</f>
        <v>1.7898000000000001</v>
      </c>
      <c r="Q819" s="264">
        <f>IFERROR(IF(P819&gt;0,P819-(TBIcalc!$Q$9),""),"")</f>
        <v>1.6392</v>
      </c>
      <c r="R819" s="275">
        <f>IFERROR(INDEX('Ashed teabags dry'!$K$2:$K$2000,MATCH(K819,'Ashed teabags dry'!$A$2:$A$2000,0)),"")</f>
        <v>4.8905449464368154</v>
      </c>
      <c r="S819" s="275">
        <f t="shared" si="62"/>
        <v>1.5590341872380078</v>
      </c>
      <c r="T819" s="265">
        <f>IF('Dry_Litterbag Placem_Collection'!E160="","",'Dry_Litterbag Placem_Collection'!E160)</f>
        <v>42939</v>
      </c>
      <c r="U819" s="265">
        <f>IF('Dry_Litterbag Placem_Collection'!G160="","",'Dry_Litterbag Placem_Collection'!G160)</f>
        <v>43010</v>
      </c>
      <c r="V819" s="266">
        <f t="shared" si="60"/>
        <v>71</v>
      </c>
      <c r="W819" s="264">
        <f t="shared" si="63"/>
        <v>0.34999999999999987</v>
      </c>
      <c r="X819" s="264">
        <f t="shared" si="64"/>
        <v>0.38477893800994778</v>
      </c>
      <c r="Y819" s="268">
        <f>IFERROR(INDEX(Rainfall_Dry!$O$2:$O$217,MATCH(B819, Rainfall_Dry!$A$2:$A$217,0)),"")</f>
        <v>137.19979645800001</v>
      </c>
      <c r="Z819" s="257">
        <v>27.96</v>
      </c>
      <c r="AA819" s="257">
        <v>4.9200000000000017</v>
      </c>
      <c r="AB819" s="257">
        <v>67.12</v>
      </c>
      <c r="AC819" s="258" t="s">
        <v>2654</v>
      </c>
      <c r="AD819" s="257">
        <v>6.0437161163134503</v>
      </c>
      <c r="AE819">
        <f>IF('WetLitterbags placem_collection'!AB160="","",'WetLitterbags placem_collection'!AB160)</f>
        <v>1.9</v>
      </c>
      <c r="AF819">
        <f>IF('WetLitterbags placem_collection'!Z160="","",'WetLitterbags placem_collection'!Z160)</f>
        <v>4.3</v>
      </c>
      <c r="AG819" s="243" t="str">
        <f>IF('WetLitterbags placem_collection'!AA160="","",'WetLitterbags placem_collection'!AA160)</f>
        <v>O</v>
      </c>
      <c r="AH819">
        <f>IF('WetLitterbags placem_collection'!AC160="","",'WetLitterbags placem_collection'!AC160)</f>
        <v>0</v>
      </c>
      <c r="AI819">
        <f>IFERROR(AVERAGE('Dry_Litterbag Placem_Collection'!O160,'Dry_Litterbag Placem_Collection'!R160),"")</f>
        <v>5.95</v>
      </c>
      <c r="AJ819" s="268">
        <f>IFERROR(AVERAGE('Dry_Litterbag Placem_Collection'!N160,'Dry_Litterbag Placem_Collection'!Q160),"")</f>
        <v>31.8</v>
      </c>
      <c r="AK819" s="267">
        <f>INDEX(Coordinates!$B$2:$B$197,MATCH(H819,Coordinates!$J$2:$J$197,0))</f>
        <v>-2.3679270410000002</v>
      </c>
      <c r="AL819" s="267">
        <f>INDEX(Coordinates!$C$2:$C$197,MATCH(H819,Coordinates!$J$2:$J$197,0))</f>
        <v>34.059300020000002</v>
      </c>
      <c r="AM819" s="267" t="str">
        <f>IF(ISNUMBER(SEARCH("C", 'Dry_Litterbag Placem_Collection'!V160)),"YES","NO")</f>
        <v>NO</v>
      </c>
      <c r="AN819" s="267" t="str">
        <f>IF(ISNUMBER(SEARCH("H", 'Dry_Litterbag Placem_Collection'!V160)),"YES","NO")</f>
        <v>NO</v>
      </c>
      <c r="AO819" s="267" t="str">
        <f>IF(ISNUMBER(SEARCH("R", 'Dry_Litterbag Placem_Collection'!V160)),"YES","NO")</f>
        <v>NO</v>
      </c>
    </row>
    <row r="820" spans="1:41" ht="15" customHeight="1">
      <c r="A820" s="259" t="s">
        <v>2643</v>
      </c>
      <c r="B820" s="260">
        <f>'Dry_Litterbag Placem_Collection'!A161</f>
        <v>159</v>
      </c>
      <c r="C820" s="260" t="str">
        <f>'Dry_Litterbag Placem_Collection'!B161</f>
        <v xml:space="preserve">Mwantimba
</v>
      </c>
      <c r="D820" s="260" t="s">
        <v>2454</v>
      </c>
      <c r="E820" s="260" t="s">
        <v>20</v>
      </c>
      <c r="F820" s="260">
        <v>4</v>
      </c>
      <c r="G820" s="260" t="s">
        <v>3824</v>
      </c>
      <c r="H820" s="261" t="str">
        <f>'Dry_Litterbag Placem_Collection'!C161</f>
        <v>Wet_P4_T7</v>
      </c>
      <c r="I820" s="270" t="s">
        <v>3630</v>
      </c>
      <c r="J820" s="271" t="s">
        <v>298</v>
      </c>
      <c r="K820" s="260" t="str">
        <f>IF(ISBLANK('Dry_Litterbag Placem_Collection'!M161),"","R"&amp;""&amp;'Dry_Litterbag Placem_Collection'!M161)</f>
        <v/>
      </c>
      <c r="L820" s="264" t="str">
        <f>IFERROR(INDEX('Green_rooibos initial weight'!$C$5:$C$2000,MATCH(K820, 'Green_rooibos initial weight'!$A$5:$A$2000,0)),"")</f>
        <v/>
      </c>
      <c r="M820" s="264" t="str">
        <f>IFERROR(L820-(TBIcalc!$Q$9+TBIcalc!$Q$10),"")</f>
        <v/>
      </c>
      <c r="N820" s="385">
        <f>AVERAGE(Ashed_controlls!$K$12:$K$14)</f>
        <v>2.2816647271287041</v>
      </c>
      <c r="O820" s="264" t="str">
        <f t="shared" si="61"/>
        <v/>
      </c>
      <c r="P820" s="264" t="str">
        <f>IFERROR(INDEX('Both teabags AfterDry'!$D$2:$D$2000,MATCH(K820,'Both teabags AfterDry'!$A$2:$A$2000,0)),"")</f>
        <v/>
      </c>
      <c r="Q820" s="264" t="str">
        <f>IFERROR(IF(P820&gt;0,P820-(TBIcalc!$Q$9),""),"")</f>
        <v/>
      </c>
      <c r="R820" s="275" t="str">
        <f>IFERROR(INDEX('Ashed teabags dry'!$K$2:$K$2000,MATCH(K820,'Ashed teabags dry'!$A$2:$A$2000,0)),"")</f>
        <v/>
      </c>
      <c r="S820" s="275" t="str">
        <f t="shared" si="62"/>
        <v/>
      </c>
      <c r="T820" s="265" t="str">
        <f>IF('Dry_Litterbag Placem_Collection'!E161="","",'Dry_Litterbag Placem_Collection'!E161)</f>
        <v/>
      </c>
      <c r="U820" s="265" t="str">
        <f>IF('Dry_Litterbag Placem_Collection'!G161="","",'Dry_Litterbag Placem_Collection'!G161)</f>
        <v/>
      </c>
      <c r="V820" s="266" t="str">
        <f t="shared" si="60"/>
        <v/>
      </c>
      <c r="W820" s="264" t="str">
        <f t="shared" si="63"/>
        <v/>
      </c>
      <c r="X820" s="264" t="str">
        <f t="shared" si="64"/>
        <v/>
      </c>
      <c r="Y820" s="268" t="str">
        <f>IFERROR(INDEX(Rainfall_Dry!$O$2:$O$217,MATCH(B820, Rainfall_Dry!$A$2:$A$217,0)),"")</f>
        <v/>
      </c>
      <c r="Z820" s="257">
        <v>27.96</v>
      </c>
      <c r="AA820" s="257">
        <v>4.9200000000000017</v>
      </c>
      <c r="AB820" s="257">
        <v>67.12</v>
      </c>
      <c r="AC820" s="258" t="s">
        <v>2654</v>
      </c>
      <c r="AD820" s="257">
        <v>7.0437161163134503</v>
      </c>
      <c r="AE820">
        <f>IF('WetLitterbags placem_collection'!AB161="","",'WetLitterbags placem_collection'!AB161)</f>
        <v>2.65</v>
      </c>
      <c r="AF820">
        <f>IF('WetLitterbags placem_collection'!Z161="","",'WetLitterbags placem_collection'!Z161)</f>
        <v>0</v>
      </c>
      <c r="AG820" s="243" t="str">
        <f>IF('WetLitterbags placem_collection'!AA161="","",'WetLitterbags placem_collection'!AA161)</f>
        <v>G</v>
      </c>
      <c r="AH820">
        <f>IF('WetLitterbags placem_collection'!AC161="","",'WetLitterbags placem_collection'!AC161)</f>
        <v>1</v>
      </c>
      <c r="AI820" t="str">
        <f>IFERROR(AVERAGE('Dry_Litterbag Placem_Collection'!O161,'Dry_Litterbag Placem_Collection'!R161),"")</f>
        <v/>
      </c>
      <c r="AJ820" s="268" t="str">
        <f>IFERROR(AVERAGE('Dry_Litterbag Placem_Collection'!N161,'Dry_Litterbag Placem_Collection'!Q161),"")</f>
        <v/>
      </c>
      <c r="AK820" s="267">
        <f>INDEX(Coordinates!$B$2:$B$197,MATCH(H820,Coordinates!$J$2:$J$197,0))</f>
        <v>-2.3676829599999998</v>
      </c>
      <c r="AL820" s="267">
        <f>INDEX(Coordinates!$C$2:$C$197,MATCH(H820,Coordinates!$J$2:$J$197,0))</f>
        <v>34.059236990000002</v>
      </c>
      <c r="AM820" s="267" t="str">
        <f>IF(ISNUMBER(SEARCH("C", 'Dry_Litterbag Placem_Collection'!V161)),"YES","NO")</f>
        <v>NO</v>
      </c>
      <c r="AN820" s="267" t="str">
        <f>IF(ISNUMBER(SEARCH("H", 'Dry_Litterbag Placem_Collection'!V161)),"YES","NO")</f>
        <v>NO</v>
      </c>
      <c r="AO820" s="267" t="str">
        <f>IF(ISNUMBER(SEARCH("R", 'Dry_Litterbag Placem_Collection'!V161)),"YES","NO")</f>
        <v>NO</v>
      </c>
    </row>
    <row r="821" spans="1:41" ht="15" customHeight="1">
      <c r="A821" s="259" t="s">
        <v>2643</v>
      </c>
      <c r="B821" s="260">
        <f>'Dry_Litterbag Placem_Collection'!A162</f>
        <v>160</v>
      </c>
      <c r="C821" s="260" t="str">
        <f>'Dry_Litterbag Placem_Collection'!B162</f>
        <v xml:space="preserve">Mwantimba
</v>
      </c>
      <c r="D821" s="260" t="s">
        <v>2454</v>
      </c>
      <c r="E821" s="260" t="s">
        <v>20</v>
      </c>
      <c r="F821" s="260">
        <v>4</v>
      </c>
      <c r="G821" s="260" t="s">
        <v>3824</v>
      </c>
      <c r="H821" s="261" t="str">
        <f>'Dry_Litterbag Placem_Collection'!C162</f>
        <v>Wet_P4_T8</v>
      </c>
      <c r="I821" s="270" t="s">
        <v>3630</v>
      </c>
      <c r="J821" s="271" t="s">
        <v>298</v>
      </c>
      <c r="K821" s="260" t="str">
        <f>IF(ISBLANK('Dry_Litterbag Placem_Collection'!M162),"","R"&amp;""&amp;'Dry_Litterbag Placem_Collection'!M162)</f>
        <v>R350</v>
      </c>
      <c r="L821" s="264">
        <f>IFERROR(INDEX('Green_rooibos initial weight'!$C$5:$C$2000,MATCH(K821, 'Green_rooibos initial weight'!$A$5:$A$2000,0)),"")</f>
        <v>2.21</v>
      </c>
      <c r="M821" s="264">
        <f>IFERROR(L821-(TBIcalc!$Q$9+TBIcalc!$Q$10),"")</f>
        <v>1.9601999999999999</v>
      </c>
      <c r="N821" s="385">
        <f>AVERAGE(Ashed_controlls!$K$12:$K$14)</f>
        <v>2.2816647271287041</v>
      </c>
      <c r="O821" s="264">
        <f t="shared" si="61"/>
        <v>1.9154748080188231</v>
      </c>
      <c r="P821" s="264">
        <f>IFERROR(INDEX('Both teabags AfterDry'!$D$2:$D$2000,MATCH(K821,'Both teabags AfterDry'!$A$2:$A$2000,0)),"")</f>
        <v>1.9824999999999999</v>
      </c>
      <c r="Q821" s="264">
        <f>IFERROR(IF(P821&gt;0,P821-(TBIcalc!$Q$9),""),"")</f>
        <v>1.8318999999999999</v>
      </c>
      <c r="R821" s="275">
        <f>IFERROR(INDEX('Ashed teabags dry'!$K$2:$K$2000,MATCH(K821,'Ashed teabags dry'!$A$2:$A$2000,0)),"")</f>
        <v>4.4153323629310188</v>
      </c>
      <c r="S821" s="275">
        <f t="shared" si="62"/>
        <v>1.7510155264434666</v>
      </c>
      <c r="T821" s="265">
        <f>IF('Dry_Litterbag Placem_Collection'!E162="","",'Dry_Litterbag Placem_Collection'!E162)</f>
        <v>42939</v>
      </c>
      <c r="U821" s="265">
        <f>IF('Dry_Litterbag Placem_Collection'!G162="","",'Dry_Litterbag Placem_Collection'!G162)</f>
        <v>43010</v>
      </c>
      <c r="V821" s="266">
        <f t="shared" si="60"/>
        <v>71</v>
      </c>
      <c r="W821" s="264">
        <f t="shared" si="63"/>
        <v>0.12830000000000008</v>
      </c>
      <c r="X821" s="264">
        <f t="shared" si="64"/>
        <v>0.1644592815753565</v>
      </c>
      <c r="Y821" s="268">
        <f>IFERROR(INDEX(Rainfall_Dry!$O$2:$O$217,MATCH(B821, Rainfall_Dry!$A$2:$A$217,0)),"")</f>
        <v>137.19979645800001</v>
      </c>
      <c r="Z821" s="257">
        <v>27.96</v>
      </c>
      <c r="AA821" s="257">
        <v>4.9200000000000017</v>
      </c>
      <c r="AB821" s="257">
        <v>67.12</v>
      </c>
      <c r="AC821" s="258" t="s">
        <v>2654</v>
      </c>
      <c r="AD821" s="257">
        <v>8.0437161163134494</v>
      </c>
      <c r="AE821">
        <f>IF('WetLitterbags placem_collection'!AB162="","",'WetLitterbags placem_collection'!AB162)</f>
        <v>0.8</v>
      </c>
      <c r="AF821">
        <f>IF('WetLitterbags placem_collection'!Z162="","",'WetLitterbags placem_collection'!Z162)</f>
        <v>10.8</v>
      </c>
      <c r="AG821" s="243" t="str">
        <f>IF('WetLitterbags placem_collection'!AA162="","",'WetLitterbags placem_collection'!AA162)</f>
        <v>O</v>
      </c>
      <c r="AH821">
        <f>IF('WetLitterbags placem_collection'!AC162="","",'WetLitterbags placem_collection'!AC162)</f>
        <v>0</v>
      </c>
      <c r="AI821">
        <f>IFERROR(AVERAGE('Dry_Litterbag Placem_Collection'!O162,'Dry_Litterbag Placem_Collection'!R162),"")</f>
        <v>6.25</v>
      </c>
      <c r="AJ821" s="268">
        <f>IFERROR(AVERAGE('Dry_Litterbag Placem_Collection'!N162,'Dry_Litterbag Placem_Collection'!Q162),"")</f>
        <v>29.200000000000003</v>
      </c>
      <c r="AK821" s="267">
        <f>INDEX(Coordinates!$B$2:$B$197,MATCH(H821,Coordinates!$J$2:$J$197,0))</f>
        <v>-2.367547005</v>
      </c>
      <c r="AL821" s="267">
        <f>INDEX(Coordinates!$C$2:$C$197,MATCH(H821,Coordinates!$J$2:$J$197,0))</f>
        <v>34.059494989999997</v>
      </c>
      <c r="AM821" s="267" t="str">
        <f>IF(ISNUMBER(SEARCH("C", 'Dry_Litterbag Placem_Collection'!V162)),"YES","NO")</f>
        <v>NO</v>
      </c>
      <c r="AN821" s="267" t="str">
        <f>IF(ISNUMBER(SEARCH("H", 'Dry_Litterbag Placem_Collection'!V162)),"YES","NO")</f>
        <v>NO</v>
      </c>
      <c r="AO821" s="267" t="str">
        <f>IF(ISNUMBER(SEARCH("R", 'Dry_Litterbag Placem_Collection'!V162)),"YES","NO")</f>
        <v>NO</v>
      </c>
    </row>
    <row r="822" spans="1:41" ht="15" customHeight="1">
      <c r="A822" s="259" t="s">
        <v>2643</v>
      </c>
      <c r="B822" s="260">
        <f>'Dry_Litterbag Placem_Collection'!A163</f>
        <v>161</v>
      </c>
      <c r="C822" s="260" t="str">
        <f>'Dry_Litterbag Placem_Collection'!B163</f>
        <v>Handajega</v>
      </c>
      <c r="D822" s="260" t="s">
        <v>2454</v>
      </c>
      <c r="E822" s="260" t="s">
        <v>2645</v>
      </c>
      <c r="F822" s="260">
        <v>1</v>
      </c>
      <c r="G822" s="260" t="s">
        <v>3825</v>
      </c>
      <c r="H822" s="261" t="str">
        <f>'Dry_Litterbag Placem_Collection'!C163</f>
        <v>Wet_W1_T1</v>
      </c>
      <c r="I822" s="270" t="s">
        <v>3630</v>
      </c>
      <c r="J822" s="271" t="s">
        <v>298</v>
      </c>
      <c r="K822" s="260" t="str">
        <f>IF(ISBLANK('Dry_Litterbag Placem_Collection'!M163),"","R"&amp;""&amp;'Dry_Litterbag Placem_Collection'!M163)</f>
        <v>R314</v>
      </c>
      <c r="L822" s="264">
        <f>IFERROR(INDEX('Green_rooibos initial weight'!$C$5:$C$2000,MATCH(K822, 'Green_rooibos initial weight'!$A$5:$A$2000,0)),"")</f>
        <v>2.17</v>
      </c>
      <c r="M822" s="264">
        <f>IFERROR(L822-(TBIcalc!$Q$9+TBIcalc!$Q$10),"")</f>
        <v>1.9201999999999999</v>
      </c>
      <c r="N822" s="385">
        <f>AVERAGE(Ashed_controlls!$K$12:$K$14)</f>
        <v>2.2816647271287041</v>
      </c>
      <c r="O822" s="264">
        <f t="shared" si="61"/>
        <v>1.8763874739096746</v>
      </c>
      <c r="P822" s="264">
        <f>IFERROR(INDEX('Both teabags AfterDry'!$D$2:$D$2000,MATCH(K822,'Both teabags AfterDry'!$A$2:$A$2000,0)),"")</f>
        <v>1.7397</v>
      </c>
      <c r="Q822" s="264">
        <f>IFERROR(IF(P822&gt;0,P822-(TBIcalc!$Q$9),""),"")</f>
        <v>1.5891</v>
      </c>
      <c r="R822" s="275">
        <f>IFERROR(INDEX('Ashed teabags dry'!$K$2:$K$2000,MATCH(K822,'Ashed teabags dry'!$A$2:$A$2000,0)),"")</f>
        <v>4.8425011753644043</v>
      </c>
      <c r="S822" s="275">
        <f t="shared" si="62"/>
        <v>1.5121478138222841</v>
      </c>
      <c r="T822" s="265">
        <f>IF('Dry_Litterbag Placem_Collection'!E163="","",'Dry_Litterbag Placem_Collection'!E163)</f>
        <v>42940</v>
      </c>
      <c r="U822" s="265">
        <f>IF('Dry_Litterbag Placem_Collection'!G163="","",'Dry_Litterbag Placem_Collection'!G163)</f>
        <v>43009</v>
      </c>
      <c r="V822" s="266">
        <f t="shared" si="60"/>
        <v>69</v>
      </c>
      <c r="W822" s="264">
        <f t="shared" si="63"/>
        <v>0.33109999999999995</v>
      </c>
      <c r="X822" s="264">
        <f t="shared" si="64"/>
        <v>0.3642396600873905</v>
      </c>
      <c r="Y822" s="268">
        <f>IFERROR(INDEX(Rainfall_Dry!$O$2:$O$217,MATCH(B822, Rainfall_Dry!$A$2:$A$217,0)),"")</f>
        <v>162.634207253</v>
      </c>
      <c r="Z822" s="257">
        <v>21.96</v>
      </c>
      <c r="AA822" s="257">
        <v>4.9199999999999982</v>
      </c>
      <c r="AB822" s="257">
        <v>73.12</v>
      </c>
      <c r="AC822" s="258" t="s">
        <v>2654</v>
      </c>
      <c r="AD822" s="257">
        <v>1.2416954164613114</v>
      </c>
      <c r="AE822">
        <f>IF('WetLitterbags placem_collection'!AB163="","",'WetLitterbags placem_collection'!AB163)</f>
        <v>7.6</v>
      </c>
      <c r="AF822">
        <f>IF('WetLitterbags placem_collection'!Z163="","",'WetLitterbags placem_collection'!Z163)</f>
        <v>35.799999999999997</v>
      </c>
      <c r="AG822" s="243" t="str">
        <f>IF('WetLitterbags placem_collection'!AA163="","",'WetLitterbags placem_collection'!AA163)</f>
        <v>M</v>
      </c>
      <c r="AH822">
        <f>IF('WetLitterbags placem_collection'!AC163="","",'WetLitterbags placem_collection'!AC163)</f>
        <v>0</v>
      </c>
      <c r="AI822">
        <f>IFERROR(AVERAGE('Dry_Litterbag Placem_Collection'!O163,'Dry_Litterbag Placem_Collection'!R163),"")</f>
        <v>5.65</v>
      </c>
      <c r="AJ822" s="268">
        <f>IFERROR(AVERAGE('Dry_Litterbag Placem_Collection'!N163,'Dry_Litterbag Placem_Collection'!Q163),"")</f>
        <v>31.7</v>
      </c>
      <c r="AK822" s="267">
        <f>INDEX(Coordinates!$B$2:$B$197,MATCH(H822,Coordinates!$J$2:$J$197,0))</f>
        <v>-2.272751033</v>
      </c>
      <c r="AL822" s="267">
        <f>INDEX(Coordinates!$C$2:$C$197,MATCH(H822,Coordinates!$J$2:$J$197,0))</f>
        <v>34.023176030000002</v>
      </c>
      <c r="AM822" s="267" t="str">
        <f>IF(ISNUMBER(SEARCH("C", 'Dry_Litterbag Placem_Collection'!V163)),"YES","NO")</f>
        <v>NO</v>
      </c>
      <c r="AN822" s="267" t="str">
        <f>IF(ISNUMBER(SEARCH("H", 'Dry_Litterbag Placem_Collection'!V163)),"YES","NO")</f>
        <v>NO</v>
      </c>
      <c r="AO822" s="267" t="str">
        <f>IF(ISNUMBER(SEARCH("R", 'Dry_Litterbag Placem_Collection'!V163)),"YES","NO")</f>
        <v>NO</v>
      </c>
    </row>
    <row r="823" spans="1:41" ht="15" customHeight="1">
      <c r="A823" s="259" t="s">
        <v>2643</v>
      </c>
      <c r="B823" s="260">
        <f>'Dry_Litterbag Placem_Collection'!A164</f>
        <v>162</v>
      </c>
      <c r="C823" s="260" t="str">
        <f>'Dry_Litterbag Placem_Collection'!B164</f>
        <v>Handajega</v>
      </c>
      <c r="D823" s="260" t="s">
        <v>2454</v>
      </c>
      <c r="E823" s="260" t="s">
        <v>2645</v>
      </c>
      <c r="F823" s="260">
        <v>1</v>
      </c>
      <c r="G823" s="260" t="s">
        <v>3825</v>
      </c>
      <c r="H823" s="261" t="str">
        <f>'Dry_Litterbag Placem_Collection'!C164</f>
        <v>Wet_W1_T2</v>
      </c>
      <c r="I823" s="270" t="s">
        <v>3630</v>
      </c>
      <c r="J823" s="271" t="s">
        <v>298</v>
      </c>
      <c r="K823" s="260" t="str">
        <f>IF(ISBLANK('Dry_Litterbag Placem_Collection'!M164),"","R"&amp;""&amp;'Dry_Litterbag Placem_Collection'!M164)</f>
        <v>R425</v>
      </c>
      <c r="L823" s="264">
        <f>IFERROR(INDEX('Green_rooibos initial weight'!$C$5:$C$2000,MATCH(K823, 'Green_rooibos initial weight'!$A$5:$A$2000,0)),"")</f>
        <v>2.25</v>
      </c>
      <c r="M823" s="264">
        <f>IFERROR(L823-(TBIcalc!$Q$9+TBIcalc!$Q$10),"")</f>
        <v>2.0002</v>
      </c>
      <c r="N823" s="385">
        <f>AVERAGE(Ashed_controlls!$K$12:$K$14)</f>
        <v>2.2816647271287041</v>
      </c>
      <c r="O823" s="264">
        <f t="shared" si="61"/>
        <v>1.9545621421279717</v>
      </c>
      <c r="P823" s="264">
        <f>IFERROR(INDEX('Both teabags AfterDry'!$D$2:$D$2000,MATCH(K823,'Both teabags AfterDry'!$A$2:$A$2000,0)),"")</f>
        <v>1.8856999999999999</v>
      </c>
      <c r="Q823" s="264">
        <f>IFERROR(IF(P823&gt;0,P823-(TBIcalc!$Q$9),""),"")</f>
        <v>1.7350999999999999</v>
      </c>
      <c r="R823" s="275">
        <f>IFERROR(INDEX('Ashed teabags dry'!$K$2:$K$2000,MATCH(K823,'Ashed teabags dry'!$A$2:$A$2000,0)),"")</f>
        <v>6.8486590038315791</v>
      </c>
      <c r="S823" s="275">
        <f t="shared" si="62"/>
        <v>1.6162689176245182</v>
      </c>
      <c r="T823" s="265">
        <f>IF('Dry_Litterbag Placem_Collection'!E164="","",'Dry_Litterbag Placem_Collection'!E164)</f>
        <v>42940</v>
      </c>
      <c r="U823" s="265">
        <f>IF('Dry_Litterbag Placem_Collection'!G164="","",'Dry_Litterbag Placem_Collection'!G164)</f>
        <v>43009</v>
      </c>
      <c r="V823" s="266">
        <f t="shared" si="60"/>
        <v>69</v>
      </c>
      <c r="W823" s="264">
        <f t="shared" si="63"/>
        <v>0.26510000000000011</v>
      </c>
      <c r="X823" s="264">
        <f t="shared" si="64"/>
        <v>0.33829322450345356</v>
      </c>
      <c r="Y823" s="268">
        <f>IFERROR(INDEX(Rainfall_Dry!$O$2:$O$217,MATCH(B823, Rainfall_Dry!$A$2:$A$217,0)),"")</f>
        <v>162.634207253</v>
      </c>
      <c r="Z823" s="257">
        <v>21.96</v>
      </c>
      <c r="AA823" s="257">
        <v>4.9199999999999982</v>
      </c>
      <c r="AB823" s="257">
        <v>73.12</v>
      </c>
      <c r="AC823" s="258" t="s">
        <v>2654</v>
      </c>
      <c r="AD823" s="257">
        <v>2.2416954164613099</v>
      </c>
      <c r="AE823">
        <f>IF('WetLitterbags placem_collection'!AB164="","",'WetLitterbags placem_collection'!AB164)</f>
        <v>4.0999999999999996</v>
      </c>
      <c r="AF823">
        <f>IF('WetLitterbags placem_collection'!Z164="","",'WetLitterbags placem_collection'!Z164)</f>
        <v>31.4</v>
      </c>
      <c r="AG823" s="243" t="str">
        <f>IF('WetLitterbags placem_collection'!AA164="","",'WetLitterbags placem_collection'!AA164)</f>
        <v>M</v>
      </c>
      <c r="AH823">
        <f>IF('WetLitterbags placem_collection'!AC164="","",'WetLitterbags placem_collection'!AC164)</f>
        <v>0</v>
      </c>
      <c r="AI823">
        <f>IFERROR(AVERAGE('Dry_Litterbag Placem_Collection'!O164,'Dry_Litterbag Placem_Collection'!R164),"")</f>
        <v>4.4499999999999993</v>
      </c>
      <c r="AJ823" s="268">
        <f>IFERROR(AVERAGE('Dry_Litterbag Placem_Collection'!N164,'Dry_Litterbag Placem_Collection'!Q164),"")</f>
        <v>31.650000000000002</v>
      </c>
      <c r="AK823" s="267">
        <f>INDEX(Coordinates!$B$2:$B$197,MATCH(H823,Coordinates!$J$2:$J$197,0))</f>
        <v>-2.2727060219999999</v>
      </c>
      <c r="AL823" s="267">
        <f>INDEX(Coordinates!$C$2:$C$197,MATCH(H823,Coordinates!$J$2:$J$197,0))</f>
        <v>34.023162030000002</v>
      </c>
      <c r="AM823" s="267" t="str">
        <f>IF(ISNUMBER(SEARCH("C", 'Dry_Litterbag Placem_Collection'!V164)),"YES","NO")</f>
        <v>NO</v>
      </c>
      <c r="AN823" s="267" t="str">
        <f>IF(ISNUMBER(SEARCH("H", 'Dry_Litterbag Placem_Collection'!V164)),"YES","NO")</f>
        <v>NO</v>
      </c>
      <c r="AO823" s="267" t="str">
        <f>IF(ISNUMBER(SEARCH("R", 'Dry_Litterbag Placem_Collection'!V164)),"YES","NO")</f>
        <v>NO</v>
      </c>
    </row>
    <row r="824" spans="1:41" ht="15" customHeight="1">
      <c r="A824" s="259" t="s">
        <v>2643</v>
      </c>
      <c r="B824" s="260">
        <f>'Dry_Litterbag Placem_Collection'!A165</f>
        <v>163</v>
      </c>
      <c r="C824" s="260" t="str">
        <f>'Dry_Litterbag Placem_Collection'!B165</f>
        <v>Handajega</v>
      </c>
      <c r="D824" s="260" t="s">
        <v>2454</v>
      </c>
      <c r="E824" s="260" t="s">
        <v>2645</v>
      </c>
      <c r="F824" s="260">
        <v>1</v>
      </c>
      <c r="G824" s="260" t="s">
        <v>3825</v>
      </c>
      <c r="H824" s="261" t="str">
        <f>'Dry_Litterbag Placem_Collection'!C165</f>
        <v>Wet_W1_T3</v>
      </c>
      <c r="I824" s="270" t="s">
        <v>3630</v>
      </c>
      <c r="J824" s="271" t="s">
        <v>298</v>
      </c>
      <c r="K824" s="260" t="str">
        <f>IF(ISBLANK('Dry_Litterbag Placem_Collection'!M165),"","R"&amp;""&amp;'Dry_Litterbag Placem_Collection'!M165)</f>
        <v>R267</v>
      </c>
      <c r="L824" s="264">
        <f>IFERROR(INDEX('Green_rooibos initial weight'!$C$5:$C$2000,MATCH(K824, 'Green_rooibos initial weight'!$A$5:$A$2000,0)),"")</f>
        <v>2.1930000000000001</v>
      </c>
      <c r="M824" s="264">
        <f>IFERROR(L824-(TBIcalc!$Q$9+TBIcalc!$Q$10),"")</f>
        <v>1.9432</v>
      </c>
      <c r="N824" s="385">
        <f>AVERAGE(Ashed_controlls!$K$12:$K$14)</f>
        <v>2.2816647271287041</v>
      </c>
      <c r="O824" s="264">
        <f t="shared" si="61"/>
        <v>1.8988626910224351</v>
      </c>
      <c r="P824" s="264">
        <f>IFERROR(INDEX('Both teabags AfterDry'!$D$2:$D$2000,MATCH(K824,'Both teabags AfterDry'!$A$2:$A$2000,0)),"")</f>
        <v>1.7754000000000001</v>
      </c>
      <c r="Q824" s="264">
        <f>IFERROR(IF(P824&gt;0,P824-(TBIcalc!$Q$9),""),"")</f>
        <v>1.6248</v>
      </c>
      <c r="R824" s="275">
        <f>IFERROR(INDEX('Ashed teabags dry'!$K$2:$K$2000,MATCH(K824,'Ashed teabags dry'!$A$2:$A$2000,0)),"")</f>
        <v>9.0049751243772</v>
      </c>
      <c r="S824" s="275">
        <f t="shared" si="62"/>
        <v>1.4784871641791193</v>
      </c>
      <c r="T824" s="265">
        <f>IF('Dry_Litterbag Placem_Collection'!E165="","",'Dry_Litterbag Placem_Collection'!E165)</f>
        <v>42940</v>
      </c>
      <c r="U824" s="265">
        <f>IF('Dry_Litterbag Placem_Collection'!G165="","",'Dry_Litterbag Placem_Collection'!G165)</f>
        <v>43009</v>
      </c>
      <c r="V824" s="266">
        <f t="shared" si="60"/>
        <v>69</v>
      </c>
      <c r="W824" s="264">
        <f t="shared" si="63"/>
        <v>0.31840000000000002</v>
      </c>
      <c r="X824" s="264">
        <f t="shared" si="64"/>
        <v>0.42037552684331581</v>
      </c>
      <c r="Y824" s="268">
        <f>IFERROR(INDEX(Rainfall_Dry!$O$2:$O$217,MATCH(B824, Rainfall_Dry!$A$2:$A$217,0)),"")</f>
        <v>162.634207253</v>
      </c>
      <c r="Z824" s="257">
        <v>21.96</v>
      </c>
      <c r="AA824" s="257">
        <v>4.9199999999999982</v>
      </c>
      <c r="AB824" s="257">
        <v>73.12</v>
      </c>
      <c r="AC824" s="258" t="s">
        <v>2654</v>
      </c>
      <c r="AD824" s="257">
        <v>3.2416954164613099</v>
      </c>
      <c r="AE824">
        <f>IF('WetLitterbags placem_collection'!AB165="","",'WetLitterbags placem_collection'!AB165)</f>
        <v>7.8</v>
      </c>
      <c r="AF824">
        <f>IF('WetLitterbags placem_collection'!Z165="","",'WetLitterbags placem_collection'!Z165)</f>
        <v>28.8</v>
      </c>
      <c r="AG824" s="243" t="str">
        <f>IF('WetLitterbags placem_collection'!AA165="","",'WetLitterbags placem_collection'!AA165)</f>
        <v>M</v>
      </c>
      <c r="AH824">
        <f>IF('WetLitterbags placem_collection'!AC165="","",'WetLitterbags placem_collection'!AC165)</f>
        <v>0</v>
      </c>
      <c r="AI824">
        <f>IFERROR(AVERAGE('Dry_Litterbag Placem_Collection'!O165,'Dry_Litterbag Placem_Collection'!R165),"")</f>
        <v>4.45</v>
      </c>
      <c r="AJ824" s="268">
        <f>IFERROR(AVERAGE('Dry_Litterbag Placem_Collection'!N165,'Dry_Litterbag Placem_Collection'!Q165),"")</f>
        <v>32.75</v>
      </c>
      <c r="AK824" s="267">
        <f>INDEX(Coordinates!$B$2:$B$197,MATCH(H824,Coordinates!$J$2:$J$197,0))</f>
        <v>-2.2726719919999998</v>
      </c>
      <c r="AL824" s="267">
        <f>INDEX(Coordinates!$C$2:$C$197,MATCH(H824,Coordinates!$J$2:$J$197,0))</f>
        <v>34.023210980000002</v>
      </c>
      <c r="AM824" s="267" t="str">
        <f>IF(ISNUMBER(SEARCH("C", 'Dry_Litterbag Placem_Collection'!V165)),"YES","NO")</f>
        <v>NO</v>
      </c>
      <c r="AN824" s="267" t="str">
        <f>IF(ISNUMBER(SEARCH("H", 'Dry_Litterbag Placem_Collection'!V165)),"YES","NO")</f>
        <v>NO</v>
      </c>
      <c r="AO824" s="267" t="str">
        <f>IF(ISNUMBER(SEARCH("R", 'Dry_Litterbag Placem_Collection'!V165)),"YES","NO")</f>
        <v>NO</v>
      </c>
    </row>
    <row r="825" spans="1:41" ht="15" customHeight="1">
      <c r="A825" s="259" t="s">
        <v>2643</v>
      </c>
      <c r="B825" s="260">
        <f>'Dry_Litterbag Placem_Collection'!A166</f>
        <v>164</v>
      </c>
      <c r="C825" s="260" t="str">
        <f>'Dry_Litterbag Placem_Collection'!B166</f>
        <v>Handajega</v>
      </c>
      <c r="D825" s="260" t="s">
        <v>2454</v>
      </c>
      <c r="E825" s="260" t="s">
        <v>2645</v>
      </c>
      <c r="F825" s="260">
        <v>1</v>
      </c>
      <c r="G825" s="260" t="s">
        <v>3825</v>
      </c>
      <c r="H825" s="261" t="str">
        <f>'Dry_Litterbag Placem_Collection'!C166</f>
        <v>Wet_W1_T4</v>
      </c>
      <c r="I825" s="270" t="s">
        <v>3630</v>
      </c>
      <c r="J825" s="271" t="s">
        <v>298</v>
      </c>
      <c r="K825" s="260" t="str">
        <f>IF(ISBLANK('Dry_Litterbag Placem_Collection'!M166),"","R"&amp;""&amp;'Dry_Litterbag Placem_Collection'!M166)</f>
        <v>R211</v>
      </c>
      <c r="L825" s="264">
        <f>IFERROR(INDEX('Green_rooibos initial weight'!$C$5:$C$2000,MATCH(K825, 'Green_rooibos initial weight'!$A$5:$A$2000,0)),"")</f>
        <v>2.2389999999999999</v>
      </c>
      <c r="M825" s="264">
        <f>IFERROR(L825-(TBIcalc!$Q$9+TBIcalc!$Q$10),"")</f>
        <v>1.9891999999999999</v>
      </c>
      <c r="N825" s="385">
        <f>AVERAGE(Ashed_controlls!$K$12:$K$14)</f>
        <v>2.2816647271287041</v>
      </c>
      <c r="O825" s="264">
        <f t="shared" si="61"/>
        <v>1.9438131252479556</v>
      </c>
      <c r="P825" s="264">
        <f>IFERROR(INDEX('Both teabags AfterDry'!$D$2:$D$2000,MATCH(K825,'Both teabags AfterDry'!$A$2:$A$2000,0)),"")</f>
        <v>1.7732000000000001</v>
      </c>
      <c r="Q825" s="264">
        <f>IFERROR(IF(P825&gt;0,P825-(TBIcalc!$Q$9),""),"")</f>
        <v>1.6226</v>
      </c>
      <c r="R825" s="275">
        <f>IFERROR(INDEX('Ashed teabags dry'!$K$2:$K$2000,MATCH(K825,'Ashed teabags dry'!$A$2:$A$2000,0)),"")</f>
        <v>6.3861386138614789</v>
      </c>
      <c r="S825" s="275">
        <f t="shared" si="62"/>
        <v>1.5189785148514836</v>
      </c>
      <c r="T825" s="265">
        <f>IF('Dry_Litterbag Placem_Collection'!E166="","",'Dry_Litterbag Placem_Collection'!E166)</f>
        <v>42940</v>
      </c>
      <c r="U825" s="265">
        <f>IF('Dry_Litterbag Placem_Collection'!G166="","",'Dry_Litterbag Placem_Collection'!G166)</f>
        <v>43009</v>
      </c>
      <c r="V825" s="266">
        <f t="shared" si="60"/>
        <v>69</v>
      </c>
      <c r="W825" s="264">
        <f t="shared" si="63"/>
        <v>0.36659999999999981</v>
      </c>
      <c r="X825" s="264">
        <f t="shared" si="64"/>
        <v>0.42483461039647197</v>
      </c>
      <c r="Y825" s="268">
        <f>IFERROR(INDEX(Rainfall_Dry!$O$2:$O$217,MATCH(B825, Rainfall_Dry!$A$2:$A$217,0)),"")</f>
        <v>162.634207253</v>
      </c>
      <c r="Z825" s="257">
        <v>21.96</v>
      </c>
      <c r="AA825" s="257">
        <v>4.9199999999999982</v>
      </c>
      <c r="AB825" s="257">
        <v>73.12</v>
      </c>
      <c r="AC825" s="258" t="s">
        <v>2654</v>
      </c>
      <c r="AD825" s="257">
        <v>4.2416954164613099</v>
      </c>
      <c r="AE825">
        <f>IF('WetLitterbags placem_collection'!AB166="","",'WetLitterbags placem_collection'!AB166)</f>
        <v>9.5</v>
      </c>
      <c r="AF825">
        <f>IF('WetLitterbags placem_collection'!Z166="","",'WetLitterbags placem_collection'!Z166)</f>
        <v>20.8</v>
      </c>
      <c r="AG825" s="243" t="str">
        <f>IF('WetLitterbags placem_collection'!AA166="","",'WetLitterbags placem_collection'!AA166)</f>
        <v>M</v>
      </c>
      <c r="AH825">
        <f>IF('WetLitterbags placem_collection'!AC166="","",'WetLitterbags placem_collection'!AC166)</f>
        <v>0</v>
      </c>
      <c r="AI825">
        <f>IFERROR(AVERAGE('Dry_Litterbag Placem_Collection'!O166,'Dry_Litterbag Placem_Collection'!R166),"")</f>
        <v>5.0500000000000007</v>
      </c>
      <c r="AJ825" s="268">
        <f>IFERROR(AVERAGE('Dry_Litterbag Placem_Collection'!N166,'Dry_Litterbag Placem_Collection'!Q166),"")</f>
        <v>31.3</v>
      </c>
      <c r="AK825" s="267">
        <f>INDEX(Coordinates!$B$2:$B$197,MATCH(H825,Coordinates!$J$2:$J$197,0))</f>
        <v>-2.2726180130000002</v>
      </c>
      <c r="AL825" s="267">
        <f>INDEX(Coordinates!$C$2:$C$197,MATCH(H825,Coordinates!$J$2:$J$197,0))</f>
        <v>34.023212999999998</v>
      </c>
      <c r="AM825" s="267" t="str">
        <f>IF(ISNUMBER(SEARCH("C", 'Dry_Litterbag Placem_Collection'!V166)),"YES","NO")</f>
        <v>NO</v>
      </c>
      <c r="AN825" s="267" t="str">
        <f>IF(ISNUMBER(SEARCH("H", 'Dry_Litterbag Placem_Collection'!V166)),"YES","NO")</f>
        <v>NO</v>
      </c>
      <c r="AO825" s="267" t="str">
        <f>IF(ISNUMBER(SEARCH("R", 'Dry_Litterbag Placem_Collection'!V166)),"YES","NO")</f>
        <v>YES</v>
      </c>
    </row>
    <row r="826" spans="1:41" ht="15" customHeight="1">
      <c r="A826" s="259" t="s">
        <v>2643</v>
      </c>
      <c r="B826" s="260">
        <f>'Dry_Litterbag Placem_Collection'!A167</f>
        <v>165</v>
      </c>
      <c r="C826" s="260" t="str">
        <f>'Dry_Litterbag Placem_Collection'!B167</f>
        <v>Handajega</v>
      </c>
      <c r="D826" s="260" t="s">
        <v>2454</v>
      </c>
      <c r="E826" s="260" t="s">
        <v>2645</v>
      </c>
      <c r="F826" s="260">
        <v>1</v>
      </c>
      <c r="G826" s="260" t="s">
        <v>3825</v>
      </c>
      <c r="H826" s="261" t="str">
        <f>'Dry_Litterbag Placem_Collection'!C167</f>
        <v>Wet_W1_T5</v>
      </c>
      <c r="I826" s="270" t="s">
        <v>3630</v>
      </c>
      <c r="J826" s="271" t="s">
        <v>298</v>
      </c>
      <c r="K826" s="260" t="str">
        <f>IF(ISBLANK('Dry_Litterbag Placem_Collection'!M167),"","R"&amp;""&amp;'Dry_Litterbag Placem_Collection'!M167)</f>
        <v>R310</v>
      </c>
      <c r="L826" s="264">
        <f>IFERROR(INDEX('Green_rooibos initial weight'!$C$5:$C$2000,MATCH(K826, 'Green_rooibos initial weight'!$A$5:$A$2000,0)),"")</f>
        <v>2.2170000000000001</v>
      </c>
      <c r="M826" s="264">
        <f>IFERROR(L826-(TBIcalc!$Q$9+TBIcalc!$Q$10),"")</f>
        <v>1.9672000000000001</v>
      </c>
      <c r="N826" s="385">
        <f>AVERAGE(Ashed_controlls!$K$12:$K$14)</f>
        <v>2.2816647271287041</v>
      </c>
      <c r="O826" s="264">
        <f t="shared" si="61"/>
        <v>1.9223150914879241</v>
      </c>
      <c r="P826" s="264">
        <f>IFERROR(INDEX('Both teabags AfterDry'!$D$2:$D$2000,MATCH(K826,'Both teabags AfterDry'!$A$2:$A$2000,0)),"")</f>
        <v>1.7559</v>
      </c>
      <c r="Q826" s="264">
        <f>IFERROR(IF(P826&gt;0,P826-(TBIcalc!$Q$9),""),"")</f>
        <v>1.6052999999999999</v>
      </c>
      <c r="R826" s="275">
        <f>IFERROR(INDEX('Ashed teabags dry'!$K$2:$K$2000,MATCH(K826,'Ashed teabags dry'!$A$2:$A$2000,0)),"")</f>
        <v>4.4911610129003776</v>
      </c>
      <c r="S826" s="275">
        <f t="shared" si="62"/>
        <v>1.5332033922599102</v>
      </c>
      <c r="T826" s="265">
        <f>IF('Dry_Litterbag Placem_Collection'!E167="","",'Dry_Litterbag Placem_Collection'!E167)</f>
        <v>42940</v>
      </c>
      <c r="U826" s="265">
        <f>IF('Dry_Litterbag Placem_Collection'!G167="","",'Dry_Litterbag Placem_Collection'!G167)</f>
        <v>43009</v>
      </c>
      <c r="V826" s="266">
        <f t="shared" si="60"/>
        <v>69</v>
      </c>
      <c r="W826" s="264">
        <f t="shared" si="63"/>
        <v>0.36190000000000011</v>
      </c>
      <c r="X826" s="264">
        <f t="shared" si="64"/>
        <v>0.38911169922801392</v>
      </c>
      <c r="Y826" s="268">
        <f>IFERROR(INDEX(Rainfall_Dry!$O$2:$O$217,MATCH(B826, Rainfall_Dry!$A$2:$A$217,0)),"")</f>
        <v>162.634207253</v>
      </c>
      <c r="Z826" s="257">
        <v>21.96</v>
      </c>
      <c r="AA826" s="257">
        <v>4.9199999999999982</v>
      </c>
      <c r="AB826" s="257">
        <v>73.12</v>
      </c>
      <c r="AC826" s="258" t="s">
        <v>2654</v>
      </c>
      <c r="AD826" s="257">
        <v>5.2416954164613099</v>
      </c>
      <c r="AE826">
        <f>IF('WetLitterbags placem_collection'!AB167="","",'WetLitterbags placem_collection'!AB167)</f>
        <v>10.4</v>
      </c>
      <c r="AF826">
        <f>IF('WetLitterbags placem_collection'!Z167="","",'WetLitterbags placem_collection'!Z167)</f>
        <v>13.8</v>
      </c>
      <c r="AG826" s="243" t="str">
        <f>IF('WetLitterbags placem_collection'!AA167="","",'WetLitterbags placem_collection'!AA167)</f>
        <v>M</v>
      </c>
      <c r="AH826">
        <f>IF('WetLitterbags placem_collection'!AC167="","",'WetLitterbags placem_collection'!AC167)</f>
        <v>0</v>
      </c>
      <c r="AI826">
        <f>IFERROR(AVERAGE('Dry_Litterbag Placem_Collection'!O167,'Dry_Litterbag Placem_Collection'!R167),"")</f>
        <v>5.3000000000000007</v>
      </c>
      <c r="AJ826" s="268">
        <f>IFERROR(AVERAGE('Dry_Litterbag Placem_Collection'!N167,'Dry_Litterbag Placem_Collection'!Q167),"")</f>
        <v>32.049999999999997</v>
      </c>
      <c r="AK826" s="267">
        <f>INDEX(Coordinates!$B$2:$B$197,MATCH(H826,Coordinates!$J$2:$J$197,0))</f>
        <v>-2.2724750170000001</v>
      </c>
      <c r="AL826" s="267">
        <f>INDEX(Coordinates!$C$2:$C$197,MATCH(H826,Coordinates!$J$2:$J$197,0))</f>
        <v>34.02334501</v>
      </c>
      <c r="AM826" s="267" t="str">
        <f>IF(ISNUMBER(SEARCH("C", 'Dry_Litterbag Placem_Collection'!V167)),"YES","NO")</f>
        <v>NO</v>
      </c>
      <c r="AN826" s="267" t="str">
        <f>IF(ISNUMBER(SEARCH("H", 'Dry_Litterbag Placem_Collection'!V167)),"YES","NO")</f>
        <v>NO</v>
      </c>
      <c r="AO826" s="267" t="str">
        <f>IF(ISNUMBER(SEARCH("R", 'Dry_Litterbag Placem_Collection'!V167)),"YES","NO")</f>
        <v>NO</v>
      </c>
    </row>
    <row r="827" spans="1:41" ht="15" customHeight="1">
      <c r="A827" s="259" t="s">
        <v>2643</v>
      </c>
      <c r="B827" s="260">
        <f>'Dry_Litterbag Placem_Collection'!A168</f>
        <v>166</v>
      </c>
      <c r="C827" s="260" t="str">
        <f>'Dry_Litterbag Placem_Collection'!B168</f>
        <v>Handajega</v>
      </c>
      <c r="D827" s="260" t="s">
        <v>2454</v>
      </c>
      <c r="E827" s="260" t="s">
        <v>2645</v>
      </c>
      <c r="F827" s="260">
        <v>1</v>
      </c>
      <c r="G827" s="260" t="s">
        <v>3825</v>
      </c>
      <c r="H827" s="261" t="str">
        <f>'Dry_Litterbag Placem_Collection'!C168</f>
        <v>Wet_W1_T6</v>
      </c>
      <c r="I827" s="270" t="s">
        <v>3630</v>
      </c>
      <c r="J827" s="271" t="s">
        <v>298</v>
      </c>
      <c r="K827" s="260" t="str">
        <f>IF(ISBLANK('Dry_Litterbag Placem_Collection'!M168),"","R"&amp;""&amp;'Dry_Litterbag Placem_Collection'!M168)</f>
        <v>R269</v>
      </c>
      <c r="L827" s="264">
        <f>IFERROR(INDEX('Green_rooibos initial weight'!$C$5:$C$2000,MATCH(K827, 'Green_rooibos initial weight'!$A$5:$A$2000,0)),"")</f>
        <v>2.278</v>
      </c>
      <c r="M827" s="264">
        <f>IFERROR(L827-(TBIcalc!$Q$9+TBIcalc!$Q$10),"")</f>
        <v>2.0282</v>
      </c>
      <c r="N827" s="385">
        <f>AVERAGE(Ashed_controlls!$K$12:$K$14)</f>
        <v>2.2816647271287041</v>
      </c>
      <c r="O827" s="264">
        <f t="shared" si="61"/>
        <v>1.9819232760043757</v>
      </c>
      <c r="P827" s="264">
        <f>IFERROR(INDEX('Both teabags AfterDry'!$D$2:$D$2000,MATCH(K827,'Both teabags AfterDry'!$A$2:$A$2000,0)),"")</f>
        <v>1.8042</v>
      </c>
      <c r="Q827" s="264">
        <f>IFERROR(IF(P827&gt;0,P827-(TBIcalc!$Q$9),""),"")</f>
        <v>1.6536</v>
      </c>
      <c r="R827" s="275">
        <f>IFERROR(INDEX('Ashed teabags dry'!$K$2:$K$2000,MATCH(K827,'Ashed teabags dry'!$A$2:$A$2000,0)),"")</f>
        <v>8.1481481481479836</v>
      </c>
      <c r="S827" s="275">
        <f t="shared" si="62"/>
        <v>1.518862222222225</v>
      </c>
      <c r="T827" s="265">
        <f>IF('Dry_Litterbag Placem_Collection'!E168="","",'Dry_Litterbag Placem_Collection'!E168)</f>
        <v>42940</v>
      </c>
      <c r="U827" s="265">
        <f>IF('Dry_Litterbag Placem_Collection'!G168="","",'Dry_Litterbag Placem_Collection'!G168)</f>
        <v>43009</v>
      </c>
      <c r="V827" s="266">
        <f t="shared" si="60"/>
        <v>69</v>
      </c>
      <c r="W827" s="264">
        <f t="shared" si="63"/>
        <v>0.37460000000000004</v>
      </c>
      <c r="X827" s="264">
        <f t="shared" si="64"/>
        <v>0.46306105378215068</v>
      </c>
      <c r="Y827" s="268">
        <f>IFERROR(INDEX(Rainfall_Dry!$O$2:$O$217,MATCH(B827, Rainfall_Dry!$A$2:$A$217,0)),"")</f>
        <v>162.634207253</v>
      </c>
      <c r="Z827" s="257">
        <v>21.96</v>
      </c>
      <c r="AA827" s="257">
        <v>4.9199999999999982</v>
      </c>
      <c r="AB827" s="257">
        <v>73.12</v>
      </c>
      <c r="AC827" s="258" t="s">
        <v>2654</v>
      </c>
      <c r="AD827" s="257">
        <v>6.2416954164613099</v>
      </c>
      <c r="AE827">
        <f>IF('WetLitterbags placem_collection'!AB168="","",'WetLitterbags placem_collection'!AB168)</f>
        <v>2.1</v>
      </c>
      <c r="AF827">
        <f>IF('WetLitterbags placem_collection'!Z168="","",'WetLitterbags placem_collection'!Z168)</f>
        <v>4.7</v>
      </c>
      <c r="AG827" s="243" t="str">
        <f>IF('WetLitterbags placem_collection'!AA168="","",'WetLitterbags placem_collection'!AA168)</f>
        <v>M</v>
      </c>
      <c r="AH827">
        <f>IF('WetLitterbags placem_collection'!AC168="","",'WetLitterbags placem_collection'!AC168)</f>
        <v>0</v>
      </c>
      <c r="AI827">
        <f>IFERROR(AVERAGE('Dry_Litterbag Placem_Collection'!O168,'Dry_Litterbag Placem_Collection'!R168),"")</f>
        <v>5.15</v>
      </c>
      <c r="AJ827" s="268">
        <f>IFERROR(AVERAGE('Dry_Litterbag Placem_Collection'!N168,'Dry_Litterbag Placem_Collection'!Q168),"")</f>
        <v>33.25</v>
      </c>
      <c r="AK827" s="267">
        <f>INDEX(Coordinates!$B$2:$B$197,MATCH(H827,Coordinates!$J$2:$J$197,0))</f>
        <v>-2.2725490289999999</v>
      </c>
      <c r="AL827" s="267">
        <f>INDEX(Coordinates!$C$2:$C$197,MATCH(H827,Coordinates!$J$2:$J$197,0))</f>
        <v>34.022886020000001</v>
      </c>
      <c r="AM827" s="267" t="str">
        <f>IF(ISNUMBER(SEARCH("C", 'Dry_Litterbag Placem_Collection'!V168)),"YES","NO")</f>
        <v>NO</v>
      </c>
      <c r="AN827" s="267" t="str">
        <f>IF(ISNUMBER(SEARCH("H", 'Dry_Litterbag Placem_Collection'!V168)),"YES","NO")</f>
        <v>NO</v>
      </c>
      <c r="AO827" s="267" t="str">
        <f>IF(ISNUMBER(SEARCH("R", 'Dry_Litterbag Placem_Collection'!V168)),"YES","NO")</f>
        <v>NO</v>
      </c>
    </row>
    <row r="828" spans="1:41" ht="15" customHeight="1">
      <c r="A828" s="259" t="s">
        <v>2643</v>
      </c>
      <c r="B828" s="260">
        <f>'Dry_Litterbag Placem_Collection'!A169</f>
        <v>167</v>
      </c>
      <c r="C828" s="260" t="str">
        <f>'Dry_Litterbag Placem_Collection'!B169</f>
        <v>Handajega</v>
      </c>
      <c r="D828" s="260" t="s">
        <v>2454</v>
      </c>
      <c r="E828" s="260" t="s">
        <v>2645</v>
      </c>
      <c r="F828" s="260">
        <v>1</v>
      </c>
      <c r="G828" s="260" t="s">
        <v>3825</v>
      </c>
      <c r="H828" s="261" t="str">
        <f>'Dry_Litterbag Placem_Collection'!C169</f>
        <v>Wet_W1_T7</v>
      </c>
      <c r="I828" s="270" t="s">
        <v>3630</v>
      </c>
      <c r="J828" s="271" t="s">
        <v>298</v>
      </c>
      <c r="K828" s="260" t="str">
        <f>IF(ISBLANK('Dry_Litterbag Placem_Collection'!M169),"","R"&amp;""&amp;'Dry_Litterbag Placem_Collection'!M169)</f>
        <v/>
      </c>
      <c r="L828" s="264" t="str">
        <f>IFERROR(INDEX('Green_rooibos initial weight'!$C$5:$C$2000,MATCH(K828, 'Green_rooibos initial weight'!$A$5:$A$2000,0)),"")</f>
        <v/>
      </c>
      <c r="M828" s="264" t="str">
        <f>IFERROR(L828-(TBIcalc!$Q$9+TBIcalc!$Q$10),"")</f>
        <v/>
      </c>
      <c r="N828" s="385">
        <f>AVERAGE(Ashed_controlls!$K$12:$K$14)</f>
        <v>2.2816647271287041</v>
      </c>
      <c r="O828" s="264" t="str">
        <f t="shared" si="61"/>
        <v/>
      </c>
      <c r="P828" s="264" t="str">
        <f>IFERROR(INDEX('Both teabags AfterDry'!$D$2:$D$2000,MATCH(K828,'Both teabags AfterDry'!$A$2:$A$2000,0)),"")</f>
        <v/>
      </c>
      <c r="Q828" s="264" t="str">
        <f>IFERROR(IF(P828&gt;0,P828-(TBIcalc!$Q$9),""),"")</f>
        <v/>
      </c>
      <c r="R828" s="275" t="str">
        <f>IFERROR(INDEX('Ashed teabags dry'!$K$2:$K$2000,MATCH(K828,'Ashed teabags dry'!$A$2:$A$2000,0)),"")</f>
        <v/>
      </c>
      <c r="S828" s="275" t="str">
        <f t="shared" si="62"/>
        <v/>
      </c>
      <c r="T828" s="265" t="str">
        <f>IF('Dry_Litterbag Placem_Collection'!E169="","",'Dry_Litterbag Placem_Collection'!E169)</f>
        <v/>
      </c>
      <c r="U828" s="265" t="str">
        <f>IF('Dry_Litterbag Placem_Collection'!G169="","",'Dry_Litterbag Placem_Collection'!G169)</f>
        <v/>
      </c>
      <c r="V828" s="266" t="str">
        <f t="shared" si="60"/>
        <v/>
      </c>
      <c r="W828" s="264" t="str">
        <f t="shared" si="63"/>
        <v/>
      </c>
      <c r="X828" s="264" t="str">
        <f t="shared" si="64"/>
        <v/>
      </c>
      <c r="Y828" s="268" t="str">
        <f>IFERROR(INDEX(Rainfall_Dry!$O$2:$O$217,MATCH(B828, Rainfall_Dry!$A$2:$A$217,0)),"")</f>
        <v/>
      </c>
      <c r="Z828" s="257">
        <v>21.96</v>
      </c>
      <c r="AA828" s="257">
        <v>4.9199999999999982</v>
      </c>
      <c r="AB828" s="257">
        <v>73.12</v>
      </c>
      <c r="AC828" s="258" t="s">
        <v>2654</v>
      </c>
      <c r="AD828" s="257">
        <v>7.2416954164613099</v>
      </c>
      <c r="AE828">
        <f>IF('WetLitterbags placem_collection'!AB169="","",'WetLitterbags placem_collection'!AB169)</f>
        <v>5.6</v>
      </c>
      <c r="AF828">
        <f>IF('WetLitterbags placem_collection'!Z169="","",'WetLitterbags placem_collection'!Z169)</f>
        <v>4.2</v>
      </c>
      <c r="AG828" s="243" t="str">
        <f>IF('WetLitterbags placem_collection'!AA169="","",'WetLitterbags placem_collection'!AA169)</f>
        <v>M</v>
      </c>
      <c r="AH828">
        <f>IF('WetLitterbags placem_collection'!AC169="","",'WetLitterbags placem_collection'!AC169)</f>
        <v>1</v>
      </c>
      <c r="AI828" t="str">
        <f>IFERROR(AVERAGE('Dry_Litterbag Placem_Collection'!O169,'Dry_Litterbag Placem_Collection'!R169),"")</f>
        <v/>
      </c>
      <c r="AJ828" s="268" t="str">
        <f>IFERROR(AVERAGE('Dry_Litterbag Placem_Collection'!N169,'Dry_Litterbag Placem_Collection'!Q169),"")</f>
        <v/>
      </c>
      <c r="AK828" s="267">
        <f>INDEX(Coordinates!$B$2:$B$197,MATCH(H828,Coordinates!$J$2:$J$197,0))</f>
        <v>-2.2729950310000002</v>
      </c>
      <c r="AL828" s="267">
        <f>INDEX(Coordinates!$C$2:$C$197,MATCH(H828,Coordinates!$J$2:$J$197,0))</f>
        <v>34.022923990000002</v>
      </c>
      <c r="AM828" s="267" t="str">
        <f>IF(ISNUMBER(SEARCH("C", 'Dry_Litterbag Placem_Collection'!V169)),"YES","NO")</f>
        <v>NO</v>
      </c>
      <c r="AN828" s="267" t="str">
        <f>IF(ISNUMBER(SEARCH("H", 'Dry_Litterbag Placem_Collection'!V169)),"YES","NO")</f>
        <v>NO</v>
      </c>
      <c r="AO828" s="267" t="str">
        <f>IF(ISNUMBER(SEARCH("R", 'Dry_Litterbag Placem_Collection'!V169)),"YES","NO")</f>
        <v>NO</v>
      </c>
    </row>
    <row r="829" spans="1:41" ht="15" customHeight="1">
      <c r="A829" s="259" t="s">
        <v>2643</v>
      </c>
      <c r="B829" s="260">
        <f>'Dry_Litterbag Placem_Collection'!A170</f>
        <v>168</v>
      </c>
      <c r="C829" s="260" t="str">
        <f>'Dry_Litterbag Placem_Collection'!B170</f>
        <v>Handajega</v>
      </c>
      <c r="D829" s="260" t="s">
        <v>2454</v>
      </c>
      <c r="E829" s="260" t="s">
        <v>2645</v>
      </c>
      <c r="F829" s="260">
        <v>1</v>
      </c>
      <c r="G829" s="260" t="s">
        <v>3825</v>
      </c>
      <c r="H829" s="261" t="str">
        <f>'Dry_Litterbag Placem_Collection'!C170</f>
        <v>Wet_W1_T8</v>
      </c>
      <c r="I829" s="270" t="s">
        <v>3630</v>
      </c>
      <c r="J829" s="271" t="s">
        <v>298</v>
      </c>
      <c r="K829" s="260" t="str">
        <f>IF(ISBLANK('Dry_Litterbag Placem_Collection'!M170),"","R"&amp;""&amp;'Dry_Litterbag Placem_Collection'!M170)</f>
        <v>R413</v>
      </c>
      <c r="L829" s="264">
        <f>IFERROR(INDEX('Green_rooibos initial weight'!$C$5:$C$2000,MATCH(K829, 'Green_rooibos initial weight'!$A$5:$A$2000,0)),"")</f>
        <v>2.214</v>
      </c>
      <c r="M829" s="264">
        <f>IFERROR(L829-(TBIcalc!$Q$9+TBIcalc!$Q$10),"")</f>
        <v>1.9641999999999999</v>
      </c>
      <c r="N829" s="385">
        <f>AVERAGE(Ashed_controlls!$K$12:$K$14)</f>
        <v>2.2816647271287041</v>
      </c>
      <c r="O829" s="264">
        <f t="shared" si="61"/>
        <v>1.919383541429738</v>
      </c>
      <c r="P829" s="264" t="str">
        <f>IFERROR(INDEX('Both teabags AfterDry'!$D$2:$D$2000,MATCH(K829,'Both teabags AfterDry'!$A$2:$A$2000,0)),"")</f>
        <v/>
      </c>
      <c r="Q829" s="264" t="str">
        <f>IFERROR(IF(P829&gt;0,P829-(TBIcalc!$Q$9),""),"")</f>
        <v/>
      </c>
      <c r="R829" s="275" t="str">
        <f>IFERROR(INDEX('Ashed teabags dry'!$K$2:$K$2000,MATCH(K829,'Ashed teabags dry'!$A$2:$A$2000,0)),"")</f>
        <v/>
      </c>
      <c r="S829" s="275" t="str">
        <f t="shared" si="62"/>
        <v/>
      </c>
      <c r="T829" s="265">
        <f>IF('Dry_Litterbag Placem_Collection'!E170="","",'Dry_Litterbag Placem_Collection'!E170)</f>
        <v>42940</v>
      </c>
      <c r="U829" s="265">
        <f>IF('Dry_Litterbag Placem_Collection'!G170="","",'Dry_Litterbag Placem_Collection'!G170)</f>
        <v>43009</v>
      </c>
      <c r="V829" s="266">
        <f t="shared" si="60"/>
        <v>69</v>
      </c>
      <c r="W829" s="264" t="str">
        <f t="shared" si="63"/>
        <v/>
      </c>
      <c r="X829" s="264" t="str">
        <f t="shared" si="64"/>
        <v/>
      </c>
      <c r="Y829" s="268">
        <f>IFERROR(INDEX(Rainfall_Dry!$O$2:$O$217,MATCH(B829, Rainfall_Dry!$A$2:$A$217,0)),"")</f>
        <v>162.634207253</v>
      </c>
      <c r="Z829" s="257">
        <v>21.96</v>
      </c>
      <c r="AA829" s="257">
        <v>4.9199999999999982</v>
      </c>
      <c r="AB829" s="257">
        <v>73.12</v>
      </c>
      <c r="AC829" s="258" t="s">
        <v>2654</v>
      </c>
      <c r="AD829" s="257">
        <v>8.2416954164613099</v>
      </c>
      <c r="AE829">
        <f>IF('WetLitterbags placem_collection'!AB170="","",'WetLitterbags placem_collection'!AB170)</f>
        <v>2.4</v>
      </c>
      <c r="AF829">
        <f>IF('WetLitterbags placem_collection'!Z170="","",'WetLitterbags placem_collection'!Z170)</f>
        <v>46</v>
      </c>
      <c r="AG829" s="243" t="str">
        <f>IF('WetLitterbags placem_collection'!AA170="","",'WetLitterbags placem_collection'!AA170)</f>
        <v>M</v>
      </c>
      <c r="AH829">
        <f>IF('WetLitterbags placem_collection'!AC170="","",'WetLitterbags placem_collection'!AC170)</f>
        <v>0</v>
      </c>
      <c r="AI829">
        <f>IFERROR(AVERAGE('Dry_Litterbag Placem_Collection'!O170,'Dry_Litterbag Placem_Collection'!R170),"")</f>
        <v>4.0999999999999996</v>
      </c>
      <c r="AJ829" s="268">
        <f>IFERROR(AVERAGE('Dry_Litterbag Placem_Collection'!N170,'Dry_Litterbag Placem_Collection'!Q170),"")</f>
        <v>30.15</v>
      </c>
      <c r="AK829" s="267">
        <f>INDEX(Coordinates!$B$2:$B$197,MATCH(H829,Coordinates!$J$2:$J$197,0))</f>
        <v>-2.2729129719999999</v>
      </c>
      <c r="AL829" s="267">
        <f>INDEX(Coordinates!$C$2:$C$197,MATCH(H829,Coordinates!$J$2:$J$197,0))</f>
        <v>34.023350039999997</v>
      </c>
      <c r="AM829" s="267" t="str">
        <f>IF(ISNUMBER(SEARCH("C", 'Dry_Litterbag Placem_Collection'!V170)),"YES","NO")</f>
        <v>NO</v>
      </c>
      <c r="AN829" s="267" t="str">
        <f>IF(ISNUMBER(SEARCH("H", 'Dry_Litterbag Placem_Collection'!V170)),"YES","NO")</f>
        <v>NO</v>
      </c>
      <c r="AO829" s="267" t="str">
        <f>IF(ISNUMBER(SEARCH("R", 'Dry_Litterbag Placem_Collection'!V170)),"YES","NO")</f>
        <v>YES</v>
      </c>
    </row>
    <row r="830" spans="1:41" ht="15" customHeight="1">
      <c r="A830" s="259" t="s">
        <v>2643</v>
      </c>
      <c r="B830" s="260">
        <f>'Dry_Litterbag Placem_Collection'!A171</f>
        <v>169</v>
      </c>
      <c r="C830" s="260" t="str">
        <f>'Dry_Litterbag Placem_Collection'!B171</f>
        <v>Handajega</v>
      </c>
      <c r="D830" s="260" t="s">
        <v>2454</v>
      </c>
      <c r="E830" s="260" t="s">
        <v>2645</v>
      </c>
      <c r="F830" s="260">
        <v>2</v>
      </c>
      <c r="G830" s="260" t="s">
        <v>3827</v>
      </c>
      <c r="H830" s="261" t="str">
        <f>'Dry_Litterbag Placem_Collection'!C171</f>
        <v>Wet_W2_T1</v>
      </c>
      <c r="I830" s="270" t="s">
        <v>3630</v>
      </c>
      <c r="J830" s="271" t="s">
        <v>298</v>
      </c>
      <c r="K830" s="260" t="str">
        <f>IF(ISBLANK('Dry_Litterbag Placem_Collection'!M171),"","R"&amp;""&amp;'Dry_Litterbag Placem_Collection'!M171)</f>
        <v>R80</v>
      </c>
      <c r="L830" s="264">
        <f>IFERROR(INDEX('Green_rooibos initial weight'!$C$5:$C$2000,MATCH(K830, 'Green_rooibos initial weight'!$A$5:$A$2000,0)),"")</f>
        <v>2.177</v>
      </c>
      <c r="M830" s="264">
        <f>IFERROR(L830-(TBIcalc!$Q$9+TBIcalc!$Q$10),"")</f>
        <v>1.9272</v>
      </c>
      <c r="N830" s="385">
        <f>AVERAGE(Ashed_controlls!$K$12:$K$14)</f>
        <v>2.2816647271287041</v>
      </c>
      <c r="O830" s="264">
        <f t="shared" si="61"/>
        <v>1.8832277573787757</v>
      </c>
      <c r="P830" s="264">
        <f>IFERROR(INDEX('Both teabags AfterDry'!$D$2:$D$2000,MATCH(K830,'Both teabags AfterDry'!$A$2:$A$2000,0)),"")</f>
        <v>1.8815999999999999</v>
      </c>
      <c r="Q830" s="264">
        <f>IFERROR(IF(P830&gt;0,P830-(TBIcalc!$Q$9),""),"")</f>
        <v>1.7309999999999999</v>
      </c>
      <c r="R830" s="275">
        <f>IFERROR(INDEX('Ashed teabags dry'!$K$2:$K$2000,MATCH(K830,'Ashed teabags dry'!$A$2:$A$2000,0)),"")</f>
        <v>12.458706937234023</v>
      </c>
      <c r="S830" s="275">
        <f t="shared" si="62"/>
        <v>1.515339782916479</v>
      </c>
      <c r="T830" s="265">
        <f>IF('Dry_Litterbag Placem_Collection'!E171="","",'Dry_Litterbag Placem_Collection'!E171)</f>
        <v>42940</v>
      </c>
      <c r="U830" s="265">
        <f>IF('Dry_Litterbag Placem_Collection'!G171="","",'Dry_Litterbag Placem_Collection'!G171)</f>
        <v>43009</v>
      </c>
      <c r="V830" s="266">
        <f t="shared" si="60"/>
        <v>69</v>
      </c>
      <c r="W830" s="264">
        <f t="shared" si="63"/>
        <v>0.19620000000000015</v>
      </c>
      <c r="X830" s="264">
        <f t="shared" si="64"/>
        <v>0.36788797446229671</v>
      </c>
      <c r="Y830" s="268">
        <f>IFERROR(INDEX(Rainfall_Dry!$O$2:$O$217,MATCH(B830, Rainfall_Dry!$A$2:$A$217,0)),"")</f>
        <v>162.634207253</v>
      </c>
      <c r="Z830" s="257">
        <v>23.96</v>
      </c>
      <c r="AA830" s="257">
        <v>4.9199999999999982</v>
      </c>
      <c r="AB830" s="257">
        <v>71.12</v>
      </c>
      <c r="AC830" s="258" t="s">
        <v>2654</v>
      </c>
      <c r="AD830" s="257">
        <v>3.30913750616067</v>
      </c>
      <c r="AE830">
        <f>IF('WetLitterbags placem_collection'!AB171="","",'WetLitterbags placem_collection'!AB171)</f>
        <v>8.1999999999999993</v>
      </c>
      <c r="AF830">
        <f>IF('WetLitterbags placem_collection'!Z171="","",'WetLitterbags placem_collection'!Z171)</f>
        <v>11.4</v>
      </c>
      <c r="AG830" s="243" t="str">
        <f>IF('WetLitterbags placem_collection'!AA171="","",'WetLitterbags placem_collection'!AA171)</f>
        <v>O</v>
      </c>
      <c r="AH830">
        <f>IF('WetLitterbags placem_collection'!AC171="","",'WetLitterbags placem_collection'!AC171)</f>
        <v>1</v>
      </c>
      <c r="AI830">
        <f>IFERROR(AVERAGE('Dry_Litterbag Placem_Collection'!O171,'Dry_Litterbag Placem_Collection'!R171),"")</f>
        <v>6.65</v>
      </c>
      <c r="AJ830" s="268">
        <f>IFERROR(AVERAGE('Dry_Litterbag Placem_Collection'!N171,'Dry_Litterbag Placem_Collection'!Q171),"")</f>
        <v>35.049999999999997</v>
      </c>
      <c r="AK830" s="267">
        <f>INDEX(Coordinates!$B$2:$B$197,MATCH(H830,Coordinates!$J$2:$J$197,0))</f>
        <v>-2.2784290180000002</v>
      </c>
      <c r="AL830" s="267">
        <f>INDEX(Coordinates!$C$2:$C$197,MATCH(H830,Coordinates!$J$2:$J$197,0))</f>
        <v>34.024240030000001</v>
      </c>
      <c r="AM830" s="267" t="str">
        <f>IF(ISNUMBER(SEARCH("C", 'Dry_Litterbag Placem_Collection'!V171)),"YES","NO")</f>
        <v>NO</v>
      </c>
      <c r="AN830" s="267" t="str">
        <f>IF(ISNUMBER(SEARCH("H", 'Dry_Litterbag Placem_Collection'!V171)),"YES","NO")</f>
        <v>NO</v>
      </c>
      <c r="AO830" s="267" t="str">
        <f>IF(ISNUMBER(SEARCH("R", 'Dry_Litterbag Placem_Collection'!V171)),"YES","NO")</f>
        <v>YES</v>
      </c>
    </row>
    <row r="831" spans="1:41" ht="15" customHeight="1">
      <c r="A831" s="259" t="s">
        <v>2643</v>
      </c>
      <c r="B831" s="260">
        <f>'Dry_Litterbag Placem_Collection'!A172</f>
        <v>170</v>
      </c>
      <c r="C831" s="260" t="str">
        <f>'Dry_Litterbag Placem_Collection'!B172</f>
        <v>Handajega</v>
      </c>
      <c r="D831" s="260" t="s">
        <v>2454</v>
      </c>
      <c r="E831" s="260" t="s">
        <v>2645</v>
      </c>
      <c r="F831" s="260">
        <v>2</v>
      </c>
      <c r="G831" s="260" t="s">
        <v>3827</v>
      </c>
      <c r="H831" s="261" t="str">
        <f>'Dry_Litterbag Placem_Collection'!C172</f>
        <v>Wet_W2_T2</v>
      </c>
      <c r="I831" s="270" t="s">
        <v>3630</v>
      </c>
      <c r="J831" s="271" t="s">
        <v>298</v>
      </c>
      <c r="K831" s="260" t="str">
        <f>IF(ISBLANK('Dry_Litterbag Placem_Collection'!M172),"","R"&amp;""&amp;'Dry_Litterbag Placem_Collection'!M172)</f>
        <v>R208</v>
      </c>
      <c r="L831" s="264">
        <f>IFERROR(INDEX('Green_rooibos initial weight'!$C$5:$C$2000,MATCH(K831, 'Green_rooibos initial weight'!$A$5:$A$2000,0)),"")</f>
        <v>2.2250000000000001</v>
      </c>
      <c r="M831" s="264">
        <f>IFERROR(L831-(TBIcalc!$Q$9+TBIcalc!$Q$10),"")</f>
        <v>1.9752000000000001</v>
      </c>
      <c r="N831" s="385">
        <f>AVERAGE(Ashed_controlls!$K$12:$K$14)</f>
        <v>2.2816647271287041</v>
      </c>
      <c r="O831" s="264">
        <f t="shared" si="61"/>
        <v>1.9301325583097539</v>
      </c>
      <c r="P831" s="264">
        <f>IFERROR(INDEX('Both teabags AfterDry'!$D$2:$D$2000,MATCH(K831,'Both teabags AfterDry'!$A$2:$A$2000,0)),"")</f>
        <v>1.8463000000000001</v>
      </c>
      <c r="Q831" s="264">
        <f>IFERROR(IF(P831&gt;0,P831-(TBIcalc!$Q$9),""),"")</f>
        <v>1.6957</v>
      </c>
      <c r="R831" s="275">
        <f>IFERROR(INDEX('Ashed teabags dry'!$K$2:$K$2000,MATCH(K831,'Ashed teabags dry'!$A$2:$A$2000,0)),"")</f>
        <v>5.3697597739049137</v>
      </c>
      <c r="S831" s="275">
        <f t="shared" si="62"/>
        <v>1.6046449835138943</v>
      </c>
      <c r="T831" s="265">
        <f>IF('Dry_Litterbag Placem_Collection'!E172="","",'Dry_Litterbag Placem_Collection'!E172)</f>
        <v>42940</v>
      </c>
      <c r="U831" s="265">
        <f>IF('Dry_Litterbag Placem_Collection'!G172="","",'Dry_Litterbag Placem_Collection'!G172)</f>
        <v>43009</v>
      </c>
      <c r="V831" s="266">
        <f t="shared" si="60"/>
        <v>69</v>
      </c>
      <c r="W831" s="264">
        <f t="shared" si="63"/>
        <v>0.27950000000000008</v>
      </c>
      <c r="X831" s="264">
        <f t="shared" si="64"/>
        <v>0.32548757479585966</v>
      </c>
      <c r="Y831" s="268">
        <f>IFERROR(INDEX(Rainfall_Dry!$O$2:$O$217,MATCH(B831, Rainfall_Dry!$A$2:$A$217,0)),"")</f>
        <v>162.634207253</v>
      </c>
      <c r="Z831" s="257">
        <v>23.96</v>
      </c>
      <c r="AA831" s="257">
        <v>4.9199999999999982</v>
      </c>
      <c r="AB831" s="257">
        <v>71.12</v>
      </c>
      <c r="AC831" s="258" t="s">
        <v>2654</v>
      </c>
      <c r="AD831" s="257">
        <v>4.3091375061606696</v>
      </c>
      <c r="AE831">
        <f>IF('WetLitterbags placem_collection'!AB172="","",'WetLitterbags placem_collection'!AB172)</f>
        <v>7.7</v>
      </c>
      <c r="AF831">
        <f>IF('WetLitterbags placem_collection'!Z172="","",'WetLitterbags placem_collection'!Z172)</f>
        <v>15.8</v>
      </c>
      <c r="AG831" s="243" t="str">
        <f>IF('WetLitterbags placem_collection'!AA172="","",'WetLitterbags placem_collection'!AA172)</f>
        <v>O</v>
      </c>
      <c r="AH831">
        <f>IF('WetLitterbags placem_collection'!AC172="","",'WetLitterbags placem_collection'!AC172)</f>
        <v>1</v>
      </c>
      <c r="AI831">
        <f>IFERROR(AVERAGE('Dry_Litterbag Placem_Collection'!O172,'Dry_Litterbag Placem_Collection'!R172),"")</f>
        <v>6.1</v>
      </c>
      <c r="AJ831" s="268">
        <f>IFERROR(AVERAGE('Dry_Litterbag Placem_Collection'!N172,'Dry_Litterbag Placem_Collection'!Q172),"")</f>
        <v>33.950000000000003</v>
      </c>
      <c r="AK831" s="267">
        <f>INDEX(Coordinates!$B$2:$B$197,MATCH(H831,Coordinates!$J$2:$J$197,0))</f>
        <v>-2.2784629650000001</v>
      </c>
      <c r="AL831" s="267">
        <f>INDEX(Coordinates!$C$2:$C$197,MATCH(H831,Coordinates!$J$2:$J$197,0))</f>
        <v>34.024177999999999</v>
      </c>
      <c r="AM831" s="267" t="str">
        <f>IF(ISNUMBER(SEARCH("C", 'Dry_Litterbag Placem_Collection'!V172)),"YES","NO")</f>
        <v>NO</v>
      </c>
      <c r="AN831" s="267" t="str">
        <f>IF(ISNUMBER(SEARCH("H", 'Dry_Litterbag Placem_Collection'!V172)),"YES","NO")</f>
        <v>NO</v>
      </c>
      <c r="AO831" s="267" t="str">
        <f>IF(ISNUMBER(SEARCH("R", 'Dry_Litterbag Placem_Collection'!V172)),"YES","NO")</f>
        <v>NO</v>
      </c>
    </row>
    <row r="832" spans="1:41" ht="15" customHeight="1">
      <c r="A832" s="259" t="s">
        <v>2643</v>
      </c>
      <c r="B832" s="260">
        <f>'Dry_Litterbag Placem_Collection'!A173</f>
        <v>171</v>
      </c>
      <c r="C832" s="260" t="str">
        <f>'Dry_Litterbag Placem_Collection'!B173</f>
        <v>Handajega</v>
      </c>
      <c r="D832" s="260" t="s">
        <v>2454</v>
      </c>
      <c r="E832" s="260" t="s">
        <v>2645</v>
      </c>
      <c r="F832" s="260">
        <v>2</v>
      </c>
      <c r="G832" s="260" t="s">
        <v>3827</v>
      </c>
      <c r="H832" s="261" t="str">
        <f>'Dry_Litterbag Placem_Collection'!C173</f>
        <v>Wet_W2_T3</v>
      </c>
      <c r="I832" s="270" t="s">
        <v>3630</v>
      </c>
      <c r="J832" s="271" t="s">
        <v>298</v>
      </c>
      <c r="K832" s="260" t="str">
        <f>IF(ISBLANK('Dry_Litterbag Placem_Collection'!M173),"","R"&amp;""&amp;'Dry_Litterbag Placem_Collection'!M173)</f>
        <v>R633</v>
      </c>
      <c r="L832" s="264">
        <f>IFERROR(INDEX('Green_rooibos initial weight'!$C$5:$C$2000,MATCH(K832, 'Green_rooibos initial weight'!$A$5:$A$2000,0)),"")</f>
        <v>2.0760000000000001</v>
      </c>
      <c r="M832" s="264">
        <f>IFERROR(L832-(TBIcalc!$Q$9+TBIcalc!$Q$10),"")</f>
        <v>1.8262</v>
      </c>
      <c r="N832" s="385">
        <f>AVERAGE(Ashed_controlls!$K$12:$K$14)</f>
        <v>2.2816647271287041</v>
      </c>
      <c r="O832" s="264">
        <f t="shared" si="61"/>
        <v>1.7845322387531757</v>
      </c>
      <c r="P832" s="264">
        <f>IFERROR(INDEX('Both teabags AfterDry'!$D$2:$D$2000,MATCH(K832,'Both teabags AfterDry'!$A$2:$A$2000,0)),"")</f>
        <v>1.6096999999999999</v>
      </c>
      <c r="Q832" s="264">
        <f>IFERROR(IF(P832&gt;0,P832-(TBIcalc!$Q$9),""),"")</f>
        <v>1.4590999999999998</v>
      </c>
      <c r="R832" s="275">
        <f>IFERROR(INDEX('Ashed teabags dry'!$K$2:$K$2000,MATCH(K832,'Ashed teabags dry'!$A$2:$A$2000,0)),"")</f>
        <v>5.8156727451944334</v>
      </c>
      <c r="S832" s="275">
        <f t="shared" si="62"/>
        <v>1.3742435189748679</v>
      </c>
      <c r="T832" s="265">
        <f>IF('Dry_Litterbag Placem_Collection'!E173="","",'Dry_Litterbag Placem_Collection'!E173)</f>
        <v>42940</v>
      </c>
      <c r="U832" s="265">
        <f>IF('Dry_Litterbag Placem_Collection'!G173="","",'Dry_Litterbag Placem_Collection'!G173)</f>
        <v>43009</v>
      </c>
      <c r="V832" s="266">
        <f t="shared" si="60"/>
        <v>69</v>
      </c>
      <c r="W832" s="264">
        <f t="shared" si="63"/>
        <v>0.3671000000000002</v>
      </c>
      <c r="X832" s="264">
        <f t="shared" si="64"/>
        <v>0.41028871977830783</v>
      </c>
      <c r="Y832" s="268">
        <f>IFERROR(INDEX(Rainfall_Dry!$O$2:$O$217,MATCH(B832, Rainfall_Dry!$A$2:$A$217,0)),"")</f>
        <v>162.634207253</v>
      </c>
      <c r="Z832" s="257">
        <v>23.96</v>
      </c>
      <c r="AA832" s="257">
        <v>4.9199999999999982</v>
      </c>
      <c r="AB832" s="257">
        <v>71.12</v>
      </c>
      <c r="AC832" s="258" t="s">
        <v>2654</v>
      </c>
      <c r="AD832" s="257">
        <v>5.3091375061606696</v>
      </c>
      <c r="AE832">
        <f>IF('WetLitterbags placem_collection'!AB173="","",'WetLitterbags placem_collection'!AB173)</f>
        <v>13.4</v>
      </c>
      <c r="AF832">
        <f>IF('WetLitterbags placem_collection'!Z173="","",'WetLitterbags placem_collection'!Z173)</f>
        <v>7.6</v>
      </c>
      <c r="AG832" s="243" t="str">
        <f>IF('WetLitterbags placem_collection'!AA173="","",'WetLitterbags placem_collection'!AA173)</f>
        <v>O</v>
      </c>
      <c r="AH832">
        <f>IF('WetLitterbags placem_collection'!AC173="","",'WetLitterbags placem_collection'!AC173)</f>
        <v>1</v>
      </c>
      <c r="AI832">
        <f>IFERROR(AVERAGE('Dry_Litterbag Placem_Collection'!O173,'Dry_Litterbag Placem_Collection'!R173),"")</f>
        <v>5.6</v>
      </c>
      <c r="AJ832" s="268">
        <f>IFERROR(AVERAGE('Dry_Litterbag Placem_Collection'!N173,'Dry_Litterbag Placem_Collection'!Q173),"")</f>
        <v>33</v>
      </c>
      <c r="AK832" s="267">
        <f>INDEX(Coordinates!$B$2:$B$197,MATCH(H832,Coordinates!$J$2:$J$197,0))</f>
        <v>-2.2785389889999998</v>
      </c>
      <c r="AL832" s="267">
        <f>INDEX(Coordinates!$C$2:$C$197,MATCH(H832,Coordinates!$J$2:$J$197,0))</f>
        <v>34.024371039999998</v>
      </c>
      <c r="AM832" s="267" t="str">
        <f>IF(ISNUMBER(SEARCH("C", 'Dry_Litterbag Placem_Collection'!V173)),"YES","NO")</f>
        <v>NO</v>
      </c>
      <c r="AN832" s="267" t="str">
        <f>IF(ISNUMBER(SEARCH("H", 'Dry_Litterbag Placem_Collection'!V173)),"YES","NO")</f>
        <v>NO</v>
      </c>
      <c r="AO832" s="267" t="str">
        <f>IF(ISNUMBER(SEARCH("R", 'Dry_Litterbag Placem_Collection'!V173)),"YES","NO")</f>
        <v>NO</v>
      </c>
    </row>
    <row r="833" spans="1:41" ht="15" customHeight="1">
      <c r="A833" s="259" t="s">
        <v>2643</v>
      </c>
      <c r="B833" s="260">
        <f>'Dry_Litterbag Placem_Collection'!A174</f>
        <v>172</v>
      </c>
      <c r="C833" s="260" t="str">
        <f>'Dry_Litterbag Placem_Collection'!B174</f>
        <v>Handajega</v>
      </c>
      <c r="D833" s="260" t="s">
        <v>2454</v>
      </c>
      <c r="E833" s="260" t="s">
        <v>2645</v>
      </c>
      <c r="F833" s="260">
        <v>2</v>
      </c>
      <c r="G833" s="260" t="s">
        <v>3827</v>
      </c>
      <c r="H833" s="261" t="str">
        <f>'Dry_Litterbag Placem_Collection'!C174</f>
        <v>Wet_W2_T4</v>
      </c>
      <c r="I833" s="270" t="s">
        <v>3630</v>
      </c>
      <c r="J833" s="271" t="s">
        <v>298</v>
      </c>
      <c r="K833" s="260" t="str">
        <f>IF(ISBLANK('Dry_Litterbag Placem_Collection'!M174),"","R"&amp;""&amp;'Dry_Litterbag Placem_Collection'!M174)</f>
        <v/>
      </c>
      <c r="L833" s="264" t="str">
        <f>IFERROR(INDEX('Green_rooibos initial weight'!$C$5:$C$2000,MATCH(K833, 'Green_rooibos initial weight'!$A$5:$A$2000,0)),"")</f>
        <v/>
      </c>
      <c r="M833" s="264" t="str">
        <f>IFERROR(L833-(TBIcalc!$Q$9+TBIcalc!$Q$10),"")</f>
        <v/>
      </c>
      <c r="N833" s="385">
        <f>AVERAGE(Ashed_controlls!$K$12:$K$14)</f>
        <v>2.2816647271287041</v>
      </c>
      <c r="O833" s="264" t="str">
        <f t="shared" si="61"/>
        <v/>
      </c>
      <c r="P833" s="264" t="str">
        <f>IFERROR(INDEX('Both teabags AfterDry'!$D$2:$D$2000,MATCH(K833,'Both teabags AfterDry'!$A$2:$A$2000,0)),"")</f>
        <v/>
      </c>
      <c r="Q833" s="264" t="str">
        <f>IFERROR(IF(P833&gt;0,P833-(TBIcalc!$Q$9),""),"")</f>
        <v/>
      </c>
      <c r="R833" s="275" t="str">
        <f>IFERROR(INDEX('Ashed teabags dry'!$K$2:$K$2000,MATCH(K833,'Ashed teabags dry'!$A$2:$A$2000,0)),"")</f>
        <v/>
      </c>
      <c r="S833" s="275" t="str">
        <f t="shared" si="62"/>
        <v/>
      </c>
      <c r="T833" s="265" t="str">
        <f>IF('Dry_Litterbag Placem_Collection'!E174="","",'Dry_Litterbag Placem_Collection'!E174)</f>
        <v/>
      </c>
      <c r="U833" s="265" t="str">
        <f>IF('Dry_Litterbag Placem_Collection'!G174="","",'Dry_Litterbag Placem_Collection'!G174)</f>
        <v/>
      </c>
      <c r="V833" s="266" t="str">
        <f t="shared" si="60"/>
        <v/>
      </c>
      <c r="W833" s="264" t="str">
        <f t="shared" si="63"/>
        <v/>
      </c>
      <c r="X833" s="264" t="str">
        <f t="shared" si="64"/>
        <v/>
      </c>
      <c r="Y833" s="268" t="str">
        <f>IFERROR(INDEX(Rainfall_Dry!$O$2:$O$217,MATCH(B833, Rainfall_Dry!$A$2:$A$217,0)),"")</f>
        <v/>
      </c>
      <c r="Z833" s="257">
        <v>23.96</v>
      </c>
      <c r="AA833" s="257">
        <v>4.9199999999999982</v>
      </c>
      <c r="AB833" s="257">
        <v>71.12</v>
      </c>
      <c r="AC833" s="258" t="s">
        <v>2654</v>
      </c>
      <c r="AD833" s="257">
        <v>6.3091375061606696</v>
      </c>
      <c r="AE833">
        <f>IF('WetLitterbags placem_collection'!AB174="","",'WetLitterbags placem_collection'!AB174)</f>
        <v>3.3</v>
      </c>
      <c r="AF833">
        <f>IF('WetLitterbags placem_collection'!Z174="","",'WetLitterbags placem_collection'!Z174)</f>
        <v>28.4</v>
      </c>
      <c r="AG833" s="243" t="str">
        <f>IF('WetLitterbags placem_collection'!AA174="","",'WetLitterbags placem_collection'!AA174)</f>
        <v>G</v>
      </c>
      <c r="AH833">
        <f>IF('WetLitterbags placem_collection'!AC174="","",'WetLitterbags placem_collection'!AC174)</f>
        <v>1</v>
      </c>
      <c r="AI833" t="str">
        <f>IFERROR(AVERAGE('Dry_Litterbag Placem_Collection'!O174,'Dry_Litterbag Placem_Collection'!R174),"")</f>
        <v/>
      </c>
      <c r="AJ833" s="268" t="str">
        <f>IFERROR(AVERAGE('Dry_Litterbag Placem_Collection'!N174,'Dry_Litterbag Placem_Collection'!Q174),"")</f>
        <v/>
      </c>
      <c r="AK833" s="267">
        <f>INDEX(Coordinates!$B$2:$B$197,MATCH(H833,Coordinates!$J$2:$J$197,0))</f>
        <v>-2.2781410160000002</v>
      </c>
      <c r="AL833" s="267">
        <f>INDEX(Coordinates!$C$2:$C$197,MATCH(H833,Coordinates!$J$2:$J$197,0))</f>
        <v>34.024136009999999</v>
      </c>
      <c r="AM833" s="267" t="str">
        <f>IF(ISNUMBER(SEARCH("C", 'Dry_Litterbag Placem_Collection'!V174)),"YES","NO")</f>
        <v>NO</v>
      </c>
      <c r="AN833" s="267" t="str">
        <f>IF(ISNUMBER(SEARCH("H", 'Dry_Litterbag Placem_Collection'!V174)),"YES","NO")</f>
        <v>NO</v>
      </c>
      <c r="AO833" s="267" t="str">
        <f>IF(ISNUMBER(SEARCH("R", 'Dry_Litterbag Placem_Collection'!V174)),"YES","NO")</f>
        <v>NO</v>
      </c>
    </row>
    <row r="834" spans="1:41" ht="15" customHeight="1">
      <c r="A834" s="259" t="s">
        <v>2643</v>
      </c>
      <c r="B834" s="260">
        <f>'Dry_Litterbag Placem_Collection'!A175</f>
        <v>173</v>
      </c>
      <c r="C834" s="260" t="str">
        <f>'Dry_Litterbag Placem_Collection'!B175</f>
        <v>Handajega</v>
      </c>
      <c r="D834" s="260" t="s">
        <v>2454</v>
      </c>
      <c r="E834" s="260" t="s">
        <v>2645</v>
      </c>
      <c r="F834" s="260">
        <v>2</v>
      </c>
      <c r="G834" s="260" t="s">
        <v>3827</v>
      </c>
      <c r="H834" s="261" t="str">
        <f>'Dry_Litterbag Placem_Collection'!C175</f>
        <v>Wet_W2_T5</v>
      </c>
      <c r="I834" s="270" t="s">
        <v>3630</v>
      </c>
      <c r="J834" s="271" t="s">
        <v>298</v>
      </c>
      <c r="K834" s="260" t="str">
        <f>IF(ISBLANK('Dry_Litterbag Placem_Collection'!M175),"","R"&amp;""&amp;'Dry_Litterbag Placem_Collection'!M175)</f>
        <v>R473</v>
      </c>
      <c r="L834" s="264">
        <f>IFERROR(INDEX('Green_rooibos initial weight'!$C$5:$C$2000,MATCH(K834, 'Green_rooibos initial weight'!$A$5:$A$2000,0)),"")</f>
        <v>2.302</v>
      </c>
      <c r="M834" s="264">
        <f>IFERROR(L834-(TBIcalc!$Q$9+TBIcalc!$Q$10),"")</f>
        <v>2.0522</v>
      </c>
      <c r="N834" s="385">
        <f>AVERAGE(Ashed_controlls!$K$12:$K$14)</f>
        <v>2.2816647271287041</v>
      </c>
      <c r="O834" s="264">
        <f t="shared" si="61"/>
        <v>2.0053756764698649</v>
      </c>
      <c r="P834" s="264" t="str">
        <f>IFERROR(INDEX('Both teabags AfterDry'!$D$2:$D$2000,MATCH(K834,'Both teabags AfterDry'!$A$2:$A$2000,0)),"")</f>
        <v/>
      </c>
      <c r="Q834" s="264" t="str">
        <f>IFERROR(IF(P834&gt;0,P834-(TBIcalc!$Q$9),""),"")</f>
        <v/>
      </c>
      <c r="R834" s="275" t="str">
        <f>IFERROR(INDEX('Ashed teabags dry'!$K$2:$K$2000,MATCH(K834,'Ashed teabags dry'!$A$2:$A$2000,0)),"")</f>
        <v/>
      </c>
      <c r="S834" s="275" t="str">
        <f t="shared" si="62"/>
        <v/>
      </c>
      <c r="T834" s="265">
        <f>IF('Dry_Litterbag Placem_Collection'!E175="","",'Dry_Litterbag Placem_Collection'!E175)</f>
        <v>42940</v>
      </c>
      <c r="U834" s="265">
        <f>IF('Dry_Litterbag Placem_Collection'!G175="","",'Dry_Litterbag Placem_Collection'!G175)</f>
        <v>43009</v>
      </c>
      <c r="V834" s="266">
        <f t="shared" ref="V834:V881" si="65">IFERROR(U834-T834,"")</f>
        <v>69</v>
      </c>
      <c r="W834" s="264" t="str">
        <f t="shared" si="63"/>
        <v/>
      </c>
      <c r="X834" s="264" t="str">
        <f t="shared" si="64"/>
        <v/>
      </c>
      <c r="Y834" s="268">
        <f>IFERROR(INDEX(Rainfall_Dry!$O$2:$O$217,MATCH(B834, Rainfall_Dry!$A$2:$A$217,0)),"")</f>
        <v>162.634207253</v>
      </c>
      <c r="Z834" s="257">
        <v>23.96</v>
      </c>
      <c r="AA834" s="257">
        <v>4.9199999999999982</v>
      </c>
      <c r="AB834" s="257">
        <v>71.12</v>
      </c>
      <c r="AC834" s="258" t="s">
        <v>2654</v>
      </c>
      <c r="AD834" s="257">
        <v>7.3091375061606696</v>
      </c>
      <c r="AE834">
        <f>IF('WetLitterbags placem_collection'!AB175="","",'WetLitterbags placem_collection'!AB175)</f>
        <v>15.4</v>
      </c>
      <c r="AF834">
        <f>IF('WetLitterbags placem_collection'!Z175="","",'WetLitterbags placem_collection'!Z175)</f>
        <v>12.4</v>
      </c>
      <c r="AG834" s="243" t="str">
        <f>IF('WetLitterbags placem_collection'!AA175="","",'WetLitterbags placem_collection'!AA175)</f>
        <v>O</v>
      </c>
      <c r="AH834">
        <f>IF('WetLitterbags placem_collection'!AC175="","",'WetLitterbags placem_collection'!AC175)</f>
        <v>0</v>
      </c>
      <c r="AI834">
        <f>IFERROR(AVERAGE('Dry_Litterbag Placem_Collection'!O175,'Dry_Litterbag Placem_Collection'!R175),"")</f>
        <v>6.3</v>
      </c>
      <c r="AJ834" s="268">
        <f>IFERROR(AVERAGE('Dry_Litterbag Placem_Collection'!N175,'Dry_Litterbag Placem_Collection'!Q175),"")</f>
        <v>34.049999999999997</v>
      </c>
      <c r="AK834" s="267">
        <f>INDEX(Coordinates!$B$2:$B$197,MATCH(H834,Coordinates!$J$2:$J$197,0))</f>
        <v>-2.27856799</v>
      </c>
      <c r="AL834" s="267">
        <f>INDEX(Coordinates!$C$2:$C$197,MATCH(H834,Coordinates!$J$2:$J$197,0))</f>
        <v>34.023969970000003</v>
      </c>
      <c r="AM834" s="267" t="str">
        <f>IF(ISNUMBER(SEARCH("C", 'Dry_Litterbag Placem_Collection'!V175)),"YES","NO")</f>
        <v>NO</v>
      </c>
      <c r="AN834" s="267" t="str">
        <f>IF(ISNUMBER(SEARCH("H", 'Dry_Litterbag Placem_Collection'!V175)),"YES","NO")</f>
        <v>NO</v>
      </c>
      <c r="AO834" s="267" t="str">
        <f>IF(ISNUMBER(SEARCH("R", 'Dry_Litterbag Placem_Collection'!V175)),"YES","NO")</f>
        <v>NO</v>
      </c>
    </row>
    <row r="835" spans="1:41" ht="15" customHeight="1">
      <c r="A835" s="259" t="s">
        <v>2643</v>
      </c>
      <c r="B835" s="260">
        <f>'Dry_Litterbag Placem_Collection'!A176</f>
        <v>174</v>
      </c>
      <c r="C835" s="260" t="str">
        <f>'Dry_Litterbag Placem_Collection'!B176</f>
        <v>Handajega</v>
      </c>
      <c r="D835" s="260" t="s">
        <v>2454</v>
      </c>
      <c r="E835" s="260" t="s">
        <v>2645</v>
      </c>
      <c r="F835" s="260">
        <v>2</v>
      </c>
      <c r="G835" s="260" t="s">
        <v>3827</v>
      </c>
      <c r="H835" s="261" t="str">
        <f>'Dry_Litterbag Placem_Collection'!C176</f>
        <v>Wet_W2_T6</v>
      </c>
      <c r="I835" s="270" t="s">
        <v>3630</v>
      </c>
      <c r="J835" s="271" t="s">
        <v>298</v>
      </c>
      <c r="K835" s="260" t="str">
        <f>IF(ISBLANK('Dry_Litterbag Placem_Collection'!M176),"","R"&amp;""&amp;'Dry_Litterbag Placem_Collection'!M176)</f>
        <v>R702</v>
      </c>
      <c r="L835" s="264">
        <f>IFERROR(INDEX('Green_rooibos initial weight'!$C$5:$C$2000,MATCH(K835, 'Green_rooibos initial weight'!$A$5:$A$2000,0)),"")</f>
        <v>2.2010000000000001</v>
      </c>
      <c r="M835" s="264">
        <f>IFERROR(L835-(TBIcalc!$Q$9+TBIcalc!$Q$10),"")</f>
        <v>1.9512</v>
      </c>
      <c r="N835" s="385">
        <f>AVERAGE(Ashed_controlls!$K$12:$K$14)</f>
        <v>2.2816647271287041</v>
      </c>
      <c r="O835" s="264">
        <f t="shared" ref="O835:O881" si="66">IFERROR(M835-(N835/100)*M835,"")</f>
        <v>1.9066801578442647</v>
      </c>
      <c r="P835" s="264">
        <f>IFERROR(INDEX('Both teabags AfterDry'!$D$2:$D$2000,MATCH(K835,'Both teabags AfterDry'!$A$2:$A$2000,0)),"")</f>
        <v>1.7047000000000001</v>
      </c>
      <c r="Q835" s="264">
        <f>IFERROR(IF(P835&gt;0,P835-(TBIcalc!$Q$9),""),"")</f>
        <v>1.5541</v>
      </c>
      <c r="R835" s="275">
        <f>IFERROR(INDEX('Ashed teabags dry'!$K$2:$K$2000,MATCH(K835,'Ashed teabags dry'!$A$2:$A$2000,0)),"")</f>
        <v>12.547709923664542</v>
      </c>
      <c r="S835" s="275">
        <f t="shared" ref="S835:S881" si="67">IFERROR(Q835-(R835/100)*Q835,"")</f>
        <v>1.3590960400763294</v>
      </c>
      <c r="T835" s="265">
        <f>IF('Dry_Litterbag Placem_Collection'!E176="","",'Dry_Litterbag Placem_Collection'!E176)</f>
        <v>42940</v>
      </c>
      <c r="U835" s="265">
        <f>IF('Dry_Litterbag Placem_Collection'!G176="","",'Dry_Litterbag Placem_Collection'!G176)</f>
        <v>43009</v>
      </c>
      <c r="V835" s="266">
        <f t="shared" si="65"/>
        <v>69</v>
      </c>
      <c r="W835" s="264">
        <f t="shared" ref="W835:W881" si="68">IFERROR(M835-Q835,"")</f>
        <v>0.39710000000000001</v>
      </c>
      <c r="X835" s="264">
        <f t="shared" ref="X835:X881" si="69">IFERROR(O835-S835,"")</f>
        <v>0.54758411776793525</v>
      </c>
      <c r="Y835" s="268">
        <f>IFERROR(INDEX(Rainfall_Dry!$O$2:$O$217,MATCH(B835, Rainfall_Dry!$A$2:$A$217,0)),"")</f>
        <v>162.634207253</v>
      </c>
      <c r="Z835" s="257">
        <v>23.96</v>
      </c>
      <c r="AA835" s="257">
        <v>4.9199999999999982</v>
      </c>
      <c r="AB835" s="257">
        <v>71.12</v>
      </c>
      <c r="AC835" s="258" t="s">
        <v>2654</v>
      </c>
      <c r="AD835" s="257">
        <v>8.3091375061606705</v>
      </c>
      <c r="AE835">
        <f>IF('WetLitterbags placem_collection'!AB176="","",'WetLitterbags placem_collection'!AB176)</f>
        <v>7.4</v>
      </c>
      <c r="AF835">
        <f>IF('WetLitterbags placem_collection'!Z176="","",'WetLitterbags placem_collection'!Z176)</f>
        <v>7.4</v>
      </c>
      <c r="AG835" s="243" t="str">
        <f>IF('WetLitterbags placem_collection'!AA176="","",'WetLitterbags placem_collection'!AA176)</f>
        <v>O</v>
      </c>
      <c r="AH835">
        <f>IF('WetLitterbags placem_collection'!AC176="","",'WetLitterbags placem_collection'!AC176)</f>
        <v>0</v>
      </c>
      <c r="AI835">
        <f>IFERROR(AVERAGE('Dry_Litterbag Placem_Collection'!O176,'Dry_Litterbag Placem_Collection'!R176),"")</f>
        <v>5.9</v>
      </c>
      <c r="AJ835" s="268">
        <f>IFERROR(AVERAGE('Dry_Litterbag Placem_Collection'!N176,'Dry_Litterbag Placem_Collection'!Q176),"")</f>
        <v>33.200000000000003</v>
      </c>
      <c r="AK835" s="267">
        <f>INDEX(Coordinates!$B$2:$B$197,MATCH(H835,Coordinates!$J$2:$J$197,0))</f>
        <v>-2.2786809780000001</v>
      </c>
      <c r="AL835" s="267">
        <f>INDEX(Coordinates!$C$2:$C$197,MATCH(H835,Coordinates!$J$2:$J$197,0))</f>
        <v>34.02434899</v>
      </c>
      <c r="AM835" s="267" t="str">
        <f>IF(ISNUMBER(SEARCH("C", 'Dry_Litterbag Placem_Collection'!V176)),"YES","NO")</f>
        <v>NO</v>
      </c>
      <c r="AN835" s="267" t="str">
        <f>IF(ISNUMBER(SEARCH("H", 'Dry_Litterbag Placem_Collection'!V176)),"YES","NO")</f>
        <v>NO</v>
      </c>
      <c r="AO835" s="267" t="str">
        <f>IF(ISNUMBER(SEARCH("R", 'Dry_Litterbag Placem_Collection'!V176)),"YES","NO")</f>
        <v>NO</v>
      </c>
    </row>
    <row r="836" spans="1:41" ht="15" customHeight="1">
      <c r="A836" s="259" t="s">
        <v>2643</v>
      </c>
      <c r="B836" s="260">
        <f>'Dry_Litterbag Placem_Collection'!A177</f>
        <v>175</v>
      </c>
      <c r="C836" s="260" t="str">
        <f>'Dry_Litterbag Placem_Collection'!B177</f>
        <v>Handajega</v>
      </c>
      <c r="D836" s="260" t="s">
        <v>2454</v>
      </c>
      <c r="E836" s="260" t="s">
        <v>2645</v>
      </c>
      <c r="F836" s="260">
        <v>2</v>
      </c>
      <c r="G836" s="260" t="s">
        <v>3827</v>
      </c>
      <c r="H836" s="261" t="str">
        <f>'Dry_Litterbag Placem_Collection'!C177</f>
        <v>Wet_W2_T7</v>
      </c>
      <c r="I836" s="270" t="s">
        <v>3630</v>
      </c>
      <c r="J836" s="271" t="s">
        <v>298</v>
      </c>
      <c r="K836" s="260" t="str">
        <f>IF(ISBLANK('Dry_Litterbag Placem_Collection'!M177),"","R"&amp;""&amp;'Dry_Litterbag Placem_Collection'!M177)</f>
        <v>R175</v>
      </c>
      <c r="L836" s="264">
        <f>IFERROR(INDEX('Green_rooibos initial weight'!$C$5:$C$2000,MATCH(K836, 'Green_rooibos initial weight'!$A$5:$A$2000,0)),"")</f>
        <v>2.2330000000000001</v>
      </c>
      <c r="M836" s="264">
        <f>IFERROR(L836-(TBIcalc!$Q$9+TBIcalc!$Q$10),"")</f>
        <v>1.9832000000000001</v>
      </c>
      <c r="N836" s="385">
        <f>AVERAGE(Ashed_controlls!$K$12:$K$14)</f>
        <v>2.2816647271287041</v>
      </c>
      <c r="O836" s="264">
        <f t="shared" si="66"/>
        <v>1.9379500251315835</v>
      </c>
      <c r="P836" s="264">
        <f>IFERROR(INDEX('Both teabags AfterDry'!$D$2:$D$2000,MATCH(K836,'Both teabags AfterDry'!$A$2:$A$2000,0)),"")</f>
        <v>1.8721000000000001</v>
      </c>
      <c r="Q836" s="264">
        <f>IFERROR(IF(P836&gt;0,P836-(TBIcalc!$Q$9),""),"")</f>
        <v>1.7215</v>
      </c>
      <c r="R836" s="275">
        <f>IFERROR(INDEX('Ashed teabags dry'!$K$2:$K$2000,MATCH(K836,'Ashed teabags dry'!$A$2:$A$2000,0)),"")</f>
        <v>11.577028258888308</v>
      </c>
      <c r="S836" s="275">
        <f t="shared" si="67"/>
        <v>1.5222014585232377</v>
      </c>
      <c r="T836" s="265">
        <f>IF('Dry_Litterbag Placem_Collection'!E177="","",'Dry_Litterbag Placem_Collection'!E177)</f>
        <v>42940</v>
      </c>
      <c r="U836" s="265">
        <f>IF('Dry_Litterbag Placem_Collection'!G177="","",'Dry_Litterbag Placem_Collection'!G177)</f>
        <v>43009</v>
      </c>
      <c r="V836" s="266">
        <f t="shared" si="65"/>
        <v>69</v>
      </c>
      <c r="W836" s="264">
        <f t="shared" si="68"/>
        <v>0.26170000000000004</v>
      </c>
      <c r="X836" s="264">
        <f t="shared" si="69"/>
        <v>0.4157485666083458</v>
      </c>
      <c r="Y836" s="268">
        <f>IFERROR(INDEX(Rainfall_Dry!$O$2:$O$217,MATCH(B836, Rainfall_Dry!$A$2:$A$217,0)),"")</f>
        <v>162.634207253</v>
      </c>
      <c r="Z836" s="257">
        <v>23.96</v>
      </c>
      <c r="AA836" s="257">
        <v>4.9199999999999982</v>
      </c>
      <c r="AB836" s="257">
        <v>71.12</v>
      </c>
      <c r="AC836" s="258" t="s">
        <v>2654</v>
      </c>
      <c r="AD836" s="257">
        <v>9.3091375061606705</v>
      </c>
      <c r="AE836">
        <f>IF('WetLitterbags placem_collection'!AB177="","",'WetLitterbags placem_collection'!AB177)</f>
        <v>15.4</v>
      </c>
      <c r="AF836">
        <f>IF('WetLitterbags placem_collection'!Z177="","",'WetLitterbags placem_collection'!Z177)</f>
        <v>9.8000000000000007</v>
      </c>
      <c r="AG836" s="243" t="str">
        <f>IF('WetLitterbags placem_collection'!AA177="","",'WetLitterbags placem_collection'!AA177)</f>
        <v>O</v>
      </c>
      <c r="AH836">
        <f>IF('WetLitterbags placem_collection'!AC177="","",'WetLitterbags placem_collection'!AC177)</f>
        <v>1</v>
      </c>
      <c r="AI836">
        <f>IFERROR(AVERAGE('Dry_Litterbag Placem_Collection'!O177,'Dry_Litterbag Placem_Collection'!R177),"")</f>
        <v>5.9499999999999993</v>
      </c>
      <c r="AJ836" s="268">
        <f>IFERROR(AVERAGE('Dry_Litterbag Placem_Collection'!N177,'Dry_Litterbag Placem_Collection'!Q177),"")</f>
        <v>34.049999999999997</v>
      </c>
      <c r="AK836" s="267">
        <f>INDEX(Coordinates!$B$2:$B$197,MATCH(H836,Coordinates!$J$2:$J$197,0))</f>
        <v>-2.2784219779999999</v>
      </c>
      <c r="AL836" s="267">
        <f>INDEX(Coordinates!$C$2:$C$197,MATCH(H836,Coordinates!$J$2:$J$197,0))</f>
        <v>34.024374979999997</v>
      </c>
      <c r="AM836" s="267" t="str">
        <f>IF(ISNUMBER(SEARCH("C", 'Dry_Litterbag Placem_Collection'!V177)),"YES","NO")</f>
        <v>NO</v>
      </c>
      <c r="AN836" s="267" t="str">
        <f>IF(ISNUMBER(SEARCH("H", 'Dry_Litterbag Placem_Collection'!V177)),"YES","NO")</f>
        <v>NO</v>
      </c>
      <c r="AO836" s="267" t="str">
        <f>IF(ISNUMBER(SEARCH("R", 'Dry_Litterbag Placem_Collection'!V177)),"YES","NO")</f>
        <v>YES</v>
      </c>
    </row>
    <row r="837" spans="1:41" ht="15" customHeight="1">
      <c r="A837" s="259" t="s">
        <v>2643</v>
      </c>
      <c r="B837" s="260">
        <f>'Dry_Litterbag Placem_Collection'!A178</f>
        <v>176</v>
      </c>
      <c r="C837" s="260" t="str">
        <f>'Dry_Litterbag Placem_Collection'!B178</f>
        <v>Handajega</v>
      </c>
      <c r="D837" s="260" t="s">
        <v>2454</v>
      </c>
      <c r="E837" s="260" t="s">
        <v>2645</v>
      </c>
      <c r="F837" s="260">
        <v>2</v>
      </c>
      <c r="G837" s="260" t="s">
        <v>3827</v>
      </c>
      <c r="H837" s="261" t="str">
        <f>'Dry_Litterbag Placem_Collection'!C178</f>
        <v>Wet_W2_T8</v>
      </c>
      <c r="I837" s="270" t="s">
        <v>3630</v>
      </c>
      <c r="J837" s="271" t="s">
        <v>298</v>
      </c>
      <c r="K837" s="260" t="str">
        <f>IF(ISBLANK('Dry_Litterbag Placem_Collection'!M178),"","R"&amp;""&amp;'Dry_Litterbag Placem_Collection'!M178)</f>
        <v>R332</v>
      </c>
      <c r="L837" s="264">
        <f>IFERROR(INDEX('Green_rooibos initial weight'!$C$5:$C$2000,MATCH(K837, 'Green_rooibos initial weight'!$A$5:$A$2000,0)),"")</f>
        <v>2.1880000000000002</v>
      </c>
      <c r="M837" s="264">
        <f>IFERROR(L837-(TBIcalc!$Q$9+TBIcalc!$Q$10),"")</f>
        <v>1.9382000000000001</v>
      </c>
      <c r="N837" s="385">
        <f>AVERAGE(Ashed_controlls!$K$12:$K$14)</f>
        <v>2.2816647271287041</v>
      </c>
      <c r="O837" s="264">
        <f t="shared" si="66"/>
        <v>1.8939767742587916</v>
      </c>
      <c r="P837" s="264">
        <f>IFERROR(INDEX('Both teabags AfterDry'!$D$2:$D$2000,MATCH(K837,'Both teabags AfterDry'!$A$2:$A$2000,0)),"")</f>
        <v>1.8720000000000001</v>
      </c>
      <c r="Q837" s="264">
        <f>IFERROR(IF(P837&gt;0,P837-(TBIcalc!$Q$9),""),"")</f>
        <v>1.7214</v>
      </c>
      <c r="R837" s="275">
        <f>IFERROR(INDEX('Ashed teabags dry'!$K$2:$K$2000,MATCH(K837,'Ashed teabags dry'!$A$2:$A$2000,0)),"")</f>
        <v>6.259314456035395</v>
      </c>
      <c r="S837" s="275">
        <f t="shared" si="67"/>
        <v>1.6136521609538068</v>
      </c>
      <c r="T837" s="265">
        <f>IF('Dry_Litterbag Placem_Collection'!E178="","",'Dry_Litterbag Placem_Collection'!E178)</f>
        <v>42940</v>
      </c>
      <c r="U837" s="265">
        <f>IF('Dry_Litterbag Placem_Collection'!G178="","",'Dry_Litterbag Placem_Collection'!G178)</f>
        <v>43009</v>
      </c>
      <c r="V837" s="266">
        <f t="shared" si="65"/>
        <v>69</v>
      </c>
      <c r="W837" s="264">
        <f t="shared" si="68"/>
        <v>0.2168000000000001</v>
      </c>
      <c r="X837" s="264">
        <f t="shared" si="69"/>
        <v>0.28032461330498482</v>
      </c>
      <c r="Y837" s="268">
        <f>IFERROR(INDEX(Rainfall_Dry!$O$2:$O$217,MATCH(B837, Rainfall_Dry!$A$2:$A$217,0)),"")</f>
        <v>162.634207253</v>
      </c>
      <c r="Z837" s="257">
        <v>23.96</v>
      </c>
      <c r="AA837" s="257">
        <v>4.9199999999999982</v>
      </c>
      <c r="AB837" s="257">
        <v>71.12</v>
      </c>
      <c r="AC837" s="258" t="s">
        <v>2654</v>
      </c>
      <c r="AD837" s="257">
        <v>10.309137506160701</v>
      </c>
      <c r="AE837">
        <f>IF('WetLitterbags placem_collection'!AB178="","",'WetLitterbags placem_collection'!AB178)</f>
        <v>6.8</v>
      </c>
      <c r="AF837">
        <f>IF('WetLitterbags placem_collection'!Z178="","",'WetLitterbags placem_collection'!Z178)</f>
        <v>6.9</v>
      </c>
      <c r="AG837" s="243" t="str">
        <f>IF('WetLitterbags placem_collection'!AA178="","",'WetLitterbags placem_collection'!AA178)</f>
        <v>O</v>
      </c>
      <c r="AH837">
        <f>IF('WetLitterbags placem_collection'!AC178="","",'WetLitterbags placem_collection'!AC178)</f>
        <v>0</v>
      </c>
      <c r="AI837">
        <f>IFERROR(AVERAGE('Dry_Litterbag Placem_Collection'!O178,'Dry_Litterbag Placem_Collection'!R178),"")</f>
        <v>4.5999999999999996</v>
      </c>
      <c r="AJ837" s="268">
        <f>IFERROR(AVERAGE('Dry_Litterbag Placem_Collection'!N178,'Dry_Litterbag Placem_Collection'!Q178),"")</f>
        <v>34.5</v>
      </c>
      <c r="AK837" s="267">
        <f>INDEX(Coordinates!$B$2:$B$197,MATCH(H837,Coordinates!$J$2:$J$197,0))</f>
        <v>-2.2782909679999999</v>
      </c>
      <c r="AL837" s="267">
        <f>INDEX(Coordinates!$C$2:$C$197,MATCH(H837,Coordinates!$J$2:$J$197,0))</f>
        <v>34.024574970000003</v>
      </c>
      <c r="AM837" s="267" t="str">
        <f>IF(ISNUMBER(SEARCH("C", 'Dry_Litterbag Placem_Collection'!V178)),"YES","NO")</f>
        <v>NO</v>
      </c>
      <c r="AN837" s="267" t="str">
        <f>IF(ISNUMBER(SEARCH("H", 'Dry_Litterbag Placem_Collection'!V178)),"YES","NO")</f>
        <v>NO</v>
      </c>
      <c r="AO837" s="267" t="str">
        <f>IF(ISNUMBER(SEARCH("R", 'Dry_Litterbag Placem_Collection'!V178)),"YES","NO")</f>
        <v>YES</v>
      </c>
    </row>
    <row r="838" spans="1:41" ht="15" customHeight="1">
      <c r="A838" s="259" t="s">
        <v>2643</v>
      </c>
      <c r="B838" s="260">
        <f>'Dry_Litterbag Placem_Collection'!A179</f>
        <v>177</v>
      </c>
      <c r="C838" s="260" t="str">
        <f>'Dry_Litterbag Placem_Collection'!B179</f>
        <v>Handajega</v>
      </c>
      <c r="D838" s="260" t="s">
        <v>2454</v>
      </c>
      <c r="E838" s="260" t="s">
        <v>2645</v>
      </c>
      <c r="F838" s="260">
        <v>3</v>
      </c>
      <c r="G838" s="260" t="s">
        <v>3828</v>
      </c>
      <c r="H838" s="261" t="str">
        <f>'Dry_Litterbag Placem_Collection'!C179</f>
        <v>Wet_W3_T1</v>
      </c>
      <c r="I838" s="270" t="s">
        <v>3630</v>
      </c>
      <c r="J838" s="271" t="s">
        <v>298</v>
      </c>
      <c r="K838" s="260" t="str">
        <f>IF(ISBLANK('Dry_Litterbag Placem_Collection'!M179),"","R"&amp;""&amp;'Dry_Litterbag Placem_Collection'!M179)</f>
        <v>R70</v>
      </c>
      <c r="L838" s="264">
        <f>IFERROR(INDEX('Green_rooibos initial weight'!$C$5:$C$2000,MATCH(K838, 'Green_rooibos initial weight'!$A$5:$A$2000,0)),"")</f>
        <v>2.23</v>
      </c>
      <c r="M838" s="264">
        <f>IFERROR(L838-(TBIcalc!$Q$9+TBIcalc!$Q$10),"")</f>
        <v>1.9802</v>
      </c>
      <c r="N838" s="385">
        <f>AVERAGE(Ashed_controlls!$K$12:$K$14)</f>
        <v>2.2816647271287041</v>
      </c>
      <c r="O838" s="264">
        <f t="shared" si="66"/>
        <v>1.9350184750733974</v>
      </c>
      <c r="P838" s="264" t="str">
        <f>IFERROR(INDEX('Both teabags AfterDry'!$D$2:$D$2000,MATCH(K838,'Both teabags AfterDry'!$A$2:$A$2000,0)),"")</f>
        <v/>
      </c>
      <c r="Q838" s="264" t="str">
        <f>IFERROR(IF(P838&gt;0,P838-(TBIcalc!$Q$9),""),"")</f>
        <v/>
      </c>
      <c r="R838" s="275" t="str">
        <f>IFERROR(INDEX('Ashed teabags dry'!$K$2:$K$2000,MATCH(K838,'Ashed teabags dry'!$A$2:$A$2000,0)),"")</f>
        <v/>
      </c>
      <c r="S838" s="275" t="str">
        <f t="shared" si="67"/>
        <v/>
      </c>
      <c r="T838" s="265">
        <f>IF('Dry_Litterbag Placem_Collection'!E179="","",'Dry_Litterbag Placem_Collection'!E179)</f>
        <v>42940</v>
      </c>
      <c r="U838" s="265">
        <f>IF('Dry_Litterbag Placem_Collection'!G179="","",'Dry_Litterbag Placem_Collection'!G179)</f>
        <v>43009</v>
      </c>
      <c r="V838" s="266">
        <f t="shared" si="65"/>
        <v>69</v>
      </c>
      <c r="W838" s="264" t="str">
        <f t="shared" si="68"/>
        <v/>
      </c>
      <c r="X838" s="264" t="str">
        <f t="shared" si="69"/>
        <v/>
      </c>
      <c r="Y838" s="268">
        <f>IFERROR(INDEX(Rainfall_Dry!$O$2:$O$217,MATCH(B838, Rainfall_Dry!$A$2:$A$217,0)),"")</f>
        <v>162.634207253</v>
      </c>
      <c r="Z838" s="257">
        <v>25.96</v>
      </c>
      <c r="AA838" s="257">
        <v>8.9200000000000017</v>
      </c>
      <c r="AB838" s="257">
        <v>65.12</v>
      </c>
      <c r="AC838" s="258" t="s">
        <v>2654</v>
      </c>
      <c r="AD838" s="257">
        <v>1.614588467225234</v>
      </c>
      <c r="AE838">
        <f>IF('WetLitterbags placem_collection'!AB179="","",'WetLitterbags placem_collection'!AB179)</f>
        <v>17.8</v>
      </c>
      <c r="AF838">
        <f>IF('WetLitterbags placem_collection'!Z179="","",'WetLitterbags placem_collection'!Z179)</f>
        <v>25.8</v>
      </c>
      <c r="AG838" s="243" t="str">
        <f>IF('WetLitterbags placem_collection'!AA179="","",'WetLitterbags placem_collection'!AA179)</f>
        <v>O</v>
      </c>
      <c r="AH838">
        <f>IF('WetLitterbags placem_collection'!AC179="","",'WetLitterbags placem_collection'!AC179)</f>
        <v>0</v>
      </c>
      <c r="AI838">
        <f>IFERROR(AVERAGE('Dry_Litterbag Placem_Collection'!O179,'Dry_Litterbag Placem_Collection'!R179),"")</f>
        <v>4.6999999999999993</v>
      </c>
      <c r="AJ838" s="268">
        <f>IFERROR(AVERAGE('Dry_Litterbag Placem_Collection'!N179,'Dry_Litterbag Placem_Collection'!Q179),"")</f>
        <v>34.150000000000006</v>
      </c>
      <c r="AK838" s="267">
        <f>INDEX(Coordinates!$B$2:$B$197,MATCH(H838,Coordinates!$J$2:$J$197,0))</f>
        <v>-2.277740026</v>
      </c>
      <c r="AL838" s="267">
        <f>INDEX(Coordinates!$C$2:$C$197,MATCH(H838,Coordinates!$J$2:$J$197,0))</f>
        <v>34.027640990000002</v>
      </c>
      <c r="AM838" s="267" t="str">
        <f>IF(ISNUMBER(SEARCH("C", 'Dry_Litterbag Placem_Collection'!V179)),"YES","NO")</f>
        <v>NO</v>
      </c>
      <c r="AN838" s="267" t="str">
        <f>IF(ISNUMBER(SEARCH("H", 'Dry_Litterbag Placem_Collection'!V179)),"YES","NO")</f>
        <v>NO</v>
      </c>
      <c r="AO838" s="267" t="str">
        <f>IF(ISNUMBER(SEARCH("R", 'Dry_Litterbag Placem_Collection'!V179)),"YES","NO")</f>
        <v>YES</v>
      </c>
    </row>
    <row r="839" spans="1:41" ht="15" customHeight="1">
      <c r="A839" s="259" t="s">
        <v>2643</v>
      </c>
      <c r="B839" s="260">
        <f>'Dry_Litterbag Placem_Collection'!A180</f>
        <v>178</v>
      </c>
      <c r="C839" s="260" t="str">
        <f>'Dry_Litterbag Placem_Collection'!B180</f>
        <v>Handajega</v>
      </c>
      <c r="D839" s="260" t="s">
        <v>2454</v>
      </c>
      <c r="E839" s="260" t="s">
        <v>2645</v>
      </c>
      <c r="F839" s="260">
        <v>3</v>
      </c>
      <c r="G839" s="260" t="s">
        <v>3828</v>
      </c>
      <c r="H839" s="261" t="str">
        <f>'Dry_Litterbag Placem_Collection'!C180</f>
        <v>Wet_W3_T2</v>
      </c>
      <c r="I839" s="270" t="s">
        <v>3630</v>
      </c>
      <c r="J839" s="271" t="s">
        <v>298</v>
      </c>
      <c r="K839" s="260" t="str">
        <f>IF(ISBLANK('Dry_Litterbag Placem_Collection'!M180),"","R"&amp;""&amp;'Dry_Litterbag Placem_Collection'!M180)</f>
        <v>R718</v>
      </c>
      <c r="L839" s="264">
        <f>IFERROR(INDEX('Green_rooibos initial weight'!$C$5:$C$2000,MATCH(K839, 'Green_rooibos initial weight'!$A$5:$A$2000,0)),"")</f>
        <v>2.2050000000000001</v>
      </c>
      <c r="M839" s="264">
        <f>IFERROR(L839-(TBIcalc!$Q$9+TBIcalc!$Q$10),"")</f>
        <v>1.9552</v>
      </c>
      <c r="N839" s="385">
        <f>AVERAGE(Ashed_controlls!$K$12:$K$14)</f>
        <v>2.2816647271287041</v>
      </c>
      <c r="O839" s="264">
        <f t="shared" si="66"/>
        <v>1.9105888912551796</v>
      </c>
      <c r="P839" s="264">
        <f>IFERROR(INDEX('Both teabags AfterDry'!$D$2:$D$2000,MATCH(K839,'Both teabags AfterDry'!$A$2:$A$2000,0)),"")</f>
        <v>1.8359000000000001</v>
      </c>
      <c r="Q839" s="264">
        <f>IFERROR(IF(P839&gt;0,P839-(TBIcalc!$Q$9),""),"")</f>
        <v>1.6853</v>
      </c>
      <c r="R839" s="275">
        <f>IFERROR(INDEX('Ashed teabags dry'!$K$2:$K$2000,MATCH(K839,'Ashed teabags dry'!$A$2:$A$2000,0)),"")</f>
        <v>7.0877531340403506</v>
      </c>
      <c r="S839" s="275">
        <f t="shared" si="67"/>
        <v>1.5658500964320179</v>
      </c>
      <c r="T839" s="265">
        <f>IF('Dry_Litterbag Placem_Collection'!E180="","",'Dry_Litterbag Placem_Collection'!E180)</f>
        <v>42940</v>
      </c>
      <c r="U839" s="265">
        <f>IF('Dry_Litterbag Placem_Collection'!G180="","",'Dry_Litterbag Placem_Collection'!G180)</f>
        <v>43009</v>
      </c>
      <c r="V839" s="266">
        <f t="shared" si="65"/>
        <v>69</v>
      </c>
      <c r="W839" s="264">
        <f t="shared" si="68"/>
        <v>0.26990000000000003</v>
      </c>
      <c r="X839" s="264">
        <f t="shared" si="69"/>
        <v>0.34473879482316172</v>
      </c>
      <c r="Y839" s="268">
        <f>IFERROR(INDEX(Rainfall_Dry!$O$2:$O$217,MATCH(B839, Rainfall_Dry!$A$2:$A$217,0)),"")</f>
        <v>162.634207253</v>
      </c>
      <c r="Z839" s="257">
        <v>25.96</v>
      </c>
      <c r="AA839" s="257">
        <v>8.9200000000000017</v>
      </c>
      <c r="AB839" s="257">
        <v>65.12</v>
      </c>
      <c r="AC839" s="258" t="s">
        <v>2654</v>
      </c>
      <c r="AD839" s="257">
        <v>2.61458846722523</v>
      </c>
      <c r="AE839">
        <f>IF('WetLitterbags placem_collection'!AB180="","",'WetLitterbags placem_collection'!AB180)</f>
        <v>15.4</v>
      </c>
      <c r="AF839">
        <f>IF('WetLitterbags placem_collection'!Z180="","",'WetLitterbags placem_collection'!Z180)</f>
        <v>18.8</v>
      </c>
      <c r="AG839" s="243" t="str">
        <f>IF('WetLitterbags placem_collection'!AA180="","",'WetLitterbags placem_collection'!AA180)</f>
        <v>O</v>
      </c>
      <c r="AH839">
        <f>IF('WetLitterbags placem_collection'!AC180="","",'WetLitterbags placem_collection'!AC180)</f>
        <v>1</v>
      </c>
      <c r="AI839">
        <f>IFERROR(AVERAGE('Dry_Litterbag Placem_Collection'!O180,'Dry_Litterbag Placem_Collection'!R180),"")</f>
        <v>4.5</v>
      </c>
      <c r="AJ839" s="268">
        <f>IFERROR(AVERAGE('Dry_Litterbag Placem_Collection'!N180,'Dry_Litterbag Placem_Collection'!Q180),"")</f>
        <v>35.799999999999997</v>
      </c>
      <c r="AK839" s="267">
        <f>INDEX(Coordinates!$B$2:$B$197,MATCH(H839,Coordinates!$J$2:$J$197,0))</f>
        <v>-2.2777889760000001</v>
      </c>
      <c r="AL839" s="267">
        <f>INDEX(Coordinates!$C$2:$C$197,MATCH(H839,Coordinates!$J$2:$J$197,0))</f>
        <v>34.027664960000003</v>
      </c>
      <c r="AM839" s="267" t="str">
        <f>IF(ISNUMBER(SEARCH("C", 'Dry_Litterbag Placem_Collection'!V180)),"YES","NO")</f>
        <v>NO</v>
      </c>
      <c r="AN839" s="267" t="str">
        <f>IF(ISNUMBER(SEARCH("H", 'Dry_Litterbag Placem_Collection'!V180)),"YES","NO")</f>
        <v>NO</v>
      </c>
      <c r="AO839" s="267" t="str">
        <f>IF(ISNUMBER(SEARCH("R", 'Dry_Litterbag Placem_Collection'!V180)),"YES","NO")</f>
        <v>NO</v>
      </c>
    </row>
    <row r="840" spans="1:41" ht="15" customHeight="1">
      <c r="A840" s="259" t="s">
        <v>2643</v>
      </c>
      <c r="B840" s="260">
        <f>'Dry_Litterbag Placem_Collection'!A181</f>
        <v>179</v>
      </c>
      <c r="C840" s="260" t="str">
        <f>'Dry_Litterbag Placem_Collection'!B181</f>
        <v>Handajega</v>
      </c>
      <c r="D840" s="260" t="s">
        <v>2454</v>
      </c>
      <c r="E840" s="260" t="s">
        <v>2645</v>
      </c>
      <c r="F840" s="260">
        <v>3</v>
      </c>
      <c r="G840" s="260" t="s">
        <v>3828</v>
      </c>
      <c r="H840" s="261" t="str">
        <f>'Dry_Litterbag Placem_Collection'!C181</f>
        <v>Wet_W3_T3</v>
      </c>
      <c r="I840" s="270" t="s">
        <v>3630</v>
      </c>
      <c r="J840" s="271" t="s">
        <v>298</v>
      </c>
      <c r="K840" s="260" t="str">
        <f>IF(ISBLANK('Dry_Litterbag Placem_Collection'!M181),"","R"&amp;""&amp;'Dry_Litterbag Placem_Collection'!M181)</f>
        <v>R640</v>
      </c>
      <c r="L840" s="264">
        <f>IFERROR(INDEX('Green_rooibos initial weight'!$C$5:$C$2000,MATCH(K840, 'Green_rooibos initial weight'!$A$5:$A$2000,0)),"")</f>
        <v>2.1019999999999999</v>
      </c>
      <c r="M840" s="264">
        <f>IFERROR(L840-(TBIcalc!$Q$9+TBIcalc!$Q$10),"")</f>
        <v>1.8521999999999998</v>
      </c>
      <c r="N840" s="385">
        <f>AVERAGE(Ashed_controlls!$K$12:$K$14)</f>
        <v>2.2816647271287041</v>
      </c>
      <c r="O840" s="264">
        <f t="shared" si="66"/>
        <v>1.809939005924122</v>
      </c>
      <c r="P840" s="264">
        <f>IFERROR(INDEX('Both teabags AfterDry'!$D$2:$D$2000,MATCH(K840,'Both teabags AfterDry'!$A$2:$A$2000,0)),"")</f>
        <v>1.6580999999999999</v>
      </c>
      <c r="Q840" s="264">
        <f>IFERROR(IF(P840&gt;0,P840-(TBIcalc!$Q$9),""),"")</f>
        <v>1.5074999999999998</v>
      </c>
      <c r="R840" s="275">
        <f>IFERROR(INDEX('Ashed teabags dry'!$K$2:$K$2000,MATCH(K840,'Ashed teabags dry'!$A$2:$A$2000,0)),"")</f>
        <v>15.844901866922525</v>
      </c>
      <c r="S840" s="275">
        <f t="shared" si="67"/>
        <v>1.2686381043561428</v>
      </c>
      <c r="T840" s="265">
        <f>IF('Dry_Litterbag Placem_Collection'!E181="","",'Dry_Litterbag Placem_Collection'!E181)</f>
        <v>42940</v>
      </c>
      <c r="U840" s="265">
        <f>IF('Dry_Litterbag Placem_Collection'!G181="","",'Dry_Litterbag Placem_Collection'!G181)</f>
        <v>43009</v>
      </c>
      <c r="V840" s="266">
        <f t="shared" si="65"/>
        <v>69</v>
      </c>
      <c r="W840" s="264">
        <f t="shared" si="68"/>
        <v>0.34470000000000001</v>
      </c>
      <c r="X840" s="264">
        <f t="shared" si="69"/>
        <v>0.54130090156797928</v>
      </c>
      <c r="Y840" s="268">
        <f>IFERROR(INDEX(Rainfall_Dry!$O$2:$O$217,MATCH(B840, Rainfall_Dry!$A$2:$A$217,0)),"")</f>
        <v>162.634207253</v>
      </c>
      <c r="Z840" s="257">
        <v>25.96</v>
      </c>
      <c r="AA840" s="257">
        <v>8.9200000000000017</v>
      </c>
      <c r="AB840" s="257">
        <v>65.12</v>
      </c>
      <c r="AC840" s="258" t="s">
        <v>2654</v>
      </c>
      <c r="AD840" s="257">
        <v>3.61458846722523</v>
      </c>
      <c r="AE840">
        <f>IF('WetLitterbags placem_collection'!AB181="","",'WetLitterbags placem_collection'!AB181)</f>
        <v>11.8</v>
      </c>
      <c r="AF840">
        <f>IF('WetLitterbags placem_collection'!Z181="","",'WetLitterbags placem_collection'!Z181)</f>
        <v>15.4</v>
      </c>
      <c r="AG840" s="243" t="str">
        <f>IF('WetLitterbags placem_collection'!AA181="","",'WetLitterbags placem_collection'!AA181)</f>
        <v>O</v>
      </c>
      <c r="AH840">
        <f>IF('WetLitterbags placem_collection'!AC181="","",'WetLitterbags placem_collection'!AC181)</f>
        <v>1</v>
      </c>
      <c r="AI840">
        <f>IFERROR(AVERAGE('Dry_Litterbag Placem_Collection'!O181,'Dry_Litterbag Placem_Collection'!R181),"")</f>
        <v>5.8</v>
      </c>
      <c r="AJ840" s="268">
        <f>IFERROR(AVERAGE('Dry_Litterbag Placem_Collection'!N181,'Dry_Litterbag Placem_Collection'!Q181),"")</f>
        <v>34.75</v>
      </c>
      <c r="AK840" s="267">
        <f>INDEX(Coordinates!$B$2:$B$197,MATCH(H840,Coordinates!$J$2:$J$197,0))</f>
        <v>-2.2778579589999999</v>
      </c>
      <c r="AL840" s="267">
        <f>INDEX(Coordinates!$C$2:$C$197,MATCH(H840,Coordinates!$J$2:$J$197,0))</f>
        <v>34.027682980000002</v>
      </c>
      <c r="AM840" s="267" t="str">
        <f>IF(ISNUMBER(SEARCH("C", 'Dry_Litterbag Placem_Collection'!V181)),"YES","NO")</f>
        <v>NO</v>
      </c>
      <c r="AN840" s="267" t="str">
        <f>IF(ISNUMBER(SEARCH("H", 'Dry_Litterbag Placem_Collection'!V181)),"YES","NO")</f>
        <v>NO</v>
      </c>
      <c r="AO840" s="267" t="str">
        <f>IF(ISNUMBER(SEARCH("R", 'Dry_Litterbag Placem_Collection'!V181)),"YES","NO")</f>
        <v>NO</v>
      </c>
    </row>
    <row r="841" spans="1:41" ht="15" customHeight="1">
      <c r="A841" s="259" t="s">
        <v>2643</v>
      </c>
      <c r="B841" s="260">
        <f>'Dry_Litterbag Placem_Collection'!A182</f>
        <v>180</v>
      </c>
      <c r="C841" s="260" t="str">
        <f>'Dry_Litterbag Placem_Collection'!B182</f>
        <v>Handajega</v>
      </c>
      <c r="D841" s="260" t="s">
        <v>2454</v>
      </c>
      <c r="E841" s="260" t="s">
        <v>2645</v>
      </c>
      <c r="F841" s="260">
        <v>3</v>
      </c>
      <c r="G841" s="260" t="s">
        <v>3828</v>
      </c>
      <c r="H841" s="261" t="str">
        <f>'Dry_Litterbag Placem_Collection'!C182</f>
        <v>Wet_W3_T4</v>
      </c>
      <c r="I841" s="270" t="s">
        <v>3630</v>
      </c>
      <c r="J841" s="271" t="s">
        <v>298</v>
      </c>
      <c r="K841" s="260" t="str">
        <f>IF(ISBLANK('Dry_Litterbag Placem_Collection'!M182),"","R"&amp;""&amp;'Dry_Litterbag Placem_Collection'!M182)</f>
        <v>R669</v>
      </c>
      <c r="L841" s="264">
        <f>IFERROR(INDEX('Green_rooibos initial weight'!$C$5:$C$2000,MATCH(K841, 'Green_rooibos initial weight'!$A$5:$A$2000,0)),"")</f>
        <v>2.1480000000000001</v>
      </c>
      <c r="M841" s="264">
        <f>IFERROR(L841-(TBIcalc!$Q$9+TBIcalc!$Q$10),"")</f>
        <v>1.8982000000000001</v>
      </c>
      <c r="N841" s="385">
        <f>AVERAGE(Ashed_controlls!$K$12:$K$14)</f>
        <v>2.2816647271287041</v>
      </c>
      <c r="O841" s="264">
        <f t="shared" si="66"/>
        <v>1.854889440149643</v>
      </c>
      <c r="P841" s="264">
        <f>IFERROR(INDEX('Both teabags AfterDry'!$D$2:$D$2000,MATCH(K841,'Both teabags AfterDry'!$A$2:$A$2000,0)),"")</f>
        <v>1.6716</v>
      </c>
      <c r="Q841" s="264">
        <f>IFERROR(IF(P841&gt;0,P841-(TBIcalc!$Q$9),""),"")</f>
        <v>1.5209999999999999</v>
      </c>
      <c r="R841" s="275">
        <f>IFERROR(INDEX('Ashed teabags dry'!$K$2:$K$2000,MATCH(K841,'Ashed teabags dry'!$A$2:$A$2000,0)),"")</f>
        <v>6.0721062618585453</v>
      </c>
      <c r="S841" s="275">
        <f t="shared" si="67"/>
        <v>1.4286432637571314</v>
      </c>
      <c r="T841" s="265">
        <f>IF('Dry_Litterbag Placem_Collection'!E182="","",'Dry_Litterbag Placem_Collection'!E182)</f>
        <v>42940</v>
      </c>
      <c r="U841" s="265">
        <f>IF('Dry_Litterbag Placem_Collection'!G182="","",'Dry_Litterbag Placem_Collection'!G182)</f>
        <v>43009</v>
      </c>
      <c r="V841" s="266">
        <f t="shared" si="65"/>
        <v>69</v>
      </c>
      <c r="W841" s="264">
        <f t="shared" si="68"/>
        <v>0.3772000000000002</v>
      </c>
      <c r="X841" s="264">
        <f t="shared" si="69"/>
        <v>0.42624617639251161</v>
      </c>
      <c r="Y841" s="268">
        <f>IFERROR(INDEX(Rainfall_Dry!$O$2:$O$217,MATCH(B841, Rainfall_Dry!$A$2:$A$217,0)),"")</f>
        <v>162.634207253</v>
      </c>
      <c r="Z841" s="257">
        <v>25.96</v>
      </c>
      <c r="AA841" s="257">
        <v>8.9200000000000017</v>
      </c>
      <c r="AB841" s="257">
        <v>65.12</v>
      </c>
      <c r="AC841" s="258" t="s">
        <v>2654</v>
      </c>
      <c r="AD841" s="257">
        <v>4.6145884672252304</v>
      </c>
      <c r="AE841">
        <f>IF('WetLitterbags placem_collection'!AB182="","",'WetLitterbags placem_collection'!AB182)</f>
        <v>8.3000000000000007</v>
      </c>
      <c r="AF841">
        <f>IF('WetLitterbags placem_collection'!Z182="","",'WetLitterbags placem_collection'!Z182)</f>
        <v>35</v>
      </c>
      <c r="AG841" s="243" t="str">
        <f>IF('WetLitterbags placem_collection'!AA182="","",'WetLitterbags placem_collection'!AA182)</f>
        <v>O</v>
      </c>
      <c r="AH841">
        <f>IF('WetLitterbags placem_collection'!AC182="","",'WetLitterbags placem_collection'!AC182)</f>
        <v>0</v>
      </c>
      <c r="AI841">
        <f>IFERROR(AVERAGE('Dry_Litterbag Placem_Collection'!O182,'Dry_Litterbag Placem_Collection'!R182),"")</f>
        <v>5.3</v>
      </c>
      <c r="AJ841" s="268">
        <f>IFERROR(AVERAGE('Dry_Litterbag Placem_Collection'!N182,'Dry_Litterbag Placem_Collection'!Q182),"")</f>
        <v>31</v>
      </c>
      <c r="AK841" s="267">
        <f>INDEX(Coordinates!$B$2:$B$197,MATCH(H841,Coordinates!$J$2:$J$197,0))</f>
        <v>-2.2780199809999999</v>
      </c>
      <c r="AL841" s="267">
        <f>INDEX(Coordinates!$C$2:$C$197,MATCH(H841,Coordinates!$J$2:$J$197,0))</f>
        <v>34.027705019999999</v>
      </c>
      <c r="AM841" s="267" t="str">
        <f>IF(ISNUMBER(SEARCH("C", 'Dry_Litterbag Placem_Collection'!V182)),"YES","NO")</f>
        <v>NO</v>
      </c>
      <c r="AN841" s="267" t="str">
        <f>IF(ISNUMBER(SEARCH("H", 'Dry_Litterbag Placem_Collection'!V182)),"YES","NO")</f>
        <v>NO</v>
      </c>
      <c r="AO841" s="267" t="str">
        <f>IF(ISNUMBER(SEARCH("R", 'Dry_Litterbag Placem_Collection'!V182)),"YES","NO")</f>
        <v>NO</v>
      </c>
    </row>
    <row r="842" spans="1:41" ht="15" customHeight="1">
      <c r="A842" s="259" t="s">
        <v>2643</v>
      </c>
      <c r="B842" s="260">
        <f>'Dry_Litterbag Placem_Collection'!A183</f>
        <v>181</v>
      </c>
      <c r="C842" s="260" t="str">
        <f>'Dry_Litterbag Placem_Collection'!B183</f>
        <v>Handajega</v>
      </c>
      <c r="D842" s="260" t="s">
        <v>2454</v>
      </c>
      <c r="E842" s="260" t="s">
        <v>2645</v>
      </c>
      <c r="F842" s="260">
        <v>3</v>
      </c>
      <c r="G842" s="260" t="s">
        <v>3828</v>
      </c>
      <c r="H842" s="261" t="str">
        <f>'Dry_Litterbag Placem_Collection'!C183</f>
        <v>Wet_W3_T5</v>
      </c>
      <c r="I842" s="270" t="s">
        <v>3630</v>
      </c>
      <c r="J842" s="271" t="s">
        <v>298</v>
      </c>
      <c r="K842" s="260" t="str">
        <f>IF(ISBLANK('Dry_Litterbag Placem_Collection'!M183),"","R"&amp;""&amp;'Dry_Litterbag Placem_Collection'!M183)</f>
        <v>R170</v>
      </c>
      <c r="L842" s="264">
        <f>IFERROR(INDEX('Green_rooibos initial weight'!$C$5:$C$2000,MATCH(K842, 'Green_rooibos initial weight'!$A$5:$A$2000,0)),"")</f>
        <v>2.1120000000000001</v>
      </c>
      <c r="M842" s="264">
        <f>IFERROR(L842-(TBIcalc!$Q$9+TBIcalc!$Q$10),"")</f>
        <v>1.8622000000000001</v>
      </c>
      <c r="N842" s="385">
        <f>AVERAGE(Ashed_controlls!$K$12:$K$14)</f>
        <v>2.2816647271287041</v>
      </c>
      <c r="O842" s="264">
        <f t="shared" si="66"/>
        <v>1.8197108394514094</v>
      </c>
      <c r="P842" s="264">
        <f>IFERROR(INDEX('Both teabags AfterDry'!$D$2:$D$2000,MATCH(K842,'Both teabags AfterDry'!$A$2:$A$2000,0)),"")</f>
        <v>1.7410000000000001</v>
      </c>
      <c r="Q842" s="264">
        <f>IFERROR(IF(P842&gt;0,P842-(TBIcalc!$Q$9),""),"")</f>
        <v>1.5904</v>
      </c>
      <c r="R842" s="275">
        <f>IFERROR(INDEX('Ashed teabags dry'!$K$2:$K$2000,MATCH(K842,'Ashed teabags dry'!$A$2:$A$2000,0)),"")</f>
        <v>7.9387186629519642</v>
      </c>
      <c r="S842" s="275">
        <f t="shared" si="67"/>
        <v>1.464142618384412</v>
      </c>
      <c r="T842" s="265">
        <f>IF('Dry_Litterbag Placem_Collection'!E183="","",'Dry_Litterbag Placem_Collection'!E183)</f>
        <v>42940</v>
      </c>
      <c r="U842" s="265">
        <f>IF('Dry_Litterbag Placem_Collection'!G183="","",'Dry_Litterbag Placem_Collection'!G183)</f>
        <v>43009</v>
      </c>
      <c r="V842" s="266">
        <f t="shared" si="65"/>
        <v>69</v>
      </c>
      <c r="W842" s="264">
        <f t="shared" si="68"/>
        <v>0.27180000000000004</v>
      </c>
      <c r="X842" s="264">
        <f t="shared" si="69"/>
        <v>0.35556822106699748</v>
      </c>
      <c r="Y842" s="268">
        <f>IFERROR(INDEX(Rainfall_Dry!$O$2:$O$217,MATCH(B842, Rainfall_Dry!$A$2:$A$217,0)),"")</f>
        <v>162.634207253</v>
      </c>
      <c r="Z842" s="257">
        <v>25.96</v>
      </c>
      <c r="AA842" s="257">
        <v>8.9200000000000017</v>
      </c>
      <c r="AB842" s="257">
        <v>65.12</v>
      </c>
      <c r="AC842" s="258" t="s">
        <v>2654</v>
      </c>
      <c r="AD842" s="257">
        <v>5.6145884672252304</v>
      </c>
      <c r="AE842">
        <f>IF('WetLitterbags placem_collection'!AB183="","",'WetLitterbags placem_collection'!AB183)</f>
        <v>11.4</v>
      </c>
      <c r="AF842">
        <f>IF('WetLitterbags placem_collection'!Z183="","",'WetLitterbags placem_collection'!Z183)</f>
        <v>15.8</v>
      </c>
      <c r="AG842" s="243" t="str">
        <f>IF('WetLitterbags placem_collection'!AA183="","",'WetLitterbags placem_collection'!AA183)</f>
        <v>O</v>
      </c>
      <c r="AH842">
        <f>IF('WetLitterbags placem_collection'!AC183="","",'WetLitterbags placem_collection'!AC183)</f>
        <v>1</v>
      </c>
      <c r="AI842">
        <f>IFERROR(AVERAGE('Dry_Litterbag Placem_Collection'!O183,'Dry_Litterbag Placem_Collection'!R183),"")</f>
        <v>4.3000000000000007</v>
      </c>
      <c r="AJ842" s="268">
        <f>IFERROR(AVERAGE('Dry_Litterbag Placem_Collection'!N183,'Dry_Litterbag Placem_Collection'!Q183),"")</f>
        <v>35.099999999999994</v>
      </c>
      <c r="AK842" s="267">
        <f>INDEX(Coordinates!$B$2:$B$197,MATCH(H842,Coordinates!$J$2:$J$197,0))</f>
        <v>-2.2777329850000001</v>
      </c>
      <c r="AL842" s="267">
        <f>INDEX(Coordinates!$C$2:$C$197,MATCH(H842,Coordinates!$J$2:$J$197,0))</f>
        <v>34.027422970000003</v>
      </c>
      <c r="AM842" s="267" t="str">
        <f>IF(ISNUMBER(SEARCH("C", 'Dry_Litterbag Placem_Collection'!V183)),"YES","NO")</f>
        <v>NO</v>
      </c>
      <c r="AN842" s="267" t="str">
        <f>IF(ISNUMBER(SEARCH("H", 'Dry_Litterbag Placem_Collection'!V183)),"YES","NO")</f>
        <v>NO</v>
      </c>
      <c r="AO842" s="267" t="str">
        <f>IF(ISNUMBER(SEARCH("R", 'Dry_Litterbag Placem_Collection'!V183)),"YES","NO")</f>
        <v>NO</v>
      </c>
    </row>
    <row r="843" spans="1:41" ht="15" customHeight="1">
      <c r="A843" s="259" t="s">
        <v>2643</v>
      </c>
      <c r="B843" s="260">
        <f>'Dry_Litterbag Placem_Collection'!A184</f>
        <v>182</v>
      </c>
      <c r="C843" s="260" t="str">
        <f>'Dry_Litterbag Placem_Collection'!B184</f>
        <v>Handajega</v>
      </c>
      <c r="D843" s="260" t="s">
        <v>2454</v>
      </c>
      <c r="E843" s="260" t="s">
        <v>2645</v>
      </c>
      <c r="F843" s="260">
        <v>3</v>
      </c>
      <c r="G843" s="260" t="s">
        <v>3828</v>
      </c>
      <c r="H843" s="261" t="str">
        <f>'Dry_Litterbag Placem_Collection'!C184</f>
        <v>Wet_W3_T6</v>
      </c>
      <c r="I843" s="270" t="s">
        <v>3630</v>
      </c>
      <c r="J843" s="271" t="s">
        <v>298</v>
      </c>
      <c r="K843" s="260" t="str">
        <f>IF(ISBLANK('Dry_Litterbag Placem_Collection'!M184),"","R"&amp;""&amp;'Dry_Litterbag Placem_Collection'!M184)</f>
        <v>R697</v>
      </c>
      <c r="L843" s="264">
        <f>IFERROR(INDEX('Green_rooibos initial weight'!$C$5:$C$2000,MATCH(K843, 'Green_rooibos initial weight'!$A$5:$A$2000,0)),"")</f>
        <v>2.133</v>
      </c>
      <c r="M843" s="264">
        <f>IFERROR(L843-(TBIcalc!$Q$9+TBIcalc!$Q$10),"")</f>
        <v>1.8832</v>
      </c>
      <c r="N843" s="385">
        <f>AVERAGE(Ashed_controlls!$K$12:$K$14)</f>
        <v>2.2816647271287041</v>
      </c>
      <c r="O843" s="264">
        <f t="shared" si="66"/>
        <v>1.8402316898587123</v>
      </c>
      <c r="P843" s="264">
        <f>IFERROR(INDEX('Both teabags AfterDry'!$D$2:$D$2000,MATCH(K843,'Both teabags AfterDry'!$A$2:$A$2000,0)),"")</f>
        <v>1.8089</v>
      </c>
      <c r="Q843" s="264">
        <f>IFERROR(IF(P843&gt;0,P843-(TBIcalc!$Q$9),""),"")</f>
        <v>1.6582999999999999</v>
      </c>
      <c r="R843" s="275">
        <f>IFERROR(INDEX('Ashed teabags dry'!$K$2:$K$2000,MATCH(K843,'Ashed teabags dry'!$A$2:$A$2000,0)),"")</f>
        <v>9.0456806874716023</v>
      </c>
      <c r="S843" s="275">
        <f t="shared" si="67"/>
        <v>1.5082954771596584</v>
      </c>
      <c r="T843" s="265">
        <f>IF('Dry_Litterbag Placem_Collection'!E184="","",'Dry_Litterbag Placem_Collection'!E184)</f>
        <v>42940</v>
      </c>
      <c r="U843" s="265">
        <f>IF('Dry_Litterbag Placem_Collection'!G184="","",'Dry_Litterbag Placem_Collection'!G184)</f>
        <v>43009</v>
      </c>
      <c r="V843" s="266">
        <f t="shared" si="65"/>
        <v>69</v>
      </c>
      <c r="W843" s="264">
        <f t="shared" si="68"/>
        <v>0.2249000000000001</v>
      </c>
      <c r="X843" s="264">
        <f t="shared" si="69"/>
        <v>0.33193621269905393</v>
      </c>
      <c r="Y843" s="268">
        <f>IFERROR(INDEX(Rainfall_Dry!$O$2:$O$217,MATCH(B843, Rainfall_Dry!$A$2:$A$217,0)),"")</f>
        <v>162.634207253</v>
      </c>
      <c r="Z843" s="257">
        <v>25.96</v>
      </c>
      <c r="AA843" s="257">
        <v>8.9200000000000017</v>
      </c>
      <c r="AB843" s="257">
        <v>65.12</v>
      </c>
      <c r="AC843" s="258" t="s">
        <v>2654</v>
      </c>
      <c r="AD843" s="257">
        <v>6.6145884672252304</v>
      </c>
      <c r="AE843">
        <f>IF('WetLitterbags placem_collection'!AB184="","",'WetLitterbags placem_collection'!AB184)</f>
        <v>8.8000000000000007</v>
      </c>
      <c r="AF843">
        <f>IF('WetLitterbags placem_collection'!Z184="","",'WetLitterbags placem_collection'!Z184)</f>
        <v>15.8</v>
      </c>
      <c r="AG843" s="243" t="str">
        <f>IF('WetLitterbags placem_collection'!AA184="","",'WetLitterbags placem_collection'!AA184)</f>
        <v>O</v>
      </c>
      <c r="AH843">
        <f>IF('WetLitterbags placem_collection'!AC184="","",'WetLitterbags placem_collection'!AC184)</f>
        <v>1</v>
      </c>
      <c r="AI843">
        <f>IFERROR(AVERAGE('Dry_Litterbag Placem_Collection'!O184,'Dry_Litterbag Placem_Collection'!R184),"")</f>
        <v>6.55</v>
      </c>
      <c r="AJ843" s="268">
        <f>IFERROR(AVERAGE('Dry_Litterbag Placem_Collection'!N184,'Dry_Litterbag Placem_Collection'!Q184),"")</f>
        <v>36.400000000000006</v>
      </c>
      <c r="AK843" s="267">
        <f>INDEX(Coordinates!$B$2:$B$197,MATCH(H843,Coordinates!$J$2:$J$197,0))</f>
        <v>-2.2777009659999998</v>
      </c>
      <c r="AL843" s="267">
        <f>INDEX(Coordinates!$C$2:$C$197,MATCH(H843,Coordinates!$J$2:$J$197,0))</f>
        <v>34.027393969999999</v>
      </c>
      <c r="AM843" s="267" t="str">
        <f>IF(ISNUMBER(SEARCH("C", 'Dry_Litterbag Placem_Collection'!V184)),"YES","NO")</f>
        <v>NO</v>
      </c>
      <c r="AN843" s="267" t="str">
        <f>IF(ISNUMBER(SEARCH("H", 'Dry_Litterbag Placem_Collection'!V184)),"YES","NO")</f>
        <v>NO</v>
      </c>
      <c r="AO843" s="267" t="str">
        <f>IF(ISNUMBER(SEARCH("R", 'Dry_Litterbag Placem_Collection'!V184)),"YES","NO")</f>
        <v>NO</v>
      </c>
    </row>
    <row r="844" spans="1:41" ht="15" customHeight="1">
      <c r="A844" s="259" t="s">
        <v>2643</v>
      </c>
      <c r="B844" s="260">
        <f>'Dry_Litterbag Placem_Collection'!A185</f>
        <v>183</v>
      </c>
      <c r="C844" s="260" t="str">
        <f>'Dry_Litterbag Placem_Collection'!B185</f>
        <v>Handajega</v>
      </c>
      <c r="D844" s="260" t="s">
        <v>2454</v>
      </c>
      <c r="E844" s="260" t="s">
        <v>2645</v>
      </c>
      <c r="F844" s="260">
        <v>3</v>
      </c>
      <c r="G844" s="260" t="s">
        <v>3828</v>
      </c>
      <c r="H844" s="261" t="str">
        <f>'Dry_Litterbag Placem_Collection'!C185</f>
        <v>Wet_W3_T7</v>
      </c>
      <c r="I844" s="270" t="s">
        <v>3630</v>
      </c>
      <c r="J844" s="271" t="s">
        <v>298</v>
      </c>
      <c r="K844" s="260" t="str">
        <f>IF(ISBLANK('Dry_Litterbag Placem_Collection'!M185),"","R"&amp;""&amp;'Dry_Litterbag Placem_Collection'!M185)</f>
        <v/>
      </c>
      <c r="L844" s="264" t="str">
        <f>IFERROR(INDEX('Green_rooibos initial weight'!$C$5:$C$2000,MATCH(K844, 'Green_rooibos initial weight'!$A$5:$A$2000,0)),"")</f>
        <v/>
      </c>
      <c r="M844" s="264" t="str">
        <f>IFERROR(L844-(TBIcalc!$Q$9+TBIcalc!$Q$10),"")</f>
        <v/>
      </c>
      <c r="N844" s="385">
        <f>AVERAGE(Ashed_controlls!$K$12:$K$14)</f>
        <v>2.2816647271287041</v>
      </c>
      <c r="O844" s="264" t="str">
        <f t="shared" si="66"/>
        <v/>
      </c>
      <c r="P844" s="264" t="str">
        <f>IFERROR(INDEX('Both teabags AfterDry'!$D$2:$D$2000,MATCH(K844,'Both teabags AfterDry'!$A$2:$A$2000,0)),"")</f>
        <v/>
      </c>
      <c r="Q844" s="264" t="str">
        <f>IFERROR(IF(P844&gt;0,P844-(TBIcalc!$Q$9),""),"")</f>
        <v/>
      </c>
      <c r="R844" s="275" t="str">
        <f>IFERROR(INDEX('Ashed teabags dry'!$K$2:$K$2000,MATCH(K844,'Ashed teabags dry'!$A$2:$A$2000,0)),"")</f>
        <v/>
      </c>
      <c r="S844" s="275" t="str">
        <f t="shared" si="67"/>
        <v/>
      </c>
      <c r="T844" s="265" t="str">
        <f>IF('Dry_Litterbag Placem_Collection'!E185="","",'Dry_Litterbag Placem_Collection'!E185)</f>
        <v/>
      </c>
      <c r="U844" s="265" t="str">
        <f>IF('Dry_Litterbag Placem_Collection'!G185="","",'Dry_Litterbag Placem_Collection'!G185)</f>
        <v/>
      </c>
      <c r="V844" s="266" t="str">
        <f t="shared" si="65"/>
        <v/>
      </c>
      <c r="W844" s="264" t="str">
        <f t="shared" si="68"/>
        <v/>
      </c>
      <c r="X844" s="264" t="str">
        <f t="shared" si="69"/>
        <v/>
      </c>
      <c r="Y844" s="268" t="str">
        <f>IFERROR(INDEX(Rainfall_Dry!$O$2:$O$217,MATCH(B844, Rainfall_Dry!$A$2:$A$217,0)),"")</f>
        <v/>
      </c>
      <c r="Z844" s="257">
        <v>25.96</v>
      </c>
      <c r="AA844" s="257">
        <v>8.9200000000000017</v>
      </c>
      <c r="AB844" s="257">
        <v>65.12</v>
      </c>
      <c r="AC844" s="258" t="s">
        <v>2654</v>
      </c>
      <c r="AD844" s="257">
        <v>7.6145884672252304</v>
      </c>
      <c r="AE844">
        <f>IF('WetLitterbags placem_collection'!AB185="","",'WetLitterbags placem_collection'!AB185)</f>
        <v>11.4</v>
      </c>
      <c r="AF844">
        <f>IF('WetLitterbags placem_collection'!Z185="","",'WetLitterbags placem_collection'!Z185)</f>
        <v>35.799999999999997</v>
      </c>
      <c r="AG844" s="243" t="str">
        <f>IF('WetLitterbags placem_collection'!AA185="","",'WetLitterbags placem_collection'!AA185)</f>
        <v>G</v>
      </c>
      <c r="AH844">
        <f>IF('WetLitterbags placem_collection'!AC185="","",'WetLitterbags placem_collection'!AC185)</f>
        <v>1</v>
      </c>
      <c r="AI844" t="str">
        <f>IFERROR(AVERAGE('Dry_Litterbag Placem_Collection'!O185,'Dry_Litterbag Placem_Collection'!R185),"")</f>
        <v/>
      </c>
      <c r="AJ844" s="268" t="str">
        <f>IFERROR(AVERAGE('Dry_Litterbag Placem_Collection'!N185,'Dry_Litterbag Placem_Collection'!Q185),"")</f>
        <v/>
      </c>
      <c r="AK844" s="267">
        <f>INDEX(Coordinates!$B$2:$B$197,MATCH(H844,Coordinates!$J$2:$J$197,0))</f>
        <v>-2.2777790019999999</v>
      </c>
      <c r="AL844" s="267">
        <f>INDEX(Coordinates!$C$2:$C$197,MATCH(H844,Coordinates!$J$2:$J$197,0))</f>
        <v>34.028066029999998</v>
      </c>
      <c r="AM844" s="267" t="str">
        <f>IF(ISNUMBER(SEARCH("C", 'Dry_Litterbag Placem_Collection'!V185)),"YES","NO")</f>
        <v>NO</v>
      </c>
      <c r="AN844" s="267" t="str">
        <f>IF(ISNUMBER(SEARCH("H", 'Dry_Litterbag Placem_Collection'!V185)),"YES","NO")</f>
        <v>NO</v>
      </c>
      <c r="AO844" s="267" t="str">
        <f>IF(ISNUMBER(SEARCH("R", 'Dry_Litterbag Placem_Collection'!V185)),"YES","NO")</f>
        <v>NO</v>
      </c>
    </row>
    <row r="845" spans="1:41" ht="15" customHeight="1">
      <c r="A845" s="259" t="s">
        <v>2643</v>
      </c>
      <c r="B845" s="260">
        <f>'Dry_Litterbag Placem_Collection'!A186</f>
        <v>184</v>
      </c>
      <c r="C845" s="260" t="str">
        <f>'Dry_Litterbag Placem_Collection'!B186</f>
        <v>Handajega</v>
      </c>
      <c r="D845" s="260" t="s">
        <v>2454</v>
      </c>
      <c r="E845" s="260" t="s">
        <v>2645</v>
      </c>
      <c r="F845" s="260">
        <v>3</v>
      </c>
      <c r="G845" s="260" t="s">
        <v>3828</v>
      </c>
      <c r="H845" s="261" t="str">
        <f>'Dry_Litterbag Placem_Collection'!C186</f>
        <v>Wet_W3_T8</v>
      </c>
      <c r="I845" s="270" t="s">
        <v>3630</v>
      </c>
      <c r="J845" s="271" t="s">
        <v>298</v>
      </c>
      <c r="K845" s="260" t="str">
        <f>IF(ISBLANK('Dry_Litterbag Placem_Collection'!M186),"","R"&amp;""&amp;'Dry_Litterbag Placem_Collection'!M186)</f>
        <v>R674</v>
      </c>
      <c r="L845" s="264">
        <f>IFERROR(INDEX('Green_rooibos initial weight'!$C$5:$C$2000,MATCH(K845, 'Green_rooibos initial weight'!$A$5:$A$2000,0)),"")</f>
        <v>2.1629999999999998</v>
      </c>
      <c r="M845" s="264">
        <f>IFERROR(L845-(TBIcalc!$Q$9+TBIcalc!$Q$10),"")</f>
        <v>1.9131999999999998</v>
      </c>
      <c r="N845" s="385">
        <f>AVERAGE(Ashed_controlls!$K$12:$K$14)</f>
        <v>2.2816647271287041</v>
      </c>
      <c r="O845" s="264">
        <f t="shared" si="66"/>
        <v>1.8695471904405734</v>
      </c>
      <c r="P845" s="264">
        <f>IFERROR(INDEX('Both teabags AfterDry'!$D$2:$D$2000,MATCH(K845,'Both teabags AfterDry'!$A$2:$A$2000,0)),"")</f>
        <v>1.6498999999999999</v>
      </c>
      <c r="Q845" s="264">
        <f>IFERROR(IF(P845&gt;0,P845-(TBIcalc!$Q$9),""),"")</f>
        <v>1.4992999999999999</v>
      </c>
      <c r="R845" s="275">
        <f>IFERROR(INDEX('Ashed teabags dry'!$K$2:$K$2000,MATCH(K845,'Ashed teabags dry'!$A$2:$A$2000,0)),"")</f>
        <v>8.2802547770705939</v>
      </c>
      <c r="S845" s="275">
        <f t="shared" si="67"/>
        <v>1.3751541401273806</v>
      </c>
      <c r="T845" s="265">
        <f>IF('Dry_Litterbag Placem_Collection'!E186="","",'Dry_Litterbag Placem_Collection'!E186)</f>
        <v>42940</v>
      </c>
      <c r="U845" s="265">
        <f>IF('Dry_Litterbag Placem_Collection'!G186="","",'Dry_Litterbag Placem_Collection'!G186)</f>
        <v>43009</v>
      </c>
      <c r="V845" s="266">
        <f t="shared" si="65"/>
        <v>69</v>
      </c>
      <c r="W845" s="264">
        <f t="shared" si="68"/>
        <v>0.41389999999999993</v>
      </c>
      <c r="X845" s="264">
        <f t="shared" si="69"/>
        <v>0.49439305031319281</v>
      </c>
      <c r="Y845" s="268">
        <f>IFERROR(INDEX(Rainfall_Dry!$O$2:$O$217,MATCH(B845, Rainfall_Dry!$A$2:$A$217,0)),"")</f>
        <v>162.634207253</v>
      </c>
      <c r="Z845" s="257">
        <v>25.96</v>
      </c>
      <c r="AA845" s="257">
        <v>8.9200000000000017</v>
      </c>
      <c r="AB845" s="257">
        <v>65.12</v>
      </c>
      <c r="AC845" s="258" t="s">
        <v>2654</v>
      </c>
      <c r="AD845" s="257">
        <v>8.6145884672252304</v>
      </c>
      <c r="AE845">
        <f>IF('WetLitterbags placem_collection'!AB186="","",'WetLitterbags placem_collection'!AB186)</f>
        <v>3.7</v>
      </c>
      <c r="AF845">
        <f>IF('WetLitterbags placem_collection'!Z186="","",'WetLitterbags placem_collection'!Z186)</f>
        <v>16.399999999999999</v>
      </c>
      <c r="AG845" s="243" t="str">
        <f>IF('WetLitterbags placem_collection'!AA186="","",'WetLitterbags placem_collection'!AA186)</f>
        <v>O</v>
      </c>
      <c r="AH845">
        <f>IF('WetLitterbags placem_collection'!AC186="","",'WetLitterbags placem_collection'!AC186)</f>
        <v>0</v>
      </c>
      <c r="AI845">
        <f>IFERROR(AVERAGE('Dry_Litterbag Placem_Collection'!O186,'Dry_Litterbag Placem_Collection'!R186),"")</f>
        <v>4.3</v>
      </c>
      <c r="AJ845" s="268">
        <f>IFERROR(AVERAGE('Dry_Litterbag Placem_Collection'!N186,'Dry_Litterbag Placem_Collection'!Q186),"")</f>
        <v>28.05</v>
      </c>
      <c r="AK845" s="267">
        <f>INDEX(Coordinates!$B$2:$B$197,MATCH(H845,Coordinates!$J$2:$J$197,0))</f>
        <v>-2.2775169829999999</v>
      </c>
      <c r="AL845" s="267">
        <f>INDEX(Coordinates!$C$2:$C$197,MATCH(H845,Coordinates!$J$2:$J$197,0))</f>
        <v>34.027766970000002</v>
      </c>
      <c r="AM845" s="267" t="str">
        <f>IF(ISNUMBER(SEARCH("C", 'Dry_Litterbag Placem_Collection'!V186)),"YES","NO")</f>
        <v>NO</v>
      </c>
      <c r="AN845" s="267" t="str">
        <f>IF(ISNUMBER(SEARCH("H", 'Dry_Litterbag Placem_Collection'!V186)),"YES","NO")</f>
        <v>NO</v>
      </c>
      <c r="AO845" s="267" t="str">
        <f>IF(ISNUMBER(SEARCH("R", 'Dry_Litterbag Placem_Collection'!V186)),"YES","NO")</f>
        <v>NO</v>
      </c>
    </row>
    <row r="846" spans="1:41" ht="15" customHeight="1">
      <c r="A846" s="259" t="s">
        <v>2643</v>
      </c>
      <c r="B846" s="260">
        <f>'Dry_Litterbag Placem_Collection'!A187</f>
        <v>185</v>
      </c>
      <c r="C846" s="260" t="str">
        <f>'Dry_Litterbag Placem_Collection'!B187</f>
        <v>Handajega</v>
      </c>
      <c r="D846" s="260" t="s">
        <v>2454</v>
      </c>
      <c r="E846" s="260" t="s">
        <v>2645</v>
      </c>
      <c r="F846" s="260">
        <v>4</v>
      </c>
      <c r="G846" s="260" t="s">
        <v>3829</v>
      </c>
      <c r="H846" s="261" t="str">
        <f>'Dry_Litterbag Placem_Collection'!C187</f>
        <v>Wet_W4_T1</v>
      </c>
      <c r="I846" s="270" t="s">
        <v>3630</v>
      </c>
      <c r="J846" s="271" t="s">
        <v>298</v>
      </c>
      <c r="K846" s="260" t="str">
        <f>IF(ISBLANK('Dry_Litterbag Placem_Collection'!M187),"","R"&amp;""&amp;'Dry_Litterbag Placem_Collection'!M187)</f>
        <v>R607</v>
      </c>
      <c r="L846" s="264">
        <f>IFERROR(INDEX('Green_rooibos initial weight'!$C$5:$C$2000,MATCH(K846, 'Green_rooibos initial weight'!$A$5:$A$2000,0)),"")</f>
        <v>2.14</v>
      </c>
      <c r="M846" s="264">
        <f>IFERROR(L846-(TBIcalc!$Q$9+TBIcalc!$Q$10),"")</f>
        <v>1.8902000000000001</v>
      </c>
      <c r="N846" s="385">
        <f>AVERAGE(Ashed_controlls!$K$12:$K$14)</f>
        <v>2.2816647271287041</v>
      </c>
      <c r="O846" s="264">
        <f t="shared" si="66"/>
        <v>1.8470719733278134</v>
      </c>
      <c r="P846" s="264" t="str">
        <f>IFERROR(INDEX('Both teabags AfterDry'!$D$2:$D$2000,MATCH(K846,'Both teabags AfterDry'!$A$2:$A$2000,0)),"")</f>
        <v/>
      </c>
      <c r="Q846" s="264" t="str">
        <f>IFERROR(IF(P846&gt;0,P846-(TBIcalc!$Q$9),""),"")</f>
        <v/>
      </c>
      <c r="R846" s="275" t="str">
        <f>IFERROR(INDEX('Ashed teabags dry'!$K$2:$K$2000,MATCH(K846,'Ashed teabags dry'!$A$2:$A$2000,0)),"")</f>
        <v/>
      </c>
      <c r="S846" s="275" t="str">
        <f t="shared" si="67"/>
        <v/>
      </c>
      <c r="T846" s="265">
        <f>IF('Dry_Litterbag Placem_Collection'!E187="","",'Dry_Litterbag Placem_Collection'!E187)</f>
        <v>42940</v>
      </c>
      <c r="U846" s="265">
        <f>IF('Dry_Litterbag Placem_Collection'!G187="","",'Dry_Litterbag Placem_Collection'!G187)</f>
        <v>43009</v>
      </c>
      <c r="V846" s="266">
        <f t="shared" si="65"/>
        <v>69</v>
      </c>
      <c r="W846" s="264" t="str">
        <f t="shared" si="68"/>
        <v/>
      </c>
      <c r="X846" s="264" t="str">
        <f t="shared" si="69"/>
        <v/>
      </c>
      <c r="Y846" s="268">
        <f>IFERROR(INDEX(Rainfall_Dry!$O$2:$O$217,MATCH(B846, Rainfall_Dry!$A$2:$A$217,0)),"")</f>
        <v>162.634207253</v>
      </c>
      <c r="Z846" s="257">
        <v>25.96</v>
      </c>
      <c r="AA846" s="257">
        <v>8.9200000000000017</v>
      </c>
      <c r="AB846" s="257">
        <v>65.12</v>
      </c>
      <c r="AC846" s="258" t="s">
        <v>2654</v>
      </c>
      <c r="AD846" s="257">
        <v>1.6991621488417901</v>
      </c>
      <c r="AE846">
        <f>IF('WetLitterbags placem_collection'!AB187="","",'WetLitterbags placem_collection'!AB187)</f>
        <v>9.8000000000000007</v>
      </c>
      <c r="AF846">
        <f>IF('WetLitterbags placem_collection'!Z187="","",'WetLitterbags placem_collection'!Z187)</f>
        <v>29.4</v>
      </c>
      <c r="AG846" s="243" t="str">
        <f>IF('WetLitterbags placem_collection'!AA187="","",'WetLitterbags placem_collection'!AA187)</f>
        <v>O</v>
      </c>
      <c r="AH846">
        <f>IF('WetLitterbags placem_collection'!AC187="","",'WetLitterbags placem_collection'!AC187)</f>
        <v>0</v>
      </c>
      <c r="AI846">
        <f>IFERROR(AVERAGE('Dry_Litterbag Placem_Collection'!O187,'Dry_Litterbag Placem_Collection'!R187),"")</f>
        <v>4.9000000000000004</v>
      </c>
      <c r="AJ846" s="268">
        <f>IFERROR(AVERAGE('Dry_Litterbag Placem_Collection'!N187,'Dry_Litterbag Placem_Collection'!Q187),"")</f>
        <v>35</v>
      </c>
      <c r="AK846" s="267">
        <f>INDEX(Coordinates!$B$2:$B$197,MATCH(H846,Coordinates!$J$2:$J$197,0))</f>
        <v>-2.2787330300000002</v>
      </c>
      <c r="AL846" s="267">
        <f>INDEX(Coordinates!$C$2:$C$197,MATCH(H846,Coordinates!$J$2:$J$197,0))</f>
        <v>34.032136029999997</v>
      </c>
      <c r="AM846" s="267" t="str">
        <f>IF(ISNUMBER(SEARCH("C", 'Dry_Litterbag Placem_Collection'!V187)),"YES","NO")</f>
        <v>NO</v>
      </c>
      <c r="AN846" s="267" t="str">
        <f>IF(ISNUMBER(SEARCH("H", 'Dry_Litterbag Placem_Collection'!V187)),"YES","NO")</f>
        <v>NO</v>
      </c>
      <c r="AO846" s="267" t="str">
        <f>IF(ISNUMBER(SEARCH("R", 'Dry_Litterbag Placem_Collection'!V187)),"YES","NO")</f>
        <v>NO</v>
      </c>
    </row>
    <row r="847" spans="1:41" ht="15" customHeight="1">
      <c r="A847" s="259" t="s">
        <v>2643</v>
      </c>
      <c r="B847" s="260">
        <f>'Dry_Litterbag Placem_Collection'!A188</f>
        <v>186</v>
      </c>
      <c r="C847" s="260" t="str">
        <f>'Dry_Litterbag Placem_Collection'!B188</f>
        <v>Handajega</v>
      </c>
      <c r="D847" s="260" t="s">
        <v>2454</v>
      </c>
      <c r="E847" s="260" t="s">
        <v>2645</v>
      </c>
      <c r="F847" s="260">
        <v>4</v>
      </c>
      <c r="G847" s="260" t="s">
        <v>3829</v>
      </c>
      <c r="H847" s="261" t="str">
        <f>'Dry_Litterbag Placem_Collection'!C188</f>
        <v>Wet_W4_T2</v>
      </c>
      <c r="I847" s="270" t="s">
        <v>3630</v>
      </c>
      <c r="J847" s="271" t="s">
        <v>298</v>
      </c>
      <c r="K847" s="260" t="str">
        <f>IF(ISBLANK('Dry_Litterbag Placem_Collection'!M188),"","R"&amp;""&amp;'Dry_Litterbag Placem_Collection'!M188)</f>
        <v>R629</v>
      </c>
      <c r="L847" s="264">
        <f>IFERROR(INDEX('Green_rooibos initial weight'!$C$5:$C$2000,MATCH(K847, 'Green_rooibos initial weight'!$A$5:$A$2000,0)),"")</f>
        <v>2.1669999999999998</v>
      </c>
      <c r="M847" s="264">
        <f>IFERROR(L847-(TBIcalc!$Q$9+TBIcalc!$Q$10),"")</f>
        <v>1.9171999999999998</v>
      </c>
      <c r="N847" s="385">
        <f>AVERAGE(Ashed_controlls!$K$12:$K$14)</f>
        <v>2.2816647271287041</v>
      </c>
      <c r="O847" s="264">
        <f t="shared" si="66"/>
        <v>1.8734559238514883</v>
      </c>
      <c r="P847" s="264">
        <f>IFERROR(INDEX('Both teabags AfterDry'!$D$2:$D$2000,MATCH(K847,'Both teabags AfterDry'!$A$2:$A$2000,0)),"")</f>
        <v>1.8498000000000001</v>
      </c>
      <c r="Q847" s="264">
        <f>IFERROR(IF(P847&gt;0,P847-(TBIcalc!$Q$9),""),"")</f>
        <v>1.6992</v>
      </c>
      <c r="R847" s="275">
        <f>IFERROR(INDEX('Ashed teabags dry'!$K$2:$K$2000,MATCH(K847,'Ashed teabags dry'!$A$2:$A$2000,0)),"")</f>
        <v>8.1542968749998188</v>
      </c>
      <c r="S847" s="275">
        <f t="shared" si="67"/>
        <v>1.5606421875000032</v>
      </c>
      <c r="T847" s="265">
        <f>IF('Dry_Litterbag Placem_Collection'!E188="","",'Dry_Litterbag Placem_Collection'!E188)</f>
        <v>42940</v>
      </c>
      <c r="U847" s="265">
        <f>IF('Dry_Litterbag Placem_Collection'!G188="","",'Dry_Litterbag Placem_Collection'!G188)</f>
        <v>43009</v>
      </c>
      <c r="V847" s="266">
        <f t="shared" si="65"/>
        <v>69</v>
      </c>
      <c r="W847" s="264">
        <f t="shared" si="68"/>
        <v>0.21799999999999975</v>
      </c>
      <c r="X847" s="264">
        <f t="shared" si="69"/>
        <v>0.31281373635148513</v>
      </c>
      <c r="Y847" s="268">
        <f>IFERROR(INDEX(Rainfall_Dry!$O$2:$O$217,MATCH(B847, Rainfall_Dry!$A$2:$A$217,0)),"")</f>
        <v>162.634207253</v>
      </c>
      <c r="Z847" s="257">
        <v>25.96</v>
      </c>
      <c r="AA847" s="257">
        <v>8.9200000000000017</v>
      </c>
      <c r="AB847" s="257">
        <v>65.12</v>
      </c>
      <c r="AC847" s="258" t="s">
        <v>2654</v>
      </c>
      <c r="AD847" s="257">
        <v>2.6991621488417898</v>
      </c>
      <c r="AE847">
        <f>IF('WetLitterbags placem_collection'!AB188="","",'WetLitterbags placem_collection'!AB188)</f>
        <v>11.4</v>
      </c>
      <c r="AF847">
        <f>IF('WetLitterbags placem_collection'!Z188="","",'WetLitterbags placem_collection'!Z188)</f>
        <v>45.4</v>
      </c>
      <c r="AG847" s="243" t="str">
        <f>IF('WetLitterbags placem_collection'!AA188="","",'WetLitterbags placem_collection'!AA188)</f>
        <v>O</v>
      </c>
      <c r="AH847">
        <f>IF('WetLitterbags placem_collection'!AC188="","",'WetLitterbags placem_collection'!AC188)</f>
        <v>0</v>
      </c>
      <c r="AI847">
        <f>IFERROR(AVERAGE('Dry_Litterbag Placem_Collection'!O188,'Dry_Litterbag Placem_Collection'!R188),"")</f>
        <v>7.55</v>
      </c>
      <c r="AJ847" s="268">
        <f>IFERROR(AVERAGE('Dry_Litterbag Placem_Collection'!N188,'Dry_Litterbag Placem_Collection'!Q188),"")</f>
        <v>35.299999999999997</v>
      </c>
      <c r="AK847" s="267">
        <f>INDEX(Coordinates!$B$2:$B$197,MATCH(H847,Coordinates!$J$2:$J$197,0))</f>
        <v>-2.278763037</v>
      </c>
      <c r="AL847" s="267">
        <f>INDEX(Coordinates!$C$2:$C$197,MATCH(H847,Coordinates!$J$2:$J$197,0))</f>
        <v>34.031974009999999</v>
      </c>
      <c r="AM847" s="267" t="str">
        <f>IF(ISNUMBER(SEARCH("C", 'Dry_Litterbag Placem_Collection'!V188)),"YES","NO")</f>
        <v>NO</v>
      </c>
      <c r="AN847" s="267" t="str">
        <f>IF(ISNUMBER(SEARCH("H", 'Dry_Litterbag Placem_Collection'!V188)),"YES","NO")</f>
        <v>NO</v>
      </c>
      <c r="AO847" s="267" t="str">
        <f>IF(ISNUMBER(SEARCH("R", 'Dry_Litterbag Placem_Collection'!V188)),"YES","NO")</f>
        <v>NO</v>
      </c>
    </row>
    <row r="848" spans="1:41" ht="15" customHeight="1">
      <c r="A848" s="259" t="s">
        <v>2643</v>
      </c>
      <c r="B848" s="260">
        <f>'Dry_Litterbag Placem_Collection'!A189</f>
        <v>187</v>
      </c>
      <c r="C848" s="260" t="str">
        <f>'Dry_Litterbag Placem_Collection'!B189</f>
        <v>Handajega</v>
      </c>
      <c r="D848" s="260" t="s">
        <v>2454</v>
      </c>
      <c r="E848" s="260" t="s">
        <v>2645</v>
      </c>
      <c r="F848" s="260">
        <v>4</v>
      </c>
      <c r="G848" s="260" t="s">
        <v>3829</v>
      </c>
      <c r="H848" s="261" t="str">
        <f>'Dry_Litterbag Placem_Collection'!C189</f>
        <v>Wet_W4_T3</v>
      </c>
      <c r="I848" s="270" t="s">
        <v>3630</v>
      </c>
      <c r="J848" s="271" t="s">
        <v>298</v>
      </c>
      <c r="K848" s="260" t="str">
        <f>IF(ISBLANK('Dry_Litterbag Placem_Collection'!M189),"","R"&amp;""&amp;'Dry_Litterbag Placem_Collection'!M189)</f>
        <v>R679</v>
      </c>
      <c r="L848" s="264">
        <f>IFERROR(INDEX('Green_rooibos initial weight'!$C$5:$C$2000,MATCH(K848, 'Green_rooibos initial weight'!$A$5:$A$2000,0)),"")</f>
        <v>2.149</v>
      </c>
      <c r="M848" s="264">
        <f>IFERROR(L848-(TBIcalc!$Q$9+TBIcalc!$Q$10),"")</f>
        <v>1.8992</v>
      </c>
      <c r="N848" s="385">
        <f>AVERAGE(Ashed_controlls!$K$12:$K$14)</f>
        <v>2.2816647271287041</v>
      </c>
      <c r="O848" s="264">
        <f t="shared" si="66"/>
        <v>1.8558666235023717</v>
      </c>
      <c r="P848" s="264">
        <f>IFERROR(INDEX('Both teabags AfterDry'!$D$2:$D$2000,MATCH(K848,'Both teabags AfterDry'!$A$2:$A$2000,0)),"")</f>
        <v>1.7021999999999999</v>
      </c>
      <c r="Q848" s="264">
        <f>IFERROR(IF(P848&gt;0,P848-(TBIcalc!$Q$9),""),"")</f>
        <v>1.5515999999999999</v>
      </c>
      <c r="R848" s="275">
        <f>IFERROR(INDEX('Ashed teabags dry'!$K$2:$K$2000,MATCH(K848,'Ashed teabags dry'!$A$2:$A$2000,0)),"")</f>
        <v>11.726867887184616</v>
      </c>
      <c r="S848" s="275">
        <f t="shared" si="67"/>
        <v>1.3696459178624434</v>
      </c>
      <c r="T848" s="265">
        <f>IF('Dry_Litterbag Placem_Collection'!E189="","",'Dry_Litterbag Placem_Collection'!E189)</f>
        <v>42940</v>
      </c>
      <c r="U848" s="265">
        <f>IF('Dry_Litterbag Placem_Collection'!G189="","",'Dry_Litterbag Placem_Collection'!G189)</f>
        <v>43009</v>
      </c>
      <c r="V848" s="266">
        <f t="shared" si="65"/>
        <v>69</v>
      </c>
      <c r="W848" s="264">
        <f t="shared" si="68"/>
        <v>0.34760000000000013</v>
      </c>
      <c r="X848" s="264">
        <f t="shared" si="69"/>
        <v>0.48622070563992836</v>
      </c>
      <c r="Y848" s="268">
        <f>IFERROR(INDEX(Rainfall_Dry!$O$2:$O$217,MATCH(B848, Rainfall_Dry!$A$2:$A$217,0)),"")</f>
        <v>162.634207253</v>
      </c>
      <c r="Z848" s="257">
        <v>25.96</v>
      </c>
      <c r="AA848" s="257">
        <v>8.9200000000000017</v>
      </c>
      <c r="AB848" s="257">
        <v>65.12</v>
      </c>
      <c r="AC848" s="258" t="s">
        <v>2654</v>
      </c>
      <c r="AD848" s="257">
        <v>3.6991621488417898</v>
      </c>
      <c r="AE848">
        <f>IF('WetLitterbags placem_collection'!AB189="","",'WetLitterbags placem_collection'!AB189)</f>
        <v>0.6</v>
      </c>
      <c r="AF848">
        <f>IF('WetLitterbags placem_collection'!Z189="","",'WetLitterbags placem_collection'!Z189)</f>
        <v>39.4</v>
      </c>
      <c r="AG848" s="243" t="str">
        <f>IF('WetLitterbags placem_collection'!AA189="","",'WetLitterbags placem_collection'!AA189)</f>
        <v>O</v>
      </c>
      <c r="AH848">
        <f>IF('WetLitterbags placem_collection'!AC189="","",'WetLitterbags placem_collection'!AC189)</f>
        <v>1</v>
      </c>
      <c r="AI848">
        <f>IFERROR(AVERAGE('Dry_Litterbag Placem_Collection'!O189,'Dry_Litterbag Placem_Collection'!R189),"")</f>
        <v>5.05</v>
      </c>
      <c r="AJ848" s="268">
        <f>IFERROR(AVERAGE('Dry_Litterbag Placem_Collection'!N189,'Dry_Litterbag Placem_Collection'!Q189),"")</f>
        <v>35.150000000000006</v>
      </c>
      <c r="AK848" s="267">
        <f>INDEX(Coordinates!$B$2:$B$197,MATCH(H848,Coordinates!$J$2:$J$197,0))</f>
        <v>-2.2785890289999999</v>
      </c>
      <c r="AL848" s="267">
        <f>INDEX(Coordinates!$C$2:$C$197,MATCH(H848,Coordinates!$J$2:$J$197,0))</f>
        <v>34.031841999999997</v>
      </c>
      <c r="AM848" s="267" t="str">
        <f>IF(ISNUMBER(SEARCH("C", 'Dry_Litterbag Placem_Collection'!V189)),"YES","NO")</f>
        <v>NO</v>
      </c>
      <c r="AN848" s="267" t="str">
        <f>IF(ISNUMBER(SEARCH("H", 'Dry_Litterbag Placem_Collection'!V189)),"YES","NO")</f>
        <v>NO</v>
      </c>
      <c r="AO848" s="267" t="str">
        <f>IF(ISNUMBER(SEARCH("R", 'Dry_Litterbag Placem_Collection'!V189)),"YES","NO")</f>
        <v>NO</v>
      </c>
    </row>
    <row r="849" spans="1:41" ht="15" customHeight="1">
      <c r="A849" s="259" t="s">
        <v>2643</v>
      </c>
      <c r="B849" s="260">
        <f>'Dry_Litterbag Placem_Collection'!A190</f>
        <v>188</v>
      </c>
      <c r="C849" s="260" t="str">
        <f>'Dry_Litterbag Placem_Collection'!B190</f>
        <v>Handajega</v>
      </c>
      <c r="D849" s="260" t="s">
        <v>2454</v>
      </c>
      <c r="E849" s="260" t="s">
        <v>2645</v>
      </c>
      <c r="F849" s="260">
        <v>4</v>
      </c>
      <c r="G849" s="260" t="s">
        <v>3829</v>
      </c>
      <c r="H849" s="261" t="str">
        <f>'Dry_Litterbag Placem_Collection'!C190</f>
        <v>Wet_W4_T4</v>
      </c>
      <c r="I849" s="270" t="s">
        <v>3630</v>
      </c>
      <c r="J849" s="271" t="s">
        <v>298</v>
      </c>
      <c r="K849" s="260" t="str">
        <f>IF(ISBLANK('Dry_Litterbag Placem_Collection'!M190),"","R"&amp;""&amp;'Dry_Litterbag Placem_Collection'!M190)</f>
        <v>R682</v>
      </c>
      <c r="L849" s="264">
        <f>IFERROR(INDEX('Green_rooibos initial weight'!$C$5:$C$2000,MATCH(K849, 'Green_rooibos initial weight'!$A$5:$A$2000,0)),"")</f>
        <v>2.1720000000000002</v>
      </c>
      <c r="M849" s="264">
        <f>IFERROR(L849-(TBIcalc!$Q$9+TBIcalc!$Q$10),"")</f>
        <v>1.9222000000000001</v>
      </c>
      <c r="N849" s="385">
        <f>AVERAGE(Ashed_controlls!$K$12:$K$14)</f>
        <v>2.2816647271287041</v>
      </c>
      <c r="O849" s="264">
        <f t="shared" si="66"/>
        <v>1.8783418406151322</v>
      </c>
      <c r="P849" s="264">
        <f>IFERROR(INDEX('Both teabags AfterDry'!$D$2:$D$2000,MATCH(K849,'Both teabags AfterDry'!$A$2:$A$2000,0)),"")</f>
        <v>1.7353000000000001</v>
      </c>
      <c r="Q849" s="264">
        <f>IFERROR(IF(P849&gt;0,P849-(TBIcalc!$Q$9),""),"")</f>
        <v>1.5847</v>
      </c>
      <c r="R849" s="275">
        <f>IFERROR(INDEX('Ashed teabags dry'!$K$2:$K$2000,MATCH(K849,'Ashed teabags dry'!$A$2:$A$2000,0)),"")</f>
        <v>6.766169154228745</v>
      </c>
      <c r="S849" s="275">
        <f t="shared" si="67"/>
        <v>1.4774765174129372</v>
      </c>
      <c r="T849" s="265">
        <f>IF('Dry_Litterbag Placem_Collection'!E190="","",'Dry_Litterbag Placem_Collection'!E190)</f>
        <v>42940</v>
      </c>
      <c r="U849" s="265">
        <f>IF('Dry_Litterbag Placem_Collection'!G190="","",'Dry_Litterbag Placem_Collection'!G190)</f>
        <v>43009</v>
      </c>
      <c r="V849" s="266">
        <f t="shared" si="65"/>
        <v>69</v>
      </c>
      <c r="W849" s="264">
        <f t="shared" si="68"/>
        <v>0.33750000000000013</v>
      </c>
      <c r="X849" s="264">
        <f t="shared" si="69"/>
        <v>0.40086532320219503</v>
      </c>
      <c r="Y849" s="268">
        <f>IFERROR(INDEX(Rainfall_Dry!$O$2:$O$217,MATCH(B849, Rainfall_Dry!$A$2:$A$217,0)),"")</f>
        <v>162.634207253</v>
      </c>
      <c r="Z849" s="257">
        <v>25.96</v>
      </c>
      <c r="AA849" s="257">
        <v>8.9200000000000017</v>
      </c>
      <c r="AB849" s="257">
        <v>65.12</v>
      </c>
      <c r="AC849" s="258" t="s">
        <v>2654</v>
      </c>
      <c r="AD849" s="257">
        <v>4.6991621488417898</v>
      </c>
      <c r="AE849">
        <f>IF('WetLitterbags placem_collection'!AB190="","",'WetLitterbags placem_collection'!AB190)</f>
        <v>2.2999999999999998</v>
      </c>
      <c r="AF849">
        <f>IF('WetLitterbags placem_collection'!Z190="","",'WetLitterbags placem_collection'!Z190)</f>
        <v>14.4</v>
      </c>
      <c r="AG849" s="243" t="str">
        <f>IF('WetLitterbags placem_collection'!AA190="","",'WetLitterbags placem_collection'!AA190)</f>
        <v>O</v>
      </c>
      <c r="AH849">
        <f>IF('WetLitterbags placem_collection'!AC190="","",'WetLitterbags placem_collection'!AC190)</f>
        <v>0</v>
      </c>
      <c r="AI849">
        <f>IFERROR(AVERAGE('Dry_Litterbag Placem_Collection'!O190,'Dry_Litterbag Placem_Collection'!R190),"")</f>
        <v>7.35</v>
      </c>
      <c r="AJ849" s="268">
        <f>IFERROR(AVERAGE('Dry_Litterbag Placem_Collection'!N190,'Dry_Litterbag Placem_Collection'!Q190),"")</f>
        <v>34.150000000000006</v>
      </c>
      <c r="AK849" s="267">
        <f>INDEX(Coordinates!$B$2:$B$197,MATCH(H849,Coordinates!$J$2:$J$197,0))</f>
        <v>-2.278422983</v>
      </c>
      <c r="AL849" s="267">
        <f>INDEX(Coordinates!$C$2:$C$197,MATCH(H849,Coordinates!$J$2:$J$197,0))</f>
        <v>34.032261009999999</v>
      </c>
      <c r="AM849" s="267" t="str">
        <f>IF(ISNUMBER(SEARCH("C", 'Dry_Litterbag Placem_Collection'!V190)),"YES","NO")</f>
        <v>NO</v>
      </c>
      <c r="AN849" s="267" t="str">
        <f>IF(ISNUMBER(SEARCH("H", 'Dry_Litterbag Placem_Collection'!V190)),"YES","NO")</f>
        <v>NO</v>
      </c>
      <c r="AO849" s="267" t="str">
        <f>IF(ISNUMBER(SEARCH("R", 'Dry_Litterbag Placem_Collection'!V190)),"YES","NO")</f>
        <v>NO</v>
      </c>
    </row>
    <row r="850" spans="1:41" ht="15" customHeight="1">
      <c r="A850" s="259" t="s">
        <v>2643</v>
      </c>
      <c r="B850" s="260">
        <f>'Dry_Litterbag Placem_Collection'!A191</f>
        <v>189</v>
      </c>
      <c r="C850" s="260" t="str">
        <f>'Dry_Litterbag Placem_Collection'!B191</f>
        <v>Handajega</v>
      </c>
      <c r="D850" s="260" t="s">
        <v>2454</v>
      </c>
      <c r="E850" s="260" t="s">
        <v>2645</v>
      </c>
      <c r="F850" s="260">
        <v>4</v>
      </c>
      <c r="G850" s="260" t="s">
        <v>3829</v>
      </c>
      <c r="H850" s="261" t="str">
        <f>'Dry_Litterbag Placem_Collection'!C191</f>
        <v>Wet_W4_T5</v>
      </c>
      <c r="I850" s="270" t="s">
        <v>3630</v>
      </c>
      <c r="J850" s="271" t="s">
        <v>298</v>
      </c>
      <c r="K850" s="260" t="str">
        <f>IF(ISBLANK('Dry_Litterbag Placem_Collection'!M191),"","R"&amp;""&amp;'Dry_Litterbag Placem_Collection'!M191)</f>
        <v>R693</v>
      </c>
      <c r="L850" s="264">
        <f>IFERROR(INDEX('Green_rooibos initial weight'!$C$5:$C$2000,MATCH(K850, 'Green_rooibos initial weight'!$A$5:$A$2000,0)),"")</f>
        <v>2.1789999999999998</v>
      </c>
      <c r="M850" s="264">
        <f>IFERROR(L850-(TBIcalc!$Q$9+TBIcalc!$Q$10),"")</f>
        <v>1.9291999999999998</v>
      </c>
      <c r="N850" s="385">
        <f>AVERAGE(Ashed_controlls!$K$12:$K$14)</f>
        <v>2.2816647271287041</v>
      </c>
      <c r="O850" s="264">
        <f t="shared" si="66"/>
        <v>1.8851821240842328</v>
      </c>
      <c r="P850" s="264">
        <f>IFERROR(INDEX('Both teabags AfterDry'!$D$2:$D$2000,MATCH(K850,'Both teabags AfterDry'!$A$2:$A$2000,0)),"")</f>
        <v>1.919</v>
      </c>
      <c r="Q850" s="264">
        <f>IFERROR(IF(P850&gt;0,P850-(TBIcalc!$Q$9),""),"")</f>
        <v>1.7684</v>
      </c>
      <c r="R850" s="275">
        <f>IFERROR(INDEX('Ashed teabags dry'!$K$2:$K$2000,MATCH(K850,'Ashed teabags dry'!$A$2:$A$2000,0)),"")</f>
        <v>7.2408897302414861</v>
      </c>
      <c r="S850" s="275">
        <f t="shared" si="67"/>
        <v>1.6403521060104096</v>
      </c>
      <c r="T850" s="265">
        <f>IF('Dry_Litterbag Placem_Collection'!E191="","",'Dry_Litterbag Placem_Collection'!E191)</f>
        <v>42940</v>
      </c>
      <c r="U850" s="265">
        <f>IF('Dry_Litterbag Placem_Collection'!G191="","",'Dry_Litterbag Placem_Collection'!G191)</f>
        <v>43009</v>
      </c>
      <c r="V850" s="266">
        <f t="shared" si="65"/>
        <v>69</v>
      </c>
      <c r="W850" s="264">
        <f t="shared" si="68"/>
        <v>0.16079999999999983</v>
      </c>
      <c r="X850" s="264">
        <f t="shared" si="69"/>
        <v>0.24483001807382321</v>
      </c>
      <c r="Y850" s="268">
        <f>IFERROR(INDEX(Rainfall_Dry!$O$2:$O$217,MATCH(B850, Rainfall_Dry!$A$2:$A$217,0)),"")</f>
        <v>162.634207253</v>
      </c>
      <c r="Z850" s="257">
        <v>25.96</v>
      </c>
      <c r="AA850" s="257">
        <v>8.9200000000000017</v>
      </c>
      <c r="AB850" s="257">
        <v>65.12</v>
      </c>
      <c r="AC850" s="258" t="s">
        <v>2654</v>
      </c>
      <c r="AD850" s="257">
        <v>5.6991621488417898</v>
      </c>
      <c r="AE850">
        <f>IF('WetLitterbags placem_collection'!AB191="","",'WetLitterbags placem_collection'!AB191)</f>
        <v>0.6</v>
      </c>
      <c r="AF850">
        <f>IF('WetLitterbags placem_collection'!Z191="","",'WetLitterbags placem_collection'!Z191)</f>
        <v>7</v>
      </c>
      <c r="AG850" s="243" t="str">
        <f>IF('WetLitterbags placem_collection'!AA191="","",'WetLitterbags placem_collection'!AA191)</f>
        <v>O</v>
      </c>
      <c r="AH850">
        <f>IF('WetLitterbags placem_collection'!AC191="","",'WetLitterbags placem_collection'!AC191)</f>
        <v>1</v>
      </c>
      <c r="AI850">
        <f>IFERROR(AVERAGE('Dry_Litterbag Placem_Collection'!O191,'Dry_Litterbag Placem_Collection'!R191),"")</f>
        <v>5.5</v>
      </c>
      <c r="AJ850" s="268">
        <f>IFERROR(AVERAGE('Dry_Litterbag Placem_Collection'!N191,'Dry_Litterbag Placem_Collection'!Q191),"")</f>
        <v>33</v>
      </c>
      <c r="AK850" s="267">
        <f>INDEX(Coordinates!$B$2:$B$197,MATCH(H850,Coordinates!$J$2:$J$197,0))</f>
        <v>-2.2787580080000001</v>
      </c>
      <c r="AL850" s="267">
        <f>INDEX(Coordinates!$C$2:$C$197,MATCH(H850,Coordinates!$J$2:$J$197,0))</f>
        <v>34.032463010000001</v>
      </c>
      <c r="AM850" s="267" t="str">
        <f>IF(ISNUMBER(SEARCH("C", 'Dry_Litterbag Placem_Collection'!V191)),"YES","NO")</f>
        <v>NO</v>
      </c>
      <c r="AN850" s="267" t="str">
        <f>IF(ISNUMBER(SEARCH("H", 'Dry_Litterbag Placem_Collection'!V191)),"YES","NO")</f>
        <v>NO</v>
      </c>
      <c r="AO850" s="267" t="str">
        <f>IF(ISNUMBER(SEARCH("R", 'Dry_Litterbag Placem_Collection'!V191)),"YES","NO")</f>
        <v>NO</v>
      </c>
    </row>
    <row r="851" spans="1:41" ht="15" customHeight="1">
      <c r="A851" s="259" t="s">
        <v>2643</v>
      </c>
      <c r="B851" s="260">
        <f>'Dry_Litterbag Placem_Collection'!A192</f>
        <v>190</v>
      </c>
      <c r="C851" s="260" t="str">
        <f>'Dry_Litterbag Placem_Collection'!B192</f>
        <v>Handajega</v>
      </c>
      <c r="D851" s="260" t="s">
        <v>2454</v>
      </c>
      <c r="E851" s="260" t="s">
        <v>2645</v>
      </c>
      <c r="F851" s="260">
        <v>4</v>
      </c>
      <c r="G851" s="260" t="s">
        <v>3829</v>
      </c>
      <c r="H851" s="261" t="str">
        <f>'Dry_Litterbag Placem_Collection'!C192</f>
        <v>Wet_W4_T6</v>
      </c>
      <c r="I851" s="270" t="s">
        <v>3630</v>
      </c>
      <c r="J851" s="271" t="s">
        <v>298</v>
      </c>
      <c r="K851" s="260" t="str">
        <f>IF(ISBLANK('Dry_Litterbag Placem_Collection'!M192),"","R"&amp;""&amp;'Dry_Litterbag Placem_Collection'!M192)</f>
        <v>R605</v>
      </c>
      <c r="L851" s="264">
        <f>IFERROR(INDEX('Green_rooibos initial weight'!$C$5:$C$2000,MATCH(K851, 'Green_rooibos initial weight'!$A$5:$A$2000,0)),"")</f>
        <v>2.165</v>
      </c>
      <c r="M851" s="264">
        <f>IFERROR(L851-(TBIcalc!$Q$9+TBIcalc!$Q$10),"")</f>
        <v>1.9152</v>
      </c>
      <c r="N851" s="385">
        <f>AVERAGE(Ashed_controlls!$K$12:$K$14)</f>
        <v>2.2816647271287041</v>
      </c>
      <c r="O851" s="264">
        <f t="shared" si="66"/>
        <v>1.8715015571460312</v>
      </c>
      <c r="P851" s="264">
        <f>IFERROR(INDEX('Both teabags AfterDry'!$D$2:$D$2000,MATCH(K851,'Both teabags AfterDry'!$A$2:$A$2000,0)),"")</f>
        <v>1.8051999999999999</v>
      </c>
      <c r="Q851" s="264">
        <f>IFERROR(IF(P851&gt;0,P851-(TBIcalc!$Q$9),""),"")</f>
        <v>1.6545999999999998</v>
      </c>
      <c r="R851" s="275">
        <f>IFERROR(INDEX('Ashed teabags dry'!$K$2:$K$2000,MATCH(K851,'Ashed teabags dry'!$A$2:$A$2000,0)),"")</f>
        <v>9.224730127576688</v>
      </c>
      <c r="S851" s="275">
        <f t="shared" si="67"/>
        <v>1.5019676153091159</v>
      </c>
      <c r="T851" s="265">
        <f>IF('Dry_Litterbag Placem_Collection'!E192="","",'Dry_Litterbag Placem_Collection'!E192)</f>
        <v>42940</v>
      </c>
      <c r="U851" s="265">
        <f>IF('Dry_Litterbag Placem_Collection'!G192="","",'Dry_Litterbag Placem_Collection'!G192)</f>
        <v>43009</v>
      </c>
      <c r="V851" s="266">
        <f t="shared" si="65"/>
        <v>69</v>
      </c>
      <c r="W851" s="264">
        <f t="shared" si="68"/>
        <v>0.26060000000000016</v>
      </c>
      <c r="X851" s="264">
        <f t="shared" si="69"/>
        <v>0.36953394183691524</v>
      </c>
      <c r="Y851" s="268">
        <f>IFERROR(INDEX(Rainfall_Dry!$O$2:$O$217,MATCH(B851, Rainfall_Dry!$A$2:$A$217,0)),"")</f>
        <v>162.634207253</v>
      </c>
      <c r="Z851" s="257">
        <v>25.96</v>
      </c>
      <c r="AA851" s="257">
        <v>8.9200000000000017</v>
      </c>
      <c r="AB851" s="257">
        <v>65.12</v>
      </c>
      <c r="AC851" s="258" t="s">
        <v>2654</v>
      </c>
      <c r="AD851" s="257">
        <v>6.6991621488417898</v>
      </c>
      <c r="AE851">
        <f>IF('WetLitterbags placem_collection'!AB192="","",'WetLitterbags placem_collection'!AB192)</f>
        <v>9.5</v>
      </c>
      <c r="AF851">
        <f>IF('WetLitterbags placem_collection'!Z192="","",'WetLitterbags placem_collection'!Z192)</f>
        <v>17.399999999999999</v>
      </c>
      <c r="AG851" s="243" t="str">
        <f>IF('WetLitterbags placem_collection'!AA192="","",'WetLitterbags placem_collection'!AA192)</f>
        <v>O</v>
      </c>
      <c r="AH851">
        <f>IF('WetLitterbags placem_collection'!AC192="","",'WetLitterbags placem_collection'!AC192)</f>
        <v>0</v>
      </c>
      <c r="AI851">
        <f>IFERROR(AVERAGE('Dry_Litterbag Placem_Collection'!O192,'Dry_Litterbag Placem_Collection'!R192),"")</f>
        <v>5.0500000000000007</v>
      </c>
      <c r="AJ851" s="268">
        <f>IFERROR(AVERAGE('Dry_Litterbag Placem_Collection'!N192,'Dry_Litterbag Placem_Collection'!Q192),"")</f>
        <v>36.049999999999997</v>
      </c>
      <c r="AK851" s="267">
        <f>INDEX(Coordinates!$B$2:$B$197,MATCH(H851,Coordinates!$J$2:$J$197,0))</f>
        <v>-2.2787559960000001</v>
      </c>
      <c r="AL851" s="267">
        <f>INDEX(Coordinates!$C$2:$C$197,MATCH(H851,Coordinates!$J$2:$J$197,0))</f>
        <v>34.032268969999997</v>
      </c>
      <c r="AM851" s="267" t="str">
        <f>IF(ISNUMBER(SEARCH("C", 'Dry_Litterbag Placem_Collection'!V192)),"YES","NO")</f>
        <v>NO</v>
      </c>
      <c r="AN851" s="267" t="str">
        <f>IF(ISNUMBER(SEARCH("H", 'Dry_Litterbag Placem_Collection'!V192)),"YES","NO")</f>
        <v>NO</v>
      </c>
      <c r="AO851" s="267" t="str">
        <f>IF(ISNUMBER(SEARCH("R", 'Dry_Litterbag Placem_Collection'!V192)),"YES","NO")</f>
        <v>NO</v>
      </c>
    </row>
    <row r="852" spans="1:41" ht="15" customHeight="1">
      <c r="A852" s="259" t="s">
        <v>2643</v>
      </c>
      <c r="B852" s="260">
        <f>'Dry_Litterbag Placem_Collection'!A193</f>
        <v>191</v>
      </c>
      <c r="C852" s="260" t="str">
        <f>'Dry_Litterbag Placem_Collection'!B193</f>
        <v>Handajega</v>
      </c>
      <c r="D852" s="260" t="s">
        <v>2454</v>
      </c>
      <c r="E852" s="260" t="s">
        <v>2645</v>
      </c>
      <c r="F852" s="260">
        <v>4</v>
      </c>
      <c r="G852" s="260" t="s">
        <v>3829</v>
      </c>
      <c r="H852" s="261" t="str">
        <f>'Dry_Litterbag Placem_Collection'!C193</f>
        <v>Wet_W4_T7</v>
      </c>
      <c r="I852" s="270" t="s">
        <v>3630</v>
      </c>
      <c r="J852" s="271" t="s">
        <v>298</v>
      </c>
      <c r="K852" s="260" t="str">
        <f>IF(ISBLANK('Dry_Litterbag Placem_Collection'!M193),"","R"&amp;""&amp;'Dry_Litterbag Placem_Collection'!M193)</f>
        <v>R240</v>
      </c>
      <c r="L852" s="264">
        <f>IFERROR(INDEX('Green_rooibos initial weight'!$C$5:$C$2000,MATCH(K852, 'Green_rooibos initial weight'!$A$5:$A$2000,0)),"")</f>
        <v>2.1800000000000002</v>
      </c>
      <c r="M852" s="264">
        <f>IFERROR(L852-(TBIcalc!$Q$9+TBIcalc!$Q$10),"")</f>
        <v>1.9302000000000001</v>
      </c>
      <c r="N852" s="385">
        <f>AVERAGE(Ashed_controlls!$K$12:$K$14)</f>
        <v>2.2816647271287041</v>
      </c>
      <c r="O852" s="264">
        <f t="shared" si="66"/>
        <v>1.8861593074369618</v>
      </c>
      <c r="P852" s="264">
        <f>IFERROR(INDEX('Both teabags AfterDry'!$D$2:$D$2000,MATCH(K852,'Both teabags AfterDry'!$A$2:$A$2000,0)),"")</f>
        <v>1.7597</v>
      </c>
      <c r="Q852" s="264">
        <f>IFERROR(IF(P852&gt;0,P852-(TBIcalc!$Q$9),""),"")</f>
        <v>1.6091</v>
      </c>
      <c r="R852" s="275">
        <f>IFERROR(INDEX('Ashed teabags dry'!$K$2:$K$2000,MATCH(K852,'Ashed teabags dry'!$A$2:$A$2000,0)),"")</f>
        <v>6.2347783731121424</v>
      </c>
      <c r="S852" s="275">
        <f t="shared" si="67"/>
        <v>1.5087761811982525</v>
      </c>
      <c r="T852" s="265">
        <f>IF('Dry_Litterbag Placem_Collection'!E193="","",'Dry_Litterbag Placem_Collection'!E193)</f>
        <v>42940</v>
      </c>
      <c r="U852" s="265">
        <f>IF('Dry_Litterbag Placem_Collection'!G193="","",'Dry_Litterbag Placem_Collection'!G193)</f>
        <v>43009</v>
      </c>
      <c r="V852" s="266">
        <f t="shared" si="65"/>
        <v>69</v>
      </c>
      <c r="W852" s="264">
        <f t="shared" si="68"/>
        <v>0.32110000000000016</v>
      </c>
      <c r="X852" s="264">
        <f t="shared" si="69"/>
        <v>0.37738312623870929</v>
      </c>
      <c r="Y852" s="268">
        <f>IFERROR(INDEX(Rainfall_Dry!$O$2:$O$217,MATCH(B852, Rainfall_Dry!$A$2:$A$217,0)),"")</f>
        <v>162.634207253</v>
      </c>
      <c r="Z852" s="257">
        <v>25.96</v>
      </c>
      <c r="AA852" s="257">
        <v>8.9200000000000017</v>
      </c>
      <c r="AB852" s="257">
        <v>65.12</v>
      </c>
      <c r="AC852" s="258" t="s">
        <v>2654</v>
      </c>
      <c r="AD852" s="257">
        <v>7.6991621488417898</v>
      </c>
      <c r="AE852">
        <f>IF('WetLitterbags placem_collection'!AB193="","",'WetLitterbags placem_collection'!AB193)</f>
        <v>12.4</v>
      </c>
      <c r="AF852">
        <f>IF('WetLitterbags placem_collection'!Z193="","",'WetLitterbags placem_collection'!Z193)</f>
        <v>29.8</v>
      </c>
      <c r="AG852" s="243" t="str">
        <f>IF('WetLitterbags placem_collection'!AA193="","",'WetLitterbags placem_collection'!AA193)</f>
        <v>O</v>
      </c>
      <c r="AH852">
        <f>IF('WetLitterbags placem_collection'!AC193="","",'WetLitterbags placem_collection'!AC193)</f>
        <v>0</v>
      </c>
      <c r="AI852">
        <f>IFERROR(AVERAGE('Dry_Litterbag Placem_Collection'!O193,'Dry_Litterbag Placem_Collection'!R193),"")</f>
        <v>6.45</v>
      </c>
      <c r="AJ852" s="268">
        <f>IFERROR(AVERAGE('Dry_Litterbag Placem_Collection'!N193,'Dry_Litterbag Placem_Collection'!Q193),"")</f>
        <v>36.349999999999994</v>
      </c>
      <c r="AK852" s="267">
        <f>INDEX(Coordinates!$B$2:$B$197,MATCH(H852,Coordinates!$J$2:$J$197,0))</f>
        <v>-2.278704029</v>
      </c>
      <c r="AL852" s="267">
        <f>INDEX(Coordinates!$C$2:$C$197,MATCH(H852,Coordinates!$J$2:$J$197,0))</f>
        <v>34.032182970000001</v>
      </c>
      <c r="AM852" s="267" t="str">
        <f>IF(ISNUMBER(SEARCH("C", 'Dry_Litterbag Placem_Collection'!V193)),"YES","NO")</f>
        <v>NO</v>
      </c>
      <c r="AN852" s="267" t="str">
        <f>IF(ISNUMBER(SEARCH("H", 'Dry_Litterbag Placem_Collection'!V193)),"YES","NO")</f>
        <v>NO</v>
      </c>
      <c r="AO852" s="267" t="str">
        <f>IF(ISNUMBER(SEARCH("R", 'Dry_Litterbag Placem_Collection'!V193)),"YES","NO")</f>
        <v>NO</v>
      </c>
    </row>
    <row r="853" spans="1:41" ht="15" customHeight="1">
      <c r="A853" s="259" t="s">
        <v>2643</v>
      </c>
      <c r="B853" s="260">
        <f>'Dry_Litterbag Placem_Collection'!A194</f>
        <v>192</v>
      </c>
      <c r="C853" s="260" t="str">
        <f>'Dry_Litterbag Placem_Collection'!B194</f>
        <v>Handajega</v>
      </c>
      <c r="D853" s="260" t="s">
        <v>2454</v>
      </c>
      <c r="E853" s="260" t="s">
        <v>2645</v>
      </c>
      <c r="F853" s="260">
        <v>4</v>
      </c>
      <c r="G853" s="260" t="s">
        <v>3829</v>
      </c>
      <c r="H853" s="261" t="str">
        <f>'Dry_Litterbag Placem_Collection'!C194</f>
        <v>Wet_W4_T8</v>
      </c>
      <c r="I853" s="270" t="s">
        <v>3630</v>
      </c>
      <c r="J853" s="271" t="s">
        <v>298</v>
      </c>
      <c r="K853" s="260" t="str">
        <f>IF(ISBLANK('Dry_Litterbag Placem_Collection'!M194),"","R"&amp;""&amp;'Dry_Litterbag Placem_Collection'!M194)</f>
        <v/>
      </c>
      <c r="L853" s="264" t="str">
        <f>IFERROR(INDEX('Green_rooibos initial weight'!$C$5:$C$2000,MATCH(K853, 'Green_rooibos initial weight'!$A$5:$A$2000,0)),"")</f>
        <v/>
      </c>
      <c r="M853" s="264" t="str">
        <f>IFERROR(L853-(TBIcalc!$Q$9+TBIcalc!$Q$10),"")</f>
        <v/>
      </c>
      <c r="N853" s="385">
        <f>AVERAGE(Ashed_controlls!$K$12:$K$14)</f>
        <v>2.2816647271287041</v>
      </c>
      <c r="O853" s="264" t="str">
        <f t="shared" si="66"/>
        <v/>
      </c>
      <c r="P853" s="264" t="str">
        <f>IFERROR(INDEX('Both teabags AfterDry'!$D$2:$D$2000,MATCH(K853,'Both teabags AfterDry'!$A$2:$A$2000,0)),"")</f>
        <v/>
      </c>
      <c r="Q853" s="264" t="str">
        <f>IFERROR(IF(P853&gt;0,P853-(TBIcalc!$Q$9),""),"")</f>
        <v/>
      </c>
      <c r="R853" s="275" t="str">
        <f>IFERROR(INDEX('Ashed teabags dry'!$K$2:$K$2000,MATCH(K853,'Ashed teabags dry'!$A$2:$A$2000,0)),"")</f>
        <v/>
      </c>
      <c r="S853" s="275" t="str">
        <f t="shared" si="67"/>
        <v/>
      </c>
      <c r="T853" s="265" t="str">
        <f>IF('Dry_Litterbag Placem_Collection'!E194="","",'Dry_Litterbag Placem_Collection'!E194)</f>
        <v/>
      </c>
      <c r="U853" s="265" t="str">
        <f>IF('Dry_Litterbag Placem_Collection'!G194="","",'Dry_Litterbag Placem_Collection'!G194)</f>
        <v/>
      </c>
      <c r="V853" s="266" t="str">
        <f t="shared" si="65"/>
        <v/>
      </c>
      <c r="W853" s="264" t="str">
        <f t="shared" si="68"/>
        <v/>
      </c>
      <c r="X853" s="264" t="str">
        <f t="shared" si="69"/>
        <v/>
      </c>
      <c r="Y853" s="268" t="str">
        <f>IFERROR(INDEX(Rainfall_Dry!$O$2:$O$217,MATCH(B853, Rainfall_Dry!$A$2:$A$217,0)),"")</f>
        <v/>
      </c>
      <c r="Z853" s="257">
        <v>25.96</v>
      </c>
      <c r="AA853" s="257">
        <v>8.9200000000000017</v>
      </c>
      <c r="AB853" s="257">
        <v>65.12</v>
      </c>
      <c r="AC853" s="258" t="s">
        <v>2654</v>
      </c>
      <c r="AD853" s="257">
        <v>8.6991621488417898</v>
      </c>
      <c r="AE853">
        <f>IF('WetLitterbags placem_collection'!AB194="","",'WetLitterbags placem_collection'!AB194)</f>
        <v>3.6</v>
      </c>
      <c r="AF853">
        <f>IF('WetLitterbags placem_collection'!Z194="","",'WetLitterbags placem_collection'!Z194)</f>
        <v>37.799999999999997</v>
      </c>
      <c r="AG853" s="243" t="str">
        <f>IF('WetLitterbags placem_collection'!AA194="","",'WetLitterbags placem_collection'!AA194)</f>
        <v>O</v>
      </c>
      <c r="AH853">
        <f>IF('WetLitterbags placem_collection'!AC194="","",'WetLitterbags placem_collection'!AC194)</f>
        <v>0</v>
      </c>
      <c r="AI853" t="str">
        <f>IFERROR(AVERAGE('Dry_Litterbag Placem_Collection'!O194,'Dry_Litterbag Placem_Collection'!R194),"")</f>
        <v/>
      </c>
      <c r="AJ853" s="268" t="str">
        <f>IFERROR(AVERAGE('Dry_Litterbag Placem_Collection'!N194,'Dry_Litterbag Placem_Collection'!Q194),"")</f>
        <v/>
      </c>
      <c r="AK853" s="267">
        <f>INDEX(Coordinates!$B$2:$B$197,MATCH(H853,Coordinates!$J$2:$J$197,0))</f>
        <v>-2.2789770269999998</v>
      </c>
      <c r="AL853" s="267">
        <f>INDEX(Coordinates!$C$2:$C$197,MATCH(H853,Coordinates!$J$2:$J$197,0))</f>
        <v>34.032051039999999</v>
      </c>
      <c r="AM853" s="267" t="str">
        <f>IF(ISNUMBER(SEARCH("C", 'Dry_Litterbag Placem_Collection'!V194)),"YES","NO")</f>
        <v>NO</v>
      </c>
      <c r="AN853" s="267" t="str">
        <f>IF(ISNUMBER(SEARCH("H", 'Dry_Litterbag Placem_Collection'!V194)),"YES","NO")</f>
        <v>NO</v>
      </c>
      <c r="AO853" s="267" t="str">
        <f>IF(ISNUMBER(SEARCH("R", 'Dry_Litterbag Placem_Collection'!V194)),"YES","NO")</f>
        <v>NO</v>
      </c>
    </row>
    <row r="854" spans="1:41" ht="15" customHeight="1">
      <c r="A854" s="259" t="s">
        <v>2643</v>
      </c>
      <c r="B854" s="260">
        <f>'Dry_Litterbag Placem_Collection'!A195</f>
        <v>193</v>
      </c>
      <c r="C854" s="260" t="str">
        <f>'Dry_Litterbag Placem_Collection'!B195</f>
        <v>Makao</v>
      </c>
      <c r="D854" s="260" t="s">
        <v>2643</v>
      </c>
      <c r="E854" s="260" t="s">
        <v>2512</v>
      </c>
      <c r="F854" s="260">
        <v>4</v>
      </c>
      <c r="G854" s="260" t="s">
        <v>3798</v>
      </c>
      <c r="H854" s="261" t="str">
        <f>'Dry_Litterbag Placem_Collection'!C195</f>
        <v>Dry_Ag1_CG4</v>
      </c>
      <c r="I854" s="270" t="s">
        <v>3630</v>
      </c>
      <c r="J854" s="271" t="s">
        <v>298</v>
      </c>
      <c r="K854" s="260" t="str">
        <f>IF(ISBLANK('Dry_Litterbag Placem_Collection'!M195),"","R"&amp;""&amp;'Dry_Litterbag Placem_Collection'!M195)</f>
        <v>R623</v>
      </c>
      <c r="L854" s="264">
        <f>IFERROR(INDEX('Green_rooibos initial weight'!$C$5:$C$2000,MATCH(K854, 'Green_rooibos initial weight'!$A$5:$A$2000,0)),"")</f>
        <v>2.056</v>
      </c>
      <c r="M854" s="264">
        <f>IFERROR(L854-(TBIcalc!$Q$9+TBIcalc!$Q$10),"")</f>
        <v>1.8062</v>
      </c>
      <c r="N854" s="385">
        <f>AVERAGE(Ashed_controlls!$K$12:$K$14)</f>
        <v>2.2816647271287041</v>
      </c>
      <c r="O854" s="264">
        <f t="shared" si="66"/>
        <v>1.7649885716986013</v>
      </c>
      <c r="P854" s="264">
        <f>IFERROR(INDEX('Both teabags AfterDry'!$D$2:$D$2000,MATCH(K854,'Both teabags AfterDry'!$A$2:$A$2000,0)),"")</f>
        <v>1.397</v>
      </c>
      <c r="Q854" s="264">
        <f>IFERROR(IF(P854&gt;0,P854-(TBIcalc!$Q$9),""),"")</f>
        <v>1.2464</v>
      </c>
      <c r="R854" s="275">
        <f>IFERROR(INDEX('Ashed teabags dry'!$K$2:$K$2000,MATCH(K854,'Ashed teabags dry'!$A$2:$A$2000,0)),"")</f>
        <v>6.0918462980318058</v>
      </c>
      <c r="S854" s="275">
        <f t="shared" si="67"/>
        <v>1.1704712277413316</v>
      </c>
      <c r="T854" s="265">
        <f>IF('Dry_Litterbag Placem_Collection'!E195="","",'Dry_Litterbag Placem_Collection'!E195)</f>
        <v>42942</v>
      </c>
      <c r="U854" s="265">
        <f>IF('Dry_Litterbag Placem_Collection'!G195="","",'Dry_Litterbag Placem_Collection'!G195)</f>
        <v>43004</v>
      </c>
      <c r="V854" s="266">
        <f t="shared" si="65"/>
        <v>62</v>
      </c>
      <c r="W854" s="264">
        <f t="shared" si="68"/>
        <v>0.55980000000000008</v>
      </c>
      <c r="X854" s="264">
        <f t="shared" si="69"/>
        <v>0.59451734395726974</v>
      </c>
      <c r="Y854" s="268">
        <f>IFERROR(INDEX(Rainfall_Dry!$O$2:$O$217,MATCH(B854, Rainfall_Dry!$A$2:$A$217,0)),"")</f>
        <v>171.84818423999999</v>
      </c>
      <c r="Z854" s="257">
        <v>12.565665055683967</v>
      </c>
      <c r="AA854" s="257">
        <v>0.9665896196679955</v>
      </c>
      <c r="AB854" s="257">
        <v>86.467745324648035</v>
      </c>
      <c r="AC854" s="258" t="s">
        <v>2656</v>
      </c>
      <c r="AD854" s="257">
        <v>1.0225726959093147</v>
      </c>
      <c r="AE854">
        <f>IF('WetLitterbags placem_collection'!AB195="","",'WetLitterbags placem_collection'!AB195)</f>
        <v>15.2</v>
      </c>
      <c r="AF854">
        <f>IF('WetLitterbags placem_collection'!Z195="","",'WetLitterbags placem_collection'!Z195)</f>
        <v>12.2</v>
      </c>
      <c r="AG854" s="243" t="str">
        <f>IF('WetLitterbags placem_collection'!AA195="","",'WetLitterbags placem_collection'!AA195)</f>
        <v>O</v>
      </c>
      <c r="AH854">
        <f>IF('WetLitterbags placem_collection'!AC195="","",'WetLitterbags placem_collection'!AC195)</f>
        <v>1</v>
      </c>
      <c r="AI854">
        <f>IFERROR(AVERAGE('Dry_Litterbag Placem_Collection'!O195,'Dry_Litterbag Placem_Collection'!R195),"")</f>
        <v>5.0999999999999996</v>
      </c>
      <c r="AJ854" s="268">
        <f>IFERROR(AVERAGE('Dry_Litterbag Placem_Collection'!N195,'Dry_Litterbag Placem_Collection'!Q195),"")</f>
        <v>28.799999999999997</v>
      </c>
      <c r="AK854">
        <v>-2.4396949910000001</v>
      </c>
      <c r="AL854">
        <v>34.838574029999997</v>
      </c>
      <c r="AM854" s="267" t="str">
        <f>IF(ISNUMBER(SEARCH("C", 'Dry_Litterbag Placem_Collection'!V195)),"YES","NO")</f>
        <v>NO</v>
      </c>
      <c r="AN854" s="267" t="str">
        <f>IF(ISNUMBER(SEARCH("H", 'Dry_Litterbag Placem_Collection'!V195)),"YES","NO")</f>
        <v>NO</v>
      </c>
      <c r="AO854" s="267" t="str">
        <f>IF(ISNUMBER(SEARCH("R", 'Dry_Litterbag Placem_Collection'!V195)),"YES","NO")</f>
        <v>NO</v>
      </c>
    </row>
    <row r="855" spans="1:41" ht="15" customHeight="1">
      <c r="A855" s="259" t="s">
        <v>2643</v>
      </c>
      <c r="B855" s="260">
        <f>'Dry_Litterbag Placem_Collection'!A196</f>
        <v>194</v>
      </c>
      <c r="C855" s="260" t="str">
        <f>'Dry_Litterbag Placem_Collection'!B196</f>
        <v>Makao</v>
      </c>
      <c r="D855" s="260" t="s">
        <v>2643</v>
      </c>
      <c r="E855" s="260" t="s">
        <v>2512</v>
      </c>
      <c r="F855" s="260">
        <v>3</v>
      </c>
      <c r="G855" s="260" t="s">
        <v>3802</v>
      </c>
      <c r="H855" s="261" t="str">
        <f>'Dry_Litterbag Placem_Collection'!C196</f>
        <v>Dry_Ag2_CG3</v>
      </c>
      <c r="I855" s="270" t="s">
        <v>3630</v>
      </c>
      <c r="J855" s="271" t="s">
        <v>298</v>
      </c>
      <c r="K855" s="260" t="str">
        <f>IF(ISBLANK('Dry_Litterbag Placem_Collection'!M196),"","R"&amp;""&amp;'Dry_Litterbag Placem_Collection'!M196)</f>
        <v>R611</v>
      </c>
      <c r="L855" s="264">
        <f>IFERROR(INDEX('Green_rooibos initial weight'!$C$5:$C$2000,MATCH(K855, 'Green_rooibos initial weight'!$A$5:$A$2000,0)),"")</f>
        <v>2.157</v>
      </c>
      <c r="M855" s="264">
        <f>IFERROR(L855-(TBIcalc!$Q$9+TBIcalc!$Q$10),"")</f>
        <v>1.9072</v>
      </c>
      <c r="N855" s="385">
        <f>AVERAGE(Ashed_controlls!$K$12:$K$14)</f>
        <v>2.2816647271287041</v>
      </c>
      <c r="O855" s="264">
        <f t="shared" si="66"/>
        <v>1.8636840903242013</v>
      </c>
      <c r="P855" s="264">
        <f>IFERROR(INDEX('Both teabags AfterDry'!$D$2:$D$2000,MATCH(K855,'Both teabags AfterDry'!$A$2:$A$2000,0)),"")</f>
        <v>1.593</v>
      </c>
      <c r="Q855" s="264">
        <f>IFERROR(IF(P855&gt;0,P855-(TBIcalc!$Q$9),""),"")</f>
        <v>1.4423999999999999</v>
      </c>
      <c r="R855" s="275">
        <f>IFERROR(INDEX('Ashed teabags dry'!$K$2:$K$2000,MATCH(K855,'Ashed teabags dry'!$A$2:$A$2000,0)),"")</f>
        <v>3.3698399326031812</v>
      </c>
      <c r="S855" s="275">
        <f t="shared" si="67"/>
        <v>1.3937934288121316</v>
      </c>
      <c r="T855" s="265">
        <f>IF('Dry_Litterbag Placem_Collection'!E196="","",'Dry_Litterbag Placem_Collection'!E196)</f>
        <v>42942</v>
      </c>
      <c r="U855" s="265">
        <f>IF('Dry_Litterbag Placem_Collection'!G196="","",'Dry_Litterbag Placem_Collection'!G196)</f>
        <v>43004</v>
      </c>
      <c r="V855" s="266">
        <f t="shared" si="65"/>
        <v>62</v>
      </c>
      <c r="W855" s="264">
        <f t="shared" si="68"/>
        <v>0.4648000000000001</v>
      </c>
      <c r="X855" s="264">
        <f t="shared" si="69"/>
        <v>0.46989066151206971</v>
      </c>
      <c r="Y855" s="268">
        <f>IFERROR(INDEX(Rainfall_Dry!$O$2:$O$217,MATCH(B855, Rainfall_Dry!$A$2:$A$217,0)),"")</f>
        <v>171.84818423999999</v>
      </c>
      <c r="Z855" s="257">
        <v>21.13063730679653</v>
      </c>
      <c r="AA855" s="257">
        <v>3.0912555579081076</v>
      </c>
      <c r="AB855" s="257">
        <v>75.778107135295357</v>
      </c>
      <c r="AC855" s="258" t="s">
        <v>2654</v>
      </c>
      <c r="AD855" s="257">
        <v>0.46131099063578063</v>
      </c>
      <c r="AE855">
        <f>IF('WetLitterbags placem_collection'!AB196="","",'WetLitterbags placem_collection'!AB196)</f>
        <v>7.9</v>
      </c>
      <c r="AF855">
        <f>IF('WetLitterbags placem_collection'!Z196="","",'WetLitterbags placem_collection'!Z196)</f>
        <v>7.9</v>
      </c>
      <c r="AG855" s="243" t="str">
        <f>IF('WetLitterbags placem_collection'!AA196="","",'WetLitterbags placem_collection'!AA196)</f>
        <v>O</v>
      </c>
      <c r="AH855">
        <f>IF('WetLitterbags placem_collection'!AC196="","",'WetLitterbags placem_collection'!AC196)</f>
        <v>1</v>
      </c>
      <c r="AI855">
        <f>IFERROR(AVERAGE('Dry_Litterbag Placem_Collection'!O196,'Dry_Litterbag Placem_Collection'!R196),"")</f>
        <v>5.4</v>
      </c>
      <c r="AJ855" s="268">
        <f>IFERROR(AVERAGE('Dry_Litterbag Placem_Collection'!N196,'Dry_Litterbag Placem_Collection'!Q196),"")</f>
        <v>30.849999999999998</v>
      </c>
      <c r="AK855">
        <v>-2.4395990190000001</v>
      </c>
      <c r="AL855">
        <v>34.838418959999998</v>
      </c>
      <c r="AM855" s="267" t="str">
        <f>IF(ISNUMBER(SEARCH("C", 'Dry_Litterbag Placem_Collection'!V196)),"YES","NO")</f>
        <v>NO</v>
      </c>
      <c r="AN855" s="267" t="str">
        <f>IF(ISNUMBER(SEARCH("H", 'Dry_Litterbag Placem_Collection'!V196)),"YES","NO")</f>
        <v>NO</v>
      </c>
      <c r="AO855" s="267" t="str">
        <f>IF(ISNUMBER(SEARCH("R", 'Dry_Litterbag Placem_Collection'!V196)),"YES","NO")</f>
        <v>YES</v>
      </c>
    </row>
    <row r="856" spans="1:41" ht="15" customHeight="1">
      <c r="A856" s="259" t="s">
        <v>2643</v>
      </c>
      <c r="B856" s="260">
        <f>'Dry_Litterbag Placem_Collection'!A197</f>
        <v>195</v>
      </c>
      <c r="C856" s="260" t="str">
        <f>'Dry_Litterbag Placem_Collection'!B197</f>
        <v>Makao</v>
      </c>
      <c r="D856" s="260" t="s">
        <v>2643</v>
      </c>
      <c r="E856" s="260" t="s">
        <v>2512</v>
      </c>
      <c r="F856" s="260">
        <v>2</v>
      </c>
      <c r="G856" s="260" t="s">
        <v>3803</v>
      </c>
      <c r="H856" s="261" t="str">
        <f>'Dry_Litterbag Placem_Collection'!C197</f>
        <v>Dry_Ag3_CG2</v>
      </c>
      <c r="I856" s="270" t="s">
        <v>3630</v>
      </c>
      <c r="J856" s="271" t="s">
        <v>298</v>
      </c>
      <c r="K856" s="260" t="str">
        <f>IF(ISBLANK('Dry_Litterbag Placem_Collection'!M197),"","R"&amp;""&amp;'Dry_Litterbag Placem_Collection'!M197)</f>
        <v>R645</v>
      </c>
      <c r="L856" s="264">
        <f>IFERROR(INDEX('Green_rooibos initial weight'!$C$5:$C$2000,MATCH(K856, 'Green_rooibos initial weight'!$A$5:$A$2000,0)),"")</f>
        <v>2.2469999999999999</v>
      </c>
      <c r="M856" s="264">
        <f>IFERROR(L856-(TBIcalc!$Q$9+TBIcalc!$Q$10),"")</f>
        <v>1.9971999999999999</v>
      </c>
      <c r="N856" s="385">
        <f>AVERAGE(Ashed_controlls!$K$12:$K$14)</f>
        <v>2.2816647271287041</v>
      </c>
      <c r="O856" s="264">
        <f t="shared" si="66"/>
        <v>1.9516305920697854</v>
      </c>
      <c r="P856" s="264">
        <f>IFERROR(INDEX('Both teabags AfterDry'!$D$2:$D$2000,MATCH(K856,'Both teabags AfterDry'!$A$2:$A$2000,0)),"")</f>
        <v>1.7509999999999999</v>
      </c>
      <c r="Q856" s="264">
        <f>IFERROR(IF(P856&gt;0,P856-(TBIcalc!$Q$9),""),"")</f>
        <v>1.6003999999999998</v>
      </c>
      <c r="R856" s="275">
        <f>IFERROR(INDEX('Ashed teabags dry'!$K$2:$K$2000,MATCH(K856,'Ashed teabags dry'!$A$2:$A$2000,0)),"")</f>
        <v>3.5648994515537913</v>
      </c>
      <c r="S856" s="275">
        <f t="shared" si="67"/>
        <v>1.5433473491773329</v>
      </c>
      <c r="T856" s="265">
        <f>IF('Dry_Litterbag Placem_Collection'!E197="","",'Dry_Litterbag Placem_Collection'!E197)</f>
        <v>42942</v>
      </c>
      <c r="U856" s="265">
        <f>IF('Dry_Litterbag Placem_Collection'!G197="","",'Dry_Litterbag Placem_Collection'!G197)</f>
        <v>43004</v>
      </c>
      <c r="V856" s="266">
        <f t="shared" si="65"/>
        <v>62</v>
      </c>
      <c r="W856" s="264">
        <f t="shared" si="68"/>
        <v>0.39680000000000004</v>
      </c>
      <c r="X856" s="264">
        <f t="shared" si="69"/>
        <v>0.40828324289245255</v>
      </c>
      <c r="Y856" s="268">
        <f>IFERROR(INDEX(Rainfall_Dry!$O$2:$O$217,MATCH(B856, Rainfall_Dry!$A$2:$A$217,0)),"")</f>
        <v>171.84818423999999</v>
      </c>
      <c r="Z856" s="257">
        <v>54.080969906906262</v>
      </c>
      <c r="AA856" s="257">
        <v>21.264484651351896</v>
      </c>
      <c r="AB856" s="257">
        <v>24.654545441741845</v>
      </c>
      <c r="AC856" s="258" t="s">
        <v>2657</v>
      </c>
      <c r="AD856" s="257">
        <v>1.8433218334154755</v>
      </c>
      <c r="AE856">
        <f>IF('WetLitterbags placem_collection'!AB197="","",'WetLitterbags placem_collection'!AB197)</f>
        <v>5.13</v>
      </c>
      <c r="AF856">
        <f>IF('WetLitterbags placem_collection'!Z197="","",'WetLitterbags placem_collection'!Z197)</f>
        <v>5.13</v>
      </c>
      <c r="AG856" s="243" t="str">
        <f>IF('WetLitterbags placem_collection'!AA197="","",'WetLitterbags placem_collection'!AA197)</f>
        <v>O</v>
      </c>
      <c r="AH856">
        <f>IF('WetLitterbags placem_collection'!AC197="","",'WetLitterbags placem_collection'!AC197)</f>
        <v>1</v>
      </c>
      <c r="AI856">
        <f>IFERROR(AVERAGE('Dry_Litterbag Placem_Collection'!O197,'Dry_Litterbag Placem_Collection'!R197),"")</f>
        <v>11.4</v>
      </c>
      <c r="AJ856" s="268">
        <f>IFERROR(AVERAGE('Dry_Litterbag Placem_Collection'!N197,'Dry_Litterbag Placem_Collection'!Q197),"")</f>
        <v>28.1</v>
      </c>
      <c r="AK856">
        <v>-2.4396450349999999</v>
      </c>
      <c r="AL856">
        <v>34.83836599</v>
      </c>
      <c r="AM856" s="267" t="str">
        <f>IF(ISNUMBER(SEARCH("C", 'Dry_Litterbag Placem_Collection'!V197)),"YES","NO")</f>
        <v>NO</v>
      </c>
      <c r="AN856" s="267" t="str">
        <f>IF(ISNUMBER(SEARCH("H", 'Dry_Litterbag Placem_Collection'!V197)),"YES","NO")</f>
        <v>NO</v>
      </c>
      <c r="AO856" s="267" t="str">
        <f>IF(ISNUMBER(SEARCH("R", 'Dry_Litterbag Placem_Collection'!V197)),"YES","NO")</f>
        <v>NO</v>
      </c>
    </row>
    <row r="857" spans="1:41" ht="15" customHeight="1">
      <c r="A857" s="259" t="s">
        <v>2643</v>
      </c>
      <c r="B857" s="260">
        <f>'Dry_Litterbag Placem_Collection'!A198</f>
        <v>196</v>
      </c>
      <c r="C857" s="260" t="str">
        <f>'Dry_Litterbag Placem_Collection'!B198</f>
        <v>Makao</v>
      </c>
      <c r="D857" s="260" t="s">
        <v>2643</v>
      </c>
      <c r="E857" s="260" t="s">
        <v>2512</v>
      </c>
      <c r="F857" s="260">
        <v>1</v>
      </c>
      <c r="G857" s="260" t="s">
        <v>3804</v>
      </c>
      <c r="H857" s="261" t="str">
        <f>'Dry_Litterbag Placem_Collection'!C198</f>
        <v>Dry_Ag4_CG1</v>
      </c>
      <c r="I857" s="270" t="s">
        <v>3630</v>
      </c>
      <c r="J857" s="271" t="s">
        <v>298</v>
      </c>
      <c r="K857" s="260" t="str">
        <f>IF(ISBLANK('Dry_Litterbag Placem_Collection'!M198),"","R"&amp;""&amp;'Dry_Litterbag Placem_Collection'!M198)</f>
        <v>R709</v>
      </c>
      <c r="L857" s="264">
        <f>IFERROR(INDEX('Green_rooibos initial weight'!$C$5:$C$2000,MATCH(K857, 'Green_rooibos initial weight'!$A$5:$A$2000,0)),"")</f>
        <v>2.157</v>
      </c>
      <c r="M857" s="264">
        <f>IFERROR(L857-(TBIcalc!$Q$9+TBIcalc!$Q$10),"")</f>
        <v>1.9072</v>
      </c>
      <c r="N857" s="385">
        <f>AVERAGE(Ashed_controlls!$K$12:$K$14)</f>
        <v>2.2816647271287041</v>
      </c>
      <c r="O857" s="264">
        <f t="shared" si="66"/>
        <v>1.8636840903242013</v>
      </c>
      <c r="P857" s="264">
        <f>IFERROR(INDEX('Both teabags AfterDry'!$D$2:$D$2000,MATCH(K857,'Both teabags AfterDry'!$A$2:$A$2000,0)),"")</f>
        <v>1.863</v>
      </c>
      <c r="Q857" s="264">
        <f>IFERROR(IF(P857&gt;0,P857-(TBIcalc!$Q$9),""),"")</f>
        <v>1.7123999999999999</v>
      </c>
      <c r="R857" s="275">
        <f>IFERROR(INDEX('Ashed teabags dry'!$K$2:$K$2000,MATCH(K857,'Ashed teabags dry'!$A$2:$A$2000,0)),"")</f>
        <v>2.5540275049118555</v>
      </c>
      <c r="S857" s="275">
        <f t="shared" si="67"/>
        <v>1.6686648330058893</v>
      </c>
      <c r="T857" s="265">
        <f>IF('Dry_Litterbag Placem_Collection'!E198="","",'Dry_Litterbag Placem_Collection'!E198)</f>
        <v>42942</v>
      </c>
      <c r="U857" s="265">
        <f>IF('Dry_Litterbag Placem_Collection'!G198="","",'Dry_Litterbag Placem_Collection'!G198)</f>
        <v>43004</v>
      </c>
      <c r="V857" s="266">
        <f t="shared" si="65"/>
        <v>62</v>
      </c>
      <c r="W857" s="264">
        <f t="shared" si="68"/>
        <v>0.19480000000000008</v>
      </c>
      <c r="X857" s="264">
        <f t="shared" si="69"/>
        <v>0.19501925731831204</v>
      </c>
      <c r="Y857" s="268">
        <f>IFERROR(INDEX(Rainfall_Dry!$O$2:$O$217,MATCH(B857, Rainfall_Dry!$A$2:$A$217,0)),"")</f>
        <v>171.84818423999999</v>
      </c>
      <c r="Z857" s="257">
        <v>51.960000000000008</v>
      </c>
      <c r="AA857" s="257">
        <v>18.919999999999995</v>
      </c>
      <c r="AB857" s="257">
        <v>29.120000000000005</v>
      </c>
      <c r="AC857" s="258" t="s">
        <v>2657</v>
      </c>
      <c r="AD857" s="257">
        <v>1.85293247905372</v>
      </c>
      <c r="AE857">
        <f>IF('WetLitterbags placem_collection'!AB198="","",'WetLitterbags placem_collection'!AB198)</f>
        <v>13.8</v>
      </c>
      <c r="AF857">
        <f>IF('WetLitterbags placem_collection'!Z198="","",'WetLitterbags placem_collection'!Z198)</f>
        <v>17.399999999999999</v>
      </c>
      <c r="AG857" s="243" t="str">
        <f>IF('WetLitterbags placem_collection'!AA198="","",'WetLitterbags placem_collection'!AA198)</f>
        <v>O</v>
      </c>
      <c r="AH857">
        <f>IF('WetLitterbags placem_collection'!AC198="","",'WetLitterbags placem_collection'!AC198)</f>
        <v>1</v>
      </c>
      <c r="AI857">
        <f>IFERROR(AVERAGE('Dry_Litterbag Placem_Collection'!O198,'Dry_Litterbag Placem_Collection'!R198),"")</f>
        <v>12.45</v>
      </c>
      <c r="AJ857" s="268">
        <f>IFERROR(AVERAGE('Dry_Litterbag Placem_Collection'!N198,'Dry_Litterbag Placem_Collection'!Q198),"")</f>
        <v>26.65</v>
      </c>
      <c r="AK857">
        <v>-2.439403972</v>
      </c>
      <c r="AL857">
        <v>34.838404959999998</v>
      </c>
      <c r="AM857" s="267" t="str">
        <f>IF(ISNUMBER(SEARCH("C", 'Dry_Litterbag Placem_Collection'!V198)),"YES","NO")</f>
        <v>NO</v>
      </c>
      <c r="AN857" s="267" t="str">
        <f>IF(ISNUMBER(SEARCH("H", 'Dry_Litterbag Placem_Collection'!V198)),"YES","NO")</f>
        <v>NO</v>
      </c>
      <c r="AO857" s="267" t="str">
        <f>IF(ISNUMBER(SEARCH("R", 'Dry_Litterbag Placem_Collection'!V198)),"YES","NO")</f>
        <v>NO</v>
      </c>
    </row>
    <row r="858" spans="1:41" ht="15" customHeight="1">
      <c r="A858" s="259" t="s">
        <v>2643</v>
      </c>
      <c r="B858" s="260">
        <f>'Dry_Litterbag Placem_Collection'!A199</f>
        <v>197</v>
      </c>
      <c r="C858" s="260" t="str">
        <f>'Dry_Litterbag Placem_Collection'!B199</f>
        <v>Makao</v>
      </c>
      <c r="D858" s="260" t="s">
        <v>2643</v>
      </c>
      <c r="E858" s="260" t="s">
        <v>2512</v>
      </c>
      <c r="F858" s="260">
        <v>2</v>
      </c>
      <c r="G858" s="260" t="s">
        <v>3805</v>
      </c>
      <c r="H858" s="261" t="str">
        <f>'Dry_Litterbag Placem_Collection'!C199</f>
        <v>Dry_P1_CG2</v>
      </c>
      <c r="I858" s="270" t="s">
        <v>3630</v>
      </c>
      <c r="J858" s="271" t="s">
        <v>298</v>
      </c>
      <c r="K858" s="260" t="str">
        <f>IF(ISBLANK('Dry_Litterbag Placem_Collection'!M199),"","R"&amp;""&amp;'Dry_Litterbag Placem_Collection'!M199)</f>
        <v>R131</v>
      </c>
      <c r="L858" s="264">
        <f>IFERROR(INDEX('Green_rooibos initial weight'!$C$5:$C$2000,MATCH(K858, 'Green_rooibos initial weight'!$A$5:$A$2000,0)),"")</f>
        <v>2.1560000000000001</v>
      </c>
      <c r="M858" s="264">
        <f>IFERROR(L858-(TBIcalc!$Q$9+TBIcalc!$Q$10),"")</f>
        <v>1.9062000000000001</v>
      </c>
      <c r="N858" s="385">
        <f>AVERAGE(Ashed_controlls!$K$12:$K$14)</f>
        <v>2.2816647271287041</v>
      </c>
      <c r="O858" s="264">
        <f t="shared" si="66"/>
        <v>1.8627069069714728</v>
      </c>
      <c r="P858" s="264">
        <f>IFERROR(INDEX('Both teabags AfterDry'!$D$2:$D$2000,MATCH(K858,'Both teabags AfterDry'!$A$2:$A$2000,0)),"")</f>
        <v>1.577</v>
      </c>
      <c r="Q858" s="264">
        <f>IFERROR(IF(P858&gt;0,P858-(TBIcalc!$Q$9),""),"")</f>
        <v>1.4263999999999999</v>
      </c>
      <c r="R858" s="275">
        <f>IFERROR(INDEX('Ashed teabags dry'!$K$2:$K$2000,MATCH(K858,'Ashed teabags dry'!$A$2:$A$2000,0)),"")</f>
        <v>8.3446712018141849</v>
      </c>
      <c r="S858" s="275">
        <f t="shared" si="67"/>
        <v>1.3073716099773223</v>
      </c>
      <c r="T858" s="265">
        <f>IF('Dry_Litterbag Placem_Collection'!E199="","",'Dry_Litterbag Placem_Collection'!E199)</f>
        <v>42942</v>
      </c>
      <c r="U858" s="265">
        <f>IF('Dry_Litterbag Placem_Collection'!G199="","",'Dry_Litterbag Placem_Collection'!G199)</f>
        <v>43004</v>
      </c>
      <c r="V858" s="266">
        <f t="shared" si="65"/>
        <v>62</v>
      </c>
      <c r="W858" s="264">
        <f t="shared" si="68"/>
        <v>0.47980000000000023</v>
      </c>
      <c r="X858" s="264">
        <f t="shared" si="69"/>
        <v>0.55533529699415052</v>
      </c>
      <c r="Y858" s="268">
        <f>IFERROR(INDEX(Rainfall_Dry!$O$2:$O$217,MATCH(B858, Rainfall_Dry!$A$2:$A$217,0)),"")</f>
        <v>171.84818423999999</v>
      </c>
      <c r="Z858" s="257">
        <v>23.96</v>
      </c>
      <c r="AA858" s="257">
        <v>0.91999999999999804</v>
      </c>
      <c r="AB858" s="257">
        <v>75.12</v>
      </c>
      <c r="AC858" s="258" t="s">
        <v>2654</v>
      </c>
      <c r="AD858" s="257">
        <v>1.2493839329719072</v>
      </c>
      <c r="AE858">
        <f>IF('WetLitterbags placem_collection'!AB199="","",'WetLitterbags placem_collection'!AB199)</f>
        <v>5.13</v>
      </c>
      <c r="AF858">
        <f>IF('WetLitterbags placem_collection'!Z199="","",'WetLitterbags placem_collection'!Z199)</f>
        <v>5.13</v>
      </c>
      <c r="AG858" s="243" t="str">
        <f>IF('WetLitterbags placem_collection'!AA199="","",'WetLitterbags placem_collection'!AA199)</f>
        <v>O</v>
      </c>
      <c r="AH858">
        <f>IF('WetLitterbags placem_collection'!AC199="","",'WetLitterbags placem_collection'!AC199)</f>
        <v>1</v>
      </c>
      <c r="AI858">
        <f>IFERROR(AVERAGE('Dry_Litterbag Placem_Collection'!O199,'Dry_Litterbag Placem_Collection'!R199),"")</f>
        <v>6.3000000000000007</v>
      </c>
      <c r="AJ858" s="268">
        <f>IFERROR(AVERAGE('Dry_Litterbag Placem_Collection'!N199,'Dry_Litterbag Placem_Collection'!Q199),"")</f>
        <v>29.05</v>
      </c>
      <c r="AK858">
        <v>-2.4396450349999999</v>
      </c>
      <c r="AL858">
        <v>34.83836599</v>
      </c>
      <c r="AM858" s="267" t="str">
        <f>IF(ISNUMBER(SEARCH("C", 'Dry_Litterbag Placem_Collection'!V199)),"YES","NO")</f>
        <v>NO</v>
      </c>
      <c r="AN858" s="267" t="str">
        <f>IF(ISNUMBER(SEARCH("H", 'Dry_Litterbag Placem_Collection'!V199)),"YES","NO")</f>
        <v>NO</v>
      </c>
      <c r="AO858" s="267" t="str">
        <f>IF(ISNUMBER(SEARCH("R", 'Dry_Litterbag Placem_Collection'!V199)),"YES","NO")</f>
        <v>YES</v>
      </c>
    </row>
    <row r="859" spans="1:41" ht="15" customHeight="1">
      <c r="A859" s="259" t="s">
        <v>2643</v>
      </c>
      <c r="B859" s="260">
        <f>'Dry_Litterbag Placem_Collection'!A200</f>
        <v>198</v>
      </c>
      <c r="C859" s="260" t="str">
        <f>'Dry_Litterbag Placem_Collection'!B200</f>
        <v>Makao</v>
      </c>
      <c r="D859" s="260" t="s">
        <v>2643</v>
      </c>
      <c r="E859" s="260" t="s">
        <v>2512</v>
      </c>
      <c r="F859" s="260">
        <v>3</v>
      </c>
      <c r="G859" s="260" t="s">
        <v>3807</v>
      </c>
      <c r="H859" s="261" t="str">
        <f>'Dry_Litterbag Placem_Collection'!C200</f>
        <v>Dry_P2_CG3</v>
      </c>
      <c r="I859" s="270" t="s">
        <v>3630</v>
      </c>
      <c r="J859" s="271" t="s">
        <v>298</v>
      </c>
      <c r="K859" s="260" t="str">
        <f>IF(ISBLANK('Dry_Litterbag Placem_Collection'!M200),"","R"&amp;""&amp;'Dry_Litterbag Placem_Collection'!M200)</f>
        <v>R711</v>
      </c>
      <c r="L859" s="264">
        <f>IFERROR(INDEX('Green_rooibos initial weight'!$C$5:$C$2000,MATCH(K859, 'Green_rooibos initial weight'!$A$5:$A$2000,0)),"")</f>
        <v>2.13</v>
      </c>
      <c r="M859" s="264">
        <f>IFERROR(L859-(TBIcalc!$Q$9+TBIcalc!$Q$10),"")</f>
        <v>1.8801999999999999</v>
      </c>
      <c r="N859" s="385">
        <f>AVERAGE(Ashed_controlls!$K$12:$K$14)</f>
        <v>2.2816647271287041</v>
      </c>
      <c r="O859" s="264">
        <f t="shared" si="66"/>
        <v>1.837300139800526</v>
      </c>
      <c r="P859" s="264">
        <f>IFERROR(INDEX('Both teabags AfterDry'!$D$2:$D$2000,MATCH(K859,'Both teabags AfterDry'!$A$2:$A$2000,0)),"")</f>
        <v>1.7210000000000001</v>
      </c>
      <c r="Q859" s="264">
        <f>IFERROR(IF(P859&gt;0,P859-(TBIcalc!$Q$9),""),"")</f>
        <v>1.5704</v>
      </c>
      <c r="R859" s="275">
        <f>IFERROR(INDEX('Ashed teabags dry'!$K$2:$K$2000,MATCH(K859,'Ashed teabags dry'!$A$2:$A$2000,0)),"")</f>
        <v>4.205838693715986</v>
      </c>
      <c r="S859" s="275">
        <f t="shared" si="67"/>
        <v>1.5043515091538842</v>
      </c>
      <c r="T859" s="265">
        <f>IF('Dry_Litterbag Placem_Collection'!E200="","",'Dry_Litterbag Placem_Collection'!E200)</f>
        <v>42942</v>
      </c>
      <c r="U859" s="265">
        <f>IF('Dry_Litterbag Placem_Collection'!G200="","",'Dry_Litterbag Placem_Collection'!G200)</f>
        <v>43004</v>
      </c>
      <c r="V859" s="266">
        <f t="shared" si="65"/>
        <v>62</v>
      </c>
      <c r="W859" s="264">
        <f t="shared" si="68"/>
        <v>0.30979999999999985</v>
      </c>
      <c r="X859" s="264">
        <f t="shared" si="69"/>
        <v>0.33294863064664182</v>
      </c>
      <c r="Y859" s="268">
        <f>IFERROR(INDEX(Rainfall_Dry!$O$2:$O$217,MATCH(B859, Rainfall_Dry!$A$2:$A$217,0)),"")</f>
        <v>171.84818423999999</v>
      </c>
      <c r="Z859" s="257">
        <v>19.96</v>
      </c>
      <c r="AA859" s="257">
        <v>4.9199999999999982</v>
      </c>
      <c r="AB859" s="257">
        <v>75.12</v>
      </c>
      <c r="AC859" s="258" t="s">
        <v>2655</v>
      </c>
      <c r="AD859" s="257">
        <v>1.641498275012321</v>
      </c>
      <c r="AE859">
        <f>IF('WetLitterbags placem_collection'!AB200="","",'WetLitterbags placem_collection'!AB200)</f>
        <v>7.9</v>
      </c>
      <c r="AF859">
        <f>IF('WetLitterbags placem_collection'!Z200="","",'WetLitterbags placem_collection'!Z200)</f>
        <v>7.9</v>
      </c>
      <c r="AG859" s="243" t="str">
        <f>IF('WetLitterbags placem_collection'!AA200="","",'WetLitterbags placem_collection'!AA200)</f>
        <v>O</v>
      </c>
      <c r="AH859">
        <f>IF('WetLitterbags placem_collection'!AC200="","",'WetLitterbags placem_collection'!AC200)</f>
        <v>1</v>
      </c>
      <c r="AI859">
        <f>IFERROR(AVERAGE('Dry_Litterbag Placem_Collection'!O200,'Dry_Litterbag Placem_Collection'!R200),"")</f>
        <v>4.8499999999999996</v>
      </c>
      <c r="AJ859" s="268">
        <f>IFERROR(AVERAGE('Dry_Litterbag Placem_Collection'!N200,'Dry_Litterbag Placem_Collection'!Q200),"")</f>
        <v>30.25</v>
      </c>
      <c r="AK859">
        <v>-2.4395990190000001</v>
      </c>
      <c r="AL859">
        <v>34.838418959999998</v>
      </c>
      <c r="AM859" s="267" t="str">
        <f>IF(ISNUMBER(SEARCH("C", 'Dry_Litterbag Placem_Collection'!V200)),"YES","NO")</f>
        <v>NO</v>
      </c>
      <c r="AN859" s="267" t="str">
        <f>IF(ISNUMBER(SEARCH("H", 'Dry_Litterbag Placem_Collection'!V200)),"YES","NO")</f>
        <v>NO</v>
      </c>
      <c r="AO859" s="267" t="str">
        <f>IF(ISNUMBER(SEARCH("R", 'Dry_Litterbag Placem_Collection'!V200)),"YES","NO")</f>
        <v>YES</v>
      </c>
    </row>
    <row r="860" spans="1:41" ht="15" customHeight="1">
      <c r="A860" s="259" t="s">
        <v>2643</v>
      </c>
      <c r="B860" s="260">
        <f>'Dry_Litterbag Placem_Collection'!A201</f>
        <v>199</v>
      </c>
      <c r="C860" s="260" t="str">
        <f>'Dry_Litterbag Placem_Collection'!B201</f>
        <v>Makao</v>
      </c>
      <c r="D860" s="260" t="s">
        <v>2643</v>
      </c>
      <c r="E860" s="260" t="s">
        <v>2512</v>
      </c>
      <c r="F860" s="260">
        <v>1</v>
      </c>
      <c r="G860" s="260" t="s">
        <v>3808</v>
      </c>
      <c r="H860" s="261" t="str">
        <f>'Dry_Litterbag Placem_Collection'!C201</f>
        <v>Dry_P3_CG1</v>
      </c>
      <c r="I860" s="270" t="s">
        <v>3630</v>
      </c>
      <c r="J860" s="271" t="s">
        <v>298</v>
      </c>
      <c r="K860" s="260" t="str">
        <f>IF(ISBLANK('Dry_Litterbag Placem_Collection'!M201),"","R"&amp;""&amp;'Dry_Litterbag Placem_Collection'!M201)</f>
        <v>R236</v>
      </c>
      <c r="L860" s="264">
        <f>IFERROR(INDEX('Green_rooibos initial weight'!$C$5:$C$2000,MATCH(K860, 'Green_rooibos initial weight'!$A$5:$A$2000,0)),"")</f>
        <v>2.2440000000000002</v>
      </c>
      <c r="M860" s="264">
        <f>IFERROR(L860-(TBIcalc!$Q$9+TBIcalc!$Q$10),"")</f>
        <v>1.9942000000000002</v>
      </c>
      <c r="N860" s="385">
        <f>AVERAGE(Ashed_controlls!$K$12:$K$14)</f>
        <v>2.2816647271287041</v>
      </c>
      <c r="O860" s="264">
        <f t="shared" si="66"/>
        <v>1.9486990420115995</v>
      </c>
      <c r="P860" s="264">
        <f>IFERROR(INDEX('Both teabags AfterDry'!$D$2:$D$2000,MATCH(K860,'Both teabags AfterDry'!$A$2:$A$2000,0)),"")</f>
        <v>1.62</v>
      </c>
      <c r="Q860" s="264">
        <f>IFERROR(IF(P860&gt;0,P860-(TBIcalc!$Q$9),""),"")</f>
        <v>1.4694</v>
      </c>
      <c r="R860" s="275">
        <f>IFERROR(INDEX('Ashed teabags dry'!$K$2:$K$2000,MATCH(K860,'Ashed teabags dry'!$A$2:$A$2000,0)),"")</f>
        <v>2.5580293699667425</v>
      </c>
      <c r="S860" s="275">
        <f t="shared" si="67"/>
        <v>1.4318123164377088</v>
      </c>
      <c r="T860" s="265">
        <f>IF('Dry_Litterbag Placem_Collection'!E201="","",'Dry_Litterbag Placem_Collection'!E201)</f>
        <v>42942</v>
      </c>
      <c r="U860" s="265">
        <f>IF('Dry_Litterbag Placem_Collection'!G201="","",'Dry_Litterbag Placem_Collection'!G201)</f>
        <v>43004</v>
      </c>
      <c r="V860" s="266">
        <f t="shared" si="65"/>
        <v>62</v>
      </c>
      <c r="W860" s="264">
        <f t="shared" si="68"/>
        <v>0.52480000000000016</v>
      </c>
      <c r="X860" s="264">
        <f t="shared" si="69"/>
        <v>0.5168867255738907</v>
      </c>
      <c r="Y860" s="268">
        <f>IFERROR(INDEX(Rainfall_Dry!$O$2:$O$217,MATCH(B860, Rainfall_Dry!$A$2:$A$217,0)),"")</f>
        <v>171.84818423999999</v>
      </c>
      <c r="Z860" s="257">
        <v>21.96</v>
      </c>
      <c r="AA860" s="257">
        <v>8.9199999999999982</v>
      </c>
      <c r="AB860" s="257">
        <v>69.12</v>
      </c>
      <c r="AC860" s="258" t="s">
        <v>2654</v>
      </c>
      <c r="AD860" s="257">
        <v>1.7491375061606702</v>
      </c>
      <c r="AE860">
        <f>IF('WetLitterbags placem_collection'!AB201="","",'WetLitterbags placem_collection'!AB201)</f>
        <v>13.8</v>
      </c>
      <c r="AF860">
        <f>IF('WetLitterbags placem_collection'!Z201="","",'WetLitterbags placem_collection'!Z201)</f>
        <v>17.399999999999999</v>
      </c>
      <c r="AG860" s="243" t="str">
        <f>IF('WetLitterbags placem_collection'!AA201="","",'WetLitterbags placem_collection'!AA201)</f>
        <v>O</v>
      </c>
      <c r="AH860">
        <f>IF('WetLitterbags placem_collection'!AC201="","",'WetLitterbags placem_collection'!AC201)</f>
        <v>1</v>
      </c>
      <c r="AI860">
        <f>IFERROR(AVERAGE('Dry_Litterbag Placem_Collection'!O201,'Dry_Litterbag Placem_Collection'!R201),"")</f>
        <v>6.1999999999999993</v>
      </c>
      <c r="AJ860" s="268">
        <f>IFERROR(AVERAGE('Dry_Litterbag Placem_Collection'!N201,'Dry_Litterbag Placem_Collection'!Q201),"")</f>
        <v>27.200000000000003</v>
      </c>
      <c r="AK860">
        <v>-2.439403972</v>
      </c>
      <c r="AL860">
        <v>34.838404959999998</v>
      </c>
      <c r="AM860" s="267" t="str">
        <f>IF(ISNUMBER(SEARCH("C", 'Dry_Litterbag Placem_Collection'!V201)),"YES","NO")</f>
        <v>NO</v>
      </c>
      <c r="AN860" s="267" t="str">
        <f>IF(ISNUMBER(SEARCH("H", 'Dry_Litterbag Placem_Collection'!V201)),"YES","NO")</f>
        <v>NO</v>
      </c>
      <c r="AO860" s="267" t="str">
        <f>IF(ISNUMBER(SEARCH("R", 'Dry_Litterbag Placem_Collection'!V201)),"YES","NO")</f>
        <v>YES</v>
      </c>
    </row>
    <row r="861" spans="1:41" ht="15" customHeight="1">
      <c r="A861" s="259" t="s">
        <v>2643</v>
      </c>
      <c r="B861" s="260">
        <f>'Dry_Litterbag Placem_Collection'!A202</f>
        <v>200</v>
      </c>
      <c r="C861" s="260" t="str">
        <f>'Dry_Litterbag Placem_Collection'!B202</f>
        <v>Makao</v>
      </c>
      <c r="D861" s="260" t="s">
        <v>2643</v>
      </c>
      <c r="E861" s="260" t="s">
        <v>2512</v>
      </c>
      <c r="F861" s="260">
        <v>4</v>
      </c>
      <c r="G861" s="260" t="s">
        <v>3809</v>
      </c>
      <c r="H861" s="261" t="str">
        <f>'Dry_Litterbag Placem_Collection'!C202</f>
        <v>Dry_P4_CG4</v>
      </c>
      <c r="I861" s="270" t="s">
        <v>3630</v>
      </c>
      <c r="J861" s="271" t="s">
        <v>298</v>
      </c>
      <c r="K861" s="260" t="str">
        <f>IF(ISBLANK('Dry_Litterbag Placem_Collection'!M202),"","R"&amp;""&amp;'Dry_Litterbag Placem_Collection'!M202)</f>
        <v>R205</v>
      </c>
      <c r="L861" s="264">
        <f>IFERROR(INDEX('Green_rooibos initial weight'!$C$5:$C$2000,MATCH(K861, 'Green_rooibos initial weight'!$A$5:$A$2000,0)),"")</f>
        <v>2.181</v>
      </c>
      <c r="M861" s="264">
        <f>IFERROR(L861-(TBIcalc!$Q$9+TBIcalc!$Q$10),"")</f>
        <v>1.9312</v>
      </c>
      <c r="N861" s="385">
        <f>AVERAGE(Ashed_controlls!$K$12:$K$14)</f>
        <v>2.2816647271287041</v>
      </c>
      <c r="O861" s="264">
        <f t="shared" si="66"/>
        <v>1.8871364907896906</v>
      </c>
      <c r="P861" s="264">
        <f>IFERROR(INDEX('Both teabags AfterDry'!$D$2:$D$2000,MATCH(K861,'Both teabags AfterDry'!$A$2:$A$2000,0)),"")</f>
        <v>1.6595</v>
      </c>
      <c r="Q861" s="264">
        <f>IFERROR(IF(P861&gt;0,P861-(TBIcalc!$Q$9),""),"")</f>
        <v>1.5088999999999999</v>
      </c>
      <c r="R861" s="275">
        <f>IFERROR(INDEX('Ashed teabags dry'!$K$2:$K$2000,MATCH(K861,'Ashed teabags dry'!$A$2:$A$2000,0)),"")</f>
        <v>2.2522522522528168</v>
      </c>
      <c r="S861" s="275">
        <f t="shared" si="67"/>
        <v>1.4749157657657572</v>
      </c>
      <c r="T861" s="265">
        <f>IF('Dry_Litterbag Placem_Collection'!E202="","",'Dry_Litterbag Placem_Collection'!E202)</f>
        <v>42942</v>
      </c>
      <c r="U861" s="265">
        <f>IF('Dry_Litterbag Placem_Collection'!G202="","",'Dry_Litterbag Placem_Collection'!G202)</f>
        <v>43004</v>
      </c>
      <c r="V861" s="266">
        <f t="shared" si="65"/>
        <v>62</v>
      </c>
      <c r="W861" s="264">
        <f t="shared" si="68"/>
        <v>0.42230000000000012</v>
      </c>
      <c r="X861" s="264">
        <f t="shared" si="69"/>
        <v>0.41222072502393337</v>
      </c>
      <c r="Y861" s="268">
        <f>IFERROR(INDEX(Rainfall_Dry!$O$2:$O$217,MATCH(B861, Rainfall_Dry!$A$2:$A$217,0)),"")</f>
        <v>171.84818423999999</v>
      </c>
      <c r="Z861" s="257">
        <v>25.96</v>
      </c>
      <c r="AA861" s="257">
        <v>6.9200000000000008</v>
      </c>
      <c r="AB861" s="257">
        <v>67.12</v>
      </c>
      <c r="AC861" s="258" t="s">
        <v>2654</v>
      </c>
      <c r="AD861" s="257">
        <v>1.7568260226712666</v>
      </c>
      <c r="AE861">
        <f>IF('WetLitterbags placem_collection'!AB202="","",'WetLitterbags placem_collection'!AB202)</f>
        <v>15.2</v>
      </c>
      <c r="AF861">
        <f>IF('WetLitterbags placem_collection'!Z202="","",'WetLitterbags placem_collection'!Z202)</f>
        <v>12.2</v>
      </c>
      <c r="AG861" s="243" t="str">
        <f>IF('WetLitterbags placem_collection'!AA202="","",'WetLitterbags placem_collection'!AA202)</f>
        <v>O</v>
      </c>
      <c r="AH861">
        <f>IF('WetLitterbags placem_collection'!AC202="","",'WetLitterbags placem_collection'!AC202)</f>
        <v>1</v>
      </c>
      <c r="AI861">
        <f>IFERROR(AVERAGE('Dry_Litterbag Placem_Collection'!O202,'Dry_Litterbag Placem_Collection'!R202),"")</f>
        <v>7</v>
      </c>
      <c r="AJ861" s="268">
        <f>IFERROR(AVERAGE('Dry_Litterbag Placem_Collection'!N202,'Dry_Litterbag Placem_Collection'!Q202),"")</f>
        <v>32.9</v>
      </c>
      <c r="AK861">
        <v>-2.4396949910000001</v>
      </c>
      <c r="AL861">
        <v>34.838574029999997</v>
      </c>
      <c r="AM861" s="267" t="str">
        <f>IF(ISNUMBER(SEARCH("C", 'Dry_Litterbag Placem_Collection'!V202)),"YES","NO")</f>
        <v>NO</v>
      </c>
      <c r="AN861" s="267" t="str">
        <f>IF(ISNUMBER(SEARCH("H", 'Dry_Litterbag Placem_Collection'!V202)),"YES","NO")</f>
        <v>NO</v>
      </c>
      <c r="AO861" s="267" t="str">
        <f>IF(ISNUMBER(SEARCH("R", 'Dry_Litterbag Placem_Collection'!V202)),"YES","NO")</f>
        <v>YES</v>
      </c>
    </row>
    <row r="862" spans="1:41" ht="15" customHeight="1">
      <c r="A862" s="259" t="s">
        <v>2643</v>
      </c>
      <c r="B862" s="260">
        <f>'Dry_Litterbag Placem_Collection'!A203</f>
        <v>201</v>
      </c>
      <c r="C862" s="260" t="str">
        <f>'Dry_Litterbag Placem_Collection'!B203</f>
        <v>Maswa</v>
      </c>
      <c r="D862" s="260" t="s">
        <v>2643</v>
      </c>
      <c r="E862" s="260" t="s">
        <v>2512</v>
      </c>
      <c r="F862" s="260">
        <v>4</v>
      </c>
      <c r="G862" s="260" t="s">
        <v>3813</v>
      </c>
      <c r="H862" s="261" t="str">
        <f>'Dry_Litterbag Placem_Collection'!C203</f>
        <v>Dry_W3_CG4</v>
      </c>
      <c r="I862" s="270" t="s">
        <v>3630</v>
      </c>
      <c r="J862" s="271" t="s">
        <v>298</v>
      </c>
      <c r="K862" s="260" t="str">
        <f>IF(ISBLANK('Dry_Litterbag Placem_Collection'!M203),"","R"&amp;""&amp;'Dry_Litterbag Placem_Collection'!M203)</f>
        <v>R665</v>
      </c>
      <c r="L862" s="264">
        <f>IFERROR(INDEX('Green_rooibos initial weight'!$C$5:$C$2000,MATCH(K862, 'Green_rooibos initial weight'!$A$5:$A$2000,0)),"")</f>
        <v>2.1579999999999999</v>
      </c>
      <c r="M862" s="264">
        <f>IFERROR(L862-(TBIcalc!$Q$9+TBIcalc!$Q$10),"")</f>
        <v>1.9081999999999999</v>
      </c>
      <c r="N862" s="385">
        <f>AVERAGE(Ashed_controlls!$K$12:$K$14)</f>
        <v>2.2816647271287041</v>
      </c>
      <c r="O862" s="264">
        <f t="shared" si="66"/>
        <v>1.8646612736769299</v>
      </c>
      <c r="P862" s="264">
        <f>IFERROR(INDEX('Both teabags AfterDry'!$D$2:$D$2000,MATCH(K862,'Both teabags AfterDry'!$A$2:$A$2000,0)),"")</f>
        <v>1.7869999999999999</v>
      </c>
      <c r="Q862" s="264">
        <f>IFERROR(IF(P862&gt;0,P862-(TBIcalc!$Q$9),""),"")</f>
        <v>1.6363999999999999</v>
      </c>
      <c r="R862" s="275">
        <f>IFERROR(INDEX('Ashed teabags dry'!$K$2:$K$2000,MATCH(K862,'Ashed teabags dry'!$A$2:$A$2000,0)),"")</f>
        <v>6.3397721644379263</v>
      </c>
      <c r="S862" s="275">
        <f t="shared" si="67"/>
        <v>1.5326559683011376</v>
      </c>
      <c r="T862" s="265">
        <f>IF('Dry_Litterbag Placem_Collection'!E203="","",'Dry_Litterbag Placem_Collection'!E203)</f>
        <v>42942</v>
      </c>
      <c r="U862" s="265">
        <f>IF('Dry_Litterbag Placem_Collection'!G203="","",'Dry_Litterbag Placem_Collection'!G203)</f>
        <v>43004</v>
      </c>
      <c r="V862" s="266">
        <f t="shared" si="65"/>
        <v>62</v>
      </c>
      <c r="W862" s="264">
        <f t="shared" si="68"/>
        <v>0.27180000000000004</v>
      </c>
      <c r="X862" s="264">
        <f t="shared" si="69"/>
        <v>0.33200530537579231</v>
      </c>
      <c r="Y862" s="268">
        <f>IFERROR(INDEX(Rainfall_Dry!$O$2:$O$217,MATCH(B862, Rainfall_Dry!$A$2:$A$217,0)),"")</f>
        <v>171.84818423999999</v>
      </c>
      <c r="Z862" s="257">
        <v>38.691629007962128</v>
      </c>
      <c r="AA862" s="257">
        <v>26.81299763288143</v>
      </c>
      <c r="AB862" s="257">
        <v>34.495373359156439</v>
      </c>
      <c r="AC862" s="258" t="s">
        <v>2659</v>
      </c>
      <c r="AD862" s="257">
        <v>2.5483587974371611</v>
      </c>
      <c r="AE862">
        <f>IF('WetLitterbags placem_collection'!AB203="","",'WetLitterbags placem_collection'!AB203)</f>
        <v>15.2</v>
      </c>
      <c r="AF862">
        <f>IF('WetLitterbags placem_collection'!Z203="","",'WetLitterbags placem_collection'!Z203)</f>
        <v>12.2</v>
      </c>
      <c r="AG862" s="243" t="str">
        <f>IF('WetLitterbags placem_collection'!AA203="","",'WetLitterbags placem_collection'!AA203)</f>
        <v>O</v>
      </c>
      <c r="AH862">
        <f>IF('WetLitterbags placem_collection'!AC203="","",'WetLitterbags placem_collection'!AC203)</f>
        <v>1</v>
      </c>
      <c r="AI862">
        <f>IFERROR(AVERAGE('Dry_Litterbag Placem_Collection'!O203,'Dry_Litterbag Placem_Collection'!R203),"")</f>
        <v>8.9</v>
      </c>
      <c r="AJ862" s="268">
        <f>IFERROR(AVERAGE('Dry_Litterbag Placem_Collection'!N203,'Dry_Litterbag Placem_Collection'!Q203),"")</f>
        <v>29.15</v>
      </c>
      <c r="AK862">
        <v>-2.4396949910000001</v>
      </c>
      <c r="AL862">
        <v>34.838574029999997</v>
      </c>
      <c r="AM862" s="267" t="str">
        <f>IF(ISNUMBER(SEARCH("C", 'Dry_Litterbag Placem_Collection'!V203)),"YES","NO")</f>
        <v>NO</v>
      </c>
      <c r="AN862" s="267" t="str">
        <f>IF(ISNUMBER(SEARCH("H", 'Dry_Litterbag Placem_Collection'!V203)),"YES","NO")</f>
        <v>NO</v>
      </c>
      <c r="AO862" s="267" t="str">
        <f>IF(ISNUMBER(SEARCH("R", 'Dry_Litterbag Placem_Collection'!V203)),"YES","NO")</f>
        <v>YES</v>
      </c>
    </row>
    <row r="863" spans="1:41" ht="15" customHeight="1">
      <c r="A863" s="259" t="s">
        <v>2643</v>
      </c>
      <c r="B863" s="260">
        <f>'Dry_Litterbag Placem_Collection'!A204</f>
        <v>202</v>
      </c>
      <c r="C863" s="260" t="str">
        <f>'Dry_Litterbag Placem_Collection'!B204</f>
        <v>Maswa</v>
      </c>
      <c r="D863" s="260" t="s">
        <v>2643</v>
      </c>
      <c r="E863" s="260" t="s">
        <v>2512</v>
      </c>
      <c r="F863" s="260">
        <v>1</v>
      </c>
      <c r="G863" s="260" t="s">
        <v>3812</v>
      </c>
      <c r="H863" s="261" t="str">
        <f>'Dry_Litterbag Placem_Collection'!C204</f>
        <v>Dry_W2_CG1</v>
      </c>
      <c r="I863" s="270" t="s">
        <v>3630</v>
      </c>
      <c r="J863" s="271" t="s">
        <v>298</v>
      </c>
      <c r="K863" s="260" t="str">
        <f>IF(ISBLANK('Dry_Litterbag Placem_Collection'!M204),"","R"&amp;""&amp;'Dry_Litterbag Placem_Collection'!M204)</f>
        <v>R224</v>
      </c>
      <c r="L863" s="264">
        <f>IFERROR(INDEX('Green_rooibos initial weight'!$C$5:$C$2000,MATCH(K863, 'Green_rooibos initial weight'!$A$5:$A$2000,0)),"")</f>
        <v>2.298</v>
      </c>
      <c r="M863" s="264">
        <f>IFERROR(L863-(TBIcalc!$Q$9+TBIcalc!$Q$10),"")</f>
        <v>2.0482</v>
      </c>
      <c r="N863" s="385">
        <f>AVERAGE(Ashed_controlls!$K$12:$K$14)</f>
        <v>2.2816647271287041</v>
      </c>
      <c r="O863" s="264">
        <f t="shared" si="66"/>
        <v>2.0014669430589498</v>
      </c>
      <c r="P863" s="264">
        <f>IFERROR(INDEX('Both teabags AfterDry'!$D$2:$D$2000,MATCH(K863,'Both teabags AfterDry'!$A$2:$A$2000,0)),"")</f>
        <v>1.8384</v>
      </c>
      <c r="Q863" s="264">
        <f>IFERROR(IF(P863&gt;0,P863-(TBIcalc!$Q$9),""),"")</f>
        <v>1.6878</v>
      </c>
      <c r="R863" s="275">
        <f>IFERROR(INDEX('Ashed teabags dry'!$K$2:$K$2000,MATCH(K863,'Ashed teabags dry'!$A$2:$A$2000,0)),"")</f>
        <v>11.207685269899079</v>
      </c>
      <c r="S863" s="275">
        <f t="shared" si="67"/>
        <v>1.4986366880146433</v>
      </c>
      <c r="T863" s="265">
        <f>IF('Dry_Litterbag Placem_Collection'!E204="","",'Dry_Litterbag Placem_Collection'!E204)</f>
        <v>42942</v>
      </c>
      <c r="U863" s="265">
        <f>IF('Dry_Litterbag Placem_Collection'!G204="","",'Dry_Litterbag Placem_Collection'!G204)</f>
        <v>43004</v>
      </c>
      <c r="V863" s="266">
        <f t="shared" si="65"/>
        <v>62</v>
      </c>
      <c r="W863" s="264">
        <f t="shared" si="68"/>
        <v>0.36040000000000005</v>
      </c>
      <c r="X863" s="264">
        <f t="shared" si="69"/>
        <v>0.50283025504430645</v>
      </c>
      <c r="Y863" s="268">
        <f>IFERROR(INDEX(Rainfall_Dry!$O$2:$O$217,MATCH(B863, Rainfall_Dry!$A$2:$A$217,0)),"")</f>
        <v>171.84818423999999</v>
      </c>
      <c r="Z863" s="257">
        <v>45.272914521112256</v>
      </c>
      <c r="AA863" s="257">
        <v>23.604531410916575</v>
      </c>
      <c r="AB863" s="257">
        <v>31.122554067971166</v>
      </c>
      <c r="AC863" s="258" t="s">
        <v>2657</v>
      </c>
      <c r="AD863" s="257">
        <v>2.0547560374568752</v>
      </c>
      <c r="AE863">
        <f>IF('WetLitterbags placem_collection'!AB204="","",'WetLitterbags placem_collection'!AB204)</f>
        <v>13.8</v>
      </c>
      <c r="AF863">
        <f>IF('WetLitterbags placem_collection'!Z204="","",'WetLitterbags placem_collection'!Z204)</f>
        <v>17.399999999999999</v>
      </c>
      <c r="AG863" s="243" t="str">
        <f>IF('WetLitterbags placem_collection'!AA204="","",'WetLitterbags placem_collection'!AA204)</f>
        <v>O</v>
      </c>
      <c r="AH863">
        <f>IF('WetLitterbags placem_collection'!AC204="","",'WetLitterbags placem_collection'!AC204)</f>
        <v>1</v>
      </c>
      <c r="AI863">
        <f>IFERROR(AVERAGE('Dry_Litterbag Placem_Collection'!O204,'Dry_Litterbag Placem_Collection'!R204),"")</f>
        <v>6.3</v>
      </c>
      <c r="AJ863" s="268">
        <f>IFERROR(AVERAGE('Dry_Litterbag Placem_Collection'!N204,'Dry_Litterbag Placem_Collection'!Q204),"")</f>
        <v>28.85</v>
      </c>
      <c r="AK863">
        <v>-2.439403972</v>
      </c>
      <c r="AL863">
        <v>34.838404959999998</v>
      </c>
      <c r="AM863" s="267" t="str">
        <f>IF(ISNUMBER(SEARCH("C", 'Dry_Litterbag Placem_Collection'!V204)),"YES","NO")</f>
        <v>NO</v>
      </c>
      <c r="AN863" s="267" t="str">
        <f>IF(ISNUMBER(SEARCH("H", 'Dry_Litterbag Placem_Collection'!V204)),"YES","NO")</f>
        <v>NO</v>
      </c>
      <c r="AO863" s="267" t="str">
        <f>IF(ISNUMBER(SEARCH("R", 'Dry_Litterbag Placem_Collection'!V204)),"YES","NO")</f>
        <v>YES</v>
      </c>
    </row>
    <row r="864" spans="1:41" ht="15" customHeight="1">
      <c r="A864" s="259" t="s">
        <v>2643</v>
      </c>
      <c r="B864" s="260">
        <f>'Dry_Litterbag Placem_Collection'!A205</f>
        <v>203</v>
      </c>
      <c r="C864" s="260" t="str">
        <f>'Dry_Litterbag Placem_Collection'!B205</f>
        <v>Maswa</v>
      </c>
      <c r="D864" s="260" t="s">
        <v>2643</v>
      </c>
      <c r="E864" s="260" t="s">
        <v>2512</v>
      </c>
      <c r="F864" s="260">
        <v>2</v>
      </c>
      <c r="G864" s="260" t="s">
        <v>3810</v>
      </c>
      <c r="H864" s="261" t="str">
        <f>'Dry_Litterbag Placem_Collection'!C205</f>
        <v>Dry_W1_CG2</v>
      </c>
      <c r="I864" s="270" t="s">
        <v>3630</v>
      </c>
      <c r="J864" s="271" t="s">
        <v>298</v>
      </c>
      <c r="K864" s="260" t="str">
        <f>IF(ISBLANK('Dry_Litterbag Placem_Collection'!M205),"","R"&amp;""&amp;'Dry_Litterbag Placem_Collection'!M205)</f>
        <v>R621</v>
      </c>
      <c r="L864" s="264">
        <f>IFERROR(INDEX('Green_rooibos initial weight'!$C$5:$C$2000,MATCH(K864, 'Green_rooibos initial weight'!$A$5:$A$2000,0)),"")</f>
        <v>2.0459999999999998</v>
      </c>
      <c r="M864" s="264">
        <f>IFERROR(L864-(TBIcalc!$Q$9+TBIcalc!$Q$10),"")</f>
        <v>1.7961999999999998</v>
      </c>
      <c r="N864" s="385">
        <f>AVERAGE(Ashed_controlls!$K$12:$K$14)</f>
        <v>2.2816647271287041</v>
      </c>
      <c r="O864" s="264">
        <f t="shared" si="66"/>
        <v>1.755216738171314</v>
      </c>
      <c r="P864" s="264">
        <f>IFERROR(INDEX('Both teabags AfterDry'!$D$2:$D$2000,MATCH(K864,'Both teabags AfterDry'!$A$2:$A$2000,0)),"")</f>
        <v>1.6888000000000001</v>
      </c>
      <c r="Q864" s="264">
        <f>IFERROR(IF(P864&gt;0,P864-(TBIcalc!$Q$9),""),"")</f>
        <v>1.5382</v>
      </c>
      <c r="R864" s="275">
        <f>IFERROR(INDEX('Ashed teabags dry'!$K$2:$K$2000,MATCH(K864,'Ashed teabags dry'!$A$2:$A$2000,0)),"")</f>
        <v>4.0788883908559299</v>
      </c>
      <c r="S864" s="275">
        <f t="shared" si="67"/>
        <v>1.4754585387718542</v>
      </c>
      <c r="T864" s="265">
        <f>IF('Dry_Litterbag Placem_Collection'!E205="","",'Dry_Litterbag Placem_Collection'!E205)</f>
        <v>42942</v>
      </c>
      <c r="U864" s="265">
        <f>IF('Dry_Litterbag Placem_Collection'!G205="","",'Dry_Litterbag Placem_Collection'!G205)</f>
        <v>43004</v>
      </c>
      <c r="V864" s="266">
        <f t="shared" si="65"/>
        <v>62</v>
      </c>
      <c r="W864" s="264">
        <f t="shared" si="68"/>
        <v>0.25799999999999979</v>
      </c>
      <c r="X864" s="264">
        <f t="shared" si="69"/>
        <v>0.27975819939945978</v>
      </c>
      <c r="Y864" s="268">
        <f>IFERROR(INDEX(Rainfall_Dry!$O$2:$O$217,MATCH(B864, Rainfall_Dry!$A$2:$A$217,0)),"")</f>
        <v>171.84818423999999</v>
      </c>
      <c r="Z864" s="257">
        <v>47.96</v>
      </c>
      <c r="AA864" s="257">
        <v>22.919999999999995</v>
      </c>
      <c r="AB864" s="257">
        <v>29.120000000000012</v>
      </c>
      <c r="AC864" s="258" t="s">
        <v>2657</v>
      </c>
      <c r="AD864" s="257">
        <v>2.8831936914736325</v>
      </c>
      <c r="AE864">
        <f>IF('WetLitterbags placem_collection'!AB205="","",'WetLitterbags placem_collection'!AB205)</f>
        <v>5.13</v>
      </c>
      <c r="AF864">
        <f>IF('WetLitterbags placem_collection'!Z205="","",'WetLitterbags placem_collection'!Z205)</f>
        <v>5.13</v>
      </c>
      <c r="AG864" s="243" t="str">
        <f>IF('WetLitterbags placem_collection'!AA205="","",'WetLitterbags placem_collection'!AA205)</f>
        <v>O</v>
      </c>
      <c r="AH864">
        <f>IF('WetLitterbags placem_collection'!AC205="","",'WetLitterbags placem_collection'!AC205)</f>
        <v>1</v>
      </c>
      <c r="AI864">
        <f>IFERROR(AVERAGE('Dry_Litterbag Placem_Collection'!O205,'Dry_Litterbag Placem_Collection'!R205),"")</f>
        <v>10.100000000000001</v>
      </c>
      <c r="AJ864" s="268">
        <f>IFERROR(AVERAGE('Dry_Litterbag Placem_Collection'!N205,'Dry_Litterbag Placem_Collection'!Q205),"")</f>
        <v>28.299999999999997</v>
      </c>
      <c r="AK864">
        <v>-2.4396450349999999</v>
      </c>
      <c r="AL864">
        <v>34.83836599</v>
      </c>
      <c r="AM864" s="267" t="str">
        <f>IF(ISNUMBER(SEARCH("C", 'Dry_Litterbag Placem_Collection'!V205)),"YES","NO")</f>
        <v>NO</v>
      </c>
      <c r="AN864" s="267" t="str">
        <f>IF(ISNUMBER(SEARCH("H", 'Dry_Litterbag Placem_Collection'!V205)),"YES","NO")</f>
        <v>NO</v>
      </c>
      <c r="AO864" s="267" t="str">
        <f>IF(ISNUMBER(SEARCH("R", 'Dry_Litterbag Placem_Collection'!V205)),"YES","NO")</f>
        <v>YES</v>
      </c>
    </row>
    <row r="865" spans="1:41" ht="15" customHeight="1">
      <c r="A865" s="259" t="s">
        <v>2643</v>
      </c>
      <c r="B865" s="260">
        <f>'Dry_Litterbag Placem_Collection'!A206</f>
        <v>204</v>
      </c>
      <c r="C865" s="260" t="str">
        <f>'Dry_Litterbag Placem_Collection'!B206</f>
        <v>Maswa</v>
      </c>
      <c r="D865" s="260" t="s">
        <v>2643</v>
      </c>
      <c r="E865" s="260" t="s">
        <v>2512</v>
      </c>
      <c r="F865" s="260">
        <v>3</v>
      </c>
      <c r="G865" s="260" t="s">
        <v>3814</v>
      </c>
      <c r="H865" s="261" t="str">
        <f>'Dry_Litterbag Placem_Collection'!C206</f>
        <v>Dry_W4_CG3</v>
      </c>
      <c r="I865" s="270" t="s">
        <v>3630</v>
      </c>
      <c r="J865" s="271" t="s">
        <v>298</v>
      </c>
      <c r="K865" s="260" t="str">
        <f>IF(ISBLANK('Dry_Litterbag Placem_Collection'!M206),"","R"&amp;""&amp;'Dry_Litterbag Placem_Collection'!M206)</f>
        <v>R708</v>
      </c>
      <c r="L865" s="264">
        <f>IFERROR(INDEX('Green_rooibos initial weight'!$C$5:$C$2000,MATCH(K865, 'Green_rooibos initial weight'!$A$5:$A$2000,0)),"")</f>
        <v>2.157</v>
      </c>
      <c r="M865" s="264">
        <f>IFERROR(L865-(TBIcalc!$Q$9+TBIcalc!$Q$10),"")</f>
        <v>1.9072</v>
      </c>
      <c r="N865" s="385">
        <f>AVERAGE(Ashed_controlls!$K$12:$K$14)</f>
        <v>2.2816647271287041</v>
      </c>
      <c r="O865" s="264">
        <f t="shared" si="66"/>
        <v>1.8636840903242013</v>
      </c>
      <c r="P865" s="264">
        <f>IFERROR(INDEX('Both teabags AfterDry'!$D$2:$D$2000,MATCH(K865,'Both teabags AfterDry'!$A$2:$A$2000,0)),"")</f>
        <v>1.7259</v>
      </c>
      <c r="Q865" s="264">
        <f>IFERROR(IF(P865&gt;0,P865-(TBIcalc!$Q$9),""),"")</f>
        <v>1.5752999999999999</v>
      </c>
      <c r="R865" s="275">
        <f>IFERROR(INDEX('Ashed teabags dry'!$K$2:$K$2000,MATCH(K865,'Ashed teabags dry'!$A$2:$A$2000,0)),"")</f>
        <v>5.9528907922913135</v>
      </c>
      <c r="S865" s="275">
        <f t="shared" si="67"/>
        <v>1.4815241113490349</v>
      </c>
      <c r="T865" s="265">
        <f>IF('Dry_Litterbag Placem_Collection'!E206="","",'Dry_Litterbag Placem_Collection'!E206)</f>
        <v>42942</v>
      </c>
      <c r="U865" s="265">
        <f>IF('Dry_Litterbag Placem_Collection'!G206="","",'Dry_Litterbag Placem_Collection'!G206)</f>
        <v>43004</v>
      </c>
      <c r="V865" s="266">
        <f t="shared" si="65"/>
        <v>62</v>
      </c>
      <c r="W865" s="264">
        <f t="shared" si="68"/>
        <v>0.33190000000000008</v>
      </c>
      <c r="X865" s="264">
        <f t="shared" si="69"/>
        <v>0.3821599789751664</v>
      </c>
      <c r="Y865" s="268">
        <f>IFERROR(INDEX(Rainfall_Dry!$O$2:$O$217,MATCH(B865, Rainfall_Dry!$A$2:$A$217,0)),"")</f>
        <v>171.84818423999999</v>
      </c>
      <c r="Z865" s="257">
        <v>28.145762029394</v>
      </c>
      <c r="AA865" s="257">
        <v>25.085564727199518</v>
      </c>
      <c r="AB865" s="257">
        <v>46.768673243406489</v>
      </c>
      <c r="AC865" s="258" t="s">
        <v>2654</v>
      </c>
      <c r="AD865" s="257">
        <v>2.1716214884179394</v>
      </c>
      <c r="AE865">
        <f>IF('WetLitterbags placem_collection'!AB206="","",'WetLitterbags placem_collection'!AB206)</f>
        <v>7.9</v>
      </c>
      <c r="AF865">
        <f>IF('WetLitterbags placem_collection'!Z206="","",'WetLitterbags placem_collection'!Z206)</f>
        <v>7.9</v>
      </c>
      <c r="AG865" s="243" t="str">
        <f>IF('WetLitterbags placem_collection'!AA206="","",'WetLitterbags placem_collection'!AA206)</f>
        <v>O</v>
      </c>
      <c r="AH865">
        <f>IF('WetLitterbags placem_collection'!AC206="","",'WetLitterbags placem_collection'!AC206)</f>
        <v>1</v>
      </c>
      <c r="AI865">
        <f>IFERROR(AVERAGE('Dry_Litterbag Placem_Collection'!O206,'Dry_Litterbag Placem_Collection'!R206),"")</f>
        <v>8.3500000000000014</v>
      </c>
      <c r="AJ865" s="268">
        <f>IFERROR(AVERAGE('Dry_Litterbag Placem_Collection'!N206,'Dry_Litterbag Placem_Collection'!Q206),"")</f>
        <v>27.299999999999997</v>
      </c>
      <c r="AK865">
        <v>-2.4395990190000001</v>
      </c>
      <c r="AL865">
        <v>34.838418959999998</v>
      </c>
      <c r="AM865" s="267" t="str">
        <f>IF(ISNUMBER(SEARCH("C", 'Dry_Litterbag Placem_Collection'!V206)),"YES","NO")</f>
        <v>NO</v>
      </c>
      <c r="AN865" s="267" t="str">
        <f>IF(ISNUMBER(SEARCH("H", 'Dry_Litterbag Placem_Collection'!V206)),"YES","NO")</f>
        <v>NO</v>
      </c>
      <c r="AO865" s="267" t="str">
        <f>IF(ISNUMBER(SEARCH("R", 'Dry_Litterbag Placem_Collection'!V206)),"YES","NO")</f>
        <v>NO</v>
      </c>
    </row>
    <row r="866" spans="1:41" ht="15" customHeight="1">
      <c r="A866" s="259" t="s">
        <v>2643</v>
      </c>
      <c r="B866" s="260">
        <f>'Dry_Litterbag Placem_Collection'!A207</f>
        <v>205</v>
      </c>
      <c r="C866" s="260" t="str">
        <f>'Dry_Litterbag Placem_Collection'!B207</f>
        <v xml:space="preserve">Mwantimba
</v>
      </c>
      <c r="D866" s="260" t="s">
        <v>2454</v>
      </c>
      <c r="E866" s="260" t="s">
        <v>2512</v>
      </c>
      <c r="F866" s="260">
        <v>2</v>
      </c>
      <c r="G866" s="260" t="s">
        <v>3815</v>
      </c>
      <c r="H866" s="261" t="str">
        <f>'Dry_Litterbag Placem_Collection'!C207</f>
        <v>Wet_Ag1_CG2</v>
      </c>
      <c r="I866" s="270" t="s">
        <v>3630</v>
      </c>
      <c r="J866" s="271" t="s">
        <v>298</v>
      </c>
      <c r="K866" s="260" t="str">
        <f>IF(ISBLANK('Dry_Litterbag Placem_Collection'!M207),"","R"&amp;""&amp;'Dry_Litterbag Placem_Collection'!M207)</f>
        <v>R637</v>
      </c>
      <c r="L866" s="264">
        <f>IFERROR(INDEX('Green_rooibos initial weight'!$C$5:$C$2000,MATCH(K866, 'Green_rooibos initial weight'!$A$5:$A$2000,0)),"")</f>
        <v>2.129</v>
      </c>
      <c r="M866" s="264">
        <f>IFERROR(L866-(TBIcalc!$Q$9+TBIcalc!$Q$10),"")</f>
        <v>1.8792</v>
      </c>
      <c r="N866" s="385">
        <f>AVERAGE(Ashed_controlls!$K$12:$K$14)</f>
        <v>2.2816647271287041</v>
      </c>
      <c r="O866" s="264">
        <f t="shared" si="66"/>
        <v>1.8363229564477974</v>
      </c>
      <c r="P866" s="264">
        <f>IFERROR(INDEX('Both teabags AfterDry'!$D$2:$D$2000,MATCH(K866,'Both teabags AfterDry'!$A$2:$A$2000,0)),"")</f>
        <v>1.6534</v>
      </c>
      <c r="Q866" s="264">
        <f>IFERROR(IF(P866&gt;0,P866-(TBIcalc!$Q$9),""),"")</f>
        <v>1.5027999999999999</v>
      </c>
      <c r="R866" s="275">
        <f>IFERROR(INDEX('Ashed teabags dry'!$K$2:$K$2000,MATCH(K866,'Ashed teabags dry'!$A$2:$A$2000,0)),"")</f>
        <v>4.9312470365094017</v>
      </c>
      <c r="S866" s="275">
        <f t="shared" si="67"/>
        <v>1.4286932195353366</v>
      </c>
      <c r="T866" s="265">
        <f>IF('Dry_Litterbag Placem_Collection'!E207="","",'Dry_Litterbag Placem_Collection'!E207)</f>
        <v>42942</v>
      </c>
      <c r="U866" s="265">
        <f>IF('Dry_Litterbag Placem_Collection'!G207="","",'Dry_Litterbag Placem_Collection'!G207)</f>
        <v>43004</v>
      </c>
      <c r="V866" s="266">
        <f t="shared" si="65"/>
        <v>62</v>
      </c>
      <c r="W866" s="264">
        <f t="shared" si="68"/>
        <v>0.37640000000000007</v>
      </c>
      <c r="X866" s="264">
        <f t="shared" si="69"/>
        <v>0.40762973691246085</v>
      </c>
      <c r="Y866" s="268">
        <f>IFERROR(INDEX(Rainfall_Dry!$O$2:$O$217,MATCH(B866, Rainfall_Dry!$A$2:$A$217,0)),"")</f>
        <v>171.84818423999999</v>
      </c>
      <c r="Z866" s="257">
        <v>45.96</v>
      </c>
      <c r="AA866" s="257">
        <v>14.920000000000003</v>
      </c>
      <c r="AB866" s="257">
        <v>39.119999999999997</v>
      </c>
      <c r="AC866" s="258" t="s">
        <v>2657</v>
      </c>
      <c r="AD866" s="257">
        <v>2.0374568753080333</v>
      </c>
      <c r="AE866">
        <f>IF('WetLitterbags placem_collection'!AB207="","",'WetLitterbags placem_collection'!AB207)</f>
        <v>5.13</v>
      </c>
      <c r="AF866">
        <f>IF('WetLitterbags placem_collection'!Z207="","",'WetLitterbags placem_collection'!Z207)</f>
        <v>5.13</v>
      </c>
      <c r="AG866" s="243" t="str">
        <f>IF('WetLitterbags placem_collection'!AA207="","",'WetLitterbags placem_collection'!AA207)</f>
        <v>O</v>
      </c>
      <c r="AH866">
        <f>IF('WetLitterbags placem_collection'!AC207="","",'WetLitterbags placem_collection'!AC207)</f>
        <v>1</v>
      </c>
      <c r="AI866">
        <f>IFERROR(AVERAGE('Dry_Litterbag Placem_Collection'!O207,'Dry_Litterbag Placem_Collection'!R207),"")</f>
        <v>7.9499999999999993</v>
      </c>
      <c r="AJ866" s="268">
        <f>IFERROR(AVERAGE('Dry_Litterbag Placem_Collection'!N207,'Dry_Litterbag Placem_Collection'!Q207),"")</f>
        <v>29.05</v>
      </c>
      <c r="AK866">
        <v>-2.4396450349999999</v>
      </c>
      <c r="AL866">
        <v>34.83836599</v>
      </c>
      <c r="AM866" s="267" t="str">
        <f>IF(ISNUMBER(SEARCH("C", 'Dry_Litterbag Placem_Collection'!V207)),"YES","NO")</f>
        <v>NO</v>
      </c>
      <c r="AN866" s="267" t="str">
        <f>IF(ISNUMBER(SEARCH("H", 'Dry_Litterbag Placem_Collection'!V207)),"YES","NO")</f>
        <v>NO</v>
      </c>
      <c r="AO866" s="267" t="str">
        <f>IF(ISNUMBER(SEARCH("R", 'Dry_Litterbag Placem_Collection'!V207)),"YES","NO")</f>
        <v>YES</v>
      </c>
    </row>
    <row r="867" spans="1:41" ht="15" customHeight="1">
      <c r="A867" s="259" t="s">
        <v>2643</v>
      </c>
      <c r="B867" s="260">
        <f>'Dry_Litterbag Placem_Collection'!A208</f>
        <v>206</v>
      </c>
      <c r="C867" s="260" t="str">
        <f>'Dry_Litterbag Placem_Collection'!B208</f>
        <v xml:space="preserve">Mwantimba
</v>
      </c>
      <c r="D867" s="260" t="s">
        <v>2454</v>
      </c>
      <c r="E867" s="260" t="s">
        <v>2512</v>
      </c>
      <c r="F867" s="260">
        <v>1</v>
      </c>
      <c r="G867" s="260" t="s">
        <v>3817</v>
      </c>
      <c r="H867" s="261" t="str">
        <f>'Dry_Litterbag Placem_Collection'!C208</f>
        <v>Wet_Ag2_CG1</v>
      </c>
      <c r="I867" s="270" t="s">
        <v>3630</v>
      </c>
      <c r="J867" s="271" t="s">
        <v>298</v>
      </c>
      <c r="K867" s="260" t="str">
        <f>IF(ISBLANK('Dry_Litterbag Placem_Collection'!M208),"","R"&amp;""&amp;'Dry_Litterbag Placem_Collection'!M208)</f>
        <v>R284</v>
      </c>
      <c r="L867" s="264">
        <f>IFERROR(INDEX('Green_rooibos initial weight'!$C$5:$C$2000,MATCH(K867, 'Green_rooibos initial weight'!$A$5:$A$2000,0)),"")</f>
        <v>2.2480000000000002</v>
      </c>
      <c r="M867" s="264">
        <f>IFERROR(L867-(TBIcalc!$Q$9+TBIcalc!$Q$10),"")</f>
        <v>1.9982000000000002</v>
      </c>
      <c r="N867" s="385">
        <f>AVERAGE(Ashed_controlls!$K$12:$K$14)</f>
        <v>2.2816647271287041</v>
      </c>
      <c r="O867" s="264">
        <f t="shared" si="66"/>
        <v>1.9526077754225144</v>
      </c>
      <c r="P867" s="264">
        <f>IFERROR(INDEX('Both teabags AfterDry'!$D$2:$D$2000,MATCH(K867,'Both teabags AfterDry'!$A$2:$A$2000,0)),"")</f>
        <v>1.6192</v>
      </c>
      <c r="Q867" s="264">
        <f>IFERROR(IF(P867&gt;0,P867-(TBIcalc!$Q$9),""),"")</f>
        <v>1.4685999999999999</v>
      </c>
      <c r="R867" s="275">
        <f>IFERROR(INDEX('Ashed teabags dry'!$K$2:$K$2000,MATCH(K867,'Ashed teabags dry'!$A$2:$A$2000,0)),"")</f>
        <v>10.038797284189567</v>
      </c>
      <c r="S867" s="275">
        <f t="shared" si="67"/>
        <v>1.321170223084392</v>
      </c>
      <c r="T867" s="265">
        <f>IF('Dry_Litterbag Placem_Collection'!E208="","",'Dry_Litterbag Placem_Collection'!E208)</f>
        <v>42942</v>
      </c>
      <c r="U867" s="265">
        <f>IF('Dry_Litterbag Placem_Collection'!G208="","",'Dry_Litterbag Placem_Collection'!G208)</f>
        <v>43004</v>
      </c>
      <c r="V867" s="266">
        <f t="shared" si="65"/>
        <v>62</v>
      </c>
      <c r="W867" s="264">
        <f t="shared" si="68"/>
        <v>0.52960000000000029</v>
      </c>
      <c r="X867" s="264">
        <f t="shared" si="69"/>
        <v>0.63143755233812238</v>
      </c>
      <c r="Y867" s="268">
        <f>IFERROR(INDEX(Rainfall_Dry!$O$2:$O$217,MATCH(B867, Rainfall_Dry!$A$2:$A$217,0)),"")</f>
        <v>171.84818423999999</v>
      </c>
      <c r="Z867" s="257">
        <v>34.344660194174757</v>
      </c>
      <c r="AA867" s="257">
        <v>19.22727272727273</v>
      </c>
      <c r="AB867" s="257">
        <v>46.428067078552509</v>
      </c>
      <c r="AC867" s="258" t="s">
        <v>2654</v>
      </c>
      <c r="AD867" s="257">
        <v>1.7452932479053718</v>
      </c>
      <c r="AE867">
        <f>IF('WetLitterbags placem_collection'!AB208="","",'WetLitterbags placem_collection'!AB208)</f>
        <v>13.8</v>
      </c>
      <c r="AF867">
        <f>IF('WetLitterbags placem_collection'!Z208="","",'WetLitterbags placem_collection'!Z208)</f>
        <v>17.399999999999999</v>
      </c>
      <c r="AG867" s="243" t="str">
        <f>IF('WetLitterbags placem_collection'!AA208="","",'WetLitterbags placem_collection'!AA208)</f>
        <v>O</v>
      </c>
      <c r="AH867">
        <f>IF('WetLitterbags placem_collection'!AC208="","",'WetLitterbags placem_collection'!AC208)</f>
        <v>1</v>
      </c>
      <c r="AI867">
        <f>IFERROR(AVERAGE('Dry_Litterbag Placem_Collection'!O208,'Dry_Litterbag Placem_Collection'!R208),"")</f>
        <v>6.4</v>
      </c>
      <c r="AJ867" s="268">
        <f>IFERROR(AVERAGE('Dry_Litterbag Placem_Collection'!N208,'Dry_Litterbag Placem_Collection'!Q208),"")</f>
        <v>27.799999999999997</v>
      </c>
      <c r="AK867">
        <v>-2.439403972</v>
      </c>
      <c r="AL867">
        <v>34.838404959999998</v>
      </c>
      <c r="AM867" s="267" t="str">
        <f>IF(ISNUMBER(SEARCH("C", 'Dry_Litterbag Placem_Collection'!V208)),"YES","NO")</f>
        <v>NO</v>
      </c>
      <c r="AN867" s="267" t="str">
        <f>IF(ISNUMBER(SEARCH("H", 'Dry_Litterbag Placem_Collection'!V208)),"YES","NO")</f>
        <v>NO</v>
      </c>
      <c r="AO867" s="267" t="str">
        <f>IF(ISNUMBER(SEARCH("R", 'Dry_Litterbag Placem_Collection'!V208)),"YES","NO")</f>
        <v>YES</v>
      </c>
    </row>
    <row r="868" spans="1:41" ht="15" customHeight="1">
      <c r="A868" s="259" t="s">
        <v>2643</v>
      </c>
      <c r="B868" s="260">
        <f>'Dry_Litterbag Placem_Collection'!A209</f>
        <v>207</v>
      </c>
      <c r="C868" s="260" t="str">
        <f>'Dry_Litterbag Placem_Collection'!B209</f>
        <v xml:space="preserve">Mwantimba
</v>
      </c>
      <c r="D868" s="260" t="s">
        <v>2454</v>
      </c>
      <c r="E868" s="260" t="s">
        <v>2512</v>
      </c>
      <c r="F868" s="260">
        <v>4</v>
      </c>
      <c r="G868" s="260" t="s">
        <v>3818</v>
      </c>
      <c r="H868" s="261" t="str">
        <f>'Dry_Litterbag Placem_Collection'!C209</f>
        <v>Wet_Ag3_CG4</v>
      </c>
      <c r="I868" s="270" t="s">
        <v>3630</v>
      </c>
      <c r="J868" s="271" t="s">
        <v>298</v>
      </c>
      <c r="K868" s="260" t="str">
        <f>IF(ISBLANK('Dry_Litterbag Placem_Collection'!M209),"","R"&amp;""&amp;'Dry_Litterbag Placem_Collection'!M209)</f>
        <v>R604</v>
      </c>
      <c r="L868" s="264">
        <f>IFERROR(INDEX('Green_rooibos initial weight'!$C$5:$C$2000,MATCH(K868, 'Green_rooibos initial weight'!$A$5:$A$2000,0)),"")</f>
        <v>2.1230000000000002</v>
      </c>
      <c r="M868" s="264">
        <f>IFERROR(L868-(TBIcalc!$Q$9+TBIcalc!$Q$10),"")</f>
        <v>1.8732000000000002</v>
      </c>
      <c r="N868" s="385">
        <f>AVERAGE(Ashed_controlls!$K$12:$K$14)</f>
        <v>2.2816647271287041</v>
      </c>
      <c r="O868" s="264">
        <f t="shared" si="66"/>
        <v>1.8304598563314254</v>
      </c>
      <c r="P868" s="264">
        <f>IFERROR(INDEX('Both teabags AfterDry'!$D$2:$D$2000,MATCH(K868,'Both teabags AfterDry'!$A$2:$A$2000,0)),"")</f>
        <v>1.615</v>
      </c>
      <c r="Q868" s="264">
        <f>IFERROR(IF(P868&gt;0,P868-(TBIcalc!$Q$9),""),"")</f>
        <v>1.4643999999999999</v>
      </c>
      <c r="R868" s="275">
        <f>IFERROR(INDEX('Ashed teabags dry'!$K$2:$K$2000,MATCH(K868,'Ashed teabags dry'!$A$2:$A$2000,0)),"")</f>
        <v>3.5497431106958826</v>
      </c>
      <c r="S868" s="275">
        <f t="shared" si="67"/>
        <v>1.4124175618869694</v>
      </c>
      <c r="T868" s="265">
        <f>IF('Dry_Litterbag Placem_Collection'!E209="","",'Dry_Litterbag Placem_Collection'!E209)</f>
        <v>42942</v>
      </c>
      <c r="U868" s="265">
        <f>IF('Dry_Litterbag Placem_Collection'!G209="","",'Dry_Litterbag Placem_Collection'!G209)</f>
        <v>43004</v>
      </c>
      <c r="V868" s="266">
        <f t="shared" si="65"/>
        <v>62</v>
      </c>
      <c r="W868" s="264">
        <f t="shared" si="68"/>
        <v>0.40880000000000027</v>
      </c>
      <c r="X868" s="264">
        <f t="shared" si="69"/>
        <v>0.41804229444445595</v>
      </c>
      <c r="Y868" s="268">
        <f>IFERROR(INDEX(Rainfall_Dry!$O$2:$O$217,MATCH(B868, Rainfall_Dry!$A$2:$A$217,0)),"")</f>
        <v>171.84818423999999</v>
      </c>
      <c r="Z868" s="257">
        <v>27.96</v>
      </c>
      <c r="AA868" s="257">
        <v>4.9200000000000017</v>
      </c>
      <c r="AB868" s="257">
        <v>67.12</v>
      </c>
      <c r="AC868" s="258" t="s">
        <v>2654</v>
      </c>
      <c r="AD868" s="257">
        <v>0.88610152784622953</v>
      </c>
      <c r="AE868">
        <f>IF('WetLitterbags placem_collection'!AB209="","",'WetLitterbags placem_collection'!AB209)</f>
        <v>15.2</v>
      </c>
      <c r="AF868">
        <f>IF('WetLitterbags placem_collection'!Z209="","",'WetLitterbags placem_collection'!Z209)</f>
        <v>12.2</v>
      </c>
      <c r="AG868" s="243" t="str">
        <f>IF('WetLitterbags placem_collection'!AA209="","",'WetLitterbags placem_collection'!AA209)</f>
        <v>O</v>
      </c>
      <c r="AH868">
        <f>IF('WetLitterbags placem_collection'!AC209="","",'WetLitterbags placem_collection'!AC209)</f>
        <v>1</v>
      </c>
      <c r="AI868">
        <f>IFERROR(AVERAGE('Dry_Litterbag Placem_Collection'!O209,'Dry_Litterbag Placem_Collection'!R209),"")</f>
        <v>4.3</v>
      </c>
      <c r="AJ868" s="268">
        <f>IFERROR(AVERAGE('Dry_Litterbag Placem_Collection'!N209,'Dry_Litterbag Placem_Collection'!Q209),"")</f>
        <v>29.6</v>
      </c>
      <c r="AK868">
        <v>-2.4396949910000001</v>
      </c>
      <c r="AL868">
        <v>34.838574029999997</v>
      </c>
      <c r="AM868" s="267" t="str">
        <f>IF(ISNUMBER(SEARCH("C", 'Dry_Litterbag Placem_Collection'!V209)),"YES","NO")</f>
        <v>NO</v>
      </c>
      <c r="AN868" s="267" t="str">
        <f>IF(ISNUMBER(SEARCH("H", 'Dry_Litterbag Placem_Collection'!V209)),"YES","NO")</f>
        <v>NO</v>
      </c>
      <c r="AO868" s="267" t="str">
        <f>IF(ISNUMBER(SEARCH("R", 'Dry_Litterbag Placem_Collection'!V209)),"YES","NO")</f>
        <v>YES</v>
      </c>
    </row>
    <row r="869" spans="1:41" ht="15" customHeight="1">
      <c r="A869" s="259" t="s">
        <v>2643</v>
      </c>
      <c r="B869" s="260">
        <f>'Dry_Litterbag Placem_Collection'!A210</f>
        <v>208</v>
      </c>
      <c r="C869" s="260" t="str">
        <f>'Dry_Litterbag Placem_Collection'!B210</f>
        <v xml:space="preserve">Mwantimba
</v>
      </c>
      <c r="D869" s="260" t="s">
        <v>2454</v>
      </c>
      <c r="E869" s="260" t="s">
        <v>2512</v>
      </c>
      <c r="F869" s="260">
        <v>3</v>
      </c>
      <c r="G869" s="260" t="s">
        <v>3819</v>
      </c>
      <c r="H869" s="261" t="str">
        <f>'Dry_Litterbag Placem_Collection'!C210</f>
        <v>Wet_Ag4_CG3</v>
      </c>
      <c r="I869" s="270" t="s">
        <v>3630</v>
      </c>
      <c r="J869" s="271" t="s">
        <v>298</v>
      </c>
      <c r="K869" s="260" t="str">
        <f>IF(ISBLANK('Dry_Litterbag Placem_Collection'!M210),"","R"&amp;""&amp;'Dry_Litterbag Placem_Collection'!M210)</f>
        <v>R625</v>
      </c>
      <c r="L869" s="264">
        <f>IFERROR(INDEX('Green_rooibos initial weight'!$C$5:$C$2000,MATCH(K869, 'Green_rooibos initial weight'!$A$5:$A$2000,0)),"")</f>
        <v>2.1589999999999998</v>
      </c>
      <c r="M869" s="264">
        <f>IFERROR(L869-(TBIcalc!$Q$9+TBIcalc!$Q$10),"")</f>
        <v>1.9091999999999998</v>
      </c>
      <c r="N869" s="385">
        <f>AVERAGE(Ashed_controlls!$K$12:$K$14)</f>
        <v>2.2816647271287041</v>
      </c>
      <c r="O869" s="264">
        <f t="shared" si="66"/>
        <v>1.8656384570296585</v>
      </c>
      <c r="P869" s="264">
        <f>IFERROR(INDEX('Both teabags AfterDry'!$D$2:$D$2000,MATCH(K869,'Both teabags AfterDry'!$A$2:$A$2000,0)),"")</f>
        <v>1.6539999999999999</v>
      </c>
      <c r="Q869" s="264">
        <f>IFERROR(IF(P869&gt;0,P869-(TBIcalc!$Q$9),""),"")</f>
        <v>1.5033999999999998</v>
      </c>
      <c r="R869" s="275">
        <f>IFERROR(INDEX('Ashed teabags dry'!$K$2:$K$2000,MATCH(K869,'Ashed teabags dry'!$A$2:$A$2000,0)),"")</f>
        <v>7.8721374045796031</v>
      </c>
      <c r="S869" s="275">
        <f t="shared" si="67"/>
        <v>1.3850502862595502</v>
      </c>
      <c r="T869" s="265">
        <f>IF('Dry_Litterbag Placem_Collection'!E210="","",'Dry_Litterbag Placem_Collection'!E210)</f>
        <v>42942</v>
      </c>
      <c r="U869" s="265">
        <f>IF('Dry_Litterbag Placem_Collection'!G210="","",'Dry_Litterbag Placem_Collection'!G210)</f>
        <v>43004</v>
      </c>
      <c r="V869" s="266">
        <f t="shared" si="65"/>
        <v>62</v>
      </c>
      <c r="W869" s="264">
        <f t="shared" si="68"/>
        <v>0.40579999999999994</v>
      </c>
      <c r="X869" s="264">
        <f t="shared" si="69"/>
        <v>0.48058817077010829</v>
      </c>
      <c r="Y869" s="268">
        <f>IFERROR(INDEX(Rainfall_Dry!$O$2:$O$217,MATCH(B869, Rainfall_Dry!$A$2:$A$217,0)),"")</f>
        <v>171.84818423999999</v>
      </c>
      <c r="Z869" s="257">
        <v>17.96</v>
      </c>
      <c r="AA869" s="257">
        <v>4.9199999999999982</v>
      </c>
      <c r="AB869" s="257">
        <v>77.12</v>
      </c>
      <c r="AC869" s="258" t="s">
        <v>2655</v>
      </c>
      <c r="AD869" s="257">
        <v>2.0220798422868409</v>
      </c>
      <c r="AE869">
        <f>IF('WetLitterbags placem_collection'!AB210="","",'WetLitterbags placem_collection'!AB210)</f>
        <v>7.9</v>
      </c>
      <c r="AF869">
        <f>IF('WetLitterbags placem_collection'!Z210="","",'WetLitterbags placem_collection'!Z210)</f>
        <v>7.9</v>
      </c>
      <c r="AG869" s="243" t="str">
        <f>IF('WetLitterbags placem_collection'!AA210="","",'WetLitterbags placem_collection'!AA210)</f>
        <v>O</v>
      </c>
      <c r="AH869">
        <f>IF('WetLitterbags placem_collection'!AC210="","",'WetLitterbags placem_collection'!AC210)</f>
        <v>1</v>
      </c>
      <c r="AI869">
        <f>IFERROR(AVERAGE('Dry_Litterbag Placem_Collection'!O210,'Dry_Litterbag Placem_Collection'!R210),"")</f>
        <v>6.2</v>
      </c>
      <c r="AJ869" s="268">
        <f>IFERROR(AVERAGE('Dry_Litterbag Placem_Collection'!N210,'Dry_Litterbag Placem_Collection'!Q210),"")</f>
        <v>29.1</v>
      </c>
      <c r="AK869">
        <v>-2.4395990190000001</v>
      </c>
      <c r="AL869">
        <v>34.838418959999998</v>
      </c>
      <c r="AM869" s="267" t="str">
        <f>IF(ISNUMBER(SEARCH("C", 'Dry_Litterbag Placem_Collection'!V210)),"YES","NO")</f>
        <v>NO</v>
      </c>
      <c r="AN869" s="267" t="str">
        <f>IF(ISNUMBER(SEARCH("H", 'Dry_Litterbag Placem_Collection'!V210)),"YES","NO")</f>
        <v>NO</v>
      </c>
      <c r="AO869" s="267" t="str">
        <f>IF(ISNUMBER(SEARCH("R", 'Dry_Litterbag Placem_Collection'!V210)),"YES","NO")</f>
        <v>YES</v>
      </c>
    </row>
    <row r="870" spans="1:41" ht="15" customHeight="1">
      <c r="A870" s="259" t="s">
        <v>2643</v>
      </c>
      <c r="B870" s="260">
        <f>'Dry_Litterbag Placem_Collection'!A211</f>
        <v>209</v>
      </c>
      <c r="C870" s="260" t="str">
        <f>'Dry_Litterbag Placem_Collection'!B211</f>
        <v xml:space="preserve">Mwantimba
</v>
      </c>
      <c r="D870" s="260" t="s">
        <v>2454</v>
      </c>
      <c r="E870" s="260" t="s">
        <v>2512</v>
      </c>
      <c r="F870" s="260">
        <v>2</v>
      </c>
      <c r="G870" s="260" t="s">
        <v>3820</v>
      </c>
      <c r="H870" s="261" t="str">
        <f>'Dry_Litterbag Placem_Collection'!C211</f>
        <v>Wet_P1_CG2</v>
      </c>
      <c r="I870" s="270" t="s">
        <v>3630</v>
      </c>
      <c r="J870" s="271" t="s">
        <v>298</v>
      </c>
      <c r="K870" s="260" t="str">
        <f>IF(ISBLANK('Dry_Litterbag Placem_Collection'!M211),"","R"&amp;""&amp;'Dry_Litterbag Placem_Collection'!M211)</f>
        <v>R647</v>
      </c>
      <c r="L870" s="264">
        <f>IFERROR(INDEX('Green_rooibos initial weight'!$C$5:$C$2000,MATCH(K870, 'Green_rooibos initial weight'!$A$5:$A$2000,0)),"")</f>
        <v>2.1640000000000001</v>
      </c>
      <c r="M870" s="264">
        <f>IFERROR(L870-(TBIcalc!$Q$9+TBIcalc!$Q$10),"")</f>
        <v>1.9142000000000001</v>
      </c>
      <c r="N870" s="385">
        <f>AVERAGE(Ashed_controlls!$K$12:$K$14)</f>
        <v>2.2816647271287041</v>
      </c>
      <c r="O870" s="264">
        <f t="shared" si="66"/>
        <v>1.8705243737933024</v>
      </c>
      <c r="P870" s="264">
        <f>IFERROR(INDEX('Both teabags AfterDry'!$D$2:$D$2000,MATCH(K870,'Both teabags AfterDry'!$A$2:$A$2000,0)),"")</f>
        <v>1.6881999999999999</v>
      </c>
      <c r="Q870" s="264">
        <f>IFERROR(IF(P870&gt;0,P870-(TBIcalc!$Q$9),""),"")</f>
        <v>1.5375999999999999</v>
      </c>
      <c r="R870" s="275">
        <f>IFERROR(INDEX('Ashed teabags dry'!$K$2:$K$2000,MATCH(K870,'Ashed teabags dry'!$A$2:$A$2000,0)),"")</f>
        <v>3.8888888888889466</v>
      </c>
      <c r="S870" s="275">
        <f t="shared" si="67"/>
        <v>1.4778044444444434</v>
      </c>
      <c r="T870" s="265">
        <f>IF('Dry_Litterbag Placem_Collection'!E211="","",'Dry_Litterbag Placem_Collection'!E211)</f>
        <v>42942</v>
      </c>
      <c r="U870" s="265">
        <f>IF('Dry_Litterbag Placem_Collection'!G211="","",'Dry_Litterbag Placem_Collection'!G211)</f>
        <v>43004</v>
      </c>
      <c r="V870" s="266">
        <f t="shared" si="65"/>
        <v>62</v>
      </c>
      <c r="W870" s="264">
        <f t="shared" si="68"/>
        <v>0.37660000000000027</v>
      </c>
      <c r="X870" s="264">
        <f t="shared" si="69"/>
        <v>0.39271992934885902</v>
      </c>
      <c r="Y870" s="268">
        <f>IFERROR(INDEX(Rainfall_Dry!$O$2:$O$217,MATCH(B870, Rainfall_Dry!$A$2:$A$217,0)),"")</f>
        <v>171.84818423999999</v>
      </c>
      <c r="Z870" s="257">
        <v>31.214836424255054</v>
      </c>
      <c r="AA870" s="257">
        <v>11.377370285476141</v>
      </c>
      <c r="AB870" s="257">
        <v>57.407793290268799</v>
      </c>
      <c r="AC870" s="258" t="s">
        <v>2654</v>
      </c>
      <c r="AD870" s="257">
        <v>1.7337604731394776</v>
      </c>
      <c r="AE870">
        <f>IF('WetLitterbags placem_collection'!AB211="","",'WetLitterbags placem_collection'!AB211)</f>
        <v>5.13</v>
      </c>
      <c r="AF870">
        <f>IF('WetLitterbags placem_collection'!Z211="","",'WetLitterbags placem_collection'!Z211)</f>
        <v>5.13</v>
      </c>
      <c r="AG870" s="243" t="str">
        <f>IF('WetLitterbags placem_collection'!AA211="","",'WetLitterbags placem_collection'!AA211)</f>
        <v>O</v>
      </c>
      <c r="AH870">
        <f>IF('WetLitterbags placem_collection'!AC211="","",'WetLitterbags placem_collection'!AC211)</f>
        <v>1</v>
      </c>
      <c r="AI870">
        <f>IFERROR(AVERAGE('Dry_Litterbag Placem_Collection'!O211,'Dry_Litterbag Placem_Collection'!R211),"")</f>
        <v>8.6000000000000014</v>
      </c>
      <c r="AJ870" s="268">
        <f>IFERROR(AVERAGE('Dry_Litterbag Placem_Collection'!N211,'Dry_Litterbag Placem_Collection'!Q211),"")</f>
        <v>29.6</v>
      </c>
      <c r="AK870">
        <v>-2.4396450349999999</v>
      </c>
      <c r="AL870">
        <v>34.83836599</v>
      </c>
      <c r="AM870" s="267" t="str">
        <f>IF(ISNUMBER(SEARCH("C", 'Dry_Litterbag Placem_Collection'!V211)),"YES","NO")</f>
        <v>NO</v>
      </c>
      <c r="AN870" s="267" t="str">
        <f>IF(ISNUMBER(SEARCH("H", 'Dry_Litterbag Placem_Collection'!V211)),"YES","NO")</f>
        <v>NO</v>
      </c>
      <c r="AO870" s="267" t="str">
        <f>IF(ISNUMBER(SEARCH("R", 'Dry_Litterbag Placem_Collection'!V211)),"YES","NO")</f>
        <v>YES</v>
      </c>
    </row>
    <row r="871" spans="1:41" ht="15" customHeight="1">
      <c r="A871" s="259" t="s">
        <v>2643</v>
      </c>
      <c r="B871" s="260">
        <f>'Dry_Litterbag Placem_Collection'!A212</f>
        <v>210</v>
      </c>
      <c r="C871" s="260" t="str">
        <f>'Dry_Litterbag Placem_Collection'!B212</f>
        <v xml:space="preserve">Mwantimba
</v>
      </c>
      <c r="D871" s="260" t="s">
        <v>2454</v>
      </c>
      <c r="E871" s="260" t="s">
        <v>2512</v>
      </c>
      <c r="F871" s="260">
        <v>4</v>
      </c>
      <c r="G871" s="260" t="s">
        <v>3822</v>
      </c>
      <c r="H871" s="261" t="str">
        <f>'Dry_Litterbag Placem_Collection'!C212</f>
        <v>Wet_P2_CG4</v>
      </c>
      <c r="I871" s="270" t="s">
        <v>3630</v>
      </c>
      <c r="J871" s="271" t="s">
        <v>298</v>
      </c>
      <c r="K871" s="260" t="str">
        <f>IF(ISBLANK('Dry_Litterbag Placem_Collection'!M212),"","R"&amp;""&amp;'Dry_Litterbag Placem_Collection'!M212)</f>
        <v>R599</v>
      </c>
      <c r="L871" s="264">
        <f>IFERROR(INDEX('Green_rooibos initial weight'!$C$5:$C$2000,MATCH(K871, 'Green_rooibos initial weight'!$A$5:$A$2000,0)),"")</f>
        <v>2.1760000000000002</v>
      </c>
      <c r="M871" s="264">
        <f>IFERROR(L871-(TBIcalc!$Q$9+TBIcalc!$Q$10),"")</f>
        <v>1.9262000000000001</v>
      </c>
      <c r="N871" s="385">
        <f>AVERAGE(Ashed_controlls!$K$12:$K$14)</f>
        <v>2.2816647271287041</v>
      </c>
      <c r="O871" s="264">
        <f t="shared" si="66"/>
        <v>1.8822505740260471</v>
      </c>
      <c r="P871" s="264">
        <f>IFERROR(INDEX('Both teabags AfterDry'!$D$2:$D$2000,MATCH(K871,'Both teabags AfterDry'!$A$2:$A$2000,0)),"")</f>
        <v>1.742</v>
      </c>
      <c r="Q871" s="264">
        <f>IFERROR(IF(P871&gt;0,P871-(TBIcalc!$Q$9),""),"")</f>
        <v>1.5913999999999999</v>
      </c>
      <c r="R871" s="275">
        <f>IFERROR(INDEX('Ashed teabags dry'!$K$2:$K$2000,MATCH(K871,'Ashed teabags dry'!$A$2:$A$2000,0)),"")</f>
        <v>3.5837651122624985</v>
      </c>
      <c r="S871" s="275">
        <f t="shared" si="67"/>
        <v>1.5343679620034545</v>
      </c>
      <c r="T871" s="265">
        <f>IF('Dry_Litterbag Placem_Collection'!E212="","",'Dry_Litterbag Placem_Collection'!E212)</f>
        <v>42942</v>
      </c>
      <c r="U871" s="265">
        <f>IF('Dry_Litterbag Placem_Collection'!G212="","",'Dry_Litterbag Placem_Collection'!G212)</f>
        <v>43004</v>
      </c>
      <c r="V871" s="266">
        <f t="shared" si="65"/>
        <v>62</v>
      </c>
      <c r="W871" s="264">
        <f t="shared" si="68"/>
        <v>0.33480000000000021</v>
      </c>
      <c r="X871" s="264">
        <f t="shared" si="69"/>
        <v>0.34788261202259263</v>
      </c>
      <c r="Y871" s="268">
        <f>IFERROR(INDEX(Rainfall_Dry!$O$2:$O$217,MATCH(B871, Rainfall_Dry!$A$2:$A$217,0)),"")</f>
        <v>171.84818423999999</v>
      </c>
      <c r="Z871" s="257">
        <v>33.96</v>
      </c>
      <c r="AA871" s="257">
        <v>8.9200000000000017</v>
      </c>
      <c r="AB871" s="257">
        <v>57.12</v>
      </c>
      <c r="AC871" s="258" t="s">
        <v>2654</v>
      </c>
      <c r="AD871" s="257">
        <v>2.072055199605717</v>
      </c>
      <c r="AE871">
        <f>IF('WetLitterbags placem_collection'!AB212="","",'WetLitterbags placem_collection'!AB212)</f>
        <v>15.2</v>
      </c>
      <c r="AF871">
        <f>IF('WetLitterbags placem_collection'!Z212="","",'WetLitterbags placem_collection'!Z212)</f>
        <v>12.2</v>
      </c>
      <c r="AG871" s="243" t="str">
        <f>IF('WetLitterbags placem_collection'!AA212="","",'WetLitterbags placem_collection'!AA212)</f>
        <v>O</v>
      </c>
      <c r="AH871">
        <f>IF('WetLitterbags placem_collection'!AC212="","",'WetLitterbags placem_collection'!AC212)</f>
        <v>1</v>
      </c>
      <c r="AI871">
        <f>IFERROR(AVERAGE('Dry_Litterbag Placem_Collection'!O212,'Dry_Litterbag Placem_Collection'!R212),"")</f>
        <v>6.1</v>
      </c>
      <c r="AJ871" s="268">
        <f>IFERROR(AVERAGE('Dry_Litterbag Placem_Collection'!N212,'Dry_Litterbag Placem_Collection'!Q212),"")</f>
        <v>27.5</v>
      </c>
      <c r="AK871">
        <v>-2.4396949910000001</v>
      </c>
      <c r="AL871">
        <v>34.838574029999997</v>
      </c>
      <c r="AM871" s="267" t="str">
        <f>IF(ISNUMBER(SEARCH("C", 'Dry_Litterbag Placem_Collection'!V212)),"YES","NO")</f>
        <v>NO</v>
      </c>
      <c r="AN871" s="267" t="str">
        <f>IF(ISNUMBER(SEARCH("H", 'Dry_Litterbag Placem_Collection'!V212)),"YES","NO")</f>
        <v>NO</v>
      </c>
      <c r="AO871" s="267" t="str">
        <f>IF(ISNUMBER(SEARCH("R", 'Dry_Litterbag Placem_Collection'!V212)),"YES","NO")</f>
        <v>NO</v>
      </c>
    </row>
    <row r="872" spans="1:41" ht="15" customHeight="1">
      <c r="A872" s="259" t="s">
        <v>2643</v>
      </c>
      <c r="B872" s="260">
        <f>'Dry_Litterbag Placem_Collection'!A213</f>
        <v>211</v>
      </c>
      <c r="C872" s="260" t="str">
        <f>'Dry_Litterbag Placem_Collection'!B213</f>
        <v xml:space="preserve">Mwantimba
</v>
      </c>
      <c r="D872" s="260" t="s">
        <v>2454</v>
      </c>
      <c r="E872" s="260" t="s">
        <v>2512</v>
      </c>
      <c r="F872" s="260">
        <v>1</v>
      </c>
      <c r="G872" s="260" t="s">
        <v>3823</v>
      </c>
      <c r="H872" s="261" t="str">
        <f>'Dry_Litterbag Placem_Collection'!C213</f>
        <v>Wet_P3_CG1</v>
      </c>
      <c r="I872" s="270" t="s">
        <v>3630</v>
      </c>
      <c r="J872" s="271" t="s">
        <v>298</v>
      </c>
      <c r="K872" s="260" t="str">
        <f>IF(ISBLANK('Dry_Litterbag Placem_Collection'!M213),"","R"&amp;""&amp;'Dry_Litterbag Placem_Collection'!M213)</f>
        <v>R670</v>
      </c>
      <c r="L872" s="264">
        <f>IFERROR(INDEX('Green_rooibos initial weight'!$C$5:$C$2000,MATCH(K872, 'Green_rooibos initial weight'!$A$5:$A$2000,0)),"")</f>
        <v>2.1059999999999999</v>
      </c>
      <c r="M872" s="264">
        <f>IFERROR(L872-(TBIcalc!$Q$9+TBIcalc!$Q$10),"")</f>
        <v>1.8561999999999999</v>
      </c>
      <c r="N872" s="385">
        <f>AVERAGE(Ashed_controlls!$K$12:$K$14)</f>
        <v>2.2816647271287041</v>
      </c>
      <c r="O872" s="264">
        <f t="shared" si="66"/>
        <v>1.8138477393350367</v>
      </c>
      <c r="P872" s="264">
        <f>IFERROR(INDEX('Both teabags AfterDry'!$D$2:$D$2000,MATCH(K872,'Both teabags AfterDry'!$A$2:$A$2000,0)),"")</f>
        <v>1.4770000000000001</v>
      </c>
      <c r="Q872" s="264">
        <f>IFERROR(IF(P872&gt;0,P872-(TBIcalc!$Q$9),""),"")</f>
        <v>1.3264</v>
      </c>
      <c r="R872" s="275">
        <f>IFERROR(INDEX('Ashed teabags dry'!$K$2:$K$2000,MATCH(K872,'Ashed teabags dry'!$A$2:$A$2000,0)),"")</f>
        <v>4.1974169741701504</v>
      </c>
      <c r="S872" s="275">
        <f t="shared" si="67"/>
        <v>1.2707254612546071</v>
      </c>
      <c r="T872" s="265">
        <f>IF('Dry_Litterbag Placem_Collection'!E213="","",'Dry_Litterbag Placem_Collection'!E213)</f>
        <v>42942</v>
      </c>
      <c r="U872" s="265">
        <f>IF('Dry_Litterbag Placem_Collection'!G213="","",'Dry_Litterbag Placem_Collection'!G213)</f>
        <v>43004</v>
      </c>
      <c r="V872" s="266">
        <f t="shared" si="65"/>
        <v>62</v>
      </c>
      <c r="W872" s="264">
        <f t="shared" si="68"/>
        <v>0.52979999999999983</v>
      </c>
      <c r="X872" s="264">
        <f t="shared" si="69"/>
        <v>0.54312227808042968</v>
      </c>
      <c r="Y872" s="268">
        <f>IFERROR(INDEX(Rainfall_Dry!$O$2:$O$217,MATCH(B872, Rainfall_Dry!$A$2:$A$217,0)),"")</f>
        <v>171.84818423999999</v>
      </c>
      <c r="Z872" s="257">
        <v>39.96</v>
      </c>
      <c r="AA872" s="257">
        <v>12.920000000000002</v>
      </c>
      <c r="AB872" s="257">
        <v>47.12</v>
      </c>
      <c r="AC872" s="258" t="s">
        <v>2658</v>
      </c>
      <c r="AD872" s="257">
        <v>1.6549531789058647</v>
      </c>
      <c r="AE872">
        <f>IF('WetLitterbags placem_collection'!AB213="","",'WetLitterbags placem_collection'!AB213)</f>
        <v>13.8</v>
      </c>
      <c r="AF872">
        <f>IF('WetLitterbags placem_collection'!Z213="","",'WetLitterbags placem_collection'!Z213)</f>
        <v>17.399999999999999</v>
      </c>
      <c r="AG872" s="243" t="str">
        <f>IF('WetLitterbags placem_collection'!AA213="","",'WetLitterbags placem_collection'!AA213)</f>
        <v>O</v>
      </c>
      <c r="AH872">
        <f>IF('WetLitterbags placem_collection'!AC213="","",'WetLitterbags placem_collection'!AC213)</f>
        <v>1</v>
      </c>
      <c r="AI872">
        <f>IFERROR(AVERAGE('Dry_Litterbag Placem_Collection'!O213,'Dry_Litterbag Placem_Collection'!R213),"")</f>
        <v>7.55</v>
      </c>
      <c r="AJ872" s="268">
        <f>IFERROR(AVERAGE('Dry_Litterbag Placem_Collection'!N213,'Dry_Litterbag Placem_Collection'!Q213),"")</f>
        <v>28</v>
      </c>
      <c r="AK872">
        <v>-2.439403972</v>
      </c>
      <c r="AL872">
        <v>34.838404959999998</v>
      </c>
      <c r="AM872" s="267" t="str">
        <f>IF(ISNUMBER(SEARCH("C", 'Dry_Litterbag Placem_Collection'!V213)),"YES","NO")</f>
        <v>NO</v>
      </c>
      <c r="AN872" s="267" t="str">
        <f>IF(ISNUMBER(SEARCH("H", 'Dry_Litterbag Placem_Collection'!V213)),"YES","NO")</f>
        <v>NO</v>
      </c>
      <c r="AO872" s="267" t="str">
        <f>IF(ISNUMBER(SEARCH("R", 'Dry_Litterbag Placem_Collection'!V213)),"YES","NO")</f>
        <v>NO</v>
      </c>
    </row>
    <row r="873" spans="1:41" ht="15" customHeight="1">
      <c r="A873" s="259" t="s">
        <v>2643</v>
      </c>
      <c r="B873" s="260">
        <f>'Dry_Litterbag Placem_Collection'!A214</f>
        <v>215</v>
      </c>
      <c r="C873" s="260" t="str">
        <f>'Dry_Litterbag Placem_Collection'!B214</f>
        <v xml:space="preserve">Mwantimba
</v>
      </c>
      <c r="D873" s="260" t="s">
        <v>2454</v>
      </c>
      <c r="E873" s="260" t="s">
        <v>2512</v>
      </c>
      <c r="F873" s="260">
        <v>3</v>
      </c>
      <c r="G873" s="260" t="s">
        <v>3828</v>
      </c>
      <c r="H873" s="261" t="str">
        <f>'Dry_Litterbag Placem_Collection'!C214</f>
        <v>Wet_W3_CG1</v>
      </c>
      <c r="I873" s="270" t="s">
        <v>3630</v>
      </c>
      <c r="J873" s="271" t="s">
        <v>298</v>
      </c>
      <c r="K873" s="260" t="str">
        <f>IF(ISBLANK('Dry_Litterbag Placem_Collection'!M214),"","R"&amp;""&amp;'Dry_Litterbag Placem_Collection'!M214)</f>
        <v>R256</v>
      </c>
      <c r="L873" s="264">
        <f>IFERROR(INDEX('Green_rooibos initial weight'!$C$5:$C$2000,MATCH(K873, 'Green_rooibos initial weight'!$A$5:$A$2000,0)),"")</f>
        <v>2.2000000000000002</v>
      </c>
      <c r="M873" s="264">
        <f>IFERROR(L873-(TBIcalc!$Q$9+TBIcalc!$Q$10),"")</f>
        <v>1.9502000000000002</v>
      </c>
      <c r="N873" s="385">
        <f>AVERAGE(Ashed_controlls!$K$12:$K$14)</f>
        <v>2.2816647271287041</v>
      </c>
      <c r="O873" s="264">
        <f t="shared" si="66"/>
        <v>1.9057029744915361</v>
      </c>
      <c r="P873" s="264">
        <f>IFERROR(INDEX('Both teabags AfterDry'!$D$2:$D$2000,MATCH(K873,'Both teabags AfterDry'!$A$2:$A$2000,0)),"")</f>
        <v>1.5882000000000001</v>
      </c>
      <c r="Q873" s="264">
        <f>IFERROR(IF(P873&gt;0,P873-(TBIcalc!$Q$9),""),"")</f>
        <v>1.4376</v>
      </c>
      <c r="R873" s="275">
        <f>IFERROR(INDEX('Ashed teabags dry'!$K$2:$K$2000,MATCH(K873,'Ashed teabags dry'!$A$2:$A$2000,0)),"")</f>
        <v>7.9981069569333094</v>
      </c>
      <c r="S873" s="275">
        <f t="shared" si="67"/>
        <v>1.3226192143871267</v>
      </c>
      <c r="T873" s="265">
        <f>IF('Dry_Litterbag Placem_Collection'!E214="","",'Dry_Litterbag Placem_Collection'!E214)</f>
        <v>42942</v>
      </c>
      <c r="U873" s="265">
        <f>IF('Dry_Litterbag Placem_Collection'!G214="","",'Dry_Litterbag Placem_Collection'!G214)</f>
        <v>43004</v>
      </c>
      <c r="V873" s="266">
        <f t="shared" si="65"/>
        <v>62</v>
      </c>
      <c r="W873" s="264">
        <f t="shared" si="68"/>
        <v>0.51260000000000017</v>
      </c>
      <c r="X873" s="264">
        <f t="shared" si="69"/>
        <v>0.58308376010440943</v>
      </c>
      <c r="Y873" s="268" t="str">
        <f>IFERROR(INDEX(Rainfall_Dry!$O$2:$O$217,MATCH(B873, Rainfall_Dry!$A$2:$A$217,0)),"")</f>
        <v/>
      </c>
      <c r="Z873" s="257">
        <v>27.96</v>
      </c>
      <c r="AA873" s="257">
        <v>4.9200000000000017</v>
      </c>
      <c r="AB873" s="257">
        <v>67.12</v>
      </c>
      <c r="AC873" s="258" t="s">
        <v>2654</v>
      </c>
      <c r="AD873" s="257">
        <v>1.0437161163134547</v>
      </c>
      <c r="AE873">
        <f>IF('WetLitterbags placem_collection'!AB214="","",'WetLitterbags placem_collection'!AB214)</f>
        <v>7.9</v>
      </c>
      <c r="AF873">
        <f>IF('WetLitterbags placem_collection'!Z214="","",'WetLitterbags placem_collection'!Z214)</f>
        <v>7.9</v>
      </c>
      <c r="AG873" s="243" t="str">
        <f>IF('WetLitterbags placem_collection'!AA214="","",'WetLitterbags placem_collection'!AA214)</f>
        <v>O</v>
      </c>
      <c r="AH873">
        <f>IF('WetLitterbags placem_collection'!AC214="","",'WetLitterbags placem_collection'!AC214)</f>
        <v>1</v>
      </c>
      <c r="AI873">
        <f>IFERROR(AVERAGE('Dry_Litterbag Placem_Collection'!O214,'Dry_Litterbag Placem_Collection'!R214),"")</f>
        <v>4.3</v>
      </c>
      <c r="AJ873" s="268">
        <f>IFERROR(AVERAGE('Dry_Litterbag Placem_Collection'!N214,'Dry_Litterbag Placem_Collection'!Q214),"")</f>
        <v>28.75</v>
      </c>
      <c r="AK873">
        <v>-2.4395990190000001</v>
      </c>
      <c r="AL873">
        <v>34.838418959999998</v>
      </c>
      <c r="AM873" s="267" t="str">
        <f>IF(ISNUMBER(SEARCH("C", 'Dry_Litterbag Placem_Collection'!V214)),"YES","NO")</f>
        <v>NO</v>
      </c>
      <c r="AN873" s="267" t="str">
        <f>IF(ISNUMBER(SEARCH("H", 'Dry_Litterbag Placem_Collection'!V214)),"YES","NO")</f>
        <v>NO</v>
      </c>
      <c r="AO873" s="267" t="str">
        <f>IF(ISNUMBER(SEARCH("R", 'Dry_Litterbag Placem_Collection'!V214)),"YES","NO")</f>
        <v>YES</v>
      </c>
    </row>
    <row r="874" spans="1:41" ht="15" customHeight="1">
      <c r="A874" s="259" t="s">
        <v>2643</v>
      </c>
      <c r="B874" s="260">
        <f>'Dry_Litterbag Placem_Collection'!A215</f>
        <v>212</v>
      </c>
      <c r="C874" s="260" t="str">
        <f>'Dry_Litterbag Placem_Collection'!B215</f>
        <v xml:space="preserve">Mwantimba
</v>
      </c>
      <c r="D874" s="260" t="s">
        <v>2454</v>
      </c>
      <c r="E874" s="260" t="s">
        <v>2512</v>
      </c>
      <c r="F874" s="260">
        <v>4</v>
      </c>
      <c r="G874" s="260" t="s">
        <v>3824</v>
      </c>
      <c r="H874" s="261" t="str">
        <f>'Dry_Litterbag Placem_Collection'!C215</f>
        <v>Wet_P4_CG3</v>
      </c>
      <c r="I874" s="270" t="s">
        <v>3630</v>
      </c>
      <c r="J874" s="271" t="s">
        <v>298</v>
      </c>
      <c r="K874" s="260" t="str">
        <f>IF(ISBLANK('Dry_Litterbag Placem_Collection'!M215),"","R"&amp;""&amp;'Dry_Litterbag Placem_Collection'!M215)</f>
        <v>R658</v>
      </c>
      <c r="L874" s="264">
        <f>IFERROR(INDEX('Green_rooibos initial weight'!$C$5:$C$2000,MATCH(K874, 'Green_rooibos initial weight'!$A$5:$A$2000,0)),"")</f>
        <v>2.2080000000000002</v>
      </c>
      <c r="M874" s="264">
        <f>IFERROR(L874-(TBIcalc!$Q$9+TBIcalc!$Q$10),"")</f>
        <v>1.9582000000000002</v>
      </c>
      <c r="N874" s="385">
        <f>AVERAGE(Ashed_controlls!$K$12:$K$14)</f>
        <v>2.2816647271287041</v>
      </c>
      <c r="O874" s="264">
        <f t="shared" si="66"/>
        <v>1.913520441313366</v>
      </c>
      <c r="P874" s="264">
        <f>IFERROR(INDEX('Both teabags AfterDry'!$D$2:$D$2000,MATCH(K874,'Both teabags AfterDry'!$A$2:$A$2000,0)),"")</f>
        <v>1.655</v>
      </c>
      <c r="Q874" s="264">
        <f>IFERROR(IF(P874&gt;0,P874-(TBIcalc!$Q$9),""),"")</f>
        <v>1.5044</v>
      </c>
      <c r="R874" s="275">
        <f>IFERROR(INDEX('Ashed teabags dry'!$K$2:$K$2000,MATCH(K874,'Ashed teabags dry'!$A$2:$A$2000,0)),"")</f>
        <v>3.7141513869305309</v>
      </c>
      <c r="S874" s="275">
        <f t="shared" si="67"/>
        <v>1.4485243065350171</v>
      </c>
      <c r="T874" s="265">
        <f>IF('Dry_Litterbag Placem_Collection'!E215="","",'Dry_Litterbag Placem_Collection'!E215)</f>
        <v>42942</v>
      </c>
      <c r="U874" s="265">
        <f>IF('Dry_Litterbag Placem_Collection'!G215="","",'Dry_Litterbag Placem_Collection'!G215)</f>
        <v>43004</v>
      </c>
      <c r="V874" s="266">
        <f t="shared" si="65"/>
        <v>62</v>
      </c>
      <c r="W874" s="264">
        <f t="shared" si="68"/>
        <v>0.4538000000000002</v>
      </c>
      <c r="X874" s="264">
        <f t="shared" si="69"/>
        <v>0.46499613477834889</v>
      </c>
      <c r="Y874" s="268">
        <f>IFERROR(INDEX(Rainfall_Dry!$O$2:$O$217,MATCH(B874, Rainfall_Dry!$A$2:$A$217,0)),"")</f>
        <v>171.84818423999999</v>
      </c>
      <c r="Z874" s="257">
        <v>21.96</v>
      </c>
      <c r="AA874" s="257">
        <v>4.9199999999999982</v>
      </c>
      <c r="AB874" s="257">
        <v>73.12</v>
      </c>
      <c r="AC874" s="258" t="s">
        <v>2654</v>
      </c>
      <c r="AD874" s="257">
        <v>1.2416954164613114</v>
      </c>
      <c r="AE874">
        <f>IF('WetLitterbags placem_collection'!AB215="","",'WetLitterbags placem_collection'!AB215)</f>
        <v>15.2</v>
      </c>
      <c r="AF874">
        <f>IF('WetLitterbags placem_collection'!Z215="","",'WetLitterbags placem_collection'!Z215)</f>
        <v>12.2</v>
      </c>
      <c r="AG874" s="243" t="str">
        <f>IF('WetLitterbags placem_collection'!AA215="","",'WetLitterbags placem_collection'!AA215)</f>
        <v>O</v>
      </c>
      <c r="AH874">
        <f>IF('WetLitterbags placem_collection'!AC215="","",'WetLitterbags placem_collection'!AC215)</f>
        <v>1</v>
      </c>
      <c r="AI874">
        <f>IFERROR(AVERAGE('Dry_Litterbag Placem_Collection'!O215,'Dry_Litterbag Placem_Collection'!R215),"")</f>
        <v>8.1499999999999986</v>
      </c>
      <c r="AJ874" s="268">
        <f>IFERROR(AVERAGE('Dry_Litterbag Placem_Collection'!N215,'Dry_Litterbag Placem_Collection'!Q215),"")</f>
        <v>28.25</v>
      </c>
      <c r="AK874">
        <v>-2.4396949910000001</v>
      </c>
      <c r="AL874">
        <v>34.838574029999997</v>
      </c>
      <c r="AM874" s="267" t="str">
        <f>IF(ISNUMBER(SEARCH("C", 'Dry_Litterbag Placem_Collection'!V215)),"YES","NO")</f>
        <v>NO</v>
      </c>
      <c r="AN874" s="267" t="str">
        <f>IF(ISNUMBER(SEARCH("H", 'Dry_Litterbag Placem_Collection'!V215)),"YES","NO")</f>
        <v>NO</v>
      </c>
      <c r="AO874" s="267" t="str">
        <f>IF(ISNUMBER(SEARCH("R", 'Dry_Litterbag Placem_Collection'!V215)),"YES","NO")</f>
        <v>YES</v>
      </c>
    </row>
    <row r="875" spans="1:41" ht="15" customHeight="1">
      <c r="A875" s="259" t="s">
        <v>2643</v>
      </c>
      <c r="B875" s="260">
        <f>'Dry_Litterbag Placem_Collection'!A216</f>
        <v>213</v>
      </c>
      <c r="C875" s="260" t="str">
        <f>'Dry_Litterbag Placem_Collection'!B216</f>
        <v>Handajega</v>
      </c>
      <c r="D875" s="260" t="s">
        <v>2454</v>
      </c>
      <c r="E875" s="260" t="s">
        <v>2512</v>
      </c>
      <c r="F875" s="260">
        <v>3</v>
      </c>
      <c r="G875" s="260" t="s">
        <v>3825</v>
      </c>
      <c r="H875" s="261" t="str">
        <f>'Dry_Litterbag Placem_Collection'!C216</f>
        <v>Wet_W1_CG4</v>
      </c>
      <c r="I875" s="270" t="s">
        <v>3630</v>
      </c>
      <c r="J875" s="271" t="s">
        <v>298</v>
      </c>
      <c r="K875" s="260" t="str">
        <f>IF(ISBLANK('Dry_Litterbag Placem_Collection'!M216),"","R"&amp;""&amp;'Dry_Litterbag Placem_Collection'!M216)</f>
        <v>R699</v>
      </c>
      <c r="L875" s="264">
        <f>IFERROR(INDEX('Green_rooibos initial weight'!$C$5:$C$2000,MATCH(K875, 'Green_rooibos initial weight'!$A$5:$A$2000,0)),"")</f>
        <v>2.157</v>
      </c>
      <c r="M875" s="264">
        <f>IFERROR(L875-(TBIcalc!$Q$9+TBIcalc!$Q$10),"")</f>
        <v>1.9072</v>
      </c>
      <c r="N875" s="385">
        <f>AVERAGE(Ashed_controlls!$K$12:$K$14)</f>
        <v>2.2816647271287041</v>
      </c>
      <c r="O875" s="264">
        <f t="shared" si="66"/>
        <v>1.8636840903242013</v>
      </c>
      <c r="P875" s="264">
        <f>IFERROR(INDEX('Both teabags AfterDry'!$D$2:$D$2000,MATCH(K875,'Both teabags AfterDry'!$A$2:$A$2000,0)),"")</f>
        <v>1.748</v>
      </c>
      <c r="Q875" s="264">
        <f>IFERROR(IF(P875&gt;0,P875-(TBIcalc!$Q$9),""),"")</f>
        <v>1.5973999999999999</v>
      </c>
      <c r="R875" s="275">
        <f>IFERROR(INDEX('Ashed teabags dry'!$K$2:$K$2000,MATCH(K875,'Ashed teabags dry'!$A$2:$A$2000,0)),"")</f>
        <v>5.3180914512921857</v>
      </c>
      <c r="S875" s="275">
        <f t="shared" si="67"/>
        <v>1.5124488071570585</v>
      </c>
      <c r="T875" s="265">
        <f>IF('Dry_Litterbag Placem_Collection'!E216="","",'Dry_Litterbag Placem_Collection'!E216)</f>
        <v>42942</v>
      </c>
      <c r="U875" s="265">
        <f>IF('Dry_Litterbag Placem_Collection'!G216="","",'Dry_Litterbag Placem_Collection'!G216)</f>
        <v>43004</v>
      </c>
      <c r="V875" s="266">
        <f t="shared" si="65"/>
        <v>62</v>
      </c>
      <c r="W875" s="264">
        <f t="shared" si="68"/>
        <v>0.30980000000000008</v>
      </c>
      <c r="X875" s="264">
        <f t="shared" si="69"/>
        <v>0.35123528316714281</v>
      </c>
      <c r="Y875" s="268">
        <f>IFERROR(INDEX(Rainfall_Dry!$O$2:$O$217,MATCH(B875, Rainfall_Dry!$A$2:$A$217,0)),"")</f>
        <v>171.84818423999999</v>
      </c>
      <c r="Z875" s="257">
        <v>23.96</v>
      </c>
      <c r="AA875" s="257">
        <v>4.9199999999999982</v>
      </c>
      <c r="AB875" s="257">
        <v>71.12</v>
      </c>
      <c r="AC875" s="258" t="s">
        <v>2654</v>
      </c>
      <c r="AD875" s="257">
        <v>3.30913750616067</v>
      </c>
      <c r="AE875">
        <f>IF('WetLitterbags placem_collection'!AB216="","",'WetLitterbags placem_collection'!AB216)</f>
        <v>7.9</v>
      </c>
      <c r="AF875">
        <f>IF('WetLitterbags placem_collection'!Z216="","",'WetLitterbags placem_collection'!Z216)</f>
        <v>7.9</v>
      </c>
      <c r="AG875" s="243" t="str">
        <f>IF('WetLitterbags placem_collection'!AA216="","",'WetLitterbags placem_collection'!AA216)</f>
        <v>O</v>
      </c>
      <c r="AH875">
        <f>IF('WetLitterbags placem_collection'!AC216="","",'WetLitterbags placem_collection'!AC216)</f>
        <v>1</v>
      </c>
      <c r="AI875">
        <f>IFERROR(AVERAGE('Dry_Litterbag Placem_Collection'!O216,'Dry_Litterbag Placem_Collection'!R216),"")</f>
        <v>4.3499999999999996</v>
      </c>
      <c r="AJ875" s="268">
        <f>IFERROR(AVERAGE('Dry_Litterbag Placem_Collection'!N216,'Dry_Litterbag Placem_Collection'!Q216),"")</f>
        <v>29.1</v>
      </c>
      <c r="AK875">
        <v>-2.4396949910000001</v>
      </c>
      <c r="AL875">
        <v>34.838574029999997</v>
      </c>
      <c r="AM875" s="267" t="str">
        <f>IF(ISNUMBER(SEARCH("C", 'Dry_Litterbag Placem_Collection'!V216)),"YES","NO")</f>
        <v>NO</v>
      </c>
      <c r="AN875" s="267" t="str">
        <f>IF(ISNUMBER(SEARCH("H", 'Dry_Litterbag Placem_Collection'!V216)),"YES","NO")</f>
        <v>NO</v>
      </c>
      <c r="AO875" s="267" t="str">
        <f>IF(ISNUMBER(SEARCH("R", 'Dry_Litterbag Placem_Collection'!V216)),"YES","NO")</f>
        <v>NO</v>
      </c>
    </row>
    <row r="876" spans="1:41" ht="15" customHeight="1">
      <c r="A876" s="259" t="s">
        <v>2643</v>
      </c>
      <c r="B876" s="260">
        <f>'Dry_Litterbag Placem_Collection'!A217</f>
        <v>214</v>
      </c>
      <c r="C876" s="260" t="str">
        <f>'Dry_Litterbag Placem_Collection'!B217</f>
        <v>Handajega</v>
      </c>
      <c r="D876" s="260" t="s">
        <v>2454</v>
      </c>
      <c r="E876" s="260" t="s">
        <v>2512</v>
      </c>
      <c r="F876" s="260">
        <v>1</v>
      </c>
      <c r="G876" s="260" t="s">
        <v>3827</v>
      </c>
      <c r="H876" s="261" t="str">
        <f>'Dry_Litterbag Placem_Collection'!C217</f>
        <v>Wet_W2_CG3</v>
      </c>
      <c r="I876" s="270" t="s">
        <v>3630</v>
      </c>
      <c r="J876" s="271" t="s">
        <v>298</v>
      </c>
      <c r="K876" s="260" t="str">
        <f>IF(ISBLANK('Dry_Litterbag Placem_Collection'!M217),"","R"&amp;""&amp;'Dry_Litterbag Placem_Collection'!M217)</f>
        <v>R663</v>
      </c>
      <c r="L876" s="264">
        <f>IFERROR(INDEX('Green_rooibos initial weight'!$C$5:$C$2000,MATCH(K876, 'Green_rooibos initial weight'!$A$5:$A$2000,0)),"")</f>
        <v>2.105</v>
      </c>
      <c r="M876" s="264">
        <f>IFERROR(L876-(TBIcalc!$Q$9+TBIcalc!$Q$10),"")</f>
        <v>1.8552</v>
      </c>
      <c r="N876" s="385">
        <f>AVERAGE(Ashed_controlls!$K$12:$K$14)</f>
        <v>2.2816647271287041</v>
      </c>
      <c r="O876" s="264">
        <f t="shared" si="66"/>
        <v>1.8128705559823082</v>
      </c>
      <c r="P876" s="264">
        <f>IFERROR(INDEX('Both teabags AfterDry'!$D$2:$D$2000,MATCH(K876,'Both teabags AfterDry'!$A$2:$A$2000,0)),"")</f>
        <v>1.6679999999999999</v>
      </c>
      <c r="Q876" s="264">
        <f>IFERROR(IF(P876&gt;0,P876-(TBIcalc!$Q$9),""),"")</f>
        <v>1.5173999999999999</v>
      </c>
      <c r="R876" s="275">
        <f>IFERROR(INDEX('Ashed teabags dry'!$K$2:$K$2000,MATCH(K876,'Ashed teabags dry'!$A$2:$A$2000,0)),"")</f>
        <v>3.297724105899698</v>
      </c>
      <c r="S876" s="275">
        <f t="shared" si="67"/>
        <v>1.4673603344170778</v>
      </c>
      <c r="T876" s="265">
        <f>IF('Dry_Litterbag Placem_Collection'!E217="","",'Dry_Litterbag Placem_Collection'!E217)</f>
        <v>42942</v>
      </c>
      <c r="U876" s="265">
        <f>IF('Dry_Litterbag Placem_Collection'!G217="","",'Dry_Litterbag Placem_Collection'!G217)</f>
        <v>43004</v>
      </c>
      <c r="V876" s="266">
        <f t="shared" si="65"/>
        <v>62</v>
      </c>
      <c r="W876" s="264">
        <f t="shared" si="68"/>
        <v>0.3378000000000001</v>
      </c>
      <c r="X876" s="264">
        <f t="shared" si="69"/>
        <v>0.34551022156523037</v>
      </c>
      <c r="Y876" s="268">
        <f>IFERROR(INDEX(Rainfall_Dry!$O$2:$O$217,MATCH(B876, Rainfall_Dry!$A$2:$A$217,0)),"")</f>
        <v>171.84818423999999</v>
      </c>
      <c r="Z876" s="257">
        <v>25.96</v>
      </c>
      <c r="AA876" s="257">
        <v>8.9200000000000017</v>
      </c>
      <c r="AB876" s="257">
        <v>65.12</v>
      </c>
      <c r="AC876" s="258" t="s">
        <v>2654</v>
      </c>
      <c r="AD876" s="257">
        <v>1.614588467225234</v>
      </c>
      <c r="AE876">
        <f>IF('WetLitterbags placem_collection'!AB217="","",'WetLitterbags placem_collection'!AB217)</f>
        <v>13.8</v>
      </c>
      <c r="AF876">
        <f>IF('WetLitterbags placem_collection'!Z217="","",'WetLitterbags placem_collection'!Z217)</f>
        <v>17.399999999999999</v>
      </c>
      <c r="AG876" s="243" t="str">
        <f>IF('WetLitterbags placem_collection'!AA217="","",'WetLitterbags placem_collection'!AA217)</f>
        <v>O</v>
      </c>
      <c r="AH876">
        <f>IF('WetLitterbags placem_collection'!AC217="","",'WetLitterbags placem_collection'!AC217)</f>
        <v>1</v>
      </c>
      <c r="AI876">
        <f>IFERROR(AVERAGE('Dry_Litterbag Placem_Collection'!O217,'Dry_Litterbag Placem_Collection'!R217),"")</f>
        <v>6.3</v>
      </c>
      <c r="AJ876" s="268">
        <f>IFERROR(AVERAGE('Dry_Litterbag Placem_Collection'!N217,'Dry_Litterbag Placem_Collection'!Q217),"")</f>
        <v>29.8</v>
      </c>
      <c r="AK876">
        <v>-2.439403972</v>
      </c>
      <c r="AL876">
        <v>34.838404959999998</v>
      </c>
      <c r="AM876" s="267" t="str">
        <f>IF(ISNUMBER(SEARCH("C", 'Dry_Litterbag Placem_Collection'!V217)),"YES","NO")</f>
        <v>NO</v>
      </c>
      <c r="AN876" s="267" t="str">
        <f>IF(ISNUMBER(SEARCH("H", 'Dry_Litterbag Placem_Collection'!V217)),"YES","NO")</f>
        <v>NO</v>
      </c>
      <c r="AO876" s="267" t="str">
        <f>IF(ISNUMBER(SEARCH("R", 'Dry_Litterbag Placem_Collection'!V217)),"YES","NO")</f>
        <v>NO</v>
      </c>
    </row>
    <row r="877" spans="1:41" ht="15" customHeight="1">
      <c r="A877" s="259" t="s">
        <v>2643</v>
      </c>
      <c r="B877" s="260">
        <f>'Dry_Litterbag Placem_Collection'!A218</f>
        <v>216</v>
      </c>
      <c r="C877" s="260" t="str">
        <f>'Dry_Litterbag Placem_Collection'!B218</f>
        <v>Handajega</v>
      </c>
      <c r="D877" s="260" t="s">
        <v>2454</v>
      </c>
      <c r="E877" s="260" t="s">
        <v>2512</v>
      </c>
      <c r="F877" s="260">
        <v>2</v>
      </c>
      <c r="G877" s="260" t="s">
        <v>3829</v>
      </c>
      <c r="H877" s="261" t="str">
        <f>'Dry_Litterbag Placem_Collection'!C218</f>
        <v>Wet_W4_CG2</v>
      </c>
      <c r="I877" s="270" t="s">
        <v>3630</v>
      </c>
      <c r="J877" s="271" t="s">
        <v>298</v>
      </c>
      <c r="K877" s="260" t="str">
        <f>IF(ISBLANK('Dry_Litterbag Placem_Collection'!M218),"","R"&amp;""&amp;'Dry_Litterbag Placem_Collection'!M218)</f>
        <v>R622</v>
      </c>
      <c r="L877" s="264">
        <f>IFERROR(INDEX('Green_rooibos initial weight'!$C$5:$C$2000,MATCH(K877, 'Green_rooibos initial weight'!$A$5:$A$2000,0)),"")</f>
        <v>2.1640000000000001</v>
      </c>
      <c r="M877" s="264">
        <f>IFERROR(L877-(TBIcalc!$Q$9+TBIcalc!$Q$10),"")</f>
        <v>1.9142000000000001</v>
      </c>
      <c r="N877" s="385">
        <f>AVERAGE(Ashed_controlls!$K$12:$K$14)</f>
        <v>2.2816647271287041</v>
      </c>
      <c r="O877" s="264">
        <f t="shared" si="66"/>
        <v>1.8705243737933024</v>
      </c>
      <c r="P877" s="264">
        <f>IFERROR(INDEX('Both teabags AfterDry'!$D$2:$D$2000,MATCH(K877,'Both teabags AfterDry'!$A$2:$A$2000,0)),"")</f>
        <v>1.6419999999999999</v>
      </c>
      <c r="Q877" s="264">
        <f>IFERROR(IF(P877&gt;0,P877-(TBIcalc!$Q$9),""),"")</f>
        <v>1.4913999999999998</v>
      </c>
      <c r="R877" s="275">
        <f>IFERROR(INDEX('Ashed teabags dry'!$K$2:$K$2000,MATCH(K877,'Ashed teabags dry'!$A$2:$A$2000,0)),"")</f>
        <v>4.6979865771810632</v>
      </c>
      <c r="S877" s="275">
        <f t="shared" si="67"/>
        <v>1.4213342281879215</v>
      </c>
      <c r="T877" s="265">
        <f>IF('Dry_Litterbag Placem_Collection'!E218="","",'Dry_Litterbag Placem_Collection'!E218)</f>
        <v>42942</v>
      </c>
      <c r="U877" s="265">
        <f>IF('Dry_Litterbag Placem_Collection'!G218="","",'Dry_Litterbag Placem_Collection'!G218)</f>
        <v>43004</v>
      </c>
      <c r="V877" s="266">
        <f t="shared" si="65"/>
        <v>62</v>
      </c>
      <c r="W877" s="264">
        <f t="shared" si="68"/>
        <v>0.42280000000000029</v>
      </c>
      <c r="X877" s="264">
        <f t="shared" si="69"/>
        <v>0.44919014560538084</v>
      </c>
      <c r="Y877" s="268">
        <f>IFERROR(INDEX(Rainfall_Dry!$O$2:$O$217,MATCH(B877, Rainfall_Dry!$A$2:$A$217,0)),"")</f>
        <v>171.84818423999999</v>
      </c>
      <c r="Z877" s="257">
        <v>25.96</v>
      </c>
      <c r="AA877" s="257">
        <v>8.9200000000000017</v>
      </c>
      <c r="AB877" s="257">
        <v>65.12</v>
      </c>
      <c r="AC877" s="258" t="s">
        <v>2654</v>
      </c>
      <c r="AD877" s="257">
        <v>1.6991621488417901</v>
      </c>
      <c r="AE877">
        <f>IF('WetLitterbags placem_collection'!AB218="","",'WetLitterbags placem_collection'!AB218)</f>
        <v>5.13</v>
      </c>
      <c r="AF877">
        <f>IF('WetLitterbags placem_collection'!Z218="","",'WetLitterbags placem_collection'!Z218)</f>
        <v>5.13</v>
      </c>
      <c r="AG877" s="243" t="str">
        <f>IF('WetLitterbags placem_collection'!AA218="","",'WetLitterbags placem_collection'!AA218)</f>
        <v>O</v>
      </c>
      <c r="AH877">
        <f>IF('WetLitterbags placem_collection'!AC218="","",'WetLitterbags placem_collection'!AC218)</f>
        <v>1</v>
      </c>
      <c r="AI877">
        <f>IFERROR(AVERAGE('Dry_Litterbag Placem_Collection'!O218,'Dry_Litterbag Placem_Collection'!R218),"")</f>
        <v>7.0500000000000007</v>
      </c>
      <c r="AJ877" s="268">
        <f>IFERROR(AVERAGE('Dry_Litterbag Placem_Collection'!N218,'Dry_Litterbag Placem_Collection'!Q218),"")</f>
        <v>29.85</v>
      </c>
      <c r="AK877">
        <v>-2.4396450349999999</v>
      </c>
      <c r="AL877">
        <v>34.83836599</v>
      </c>
      <c r="AM877" s="267" t="str">
        <f>IF(ISNUMBER(SEARCH("C", 'Dry_Litterbag Placem_Collection'!V218)),"YES","NO")</f>
        <v>NO</v>
      </c>
      <c r="AN877" s="267" t="str">
        <f>IF(ISNUMBER(SEARCH("H", 'Dry_Litterbag Placem_Collection'!V218)),"YES","NO")</f>
        <v>NO</v>
      </c>
      <c r="AO877" s="267" t="str">
        <f>IF(ISNUMBER(SEARCH("R", 'Dry_Litterbag Placem_Collection'!V218)),"YES","NO")</f>
        <v>NO</v>
      </c>
    </row>
    <row r="878" spans="1:41" ht="15" customHeight="1">
      <c r="A878" s="259" t="s">
        <v>2643</v>
      </c>
      <c r="B878" s="260">
        <f>'Dry_Litterbag Placem_Collection'!A219</f>
        <v>217</v>
      </c>
      <c r="C878" s="260" t="str">
        <f>'Dry_Litterbag Placem_Collection'!B219</f>
        <v>Seronera</v>
      </c>
      <c r="D878" s="260" t="s">
        <v>2646</v>
      </c>
      <c r="E878" s="260" t="s">
        <v>2512</v>
      </c>
      <c r="F878" s="260">
        <v>1</v>
      </c>
      <c r="G878" s="260" t="s">
        <v>3885</v>
      </c>
      <c r="H878" s="261" t="str">
        <f>'Dry_Litterbag Placem_Collection'!C219</f>
        <v>Local1_CG1</v>
      </c>
      <c r="I878" s="270" t="s">
        <v>3630</v>
      </c>
      <c r="J878" s="271" t="s">
        <v>298</v>
      </c>
      <c r="K878" s="260" t="str">
        <f>IF(ISBLANK('Dry_Litterbag Placem_Collection'!M219),"","R"&amp;""&amp;'Dry_Litterbag Placem_Collection'!M219)</f>
        <v>R608</v>
      </c>
      <c r="L878" s="264">
        <f>IFERROR(INDEX('Green_rooibos initial weight'!$C$5:$C$2000,MATCH(K878, 'Green_rooibos initial weight'!$A$5:$A$2000,0)),"")</f>
        <v>2.1440000000000001</v>
      </c>
      <c r="M878" s="264">
        <f>IFERROR(L878-(TBIcalc!$Q$9+TBIcalc!$Q$10),"")</f>
        <v>1.8942000000000001</v>
      </c>
      <c r="N878" s="385">
        <f>AVERAGE(Ashed_controlls!$K$12:$K$14)</f>
        <v>2.2816647271287041</v>
      </c>
      <c r="O878" s="264">
        <f t="shared" si="66"/>
        <v>1.8509807067387283</v>
      </c>
      <c r="P878" s="264">
        <f>IFERROR(INDEX('Both teabags AfterDry'!$D$2:$D$2000,MATCH(K878,'Both teabags AfterDry'!$A$2:$A$2000,0)),"")</f>
        <v>1.6455</v>
      </c>
      <c r="Q878" s="264">
        <f>IFERROR(IF(P878&gt;0,P878-(TBIcalc!$Q$9),""),"")</f>
        <v>1.4948999999999999</v>
      </c>
      <c r="R878" s="275">
        <f>IFERROR(INDEX('Ashed teabags dry'!$K$2:$K$2000,MATCH(K878,'Ashed teabags dry'!$A$2:$A$2000,0)),"")</f>
        <v>3.468950749465225</v>
      </c>
      <c r="S878" s="275">
        <f t="shared" si="67"/>
        <v>1.4430426552462443</v>
      </c>
      <c r="T878" s="265">
        <f>IF('Dry_Litterbag Placem_Collection'!E219="","",'Dry_Litterbag Placem_Collection'!E219)</f>
        <v>42942</v>
      </c>
      <c r="U878" s="265">
        <f>IF('Dry_Litterbag Placem_Collection'!G219="","",'Dry_Litterbag Placem_Collection'!G219)</f>
        <v>43004</v>
      </c>
      <c r="V878" s="266">
        <f t="shared" si="65"/>
        <v>62</v>
      </c>
      <c r="W878" s="264">
        <f t="shared" si="68"/>
        <v>0.39930000000000021</v>
      </c>
      <c r="X878" s="264">
        <f t="shared" si="69"/>
        <v>0.40793805149248397</v>
      </c>
      <c r="Y878" s="268">
        <f>IFERROR(INDEX(Rainfall_Dry!$O$2:$O$217,MATCH(B878, Rainfall_Dry!$A$2:$A$217,0)),"")</f>
        <v>171.84818423999999</v>
      </c>
      <c r="Z878" s="257">
        <v>29.076539101497506</v>
      </c>
      <c r="AA878" s="257">
        <v>7.1963394342762079</v>
      </c>
      <c r="AB878" s="257">
        <v>63.727121464226286</v>
      </c>
      <c r="AC878" s="257" t="s">
        <v>2654</v>
      </c>
      <c r="AD878" s="257">
        <v>1.0994578610152781</v>
      </c>
      <c r="AE878">
        <f>IF('WetLitterbags placem_collection'!AB219="","",'WetLitterbags placem_collection'!AB219)</f>
        <v>13.8</v>
      </c>
      <c r="AF878">
        <f>IF('WetLitterbags placem_collection'!Z219="","",'WetLitterbags placem_collection'!Z219)</f>
        <v>17.399999999999999</v>
      </c>
      <c r="AG878" s="243" t="str">
        <f>IF('WetLitterbags placem_collection'!AA219="","",'WetLitterbags placem_collection'!AA219)</f>
        <v>O</v>
      </c>
      <c r="AH878">
        <f>IF('WetLitterbags placem_collection'!AC219="","",'WetLitterbags placem_collection'!AC219)</f>
        <v>1</v>
      </c>
      <c r="AI878">
        <f>IFERROR(AVERAGE('Dry_Litterbag Placem_Collection'!O219,'Dry_Litterbag Placem_Collection'!R219),"")</f>
        <v>7.1999999999999993</v>
      </c>
      <c r="AJ878" s="268">
        <f>IFERROR(AVERAGE('Dry_Litterbag Placem_Collection'!N219,'Dry_Litterbag Placem_Collection'!Q219),"")</f>
        <v>31.25</v>
      </c>
      <c r="AK878">
        <v>-2.439403972</v>
      </c>
      <c r="AL878">
        <v>34.838404959999998</v>
      </c>
      <c r="AM878" s="267" t="str">
        <f>IF(ISNUMBER(SEARCH("C", 'Dry_Litterbag Placem_Collection'!V219)),"YES","NO")</f>
        <v>NO</v>
      </c>
      <c r="AN878" s="267" t="str">
        <f>IF(ISNUMBER(SEARCH("H", 'Dry_Litterbag Placem_Collection'!V219)),"YES","NO")</f>
        <v>NO</v>
      </c>
      <c r="AO878" s="267" t="str">
        <f>IF(ISNUMBER(SEARCH("R", 'Dry_Litterbag Placem_Collection'!V219)),"YES","NO")</f>
        <v>NO</v>
      </c>
    </row>
    <row r="879" spans="1:41" ht="15" customHeight="1">
      <c r="A879" s="259" t="s">
        <v>2643</v>
      </c>
      <c r="B879" s="260">
        <f>'Dry_Litterbag Placem_Collection'!A220</f>
        <v>218</v>
      </c>
      <c r="C879" s="260" t="str">
        <f>'Dry_Litterbag Placem_Collection'!B220</f>
        <v>Seronera</v>
      </c>
      <c r="D879" s="260" t="s">
        <v>2646</v>
      </c>
      <c r="E879" s="260" t="s">
        <v>2512</v>
      </c>
      <c r="F879" s="260">
        <v>2</v>
      </c>
      <c r="G879" s="260" t="s">
        <v>3886</v>
      </c>
      <c r="H879" s="261" t="str">
        <f>'Dry_Litterbag Placem_Collection'!C220</f>
        <v>Local2_CG2</v>
      </c>
      <c r="I879" s="270" t="s">
        <v>3630</v>
      </c>
      <c r="J879" s="271" t="s">
        <v>298</v>
      </c>
      <c r="K879" s="260" t="str">
        <f>IF(ISBLANK('Dry_Litterbag Placem_Collection'!M220),"","R"&amp;""&amp;'Dry_Litterbag Placem_Collection'!M220)</f>
        <v>R639</v>
      </c>
      <c r="L879" s="264">
        <f>IFERROR(INDEX('Green_rooibos initial weight'!$C$5:$C$2000,MATCH(K879, 'Green_rooibos initial weight'!$A$5:$A$2000,0)),"")</f>
        <v>2.0840000000000001</v>
      </c>
      <c r="M879" s="264">
        <f>IFERROR(L879-(TBIcalc!$Q$9+TBIcalc!$Q$10),"")</f>
        <v>1.8342000000000001</v>
      </c>
      <c r="N879" s="385">
        <f>AVERAGE(Ashed_controlls!$K$12:$K$14)</f>
        <v>2.2816647271287041</v>
      </c>
      <c r="O879" s="264">
        <f t="shared" si="66"/>
        <v>1.7923497055750053</v>
      </c>
      <c r="P879" s="264">
        <f>IFERROR(INDEX('Both teabags AfterDry'!$D$2:$D$2000,MATCH(K879,'Both teabags AfterDry'!$A$2:$A$2000,0)),"")</f>
        <v>1.6519999999999999</v>
      </c>
      <c r="Q879" s="264">
        <f>IFERROR(IF(P879&gt;0,P879-(TBIcalc!$Q$9),""),"")</f>
        <v>1.5013999999999998</v>
      </c>
      <c r="R879" s="275">
        <f>IFERROR(INDEX('Ashed teabags dry'!$K$2:$K$2000,MATCH(K879,'Ashed teabags dry'!$A$2:$A$2000,0)),"")</f>
        <v>4.9473202015572753</v>
      </c>
      <c r="S879" s="275">
        <f t="shared" si="67"/>
        <v>1.4271209344938189</v>
      </c>
      <c r="T879" s="265">
        <f>IF('Dry_Litterbag Placem_Collection'!E220="","",'Dry_Litterbag Placem_Collection'!E220)</f>
        <v>42942</v>
      </c>
      <c r="U879" s="265">
        <f>IF('Dry_Litterbag Placem_Collection'!G220="","",'Dry_Litterbag Placem_Collection'!G220)</f>
        <v>43004</v>
      </c>
      <c r="V879" s="266">
        <f t="shared" si="65"/>
        <v>62</v>
      </c>
      <c r="W879" s="264">
        <f t="shared" si="68"/>
        <v>0.33280000000000021</v>
      </c>
      <c r="X879" s="264">
        <f t="shared" si="69"/>
        <v>0.36522877108118634</v>
      </c>
      <c r="Y879" s="268">
        <f>IFERROR(INDEX(Rainfall_Dry!$O$2:$O$217,MATCH(B879, Rainfall_Dry!$A$2:$A$217,0)),"")</f>
        <v>171.84818423999999</v>
      </c>
      <c r="Z879" s="257">
        <v>21.072635135135137</v>
      </c>
      <c r="AA879" s="257">
        <v>7.3057432432432412</v>
      </c>
      <c r="AB879" s="257">
        <v>71.621621621621614</v>
      </c>
      <c r="AC879" s="257" t="s">
        <v>2654</v>
      </c>
      <c r="AD879" s="257">
        <v>1.4512074913750617</v>
      </c>
      <c r="AE879">
        <f>IF('WetLitterbags placem_collection'!AB220="","",'WetLitterbags placem_collection'!AB220)</f>
        <v>5.13</v>
      </c>
      <c r="AF879">
        <f>IF('WetLitterbags placem_collection'!Z220="","",'WetLitterbags placem_collection'!Z220)</f>
        <v>5.13</v>
      </c>
      <c r="AG879" s="243" t="str">
        <f>IF('WetLitterbags placem_collection'!AA220="","",'WetLitterbags placem_collection'!AA220)</f>
        <v>O</v>
      </c>
      <c r="AH879">
        <f>IF('WetLitterbags placem_collection'!AC220="","",'WetLitterbags placem_collection'!AC220)</f>
        <v>1</v>
      </c>
      <c r="AI879">
        <f>IFERROR(AVERAGE('Dry_Litterbag Placem_Collection'!O220,'Dry_Litterbag Placem_Collection'!R220),"")</f>
        <v>6.45</v>
      </c>
      <c r="AJ879" s="268">
        <f>IFERROR(AVERAGE('Dry_Litterbag Placem_Collection'!N220,'Dry_Litterbag Placem_Collection'!Q220),"")</f>
        <v>29.15</v>
      </c>
      <c r="AK879">
        <v>-2.4396450349999999</v>
      </c>
      <c r="AL879">
        <v>34.83836599</v>
      </c>
      <c r="AM879" s="267" t="str">
        <f>IF(ISNUMBER(SEARCH("C", 'Dry_Litterbag Placem_Collection'!V220)),"YES","NO")</f>
        <v>NO</v>
      </c>
      <c r="AN879" s="267" t="str">
        <f>IF(ISNUMBER(SEARCH("H", 'Dry_Litterbag Placem_Collection'!V220)),"YES","NO")</f>
        <v>NO</v>
      </c>
      <c r="AO879" s="267" t="str">
        <f>IF(ISNUMBER(SEARCH("R", 'Dry_Litterbag Placem_Collection'!V220)),"YES","NO")</f>
        <v>YES</v>
      </c>
    </row>
    <row r="880" spans="1:41" ht="15" customHeight="1">
      <c r="A880" s="259" t="s">
        <v>2643</v>
      </c>
      <c r="B880" s="260">
        <f>'Dry_Litterbag Placem_Collection'!A221</f>
        <v>219</v>
      </c>
      <c r="C880" s="260" t="str">
        <f>'Dry_Litterbag Placem_Collection'!B221</f>
        <v>Seronera</v>
      </c>
      <c r="D880" s="260" t="s">
        <v>2646</v>
      </c>
      <c r="E880" s="260" t="s">
        <v>2512</v>
      </c>
      <c r="F880" s="260">
        <v>3</v>
      </c>
      <c r="G880" s="260" t="s">
        <v>3887</v>
      </c>
      <c r="H880" s="261" t="str">
        <f>'Dry_Litterbag Placem_Collection'!C221</f>
        <v>Local3_CG3</v>
      </c>
      <c r="I880" s="270" t="s">
        <v>3630</v>
      </c>
      <c r="J880" s="271" t="s">
        <v>298</v>
      </c>
      <c r="K880" s="260" t="str">
        <f>IF(ISBLANK('Dry_Litterbag Placem_Collection'!M221),"","R"&amp;""&amp;'Dry_Litterbag Placem_Collection'!M221)</f>
        <v>R246</v>
      </c>
      <c r="L880" s="264">
        <f>IFERROR(INDEX('Green_rooibos initial weight'!$C$5:$C$2000,MATCH(K880, 'Green_rooibos initial weight'!$A$5:$A$2000,0)),"")</f>
        <v>2.2170000000000001</v>
      </c>
      <c r="M880" s="264">
        <f>IFERROR(L880-(TBIcalc!$Q$9+TBIcalc!$Q$10),"")</f>
        <v>1.9672000000000001</v>
      </c>
      <c r="N880" s="385">
        <f>AVERAGE(Ashed_controlls!$K$12:$K$14)</f>
        <v>2.2816647271287041</v>
      </c>
      <c r="O880" s="264">
        <f t="shared" si="66"/>
        <v>1.9223150914879241</v>
      </c>
      <c r="P880" s="264">
        <f>IFERROR(INDEX('Both teabags AfterDry'!$D$2:$D$2000,MATCH(K880,'Both teabags AfterDry'!$A$2:$A$2000,0)),"")</f>
        <v>1.639</v>
      </c>
      <c r="Q880" s="264">
        <f>IFERROR(IF(P880&gt;0,P880-(TBIcalc!$Q$9),""),"")</f>
        <v>1.4883999999999999</v>
      </c>
      <c r="R880" s="275">
        <f>IFERROR(INDEX('Ashed teabags dry'!$K$2:$K$2000,MATCH(K880,'Ashed teabags dry'!$A$2:$A$2000,0)),"")</f>
        <v>7.5489727663639679</v>
      </c>
      <c r="S880" s="275">
        <f t="shared" si="67"/>
        <v>1.3760410893454387</v>
      </c>
      <c r="T880" s="265">
        <f>IF('Dry_Litterbag Placem_Collection'!E221="","",'Dry_Litterbag Placem_Collection'!E221)</f>
        <v>42942</v>
      </c>
      <c r="U880" s="265">
        <f>IF('Dry_Litterbag Placem_Collection'!G221="","",'Dry_Litterbag Placem_Collection'!G221)</f>
        <v>43004</v>
      </c>
      <c r="V880" s="266">
        <f t="shared" si="65"/>
        <v>62</v>
      </c>
      <c r="W880" s="264">
        <f t="shared" si="68"/>
        <v>0.47880000000000011</v>
      </c>
      <c r="X880" s="264">
        <f t="shared" si="69"/>
        <v>0.54627400214248545</v>
      </c>
      <c r="Y880" s="268">
        <f>IFERROR(INDEX(Rainfall_Dry!$O$2:$O$217,MATCH(B880, Rainfall_Dry!$A$2:$A$217,0)),"")</f>
        <v>171.84818423999999</v>
      </c>
      <c r="Z880" s="257">
        <v>21.96</v>
      </c>
      <c r="AA880" s="257">
        <v>4.9199999999999982</v>
      </c>
      <c r="AB880" s="257">
        <v>73.12</v>
      </c>
      <c r="AC880" s="257" t="s">
        <v>2654</v>
      </c>
      <c r="AD880" s="257">
        <v>1.4012321340561851</v>
      </c>
      <c r="AE880">
        <f>IF('WetLitterbags placem_collection'!AB221="","",'WetLitterbags placem_collection'!AB221)</f>
        <v>7.9</v>
      </c>
      <c r="AF880">
        <f>IF('WetLitterbags placem_collection'!Z221="","",'WetLitterbags placem_collection'!Z221)</f>
        <v>7.9</v>
      </c>
      <c r="AG880" s="243" t="str">
        <f>IF('WetLitterbags placem_collection'!AA221="","",'WetLitterbags placem_collection'!AA221)</f>
        <v>O</v>
      </c>
      <c r="AH880">
        <f>IF('WetLitterbags placem_collection'!AC221="","",'WetLitterbags placem_collection'!AC221)</f>
        <v>1</v>
      </c>
      <c r="AI880">
        <f>IFERROR(AVERAGE('Dry_Litterbag Placem_Collection'!O221,'Dry_Litterbag Placem_Collection'!R221),"")</f>
        <v>5.75</v>
      </c>
      <c r="AJ880" s="268">
        <f>IFERROR(AVERAGE('Dry_Litterbag Placem_Collection'!N221,'Dry_Litterbag Placem_Collection'!Q221),"")</f>
        <v>32.75</v>
      </c>
      <c r="AK880">
        <v>-2.4395990190000001</v>
      </c>
      <c r="AL880">
        <v>34.838418959999998</v>
      </c>
      <c r="AM880" s="267" t="str">
        <f>IF(ISNUMBER(SEARCH("C", 'Dry_Litterbag Placem_Collection'!V221)),"YES","NO")</f>
        <v>NO</v>
      </c>
      <c r="AN880" s="267" t="str">
        <f>IF(ISNUMBER(SEARCH("H", 'Dry_Litterbag Placem_Collection'!V221)),"YES","NO")</f>
        <v>NO</v>
      </c>
      <c r="AO880" s="267" t="str">
        <f>IF(ISNUMBER(SEARCH("R", 'Dry_Litterbag Placem_Collection'!V221)),"YES","NO")</f>
        <v>NO</v>
      </c>
    </row>
    <row r="881" spans="1:41" ht="15" customHeight="1">
      <c r="A881" s="259" t="s">
        <v>2643</v>
      </c>
      <c r="B881" s="260">
        <f>'Dry_Litterbag Placem_Collection'!A222</f>
        <v>220</v>
      </c>
      <c r="C881" s="260" t="str">
        <f>'Dry_Litterbag Placem_Collection'!B222</f>
        <v>Seronera</v>
      </c>
      <c r="D881" s="260" t="s">
        <v>2646</v>
      </c>
      <c r="E881" s="260" t="s">
        <v>2512</v>
      </c>
      <c r="F881" s="260">
        <v>4</v>
      </c>
      <c r="G881" s="260" t="s">
        <v>3888</v>
      </c>
      <c r="H881" s="261" t="str">
        <f>'Dry_Litterbag Placem_Collection'!C222</f>
        <v>Local4_CG4</v>
      </c>
      <c r="I881" s="270" t="s">
        <v>3630</v>
      </c>
      <c r="J881" s="271" t="s">
        <v>298</v>
      </c>
      <c r="K881" s="260" t="str">
        <f>IF(ISBLANK('Dry_Litterbag Placem_Collection'!M222),"","R"&amp;""&amp;'Dry_Litterbag Placem_Collection'!M222)</f>
        <v>R672</v>
      </c>
      <c r="L881" s="264">
        <f>IFERROR(INDEX('Green_rooibos initial weight'!$C$5:$C$2000,MATCH(K881, 'Green_rooibos initial weight'!$A$5:$A$2000,0)),"")</f>
        <v>2.161</v>
      </c>
      <c r="M881" s="264">
        <f>IFERROR(L881-(TBIcalc!$Q$9+TBIcalc!$Q$10),"")</f>
        <v>1.9112</v>
      </c>
      <c r="N881" s="385">
        <f>AVERAGE(Ashed_controlls!$K$12:$K$14)</f>
        <v>2.2816647271287041</v>
      </c>
      <c r="O881" s="264">
        <f t="shared" si="66"/>
        <v>1.8675928237351163</v>
      </c>
      <c r="P881" s="264" t="str">
        <f>IFERROR(INDEX('Both teabags AfterDry'!$D$2:$D$2000,MATCH(K881,'Both teabags AfterDry'!$A$2:$A$2000,0)),"")</f>
        <v/>
      </c>
      <c r="Q881" s="264" t="str">
        <f>IFERROR(IF(P881&gt;0,P881-(TBIcalc!$Q$9),""),"")</f>
        <v/>
      </c>
      <c r="R881" s="275" t="str">
        <f>IFERROR(INDEX('Ashed teabags dry'!$K$2:$K$2000,MATCH(K881,'Ashed teabags dry'!$A$2:$A$2000,0)),"")</f>
        <v/>
      </c>
      <c r="S881" s="275" t="str">
        <f t="shared" si="67"/>
        <v/>
      </c>
      <c r="T881" s="265">
        <f>IF('Dry_Litterbag Placem_Collection'!E222="","",'Dry_Litterbag Placem_Collection'!E222)</f>
        <v>42942</v>
      </c>
      <c r="U881" s="265">
        <f>IF('Dry_Litterbag Placem_Collection'!G222="","",'Dry_Litterbag Placem_Collection'!G222)</f>
        <v>43004</v>
      </c>
      <c r="V881" s="266">
        <f t="shared" si="65"/>
        <v>62</v>
      </c>
      <c r="W881" s="264" t="str">
        <f t="shared" si="68"/>
        <v/>
      </c>
      <c r="X881" s="264" t="str">
        <f t="shared" si="69"/>
        <v/>
      </c>
      <c r="Y881" s="268">
        <f>IFERROR(INDEX(Rainfall_Dry!$O$2:$O$217,MATCH(B881, Rainfall_Dry!$A$2:$A$217,0)),"")</f>
        <v>171.84818423999999</v>
      </c>
      <c r="Z881" s="257">
        <v>15.960000000000003</v>
      </c>
      <c r="AA881" s="257">
        <v>6.9199999999999982</v>
      </c>
      <c r="AB881" s="257">
        <v>77.11999999999999</v>
      </c>
      <c r="AC881" s="257" t="s">
        <v>2655</v>
      </c>
      <c r="AD881" s="257">
        <v>0.60547067520946207</v>
      </c>
      <c r="AE881">
        <f>IF('WetLitterbags placem_collection'!AB222="","",'WetLitterbags placem_collection'!AB222)</f>
        <v>15.2</v>
      </c>
      <c r="AF881">
        <f>IF('WetLitterbags placem_collection'!Z222="","",'WetLitterbags placem_collection'!Z222)</f>
        <v>12.2</v>
      </c>
      <c r="AG881" s="243" t="str">
        <f>IF('WetLitterbags placem_collection'!AA222="","",'WetLitterbags placem_collection'!AA222)</f>
        <v>O</v>
      </c>
      <c r="AH881">
        <f>IF('WetLitterbags placem_collection'!AC222="","",'WetLitterbags placem_collection'!AC222)</f>
        <v>1</v>
      </c>
      <c r="AI881">
        <f>IFERROR(AVERAGE('Dry_Litterbag Placem_Collection'!O222,'Dry_Litterbag Placem_Collection'!R222),"")</f>
        <v>5.3</v>
      </c>
      <c r="AJ881" s="268">
        <f>IFERROR(AVERAGE('Dry_Litterbag Placem_Collection'!N222,'Dry_Litterbag Placem_Collection'!Q222),"")</f>
        <v>33.65</v>
      </c>
      <c r="AK881">
        <v>-2.4396949910000001</v>
      </c>
      <c r="AL881">
        <v>34.838574029999997</v>
      </c>
      <c r="AM881" s="267" t="str">
        <f>IF(ISNUMBER(SEARCH("C", 'Dry_Litterbag Placem_Collection'!V222)),"YES","NO")</f>
        <v>NO</v>
      </c>
      <c r="AN881" s="267" t="str">
        <f>IF(ISNUMBER(SEARCH("H", 'Dry_Litterbag Placem_Collection'!V222)),"YES","NO")</f>
        <v>NO</v>
      </c>
      <c r="AO881" s="267" t="str">
        <f>IF(ISNUMBER(SEARCH("R", 'Dry_Litterbag Placem_Collection'!V222)),"YES","NO")</f>
        <v>NO</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topLeftCell="D1" zoomScale="115" zoomScaleNormal="115" workbookViewId="0">
      <selection activeCell="L17" sqref="L17"/>
    </sheetView>
  </sheetViews>
  <sheetFormatPr baseColWidth="10" defaultRowHeight="14.4"/>
  <sheetData>
    <row r="4" spans="2:18">
      <c r="H4" t="s">
        <v>3499</v>
      </c>
      <c r="I4" t="s">
        <v>3500</v>
      </c>
      <c r="Q4" t="s">
        <v>3499</v>
      </c>
      <c r="R4" t="s">
        <v>3500</v>
      </c>
    </row>
    <row r="5" spans="2:18">
      <c r="B5" s="195" t="s">
        <v>2523</v>
      </c>
      <c r="C5" s="179"/>
      <c r="D5" s="179"/>
      <c r="E5" s="179"/>
      <c r="F5" s="179"/>
      <c r="G5" s="179"/>
      <c r="H5" s="179">
        <v>0.84199999999999997</v>
      </c>
      <c r="I5">
        <v>0.93300000000000005</v>
      </c>
      <c r="K5" s="195" t="s">
        <v>2523</v>
      </c>
      <c r="L5" s="179"/>
      <c r="M5" s="179"/>
      <c r="N5" s="179"/>
      <c r="O5" s="179"/>
      <c r="P5" s="179"/>
      <c r="Q5" s="179">
        <v>0.84199999999999997</v>
      </c>
      <c r="R5">
        <v>0.93300000000000005</v>
      </c>
    </row>
    <row r="6" spans="2:18">
      <c r="B6" s="195" t="s">
        <v>2524</v>
      </c>
      <c r="C6" s="179"/>
      <c r="D6" s="179"/>
      <c r="E6" s="179"/>
      <c r="F6" s="179"/>
      <c r="G6" s="179"/>
      <c r="H6" s="179">
        <v>0.55200000000000005</v>
      </c>
      <c r="I6">
        <v>0.67600000000000005</v>
      </c>
      <c r="K6" s="195" t="s">
        <v>2524</v>
      </c>
      <c r="L6" s="179"/>
      <c r="M6" s="179"/>
      <c r="N6" s="179"/>
      <c r="O6" s="179"/>
      <c r="P6" s="179"/>
      <c r="Q6" s="179">
        <v>0.55200000000000005</v>
      </c>
      <c r="R6">
        <v>0.67600000000000005</v>
      </c>
    </row>
    <row r="7" spans="2:18">
      <c r="B7" s="195" t="s">
        <v>10</v>
      </c>
      <c r="C7" s="179"/>
      <c r="D7" s="179"/>
      <c r="E7" s="179"/>
      <c r="F7" s="179"/>
      <c r="G7" s="179"/>
      <c r="H7" s="179">
        <v>0.12180000000000001</v>
      </c>
      <c r="K7" s="195" t="s">
        <v>10</v>
      </c>
      <c r="L7" s="179"/>
      <c r="M7" s="179"/>
      <c r="N7" s="179"/>
      <c r="O7" s="179"/>
      <c r="P7" s="179"/>
      <c r="Q7" s="179">
        <v>0.12180000000000001</v>
      </c>
    </row>
    <row r="8" spans="2:18">
      <c r="B8" s="195" t="s">
        <v>11</v>
      </c>
      <c r="C8" s="179"/>
      <c r="D8" s="179"/>
      <c r="E8" s="179"/>
      <c r="F8" s="179"/>
      <c r="G8" s="179"/>
      <c r="H8" s="179">
        <v>2.8799999999999999E-2</v>
      </c>
      <c r="K8" s="195" t="s">
        <v>11</v>
      </c>
      <c r="L8" s="179"/>
      <c r="M8" s="179"/>
      <c r="N8" s="179"/>
      <c r="O8" s="179"/>
      <c r="P8" s="179"/>
      <c r="Q8" s="179">
        <v>2.8799999999999999E-2</v>
      </c>
    </row>
    <row r="9" spans="2:18">
      <c r="B9" s="195" t="s">
        <v>12</v>
      </c>
      <c r="C9" s="179"/>
      <c r="D9" s="179"/>
      <c r="E9" s="179"/>
      <c r="F9" s="179"/>
      <c r="G9" s="179"/>
      <c r="H9" s="179">
        <f>H7+H8</f>
        <v>0.15060000000000001</v>
      </c>
      <c r="K9" s="195" t="s">
        <v>12</v>
      </c>
      <c r="L9" s="179"/>
      <c r="M9" s="179"/>
      <c r="N9" s="179"/>
      <c r="O9" s="179"/>
      <c r="P9" s="179"/>
      <c r="Q9" s="179">
        <f>Q7+Q8</f>
        <v>0.15060000000000001</v>
      </c>
    </row>
    <row r="10" spans="2:18">
      <c r="B10" s="195" t="s">
        <v>13</v>
      </c>
      <c r="C10" s="179"/>
      <c r="D10" s="179"/>
      <c r="E10" s="179"/>
      <c r="F10" s="179"/>
      <c r="G10" s="179"/>
      <c r="H10" s="179">
        <v>9.9199999999999997E-2</v>
      </c>
      <c r="K10" s="195" t="s">
        <v>13</v>
      </c>
      <c r="L10" s="179"/>
      <c r="M10" s="179"/>
      <c r="N10" s="179"/>
      <c r="O10" s="179"/>
      <c r="P10" s="179"/>
      <c r="Q10" s="179">
        <v>9.9199999999999997E-2</v>
      </c>
    </row>
    <row r="11" spans="2:18">
      <c r="B11" s="195" t="s">
        <v>14</v>
      </c>
      <c r="C11" s="179"/>
      <c r="D11" s="179"/>
      <c r="E11" s="179"/>
      <c r="F11" s="179"/>
      <c r="G11" s="179"/>
      <c r="H11" s="179">
        <v>1</v>
      </c>
      <c r="K11" s="195" t="s">
        <v>14</v>
      </c>
      <c r="L11" s="179"/>
      <c r="M11" s="179"/>
      <c r="N11" s="179"/>
      <c r="O11" s="179"/>
      <c r="P11" s="179"/>
      <c r="Q11" s="179">
        <v>1</v>
      </c>
    </row>
    <row r="12" spans="2:18">
      <c r="B12" s="195" t="s">
        <v>15</v>
      </c>
      <c r="C12" s="179"/>
      <c r="D12" s="179"/>
      <c r="E12" s="179"/>
      <c r="F12" s="179"/>
      <c r="G12" s="179"/>
      <c r="H12" s="179">
        <v>1</v>
      </c>
      <c r="K12" s="195" t="s">
        <v>15</v>
      </c>
      <c r="L12" s="179"/>
      <c r="M12" s="179"/>
      <c r="N12" s="179"/>
      <c r="O12" s="179"/>
      <c r="P12" s="179"/>
      <c r="Q12" s="17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39" t="s">
        <v>2649</v>
      </c>
      <c r="B1" s="239" t="s">
        <v>2632</v>
      </c>
      <c r="C1" s="239" t="s">
        <v>2627</v>
      </c>
      <c r="D1" s="240" t="s">
        <v>3361</v>
      </c>
      <c r="E1" s="240" t="s">
        <v>3362</v>
      </c>
      <c r="F1" s="239" t="s">
        <v>3363</v>
      </c>
      <c r="G1" s="241" t="s">
        <v>2143</v>
      </c>
      <c r="I1" s="425" t="s">
        <v>3145</v>
      </c>
      <c r="J1" s="426"/>
      <c r="K1" s="426"/>
      <c r="L1" s="426"/>
      <c r="M1" s="427"/>
      <c r="N1" t="s">
        <v>2143</v>
      </c>
    </row>
    <row r="2" spans="1:14">
      <c r="A2" t="s">
        <v>2423</v>
      </c>
      <c r="B2" t="s">
        <v>3364</v>
      </c>
      <c r="C2" t="s">
        <v>2490</v>
      </c>
      <c r="D2" t="s">
        <v>2245</v>
      </c>
      <c r="E2">
        <v>0.2</v>
      </c>
      <c r="F2">
        <v>3</v>
      </c>
      <c r="I2" s="240" t="s">
        <v>2649</v>
      </c>
      <c r="J2" s="240" t="s">
        <v>2632</v>
      </c>
      <c r="K2" s="240" t="s">
        <v>2627</v>
      </c>
      <c r="L2" s="240" t="s">
        <v>2164</v>
      </c>
      <c r="M2" s="240" t="s">
        <v>3361</v>
      </c>
    </row>
    <row r="3" spans="1:14">
      <c r="A3" t="s">
        <v>2423</v>
      </c>
      <c r="B3" t="s">
        <v>3364</v>
      </c>
      <c r="C3" t="s">
        <v>2490</v>
      </c>
      <c r="D3" t="s">
        <v>2245</v>
      </c>
      <c r="E3">
        <v>0.1</v>
      </c>
      <c r="F3">
        <v>5.6</v>
      </c>
      <c r="I3" t="s">
        <v>3365</v>
      </c>
      <c r="J3" t="s">
        <v>3364</v>
      </c>
      <c r="K3" t="s">
        <v>2273</v>
      </c>
      <c r="L3">
        <v>1044</v>
      </c>
      <c r="M3" t="s">
        <v>2223</v>
      </c>
    </row>
    <row r="4" spans="1:14">
      <c r="A4" t="s">
        <v>2423</v>
      </c>
      <c r="B4" t="s">
        <v>3364</v>
      </c>
      <c r="C4" t="s">
        <v>2490</v>
      </c>
      <c r="D4" t="s">
        <v>2245</v>
      </c>
      <c r="E4">
        <v>0.2</v>
      </c>
      <c r="F4">
        <v>2.5</v>
      </c>
      <c r="I4" t="s">
        <v>3365</v>
      </c>
      <c r="J4" t="s">
        <v>3364</v>
      </c>
      <c r="K4" t="s">
        <v>2273</v>
      </c>
      <c r="L4">
        <v>1045</v>
      </c>
      <c r="M4" t="s">
        <v>2245</v>
      </c>
    </row>
    <row r="5" spans="1:14">
      <c r="A5" t="s">
        <v>3365</v>
      </c>
      <c r="B5" t="s">
        <v>3364</v>
      </c>
      <c r="C5" t="s">
        <v>2273</v>
      </c>
      <c r="D5" t="s">
        <v>2175</v>
      </c>
      <c r="E5">
        <v>1.4</v>
      </c>
      <c r="F5">
        <v>4.8</v>
      </c>
      <c r="G5" t="s">
        <v>3366</v>
      </c>
      <c r="I5" t="s">
        <v>3365</v>
      </c>
      <c r="J5" t="s">
        <v>3364</v>
      </c>
      <c r="K5" t="s">
        <v>2273</v>
      </c>
      <c r="L5">
        <v>1046</v>
      </c>
      <c r="M5" t="s">
        <v>2175</v>
      </c>
    </row>
    <row r="6" spans="1:14">
      <c r="A6" t="s">
        <v>3365</v>
      </c>
      <c r="B6" t="s">
        <v>3364</v>
      </c>
      <c r="C6" t="s">
        <v>2282</v>
      </c>
      <c r="D6" t="s">
        <v>2245</v>
      </c>
      <c r="E6">
        <v>2.2000000000000002</v>
      </c>
      <c r="F6">
        <v>0.2</v>
      </c>
      <c r="G6" t="s">
        <v>3367</v>
      </c>
      <c r="I6" t="s">
        <v>3365</v>
      </c>
      <c r="J6" t="s">
        <v>3364</v>
      </c>
      <c r="K6" t="s">
        <v>2273</v>
      </c>
      <c r="L6">
        <v>1047</v>
      </c>
      <c r="M6" t="s">
        <v>2175</v>
      </c>
    </row>
    <row r="7" spans="1:14">
      <c r="A7" t="s">
        <v>3365</v>
      </c>
      <c r="B7" t="s">
        <v>3364</v>
      </c>
      <c r="C7" t="s">
        <v>2282</v>
      </c>
      <c r="D7" t="s">
        <v>2245</v>
      </c>
      <c r="E7">
        <v>2.5499999999999998</v>
      </c>
      <c r="F7">
        <v>0.1</v>
      </c>
      <c r="G7" t="s">
        <v>3367</v>
      </c>
      <c r="I7" t="s">
        <v>3365</v>
      </c>
      <c r="J7" t="s">
        <v>3364</v>
      </c>
      <c r="K7" t="s">
        <v>2273</v>
      </c>
      <c r="L7">
        <v>1048</v>
      </c>
      <c r="M7" t="s">
        <v>2245</v>
      </c>
    </row>
    <row r="8" spans="1:14">
      <c r="A8" t="s">
        <v>3365</v>
      </c>
      <c r="B8" t="s">
        <v>3364</v>
      </c>
      <c r="C8" t="s">
        <v>2282</v>
      </c>
      <c r="D8" t="s">
        <v>2245</v>
      </c>
      <c r="E8">
        <v>1.8</v>
      </c>
      <c r="F8">
        <v>0.1</v>
      </c>
      <c r="G8" t="s">
        <v>3367</v>
      </c>
      <c r="I8" t="s">
        <v>3365</v>
      </c>
      <c r="J8" t="s">
        <v>3364</v>
      </c>
      <c r="K8" t="s">
        <v>2273</v>
      </c>
      <c r="L8">
        <v>1049</v>
      </c>
      <c r="M8" t="s">
        <v>2175</v>
      </c>
    </row>
    <row r="9" spans="1:14">
      <c r="A9" t="s">
        <v>3365</v>
      </c>
      <c r="B9" t="s">
        <v>3364</v>
      </c>
      <c r="C9" t="s">
        <v>2282</v>
      </c>
      <c r="D9" t="s">
        <v>2245</v>
      </c>
      <c r="E9">
        <v>1.55</v>
      </c>
      <c r="F9">
        <v>0.15</v>
      </c>
      <c r="G9" t="s">
        <v>3367</v>
      </c>
      <c r="I9" t="s">
        <v>3365</v>
      </c>
      <c r="J9" t="s">
        <v>3364</v>
      </c>
      <c r="K9" t="s">
        <v>2282</v>
      </c>
      <c r="L9">
        <v>1050</v>
      </c>
      <c r="M9" t="s">
        <v>2223</v>
      </c>
    </row>
    <row r="10" spans="1:14">
      <c r="A10" t="s">
        <v>3365</v>
      </c>
      <c r="B10" t="s">
        <v>3364</v>
      </c>
      <c r="C10" t="s">
        <v>2282</v>
      </c>
      <c r="D10" t="s">
        <v>2245</v>
      </c>
      <c r="E10">
        <v>2.25</v>
      </c>
      <c r="F10">
        <v>0.2</v>
      </c>
      <c r="G10" t="s">
        <v>3367</v>
      </c>
      <c r="I10" t="s">
        <v>3365</v>
      </c>
      <c r="J10" t="s">
        <v>3364</v>
      </c>
      <c r="K10" t="s">
        <v>2282</v>
      </c>
      <c r="L10">
        <v>1051</v>
      </c>
      <c r="M10" t="s">
        <v>2175</v>
      </c>
    </row>
    <row r="11" spans="1:14">
      <c r="A11" t="s">
        <v>3365</v>
      </c>
      <c r="B11" t="s">
        <v>3364</v>
      </c>
      <c r="C11" t="s">
        <v>2291</v>
      </c>
      <c r="D11" t="s">
        <v>2245</v>
      </c>
      <c r="E11">
        <v>0.2</v>
      </c>
      <c r="F11">
        <v>5.2</v>
      </c>
      <c r="I11" t="s">
        <v>3365</v>
      </c>
      <c r="J11" t="s">
        <v>3364</v>
      </c>
      <c r="K11" t="s">
        <v>2282</v>
      </c>
      <c r="L11">
        <v>1052</v>
      </c>
      <c r="M11" t="s">
        <v>2245</v>
      </c>
    </row>
    <row r="12" spans="1:14">
      <c r="A12" t="s">
        <v>3365</v>
      </c>
      <c r="B12" t="s">
        <v>3364</v>
      </c>
      <c r="C12" t="s">
        <v>2301</v>
      </c>
      <c r="D12" t="s">
        <v>2245</v>
      </c>
      <c r="E12">
        <v>0.4</v>
      </c>
      <c r="F12">
        <v>10.95</v>
      </c>
      <c r="I12" t="s">
        <v>3365</v>
      </c>
      <c r="J12" t="s">
        <v>3364</v>
      </c>
      <c r="K12" t="s">
        <v>2282</v>
      </c>
      <c r="L12">
        <v>1053</v>
      </c>
      <c r="M12" t="s">
        <v>2245</v>
      </c>
    </row>
    <row r="13" spans="1:14">
      <c r="A13" t="s">
        <v>2650</v>
      </c>
      <c r="B13" t="s">
        <v>20</v>
      </c>
      <c r="C13" t="s">
        <v>2222</v>
      </c>
      <c r="D13" t="s">
        <v>2245</v>
      </c>
      <c r="E13">
        <v>7.0000000000000007E-2</v>
      </c>
      <c r="F13">
        <v>2.2200000000000002</v>
      </c>
      <c r="I13" t="s">
        <v>3365</v>
      </c>
      <c r="J13" t="s">
        <v>3364</v>
      </c>
      <c r="K13" t="s">
        <v>2282</v>
      </c>
      <c r="L13">
        <v>1054</v>
      </c>
      <c r="M13" t="s">
        <v>2223</v>
      </c>
    </row>
    <row r="14" spans="1:14">
      <c r="A14" t="s">
        <v>2650</v>
      </c>
      <c r="B14" t="s">
        <v>20</v>
      </c>
      <c r="C14" t="s">
        <v>2222</v>
      </c>
      <c r="D14" t="s">
        <v>2245</v>
      </c>
      <c r="E14">
        <v>0</v>
      </c>
      <c r="F14">
        <v>4.4000000000000004</v>
      </c>
      <c r="I14" t="s">
        <v>3365</v>
      </c>
      <c r="J14" t="s">
        <v>3364</v>
      </c>
      <c r="K14" t="s">
        <v>2282</v>
      </c>
      <c r="L14">
        <v>1055</v>
      </c>
      <c r="M14" t="s">
        <v>2245</v>
      </c>
    </row>
    <row r="15" spans="1:14">
      <c r="A15" t="s">
        <v>2650</v>
      </c>
      <c r="B15" t="s">
        <v>20</v>
      </c>
      <c r="C15" t="s">
        <v>2222</v>
      </c>
      <c r="D15" t="s">
        <v>2223</v>
      </c>
      <c r="E15">
        <v>0.3</v>
      </c>
      <c r="F15">
        <v>4.0999999999999996</v>
      </c>
      <c r="I15" t="s">
        <v>3365</v>
      </c>
      <c r="J15" t="s">
        <v>3364</v>
      </c>
      <c r="K15" t="s">
        <v>2282</v>
      </c>
      <c r="L15">
        <v>1056</v>
      </c>
      <c r="M15" t="s">
        <v>2245</v>
      </c>
    </row>
    <row r="16" spans="1:14">
      <c r="A16" t="s">
        <v>2650</v>
      </c>
      <c r="B16" t="s">
        <v>20</v>
      </c>
      <c r="C16" t="s">
        <v>2222</v>
      </c>
      <c r="D16" t="s">
        <v>2245</v>
      </c>
      <c r="E16">
        <v>0.08</v>
      </c>
      <c r="F16">
        <v>0.38</v>
      </c>
      <c r="I16" t="s">
        <v>3365</v>
      </c>
      <c r="J16" t="s">
        <v>3364</v>
      </c>
      <c r="K16" t="s">
        <v>2282</v>
      </c>
      <c r="L16">
        <v>1057</v>
      </c>
      <c r="M16" t="s">
        <v>2245</v>
      </c>
    </row>
    <row r="17" spans="1:13">
      <c r="A17" t="s">
        <v>2650</v>
      </c>
      <c r="B17" t="s">
        <v>20</v>
      </c>
      <c r="C17" t="s">
        <v>2239</v>
      </c>
      <c r="D17" t="s">
        <v>2223</v>
      </c>
      <c r="E17">
        <v>0.31</v>
      </c>
      <c r="F17">
        <v>4.3</v>
      </c>
      <c r="I17" t="s">
        <v>3365</v>
      </c>
      <c r="J17" t="s">
        <v>3364</v>
      </c>
      <c r="K17" t="s">
        <v>2291</v>
      </c>
      <c r="L17">
        <v>1030</v>
      </c>
      <c r="M17" t="s">
        <v>2245</v>
      </c>
    </row>
    <row r="18" spans="1:13">
      <c r="A18" t="s">
        <v>2650</v>
      </c>
      <c r="B18" t="s">
        <v>20</v>
      </c>
      <c r="C18" t="s">
        <v>2251</v>
      </c>
      <c r="D18" t="s">
        <v>2245</v>
      </c>
      <c r="E18">
        <v>1.35</v>
      </c>
      <c r="F18">
        <v>0.2</v>
      </c>
      <c r="I18" t="s">
        <v>3365</v>
      </c>
      <c r="J18" t="s">
        <v>3364</v>
      </c>
      <c r="K18" t="s">
        <v>2291</v>
      </c>
      <c r="L18">
        <v>1031</v>
      </c>
      <c r="M18" t="s">
        <v>2223</v>
      </c>
    </row>
    <row r="19" spans="1:13">
      <c r="A19" t="s">
        <v>2650</v>
      </c>
      <c r="B19" t="s">
        <v>20</v>
      </c>
      <c r="C19" t="s">
        <v>2251</v>
      </c>
      <c r="D19" t="s">
        <v>2175</v>
      </c>
      <c r="E19">
        <v>6.6</v>
      </c>
      <c r="F19">
        <v>0.9</v>
      </c>
      <c r="I19" t="s">
        <v>3365</v>
      </c>
      <c r="J19" t="s">
        <v>3364</v>
      </c>
      <c r="K19" t="s">
        <v>2291</v>
      </c>
      <c r="L19">
        <v>1032</v>
      </c>
      <c r="M19" t="s">
        <v>2245</v>
      </c>
    </row>
    <row r="20" spans="1:13">
      <c r="A20" t="s">
        <v>2650</v>
      </c>
      <c r="B20" t="s">
        <v>20</v>
      </c>
      <c r="C20" t="s">
        <v>2251</v>
      </c>
      <c r="D20" t="s">
        <v>2245</v>
      </c>
      <c r="E20">
        <v>4.3499999999999996</v>
      </c>
      <c r="F20">
        <v>0.2</v>
      </c>
      <c r="I20" t="s">
        <v>3365</v>
      </c>
      <c r="J20" t="s">
        <v>3364</v>
      </c>
      <c r="K20" t="s">
        <v>2291</v>
      </c>
      <c r="L20">
        <v>1033</v>
      </c>
      <c r="M20" t="s">
        <v>2223</v>
      </c>
    </row>
    <row r="21" spans="1:13">
      <c r="A21" t="s">
        <v>2650</v>
      </c>
      <c r="B21" t="s">
        <v>20</v>
      </c>
      <c r="C21" t="s">
        <v>2260</v>
      </c>
      <c r="D21" t="s">
        <v>2245</v>
      </c>
      <c r="E21">
        <v>2.4</v>
      </c>
      <c r="F21">
        <v>0.05</v>
      </c>
      <c r="I21" t="s">
        <v>3365</v>
      </c>
      <c r="J21" t="s">
        <v>3364</v>
      </c>
      <c r="K21" t="s">
        <v>2291</v>
      </c>
      <c r="L21">
        <v>1034</v>
      </c>
      <c r="M21" t="s">
        <v>2245</v>
      </c>
    </row>
    <row r="22" spans="1:13">
      <c r="A22" t="s">
        <v>2650</v>
      </c>
      <c r="B22" t="s">
        <v>20</v>
      </c>
      <c r="C22" t="s">
        <v>2260</v>
      </c>
      <c r="D22" t="s">
        <v>2245</v>
      </c>
      <c r="E22">
        <v>2.4500000000000002</v>
      </c>
      <c r="F22">
        <v>0.15</v>
      </c>
      <c r="I22" t="s">
        <v>3365</v>
      </c>
      <c r="J22" t="s">
        <v>3364</v>
      </c>
      <c r="K22" t="s">
        <v>2291</v>
      </c>
      <c r="L22">
        <v>1035</v>
      </c>
      <c r="M22" t="s">
        <v>2223</v>
      </c>
    </row>
    <row r="23" spans="1:13">
      <c r="A23" t="s">
        <v>2650</v>
      </c>
      <c r="B23" t="s">
        <v>20</v>
      </c>
      <c r="C23" t="s">
        <v>2260</v>
      </c>
      <c r="D23" t="s">
        <v>2245</v>
      </c>
      <c r="E23">
        <v>4.7</v>
      </c>
      <c r="F23">
        <v>0.4</v>
      </c>
      <c r="I23" t="s">
        <v>3365</v>
      </c>
      <c r="J23" t="s">
        <v>3364</v>
      </c>
      <c r="K23" t="s">
        <v>2291</v>
      </c>
      <c r="L23">
        <v>1036</v>
      </c>
      <c r="M23" t="s">
        <v>2175</v>
      </c>
    </row>
    <row r="24" spans="1:13">
      <c r="A24" t="s">
        <v>2650</v>
      </c>
      <c r="B24" t="s">
        <v>20</v>
      </c>
      <c r="C24" t="s">
        <v>2260</v>
      </c>
      <c r="D24" t="s">
        <v>2245</v>
      </c>
      <c r="E24">
        <v>3.3</v>
      </c>
      <c r="F24">
        <v>0.4</v>
      </c>
      <c r="I24" t="s">
        <v>3365</v>
      </c>
      <c r="J24" t="s">
        <v>3364</v>
      </c>
      <c r="K24" t="s">
        <v>2291</v>
      </c>
      <c r="L24">
        <v>1037</v>
      </c>
      <c r="M24" t="s">
        <v>2175</v>
      </c>
    </row>
    <row r="25" spans="1:13">
      <c r="A25" t="s">
        <v>2650</v>
      </c>
      <c r="B25" t="s">
        <v>20</v>
      </c>
      <c r="C25" t="s">
        <v>2260</v>
      </c>
      <c r="D25" t="s">
        <v>2175</v>
      </c>
      <c r="E25">
        <v>9.6</v>
      </c>
      <c r="F25">
        <v>0.55000000000000004</v>
      </c>
      <c r="I25" t="s">
        <v>3365</v>
      </c>
      <c r="J25" t="s">
        <v>3364</v>
      </c>
      <c r="K25" t="s">
        <v>2301</v>
      </c>
      <c r="L25">
        <v>1038</v>
      </c>
      <c r="M25" t="s">
        <v>2223</v>
      </c>
    </row>
    <row r="26" spans="1:13">
      <c r="A26" t="s">
        <v>2650</v>
      </c>
      <c r="B26" t="s">
        <v>2644</v>
      </c>
      <c r="C26" t="s">
        <v>2173</v>
      </c>
      <c r="D26" t="s">
        <v>2223</v>
      </c>
      <c r="E26">
        <v>6.35</v>
      </c>
      <c r="F26">
        <v>0.45</v>
      </c>
      <c r="I26" t="s">
        <v>3365</v>
      </c>
      <c r="J26" t="s">
        <v>3364</v>
      </c>
      <c r="K26" t="s">
        <v>2301</v>
      </c>
      <c r="L26">
        <v>1039</v>
      </c>
      <c r="M26" t="s">
        <v>2175</v>
      </c>
    </row>
    <row r="27" spans="1:13">
      <c r="A27" t="s">
        <v>2650</v>
      </c>
      <c r="B27" t="s">
        <v>2644</v>
      </c>
      <c r="C27" t="s">
        <v>2173</v>
      </c>
      <c r="D27" t="s">
        <v>2223</v>
      </c>
      <c r="E27">
        <v>7.2</v>
      </c>
      <c r="F27">
        <v>0.95</v>
      </c>
      <c r="I27" t="s">
        <v>3365</v>
      </c>
      <c r="J27" t="s">
        <v>3364</v>
      </c>
      <c r="K27" t="s">
        <v>2301</v>
      </c>
      <c r="L27">
        <v>1040</v>
      </c>
      <c r="M27" t="s">
        <v>2245</v>
      </c>
    </row>
    <row r="28" spans="1:13">
      <c r="A28" t="s">
        <v>2650</v>
      </c>
      <c r="B28" t="s">
        <v>2644</v>
      </c>
      <c r="C28" t="s">
        <v>2189</v>
      </c>
      <c r="D28" t="s">
        <v>2175</v>
      </c>
      <c r="E28">
        <v>6.65</v>
      </c>
      <c r="F28">
        <v>0.85</v>
      </c>
      <c r="I28" t="s">
        <v>3365</v>
      </c>
      <c r="J28" t="s">
        <v>3364</v>
      </c>
      <c r="K28" t="s">
        <v>2301</v>
      </c>
      <c r="L28">
        <v>1041</v>
      </c>
      <c r="M28" t="s">
        <v>2245</v>
      </c>
    </row>
    <row r="29" spans="1:13">
      <c r="A29" t="s">
        <v>2650</v>
      </c>
      <c r="B29" t="s">
        <v>2644</v>
      </c>
      <c r="C29" t="s">
        <v>2203</v>
      </c>
      <c r="G29" t="s">
        <v>3368</v>
      </c>
      <c r="I29" t="s">
        <v>3365</v>
      </c>
      <c r="J29" t="s">
        <v>3364</v>
      </c>
      <c r="K29" t="s">
        <v>2301</v>
      </c>
      <c r="L29">
        <v>1042</v>
      </c>
      <c r="M29" t="s">
        <v>2245</v>
      </c>
    </row>
    <row r="30" spans="1:13">
      <c r="A30" t="s">
        <v>2650</v>
      </c>
      <c r="B30" t="s">
        <v>2644</v>
      </c>
      <c r="C30" t="s">
        <v>2213</v>
      </c>
      <c r="G30" t="s">
        <v>3368</v>
      </c>
      <c r="I30" t="s">
        <v>3365</v>
      </c>
      <c r="J30" t="s">
        <v>3364</v>
      </c>
      <c r="K30" t="s">
        <v>2301</v>
      </c>
      <c r="L30">
        <v>1043</v>
      </c>
      <c r="M30" t="s">
        <v>2245</v>
      </c>
    </row>
    <row r="31" spans="1:13">
      <c r="A31" t="s">
        <v>2271</v>
      </c>
      <c r="B31" t="s">
        <v>3364</v>
      </c>
      <c r="C31" t="s">
        <v>2273</v>
      </c>
      <c r="D31" t="s">
        <v>2245</v>
      </c>
      <c r="E31">
        <v>0.15</v>
      </c>
      <c r="F31">
        <v>1.4</v>
      </c>
      <c r="I31" t="s">
        <v>2650</v>
      </c>
      <c r="J31" t="s">
        <v>20</v>
      </c>
      <c r="K31" t="s">
        <v>2222</v>
      </c>
      <c r="L31">
        <v>1078</v>
      </c>
      <c r="M31" t="s">
        <v>2245</v>
      </c>
    </row>
    <row r="32" spans="1:13">
      <c r="A32" t="s">
        <v>2271</v>
      </c>
      <c r="B32" t="s">
        <v>3364</v>
      </c>
      <c r="C32" t="s">
        <v>2273</v>
      </c>
      <c r="D32" t="s">
        <v>2245</v>
      </c>
      <c r="E32">
        <v>0</v>
      </c>
      <c r="F32">
        <v>3.1</v>
      </c>
      <c r="I32" t="s">
        <v>2650</v>
      </c>
      <c r="J32" t="s">
        <v>20</v>
      </c>
      <c r="K32" t="s">
        <v>2222</v>
      </c>
      <c r="L32">
        <v>1079</v>
      </c>
      <c r="M32" t="s">
        <v>2245</v>
      </c>
    </row>
    <row r="33" spans="1:13">
      <c r="A33" t="s">
        <v>2271</v>
      </c>
      <c r="B33" t="s">
        <v>3364</v>
      </c>
      <c r="C33" t="s">
        <v>2282</v>
      </c>
      <c r="D33" t="s">
        <v>2245</v>
      </c>
      <c r="E33">
        <v>0.1</v>
      </c>
      <c r="F33">
        <v>1.4</v>
      </c>
      <c r="I33" t="s">
        <v>2650</v>
      </c>
      <c r="J33" t="s">
        <v>20</v>
      </c>
      <c r="K33" t="s">
        <v>2222</v>
      </c>
      <c r="L33">
        <v>1080</v>
      </c>
      <c r="M33" t="s">
        <v>2245</v>
      </c>
    </row>
    <row r="34" spans="1:13">
      <c r="A34" t="s">
        <v>2271</v>
      </c>
      <c r="B34" t="s">
        <v>3364</v>
      </c>
      <c r="C34" t="s">
        <v>2282</v>
      </c>
      <c r="D34" t="s">
        <v>2245</v>
      </c>
      <c r="E34">
        <v>0.15</v>
      </c>
      <c r="F34">
        <v>1.6</v>
      </c>
      <c r="I34" t="s">
        <v>2650</v>
      </c>
      <c r="J34" t="s">
        <v>20</v>
      </c>
      <c r="K34" t="s">
        <v>2222</v>
      </c>
      <c r="L34">
        <v>1081</v>
      </c>
      <c r="M34" t="s">
        <v>2245</v>
      </c>
    </row>
    <row r="35" spans="1:13">
      <c r="A35" t="s">
        <v>2271</v>
      </c>
      <c r="B35" t="s">
        <v>3364</v>
      </c>
      <c r="C35" t="s">
        <v>2282</v>
      </c>
      <c r="D35" t="s">
        <v>2245</v>
      </c>
      <c r="E35">
        <v>0.15</v>
      </c>
      <c r="F35">
        <v>1.9</v>
      </c>
      <c r="I35" t="s">
        <v>2650</v>
      </c>
      <c r="J35" t="s">
        <v>20</v>
      </c>
      <c r="K35" t="s">
        <v>2222</v>
      </c>
      <c r="L35">
        <v>1082</v>
      </c>
      <c r="M35" t="s">
        <v>2245</v>
      </c>
    </row>
    <row r="36" spans="1:13">
      <c r="A36" t="s">
        <v>2271</v>
      </c>
      <c r="B36" t="s">
        <v>3364</v>
      </c>
      <c r="C36" t="s">
        <v>2291</v>
      </c>
      <c r="D36" t="s">
        <v>2175</v>
      </c>
      <c r="E36">
        <v>0.14000000000000001</v>
      </c>
      <c r="F36">
        <v>1.1000000000000001</v>
      </c>
      <c r="I36" t="s">
        <v>2650</v>
      </c>
      <c r="J36" t="s">
        <v>20</v>
      </c>
      <c r="K36" t="s">
        <v>2239</v>
      </c>
      <c r="L36">
        <v>1083</v>
      </c>
      <c r="M36" t="s">
        <v>2245</v>
      </c>
    </row>
    <row r="37" spans="1:13">
      <c r="A37" t="s">
        <v>2271</v>
      </c>
      <c r="B37" t="s">
        <v>3364</v>
      </c>
      <c r="C37" t="s">
        <v>2301</v>
      </c>
      <c r="D37" t="s">
        <v>2245</v>
      </c>
      <c r="E37">
        <v>0.23</v>
      </c>
      <c r="F37">
        <v>2.6</v>
      </c>
      <c r="I37" t="s">
        <v>2650</v>
      </c>
      <c r="J37" t="s">
        <v>20</v>
      </c>
      <c r="K37" t="s">
        <v>2239</v>
      </c>
      <c r="L37">
        <v>1084</v>
      </c>
      <c r="M37" t="s">
        <v>2245</v>
      </c>
    </row>
    <row r="38" spans="1:13">
      <c r="A38" t="s">
        <v>2271</v>
      </c>
      <c r="B38" t="s">
        <v>3364</v>
      </c>
      <c r="C38" t="s">
        <v>2301</v>
      </c>
      <c r="D38" t="s">
        <v>2245</v>
      </c>
      <c r="E38">
        <v>0.2</v>
      </c>
      <c r="F38">
        <v>3.2</v>
      </c>
      <c r="I38" t="s">
        <v>2650</v>
      </c>
      <c r="J38" t="s">
        <v>20</v>
      </c>
      <c r="K38" t="s">
        <v>2239</v>
      </c>
      <c r="L38">
        <v>1085</v>
      </c>
      <c r="M38" t="s">
        <v>2245</v>
      </c>
    </row>
    <row r="39" spans="1:13">
      <c r="A39" t="s">
        <v>2171</v>
      </c>
      <c r="B39" t="s">
        <v>20</v>
      </c>
      <c r="C39" t="s">
        <v>2222</v>
      </c>
      <c r="D39" t="s">
        <v>2245</v>
      </c>
      <c r="E39">
        <v>0.17</v>
      </c>
      <c r="F39">
        <v>1.9</v>
      </c>
      <c r="I39" t="s">
        <v>2650</v>
      </c>
      <c r="J39" t="s">
        <v>20</v>
      </c>
      <c r="K39" t="s">
        <v>2251</v>
      </c>
      <c r="L39">
        <v>1058</v>
      </c>
      <c r="M39" t="s">
        <v>2175</v>
      </c>
    </row>
    <row r="40" spans="1:13">
      <c r="A40" t="s">
        <v>2171</v>
      </c>
      <c r="B40" t="s">
        <v>20</v>
      </c>
      <c r="C40" t="s">
        <v>2222</v>
      </c>
      <c r="D40" t="s">
        <v>2223</v>
      </c>
      <c r="E40">
        <v>1.8</v>
      </c>
      <c r="F40">
        <v>8.4</v>
      </c>
      <c r="I40" t="s">
        <v>2650</v>
      </c>
      <c r="J40" t="s">
        <v>20</v>
      </c>
      <c r="K40" t="s">
        <v>2251</v>
      </c>
      <c r="L40">
        <v>1059</v>
      </c>
      <c r="M40" t="s">
        <v>2175</v>
      </c>
    </row>
    <row r="41" spans="1:13">
      <c r="A41" t="s">
        <v>2171</v>
      </c>
      <c r="B41" t="s">
        <v>20</v>
      </c>
      <c r="C41" t="s">
        <v>2222</v>
      </c>
      <c r="D41" t="s">
        <v>2245</v>
      </c>
      <c r="E41">
        <v>0.32</v>
      </c>
      <c r="F41">
        <v>5.9</v>
      </c>
      <c r="I41" t="s">
        <v>2650</v>
      </c>
      <c r="J41" t="s">
        <v>20</v>
      </c>
      <c r="K41" t="s">
        <v>2251</v>
      </c>
      <c r="L41">
        <v>1060</v>
      </c>
      <c r="M41" t="s">
        <v>2245</v>
      </c>
    </row>
    <row r="42" spans="1:13">
      <c r="A42" t="s">
        <v>2171</v>
      </c>
      <c r="B42" t="s">
        <v>20</v>
      </c>
      <c r="C42" t="s">
        <v>2222</v>
      </c>
      <c r="D42" t="s">
        <v>2245</v>
      </c>
      <c r="E42">
        <v>0.1</v>
      </c>
      <c r="F42">
        <v>1.65</v>
      </c>
      <c r="I42" t="s">
        <v>2650</v>
      </c>
      <c r="J42" t="s">
        <v>20</v>
      </c>
      <c r="K42" t="s">
        <v>2251</v>
      </c>
      <c r="L42">
        <v>1061</v>
      </c>
      <c r="M42" t="s">
        <v>2245</v>
      </c>
    </row>
    <row r="43" spans="1:13">
      <c r="A43" t="s">
        <v>2171</v>
      </c>
      <c r="B43" t="s">
        <v>20</v>
      </c>
      <c r="C43" t="s">
        <v>2239</v>
      </c>
      <c r="D43" t="s">
        <v>2223</v>
      </c>
      <c r="E43">
        <v>0.56999999999999995</v>
      </c>
      <c r="F43">
        <v>3.2</v>
      </c>
      <c r="I43" t="s">
        <v>2650</v>
      </c>
      <c r="J43" t="s">
        <v>20</v>
      </c>
      <c r="K43" t="s">
        <v>2251</v>
      </c>
      <c r="L43">
        <v>1062</v>
      </c>
      <c r="M43" t="s">
        <v>2245</v>
      </c>
    </row>
    <row r="44" spans="1:13">
      <c r="A44" t="s">
        <v>2171</v>
      </c>
      <c r="B44" t="s">
        <v>20</v>
      </c>
      <c r="C44" t="s">
        <v>2239</v>
      </c>
      <c r="D44" t="s">
        <v>2223</v>
      </c>
      <c r="E44">
        <v>0.78</v>
      </c>
      <c r="F44">
        <v>3.95</v>
      </c>
      <c r="I44" t="s">
        <v>2650</v>
      </c>
      <c r="J44" t="s">
        <v>20</v>
      </c>
      <c r="K44" t="s">
        <v>2251</v>
      </c>
      <c r="L44">
        <v>1063</v>
      </c>
      <c r="M44" t="s">
        <v>2245</v>
      </c>
    </row>
    <row r="45" spans="1:13">
      <c r="A45" t="s">
        <v>2171</v>
      </c>
      <c r="B45" t="s">
        <v>20</v>
      </c>
      <c r="C45" t="s">
        <v>2239</v>
      </c>
      <c r="D45" t="s">
        <v>2245</v>
      </c>
      <c r="E45">
        <v>0.2</v>
      </c>
      <c r="F45">
        <v>2.0499999999999998</v>
      </c>
      <c r="I45" t="s">
        <v>2650</v>
      </c>
      <c r="J45" t="s">
        <v>20</v>
      </c>
      <c r="K45" t="s">
        <v>2251</v>
      </c>
      <c r="L45">
        <v>1064</v>
      </c>
      <c r="M45" t="s">
        <v>2245</v>
      </c>
    </row>
    <row r="46" spans="1:13">
      <c r="A46" t="s">
        <v>2171</v>
      </c>
      <c r="B46" t="s">
        <v>20</v>
      </c>
      <c r="C46" t="s">
        <v>2239</v>
      </c>
      <c r="D46" t="s">
        <v>2245</v>
      </c>
      <c r="E46">
        <v>0.15</v>
      </c>
      <c r="F46">
        <v>4.7</v>
      </c>
      <c r="I46" t="s">
        <v>2650</v>
      </c>
      <c r="J46" t="s">
        <v>20</v>
      </c>
      <c r="K46" t="s">
        <v>2260</v>
      </c>
      <c r="L46">
        <v>1065</v>
      </c>
      <c r="M46" t="s">
        <v>2223</v>
      </c>
    </row>
    <row r="47" spans="1:13">
      <c r="A47" t="s">
        <v>2171</v>
      </c>
      <c r="B47" t="s">
        <v>20</v>
      </c>
      <c r="C47" t="s">
        <v>2251</v>
      </c>
      <c r="D47" t="s">
        <v>2245</v>
      </c>
      <c r="E47">
        <v>0.08</v>
      </c>
      <c r="F47">
        <v>0.3</v>
      </c>
      <c r="I47" t="s">
        <v>2650</v>
      </c>
      <c r="J47" t="s">
        <v>20</v>
      </c>
      <c r="K47" t="s">
        <v>2260</v>
      </c>
      <c r="L47">
        <v>1068</v>
      </c>
      <c r="M47" t="s">
        <v>2245</v>
      </c>
    </row>
    <row r="48" spans="1:13">
      <c r="A48" t="s">
        <v>2171</v>
      </c>
      <c r="B48" t="s">
        <v>20</v>
      </c>
      <c r="C48" t="s">
        <v>2251</v>
      </c>
      <c r="D48" t="s">
        <v>2245</v>
      </c>
      <c r="E48">
        <v>0.05</v>
      </c>
      <c r="F48">
        <v>0.45</v>
      </c>
      <c r="I48" t="s">
        <v>2650</v>
      </c>
      <c r="J48" t="s">
        <v>20</v>
      </c>
      <c r="K48" t="s">
        <v>2260</v>
      </c>
      <c r="L48">
        <v>1069</v>
      </c>
      <c r="M48" t="s">
        <v>2245</v>
      </c>
    </row>
    <row r="49" spans="1:13">
      <c r="A49" t="s">
        <v>2171</v>
      </c>
      <c r="B49" t="s">
        <v>20</v>
      </c>
      <c r="C49" t="s">
        <v>2260</v>
      </c>
      <c r="D49" t="s">
        <v>2175</v>
      </c>
      <c r="E49">
        <v>0.36</v>
      </c>
      <c r="F49">
        <v>1.6</v>
      </c>
      <c r="G49" t="s">
        <v>3369</v>
      </c>
      <c r="I49" t="s">
        <v>2650</v>
      </c>
      <c r="J49" t="s">
        <v>20</v>
      </c>
      <c r="K49" t="s">
        <v>2260</v>
      </c>
      <c r="L49">
        <v>1070</v>
      </c>
      <c r="M49" t="s">
        <v>2245</v>
      </c>
    </row>
    <row r="50" spans="1:13">
      <c r="A50" t="s">
        <v>2171</v>
      </c>
      <c r="B50" t="s">
        <v>2644</v>
      </c>
      <c r="C50" t="s">
        <v>3370</v>
      </c>
      <c r="D50" t="s">
        <v>2175</v>
      </c>
      <c r="E50">
        <v>2.2999999999999998</v>
      </c>
      <c r="F50">
        <v>4.2</v>
      </c>
      <c r="G50" t="s">
        <v>3371</v>
      </c>
      <c r="I50" t="s">
        <v>2650</v>
      </c>
      <c r="J50" t="s">
        <v>20</v>
      </c>
      <c r="K50" t="s">
        <v>2260</v>
      </c>
      <c r="L50">
        <v>1071</v>
      </c>
      <c r="M50" t="s">
        <v>2175</v>
      </c>
    </row>
    <row r="51" spans="1:13">
      <c r="A51" t="s">
        <v>2171</v>
      </c>
      <c r="B51" t="s">
        <v>2644</v>
      </c>
      <c r="C51" t="s">
        <v>3372</v>
      </c>
      <c r="G51" t="s">
        <v>3368</v>
      </c>
      <c r="I51" t="s">
        <v>2650</v>
      </c>
      <c r="J51" t="s">
        <v>20</v>
      </c>
      <c r="K51" t="s">
        <v>2260</v>
      </c>
      <c r="L51">
        <v>1072</v>
      </c>
      <c r="M51" t="s">
        <v>2245</v>
      </c>
    </row>
    <row r="52" spans="1:13">
      <c r="I52" t="s">
        <v>2650</v>
      </c>
      <c r="J52" t="s">
        <v>20</v>
      </c>
      <c r="K52" t="s">
        <v>2260</v>
      </c>
      <c r="L52">
        <v>1073</v>
      </c>
      <c r="M52" t="s">
        <v>2223</v>
      </c>
    </row>
    <row r="53" spans="1:13">
      <c r="I53" t="s">
        <v>2650</v>
      </c>
      <c r="J53" t="s">
        <v>2644</v>
      </c>
      <c r="K53" t="s">
        <v>2173</v>
      </c>
      <c r="L53">
        <v>1074</v>
      </c>
      <c r="M53" t="s">
        <v>2223</v>
      </c>
    </row>
    <row r="54" spans="1:13">
      <c r="I54" t="s">
        <v>2650</v>
      </c>
      <c r="J54" t="s">
        <v>2644</v>
      </c>
      <c r="K54" t="s">
        <v>2173</v>
      </c>
      <c r="L54">
        <v>1075</v>
      </c>
      <c r="M54" t="s">
        <v>2175</v>
      </c>
    </row>
    <row r="55" spans="1:13">
      <c r="I55" t="s">
        <v>2650</v>
      </c>
      <c r="J55" t="s">
        <v>2644</v>
      </c>
      <c r="K55" t="s">
        <v>2189</v>
      </c>
      <c r="L55">
        <v>1076</v>
      </c>
      <c r="M55" t="s">
        <v>2175</v>
      </c>
    </row>
    <row r="56" spans="1:13">
      <c r="I56" t="s">
        <v>2650</v>
      </c>
      <c r="J56" t="s">
        <v>2644</v>
      </c>
      <c r="K56" t="s">
        <v>3372</v>
      </c>
      <c r="L56">
        <v>1086</v>
      </c>
      <c r="M56" t="s">
        <v>2245</v>
      </c>
    </row>
    <row r="57" spans="1:13">
      <c r="I57" t="s">
        <v>2271</v>
      </c>
      <c r="J57" t="s">
        <v>3364</v>
      </c>
      <c r="K57" t="s">
        <v>2273</v>
      </c>
      <c r="L57">
        <v>1097</v>
      </c>
      <c r="M57" t="s">
        <v>2245</v>
      </c>
    </row>
    <row r="58" spans="1:13">
      <c r="I58" t="s">
        <v>2271</v>
      </c>
      <c r="J58" t="s">
        <v>3364</v>
      </c>
      <c r="K58" t="s">
        <v>2273</v>
      </c>
      <c r="L58">
        <v>1098</v>
      </c>
      <c r="M58" t="s">
        <v>2245</v>
      </c>
    </row>
    <row r="59" spans="1:13">
      <c r="I59" t="s">
        <v>2271</v>
      </c>
      <c r="J59" t="s">
        <v>3364</v>
      </c>
      <c r="K59" t="s">
        <v>2273</v>
      </c>
      <c r="L59">
        <v>1099</v>
      </c>
      <c r="M59" t="s">
        <v>2245</v>
      </c>
    </row>
    <row r="60" spans="1:13">
      <c r="I60" t="s">
        <v>2271</v>
      </c>
      <c r="J60" t="s">
        <v>3364</v>
      </c>
      <c r="K60" t="s">
        <v>2273</v>
      </c>
      <c r="L60">
        <v>1100</v>
      </c>
      <c r="M60" t="s">
        <v>2245</v>
      </c>
    </row>
    <row r="61" spans="1:13">
      <c r="I61" t="s">
        <v>2271</v>
      </c>
      <c r="J61" t="s">
        <v>3364</v>
      </c>
      <c r="K61" t="s">
        <v>2273</v>
      </c>
      <c r="L61">
        <v>1101</v>
      </c>
      <c r="M61" t="s">
        <v>2245</v>
      </c>
    </row>
    <row r="62" spans="1:13">
      <c r="I62" t="s">
        <v>2271</v>
      </c>
      <c r="J62" t="s">
        <v>3364</v>
      </c>
      <c r="K62" t="s">
        <v>2282</v>
      </c>
      <c r="L62">
        <v>1112</v>
      </c>
      <c r="M62" t="s">
        <v>2245</v>
      </c>
    </row>
    <row r="63" spans="1:13">
      <c r="I63" t="s">
        <v>2271</v>
      </c>
      <c r="J63" t="s">
        <v>3364</v>
      </c>
      <c r="K63" t="s">
        <v>2282</v>
      </c>
      <c r="L63">
        <v>1113</v>
      </c>
      <c r="M63" t="s">
        <v>2245</v>
      </c>
    </row>
    <row r="64" spans="1:13">
      <c r="I64" t="s">
        <v>2271</v>
      </c>
      <c r="J64" t="s">
        <v>3364</v>
      </c>
      <c r="K64" t="s">
        <v>2282</v>
      </c>
      <c r="L64">
        <v>1114</v>
      </c>
      <c r="M64" t="s">
        <v>2223</v>
      </c>
    </row>
    <row r="65" spans="9:13">
      <c r="I65" t="s">
        <v>2271</v>
      </c>
      <c r="J65" t="s">
        <v>3364</v>
      </c>
      <c r="K65" t="s">
        <v>2282</v>
      </c>
      <c r="L65">
        <v>1115</v>
      </c>
      <c r="M65" t="s">
        <v>2245</v>
      </c>
    </row>
    <row r="66" spans="9:13">
      <c r="I66" t="s">
        <v>2271</v>
      </c>
      <c r="J66" t="s">
        <v>3364</v>
      </c>
      <c r="K66" t="s">
        <v>2282</v>
      </c>
      <c r="L66">
        <v>1116</v>
      </c>
      <c r="M66" t="s">
        <v>2245</v>
      </c>
    </row>
    <row r="67" spans="9:13">
      <c r="I67" t="s">
        <v>2271</v>
      </c>
      <c r="J67" t="s">
        <v>3364</v>
      </c>
      <c r="K67" t="s">
        <v>2282</v>
      </c>
      <c r="L67">
        <v>1117</v>
      </c>
      <c r="M67" t="s">
        <v>2245</v>
      </c>
    </row>
    <row r="68" spans="9:13">
      <c r="I68" t="s">
        <v>2271</v>
      </c>
      <c r="J68" t="s">
        <v>3364</v>
      </c>
      <c r="K68" t="s">
        <v>2282</v>
      </c>
      <c r="L68">
        <v>1118</v>
      </c>
      <c r="M68" t="s">
        <v>2175</v>
      </c>
    </row>
    <row r="69" spans="9:13">
      <c r="I69" t="s">
        <v>2271</v>
      </c>
      <c r="J69" t="s">
        <v>3364</v>
      </c>
      <c r="K69" t="s">
        <v>2291</v>
      </c>
      <c r="L69">
        <v>1119</v>
      </c>
      <c r="M69" t="s">
        <v>2245</v>
      </c>
    </row>
    <row r="70" spans="9:13">
      <c r="I70" t="s">
        <v>2271</v>
      </c>
      <c r="J70" t="s">
        <v>3364</v>
      </c>
      <c r="K70" t="s">
        <v>2291</v>
      </c>
      <c r="L70">
        <v>1120</v>
      </c>
      <c r="M70" t="s">
        <v>2245</v>
      </c>
    </row>
    <row r="71" spans="9:13">
      <c r="I71" t="s">
        <v>2271</v>
      </c>
      <c r="J71" t="s">
        <v>3364</v>
      </c>
      <c r="K71" t="s">
        <v>2291</v>
      </c>
      <c r="L71">
        <v>1121</v>
      </c>
      <c r="M71" t="s">
        <v>2245</v>
      </c>
    </row>
    <row r="72" spans="9:13">
      <c r="I72" t="s">
        <v>2271</v>
      </c>
      <c r="J72" t="s">
        <v>3364</v>
      </c>
      <c r="K72" t="s">
        <v>2291</v>
      </c>
      <c r="L72">
        <v>1122</v>
      </c>
      <c r="M72" t="s">
        <v>2245</v>
      </c>
    </row>
    <row r="73" spans="9:13">
      <c r="I73" t="s">
        <v>2271</v>
      </c>
      <c r="J73" t="s">
        <v>3364</v>
      </c>
      <c r="K73" t="s">
        <v>2301</v>
      </c>
      <c r="L73">
        <v>1123</v>
      </c>
      <c r="M73" t="s">
        <v>2245</v>
      </c>
    </row>
    <row r="74" spans="9:13">
      <c r="I74" t="s">
        <v>2271</v>
      </c>
      <c r="J74" t="s">
        <v>3364</v>
      </c>
      <c r="K74" t="s">
        <v>2301</v>
      </c>
      <c r="L74">
        <v>1124</v>
      </c>
      <c r="M74" t="s">
        <v>2245</v>
      </c>
    </row>
    <row r="75" spans="9:13">
      <c r="I75" t="s">
        <v>2271</v>
      </c>
      <c r="J75" t="s">
        <v>3364</v>
      </c>
      <c r="K75" t="s">
        <v>2301</v>
      </c>
      <c r="L75">
        <v>1125</v>
      </c>
      <c r="M75" t="s">
        <v>2245</v>
      </c>
    </row>
    <row r="76" spans="9:13">
      <c r="I76" t="s">
        <v>2271</v>
      </c>
      <c r="J76" t="s">
        <v>3364</v>
      </c>
      <c r="K76" t="s">
        <v>2301</v>
      </c>
      <c r="L76">
        <v>1126</v>
      </c>
      <c r="M76" t="s">
        <v>2223</v>
      </c>
    </row>
    <row r="77" spans="9:13">
      <c r="I77" t="s">
        <v>2271</v>
      </c>
      <c r="J77" t="s">
        <v>3364</v>
      </c>
      <c r="K77" t="s">
        <v>2301</v>
      </c>
      <c r="L77">
        <v>1127</v>
      </c>
      <c r="M77" t="s">
        <v>2245</v>
      </c>
    </row>
    <row r="78" spans="9:13">
      <c r="I78" t="s">
        <v>2171</v>
      </c>
      <c r="J78" t="s">
        <v>20</v>
      </c>
      <c r="K78" t="s">
        <v>2222</v>
      </c>
      <c r="L78">
        <v>1137</v>
      </c>
      <c r="M78" t="s">
        <v>2223</v>
      </c>
    </row>
    <row r="79" spans="9:13">
      <c r="I79" t="s">
        <v>2171</v>
      </c>
      <c r="J79" t="s">
        <v>20</v>
      </c>
      <c r="K79" t="s">
        <v>2222</v>
      </c>
      <c r="L79">
        <v>1138</v>
      </c>
      <c r="M79" t="s">
        <v>2245</v>
      </c>
    </row>
    <row r="80" spans="9:13">
      <c r="I80" t="s">
        <v>2171</v>
      </c>
      <c r="J80" t="s">
        <v>20</v>
      </c>
      <c r="K80" t="s">
        <v>2222</v>
      </c>
      <c r="L80">
        <v>1139</v>
      </c>
      <c r="M80" t="s">
        <v>2175</v>
      </c>
    </row>
    <row r="81" spans="9:14">
      <c r="I81" t="s">
        <v>2171</v>
      </c>
      <c r="J81" t="s">
        <v>20</v>
      </c>
      <c r="K81" t="s">
        <v>2222</v>
      </c>
      <c r="L81">
        <v>1140</v>
      </c>
      <c r="M81" t="s">
        <v>2245</v>
      </c>
    </row>
    <row r="82" spans="9:14">
      <c r="I82" t="s">
        <v>2171</v>
      </c>
      <c r="J82" t="s">
        <v>20</v>
      </c>
      <c r="K82" t="s">
        <v>2222</v>
      </c>
      <c r="L82">
        <v>1141</v>
      </c>
      <c r="M82" t="s">
        <v>2175</v>
      </c>
    </row>
    <row r="83" spans="9:14">
      <c r="I83" t="s">
        <v>2171</v>
      </c>
      <c r="J83" t="s">
        <v>20</v>
      </c>
      <c r="K83" t="s">
        <v>2239</v>
      </c>
      <c r="L83">
        <v>1143</v>
      </c>
      <c r="M83" t="s">
        <v>2223</v>
      </c>
    </row>
    <row r="84" spans="9:14">
      <c r="I84" t="s">
        <v>2171</v>
      </c>
      <c r="J84" t="s">
        <v>20</v>
      </c>
      <c r="K84" t="s">
        <v>2239</v>
      </c>
      <c r="L84">
        <v>1144</v>
      </c>
      <c r="M84" t="s">
        <v>2223</v>
      </c>
    </row>
    <row r="85" spans="9:14">
      <c r="I85" t="s">
        <v>2171</v>
      </c>
      <c r="J85" t="s">
        <v>20</v>
      </c>
      <c r="K85" t="s">
        <v>2239</v>
      </c>
      <c r="L85">
        <v>1145</v>
      </c>
      <c r="M85" t="s">
        <v>2175</v>
      </c>
    </row>
    <row r="86" spans="9:14">
      <c r="I86" t="s">
        <v>2171</v>
      </c>
      <c r="J86" t="s">
        <v>20</v>
      </c>
      <c r="K86" t="s">
        <v>2239</v>
      </c>
      <c r="L86">
        <v>1146</v>
      </c>
      <c r="M86" t="s">
        <v>2245</v>
      </c>
    </row>
    <row r="87" spans="9:14">
      <c r="I87" t="s">
        <v>2171</v>
      </c>
      <c r="J87" t="s">
        <v>20</v>
      </c>
      <c r="K87" t="s">
        <v>2251</v>
      </c>
      <c r="L87">
        <v>1153</v>
      </c>
      <c r="M87" t="s">
        <v>2175</v>
      </c>
    </row>
    <row r="88" spans="9:14">
      <c r="I88" t="s">
        <v>2171</v>
      </c>
      <c r="J88" t="s">
        <v>20</v>
      </c>
      <c r="K88" t="s">
        <v>2251</v>
      </c>
      <c r="L88">
        <v>1154</v>
      </c>
      <c r="M88" t="s">
        <v>2245</v>
      </c>
    </row>
    <row r="89" spans="9:14">
      <c r="I89" t="s">
        <v>2171</v>
      </c>
      <c r="J89" t="s">
        <v>20</v>
      </c>
      <c r="K89" t="s">
        <v>2260</v>
      </c>
      <c r="L89">
        <v>1152</v>
      </c>
      <c r="M89" t="s">
        <v>2245</v>
      </c>
    </row>
    <row r="90" spans="9:14">
      <c r="I90" t="s">
        <v>2171</v>
      </c>
      <c r="J90" t="s">
        <v>2644</v>
      </c>
      <c r="K90" t="s">
        <v>3370</v>
      </c>
      <c r="L90">
        <v>1155</v>
      </c>
      <c r="M90" t="s">
        <v>2175</v>
      </c>
    </row>
    <row r="91" spans="9:14">
      <c r="I91" t="s">
        <v>2171</v>
      </c>
      <c r="J91" t="s">
        <v>2644</v>
      </c>
      <c r="K91" t="s">
        <v>3372</v>
      </c>
      <c r="N91" t="s">
        <v>3373</v>
      </c>
    </row>
  </sheetData>
  <mergeCells count="1">
    <mergeCell ref="I1:M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3148</v>
      </c>
      <c r="B1" t="s">
        <v>3149</v>
      </c>
      <c r="C1" t="s">
        <v>3150</v>
      </c>
      <c r="D1" t="s">
        <v>3151</v>
      </c>
      <c r="E1" t="s">
        <v>3152</v>
      </c>
      <c r="F1" t="s">
        <v>2164</v>
      </c>
      <c r="G1" t="s">
        <v>3153</v>
      </c>
      <c r="H1" t="s">
        <v>3154</v>
      </c>
      <c r="I1" t="s">
        <v>2627</v>
      </c>
      <c r="J1" t="s">
        <v>2161</v>
      </c>
    </row>
    <row r="2" spans="1:10">
      <c r="A2">
        <v>1</v>
      </c>
      <c r="B2">
        <v>-3.3978609999999998</v>
      </c>
      <c r="C2">
        <v>34.837608000000003</v>
      </c>
      <c r="D2">
        <v>1626.5</v>
      </c>
      <c r="E2" t="s">
        <v>3155</v>
      </c>
      <c r="F2">
        <v>1250</v>
      </c>
      <c r="G2" t="s">
        <v>3156</v>
      </c>
      <c r="H2" t="s">
        <v>3157</v>
      </c>
      <c r="I2" t="s">
        <v>2173</v>
      </c>
      <c r="J2" t="s">
        <v>2172</v>
      </c>
    </row>
    <row r="3" spans="1:10">
      <c r="A3">
        <v>2</v>
      </c>
      <c r="B3">
        <v>-3.397879042</v>
      </c>
      <c r="C3">
        <v>34.837536010000001</v>
      </c>
      <c r="D3">
        <v>1638.11</v>
      </c>
      <c r="E3" t="s">
        <v>3158</v>
      </c>
      <c r="F3">
        <v>855</v>
      </c>
      <c r="G3" t="s">
        <v>3156</v>
      </c>
      <c r="H3" t="s">
        <v>3157</v>
      </c>
      <c r="I3" t="s">
        <v>2173</v>
      </c>
      <c r="J3" t="s">
        <v>2178</v>
      </c>
    </row>
    <row r="4" spans="1:10">
      <c r="A4">
        <v>3</v>
      </c>
      <c r="B4">
        <v>-3.3978739999999998</v>
      </c>
      <c r="C4">
        <v>34.837578999999998</v>
      </c>
      <c r="D4">
        <v>1626.3</v>
      </c>
      <c r="E4" t="s">
        <v>3155</v>
      </c>
      <c r="F4">
        <v>1249</v>
      </c>
      <c r="G4" t="s">
        <v>3156</v>
      </c>
      <c r="H4" t="s">
        <v>3157</v>
      </c>
      <c r="I4" t="s">
        <v>2173</v>
      </c>
      <c r="J4" t="s">
        <v>2179</v>
      </c>
    </row>
    <row r="5" spans="1:10">
      <c r="A5">
        <v>4</v>
      </c>
      <c r="B5">
        <v>-3.3977780399999999</v>
      </c>
      <c r="C5">
        <v>34.83751204</v>
      </c>
      <c r="D5">
        <v>1637.87</v>
      </c>
      <c r="E5" t="s">
        <v>3159</v>
      </c>
      <c r="F5">
        <v>857</v>
      </c>
      <c r="G5" t="s">
        <v>3156</v>
      </c>
      <c r="H5" t="s">
        <v>3157</v>
      </c>
      <c r="I5" t="s">
        <v>2173</v>
      </c>
      <c r="J5" t="s">
        <v>2181</v>
      </c>
    </row>
    <row r="6" spans="1:10">
      <c r="A6">
        <v>5</v>
      </c>
      <c r="B6">
        <v>-3.3978020120000001</v>
      </c>
      <c r="C6">
        <v>34.83751204</v>
      </c>
      <c r="D6">
        <v>1635.96</v>
      </c>
      <c r="E6" t="s">
        <v>3160</v>
      </c>
      <c r="F6">
        <v>858</v>
      </c>
      <c r="G6" t="s">
        <v>3156</v>
      </c>
      <c r="H6" t="s">
        <v>3157</v>
      </c>
      <c r="I6" t="s">
        <v>2173</v>
      </c>
      <c r="J6" t="s">
        <v>2184</v>
      </c>
    </row>
    <row r="7" spans="1:10">
      <c r="A7">
        <v>6</v>
      </c>
      <c r="B7">
        <v>-3.3977389800000002</v>
      </c>
      <c r="C7">
        <v>34.837501979999999</v>
      </c>
      <c r="D7">
        <v>1635.68</v>
      </c>
      <c r="E7" t="s">
        <v>3161</v>
      </c>
      <c r="F7">
        <v>859</v>
      </c>
      <c r="G7" t="s">
        <v>3156</v>
      </c>
      <c r="H7" t="s">
        <v>3157</v>
      </c>
      <c r="I7" t="s">
        <v>2173</v>
      </c>
      <c r="J7" t="s">
        <v>2185</v>
      </c>
    </row>
    <row r="8" spans="1:10">
      <c r="A8">
        <v>7</v>
      </c>
      <c r="B8">
        <v>-3.3977630360000002</v>
      </c>
      <c r="C8">
        <v>34.837600969999997</v>
      </c>
      <c r="D8">
        <v>1636.76</v>
      </c>
      <c r="E8" t="s">
        <v>3162</v>
      </c>
      <c r="F8">
        <v>860</v>
      </c>
      <c r="G8" t="s">
        <v>3156</v>
      </c>
      <c r="H8" t="s">
        <v>3157</v>
      </c>
      <c r="I8" t="s">
        <v>2173</v>
      </c>
      <c r="J8" t="s">
        <v>2186</v>
      </c>
    </row>
    <row r="9" spans="1:10">
      <c r="A9">
        <v>8</v>
      </c>
      <c r="B9">
        <v>-3.3977320230000001</v>
      </c>
      <c r="C9">
        <v>34.837561989999998</v>
      </c>
      <c r="D9">
        <v>1636.67</v>
      </c>
      <c r="E9" t="s">
        <v>3163</v>
      </c>
      <c r="F9">
        <v>861</v>
      </c>
      <c r="G9" t="s">
        <v>3156</v>
      </c>
      <c r="H9" t="s">
        <v>3157</v>
      </c>
      <c r="I9" t="s">
        <v>2173</v>
      </c>
      <c r="J9" t="s">
        <v>2187</v>
      </c>
    </row>
    <row r="10" spans="1:10">
      <c r="A10">
        <v>9</v>
      </c>
      <c r="B10">
        <v>-3.3978290019999999</v>
      </c>
      <c r="C10">
        <v>34.837011969999999</v>
      </c>
      <c r="D10">
        <v>1638.05</v>
      </c>
      <c r="E10" t="s">
        <v>3164</v>
      </c>
      <c r="F10">
        <v>862</v>
      </c>
      <c r="G10" t="s">
        <v>3156</v>
      </c>
      <c r="H10" t="s">
        <v>3157</v>
      </c>
      <c r="I10" t="s">
        <v>2189</v>
      </c>
      <c r="J10" t="s">
        <v>2188</v>
      </c>
    </row>
    <row r="11" spans="1:10">
      <c r="A11">
        <v>10</v>
      </c>
      <c r="B11">
        <v>-3.3978119869999999</v>
      </c>
      <c r="C11">
        <v>34.836968980000002</v>
      </c>
      <c r="D11">
        <v>1638.32</v>
      </c>
      <c r="E11" t="s">
        <v>3165</v>
      </c>
      <c r="F11">
        <v>863</v>
      </c>
      <c r="G11" t="s">
        <v>3156</v>
      </c>
      <c r="H11" t="s">
        <v>3157</v>
      </c>
      <c r="I11" t="s">
        <v>2189</v>
      </c>
      <c r="J11" t="s">
        <v>2191</v>
      </c>
    </row>
    <row r="12" spans="1:10">
      <c r="A12">
        <v>11</v>
      </c>
      <c r="B12">
        <v>-3.3977929599999999</v>
      </c>
      <c r="C12">
        <v>34.837102999999999</v>
      </c>
      <c r="D12">
        <v>1638.24</v>
      </c>
      <c r="E12" t="s">
        <v>3166</v>
      </c>
      <c r="F12">
        <v>864</v>
      </c>
      <c r="G12" t="s">
        <v>3156</v>
      </c>
      <c r="H12" t="s">
        <v>3157</v>
      </c>
      <c r="I12" t="s">
        <v>2189</v>
      </c>
      <c r="J12" t="s">
        <v>2192</v>
      </c>
    </row>
    <row r="13" spans="1:10">
      <c r="A13">
        <v>12</v>
      </c>
      <c r="B13">
        <v>-3.3979050260000001</v>
      </c>
      <c r="C13">
        <v>34.837123030000001</v>
      </c>
      <c r="D13">
        <v>1638.19</v>
      </c>
      <c r="E13" t="s">
        <v>3167</v>
      </c>
      <c r="F13">
        <v>865</v>
      </c>
      <c r="G13" t="s">
        <v>3156</v>
      </c>
      <c r="H13" t="s">
        <v>3157</v>
      </c>
      <c r="I13" t="s">
        <v>2189</v>
      </c>
      <c r="J13" t="s">
        <v>2193</v>
      </c>
    </row>
    <row r="14" spans="1:10">
      <c r="A14">
        <v>13</v>
      </c>
      <c r="B14">
        <v>-3.3979040199999999</v>
      </c>
      <c r="C14">
        <v>34.837027980000002</v>
      </c>
      <c r="D14">
        <v>1638.19</v>
      </c>
      <c r="E14" t="s">
        <v>3168</v>
      </c>
      <c r="F14">
        <v>866</v>
      </c>
      <c r="G14" t="s">
        <v>3156</v>
      </c>
      <c r="H14" t="s">
        <v>3157</v>
      </c>
      <c r="I14" t="s">
        <v>2189</v>
      </c>
      <c r="J14" t="s">
        <v>2194</v>
      </c>
    </row>
    <row r="15" spans="1:10">
      <c r="A15">
        <v>14</v>
      </c>
      <c r="B15">
        <v>-3.397854986</v>
      </c>
      <c r="C15">
        <v>34.836874010000002</v>
      </c>
      <c r="D15">
        <v>1638.2</v>
      </c>
      <c r="E15" t="s">
        <v>3169</v>
      </c>
      <c r="F15">
        <v>867</v>
      </c>
      <c r="G15" t="s">
        <v>3156</v>
      </c>
      <c r="H15" t="s">
        <v>3157</v>
      </c>
      <c r="I15" t="s">
        <v>2189</v>
      </c>
      <c r="J15" t="s">
        <v>2196</v>
      </c>
    </row>
    <row r="16" spans="1:10">
      <c r="A16">
        <v>15</v>
      </c>
      <c r="B16">
        <v>-3.3978060349999999</v>
      </c>
      <c r="C16">
        <v>34.837023960000003</v>
      </c>
      <c r="D16">
        <v>1638.44</v>
      </c>
      <c r="E16" t="s">
        <v>3170</v>
      </c>
      <c r="F16">
        <v>868</v>
      </c>
      <c r="G16" t="s">
        <v>3156</v>
      </c>
      <c r="H16" t="s">
        <v>3157</v>
      </c>
      <c r="I16" t="s">
        <v>2189</v>
      </c>
      <c r="J16" t="s">
        <v>2197</v>
      </c>
    </row>
    <row r="17" spans="1:10">
      <c r="A17">
        <v>16</v>
      </c>
      <c r="B17">
        <v>-3.3977669760000002</v>
      </c>
      <c r="C17">
        <v>34.837181039999997</v>
      </c>
      <c r="D17">
        <v>1638.45</v>
      </c>
      <c r="E17" t="s">
        <v>3171</v>
      </c>
      <c r="F17">
        <v>869</v>
      </c>
      <c r="G17" t="s">
        <v>3156</v>
      </c>
      <c r="H17" t="s">
        <v>3157</v>
      </c>
      <c r="I17" t="s">
        <v>2189</v>
      </c>
      <c r="J17" t="s">
        <v>2200</v>
      </c>
    </row>
    <row r="18" spans="1:10">
      <c r="A18">
        <v>17</v>
      </c>
      <c r="B18">
        <v>-3.3854090330000002</v>
      </c>
      <c r="C18">
        <v>34.818901029999999</v>
      </c>
      <c r="D18">
        <v>1589.9</v>
      </c>
      <c r="E18" t="s">
        <v>3172</v>
      </c>
      <c r="F18">
        <v>870</v>
      </c>
      <c r="G18" t="s">
        <v>3156</v>
      </c>
      <c r="H18" t="s">
        <v>3157</v>
      </c>
      <c r="I18" t="s">
        <v>2203</v>
      </c>
      <c r="J18" t="s">
        <v>2202</v>
      </c>
    </row>
    <row r="19" spans="1:10">
      <c r="A19">
        <v>18</v>
      </c>
      <c r="B19">
        <v>-3.385375002</v>
      </c>
      <c r="C19">
        <v>34.818939999999998</v>
      </c>
      <c r="D19">
        <v>1611.98</v>
      </c>
      <c r="E19" t="s">
        <v>3173</v>
      </c>
      <c r="F19">
        <v>871</v>
      </c>
      <c r="G19" t="s">
        <v>3156</v>
      </c>
      <c r="H19" t="s">
        <v>3157</v>
      </c>
      <c r="I19" t="s">
        <v>2203</v>
      </c>
      <c r="J19" t="s">
        <v>2205</v>
      </c>
    </row>
    <row r="20" spans="1:10">
      <c r="A20">
        <v>19</v>
      </c>
      <c r="B20">
        <v>-3.3853589930000001</v>
      </c>
      <c r="C20">
        <v>34.818991969999999</v>
      </c>
      <c r="D20">
        <v>1611.72</v>
      </c>
      <c r="E20" t="s">
        <v>3174</v>
      </c>
      <c r="F20">
        <v>872</v>
      </c>
      <c r="G20" t="s">
        <v>3156</v>
      </c>
      <c r="H20" t="s">
        <v>3157</v>
      </c>
      <c r="I20" t="s">
        <v>2203</v>
      </c>
      <c r="J20" t="s">
        <v>2206</v>
      </c>
    </row>
    <row r="21" spans="1:10">
      <c r="A21">
        <v>20</v>
      </c>
      <c r="B21">
        <v>-3.3853969629999998</v>
      </c>
      <c r="C21">
        <v>34.818977969999999</v>
      </c>
      <c r="D21">
        <v>1610.33</v>
      </c>
      <c r="E21" t="s">
        <v>3175</v>
      </c>
      <c r="F21">
        <v>873</v>
      </c>
      <c r="G21" t="s">
        <v>3156</v>
      </c>
      <c r="H21" t="s">
        <v>3157</v>
      </c>
      <c r="I21" t="s">
        <v>2203</v>
      </c>
      <c r="J21" t="s">
        <v>2207</v>
      </c>
    </row>
    <row r="22" spans="1:10">
      <c r="A22">
        <v>21</v>
      </c>
      <c r="B22">
        <v>-3.3854019919999998</v>
      </c>
      <c r="C22">
        <v>34.81894604</v>
      </c>
      <c r="D22">
        <v>1610.22</v>
      </c>
      <c r="E22" t="s">
        <v>3176</v>
      </c>
      <c r="F22">
        <v>874</v>
      </c>
      <c r="G22" t="s">
        <v>3156</v>
      </c>
      <c r="H22" t="s">
        <v>3157</v>
      </c>
      <c r="I22" t="s">
        <v>2203</v>
      </c>
      <c r="J22" t="s">
        <v>2208</v>
      </c>
    </row>
    <row r="23" spans="1:10">
      <c r="A23">
        <v>22</v>
      </c>
      <c r="B23">
        <v>-3.3854470029999999</v>
      </c>
      <c r="C23">
        <v>34.818946959999998</v>
      </c>
      <c r="D23">
        <v>1609.96</v>
      </c>
      <c r="E23" t="s">
        <v>3177</v>
      </c>
      <c r="F23">
        <v>876</v>
      </c>
      <c r="G23" t="s">
        <v>3156</v>
      </c>
      <c r="H23" t="s">
        <v>3157</v>
      </c>
      <c r="I23" t="s">
        <v>2203</v>
      </c>
      <c r="J23" t="s">
        <v>2209</v>
      </c>
    </row>
    <row r="24" spans="1:10">
      <c r="A24">
        <v>23</v>
      </c>
      <c r="B24">
        <v>-3.3854200130000001</v>
      </c>
      <c r="C24">
        <v>34.818856019999998</v>
      </c>
      <c r="D24">
        <v>1609.88</v>
      </c>
      <c r="E24" t="s">
        <v>3178</v>
      </c>
      <c r="F24">
        <v>875</v>
      </c>
      <c r="G24" t="s">
        <v>3156</v>
      </c>
      <c r="H24" t="s">
        <v>3157</v>
      </c>
      <c r="I24" t="s">
        <v>2203</v>
      </c>
      <c r="J24" t="s">
        <v>2210</v>
      </c>
    </row>
    <row r="25" spans="1:10">
      <c r="A25">
        <v>24</v>
      </c>
      <c r="B25">
        <v>-3.3853829649999998</v>
      </c>
      <c r="C25">
        <v>34.818877980000003</v>
      </c>
      <c r="D25">
        <v>1609.79</v>
      </c>
      <c r="E25" t="s">
        <v>3179</v>
      </c>
      <c r="F25">
        <v>877</v>
      </c>
      <c r="G25" t="s">
        <v>3156</v>
      </c>
      <c r="H25" t="s">
        <v>3157</v>
      </c>
      <c r="I25" t="s">
        <v>2203</v>
      </c>
      <c r="J25" t="s">
        <v>2211</v>
      </c>
    </row>
    <row r="26" spans="1:10">
      <c r="A26">
        <v>25</v>
      </c>
      <c r="B26">
        <v>-3.3849129919999998</v>
      </c>
      <c r="C26">
        <v>34.818899020000003</v>
      </c>
      <c r="D26">
        <v>1611.41</v>
      </c>
      <c r="E26" t="s">
        <v>3180</v>
      </c>
      <c r="F26">
        <v>878</v>
      </c>
      <c r="G26" t="s">
        <v>3156</v>
      </c>
      <c r="H26" t="s">
        <v>3157</v>
      </c>
      <c r="I26" t="s">
        <v>2213</v>
      </c>
      <c r="J26" t="s">
        <v>2212</v>
      </c>
    </row>
    <row r="27" spans="1:10">
      <c r="A27">
        <v>26</v>
      </c>
      <c r="B27">
        <v>-3.3849689999999999</v>
      </c>
      <c r="C27">
        <v>34.818908</v>
      </c>
      <c r="D27">
        <v>1612.4</v>
      </c>
      <c r="E27" t="s">
        <v>3155</v>
      </c>
      <c r="F27">
        <v>1245</v>
      </c>
      <c r="G27" t="s">
        <v>3156</v>
      </c>
      <c r="H27" t="s">
        <v>3157</v>
      </c>
      <c r="I27" t="s">
        <v>2213</v>
      </c>
      <c r="J27" t="s">
        <v>2214</v>
      </c>
    </row>
    <row r="28" spans="1:10">
      <c r="A28">
        <v>27</v>
      </c>
      <c r="B28">
        <v>-3.3849350359999999</v>
      </c>
      <c r="C28">
        <v>34.818943019999999</v>
      </c>
      <c r="D28">
        <v>1612.2</v>
      </c>
      <c r="E28" t="s">
        <v>3181</v>
      </c>
      <c r="F28">
        <v>879</v>
      </c>
      <c r="G28" t="s">
        <v>3156</v>
      </c>
      <c r="H28" t="s">
        <v>3157</v>
      </c>
      <c r="I28" t="s">
        <v>2213</v>
      </c>
      <c r="J28" t="s">
        <v>2215</v>
      </c>
    </row>
    <row r="29" spans="1:10">
      <c r="A29">
        <v>28</v>
      </c>
      <c r="B29">
        <v>-3.3850070369999998</v>
      </c>
      <c r="C29">
        <v>34.818888960000002</v>
      </c>
      <c r="D29">
        <v>1611.07</v>
      </c>
      <c r="E29" t="s">
        <v>3182</v>
      </c>
      <c r="F29">
        <v>881</v>
      </c>
      <c r="G29" t="s">
        <v>3156</v>
      </c>
      <c r="H29" t="s">
        <v>3157</v>
      </c>
      <c r="I29" t="s">
        <v>2213</v>
      </c>
      <c r="J29" t="s">
        <v>2216</v>
      </c>
    </row>
    <row r="30" spans="1:10">
      <c r="A30">
        <v>29</v>
      </c>
      <c r="B30">
        <v>-3.3849480280000002</v>
      </c>
      <c r="C30">
        <v>34.818854010000003</v>
      </c>
      <c r="D30">
        <v>1612.5</v>
      </c>
      <c r="E30" t="s">
        <v>3183</v>
      </c>
      <c r="F30">
        <v>882</v>
      </c>
      <c r="G30" t="s">
        <v>3156</v>
      </c>
      <c r="H30" t="s">
        <v>3157</v>
      </c>
      <c r="I30" t="s">
        <v>2213</v>
      </c>
      <c r="J30" t="s">
        <v>2217</v>
      </c>
    </row>
    <row r="31" spans="1:10">
      <c r="A31">
        <v>30</v>
      </c>
      <c r="B31">
        <v>-3.38496496</v>
      </c>
      <c r="C31">
        <v>34.818790970000002</v>
      </c>
      <c r="D31">
        <v>1611.46</v>
      </c>
      <c r="E31" t="s">
        <v>3184</v>
      </c>
      <c r="F31">
        <v>883</v>
      </c>
      <c r="G31" t="s">
        <v>3156</v>
      </c>
      <c r="H31" t="s">
        <v>3157</v>
      </c>
      <c r="I31" t="s">
        <v>2213</v>
      </c>
      <c r="J31" t="s">
        <v>2218</v>
      </c>
    </row>
    <row r="32" spans="1:10">
      <c r="A32">
        <v>31</v>
      </c>
      <c r="B32">
        <v>-3.3848409909999999</v>
      </c>
      <c r="C32">
        <v>34.818838999999997</v>
      </c>
      <c r="D32">
        <v>1611.01</v>
      </c>
      <c r="E32" t="s">
        <v>3185</v>
      </c>
      <c r="F32">
        <v>884</v>
      </c>
      <c r="G32" t="s">
        <v>3156</v>
      </c>
      <c r="H32" t="s">
        <v>3157</v>
      </c>
      <c r="I32" t="s">
        <v>2213</v>
      </c>
      <c r="J32" t="s">
        <v>2219</v>
      </c>
    </row>
    <row r="33" spans="1:10">
      <c r="A33">
        <v>32</v>
      </c>
      <c r="B33">
        <v>-3.3849010060000002</v>
      </c>
      <c r="C33">
        <v>34.818979990000003</v>
      </c>
      <c r="D33">
        <v>1611.09</v>
      </c>
      <c r="E33" t="s">
        <v>3186</v>
      </c>
      <c r="F33">
        <v>885</v>
      </c>
      <c r="G33" t="s">
        <v>3156</v>
      </c>
      <c r="H33" t="s">
        <v>3157</v>
      </c>
      <c r="I33" t="s">
        <v>2213</v>
      </c>
      <c r="J33" t="s">
        <v>2220</v>
      </c>
    </row>
    <row r="34" spans="1:10">
      <c r="A34">
        <v>33</v>
      </c>
      <c r="B34">
        <v>-3.4092039989999998</v>
      </c>
      <c r="C34">
        <v>34.852751009999999</v>
      </c>
      <c r="D34">
        <v>1661.99</v>
      </c>
      <c r="E34" t="s">
        <v>3187</v>
      </c>
      <c r="F34">
        <v>813</v>
      </c>
      <c r="G34" t="s">
        <v>3156</v>
      </c>
      <c r="H34" t="s">
        <v>3188</v>
      </c>
      <c r="I34" t="s">
        <v>2222</v>
      </c>
      <c r="J34" t="s">
        <v>2221</v>
      </c>
    </row>
    <row r="35" spans="1:10">
      <c r="A35">
        <v>34</v>
      </c>
      <c r="B35">
        <v>-3.4092350119999999</v>
      </c>
      <c r="C35">
        <v>34.852782019999999</v>
      </c>
      <c r="D35">
        <v>1662.86</v>
      </c>
      <c r="E35" t="s">
        <v>3189</v>
      </c>
      <c r="F35">
        <v>822</v>
      </c>
      <c r="G35" t="s">
        <v>3156</v>
      </c>
      <c r="H35" t="s">
        <v>3188</v>
      </c>
      <c r="I35" t="s">
        <v>2222</v>
      </c>
      <c r="J35" t="s">
        <v>2224</v>
      </c>
    </row>
    <row r="36" spans="1:10">
      <c r="A36">
        <v>35</v>
      </c>
      <c r="B36">
        <v>-3.409177009</v>
      </c>
      <c r="C36">
        <v>34.852818990000003</v>
      </c>
      <c r="D36">
        <v>1662.85</v>
      </c>
      <c r="E36" t="s">
        <v>3190</v>
      </c>
      <c r="F36">
        <v>823</v>
      </c>
      <c r="G36" t="s">
        <v>3156</v>
      </c>
      <c r="H36" t="s">
        <v>3188</v>
      </c>
      <c r="I36" t="s">
        <v>2222</v>
      </c>
      <c r="J36" t="s">
        <v>2227</v>
      </c>
    </row>
    <row r="37" spans="1:10">
      <c r="A37">
        <v>36</v>
      </c>
      <c r="B37">
        <v>-3.40917198</v>
      </c>
      <c r="C37">
        <v>34.852960979999999</v>
      </c>
      <c r="D37">
        <v>1663.9</v>
      </c>
      <c r="E37" t="s">
        <v>3191</v>
      </c>
      <c r="F37">
        <v>824</v>
      </c>
      <c r="G37" t="s">
        <v>3156</v>
      </c>
      <c r="H37" t="s">
        <v>3188</v>
      </c>
      <c r="I37" t="s">
        <v>2222</v>
      </c>
      <c r="J37" t="s">
        <v>2228</v>
      </c>
    </row>
    <row r="38" spans="1:10">
      <c r="A38">
        <v>37</v>
      </c>
      <c r="B38">
        <v>-3.4090709779999999</v>
      </c>
      <c r="C38">
        <v>34.852712029999999</v>
      </c>
      <c r="D38">
        <v>1665.85</v>
      </c>
      <c r="E38" t="s">
        <v>3192</v>
      </c>
      <c r="F38">
        <v>825</v>
      </c>
      <c r="G38" t="s">
        <v>3156</v>
      </c>
      <c r="H38" t="s">
        <v>3188</v>
      </c>
      <c r="I38" t="s">
        <v>2222</v>
      </c>
      <c r="J38" t="s">
        <v>2230</v>
      </c>
    </row>
    <row r="39" spans="1:10">
      <c r="A39">
        <v>38</v>
      </c>
      <c r="B39">
        <v>-3.409280023</v>
      </c>
      <c r="C39">
        <v>34.852612960000002</v>
      </c>
      <c r="D39">
        <v>1664.07</v>
      </c>
      <c r="E39" t="s">
        <v>3193</v>
      </c>
      <c r="F39">
        <v>826</v>
      </c>
      <c r="G39" t="s">
        <v>3156</v>
      </c>
      <c r="H39" t="s">
        <v>3188</v>
      </c>
      <c r="I39" t="s">
        <v>2222</v>
      </c>
      <c r="J39" t="s">
        <v>2232</v>
      </c>
    </row>
    <row r="40" spans="1:10">
      <c r="A40">
        <v>39</v>
      </c>
      <c r="B40">
        <v>-3.4093859700000002</v>
      </c>
      <c r="C40">
        <v>34.852855030000001</v>
      </c>
      <c r="D40">
        <v>1665.7</v>
      </c>
      <c r="E40" t="s">
        <v>3194</v>
      </c>
      <c r="F40">
        <v>827</v>
      </c>
      <c r="G40" t="s">
        <v>3156</v>
      </c>
      <c r="H40" t="s">
        <v>3188</v>
      </c>
      <c r="I40" t="s">
        <v>2222</v>
      </c>
      <c r="J40" t="s">
        <v>2234</v>
      </c>
    </row>
    <row r="41" spans="1:10">
      <c r="A41">
        <v>40</v>
      </c>
      <c r="B41">
        <v>-3.4091539590000002</v>
      </c>
      <c r="C41">
        <v>34.852755029999997</v>
      </c>
      <c r="D41">
        <v>1665.99</v>
      </c>
      <c r="E41" t="s">
        <v>3195</v>
      </c>
      <c r="F41">
        <v>828</v>
      </c>
      <c r="G41" t="s">
        <v>3156</v>
      </c>
      <c r="H41" t="s">
        <v>3188</v>
      </c>
      <c r="I41" t="s">
        <v>2222</v>
      </c>
      <c r="J41" t="s">
        <v>2236</v>
      </c>
    </row>
    <row r="42" spans="1:10">
      <c r="A42">
        <v>41</v>
      </c>
      <c r="B42">
        <v>-3.4083420040000001</v>
      </c>
      <c r="C42">
        <v>34.850283040000001</v>
      </c>
      <c r="D42">
        <v>1626.73</v>
      </c>
      <c r="E42" t="s">
        <v>3196</v>
      </c>
      <c r="F42">
        <v>830</v>
      </c>
      <c r="G42" t="s">
        <v>3156</v>
      </c>
      <c r="H42" t="s">
        <v>3188</v>
      </c>
      <c r="I42" t="s">
        <v>2239</v>
      </c>
      <c r="J42" t="s">
        <v>2238</v>
      </c>
    </row>
    <row r="43" spans="1:10">
      <c r="A43">
        <v>42</v>
      </c>
      <c r="B43">
        <v>-3.4084079690000002</v>
      </c>
      <c r="C43">
        <v>34.850295029999998</v>
      </c>
      <c r="D43">
        <v>1661.14</v>
      </c>
      <c r="E43" t="s">
        <v>3197</v>
      </c>
      <c r="F43">
        <v>831</v>
      </c>
      <c r="G43" t="s">
        <v>3156</v>
      </c>
      <c r="H43" t="s">
        <v>3188</v>
      </c>
      <c r="I43" t="s">
        <v>2239</v>
      </c>
      <c r="J43" t="s">
        <v>2240</v>
      </c>
    </row>
    <row r="44" spans="1:10">
      <c r="A44">
        <v>43</v>
      </c>
      <c r="B44">
        <v>-3.4082369789999998</v>
      </c>
      <c r="C44">
        <v>34.850189999999998</v>
      </c>
      <c r="D44">
        <v>1659.49</v>
      </c>
      <c r="E44" t="s">
        <v>3198</v>
      </c>
      <c r="F44">
        <v>832</v>
      </c>
      <c r="G44" t="s">
        <v>3156</v>
      </c>
      <c r="H44" t="s">
        <v>3188</v>
      </c>
      <c r="I44" t="s">
        <v>2239</v>
      </c>
      <c r="J44" t="s">
        <v>2242</v>
      </c>
    </row>
    <row r="45" spans="1:10">
      <c r="A45">
        <v>44</v>
      </c>
      <c r="B45">
        <v>-3.4081529920000002</v>
      </c>
      <c r="C45">
        <v>34.850168959999998</v>
      </c>
      <c r="D45">
        <v>1667.31</v>
      </c>
      <c r="E45" t="s">
        <v>3199</v>
      </c>
      <c r="F45">
        <v>1142</v>
      </c>
      <c r="G45" t="s">
        <v>3156</v>
      </c>
      <c r="H45" t="s">
        <v>3188</v>
      </c>
      <c r="I45" t="s">
        <v>2239</v>
      </c>
      <c r="J45" t="s">
        <v>2243</v>
      </c>
    </row>
    <row r="46" spans="1:10">
      <c r="A46">
        <v>45</v>
      </c>
      <c r="B46">
        <v>-3.4081789759999999</v>
      </c>
      <c r="C46">
        <v>34.850516980000002</v>
      </c>
      <c r="D46">
        <v>1669.01</v>
      </c>
      <c r="E46" t="s">
        <v>3200</v>
      </c>
      <c r="F46">
        <v>1147</v>
      </c>
      <c r="G46" t="s">
        <v>3156</v>
      </c>
      <c r="H46" t="s">
        <v>3188</v>
      </c>
      <c r="I46" t="s">
        <v>2239</v>
      </c>
      <c r="J46" t="s">
        <v>2244</v>
      </c>
    </row>
    <row r="47" spans="1:10">
      <c r="A47">
        <v>46</v>
      </c>
      <c r="B47">
        <v>-3.4084730130000001</v>
      </c>
      <c r="C47">
        <v>34.850401980000001</v>
      </c>
      <c r="D47">
        <v>1654.19</v>
      </c>
      <c r="E47" t="s">
        <v>3201</v>
      </c>
      <c r="F47">
        <v>835</v>
      </c>
      <c r="G47" t="s">
        <v>3156</v>
      </c>
      <c r="H47" t="s">
        <v>3188</v>
      </c>
      <c r="I47" t="s">
        <v>2239</v>
      </c>
      <c r="J47" t="s">
        <v>2246</v>
      </c>
    </row>
    <row r="48" spans="1:10">
      <c r="A48">
        <v>47</v>
      </c>
      <c r="B48">
        <v>-3.4084819820000001</v>
      </c>
      <c r="C48">
        <v>34.850024040000001</v>
      </c>
      <c r="D48">
        <v>1654.51</v>
      </c>
      <c r="E48" t="s">
        <v>3202</v>
      </c>
      <c r="F48">
        <v>836</v>
      </c>
      <c r="G48" t="s">
        <v>3156</v>
      </c>
      <c r="H48" t="s">
        <v>3188</v>
      </c>
      <c r="I48" t="s">
        <v>2239</v>
      </c>
      <c r="J48" t="s">
        <v>2247</v>
      </c>
    </row>
    <row r="49" spans="1:10">
      <c r="A49">
        <v>48</v>
      </c>
      <c r="B49">
        <v>-3.4081990090000001</v>
      </c>
      <c r="C49">
        <v>34.850254960000001</v>
      </c>
      <c r="D49">
        <v>1655.71</v>
      </c>
      <c r="E49" t="s">
        <v>3203</v>
      </c>
      <c r="F49">
        <v>837</v>
      </c>
      <c r="G49" t="s">
        <v>3156</v>
      </c>
      <c r="H49" t="s">
        <v>3188</v>
      </c>
      <c r="I49" t="s">
        <v>2239</v>
      </c>
      <c r="J49" t="s">
        <v>2249</v>
      </c>
    </row>
    <row r="50" spans="1:10">
      <c r="A50">
        <v>49</v>
      </c>
      <c r="B50">
        <v>-3.406225992</v>
      </c>
      <c r="C50">
        <v>34.85055998</v>
      </c>
      <c r="D50">
        <v>1649.84</v>
      </c>
      <c r="E50" t="s">
        <v>3204</v>
      </c>
      <c r="F50">
        <v>838</v>
      </c>
      <c r="G50" t="s">
        <v>3156</v>
      </c>
      <c r="H50" t="s">
        <v>3188</v>
      </c>
      <c r="I50" t="s">
        <v>2251</v>
      </c>
      <c r="J50" t="s">
        <v>2250</v>
      </c>
    </row>
    <row r="51" spans="1:10">
      <c r="A51">
        <v>50</v>
      </c>
      <c r="B51">
        <v>-3.4062630399999998</v>
      </c>
      <c r="C51">
        <v>34.850566010000001</v>
      </c>
      <c r="D51">
        <v>1650.69</v>
      </c>
      <c r="E51" t="s">
        <v>3205</v>
      </c>
      <c r="F51">
        <v>839</v>
      </c>
      <c r="G51" t="s">
        <v>3156</v>
      </c>
      <c r="H51" t="s">
        <v>3188</v>
      </c>
      <c r="I51" t="s">
        <v>2251</v>
      </c>
      <c r="J51" t="s">
        <v>2252</v>
      </c>
    </row>
    <row r="52" spans="1:10">
      <c r="A52">
        <v>51</v>
      </c>
      <c r="B52">
        <v>-3.4063920379999999</v>
      </c>
      <c r="C52">
        <v>34.850696020000001</v>
      </c>
      <c r="D52">
        <v>1652.46</v>
      </c>
      <c r="E52" t="s">
        <v>3206</v>
      </c>
      <c r="F52">
        <v>840</v>
      </c>
      <c r="G52" t="s">
        <v>3156</v>
      </c>
      <c r="H52" t="s">
        <v>3188</v>
      </c>
      <c r="I52" t="s">
        <v>2251</v>
      </c>
      <c r="J52" t="s">
        <v>2253</v>
      </c>
    </row>
    <row r="53" spans="1:10">
      <c r="A53">
        <v>52</v>
      </c>
      <c r="B53">
        <v>-3.4061569999999999</v>
      </c>
      <c r="C53">
        <v>34.850738999999997</v>
      </c>
      <c r="D53">
        <v>1657.3</v>
      </c>
      <c r="E53" t="s">
        <v>3155</v>
      </c>
      <c r="F53">
        <v>1253</v>
      </c>
      <c r="G53" t="s">
        <v>3156</v>
      </c>
      <c r="H53" t="s">
        <v>3188</v>
      </c>
      <c r="I53" t="s">
        <v>2251</v>
      </c>
      <c r="J53" t="s">
        <v>2254</v>
      </c>
    </row>
    <row r="54" spans="1:10">
      <c r="A54">
        <v>53</v>
      </c>
      <c r="B54">
        <v>-3.4061140000000001</v>
      </c>
      <c r="C54">
        <v>34.850596000000003</v>
      </c>
      <c r="D54">
        <v>1658.1</v>
      </c>
      <c r="E54" t="s">
        <v>3155</v>
      </c>
      <c r="F54">
        <v>1252</v>
      </c>
      <c r="G54" t="s">
        <v>3156</v>
      </c>
      <c r="H54" t="s">
        <v>3188</v>
      </c>
      <c r="I54" t="s">
        <v>2251</v>
      </c>
      <c r="J54" t="s">
        <v>2255</v>
      </c>
    </row>
    <row r="55" spans="1:10">
      <c r="A55">
        <v>54</v>
      </c>
      <c r="B55">
        <v>-3.406058019</v>
      </c>
      <c r="C55">
        <v>34.850466019999999</v>
      </c>
      <c r="D55">
        <v>1649.22</v>
      </c>
      <c r="E55" t="s">
        <v>3207</v>
      </c>
      <c r="F55">
        <v>843</v>
      </c>
      <c r="G55" t="s">
        <v>3156</v>
      </c>
      <c r="H55" t="s">
        <v>3188</v>
      </c>
      <c r="I55" t="s">
        <v>2251</v>
      </c>
      <c r="J55" t="s">
        <v>2256</v>
      </c>
    </row>
    <row r="56" spans="1:10">
      <c r="A56">
        <v>55</v>
      </c>
      <c r="B56">
        <v>-3.4061389879999999</v>
      </c>
      <c r="C56">
        <v>34.850574979999998</v>
      </c>
      <c r="D56">
        <v>1650.63</v>
      </c>
      <c r="E56" t="s">
        <v>3208</v>
      </c>
      <c r="F56">
        <v>844</v>
      </c>
      <c r="G56" t="s">
        <v>3156</v>
      </c>
      <c r="H56" t="s">
        <v>3188</v>
      </c>
      <c r="I56" t="s">
        <v>2251</v>
      </c>
      <c r="J56" t="s">
        <v>2257</v>
      </c>
    </row>
    <row r="57" spans="1:10">
      <c r="A57">
        <v>56</v>
      </c>
      <c r="B57">
        <v>-3.4062900300000001</v>
      </c>
      <c r="C57">
        <v>34.850441959999998</v>
      </c>
      <c r="D57">
        <v>1651.54</v>
      </c>
      <c r="E57" t="s">
        <v>3209</v>
      </c>
      <c r="F57">
        <v>845</v>
      </c>
      <c r="G57" t="s">
        <v>3156</v>
      </c>
      <c r="H57" t="s">
        <v>3188</v>
      </c>
      <c r="I57" t="s">
        <v>2251</v>
      </c>
      <c r="J57" t="s">
        <v>2258</v>
      </c>
    </row>
    <row r="58" spans="1:10">
      <c r="A58">
        <v>57</v>
      </c>
      <c r="B58">
        <v>-3.4064239729999999</v>
      </c>
      <c r="C58">
        <v>34.851213010000002</v>
      </c>
      <c r="D58">
        <v>1655.81</v>
      </c>
      <c r="E58" t="s">
        <v>3210</v>
      </c>
      <c r="F58">
        <v>1150</v>
      </c>
      <c r="G58" t="s">
        <v>3156</v>
      </c>
      <c r="H58" t="s">
        <v>3188</v>
      </c>
      <c r="I58" t="s">
        <v>2260</v>
      </c>
      <c r="J58" t="s">
        <v>2259</v>
      </c>
    </row>
    <row r="59" spans="1:10">
      <c r="A59">
        <v>58</v>
      </c>
      <c r="B59">
        <v>-3.4065020079999999</v>
      </c>
      <c r="C59">
        <v>34.851056020000001</v>
      </c>
      <c r="D59">
        <v>1659.01</v>
      </c>
      <c r="E59" t="s">
        <v>3211</v>
      </c>
      <c r="F59">
        <v>1148</v>
      </c>
      <c r="G59" t="s">
        <v>3156</v>
      </c>
      <c r="H59" t="s">
        <v>3188</v>
      </c>
      <c r="I59" t="s">
        <v>2260</v>
      </c>
      <c r="J59" t="s">
        <v>2262</v>
      </c>
    </row>
    <row r="60" spans="1:10">
      <c r="A60">
        <v>59</v>
      </c>
      <c r="B60">
        <v>-3.4062359670000002</v>
      </c>
      <c r="C60">
        <v>34.851107990000003</v>
      </c>
      <c r="D60">
        <v>1653.58</v>
      </c>
      <c r="E60" t="s">
        <v>3212</v>
      </c>
      <c r="F60">
        <v>848</v>
      </c>
      <c r="G60" t="s">
        <v>3156</v>
      </c>
      <c r="H60" t="s">
        <v>3188</v>
      </c>
      <c r="I60" t="s">
        <v>2260</v>
      </c>
      <c r="J60" t="s">
        <v>2263</v>
      </c>
    </row>
    <row r="61" spans="1:10">
      <c r="A61">
        <v>60</v>
      </c>
      <c r="B61">
        <v>-3.406281983</v>
      </c>
      <c r="C61">
        <v>34.85137898</v>
      </c>
      <c r="D61">
        <v>1656.04</v>
      </c>
      <c r="E61" t="s">
        <v>3213</v>
      </c>
      <c r="F61">
        <v>849</v>
      </c>
      <c r="G61" t="s">
        <v>3156</v>
      </c>
      <c r="H61" t="s">
        <v>3188</v>
      </c>
      <c r="I61" t="s">
        <v>2260</v>
      </c>
      <c r="J61" t="s">
        <v>2264</v>
      </c>
    </row>
    <row r="62" spans="1:10">
      <c r="A62">
        <v>61</v>
      </c>
      <c r="B62">
        <v>-3.406569986</v>
      </c>
      <c r="C62">
        <v>34.851323989999997</v>
      </c>
      <c r="D62">
        <v>1658.2</v>
      </c>
      <c r="E62" t="s">
        <v>3214</v>
      </c>
      <c r="F62">
        <v>1149</v>
      </c>
      <c r="G62" t="s">
        <v>3156</v>
      </c>
      <c r="H62" t="s">
        <v>3188</v>
      </c>
      <c r="I62" t="s">
        <v>2260</v>
      </c>
      <c r="J62" t="s">
        <v>2266</v>
      </c>
    </row>
    <row r="63" spans="1:10">
      <c r="A63">
        <v>62</v>
      </c>
      <c r="B63">
        <v>-3.4065180179999999</v>
      </c>
      <c r="C63">
        <v>34.85121402</v>
      </c>
      <c r="D63">
        <v>1657.06</v>
      </c>
      <c r="E63" t="s">
        <v>3215</v>
      </c>
      <c r="F63">
        <v>1151</v>
      </c>
      <c r="G63" t="s">
        <v>3156</v>
      </c>
      <c r="H63" t="s">
        <v>3188</v>
      </c>
      <c r="I63" t="s">
        <v>2260</v>
      </c>
      <c r="J63" t="s">
        <v>2267</v>
      </c>
    </row>
    <row r="64" spans="1:10">
      <c r="A64">
        <v>63</v>
      </c>
      <c r="B64">
        <v>-3.406334035</v>
      </c>
      <c r="C64">
        <v>34.851172030000001</v>
      </c>
      <c r="D64">
        <v>1655.65</v>
      </c>
      <c r="E64" t="s">
        <v>3216</v>
      </c>
      <c r="F64">
        <v>852</v>
      </c>
      <c r="G64" t="s">
        <v>3156</v>
      </c>
      <c r="H64" t="s">
        <v>3188</v>
      </c>
      <c r="I64" t="s">
        <v>2260</v>
      </c>
      <c r="J64" t="s">
        <v>2269</v>
      </c>
    </row>
    <row r="65" spans="1:10">
      <c r="A65">
        <v>64</v>
      </c>
      <c r="B65">
        <v>-3.4063409920000001</v>
      </c>
      <c r="C65">
        <v>34.85126004</v>
      </c>
      <c r="D65">
        <v>1655.4</v>
      </c>
      <c r="E65" t="s">
        <v>3217</v>
      </c>
      <c r="F65">
        <v>853</v>
      </c>
      <c r="G65" t="s">
        <v>3156</v>
      </c>
      <c r="H65" t="s">
        <v>3188</v>
      </c>
      <c r="I65" t="s">
        <v>2260</v>
      </c>
      <c r="J65" t="s">
        <v>2270</v>
      </c>
    </row>
    <row r="66" spans="1:10">
      <c r="A66">
        <v>65</v>
      </c>
      <c r="B66">
        <v>-3.2993960379999998</v>
      </c>
      <c r="C66">
        <v>34.848240959999998</v>
      </c>
      <c r="D66">
        <v>1653.93</v>
      </c>
      <c r="E66" t="s">
        <v>3218</v>
      </c>
      <c r="F66">
        <v>906</v>
      </c>
      <c r="G66" t="s">
        <v>3219</v>
      </c>
      <c r="H66" t="s">
        <v>3220</v>
      </c>
      <c r="I66" t="s">
        <v>2273</v>
      </c>
      <c r="J66" t="s">
        <v>2272</v>
      </c>
    </row>
    <row r="67" spans="1:10">
      <c r="A67">
        <v>66</v>
      </c>
      <c r="B67">
        <v>-3.2993090340000002</v>
      </c>
      <c r="C67">
        <v>34.848404989999999</v>
      </c>
      <c r="D67">
        <v>1670.19</v>
      </c>
      <c r="E67" t="s">
        <v>3221</v>
      </c>
      <c r="F67">
        <v>1096</v>
      </c>
      <c r="G67" t="s">
        <v>3219</v>
      </c>
      <c r="H67" t="s">
        <v>3220</v>
      </c>
      <c r="I67" t="s">
        <v>2273</v>
      </c>
      <c r="J67" t="s">
        <v>2274</v>
      </c>
    </row>
    <row r="68" spans="1:10">
      <c r="A68">
        <v>67</v>
      </c>
      <c r="B68">
        <v>-3.299434008</v>
      </c>
      <c r="C68">
        <v>34.848514960000003</v>
      </c>
      <c r="D68">
        <v>1655.33</v>
      </c>
      <c r="E68" t="s">
        <v>3222</v>
      </c>
      <c r="F68">
        <v>908</v>
      </c>
      <c r="G68" t="s">
        <v>3219</v>
      </c>
      <c r="H68" t="s">
        <v>3220</v>
      </c>
      <c r="I68" t="s">
        <v>2273</v>
      </c>
      <c r="J68" t="s">
        <v>2275</v>
      </c>
    </row>
    <row r="69" spans="1:10">
      <c r="A69">
        <v>68</v>
      </c>
      <c r="B69">
        <v>-3.2991180099999999</v>
      </c>
      <c r="C69">
        <v>34.84824699</v>
      </c>
      <c r="D69">
        <v>1669.78</v>
      </c>
      <c r="E69" t="s">
        <v>3223</v>
      </c>
      <c r="F69">
        <v>1102</v>
      </c>
      <c r="G69" t="s">
        <v>3219</v>
      </c>
      <c r="H69" t="s">
        <v>3220</v>
      </c>
      <c r="I69" t="s">
        <v>2273</v>
      </c>
      <c r="J69" t="s">
        <v>2276</v>
      </c>
    </row>
    <row r="70" spans="1:10">
      <c r="A70">
        <v>69</v>
      </c>
      <c r="B70">
        <v>-3.2993180030000002</v>
      </c>
      <c r="C70">
        <v>34.848235010000003</v>
      </c>
      <c r="D70">
        <v>1659.08</v>
      </c>
      <c r="E70" t="s">
        <v>3224</v>
      </c>
      <c r="F70">
        <v>910</v>
      </c>
      <c r="G70" t="s">
        <v>3219</v>
      </c>
      <c r="H70" t="s">
        <v>3220</v>
      </c>
      <c r="I70" t="s">
        <v>2273</v>
      </c>
      <c r="J70" t="s">
        <v>2277</v>
      </c>
    </row>
    <row r="71" spans="1:10">
      <c r="A71">
        <v>70</v>
      </c>
      <c r="B71">
        <v>-3.299381034</v>
      </c>
      <c r="C71">
        <v>34.848312040000003</v>
      </c>
      <c r="D71">
        <v>1660.64</v>
      </c>
      <c r="E71" t="s">
        <v>3225</v>
      </c>
      <c r="F71">
        <v>911</v>
      </c>
      <c r="G71" t="s">
        <v>3219</v>
      </c>
      <c r="H71" t="s">
        <v>3220</v>
      </c>
      <c r="I71" t="s">
        <v>2273</v>
      </c>
      <c r="J71" t="s">
        <v>2278</v>
      </c>
    </row>
    <row r="72" spans="1:10">
      <c r="A72">
        <v>71</v>
      </c>
      <c r="B72">
        <v>-3.2992429849999998</v>
      </c>
      <c r="C72">
        <v>34.847900989999999</v>
      </c>
      <c r="D72">
        <v>1662.28</v>
      </c>
      <c r="E72" t="s">
        <v>3226</v>
      </c>
      <c r="F72">
        <v>912</v>
      </c>
      <c r="G72" t="s">
        <v>3219</v>
      </c>
      <c r="H72" t="s">
        <v>3220</v>
      </c>
      <c r="I72" t="s">
        <v>2273</v>
      </c>
      <c r="J72" t="s">
        <v>2279</v>
      </c>
    </row>
    <row r="73" spans="1:10">
      <c r="A73">
        <v>72</v>
      </c>
      <c r="B73">
        <v>-3.2996540329999999</v>
      </c>
      <c r="C73">
        <v>34.848151020000003</v>
      </c>
      <c r="D73">
        <v>1663.24</v>
      </c>
      <c r="E73" t="s">
        <v>3227</v>
      </c>
      <c r="F73">
        <v>913</v>
      </c>
      <c r="G73" t="s">
        <v>3219</v>
      </c>
      <c r="H73" t="s">
        <v>3220</v>
      </c>
      <c r="I73" t="s">
        <v>2273</v>
      </c>
      <c r="J73" t="s">
        <v>2280</v>
      </c>
    </row>
    <row r="74" spans="1:10">
      <c r="A74">
        <v>73</v>
      </c>
      <c r="B74">
        <v>-3.3025860229999999</v>
      </c>
      <c r="C74">
        <v>34.848048009999999</v>
      </c>
      <c r="D74">
        <v>1674.07</v>
      </c>
      <c r="E74" t="s">
        <v>3228</v>
      </c>
      <c r="F74">
        <v>1132</v>
      </c>
      <c r="G74" t="s">
        <v>3219</v>
      </c>
      <c r="H74" t="s">
        <v>3220</v>
      </c>
      <c r="I74" t="s">
        <v>2282</v>
      </c>
      <c r="J74" t="s">
        <v>2281</v>
      </c>
    </row>
    <row r="75" spans="1:10">
      <c r="A75">
        <v>74</v>
      </c>
      <c r="B75">
        <v>-3.3025779759999998</v>
      </c>
      <c r="C75">
        <v>34.848041969999997</v>
      </c>
      <c r="D75">
        <v>1674.36</v>
      </c>
      <c r="E75" t="s">
        <v>3229</v>
      </c>
      <c r="F75">
        <v>1129</v>
      </c>
      <c r="G75" t="s">
        <v>3219</v>
      </c>
      <c r="H75" t="s">
        <v>3220</v>
      </c>
      <c r="I75" t="s">
        <v>2282</v>
      </c>
      <c r="J75" t="s">
        <v>2283</v>
      </c>
    </row>
    <row r="76" spans="1:10">
      <c r="A76">
        <v>75</v>
      </c>
      <c r="B76">
        <v>-3.302687025</v>
      </c>
      <c r="C76">
        <v>34.847926970000003</v>
      </c>
      <c r="D76">
        <v>1672.79</v>
      </c>
      <c r="E76" t="s">
        <v>3230</v>
      </c>
      <c r="F76">
        <v>1133</v>
      </c>
      <c r="G76" t="s">
        <v>3219</v>
      </c>
      <c r="H76" t="s">
        <v>3220</v>
      </c>
      <c r="I76" t="s">
        <v>2282</v>
      </c>
      <c r="J76" t="s">
        <v>2284</v>
      </c>
    </row>
    <row r="77" spans="1:10">
      <c r="A77">
        <v>76</v>
      </c>
      <c r="B77">
        <v>-3.3024560190000001</v>
      </c>
      <c r="C77">
        <v>34.847871990000002</v>
      </c>
      <c r="D77">
        <v>1668.49</v>
      </c>
      <c r="E77" t="s">
        <v>3231</v>
      </c>
      <c r="F77">
        <v>917</v>
      </c>
      <c r="G77" t="s">
        <v>3219</v>
      </c>
      <c r="H77" t="s">
        <v>3220</v>
      </c>
      <c r="I77" t="s">
        <v>2282</v>
      </c>
      <c r="J77" t="s">
        <v>2285</v>
      </c>
    </row>
    <row r="78" spans="1:10">
      <c r="A78">
        <v>77</v>
      </c>
      <c r="B78">
        <v>-3.3023280279999998</v>
      </c>
      <c r="C78">
        <v>34.848223019999999</v>
      </c>
      <c r="D78">
        <v>1673.13</v>
      </c>
      <c r="E78" t="s">
        <v>3232</v>
      </c>
      <c r="F78">
        <v>1134</v>
      </c>
      <c r="G78" t="s">
        <v>3219</v>
      </c>
      <c r="H78" t="s">
        <v>3220</v>
      </c>
      <c r="I78" t="s">
        <v>2282</v>
      </c>
      <c r="J78" t="s">
        <v>2286</v>
      </c>
    </row>
    <row r="79" spans="1:10">
      <c r="A79">
        <v>78</v>
      </c>
      <c r="B79">
        <v>-3.3025680020000001</v>
      </c>
      <c r="C79">
        <v>34.848167029999999</v>
      </c>
      <c r="D79">
        <v>1673.4</v>
      </c>
      <c r="E79" t="s">
        <v>3233</v>
      </c>
      <c r="F79">
        <v>1135</v>
      </c>
      <c r="G79" t="s">
        <v>3219</v>
      </c>
      <c r="H79" t="s">
        <v>3220</v>
      </c>
      <c r="I79" t="s">
        <v>2282</v>
      </c>
      <c r="J79" t="s">
        <v>2287</v>
      </c>
    </row>
    <row r="80" spans="1:10">
      <c r="A80">
        <v>79</v>
      </c>
      <c r="B80">
        <v>-3.3026270100000001</v>
      </c>
      <c r="C80">
        <v>34.84840801</v>
      </c>
      <c r="D80">
        <v>1672.01</v>
      </c>
      <c r="E80" t="s">
        <v>3234</v>
      </c>
      <c r="F80">
        <v>920</v>
      </c>
      <c r="G80" t="s">
        <v>3219</v>
      </c>
      <c r="H80" t="s">
        <v>3220</v>
      </c>
      <c r="I80" t="s">
        <v>2282</v>
      </c>
      <c r="J80" t="s">
        <v>2288</v>
      </c>
    </row>
    <row r="81" spans="1:10">
      <c r="A81">
        <v>80</v>
      </c>
      <c r="B81">
        <v>-3.3028539920000002</v>
      </c>
      <c r="C81">
        <v>34.847988999999998</v>
      </c>
      <c r="D81">
        <v>1672.7</v>
      </c>
      <c r="E81" t="s">
        <v>3235</v>
      </c>
      <c r="F81">
        <v>1103</v>
      </c>
      <c r="G81" t="s">
        <v>3219</v>
      </c>
      <c r="H81" t="s">
        <v>3220</v>
      </c>
      <c r="I81" t="s">
        <v>2282</v>
      </c>
      <c r="J81" t="s">
        <v>2289</v>
      </c>
    </row>
    <row r="82" spans="1:10">
      <c r="A82">
        <v>81</v>
      </c>
      <c r="B82">
        <v>-3.2957159630000001</v>
      </c>
      <c r="C82">
        <v>34.852460999999998</v>
      </c>
      <c r="D82">
        <v>1673.49</v>
      </c>
      <c r="E82" t="s">
        <v>3236</v>
      </c>
      <c r="F82">
        <v>892</v>
      </c>
      <c r="G82" t="s">
        <v>3219</v>
      </c>
      <c r="H82" t="s">
        <v>3220</v>
      </c>
      <c r="I82" t="s">
        <v>2291</v>
      </c>
      <c r="J82" t="s">
        <v>2290</v>
      </c>
    </row>
    <row r="83" spans="1:10">
      <c r="A83">
        <v>82</v>
      </c>
      <c r="B83">
        <v>-3.2957230040000001</v>
      </c>
      <c r="C83">
        <v>34.852416990000002</v>
      </c>
      <c r="D83">
        <v>1674.08728</v>
      </c>
      <c r="E83" t="s">
        <v>3237</v>
      </c>
      <c r="F83">
        <v>1128</v>
      </c>
      <c r="G83" t="s">
        <v>3219</v>
      </c>
      <c r="H83" t="s">
        <v>3220</v>
      </c>
      <c r="I83" t="s">
        <v>2291</v>
      </c>
      <c r="J83" t="s">
        <v>2293</v>
      </c>
    </row>
    <row r="84" spans="1:10">
      <c r="A84">
        <v>83</v>
      </c>
      <c r="B84">
        <v>-3.2957430369999998</v>
      </c>
      <c r="C84">
        <v>34.852309030000001</v>
      </c>
      <c r="D84">
        <v>1670.24</v>
      </c>
      <c r="E84" t="s">
        <v>3238</v>
      </c>
      <c r="F84">
        <v>886</v>
      </c>
      <c r="G84" t="s">
        <v>3219</v>
      </c>
      <c r="H84" t="s">
        <v>3220</v>
      </c>
      <c r="I84" t="s">
        <v>2291</v>
      </c>
      <c r="J84" t="s">
        <v>2294</v>
      </c>
    </row>
    <row r="85" spans="1:10">
      <c r="A85">
        <v>84</v>
      </c>
      <c r="B85">
        <v>-3.295795005</v>
      </c>
      <c r="C85">
        <v>34.85232001</v>
      </c>
      <c r="D85">
        <v>1674.73</v>
      </c>
      <c r="E85" t="s">
        <v>3239</v>
      </c>
      <c r="F85">
        <v>887</v>
      </c>
      <c r="G85" t="s">
        <v>3219</v>
      </c>
      <c r="H85" t="s">
        <v>3220</v>
      </c>
      <c r="I85" t="s">
        <v>2291</v>
      </c>
      <c r="J85" t="s">
        <v>2295</v>
      </c>
    </row>
    <row r="86" spans="1:10">
      <c r="A86">
        <v>85</v>
      </c>
      <c r="B86">
        <v>-3.2957100119999998</v>
      </c>
      <c r="C86">
        <v>34.852283970000002</v>
      </c>
      <c r="D86">
        <v>1673.21</v>
      </c>
      <c r="E86" t="s">
        <v>3240</v>
      </c>
      <c r="F86">
        <v>888</v>
      </c>
      <c r="G86" t="s">
        <v>3219</v>
      </c>
      <c r="H86" t="s">
        <v>3220</v>
      </c>
      <c r="I86" t="s">
        <v>2291</v>
      </c>
      <c r="J86" t="s">
        <v>2296</v>
      </c>
    </row>
    <row r="87" spans="1:10">
      <c r="A87">
        <v>86</v>
      </c>
      <c r="B87">
        <v>-3.2956140399999998</v>
      </c>
      <c r="C87">
        <v>34.852137030000002</v>
      </c>
      <c r="D87">
        <v>1674.28</v>
      </c>
      <c r="E87" t="s">
        <v>3241</v>
      </c>
      <c r="F87">
        <v>889</v>
      </c>
      <c r="G87" t="s">
        <v>3219</v>
      </c>
      <c r="H87" t="s">
        <v>3220</v>
      </c>
      <c r="I87" t="s">
        <v>2291</v>
      </c>
      <c r="J87" t="s">
        <v>2297</v>
      </c>
    </row>
    <row r="88" spans="1:10">
      <c r="A88">
        <v>87</v>
      </c>
      <c r="B88">
        <v>-3.295904975</v>
      </c>
      <c r="C88">
        <v>34.852136029999997</v>
      </c>
      <c r="D88">
        <v>1673.57</v>
      </c>
      <c r="E88" t="s">
        <v>3242</v>
      </c>
      <c r="F88">
        <v>890</v>
      </c>
      <c r="G88" t="s">
        <v>3219</v>
      </c>
      <c r="H88" t="s">
        <v>3220</v>
      </c>
      <c r="I88" t="s">
        <v>2291</v>
      </c>
      <c r="J88" t="s">
        <v>2298</v>
      </c>
    </row>
    <row r="89" spans="1:10">
      <c r="A89">
        <v>88</v>
      </c>
      <c r="B89">
        <v>-3.2959530039999998</v>
      </c>
      <c r="C89">
        <v>34.85242504</v>
      </c>
      <c r="D89">
        <v>1673.36</v>
      </c>
      <c r="E89" t="s">
        <v>3243</v>
      </c>
      <c r="F89">
        <v>891</v>
      </c>
      <c r="G89" t="s">
        <v>3219</v>
      </c>
      <c r="H89" t="s">
        <v>3220</v>
      </c>
      <c r="I89" t="s">
        <v>2291</v>
      </c>
      <c r="J89" t="s">
        <v>2299</v>
      </c>
    </row>
    <row r="90" spans="1:10">
      <c r="A90">
        <v>89</v>
      </c>
      <c r="B90">
        <v>-3.2966709980000002</v>
      </c>
      <c r="C90">
        <v>34.854407019999996</v>
      </c>
      <c r="D90">
        <v>1667.48</v>
      </c>
      <c r="E90" t="s">
        <v>3244</v>
      </c>
      <c r="F90">
        <v>898</v>
      </c>
      <c r="G90" t="s">
        <v>3219</v>
      </c>
      <c r="H90" t="s">
        <v>3220</v>
      </c>
      <c r="I90" t="s">
        <v>2301</v>
      </c>
      <c r="J90" t="s">
        <v>2300</v>
      </c>
    </row>
    <row r="91" spans="1:10">
      <c r="A91">
        <v>90</v>
      </c>
      <c r="B91">
        <v>-3.2966860009999999</v>
      </c>
      <c r="C91">
        <v>34.854371989999997</v>
      </c>
      <c r="D91">
        <v>1667.49</v>
      </c>
      <c r="E91" t="s">
        <v>3245</v>
      </c>
      <c r="F91">
        <v>899</v>
      </c>
      <c r="G91" t="s">
        <v>3219</v>
      </c>
      <c r="H91" t="s">
        <v>3220</v>
      </c>
      <c r="I91" t="s">
        <v>2301</v>
      </c>
      <c r="J91" t="s">
        <v>2302</v>
      </c>
    </row>
    <row r="92" spans="1:10">
      <c r="A92">
        <v>91</v>
      </c>
      <c r="B92">
        <v>-3.2966180239999998</v>
      </c>
      <c r="C92">
        <v>34.854464020000002</v>
      </c>
      <c r="D92">
        <v>1667.74</v>
      </c>
      <c r="E92" t="s">
        <v>3246</v>
      </c>
      <c r="F92">
        <v>900</v>
      </c>
      <c r="G92" t="s">
        <v>3219</v>
      </c>
      <c r="H92" t="s">
        <v>3220</v>
      </c>
      <c r="I92" t="s">
        <v>2301</v>
      </c>
      <c r="J92" t="s">
        <v>2303</v>
      </c>
    </row>
    <row r="93" spans="1:10">
      <c r="A93">
        <v>92</v>
      </c>
      <c r="B93">
        <v>-3.2965539860000002</v>
      </c>
      <c r="C93">
        <v>34.854455969999997</v>
      </c>
      <c r="D93">
        <v>1667.34</v>
      </c>
      <c r="E93" t="s">
        <v>3247</v>
      </c>
      <c r="F93">
        <v>901</v>
      </c>
      <c r="G93" t="s">
        <v>3219</v>
      </c>
      <c r="H93" t="s">
        <v>3220</v>
      </c>
      <c r="I93" t="s">
        <v>2301</v>
      </c>
      <c r="J93" t="s">
        <v>2304</v>
      </c>
    </row>
    <row r="94" spans="1:10">
      <c r="A94">
        <v>93</v>
      </c>
      <c r="B94">
        <v>-3.2964789680000002</v>
      </c>
      <c r="C94">
        <v>34.854331000000002</v>
      </c>
      <c r="D94">
        <v>1669.28</v>
      </c>
      <c r="E94" t="s">
        <v>3248</v>
      </c>
      <c r="F94">
        <v>902</v>
      </c>
      <c r="G94" t="s">
        <v>3219</v>
      </c>
      <c r="H94" t="s">
        <v>3220</v>
      </c>
      <c r="I94" t="s">
        <v>2301</v>
      </c>
      <c r="J94" t="s">
        <v>2305</v>
      </c>
    </row>
    <row r="95" spans="1:10">
      <c r="A95">
        <v>94</v>
      </c>
      <c r="B95">
        <v>-3.2964649700000002</v>
      </c>
      <c r="C95">
        <v>34.854340970000003</v>
      </c>
      <c r="D95">
        <v>1666.49</v>
      </c>
      <c r="E95" t="s">
        <v>3249</v>
      </c>
      <c r="F95">
        <v>903</v>
      </c>
      <c r="G95" t="s">
        <v>3219</v>
      </c>
      <c r="H95" t="s">
        <v>3220</v>
      </c>
      <c r="I95" t="s">
        <v>2301</v>
      </c>
      <c r="J95" t="s">
        <v>2306</v>
      </c>
    </row>
    <row r="96" spans="1:10">
      <c r="A96">
        <v>95</v>
      </c>
      <c r="B96">
        <v>-3.296725983</v>
      </c>
      <c r="C96">
        <v>34.854216000000001</v>
      </c>
      <c r="D96">
        <v>1664.61</v>
      </c>
      <c r="E96" t="s">
        <v>3250</v>
      </c>
      <c r="F96">
        <v>904</v>
      </c>
      <c r="G96" t="s">
        <v>3219</v>
      </c>
      <c r="H96" t="s">
        <v>3220</v>
      </c>
      <c r="I96" t="s">
        <v>2301</v>
      </c>
      <c r="J96" t="s">
        <v>2307</v>
      </c>
    </row>
    <row r="97" spans="1:10">
      <c r="A97">
        <v>96</v>
      </c>
      <c r="B97">
        <v>-3.2968360369999998</v>
      </c>
      <c r="C97">
        <v>34.854462009999999</v>
      </c>
      <c r="D97">
        <v>1654.53</v>
      </c>
      <c r="E97" t="s">
        <v>3251</v>
      </c>
      <c r="F97">
        <v>905</v>
      </c>
      <c r="G97" t="s">
        <v>3219</v>
      </c>
      <c r="H97" t="s">
        <v>3220</v>
      </c>
      <c r="I97" t="s">
        <v>2301</v>
      </c>
      <c r="J97" t="s">
        <v>2308</v>
      </c>
    </row>
    <row r="98" spans="1:10">
      <c r="A98">
        <v>97</v>
      </c>
      <c r="B98">
        <v>-2.3691620310000001</v>
      </c>
      <c r="C98">
        <v>34.06028104</v>
      </c>
      <c r="D98">
        <v>1277.3699999999999</v>
      </c>
      <c r="E98" t="s">
        <v>3252</v>
      </c>
      <c r="F98">
        <v>718</v>
      </c>
      <c r="G98" t="s">
        <v>3253</v>
      </c>
      <c r="H98" t="s">
        <v>3157</v>
      </c>
      <c r="I98" t="s">
        <v>2173</v>
      </c>
      <c r="J98" t="s">
        <v>2310</v>
      </c>
    </row>
    <row r="99" spans="1:10">
      <c r="A99">
        <v>98</v>
      </c>
      <c r="B99">
        <v>-2.3692249790000002</v>
      </c>
      <c r="C99">
        <v>34.060285989999997</v>
      </c>
      <c r="D99">
        <v>1278.72</v>
      </c>
      <c r="E99" t="s">
        <v>3254</v>
      </c>
      <c r="F99">
        <v>719</v>
      </c>
      <c r="G99" t="s">
        <v>3253</v>
      </c>
      <c r="H99" t="s">
        <v>3157</v>
      </c>
      <c r="I99" t="s">
        <v>2173</v>
      </c>
      <c r="J99" t="s">
        <v>2311</v>
      </c>
    </row>
    <row r="100" spans="1:10">
      <c r="A100">
        <v>99</v>
      </c>
      <c r="B100">
        <v>-2.369284993</v>
      </c>
      <c r="C100">
        <v>34.06028104</v>
      </c>
      <c r="D100">
        <v>1279.1199999999999</v>
      </c>
      <c r="E100" t="s">
        <v>3255</v>
      </c>
      <c r="F100">
        <v>720</v>
      </c>
      <c r="G100" t="s">
        <v>3253</v>
      </c>
      <c r="H100" t="s">
        <v>3157</v>
      </c>
      <c r="I100" t="s">
        <v>2173</v>
      </c>
      <c r="J100" t="s">
        <v>2312</v>
      </c>
    </row>
    <row r="101" spans="1:10">
      <c r="A101">
        <v>100</v>
      </c>
      <c r="B101">
        <v>-2.3691989950000001</v>
      </c>
      <c r="C101">
        <v>34.060208029999998</v>
      </c>
      <c r="D101">
        <v>1279.1199999999999</v>
      </c>
      <c r="E101" t="s">
        <v>3256</v>
      </c>
      <c r="F101">
        <v>721</v>
      </c>
      <c r="G101" t="s">
        <v>3253</v>
      </c>
      <c r="H101" t="s">
        <v>3157</v>
      </c>
      <c r="I101" t="s">
        <v>2173</v>
      </c>
      <c r="J101" t="s">
        <v>2313</v>
      </c>
    </row>
    <row r="102" spans="1:10">
      <c r="A102">
        <v>101</v>
      </c>
      <c r="B102">
        <v>-2.3691900260000001</v>
      </c>
      <c r="C102">
        <v>34.060177019999998</v>
      </c>
      <c r="D102">
        <v>1278.82</v>
      </c>
      <c r="E102" t="s">
        <v>3257</v>
      </c>
      <c r="F102">
        <v>722</v>
      </c>
      <c r="G102" t="s">
        <v>3253</v>
      </c>
      <c r="H102" t="s">
        <v>3157</v>
      </c>
      <c r="I102" t="s">
        <v>2173</v>
      </c>
      <c r="J102" t="s">
        <v>2315</v>
      </c>
    </row>
    <row r="103" spans="1:10">
      <c r="A103">
        <v>102</v>
      </c>
      <c r="B103">
        <v>-2.3691350409999998</v>
      </c>
      <c r="C103">
        <v>34.06018297</v>
      </c>
      <c r="D103">
        <v>1279.57</v>
      </c>
      <c r="E103" t="s">
        <v>3258</v>
      </c>
      <c r="F103">
        <v>723</v>
      </c>
      <c r="G103" t="s">
        <v>3253</v>
      </c>
      <c r="H103" t="s">
        <v>3157</v>
      </c>
      <c r="I103" t="s">
        <v>2173</v>
      </c>
      <c r="J103" t="s">
        <v>2316</v>
      </c>
    </row>
    <row r="104" spans="1:10">
      <c r="A104">
        <v>103</v>
      </c>
      <c r="B104">
        <v>-2.3691330289999999</v>
      </c>
      <c r="C104">
        <v>34.060233009999997</v>
      </c>
      <c r="D104">
        <v>1279.73</v>
      </c>
      <c r="E104" t="s">
        <v>3259</v>
      </c>
      <c r="F104">
        <v>724</v>
      </c>
      <c r="G104" t="s">
        <v>3253</v>
      </c>
      <c r="H104" t="s">
        <v>3157</v>
      </c>
      <c r="I104" t="s">
        <v>2173</v>
      </c>
      <c r="J104" t="s">
        <v>2317</v>
      </c>
    </row>
    <row r="105" spans="1:10">
      <c r="A105">
        <v>104</v>
      </c>
      <c r="B105">
        <v>-2.3692910280000001</v>
      </c>
      <c r="C105">
        <v>34.06016202</v>
      </c>
      <c r="D105">
        <v>1278.55</v>
      </c>
      <c r="E105" t="s">
        <v>3260</v>
      </c>
      <c r="F105">
        <v>725</v>
      </c>
      <c r="G105" t="s">
        <v>3253</v>
      </c>
      <c r="H105" t="s">
        <v>3157</v>
      </c>
      <c r="I105" t="s">
        <v>2173</v>
      </c>
      <c r="J105" t="s">
        <v>2318</v>
      </c>
    </row>
    <row r="106" spans="1:10">
      <c r="A106">
        <v>105</v>
      </c>
      <c r="B106">
        <v>-2.3698080240000001</v>
      </c>
      <c r="C106">
        <v>34.059671010000002</v>
      </c>
      <c r="D106">
        <v>1278.47</v>
      </c>
      <c r="E106" t="s">
        <v>3261</v>
      </c>
      <c r="F106">
        <v>726</v>
      </c>
      <c r="G106" t="s">
        <v>3253</v>
      </c>
      <c r="H106" t="s">
        <v>3157</v>
      </c>
      <c r="I106" t="s">
        <v>2189</v>
      </c>
      <c r="J106" t="s">
        <v>2319</v>
      </c>
    </row>
    <row r="107" spans="1:10">
      <c r="A107">
        <v>106</v>
      </c>
      <c r="B107">
        <v>-2.3697620069999998</v>
      </c>
      <c r="C107">
        <v>34.059730010000003</v>
      </c>
      <c r="D107">
        <v>1276.99</v>
      </c>
      <c r="E107" t="s">
        <v>3262</v>
      </c>
      <c r="F107">
        <v>727</v>
      </c>
      <c r="G107" t="s">
        <v>3253</v>
      </c>
      <c r="H107" t="s">
        <v>3157</v>
      </c>
      <c r="I107" t="s">
        <v>2189</v>
      </c>
      <c r="J107" t="s">
        <v>2320</v>
      </c>
    </row>
    <row r="108" spans="1:10">
      <c r="A108">
        <v>107</v>
      </c>
      <c r="B108">
        <v>-2.3698409649999999</v>
      </c>
      <c r="C108">
        <v>34.059814000000003</v>
      </c>
      <c r="D108">
        <v>1277.92</v>
      </c>
      <c r="E108" t="s">
        <v>3263</v>
      </c>
      <c r="F108">
        <v>728</v>
      </c>
      <c r="G108" t="s">
        <v>3253</v>
      </c>
      <c r="H108" t="s">
        <v>3157</v>
      </c>
      <c r="I108" t="s">
        <v>2189</v>
      </c>
      <c r="J108" t="s">
        <v>2321</v>
      </c>
    </row>
    <row r="109" spans="1:10">
      <c r="A109">
        <v>108</v>
      </c>
      <c r="B109">
        <v>-2.3698620030000002</v>
      </c>
      <c r="C109">
        <v>34.059759020000001</v>
      </c>
      <c r="D109">
        <v>1277.75</v>
      </c>
      <c r="E109" t="s">
        <v>3264</v>
      </c>
      <c r="F109">
        <v>729</v>
      </c>
      <c r="G109" t="s">
        <v>3253</v>
      </c>
      <c r="H109" t="s">
        <v>3157</v>
      </c>
      <c r="I109" t="s">
        <v>2189</v>
      </c>
      <c r="J109" t="s">
        <v>2322</v>
      </c>
    </row>
    <row r="110" spans="1:10">
      <c r="A110">
        <v>109</v>
      </c>
      <c r="B110">
        <v>-2.3698390370000002</v>
      </c>
      <c r="C110">
        <v>34.059714</v>
      </c>
      <c r="D110">
        <v>1277.48</v>
      </c>
      <c r="E110" t="s">
        <v>3265</v>
      </c>
      <c r="F110">
        <v>730</v>
      </c>
      <c r="G110" t="s">
        <v>3253</v>
      </c>
      <c r="H110" t="s">
        <v>3157</v>
      </c>
      <c r="I110" t="s">
        <v>2189</v>
      </c>
      <c r="J110" t="s">
        <v>2324</v>
      </c>
    </row>
    <row r="111" spans="1:10">
      <c r="A111">
        <v>110</v>
      </c>
      <c r="B111">
        <v>-2.3697549659999999</v>
      </c>
      <c r="C111">
        <v>34.059668989999999</v>
      </c>
      <c r="D111">
        <v>1277.67</v>
      </c>
      <c r="E111" t="s">
        <v>3266</v>
      </c>
      <c r="F111">
        <v>731</v>
      </c>
      <c r="G111" t="s">
        <v>3253</v>
      </c>
      <c r="H111" t="s">
        <v>3157</v>
      </c>
      <c r="I111" t="s">
        <v>2189</v>
      </c>
      <c r="J111" t="s">
        <v>2325</v>
      </c>
    </row>
    <row r="112" spans="1:10">
      <c r="A112">
        <v>111</v>
      </c>
      <c r="B112">
        <v>-2.3697330060000001</v>
      </c>
      <c r="C112">
        <v>34.059615010000002</v>
      </c>
      <c r="D112">
        <v>1277.25</v>
      </c>
      <c r="E112" t="s">
        <v>3267</v>
      </c>
      <c r="F112">
        <v>732</v>
      </c>
      <c r="G112" t="s">
        <v>3253</v>
      </c>
      <c r="H112" t="s">
        <v>3157</v>
      </c>
      <c r="I112" t="s">
        <v>2189</v>
      </c>
      <c r="J112" t="s">
        <v>2326</v>
      </c>
    </row>
    <row r="113" spans="1:10">
      <c r="A113">
        <v>112</v>
      </c>
      <c r="B113">
        <v>-2.36967098</v>
      </c>
      <c r="C113">
        <v>34.059735959999998</v>
      </c>
      <c r="D113">
        <v>1277.5899999999999</v>
      </c>
      <c r="E113" t="s">
        <v>3268</v>
      </c>
      <c r="F113">
        <v>733</v>
      </c>
      <c r="G113" t="s">
        <v>3253</v>
      </c>
      <c r="H113" t="s">
        <v>3157</v>
      </c>
      <c r="I113" t="s">
        <v>2189</v>
      </c>
      <c r="J113" t="s">
        <v>2327</v>
      </c>
    </row>
    <row r="114" spans="1:10">
      <c r="A114">
        <v>113</v>
      </c>
      <c r="B114">
        <v>-2.3487199940000001</v>
      </c>
      <c r="C114">
        <v>34.051391029999998</v>
      </c>
      <c r="D114">
        <v>1253.76</v>
      </c>
      <c r="E114" t="s">
        <v>3269</v>
      </c>
      <c r="F114">
        <v>739</v>
      </c>
      <c r="G114" t="s">
        <v>3253</v>
      </c>
      <c r="H114" t="s">
        <v>3157</v>
      </c>
      <c r="I114" t="s">
        <v>2203</v>
      </c>
      <c r="J114" t="s">
        <v>2328</v>
      </c>
    </row>
    <row r="115" spans="1:10">
      <c r="A115">
        <v>114</v>
      </c>
      <c r="B115">
        <v>-2.348716976</v>
      </c>
      <c r="C115">
        <v>34.051484989999999</v>
      </c>
      <c r="D115">
        <v>1247.5999999999999</v>
      </c>
      <c r="E115" t="s">
        <v>3270</v>
      </c>
      <c r="F115">
        <v>740</v>
      </c>
      <c r="G115" t="s">
        <v>3253</v>
      </c>
      <c r="H115" t="s">
        <v>3157</v>
      </c>
      <c r="I115" t="s">
        <v>2203</v>
      </c>
      <c r="J115" t="s">
        <v>2329</v>
      </c>
    </row>
    <row r="116" spans="1:10">
      <c r="A116">
        <v>115</v>
      </c>
      <c r="B116">
        <v>-2.3487800079999999</v>
      </c>
      <c r="C116">
        <v>34.051495969999998</v>
      </c>
      <c r="D116">
        <v>1246.7</v>
      </c>
      <c r="E116" t="s">
        <v>3271</v>
      </c>
      <c r="F116">
        <v>741</v>
      </c>
      <c r="G116" t="s">
        <v>3253</v>
      </c>
      <c r="H116" t="s">
        <v>3157</v>
      </c>
      <c r="I116" t="s">
        <v>2203</v>
      </c>
      <c r="J116" t="s">
        <v>2330</v>
      </c>
    </row>
    <row r="117" spans="1:10">
      <c r="A117">
        <v>116</v>
      </c>
      <c r="B117">
        <v>-2.3488120270000001</v>
      </c>
      <c r="C117">
        <v>34.05146697</v>
      </c>
      <c r="D117">
        <v>1246.3399999999999</v>
      </c>
      <c r="E117" t="s">
        <v>3272</v>
      </c>
      <c r="F117">
        <v>742</v>
      </c>
      <c r="G117" t="s">
        <v>3253</v>
      </c>
      <c r="H117" t="s">
        <v>3157</v>
      </c>
      <c r="I117" t="s">
        <v>2203</v>
      </c>
      <c r="J117" t="s">
        <v>2331</v>
      </c>
    </row>
    <row r="118" spans="1:10">
      <c r="A118">
        <v>117</v>
      </c>
      <c r="B118">
        <v>-2.348814961</v>
      </c>
      <c r="C118">
        <v>34.051439979999998</v>
      </c>
      <c r="D118">
        <v>1246.28</v>
      </c>
      <c r="E118" t="s">
        <v>3273</v>
      </c>
      <c r="F118">
        <v>743</v>
      </c>
      <c r="G118" t="s">
        <v>3253</v>
      </c>
      <c r="H118" t="s">
        <v>3157</v>
      </c>
      <c r="I118" t="s">
        <v>2203</v>
      </c>
      <c r="J118" t="s">
        <v>2332</v>
      </c>
    </row>
    <row r="119" spans="1:10">
      <c r="A119">
        <v>118</v>
      </c>
      <c r="B119">
        <v>-2.3488729629999998</v>
      </c>
      <c r="C119">
        <v>34.051454980000003</v>
      </c>
      <c r="D119">
        <v>1246.69</v>
      </c>
      <c r="E119" t="s">
        <v>3274</v>
      </c>
      <c r="F119">
        <v>744</v>
      </c>
      <c r="G119" t="s">
        <v>3253</v>
      </c>
      <c r="H119" t="s">
        <v>3157</v>
      </c>
      <c r="I119" t="s">
        <v>2203</v>
      </c>
      <c r="J119" t="s">
        <v>2333</v>
      </c>
    </row>
    <row r="120" spans="1:10">
      <c r="A120">
        <v>119</v>
      </c>
      <c r="B120">
        <v>-2.3488589659999999</v>
      </c>
      <c r="C120">
        <v>34.051389010000001</v>
      </c>
      <c r="D120">
        <v>1248.27</v>
      </c>
      <c r="E120" t="s">
        <v>3275</v>
      </c>
      <c r="F120">
        <v>745</v>
      </c>
      <c r="G120" t="s">
        <v>3253</v>
      </c>
      <c r="H120" t="s">
        <v>3157</v>
      </c>
      <c r="I120" t="s">
        <v>2203</v>
      </c>
      <c r="J120" t="s">
        <v>2334</v>
      </c>
    </row>
    <row r="121" spans="1:10">
      <c r="A121">
        <v>120</v>
      </c>
      <c r="B121">
        <v>-2.3486449760000001</v>
      </c>
      <c r="C121">
        <v>34.051495969999998</v>
      </c>
      <c r="D121">
        <v>1245.54</v>
      </c>
      <c r="E121" t="s">
        <v>3276</v>
      </c>
      <c r="F121">
        <v>746</v>
      </c>
      <c r="G121" t="s">
        <v>3253</v>
      </c>
      <c r="H121" t="s">
        <v>3157</v>
      </c>
      <c r="I121" t="s">
        <v>2203</v>
      </c>
      <c r="J121" t="s">
        <v>2335</v>
      </c>
    </row>
    <row r="122" spans="1:10">
      <c r="A122">
        <v>121</v>
      </c>
      <c r="B122">
        <v>-2.3492639789999998</v>
      </c>
      <c r="C122">
        <v>34.051464029999998</v>
      </c>
      <c r="D122">
        <v>1244.43</v>
      </c>
      <c r="E122" t="s">
        <v>3277</v>
      </c>
      <c r="F122">
        <v>748</v>
      </c>
      <c r="G122" t="s">
        <v>3253</v>
      </c>
      <c r="H122" t="s">
        <v>3157</v>
      </c>
      <c r="I122" t="s">
        <v>2213</v>
      </c>
      <c r="J122" t="s">
        <v>2336</v>
      </c>
    </row>
    <row r="123" spans="1:10">
      <c r="A123">
        <v>122</v>
      </c>
      <c r="B123">
        <v>-2.34923196</v>
      </c>
      <c r="C123">
        <v>34.051422039999999</v>
      </c>
      <c r="D123">
        <v>1247.1500000000001</v>
      </c>
      <c r="E123" t="s">
        <v>3278</v>
      </c>
      <c r="F123">
        <v>749</v>
      </c>
      <c r="G123" t="s">
        <v>3253</v>
      </c>
      <c r="H123" t="s">
        <v>3157</v>
      </c>
      <c r="I123" t="s">
        <v>2213</v>
      </c>
      <c r="J123" t="s">
        <v>2337</v>
      </c>
    </row>
    <row r="124" spans="1:10">
      <c r="A124">
        <v>123</v>
      </c>
      <c r="B124">
        <v>-2.3492390009999999</v>
      </c>
      <c r="C124">
        <v>34.051304020000003</v>
      </c>
      <c r="D124">
        <v>1246.24</v>
      </c>
      <c r="E124" t="s">
        <v>3279</v>
      </c>
      <c r="F124">
        <v>751</v>
      </c>
      <c r="G124" t="s">
        <v>3253</v>
      </c>
      <c r="H124" t="s">
        <v>3157</v>
      </c>
      <c r="I124" t="s">
        <v>2213</v>
      </c>
      <c r="J124" t="s">
        <v>2338</v>
      </c>
    </row>
    <row r="125" spans="1:10">
      <c r="A125">
        <v>124</v>
      </c>
      <c r="B125">
        <v>-2.3492799889999998</v>
      </c>
      <c r="C125">
        <v>34.051280970000001</v>
      </c>
      <c r="D125">
        <v>1245.77</v>
      </c>
      <c r="E125" t="s">
        <v>3280</v>
      </c>
      <c r="F125">
        <v>750</v>
      </c>
      <c r="G125" t="s">
        <v>3253</v>
      </c>
      <c r="H125" t="s">
        <v>3157</v>
      </c>
      <c r="I125" t="s">
        <v>2213</v>
      </c>
      <c r="J125" t="s">
        <v>2340</v>
      </c>
    </row>
    <row r="126" spans="1:10">
      <c r="A126">
        <v>125</v>
      </c>
      <c r="B126">
        <v>-2.3493320400000002</v>
      </c>
      <c r="C126">
        <v>34.051321960000003</v>
      </c>
      <c r="D126">
        <v>1245.83</v>
      </c>
      <c r="E126" t="s">
        <v>3281</v>
      </c>
      <c r="F126">
        <v>752</v>
      </c>
      <c r="G126" t="s">
        <v>3253</v>
      </c>
      <c r="H126" t="s">
        <v>3157</v>
      </c>
      <c r="I126" t="s">
        <v>2213</v>
      </c>
      <c r="J126" t="s">
        <v>2341</v>
      </c>
    </row>
    <row r="127" spans="1:10">
      <c r="A127">
        <v>126</v>
      </c>
      <c r="B127">
        <v>-2.3493509829999999</v>
      </c>
      <c r="C127">
        <v>34.051332019999997</v>
      </c>
      <c r="D127">
        <v>1246.07</v>
      </c>
      <c r="E127" t="s">
        <v>3282</v>
      </c>
      <c r="F127">
        <v>753</v>
      </c>
      <c r="G127" t="s">
        <v>3253</v>
      </c>
      <c r="H127" t="s">
        <v>3157</v>
      </c>
      <c r="I127" t="s">
        <v>2213</v>
      </c>
      <c r="J127" t="s">
        <v>2342</v>
      </c>
    </row>
    <row r="128" spans="1:10">
      <c r="A128">
        <v>127</v>
      </c>
      <c r="B128">
        <v>-2.3491850219999999</v>
      </c>
      <c r="C128">
        <v>34.051264959999997</v>
      </c>
      <c r="D128">
        <v>1247.25</v>
      </c>
      <c r="E128" t="s">
        <v>3283</v>
      </c>
      <c r="F128">
        <v>754</v>
      </c>
      <c r="G128" t="s">
        <v>3253</v>
      </c>
      <c r="H128" t="s">
        <v>3157</v>
      </c>
      <c r="I128" t="s">
        <v>2213</v>
      </c>
      <c r="J128" t="s">
        <v>2343</v>
      </c>
    </row>
    <row r="129" spans="1:10">
      <c r="A129">
        <v>128</v>
      </c>
      <c r="B129">
        <v>-2.3493099960000001</v>
      </c>
      <c r="C129">
        <v>34.05141802</v>
      </c>
      <c r="D129">
        <v>1246.8499999999999</v>
      </c>
      <c r="E129" t="s">
        <v>3284</v>
      </c>
      <c r="F129">
        <v>755</v>
      </c>
      <c r="G129" t="s">
        <v>3253</v>
      </c>
      <c r="H129" t="s">
        <v>3157</v>
      </c>
      <c r="I129" t="s">
        <v>2213</v>
      </c>
      <c r="J129" t="s">
        <v>2344</v>
      </c>
    </row>
    <row r="130" spans="1:10">
      <c r="A130">
        <v>129</v>
      </c>
      <c r="B130">
        <v>-2.3503360249999998</v>
      </c>
      <c r="C130">
        <v>34.049662009999999</v>
      </c>
      <c r="D130">
        <v>1248.6199999999999</v>
      </c>
      <c r="E130" t="s">
        <v>3285</v>
      </c>
      <c r="F130">
        <v>669</v>
      </c>
      <c r="G130" t="s">
        <v>3253</v>
      </c>
      <c r="H130" t="s">
        <v>3188</v>
      </c>
      <c r="I130" t="s">
        <v>2222</v>
      </c>
      <c r="J130" t="s">
        <v>2345</v>
      </c>
    </row>
    <row r="131" spans="1:10">
      <c r="A131">
        <v>130</v>
      </c>
      <c r="B131">
        <v>-2.3503729889999998</v>
      </c>
      <c r="C131">
        <v>34.049626969999998</v>
      </c>
      <c r="D131">
        <v>1248.69</v>
      </c>
      <c r="E131" t="s">
        <v>3286</v>
      </c>
      <c r="F131">
        <v>670</v>
      </c>
      <c r="G131" t="s">
        <v>3253</v>
      </c>
      <c r="H131" t="s">
        <v>3188</v>
      </c>
      <c r="I131" t="s">
        <v>2222</v>
      </c>
      <c r="J131" t="s">
        <v>2346</v>
      </c>
    </row>
    <row r="132" spans="1:10">
      <c r="A132">
        <v>131</v>
      </c>
      <c r="B132">
        <v>-2.3503259660000002</v>
      </c>
      <c r="C132">
        <v>34.049616999999998</v>
      </c>
      <c r="D132">
        <v>1248.3499999999999</v>
      </c>
      <c r="E132" t="s">
        <v>3287</v>
      </c>
      <c r="F132">
        <v>672</v>
      </c>
      <c r="G132" t="s">
        <v>3253</v>
      </c>
      <c r="H132" t="s">
        <v>3188</v>
      </c>
      <c r="I132" t="s">
        <v>2222</v>
      </c>
      <c r="J132" t="s">
        <v>2347</v>
      </c>
    </row>
    <row r="133" spans="1:10">
      <c r="A133">
        <v>132</v>
      </c>
      <c r="B133">
        <v>-2.3504800260000001</v>
      </c>
      <c r="C133">
        <v>34.049551030000003</v>
      </c>
      <c r="D133">
        <v>1258.0899999999999</v>
      </c>
      <c r="E133" t="s">
        <v>3288</v>
      </c>
      <c r="F133">
        <v>1077</v>
      </c>
      <c r="G133" t="s">
        <v>3253</v>
      </c>
      <c r="H133" t="s">
        <v>3188</v>
      </c>
      <c r="I133" t="s">
        <v>2222</v>
      </c>
      <c r="J133" t="s">
        <v>2348</v>
      </c>
    </row>
    <row r="134" spans="1:10">
      <c r="A134">
        <v>133</v>
      </c>
      <c r="B134">
        <v>-2.350474996</v>
      </c>
      <c r="C134">
        <v>34.049801979999998</v>
      </c>
      <c r="D134">
        <v>1249.95</v>
      </c>
      <c r="E134" t="s">
        <v>3289</v>
      </c>
      <c r="F134">
        <v>674</v>
      </c>
      <c r="G134" t="s">
        <v>3253</v>
      </c>
      <c r="H134" t="s">
        <v>3188</v>
      </c>
      <c r="I134" t="s">
        <v>2222</v>
      </c>
      <c r="J134" t="s">
        <v>2349</v>
      </c>
    </row>
    <row r="135" spans="1:10">
      <c r="A135">
        <v>134</v>
      </c>
      <c r="B135">
        <v>-2.3503559730000001</v>
      </c>
      <c r="C135">
        <v>34.049800980000001</v>
      </c>
      <c r="D135">
        <v>1249.25</v>
      </c>
      <c r="E135" t="s">
        <v>3290</v>
      </c>
      <c r="F135">
        <v>675</v>
      </c>
      <c r="G135" t="s">
        <v>3253</v>
      </c>
      <c r="H135" t="s">
        <v>3188</v>
      </c>
      <c r="I135" t="s">
        <v>2222</v>
      </c>
      <c r="J135" t="s">
        <v>2350</v>
      </c>
    </row>
    <row r="136" spans="1:10">
      <c r="A136">
        <v>135</v>
      </c>
      <c r="B136">
        <v>-2.3503589909999998</v>
      </c>
      <c r="C136">
        <v>34.049719000000003</v>
      </c>
      <c r="D136">
        <v>1251.26</v>
      </c>
      <c r="E136" t="s">
        <v>3291</v>
      </c>
      <c r="F136">
        <v>677</v>
      </c>
      <c r="G136" t="s">
        <v>3253</v>
      </c>
      <c r="H136" t="s">
        <v>3188</v>
      </c>
      <c r="I136" t="s">
        <v>2222</v>
      </c>
      <c r="J136" t="s">
        <v>2351</v>
      </c>
    </row>
    <row r="137" spans="1:10">
      <c r="A137">
        <v>136</v>
      </c>
      <c r="B137">
        <v>-2.3502159960000002</v>
      </c>
      <c r="C137">
        <v>34.049822020000001</v>
      </c>
      <c r="D137">
        <v>1249.77</v>
      </c>
      <c r="E137" t="s">
        <v>3292</v>
      </c>
      <c r="F137">
        <v>678</v>
      </c>
      <c r="G137" t="s">
        <v>3253</v>
      </c>
      <c r="H137" t="s">
        <v>3188</v>
      </c>
      <c r="I137" t="s">
        <v>2222</v>
      </c>
      <c r="J137" t="s">
        <v>2352</v>
      </c>
    </row>
    <row r="138" spans="1:10">
      <c r="A138">
        <v>137</v>
      </c>
      <c r="B138">
        <v>-2.348596025</v>
      </c>
      <c r="C138">
        <v>34.050070959999999</v>
      </c>
      <c r="D138">
        <v>1250.98</v>
      </c>
      <c r="E138" t="s">
        <v>3293</v>
      </c>
      <c r="F138">
        <v>681</v>
      </c>
      <c r="G138" t="s">
        <v>3253</v>
      </c>
      <c r="H138" t="s">
        <v>3188</v>
      </c>
      <c r="I138" t="s">
        <v>2239</v>
      </c>
      <c r="J138" t="s">
        <v>2353</v>
      </c>
    </row>
    <row r="139" spans="1:10">
      <c r="A139">
        <v>138</v>
      </c>
      <c r="B139">
        <v>-2.3485449790000001</v>
      </c>
      <c r="C139">
        <v>34.050146980000001</v>
      </c>
      <c r="D139">
        <v>1250.04</v>
      </c>
      <c r="E139" t="s">
        <v>3294</v>
      </c>
      <c r="F139">
        <v>682</v>
      </c>
      <c r="G139" t="s">
        <v>3253</v>
      </c>
      <c r="H139" t="s">
        <v>3188</v>
      </c>
      <c r="I139" t="s">
        <v>2239</v>
      </c>
      <c r="J139" t="s">
        <v>2354</v>
      </c>
    </row>
    <row r="140" spans="1:10">
      <c r="A140">
        <v>139</v>
      </c>
      <c r="B140">
        <v>-2.3487209990000002</v>
      </c>
      <c r="C140">
        <v>34.050128039999997</v>
      </c>
      <c r="D140">
        <v>1250.67</v>
      </c>
      <c r="E140" t="s">
        <v>3295</v>
      </c>
      <c r="F140">
        <v>683</v>
      </c>
      <c r="G140" t="s">
        <v>3253</v>
      </c>
      <c r="H140" t="s">
        <v>3188</v>
      </c>
      <c r="I140" t="s">
        <v>2239</v>
      </c>
      <c r="J140" t="s">
        <v>2355</v>
      </c>
    </row>
    <row r="141" spans="1:10">
      <c r="A141">
        <v>140</v>
      </c>
      <c r="B141">
        <v>-2.3486250270000002</v>
      </c>
      <c r="C141">
        <v>34.050070959999999</v>
      </c>
      <c r="D141">
        <v>1248.49</v>
      </c>
      <c r="E141" t="s">
        <v>3296</v>
      </c>
      <c r="F141">
        <v>684</v>
      </c>
      <c r="G141" t="s">
        <v>3253</v>
      </c>
      <c r="H141" t="s">
        <v>3188</v>
      </c>
      <c r="I141" t="s">
        <v>2239</v>
      </c>
      <c r="J141" t="s">
        <v>2357</v>
      </c>
    </row>
    <row r="142" spans="1:10">
      <c r="A142">
        <v>141</v>
      </c>
      <c r="B142">
        <v>-2.3486060000000002</v>
      </c>
      <c r="C142">
        <v>34.050010020000002</v>
      </c>
      <c r="D142">
        <v>1248.22</v>
      </c>
      <c r="E142" t="s">
        <v>3297</v>
      </c>
      <c r="F142">
        <v>685</v>
      </c>
      <c r="G142" t="s">
        <v>3253</v>
      </c>
      <c r="H142" t="s">
        <v>3188</v>
      </c>
      <c r="I142" t="s">
        <v>2239</v>
      </c>
      <c r="J142" t="s">
        <v>2358</v>
      </c>
    </row>
    <row r="143" spans="1:10">
      <c r="A143">
        <v>142</v>
      </c>
      <c r="B143">
        <v>-2.348618992</v>
      </c>
      <c r="C143">
        <v>34.049996030000003</v>
      </c>
      <c r="D143">
        <v>1253.69</v>
      </c>
      <c r="E143" t="s">
        <v>3298</v>
      </c>
      <c r="F143">
        <v>686</v>
      </c>
      <c r="G143" t="s">
        <v>3253</v>
      </c>
      <c r="H143" t="s">
        <v>3188</v>
      </c>
      <c r="I143" t="s">
        <v>2239</v>
      </c>
      <c r="J143" t="s">
        <v>2359</v>
      </c>
    </row>
    <row r="144" spans="1:10">
      <c r="A144">
        <v>143</v>
      </c>
      <c r="B144">
        <v>-2.3484970349999998</v>
      </c>
      <c r="C144">
        <v>34.049979010000001</v>
      </c>
      <c r="D144">
        <v>1251.22</v>
      </c>
      <c r="E144" t="s">
        <v>3299</v>
      </c>
      <c r="F144">
        <v>687</v>
      </c>
      <c r="G144" t="s">
        <v>3253</v>
      </c>
      <c r="H144" t="s">
        <v>3188</v>
      </c>
      <c r="I144" t="s">
        <v>2239</v>
      </c>
      <c r="J144" t="s">
        <v>2360</v>
      </c>
    </row>
    <row r="145" spans="1:10">
      <c r="A145">
        <v>144</v>
      </c>
      <c r="B145">
        <v>-2.3486560399999998</v>
      </c>
      <c r="C145">
        <v>34.049895020000001</v>
      </c>
      <c r="D145">
        <v>1250.1199999999999</v>
      </c>
      <c r="E145" t="s">
        <v>3300</v>
      </c>
      <c r="F145">
        <v>688</v>
      </c>
      <c r="G145" t="s">
        <v>3253</v>
      </c>
      <c r="H145" t="s">
        <v>3188</v>
      </c>
      <c r="I145" t="s">
        <v>2239</v>
      </c>
      <c r="J145" t="s">
        <v>2361</v>
      </c>
    </row>
    <row r="146" spans="1:10">
      <c r="A146">
        <v>145</v>
      </c>
      <c r="B146">
        <v>-2.3675269729999999</v>
      </c>
      <c r="C146">
        <v>34.06035799</v>
      </c>
      <c r="D146">
        <v>1270.83</v>
      </c>
      <c r="E146" t="s">
        <v>3301</v>
      </c>
      <c r="F146">
        <v>698</v>
      </c>
      <c r="G146" t="s">
        <v>3253</v>
      </c>
      <c r="H146" t="s">
        <v>3188</v>
      </c>
      <c r="I146" t="s">
        <v>2251</v>
      </c>
      <c r="J146" t="s">
        <v>2362</v>
      </c>
    </row>
    <row r="147" spans="1:10">
      <c r="A147">
        <v>146</v>
      </c>
      <c r="B147">
        <v>-2.3675380370000001</v>
      </c>
      <c r="C147">
        <v>34.060381960000001</v>
      </c>
      <c r="D147">
        <v>1270.51</v>
      </c>
      <c r="E147" t="s">
        <v>3302</v>
      </c>
      <c r="F147">
        <v>699</v>
      </c>
      <c r="G147" t="s">
        <v>3253</v>
      </c>
      <c r="H147" t="s">
        <v>3188</v>
      </c>
      <c r="I147" t="s">
        <v>2251</v>
      </c>
      <c r="J147" t="s">
        <v>2363</v>
      </c>
    </row>
    <row r="148" spans="1:10">
      <c r="A148">
        <v>147</v>
      </c>
      <c r="B148">
        <v>-2.3675780180000001</v>
      </c>
      <c r="C148">
        <v>34.060323029999999</v>
      </c>
      <c r="D148">
        <v>1271.56</v>
      </c>
      <c r="E148" t="s">
        <v>3303</v>
      </c>
      <c r="F148">
        <v>700</v>
      </c>
      <c r="G148" t="s">
        <v>3253</v>
      </c>
      <c r="H148" t="s">
        <v>3188</v>
      </c>
      <c r="I148" t="s">
        <v>2251</v>
      </c>
      <c r="J148" t="s">
        <v>2364</v>
      </c>
    </row>
    <row r="149" spans="1:10">
      <c r="A149">
        <v>148</v>
      </c>
      <c r="B149">
        <v>-2.3676269689999998</v>
      </c>
      <c r="C149">
        <v>34.060310960000002</v>
      </c>
      <c r="D149">
        <v>1272.3699999999999</v>
      </c>
      <c r="E149" t="s">
        <v>3304</v>
      </c>
      <c r="F149">
        <v>701</v>
      </c>
      <c r="G149" t="s">
        <v>3253</v>
      </c>
      <c r="H149" t="s">
        <v>3188</v>
      </c>
      <c r="I149" t="s">
        <v>2251</v>
      </c>
      <c r="J149" t="s">
        <v>2365</v>
      </c>
    </row>
    <row r="150" spans="1:10">
      <c r="A150">
        <v>149</v>
      </c>
      <c r="B150">
        <v>-2.3677179960000001</v>
      </c>
      <c r="C150">
        <v>34.060324960000003</v>
      </c>
      <c r="D150">
        <v>1273.93</v>
      </c>
      <c r="E150" t="s">
        <v>3305</v>
      </c>
      <c r="F150">
        <v>702</v>
      </c>
      <c r="G150" t="s">
        <v>3253</v>
      </c>
      <c r="H150" t="s">
        <v>3188</v>
      </c>
      <c r="I150" t="s">
        <v>2251</v>
      </c>
      <c r="J150" t="s">
        <v>2366</v>
      </c>
    </row>
    <row r="151" spans="1:10">
      <c r="A151">
        <v>150</v>
      </c>
      <c r="B151">
        <v>-2.3675230329999999</v>
      </c>
      <c r="C151">
        <v>34.060512969999998</v>
      </c>
      <c r="D151">
        <v>1273.8599999999999</v>
      </c>
      <c r="E151" t="s">
        <v>3306</v>
      </c>
      <c r="F151">
        <v>703</v>
      </c>
      <c r="G151" t="s">
        <v>3253</v>
      </c>
      <c r="H151" t="s">
        <v>3188</v>
      </c>
      <c r="I151" t="s">
        <v>2251</v>
      </c>
      <c r="J151" t="s">
        <v>2367</v>
      </c>
    </row>
    <row r="152" spans="1:10">
      <c r="A152">
        <v>151</v>
      </c>
      <c r="B152">
        <v>-2.3673460070000001</v>
      </c>
      <c r="C152">
        <v>34.060310039999997</v>
      </c>
      <c r="D152">
        <v>1273.53</v>
      </c>
      <c r="E152" t="s">
        <v>3307</v>
      </c>
      <c r="F152">
        <v>704</v>
      </c>
      <c r="G152" t="s">
        <v>3253</v>
      </c>
      <c r="H152" t="s">
        <v>3188</v>
      </c>
      <c r="I152" t="s">
        <v>2251</v>
      </c>
      <c r="J152" t="s">
        <v>2368</v>
      </c>
    </row>
    <row r="153" spans="1:10">
      <c r="A153">
        <v>152</v>
      </c>
      <c r="B153">
        <v>-2.367543988</v>
      </c>
      <c r="C153">
        <v>34.060168969999999</v>
      </c>
      <c r="D153">
        <v>1274.44</v>
      </c>
      <c r="E153" t="s">
        <v>3308</v>
      </c>
      <c r="F153">
        <v>705</v>
      </c>
      <c r="G153" t="s">
        <v>3253</v>
      </c>
      <c r="H153" t="s">
        <v>3188</v>
      </c>
      <c r="I153" t="s">
        <v>2251</v>
      </c>
      <c r="J153" t="s">
        <v>2369</v>
      </c>
    </row>
    <row r="154" spans="1:10">
      <c r="A154">
        <v>153</v>
      </c>
      <c r="B154">
        <v>-2.3676780150000001</v>
      </c>
      <c r="C154">
        <v>34.05937797</v>
      </c>
      <c r="D154">
        <v>1276.1400000000001</v>
      </c>
      <c r="E154" t="s">
        <v>3309</v>
      </c>
      <c r="F154">
        <v>710</v>
      </c>
      <c r="G154" t="s">
        <v>3253</v>
      </c>
      <c r="H154" t="s">
        <v>3188</v>
      </c>
      <c r="I154" t="s">
        <v>2260</v>
      </c>
      <c r="J154" t="s">
        <v>2371</v>
      </c>
    </row>
    <row r="155" spans="1:10">
      <c r="A155">
        <v>154</v>
      </c>
      <c r="B155">
        <v>-2.3677299820000002</v>
      </c>
      <c r="C155">
        <v>34.059351990000003</v>
      </c>
      <c r="D155">
        <v>1276.32</v>
      </c>
      <c r="E155" t="s">
        <v>3310</v>
      </c>
      <c r="F155">
        <v>711</v>
      </c>
      <c r="G155" t="s">
        <v>3253</v>
      </c>
      <c r="H155" t="s">
        <v>3188</v>
      </c>
      <c r="I155" t="s">
        <v>2260</v>
      </c>
      <c r="J155" t="s">
        <v>2372</v>
      </c>
    </row>
    <row r="156" spans="1:10">
      <c r="A156">
        <v>155</v>
      </c>
      <c r="B156">
        <v>-2.3677119609999999</v>
      </c>
      <c r="C156">
        <v>34.059339000000001</v>
      </c>
      <c r="D156">
        <v>1275.6300000000001</v>
      </c>
      <c r="E156" t="s">
        <v>3311</v>
      </c>
      <c r="F156">
        <v>712</v>
      </c>
      <c r="G156" t="s">
        <v>3253</v>
      </c>
      <c r="H156" t="s">
        <v>3188</v>
      </c>
      <c r="I156" t="s">
        <v>2260</v>
      </c>
      <c r="J156" t="s">
        <v>2373</v>
      </c>
    </row>
    <row r="157" spans="1:10">
      <c r="A157">
        <v>156</v>
      </c>
      <c r="B157">
        <v>-2.3676950300000001</v>
      </c>
      <c r="C157">
        <v>34.059499010000003</v>
      </c>
      <c r="D157">
        <v>1276.29</v>
      </c>
      <c r="E157" t="s">
        <v>3312</v>
      </c>
      <c r="F157">
        <v>713</v>
      </c>
      <c r="G157" t="s">
        <v>3253</v>
      </c>
      <c r="H157" t="s">
        <v>3188</v>
      </c>
      <c r="I157" t="s">
        <v>2260</v>
      </c>
      <c r="J157" t="s">
        <v>2374</v>
      </c>
    </row>
    <row r="158" spans="1:10">
      <c r="A158">
        <v>157</v>
      </c>
      <c r="B158">
        <v>-2.3678019830000001</v>
      </c>
      <c r="C158">
        <v>34.059521969999999</v>
      </c>
      <c r="D158">
        <v>1276</v>
      </c>
      <c r="E158" t="s">
        <v>3313</v>
      </c>
      <c r="F158">
        <v>714</v>
      </c>
      <c r="G158" t="s">
        <v>3253</v>
      </c>
      <c r="H158" t="s">
        <v>3188</v>
      </c>
      <c r="I158" t="s">
        <v>2260</v>
      </c>
      <c r="J158" t="s">
        <v>2376</v>
      </c>
    </row>
    <row r="159" spans="1:10">
      <c r="A159">
        <v>158</v>
      </c>
      <c r="B159">
        <v>-2.3679270410000002</v>
      </c>
      <c r="C159">
        <v>34.059300020000002</v>
      </c>
      <c r="D159">
        <v>1276.23</v>
      </c>
      <c r="E159" t="s">
        <v>3314</v>
      </c>
      <c r="F159">
        <v>715</v>
      </c>
      <c r="G159" t="s">
        <v>3253</v>
      </c>
      <c r="H159" t="s">
        <v>3188</v>
      </c>
      <c r="I159" t="s">
        <v>2260</v>
      </c>
      <c r="J159" t="s">
        <v>2377</v>
      </c>
    </row>
    <row r="160" spans="1:10">
      <c r="A160">
        <v>159</v>
      </c>
      <c r="B160">
        <v>-2.3676829599999998</v>
      </c>
      <c r="C160">
        <v>34.059236990000002</v>
      </c>
      <c r="D160">
        <v>1276.3399999999999</v>
      </c>
      <c r="E160" t="s">
        <v>3315</v>
      </c>
      <c r="F160">
        <v>716</v>
      </c>
      <c r="G160" t="s">
        <v>3253</v>
      </c>
      <c r="H160" t="s">
        <v>3188</v>
      </c>
      <c r="I160" t="s">
        <v>2260</v>
      </c>
      <c r="J160" t="s">
        <v>2378</v>
      </c>
    </row>
    <row r="161" spans="1:10">
      <c r="A161">
        <v>160</v>
      </c>
      <c r="B161">
        <v>-2.367547005</v>
      </c>
      <c r="C161">
        <v>34.059494989999997</v>
      </c>
      <c r="D161">
        <v>1276.02</v>
      </c>
      <c r="E161" t="s">
        <v>3316</v>
      </c>
      <c r="F161">
        <v>717</v>
      </c>
      <c r="G161" t="s">
        <v>3253</v>
      </c>
      <c r="H161" t="s">
        <v>3188</v>
      </c>
      <c r="I161" t="s">
        <v>2260</v>
      </c>
      <c r="J161" t="s">
        <v>2379</v>
      </c>
    </row>
    <row r="162" spans="1:10">
      <c r="A162">
        <v>161</v>
      </c>
      <c r="B162">
        <v>-2.272751033</v>
      </c>
      <c r="C162">
        <v>34.023176030000002</v>
      </c>
      <c r="D162">
        <v>1200.48</v>
      </c>
      <c r="E162" t="s">
        <v>3317</v>
      </c>
      <c r="F162">
        <v>756</v>
      </c>
      <c r="G162" t="s">
        <v>3318</v>
      </c>
      <c r="H162" t="s">
        <v>3220</v>
      </c>
      <c r="I162" t="s">
        <v>2273</v>
      </c>
      <c r="J162" t="s">
        <v>2381</v>
      </c>
    </row>
    <row r="163" spans="1:10">
      <c r="A163">
        <v>162</v>
      </c>
      <c r="B163">
        <v>-2.2727060219999999</v>
      </c>
      <c r="C163">
        <v>34.023162030000002</v>
      </c>
      <c r="D163">
        <v>1199.6099999999999</v>
      </c>
      <c r="E163" t="s">
        <v>3319</v>
      </c>
      <c r="F163">
        <v>757</v>
      </c>
      <c r="G163" t="s">
        <v>3318</v>
      </c>
      <c r="H163" t="s">
        <v>3220</v>
      </c>
      <c r="I163" t="s">
        <v>2273</v>
      </c>
      <c r="J163" t="s">
        <v>2382</v>
      </c>
    </row>
    <row r="164" spans="1:10">
      <c r="A164">
        <v>163</v>
      </c>
      <c r="B164">
        <v>-2.2726719919999998</v>
      </c>
      <c r="C164">
        <v>34.023210980000002</v>
      </c>
      <c r="D164">
        <v>1201.3499999999999</v>
      </c>
      <c r="E164" t="s">
        <v>3320</v>
      </c>
      <c r="F164">
        <v>758</v>
      </c>
      <c r="G164" t="s">
        <v>3318</v>
      </c>
      <c r="H164" t="s">
        <v>3220</v>
      </c>
      <c r="I164" t="s">
        <v>2273</v>
      </c>
      <c r="J164" t="s">
        <v>2383</v>
      </c>
    </row>
    <row r="165" spans="1:10">
      <c r="A165">
        <v>164</v>
      </c>
      <c r="B165">
        <v>-2.2726180130000002</v>
      </c>
      <c r="C165">
        <v>34.023212999999998</v>
      </c>
      <c r="D165">
        <v>1201.78</v>
      </c>
      <c r="E165" t="s">
        <v>3321</v>
      </c>
      <c r="F165">
        <v>759</v>
      </c>
      <c r="G165" t="s">
        <v>3318</v>
      </c>
      <c r="H165" t="s">
        <v>3220</v>
      </c>
      <c r="I165" t="s">
        <v>2273</v>
      </c>
      <c r="J165" t="s">
        <v>2384</v>
      </c>
    </row>
    <row r="166" spans="1:10">
      <c r="A166">
        <v>165</v>
      </c>
      <c r="B166">
        <v>-2.2724750170000001</v>
      </c>
      <c r="C166">
        <v>34.02334501</v>
      </c>
      <c r="D166">
        <v>1201.1099999999999</v>
      </c>
      <c r="E166" t="s">
        <v>3322</v>
      </c>
      <c r="F166">
        <v>760</v>
      </c>
      <c r="G166" t="s">
        <v>3318</v>
      </c>
      <c r="H166" t="s">
        <v>3220</v>
      </c>
      <c r="I166" t="s">
        <v>2273</v>
      </c>
      <c r="J166" t="s">
        <v>2385</v>
      </c>
    </row>
    <row r="167" spans="1:10">
      <c r="A167">
        <v>166</v>
      </c>
      <c r="B167">
        <v>-2.2725490289999999</v>
      </c>
      <c r="C167">
        <v>34.022886020000001</v>
      </c>
      <c r="D167">
        <v>1201.5999999999999</v>
      </c>
      <c r="E167" t="s">
        <v>3323</v>
      </c>
      <c r="F167">
        <v>761</v>
      </c>
      <c r="G167" t="s">
        <v>3318</v>
      </c>
      <c r="H167" t="s">
        <v>3220</v>
      </c>
      <c r="I167" t="s">
        <v>2273</v>
      </c>
      <c r="J167" t="s">
        <v>2386</v>
      </c>
    </row>
    <row r="168" spans="1:10">
      <c r="A168">
        <v>167</v>
      </c>
      <c r="B168">
        <v>-2.2729950310000002</v>
      </c>
      <c r="C168">
        <v>34.022923990000002</v>
      </c>
      <c r="D168">
        <v>1202.05</v>
      </c>
      <c r="E168" t="s">
        <v>3324</v>
      </c>
      <c r="F168">
        <v>762</v>
      </c>
      <c r="G168" t="s">
        <v>3318</v>
      </c>
      <c r="H168" t="s">
        <v>3220</v>
      </c>
      <c r="I168" t="s">
        <v>2273</v>
      </c>
      <c r="J168" t="s">
        <v>2388</v>
      </c>
    </row>
    <row r="169" spans="1:10">
      <c r="A169">
        <v>168</v>
      </c>
      <c r="B169">
        <v>-2.2729129719999999</v>
      </c>
      <c r="C169">
        <v>34.023350039999997</v>
      </c>
      <c r="D169">
        <v>1202.24</v>
      </c>
      <c r="E169" t="s">
        <v>3325</v>
      </c>
      <c r="F169">
        <v>763</v>
      </c>
      <c r="G169" t="s">
        <v>3318</v>
      </c>
      <c r="H169" t="s">
        <v>3220</v>
      </c>
      <c r="I169" t="s">
        <v>2273</v>
      </c>
      <c r="J169" t="s">
        <v>2389</v>
      </c>
    </row>
    <row r="170" spans="1:10">
      <c r="A170">
        <v>169</v>
      </c>
      <c r="B170">
        <v>-2.2784290180000002</v>
      </c>
      <c r="C170">
        <v>34.024240030000001</v>
      </c>
      <c r="D170">
        <v>1203.58</v>
      </c>
      <c r="E170" t="s">
        <v>3326</v>
      </c>
      <c r="F170">
        <v>782</v>
      </c>
      <c r="G170" t="s">
        <v>3318</v>
      </c>
      <c r="H170" t="s">
        <v>3220</v>
      </c>
      <c r="I170" t="s">
        <v>2282</v>
      </c>
      <c r="J170" t="s">
        <v>2390</v>
      </c>
    </row>
    <row r="171" spans="1:10">
      <c r="A171">
        <v>170</v>
      </c>
      <c r="B171">
        <v>-2.2784629650000001</v>
      </c>
      <c r="C171">
        <v>34.024177999999999</v>
      </c>
      <c r="D171">
        <v>1203.0899999999999</v>
      </c>
      <c r="E171" t="s">
        <v>3327</v>
      </c>
      <c r="F171">
        <v>783</v>
      </c>
      <c r="G171" t="s">
        <v>3318</v>
      </c>
      <c r="H171" t="s">
        <v>3220</v>
      </c>
      <c r="I171" t="s">
        <v>2282</v>
      </c>
      <c r="J171" t="s">
        <v>2391</v>
      </c>
    </row>
    <row r="172" spans="1:10">
      <c r="A172">
        <v>171</v>
      </c>
      <c r="B172">
        <v>-2.2785389889999998</v>
      </c>
      <c r="C172">
        <v>34.024371039999998</v>
      </c>
      <c r="D172">
        <v>1201.67</v>
      </c>
      <c r="E172" t="s">
        <v>3328</v>
      </c>
      <c r="F172">
        <v>784</v>
      </c>
      <c r="G172" t="s">
        <v>3318</v>
      </c>
      <c r="H172" t="s">
        <v>3220</v>
      </c>
      <c r="I172" t="s">
        <v>2282</v>
      </c>
      <c r="J172" t="s">
        <v>2392</v>
      </c>
    </row>
    <row r="173" spans="1:10">
      <c r="A173">
        <v>172</v>
      </c>
      <c r="B173">
        <v>-2.2781410160000002</v>
      </c>
      <c r="C173">
        <v>34.024136009999999</v>
      </c>
      <c r="D173">
        <v>1203.08</v>
      </c>
      <c r="E173" t="s">
        <v>3329</v>
      </c>
      <c r="F173">
        <v>789</v>
      </c>
      <c r="G173" t="s">
        <v>3318</v>
      </c>
      <c r="H173" t="s">
        <v>3220</v>
      </c>
      <c r="I173" t="s">
        <v>2282</v>
      </c>
      <c r="J173" t="s">
        <v>2393</v>
      </c>
    </row>
    <row r="174" spans="1:10">
      <c r="A174">
        <v>173</v>
      </c>
      <c r="B174">
        <v>-2.27856799</v>
      </c>
      <c r="C174">
        <v>34.023969970000003</v>
      </c>
      <c r="D174">
        <v>1203.17</v>
      </c>
      <c r="E174" t="s">
        <v>3330</v>
      </c>
      <c r="F174">
        <v>790</v>
      </c>
      <c r="G174" t="s">
        <v>3318</v>
      </c>
      <c r="H174" t="s">
        <v>3220</v>
      </c>
      <c r="I174" t="s">
        <v>2282</v>
      </c>
      <c r="J174" t="s">
        <v>2394</v>
      </c>
    </row>
    <row r="175" spans="1:10">
      <c r="A175">
        <v>174</v>
      </c>
      <c r="B175">
        <v>-2.2786809780000001</v>
      </c>
      <c r="C175">
        <v>34.02434899</v>
      </c>
      <c r="D175">
        <v>1202.44</v>
      </c>
      <c r="E175" t="s">
        <v>3331</v>
      </c>
      <c r="F175">
        <v>791</v>
      </c>
      <c r="G175" t="s">
        <v>3318</v>
      </c>
      <c r="H175" t="s">
        <v>3220</v>
      </c>
      <c r="I175" t="s">
        <v>2282</v>
      </c>
      <c r="J175" t="s">
        <v>2395</v>
      </c>
    </row>
    <row r="176" spans="1:10">
      <c r="A176">
        <v>175</v>
      </c>
      <c r="B176">
        <v>-2.2784219779999999</v>
      </c>
      <c r="C176">
        <v>34.024374979999997</v>
      </c>
      <c r="D176">
        <v>1202.94</v>
      </c>
      <c r="E176" t="s">
        <v>3332</v>
      </c>
      <c r="F176">
        <v>792</v>
      </c>
      <c r="G176" t="s">
        <v>3318</v>
      </c>
      <c r="H176" t="s">
        <v>3220</v>
      </c>
      <c r="I176" t="s">
        <v>2282</v>
      </c>
      <c r="J176" t="s">
        <v>2396</v>
      </c>
    </row>
    <row r="177" spans="1:10">
      <c r="A177">
        <v>176</v>
      </c>
      <c r="B177">
        <v>-2.2782909679999999</v>
      </c>
      <c r="C177">
        <v>34.024574970000003</v>
      </c>
      <c r="D177">
        <v>1202.8900000000001</v>
      </c>
      <c r="E177" t="s">
        <v>3333</v>
      </c>
      <c r="F177">
        <v>793</v>
      </c>
      <c r="G177" t="s">
        <v>3318</v>
      </c>
      <c r="H177" t="s">
        <v>3220</v>
      </c>
      <c r="I177" t="s">
        <v>2282</v>
      </c>
      <c r="J177" t="s">
        <v>2397</v>
      </c>
    </row>
    <row r="178" spans="1:10">
      <c r="A178">
        <v>177</v>
      </c>
      <c r="B178">
        <v>-2.277740026</v>
      </c>
      <c r="C178">
        <v>34.027640990000002</v>
      </c>
      <c r="D178">
        <v>1206.94</v>
      </c>
      <c r="E178" t="s">
        <v>3334</v>
      </c>
      <c r="F178">
        <v>794</v>
      </c>
      <c r="G178" t="s">
        <v>3318</v>
      </c>
      <c r="H178" t="s">
        <v>3220</v>
      </c>
      <c r="I178" t="s">
        <v>2291</v>
      </c>
      <c r="J178" t="s">
        <v>2398</v>
      </c>
    </row>
    <row r="179" spans="1:10">
      <c r="A179">
        <v>178</v>
      </c>
      <c r="B179">
        <v>-2.2777889760000001</v>
      </c>
      <c r="C179">
        <v>34.027664960000003</v>
      </c>
      <c r="D179">
        <v>1207.06</v>
      </c>
      <c r="E179" t="s">
        <v>3335</v>
      </c>
      <c r="F179">
        <v>795</v>
      </c>
      <c r="G179" t="s">
        <v>3318</v>
      </c>
      <c r="H179" t="s">
        <v>3220</v>
      </c>
      <c r="I179" t="s">
        <v>2291</v>
      </c>
      <c r="J179" t="s">
        <v>2399</v>
      </c>
    </row>
    <row r="180" spans="1:10">
      <c r="A180">
        <v>179</v>
      </c>
      <c r="B180">
        <v>-2.2778579589999999</v>
      </c>
      <c r="C180">
        <v>34.027682980000002</v>
      </c>
      <c r="D180">
        <v>1206.43</v>
      </c>
      <c r="E180" t="s">
        <v>3336</v>
      </c>
      <c r="F180">
        <v>796</v>
      </c>
      <c r="G180" t="s">
        <v>3318</v>
      </c>
      <c r="H180" t="s">
        <v>3220</v>
      </c>
      <c r="I180" t="s">
        <v>2291</v>
      </c>
      <c r="J180" t="s">
        <v>2400</v>
      </c>
    </row>
    <row r="181" spans="1:10">
      <c r="A181">
        <v>180</v>
      </c>
      <c r="B181">
        <v>-2.2780199809999999</v>
      </c>
      <c r="C181">
        <v>34.027705019999999</v>
      </c>
      <c r="D181">
        <v>1206.06</v>
      </c>
      <c r="E181" t="s">
        <v>3337</v>
      </c>
      <c r="F181">
        <v>797</v>
      </c>
      <c r="G181" t="s">
        <v>3318</v>
      </c>
      <c r="H181" t="s">
        <v>3220</v>
      </c>
      <c r="I181" t="s">
        <v>2291</v>
      </c>
      <c r="J181" t="s">
        <v>2401</v>
      </c>
    </row>
    <row r="182" spans="1:10">
      <c r="A182">
        <v>181</v>
      </c>
      <c r="B182">
        <v>-2.2777329850000001</v>
      </c>
      <c r="C182">
        <v>34.027422970000003</v>
      </c>
      <c r="D182">
        <v>1207.9000000000001</v>
      </c>
      <c r="E182" t="s">
        <v>3338</v>
      </c>
      <c r="F182">
        <v>798</v>
      </c>
      <c r="G182" t="s">
        <v>3318</v>
      </c>
      <c r="H182" t="s">
        <v>3220</v>
      </c>
      <c r="I182" t="s">
        <v>2291</v>
      </c>
      <c r="J182" t="s">
        <v>2402</v>
      </c>
    </row>
    <row r="183" spans="1:10">
      <c r="A183">
        <v>182</v>
      </c>
      <c r="B183">
        <v>-2.2777009659999998</v>
      </c>
      <c r="C183">
        <v>34.027393969999999</v>
      </c>
      <c r="D183">
        <v>1209.23</v>
      </c>
      <c r="E183" t="s">
        <v>3339</v>
      </c>
      <c r="F183">
        <v>799</v>
      </c>
      <c r="G183" t="s">
        <v>3318</v>
      </c>
      <c r="H183" t="s">
        <v>3220</v>
      </c>
      <c r="I183" t="s">
        <v>2291</v>
      </c>
      <c r="J183" t="s">
        <v>2403</v>
      </c>
    </row>
    <row r="184" spans="1:10">
      <c r="A184">
        <v>183</v>
      </c>
      <c r="B184">
        <v>-2.2777790019999999</v>
      </c>
      <c r="C184">
        <v>34.028066029999998</v>
      </c>
      <c r="D184">
        <v>1207.52</v>
      </c>
      <c r="E184" t="s">
        <v>3340</v>
      </c>
      <c r="F184">
        <v>800</v>
      </c>
      <c r="G184" t="s">
        <v>3318</v>
      </c>
      <c r="H184" t="s">
        <v>3220</v>
      </c>
      <c r="I184" t="s">
        <v>2291</v>
      </c>
      <c r="J184" t="s">
        <v>2404</v>
      </c>
    </row>
    <row r="185" spans="1:10">
      <c r="A185">
        <v>184</v>
      </c>
      <c r="B185">
        <v>-2.2775169829999999</v>
      </c>
      <c r="C185">
        <v>34.027766970000002</v>
      </c>
      <c r="D185">
        <v>1206.52</v>
      </c>
      <c r="E185" t="s">
        <v>3341</v>
      </c>
      <c r="F185">
        <v>801</v>
      </c>
      <c r="G185" t="s">
        <v>3318</v>
      </c>
      <c r="H185" t="s">
        <v>3220</v>
      </c>
      <c r="I185" t="s">
        <v>2291</v>
      </c>
      <c r="J185" t="s">
        <v>2405</v>
      </c>
    </row>
    <row r="186" spans="1:10">
      <c r="A186">
        <v>185</v>
      </c>
      <c r="B186">
        <v>-2.2787330300000002</v>
      </c>
      <c r="C186">
        <v>34.032136029999997</v>
      </c>
      <c r="D186">
        <v>1205.32</v>
      </c>
      <c r="E186" t="s">
        <v>3342</v>
      </c>
      <c r="F186">
        <v>802</v>
      </c>
      <c r="G186" t="s">
        <v>3318</v>
      </c>
      <c r="H186" t="s">
        <v>3220</v>
      </c>
      <c r="I186" t="s">
        <v>2301</v>
      </c>
      <c r="J186" t="s">
        <v>2407</v>
      </c>
    </row>
    <row r="187" spans="1:10">
      <c r="A187">
        <v>186</v>
      </c>
      <c r="B187">
        <v>-2.278763037</v>
      </c>
      <c r="C187">
        <v>34.031974009999999</v>
      </c>
      <c r="D187">
        <v>1203.8599999999999</v>
      </c>
      <c r="E187" t="s">
        <v>3343</v>
      </c>
      <c r="F187">
        <v>803</v>
      </c>
      <c r="G187" t="s">
        <v>3318</v>
      </c>
      <c r="H187" t="s">
        <v>3220</v>
      </c>
      <c r="I187" t="s">
        <v>2301</v>
      </c>
      <c r="J187" t="s">
        <v>2408</v>
      </c>
    </row>
    <row r="188" spans="1:10">
      <c r="A188">
        <v>187</v>
      </c>
      <c r="B188">
        <v>-2.2785890289999999</v>
      </c>
      <c r="C188">
        <v>34.031841999999997</v>
      </c>
      <c r="D188">
        <v>1202.97</v>
      </c>
      <c r="E188" t="s">
        <v>3344</v>
      </c>
      <c r="F188">
        <v>804</v>
      </c>
      <c r="G188" t="s">
        <v>3318</v>
      </c>
      <c r="H188" t="s">
        <v>3220</v>
      </c>
      <c r="I188" t="s">
        <v>2301</v>
      </c>
      <c r="J188" t="s">
        <v>2409</v>
      </c>
    </row>
    <row r="189" spans="1:10">
      <c r="A189">
        <v>188</v>
      </c>
      <c r="B189">
        <v>-2.278422983</v>
      </c>
      <c r="C189">
        <v>34.032261009999999</v>
      </c>
      <c r="D189">
        <v>1201.18</v>
      </c>
      <c r="E189" t="s">
        <v>3345</v>
      </c>
      <c r="F189">
        <v>805</v>
      </c>
      <c r="G189" t="s">
        <v>3318</v>
      </c>
      <c r="H189" t="s">
        <v>3220</v>
      </c>
      <c r="I189" t="s">
        <v>2301</v>
      </c>
      <c r="J189" t="s">
        <v>2410</v>
      </c>
    </row>
    <row r="190" spans="1:10">
      <c r="A190">
        <v>189</v>
      </c>
      <c r="B190">
        <v>-2.2787580080000001</v>
      </c>
      <c r="C190">
        <v>34.032463010000001</v>
      </c>
      <c r="D190">
        <v>1200.18</v>
      </c>
      <c r="E190" t="s">
        <v>3346</v>
      </c>
      <c r="F190">
        <v>806</v>
      </c>
      <c r="G190" t="s">
        <v>3318</v>
      </c>
      <c r="H190" t="s">
        <v>3220</v>
      </c>
      <c r="I190" t="s">
        <v>2301</v>
      </c>
      <c r="J190" t="s">
        <v>2412</v>
      </c>
    </row>
    <row r="191" spans="1:10">
      <c r="A191">
        <v>190</v>
      </c>
      <c r="B191">
        <v>-2.2787559960000001</v>
      </c>
      <c r="C191">
        <v>34.032268969999997</v>
      </c>
      <c r="D191">
        <v>1200.21</v>
      </c>
      <c r="E191" t="s">
        <v>3347</v>
      </c>
      <c r="F191">
        <v>807</v>
      </c>
      <c r="G191" t="s">
        <v>3318</v>
      </c>
      <c r="H191" t="s">
        <v>3220</v>
      </c>
      <c r="I191" t="s">
        <v>2301</v>
      </c>
      <c r="J191" t="s">
        <v>2413</v>
      </c>
    </row>
    <row r="192" spans="1:10">
      <c r="A192">
        <v>191</v>
      </c>
      <c r="B192">
        <v>-2.278704029</v>
      </c>
      <c r="C192">
        <v>34.032182970000001</v>
      </c>
      <c r="D192">
        <v>1198.98</v>
      </c>
      <c r="E192" t="s">
        <v>3348</v>
      </c>
      <c r="F192">
        <v>808</v>
      </c>
      <c r="G192" t="s">
        <v>3318</v>
      </c>
      <c r="H192" t="s">
        <v>3220</v>
      </c>
      <c r="I192" t="s">
        <v>2301</v>
      </c>
      <c r="J192" t="s">
        <v>2414</v>
      </c>
    </row>
    <row r="193" spans="1:10">
      <c r="A193">
        <v>192</v>
      </c>
      <c r="B193">
        <v>-2.2789770269999998</v>
      </c>
      <c r="C193">
        <v>34.032051039999999</v>
      </c>
      <c r="D193">
        <v>1199.46</v>
      </c>
      <c r="E193" t="s">
        <v>3349</v>
      </c>
      <c r="F193">
        <v>809</v>
      </c>
      <c r="G193" t="s">
        <v>3318</v>
      </c>
      <c r="H193" t="s">
        <v>3220</v>
      </c>
      <c r="I193" t="s">
        <v>2301</v>
      </c>
      <c r="J193" t="s">
        <v>2415</v>
      </c>
    </row>
    <row r="194" spans="1:10">
      <c r="A194">
        <v>193</v>
      </c>
      <c r="B194">
        <v>-2.4396949910000001</v>
      </c>
      <c r="C194">
        <v>34.838574029999997</v>
      </c>
      <c r="D194">
        <v>1522.43</v>
      </c>
      <c r="E194" t="s">
        <v>3350</v>
      </c>
      <c r="F194">
        <v>933</v>
      </c>
      <c r="G194" t="s">
        <v>3351</v>
      </c>
      <c r="H194" t="s">
        <v>3352</v>
      </c>
      <c r="I194" t="s">
        <v>2490</v>
      </c>
      <c r="J194" t="s">
        <v>3353</v>
      </c>
    </row>
    <row r="195" spans="1:10">
      <c r="A195">
        <v>194</v>
      </c>
      <c r="B195">
        <v>-2.4395990190000001</v>
      </c>
      <c r="C195">
        <v>34.838418959999998</v>
      </c>
      <c r="D195">
        <v>1526.04</v>
      </c>
      <c r="E195" t="s">
        <v>3354</v>
      </c>
      <c r="F195">
        <v>929</v>
      </c>
      <c r="G195" t="s">
        <v>3351</v>
      </c>
      <c r="H195" t="s">
        <v>3352</v>
      </c>
      <c r="I195" t="s">
        <v>2490</v>
      </c>
      <c r="J195" t="s">
        <v>3355</v>
      </c>
    </row>
    <row r="196" spans="1:10">
      <c r="A196">
        <v>195</v>
      </c>
      <c r="B196">
        <v>-2.439403972</v>
      </c>
      <c r="C196">
        <v>34.838404959999998</v>
      </c>
      <c r="D196">
        <v>1521.01</v>
      </c>
      <c r="E196" t="s">
        <v>3356</v>
      </c>
      <c r="F196">
        <v>934</v>
      </c>
      <c r="G196" t="s">
        <v>3351</v>
      </c>
      <c r="H196" t="s">
        <v>3352</v>
      </c>
      <c r="I196" t="s">
        <v>2490</v>
      </c>
      <c r="J196" t="s">
        <v>3357</v>
      </c>
    </row>
    <row r="197" spans="1:10">
      <c r="A197">
        <v>196</v>
      </c>
      <c r="B197">
        <v>-2.4396450349999999</v>
      </c>
      <c r="C197">
        <v>34.83836599</v>
      </c>
      <c r="D197">
        <v>1519.4</v>
      </c>
      <c r="E197" t="s">
        <v>3358</v>
      </c>
      <c r="F197">
        <v>935</v>
      </c>
      <c r="G197" t="s">
        <v>3351</v>
      </c>
      <c r="H197" t="s">
        <v>3352</v>
      </c>
      <c r="I197" t="s">
        <v>2490</v>
      </c>
      <c r="J197" t="s">
        <v>3359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30" t="s">
        <v>2627</v>
      </c>
      <c r="B1" s="230" t="s">
        <v>2649</v>
      </c>
      <c r="C1" s="230" t="s">
        <v>2632</v>
      </c>
      <c r="D1" s="230" t="s">
        <v>2660</v>
      </c>
      <c r="E1" s="230" t="s">
        <v>2625</v>
      </c>
      <c r="F1" s="230" t="s">
        <v>2652</v>
      </c>
      <c r="G1" s="231" t="s">
        <v>2661</v>
      </c>
      <c r="H1" s="231" t="s">
        <v>2662</v>
      </c>
      <c r="I1" s="231" t="s">
        <v>2663</v>
      </c>
      <c r="J1" s="230" t="s">
        <v>2653</v>
      </c>
      <c r="K1" s="230" t="s">
        <v>2664</v>
      </c>
      <c r="L1" s="226"/>
    </row>
    <row r="2" spans="1:13">
      <c r="A2" s="230" t="s">
        <v>2171</v>
      </c>
      <c r="B2" s="230" t="s">
        <v>2643</v>
      </c>
      <c r="C2" s="230" t="s">
        <v>20</v>
      </c>
      <c r="D2" s="230">
        <v>2</v>
      </c>
      <c r="E2" s="230">
        <v>1</v>
      </c>
      <c r="F2" s="227">
        <v>678</v>
      </c>
      <c r="G2" s="228">
        <v>23.96</v>
      </c>
      <c r="H2" s="228">
        <v>0.91999999999999804</v>
      </c>
      <c r="I2" s="228">
        <v>75.12</v>
      </c>
      <c r="J2" s="229" t="s">
        <v>2654</v>
      </c>
      <c r="K2" s="228">
        <v>1.2493839329719072</v>
      </c>
      <c r="L2" s="228"/>
      <c r="M2" s="228"/>
    </row>
    <row r="3" spans="1:13">
      <c r="A3" s="230" t="s">
        <v>2171</v>
      </c>
      <c r="B3" s="230" t="s">
        <v>2643</v>
      </c>
      <c r="C3" s="230" t="s">
        <v>20</v>
      </c>
      <c r="D3" s="230">
        <v>3</v>
      </c>
      <c r="E3" s="230">
        <v>2</v>
      </c>
      <c r="F3" s="227">
        <v>679</v>
      </c>
      <c r="G3" s="228">
        <v>19.96</v>
      </c>
      <c r="H3" s="228">
        <v>4.9199999999999982</v>
      </c>
      <c r="I3" s="228">
        <v>75.12</v>
      </c>
      <c r="J3" s="229" t="s">
        <v>2655</v>
      </c>
      <c r="K3" s="228">
        <v>1.641498275012321</v>
      </c>
      <c r="L3" s="228"/>
      <c r="M3" s="228"/>
    </row>
    <row r="4" spans="1:13">
      <c r="A4" s="230" t="s">
        <v>2171</v>
      </c>
      <c r="B4" s="230" t="s">
        <v>2643</v>
      </c>
      <c r="C4" s="230" t="s">
        <v>20</v>
      </c>
      <c r="D4" s="230">
        <v>1</v>
      </c>
      <c r="E4" s="230">
        <v>3</v>
      </c>
      <c r="F4" s="227">
        <v>680</v>
      </c>
      <c r="G4" s="228">
        <v>21.96</v>
      </c>
      <c r="H4" s="228">
        <v>8.9199999999999982</v>
      </c>
      <c r="I4" s="228">
        <v>69.12</v>
      </c>
      <c r="J4" s="229" t="s">
        <v>2654</v>
      </c>
      <c r="K4" s="228">
        <v>1.7491375061606702</v>
      </c>
      <c r="L4" s="228"/>
      <c r="M4" s="228"/>
    </row>
    <row r="5" spans="1:13">
      <c r="A5" s="230" t="s">
        <v>2171</v>
      </c>
      <c r="B5" s="230" t="s">
        <v>2643</v>
      </c>
      <c r="C5" s="230" t="s">
        <v>20</v>
      </c>
      <c r="D5" s="230">
        <v>4</v>
      </c>
      <c r="E5" s="230">
        <v>4</v>
      </c>
      <c r="F5" s="227">
        <v>681</v>
      </c>
      <c r="G5" s="228">
        <v>25.96</v>
      </c>
      <c r="H5" s="228">
        <v>6.9200000000000008</v>
      </c>
      <c r="I5" s="228">
        <v>67.12</v>
      </c>
      <c r="J5" s="229" t="s">
        <v>2654</v>
      </c>
      <c r="K5" s="228">
        <v>1.7568260226712666</v>
      </c>
      <c r="L5" s="228"/>
      <c r="M5" s="228"/>
    </row>
    <row r="6" spans="1:13">
      <c r="A6" s="230" t="s">
        <v>2171</v>
      </c>
      <c r="B6" s="230" t="s">
        <v>2643</v>
      </c>
      <c r="C6" s="230" t="s">
        <v>2644</v>
      </c>
      <c r="D6" s="230">
        <v>1</v>
      </c>
      <c r="E6" s="230">
        <v>1</v>
      </c>
      <c r="F6" s="227">
        <v>682</v>
      </c>
      <c r="G6" s="228">
        <v>12.565665055683967</v>
      </c>
      <c r="H6" s="228">
        <v>0.9665896196679955</v>
      </c>
      <c r="I6" s="228">
        <v>86.467745324648035</v>
      </c>
      <c r="J6" s="229" t="s">
        <v>2656</v>
      </c>
      <c r="K6" s="228">
        <v>1.0225726959093147</v>
      </c>
      <c r="L6" s="228"/>
      <c r="M6" s="228"/>
    </row>
    <row r="7" spans="1:13">
      <c r="A7" s="230" t="s">
        <v>2171</v>
      </c>
      <c r="B7" s="230" t="s">
        <v>2643</v>
      </c>
      <c r="C7" s="230" t="s">
        <v>2644</v>
      </c>
      <c r="D7" s="230">
        <v>2</v>
      </c>
      <c r="E7" s="230">
        <v>2</v>
      </c>
      <c r="F7" s="227">
        <v>683</v>
      </c>
      <c r="G7" s="228">
        <v>21.13063730679653</v>
      </c>
      <c r="H7" s="228">
        <v>3.0912555579081076</v>
      </c>
      <c r="I7" s="228">
        <v>75.778107135295357</v>
      </c>
      <c r="J7" s="229" t="s">
        <v>2654</v>
      </c>
      <c r="K7" s="228">
        <v>0.46131099063578063</v>
      </c>
      <c r="L7" s="228"/>
      <c r="M7" s="228"/>
    </row>
    <row r="8" spans="1:13">
      <c r="A8" s="230" t="s">
        <v>2171</v>
      </c>
      <c r="B8" s="230" t="s">
        <v>2643</v>
      </c>
      <c r="C8" s="230" t="s">
        <v>2644</v>
      </c>
      <c r="D8" s="230">
        <v>3</v>
      </c>
      <c r="E8" s="230">
        <v>3</v>
      </c>
      <c r="F8" s="227">
        <v>684</v>
      </c>
      <c r="G8" s="228">
        <v>54.080969906906262</v>
      </c>
      <c r="H8" s="228">
        <v>21.264484651351896</v>
      </c>
      <c r="I8" s="228">
        <v>24.654545441741845</v>
      </c>
      <c r="J8" s="229" t="s">
        <v>2657</v>
      </c>
      <c r="K8" s="228">
        <v>1.8433218334154755</v>
      </c>
      <c r="L8" s="228"/>
      <c r="M8" s="228"/>
    </row>
    <row r="9" spans="1:13">
      <c r="A9" s="230" t="s">
        <v>2171</v>
      </c>
      <c r="B9" s="230" t="s">
        <v>2643</v>
      </c>
      <c r="C9" s="230" t="s">
        <v>2644</v>
      </c>
      <c r="D9" s="230">
        <v>4</v>
      </c>
      <c r="E9" s="230">
        <v>4</v>
      </c>
      <c r="F9" s="227">
        <v>685</v>
      </c>
      <c r="G9" s="228">
        <v>51.960000000000008</v>
      </c>
      <c r="H9" s="228">
        <v>18.919999999999995</v>
      </c>
      <c r="I9" s="228">
        <v>29.120000000000005</v>
      </c>
      <c r="J9" s="229" t="s">
        <v>2657</v>
      </c>
      <c r="K9" s="228">
        <v>1.85293247905372</v>
      </c>
      <c r="L9" s="228"/>
      <c r="M9" s="228"/>
    </row>
    <row r="10" spans="1:13">
      <c r="A10" s="230" t="s">
        <v>2271</v>
      </c>
      <c r="B10" s="230" t="s">
        <v>2643</v>
      </c>
      <c r="C10" s="230" t="s">
        <v>2645</v>
      </c>
      <c r="D10" s="230">
        <v>3</v>
      </c>
      <c r="E10" s="230">
        <v>1</v>
      </c>
      <c r="F10" s="227">
        <v>686</v>
      </c>
      <c r="G10" s="228">
        <v>47.96</v>
      </c>
      <c r="H10" s="228">
        <v>22.919999999999995</v>
      </c>
      <c r="I10" s="228">
        <v>29.120000000000012</v>
      </c>
      <c r="J10" s="229" t="s">
        <v>2657</v>
      </c>
      <c r="K10" s="228">
        <v>2.8831936914736325</v>
      </c>
      <c r="L10" s="228"/>
      <c r="M10" s="228"/>
    </row>
    <row r="11" spans="1:13">
      <c r="A11" s="230" t="s">
        <v>2271</v>
      </c>
      <c r="B11" s="230" t="s">
        <v>2643</v>
      </c>
      <c r="C11" s="230" t="s">
        <v>2645</v>
      </c>
      <c r="D11" s="230">
        <v>4</v>
      </c>
      <c r="E11" s="230">
        <v>2</v>
      </c>
      <c r="F11" s="227">
        <v>687</v>
      </c>
      <c r="G11" s="228">
        <v>45.272914521112256</v>
      </c>
      <c r="H11" s="228">
        <v>23.604531410916575</v>
      </c>
      <c r="I11" s="228">
        <v>31.122554067971166</v>
      </c>
      <c r="J11" s="229" t="s">
        <v>2657</v>
      </c>
      <c r="K11" s="228">
        <v>2.0547560374568752</v>
      </c>
      <c r="L11" s="228"/>
      <c r="M11" s="228"/>
    </row>
    <row r="12" spans="1:13">
      <c r="A12" s="230" t="s">
        <v>2271</v>
      </c>
      <c r="B12" s="230" t="s">
        <v>2643</v>
      </c>
      <c r="C12" s="230" t="s">
        <v>2645</v>
      </c>
      <c r="D12" s="230">
        <v>1</v>
      </c>
      <c r="E12" s="230">
        <v>3</v>
      </c>
      <c r="F12" s="227">
        <v>688</v>
      </c>
      <c r="G12" s="228">
        <v>38.691629007962128</v>
      </c>
      <c r="H12" s="228">
        <v>26.81299763288143</v>
      </c>
      <c r="I12" s="228">
        <v>34.495373359156439</v>
      </c>
      <c r="J12" s="229" t="s">
        <v>2659</v>
      </c>
      <c r="K12" s="228">
        <v>2.5483587974371611</v>
      </c>
      <c r="L12" s="228"/>
      <c r="M12" s="228"/>
    </row>
    <row r="13" spans="1:13">
      <c r="A13" s="230" t="s">
        <v>2271</v>
      </c>
      <c r="B13" s="230" t="s">
        <v>2643</v>
      </c>
      <c r="C13" s="230" t="s">
        <v>2645</v>
      </c>
      <c r="D13" s="230">
        <v>2</v>
      </c>
      <c r="E13" s="230">
        <v>4</v>
      </c>
      <c r="F13" s="227">
        <v>689</v>
      </c>
      <c r="G13" s="228">
        <v>28.145762029394</v>
      </c>
      <c r="H13" s="228">
        <v>25.085564727199518</v>
      </c>
      <c r="I13" s="228">
        <v>46.768673243406489</v>
      </c>
      <c r="J13" s="229" t="s">
        <v>2654</v>
      </c>
      <c r="K13" s="228">
        <v>2.1716214884179394</v>
      </c>
      <c r="L13" s="228"/>
      <c r="M13" s="228"/>
    </row>
    <row r="14" spans="1:13">
      <c r="A14" s="230" t="s">
        <v>2650</v>
      </c>
      <c r="B14" s="230" t="s">
        <v>2454</v>
      </c>
      <c r="C14" s="230" t="s">
        <v>20</v>
      </c>
      <c r="D14" s="230">
        <v>1</v>
      </c>
      <c r="E14" s="230">
        <v>1</v>
      </c>
      <c r="F14" s="227">
        <v>694</v>
      </c>
      <c r="G14" s="228">
        <v>31.214836424255054</v>
      </c>
      <c r="H14" s="228">
        <v>11.377370285476141</v>
      </c>
      <c r="I14" s="228">
        <v>57.407793290268799</v>
      </c>
      <c r="J14" s="229" t="s">
        <v>2654</v>
      </c>
      <c r="K14" s="228">
        <v>1.7337604731394776</v>
      </c>
      <c r="L14" s="228"/>
      <c r="M14" s="228"/>
    </row>
    <row r="15" spans="1:13">
      <c r="A15" s="230" t="s">
        <v>2650</v>
      </c>
      <c r="B15" s="230" t="s">
        <v>2454</v>
      </c>
      <c r="C15" s="230" t="s">
        <v>20</v>
      </c>
      <c r="D15" s="230">
        <v>4</v>
      </c>
      <c r="E15" s="230">
        <v>2</v>
      </c>
      <c r="F15" s="227">
        <v>695</v>
      </c>
      <c r="G15" s="228">
        <v>33.96</v>
      </c>
      <c r="H15" s="228">
        <v>8.9200000000000017</v>
      </c>
      <c r="I15" s="228">
        <v>57.12</v>
      </c>
      <c r="J15" s="229" t="s">
        <v>2654</v>
      </c>
      <c r="K15" s="228">
        <v>2.072055199605717</v>
      </c>
      <c r="L15" s="228"/>
      <c r="M15" s="228"/>
    </row>
    <row r="16" spans="1:13">
      <c r="A16" s="230" t="s">
        <v>2650</v>
      </c>
      <c r="B16" s="230" t="s">
        <v>2454</v>
      </c>
      <c r="C16" s="230" t="s">
        <v>20</v>
      </c>
      <c r="D16" s="230">
        <v>2</v>
      </c>
      <c r="E16" s="230">
        <v>3</v>
      </c>
      <c r="F16" s="227">
        <v>696</v>
      </c>
      <c r="G16" s="228">
        <v>39.96</v>
      </c>
      <c r="H16" s="228">
        <v>12.920000000000002</v>
      </c>
      <c r="I16" s="228">
        <v>47.12</v>
      </c>
      <c r="J16" s="229" t="s">
        <v>2658</v>
      </c>
      <c r="K16" s="228">
        <v>1.6549531789058647</v>
      </c>
      <c r="L16" s="228"/>
      <c r="M16" s="228"/>
    </row>
    <row r="17" spans="1:13">
      <c r="A17" s="230" t="s">
        <v>2650</v>
      </c>
      <c r="B17" s="230" t="s">
        <v>2454</v>
      </c>
      <c r="C17" s="230" t="s">
        <v>20</v>
      </c>
      <c r="D17" s="230">
        <v>3</v>
      </c>
      <c r="E17" s="230">
        <v>4</v>
      </c>
      <c r="F17" s="227">
        <v>697</v>
      </c>
      <c r="G17" s="228">
        <v>27.96</v>
      </c>
      <c r="H17" s="228">
        <v>4.9200000000000017</v>
      </c>
      <c r="I17" s="228">
        <v>67.12</v>
      </c>
      <c r="J17" s="229" t="s">
        <v>2654</v>
      </c>
      <c r="K17" s="228">
        <v>1.0437161163134547</v>
      </c>
      <c r="L17" s="228"/>
      <c r="M17" s="228"/>
    </row>
    <row r="18" spans="1:13">
      <c r="A18" s="230" t="s">
        <v>2650</v>
      </c>
      <c r="B18" s="230" t="s">
        <v>2454</v>
      </c>
      <c r="C18" s="230" t="s">
        <v>2644</v>
      </c>
      <c r="D18" s="230">
        <v>1</v>
      </c>
      <c r="E18" s="230">
        <v>1</v>
      </c>
      <c r="F18" s="227">
        <v>698</v>
      </c>
      <c r="G18" s="228">
        <v>45.96</v>
      </c>
      <c r="H18" s="228">
        <v>14.920000000000003</v>
      </c>
      <c r="I18" s="228">
        <v>39.119999999999997</v>
      </c>
      <c r="J18" s="229" t="s">
        <v>2657</v>
      </c>
      <c r="K18" s="228">
        <v>2.0374568753080333</v>
      </c>
      <c r="L18" s="228"/>
      <c r="M18" s="228"/>
    </row>
    <row r="19" spans="1:13">
      <c r="A19" s="230" t="s">
        <v>2650</v>
      </c>
      <c r="B19" s="230" t="s">
        <v>2454</v>
      </c>
      <c r="C19" s="230" t="s">
        <v>2644</v>
      </c>
      <c r="D19" s="230">
        <v>2</v>
      </c>
      <c r="E19" s="230">
        <v>2</v>
      </c>
      <c r="F19" s="227">
        <v>699</v>
      </c>
      <c r="G19" s="228">
        <v>34.344660194174757</v>
      </c>
      <c r="H19" s="228">
        <v>19.22727272727273</v>
      </c>
      <c r="I19" s="228">
        <v>46.428067078552509</v>
      </c>
      <c r="J19" s="229" t="s">
        <v>2654</v>
      </c>
      <c r="K19" s="228">
        <v>1.7452932479053718</v>
      </c>
      <c r="L19" s="228"/>
      <c r="M19" s="228"/>
    </row>
    <row r="20" spans="1:13">
      <c r="A20" s="230" t="s">
        <v>2650</v>
      </c>
      <c r="B20" s="230" t="s">
        <v>2454</v>
      </c>
      <c r="C20" s="230" t="s">
        <v>2644</v>
      </c>
      <c r="D20" s="230">
        <v>3</v>
      </c>
      <c r="E20" s="230">
        <v>3</v>
      </c>
      <c r="F20" s="227">
        <v>700</v>
      </c>
      <c r="G20" s="228">
        <v>27.96</v>
      </c>
      <c r="H20" s="228">
        <v>4.9200000000000017</v>
      </c>
      <c r="I20" s="228">
        <v>67.12</v>
      </c>
      <c r="J20" s="229" t="s">
        <v>2654</v>
      </c>
      <c r="K20" s="228">
        <v>0.88610152784622953</v>
      </c>
      <c r="L20" s="228"/>
      <c r="M20" s="228"/>
    </row>
    <row r="21" spans="1:13">
      <c r="A21" s="230" t="s">
        <v>2650</v>
      </c>
      <c r="B21" s="230" t="s">
        <v>2454</v>
      </c>
      <c r="C21" s="230" t="s">
        <v>2644</v>
      </c>
      <c r="D21" s="230">
        <v>4</v>
      </c>
      <c r="E21" s="230">
        <v>4</v>
      </c>
      <c r="F21" s="227">
        <v>701</v>
      </c>
      <c r="G21" s="228">
        <v>17.96</v>
      </c>
      <c r="H21" s="228">
        <v>4.9199999999999982</v>
      </c>
      <c r="I21" s="228">
        <v>77.12</v>
      </c>
      <c r="J21" s="229" t="s">
        <v>2655</v>
      </c>
      <c r="K21" s="228">
        <v>2.0220798422868409</v>
      </c>
      <c r="L21" s="228"/>
      <c r="M21" s="228"/>
    </row>
    <row r="22" spans="1:13">
      <c r="A22" s="230" t="s">
        <v>2380</v>
      </c>
      <c r="B22" s="230" t="s">
        <v>2454</v>
      </c>
      <c r="C22" s="230" t="s">
        <v>2645</v>
      </c>
      <c r="D22" s="230">
        <v>3</v>
      </c>
      <c r="E22" s="230">
        <v>1</v>
      </c>
      <c r="F22" s="227">
        <v>702</v>
      </c>
      <c r="G22" s="228">
        <v>21.96</v>
      </c>
      <c r="H22" s="228">
        <v>4.9199999999999982</v>
      </c>
      <c r="I22" s="228">
        <v>73.12</v>
      </c>
      <c r="J22" s="229" t="s">
        <v>2654</v>
      </c>
      <c r="K22" s="228">
        <v>1.2416954164613114</v>
      </c>
      <c r="L22" s="228"/>
      <c r="M22" s="228"/>
    </row>
    <row r="23" spans="1:13">
      <c r="A23" s="230" t="s">
        <v>2380</v>
      </c>
      <c r="B23" s="230" t="s">
        <v>2454</v>
      </c>
      <c r="C23" s="230" t="s">
        <v>2645</v>
      </c>
      <c r="D23" s="230">
        <v>4</v>
      </c>
      <c r="E23" s="230">
        <v>2</v>
      </c>
      <c r="F23" s="227">
        <v>703</v>
      </c>
      <c r="G23" s="228">
        <v>23.96</v>
      </c>
      <c r="H23" s="228">
        <v>4.9199999999999982</v>
      </c>
      <c r="I23" s="228">
        <v>71.12</v>
      </c>
      <c r="J23" s="229" t="s">
        <v>2654</v>
      </c>
      <c r="K23" s="228">
        <v>3.30913750616067</v>
      </c>
      <c r="L23" s="228"/>
      <c r="M23" s="228"/>
    </row>
    <row r="24" spans="1:13">
      <c r="A24" s="230" t="s">
        <v>2380</v>
      </c>
      <c r="B24" s="230" t="s">
        <v>2454</v>
      </c>
      <c r="C24" s="230" t="s">
        <v>2645</v>
      </c>
      <c r="D24" s="230">
        <v>1</v>
      </c>
      <c r="E24" s="230">
        <v>3</v>
      </c>
      <c r="F24" s="227">
        <v>704</v>
      </c>
      <c r="G24" s="228">
        <v>25.96</v>
      </c>
      <c r="H24" s="228">
        <v>8.9200000000000017</v>
      </c>
      <c r="I24" s="228">
        <v>65.12</v>
      </c>
      <c r="J24" s="229" t="s">
        <v>2654</v>
      </c>
      <c r="K24" s="228">
        <v>1.614588467225234</v>
      </c>
      <c r="L24" s="228"/>
      <c r="M24" s="228"/>
    </row>
    <row r="25" spans="1:13">
      <c r="A25" s="230" t="s">
        <v>2380</v>
      </c>
      <c r="B25" s="230" t="s">
        <v>2454</v>
      </c>
      <c r="C25" s="230" t="s">
        <v>2645</v>
      </c>
      <c r="D25" s="230">
        <v>2</v>
      </c>
      <c r="E25" s="230">
        <v>4</v>
      </c>
      <c r="F25" s="227">
        <v>705</v>
      </c>
      <c r="G25" s="228">
        <v>25.96</v>
      </c>
      <c r="H25" s="228">
        <v>8.9200000000000017</v>
      </c>
      <c r="I25" s="228">
        <v>65.12</v>
      </c>
      <c r="J25" s="229" t="s">
        <v>2654</v>
      </c>
      <c r="K25" s="228">
        <v>1.6991621488417901</v>
      </c>
      <c r="L25" s="228"/>
      <c r="M25" s="228"/>
    </row>
    <row r="26" spans="1:13">
      <c r="A26" s="230" t="s">
        <v>2423</v>
      </c>
      <c r="B26" s="230" t="s">
        <v>2646</v>
      </c>
      <c r="C26" s="230" t="s">
        <v>2512</v>
      </c>
      <c r="D26" s="230">
        <v>1</v>
      </c>
      <c r="E26" s="230">
        <v>1</v>
      </c>
      <c r="F26" s="230">
        <v>690</v>
      </c>
      <c r="G26" s="228">
        <v>29.076539101497506</v>
      </c>
      <c r="H26" s="228">
        <v>7.1963394342762079</v>
      </c>
      <c r="I26" s="228">
        <v>63.727121464226286</v>
      </c>
      <c r="J26" s="228" t="s">
        <v>2654</v>
      </c>
      <c r="K26" s="228">
        <v>1.0994578610152781</v>
      </c>
    </row>
    <row r="27" spans="1:13">
      <c r="A27" s="230" t="s">
        <v>2423</v>
      </c>
      <c r="B27" s="230" t="s">
        <v>2646</v>
      </c>
      <c r="C27" s="230" t="s">
        <v>2512</v>
      </c>
      <c r="D27" s="230">
        <v>2</v>
      </c>
      <c r="E27" s="230">
        <v>2</v>
      </c>
      <c r="F27" s="230">
        <v>691</v>
      </c>
      <c r="G27" s="228">
        <v>21.072635135135137</v>
      </c>
      <c r="H27" s="228">
        <v>7.3057432432432412</v>
      </c>
      <c r="I27" s="228">
        <v>71.621621621621614</v>
      </c>
      <c r="J27" s="228" t="s">
        <v>2654</v>
      </c>
      <c r="K27" s="228">
        <v>1.4512074913750617</v>
      </c>
    </row>
    <row r="28" spans="1:13">
      <c r="A28" s="230" t="s">
        <v>2423</v>
      </c>
      <c r="B28" s="230" t="s">
        <v>2646</v>
      </c>
      <c r="C28" s="230" t="s">
        <v>2512</v>
      </c>
      <c r="D28" s="230">
        <v>3</v>
      </c>
      <c r="E28" s="230">
        <v>3</v>
      </c>
      <c r="F28" s="230">
        <v>692</v>
      </c>
      <c r="G28" s="228">
        <v>21.96</v>
      </c>
      <c r="H28" s="228">
        <v>4.9199999999999982</v>
      </c>
      <c r="I28" s="228">
        <v>73.12</v>
      </c>
      <c r="J28" s="228" t="s">
        <v>2654</v>
      </c>
      <c r="K28" s="228">
        <v>1.4012321340561851</v>
      </c>
    </row>
    <row r="29" spans="1:13">
      <c r="A29" s="230" t="s">
        <v>2423</v>
      </c>
      <c r="B29" s="230" t="s">
        <v>2646</v>
      </c>
      <c r="C29" s="230" t="s">
        <v>2512</v>
      </c>
      <c r="D29" s="230">
        <v>4</v>
      </c>
      <c r="E29" s="230">
        <v>4</v>
      </c>
      <c r="F29" s="230">
        <v>693</v>
      </c>
      <c r="G29" s="228">
        <v>15.960000000000003</v>
      </c>
      <c r="H29" s="228">
        <v>6.9199999999999982</v>
      </c>
      <c r="I29" s="228">
        <v>77.11999999999999</v>
      </c>
      <c r="J29" s="228" t="s">
        <v>2655</v>
      </c>
      <c r="K29" s="228">
        <v>0.60547067520946207</v>
      </c>
    </row>
    <row r="30" spans="1:13">
      <c r="A30" s="230" t="s">
        <v>3635</v>
      </c>
      <c r="B30" s="230"/>
      <c r="C30" s="230"/>
      <c r="D30" s="230"/>
      <c r="E30" s="230"/>
      <c r="F30" s="227"/>
      <c r="G30" s="228">
        <f>AVERAGE(G26:G29)</f>
        <v>22.017293559158162</v>
      </c>
      <c r="H30" s="228">
        <f t="shared" ref="H30:I30" si="0">AVERAGE(H26:H29)</f>
        <v>6.5855206693798616</v>
      </c>
      <c r="I30" s="228">
        <f t="shared" si="0"/>
        <v>71.397185771461977</v>
      </c>
      <c r="J30" s="228" t="s">
        <v>2654</v>
      </c>
      <c r="K30" s="237">
        <f>AVERAGE(K26:K29)</f>
        <v>1.1393420404139967</v>
      </c>
    </row>
    <row r="31" spans="1:13">
      <c r="A31" s="230"/>
      <c r="B31" s="230"/>
      <c r="C31" s="230"/>
      <c r="D31" s="230"/>
      <c r="E31" s="230"/>
      <c r="F31" s="227"/>
      <c r="G31" s="228"/>
      <c r="H31" s="228"/>
      <c r="I31" s="228"/>
      <c r="J31" s="229"/>
    </row>
  </sheetData>
  <sortState ref="A1:K31">
    <sortCondition ref="E22:E25"/>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2666</v>
      </c>
      <c r="B1" t="s">
        <v>2667</v>
      </c>
      <c r="C1" t="s">
        <v>2668</v>
      </c>
      <c r="D1" t="s">
        <v>2669</v>
      </c>
      <c r="E1" t="s">
        <v>2670</v>
      </c>
      <c r="F1" t="s">
        <v>2671</v>
      </c>
      <c r="G1" t="s">
        <v>2672</v>
      </c>
      <c r="H1" t="s">
        <v>2673</v>
      </c>
      <c r="I1" t="s">
        <v>2674</v>
      </c>
      <c r="J1" t="s">
        <v>2675</v>
      </c>
      <c r="K1" t="s">
        <v>2676</v>
      </c>
      <c r="L1" t="s">
        <v>2677</v>
      </c>
      <c r="M1" t="s">
        <v>2678</v>
      </c>
      <c r="N1" t="s">
        <v>2679</v>
      </c>
      <c r="O1" t="s">
        <v>2665</v>
      </c>
    </row>
    <row r="2" spans="1:15">
      <c r="A2">
        <v>193</v>
      </c>
      <c r="B2" t="s">
        <v>2423</v>
      </c>
      <c r="C2" t="s">
        <v>2440</v>
      </c>
      <c r="D2" t="s">
        <v>2643</v>
      </c>
      <c r="E2" t="s">
        <v>2454</v>
      </c>
      <c r="F2" t="s">
        <v>2490</v>
      </c>
      <c r="G2" t="s">
        <v>2900</v>
      </c>
      <c r="H2" t="s">
        <v>2901</v>
      </c>
      <c r="I2">
        <v>863</v>
      </c>
      <c r="J2">
        <v>125</v>
      </c>
      <c r="K2">
        <v>584</v>
      </c>
      <c r="L2" t="s">
        <v>2902</v>
      </c>
      <c r="M2">
        <v>44</v>
      </c>
      <c r="N2" t="s">
        <v>2903</v>
      </c>
      <c r="O2">
        <v>175.054685654</v>
      </c>
    </row>
    <row r="3" spans="1:15">
      <c r="A3">
        <v>194</v>
      </c>
      <c r="B3" t="s">
        <v>2423</v>
      </c>
      <c r="C3" t="s">
        <v>2433</v>
      </c>
      <c r="D3" t="s">
        <v>2643</v>
      </c>
      <c r="E3" t="s">
        <v>2454</v>
      </c>
      <c r="F3" t="s">
        <v>2490</v>
      </c>
      <c r="G3" t="s">
        <v>2900</v>
      </c>
      <c r="H3" t="s">
        <v>2901</v>
      </c>
      <c r="I3">
        <v>615</v>
      </c>
      <c r="J3">
        <v>289</v>
      </c>
      <c r="K3">
        <v>713</v>
      </c>
      <c r="L3" t="s">
        <v>2904</v>
      </c>
      <c r="M3">
        <v>44</v>
      </c>
      <c r="N3" t="s">
        <v>2903</v>
      </c>
      <c r="O3">
        <v>175.054685654</v>
      </c>
    </row>
    <row r="4" spans="1:15">
      <c r="A4">
        <v>198</v>
      </c>
      <c r="B4" t="s">
        <v>2423</v>
      </c>
      <c r="C4" t="s">
        <v>2434</v>
      </c>
      <c r="D4" t="s">
        <v>2643</v>
      </c>
      <c r="E4" t="s">
        <v>2454</v>
      </c>
      <c r="F4" t="s">
        <v>2490</v>
      </c>
      <c r="G4" t="s">
        <v>2900</v>
      </c>
      <c r="H4" t="s">
        <v>2901</v>
      </c>
      <c r="I4">
        <v>785</v>
      </c>
      <c r="J4">
        <v>463</v>
      </c>
      <c r="K4">
        <v>462</v>
      </c>
      <c r="L4" t="s">
        <v>2908</v>
      </c>
      <c r="M4">
        <v>44</v>
      </c>
      <c r="N4" t="s">
        <v>2903</v>
      </c>
      <c r="O4">
        <v>175.054685654</v>
      </c>
    </row>
    <row r="5" spans="1:15">
      <c r="A5">
        <v>200</v>
      </c>
      <c r="B5" t="s">
        <v>2423</v>
      </c>
      <c r="C5" t="s">
        <v>2441</v>
      </c>
      <c r="D5" t="s">
        <v>2643</v>
      </c>
      <c r="E5" t="s">
        <v>2454</v>
      </c>
      <c r="F5" t="s">
        <v>2490</v>
      </c>
      <c r="G5" t="s">
        <v>2900</v>
      </c>
      <c r="H5" t="s">
        <v>2901</v>
      </c>
      <c r="I5">
        <v>816</v>
      </c>
      <c r="J5">
        <v>303</v>
      </c>
      <c r="K5">
        <v>709</v>
      </c>
      <c r="L5" t="s">
        <v>2910</v>
      </c>
      <c r="M5">
        <v>44</v>
      </c>
      <c r="N5" t="s">
        <v>2903</v>
      </c>
      <c r="O5">
        <v>175.054685654</v>
      </c>
    </row>
    <row r="6" spans="1:15">
      <c r="A6">
        <v>201</v>
      </c>
      <c r="B6" t="s">
        <v>2423</v>
      </c>
      <c r="C6" t="s">
        <v>2442</v>
      </c>
      <c r="D6" t="s">
        <v>2643</v>
      </c>
      <c r="E6" t="s">
        <v>2454</v>
      </c>
      <c r="F6" t="s">
        <v>2490</v>
      </c>
      <c r="G6" t="s">
        <v>2900</v>
      </c>
      <c r="H6" t="s">
        <v>2901</v>
      </c>
      <c r="I6">
        <v>811</v>
      </c>
      <c r="J6">
        <v>218</v>
      </c>
      <c r="K6">
        <v>707</v>
      </c>
      <c r="L6" t="s">
        <v>2911</v>
      </c>
      <c r="M6">
        <v>44</v>
      </c>
      <c r="N6" t="s">
        <v>2903</v>
      </c>
      <c r="O6">
        <v>175.054685654</v>
      </c>
    </row>
    <row r="7" spans="1:15">
      <c r="A7">
        <v>204</v>
      </c>
      <c r="B7" t="s">
        <v>2423</v>
      </c>
      <c r="C7" t="s">
        <v>2435</v>
      </c>
      <c r="D7" t="s">
        <v>2643</v>
      </c>
      <c r="E7" t="s">
        <v>2454</v>
      </c>
      <c r="F7" t="s">
        <v>2490</v>
      </c>
      <c r="G7" t="s">
        <v>2900</v>
      </c>
      <c r="H7" t="s">
        <v>2901</v>
      </c>
      <c r="I7">
        <v>814</v>
      </c>
      <c r="J7">
        <v>334</v>
      </c>
      <c r="K7">
        <v>640</v>
      </c>
      <c r="L7" t="s">
        <v>2914</v>
      </c>
      <c r="M7">
        <v>44</v>
      </c>
      <c r="N7" t="s">
        <v>2903</v>
      </c>
      <c r="O7">
        <v>175.054685654</v>
      </c>
    </row>
    <row r="8" spans="1:15">
      <c r="A8">
        <v>207</v>
      </c>
      <c r="B8" t="s">
        <v>2423</v>
      </c>
      <c r="C8" t="s">
        <v>2443</v>
      </c>
      <c r="D8" t="s">
        <v>2454</v>
      </c>
      <c r="E8" t="s">
        <v>2454</v>
      </c>
      <c r="F8" t="s">
        <v>2490</v>
      </c>
      <c r="G8" t="s">
        <v>2900</v>
      </c>
      <c r="H8" t="s">
        <v>2901</v>
      </c>
      <c r="I8">
        <v>574</v>
      </c>
      <c r="J8">
        <v>258</v>
      </c>
      <c r="K8">
        <v>540</v>
      </c>
      <c r="L8" t="s">
        <v>2917</v>
      </c>
      <c r="M8">
        <v>44</v>
      </c>
      <c r="N8" t="s">
        <v>2903</v>
      </c>
      <c r="O8">
        <v>175.054685654</v>
      </c>
    </row>
    <row r="9" spans="1:15">
      <c r="A9">
        <v>208</v>
      </c>
      <c r="B9" t="s">
        <v>2423</v>
      </c>
      <c r="C9" t="s">
        <v>2436</v>
      </c>
      <c r="D9" t="s">
        <v>2454</v>
      </c>
      <c r="E9" t="s">
        <v>2454</v>
      </c>
      <c r="F9" t="s">
        <v>2490</v>
      </c>
      <c r="G9" t="s">
        <v>2900</v>
      </c>
      <c r="H9" t="s">
        <v>2901</v>
      </c>
      <c r="I9">
        <v>710</v>
      </c>
      <c r="J9">
        <v>344</v>
      </c>
      <c r="K9">
        <v>508</v>
      </c>
      <c r="L9" t="s">
        <v>2918</v>
      </c>
      <c r="M9">
        <v>44</v>
      </c>
      <c r="N9" t="s">
        <v>2903</v>
      </c>
      <c r="O9">
        <v>175.054685654</v>
      </c>
    </row>
    <row r="10" spans="1:15">
      <c r="A10">
        <v>210</v>
      </c>
      <c r="B10" t="s">
        <v>2423</v>
      </c>
      <c r="C10" t="s">
        <v>2444</v>
      </c>
      <c r="D10" t="s">
        <v>2454</v>
      </c>
      <c r="E10" t="s">
        <v>2454</v>
      </c>
      <c r="F10" t="s">
        <v>2490</v>
      </c>
      <c r="G10" t="s">
        <v>2900</v>
      </c>
      <c r="H10" t="s">
        <v>2901</v>
      </c>
      <c r="I10">
        <v>871</v>
      </c>
      <c r="J10">
        <v>340</v>
      </c>
      <c r="K10">
        <v>720</v>
      </c>
      <c r="L10" t="s">
        <v>2920</v>
      </c>
      <c r="M10">
        <v>44</v>
      </c>
      <c r="N10" t="s">
        <v>2903</v>
      </c>
      <c r="O10">
        <v>175.054685654</v>
      </c>
    </row>
    <row r="11" spans="1:15">
      <c r="A11">
        <v>212</v>
      </c>
      <c r="B11" t="s">
        <v>2423</v>
      </c>
      <c r="C11" t="s">
        <v>2437</v>
      </c>
      <c r="D11" t="s">
        <v>2454</v>
      </c>
      <c r="E11" t="s">
        <v>2454</v>
      </c>
      <c r="F11" t="s">
        <v>2490</v>
      </c>
      <c r="G11" t="s">
        <v>2900</v>
      </c>
      <c r="H11" t="s">
        <v>2901</v>
      </c>
      <c r="I11">
        <v>786</v>
      </c>
      <c r="J11">
        <v>93</v>
      </c>
      <c r="K11">
        <v>560</v>
      </c>
      <c r="L11" t="s">
        <v>2922</v>
      </c>
      <c r="M11">
        <v>44</v>
      </c>
      <c r="N11" t="s">
        <v>2903</v>
      </c>
      <c r="O11">
        <v>175.054685654</v>
      </c>
    </row>
    <row r="12" spans="1:15">
      <c r="A12">
        <v>213</v>
      </c>
      <c r="B12" t="s">
        <v>2423</v>
      </c>
      <c r="C12" t="s">
        <v>2445</v>
      </c>
      <c r="D12" t="s">
        <v>2454</v>
      </c>
      <c r="E12" t="s">
        <v>2454</v>
      </c>
      <c r="F12" t="s">
        <v>2490</v>
      </c>
      <c r="G12" t="s">
        <v>2900</v>
      </c>
      <c r="H12" t="s">
        <v>2901</v>
      </c>
      <c r="I12">
        <v>572</v>
      </c>
      <c r="J12">
        <v>88</v>
      </c>
      <c r="K12">
        <v>716</v>
      </c>
      <c r="L12" t="s">
        <v>2923</v>
      </c>
      <c r="M12">
        <v>44</v>
      </c>
      <c r="N12" t="s">
        <v>2903</v>
      </c>
      <c r="O12">
        <v>175.054685654</v>
      </c>
    </row>
    <row r="13" spans="1:15">
      <c r="A13">
        <v>214</v>
      </c>
      <c r="B13" t="s">
        <v>2423</v>
      </c>
      <c r="C13" t="s">
        <v>2438</v>
      </c>
      <c r="D13" t="s">
        <v>2454</v>
      </c>
      <c r="E13" t="s">
        <v>2454</v>
      </c>
      <c r="F13" t="s">
        <v>2490</v>
      </c>
      <c r="G13" t="s">
        <v>2900</v>
      </c>
      <c r="H13" t="s">
        <v>2901</v>
      </c>
      <c r="I13">
        <v>761</v>
      </c>
      <c r="J13">
        <v>383</v>
      </c>
      <c r="K13">
        <v>581</v>
      </c>
      <c r="L13" t="s">
        <v>2924</v>
      </c>
      <c r="M13">
        <v>44</v>
      </c>
      <c r="N13" t="s">
        <v>2903</v>
      </c>
      <c r="O13">
        <v>175.054685654</v>
      </c>
    </row>
    <row r="14" spans="1:15">
      <c r="A14">
        <v>219</v>
      </c>
      <c r="B14" t="s">
        <v>2423</v>
      </c>
      <c r="C14" t="s">
        <v>2439</v>
      </c>
      <c r="D14" t="s">
        <v>2927</v>
      </c>
      <c r="E14" t="s">
        <v>2454</v>
      </c>
      <c r="F14" t="s">
        <v>2490</v>
      </c>
      <c r="G14" t="s">
        <v>2900</v>
      </c>
      <c r="H14" t="s">
        <v>2901</v>
      </c>
      <c r="I14">
        <v>727</v>
      </c>
      <c r="J14">
        <v>176</v>
      </c>
      <c r="K14">
        <v>491</v>
      </c>
      <c r="L14" t="s">
        <v>2930</v>
      </c>
      <c r="M14">
        <v>44</v>
      </c>
      <c r="N14" t="s">
        <v>2903</v>
      </c>
      <c r="O14">
        <v>175.054685654</v>
      </c>
    </row>
    <row r="15" spans="1:15">
      <c r="A15">
        <v>220</v>
      </c>
      <c r="B15" t="s">
        <v>2423</v>
      </c>
      <c r="C15" t="s">
        <v>2446</v>
      </c>
      <c r="D15" t="s">
        <v>2927</v>
      </c>
      <c r="E15" t="s">
        <v>2454</v>
      </c>
      <c r="F15" t="s">
        <v>2490</v>
      </c>
      <c r="G15" t="s">
        <v>2900</v>
      </c>
      <c r="H15" t="s">
        <v>2901</v>
      </c>
      <c r="I15">
        <v>782</v>
      </c>
      <c r="J15">
        <v>250</v>
      </c>
      <c r="K15">
        <v>849</v>
      </c>
      <c r="L15" t="s">
        <v>2931</v>
      </c>
      <c r="M15">
        <v>44</v>
      </c>
      <c r="N15" t="s">
        <v>2903</v>
      </c>
      <c r="O15">
        <v>175.054685654</v>
      </c>
    </row>
    <row r="16" spans="1:15">
      <c r="A16">
        <v>195</v>
      </c>
      <c r="B16" t="s">
        <v>2423</v>
      </c>
      <c r="C16" t="s">
        <v>2425</v>
      </c>
      <c r="D16" t="s">
        <v>2643</v>
      </c>
      <c r="E16" t="s">
        <v>2454</v>
      </c>
      <c r="F16" t="s">
        <v>2490</v>
      </c>
      <c r="G16" t="s">
        <v>2900</v>
      </c>
      <c r="H16" t="s">
        <v>2863</v>
      </c>
      <c r="I16">
        <v>821</v>
      </c>
      <c r="J16">
        <v>378</v>
      </c>
      <c r="K16">
        <v>525</v>
      </c>
      <c r="L16" t="s">
        <v>2905</v>
      </c>
      <c r="M16">
        <v>45</v>
      </c>
      <c r="N16" t="s">
        <v>2903</v>
      </c>
      <c r="O16">
        <v>175.377105089</v>
      </c>
    </row>
    <row r="17" spans="1:15">
      <c r="A17">
        <v>196</v>
      </c>
      <c r="B17" t="s">
        <v>2423</v>
      </c>
      <c r="C17" t="s">
        <v>2416</v>
      </c>
      <c r="D17" t="s">
        <v>2643</v>
      </c>
      <c r="E17" t="s">
        <v>2454</v>
      </c>
      <c r="F17" t="s">
        <v>2490</v>
      </c>
      <c r="G17" t="s">
        <v>2900</v>
      </c>
      <c r="H17" t="s">
        <v>2863</v>
      </c>
      <c r="I17">
        <v>754</v>
      </c>
      <c r="J17">
        <v>375</v>
      </c>
      <c r="K17">
        <v>886</v>
      </c>
      <c r="L17" t="s">
        <v>2906</v>
      </c>
      <c r="M17">
        <v>45</v>
      </c>
      <c r="N17" t="s">
        <v>2903</v>
      </c>
      <c r="O17">
        <v>175.377105089</v>
      </c>
    </row>
    <row r="18" spans="1:15">
      <c r="A18">
        <v>197</v>
      </c>
      <c r="B18" t="s">
        <v>2423</v>
      </c>
      <c r="C18" t="s">
        <v>2426</v>
      </c>
      <c r="D18" t="s">
        <v>2643</v>
      </c>
      <c r="E18" t="s">
        <v>2454</v>
      </c>
      <c r="F18" t="s">
        <v>2490</v>
      </c>
      <c r="G18" t="s">
        <v>2900</v>
      </c>
      <c r="H18" t="s">
        <v>2863</v>
      </c>
      <c r="I18">
        <v>715</v>
      </c>
      <c r="J18">
        <v>219</v>
      </c>
      <c r="K18">
        <v>388</v>
      </c>
      <c r="L18" t="s">
        <v>2907</v>
      </c>
      <c r="M18">
        <v>45</v>
      </c>
      <c r="N18" t="s">
        <v>2903</v>
      </c>
      <c r="O18">
        <v>175.377105089</v>
      </c>
    </row>
    <row r="19" spans="1:15">
      <c r="A19">
        <v>199</v>
      </c>
      <c r="B19" t="s">
        <v>2423</v>
      </c>
      <c r="C19" t="s">
        <v>2418</v>
      </c>
      <c r="D19" t="s">
        <v>2643</v>
      </c>
      <c r="E19" t="s">
        <v>2454</v>
      </c>
      <c r="F19" t="s">
        <v>2490</v>
      </c>
      <c r="G19" t="s">
        <v>2900</v>
      </c>
      <c r="H19" t="s">
        <v>2863</v>
      </c>
      <c r="I19">
        <v>877</v>
      </c>
      <c r="J19">
        <v>339</v>
      </c>
      <c r="K19">
        <v>712</v>
      </c>
      <c r="L19" t="s">
        <v>2909</v>
      </c>
      <c r="M19">
        <v>45</v>
      </c>
      <c r="N19" t="s">
        <v>2903</v>
      </c>
      <c r="O19">
        <v>175.377105089</v>
      </c>
    </row>
    <row r="20" spans="1:15">
      <c r="A20">
        <v>202</v>
      </c>
      <c r="B20" t="s">
        <v>2423</v>
      </c>
      <c r="C20" t="s">
        <v>2419</v>
      </c>
      <c r="D20" t="s">
        <v>2643</v>
      </c>
      <c r="E20" t="s">
        <v>2454</v>
      </c>
      <c r="F20" t="s">
        <v>2490</v>
      </c>
      <c r="G20" t="s">
        <v>2900</v>
      </c>
      <c r="H20" t="s">
        <v>2863</v>
      </c>
      <c r="I20">
        <v>773</v>
      </c>
      <c r="J20">
        <v>135</v>
      </c>
      <c r="K20">
        <v>770</v>
      </c>
      <c r="L20" t="s">
        <v>2912</v>
      </c>
      <c r="M20">
        <v>45</v>
      </c>
      <c r="N20" t="s">
        <v>2903</v>
      </c>
      <c r="O20">
        <v>175.377105089</v>
      </c>
    </row>
    <row r="21" spans="1:15">
      <c r="A21">
        <v>203</v>
      </c>
      <c r="B21" t="s">
        <v>2423</v>
      </c>
      <c r="C21" t="s">
        <v>2428</v>
      </c>
      <c r="D21" t="s">
        <v>2643</v>
      </c>
      <c r="E21" t="s">
        <v>2454</v>
      </c>
      <c r="F21" t="s">
        <v>2490</v>
      </c>
      <c r="G21" t="s">
        <v>2900</v>
      </c>
      <c r="H21" t="s">
        <v>2863</v>
      </c>
      <c r="I21">
        <v>645</v>
      </c>
      <c r="J21">
        <v>372</v>
      </c>
      <c r="K21">
        <v>753</v>
      </c>
      <c r="L21" t="s">
        <v>2913</v>
      </c>
      <c r="M21">
        <v>45</v>
      </c>
      <c r="N21" t="s">
        <v>2903</v>
      </c>
      <c r="O21">
        <v>175.377105089</v>
      </c>
    </row>
    <row r="22" spans="1:15">
      <c r="A22">
        <v>205</v>
      </c>
      <c r="B22" t="s">
        <v>2423</v>
      </c>
      <c r="C22" t="s">
        <v>2429</v>
      </c>
      <c r="D22" t="s">
        <v>2454</v>
      </c>
      <c r="E22" t="s">
        <v>2454</v>
      </c>
      <c r="F22" t="s">
        <v>2490</v>
      </c>
      <c r="G22" t="s">
        <v>2900</v>
      </c>
      <c r="H22" t="s">
        <v>2863</v>
      </c>
      <c r="I22">
        <v>621</v>
      </c>
      <c r="J22">
        <v>265</v>
      </c>
      <c r="K22">
        <v>668</v>
      </c>
      <c r="L22" t="s">
        <v>2915</v>
      </c>
      <c r="M22">
        <v>45</v>
      </c>
      <c r="N22" t="s">
        <v>2903</v>
      </c>
      <c r="O22">
        <v>175.377105089</v>
      </c>
    </row>
    <row r="23" spans="1:15">
      <c r="A23">
        <v>206</v>
      </c>
      <c r="B23" t="s">
        <v>2423</v>
      </c>
      <c r="C23" t="s">
        <v>2420</v>
      </c>
      <c r="D23" t="s">
        <v>2454</v>
      </c>
      <c r="E23" t="s">
        <v>2454</v>
      </c>
      <c r="F23" t="s">
        <v>2490</v>
      </c>
      <c r="G23" t="s">
        <v>2900</v>
      </c>
      <c r="H23" t="s">
        <v>2863</v>
      </c>
      <c r="I23">
        <v>677</v>
      </c>
      <c r="J23">
        <v>234</v>
      </c>
      <c r="K23">
        <v>891</v>
      </c>
      <c r="L23" t="s">
        <v>2916</v>
      </c>
      <c r="M23">
        <v>45</v>
      </c>
      <c r="N23" t="s">
        <v>2903</v>
      </c>
      <c r="O23">
        <v>175.377105089</v>
      </c>
    </row>
    <row r="24" spans="1:15">
      <c r="A24">
        <v>209</v>
      </c>
      <c r="B24" t="s">
        <v>2423</v>
      </c>
      <c r="C24" t="s">
        <v>2430</v>
      </c>
      <c r="D24" t="s">
        <v>2454</v>
      </c>
      <c r="E24" t="s">
        <v>2454</v>
      </c>
      <c r="F24" t="s">
        <v>2490</v>
      </c>
      <c r="G24" t="s">
        <v>2900</v>
      </c>
      <c r="H24" t="s">
        <v>2863</v>
      </c>
      <c r="I24">
        <v>604</v>
      </c>
      <c r="J24">
        <v>271</v>
      </c>
      <c r="K24">
        <v>637</v>
      </c>
      <c r="L24" t="s">
        <v>2919</v>
      </c>
      <c r="M24">
        <v>45</v>
      </c>
      <c r="N24" t="s">
        <v>2903</v>
      </c>
      <c r="O24">
        <v>175.377105089</v>
      </c>
    </row>
    <row r="25" spans="1:15">
      <c r="A25">
        <v>211</v>
      </c>
      <c r="B25" t="s">
        <v>2423</v>
      </c>
      <c r="C25" t="s">
        <v>2421</v>
      </c>
      <c r="D25" t="s">
        <v>2454</v>
      </c>
      <c r="E25" t="s">
        <v>2454</v>
      </c>
      <c r="F25" t="s">
        <v>2490</v>
      </c>
      <c r="G25" t="s">
        <v>2900</v>
      </c>
      <c r="H25" t="s">
        <v>2863</v>
      </c>
      <c r="I25">
        <v>822</v>
      </c>
      <c r="J25">
        <v>381</v>
      </c>
      <c r="K25">
        <v>796</v>
      </c>
      <c r="L25" t="s">
        <v>2921</v>
      </c>
      <c r="M25">
        <v>45</v>
      </c>
      <c r="N25" t="s">
        <v>2903</v>
      </c>
      <c r="O25">
        <v>175.377105089</v>
      </c>
    </row>
    <row r="26" spans="1:15">
      <c r="A26">
        <v>215</v>
      </c>
      <c r="B26" t="s">
        <v>2423</v>
      </c>
      <c r="C26" t="s">
        <v>2422</v>
      </c>
      <c r="D26" t="s">
        <v>2454</v>
      </c>
      <c r="E26" t="s">
        <v>2454</v>
      </c>
      <c r="F26" t="s">
        <v>2490</v>
      </c>
      <c r="G26" t="s">
        <v>2900</v>
      </c>
      <c r="H26" t="s">
        <v>2863</v>
      </c>
      <c r="I26">
        <v>858</v>
      </c>
      <c r="J26">
        <v>145</v>
      </c>
      <c r="K26">
        <v>718</v>
      </c>
      <c r="L26" t="s">
        <v>2925</v>
      </c>
      <c r="M26">
        <v>45</v>
      </c>
      <c r="N26" t="s">
        <v>2903</v>
      </c>
      <c r="O26">
        <v>175.377105089</v>
      </c>
    </row>
    <row r="27" spans="1:15">
      <c r="A27">
        <v>216</v>
      </c>
      <c r="B27" t="s">
        <v>2423</v>
      </c>
      <c r="C27" t="s">
        <v>2431</v>
      </c>
      <c r="D27" t="s">
        <v>2454</v>
      </c>
      <c r="E27" t="s">
        <v>2454</v>
      </c>
      <c r="F27" t="s">
        <v>2490</v>
      </c>
      <c r="G27" t="s">
        <v>2900</v>
      </c>
      <c r="H27" t="s">
        <v>2863</v>
      </c>
      <c r="I27">
        <v>755</v>
      </c>
      <c r="J27">
        <v>241</v>
      </c>
      <c r="K27">
        <v>613</v>
      </c>
      <c r="L27" t="s">
        <v>2926</v>
      </c>
      <c r="M27">
        <v>45</v>
      </c>
      <c r="N27" t="s">
        <v>2903</v>
      </c>
      <c r="O27">
        <v>175.377105089</v>
      </c>
    </row>
    <row r="28" spans="1:15">
      <c r="A28">
        <v>217</v>
      </c>
      <c r="B28" t="s">
        <v>2423</v>
      </c>
      <c r="C28" t="s">
        <v>2424</v>
      </c>
      <c r="D28" t="s">
        <v>2927</v>
      </c>
      <c r="E28" t="s">
        <v>2454</v>
      </c>
      <c r="F28" t="s">
        <v>2490</v>
      </c>
      <c r="G28" t="s">
        <v>2900</v>
      </c>
      <c r="H28" t="s">
        <v>2863</v>
      </c>
      <c r="I28">
        <v>795</v>
      </c>
      <c r="J28">
        <v>302</v>
      </c>
      <c r="K28">
        <v>804</v>
      </c>
      <c r="L28" t="s">
        <v>2928</v>
      </c>
      <c r="M28">
        <v>45</v>
      </c>
      <c r="N28" t="s">
        <v>2903</v>
      </c>
      <c r="O28">
        <v>175.377105089</v>
      </c>
    </row>
    <row r="29" spans="1:15">
      <c r="A29">
        <v>218</v>
      </c>
      <c r="B29" t="s">
        <v>2423</v>
      </c>
      <c r="C29" t="s">
        <v>2432</v>
      </c>
      <c r="D29" t="s">
        <v>2927</v>
      </c>
      <c r="E29" t="s">
        <v>2454</v>
      </c>
      <c r="F29" t="s">
        <v>2490</v>
      </c>
      <c r="G29" t="s">
        <v>2900</v>
      </c>
      <c r="H29" t="s">
        <v>2863</v>
      </c>
      <c r="I29">
        <v>251</v>
      </c>
      <c r="J29">
        <v>442</v>
      </c>
      <c r="K29">
        <v>587</v>
      </c>
      <c r="L29" t="s">
        <v>2929</v>
      </c>
      <c r="M29">
        <v>45</v>
      </c>
      <c r="N29" t="s">
        <v>2903</v>
      </c>
      <c r="O29">
        <v>175.377105089</v>
      </c>
    </row>
    <row r="30" spans="1:15">
      <c r="A30">
        <v>161</v>
      </c>
      <c r="B30" t="s">
        <v>2380</v>
      </c>
      <c r="C30" t="s">
        <v>2381</v>
      </c>
      <c r="D30" t="s">
        <v>2454</v>
      </c>
      <c r="E30" t="s">
        <v>2454</v>
      </c>
      <c r="F30" t="s">
        <v>2273</v>
      </c>
      <c r="G30" t="s">
        <v>2862</v>
      </c>
      <c r="H30" t="s">
        <v>2863</v>
      </c>
      <c r="I30">
        <v>252</v>
      </c>
      <c r="J30">
        <v>124</v>
      </c>
      <c r="K30">
        <v>351</v>
      </c>
      <c r="L30" t="s">
        <v>2864</v>
      </c>
      <c r="M30">
        <v>51</v>
      </c>
      <c r="N30" t="s">
        <v>2865</v>
      </c>
      <c r="O30">
        <v>181.383442621</v>
      </c>
    </row>
    <row r="31" spans="1:15">
      <c r="A31">
        <v>162</v>
      </c>
      <c r="B31" t="s">
        <v>2380</v>
      </c>
      <c r="C31" t="s">
        <v>2382</v>
      </c>
      <c r="D31" t="s">
        <v>2454</v>
      </c>
      <c r="E31" t="s">
        <v>2454</v>
      </c>
      <c r="F31" t="s">
        <v>2273</v>
      </c>
      <c r="G31" t="s">
        <v>2862</v>
      </c>
      <c r="H31" t="s">
        <v>2863</v>
      </c>
      <c r="I31">
        <v>385</v>
      </c>
      <c r="J31">
        <v>202</v>
      </c>
      <c r="K31">
        <v>442</v>
      </c>
      <c r="L31" t="s">
        <v>2866</v>
      </c>
      <c r="M31">
        <v>51</v>
      </c>
      <c r="N31" t="s">
        <v>2865</v>
      </c>
      <c r="O31">
        <v>181.383442621</v>
      </c>
    </row>
    <row r="32" spans="1:15">
      <c r="A32">
        <v>163</v>
      </c>
      <c r="B32" t="s">
        <v>2380</v>
      </c>
      <c r="C32" t="s">
        <v>2383</v>
      </c>
      <c r="D32" t="s">
        <v>2454</v>
      </c>
      <c r="E32" t="s">
        <v>2454</v>
      </c>
      <c r="F32" t="s">
        <v>2273</v>
      </c>
      <c r="G32" t="s">
        <v>2862</v>
      </c>
      <c r="H32" t="s">
        <v>2863</v>
      </c>
      <c r="I32">
        <v>202</v>
      </c>
      <c r="J32">
        <v>96</v>
      </c>
      <c r="K32">
        <v>743</v>
      </c>
      <c r="L32" t="s">
        <v>2867</v>
      </c>
      <c r="M32">
        <v>51</v>
      </c>
      <c r="N32" t="s">
        <v>2865</v>
      </c>
      <c r="O32">
        <v>181.383442621</v>
      </c>
    </row>
    <row r="33" spans="1:15">
      <c r="A33">
        <v>164</v>
      </c>
      <c r="B33" t="s">
        <v>2380</v>
      </c>
      <c r="C33" t="s">
        <v>2384</v>
      </c>
      <c r="D33" t="s">
        <v>2454</v>
      </c>
      <c r="E33" t="s">
        <v>2454</v>
      </c>
      <c r="F33" t="s">
        <v>2273</v>
      </c>
      <c r="G33" t="s">
        <v>2862</v>
      </c>
      <c r="H33" t="s">
        <v>2863</v>
      </c>
      <c r="I33">
        <v>686</v>
      </c>
      <c r="J33">
        <v>317</v>
      </c>
      <c r="K33">
        <v>390</v>
      </c>
      <c r="L33" t="s">
        <v>2868</v>
      </c>
      <c r="M33">
        <v>51</v>
      </c>
      <c r="N33" t="s">
        <v>2865</v>
      </c>
      <c r="O33">
        <v>181.383442621</v>
      </c>
    </row>
    <row r="34" spans="1:15">
      <c r="A34">
        <v>165</v>
      </c>
      <c r="B34" t="s">
        <v>2380</v>
      </c>
      <c r="C34" t="s">
        <v>2385</v>
      </c>
      <c r="D34" t="s">
        <v>2454</v>
      </c>
      <c r="E34" t="s">
        <v>2454</v>
      </c>
      <c r="F34" t="s">
        <v>2273</v>
      </c>
      <c r="G34" t="s">
        <v>2862</v>
      </c>
      <c r="H34" t="s">
        <v>2863</v>
      </c>
      <c r="I34">
        <v>368</v>
      </c>
      <c r="J34">
        <v>331</v>
      </c>
      <c r="K34">
        <v>810</v>
      </c>
      <c r="L34" t="s">
        <v>2869</v>
      </c>
      <c r="M34">
        <v>51</v>
      </c>
      <c r="N34" t="s">
        <v>2865</v>
      </c>
      <c r="O34">
        <v>181.383442621</v>
      </c>
    </row>
    <row r="35" spans="1:15">
      <c r="A35">
        <v>166</v>
      </c>
      <c r="B35" t="s">
        <v>2380</v>
      </c>
      <c r="C35" t="s">
        <v>2386</v>
      </c>
      <c r="D35" t="s">
        <v>2454</v>
      </c>
      <c r="E35" t="s">
        <v>2454</v>
      </c>
      <c r="F35" t="s">
        <v>2273</v>
      </c>
      <c r="G35" t="s">
        <v>2862</v>
      </c>
      <c r="H35" t="s">
        <v>2863</v>
      </c>
      <c r="I35">
        <v>334</v>
      </c>
      <c r="J35">
        <v>287</v>
      </c>
      <c r="K35">
        <v>287</v>
      </c>
      <c r="L35" t="s">
        <v>2870</v>
      </c>
      <c r="M35">
        <v>51</v>
      </c>
      <c r="N35" t="s">
        <v>2865</v>
      </c>
      <c r="O35">
        <v>181.383442621</v>
      </c>
    </row>
    <row r="36" spans="1:15">
      <c r="A36">
        <v>167</v>
      </c>
      <c r="B36" t="s">
        <v>2380</v>
      </c>
      <c r="C36" t="s">
        <v>2388</v>
      </c>
      <c r="D36" t="s">
        <v>2454</v>
      </c>
      <c r="E36" t="s">
        <v>2454</v>
      </c>
      <c r="F36" t="s">
        <v>2273</v>
      </c>
      <c r="G36" t="s">
        <v>2862</v>
      </c>
      <c r="H36" t="s">
        <v>2863</v>
      </c>
      <c r="I36">
        <v>429</v>
      </c>
      <c r="J36">
        <v>255</v>
      </c>
      <c r="K36">
        <v>443</v>
      </c>
      <c r="L36" t="s">
        <v>2871</v>
      </c>
      <c r="M36">
        <v>51</v>
      </c>
      <c r="N36" t="s">
        <v>2865</v>
      </c>
      <c r="O36">
        <v>181.383442621</v>
      </c>
    </row>
    <row r="37" spans="1:15">
      <c r="A37">
        <v>168</v>
      </c>
      <c r="B37" t="s">
        <v>2380</v>
      </c>
      <c r="C37" t="s">
        <v>2389</v>
      </c>
      <c r="D37" t="s">
        <v>2454</v>
      </c>
      <c r="E37" t="s">
        <v>2454</v>
      </c>
      <c r="F37" t="s">
        <v>2273</v>
      </c>
      <c r="G37" t="s">
        <v>2862</v>
      </c>
      <c r="H37" t="s">
        <v>2863</v>
      </c>
      <c r="I37">
        <v>461</v>
      </c>
      <c r="J37">
        <v>534</v>
      </c>
      <c r="K37">
        <v>680</v>
      </c>
      <c r="L37" t="s">
        <v>2872</v>
      </c>
      <c r="M37">
        <v>51</v>
      </c>
      <c r="N37" t="s">
        <v>2865</v>
      </c>
      <c r="O37">
        <v>181.383442621</v>
      </c>
    </row>
    <row r="38" spans="1:15">
      <c r="A38">
        <v>169</v>
      </c>
      <c r="B38" t="s">
        <v>2380</v>
      </c>
      <c r="C38" t="s">
        <v>2390</v>
      </c>
      <c r="D38" t="s">
        <v>2454</v>
      </c>
      <c r="E38" t="s">
        <v>2454</v>
      </c>
      <c r="F38" t="s">
        <v>2282</v>
      </c>
      <c r="G38" t="s">
        <v>2862</v>
      </c>
      <c r="H38" t="s">
        <v>2863</v>
      </c>
      <c r="I38">
        <v>425</v>
      </c>
      <c r="J38">
        <v>453</v>
      </c>
      <c r="K38">
        <v>496</v>
      </c>
      <c r="L38" t="s">
        <v>2873</v>
      </c>
      <c r="M38">
        <v>51</v>
      </c>
      <c r="N38" t="s">
        <v>2874</v>
      </c>
      <c r="O38">
        <v>181.383442621</v>
      </c>
    </row>
    <row r="39" spans="1:15">
      <c r="A39">
        <v>170</v>
      </c>
      <c r="B39" t="s">
        <v>2380</v>
      </c>
      <c r="C39" t="s">
        <v>2391</v>
      </c>
      <c r="D39" t="s">
        <v>2454</v>
      </c>
      <c r="E39" t="s">
        <v>2454</v>
      </c>
      <c r="F39" t="s">
        <v>2282</v>
      </c>
      <c r="G39" t="s">
        <v>2862</v>
      </c>
      <c r="H39" t="s">
        <v>2863</v>
      </c>
      <c r="I39">
        <v>433</v>
      </c>
      <c r="J39">
        <v>330</v>
      </c>
      <c r="K39">
        <v>674</v>
      </c>
      <c r="L39" t="s">
        <v>2875</v>
      </c>
      <c r="M39">
        <v>51</v>
      </c>
      <c r="N39" t="s">
        <v>2874</v>
      </c>
      <c r="O39">
        <v>181.383442621</v>
      </c>
    </row>
    <row r="40" spans="1:15">
      <c r="A40">
        <v>171</v>
      </c>
      <c r="B40" t="s">
        <v>2380</v>
      </c>
      <c r="C40" t="s">
        <v>2392</v>
      </c>
      <c r="D40" t="s">
        <v>2454</v>
      </c>
      <c r="E40" t="s">
        <v>2454</v>
      </c>
      <c r="F40" t="s">
        <v>2282</v>
      </c>
      <c r="G40" t="s">
        <v>2862</v>
      </c>
      <c r="H40" t="s">
        <v>2863</v>
      </c>
      <c r="I40">
        <v>656</v>
      </c>
      <c r="J40">
        <v>558</v>
      </c>
      <c r="K40">
        <v>504</v>
      </c>
      <c r="L40" t="s">
        <v>2876</v>
      </c>
      <c r="M40">
        <v>51</v>
      </c>
      <c r="N40" t="s">
        <v>2874</v>
      </c>
      <c r="O40">
        <v>181.383442621</v>
      </c>
    </row>
    <row r="41" spans="1:15">
      <c r="A41">
        <v>172</v>
      </c>
      <c r="B41" t="s">
        <v>2380</v>
      </c>
      <c r="C41" t="s">
        <v>2393</v>
      </c>
      <c r="D41" t="s">
        <v>2454</v>
      </c>
      <c r="E41" t="s">
        <v>2454</v>
      </c>
      <c r="F41" t="s">
        <v>2282</v>
      </c>
      <c r="G41" t="s">
        <v>2862</v>
      </c>
      <c r="H41" t="s">
        <v>2863</v>
      </c>
      <c r="I41">
        <v>281</v>
      </c>
      <c r="J41">
        <v>157</v>
      </c>
      <c r="K41">
        <v>439</v>
      </c>
      <c r="L41" t="s">
        <v>2877</v>
      </c>
      <c r="M41">
        <v>51</v>
      </c>
      <c r="N41" t="s">
        <v>2874</v>
      </c>
      <c r="O41">
        <v>181.383442621</v>
      </c>
    </row>
    <row r="42" spans="1:15">
      <c r="A42">
        <v>173</v>
      </c>
      <c r="B42" t="s">
        <v>2380</v>
      </c>
      <c r="C42" t="s">
        <v>2394</v>
      </c>
      <c r="D42" t="s">
        <v>2454</v>
      </c>
      <c r="E42" t="s">
        <v>2454</v>
      </c>
      <c r="F42" t="s">
        <v>2282</v>
      </c>
      <c r="G42" t="s">
        <v>2862</v>
      </c>
      <c r="H42" t="s">
        <v>2863</v>
      </c>
      <c r="I42">
        <v>216</v>
      </c>
      <c r="J42">
        <v>57</v>
      </c>
      <c r="K42">
        <v>865</v>
      </c>
      <c r="L42" t="s">
        <v>2878</v>
      </c>
      <c r="M42">
        <v>51</v>
      </c>
      <c r="N42" t="s">
        <v>2874</v>
      </c>
      <c r="O42">
        <v>181.383442621</v>
      </c>
    </row>
    <row r="43" spans="1:15">
      <c r="A43">
        <v>174</v>
      </c>
      <c r="B43" t="s">
        <v>2380</v>
      </c>
      <c r="C43" t="s">
        <v>2395</v>
      </c>
      <c r="D43" t="s">
        <v>2454</v>
      </c>
      <c r="E43" t="s">
        <v>2454</v>
      </c>
      <c r="F43" t="s">
        <v>2282</v>
      </c>
      <c r="G43" t="s">
        <v>2862</v>
      </c>
      <c r="H43" t="s">
        <v>2863</v>
      </c>
      <c r="I43">
        <v>655</v>
      </c>
      <c r="J43">
        <v>307</v>
      </c>
      <c r="K43">
        <v>736</v>
      </c>
      <c r="L43" t="s">
        <v>2879</v>
      </c>
      <c r="M43">
        <v>51</v>
      </c>
      <c r="N43" t="s">
        <v>2874</v>
      </c>
      <c r="O43">
        <v>181.383442621</v>
      </c>
    </row>
    <row r="44" spans="1:15">
      <c r="A44">
        <v>175</v>
      </c>
      <c r="B44" t="s">
        <v>2380</v>
      </c>
      <c r="C44" t="s">
        <v>2396</v>
      </c>
      <c r="D44" t="s">
        <v>2454</v>
      </c>
      <c r="E44" t="s">
        <v>2454</v>
      </c>
      <c r="F44" t="s">
        <v>2282</v>
      </c>
      <c r="G44" t="s">
        <v>2862</v>
      </c>
      <c r="H44" t="s">
        <v>2863</v>
      </c>
      <c r="I44">
        <v>457</v>
      </c>
      <c r="J44">
        <v>458</v>
      </c>
      <c r="K44">
        <v>792</v>
      </c>
      <c r="L44" t="s">
        <v>2880</v>
      </c>
      <c r="M44">
        <v>51</v>
      </c>
      <c r="N44" t="s">
        <v>2874</v>
      </c>
      <c r="O44">
        <v>181.383442621</v>
      </c>
    </row>
    <row r="45" spans="1:15">
      <c r="A45">
        <v>176</v>
      </c>
      <c r="B45" t="s">
        <v>2380</v>
      </c>
      <c r="C45" t="s">
        <v>2397</v>
      </c>
      <c r="D45" t="s">
        <v>2454</v>
      </c>
      <c r="E45" t="s">
        <v>2454</v>
      </c>
      <c r="F45" t="s">
        <v>2282</v>
      </c>
      <c r="G45" t="s">
        <v>2862</v>
      </c>
      <c r="H45" t="s">
        <v>2863</v>
      </c>
      <c r="I45">
        <v>454</v>
      </c>
      <c r="J45">
        <v>326</v>
      </c>
      <c r="K45">
        <v>470</v>
      </c>
      <c r="L45" t="s">
        <v>2881</v>
      </c>
      <c r="M45">
        <v>51</v>
      </c>
      <c r="N45" t="s">
        <v>2874</v>
      </c>
      <c r="O45">
        <v>181.383442621</v>
      </c>
    </row>
    <row r="46" spans="1:15">
      <c r="A46">
        <v>81</v>
      </c>
      <c r="B46" t="s">
        <v>2271</v>
      </c>
      <c r="C46" t="s">
        <v>2290</v>
      </c>
      <c r="D46" t="s">
        <v>2643</v>
      </c>
      <c r="E46" t="s">
        <v>2454</v>
      </c>
      <c r="F46" t="s">
        <v>2291</v>
      </c>
      <c r="G46" t="s">
        <v>2698</v>
      </c>
      <c r="H46" t="s">
        <v>2681</v>
      </c>
      <c r="I46">
        <v>542</v>
      </c>
      <c r="J46">
        <v>187</v>
      </c>
      <c r="K46">
        <v>475</v>
      </c>
      <c r="L46" t="s">
        <v>2771</v>
      </c>
      <c r="M46">
        <v>51</v>
      </c>
      <c r="N46" t="s">
        <v>2772</v>
      </c>
      <c r="O46">
        <v>185.01185076100001</v>
      </c>
    </row>
    <row r="47" spans="1:15">
      <c r="A47">
        <v>17</v>
      </c>
      <c r="B47" t="s">
        <v>2171</v>
      </c>
      <c r="C47" t="s">
        <v>2202</v>
      </c>
      <c r="D47" t="s">
        <v>2643</v>
      </c>
      <c r="E47" t="s">
        <v>2454</v>
      </c>
      <c r="F47" t="s">
        <v>2203</v>
      </c>
      <c r="G47" t="s">
        <v>2698</v>
      </c>
      <c r="H47" t="s">
        <v>2681</v>
      </c>
      <c r="I47">
        <v>571</v>
      </c>
      <c r="J47">
        <v>542</v>
      </c>
      <c r="K47">
        <v>648</v>
      </c>
      <c r="L47" t="s">
        <v>2699</v>
      </c>
      <c r="M47">
        <v>51</v>
      </c>
      <c r="N47" t="s">
        <v>2700</v>
      </c>
      <c r="O47">
        <v>185.630065823</v>
      </c>
    </row>
    <row r="48" spans="1:15">
      <c r="A48">
        <v>18</v>
      </c>
      <c r="B48" t="s">
        <v>2171</v>
      </c>
      <c r="C48" t="s">
        <v>2205</v>
      </c>
      <c r="D48" t="s">
        <v>2643</v>
      </c>
      <c r="E48" t="s">
        <v>2454</v>
      </c>
      <c r="F48" t="s">
        <v>2203</v>
      </c>
      <c r="G48" t="s">
        <v>2698</v>
      </c>
      <c r="H48" t="s">
        <v>2681</v>
      </c>
      <c r="I48">
        <v>419</v>
      </c>
      <c r="J48">
        <v>128</v>
      </c>
      <c r="K48">
        <v>573</v>
      </c>
      <c r="L48" t="s">
        <v>2701</v>
      </c>
      <c r="M48">
        <v>51</v>
      </c>
      <c r="N48" t="s">
        <v>2700</v>
      </c>
      <c r="O48">
        <v>185.630065823</v>
      </c>
    </row>
    <row r="49" spans="1:15">
      <c r="A49">
        <v>19</v>
      </c>
      <c r="B49" t="s">
        <v>2171</v>
      </c>
      <c r="C49" t="s">
        <v>2206</v>
      </c>
      <c r="D49" t="s">
        <v>2643</v>
      </c>
      <c r="E49" t="s">
        <v>2454</v>
      </c>
      <c r="F49" t="s">
        <v>2203</v>
      </c>
      <c r="G49" t="s">
        <v>2698</v>
      </c>
      <c r="H49" t="s">
        <v>2681</v>
      </c>
      <c r="I49">
        <v>240</v>
      </c>
      <c r="J49">
        <v>82</v>
      </c>
      <c r="K49">
        <v>639</v>
      </c>
      <c r="L49" t="s">
        <v>2702</v>
      </c>
      <c r="M49">
        <v>51</v>
      </c>
      <c r="N49" t="s">
        <v>2700</v>
      </c>
      <c r="O49">
        <v>185.630065823</v>
      </c>
    </row>
    <row r="50" spans="1:15">
      <c r="A50">
        <v>20</v>
      </c>
      <c r="B50" t="s">
        <v>2171</v>
      </c>
      <c r="C50" t="s">
        <v>2207</v>
      </c>
      <c r="D50" t="s">
        <v>2643</v>
      </c>
      <c r="E50" t="s">
        <v>2454</v>
      </c>
      <c r="F50" t="s">
        <v>2203</v>
      </c>
      <c r="G50" t="s">
        <v>2698</v>
      </c>
      <c r="H50" t="s">
        <v>2681</v>
      </c>
      <c r="I50">
        <v>524</v>
      </c>
      <c r="J50">
        <v>50</v>
      </c>
      <c r="K50">
        <v>505</v>
      </c>
      <c r="L50" t="s">
        <v>2703</v>
      </c>
      <c r="M50">
        <v>51</v>
      </c>
      <c r="N50" t="s">
        <v>2700</v>
      </c>
      <c r="O50">
        <v>185.630065823</v>
      </c>
    </row>
    <row r="51" spans="1:15">
      <c r="A51">
        <v>21</v>
      </c>
      <c r="B51" t="s">
        <v>2171</v>
      </c>
      <c r="C51" t="s">
        <v>2208</v>
      </c>
      <c r="D51" t="s">
        <v>2643</v>
      </c>
      <c r="E51" t="s">
        <v>2454</v>
      </c>
      <c r="F51" t="s">
        <v>2203</v>
      </c>
      <c r="G51" t="s">
        <v>2698</v>
      </c>
      <c r="H51" t="s">
        <v>2681</v>
      </c>
      <c r="I51">
        <v>699</v>
      </c>
      <c r="J51">
        <v>529</v>
      </c>
      <c r="K51">
        <v>721</v>
      </c>
      <c r="L51" t="s">
        <v>2485</v>
      </c>
      <c r="M51">
        <v>51</v>
      </c>
      <c r="N51" t="s">
        <v>2700</v>
      </c>
      <c r="O51">
        <v>185.630065823</v>
      </c>
    </row>
    <row r="52" spans="1:15">
      <c r="A52">
        <v>22</v>
      </c>
      <c r="B52" t="s">
        <v>2171</v>
      </c>
      <c r="C52" t="s">
        <v>2209</v>
      </c>
      <c r="D52" t="s">
        <v>2643</v>
      </c>
      <c r="E52" t="s">
        <v>2454</v>
      </c>
      <c r="F52" t="s">
        <v>2203</v>
      </c>
      <c r="G52" t="s">
        <v>2698</v>
      </c>
      <c r="H52" t="s">
        <v>2681</v>
      </c>
      <c r="I52">
        <v>575</v>
      </c>
      <c r="J52">
        <v>363</v>
      </c>
      <c r="K52">
        <v>552</v>
      </c>
      <c r="L52" t="s">
        <v>2704</v>
      </c>
      <c r="M52">
        <v>51</v>
      </c>
      <c r="N52" t="s">
        <v>2700</v>
      </c>
      <c r="O52">
        <v>185.630065823</v>
      </c>
    </row>
    <row r="53" spans="1:15">
      <c r="A53">
        <v>23</v>
      </c>
      <c r="B53" t="s">
        <v>2171</v>
      </c>
      <c r="C53" t="s">
        <v>2210</v>
      </c>
      <c r="D53" t="s">
        <v>2643</v>
      </c>
      <c r="E53" t="s">
        <v>2454</v>
      </c>
      <c r="F53" t="s">
        <v>2203</v>
      </c>
      <c r="G53" t="s">
        <v>2698</v>
      </c>
      <c r="H53" t="s">
        <v>2681</v>
      </c>
      <c r="I53">
        <v>492</v>
      </c>
      <c r="J53">
        <v>190</v>
      </c>
      <c r="K53">
        <v>456</v>
      </c>
      <c r="L53" t="s">
        <v>2705</v>
      </c>
      <c r="M53">
        <v>51</v>
      </c>
      <c r="N53" t="s">
        <v>2700</v>
      </c>
      <c r="O53">
        <v>185.630065823</v>
      </c>
    </row>
    <row r="54" spans="1:15">
      <c r="A54">
        <v>24</v>
      </c>
      <c r="B54" t="s">
        <v>2171</v>
      </c>
      <c r="C54" t="s">
        <v>2211</v>
      </c>
      <c r="D54" t="s">
        <v>2643</v>
      </c>
      <c r="E54" t="s">
        <v>2454</v>
      </c>
      <c r="F54" t="s">
        <v>2203</v>
      </c>
      <c r="G54" t="s">
        <v>2698</v>
      </c>
      <c r="H54" t="s">
        <v>2681</v>
      </c>
      <c r="I54">
        <v>813</v>
      </c>
      <c r="J54">
        <v>144</v>
      </c>
      <c r="K54">
        <v>421</v>
      </c>
      <c r="L54" t="s">
        <v>2706</v>
      </c>
      <c r="M54">
        <v>51</v>
      </c>
      <c r="N54" t="s">
        <v>2700</v>
      </c>
      <c r="O54">
        <v>185.630065823</v>
      </c>
    </row>
    <row r="55" spans="1:15">
      <c r="A55">
        <v>25</v>
      </c>
      <c r="B55" t="s">
        <v>2171</v>
      </c>
      <c r="C55" t="s">
        <v>2212</v>
      </c>
      <c r="D55" t="s">
        <v>2643</v>
      </c>
      <c r="E55" t="s">
        <v>2454</v>
      </c>
      <c r="F55" t="s">
        <v>2213</v>
      </c>
      <c r="G55" t="s">
        <v>2698</v>
      </c>
      <c r="H55" t="s">
        <v>2681</v>
      </c>
      <c r="I55">
        <v>406</v>
      </c>
      <c r="J55">
        <v>279</v>
      </c>
      <c r="K55">
        <v>864</v>
      </c>
      <c r="L55" t="s">
        <v>2707</v>
      </c>
      <c r="M55">
        <v>51</v>
      </c>
      <c r="N55" t="s">
        <v>2708</v>
      </c>
      <c r="O55">
        <v>185.630065823</v>
      </c>
    </row>
    <row r="56" spans="1:15">
      <c r="A56">
        <v>26</v>
      </c>
      <c r="B56" t="s">
        <v>2171</v>
      </c>
      <c r="C56" t="s">
        <v>2214</v>
      </c>
      <c r="D56" t="s">
        <v>2643</v>
      </c>
      <c r="E56" t="s">
        <v>2454</v>
      </c>
      <c r="F56" t="s">
        <v>2213</v>
      </c>
      <c r="G56" t="s">
        <v>2698</v>
      </c>
      <c r="H56" t="s">
        <v>2681</v>
      </c>
      <c r="I56">
        <v>651</v>
      </c>
      <c r="J56">
        <v>148</v>
      </c>
      <c r="K56">
        <v>506</v>
      </c>
      <c r="L56" t="s">
        <v>2709</v>
      </c>
      <c r="M56">
        <v>51</v>
      </c>
      <c r="N56" t="s">
        <v>2708</v>
      </c>
      <c r="O56">
        <v>185.630065823</v>
      </c>
    </row>
    <row r="57" spans="1:15">
      <c r="A57">
        <v>27</v>
      </c>
      <c r="B57" t="s">
        <v>2171</v>
      </c>
      <c r="C57" t="s">
        <v>2215</v>
      </c>
      <c r="D57" t="s">
        <v>2643</v>
      </c>
      <c r="E57" t="s">
        <v>2454</v>
      </c>
      <c r="F57" t="s">
        <v>2213</v>
      </c>
      <c r="G57" t="s">
        <v>2698</v>
      </c>
      <c r="H57" t="s">
        <v>2681</v>
      </c>
      <c r="I57">
        <v>583</v>
      </c>
      <c r="J57">
        <v>112</v>
      </c>
      <c r="K57">
        <v>449</v>
      </c>
      <c r="L57" t="s">
        <v>2710</v>
      </c>
      <c r="M57">
        <v>51</v>
      </c>
      <c r="N57" t="s">
        <v>2708</v>
      </c>
      <c r="O57">
        <v>185.630065823</v>
      </c>
    </row>
    <row r="58" spans="1:15">
      <c r="A58">
        <v>28</v>
      </c>
      <c r="B58" t="s">
        <v>2171</v>
      </c>
      <c r="C58" t="s">
        <v>2216</v>
      </c>
      <c r="D58" t="s">
        <v>2643</v>
      </c>
      <c r="E58" t="s">
        <v>2454</v>
      </c>
      <c r="F58" t="s">
        <v>2213</v>
      </c>
      <c r="G58" t="s">
        <v>2698</v>
      </c>
      <c r="H58" t="s">
        <v>2681</v>
      </c>
      <c r="I58">
        <v>702</v>
      </c>
      <c r="J58">
        <v>436</v>
      </c>
      <c r="K58">
        <v>502</v>
      </c>
      <c r="L58" t="s">
        <v>2711</v>
      </c>
      <c r="M58">
        <v>51</v>
      </c>
      <c r="N58" t="s">
        <v>2708</v>
      </c>
      <c r="O58">
        <v>185.630065823</v>
      </c>
    </row>
    <row r="59" spans="1:15">
      <c r="A59">
        <v>29</v>
      </c>
      <c r="B59" t="s">
        <v>2171</v>
      </c>
      <c r="C59" t="s">
        <v>2217</v>
      </c>
      <c r="D59" t="s">
        <v>2643</v>
      </c>
      <c r="E59" t="s">
        <v>2454</v>
      </c>
      <c r="F59" t="s">
        <v>2213</v>
      </c>
      <c r="G59" t="s">
        <v>2698</v>
      </c>
      <c r="H59" t="s">
        <v>2681</v>
      </c>
      <c r="I59">
        <v>838</v>
      </c>
      <c r="J59">
        <v>386</v>
      </c>
      <c r="K59">
        <v>345</v>
      </c>
      <c r="L59" t="s">
        <v>2712</v>
      </c>
      <c r="M59">
        <v>51</v>
      </c>
      <c r="N59" t="s">
        <v>2708</v>
      </c>
      <c r="O59">
        <v>185.630065823</v>
      </c>
    </row>
    <row r="60" spans="1:15">
      <c r="A60">
        <v>30</v>
      </c>
      <c r="B60" t="s">
        <v>2171</v>
      </c>
      <c r="C60" t="s">
        <v>2218</v>
      </c>
      <c r="D60" t="s">
        <v>2643</v>
      </c>
      <c r="E60" t="s">
        <v>2454</v>
      </c>
      <c r="F60" t="s">
        <v>2213</v>
      </c>
      <c r="G60" t="s">
        <v>2698</v>
      </c>
      <c r="H60" t="s">
        <v>2681</v>
      </c>
      <c r="I60">
        <v>518</v>
      </c>
      <c r="J60">
        <v>507</v>
      </c>
      <c r="K60">
        <v>500</v>
      </c>
      <c r="L60" t="s">
        <v>2713</v>
      </c>
      <c r="M60">
        <v>51</v>
      </c>
      <c r="N60" t="s">
        <v>2708</v>
      </c>
      <c r="O60">
        <v>185.630065823</v>
      </c>
    </row>
    <row r="61" spans="1:15">
      <c r="A61">
        <v>31</v>
      </c>
      <c r="B61" t="s">
        <v>2171</v>
      </c>
      <c r="C61" t="s">
        <v>2219</v>
      </c>
      <c r="D61" t="s">
        <v>2643</v>
      </c>
      <c r="E61" t="s">
        <v>2454</v>
      </c>
      <c r="F61" t="s">
        <v>2213</v>
      </c>
      <c r="G61" t="s">
        <v>2698</v>
      </c>
      <c r="H61" t="s">
        <v>2681</v>
      </c>
      <c r="I61">
        <v>404</v>
      </c>
      <c r="J61">
        <v>141</v>
      </c>
      <c r="K61">
        <v>521</v>
      </c>
      <c r="L61" t="s">
        <v>2714</v>
      </c>
      <c r="M61">
        <v>51</v>
      </c>
      <c r="N61" t="s">
        <v>2708</v>
      </c>
      <c r="O61">
        <v>185.630065823</v>
      </c>
    </row>
    <row r="62" spans="1:15">
      <c r="A62">
        <v>32</v>
      </c>
      <c r="B62" t="s">
        <v>2171</v>
      </c>
      <c r="C62" t="s">
        <v>2220</v>
      </c>
      <c r="D62" t="s">
        <v>2643</v>
      </c>
      <c r="E62" t="s">
        <v>2454</v>
      </c>
      <c r="F62" t="s">
        <v>2213</v>
      </c>
      <c r="G62" t="s">
        <v>2698</v>
      </c>
      <c r="H62" t="s">
        <v>2681</v>
      </c>
      <c r="I62">
        <v>527</v>
      </c>
      <c r="J62">
        <v>396</v>
      </c>
      <c r="K62">
        <v>201</v>
      </c>
      <c r="L62" t="s">
        <v>2715</v>
      </c>
      <c r="M62">
        <v>51</v>
      </c>
      <c r="N62" t="s">
        <v>2708</v>
      </c>
      <c r="O62">
        <v>185.630065823</v>
      </c>
    </row>
    <row r="63" spans="1:15">
      <c r="A63">
        <v>65</v>
      </c>
      <c r="B63" t="s">
        <v>2271</v>
      </c>
      <c r="C63" t="s">
        <v>2272</v>
      </c>
      <c r="D63" t="s">
        <v>2643</v>
      </c>
      <c r="E63" t="s">
        <v>2454</v>
      </c>
      <c r="F63" t="s">
        <v>2273</v>
      </c>
      <c r="G63" t="s">
        <v>2698</v>
      </c>
      <c r="H63" t="s">
        <v>2681</v>
      </c>
      <c r="I63">
        <v>614</v>
      </c>
      <c r="J63">
        <v>525</v>
      </c>
      <c r="K63">
        <v>700</v>
      </c>
      <c r="L63" t="s">
        <v>2753</v>
      </c>
      <c r="M63">
        <v>51</v>
      </c>
      <c r="N63" t="s">
        <v>2754</v>
      </c>
      <c r="O63">
        <v>185.630065823</v>
      </c>
    </row>
    <row r="64" spans="1:15">
      <c r="A64">
        <v>66</v>
      </c>
      <c r="B64" t="s">
        <v>2271</v>
      </c>
      <c r="C64" t="s">
        <v>2274</v>
      </c>
      <c r="D64" t="s">
        <v>2643</v>
      </c>
      <c r="E64" t="s">
        <v>2454</v>
      </c>
      <c r="F64" t="s">
        <v>2273</v>
      </c>
      <c r="G64" t="s">
        <v>2698</v>
      </c>
      <c r="H64" t="s">
        <v>2681</v>
      </c>
      <c r="I64">
        <v>282</v>
      </c>
      <c r="J64">
        <v>150</v>
      </c>
      <c r="K64">
        <v>760</v>
      </c>
      <c r="L64" t="s">
        <v>2755</v>
      </c>
      <c r="M64">
        <v>51</v>
      </c>
      <c r="N64" t="s">
        <v>2754</v>
      </c>
      <c r="O64">
        <v>185.630065823</v>
      </c>
    </row>
    <row r="65" spans="1:15">
      <c r="A65">
        <v>67</v>
      </c>
      <c r="B65" t="s">
        <v>2271</v>
      </c>
      <c r="C65" t="s">
        <v>2275</v>
      </c>
      <c r="D65" t="s">
        <v>2643</v>
      </c>
      <c r="E65" t="s">
        <v>2454</v>
      </c>
      <c r="F65" t="s">
        <v>2273</v>
      </c>
      <c r="G65" t="s">
        <v>2698</v>
      </c>
      <c r="H65" t="s">
        <v>2681</v>
      </c>
      <c r="I65">
        <v>450</v>
      </c>
      <c r="J65">
        <v>165</v>
      </c>
      <c r="K65">
        <v>660</v>
      </c>
      <c r="L65" t="s">
        <v>2756</v>
      </c>
      <c r="M65">
        <v>51</v>
      </c>
      <c r="N65" t="s">
        <v>2754</v>
      </c>
      <c r="O65">
        <v>185.630065823</v>
      </c>
    </row>
    <row r="66" spans="1:15">
      <c r="A66">
        <v>68</v>
      </c>
      <c r="B66" t="s">
        <v>2271</v>
      </c>
      <c r="C66" t="s">
        <v>2276</v>
      </c>
      <c r="D66" t="s">
        <v>2643</v>
      </c>
      <c r="E66" t="s">
        <v>2454</v>
      </c>
      <c r="F66" t="s">
        <v>2273</v>
      </c>
      <c r="G66" t="s">
        <v>2698</v>
      </c>
      <c r="H66" t="s">
        <v>2681</v>
      </c>
      <c r="I66">
        <v>269</v>
      </c>
      <c r="J66">
        <v>129</v>
      </c>
      <c r="K66">
        <v>477</v>
      </c>
      <c r="L66" t="s">
        <v>2757</v>
      </c>
      <c r="M66">
        <v>51</v>
      </c>
      <c r="N66" t="s">
        <v>2754</v>
      </c>
      <c r="O66">
        <v>185.630065823</v>
      </c>
    </row>
    <row r="67" spans="1:15">
      <c r="A67">
        <v>69</v>
      </c>
      <c r="B67" t="s">
        <v>2271</v>
      </c>
      <c r="C67" t="s">
        <v>2277</v>
      </c>
      <c r="D67" t="s">
        <v>2643</v>
      </c>
      <c r="E67" t="s">
        <v>2454</v>
      </c>
      <c r="F67" t="s">
        <v>2273</v>
      </c>
      <c r="G67" t="s">
        <v>2698</v>
      </c>
      <c r="H67" t="s">
        <v>2681</v>
      </c>
      <c r="I67">
        <v>448</v>
      </c>
      <c r="J67">
        <v>414</v>
      </c>
      <c r="K67">
        <v>386</v>
      </c>
      <c r="L67" t="s">
        <v>2758</v>
      </c>
      <c r="M67">
        <v>51</v>
      </c>
      <c r="N67" t="s">
        <v>2754</v>
      </c>
      <c r="O67">
        <v>185.630065823</v>
      </c>
    </row>
    <row r="68" spans="1:15">
      <c r="A68">
        <v>70</v>
      </c>
      <c r="B68" t="s">
        <v>2271</v>
      </c>
      <c r="C68" t="s">
        <v>2278</v>
      </c>
      <c r="D68" t="s">
        <v>2643</v>
      </c>
      <c r="E68" t="s">
        <v>2454</v>
      </c>
      <c r="F68" t="s">
        <v>2273</v>
      </c>
      <c r="G68" t="s">
        <v>2698</v>
      </c>
      <c r="H68" t="s">
        <v>2681</v>
      </c>
      <c r="I68">
        <v>358</v>
      </c>
      <c r="J68">
        <v>151</v>
      </c>
      <c r="K68">
        <v>414</v>
      </c>
      <c r="L68" t="s">
        <v>2759</v>
      </c>
      <c r="M68">
        <v>51</v>
      </c>
      <c r="N68" t="s">
        <v>2754</v>
      </c>
      <c r="O68">
        <v>185.630065823</v>
      </c>
    </row>
    <row r="69" spans="1:15">
      <c r="A69">
        <v>71</v>
      </c>
      <c r="B69" t="s">
        <v>2271</v>
      </c>
      <c r="C69" t="s">
        <v>2279</v>
      </c>
      <c r="D69" t="s">
        <v>2643</v>
      </c>
      <c r="E69" t="s">
        <v>2454</v>
      </c>
      <c r="F69" t="s">
        <v>2273</v>
      </c>
      <c r="G69" t="s">
        <v>2698</v>
      </c>
      <c r="H69" t="s">
        <v>2681</v>
      </c>
      <c r="I69">
        <v>511</v>
      </c>
      <c r="J69">
        <v>95</v>
      </c>
      <c r="K69">
        <v>459</v>
      </c>
      <c r="L69" t="s">
        <v>2760</v>
      </c>
      <c r="M69">
        <v>51</v>
      </c>
      <c r="N69" t="s">
        <v>2754</v>
      </c>
      <c r="O69">
        <v>185.630065823</v>
      </c>
    </row>
    <row r="70" spans="1:15">
      <c r="A70">
        <v>72</v>
      </c>
      <c r="B70" t="s">
        <v>2271</v>
      </c>
      <c r="C70" t="s">
        <v>2280</v>
      </c>
      <c r="D70" t="s">
        <v>2643</v>
      </c>
      <c r="E70" t="s">
        <v>2454</v>
      </c>
      <c r="F70" t="s">
        <v>2273</v>
      </c>
      <c r="G70" t="s">
        <v>2698</v>
      </c>
      <c r="H70" t="s">
        <v>2681</v>
      </c>
      <c r="I70">
        <v>383</v>
      </c>
      <c r="J70">
        <v>546</v>
      </c>
      <c r="K70">
        <v>627</v>
      </c>
      <c r="L70" t="s">
        <v>2761</v>
      </c>
      <c r="M70">
        <v>51</v>
      </c>
      <c r="N70" t="s">
        <v>2754</v>
      </c>
      <c r="O70">
        <v>185.630065823</v>
      </c>
    </row>
    <row r="71" spans="1:15">
      <c r="A71">
        <v>73</v>
      </c>
      <c r="B71" t="s">
        <v>2271</v>
      </c>
      <c r="C71" t="s">
        <v>2281</v>
      </c>
      <c r="D71" t="s">
        <v>2643</v>
      </c>
      <c r="E71" t="s">
        <v>2454</v>
      </c>
      <c r="F71" t="s">
        <v>2282</v>
      </c>
      <c r="G71" t="s">
        <v>2698</v>
      </c>
      <c r="H71" t="s">
        <v>2681</v>
      </c>
      <c r="I71">
        <v>549</v>
      </c>
      <c r="J71">
        <v>438</v>
      </c>
      <c r="K71">
        <v>498</v>
      </c>
      <c r="L71" t="s">
        <v>2762</v>
      </c>
      <c r="M71">
        <v>51</v>
      </c>
      <c r="N71" t="s">
        <v>2763</v>
      </c>
      <c r="O71">
        <v>185.630065823</v>
      </c>
    </row>
    <row r="72" spans="1:15">
      <c r="A72">
        <v>74</v>
      </c>
      <c r="B72" t="s">
        <v>2271</v>
      </c>
      <c r="C72" t="s">
        <v>2283</v>
      </c>
      <c r="D72" t="s">
        <v>2643</v>
      </c>
      <c r="E72" t="s">
        <v>2454</v>
      </c>
      <c r="F72" t="s">
        <v>2282</v>
      </c>
      <c r="G72" t="s">
        <v>2698</v>
      </c>
      <c r="H72" t="s">
        <v>2681</v>
      </c>
      <c r="I72">
        <v>605</v>
      </c>
      <c r="J72">
        <v>122</v>
      </c>
      <c r="K72">
        <v>579</v>
      </c>
      <c r="L72" t="s">
        <v>2764</v>
      </c>
      <c r="M72">
        <v>51</v>
      </c>
      <c r="N72" t="s">
        <v>2763</v>
      </c>
      <c r="O72">
        <v>185.630065823</v>
      </c>
    </row>
    <row r="73" spans="1:15">
      <c r="A73">
        <v>75</v>
      </c>
      <c r="B73" t="s">
        <v>2271</v>
      </c>
      <c r="C73" t="s">
        <v>2284</v>
      </c>
      <c r="D73" t="s">
        <v>2643</v>
      </c>
      <c r="E73" t="s">
        <v>2454</v>
      </c>
      <c r="F73" t="s">
        <v>2282</v>
      </c>
      <c r="G73" t="s">
        <v>2698</v>
      </c>
      <c r="H73" t="s">
        <v>2681</v>
      </c>
      <c r="I73">
        <v>408</v>
      </c>
      <c r="J73">
        <v>404</v>
      </c>
      <c r="K73">
        <v>373</v>
      </c>
      <c r="L73" t="s">
        <v>2765</v>
      </c>
      <c r="M73">
        <v>51</v>
      </c>
      <c r="N73" t="s">
        <v>2763</v>
      </c>
      <c r="O73">
        <v>185.630065823</v>
      </c>
    </row>
    <row r="74" spans="1:15">
      <c r="A74">
        <v>76</v>
      </c>
      <c r="B74" t="s">
        <v>2271</v>
      </c>
      <c r="C74" t="s">
        <v>2285</v>
      </c>
      <c r="D74" t="s">
        <v>2643</v>
      </c>
      <c r="E74" t="s">
        <v>2454</v>
      </c>
      <c r="F74" t="s">
        <v>2282</v>
      </c>
      <c r="G74" t="s">
        <v>2698</v>
      </c>
      <c r="H74" t="s">
        <v>2681</v>
      </c>
      <c r="I74">
        <v>416</v>
      </c>
      <c r="J74">
        <v>501</v>
      </c>
      <c r="K74">
        <v>603</v>
      </c>
      <c r="L74" t="s">
        <v>2766</v>
      </c>
      <c r="M74">
        <v>51</v>
      </c>
      <c r="N74" t="s">
        <v>2763</v>
      </c>
      <c r="O74">
        <v>185.630065823</v>
      </c>
    </row>
    <row r="75" spans="1:15">
      <c r="A75">
        <v>77</v>
      </c>
      <c r="B75" t="s">
        <v>2271</v>
      </c>
      <c r="C75" t="s">
        <v>2286</v>
      </c>
      <c r="D75" t="s">
        <v>2643</v>
      </c>
      <c r="E75" t="s">
        <v>2454</v>
      </c>
      <c r="F75" t="s">
        <v>2282</v>
      </c>
      <c r="G75" t="s">
        <v>2698</v>
      </c>
      <c r="H75" t="s">
        <v>2681</v>
      </c>
      <c r="I75">
        <v>594</v>
      </c>
      <c r="J75">
        <v>137</v>
      </c>
      <c r="K75">
        <v>509</v>
      </c>
      <c r="L75" t="s">
        <v>2767</v>
      </c>
      <c r="M75">
        <v>51</v>
      </c>
      <c r="N75" t="s">
        <v>2763</v>
      </c>
      <c r="O75">
        <v>185.630065823</v>
      </c>
    </row>
    <row r="76" spans="1:15">
      <c r="A76">
        <v>78</v>
      </c>
      <c r="B76" t="s">
        <v>2271</v>
      </c>
      <c r="C76" t="s">
        <v>2287</v>
      </c>
      <c r="D76" t="s">
        <v>2643</v>
      </c>
      <c r="E76" t="s">
        <v>2454</v>
      </c>
      <c r="F76" t="s">
        <v>2282</v>
      </c>
      <c r="G76" t="s">
        <v>2698</v>
      </c>
      <c r="H76" t="s">
        <v>2681</v>
      </c>
      <c r="I76">
        <v>460</v>
      </c>
      <c r="J76">
        <v>278</v>
      </c>
      <c r="K76">
        <v>446</v>
      </c>
      <c r="L76" t="s">
        <v>2768</v>
      </c>
      <c r="M76">
        <v>51</v>
      </c>
      <c r="N76" t="s">
        <v>2763</v>
      </c>
      <c r="O76">
        <v>185.630065823</v>
      </c>
    </row>
    <row r="77" spans="1:15">
      <c r="A77">
        <v>79</v>
      </c>
      <c r="B77" t="s">
        <v>2271</v>
      </c>
      <c r="C77" t="s">
        <v>2288</v>
      </c>
      <c r="D77" t="s">
        <v>2643</v>
      </c>
      <c r="E77" t="s">
        <v>2454</v>
      </c>
      <c r="F77" t="s">
        <v>2282</v>
      </c>
      <c r="G77" t="s">
        <v>2698</v>
      </c>
      <c r="H77" t="s">
        <v>2681</v>
      </c>
      <c r="I77">
        <v>217</v>
      </c>
      <c r="J77">
        <v>235</v>
      </c>
      <c r="K77">
        <v>249</v>
      </c>
      <c r="L77" t="s">
        <v>2769</v>
      </c>
      <c r="M77">
        <v>51</v>
      </c>
      <c r="N77" t="s">
        <v>2763</v>
      </c>
      <c r="O77">
        <v>185.630065823</v>
      </c>
    </row>
    <row r="78" spans="1:15">
      <c r="A78">
        <v>80</v>
      </c>
      <c r="B78" t="s">
        <v>2271</v>
      </c>
      <c r="C78" t="s">
        <v>2289</v>
      </c>
      <c r="D78" t="s">
        <v>2643</v>
      </c>
      <c r="E78" t="s">
        <v>2454</v>
      </c>
      <c r="F78" t="s">
        <v>2282</v>
      </c>
      <c r="G78" t="s">
        <v>2698</v>
      </c>
      <c r="H78" t="s">
        <v>2681</v>
      </c>
      <c r="I78">
        <v>607</v>
      </c>
      <c r="J78">
        <v>181</v>
      </c>
      <c r="K78">
        <v>474</v>
      </c>
      <c r="L78" t="s">
        <v>2770</v>
      </c>
      <c r="M78">
        <v>51</v>
      </c>
      <c r="N78" t="s">
        <v>2763</v>
      </c>
      <c r="O78">
        <v>185.630065823</v>
      </c>
    </row>
    <row r="79" spans="1:15">
      <c r="A79">
        <v>177</v>
      </c>
      <c r="B79" t="s">
        <v>2380</v>
      </c>
      <c r="C79" t="s">
        <v>2398</v>
      </c>
      <c r="D79" t="s">
        <v>2454</v>
      </c>
      <c r="E79" t="s">
        <v>2454</v>
      </c>
      <c r="F79" t="s">
        <v>2291</v>
      </c>
      <c r="G79" t="s">
        <v>2862</v>
      </c>
      <c r="H79" t="s">
        <v>2843</v>
      </c>
      <c r="I79">
        <v>362</v>
      </c>
      <c r="J79">
        <v>262</v>
      </c>
      <c r="K79">
        <v>483</v>
      </c>
      <c r="L79" t="s">
        <v>2882</v>
      </c>
      <c r="M79">
        <v>52</v>
      </c>
      <c r="N79" t="s">
        <v>2883</v>
      </c>
      <c r="O79">
        <v>188.24043152799999</v>
      </c>
    </row>
    <row r="80" spans="1:15">
      <c r="A80">
        <v>178</v>
      </c>
      <c r="B80" t="s">
        <v>2380</v>
      </c>
      <c r="C80" t="s">
        <v>2399</v>
      </c>
      <c r="D80" t="s">
        <v>2454</v>
      </c>
      <c r="E80" t="s">
        <v>2454</v>
      </c>
      <c r="F80" t="s">
        <v>2291</v>
      </c>
      <c r="G80" t="s">
        <v>2862</v>
      </c>
      <c r="H80" t="s">
        <v>2843</v>
      </c>
      <c r="I80">
        <v>781</v>
      </c>
      <c r="J80">
        <v>309</v>
      </c>
      <c r="K80">
        <v>893</v>
      </c>
      <c r="L80" t="s">
        <v>2884</v>
      </c>
      <c r="M80">
        <v>52</v>
      </c>
      <c r="N80" t="s">
        <v>2883</v>
      </c>
      <c r="O80">
        <v>188.24043152799999</v>
      </c>
    </row>
    <row r="81" spans="1:15">
      <c r="A81">
        <v>179</v>
      </c>
      <c r="B81" t="s">
        <v>2380</v>
      </c>
      <c r="C81" t="s">
        <v>2400</v>
      </c>
      <c r="D81" t="s">
        <v>2454</v>
      </c>
      <c r="E81" t="s">
        <v>2454</v>
      </c>
      <c r="F81" t="s">
        <v>2291</v>
      </c>
      <c r="G81" t="s">
        <v>2862</v>
      </c>
      <c r="H81" t="s">
        <v>2843</v>
      </c>
      <c r="I81">
        <v>451</v>
      </c>
      <c r="J81">
        <v>32</v>
      </c>
      <c r="K81">
        <v>826</v>
      </c>
      <c r="L81" t="s">
        <v>2885</v>
      </c>
      <c r="M81">
        <v>52</v>
      </c>
      <c r="N81" t="s">
        <v>2883</v>
      </c>
      <c r="O81">
        <v>188.24043152799999</v>
      </c>
    </row>
    <row r="82" spans="1:15">
      <c r="A82">
        <v>180</v>
      </c>
      <c r="B82" t="s">
        <v>2380</v>
      </c>
      <c r="C82" t="s">
        <v>2401</v>
      </c>
      <c r="D82" t="s">
        <v>2454</v>
      </c>
      <c r="E82" t="s">
        <v>2454</v>
      </c>
      <c r="F82" t="s">
        <v>2291</v>
      </c>
      <c r="G82" t="s">
        <v>2862</v>
      </c>
      <c r="H82" t="s">
        <v>2843</v>
      </c>
      <c r="I82">
        <v>360</v>
      </c>
      <c r="J82">
        <v>268</v>
      </c>
      <c r="K82">
        <v>783</v>
      </c>
      <c r="L82" t="s">
        <v>2886</v>
      </c>
      <c r="M82">
        <v>52</v>
      </c>
      <c r="N82" t="s">
        <v>2883</v>
      </c>
      <c r="O82">
        <v>188.24043152799999</v>
      </c>
    </row>
    <row r="83" spans="1:15">
      <c r="A83">
        <v>181</v>
      </c>
      <c r="B83" t="s">
        <v>2380</v>
      </c>
      <c r="C83" t="s">
        <v>2402</v>
      </c>
      <c r="D83" t="s">
        <v>2454</v>
      </c>
      <c r="E83" t="s">
        <v>2454</v>
      </c>
      <c r="F83" t="s">
        <v>2291</v>
      </c>
      <c r="G83" t="s">
        <v>2862</v>
      </c>
      <c r="H83" t="s">
        <v>2843</v>
      </c>
      <c r="I83">
        <v>458</v>
      </c>
      <c r="J83">
        <v>587</v>
      </c>
      <c r="K83">
        <v>551</v>
      </c>
      <c r="L83" t="s">
        <v>2887</v>
      </c>
      <c r="M83">
        <v>52</v>
      </c>
      <c r="N83" t="s">
        <v>2883</v>
      </c>
      <c r="O83">
        <v>188.24043152799999</v>
      </c>
    </row>
    <row r="84" spans="1:15">
      <c r="A84">
        <v>182</v>
      </c>
      <c r="B84" t="s">
        <v>2380</v>
      </c>
      <c r="C84" t="s">
        <v>2403</v>
      </c>
      <c r="D84" t="s">
        <v>2454</v>
      </c>
      <c r="E84" t="s">
        <v>2454</v>
      </c>
      <c r="F84" t="s">
        <v>2291</v>
      </c>
      <c r="G84" t="s">
        <v>2862</v>
      </c>
      <c r="H84" t="s">
        <v>2843</v>
      </c>
      <c r="I84">
        <v>403</v>
      </c>
      <c r="J84">
        <v>444</v>
      </c>
      <c r="K84">
        <v>818</v>
      </c>
      <c r="L84" t="s">
        <v>2888</v>
      </c>
      <c r="M84">
        <v>52</v>
      </c>
      <c r="N84" t="s">
        <v>2883</v>
      </c>
      <c r="O84">
        <v>188.24043152799999</v>
      </c>
    </row>
    <row r="85" spans="1:15">
      <c r="A85">
        <v>183</v>
      </c>
      <c r="B85" t="s">
        <v>2380</v>
      </c>
      <c r="C85" t="s">
        <v>2404</v>
      </c>
      <c r="D85" t="s">
        <v>2454</v>
      </c>
      <c r="E85" t="s">
        <v>2454</v>
      </c>
      <c r="F85" t="s">
        <v>2291</v>
      </c>
      <c r="G85" t="s">
        <v>2862</v>
      </c>
      <c r="H85" t="s">
        <v>2843</v>
      </c>
      <c r="I85">
        <v>585</v>
      </c>
      <c r="J85">
        <v>568</v>
      </c>
      <c r="K85">
        <v>896</v>
      </c>
      <c r="L85" t="s">
        <v>2889</v>
      </c>
      <c r="M85">
        <v>52</v>
      </c>
      <c r="N85" t="s">
        <v>2883</v>
      </c>
      <c r="O85">
        <v>188.24043152799999</v>
      </c>
    </row>
    <row r="86" spans="1:15">
      <c r="A86">
        <v>184</v>
      </c>
      <c r="B86" t="s">
        <v>2380</v>
      </c>
      <c r="C86" t="s">
        <v>2405</v>
      </c>
      <c r="D86" t="s">
        <v>2454</v>
      </c>
      <c r="E86" t="s">
        <v>2454</v>
      </c>
      <c r="F86" t="s">
        <v>2291</v>
      </c>
      <c r="G86" t="s">
        <v>2862</v>
      </c>
      <c r="H86" t="s">
        <v>2843</v>
      </c>
      <c r="I86">
        <v>669</v>
      </c>
      <c r="J86">
        <v>541</v>
      </c>
      <c r="K86">
        <v>337</v>
      </c>
      <c r="L86" t="s">
        <v>2890</v>
      </c>
      <c r="M86">
        <v>52</v>
      </c>
      <c r="N86" t="s">
        <v>2883</v>
      </c>
      <c r="O86">
        <v>188.24043152799999</v>
      </c>
    </row>
    <row r="87" spans="1:15">
      <c r="A87">
        <v>185</v>
      </c>
      <c r="B87" t="s">
        <v>2380</v>
      </c>
      <c r="C87" t="s">
        <v>2407</v>
      </c>
      <c r="D87" t="s">
        <v>2454</v>
      </c>
      <c r="E87" t="s">
        <v>2454</v>
      </c>
      <c r="F87" t="s">
        <v>2301</v>
      </c>
      <c r="G87" t="s">
        <v>2862</v>
      </c>
      <c r="H87" t="s">
        <v>2843</v>
      </c>
      <c r="I87">
        <v>423</v>
      </c>
      <c r="J87">
        <v>51</v>
      </c>
      <c r="K87">
        <v>564</v>
      </c>
      <c r="L87" t="s">
        <v>2891</v>
      </c>
      <c r="M87">
        <v>52</v>
      </c>
      <c r="N87" t="s">
        <v>2892</v>
      </c>
      <c r="O87">
        <v>188.24043152799999</v>
      </c>
    </row>
    <row r="88" spans="1:15">
      <c r="A88">
        <v>186</v>
      </c>
      <c r="B88" t="s">
        <v>2380</v>
      </c>
      <c r="C88" t="s">
        <v>2408</v>
      </c>
      <c r="D88" t="s">
        <v>2454</v>
      </c>
      <c r="E88" t="s">
        <v>2454</v>
      </c>
      <c r="F88" t="s">
        <v>2301</v>
      </c>
      <c r="G88" t="s">
        <v>2862</v>
      </c>
      <c r="H88" t="s">
        <v>2843</v>
      </c>
      <c r="I88">
        <v>544</v>
      </c>
      <c r="J88">
        <v>557</v>
      </c>
      <c r="K88">
        <v>608</v>
      </c>
      <c r="L88" t="s">
        <v>2893</v>
      </c>
      <c r="M88">
        <v>52</v>
      </c>
      <c r="N88" t="s">
        <v>2892</v>
      </c>
      <c r="O88">
        <v>188.24043152799999</v>
      </c>
    </row>
    <row r="89" spans="1:15">
      <c r="A89">
        <v>187</v>
      </c>
      <c r="B89" t="s">
        <v>2380</v>
      </c>
      <c r="C89" t="s">
        <v>2409</v>
      </c>
      <c r="D89" t="s">
        <v>2454</v>
      </c>
      <c r="E89" t="s">
        <v>2454</v>
      </c>
      <c r="F89" t="s">
        <v>2301</v>
      </c>
      <c r="G89" t="s">
        <v>2862</v>
      </c>
      <c r="H89" t="s">
        <v>2843</v>
      </c>
      <c r="I89">
        <v>620</v>
      </c>
      <c r="J89">
        <v>427</v>
      </c>
      <c r="K89">
        <v>365</v>
      </c>
      <c r="L89" t="s">
        <v>2894</v>
      </c>
      <c r="M89">
        <v>52</v>
      </c>
      <c r="N89" t="s">
        <v>2892</v>
      </c>
      <c r="O89">
        <v>188.24043152799999</v>
      </c>
    </row>
    <row r="90" spans="1:15">
      <c r="A90">
        <v>188</v>
      </c>
      <c r="B90" t="s">
        <v>2380</v>
      </c>
      <c r="C90" t="s">
        <v>2410</v>
      </c>
      <c r="D90" t="s">
        <v>2454</v>
      </c>
      <c r="E90" t="s">
        <v>2454</v>
      </c>
      <c r="F90" t="s">
        <v>2301</v>
      </c>
      <c r="G90" t="s">
        <v>2862</v>
      </c>
      <c r="H90" t="s">
        <v>2843</v>
      </c>
      <c r="I90">
        <v>420</v>
      </c>
      <c r="J90">
        <v>223</v>
      </c>
      <c r="K90">
        <v>375</v>
      </c>
      <c r="L90" t="s">
        <v>2895</v>
      </c>
      <c r="M90">
        <v>52</v>
      </c>
      <c r="N90" t="s">
        <v>2892</v>
      </c>
      <c r="O90">
        <v>188.24043152799999</v>
      </c>
    </row>
    <row r="91" spans="1:15">
      <c r="A91">
        <v>189</v>
      </c>
      <c r="B91" t="s">
        <v>2380</v>
      </c>
      <c r="C91" t="s">
        <v>2412</v>
      </c>
      <c r="D91" t="s">
        <v>2454</v>
      </c>
      <c r="E91" t="s">
        <v>2454</v>
      </c>
      <c r="F91" t="s">
        <v>2301</v>
      </c>
      <c r="G91" t="s">
        <v>2862</v>
      </c>
      <c r="H91" t="s">
        <v>2843</v>
      </c>
      <c r="I91">
        <v>367</v>
      </c>
      <c r="J91">
        <v>354</v>
      </c>
      <c r="K91">
        <v>537</v>
      </c>
      <c r="L91" t="s">
        <v>2896</v>
      </c>
      <c r="M91">
        <v>52</v>
      </c>
      <c r="N91" t="s">
        <v>2892</v>
      </c>
      <c r="O91">
        <v>188.24043152799999</v>
      </c>
    </row>
    <row r="92" spans="1:15">
      <c r="A92">
        <v>190</v>
      </c>
      <c r="B92" t="s">
        <v>2380</v>
      </c>
      <c r="C92" t="s">
        <v>2413</v>
      </c>
      <c r="D92" t="s">
        <v>2454</v>
      </c>
      <c r="E92" t="s">
        <v>2454</v>
      </c>
      <c r="F92" t="s">
        <v>2301</v>
      </c>
      <c r="G92" t="s">
        <v>2862</v>
      </c>
      <c r="H92" t="s">
        <v>2843</v>
      </c>
      <c r="I92">
        <v>526</v>
      </c>
      <c r="J92">
        <v>164</v>
      </c>
      <c r="K92">
        <v>393</v>
      </c>
      <c r="L92" t="s">
        <v>2897</v>
      </c>
      <c r="M92">
        <v>52</v>
      </c>
      <c r="N92" t="s">
        <v>2892</v>
      </c>
      <c r="O92">
        <v>188.24043152799999</v>
      </c>
    </row>
    <row r="93" spans="1:15">
      <c r="A93">
        <v>191</v>
      </c>
      <c r="B93" t="s">
        <v>2380</v>
      </c>
      <c r="C93" t="s">
        <v>2414</v>
      </c>
      <c r="D93" t="s">
        <v>2454</v>
      </c>
      <c r="E93" t="s">
        <v>2454</v>
      </c>
      <c r="F93" t="s">
        <v>2301</v>
      </c>
      <c r="G93" t="s">
        <v>2862</v>
      </c>
      <c r="H93" t="s">
        <v>2843</v>
      </c>
      <c r="I93">
        <v>522</v>
      </c>
      <c r="J93">
        <v>336</v>
      </c>
      <c r="K93">
        <v>417</v>
      </c>
      <c r="L93" t="s">
        <v>2898</v>
      </c>
      <c r="M93">
        <v>52</v>
      </c>
      <c r="N93" t="s">
        <v>2892</v>
      </c>
      <c r="O93">
        <v>188.24043152799999</v>
      </c>
    </row>
    <row r="94" spans="1:15">
      <c r="A94">
        <v>192</v>
      </c>
      <c r="B94" t="s">
        <v>2380</v>
      </c>
      <c r="C94" t="s">
        <v>2415</v>
      </c>
      <c r="D94" t="s">
        <v>2454</v>
      </c>
      <c r="E94" t="s">
        <v>2454</v>
      </c>
      <c r="F94" t="s">
        <v>2301</v>
      </c>
      <c r="G94" t="s">
        <v>2862</v>
      </c>
      <c r="H94" t="s">
        <v>2843</v>
      </c>
      <c r="I94">
        <v>591</v>
      </c>
      <c r="J94">
        <v>263</v>
      </c>
      <c r="K94">
        <v>297</v>
      </c>
      <c r="L94" t="s">
        <v>2899</v>
      </c>
      <c r="M94">
        <v>52</v>
      </c>
      <c r="N94" t="s">
        <v>2892</v>
      </c>
      <c r="O94">
        <v>188.24043152799999</v>
      </c>
    </row>
    <row r="95" spans="1:15">
      <c r="A95">
        <v>1</v>
      </c>
      <c r="B95" t="s">
        <v>2171</v>
      </c>
      <c r="C95" t="s">
        <v>2172</v>
      </c>
      <c r="D95" t="s">
        <v>2643</v>
      </c>
      <c r="E95" t="s">
        <v>2454</v>
      </c>
      <c r="F95" t="s">
        <v>2173</v>
      </c>
      <c r="G95" t="s">
        <v>2680</v>
      </c>
      <c r="H95" t="s">
        <v>2681</v>
      </c>
      <c r="I95">
        <v>436</v>
      </c>
      <c r="J95">
        <v>17</v>
      </c>
      <c r="K95">
        <v>752</v>
      </c>
      <c r="L95" t="s">
        <v>2682</v>
      </c>
      <c r="M95">
        <v>52</v>
      </c>
      <c r="N95" t="s">
        <v>2683</v>
      </c>
      <c r="O95">
        <v>194.43839254400001</v>
      </c>
    </row>
    <row r="96" spans="1:15">
      <c r="A96">
        <v>2</v>
      </c>
      <c r="B96" t="s">
        <v>2171</v>
      </c>
      <c r="C96" t="s">
        <v>2178</v>
      </c>
      <c r="D96" t="s">
        <v>2643</v>
      </c>
      <c r="E96" t="s">
        <v>2454</v>
      </c>
      <c r="F96" t="s">
        <v>2173</v>
      </c>
      <c r="G96" t="s">
        <v>2680</v>
      </c>
      <c r="H96" t="s">
        <v>2681</v>
      </c>
      <c r="I96">
        <v>568</v>
      </c>
      <c r="J96">
        <v>121</v>
      </c>
      <c r="K96">
        <v>737</v>
      </c>
      <c r="L96" t="s">
        <v>2684</v>
      </c>
      <c r="M96">
        <v>52</v>
      </c>
      <c r="N96" t="s">
        <v>2683</v>
      </c>
      <c r="O96">
        <v>194.43839254400001</v>
      </c>
    </row>
    <row r="97" spans="1:15">
      <c r="A97">
        <v>4</v>
      </c>
      <c r="B97" t="s">
        <v>2171</v>
      </c>
      <c r="C97" t="s">
        <v>2181</v>
      </c>
      <c r="D97" t="s">
        <v>2643</v>
      </c>
      <c r="E97" t="s">
        <v>2454</v>
      </c>
      <c r="F97" t="s">
        <v>2173</v>
      </c>
      <c r="G97" t="s">
        <v>2680</v>
      </c>
      <c r="H97" t="s">
        <v>2681</v>
      </c>
      <c r="I97">
        <v>652</v>
      </c>
      <c r="J97">
        <v>115</v>
      </c>
      <c r="K97">
        <v>532</v>
      </c>
      <c r="L97" t="s">
        <v>2685</v>
      </c>
      <c r="M97">
        <v>52</v>
      </c>
      <c r="N97" t="s">
        <v>2683</v>
      </c>
      <c r="O97">
        <v>194.43839254400001</v>
      </c>
    </row>
    <row r="98" spans="1:15">
      <c r="A98">
        <v>5</v>
      </c>
      <c r="B98" t="s">
        <v>2171</v>
      </c>
      <c r="C98" t="s">
        <v>2184</v>
      </c>
      <c r="D98" t="s">
        <v>2643</v>
      </c>
      <c r="E98" t="s">
        <v>2454</v>
      </c>
      <c r="F98" t="s">
        <v>2173</v>
      </c>
      <c r="G98" t="s">
        <v>2680</v>
      </c>
      <c r="H98" t="s">
        <v>2681</v>
      </c>
      <c r="I98">
        <v>497</v>
      </c>
      <c r="J98">
        <v>502</v>
      </c>
      <c r="K98">
        <v>577</v>
      </c>
      <c r="L98" t="s">
        <v>2686</v>
      </c>
      <c r="M98">
        <v>52</v>
      </c>
      <c r="N98" t="s">
        <v>2683</v>
      </c>
      <c r="O98">
        <v>194.43839254400001</v>
      </c>
    </row>
    <row r="99" spans="1:15">
      <c r="A99">
        <v>6</v>
      </c>
      <c r="B99" t="s">
        <v>2171</v>
      </c>
      <c r="C99" t="s">
        <v>2185</v>
      </c>
      <c r="D99" t="s">
        <v>2643</v>
      </c>
      <c r="E99" t="s">
        <v>2454</v>
      </c>
      <c r="F99" t="s">
        <v>2173</v>
      </c>
      <c r="G99" t="s">
        <v>2680</v>
      </c>
      <c r="H99" t="s">
        <v>2681</v>
      </c>
      <c r="I99">
        <v>447</v>
      </c>
      <c r="J99">
        <v>177</v>
      </c>
      <c r="K99">
        <v>634</v>
      </c>
      <c r="L99" t="s">
        <v>2687</v>
      </c>
      <c r="M99">
        <v>52</v>
      </c>
      <c r="N99" t="s">
        <v>2683</v>
      </c>
      <c r="O99">
        <v>194.43839254400001</v>
      </c>
    </row>
    <row r="100" spans="1:15">
      <c r="A100">
        <v>7</v>
      </c>
      <c r="B100" t="s">
        <v>2171</v>
      </c>
      <c r="C100" t="s">
        <v>2186</v>
      </c>
      <c r="D100" t="s">
        <v>2643</v>
      </c>
      <c r="E100" t="s">
        <v>2454</v>
      </c>
      <c r="F100" t="s">
        <v>2173</v>
      </c>
      <c r="G100" t="s">
        <v>2680</v>
      </c>
      <c r="H100" t="s">
        <v>2681</v>
      </c>
      <c r="I100">
        <v>452</v>
      </c>
      <c r="J100">
        <v>531</v>
      </c>
      <c r="K100">
        <v>665</v>
      </c>
      <c r="L100" t="s">
        <v>2688</v>
      </c>
      <c r="M100">
        <v>52</v>
      </c>
      <c r="N100" t="s">
        <v>2683</v>
      </c>
      <c r="O100">
        <v>194.43839254400001</v>
      </c>
    </row>
    <row r="101" spans="1:15">
      <c r="A101">
        <v>8</v>
      </c>
      <c r="B101" t="s">
        <v>2171</v>
      </c>
      <c r="C101" t="s">
        <v>2187</v>
      </c>
      <c r="D101" t="s">
        <v>2643</v>
      </c>
      <c r="E101" t="s">
        <v>2454</v>
      </c>
      <c r="F101" t="s">
        <v>2173</v>
      </c>
      <c r="G101" t="s">
        <v>2680</v>
      </c>
      <c r="H101" t="s">
        <v>2681</v>
      </c>
      <c r="I101">
        <v>389</v>
      </c>
      <c r="J101">
        <v>406</v>
      </c>
      <c r="K101">
        <v>701</v>
      </c>
      <c r="L101" t="s">
        <v>2689</v>
      </c>
      <c r="M101">
        <v>52</v>
      </c>
      <c r="N101" t="s">
        <v>2683</v>
      </c>
      <c r="O101">
        <v>194.43839254400001</v>
      </c>
    </row>
    <row r="102" spans="1:15">
      <c r="A102">
        <v>9</v>
      </c>
      <c r="B102" t="s">
        <v>2171</v>
      </c>
      <c r="C102" t="s">
        <v>2188</v>
      </c>
      <c r="D102" t="s">
        <v>2643</v>
      </c>
      <c r="E102" t="s">
        <v>2454</v>
      </c>
      <c r="F102" t="s">
        <v>2189</v>
      </c>
      <c r="G102" t="s">
        <v>2680</v>
      </c>
      <c r="H102" t="s">
        <v>2681</v>
      </c>
      <c r="I102">
        <v>514</v>
      </c>
      <c r="J102">
        <v>169</v>
      </c>
      <c r="K102">
        <v>476</v>
      </c>
      <c r="L102" t="s">
        <v>2690</v>
      </c>
      <c r="M102">
        <v>52</v>
      </c>
      <c r="N102" t="s">
        <v>2691</v>
      </c>
      <c r="O102">
        <v>194.43839254400001</v>
      </c>
    </row>
    <row r="103" spans="1:15">
      <c r="A103">
        <v>10</v>
      </c>
      <c r="B103" t="s">
        <v>2171</v>
      </c>
      <c r="C103" t="s">
        <v>2191</v>
      </c>
      <c r="D103" t="s">
        <v>2643</v>
      </c>
      <c r="E103" t="s">
        <v>2454</v>
      </c>
      <c r="F103" t="s">
        <v>2189</v>
      </c>
      <c r="G103" t="s">
        <v>2680</v>
      </c>
      <c r="H103" t="s">
        <v>2681</v>
      </c>
      <c r="I103">
        <v>286</v>
      </c>
      <c r="J103">
        <v>91</v>
      </c>
      <c r="K103">
        <v>606</v>
      </c>
      <c r="L103" t="s">
        <v>2692</v>
      </c>
      <c r="M103">
        <v>52</v>
      </c>
      <c r="N103" t="s">
        <v>2691</v>
      </c>
      <c r="O103">
        <v>194.43839254400001</v>
      </c>
    </row>
    <row r="104" spans="1:15">
      <c r="A104">
        <v>11</v>
      </c>
      <c r="B104" t="s">
        <v>2171</v>
      </c>
      <c r="C104" t="s">
        <v>2192</v>
      </c>
      <c r="D104" t="s">
        <v>2643</v>
      </c>
      <c r="E104" t="s">
        <v>2454</v>
      </c>
      <c r="F104" t="s">
        <v>2189</v>
      </c>
      <c r="G104" t="s">
        <v>2680</v>
      </c>
      <c r="H104" t="s">
        <v>2681</v>
      </c>
      <c r="I104">
        <v>543</v>
      </c>
      <c r="J104">
        <v>446</v>
      </c>
      <c r="K104">
        <v>523</v>
      </c>
      <c r="L104" t="s">
        <v>2693</v>
      </c>
      <c r="M104">
        <v>52</v>
      </c>
      <c r="N104" t="s">
        <v>2691</v>
      </c>
      <c r="O104">
        <v>194.43839254400001</v>
      </c>
    </row>
    <row r="105" spans="1:15">
      <c r="A105">
        <v>13</v>
      </c>
      <c r="B105" t="s">
        <v>2171</v>
      </c>
      <c r="C105" t="s">
        <v>2194</v>
      </c>
      <c r="D105" t="s">
        <v>2643</v>
      </c>
      <c r="E105" t="s">
        <v>2454</v>
      </c>
      <c r="F105" t="s">
        <v>2189</v>
      </c>
      <c r="G105" t="s">
        <v>2680</v>
      </c>
      <c r="H105" t="s">
        <v>2681</v>
      </c>
      <c r="I105">
        <v>595</v>
      </c>
      <c r="J105">
        <v>450</v>
      </c>
      <c r="K105">
        <v>241</v>
      </c>
      <c r="L105" t="s">
        <v>2694</v>
      </c>
      <c r="M105">
        <v>52</v>
      </c>
      <c r="N105" t="s">
        <v>2691</v>
      </c>
      <c r="O105">
        <v>194.43839254400001</v>
      </c>
    </row>
    <row r="106" spans="1:15">
      <c r="A106">
        <v>14</v>
      </c>
      <c r="B106" t="s">
        <v>2171</v>
      </c>
      <c r="C106" t="s">
        <v>2196</v>
      </c>
      <c r="D106" t="s">
        <v>2643</v>
      </c>
      <c r="E106" t="s">
        <v>2454</v>
      </c>
      <c r="F106" t="s">
        <v>2189</v>
      </c>
      <c r="G106" t="s">
        <v>2680</v>
      </c>
      <c r="H106" t="s">
        <v>2681</v>
      </c>
      <c r="I106">
        <v>609</v>
      </c>
      <c r="J106">
        <v>382</v>
      </c>
      <c r="K106">
        <v>503</v>
      </c>
      <c r="L106" t="s">
        <v>2695</v>
      </c>
      <c r="M106">
        <v>52</v>
      </c>
      <c r="N106" t="s">
        <v>2691</v>
      </c>
      <c r="O106">
        <v>194.43839254400001</v>
      </c>
    </row>
    <row r="107" spans="1:15">
      <c r="A107">
        <v>15</v>
      </c>
      <c r="B107" t="s">
        <v>2171</v>
      </c>
      <c r="C107" t="s">
        <v>2197</v>
      </c>
      <c r="D107" t="s">
        <v>2643</v>
      </c>
      <c r="E107" t="s">
        <v>2454</v>
      </c>
      <c r="F107" t="s">
        <v>2189</v>
      </c>
      <c r="G107" t="s">
        <v>2680</v>
      </c>
      <c r="H107" t="s">
        <v>2681</v>
      </c>
      <c r="I107">
        <v>222</v>
      </c>
      <c r="J107">
        <v>415</v>
      </c>
      <c r="K107">
        <v>685</v>
      </c>
      <c r="L107" t="s">
        <v>2696</v>
      </c>
      <c r="M107">
        <v>52</v>
      </c>
      <c r="N107" t="s">
        <v>2691</v>
      </c>
      <c r="O107">
        <v>194.43839254400001</v>
      </c>
    </row>
    <row r="108" spans="1:15">
      <c r="A108">
        <v>16</v>
      </c>
      <c r="B108" t="s">
        <v>2171</v>
      </c>
      <c r="C108" t="s">
        <v>2200</v>
      </c>
      <c r="D108" t="s">
        <v>2643</v>
      </c>
      <c r="E108" t="s">
        <v>2454</v>
      </c>
      <c r="F108" t="s">
        <v>2189</v>
      </c>
      <c r="G108" t="s">
        <v>2680</v>
      </c>
      <c r="H108" t="s">
        <v>2681</v>
      </c>
      <c r="I108">
        <v>405</v>
      </c>
      <c r="J108">
        <v>519</v>
      </c>
      <c r="K108">
        <v>644</v>
      </c>
      <c r="L108" t="s">
        <v>2697</v>
      </c>
      <c r="M108">
        <v>52</v>
      </c>
      <c r="N108" t="s">
        <v>2691</v>
      </c>
      <c r="O108">
        <v>194.43839254400001</v>
      </c>
    </row>
    <row r="109" spans="1:15">
      <c r="A109">
        <v>82</v>
      </c>
      <c r="B109" t="s">
        <v>2271</v>
      </c>
      <c r="C109" t="s">
        <v>2293</v>
      </c>
      <c r="D109" t="s">
        <v>2643</v>
      </c>
      <c r="E109" t="s">
        <v>2454</v>
      </c>
      <c r="F109" t="s">
        <v>2291</v>
      </c>
      <c r="G109" t="s">
        <v>2698</v>
      </c>
      <c r="H109" t="s">
        <v>2773</v>
      </c>
      <c r="I109">
        <v>536</v>
      </c>
      <c r="J109">
        <v>83</v>
      </c>
      <c r="K109">
        <v>840</v>
      </c>
      <c r="L109" t="s">
        <v>2774</v>
      </c>
      <c r="M109">
        <v>52</v>
      </c>
      <c r="N109" t="s">
        <v>2772</v>
      </c>
      <c r="O109">
        <v>194.93009798400001</v>
      </c>
    </row>
    <row r="110" spans="1:15">
      <c r="A110">
        <v>83</v>
      </c>
      <c r="B110" t="s">
        <v>2271</v>
      </c>
      <c r="C110" t="s">
        <v>2294</v>
      </c>
      <c r="D110" t="s">
        <v>2643</v>
      </c>
      <c r="E110" t="s">
        <v>2454</v>
      </c>
      <c r="F110" t="s">
        <v>2291</v>
      </c>
      <c r="G110" t="s">
        <v>2698</v>
      </c>
      <c r="H110" t="s">
        <v>2773</v>
      </c>
      <c r="I110">
        <v>494</v>
      </c>
      <c r="J110">
        <v>134</v>
      </c>
      <c r="K110">
        <v>298</v>
      </c>
      <c r="L110" t="s">
        <v>2775</v>
      </c>
      <c r="M110">
        <v>52</v>
      </c>
      <c r="N110" t="s">
        <v>2772</v>
      </c>
      <c r="O110">
        <v>194.93009798400001</v>
      </c>
    </row>
    <row r="111" spans="1:15">
      <c r="A111">
        <v>84</v>
      </c>
      <c r="B111" t="s">
        <v>2271</v>
      </c>
      <c r="C111" t="s">
        <v>2295</v>
      </c>
      <c r="D111" t="s">
        <v>2643</v>
      </c>
      <c r="E111" t="s">
        <v>2454</v>
      </c>
      <c r="F111" t="s">
        <v>2291</v>
      </c>
      <c r="G111" t="s">
        <v>2698</v>
      </c>
      <c r="H111" t="s">
        <v>2773</v>
      </c>
      <c r="I111">
        <v>291</v>
      </c>
      <c r="J111">
        <v>49</v>
      </c>
      <c r="K111">
        <v>520</v>
      </c>
      <c r="L111" t="s">
        <v>2776</v>
      </c>
      <c r="M111">
        <v>52</v>
      </c>
      <c r="N111" t="s">
        <v>2772</v>
      </c>
      <c r="O111">
        <v>194.93009798400001</v>
      </c>
    </row>
    <row r="112" spans="1:15">
      <c r="A112">
        <v>85</v>
      </c>
      <c r="B112" t="s">
        <v>2271</v>
      </c>
      <c r="C112" t="s">
        <v>2296</v>
      </c>
      <c r="D112" t="s">
        <v>2643</v>
      </c>
      <c r="E112" t="s">
        <v>2454</v>
      </c>
      <c r="F112" t="s">
        <v>2291</v>
      </c>
      <c r="G112" t="s">
        <v>2698</v>
      </c>
      <c r="H112" t="s">
        <v>2773</v>
      </c>
      <c r="I112">
        <v>308</v>
      </c>
      <c r="J112">
        <v>315</v>
      </c>
      <c r="K112">
        <v>441</v>
      </c>
      <c r="L112" t="s">
        <v>2777</v>
      </c>
      <c r="M112">
        <v>52</v>
      </c>
      <c r="N112" t="s">
        <v>2772</v>
      </c>
      <c r="O112">
        <v>194.93009798400001</v>
      </c>
    </row>
    <row r="113" spans="1:15">
      <c r="A113">
        <v>86</v>
      </c>
      <c r="B113" t="s">
        <v>2271</v>
      </c>
      <c r="C113" t="s">
        <v>2297</v>
      </c>
      <c r="D113" t="s">
        <v>2643</v>
      </c>
      <c r="E113" t="s">
        <v>2454</v>
      </c>
      <c r="F113" t="s">
        <v>2291</v>
      </c>
      <c r="G113" t="s">
        <v>2698</v>
      </c>
      <c r="H113" t="s">
        <v>2773</v>
      </c>
      <c r="I113">
        <v>723</v>
      </c>
      <c r="J113">
        <v>1</v>
      </c>
      <c r="K113">
        <v>561</v>
      </c>
      <c r="L113" t="s">
        <v>2778</v>
      </c>
      <c r="M113">
        <v>52</v>
      </c>
      <c r="N113" t="s">
        <v>2772</v>
      </c>
      <c r="O113">
        <v>194.93009798400001</v>
      </c>
    </row>
    <row r="114" spans="1:15">
      <c r="A114">
        <v>87</v>
      </c>
      <c r="B114" t="s">
        <v>2271</v>
      </c>
      <c r="C114" t="s">
        <v>2298</v>
      </c>
      <c r="D114" t="s">
        <v>2643</v>
      </c>
      <c r="E114" t="s">
        <v>2454</v>
      </c>
      <c r="F114" t="s">
        <v>2291</v>
      </c>
      <c r="G114" t="s">
        <v>2698</v>
      </c>
      <c r="H114" t="s">
        <v>2773</v>
      </c>
      <c r="I114">
        <v>628</v>
      </c>
      <c r="J114">
        <v>408</v>
      </c>
      <c r="K114">
        <v>632</v>
      </c>
      <c r="L114" t="s">
        <v>2779</v>
      </c>
      <c r="M114">
        <v>52</v>
      </c>
      <c r="N114" t="s">
        <v>2772</v>
      </c>
      <c r="O114">
        <v>194.93009798400001</v>
      </c>
    </row>
    <row r="115" spans="1:15">
      <c r="A115">
        <v>89</v>
      </c>
      <c r="B115" t="s">
        <v>2271</v>
      </c>
      <c r="C115" t="s">
        <v>2300</v>
      </c>
      <c r="D115" t="s">
        <v>2643</v>
      </c>
      <c r="E115" t="s">
        <v>2454</v>
      </c>
      <c r="F115" t="s">
        <v>2301</v>
      </c>
      <c r="G115" t="s">
        <v>2698</v>
      </c>
      <c r="H115" t="s">
        <v>2773</v>
      </c>
      <c r="I115">
        <v>339</v>
      </c>
      <c r="J115">
        <v>196</v>
      </c>
      <c r="K115">
        <v>469</v>
      </c>
      <c r="L115" t="s">
        <v>2780</v>
      </c>
      <c r="M115">
        <v>52</v>
      </c>
      <c r="N115" t="s">
        <v>2781</v>
      </c>
      <c r="O115">
        <v>194.93009798400001</v>
      </c>
    </row>
    <row r="116" spans="1:15">
      <c r="A116">
        <v>90</v>
      </c>
      <c r="B116" t="s">
        <v>2271</v>
      </c>
      <c r="C116" t="s">
        <v>2302</v>
      </c>
      <c r="D116" t="s">
        <v>2643</v>
      </c>
      <c r="E116" t="s">
        <v>2454</v>
      </c>
      <c r="F116" t="s">
        <v>2301</v>
      </c>
      <c r="G116" t="s">
        <v>2698</v>
      </c>
      <c r="H116" t="s">
        <v>2773</v>
      </c>
      <c r="I116">
        <v>592</v>
      </c>
      <c r="J116">
        <v>94</v>
      </c>
      <c r="K116">
        <v>355</v>
      </c>
      <c r="L116" t="s">
        <v>2782</v>
      </c>
      <c r="M116">
        <v>52</v>
      </c>
      <c r="N116" t="s">
        <v>2781</v>
      </c>
      <c r="O116">
        <v>194.93009798400001</v>
      </c>
    </row>
    <row r="117" spans="1:15">
      <c r="A117">
        <v>91</v>
      </c>
      <c r="B117" t="s">
        <v>2271</v>
      </c>
      <c r="C117" t="s">
        <v>2303</v>
      </c>
      <c r="D117" t="s">
        <v>2643</v>
      </c>
      <c r="E117" t="s">
        <v>2454</v>
      </c>
      <c r="F117" t="s">
        <v>2301</v>
      </c>
      <c r="G117" t="s">
        <v>2698</v>
      </c>
      <c r="H117" t="s">
        <v>2773</v>
      </c>
      <c r="I117">
        <v>472</v>
      </c>
      <c r="J117">
        <v>343</v>
      </c>
      <c r="K117">
        <v>547</v>
      </c>
      <c r="L117" t="s">
        <v>2783</v>
      </c>
      <c r="M117">
        <v>52</v>
      </c>
      <c r="N117" t="s">
        <v>2781</v>
      </c>
      <c r="O117">
        <v>194.93009798400001</v>
      </c>
    </row>
    <row r="118" spans="1:15">
      <c r="A118">
        <v>92</v>
      </c>
      <c r="B118" t="s">
        <v>2271</v>
      </c>
      <c r="C118" t="s">
        <v>2304</v>
      </c>
      <c r="D118" t="s">
        <v>2643</v>
      </c>
      <c r="E118" t="s">
        <v>2454</v>
      </c>
      <c r="F118" t="s">
        <v>2301</v>
      </c>
      <c r="G118" t="s">
        <v>2698</v>
      </c>
      <c r="H118" t="s">
        <v>2773</v>
      </c>
      <c r="I118">
        <v>529</v>
      </c>
      <c r="J118">
        <v>445</v>
      </c>
      <c r="K118">
        <v>763</v>
      </c>
      <c r="L118" t="s">
        <v>2784</v>
      </c>
      <c r="M118">
        <v>52</v>
      </c>
      <c r="N118" t="s">
        <v>2781</v>
      </c>
      <c r="O118">
        <v>194.93009798400001</v>
      </c>
    </row>
    <row r="119" spans="1:15">
      <c r="A119">
        <v>93</v>
      </c>
      <c r="B119" t="s">
        <v>2271</v>
      </c>
      <c r="C119" t="s">
        <v>2305</v>
      </c>
      <c r="D119" t="s">
        <v>2643</v>
      </c>
      <c r="E119" t="s">
        <v>2454</v>
      </c>
      <c r="F119" t="s">
        <v>2301</v>
      </c>
      <c r="G119" t="s">
        <v>2698</v>
      </c>
      <c r="H119" t="s">
        <v>2773</v>
      </c>
      <c r="I119">
        <v>636</v>
      </c>
      <c r="J119">
        <v>12</v>
      </c>
      <c r="K119">
        <v>424</v>
      </c>
      <c r="L119" t="s">
        <v>2785</v>
      </c>
      <c r="M119">
        <v>52</v>
      </c>
      <c r="N119" t="s">
        <v>2781</v>
      </c>
      <c r="O119">
        <v>194.93009798400001</v>
      </c>
    </row>
    <row r="120" spans="1:15">
      <c r="A120">
        <v>95</v>
      </c>
      <c r="B120" t="s">
        <v>2271</v>
      </c>
      <c r="C120" t="s">
        <v>2307</v>
      </c>
      <c r="D120" t="s">
        <v>2643</v>
      </c>
      <c r="E120" t="s">
        <v>2454</v>
      </c>
      <c r="F120" t="s">
        <v>2301</v>
      </c>
      <c r="G120" t="s">
        <v>2698</v>
      </c>
      <c r="H120" t="s">
        <v>2773</v>
      </c>
      <c r="I120">
        <v>641</v>
      </c>
      <c r="J120">
        <v>360</v>
      </c>
      <c r="K120">
        <v>486</v>
      </c>
      <c r="L120" t="s">
        <v>2786</v>
      </c>
      <c r="M120">
        <v>52</v>
      </c>
      <c r="N120" t="s">
        <v>2781</v>
      </c>
      <c r="O120">
        <v>194.93009798400001</v>
      </c>
    </row>
    <row r="121" spans="1:15">
      <c r="A121">
        <v>96</v>
      </c>
      <c r="B121" t="s">
        <v>2271</v>
      </c>
      <c r="C121" t="s">
        <v>2308</v>
      </c>
      <c r="D121" t="s">
        <v>2643</v>
      </c>
      <c r="E121" t="s">
        <v>2454</v>
      </c>
      <c r="F121" t="s">
        <v>2301</v>
      </c>
      <c r="G121" t="s">
        <v>2698</v>
      </c>
      <c r="H121" t="s">
        <v>2773</v>
      </c>
      <c r="I121">
        <v>479</v>
      </c>
      <c r="J121">
        <v>318</v>
      </c>
      <c r="K121">
        <v>545</v>
      </c>
      <c r="L121" t="s">
        <v>2787</v>
      </c>
      <c r="M121">
        <v>52</v>
      </c>
      <c r="N121" t="s">
        <v>2781</v>
      </c>
      <c r="O121">
        <v>194.93009798400001</v>
      </c>
    </row>
    <row r="122" spans="1:15">
      <c r="A122">
        <v>145</v>
      </c>
      <c r="B122" t="s">
        <v>2650</v>
      </c>
      <c r="C122" t="s">
        <v>2362</v>
      </c>
      <c r="D122" t="s">
        <v>2454</v>
      </c>
      <c r="E122" t="s">
        <v>2454</v>
      </c>
      <c r="F122" t="s">
        <v>2251</v>
      </c>
      <c r="G122" t="s">
        <v>2788</v>
      </c>
      <c r="H122" t="s">
        <v>2843</v>
      </c>
      <c r="I122">
        <v>902</v>
      </c>
      <c r="J122">
        <v>27</v>
      </c>
      <c r="K122">
        <v>653</v>
      </c>
      <c r="L122" t="s">
        <v>2844</v>
      </c>
      <c r="M122">
        <v>53</v>
      </c>
      <c r="N122" t="s">
        <v>2845</v>
      </c>
      <c r="O122">
        <v>205.76139209600001</v>
      </c>
    </row>
    <row r="123" spans="1:15">
      <c r="A123">
        <v>146</v>
      </c>
      <c r="B123" t="s">
        <v>2650</v>
      </c>
      <c r="C123" t="s">
        <v>2363</v>
      </c>
      <c r="D123" t="s">
        <v>2454</v>
      </c>
      <c r="E123" t="s">
        <v>2454</v>
      </c>
      <c r="F123" t="s">
        <v>2251</v>
      </c>
      <c r="G123" t="s">
        <v>2788</v>
      </c>
      <c r="H123" t="s">
        <v>2843</v>
      </c>
      <c r="I123">
        <v>689</v>
      </c>
      <c r="J123">
        <v>492</v>
      </c>
      <c r="K123">
        <v>762</v>
      </c>
      <c r="L123" t="s">
        <v>2846</v>
      </c>
      <c r="M123">
        <v>53</v>
      </c>
      <c r="N123" t="s">
        <v>2845</v>
      </c>
      <c r="O123">
        <v>205.76139209600001</v>
      </c>
    </row>
    <row r="124" spans="1:15">
      <c r="A124">
        <v>97</v>
      </c>
      <c r="B124" t="s">
        <v>2650</v>
      </c>
      <c r="C124" t="s">
        <v>2310</v>
      </c>
      <c r="D124" t="s">
        <v>2454</v>
      </c>
      <c r="E124" t="s">
        <v>2454</v>
      </c>
      <c r="F124" t="s">
        <v>2173</v>
      </c>
      <c r="G124" t="s">
        <v>2788</v>
      </c>
      <c r="H124" t="s">
        <v>2789</v>
      </c>
      <c r="I124">
        <v>741</v>
      </c>
      <c r="J124">
        <v>518</v>
      </c>
      <c r="K124">
        <v>847</v>
      </c>
      <c r="L124" t="s">
        <v>2790</v>
      </c>
      <c r="M124">
        <v>54</v>
      </c>
      <c r="N124" t="s">
        <v>2791</v>
      </c>
      <c r="O124">
        <v>206.85140822299999</v>
      </c>
    </row>
    <row r="125" spans="1:15">
      <c r="A125">
        <v>98</v>
      </c>
      <c r="B125" t="s">
        <v>2650</v>
      </c>
      <c r="C125" t="s">
        <v>2311</v>
      </c>
      <c r="D125" t="s">
        <v>2454</v>
      </c>
      <c r="E125" t="s">
        <v>2454</v>
      </c>
      <c r="F125" t="s">
        <v>2173</v>
      </c>
      <c r="G125" t="s">
        <v>2788</v>
      </c>
      <c r="H125" t="s">
        <v>2789</v>
      </c>
      <c r="I125">
        <v>610</v>
      </c>
      <c r="J125">
        <v>489</v>
      </c>
      <c r="K125">
        <v>730</v>
      </c>
      <c r="L125" t="s">
        <v>2792</v>
      </c>
      <c r="M125">
        <v>54</v>
      </c>
      <c r="N125" t="s">
        <v>2791</v>
      </c>
      <c r="O125">
        <v>206.85140822299999</v>
      </c>
    </row>
    <row r="126" spans="1:15">
      <c r="A126">
        <v>99</v>
      </c>
      <c r="B126" t="s">
        <v>2650</v>
      </c>
      <c r="C126" t="s">
        <v>2312</v>
      </c>
      <c r="D126" t="s">
        <v>2454</v>
      </c>
      <c r="E126" t="s">
        <v>2454</v>
      </c>
      <c r="F126" t="s">
        <v>2173</v>
      </c>
      <c r="G126" t="s">
        <v>2788</v>
      </c>
      <c r="H126" t="s">
        <v>2789</v>
      </c>
      <c r="I126">
        <v>765</v>
      </c>
      <c r="J126">
        <v>549</v>
      </c>
      <c r="K126">
        <v>691</v>
      </c>
      <c r="L126" t="s">
        <v>2793</v>
      </c>
      <c r="M126">
        <v>54</v>
      </c>
      <c r="N126" t="s">
        <v>2791</v>
      </c>
      <c r="O126">
        <v>206.85140822299999</v>
      </c>
    </row>
    <row r="127" spans="1:15">
      <c r="A127">
        <v>100</v>
      </c>
      <c r="B127" t="s">
        <v>2650</v>
      </c>
      <c r="C127" t="s">
        <v>2313</v>
      </c>
      <c r="D127" t="s">
        <v>2454</v>
      </c>
      <c r="E127" t="s">
        <v>2454</v>
      </c>
      <c r="F127" t="s">
        <v>2173</v>
      </c>
      <c r="G127" t="s">
        <v>2788</v>
      </c>
      <c r="H127" t="s">
        <v>2789</v>
      </c>
      <c r="I127">
        <v>728</v>
      </c>
      <c r="J127">
        <v>500</v>
      </c>
      <c r="K127">
        <v>828</v>
      </c>
      <c r="L127" t="s">
        <v>2794</v>
      </c>
      <c r="M127">
        <v>54</v>
      </c>
      <c r="N127" t="s">
        <v>2791</v>
      </c>
      <c r="O127">
        <v>206.85140822299999</v>
      </c>
    </row>
    <row r="128" spans="1:15">
      <c r="A128">
        <v>101</v>
      </c>
      <c r="B128" t="s">
        <v>2650</v>
      </c>
      <c r="C128" t="s">
        <v>2315</v>
      </c>
      <c r="D128" t="s">
        <v>2454</v>
      </c>
      <c r="E128" t="s">
        <v>2454</v>
      </c>
      <c r="F128" t="s">
        <v>2173</v>
      </c>
      <c r="G128" t="s">
        <v>2788</v>
      </c>
      <c r="H128" t="s">
        <v>2789</v>
      </c>
      <c r="I128">
        <v>808</v>
      </c>
      <c r="J128">
        <v>482</v>
      </c>
      <c r="K128">
        <v>875</v>
      </c>
      <c r="L128" t="s">
        <v>2795</v>
      </c>
      <c r="M128">
        <v>54</v>
      </c>
      <c r="N128" t="s">
        <v>2791</v>
      </c>
      <c r="O128">
        <v>206.85140822299999</v>
      </c>
    </row>
    <row r="129" spans="1:15">
      <c r="A129">
        <v>102</v>
      </c>
      <c r="B129" t="s">
        <v>2650</v>
      </c>
      <c r="C129" t="s">
        <v>2316</v>
      </c>
      <c r="D129" t="s">
        <v>2454</v>
      </c>
      <c r="E129" t="s">
        <v>2454</v>
      </c>
      <c r="F129" t="s">
        <v>2173</v>
      </c>
      <c r="G129" t="s">
        <v>2788</v>
      </c>
      <c r="H129" t="s">
        <v>2789</v>
      </c>
      <c r="I129">
        <v>892</v>
      </c>
      <c r="J129">
        <v>569</v>
      </c>
      <c r="K129">
        <v>824</v>
      </c>
      <c r="L129" t="s">
        <v>2796</v>
      </c>
      <c r="M129">
        <v>54</v>
      </c>
      <c r="N129" t="s">
        <v>2791</v>
      </c>
      <c r="O129">
        <v>206.85140822299999</v>
      </c>
    </row>
    <row r="130" spans="1:15">
      <c r="A130">
        <v>103</v>
      </c>
      <c r="B130" t="s">
        <v>2650</v>
      </c>
      <c r="C130" t="s">
        <v>2317</v>
      </c>
      <c r="D130" t="s">
        <v>2454</v>
      </c>
      <c r="E130" t="s">
        <v>2454</v>
      </c>
      <c r="F130" t="s">
        <v>2173</v>
      </c>
      <c r="G130" t="s">
        <v>2788</v>
      </c>
      <c r="H130" t="s">
        <v>2789</v>
      </c>
      <c r="I130">
        <v>869</v>
      </c>
      <c r="J130">
        <v>430</v>
      </c>
      <c r="K130">
        <v>692</v>
      </c>
      <c r="L130" t="s">
        <v>2797</v>
      </c>
      <c r="M130">
        <v>54</v>
      </c>
      <c r="N130" t="s">
        <v>2791</v>
      </c>
      <c r="O130">
        <v>206.85140822299999</v>
      </c>
    </row>
    <row r="131" spans="1:15">
      <c r="A131">
        <v>104</v>
      </c>
      <c r="B131" t="s">
        <v>2650</v>
      </c>
      <c r="C131" t="s">
        <v>2318</v>
      </c>
      <c r="D131" t="s">
        <v>2454</v>
      </c>
      <c r="E131" t="s">
        <v>2454</v>
      </c>
      <c r="F131" t="s">
        <v>2173</v>
      </c>
      <c r="G131" t="s">
        <v>2788</v>
      </c>
      <c r="H131" t="s">
        <v>2789</v>
      </c>
      <c r="I131">
        <v>881</v>
      </c>
      <c r="J131">
        <v>577</v>
      </c>
      <c r="K131">
        <v>806</v>
      </c>
      <c r="L131" t="s">
        <v>2798</v>
      </c>
      <c r="M131">
        <v>54</v>
      </c>
      <c r="N131" t="s">
        <v>2791</v>
      </c>
      <c r="O131">
        <v>206.85140822299999</v>
      </c>
    </row>
    <row r="132" spans="1:15">
      <c r="A132">
        <v>105</v>
      </c>
      <c r="B132" t="s">
        <v>2650</v>
      </c>
      <c r="C132" t="s">
        <v>2319</v>
      </c>
      <c r="D132" t="s">
        <v>2454</v>
      </c>
      <c r="E132" t="s">
        <v>2454</v>
      </c>
      <c r="F132" t="s">
        <v>2189</v>
      </c>
      <c r="G132" t="s">
        <v>2788</v>
      </c>
      <c r="H132" t="s">
        <v>2789</v>
      </c>
      <c r="I132">
        <v>729</v>
      </c>
      <c r="J132">
        <v>548</v>
      </c>
      <c r="K132">
        <v>861</v>
      </c>
      <c r="L132" t="s">
        <v>2799</v>
      </c>
      <c r="M132">
        <v>54</v>
      </c>
      <c r="N132" t="s">
        <v>2800</v>
      </c>
      <c r="O132">
        <v>206.85140822299999</v>
      </c>
    </row>
    <row r="133" spans="1:15">
      <c r="A133">
        <v>106</v>
      </c>
      <c r="B133" t="s">
        <v>2650</v>
      </c>
      <c r="C133" t="s">
        <v>2320</v>
      </c>
      <c r="D133" t="s">
        <v>2454</v>
      </c>
      <c r="E133" t="s">
        <v>2454</v>
      </c>
      <c r="F133" t="s">
        <v>2189</v>
      </c>
      <c r="G133" t="s">
        <v>2788</v>
      </c>
      <c r="H133" t="s">
        <v>2789</v>
      </c>
      <c r="I133">
        <v>837</v>
      </c>
      <c r="J133">
        <v>590</v>
      </c>
      <c r="K133">
        <v>738</v>
      </c>
      <c r="L133" t="s">
        <v>2801</v>
      </c>
      <c r="M133">
        <v>54</v>
      </c>
      <c r="N133" t="s">
        <v>2800</v>
      </c>
      <c r="O133">
        <v>206.85140822299999</v>
      </c>
    </row>
    <row r="134" spans="1:15">
      <c r="A134">
        <v>107</v>
      </c>
      <c r="B134" t="s">
        <v>2650</v>
      </c>
      <c r="C134" t="s">
        <v>2321</v>
      </c>
      <c r="D134" t="s">
        <v>2454</v>
      </c>
      <c r="E134" t="s">
        <v>2454</v>
      </c>
      <c r="F134" t="s">
        <v>2189</v>
      </c>
      <c r="G134" t="s">
        <v>2788</v>
      </c>
      <c r="H134" t="s">
        <v>2789</v>
      </c>
      <c r="I134">
        <v>688</v>
      </c>
      <c r="J134">
        <v>574</v>
      </c>
      <c r="K134">
        <v>676</v>
      </c>
      <c r="L134" t="s">
        <v>2802</v>
      </c>
      <c r="M134">
        <v>54</v>
      </c>
      <c r="N134" t="s">
        <v>2800</v>
      </c>
      <c r="O134">
        <v>206.85140822299999</v>
      </c>
    </row>
    <row r="135" spans="1:15">
      <c r="A135">
        <v>108</v>
      </c>
      <c r="B135" t="s">
        <v>2650</v>
      </c>
      <c r="C135" t="s">
        <v>2322</v>
      </c>
      <c r="D135" t="s">
        <v>2454</v>
      </c>
      <c r="E135" t="s">
        <v>2454</v>
      </c>
      <c r="F135" t="s">
        <v>2189</v>
      </c>
      <c r="G135" t="s">
        <v>2788</v>
      </c>
      <c r="H135" t="s">
        <v>2789</v>
      </c>
      <c r="I135">
        <v>883</v>
      </c>
      <c r="J135">
        <v>8</v>
      </c>
      <c r="K135">
        <v>845</v>
      </c>
      <c r="L135" t="s">
        <v>2803</v>
      </c>
      <c r="M135">
        <v>54</v>
      </c>
      <c r="N135" t="s">
        <v>2800</v>
      </c>
      <c r="O135">
        <v>206.85140822299999</v>
      </c>
    </row>
    <row r="136" spans="1:15">
      <c r="A136">
        <v>109</v>
      </c>
      <c r="B136" t="s">
        <v>2650</v>
      </c>
      <c r="C136" t="s">
        <v>2324</v>
      </c>
      <c r="D136" t="s">
        <v>2454</v>
      </c>
      <c r="E136" t="s">
        <v>2454</v>
      </c>
      <c r="F136" t="s">
        <v>2189</v>
      </c>
      <c r="G136" t="s">
        <v>2788</v>
      </c>
      <c r="H136" t="s">
        <v>2789</v>
      </c>
      <c r="I136">
        <v>704</v>
      </c>
      <c r="J136">
        <v>552</v>
      </c>
      <c r="K136">
        <v>887</v>
      </c>
      <c r="L136" t="s">
        <v>2804</v>
      </c>
      <c r="M136">
        <v>54</v>
      </c>
      <c r="N136" t="s">
        <v>2800</v>
      </c>
      <c r="O136">
        <v>206.85140822299999</v>
      </c>
    </row>
    <row r="137" spans="1:15">
      <c r="A137">
        <v>110</v>
      </c>
      <c r="B137" t="s">
        <v>2650</v>
      </c>
      <c r="C137" t="s">
        <v>2325</v>
      </c>
      <c r="D137" t="s">
        <v>2454</v>
      </c>
      <c r="E137" t="s">
        <v>2454</v>
      </c>
      <c r="F137" t="s">
        <v>2189</v>
      </c>
      <c r="G137" t="s">
        <v>2788</v>
      </c>
      <c r="H137" t="s">
        <v>2789</v>
      </c>
      <c r="I137">
        <v>742</v>
      </c>
      <c r="J137">
        <v>462</v>
      </c>
      <c r="K137">
        <v>882</v>
      </c>
      <c r="L137" t="s">
        <v>2483</v>
      </c>
      <c r="M137">
        <v>54</v>
      </c>
      <c r="N137" t="s">
        <v>2800</v>
      </c>
      <c r="O137">
        <v>206.85140822299999</v>
      </c>
    </row>
    <row r="138" spans="1:15">
      <c r="A138">
        <v>111</v>
      </c>
      <c r="B138" t="s">
        <v>2650</v>
      </c>
      <c r="C138" t="s">
        <v>2326</v>
      </c>
      <c r="D138" t="s">
        <v>2454</v>
      </c>
      <c r="E138" t="s">
        <v>2454</v>
      </c>
      <c r="F138" t="s">
        <v>2189</v>
      </c>
      <c r="G138" t="s">
        <v>2788</v>
      </c>
      <c r="H138" t="s">
        <v>2789</v>
      </c>
      <c r="I138">
        <v>831</v>
      </c>
      <c r="J138">
        <v>505</v>
      </c>
      <c r="K138">
        <v>695</v>
      </c>
      <c r="L138" t="s">
        <v>2805</v>
      </c>
      <c r="M138">
        <v>54</v>
      </c>
      <c r="N138" t="s">
        <v>2800</v>
      </c>
      <c r="O138">
        <v>206.85140822299999</v>
      </c>
    </row>
    <row r="139" spans="1:15">
      <c r="A139">
        <v>112</v>
      </c>
      <c r="B139" t="s">
        <v>2650</v>
      </c>
      <c r="C139" t="s">
        <v>2327</v>
      </c>
      <c r="D139" t="s">
        <v>2454</v>
      </c>
      <c r="E139" t="s">
        <v>2454</v>
      </c>
      <c r="F139" t="s">
        <v>2189</v>
      </c>
      <c r="G139" t="s">
        <v>2788</v>
      </c>
      <c r="H139" t="s">
        <v>2789</v>
      </c>
      <c r="I139">
        <v>899</v>
      </c>
      <c r="J139">
        <v>41</v>
      </c>
      <c r="K139">
        <v>852</v>
      </c>
      <c r="L139" t="s">
        <v>2806</v>
      </c>
      <c r="M139">
        <v>54</v>
      </c>
      <c r="N139" t="s">
        <v>2800</v>
      </c>
      <c r="O139">
        <v>206.85140822299999</v>
      </c>
    </row>
    <row r="140" spans="1:15">
      <c r="A140">
        <v>113</v>
      </c>
      <c r="B140" t="s">
        <v>2650</v>
      </c>
      <c r="C140" t="s">
        <v>2328</v>
      </c>
      <c r="D140" t="s">
        <v>2454</v>
      </c>
      <c r="E140" t="s">
        <v>2454</v>
      </c>
      <c r="F140" t="s">
        <v>2203</v>
      </c>
      <c r="G140" t="s">
        <v>2788</v>
      </c>
      <c r="H140" t="s">
        <v>2789</v>
      </c>
      <c r="I140">
        <v>724</v>
      </c>
      <c r="J140">
        <v>428</v>
      </c>
      <c r="K140">
        <v>769</v>
      </c>
      <c r="L140" t="s">
        <v>2807</v>
      </c>
      <c r="M140">
        <v>54</v>
      </c>
      <c r="N140" t="s">
        <v>2808</v>
      </c>
      <c r="O140">
        <v>206.85140822299999</v>
      </c>
    </row>
    <row r="141" spans="1:15">
      <c r="A141">
        <v>114</v>
      </c>
      <c r="B141" t="s">
        <v>2650</v>
      </c>
      <c r="C141" t="s">
        <v>2329</v>
      </c>
      <c r="D141" t="s">
        <v>2454</v>
      </c>
      <c r="E141" t="s">
        <v>2454</v>
      </c>
      <c r="F141" t="s">
        <v>2203</v>
      </c>
      <c r="G141" t="s">
        <v>2788</v>
      </c>
      <c r="H141" t="s">
        <v>2789</v>
      </c>
      <c r="I141">
        <v>803</v>
      </c>
      <c r="J141">
        <v>601</v>
      </c>
      <c r="K141">
        <v>889</v>
      </c>
      <c r="L141" t="s">
        <v>2809</v>
      </c>
      <c r="M141">
        <v>54</v>
      </c>
      <c r="N141" t="s">
        <v>2808</v>
      </c>
      <c r="O141">
        <v>206.85140822299999</v>
      </c>
    </row>
    <row r="142" spans="1:15">
      <c r="A142">
        <v>115</v>
      </c>
      <c r="B142" t="s">
        <v>2650</v>
      </c>
      <c r="C142" t="s">
        <v>2330</v>
      </c>
      <c r="D142" t="s">
        <v>2454</v>
      </c>
      <c r="E142" t="s">
        <v>2454</v>
      </c>
      <c r="F142" t="s">
        <v>2203</v>
      </c>
      <c r="G142" t="s">
        <v>2788</v>
      </c>
      <c r="H142" t="s">
        <v>2789</v>
      </c>
      <c r="I142">
        <v>693</v>
      </c>
      <c r="J142">
        <v>553</v>
      </c>
      <c r="K142">
        <v>778</v>
      </c>
      <c r="L142" t="s">
        <v>2810</v>
      </c>
      <c r="M142">
        <v>54</v>
      </c>
      <c r="N142" t="s">
        <v>2808</v>
      </c>
      <c r="O142">
        <v>206.85140822299999</v>
      </c>
    </row>
    <row r="143" spans="1:15">
      <c r="A143">
        <v>116</v>
      </c>
      <c r="B143" t="s">
        <v>2650</v>
      </c>
      <c r="C143" t="s">
        <v>2331</v>
      </c>
      <c r="D143" t="s">
        <v>2454</v>
      </c>
      <c r="E143" t="s">
        <v>2454</v>
      </c>
      <c r="F143" t="s">
        <v>2203</v>
      </c>
      <c r="G143" t="s">
        <v>2788</v>
      </c>
      <c r="H143" t="s">
        <v>2789</v>
      </c>
      <c r="I143">
        <v>897</v>
      </c>
      <c r="J143">
        <v>459</v>
      </c>
      <c r="K143">
        <v>563</v>
      </c>
      <c r="L143" t="s">
        <v>2811</v>
      </c>
      <c r="M143">
        <v>54</v>
      </c>
      <c r="N143" t="s">
        <v>2808</v>
      </c>
      <c r="O143">
        <v>206.85140822299999</v>
      </c>
    </row>
    <row r="144" spans="1:15">
      <c r="A144">
        <v>117</v>
      </c>
      <c r="B144" t="s">
        <v>2650</v>
      </c>
      <c r="C144" t="s">
        <v>2332</v>
      </c>
      <c r="D144" t="s">
        <v>2454</v>
      </c>
      <c r="E144" t="s">
        <v>2454</v>
      </c>
      <c r="F144" t="s">
        <v>2203</v>
      </c>
      <c r="G144" t="s">
        <v>2788</v>
      </c>
      <c r="H144" t="s">
        <v>2789</v>
      </c>
      <c r="I144">
        <v>789</v>
      </c>
      <c r="J144">
        <v>511</v>
      </c>
      <c r="K144">
        <v>901</v>
      </c>
      <c r="L144" t="s">
        <v>2812</v>
      </c>
      <c r="M144">
        <v>54</v>
      </c>
      <c r="N144" t="s">
        <v>2808</v>
      </c>
      <c r="O144">
        <v>206.85140822299999</v>
      </c>
    </row>
    <row r="145" spans="1:15">
      <c r="A145">
        <v>118</v>
      </c>
      <c r="B145" t="s">
        <v>2650</v>
      </c>
      <c r="C145" t="s">
        <v>2333</v>
      </c>
      <c r="D145" t="s">
        <v>2454</v>
      </c>
      <c r="E145" t="s">
        <v>2454</v>
      </c>
      <c r="F145" t="s">
        <v>2203</v>
      </c>
      <c r="G145" t="s">
        <v>2788</v>
      </c>
      <c r="H145" t="s">
        <v>2789</v>
      </c>
      <c r="I145">
        <v>681</v>
      </c>
      <c r="J145">
        <v>495</v>
      </c>
      <c r="K145">
        <v>791</v>
      </c>
      <c r="L145" t="s">
        <v>2813</v>
      </c>
      <c r="M145">
        <v>54</v>
      </c>
      <c r="N145" t="s">
        <v>2808</v>
      </c>
      <c r="O145">
        <v>206.85140822299999</v>
      </c>
    </row>
    <row r="146" spans="1:15">
      <c r="A146">
        <v>119</v>
      </c>
      <c r="B146" t="s">
        <v>2650</v>
      </c>
      <c r="C146" t="s">
        <v>2334</v>
      </c>
      <c r="D146" t="s">
        <v>2454</v>
      </c>
      <c r="E146" t="s">
        <v>2454</v>
      </c>
      <c r="F146" t="s">
        <v>2203</v>
      </c>
      <c r="G146" t="s">
        <v>2788</v>
      </c>
      <c r="H146" t="s">
        <v>2789</v>
      </c>
      <c r="I146">
        <v>657</v>
      </c>
      <c r="J146">
        <v>584</v>
      </c>
      <c r="K146">
        <v>802</v>
      </c>
      <c r="L146" t="s">
        <v>2814</v>
      </c>
      <c r="M146">
        <v>54</v>
      </c>
      <c r="N146" t="s">
        <v>2808</v>
      </c>
      <c r="O146">
        <v>206.85140822299999</v>
      </c>
    </row>
    <row r="147" spans="1:15">
      <c r="A147">
        <v>120</v>
      </c>
      <c r="B147" t="s">
        <v>2650</v>
      </c>
      <c r="C147" t="s">
        <v>2335</v>
      </c>
      <c r="D147" t="s">
        <v>2454</v>
      </c>
      <c r="E147" t="s">
        <v>2454</v>
      </c>
      <c r="F147" t="s">
        <v>2203</v>
      </c>
      <c r="G147" t="s">
        <v>2788</v>
      </c>
      <c r="H147" t="s">
        <v>2789</v>
      </c>
      <c r="I147">
        <v>758</v>
      </c>
      <c r="J147">
        <v>454</v>
      </c>
      <c r="K147">
        <v>698</v>
      </c>
      <c r="L147" t="s">
        <v>2815</v>
      </c>
      <c r="M147">
        <v>54</v>
      </c>
      <c r="N147" t="s">
        <v>2808</v>
      </c>
      <c r="O147">
        <v>206.85140822299999</v>
      </c>
    </row>
    <row r="148" spans="1:15">
      <c r="A148">
        <v>121</v>
      </c>
      <c r="B148" t="s">
        <v>2650</v>
      </c>
      <c r="C148" t="s">
        <v>2336</v>
      </c>
      <c r="D148" t="s">
        <v>2454</v>
      </c>
      <c r="E148" t="s">
        <v>2454</v>
      </c>
      <c r="F148" t="s">
        <v>2213</v>
      </c>
      <c r="G148" t="s">
        <v>2788</v>
      </c>
      <c r="H148" t="s">
        <v>2789</v>
      </c>
      <c r="I148">
        <v>666</v>
      </c>
      <c r="J148">
        <v>532</v>
      </c>
      <c r="K148">
        <v>825</v>
      </c>
      <c r="L148" t="s">
        <v>2816</v>
      </c>
      <c r="M148">
        <v>54</v>
      </c>
      <c r="N148" t="s">
        <v>2817</v>
      </c>
      <c r="O148">
        <v>206.85140822299999</v>
      </c>
    </row>
    <row r="149" spans="1:15">
      <c r="A149">
        <v>122</v>
      </c>
      <c r="B149" t="s">
        <v>2650</v>
      </c>
      <c r="C149" t="s">
        <v>2337</v>
      </c>
      <c r="D149" t="s">
        <v>2454</v>
      </c>
      <c r="E149" t="s">
        <v>2454</v>
      </c>
      <c r="F149" t="s">
        <v>2213</v>
      </c>
      <c r="G149" t="s">
        <v>2788</v>
      </c>
      <c r="H149" t="s">
        <v>2789</v>
      </c>
      <c r="I149">
        <v>860</v>
      </c>
      <c r="J149">
        <v>11</v>
      </c>
      <c r="K149">
        <v>839</v>
      </c>
      <c r="L149" t="s">
        <v>2818</v>
      </c>
      <c r="M149">
        <v>54</v>
      </c>
      <c r="N149" t="s">
        <v>2817</v>
      </c>
      <c r="O149">
        <v>206.85140822299999</v>
      </c>
    </row>
    <row r="150" spans="1:15">
      <c r="A150">
        <v>123</v>
      </c>
      <c r="B150" t="s">
        <v>2650</v>
      </c>
      <c r="C150" t="s">
        <v>2338</v>
      </c>
      <c r="D150" t="s">
        <v>2454</v>
      </c>
      <c r="E150" t="s">
        <v>2454</v>
      </c>
      <c r="F150" t="s">
        <v>2213</v>
      </c>
      <c r="G150" t="s">
        <v>2788</v>
      </c>
      <c r="H150" t="s">
        <v>2789</v>
      </c>
      <c r="I150">
        <v>694</v>
      </c>
      <c r="J150">
        <v>575</v>
      </c>
      <c r="K150">
        <v>895</v>
      </c>
      <c r="L150" t="s">
        <v>2819</v>
      </c>
      <c r="M150">
        <v>54</v>
      </c>
      <c r="N150" t="s">
        <v>2817</v>
      </c>
      <c r="O150">
        <v>206.85140822299999</v>
      </c>
    </row>
    <row r="151" spans="1:15">
      <c r="A151">
        <v>124</v>
      </c>
      <c r="B151" t="s">
        <v>2650</v>
      </c>
      <c r="C151" t="s">
        <v>2340</v>
      </c>
      <c r="D151" t="s">
        <v>2454</v>
      </c>
      <c r="E151" t="s">
        <v>2454</v>
      </c>
      <c r="F151" t="s">
        <v>2213</v>
      </c>
      <c r="G151" t="s">
        <v>2788</v>
      </c>
      <c r="H151" t="s">
        <v>2789</v>
      </c>
      <c r="I151">
        <v>867</v>
      </c>
      <c r="J151">
        <v>39</v>
      </c>
      <c r="K151">
        <v>682</v>
      </c>
      <c r="L151" t="s">
        <v>2820</v>
      </c>
      <c r="M151">
        <v>54</v>
      </c>
      <c r="N151" t="s">
        <v>2817</v>
      </c>
      <c r="O151">
        <v>206.85140822299999</v>
      </c>
    </row>
    <row r="152" spans="1:15">
      <c r="A152">
        <v>125</v>
      </c>
      <c r="B152" t="s">
        <v>2650</v>
      </c>
      <c r="C152" t="s">
        <v>2341</v>
      </c>
      <c r="D152" t="s">
        <v>2454</v>
      </c>
      <c r="E152" t="s">
        <v>2454</v>
      </c>
      <c r="F152" t="s">
        <v>2213</v>
      </c>
      <c r="G152" t="s">
        <v>2788</v>
      </c>
      <c r="H152" t="s">
        <v>2789</v>
      </c>
      <c r="I152">
        <v>793</v>
      </c>
      <c r="J152">
        <v>560</v>
      </c>
      <c r="K152">
        <v>740</v>
      </c>
      <c r="L152" t="s">
        <v>2821</v>
      </c>
      <c r="M152">
        <v>54</v>
      </c>
      <c r="N152" t="s">
        <v>2817</v>
      </c>
      <c r="O152">
        <v>206.85140822299999</v>
      </c>
    </row>
    <row r="153" spans="1:15">
      <c r="A153">
        <v>126</v>
      </c>
      <c r="B153" t="s">
        <v>2650</v>
      </c>
      <c r="C153" t="s">
        <v>2342</v>
      </c>
      <c r="D153" t="s">
        <v>2454</v>
      </c>
      <c r="E153" t="s">
        <v>2454</v>
      </c>
      <c r="F153" t="s">
        <v>2213</v>
      </c>
      <c r="G153" t="s">
        <v>2788</v>
      </c>
      <c r="H153" t="s">
        <v>2789</v>
      </c>
      <c r="I153">
        <v>749</v>
      </c>
      <c r="J153">
        <v>562</v>
      </c>
      <c r="K153">
        <v>841</v>
      </c>
      <c r="L153" t="s">
        <v>2822</v>
      </c>
      <c r="M153">
        <v>54</v>
      </c>
      <c r="N153" t="s">
        <v>2817</v>
      </c>
      <c r="O153">
        <v>206.85140822299999</v>
      </c>
    </row>
    <row r="154" spans="1:15">
      <c r="A154">
        <v>127</v>
      </c>
      <c r="B154" t="s">
        <v>2650</v>
      </c>
      <c r="C154" t="s">
        <v>2343</v>
      </c>
      <c r="D154" t="s">
        <v>2454</v>
      </c>
      <c r="E154" t="s">
        <v>2454</v>
      </c>
      <c r="F154" t="s">
        <v>2213</v>
      </c>
      <c r="G154" t="s">
        <v>2788</v>
      </c>
      <c r="H154" t="s">
        <v>2789</v>
      </c>
      <c r="I154">
        <v>898</v>
      </c>
      <c r="J154">
        <v>506</v>
      </c>
      <c r="K154">
        <v>687</v>
      </c>
      <c r="L154" t="s">
        <v>2823</v>
      </c>
      <c r="M154">
        <v>54</v>
      </c>
      <c r="N154" t="s">
        <v>2817</v>
      </c>
      <c r="O154">
        <v>206.85140822299999</v>
      </c>
    </row>
    <row r="155" spans="1:15">
      <c r="A155">
        <v>128</v>
      </c>
      <c r="B155" t="s">
        <v>2650</v>
      </c>
      <c r="C155" t="s">
        <v>2344</v>
      </c>
      <c r="D155" t="s">
        <v>2454</v>
      </c>
      <c r="E155" t="s">
        <v>2454</v>
      </c>
      <c r="F155" t="s">
        <v>2213</v>
      </c>
      <c r="G155" t="s">
        <v>2788</v>
      </c>
      <c r="H155" t="s">
        <v>2789</v>
      </c>
      <c r="I155">
        <v>834</v>
      </c>
      <c r="J155">
        <v>554</v>
      </c>
      <c r="K155">
        <v>833</v>
      </c>
      <c r="L155" t="s">
        <v>2824</v>
      </c>
      <c r="M155">
        <v>54</v>
      </c>
      <c r="N155" t="s">
        <v>2817</v>
      </c>
      <c r="O155">
        <v>206.85140822299999</v>
      </c>
    </row>
    <row r="156" spans="1:15">
      <c r="A156">
        <v>129</v>
      </c>
      <c r="B156" t="s">
        <v>2650</v>
      </c>
      <c r="C156" t="s">
        <v>2345</v>
      </c>
      <c r="D156" t="s">
        <v>2454</v>
      </c>
      <c r="E156" t="s">
        <v>2454</v>
      </c>
      <c r="F156" t="s">
        <v>2222</v>
      </c>
      <c r="G156" t="s">
        <v>2788</v>
      </c>
      <c r="H156" t="s">
        <v>2789</v>
      </c>
      <c r="I156">
        <v>819</v>
      </c>
      <c r="J156">
        <v>46</v>
      </c>
      <c r="K156">
        <v>888</v>
      </c>
      <c r="L156" t="s">
        <v>2825</v>
      </c>
      <c r="M156">
        <v>54</v>
      </c>
      <c r="N156" t="s">
        <v>2826</v>
      </c>
      <c r="O156">
        <v>206.85140822299999</v>
      </c>
    </row>
    <row r="157" spans="1:15">
      <c r="A157">
        <v>130</v>
      </c>
      <c r="B157" t="s">
        <v>2650</v>
      </c>
      <c r="C157" t="s">
        <v>2346</v>
      </c>
      <c r="D157" t="s">
        <v>2454</v>
      </c>
      <c r="E157" t="s">
        <v>2454</v>
      </c>
      <c r="F157" t="s">
        <v>2222</v>
      </c>
      <c r="G157" t="s">
        <v>2788</v>
      </c>
      <c r="H157" t="s">
        <v>2789</v>
      </c>
      <c r="I157">
        <v>830</v>
      </c>
      <c r="J157">
        <v>585</v>
      </c>
      <c r="K157">
        <v>708</v>
      </c>
      <c r="L157" t="s">
        <v>2827</v>
      </c>
      <c r="M157">
        <v>54</v>
      </c>
      <c r="N157" t="s">
        <v>2826</v>
      </c>
      <c r="O157">
        <v>206.85140822299999</v>
      </c>
    </row>
    <row r="158" spans="1:15">
      <c r="A158">
        <v>131</v>
      </c>
      <c r="B158" t="s">
        <v>2650</v>
      </c>
      <c r="C158" t="s">
        <v>2347</v>
      </c>
      <c r="D158" t="s">
        <v>2454</v>
      </c>
      <c r="E158" t="s">
        <v>2454</v>
      </c>
      <c r="F158" t="s">
        <v>2222</v>
      </c>
      <c r="G158" t="s">
        <v>2788</v>
      </c>
      <c r="H158" t="s">
        <v>2789</v>
      </c>
      <c r="I158">
        <v>746</v>
      </c>
      <c r="J158">
        <v>476</v>
      </c>
      <c r="K158">
        <v>768</v>
      </c>
      <c r="L158" t="s">
        <v>2828</v>
      </c>
      <c r="M158">
        <v>54</v>
      </c>
      <c r="N158" t="s">
        <v>2826</v>
      </c>
      <c r="O158">
        <v>206.85140822299999</v>
      </c>
    </row>
    <row r="159" spans="1:15">
      <c r="A159">
        <v>132</v>
      </c>
      <c r="B159" t="s">
        <v>2650</v>
      </c>
      <c r="C159" t="s">
        <v>2348</v>
      </c>
      <c r="D159" t="s">
        <v>2454</v>
      </c>
      <c r="E159" t="s">
        <v>2454</v>
      </c>
      <c r="F159" t="s">
        <v>2222</v>
      </c>
      <c r="G159" t="s">
        <v>2788</v>
      </c>
      <c r="H159" t="s">
        <v>2789</v>
      </c>
      <c r="I159">
        <v>725</v>
      </c>
      <c r="J159">
        <v>536</v>
      </c>
      <c r="K159">
        <v>779</v>
      </c>
      <c r="L159" t="s">
        <v>2829</v>
      </c>
      <c r="M159">
        <v>54</v>
      </c>
      <c r="N159" t="s">
        <v>2826</v>
      </c>
      <c r="O159">
        <v>206.85140822299999</v>
      </c>
    </row>
    <row r="160" spans="1:15">
      <c r="A160">
        <v>133</v>
      </c>
      <c r="B160" t="s">
        <v>2650</v>
      </c>
      <c r="C160" t="s">
        <v>2349</v>
      </c>
      <c r="D160" t="s">
        <v>2454</v>
      </c>
      <c r="E160" t="s">
        <v>2454</v>
      </c>
      <c r="F160" t="s">
        <v>2222</v>
      </c>
      <c r="G160" t="s">
        <v>2788</v>
      </c>
      <c r="H160" t="s">
        <v>2789</v>
      </c>
      <c r="I160">
        <v>846</v>
      </c>
      <c r="J160">
        <v>524</v>
      </c>
      <c r="K160">
        <v>799</v>
      </c>
      <c r="L160" t="s">
        <v>2830</v>
      </c>
      <c r="M160">
        <v>54</v>
      </c>
      <c r="N160" t="s">
        <v>2826</v>
      </c>
      <c r="O160">
        <v>206.85140822299999</v>
      </c>
    </row>
    <row r="161" spans="1:15">
      <c r="A161">
        <v>134</v>
      </c>
      <c r="B161" t="s">
        <v>2650</v>
      </c>
      <c r="C161" t="s">
        <v>2350</v>
      </c>
      <c r="D161" t="s">
        <v>2454</v>
      </c>
      <c r="E161" t="s">
        <v>2454</v>
      </c>
      <c r="F161" t="s">
        <v>2222</v>
      </c>
      <c r="G161" t="s">
        <v>2788</v>
      </c>
      <c r="H161" t="s">
        <v>2789</v>
      </c>
      <c r="I161">
        <v>756</v>
      </c>
      <c r="J161">
        <v>600</v>
      </c>
      <c r="K161">
        <v>820</v>
      </c>
      <c r="L161" t="s">
        <v>2831</v>
      </c>
      <c r="M161">
        <v>54</v>
      </c>
      <c r="N161" t="s">
        <v>2826</v>
      </c>
      <c r="O161">
        <v>206.85140822299999</v>
      </c>
    </row>
    <row r="162" spans="1:15">
      <c r="A162">
        <v>135</v>
      </c>
      <c r="B162" t="s">
        <v>2650</v>
      </c>
      <c r="C162" t="s">
        <v>2351</v>
      </c>
      <c r="D162" t="s">
        <v>2454</v>
      </c>
      <c r="E162" t="s">
        <v>2454</v>
      </c>
      <c r="F162" t="s">
        <v>2222</v>
      </c>
      <c r="G162" t="s">
        <v>2788</v>
      </c>
      <c r="H162" t="s">
        <v>2789</v>
      </c>
      <c r="I162">
        <v>745</v>
      </c>
      <c r="J162">
        <v>432</v>
      </c>
      <c r="K162">
        <v>842</v>
      </c>
      <c r="L162" t="s">
        <v>2832</v>
      </c>
      <c r="M162">
        <v>54</v>
      </c>
      <c r="N162" t="s">
        <v>2826</v>
      </c>
      <c r="O162">
        <v>206.85140822299999</v>
      </c>
    </row>
    <row r="163" spans="1:15">
      <c r="A163">
        <v>136</v>
      </c>
      <c r="B163" t="s">
        <v>2650</v>
      </c>
      <c r="C163" t="s">
        <v>2352</v>
      </c>
      <c r="D163" t="s">
        <v>2454</v>
      </c>
      <c r="E163" t="s">
        <v>2454</v>
      </c>
      <c r="F163" t="s">
        <v>2222</v>
      </c>
      <c r="G163" t="s">
        <v>2788</v>
      </c>
      <c r="H163" t="s">
        <v>2789</v>
      </c>
      <c r="I163">
        <v>832</v>
      </c>
      <c r="J163">
        <v>474</v>
      </c>
      <c r="K163">
        <v>747</v>
      </c>
      <c r="L163" t="s">
        <v>2833</v>
      </c>
      <c r="M163">
        <v>54</v>
      </c>
      <c r="N163" t="s">
        <v>2826</v>
      </c>
      <c r="O163">
        <v>206.85140822299999</v>
      </c>
    </row>
    <row r="164" spans="1:15">
      <c r="A164">
        <v>137</v>
      </c>
      <c r="B164" t="s">
        <v>2650</v>
      </c>
      <c r="C164" t="s">
        <v>2353</v>
      </c>
      <c r="D164" t="s">
        <v>2454</v>
      </c>
      <c r="E164" t="s">
        <v>2454</v>
      </c>
      <c r="F164" t="s">
        <v>2239</v>
      </c>
      <c r="G164" t="s">
        <v>2788</v>
      </c>
      <c r="H164" t="s">
        <v>2789</v>
      </c>
      <c r="I164">
        <v>805</v>
      </c>
      <c r="J164">
        <v>34</v>
      </c>
      <c r="K164">
        <v>857</v>
      </c>
      <c r="L164" t="s">
        <v>2834</v>
      </c>
      <c r="M164">
        <v>54</v>
      </c>
      <c r="N164" t="s">
        <v>2835</v>
      </c>
      <c r="O164">
        <v>206.85140822299999</v>
      </c>
    </row>
    <row r="165" spans="1:15">
      <c r="A165">
        <v>138</v>
      </c>
      <c r="B165" t="s">
        <v>2650</v>
      </c>
      <c r="C165" t="s">
        <v>2354</v>
      </c>
      <c r="D165" t="s">
        <v>2454</v>
      </c>
      <c r="E165" t="s">
        <v>2454</v>
      </c>
      <c r="F165" t="s">
        <v>2239</v>
      </c>
      <c r="G165" t="s">
        <v>2788</v>
      </c>
      <c r="H165" t="s">
        <v>2789</v>
      </c>
      <c r="I165">
        <v>815</v>
      </c>
      <c r="J165">
        <v>426</v>
      </c>
      <c r="K165">
        <v>623</v>
      </c>
      <c r="L165" t="s">
        <v>2836</v>
      </c>
      <c r="M165">
        <v>54</v>
      </c>
      <c r="N165" t="s">
        <v>2835</v>
      </c>
      <c r="O165">
        <v>206.85140822299999</v>
      </c>
    </row>
    <row r="166" spans="1:15">
      <c r="A166">
        <v>139</v>
      </c>
      <c r="B166" t="s">
        <v>2650</v>
      </c>
      <c r="C166" t="s">
        <v>2355</v>
      </c>
      <c r="D166" t="s">
        <v>2454</v>
      </c>
      <c r="E166" t="s">
        <v>2454</v>
      </c>
      <c r="F166" t="s">
        <v>2239</v>
      </c>
      <c r="G166" t="s">
        <v>2788</v>
      </c>
      <c r="H166" t="s">
        <v>2789</v>
      </c>
      <c r="I166">
        <v>798</v>
      </c>
      <c r="J166">
        <v>563</v>
      </c>
      <c r="K166">
        <v>880</v>
      </c>
      <c r="L166" t="s">
        <v>2837</v>
      </c>
      <c r="M166">
        <v>54</v>
      </c>
      <c r="N166" t="s">
        <v>2835</v>
      </c>
      <c r="O166">
        <v>206.85140822299999</v>
      </c>
    </row>
    <row r="167" spans="1:15">
      <c r="A167">
        <v>140</v>
      </c>
      <c r="B167" t="s">
        <v>2650</v>
      </c>
      <c r="C167" t="s">
        <v>2357</v>
      </c>
      <c r="D167" t="s">
        <v>2454</v>
      </c>
      <c r="E167" t="s">
        <v>2454</v>
      </c>
      <c r="F167" t="s">
        <v>2239</v>
      </c>
      <c r="G167" t="s">
        <v>2788</v>
      </c>
      <c r="H167" t="s">
        <v>2789</v>
      </c>
      <c r="I167">
        <v>787</v>
      </c>
      <c r="J167">
        <v>535</v>
      </c>
      <c r="K167">
        <v>706</v>
      </c>
      <c r="L167" t="s">
        <v>2838</v>
      </c>
      <c r="M167">
        <v>54</v>
      </c>
      <c r="N167" t="s">
        <v>2835</v>
      </c>
      <c r="O167">
        <v>206.85140822299999</v>
      </c>
    </row>
    <row r="168" spans="1:15">
      <c r="A168">
        <v>141</v>
      </c>
      <c r="B168" t="s">
        <v>2650</v>
      </c>
      <c r="C168" t="s">
        <v>2358</v>
      </c>
      <c r="D168" t="s">
        <v>2454</v>
      </c>
      <c r="E168" t="s">
        <v>2454</v>
      </c>
      <c r="F168" t="s">
        <v>2239</v>
      </c>
      <c r="G168" t="s">
        <v>2788</v>
      </c>
      <c r="H168" t="s">
        <v>2789</v>
      </c>
      <c r="I168">
        <v>900</v>
      </c>
      <c r="J168">
        <v>581</v>
      </c>
      <c r="K168">
        <v>775</v>
      </c>
      <c r="L168" t="s">
        <v>2839</v>
      </c>
      <c r="M168">
        <v>54</v>
      </c>
      <c r="N168" t="s">
        <v>2835</v>
      </c>
      <c r="O168">
        <v>206.85140822299999</v>
      </c>
    </row>
    <row r="169" spans="1:15">
      <c r="A169">
        <v>142</v>
      </c>
      <c r="B169" t="s">
        <v>2650</v>
      </c>
      <c r="C169" t="s">
        <v>2359</v>
      </c>
      <c r="D169" t="s">
        <v>2454</v>
      </c>
      <c r="E169" t="s">
        <v>2454</v>
      </c>
      <c r="F169" t="s">
        <v>2239</v>
      </c>
      <c r="G169" t="s">
        <v>2788</v>
      </c>
      <c r="H169" t="s">
        <v>2789</v>
      </c>
      <c r="I169">
        <v>817</v>
      </c>
      <c r="J169">
        <v>460</v>
      </c>
      <c r="K169">
        <v>850</v>
      </c>
      <c r="L169" t="s">
        <v>2840</v>
      </c>
      <c r="M169">
        <v>54</v>
      </c>
      <c r="N169" t="s">
        <v>2835</v>
      </c>
      <c r="O169">
        <v>206.85140822299999</v>
      </c>
    </row>
    <row r="170" spans="1:15">
      <c r="A170">
        <v>143</v>
      </c>
      <c r="B170" t="s">
        <v>2650</v>
      </c>
      <c r="C170" t="s">
        <v>2360</v>
      </c>
      <c r="D170" t="s">
        <v>2454</v>
      </c>
      <c r="E170" t="s">
        <v>2454</v>
      </c>
      <c r="F170" t="s">
        <v>2239</v>
      </c>
      <c r="G170" t="s">
        <v>2788</v>
      </c>
      <c r="H170" t="s">
        <v>2789</v>
      </c>
      <c r="I170">
        <v>836</v>
      </c>
      <c r="J170">
        <v>456</v>
      </c>
      <c r="K170">
        <v>697</v>
      </c>
      <c r="L170" t="s">
        <v>2841</v>
      </c>
      <c r="M170">
        <v>54</v>
      </c>
      <c r="N170" t="s">
        <v>2835</v>
      </c>
      <c r="O170">
        <v>206.85140822299999</v>
      </c>
    </row>
    <row r="171" spans="1:15">
      <c r="A171">
        <v>144</v>
      </c>
      <c r="B171" t="s">
        <v>2650</v>
      </c>
      <c r="C171" t="s">
        <v>2361</v>
      </c>
      <c r="D171" t="s">
        <v>2454</v>
      </c>
      <c r="E171" t="s">
        <v>2454</v>
      </c>
      <c r="F171" t="s">
        <v>2239</v>
      </c>
      <c r="G171" t="s">
        <v>2788</v>
      </c>
      <c r="H171" t="s">
        <v>2789</v>
      </c>
      <c r="I171">
        <v>784</v>
      </c>
      <c r="J171">
        <v>571</v>
      </c>
      <c r="K171">
        <v>894</v>
      </c>
      <c r="L171" t="s">
        <v>2842</v>
      </c>
      <c r="M171">
        <v>54</v>
      </c>
      <c r="N171" t="s">
        <v>2835</v>
      </c>
      <c r="O171">
        <v>206.85140822299999</v>
      </c>
    </row>
    <row r="172" spans="1:15">
      <c r="A172">
        <v>147</v>
      </c>
      <c r="B172" t="s">
        <v>2650</v>
      </c>
      <c r="C172" t="s">
        <v>2364</v>
      </c>
      <c r="D172" t="s">
        <v>2454</v>
      </c>
      <c r="E172" t="s">
        <v>2454</v>
      </c>
      <c r="F172" t="s">
        <v>2251</v>
      </c>
      <c r="G172" t="s">
        <v>2788</v>
      </c>
      <c r="H172" t="s">
        <v>2789</v>
      </c>
      <c r="I172">
        <v>678</v>
      </c>
      <c r="J172">
        <v>573</v>
      </c>
      <c r="K172">
        <v>878</v>
      </c>
      <c r="L172" t="s">
        <v>2847</v>
      </c>
      <c r="M172">
        <v>54</v>
      </c>
      <c r="N172" t="s">
        <v>2845</v>
      </c>
      <c r="O172">
        <v>206.85140822299999</v>
      </c>
    </row>
    <row r="173" spans="1:15">
      <c r="A173">
        <v>148</v>
      </c>
      <c r="B173" t="s">
        <v>2650</v>
      </c>
      <c r="C173" t="s">
        <v>2365</v>
      </c>
      <c r="D173" t="s">
        <v>2454</v>
      </c>
      <c r="E173" t="s">
        <v>2454</v>
      </c>
      <c r="F173" t="s">
        <v>2251</v>
      </c>
      <c r="G173" t="s">
        <v>2788</v>
      </c>
      <c r="H173" t="s">
        <v>2789</v>
      </c>
      <c r="I173">
        <v>835</v>
      </c>
      <c r="J173">
        <v>472</v>
      </c>
      <c r="K173">
        <v>807</v>
      </c>
      <c r="L173" t="s">
        <v>2848</v>
      </c>
      <c r="M173">
        <v>54</v>
      </c>
      <c r="N173" t="s">
        <v>2845</v>
      </c>
      <c r="O173">
        <v>206.85140822299999</v>
      </c>
    </row>
    <row r="174" spans="1:15">
      <c r="A174">
        <v>149</v>
      </c>
      <c r="B174" t="s">
        <v>2650</v>
      </c>
      <c r="C174" t="s">
        <v>2366</v>
      </c>
      <c r="D174" t="s">
        <v>2454</v>
      </c>
      <c r="E174" t="s">
        <v>2454</v>
      </c>
      <c r="F174" t="s">
        <v>2251</v>
      </c>
      <c r="G174" t="s">
        <v>2788</v>
      </c>
      <c r="H174" t="s">
        <v>2789</v>
      </c>
      <c r="I174">
        <v>733</v>
      </c>
      <c r="J174">
        <v>545</v>
      </c>
      <c r="K174">
        <v>696</v>
      </c>
      <c r="L174" t="s">
        <v>2849</v>
      </c>
      <c r="M174">
        <v>54</v>
      </c>
      <c r="N174" t="s">
        <v>2845</v>
      </c>
      <c r="O174">
        <v>206.85140822299999</v>
      </c>
    </row>
    <row r="175" spans="1:15">
      <c r="A175">
        <v>150</v>
      </c>
      <c r="B175" t="s">
        <v>2650</v>
      </c>
      <c r="C175" t="s">
        <v>2367</v>
      </c>
      <c r="D175" t="s">
        <v>2454</v>
      </c>
      <c r="E175" t="s">
        <v>2454</v>
      </c>
      <c r="F175" t="s">
        <v>2251</v>
      </c>
      <c r="G175" t="s">
        <v>2788</v>
      </c>
      <c r="H175" t="s">
        <v>2789</v>
      </c>
      <c r="I175">
        <v>658</v>
      </c>
      <c r="J175">
        <v>7</v>
      </c>
      <c r="K175">
        <v>801</v>
      </c>
      <c r="L175" t="s">
        <v>2850</v>
      </c>
      <c r="M175">
        <v>54</v>
      </c>
      <c r="N175" t="s">
        <v>2845</v>
      </c>
      <c r="O175">
        <v>206.85140822299999</v>
      </c>
    </row>
    <row r="176" spans="1:15">
      <c r="A176">
        <v>151</v>
      </c>
      <c r="B176" t="s">
        <v>2650</v>
      </c>
      <c r="C176" t="s">
        <v>2368</v>
      </c>
      <c r="D176" t="s">
        <v>2454</v>
      </c>
      <c r="E176" t="s">
        <v>2454</v>
      </c>
      <c r="F176" t="s">
        <v>2251</v>
      </c>
      <c r="G176" t="s">
        <v>2788</v>
      </c>
      <c r="H176" t="s">
        <v>2789</v>
      </c>
      <c r="I176">
        <v>567</v>
      </c>
      <c r="J176">
        <v>447</v>
      </c>
      <c r="K176">
        <v>647</v>
      </c>
      <c r="L176" t="s">
        <v>2851</v>
      </c>
      <c r="M176">
        <v>54</v>
      </c>
      <c r="N176" t="s">
        <v>2845</v>
      </c>
      <c r="O176">
        <v>206.85140822299999</v>
      </c>
    </row>
    <row r="177" spans="1:15">
      <c r="A177">
        <v>152</v>
      </c>
      <c r="B177" t="s">
        <v>2650</v>
      </c>
      <c r="C177" t="s">
        <v>2369</v>
      </c>
      <c r="D177" t="s">
        <v>2454</v>
      </c>
      <c r="E177" t="s">
        <v>2454</v>
      </c>
      <c r="F177" t="s">
        <v>2251</v>
      </c>
      <c r="G177" t="s">
        <v>2788</v>
      </c>
      <c r="H177" t="s">
        <v>2789</v>
      </c>
      <c r="I177">
        <v>853</v>
      </c>
      <c r="J177">
        <v>591</v>
      </c>
      <c r="K177">
        <v>744</v>
      </c>
      <c r="L177" t="s">
        <v>2852</v>
      </c>
      <c r="M177">
        <v>54</v>
      </c>
      <c r="N177" t="s">
        <v>2845</v>
      </c>
      <c r="O177">
        <v>206.85140822299999</v>
      </c>
    </row>
    <row r="178" spans="1:15">
      <c r="A178">
        <v>153</v>
      </c>
      <c r="B178" t="s">
        <v>2650</v>
      </c>
      <c r="C178" t="s">
        <v>2371</v>
      </c>
      <c r="D178" t="s">
        <v>2454</v>
      </c>
      <c r="E178" t="s">
        <v>2454</v>
      </c>
      <c r="F178" t="s">
        <v>2260</v>
      </c>
      <c r="G178" t="s">
        <v>2788</v>
      </c>
      <c r="H178" t="s">
        <v>2789</v>
      </c>
      <c r="I178">
        <v>800</v>
      </c>
      <c r="J178">
        <v>479</v>
      </c>
      <c r="K178">
        <v>885</v>
      </c>
      <c r="L178" t="s">
        <v>2853</v>
      </c>
      <c r="M178">
        <v>54</v>
      </c>
      <c r="N178" t="s">
        <v>2854</v>
      </c>
      <c r="O178">
        <v>206.85140822299999</v>
      </c>
    </row>
    <row r="179" spans="1:15">
      <c r="A179">
        <v>154</v>
      </c>
      <c r="B179" t="s">
        <v>2650</v>
      </c>
      <c r="C179" t="s">
        <v>2372</v>
      </c>
      <c r="D179" t="s">
        <v>2454</v>
      </c>
      <c r="E179" t="s">
        <v>2454</v>
      </c>
      <c r="F179" t="s">
        <v>2260</v>
      </c>
      <c r="G179" t="s">
        <v>2788</v>
      </c>
      <c r="H179" t="s">
        <v>2789</v>
      </c>
      <c r="I179">
        <v>675</v>
      </c>
      <c r="J179">
        <v>493</v>
      </c>
      <c r="K179">
        <v>684</v>
      </c>
      <c r="L179" t="s">
        <v>2855</v>
      </c>
      <c r="M179">
        <v>54</v>
      </c>
      <c r="N179" t="s">
        <v>2854</v>
      </c>
      <c r="O179">
        <v>206.85140822299999</v>
      </c>
    </row>
    <row r="180" spans="1:15">
      <c r="A180">
        <v>155</v>
      </c>
      <c r="B180" t="s">
        <v>2650</v>
      </c>
      <c r="C180" t="s">
        <v>2373</v>
      </c>
      <c r="D180" t="s">
        <v>2454</v>
      </c>
      <c r="E180" t="s">
        <v>2454</v>
      </c>
      <c r="F180" t="s">
        <v>2260</v>
      </c>
      <c r="G180" t="s">
        <v>2788</v>
      </c>
      <c r="H180" t="s">
        <v>2789</v>
      </c>
      <c r="I180">
        <v>859</v>
      </c>
      <c r="J180">
        <v>484</v>
      </c>
      <c r="K180">
        <v>827</v>
      </c>
      <c r="L180" t="s">
        <v>2856</v>
      </c>
      <c r="M180">
        <v>54</v>
      </c>
      <c r="N180" t="s">
        <v>2854</v>
      </c>
      <c r="O180">
        <v>206.85140822299999</v>
      </c>
    </row>
    <row r="181" spans="1:15">
      <c r="A181">
        <v>156</v>
      </c>
      <c r="B181" t="s">
        <v>2650</v>
      </c>
      <c r="C181" t="s">
        <v>2374</v>
      </c>
      <c r="D181" t="s">
        <v>2454</v>
      </c>
      <c r="E181" t="s">
        <v>2454</v>
      </c>
      <c r="F181" t="s">
        <v>2260</v>
      </c>
      <c r="G181" t="s">
        <v>2788</v>
      </c>
      <c r="H181" t="s">
        <v>2789</v>
      </c>
      <c r="I181">
        <v>654</v>
      </c>
      <c r="J181">
        <v>598</v>
      </c>
      <c r="K181">
        <v>667</v>
      </c>
      <c r="L181" t="s">
        <v>2857</v>
      </c>
      <c r="M181">
        <v>54</v>
      </c>
      <c r="N181" t="s">
        <v>2854</v>
      </c>
      <c r="O181">
        <v>206.85140822299999</v>
      </c>
    </row>
    <row r="182" spans="1:15">
      <c r="A182">
        <v>157</v>
      </c>
      <c r="B182" t="s">
        <v>2650</v>
      </c>
      <c r="C182" t="s">
        <v>2376</v>
      </c>
      <c r="D182" t="s">
        <v>2454</v>
      </c>
      <c r="E182" t="s">
        <v>2454</v>
      </c>
      <c r="F182" t="s">
        <v>2260</v>
      </c>
      <c r="G182" t="s">
        <v>2788</v>
      </c>
      <c r="H182" t="s">
        <v>2789</v>
      </c>
      <c r="I182">
        <v>890</v>
      </c>
      <c r="J182">
        <v>30</v>
      </c>
      <c r="K182">
        <v>777</v>
      </c>
      <c r="L182" t="s">
        <v>2858</v>
      </c>
      <c r="M182">
        <v>54</v>
      </c>
      <c r="N182" t="s">
        <v>2854</v>
      </c>
      <c r="O182">
        <v>206.85140822299999</v>
      </c>
    </row>
    <row r="183" spans="1:15">
      <c r="A183">
        <v>158</v>
      </c>
      <c r="B183" t="s">
        <v>2650</v>
      </c>
      <c r="C183" t="s">
        <v>2377</v>
      </c>
      <c r="D183" t="s">
        <v>2454</v>
      </c>
      <c r="E183" t="s">
        <v>2454</v>
      </c>
      <c r="F183" t="s">
        <v>2260</v>
      </c>
      <c r="G183" t="s">
        <v>2788</v>
      </c>
      <c r="H183" t="s">
        <v>2789</v>
      </c>
      <c r="I183">
        <v>576</v>
      </c>
      <c r="J183">
        <v>16</v>
      </c>
      <c r="K183">
        <v>884</v>
      </c>
      <c r="L183" t="s">
        <v>2859</v>
      </c>
      <c r="M183">
        <v>54</v>
      </c>
      <c r="N183" t="s">
        <v>2854</v>
      </c>
      <c r="O183">
        <v>206.85140822299999</v>
      </c>
    </row>
    <row r="184" spans="1:15">
      <c r="A184">
        <v>159</v>
      </c>
      <c r="B184" t="s">
        <v>2650</v>
      </c>
      <c r="C184" t="s">
        <v>2378</v>
      </c>
      <c r="D184" t="s">
        <v>2454</v>
      </c>
      <c r="E184" t="s">
        <v>2454</v>
      </c>
      <c r="F184" t="s">
        <v>2260</v>
      </c>
      <c r="G184" t="s">
        <v>2788</v>
      </c>
      <c r="H184" t="s">
        <v>2789</v>
      </c>
      <c r="I184">
        <v>829</v>
      </c>
      <c r="J184">
        <v>499</v>
      </c>
      <c r="K184">
        <v>731</v>
      </c>
      <c r="L184" t="s">
        <v>2860</v>
      </c>
      <c r="M184">
        <v>54</v>
      </c>
      <c r="N184" t="s">
        <v>2854</v>
      </c>
      <c r="O184">
        <v>206.85140822299999</v>
      </c>
    </row>
    <row r="185" spans="1:15">
      <c r="A185">
        <v>160</v>
      </c>
      <c r="B185" t="s">
        <v>2650</v>
      </c>
      <c r="C185" t="s">
        <v>2379</v>
      </c>
      <c r="D185" t="s">
        <v>2454</v>
      </c>
      <c r="E185" t="s">
        <v>2454</v>
      </c>
      <c r="F185" t="s">
        <v>2260</v>
      </c>
      <c r="G185" t="s">
        <v>2788</v>
      </c>
      <c r="H185" t="s">
        <v>2789</v>
      </c>
      <c r="I185">
        <v>809</v>
      </c>
      <c r="J185">
        <v>421</v>
      </c>
      <c r="K185">
        <v>876</v>
      </c>
      <c r="L185" t="s">
        <v>2861</v>
      </c>
      <c r="M185">
        <v>54</v>
      </c>
      <c r="N185" t="s">
        <v>2854</v>
      </c>
      <c r="O185">
        <v>206.85140822299999</v>
      </c>
    </row>
    <row r="186" spans="1:15">
      <c r="A186">
        <v>41</v>
      </c>
      <c r="B186" t="s">
        <v>2171</v>
      </c>
      <c r="C186" t="s">
        <v>2238</v>
      </c>
      <c r="D186" t="s">
        <v>2643</v>
      </c>
      <c r="E186" t="s">
        <v>2454</v>
      </c>
      <c r="F186" t="s">
        <v>2239</v>
      </c>
      <c r="G186" t="s">
        <v>2680</v>
      </c>
      <c r="H186" t="s">
        <v>2717</v>
      </c>
      <c r="I186">
        <v>453</v>
      </c>
      <c r="J186">
        <v>521</v>
      </c>
      <c r="K186">
        <v>626</v>
      </c>
      <c r="L186" t="s">
        <v>2727</v>
      </c>
      <c r="M186">
        <v>54</v>
      </c>
      <c r="N186" t="s">
        <v>2728</v>
      </c>
      <c r="O186">
        <v>214.262898705</v>
      </c>
    </row>
    <row r="187" spans="1:15">
      <c r="A187">
        <v>42</v>
      </c>
      <c r="B187" t="s">
        <v>2171</v>
      </c>
      <c r="C187" t="s">
        <v>2240</v>
      </c>
      <c r="D187" t="s">
        <v>2643</v>
      </c>
      <c r="E187" t="s">
        <v>2454</v>
      </c>
      <c r="F187" t="s">
        <v>2239</v>
      </c>
      <c r="G187" t="s">
        <v>2680</v>
      </c>
      <c r="H187" t="s">
        <v>2717</v>
      </c>
      <c r="I187">
        <v>764</v>
      </c>
      <c r="J187">
        <v>371</v>
      </c>
      <c r="K187">
        <v>437</v>
      </c>
      <c r="L187" t="s">
        <v>2729</v>
      </c>
      <c r="M187">
        <v>54</v>
      </c>
      <c r="N187" t="s">
        <v>2728</v>
      </c>
      <c r="O187">
        <v>214.262898705</v>
      </c>
    </row>
    <row r="188" spans="1:15">
      <c r="A188">
        <v>43</v>
      </c>
      <c r="B188" t="s">
        <v>2171</v>
      </c>
      <c r="C188" t="s">
        <v>2242</v>
      </c>
      <c r="D188" t="s">
        <v>2643</v>
      </c>
      <c r="E188" t="s">
        <v>2454</v>
      </c>
      <c r="F188" t="s">
        <v>2239</v>
      </c>
      <c r="G188" t="s">
        <v>2680</v>
      </c>
      <c r="H188" t="s">
        <v>2717</v>
      </c>
      <c r="I188">
        <v>690</v>
      </c>
      <c r="J188">
        <v>376</v>
      </c>
      <c r="K188">
        <v>643</v>
      </c>
      <c r="L188" t="s">
        <v>2730</v>
      </c>
      <c r="M188">
        <v>54</v>
      </c>
      <c r="N188" t="s">
        <v>2728</v>
      </c>
      <c r="O188">
        <v>214.262898705</v>
      </c>
    </row>
    <row r="189" spans="1:15">
      <c r="A189">
        <v>44</v>
      </c>
      <c r="B189" t="s">
        <v>2171</v>
      </c>
      <c r="C189" t="s">
        <v>2243</v>
      </c>
      <c r="D189" t="s">
        <v>2643</v>
      </c>
      <c r="E189" t="s">
        <v>2454</v>
      </c>
      <c r="F189" t="s">
        <v>2239</v>
      </c>
      <c r="G189" t="s">
        <v>2680</v>
      </c>
      <c r="H189" t="s">
        <v>2717</v>
      </c>
      <c r="I189">
        <v>774</v>
      </c>
      <c r="J189">
        <v>166</v>
      </c>
      <c r="K189">
        <v>283</v>
      </c>
      <c r="L189" t="s">
        <v>2731</v>
      </c>
      <c r="M189">
        <v>54</v>
      </c>
      <c r="N189" t="s">
        <v>2728</v>
      </c>
      <c r="O189">
        <v>214.262898705</v>
      </c>
    </row>
    <row r="190" spans="1:15">
      <c r="A190">
        <v>45</v>
      </c>
      <c r="B190" t="s">
        <v>2171</v>
      </c>
      <c r="C190" t="s">
        <v>2244</v>
      </c>
      <c r="D190" t="s">
        <v>2643</v>
      </c>
      <c r="E190" t="s">
        <v>2454</v>
      </c>
      <c r="F190" t="s">
        <v>2239</v>
      </c>
      <c r="G190" t="s">
        <v>2680</v>
      </c>
      <c r="H190" t="s">
        <v>2717</v>
      </c>
      <c r="I190">
        <v>519</v>
      </c>
      <c r="J190">
        <v>469</v>
      </c>
      <c r="K190">
        <v>602</v>
      </c>
      <c r="L190" t="s">
        <v>2732</v>
      </c>
      <c r="M190">
        <v>54</v>
      </c>
      <c r="N190" t="s">
        <v>2728</v>
      </c>
      <c r="O190">
        <v>214.262898705</v>
      </c>
    </row>
    <row r="191" spans="1:15">
      <c r="A191">
        <v>46</v>
      </c>
      <c r="B191" t="s">
        <v>2171</v>
      </c>
      <c r="C191" t="s">
        <v>2246</v>
      </c>
      <c r="D191" t="s">
        <v>2643</v>
      </c>
      <c r="E191" t="s">
        <v>2454</v>
      </c>
      <c r="F191" t="s">
        <v>2239</v>
      </c>
      <c r="G191" t="s">
        <v>2680</v>
      </c>
      <c r="H191" t="s">
        <v>2717</v>
      </c>
      <c r="I191">
        <v>635</v>
      </c>
      <c r="J191">
        <v>86</v>
      </c>
      <c r="K191">
        <v>427</v>
      </c>
      <c r="L191" t="s">
        <v>2733</v>
      </c>
      <c r="M191">
        <v>54</v>
      </c>
      <c r="N191" t="s">
        <v>2728</v>
      </c>
      <c r="O191">
        <v>214.262898705</v>
      </c>
    </row>
    <row r="192" spans="1:15">
      <c r="A192">
        <v>47</v>
      </c>
      <c r="B192" t="s">
        <v>2171</v>
      </c>
      <c r="C192" t="s">
        <v>2247</v>
      </c>
      <c r="D192" t="s">
        <v>2643</v>
      </c>
      <c r="E192" t="s">
        <v>2454</v>
      </c>
      <c r="F192" t="s">
        <v>2239</v>
      </c>
      <c r="G192" t="s">
        <v>2680</v>
      </c>
      <c r="H192" t="s">
        <v>2717</v>
      </c>
      <c r="I192">
        <v>539</v>
      </c>
      <c r="J192">
        <v>146</v>
      </c>
      <c r="K192">
        <v>512</v>
      </c>
      <c r="L192" t="s">
        <v>2734</v>
      </c>
      <c r="M192">
        <v>54</v>
      </c>
      <c r="N192" t="s">
        <v>2728</v>
      </c>
      <c r="O192">
        <v>214.262898705</v>
      </c>
    </row>
    <row r="193" spans="1:15">
      <c r="A193">
        <v>48</v>
      </c>
      <c r="B193" t="s">
        <v>2171</v>
      </c>
      <c r="C193" t="s">
        <v>2249</v>
      </c>
      <c r="D193" t="s">
        <v>2643</v>
      </c>
      <c r="E193" t="s">
        <v>2454</v>
      </c>
      <c r="F193" t="s">
        <v>2239</v>
      </c>
      <c r="G193" t="s">
        <v>2680</v>
      </c>
      <c r="H193" t="s">
        <v>2717</v>
      </c>
      <c r="I193">
        <v>679</v>
      </c>
      <c r="J193">
        <v>72</v>
      </c>
      <c r="K193">
        <v>299</v>
      </c>
      <c r="L193" t="s">
        <v>2735</v>
      </c>
      <c r="M193">
        <v>54</v>
      </c>
      <c r="N193" t="s">
        <v>2728</v>
      </c>
      <c r="O193">
        <v>214.262898705</v>
      </c>
    </row>
    <row r="194" spans="1:15">
      <c r="A194">
        <v>49</v>
      </c>
      <c r="B194" t="s">
        <v>2171</v>
      </c>
      <c r="C194" t="s">
        <v>2250</v>
      </c>
      <c r="D194" t="s">
        <v>2643</v>
      </c>
      <c r="E194" t="s">
        <v>2454</v>
      </c>
      <c r="F194" t="s">
        <v>2251</v>
      </c>
      <c r="G194" t="s">
        <v>2680</v>
      </c>
      <c r="H194" t="s">
        <v>2717</v>
      </c>
      <c r="I194">
        <v>346</v>
      </c>
      <c r="J194">
        <v>28</v>
      </c>
      <c r="K194">
        <v>739</v>
      </c>
      <c r="L194" t="s">
        <v>2736</v>
      </c>
      <c r="M194">
        <v>54</v>
      </c>
      <c r="N194" t="s">
        <v>2737</v>
      </c>
      <c r="O194">
        <v>214.262898705</v>
      </c>
    </row>
    <row r="195" spans="1:15">
      <c r="A195">
        <v>50</v>
      </c>
      <c r="B195" t="s">
        <v>2171</v>
      </c>
      <c r="C195" t="s">
        <v>2252</v>
      </c>
      <c r="D195" t="s">
        <v>2643</v>
      </c>
      <c r="E195" t="s">
        <v>2454</v>
      </c>
      <c r="F195" t="s">
        <v>2251</v>
      </c>
      <c r="G195" t="s">
        <v>2680</v>
      </c>
      <c r="H195" t="s">
        <v>2717</v>
      </c>
      <c r="I195">
        <v>418</v>
      </c>
      <c r="J195">
        <v>5</v>
      </c>
      <c r="K195">
        <v>559</v>
      </c>
      <c r="L195" t="s">
        <v>2738</v>
      </c>
      <c r="M195">
        <v>54</v>
      </c>
      <c r="N195" t="s">
        <v>2737</v>
      </c>
      <c r="O195">
        <v>214.262898705</v>
      </c>
    </row>
    <row r="196" spans="1:15">
      <c r="A196">
        <v>51</v>
      </c>
      <c r="B196" t="s">
        <v>2171</v>
      </c>
      <c r="C196" t="s">
        <v>2253</v>
      </c>
      <c r="D196" t="s">
        <v>2643</v>
      </c>
      <c r="E196" t="s">
        <v>2454</v>
      </c>
      <c r="F196" t="s">
        <v>2251</v>
      </c>
      <c r="G196" t="s">
        <v>2680</v>
      </c>
      <c r="H196" t="s">
        <v>2717</v>
      </c>
      <c r="I196">
        <v>548</v>
      </c>
      <c r="J196">
        <v>85</v>
      </c>
      <c r="K196">
        <v>856</v>
      </c>
      <c r="L196" t="s">
        <v>2739</v>
      </c>
      <c r="M196">
        <v>54</v>
      </c>
      <c r="N196" t="s">
        <v>2737</v>
      </c>
      <c r="O196">
        <v>214.262898705</v>
      </c>
    </row>
    <row r="197" spans="1:15">
      <c r="A197">
        <v>52</v>
      </c>
      <c r="B197" t="s">
        <v>2171</v>
      </c>
      <c r="C197" t="s">
        <v>2254</v>
      </c>
      <c r="D197" t="s">
        <v>2643</v>
      </c>
      <c r="E197" t="s">
        <v>2454</v>
      </c>
      <c r="F197" t="s">
        <v>2251</v>
      </c>
      <c r="G197" t="s">
        <v>2680</v>
      </c>
      <c r="H197" t="s">
        <v>2717</v>
      </c>
      <c r="I197">
        <v>638</v>
      </c>
      <c r="J197">
        <v>513</v>
      </c>
      <c r="K197">
        <v>599</v>
      </c>
      <c r="L197" t="s">
        <v>2740</v>
      </c>
      <c r="M197">
        <v>54</v>
      </c>
      <c r="N197" t="s">
        <v>2737</v>
      </c>
      <c r="O197">
        <v>214.262898705</v>
      </c>
    </row>
    <row r="198" spans="1:15">
      <c r="A198">
        <v>53</v>
      </c>
      <c r="B198" t="s">
        <v>2171</v>
      </c>
      <c r="C198" t="s">
        <v>2255</v>
      </c>
      <c r="D198" t="s">
        <v>2643</v>
      </c>
      <c r="E198" t="s">
        <v>2454</v>
      </c>
      <c r="F198" t="s">
        <v>2251</v>
      </c>
      <c r="G198" t="s">
        <v>2680</v>
      </c>
      <c r="H198" t="s">
        <v>2717</v>
      </c>
      <c r="I198">
        <v>426</v>
      </c>
      <c r="J198">
        <v>399</v>
      </c>
      <c r="K198">
        <v>683</v>
      </c>
      <c r="L198" t="s">
        <v>2741</v>
      </c>
      <c r="M198">
        <v>54</v>
      </c>
      <c r="N198" t="s">
        <v>2737</v>
      </c>
      <c r="O198">
        <v>214.262898705</v>
      </c>
    </row>
    <row r="199" spans="1:15">
      <c r="A199">
        <v>54</v>
      </c>
      <c r="B199" t="s">
        <v>2171</v>
      </c>
      <c r="C199" t="s">
        <v>2256</v>
      </c>
      <c r="D199" t="s">
        <v>2643</v>
      </c>
      <c r="E199" t="s">
        <v>2454</v>
      </c>
      <c r="F199" t="s">
        <v>2251</v>
      </c>
      <c r="G199" t="s">
        <v>2680</v>
      </c>
      <c r="H199" t="s">
        <v>2717</v>
      </c>
      <c r="I199">
        <v>589</v>
      </c>
      <c r="J199">
        <v>400</v>
      </c>
      <c r="K199">
        <v>288</v>
      </c>
      <c r="L199" t="s">
        <v>2742</v>
      </c>
      <c r="M199">
        <v>54</v>
      </c>
      <c r="N199" t="s">
        <v>2737</v>
      </c>
      <c r="O199">
        <v>214.262898705</v>
      </c>
    </row>
    <row r="200" spans="1:15">
      <c r="A200">
        <v>55</v>
      </c>
      <c r="B200" t="s">
        <v>2171</v>
      </c>
      <c r="C200" t="s">
        <v>2257</v>
      </c>
      <c r="D200" t="s">
        <v>2643</v>
      </c>
      <c r="E200" t="s">
        <v>2454</v>
      </c>
      <c r="F200" t="s">
        <v>2251</v>
      </c>
      <c r="G200" t="s">
        <v>2680</v>
      </c>
      <c r="H200" t="s">
        <v>2717</v>
      </c>
      <c r="I200">
        <v>622</v>
      </c>
      <c r="J200">
        <v>19</v>
      </c>
      <c r="K200">
        <v>616</v>
      </c>
      <c r="L200" t="s">
        <v>2484</v>
      </c>
      <c r="M200">
        <v>54</v>
      </c>
      <c r="N200" t="s">
        <v>2737</v>
      </c>
      <c r="O200">
        <v>214.262898705</v>
      </c>
    </row>
    <row r="201" spans="1:15">
      <c r="A201">
        <v>56</v>
      </c>
      <c r="B201" t="s">
        <v>2171</v>
      </c>
      <c r="C201" t="s">
        <v>2258</v>
      </c>
      <c r="D201" t="s">
        <v>2643</v>
      </c>
      <c r="E201" t="s">
        <v>2454</v>
      </c>
      <c r="F201" t="s">
        <v>2251</v>
      </c>
      <c r="G201" t="s">
        <v>2680</v>
      </c>
      <c r="H201" t="s">
        <v>2717</v>
      </c>
      <c r="I201">
        <v>538</v>
      </c>
      <c r="J201">
        <v>60</v>
      </c>
      <c r="K201">
        <v>557</v>
      </c>
      <c r="L201" t="s">
        <v>2743</v>
      </c>
      <c r="M201">
        <v>54</v>
      </c>
      <c r="N201" t="s">
        <v>2737</v>
      </c>
      <c r="O201">
        <v>214.262898705</v>
      </c>
    </row>
    <row r="202" spans="1:15">
      <c r="A202">
        <v>57</v>
      </c>
      <c r="B202" t="s">
        <v>2171</v>
      </c>
      <c r="C202" t="s">
        <v>2259</v>
      </c>
      <c r="D202" t="s">
        <v>2643</v>
      </c>
      <c r="E202" t="s">
        <v>2454</v>
      </c>
      <c r="F202" t="s">
        <v>2260</v>
      </c>
      <c r="G202" t="s">
        <v>2680</v>
      </c>
      <c r="H202" t="s">
        <v>2717</v>
      </c>
      <c r="I202">
        <v>540</v>
      </c>
      <c r="J202">
        <v>161</v>
      </c>
      <c r="K202">
        <v>618</v>
      </c>
      <c r="L202" t="s">
        <v>2744</v>
      </c>
      <c r="M202">
        <v>54</v>
      </c>
      <c r="N202" t="s">
        <v>2745</v>
      </c>
      <c r="O202">
        <v>214.262898705</v>
      </c>
    </row>
    <row r="203" spans="1:15">
      <c r="A203">
        <v>58</v>
      </c>
      <c r="B203" t="s">
        <v>2171</v>
      </c>
      <c r="C203" t="s">
        <v>2262</v>
      </c>
      <c r="D203" t="s">
        <v>2643</v>
      </c>
      <c r="E203" t="s">
        <v>2454</v>
      </c>
      <c r="F203" t="s">
        <v>2260</v>
      </c>
      <c r="G203" t="s">
        <v>2680</v>
      </c>
      <c r="H203" t="s">
        <v>2717</v>
      </c>
      <c r="I203">
        <v>513</v>
      </c>
      <c r="J203">
        <v>48</v>
      </c>
      <c r="K203">
        <v>593</v>
      </c>
      <c r="L203" t="s">
        <v>2746</v>
      </c>
      <c r="M203">
        <v>54</v>
      </c>
      <c r="N203" t="s">
        <v>2745</v>
      </c>
      <c r="O203">
        <v>214.262898705</v>
      </c>
    </row>
    <row r="204" spans="1:15">
      <c r="A204">
        <v>59</v>
      </c>
      <c r="B204" t="s">
        <v>2171</v>
      </c>
      <c r="C204" t="s">
        <v>2263</v>
      </c>
      <c r="D204" t="s">
        <v>2643</v>
      </c>
      <c r="E204" t="s">
        <v>2454</v>
      </c>
      <c r="F204" t="s">
        <v>2260</v>
      </c>
      <c r="G204" t="s">
        <v>2680</v>
      </c>
      <c r="H204" t="s">
        <v>2717</v>
      </c>
      <c r="I204">
        <v>489</v>
      </c>
      <c r="J204">
        <v>23</v>
      </c>
      <c r="K204">
        <v>600</v>
      </c>
      <c r="L204" t="s">
        <v>2747</v>
      </c>
      <c r="M204">
        <v>54</v>
      </c>
      <c r="N204" t="s">
        <v>2745</v>
      </c>
      <c r="O204">
        <v>214.262898705</v>
      </c>
    </row>
    <row r="205" spans="1:15">
      <c r="A205">
        <v>60</v>
      </c>
      <c r="B205" t="s">
        <v>2171</v>
      </c>
      <c r="C205" t="s">
        <v>2264</v>
      </c>
      <c r="D205" t="s">
        <v>2643</v>
      </c>
      <c r="E205" t="s">
        <v>2454</v>
      </c>
      <c r="F205" t="s">
        <v>2260</v>
      </c>
      <c r="G205" t="s">
        <v>2680</v>
      </c>
      <c r="H205" t="s">
        <v>2717</v>
      </c>
      <c r="I205">
        <v>633</v>
      </c>
      <c r="J205">
        <v>78</v>
      </c>
      <c r="K205">
        <v>535</v>
      </c>
      <c r="L205" t="s">
        <v>2748</v>
      </c>
      <c r="M205">
        <v>54</v>
      </c>
      <c r="N205" t="s">
        <v>2745</v>
      </c>
      <c r="O205">
        <v>214.262898705</v>
      </c>
    </row>
    <row r="206" spans="1:15">
      <c r="A206">
        <v>61</v>
      </c>
      <c r="B206" t="s">
        <v>2171</v>
      </c>
      <c r="C206" t="s">
        <v>2266</v>
      </c>
      <c r="D206" t="s">
        <v>2643</v>
      </c>
      <c r="E206" t="s">
        <v>2454</v>
      </c>
      <c r="F206" t="s">
        <v>2260</v>
      </c>
      <c r="G206" t="s">
        <v>2680</v>
      </c>
      <c r="H206" t="s">
        <v>2717</v>
      </c>
      <c r="I206">
        <v>541</v>
      </c>
      <c r="J206">
        <v>42</v>
      </c>
      <c r="K206">
        <v>391</v>
      </c>
      <c r="L206" t="s">
        <v>2749</v>
      </c>
      <c r="M206">
        <v>54</v>
      </c>
      <c r="N206" t="s">
        <v>2745</v>
      </c>
      <c r="O206">
        <v>214.262898705</v>
      </c>
    </row>
    <row r="207" spans="1:15">
      <c r="A207">
        <v>62</v>
      </c>
      <c r="B207" t="s">
        <v>2171</v>
      </c>
      <c r="C207" t="s">
        <v>2267</v>
      </c>
      <c r="D207" t="s">
        <v>2643</v>
      </c>
      <c r="E207" t="s">
        <v>2454</v>
      </c>
      <c r="F207" t="s">
        <v>2260</v>
      </c>
      <c r="G207" t="s">
        <v>2680</v>
      </c>
      <c r="H207" t="s">
        <v>2717</v>
      </c>
      <c r="I207">
        <v>565</v>
      </c>
      <c r="J207">
        <v>119</v>
      </c>
      <c r="K207">
        <v>445</v>
      </c>
      <c r="L207" t="s">
        <v>2750</v>
      </c>
      <c r="M207">
        <v>54</v>
      </c>
      <c r="N207" t="s">
        <v>2745</v>
      </c>
      <c r="O207">
        <v>214.262898705</v>
      </c>
    </row>
    <row r="208" spans="1:15">
      <c r="A208">
        <v>63</v>
      </c>
      <c r="B208" t="s">
        <v>2171</v>
      </c>
      <c r="C208" t="s">
        <v>2269</v>
      </c>
      <c r="D208" t="s">
        <v>2643</v>
      </c>
      <c r="E208" t="s">
        <v>2454</v>
      </c>
      <c r="F208" t="s">
        <v>2260</v>
      </c>
      <c r="G208" t="s">
        <v>2680</v>
      </c>
      <c r="H208" t="s">
        <v>2717</v>
      </c>
      <c r="I208">
        <v>387</v>
      </c>
      <c r="J208">
        <v>185</v>
      </c>
      <c r="K208">
        <v>440</v>
      </c>
      <c r="L208" t="s">
        <v>2751</v>
      </c>
      <c r="M208">
        <v>54</v>
      </c>
      <c r="N208" t="s">
        <v>2745</v>
      </c>
      <c r="O208">
        <v>214.262898705</v>
      </c>
    </row>
    <row r="209" spans="1:15">
      <c r="A209">
        <v>64</v>
      </c>
      <c r="B209" t="s">
        <v>2171</v>
      </c>
      <c r="C209" t="s">
        <v>2270</v>
      </c>
      <c r="D209" t="s">
        <v>2643</v>
      </c>
      <c r="E209" t="s">
        <v>2454</v>
      </c>
      <c r="F209" t="s">
        <v>2260</v>
      </c>
      <c r="G209" t="s">
        <v>2680</v>
      </c>
      <c r="H209" t="s">
        <v>2717</v>
      </c>
      <c r="I209">
        <v>554</v>
      </c>
      <c r="J209">
        <v>159</v>
      </c>
      <c r="K209">
        <v>673</v>
      </c>
      <c r="L209" t="s">
        <v>2752</v>
      </c>
      <c r="M209">
        <v>54</v>
      </c>
      <c r="N209" t="s">
        <v>2745</v>
      </c>
      <c r="O209">
        <v>214.262898705</v>
      </c>
    </row>
    <row r="210" spans="1:15">
      <c r="A210">
        <v>33</v>
      </c>
      <c r="B210" t="s">
        <v>2171</v>
      </c>
      <c r="C210" t="s">
        <v>2221</v>
      </c>
      <c r="D210" t="s">
        <v>2643</v>
      </c>
      <c r="E210" t="s">
        <v>2454</v>
      </c>
      <c r="F210" t="s">
        <v>2222</v>
      </c>
      <c r="G210" t="s">
        <v>2716</v>
      </c>
      <c r="H210" t="s">
        <v>2717</v>
      </c>
      <c r="I210">
        <v>366</v>
      </c>
      <c r="J210">
        <v>109</v>
      </c>
      <c r="K210">
        <v>556</v>
      </c>
      <c r="L210" t="s">
        <v>2718</v>
      </c>
      <c r="M210">
        <v>55</v>
      </c>
      <c r="N210" t="s">
        <v>2719</v>
      </c>
      <c r="O210">
        <v>228.324359195</v>
      </c>
    </row>
    <row r="211" spans="1:15">
      <c r="A211">
        <v>34</v>
      </c>
      <c r="B211" t="s">
        <v>2171</v>
      </c>
      <c r="C211" t="s">
        <v>2224</v>
      </c>
      <c r="D211" t="s">
        <v>2643</v>
      </c>
      <c r="E211" t="s">
        <v>2454</v>
      </c>
      <c r="F211" t="s">
        <v>2222</v>
      </c>
      <c r="G211" t="s">
        <v>2716</v>
      </c>
      <c r="H211" t="s">
        <v>2717</v>
      </c>
      <c r="I211">
        <v>516</v>
      </c>
      <c r="J211">
        <v>153</v>
      </c>
      <c r="K211">
        <v>649</v>
      </c>
      <c r="L211" t="s">
        <v>2720</v>
      </c>
      <c r="M211">
        <v>55</v>
      </c>
      <c r="N211" t="s">
        <v>2719</v>
      </c>
      <c r="O211">
        <v>228.324359195</v>
      </c>
    </row>
    <row r="212" spans="1:15">
      <c r="A212">
        <v>35</v>
      </c>
      <c r="B212" t="s">
        <v>2171</v>
      </c>
      <c r="C212" t="s">
        <v>2227</v>
      </c>
      <c r="D212" t="s">
        <v>2643</v>
      </c>
      <c r="E212" t="s">
        <v>2454</v>
      </c>
      <c r="F212" t="s">
        <v>2222</v>
      </c>
      <c r="G212" t="s">
        <v>2716</v>
      </c>
      <c r="H212" t="s">
        <v>2717</v>
      </c>
      <c r="I212">
        <v>670</v>
      </c>
      <c r="J212">
        <v>64</v>
      </c>
      <c r="K212">
        <v>732</v>
      </c>
      <c r="L212" t="s">
        <v>2721</v>
      </c>
      <c r="M212">
        <v>55</v>
      </c>
      <c r="N212" t="s">
        <v>2719</v>
      </c>
      <c r="O212">
        <v>228.324359195</v>
      </c>
    </row>
    <row r="213" spans="1:15">
      <c r="A213">
        <v>36</v>
      </c>
      <c r="B213" t="s">
        <v>2171</v>
      </c>
      <c r="C213" t="s">
        <v>2228</v>
      </c>
      <c r="D213" t="s">
        <v>2643</v>
      </c>
      <c r="E213" t="s">
        <v>2454</v>
      </c>
      <c r="F213" t="s">
        <v>2222</v>
      </c>
      <c r="G213" t="s">
        <v>2716</v>
      </c>
      <c r="H213" t="s">
        <v>2717</v>
      </c>
      <c r="I213">
        <v>507</v>
      </c>
      <c r="J213">
        <v>126</v>
      </c>
      <c r="K213">
        <v>550</v>
      </c>
      <c r="L213" t="s">
        <v>2722</v>
      </c>
      <c r="M213">
        <v>55</v>
      </c>
      <c r="N213" t="s">
        <v>2719</v>
      </c>
      <c r="O213">
        <v>228.324359195</v>
      </c>
    </row>
    <row r="214" spans="1:15">
      <c r="A214">
        <v>37</v>
      </c>
      <c r="B214" t="s">
        <v>2171</v>
      </c>
      <c r="C214" t="s">
        <v>2230</v>
      </c>
      <c r="D214" t="s">
        <v>2643</v>
      </c>
      <c r="E214" t="s">
        <v>2454</v>
      </c>
      <c r="F214" t="s">
        <v>2222</v>
      </c>
      <c r="G214" t="s">
        <v>2716</v>
      </c>
      <c r="H214" t="s">
        <v>2717</v>
      </c>
      <c r="I214">
        <v>359</v>
      </c>
      <c r="J214">
        <v>63</v>
      </c>
      <c r="K214">
        <v>528</v>
      </c>
      <c r="L214" t="s">
        <v>2723</v>
      </c>
      <c r="M214">
        <v>55</v>
      </c>
      <c r="N214" t="s">
        <v>2719</v>
      </c>
      <c r="O214">
        <v>228.324359195</v>
      </c>
    </row>
    <row r="215" spans="1:15">
      <c r="A215">
        <v>38</v>
      </c>
      <c r="B215" t="s">
        <v>2171</v>
      </c>
      <c r="C215" t="s">
        <v>2232</v>
      </c>
      <c r="D215" t="s">
        <v>2643</v>
      </c>
      <c r="E215" t="s">
        <v>2454</v>
      </c>
      <c r="F215" t="s">
        <v>2222</v>
      </c>
      <c r="G215" t="s">
        <v>2716</v>
      </c>
      <c r="H215" t="s">
        <v>2717</v>
      </c>
      <c r="I215">
        <v>499</v>
      </c>
      <c r="J215">
        <v>87</v>
      </c>
      <c r="K215">
        <v>703</v>
      </c>
      <c r="L215" t="s">
        <v>2724</v>
      </c>
      <c r="M215">
        <v>55</v>
      </c>
      <c r="N215" t="s">
        <v>2719</v>
      </c>
      <c r="O215">
        <v>228.324359195</v>
      </c>
    </row>
    <row r="216" spans="1:15">
      <c r="A216">
        <v>39</v>
      </c>
      <c r="B216" t="s">
        <v>2171</v>
      </c>
      <c r="C216" t="s">
        <v>2234</v>
      </c>
      <c r="D216" t="s">
        <v>2643</v>
      </c>
      <c r="E216" t="s">
        <v>2454</v>
      </c>
      <c r="F216" t="s">
        <v>2222</v>
      </c>
      <c r="G216" t="s">
        <v>2716</v>
      </c>
      <c r="H216" t="s">
        <v>2717</v>
      </c>
      <c r="I216">
        <v>214</v>
      </c>
      <c r="J216">
        <v>437</v>
      </c>
      <c r="K216">
        <v>566</v>
      </c>
      <c r="L216" t="s">
        <v>2725</v>
      </c>
      <c r="M216">
        <v>55</v>
      </c>
      <c r="N216" t="s">
        <v>2719</v>
      </c>
      <c r="O216">
        <v>228.324359195</v>
      </c>
    </row>
    <row r="217" spans="1:15">
      <c r="A217">
        <v>40</v>
      </c>
      <c r="B217" t="s">
        <v>2171</v>
      </c>
      <c r="C217" t="s">
        <v>2236</v>
      </c>
      <c r="D217" t="s">
        <v>2643</v>
      </c>
      <c r="E217" t="s">
        <v>2454</v>
      </c>
      <c r="F217" t="s">
        <v>2222</v>
      </c>
      <c r="G217" t="s">
        <v>2716</v>
      </c>
      <c r="H217" t="s">
        <v>2717</v>
      </c>
      <c r="I217">
        <v>582</v>
      </c>
      <c r="J217">
        <v>114</v>
      </c>
      <c r="K217">
        <v>619</v>
      </c>
      <c r="L217" t="s">
        <v>2726</v>
      </c>
      <c r="M217">
        <v>55</v>
      </c>
      <c r="N217" t="s">
        <v>2719</v>
      </c>
      <c r="O217">
        <v>228.324359195</v>
      </c>
    </row>
  </sheetData>
  <sortState ref="A2:O217">
    <sortCondition ref="O176"/>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196"/>
    <col min="9" max="9" width="23.33203125" style="196" customWidth="1"/>
    <col min="10" max="16384" width="11.44140625" style="196"/>
  </cols>
  <sheetData>
    <row r="1" spans="1:7">
      <c r="A1" s="199" t="s">
        <v>2471</v>
      </c>
      <c r="B1" s="196" t="s">
        <v>2477</v>
      </c>
      <c r="C1" s="196" t="s">
        <v>2478</v>
      </c>
      <c r="D1" s="196" t="s">
        <v>2479</v>
      </c>
      <c r="E1" s="196" t="s">
        <v>2480</v>
      </c>
      <c r="F1" s="196" t="s">
        <v>2472</v>
      </c>
      <c r="G1" s="196" t="s">
        <v>2143</v>
      </c>
    </row>
    <row r="2" spans="1:7">
      <c r="A2" s="197">
        <v>1</v>
      </c>
      <c r="B2" s="196" t="s">
        <v>1008</v>
      </c>
      <c r="C2" s="196" t="s">
        <v>1124</v>
      </c>
      <c r="D2" s="196" t="s">
        <v>1298</v>
      </c>
      <c r="E2" s="196" t="s">
        <v>1614</v>
      </c>
      <c r="F2" s="196" t="s">
        <v>2172</v>
      </c>
    </row>
    <row r="3" spans="1:7">
      <c r="A3" s="197">
        <v>2</v>
      </c>
      <c r="B3" s="196" t="s">
        <v>614</v>
      </c>
      <c r="C3" s="196" t="s">
        <v>1020</v>
      </c>
      <c r="D3" s="196" t="s">
        <v>1313</v>
      </c>
      <c r="E3" s="196" t="s">
        <v>1482</v>
      </c>
      <c r="F3" s="196" t="s">
        <v>2178</v>
      </c>
    </row>
    <row r="4" spans="1:7">
      <c r="A4" s="197">
        <v>3</v>
      </c>
      <c r="B4" s="196" t="s">
        <v>643</v>
      </c>
      <c r="C4" s="196" t="s">
        <v>983</v>
      </c>
      <c r="D4" s="196" t="s">
        <v>1389</v>
      </c>
      <c r="E4" s="196" t="s">
        <v>1419</v>
      </c>
      <c r="F4" s="196" t="s">
        <v>2179</v>
      </c>
      <c r="G4" s="196" t="s">
        <v>2473</v>
      </c>
    </row>
    <row r="5" spans="1:7">
      <c r="A5" s="197">
        <v>4</v>
      </c>
      <c r="B5" s="196" t="s">
        <v>633</v>
      </c>
      <c r="C5" s="196" t="s">
        <v>1026</v>
      </c>
      <c r="D5" s="196" t="s">
        <v>1518</v>
      </c>
      <c r="E5" s="196" t="s">
        <v>1398</v>
      </c>
      <c r="F5" s="196" t="s">
        <v>2181</v>
      </c>
    </row>
    <row r="6" spans="1:7">
      <c r="A6" s="197">
        <v>5</v>
      </c>
      <c r="B6" s="196" t="s">
        <v>1103</v>
      </c>
      <c r="C6" s="196" t="s">
        <v>639</v>
      </c>
      <c r="D6" s="196" t="s">
        <v>1473</v>
      </c>
      <c r="E6" s="196" t="s">
        <v>1553</v>
      </c>
      <c r="F6" s="196" t="s">
        <v>2184</v>
      </c>
    </row>
    <row r="7" spans="1:7">
      <c r="A7" s="197">
        <v>6</v>
      </c>
      <c r="B7" s="196" t="s">
        <v>1082</v>
      </c>
      <c r="C7" s="196" t="s">
        <v>964</v>
      </c>
      <c r="D7" s="196" t="s">
        <v>1416</v>
      </c>
      <c r="E7" s="196" t="s">
        <v>1603</v>
      </c>
      <c r="F7" s="196" t="s">
        <v>2185</v>
      </c>
    </row>
    <row r="8" spans="1:7">
      <c r="A8" s="197">
        <v>7</v>
      </c>
      <c r="B8" s="196" t="s">
        <v>743</v>
      </c>
      <c r="C8" s="196" t="s">
        <v>610</v>
      </c>
      <c r="D8" s="196" t="s">
        <v>1385</v>
      </c>
      <c r="E8" s="196" t="s">
        <v>1598</v>
      </c>
      <c r="F8" s="196" t="s">
        <v>2186</v>
      </c>
    </row>
    <row r="9" spans="1:7">
      <c r="A9" s="197">
        <v>8</v>
      </c>
      <c r="B9" s="196" t="s">
        <v>629</v>
      </c>
      <c r="C9" s="196" t="s">
        <v>735</v>
      </c>
      <c r="D9" s="196" t="s">
        <v>1349</v>
      </c>
      <c r="E9" s="196" t="s">
        <v>1661</v>
      </c>
      <c r="F9" s="196" t="s">
        <v>2187</v>
      </c>
    </row>
    <row r="10" spans="1:7">
      <c r="A10" s="197">
        <v>9</v>
      </c>
      <c r="B10" s="196" t="s">
        <v>1040</v>
      </c>
      <c r="C10" s="196" t="s">
        <v>972</v>
      </c>
      <c r="D10" s="196" t="s">
        <v>1574</v>
      </c>
      <c r="E10" s="196" t="s">
        <v>1536</v>
      </c>
      <c r="F10" s="196" t="s">
        <v>2188</v>
      </c>
    </row>
    <row r="11" spans="1:7">
      <c r="A11" s="197">
        <v>10</v>
      </c>
      <c r="B11" s="196" t="s">
        <v>626</v>
      </c>
      <c r="C11" s="196" t="s">
        <v>1050</v>
      </c>
      <c r="D11" s="196" t="s">
        <v>1444</v>
      </c>
      <c r="E11" s="196" t="s">
        <v>1764</v>
      </c>
      <c r="F11" s="196" t="s">
        <v>2191</v>
      </c>
    </row>
    <row r="12" spans="1:7">
      <c r="A12" s="197">
        <v>11</v>
      </c>
      <c r="B12" s="196" t="s">
        <v>1139</v>
      </c>
      <c r="C12" s="196" t="s">
        <v>695</v>
      </c>
      <c r="D12" s="196" t="s">
        <v>1527</v>
      </c>
      <c r="E12" s="196" t="s">
        <v>1507</v>
      </c>
      <c r="F12" s="196" t="s">
        <v>2192</v>
      </c>
    </row>
    <row r="13" spans="1:7">
      <c r="A13" s="197">
        <v>12</v>
      </c>
      <c r="B13" s="196" t="s">
        <v>1018</v>
      </c>
      <c r="C13" s="196" t="s">
        <v>732</v>
      </c>
      <c r="D13" s="196" t="s">
        <v>1560</v>
      </c>
      <c r="E13" s="196" t="s">
        <v>1460</v>
      </c>
      <c r="F13" s="196" t="s">
        <v>2193</v>
      </c>
      <c r="G13" s="196" t="s">
        <v>2473</v>
      </c>
    </row>
    <row r="14" spans="1:7">
      <c r="A14" s="197">
        <v>13</v>
      </c>
      <c r="B14" s="196" t="s">
        <v>1138</v>
      </c>
      <c r="C14" s="196" t="s">
        <v>691</v>
      </c>
      <c r="D14" s="196" t="s">
        <v>1809</v>
      </c>
      <c r="E14" s="196" t="s">
        <v>1455</v>
      </c>
      <c r="F14" s="196" t="s">
        <v>2194</v>
      </c>
    </row>
    <row r="15" spans="1:7">
      <c r="A15" s="197">
        <v>14</v>
      </c>
      <c r="B15" s="196" t="s">
        <v>859</v>
      </c>
      <c r="C15" s="196" t="s">
        <v>759</v>
      </c>
      <c r="D15" s="196" t="s">
        <v>1547</v>
      </c>
      <c r="E15" s="196" t="s">
        <v>1441</v>
      </c>
      <c r="F15" s="196" t="s">
        <v>2196</v>
      </c>
    </row>
    <row r="16" spans="1:7">
      <c r="A16" s="197">
        <v>15</v>
      </c>
      <c r="B16" s="196" t="s">
        <v>1042</v>
      </c>
      <c r="C16" s="196" t="s">
        <v>726</v>
      </c>
      <c r="D16" s="196" t="s">
        <v>1365</v>
      </c>
      <c r="E16" s="196" t="s">
        <v>1828</v>
      </c>
      <c r="F16" s="196" t="s">
        <v>2197</v>
      </c>
    </row>
    <row r="17" spans="1:7">
      <c r="A17" s="197">
        <v>16</v>
      </c>
      <c r="B17" s="196" t="s">
        <v>987</v>
      </c>
      <c r="C17" s="196" t="s">
        <v>622</v>
      </c>
      <c r="D17" s="196" t="s">
        <v>1406</v>
      </c>
      <c r="E17" s="196" t="s">
        <v>1645</v>
      </c>
      <c r="F17" s="196" t="s">
        <v>2200</v>
      </c>
    </row>
    <row r="18" spans="1:7">
      <c r="A18" s="197">
        <v>17</v>
      </c>
      <c r="B18" s="196" t="s">
        <v>761</v>
      </c>
      <c r="C18" s="196" t="s">
        <v>599</v>
      </c>
      <c r="D18" s="196" t="s">
        <v>1402</v>
      </c>
      <c r="E18" s="196" t="s">
        <v>1479</v>
      </c>
      <c r="F18" s="196" t="s">
        <v>2202</v>
      </c>
    </row>
    <row r="19" spans="1:7">
      <c r="A19" s="197">
        <v>18</v>
      </c>
      <c r="B19" s="196" t="s">
        <v>867</v>
      </c>
      <c r="C19" s="196" t="s">
        <v>1013</v>
      </c>
      <c r="D19" s="196" t="s">
        <v>1477</v>
      </c>
      <c r="E19" s="196" t="s">
        <v>1631</v>
      </c>
      <c r="F19" s="196" t="s">
        <v>2205</v>
      </c>
    </row>
    <row r="20" spans="1:7">
      <c r="A20" s="197">
        <v>19</v>
      </c>
      <c r="B20" s="196" t="s">
        <v>575</v>
      </c>
      <c r="C20" s="196" t="s">
        <v>1059</v>
      </c>
      <c r="D20" s="196" t="s">
        <v>1411</v>
      </c>
      <c r="E20" s="196" t="s">
        <v>1810</v>
      </c>
      <c r="F20" s="196" t="s">
        <v>2206</v>
      </c>
    </row>
    <row r="21" spans="1:7">
      <c r="A21" s="197">
        <v>20</v>
      </c>
      <c r="B21" s="196" t="s">
        <v>1031</v>
      </c>
      <c r="C21" s="196" t="s">
        <v>1091</v>
      </c>
      <c r="D21" s="196" t="s">
        <v>1545</v>
      </c>
      <c r="E21" s="196" t="s">
        <v>1526</v>
      </c>
      <c r="F21" s="196" t="s">
        <v>2207</v>
      </c>
    </row>
    <row r="22" spans="1:7">
      <c r="A22" s="197">
        <v>21</v>
      </c>
      <c r="B22" s="196" t="s">
        <v>2486</v>
      </c>
      <c r="C22" s="196" t="s">
        <v>612</v>
      </c>
      <c r="D22" s="196" t="s">
        <v>1329</v>
      </c>
      <c r="E22" s="196" t="s">
        <v>1351</v>
      </c>
      <c r="F22" s="196" t="s">
        <v>2208</v>
      </c>
      <c r="G22" s="196" t="s">
        <v>2474</v>
      </c>
    </row>
    <row r="23" spans="1:7">
      <c r="A23" s="197">
        <v>22</v>
      </c>
      <c r="B23" s="196" t="s">
        <v>1096</v>
      </c>
      <c r="C23" s="196" t="s">
        <v>778</v>
      </c>
      <c r="D23" s="196" t="s">
        <v>1498</v>
      </c>
      <c r="E23" s="196" t="s">
        <v>1475</v>
      </c>
      <c r="F23" s="196" t="s">
        <v>2209</v>
      </c>
    </row>
    <row r="24" spans="1:7">
      <c r="A24" s="197">
        <v>23</v>
      </c>
      <c r="B24" s="196" t="s">
        <v>1009</v>
      </c>
      <c r="C24" s="196" t="s">
        <v>951</v>
      </c>
      <c r="D24" s="196" t="s">
        <v>1594</v>
      </c>
      <c r="E24" s="196" t="s">
        <v>1558</v>
      </c>
      <c r="F24" s="196" t="s">
        <v>2210</v>
      </c>
    </row>
    <row r="25" spans="1:7">
      <c r="A25" s="197">
        <v>24</v>
      </c>
      <c r="B25" s="196" t="s">
        <v>1070</v>
      </c>
      <c r="C25" s="196" t="s">
        <v>997</v>
      </c>
      <c r="D25" s="196" t="s">
        <v>1629</v>
      </c>
      <c r="E25" s="196" t="s">
        <v>1237</v>
      </c>
      <c r="F25" s="196" t="s">
        <v>2211</v>
      </c>
    </row>
    <row r="26" spans="1:7">
      <c r="A26" s="197">
        <v>25</v>
      </c>
      <c r="B26" s="196" t="s">
        <v>1037</v>
      </c>
      <c r="C26" s="196" t="s">
        <v>862</v>
      </c>
      <c r="D26" s="196" t="s">
        <v>1186</v>
      </c>
      <c r="E26" s="196" t="s">
        <v>1644</v>
      </c>
      <c r="F26" s="196" t="s">
        <v>2212</v>
      </c>
    </row>
    <row r="27" spans="1:7">
      <c r="A27" s="197">
        <v>26</v>
      </c>
      <c r="B27" s="196" t="s">
        <v>952</v>
      </c>
      <c r="C27" s="196" t="s">
        <v>993</v>
      </c>
      <c r="D27" s="196" t="s">
        <v>1544</v>
      </c>
      <c r="E27" s="196" t="s">
        <v>1399</v>
      </c>
      <c r="F27" s="196" t="s">
        <v>2214</v>
      </c>
    </row>
    <row r="28" spans="1:7">
      <c r="A28" s="197">
        <v>27</v>
      </c>
      <c r="B28" s="196" t="s">
        <v>924</v>
      </c>
      <c r="C28" s="196" t="s">
        <v>1029</v>
      </c>
      <c r="D28" s="196" t="s">
        <v>1601</v>
      </c>
      <c r="E28" s="196" t="s">
        <v>1467</v>
      </c>
      <c r="F28" s="196" t="s">
        <v>2215</v>
      </c>
    </row>
    <row r="29" spans="1:7">
      <c r="A29" s="197">
        <v>28</v>
      </c>
      <c r="B29" s="196" t="s">
        <v>969</v>
      </c>
      <c r="C29" s="196" t="s">
        <v>705</v>
      </c>
      <c r="D29" s="196" t="s">
        <v>1548</v>
      </c>
      <c r="E29" s="196" t="s">
        <v>1348</v>
      </c>
      <c r="F29" s="196" t="s">
        <v>2216</v>
      </c>
    </row>
    <row r="30" spans="1:7">
      <c r="A30" s="197">
        <v>29</v>
      </c>
      <c r="B30" s="196" t="s">
        <v>792</v>
      </c>
      <c r="C30" s="196" t="s">
        <v>755</v>
      </c>
      <c r="D30" s="196" t="s">
        <v>1705</v>
      </c>
      <c r="E30" s="196" t="s">
        <v>1212</v>
      </c>
      <c r="F30" s="196" t="s">
        <v>2217</v>
      </c>
    </row>
    <row r="31" spans="1:7">
      <c r="A31" s="197">
        <v>30</v>
      </c>
      <c r="B31" s="196" t="s">
        <v>845</v>
      </c>
      <c r="C31" s="196" t="s">
        <v>634</v>
      </c>
      <c r="D31" s="196" t="s">
        <v>1550</v>
      </c>
      <c r="E31" s="196" t="s">
        <v>1532</v>
      </c>
      <c r="F31" s="196" t="s">
        <v>2218</v>
      </c>
    </row>
    <row r="32" spans="1:7">
      <c r="A32" s="197">
        <v>31</v>
      </c>
      <c r="B32" s="196" t="s">
        <v>818</v>
      </c>
      <c r="C32" s="196" t="s">
        <v>1000</v>
      </c>
      <c r="D32" s="196" t="s">
        <v>1529</v>
      </c>
      <c r="E32" s="196" t="s">
        <v>1646</v>
      </c>
      <c r="F32" s="196" t="s">
        <v>2219</v>
      </c>
    </row>
    <row r="33" spans="1:7">
      <c r="A33" s="197">
        <v>32</v>
      </c>
      <c r="B33" s="196" t="s">
        <v>985</v>
      </c>
      <c r="C33" s="196" t="s">
        <v>745</v>
      </c>
      <c r="D33" s="196" t="s">
        <v>1849</v>
      </c>
      <c r="E33" s="196" t="s">
        <v>1523</v>
      </c>
      <c r="F33" s="196" t="s">
        <v>2220</v>
      </c>
    </row>
    <row r="34" spans="1:7">
      <c r="A34" s="197">
        <v>33</v>
      </c>
      <c r="B34" s="196" t="s">
        <v>689</v>
      </c>
      <c r="C34" s="196" t="s">
        <v>1032</v>
      </c>
      <c r="D34" s="196" t="s">
        <v>1494</v>
      </c>
      <c r="E34" s="196" t="s">
        <v>1684</v>
      </c>
      <c r="F34" s="196" t="s">
        <v>2221</v>
      </c>
    </row>
    <row r="35" spans="1:7">
      <c r="A35" s="197">
        <v>34</v>
      </c>
      <c r="B35" s="196" t="s">
        <v>1117</v>
      </c>
      <c r="C35" s="196" t="s">
        <v>988</v>
      </c>
      <c r="D35" s="196" t="s">
        <v>1401</v>
      </c>
      <c r="E35" s="196" t="s">
        <v>1534</v>
      </c>
      <c r="F35" s="196" t="s">
        <v>2224</v>
      </c>
    </row>
    <row r="36" spans="1:7">
      <c r="A36" s="197">
        <v>35</v>
      </c>
      <c r="B36" s="196" t="s">
        <v>1072</v>
      </c>
      <c r="C36" s="196" t="s">
        <v>1077</v>
      </c>
      <c r="D36" s="196" t="s">
        <v>1318</v>
      </c>
      <c r="E36" s="196" t="s">
        <v>1380</v>
      </c>
      <c r="F36" s="196" t="s">
        <v>2227</v>
      </c>
    </row>
    <row r="37" spans="1:7">
      <c r="A37" s="197">
        <v>36</v>
      </c>
      <c r="B37" s="196" t="s">
        <v>1044</v>
      </c>
      <c r="C37" s="196" t="s">
        <v>1015</v>
      </c>
      <c r="D37" s="196" t="s">
        <v>1500</v>
      </c>
      <c r="E37" s="196" t="s">
        <v>1543</v>
      </c>
      <c r="F37" s="196" t="s">
        <v>2228</v>
      </c>
    </row>
    <row r="38" spans="1:7">
      <c r="A38" s="197">
        <v>37</v>
      </c>
      <c r="B38" s="196" t="s">
        <v>1052</v>
      </c>
      <c r="C38" s="196" t="s">
        <v>1078</v>
      </c>
      <c r="D38" s="196" t="s">
        <v>1522</v>
      </c>
      <c r="E38" s="196" t="s">
        <v>1691</v>
      </c>
      <c r="F38" s="196" t="s">
        <v>2230</v>
      </c>
    </row>
    <row r="39" spans="1:7">
      <c r="A39" s="197">
        <v>38</v>
      </c>
      <c r="B39" s="196" t="s">
        <v>994</v>
      </c>
      <c r="C39" s="196" t="s">
        <v>1054</v>
      </c>
      <c r="D39" s="196" t="s">
        <v>1347</v>
      </c>
      <c r="E39" s="196" t="s">
        <v>1551</v>
      </c>
      <c r="F39" s="196" t="s">
        <v>2232</v>
      </c>
    </row>
    <row r="40" spans="1:7">
      <c r="A40" s="197">
        <v>39</v>
      </c>
      <c r="B40" s="196" t="s">
        <v>1076</v>
      </c>
      <c r="C40" s="196" t="s">
        <v>704</v>
      </c>
      <c r="D40" s="196" t="s">
        <v>1484</v>
      </c>
      <c r="E40" s="196" t="s">
        <v>1836</v>
      </c>
      <c r="F40" s="196" t="s">
        <v>2234</v>
      </c>
    </row>
    <row r="41" spans="1:7">
      <c r="A41" s="197">
        <v>40</v>
      </c>
      <c r="B41" s="196" t="s">
        <v>721</v>
      </c>
      <c r="C41" s="196" t="s">
        <v>1027</v>
      </c>
      <c r="D41" s="196" t="s">
        <v>1431</v>
      </c>
      <c r="E41" s="196" t="s">
        <v>1468</v>
      </c>
      <c r="F41" s="196" t="s">
        <v>2236</v>
      </c>
    </row>
    <row r="42" spans="1:7">
      <c r="A42" s="197">
        <v>41</v>
      </c>
      <c r="B42" s="196" t="s">
        <v>1064</v>
      </c>
      <c r="C42" s="196" t="s">
        <v>620</v>
      </c>
      <c r="D42" s="196" t="s">
        <v>1424</v>
      </c>
      <c r="E42" s="196" t="s">
        <v>1597</v>
      </c>
      <c r="F42" s="196" t="s">
        <v>2238</v>
      </c>
    </row>
    <row r="43" spans="1:7">
      <c r="A43" s="197">
        <v>42</v>
      </c>
      <c r="B43" s="196" t="s">
        <v>1060</v>
      </c>
      <c r="C43" s="196" t="s">
        <v>770</v>
      </c>
      <c r="D43" s="196" t="s">
        <v>1613</v>
      </c>
      <c r="E43" s="196" t="s">
        <v>1286</v>
      </c>
      <c r="F43" s="196" t="s">
        <v>2240</v>
      </c>
    </row>
    <row r="44" spans="1:7">
      <c r="A44" s="197">
        <v>43</v>
      </c>
      <c r="B44" s="196" t="s">
        <v>1024</v>
      </c>
      <c r="C44" s="196" t="s">
        <v>765</v>
      </c>
      <c r="D44" s="196" t="s">
        <v>1407</v>
      </c>
      <c r="E44" s="196" t="s">
        <v>1360</v>
      </c>
      <c r="F44" s="196" t="s">
        <v>2242</v>
      </c>
    </row>
    <row r="45" spans="1:7">
      <c r="A45" s="197">
        <v>44</v>
      </c>
      <c r="B45" s="196" t="s">
        <v>1135</v>
      </c>
      <c r="C45" s="196" t="s">
        <v>975</v>
      </c>
      <c r="D45" s="196" t="s">
        <v>1767</v>
      </c>
      <c r="E45" s="196" t="s">
        <v>1276</v>
      </c>
      <c r="F45" s="196" t="s">
        <v>2243</v>
      </c>
    </row>
    <row r="46" spans="1:7">
      <c r="A46" s="197">
        <v>45</v>
      </c>
      <c r="B46" s="196" t="s">
        <v>1067</v>
      </c>
      <c r="C46" s="196" t="s">
        <v>672</v>
      </c>
      <c r="D46" s="196" t="s">
        <v>1448</v>
      </c>
      <c r="E46" s="196" t="s">
        <v>1531</v>
      </c>
      <c r="F46" s="196" t="s">
        <v>2244</v>
      </c>
    </row>
    <row r="47" spans="1:7">
      <c r="A47" s="197">
        <v>46</v>
      </c>
      <c r="B47" s="196" t="s">
        <v>1039</v>
      </c>
      <c r="C47" s="196" t="s">
        <v>1055</v>
      </c>
      <c r="D47" s="196" t="s">
        <v>1623</v>
      </c>
      <c r="E47" s="196" t="s">
        <v>1415</v>
      </c>
      <c r="F47" s="196" t="s">
        <v>2246</v>
      </c>
      <c r="G47" s="196" t="s">
        <v>2473</v>
      </c>
    </row>
    <row r="48" spans="1:7">
      <c r="A48" s="197">
        <v>47</v>
      </c>
      <c r="B48" s="196" t="s">
        <v>1065</v>
      </c>
      <c r="C48" s="196" t="s">
        <v>995</v>
      </c>
      <c r="D48" s="196" t="s">
        <v>1538</v>
      </c>
      <c r="E48" s="196" t="s">
        <v>1511</v>
      </c>
      <c r="F48" s="196" t="s">
        <v>2247</v>
      </c>
    </row>
    <row r="49" spans="1:7">
      <c r="A49" s="197">
        <v>48</v>
      </c>
      <c r="B49" s="196" t="s">
        <v>1034</v>
      </c>
      <c r="C49" s="196" t="s">
        <v>1069</v>
      </c>
      <c r="D49" s="196" t="s">
        <v>1751</v>
      </c>
      <c r="E49" s="196" t="s">
        <v>1371</v>
      </c>
      <c r="F49" s="196" t="s">
        <v>2249</v>
      </c>
    </row>
    <row r="50" spans="1:7">
      <c r="A50" s="197">
        <v>49</v>
      </c>
      <c r="B50" s="196" t="s">
        <v>986</v>
      </c>
      <c r="C50" s="196" t="s">
        <v>1113</v>
      </c>
      <c r="D50" s="196" t="s">
        <v>1311</v>
      </c>
      <c r="E50" s="196" t="s">
        <v>1704</v>
      </c>
      <c r="F50" s="196" t="s">
        <v>2250</v>
      </c>
    </row>
    <row r="51" spans="1:7">
      <c r="A51" s="197">
        <v>50</v>
      </c>
      <c r="B51" s="196" t="s">
        <v>1043</v>
      </c>
      <c r="C51" s="196" t="s">
        <v>1136</v>
      </c>
      <c r="D51" s="196" t="s">
        <v>1491</v>
      </c>
      <c r="E51" s="196" t="s">
        <v>1632</v>
      </c>
      <c r="F51" s="196" t="s">
        <v>2252</v>
      </c>
    </row>
    <row r="52" spans="1:7">
      <c r="A52" s="197">
        <v>51</v>
      </c>
      <c r="B52" s="196" t="s">
        <v>1112</v>
      </c>
      <c r="C52" s="196" t="s">
        <v>1056</v>
      </c>
      <c r="D52" s="196" t="s">
        <v>1194</v>
      </c>
      <c r="E52" s="196" t="s">
        <v>1502</v>
      </c>
      <c r="F52" s="196" t="s">
        <v>2253</v>
      </c>
    </row>
    <row r="53" spans="1:7">
      <c r="A53" s="197">
        <v>52</v>
      </c>
      <c r="B53" s="196" t="s">
        <v>829</v>
      </c>
      <c r="C53" s="196" t="s">
        <v>628</v>
      </c>
      <c r="D53" s="196" t="s">
        <v>1451</v>
      </c>
      <c r="E53" s="196" t="s">
        <v>1412</v>
      </c>
      <c r="F53" s="196" t="s">
        <v>2254</v>
      </c>
    </row>
    <row r="54" spans="1:7">
      <c r="A54" s="197">
        <v>53</v>
      </c>
      <c r="B54" s="196" t="s">
        <v>1028</v>
      </c>
      <c r="C54" s="196" t="s">
        <v>742</v>
      </c>
      <c r="D54" s="196" t="s">
        <v>1367</v>
      </c>
      <c r="E54" s="196" t="s">
        <v>1624</v>
      </c>
      <c r="F54" s="196" t="s">
        <v>2255</v>
      </c>
      <c r="G54" s="196" t="s">
        <v>2473</v>
      </c>
    </row>
    <row r="55" spans="1:7">
      <c r="A55" s="197">
        <v>54</v>
      </c>
      <c r="B55" s="196" t="s">
        <v>700</v>
      </c>
      <c r="C55" s="196" t="s">
        <v>741</v>
      </c>
      <c r="D55" s="196" t="s">
        <v>1762</v>
      </c>
      <c r="E55" s="196" t="s">
        <v>1461</v>
      </c>
      <c r="F55" s="196" t="s">
        <v>2256</v>
      </c>
      <c r="G55" s="196" t="s">
        <v>2473</v>
      </c>
    </row>
    <row r="56" spans="1:7">
      <c r="A56" s="197">
        <v>55</v>
      </c>
      <c r="B56" s="113" t="s">
        <v>2482</v>
      </c>
      <c r="C56" s="113" t="s">
        <v>1122</v>
      </c>
      <c r="D56" s="196" t="s">
        <v>1434</v>
      </c>
      <c r="E56" s="196" t="s">
        <v>1428</v>
      </c>
      <c r="F56" s="196" t="s">
        <v>2257</v>
      </c>
      <c r="G56" s="196" t="s">
        <v>2487</v>
      </c>
    </row>
    <row r="57" spans="1:7">
      <c r="A57" s="197">
        <v>56</v>
      </c>
      <c r="B57" s="196" t="s">
        <v>1083</v>
      </c>
      <c r="C57" s="196" t="s">
        <v>1081</v>
      </c>
      <c r="D57" s="196" t="s">
        <v>1493</v>
      </c>
      <c r="E57" s="196" t="s">
        <v>1512</v>
      </c>
      <c r="F57" s="196" t="s">
        <v>2258</v>
      </c>
    </row>
    <row r="58" spans="1:7">
      <c r="A58" s="197">
        <v>57</v>
      </c>
      <c r="B58" s="196" t="s">
        <v>706</v>
      </c>
      <c r="C58" s="196" t="s">
        <v>980</v>
      </c>
      <c r="D58" s="196" t="s">
        <v>1432</v>
      </c>
      <c r="E58" s="196" t="s">
        <v>1510</v>
      </c>
      <c r="F58" s="196" t="s">
        <v>2259</v>
      </c>
    </row>
    <row r="59" spans="1:7">
      <c r="A59" s="197">
        <v>58</v>
      </c>
      <c r="B59" s="196" t="s">
        <v>1110</v>
      </c>
      <c r="C59" s="196" t="s">
        <v>1093</v>
      </c>
      <c r="D59" s="196" t="s">
        <v>1457</v>
      </c>
      <c r="E59" s="196" t="s">
        <v>1537</v>
      </c>
      <c r="F59" s="196" t="s">
        <v>2262</v>
      </c>
    </row>
    <row r="60" spans="1:7">
      <c r="A60" s="197">
        <v>59</v>
      </c>
      <c r="B60" s="196" t="s">
        <v>1021</v>
      </c>
      <c r="C60" s="196" t="s">
        <v>1118</v>
      </c>
      <c r="D60" s="196" t="s">
        <v>1450</v>
      </c>
      <c r="E60" s="196" t="s">
        <v>1561</v>
      </c>
      <c r="F60" s="196" t="s">
        <v>2263</v>
      </c>
    </row>
    <row r="61" spans="1:7">
      <c r="A61" s="197">
        <v>60</v>
      </c>
      <c r="B61" s="196" t="s">
        <v>751</v>
      </c>
      <c r="C61" s="196" t="s">
        <v>1063</v>
      </c>
      <c r="D61" s="196" t="s">
        <v>1515</v>
      </c>
      <c r="E61" s="196" t="s">
        <v>1417</v>
      </c>
      <c r="F61" s="196" t="s">
        <v>2264</v>
      </c>
    </row>
    <row r="62" spans="1:7">
      <c r="A62" s="197">
        <v>61</v>
      </c>
      <c r="B62" s="196" t="s">
        <v>998</v>
      </c>
      <c r="C62" s="196" t="s">
        <v>1099</v>
      </c>
      <c r="D62" s="196" t="s">
        <v>1659</v>
      </c>
      <c r="E62" s="196" t="s">
        <v>1509</v>
      </c>
      <c r="F62" s="196" t="s">
        <v>2266</v>
      </c>
    </row>
    <row r="63" spans="1:7">
      <c r="A63" s="197">
        <v>62</v>
      </c>
      <c r="B63" s="196" t="s">
        <v>693</v>
      </c>
      <c r="C63" s="196" t="s">
        <v>1022</v>
      </c>
      <c r="D63" s="196" t="s">
        <v>1605</v>
      </c>
      <c r="E63" s="196" t="s">
        <v>1485</v>
      </c>
      <c r="F63" s="196" t="s">
        <v>2267</v>
      </c>
    </row>
    <row r="64" spans="1:7">
      <c r="A64" s="197">
        <v>63</v>
      </c>
      <c r="B64" s="196" t="s">
        <v>718</v>
      </c>
      <c r="C64" s="196" t="s">
        <v>956</v>
      </c>
      <c r="D64" s="196" t="s">
        <v>1610</v>
      </c>
      <c r="E64" s="196" t="s">
        <v>1663</v>
      </c>
      <c r="F64" s="196" t="s">
        <v>2269</v>
      </c>
    </row>
    <row r="65" spans="1:7">
      <c r="A65" s="197">
        <v>64</v>
      </c>
      <c r="B65" s="196" t="s">
        <v>591</v>
      </c>
      <c r="C65" s="196" t="s">
        <v>982</v>
      </c>
      <c r="D65" s="196" t="s">
        <v>1377</v>
      </c>
      <c r="E65" s="196" t="s">
        <v>1496</v>
      </c>
      <c r="F65" s="196" t="s">
        <v>2270</v>
      </c>
    </row>
    <row r="66" spans="1:7">
      <c r="A66" s="197">
        <v>65</v>
      </c>
      <c r="B66" s="196" t="s">
        <v>808</v>
      </c>
      <c r="C66" s="196" t="s">
        <v>616</v>
      </c>
      <c r="D66" s="196" t="s">
        <v>1350</v>
      </c>
      <c r="E66" s="196" t="s">
        <v>1436</v>
      </c>
      <c r="F66" s="196" t="s">
        <v>2272</v>
      </c>
    </row>
    <row r="67" spans="1:7">
      <c r="A67" s="197">
        <v>66</v>
      </c>
      <c r="B67" s="196" t="s">
        <v>889</v>
      </c>
      <c r="C67" s="196" t="s">
        <v>991</v>
      </c>
      <c r="D67" s="196" t="s">
        <v>1290</v>
      </c>
      <c r="E67" s="196" t="s">
        <v>1768</v>
      </c>
      <c r="F67" s="196" t="s">
        <v>2274</v>
      </c>
    </row>
    <row r="68" spans="1:7">
      <c r="A68" s="197">
        <v>67</v>
      </c>
      <c r="B68" s="196" t="s">
        <v>1097</v>
      </c>
      <c r="C68" s="196" t="s">
        <v>976</v>
      </c>
      <c r="D68" s="196" t="s">
        <v>1390</v>
      </c>
      <c r="E68" s="196" t="s">
        <v>1600</v>
      </c>
      <c r="F68" s="196" t="s">
        <v>2275</v>
      </c>
    </row>
    <row r="69" spans="1:7">
      <c r="A69" s="197">
        <v>68</v>
      </c>
      <c r="B69" s="196" t="s">
        <v>1132</v>
      </c>
      <c r="C69" s="196" t="s">
        <v>1012</v>
      </c>
      <c r="D69" s="196" t="s">
        <v>1573</v>
      </c>
      <c r="E69" s="196" t="s">
        <v>1781</v>
      </c>
      <c r="F69" s="196" t="s">
        <v>2276</v>
      </c>
    </row>
    <row r="70" spans="1:7">
      <c r="A70" s="197">
        <v>69</v>
      </c>
      <c r="B70" s="196" t="s">
        <v>890</v>
      </c>
      <c r="C70" s="196" t="s">
        <v>727</v>
      </c>
      <c r="D70" s="196" t="s">
        <v>1664</v>
      </c>
      <c r="E70" s="196" t="s">
        <v>1602</v>
      </c>
      <c r="F70" s="196" t="s">
        <v>2277</v>
      </c>
      <c r="G70" s="196" t="s">
        <v>2475</v>
      </c>
    </row>
    <row r="71" spans="1:7">
      <c r="A71" s="197">
        <v>70</v>
      </c>
      <c r="B71" s="196" t="s">
        <v>875</v>
      </c>
      <c r="C71" s="196" t="s">
        <v>990</v>
      </c>
      <c r="D71" s="196" t="s">
        <v>1636</v>
      </c>
      <c r="E71" s="196" t="s">
        <v>1692</v>
      </c>
      <c r="F71" s="196" t="s">
        <v>2278</v>
      </c>
    </row>
    <row r="72" spans="1:7">
      <c r="A72" s="197">
        <v>71</v>
      </c>
      <c r="B72" s="196" t="s">
        <v>613</v>
      </c>
      <c r="C72" s="196" t="s">
        <v>1046</v>
      </c>
      <c r="D72" s="196" t="s">
        <v>1591</v>
      </c>
      <c r="E72" s="196" t="s">
        <v>1539</v>
      </c>
      <c r="F72" s="196" t="s">
        <v>2279</v>
      </c>
    </row>
    <row r="73" spans="1:7">
      <c r="A73" s="197">
        <v>72</v>
      </c>
      <c r="B73" s="196" t="s">
        <v>1127</v>
      </c>
      <c r="C73" s="196" t="s">
        <v>595</v>
      </c>
      <c r="D73" s="196" t="s">
        <v>1423</v>
      </c>
      <c r="E73" s="196" t="s">
        <v>1667</v>
      </c>
      <c r="F73" s="196" t="s">
        <v>2280</v>
      </c>
    </row>
    <row r="74" spans="1:7">
      <c r="A74" s="197">
        <v>73</v>
      </c>
      <c r="B74" s="196" t="s">
        <v>748</v>
      </c>
      <c r="C74" s="196" t="s">
        <v>703</v>
      </c>
      <c r="D74" s="196" t="s">
        <v>1552</v>
      </c>
      <c r="E74" s="196" t="s">
        <v>1501</v>
      </c>
      <c r="F74" s="196" t="s">
        <v>2281</v>
      </c>
    </row>
    <row r="75" spans="1:7">
      <c r="A75" s="197">
        <v>74</v>
      </c>
      <c r="B75" s="196" t="s">
        <v>1003</v>
      </c>
      <c r="C75" s="196" t="s">
        <v>1019</v>
      </c>
      <c r="D75" s="196" t="s">
        <v>1471</v>
      </c>
      <c r="E75" s="196" t="s">
        <v>1445</v>
      </c>
      <c r="F75" s="196" t="s">
        <v>2283</v>
      </c>
    </row>
    <row r="76" spans="1:7">
      <c r="A76" s="197">
        <v>75</v>
      </c>
      <c r="B76" s="196" t="s">
        <v>830</v>
      </c>
      <c r="C76" s="196" t="s">
        <v>737</v>
      </c>
      <c r="D76" s="196" t="s">
        <v>1677</v>
      </c>
      <c r="E76" s="196" t="s">
        <v>1642</v>
      </c>
      <c r="F76" s="196" t="s">
        <v>2284</v>
      </c>
    </row>
    <row r="77" spans="1:7">
      <c r="A77" s="197">
        <v>76</v>
      </c>
      <c r="B77" s="196" t="s">
        <v>958</v>
      </c>
      <c r="C77" s="196" t="s">
        <v>640</v>
      </c>
      <c r="D77" s="196" t="s">
        <v>1447</v>
      </c>
      <c r="E77" s="196" t="s">
        <v>1634</v>
      </c>
      <c r="F77" s="196" t="s">
        <v>2285</v>
      </c>
    </row>
    <row r="78" spans="1:7">
      <c r="A78" s="197">
        <v>77</v>
      </c>
      <c r="B78" s="196" t="s">
        <v>913</v>
      </c>
      <c r="C78" s="196" t="s">
        <v>1004</v>
      </c>
      <c r="D78" s="196" t="s">
        <v>1541</v>
      </c>
      <c r="E78" s="196" t="s">
        <v>1456</v>
      </c>
      <c r="F78" s="196" t="s">
        <v>2286</v>
      </c>
    </row>
    <row r="79" spans="1:7">
      <c r="A79" s="197">
        <v>78</v>
      </c>
      <c r="B79" s="196" t="s">
        <v>1041</v>
      </c>
      <c r="C79" s="196" t="s">
        <v>863</v>
      </c>
      <c r="D79" s="196" t="s">
        <v>1604</v>
      </c>
      <c r="E79" s="196" t="s">
        <v>1590</v>
      </c>
      <c r="F79" s="196" t="s">
        <v>2287</v>
      </c>
    </row>
    <row r="80" spans="1:7">
      <c r="A80" s="197">
        <v>79</v>
      </c>
      <c r="B80" s="196" t="s">
        <v>1085</v>
      </c>
      <c r="C80" s="196" t="s">
        <v>906</v>
      </c>
      <c r="D80" s="196" t="s">
        <v>1801</v>
      </c>
      <c r="E80" s="196" t="s">
        <v>1833</v>
      </c>
      <c r="F80" s="196" t="s">
        <v>2288</v>
      </c>
    </row>
    <row r="81" spans="1:7">
      <c r="A81" s="197">
        <v>80</v>
      </c>
      <c r="B81" s="196" t="s">
        <v>1073</v>
      </c>
      <c r="C81" s="196" t="s">
        <v>960</v>
      </c>
      <c r="D81" s="196" t="s">
        <v>1576</v>
      </c>
      <c r="E81" s="196" t="s">
        <v>1443</v>
      </c>
      <c r="F81" s="196" t="s">
        <v>2289</v>
      </c>
    </row>
    <row r="82" spans="1:7">
      <c r="A82" s="197">
        <v>81</v>
      </c>
      <c r="B82" s="196" t="s">
        <v>848</v>
      </c>
      <c r="C82" s="196" t="s">
        <v>954</v>
      </c>
      <c r="D82" s="196" t="s">
        <v>1575</v>
      </c>
      <c r="E82" s="196" t="s">
        <v>1508</v>
      </c>
      <c r="F82" s="196" t="s">
        <v>2290</v>
      </c>
    </row>
    <row r="83" spans="1:7">
      <c r="A83" s="197">
        <v>82</v>
      </c>
      <c r="B83" s="196" t="s">
        <v>773</v>
      </c>
      <c r="C83" s="196" t="s">
        <v>1058</v>
      </c>
      <c r="D83" s="196" t="s">
        <v>1210</v>
      </c>
      <c r="E83" s="196" t="s">
        <v>1514</v>
      </c>
      <c r="F83" s="196" t="s">
        <v>2293</v>
      </c>
    </row>
    <row r="84" spans="1:7">
      <c r="A84" s="197">
        <v>83</v>
      </c>
      <c r="B84" s="196" t="s">
        <v>1119</v>
      </c>
      <c r="C84" s="196" t="s">
        <v>1007</v>
      </c>
      <c r="D84" s="196" t="s">
        <v>1752</v>
      </c>
      <c r="E84" s="196" t="s">
        <v>1556</v>
      </c>
      <c r="F84" s="196" t="s">
        <v>2294</v>
      </c>
    </row>
    <row r="85" spans="1:7">
      <c r="A85" s="197">
        <v>84</v>
      </c>
      <c r="B85" s="196" t="s">
        <v>724</v>
      </c>
      <c r="C85" s="196" t="s">
        <v>1092</v>
      </c>
      <c r="D85" s="196" t="s">
        <v>1530</v>
      </c>
      <c r="E85" s="196" t="s">
        <v>1759</v>
      </c>
      <c r="F85" s="196" t="s">
        <v>2295</v>
      </c>
    </row>
    <row r="86" spans="1:7">
      <c r="A86" s="197">
        <v>85</v>
      </c>
      <c r="B86" s="196" t="s">
        <v>750</v>
      </c>
      <c r="C86" s="196" t="s">
        <v>826</v>
      </c>
      <c r="D86" s="196" t="s">
        <v>1609</v>
      </c>
      <c r="E86" s="196" t="s">
        <v>1742</v>
      </c>
      <c r="F86" s="196" t="s">
        <v>2296</v>
      </c>
    </row>
    <row r="87" spans="1:7">
      <c r="A87" s="197">
        <v>86</v>
      </c>
      <c r="B87" s="196" t="s">
        <v>1079</v>
      </c>
      <c r="C87" s="196" t="s">
        <v>1140</v>
      </c>
      <c r="D87" s="196" t="s">
        <v>1489</v>
      </c>
      <c r="E87" s="196" t="s">
        <v>1327</v>
      </c>
      <c r="F87" s="196" t="s">
        <v>2297</v>
      </c>
    </row>
    <row r="88" spans="1:7">
      <c r="A88" s="197">
        <v>87</v>
      </c>
      <c r="B88" s="196" t="s">
        <v>812</v>
      </c>
      <c r="C88" s="196" t="s">
        <v>733</v>
      </c>
      <c r="D88" s="196" t="s">
        <v>1418</v>
      </c>
      <c r="E88" s="196" t="s">
        <v>1422</v>
      </c>
      <c r="F88" s="196" t="s">
        <v>2298</v>
      </c>
    </row>
    <row r="89" spans="1:7">
      <c r="A89" s="197">
        <v>88</v>
      </c>
      <c r="B89" s="196" t="s">
        <v>853</v>
      </c>
      <c r="C89" s="196" t="s">
        <v>756</v>
      </c>
      <c r="D89" s="196" t="s">
        <v>1439</v>
      </c>
      <c r="E89" s="196" t="s">
        <v>1481</v>
      </c>
      <c r="F89" s="196" t="s">
        <v>2299</v>
      </c>
      <c r="G89" s="196" t="s">
        <v>2473</v>
      </c>
    </row>
    <row r="90" spans="1:7">
      <c r="A90" s="197">
        <v>89</v>
      </c>
      <c r="B90" s="196" t="s">
        <v>970</v>
      </c>
      <c r="C90" s="196" t="s">
        <v>945</v>
      </c>
      <c r="D90" s="196" t="s">
        <v>1581</v>
      </c>
      <c r="E90" s="196" t="s">
        <v>1711</v>
      </c>
      <c r="F90" s="196" t="s">
        <v>2300</v>
      </c>
      <c r="G90" s="196" t="s">
        <v>2476</v>
      </c>
    </row>
    <row r="91" spans="1:7">
      <c r="A91" s="197">
        <v>90</v>
      </c>
      <c r="B91" s="196" t="s">
        <v>624</v>
      </c>
      <c r="C91" s="196" t="s">
        <v>1047</v>
      </c>
      <c r="D91" s="196" t="s">
        <v>1695</v>
      </c>
      <c r="E91" s="196" t="s">
        <v>1458</v>
      </c>
      <c r="F91" s="196" t="s">
        <v>2302</v>
      </c>
    </row>
    <row r="92" spans="1:7">
      <c r="A92" s="197">
        <v>91</v>
      </c>
      <c r="B92" s="196" t="s">
        <v>1068</v>
      </c>
      <c r="C92" s="196" t="s">
        <v>798</v>
      </c>
      <c r="D92" s="196" t="s">
        <v>1503</v>
      </c>
      <c r="E92" s="196" t="s">
        <v>1578</v>
      </c>
      <c r="F92" s="196" t="s">
        <v>2303</v>
      </c>
    </row>
    <row r="93" spans="1:7">
      <c r="A93" s="197">
        <v>92</v>
      </c>
      <c r="B93" s="196" t="s">
        <v>1137</v>
      </c>
      <c r="C93" s="196" t="s">
        <v>696</v>
      </c>
      <c r="D93" s="196" t="s">
        <v>1287</v>
      </c>
      <c r="E93" s="196" t="s">
        <v>1521</v>
      </c>
      <c r="F93" s="196" t="s">
        <v>2304</v>
      </c>
    </row>
    <row r="94" spans="1:7">
      <c r="A94" s="197">
        <v>93</v>
      </c>
      <c r="B94" s="196" t="s">
        <v>1005</v>
      </c>
      <c r="C94" s="196" t="s">
        <v>1129</v>
      </c>
      <c r="D94" s="196" t="s">
        <v>1626</v>
      </c>
      <c r="E94" s="196" t="s">
        <v>1414</v>
      </c>
      <c r="F94" s="196" t="s">
        <v>2305</v>
      </c>
    </row>
    <row r="95" spans="1:7">
      <c r="A95" s="197">
        <v>94</v>
      </c>
      <c r="B95" s="196" t="s">
        <v>783</v>
      </c>
      <c r="C95" s="196" t="s">
        <v>897</v>
      </c>
      <c r="D95" s="196" t="s">
        <v>1462</v>
      </c>
      <c r="E95" s="196" t="s">
        <v>1516</v>
      </c>
      <c r="F95" s="196" t="s">
        <v>2306</v>
      </c>
      <c r="G95" s="196" t="s">
        <v>2473</v>
      </c>
    </row>
    <row r="96" spans="1:7">
      <c r="A96" s="197">
        <v>95</v>
      </c>
      <c r="B96" s="196" t="s">
        <v>594</v>
      </c>
      <c r="C96" s="196" t="s">
        <v>781</v>
      </c>
      <c r="D96" s="196" t="s">
        <v>1564</v>
      </c>
      <c r="E96" s="196" t="s">
        <v>1409</v>
      </c>
      <c r="F96" s="196" t="s">
        <v>2307</v>
      </c>
    </row>
    <row r="97" spans="1:7">
      <c r="A97" s="197">
        <v>96</v>
      </c>
      <c r="B97" s="196" t="s">
        <v>553</v>
      </c>
      <c r="C97" s="196" t="s">
        <v>823</v>
      </c>
      <c r="D97" s="196" t="s">
        <v>1505</v>
      </c>
      <c r="E97" s="196" t="s">
        <v>1571</v>
      </c>
      <c r="F97" s="196" t="s">
        <v>2308</v>
      </c>
    </row>
    <row r="98" spans="1:7">
      <c r="A98" s="197">
        <v>97</v>
      </c>
      <c r="B98" s="196" t="s">
        <v>565</v>
      </c>
      <c r="C98" s="196" t="s">
        <v>623</v>
      </c>
      <c r="D98" s="196" t="s">
        <v>1203</v>
      </c>
      <c r="E98" s="196" t="s">
        <v>1309</v>
      </c>
      <c r="F98" s="196" t="s">
        <v>2310</v>
      </c>
    </row>
    <row r="99" spans="1:7">
      <c r="A99" s="197">
        <v>98</v>
      </c>
      <c r="B99" s="196" t="s">
        <v>580</v>
      </c>
      <c r="C99" s="196" t="s">
        <v>652</v>
      </c>
      <c r="D99" s="196" t="s">
        <v>1320</v>
      </c>
      <c r="E99" s="196" t="s">
        <v>1440</v>
      </c>
      <c r="F99" s="196" t="s">
        <v>2311</v>
      </c>
    </row>
    <row r="100" spans="1:7">
      <c r="A100" s="197">
        <v>99</v>
      </c>
      <c r="B100" s="196" t="s">
        <v>645</v>
      </c>
      <c r="C100" s="196" t="s">
        <v>592</v>
      </c>
      <c r="D100" s="196" t="s">
        <v>1359</v>
      </c>
      <c r="E100" s="196" t="s">
        <v>1285</v>
      </c>
      <c r="F100" s="196" t="s">
        <v>2312</v>
      </c>
    </row>
    <row r="101" spans="1:7">
      <c r="A101" s="197">
        <v>100</v>
      </c>
      <c r="B101" s="196" t="s">
        <v>644</v>
      </c>
      <c r="C101" s="196" t="s">
        <v>641</v>
      </c>
      <c r="D101" s="196" t="s">
        <v>1222</v>
      </c>
      <c r="E101" s="196" t="s">
        <v>1322</v>
      </c>
      <c r="F101" s="196" t="s">
        <v>2313</v>
      </c>
    </row>
    <row r="102" spans="1:7">
      <c r="A102" s="197">
        <v>101</v>
      </c>
      <c r="B102" s="196" t="s">
        <v>1131</v>
      </c>
      <c r="C102" s="196" t="s">
        <v>659</v>
      </c>
      <c r="D102" s="196" t="s">
        <v>1175</v>
      </c>
      <c r="E102" s="196" t="s">
        <v>1242</v>
      </c>
      <c r="F102" s="196" t="s">
        <v>2315</v>
      </c>
    </row>
    <row r="103" spans="1:7">
      <c r="A103" s="197">
        <v>102</v>
      </c>
      <c r="B103" s="196" t="s">
        <v>1115</v>
      </c>
      <c r="C103" s="196" t="s">
        <v>572</v>
      </c>
      <c r="D103" s="196" t="s">
        <v>1226</v>
      </c>
      <c r="E103" s="196" t="s">
        <v>1158</v>
      </c>
      <c r="F103" s="196" t="s">
        <v>2316</v>
      </c>
    </row>
    <row r="104" spans="1:7">
      <c r="A104" s="197">
        <v>103</v>
      </c>
      <c r="B104" s="196" t="s">
        <v>647</v>
      </c>
      <c r="C104" s="196" t="s">
        <v>711</v>
      </c>
      <c r="D104" s="196" t="s">
        <v>1358</v>
      </c>
      <c r="E104" s="196" t="s">
        <v>1181</v>
      </c>
      <c r="F104" s="196" t="s">
        <v>2317</v>
      </c>
    </row>
    <row r="105" spans="1:7">
      <c r="A105" s="197">
        <v>104</v>
      </c>
      <c r="B105" s="196" t="s">
        <v>666</v>
      </c>
      <c r="C105" s="196" t="s">
        <v>564</v>
      </c>
      <c r="D105" s="196" t="s">
        <v>1244</v>
      </c>
      <c r="E105" s="196" t="s">
        <v>1169</v>
      </c>
      <c r="F105" s="196" t="s">
        <v>2318</v>
      </c>
    </row>
    <row r="106" spans="1:7">
      <c r="A106" s="197">
        <v>105</v>
      </c>
      <c r="B106" s="196" t="s">
        <v>601</v>
      </c>
      <c r="C106" s="196" t="s">
        <v>593</v>
      </c>
      <c r="D106" s="196" t="s">
        <v>1189</v>
      </c>
      <c r="E106" s="196" t="s">
        <v>1321</v>
      </c>
      <c r="F106" s="196" t="s">
        <v>2319</v>
      </c>
    </row>
    <row r="107" spans="1:7">
      <c r="A107" s="197">
        <v>106</v>
      </c>
      <c r="B107" s="196" t="s">
        <v>548</v>
      </c>
      <c r="C107" s="196" t="s">
        <v>551</v>
      </c>
      <c r="D107" s="196" t="s">
        <v>1312</v>
      </c>
      <c r="E107" s="196" t="s">
        <v>1213</v>
      </c>
      <c r="F107" s="196" t="s">
        <v>2320</v>
      </c>
    </row>
    <row r="108" spans="1:7">
      <c r="A108" s="197">
        <v>107</v>
      </c>
      <c r="B108" s="196" t="s">
        <v>631</v>
      </c>
      <c r="C108" s="196" t="s">
        <v>567</v>
      </c>
      <c r="D108" s="196" t="s">
        <v>1374</v>
      </c>
      <c r="E108" s="196" t="s">
        <v>1362</v>
      </c>
      <c r="F108" s="196" t="s">
        <v>2321</v>
      </c>
    </row>
    <row r="109" spans="1:7">
      <c r="A109" s="197">
        <v>108</v>
      </c>
      <c r="B109" s="196" t="s">
        <v>632</v>
      </c>
      <c r="C109" s="196" t="s">
        <v>1133</v>
      </c>
      <c r="D109" s="196" t="s">
        <v>1205</v>
      </c>
      <c r="E109" s="196" t="s">
        <v>1167</v>
      </c>
      <c r="F109" s="196" t="s">
        <v>2322</v>
      </c>
    </row>
    <row r="110" spans="1:7">
      <c r="A110" s="197">
        <v>109</v>
      </c>
      <c r="B110" s="113" t="s">
        <v>1108</v>
      </c>
      <c r="C110" s="113" t="s">
        <v>589</v>
      </c>
      <c r="D110" s="113" t="s">
        <v>1163</v>
      </c>
      <c r="E110" s="113" t="s">
        <v>1346</v>
      </c>
      <c r="F110" s="196" t="s">
        <v>2324</v>
      </c>
      <c r="G110" s="196" t="s">
        <v>2528</v>
      </c>
    </row>
    <row r="111" spans="1:7">
      <c r="A111" s="197">
        <v>110</v>
      </c>
      <c r="B111" s="113" t="s">
        <v>2481</v>
      </c>
      <c r="C111" s="196" t="s">
        <v>679</v>
      </c>
      <c r="D111" s="196" t="s">
        <v>1168</v>
      </c>
      <c r="E111" s="196" t="s">
        <v>1308</v>
      </c>
      <c r="F111" s="196" t="s">
        <v>2325</v>
      </c>
    </row>
    <row r="112" spans="1:7">
      <c r="A112" s="197">
        <v>111</v>
      </c>
      <c r="B112" s="196" t="s">
        <v>654</v>
      </c>
      <c r="C112" s="196" t="s">
        <v>636</v>
      </c>
      <c r="D112" s="196" t="s">
        <v>1355</v>
      </c>
      <c r="E112" s="196" t="s">
        <v>1219</v>
      </c>
      <c r="F112" s="196" t="s">
        <v>2326</v>
      </c>
    </row>
    <row r="113" spans="1:7">
      <c r="A113" s="197">
        <v>112</v>
      </c>
      <c r="B113" s="196" t="s">
        <v>611</v>
      </c>
      <c r="C113" s="196" t="s">
        <v>1100</v>
      </c>
      <c r="D113" s="196" t="s">
        <v>1198</v>
      </c>
      <c r="E113" s="196" t="s">
        <v>1151</v>
      </c>
      <c r="F113" s="196" t="s">
        <v>2327</v>
      </c>
    </row>
    <row r="114" spans="1:7">
      <c r="A114" s="197">
        <v>113</v>
      </c>
      <c r="B114" s="196" t="s">
        <v>563</v>
      </c>
      <c r="C114" s="196" t="s">
        <v>713</v>
      </c>
      <c r="D114" s="196" t="s">
        <v>1281</v>
      </c>
      <c r="E114" s="196" t="s">
        <v>1326</v>
      </c>
      <c r="F114" s="196" t="s">
        <v>2328</v>
      </c>
    </row>
    <row r="115" spans="1:7">
      <c r="A115" s="197">
        <v>114</v>
      </c>
      <c r="B115" s="196" t="s">
        <v>1104</v>
      </c>
      <c r="C115" s="196" t="s">
        <v>539</v>
      </c>
      <c r="D115" s="196" t="s">
        <v>1161</v>
      </c>
      <c r="E115" s="196" t="s">
        <v>1247</v>
      </c>
      <c r="F115" s="196" t="s">
        <v>2329</v>
      </c>
    </row>
    <row r="116" spans="1:7">
      <c r="A116" s="197">
        <v>115</v>
      </c>
      <c r="B116" s="196" t="s">
        <v>619</v>
      </c>
      <c r="C116" s="196" t="s">
        <v>588</v>
      </c>
      <c r="D116" s="196" t="s">
        <v>1272</v>
      </c>
      <c r="E116" s="196" t="s">
        <v>1357</v>
      </c>
      <c r="F116" s="196" t="s">
        <v>2330</v>
      </c>
    </row>
    <row r="117" spans="1:7">
      <c r="A117" s="197">
        <v>116</v>
      </c>
      <c r="B117" s="196" t="s">
        <v>661</v>
      </c>
      <c r="C117" s="196" t="s">
        <v>682</v>
      </c>
      <c r="D117" s="196" t="s">
        <v>1487</v>
      </c>
      <c r="E117" s="196" t="s">
        <v>1153</v>
      </c>
      <c r="F117" s="196" t="s">
        <v>2331</v>
      </c>
    </row>
    <row r="118" spans="1:7">
      <c r="A118" s="197">
        <v>117</v>
      </c>
      <c r="B118" s="196" t="s">
        <v>576</v>
      </c>
      <c r="C118" s="196" t="s">
        <v>630</v>
      </c>
      <c r="D118" s="196" t="s">
        <v>1149</v>
      </c>
      <c r="E118" s="196" t="s">
        <v>1261</v>
      </c>
      <c r="F118" s="196" t="s">
        <v>2332</v>
      </c>
    </row>
    <row r="119" spans="1:7">
      <c r="A119" s="197">
        <v>118</v>
      </c>
      <c r="B119" s="196" t="s">
        <v>597</v>
      </c>
      <c r="C119" s="196" t="s">
        <v>646</v>
      </c>
      <c r="D119" s="196" t="s">
        <v>1259</v>
      </c>
      <c r="E119" s="196" t="s">
        <v>1369</v>
      </c>
      <c r="F119" s="196" t="s">
        <v>2333</v>
      </c>
    </row>
    <row r="120" spans="1:7">
      <c r="A120" s="197">
        <v>119</v>
      </c>
      <c r="B120" s="196" t="s">
        <v>615</v>
      </c>
      <c r="C120" s="196" t="s">
        <v>557</v>
      </c>
      <c r="D120" s="196" t="s">
        <v>1248</v>
      </c>
      <c r="E120" s="196" t="s">
        <v>1393</v>
      </c>
      <c r="F120" s="196" t="s">
        <v>2334</v>
      </c>
    </row>
    <row r="121" spans="1:7">
      <c r="A121" s="197">
        <v>120</v>
      </c>
      <c r="B121" s="196" t="s">
        <v>547</v>
      </c>
      <c r="C121" s="196" t="s">
        <v>687</v>
      </c>
      <c r="D121" s="196" t="s">
        <v>1352</v>
      </c>
      <c r="E121" s="196" t="s">
        <v>1292</v>
      </c>
      <c r="F121" s="196" t="s">
        <v>2335</v>
      </c>
    </row>
    <row r="122" spans="1:7">
      <c r="A122" s="197">
        <v>121</v>
      </c>
      <c r="B122" s="196" t="s">
        <v>577</v>
      </c>
      <c r="C122" s="196" t="s">
        <v>609</v>
      </c>
      <c r="D122" s="196" t="s">
        <v>1225</v>
      </c>
      <c r="E122" s="196" t="s">
        <v>1384</v>
      </c>
      <c r="F122" s="196" t="s">
        <v>2336</v>
      </c>
    </row>
    <row r="123" spans="1:7">
      <c r="A123" s="197">
        <v>122</v>
      </c>
      <c r="B123" s="196" t="s">
        <v>712</v>
      </c>
      <c r="C123" s="196" t="s">
        <v>1130</v>
      </c>
      <c r="D123" s="196" t="s">
        <v>1211</v>
      </c>
      <c r="E123" s="196" t="s">
        <v>1190</v>
      </c>
      <c r="F123" s="196" t="s">
        <v>2337</v>
      </c>
    </row>
    <row r="124" spans="1:7">
      <c r="A124" s="197">
        <v>123</v>
      </c>
      <c r="B124" s="196" t="s">
        <v>675</v>
      </c>
      <c r="C124" s="196" t="s">
        <v>566</v>
      </c>
      <c r="D124" s="196" t="s">
        <v>1155</v>
      </c>
      <c r="E124" s="196" t="s">
        <v>1356</v>
      </c>
      <c r="F124" s="196" t="s">
        <v>2338</v>
      </c>
    </row>
    <row r="125" spans="1:7">
      <c r="A125" s="197">
        <v>124</v>
      </c>
      <c r="B125" s="196" t="s">
        <v>670</v>
      </c>
      <c r="C125" s="196" t="s">
        <v>1102</v>
      </c>
      <c r="D125" s="196" t="s">
        <v>1368</v>
      </c>
      <c r="E125" s="196" t="s">
        <v>1183</v>
      </c>
      <c r="F125" s="196" t="s">
        <v>2340</v>
      </c>
    </row>
    <row r="126" spans="1:7">
      <c r="A126" s="197">
        <v>125</v>
      </c>
      <c r="B126" s="196" t="s">
        <v>655</v>
      </c>
      <c r="C126" s="196" t="s">
        <v>581</v>
      </c>
      <c r="D126" s="196" t="s">
        <v>1310</v>
      </c>
      <c r="E126" s="196" t="s">
        <v>1257</v>
      </c>
      <c r="F126" s="196" t="s">
        <v>2341</v>
      </c>
    </row>
    <row r="127" spans="1:7">
      <c r="A127" s="197">
        <v>126</v>
      </c>
      <c r="B127" s="196" t="s">
        <v>1086</v>
      </c>
      <c r="C127" s="196" t="s">
        <v>579</v>
      </c>
      <c r="D127" s="196" t="s">
        <v>1209</v>
      </c>
      <c r="E127" s="196" t="s">
        <v>1301</v>
      </c>
      <c r="F127" s="196" t="s">
        <v>2342</v>
      </c>
      <c r="G127" s="196" t="s">
        <v>2488</v>
      </c>
    </row>
    <row r="128" spans="1:7">
      <c r="A128" s="197">
        <v>127</v>
      </c>
      <c r="B128" s="196" t="s">
        <v>717</v>
      </c>
      <c r="C128" s="196" t="s">
        <v>635</v>
      </c>
      <c r="D128" s="196" t="s">
        <v>1363</v>
      </c>
      <c r="E128" s="196" t="s">
        <v>1152</v>
      </c>
      <c r="F128" s="196" t="s">
        <v>2343</v>
      </c>
    </row>
    <row r="129" spans="1:7">
      <c r="A129" s="197">
        <v>128</v>
      </c>
      <c r="B129" s="196" t="s">
        <v>723</v>
      </c>
      <c r="C129" s="196" t="s">
        <v>587</v>
      </c>
      <c r="D129" s="196" t="s">
        <v>1217</v>
      </c>
      <c r="E129" s="196" t="s">
        <v>1216</v>
      </c>
      <c r="F129" s="196" t="s">
        <v>2344</v>
      </c>
    </row>
    <row r="130" spans="1:7">
      <c r="A130" s="197">
        <v>129</v>
      </c>
      <c r="B130" s="196" t="s">
        <v>621</v>
      </c>
      <c r="C130" s="196" t="s">
        <v>1095</v>
      </c>
      <c r="D130" s="196" t="s">
        <v>1162</v>
      </c>
      <c r="E130" s="196" t="s">
        <v>1231</v>
      </c>
      <c r="F130" s="196" t="s">
        <v>2345</v>
      </c>
    </row>
    <row r="131" spans="1:7">
      <c r="A131" s="197">
        <v>130</v>
      </c>
      <c r="B131" s="196" t="s">
        <v>708</v>
      </c>
      <c r="C131" s="196" t="s">
        <v>556</v>
      </c>
      <c r="D131" s="196" t="s">
        <v>1342</v>
      </c>
      <c r="E131" s="196" t="s">
        <v>1220</v>
      </c>
      <c r="F131" s="196" t="s">
        <v>2346</v>
      </c>
    </row>
    <row r="132" spans="1:7">
      <c r="A132" s="197">
        <v>131</v>
      </c>
      <c r="B132" s="196" t="s">
        <v>549</v>
      </c>
      <c r="C132" s="196" t="s">
        <v>665</v>
      </c>
      <c r="D132" s="196" t="s">
        <v>1282</v>
      </c>
      <c r="E132" s="196" t="s">
        <v>1304</v>
      </c>
      <c r="F132" s="196" t="s">
        <v>2347</v>
      </c>
    </row>
    <row r="133" spans="1:7">
      <c r="A133" s="197">
        <v>132</v>
      </c>
      <c r="B133" s="196" t="s">
        <v>664</v>
      </c>
      <c r="C133" s="196" t="s">
        <v>605</v>
      </c>
      <c r="D133" s="196" t="s">
        <v>1271</v>
      </c>
      <c r="E133" s="196" t="s">
        <v>1325</v>
      </c>
      <c r="F133" s="196" t="s">
        <v>2348</v>
      </c>
    </row>
    <row r="134" spans="1:7">
      <c r="A134" s="197">
        <v>133</v>
      </c>
      <c r="B134" s="196" t="s">
        <v>544</v>
      </c>
      <c r="C134" s="196" t="s">
        <v>617</v>
      </c>
      <c r="D134" s="196" t="s">
        <v>1251</v>
      </c>
      <c r="E134" s="196" t="s">
        <v>1204</v>
      </c>
      <c r="F134" s="196" t="s">
        <v>2349</v>
      </c>
    </row>
    <row r="135" spans="1:7">
      <c r="A135" s="197">
        <v>134</v>
      </c>
      <c r="B135" s="196" t="s">
        <v>674</v>
      </c>
      <c r="C135" s="196" t="s">
        <v>541</v>
      </c>
      <c r="D135" s="196" t="s">
        <v>1230</v>
      </c>
      <c r="E135" s="196" t="s">
        <v>1294</v>
      </c>
      <c r="F135" s="196" t="s">
        <v>2350</v>
      </c>
    </row>
    <row r="136" spans="1:7">
      <c r="A136" s="197">
        <v>135</v>
      </c>
      <c r="B136" s="196" t="s">
        <v>545</v>
      </c>
      <c r="C136" s="196" t="s">
        <v>709</v>
      </c>
      <c r="D136" s="196" t="s">
        <v>1208</v>
      </c>
      <c r="E136" s="196" t="s">
        <v>1305</v>
      </c>
      <c r="F136" s="196" t="s">
        <v>2351</v>
      </c>
    </row>
    <row r="137" spans="1:7">
      <c r="A137" s="197">
        <v>136</v>
      </c>
      <c r="B137" s="196" t="s">
        <v>598</v>
      </c>
      <c r="C137" s="196" t="s">
        <v>667</v>
      </c>
      <c r="D137" s="196" t="s">
        <v>1303</v>
      </c>
      <c r="E137" s="196" t="s">
        <v>1218</v>
      </c>
      <c r="F137" s="196" t="s">
        <v>2352</v>
      </c>
    </row>
    <row r="138" spans="1:7">
      <c r="A138" s="197">
        <v>137</v>
      </c>
      <c r="B138" s="196" t="s">
        <v>658</v>
      </c>
      <c r="C138" s="196" t="s">
        <v>1107</v>
      </c>
      <c r="D138" s="196" t="s">
        <v>1193</v>
      </c>
      <c r="E138" s="196" t="s">
        <v>1245</v>
      </c>
      <c r="F138" s="196" t="s">
        <v>2353</v>
      </c>
    </row>
    <row r="139" spans="1:7">
      <c r="A139" s="197">
        <v>138</v>
      </c>
      <c r="B139" s="196" t="s">
        <v>1120</v>
      </c>
      <c r="C139" s="196" t="s">
        <v>715</v>
      </c>
      <c r="D139" s="196" t="s">
        <v>1427</v>
      </c>
      <c r="E139" s="196" t="s">
        <v>1235</v>
      </c>
      <c r="F139" s="196" t="s">
        <v>2354</v>
      </c>
    </row>
    <row r="140" spans="1:7">
      <c r="A140" s="197">
        <v>139</v>
      </c>
      <c r="B140" s="196" t="s">
        <v>603</v>
      </c>
      <c r="C140" s="196" t="s">
        <v>578</v>
      </c>
      <c r="D140" s="196" t="s">
        <v>1170</v>
      </c>
      <c r="E140" s="196" t="s">
        <v>1252</v>
      </c>
      <c r="F140" s="196" t="s">
        <v>2355</v>
      </c>
    </row>
    <row r="141" spans="1:7">
      <c r="A141" s="197">
        <v>140</v>
      </c>
      <c r="B141" s="196" t="s">
        <v>582</v>
      </c>
      <c r="C141" s="196" t="s">
        <v>606</v>
      </c>
      <c r="D141" s="196" t="s">
        <v>1344</v>
      </c>
      <c r="E141" s="196" t="s">
        <v>1263</v>
      </c>
      <c r="F141" s="196" t="s">
        <v>2357</v>
      </c>
    </row>
    <row r="142" spans="1:7">
      <c r="A142" s="197">
        <v>141</v>
      </c>
      <c r="B142" s="196" t="s">
        <v>676</v>
      </c>
      <c r="C142" s="196" t="s">
        <v>560</v>
      </c>
      <c r="D142" s="196" t="s">
        <v>1275</v>
      </c>
      <c r="E142" s="196" t="s">
        <v>1150</v>
      </c>
      <c r="F142" s="196" t="s">
        <v>2358</v>
      </c>
    </row>
    <row r="143" spans="1:7">
      <c r="A143" s="197">
        <v>142</v>
      </c>
      <c r="B143" s="196" t="s">
        <v>638</v>
      </c>
      <c r="C143" s="196" t="s">
        <v>681</v>
      </c>
      <c r="D143" s="196" t="s">
        <v>1200</v>
      </c>
      <c r="E143" s="196" t="s">
        <v>1233</v>
      </c>
      <c r="F143" s="196" t="s">
        <v>2359</v>
      </c>
      <c r="G143" s="196" t="s">
        <v>2527</v>
      </c>
    </row>
    <row r="144" spans="1:7">
      <c r="A144" s="197">
        <v>143</v>
      </c>
      <c r="B144" s="196" t="s">
        <v>574</v>
      </c>
      <c r="C144" s="196" t="s">
        <v>685</v>
      </c>
      <c r="D144" s="196" t="s">
        <v>1353</v>
      </c>
      <c r="E144" s="196" t="s">
        <v>1214</v>
      </c>
      <c r="F144" s="196" t="s">
        <v>2360</v>
      </c>
    </row>
    <row r="145" spans="1:7">
      <c r="A145" s="197">
        <v>144</v>
      </c>
      <c r="B145" s="196" t="s">
        <v>1126</v>
      </c>
      <c r="C145" s="196" t="s">
        <v>570</v>
      </c>
      <c r="D145" s="196" t="s">
        <v>1156</v>
      </c>
      <c r="E145" s="196" t="s">
        <v>1266</v>
      </c>
      <c r="F145" s="196" t="s">
        <v>2361</v>
      </c>
    </row>
    <row r="146" spans="1:7">
      <c r="A146" s="197">
        <v>145</v>
      </c>
      <c r="B146" s="196" t="s">
        <v>1101</v>
      </c>
      <c r="C146" s="196" t="s">
        <v>1114</v>
      </c>
      <c r="D146" s="196" t="s">
        <v>1397</v>
      </c>
      <c r="E146" s="196" t="s">
        <v>1148</v>
      </c>
      <c r="F146" s="196" t="s">
        <v>2362</v>
      </c>
    </row>
    <row r="147" spans="1:7">
      <c r="A147" s="197">
        <v>146</v>
      </c>
      <c r="B147" s="196" t="s">
        <v>673</v>
      </c>
      <c r="C147" s="196" t="s">
        <v>649</v>
      </c>
      <c r="D147" s="196" t="s">
        <v>1288</v>
      </c>
      <c r="E147" s="196" t="s">
        <v>1361</v>
      </c>
      <c r="F147" s="196" t="s">
        <v>2363</v>
      </c>
    </row>
    <row r="148" spans="1:7">
      <c r="A148" s="197">
        <v>147</v>
      </c>
      <c r="B148" s="196" t="s">
        <v>559</v>
      </c>
      <c r="C148" s="196" t="s">
        <v>568</v>
      </c>
      <c r="D148" s="196" t="s">
        <v>1172</v>
      </c>
      <c r="E148" s="196" t="s">
        <v>1372</v>
      </c>
      <c r="F148" s="196" t="s">
        <v>2364</v>
      </c>
    </row>
    <row r="149" spans="1:7">
      <c r="A149" s="197">
        <v>148</v>
      </c>
      <c r="B149" s="196" t="s">
        <v>1121</v>
      </c>
      <c r="C149" s="196" t="s">
        <v>669</v>
      </c>
      <c r="D149" s="196" t="s">
        <v>1243</v>
      </c>
      <c r="E149" s="196" t="s">
        <v>1215</v>
      </c>
      <c r="F149" s="196" t="s">
        <v>2365</v>
      </c>
    </row>
    <row r="150" spans="1:7">
      <c r="A150" s="197">
        <v>149</v>
      </c>
      <c r="B150" s="196" t="s">
        <v>608</v>
      </c>
      <c r="C150" s="196" t="s">
        <v>596</v>
      </c>
      <c r="D150" s="196" t="s">
        <v>1354</v>
      </c>
      <c r="E150" s="196" t="s">
        <v>1317</v>
      </c>
      <c r="F150" s="196" t="s">
        <v>2366</v>
      </c>
    </row>
    <row r="151" spans="1:7">
      <c r="A151" s="197">
        <v>150</v>
      </c>
      <c r="B151" s="196" t="s">
        <v>569</v>
      </c>
      <c r="C151" s="196" t="s">
        <v>1134</v>
      </c>
      <c r="D151" s="196" t="s">
        <v>1249</v>
      </c>
      <c r="E151" s="196" t="s">
        <v>1392</v>
      </c>
      <c r="F151" s="196" t="s">
        <v>2367</v>
      </c>
    </row>
    <row r="152" spans="1:7">
      <c r="A152" s="197">
        <v>151</v>
      </c>
      <c r="B152" s="196" t="s">
        <v>637</v>
      </c>
      <c r="C152" s="196" t="s">
        <v>694</v>
      </c>
      <c r="D152" s="196" t="s">
        <v>1403</v>
      </c>
      <c r="E152" s="196" t="s">
        <v>1483</v>
      </c>
      <c r="F152" s="196" t="s">
        <v>2368</v>
      </c>
    </row>
    <row r="153" spans="1:7">
      <c r="A153" s="197">
        <v>152</v>
      </c>
      <c r="B153" s="196" t="s">
        <v>562</v>
      </c>
      <c r="C153" s="196" t="s">
        <v>550</v>
      </c>
      <c r="D153" s="196" t="s">
        <v>1306</v>
      </c>
      <c r="E153" s="196" t="s">
        <v>1197</v>
      </c>
      <c r="F153" s="196" t="s">
        <v>2369</v>
      </c>
    </row>
    <row r="154" spans="1:7">
      <c r="A154" s="197">
        <v>153</v>
      </c>
      <c r="B154" s="196" t="s">
        <v>701</v>
      </c>
      <c r="C154" s="196" t="s">
        <v>662</v>
      </c>
      <c r="D154" s="196" t="s">
        <v>1165</v>
      </c>
      <c r="E154" s="196" t="s">
        <v>1250</v>
      </c>
      <c r="F154" s="196" t="s">
        <v>2371</v>
      </c>
    </row>
    <row r="155" spans="1:7">
      <c r="A155" s="197">
        <v>154</v>
      </c>
      <c r="B155" s="196" t="s">
        <v>656</v>
      </c>
      <c r="C155" s="196" t="s">
        <v>648</v>
      </c>
      <c r="D155" s="196" t="s">
        <v>1366</v>
      </c>
      <c r="E155" s="196" t="s">
        <v>1375</v>
      </c>
      <c r="F155" s="196" t="s">
        <v>2372</v>
      </c>
    </row>
    <row r="156" spans="1:7">
      <c r="A156" s="197">
        <v>155</v>
      </c>
      <c r="B156" s="196" t="s">
        <v>585</v>
      </c>
      <c r="C156" s="196" t="s">
        <v>657</v>
      </c>
      <c r="D156" s="196" t="s">
        <v>1223</v>
      </c>
      <c r="E156" s="196" t="s">
        <v>1191</v>
      </c>
      <c r="F156" s="196" t="s">
        <v>2373</v>
      </c>
    </row>
    <row r="157" spans="1:7">
      <c r="A157" s="197">
        <v>156</v>
      </c>
      <c r="B157" s="196" t="s">
        <v>677</v>
      </c>
      <c r="C157" s="196" t="s">
        <v>543</v>
      </c>
      <c r="D157" s="196" t="s">
        <v>1383</v>
      </c>
      <c r="E157" s="196" t="s">
        <v>1396</v>
      </c>
      <c r="F157" s="196" t="s">
        <v>2374</v>
      </c>
    </row>
    <row r="158" spans="1:7">
      <c r="A158" s="197">
        <v>157</v>
      </c>
      <c r="B158" s="196" t="s">
        <v>1106</v>
      </c>
      <c r="C158" s="196" t="s">
        <v>1111</v>
      </c>
      <c r="D158" s="196" t="s">
        <v>1273</v>
      </c>
      <c r="E158" s="196" t="s">
        <v>1160</v>
      </c>
      <c r="F158" s="196" t="s">
        <v>2376</v>
      </c>
    </row>
    <row r="159" spans="1:7">
      <c r="A159" s="197">
        <v>158</v>
      </c>
      <c r="B159" s="196" t="s">
        <v>571</v>
      </c>
      <c r="C159" s="196" t="s">
        <v>1125</v>
      </c>
      <c r="D159" s="196" t="s">
        <v>1166</v>
      </c>
      <c r="E159" s="196" t="s">
        <v>1474</v>
      </c>
      <c r="F159" s="196" t="s">
        <v>2377</v>
      </c>
    </row>
    <row r="160" spans="1:7">
      <c r="A160" s="197">
        <v>159</v>
      </c>
      <c r="B160" s="196" t="s">
        <v>702</v>
      </c>
      <c r="C160" s="196" t="s">
        <v>642</v>
      </c>
      <c r="D160" s="196" t="s">
        <v>1319</v>
      </c>
      <c r="E160" s="196" t="s">
        <v>1221</v>
      </c>
      <c r="F160" s="196" t="s">
        <v>2378</v>
      </c>
      <c r="G160" s="196" t="s">
        <v>2473</v>
      </c>
    </row>
    <row r="161" spans="1:7">
      <c r="A161" s="197">
        <v>160</v>
      </c>
      <c r="B161" s="196" t="s">
        <v>680</v>
      </c>
      <c r="C161" s="196" t="s">
        <v>720</v>
      </c>
      <c r="D161" s="196" t="s">
        <v>1174</v>
      </c>
      <c r="E161" s="196" t="s">
        <v>1241</v>
      </c>
      <c r="F161" s="196" t="s">
        <v>2379</v>
      </c>
    </row>
    <row r="162" spans="1:7">
      <c r="A162" s="197">
        <v>161</v>
      </c>
      <c r="B162" s="196" t="s">
        <v>888</v>
      </c>
      <c r="C162" s="196" t="s">
        <v>1017</v>
      </c>
      <c r="D162" s="196" t="s">
        <v>1699</v>
      </c>
      <c r="E162" s="196" t="s">
        <v>1798</v>
      </c>
      <c r="F162" s="196" t="s">
        <v>2381</v>
      </c>
      <c r="G162" s="196" t="s">
        <v>2526</v>
      </c>
    </row>
    <row r="163" spans="1:7">
      <c r="A163" s="197">
        <v>162</v>
      </c>
      <c r="B163" s="196" t="s">
        <v>856</v>
      </c>
      <c r="C163" s="196" t="s">
        <v>939</v>
      </c>
      <c r="D163" s="196" t="s">
        <v>1608</v>
      </c>
      <c r="E163" s="198" t="s">
        <v>1665</v>
      </c>
      <c r="F163" s="196" t="s">
        <v>2382</v>
      </c>
    </row>
    <row r="164" spans="1:7">
      <c r="A164" s="197">
        <v>163</v>
      </c>
      <c r="B164" s="196" t="s">
        <v>800</v>
      </c>
      <c r="C164" s="196" t="s">
        <v>1045</v>
      </c>
      <c r="D164" s="196" t="s">
        <v>1307</v>
      </c>
      <c r="E164" s="196" t="s">
        <v>1848</v>
      </c>
      <c r="F164" s="196" t="s">
        <v>2383</v>
      </c>
    </row>
    <row r="165" spans="1:7">
      <c r="A165" s="197">
        <v>164</v>
      </c>
      <c r="B165" s="196" t="s">
        <v>877</v>
      </c>
      <c r="C165" s="196" t="s">
        <v>824</v>
      </c>
      <c r="D165" s="196" t="s">
        <v>1660</v>
      </c>
      <c r="E165" s="196" t="s">
        <v>1364</v>
      </c>
      <c r="F165" s="196" t="s">
        <v>2384</v>
      </c>
    </row>
    <row r="166" spans="1:7">
      <c r="A166" s="197">
        <v>165</v>
      </c>
      <c r="B166" s="196" t="s">
        <v>730</v>
      </c>
      <c r="C166" s="196" t="s">
        <v>810</v>
      </c>
      <c r="D166" s="196" t="s">
        <v>1240</v>
      </c>
      <c r="E166" s="196" t="s">
        <v>1682</v>
      </c>
      <c r="F166" s="196" t="s">
        <v>2385</v>
      </c>
    </row>
    <row r="167" spans="1:7">
      <c r="A167" s="197">
        <v>166</v>
      </c>
      <c r="B167" s="196" t="s">
        <v>882</v>
      </c>
      <c r="C167" s="196" t="s">
        <v>854</v>
      </c>
      <c r="D167" s="196" t="s">
        <v>1763</v>
      </c>
      <c r="E167" s="196" t="s">
        <v>1716</v>
      </c>
      <c r="F167" s="196" t="s">
        <v>2386</v>
      </c>
    </row>
    <row r="168" spans="1:7">
      <c r="A168" s="197">
        <v>167</v>
      </c>
      <c r="B168" s="196" t="s">
        <v>926</v>
      </c>
      <c r="C168" s="196" t="s">
        <v>886</v>
      </c>
      <c r="D168" s="196" t="s">
        <v>1607</v>
      </c>
      <c r="E168" s="196" t="s">
        <v>1621</v>
      </c>
      <c r="F168" s="196" t="s">
        <v>2388</v>
      </c>
    </row>
    <row r="169" spans="1:7">
      <c r="A169" s="197">
        <v>168</v>
      </c>
      <c r="B169" s="196" t="s">
        <v>819</v>
      </c>
      <c r="C169" s="196" t="s">
        <v>607</v>
      </c>
      <c r="D169" s="196" t="s">
        <v>1370</v>
      </c>
      <c r="E169" s="196" t="s">
        <v>1589</v>
      </c>
      <c r="F169" s="196" t="s">
        <v>2389</v>
      </c>
    </row>
    <row r="170" spans="1:7">
      <c r="A170" s="197">
        <v>169</v>
      </c>
      <c r="B170" s="196" t="s">
        <v>738</v>
      </c>
      <c r="C170" s="196" t="s">
        <v>688</v>
      </c>
      <c r="D170" s="196" t="s">
        <v>1554</v>
      </c>
      <c r="E170" s="196" t="s">
        <v>1625</v>
      </c>
      <c r="F170" s="196" t="s">
        <v>2390</v>
      </c>
    </row>
    <row r="171" spans="1:7">
      <c r="A171" s="197">
        <v>170</v>
      </c>
      <c r="B171" s="196" t="s">
        <v>558</v>
      </c>
      <c r="C171" s="196" t="s">
        <v>811</v>
      </c>
      <c r="D171" s="196" t="s">
        <v>1376</v>
      </c>
      <c r="E171" s="196" t="s">
        <v>1617</v>
      </c>
      <c r="F171" s="196" t="s">
        <v>2391</v>
      </c>
    </row>
    <row r="172" spans="1:7">
      <c r="A172" s="197">
        <v>171</v>
      </c>
      <c r="B172" s="196" t="s">
        <v>690</v>
      </c>
      <c r="C172" s="196" t="s">
        <v>583</v>
      </c>
      <c r="D172" s="196" t="s">
        <v>1546</v>
      </c>
      <c r="E172" s="196" t="s">
        <v>1394</v>
      </c>
      <c r="F172" s="196" t="s">
        <v>2392</v>
      </c>
    </row>
    <row r="173" spans="1:7">
      <c r="A173" s="197">
        <v>172</v>
      </c>
      <c r="B173" s="196" t="s">
        <v>788</v>
      </c>
      <c r="C173" s="196" t="s">
        <v>984</v>
      </c>
      <c r="D173" s="196" t="s">
        <v>1611</v>
      </c>
      <c r="E173" s="196" t="s">
        <v>1769</v>
      </c>
      <c r="F173" s="196" t="s">
        <v>2393</v>
      </c>
    </row>
    <row r="174" spans="1:7">
      <c r="A174" s="197">
        <v>173</v>
      </c>
      <c r="B174" s="196" t="s">
        <v>1036</v>
      </c>
      <c r="C174" s="196" t="s">
        <v>1084</v>
      </c>
      <c r="D174" s="196" t="s">
        <v>1185</v>
      </c>
      <c r="E174" s="196" t="s">
        <v>1834</v>
      </c>
      <c r="F174" s="196" t="s">
        <v>2394</v>
      </c>
    </row>
    <row r="175" spans="1:7">
      <c r="A175" s="197">
        <v>174</v>
      </c>
      <c r="B175" s="196" t="s">
        <v>757</v>
      </c>
      <c r="C175" s="196" t="s">
        <v>834</v>
      </c>
      <c r="D175" s="196" t="s">
        <v>1314</v>
      </c>
      <c r="E175" s="196" t="s">
        <v>1395</v>
      </c>
      <c r="F175" s="196" t="s">
        <v>2395</v>
      </c>
    </row>
    <row r="176" spans="1:7">
      <c r="A176" s="197">
        <v>175</v>
      </c>
      <c r="B176" s="196" t="s">
        <v>660</v>
      </c>
      <c r="C176" s="196" t="s">
        <v>683</v>
      </c>
      <c r="D176" s="196" t="s">
        <v>1258</v>
      </c>
      <c r="E176" s="196" t="s">
        <v>1593</v>
      </c>
      <c r="F176" s="196" t="s">
        <v>2396</v>
      </c>
    </row>
    <row r="177" spans="1:6">
      <c r="A177" s="197">
        <v>176</v>
      </c>
      <c r="B177" s="196" t="s">
        <v>651</v>
      </c>
      <c r="C177" s="196" t="s">
        <v>815</v>
      </c>
      <c r="D177" s="196" t="s">
        <v>1580</v>
      </c>
      <c r="E177" s="196" t="s">
        <v>1596</v>
      </c>
      <c r="F177" s="196" t="s">
        <v>2397</v>
      </c>
    </row>
    <row r="178" spans="1:6">
      <c r="A178" s="197">
        <v>177</v>
      </c>
      <c r="B178" s="196" t="s">
        <v>671</v>
      </c>
      <c r="C178" s="196" t="s">
        <v>879</v>
      </c>
      <c r="D178" s="196" t="s">
        <v>1567</v>
      </c>
      <c r="E178" s="196" t="s">
        <v>1688</v>
      </c>
      <c r="F178" s="196" t="s">
        <v>2398</v>
      </c>
    </row>
    <row r="179" spans="1:6">
      <c r="A179" s="197">
        <v>178</v>
      </c>
      <c r="B179" s="196" t="s">
        <v>653</v>
      </c>
      <c r="C179" s="196" t="s">
        <v>832</v>
      </c>
      <c r="D179" s="196" t="s">
        <v>1157</v>
      </c>
      <c r="E179" s="196" t="s">
        <v>1269</v>
      </c>
      <c r="F179" s="196" t="s">
        <v>2399</v>
      </c>
    </row>
    <row r="180" spans="1:6">
      <c r="A180" s="197">
        <v>179</v>
      </c>
      <c r="B180" s="196" t="s">
        <v>868</v>
      </c>
      <c r="C180" s="196" t="s">
        <v>1109</v>
      </c>
      <c r="D180" s="196" t="s">
        <v>1224</v>
      </c>
      <c r="E180" s="196" t="s">
        <v>1599</v>
      </c>
      <c r="F180" s="196" t="s">
        <v>2400</v>
      </c>
    </row>
    <row r="181" spans="1:6">
      <c r="A181" s="197">
        <v>180</v>
      </c>
      <c r="B181" s="196" t="s">
        <v>840</v>
      </c>
      <c r="C181" s="196" t="s">
        <v>873</v>
      </c>
      <c r="D181" s="196" t="s">
        <v>1267</v>
      </c>
      <c r="E181" s="196" t="s">
        <v>1690</v>
      </c>
      <c r="F181" s="196" t="s">
        <v>2401</v>
      </c>
    </row>
    <row r="182" spans="1:6">
      <c r="A182" s="197">
        <v>181</v>
      </c>
      <c r="B182" s="196" t="s">
        <v>850</v>
      </c>
      <c r="C182" s="196" t="s">
        <v>554</v>
      </c>
      <c r="D182" s="196" t="s">
        <v>1499</v>
      </c>
      <c r="E182" s="196" t="s">
        <v>1592</v>
      </c>
      <c r="F182" s="196" t="s">
        <v>2402</v>
      </c>
    </row>
    <row r="183" spans="1:6">
      <c r="A183" s="197">
        <v>182</v>
      </c>
      <c r="B183" s="196" t="s">
        <v>604</v>
      </c>
      <c r="C183" s="196" t="s">
        <v>697</v>
      </c>
      <c r="D183" s="196" t="s">
        <v>1232</v>
      </c>
      <c r="E183" s="196" t="s">
        <v>1647</v>
      </c>
      <c r="F183" s="196" t="s">
        <v>2403</v>
      </c>
    </row>
    <row r="184" spans="1:6">
      <c r="A184" s="197">
        <v>183</v>
      </c>
      <c r="B184" s="196" t="s">
        <v>851</v>
      </c>
      <c r="C184" s="196" t="s">
        <v>573</v>
      </c>
      <c r="D184" s="196" t="s">
        <v>1154</v>
      </c>
      <c r="E184" s="196" t="s">
        <v>1465</v>
      </c>
      <c r="F184" s="196" t="s">
        <v>2404</v>
      </c>
    </row>
    <row r="185" spans="1:6">
      <c r="A185" s="197">
        <v>184</v>
      </c>
      <c r="B185" s="196" t="s">
        <v>586</v>
      </c>
      <c r="C185" s="196" t="s">
        <v>600</v>
      </c>
      <c r="D185" s="196" t="s">
        <v>1713</v>
      </c>
      <c r="E185" s="196" t="s">
        <v>1381</v>
      </c>
      <c r="F185" s="196" t="s">
        <v>2405</v>
      </c>
    </row>
    <row r="186" spans="1:6">
      <c r="A186" s="197">
        <v>185</v>
      </c>
      <c r="B186" s="196" t="s">
        <v>602</v>
      </c>
      <c r="C186" s="196" t="s">
        <v>1090</v>
      </c>
      <c r="D186" s="196" t="s">
        <v>1486</v>
      </c>
      <c r="E186" s="196" t="s">
        <v>1627</v>
      </c>
      <c r="F186" s="196" t="s">
        <v>2407</v>
      </c>
    </row>
    <row r="187" spans="1:6">
      <c r="A187" s="197">
        <v>186</v>
      </c>
      <c r="B187" s="113" t="s">
        <v>961</v>
      </c>
      <c r="C187" s="196" t="s">
        <v>584</v>
      </c>
      <c r="D187" s="196" t="s">
        <v>1442</v>
      </c>
      <c r="E187" s="196" t="s">
        <v>1506</v>
      </c>
      <c r="F187" s="196" t="s">
        <v>2408</v>
      </c>
    </row>
    <row r="188" spans="1:6">
      <c r="A188" s="197">
        <v>187</v>
      </c>
      <c r="B188" s="196" t="s">
        <v>561</v>
      </c>
      <c r="C188" s="196" t="s">
        <v>714</v>
      </c>
      <c r="D188" s="196" t="s">
        <v>1685</v>
      </c>
      <c r="E188" s="196" t="s">
        <v>1430</v>
      </c>
      <c r="F188" s="196" t="s">
        <v>2409</v>
      </c>
    </row>
    <row r="189" spans="1:6">
      <c r="A189" s="197">
        <v>188</v>
      </c>
      <c r="B189" s="196" t="s">
        <v>919</v>
      </c>
      <c r="C189" s="196" t="s">
        <v>918</v>
      </c>
      <c r="D189" s="196" t="s">
        <v>1675</v>
      </c>
      <c r="E189" s="196" t="s">
        <v>1630</v>
      </c>
      <c r="F189" s="196" t="s">
        <v>2410</v>
      </c>
    </row>
    <row r="190" spans="1:6">
      <c r="A190" s="197">
        <v>189</v>
      </c>
      <c r="B190" s="196" t="s">
        <v>925</v>
      </c>
      <c r="C190" s="196" t="s">
        <v>787</v>
      </c>
      <c r="D190" s="196" t="s">
        <v>1513</v>
      </c>
      <c r="E190" s="196" t="s">
        <v>1683</v>
      </c>
      <c r="F190" s="196" t="s">
        <v>2412</v>
      </c>
    </row>
    <row r="191" spans="1:6">
      <c r="A191" s="197">
        <v>190</v>
      </c>
      <c r="B191" s="196" t="s">
        <v>909</v>
      </c>
      <c r="C191" s="196" t="s">
        <v>977</v>
      </c>
      <c r="D191" s="196" t="s">
        <v>1657</v>
      </c>
      <c r="E191" s="196" t="s">
        <v>1524</v>
      </c>
      <c r="F191" s="196" t="s">
        <v>2413</v>
      </c>
    </row>
    <row r="192" spans="1:6">
      <c r="A192" s="197">
        <v>191</v>
      </c>
      <c r="B192" s="196" t="s">
        <v>754</v>
      </c>
      <c r="C192" s="196" t="s">
        <v>805</v>
      </c>
      <c r="D192" s="196" t="s">
        <v>1633</v>
      </c>
      <c r="E192" s="196" t="s">
        <v>1528</v>
      </c>
      <c r="F192" s="196" t="s">
        <v>2414</v>
      </c>
    </row>
    <row r="193" spans="1:6">
      <c r="A193" s="197">
        <v>192</v>
      </c>
      <c r="B193" s="196" t="s">
        <v>795</v>
      </c>
      <c r="C193" s="196" t="s">
        <v>878</v>
      </c>
      <c r="D193" s="196" t="s">
        <v>1753</v>
      </c>
      <c r="E193" s="196" t="s">
        <v>1459</v>
      </c>
      <c r="F193" s="196" t="s">
        <v>2415</v>
      </c>
    </row>
    <row r="194" spans="1:6">
      <c r="A194" s="197">
        <v>193</v>
      </c>
      <c r="B194" s="196" t="s">
        <v>777</v>
      </c>
      <c r="C194" s="196" t="s">
        <v>1016</v>
      </c>
      <c r="D194" s="196" t="s">
        <v>1466</v>
      </c>
      <c r="E194" s="196" t="s">
        <v>1187</v>
      </c>
      <c r="F194" s="196" t="s">
        <v>2440</v>
      </c>
    </row>
    <row r="195" spans="1:6">
      <c r="A195" s="197">
        <v>194</v>
      </c>
      <c r="B195" s="196" t="s">
        <v>974</v>
      </c>
      <c r="C195" s="196" t="s">
        <v>852</v>
      </c>
      <c r="D195" s="196" t="s">
        <v>1337</v>
      </c>
      <c r="E195" s="196" t="s">
        <v>1435</v>
      </c>
      <c r="F195" s="196" t="s">
        <v>2433</v>
      </c>
    </row>
    <row r="196" spans="1:6">
      <c r="A196" s="197">
        <v>195</v>
      </c>
      <c r="B196" s="196" t="s">
        <v>1116</v>
      </c>
      <c r="C196" s="196" t="s">
        <v>763</v>
      </c>
      <c r="D196" s="196" t="s">
        <v>1525</v>
      </c>
      <c r="E196" s="196" t="s">
        <v>1229</v>
      </c>
      <c r="F196" s="196" t="s">
        <v>2425</v>
      </c>
    </row>
    <row r="197" spans="1:6">
      <c r="A197" s="197">
        <v>196</v>
      </c>
      <c r="B197" s="196" t="s">
        <v>779</v>
      </c>
      <c r="C197" s="196" t="s">
        <v>766</v>
      </c>
      <c r="D197" s="196" t="s">
        <v>1164</v>
      </c>
      <c r="E197" s="196" t="s">
        <v>1296</v>
      </c>
      <c r="F197" s="196" t="s">
        <v>2416</v>
      </c>
    </row>
    <row r="198" spans="1:6">
      <c r="A198" s="197">
        <v>197</v>
      </c>
      <c r="B198" s="196" t="s">
        <v>771</v>
      </c>
      <c r="C198" s="196" t="s">
        <v>922</v>
      </c>
      <c r="D198" s="196" t="s">
        <v>1662</v>
      </c>
      <c r="E198" s="196" t="s">
        <v>1335</v>
      </c>
      <c r="F198" s="196" t="s">
        <v>2426</v>
      </c>
    </row>
    <row r="199" spans="1:6">
      <c r="A199" s="197">
        <v>198</v>
      </c>
      <c r="B199" s="196" t="s">
        <v>973</v>
      </c>
      <c r="C199" s="196" t="s">
        <v>678</v>
      </c>
      <c r="D199" s="196" t="s">
        <v>1588</v>
      </c>
      <c r="E199" s="196" t="s">
        <v>1265</v>
      </c>
      <c r="F199" s="196" t="s">
        <v>2434</v>
      </c>
    </row>
    <row r="200" spans="1:6">
      <c r="A200" s="197">
        <v>199</v>
      </c>
      <c r="B200" s="196" t="s">
        <v>872</v>
      </c>
      <c r="C200" s="196" t="s">
        <v>802</v>
      </c>
      <c r="D200" s="196" t="s">
        <v>1338</v>
      </c>
      <c r="E200" s="196" t="s">
        <v>1173</v>
      </c>
      <c r="F200" s="196" t="s">
        <v>2418</v>
      </c>
    </row>
    <row r="201" spans="1:6">
      <c r="A201" s="197">
        <v>200</v>
      </c>
      <c r="B201" s="196" t="s">
        <v>782</v>
      </c>
      <c r="C201" s="196" t="s">
        <v>838</v>
      </c>
      <c r="D201" s="196" t="s">
        <v>1341</v>
      </c>
      <c r="E201" s="196" t="s">
        <v>1234</v>
      </c>
      <c r="F201" s="196" t="s">
        <v>2441</v>
      </c>
    </row>
    <row r="202" spans="1:6">
      <c r="A202" s="197">
        <v>201</v>
      </c>
      <c r="B202" s="196" t="s">
        <v>746</v>
      </c>
      <c r="C202" s="196" t="s">
        <v>923</v>
      </c>
      <c r="D202" s="196" t="s">
        <v>1343</v>
      </c>
      <c r="E202" s="196" t="s">
        <v>1239</v>
      </c>
      <c r="F202" s="196" t="s">
        <v>2442</v>
      </c>
    </row>
    <row r="203" spans="1:6">
      <c r="A203" s="197">
        <v>202</v>
      </c>
      <c r="B203" s="196" t="s">
        <v>959</v>
      </c>
      <c r="C203" s="196" t="s">
        <v>1006</v>
      </c>
      <c r="D203" s="196" t="s">
        <v>1280</v>
      </c>
      <c r="E203" s="196" t="s">
        <v>1277</v>
      </c>
      <c r="F203" s="196" t="s">
        <v>2419</v>
      </c>
    </row>
    <row r="204" spans="1:6">
      <c r="A204" s="197">
        <v>203</v>
      </c>
      <c r="B204" s="196" t="s">
        <v>799</v>
      </c>
      <c r="C204" s="196" t="s">
        <v>769</v>
      </c>
      <c r="D204" s="196" t="s">
        <v>1297</v>
      </c>
      <c r="E204" s="196" t="s">
        <v>1405</v>
      </c>
      <c r="F204" s="196" t="s">
        <v>2428</v>
      </c>
    </row>
    <row r="205" spans="1:6">
      <c r="A205" s="197">
        <v>204</v>
      </c>
      <c r="B205" s="196" t="s">
        <v>1002</v>
      </c>
      <c r="C205" s="196" t="s">
        <v>807</v>
      </c>
      <c r="D205" s="196" t="s">
        <v>1410</v>
      </c>
      <c r="E205" s="196" t="s">
        <v>1236</v>
      </c>
      <c r="F205" s="196" t="s">
        <v>2435</v>
      </c>
    </row>
    <row r="206" spans="1:6">
      <c r="A206" s="197">
        <v>205</v>
      </c>
      <c r="B206" s="196" t="s">
        <v>1049</v>
      </c>
      <c r="C206" s="196" t="s">
        <v>876</v>
      </c>
      <c r="D206" s="196" t="s">
        <v>1382</v>
      </c>
      <c r="E206" s="196" t="s">
        <v>1429</v>
      </c>
      <c r="F206" s="196" t="s">
        <v>2429</v>
      </c>
    </row>
    <row r="207" spans="1:6">
      <c r="A207" s="197">
        <v>206</v>
      </c>
      <c r="B207" s="196" t="s">
        <v>813</v>
      </c>
      <c r="C207" s="196" t="s">
        <v>907</v>
      </c>
      <c r="D207" s="196" t="s">
        <v>1159</v>
      </c>
      <c r="E207" s="196" t="s">
        <v>1373</v>
      </c>
      <c r="F207" s="196" t="s">
        <v>2420</v>
      </c>
    </row>
    <row r="208" spans="1:6">
      <c r="A208" s="197">
        <v>207</v>
      </c>
      <c r="B208" s="196" t="s">
        <v>992</v>
      </c>
      <c r="C208" s="196" t="s">
        <v>883</v>
      </c>
      <c r="D208" s="196" t="s">
        <v>1510</v>
      </c>
      <c r="E208" s="196" t="s">
        <v>1476</v>
      </c>
      <c r="F208" s="196" t="s">
        <v>2443</v>
      </c>
    </row>
    <row r="209" spans="1:6">
      <c r="A209" s="197">
        <v>208</v>
      </c>
      <c r="B209" s="196" t="s">
        <v>692</v>
      </c>
      <c r="C209" s="196" t="s">
        <v>797</v>
      </c>
      <c r="D209" s="196" t="s">
        <v>1542</v>
      </c>
      <c r="E209" s="196" t="s">
        <v>1340</v>
      </c>
      <c r="F209" s="196" t="s">
        <v>2436</v>
      </c>
    </row>
    <row r="210" spans="1:6">
      <c r="A210" s="197">
        <v>209</v>
      </c>
      <c r="B210" s="196" t="s">
        <v>999</v>
      </c>
      <c r="C210" s="196" t="s">
        <v>870</v>
      </c>
      <c r="D210" s="196" t="s">
        <v>1413</v>
      </c>
      <c r="E210" s="196" t="s">
        <v>1446</v>
      </c>
      <c r="F210" s="196" t="s">
        <v>2430</v>
      </c>
    </row>
    <row r="211" spans="1:6">
      <c r="A211" s="197">
        <v>210</v>
      </c>
      <c r="B211" s="196" t="s">
        <v>749</v>
      </c>
      <c r="C211" s="196" t="s">
        <v>801</v>
      </c>
      <c r="D211" s="196" t="s">
        <v>1330</v>
      </c>
      <c r="E211" s="196" t="s">
        <v>1179</v>
      </c>
      <c r="F211" s="196" t="s">
        <v>2444</v>
      </c>
    </row>
    <row r="212" spans="1:6">
      <c r="A212" s="197">
        <v>211</v>
      </c>
      <c r="B212" s="196" t="s">
        <v>552</v>
      </c>
      <c r="C212" s="196" t="s">
        <v>760</v>
      </c>
      <c r="D212" s="196" t="s">
        <v>1254</v>
      </c>
      <c r="E212" s="196" t="s">
        <v>1228</v>
      </c>
      <c r="F212" s="196" t="s">
        <v>2421</v>
      </c>
    </row>
    <row r="213" spans="1:6">
      <c r="A213" s="197">
        <v>212</v>
      </c>
      <c r="B213" s="196" t="s">
        <v>1011</v>
      </c>
      <c r="C213" s="196" t="s">
        <v>1048</v>
      </c>
      <c r="D213" s="196" t="s">
        <v>1490</v>
      </c>
      <c r="E213" s="196" t="s">
        <v>1264</v>
      </c>
      <c r="F213" s="196" t="s">
        <v>2437</v>
      </c>
    </row>
    <row r="214" spans="1:6">
      <c r="A214" s="197">
        <v>213</v>
      </c>
      <c r="B214" s="196" t="s">
        <v>1030</v>
      </c>
      <c r="C214" s="196" t="s">
        <v>1053</v>
      </c>
      <c r="D214" s="196" t="s">
        <v>1334</v>
      </c>
      <c r="E214" s="196" t="s">
        <v>1478</v>
      </c>
      <c r="F214" s="196" t="s">
        <v>2445</v>
      </c>
    </row>
    <row r="215" spans="1:6">
      <c r="A215" s="197">
        <v>214</v>
      </c>
      <c r="B215" s="196" t="s">
        <v>729</v>
      </c>
      <c r="C215" s="196" t="s">
        <v>758</v>
      </c>
      <c r="D215" s="196" t="s">
        <v>1469</v>
      </c>
      <c r="E215" s="196" t="s">
        <v>1289</v>
      </c>
      <c r="F215" s="196" t="s">
        <v>2438</v>
      </c>
    </row>
    <row r="216" spans="1:6">
      <c r="A216" s="197">
        <v>215</v>
      </c>
      <c r="B216" s="196" t="s">
        <v>707</v>
      </c>
      <c r="C216" s="196" t="s">
        <v>996</v>
      </c>
      <c r="D216" s="196" t="s">
        <v>1332</v>
      </c>
      <c r="E216" s="196" t="s">
        <v>1192</v>
      </c>
      <c r="F216" s="196" t="s">
        <v>2422</v>
      </c>
    </row>
    <row r="217" spans="1:6">
      <c r="A217" s="197">
        <v>216</v>
      </c>
      <c r="B217" s="196" t="s">
        <v>684</v>
      </c>
      <c r="C217" s="196" t="s">
        <v>900</v>
      </c>
      <c r="D217" s="196" t="s">
        <v>1437</v>
      </c>
      <c r="E217" s="196" t="s">
        <v>1295</v>
      </c>
      <c r="F217" s="196" t="s">
        <v>2431</v>
      </c>
    </row>
    <row r="218" spans="1:6">
      <c r="A218" s="197">
        <v>217</v>
      </c>
      <c r="B218" s="196" t="s">
        <v>731</v>
      </c>
      <c r="C218" s="196" t="s">
        <v>839</v>
      </c>
      <c r="D218" s="196" t="s">
        <v>1246</v>
      </c>
      <c r="E218" s="196" t="s">
        <v>1255</v>
      </c>
      <c r="F218" s="196" t="s">
        <v>2424</v>
      </c>
    </row>
    <row r="219" spans="1:6">
      <c r="A219" s="197">
        <v>218</v>
      </c>
      <c r="B219" s="196" t="s">
        <v>1038</v>
      </c>
      <c r="C219" s="196" t="s">
        <v>699</v>
      </c>
      <c r="D219" s="196" t="s">
        <v>1463</v>
      </c>
      <c r="E219" s="196" t="s">
        <v>1799</v>
      </c>
      <c r="F219" s="196" t="s">
        <v>2432</v>
      </c>
    </row>
    <row r="220" spans="1:6">
      <c r="A220" s="197">
        <v>219</v>
      </c>
      <c r="B220" s="196" t="s">
        <v>785</v>
      </c>
      <c r="C220" s="196" t="s">
        <v>965</v>
      </c>
      <c r="D220" s="196" t="s">
        <v>1559</v>
      </c>
      <c r="E220" s="196" t="s">
        <v>1323</v>
      </c>
      <c r="F220" s="196" t="s">
        <v>2439</v>
      </c>
    </row>
    <row r="221" spans="1:6">
      <c r="A221" s="197">
        <v>220</v>
      </c>
      <c r="B221" s="196" t="s">
        <v>822</v>
      </c>
      <c r="C221" s="196" t="s">
        <v>891</v>
      </c>
      <c r="D221" s="196" t="s">
        <v>1201</v>
      </c>
      <c r="E221" s="196" t="s">
        <v>1268</v>
      </c>
      <c r="F221" s="196" t="s">
        <v>2446</v>
      </c>
    </row>
  </sheetData>
  <pageMargins left="0.7" right="0.7" top="0.75" bottom="0.75" header="0.3" footer="0.3"/>
  <legacy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7528-F0D1-4C74-BBE1-77BF50B191FB}">
  <dimension ref="A1:P14"/>
  <sheetViews>
    <sheetView zoomScale="115" zoomScaleNormal="115" workbookViewId="0">
      <selection activeCell="K15" sqref="K15"/>
    </sheetView>
  </sheetViews>
  <sheetFormatPr baseColWidth="10" defaultRowHeight="14.4"/>
  <sheetData>
    <row r="1" spans="1:16"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row>
    <row r="2" spans="1:16">
      <c r="A2" s="200" t="s">
        <v>2468</v>
      </c>
      <c r="C2" s="200" t="s">
        <v>2517</v>
      </c>
      <c r="D2" s="200">
        <v>1.7141999999999999</v>
      </c>
      <c r="E2" s="201">
        <v>10.565200000000001</v>
      </c>
      <c r="F2" s="201">
        <v>0.20119999999999999</v>
      </c>
      <c r="G2" s="200">
        <f t="shared" ref="G2:G8" si="0">E2+F2</f>
        <v>10.766400000000001</v>
      </c>
      <c r="H2" s="200">
        <v>10.575100000000001</v>
      </c>
      <c r="I2" s="200">
        <f t="shared" ref="I2:I8" si="1">(G2-H2)</f>
        <v>0.19130000000000003</v>
      </c>
      <c r="J2" s="200">
        <f t="shared" ref="J2:J14" si="2">F2-I2</f>
        <v>9.8999999999999644E-3</v>
      </c>
      <c r="K2" s="277">
        <f t="shared" ref="K2:K14" si="3">(J2/F2)*100</f>
        <v>4.9204771371769205</v>
      </c>
      <c r="L2" s="200">
        <v>1</v>
      </c>
      <c r="M2" s="202">
        <v>43178.395833333336</v>
      </c>
      <c r="N2" s="202">
        <v>43178.5625</v>
      </c>
      <c r="O2" s="196" t="s">
        <v>2534</v>
      </c>
      <c r="P2" s="200" t="s">
        <v>2535</v>
      </c>
    </row>
    <row r="3" spans="1:16">
      <c r="A3" s="200" t="s">
        <v>1969</v>
      </c>
      <c r="C3" s="200" t="s">
        <v>2517</v>
      </c>
      <c r="D3" s="201">
        <v>1.7512000000000001</v>
      </c>
      <c r="E3" s="201">
        <v>9.6748999999999992</v>
      </c>
      <c r="F3" s="201">
        <v>0.20449999999999999</v>
      </c>
      <c r="G3" s="200">
        <f t="shared" si="0"/>
        <v>9.8793999999999986</v>
      </c>
      <c r="H3" s="200">
        <v>9.6892999999999994</v>
      </c>
      <c r="I3" s="200">
        <f t="shared" si="1"/>
        <v>0.19009999999999927</v>
      </c>
      <c r="J3" s="200">
        <f t="shared" si="2"/>
        <v>1.4400000000000718E-2</v>
      </c>
      <c r="K3" s="277">
        <f t="shared" si="3"/>
        <v>7.0415647921763895</v>
      </c>
      <c r="L3" s="200">
        <v>6</v>
      </c>
      <c r="M3" s="202">
        <v>43178.395833333336</v>
      </c>
      <c r="N3" s="202">
        <v>43178.5625</v>
      </c>
      <c r="O3" s="196" t="s">
        <v>2534</v>
      </c>
      <c r="P3" s="200"/>
    </row>
    <row r="4" spans="1:16">
      <c r="A4" s="200" t="s">
        <v>2470</v>
      </c>
      <c r="C4" s="200" t="s">
        <v>2517</v>
      </c>
      <c r="D4" s="201">
        <v>1.8006</v>
      </c>
      <c r="E4" s="201">
        <v>9.1958000000000002</v>
      </c>
      <c r="F4" s="201">
        <v>0.20749999999999999</v>
      </c>
      <c r="G4" s="200">
        <f t="shared" si="0"/>
        <v>9.4032999999999998</v>
      </c>
      <c r="H4" s="200">
        <v>9.2073</v>
      </c>
      <c r="I4" s="200">
        <f t="shared" si="1"/>
        <v>0.19599999999999973</v>
      </c>
      <c r="J4" s="200">
        <f t="shared" si="2"/>
        <v>1.150000000000026E-2</v>
      </c>
      <c r="K4" s="277">
        <f t="shared" si="3"/>
        <v>5.5421686746989201</v>
      </c>
      <c r="L4" s="200">
        <v>7</v>
      </c>
      <c r="M4" s="202">
        <v>43178.395833333336</v>
      </c>
      <c r="N4" s="202">
        <v>43178.5625</v>
      </c>
      <c r="O4" s="196" t="s">
        <v>2534</v>
      </c>
      <c r="P4" s="200"/>
    </row>
    <row r="5" spans="1:16">
      <c r="A5" s="200" t="s">
        <v>1938</v>
      </c>
      <c r="C5" s="200" t="s">
        <v>2517</v>
      </c>
      <c r="D5" s="200">
        <v>1.7291000000000001</v>
      </c>
      <c r="E5" s="201">
        <v>7.0926999999999998</v>
      </c>
      <c r="F5" s="201">
        <v>0.20349999999999999</v>
      </c>
      <c r="G5" s="200">
        <f t="shared" si="0"/>
        <v>7.2961999999999998</v>
      </c>
      <c r="H5" s="200">
        <v>7.1036000000000001</v>
      </c>
      <c r="I5" s="200">
        <f t="shared" si="1"/>
        <v>0.19259999999999966</v>
      </c>
      <c r="J5" s="200">
        <f t="shared" si="2"/>
        <v>1.0900000000000326E-2</v>
      </c>
      <c r="K5" s="277">
        <f t="shared" si="3"/>
        <v>5.3562653562655171</v>
      </c>
      <c r="L5" s="200">
        <v>8</v>
      </c>
      <c r="M5" s="202">
        <v>43178.395833333336</v>
      </c>
      <c r="N5" s="202">
        <v>43178.5625</v>
      </c>
      <c r="O5" s="196" t="s">
        <v>2534</v>
      </c>
      <c r="P5" s="200"/>
    </row>
    <row r="6" spans="1:16">
      <c r="A6" s="200" t="s">
        <v>1977</v>
      </c>
      <c r="C6" s="200" t="s">
        <v>2517</v>
      </c>
      <c r="D6" s="200">
        <v>1.7074</v>
      </c>
      <c r="E6" s="201">
        <v>8.0459999999999994</v>
      </c>
      <c r="F6" s="201">
        <v>0.20069999999999999</v>
      </c>
      <c r="G6" s="200">
        <f t="shared" si="0"/>
        <v>8.2466999999999988</v>
      </c>
      <c r="H6" s="200">
        <v>8.0563000000000002</v>
      </c>
      <c r="I6" s="200">
        <f t="shared" si="1"/>
        <v>0.19039999999999857</v>
      </c>
      <c r="J6" s="200">
        <f t="shared" si="2"/>
        <v>1.0300000000001419E-2</v>
      </c>
      <c r="K6" s="277">
        <f t="shared" si="3"/>
        <v>5.1320378674645841</v>
      </c>
      <c r="L6" s="200">
        <v>9</v>
      </c>
      <c r="M6" s="202">
        <v>43178.395833333336</v>
      </c>
      <c r="N6" s="202">
        <v>43178.5625</v>
      </c>
      <c r="O6" s="196" t="s">
        <v>2534</v>
      </c>
      <c r="P6" s="200"/>
    </row>
    <row r="7" spans="1:16">
      <c r="A7" s="196" t="s">
        <v>2518</v>
      </c>
      <c r="C7" s="200" t="s">
        <v>2517</v>
      </c>
      <c r="D7" s="196">
        <v>1.7144999999999999</v>
      </c>
      <c r="E7" s="196">
        <v>9.1545000000000005</v>
      </c>
      <c r="F7" s="196">
        <v>0.20910000000000001</v>
      </c>
      <c r="G7" s="200">
        <f t="shared" si="0"/>
        <v>9.3635999999999999</v>
      </c>
      <c r="H7" s="200">
        <v>9.1666000000000007</v>
      </c>
      <c r="I7" s="200">
        <f t="shared" si="1"/>
        <v>0.19699999999999918</v>
      </c>
      <c r="J7" s="200">
        <f t="shared" si="2"/>
        <v>1.2100000000000832E-2</v>
      </c>
      <c r="K7" s="277">
        <f t="shared" si="3"/>
        <v>5.7867049258731855</v>
      </c>
      <c r="L7" s="200">
        <v>22</v>
      </c>
      <c r="M7" s="196"/>
      <c r="N7" s="196"/>
      <c r="O7" s="196"/>
      <c r="P7" s="196" t="s">
        <v>2533</v>
      </c>
    </row>
    <row r="8" spans="1:16">
      <c r="A8" s="196" t="s">
        <v>2519</v>
      </c>
      <c r="C8" s="196" t="s">
        <v>2517</v>
      </c>
      <c r="D8" s="196">
        <v>1.7393000000000001</v>
      </c>
      <c r="E8" s="196">
        <v>10.1534</v>
      </c>
      <c r="F8" s="196">
        <v>0.20530000000000001</v>
      </c>
      <c r="G8" s="200">
        <f t="shared" si="0"/>
        <v>10.358699999999999</v>
      </c>
      <c r="H8" s="200">
        <v>10.1647</v>
      </c>
      <c r="I8" s="200">
        <f t="shared" si="1"/>
        <v>0.19399999999999906</v>
      </c>
      <c r="J8" s="200">
        <f t="shared" si="2"/>
        <v>1.1300000000000948E-2</v>
      </c>
      <c r="K8" s="277">
        <f t="shared" si="3"/>
        <v>5.5041402825138563</v>
      </c>
      <c r="L8" s="200">
        <v>23</v>
      </c>
      <c r="M8" s="196"/>
      <c r="N8" s="196"/>
      <c r="O8" s="196"/>
      <c r="P8" s="196" t="s">
        <v>2532</v>
      </c>
    </row>
    <row r="9" spans="1:16">
      <c r="A9" t="s">
        <v>2520</v>
      </c>
      <c r="C9" t="s">
        <v>2517</v>
      </c>
      <c r="D9">
        <v>1.7766</v>
      </c>
      <c r="E9">
        <v>10.1249</v>
      </c>
      <c r="F9">
        <v>0.22650000000000001</v>
      </c>
      <c r="G9">
        <v>10.3514</v>
      </c>
      <c r="H9">
        <v>10.137499999999999</v>
      </c>
      <c r="I9">
        <v>0.21390000000000065</v>
      </c>
      <c r="J9">
        <f t="shared" si="2"/>
        <v>1.2599999999999362E-2</v>
      </c>
      <c r="K9" s="277">
        <f t="shared" si="3"/>
        <v>5.5629139072844866</v>
      </c>
      <c r="L9">
        <v>24</v>
      </c>
      <c r="M9" s="196"/>
      <c r="N9" s="196"/>
      <c r="O9" s="196"/>
      <c r="P9" s="196" t="s">
        <v>2531</v>
      </c>
    </row>
    <row r="10" spans="1:16">
      <c r="A10" s="196" t="s">
        <v>2521</v>
      </c>
      <c r="C10" s="200" t="s">
        <v>2517</v>
      </c>
      <c r="D10" s="196">
        <v>1.7238</v>
      </c>
      <c r="E10" s="196">
        <v>9.3217999999999996</v>
      </c>
      <c r="F10" s="196">
        <v>0.20369999999999999</v>
      </c>
      <c r="G10" s="200">
        <f>E10+F10</f>
        <v>9.5254999999999992</v>
      </c>
      <c r="H10" s="200">
        <v>9.3321000000000005</v>
      </c>
      <c r="I10" s="200">
        <f>(G10-H10)</f>
        <v>0.19339999999999868</v>
      </c>
      <c r="J10" s="200">
        <f t="shared" si="2"/>
        <v>1.0300000000001308E-2</v>
      </c>
      <c r="K10" s="277">
        <f t="shared" si="3"/>
        <v>5.0564555719201323</v>
      </c>
      <c r="L10" s="200">
        <v>25</v>
      </c>
      <c r="M10" s="196"/>
      <c r="N10" s="196"/>
      <c r="O10" s="196"/>
      <c r="P10" s="196" t="s">
        <v>2530</v>
      </c>
    </row>
    <row r="11" spans="1:16">
      <c r="A11" s="196" t="s">
        <v>2522</v>
      </c>
      <c r="C11" s="200" t="s">
        <v>2517</v>
      </c>
      <c r="D11" s="196">
        <v>1.7256</v>
      </c>
      <c r="E11" s="196">
        <v>11.8629</v>
      </c>
      <c r="F11" s="196">
        <v>0.2021</v>
      </c>
      <c r="G11" s="200">
        <f>E11+F11</f>
        <v>12.065</v>
      </c>
      <c r="H11" s="200">
        <v>11.8735</v>
      </c>
      <c r="I11" s="200">
        <f>(G11-H11)</f>
        <v>0.19149999999999956</v>
      </c>
      <c r="J11" s="200">
        <f t="shared" si="2"/>
        <v>1.0600000000000442E-2</v>
      </c>
      <c r="K11" s="277">
        <f t="shared" si="3"/>
        <v>5.2449282533401496</v>
      </c>
      <c r="L11" s="200">
        <v>26</v>
      </c>
      <c r="M11" s="196"/>
      <c r="N11" s="196"/>
      <c r="O11" s="196"/>
      <c r="P11" s="196" t="s">
        <v>2529</v>
      </c>
    </row>
    <row r="12" spans="1:16">
      <c r="A12" s="200" t="s">
        <v>477</v>
      </c>
      <c r="C12" s="200" t="s">
        <v>2517</v>
      </c>
      <c r="D12" s="200">
        <v>1.7670999999999999</v>
      </c>
      <c r="E12" s="201">
        <v>10.502700000000001</v>
      </c>
      <c r="F12" s="201">
        <v>0.20019999999999999</v>
      </c>
      <c r="G12" s="200">
        <f>E12+F12</f>
        <v>10.702900000000001</v>
      </c>
      <c r="H12" s="200">
        <v>10.507400000000001</v>
      </c>
      <c r="I12" s="200">
        <f>(G12-H12)</f>
        <v>0.1955000000000009</v>
      </c>
      <c r="J12" s="200">
        <f t="shared" si="2"/>
        <v>4.6999999999990938E-3</v>
      </c>
      <c r="K12" s="277">
        <f t="shared" si="3"/>
        <v>2.3476523476518953</v>
      </c>
      <c r="L12" s="200">
        <v>10</v>
      </c>
      <c r="M12" s="202">
        <v>43178.395833333336</v>
      </c>
      <c r="N12" s="202">
        <v>43178.5625</v>
      </c>
      <c r="O12" s="196" t="s">
        <v>2534</v>
      </c>
      <c r="P12" s="200"/>
    </row>
    <row r="13" spans="1:16">
      <c r="A13" s="200" t="s">
        <v>483</v>
      </c>
      <c r="C13" s="200" t="s">
        <v>2517</v>
      </c>
      <c r="D13" s="200">
        <v>1.8496999999999999</v>
      </c>
      <c r="E13" s="201">
        <v>7.4794999999999998</v>
      </c>
      <c r="F13" s="201">
        <v>0.20230000000000001</v>
      </c>
      <c r="G13" s="200">
        <f>E13+F13</f>
        <v>7.6818</v>
      </c>
      <c r="H13" s="200">
        <v>7.4847999999999999</v>
      </c>
      <c r="I13" s="200">
        <f>(G13-H13)</f>
        <v>0.19700000000000006</v>
      </c>
      <c r="J13" s="200">
        <f t="shared" si="2"/>
        <v>5.2999999999999436E-3</v>
      </c>
      <c r="K13" s="277">
        <f t="shared" si="3"/>
        <v>2.619871478002938</v>
      </c>
      <c r="L13" s="200">
        <v>11</v>
      </c>
      <c r="M13" s="202">
        <v>43178.395833333336</v>
      </c>
      <c r="N13" s="202">
        <v>43178.5625</v>
      </c>
      <c r="O13" s="196" t="s">
        <v>2534</v>
      </c>
      <c r="P13" s="200"/>
    </row>
    <row r="14" spans="1:16">
      <c r="A14" s="200" t="s">
        <v>439</v>
      </c>
      <c r="C14" s="200" t="s">
        <v>2517</v>
      </c>
      <c r="D14" s="200">
        <v>1.8443000000000001</v>
      </c>
      <c r="E14" s="201">
        <v>7.3543000000000003</v>
      </c>
      <c r="F14" s="201">
        <v>0.2024</v>
      </c>
      <c r="G14" s="200">
        <f>E14+F14</f>
        <v>7.5567000000000002</v>
      </c>
      <c r="H14" s="200">
        <v>7.3581000000000003</v>
      </c>
      <c r="I14" s="200">
        <f>(G14-H14)</f>
        <v>0.19859999999999989</v>
      </c>
      <c r="J14" s="200">
        <f t="shared" si="2"/>
        <v>3.8000000000001088E-3</v>
      </c>
      <c r="K14" s="277">
        <f t="shared" si="3"/>
        <v>1.8774703557312791</v>
      </c>
      <c r="L14" s="200">
        <v>12</v>
      </c>
      <c r="M14" s="202">
        <v>43178.395833333336</v>
      </c>
      <c r="N14" s="202">
        <v>43178.5625</v>
      </c>
      <c r="O14" s="196" t="s">
        <v>2534</v>
      </c>
      <c r="P14" s="20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DK907"/>
  <sheetViews>
    <sheetView topLeftCell="CE1" zoomScale="70" zoomScaleNormal="70" workbookViewId="0">
      <pane ySplit="1" topLeftCell="A2" activePane="bottomLeft" state="frozen"/>
      <selection activeCell="AS1" sqref="AS1"/>
      <selection pane="bottomLeft" activeCell="CX25" sqref="CX25"/>
    </sheetView>
  </sheetViews>
  <sheetFormatPr baseColWidth="10" defaultRowHeight="12" customHeight="1"/>
  <cols>
    <col min="1" max="1" width="5.21875" style="387" customWidth="1"/>
    <col min="6" max="6" width="5.21875" style="387" customWidth="1"/>
    <col min="10" max="10" width="21.77734375" customWidth="1"/>
    <col min="11" max="11" width="5.21875" style="387" customWidth="1"/>
    <col min="15" max="15" width="21" customWidth="1"/>
    <col min="16" max="16" width="5.21875" style="387" customWidth="1"/>
    <col min="17" max="18" width="21" customWidth="1"/>
    <col min="19" max="19" width="5.21875" style="387" customWidth="1"/>
    <col min="23" max="23" width="21.21875" customWidth="1"/>
    <col min="24" max="24" width="5.21875" style="387" customWidth="1"/>
    <col min="30" max="30" width="5.21875" style="387" customWidth="1"/>
    <col min="35" max="35" width="5.21875" style="387" customWidth="1"/>
    <col min="36" max="36" width="12.44140625" customWidth="1"/>
    <col min="37" max="37" width="15.44140625" customWidth="1"/>
    <col min="38" max="38" width="5.21875" style="387" customWidth="1"/>
    <col min="44" max="44" width="5.21875" style="387" customWidth="1"/>
    <col min="49" max="49" width="5.21875" style="387" customWidth="1"/>
    <col min="50" max="51" width="21" customWidth="1"/>
    <col min="52" max="52" width="5.21875" style="387" customWidth="1"/>
    <col min="57" max="57" width="5.21875" style="387" customWidth="1"/>
    <col min="60" max="60" width="15.21875" customWidth="1"/>
    <col min="62" max="62" width="13.44140625" customWidth="1"/>
    <col min="69" max="70" width="13.21875" customWidth="1"/>
    <col min="74" max="75" width="21.88671875" customWidth="1"/>
    <col min="76" max="76" width="5.21875" style="387" customWidth="1"/>
    <col min="84" max="84" width="5.21875" style="387" customWidth="1"/>
    <col min="89" max="89" width="11.33203125" customWidth="1"/>
    <col min="105" max="105" width="5.21875" style="387" customWidth="1"/>
    <col min="113" max="113" width="5.21875" style="387" customWidth="1"/>
  </cols>
  <sheetData>
    <row r="1" spans="2:115" ht="12" customHeight="1">
      <c r="B1" s="429" t="s">
        <v>3868</v>
      </c>
      <c r="C1" s="429"/>
      <c r="D1" s="165" t="s">
        <v>3880</v>
      </c>
      <c r="E1" s="165" t="s">
        <v>3874</v>
      </c>
      <c r="G1" s="428" t="s">
        <v>3867</v>
      </c>
      <c r="H1" s="428"/>
      <c r="I1" s="165" t="s">
        <v>3877</v>
      </c>
      <c r="J1" s="165" t="s">
        <v>3874</v>
      </c>
      <c r="L1" s="165" t="s">
        <v>3869</v>
      </c>
      <c r="N1" s="165" t="s">
        <v>3876</v>
      </c>
      <c r="O1" s="165" t="s">
        <v>3874</v>
      </c>
      <c r="Q1" s="179" t="s">
        <v>3883</v>
      </c>
      <c r="R1" s="179"/>
      <c r="T1" s="165" t="s">
        <v>3870</v>
      </c>
      <c r="V1" s="165" t="s">
        <v>3875</v>
      </c>
      <c r="W1" s="165" t="s">
        <v>3874</v>
      </c>
      <c r="Y1" s="165" t="s">
        <v>3871</v>
      </c>
      <c r="AB1" s="165" t="s">
        <v>3873</v>
      </c>
      <c r="AC1" s="165" t="s">
        <v>3889</v>
      </c>
      <c r="AE1" s="165" t="s">
        <v>3878</v>
      </c>
      <c r="AH1" s="179" t="s">
        <v>3940</v>
      </c>
      <c r="AJ1" s="165" t="s">
        <v>3883</v>
      </c>
      <c r="AK1" s="165"/>
      <c r="AM1" s="165" t="s">
        <v>3879</v>
      </c>
      <c r="AP1" s="179" t="s">
        <v>3940</v>
      </c>
      <c r="AQ1" s="179"/>
      <c r="AS1" s="165" t="s">
        <v>3881</v>
      </c>
      <c r="AU1" s="179"/>
      <c r="AV1" s="179" t="s">
        <v>3940</v>
      </c>
      <c r="AX1" s="179" t="s">
        <v>3883</v>
      </c>
      <c r="AY1" s="179"/>
      <c r="BA1" s="165" t="s">
        <v>3882</v>
      </c>
      <c r="BC1" s="179"/>
      <c r="BD1" s="179" t="s">
        <v>3880</v>
      </c>
      <c r="BF1" s="165" t="s">
        <v>3890</v>
      </c>
      <c r="BG1" s="165"/>
      <c r="BH1" s="165"/>
      <c r="BI1" s="165"/>
      <c r="BV1" s="165" t="s">
        <v>3928</v>
      </c>
      <c r="CG1" s="165" t="s">
        <v>3915</v>
      </c>
      <c r="CH1" s="165"/>
      <c r="CI1" s="165"/>
      <c r="CJ1" s="165"/>
      <c r="CK1" s="165"/>
      <c r="CL1" s="165"/>
      <c r="CM1" s="165"/>
      <c r="CW1" s="413" t="s">
        <v>3927</v>
      </c>
      <c r="CX1" s="400"/>
      <c r="CY1" s="400"/>
      <c r="CZ1" s="400"/>
    </row>
    <row r="2" spans="2:115" ht="12" customHeight="1">
      <c r="B2" s="165" t="s">
        <v>2158</v>
      </c>
      <c r="D2" s="386" t="s">
        <v>3866</v>
      </c>
      <c r="E2" s="386" t="s">
        <v>3863</v>
      </c>
      <c r="G2" s="165" t="s">
        <v>2158</v>
      </c>
      <c r="I2" s="386" t="s">
        <v>3866</v>
      </c>
      <c r="J2" s="386" t="s">
        <v>3863</v>
      </c>
      <c r="L2" s="165" t="s">
        <v>2158</v>
      </c>
      <c r="N2" s="386" t="s">
        <v>3866</v>
      </c>
      <c r="O2" s="386" t="s">
        <v>3863</v>
      </c>
      <c r="Q2" s="386" t="s">
        <v>1147</v>
      </c>
      <c r="R2" s="386" t="s">
        <v>3865</v>
      </c>
      <c r="T2" s="165" t="s">
        <v>2158</v>
      </c>
      <c r="V2" s="386" t="s">
        <v>3866</v>
      </c>
      <c r="W2" s="386" t="s">
        <v>3863</v>
      </c>
      <c r="Y2" s="165" t="s">
        <v>2158</v>
      </c>
      <c r="AA2" s="465" t="s">
        <v>3866</v>
      </c>
      <c r="AB2" s="465" t="s">
        <v>3863</v>
      </c>
      <c r="AC2" s="179"/>
      <c r="AE2" s="165" t="s">
        <v>2158</v>
      </c>
      <c r="AG2" s="386" t="s">
        <v>3866</v>
      </c>
      <c r="AH2" s="386" t="s">
        <v>3863</v>
      </c>
      <c r="AJ2" s="386" t="s">
        <v>1147</v>
      </c>
      <c r="AK2" s="386" t="s">
        <v>3865</v>
      </c>
      <c r="AM2" s="165" t="s">
        <v>2158</v>
      </c>
      <c r="AO2" s="386" t="s">
        <v>3866</v>
      </c>
      <c r="AP2" s="386" t="s">
        <v>3863</v>
      </c>
      <c r="AS2" s="165" t="s">
        <v>2158</v>
      </c>
      <c r="AU2" s="465" t="s">
        <v>3866</v>
      </c>
      <c r="AV2" s="465" t="s">
        <v>3863</v>
      </c>
      <c r="AX2" s="465" t="s">
        <v>1147</v>
      </c>
      <c r="AY2" s="465" t="s">
        <v>3865</v>
      </c>
      <c r="BA2" s="165" t="s">
        <v>2158</v>
      </c>
      <c r="BC2" s="465" t="s">
        <v>3866</v>
      </c>
      <c r="BD2" s="465" t="s">
        <v>3863</v>
      </c>
      <c r="BF2" s="179"/>
      <c r="BG2" s="179"/>
      <c r="BH2" s="179"/>
      <c r="BI2" s="179"/>
      <c r="BJ2" s="179"/>
      <c r="BK2" s="179"/>
      <c r="BL2" s="179"/>
      <c r="BM2" s="179"/>
      <c r="BN2" s="179"/>
      <c r="BO2" s="179"/>
      <c r="BP2" s="179" t="s">
        <v>3895</v>
      </c>
      <c r="BQ2" s="179"/>
      <c r="BR2" s="179"/>
      <c r="BS2" s="179"/>
      <c r="BT2" s="179"/>
      <c r="BU2" s="179"/>
      <c r="BV2" s="180" t="s">
        <v>3942</v>
      </c>
      <c r="BW2" s="466" t="s">
        <v>3943</v>
      </c>
      <c r="BZ2" t="s">
        <v>3901</v>
      </c>
      <c r="CG2" s="180" t="s">
        <v>3925</v>
      </c>
      <c r="CH2" s="180"/>
      <c r="CI2" s="180"/>
      <c r="CJ2" s="180" t="s">
        <v>3926</v>
      </c>
      <c r="CK2" s="180"/>
      <c r="CL2" s="180"/>
      <c r="CM2" s="180"/>
      <c r="CN2" s="180"/>
      <c r="CW2" s="401" t="s">
        <v>3913</v>
      </c>
      <c r="CX2" s="400"/>
      <c r="CY2" s="400" t="s">
        <v>3917</v>
      </c>
      <c r="CZ2" s="400"/>
    </row>
    <row r="3" spans="2:115" ht="12" customHeight="1">
      <c r="B3" s="165" t="s">
        <v>3864</v>
      </c>
      <c r="C3" s="165" t="s">
        <v>3865</v>
      </c>
      <c r="D3" s="386" t="s">
        <v>3864</v>
      </c>
      <c r="E3" s="165" t="s">
        <v>3865</v>
      </c>
      <c r="G3" s="165" t="s">
        <v>3864</v>
      </c>
      <c r="H3" s="165" t="s">
        <v>3865</v>
      </c>
      <c r="I3" s="386" t="s">
        <v>3864</v>
      </c>
      <c r="J3" s="165" t="s">
        <v>3865</v>
      </c>
      <c r="L3" s="165" t="s">
        <v>3864</v>
      </c>
      <c r="M3" s="165" t="s">
        <v>3865</v>
      </c>
      <c r="N3" s="386" t="s">
        <v>3864</v>
      </c>
      <c r="O3" s="165" t="s">
        <v>3865</v>
      </c>
      <c r="T3" s="165" t="s">
        <v>3864</v>
      </c>
      <c r="U3" s="165" t="s">
        <v>3865</v>
      </c>
      <c r="V3" s="386" t="s">
        <v>3864</v>
      </c>
      <c r="W3" s="165" t="s">
        <v>3865</v>
      </c>
      <c r="Y3" s="165" t="s">
        <v>3864</v>
      </c>
      <c r="Z3" s="165" t="s">
        <v>3865</v>
      </c>
      <c r="AA3" s="386" t="s">
        <v>3864</v>
      </c>
      <c r="AB3" s="165" t="s">
        <v>3865</v>
      </c>
      <c r="AE3" s="165" t="s">
        <v>3864</v>
      </c>
      <c r="AF3" s="165" t="s">
        <v>3865</v>
      </c>
      <c r="AG3" s="465" t="s">
        <v>3864</v>
      </c>
      <c r="AH3" s="179" t="s">
        <v>3865</v>
      </c>
      <c r="AJ3" s="179" t="s">
        <v>3895</v>
      </c>
      <c r="AK3" s="179" t="s">
        <v>3895</v>
      </c>
      <c r="AM3" s="165" t="s">
        <v>3864</v>
      </c>
      <c r="AN3" s="165" t="s">
        <v>3865</v>
      </c>
      <c r="AO3" s="465" t="s">
        <v>3864</v>
      </c>
      <c r="AP3" s="179" t="s">
        <v>3865</v>
      </c>
      <c r="AS3" s="165" t="s">
        <v>3864</v>
      </c>
      <c r="AT3" s="165" t="s">
        <v>3865</v>
      </c>
      <c r="AU3" s="465" t="s">
        <v>3864</v>
      </c>
      <c r="AV3" s="179" t="s">
        <v>3865</v>
      </c>
      <c r="AX3" s="179" t="s">
        <v>3895</v>
      </c>
      <c r="AY3" s="179" t="s">
        <v>3895</v>
      </c>
      <c r="BA3" s="165" t="s">
        <v>3864</v>
      </c>
      <c r="BB3" s="165" t="s">
        <v>3865</v>
      </c>
      <c r="BC3" s="465" t="s">
        <v>3864</v>
      </c>
      <c r="BD3" s="179" t="s">
        <v>3865</v>
      </c>
      <c r="BF3" s="179" t="s">
        <v>2158</v>
      </c>
      <c r="BG3" s="179"/>
      <c r="BH3" s="179"/>
      <c r="BI3" s="179"/>
      <c r="BJ3" s="179"/>
      <c r="BK3" s="179"/>
      <c r="BL3" s="179"/>
      <c r="BM3" s="179"/>
      <c r="BN3" s="179"/>
      <c r="BO3" s="179"/>
      <c r="BP3" s="179"/>
      <c r="BQ3" s="179"/>
      <c r="BR3" s="179"/>
      <c r="BS3" s="179"/>
      <c r="BT3" s="179"/>
      <c r="BU3" s="179"/>
      <c r="BV3" s="399"/>
      <c r="BW3" s="399"/>
      <c r="BY3" s="386"/>
      <c r="CG3" s="165" t="s">
        <v>2158</v>
      </c>
      <c r="CH3" s="179"/>
      <c r="CI3" s="179"/>
      <c r="CJ3" s="179"/>
      <c r="CK3" s="411" t="s">
        <v>3920</v>
      </c>
      <c r="CL3" s="179"/>
      <c r="CM3" s="179"/>
      <c r="CN3" s="179"/>
      <c r="CO3" s="179"/>
      <c r="CP3" s="179"/>
      <c r="CQ3" s="179"/>
      <c r="CR3" s="179"/>
      <c r="CS3" s="411" t="s">
        <v>3920</v>
      </c>
      <c r="CT3" s="179"/>
      <c r="CU3" s="179"/>
      <c r="CV3" s="179"/>
      <c r="CW3" s="400" t="s">
        <v>3910</v>
      </c>
      <c r="CX3" s="400"/>
      <c r="CY3" s="400"/>
      <c r="CZ3" s="400"/>
    </row>
    <row r="4" spans="2:115" ht="12" customHeight="1">
      <c r="B4" t="str">
        <f>TBIDry!H76</f>
        <v>G407</v>
      </c>
      <c r="C4" t="str">
        <f>TBIDry!I76</f>
        <v>R811</v>
      </c>
      <c r="D4" t="b">
        <f>COUNTIF($B$4:$B$2000, B4)&gt;1</f>
        <v>0</v>
      </c>
      <c r="E4" t="b">
        <f>COUNTIF($C$4:$C$2000, C4)&gt;1</f>
        <v>0</v>
      </c>
      <c r="G4" t="str">
        <f>TBIWet!H76</f>
        <v>G436</v>
      </c>
      <c r="H4" t="str">
        <f>TBIWet!I76</f>
        <v>R17</v>
      </c>
      <c r="I4" t="b">
        <f>COUNTIF($G$4:$G$2000, G4)&gt;1</f>
        <v>0</v>
      </c>
      <c r="J4" t="b">
        <f>COUNTIF($H$4:$H$2000, H4)&gt;1</f>
        <v>0</v>
      </c>
      <c r="L4" t="str">
        <f>'Both teabags AfterWet'!A2</f>
        <v>G201</v>
      </c>
      <c r="M4" t="str">
        <f>'Both teabags AfterWet'!A422</f>
        <v>R1</v>
      </c>
      <c r="N4" t="b">
        <f>COUNTIF($L$4:$L$2000, L4)&gt;1</f>
        <v>0</v>
      </c>
      <c r="O4" t="b">
        <f xml:space="preserve"> COUNTIF($M$4:$M$2000,#REF!)&gt;1</f>
        <v>0</v>
      </c>
      <c r="Q4" s="395" t="b">
        <f>COUNTIF($T$4:$T$2000, L4)=1</f>
        <v>0</v>
      </c>
      <c r="R4" s="395" t="b">
        <f xml:space="preserve"> COUNTIF($U$4:$U$2000,M4)=1</f>
        <v>0</v>
      </c>
      <c r="T4" t="str">
        <f>'Both teabags AfterDry'!A2</f>
        <v>G1</v>
      </c>
      <c r="U4" t="str">
        <f>'Both teabags AfterDry'!A337</f>
        <v>R106</v>
      </c>
      <c r="V4" t="b">
        <f>COUNTIF($T$4:$T$2000, T4)&gt;1</f>
        <v>0</v>
      </c>
      <c r="W4" t="b">
        <f xml:space="preserve"> COUNTIF($U$4:$U$2000,#REF!)&gt;1</f>
        <v>0</v>
      </c>
      <c r="Y4" t="str">
        <f>'Green_rooibos initial weight'!A5</f>
        <v>G1</v>
      </c>
      <c r="Z4" t="str">
        <f>'Green_rooibos initial weight'!A909</f>
        <v>R1</v>
      </c>
      <c r="AA4" t="b">
        <f>COUNTIF($Y$4:$Y$2000, Y4)&gt;1</f>
        <v>0</v>
      </c>
      <c r="AB4" t="b">
        <f>COUNTIF($Z$4:$Z$2000, Z4)&gt;1</f>
        <v>0</v>
      </c>
      <c r="AE4" t="str">
        <f>'WetLitterbags placem_collection'!K3</f>
        <v>G436</v>
      </c>
      <c r="AF4" t="str">
        <f>'WetLitterbags placem_collection'!M3</f>
        <v>R17</v>
      </c>
      <c r="AG4" t="b">
        <f>COUNTIF($AE$4:$AE$2000, AE4)&gt;1</f>
        <v>0</v>
      </c>
      <c r="AH4" t="b">
        <f>COUNTIF($AF$4:$AF$2000, AF4)&gt;1</f>
        <v>0</v>
      </c>
      <c r="AJ4" t="b">
        <f>COUNTIF($AM$4:$AM$2000, AE4)=1</f>
        <v>0</v>
      </c>
      <c r="AK4" t="b">
        <f>COUNTIF($AN$4:$AN$2000, AF4)=1</f>
        <v>0</v>
      </c>
      <c r="AM4" t="str">
        <f>IF(ISBLANK('Dry_Litterbag Placem_Collection'!J3),"","G"&amp;""&amp;'Dry_Litterbag Placem_Collection'!J3)</f>
        <v>G407</v>
      </c>
      <c r="AN4" t="str">
        <f>IF(ISBLANK('Dry_Litterbag Placem_Collection'!K3),"","R"&amp;""&amp;'Dry_Litterbag Placem_Collection'!K3)</f>
        <v>R811</v>
      </c>
      <c r="AO4" t="b">
        <f>IF(ISBLANK(AM4),"USANN",COUNTIF($AM$4:$AM$2000, AM4)&gt;1)</f>
        <v>0</v>
      </c>
      <c r="AP4" t="b">
        <f>COUNTIF($AN$4:$AN$2000, AN4)&gt;1</f>
        <v>0</v>
      </c>
      <c r="AS4" t="str">
        <f>'Ashed teabags dry'!A2</f>
        <v>G1</v>
      </c>
      <c r="AT4" t="str">
        <f>'Ashed teabags dry'!A337</f>
        <v>R106</v>
      </c>
      <c r="AU4" t="b">
        <f>COUNTIF($AS$4:$AS$2000, AS4)&gt;1</f>
        <v>0</v>
      </c>
      <c r="AV4" t="b">
        <f xml:space="preserve"> COUNTIF($AT$4:$AT$2000,#REF!)&gt;1</f>
        <v>0</v>
      </c>
      <c r="AX4" s="395" t="b">
        <f>COUNTIF($BA$4:$BA$2000, AS4)=1</f>
        <v>0</v>
      </c>
      <c r="AY4" s="395" t="b">
        <f>COUNTIF($BB$4:$BB$2000, AT4)=1</f>
        <v>0</v>
      </c>
      <c r="BA4" t="str">
        <f>'Ashed teabags wet'!A2</f>
        <v>G201</v>
      </c>
      <c r="BB4" t="str">
        <f>'Ashed teabags wet'!A422</f>
        <v>R1</v>
      </c>
      <c r="BC4" t="b">
        <f>COUNTIF($BA$4:$BA$2000, BA4)&gt;1</f>
        <v>0</v>
      </c>
      <c r="BD4" t="b">
        <f t="shared" ref="BD4:BD67" si="0">COUNTIF($BB$4:$BB$2000, BB4)&gt;1</f>
        <v>0</v>
      </c>
      <c r="BF4" s="165" t="s">
        <v>3891</v>
      </c>
      <c r="BG4" s="165" t="s">
        <v>3929</v>
      </c>
      <c r="BH4" s="165" t="s">
        <v>3892</v>
      </c>
      <c r="BI4" s="165" t="s">
        <v>3899</v>
      </c>
      <c r="BJ4" s="165" t="s">
        <v>3902</v>
      </c>
      <c r="BK4" s="165" t="s">
        <v>3903</v>
      </c>
      <c r="BL4" s="165" t="s">
        <v>3930</v>
      </c>
      <c r="BM4" s="165" t="s">
        <v>3941</v>
      </c>
      <c r="BN4" s="165" t="s">
        <v>3893</v>
      </c>
      <c r="BO4" s="165" t="s">
        <v>3931</v>
      </c>
      <c r="BP4" s="165" t="s">
        <v>3894</v>
      </c>
      <c r="BQ4" s="165" t="s">
        <v>3900</v>
      </c>
      <c r="BR4" s="165" t="s">
        <v>3904</v>
      </c>
      <c r="BS4" s="165" t="s">
        <v>3905</v>
      </c>
      <c r="BT4" s="165" t="s">
        <v>3932</v>
      </c>
      <c r="BU4" s="165" t="s">
        <v>3907</v>
      </c>
      <c r="BV4" s="399" t="s">
        <v>1147</v>
      </c>
      <c r="BW4" s="399" t="s">
        <v>3498</v>
      </c>
      <c r="BZ4" s="165" t="s">
        <v>3908</v>
      </c>
      <c r="CA4" s="165" t="s">
        <v>3909</v>
      </c>
      <c r="CB4" s="165" t="s">
        <v>3936</v>
      </c>
      <c r="CE4" s="165" t="s">
        <v>3937</v>
      </c>
      <c r="CG4" s="165" t="s">
        <v>3891</v>
      </c>
      <c r="CH4" s="165" t="s">
        <v>3918</v>
      </c>
      <c r="CI4" s="165" t="s">
        <v>3892</v>
      </c>
      <c r="CJ4" s="165" t="s">
        <v>3899</v>
      </c>
      <c r="CK4" s="165" t="s">
        <v>3902</v>
      </c>
      <c r="CL4" s="165" t="s">
        <v>3903</v>
      </c>
      <c r="CM4" s="165" t="s">
        <v>3919</v>
      </c>
      <c r="CN4" s="165" t="s">
        <v>3906</v>
      </c>
      <c r="CO4" s="165" t="s">
        <v>3893</v>
      </c>
      <c r="CP4" s="165" t="s">
        <v>3916</v>
      </c>
      <c r="CQ4" s="165" t="s">
        <v>3894</v>
      </c>
      <c r="CR4" s="165" t="s">
        <v>3900</v>
      </c>
      <c r="CS4" s="165" t="s">
        <v>3904</v>
      </c>
      <c r="CT4" s="165" t="s">
        <v>3905</v>
      </c>
      <c r="CU4" s="165" t="s">
        <v>3921</v>
      </c>
      <c r="CV4" s="165" t="s">
        <v>3907</v>
      </c>
      <c r="CW4" s="165" t="s">
        <v>1147</v>
      </c>
      <c r="CX4" s="165" t="s">
        <v>3897</v>
      </c>
      <c r="CY4" s="165" t="s">
        <v>3498</v>
      </c>
      <c r="CZ4" s="165" t="s">
        <v>3898</v>
      </c>
      <c r="DC4" s="165" t="s">
        <v>3908</v>
      </c>
      <c r="DD4" s="165" t="s">
        <v>3912</v>
      </c>
      <c r="DE4" s="165" t="s">
        <v>3923</v>
      </c>
      <c r="DF4" s="165" t="s">
        <v>3911</v>
      </c>
      <c r="DG4" s="165" t="s">
        <v>3912</v>
      </c>
      <c r="DH4" s="165" t="s">
        <v>3922</v>
      </c>
      <c r="DJ4" s="165"/>
      <c r="DK4" s="165"/>
    </row>
    <row r="5" spans="2:115" ht="12" customHeight="1">
      <c r="B5" t="str">
        <f>TBIDry!H77</f>
        <v/>
      </c>
      <c r="C5" t="str">
        <f>TBIDry!I77</f>
        <v/>
      </c>
      <c r="D5" t="b">
        <f t="shared" ref="D5:D68" si="1">COUNTIF($B$4:$B$2000, B5)&gt;1</f>
        <v>1</v>
      </c>
      <c r="E5" t="b">
        <f t="shared" ref="E5:E68" si="2">COUNTIF($C$4:$C$2000, C5)&gt;1</f>
        <v>1</v>
      </c>
      <c r="G5" t="str">
        <f>TBIWet!H77</f>
        <v>G568</v>
      </c>
      <c r="H5" t="str">
        <f>TBIWet!I77</f>
        <v>R121</v>
      </c>
      <c r="I5" t="b">
        <f t="shared" ref="I5:I68" si="3">COUNTIF($G$4:$G$2000, G5)&gt;1</f>
        <v>0</v>
      </c>
      <c r="J5" t="b">
        <f>COUNTIF($H$4:$H$2000, H5)&gt;1</f>
        <v>0</v>
      </c>
      <c r="L5" t="str">
        <f>'Both teabags AfterWet'!A3</f>
        <v>G202</v>
      </c>
      <c r="M5" t="str">
        <f>'Both teabags AfterWet'!A423</f>
        <v>R10</v>
      </c>
      <c r="N5" t="b">
        <f t="shared" ref="N5:N68" si="4">COUNTIF($L$4:$L$2000, L5)&gt;1</f>
        <v>0</v>
      </c>
      <c r="O5" t="b">
        <f>COUNTIF($M$4:$M$2000, M5)&gt;1</f>
        <v>0</v>
      </c>
      <c r="Q5" s="395" t="b">
        <f t="shared" ref="Q5:Q68" si="5">COUNTIF($T$4:$T$2000, L5)=1</f>
        <v>0</v>
      </c>
      <c r="R5" s="395" t="b">
        <f t="shared" ref="R5:R68" si="6" xml:space="preserve"> COUNTIF($U$4:$U$2000,M5)=1</f>
        <v>0</v>
      </c>
      <c r="T5" t="str">
        <f>'Both teabags AfterDry'!A3</f>
        <v>G10</v>
      </c>
      <c r="U5" t="str">
        <f>'Both teabags AfterDry'!A338</f>
        <v>R108</v>
      </c>
      <c r="V5" t="b">
        <f t="shared" ref="V5:V68" si="7">COUNTIF($T$4:$T$2000, T5)&gt;1</f>
        <v>0</v>
      </c>
      <c r="W5" t="b">
        <f xml:space="preserve"> COUNTIF($U$4:$U$2000,#REF!)&gt;1</f>
        <v>0</v>
      </c>
      <c r="Y5" t="str">
        <f>'Green_rooibos initial weight'!A6</f>
        <v>G2</v>
      </c>
      <c r="Z5" t="str">
        <f>'Green_rooibos initial weight'!A910</f>
        <v>R2</v>
      </c>
      <c r="AA5" t="b">
        <f t="shared" ref="AA5:AA68" si="8">COUNTIF($Y$4:$Y$2000, Y5)&gt;1</f>
        <v>0</v>
      </c>
      <c r="AB5" t="b">
        <f t="shared" ref="AB5:AB68" si="9">COUNTIF($Z$4:$Z$2000, Z5)&gt;1</f>
        <v>0</v>
      </c>
      <c r="AE5" t="str">
        <f>'WetLitterbags placem_collection'!K4</f>
        <v>G568</v>
      </c>
      <c r="AF5" t="str">
        <f>'WetLitterbags placem_collection'!M4</f>
        <v>R121</v>
      </c>
      <c r="AG5" t="b">
        <f t="shared" ref="AG5:AG68" si="10">COUNTIF($AE$4:$AE$2000, AE5)&gt;1</f>
        <v>0</v>
      </c>
      <c r="AH5" t="b">
        <f t="shared" ref="AH5:AH68" si="11">COUNTIF($AF$4:$AF$2000, AF5)&gt;1</f>
        <v>0</v>
      </c>
      <c r="AJ5" t="b">
        <f t="shared" ref="AJ5:AJ68" si="12">COUNTIF($AM$4:$AM$2000, AE5)=1</f>
        <v>0</v>
      </c>
      <c r="AK5" t="b">
        <f t="shared" ref="AK5:AK68" si="13">COUNTIF($AN$4:$AN$2000, AF5)=1</f>
        <v>0</v>
      </c>
      <c r="AM5" t="str">
        <f>IF(ISBLANK('Dry_Litterbag Placem_Collection'!J4),"","G"&amp;""&amp;'Dry_Litterbag Placem_Collection'!J4)</f>
        <v/>
      </c>
      <c r="AN5" t="str">
        <f>IF(ISBLANK('Dry_Litterbag Placem_Collection'!K4),"","R"&amp;""&amp;'Dry_Litterbag Placem_Collection'!K4)</f>
        <v/>
      </c>
      <c r="AO5" t="b">
        <f t="shared" ref="AO5:AO7" si="14">IF(ISBLANK(AM5),"USANN",COUNTIF($AM$4:$AM$2000, AM5)&gt;1)</f>
        <v>1</v>
      </c>
      <c r="AP5" t="b">
        <f t="shared" ref="AP5:AP68" si="15">COUNTIF($AN$4:$AN$2000, AN5)&gt;1</f>
        <v>1</v>
      </c>
      <c r="AS5" t="str">
        <f>'Ashed teabags dry'!A3</f>
        <v>G10</v>
      </c>
      <c r="AT5" t="str">
        <f>'Ashed teabags dry'!A338</f>
        <v>R108</v>
      </c>
      <c r="AU5" t="b">
        <f t="shared" ref="AU5:AU68" si="16">COUNTIF($AS$4:$AS$2000, AS5)&gt;1</f>
        <v>0</v>
      </c>
      <c r="AV5" t="b">
        <f xml:space="preserve"> COUNTIF($AT$4:$AT$2000,#REF!)&gt;1</f>
        <v>0</v>
      </c>
      <c r="AX5" s="395" t="b">
        <f t="shared" ref="AX5:AX68" si="17">COUNTIF($BA$4:$BA$2000, AS5)=1</f>
        <v>0</v>
      </c>
      <c r="AY5" s="395" t="b">
        <f t="shared" ref="AY5:AY68" si="18">COUNTIF($BB$4:$BB$2000, AT5)=1</f>
        <v>0</v>
      </c>
      <c r="BA5" t="str">
        <f>'Ashed teabags wet'!A3</f>
        <v>G202</v>
      </c>
      <c r="BB5" t="str">
        <f>'Ashed teabags wet'!A423</f>
        <v>R10</v>
      </c>
      <c r="BC5" t="b">
        <f t="shared" ref="BC5:BC68" si="19">COUNTIF($BA$4:$BA$2000, BA5)&gt;1</f>
        <v>0</v>
      </c>
      <c r="BD5" t="b">
        <f t="shared" si="0"/>
        <v>0</v>
      </c>
      <c r="BF5" t="str">
        <f t="shared" ref="BF5:BF68" si="20">AS4</f>
        <v>G1</v>
      </c>
      <c r="BG5" t="str">
        <f>T4</f>
        <v>G1</v>
      </c>
      <c r="BH5" t="str">
        <f t="shared" ref="BH5:BH68" si="21">B4</f>
        <v>G407</v>
      </c>
      <c r="BI5" t="str">
        <f>CB5</f>
        <v>G407</v>
      </c>
      <c r="BJ5" t="s">
        <v>2049</v>
      </c>
      <c r="BK5" t="s">
        <v>2049</v>
      </c>
      <c r="BL5" t="s">
        <v>2049</v>
      </c>
      <c r="BM5" t="b">
        <f xml:space="preserve"> COUNTIF($BJ$5:$BL$2000,BK5)=3</f>
        <v>1</v>
      </c>
      <c r="BN5" t="str">
        <f t="shared" ref="BN5:BN68" si="22">AT4</f>
        <v>R106</v>
      </c>
      <c r="BO5" t="str">
        <f>U4</f>
        <v>R106</v>
      </c>
      <c r="BP5" t="str">
        <f t="shared" ref="BP5:BP68" si="23">C4</f>
        <v>R811</v>
      </c>
      <c r="BQ5" t="str">
        <f t="shared" ref="BQ5:BS68" si="24">CE5</f>
        <v>R811</v>
      </c>
      <c r="BR5" t="s">
        <v>1035</v>
      </c>
      <c r="BS5" t="s">
        <v>1035</v>
      </c>
      <c r="BT5" t="s">
        <v>1035</v>
      </c>
      <c r="BU5" t="b">
        <f xml:space="preserve"> COUNTIF($BR$5:$BT$2000,BS5)=3</f>
        <v>1</v>
      </c>
      <c r="BV5" s="180" t="s">
        <v>1572</v>
      </c>
      <c r="BW5" s="180" t="s">
        <v>451</v>
      </c>
      <c r="BZ5" t="str">
        <f t="shared" ref="BZ5:BZ68" si="25">BH5</f>
        <v>G407</v>
      </c>
      <c r="CA5" t="b">
        <f t="shared" ref="CA5:CA68" si="26">COUNTIF($BV$5:$BV$2000, BZ5)=1</f>
        <v>0</v>
      </c>
      <c r="CB5" t="str">
        <f>IF(ISNUMBER(SEARCH("USANN",CA5)),BZ5,"")</f>
        <v>G407</v>
      </c>
      <c r="CC5" t="str">
        <f t="shared" ref="CC5:CC68" si="27">BP5</f>
        <v>R811</v>
      </c>
      <c r="CD5" t="b">
        <f>COUNTIF($BW$5:$BW$2000, CC5)=1</f>
        <v>0</v>
      </c>
      <c r="CE5" t="str">
        <f>IF(ISNUMBER(SEARCH("USANN",CD5)),CC5,"")</f>
        <v>R811</v>
      </c>
      <c r="CG5" t="str">
        <f t="shared" ref="CG5:CG68" si="28">BA4</f>
        <v>G201</v>
      </c>
      <c r="CH5" t="str">
        <f>L4</f>
        <v>G201</v>
      </c>
      <c r="CI5" t="str">
        <f>AE4</f>
        <v>G436</v>
      </c>
      <c r="CJ5" t="str">
        <f t="shared" ref="CJ5:CL68" si="29">DE5</f>
        <v>G436</v>
      </c>
      <c r="CK5" t="s">
        <v>1849</v>
      </c>
      <c r="CL5" t="s">
        <v>1849</v>
      </c>
      <c r="CM5" t="s">
        <v>1849</v>
      </c>
      <c r="CN5" t="b">
        <f xml:space="preserve"> COUNTIF($CK$5:$CM$2000,CL5)=3</f>
        <v>1</v>
      </c>
      <c r="CO5" t="str">
        <f t="shared" ref="CO5:CO68" si="30">BB4</f>
        <v>R1</v>
      </c>
      <c r="CP5" t="str">
        <f>M4</f>
        <v>R1</v>
      </c>
      <c r="CQ5" t="str">
        <f>AF4</f>
        <v>R17</v>
      </c>
      <c r="CR5" t="str">
        <f t="shared" ref="CR5:CT68" si="31">DH5</f>
        <v>R17</v>
      </c>
      <c r="CS5" t="s">
        <v>1140</v>
      </c>
      <c r="CT5" t="s">
        <v>1140</v>
      </c>
      <c r="CU5" t="s">
        <v>1140</v>
      </c>
      <c r="CV5" t="b">
        <f xml:space="preserve"> COUNTIF($CS$5:$CU$2000,CT5)=3</f>
        <v>1</v>
      </c>
      <c r="CW5" s="400" t="s">
        <v>1419</v>
      </c>
      <c r="CX5" s="400" t="b">
        <f>COUNTIF($CG$5:$CG$2000, CW5)&gt;1</f>
        <v>0</v>
      </c>
      <c r="CY5" s="400" t="s">
        <v>983</v>
      </c>
      <c r="CZ5" s="400" t="b">
        <f>COUNTIF(CO:CO, CY5)&gt;1</f>
        <v>0</v>
      </c>
      <c r="DC5" t="str">
        <f t="shared" ref="DC5:DC68" si="32">CI5</f>
        <v>G436</v>
      </c>
      <c r="DD5" t="b">
        <f>COUNTIF($CW$5:$CW$2000, DC5)=1</f>
        <v>0</v>
      </c>
      <c r="DE5" t="str">
        <f>IF(ISNUMBER(SEARCH("USANN",DD5)),DC5,"")</f>
        <v>G436</v>
      </c>
      <c r="DF5" t="str">
        <f t="shared" ref="DF5:DF68" si="33">CQ5</f>
        <v>R17</v>
      </c>
      <c r="DG5" t="b">
        <f>COUNTIF($CY$5:$CY$2000, DF5)=1</f>
        <v>0</v>
      </c>
      <c r="DH5" t="str">
        <f>IF(ISNUMBER(SEARCH("USANN",DG5)),DF5,"")</f>
        <v>R17</v>
      </c>
    </row>
    <row r="6" spans="2:115" ht="12" customHeight="1">
      <c r="B6" t="str">
        <f>TBIDry!H78</f>
        <v>G259</v>
      </c>
      <c r="C6" t="str">
        <f>TBIDry!I78</f>
        <v>R742</v>
      </c>
      <c r="D6" t="b">
        <f t="shared" si="1"/>
        <v>0</v>
      </c>
      <c r="E6" t="b">
        <f t="shared" si="2"/>
        <v>0</v>
      </c>
      <c r="G6" t="str">
        <f>TBIWet!H78</f>
        <v>G631</v>
      </c>
      <c r="H6" t="str">
        <f>TBIWet!I78</f>
        <v>R158</v>
      </c>
      <c r="I6" t="b">
        <f t="shared" si="3"/>
        <v>0</v>
      </c>
      <c r="J6" t="b">
        <f t="shared" ref="J6:J68" si="34">COUNTIF($H$4:$H$2000, H6)&gt;1</f>
        <v>0</v>
      </c>
      <c r="L6" t="str">
        <f>'Both teabags AfterWet'!A4</f>
        <v>G214</v>
      </c>
      <c r="M6" t="str">
        <f>'Both teabags AfterWet'!A424</f>
        <v>R100</v>
      </c>
      <c r="N6" t="b">
        <f t="shared" si="4"/>
        <v>0</v>
      </c>
      <c r="O6" t="b">
        <f>COUNTIF($M$4:$M$2000, M4)&gt;1</f>
        <v>0</v>
      </c>
      <c r="Q6" s="395" t="b">
        <f t="shared" si="5"/>
        <v>0</v>
      </c>
      <c r="R6" s="395" t="b">
        <f t="shared" si="6"/>
        <v>0</v>
      </c>
      <c r="T6" t="str">
        <f>'Both teabags AfterDry'!A4</f>
        <v>G101</v>
      </c>
      <c r="U6" t="str">
        <f>'Both teabags AfterDry'!A339</f>
        <v>R116</v>
      </c>
      <c r="V6" t="b">
        <f t="shared" si="7"/>
        <v>0</v>
      </c>
      <c r="W6" t="b">
        <f t="shared" ref="W6:W69" si="35">COUNTIF($U$4:$U$2000, U6)&gt;1</f>
        <v>0</v>
      </c>
      <c r="Y6" t="str">
        <f>'Green_rooibos initial weight'!A7</f>
        <v>G3</v>
      </c>
      <c r="Z6" t="str">
        <f>'Green_rooibos initial weight'!A911</f>
        <v>R3</v>
      </c>
      <c r="AA6" t="b">
        <f t="shared" si="8"/>
        <v>0</v>
      </c>
      <c r="AB6" t="b">
        <f t="shared" si="9"/>
        <v>0</v>
      </c>
      <c r="AE6" t="str">
        <f>'WetLitterbags placem_collection'!K5</f>
        <v>G631</v>
      </c>
      <c r="AF6" t="str">
        <f>'WetLitterbags placem_collection'!M5</f>
        <v>R158</v>
      </c>
      <c r="AG6" t="b">
        <f t="shared" si="10"/>
        <v>0</v>
      </c>
      <c r="AH6" t="b">
        <f t="shared" si="11"/>
        <v>0</v>
      </c>
      <c r="AJ6" t="b">
        <f t="shared" si="12"/>
        <v>0</v>
      </c>
      <c r="AK6" t="b">
        <f t="shared" si="13"/>
        <v>0</v>
      </c>
      <c r="AM6" t="str">
        <f>IF(ISBLANK('Dry_Litterbag Placem_Collection'!J5),"","G"&amp;""&amp;'Dry_Litterbag Placem_Collection'!J5)</f>
        <v>G259</v>
      </c>
      <c r="AN6" t="str">
        <f>IF(ISBLANK('Dry_Litterbag Placem_Collection'!K5),"","R"&amp;""&amp;'Dry_Litterbag Placem_Collection'!K5)</f>
        <v>R742</v>
      </c>
      <c r="AO6" t="b">
        <f t="shared" si="14"/>
        <v>0</v>
      </c>
      <c r="AP6" t="b">
        <f t="shared" si="15"/>
        <v>0</v>
      </c>
      <c r="AS6" t="str">
        <f>'Ashed teabags dry'!A4</f>
        <v>G101</v>
      </c>
      <c r="AT6" t="str">
        <f>'Ashed teabags dry'!A339</f>
        <v>R116</v>
      </c>
      <c r="AU6" t="b">
        <f t="shared" si="16"/>
        <v>0</v>
      </c>
      <c r="AV6" t="b">
        <f>COUNTIF($AT$4:$AT$2000, AT6)&gt;1</f>
        <v>0</v>
      </c>
      <c r="AX6" s="395" t="b">
        <f t="shared" si="17"/>
        <v>0</v>
      </c>
      <c r="AY6" s="395" t="b">
        <f t="shared" si="18"/>
        <v>0</v>
      </c>
      <c r="BA6" t="str">
        <f>'Ashed teabags wet'!A4</f>
        <v>G214</v>
      </c>
      <c r="BB6" t="str">
        <f>'Ashed teabags wet'!A424</f>
        <v>R100</v>
      </c>
      <c r="BC6" t="b">
        <f t="shared" si="19"/>
        <v>0</v>
      </c>
      <c r="BD6" t="b">
        <f t="shared" si="0"/>
        <v>0</v>
      </c>
      <c r="BF6" t="str">
        <f t="shared" si="20"/>
        <v>G10</v>
      </c>
      <c r="BG6" t="str">
        <f>T5</f>
        <v>G10</v>
      </c>
      <c r="BH6" t="str">
        <f t="shared" si="21"/>
        <v/>
      </c>
      <c r="BI6" t="str">
        <f t="shared" ref="BI6:BK69" si="36">CB6</f>
        <v/>
      </c>
      <c r="BJ6" t="s">
        <v>2040</v>
      </c>
      <c r="BK6" t="s">
        <v>2040</v>
      </c>
      <c r="BL6" t="s">
        <v>2040</v>
      </c>
      <c r="BM6" t="b">
        <f t="shared" ref="BM6:BM69" si="37" xml:space="preserve"> COUNTIF($BJ$5:$BL$2000,BK6)=3</f>
        <v>1</v>
      </c>
      <c r="BN6" t="str">
        <f t="shared" si="22"/>
        <v>R108</v>
      </c>
      <c r="BO6" t="str">
        <f>U5</f>
        <v>R108</v>
      </c>
      <c r="BP6" t="str">
        <f t="shared" si="23"/>
        <v/>
      </c>
      <c r="BQ6" t="str">
        <f t="shared" si="24"/>
        <v/>
      </c>
      <c r="BR6" t="s">
        <v>1033</v>
      </c>
      <c r="BS6" t="s">
        <v>1033</v>
      </c>
      <c r="BT6" t="s">
        <v>1033</v>
      </c>
      <c r="BU6" t="b">
        <f t="shared" ref="BU6:BU69" si="38" xml:space="preserve"> COUNTIF($BR$5:$BT$2000,BS6)=3</f>
        <v>1</v>
      </c>
      <c r="BV6" s="180" t="s">
        <v>1674</v>
      </c>
      <c r="BW6" s="180" t="s">
        <v>384</v>
      </c>
      <c r="BZ6" t="str">
        <f t="shared" si="25"/>
        <v/>
      </c>
      <c r="CA6" t="b">
        <f t="shared" si="26"/>
        <v>0</v>
      </c>
      <c r="CB6" t="str">
        <f t="shared" ref="CB6:CB69" si="39">IF(ISNUMBER(SEARCH("USANN",CA6)),BZ6,"")</f>
        <v/>
      </c>
      <c r="CC6" t="str">
        <f t="shared" si="27"/>
        <v/>
      </c>
      <c r="CD6" t="b">
        <f t="shared" ref="CD6:CD69" si="40">COUNTIF($BW$5:$BW$2000, CC6)=1</f>
        <v>0</v>
      </c>
      <c r="CE6" t="str">
        <f t="shared" ref="CE6:CE69" si="41">IF(ISNUMBER(SEARCH("USANN",CD6)),CC6,"")</f>
        <v/>
      </c>
      <c r="CG6" t="str">
        <f t="shared" si="28"/>
        <v>G202</v>
      </c>
      <c r="CH6" t="str">
        <f t="shared" ref="CH6:CH69" si="42">L5</f>
        <v>G202</v>
      </c>
      <c r="CI6" t="str">
        <f>AE5</f>
        <v>G568</v>
      </c>
      <c r="CJ6" t="str">
        <f t="shared" si="29"/>
        <v>G568</v>
      </c>
      <c r="CK6" t="s">
        <v>1848</v>
      </c>
      <c r="CL6" t="s">
        <v>1848</v>
      </c>
      <c r="CM6" t="s">
        <v>1848</v>
      </c>
      <c r="CN6" t="b">
        <f t="shared" ref="CN6:CN69" si="43" xml:space="preserve"> COUNTIF($CK$5:$CM$2000,CL6)=3</f>
        <v>1</v>
      </c>
      <c r="CO6" t="str">
        <f t="shared" si="30"/>
        <v>R10</v>
      </c>
      <c r="CP6" t="str">
        <f t="shared" ref="CP6:CP69" si="44">M5</f>
        <v>R10</v>
      </c>
      <c r="CQ6" t="str">
        <f>AF5</f>
        <v>R121</v>
      </c>
      <c r="CR6" t="str">
        <f t="shared" si="31"/>
        <v>R121</v>
      </c>
      <c r="CS6" t="s">
        <v>1131</v>
      </c>
      <c r="CT6" t="s">
        <v>1131</v>
      </c>
      <c r="CU6" t="s">
        <v>1131</v>
      </c>
      <c r="CV6" t="b">
        <f t="shared" ref="CV6:CV69" si="45" xml:space="preserve"> COUNTIF($CS$5:$CU$2000,CT6)=3</f>
        <v>1</v>
      </c>
      <c r="CW6" s="400" t="s">
        <v>1460</v>
      </c>
      <c r="CX6" s="400" t="b">
        <f>COUNTIF($CG$5:$CG$2000, CW6)&gt;1</f>
        <v>0</v>
      </c>
      <c r="CY6" s="400" t="s">
        <v>732</v>
      </c>
      <c r="CZ6" s="400" t="b">
        <f t="shared" ref="CZ6:CZ17" si="46">COUNTIF(CO:CO, CY6)&gt;1</f>
        <v>0</v>
      </c>
      <c r="DC6" t="str">
        <f t="shared" si="32"/>
        <v>G568</v>
      </c>
      <c r="DD6" t="b">
        <f t="shared" ref="DD6:DD69" si="47">COUNTIF($CW$5:$CW$2000, DC6)=1</f>
        <v>0</v>
      </c>
      <c r="DE6" t="str">
        <f t="shared" ref="DE6:DE69" si="48">IF(ISNUMBER(SEARCH("USANN",DD6)),DC6,"")</f>
        <v>G568</v>
      </c>
      <c r="DF6" t="str">
        <f t="shared" si="33"/>
        <v>R121</v>
      </c>
      <c r="DG6" t="b">
        <f t="shared" ref="DG6:DG69" si="49">COUNTIF($CY$5:$CY$2000, DF6)=1</f>
        <v>0</v>
      </c>
      <c r="DH6" t="str">
        <f t="shared" ref="DH6:DH69" si="50">IF(ISNUMBER(SEARCH("USANN",DG6)),DF6,"")</f>
        <v>R121</v>
      </c>
    </row>
    <row r="7" spans="2:115" ht="12" customHeight="1">
      <c r="B7" t="str">
        <f>TBIDry!H79</f>
        <v>G255</v>
      </c>
      <c r="C7" t="str">
        <f>TBIDry!I79</f>
        <v>R661</v>
      </c>
      <c r="D7" t="b">
        <f t="shared" si="1"/>
        <v>0</v>
      </c>
      <c r="E7" t="b">
        <f t="shared" si="2"/>
        <v>0</v>
      </c>
      <c r="G7" t="str">
        <f>TBIWet!H79</f>
        <v>G652</v>
      </c>
      <c r="H7" t="str">
        <f>TBIWet!I79</f>
        <v>R115</v>
      </c>
      <c r="I7" t="b">
        <f t="shared" si="3"/>
        <v>0</v>
      </c>
      <c r="J7" t="b">
        <f t="shared" si="34"/>
        <v>0</v>
      </c>
      <c r="L7" t="str">
        <f>'Both teabags AfterWet'!A5</f>
        <v>G216</v>
      </c>
      <c r="M7" t="str">
        <f>'Both teabags AfterWet'!A425</f>
        <v>R101</v>
      </c>
      <c r="N7" t="b">
        <f t="shared" si="4"/>
        <v>0</v>
      </c>
      <c r="O7" t="b">
        <f t="shared" ref="O7:O70" si="51">COUNTIF($M$4:$M$2000, M7)&gt;1</f>
        <v>0</v>
      </c>
      <c r="Q7" s="395" t="b">
        <f t="shared" si="5"/>
        <v>0</v>
      </c>
      <c r="R7" s="395" t="b">
        <f t="shared" si="6"/>
        <v>0</v>
      </c>
      <c r="T7" t="str">
        <f>'Both teabags AfterDry'!A5</f>
        <v>G102</v>
      </c>
      <c r="U7" t="str">
        <f>'Both teabags AfterDry'!A340</f>
        <v>R118</v>
      </c>
      <c r="V7" t="b">
        <f t="shared" si="7"/>
        <v>0</v>
      </c>
      <c r="W7" t="b">
        <f t="shared" si="35"/>
        <v>0</v>
      </c>
      <c r="Y7" t="str">
        <f>'Green_rooibos initial weight'!A8</f>
        <v>G4</v>
      </c>
      <c r="Z7" t="str">
        <f>'Green_rooibos initial weight'!A912</f>
        <v>R4</v>
      </c>
      <c r="AA7" t="b">
        <f t="shared" si="8"/>
        <v>0</v>
      </c>
      <c r="AB7" t="b">
        <f t="shared" si="9"/>
        <v>0</v>
      </c>
      <c r="AE7" t="str">
        <f>'WetLitterbags placem_collection'!K6</f>
        <v>G652</v>
      </c>
      <c r="AF7" t="str">
        <f>'WetLitterbags placem_collection'!M6</f>
        <v>R115</v>
      </c>
      <c r="AG7" t="b">
        <f t="shared" si="10"/>
        <v>0</v>
      </c>
      <c r="AH7" t="b">
        <f t="shared" si="11"/>
        <v>0</v>
      </c>
      <c r="AJ7" t="b">
        <f t="shared" si="12"/>
        <v>0</v>
      </c>
      <c r="AK7" t="b">
        <f t="shared" si="13"/>
        <v>0</v>
      </c>
      <c r="AM7" t="str">
        <f>IF(ISBLANK('Dry_Litterbag Placem_Collection'!J6),"","G"&amp;""&amp;'Dry_Litterbag Placem_Collection'!J6)</f>
        <v>G255</v>
      </c>
      <c r="AN7" t="str">
        <f>IF(ISBLANK('Dry_Litterbag Placem_Collection'!K6),"","R"&amp;""&amp;'Dry_Litterbag Placem_Collection'!K6)</f>
        <v>R661</v>
      </c>
      <c r="AO7" t="b">
        <f t="shared" si="14"/>
        <v>0</v>
      </c>
      <c r="AP7" t="b">
        <f t="shared" si="15"/>
        <v>0</v>
      </c>
      <c r="AS7" t="str">
        <f>'Ashed teabags dry'!A5</f>
        <v>G102</v>
      </c>
      <c r="AT7" t="str">
        <f>'Ashed teabags dry'!A340</f>
        <v>R118</v>
      </c>
      <c r="AU7" t="b">
        <f t="shared" si="16"/>
        <v>0</v>
      </c>
      <c r="AV7" t="b">
        <f>COUNTIF($AT$4:$AT$2000, AT7)&gt;1</f>
        <v>0</v>
      </c>
      <c r="AX7" s="395" t="b">
        <f t="shared" si="17"/>
        <v>0</v>
      </c>
      <c r="AY7" s="395" t="b">
        <f t="shared" si="18"/>
        <v>0</v>
      </c>
      <c r="BA7" t="str">
        <f>'Ashed teabags wet'!A5</f>
        <v>G216</v>
      </c>
      <c r="BB7" t="str">
        <f>'Ashed teabags wet'!A425</f>
        <v>R101</v>
      </c>
      <c r="BC7" t="b">
        <f t="shared" si="19"/>
        <v>0</v>
      </c>
      <c r="BD7" t="b">
        <f t="shared" si="0"/>
        <v>0</v>
      </c>
      <c r="BF7" t="str">
        <f t="shared" si="20"/>
        <v>G101</v>
      </c>
      <c r="BG7" t="str">
        <f>T6</f>
        <v>G101</v>
      </c>
      <c r="BH7" t="str">
        <f t="shared" si="21"/>
        <v>G259</v>
      </c>
      <c r="BI7" t="str">
        <f t="shared" si="36"/>
        <v>G259</v>
      </c>
      <c r="BJ7" t="s">
        <v>1949</v>
      </c>
      <c r="BK7" t="s">
        <v>1949</v>
      </c>
      <c r="BL7" t="s">
        <v>1949</v>
      </c>
      <c r="BM7" t="b">
        <f t="shared" si="37"/>
        <v>1</v>
      </c>
      <c r="BN7" t="str">
        <f t="shared" si="22"/>
        <v>R116</v>
      </c>
      <c r="BO7" t="str">
        <f>U6</f>
        <v>R116</v>
      </c>
      <c r="BP7" t="str">
        <f t="shared" si="23"/>
        <v>R742</v>
      </c>
      <c r="BQ7" t="str">
        <f t="shared" si="24"/>
        <v>R742</v>
      </c>
      <c r="BR7" t="s">
        <v>1025</v>
      </c>
      <c r="BS7" t="s">
        <v>1025</v>
      </c>
      <c r="BT7" t="s">
        <v>1025</v>
      </c>
      <c r="BU7" t="b">
        <f t="shared" si="38"/>
        <v>1</v>
      </c>
      <c r="BV7" s="180" t="s">
        <v>1710</v>
      </c>
      <c r="BW7" s="180" t="s">
        <v>473</v>
      </c>
      <c r="BZ7" t="str">
        <f t="shared" si="25"/>
        <v>G259</v>
      </c>
      <c r="CA7" t="b">
        <f t="shared" si="26"/>
        <v>0</v>
      </c>
      <c r="CB7" t="str">
        <f t="shared" si="39"/>
        <v>G259</v>
      </c>
      <c r="CC7" t="str">
        <f t="shared" si="27"/>
        <v>R742</v>
      </c>
      <c r="CD7" t="b">
        <f t="shared" si="40"/>
        <v>0</v>
      </c>
      <c r="CE7" t="str">
        <f t="shared" si="41"/>
        <v>R742</v>
      </c>
      <c r="CG7" t="str">
        <f t="shared" si="28"/>
        <v>G214</v>
      </c>
      <c r="CH7" t="str">
        <f t="shared" si="42"/>
        <v>G214</v>
      </c>
      <c r="CI7" t="str">
        <f>AE6</f>
        <v>G631</v>
      </c>
      <c r="CJ7" t="str">
        <f t="shared" si="29"/>
        <v/>
      </c>
      <c r="CK7" t="s">
        <v>1836</v>
      </c>
      <c r="CL7" t="s">
        <v>1836</v>
      </c>
      <c r="CM7" t="s">
        <v>1836</v>
      </c>
      <c r="CN7" t="b">
        <f t="shared" si="43"/>
        <v>1</v>
      </c>
      <c r="CO7" t="str">
        <f t="shared" si="30"/>
        <v>R100</v>
      </c>
      <c r="CP7" t="str">
        <f t="shared" si="44"/>
        <v>R100</v>
      </c>
      <c r="CQ7" t="str">
        <f>AF6</f>
        <v>R158</v>
      </c>
      <c r="CR7" t="str">
        <f t="shared" si="31"/>
        <v/>
      </c>
      <c r="CS7" t="s">
        <v>1041</v>
      </c>
      <c r="CT7" t="s">
        <v>1041</v>
      </c>
      <c r="CU7" t="s">
        <v>1041</v>
      </c>
      <c r="CV7" t="b">
        <f t="shared" si="45"/>
        <v>1</v>
      </c>
      <c r="CW7" s="400" t="s">
        <v>1415</v>
      </c>
      <c r="CX7" s="400" t="b">
        <f t="shared" ref="CX7:CX9" si="52">COUNTIF($CG$5:$CG$2000, CW7)&gt;1</f>
        <v>0</v>
      </c>
      <c r="CY7" s="400" t="s">
        <v>1055</v>
      </c>
      <c r="CZ7" s="400" t="b">
        <f t="shared" si="46"/>
        <v>0</v>
      </c>
      <c r="DC7" t="str">
        <f t="shared" si="32"/>
        <v>G631</v>
      </c>
      <c r="DD7" t="b">
        <f t="shared" si="47"/>
        <v>1</v>
      </c>
      <c r="DE7" t="str">
        <f t="shared" si="48"/>
        <v/>
      </c>
      <c r="DF7" t="str">
        <f t="shared" si="33"/>
        <v>R158</v>
      </c>
      <c r="DG7" t="b">
        <f t="shared" si="49"/>
        <v>1</v>
      </c>
      <c r="DH7" t="str">
        <f t="shared" si="50"/>
        <v/>
      </c>
    </row>
    <row r="8" spans="2:115" ht="12" customHeight="1">
      <c r="B8" t="str">
        <f>TBIDry!H80</f>
        <v>G122</v>
      </c>
      <c r="C8" t="str">
        <f>TBIDry!I80</f>
        <v>R724</v>
      </c>
      <c r="D8" t="b">
        <f t="shared" si="1"/>
        <v>0</v>
      </c>
      <c r="E8" t="b">
        <f t="shared" si="2"/>
        <v>0</v>
      </c>
      <c r="G8" t="str">
        <f>TBIWet!H80</f>
        <v>G497</v>
      </c>
      <c r="H8" t="str">
        <f>TBIWet!I80</f>
        <v>R502</v>
      </c>
      <c r="I8" t="b">
        <f t="shared" si="3"/>
        <v>0</v>
      </c>
      <c r="J8" t="b">
        <f t="shared" si="34"/>
        <v>0</v>
      </c>
      <c r="L8" t="str">
        <f>'Both teabags AfterWet'!A6</f>
        <v>G217</v>
      </c>
      <c r="M8" t="str">
        <f>'Both teabags AfterWet'!A426</f>
        <v>R103</v>
      </c>
      <c r="N8" t="b">
        <f t="shared" si="4"/>
        <v>0</v>
      </c>
      <c r="O8" t="b">
        <f t="shared" si="51"/>
        <v>0</v>
      </c>
      <c r="Q8" s="395" t="b">
        <f t="shared" si="5"/>
        <v>0</v>
      </c>
      <c r="R8" s="395" t="b">
        <f t="shared" si="6"/>
        <v>0</v>
      </c>
      <c r="T8" t="str">
        <f>'Both teabags AfterDry'!A6</f>
        <v>G105</v>
      </c>
      <c r="U8" t="str">
        <f>'Both teabags AfterDry'!A341</f>
        <v>R127</v>
      </c>
      <c r="V8" t="b">
        <f t="shared" si="7"/>
        <v>0</v>
      </c>
      <c r="W8" t="b">
        <f t="shared" si="35"/>
        <v>0</v>
      </c>
      <c r="Y8" t="str">
        <f>'Green_rooibos initial weight'!A9</f>
        <v>G5</v>
      </c>
      <c r="Z8" t="str">
        <f>'Green_rooibos initial weight'!A913</f>
        <v>R5</v>
      </c>
      <c r="AA8" t="b">
        <f t="shared" si="8"/>
        <v>0</v>
      </c>
      <c r="AB8" t="b">
        <f t="shared" si="9"/>
        <v>0</v>
      </c>
      <c r="AE8" t="str">
        <f>'WetLitterbags placem_collection'!K7</f>
        <v>G497</v>
      </c>
      <c r="AF8" t="str">
        <f>'WetLitterbags placem_collection'!M7</f>
        <v>R502</v>
      </c>
      <c r="AG8" t="b">
        <f t="shared" si="10"/>
        <v>0</v>
      </c>
      <c r="AH8" t="b">
        <f t="shared" si="11"/>
        <v>0</v>
      </c>
      <c r="AJ8" t="b">
        <f t="shared" si="12"/>
        <v>0</v>
      </c>
      <c r="AK8" t="b">
        <f t="shared" si="13"/>
        <v>0</v>
      </c>
      <c r="AM8" t="str">
        <f>IF(ISBLANK('Dry_Litterbag Placem_Collection'!J7),"","G"&amp;""&amp;'Dry_Litterbag Placem_Collection'!J7)</f>
        <v>G122</v>
      </c>
      <c r="AN8" t="str">
        <f>IF(ISBLANK('Dry_Litterbag Placem_Collection'!K7),"","R"&amp;""&amp;'Dry_Litterbag Placem_Collection'!K7)</f>
        <v>R724</v>
      </c>
      <c r="AO8" t="b">
        <f t="shared" ref="AO5:AO68" si="53">COUNTIF($AM$4:$AM$2000, AM8)&gt;1</f>
        <v>0</v>
      </c>
      <c r="AP8" t="b">
        <f t="shared" si="15"/>
        <v>0</v>
      </c>
      <c r="AS8" t="str">
        <f>'Ashed teabags dry'!A6</f>
        <v>G105</v>
      </c>
      <c r="AT8" t="str">
        <f>'Ashed teabags dry'!A341</f>
        <v>R127</v>
      </c>
      <c r="AU8" t="b">
        <f t="shared" si="16"/>
        <v>0</v>
      </c>
      <c r="AV8" t="b">
        <f>COUNTIF($AT$4:$AT$2000, AT8)&gt;1</f>
        <v>0</v>
      </c>
      <c r="AX8" s="395" t="b">
        <f t="shared" si="17"/>
        <v>0</v>
      </c>
      <c r="AY8" s="395" t="b">
        <f t="shared" si="18"/>
        <v>0</v>
      </c>
      <c r="BA8" t="str">
        <f>'Ashed teabags wet'!A6</f>
        <v>G217</v>
      </c>
      <c r="BB8" t="str">
        <f>'Ashed teabags wet'!A426</f>
        <v>R103</v>
      </c>
      <c r="BC8" t="b">
        <f t="shared" si="19"/>
        <v>0</v>
      </c>
      <c r="BD8" t="b">
        <f t="shared" si="0"/>
        <v>0</v>
      </c>
      <c r="BF8" t="str">
        <f t="shared" si="20"/>
        <v>G102</v>
      </c>
      <c r="BG8" t="str">
        <f>T7</f>
        <v>G102</v>
      </c>
      <c r="BH8" t="str">
        <f t="shared" si="21"/>
        <v>G255</v>
      </c>
      <c r="BI8" t="str">
        <f t="shared" si="36"/>
        <v>G255</v>
      </c>
      <c r="BJ8" t="s">
        <v>1948</v>
      </c>
      <c r="BK8" t="s">
        <v>1948</v>
      </c>
      <c r="BL8" t="s">
        <v>1948</v>
      </c>
      <c r="BM8" t="b">
        <f t="shared" si="37"/>
        <v>1</v>
      </c>
      <c r="BN8" t="str">
        <f t="shared" si="22"/>
        <v>R118</v>
      </c>
      <c r="BO8" t="str">
        <f>U7</f>
        <v>R118</v>
      </c>
      <c r="BP8" t="str">
        <f t="shared" si="23"/>
        <v>R661</v>
      </c>
      <c r="BQ8" t="str">
        <f t="shared" si="24"/>
        <v>R661</v>
      </c>
      <c r="BR8" t="s">
        <v>1023</v>
      </c>
      <c r="BS8" t="s">
        <v>1023</v>
      </c>
      <c r="BT8" t="s">
        <v>1023</v>
      </c>
      <c r="BU8" t="b">
        <f t="shared" si="38"/>
        <v>1</v>
      </c>
      <c r="BV8" s="180" t="s">
        <v>1946</v>
      </c>
      <c r="BW8" s="180" t="s">
        <v>386</v>
      </c>
      <c r="BZ8" t="str">
        <f t="shared" si="25"/>
        <v>G255</v>
      </c>
      <c r="CA8" t="b">
        <f t="shared" si="26"/>
        <v>0</v>
      </c>
      <c r="CB8" t="str">
        <f t="shared" si="39"/>
        <v>G255</v>
      </c>
      <c r="CC8" t="str">
        <f t="shared" si="27"/>
        <v>R661</v>
      </c>
      <c r="CD8" t="b">
        <f t="shared" si="40"/>
        <v>0</v>
      </c>
      <c r="CE8" t="str">
        <f t="shared" si="41"/>
        <v>R661</v>
      </c>
      <c r="CG8" t="str">
        <f t="shared" si="28"/>
        <v>G216</v>
      </c>
      <c r="CH8" t="str">
        <f t="shared" si="42"/>
        <v>G216</v>
      </c>
      <c r="CI8" t="str">
        <f>AE7</f>
        <v>G652</v>
      </c>
      <c r="CJ8" t="str">
        <f t="shared" si="29"/>
        <v/>
      </c>
      <c r="CK8" t="s">
        <v>1834</v>
      </c>
      <c r="CL8" t="s">
        <v>1834</v>
      </c>
      <c r="CM8" t="s">
        <v>1834</v>
      </c>
      <c r="CN8" t="b">
        <f t="shared" si="43"/>
        <v>1</v>
      </c>
      <c r="CO8" t="str">
        <f t="shared" si="30"/>
        <v>R101</v>
      </c>
      <c r="CP8" t="str">
        <f t="shared" si="44"/>
        <v>R101</v>
      </c>
      <c r="CQ8" t="str">
        <f>AF7</f>
        <v>R115</v>
      </c>
      <c r="CR8" t="str">
        <f t="shared" si="31"/>
        <v>R115</v>
      </c>
      <c r="CS8" t="s">
        <v>1040</v>
      </c>
      <c r="CT8" t="s">
        <v>1040</v>
      </c>
      <c r="CU8" t="s">
        <v>1040</v>
      </c>
      <c r="CV8" t="b">
        <f t="shared" si="45"/>
        <v>1</v>
      </c>
      <c r="CW8" s="400" t="s">
        <v>1624</v>
      </c>
      <c r="CX8" s="400" t="b">
        <f t="shared" si="52"/>
        <v>0</v>
      </c>
      <c r="CY8" s="400" t="s">
        <v>742</v>
      </c>
      <c r="CZ8" s="400" t="b">
        <f t="shared" si="46"/>
        <v>0</v>
      </c>
      <c r="DC8" t="str">
        <f t="shared" si="32"/>
        <v>G652</v>
      </c>
      <c r="DD8" t="b">
        <f t="shared" si="47"/>
        <v>1</v>
      </c>
      <c r="DE8" t="str">
        <f t="shared" si="48"/>
        <v/>
      </c>
      <c r="DF8" t="str">
        <f t="shared" si="33"/>
        <v>R115</v>
      </c>
      <c r="DG8" t="b">
        <f t="shared" si="49"/>
        <v>0</v>
      </c>
      <c r="DH8" t="str">
        <f t="shared" si="50"/>
        <v>R115</v>
      </c>
    </row>
    <row r="9" spans="2:115" ht="12" customHeight="1">
      <c r="B9" t="str">
        <f>TBIDry!H81</f>
        <v>G478</v>
      </c>
      <c r="C9" t="str">
        <f>TBIDry!I81</f>
        <v>R688</v>
      </c>
      <c r="D9" t="b">
        <f t="shared" si="1"/>
        <v>0</v>
      </c>
      <c r="E9" t="b">
        <f t="shared" si="2"/>
        <v>0</v>
      </c>
      <c r="G9" t="str">
        <f>TBIWet!H81</f>
        <v>G447</v>
      </c>
      <c r="H9" t="str">
        <f>TBIWet!I81</f>
        <v>R177</v>
      </c>
      <c r="I9" t="b">
        <f t="shared" si="3"/>
        <v>0</v>
      </c>
      <c r="J9" t="b">
        <f t="shared" si="34"/>
        <v>0</v>
      </c>
      <c r="L9" t="str">
        <f>'Both teabags AfterWet'!A7</f>
        <v>G222</v>
      </c>
      <c r="M9" t="str">
        <f>'Both teabags AfterWet'!A427</f>
        <v>R104</v>
      </c>
      <c r="N9" t="b">
        <f t="shared" si="4"/>
        <v>0</v>
      </c>
      <c r="O9" t="b">
        <f t="shared" si="51"/>
        <v>0</v>
      </c>
      <c r="Q9" s="395" t="b">
        <f t="shared" si="5"/>
        <v>0</v>
      </c>
      <c r="R9" s="395" t="b">
        <f t="shared" si="6"/>
        <v>0</v>
      </c>
      <c r="T9" t="str">
        <f>'Both teabags AfterDry'!A7</f>
        <v>G106</v>
      </c>
      <c r="U9" t="str">
        <f>'Both teabags AfterDry'!A342</f>
        <v>R13</v>
      </c>
      <c r="V9" t="b">
        <f t="shared" si="7"/>
        <v>0</v>
      </c>
      <c r="W9" t="b">
        <f t="shared" si="35"/>
        <v>0</v>
      </c>
      <c r="Y9" t="str">
        <f>'Green_rooibos initial weight'!A10</f>
        <v>G6</v>
      </c>
      <c r="Z9" t="str">
        <f>'Green_rooibos initial weight'!A914</f>
        <v>R6</v>
      </c>
      <c r="AA9" t="b">
        <f t="shared" si="8"/>
        <v>0</v>
      </c>
      <c r="AB9" t="b">
        <f t="shared" si="9"/>
        <v>0</v>
      </c>
      <c r="AE9" t="str">
        <f>'WetLitterbags placem_collection'!K8</f>
        <v>G447</v>
      </c>
      <c r="AF9" t="str">
        <f>'WetLitterbags placem_collection'!M8</f>
        <v>R177</v>
      </c>
      <c r="AG9" t="b">
        <f t="shared" si="10"/>
        <v>0</v>
      </c>
      <c r="AH9" t="b">
        <f t="shared" si="11"/>
        <v>0</v>
      </c>
      <c r="AJ9" t="b">
        <f t="shared" si="12"/>
        <v>0</v>
      </c>
      <c r="AK9" t="b">
        <f t="shared" si="13"/>
        <v>0</v>
      </c>
      <c r="AM9" t="str">
        <f>IF(ISBLANK('Dry_Litterbag Placem_Collection'!J8),"","G"&amp;""&amp;'Dry_Litterbag Placem_Collection'!J8)</f>
        <v>G478</v>
      </c>
      <c r="AN9" t="str">
        <f>IF(ISBLANK('Dry_Litterbag Placem_Collection'!K8),"","R"&amp;""&amp;'Dry_Litterbag Placem_Collection'!K8)</f>
        <v>R688</v>
      </c>
      <c r="AO9" t="b">
        <f t="shared" si="53"/>
        <v>0</v>
      </c>
      <c r="AP9" t="b">
        <f t="shared" si="15"/>
        <v>0</v>
      </c>
      <c r="AS9" t="str">
        <f>'Ashed teabags dry'!A7</f>
        <v>G106</v>
      </c>
      <c r="AT9" t="str">
        <f>'Ashed teabags dry'!A342</f>
        <v>R13</v>
      </c>
      <c r="AU9" t="b">
        <f t="shared" si="16"/>
        <v>0</v>
      </c>
      <c r="AV9" t="b">
        <f>COUNTIF($AT$4:$AT$2000, AT9)&gt;1</f>
        <v>0</v>
      </c>
      <c r="AX9" s="395" t="b">
        <f t="shared" si="17"/>
        <v>0</v>
      </c>
      <c r="AY9" s="395" t="b">
        <f t="shared" si="18"/>
        <v>0</v>
      </c>
      <c r="BA9" t="str">
        <f>'Ashed teabags wet'!A7</f>
        <v>G222</v>
      </c>
      <c r="BB9" t="str">
        <f>'Ashed teabags wet'!A427</f>
        <v>R104</v>
      </c>
      <c r="BC9" t="b">
        <f t="shared" si="19"/>
        <v>0</v>
      </c>
      <c r="BD9" t="b">
        <f t="shared" si="0"/>
        <v>0</v>
      </c>
      <c r="BF9" t="str">
        <f t="shared" si="20"/>
        <v>G105</v>
      </c>
      <c r="BG9" t="str">
        <f>T8</f>
        <v>G105</v>
      </c>
      <c r="BH9" t="str">
        <f t="shared" si="21"/>
        <v>G122</v>
      </c>
      <c r="BI9" t="str">
        <f t="shared" si="36"/>
        <v/>
      </c>
      <c r="BJ9" t="s">
        <v>1945</v>
      </c>
      <c r="BK9" t="s">
        <v>1945</v>
      </c>
      <c r="BL9" t="s">
        <v>1945</v>
      </c>
      <c r="BM9" t="b">
        <f t="shared" si="37"/>
        <v>1</v>
      </c>
      <c r="BN9" t="str">
        <f t="shared" si="22"/>
        <v>R127</v>
      </c>
      <c r="BO9" t="str">
        <f>U8</f>
        <v>R127</v>
      </c>
      <c r="BP9" t="str">
        <f t="shared" si="23"/>
        <v>R724</v>
      </c>
      <c r="BQ9" t="str">
        <f t="shared" si="24"/>
        <v/>
      </c>
      <c r="BR9" t="s">
        <v>1014</v>
      </c>
      <c r="BS9" t="s">
        <v>1014</v>
      </c>
      <c r="BT9" t="s">
        <v>1014</v>
      </c>
      <c r="BU9" t="b">
        <f t="shared" si="38"/>
        <v>1</v>
      </c>
      <c r="BV9" s="180" t="s">
        <v>1570</v>
      </c>
      <c r="BW9" s="180" t="s">
        <v>312</v>
      </c>
      <c r="BZ9" t="str">
        <f t="shared" si="25"/>
        <v>G122</v>
      </c>
      <c r="CA9" t="b">
        <f t="shared" si="26"/>
        <v>1</v>
      </c>
      <c r="CB9" t="str">
        <f t="shared" si="39"/>
        <v/>
      </c>
      <c r="CC9" t="str">
        <f t="shared" si="27"/>
        <v>R724</v>
      </c>
      <c r="CD9" t="b">
        <f t="shared" si="40"/>
        <v>1</v>
      </c>
      <c r="CE9" t="str">
        <f t="shared" si="41"/>
        <v/>
      </c>
      <c r="CG9" t="str">
        <f t="shared" si="28"/>
        <v>G217</v>
      </c>
      <c r="CH9" t="str">
        <f t="shared" si="42"/>
        <v>G217</v>
      </c>
      <c r="CI9" t="str">
        <f>AE8</f>
        <v>G497</v>
      </c>
      <c r="CJ9" t="str">
        <f t="shared" si="29"/>
        <v>G497</v>
      </c>
      <c r="CK9" t="s">
        <v>1833</v>
      </c>
      <c r="CL9" t="s">
        <v>1833</v>
      </c>
      <c r="CM9" t="s">
        <v>1833</v>
      </c>
      <c r="CN9" t="b">
        <f t="shared" si="43"/>
        <v>1</v>
      </c>
      <c r="CO9" t="str">
        <f t="shared" si="30"/>
        <v>R103</v>
      </c>
      <c r="CP9" t="str">
        <f t="shared" si="44"/>
        <v>R103</v>
      </c>
      <c r="CQ9" t="str">
        <f>AF8</f>
        <v>R502</v>
      </c>
      <c r="CR9" t="str">
        <f t="shared" si="31"/>
        <v>R502</v>
      </c>
      <c r="CS9" t="s">
        <v>1038</v>
      </c>
      <c r="CT9" t="s">
        <v>1038</v>
      </c>
      <c r="CU9" t="s">
        <v>1038</v>
      </c>
      <c r="CV9" t="b">
        <f t="shared" si="45"/>
        <v>1</v>
      </c>
      <c r="CW9" s="400" t="s">
        <v>1461</v>
      </c>
      <c r="CX9" s="400" t="b">
        <f t="shared" si="52"/>
        <v>0</v>
      </c>
      <c r="CY9" s="400" t="s">
        <v>741</v>
      </c>
      <c r="CZ9" s="400" t="b">
        <f t="shared" si="46"/>
        <v>0</v>
      </c>
      <c r="DC9" t="str">
        <f t="shared" si="32"/>
        <v>G497</v>
      </c>
      <c r="DD9" t="b">
        <f t="shared" si="47"/>
        <v>0</v>
      </c>
      <c r="DE9" t="str">
        <f t="shared" si="48"/>
        <v>G497</v>
      </c>
      <c r="DF9" t="str">
        <f t="shared" si="33"/>
        <v>R502</v>
      </c>
      <c r="DG9" t="b">
        <f t="shared" si="49"/>
        <v>0</v>
      </c>
      <c r="DH9" t="str">
        <f t="shared" si="50"/>
        <v>R502</v>
      </c>
    </row>
    <row r="10" spans="2:115" ht="12" customHeight="1">
      <c r="B10" t="str">
        <f>TBIDry!H82</f>
        <v>G106</v>
      </c>
      <c r="C10" t="str">
        <f>TBIDry!I82</f>
        <v>R762</v>
      </c>
      <c r="D10" t="b">
        <f t="shared" si="1"/>
        <v>0</v>
      </c>
      <c r="E10" t="b">
        <f t="shared" si="2"/>
        <v>0</v>
      </c>
      <c r="G10" t="str">
        <f>TBIWet!H82</f>
        <v>G452</v>
      </c>
      <c r="H10" t="str">
        <f>TBIWet!I82</f>
        <v>R531</v>
      </c>
      <c r="I10" t="b">
        <f t="shared" si="3"/>
        <v>0</v>
      </c>
      <c r="J10" t="b">
        <f t="shared" si="34"/>
        <v>0</v>
      </c>
      <c r="L10" t="str">
        <f>'Both teabags AfterWet'!A8</f>
        <v>G240</v>
      </c>
      <c r="M10" t="str">
        <f>'Both teabags AfterWet'!A428</f>
        <v>R105</v>
      </c>
      <c r="N10" t="b">
        <f t="shared" si="4"/>
        <v>0</v>
      </c>
      <c r="O10" t="b">
        <f t="shared" si="51"/>
        <v>0</v>
      </c>
      <c r="Q10" s="395" t="b">
        <f t="shared" si="5"/>
        <v>0</v>
      </c>
      <c r="R10" s="395" t="b">
        <f t="shared" si="6"/>
        <v>0</v>
      </c>
      <c r="T10" t="str">
        <f>'Both teabags AfterDry'!A8</f>
        <v>G107</v>
      </c>
      <c r="U10" t="str">
        <f>'Both teabags AfterDry'!A343</f>
        <v>R131</v>
      </c>
      <c r="V10" t="b">
        <f t="shared" si="7"/>
        <v>0</v>
      </c>
      <c r="W10" t="b">
        <f t="shared" si="35"/>
        <v>0</v>
      </c>
      <c r="Y10" t="str">
        <f>'Green_rooibos initial weight'!A11</f>
        <v>G7</v>
      </c>
      <c r="Z10" t="str">
        <f>'Green_rooibos initial weight'!A915</f>
        <v>R7</v>
      </c>
      <c r="AA10" t="b">
        <f t="shared" si="8"/>
        <v>0</v>
      </c>
      <c r="AB10" t="b">
        <f t="shared" si="9"/>
        <v>0</v>
      </c>
      <c r="AE10" t="str">
        <f>'WetLitterbags placem_collection'!K9</f>
        <v>G452</v>
      </c>
      <c r="AF10" t="str">
        <f>'WetLitterbags placem_collection'!M9</f>
        <v>R531</v>
      </c>
      <c r="AG10" t="b">
        <f t="shared" si="10"/>
        <v>0</v>
      </c>
      <c r="AH10" t="b">
        <f t="shared" si="11"/>
        <v>0</v>
      </c>
      <c r="AJ10" t="b">
        <f t="shared" si="12"/>
        <v>0</v>
      </c>
      <c r="AK10" t="b">
        <f t="shared" si="13"/>
        <v>0</v>
      </c>
      <c r="AM10" t="str">
        <f>IF(ISBLANK('Dry_Litterbag Placem_Collection'!J9),"","G"&amp;""&amp;'Dry_Litterbag Placem_Collection'!J9)</f>
        <v>G106</v>
      </c>
      <c r="AN10" t="str">
        <f>IF(ISBLANK('Dry_Litterbag Placem_Collection'!K9),"","R"&amp;""&amp;'Dry_Litterbag Placem_Collection'!K9)</f>
        <v>R762</v>
      </c>
      <c r="AO10" t="b">
        <f t="shared" si="53"/>
        <v>0</v>
      </c>
      <c r="AP10" t="b">
        <f t="shared" si="15"/>
        <v>0</v>
      </c>
      <c r="AS10" t="str">
        <f>'Ashed teabags dry'!A8</f>
        <v>G107</v>
      </c>
      <c r="AT10" t="str">
        <f>'Ashed teabags dry'!A343</f>
        <v>R131</v>
      </c>
      <c r="AU10" t="b">
        <f t="shared" si="16"/>
        <v>0</v>
      </c>
      <c r="AV10" t="b">
        <f>COUNTIF($AT$4:$AT$2000, AT10)&gt;1</f>
        <v>0</v>
      </c>
      <c r="AX10" s="395" t="b">
        <f t="shared" si="17"/>
        <v>0</v>
      </c>
      <c r="AY10" s="395" t="b">
        <f t="shared" si="18"/>
        <v>0</v>
      </c>
      <c r="BA10" t="str">
        <f>'Ashed teabags wet'!A8</f>
        <v>G240</v>
      </c>
      <c r="BB10" t="str">
        <f>'Ashed teabags wet'!A428</f>
        <v>R105</v>
      </c>
      <c r="BC10" t="b">
        <f t="shared" si="19"/>
        <v>0</v>
      </c>
      <c r="BD10" t="b">
        <f t="shared" si="0"/>
        <v>0</v>
      </c>
      <c r="BF10" t="str">
        <f t="shared" si="20"/>
        <v>G106</v>
      </c>
      <c r="BG10" t="str">
        <f>T9</f>
        <v>G106</v>
      </c>
      <c r="BH10" t="str">
        <f t="shared" si="21"/>
        <v>G478</v>
      </c>
      <c r="BI10" t="str">
        <f t="shared" si="36"/>
        <v/>
      </c>
      <c r="BJ10" t="s">
        <v>1944</v>
      </c>
      <c r="BK10" t="s">
        <v>1944</v>
      </c>
      <c r="BL10" t="s">
        <v>1944</v>
      </c>
      <c r="BM10" t="b">
        <f t="shared" si="37"/>
        <v>1</v>
      </c>
      <c r="BN10" t="str">
        <f t="shared" si="22"/>
        <v>R13</v>
      </c>
      <c r="BO10" t="str">
        <f>U9</f>
        <v>R13</v>
      </c>
      <c r="BP10" t="str">
        <f t="shared" si="23"/>
        <v>R688</v>
      </c>
      <c r="BQ10" t="str">
        <f t="shared" si="24"/>
        <v/>
      </c>
      <c r="BR10" t="s">
        <v>1128</v>
      </c>
      <c r="BS10" t="s">
        <v>1128</v>
      </c>
      <c r="BT10" t="s">
        <v>1128</v>
      </c>
      <c r="BU10" t="b">
        <f t="shared" si="38"/>
        <v>1</v>
      </c>
      <c r="BV10" s="180" t="s">
        <v>1555</v>
      </c>
      <c r="BW10" s="180" t="s">
        <v>408</v>
      </c>
      <c r="BZ10" t="str">
        <f t="shared" si="25"/>
        <v>G478</v>
      </c>
      <c r="CA10" t="b">
        <f t="shared" si="26"/>
        <v>1</v>
      </c>
      <c r="CB10" t="str">
        <f t="shared" si="39"/>
        <v/>
      </c>
      <c r="CC10" t="str">
        <f t="shared" si="27"/>
        <v>R688</v>
      </c>
      <c r="CD10" t="b">
        <f t="shared" si="40"/>
        <v>1</v>
      </c>
      <c r="CE10" t="str">
        <f t="shared" si="41"/>
        <v/>
      </c>
      <c r="CG10" t="str">
        <f t="shared" si="28"/>
        <v>G222</v>
      </c>
      <c r="CH10" t="str">
        <f t="shared" si="42"/>
        <v>G222</v>
      </c>
      <c r="CI10" t="str">
        <f>AE9</f>
        <v>G447</v>
      </c>
      <c r="CJ10" t="str">
        <f t="shared" si="29"/>
        <v>G447</v>
      </c>
      <c r="CK10" t="s">
        <v>1828</v>
      </c>
      <c r="CL10" t="s">
        <v>1828</v>
      </c>
      <c r="CM10" t="s">
        <v>1828</v>
      </c>
      <c r="CN10" t="b">
        <f t="shared" si="43"/>
        <v>1</v>
      </c>
      <c r="CO10" t="str">
        <f t="shared" si="30"/>
        <v>R104</v>
      </c>
      <c r="CP10" t="str">
        <f t="shared" si="44"/>
        <v>R104</v>
      </c>
      <c r="CQ10" t="str">
        <f>AF9</f>
        <v>R177</v>
      </c>
      <c r="CR10" t="str">
        <f t="shared" si="31"/>
        <v>R177</v>
      </c>
      <c r="CS10" t="s">
        <v>1037</v>
      </c>
      <c r="CT10" t="s">
        <v>1037</v>
      </c>
      <c r="CU10" t="s">
        <v>1037</v>
      </c>
      <c r="CV10" t="b">
        <f t="shared" si="45"/>
        <v>1</v>
      </c>
      <c r="CW10" s="400" t="s">
        <v>1516</v>
      </c>
      <c r="CX10" s="400" t="b">
        <f xml:space="preserve"> COUNTIF($CG$5:$CG$2000,#REF!)&gt;1</f>
        <v>0</v>
      </c>
      <c r="CY10" s="400" t="s">
        <v>756</v>
      </c>
      <c r="CZ10" s="400" t="b">
        <f t="shared" si="46"/>
        <v>0</v>
      </c>
      <c r="DC10" t="str">
        <f t="shared" si="32"/>
        <v>G447</v>
      </c>
      <c r="DD10" t="b">
        <f t="shared" si="47"/>
        <v>0</v>
      </c>
      <c r="DE10" t="str">
        <f t="shared" si="48"/>
        <v>G447</v>
      </c>
      <c r="DF10" t="str">
        <f t="shared" si="33"/>
        <v>R177</v>
      </c>
      <c r="DG10" t="b">
        <f t="shared" si="49"/>
        <v>0</v>
      </c>
      <c r="DH10" t="str">
        <f t="shared" si="50"/>
        <v>R177</v>
      </c>
    </row>
    <row r="11" spans="2:115" ht="12" customHeight="1">
      <c r="B11" t="str">
        <f>TBIDry!H83</f>
        <v>G228</v>
      </c>
      <c r="C11" t="str">
        <f>TBIDry!I83</f>
        <v>R727</v>
      </c>
      <c r="D11" t="b">
        <f t="shared" si="1"/>
        <v>0</v>
      </c>
      <c r="E11" t="b">
        <f t="shared" si="2"/>
        <v>0</v>
      </c>
      <c r="G11" t="str">
        <f>TBIWet!H83</f>
        <v>G389</v>
      </c>
      <c r="H11" t="str">
        <f>TBIWet!I83</f>
        <v>R406</v>
      </c>
      <c r="I11" t="b">
        <f t="shared" si="3"/>
        <v>0</v>
      </c>
      <c r="J11" t="b">
        <f t="shared" si="34"/>
        <v>0</v>
      </c>
      <c r="L11" t="str">
        <f>'Both teabags AfterWet'!A9</f>
        <v>G241</v>
      </c>
      <c r="M11" t="str">
        <f>'Both teabags AfterWet'!A429</f>
        <v>R107</v>
      </c>
      <c r="N11" t="b">
        <f t="shared" si="4"/>
        <v>0</v>
      </c>
      <c r="O11" t="b">
        <f t="shared" si="51"/>
        <v>0</v>
      </c>
      <c r="Q11" s="395" t="b">
        <f t="shared" si="5"/>
        <v>0</v>
      </c>
      <c r="R11" s="395" t="b">
        <f t="shared" si="6"/>
        <v>0</v>
      </c>
      <c r="T11" t="str">
        <f>'Both teabags AfterDry'!A9</f>
        <v>G109</v>
      </c>
      <c r="U11" t="str">
        <f>'Both teabags AfterDry'!A344</f>
        <v>R140</v>
      </c>
      <c r="V11" t="b">
        <f t="shared" si="7"/>
        <v>0</v>
      </c>
      <c r="W11" t="b">
        <f t="shared" si="35"/>
        <v>0</v>
      </c>
      <c r="Y11" t="str">
        <f>'Green_rooibos initial weight'!A12</f>
        <v>G8</v>
      </c>
      <c r="Z11" t="str">
        <f>'Green_rooibos initial weight'!A916</f>
        <v>R8</v>
      </c>
      <c r="AA11" t="b">
        <f t="shared" si="8"/>
        <v>0</v>
      </c>
      <c r="AB11" t="b">
        <f t="shared" si="9"/>
        <v>0</v>
      </c>
      <c r="AE11" t="str">
        <f>'WetLitterbags placem_collection'!K10</f>
        <v>G389</v>
      </c>
      <c r="AF11" t="str">
        <f>'WetLitterbags placem_collection'!M10</f>
        <v>R406</v>
      </c>
      <c r="AG11" t="b">
        <f t="shared" si="10"/>
        <v>0</v>
      </c>
      <c r="AH11" t="b">
        <f t="shared" si="11"/>
        <v>0</v>
      </c>
      <c r="AJ11" t="b">
        <f t="shared" si="12"/>
        <v>0</v>
      </c>
      <c r="AK11" t="b">
        <f t="shared" si="13"/>
        <v>0</v>
      </c>
      <c r="AM11" t="str">
        <f>IF(ISBLANK('Dry_Litterbag Placem_Collection'!J10),"","G"&amp;""&amp;'Dry_Litterbag Placem_Collection'!J10)</f>
        <v>G228</v>
      </c>
      <c r="AN11" t="str">
        <f>IF(ISBLANK('Dry_Litterbag Placem_Collection'!K10),"","R"&amp;""&amp;'Dry_Litterbag Placem_Collection'!K10)</f>
        <v>R727</v>
      </c>
      <c r="AO11" t="b">
        <f t="shared" si="53"/>
        <v>0</v>
      </c>
      <c r="AP11" t="b">
        <f t="shared" si="15"/>
        <v>0</v>
      </c>
      <c r="AS11" t="str">
        <f>'Ashed teabags dry'!A9</f>
        <v>G109</v>
      </c>
      <c r="AT11" t="str">
        <f>'Ashed teabags dry'!A344</f>
        <v>R140</v>
      </c>
      <c r="AU11" t="b">
        <f t="shared" si="16"/>
        <v>0</v>
      </c>
      <c r="AV11" t="b">
        <f>COUNTIF($AT$4:$AT$2000, AT11)&gt;1</f>
        <v>0</v>
      </c>
      <c r="AX11" s="395" t="b">
        <f t="shared" si="17"/>
        <v>0</v>
      </c>
      <c r="AY11" s="395" t="b">
        <f t="shared" si="18"/>
        <v>0</v>
      </c>
      <c r="BA11" t="str">
        <f>'Ashed teabags wet'!A9</f>
        <v>G241</v>
      </c>
      <c r="BB11" t="str">
        <f>'Ashed teabags wet'!A429</f>
        <v>R107</v>
      </c>
      <c r="BC11" t="b">
        <f t="shared" si="19"/>
        <v>0</v>
      </c>
      <c r="BD11" t="b">
        <f t="shared" si="0"/>
        <v>0</v>
      </c>
      <c r="BF11" t="str">
        <f t="shared" si="20"/>
        <v>G107</v>
      </c>
      <c r="BG11" t="str">
        <f>T10</f>
        <v>G107</v>
      </c>
      <c r="BH11" t="str">
        <f t="shared" si="21"/>
        <v>G106</v>
      </c>
      <c r="BI11" t="str">
        <f t="shared" si="36"/>
        <v>G106</v>
      </c>
      <c r="BJ11" t="s">
        <v>1943</v>
      </c>
      <c r="BK11" t="s">
        <v>1943</v>
      </c>
      <c r="BL11" t="s">
        <v>1943</v>
      </c>
      <c r="BM11" t="b">
        <f t="shared" si="37"/>
        <v>1</v>
      </c>
      <c r="BN11" t="str">
        <f t="shared" si="22"/>
        <v>R131</v>
      </c>
      <c r="BO11" t="str">
        <f>U10</f>
        <v>R131</v>
      </c>
      <c r="BP11" t="str">
        <f t="shared" si="23"/>
        <v>R762</v>
      </c>
      <c r="BQ11" t="str">
        <f t="shared" si="24"/>
        <v>R762</v>
      </c>
      <c r="BR11" t="s">
        <v>1010</v>
      </c>
      <c r="BS11" t="s">
        <v>1010</v>
      </c>
      <c r="BT11" t="s">
        <v>1010</v>
      </c>
      <c r="BU11" t="b">
        <f t="shared" si="38"/>
        <v>1</v>
      </c>
      <c r="BV11" s="180" t="s">
        <v>1729</v>
      </c>
      <c r="BW11" s="180" t="s">
        <v>409</v>
      </c>
      <c r="BZ11" t="str">
        <f t="shared" si="25"/>
        <v>G106</v>
      </c>
      <c r="CA11" t="b">
        <f t="shared" si="26"/>
        <v>0</v>
      </c>
      <c r="CB11" t="str">
        <f t="shared" si="39"/>
        <v>G106</v>
      </c>
      <c r="CC11" t="str">
        <f t="shared" si="27"/>
        <v>R762</v>
      </c>
      <c r="CD11" t="b">
        <f t="shared" si="40"/>
        <v>0</v>
      </c>
      <c r="CE11" t="str">
        <f t="shared" si="41"/>
        <v>R762</v>
      </c>
      <c r="CG11" t="str">
        <f t="shared" si="28"/>
        <v>G240</v>
      </c>
      <c r="CH11" t="str">
        <f t="shared" si="42"/>
        <v>G240</v>
      </c>
      <c r="CI11" t="str">
        <f>AE10</f>
        <v>G452</v>
      </c>
      <c r="CJ11" t="str">
        <f t="shared" si="29"/>
        <v>G452</v>
      </c>
      <c r="CK11" t="s">
        <v>1810</v>
      </c>
      <c r="CL11" t="s">
        <v>1810</v>
      </c>
      <c r="CM11" t="s">
        <v>1810</v>
      </c>
      <c r="CN11" t="b">
        <f t="shared" si="43"/>
        <v>1</v>
      </c>
      <c r="CO11" t="str">
        <f t="shared" si="30"/>
        <v>R105</v>
      </c>
      <c r="CP11" t="str">
        <f t="shared" si="44"/>
        <v>R105</v>
      </c>
      <c r="CQ11" t="str">
        <f>AF10</f>
        <v>R531</v>
      </c>
      <c r="CR11" t="str">
        <f t="shared" si="31"/>
        <v>R531</v>
      </c>
      <c r="CS11" t="s">
        <v>1036</v>
      </c>
      <c r="CT11" t="s">
        <v>1036</v>
      </c>
      <c r="CU11" t="s">
        <v>1036</v>
      </c>
      <c r="CV11" t="b">
        <f t="shared" si="45"/>
        <v>1</v>
      </c>
      <c r="CW11" s="400" t="s">
        <v>1221</v>
      </c>
      <c r="CX11" s="400" t="b">
        <f t="shared" ref="CX11:CX17" si="54">COUNTIF($CG$5:$CG$2000, CW10)&gt;1</f>
        <v>0</v>
      </c>
      <c r="CY11" s="400" t="s">
        <v>897</v>
      </c>
      <c r="CZ11" s="400" t="b">
        <f t="shared" si="46"/>
        <v>0</v>
      </c>
      <c r="DC11" t="str">
        <f t="shared" si="32"/>
        <v>G452</v>
      </c>
      <c r="DD11" t="b">
        <f t="shared" si="47"/>
        <v>0</v>
      </c>
      <c r="DE11" t="str">
        <f t="shared" si="48"/>
        <v>G452</v>
      </c>
      <c r="DF11" t="str">
        <f t="shared" si="33"/>
        <v>R531</v>
      </c>
      <c r="DG11" t="b">
        <f t="shared" si="49"/>
        <v>0</v>
      </c>
      <c r="DH11" t="str">
        <f t="shared" si="50"/>
        <v>R531</v>
      </c>
    </row>
    <row r="12" spans="2:115" ht="12" customHeight="1">
      <c r="B12" t="str">
        <f>TBIDry!H84</f>
        <v>G277</v>
      </c>
      <c r="C12" t="str">
        <f>TBIDry!I84</f>
        <v>R785</v>
      </c>
      <c r="D12" t="b">
        <f t="shared" si="1"/>
        <v>0</v>
      </c>
      <c r="E12" t="b">
        <f t="shared" si="2"/>
        <v>0</v>
      </c>
      <c r="G12" t="str">
        <f>TBIWet!H84</f>
        <v>G514</v>
      </c>
      <c r="H12" t="str">
        <f>TBIWet!I84</f>
        <v>R169</v>
      </c>
      <c r="I12" t="b">
        <f t="shared" si="3"/>
        <v>0</v>
      </c>
      <c r="J12" t="b">
        <f t="shared" si="34"/>
        <v>0</v>
      </c>
      <c r="L12" t="str">
        <f>'Both teabags AfterWet'!A10</f>
        <v>G249</v>
      </c>
      <c r="M12" t="str">
        <f>'Both teabags AfterWet'!A430</f>
        <v>R109</v>
      </c>
      <c r="N12" t="b">
        <f t="shared" si="4"/>
        <v>0</v>
      </c>
      <c r="O12" t="b">
        <f t="shared" si="51"/>
        <v>0</v>
      </c>
      <c r="Q12" s="395" t="b">
        <f t="shared" si="5"/>
        <v>0</v>
      </c>
      <c r="R12" s="395" t="b">
        <f t="shared" si="6"/>
        <v>0</v>
      </c>
      <c r="T12" t="str">
        <f>'Both teabags AfterDry'!A10</f>
        <v>G11</v>
      </c>
      <c r="U12" t="str">
        <f>'Both teabags AfterDry'!A345</f>
        <v>R162</v>
      </c>
      <c r="V12" t="b">
        <f t="shared" si="7"/>
        <v>0</v>
      </c>
      <c r="W12" t="b">
        <f t="shared" si="35"/>
        <v>0</v>
      </c>
      <c r="Y12" t="str">
        <f>'Green_rooibos initial weight'!A13</f>
        <v>G9</v>
      </c>
      <c r="Z12" t="str">
        <f>'Green_rooibos initial weight'!A917</f>
        <v>R9</v>
      </c>
      <c r="AA12" t="b">
        <f t="shared" si="8"/>
        <v>0</v>
      </c>
      <c r="AB12" t="b">
        <f t="shared" si="9"/>
        <v>0</v>
      </c>
      <c r="AE12" t="str">
        <f>'WetLitterbags placem_collection'!K11</f>
        <v>G514</v>
      </c>
      <c r="AF12" t="str">
        <f>'WetLitterbags placem_collection'!M11</f>
        <v>R169</v>
      </c>
      <c r="AG12" t="b">
        <f t="shared" si="10"/>
        <v>0</v>
      </c>
      <c r="AH12" t="b">
        <f t="shared" si="11"/>
        <v>0</v>
      </c>
      <c r="AJ12" t="b">
        <f t="shared" si="12"/>
        <v>0</v>
      </c>
      <c r="AK12" t="b">
        <f t="shared" si="13"/>
        <v>0</v>
      </c>
      <c r="AM12" t="str">
        <f>IF(ISBLANK('Dry_Litterbag Placem_Collection'!J11),"","G"&amp;""&amp;'Dry_Litterbag Placem_Collection'!J11)</f>
        <v>G277</v>
      </c>
      <c r="AN12" t="str">
        <f>IF(ISBLANK('Dry_Litterbag Placem_Collection'!K11),"","R"&amp;""&amp;'Dry_Litterbag Placem_Collection'!K11)</f>
        <v>R785</v>
      </c>
      <c r="AO12" t="b">
        <f t="shared" si="53"/>
        <v>0</v>
      </c>
      <c r="AP12" t="b">
        <f t="shared" si="15"/>
        <v>0</v>
      </c>
      <c r="AS12" t="str">
        <f>'Ashed teabags dry'!A10</f>
        <v>G11</v>
      </c>
      <c r="AT12" t="str">
        <f>'Ashed teabags dry'!A345</f>
        <v>R162</v>
      </c>
      <c r="AU12" t="b">
        <f t="shared" si="16"/>
        <v>0</v>
      </c>
      <c r="AV12" t="b">
        <f>COUNTIF($AT$4:$AT$2000, AT12)&gt;1</f>
        <v>0</v>
      </c>
      <c r="AX12" s="395" t="b">
        <f t="shared" si="17"/>
        <v>0</v>
      </c>
      <c r="AY12" s="395" t="b">
        <f t="shared" si="18"/>
        <v>0</v>
      </c>
      <c r="BA12" t="str">
        <f>'Ashed teabags wet'!A10</f>
        <v>G249</v>
      </c>
      <c r="BB12" t="str">
        <f>'Ashed teabags wet'!A430</f>
        <v>R109</v>
      </c>
      <c r="BC12" t="b">
        <f t="shared" si="19"/>
        <v>0</v>
      </c>
      <c r="BD12" t="b">
        <f t="shared" si="0"/>
        <v>0</v>
      </c>
      <c r="BF12" t="str">
        <f t="shared" si="20"/>
        <v>G109</v>
      </c>
      <c r="BG12" t="str">
        <f>T11</f>
        <v>G109</v>
      </c>
      <c r="BH12" t="str">
        <f t="shared" si="21"/>
        <v>G228</v>
      </c>
      <c r="BI12" t="str">
        <f t="shared" si="36"/>
        <v>G228</v>
      </c>
      <c r="BJ12" t="s">
        <v>1941</v>
      </c>
      <c r="BK12" t="s">
        <v>1941</v>
      </c>
      <c r="BL12" t="s">
        <v>1941</v>
      </c>
      <c r="BM12" t="b">
        <f t="shared" si="37"/>
        <v>1</v>
      </c>
      <c r="BN12" t="str">
        <f t="shared" si="22"/>
        <v>R140</v>
      </c>
      <c r="BO12" t="str">
        <f>U11</f>
        <v>R140</v>
      </c>
      <c r="BP12" t="str">
        <f t="shared" si="23"/>
        <v>R727</v>
      </c>
      <c r="BQ12" t="str">
        <f t="shared" si="24"/>
        <v>R727</v>
      </c>
      <c r="BR12" t="s">
        <v>1001</v>
      </c>
      <c r="BS12" t="s">
        <v>1001</v>
      </c>
      <c r="BT12" t="s">
        <v>1001</v>
      </c>
      <c r="BU12" t="b">
        <f t="shared" si="38"/>
        <v>1</v>
      </c>
      <c r="BV12" s="180" t="s">
        <v>2019</v>
      </c>
      <c r="BW12" s="180" t="s">
        <v>401</v>
      </c>
      <c r="BZ12" t="str">
        <f t="shared" si="25"/>
        <v>G228</v>
      </c>
      <c r="CA12" t="b">
        <f t="shared" si="26"/>
        <v>0</v>
      </c>
      <c r="CB12" t="str">
        <f t="shared" si="39"/>
        <v>G228</v>
      </c>
      <c r="CC12" t="str">
        <f t="shared" si="27"/>
        <v>R727</v>
      </c>
      <c r="CD12" t="b">
        <f t="shared" si="40"/>
        <v>0</v>
      </c>
      <c r="CE12" t="str">
        <f t="shared" si="41"/>
        <v>R727</v>
      </c>
      <c r="CG12" t="str">
        <f t="shared" si="28"/>
        <v>G241</v>
      </c>
      <c r="CH12" t="str">
        <f t="shared" si="42"/>
        <v>G241</v>
      </c>
      <c r="CI12" t="str">
        <f>AE11</f>
        <v>G389</v>
      </c>
      <c r="CJ12" t="str">
        <f t="shared" si="29"/>
        <v>G389</v>
      </c>
      <c r="CK12" t="s">
        <v>1809</v>
      </c>
      <c r="CL12" t="s">
        <v>1809</v>
      </c>
      <c r="CM12" t="s">
        <v>1809</v>
      </c>
      <c r="CN12" t="b">
        <f t="shared" si="43"/>
        <v>1</v>
      </c>
      <c r="CO12" t="str">
        <f t="shared" si="30"/>
        <v>R107</v>
      </c>
      <c r="CP12" t="str">
        <f t="shared" si="44"/>
        <v>R107</v>
      </c>
      <c r="CQ12" t="str">
        <f>AF11</f>
        <v>R406</v>
      </c>
      <c r="CR12" t="str">
        <f t="shared" si="31"/>
        <v>R406</v>
      </c>
      <c r="CS12" t="s">
        <v>1034</v>
      </c>
      <c r="CT12" t="s">
        <v>1034</v>
      </c>
      <c r="CU12" t="s">
        <v>1034</v>
      </c>
      <c r="CV12" t="b">
        <f t="shared" si="45"/>
        <v>1</v>
      </c>
      <c r="CW12" s="400" t="s">
        <v>1389</v>
      </c>
      <c r="CX12" s="400" t="b">
        <f t="shared" si="54"/>
        <v>0</v>
      </c>
      <c r="CY12" s="400" t="s">
        <v>642</v>
      </c>
      <c r="CZ12" s="400" t="b">
        <f t="shared" si="46"/>
        <v>0</v>
      </c>
      <c r="DC12" t="str">
        <f t="shared" si="32"/>
        <v>G389</v>
      </c>
      <c r="DD12" t="b">
        <f t="shared" si="47"/>
        <v>0</v>
      </c>
      <c r="DE12" t="str">
        <f t="shared" si="48"/>
        <v>G389</v>
      </c>
      <c r="DF12" t="str">
        <f t="shared" si="33"/>
        <v>R406</v>
      </c>
      <c r="DG12" t="b">
        <f t="shared" si="49"/>
        <v>0</v>
      </c>
      <c r="DH12" t="str">
        <f t="shared" si="50"/>
        <v>R406</v>
      </c>
    </row>
    <row r="13" spans="2:115" ht="12" customHeight="1">
      <c r="B13" t="str">
        <f>TBIDry!H85</f>
        <v>G310</v>
      </c>
      <c r="C13" t="str">
        <f>TBIDry!I85</f>
        <v>R747</v>
      </c>
      <c r="D13" t="b">
        <f t="shared" si="1"/>
        <v>0</v>
      </c>
      <c r="E13" t="b">
        <f t="shared" si="2"/>
        <v>0</v>
      </c>
      <c r="G13" t="str">
        <f>TBIWet!H85</f>
        <v>G286</v>
      </c>
      <c r="H13" t="str">
        <f>TBIWet!I85</f>
        <v>R91</v>
      </c>
      <c r="I13" t="b">
        <f t="shared" si="3"/>
        <v>0</v>
      </c>
      <c r="J13" t="b">
        <f t="shared" si="34"/>
        <v>0</v>
      </c>
      <c r="L13" t="str">
        <f>'Both teabags AfterWet'!A11</f>
        <v>G251</v>
      </c>
      <c r="M13" t="str">
        <f>'Both teabags AfterWet'!A431</f>
        <v>R11</v>
      </c>
      <c r="N13" t="b">
        <f t="shared" si="4"/>
        <v>0</v>
      </c>
      <c r="O13" t="b">
        <f t="shared" si="51"/>
        <v>0</v>
      </c>
      <c r="Q13" s="395" t="b">
        <f t="shared" si="5"/>
        <v>0</v>
      </c>
      <c r="R13" s="395" t="b">
        <f t="shared" si="6"/>
        <v>0</v>
      </c>
      <c r="T13" t="str">
        <f>'Both teabags AfterDry'!A11</f>
        <v>G110</v>
      </c>
      <c r="U13" t="str">
        <f>'Both teabags AfterDry'!A346</f>
        <v>R163</v>
      </c>
      <c r="V13" t="b">
        <f t="shared" si="7"/>
        <v>0</v>
      </c>
      <c r="W13" t="b">
        <f t="shared" si="35"/>
        <v>0</v>
      </c>
      <c r="Y13" t="str">
        <f>'Green_rooibos initial weight'!A14</f>
        <v>G10</v>
      </c>
      <c r="Z13" t="str">
        <f>'Green_rooibos initial weight'!A918</f>
        <v>R10</v>
      </c>
      <c r="AA13" t="b">
        <f t="shared" si="8"/>
        <v>0</v>
      </c>
      <c r="AB13" t="b">
        <f t="shared" si="9"/>
        <v>0</v>
      </c>
      <c r="AE13" t="str">
        <f>'WetLitterbags placem_collection'!K12</f>
        <v>G286</v>
      </c>
      <c r="AF13" t="str">
        <f>'WetLitterbags placem_collection'!M12</f>
        <v>R91</v>
      </c>
      <c r="AG13" t="b">
        <f t="shared" si="10"/>
        <v>0</v>
      </c>
      <c r="AH13" t="b">
        <f t="shared" si="11"/>
        <v>0</v>
      </c>
      <c r="AJ13" t="b">
        <f t="shared" si="12"/>
        <v>0</v>
      </c>
      <c r="AK13" t="b">
        <f t="shared" si="13"/>
        <v>0</v>
      </c>
      <c r="AM13" t="str">
        <f>IF(ISBLANK('Dry_Litterbag Placem_Collection'!J12),"","G"&amp;""&amp;'Dry_Litterbag Placem_Collection'!J12)</f>
        <v>G310</v>
      </c>
      <c r="AN13" t="str">
        <f>IF(ISBLANK('Dry_Litterbag Placem_Collection'!K12),"","R"&amp;""&amp;'Dry_Litterbag Placem_Collection'!K12)</f>
        <v>R747</v>
      </c>
      <c r="AO13" t="b">
        <f t="shared" si="53"/>
        <v>0</v>
      </c>
      <c r="AP13" t="b">
        <f t="shared" si="15"/>
        <v>0</v>
      </c>
      <c r="AS13" t="str">
        <f>'Ashed teabags dry'!A11</f>
        <v>G110</v>
      </c>
      <c r="AT13" t="str">
        <f>'Ashed teabags dry'!A346</f>
        <v>R163</v>
      </c>
      <c r="AU13" t="b">
        <f t="shared" si="16"/>
        <v>0</v>
      </c>
      <c r="AV13" t="b">
        <f>COUNTIF($AT$4:$AT$2000, AT13)&gt;1</f>
        <v>0</v>
      </c>
      <c r="AX13" s="395" t="b">
        <f t="shared" si="17"/>
        <v>0</v>
      </c>
      <c r="AY13" s="395" t="b">
        <f t="shared" si="18"/>
        <v>0</v>
      </c>
      <c r="BA13" t="str">
        <f>'Ashed teabags wet'!A11</f>
        <v>G251</v>
      </c>
      <c r="BB13" t="str">
        <f>'Ashed teabags wet'!A431</f>
        <v>R11</v>
      </c>
      <c r="BC13" t="b">
        <f t="shared" si="19"/>
        <v>0</v>
      </c>
      <c r="BD13" t="b">
        <f t="shared" si="0"/>
        <v>0</v>
      </c>
      <c r="BF13" t="str">
        <f t="shared" si="20"/>
        <v>G11</v>
      </c>
      <c r="BG13" t="str">
        <f>T12</f>
        <v>G11</v>
      </c>
      <c r="BH13" t="str">
        <f t="shared" si="21"/>
        <v>G277</v>
      </c>
      <c r="BI13" t="str">
        <f t="shared" si="36"/>
        <v>G277</v>
      </c>
      <c r="BJ13" t="s">
        <v>2039</v>
      </c>
      <c r="BK13" t="s">
        <v>2039</v>
      </c>
      <c r="BL13" t="s">
        <v>2039</v>
      </c>
      <c r="BM13" t="b">
        <f t="shared" si="37"/>
        <v>1</v>
      </c>
      <c r="BN13" t="str">
        <f t="shared" si="22"/>
        <v>R162</v>
      </c>
      <c r="BO13" t="str">
        <f>U12</f>
        <v>R162</v>
      </c>
      <c r="BP13" t="str">
        <f t="shared" si="23"/>
        <v>R785</v>
      </c>
      <c r="BQ13" t="str">
        <f t="shared" si="24"/>
        <v>R785</v>
      </c>
      <c r="BR13" t="s">
        <v>979</v>
      </c>
      <c r="BS13" t="s">
        <v>979</v>
      </c>
      <c r="BT13" t="s">
        <v>979</v>
      </c>
      <c r="BU13" t="b">
        <f t="shared" si="38"/>
        <v>1</v>
      </c>
      <c r="BV13" s="180" t="s">
        <v>1786</v>
      </c>
      <c r="BW13" s="180" t="s">
        <v>372</v>
      </c>
      <c r="BZ13" t="str">
        <f t="shared" si="25"/>
        <v>G277</v>
      </c>
      <c r="CA13" t="b">
        <f t="shared" si="26"/>
        <v>0</v>
      </c>
      <c r="CB13" t="str">
        <f t="shared" si="39"/>
        <v>G277</v>
      </c>
      <c r="CC13" t="str">
        <f t="shared" si="27"/>
        <v>R785</v>
      </c>
      <c r="CD13" t="b">
        <f t="shared" si="40"/>
        <v>0</v>
      </c>
      <c r="CE13" t="str">
        <f t="shared" si="41"/>
        <v>R785</v>
      </c>
      <c r="CG13" t="str">
        <f t="shared" si="28"/>
        <v>G249</v>
      </c>
      <c r="CH13" t="str">
        <f t="shared" si="42"/>
        <v>G249</v>
      </c>
      <c r="CI13" t="str">
        <f>AE12</f>
        <v>G514</v>
      </c>
      <c r="CJ13" t="str">
        <f t="shared" si="29"/>
        <v>G514</v>
      </c>
      <c r="CK13" t="s">
        <v>1801</v>
      </c>
      <c r="CL13" t="s">
        <v>1801</v>
      </c>
      <c r="CM13" t="s">
        <v>1801</v>
      </c>
      <c r="CN13" t="b">
        <f t="shared" si="43"/>
        <v>1</v>
      </c>
      <c r="CO13" t="str">
        <f t="shared" si="30"/>
        <v>R109</v>
      </c>
      <c r="CP13" t="str">
        <f t="shared" si="44"/>
        <v>R109</v>
      </c>
      <c r="CQ13" t="str">
        <f>AF12</f>
        <v>R169</v>
      </c>
      <c r="CR13" t="str">
        <f t="shared" si="31"/>
        <v>R169</v>
      </c>
      <c r="CS13" t="s">
        <v>1032</v>
      </c>
      <c r="CT13" t="s">
        <v>1032</v>
      </c>
      <c r="CU13" t="s">
        <v>1032</v>
      </c>
      <c r="CV13" t="b">
        <f t="shared" si="45"/>
        <v>1</v>
      </c>
      <c r="CW13" s="424" t="s">
        <v>1540</v>
      </c>
      <c r="CX13" s="400" t="b">
        <f t="shared" si="54"/>
        <v>0</v>
      </c>
      <c r="CY13" s="400" t="s">
        <v>643</v>
      </c>
      <c r="CZ13" s="400" t="b">
        <f t="shared" si="46"/>
        <v>0</v>
      </c>
      <c r="DC13" t="str">
        <f t="shared" si="32"/>
        <v>G514</v>
      </c>
      <c r="DD13" t="b">
        <f t="shared" si="47"/>
        <v>0</v>
      </c>
      <c r="DE13" t="str">
        <f t="shared" si="48"/>
        <v>G514</v>
      </c>
      <c r="DF13" t="str">
        <f t="shared" si="33"/>
        <v>R169</v>
      </c>
      <c r="DG13" t="b">
        <f t="shared" si="49"/>
        <v>0</v>
      </c>
      <c r="DH13" t="str">
        <f t="shared" si="50"/>
        <v>R169</v>
      </c>
    </row>
    <row r="14" spans="2:115" ht="12" customHeight="1">
      <c r="B14" t="str">
        <f>TBIDry!H86</f>
        <v>G435</v>
      </c>
      <c r="C14" t="str">
        <f>TBIDry!I86</f>
        <v>R748</v>
      </c>
      <c r="D14" t="b">
        <f t="shared" si="1"/>
        <v>0</v>
      </c>
      <c r="E14" t="b">
        <f t="shared" si="2"/>
        <v>0</v>
      </c>
      <c r="G14" t="str">
        <f>TBIWet!H86</f>
        <v>G543</v>
      </c>
      <c r="H14" t="str">
        <f>TBIWet!I86</f>
        <v>R446</v>
      </c>
      <c r="I14" t="b">
        <f t="shared" si="3"/>
        <v>0</v>
      </c>
      <c r="J14" t="b">
        <f t="shared" si="34"/>
        <v>0</v>
      </c>
      <c r="L14" t="str">
        <f>'Both teabags AfterWet'!A12</f>
        <v>G269</v>
      </c>
      <c r="M14" t="str">
        <f>'Both teabags AfterWet'!A432</f>
        <v>R110</v>
      </c>
      <c r="N14" t="b">
        <f t="shared" si="4"/>
        <v>0</v>
      </c>
      <c r="O14" t="b">
        <f t="shared" si="51"/>
        <v>0</v>
      </c>
      <c r="Q14" s="395" t="b">
        <f t="shared" si="5"/>
        <v>0</v>
      </c>
      <c r="R14" s="395" t="b">
        <f t="shared" si="6"/>
        <v>0</v>
      </c>
      <c r="T14" t="str">
        <f>'Both teabags AfterDry'!A12</f>
        <v>G111</v>
      </c>
      <c r="U14" t="str">
        <f>'Both teabags AfterDry'!A347</f>
        <v>R170</v>
      </c>
      <c r="V14" t="b">
        <f t="shared" si="7"/>
        <v>0</v>
      </c>
      <c r="W14" t="b">
        <f t="shared" si="35"/>
        <v>0</v>
      </c>
      <c r="Y14" t="str">
        <f>'Green_rooibos initial weight'!A15</f>
        <v>G11</v>
      </c>
      <c r="Z14" t="str">
        <f>'Green_rooibos initial weight'!A919</f>
        <v>R11</v>
      </c>
      <c r="AA14" t="b">
        <f t="shared" si="8"/>
        <v>0</v>
      </c>
      <c r="AB14" t="b">
        <f t="shared" si="9"/>
        <v>0</v>
      </c>
      <c r="AE14" t="str">
        <f>'WetLitterbags placem_collection'!K13</f>
        <v>G543</v>
      </c>
      <c r="AF14" t="str">
        <f>'WetLitterbags placem_collection'!M13</f>
        <v>R446</v>
      </c>
      <c r="AG14" t="b">
        <f t="shared" si="10"/>
        <v>0</v>
      </c>
      <c r="AH14" t="b">
        <f t="shared" si="11"/>
        <v>0</v>
      </c>
      <c r="AJ14" t="b">
        <f t="shared" si="12"/>
        <v>0</v>
      </c>
      <c r="AK14" t="b">
        <f t="shared" si="13"/>
        <v>0</v>
      </c>
      <c r="AM14" t="str">
        <f>IF(ISBLANK('Dry_Litterbag Placem_Collection'!J13),"","G"&amp;""&amp;'Dry_Litterbag Placem_Collection'!J13)</f>
        <v>G435</v>
      </c>
      <c r="AN14" t="str">
        <f>IF(ISBLANK('Dry_Litterbag Placem_Collection'!K13),"","R"&amp;""&amp;'Dry_Litterbag Placem_Collection'!K13)</f>
        <v>R748</v>
      </c>
      <c r="AO14" t="b">
        <f t="shared" si="53"/>
        <v>0</v>
      </c>
      <c r="AP14" t="b">
        <f t="shared" si="15"/>
        <v>0</v>
      </c>
      <c r="AS14" t="str">
        <f>'Ashed teabags dry'!A12</f>
        <v>G111</v>
      </c>
      <c r="AT14" t="str">
        <f>'Ashed teabags dry'!A347</f>
        <v>R170</v>
      </c>
      <c r="AU14" t="b">
        <f t="shared" si="16"/>
        <v>0</v>
      </c>
      <c r="AV14" t="b">
        <f>COUNTIF($AT$4:$AT$2000, AT14)&gt;1</f>
        <v>0</v>
      </c>
      <c r="AX14" s="395" t="b">
        <f t="shared" si="17"/>
        <v>0</v>
      </c>
      <c r="AY14" s="395" t="b">
        <f t="shared" si="18"/>
        <v>0</v>
      </c>
      <c r="BA14" t="str">
        <f>'Ashed teabags wet'!A12</f>
        <v>G269</v>
      </c>
      <c r="BB14" t="str">
        <f>'Ashed teabags wet'!A432</f>
        <v>R110</v>
      </c>
      <c r="BC14" t="b">
        <f t="shared" si="19"/>
        <v>0</v>
      </c>
      <c r="BD14" t="b">
        <f t="shared" si="0"/>
        <v>0</v>
      </c>
      <c r="BF14" t="str">
        <f t="shared" si="20"/>
        <v>G110</v>
      </c>
      <c r="BG14" t="str">
        <f>T13</f>
        <v>G110</v>
      </c>
      <c r="BH14" t="str">
        <f t="shared" si="21"/>
        <v>G310</v>
      </c>
      <c r="BI14" t="str">
        <f t="shared" si="36"/>
        <v/>
      </c>
      <c r="BJ14" t="s">
        <v>1940</v>
      </c>
      <c r="BK14" t="s">
        <v>1940</v>
      </c>
      <c r="BL14" t="s">
        <v>1940</v>
      </c>
      <c r="BM14" t="b">
        <f t="shared" si="37"/>
        <v>1</v>
      </c>
      <c r="BN14" t="str">
        <f t="shared" si="22"/>
        <v>R163</v>
      </c>
      <c r="BO14" t="str">
        <f>U13</f>
        <v>R163</v>
      </c>
      <c r="BP14" t="str">
        <f t="shared" si="23"/>
        <v>R747</v>
      </c>
      <c r="BQ14" t="str">
        <f t="shared" si="24"/>
        <v/>
      </c>
      <c r="BR14" t="s">
        <v>978</v>
      </c>
      <c r="BS14" t="s">
        <v>978</v>
      </c>
      <c r="BT14" t="s">
        <v>978</v>
      </c>
      <c r="BU14" t="b">
        <f t="shared" si="38"/>
        <v>1</v>
      </c>
      <c r="BV14" s="180" t="s">
        <v>1517</v>
      </c>
      <c r="BW14" s="180" t="s">
        <v>394</v>
      </c>
      <c r="BZ14" t="str">
        <f t="shared" si="25"/>
        <v>G310</v>
      </c>
      <c r="CA14" t="b">
        <f t="shared" si="26"/>
        <v>1</v>
      </c>
      <c r="CB14" t="str">
        <f t="shared" si="39"/>
        <v/>
      </c>
      <c r="CC14" t="str">
        <f t="shared" si="27"/>
        <v>R747</v>
      </c>
      <c r="CD14" t="b">
        <f t="shared" si="40"/>
        <v>1</v>
      </c>
      <c r="CE14" t="str">
        <f t="shared" si="41"/>
        <v/>
      </c>
      <c r="CG14" t="str">
        <f t="shared" si="28"/>
        <v>G251</v>
      </c>
      <c r="CH14" t="str">
        <f t="shared" si="42"/>
        <v>G251</v>
      </c>
      <c r="CI14" t="str">
        <f>AE13</f>
        <v>G286</v>
      </c>
      <c r="CJ14" t="str">
        <f t="shared" si="29"/>
        <v>G286</v>
      </c>
      <c r="CK14" t="s">
        <v>1799</v>
      </c>
      <c r="CL14" t="s">
        <v>1799</v>
      </c>
      <c r="CM14" t="s">
        <v>1799</v>
      </c>
      <c r="CN14" t="b">
        <f t="shared" si="43"/>
        <v>1</v>
      </c>
      <c r="CO14" t="str">
        <f t="shared" si="30"/>
        <v>R11</v>
      </c>
      <c r="CP14" t="str">
        <f t="shared" si="44"/>
        <v>R11</v>
      </c>
      <c r="CQ14" t="str">
        <f>AF13</f>
        <v>R91</v>
      </c>
      <c r="CR14" t="str">
        <f t="shared" si="31"/>
        <v>R91</v>
      </c>
      <c r="CS14" t="s">
        <v>1130</v>
      </c>
      <c r="CT14" t="s">
        <v>1130</v>
      </c>
      <c r="CU14" t="s">
        <v>1130</v>
      </c>
      <c r="CV14" t="b">
        <f t="shared" si="45"/>
        <v>1</v>
      </c>
      <c r="CW14" s="400" t="s">
        <v>1623</v>
      </c>
      <c r="CX14" s="400" t="b">
        <f t="shared" si="54"/>
        <v>0</v>
      </c>
      <c r="CY14" s="400" t="s">
        <v>1018</v>
      </c>
      <c r="CZ14" s="400" t="b">
        <f t="shared" si="46"/>
        <v>0</v>
      </c>
      <c r="DC14" t="str">
        <f t="shared" si="32"/>
        <v>G286</v>
      </c>
      <c r="DD14" t="b">
        <f t="shared" si="47"/>
        <v>0</v>
      </c>
      <c r="DE14" t="str">
        <f t="shared" si="48"/>
        <v>G286</v>
      </c>
      <c r="DF14" t="str">
        <f t="shared" si="33"/>
        <v>R91</v>
      </c>
      <c r="DG14" t="b">
        <f t="shared" si="49"/>
        <v>0</v>
      </c>
      <c r="DH14" t="str">
        <f t="shared" si="50"/>
        <v>R91</v>
      </c>
    </row>
    <row r="15" spans="2:115" ht="12" customHeight="1">
      <c r="B15" t="str">
        <f>TBIDry!H87</f>
        <v/>
      </c>
      <c r="C15" t="str">
        <f>TBIDry!I87</f>
        <v/>
      </c>
      <c r="D15" t="b">
        <f t="shared" si="1"/>
        <v>1</v>
      </c>
      <c r="E15" t="b">
        <f t="shared" si="2"/>
        <v>1</v>
      </c>
      <c r="G15" t="str">
        <f>TBIWet!H87</f>
        <v>G590</v>
      </c>
      <c r="H15" t="str">
        <f>TBIWet!I87</f>
        <v>R409</v>
      </c>
      <c r="I15" t="b">
        <f t="shared" si="3"/>
        <v>0</v>
      </c>
      <c r="J15" t="b">
        <f t="shared" si="34"/>
        <v>0</v>
      </c>
      <c r="L15" t="str">
        <f>'Both teabags AfterWet'!A13</f>
        <v>G281</v>
      </c>
      <c r="M15" t="str">
        <f>'Both teabags AfterWet'!A433</f>
        <v>R111</v>
      </c>
      <c r="N15" t="b">
        <f t="shared" si="4"/>
        <v>0</v>
      </c>
      <c r="O15" t="b">
        <f t="shared" si="51"/>
        <v>0</v>
      </c>
      <c r="Q15" s="395" t="b">
        <f t="shared" si="5"/>
        <v>0</v>
      </c>
      <c r="R15" s="395" t="b">
        <f t="shared" si="6"/>
        <v>0</v>
      </c>
      <c r="T15" t="str">
        <f>'Both teabags AfterDry'!A13</f>
        <v>G113</v>
      </c>
      <c r="U15" t="str">
        <f>'Both teabags AfterDry'!A348</f>
        <v>R173</v>
      </c>
      <c r="V15" t="b">
        <f t="shared" si="7"/>
        <v>0</v>
      </c>
      <c r="W15" t="b">
        <f t="shared" si="35"/>
        <v>0</v>
      </c>
      <c r="Y15" t="str">
        <f>'Green_rooibos initial weight'!A16</f>
        <v>G12</v>
      </c>
      <c r="Z15" t="str">
        <f>'Green_rooibos initial weight'!A920</f>
        <v>R12</v>
      </c>
      <c r="AA15" t="b">
        <f t="shared" si="8"/>
        <v>0</v>
      </c>
      <c r="AB15" t="b">
        <f t="shared" si="9"/>
        <v>0</v>
      </c>
      <c r="AE15" t="str">
        <f>'WetLitterbags placem_collection'!K14</f>
        <v>G590</v>
      </c>
      <c r="AF15" t="str">
        <f>'WetLitterbags placem_collection'!M14</f>
        <v>R409</v>
      </c>
      <c r="AG15" t="b">
        <f t="shared" si="10"/>
        <v>0</v>
      </c>
      <c r="AH15" t="b">
        <f t="shared" si="11"/>
        <v>0</v>
      </c>
      <c r="AJ15" t="b">
        <f t="shared" si="12"/>
        <v>0</v>
      </c>
      <c r="AK15" t="b">
        <f t="shared" si="13"/>
        <v>0</v>
      </c>
      <c r="AM15" t="str">
        <f>IF(ISBLANK('Dry_Litterbag Placem_Collection'!J14),"","G"&amp;""&amp;'Dry_Litterbag Placem_Collection'!J14)</f>
        <v/>
      </c>
      <c r="AN15" t="str">
        <f>IF(ISBLANK('Dry_Litterbag Placem_Collection'!K14),"","R"&amp;""&amp;'Dry_Litterbag Placem_Collection'!K14)</f>
        <v/>
      </c>
      <c r="AO15" t="b">
        <f t="shared" si="53"/>
        <v>1</v>
      </c>
      <c r="AP15" t="b">
        <f t="shared" si="15"/>
        <v>1</v>
      </c>
      <c r="AS15" t="str">
        <f>'Ashed teabags dry'!A13</f>
        <v>G113</v>
      </c>
      <c r="AT15" t="str">
        <f>'Ashed teabags dry'!A348</f>
        <v>R173</v>
      </c>
      <c r="AU15" t="b">
        <f t="shared" si="16"/>
        <v>0</v>
      </c>
      <c r="AV15" t="b">
        <f>COUNTIF($AT$4:$AT$2000, AT15)&gt;1</f>
        <v>0</v>
      </c>
      <c r="AX15" s="395" t="b">
        <f t="shared" si="17"/>
        <v>0</v>
      </c>
      <c r="AY15" s="395" t="b">
        <f t="shared" si="18"/>
        <v>0</v>
      </c>
      <c r="BA15" t="str">
        <f>'Ashed teabags wet'!A13</f>
        <v>G281</v>
      </c>
      <c r="BB15" t="str">
        <f>'Ashed teabags wet'!A433</f>
        <v>R111</v>
      </c>
      <c r="BC15" t="b">
        <f t="shared" si="19"/>
        <v>0</v>
      </c>
      <c r="BD15" t="b">
        <f t="shared" si="0"/>
        <v>0</v>
      </c>
      <c r="BF15" t="str">
        <f t="shared" si="20"/>
        <v>G111</v>
      </c>
      <c r="BG15" t="str">
        <f>T14</f>
        <v>G111</v>
      </c>
      <c r="BH15" t="str">
        <f t="shared" si="21"/>
        <v>G435</v>
      </c>
      <c r="BI15" t="str">
        <f t="shared" si="36"/>
        <v>G435</v>
      </c>
      <c r="BJ15" t="s">
        <v>1939</v>
      </c>
      <c r="BK15" t="s">
        <v>1939</v>
      </c>
      <c r="BL15" t="s">
        <v>1939</v>
      </c>
      <c r="BM15" t="b">
        <f t="shared" si="37"/>
        <v>1</v>
      </c>
      <c r="BN15" t="str">
        <f t="shared" si="22"/>
        <v>R170</v>
      </c>
      <c r="BO15" t="str">
        <f>U14</f>
        <v>R170</v>
      </c>
      <c r="BP15" t="str">
        <f t="shared" si="23"/>
        <v>R748</v>
      </c>
      <c r="BQ15" t="str">
        <f t="shared" si="24"/>
        <v>R748</v>
      </c>
      <c r="BR15" t="s">
        <v>971</v>
      </c>
      <c r="BS15" t="s">
        <v>971</v>
      </c>
      <c r="BT15" t="s">
        <v>971</v>
      </c>
      <c r="BU15" t="b">
        <f t="shared" si="38"/>
        <v>1</v>
      </c>
      <c r="BV15" s="180" t="s">
        <v>1770</v>
      </c>
      <c r="BW15" s="180" t="s">
        <v>317</v>
      </c>
      <c r="BZ15" t="str">
        <f t="shared" si="25"/>
        <v>G435</v>
      </c>
      <c r="CA15" t="b">
        <f t="shared" si="26"/>
        <v>0</v>
      </c>
      <c r="CB15" t="str">
        <f t="shared" si="39"/>
        <v>G435</v>
      </c>
      <c r="CC15" t="str">
        <f t="shared" si="27"/>
        <v>R748</v>
      </c>
      <c r="CD15" t="b">
        <f t="shared" si="40"/>
        <v>0</v>
      </c>
      <c r="CE15" t="str">
        <f t="shared" si="41"/>
        <v>R748</v>
      </c>
      <c r="CG15" t="str">
        <f t="shared" si="28"/>
        <v>G269</v>
      </c>
      <c r="CH15" t="str">
        <f t="shared" si="42"/>
        <v>G269</v>
      </c>
      <c r="CI15" t="str">
        <f>AE14</f>
        <v>G543</v>
      </c>
      <c r="CJ15" t="str">
        <f t="shared" si="29"/>
        <v>G543</v>
      </c>
      <c r="CK15" t="s">
        <v>1781</v>
      </c>
      <c r="CL15" t="s">
        <v>1781</v>
      </c>
      <c r="CM15" t="s">
        <v>1781</v>
      </c>
      <c r="CN15" t="b">
        <f t="shared" si="43"/>
        <v>1</v>
      </c>
      <c r="CO15" t="str">
        <f t="shared" si="30"/>
        <v>R110</v>
      </c>
      <c r="CP15" t="str">
        <f t="shared" si="44"/>
        <v>R110</v>
      </c>
      <c r="CQ15" t="str">
        <f>AF14</f>
        <v>R446</v>
      </c>
      <c r="CR15" t="str">
        <f t="shared" si="31"/>
        <v>R446</v>
      </c>
      <c r="CS15" t="s">
        <v>1031</v>
      </c>
      <c r="CT15" t="s">
        <v>1031</v>
      </c>
      <c r="CU15" t="s">
        <v>1031</v>
      </c>
      <c r="CV15" t="b">
        <f t="shared" si="45"/>
        <v>1</v>
      </c>
      <c r="CW15" s="400" t="s">
        <v>1367</v>
      </c>
      <c r="CX15" s="400" t="b">
        <f t="shared" si="54"/>
        <v>0</v>
      </c>
      <c r="CY15" s="400" t="s">
        <v>1039</v>
      </c>
      <c r="CZ15" s="400" t="b">
        <f t="shared" si="46"/>
        <v>0</v>
      </c>
      <c r="DC15" t="str">
        <f t="shared" si="32"/>
        <v>G543</v>
      </c>
      <c r="DD15" t="b">
        <f t="shared" si="47"/>
        <v>0</v>
      </c>
      <c r="DE15" t="str">
        <f t="shared" si="48"/>
        <v>G543</v>
      </c>
      <c r="DF15" t="str">
        <f t="shared" si="33"/>
        <v>R446</v>
      </c>
      <c r="DG15" t="b">
        <f t="shared" si="49"/>
        <v>0</v>
      </c>
      <c r="DH15" t="str">
        <f t="shared" si="50"/>
        <v>R446</v>
      </c>
    </row>
    <row r="16" spans="2:115" ht="12" customHeight="1">
      <c r="B16" t="str">
        <f>TBIDry!H88</f>
        <v>G2</v>
      </c>
      <c r="C16" t="str">
        <f>TBIDry!I88</f>
        <v>R784</v>
      </c>
      <c r="D16" t="b">
        <f t="shared" si="1"/>
        <v>0</v>
      </c>
      <c r="E16" t="b">
        <f t="shared" si="2"/>
        <v>0</v>
      </c>
      <c r="G16" t="str">
        <f>TBIWet!H88</f>
        <v>G595</v>
      </c>
      <c r="H16" t="str">
        <f>TBIWet!I88</f>
        <v>R450</v>
      </c>
      <c r="I16" t="b">
        <f t="shared" si="3"/>
        <v>0</v>
      </c>
      <c r="J16" t="b">
        <f t="shared" si="34"/>
        <v>0</v>
      </c>
      <c r="L16" t="str">
        <f>'Both teabags AfterWet'!A14</f>
        <v>G282</v>
      </c>
      <c r="M16" t="str">
        <f>'Both teabags AfterWet'!A434</f>
        <v>R112</v>
      </c>
      <c r="N16" t="b">
        <f t="shared" si="4"/>
        <v>0</v>
      </c>
      <c r="O16" t="b">
        <f t="shared" si="51"/>
        <v>0</v>
      </c>
      <c r="Q16" s="395" t="b">
        <f t="shared" si="5"/>
        <v>0</v>
      </c>
      <c r="R16" s="395" t="b">
        <f t="shared" si="6"/>
        <v>0</v>
      </c>
      <c r="T16" t="str">
        <f>'Both teabags AfterDry'!A14</f>
        <v>G115</v>
      </c>
      <c r="U16" t="str">
        <f>'Both teabags AfterDry'!A349</f>
        <v>R174</v>
      </c>
      <c r="V16" t="b">
        <f t="shared" si="7"/>
        <v>0</v>
      </c>
      <c r="W16" t="b">
        <f t="shared" si="35"/>
        <v>0</v>
      </c>
      <c r="Y16" t="str">
        <f>'Green_rooibos initial weight'!A17</f>
        <v>G13</v>
      </c>
      <c r="Z16" t="str">
        <f>'Green_rooibos initial weight'!A921</f>
        <v>R13</v>
      </c>
      <c r="AA16" t="b">
        <f t="shared" si="8"/>
        <v>0</v>
      </c>
      <c r="AB16" t="b">
        <f t="shared" si="9"/>
        <v>0</v>
      </c>
      <c r="AE16" t="str">
        <f>'WetLitterbags placem_collection'!K15</f>
        <v>G595</v>
      </c>
      <c r="AF16" t="str">
        <f>'WetLitterbags placem_collection'!M15</f>
        <v>R450</v>
      </c>
      <c r="AG16" t="b">
        <f t="shared" si="10"/>
        <v>0</v>
      </c>
      <c r="AH16" t="b">
        <f t="shared" si="11"/>
        <v>0</v>
      </c>
      <c r="AJ16" t="b">
        <f t="shared" si="12"/>
        <v>0</v>
      </c>
      <c r="AK16" t="b">
        <f t="shared" si="13"/>
        <v>0</v>
      </c>
      <c r="AM16" t="str">
        <f>IF(ISBLANK('Dry_Litterbag Placem_Collection'!J15),"","G"&amp;""&amp;'Dry_Litterbag Placem_Collection'!J15)</f>
        <v>G2</v>
      </c>
      <c r="AN16" t="str">
        <f>IF(ISBLANK('Dry_Litterbag Placem_Collection'!K15),"","R"&amp;""&amp;'Dry_Litterbag Placem_Collection'!K15)</f>
        <v>R784</v>
      </c>
      <c r="AO16" t="b">
        <f t="shared" si="53"/>
        <v>0</v>
      </c>
      <c r="AP16" t="b">
        <f t="shared" si="15"/>
        <v>0</v>
      </c>
      <c r="AS16" t="str">
        <f>'Ashed teabags dry'!A14</f>
        <v>G115</v>
      </c>
      <c r="AT16" t="str">
        <f>'Ashed teabags dry'!A349</f>
        <v>R174</v>
      </c>
      <c r="AU16" t="b">
        <f t="shared" si="16"/>
        <v>0</v>
      </c>
      <c r="AV16" t="b">
        <f>COUNTIF($AT$4:$AT$2000, AT16)&gt;1</f>
        <v>0</v>
      </c>
      <c r="AX16" s="395" t="b">
        <f t="shared" si="17"/>
        <v>0</v>
      </c>
      <c r="AY16" s="395" t="b">
        <f t="shared" si="18"/>
        <v>0</v>
      </c>
      <c r="BA16" t="str">
        <f>'Ashed teabags wet'!A14</f>
        <v>G282</v>
      </c>
      <c r="BB16" t="str">
        <f>'Ashed teabags wet'!A434</f>
        <v>R112</v>
      </c>
      <c r="BC16" t="b">
        <f t="shared" si="19"/>
        <v>0</v>
      </c>
      <c r="BD16" t="b">
        <f t="shared" si="0"/>
        <v>0</v>
      </c>
      <c r="BF16" t="str">
        <f t="shared" si="20"/>
        <v>G113</v>
      </c>
      <c r="BG16" t="str">
        <f>T15</f>
        <v>G113</v>
      </c>
      <c r="BH16" t="str">
        <f t="shared" si="21"/>
        <v/>
      </c>
      <c r="BI16" t="str">
        <f t="shared" si="36"/>
        <v/>
      </c>
      <c r="BJ16" t="s">
        <v>1937</v>
      </c>
      <c r="BK16" t="s">
        <v>1937</v>
      </c>
      <c r="BL16" t="s">
        <v>1937</v>
      </c>
      <c r="BM16" t="b">
        <f t="shared" si="37"/>
        <v>1</v>
      </c>
      <c r="BN16" t="str">
        <f t="shared" si="22"/>
        <v>R173</v>
      </c>
      <c r="BO16" t="str">
        <f>U15</f>
        <v>R173</v>
      </c>
      <c r="BP16" t="str">
        <f t="shared" si="23"/>
        <v/>
      </c>
      <c r="BQ16" t="str">
        <f t="shared" si="24"/>
        <v/>
      </c>
      <c r="BR16" t="s">
        <v>968</v>
      </c>
      <c r="BS16" t="s">
        <v>968</v>
      </c>
      <c r="BT16" t="s">
        <v>968</v>
      </c>
      <c r="BU16" t="b">
        <f t="shared" si="38"/>
        <v>1</v>
      </c>
      <c r="BV16" s="180" t="s">
        <v>1780</v>
      </c>
      <c r="BW16" s="180" t="s">
        <v>322</v>
      </c>
      <c r="BZ16" t="str">
        <f t="shared" si="25"/>
        <v/>
      </c>
      <c r="CA16" t="b">
        <f t="shared" si="26"/>
        <v>0</v>
      </c>
      <c r="CB16" t="str">
        <f t="shared" si="39"/>
        <v/>
      </c>
      <c r="CC16" t="str">
        <f t="shared" si="27"/>
        <v/>
      </c>
      <c r="CD16" t="b">
        <f t="shared" si="40"/>
        <v>0</v>
      </c>
      <c r="CE16" t="str">
        <f t="shared" si="41"/>
        <v/>
      </c>
      <c r="CG16" t="str">
        <f t="shared" si="28"/>
        <v>G281</v>
      </c>
      <c r="CH16" t="str">
        <f t="shared" si="42"/>
        <v>G281</v>
      </c>
      <c r="CI16" t="str">
        <f>AE15</f>
        <v>G590</v>
      </c>
      <c r="CJ16" t="str">
        <f t="shared" si="29"/>
        <v/>
      </c>
      <c r="CK16" t="s">
        <v>1769</v>
      </c>
      <c r="CL16" t="s">
        <v>1769</v>
      </c>
      <c r="CM16" t="s">
        <v>1769</v>
      </c>
      <c r="CN16" t="b">
        <f t="shared" si="43"/>
        <v>1</v>
      </c>
      <c r="CO16" t="str">
        <f t="shared" si="30"/>
        <v>R111</v>
      </c>
      <c r="CP16" t="str">
        <f t="shared" si="44"/>
        <v>R111</v>
      </c>
      <c r="CQ16" t="str">
        <f>AF15</f>
        <v>R409</v>
      </c>
      <c r="CR16" t="str">
        <f t="shared" si="31"/>
        <v/>
      </c>
      <c r="CS16" t="s">
        <v>1030</v>
      </c>
      <c r="CT16" t="s">
        <v>1030</v>
      </c>
      <c r="CU16" t="s">
        <v>1030</v>
      </c>
      <c r="CV16" t="b">
        <f t="shared" si="45"/>
        <v>1</v>
      </c>
      <c r="CW16" s="400" t="s">
        <v>1762</v>
      </c>
      <c r="CX16" s="400" t="b">
        <f t="shared" si="54"/>
        <v>0</v>
      </c>
      <c r="CY16" s="400" t="s">
        <v>1028</v>
      </c>
      <c r="CZ16" s="400" t="b">
        <f t="shared" si="46"/>
        <v>0</v>
      </c>
      <c r="DC16" t="str">
        <f t="shared" si="32"/>
        <v>G590</v>
      </c>
      <c r="DD16" t="b">
        <f t="shared" si="47"/>
        <v>1</v>
      </c>
      <c r="DE16" t="str">
        <f t="shared" si="48"/>
        <v/>
      </c>
      <c r="DF16" t="str">
        <f t="shared" si="33"/>
        <v>R409</v>
      </c>
      <c r="DG16" t="b">
        <f t="shared" si="49"/>
        <v>1</v>
      </c>
      <c r="DH16" t="str">
        <f t="shared" si="50"/>
        <v/>
      </c>
    </row>
    <row r="17" spans="2:112" ht="12" customHeight="1">
      <c r="B17" t="str">
        <f>TBIDry!H89</f>
        <v>G225</v>
      </c>
      <c r="C17" t="str">
        <f>TBIDry!I89</f>
        <v>R838</v>
      </c>
      <c r="D17" t="b">
        <f t="shared" si="1"/>
        <v>0</v>
      </c>
      <c r="E17" t="b">
        <f t="shared" si="2"/>
        <v>0</v>
      </c>
      <c r="G17" t="str">
        <f>TBIWet!H89</f>
        <v>G609</v>
      </c>
      <c r="H17" t="str">
        <f>TBIWet!I89</f>
        <v>R382</v>
      </c>
      <c r="I17" t="b">
        <f t="shared" si="3"/>
        <v>0</v>
      </c>
      <c r="J17" t="b">
        <f t="shared" si="34"/>
        <v>0</v>
      </c>
      <c r="L17" t="str">
        <f>'Both teabags AfterWet'!A15</f>
        <v>G283</v>
      </c>
      <c r="M17" t="str">
        <f>'Both teabags AfterWet'!A435</f>
        <v>R114</v>
      </c>
      <c r="N17" t="b">
        <f t="shared" si="4"/>
        <v>0</v>
      </c>
      <c r="O17" t="b">
        <f t="shared" si="51"/>
        <v>0</v>
      </c>
      <c r="Q17" s="395" t="b">
        <f t="shared" si="5"/>
        <v>0</v>
      </c>
      <c r="R17" s="395" t="b">
        <f t="shared" si="6"/>
        <v>0</v>
      </c>
      <c r="T17" t="str">
        <f>'Both teabags AfterDry'!A15</f>
        <v>G116</v>
      </c>
      <c r="U17" t="str">
        <f>'Both teabags AfterDry'!A350</f>
        <v>R175</v>
      </c>
      <c r="V17" t="b">
        <f t="shared" si="7"/>
        <v>0</v>
      </c>
      <c r="W17" t="b">
        <f t="shared" si="35"/>
        <v>0</v>
      </c>
      <c r="Y17" t="str">
        <f>'Green_rooibos initial weight'!A18</f>
        <v>G14</v>
      </c>
      <c r="Z17" t="str">
        <f>'Green_rooibos initial weight'!A922</f>
        <v>R14</v>
      </c>
      <c r="AA17" t="b">
        <f t="shared" si="8"/>
        <v>0</v>
      </c>
      <c r="AB17" t="b">
        <f t="shared" si="9"/>
        <v>0</v>
      </c>
      <c r="AE17" t="str">
        <f>'WetLitterbags placem_collection'!K16</f>
        <v>G609</v>
      </c>
      <c r="AF17" t="str">
        <f>'WetLitterbags placem_collection'!M16</f>
        <v>R382</v>
      </c>
      <c r="AG17" t="b">
        <f t="shared" si="10"/>
        <v>0</v>
      </c>
      <c r="AH17" t="b">
        <f t="shared" si="11"/>
        <v>0</v>
      </c>
      <c r="AJ17" t="b">
        <f t="shared" si="12"/>
        <v>0</v>
      </c>
      <c r="AK17" t="b">
        <f t="shared" si="13"/>
        <v>0</v>
      </c>
      <c r="AM17" t="str">
        <f>IF(ISBLANK('Dry_Litterbag Placem_Collection'!J16),"","G"&amp;""&amp;'Dry_Litterbag Placem_Collection'!J16)</f>
        <v>G225</v>
      </c>
      <c r="AN17" t="str">
        <f>IF(ISBLANK('Dry_Litterbag Placem_Collection'!K16),"","R"&amp;""&amp;'Dry_Litterbag Placem_Collection'!K16)</f>
        <v>R838</v>
      </c>
      <c r="AO17" t="b">
        <f t="shared" si="53"/>
        <v>0</v>
      </c>
      <c r="AP17" t="b">
        <f t="shared" si="15"/>
        <v>0</v>
      </c>
      <c r="AS17" t="str">
        <f>'Ashed teabags dry'!A15</f>
        <v>G116</v>
      </c>
      <c r="AT17" t="str">
        <f>'Ashed teabags dry'!A350</f>
        <v>R175</v>
      </c>
      <c r="AU17" t="b">
        <f t="shared" si="16"/>
        <v>0</v>
      </c>
      <c r="AV17" t="b">
        <f>COUNTIF($AT$4:$AT$2000, AT17)&gt;1</f>
        <v>0</v>
      </c>
      <c r="AX17" s="395" t="b">
        <f t="shared" si="17"/>
        <v>0</v>
      </c>
      <c r="AY17" s="395" t="b">
        <f t="shared" si="18"/>
        <v>0</v>
      </c>
      <c r="BA17" t="str">
        <f>'Ashed teabags wet'!A15</f>
        <v>G283</v>
      </c>
      <c r="BB17" t="str">
        <f>'Ashed teabags wet'!A435</f>
        <v>R114</v>
      </c>
      <c r="BC17" t="b">
        <f t="shared" si="19"/>
        <v>0</v>
      </c>
      <c r="BD17" t="b">
        <f t="shared" si="0"/>
        <v>0</v>
      </c>
      <c r="BF17" t="str">
        <f t="shared" si="20"/>
        <v>G115</v>
      </c>
      <c r="BG17" t="str">
        <f>T16</f>
        <v>G115</v>
      </c>
      <c r="BH17" t="str">
        <f t="shared" si="21"/>
        <v>G2</v>
      </c>
      <c r="BI17" t="str">
        <f t="shared" si="36"/>
        <v>G2</v>
      </c>
      <c r="BJ17" t="s">
        <v>1935</v>
      </c>
      <c r="BK17" t="s">
        <v>1935</v>
      </c>
      <c r="BL17" t="s">
        <v>1935</v>
      </c>
      <c r="BM17" t="b">
        <f t="shared" si="37"/>
        <v>1</v>
      </c>
      <c r="BN17" t="str">
        <f t="shared" si="22"/>
        <v>R174</v>
      </c>
      <c r="BO17" t="str">
        <f>U16</f>
        <v>R174</v>
      </c>
      <c r="BP17" t="str">
        <f t="shared" si="23"/>
        <v>R784</v>
      </c>
      <c r="BQ17" t="str">
        <f t="shared" si="24"/>
        <v>R784</v>
      </c>
      <c r="BR17" t="s">
        <v>967</v>
      </c>
      <c r="BS17" t="s">
        <v>967</v>
      </c>
      <c r="BT17" t="s">
        <v>967</v>
      </c>
      <c r="BU17" t="b">
        <f t="shared" si="38"/>
        <v>1</v>
      </c>
      <c r="BV17" s="180" t="s">
        <v>1963</v>
      </c>
      <c r="BW17" s="180" t="s">
        <v>305</v>
      </c>
      <c r="BZ17" t="str">
        <f t="shared" si="25"/>
        <v>G2</v>
      </c>
      <c r="CA17" t="b">
        <f t="shared" si="26"/>
        <v>0</v>
      </c>
      <c r="CB17" t="str">
        <f t="shared" si="39"/>
        <v>G2</v>
      </c>
      <c r="CC17" t="str">
        <f t="shared" si="27"/>
        <v>R784</v>
      </c>
      <c r="CD17" t="b">
        <f t="shared" si="40"/>
        <v>0</v>
      </c>
      <c r="CE17" t="str">
        <f t="shared" si="41"/>
        <v>R784</v>
      </c>
      <c r="CG17" t="str">
        <f t="shared" si="28"/>
        <v>G282</v>
      </c>
      <c r="CH17" t="str">
        <f t="shared" si="42"/>
        <v>G282</v>
      </c>
      <c r="CI17" t="str">
        <f>AE16</f>
        <v>G595</v>
      </c>
      <c r="CJ17" t="str">
        <f t="shared" si="29"/>
        <v>G595</v>
      </c>
      <c r="CK17" t="s">
        <v>1768</v>
      </c>
      <c r="CL17" t="s">
        <v>1768</v>
      </c>
      <c r="CM17" t="s">
        <v>1768</v>
      </c>
      <c r="CN17" t="b">
        <f t="shared" si="43"/>
        <v>1</v>
      </c>
      <c r="CO17" t="str">
        <f t="shared" si="30"/>
        <v>R112</v>
      </c>
      <c r="CP17" t="str">
        <f t="shared" si="44"/>
        <v>R112</v>
      </c>
      <c r="CQ17" t="str">
        <f>AF16</f>
        <v>R450</v>
      </c>
      <c r="CR17" t="str">
        <f t="shared" si="31"/>
        <v>R450</v>
      </c>
      <c r="CS17" t="s">
        <v>1029</v>
      </c>
      <c r="CT17" t="s">
        <v>1029</v>
      </c>
      <c r="CU17" t="s">
        <v>1029</v>
      </c>
      <c r="CV17" t="b">
        <f t="shared" si="45"/>
        <v>1</v>
      </c>
      <c r="CW17" s="400" t="s">
        <v>1462</v>
      </c>
      <c r="CX17" s="400" t="b">
        <f t="shared" si="54"/>
        <v>0</v>
      </c>
      <c r="CY17" s="400" t="s">
        <v>700</v>
      </c>
      <c r="CZ17" s="400" t="b">
        <f t="shared" si="46"/>
        <v>0</v>
      </c>
      <c r="DC17" t="str">
        <f t="shared" si="32"/>
        <v>G595</v>
      </c>
      <c r="DD17" t="b">
        <f t="shared" si="47"/>
        <v>0</v>
      </c>
      <c r="DE17" t="str">
        <f t="shared" si="48"/>
        <v>G595</v>
      </c>
      <c r="DF17" t="str">
        <f t="shared" si="33"/>
        <v>R450</v>
      </c>
      <c r="DG17" t="b">
        <f t="shared" si="49"/>
        <v>0</v>
      </c>
      <c r="DH17" t="str">
        <f t="shared" si="50"/>
        <v>R450</v>
      </c>
    </row>
    <row r="18" spans="2:112" ht="12" customHeight="1">
      <c r="B18" t="str">
        <f>TBIDry!H90</f>
        <v>G444</v>
      </c>
      <c r="C18" t="str">
        <f>TBIDry!I90</f>
        <v>R793</v>
      </c>
      <c r="D18" t="b">
        <f t="shared" si="1"/>
        <v>0</v>
      </c>
      <c r="E18" t="b">
        <f t="shared" si="2"/>
        <v>0</v>
      </c>
      <c r="G18" t="str">
        <f>TBIWet!H90</f>
        <v>G222</v>
      </c>
      <c r="H18" t="str">
        <f>TBIWet!I90</f>
        <v>R415</v>
      </c>
      <c r="I18" t="b">
        <f t="shared" si="3"/>
        <v>0</v>
      </c>
      <c r="J18" t="b">
        <f t="shared" si="34"/>
        <v>0</v>
      </c>
      <c r="L18" t="str">
        <f>'Both teabags AfterWet'!A16</f>
        <v>G286</v>
      </c>
      <c r="M18" t="str">
        <f>'Both teabags AfterWet'!A436</f>
        <v>R115</v>
      </c>
      <c r="N18" t="b">
        <f t="shared" si="4"/>
        <v>0</v>
      </c>
      <c r="O18" t="b">
        <f t="shared" si="51"/>
        <v>0</v>
      </c>
      <c r="Q18" s="395" t="b">
        <f t="shared" si="5"/>
        <v>0</v>
      </c>
      <c r="R18" s="395" t="b">
        <f t="shared" si="6"/>
        <v>0</v>
      </c>
      <c r="T18" t="str">
        <f>'Both teabags AfterDry'!A16</f>
        <v>G118</v>
      </c>
      <c r="U18" t="str">
        <f>'Both teabags AfterDry'!A351</f>
        <v>R178</v>
      </c>
      <c r="V18" t="b">
        <f t="shared" si="7"/>
        <v>0</v>
      </c>
      <c r="W18" t="b">
        <f t="shared" si="35"/>
        <v>0</v>
      </c>
      <c r="Y18" t="str">
        <f>'Green_rooibos initial weight'!A19</f>
        <v>G15</v>
      </c>
      <c r="Z18" t="str">
        <f>'Green_rooibos initial weight'!A923</f>
        <v>R15</v>
      </c>
      <c r="AA18" t="b">
        <f t="shared" si="8"/>
        <v>0</v>
      </c>
      <c r="AB18" t="b">
        <f t="shared" si="9"/>
        <v>0</v>
      </c>
      <c r="AE18" t="str">
        <f>'WetLitterbags placem_collection'!K17</f>
        <v>G222</v>
      </c>
      <c r="AF18" t="str">
        <f>'WetLitterbags placem_collection'!M17</f>
        <v>R415</v>
      </c>
      <c r="AG18" t="b">
        <f t="shared" si="10"/>
        <v>0</v>
      </c>
      <c r="AH18" t="b">
        <f t="shared" si="11"/>
        <v>0</v>
      </c>
      <c r="AJ18" t="b">
        <f t="shared" si="12"/>
        <v>0</v>
      </c>
      <c r="AK18" t="b">
        <f t="shared" si="13"/>
        <v>0</v>
      </c>
      <c r="AM18" t="str">
        <f>IF(ISBLANK('Dry_Litterbag Placem_Collection'!J17),"","G"&amp;""&amp;'Dry_Litterbag Placem_Collection'!J17)</f>
        <v>G444</v>
      </c>
      <c r="AN18" t="str">
        <f>IF(ISBLANK('Dry_Litterbag Placem_Collection'!K17),"","R"&amp;""&amp;'Dry_Litterbag Placem_Collection'!K17)</f>
        <v>R793</v>
      </c>
      <c r="AO18" t="b">
        <f t="shared" si="53"/>
        <v>0</v>
      </c>
      <c r="AP18" t="b">
        <f t="shared" si="15"/>
        <v>0</v>
      </c>
      <c r="AS18" t="str">
        <f>'Ashed teabags dry'!A16</f>
        <v>G118</v>
      </c>
      <c r="AT18" t="str">
        <f>'Ashed teabags dry'!A351</f>
        <v>R178</v>
      </c>
      <c r="AU18" t="b">
        <f t="shared" si="16"/>
        <v>0</v>
      </c>
      <c r="AV18" t="b">
        <f>COUNTIF($AT$4:$AT$2000, AT18)&gt;1</f>
        <v>0</v>
      </c>
      <c r="AX18" s="395" t="b">
        <f t="shared" si="17"/>
        <v>0</v>
      </c>
      <c r="AY18" s="395" t="b">
        <f t="shared" si="18"/>
        <v>0</v>
      </c>
      <c r="BA18" t="str">
        <f>'Ashed teabags wet'!A16</f>
        <v>G286</v>
      </c>
      <c r="BB18" t="str">
        <f>'Ashed teabags wet'!A436</f>
        <v>R115</v>
      </c>
      <c r="BC18" t="b">
        <f t="shared" si="19"/>
        <v>0</v>
      </c>
      <c r="BD18" t="b">
        <f t="shared" si="0"/>
        <v>0</v>
      </c>
      <c r="BF18" t="str">
        <f t="shared" si="20"/>
        <v>G116</v>
      </c>
      <c r="BG18" t="str">
        <f>T17</f>
        <v>G116</v>
      </c>
      <c r="BH18" t="str">
        <f t="shared" si="21"/>
        <v>G225</v>
      </c>
      <c r="BI18" t="str">
        <f t="shared" si="36"/>
        <v>G225</v>
      </c>
      <c r="BJ18" t="s">
        <v>1934</v>
      </c>
      <c r="BK18" t="s">
        <v>1934</v>
      </c>
      <c r="BL18" t="s">
        <v>1934</v>
      </c>
      <c r="BM18" t="b">
        <f t="shared" si="37"/>
        <v>1</v>
      </c>
      <c r="BN18" t="str">
        <f t="shared" si="22"/>
        <v>R175</v>
      </c>
      <c r="BO18" t="str">
        <f>U17</f>
        <v>R175</v>
      </c>
      <c r="BP18" t="str">
        <f t="shared" si="23"/>
        <v>R838</v>
      </c>
      <c r="BQ18" t="str">
        <f t="shared" si="24"/>
        <v>R838</v>
      </c>
      <c r="BR18" t="s">
        <v>966</v>
      </c>
      <c r="BS18" t="s">
        <v>966</v>
      </c>
      <c r="BT18" t="s">
        <v>966</v>
      </c>
      <c r="BU18" t="b">
        <f t="shared" si="38"/>
        <v>1</v>
      </c>
      <c r="BV18" s="180" t="s">
        <v>1778</v>
      </c>
      <c r="BW18" s="180" t="s">
        <v>471</v>
      </c>
      <c r="BZ18" t="str">
        <f t="shared" si="25"/>
        <v>G225</v>
      </c>
      <c r="CA18" t="b">
        <f t="shared" si="26"/>
        <v>0</v>
      </c>
      <c r="CB18" t="str">
        <f t="shared" si="39"/>
        <v>G225</v>
      </c>
      <c r="CC18" t="str">
        <f t="shared" si="27"/>
        <v>R838</v>
      </c>
      <c r="CD18" t="b">
        <f t="shared" si="40"/>
        <v>0</v>
      </c>
      <c r="CE18" t="str">
        <f t="shared" si="41"/>
        <v>R838</v>
      </c>
      <c r="CG18" t="str">
        <f t="shared" si="28"/>
        <v>G283</v>
      </c>
      <c r="CH18" t="str">
        <f t="shared" si="42"/>
        <v>G283</v>
      </c>
      <c r="CI18" t="str">
        <f>AE17</f>
        <v>G609</v>
      </c>
      <c r="CJ18" t="str">
        <f t="shared" si="29"/>
        <v>G609</v>
      </c>
      <c r="CK18" t="s">
        <v>1767</v>
      </c>
      <c r="CL18" t="s">
        <v>1767</v>
      </c>
      <c r="CM18" t="s">
        <v>1767</v>
      </c>
      <c r="CN18" t="b">
        <f t="shared" si="43"/>
        <v>1</v>
      </c>
      <c r="CO18" t="str">
        <f t="shared" si="30"/>
        <v>R114</v>
      </c>
      <c r="CP18" t="str">
        <f t="shared" si="44"/>
        <v>R114</v>
      </c>
      <c r="CQ18" t="str">
        <f>AF17</f>
        <v>R382</v>
      </c>
      <c r="CR18" t="str">
        <f t="shared" si="31"/>
        <v>R382</v>
      </c>
      <c r="CS18" t="s">
        <v>1027</v>
      </c>
      <c r="CT18" t="s">
        <v>1027</v>
      </c>
      <c r="CU18" t="s">
        <v>1027</v>
      </c>
      <c r="CV18" t="b">
        <f t="shared" si="45"/>
        <v>1</v>
      </c>
      <c r="CW18" s="400" t="s">
        <v>1319</v>
      </c>
      <c r="CX18" s="400" t="b">
        <f xml:space="preserve"> COUNTIF($CG$5:$CG$2000,#REF!)&gt;1</f>
        <v>0</v>
      </c>
      <c r="CY18" s="400" t="s">
        <v>783</v>
      </c>
      <c r="CZ18" s="400" t="b">
        <f>COUNTIF(CO:CO, CY18)&gt;1</f>
        <v>0</v>
      </c>
      <c r="DC18" t="str">
        <f t="shared" si="32"/>
        <v>G609</v>
      </c>
      <c r="DD18" t="b">
        <f t="shared" si="47"/>
        <v>0</v>
      </c>
      <c r="DE18" t="str">
        <f t="shared" si="48"/>
        <v>G609</v>
      </c>
      <c r="DF18" t="str">
        <f t="shared" si="33"/>
        <v>R382</v>
      </c>
      <c r="DG18" t="b">
        <f t="shared" si="49"/>
        <v>0</v>
      </c>
      <c r="DH18" t="str">
        <f t="shared" si="50"/>
        <v>R382</v>
      </c>
    </row>
    <row r="19" spans="2:112" ht="12" customHeight="1">
      <c r="B19" t="str">
        <f>TBIDry!H91</f>
        <v>G376</v>
      </c>
      <c r="C19" t="str">
        <f>TBIDry!I91</f>
        <v>R755</v>
      </c>
      <c r="D19" t="b">
        <f t="shared" si="1"/>
        <v>0</v>
      </c>
      <c r="E19" t="b">
        <f t="shared" si="2"/>
        <v>0</v>
      </c>
      <c r="G19" t="str">
        <f>TBIWet!H91</f>
        <v>G405</v>
      </c>
      <c r="H19" t="str">
        <f>TBIWet!I91</f>
        <v>R519</v>
      </c>
      <c r="I19" t="b">
        <f t="shared" si="3"/>
        <v>0</v>
      </c>
      <c r="J19" t="b">
        <f t="shared" si="34"/>
        <v>0</v>
      </c>
      <c r="L19" t="str">
        <f>'Both teabags AfterWet'!A17</f>
        <v>G287</v>
      </c>
      <c r="M19" t="str">
        <f>'Both teabags AfterWet'!A437</f>
        <v>R117</v>
      </c>
      <c r="N19" t="b">
        <f t="shared" si="4"/>
        <v>0</v>
      </c>
      <c r="O19" t="b">
        <f t="shared" si="51"/>
        <v>0</v>
      </c>
      <c r="Q19" s="395" t="b">
        <f t="shared" si="5"/>
        <v>0</v>
      </c>
      <c r="R19" s="395" t="b">
        <f t="shared" si="6"/>
        <v>0</v>
      </c>
      <c r="T19" t="str">
        <f>'Both teabags AfterDry'!A17</f>
        <v>G12</v>
      </c>
      <c r="U19" t="str">
        <f>'Both teabags AfterDry'!A352</f>
        <v>R179</v>
      </c>
      <c r="V19" t="b">
        <f t="shared" si="7"/>
        <v>0</v>
      </c>
      <c r="W19" t="b">
        <f t="shared" si="35"/>
        <v>0</v>
      </c>
      <c r="Y19" t="str">
        <f>'Green_rooibos initial weight'!A20</f>
        <v>G16</v>
      </c>
      <c r="Z19" t="str">
        <f>'Green_rooibos initial weight'!A924</f>
        <v>R16</v>
      </c>
      <c r="AA19" t="b">
        <f t="shared" si="8"/>
        <v>0</v>
      </c>
      <c r="AB19" t="b">
        <f t="shared" si="9"/>
        <v>0</v>
      </c>
      <c r="AE19" t="str">
        <f>'WetLitterbags placem_collection'!K18</f>
        <v>G405</v>
      </c>
      <c r="AF19" t="str">
        <f>'WetLitterbags placem_collection'!M18</f>
        <v>R519</v>
      </c>
      <c r="AG19" t="b">
        <f t="shared" si="10"/>
        <v>0</v>
      </c>
      <c r="AH19" t="b">
        <f t="shared" si="11"/>
        <v>0</v>
      </c>
      <c r="AJ19" t="b">
        <f t="shared" si="12"/>
        <v>0</v>
      </c>
      <c r="AK19" t="b">
        <f t="shared" si="13"/>
        <v>0</v>
      </c>
      <c r="AM19" t="str">
        <f>IF(ISBLANK('Dry_Litterbag Placem_Collection'!J18),"","G"&amp;""&amp;'Dry_Litterbag Placem_Collection'!J18)</f>
        <v>G376</v>
      </c>
      <c r="AN19" t="str">
        <f>IF(ISBLANK('Dry_Litterbag Placem_Collection'!K18),"","R"&amp;""&amp;'Dry_Litterbag Placem_Collection'!K18)</f>
        <v>R755</v>
      </c>
      <c r="AO19" t="b">
        <f t="shared" si="53"/>
        <v>0</v>
      </c>
      <c r="AP19" t="b">
        <f t="shared" si="15"/>
        <v>0</v>
      </c>
      <c r="AS19" t="str">
        <f>'Ashed teabags dry'!A17</f>
        <v>G12</v>
      </c>
      <c r="AT19" t="str">
        <f>'Ashed teabags dry'!A352</f>
        <v>R179</v>
      </c>
      <c r="AU19" t="b">
        <f t="shared" si="16"/>
        <v>0</v>
      </c>
      <c r="AV19" t="b">
        <f>COUNTIF($AT$4:$AT$2000, AT19)&gt;1</f>
        <v>0</v>
      </c>
      <c r="AX19" s="395" t="b">
        <f t="shared" si="17"/>
        <v>0</v>
      </c>
      <c r="AY19" s="395" t="b">
        <f t="shared" si="18"/>
        <v>0</v>
      </c>
      <c r="BA19" t="str">
        <f>'Ashed teabags wet'!A17</f>
        <v>G287</v>
      </c>
      <c r="BB19" t="str">
        <f>'Ashed teabags wet'!A437</f>
        <v>R117</v>
      </c>
      <c r="BC19" t="b">
        <f t="shared" si="19"/>
        <v>0</v>
      </c>
      <c r="BD19" t="b">
        <f t="shared" si="0"/>
        <v>0</v>
      </c>
      <c r="BF19" t="str">
        <f t="shared" si="20"/>
        <v>G118</v>
      </c>
      <c r="BG19" t="str">
        <f>T18</f>
        <v>G118</v>
      </c>
      <c r="BH19" t="str">
        <f t="shared" si="21"/>
        <v>G444</v>
      </c>
      <c r="BI19" t="str">
        <f t="shared" si="36"/>
        <v>G444</v>
      </c>
      <c r="BJ19" t="s">
        <v>1932</v>
      </c>
      <c r="BK19" t="s">
        <v>1932</v>
      </c>
      <c r="BL19" t="s">
        <v>1932</v>
      </c>
      <c r="BM19" t="b">
        <f t="shared" si="37"/>
        <v>1</v>
      </c>
      <c r="BN19" t="str">
        <f t="shared" si="22"/>
        <v>R178</v>
      </c>
      <c r="BO19" t="str">
        <f>U18</f>
        <v>R178</v>
      </c>
      <c r="BP19" t="str">
        <f t="shared" si="23"/>
        <v>R793</v>
      </c>
      <c r="BQ19" t="str">
        <f t="shared" si="24"/>
        <v>R793</v>
      </c>
      <c r="BR19" t="s">
        <v>963</v>
      </c>
      <c r="BS19" t="s">
        <v>963</v>
      </c>
      <c r="BT19" t="s">
        <v>963</v>
      </c>
      <c r="BU19" t="b">
        <f t="shared" si="38"/>
        <v>1</v>
      </c>
      <c r="BV19" s="180" t="s">
        <v>1722</v>
      </c>
      <c r="BW19" s="180" t="s">
        <v>663</v>
      </c>
      <c r="BZ19" t="str">
        <f t="shared" si="25"/>
        <v>G444</v>
      </c>
      <c r="CA19" t="b">
        <f t="shared" si="26"/>
        <v>0</v>
      </c>
      <c r="CB19" t="str">
        <f t="shared" si="39"/>
        <v>G444</v>
      </c>
      <c r="CC19" t="str">
        <f t="shared" si="27"/>
        <v>R793</v>
      </c>
      <c r="CD19" t="b">
        <f t="shared" si="40"/>
        <v>0</v>
      </c>
      <c r="CE19" t="str">
        <f t="shared" si="41"/>
        <v>R793</v>
      </c>
      <c r="CG19" t="str">
        <f t="shared" si="28"/>
        <v>G286</v>
      </c>
      <c r="CH19" t="str">
        <f t="shared" si="42"/>
        <v>G286</v>
      </c>
      <c r="CI19" t="str">
        <f>AE18</f>
        <v>G222</v>
      </c>
      <c r="CJ19" t="str">
        <f t="shared" si="29"/>
        <v>G222</v>
      </c>
      <c r="CK19" t="s">
        <v>1764</v>
      </c>
      <c r="CL19" t="s">
        <v>1764</v>
      </c>
      <c r="CM19" t="s">
        <v>1764</v>
      </c>
      <c r="CN19" t="b">
        <f t="shared" si="43"/>
        <v>1</v>
      </c>
      <c r="CO19" t="str">
        <f t="shared" si="30"/>
        <v>R115</v>
      </c>
      <c r="CP19" t="str">
        <f t="shared" si="44"/>
        <v>R115</v>
      </c>
      <c r="CQ19" t="str">
        <f>AF18</f>
        <v>R415</v>
      </c>
      <c r="CR19" t="str">
        <f t="shared" si="31"/>
        <v>R415</v>
      </c>
      <c r="CS19" t="s">
        <v>1026</v>
      </c>
      <c r="CT19" t="s">
        <v>1026</v>
      </c>
      <c r="CU19" t="s">
        <v>1026</v>
      </c>
      <c r="CV19" t="b">
        <f t="shared" si="45"/>
        <v>1</v>
      </c>
      <c r="CW19" s="400" t="s">
        <v>1632</v>
      </c>
      <c r="CX19" s="400" t="b">
        <f>COUNTIF($CG$5:$CG$2000, CW17)&gt;1</f>
        <v>0</v>
      </c>
      <c r="CY19" s="400" t="s">
        <v>702</v>
      </c>
      <c r="CZ19" s="400" t="b">
        <f>COUNTIF(CO:CO, CY19)&gt;1</f>
        <v>0</v>
      </c>
      <c r="DC19" t="str">
        <f t="shared" si="32"/>
        <v>G222</v>
      </c>
      <c r="DD19" t="b">
        <f t="shared" si="47"/>
        <v>0</v>
      </c>
      <c r="DE19" t="str">
        <f t="shared" si="48"/>
        <v>G222</v>
      </c>
      <c r="DF19" t="str">
        <f t="shared" si="33"/>
        <v>R415</v>
      </c>
      <c r="DG19" t="b">
        <f t="shared" si="49"/>
        <v>0</v>
      </c>
      <c r="DH19" t="str">
        <f t="shared" si="50"/>
        <v>R415</v>
      </c>
    </row>
    <row r="20" spans="2:112" ht="12" customHeight="1">
      <c r="B20" t="str">
        <f>TBIDry!H92</f>
        <v>G209</v>
      </c>
      <c r="C20" t="str">
        <f>TBIDry!I92</f>
        <v>R826</v>
      </c>
      <c r="D20" t="b">
        <f t="shared" si="1"/>
        <v>0</v>
      </c>
      <c r="E20" t="b">
        <f t="shared" si="2"/>
        <v>0</v>
      </c>
      <c r="G20" t="str">
        <f>TBIWet!H92</f>
        <v>G571</v>
      </c>
      <c r="H20" t="str">
        <f>TBIWet!I92</f>
        <v>R542</v>
      </c>
      <c r="I20" t="b">
        <f t="shared" si="3"/>
        <v>0</v>
      </c>
      <c r="J20" t="b">
        <f t="shared" si="34"/>
        <v>0</v>
      </c>
      <c r="L20" t="str">
        <f>'Both teabags AfterWet'!A18</f>
        <v>G291</v>
      </c>
      <c r="M20" t="str">
        <f>'Both teabags AfterWet'!A438</f>
        <v>R119</v>
      </c>
      <c r="N20" t="b">
        <f t="shared" si="4"/>
        <v>0</v>
      </c>
      <c r="O20" t="b">
        <f t="shared" si="51"/>
        <v>0</v>
      </c>
      <c r="Q20" s="395" t="b">
        <f t="shared" si="5"/>
        <v>0</v>
      </c>
      <c r="R20" s="395" t="b">
        <f t="shared" si="6"/>
        <v>0</v>
      </c>
      <c r="T20" t="str">
        <f>'Both teabags AfterDry'!A18</f>
        <v>G120</v>
      </c>
      <c r="U20" t="str">
        <f>'Both teabags AfterDry'!A353</f>
        <v>R18</v>
      </c>
      <c r="V20" t="b">
        <f t="shared" si="7"/>
        <v>0</v>
      </c>
      <c r="W20" t="b">
        <f t="shared" si="35"/>
        <v>0</v>
      </c>
      <c r="Y20" t="str">
        <f>'Green_rooibos initial weight'!A21</f>
        <v>G17</v>
      </c>
      <c r="Z20" t="str">
        <f>'Green_rooibos initial weight'!A925</f>
        <v>R17</v>
      </c>
      <c r="AA20" t="b">
        <f t="shared" si="8"/>
        <v>0</v>
      </c>
      <c r="AB20" t="b">
        <f t="shared" si="9"/>
        <v>0</v>
      </c>
      <c r="AE20" t="str">
        <f>'WetLitterbags placem_collection'!K19</f>
        <v>G571</v>
      </c>
      <c r="AF20" t="str">
        <f>'WetLitterbags placem_collection'!M19</f>
        <v>R542</v>
      </c>
      <c r="AG20" t="b">
        <f t="shared" si="10"/>
        <v>0</v>
      </c>
      <c r="AH20" t="b">
        <f t="shared" si="11"/>
        <v>0</v>
      </c>
      <c r="AJ20" t="b">
        <f t="shared" si="12"/>
        <v>0</v>
      </c>
      <c r="AK20" t="b">
        <f t="shared" si="13"/>
        <v>0</v>
      </c>
      <c r="AM20" t="str">
        <f>IF(ISBLANK('Dry_Litterbag Placem_Collection'!J19),"","G"&amp;""&amp;'Dry_Litterbag Placem_Collection'!J19)</f>
        <v>G209</v>
      </c>
      <c r="AN20" t="str">
        <f>IF(ISBLANK('Dry_Litterbag Placem_Collection'!K19),"","R"&amp;""&amp;'Dry_Litterbag Placem_Collection'!K19)</f>
        <v>R826</v>
      </c>
      <c r="AO20" t="b">
        <f t="shared" si="53"/>
        <v>0</v>
      </c>
      <c r="AP20" t="b">
        <f t="shared" si="15"/>
        <v>0</v>
      </c>
      <c r="AS20" t="str">
        <f>'Ashed teabags dry'!A18</f>
        <v>G120</v>
      </c>
      <c r="AT20" t="str">
        <f>'Ashed teabags dry'!A353</f>
        <v>R18</v>
      </c>
      <c r="AU20" t="b">
        <f t="shared" si="16"/>
        <v>0</v>
      </c>
      <c r="AV20" t="b">
        <f>COUNTIF($AT$4:$AT$2000, AT20)&gt;1</f>
        <v>0</v>
      </c>
      <c r="AX20" s="395" t="b">
        <f t="shared" si="17"/>
        <v>0</v>
      </c>
      <c r="AY20" s="395" t="b">
        <f t="shared" si="18"/>
        <v>0</v>
      </c>
      <c r="BA20" t="str">
        <f>'Ashed teabags wet'!A18</f>
        <v>G291</v>
      </c>
      <c r="BB20" t="str">
        <f>'Ashed teabags wet'!A438</f>
        <v>R119</v>
      </c>
      <c r="BC20" t="b">
        <f t="shared" si="19"/>
        <v>0</v>
      </c>
      <c r="BD20" t="b">
        <f t="shared" si="0"/>
        <v>0</v>
      </c>
      <c r="BF20" t="str">
        <f t="shared" si="20"/>
        <v>G12</v>
      </c>
      <c r="BG20" t="str">
        <f>T19</f>
        <v>G12</v>
      </c>
      <c r="BH20" t="str">
        <f t="shared" si="21"/>
        <v>G376</v>
      </c>
      <c r="BI20" t="str">
        <f t="shared" si="36"/>
        <v/>
      </c>
      <c r="BJ20" t="s">
        <v>2038</v>
      </c>
      <c r="BK20" t="s">
        <v>2038</v>
      </c>
      <c r="BL20" t="s">
        <v>2038</v>
      </c>
      <c r="BM20" t="b">
        <f t="shared" si="37"/>
        <v>1</v>
      </c>
      <c r="BN20" t="str">
        <f t="shared" si="22"/>
        <v>R179</v>
      </c>
      <c r="BO20" t="str">
        <f>U19</f>
        <v>R179</v>
      </c>
      <c r="BP20" t="str">
        <f t="shared" si="23"/>
        <v>R755</v>
      </c>
      <c r="BQ20" t="str">
        <f t="shared" si="24"/>
        <v/>
      </c>
      <c r="BR20" t="s">
        <v>962</v>
      </c>
      <c r="BS20" t="s">
        <v>962</v>
      </c>
      <c r="BT20" t="s">
        <v>962</v>
      </c>
      <c r="BU20" t="b">
        <f t="shared" si="38"/>
        <v>1</v>
      </c>
      <c r="BV20" s="180" t="s">
        <v>1980</v>
      </c>
      <c r="BW20" s="180" t="s">
        <v>449</v>
      </c>
      <c r="BZ20" t="str">
        <f t="shared" si="25"/>
        <v>G376</v>
      </c>
      <c r="CA20" t="b">
        <f t="shared" si="26"/>
        <v>1</v>
      </c>
      <c r="CB20" t="str">
        <f t="shared" si="39"/>
        <v/>
      </c>
      <c r="CC20" t="str">
        <f t="shared" si="27"/>
        <v>R755</v>
      </c>
      <c r="CD20" t="b">
        <f t="shared" si="40"/>
        <v>1</v>
      </c>
      <c r="CE20" t="str">
        <f t="shared" si="41"/>
        <v/>
      </c>
      <c r="CG20" t="str">
        <f t="shared" si="28"/>
        <v>G287</v>
      </c>
      <c r="CH20" t="str">
        <f t="shared" si="42"/>
        <v>G287</v>
      </c>
      <c r="CI20" t="str">
        <f>AE19</f>
        <v>G405</v>
      </c>
      <c r="CJ20" t="str">
        <f t="shared" si="29"/>
        <v>G405</v>
      </c>
      <c r="CK20" t="s">
        <v>1763</v>
      </c>
      <c r="CL20" t="s">
        <v>1763</v>
      </c>
      <c r="CM20" t="s">
        <v>1763</v>
      </c>
      <c r="CN20" t="b">
        <f t="shared" si="43"/>
        <v>1</v>
      </c>
      <c r="CO20" t="str">
        <f t="shared" si="30"/>
        <v>R117</v>
      </c>
      <c r="CP20" t="str">
        <f t="shared" si="44"/>
        <v>R117</v>
      </c>
      <c r="CQ20" t="str">
        <f>AF19</f>
        <v>R519</v>
      </c>
      <c r="CR20" t="str">
        <f t="shared" si="31"/>
        <v>R519</v>
      </c>
      <c r="CS20" t="s">
        <v>1024</v>
      </c>
      <c r="CT20" t="s">
        <v>1024</v>
      </c>
      <c r="CU20" t="s">
        <v>1024</v>
      </c>
      <c r="CV20" t="b">
        <f t="shared" si="45"/>
        <v>1</v>
      </c>
      <c r="CW20" s="400" t="s">
        <v>1491</v>
      </c>
      <c r="CX20" s="400" t="b">
        <f>COUNTIF($CG$5:$CG$2000, CW18)&gt;1</f>
        <v>0</v>
      </c>
      <c r="CY20" s="400" t="s">
        <v>1043</v>
      </c>
      <c r="CZ20" s="400" t="b">
        <f>COUNTIF(CO:CO, CY20)&gt;1</f>
        <v>0</v>
      </c>
      <c r="DC20" t="str">
        <f t="shared" si="32"/>
        <v>G405</v>
      </c>
      <c r="DD20" t="b">
        <f t="shared" si="47"/>
        <v>0</v>
      </c>
      <c r="DE20" t="str">
        <f t="shared" si="48"/>
        <v>G405</v>
      </c>
      <c r="DF20" t="str">
        <f t="shared" si="33"/>
        <v>R519</v>
      </c>
      <c r="DG20" t="b">
        <f t="shared" si="49"/>
        <v>0</v>
      </c>
      <c r="DH20" t="str">
        <f t="shared" si="50"/>
        <v>R519</v>
      </c>
    </row>
    <row r="21" spans="2:112" ht="12" customHeight="1">
      <c r="B21" t="str">
        <f>TBIDry!H93</f>
        <v>G10</v>
      </c>
      <c r="C21" t="str">
        <f>TBIDry!I93</f>
        <v>R732</v>
      </c>
      <c r="D21" t="b">
        <f t="shared" si="1"/>
        <v>0</v>
      </c>
      <c r="E21" t="b">
        <f t="shared" si="2"/>
        <v>0</v>
      </c>
      <c r="G21" t="str">
        <f>TBIWet!H93</f>
        <v>G419</v>
      </c>
      <c r="H21" t="str">
        <f>TBIWet!I93</f>
        <v>R128</v>
      </c>
      <c r="I21" t="b">
        <f t="shared" si="3"/>
        <v>0</v>
      </c>
      <c r="J21" t="b">
        <f t="shared" si="34"/>
        <v>0</v>
      </c>
      <c r="L21" t="str">
        <f>'Both teabags AfterWet'!A19</f>
        <v>G297</v>
      </c>
      <c r="M21" t="str">
        <f>'Both teabags AfterWet'!A439</f>
        <v>R12</v>
      </c>
      <c r="N21" t="b">
        <f t="shared" si="4"/>
        <v>0</v>
      </c>
      <c r="O21" t="b">
        <f t="shared" si="51"/>
        <v>0</v>
      </c>
      <c r="Q21" s="395" t="b">
        <f t="shared" si="5"/>
        <v>0</v>
      </c>
      <c r="R21" s="395" t="b">
        <f t="shared" si="6"/>
        <v>0</v>
      </c>
      <c r="T21" t="str">
        <f>'Both teabags AfterDry'!A19</f>
        <v>G123</v>
      </c>
      <c r="U21" t="str">
        <f>'Both teabags AfterDry'!A354</f>
        <v>R180</v>
      </c>
      <c r="V21" t="b">
        <f t="shared" si="7"/>
        <v>0</v>
      </c>
      <c r="W21" t="b">
        <f t="shared" si="35"/>
        <v>0</v>
      </c>
      <c r="Y21" t="str">
        <f>'Green_rooibos initial weight'!A22</f>
        <v>G18</v>
      </c>
      <c r="Z21" t="str">
        <f>'Green_rooibos initial weight'!A926</f>
        <v>R18</v>
      </c>
      <c r="AA21" t="b">
        <f t="shared" si="8"/>
        <v>0</v>
      </c>
      <c r="AB21" t="b">
        <f t="shared" si="9"/>
        <v>0</v>
      </c>
      <c r="AE21" t="str">
        <f>'WetLitterbags placem_collection'!K20</f>
        <v>G419</v>
      </c>
      <c r="AF21" t="str">
        <f>'WetLitterbags placem_collection'!M20</f>
        <v>R128</v>
      </c>
      <c r="AG21" t="b">
        <f t="shared" si="10"/>
        <v>0</v>
      </c>
      <c r="AH21" t="b">
        <f t="shared" si="11"/>
        <v>0</v>
      </c>
      <c r="AJ21" t="b">
        <f t="shared" si="12"/>
        <v>0</v>
      </c>
      <c r="AK21" t="b">
        <f t="shared" si="13"/>
        <v>0</v>
      </c>
      <c r="AM21" t="str">
        <f>IF(ISBLANK('Dry_Litterbag Placem_Collection'!J20),"","G"&amp;""&amp;'Dry_Litterbag Placem_Collection'!J20)</f>
        <v>G10</v>
      </c>
      <c r="AN21" t="str">
        <f>IF(ISBLANK('Dry_Litterbag Placem_Collection'!K20),"","R"&amp;""&amp;'Dry_Litterbag Placem_Collection'!K20)</f>
        <v>R732</v>
      </c>
      <c r="AO21" t="b">
        <f t="shared" si="53"/>
        <v>0</v>
      </c>
      <c r="AP21" t="b">
        <f t="shared" si="15"/>
        <v>0</v>
      </c>
      <c r="AS21" t="str">
        <f>'Ashed teabags dry'!A19</f>
        <v>G123</v>
      </c>
      <c r="AT21" t="str">
        <f>'Ashed teabags dry'!A354</f>
        <v>R180</v>
      </c>
      <c r="AU21" t="b">
        <f t="shared" si="16"/>
        <v>0</v>
      </c>
      <c r="AV21" t="b">
        <f>COUNTIF($AT$4:$AT$2000, AT21)&gt;1</f>
        <v>0</v>
      </c>
      <c r="AX21" s="395" t="b">
        <f t="shared" si="17"/>
        <v>0</v>
      </c>
      <c r="AY21" s="395" t="b">
        <f t="shared" si="18"/>
        <v>0</v>
      </c>
      <c r="BA21" t="str">
        <f>'Ashed teabags wet'!A19</f>
        <v>G297</v>
      </c>
      <c r="BB21" t="str">
        <f>'Ashed teabags wet'!A439</f>
        <v>R12</v>
      </c>
      <c r="BC21" t="b">
        <f t="shared" si="19"/>
        <v>0</v>
      </c>
      <c r="BD21" t="b">
        <f t="shared" si="0"/>
        <v>0</v>
      </c>
      <c r="BF21" t="str">
        <f t="shared" si="20"/>
        <v>G120</v>
      </c>
      <c r="BG21" t="str">
        <f>T20</f>
        <v>G120</v>
      </c>
      <c r="BH21" t="str">
        <f t="shared" si="21"/>
        <v>G209</v>
      </c>
      <c r="BI21" t="str">
        <f t="shared" si="36"/>
        <v>G209</v>
      </c>
      <c r="BJ21" t="s">
        <v>1930</v>
      </c>
      <c r="BK21" t="s">
        <v>1930</v>
      </c>
      <c r="BL21" t="s">
        <v>1930</v>
      </c>
      <c r="BM21" t="b">
        <f t="shared" si="37"/>
        <v>1</v>
      </c>
      <c r="BN21" t="str">
        <f t="shared" si="22"/>
        <v>R18</v>
      </c>
      <c r="BO21" t="str">
        <f>U20</f>
        <v>R18</v>
      </c>
      <c r="BP21" t="str">
        <f t="shared" si="23"/>
        <v>R826</v>
      </c>
      <c r="BQ21" t="str">
        <f t="shared" si="24"/>
        <v>R826</v>
      </c>
      <c r="BR21" t="s">
        <v>1123</v>
      </c>
      <c r="BS21" t="s">
        <v>1123</v>
      </c>
      <c r="BT21" t="s">
        <v>1123</v>
      </c>
      <c r="BU21" t="b">
        <f t="shared" si="38"/>
        <v>1</v>
      </c>
      <c r="BV21" s="180" t="s">
        <v>1453</v>
      </c>
      <c r="BW21" s="180" t="s">
        <v>736</v>
      </c>
      <c r="BZ21" t="str">
        <f t="shared" si="25"/>
        <v>G209</v>
      </c>
      <c r="CA21" t="b">
        <f t="shared" si="26"/>
        <v>0</v>
      </c>
      <c r="CB21" t="str">
        <f t="shared" si="39"/>
        <v>G209</v>
      </c>
      <c r="CC21" t="str">
        <f t="shared" si="27"/>
        <v>R826</v>
      </c>
      <c r="CD21" t="b">
        <f t="shared" si="40"/>
        <v>0</v>
      </c>
      <c r="CE21" t="str">
        <f t="shared" si="41"/>
        <v>R826</v>
      </c>
      <c r="CG21" t="str">
        <f t="shared" si="28"/>
        <v>G291</v>
      </c>
      <c r="CH21" t="str">
        <f t="shared" si="42"/>
        <v>G291</v>
      </c>
      <c r="CI21" t="str">
        <f>AE20</f>
        <v>G571</v>
      </c>
      <c r="CJ21" t="str">
        <f t="shared" si="29"/>
        <v>G571</v>
      </c>
      <c r="CK21" t="s">
        <v>1759</v>
      </c>
      <c r="CL21" t="s">
        <v>1759</v>
      </c>
      <c r="CM21" t="s">
        <v>1759</v>
      </c>
      <c r="CN21" t="b">
        <f t="shared" si="43"/>
        <v>1</v>
      </c>
      <c r="CO21" t="str">
        <f t="shared" si="30"/>
        <v>R119</v>
      </c>
      <c r="CP21" t="str">
        <f t="shared" si="44"/>
        <v>R119</v>
      </c>
      <c r="CQ21" t="str">
        <f>AF20</f>
        <v>R542</v>
      </c>
      <c r="CR21" t="str">
        <f t="shared" si="31"/>
        <v>R542</v>
      </c>
      <c r="CS21" t="s">
        <v>1022</v>
      </c>
      <c r="CT21" t="s">
        <v>1022</v>
      </c>
      <c r="CU21" t="s">
        <v>1022</v>
      </c>
      <c r="CV21" t="b">
        <f t="shared" si="45"/>
        <v>1</v>
      </c>
      <c r="CW21" s="400" t="s">
        <v>1428</v>
      </c>
      <c r="CX21" s="400" t="b">
        <f xml:space="preserve"> COUNTIF($CG$5:$CG$2000,#REF!)&gt;1</f>
        <v>0</v>
      </c>
      <c r="CY21" s="400"/>
      <c r="CZ21" s="400"/>
      <c r="DC21" t="str">
        <f t="shared" si="32"/>
        <v>G571</v>
      </c>
      <c r="DD21" t="b">
        <f t="shared" si="47"/>
        <v>0</v>
      </c>
      <c r="DE21" t="str">
        <f t="shared" si="48"/>
        <v>G571</v>
      </c>
      <c r="DF21" t="str">
        <f t="shared" si="33"/>
        <v>R542</v>
      </c>
      <c r="DG21" t="b">
        <f t="shared" si="49"/>
        <v>0</v>
      </c>
      <c r="DH21" t="str">
        <f t="shared" si="50"/>
        <v>R542</v>
      </c>
    </row>
    <row r="22" spans="2:112" ht="12" customHeight="1">
      <c r="B22" t="str">
        <f>TBIDry!H94</f>
        <v>G190</v>
      </c>
      <c r="C22" t="str">
        <f>TBIDry!I94</f>
        <v>R749</v>
      </c>
      <c r="D22" t="b">
        <f t="shared" si="1"/>
        <v>0</v>
      </c>
      <c r="E22" t="b">
        <f t="shared" si="2"/>
        <v>0</v>
      </c>
      <c r="G22" t="str">
        <f>TBIWet!H94</f>
        <v>G240</v>
      </c>
      <c r="H22" t="str">
        <f>TBIWet!I94</f>
        <v>R82</v>
      </c>
      <c r="I22" t="b">
        <f t="shared" si="3"/>
        <v>0</v>
      </c>
      <c r="J22" t="b">
        <f t="shared" si="34"/>
        <v>0</v>
      </c>
      <c r="L22" t="str">
        <f>'Both teabags AfterWet'!A20</f>
        <v>G298</v>
      </c>
      <c r="M22" t="str">
        <f>'Both teabags AfterWet'!A440</f>
        <v>R120</v>
      </c>
      <c r="N22" t="b">
        <f t="shared" si="4"/>
        <v>0</v>
      </c>
      <c r="O22" t="b">
        <f t="shared" si="51"/>
        <v>0</v>
      </c>
      <c r="Q22" s="395" t="b">
        <f t="shared" si="5"/>
        <v>0</v>
      </c>
      <c r="R22" s="395" t="b">
        <f t="shared" si="6"/>
        <v>0</v>
      </c>
      <c r="T22" t="str">
        <f>'Both teabags AfterDry'!A20</f>
        <v>G124</v>
      </c>
      <c r="U22" t="str">
        <f>'Both teabags AfterDry'!A355</f>
        <v>R184</v>
      </c>
      <c r="V22" t="b">
        <f t="shared" si="7"/>
        <v>0</v>
      </c>
      <c r="W22" t="b">
        <f t="shared" si="35"/>
        <v>0</v>
      </c>
      <c r="Y22" t="str">
        <f>'Green_rooibos initial weight'!A23</f>
        <v>G19</v>
      </c>
      <c r="Z22" t="str">
        <f>'Green_rooibos initial weight'!A927</f>
        <v>R19</v>
      </c>
      <c r="AA22" t="b">
        <f t="shared" si="8"/>
        <v>0</v>
      </c>
      <c r="AB22" t="b">
        <f t="shared" si="9"/>
        <v>0</v>
      </c>
      <c r="AE22" t="str">
        <f>'WetLitterbags placem_collection'!K21</f>
        <v>G240</v>
      </c>
      <c r="AF22" t="str">
        <f>'WetLitterbags placem_collection'!M21</f>
        <v>R82</v>
      </c>
      <c r="AG22" t="b">
        <f t="shared" si="10"/>
        <v>0</v>
      </c>
      <c r="AH22" t="b">
        <f t="shared" si="11"/>
        <v>0</v>
      </c>
      <c r="AJ22" t="b">
        <f t="shared" si="12"/>
        <v>0</v>
      </c>
      <c r="AK22" t="b">
        <f t="shared" si="13"/>
        <v>0</v>
      </c>
      <c r="AM22" t="str">
        <f>IF(ISBLANK('Dry_Litterbag Placem_Collection'!J21),"","G"&amp;""&amp;'Dry_Litterbag Placem_Collection'!J21)</f>
        <v>G190</v>
      </c>
      <c r="AN22" t="str">
        <f>IF(ISBLANK('Dry_Litterbag Placem_Collection'!K21),"","R"&amp;""&amp;'Dry_Litterbag Placem_Collection'!K21)</f>
        <v>R749</v>
      </c>
      <c r="AO22" t="b">
        <f t="shared" si="53"/>
        <v>0</v>
      </c>
      <c r="AP22" t="b">
        <f t="shared" si="15"/>
        <v>0</v>
      </c>
      <c r="AS22" t="str">
        <f>'Ashed teabags dry'!A20</f>
        <v>G124</v>
      </c>
      <c r="AT22" t="str">
        <f>'Ashed teabags dry'!A355</f>
        <v>R184</v>
      </c>
      <c r="AU22" t="b">
        <f t="shared" si="16"/>
        <v>0</v>
      </c>
      <c r="AV22" t="b">
        <f>COUNTIF($AT$4:$AT$2000, AT22)&gt;1</f>
        <v>0</v>
      </c>
      <c r="AX22" s="395" t="b">
        <f t="shared" si="17"/>
        <v>0</v>
      </c>
      <c r="AY22" s="395" t="b">
        <f t="shared" si="18"/>
        <v>0</v>
      </c>
      <c r="BA22" t="str">
        <f>'Ashed teabags wet'!A20</f>
        <v>G298</v>
      </c>
      <c r="BB22" t="str">
        <f>'Ashed teabags wet'!A440</f>
        <v>R120</v>
      </c>
      <c r="BC22" t="b">
        <f t="shared" si="19"/>
        <v>0</v>
      </c>
      <c r="BD22" t="b">
        <f t="shared" si="0"/>
        <v>0</v>
      </c>
      <c r="BF22" t="str">
        <f t="shared" si="20"/>
        <v>G123</v>
      </c>
      <c r="BG22" t="str">
        <f>T21</f>
        <v>G123</v>
      </c>
      <c r="BH22" t="str">
        <f t="shared" si="21"/>
        <v>G10</v>
      </c>
      <c r="BI22" t="str">
        <f t="shared" si="36"/>
        <v>G10</v>
      </c>
      <c r="BJ22" t="s">
        <v>1927</v>
      </c>
      <c r="BK22" t="s">
        <v>1927</v>
      </c>
      <c r="BL22" t="s">
        <v>1927</v>
      </c>
      <c r="BM22" t="b">
        <f t="shared" si="37"/>
        <v>1</v>
      </c>
      <c r="BN22" t="str">
        <f t="shared" si="22"/>
        <v>R180</v>
      </c>
      <c r="BO22" t="str">
        <f>U21</f>
        <v>R180</v>
      </c>
      <c r="BP22" t="str">
        <f t="shared" si="23"/>
        <v>R732</v>
      </c>
      <c r="BQ22" t="str">
        <f t="shared" si="24"/>
        <v>R732</v>
      </c>
      <c r="BR22" t="s">
        <v>961</v>
      </c>
      <c r="BS22" t="s">
        <v>961</v>
      </c>
      <c r="BT22" t="s">
        <v>961</v>
      </c>
      <c r="BU22" t="b">
        <f t="shared" si="38"/>
        <v>1</v>
      </c>
      <c r="BV22" s="180" t="s">
        <v>1952</v>
      </c>
      <c r="BW22" s="180" t="s">
        <v>389</v>
      </c>
      <c r="BZ22" t="str">
        <f t="shared" si="25"/>
        <v>G10</v>
      </c>
      <c r="CA22" t="b">
        <f t="shared" si="26"/>
        <v>0</v>
      </c>
      <c r="CB22" t="str">
        <f t="shared" si="39"/>
        <v>G10</v>
      </c>
      <c r="CC22" t="str">
        <f t="shared" si="27"/>
        <v>R732</v>
      </c>
      <c r="CD22" t="b">
        <f t="shared" si="40"/>
        <v>0</v>
      </c>
      <c r="CE22" t="str">
        <f t="shared" si="41"/>
        <v>R732</v>
      </c>
      <c r="CG22" t="str">
        <f t="shared" si="28"/>
        <v>G297</v>
      </c>
      <c r="CH22" t="str">
        <f t="shared" si="42"/>
        <v>G297</v>
      </c>
      <c r="CI22" t="str">
        <f>AE21</f>
        <v>G419</v>
      </c>
      <c r="CJ22" t="str">
        <f t="shared" si="29"/>
        <v>G419</v>
      </c>
      <c r="CK22" t="s">
        <v>1753</v>
      </c>
      <c r="CL22" t="s">
        <v>1753</v>
      </c>
      <c r="CM22" t="s">
        <v>1753</v>
      </c>
      <c r="CN22" t="b">
        <f t="shared" si="43"/>
        <v>1</v>
      </c>
      <c r="CO22" t="str">
        <f t="shared" si="30"/>
        <v>R12</v>
      </c>
      <c r="CP22" t="str">
        <f t="shared" si="44"/>
        <v>R12</v>
      </c>
      <c r="CQ22" t="str">
        <f>AF21</f>
        <v>R128</v>
      </c>
      <c r="CR22" t="str">
        <f t="shared" si="31"/>
        <v>R128</v>
      </c>
      <c r="CS22" t="s">
        <v>1129</v>
      </c>
      <c r="CT22" t="s">
        <v>1129</v>
      </c>
      <c r="CU22" t="s">
        <v>1129</v>
      </c>
      <c r="CV22" t="b">
        <f t="shared" si="45"/>
        <v>1</v>
      </c>
      <c r="CW22" s="400" t="s">
        <v>1602</v>
      </c>
      <c r="CX22" s="400" t="b">
        <f>COUNTIF($CG$5:$CG$2000, CW19)&gt;1</f>
        <v>0</v>
      </c>
      <c r="CY22" s="400"/>
      <c r="CZ22" s="400"/>
      <c r="DC22" t="str">
        <f t="shared" si="32"/>
        <v>G419</v>
      </c>
      <c r="DD22" t="b">
        <f t="shared" si="47"/>
        <v>0</v>
      </c>
      <c r="DE22" t="str">
        <f t="shared" si="48"/>
        <v>G419</v>
      </c>
      <c r="DF22" t="str">
        <f t="shared" si="33"/>
        <v>R128</v>
      </c>
      <c r="DG22" t="b">
        <f t="shared" si="49"/>
        <v>0</v>
      </c>
      <c r="DH22" t="str">
        <f t="shared" si="50"/>
        <v>R128</v>
      </c>
    </row>
    <row r="23" spans="2:112" ht="12" customHeight="1">
      <c r="B23" t="str">
        <f>TBIDry!H95</f>
        <v>G38</v>
      </c>
      <c r="C23" t="str">
        <f>TBIDry!I95</f>
        <v>R632</v>
      </c>
      <c r="D23" t="b">
        <f t="shared" si="1"/>
        <v>0</v>
      </c>
      <c r="E23" t="b">
        <f t="shared" si="2"/>
        <v>0</v>
      </c>
      <c r="G23" t="str">
        <f>TBIWet!H95</f>
        <v>G524</v>
      </c>
      <c r="H23" t="str">
        <f>TBIWet!I95</f>
        <v>R50</v>
      </c>
      <c r="I23" t="b">
        <f t="shared" si="3"/>
        <v>0</v>
      </c>
      <c r="J23" t="b">
        <f t="shared" si="34"/>
        <v>0</v>
      </c>
      <c r="L23" t="str">
        <f>'Both teabags AfterWet'!A21</f>
        <v>G299</v>
      </c>
      <c r="M23" t="str">
        <f>'Both teabags AfterWet'!A441</f>
        <v>R121</v>
      </c>
      <c r="N23" t="b">
        <f t="shared" si="4"/>
        <v>0</v>
      </c>
      <c r="O23" t="b">
        <f t="shared" si="51"/>
        <v>0</v>
      </c>
      <c r="Q23" s="395" t="b">
        <f t="shared" si="5"/>
        <v>0</v>
      </c>
      <c r="R23" s="395" t="b">
        <f t="shared" si="6"/>
        <v>0</v>
      </c>
      <c r="T23" t="str">
        <f>'Both teabags AfterDry'!A21</f>
        <v>G125</v>
      </c>
      <c r="U23" t="str">
        <f>'Both teabags AfterDry'!A356</f>
        <v>R188</v>
      </c>
      <c r="V23" t="b">
        <f t="shared" si="7"/>
        <v>0</v>
      </c>
      <c r="W23" t="b">
        <f t="shared" si="35"/>
        <v>0</v>
      </c>
      <c r="Y23" t="str">
        <f>'Green_rooibos initial weight'!A24</f>
        <v>G20</v>
      </c>
      <c r="Z23" t="str">
        <f>'Green_rooibos initial weight'!A928</f>
        <v>R20</v>
      </c>
      <c r="AA23" t="b">
        <f t="shared" si="8"/>
        <v>0</v>
      </c>
      <c r="AB23" t="b">
        <f t="shared" si="9"/>
        <v>0</v>
      </c>
      <c r="AE23" t="str">
        <f>'WetLitterbags placem_collection'!K22</f>
        <v>G524</v>
      </c>
      <c r="AF23" t="str">
        <f>'WetLitterbags placem_collection'!M22</f>
        <v>R50</v>
      </c>
      <c r="AG23" t="b">
        <f t="shared" si="10"/>
        <v>0</v>
      </c>
      <c r="AH23" t="b">
        <f t="shared" si="11"/>
        <v>0</v>
      </c>
      <c r="AJ23" t="b">
        <f t="shared" si="12"/>
        <v>0</v>
      </c>
      <c r="AK23" t="b">
        <f t="shared" si="13"/>
        <v>0</v>
      </c>
      <c r="AM23" t="str">
        <f>IF(ISBLANK('Dry_Litterbag Placem_Collection'!J22),"","G"&amp;""&amp;'Dry_Litterbag Placem_Collection'!J22)</f>
        <v>G38</v>
      </c>
      <c r="AN23" t="str">
        <f>IF(ISBLANK('Dry_Litterbag Placem_Collection'!K22),"","R"&amp;""&amp;'Dry_Litterbag Placem_Collection'!K22)</f>
        <v>R632</v>
      </c>
      <c r="AO23" t="b">
        <f t="shared" si="53"/>
        <v>0</v>
      </c>
      <c r="AP23" t="b">
        <f t="shared" si="15"/>
        <v>0</v>
      </c>
      <c r="AS23" t="str">
        <f>'Ashed teabags dry'!A21</f>
        <v>G125</v>
      </c>
      <c r="AT23" t="str">
        <f>'Ashed teabags dry'!A356</f>
        <v>R188</v>
      </c>
      <c r="AU23" t="b">
        <f t="shared" si="16"/>
        <v>0</v>
      </c>
      <c r="AV23" t="b">
        <f>COUNTIF($AT$4:$AT$2000, AT23)&gt;1</f>
        <v>0</v>
      </c>
      <c r="AX23" s="395" t="b">
        <f t="shared" si="17"/>
        <v>0</v>
      </c>
      <c r="AY23" s="395" t="b">
        <f t="shared" si="18"/>
        <v>0</v>
      </c>
      <c r="BA23" t="str">
        <f>'Ashed teabags wet'!A21</f>
        <v>G299</v>
      </c>
      <c r="BB23" t="str">
        <f>'Ashed teabags wet'!A441</f>
        <v>R121</v>
      </c>
      <c r="BC23" t="b">
        <f t="shared" si="19"/>
        <v>0</v>
      </c>
      <c r="BD23" t="b">
        <f t="shared" si="0"/>
        <v>0</v>
      </c>
      <c r="BF23" t="str">
        <f t="shared" si="20"/>
        <v>G124</v>
      </c>
      <c r="BG23" t="str">
        <f>T22</f>
        <v>G124</v>
      </c>
      <c r="BH23" t="str">
        <f t="shared" si="21"/>
        <v>G190</v>
      </c>
      <c r="BI23" t="str">
        <f t="shared" si="36"/>
        <v>G190</v>
      </c>
      <c r="BJ23" t="s">
        <v>1926</v>
      </c>
      <c r="BK23" t="s">
        <v>1926</v>
      </c>
      <c r="BL23" t="s">
        <v>1926</v>
      </c>
      <c r="BM23" t="b">
        <f t="shared" si="37"/>
        <v>1</v>
      </c>
      <c r="BN23" t="str">
        <f t="shared" si="22"/>
        <v>R184</v>
      </c>
      <c r="BO23" t="str">
        <f>U22</f>
        <v>R184</v>
      </c>
      <c r="BP23" t="str">
        <f t="shared" si="23"/>
        <v>R749</v>
      </c>
      <c r="BQ23" t="str">
        <f t="shared" si="24"/>
        <v>R749</v>
      </c>
      <c r="BR23" t="s">
        <v>957</v>
      </c>
      <c r="BS23" t="s">
        <v>957</v>
      </c>
      <c r="BT23" t="s">
        <v>957</v>
      </c>
      <c r="BU23" t="b">
        <f t="shared" si="38"/>
        <v>1</v>
      </c>
      <c r="BV23" s="180" t="s">
        <v>1681</v>
      </c>
      <c r="BW23" s="180" t="s">
        <v>841</v>
      </c>
      <c r="BZ23" t="str">
        <f t="shared" si="25"/>
        <v>G190</v>
      </c>
      <c r="CA23" t="b">
        <f t="shared" si="26"/>
        <v>0</v>
      </c>
      <c r="CB23" t="str">
        <f t="shared" si="39"/>
        <v>G190</v>
      </c>
      <c r="CC23" t="str">
        <f t="shared" si="27"/>
        <v>R749</v>
      </c>
      <c r="CD23" t="b">
        <f t="shared" si="40"/>
        <v>0</v>
      </c>
      <c r="CE23" t="str">
        <f t="shared" si="41"/>
        <v>R749</v>
      </c>
      <c r="CG23" t="str">
        <f t="shared" si="28"/>
        <v>G298</v>
      </c>
      <c r="CH23" t="str">
        <f t="shared" si="42"/>
        <v>G298</v>
      </c>
      <c r="CI23" t="str">
        <f>AE22</f>
        <v>G240</v>
      </c>
      <c r="CJ23" t="str">
        <f t="shared" si="29"/>
        <v>G240</v>
      </c>
      <c r="CK23" t="s">
        <v>1752</v>
      </c>
      <c r="CL23" t="s">
        <v>1752</v>
      </c>
      <c r="CM23" t="s">
        <v>1752</v>
      </c>
      <c r="CN23" t="b">
        <f t="shared" si="43"/>
        <v>1</v>
      </c>
      <c r="CO23" t="str">
        <f t="shared" si="30"/>
        <v>R120</v>
      </c>
      <c r="CP23" t="str">
        <f t="shared" si="44"/>
        <v>R120</v>
      </c>
      <c r="CQ23" t="str">
        <f>AF22</f>
        <v>R82</v>
      </c>
      <c r="CR23" t="str">
        <f t="shared" si="31"/>
        <v>R82</v>
      </c>
      <c r="CS23" t="s">
        <v>1021</v>
      </c>
      <c r="CT23" t="s">
        <v>1021</v>
      </c>
      <c r="CU23" t="s">
        <v>1021</v>
      </c>
      <c r="CV23" t="b">
        <f t="shared" si="45"/>
        <v>1</v>
      </c>
      <c r="CW23" s="410" t="s">
        <v>1711</v>
      </c>
      <c r="CX23" s="400" t="b">
        <f>COUNTIF($CG$5:$CG$2000, CW20)&gt;1</f>
        <v>0</v>
      </c>
      <c r="CY23" s="400"/>
      <c r="CZ23" s="400"/>
      <c r="DC23" t="str">
        <f t="shared" si="32"/>
        <v>G240</v>
      </c>
      <c r="DD23" t="b">
        <f t="shared" si="47"/>
        <v>0</v>
      </c>
      <c r="DE23" t="str">
        <f t="shared" si="48"/>
        <v>G240</v>
      </c>
      <c r="DF23" t="str">
        <f t="shared" si="33"/>
        <v>R82</v>
      </c>
      <c r="DG23" t="b">
        <f t="shared" si="49"/>
        <v>0</v>
      </c>
      <c r="DH23" t="str">
        <f t="shared" si="50"/>
        <v>R82</v>
      </c>
    </row>
    <row r="24" spans="2:112" ht="12" customHeight="1">
      <c r="B24" t="str">
        <f>TBIDry!H96</f>
        <v>G468</v>
      </c>
      <c r="C24" t="str">
        <f>TBIDry!I96</f>
        <v>R630</v>
      </c>
      <c r="D24" t="b">
        <f t="shared" si="1"/>
        <v>0</v>
      </c>
      <c r="E24" t="b">
        <f t="shared" si="2"/>
        <v>0</v>
      </c>
      <c r="G24" t="str">
        <f>TBIWet!H96</f>
        <v>G699</v>
      </c>
      <c r="H24" t="str">
        <f>TBIWet!I96</f>
        <v>R529</v>
      </c>
      <c r="I24" t="b">
        <f t="shared" si="3"/>
        <v>0</v>
      </c>
      <c r="J24" t="b">
        <f t="shared" si="34"/>
        <v>0</v>
      </c>
      <c r="L24" t="str">
        <f>'Both teabags AfterWet'!A22</f>
        <v>G308</v>
      </c>
      <c r="M24" t="str">
        <f>'Both teabags AfterWet'!A442</f>
        <v>R122</v>
      </c>
      <c r="N24" t="b">
        <f t="shared" si="4"/>
        <v>0</v>
      </c>
      <c r="O24" t="b">
        <f t="shared" si="51"/>
        <v>0</v>
      </c>
      <c r="Q24" s="395" t="b">
        <f t="shared" si="5"/>
        <v>0</v>
      </c>
      <c r="R24" s="395" t="b">
        <f t="shared" si="6"/>
        <v>0</v>
      </c>
      <c r="T24" t="str">
        <f>'Both teabags AfterDry'!A22</f>
        <v>G126</v>
      </c>
      <c r="U24" t="str">
        <f>'Both teabags AfterDry'!A357</f>
        <v>R191</v>
      </c>
      <c r="V24" t="b">
        <f t="shared" si="7"/>
        <v>0</v>
      </c>
      <c r="W24" t="b">
        <f t="shared" si="35"/>
        <v>0</v>
      </c>
      <c r="Y24" t="str">
        <f>'Green_rooibos initial weight'!A25</f>
        <v>G21</v>
      </c>
      <c r="Z24" t="str">
        <f>'Green_rooibos initial weight'!A929</f>
        <v>R21</v>
      </c>
      <c r="AA24" t="b">
        <f t="shared" si="8"/>
        <v>0</v>
      </c>
      <c r="AB24" t="b">
        <f t="shared" si="9"/>
        <v>0</v>
      </c>
      <c r="AE24" t="str">
        <f>'WetLitterbags placem_collection'!K23</f>
        <v>G699</v>
      </c>
      <c r="AF24" t="str">
        <f>'WetLitterbags placem_collection'!M23</f>
        <v>R529</v>
      </c>
      <c r="AG24" t="b">
        <f t="shared" si="10"/>
        <v>0</v>
      </c>
      <c r="AH24" t="b">
        <f t="shared" si="11"/>
        <v>0</v>
      </c>
      <c r="AJ24" t="b">
        <f t="shared" si="12"/>
        <v>0</v>
      </c>
      <c r="AK24" t="b">
        <f t="shared" si="13"/>
        <v>0</v>
      </c>
      <c r="AM24" t="str">
        <f>IF(ISBLANK('Dry_Litterbag Placem_Collection'!J23),"","G"&amp;""&amp;'Dry_Litterbag Placem_Collection'!J23)</f>
        <v>G468</v>
      </c>
      <c r="AN24" t="str">
        <f>IF(ISBLANK('Dry_Litterbag Placem_Collection'!K23),"","R"&amp;""&amp;'Dry_Litterbag Placem_Collection'!K23)</f>
        <v>R630</v>
      </c>
      <c r="AO24" t="b">
        <f t="shared" si="53"/>
        <v>0</v>
      </c>
      <c r="AP24" t="b">
        <f t="shared" si="15"/>
        <v>0</v>
      </c>
      <c r="AS24" t="str">
        <f>'Ashed teabags dry'!A22</f>
        <v>G126</v>
      </c>
      <c r="AT24" t="str">
        <f>'Ashed teabags dry'!A357</f>
        <v>R191</v>
      </c>
      <c r="AU24" t="b">
        <f t="shared" si="16"/>
        <v>0</v>
      </c>
      <c r="AV24" t="b">
        <f>COUNTIF($AT$4:$AT$2000, AT24)&gt;1</f>
        <v>0</v>
      </c>
      <c r="AX24" s="395" t="b">
        <f t="shared" si="17"/>
        <v>0</v>
      </c>
      <c r="AY24" s="395" t="b">
        <f t="shared" si="18"/>
        <v>0</v>
      </c>
      <c r="BA24" t="str">
        <f>'Ashed teabags wet'!A22</f>
        <v>G308</v>
      </c>
      <c r="BB24" t="str">
        <f>'Ashed teabags wet'!A442</f>
        <v>R122</v>
      </c>
      <c r="BC24" t="b">
        <f t="shared" si="19"/>
        <v>0</v>
      </c>
      <c r="BD24" t="b">
        <f t="shared" si="0"/>
        <v>0</v>
      </c>
      <c r="BF24" t="str">
        <f t="shared" si="20"/>
        <v>G125</v>
      </c>
      <c r="BG24" t="str">
        <f>T23</f>
        <v>G125</v>
      </c>
      <c r="BH24" t="str">
        <f t="shared" si="21"/>
        <v>G38</v>
      </c>
      <c r="BI24" t="str">
        <f t="shared" si="36"/>
        <v>G38</v>
      </c>
      <c r="BJ24" t="s">
        <v>1925</v>
      </c>
      <c r="BK24" t="s">
        <v>1925</v>
      </c>
      <c r="BL24" t="s">
        <v>1925</v>
      </c>
      <c r="BM24" t="b">
        <f t="shared" si="37"/>
        <v>1</v>
      </c>
      <c r="BN24" t="str">
        <f t="shared" si="22"/>
        <v>R188</v>
      </c>
      <c r="BO24" t="str">
        <f>U23</f>
        <v>R188</v>
      </c>
      <c r="BP24" t="str">
        <f t="shared" si="23"/>
        <v>R632</v>
      </c>
      <c r="BQ24" t="str">
        <f t="shared" si="24"/>
        <v>R632</v>
      </c>
      <c r="BR24" t="s">
        <v>953</v>
      </c>
      <c r="BS24" t="s">
        <v>953</v>
      </c>
      <c r="BT24" t="s">
        <v>953</v>
      </c>
      <c r="BU24" t="b">
        <f t="shared" si="38"/>
        <v>1</v>
      </c>
      <c r="BV24" s="180" t="s">
        <v>2011</v>
      </c>
      <c r="BW24" s="180" t="s">
        <v>947</v>
      </c>
      <c r="BZ24" t="str">
        <f t="shared" si="25"/>
        <v>G38</v>
      </c>
      <c r="CA24" t="b">
        <f t="shared" si="26"/>
        <v>0</v>
      </c>
      <c r="CB24" t="str">
        <f t="shared" si="39"/>
        <v>G38</v>
      </c>
      <c r="CC24" t="str">
        <f t="shared" si="27"/>
        <v>R632</v>
      </c>
      <c r="CD24" t="b">
        <f t="shared" si="40"/>
        <v>0</v>
      </c>
      <c r="CE24" t="str">
        <f t="shared" si="41"/>
        <v>R632</v>
      </c>
      <c r="CG24" t="str">
        <f t="shared" si="28"/>
        <v>G299</v>
      </c>
      <c r="CH24" t="str">
        <f t="shared" si="42"/>
        <v>G299</v>
      </c>
      <c r="CI24" t="str">
        <f>AE23</f>
        <v>G524</v>
      </c>
      <c r="CJ24" t="str">
        <f t="shared" si="29"/>
        <v>G524</v>
      </c>
      <c r="CK24" t="s">
        <v>1751</v>
      </c>
      <c r="CL24" t="s">
        <v>1751</v>
      </c>
      <c r="CM24" t="s">
        <v>1751</v>
      </c>
      <c r="CN24" t="b">
        <f t="shared" si="43"/>
        <v>1</v>
      </c>
      <c r="CO24" t="str">
        <f t="shared" si="30"/>
        <v>R121</v>
      </c>
      <c r="CP24" t="str">
        <f t="shared" si="44"/>
        <v>R121</v>
      </c>
      <c r="CQ24" t="str">
        <f>AF23</f>
        <v>R50</v>
      </c>
      <c r="CR24" t="str">
        <f t="shared" si="31"/>
        <v>R50</v>
      </c>
      <c r="CS24" t="s">
        <v>1020</v>
      </c>
      <c r="CT24" t="s">
        <v>1020</v>
      </c>
      <c r="CU24" t="s">
        <v>1020</v>
      </c>
      <c r="CV24" t="b">
        <f t="shared" si="45"/>
        <v>1</v>
      </c>
      <c r="CW24" s="410" t="s">
        <v>1398</v>
      </c>
      <c r="CX24" s="400" t="b">
        <f>COUNTIF($CG$5:$CG$2000, CW21)&gt;1</f>
        <v>0</v>
      </c>
      <c r="CY24" s="400"/>
      <c r="CZ24" s="400"/>
      <c r="DC24" t="str">
        <f t="shared" si="32"/>
        <v>G524</v>
      </c>
      <c r="DD24" t="b">
        <f t="shared" si="47"/>
        <v>0</v>
      </c>
      <c r="DE24" t="str">
        <f t="shared" si="48"/>
        <v>G524</v>
      </c>
      <c r="DF24" t="str">
        <f t="shared" si="33"/>
        <v>R50</v>
      </c>
      <c r="DG24" t="b">
        <f t="shared" si="49"/>
        <v>0</v>
      </c>
      <c r="DH24" t="str">
        <f t="shared" si="50"/>
        <v>R50</v>
      </c>
    </row>
    <row r="25" spans="2:112" ht="12" customHeight="1">
      <c r="B25" t="str">
        <f>TBIDry!H97</f>
        <v>G8</v>
      </c>
      <c r="C25" t="str">
        <f>TBIDry!I97</f>
        <v>R723</v>
      </c>
      <c r="D25" t="b">
        <f t="shared" si="1"/>
        <v>0</v>
      </c>
      <c r="E25" t="b">
        <f t="shared" si="2"/>
        <v>0</v>
      </c>
      <c r="G25" t="str">
        <f>TBIWet!H97</f>
        <v>G575</v>
      </c>
      <c r="H25" t="str">
        <f>TBIWet!I97</f>
        <v>R363</v>
      </c>
      <c r="I25" t="b">
        <f t="shared" si="3"/>
        <v>0</v>
      </c>
      <c r="J25" t="b">
        <f t="shared" si="34"/>
        <v>0</v>
      </c>
      <c r="L25" t="str">
        <f>'Both teabags AfterWet'!A23</f>
        <v>G334</v>
      </c>
      <c r="M25" t="str">
        <f>'Both teabags AfterWet'!A443</f>
        <v>R124</v>
      </c>
      <c r="N25" t="b">
        <f t="shared" si="4"/>
        <v>0</v>
      </c>
      <c r="O25" t="b">
        <f t="shared" si="51"/>
        <v>0</v>
      </c>
      <c r="Q25" s="395" t="b">
        <f t="shared" si="5"/>
        <v>0</v>
      </c>
      <c r="R25" s="395" t="b">
        <f t="shared" si="6"/>
        <v>0</v>
      </c>
      <c r="T25" t="str">
        <f>'Both teabags AfterDry'!A23</f>
        <v>G127</v>
      </c>
      <c r="U25" t="str">
        <f>'Both teabags AfterDry'!A358</f>
        <v>R192</v>
      </c>
      <c r="V25" t="b">
        <f t="shared" si="7"/>
        <v>0</v>
      </c>
      <c r="W25" t="b">
        <f t="shared" si="35"/>
        <v>0</v>
      </c>
      <c r="Y25" t="str">
        <f>'Green_rooibos initial weight'!A26</f>
        <v>G22</v>
      </c>
      <c r="Z25" t="str">
        <f>'Green_rooibos initial weight'!A930</f>
        <v>R22</v>
      </c>
      <c r="AA25" t="b">
        <f t="shared" si="8"/>
        <v>0</v>
      </c>
      <c r="AB25" t="b">
        <f t="shared" si="9"/>
        <v>0</v>
      </c>
      <c r="AE25" t="str">
        <f>'WetLitterbags placem_collection'!K24</f>
        <v>G575</v>
      </c>
      <c r="AF25" t="str">
        <f>'WetLitterbags placem_collection'!M24</f>
        <v>R363</v>
      </c>
      <c r="AG25" t="b">
        <f t="shared" si="10"/>
        <v>0</v>
      </c>
      <c r="AH25" t="b">
        <f t="shared" si="11"/>
        <v>0</v>
      </c>
      <c r="AJ25" t="b">
        <f t="shared" si="12"/>
        <v>0</v>
      </c>
      <c r="AK25" t="b">
        <f t="shared" si="13"/>
        <v>0</v>
      </c>
      <c r="AM25" t="str">
        <f>IF(ISBLANK('Dry_Litterbag Placem_Collection'!J24),"","G"&amp;""&amp;'Dry_Litterbag Placem_Collection'!J24)</f>
        <v>G8</v>
      </c>
      <c r="AN25" t="str">
        <f>IF(ISBLANK('Dry_Litterbag Placem_Collection'!K24),"","R"&amp;""&amp;'Dry_Litterbag Placem_Collection'!K24)</f>
        <v>R723</v>
      </c>
      <c r="AO25" t="b">
        <f t="shared" si="53"/>
        <v>0</v>
      </c>
      <c r="AP25" t="b">
        <f t="shared" si="15"/>
        <v>0</v>
      </c>
      <c r="AS25" t="str">
        <f>'Ashed teabags dry'!A23</f>
        <v>G127</v>
      </c>
      <c r="AT25" t="str">
        <f>'Ashed teabags dry'!A358</f>
        <v>R192</v>
      </c>
      <c r="AU25" t="b">
        <f t="shared" si="16"/>
        <v>0</v>
      </c>
      <c r="AV25" t="b">
        <f>COUNTIF($AT$4:$AT$2000, AT25)&gt;1</f>
        <v>0</v>
      </c>
      <c r="AX25" s="395" t="b">
        <f t="shared" si="17"/>
        <v>0</v>
      </c>
      <c r="AY25" s="395" t="b">
        <f t="shared" si="18"/>
        <v>0</v>
      </c>
      <c r="BA25" t="str">
        <f>'Ashed teabags wet'!A23</f>
        <v>G334</v>
      </c>
      <c r="BB25" t="str">
        <f>'Ashed teabags wet'!A443</f>
        <v>R124</v>
      </c>
      <c r="BC25" t="b">
        <f t="shared" si="19"/>
        <v>0</v>
      </c>
      <c r="BD25" t="b">
        <f t="shared" si="0"/>
        <v>0</v>
      </c>
      <c r="BF25" t="str">
        <f t="shared" si="20"/>
        <v>G126</v>
      </c>
      <c r="BG25" t="str">
        <f>T24</f>
        <v>G126</v>
      </c>
      <c r="BH25" t="str">
        <f t="shared" si="21"/>
        <v>G468</v>
      </c>
      <c r="BI25" t="str">
        <f t="shared" si="36"/>
        <v/>
      </c>
      <c r="BJ25" t="s">
        <v>1924</v>
      </c>
      <c r="BK25" t="s">
        <v>1924</v>
      </c>
      <c r="BL25" t="s">
        <v>1924</v>
      </c>
      <c r="BM25" t="b">
        <f t="shared" si="37"/>
        <v>1</v>
      </c>
      <c r="BN25" t="str">
        <f t="shared" si="22"/>
        <v>R191</v>
      </c>
      <c r="BO25" t="str">
        <f>U24</f>
        <v>R191</v>
      </c>
      <c r="BP25" t="str">
        <f t="shared" si="23"/>
        <v>R630</v>
      </c>
      <c r="BQ25" t="str">
        <f t="shared" si="24"/>
        <v/>
      </c>
      <c r="BR25" t="s">
        <v>950</v>
      </c>
      <c r="BS25" t="s">
        <v>950</v>
      </c>
      <c r="BT25" t="s">
        <v>950</v>
      </c>
      <c r="BU25" t="b">
        <f t="shared" si="38"/>
        <v>1</v>
      </c>
      <c r="BV25" s="180" t="s">
        <v>1582</v>
      </c>
      <c r="BW25" s="180" t="s">
        <v>509</v>
      </c>
      <c r="BZ25" t="str">
        <f t="shared" si="25"/>
        <v>G468</v>
      </c>
      <c r="CA25" t="b">
        <f t="shared" si="26"/>
        <v>1</v>
      </c>
      <c r="CB25" t="str">
        <f t="shared" si="39"/>
        <v/>
      </c>
      <c r="CC25" t="str">
        <f t="shared" si="27"/>
        <v>R630</v>
      </c>
      <c r="CD25" t="b">
        <f t="shared" si="40"/>
        <v>1</v>
      </c>
      <c r="CE25" t="str">
        <f t="shared" si="41"/>
        <v/>
      </c>
      <c r="CG25" t="str">
        <f t="shared" si="28"/>
        <v>G308</v>
      </c>
      <c r="CH25" t="str">
        <f t="shared" si="42"/>
        <v>G308</v>
      </c>
      <c r="CI25" t="str">
        <f>AE24</f>
        <v>G699</v>
      </c>
      <c r="CJ25" t="str">
        <f t="shared" si="29"/>
        <v>G699</v>
      </c>
      <c r="CK25" t="s">
        <v>1742</v>
      </c>
      <c r="CL25" t="s">
        <v>1742</v>
      </c>
      <c r="CM25" t="s">
        <v>1742</v>
      </c>
      <c r="CN25" t="b">
        <f t="shared" si="43"/>
        <v>1</v>
      </c>
      <c r="CO25" t="str">
        <f t="shared" si="30"/>
        <v>R122</v>
      </c>
      <c r="CP25" t="str">
        <f t="shared" si="44"/>
        <v>R122</v>
      </c>
      <c r="CQ25" t="str">
        <f>AF24</f>
        <v>R529</v>
      </c>
      <c r="CR25" t="str">
        <f t="shared" si="31"/>
        <v>R529</v>
      </c>
      <c r="CS25" t="s">
        <v>1019</v>
      </c>
      <c r="CT25" t="s">
        <v>1019</v>
      </c>
      <c r="CU25" t="s">
        <v>1019</v>
      </c>
      <c r="CV25" t="b">
        <f t="shared" si="45"/>
        <v>1</v>
      </c>
      <c r="CW25" s="466" t="s">
        <v>1233</v>
      </c>
      <c r="CX25" s="400"/>
      <c r="DC25" t="str">
        <f t="shared" si="32"/>
        <v>G699</v>
      </c>
      <c r="DD25" t="b">
        <f t="shared" si="47"/>
        <v>0</v>
      </c>
      <c r="DE25" t="str">
        <f t="shared" si="48"/>
        <v>G699</v>
      </c>
      <c r="DF25" t="str">
        <f t="shared" si="33"/>
        <v>R529</v>
      </c>
      <c r="DG25" t="b">
        <f t="shared" si="49"/>
        <v>0</v>
      </c>
      <c r="DH25" t="str">
        <f t="shared" si="50"/>
        <v>R529</v>
      </c>
    </row>
    <row r="26" spans="2:112" ht="12" customHeight="1">
      <c r="B26" t="str">
        <f>TBIDry!H98</f>
        <v/>
      </c>
      <c r="C26" t="str">
        <f>TBIDry!I98</f>
        <v/>
      </c>
      <c r="D26" t="b">
        <f t="shared" si="1"/>
        <v>1</v>
      </c>
      <c r="E26" t="b">
        <f t="shared" si="2"/>
        <v>1</v>
      </c>
      <c r="G26" t="str">
        <f>TBIWet!H98</f>
        <v>G492</v>
      </c>
      <c r="H26" t="str">
        <f>TBIWet!I98</f>
        <v>R190</v>
      </c>
      <c r="I26" t="b">
        <f t="shared" si="3"/>
        <v>0</v>
      </c>
      <c r="J26" t="b">
        <f t="shared" si="34"/>
        <v>0</v>
      </c>
      <c r="L26" t="str">
        <f>'Both teabags AfterWet'!A24</f>
        <v>G337</v>
      </c>
      <c r="M26" t="str">
        <f>'Both teabags AfterWet'!A444</f>
        <v>R125</v>
      </c>
      <c r="N26" t="b">
        <f t="shared" si="4"/>
        <v>0</v>
      </c>
      <c r="O26" t="b">
        <f t="shared" si="51"/>
        <v>0</v>
      </c>
      <c r="Q26" s="395" t="b">
        <f t="shared" si="5"/>
        <v>0</v>
      </c>
      <c r="R26" s="395" t="b">
        <f t="shared" si="6"/>
        <v>0</v>
      </c>
      <c r="T26" t="str">
        <f>'Both teabags AfterDry'!A24</f>
        <v>G128</v>
      </c>
      <c r="U26" t="str">
        <f>'Both teabags AfterDry'!A359</f>
        <v>R193</v>
      </c>
      <c r="V26" t="b">
        <f t="shared" si="7"/>
        <v>0</v>
      </c>
      <c r="W26" t="b">
        <f t="shared" si="35"/>
        <v>0</v>
      </c>
      <c r="Y26" t="str">
        <f>'Green_rooibos initial weight'!A27</f>
        <v>G23</v>
      </c>
      <c r="Z26" t="str">
        <f>'Green_rooibos initial weight'!A931</f>
        <v>R23</v>
      </c>
      <c r="AA26" t="b">
        <f t="shared" si="8"/>
        <v>0</v>
      </c>
      <c r="AB26" t="b">
        <f t="shared" si="9"/>
        <v>0</v>
      </c>
      <c r="AE26" t="str">
        <f>'WetLitterbags placem_collection'!K25</f>
        <v>G492</v>
      </c>
      <c r="AF26" t="str">
        <f>'WetLitterbags placem_collection'!M25</f>
        <v>R190</v>
      </c>
      <c r="AG26" t="b">
        <f t="shared" si="10"/>
        <v>0</v>
      </c>
      <c r="AH26" t="b">
        <f t="shared" si="11"/>
        <v>0</v>
      </c>
      <c r="AJ26" t="b">
        <f t="shared" si="12"/>
        <v>0</v>
      </c>
      <c r="AK26" t="b">
        <f t="shared" si="13"/>
        <v>0</v>
      </c>
      <c r="AM26" t="str">
        <f>IF(ISBLANK('Dry_Litterbag Placem_Collection'!J25),"","G"&amp;""&amp;'Dry_Litterbag Placem_Collection'!J25)</f>
        <v/>
      </c>
      <c r="AN26" t="str">
        <f>IF(ISBLANK('Dry_Litterbag Placem_Collection'!K25),"","R"&amp;""&amp;'Dry_Litterbag Placem_Collection'!K25)</f>
        <v/>
      </c>
      <c r="AO26" t="b">
        <f t="shared" si="53"/>
        <v>1</v>
      </c>
      <c r="AP26" t="b">
        <f t="shared" si="15"/>
        <v>1</v>
      </c>
      <c r="AS26" t="str">
        <f>'Ashed teabags dry'!A24</f>
        <v>G128</v>
      </c>
      <c r="AT26" t="str">
        <f>'Ashed teabags dry'!A359</f>
        <v>R193</v>
      </c>
      <c r="AU26" t="b">
        <f t="shared" si="16"/>
        <v>0</v>
      </c>
      <c r="AV26" t="b">
        <f>COUNTIF($AT$4:$AT$2000, AT26)&gt;1</f>
        <v>0</v>
      </c>
      <c r="AX26" s="395" t="b">
        <f t="shared" si="17"/>
        <v>0</v>
      </c>
      <c r="AY26" s="395" t="b">
        <f t="shared" si="18"/>
        <v>0</v>
      </c>
      <c r="BA26" t="str">
        <f>'Ashed teabags wet'!A24</f>
        <v>G337</v>
      </c>
      <c r="BB26" t="str">
        <f>'Ashed teabags wet'!A444</f>
        <v>R125</v>
      </c>
      <c r="BC26" t="b">
        <f t="shared" si="19"/>
        <v>0</v>
      </c>
      <c r="BD26" t="b">
        <f t="shared" si="0"/>
        <v>0</v>
      </c>
      <c r="BF26" t="str">
        <f t="shared" si="20"/>
        <v>G127</v>
      </c>
      <c r="BG26" t="str">
        <f>T25</f>
        <v>G127</v>
      </c>
      <c r="BH26" t="str">
        <f t="shared" si="21"/>
        <v>G8</v>
      </c>
      <c r="BI26" t="str">
        <f t="shared" si="36"/>
        <v>G8</v>
      </c>
      <c r="BJ26" t="s">
        <v>1923</v>
      </c>
      <c r="BK26" t="s">
        <v>1923</v>
      </c>
      <c r="BL26" t="s">
        <v>1923</v>
      </c>
      <c r="BM26" t="b">
        <f t="shared" si="37"/>
        <v>1</v>
      </c>
      <c r="BN26" t="str">
        <f t="shared" si="22"/>
        <v>R192</v>
      </c>
      <c r="BO26" t="str">
        <f>U25</f>
        <v>R192</v>
      </c>
      <c r="BP26" t="str">
        <f t="shared" si="23"/>
        <v>R723</v>
      </c>
      <c r="BQ26" t="str">
        <f t="shared" si="24"/>
        <v>R723</v>
      </c>
      <c r="BR26" t="s">
        <v>949</v>
      </c>
      <c r="BS26" t="s">
        <v>949</v>
      </c>
      <c r="BT26" t="s">
        <v>949</v>
      </c>
      <c r="BU26" t="b">
        <f t="shared" si="38"/>
        <v>1</v>
      </c>
      <c r="BV26" s="180" t="s">
        <v>1996</v>
      </c>
      <c r="BW26" s="180" t="s">
        <v>334</v>
      </c>
      <c r="BZ26" t="str">
        <f t="shared" si="25"/>
        <v>G8</v>
      </c>
      <c r="CA26" t="b">
        <f t="shared" si="26"/>
        <v>0</v>
      </c>
      <c r="CB26" t="str">
        <f t="shared" si="39"/>
        <v>G8</v>
      </c>
      <c r="CC26" t="str">
        <f t="shared" si="27"/>
        <v>R723</v>
      </c>
      <c r="CD26" t="b">
        <f t="shared" si="40"/>
        <v>0</v>
      </c>
      <c r="CE26" t="str">
        <f t="shared" si="41"/>
        <v>R723</v>
      </c>
      <c r="CG26" t="str">
        <f t="shared" si="28"/>
        <v>G334</v>
      </c>
      <c r="CH26" t="str">
        <f t="shared" si="42"/>
        <v>G334</v>
      </c>
      <c r="CI26" t="str">
        <f>AE25</f>
        <v>G575</v>
      </c>
      <c r="CJ26" t="str">
        <f t="shared" si="29"/>
        <v>G575</v>
      </c>
      <c r="CK26" t="s">
        <v>1716</v>
      </c>
      <c r="CL26" t="s">
        <v>1716</v>
      </c>
      <c r="CM26" t="s">
        <v>1716</v>
      </c>
      <c r="CN26" t="b">
        <f t="shared" si="43"/>
        <v>1</v>
      </c>
      <c r="CO26" t="str">
        <f t="shared" si="30"/>
        <v>R124</v>
      </c>
      <c r="CP26" t="str">
        <f t="shared" si="44"/>
        <v>R124</v>
      </c>
      <c r="CQ26" t="str">
        <f>AF25</f>
        <v>R363</v>
      </c>
      <c r="CR26" t="str">
        <f t="shared" si="31"/>
        <v>R363</v>
      </c>
      <c r="CS26" t="s">
        <v>1017</v>
      </c>
      <c r="CT26" t="s">
        <v>1017</v>
      </c>
      <c r="CU26" t="s">
        <v>1017</v>
      </c>
      <c r="CV26" t="b">
        <f t="shared" si="45"/>
        <v>1</v>
      </c>
      <c r="DC26" t="str">
        <f t="shared" si="32"/>
        <v>G575</v>
      </c>
      <c r="DD26" t="b">
        <f t="shared" si="47"/>
        <v>0</v>
      </c>
      <c r="DE26" t="str">
        <f t="shared" si="48"/>
        <v>G575</v>
      </c>
      <c r="DF26" t="str">
        <f t="shared" si="33"/>
        <v>R363</v>
      </c>
      <c r="DG26" t="b">
        <f t="shared" si="49"/>
        <v>0</v>
      </c>
      <c r="DH26" t="str">
        <f t="shared" si="50"/>
        <v>R363</v>
      </c>
    </row>
    <row r="27" spans="2:112" ht="12" customHeight="1">
      <c r="B27" t="str">
        <f>TBIDry!H99</f>
        <v>G320</v>
      </c>
      <c r="C27" t="str">
        <f>TBIDry!I99</f>
        <v>R225</v>
      </c>
      <c r="D27" t="b">
        <f t="shared" si="1"/>
        <v>0</v>
      </c>
      <c r="E27" t="b">
        <f t="shared" si="2"/>
        <v>0</v>
      </c>
      <c r="G27" t="str">
        <f>TBIWet!H99</f>
        <v>G813</v>
      </c>
      <c r="H27" t="str">
        <f>TBIWet!I99</f>
        <v>R144</v>
      </c>
      <c r="I27" t="b">
        <f t="shared" si="3"/>
        <v>0</v>
      </c>
      <c r="J27" t="b">
        <f t="shared" si="34"/>
        <v>0</v>
      </c>
      <c r="L27" t="str">
        <f>'Both teabags AfterWet'!A25</f>
        <v>G345</v>
      </c>
      <c r="M27" t="str">
        <f>'Both teabags AfterWet'!A445</f>
        <v>R126</v>
      </c>
      <c r="N27" t="b">
        <f t="shared" si="4"/>
        <v>0</v>
      </c>
      <c r="O27" t="b">
        <f t="shared" si="51"/>
        <v>0</v>
      </c>
      <c r="Q27" s="395" t="b">
        <f t="shared" si="5"/>
        <v>0</v>
      </c>
      <c r="R27" s="395" t="b">
        <f t="shared" si="6"/>
        <v>0</v>
      </c>
      <c r="T27" t="str">
        <f>'Both teabags AfterDry'!A25</f>
        <v>G13</v>
      </c>
      <c r="U27" t="str">
        <f>'Both teabags AfterDry'!A360</f>
        <v>R195</v>
      </c>
      <c r="V27" t="b">
        <f t="shared" si="7"/>
        <v>0</v>
      </c>
      <c r="W27" t="b">
        <f t="shared" si="35"/>
        <v>0</v>
      </c>
      <c r="Y27" t="str">
        <f>'Green_rooibos initial weight'!A28</f>
        <v>G24</v>
      </c>
      <c r="Z27" t="str">
        <f>'Green_rooibos initial weight'!A932</f>
        <v>R24</v>
      </c>
      <c r="AA27" t="b">
        <f t="shared" si="8"/>
        <v>0</v>
      </c>
      <c r="AB27" t="b">
        <f t="shared" si="9"/>
        <v>0</v>
      </c>
      <c r="AE27" t="str">
        <f>'WetLitterbags placem_collection'!K26</f>
        <v>G813</v>
      </c>
      <c r="AF27" t="str">
        <f>'WetLitterbags placem_collection'!M26</f>
        <v>R144</v>
      </c>
      <c r="AG27" t="b">
        <f t="shared" si="10"/>
        <v>0</v>
      </c>
      <c r="AH27" t="b">
        <f t="shared" si="11"/>
        <v>0</v>
      </c>
      <c r="AJ27" t="b">
        <f t="shared" si="12"/>
        <v>0</v>
      </c>
      <c r="AK27" t="b">
        <f t="shared" si="13"/>
        <v>0</v>
      </c>
      <c r="AM27" t="str">
        <f>IF(ISBLANK('Dry_Litterbag Placem_Collection'!J26),"","G"&amp;""&amp;'Dry_Litterbag Placem_Collection'!J26)</f>
        <v>G320</v>
      </c>
      <c r="AN27" t="str">
        <f>IF(ISBLANK('Dry_Litterbag Placem_Collection'!K26),"","R"&amp;""&amp;'Dry_Litterbag Placem_Collection'!K26)</f>
        <v>R225</v>
      </c>
      <c r="AO27" t="b">
        <f t="shared" si="53"/>
        <v>0</v>
      </c>
      <c r="AP27" t="b">
        <f t="shared" si="15"/>
        <v>0</v>
      </c>
      <c r="AS27" t="str">
        <f>'Ashed teabags dry'!A25</f>
        <v>G13</v>
      </c>
      <c r="AT27" t="str">
        <f>'Ashed teabags dry'!A360</f>
        <v>R195</v>
      </c>
      <c r="AU27" t="b">
        <f t="shared" si="16"/>
        <v>0</v>
      </c>
      <c r="AV27" t="b">
        <f>COUNTIF($AT$4:$AT$2000, AT27)&gt;1</f>
        <v>0</v>
      </c>
      <c r="AX27" s="395" t="b">
        <f t="shared" si="17"/>
        <v>0</v>
      </c>
      <c r="AY27" s="395" t="b">
        <f t="shared" si="18"/>
        <v>0</v>
      </c>
      <c r="BA27" t="str">
        <f>'Ashed teabags wet'!A25</f>
        <v>G345</v>
      </c>
      <c r="BB27" t="str">
        <f>'Ashed teabags wet'!A445</f>
        <v>R126</v>
      </c>
      <c r="BC27" t="b">
        <f t="shared" si="19"/>
        <v>0</v>
      </c>
      <c r="BD27" t="b">
        <f t="shared" si="0"/>
        <v>0</v>
      </c>
      <c r="BF27" t="str">
        <f t="shared" si="20"/>
        <v>G128</v>
      </c>
      <c r="BG27" t="str">
        <f>T26</f>
        <v>G128</v>
      </c>
      <c r="BH27" t="str">
        <f t="shared" si="21"/>
        <v/>
      </c>
      <c r="BI27" t="str">
        <f t="shared" si="36"/>
        <v/>
      </c>
      <c r="BJ27" t="s">
        <v>1922</v>
      </c>
      <c r="BK27" t="s">
        <v>1922</v>
      </c>
      <c r="BL27" t="s">
        <v>1922</v>
      </c>
      <c r="BM27" t="b">
        <f t="shared" si="37"/>
        <v>1</v>
      </c>
      <c r="BN27" t="str">
        <f t="shared" si="22"/>
        <v>R193</v>
      </c>
      <c r="BO27" t="str">
        <f>U26</f>
        <v>R193</v>
      </c>
      <c r="BP27" t="str">
        <f t="shared" si="23"/>
        <v/>
      </c>
      <c r="BQ27" t="str">
        <f t="shared" si="24"/>
        <v/>
      </c>
      <c r="BR27" t="s">
        <v>948</v>
      </c>
      <c r="BS27" t="s">
        <v>948</v>
      </c>
      <c r="BT27" t="s">
        <v>948</v>
      </c>
      <c r="BU27" t="b">
        <f t="shared" si="38"/>
        <v>1</v>
      </c>
      <c r="BV27" s="180" t="s">
        <v>1859</v>
      </c>
      <c r="BW27" s="180" t="s">
        <v>364</v>
      </c>
      <c r="BZ27" t="str">
        <f t="shared" si="25"/>
        <v/>
      </c>
      <c r="CA27" t="b">
        <f t="shared" si="26"/>
        <v>0</v>
      </c>
      <c r="CB27" t="str">
        <f t="shared" si="39"/>
        <v/>
      </c>
      <c r="CC27" t="str">
        <f t="shared" si="27"/>
        <v/>
      </c>
      <c r="CD27" t="b">
        <f t="shared" si="40"/>
        <v>0</v>
      </c>
      <c r="CE27" t="str">
        <f t="shared" si="41"/>
        <v/>
      </c>
      <c r="CG27" t="str">
        <f t="shared" si="28"/>
        <v>G337</v>
      </c>
      <c r="CH27" t="str">
        <f t="shared" si="42"/>
        <v>G337</v>
      </c>
      <c r="CI27" t="str">
        <f>AE26</f>
        <v>G492</v>
      </c>
      <c r="CJ27" t="str">
        <f t="shared" si="29"/>
        <v>G492</v>
      </c>
      <c r="CK27" t="s">
        <v>1713</v>
      </c>
      <c r="CL27" t="s">
        <v>1713</v>
      </c>
      <c r="CM27" t="s">
        <v>1713</v>
      </c>
      <c r="CN27" t="b">
        <f t="shared" si="43"/>
        <v>1</v>
      </c>
      <c r="CO27" t="str">
        <f t="shared" si="30"/>
        <v>R125</v>
      </c>
      <c r="CP27" t="str">
        <f t="shared" si="44"/>
        <v>R125</v>
      </c>
      <c r="CQ27" t="str">
        <f>AF26</f>
        <v>R190</v>
      </c>
      <c r="CR27" t="str">
        <f t="shared" si="31"/>
        <v>R190</v>
      </c>
      <c r="CS27" t="s">
        <v>1016</v>
      </c>
      <c r="CT27" t="s">
        <v>1016</v>
      </c>
      <c r="CU27" t="s">
        <v>1016</v>
      </c>
      <c r="CV27" t="b">
        <f t="shared" si="45"/>
        <v>1</v>
      </c>
      <c r="DC27" t="str">
        <f t="shared" si="32"/>
        <v>G492</v>
      </c>
      <c r="DD27" t="b">
        <f t="shared" si="47"/>
        <v>0</v>
      </c>
      <c r="DE27" t="str">
        <f t="shared" si="48"/>
        <v>G492</v>
      </c>
      <c r="DF27" t="str">
        <f t="shared" si="33"/>
        <v>R190</v>
      </c>
      <c r="DG27" t="b">
        <f t="shared" si="49"/>
        <v>0</v>
      </c>
      <c r="DH27" t="str">
        <f t="shared" si="50"/>
        <v>R190</v>
      </c>
    </row>
    <row r="28" spans="2:112" ht="12" customHeight="1">
      <c r="B28" t="str">
        <f>TBIDry!H100</f>
        <v>G322</v>
      </c>
      <c r="C28" t="str">
        <f>TBIDry!I100</f>
        <v>R43</v>
      </c>
      <c r="D28" t="b">
        <f t="shared" si="1"/>
        <v>0</v>
      </c>
      <c r="E28" t="b">
        <f t="shared" si="2"/>
        <v>0</v>
      </c>
      <c r="G28" t="str">
        <f>TBIWet!H100</f>
        <v>G406</v>
      </c>
      <c r="H28" t="str">
        <f>TBIWet!I100</f>
        <v>R279</v>
      </c>
      <c r="I28" t="b">
        <f t="shared" si="3"/>
        <v>0</v>
      </c>
      <c r="J28" t="b">
        <f t="shared" si="34"/>
        <v>0</v>
      </c>
      <c r="L28" t="str">
        <f>'Both teabags AfterWet'!A26</f>
        <v>G346</v>
      </c>
      <c r="M28" t="str">
        <f>'Both teabags AfterWet'!A446</f>
        <v>R128</v>
      </c>
      <c r="N28" t="b">
        <f t="shared" si="4"/>
        <v>0</v>
      </c>
      <c r="O28" t="b">
        <f t="shared" si="51"/>
        <v>0</v>
      </c>
      <c r="Q28" s="395" t="b">
        <f t="shared" si="5"/>
        <v>0</v>
      </c>
      <c r="R28" s="395" t="b">
        <f t="shared" si="6"/>
        <v>0</v>
      </c>
      <c r="T28" t="str">
        <f>'Both teabags AfterDry'!A26</f>
        <v>G130</v>
      </c>
      <c r="U28" t="str">
        <f>'Both teabags AfterDry'!A361</f>
        <v>R197</v>
      </c>
      <c r="V28" t="b">
        <f t="shared" si="7"/>
        <v>0</v>
      </c>
      <c r="W28" t="b">
        <f t="shared" si="35"/>
        <v>0</v>
      </c>
      <c r="Y28" t="str">
        <f>'Green_rooibos initial weight'!A29</f>
        <v>G25</v>
      </c>
      <c r="Z28" t="str">
        <f>'Green_rooibos initial weight'!A933</f>
        <v>R25</v>
      </c>
      <c r="AA28" t="b">
        <f t="shared" si="8"/>
        <v>0</v>
      </c>
      <c r="AB28" t="b">
        <f t="shared" si="9"/>
        <v>0</v>
      </c>
      <c r="AE28" t="str">
        <f>'WetLitterbags placem_collection'!K27</f>
        <v>G406</v>
      </c>
      <c r="AF28" t="str">
        <f>'WetLitterbags placem_collection'!M27</f>
        <v>R279</v>
      </c>
      <c r="AG28" t="b">
        <f t="shared" si="10"/>
        <v>0</v>
      </c>
      <c r="AH28" t="b">
        <f t="shared" si="11"/>
        <v>0</v>
      </c>
      <c r="AJ28" t="b">
        <f t="shared" si="12"/>
        <v>0</v>
      </c>
      <c r="AK28" t="b">
        <f t="shared" si="13"/>
        <v>0</v>
      </c>
      <c r="AM28" t="str">
        <f>IF(ISBLANK('Dry_Litterbag Placem_Collection'!J27),"","G"&amp;""&amp;'Dry_Litterbag Placem_Collection'!J27)</f>
        <v>G322</v>
      </c>
      <c r="AN28" t="str">
        <f>IF(ISBLANK('Dry_Litterbag Placem_Collection'!K27),"","R"&amp;""&amp;'Dry_Litterbag Placem_Collection'!K27)</f>
        <v>R43</v>
      </c>
      <c r="AO28" t="b">
        <f t="shared" si="53"/>
        <v>0</v>
      </c>
      <c r="AP28" t="b">
        <f t="shared" si="15"/>
        <v>0</v>
      </c>
      <c r="AS28" t="str">
        <f>'Ashed teabags dry'!A26</f>
        <v>G130</v>
      </c>
      <c r="AT28" t="str">
        <f>'Ashed teabags dry'!A361</f>
        <v>R197</v>
      </c>
      <c r="AU28" t="b">
        <f t="shared" si="16"/>
        <v>0</v>
      </c>
      <c r="AV28" t="b">
        <f>COUNTIF($AT$4:$AT$2000, AT28)&gt;1</f>
        <v>0</v>
      </c>
      <c r="AX28" s="395" t="b">
        <f t="shared" si="17"/>
        <v>0</v>
      </c>
      <c r="AY28" s="395" t="b">
        <f t="shared" si="18"/>
        <v>0</v>
      </c>
      <c r="BA28" t="str">
        <f>'Ashed teabags wet'!A26</f>
        <v>G346</v>
      </c>
      <c r="BB28" t="str">
        <f>'Ashed teabags wet'!A446</f>
        <v>R128</v>
      </c>
      <c r="BC28" t="b">
        <f t="shared" si="19"/>
        <v>0</v>
      </c>
      <c r="BD28" t="b">
        <f t="shared" si="0"/>
        <v>0</v>
      </c>
      <c r="BF28" t="str">
        <f t="shared" si="20"/>
        <v>G13</v>
      </c>
      <c r="BG28" t="str">
        <f>T27</f>
        <v>G13</v>
      </c>
      <c r="BH28" t="str">
        <f t="shared" si="21"/>
        <v>G320</v>
      </c>
      <c r="BI28" t="str">
        <f t="shared" si="36"/>
        <v>G320</v>
      </c>
      <c r="BJ28" t="s">
        <v>2037</v>
      </c>
      <c r="BK28" t="s">
        <v>2037</v>
      </c>
      <c r="BL28" t="s">
        <v>2037</v>
      </c>
      <c r="BM28" t="b">
        <f t="shared" si="37"/>
        <v>1</v>
      </c>
      <c r="BN28" t="str">
        <f t="shared" si="22"/>
        <v>R195</v>
      </c>
      <c r="BO28" t="str">
        <f>U27</f>
        <v>R195</v>
      </c>
      <c r="BP28" t="str">
        <f t="shared" si="23"/>
        <v>R225</v>
      </c>
      <c r="BQ28" t="str">
        <f t="shared" si="24"/>
        <v>R225</v>
      </c>
      <c r="BR28" t="s">
        <v>946</v>
      </c>
      <c r="BS28" t="s">
        <v>946</v>
      </c>
      <c r="BT28" t="s">
        <v>946</v>
      </c>
      <c r="BU28" t="b">
        <f t="shared" si="38"/>
        <v>1</v>
      </c>
      <c r="BV28" s="180" t="s">
        <v>1618</v>
      </c>
      <c r="BW28" s="180" t="s">
        <v>338</v>
      </c>
      <c r="BZ28" t="str">
        <f t="shared" si="25"/>
        <v>G320</v>
      </c>
      <c r="CA28" t="b">
        <f t="shared" si="26"/>
        <v>0</v>
      </c>
      <c r="CB28" t="str">
        <f t="shared" si="39"/>
        <v>G320</v>
      </c>
      <c r="CC28" t="str">
        <f t="shared" si="27"/>
        <v>R225</v>
      </c>
      <c r="CD28" t="b">
        <f t="shared" si="40"/>
        <v>0</v>
      </c>
      <c r="CE28" t="str">
        <f t="shared" si="41"/>
        <v>R225</v>
      </c>
      <c r="CG28" t="str">
        <f t="shared" si="28"/>
        <v>G345</v>
      </c>
      <c r="CH28" t="str">
        <f t="shared" si="42"/>
        <v>G345</v>
      </c>
      <c r="CI28" t="str">
        <f>AE27</f>
        <v>G813</v>
      </c>
      <c r="CJ28" t="str">
        <f t="shared" si="29"/>
        <v>G813</v>
      </c>
      <c r="CK28" t="s">
        <v>1705</v>
      </c>
      <c r="CL28" t="s">
        <v>1705</v>
      </c>
      <c r="CM28" t="s">
        <v>1705</v>
      </c>
      <c r="CN28" t="b">
        <f t="shared" si="43"/>
        <v>1</v>
      </c>
      <c r="CO28" t="str">
        <f t="shared" si="30"/>
        <v>R126</v>
      </c>
      <c r="CP28" t="str">
        <f t="shared" si="44"/>
        <v>R126</v>
      </c>
      <c r="CQ28" t="str">
        <f>AF27</f>
        <v>R144</v>
      </c>
      <c r="CR28" t="str">
        <f t="shared" si="31"/>
        <v>R144</v>
      </c>
      <c r="CS28" t="s">
        <v>1015</v>
      </c>
      <c r="CT28" t="s">
        <v>1015</v>
      </c>
      <c r="CU28" t="s">
        <v>1015</v>
      </c>
      <c r="CV28" t="b">
        <f t="shared" si="45"/>
        <v>1</v>
      </c>
      <c r="DC28" t="str">
        <f t="shared" si="32"/>
        <v>G813</v>
      </c>
      <c r="DD28" t="b">
        <f t="shared" si="47"/>
        <v>0</v>
      </c>
      <c r="DE28" t="str">
        <f t="shared" si="48"/>
        <v>G813</v>
      </c>
      <c r="DF28" t="str">
        <f t="shared" si="33"/>
        <v>R144</v>
      </c>
      <c r="DG28" t="b">
        <f t="shared" si="49"/>
        <v>0</v>
      </c>
      <c r="DH28" t="str">
        <f t="shared" si="50"/>
        <v>R144</v>
      </c>
    </row>
    <row r="29" spans="2:112" ht="12" customHeight="1">
      <c r="B29" t="str">
        <f>TBIDry!H101</f>
        <v>G58</v>
      </c>
      <c r="C29" t="str">
        <f>TBIDry!I101</f>
        <v>R602</v>
      </c>
      <c r="D29" t="b">
        <f t="shared" si="1"/>
        <v>0</v>
      </c>
      <c r="E29" t="b">
        <f t="shared" si="2"/>
        <v>0</v>
      </c>
      <c r="G29" t="str">
        <f>TBIWet!H101</f>
        <v>G651</v>
      </c>
      <c r="H29" t="str">
        <f>TBIWet!I101</f>
        <v>R148</v>
      </c>
      <c r="I29" t="b">
        <f t="shared" si="3"/>
        <v>0</v>
      </c>
      <c r="J29" t="b">
        <f t="shared" si="34"/>
        <v>0</v>
      </c>
      <c r="L29" t="str">
        <f>'Both teabags AfterWet'!A27</f>
        <v>G351</v>
      </c>
      <c r="M29" t="str">
        <f>'Both teabags AfterWet'!A447</f>
        <v>R129</v>
      </c>
      <c r="N29" t="b">
        <f t="shared" si="4"/>
        <v>0</v>
      </c>
      <c r="O29" t="b">
        <f t="shared" si="51"/>
        <v>0</v>
      </c>
      <c r="Q29" s="395" t="b">
        <f t="shared" si="5"/>
        <v>0</v>
      </c>
      <c r="R29" s="395" t="b">
        <f t="shared" si="6"/>
        <v>0</v>
      </c>
      <c r="T29" t="str">
        <f>'Both teabags AfterDry'!A27</f>
        <v>G131</v>
      </c>
      <c r="U29" t="str">
        <f>'Both teabags AfterDry'!A362</f>
        <v>R198</v>
      </c>
      <c r="V29" t="b">
        <f t="shared" si="7"/>
        <v>0</v>
      </c>
      <c r="W29" t="b">
        <f t="shared" si="35"/>
        <v>0</v>
      </c>
      <c r="Y29" t="str">
        <f>'Green_rooibos initial weight'!A30</f>
        <v>G26</v>
      </c>
      <c r="Z29" t="str">
        <f>'Green_rooibos initial weight'!A934</f>
        <v>R26</v>
      </c>
      <c r="AA29" t="b">
        <f t="shared" si="8"/>
        <v>0</v>
      </c>
      <c r="AB29" t="b">
        <f t="shared" si="9"/>
        <v>0</v>
      </c>
      <c r="AE29" t="str">
        <f>'WetLitterbags placem_collection'!K28</f>
        <v>G651</v>
      </c>
      <c r="AF29" t="str">
        <f>'WetLitterbags placem_collection'!M28</f>
        <v>R148</v>
      </c>
      <c r="AG29" t="b">
        <f t="shared" si="10"/>
        <v>0</v>
      </c>
      <c r="AH29" t="b">
        <f t="shared" si="11"/>
        <v>0</v>
      </c>
      <c r="AJ29" t="b">
        <f t="shared" si="12"/>
        <v>0</v>
      </c>
      <c r="AK29" t="b">
        <f t="shared" si="13"/>
        <v>0</v>
      </c>
      <c r="AM29" t="str">
        <f>IF(ISBLANK('Dry_Litterbag Placem_Collection'!J28),"","G"&amp;""&amp;'Dry_Litterbag Placem_Collection'!J28)</f>
        <v>G58</v>
      </c>
      <c r="AN29" t="str">
        <f>IF(ISBLANK('Dry_Litterbag Placem_Collection'!K28),"","R"&amp;""&amp;'Dry_Litterbag Placem_Collection'!K28)</f>
        <v>R602</v>
      </c>
      <c r="AO29" t="b">
        <f t="shared" si="53"/>
        <v>0</v>
      </c>
      <c r="AP29" t="b">
        <f t="shared" si="15"/>
        <v>0</v>
      </c>
      <c r="AS29" t="str">
        <f>'Ashed teabags dry'!A27</f>
        <v>G131</v>
      </c>
      <c r="AT29" t="str">
        <f>'Ashed teabags dry'!A362</f>
        <v>R198</v>
      </c>
      <c r="AU29" t="b">
        <f t="shared" si="16"/>
        <v>0</v>
      </c>
      <c r="AV29" t="b">
        <f>COUNTIF($AT$4:$AT$2000, AT29)&gt;1</f>
        <v>0</v>
      </c>
      <c r="AX29" s="395" t="b">
        <f t="shared" si="17"/>
        <v>0</v>
      </c>
      <c r="AY29" s="395" t="b">
        <f t="shared" si="18"/>
        <v>0</v>
      </c>
      <c r="BA29" t="str">
        <f>'Ashed teabags wet'!A27</f>
        <v>G351</v>
      </c>
      <c r="BB29" t="str">
        <f>'Ashed teabags wet'!A447</f>
        <v>R129</v>
      </c>
      <c r="BC29" t="b">
        <f t="shared" si="19"/>
        <v>0</v>
      </c>
      <c r="BD29" t="b">
        <f t="shared" si="0"/>
        <v>0</v>
      </c>
      <c r="BF29" t="str">
        <f t="shared" si="20"/>
        <v>G130</v>
      </c>
      <c r="BG29" t="str">
        <f>T28</f>
        <v>G130</v>
      </c>
      <c r="BH29" t="str">
        <f t="shared" si="21"/>
        <v>G322</v>
      </c>
      <c r="BI29" t="str">
        <f t="shared" si="36"/>
        <v>G322</v>
      </c>
      <c r="BJ29" t="s">
        <v>1920</v>
      </c>
      <c r="BK29" t="s">
        <v>1920</v>
      </c>
      <c r="BL29" t="s">
        <v>1920</v>
      </c>
      <c r="BM29" t="b">
        <f t="shared" si="37"/>
        <v>1</v>
      </c>
      <c r="BN29" t="str">
        <f t="shared" si="22"/>
        <v>R197</v>
      </c>
      <c r="BO29" t="str">
        <f>U28</f>
        <v>R197</v>
      </c>
      <c r="BP29" t="str">
        <f t="shared" si="23"/>
        <v>R43</v>
      </c>
      <c r="BQ29" t="str">
        <f t="shared" si="24"/>
        <v>R43</v>
      </c>
      <c r="BR29" t="s">
        <v>944</v>
      </c>
      <c r="BS29" t="s">
        <v>944</v>
      </c>
      <c r="BT29" t="s">
        <v>944</v>
      </c>
      <c r="BU29" t="b">
        <f t="shared" si="38"/>
        <v>1</v>
      </c>
      <c r="BV29" s="180" t="s">
        <v>1921</v>
      </c>
      <c r="BW29" s="180" t="s">
        <v>330</v>
      </c>
      <c r="BZ29" t="str">
        <f t="shared" si="25"/>
        <v>G322</v>
      </c>
      <c r="CA29" t="b">
        <f t="shared" si="26"/>
        <v>0</v>
      </c>
      <c r="CB29" t="str">
        <f t="shared" si="39"/>
        <v>G322</v>
      </c>
      <c r="CC29" t="str">
        <f t="shared" si="27"/>
        <v>R43</v>
      </c>
      <c r="CD29" t="b">
        <f t="shared" si="40"/>
        <v>0</v>
      </c>
      <c r="CE29" t="str">
        <f t="shared" si="41"/>
        <v>R43</v>
      </c>
      <c r="CG29" t="str">
        <f t="shared" si="28"/>
        <v>G346</v>
      </c>
      <c r="CH29" t="str">
        <f t="shared" si="42"/>
        <v>G346</v>
      </c>
      <c r="CI29" t="str">
        <f>AE28</f>
        <v>G406</v>
      </c>
      <c r="CJ29" t="str">
        <f t="shared" si="29"/>
        <v>G406</v>
      </c>
      <c r="CK29" t="s">
        <v>1704</v>
      </c>
      <c r="CL29" t="s">
        <v>1704</v>
      </c>
      <c r="CM29" t="s">
        <v>1704</v>
      </c>
      <c r="CN29" t="b">
        <f t="shared" si="43"/>
        <v>1</v>
      </c>
      <c r="CO29" t="str">
        <f t="shared" si="30"/>
        <v>R128</v>
      </c>
      <c r="CP29" t="str">
        <f t="shared" si="44"/>
        <v>R128</v>
      </c>
      <c r="CQ29" t="str">
        <f>AF28</f>
        <v>R279</v>
      </c>
      <c r="CR29" t="str">
        <f t="shared" si="31"/>
        <v>R279</v>
      </c>
      <c r="CS29" t="s">
        <v>1013</v>
      </c>
      <c r="CT29" t="s">
        <v>1013</v>
      </c>
      <c r="CU29" t="s">
        <v>1013</v>
      </c>
      <c r="CV29" t="b">
        <f t="shared" si="45"/>
        <v>1</v>
      </c>
      <c r="DC29" t="str">
        <f t="shared" si="32"/>
        <v>G406</v>
      </c>
      <c r="DD29" t="b">
        <f t="shared" si="47"/>
        <v>0</v>
      </c>
      <c r="DE29" t="str">
        <f t="shared" si="48"/>
        <v>G406</v>
      </c>
      <c r="DF29" t="str">
        <f t="shared" si="33"/>
        <v>R279</v>
      </c>
      <c r="DG29" t="b">
        <f t="shared" si="49"/>
        <v>0</v>
      </c>
      <c r="DH29" t="str">
        <f t="shared" si="50"/>
        <v>R279</v>
      </c>
    </row>
    <row r="30" spans="2:112" ht="12" customHeight="1">
      <c r="B30" t="str">
        <f>TBIDry!H102</f>
        <v>G340</v>
      </c>
      <c r="C30" t="str">
        <f>TBIDry!I102</f>
        <v>R666</v>
      </c>
      <c r="D30" t="b">
        <f t="shared" si="1"/>
        <v>0</v>
      </c>
      <c r="E30" t="b">
        <f t="shared" si="2"/>
        <v>0</v>
      </c>
      <c r="G30" t="str">
        <f>TBIWet!H102</f>
        <v>G583</v>
      </c>
      <c r="H30" t="str">
        <f>TBIWet!I102</f>
        <v>R112</v>
      </c>
      <c r="I30" t="b">
        <f t="shared" si="3"/>
        <v>0</v>
      </c>
      <c r="J30" t="b">
        <f t="shared" si="34"/>
        <v>0</v>
      </c>
      <c r="L30" t="str">
        <f>'Both teabags AfterWet'!A28</f>
        <v>G352</v>
      </c>
      <c r="M30" t="str">
        <f>'Both teabags AfterWet'!A448</f>
        <v>R130</v>
      </c>
      <c r="N30" t="b">
        <f t="shared" si="4"/>
        <v>0</v>
      </c>
      <c r="O30" t="b">
        <f t="shared" si="51"/>
        <v>0</v>
      </c>
      <c r="Q30" s="395" t="b">
        <f t="shared" si="5"/>
        <v>0</v>
      </c>
      <c r="R30" s="395" t="b">
        <f t="shared" si="6"/>
        <v>0</v>
      </c>
      <c r="T30" t="str">
        <f>'Both teabags AfterDry'!A28</f>
        <v>G134</v>
      </c>
      <c r="U30" t="str">
        <f>'Both teabags AfterDry'!A363</f>
        <v>R201</v>
      </c>
      <c r="V30" t="b">
        <f t="shared" si="7"/>
        <v>0</v>
      </c>
      <c r="W30" t="b">
        <f t="shared" si="35"/>
        <v>0</v>
      </c>
      <c r="Y30" t="str">
        <f>'Green_rooibos initial weight'!A31</f>
        <v>G27</v>
      </c>
      <c r="Z30" t="str">
        <f>'Green_rooibos initial weight'!A935</f>
        <v>R27</v>
      </c>
      <c r="AA30" t="b">
        <f t="shared" si="8"/>
        <v>0</v>
      </c>
      <c r="AB30" t="b">
        <f t="shared" si="9"/>
        <v>0</v>
      </c>
      <c r="AE30" t="str">
        <f>'WetLitterbags placem_collection'!K29</f>
        <v>G583</v>
      </c>
      <c r="AF30" t="str">
        <f>'WetLitterbags placem_collection'!M29</f>
        <v>R112</v>
      </c>
      <c r="AG30" t="b">
        <f t="shared" si="10"/>
        <v>0</v>
      </c>
      <c r="AH30" t="b">
        <f t="shared" si="11"/>
        <v>0</v>
      </c>
      <c r="AJ30" t="b">
        <f t="shared" si="12"/>
        <v>0</v>
      </c>
      <c r="AK30" t="b">
        <f t="shared" si="13"/>
        <v>0</v>
      </c>
      <c r="AM30" t="str">
        <f>IF(ISBLANK('Dry_Litterbag Placem_Collection'!J29),"","G"&amp;""&amp;'Dry_Litterbag Placem_Collection'!J29)</f>
        <v>G340</v>
      </c>
      <c r="AN30" t="str">
        <f>IF(ISBLANK('Dry_Litterbag Placem_Collection'!K29),"","R"&amp;""&amp;'Dry_Litterbag Placem_Collection'!K29)</f>
        <v>R666</v>
      </c>
      <c r="AO30" t="b">
        <f t="shared" si="53"/>
        <v>0</v>
      </c>
      <c r="AP30" t="b">
        <f t="shared" si="15"/>
        <v>0</v>
      </c>
      <c r="AS30" t="str">
        <f>'Ashed teabags dry'!A28</f>
        <v>G134</v>
      </c>
      <c r="AT30" t="str">
        <f>'Ashed teabags dry'!A363</f>
        <v>R201</v>
      </c>
      <c r="AU30" t="b">
        <f t="shared" si="16"/>
        <v>0</v>
      </c>
      <c r="AV30" t="b">
        <f>COUNTIF($AT$4:$AT$2000, AT30)&gt;1</f>
        <v>0</v>
      </c>
      <c r="AX30" s="395" t="b">
        <f t="shared" si="17"/>
        <v>0</v>
      </c>
      <c r="AY30" s="395" t="b">
        <f t="shared" si="18"/>
        <v>0</v>
      </c>
      <c r="BA30" t="str">
        <f>'Ashed teabags wet'!A28</f>
        <v>G352</v>
      </c>
      <c r="BB30" t="str">
        <f>'Ashed teabags wet'!A448</f>
        <v>R130</v>
      </c>
      <c r="BC30" t="b">
        <f t="shared" si="19"/>
        <v>0</v>
      </c>
      <c r="BD30" t="b">
        <f t="shared" si="0"/>
        <v>0</v>
      </c>
      <c r="BF30" t="str">
        <f t="shared" si="20"/>
        <v>G131</v>
      </c>
      <c r="BG30" t="str">
        <f>T29</f>
        <v>G131</v>
      </c>
      <c r="BH30" t="str">
        <f t="shared" si="21"/>
        <v>G58</v>
      </c>
      <c r="BI30" t="str">
        <f t="shared" si="36"/>
        <v>G58</v>
      </c>
      <c r="BJ30" t="s">
        <v>1919</v>
      </c>
      <c r="BK30" t="s">
        <v>1919</v>
      </c>
      <c r="BL30" t="s">
        <v>1919</v>
      </c>
      <c r="BM30" t="b">
        <f t="shared" si="37"/>
        <v>1</v>
      </c>
      <c r="BN30" t="str">
        <f t="shared" si="22"/>
        <v>R198</v>
      </c>
      <c r="BO30" t="str">
        <f>U29</f>
        <v>R198</v>
      </c>
      <c r="BP30" t="str">
        <f t="shared" si="23"/>
        <v>R602</v>
      </c>
      <c r="BQ30" t="str">
        <f t="shared" si="24"/>
        <v>R602</v>
      </c>
      <c r="BR30" t="s">
        <v>943</v>
      </c>
      <c r="BS30" t="s">
        <v>943</v>
      </c>
      <c r="BT30" t="s">
        <v>943</v>
      </c>
      <c r="BU30" t="b">
        <f t="shared" si="38"/>
        <v>1</v>
      </c>
      <c r="BV30" s="180" t="s">
        <v>1886</v>
      </c>
      <c r="BW30" s="180" t="s">
        <v>855</v>
      </c>
      <c r="BZ30" t="str">
        <f t="shared" si="25"/>
        <v>G58</v>
      </c>
      <c r="CA30" t="b">
        <f t="shared" si="26"/>
        <v>0</v>
      </c>
      <c r="CB30" t="str">
        <f t="shared" si="39"/>
        <v>G58</v>
      </c>
      <c r="CC30" t="str">
        <f t="shared" si="27"/>
        <v>R602</v>
      </c>
      <c r="CD30" t="b">
        <f t="shared" si="40"/>
        <v>0</v>
      </c>
      <c r="CE30" t="str">
        <f t="shared" si="41"/>
        <v>R602</v>
      </c>
      <c r="CG30" t="str">
        <f t="shared" si="28"/>
        <v>G351</v>
      </c>
      <c r="CH30" t="str">
        <f t="shared" si="42"/>
        <v>G351</v>
      </c>
      <c r="CI30" t="str">
        <f>AE29</f>
        <v>G651</v>
      </c>
      <c r="CJ30" t="str">
        <f t="shared" si="29"/>
        <v>G651</v>
      </c>
      <c r="CK30" t="s">
        <v>1699</v>
      </c>
      <c r="CL30" t="s">
        <v>1699</v>
      </c>
      <c r="CM30" t="s">
        <v>1699</v>
      </c>
      <c r="CN30" t="b">
        <f t="shared" si="43"/>
        <v>1</v>
      </c>
      <c r="CO30" t="str">
        <f t="shared" si="30"/>
        <v>R129</v>
      </c>
      <c r="CP30" t="str">
        <f t="shared" si="44"/>
        <v>R129</v>
      </c>
      <c r="CQ30" t="str">
        <f>AF29</f>
        <v>R148</v>
      </c>
      <c r="CR30" t="str">
        <f t="shared" si="31"/>
        <v>R148</v>
      </c>
      <c r="CS30" t="s">
        <v>1012</v>
      </c>
      <c r="CT30" t="s">
        <v>1012</v>
      </c>
      <c r="CU30" t="s">
        <v>1012</v>
      </c>
      <c r="CV30" t="b">
        <f t="shared" si="45"/>
        <v>1</v>
      </c>
      <c r="DC30" t="str">
        <f t="shared" si="32"/>
        <v>G651</v>
      </c>
      <c r="DD30" t="b">
        <f t="shared" si="47"/>
        <v>0</v>
      </c>
      <c r="DE30" t="str">
        <f t="shared" si="48"/>
        <v>G651</v>
      </c>
      <c r="DF30" t="str">
        <f t="shared" si="33"/>
        <v>R148</v>
      </c>
      <c r="DG30" t="b">
        <f t="shared" si="49"/>
        <v>0</v>
      </c>
      <c r="DH30" t="str">
        <f t="shared" si="50"/>
        <v>R148</v>
      </c>
    </row>
    <row r="31" spans="2:112" ht="12" customHeight="1">
      <c r="B31" t="str">
        <f>TBIDry!H103</f>
        <v>G61</v>
      </c>
      <c r="C31" t="str">
        <f>TBIDry!I103</f>
        <v>R705</v>
      </c>
      <c r="D31" t="b">
        <f t="shared" si="1"/>
        <v>0</v>
      </c>
      <c r="E31" t="b">
        <f t="shared" si="2"/>
        <v>0</v>
      </c>
      <c r="G31" t="str">
        <f>TBIWet!H103</f>
        <v>G702</v>
      </c>
      <c r="H31" t="str">
        <f>TBIWet!I103</f>
        <v>R436</v>
      </c>
      <c r="I31" t="b">
        <f t="shared" si="3"/>
        <v>0</v>
      </c>
      <c r="J31" t="b">
        <f t="shared" si="34"/>
        <v>0</v>
      </c>
      <c r="L31" t="str">
        <f>'Both teabags AfterWet'!A29</f>
        <v>G355</v>
      </c>
      <c r="M31" t="str">
        <f>'Both teabags AfterWet'!A449</f>
        <v>R132</v>
      </c>
      <c r="N31" t="b">
        <f t="shared" si="4"/>
        <v>0</v>
      </c>
      <c r="O31" t="b">
        <f t="shared" si="51"/>
        <v>0</v>
      </c>
      <c r="Q31" s="395" t="b">
        <f t="shared" si="5"/>
        <v>0</v>
      </c>
      <c r="R31" s="395" t="b">
        <f t="shared" si="6"/>
        <v>0</v>
      </c>
      <c r="T31" t="str">
        <f>'Both teabags AfterDry'!A29</f>
        <v>G135</v>
      </c>
      <c r="U31" t="str">
        <f>'Both teabags AfterDry'!A364</f>
        <v>R203</v>
      </c>
      <c r="V31" t="b">
        <f t="shared" si="7"/>
        <v>0</v>
      </c>
      <c r="W31" t="b">
        <f t="shared" si="35"/>
        <v>0</v>
      </c>
      <c r="Y31" t="str">
        <f>'Green_rooibos initial weight'!A32</f>
        <v>G28</v>
      </c>
      <c r="Z31" t="str">
        <f>'Green_rooibos initial weight'!A936</f>
        <v>R28</v>
      </c>
      <c r="AA31" t="b">
        <f t="shared" si="8"/>
        <v>0</v>
      </c>
      <c r="AB31" t="b">
        <f t="shared" si="9"/>
        <v>0</v>
      </c>
      <c r="AE31" t="str">
        <f>'WetLitterbags placem_collection'!K30</f>
        <v>G702</v>
      </c>
      <c r="AF31" t="str">
        <f>'WetLitterbags placem_collection'!M30</f>
        <v>R436</v>
      </c>
      <c r="AG31" t="b">
        <f t="shared" si="10"/>
        <v>0</v>
      </c>
      <c r="AH31" t="b">
        <f t="shared" si="11"/>
        <v>0</v>
      </c>
      <c r="AJ31" t="b">
        <f t="shared" si="12"/>
        <v>0</v>
      </c>
      <c r="AK31" t="b">
        <f t="shared" si="13"/>
        <v>0</v>
      </c>
      <c r="AM31" t="str">
        <f>IF(ISBLANK('Dry_Litterbag Placem_Collection'!J30),"","G"&amp;""&amp;'Dry_Litterbag Placem_Collection'!J30)</f>
        <v>G61</v>
      </c>
      <c r="AN31" t="str">
        <f>IF(ISBLANK('Dry_Litterbag Placem_Collection'!K30),"","R"&amp;""&amp;'Dry_Litterbag Placem_Collection'!K30)</f>
        <v>R705</v>
      </c>
      <c r="AO31" t="b">
        <f t="shared" si="53"/>
        <v>0</v>
      </c>
      <c r="AP31" t="b">
        <f t="shared" si="15"/>
        <v>0</v>
      </c>
      <c r="AS31" t="str">
        <f>'Ashed teabags dry'!A29</f>
        <v>G135</v>
      </c>
      <c r="AT31" t="str">
        <f>'Ashed teabags dry'!A364</f>
        <v>R203</v>
      </c>
      <c r="AU31" t="b">
        <f t="shared" si="16"/>
        <v>0</v>
      </c>
      <c r="AV31" t="b">
        <f>COUNTIF($AT$4:$AT$2000, AT31)&gt;1</f>
        <v>0</v>
      </c>
      <c r="AX31" s="395" t="b">
        <f t="shared" si="17"/>
        <v>0</v>
      </c>
      <c r="AY31" s="395" t="b">
        <f t="shared" si="18"/>
        <v>0</v>
      </c>
      <c r="BA31" t="str">
        <f>'Ashed teabags wet'!A29</f>
        <v>G355</v>
      </c>
      <c r="BB31" t="str">
        <f>'Ashed teabags wet'!A449</f>
        <v>R132</v>
      </c>
      <c r="BC31" t="b">
        <f t="shared" si="19"/>
        <v>0</v>
      </c>
      <c r="BD31" t="b">
        <f t="shared" si="0"/>
        <v>0</v>
      </c>
      <c r="BF31" t="str">
        <f t="shared" si="20"/>
        <v>G134</v>
      </c>
      <c r="BG31" t="str">
        <f>T30</f>
        <v>G134</v>
      </c>
      <c r="BH31" t="str">
        <f t="shared" si="21"/>
        <v>G340</v>
      </c>
      <c r="BI31" t="str">
        <f t="shared" si="36"/>
        <v/>
      </c>
      <c r="BJ31" t="s">
        <v>1916</v>
      </c>
      <c r="BK31" t="s">
        <v>1916</v>
      </c>
      <c r="BL31" t="s">
        <v>1916</v>
      </c>
      <c r="BM31" t="b">
        <f t="shared" si="37"/>
        <v>1</v>
      </c>
      <c r="BN31" t="str">
        <f t="shared" si="22"/>
        <v>R201</v>
      </c>
      <c r="BO31" t="str">
        <f>U30</f>
        <v>R201</v>
      </c>
      <c r="BP31" t="str">
        <f t="shared" si="23"/>
        <v>R666</v>
      </c>
      <c r="BQ31" t="str">
        <f t="shared" si="24"/>
        <v/>
      </c>
      <c r="BR31" t="s">
        <v>940</v>
      </c>
      <c r="BS31" t="s">
        <v>940</v>
      </c>
      <c r="BT31" t="s">
        <v>940</v>
      </c>
      <c r="BU31" t="b">
        <f t="shared" si="38"/>
        <v>1</v>
      </c>
      <c r="BV31" s="180" t="s">
        <v>1388</v>
      </c>
      <c r="BW31" s="180" t="s">
        <v>452</v>
      </c>
      <c r="BZ31" t="str">
        <f t="shared" si="25"/>
        <v>G340</v>
      </c>
      <c r="CA31" t="b">
        <f t="shared" si="26"/>
        <v>1</v>
      </c>
      <c r="CB31" t="str">
        <f t="shared" si="39"/>
        <v/>
      </c>
      <c r="CC31" t="str">
        <f t="shared" si="27"/>
        <v>R666</v>
      </c>
      <c r="CD31" t="b">
        <f t="shared" si="40"/>
        <v>1</v>
      </c>
      <c r="CE31" t="str">
        <f t="shared" si="41"/>
        <v/>
      </c>
      <c r="CG31" t="str">
        <f t="shared" si="28"/>
        <v>G352</v>
      </c>
      <c r="CH31" t="str">
        <f t="shared" si="42"/>
        <v>G352</v>
      </c>
      <c r="CI31" t="str">
        <f>AE30</f>
        <v>G583</v>
      </c>
      <c r="CJ31" t="str">
        <f t="shared" si="29"/>
        <v>G583</v>
      </c>
      <c r="CK31" t="s">
        <v>1698</v>
      </c>
      <c r="CL31" t="s">
        <v>1698</v>
      </c>
      <c r="CM31" t="s">
        <v>1698</v>
      </c>
      <c r="CN31" t="b">
        <f t="shared" si="43"/>
        <v>1</v>
      </c>
      <c r="CO31" t="str">
        <f t="shared" si="30"/>
        <v>R130</v>
      </c>
      <c r="CP31" t="str">
        <f t="shared" si="44"/>
        <v>R130</v>
      </c>
      <c r="CQ31" t="str">
        <f>AF30</f>
        <v>R112</v>
      </c>
      <c r="CR31" t="str">
        <f t="shared" si="31"/>
        <v>R112</v>
      </c>
      <c r="CS31" t="s">
        <v>1011</v>
      </c>
      <c r="CT31" t="s">
        <v>1011</v>
      </c>
      <c r="CU31" t="s">
        <v>1011</v>
      </c>
      <c r="CV31" t="b">
        <f t="shared" si="45"/>
        <v>1</v>
      </c>
      <c r="DC31" t="str">
        <f t="shared" si="32"/>
        <v>G583</v>
      </c>
      <c r="DD31" t="b">
        <f t="shared" si="47"/>
        <v>0</v>
      </c>
      <c r="DE31" t="str">
        <f t="shared" si="48"/>
        <v>G583</v>
      </c>
      <c r="DF31" t="str">
        <f t="shared" si="33"/>
        <v>R112</v>
      </c>
      <c r="DG31" t="b">
        <f t="shared" si="49"/>
        <v>0</v>
      </c>
      <c r="DH31" t="str">
        <f t="shared" si="50"/>
        <v>R112</v>
      </c>
    </row>
    <row r="32" spans="2:112" ht="12" customHeight="1">
      <c r="B32" t="str">
        <f>TBIDry!H104</f>
        <v>G319</v>
      </c>
      <c r="C32" t="str">
        <f>TBIDry!I104</f>
        <v>R305</v>
      </c>
      <c r="D32" t="b">
        <f t="shared" si="1"/>
        <v>0</v>
      </c>
      <c r="E32" t="b">
        <f t="shared" si="2"/>
        <v>0</v>
      </c>
      <c r="G32" t="str">
        <f>TBIWet!H104</f>
        <v>G838</v>
      </c>
      <c r="H32" t="str">
        <f>TBIWet!I104</f>
        <v>R386</v>
      </c>
      <c r="I32" t="b">
        <f t="shared" si="3"/>
        <v>0</v>
      </c>
      <c r="J32" t="b">
        <f t="shared" si="34"/>
        <v>0</v>
      </c>
      <c r="L32" t="str">
        <f>'Both teabags AfterWet'!A30</f>
        <v>G358</v>
      </c>
      <c r="M32" t="str">
        <f>'Both teabags AfterWet'!A450</f>
        <v>R133</v>
      </c>
      <c r="N32" t="b">
        <f t="shared" si="4"/>
        <v>0</v>
      </c>
      <c r="O32" t="b">
        <f t="shared" si="51"/>
        <v>0</v>
      </c>
      <c r="Q32" s="395" t="b">
        <f t="shared" si="5"/>
        <v>0</v>
      </c>
      <c r="R32" s="395" t="b">
        <f t="shared" si="6"/>
        <v>0</v>
      </c>
      <c r="T32" t="str">
        <f>'Both teabags AfterDry'!A30</f>
        <v>G136</v>
      </c>
      <c r="U32" t="str">
        <f>'Both teabags AfterDry'!A365</f>
        <v>R204</v>
      </c>
      <c r="V32" t="b">
        <f t="shared" si="7"/>
        <v>0</v>
      </c>
      <c r="W32" t="b">
        <f t="shared" si="35"/>
        <v>0</v>
      </c>
      <c r="Y32" t="str">
        <f>'Green_rooibos initial weight'!A33</f>
        <v>G29</v>
      </c>
      <c r="Z32" t="str">
        <f>'Green_rooibos initial weight'!A937</f>
        <v>R29</v>
      </c>
      <c r="AA32" t="b">
        <f t="shared" si="8"/>
        <v>0</v>
      </c>
      <c r="AB32" t="b">
        <f t="shared" si="9"/>
        <v>0</v>
      </c>
      <c r="AE32" t="str">
        <f>'WetLitterbags placem_collection'!K31</f>
        <v>G838</v>
      </c>
      <c r="AF32" t="str">
        <f>'WetLitterbags placem_collection'!M31</f>
        <v>R386</v>
      </c>
      <c r="AG32" t="b">
        <f t="shared" si="10"/>
        <v>0</v>
      </c>
      <c r="AH32" t="b">
        <f t="shared" si="11"/>
        <v>0</v>
      </c>
      <c r="AJ32" t="b">
        <f t="shared" si="12"/>
        <v>0</v>
      </c>
      <c r="AK32" t="b">
        <f t="shared" si="13"/>
        <v>0</v>
      </c>
      <c r="AM32" t="str">
        <f>IF(ISBLANK('Dry_Litterbag Placem_Collection'!J31),"","G"&amp;""&amp;'Dry_Litterbag Placem_Collection'!J31)</f>
        <v>G319</v>
      </c>
      <c r="AN32" t="str">
        <f>IF(ISBLANK('Dry_Litterbag Placem_Collection'!K31),"","R"&amp;""&amp;'Dry_Litterbag Placem_Collection'!K31)</f>
        <v>R305</v>
      </c>
      <c r="AO32" t="b">
        <f t="shared" si="53"/>
        <v>0</v>
      </c>
      <c r="AP32" t="b">
        <f t="shared" si="15"/>
        <v>0</v>
      </c>
      <c r="AS32" t="str">
        <f>'Ashed teabags dry'!A30</f>
        <v>G136</v>
      </c>
      <c r="AT32" t="str">
        <f>'Ashed teabags dry'!A365</f>
        <v>R204</v>
      </c>
      <c r="AU32" t="b">
        <f t="shared" si="16"/>
        <v>0</v>
      </c>
      <c r="AV32" t="b">
        <f>COUNTIF($AT$4:$AT$2000, AT32)&gt;1</f>
        <v>0</v>
      </c>
      <c r="AX32" s="395" t="b">
        <f t="shared" si="17"/>
        <v>0</v>
      </c>
      <c r="AY32" s="395" t="b">
        <f t="shared" si="18"/>
        <v>0</v>
      </c>
      <c r="BA32" t="str">
        <f>'Ashed teabags wet'!A30</f>
        <v>G358</v>
      </c>
      <c r="BB32" t="str">
        <f>'Ashed teabags wet'!A450</f>
        <v>R133</v>
      </c>
      <c r="BC32" t="b">
        <f t="shared" si="19"/>
        <v>0</v>
      </c>
      <c r="BD32" t="b">
        <f t="shared" si="0"/>
        <v>0</v>
      </c>
      <c r="BF32" t="str">
        <f t="shared" si="20"/>
        <v>G135</v>
      </c>
      <c r="BG32" t="str">
        <f>T31</f>
        <v>G135</v>
      </c>
      <c r="BH32" t="str">
        <f t="shared" si="21"/>
        <v>G61</v>
      </c>
      <c r="BI32" t="str">
        <f t="shared" si="36"/>
        <v>G61</v>
      </c>
      <c r="BJ32" t="s">
        <v>1915</v>
      </c>
      <c r="BK32" t="s">
        <v>1915</v>
      </c>
      <c r="BL32" t="s">
        <v>1915</v>
      </c>
      <c r="BM32" t="b">
        <f t="shared" si="37"/>
        <v>1</v>
      </c>
      <c r="BN32" t="str">
        <f t="shared" si="22"/>
        <v>R203</v>
      </c>
      <c r="BO32" t="str">
        <f>U31</f>
        <v>R203</v>
      </c>
      <c r="BP32" t="str">
        <f t="shared" si="23"/>
        <v>R705</v>
      </c>
      <c r="BQ32" t="str">
        <f t="shared" si="24"/>
        <v>R705</v>
      </c>
      <c r="BR32" t="s">
        <v>938</v>
      </c>
      <c r="BS32" t="s">
        <v>938</v>
      </c>
      <c r="BT32" t="s">
        <v>938</v>
      </c>
      <c r="BU32" t="b">
        <f t="shared" si="38"/>
        <v>1</v>
      </c>
      <c r="BV32" s="180" t="s">
        <v>1672</v>
      </c>
      <c r="BW32" s="180" t="s">
        <v>942</v>
      </c>
      <c r="BZ32" t="str">
        <f t="shared" si="25"/>
        <v>G61</v>
      </c>
      <c r="CA32" t="b">
        <f t="shared" si="26"/>
        <v>0</v>
      </c>
      <c r="CB32" t="str">
        <f t="shared" si="39"/>
        <v>G61</v>
      </c>
      <c r="CC32" t="str">
        <f t="shared" si="27"/>
        <v>R705</v>
      </c>
      <c r="CD32" t="b">
        <f t="shared" si="40"/>
        <v>0</v>
      </c>
      <c r="CE32" t="str">
        <f t="shared" si="41"/>
        <v>R705</v>
      </c>
      <c r="CG32" t="str">
        <f t="shared" si="28"/>
        <v>G355</v>
      </c>
      <c r="CH32" t="str">
        <f t="shared" si="42"/>
        <v>G355</v>
      </c>
      <c r="CI32" t="str">
        <f>AE31</f>
        <v>G702</v>
      </c>
      <c r="CJ32" t="str">
        <f t="shared" si="29"/>
        <v>G702</v>
      </c>
      <c r="CK32" t="s">
        <v>1695</v>
      </c>
      <c r="CL32" t="s">
        <v>1695</v>
      </c>
      <c r="CM32" t="s">
        <v>1695</v>
      </c>
      <c r="CN32" t="b">
        <f t="shared" si="43"/>
        <v>1</v>
      </c>
      <c r="CO32" t="str">
        <f t="shared" si="30"/>
        <v>R132</v>
      </c>
      <c r="CP32" t="str">
        <f t="shared" si="44"/>
        <v>R132</v>
      </c>
      <c r="CQ32" t="str">
        <f>AF31</f>
        <v>R436</v>
      </c>
      <c r="CR32" t="str">
        <f t="shared" si="31"/>
        <v>R436</v>
      </c>
      <c r="CS32" t="s">
        <v>1009</v>
      </c>
      <c r="CT32" t="s">
        <v>1009</v>
      </c>
      <c r="CU32" t="s">
        <v>1009</v>
      </c>
      <c r="CV32" t="b">
        <f t="shared" si="45"/>
        <v>1</v>
      </c>
      <c r="DC32" t="str">
        <f t="shared" si="32"/>
        <v>G702</v>
      </c>
      <c r="DD32" t="b">
        <f t="shared" si="47"/>
        <v>0</v>
      </c>
      <c r="DE32" t="str">
        <f t="shared" si="48"/>
        <v>G702</v>
      </c>
      <c r="DF32" t="str">
        <f t="shared" si="33"/>
        <v>R436</v>
      </c>
      <c r="DG32" t="b">
        <f t="shared" si="49"/>
        <v>0</v>
      </c>
      <c r="DH32" t="str">
        <f t="shared" si="50"/>
        <v>R436</v>
      </c>
    </row>
    <row r="33" spans="2:112" ht="12" customHeight="1">
      <c r="B33" t="str">
        <f>TBIDry!H105</f>
        <v>G273</v>
      </c>
      <c r="C33" t="str">
        <f>TBIDry!I105</f>
        <v>R667</v>
      </c>
      <c r="D33" t="b">
        <f t="shared" si="1"/>
        <v>0</v>
      </c>
      <c r="E33" t="b">
        <f t="shared" si="2"/>
        <v>0</v>
      </c>
      <c r="G33" t="str">
        <f>TBIWet!H105</f>
        <v>G518</v>
      </c>
      <c r="H33" t="str">
        <f>TBIWet!I105</f>
        <v>R507</v>
      </c>
      <c r="I33" t="b">
        <f t="shared" si="3"/>
        <v>0</v>
      </c>
      <c r="J33" t="b">
        <f t="shared" si="34"/>
        <v>0</v>
      </c>
      <c r="L33" t="str">
        <f>'Both teabags AfterWet'!A31</f>
        <v>G359</v>
      </c>
      <c r="M33" t="str">
        <f>'Both teabags AfterWet'!A451</f>
        <v>R134</v>
      </c>
      <c r="N33" t="b">
        <f t="shared" si="4"/>
        <v>0</v>
      </c>
      <c r="O33" t="b">
        <f t="shared" si="51"/>
        <v>0</v>
      </c>
      <c r="Q33" s="395" t="b">
        <f t="shared" si="5"/>
        <v>0</v>
      </c>
      <c r="R33" s="395" t="b">
        <f t="shared" si="6"/>
        <v>0</v>
      </c>
      <c r="T33" t="str">
        <f>'Both teabags AfterDry'!A31</f>
        <v>G138</v>
      </c>
      <c r="U33" t="str">
        <f>'Both teabags AfterDry'!A366</f>
        <v>R205</v>
      </c>
      <c r="V33" t="b">
        <f t="shared" si="7"/>
        <v>0</v>
      </c>
      <c r="W33" t="b">
        <f t="shared" si="35"/>
        <v>0</v>
      </c>
      <c r="Y33" t="str">
        <f>'Green_rooibos initial weight'!A34</f>
        <v>G30</v>
      </c>
      <c r="Z33" t="str">
        <f>'Green_rooibos initial weight'!A938</f>
        <v>R30</v>
      </c>
      <c r="AA33" t="b">
        <f t="shared" si="8"/>
        <v>0</v>
      </c>
      <c r="AB33" t="b">
        <f t="shared" si="9"/>
        <v>0</v>
      </c>
      <c r="AE33" t="str">
        <f>'WetLitterbags placem_collection'!K32</f>
        <v>G518</v>
      </c>
      <c r="AF33" t="str">
        <f>'WetLitterbags placem_collection'!M32</f>
        <v>R507</v>
      </c>
      <c r="AG33" t="b">
        <f t="shared" si="10"/>
        <v>0</v>
      </c>
      <c r="AH33" t="b">
        <f t="shared" si="11"/>
        <v>0</v>
      </c>
      <c r="AJ33" t="b">
        <f t="shared" si="12"/>
        <v>0</v>
      </c>
      <c r="AK33" t="b">
        <f t="shared" si="13"/>
        <v>0</v>
      </c>
      <c r="AM33" t="str">
        <f>IF(ISBLANK('Dry_Litterbag Placem_Collection'!J32),"","G"&amp;""&amp;'Dry_Litterbag Placem_Collection'!J32)</f>
        <v>G273</v>
      </c>
      <c r="AN33" t="str">
        <f>IF(ISBLANK('Dry_Litterbag Placem_Collection'!K32),"","R"&amp;""&amp;'Dry_Litterbag Placem_Collection'!K32)</f>
        <v>R667</v>
      </c>
      <c r="AO33" t="b">
        <f t="shared" si="53"/>
        <v>0</v>
      </c>
      <c r="AP33" t="b">
        <f t="shared" si="15"/>
        <v>0</v>
      </c>
      <c r="AS33" t="str">
        <f>'Ashed teabags dry'!A31</f>
        <v>G138</v>
      </c>
      <c r="AT33" t="str">
        <f>'Ashed teabags dry'!A366</f>
        <v>R205</v>
      </c>
      <c r="AU33" t="b">
        <f t="shared" si="16"/>
        <v>0</v>
      </c>
      <c r="AV33" t="b">
        <f>COUNTIF($AT$4:$AT$2000, AT33)&gt;1</f>
        <v>0</v>
      </c>
      <c r="AX33" s="395" t="b">
        <f t="shared" si="17"/>
        <v>0</v>
      </c>
      <c r="AY33" s="395" t="b">
        <f t="shared" si="18"/>
        <v>0</v>
      </c>
      <c r="BA33" t="str">
        <f>'Ashed teabags wet'!A31</f>
        <v>G359</v>
      </c>
      <c r="BB33" t="str">
        <f>'Ashed teabags wet'!A451</f>
        <v>R134</v>
      </c>
      <c r="BC33" t="b">
        <f t="shared" si="19"/>
        <v>0</v>
      </c>
      <c r="BD33" t="b">
        <f t="shared" si="0"/>
        <v>0</v>
      </c>
      <c r="BF33" t="str">
        <f t="shared" si="20"/>
        <v>G136</v>
      </c>
      <c r="BG33" t="str">
        <f>T32</f>
        <v>G136</v>
      </c>
      <c r="BH33" t="str">
        <f t="shared" si="21"/>
        <v>G319</v>
      </c>
      <c r="BI33" t="str">
        <f t="shared" si="36"/>
        <v>G319</v>
      </c>
      <c r="BJ33" t="s">
        <v>1914</v>
      </c>
      <c r="BK33" t="s">
        <v>1914</v>
      </c>
      <c r="BL33" t="s">
        <v>1914</v>
      </c>
      <c r="BM33" t="b">
        <f t="shared" si="37"/>
        <v>1</v>
      </c>
      <c r="BN33" t="str">
        <f t="shared" si="22"/>
        <v>R204</v>
      </c>
      <c r="BO33" t="str">
        <f>U32</f>
        <v>R204</v>
      </c>
      <c r="BP33" t="str">
        <f t="shared" si="23"/>
        <v>R305</v>
      </c>
      <c r="BQ33" t="str">
        <f t="shared" si="24"/>
        <v>R305</v>
      </c>
      <c r="BR33" t="s">
        <v>937</v>
      </c>
      <c r="BS33" t="s">
        <v>937</v>
      </c>
      <c r="BT33" t="s">
        <v>937</v>
      </c>
      <c r="BU33" t="b">
        <f t="shared" si="38"/>
        <v>1</v>
      </c>
      <c r="BV33" s="180" t="s">
        <v>1563</v>
      </c>
      <c r="BW33" s="180" t="s">
        <v>817</v>
      </c>
      <c r="BZ33" t="str">
        <f t="shared" si="25"/>
        <v>G319</v>
      </c>
      <c r="CA33" t="b">
        <f t="shared" si="26"/>
        <v>0</v>
      </c>
      <c r="CB33" t="str">
        <f t="shared" si="39"/>
        <v>G319</v>
      </c>
      <c r="CC33" t="str">
        <f t="shared" si="27"/>
        <v>R305</v>
      </c>
      <c r="CD33" t="b">
        <f t="shared" si="40"/>
        <v>0</v>
      </c>
      <c r="CE33" t="str">
        <f t="shared" si="41"/>
        <v>R305</v>
      </c>
      <c r="CG33" t="str">
        <f t="shared" si="28"/>
        <v>G358</v>
      </c>
      <c r="CH33" t="str">
        <f t="shared" si="42"/>
        <v>G358</v>
      </c>
      <c r="CI33" t="str">
        <f>AE32</f>
        <v>G838</v>
      </c>
      <c r="CJ33" t="str">
        <f t="shared" si="29"/>
        <v>G838</v>
      </c>
      <c r="CK33" t="s">
        <v>1692</v>
      </c>
      <c r="CL33" t="s">
        <v>1692</v>
      </c>
      <c r="CM33" t="s">
        <v>1692</v>
      </c>
      <c r="CN33" t="b">
        <f t="shared" si="43"/>
        <v>1</v>
      </c>
      <c r="CO33" t="str">
        <f t="shared" si="30"/>
        <v>R133</v>
      </c>
      <c r="CP33" t="str">
        <f t="shared" si="44"/>
        <v>R133</v>
      </c>
      <c r="CQ33" t="str">
        <f>AF32</f>
        <v>R386</v>
      </c>
      <c r="CR33" t="str">
        <f t="shared" si="31"/>
        <v>R386</v>
      </c>
      <c r="CS33" t="s">
        <v>1008</v>
      </c>
      <c r="CT33" t="s">
        <v>1008</v>
      </c>
      <c r="CU33" t="s">
        <v>1008</v>
      </c>
      <c r="CV33" t="b">
        <f t="shared" si="45"/>
        <v>1</v>
      </c>
      <c r="DC33" t="str">
        <f t="shared" si="32"/>
        <v>G838</v>
      </c>
      <c r="DD33" t="b">
        <f t="shared" si="47"/>
        <v>0</v>
      </c>
      <c r="DE33" t="str">
        <f t="shared" si="48"/>
        <v>G838</v>
      </c>
      <c r="DF33" t="str">
        <f t="shared" si="33"/>
        <v>R386</v>
      </c>
      <c r="DG33" t="b">
        <f t="shared" si="49"/>
        <v>0</v>
      </c>
      <c r="DH33" t="str">
        <f t="shared" si="50"/>
        <v>R386</v>
      </c>
    </row>
    <row r="34" spans="2:112" ht="12" customHeight="1">
      <c r="B34" t="str">
        <f>TBIDry!H106</f>
        <v/>
      </c>
      <c r="C34" t="str">
        <f>TBIDry!I106</f>
        <v/>
      </c>
      <c r="D34" t="b">
        <f t="shared" si="1"/>
        <v>1</v>
      </c>
      <c r="E34" t="b">
        <f t="shared" si="2"/>
        <v>1</v>
      </c>
      <c r="G34" t="str">
        <f>TBIWet!H106</f>
        <v>G404</v>
      </c>
      <c r="H34" t="str">
        <f>TBIWet!I106</f>
        <v>R141</v>
      </c>
      <c r="I34" t="b">
        <f t="shared" si="3"/>
        <v>0</v>
      </c>
      <c r="J34" t="b">
        <f t="shared" si="34"/>
        <v>0</v>
      </c>
      <c r="L34" t="str">
        <f>'Both teabags AfterWet'!A32</f>
        <v>G360</v>
      </c>
      <c r="M34" t="str">
        <f>'Both teabags AfterWet'!A452</f>
        <v>R135</v>
      </c>
      <c r="N34" t="b">
        <f t="shared" si="4"/>
        <v>0</v>
      </c>
      <c r="O34" t="b">
        <f t="shared" si="51"/>
        <v>0</v>
      </c>
      <c r="Q34" s="395" t="b">
        <f t="shared" si="5"/>
        <v>0</v>
      </c>
      <c r="R34" s="395" t="b">
        <f t="shared" si="6"/>
        <v>0</v>
      </c>
      <c r="T34" t="str">
        <f>'Both teabags AfterDry'!A32</f>
        <v>G139</v>
      </c>
      <c r="U34" t="str">
        <f>'Both teabags AfterDry'!A367</f>
        <v>R206</v>
      </c>
      <c r="V34" t="b">
        <f t="shared" si="7"/>
        <v>0</v>
      </c>
      <c r="W34" t="b">
        <f t="shared" si="35"/>
        <v>0</v>
      </c>
      <c r="Y34" t="str">
        <f>'Green_rooibos initial weight'!A35</f>
        <v>G31</v>
      </c>
      <c r="Z34" t="str">
        <f>'Green_rooibos initial weight'!A939</f>
        <v>R31</v>
      </c>
      <c r="AA34" t="b">
        <f t="shared" si="8"/>
        <v>0</v>
      </c>
      <c r="AB34" t="b">
        <f t="shared" si="9"/>
        <v>0</v>
      </c>
      <c r="AE34" t="str">
        <f>'WetLitterbags placem_collection'!K33</f>
        <v>G404</v>
      </c>
      <c r="AF34" t="str">
        <f>'WetLitterbags placem_collection'!M33</f>
        <v>R141</v>
      </c>
      <c r="AG34" t="b">
        <f t="shared" si="10"/>
        <v>0</v>
      </c>
      <c r="AH34" t="b">
        <f t="shared" si="11"/>
        <v>0</v>
      </c>
      <c r="AJ34" t="b">
        <f t="shared" si="12"/>
        <v>0</v>
      </c>
      <c r="AK34" t="b">
        <f t="shared" si="13"/>
        <v>0</v>
      </c>
      <c r="AM34" t="str">
        <f>IF(ISBLANK('Dry_Litterbag Placem_Collection'!J33),"","G"&amp;""&amp;'Dry_Litterbag Placem_Collection'!J33)</f>
        <v/>
      </c>
      <c r="AN34" t="str">
        <f>IF(ISBLANK('Dry_Litterbag Placem_Collection'!K33),"","R"&amp;""&amp;'Dry_Litterbag Placem_Collection'!K33)</f>
        <v/>
      </c>
      <c r="AO34" t="b">
        <f t="shared" si="53"/>
        <v>1</v>
      </c>
      <c r="AP34" t="b">
        <f t="shared" si="15"/>
        <v>1</v>
      </c>
      <c r="AS34" t="str">
        <f>'Ashed teabags dry'!A32</f>
        <v>G139</v>
      </c>
      <c r="AT34" t="str">
        <f>'Ashed teabags dry'!A367</f>
        <v>R206</v>
      </c>
      <c r="AU34" t="b">
        <f t="shared" si="16"/>
        <v>0</v>
      </c>
      <c r="AV34" t="b">
        <f>COUNTIF($AT$4:$AT$2000, AT34)&gt;1</f>
        <v>0</v>
      </c>
      <c r="AX34" s="395" t="b">
        <f t="shared" si="17"/>
        <v>0</v>
      </c>
      <c r="AY34" s="395" t="b">
        <f t="shared" si="18"/>
        <v>0</v>
      </c>
      <c r="BA34" t="str">
        <f>'Ashed teabags wet'!A32</f>
        <v>G360</v>
      </c>
      <c r="BB34" t="str">
        <f>'Ashed teabags wet'!A452</f>
        <v>R135</v>
      </c>
      <c r="BC34" t="b">
        <f t="shared" si="19"/>
        <v>0</v>
      </c>
      <c r="BD34" t="b">
        <f t="shared" si="0"/>
        <v>0</v>
      </c>
      <c r="BF34" t="str">
        <f t="shared" si="20"/>
        <v>G138</v>
      </c>
      <c r="BG34" t="str">
        <f>T33</f>
        <v>G138</v>
      </c>
      <c r="BH34" t="str">
        <f t="shared" si="21"/>
        <v>G273</v>
      </c>
      <c r="BI34" t="str">
        <f t="shared" si="36"/>
        <v>G273</v>
      </c>
      <c r="BJ34" t="s">
        <v>1912</v>
      </c>
      <c r="BK34" t="s">
        <v>1912</v>
      </c>
      <c r="BL34" t="s">
        <v>1912</v>
      </c>
      <c r="BM34" t="b">
        <f t="shared" si="37"/>
        <v>1</v>
      </c>
      <c r="BN34" t="str">
        <f t="shared" si="22"/>
        <v>R205</v>
      </c>
      <c r="BO34" t="str">
        <f>U33</f>
        <v>R205</v>
      </c>
      <c r="BP34" t="str">
        <f t="shared" si="23"/>
        <v>R667</v>
      </c>
      <c r="BQ34" t="str">
        <f t="shared" si="24"/>
        <v>R667</v>
      </c>
      <c r="BR34" t="s">
        <v>936</v>
      </c>
      <c r="BS34" t="s">
        <v>936</v>
      </c>
      <c r="BT34" t="s">
        <v>936</v>
      </c>
      <c r="BU34" t="b">
        <f t="shared" si="38"/>
        <v>1</v>
      </c>
      <c r="BV34" s="180" t="s">
        <v>1696</v>
      </c>
      <c r="BW34" s="180" t="s">
        <v>508</v>
      </c>
      <c r="BZ34" t="str">
        <f t="shared" si="25"/>
        <v>G273</v>
      </c>
      <c r="CA34" t="b">
        <f t="shared" si="26"/>
        <v>0</v>
      </c>
      <c r="CB34" t="str">
        <f t="shared" si="39"/>
        <v>G273</v>
      </c>
      <c r="CC34" t="str">
        <f t="shared" si="27"/>
        <v>R667</v>
      </c>
      <c r="CD34" t="b">
        <f t="shared" si="40"/>
        <v>0</v>
      </c>
      <c r="CE34" t="str">
        <f t="shared" si="41"/>
        <v>R667</v>
      </c>
      <c r="CG34" t="str">
        <f t="shared" si="28"/>
        <v>G359</v>
      </c>
      <c r="CH34" t="str">
        <f t="shared" si="42"/>
        <v>G359</v>
      </c>
      <c r="CI34" t="str">
        <f>AE33</f>
        <v>G518</v>
      </c>
      <c r="CJ34" t="str">
        <f t="shared" si="29"/>
        <v>G518</v>
      </c>
      <c r="CK34" t="s">
        <v>1691</v>
      </c>
      <c r="CL34" t="s">
        <v>1691</v>
      </c>
      <c r="CM34" t="s">
        <v>1691</v>
      </c>
      <c r="CN34" t="b">
        <f t="shared" si="43"/>
        <v>1</v>
      </c>
      <c r="CO34" t="str">
        <f t="shared" si="30"/>
        <v>R134</v>
      </c>
      <c r="CP34" t="str">
        <f t="shared" si="44"/>
        <v>R134</v>
      </c>
      <c r="CQ34" t="str">
        <f>AF33</f>
        <v>R507</v>
      </c>
      <c r="CR34" t="str">
        <f t="shared" si="31"/>
        <v>R507</v>
      </c>
      <c r="CS34" t="s">
        <v>1007</v>
      </c>
      <c r="CT34" t="s">
        <v>1007</v>
      </c>
      <c r="CU34" t="s">
        <v>1007</v>
      </c>
      <c r="CV34" t="b">
        <f t="shared" si="45"/>
        <v>1</v>
      </c>
      <c r="DC34" t="str">
        <f t="shared" si="32"/>
        <v>G518</v>
      </c>
      <c r="DD34" t="b">
        <f t="shared" si="47"/>
        <v>0</v>
      </c>
      <c r="DE34" t="str">
        <f t="shared" si="48"/>
        <v>G518</v>
      </c>
      <c r="DF34" t="str">
        <f t="shared" si="33"/>
        <v>R507</v>
      </c>
      <c r="DG34" t="b">
        <f t="shared" si="49"/>
        <v>0</v>
      </c>
      <c r="DH34" t="str">
        <f t="shared" si="50"/>
        <v>R507</v>
      </c>
    </row>
    <row r="35" spans="2:112" ht="12" customHeight="1">
      <c r="B35" t="str">
        <f>TBIDry!H107</f>
        <v>G193</v>
      </c>
      <c r="C35" t="str">
        <f>TBIDry!I107</f>
        <v>R743</v>
      </c>
      <c r="D35" t="b">
        <f t="shared" si="1"/>
        <v>0</v>
      </c>
      <c r="E35" t="b">
        <f t="shared" si="2"/>
        <v>0</v>
      </c>
      <c r="G35" t="str">
        <f>TBIWet!H107</f>
        <v>G527</v>
      </c>
      <c r="H35" t="str">
        <f>TBIWet!I107</f>
        <v>R396</v>
      </c>
      <c r="I35" t="b">
        <f t="shared" si="3"/>
        <v>0</v>
      </c>
      <c r="J35" t="b">
        <f t="shared" si="34"/>
        <v>0</v>
      </c>
      <c r="L35" t="str">
        <f>'Both teabags AfterWet'!A33</f>
        <v>G362</v>
      </c>
      <c r="M35" t="str">
        <f>'Both teabags AfterWet'!A453</f>
        <v>R136</v>
      </c>
      <c r="N35" t="b">
        <f t="shared" si="4"/>
        <v>0</v>
      </c>
      <c r="O35" t="b">
        <f t="shared" si="51"/>
        <v>0</v>
      </c>
      <c r="Q35" s="395" t="b">
        <f t="shared" si="5"/>
        <v>0</v>
      </c>
      <c r="R35" s="395" t="b">
        <f t="shared" si="6"/>
        <v>0</v>
      </c>
      <c r="T35" t="str">
        <f>'Both teabags AfterDry'!A33</f>
        <v>G140</v>
      </c>
      <c r="U35" t="str">
        <f>'Both teabags AfterDry'!A368</f>
        <v>R207</v>
      </c>
      <c r="V35" t="b">
        <f t="shared" si="7"/>
        <v>0</v>
      </c>
      <c r="W35" t="b">
        <f t="shared" si="35"/>
        <v>0</v>
      </c>
      <c r="Y35" t="str">
        <f>'Green_rooibos initial weight'!A36</f>
        <v>G32</v>
      </c>
      <c r="Z35" t="str">
        <f>'Green_rooibos initial weight'!A940</f>
        <v>R32</v>
      </c>
      <c r="AA35" t="b">
        <f t="shared" si="8"/>
        <v>0</v>
      </c>
      <c r="AB35" t="b">
        <f t="shared" si="9"/>
        <v>0</v>
      </c>
      <c r="AE35" t="str">
        <f>'WetLitterbags placem_collection'!K34</f>
        <v>G527</v>
      </c>
      <c r="AF35" t="str">
        <f>'WetLitterbags placem_collection'!M34</f>
        <v>R396</v>
      </c>
      <c r="AG35" t="b">
        <f t="shared" si="10"/>
        <v>0</v>
      </c>
      <c r="AH35" t="b">
        <f t="shared" si="11"/>
        <v>0</v>
      </c>
      <c r="AJ35" t="b">
        <f t="shared" si="12"/>
        <v>0</v>
      </c>
      <c r="AK35" t="b">
        <f t="shared" si="13"/>
        <v>0</v>
      </c>
      <c r="AM35" t="str">
        <f>IF(ISBLANK('Dry_Litterbag Placem_Collection'!J34),"","G"&amp;""&amp;'Dry_Litterbag Placem_Collection'!J34)</f>
        <v>G193</v>
      </c>
      <c r="AN35" t="str">
        <f>IF(ISBLANK('Dry_Litterbag Placem_Collection'!K34),"","R"&amp;""&amp;'Dry_Litterbag Placem_Collection'!K34)</f>
        <v>R743</v>
      </c>
      <c r="AO35" t="b">
        <f t="shared" si="53"/>
        <v>0</v>
      </c>
      <c r="AP35" t="b">
        <f t="shared" si="15"/>
        <v>0</v>
      </c>
      <c r="AS35" t="str">
        <f>'Ashed teabags dry'!A33</f>
        <v>G140</v>
      </c>
      <c r="AT35" t="str">
        <f>'Ashed teabags dry'!A368</f>
        <v>R207</v>
      </c>
      <c r="AU35" t="b">
        <f t="shared" si="16"/>
        <v>0</v>
      </c>
      <c r="AV35" t="b">
        <f>COUNTIF($AT$4:$AT$2000, AT35)&gt;1</f>
        <v>0</v>
      </c>
      <c r="AX35" s="395" t="b">
        <f t="shared" si="17"/>
        <v>0</v>
      </c>
      <c r="AY35" s="395" t="b">
        <f t="shared" si="18"/>
        <v>0</v>
      </c>
      <c r="BA35" t="str">
        <f>'Ashed teabags wet'!A33</f>
        <v>G362</v>
      </c>
      <c r="BB35" t="str">
        <f>'Ashed teabags wet'!A453</f>
        <v>R136</v>
      </c>
      <c r="BC35" t="b">
        <f t="shared" si="19"/>
        <v>0</v>
      </c>
      <c r="BD35" t="b">
        <f t="shared" si="0"/>
        <v>0</v>
      </c>
      <c r="BF35" t="str">
        <f t="shared" si="20"/>
        <v>G139</v>
      </c>
      <c r="BG35" t="str">
        <f>T34</f>
        <v>G139</v>
      </c>
      <c r="BH35" t="str">
        <f t="shared" si="21"/>
        <v/>
      </c>
      <c r="BI35" t="str">
        <f t="shared" si="36"/>
        <v/>
      </c>
      <c r="BJ35" t="s">
        <v>1911</v>
      </c>
      <c r="BK35" t="s">
        <v>1911</v>
      </c>
      <c r="BL35" t="s">
        <v>1911</v>
      </c>
      <c r="BM35" t="b">
        <f t="shared" si="37"/>
        <v>1</v>
      </c>
      <c r="BN35" t="str">
        <f t="shared" si="22"/>
        <v>R206</v>
      </c>
      <c r="BO35" t="str">
        <f>U34</f>
        <v>R206</v>
      </c>
      <c r="BP35" t="str">
        <f t="shared" si="23"/>
        <v/>
      </c>
      <c r="BQ35" t="str">
        <f t="shared" si="24"/>
        <v/>
      </c>
      <c r="BR35" t="s">
        <v>935</v>
      </c>
      <c r="BS35" t="s">
        <v>935</v>
      </c>
      <c r="BT35" t="s">
        <v>935</v>
      </c>
      <c r="BU35" t="b">
        <f t="shared" si="38"/>
        <v>1</v>
      </c>
      <c r="BV35" s="180" t="s">
        <v>1464</v>
      </c>
      <c r="BW35" s="180" t="s">
        <v>485</v>
      </c>
      <c r="BZ35" t="str">
        <f t="shared" si="25"/>
        <v/>
      </c>
      <c r="CA35" t="b">
        <f t="shared" si="26"/>
        <v>0</v>
      </c>
      <c r="CB35" t="str">
        <f t="shared" si="39"/>
        <v/>
      </c>
      <c r="CC35" t="str">
        <f t="shared" si="27"/>
        <v/>
      </c>
      <c r="CD35" t="b">
        <f t="shared" si="40"/>
        <v>0</v>
      </c>
      <c r="CE35" t="str">
        <f t="shared" si="41"/>
        <v/>
      </c>
      <c r="CG35" t="str">
        <f t="shared" si="28"/>
        <v>G360</v>
      </c>
      <c r="CH35" t="str">
        <f t="shared" si="42"/>
        <v>G360</v>
      </c>
      <c r="CI35" t="str">
        <f>AE34</f>
        <v>G404</v>
      </c>
      <c r="CJ35" t="str">
        <f t="shared" si="29"/>
        <v>G404</v>
      </c>
      <c r="CK35" t="s">
        <v>1690</v>
      </c>
      <c r="CL35" t="s">
        <v>1690</v>
      </c>
      <c r="CM35" t="s">
        <v>1690</v>
      </c>
      <c r="CN35" t="b">
        <f t="shared" si="43"/>
        <v>1</v>
      </c>
      <c r="CO35" t="str">
        <f t="shared" si="30"/>
        <v>R135</v>
      </c>
      <c r="CP35" t="str">
        <f t="shared" si="44"/>
        <v>R135</v>
      </c>
      <c r="CQ35" t="str">
        <f>AF34</f>
        <v>R141</v>
      </c>
      <c r="CR35" t="str">
        <f t="shared" si="31"/>
        <v>R141</v>
      </c>
      <c r="CS35" t="s">
        <v>1006</v>
      </c>
      <c r="CT35" t="s">
        <v>1006</v>
      </c>
      <c r="CU35" t="s">
        <v>1006</v>
      </c>
      <c r="CV35" t="b">
        <f t="shared" si="45"/>
        <v>1</v>
      </c>
      <c r="DC35" t="str">
        <f t="shared" si="32"/>
        <v>G404</v>
      </c>
      <c r="DD35" t="b">
        <f t="shared" si="47"/>
        <v>0</v>
      </c>
      <c r="DE35" t="str">
        <f t="shared" si="48"/>
        <v>G404</v>
      </c>
      <c r="DF35" t="str">
        <f t="shared" si="33"/>
        <v>R141</v>
      </c>
      <c r="DG35" t="b">
        <f t="shared" si="49"/>
        <v>0</v>
      </c>
      <c r="DH35" t="str">
        <f t="shared" si="50"/>
        <v>R141</v>
      </c>
    </row>
    <row r="36" spans="2:112" ht="12" customHeight="1">
      <c r="B36" t="str">
        <f>TBIDry!H108</f>
        <v>G218</v>
      </c>
      <c r="C36" t="str">
        <f>TBIDry!I108</f>
        <v>R769</v>
      </c>
      <c r="D36" t="b">
        <f t="shared" si="1"/>
        <v>0</v>
      </c>
      <c r="E36" t="b">
        <f t="shared" si="2"/>
        <v>0</v>
      </c>
      <c r="G36" t="str">
        <f>TBIWet!H108</f>
        <v>G366</v>
      </c>
      <c r="H36" t="str">
        <f>TBIWet!I108</f>
        <v>R109</v>
      </c>
      <c r="I36" t="b">
        <f t="shared" si="3"/>
        <v>0</v>
      </c>
      <c r="J36" t="b">
        <f t="shared" si="34"/>
        <v>0</v>
      </c>
      <c r="L36" t="str">
        <f>'Both teabags AfterWet'!A34</f>
        <v>G365</v>
      </c>
      <c r="M36" t="str">
        <f>'Both teabags AfterWet'!A454</f>
        <v>R137</v>
      </c>
      <c r="N36" t="b">
        <f t="shared" si="4"/>
        <v>0</v>
      </c>
      <c r="O36" t="b">
        <f t="shared" si="51"/>
        <v>0</v>
      </c>
      <c r="Q36" s="395" t="b">
        <f t="shared" si="5"/>
        <v>0</v>
      </c>
      <c r="R36" s="395" t="b">
        <f t="shared" si="6"/>
        <v>0</v>
      </c>
      <c r="T36" t="str">
        <f>'Both teabags AfterDry'!A34</f>
        <v>G141</v>
      </c>
      <c r="U36" t="str">
        <f>'Both teabags AfterDry'!A369</f>
        <v>R208</v>
      </c>
      <c r="V36" t="b">
        <f t="shared" si="7"/>
        <v>0</v>
      </c>
      <c r="W36" t="b">
        <f t="shared" si="35"/>
        <v>0</v>
      </c>
      <c r="Y36" t="str">
        <f>'Green_rooibos initial weight'!A37</f>
        <v>G33</v>
      </c>
      <c r="Z36" t="str">
        <f>'Green_rooibos initial weight'!A941</f>
        <v>R33</v>
      </c>
      <c r="AA36" t="b">
        <f t="shared" si="8"/>
        <v>0</v>
      </c>
      <c r="AB36" t="b">
        <f t="shared" si="9"/>
        <v>0</v>
      </c>
      <c r="AE36" t="str">
        <f>'WetLitterbags placem_collection'!K35</f>
        <v>G366</v>
      </c>
      <c r="AF36" t="str">
        <f>'WetLitterbags placem_collection'!M35</f>
        <v>R109</v>
      </c>
      <c r="AG36" t="b">
        <f t="shared" si="10"/>
        <v>0</v>
      </c>
      <c r="AH36" t="b">
        <f t="shared" si="11"/>
        <v>0</v>
      </c>
      <c r="AJ36" t="b">
        <f t="shared" si="12"/>
        <v>0</v>
      </c>
      <c r="AK36" t="b">
        <f t="shared" si="13"/>
        <v>0</v>
      </c>
      <c r="AM36" t="str">
        <f>IF(ISBLANK('Dry_Litterbag Placem_Collection'!J35),"","G"&amp;""&amp;'Dry_Litterbag Placem_Collection'!J35)</f>
        <v>G218</v>
      </c>
      <c r="AN36" t="str">
        <f>IF(ISBLANK('Dry_Litterbag Placem_Collection'!K35),"","R"&amp;""&amp;'Dry_Litterbag Placem_Collection'!K35)</f>
        <v>R769</v>
      </c>
      <c r="AO36" t="b">
        <f t="shared" si="53"/>
        <v>0</v>
      </c>
      <c r="AP36" t="b">
        <f t="shared" si="15"/>
        <v>0</v>
      </c>
      <c r="AS36" t="str">
        <f>'Ashed teabags dry'!A34</f>
        <v>G141</v>
      </c>
      <c r="AT36" t="str">
        <f>'Ashed teabags dry'!A369</f>
        <v>R208</v>
      </c>
      <c r="AU36" t="b">
        <f t="shared" si="16"/>
        <v>0</v>
      </c>
      <c r="AV36" t="b">
        <f>COUNTIF($AT$4:$AT$2000, AT36)&gt;1</f>
        <v>0</v>
      </c>
      <c r="AX36" s="395" t="b">
        <f t="shared" si="17"/>
        <v>0</v>
      </c>
      <c r="AY36" s="395" t="b">
        <f t="shared" si="18"/>
        <v>0</v>
      </c>
      <c r="BA36" t="str">
        <f>'Ashed teabags wet'!A34</f>
        <v>G365</v>
      </c>
      <c r="BB36" t="str">
        <f>'Ashed teabags wet'!A454</f>
        <v>R137</v>
      </c>
      <c r="BC36" t="b">
        <f t="shared" si="19"/>
        <v>0</v>
      </c>
      <c r="BD36" t="b">
        <f t="shared" si="0"/>
        <v>0</v>
      </c>
      <c r="BF36" t="str">
        <f t="shared" si="20"/>
        <v>G140</v>
      </c>
      <c r="BG36" t="str">
        <f>T35</f>
        <v>G140</v>
      </c>
      <c r="BH36" t="str">
        <f t="shared" si="21"/>
        <v>G193</v>
      </c>
      <c r="BI36" t="str">
        <f t="shared" si="36"/>
        <v>G193</v>
      </c>
      <c r="BJ36" t="s">
        <v>1910</v>
      </c>
      <c r="BK36" t="s">
        <v>1910</v>
      </c>
      <c r="BL36" t="s">
        <v>1910</v>
      </c>
      <c r="BM36" t="b">
        <f t="shared" si="37"/>
        <v>1</v>
      </c>
      <c r="BN36" t="str">
        <f t="shared" si="22"/>
        <v>R207</v>
      </c>
      <c r="BO36" t="str">
        <f>U35</f>
        <v>R207</v>
      </c>
      <c r="BP36" t="str">
        <f t="shared" si="23"/>
        <v>R743</v>
      </c>
      <c r="BQ36" t="str">
        <f t="shared" si="24"/>
        <v>R743</v>
      </c>
      <c r="BR36" t="s">
        <v>934</v>
      </c>
      <c r="BS36" t="s">
        <v>934</v>
      </c>
      <c r="BT36" t="s">
        <v>934</v>
      </c>
      <c r="BU36" t="b">
        <f t="shared" si="38"/>
        <v>1</v>
      </c>
      <c r="BV36" s="180" t="s">
        <v>1324</v>
      </c>
      <c r="BW36" s="180" t="s">
        <v>981</v>
      </c>
      <c r="BZ36" t="str">
        <f t="shared" si="25"/>
        <v>G193</v>
      </c>
      <c r="CA36" t="b">
        <f t="shared" si="26"/>
        <v>0</v>
      </c>
      <c r="CB36" t="str">
        <f t="shared" si="39"/>
        <v>G193</v>
      </c>
      <c r="CC36" t="str">
        <f t="shared" si="27"/>
        <v>R743</v>
      </c>
      <c r="CD36" t="b">
        <f t="shared" si="40"/>
        <v>0</v>
      </c>
      <c r="CE36" t="str">
        <f t="shared" si="41"/>
        <v>R743</v>
      </c>
      <c r="CG36" t="str">
        <f t="shared" si="28"/>
        <v>G362</v>
      </c>
      <c r="CH36" t="str">
        <f t="shared" si="42"/>
        <v>G362</v>
      </c>
      <c r="CI36" t="str">
        <f>AE35</f>
        <v>G527</v>
      </c>
      <c r="CJ36" t="str">
        <f t="shared" si="29"/>
        <v>G527</v>
      </c>
      <c r="CK36" t="s">
        <v>1688</v>
      </c>
      <c r="CL36" t="s">
        <v>1688</v>
      </c>
      <c r="CM36" t="s">
        <v>1688</v>
      </c>
      <c r="CN36" t="b">
        <f t="shared" si="43"/>
        <v>1</v>
      </c>
      <c r="CO36" t="str">
        <f t="shared" si="30"/>
        <v>R136</v>
      </c>
      <c r="CP36" t="str">
        <f t="shared" si="44"/>
        <v>R136</v>
      </c>
      <c r="CQ36" t="str">
        <f>AF35</f>
        <v>R396</v>
      </c>
      <c r="CR36" t="str">
        <f t="shared" si="31"/>
        <v>R396</v>
      </c>
      <c r="CS36" t="s">
        <v>1005</v>
      </c>
      <c r="CT36" t="s">
        <v>1005</v>
      </c>
      <c r="CU36" t="s">
        <v>1005</v>
      </c>
      <c r="CV36" t="b">
        <f t="shared" si="45"/>
        <v>1</v>
      </c>
      <c r="DC36" t="str">
        <f t="shared" si="32"/>
        <v>G527</v>
      </c>
      <c r="DD36" t="b">
        <f t="shared" si="47"/>
        <v>0</v>
      </c>
      <c r="DE36" t="str">
        <f t="shared" si="48"/>
        <v>G527</v>
      </c>
      <c r="DF36" t="str">
        <f t="shared" si="33"/>
        <v>R396</v>
      </c>
      <c r="DG36" t="b">
        <f t="shared" si="49"/>
        <v>0</v>
      </c>
      <c r="DH36" t="str">
        <f t="shared" si="50"/>
        <v>R396</v>
      </c>
    </row>
    <row r="37" spans="2:112" ht="12" customHeight="1">
      <c r="B37" t="str">
        <f>TBIDry!H109</f>
        <v>G104</v>
      </c>
      <c r="C37" t="str">
        <f>TBIDry!I109</f>
        <v>R753</v>
      </c>
      <c r="D37" t="b">
        <f t="shared" si="1"/>
        <v>0</v>
      </c>
      <c r="E37" t="b">
        <f t="shared" si="2"/>
        <v>0</v>
      </c>
      <c r="G37" t="str">
        <f>TBIWet!H109</f>
        <v>G516</v>
      </c>
      <c r="H37" t="str">
        <f>TBIWet!I109</f>
        <v>R153</v>
      </c>
      <c r="I37" t="b">
        <f t="shared" si="3"/>
        <v>0</v>
      </c>
      <c r="J37" t="b">
        <f t="shared" si="34"/>
        <v>0</v>
      </c>
      <c r="L37" t="str">
        <f>'Both teabags AfterWet'!A35</f>
        <v>G366</v>
      </c>
      <c r="M37" t="str">
        <f>'Both teabags AfterWet'!A455</f>
        <v>R138</v>
      </c>
      <c r="N37" t="b">
        <f t="shared" si="4"/>
        <v>0</v>
      </c>
      <c r="O37" t="b">
        <f t="shared" si="51"/>
        <v>0</v>
      </c>
      <c r="Q37" s="395" t="b">
        <f t="shared" si="5"/>
        <v>0</v>
      </c>
      <c r="R37" s="395" t="b">
        <f t="shared" si="6"/>
        <v>0</v>
      </c>
      <c r="T37" t="str">
        <f>'Both teabags AfterDry'!A35</f>
        <v>G143</v>
      </c>
      <c r="U37" t="str">
        <f>'Both teabags AfterDry'!A370</f>
        <v>R210</v>
      </c>
      <c r="V37" t="b">
        <f t="shared" si="7"/>
        <v>0</v>
      </c>
      <c r="W37" t="b">
        <f t="shared" si="35"/>
        <v>0</v>
      </c>
      <c r="Y37" t="str">
        <f>'Green_rooibos initial weight'!A38</f>
        <v>G34</v>
      </c>
      <c r="Z37" t="str">
        <f>'Green_rooibos initial weight'!A942</f>
        <v>R34</v>
      </c>
      <c r="AA37" t="b">
        <f t="shared" si="8"/>
        <v>0</v>
      </c>
      <c r="AB37" t="b">
        <f t="shared" si="9"/>
        <v>0</v>
      </c>
      <c r="AE37" t="str">
        <f>'WetLitterbags placem_collection'!K36</f>
        <v>G516</v>
      </c>
      <c r="AF37" t="str">
        <f>'WetLitterbags placem_collection'!M36</f>
        <v>R153</v>
      </c>
      <c r="AG37" t="b">
        <f t="shared" si="10"/>
        <v>0</v>
      </c>
      <c r="AH37" t="b">
        <f t="shared" si="11"/>
        <v>0</v>
      </c>
      <c r="AJ37" t="b">
        <f t="shared" si="12"/>
        <v>0</v>
      </c>
      <c r="AK37" t="b">
        <f t="shared" si="13"/>
        <v>0</v>
      </c>
      <c r="AM37" t="str">
        <f>IF(ISBLANK('Dry_Litterbag Placem_Collection'!J36),"","G"&amp;""&amp;'Dry_Litterbag Placem_Collection'!J36)</f>
        <v>G104</v>
      </c>
      <c r="AN37" t="str">
        <f>IF(ISBLANK('Dry_Litterbag Placem_Collection'!K36),"","R"&amp;""&amp;'Dry_Litterbag Placem_Collection'!K36)</f>
        <v>R753</v>
      </c>
      <c r="AO37" t="b">
        <f t="shared" si="53"/>
        <v>0</v>
      </c>
      <c r="AP37" t="b">
        <f t="shared" si="15"/>
        <v>0</v>
      </c>
      <c r="AS37" t="str">
        <f>'Ashed teabags dry'!A35</f>
        <v>G143</v>
      </c>
      <c r="AT37" t="str">
        <f>'Ashed teabags dry'!A370</f>
        <v>R210</v>
      </c>
      <c r="AU37" t="b">
        <f t="shared" si="16"/>
        <v>0</v>
      </c>
      <c r="AV37" t="b">
        <f>COUNTIF($AT$4:$AT$2000, AT37)&gt;1</f>
        <v>0</v>
      </c>
      <c r="AX37" s="395" t="b">
        <f t="shared" si="17"/>
        <v>0</v>
      </c>
      <c r="AY37" s="395" t="b">
        <f t="shared" si="18"/>
        <v>0</v>
      </c>
      <c r="BA37" t="str">
        <f>'Ashed teabags wet'!A35</f>
        <v>G366</v>
      </c>
      <c r="BB37" t="str">
        <f>'Ashed teabags wet'!A455</f>
        <v>R138</v>
      </c>
      <c r="BC37" t="b">
        <f t="shared" si="19"/>
        <v>0</v>
      </c>
      <c r="BD37" t="b">
        <f t="shared" si="0"/>
        <v>0</v>
      </c>
      <c r="BF37" t="str">
        <f t="shared" si="20"/>
        <v>G141</v>
      </c>
      <c r="BG37" t="str">
        <f>T36</f>
        <v>G141</v>
      </c>
      <c r="BH37" t="str">
        <f t="shared" si="21"/>
        <v>G218</v>
      </c>
      <c r="BI37" t="str">
        <f t="shared" si="36"/>
        <v>G218</v>
      </c>
      <c r="BJ37" t="s">
        <v>1909</v>
      </c>
      <c r="BK37" t="s">
        <v>1909</v>
      </c>
      <c r="BL37" t="s">
        <v>1909</v>
      </c>
      <c r="BM37" t="b">
        <f t="shared" si="37"/>
        <v>1</v>
      </c>
      <c r="BN37" t="str">
        <f t="shared" si="22"/>
        <v>R208</v>
      </c>
      <c r="BO37" t="str">
        <f>U36</f>
        <v>R208</v>
      </c>
      <c r="BP37" t="str">
        <f t="shared" si="23"/>
        <v>R769</v>
      </c>
      <c r="BQ37" t="str">
        <f t="shared" si="24"/>
        <v>R769</v>
      </c>
      <c r="BR37" t="s">
        <v>933</v>
      </c>
      <c r="BS37" t="s">
        <v>933</v>
      </c>
      <c r="BT37" t="s">
        <v>933</v>
      </c>
      <c r="BU37" t="b">
        <f t="shared" si="38"/>
        <v>1</v>
      </c>
      <c r="BV37" s="180" t="s">
        <v>1262</v>
      </c>
      <c r="BW37" s="180" t="s">
        <v>496</v>
      </c>
      <c r="BZ37" t="str">
        <f t="shared" si="25"/>
        <v>G218</v>
      </c>
      <c r="CA37" t="b">
        <f t="shared" si="26"/>
        <v>0</v>
      </c>
      <c r="CB37" t="str">
        <f t="shared" si="39"/>
        <v>G218</v>
      </c>
      <c r="CC37" t="str">
        <f t="shared" si="27"/>
        <v>R769</v>
      </c>
      <c r="CD37" t="b">
        <f t="shared" si="40"/>
        <v>0</v>
      </c>
      <c r="CE37" t="str">
        <f t="shared" si="41"/>
        <v>R769</v>
      </c>
      <c r="CG37" t="str">
        <f t="shared" si="28"/>
        <v>G365</v>
      </c>
      <c r="CH37" t="str">
        <f t="shared" si="42"/>
        <v>G365</v>
      </c>
      <c r="CI37" t="str">
        <f>AE36</f>
        <v>G366</v>
      </c>
      <c r="CJ37" t="str">
        <f t="shared" si="29"/>
        <v>G366</v>
      </c>
      <c r="CK37" t="s">
        <v>1685</v>
      </c>
      <c r="CL37" t="s">
        <v>1685</v>
      </c>
      <c r="CM37" t="s">
        <v>1685</v>
      </c>
      <c r="CN37" t="b">
        <f t="shared" si="43"/>
        <v>1</v>
      </c>
      <c r="CO37" t="str">
        <f t="shared" si="30"/>
        <v>R137</v>
      </c>
      <c r="CP37" t="str">
        <f t="shared" si="44"/>
        <v>R137</v>
      </c>
      <c r="CQ37" t="str">
        <f>AF36</f>
        <v>R109</v>
      </c>
      <c r="CR37" t="str">
        <f t="shared" si="31"/>
        <v>R109</v>
      </c>
      <c r="CS37" t="s">
        <v>1004</v>
      </c>
      <c r="CT37" t="s">
        <v>1004</v>
      </c>
      <c r="CU37" t="s">
        <v>1004</v>
      </c>
      <c r="CV37" t="b">
        <f t="shared" si="45"/>
        <v>1</v>
      </c>
      <c r="DC37" t="str">
        <f t="shared" si="32"/>
        <v>G366</v>
      </c>
      <c r="DD37" t="b">
        <f t="shared" si="47"/>
        <v>0</v>
      </c>
      <c r="DE37" t="str">
        <f t="shared" si="48"/>
        <v>G366</v>
      </c>
      <c r="DF37" t="str">
        <f t="shared" si="33"/>
        <v>R109</v>
      </c>
      <c r="DG37" t="b">
        <f t="shared" si="49"/>
        <v>0</v>
      </c>
      <c r="DH37" t="str">
        <f t="shared" si="50"/>
        <v>R109</v>
      </c>
    </row>
    <row r="38" spans="2:112" ht="12" customHeight="1">
      <c r="B38" t="str">
        <f>TBIDry!H110</f>
        <v>G188</v>
      </c>
      <c r="C38" t="str">
        <f>TBIDry!I110</f>
        <v>R776</v>
      </c>
      <c r="D38" t="b">
        <f t="shared" si="1"/>
        <v>0</v>
      </c>
      <c r="E38" t="b">
        <f t="shared" si="2"/>
        <v>0</v>
      </c>
      <c r="G38" t="str">
        <f>TBIWet!H110</f>
        <v>G670</v>
      </c>
      <c r="H38" t="str">
        <f>TBIWet!I110</f>
        <v>R64</v>
      </c>
      <c r="I38" t="b">
        <f t="shared" si="3"/>
        <v>0</v>
      </c>
      <c r="J38" t="b">
        <f t="shared" si="34"/>
        <v>0</v>
      </c>
      <c r="L38" t="str">
        <f>'Both teabags AfterWet'!A36</f>
        <v>G367</v>
      </c>
      <c r="M38" t="str">
        <f>'Both teabags AfterWet'!A456</f>
        <v>R139</v>
      </c>
      <c r="N38" t="b">
        <f t="shared" si="4"/>
        <v>0</v>
      </c>
      <c r="O38" t="b">
        <f t="shared" si="51"/>
        <v>0</v>
      </c>
      <c r="Q38" s="395" t="b">
        <f t="shared" si="5"/>
        <v>0</v>
      </c>
      <c r="R38" s="395" t="b">
        <f t="shared" si="6"/>
        <v>0</v>
      </c>
      <c r="T38" t="str">
        <f>'Both teabags AfterDry'!A36</f>
        <v>G144</v>
      </c>
      <c r="U38" t="str">
        <f>'Both teabags AfterDry'!A371</f>
        <v>R211</v>
      </c>
      <c r="V38" t="b">
        <f t="shared" si="7"/>
        <v>0</v>
      </c>
      <c r="W38" t="b">
        <f t="shared" si="35"/>
        <v>0</v>
      </c>
      <c r="Y38" t="str">
        <f>'Green_rooibos initial weight'!A39</f>
        <v>G35</v>
      </c>
      <c r="Z38" t="str">
        <f>'Green_rooibos initial weight'!A943</f>
        <v>R35</v>
      </c>
      <c r="AA38" t="b">
        <f t="shared" si="8"/>
        <v>0</v>
      </c>
      <c r="AB38" t="b">
        <f t="shared" si="9"/>
        <v>0</v>
      </c>
      <c r="AE38" t="str">
        <f>'WetLitterbags placem_collection'!K37</f>
        <v>G670</v>
      </c>
      <c r="AF38" t="str">
        <f>'WetLitterbags placem_collection'!M37</f>
        <v>R64</v>
      </c>
      <c r="AG38" t="b">
        <f t="shared" si="10"/>
        <v>0</v>
      </c>
      <c r="AH38" t="b">
        <f t="shared" si="11"/>
        <v>0</v>
      </c>
      <c r="AJ38" t="b">
        <f t="shared" si="12"/>
        <v>0</v>
      </c>
      <c r="AK38" t="b">
        <f t="shared" si="13"/>
        <v>0</v>
      </c>
      <c r="AM38" t="str">
        <f>IF(ISBLANK('Dry_Litterbag Placem_Collection'!J37),"","G"&amp;""&amp;'Dry_Litterbag Placem_Collection'!J37)</f>
        <v>G188</v>
      </c>
      <c r="AN38" t="str">
        <f>IF(ISBLANK('Dry_Litterbag Placem_Collection'!K37),"","R"&amp;""&amp;'Dry_Litterbag Placem_Collection'!K37)</f>
        <v>R776</v>
      </c>
      <c r="AO38" t="b">
        <f t="shared" si="53"/>
        <v>0</v>
      </c>
      <c r="AP38" t="b">
        <f t="shared" si="15"/>
        <v>0</v>
      </c>
      <c r="AS38" t="str">
        <f>'Ashed teabags dry'!A36</f>
        <v>G144</v>
      </c>
      <c r="AT38" t="str">
        <f>'Ashed teabags dry'!A371</f>
        <v>R211</v>
      </c>
      <c r="AU38" t="b">
        <f t="shared" si="16"/>
        <v>0</v>
      </c>
      <c r="AV38" t="b">
        <f>COUNTIF($AT$4:$AT$2000, AT38)&gt;1</f>
        <v>0</v>
      </c>
      <c r="AX38" s="395" t="b">
        <f t="shared" si="17"/>
        <v>0</v>
      </c>
      <c r="AY38" s="395" t="b">
        <f t="shared" si="18"/>
        <v>0</v>
      </c>
      <c r="BA38" t="str">
        <f>'Ashed teabags wet'!A36</f>
        <v>G367</v>
      </c>
      <c r="BB38" t="str">
        <f>'Ashed teabags wet'!A456</f>
        <v>R139</v>
      </c>
      <c r="BC38" t="b">
        <f t="shared" si="19"/>
        <v>0</v>
      </c>
      <c r="BD38" t="b">
        <f t="shared" si="0"/>
        <v>0</v>
      </c>
      <c r="BF38" t="str">
        <f t="shared" si="20"/>
        <v>G143</v>
      </c>
      <c r="BG38" t="str">
        <f>T37</f>
        <v>G143</v>
      </c>
      <c r="BH38" t="str">
        <f t="shared" si="21"/>
        <v>G104</v>
      </c>
      <c r="BI38" t="str">
        <f t="shared" si="36"/>
        <v/>
      </c>
      <c r="BJ38" t="s">
        <v>1907</v>
      </c>
      <c r="BK38" t="s">
        <v>1907</v>
      </c>
      <c r="BL38" t="s">
        <v>1907</v>
      </c>
      <c r="BM38" t="b">
        <f t="shared" si="37"/>
        <v>1</v>
      </c>
      <c r="BN38" t="str">
        <f t="shared" si="22"/>
        <v>R210</v>
      </c>
      <c r="BO38" t="str">
        <f>U37</f>
        <v>R210</v>
      </c>
      <c r="BP38" t="str">
        <f t="shared" si="23"/>
        <v>R753</v>
      </c>
      <c r="BQ38" t="str">
        <f t="shared" si="24"/>
        <v/>
      </c>
      <c r="BR38" t="s">
        <v>931</v>
      </c>
      <c r="BS38" t="s">
        <v>931</v>
      </c>
      <c r="BT38" t="s">
        <v>931</v>
      </c>
      <c r="BU38" t="b">
        <f t="shared" si="38"/>
        <v>1</v>
      </c>
      <c r="BV38" s="180" t="s">
        <v>1720</v>
      </c>
      <c r="BW38" s="180" t="s">
        <v>921</v>
      </c>
      <c r="BZ38" t="str">
        <f t="shared" si="25"/>
        <v>G104</v>
      </c>
      <c r="CA38" t="b">
        <f t="shared" si="26"/>
        <v>1</v>
      </c>
      <c r="CB38" t="str">
        <f t="shared" si="39"/>
        <v/>
      </c>
      <c r="CC38" t="str">
        <f t="shared" si="27"/>
        <v>R753</v>
      </c>
      <c r="CD38" t="b">
        <f t="shared" si="40"/>
        <v>1</v>
      </c>
      <c r="CE38" t="str">
        <f t="shared" si="41"/>
        <v/>
      </c>
      <c r="CG38" t="str">
        <f t="shared" si="28"/>
        <v>G366</v>
      </c>
      <c r="CH38" t="str">
        <f t="shared" si="42"/>
        <v>G366</v>
      </c>
      <c r="CI38" t="str">
        <f>AE37</f>
        <v>G516</v>
      </c>
      <c r="CJ38" t="str">
        <f t="shared" si="29"/>
        <v>G516</v>
      </c>
      <c r="CK38" t="s">
        <v>1684</v>
      </c>
      <c r="CL38" t="s">
        <v>1684</v>
      </c>
      <c r="CM38" t="s">
        <v>1684</v>
      </c>
      <c r="CN38" t="b">
        <f t="shared" si="43"/>
        <v>1</v>
      </c>
      <c r="CO38" t="str">
        <f t="shared" si="30"/>
        <v>R138</v>
      </c>
      <c r="CP38" t="str">
        <f t="shared" si="44"/>
        <v>R138</v>
      </c>
      <c r="CQ38" t="str">
        <f>AF37</f>
        <v>R153</v>
      </c>
      <c r="CR38" t="str">
        <f t="shared" si="31"/>
        <v>R153</v>
      </c>
      <c r="CS38" t="s">
        <v>1003</v>
      </c>
      <c r="CT38" t="s">
        <v>1003</v>
      </c>
      <c r="CU38" t="s">
        <v>1003</v>
      </c>
      <c r="CV38" t="b">
        <f t="shared" si="45"/>
        <v>1</v>
      </c>
      <c r="DC38" t="str">
        <f t="shared" si="32"/>
        <v>G516</v>
      </c>
      <c r="DD38" t="b">
        <f t="shared" si="47"/>
        <v>0</v>
      </c>
      <c r="DE38" t="str">
        <f t="shared" si="48"/>
        <v>G516</v>
      </c>
      <c r="DF38" t="str">
        <f t="shared" si="33"/>
        <v>R153</v>
      </c>
      <c r="DG38" t="b">
        <f t="shared" si="49"/>
        <v>0</v>
      </c>
      <c r="DH38" t="str">
        <f t="shared" si="50"/>
        <v>R153</v>
      </c>
    </row>
    <row r="39" spans="2:112" ht="12" customHeight="1">
      <c r="B39" t="str">
        <f>TBIDry!H111</f>
        <v>G379</v>
      </c>
      <c r="C39" t="str">
        <f>TBIDry!I111</f>
        <v>R799</v>
      </c>
      <c r="D39" t="b">
        <f t="shared" si="1"/>
        <v>0</v>
      </c>
      <c r="E39" t="b">
        <f t="shared" si="2"/>
        <v>0</v>
      </c>
      <c r="G39" t="str">
        <f>TBIWet!H111</f>
        <v>G507</v>
      </c>
      <c r="H39" t="str">
        <f>TBIWet!I111</f>
        <v>R126</v>
      </c>
      <c r="I39" t="b">
        <f t="shared" si="3"/>
        <v>0</v>
      </c>
      <c r="J39" t="b">
        <f t="shared" si="34"/>
        <v>0</v>
      </c>
      <c r="L39" t="str">
        <f>'Both teabags AfterWet'!A37</f>
        <v>G368</v>
      </c>
      <c r="M39" t="str">
        <f>'Both teabags AfterWet'!A457</f>
        <v>R14</v>
      </c>
      <c r="N39" t="b">
        <f t="shared" si="4"/>
        <v>0</v>
      </c>
      <c r="O39" t="b">
        <f t="shared" si="51"/>
        <v>0</v>
      </c>
      <c r="Q39" s="395" t="b">
        <f t="shared" si="5"/>
        <v>0</v>
      </c>
      <c r="R39" s="395" t="b">
        <f t="shared" si="6"/>
        <v>0</v>
      </c>
      <c r="T39" t="str">
        <f>'Both teabags AfterDry'!A37</f>
        <v>G145</v>
      </c>
      <c r="U39" t="str">
        <f>'Both teabags AfterDry'!A372</f>
        <v>R212</v>
      </c>
      <c r="V39" t="b">
        <f t="shared" si="7"/>
        <v>0</v>
      </c>
      <c r="W39" t="b">
        <f t="shared" si="35"/>
        <v>0</v>
      </c>
      <c r="Y39" t="str">
        <f>'Green_rooibos initial weight'!A40</f>
        <v>G36</v>
      </c>
      <c r="Z39" t="str">
        <f>'Green_rooibos initial weight'!A944</f>
        <v>R36</v>
      </c>
      <c r="AA39" t="b">
        <f t="shared" si="8"/>
        <v>0</v>
      </c>
      <c r="AB39" t="b">
        <f t="shared" si="9"/>
        <v>0</v>
      </c>
      <c r="AE39" t="str">
        <f>'WetLitterbags placem_collection'!K38</f>
        <v>G507</v>
      </c>
      <c r="AF39" t="str">
        <f>'WetLitterbags placem_collection'!M38</f>
        <v>R126</v>
      </c>
      <c r="AG39" t="b">
        <f t="shared" si="10"/>
        <v>0</v>
      </c>
      <c r="AH39" t="b">
        <f t="shared" si="11"/>
        <v>0</v>
      </c>
      <c r="AJ39" t="b">
        <f t="shared" si="12"/>
        <v>0</v>
      </c>
      <c r="AK39" t="b">
        <f t="shared" si="13"/>
        <v>0</v>
      </c>
      <c r="AM39" t="str">
        <f>IF(ISBLANK('Dry_Litterbag Placem_Collection'!J38),"","G"&amp;""&amp;'Dry_Litterbag Placem_Collection'!J38)</f>
        <v>G379</v>
      </c>
      <c r="AN39" t="str">
        <f>IF(ISBLANK('Dry_Litterbag Placem_Collection'!K38),"","R"&amp;""&amp;'Dry_Litterbag Placem_Collection'!K38)</f>
        <v>R799</v>
      </c>
      <c r="AO39" t="b">
        <f t="shared" si="53"/>
        <v>0</v>
      </c>
      <c r="AP39" t="b">
        <f t="shared" si="15"/>
        <v>0</v>
      </c>
      <c r="AS39" t="str">
        <f>'Ashed teabags dry'!A37</f>
        <v>G145</v>
      </c>
      <c r="AT39" t="str">
        <f>'Ashed teabags dry'!A372</f>
        <v>R212</v>
      </c>
      <c r="AU39" t="b">
        <f t="shared" si="16"/>
        <v>0</v>
      </c>
      <c r="AV39" t="b">
        <f>COUNTIF($AT$4:$AT$2000, AT39)&gt;1</f>
        <v>0</v>
      </c>
      <c r="AX39" s="395" t="b">
        <f t="shared" si="17"/>
        <v>0</v>
      </c>
      <c r="AY39" s="395" t="b">
        <f t="shared" si="18"/>
        <v>0</v>
      </c>
      <c r="BA39" t="str">
        <f>'Ashed teabags wet'!A37</f>
        <v>G368</v>
      </c>
      <c r="BB39" t="str">
        <f>'Ashed teabags wet'!A457</f>
        <v>R14</v>
      </c>
      <c r="BC39" t="b">
        <f t="shared" si="19"/>
        <v>0</v>
      </c>
      <c r="BD39" t="b">
        <f t="shared" si="0"/>
        <v>0</v>
      </c>
      <c r="BF39" t="str">
        <f t="shared" si="20"/>
        <v>G144</v>
      </c>
      <c r="BG39" t="str">
        <f>T38</f>
        <v>G144</v>
      </c>
      <c r="BH39" t="str">
        <f t="shared" si="21"/>
        <v>G188</v>
      </c>
      <c r="BI39" t="str">
        <f t="shared" si="36"/>
        <v>G188</v>
      </c>
      <c r="BJ39" t="s">
        <v>1906</v>
      </c>
      <c r="BK39" t="s">
        <v>1906</v>
      </c>
      <c r="BL39" t="s">
        <v>1906</v>
      </c>
      <c r="BM39" t="b">
        <f t="shared" si="37"/>
        <v>1</v>
      </c>
      <c r="BN39" t="str">
        <f t="shared" si="22"/>
        <v>R211</v>
      </c>
      <c r="BO39" t="str">
        <f>U38</f>
        <v>R211</v>
      </c>
      <c r="BP39" t="str">
        <f t="shared" si="23"/>
        <v>R776</v>
      </c>
      <c r="BQ39" t="str">
        <f t="shared" si="24"/>
        <v>R776</v>
      </c>
      <c r="BR39" t="s">
        <v>930</v>
      </c>
      <c r="BS39" t="s">
        <v>930</v>
      </c>
      <c r="BT39" t="s">
        <v>930</v>
      </c>
      <c r="BU39" t="b">
        <f t="shared" si="38"/>
        <v>1</v>
      </c>
      <c r="BV39" s="180" t="s">
        <v>1887</v>
      </c>
      <c r="BW39" s="180" t="s">
        <v>420</v>
      </c>
      <c r="BZ39" t="str">
        <f t="shared" si="25"/>
        <v>G188</v>
      </c>
      <c r="CA39" t="b">
        <f t="shared" si="26"/>
        <v>0</v>
      </c>
      <c r="CB39" t="str">
        <f t="shared" si="39"/>
        <v>G188</v>
      </c>
      <c r="CC39" t="str">
        <f t="shared" si="27"/>
        <v>R776</v>
      </c>
      <c r="CD39" t="b">
        <f t="shared" si="40"/>
        <v>0</v>
      </c>
      <c r="CE39" t="str">
        <f t="shared" si="41"/>
        <v>R776</v>
      </c>
      <c r="CG39" t="str">
        <f t="shared" si="28"/>
        <v>G367</v>
      </c>
      <c r="CH39" t="str">
        <f t="shared" si="42"/>
        <v>G367</v>
      </c>
      <c r="CI39" t="str">
        <f>AE38</f>
        <v>G670</v>
      </c>
      <c r="CJ39" t="str">
        <f t="shared" si="29"/>
        <v>G670</v>
      </c>
      <c r="CK39" t="s">
        <v>1683</v>
      </c>
      <c r="CL39" t="s">
        <v>1683</v>
      </c>
      <c r="CM39" t="s">
        <v>1683</v>
      </c>
      <c r="CN39" t="b">
        <f t="shared" si="43"/>
        <v>1</v>
      </c>
      <c r="CO39" t="str">
        <f t="shared" si="30"/>
        <v>R139</v>
      </c>
      <c r="CP39" t="str">
        <f t="shared" si="44"/>
        <v>R139</v>
      </c>
      <c r="CQ39" t="str">
        <f>AF38</f>
        <v>R64</v>
      </c>
      <c r="CR39" t="str">
        <f t="shared" si="31"/>
        <v>R64</v>
      </c>
      <c r="CS39" t="s">
        <v>1002</v>
      </c>
      <c r="CT39" t="s">
        <v>1002</v>
      </c>
      <c r="CU39" t="s">
        <v>1002</v>
      </c>
      <c r="CV39" t="b">
        <f t="shared" si="45"/>
        <v>1</v>
      </c>
      <c r="DC39" t="str">
        <f t="shared" si="32"/>
        <v>G670</v>
      </c>
      <c r="DD39" t="b">
        <f t="shared" si="47"/>
        <v>0</v>
      </c>
      <c r="DE39" t="str">
        <f t="shared" si="48"/>
        <v>G670</v>
      </c>
      <c r="DF39" t="str">
        <f t="shared" si="33"/>
        <v>R64</v>
      </c>
      <c r="DG39" t="b">
        <f t="shared" si="49"/>
        <v>0</v>
      </c>
      <c r="DH39" t="str">
        <f t="shared" si="50"/>
        <v>R64</v>
      </c>
    </row>
    <row r="40" spans="2:112" ht="12" customHeight="1">
      <c r="B40" t="str">
        <f>TBIDry!H112</f>
        <v>G66</v>
      </c>
      <c r="C40" t="str">
        <f>TBIDry!I112</f>
        <v>R722</v>
      </c>
      <c r="D40" t="b">
        <f t="shared" si="1"/>
        <v>0</v>
      </c>
      <c r="E40" t="b">
        <f t="shared" si="2"/>
        <v>0</v>
      </c>
      <c r="G40" t="str">
        <f>TBIWet!H112</f>
        <v>G359</v>
      </c>
      <c r="H40" t="str">
        <f>TBIWet!I112</f>
        <v>R63</v>
      </c>
      <c r="I40" t="b">
        <f t="shared" si="3"/>
        <v>0</v>
      </c>
      <c r="J40" t="b">
        <f t="shared" si="34"/>
        <v>0</v>
      </c>
      <c r="L40" t="str">
        <f>'Both teabags AfterWet'!A38</f>
        <v>G373</v>
      </c>
      <c r="M40" t="str">
        <f>'Both teabags AfterWet'!A458</f>
        <v>R141</v>
      </c>
      <c r="N40" t="b">
        <f t="shared" si="4"/>
        <v>0</v>
      </c>
      <c r="O40" t="b">
        <f t="shared" si="51"/>
        <v>0</v>
      </c>
      <c r="Q40" s="395" t="b">
        <f t="shared" si="5"/>
        <v>0</v>
      </c>
      <c r="R40" s="395" t="b">
        <f t="shared" si="6"/>
        <v>0</v>
      </c>
      <c r="T40" t="str">
        <f>'Both teabags AfterDry'!A38</f>
        <v>G146</v>
      </c>
      <c r="U40" t="str">
        <f>'Both teabags AfterDry'!A373</f>
        <v>R213</v>
      </c>
      <c r="V40" t="b">
        <f t="shared" si="7"/>
        <v>0</v>
      </c>
      <c r="W40" t="b">
        <f t="shared" si="35"/>
        <v>0</v>
      </c>
      <c r="Y40" t="str">
        <f>'Green_rooibos initial weight'!A41</f>
        <v>G37</v>
      </c>
      <c r="Z40" t="str">
        <f>'Green_rooibos initial weight'!A945</f>
        <v>R37</v>
      </c>
      <c r="AA40" t="b">
        <f t="shared" si="8"/>
        <v>0</v>
      </c>
      <c r="AB40" t="b">
        <f t="shared" si="9"/>
        <v>0</v>
      </c>
      <c r="AE40" t="str">
        <f>'WetLitterbags placem_collection'!K39</f>
        <v>G359</v>
      </c>
      <c r="AF40" t="str">
        <f>'WetLitterbags placem_collection'!M39</f>
        <v>R63</v>
      </c>
      <c r="AG40" t="b">
        <f t="shared" si="10"/>
        <v>0</v>
      </c>
      <c r="AH40" t="b">
        <f t="shared" si="11"/>
        <v>0</v>
      </c>
      <c r="AJ40" t="b">
        <f t="shared" si="12"/>
        <v>0</v>
      </c>
      <c r="AK40" t="b">
        <f t="shared" si="13"/>
        <v>0</v>
      </c>
      <c r="AM40" t="str">
        <f>IF(ISBLANK('Dry_Litterbag Placem_Collection'!J39),"","G"&amp;""&amp;'Dry_Litterbag Placem_Collection'!J39)</f>
        <v>G66</v>
      </c>
      <c r="AN40" t="str">
        <f>IF(ISBLANK('Dry_Litterbag Placem_Collection'!K39),"","R"&amp;""&amp;'Dry_Litterbag Placem_Collection'!K39)</f>
        <v>R722</v>
      </c>
      <c r="AO40" t="b">
        <f t="shared" si="53"/>
        <v>0</v>
      </c>
      <c r="AP40" t="b">
        <f t="shared" si="15"/>
        <v>0</v>
      </c>
      <c r="AS40" t="str">
        <f>'Ashed teabags dry'!A38</f>
        <v>G146</v>
      </c>
      <c r="AT40" t="str">
        <f>'Ashed teabags dry'!A373</f>
        <v>R213</v>
      </c>
      <c r="AU40" t="b">
        <f t="shared" si="16"/>
        <v>0</v>
      </c>
      <c r="AV40" t="b">
        <f>COUNTIF($AT$4:$AT$2000, AT40)&gt;1</f>
        <v>0</v>
      </c>
      <c r="AX40" s="395" t="b">
        <f t="shared" si="17"/>
        <v>0</v>
      </c>
      <c r="AY40" s="395" t="b">
        <f t="shared" si="18"/>
        <v>0</v>
      </c>
      <c r="BA40" t="str">
        <f>'Ashed teabags wet'!A38</f>
        <v>G373</v>
      </c>
      <c r="BB40" t="str">
        <f>'Ashed teabags wet'!A458</f>
        <v>R141</v>
      </c>
      <c r="BC40" t="b">
        <f t="shared" si="19"/>
        <v>0</v>
      </c>
      <c r="BD40" t="b">
        <f t="shared" si="0"/>
        <v>0</v>
      </c>
      <c r="BF40" t="str">
        <f t="shared" si="20"/>
        <v>G145</v>
      </c>
      <c r="BG40" t="str">
        <f>T39</f>
        <v>G145</v>
      </c>
      <c r="BH40" t="str">
        <f t="shared" si="21"/>
        <v>G379</v>
      </c>
      <c r="BI40" t="str">
        <f t="shared" si="36"/>
        <v>G379</v>
      </c>
      <c r="BJ40" t="s">
        <v>1905</v>
      </c>
      <c r="BK40" t="s">
        <v>1905</v>
      </c>
      <c r="BL40" t="s">
        <v>1905</v>
      </c>
      <c r="BM40" t="b">
        <f t="shared" si="37"/>
        <v>1</v>
      </c>
      <c r="BN40" t="str">
        <f t="shared" si="22"/>
        <v>R212</v>
      </c>
      <c r="BO40" t="str">
        <f>U39</f>
        <v>R212</v>
      </c>
      <c r="BP40" t="str">
        <f t="shared" si="23"/>
        <v>R799</v>
      </c>
      <c r="BQ40" t="str">
        <f t="shared" si="24"/>
        <v>R799</v>
      </c>
      <c r="BR40" t="s">
        <v>929</v>
      </c>
      <c r="BS40" t="s">
        <v>929</v>
      </c>
      <c r="BT40" t="s">
        <v>929</v>
      </c>
      <c r="BU40" t="b">
        <f t="shared" si="38"/>
        <v>1</v>
      </c>
      <c r="BV40" s="180" t="s">
        <v>2034</v>
      </c>
      <c r="BW40" s="180" t="s">
        <v>767</v>
      </c>
      <c r="BZ40" t="str">
        <f t="shared" si="25"/>
        <v>G379</v>
      </c>
      <c r="CA40" t="b">
        <f t="shared" si="26"/>
        <v>0</v>
      </c>
      <c r="CB40" t="str">
        <f t="shared" si="39"/>
        <v>G379</v>
      </c>
      <c r="CC40" t="str">
        <f t="shared" si="27"/>
        <v>R799</v>
      </c>
      <c r="CD40" t="b">
        <f t="shared" si="40"/>
        <v>0</v>
      </c>
      <c r="CE40" t="str">
        <f t="shared" si="41"/>
        <v>R799</v>
      </c>
      <c r="CG40" t="str">
        <f t="shared" si="28"/>
        <v>G368</v>
      </c>
      <c r="CH40" t="str">
        <f t="shared" si="42"/>
        <v>G368</v>
      </c>
      <c r="CI40" t="str">
        <f>AE39</f>
        <v>G507</v>
      </c>
      <c r="CJ40" t="str">
        <f t="shared" si="29"/>
        <v>G507</v>
      </c>
      <c r="CK40" t="s">
        <v>1682</v>
      </c>
      <c r="CL40" t="s">
        <v>1682</v>
      </c>
      <c r="CM40" t="s">
        <v>1682</v>
      </c>
      <c r="CN40" t="b">
        <f t="shared" si="43"/>
        <v>1</v>
      </c>
      <c r="CO40" t="str">
        <f t="shared" si="30"/>
        <v>R14</v>
      </c>
      <c r="CP40" t="str">
        <f t="shared" si="44"/>
        <v>R14</v>
      </c>
      <c r="CQ40" t="str">
        <f>AF39</f>
        <v>R126</v>
      </c>
      <c r="CR40" t="str">
        <f t="shared" si="31"/>
        <v>R126</v>
      </c>
      <c r="CS40" t="s">
        <v>1127</v>
      </c>
      <c r="CT40" t="s">
        <v>1127</v>
      </c>
      <c r="CU40" t="s">
        <v>1127</v>
      </c>
      <c r="CV40" t="b">
        <f t="shared" si="45"/>
        <v>1</v>
      </c>
      <c r="DC40" t="str">
        <f t="shared" si="32"/>
        <v>G507</v>
      </c>
      <c r="DD40" t="b">
        <f t="shared" si="47"/>
        <v>0</v>
      </c>
      <c r="DE40" t="str">
        <f t="shared" si="48"/>
        <v>G507</v>
      </c>
      <c r="DF40" t="str">
        <f t="shared" si="33"/>
        <v>R126</v>
      </c>
      <c r="DG40" t="b">
        <f t="shared" si="49"/>
        <v>0</v>
      </c>
      <c r="DH40" t="str">
        <f t="shared" si="50"/>
        <v>R126</v>
      </c>
    </row>
    <row r="41" spans="2:112" ht="12" customHeight="1">
      <c r="B41" t="str">
        <f>TBIDry!H113</f>
        <v>G625</v>
      </c>
      <c r="C41" t="str">
        <f>TBIDry!I113</f>
        <v>R796</v>
      </c>
      <c r="D41" t="b">
        <f t="shared" si="1"/>
        <v>0</v>
      </c>
      <c r="E41" t="b">
        <f t="shared" si="2"/>
        <v>0</v>
      </c>
      <c r="G41" t="str">
        <f>TBIWet!H113</f>
        <v>G499</v>
      </c>
      <c r="H41" t="str">
        <f>TBIWet!I113</f>
        <v>R87</v>
      </c>
      <c r="I41" t="b">
        <f t="shared" si="3"/>
        <v>0</v>
      </c>
      <c r="J41" t="b">
        <f t="shared" si="34"/>
        <v>0</v>
      </c>
      <c r="L41" t="str">
        <f>'Both teabags AfterWet'!A39</f>
        <v>G375</v>
      </c>
      <c r="M41" t="str">
        <f>'Both teabags AfterWet'!A459</f>
        <v>R142</v>
      </c>
      <c r="N41" t="b">
        <f t="shared" si="4"/>
        <v>0</v>
      </c>
      <c r="O41" t="b">
        <f t="shared" si="51"/>
        <v>0</v>
      </c>
      <c r="Q41" s="395" t="b">
        <f t="shared" si="5"/>
        <v>0</v>
      </c>
      <c r="R41" s="395" t="b">
        <f t="shared" si="6"/>
        <v>0</v>
      </c>
      <c r="T41" t="str">
        <f>'Both teabags AfterDry'!A39</f>
        <v>G147</v>
      </c>
      <c r="U41" t="str">
        <f>'Both teabags AfterDry'!A374</f>
        <v>R214</v>
      </c>
      <c r="V41" t="b">
        <f t="shared" si="7"/>
        <v>0</v>
      </c>
      <c r="W41" t="b">
        <f t="shared" si="35"/>
        <v>0</v>
      </c>
      <c r="Y41" t="str">
        <f>'Green_rooibos initial weight'!A42</f>
        <v>G38</v>
      </c>
      <c r="Z41" t="str">
        <f>'Green_rooibos initial weight'!A946</f>
        <v>R38</v>
      </c>
      <c r="AA41" t="b">
        <f t="shared" si="8"/>
        <v>0</v>
      </c>
      <c r="AB41" t="b">
        <f t="shared" si="9"/>
        <v>0</v>
      </c>
      <c r="AE41" t="str">
        <f>'WetLitterbags placem_collection'!K40</f>
        <v>G499</v>
      </c>
      <c r="AF41" t="str">
        <f>'WetLitterbags placem_collection'!M40</f>
        <v>R87</v>
      </c>
      <c r="AG41" t="b">
        <f t="shared" si="10"/>
        <v>0</v>
      </c>
      <c r="AH41" t="b">
        <f t="shared" si="11"/>
        <v>0</v>
      </c>
      <c r="AJ41" t="b">
        <f t="shared" si="12"/>
        <v>0</v>
      </c>
      <c r="AK41" t="b">
        <f t="shared" si="13"/>
        <v>0</v>
      </c>
      <c r="AM41" t="str">
        <f>IF(ISBLANK('Dry_Litterbag Placem_Collection'!J40),"","G"&amp;""&amp;'Dry_Litterbag Placem_Collection'!J40)</f>
        <v>G625</v>
      </c>
      <c r="AN41" t="str">
        <f>IF(ISBLANK('Dry_Litterbag Placem_Collection'!K40),"","R"&amp;""&amp;'Dry_Litterbag Placem_Collection'!K40)</f>
        <v>R796</v>
      </c>
      <c r="AO41" t="b">
        <f t="shared" si="53"/>
        <v>0</v>
      </c>
      <c r="AP41" t="b">
        <f t="shared" si="15"/>
        <v>0</v>
      </c>
      <c r="AS41" t="str">
        <f>'Ashed teabags dry'!A39</f>
        <v>G147</v>
      </c>
      <c r="AT41" t="str">
        <f>'Ashed teabags dry'!A374</f>
        <v>R214</v>
      </c>
      <c r="AU41" t="b">
        <f t="shared" si="16"/>
        <v>0</v>
      </c>
      <c r="AV41" t="b">
        <f>COUNTIF($AT$4:$AT$2000, AT41)&gt;1</f>
        <v>0</v>
      </c>
      <c r="AX41" s="395" t="b">
        <f t="shared" si="17"/>
        <v>0</v>
      </c>
      <c r="AY41" s="395" t="b">
        <f t="shared" si="18"/>
        <v>0</v>
      </c>
      <c r="BA41" t="str">
        <f>'Ashed teabags wet'!A39</f>
        <v>G375</v>
      </c>
      <c r="BB41" t="str">
        <f>'Ashed teabags wet'!A459</f>
        <v>R142</v>
      </c>
      <c r="BC41" t="b">
        <f t="shared" si="19"/>
        <v>0</v>
      </c>
      <c r="BD41" t="b">
        <f t="shared" si="0"/>
        <v>0</v>
      </c>
      <c r="BF41" t="str">
        <f t="shared" si="20"/>
        <v>G146</v>
      </c>
      <c r="BG41" t="str">
        <f>T40</f>
        <v>G146</v>
      </c>
      <c r="BH41" t="str">
        <f t="shared" si="21"/>
        <v>G66</v>
      </c>
      <c r="BI41" t="str">
        <f t="shared" si="36"/>
        <v>G66</v>
      </c>
      <c r="BJ41" t="s">
        <v>1904</v>
      </c>
      <c r="BK41" t="s">
        <v>1904</v>
      </c>
      <c r="BL41" t="s">
        <v>1904</v>
      </c>
      <c r="BM41" t="b">
        <f t="shared" si="37"/>
        <v>1</v>
      </c>
      <c r="BN41" t="str">
        <f t="shared" si="22"/>
        <v>R213</v>
      </c>
      <c r="BO41" t="str">
        <f>U40</f>
        <v>R213</v>
      </c>
      <c r="BP41" t="str">
        <f t="shared" si="23"/>
        <v>R722</v>
      </c>
      <c r="BQ41" t="str">
        <f t="shared" si="24"/>
        <v>R722</v>
      </c>
      <c r="BR41" t="s">
        <v>928</v>
      </c>
      <c r="BS41" t="s">
        <v>928</v>
      </c>
      <c r="BT41" t="s">
        <v>928</v>
      </c>
      <c r="BU41" t="b">
        <f t="shared" si="38"/>
        <v>1</v>
      </c>
      <c r="BV41" s="180" t="s">
        <v>1840</v>
      </c>
      <c r="BW41" s="180" t="s">
        <v>456</v>
      </c>
      <c r="BZ41" t="str">
        <f t="shared" si="25"/>
        <v>G66</v>
      </c>
      <c r="CA41" t="b">
        <f t="shared" si="26"/>
        <v>0</v>
      </c>
      <c r="CB41" t="str">
        <f t="shared" si="39"/>
        <v>G66</v>
      </c>
      <c r="CC41" t="str">
        <f t="shared" si="27"/>
        <v>R722</v>
      </c>
      <c r="CD41" t="b">
        <f t="shared" si="40"/>
        <v>0</v>
      </c>
      <c r="CE41" t="str">
        <f t="shared" si="41"/>
        <v>R722</v>
      </c>
      <c r="CG41" t="str">
        <f t="shared" si="28"/>
        <v>G373</v>
      </c>
      <c r="CH41" t="str">
        <f t="shared" si="42"/>
        <v>G373</v>
      </c>
      <c r="CI41" t="str">
        <f>AE40</f>
        <v>G359</v>
      </c>
      <c r="CJ41" t="str">
        <f t="shared" si="29"/>
        <v>G359</v>
      </c>
      <c r="CK41" t="s">
        <v>1677</v>
      </c>
      <c r="CL41" t="s">
        <v>1677</v>
      </c>
      <c r="CM41" t="s">
        <v>1677</v>
      </c>
      <c r="CN41" t="b">
        <f t="shared" si="43"/>
        <v>1</v>
      </c>
      <c r="CO41" t="str">
        <f t="shared" si="30"/>
        <v>R141</v>
      </c>
      <c r="CP41" t="str">
        <f t="shared" si="44"/>
        <v>R141</v>
      </c>
      <c r="CQ41" t="str">
        <f>AF40</f>
        <v>R63</v>
      </c>
      <c r="CR41" t="str">
        <f t="shared" si="31"/>
        <v>R63</v>
      </c>
      <c r="CS41" t="s">
        <v>1000</v>
      </c>
      <c r="CT41" t="s">
        <v>1000</v>
      </c>
      <c r="CU41" t="s">
        <v>1000</v>
      </c>
      <c r="CV41" t="b">
        <f t="shared" si="45"/>
        <v>1</v>
      </c>
      <c r="DC41" t="str">
        <f t="shared" si="32"/>
        <v>G359</v>
      </c>
      <c r="DD41" t="b">
        <f t="shared" si="47"/>
        <v>0</v>
      </c>
      <c r="DE41" t="str">
        <f t="shared" si="48"/>
        <v>G359</v>
      </c>
      <c r="DF41" t="str">
        <f t="shared" si="33"/>
        <v>R63</v>
      </c>
      <c r="DG41" t="b">
        <f t="shared" si="49"/>
        <v>0</v>
      </c>
      <c r="DH41" t="str">
        <f t="shared" si="50"/>
        <v>R63</v>
      </c>
    </row>
    <row r="42" spans="2:112" ht="12" customHeight="1">
      <c r="B42" t="str">
        <f>TBIDry!H114</f>
        <v/>
      </c>
      <c r="C42" t="str">
        <f>TBIDry!I114</f>
        <v/>
      </c>
      <c r="D42" t="b">
        <f t="shared" si="1"/>
        <v>1</v>
      </c>
      <c r="E42" t="b">
        <f t="shared" si="2"/>
        <v>1</v>
      </c>
      <c r="G42" t="str">
        <f>TBIWet!H114</f>
        <v>G214</v>
      </c>
      <c r="H42" t="str">
        <f>TBIWet!I114</f>
        <v>R437</v>
      </c>
      <c r="I42" t="b">
        <f t="shared" si="3"/>
        <v>0</v>
      </c>
      <c r="J42" t="b">
        <f t="shared" si="34"/>
        <v>0</v>
      </c>
      <c r="L42" t="str">
        <f>'Both teabags AfterWet'!A40</f>
        <v>G383</v>
      </c>
      <c r="M42" t="str">
        <f>'Both teabags AfterWet'!A460</f>
        <v>R143</v>
      </c>
      <c r="N42" t="b">
        <f t="shared" si="4"/>
        <v>0</v>
      </c>
      <c r="O42" t="b">
        <f t="shared" si="51"/>
        <v>0</v>
      </c>
      <c r="Q42" s="395" t="b">
        <f t="shared" si="5"/>
        <v>0</v>
      </c>
      <c r="R42" s="395" t="b">
        <f t="shared" si="6"/>
        <v>0</v>
      </c>
      <c r="T42" t="str">
        <f>'Both teabags AfterDry'!A40</f>
        <v>G148</v>
      </c>
      <c r="U42" t="str">
        <f>'Both teabags AfterDry'!A375</f>
        <v>R221</v>
      </c>
      <c r="V42" t="b">
        <f t="shared" si="7"/>
        <v>0</v>
      </c>
      <c r="W42" t="b">
        <f t="shared" si="35"/>
        <v>0</v>
      </c>
      <c r="Y42" t="str">
        <f>'Green_rooibos initial weight'!A43</f>
        <v>G39</v>
      </c>
      <c r="Z42" t="str">
        <f>'Green_rooibos initial weight'!A947</f>
        <v>R39</v>
      </c>
      <c r="AA42" t="b">
        <f t="shared" si="8"/>
        <v>0</v>
      </c>
      <c r="AB42" t="b">
        <f t="shared" si="9"/>
        <v>0</v>
      </c>
      <c r="AE42" t="str">
        <f>'WetLitterbags placem_collection'!K41</f>
        <v>G214</v>
      </c>
      <c r="AF42" t="str">
        <f>'WetLitterbags placem_collection'!M41</f>
        <v>R437</v>
      </c>
      <c r="AG42" t="b">
        <f t="shared" si="10"/>
        <v>0</v>
      </c>
      <c r="AH42" t="b">
        <f t="shared" si="11"/>
        <v>0</v>
      </c>
      <c r="AJ42" t="b">
        <f t="shared" si="12"/>
        <v>0</v>
      </c>
      <c r="AK42" t="b">
        <f t="shared" si="13"/>
        <v>0</v>
      </c>
      <c r="AM42" t="str">
        <f>IF(ISBLANK('Dry_Litterbag Placem_Collection'!J41),"","G"&amp;""&amp;'Dry_Litterbag Placem_Collection'!J41)</f>
        <v/>
      </c>
      <c r="AN42" t="str">
        <f>IF(ISBLANK('Dry_Litterbag Placem_Collection'!K41),"","R"&amp;""&amp;'Dry_Litterbag Placem_Collection'!K41)</f>
        <v/>
      </c>
      <c r="AO42" t="b">
        <f t="shared" si="53"/>
        <v>1</v>
      </c>
      <c r="AP42" t="b">
        <f t="shared" si="15"/>
        <v>1</v>
      </c>
      <c r="AS42" t="str">
        <f>'Ashed teabags dry'!A40</f>
        <v>G148</v>
      </c>
      <c r="AT42" t="str">
        <f>'Ashed teabags dry'!A375</f>
        <v>R221</v>
      </c>
      <c r="AU42" t="b">
        <f t="shared" si="16"/>
        <v>0</v>
      </c>
      <c r="AV42" t="b">
        <f>COUNTIF($AT$4:$AT$2000, AT42)&gt;1</f>
        <v>0</v>
      </c>
      <c r="AX42" s="395" t="b">
        <f t="shared" si="17"/>
        <v>0</v>
      </c>
      <c r="AY42" s="395" t="b">
        <f t="shared" si="18"/>
        <v>0</v>
      </c>
      <c r="BA42" t="str">
        <f>'Ashed teabags wet'!A40</f>
        <v>G383</v>
      </c>
      <c r="BB42" t="str">
        <f>'Ashed teabags wet'!A460</f>
        <v>R143</v>
      </c>
      <c r="BC42" t="b">
        <f t="shared" si="19"/>
        <v>0</v>
      </c>
      <c r="BD42" t="b">
        <f t="shared" si="0"/>
        <v>0</v>
      </c>
      <c r="BF42" t="str">
        <f t="shared" si="20"/>
        <v>G147</v>
      </c>
      <c r="BG42" t="str">
        <f>T41</f>
        <v>G147</v>
      </c>
      <c r="BH42" t="str">
        <f t="shared" si="21"/>
        <v>G625</v>
      </c>
      <c r="BI42" t="str">
        <f t="shared" si="36"/>
        <v>G625</v>
      </c>
      <c r="BJ42" t="s">
        <v>1903</v>
      </c>
      <c r="BK42" t="s">
        <v>1903</v>
      </c>
      <c r="BL42" t="s">
        <v>1903</v>
      </c>
      <c r="BM42" t="b">
        <f t="shared" si="37"/>
        <v>1</v>
      </c>
      <c r="BN42" t="str">
        <f t="shared" si="22"/>
        <v>R214</v>
      </c>
      <c r="BO42" t="str">
        <f>U41</f>
        <v>R214</v>
      </c>
      <c r="BP42" t="str">
        <f t="shared" si="23"/>
        <v>R796</v>
      </c>
      <c r="BQ42" t="str">
        <f t="shared" si="24"/>
        <v>R796</v>
      </c>
      <c r="BR42" t="s">
        <v>927</v>
      </c>
      <c r="BS42" t="s">
        <v>927</v>
      </c>
      <c r="BT42" t="s">
        <v>927</v>
      </c>
      <c r="BU42" t="b">
        <f t="shared" si="38"/>
        <v>1</v>
      </c>
      <c r="BV42" s="180" t="s">
        <v>1339</v>
      </c>
      <c r="BW42" s="180" t="s">
        <v>513</v>
      </c>
      <c r="BZ42" t="str">
        <f t="shared" si="25"/>
        <v>G625</v>
      </c>
      <c r="CA42" t="b">
        <f t="shared" si="26"/>
        <v>0</v>
      </c>
      <c r="CB42" t="str">
        <f t="shared" si="39"/>
        <v>G625</v>
      </c>
      <c r="CC42" t="str">
        <f t="shared" si="27"/>
        <v>R796</v>
      </c>
      <c r="CD42" t="b">
        <f t="shared" si="40"/>
        <v>0</v>
      </c>
      <c r="CE42" t="str">
        <f t="shared" si="41"/>
        <v>R796</v>
      </c>
      <c r="CG42" t="str">
        <f t="shared" si="28"/>
        <v>G375</v>
      </c>
      <c r="CH42" t="str">
        <f t="shared" si="42"/>
        <v>G375</v>
      </c>
      <c r="CI42" t="str">
        <f>AE41</f>
        <v>G499</v>
      </c>
      <c r="CJ42" t="str">
        <f t="shared" si="29"/>
        <v>G499</v>
      </c>
      <c r="CK42" t="s">
        <v>1675</v>
      </c>
      <c r="CL42" t="s">
        <v>1675</v>
      </c>
      <c r="CM42" t="s">
        <v>1675</v>
      </c>
      <c r="CN42" t="b">
        <f t="shared" si="43"/>
        <v>1</v>
      </c>
      <c r="CO42" t="str">
        <f t="shared" si="30"/>
        <v>R142</v>
      </c>
      <c r="CP42" t="str">
        <f t="shared" si="44"/>
        <v>R142</v>
      </c>
      <c r="CQ42" t="str">
        <f>AF41</f>
        <v>R87</v>
      </c>
      <c r="CR42" t="str">
        <f t="shared" si="31"/>
        <v>R87</v>
      </c>
      <c r="CS42" t="s">
        <v>999</v>
      </c>
      <c r="CT42" t="s">
        <v>999</v>
      </c>
      <c r="CU42" t="s">
        <v>999</v>
      </c>
      <c r="CV42" t="b">
        <f t="shared" si="45"/>
        <v>1</v>
      </c>
      <c r="DC42" t="str">
        <f t="shared" si="32"/>
        <v>G499</v>
      </c>
      <c r="DD42" t="b">
        <f t="shared" si="47"/>
        <v>0</v>
      </c>
      <c r="DE42" t="str">
        <f t="shared" si="48"/>
        <v>G499</v>
      </c>
      <c r="DF42" t="str">
        <f t="shared" si="33"/>
        <v>R87</v>
      </c>
      <c r="DG42" t="b">
        <f t="shared" si="49"/>
        <v>0</v>
      </c>
      <c r="DH42" t="str">
        <f t="shared" si="50"/>
        <v>R87</v>
      </c>
    </row>
    <row r="43" spans="2:112" ht="12" customHeight="1">
      <c r="B43" t="str">
        <f>TBIDry!H115</f>
        <v>G88</v>
      </c>
      <c r="C43" t="str">
        <f>TBIDry!I115</f>
        <v>R782</v>
      </c>
      <c r="D43" t="b">
        <f t="shared" si="1"/>
        <v>0</v>
      </c>
      <c r="E43" t="b">
        <f t="shared" si="2"/>
        <v>0</v>
      </c>
      <c r="G43" t="str">
        <f>TBIWet!H115</f>
        <v>G582</v>
      </c>
      <c r="H43" t="str">
        <f>TBIWet!I115</f>
        <v>R114</v>
      </c>
      <c r="I43" t="b">
        <f t="shared" si="3"/>
        <v>0</v>
      </c>
      <c r="J43" t="b">
        <f t="shared" si="34"/>
        <v>0</v>
      </c>
      <c r="L43" t="str">
        <f>'Both teabags AfterWet'!A41</f>
        <v>G385</v>
      </c>
      <c r="M43" t="str">
        <f>'Both teabags AfterWet'!A461</f>
        <v>R144</v>
      </c>
      <c r="N43" t="b">
        <f t="shared" si="4"/>
        <v>0</v>
      </c>
      <c r="O43" t="b">
        <f t="shared" si="51"/>
        <v>0</v>
      </c>
      <c r="Q43" s="395" t="b">
        <f t="shared" si="5"/>
        <v>0</v>
      </c>
      <c r="R43" s="395" t="b">
        <f t="shared" si="6"/>
        <v>0</v>
      </c>
      <c r="T43" t="str">
        <f>'Both teabags AfterDry'!A41</f>
        <v>G149</v>
      </c>
      <c r="U43" t="str">
        <f>'Both teabags AfterDry'!A376</f>
        <v>R223</v>
      </c>
      <c r="V43" t="b">
        <f t="shared" si="7"/>
        <v>0</v>
      </c>
      <c r="W43" t="b">
        <f t="shared" si="35"/>
        <v>0</v>
      </c>
      <c r="Y43" t="str">
        <f>'Green_rooibos initial weight'!A44</f>
        <v>G40</v>
      </c>
      <c r="Z43" t="str">
        <f>'Green_rooibos initial weight'!A948</f>
        <v>R40</v>
      </c>
      <c r="AA43" t="b">
        <f t="shared" si="8"/>
        <v>0</v>
      </c>
      <c r="AB43" t="b">
        <f t="shared" si="9"/>
        <v>0</v>
      </c>
      <c r="AE43" t="str">
        <f>'WetLitterbags placem_collection'!K42</f>
        <v>G582</v>
      </c>
      <c r="AF43" t="str">
        <f>'WetLitterbags placem_collection'!M42</f>
        <v>R114</v>
      </c>
      <c r="AG43" t="b">
        <f t="shared" si="10"/>
        <v>0</v>
      </c>
      <c r="AH43" t="b">
        <f t="shared" si="11"/>
        <v>0</v>
      </c>
      <c r="AJ43" t="b">
        <f t="shared" si="12"/>
        <v>0</v>
      </c>
      <c r="AK43" t="b">
        <f t="shared" si="13"/>
        <v>0</v>
      </c>
      <c r="AM43" t="str">
        <f>IF(ISBLANK('Dry_Litterbag Placem_Collection'!J42),"","G"&amp;""&amp;'Dry_Litterbag Placem_Collection'!J42)</f>
        <v>G88</v>
      </c>
      <c r="AN43" t="str">
        <f>IF(ISBLANK('Dry_Litterbag Placem_Collection'!K42),"","R"&amp;""&amp;'Dry_Litterbag Placem_Collection'!K42)</f>
        <v>R782</v>
      </c>
      <c r="AO43" t="b">
        <f t="shared" si="53"/>
        <v>0</v>
      </c>
      <c r="AP43" t="b">
        <f t="shared" si="15"/>
        <v>0</v>
      </c>
      <c r="AS43" t="str">
        <f>'Ashed teabags dry'!A41</f>
        <v>G149</v>
      </c>
      <c r="AT43" t="str">
        <f>'Ashed teabags dry'!A376</f>
        <v>R223</v>
      </c>
      <c r="AU43" t="b">
        <f t="shared" si="16"/>
        <v>0</v>
      </c>
      <c r="AV43" t="b">
        <f>COUNTIF($AT$4:$AT$2000, AT43)&gt;1</f>
        <v>0</v>
      </c>
      <c r="AX43" s="395" t="b">
        <f t="shared" si="17"/>
        <v>0</v>
      </c>
      <c r="AY43" s="395" t="b">
        <f t="shared" si="18"/>
        <v>0</v>
      </c>
      <c r="BA43" t="str">
        <f>'Ashed teabags wet'!A41</f>
        <v>G385</v>
      </c>
      <c r="BB43" t="str">
        <f>'Ashed teabags wet'!A461</f>
        <v>R144</v>
      </c>
      <c r="BC43" t="b">
        <f t="shared" si="19"/>
        <v>0</v>
      </c>
      <c r="BD43" t="b">
        <f t="shared" si="0"/>
        <v>0</v>
      </c>
      <c r="BF43" t="str">
        <f t="shared" si="20"/>
        <v>G148</v>
      </c>
      <c r="BG43" t="str">
        <f>T42</f>
        <v>G148</v>
      </c>
      <c r="BH43" t="str">
        <f t="shared" si="21"/>
        <v/>
      </c>
      <c r="BI43" t="str">
        <f t="shared" si="36"/>
        <v/>
      </c>
      <c r="BJ43" t="s">
        <v>1902</v>
      </c>
      <c r="BK43" t="s">
        <v>1902</v>
      </c>
      <c r="BL43" t="s">
        <v>1902</v>
      </c>
      <c r="BM43" t="b">
        <f t="shared" si="37"/>
        <v>1</v>
      </c>
      <c r="BN43" t="str">
        <f t="shared" si="22"/>
        <v>R221</v>
      </c>
      <c r="BO43" t="str">
        <f>U42</f>
        <v>R221</v>
      </c>
      <c r="BP43" t="str">
        <f t="shared" si="23"/>
        <v/>
      </c>
      <c r="BQ43" t="str">
        <f t="shared" si="24"/>
        <v/>
      </c>
      <c r="BR43" t="s">
        <v>920</v>
      </c>
      <c r="BS43" t="s">
        <v>920</v>
      </c>
      <c r="BT43" t="s">
        <v>920</v>
      </c>
      <c r="BU43" t="b">
        <f t="shared" si="38"/>
        <v>1</v>
      </c>
      <c r="BV43" s="180" t="s">
        <v>1207</v>
      </c>
      <c r="BW43" s="180" t="s">
        <v>825</v>
      </c>
      <c r="BZ43" t="str">
        <f t="shared" si="25"/>
        <v/>
      </c>
      <c r="CA43" t="b">
        <f t="shared" si="26"/>
        <v>0</v>
      </c>
      <c r="CB43" t="str">
        <f t="shared" si="39"/>
        <v/>
      </c>
      <c r="CC43" t="str">
        <f t="shared" si="27"/>
        <v/>
      </c>
      <c r="CD43" t="b">
        <f t="shared" si="40"/>
        <v>0</v>
      </c>
      <c r="CE43" t="str">
        <f t="shared" si="41"/>
        <v/>
      </c>
      <c r="CG43" t="str">
        <f t="shared" si="28"/>
        <v>G383</v>
      </c>
      <c r="CH43" t="str">
        <f t="shared" si="42"/>
        <v>G383</v>
      </c>
      <c r="CI43" t="str">
        <f>AE42</f>
        <v>G214</v>
      </c>
      <c r="CJ43" t="str">
        <f t="shared" si="29"/>
        <v>G214</v>
      </c>
      <c r="CK43" t="s">
        <v>1667</v>
      </c>
      <c r="CL43" t="s">
        <v>1667</v>
      </c>
      <c r="CM43" t="s">
        <v>1667</v>
      </c>
      <c r="CN43" t="b">
        <f t="shared" si="43"/>
        <v>1</v>
      </c>
      <c r="CO43" t="str">
        <f t="shared" si="30"/>
        <v>R143</v>
      </c>
      <c r="CP43" t="str">
        <f t="shared" si="44"/>
        <v>R143</v>
      </c>
      <c r="CQ43" t="str">
        <f>AF42</f>
        <v>R437</v>
      </c>
      <c r="CR43" t="str">
        <f t="shared" si="31"/>
        <v>R437</v>
      </c>
      <c r="CS43" t="s">
        <v>998</v>
      </c>
      <c r="CT43" t="s">
        <v>998</v>
      </c>
      <c r="CU43" t="s">
        <v>998</v>
      </c>
      <c r="CV43" t="b">
        <f t="shared" si="45"/>
        <v>1</v>
      </c>
      <c r="DC43" t="str">
        <f t="shared" si="32"/>
        <v>G214</v>
      </c>
      <c r="DD43" t="b">
        <f t="shared" si="47"/>
        <v>0</v>
      </c>
      <c r="DE43" t="str">
        <f t="shared" si="48"/>
        <v>G214</v>
      </c>
      <c r="DF43" t="str">
        <f t="shared" si="33"/>
        <v>R437</v>
      </c>
      <c r="DG43" t="b">
        <f t="shared" si="49"/>
        <v>0</v>
      </c>
      <c r="DH43" t="str">
        <f t="shared" si="50"/>
        <v>R437</v>
      </c>
    </row>
    <row r="44" spans="2:112" ht="12" customHeight="1">
      <c r="B44" t="str">
        <f>TBIDry!H116</f>
        <v>G256</v>
      </c>
      <c r="C44" t="str">
        <f>TBIDry!I116</f>
        <v>R820</v>
      </c>
      <c r="D44" t="b">
        <f t="shared" si="1"/>
        <v>0</v>
      </c>
      <c r="E44" t="b">
        <f t="shared" si="2"/>
        <v>0</v>
      </c>
      <c r="G44" t="str">
        <f>TBIWet!H116</f>
        <v>G453</v>
      </c>
      <c r="H44" t="str">
        <f>TBIWet!I116</f>
        <v>R521</v>
      </c>
      <c r="I44" t="b">
        <f t="shared" si="3"/>
        <v>0</v>
      </c>
      <c r="J44" t="b">
        <f t="shared" si="34"/>
        <v>0</v>
      </c>
      <c r="L44" t="str">
        <f>'Both teabags AfterWet'!A42</f>
        <v>G386</v>
      </c>
      <c r="M44" t="str">
        <f>'Both teabags AfterWet'!A462</f>
        <v>R145</v>
      </c>
      <c r="N44" t="b">
        <f t="shared" si="4"/>
        <v>0</v>
      </c>
      <c r="O44" t="b">
        <f t="shared" si="51"/>
        <v>0</v>
      </c>
      <c r="Q44" s="395" t="b">
        <f t="shared" si="5"/>
        <v>0</v>
      </c>
      <c r="R44" s="395" t="b">
        <f t="shared" si="6"/>
        <v>0</v>
      </c>
      <c r="T44" t="str">
        <f>'Both teabags AfterDry'!A42</f>
        <v>G15</v>
      </c>
      <c r="U44" t="str">
        <f>'Both teabags AfterDry'!A377</f>
        <v>R224</v>
      </c>
      <c r="V44" t="b">
        <f t="shared" si="7"/>
        <v>0</v>
      </c>
      <c r="W44" t="b">
        <f t="shared" si="35"/>
        <v>0</v>
      </c>
      <c r="Y44" t="str">
        <f>'Green_rooibos initial weight'!A45</f>
        <v>G41</v>
      </c>
      <c r="Z44" t="str">
        <f>'Green_rooibos initial weight'!A949</f>
        <v>R41</v>
      </c>
      <c r="AA44" t="b">
        <f t="shared" si="8"/>
        <v>0</v>
      </c>
      <c r="AB44" t="b">
        <f t="shared" si="9"/>
        <v>0</v>
      </c>
      <c r="AE44" t="str">
        <f>'WetLitterbags placem_collection'!K43</f>
        <v>G453</v>
      </c>
      <c r="AF44" t="str">
        <f>'WetLitterbags placem_collection'!M43</f>
        <v>R521</v>
      </c>
      <c r="AG44" t="b">
        <f t="shared" si="10"/>
        <v>0</v>
      </c>
      <c r="AH44" t="b">
        <f t="shared" si="11"/>
        <v>0</v>
      </c>
      <c r="AJ44" t="b">
        <f t="shared" si="12"/>
        <v>0</v>
      </c>
      <c r="AK44" t="b">
        <f t="shared" si="13"/>
        <v>0</v>
      </c>
      <c r="AM44" t="str">
        <f>IF(ISBLANK('Dry_Litterbag Placem_Collection'!J43),"","G"&amp;""&amp;'Dry_Litterbag Placem_Collection'!J43)</f>
        <v>G256</v>
      </c>
      <c r="AN44" t="str">
        <f>IF(ISBLANK('Dry_Litterbag Placem_Collection'!K43),"","R"&amp;""&amp;'Dry_Litterbag Placem_Collection'!K43)</f>
        <v>R820</v>
      </c>
      <c r="AO44" t="b">
        <f t="shared" si="53"/>
        <v>0</v>
      </c>
      <c r="AP44" t="b">
        <f t="shared" si="15"/>
        <v>0</v>
      </c>
      <c r="AS44" t="str">
        <f>'Ashed teabags dry'!A42</f>
        <v>G15</v>
      </c>
      <c r="AT44" t="str">
        <f>'Ashed teabags dry'!A377</f>
        <v>R224</v>
      </c>
      <c r="AU44" t="b">
        <f t="shared" si="16"/>
        <v>0</v>
      </c>
      <c r="AV44" t="b">
        <f>COUNTIF($AT$4:$AT$2000, AT44)&gt;1</f>
        <v>0</v>
      </c>
      <c r="AX44" s="395" t="b">
        <f t="shared" si="17"/>
        <v>0</v>
      </c>
      <c r="AY44" s="395" t="b">
        <f t="shared" si="18"/>
        <v>0</v>
      </c>
      <c r="BA44" t="str">
        <f>'Ashed teabags wet'!A42</f>
        <v>G386</v>
      </c>
      <c r="BB44" t="str">
        <f>'Ashed teabags wet'!A462</f>
        <v>R145</v>
      </c>
      <c r="BC44" t="b">
        <f t="shared" si="19"/>
        <v>0</v>
      </c>
      <c r="BD44" t="b">
        <f t="shared" si="0"/>
        <v>0</v>
      </c>
      <c r="BF44" t="str">
        <f t="shared" si="20"/>
        <v>G149</v>
      </c>
      <c r="BG44" t="str">
        <f>T43</f>
        <v>G149</v>
      </c>
      <c r="BH44" t="str">
        <f t="shared" si="21"/>
        <v>G88</v>
      </c>
      <c r="BI44" t="str">
        <f t="shared" si="36"/>
        <v>G88</v>
      </c>
      <c r="BJ44" t="s">
        <v>1901</v>
      </c>
      <c r="BK44" t="s">
        <v>1901</v>
      </c>
      <c r="BL44" t="s">
        <v>1901</v>
      </c>
      <c r="BM44" t="b">
        <f t="shared" si="37"/>
        <v>1</v>
      </c>
      <c r="BN44" t="str">
        <f t="shared" si="22"/>
        <v>R223</v>
      </c>
      <c r="BO44" t="str">
        <f>U43</f>
        <v>R223</v>
      </c>
      <c r="BP44" t="str">
        <f t="shared" si="23"/>
        <v>R782</v>
      </c>
      <c r="BQ44" t="str">
        <f t="shared" si="24"/>
        <v>R782</v>
      </c>
      <c r="BR44" t="s">
        <v>918</v>
      </c>
      <c r="BS44" t="s">
        <v>918</v>
      </c>
      <c r="BT44" t="s">
        <v>918</v>
      </c>
      <c r="BU44" t="b">
        <f t="shared" si="38"/>
        <v>1</v>
      </c>
      <c r="BV44" s="180" t="s">
        <v>2017</v>
      </c>
      <c r="BW44" s="180" t="s">
        <v>893</v>
      </c>
      <c r="BZ44" t="str">
        <f t="shared" si="25"/>
        <v>G88</v>
      </c>
      <c r="CA44" t="b">
        <f t="shared" si="26"/>
        <v>0</v>
      </c>
      <c r="CB44" t="str">
        <f t="shared" si="39"/>
        <v>G88</v>
      </c>
      <c r="CC44" t="str">
        <f t="shared" si="27"/>
        <v>R782</v>
      </c>
      <c r="CD44" t="b">
        <f t="shared" si="40"/>
        <v>0</v>
      </c>
      <c r="CE44" t="str">
        <f t="shared" si="41"/>
        <v>R782</v>
      </c>
      <c r="CG44" t="str">
        <f t="shared" si="28"/>
        <v>G385</v>
      </c>
      <c r="CH44" t="str">
        <f t="shared" si="42"/>
        <v>G385</v>
      </c>
      <c r="CI44" t="str">
        <f>AE43</f>
        <v>G582</v>
      </c>
      <c r="CJ44" t="str">
        <f t="shared" si="29"/>
        <v>G582</v>
      </c>
      <c r="CK44" t="s">
        <v>1665</v>
      </c>
      <c r="CL44" t="s">
        <v>1665</v>
      </c>
      <c r="CM44" t="s">
        <v>1665</v>
      </c>
      <c r="CN44" t="b">
        <f t="shared" si="43"/>
        <v>1</v>
      </c>
      <c r="CO44" t="str">
        <f t="shared" si="30"/>
        <v>R144</v>
      </c>
      <c r="CP44" t="str">
        <f t="shared" si="44"/>
        <v>R144</v>
      </c>
      <c r="CQ44" t="str">
        <f>AF43</f>
        <v>R114</v>
      </c>
      <c r="CR44" t="str">
        <f t="shared" si="31"/>
        <v>R114</v>
      </c>
      <c r="CS44" t="s">
        <v>997</v>
      </c>
      <c r="CT44" t="s">
        <v>997</v>
      </c>
      <c r="CU44" t="s">
        <v>997</v>
      </c>
      <c r="CV44" t="b">
        <f t="shared" si="45"/>
        <v>1</v>
      </c>
      <c r="DC44" t="str">
        <f t="shared" si="32"/>
        <v>G582</v>
      </c>
      <c r="DD44" t="b">
        <f t="shared" si="47"/>
        <v>0</v>
      </c>
      <c r="DE44" t="str">
        <f t="shared" si="48"/>
        <v>G582</v>
      </c>
      <c r="DF44" t="str">
        <f t="shared" si="33"/>
        <v>R114</v>
      </c>
      <c r="DG44" t="b">
        <f t="shared" si="49"/>
        <v>0</v>
      </c>
      <c r="DH44" t="str">
        <f t="shared" si="50"/>
        <v>R114</v>
      </c>
    </row>
    <row r="45" spans="2:112" ht="12" customHeight="1">
      <c r="B45" t="str">
        <f>TBIDry!H117</f>
        <v>G341</v>
      </c>
      <c r="C45" t="str">
        <f>TBIDry!I117</f>
        <v>R806</v>
      </c>
      <c r="D45" t="b">
        <f t="shared" si="1"/>
        <v>0</v>
      </c>
      <c r="E45" t="b">
        <f t="shared" si="2"/>
        <v>0</v>
      </c>
      <c r="G45" t="str">
        <f>TBIWet!H117</f>
        <v>G764</v>
      </c>
      <c r="H45" t="str">
        <f>TBIWet!I117</f>
        <v>R371</v>
      </c>
      <c r="I45" t="b">
        <f t="shared" si="3"/>
        <v>0</v>
      </c>
      <c r="J45" t="b">
        <f t="shared" si="34"/>
        <v>0</v>
      </c>
      <c r="L45" t="str">
        <f>'Both teabags AfterWet'!A43</f>
        <v>G387</v>
      </c>
      <c r="M45" t="str">
        <f>'Both teabags AfterWet'!A463</f>
        <v>R146</v>
      </c>
      <c r="N45" t="b">
        <f t="shared" si="4"/>
        <v>0</v>
      </c>
      <c r="O45" t="b">
        <f t="shared" si="51"/>
        <v>0</v>
      </c>
      <c r="Q45" s="395" t="b">
        <f t="shared" si="5"/>
        <v>0</v>
      </c>
      <c r="R45" s="395" t="b">
        <f t="shared" si="6"/>
        <v>0</v>
      </c>
      <c r="T45" t="str">
        <f>'Both teabags AfterDry'!A43</f>
        <v>G152</v>
      </c>
      <c r="U45" t="str">
        <f>'Both teabags AfterDry'!A378</f>
        <v>R225</v>
      </c>
      <c r="V45" t="b">
        <f t="shared" si="7"/>
        <v>0</v>
      </c>
      <c r="W45" t="b">
        <f t="shared" si="35"/>
        <v>0</v>
      </c>
      <c r="Y45" t="str">
        <f>'Green_rooibos initial weight'!A46</f>
        <v>G42</v>
      </c>
      <c r="Z45" t="str">
        <f>'Green_rooibos initial weight'!A950</f>
        <v>R42</v>
      </c>
      <c r="AA45" t="b">
        <f t="shared" si="8"/>
        <v>0</v>
      </c>
      <c r="AB45" t="b">
        <f t="shared" si="9"/>
        <v>0</v>
      </c>
      <c r="AE45" t="str">
        <f>'WetLitterbags placem_collection'!K44</f>
        <v>G764</v>
      </c>
      <c r="AF45" t="str">
        <f>'WetLitterbags placem_collection'!M44</f>
        <v>R371</v>
      </c>
      <c r="AG45" t="b">
        <f t="shared" si="10"/>
        <v>0</v>
      </c>
      <c r="AH45" t="b">
        <f t="shared" si="11"/>
        <v>0</v>
      </c>
      <c r="AJ45" t="b">
        <f t="shared" si="12"/>
        <v>0</v>
      </c>
      <c r="AK45" t="b">
        <f t="shared" si="13"/>
        <v>0</v>
      </c>
      <c r="AM45" t="str">
        <f>IF(ISBLANK('Dry_Litterbag Placem_Collection'!J44),"","G"&amp;""&amp;'Dry_Litterbag Placem_Collection'!J44)</f>
        <v>G341</v>
      </c>
      <c r="AN45" t="str">
        <f>IF(ISBLANK('Dry_Litterbag Placem_Collection'!K44),"","R"&amp;""&amp;'Dry_Litterbag Placem_Collection'!K44)</f>
        <v>R806</v>
      </c>
      <c r="AO45" t="b">
        <f t="shared" si="53"/>
        <v>0</v>
      </c>
      <c r="AP45" t="b">
        <f t="shared" si="15"/>
        <v>0</v>
      </c>
      <c r="AS45" t="str">
        <f>'Ashed teabags dry'!A43</f>
        <v>G152</v>
      </c>
      <c r="AT45" t="str">
        <f>'Ashed teabags dry'!A378</f>
        <v>R225</v>
      </c>
      <c r="AU45" t="b">
        <f t="shared" si="16"/>
        <v>0</v>
      </c>
      <c r="AV45" t="b">
        <f>COUNTIF($AT$4:$AT$2000, AT45)&gt;1</f>
        <v>0</v>
      </c>
      <c r="AX45" s="395" t="b">
        <f t="shared" si="17"/>
        <v>0</v>
      </c>
      <c r="AY45" s="395" t="b">
        <f t="shared" si="18"/>
        <v>0</v>
      </c>
      <c r="BA45" t="str">
        <f>'Ashed teabags wet'!A43</f>
        <v>G387</v>
      </c>
      <c r="BB45" t="str">
        <f>'Ashed teabags wet'!A463</f>
        <v>R146</v>
      </c>
      <c r="BC45" t="b">
        <f t="shared" si="19"/>
        <v>0</v>
      </c>
      <c r="BD45" t="b">
        <f t="shared" si="0"/>
        <v>0</v>
      </c>
      <c r="BF45" t="str">
        <f t="shared" si="20"/>
        <v>G15</v>
      </c>
      <c r="BG45" t="str">
        <f>T44</f>
        <v>G15</v>
      </c>
      <c r="BH45" t="str">
        <f t="shared" si="21"/>
        <v>G256</v>
      </c>
      <c r="BI45" t="str">
        <f t="shared" si="36"/>
        <v>G256</v>
      </c>
      <c r="BJ45" t="s">
        <v>2035</v>
      </c>
      <c r="BK45" t="s">
        <v>2035</v>
      </c>
      <c r="BL45" t="s">
        <v>2035</v>
      </c>
      <c r="BM45" t="b">
        <f t="shared" si="37"/>
        <v>1</v>
      </c>
      <c r="BN45" t="str">
        <f t="shared" si="22"/>
        <v>R224</v>
      </c>
      <c r="BO45" t="str">
        <f>U44</f>
        <v>R224</v>
      </c>
      <c r="BP45" t="str">
        <f t="shared" si="23"/>
        <v>R820</v>
      </c>
      <c r="BQ45" t="str">
        <f t="shared" si="24"/>
        <v>R820</v>
      </c>
      <c r="BR45" t="s">
        <v>917</v>
      </c>
      <c r="BS45" t="s">
        <v>917</v>
      </c>
      <c r="BT45" t="s">
        <v>917</v>
      </c>
      <c r="BU45" t="b">
        <f t="shared" si="38"/>
        <v>1</v>
      </c>
      <c r="BV45" s="180" t="s">
        <v>1746</v>
      </c>
      <c r="BW45" s="180" t="s">
        <v>728</v>
      </c>
      <c r="BZ45" t="str">
        <f t="shared" si="25"/>
        <v>G256</v>
      </c>
      <c r="CA45" t="b">
        <f t="shared" si="26"/>
        <v>0</v>
      </c>
      <c r="CB45" t="str">
        <f t="shared" si="39"/>
        <v>G256</v>
      </c>
      <c r="CC45" t="str">
        <f t="shared" si="27"/>
        <v>R820</v>
      </c>
      <c r="CD45" t="b">
        <f t="shared" si="40"/>
        <v>0</v>
      </c>
      <c r="CE45" t="str">
        <f t="shared" si="41"/>
        <v>R820</v>
      </c>
      <c r="CG45" t="str">
        <f t="shared" si="28"/>
        <v>G386</v>
      </c>
      <c r="CH45" t="str">
        <f t="shared" si="42"/>
        <v>G386</v>
      </c>
      <c r="CI45" t="str">
        <f>AE44</f>
        <v>G453</v>
      </c>
      <c r="CJ45" t="str">
        <f t="shared" si="29"/>
        <v>G453</v>
      </c>
      <c r="CK45" t="s">
        <v>1664</v>
      </c>
      <c r="CL45" t="s">
        <v>1664</v>
      </c>
      <c r="CM45" t="s">
        <v>1664</v>
      </c>
      <c r="CN45" t="b">
        <f t="shared" si="43"/>
        <v>1</v>
      </c>
      <c r="CO45" t="str">
        <f t="shared" si="30"/>
        <v>R145</v>
      </c>
      <c r="CP45" t="str">
        <f t="shared" si="44"/>
        <v>R145</v>
      </c>
      <c r="CQ45" t="str">
        <f>AF44</f>
        <v>R521</v>
      </c>
      <c r="CR45" t="str">
        <f t="shared" si="31"/>
        <v>R521</v>
      </c>
      <c r="CS45" t="s">
        <v>996</v>
      </c>
      <c r="CT45" t="s">
        <v>996</v>
      </c>
      <c r="CU45" t="s">
        <v>996</v>
      </c>
      <c r="CV45" t="b">
        <f t="shared" si="45"/>
        <v>1</v>
      </c>
      <c r="DC45" t="str">
        <f t="shared" si="32"/>
        <v>G453</v>
      </c>
      <c r="DD45" t="b">
        <f t="shared" si="47"/>
        <v>0</v>
      </c>
      <c r="DE45" t="str">
        <f t="shared" si="48"/>
        <v>G453</v>
      </c>
      <c r="DF45" t="str">
        <f t="shared" si="33"/>
        <v>R521</v>
      </c>
      <c r="DG45" t="b">
        <f t="shared" si="49"/>
        <v>0</v>
      </c>
      <c r="DH45" t="str">
        <f t="shared" si="50"/>
        <v>R521</v>
      </c>
    </row>
    <row r="46" spans="2:112" ht="12" customHeight="1">
      <c r="B46" t="str">
        <f>TBIDry!H118</f>
        <v>G246</v>
      </c>
      <c r="C46" t="str">
        <f>TBIDry!I118</f>
        <v>R758</v>
      </c>
      <c r="D46" t="b">
        <f t="shared" si="1"/>
        <v>0</v>
      </c>
      <c r="E46" t="b">
        <f t="shared" si="2"/>
        <v>0</v>
      </c>
      <c r="G46" t="str">
        <f>TBIWet!H118</f>
        <v>G690</v>
      </c>
      <c r="H46" t="str">
        <f>TBIWet!I118</f>
        <v>R376</v>
      </c>
      <c r="I46" t="b">
        <f t="shared" si="3"/>
        <v>0</v>
      </c>
      <c r="J46" t="b">
        <f t="shared" si="34"/>
        <v>0</v>
      </c>
      <c r="L46" t="str">
        <f>'Both teabags AfterWet'!A44</f>
        <v>G388</v>
      </c>
      <c r="M46" t="str">
        <f>'Both teabags AfterWet'!A464</f>
        <v>R147</v>
      </c>
      <c r="N46" t="b">
        <f t="shared" si="4"/>
        <v>0</v>
      </c>
      <c r="O46" t="b">
        <f t="shared" si="51"/>
        <v>0</v>
      </c>
      <c r="Q46" s="395" t="b">
        <f t="shared" si="5"/>
        <v>0</v>
      </c>
      <c r="R46" s="395" t="b">
        <f t="shared" si="6"/>
        <v>0</v>
      </c>
      <c r="T46" t="str">
        <f>'Both teabags AfterDry'!A44</f>
        <v>G153</v>
      </c>
      <c r="U46" t="str">
        <f>'Both teabags AfterDry'!A379</f>
        <v>R227</v>
      </c>
      <c r="V46" t="b">
        <f t="shared" si="7"/>
        <v>0</v>
      </c>
      <c r="W46" t="b">
        <f t="shared" si="35"/>
        <v>0</v>
      </c>
      <c r="Y46" t="str">
        <f>'Green_rooibos initial weight'!A47</f>
        <v>G43</v>
      </c>
      <c r="Z46" t="str">
        <f>'Green_rooibos initial weight'!A951</f>
        <v>R43</v>
      </c>
      <c r="AA46" t="b">
        <f t="shared" si="8"/>
        <v>0</v>
      </c>
      <c r="AB46" t="b">
        <f t="shared" si="9"/>
        <v>0</v>
      </c>
      <c r="AE46" t="str">
        <f>'WetLitterbags placem_collection'!K45</f>
        <v>G690</v>
      </c>
      <c r="AF46" t="str">
        <f>'WetLitterbags placem_collection'!M45</f>
        <v>R376</v>
      </c>
      <c r="AG46" t="b">
        <f t="shared" si="10"/>
        <v>0</v>
      </c>
      <c r="AH46" t="b">
        <f t="shared" si="11"/>
        <v>0</v>
      </c>
      <c r="AJ46" t="b">
        <f t="shared" si="12"/>
        <v>0</v>
      </c>
      <c r="AK46" t="b">
        <f t="shared" si="13"/>
        <v>0</v>
      </c>
      <c r="AM46" t="str">
        <f>IF(ISBLANK('Dry_Litterbag Placem_Collection'!J45),"","G"&amp;""&amp;'Dry_Litterbag Placem_Collection'!J45)</f>
        <v>G246</v>
      </c>
      <c r="AN46" t="str">
        <f>IF(ISBLANK('Dry_Litterbag Placem_Collection'!K45),"","R"&amp;""&amp;'Dry_Litterbag Placem_Collection'!K45)</f>
        <v>R758</v>
      </c>
      <c r="AO46" t="b">
        <f t="shared" si="53"/>
        <v>0</v>
      </c>
      <c r="AP46" t="b">
        <f t="shared" si="15"/>
        <v>0</v>
      </c>
      <c r="AS46" t="str">
        <f>'Ashed teabags dry'!A44</f>
        <v>G153</v>
      </c>
      <c r="AT46" t="str">
        <f>'Ashed teabags dry'!A379</f>
        <v>R227</v>
      </c>
      <c r="AU46" t="b">
        <f t="shared" si="16"/>
        <v>0</v>
      </c>
      <c r="AV46" t="b">
        <f>COUNTIF($AT$4:$AT$2000, AT46)&gt;1</f>
        <v>0</v>
      </c>
      <c r="AX46" s="395" t="b">
        <f t="shared" si="17"/>
        <v>0</v>
      </c>
      <c r="AY46" s="395" t="b">
        <f t="shared" si="18"/>
        <v>0</v>
      </c>
      <c r="BA46" t="str">
        <f>'Ashed teabags wet'!A44</f>
        <v>G388</v>
      </c>
      <c r="BB46" t="str">
        <f>'Ashed teabags wet'!A464</f>
        <v>R147</v>
      </c>
      <c r="BC46" t="b">
        <f t="shared" si="19"/>
        <v>0</v>
      </c>
      <c r="BD46" t="b">
        <f t="shared" si="0"/>
        <v>0</v>
      </c>
      <c r="BF46" t="str">
        <f t="shared" si="20"/>
        <v>G152</v>
      </c>
      <c r="BG46" t="str">
        <f>T45</f>
        <v>G152</v>
      </c>
      <c r="BH46" t="str">
        <f t="shared" si="21"/>
        <v>G341</v>
      </c>
      <c r="BI46" t="str">
        <f t="shared" si="36"/>
        <v>G341</v>
      </c>
      <c r="BJ46" t="s">
        <v>1898</v>
      </c>
      <c r="BK46" t="s">
        <v>1898</v>
      </c>
      <c r="BL46" t="s">
        <v>1898</v>
      </c>
      <c r="BM46" t="b">
        <f t="shared" si="37"/>
        <v>1</v>
      </c>
      <c r="BN46" t="str">
        <f t="shared" si="22"/>
        <v>R225</v>
      </c>
      <c r="BO46" t="str">
        <f>U45</f>
        <v>R225</v>
      </c>
      <c r="BP46" t="str">
        <f t="shared" si="23"/>
        <v>R806</v>
      </c>
      <c r="BQ46" t="str">
        <f t="shared" si="24"/>
        <v>R806</v>
      </c>
      <c r="BR46" t="s">
        <v>916</v>
      </c>
      <c r="BS46" t="s">
        <v>916</v>
      </c>
      <c r="BT46" t="s">
        <v>916</v>
      </c>
      <c r="BU46" t="b">
        <f t="shared" si="38"/>
        <v>1</v>
      </c>
      <c r="BV46" s="180" t="s">
        <v>1743</v>
      </c>
      <c r="BW46" s="180" t="s">
        <v>668</v>
      </c>
      <c r="BZ46" t="str">
        <f t="shared" si="25"/>
        <v>G341</v>
      </c>
      <c r="CA46" t="b">
        <f t="shared" si="26"/>
        <v>0</v>
      </c>
      <c r="CB46" t="str">
        <f t="shared" si="39"/>
        <v>G341</v>
      </c>
      <c r="CC46" t="str">
        <f t="shared" si="27"/>
        <v>R806</v>
      </c>
      <c r="CD46" t="b">
        <f t="shared" si="40"/>
        <v>0</v>
      </c>
      <c r="CE46" t="str">
        <f t="shared" si="41"/>
        <v>R806</v>
      </c>
      <c r="CG46" t="str">
        <f t="shared" si="28"/>
        <v>G387</v>
      </c>
      <c r="CH46" t="str">
        <f t="shared" si="42"/>
        <v>G387</v>
      </c>
      <c r="CI46" t="str">
        <f>AE45</f>
        <v>G764</v>
      </c>
      <c r="CJ46" t="str">
        <f t="shared" si="29"/>
        <v>G764</v>
      </c>
      <c r="CK46" t="s">
        <v>1663</v>
      </c>
      <c r="CL46" t="s">
        <v>1663</v>
      </c>
      <c r="CM46" t="s">
        <v>1663</v>
      </c>
      <c r="CN46" t="b">
        <f t="shared" si="43"/>
        <v>1</v>
      </c>
      <c r="CO46" t="str">
        <f t="shared" si="30"/>
        <v>R146</v>
      </c>
      <c r="CP46" t="str">
        <f t="shared" si="44"/>
        <v>R146</v>
      </c>
      <c r="CQ46" t="str">
        <f>AF45</f>
        <v>R371</v>
      </c>
      <c r="CR46" t="str">
        <f t="shared" si="31"/>
        <v>R371</v>
      </c>
      <c r="CS46" t="s">
        <v>995</v>
      </c>
      <c r="CT46" t="s">
        <v>995</v>
      </c>
      <c r="CU46" t="s">
        <v>995</v>
      </c>
      <c r="CV46" t="b">
        <f t="shared" si="45"/>
        <v>1</v>
      </c>
      <c r="DC46" t="str">
        <f t="shared" si="32"/>
        <v>G764</v>
      </c>
      <c r="DD46" t="b">
        <f t="shared" si="47"/>
        <v>0</v>
      </c>
      <c r="DE46" t="str">
        <f t="shared" si="48"/>
        <v>G764</v>
      </c>
      <c r="DF46" t="str">
        <f t="shared" si="33"/>
        <v>R371</v>
      </c>
      <c r="DG46" t="b">
        <f t="shared" si="49"/>
        <v>0</v>
      </c>
      <c r="DH46" t="str">
        <f t="shared" si="50"/>
        <v>R371</v>
      </c>
    </row>
    <row r="47" spans="2:112" ht="12" customHeight="1">
      <c r="B47" t="str">
        <f>TBIDry!H119</f>
        <v>G115</v>
      </c>
      <c r="C47" t="str">
        <f>TBIDry!I119</f>
        <v>R783</v>
      </c>
      <c r="D47" t="b">
        <f t="shared" si="1"/>
        <v>0</v>
      </c>
      <c r="E47" t="b">
        <f t="shared" si="2"/>
        <v>0</v>
      </c>
      <c r="G47" t="str">
        <f>TBIWet!H119</f>
        <v>G774</v>
      </c>
      <c r="H47" t="str">
        <f>TBIWet!I119</f>
        <v>R166</v>
      </c>
      <c r="I47" t="b">
        <f t="shared" si="3"/>
        <v>0</v>
      </c>
      <c r="J47" t="b">
        <f t="shared" si="34"/>
        <v>0</v>
      </c>
      <c r="L47" t="str">
        <f>'Both teabags AfterWet'!A45</f>
        <v>G389</v>
      </c>
      <c r="M47" t="str">
        <f>'Both teabags AfterWet'!A465</f>
        <v>R148</v>
      </c>
      <c r="N47" t="b">
        <f t="shared" si="4"/>
        <v>0</v>
      </c>
      <c r="O47" t="b">
        <f t="shared" si="51"/>
        <v>0</v>
      </c>
      <c r="Q47" s="395" t="b">
        <f t="shared" si="5"/>
        <v>0</v>
      </c>
      <c r="R47" s="395" t="b">
        <f t="shared" si="6"/>
        <v>0</v>
      </c>
      <c r="T47" t="str">
        <f>'Both teabags AfterDry'!A45</f>
        <v>G155</v>
      </c>
      <c r="U47" t="str">
        <f>'Both teabags AfterDry'!A380</f>
        <v>R229</v>
      </c>
      <c r="V47" t="b">
        <f t="shared" si="7"/>
        <v>0</v>
      </c>
      <c r="W47" t="b">
        <f t="shared" si="35"/>
        <v>0</v>
      </c>
      <c r="Y47" t="str">
        <f>'Green_rooibos initial weight'!A48</f>
        <v>G44</v>
      </c>
      <c r="Z47" t="str">
        <f>'Green_rooibos initial weight'!A952</f>
        <v>R44</v>
      </c>
      <c r="AA47" t="b">
        <f t="shared" si="8"/>
        <v>0</v>
      </c>
      <c r="AB47" t="b">
        <f t="shared" si="9"/>
        <v>0</v>
      </c>
      <c r="AE47" t="str">
        <f>'WetLitterbags placem_collection'!K46</f>
        <v>G774</v>
      </c>
      <c r="AF47" t="str">
        <f>'WetLitterbags placem_collection'!M46</f>
        <v>R166</v>
      </c>
      <c r="AG47" t="b">
        <f t="shared" si="10"/>
        <v>0</v>
      </c>
      <c r="AH47" t="b">
        <f t="shared" si="11"/>
        <v>0</v>
      </c>
      <c r="AJ47" t="b">
        <f t="shared" si="12"/>
        <v>0</v>
      </c>
      <c r="AK47" t="b">
        <f t="shared" si="13"/>
        <v>0</v>
      </c>
      <c r="AM47" t="str">
        <f>IF(ISBLANK('Dry_Litterbag Placem_Collection'!J46),"","G"&amp;""&amp;'Dry_Litterbag Placem_Collection'!J46)</f>
        <v>G115</v>
      </c>
      <c r="AN47" t="str">
        <f>IF(ISBLANK('Dry_Litterbag Placem_Collection'!K46),"","R"&amp;""&amp;'Dry_Litterbag Placem_Collection'!K46)</f>
        <v>R783</v>
      </c>
      <c r="AO47" t="b">
        <f t="shared" si="53"/>
        <v>0</v>
      </c>
      <c r="AP47" t="b">
        <f t="shared" si="15"/>
        <v>0</v>
      </c>
      <c r="AS47" t="str">
        <f>'Ashed teabags dry'!A45</f>
        <v>G155</v>
      </c>
      <c r="AT47" t="str">
        <f>'Ashed teabags dry'!A380</f>
        <v>R229</v>
      </c>
      <c r="AU47" t="b">
        <f t="shared" si="16"/>
        <v>0</v>
      </c>
      <c r="AV47" t="b">
        <f>COUNTIF($AT$4:$AT$2000, AT47)&gt;1</f>
        <v>0</v>
      </c>
      <c r="AX47" s="395" t="b">
        <f t="shared" si="17"/>
        <v>0</v>
      </c>
      <c r="AY47" s="395" t="b">
        <f t="shared" si="18"/>
        <v>0</v>
      </c>
      <c r="BA47" t="str">
        <f>'Ashed teabags wet'!A45</f>
        <v>G389</v>
      </c>
      <c r="BB47" t="str">
        <f>'Ashed teabags wet'!A465</f>
        <v>R148</v>
      </c>
      <c r="BC47" t="b">
        <f t="shared" si="19"/>
        <v>0</v>
      </c>
      <c r="BD47" t="b">
        <f t="shared" si="0"/>
        <v>0</v>
      </c>
      <c r="BF47" t="str">
        <f t="shared" si="20"/>
        <v>G153</v>
      </c>
      <c r="BG47" t="str">
        <f>T46</f>
        <v>G153</v>
      </c>
      <c r="BH47" t="str">
        <f t="shared" si="21"/>
        <v>G246</v>
      </c>
      <c r="BI47" t="str">
        <f t="shared" si="36"/>
        <v>G246</v>
      </c>
      <c r="BJ47" t="s">
        <v>1897</v>
      </c>
      <c r="BK47" t="s">
        <v>1897</v>
      </c>
      <c r="BL47" t="s">
        <v>1897</v>
      </c>
      <c r="BM47" t="b">
        <f t="shared" si="37"/>
        <v>1</v>
      </c>
      <c r="BN47" t="str">
        <f t="shared" si="22"/>
        <v>R227</v>
      </c>
      <c r="BO47" t="str">
        <f>U46</f>
        <v>R227</v>
      </c>
      <c r="BP47" t="str">
        <f t="shared" si="23"/>
        <v>R758</v>
      </c>
      <c r="BQ47" t="str">
        <f t="shared" si="24"/>
        <v>R758</v>
      </c>
      <c r="BR47" t="s">
        <v>914</v>
      </c>
      <c r="BS47" t="s">
        <v>914</v>
      </c>
      <c r="BT47" t="s">
        <v>914</v>
      </c>
      <c r="BU47" t="b">
        <f t="shared" si="38"/>
        <v>1</v>
      </c>
      <c r="BV47" s="180" t="s">
        <v>2036</v>
      </c>
      <c r="BW47" s="180" t="s">
        <v>1071</v>
      </c>
      <c r="BZ47" t="str">
        <f t="shared" si="25"/>
        <v>G246</v>
      </c>
      <c r="CA47" t="b">
        <f t="shared" si="26"/>
        <v>0</v>
      </c>
      <c r="CB47" t="str">
        <f t="shared" si="39"/>
        <v>G246</v>
      </c>
      <c r="CC47" t="str">
        <f t="shared" si="27"/>
        <v>R758</v>
      </c>
      <c r="CD47" t="b">
        <f t="shared" si="40"/>
        <v>0</v>
      </c>
      <c r="CE47" t="str">
        <f t="shared" si="41"/>
        <v>R758</v>
      </c>
      <c r="CG47" t="str">
        <f t="shared" si="28"/>
        <v>G388</v>
      </c>
      <c r="CH47" t="str">
        <f t="shared" si="42"/>
        <v>G388</v>
      </c>
      <c r="CI47" t="str">
        <f>AE46</f>
        <v>G690</v>
      </c>
      <c r="CJ47" t="str">
        <f t="shared" si="29"/>
        <v>G690</v>
      </c>
      <c r="CK47" t="s">
        <v>1662</v>
      </c>
      <c r="CL47" t="s">
        <v>1662</v>
      </c>
      <c r="CM47" t="s">
        <v>1662</v>
      </c>
      <c r="CN47" t="b">
        <f t="shared" si="43"/>
        <v>1</v>
      </c>
      <c r="CO47" t="str">
        <f t="shared" si="30"/>
        <v>R147</v>
      </c>
      <c r="CP47" t="str">
        <f t="shared" si="44"/>
        <v>R147</v>
      </c>
      <c r="CQ47" t="str">
        <f>AF46</f>
        <v>R376</v>
      </c>
      <c r="CR47" t="str">
        <f t="shared" si="31"/>
        <v>R376</v>
      </c>
      <c r="CS47" t="s">
        <v>994</v>
      </c>
      <c r="CT47" t="s">
        <v>994</v>
      </c>
      <c r="CU47" t="s">
        <v>994</v>
      </c>
      <c r="CV47" t="b">
        <f t="shared" si="45"/>
        <v>1</v>
      </c>
      <c r="DC47" t="str">
        <f t="shared" si="32"/>
        <v>G690</v>
      </c>
      <c r="DD47" t="b">
        <f t="shared" si="47"/>
        <v>0</v>
      </c>
      <c r="DE47" t="str">
        <f t="shared" si="48"/>
        <v>G690</v>
      </c>
      <c r="DF47" t="str">
        <f t="shared" si="33"/>
        <v>R376</v>
      </c>
      <c r="DG47" t="b">
        <f t="shared" si="49"/>
        <v>0</v>
      </c>
      <c r="DH47" t="str">
        <f t="shared" si="50"/>
        <v>R376</v>
      </c>
    </row>
    <row r="48" spans="2:112" ht="12" customHeight="1">
      <c r="B48" t="str">
        <f>TBIDry!H120</f>
        <v>G480</v>
      </c>
      <c r="C48" t="str">
        <f>TBIDry!I120</f>
        <v>R827</v>
      </c>
      <c r="D48" t="b">
        <f t="shared" si="1"/>
        <v>0</v>
      </c>
      <c r="E48" t="b">
        <f t="shared" si="2"/>
        <v>0</v>
      </c>
      <c r="G48" t="str">
        <f>TBIWet!H120</f>
        <v>G519</v>
      </c>
      <c r="H48" t="str">
        <f>TBIWet!I120</f>
        <v>R469</v>
      </c>
      <c r="I48" t="b">
        <f t="shared" si="3"/>
        <v>0</v>
      </c>
      <c r="J48" t="b">
        <f t="shared" si="34"/>
        <v>0</v>
      </c>
      <c r="L48" t="str">
        <f>'Both teabags AfterWet'!A46</f>
        <v>G390</v>
      </c>
      <c r="M48" t="str">
        <f>'Both teabags AfterWet'!A466</f>
        <v>R149</v>
      </c>
      <c r="N48" t="b">
        <f t="shared" si="4"/>
        <v>0</v>
      </c>
      <c r="O48" t="b">
        <f t="shared" si="51"/>
        <v>0</v>
      </c>
      <c r="Q48" s="395" t="b">
        <f t="shared" si="5"/>
        <v>0</v>
      </c>
      <c r="R48" s="395" t="b">
        <f t="shared" si="6"/>
        <v>0</v>
      </c>
      <c r="T48" t="str">
        <f>'Both teabags AfterDry'!A46</f>
        <v>G156</v>
      </c>
      <c r="U48" t="str">
        <f>'Both teabags AfterDry'!A381</f>
        <v>R230</v>
      </c>
      <c r="V48" t="b">
        <f t="shared" si="7"/>
        <v>0</v>
      </c>
      <c r="W48" t="b">
        <f t="shared" si="35"/>
        <v>0</v>
      </c>
      <c r="Y48" t="str">
        <f>'Green_rooibos initial weight'!A49</f>
        <v>G45</v>
      </c>
      <c r="Z48" t="str">
        <f>'Green_rooibos initial weight'!A953</f>
        <v>R45</v>
      </c>
      <c r="AA48" t="b">
        <f t="shared" si="8"/>
        <v>0</v>
      </c>
      <c r="AB48" t="b">
        <f t="shared" si="9"/>
        <v>0</v>
      </c>
      <c r="AE48" t="str">
        <f>'WetLitterbags placem_collection'!K47</f>
        <v>G519</v>
      </c>
      <c r="AF48" t="str">
        <f>'WetLitterbags placem_collection'!M47</f>
        <v>R469</v>
      </c>
      <c r="AG48" t="b">
        <f t="shared" si="10"/>
        <v>0</v>
      </c>
      <c r="AH48" t="b">
        <f t="shared" si="11"/>
        <v>0</v>
      </c>
      <c r="AJ48" t="b">
        <f t="shared" si="12"/>
        <v>0</v>
      </c>
      <c r="AK48" t="b">
        <f t="shared" si="13"/>
        <v>0</v>
      </c>
      <c r="AM48" t="str">
        <f>IF(ISBLANK('Dry_Litterbag Placem_Collection'!J47),"","G"&amp;""&amp;'Dry_Litterbag Placem_Collection'!J47)</f>
        <v>G480</v>
      </c>
      <c r="AN48" t="str">
        <f>IF(ISBLANK('Dry_Litterbag Placem_Collection'!K47),"","R"&amp;""&amp;'Dry_Litterbag Placem_Collection'!K47)</f>
        <v>R827</v>
      </c>
      <c r="AO48" t="b">
        <f t="shared" si="53"/>
        <v>0</v>
      </c>
      <c r="AP48" t="b">
        <f t="shared" si="15"/>
        <v>0</v>
      </c>
      <c r="AS48" t="str">
        <f>'Ashed teabags dry'!A46</f>
        <v>G156</v>
      </c>
      <c r="AT48" t="str">
        <f>'Ashed teabags dry'!A381</f>
        <v>R230</v>
      </c>
      <c r="AU48" t="b">
        <f t="shared" si="16"/>
        <v>0</v>
      </c>
      <c r="AV48" t="b">
        <f>COUNTIF($AT$4:$AT$2000, AT48)&gt;1</f>
        <v>0</v>
      </c>
      <c r="AX48" s="395" t="b">
        <f t="shared" si="17"/>
        <v>0</v>
      </c>
      <c r="AY48" s="395" t="b">
        <f t="shared" si="18"/>
        <v>0</v>
      </c>
      <c r="BA48" t="str">
        <f>'Ashed teabags wet'!A46</f>
        <v>G390</v>
      </c>
      <c r="BB48" t="str">
        <f>'Ashed teabags wet'!A466</f>
        <v>R149</v>
      </c>
      <c r="BC48" t="b">
        <f t="shared" si="19"/>
        <v>0</v>
      </c>
      <c r="BD48" t="b">
        <f t="shared" si="0"/>
        <v>0</v>
      </c>
      <c r="BF48" t="str">
        <f t="shared" si="20"/>
        <v>G155</v>
      </c>
      <c r="BG48" t="str">
        <f>T47</f>
        <v>G155</v>
      </c>
      <c r="BH48" t="str">
        <f t="shared" si="21"/>
        <v>G115</v>
      </c>
      <c r="BI48" t="str">
        <f t="shared" si="36"/>
        <v>G115</v>
      </c>
      <c r="BJ48" t="s">
        <v>1895</v>
      </c>
      <c r="BK48" t="s">
        <v>1895</v>
      </c>
      <c r="BL48" t="s">
        <v>1895</v>
      </c>
      <c r="BM48" t="b">
        <f t="shared" si="37"/>
        <v>1</v>
      </c>
      <c r="BN48" t="str">
        <f t="shared" si="22"/>
        <v>R229</v>
      </c>
      <c r="BO48" t="str">
        <f>U47</f>
        <v>R229</v>
      </c>
      <c r="BP48" t="str">
        <f t="shared" si="23"/>
        <v>R783</v>
      </c>
      <c r="BQ48" t="str">
        <f t="shared" si="24"/>
        <v>R783</v>
      </c>
      <c r="BR48" t="s">
        <v>912</v>
      </c>
      <c r="BS48" t="s">
        <v>912</v>
      </c>
      <c r="BT48" t="s">
        <v>912</v>
      </c>
      <c r="BU48" t="b">
        <f t="shared" si="38"/>
        <v>1</v>
      </c>
      <c r="BV48" s="180" t="s">
        <v>1885</v>
      </c>
      <c r="BW48" s="180" t="s">
        <v>532</v>
      </c>
      <c r="BZ48" t="str">
        <f t="shared" si="25"/>
        <v>G115</v>
      </c>
      <c r="CA48" t="b">
        <f t="shared" si="26"/>
        <v>0</v>
      </c>
      <c r="CB48" t="str">
        <f t="shared" si="39"/>
        <v>G115</v>
      </c>
      <c r="CC48" t="str">
        <f t="shared" si="27"/>
        <v>R783</v>
      </c>
      <c r="CD48" t="b">
        <f t="shared" si="40"/>
        <v>0</v>
      </c>
      <c r="CE48" t="str">
        <f t="shared" si="41"/>
        <v>R783</v>
      </c>
      <c r="CG48" t="str">
        <f t="shared" si="28"/>
        <v>G389</v>
      </c>
      <c r="CH48" t="str">
        <f t="shared" si="42"/>
        <v>G389</v>
      </c>
      <c r="CI48" t="str">
        <f>AE47</f>
        <v>G774</v>
      </c>
      <c r="CJ48" t="str">
        <f t="shared" si="29"/>
        <v>G774</v>
      </c>
      <c r="CK48" t="s">
        <v>1661</v>
      </c>
      <c r="CL48" t="s">
        <v>1661</v>
      </c>
      <c r="CM48" t="s">
        <v>1661</v>
      </c>
      <c r="CN48" t="b">
        <f t="shared" si="43"/>
        <v>1</v>
      </c>
      <c r="CO48" t="str">
        <f t="shared" si="30"/>
        <v>R148</v>
      </c>
      <c r="CP48" t="str">
        <f t="shared" si="44"/>
        <v>R148</v>
      </c>
      <c r="CQ48" t="str">
        <f>AF47</f>
        <v>R166</v>
      </c>
      <c r="CR48" t="str">
        <f t="shared" si="31"/>
        <v>R166</v>
      </c>
      <c r="CS48" t="s">
        <v>993</v>
      </c>
      <c r="CT48" t="s">
        <v>993</v>
      </c>
      <c r="CU48" t="s">
        <v>993</v>
      </c>
      <c r="CV48" t="b">
        <f t="shared" si="45"/>
        <v>1</v>
      </c>
      <c r="DC48" t="str">
        <f t="shared" si="32"/>
        <v>G774</v>
      </c>
      <c r="DD48" t="b">
        <f t="shared" si="47"/>
        <v>0</v>
      </c>
      <c r="DE48" t="str">
        <f t="shared" si="48"/>
        <v>G774</v>
      </c>
      <c r="DF48" t="str">
        <f t="shared" si="33"/>
        <v>R166</v>
      </c>
      <c r="DG48" t="b">
        <f t="shared" si="49"/>
        <v>0</v>
      </c>
      <c r="DH48" t="str">
        <f t="shared" si="50"/>
        <v>R166</v>
      </c>
    </row>
    <row r="49" spans="2:112" ht="12" customHeight="1">
      <c r="B49" t="str">
        <f>TBIDry!H121</f>
        <v/>
      </c>
      <c r="C49" t="str">
        <f>TBIDry!I121</f>
        <v/>
      </c>
      <c r="D49" t="b">
        <f t="shared" si="1"/>
        <v>1</v>
      </c>
      <c r="E49" t="b">
        <f t="shared" si="2"/>
        <v>1</v>
      </c>
      <c r="G49" t="str">
        <f>TBIWet!H121</f>
        <v>G635</v>
      </c>
      <c r="H49" t="str">
        <f>TBIWet!I121</f>
        <v>R86</v>
      </c>
      <c r="I49" t="b">
        <f t="shared" si="3"/>
        <v>0</v>
      </c>
      <c r="J49" t="b">
        <f t="shared" si="34"/>
        <v>0</v>
      </c>
      <c r="L49" t="str">
        <f>'Both teabags AfterWet'!A47</f>
        <v>G391</v>
      </c>
      <c r="M49" t="str">
        <f>'Both teabags AfterWet'!A467</f>
        <v>R15</v>
      </c>
      <c r="N49" t="b">
        <f t="shared" si="4"/>
        <v>0</v>
      </c>
      <c r="O49" t="b">
        <f t="shared" si="51"/>
        <v>0</v>
      </c>
      <c r="Q49" s="395" t="b">
        <f t="shared" si="5"/>
        <v>0</v>
      </c>
      <c r="R49" s="395" t="b">
        <f t="shared" si="6"/>
        <v>0</v>
      </c>
      <c r="T49" t="str">
        <f>'Both teabags AfterDry'!A47</f>
        <v>G157</v>
      </c>
      <c r="U49" t="str">
        <f>'Both teabags AfterDry'!A382</f>
        <v>R231</v>
      </c>
      <c r="V49" t="b">
        <f t="shared" si="7"/>
        <v>0</v>
      </c>
      <c r="W49" t="b">
        <f t="shared" si="35"/>
        <v>0</v>
      </c>
      <c r="Y49" t="str">
        <f>'Green_rooibos initial weight'!A50</f>
        <v>G46</v>
      </c>
      <c r="Z49" t="str">
        <f>'Green_rooibos initial weight'!A954</f>
        <v>R46</v>
      </c>
      <c r="AA49" t="b">
        <f t="shared" si="8"/>
        <v>0</v>
      </c>
      <c r="AB49" t="b">
        <f t="shared" si="9"/>
        <v>0</v>
      </c>
      <c r="AE49" t="str">
        <f>'WetLitterbags placem_collection'!K48</f>
        <v>G635</v>
      </c>
      <c r="AF49" t="str">
        <f>'WetLitterbags placem_collection'!M48</f>
        <v>R86</v>
      </c>
      <c r="AG49" t="b">
        <f t="shared" si="10"/>
        <v>0</v>
      </c>
      <c r="AH49" t="b">
        <f t="shared" si="11"/>
        <v>0</v>
      </c>
      <c r="AJ49" t="b">
        <f t="shared" si="12"/>
        <v>0</v>
      </c>
      <c r="AK49" t="b">
        <f t="shared" si="13"/>
        <v>0</v>
      </c>
      <c r="AM49" t="str">
        <f>IF(ISBLANK('Dry_Litterbag Placem_Collection'!J48),"","G"&amp;""&amp;'Dry_Litterbag Placem_Collection'!J48)</f>
        <v/>
      </c>
      <c r="AN49" t="str">
        <f>IF(ISBLANK('Dry_Litterbag Placem_Collection'!K48),"","R"&amp;""&amp;'Dry_Litterbag Placem_Collection'!K48)</f>
        <v/>
      </c>
      <c r="AO49" t="b">
        <f t="shared" si="53"/>
        <v>1</v>
      </c>
      <c r="AP49" t="b">
        <f t="shared" si="15"/>
        <v>1</v>
      </c>
      <c r="AS49" t="str">
        <f>'Ashed teabags dry'!A47</f>
        <v>G157</v>
      </c>
      <c r="AT49" t="str">
        <f>'Ashed teabags dry'!A382</f>
        <v>R231</v>
      </c>
      <c r="AU49" t="b">
        <f t="shared" si="16"/>
        <v>0</v>
      </c>
      <c r="AV49" t="b">
        <f>COUNTIF($AT$4:$AT$2000, AT49)&gt;1</f>
        <v>0</v>
      </c>
      <c r="AX49" s="395" t="b">
        <f t="shared" si="17"/>
        <v>0</v>
      </c>
      <c r="AY49" s="395" t="b">
        <f t="shared" si="18"/>
        <v>0</v>
      </c>
      <c r="BA49" t="str">
        <f>'Ashed teabags wet'!A47</f>
        <v>G391</v>
      </c>
      <c r="BB49" t="str">
        <f>'Ashed teabags wet'!A467</f>
        <v>R15</v>
      </c>
      <c r="BC49" t="b">
        <f t="shared" si="19"/>
        <v>0</v>
      </c>
      <c r="BD49" t="b">
        <f t="shared" si="0"/>
        <v>0</v>
      </c>
      <c r="BF49" t="str">
        <f t="shared" si="20"/>
        <v>G156</v>
      </c>
      <c r="BG49" t="str">
        <f>T48</f>
        <v>G156</v>
      </c>
      <c r="BH49" t="str">
        <f t="shared" si="21"/>
        <v>G480</v>
      </c>
      <c r="BI49" t="str">
        <f t="shared" si="36"/>
        <v/>
      </c>
      <c r="BJ49" t="s">
        <v>1894</v>
      </c>
      <c r="BK49" t="s">
        <v>1894</v>
      </c>
      <c r="BL49" t="s">
        <v>1894</v>
      </c>
      <c r="BM49" t="b">
        <f t="shared" si="37"/>
        <v>1</v>
      </c>
      <c r="BN49" t="str">
        <f t="shared" si="22"/>
        <v>R230</v>
      </c>
      <c r="BO49" t="str">
        <f>U48</f>
        <v>R230</v>
      </c>
      <c r="BP49" t="str">
        <f t="shared" si="23"/>
        <v>R827</v>
      </c>
      <c r="BQ49" t="str">
        <f t="shared" si="24"/>
        <v/>
      </c>
      <c r="BR49" t="s">
        <v>911</v>
      </c>
      <c r="BS49" t="s">
        <v>911</v>
      </c>
      <c r="BT49" t="s">
        <v>911</v>
      </c>
      <c r="BU49" t="b">
        <f t="shared" si="38"/>
        <v>1</v>
      </c>
      <c r="BV49" s="180" t="s">
        <v>1997</v>
      </c>
      <c r="BW49" s="180" t="s">
        <v>467</v>
      </c>
      <c r="BZ49" t="str">
        <f t="shared" si="25"/>
        <v>G480</v>
      </c>
      <c r="CA49" t="b">
        <f t="shared" si="26"/>
        <v>1</v>
      </c>
      <c r="CB49" t="str">
        <f t="shared" si="39"/>
        <v/>
      </c>
      <c r="CC49" t="str">
        <f t="shared" si="27"/>
        <v>R827</v>
      </c>
      <c r="CD49" t="b">
        <f t="shared" si="40"/>
        <v>1</v>
      </c>
      <c r="CE49" t="str">
        <f t="shared" si="41"/>
        <v/>
      </c>
      <c r="CG49" t="str">
        <f t="shared" si="28"/>
        <v>G390</v>
      </c>
      <c r="CH49" t="str">
        <f t="shared" si="42"/>
        <v>G390</v>
      </c>
      <c r="CI49" t="str">
        <f>AE48</f>
        <v>G519</v>
      </c>
      <c r="CJ49" t="str">
        <f t="shared" si="29"/>
        <v>G519</v>
      </c>
      <c r="CK49" t="s">
        <v>1660</v>
      </c>
      <c r="CL49" t="s">
        <v>1660</v>
      </c>
      <c r="CM49" t="s">
        <v>1660</v>
      </c>
      <c r="CN49" t="b">
        <f t="shared" si="43"/>
        <v>1</v>
      </c>
      <c r="CO49" t="str">
        <f t="shared" si="30"/>
        <v>R149</v>
      </c>
      <c r="CP49" t="str">
        <f t="shared" si="44"/>
        <v>R149</v>
      </c>
      <c r="CQ49" t="str">
        <f>AF48</f>
        <v>R469</v>
      </c>
      <c r="CR49" t="str">
        <f t="shared" si="31"/>
        <v>R469</v>
      </c>
      <c r="CS49" t="s">
        <v>992</v>
      </c>
      <c r="CT49" t="s">
        <v>992</v>
      </c>
      <c r="CU49" t="s">
        <v>992</v>
      </c>
      <c r="CV49" t="b">
        <f t="shared" si="45"/>
        <v>1</v>
      </c>
      <c r="DC49" t="str">
        <f t="shared" si="32"/>
        <v>G519</v>
      </c>
      <c r="DD49" t="b">
        <f t="shared" si="47"/>
        <v>0</v>
      </c>
      <c r="DE49" t="str">
        <f t="shared" si="48"/>
        <v>G519</v>
      </c>
      <c r="DF49" t="str">
        <f t="shared" si="33"/>
        <v>R469</v>
      </c>
      <c r="DG49" t="b">
        <f t="shared" si="49"/>
        <v>0</v>
      </c>
      <c r="DH49" t="str">
        <f t="shared" si="50"/>
        <v>R469</v>
      </c>
    </row>
    <row r="50" spans="2:112" ht="12" customHeight="1">
      <c r="B50" t="str">
        <f>TBIDry!H122</f>
        <v>G110</v>
      </c>
      <c r="C50" t="str">
        <f>TBIDry!I122</f>
        <v>R831</v>
      </c>
      <c r="D50" t="b">
        <f t="shared" si="1"/>
        <v>0</v>
      </c>
      <c r="E50" t="b">
        <f t="shared" si="2"/>
        <v>0</v>
      </c>
      <c r="G50" t="str">
        <f>TBIWet!H122</f>
        <v>G539</v>
      </c>
      <c r="H50" t="str">
        <f>TBIWet!I122</f>
        <v>R146</v>
      </c>
      <c r="I50" t="b">
        <f t="shared" si="3"/>
        <v>0</v>
      </c>
      <c r="J50" t="b">
        <f t="shared" si="34"/>
        <v>0</v>
      </c>
      <c r="L50" t="str">
        <f>'Both teabags AfterWet'!A48</f>
        <v>G393</v>
      </c>
      <c r="M50" t="str">
        <f>'Both teabags AfterWet'!A468</f>
        <v>R150</v>
      </c>
      <c r="N50" t="b">
        <f t="shared" si="4"/>
        <v>0</v>
      </c>
      <c r="O50" t="b">
        <f t="shared" si="51"/>
        <v>0</v>
      </c>
      <c r="Q50" s="395" t="b">
        <f t="shared" si="5"/>
        <v>0</v>
      </c>
      <c r="R50" s="395" t="b">
        <f t="shared" si="6"/>
        <v>0</v>
      </c>
      <c r="T50" t="str">
        <f>'Both teabags AfterDry'!A48</f>
        <v>G158</v>
      </c>
      <c r="U50" t="str">
        <f>'Both teabags AfterDry'!A383</f>
        <v>R233</v>
      </c>
      <c r="V50" t="b">
        <f t="shared" si="7"/>
        <v>0</v>
      </c>
      <c r="W50" t="b">
        <f t="shared" si="35"/>
        <v>0</v>
      </c>
      <c r="Y50" t="str">
        <f>'Green_rooibos initial weight'!A51</f>
        <v>G47</v>
      </c>
      <c r="Z50" t="str">
        <f>'Green_rooibos initial weight'!A955</f>
        <v>R47</v>
      </c>
      <c r="AA50" t="b">
        <f t="shared" si="8"/>
        <v>0</v>
      </c>
      <c r="AB50" t="b">
        <f t="shared" si="9"/>
        <v>0</v>
      </c>
      <c r="AE50" t="str">
        <f>'WetLitterbags placem_collection'!K49</f>
        <v>G539</v>
      </c>
      <c r="AF50" t="str">
        <f>'WetLitterbags placem_collection'!M49</f>
        <v>R146</v>
      </c>
      <c r="AG50" t="b">
        <f t="shared" si="10"/>
        <v>0</v>
      </c>
      <c r="AH50" t="b">
        <f t="shared" si="11"/>
        <v>0</v>
      </c>
      <c r="AJ50" t="b">
        <f t="shared" si="12"/>
        <v>0</v>
      </c>
      <c r="AK50" t="b">
        <f t="shared" si="13"/>
        <v>0</v>
      </c>
      <c r="AM50" t="str">
        <f>IF(ISBLANK('Dry_Litterbag Placem_Collection'!J49),"","G"&amp;""&amp;'Dry_Litterbag Placem_Collection'!J49)</f>
        <v>G110</v>
      </c>
      <c r="AN50" t="str">
        <f>IF(ISBLANK('Dry_Litterbag Placem_Collection'!K49),"","R"&amp;""&amp;'Dry_Litterbag Placem_Collection'!K49)</f>
        <v>R831</v>
      </c>
      <c r="AO50" t="b">
        <f t="shared" si="53"/>
        <v>0</v>
      </c>
      <c r="AP50" t="b">
        <f t="shared" si="15"/>
        <v>0</v>
      </c>
      <c r="AS50" t="str">
        <f>'Ashed teabags dry'!A48</f>
        <v>G158</v>
      </c>
      <c r="AT50" t="str">
        <f>'Ashed teabags dry'!A383</f>
        <v>R233</v>
      </c>
      <c r="AU50" t="b">
        <f t="shared" si="16"/>
        <v>0</v>
      </c>
      <c r="AV50" t="b">
        <f>COUNTIF($AT$4:$AT$2000, AT50)&gt;1</f>
        <v>0</v>
      </c>
      <c r="AX50" s="395" t="b">
        <f t="shared" si="17"/>
        <v>0</v>
      </c>
      <c r="AY50" s="395" t="b">
        <f t="shared" si="18"/>
        <v>0</v>
      </c>
      <c r="BA50" t="str">
        <f>'Ashed teabags wet'!A48</f>
        <v>G393</v>
      </c>
      <c r="BB50" t="str">
        <f>'Ashed teabags wet'!A468</f>
        <v>R150</v>
      </c>
      <c r="BC50" t="b">
        <f t="shared" si="19"/>
        <v>0</v>
      </c>
      <c r="BD50" t="b">
        <f t="shared" si="0"/>
        <v>0</v>
      </c>
      <c r="BF50" t="str">
        <f t="shared" si="20"/>
        <v>G157</v>
      </c>
      <c r="BG50" t="str">
        <f>T49</f>
        <v>G157</v>
      </c>
      <c r="BH50" t="str">
        <f t="shared" si="21"/>
        <v/>
      </c>
      <c r="BI50" t="str">
        <f t="shared" si="36"/>
        <v/>
      </c>
      <c r="BJ50" t="s">
        <v>1893</v>
      </c>
      <c r="BK50" t="s">
        <v>1893</v>
      </c>
      <c r="BL50" t="s">
        <v>1893</v>
      </c>
      <c r="BM50" t="b">
        <f t="shared" si="37"/>
        <v>1</v>
      </c>
      <c r="BN50" t="str">
        <f t="shared" si="22"/>
        <v>R231</v>
      </c>
      <c r="BO50" t="str">
        <f>U49</f>
        <v>R231</v>
      </c>
      <c r="BP50" t="str">
        <f t="shared" si="23"/>
        <v/>
      </c>
      <c r="BQ50" t="str">
        <f t="shared" si="24"/>
        <v/>
      </c>
      <c r="BR50" t="s">
        <v>910</v>
      </c>
      <c r="BS50" t="s">
        <v>910</v>
      </c>
      <c r="BT50" t="s">
        <v>910</v>
      </c>
      <c r="BU50" t="b">
        <f t="shared" si="38"/>
        <v>1</v>
      </c>
      <c r="BV50" s="180" t="s">
        <v>1562</v>
      </c>
      <c r="BW50" s="180" t="s">
        <v>932</v>
      </c>
      <c r="BZ50" t="str">
        <f t="shared" si="25"/>
        <v/>
      </c>
      <c r="CA50" t="b">
        <f t="shared" si="26"/>
        <v>0</v>
      </c>
      <c r="CB50" t="str">
        <f t="shared" si="39"/>
        <v/>
      </c>
      <c r="CC50" t="str">
        <f t="shared" si="27"/>
        <v/>
      </c>
      <c r="CD50" t="b">
        <f t="shared" si="40"/>
        <v>0</v>
      </c>
      <c r="CE50" t="str">
        <f t="shared" si="41"/>
        <v/>
      </c>
      <c r="CG50" t="str">
        <f t="shared" si="28"/>
        <v>G391</v>
      </c>
      <c r="CH50" t="str">
        <f t="shared" si="42"/>
        <v>G391</v>
      </c>
      <c r="CI50" t="str">
        <f>AE49</f>
        <v>G635</v>
      </c>
      <c r="CJ50" t="str">
        <f t="shared" si="29"/>
        <v/>
      </c>
      <c r="CK50" t="s">
        <v>1659</v>
      </c>
      <c r="CL50" t="s">
        <v>1659</v>
      </c>
      <c r="CM50" t="s">
        <v>1659</v>
      </c>
      <c r="CN50" t="b">
        <f t="shared" si="43"/>
        <v>1</v>
      </c>
      <c r="CO50" t="str">
        <f t="shared" si="30"/>
        <v>R15</v>
      </c>
      <c r="CP50" t="str">
        <f t="shared" si="44"/>
        <v>R15</v>
      </c>
      <c r="CQ50" t="str">
        <f>AF49</f>
        <v>R86</v>
      </c>
      <c r="CR50" t="str">
        <f t="shared" si="31"/>
        <v/>
      </c>
      <c r="CS50" t="s">
        <v>1126</v>
      </c>
      <c r="CT50" t="s">
        <v>1126</v>
      </c>
      <c r="CU50" t="s">
        <v>1126</v>
      </c>
      <c r="CV50" t="b">
        <f t="shared" si="45"/>
        <v>1</v>
      </c>
      <c r="DC50" t="str">
        <f t="shared" si="32"/>
        <v>G635</v>
      </c>
      <c r="DD50" t="b">
        <f t="shared" si="47"/>
        <v>1</v>
      </c>
      <c r="DE50" t="str">
        <f t="shared" si="48"/>
        <v/>
      </c>
      <c r="DF50" t="str">
        <f t="shared" si="33"/>
        <v>R86</v>
      </c>
      <c r="DG50" t="b">
        <f t="shared" si="49"/>
        <v>1</v>
      </c>
      <c r="DH50" t="str">
        <f t="shared" si="50"/>
        <v/>
      </c>
    </row>
    <row r="51" spans="2:112" ht="12" customHeight="1">
      <c r="B51" t="str">
        <f>TBIDry!H123</f>
        <v>G233</v>
      </c>
      <c r="C51" t="str">
        <f>TBIDry!I123</f>
        <v>R828</v>
      </c>
      <c r="D51" t="b">
        <f t="shared" si="1"/>
        <v>0</v>
      </c>
      <c r="E51" t="b">
        <f t="shared" si="2"/>
        <v>0</v>
      </c>
      <c r="G51" t="str">
        <f>TBIWet!H123</f>
        <v>G679</v>
      </c>
      <c r="H51" t="str">
        <f>TBIWet!I123</f>
        <v>R72</v>
      </c>
      <c r="I51" t="b">
        <f t="shared" si="3"/>
        <v>0</v>
      </c>
      <c r="J51" t="b">
        <f t="shared" si="34"/>
        <v>0</v>
      </c>
      <c r="L51" t="str">
        <f>'Both teabags AfterWet'!A49</f>
        <v>G403</v>
      </c>
      <c r="M51" t="str">
        <f>'Both teabags AfterWet'!A469</f>
        <v>R151</v>
      </c>
      <c r="N51" t="b">
        <f t="shared" si="4"/>
        <v>0</v>
      </c>
      <c r="O51" t="b">
        <f t="shared" si="51"/>
        <v>0</v>
      </c>
      <c r="Q51" s="395" t="b">
        <f t="shared" si="5"/>
        <v>0</v>
      </c>
      <c r="R51" s="395" t="b">
        <f t="shared" si="6"/>
        <v>0</v>
      </c>
      <c r="T51" t="str">
        <f>'Both teabags AfterDry'!A49</f>
        <v>G159</v>
      </c>
      <c r="U51" t="str">
        <f>'Both teabags AfterDry'!A384</f>
        <v>R236</v>
      </c>
      <c r="V51" t="b">
        <f t="shared" si="7"/>
        <v>0</v>
      </c>
      <c r="W51" t="b">
        <f t="shared" si="35"/>
        <v>0</v>
      </c>
      <c r="Y51" t="str">
        <f>'Green_rooibos initial weight'!A52</f>
        <v>G48</v>
      </c>
      <c r="Z51" t="str">
        <f>'Green_rooibos initial weight'!A956</f>
        <v>R48</v>
      </c>
      <c r="AA51" t="b">
        <f t="shared" si="8"/>
        <v>0</v>
      </c>
      <c r="AB51" t="b">
        <f t="shared" si="9"/>
        <v>0</v>
      </c>
      <c r="AE51" t="str">
        <f>'WetLitterbags placem_collection'!K50</f>
        <v>G679</v>
      </c>
      <c r="AF51" t="str">
        <f>'WetLitterbags placem_collection'!M50</f>
        <v>R72</v>
      </c>
      <c r="AG51" t="b">
        <f t="shared" si="10"/>
        <v>0</v>
      </c>
      <c r="AH51" t="b">
        <f t="shared" si="11"/>
        <v>0</v>
      </c>
      <c r="AJ51" t="b">
        <f t="shared" si="12"/>
        <v>0</v>
      </c>
      <c r="AK51" t="b">
        <f t="shared" si="13"/>
        <v>0</v>
      </c>
      <c r="AM51" t="str">
        <f>IF(ISBLANK('Dry_Litterbag Placem_Collection'!J50),"","G"&amp;""&amp;'Dry_Litterbag Placem_Collection'!J50)</f>
        <v>G233</v>
      </c>
      <c r="AN51" t="str">
        <f>IF(ISBLANK('Dry_Litterbag Placem_Collection'!K50),"","R"&amp;""&amp;'Dry_Litterbag Placem_Collection'!K50)</f>
        <v>R828</v>
      </c>
      <c r="AO51" t="b">
        <f t="shared" si="53"/>
        <v>0</v>
      </c>
      <c r="AP51" t="b">
        <f t="shared" si="15"/>
        <v>0</v>
      </c>
      <c r="AS51" t="str">
        <f>'Ashed teabags dry'!A49</f>
        <v>G159</v>
      </c>
      <c r="AT51" t="str">
        <f>'Ashed teabags dry'!A384</f>
        <v>R236</v>
      </c>
      <c r="AU51" t="b">
        <f t="shared" si="16"/>
        <v>0</v>
      </c>
      <c r="AV51" t="b">
        <f>COUNTIF($AT$4:$AT$2000, AT51)&gt;1</f>
        <v>0</v>
      </c>
      <c r="AX51" s="395" t="b">
        <f t="shared" si="17"/>
        <v>0</v>
      </c>
      <c r="AY51" s="395" t="b">
        <f t="shared" si="18"/>
        <v>0</v>
      </c>
      <c r="BA51" t="str">
        <f>'Ashed teabags wet'!A49</f>
        <v>G403</v>
      </c>
      <c r="BB51" t="str">
        <f>'Ashed teabags wet'!A469</f>
        <v>R151</v>
      </c>
      <c r="BC51" t="b">
        <f t="shared" si="19"/>
        <v>0</v>
      </c>
      <c r="BD51" t="b">
        <f t="shared" si="0"/>
        <v>0</v>
      </c>
      <c r="BF51" t="str">
        <f t="shared" si="20"/>
        <v>G158</v>
      </c>
      <c r="BG51" t="str">
        <f>T50</f>
        <v>G158</v>
      </c>
      <c r="BH51" t="str">
        <f t="shared" si="21"/>
        <v>G110</v>
      </c>
      <c r="BI51" t="str">
        <f t="shared" si="36"/>
        <v>G110</v>
      </c>
      <c r="BJ51" t="s">
        <v>1892</v>
      </c>
      <c r="BK51" t="s">
        <v>1892</v>
      </c>
      <c r="BL51" t="s">
        <v>1892</v>
      </c>
      <c r="BM51" t="b">
        <f t="shared" si="37"/>
        <v>1</v>
      </c>
      <c r="BN51" t="str">
        <f t="shared" si="22"/>
        <v>R233</v>
      </c>
      <c r="BO51" t="str">
        <f>U50</f>
        <v>R233</v>
      </c>
      <c r="BP51" t="str">
        <f t="shared" si="23"/>
        <v>R831</v>
      </c>
      <c r="BQ51" t="str">
        <f t="shared" si="24"/>
        <v>R831</v>
      </c>
      <c r="BR51" t="s">
        <v>908</v>
      </c>
      <c r="BS51" t="s">
        <v>908</v>
      </c>
      <c r="BT51" t="s">
        <v>908</v>
      </c>
      <c r="BU51" t="b">
        <f t="shared" si="38"/>
        <v>1</v>
      </c>
      <c r="BV51" s="180" t="s">
        <v>1238</v>
      </c>
      <c r="BW51" s="180" t="s">
        <v>833</v>
      </c>
      <c r="BZ51" t="str">
        <f t="shared" si="25"/>
        <v>G110</v>
      </c>
      <c r="CA51" t="b">
        <f t="shared" si="26"/>
        <v>0</v>
      </c>
      <c r="CB51" t="str">
        <f t="shared" si="39"/>
        <v>G110</v>
      </c>
      <c r="CC51" t="str">
        <f t="shared" si="27"/>
        <v>R831</v>
      </c>
      <c r="CD51" t="b">
        <f t="shared" si="40"/>
        <v>0</v>
      </c>
      <c r="CE51" t="str">
        <f t="shared" si="41"/>
        <v>R831</v>
      </c>
      <c r="CG51" t="str">
        <f t="shared" si="28"/>
        <v>G393</v>
      </c>
      <c r="CH51" t="str">
        <f t="shared" si="42"/>
        <v>G393</v>
      </c>
      <c r="CI51" t="str">
        <f>AE50</f>
        <v>G539</v>
      </c>
      <c r="CJ51" t="str">
        <f t="shared" si="29"/>
        <v>G539</v>
      </c>
      <c r="CK51" t="s">
        <v>1657</v>
      </c>
      <c r="CL51" t="s">
        <v>1657</v>
      </c>
      <c r="CM51" t="s">
        <v>1657</v>
      </c>
      <c r="CN51" t="b">
        <f t="shared" si="43"/>
        <v>1</v>
      </c>
      <c r="CO51" t="str">
        <f t="shared" si="30"/>
        <v>R150</v>
      </c>
      <c r="CP51" t="str">
        <f t="shared" si="44"/>
        <v>R150</v>
      </c>
      <c r="CQ51" t="str">
        <f>AF50</f>
        <v>R146</v>
      </c>
      <c r="CR51" t="str">
        <f t="shared" si="31"/>
        <v>R146</v>
      </c>
      <c r="CS51" t="s">
        <v>991</v>
      </c>
      <c r="CT51" t="s">
        <v>991</v>
      </c>
      <c r="CU51" t="s">
        <v>991</v>
      </c>
      <c r="CV51" t="b">
        <f t="shared" si="45"/>
        <v>1</v>
      </c>
      <c r="DC51" t="str">
        <f t="shared" si="32"/>
        <v>G539</v>
      </c>
      <c r="DD51" t="b">
        <f t="shared" si="47"/>
        <v>0</v>
      </c>
      <c r="DE51" t="str">
        <f t="shared" si="48"/>
        <v>G539</v>
      </c>
      <c r="DF51" t="str">
        <f t="shared" si="33"/>
        <v>R146</v>
      </c>
      <c r="DG51" t="b">
        <f t="shared" si="49"/>
        <v>0</v>
      </c>
      <c r="DH51" t="str">
        <f t="shared" si="50"/>
        <v>R146</v>
      </c>
    </row>
    <row r="52" spans="2:112" ht="12" customHeight="1">
      <c r="B52" t="str">
        <f>TBIDry!H124</f>
        <v>G54</v>
      </c>
      <c r="C52" t="str">
        <f>TBIDry!I124</f>
        <v>R805</v>
      </c>
      <c r="D52" t="b">
        <f t="shared" si="1"/>
        <v>0</v>
      </c>
      <c r="E52" t="b">
        <f t="shared" si="2"/>
        <v>0</v>
      </c>
      <c r="G52" t="str">
        <f>TBIWet!H124</f>
        <v>G346</v>
      </c>
      <c r="H52" t="str">
        <f>TBIWet!I124</f>
        <v>R28</v>
      </c>
      <c r="I52" t="b">
        <f t="shared" si="3"/>
        <v>0</v>
      </c>
      <c r="J52" t="b">
        <f t="shared" si="34"/>
        <v>0</v>
      </c>
      <c r="L52" t="str">
        <f>'Both teabags AfterWet'!A50</f>
        <v>G404</v>
      </c>
      <c r="M52" t="str">
        <f>'Both teabags AfterWet'!A470</f>
        <v>R153</v>
      </c>
      <c r="N52" t="b">
        <f t="shared" si="4"/>
        <v>0</v>
      </c>
      <c r="O52" t="b">
        <f t="shared" si="51"/>
        <v>0</v>
      </c>
      <c r="Q52" s="395" t="b">
        <f t="shared" si="5"/>
        <v>0</v>
      </c>
      <c r="R52" s="395" t="b">
        <f t="shared" si="6"/>
        <v>0</v>
      </c>
      <c r="T52" t="str">
        <f>'Both teabags AfterDry'!A50</f>
        <v>G161</v>
      </c>
      <c r="U52" t="str">
        <f>'Both teabags AfterDry'!A385</f>
        <v>R237</v>
      </c>
      <c r="V52" t="b">
        <f t="shared" si="7"/>
        <v>0</v>
      </c>
      <c r="W52" t="b">
        <f t="shared" si="35"/>
        <v>0</v>
      </c>
      <c r="Y52" t="str">
        <f>'Green_rooibos initial weight'!A53</f>
        <v>G49</v>
      </c>
      <c r="Z52" t="str">
        <f>'Green_rooibos initial weight'!A957</f>
        <v>R49</v>
      </c>
      <c r="AA52" t="b">
        <f t="shared" si="8"/>
        <v>0</v>
      </c>
      <c r="AB52" t="b">
        <f t="shared" si="9"/>
        <v>0</v>
      </c>
      <c r="AE52" t="str">
        <f>'WetLitterbags placem_collection'!K51</f>
        <v>G346</v>
      </c>
      <c r="AF52" t="str">
        <f>'WetLitterbags placem_collection'!M51</f>
        <v>R28</v>
      </c>
      <c r="AG52" t="b">
        <f t="shared" si="10"/>
        <v>0</v>
      </c>
      <c r="AH52" t="b">
        <f t="shared" si="11"/>
        <v>0</v>
      </c>
      <c r="AJ52" t="b">
        <f t="shared" si="12"/>
        <v>0</v>
      </c>
      <c r="AK52" t="b">
        <f t="shared" si="13"/>
        <v>0</v>
      </c>
      <c r="AM52" t="str">
        <f>IF(ISBLANK('Dry_Litterbag Placem_Collection'!J51),"","G"&amp;""&amp;'Dry_Litterbag Placem_Collection'!J51)</f>
        <v>G54</v>
      </c>
      <c r="AN52" t="str">
        <f>IF(ISBLANK('Dry_Litterbag Placem_Collection'!K51),"","R"&amp;""&amp;'Dry_Litterbag Placem_Collection'!K51)</f>
        <v>R805</v>
      </c>
      <c r="AO52" t="b">
        <f t="shared" si="53"/>
        <v>0</v>
      </c>
      <c r="AP52" t="b">
        <f t="shared" si="15"/>
        <v>0</v>
      </c>
      <c r="AS52" t="str">
        <f>'Ashed teabags dry'!A50</f>
        <v>G161</v>
      </c>
      <c r="AT52" t="str">
        <f>'Ashed teabags dry'!A385</f>
        <v>R237</v>
      </c>
      <c r="AU52" t="b">
        <f t="shared" si="16"/>
        <v>0</v>
      </c>
      <c r="AV52" t="b">
        <f>COUNTIF($AT$4:$AT$2000, AT52)&gt;1</f>
        <v>0</v>
      </c>
      <c r="AX52" s="395" t="b">
        <f t="shared" si="17"/>
        <v>0</v>
      </c>
      <c r="AY52" s="395" t="b">
        <f t="shared" si="18"/>
        <v>0</v>
      </c>
      <c r="BA52" t="str">
        <f>'Ashed teabags wet'!A50</f>
        <v>G404</v>
      </c>
      <c r="BB52" t="str">
        <f>'Ashed teabags wet'!A470</f>
        <v>R153</v>
      </c>
      <c r="BC52" t="b">
        <f t="shared" si="19"/>
        <v>0</v>
      </c>
      <c r="BD52" t="b">
        <f t="shared" si="0"/>
        <v>0</v>
      </c>
      <c r="BF52" t="str">
        <f t="shared" si="20"/>
        <v>G159</v>
      </c>
      <c r="BG52" t="str">
        <f>T51</f>
        <v>G159</v>
      </c>
      <c r="BH52" t="str">
        <f t="shared" si="21"/>
        <v>G233</v>
      </c>
      <c r="BI52" t="str">
        <f t="shared" si="36"/>
        <v>G233</v>
      </c>
      <c r="BJ52" t="s">
        <v>1891</v>
      </c>
      <c r="BK52" t="s">
        <v>1891</v>
      </c>
      <c r="BL52" t="s">
        <v>1891</v>
      </c>
      <c r="BM52" t="b">
        <f t="shared" si="37"/>
        <v>1</v>
      </c>
      <c r="BN52" t="str">
        <f t="shared" si="22"/>
        <v>R236</v>
      </c>
      <c r="BO52" t="str">
        <f>U51</f>
        <v>R236</v>
      </c>
      <c r="BP52" t="str">
        <f t="shared" si="23"/>
        <v>R828</v>
      </c>
      <c r="BQ52" t="str">
        <f t="shared" si="24"/>
        <v>R828</v>
      </c>
      <c r="BR52" t="s">
        <v>905</v>
      </c>
      <c r="BS52" t="s">
        <v>905</v>
      </c>
      <c r="BT52" t="s">
        <v>905</v>
      </c>
      <c r="BU52" t="b">
        <f t="shared" si="38"/>
        <v>1</v>
      </c>
      <c r="BV52" s="180" t="s">
        <v>1302</v>
      </c>
      <c r="BW52" s="180" t="s">
        <v>941</v>
      </c>
      <c r="BZ52" t="str">
        <f t="shared" si="25"/>
        <v>G233</v>
      </c>
      <c r="CA52" t="b">
        <f t="shared" si="26"/>
        <v>0</v>
      </c>
      <c r="CB52" t="str">
        <f t="shared" si="39"/>
        <v>G233</v>
      </c>
      <c r="CC52" t="str">
        <f t="shared" si="27"/>
        <v>R828</v>
      </c>
      <c r="CD52" t="b">
        <f t="shared" si="40"/>
        <v>0</v>
      </c>
      <c r="CE52" t="str">
        <f t="shared" si="41"/>
        <v>R828</v>
      </c>
      <c r="CG52" t="str">
        <f t="shared" si="28"/>
        <v>G403</v>
      </c>
      <c r="CH52" t="str">
        <f t="shared" si="42"/>
        <v>G403</v>
      </c>
      <c r="CI52" t="str">
        <f>AE51</f>
        <v>G679</v>
      </c>
      <c r="CJ52" t="str">
        <f t="shared" si="29"/>
        <v>G679</v>
      </c>
      <c r="CK52" t="s">
        <v>1647</v>
      </c>
      <c r="CL52" t="s">
        <v>1647</v>
      </c>
      <c r="CM52" t="s">
        <v>1647</v>
      </c>
      <c r="CN52" t="b">
        <f t="shared" si="43"/>
        <v>1</v>
      </c>
      <c r="CO52" t="str">
        <f t="shared" si="30"/>
        <v>R151</v>
      </c>
      <c r="CP52" t="str">
        <f t="shared" si="44"/>
        <v>R151</v>
      </c>
      <c r="CQ52" t="str">
        <f>AF51</f>
        <v>R72</v>
      </c>
      <c r="CR52" t="str">
        <f t="shared" si="31"/>
        <v>R72</v>
      </c>
      <c r="CS52" t="s">
        <v>990</v>
      </c>
      <c r="CT52" t="s">
        <v>990</v>
      </c>
      <c r="CU52" t="s">
        <v>990</v>
      </c>
      <c r="CV52" t="b">
        <f t="shared" si="45"/>
        <v>1</v>
      </c>
      <c r="DC52" t="str">
        <f t="shared" si="32"/>
        <v>G679</v>
      </c>
      <c r="DD52" t="b">
        <f t="shared" si="47"/>
        <v>0</v>
      </c>
      <c r="DE52" t="str">
        <f t="shared" si="48"/>
        <v>G679</v>
      </c>
      <c r="DF52" t="str">
        <f t="shared" si="33"/>
        <v>R72</v>
      </c>
      <c r="DG52" t="b">
        <f t="shared" si="49"/>
        <v>0</v>
      </c>
      <c r="DH52" t="str">
        <f t="shared" si="50"/>
        <v>R72</v>
      </c>
    </row>
    <row r="53" spans="2:112" ht="12" customHeight="1">
      <c r="B53" t="str">
        <f>TBIDry!H125</f>
        <v>G276</v>
      </c>
      <c r="C53" t="str">
        <f>TBIDry!I125</f>
        <v>R754</v>
      </c>
      <c r="D53" t="b">
        <f t="shared" si="1"/>
        <v>0</v>
      </c>
      <c r="E53" t="b">
        <f t="shared" si="2"/>
        <v>0</v>
      </c>
      <c r="G53" t="str">
        <f>TBIWet!H125</f>
        <v>G418</v>
      </c>
      <c r="H53" t="str">
        <f>TBIWet!I125</f>
        <v>R5</v>
      </c>
      <c r="I53" t="b">
        <f t="shared" si="3"/>
        <v>0</v>
      </c>
      <c r="J53" t="b">
        <f t="shared" si="34"/>
        <v>0</v>
      </c>
      <c r="L53" t="str">
        <f>'Both teabags AfterWet'!A51</f>
        <v>G405</v>
      </c>
      <c r="M53" t="str">
        <f>'Both teabags AfterWet'!A471</f>
        <v>R154</v>
      </c>
      <c r="N53" t="b">
        <f t="shared" si="4"/>
        <v>0</v>
      </c>
      <c r="O53" t="b">
        <f t="shared" si="51"/>
        <v>0</v>
      </c>
      <c r="Q53" s="395" t="b">
        <f t="shared" si="5"/>
        <v>0</v>
      </c>
      <c r="R53" s="395" t="b">
        <f t="shared" si="6"/>
        <v>0</v>
      </c>
      <c r="T53" t="str">
        <f>'Both teabags AfterDry'!A51</f>
        <v>G162</v>
      </c>
      <c r="U53" t="str">
        <f>'Both teabags AfterDry'!A386</f>
        <v>R238</v>
      </c>
      <c r="V53" t="b">
        <f t="shared" si="7"/>
        <v>0</v>
      </c>
      <c r="W53" t="b">
        <f t="shared" si="35"/>
        <v>0</v>
      </c>
      <c r="Y53" t="str">
        <f>'Green_rooibos initial weight'!A54</f>
        <v>G50</v>
      </c>
      <c r="Z53" t="str">
        <f>'Green_rooibos initial weight'!A958</f>
        <v>R50</v>
      </c>
      <c r="AA53" t="b">
        <f t="shared" si="8"/>
        <v>0</v>
      </c>
      <c r="AB53" t="b">
        <f t="shared" si="9"/>
        <v>0</v>
      </c>
      <c r="AE53" t="str">
        <f>'WetLitterbags placem_collection'!K52</f>
        <v>G418</v>
      </c>
      <c r="AF53" t="str">
        <f>'WetLitterbags placem_collection'!M52</f>
        <v>R5</v>
      </c>
      <c r="AG53" t="b">
        <f t="shared" si="10"/>
        <v>0</v>
      </c>
      <c r="AH53" t="b">
        <f t="shared" si="11"/>
        <v>0</v>
      </c>
      <c r="AJ53" t="b">
        <f t="shared" si="12"/>
        <v>0</v>
      </c>
      <c r="AK53" t="b">
        <f t="shared" si="13"/>
        <v>0</v>
      </c>
      <c r="AM53" t="str">
        <f>IF(ISBLANK('Dry_Litterbag Placem_Collection'!J52),"","G"&amp;""&amp;'Dry_Litterbag Placem_Collection'!J52)</f>
        <v>G276</v>
      </c>
      <c r="AN53" t="str">
        <f>IF(ISBLANK('Dry_Litterbag Placem_Collection'!K52),"","R"&amp;""&amp;'Dry_Litterbag Placem_Collection'!K52)</f>
        <v>R754</v>
      </c>
      <c r="AO53" t="b">
        <f t="shared" si="53"/>
        <v>0</v>
      </c>
      <c r="AP53" t="b">
        <f t="shared" si="15"/>
        <v>0</v>
      </c>
      <c r="AS53" t="str">
        <f>'Ashed teabags dry'!A51</f>
        <v>G162</v>
      </c>
      <c r="AT53" t="str">
        <f>'Ashed teabags dry'!A386</f>
        <v>R238</v>
      </c>
      <c r="AU53" t="b">
        <f t="shared" si="16"/>
        <v>0</v>
      </c>
      <c r="AV53" t="b">
        <f>COUNTIF($AT$4:$AT$2000, AT53)&gt;1</f>
        <v>0</v>
      </c>
      <c r="AX53" s="395" t="b">
        <f t="shared" si="17"/>
        <v>0</v>
      </c>
      <c r="AY53" s="395" t="b">
        <f t="shared" si="18"/>
        <v>0</v>
      </c>
      <c r="BA53" t="str">
        <f>'Ashed teabags wet'!A51</f>
        <v>G405</v>
      </c>
      <c r="BB53" t="str">
        <f>'Ashed teabags wet'!A471</f>
        <v>R154</v>
      </c>
      <c r="BC53" t="b">
        <f t="shared" si="19"/>
        <v>0</v>
      </c>
      <c r="BD53" t="b">
        <f t="shared" si="0"/>
        <v>0</v>
      </c>
      <c r="BF53" t="str">
        <f t="shared" si="20"/>
        <v>G161</v>
      </c>
      <c r="BG53" t="str">
        <f>T52</f>
        <v>G161</v>
      </c>
      <c r="BH53" t="str">
        <f t="shared" si="21"/>
        <v>G54</v>
      </c>
      <c r="BI53" t="str">
        <f t="shared" si="36"/>
        <v/>
      </c>
      <c r="BJ53" t="s">
        <v>1889</v>
      </c>
      <c r="BK53" t="s">
        <v>1889</v>
      </c>
      <c r="BL53" t="s">
        <v>1889</v>
      </c>
      <c r="BM53" t="b">
        <f t="shared" si="37"/>
        <v>1</v>
      </c>
      <c r="BN53" t="str">
        <f t="shared" si="22"/>
        <v>R237</v>
      </c>
      <c r="BO53" t="str">
        <f>U52</f>
        <v>R237</v>
      </c>
      <c r="BP53" t="str">
        <f t="shared" si="23"/>
        <v>R805</v>
      </c>
      <c r="BQ53" t="str">
        <f t="shared" si="24"/>
        <v/>
      </c>
      <c r="BR53" t="s">
        <v>904</v>
      </c>
      <c r="BS53" t="s">
        <v>904</v>
      </c>
      <c r="BT53" t="s">
        <v>904</v>
      </c>
      <c r="BU53" t="b">
        <f t="shared" si="38"/>
        <v>1</v>
      </c>
      <c r="BV53" s="180" t="s">
        <v>2047</v>
      </c>
      <c r="BW53" s="180" t="s">
        <v>1094</v>
      </c>
      <c r="BZ53" t="str">
        <f t="shared" si="25"/>
        <v>G54</v>
      </c>
      <c r="CA53" t="b">
        <f t="shared" si="26"/>
        <v>1</v>
      </c>
      <c r="CB53" t="str">
        <f t="shared" si="39"/>
        <v/>
      </c>
      <c r="CC53" t="str">
        <f t="shared" si="27"/>
        <v>R805</v>
      </c>
      <c r="CD53" t="b">
        <f t="shared" si="40"/>
        <v>1</v>
      </c>
      <c r="CE53" t="str">
        <f t="shared" si="41"/>
        <v/>
      </c>
      <c r="CG53" t="str">
        <f t="shared" si="28"/>
        <v>G404</v>
      </c>
      <c r="CH53" t="str">
        <f t="shared" si="42"/>
        <v>G404</v>
      </c>
      <c r="CI53" t="str">
        <f>AE52</f>
        <v>G346</v>
      </c>
      <c r="CJ53" t="str">
        <f t="shared" si="29"/>
        <v>G346</v>
      </c>
      <c r="CK53" t="s">
        <v>1646</v>
      </c>
      <c r="CL53" t="s">
        <v>1646</v>
      </c>
      <c r="CM53" t="s">
        <v>1646</v>
      </c>
      <c r="CN53" t="b">
        <f t="shared" si="43"/>
        <v>1</v>
      </c>
      <c r="CO53" t="str">
        <f t="shared" si="30"/>
        <v>R153</v>
      </c>
      <c r="CP53" t="str">
        <f t="shared" si="44"/>
        <v>R153</v>
      </c>
      <c r="CQ53" t="str">
        <f>AF52</f>
        <v>R28</v>
      </c>
      <c r="CR53" t="str">
        <f t="shared" si="31"/>
        <v>R28</v>
      </c>
      <c r="CS53" t="s">
        <v>988</v>
      </c>
      <c r="CT53" t="s">
        <v>988</v>
      </c>
      <c r="CU53" t="s">
        <v>988</v>
      </c>
      <c r="CV53" t="b">
        <f t="shared" si="45"/>
        <v>1</v>
      </c>
      <c r="DC53" t="str">
        <f t="shared" si="32"/>
        <v>G346</v>
      </c>
      <c r="DD53" t="b">
        <f t="shared" si="47"/>
        <v>0</v>
      </c>
      <c r="DE53" t="str">
        <f t="shared" si="48"/>
        <v>G346</v>
      </c>
      <c r="DF53" t="str">
        <f t="shared" si="33"/>
        <v>R28</v>
      </c>
      <c r="DG53" t="b">
        <f t="shared" si="49"/>
        <v>0</v>
      </c>
      <c r="DH53" t="str">
        <f t="shared" si="50"/>
        <v>R28</v>
      </c>
    </row>
    <row r="54" spans="2:112" ht="12" customHeight="1">
      <c r="B54" t="str">
        <f>TBIDry!H126</f>
        <v>G227</v>
      </c>
      <c r="C54" t="str">
        <f>TBIDry!I126</f>
        <v>R798</v>
      </c>
      <c r="D54" t="b">
        <f t="shared" si="1"/>
        <v>0</v>
      </c>
      <c r="E54" t="b">
        <f t="shared" si="2"/>
        <v>0</v>
      </c>
      <c r="G54" t="str">
        <f>TBIWet!H126</f>
        <v>G548</v>
      </c>
      <c r="H54" t="str">
        <f>TBIWet!I126</f>
        <v>R85</v>
      </c>
      <c r="I54" t="b">
        <f t="shared" si="3"/>
        <v>0</v>
      </c>
      <c r="J54" t="b">
        <f t="shared" si="34"/>
        <v>0</v>
      </c>
      <c r="L54" t="str">
        <f>'Both teabags AfterWet'!A52</f>
        <v>G406</v>
      </c>
      <c r="M54" t="str">
        <f>'Both teabags AfterWet'!A472</f>
        <v>R155</v>
      </c>
      <c r="N54" t="b">
        <f t="shared" si="4"/>
        <v>0</v>
      </c>
      <c r="O54" t="b">
        <f t="shared" si="51"/>
        <v>0</v>
      </c>
      <c r="Q54" s="395" t="b">
        <f t="shared" si="5"/>
        <v>0</v>
      </c>
      <c r="R54" s="395" t="b">
        <f t="shared" si="6"/>
        <v>0</v>
      </c>
      <c r="T54" t="str">
        <f>'Both teabags AfterDry'!A52</f>
        <v>G166</v>
      </c>
      <c r="U54" t="str">
        <f>'Both teabags AfterDry'!A387</f>
        <v>R239</v>
      </c>
      <c r="V54" t="b">
        <f t="shared" si="7"/>
        <v>0</v>
      </c>
      <c r="W54" t="b">
        <f t="shared" si="35"/>
        <v>0</v>
      </c>
      <c r="Y54" t="str">
        <f>'Green_rooibos initial weight'!A55</f>
        <v>G51</v>
      </c>
      <c r="Z54" t="str">
        <f>'Green_rooibos initial weight'!A959</f>
        <v>R51</v>
      </c>
      <c r="AA54" t="b">
        <f t="shared" si="8"/>
        <v>0</v>
      </c>
      <c r="AB54" t="b">
        <f t="shared" si="9"/>
        <v>0</v>
      </c>
      <c r="AE54" t="str">
        <f>'WetLitterbags placem_collection'!K53</f>
        <v>G548</v>
      </c>
      <c r="AF54" t="str">
        <f>'WetLitterbags placem_collection'!M53</f>
        <v>R85</v>
      </c>
      <c r="AG54" t="b">
        <f t="shared" si="10"/>
        <v>0</v>
      </c>
      <c r="AH54" t="b">
        <f t="shared" si="11"/>
        <v>0</v>
      </c>
      <c r="AJ54" t="b">
        <f t="shared" si="12"/>
        <v>0</v>
      </c>
      <c r="AK54" t="b">
        <f t="shared" si="13"/>
        <v>0</v>
      </c>
      <c r="AM54" t="str">
        <f>IF(ISBLANK('Dry_Litterbag Placem_Collection'!J53),"","G"&amp;""&amp;'Dry_Litterbag Placem_Collection'!J53)</f>
        <v>G227</v>
      </c>
      <c r="AN54" t="str">
        <f>IF(ISBLANK('Dry_Litterbag Placem_Collection'!K53),"","R"&amp;""&amp;'Dry_Litterbag Placem_Collection'!K53)</f>
        <v>R798</v>
      </c>
      <c r="AO54" t="b">
        <f t="shared" si="53"/>
        <v>0</v>
      </c>
      <c r="AP54" t="b">
        <f t="shared" si="15"/>
        <v>0</v>
      </c>
      <c r="AS54" t="str">
        <f>'Ashed teabags dry'!A52</f>
        <v>G166</v>
      </c>
      <c r="AT54" t="str">
        <f>'Ashed teabags dry'!A387</f>
        <v>R239</v>
      </c>
      <c r="AU54" t="b">
        <f t="shared" si="16"/>
        <v>0</v>
      </c>
      <c r="AV54" t="b">
        <f>COUNTIF($AT$4:$AT$2000, AT54)&gt;1</f>
        <v>0</v>
      </c>
      <c r="AX54" s="395" t="b">
        <f t="shared" si="17"/>
        <v>0</v>
      </c>
      <c r="AY54" s="395" t="b">
        <f t="shared" si="18"/>
        <v>0</v>
      </c>
      <c r="BA54" t="str">
        <f>'Ashed teabags wet'!A52</f>
        <v>G406</v>
      </c>
      <c r="BB54" t="str">
        <f>'Ashed teabags wet'!A472</f>
        <v>R155</v>
      </c>
      <c r="BC54" t="b">
        <f t="shared" si="19"/>
        <v>0</v>
      </c>
      <c r="BD54" t="b">
        <f t="shared" si="0"/>
        <v>0</v>
      </c>
      <c r="BF54" t="str">
        <f t="shared" si="20"/>
        <v>G162</v>
      </c>
      <c r="BG54" t="str">
        <f>T53</f>
        <v>G162</v>
      </c>
      <c r="BH54" t="str">
        <f t="shared" si="21"/>
        <v>G276</v>
      </c>
      <c r="BI54" t="str">
        <f t="shared" si="36"/>
        <v/>
      </c>
      <c r="BJ54" t="s">
        <v>1888</v>
      </c>
      <c r="BK54" t="s">
        <v>1888</v>
      </c>
      <c r="BL54" t="s">
        <v>1888</v>
      </c>
      <c r="BM54" t="b">
        <f t="shared" si="37"/>
        <v>1</v>
      </c>
      <c r="BN54" t="str">
        <f t="shared" si="22"/>
        <v>R238</v>
      </c>
      <c r="BO54" t="str">
        <f>U53</f>
        <v>R238</v>
      </c>
      <c r="BP54" t="str">
        <f t="shared" si="23"/>
        <v>R754</v>
      </c>
      <c r="BQ54" t="str">
        <f t="shared" si="24"/>
        <v/>
      </c>
      <c r="BR54" t="s">
        <v>903</v>
      </c>
      <c r="BS54" t="s">
        <v>903</v>
      </c>
      <c r="BT54" t="s">
        <v>903</v>
      </c>
      <c r="BU54" t="b">
        <f t="shared" si="38"/>
        <v>1</v>
      </c>
      <c r="BV54" s="180" t="s">
        <v>1842</v>
      </c>
      <c r="BW54" s="180" t="s">
        <v>794</v>
      </c>
      <c r="BZ54" t="str">
        <f t="shared" si="25"/>
        <v>G276</v>
      </c>
      <c r="CA54" t="b">
        <f t="shared" si="26"/>
        <v>1</v>
      </c>
      <c r="CB54" t="str">
        <f t="shared" si="39"/>
        <v/>
      </c>
      <c r="CC54" t="str">
        <f t="shared" si="27"/>
        <v>R754</v>
      </c>
      <c r="CD54" t="b">
        <f t="shared" si="40"/>
        <v>1</v>
      </c>
      <c r="CE54" t="str">
        <f t="shared" si="41"/>
        <v/>
      </c>
      <c r="CG54" t="str">
        <f t="shared" si="28"/>
        <v>G405</v>
      </c>
      <c r="CH54" t="str">
        <f t="shared" si="42"/>
        <v>G405</v>
      </c>
      <c r="CI54" t="str">
        <f>AE53</f>
        <v>G418</v>
      </c>
      <c r="CJ54" t="str">
        <f t="shared" si="29"/>
        <v/>
      </c>
      <c r="CK54" t="s">
        <v>1645</v>
      </c>
      <c r="CL54" t="s">
        <v>1645</v>
      </c>
      <c r="CM54" t="s">
        <v>1645</v>
      </c>
      <c r="CN54" t="b">
        <f t="shared" si="43"/>
        <v>1</v>
      </c>
      <c r="CO54" t="str">
        <f t="shared" si="30"/>
        <v>R154</v>
      </c>
      <c r="CP54" t="str">
        <f t="shared" si="44"/>
        <v>R154</v>
      </c>
      <c r="CQ54" t="str">
        <f>AF53</f>
        <v>R5</v>
      </c>
      <c r="CR54" t="str">
        <f t="shared" si="31"/>
        <v>R5</v>
      </c>
      <c r="CS54" t="s">
        <v>987</v>
      </c>
      <c r="CT54" t="s">
        <v>987</v>
      </c>
      <c r="CU54" t="s">
        <v>987</v>
      </c>
      <c r="CV54" t="b">
        <f t="shared" si="45"/>
        <v>1</v>
      </c>
      <c r="DC54" t="str">
        <f t="shared" si="32"/>
        <v>G418</v>
      </c>
      <c r="DD54" t="b">
        <f t="shared" si="47"/>
        <v>1</v>
      </c>
      <c r="DE54" t="str">
        <f t="shared" si="48"/>
        <v/>
      </c>
      <c r="DF54" t="str">
        <f t="shared" si="33"/>
        <v>R5</v>
      </c>
      <c r="DG54" t="b">
        <f t="shared" si="49"/>
        <v>0</v>
      </c>
      <c r="DH54" t="str">
        <f t="shared" si="50"/>
        <v>R5</v>
      </c>
    </row>
    <row r="55" spans="2:112" ht="12" customHeight="1">
      <c r="B55" t="str">
        <f>TBIDry!H127</f>
        <v>G237</v>
      </c>
      <c r="C55" t="str">
        <f>TBIDry!I127</f>
        <v>R833</v>
      </c>
      <c r="D55" t="b">
        <f t="shared" si="1"/>
        <v>0</v>
      </c>
      <c r="E55" t="b">
        <f t="shared" si="2"/>
        <v>0</v>
      </c>
      <c r="G55" t="str">
        <f>TBIWet!H127</f>
        <v>G638</v>
      </c>
      <c r="H55" t="str">
        <f>TBIWet!I127</f>
        <v>R513</v>
      </c>
      <c r="I55" t="b">
        <f t="shared" si="3"/>
        <v>0</v>
      </c>
      <c r="J55" t="b">
        <f t="shared" si="34"/>
        <v>0</v>
      </c>
      <c r="L55" t="str">
        <f>'Both teabags AfterWet'!A53</f>
        <v>G408</v>
      </c>
      <c r="M55" t="str">
        <f>'Both teabags AfterWet'!A473</f>
        <v>R156</v>
      </c>
      <c r="N55" t="b">
        <f t="shared" si="4"/>
        <v>0</v>
      </c>
      <c r="O55" t="b">
        <f t="shared" si="51"/>
        <v>0</v>
      </c>
      <c r="Q55" s="395" t="b">
        <f t="shared" si="5"/>
        <v>0</v>
      </c>
      <c r="R55" s="395" t="b">
        <f t="shared" si="6"/>
        <v>0</v>
      </c>
      <c r="T55" t="str">
        <f>'Both teabags AfterDry'!A53</f>
        <v>G167</v>
      </c>
      <c r="U55" t="str">
        <f>'Both teabags AfterDry'!A388</f>
        <v>R240</v>
      </c>
      <c r="V55" t="b">
        <f t="shared" si="7"/>
        <v>0</v>
      </c>
      <c r="W55" t="b">
        <f t="shared" si="35"/>
        <v>0</v>
      </c>
      <c r="Y55" t="str">
        <f>'Green_rooibos initial weight'!A56</f>
        <v>G52</v>
      </c>
      <c r="Z55" t="str">
        <f>'Green_rooibos initial weight'!A960</f>
        <v>R52</v>
      </c>
      <c r="AA55" t="b">
        <f t="shared" si="8"/>
        <v>0</v>
      </c>
      <c r="AB55" t="b">
        <f t="shared" si="9"/>
        <v>0</v>
      </c>
      <c r="AE55" t="str">
        <f>'WetLitterbags placem_collection'!K54</f>
        <v>G638</v>
      </c>
      <c r="AF55" t="str">
        <f>'WetLitterbags placem_collection'!M54</f>
        <v>R513</v>
      </c>
      <c r="AG55" t="b">
        <f t="shared" si="10"/>
        <v>0</v>
      </c>
      <c r="AH55" t="b">
        <f t="shared" si="11"/>
        <v>0</v>
      </c>
      <c r="AJ55" t="b">
        <f t="shared" si="12"/>
        <v>0</v>
      </c>
      <c r="AK55" t="b">
        <f t="shared" si="13"/>
        <v>0</v>
      </c>
      <c r="AM55" t="str">
        <f>IF(ISBLANK('Dry_Litterbag Placem_Collection'!J54),"","G"&amp;""&amp;'Dry_Litterbag Placem_Collection'!J54)</f>
        <v>G237</v>
      </c>
      <c r="AN55" t="str">
        <f>IF(ISBLANK('Dry_Litterbag Placem_Collection'!K54),"","R"&amp;""&amp;'Dry_Litterbag Placem_Collection'!K54)</f>
        <v>R833</v>
      </c>
      <c r="AO55" t="b">
        <f t="shared" si="53"/>
        <v>0</v>
      </c>
      <c r="AP55" t="b">
        <f t="shared" si="15"/>
        <v>0</v>
      </c>
      <c r="AS55" t="str">
        <f>'Ashed teabags dry'!A53</f>
        <v>G167</v>
      </c>
      <c r="AT55" t="str">
        <f>'Ashed teabags dry'!A388</f>
        <v>R240</v>
      </c>
      <c r="AU55" t="b">
        <f t="shared" si="16"/>
        <v>0</v>
      </c>
      <c r="AV55" t="b">
        <f>COUNTIF($AT$4:$AT$2000, AT55)&gt;1</f>
        <v>0</v>
      </c>
      <c r="AX55" s="395" t="b">
        <f t="shared" si="17"/>
        <v>0</v>
      </c>
      <c r="AY55" s="395" t="b">
        <f t="shared" si="18"/>
        <v>0</v>
      </c>
      <c r="BA55" t="str">
        <f>'Ashed teabags wet'!A53</f>
        <v>G408</v>
      </c>
      <c r="BB55" t="str">
        <f>'Ashed teabags wet'!A473</f>
        <v>R156</v>
      </c>
      <c r="BC55" t="b">
        <f t="shared" si="19"/>
        <v>0</v>
      </c>
      <c r="BD55" t="b">
        <f t="shared" si="0"/>
        <v>0</v>
      </c>
      <c r="BF55" t="str">
        <f t="shared" si="20"/>
        <v>G166</v>
      </c>
      <c r="BG55" t="str">
        <f>T54</f>
        <v>G166</v>
      </c>
      <c r="BH55" t="str">
        <f t="shared" si="21"/>
        <v>G227</v>
      </c>
      <c r="BI55" t="str">
        <f t="shared" si="36"/>
        <v>G227</v>
      </c>
      <c r="BJ55" t="s">
        <v>1884</v>
      </c>
      <c r="BK55" t="s">
        <v>1884</v>
      </c>
      <c r="BL55" t="s">
        <v>1884</v>
      </c>
      <c r="BM55" t="b">
        <f t="shared" si="37"/>
        <v>1</v>
      </c>
      <c r="BN55" t="str">
        <f t="shared" si="22"/>
        <v>R239</v>
      </c>
      <c r="BO55" t="str">
        <f>U54</f>
        <v>R239</v>
      </c>
      <c r="BP55" t="str">
        <f t="shared" si="23"/>
        <v>R798</v>
      </c>
      <c r="BQ55" t="str">
        <f t="shared" si="24"/>
        <v>R798</v>
      </c>
      <c r="BR55" t="s">
        <v>902</v>
      </c>
      <c r="BS55" t="s">
        <v>902</v>
      </c>
      <c r="BT55" t="s">
        <v>902</v>
      </c>
      <c r="BU55" t="b">
        <f t="shared" si="38"/>
        <v>1</v>
      </c>
      <c r="BV55" s="400" t="s">
        <v>1740</v>
      </c>
      <c r="BW55" s="400" t="s">
        <v>392</v>
      </c>
      <c r="BZ55" t="str">
        <f t="shared" si="25"/>
        <v>G227</v>
      </c>
      <c r="CA55" t="b">
        <f t="shared" si="26"/>
        <v>0</v>
      </c>
      <c r="CB55" t="str">
        <f t="shared" si="39"/>
        <v>G227</v>
      </c>
      <c r="CC55" t="str">
        <f t="shared" si="27"/>
        <v>R798</v>
      </c>
      <c r="CD55" t="b">
        <f t="shared" si="40"/>
        <v>0</v>
      </c>
      <c r="CE55" t="str">
        <f t="shared" si="41"/>
        <v>R798</v>
      </c>
      <c r="CG55" t="str">
        <f t="shared" si="28"/>
        <v>G406</v>
      </c>
      <c r="CH55" t="str">
        <f t="shared" si="42"/>
        <v>G406</v>
      </c>
      <c r="CI55" t="str">
        <f>AE54</f>
        <v>G548</v>
      </c>
      <c r="CJ55" t="str">
        <f t="shared" si="29"/>
        <v>G548</v>
      </c>
      <c r="CK55" t="s">
        <v>1644</v>
      </c>
      <c r="CL55" t="s">
        <v>1644</v>
      </c>
      <c r="CM55" t="s">
        <v>1644</v>
      </c>
      <c r="CN55" t="b">
        <f t="shared" si="43"/>
        <v>1</v>
      </c>
      <c r="CO55" t="str">
        <f t="shared" si="30"/>
        <v>R155</v>
      </c>
      <c r="CP55" t="str">
        <f t="shared" si="44"/>
        <v>R155</v>
      </c>
      <c r="CQ55" t="str">
        <f>AF54</f>
        <v>R85</v>
      </c>
      <c r="CR55" t="str">
        <f t="shared" si="31"/>
        <v>R85</v>
      </c>
      <c r="CS55" t="s">
        <v>986</v>
      </c>
      <c r="CT55" t="s">
        <v>986</v>
      </c>
      <c r="CU55" t="s">
        <v>986</v>
      </c>
      <c r="CV55" t="b">
        <f t="shared" si="45"/>
        <v>1</v>
      </c>
      <c r="DC55" t="str">
        <f t="shared" si="32"/>
        <v>G548</v>
      </c>
      <c r="DD55" t="b">
        <f t="shared" si="47"/>
        <v>0</v>
      </c>
      <c r="DE55" t="str">
        <f t="shared" si="48"/>
        <v>G548</v>
      </c>
      <c r="DF55" t="str">
        <f t="shared" si="33"/>
        <v>R85</v>
      </c>
      <c r="DG55" t="b">
        <f t="shared" si="49"/>
        <v>0</v>
      </c>
      <c r="DH55" t="str">
        <f t="shared" si="50"/>
        <v>R85</v>
      </c>
    </row>
    <row r="56" spans="2:112" ht="12" customHeight="1">
      <c r="B56" t="str">
        <f>TBIDry!H128</f>
        <v>G172</v>
      </c>
      <c r="C56" t="str">
        <f>TBIDry!I128</f>
        <v>R734</v>
      </c>
      <c r="D56" t="b">
        <f t="shared" si="1"/>
        <v>0</v>
      </c>
      <c r="E56" t="b">
        <f t="shared" si="2"/>
        <v>0</v>
      </c>
      <c r="G56" t="str">
        <f>TBIWet!H128</f>
        <v>G426</v>
      </c>
      <c r="H56" t="str">
        <f>TBIWet!I128</f>
        <v>R399</v>
      </c>
      <c r="I56" t="b">
        <f t="shared" si="3"/>
        <v>0</v>
      </c>
      <c r="J56" t="b">
        <f t="shared" si="34"/>
        <v>0</v>
      </c>
      <c r="L56" t="str">
        <f>'Both teabags AfterWet'!A54</f>
        <v>G414</v>
      </c>
      <c r="M56" t="str">
        <f>'Both teabags AfterWet'!A474</f>
        <v>R157</v>
      </c>
      <c r="N56" t="b">
        <f t="shared" si="4"/>
        <v>0</v>
      </c>
      <c r="O56" t="b">
        <f t="shared" si="51"/>
        <v>0</v>
      </c>
      <c r="Q56" s="395" t="b">
        <f t="shared" si="5"/>
        <v>0</v>
      </c>
      <c r="R56" s="395" t="b">
        <f t="shared" si="6"/>
        <v>0</v>
      </c>
      <c r="T56" t="str">
        <f>'Both teabags AfterDry'!A54</f>
        <v>G168</v>
      </c>
      <c r="U56" t="str">
        <f>'Both teabags AfterDry'!A389</f>
        <v>R242</v>
      </c>
      <c r="V56" t="b">
        <f t="shared" si="7"/>
        <v>0</v>
      </c>
      <c r="W56" t="b">
        <f t="shared" si="35"/>
        <v>0</v>
      </c>
      <c r="Y56" t="str">
        <f>'Green_rooibos initial weight'!A57</f>
        <v>G53</v>
      </c>
      <c r="Z56" t="str">
        <f>'Green_rooibos initial weight'!A961</f>
        <v>R53</v>
      </c>
      <c r="AA56" t="b">
        <f t="shared" si="8"/>
        <v>0</v>
      </c>
      <c r="AB56" t="b">
        <f t="shared" si="9"/>
        <v>0</v>
      </c>
      <c r="AE56" t="str">
        <f>'WetLitterbags placem_collection'!K55</f>
        <v>G426</v>
      </c>
      <c r="AF56" t="str">
        <f>'WetLitterbags placem_collection'!M55</f>
        <v>R399</v>
      </c>
      <c r="AG56" t="b">
        <f t="shared" si="10"/>
        <v>0</v>
      </c>
      <c r="AH56" t="b">
        <f t="shared" si="11"/>
        <v>0</v>
      </c>
      <c r="AJ56" t="b">
        <f t="shared" si="12"/>
        <v>0</v>
      </c>
      <c r="AK56" t="b">
        <f t="shared" si="13"/>
        <v>0</v>
      </c>
      <c r="AM56" t="str">
        <f>IF(ISBLANK('Dry_Litterbag Placem_Collection'!J55),"","G"&amp;""&amp;'Dry_Litterbag Placem_Collection'!J55)</f>
        <v>G172</v>
      </c>
      <c r="AN56" t="str">
        <f>IF(ISBLANK('Dry_Litterbag Placem_Collection'!K55),"","R"&amp;""&amp;'Dry_Litterbag Placem_Collection'!K55)</f>
        <v>R734</v>
      </c>
      <c r="AO56" t="b">
        <f t="shared" si="53"/>
        <v>0</v>
      </c>
      <c r="AP56" t="b">
        <f t="shared" si="15"/>
        <v>0</v>
      </c>
      <c r="AS56" t="str">
        <f>'Ashed teabags dry'!A54</f>
        <v>G168</v>
      </c>
      <c r="AT56" t="str">
        <f>'Ashed teabags dry'!A389</f>
        <v>R242</v>
      </c>
      <c r="AU56" t="b">
        <f t="shared" si="16"/>
        <v>0</v>
      </c>
      <c r="AV56" t="b">
        <f>COUNTIF($AT$4:$AT$2000, AT56)&gt;1</f>
        <v>0</v>
      </c>
      <c r="AX56" s="395" t="b">
        <f t="shared" si="17"/>
        <v>0</v>
      </c>
      <c r="AY56" s="395" t="b">
        <f t="shared" si="18"/>
        <v>0</v>
      </c>
      <c r="BA56" t="str">
        <f>'Ashed teabags wet'!A54</f>
        <v>G414</v>
      </c>
      <c r="BB56" t="str">
        <f>'Ashed teabags wet'!A474</f>
        <v>R157</v>
      </c>
      <c r="BC56" t="b">
        <f t="shared" si="19"/>
        <v>0</v>
      </c>
      <c r="BD56" t="b">
        <f t="shared" si="0"/>
        <v>0</v>
      </c>
      <c r="BF56" t="str">
        <f t="shared" si="20"/>
        <v>G167</v>
      </c>
      <c r="BG56" t="str">
        <f>T55</f>
        <v>G167</v>
      </c>
      <c r="BH56" t="str">
        <f t="shared" si="21"/>
        <v>G237</v>
      </c>
      <c r="BI56" t="str">
        <f t="shared" si="36"/>
        <v>G237</v>
      </c>
      <c r="BJ56" t="s">
        <v>1883</v>
      </c>
      <c r="BK56" t="s">
        <v>1883</v>
      </c>
      <c r="BL56" t="s">
        <v>1883</v>
      </c>
      <c r="BM56" t="b">
        <f t="shared" si="37"/>
        <v>1</v>
      </c>
      <c r="BN56" t="str">
        <f t="shared" si="22"/>
        <v>R240</v>
      </c>
      <c r="BO56" t="str">
        <f>U55</f>
        <v>R240</v>
      </c>
      <c r="BP56" t="str">
        <f t="shared" si="23"/>
        <v>R833</v>
      </c>
      <c r="BQ56" t="str">
        <f t="shared" si="24"/>
        <v>R833</v>
      </c>
      <c r="BR56" t="s">
        <v>901</v>
      </c>
      <c r="BS56" t="s">
        <v>901</v>
      </c>
      <c r="BT56" t="s">
        <v>901</v>
      </c>
      <c r="BU56" t="b">
        <f t="shared" si="38"/>
        <v>1</v>
      </c>
      <c r="BV56" s="400" t="s">
        <v>1774</v>
      </c>
      <c r="BW56" s="400" t="s">
        <v>385</v>
      </c>
      <c r="BZ56" t="str">
        <f t="shared" si="25"/>
        <v>G237</v>
      </c>
      <c r="CA56" t="b">
        <f t="shared" si="26"/>
        <v>0</v>
      </c>
      <c r="CB56" t="str">
        <f t="shared" si="39"/>
        <v>G237</v>
      </c>
      <c r="CC56" t="str">
        <f t="shared" si="27"/>
        <v>R833</v>
      </c>
      <c r="CD56" t="b">
        <f t="shared" si="40"/>
        <v>0</v>
      </c>
      <c r="CE56" t="str">
        <f t="shared" si="41"/>
        <v>R833</v>
      </c>
      <c r="CG56" t="str">
        <f t="shared" si="28"/>
        <v>G408</v>
      </c>
      <c r="CH56" t="str">
        <f t="shared" si="42"/>
        <v>G408</v>
      </c>
      <c r="CI56" t="str">
        <f>AE55</f>
        <v>G638</v>
      </c>
      <c r="CJ56" t="str">
        <f t="shared" si="29"/>
        <v>G638</v>
      </c>
      <c r="CK56" t="s">
        <v>1642</v>
      </c>
      <c r="CL56" t="s">
        <v>1642</v>
      </c>
      <c r="CM56" t="s">
        <v>1642</v>
      </c>
      <c r="CN56" t="b">
        <f t="shared" si="43"/>
        <v>1</v>
      </c>
      <c r="CO56" t="str">
        <f t="shared" si="30"/>
        <v>R156</v>
      </c>
      <c r="CP56" t="str">
        <f t="shared" si="44"/>
        <v>R156</v>
      </c>
      <c r="CQ56" t="str">
        <f>AF55</f>
        <v>R513</v>
      </c>
      <c r="CR56" t="str">
        <f t="shared" si="31"/>
        <v>R513</v>
      </c>
      <c r="CS56" t="s">
        <v>985</v>
      </c>
      <c r="CT56" t="s">
        <v>985</v>
      </c>
      <c r="CU56" t="s">
        <v>985</v>
      </c>
      <c r="CV56" t="b">
        <f t="shared" si="45"/>
        <v>1</v>
      </c>
      <c r="DC56" t="str">
        <f t="shared" si="32"/>
        <v>G638</v>
      </c>
      <c r="DD56" t="b">
        <f t="shared" si="47"/>
        <v>0</v>
      </c>
      <c r="DE56" t="str">
        <f t="shared" si="48"/>
        <v>G638</v>
      </c>
      <c r="DF56" t="str">
        <f t="shared" si="33"/>
        <v>R513</v>
      </c>
      <c r="DG56" t="b">
        <f t="shared" si="49"/>
        <v>0</v>
      </c>
      <c r="DH56" t="str">
        <f t="shared" si="50"/>
        <v>R513</v>
      </c>
    </row>
    <row r="57" spans="2:112" ht="12" customHeight="1">
      <c r="B57" t="str">
        <f>TBIDry!H129</f>
        <v/>
      </c>
      <c r="C57" t="str">
        <f>TBIDry!I129</f>
        <v/>
      </c>
      <c r="D57" t="b">
        <f t="shared" si="1"/>
        <v>1</v>
      </c>
      <c r="E57" t="b">
        <f t="shared" si="2"/>
        <v>1</v>
      </c>
      <c r="G57" t="str">
        <f>TBIWet!H129</f>
        <v>G589</v>
      </c>
      <c r="H57" t="str">
        <f>TBIWet!I129</f>
        <v>R400</v>
      </c>
      <c r="I57" t="b">
        <f t="shared" si="3"/>
        <v>0</v>
      </c>
      <c r="J57" t="b">
        <f t="shared" si="34"/>
        <v>0</v>
      </c>
      <c r="L57" t="str">
        <f>'Both teabags AfterWet'!A55</f>
        <v>G416</v>
      </c>
      <c r="M57" t="str">
        <f>'Both teabags AfterWet'!A475</f>
        <v>R159</v>
      </c>
      <c r="N57" t="b">
        <f t="shared" si="4"/>
        <v>0</v>
      </c>
      <c r="O57" t="b">
        <f t="shared" si="51"/>
        <v>0</v>
      </c>
      <c r="Q57" s="395" t="b">
        <f t="shared" si="5"/>
        <v>0</v>
      </c>
      <c r="R57" s="395" t="b">
        <f t="shared" si="6"/>
        <v>0</v>
      </c>
      <c r="T57" t="str">
        <f>'Both teabags AfterDry'!A55</f>
        <v>G169</v>
      </c>
      <c r="U57" t="str">
        <f>'Both teabags AfterDry'!A390</f>
        <v>R243</v>
      </c>
      <c r="V57" t="b">
        <f t="shared" si="7"/>
        <v>0</v>
      </c>
      <c r="W57" t="b">
        <f t="shared" si="35"/>
        <v>0</v>
      </c>
      <c r="Y57" t="str">
        <f>'Green_rooibos initial weight'!A58</f>
        <v>G54</v>
      </c>
      <c r="Z57" t="str">
        <f>'Green_rooibos initial weight'!A962</f>
        <v>R54</v>
      </c>
      <c r="AA57" t="b">
        <f t="shared" si="8"/>
        <v>0</v>
      </c>
      <c r="AB57" t="b">
        <f t="shared" si="9"/>
        <v>0</v>
      </c>
      <c r="AE57" t="str">
        <f>'WetLitterbags placem_collection'!K56</f>
        <v>G589</v>
      </c>
      <c r="AF57" t="str">
        <f>'WetLitterbags placem_collection'!M56</f>
        <v>R400</v>
      </c>
      <c r="AG57" t="b">
        <f t="shared" si="10"/>
        <v>0</v>
      </c>
      <c r="AH57" t="b">
        <f t="shared" si="11"/>
        <v>0</v>
      </c>
      <c r="AJ57" t="b">
        <f t="shared" si="12"/>
        <v>0</v>
      </c>
      <c r="AK57" t="b">
        <f t="shared" si="13"/>
        <v>0</v>
      </c>
      <c r="AM57" t="str">
        <f>IF(ISBLANK('Dry_Litterbag Placem_Collection'!J56),"","G"&amp;""&amp;'Dry_Litterbag Placem_Collection'!J56)</f>
        <v/>
      </c>
      <c r="AN57" t="str">
        <f>IF(ISBLANK('Dry_Litterbag Placem_Collection'!K56),"","R"&amp;""&amp;'Dry_Litterbag Placem_Collection'!K56)</f>
        <v/>
      </c>
      <c r="AO57" t="b">
        <f t="shared" si="53"/>
        <v>1</v>
      </c>
      <c r="AP57" t="b">
        <f t="shared" si="15"/>
        <v>1</v>
      </c>
      <c r="AS57" t="str">
        <f>'Ashed teabags dry'!A55</f>
        <v>G169</v>
      </c>
      <c r="AT57" t="str">
        <f>'Ashed teabags dry'!A390</f>
        <v>R243</v>
      </c>
      <c r="AU57" t="b">
        <f t="shared" si="16"/>
        <v>0</v>
      </c>
      <c r="AV57" t="b">
        <f>COUNTIF($AT$4:$AT$2000, AT57)&gt;1</f>
        <v>0</v>
      </c>
      <c r="AX57" s="395" t="b">
        <f t="shared" si="17"/>
        <v>0</v>
      </c>
      <c r="AY57" s="395" t="b">
        <f t="shared" si="18"/>
        <v>0</v>
      </c>
      <c r="BA57" t="str">
        <f>'Ashed teabags wet'!A55</f>
        <v>G416</v>
      </c>
      <c r="BB57" t="str">
        <f>'Ashed teabags wet'!A475</f>
        <v>R159</v>
      </c>
      <c r="BC57" t="b">
        <f t="shared" si="19"/>
        <v>0</v>
      </c>
      <c r="BD57" t="b">
        <f t="shared" si="0"/>
        <v>0</v>
      </c>
      <c r="BF57" t="str">
        <f t="shared" si="20"/>
        <v>G168</v>
      </c>
      <c r="BG57" t="str">
        <f>T56</f>
        <v>G168</v>
      </c>
      <c r="BH57" t="str">
        <f t="shared" si="21"/>
        <v>G172</v>
      </c>
      <c r="BI57" t="str">
        <f t="shared" si="36"/>
        <v>G172</v>
      </c>
      <c r="BJ57" t="s">
        <v>1882</v>
      </c>
      <c r="BK57" t="s">
        <v>1882</v>
      </c>
      <c r="BL57" t="s">
        <v>1882</v>
      </c>
      <c r="BM57" t="b">
        <f t="shared" si="37"/>
        <v>1</v>
      </c>
      <c r="BN57" t="str">
        <f t="shared" si="22"/>
        <v>R242</v>
      </c>
      <c r="BO57" t="str">
        <f>U56</f>
        <v>R242</v>
      </c>
      <c r="BP57" t="str">
        <f t="shared" si="23"/>
        <v>R734</v>
      </c>
      <c r="BQ57" t="str">
        <f t="shared" si="24"/>
        <v>R734</v>
      </c>
      <c r="BR57" t="s">
        <v>899</v>
      </c>
      <c r="BS57" t="s">
        <v>899</v>
      </c>
      <c r="BT57" t="s">
        <v>899</v>
      </c>
      <c r="BU57" t="b">
        <f t="shared" si="38"/>
        <v>1</v>
      </c>
      <c r="BV57" s="400" t="s">
        <v>1408</v>
      </c>
      <c r="BW57" s="400" t="s">
        <v>786</v>
      </c>
      <c r="BZ57" t="str">
        <f t="shared" si="25"/>
        <v>G172</v>
      </c>
      <c r="CA57" t="b">
        <f t="shared" si="26"/>
        <v>0</v>
      </c>
      <c r="CB57" t="str">
        <f t="shared" si="39"/>
        <v>G172</v>
      </c>
      <c r="CC57" t="str">
        <f t="shared" si="27"/>
        <v>R734</v>
      </c>
      <c r="CD57" t="b">
        <f t="shared" si="40"/>
        <v>0</v>
      </c>
      <c r="CE57" t="str">
        <f t="shared" si="41"/>
        <v>R734</v>
      </c>
      <c r="CG57" t="str">
        <f t="shared" si="28"/>
        <v>G414</v>
      </c>
      <c r="CH57" t="str">
        <f t="shared" si="42"/>
        <v>G414</v>
      </c>
      <c r="CI57" t="str">
        <f>AE56</f>
        <v>G426</v>
      </c>
      <c r="CJ57" t="str">
        <f t="shared" si="29"/>
        <v/>
      </c>
      <c r="CK57" t="s">
        <v>1636</v>
      </c>
      <c r="CL57" t="s">
        <v>1636</v>
      </c>
      <c r="CM57" t="s">
        <v>1636</v>
      </c>
      <c r="CN57" t="b">
        <f t="shared" si="43"/>
        <v>1</v>
      </c>
      <c r="CO57" t="str">
        <f t="shared" si="30"/>
        <v>R157</v>
      </c>
      <c r="CP57" t="str">
        <f t="shared" si="44"/>
        <v>R157</v>
      </c>
      <c r="CQ57" t="str">
        <f>AF56</f>
        <v>R399</v>
      </c>
      <c r="CR57" t="str">
        <f t="shared" si="31"/>
        <v/>
      </c>
      <c r="CS57" t="s">
        <v>984</v>
      </c>
      <c r="CT57" t="s">
        <v>984</v>
      </c>
      <c r="CU57" t="s">
        <v>984</v>
      </c>
      <c r="CV57" t="b">
        <f t="shared" si="45"/>
        <v>1</v>
      </c>
      <c r="DC57" t="str">
        <f t="shared" si="32"/>
        <v>G426</v>
      </c>
      <c r="DD57" t="b">
        <f t="shared" si="47"/>
        <v>1</v>
      </c>
      <c r="DE57" t="str">
        <f t="shared" si="48"/>
        <v/>
      </c>
      <c r="DF57" t="str">
        <f t="shared" si="33"/>
        <v>R399</v>
      </c>
      <c r="DG57" t="b">
        <f t="shared" si="49"/>
        <v>1</v>
      </c>
      <c r="DH57" t="str">
        <f t="shared" si="50"/>
        <v/>
      </c>
    </row>
    <row r="58" spans="2:112" ht="12" customHeight="1">
      <c r="B58" t="str">
        <f>TBIDry!H130</f>
        <v>G86</v>
      </c>
      <c r="C58" t="str">
        <f>TBIDry!I130</f>
        <v>R839</v>
      </c>
      <c r="D58" t="b">
        <f t="shared" si="1"/>
        <v>0</v>
      </c>
      <c r="E58" t="b">
        <f t="shared" si="2"/>
        <v>0</v>
      </c>
      <c r="G58" t="str">
        <f>TBIWet!H130</f>
        <v>G622</v>
      </c>
      <c r="H58" t="str">
        <f>TBIWet!I130</f>
        <v>R19</v>
      </c>
      <c r="I58" t="b">
        <f t="shared" si="3"/>
        <v>0</v>
      </c>
      <c r="J58" t="b">
        <f t="shared" si="34"/>
        <v>0</v>
      </c>
      <c r="L58" t="str">
        <f>'Both teabags AfterWet'!A56</f>
        <v>G417</v>
      </c>
      <c r="M58" t="str">
        <f>'Both teabags AfterWet'!A476</f>
        <v>R16</v>
      </c>
      <c r="N58" t="b">
        <f t="shared" si="4"/>
        <v>0</v>
      </c>
      <c r="O58" t="b">
        <f t="shared" si="51"/>
        <v>0</v>
      </c>
      <c r="Q58" s="395" t="b">
        <f t="shared" si="5"/>
        <v>0</v>
      </c>
      <c r="R58" s="395" t="b">
        <f t="shared" si="6"/>
        <v>0</v>
      </c>
      <c r="T58" t="str">
        <f>'Both teabags AfterDry'!A56</f>
        <v>G17</v>
      </c>
      <c r="U58" t="str">
        <f>'Both teabags AfterDry'!A391</f>
        <v>R245</v>
      </c>
      <c r="V58" t="b">
        <f t="shared" si="7"/>
        <v>0</v>
      </c>
      <c r="W58" t="b">
        <f t="shared" si="35"/>
        <v>0</v>
      </c>
      <c r="Y58" t="str">
        <f>'Green_rooibos initial weight'!A59</f>
        <v>G55</v>
      </c>
      <c r="Z58" t="str">
        <f>'Green_rooibos initial weight'!A963</f>
        <v>R55</v>
      </c>
      <c r="AA58" t="b">
        <f t="shared" si="8"/>
        <v>0</v>
      </c>
      <c r="AB58" t="b">
        <f t="shared" si="9"/>
        <v>0</v>
      </c>
      <c r="AE58" t="str">
        <f>'WetLitterbags placem_collection'!K57</f>
        <v>G622</v>
      </c>
      <c r="AF58" t="str">
        <f>'WetLitterbags placem_collection'!M57</f>
        <v>R19</v>
      </c>
      <c r="AG58" t="b">
        <f t="shared" si="10"/>
        <v>0</v>
      </c>
      <c r="AH58" t="b">
        <f t="shared" si="11"/>
        <v>0</v>
      </c>
      <c r="AJ58" t="b">
        <f t="shared" si="12"/>
        <v>0</v>
      </c>
      <c r="AK58" t="b">
        <f t="shared" si="13"/>
        <v>0</v>
      </c>
      <c r="AM58" t="str">
        <f>IF(ISBLANK('Dry_Litterbag Placem_Collection'!J57),"","G"&amp;""&amp;'Dry_Litterbag Placem_Collection'!J57)</f>
        <v>G86</v>
      </c>
      <c r="AN58" t="str">
        <f>IF(ISBLANK('Dry_Litterbag Placem_Collection'!K57),"","R"&amp;""&amp;'Dry_Litterbag Placem_Collection'!K57)</f>
        <v>R839</v>
      </c>
      <c r="AO58" t="b">
        <f t="shared" si="53"/>
        <v>0</v>
      </c>
      <c r="AP58" t="b">
        <f t="shared" si="15"/>
        <v>0</v>
      </c>
      <c r="AS58" t="str">
        <f>'Ashed teabags dry'!A56</f>
        <v>G17</v>
      </c>
      <c r="AT58" t="str">
        <f>'Ashed teabags dry'!A391</f>
        <v>R245</v>
      </c>
      <c r="AU58" t="b">
        <f t="shared" si="16"/>
        <v>0</v>
      </c>
      <c r="AV58" t="b">
        <f>COUNTIF($AT$4:$AT$2000, AT58)&gt;1</f>
        <v>0</v>
      </c>
      <c r="AX58" s="395" t="b">
        <f t="shared" si="17"/>
        <v>0</v>
      </c>
      <c r="AY58" s="395" t="b">
        <f t="shared" si="18"/>
        <v>0</v>
      </c>
      <c r="BA58" t="str">
        <f>'Ashed teabags wet'!A56</f>
        <v>G417</v>
      </c>
      <c r="BB58" t="str">
        <f>'Ashed teabags wet'!A476</f>
        <v>R16</v>
      </c>
      <c r="BC58" t="b">
        <f t="shared" si="19"/>
        <v>0</v>
      </c>
      <c r="BD58" t="b">
        <f t="shared" si="0"/>
        <v>0</v>
      </c>
      <c r="BF58" t="str">
        <f t="shared" si="20"/>
        <v>G169</v>
      </c>
      <c r="BG58" t="str">
        <f>T57</f>
        <v>G169</v>
      </c>
      <c r="BH58" t="str">
        <f t="shared" si="21"/>
        <v/>
      </c>
      <c r="BI58" t="str">
        <f t="shared" si="36"/>
        <v/>
      </c>
      <c r="BJ58" t="s">
        <v>1881</v>
      </c>
      <c r="BK58" t="s">
        <v>1881</v>
      </c>
      <c r="BL58" t="s">
        <v>1881</v>
      </c>
      <c r="BM58" t="b">
        <f t="shared" si="37"/>
        <v>1</v>
      </c>
      <c r="BN58" t="str">
        <f t="shared" si="22"/>
        <v>R243</v>
      </c>
      <c r="BO58" t="str">
        <f>U57</f>
        <v>R243</v>
      </c>
      <c r="BP58" t="str">
        <f t="shared" si="23"/>
        <v/>
      </c>
      <c r="BQ58" t="str">
        <f t="shared" si="24"/>
        <v/>
      </c>
      <c r="BR58" t="s">
        <v>898</v>
      </c>
      <c r="BS58" t="s">
        <v>898</v>
      </c>
      <c r="BT58" t="s">
        <v>898</v>
      </c>
      <c r="BU58" t="b">
        <f t="shared" si="38"/>
        <v>1</v>
      </c>
      <c r="BV58" s="400" t="s">
        <v>1838</v>
      </c>
      <c r="BW58" s="400" t="s">
        <v>495</v>
      </c>
      <c r="BZ58" t="str">
        <f t="shared" si="25"/>
        <v/>
      </c>
      <c r="CA58" t="b">
        <f t="shared" si="26"/>
        <v>0</v>
      </c>
      <c r="CB58" t="str">
        <f t="shared" si="39"/>
        <v/>
      </c>
      <c r="CC58" t="str">
        <f t="shared" si="27"/>
        <v/>
      </c>
      <c r="CD58" t="b">
        <f t="shared" si="40"/>
        <v>0</v>
      </c>
      <c r="CE58" t="str">
        <f t="shared" si="41"/>
        <v/>
      </c>
      <c r="CG58" t="str">
        <f t="shared" si="28"/>
        <v>G416</v>
      </c>
      <c r="CH58" t="str">
        <f t="shared" si="42"/>
        <v>G416</v>
      </c>
      <c r="CI58" t="str">
        <f>AE57</f>
        <v>G589</v>
      </c>
      <c r="CJ58" t="str">
        <f t="shared" si="29"/>
        <v/>
      </c>
      <c r="CK58" t="s">
        <v>1634</v>
      </c>
      <c r="CL58" t="s">
        <v>1634</v>
      </c>
      <c r="CM58" t="s">
        <v>1634</v>
      </c>
      <c r="CN58" t="b">
        <f t="shared" si="43"/>
        <v>1</v>
      </c>
      <c r="CO58" t="str">
        <f t="shared" si="30"/>
        <v>R159</v>
      </c>
      <c r="CP58" t="str">
        <f t="shared" si="44"/>
        <v>R159</v>
      </c>
      <c r="CQ58" t="str">
        <f>AF57</f>
        <v>R400</v>
      </c>
      <c r="CR58" t="str">
        <f t="shared" si="31"/>
        <v/>
      </c>
      <c r="CS58" t="s">
        <v>982</v>
      </c>
      <c r="CT58" t="s">
        <v>982</v>
      </c>
      <c r="CU58" t="s">
        <v>982</v>
      </c>
      <c r="CV58" t="b">
        <f t="shared" si="45"/>
        <v>1</v>
      </c>
      <c r="DC58" t="str">
        <f t="shared" si="32"/>
        <v>G589</v>
      </c>
      <c r="DD58" t="b">
        <f t="shared" si="47"/>
        <v>1</v>
      </c>
      <c r="DE58" t="str">
        <f t="shared" si="48"/>
        <v/>
      </c>
      <c r="DF58" t="str">
        <f t="shared" si="33"/>
        <v>R400</v>
      </c>
      <c r="DG58" t="b">
        <f t="shared" si="49"/>
        <v>1</v>
      </c>
      <c r="DH58" t="str">
        <f t="shared" si="50"/>
        <v/>
      </c>
    </row>
    <row r="59" spans="2:112" ht="12" customHeight="1">
      <c r="B59" t="str">
        <f>TBIDry!H131</f>
        <v>G107</v>
      </c>
      <c r="C59" t="str">
        <f>TBIDry!I131</f>
        <v>R760</v>
      </c>
      <c r="D59" t="b">
        <f t="shared" si="1"/>
        <v>0</v>
      </c>
      <c r="E59" t="b">
        <f t="shared" si="2"/>
        <v>0</v>
      </c>
      <c r="G59" t="str">
        <f>TBIWet!H131</f>
        <v>G538</v>
      </c>
      <c r="H59" t="str">
        <f>TBIWet!I131</f>
        <v>R60</v>
      </c>
      <c r="I59" t="b">
        <f t="shared" si="3"/>
        <v>0</v>
      </c>
      <c r="J59" t="b">
        <f t="shared" si="34"/>
        <v>0</v>
      </c>
      <c r="L59" t="str">
        <f>'Both teabags AfterWet'!A57</f>
        <v>G419</v>
      </c>
      <c r="M59" t="str">
        <f>'Both teabags AfterWet'!A477</f>
        <v>R161</v>
      </c>
      <c r="N59" t="b">
        <f t="shared" si="4"/>
        <v>0</v>
      </c>
      <c r="O59" t="b">
        <f t="shared" si="51"/>
        <v>0</v>
      </c>
      <c r="Q59" s="395" t="b">
        <f t="shared" si="5"/>
        <v>0</v>
      </c>
      <c r="R59" s="395" t="b">
        <f t="shared" si="6"/>
        <v>0</v>
      </c>
      <c r="T59" t="str">
        <f>'Both teabags AfterDry'!A57</f>
        <v>G170</v>
      </c>
      <c r="U59" t="str">
        <f>'Both teabags AfterDry'!A392</f>
        <v>R246</v>
      </c>
      <c r="V59" t="b">
        <f t="shared" si="7"/>
        <v>0</v>
      </c>
      <c r="W59" t="b">
        <f t="shared" si="35"/>
        <v>0</v>
      </c>
      <c r="Y59" t="str">
        <f>'Green_rooibos initial weight'!A60</f>
        <v>G56</v>
      </c>
      <c r="Z59" t="str">
        <f>'Green_rooibos initial weight'!A964</f>
        <v>R56</v>
      </c>
      <c r="AA59" t="b">
        <f t="shared" si="8"/>
        <v>0</v>
      </c>
      <c r="AB59" t="b">
        <f t="shared" si="9"/>
        <v>0</v>
      </c>
      <c r="AE59" t="str">
        <f>'WetLitterbags placem_collection'!K58</f>
        <v>G538</v>
      </c>
      <c r="AF59" t="str">
        <f>'WetLitterbags placem_collection'!M58</f>
        <v>R60</v>
      </c>
      <c r="AG59" t="b">
        <f t="shared" si="10"/>
        <v>0</v>
      </c>
      <c r="AH59" t="b">
        <f t="shared" si="11"/>
        <v>0</v>
      </c>
      <c r="AJ59" t="b">
        <f t="shared" si="12"/>
        <v>0</v>
      </c>
      <c r="AK59" t="b">
        <f t="shared" si="13"/>
        <v>0</v>
      </c>
      <c r="AM59" t="str">
        <f>IF(ISBLANK('Dry_Litterbag Placem_Collection'!J58),"","G"&amp;""&amp;'Dry_Litterbag Placem_Collection'!J58)</f>
        <v>G107</v>
      </c>
      <c r="AN59" t="str">
        <f>IF(ISBLANK('Dry_Litterbag Placem_Collection'!K58),"","R"&amp;""&amp;'Dry_Litterbag Placem_Collection'!K58)</f>
        <v>R760</v>
      </c>
      <c r="AO59" t="b">
        <f t="shared" si="53"/>
        <v>0</v>
      </c>
      <c r="AP59" t="b">
        <f t="shared" si="15"/>
        <v>0</v>
      </c>
      <c r="AS59" t="str">
        <f>'Ashed teabags dry'!A57</f>
        <v>G170</v>
      </c>
      <c r="AT59" t="str">
        <f>'Ashed teabags dry'!A392</f>
        <v>R246</v>
      </c>
      <c r="AU59" t="b">
        <f t="shared" si="16"/>
        <v>0</v>
      </c>
      <c r="AV59" t="b">
        <f>COUNTIF($AT$4:$AT$2000, AT59)&gt;1</f>
        <v>0</v>
      </c>
      <c r="AX59" s="395" t="b">
        <f t="shared" si="17"/>
        <v>0</v>
      </c>
      <c r="AY59" s="395" t="b">
        <f t="shared" si="18"/>
        <v>0</v>
      </c>
      <c r="BA59" t="str">
        <f>'Ashed teabags wet'!A57</f>
        <v>G419</v>
      </c>
      <c r="BB59" t="str">
        <f>'Ashed teabags wet'!A477</f>
        <v>R161</v>
      </c>
      <c r="BC59" t="b">
        <f t="shared" si="19"/>
        <v>0</v>
      </c>
      <c r="BD59" t="b">
        <f t="shared" si="0"/>
        <v>0</v>
      </c>
      <c r="BF59" t="str">
        <f t="shared" si="20"/>
        <v>G17</v>
      </c>
      <c r="BG59" t="str">
        <f>T58</f>
        <v>G17</v>
      </c>
      <c r="BH59" t="str">
        <f t="shared" si="21"/>
        <v>G86</v>
      </c>
      <c r="BI59" t="str">
        <f t="shared" si="36"/>
        <v>G86</v>
      </c>
      <c r="BJ59" t="s">
        <v>2033</v>
      </c>
      <c r="BK59" t="s">
        <v>2033</v>
      </c>
      <c r="BL59" t="s">
        <v>2033</v>
      </c>
      <c r="BM59" t="b">
        <f t="shared" si="37"/>
        <v>1</v>
      </c>
      <c r="BN59" t="str">
        <f t="shared" si="22"/>
        <v>R245</v>
      </c>
      <c r="BO59" t="str">
        <f>U58</f>
        <v>R245</v>
      </c>
      <c r="BP59" t="str">
        <f t="shared" si="23"/>
        <v>R839</v>
      </c>
      <c r="BQ59" t="str">
        <f t="shared" si="24"/>
        <v>R839</v>
      </c>
      <c r="BR59" t="s">
        <v>896</v>
      </c>
      <c r="BS59" t="s">
        <v>896</v>
      </c>
      <c r="BT59" t="s">
        <v>896</v>
      </c>
      <c r="BU59" t="b">
        <f t="shared" si="38"/>
        <v>1</v>
      </c>
      <c r="BV59" s="400" t="s">
        <v>1928</v>
      </c>
      <c r="BW59" s="400" t="s">
        <v>415</v>
      </c>
      <c r="BZ59" t="str">
        <f t="shared" si="25"/>
        <v>G86</v>
      </c>
      <c r="CA59" t="b">
        <f t="shared" si="26"/>
        <v>0</v>
      </c>
      <c r="CB59" t="str">
        <f t="shared" si="39"/>
        <v>G86</v>
      </c>
      <c r="CC59" t="str">
        <f t="shared" si="27"/>
        <v>R839</v>
      </c>
      <c r="CD59" t="b">
        <f t="shared" si="40"/>
        <v>0</v>
      </c>
      <c r="CE59" t="str">
        <f t="shared" si="41"/>
        <v>R839</v>
      </c>
      <c r="CG59" t="str">
        <f t="shared" si="28"/>
        <v>G417</v>
      </c>
      <c r="CH59" t="str">
        <f t="shared" si="42"/>
        <v>G417</v>
      </c>
      <c r="CI59" t="str">
        <f>AE58</f>
        <v>G622</v>
      </c>
      <c r="CJ59" t="str">
        <f t="shared" si="29"/>
        <v/>
      </c>
      <c r="CK59" t="s">
        <v>1633</v>
      </c>
      <c r="CL59" t="s">
        <v>1633</v>
      </c>
      <c r="CM59" t="s">
        <v>1633</v>
      </c>
      <c r="CN59" t="b">
        <f t="shared" si="43"/>
        <v>1</v>
      </c>
      <c r="CO59" t="str">
        <f t="shared" si="30"/>
        <v>R16</v>
      </c>
      <c r="CP59" t="str">
        <f t="shared" si="44"/>
        <v>R16</v>
      </c>
      <c r="CQ59" t="str">
        <f>AF58</f>
        <v>R19</v>
      </c>
      <c r="CR59" t="str">
        <f t="shared" si="31"/>
        <v>R19</v>
      </c>
      <c r="CS59" t="s">
        <v>1125</v>
      </c>
      <c r="CT59" t="s">
        <v>1125</v>
      </c>
      <c r="CU59" t="s">
        <v>1125</v>
      </c>
      <c r="CV59" t="b">
        <f t="shared" si="45"/>
        <v>1</v>
      </c>
      <c r="DC59" t="str">
        <f t="shared" si="32"/>
        <v>G622</v>
      </c>
      <c r="DD59" t="b">
        <f t="shared" si="47"/>
        <v>1</v>
      </c>
      <c r="DE59" t="str">
        <f t="shared" si="48"/>
        <v/>
      </c>
      <c r="DF59" t="str">
        <f t="shared" si="33"/>
        <v>R19</v>
      </c>
      <c r="DG59" t="b">
        <f t="shared" si="49"/>
        <v>0</v>
      </c>
      <c r="DH59" t="str">
        <f t="shared" si="50"/>
        <v>R19</v>
      </c>
    </row>
    <row r="60" spans="2:112" ht="12" customHeight="1">
      <c r="B60" t="str">
        <f>TBIDry!H132</f>
        <v>G41</v>
      </c>
      <c r="C60" t="str">
        <f>TBIDry!I132</f>
        <v>R830</v>
      </c>
      <c r="D60" t="b">
        <f t="shared" si="1"/>
        <v>0</v>
      </c>
      <c r="E60" t="b">
        <f t="shared" si="2"/>
        <v>0</v>
      </c>
      <c r="G60" t="str">
        <f>TBIWet!H132</f>
        <v>G546</v>
      </c>
      <c r="H60" t="str">
        <f>TBIWet!I132</f>
        <v>R161</v>
      </c>
      <c r="I60" s="113" t="b">
        <f t="shared" si="3"/>
        <v>0</v>
      </c>
      <c r="J60" t="b">
        <f t="shared" si="34"/>
        <v>0</v>
      </c>
      <c r="L60" t="str">
        <f>'Both teabags AfterWet'!A58</f>
        <v>G420</v>
      </c>
      <c r="M60" t="str">
        <f>'Both teabags AfterWet'!A478</f>
        <v>R164</v>
      </c>
      <c r="N60" t="b">
        <f t="shared" si="4"/>
        <v>0</v>
      </c>
      <c r="O60" t="b">
        <f t="shared" si="51"/>
        <v>0</v>
      </c>
      <c r="Q60" s="395" t="b">
        <f t="shared" si="5"/>
        <v>0</v>
      </c>
      <c r="R60" s="395" t="b">
        <f t="shared" si="6"/>
        <v>0</v>
      </c>
      <c r="T60" t="str">
        <f>'Both teabags AfterDry'!A58</f>
        <v>G171</v>
      </c>
      <c r="U60" t="str">
        <f>'Both teabags AfterDry'!A393</f>
        <v>R247</v>
      </c>
      <c r="V60" t="b">
        <f t="shared" si="7"/>
        <v>0</v>
      </c>
      <c r="W60" t="b">
        <f t="shared" si="35"/>
        <v>0</v>
      </c>
      <c r="Y60" t="str">
        <f>'Green_rooibos initial weight'!A61</f>
        <v>G57</v>
      </c>
      <c r="Z60" t="str">
        <f>'Green_rooibos initial weight'!A965</f>
        <v>R57</v>
      </c>
      <c r="AA60" t="b">
        <f t="shared" si="8"/>
        <v>0</v>
      </c>
      <c r="AB60" t="b">
        <f t="shared" si="9"/>
        <v>0</v>
      </c>
      <c r="AE60" t="str">
        <f>'WetLitterbags placem_collection'!K59</f>
        <v>G546</v>
      </c>
      <c r="AF60" t="str">
        <f>'WetLitterbags placem_collection'!M59</f>
        <v>R161</v>
      </c>
      <c r="AG60" s="113" t="b">
        <f t="shared" si="10"/>
        <v>0</v>
      </c>
      <c r="AH60" t="b">
        <f t="shared" si="11"/>
        <v>0</v>
      </c>
      <c r="AJ60" t="b">
        <f t="shared" si="12"/>
        <v>0</v>
      </c>
      <c r="AK60" t="b">
        <f t="shared" si="13"/>
        <v>0</v>
      </c>
      <c r="AM60" t="str">
        <f>IF(ISBLANK('Dry_Litterbag Placem_Collection'!J59),"","G"&amp;""&amp;'Dry_Litterbag Placem_Collection'!J59)</f>
        <v>G41</v>
      </c>
      <c r="AN60" t="str">
        <f>IF(ISBLANK('Dry_Litterbag Placem_Collection'!K59),"","R"&amp;""&amp;'Dry_Litterbag Placem_Collection'!K59)</f>
        <v>R830</v>
      </c>
      <c r="AO60" t="b">
        <f t="shared" si="53"/>
        <v>0</v>
      </c>
      <c r="AP60" t="b">
        <f t="shared" si="15"/>
        <v>0</v>
      </c>
      <c r="AS60" t="str">
        <f>'Ashed teabags dry'!A58</f>
        <v>G171</v>
      </c>
      <c r="AT60" t="str">
        <f>'Ashed teabags dry'!A393</f>
        <v>R247</v>
      </c>
      <c r="AU60" t="b">
        <f t="shared" si="16"/>
        <v>0</v>
      </c>
      <c r="AV60" t="b">
        <f>COUNTIF($AT$4:$AT$2000, AT60)&gt;1</f>
        <v>0</v>
      </c>
      <c r="AX60" s="395" t="b">
        <f t="shared" si="17"/>
        <v>0</v>
      </c>
      <c r="AY60" s="395" t="b">
        <f t="shared" si="18"/>
        <v>0</v>
      </c>
      <c r="BA60" t="str">
        <f>'Ashed teabags wet'!A58</f>
        <v>G420</v>
      </c>
      <c r="BB60" t="str">
        <f>'Ashed teabags wet'!A478</f>
        <v>R164</v>
      </c>
      <c r="BC60" t="b">
        <f t="shared" si="19"/>
        <v>0</v>
      </c>
      <c r="BD60" t="b">
        <f t="shared" si="0"/>
        <v>0</v>
      </c>
      <c r="BF60" t="str">
        <f t="shared" si="20"/>
        <v>G170</v>
      </c>
      <c r="BG60" t="str">
        <f>T59</f>
        <v>G170</v>
      </c>
      <c r="BH60" t="str">
        <f t="shared" si="21"/>
        <v>G107</v>
      </c>
      <c r="BI60" t="str">
        <f t="shared" si="36"/>
        <v>G107</v>
      </c>
      <c r="BJ60" t="s">
        <v>1880</v>
      </c>
      <c r="BK60" t="s">
        <v>1880</v>
      </c>
      <c r="BL60" t="s">
        <v>1880</v>
      </c>
      <c r="BM60" t="b">
        <f t="shared" si="37"/>
        <v>1</v>
      </c>
      <c r="BN60" t="str">
        <f t="shared" si="22"/>
        <v>R246</v>
      </c>
      <c r="BO60" t="str">
        <f>U59</f>
        <v>R246</v>
      </c>
      <c r="BP60" t="str">
        <f t="shared" si="23"/>
        <v>R760</v>
      </c>
      <c r="BQ60" t="str">
        <f t="shared" si="24"/>
        <v>R760</v>
      </c>
      <c r="BR60" t="s">
        <v>895</v>
      </c>
      <c r="BS60" t="s">
        <v>895</v>
      </c>
      <c r="BT60" t="s">
        <v>895</v>
      </c>
      <c r="BU60" t="b">
        <f t="shared" si="38"/>
        <v>1</v>
      </c>
      <c r="BV60" s="400" t="s">
        <v>1316</v>
      </c>
      <c r="BW60" s="400" t="s">
        <v>915</v>
      </c>
      <c r="BZ60" t="str">
        <f t="shared" si="25"/>
        <v>G107</v>
      </c>
      <c r="CA60" t="b">
        <f t="shared" si="26"/>
        <v>0</v>
      </c>
      <c r="CB60" t="str">
        <f t="shared" si="39"/>
        <v>G107</v>
      </c>
      <c r="CC60" t="str">
        <f t="shared" si="27"/>
        <v>R760</v>
      </c>
      <c r="CD60" t="b">
        <f t="shared" si="40"/>
        <v>0</v>
      </c>
      <c r="CE60" t="str">
        <f t="shared" si="41"/>
        <v>R760</v>
      </c>
      <c r="CG60" t="str">
        <f t="shared" si="28"/>
        <v>G419</v>
      </c>
      <c r="CH60" t="str">
        <f t="shared" si="42"/>
        <v>G419</v>
      </c>
      <c r="CI60" t="str">
        <f>AE59</f>
        <v>G538</v>
      </c>
      <c r="CJ60" t="str">
        <f t="shared" si="29"/>
        <v>G538</v>
      </c>
      <c r="CK60" t="s">
        <v>1631</v>
      </c>
      <c r="CL60" t="s">
        <v>1631</v>
      </c>
      <c r="CM60" t="s">
        <v>1631</v>
      </c>
      <c r="CN60" t="b">
        <f t="shared" si="43"/>
        <v>1</v>
      </c>
      <c r="CO60" t="str">
        <f t="shared" si="30"/>
        <v>R161</v>
      </c>
      <c r="CP60" t="str">
        <f t="shared" si="44"/>
        <v>R161</v>
      </c>
      <c r="CQ60" t="str">
        <f>AF59</f>
        <v>R60</v>
      </c>
      <c r="CR60" t="str">
        <f t="shared" si="31"/>
        <v>R60</v>
      </c>
      <c r="CS60" t="s">
        <v>980</v>
      </c>
      <c r="CT60" t="s">
        <v>980</v>
      </c>
      <c r="CU60" t="s">
        <v>980</v>
      </c>
      <c r="CV60" t="b">
        <f t="shared" si="45"/>
        <v>1</v>
      </c>
      <c r="DC60" t="str">
        <f t="shared" si="32"/>
        <v>G538</v>
      </c>
      <c r="DD60" t="b">
        <f t="shared" si="47"/>
        <v>0</v>
      </c>
      <c r="DE60" t="str">
        <f t="shared" si="48"/>
        <v>G538</v>
      </c>
      <c r="DF60" t="str">
        <f t="shared" si="33"/>
        <v>R60</v>
      </c>
      <c r="DG60" t="b">
        <f t="shared" si="49"/>
        <v>0</v>
      </c>
      <c r="DH60" t="str">
        <f t="shared" si="50"/>
        <v>R60</v>
      </c>
    </row>
    <row r="61" spans="2:112" ht="12" customHeight="1">
      <c r="B61" t="str">
        <f>TBIDry!H133</f>
        <v>G481</v>
      </c>
      <c r="C61" t="str">
        <f>TBIDry!I133</f>
        <v>R725</v>
      </c>
      <c r="D61" t="b">
        <f t="shared" si="1"/>
        <v>0</v>
      </c>
      <c r="E61" t="b">
        <f t="shared" si="2"/>
        <v>0</v>
      </c>
      <c r="G61" t="str">
        <f>TBIWet!H133</f>
        <v>G513</v>
      </c>
      <c r="H61" t="str">
        <f>TBIWet!I133</f>
        <v>R48</v>
      </c>
      <c r="I61" t="b">
        <f t="shared" si="3"/>
        <v>0</v>
      </c>
      <c r="J61" t="b">
        <f t="shared" si="34"/>
        <v>0</v>
      </c>
      <c r="L61" t="str">
        <f>'Both teabags AfterWet'!A59</f>
        <v>G421</v>
      </c>
      <c r="M61" t="str">
        <f>'Both teabags AfterWet'!A479</f>
        <v>R165</v>
      </c>
      <c r="N61" t="b">
        <f t="shared" si="4"/>
        <v>0</v>
      </c>
      <c r="O61" t="b">
        <f t="shared" si="51"/>
        <v>0</v>
      </c>
      <c r="Q61" s="395" t="b">
        <f t="shared" si="5"/>
        <v>0</v>
      </c>
      <c r="R61" s="395" t="b">
        <f t="shared" si="6"/>
        <v>0</v>
      </c>
      <c r="T61" t="str">
        <f>'Both teabags AfterDry'!A59</f>
        <v>G172</v>
      </c>
      <c r="U61" t="str">
        <f>'Both teabags AfterDry'!A394</f>
        <v>R249</v>
      </c>
      <c r="V61" t="b">
        <f t="shared" si="7"/>
        <v>0</v>
      </c>
      <c r="W61" t="b">
        <f t="shared" si="35"/>
        <v>0</v>
      </c>
      <c r="Y61" t="str">
        <f>'Green_rooibos initial weight'!A62</f>
        <v>G58</v>
      </c>
      <c r="Z61" t="str">
        <f>'Green_rooibos initial weight'!A966</f>
        <v>R58</v>
      </c>
      <c r="AA61" t="b">
        <f t="shared" si="8"/>
        <v>0</v>
      </c>
      <c r="AB61" t="b">
        <f t="shared" si="9"/>
        <v>0</v>
      </c>
      <c r="AE61" t="str">
        <f>'WetLitterbags placem_collection'!K60</f>
        <v>G513</v>
      </c>
      <c r="AF61" t="str">
        <f>'WetLitterbags placem_collection'!M60</f>
        <v>R48</v>
      </c>
      <c r="AG61" t="b">
        <f t="shared" si="10"/>
        <v>0</v>
      </c>
      <c r="AH61" t="b">
        <f t="shared" si="11"/>
        <v>0</v>
      </c>
      <c r="AJ61" t="b">
        <f t="shared" si="12"/>
        <v>0</v>
      </c>
      <c r="AK61" t="b">
        <f t="shared" si="13"/>
        <v>0</v>
      </c>
      <c r="AM61" t="str">
        <f>IF(ISBLANK('Dry_Litterbag Placem_Collection'!J60),"","G"&amp;""&amp;'Dry_Litterbag Placem_Collection'!J60)</f>
        <v>G481</v>
      </c>
      <c r="AN61" t="str">
        <f>IF(ISBLANK('Dry_Litterbag Placem_Collection'!K60),"","R"&amp;""&amp;'Dry_Litterbag Placem_Collection'!K60)</f>
        <v>R725</v>
      </c>
      <c r="AO61" t="b">
        <f t="shared" si="53"/>
        <v>0</v>
      </c>
      <c r="AP61" t="b">
        <f t="shared" si="15"/>
        <v>0</v>
      </c>
      <c r="AS61" t="str">
        <f>'Ashed teabags dry'!A59</f>
        <v>G172</v>
      </c>
      <c r="AT61" t="str">
        <f>'Ashed teabags dry'!A394</f>
        <v>R249</v>
      </c>
      <c r="AU61" t="b">
        <f t="shared" si="16"/>
        <v>0</v>
      </c>
      <c r="AV61" t="b">
        <f>COUNTIF($AT$4:$AT$2000, AT61)&gt;1</f>
        <v>0</v>
      </c>
      <c r="AX61" s="395" t="b">
        <f t="shared" si="17"/>
        <v>0</v>
      </c>
      <c r="AY61" s="395" t="b">
        <f t="shared" si="18"/>
        <v>0</v>
      </c>
      <c r="BA61" t="str">
        <f>'Ashed teabags wet'!A59</f>
        <v>G421</v>
      </c>
      <c r="BB61" t="str">
        <f>'Ashed teabags wet'!A479</f>
        <v>R165</v>
      </c>
      <c r="BC61" t="b">
        <f t="shared" si="19"/>
        <v>0</v>
      </c>
      <c r="BD61" t="b">
        <f t="shared" si="0"/>
        <v>0</v>
      </c>
      <c r="BF61" t="str">
        <f t="shared" si="20"/>
        <v>G171</v>
      </c>
      <c r="BG61" t="str">
        <f>T60</f>
        <v>G171</v>
      </c>
      <c r="BH61" t="str">
        <f t="shared" si="21"/>
        <v>G41</v>
      </c>
      <c r="BI61" t="str">
        <f t="shared" si="36"/>
        <v>G41</v>
      </c>
      <c r="BJ61" t="s">
        <v>1879</v>
      </c>
      <c r="BK61" t="s">
        <v>1879</v>
      </c>
      <c r="BL61" t="s">
        <v>1879</v>
      </c>
      <c r="BM61" t="b">
        <f t="shared" si="37"/>
        <v>1</v>
      </c>
      <c r="BN61" t="str">
        <f t="shared" si="22"/>
        <v>R247</v>
      </c>
      <c r="BO61" t="str">
        <f>U60</f>
        <v>R247</v>
      </c>
      <c r="BP61" t="str">
        <f t="shared" si="23"/>
        <v>R830</v>
      </c>
      <c r="BQ61" t="str">
        <f t="shared" si="24"/>
        <v>R830</v>
      </c>
      <c r="BR61" t="s">
        <v>894</v>
      </c>
      <c r="BS61" t="s">
        <v>894</v>
      </c>
      <c r="BT61" t="s">
        <v>894</v>
      </c>
      <c r="BU61" t="b">
        <f t="shared" si="38"/>
        <v>1</v>
      </c>
      <c r="BV61" s="415" t="s">
        <v>1299</v>
      </c>
      <c r="BW61" s="400" t="s">
        <v>989</v>
      </c>
      <c r="BZ61" t="str">
        <f t="shared" si="25"/>
        <v>G41</v>
      </c>
      <c r="CA61" t="b">
        <f t="shared" si="26"/>
        <v>0</v>
      </c>
      <c r="CB61" t="str">
        <f t="shared" si="39"/>
        <v>G41</v>
      </c>
      <c r="CC61" t="str">
        <f t="shared" si="27"/>
        <v>R830</v>
      </c>
      <c r="CD61" t="b">
        <f t="shared" si="40"/>
        <v>0</v>
      </c>
      <c r="CE61" t="str">
        <f t="shared" si="41"/>
        <v>R830</v>
      </c>
      <c r="CG61" t="str">
        <f t="shared" si="28"/>
        <v>G420</v>
      </c>
      <c r="CH61" t="str">
        <f t="shared" si="42"/>
        <v>G420</v>
      </c>
      <c r="CI61" t="str">
        <f>AE60</f>
        <v>G546</v>
      </c>
      <c r="CJ61" t="str">
        <f t="shared" si="29"/>
        <v>G546</v>
      </c>
      <c r="CK61" t="s">
        <v>1630</v>
      </c>
      <c r="CL61" t="s">
        <v>1630</v>
      </c>
      <c r="CM61" t="s">
        <v>1630</v>
      </c>
      <c r="CN61" t="b">
        <f t="shared" si="43"/>
        <v>1</v>
      </c>
      <c r="CO61" t="str">
        <f t="shared" si="30"/>
        <v>R164</v>
      </c>
      <c r="CP61" t="str">
        <f t="shared" si="44"/>
        <v>R164</v>
      </c>
      <c r="CQ61" t="str">
        <f>AF60</f>
        <v>R161</v>
      </c>
      <c r="CR61" t="str">
        <f t="shared" si="31"/>
        <v>R161</v>
      </c>
      <c r="CS61" t="s">
        <v>977</v>
      </c>
      <c r="CT61" t="s">
        <v>977</v>
      </c>
      <c r="CU61" t="s">
        <v>977</v>
      </c>
      <c r="CV61" t="b">
        <f t="shared" si="45"/>
        <v>1</v>
      </c>
      <c r="DC61" t="str">
        <f t="shared" si="32"/>
        <v>G546</v>
      </c>
      <c r="DD61" t="b">
        <f t="shared" si="47"/>
        <v>0</v>
      </c>
      <c r="DE61" t="str">
        <f t="shared" si="48"/>
        <v>G546</v>
      </c>
      <c r="DF61" t="str">
        <f t="shared" si="33"/>
        <v>R161</v>
      </c>
      <c r="DG61" t="b">
        <f t="shared" si="49"/>
        <v>0</v>
      </c>
      <c r="DH61" t="str">
        <f t="shared" si="50"/>
        <v>R161</v>
      </c>
    </row>
    <row r="62" spans="2:112" ht="12" customHeight="1">
      <c r="B62" t="str">
        <f>TBIDry!H134</f>
        <v>G261</v>
      </c>
      <c r="C62" t="str">
        <f>TBIDry!I134</f>
        <v>R721</v>
      </c>
      <c r="D62" t="b">
        <f t="shared" si="1"/>
        <v>0</v>
      </c>
      <c r="E62" t="b">
        <f t="shared" si="2"/>
        <v>0</v>
      </c>
      <c r="G62" t="str">
        <f>TBIWet!H134</f>
        <v>G489</v>
      </c>
      <c r="H62" t="str">
        <f>TBIWet!I134</f>
        <v>R23</v>
      </c>
      <c r="I62" t="b">
        <f t="shared" si="3"/>
        <v>0</v>
      </c>
      <c r="J62" t="b">
        <f t="shared" si="34"/>
        <v>0</v>
      </c>
      <c r="L62" t="str">
        <f>'Both teabags AfterWet'!A60</f>
        <v>G423</v>
      </c>
      <c r="M62" t="str">
        <f>'Both teabags AfterWet'!A480</f>
        <v>R166</v>
      </c>
      <c r="N62" t="b">
        <f t="shared" si="4"/>
        <v>0</v>
      </c>
      <c r="O62" t="b">
        <f t="shared" si="51"/>
        <v>0</v>
      </c>
      <c r="Q62" s="395" t="b">
        <f t="shared" si="5"/>
        <v>0</v>
      </c>
      <c r="R62" s="395" t="b">
        <f t="shared" si="6"/>
        <v>0</v>
      </c>
      <c r="T62" t="str">
        <f>'Both teabags AfterDry'!A60</f>
        <v>G173</v>
      </c>
      <c r="U62" t="str">
        <f>'Both teabags AfterDry'!A395</f>
        <v>R254</v>
      </c>
      <c r="V62" t="b">
        <f t="shared" si="7"/>
        <v>0</v>
      </c>
      <c r="W62" t="b">
        <f t="shared" si="35"/>
        <v>0</v>
      </c>
      <c r="Y62" t="str">
        <f>'Green_rooibos initial weight'!A63</f>
        <v>G59</v>
      </c>
      <c r="Z62" t="str">
        <f>'Green_rooibos initial weight'!A967</f>
        <v>R59</v>
      </c>
      <c r="AA62" t="b">
        <f t="shared" si="8"/>
        <v>0</v>
      </c>
      <c r="AB62" t="b">
        <f t="shared" si="9"/>
        <v>0</v>
      </c>
      <c r="AE62" t="str">
        <f>'WetLitterbags placem_collection'!K61</f>
        <v>G489</v>
      </c>
      <c r="AF62" t="str">
        <f>'WetLitterbags placem_collection'!M61</f>
        <v>R23</v>
      </c>
      <c r="AG62" t="b">
        <f t="shared" si="10"/>
        <v>0</v>
      </c>
      <c r="AH62" t="b">
        <f t="shared" si="11"/>
        <v>0</v>
      </c>
      <c r="AJ62" t="b">
        <f t="shared" si="12"/>
        <v>0</v>
      </c>
      <c r="AK62" t="b">
        <f t="shared" si="13"/>
        <v>0</v>
      </c>
      <c r="AM62" t="str">
        <f>IF(ISBLANK('Dry_Litterbag Placem_Collection'!J61),"","G"&amp;""&amp;'Dry_Litterbag Placem_Collection'!J61)</f>
        <v>G261</v>
      </c>
      <c r="AN62" t="str">
        <f>IF(ISBLANK('Dry_Litterbag Placem_Collection'!K61),"","R"&amp;""&amp;'Dry_Litterbag Placem_Collection'!K61)</f>
        <v>R721</v>
      </c>
      <c r="AO62" t="b">
        <f t="shared" si="53"/>
        <v>0</v>
      </c>
      <c r="AP62" t="b">
        <f t="shared" si="15"/>
        <v>0</v>
      </c>
      <c r="AS62" t="str">
        <f>'Ashed teabags dry'!A60</f>
        <v>G173</v>
      </c>
      <c r="AT62" t="str">
        <f>'Ashed teabags dry'!A395</f>
        <v>R254</v>
      </c>
      <c r="AU62" t="b">
        <f t="shared" si="16"/>
        <v>0</v>
      </c>
      <c r="AV62" t="b">
        <f>COUNTIF($AT$4:$AT$2000, AT62)&gt;1</f>
        <v>0</v>
      </c>
      <c r="AX62" s="395" t="b">
        <f t="shared" si="17"/>
        <v>0</v>
      </c>
      <c r="AY62" s="395" t="b">
        <f t="shared" si="18"/>
        <v>0</v>
      </c>
      <c r="BA62" t="str">
        <f>'Ashed teabags wet'!A60</f>
        <v>G423</v>
      </c>
      <c r="BB62" t="str">
        <f>'Ashed teabags wet'!A480</f>
        <v>R166</v>
      </c>
      <c r="BC62" t="b">
        <f t="shared" si="19"/>
        <v>0</v>
      </c>
      <c r="BD62" t="b">
        <f t="shared" si="0"/>
        <v>0</v>
      </c>
      <c r="BF62" t="str">
        <f t="shared" si="20"/>
        <v>G172</v>
      </c>
      <c r="BG62" t="str">
        <f>T61</f>
        <v>G172</v>
      </c>
      <c r="BH62" t="str">
        <f t="shared" si="21"/>
        <v>G481</v>
      </c>
      <c r="BI62" t="str">
        <f t="shared" si="36"/>
        <v>G481</v>
      </c>
      <c r="BJ62" t="s">
        <v>1878</v>
      </c>
      <c r="BK62" t="s">
        <v>1878</v>
      </c>
      <c r="BL62" t="s">
        <v>1878</v>
      </c>
      <c r="BM62" t="b">
        <f t="shared" si="37"/>
        <v>1</v>
      </c>
      <c r="BN62" t="str">
        <f t="shared" si="22"/>
        <v>R249</v>
      </c>
      <c r="BO62" t="str">
        <f>U61</f>
        <v>R249</v>
      </c>
      <c r="BP62" t="str">
        <f t="shared" si="23"/>
        <v>R725</v>
      </c>
      <c r="BQ62" t="str">
        <f t="shared" si="24"/>
        <v>R725</v>
      </c>
      <c r="BR62" t="s">
        <v>892</v>
      </c>
      <c r="BS62" t="s">
        <v>892</v>
      </c>
      <c r="BT62" t="s">
        <v>892</v>
      </c>
      <c r="BU62" t="b">
        <f t="shared" si="38"/>
        <v>1</v>
      </c>
      <c r="BV62" s="180"/>
      <c r="BW62" s="180"/>
      <c r="BZ62" t="str">
        <f t="shared" si="25"/>
        <v>G481</v>
      </c>
      <c r="CA62" t="b">
        <f t="shared" si="26"/>
        <v>0</v>
      </c>
      <c r="CB62" t="str">
        <f t="shared" si="39"/>
        <v>G481</v>
      </c>
      <c r="CC62" t="str">
        <f t="shared" si="27"/>
        <v>R725</v>
      </c>
      <c r="CD62" t="b">
        <f t="shared" si="40"/>
        <v>0</v>
      </c>
      <c r="CE62" t="str">
        <f t="shared" si="41"/>
        <v>R725</v>
      </c>
      <c r="CG62" t="str">
        <f t="shared" si="28"/>
        <v>G421</v>
      </c>
      <c r="CH62" t="str">
        <f t="shared" si="42"/>
        <v>G421</v>
      </c>
      <c r="CI62" t="str">
        <f>AE61</f>
        <v>G513</v>
      </c>
      <c r="CJ62" t="str">
        <f t="shared" si="29"/>
        <v>G513</v>
      </c>
      <c r="CK62" t="s">
        <v>1629</v>
      </c>
      <c r="CL62" t="s">
        <v>1629</v>
      </c>
      <c r="CM62" t="s">
        <v>1629</v>
      </c>
      <c r="CN62" t="b">
        <f t="shared" si="43"/>
        <v>1</v>
      </c>
      <c r="CO62" t="str">
        <f t="shared" si="30"/>
        <v>R165</v>
      </c>
      <c r="CP62" t="str">
        <f t="shared" si="44"/>
        <v>R165</v>
      </c>
      <c r="CQ62" t="str">
        <f>AF61</f>
        <v>R48</v>
      </c>
      <c r="CR62" t="str">
        <f t="shared" si="31"/>
        <v>R48</v>
      </c>
      <c r="CS62" t="s">
        <v>976</v>
      </c>
      <c r="CT62" t="s">
        <v>976</v>
      </c>
      <c r="CU62" t="s">
        <v>976</v>
      </c>
      <c r="CV62" t="b">
        <f t="shared" si="45"/>
        <v>1</v>
      </c>
      <c r="DC62" t="str">
        <f t="shared" si="32"/>
        <v>G513</v>
      </c>
      <c r="DD62" t="b">
        <f t="shared" si="47"/>
        <v>0</v>
      </c>
      <c r="DE62" t="str">
        <f t="shared" si="48"/>
        <v>G513</v>
      </c>
      <c r="DF62" t="str">
        <f t="shared" si="33"/>
        <v>R48</v>
      </c>
      <c r="DG62" t="b">
        <f t="shared" si="49"/>
        <v>0</v>
      </c>
      <c r="DH62" t="str">
        <f t="shared" si="50"/>
        <v>R48</v>
      </c>
    </row>
    <row r="63" spans="2:112" ht="12" customHeight="1">
      <c r="B63" t="str">
        <f>TBIDry!H135</f>
        <v>G152</v>
      </c>
      <c r="C63" t="str">
        <f>TBIDry!I135</f>
        <v>R763</v>
      </c>
      <c r="D63" t="b">
        <f t="shared" si="1"/>
        <v>0</v>
      </c>
      <c r="E63" t="b">
        <f t="shared" si="2"/>
        <v>0</v>
      </c>
      <c r="G63" t="str">
        <f>TBIWet!H135</f>
        <v>G633</v>
      </c>
      <c r="H63" t="str">
        <f>TBIWet!I135</f>
        <v>R78</v>
      </c>
      <c r="I63" t="b">
        <f t="shared" si="3"/>
        <v>0</v>
      </c>
      <c r="J63" t="b">
        <f t="shared" si="34"/>
        <v>0</v>
      </c>
      <c r="L63" t="str">
        <f>'Both teabags AfterWet'!A61</f>
        <v>G424</v>
      </c>
      <c r="M63" t="str">
        <f>'Both teabags AfterWet'!A481</f>
        <v>R167</v>
      </c>
      <c r="N63" t="b">
        <f t="shared" si="4"/>
        <v>0</v>
      </c>
      <c r="O63" t="b">
        <f t="shared" si="51"/>
        <v>0</v>
      </c>
      <c r="Q63" s="395" t="b">
        <f t="shared" si="5"/>
        <v>0</v>
      </c>
      <c r="R63" s="395" t="b">
        <f t="shared" si="6"/>
        <v>0</v>
      </c>
      <c r="T63" t="str">
        <f>'Both teabags AfterDry'!A61</f>
        <v>G174</v>
      </c>
      <c r="U63" t="str">
        <f>'Both teabags AfterDry'!A396</f>
        <v>R256</v>
      </c>
      <c r="V63" t="b">
        <f t="shared" si="7"/>
        <v>0</v>
      </c>
      <c r="W63" t="b">
        <f t="shared" si="35"/>
        <v>0</v>
      </c>
      <c r="Y63" t="str">
        <f>'Green_rooibos initial weight'!A64</f>
        <v>G60</v>
      </c>
      <c r="Z63" t="str">
        <f>'Green_rooibos initial weight'!A968</f>
        <v>R60</v>
      </c>
      <c r="AA63" t="b">
        <f t="shared" si="8"/>
        <v>0</v>
      </c>
      <c r="AB63" t="b">
        <f t="shared" si="9"/>
        <v>0</v>
      </c>
      <c r="AE63" t="str">
        <f>'WetLitterbags placem_collection'!K62</f>
        <v>G633</v>
      </c>
      <c r="AF63" t="str">
        <f>'WetLitterbags placem_collection'!M62</f>
        <v>R78</v>
      </c>
      <c r="AG63" t="b">
        <f t="shared" si="10"/>
        <v>0</v>
      </c>
      <c r="AH63" t="b">
        <f t="shared" si="11"/>
        <v>0</v>
      </c>
      <c r="AJ63" t="b">
        <f t="shared" si="12"/>
        <v>0</v>
      </c>
      <c r="AK63" t="b">
        <f t="shared" si="13"/>
        <v>0</v>
      </c>
      <c r="AM63" t="str">
        <f>IF(ISBLANK('Dry_Litterbag Placem_Collection'!J62),"","G"&amp;""&amp;'Dry_Litterbag Placem_Collection'!J62)</f>
        <v>G152</v>
      </c>
      <c r="AN63" t="str">
        <f>IF(ISBLANK('Dry_Litterbag Placem_Collection'!K62),"","R"&amp;""&amp;'Dry_Litterbag Placem_Collection'!K62)</f>
        <v>R763</v>
      </c>
      <c r="AO63" t="b">
        <f t="shared" si="53"/>
        <v>0</v>
      </c>
      <c r="AP63" t="b">
        <f t="shared" si="15"/>
        <v>0</v>
      </c>
      <c r="AS63" t="str">
        <f>'Ashed teabags dry'!A61</f>
        <v>G174</v>
      </c>
      <c r="AT63" t="str">
        <f>'Ashed teabags dry'!A396</f>
        <v>R256</v>
      </c>
      <c r="AU63" t="b">
        <f t="shared" si="16"/>
        <v>0</v>
      </c>
      <c r="AV63" t="b">
        <f>COUNTIF($AT$4:$AT$2000, AT63)&gt;1</f>
        <v>0</v>
      </c>
      <c r="AX63" s="395" t="b">
        <f t="shared" si="17"/>
        <v>0</v>
      </c>
      <c r="AY63" s="395" t="b">
        <f t="shared" si="18"/>
        <v>0</v>
      </c>
      <c r="BA63" t="str">
        <f>'Ashed teabags wet'!A61</f>
        <v>G424</v>
      </c>
      <c r="BB63" t="str">
        <f>'Ashed teabags wet'!A481</f>
        <v>R167</v>
      </c>
      <c r="BC63" t="b">
        <f t="shared" si="19"/>
        <v>0</v>
      </c>
      <c r="BD63" t="b">
        <f t="shared" si="0"/>
        <v>0</v>
      </c>
      <c r="BF63" t="str">
        <f t="shared" si="20"/>
        <v>G173</v>
      </c>
      <c r="BG63" t="str">
        <f>T62</f>
        <v>G173</v>
      </c>
      <c r="BH63" t="str">
        <f t="shared" si="21"/>
        <v>G261</v>
      </c>
      <c r="BI63" t="str">
        <f t="shared" si="36"/>
        <v>G261</v>
      </c>
      <c r="BJ63" t="s">
        <v>1877</v>
      </c>
      <c r="BK63" t="s">
        <v>1877</v>
      </c>
      <c r="BL63" t="s">
        <v>1877</v>
      </c>
      <c r="BM63" t="b">
        <f t="shared" si="37"/>
        <v>1</v>
      </c>
      <c r="BN63" t="str">
        <f t="shared" si="22"/>
        <v>R254</v>
      </c>
      <c r="BO63" t="str">
        <f>U62</f>
        <v>R254</v>
      </c>
      <c r="BP63" t="str">
        <f t="shared" si="23"/>
        <v>R721</v>
      </c>
      <c r="BQ63" t="str">
        <f t="shared" si="24"/>
        <v>R721</v>
      </c>
      <c r="BR63" t="s">
        <v>887</v>
      </c>
      <c r="BS63" t="s">
        <v>887</v>
      </c>
      <c r="BT63" t="s">
        <v>887</v>
      </c>
      <c r="BU63" t="b">
        <f t="shared" si="38"/>
        <v>1</v>
      </c>
      <c r="BV63" s="180"/>
      <c r="BW63" s="180"/>
      <c r="BZ63" t="str">
        <f t="shared" si="25"/>
        <v>G261</v>
      </c>
      <c r="CA63" t="b">
        <f t="shared" si="26"/>
        <v>0</v>
      </c>
      <c r="CB63" t="str">
        <f t="shared" si="39"/>
        <v>G261</v>
      </c>
      <c r="CC63" t="str">
        <f t="shared" si="27"/>
        <v>R721</v>
      </c>
      <c r="CD63" t="b">
        <f t="shared" si="40"/>
        <v>0</v>
      </c>
      <c r="CE63" t="str">
        <f t="shared" si="41"/>
        <v>R721</v>
      </c>
      <c r="CG63" t="str">
        <f t="shared" si="28"/>
        <v>G423</v>
      </c>
      <c r="CH63" t="str">
        <f t="shared" si="42"/>
        <v>G423</v>
      </c>
      <c r="CI63" t="str">
        <f>AE62</f>
        <v>G489</v>
      </c>
      <c r="CJ63" t="str">
        <f t="shared" si="29"/>
        <v>G489</v>
      </c>
      <c r="CK63" t="s">
        <v>1627</v>
      </c>
      <c r="CL63" t="s">
        <v>1627</v>
      </c>
      <c r="CM63" t="s">
        <v>1627</v>
      </c>
      <c r="CN63" t="b">
        <f t="shared" si="43"/>
        <v>1</v>
      </c>
      <c r="CO63" t="str">
        <f t="shared" si="30"/>
        <v>R166</v>
      </c>
      <c r="CP63" t="str">
        <f t="shared" si="44"/>
        <v>R166</v>
      </c>
      <c r="CQ63" t="str">
        <f>AF62</f>
        <v>R23</v>
      </c>
      <c r="CR63" t="str">
        <f t="shared" si="31"/>
        <v>R23</v>
      </c>
      <c r="CS63" t="s">
        <v>975</v>
      </c>
      <c r="CT63" t="s">
        <v>975</v>
      </c>
      <c r="CU63" t="s">
        <v>975</v>
      </c>
      <c r="CV63" t="b">
        <f t="shared" si="45"/>
        <v>1</v>
      </c>
      <c r="DC63" t="str">
        <f t="shared" si="32"/>
        <v>G489</v>
      </c>
      <c r="DD63" t="b">
        <f t="shared" si="47"/>
        <v>0</v>
      </c>
      <c r="DE63" t="str">
        <f t="shared" si="48"/>
        <v>G489</v>
      </c>
      <c r="DF63" t="str">
        <f t="shared" si="33"/>
        <v>R23</v>
      </c>
      <c r="DG63" t="b">
        <f t="shared" si="49"/>
        <v>0</v>
      </c>
      <c r="DH63" t="str">
        <f t="shared" si="50"/>
        <v>R23</v>
      </c>
    </row>
    <row r="64" spans="2:112" ht="12" customHeight="1">
      <c r="B64" t="str">
        <f>TBIDry!H136</f>
        <v>G191</v>
      </c>
      <c r="C64" t="str">
        <f>TBIDry!I136</f>
        <v>R775</v>
      </c>
      <c r="D64" t="b">
        <f t="shared" si="1"/>
        <v>0</v>
      </c>
      <c r="E64" t="b">
        <f t="shared" si="2"/>
        <v>0</v>
      </c>
      <c r="G64" t="str">
        <f>TBIWet!H136</f>
        <v>G541</v>
      </c>
      <c r="H64" t="str">
        <f>TBIWet!I136</f>
        <v>R42</v>
      </c>
      <c r="I64" t="b">
        <f t="shared" si="3"/>
        <v>0</v>
      </c>
      <c r="J64" t="b">
        <f t="shared" si="34"/>
        <v>0</v>
      </c>
      <c r="L64" t="str">
        <f>'Both teabags AfterWet'!A62</f>
        <v>G425</v>
      </c>
      <c r="M64" t="str">
        <f>'Both teabags AfterWet'!A482</f>
        <v>R168</v>
      </c>
      <c r="N64" t="b">
        <f t="shared" si="4"/>
        <v>0</v>
      </c>
      <c r="O64" t="b">
        <f t="shared" si="51"/>
        <v>0</v>
      </c>
      <c r="Q64" s="395" t="b">
        <f t="shared" si="5"/>
        <v>0</v>
      </c>
      <c r="R64" s="395" t="b">
        <f t="shared" si="6"/>
        <v>0</v>
      </c>
      <c r="T64" t="str">
        <f>'Both teabags AfterDry'!A62</f>
        <v>G175</v>
      </c>
      <c r="U64" t="str">
        <f>'Both teabags AfterDry'!A397</f>
        <v>R257</v>
      </c>
      <c r="V64" t="b">
        <f t="shared" si="7"/>
        <v>0</v>
      </c>
      <c r="W64" t="b">
        <f t="shared" si="35"/>
        <v>0</v>
      </c>
      <c r="Y64" t="str">
        <f>'Green_rooibos initial weight'!A65</f>
        <v>G61</v>
      </c>
      <c r="Z64" t="str">
        <f>'Green_rooibos initial weight'!A969</f>
        <v>R61</v>
      </c>
      <c r="AA64" t="b">
        <f t="shared" si="8"/>
        <v>0</v>
      </c>
      <c r="AB64" t="b">
        <f t="shared" si="9"/>
        <v>0</v>
      </c>
      <c r="AE64" t="str">
        <f>'WetLitterbags placem_collection'!K63</f>
        <v>G541</v>
      </c>
      <c r="AF64" t="str">
        <f>'WetLitterbags placem_collection'!M63</f>
        <v>R42</v>
      </c>
      <c r="AG64" t="b">
        <f t="shared" si="10"/>
        <v>0</v>
      </c>
      <c r="AH64" t="b">
        <f t="shared" si="11"/>
        <v>0</v>
      </c>
      <c r="AJ64" t="b">
        <f t="shared" si="12"/>
        <v>0</v>
      </c>
      <c r="AK64" t="b">
        <f t="shared" si="13"/>
        <v>0</v>
      </c>
      <c r="AM64" t="str">
        <f>IF(ISBLANK('Dry_Litterbag Placem_Collection'!J63),"","G"&amp;""&amp;'Dry_Litterbag Placem_Collection'!J63)</f>
        <v>G191</v>
      </c>
      <c r="AN64" t="str">
        <f>IF(ISBLANK('Dry_Litterbag Placem_Collection'!K63),"","R"&amp;""&amp;'Dry_Litterbag Placem_Collection'!K63)</f>
        <v>R775</v>
      </c>
      <c r="AO64" t="b">
        <f t="shared" si="53"/>
        <v>0</v>
      </c>
      <c r="AP64" t="b">
        <f t="shared" si="15"/>
        <v>0</v>
      </c>
      <c r="AS64" t="str">
        <f>'Ashed teabags dry'!A62</f>
        <v>G175</v>
      </c>
      <c r="AT64" t="str">
        <f>'Ashed teabags dry'!A397</f>
        <v>R257</v>
      </c>
      <c r="AU64" t="b">
        <f t="shared" si="16"/>
        <v>0</v>
      </c>
      <c r="AV64" t="b">
        <f>COUNTIF($AT$4:$AT$2000, AT64)&gt;1</f>
        <v>0</v>
      </c>
      <c r="AX64" s="395" t="b">
        <f t="shared" si="17"/>
        <v>0</v>
      </c>
      <c r="AY64" s="395" t="b">
        <f t="shared" si="18"/>
        <v>0</v>
      </c>
      <c r="BA64" t="str">
        <f>'Ashed teabags wet'!A62</f>
        <v>G425</v>
      </c>
      <c r="BB64" t="str">
        <f>'Ashed teabags wet'!A482</f>
        <v>R168</v>
      </c>
      <c r="BC64" t="b">
        <f t="shared" si="19"/>
        <v>0</v>
      </c>
      <c r="BD64" t="b">
        <f t="shared" si="0"/>
        <v>0</v>
      </c>
      <c r="BF64" t="str">
        <f t="shared" si="20"/>
        <v>G174</v>
      </c>
      <c r="BG64" t="str">
        <f>T63</f>
        <v>G174</v>
      </c>
      <c r="BH64" t="str">
        <f t="shared" si="21"/>
        <v>G152</v>
      </c>
      <c r="BI64" t="str">
        <f t="shared" si="36"/>
        <v>G152</v>
      </c>
      <c r="BJ64" t="s">
        <v>1876</v>
      </c>
      <c r="BK64" t="s">
        <v>1876</v>
      </c>
      <c r="BL64" t="s">
        <v>1876</v>
      </c>
      <c r="BM64" t="b">
        <f t="shared" si="37"/>
        <v>1</v>
      </c>
      <c r="BN64" t="str">
        <f t="shared" si="22"/>
        <v>R256</v>
      </c>
      <c r="BO64" t="str">
        <f>U63</f>
        <v>R256</v>
      </c>
      <c r="BP64" t="str">
        <f t="shared" si="23"/>
        <v>R763</v>
      </c>
      <c r="BQ64" t="str">
        <f t="shared" si="24"/>
        <v>R763</v>
      </c>
      <c r="BR64" t="s">
        <v>885</v>
      </c>
      <c r="BS64" t="s">
        <v>885</v>
      </c>
      <c r="BT64" t="s">
        <v>885</v>
      </c>
      <c r="BU64" t="b">
        <f t="shared" si="38"/>
        <v>1</v>
      </c>
      <c r="BV64" s="180"/>
      <c r="BW64" s="180"/>
      <c r="BZ64" t="str">
        <f t="shared" si="25"/>
        <v>G152</v>
      </c>
      <c r="CA64" t="b">
        <f t="shared" si="26"/>
        <v>0</v>
      </c>
      <c r="CB64" t="str">
        <f t="shared" si="39"/>
        <v>G152</v>
      </c>
      <c r="CC64" t="str">
        <f t="shared" si="27"/>
        <v>R763</v>
      </c>
      <c r="CD64" t="b">
        <f t="shared" si="40"/>
        <v>0</v>
      </c>
      <c r="CE64" t="str">
        <f t="shared" si="41"/>
        <v>R763</v>
      </c>
      <c r="CG64" t="str">
        <f t="shared" si="28"/>
        <v>G424</v>
      </c>
      <c r="CH64" t="str">
        <f t="shared" si="42"/>
        <v>G424</v>
      </c>
      <c r="CI64" t="str">
        <f>AE63</f>
        <v>G633</v>
      </c>
      <c r="CJ64" t="str">
        <f t="shared" si="29"/>
        <v>G633</v>
      </c>
      <c r="CK64" t="s">
        <v>1626</v>
      </c>
      <c r="CL64" t="s">
        <v>1626</v>
      </c>
      <c r="CM64" t="s">
        <v>1626</v>
      </c>
      <c r="CN64" t="b">
        <f t="shared" si="43"/>
        <v>1</v>
      </c>
      <c r="CO64" t="str">
        <f t="shared" si="30"/>
        <v>R167</v>
      </c>
      <c r="CP64" t="str">
        <f t="shared" si="44"/>
        <v>R167</v>
      </c>
      <c r="CQ64" t="str">
        <f>AF63</f>
        <v>R78</v>
      </c>
      <c r="CR64" t="str">
        <f t="shared" si="31"/>
        <v>R78</v>
      </c>
      <c r="CS64" t="s">
        <v>974</v>
      </c>
      <c r="CT64" t="s">
        <v>974</v>
      </c>
      <c r="CU64" s="180" t="s">
        <v>974</v>
      </c>
      <c r="CV64" t="b">
        <f t="shared" si="45"/>
        <v>1</v>
      </c>
      <c r="DC64" t="str">
        <f t="shared" si="32"/>
        <v>G633</v>
      </c>
      <c r="DD64" t="b">
        <f t="shared" si="47"/>
        <v>0</v>
      </c>
      <c r="DE64" t="str">
        <f t="shared" si="48"/>
        <v>G633</v>
      </c>
      <c r="DF64" t="str">
        <f t="shared" si="33"/>
        <v>R78</v>
      </c>
      <c r="DG64" t="b">
        <f t="shared" si="49"/>
        <v>0</v>
      </c>
      <c r="DH64" t="str">
        <f t="shared" si="50"/>
        <v>R78</v>
      </c>
    </row>
    <row r="65" spans="2:112" ht="12" customHeight="1">
      <c r="B65" t="str">
        <f>TBIDry!H137</f>
        <v/>
      </c>
      <c r="C65" t="str">
        <f>TBIDry!I137</f>
        <v/>
      </c>
      <c r="D65" t="b">
        <f t="shared" si="1"/>
        <v>1</v>
      </c>
      <c r="E65" t="b">
        <f t="shared" si="2"/>
        <v>1</v>
      </c>
      <c r="G65" t="str">
        <f>TBIWet!H137</f>
        <v>G565</v>
      </c>
      <c r="H65" t="str">
        <f>TBIWet!I137</f>
        <v>R119</v>
      </c>
      <c r="I65" t="b">
        <f t="shared" si="3"/>
        <v>0</v>
      </c>
      <c r="J65" t="b">
        <f t="shared" si="34"/>
        <v>0</v>
      </c>
      <c r="L65" t="str">
        <f>'Both teabags AfterWet'!A63</f>
        <v>G429</v>
      </c>
      <c r="M65" t="str">
        <f>'Both teabags AfterWet'!A483</f>
        <v>R169</v>
      </c>
      <c r="N65" t="b">
        <f t="shared" si="4"/>
        <v>0</v>
      </c>
      <c r="O65" t="b">
        <f t="shared" si="51"/>
        <v>0</v>
      </c>
      <c r="Q65" s="395" t="b">
        <f t="shared" si="5"/>
        <v>0</v>
      </c>
      <c r="R65" s="395" t="b">
        <f t="shared" si="6"/>
        <v>0</v>
      </c>
      <c r="T65" t="str">
        <f>'Both teabags AfterDry'!A63</f>
        <v>G176</v>
      </c>
      <c r="U65" t="str">
        <f>'Both teabags AfterDry'!A398</f>
        <v>R260</v>
      </c>
      <c r="V65" t="b">
        <f t="shared" si="7"/>
        <v>0</v>
      </c>
      <c r="W65" t="b">
        <f t="shared" si="35"/>
        <v>0</v>
      </c>
      <c r="Y65" t="str">
        <f>'Green_rooibos initial weight'!A66</f>
        <v>G62</v>
      </c>
      <c r="Z65" t="str">
        <f>'Green_rooibos initial weight'!A970</f>
        <v>R62</v>
      </c>
      <c r="AA65" t="b">
        <f t="shared" si="8"/>
        <v>0</v>
      </c>
      <c r="AB65" t="b">
        <f t="shared" si="9"/>
        <v>0</v>
      </c>
      <c r="AE65" t="str">
        <f>'WetLitterbags placem_collection'!K64</f>
        <v>G565</v>
      </c>
      <c r="AF65" t="str">
        <f>'WetLitterbags placem_collection'!M64</f>
        <v>R119</v>
      </c>
      <c r="AG65" t="b">
        <f t="shared" si="10"/>
        <v>0</v>
      </c>
      <c r="AH65" t="b">
        <f t="shared" si="11"/>
        <v>0</v>
      </c>
      <c r="AJ65" t="b">
        <f t="shared" si="12"/>
        <v>0</v>
      </c>
      <c r="AK65" t="b">
        <f t="shared" si="13"/>
        <v>0</v>
      </c>
      <c r="AM65" t="str">
        <f>IF(ISBLANK('Dry_Litterbag Placem_Collection'!J64),"","G"&amp;""&amp;'Dry_Litterbag Placem_Collection'!J64)</f>
        <v/>
      </c>
      <c r="AN65" t="str">
        <f>IF(ISBLANK('Dry_Litterbag Placem_Collection'!K64),"","R"&amp;""&amp;'Dry_Litterbag Placem_Collection'!K64)</f>
        <v/>
      </c>
      <c r="AO65" t="b">
        <f t="shared" si="53"/>
        <v>1</v>
      </c>
      <c r="AP65" t="b">
        <f t="shared" si="15"/>
        <v>1</v>
      </c>
      <c r="AS65" t="str">
        <f>'Ashed teabags dry'!A63</f>
        <v>G176</v>
      </c>
      <c r="AT65" t="str">
        <f>'Ashed teabags dry'!A398</f>
        <v>R260</v>
      </c>
      <c r="AU65" t="b">
        <f t="shared" si="16"/>
        <v>0</v>
      </c>
      <c r="AV65" t="b">
        <f>COUNTIF($AT$4:$AT$2000, AT65)&gt;1</f>
        <v>0</v>
      </c>
      <c r="AX65" s="395" t="b">
        <f t="shared" si="17"/>
        <v>0</v>
      </c>
      <c r="AY65" s="395" t="b">
        <f t="shared" si="18"/>
        <v>0</v>
      </c>
      <c r="BA65" t="str">
        <f>'Ashed teabags wet'!A63</f>
        <v>G429</v>
      </c>
      <c r="BB65" t="str">
        <f>'Ashed teabags wet'!A483</f>
        <v>R169</v>
      </c>
      <c r="BC65" t="b">
        <f t="shared" si="19"/>
        <v>0</v>
      </c>
      <c r="BD65" t="b">
        <f t="shared" si="0"/>
        <v>0</v>
      </c>
      <c r="BF65" t="str">
        <f t="shared" si="20"/>
        <v>G175</v>
      </c>
      <c r="BG65" t="str">
        <f>T64</f>
        <v>G175</v>
      </c>
      <c r="BH65" t="str">
        <f t="shared" si="21"/>
        <v>G191</v>
      </c>
      <c r="BI65" t="str">
        <f t="shared" si="36"/>
        <v/>
      </c>
      <c r="BJ65" t="s">
        <v>1875</v>
      </c>
      <c r="BK65" t="s">
        <v>1875</v>
      </c>
      <c r="BL65" t="s">
        <v>1875</v>
      </c>
      <c r="BM65" t="b">
        <f t="shared" si="37"/>
        <v>1</v>
      </c>
      <c r="BN65" t="str">
        <f t="shared" si="22"/>
        <v>R257</v>
      </c>
      <c r="BO65" t="str">
        <f>U64</f>
        <v>R257</v>
      </c>
      <c r="BP65" t="str">
        <f t="shared" si="23"/>
        <v>R775</v>
      </c>
      <c r="BQ65" t="str">
        <f t="shared" si="24"/>
        <v/>
      </c>
      <c r="BR65" t="s">
        <v>884</v>
      </c>
      <c r="BS65" t="s">
        <v>884</v>
      </c>
      <c r="BT65" t="s">
        <v>884</v>
      </c>
      <c r="BU65" t="b">
        <f t="shared" si="38"/>
        <v>1</v>
      </c>
      <c r="BV65" s="180"/>
      <c r="BW65" s="180"/>
      <c r="BZ65" t="str">
        <f t="shared" si="25"/>
        <v>G191</v>
      </c>
      <c r="CA65" t="b">
        <f t="shared" si="26"/>
        <v>1</v>
      </c>
      <c r="CB65" t="str">
        <f t="shared" si="39"/>
        <v/>
      </c>
      <c r="CC65" t="str">
        <f t="shared" si="27"/>
        <v>R775</v>
      </c>
      <c r="CD65" t="b">
        <f t="shared" si="40"/>
        <v>1</v>
      </c>
      <c r="CE65" t="str">
        <f t="shared" si="41"/>
        <v/>
      </c>
      <c r="CG65" t="str">
        <f t="shared" si="28"/>
        <v>G425</v>
      </c>
      <c r="CH65" t="str">
        <f t="shared" si="42"/>
        <v>G425</v>
      </c>
      <c r="CI65" t="str">
        <f>AE64</f>
        <v>G541</v>
      </c>
      <c r="CJ65" t="str">
        <f t="shared" si="29"/>
        <v>G541</v>
      </c>
      <c r="CK65" t="s">
        <v>1625</v>
      </c>
      <c r="CL65" t="s">
        <v>1625</v>
      </c>
      <c r="CM65" t="s">
        <v>1625</v>
      </c>
      <c r="CN65" t="b">
        <f t="shared" si="43"/>
        <v>1</v>
      </c>
      <c r="CO65" t="str">
        <f t="shared" si="30"/>
        <v>R168</v>
      </c>
      <c r="CP65" t="str">
        <f t="shared" si="44"/>
        <v>R168</v>
      </c>
      <c r="CQ65" t="str">
        <f>AF64</f>
        <v>R42</v>
      </c>
      <c r="CR65" t="str">
        <f t="shared" si="31"/>
        <v>R42</v>
      </c>
      <c r="CS65" t="s">
        <v>973</v>
      </c>
      <c r="CT65" t="s">
        <v>973</v>
      </c>
      <c r="CU65" t="s">
        <v>973</v>
      </c>
      <c r="CV65" t="b">
        <f t="shared" si="45"/>
        <v>1</v>
      </c>
      <c r="DC65" t="str">
        <f t="shared" si="32"/>
        <v>G541</v>
      </c>
      <c r="DD65" t="b">
        <f t="shared" si="47"/>
        <v>0</v>
      </c>
      <c r="DE65" t="str">
        <f t="shared" si="48"/>
        <v>G541</v>
      </c>
      <c r="DF65" t="str">
        <f t="shared" si="33"/>
        <v>R42</v>
      </c>
      <c r="DG65" t="b">
        <f t="shared" si="49"/>
        <v>0</v>
      </c>
      <c r="DH65" t="str">
        <f t="shared" si="50"/>
        <v>R42</v>
      </c>
    </row>
    <row r="66" spans="2:112" ht="12" customHeight="1">
      <c r="B66" t="str">
        <f>TBIDry!H138</f>
        <v>G49</v>
      </c>
      <c r="C66" t="str">
        <f>TBIDry!I138</f>
        <v>R733</v>
      </c>
      <c r="D66" t="b">
        <f t="shared" si="1"/>
        <v>0</v>
      </c>
      <c r="E66" t="b">
        <f t="shared" si="2"/>
        <v>0</v>
      </c>
      <c r="G66" t="str">
        <f>TBIWet!H138</f>
        <v>G387</v>
      </c>
      <c r="H66" t="str">
        <f>TBIWet!I138</f>
        <v>R185</v>
      </c>
      <c r="I66" t="b">
        <f t="shared" si="3"/>
        <v>0</v>
      </c>
      <c r="J66" t="b">
        <f t="shared" si="34"/>
        <v>0</v>
      </c>
      <c r="L66" t="str">
        <f>'Both teabags AfterWet'!A64</f>
        <v>G433</v>
      </c>
      <c r="M66" t="str">
        <f>'Both teabags AfterWet'!A484</f>
        <v>R17</v>
      </c>
      <c r="N66" t="b">
        <f t="shared" si="4"/>
        <v>0</v>
      </c>
      <c r="O66" t="b">
        <f t="shared" si="51"/>
        <v>0</v>
      </c>
      <c r="Q66" s="395" t="b">
        <f t="shared" si="5"/>
        <v>0</v>
      </c>
      <c r="R66" s="395" t="b">
        <f t="shared" si="6"/>
        <v>0</v>
      </c>
      <c r="T66" t="str">
        <f>'Both teabags AfterDry'!A64</f>
        <v>G179</v>
      </c>
      <c r="U66" t="str">
        <f>'Both teabags AfterDry'!A399</f>
        <v>R261</v>
      </c>
      <c r="V66" t="b">
        <f t="shared" si="7"/>
        <v>0</v>
      </c>
      <c r="W66" t="b">
        <f t="shared" si="35"/>
        <v>0</v>
      </c>
      <c r="Y66" t="str">
        <f>'Green_rooibos initial weight'!A67</f>
        <v>G63</v>
      </c>
      <c r="Z66" t="str">
        <f>'Green_rooibos initial weight'!A971</f>
        <v>R63</v>
      </c>
      <c r="AA66" t="b">
        <f t="shared" si="8"/>
        <v>0</v>
      </c>
      <c r="AB66" t="b">
        <f t="shared" si="9"/>
        <v>0</v>
      </c>
      <c r="AE66" t="str">
        <f>'WetLitterbags placem_collection'!K65</f>
        <v>G387</v>
      </c>
      <c r="AF66" t="str">
        <f>'WetLitterbags placem_collection'!M65</f>
        <v>R185</v>
      </c>
      <c r="AG66" t="b">
        <f t="shared" si="10"/>
        <v>0</v>
      </c>
      <c r="AH66" t="b">
        <f t="shared" si="11"/>
        <v>0</v>
      </c>
      <c r="AJ66" t="b">
        <f t="shared" si="12"/>
        <v>0</v>
      </c>
      <c r="AK66" t="b">
        <f t="shared" si="13"/>
        <v>0</v>
      </c>
      <c r="AM66" t="str">
        <f>IF(ISBLANK('Dry_Litterbag Placem_Collection'!J65),"","G"&amp;""&amp;'Dry_Litterbag Placem_Collection'!J65)</f>
        <v>G49</v>
      </c>
      <c r="AN66" t="str">
        <f>IF(ISBLANK('Dry_Litterbag Placem_Collection'!K65),"","R"&amp;""&amp;'Dry_Litterbag Placem_Collection'!K65)</f>
        <v>R733</v>
      </c>
      <c r="AO66" t="b">
        <f t="shared" si="53"/>
        <v>0</v>
      </c>
      <c r="AP66" t="b">
        <f t="shared" si="15"/>
        <v>0</v>
      </c>
      <c r="AS66" t="str">
        <f>'Ashed teabags dry'!A64</f>
        <v>G179</v>
      </c>
      <c r="AT66" t="str">
        <f>'Ashed teabags dry'!A399</f>
        <v>R261</v>
      </c>
      <c r="AU66" t="b">
        <f t="shared" si="16"/>
        <v>0</v>
      </c>
      <c r="AV66" t="b">
        <f>COUNTIF($AT$4:$AT$2000, AT66)&gt;1</f>
        <v>0</v>
      </c>
      <c r="AX66" s="395" t="b">
        <f t="shared" si="17"/>
        <v>0</v>
      </c>
      <c r="AY66" s="395" t="b">
        <f t="shared" si="18"/>
        <v>0</v>
      </c>
      <c r="BA66" t="str">
        <f>'Ashed teabags wet'!A64</f>
        <v>G433</v>
      </c>
      <c r="BB66" t="str">
        <f>'Ashed teabags wet'!A484</f>
        <v>R17</v>
      </c>
      <c r="BC66" t="b">
        <f t="shared" si="19"/>
        <v>0</v>
      </c>
      <c r="BD66" t="b">
        <f t="shared" si="0"/>
        <v>0</v>
      </c>
      <c r="BF66" t="str">
        <f t="shared" si="20"/>
        <v>G176</v>
      </c>
      <c r="BG66" t="str">
        <f>T65</f>
        <v>G176</v>
      </c>
      <c r="BH66" t="str">
        <f t="shared" si="21"/>
        <v/>
      </c>
      <c r="BI66" t="str">
        <f t="shared" si="36"/>
        <v/>
      </c>
      <c r="BJ66" t="s">
        <v>1874</v>
      </c>
      <c r="BK66" t="s">
        <v>1874</v>
      </c>
      <c r="BL66" t="s">
        <v>1874</v>
      </c>
      <c r="BM66" t="b">
        <f t="shared" si="37"/>
        <v>1</v>
      </c>
      <c r="BN66" t="str">
        <f t="shared" si="22"/>
        <v>R260</v>
      </c>
      <c r="BO66" t="str">
        <f>U65</f>
        <v>R260</v>
      </c>
      <c r="BP66" t="str">
        <f t="shared" si="23"/>
        <v/>
      </c>
      <c r="BQ66" t="str">
        <f t="shared" si="24"/>
        <v/>
      </c>
      <c r="BR66" t="s">
        <v>881</v>
      </c>
      <c r="BS66" t="s">
        <v>881</v>
      </c>
      <c r="BT66" t="s">
        <v>881</v>
      </c>
      <c r="BU66" t="b">
        <f t="shared" si="38"/>
        <v>1</v>
      </c>
      <c r="BV66" s="180"/>
      <c r="BW66" s="180"/>
      <c r="BZ66" t="str">
        <f t="shared" si="25"/>
        <v/>
      </c>
      <c r="CA66" t="b">
        <f t="shared" si="26"/>
        <v>0</v>
      </c>
      <c r="CB66" t="str">
        <f t="shared" si="39"/>
        <v/>
      </c>
      <c r="CC66" t="str">
        <f t="shared" si="27"/>
        <v/>
      </c>
      <c r="CD66" t="b">
        <f t="shared" si="40"/>
        <v>0</v>
      </c>
      <c r="CE66" t="str">
        <f t="shared" si="41"/>
        <v/>
      </c>
      <c r="CG66" t="str">
        <f t="shared" si="28"/>
        <v>G429</v>
      </c>
      <c r="CH66" t="str">
        <f t="shared" si="42"/>
        <v>G429</v>
      </c>
      <c r="CI66" t="str">
        <f>AE65</f>
        <v>G565</v>
      </c>
      <c r="CJ66" t="str">
        <f t="shared" si="29"/>
        <v>G565</v>
      </c>
      <c r="CK66" t="s">
        <v>1621</v>
      </c>
      <c r="CL66" t="s">
        <v>1621</v>
      </c>
      <c r="CM66" t="s">
        <v>1621</v>
      </c>
      <c r="CN66" t="b">
        <f t="shared" si="43"/>
        <v>1</v>
      </c>
      <c r="CO66" t="str">
        <f t="shared" si="30"/>
        <v>R169</v>
      </c>
      <c r="CP66" t="str">
        <f t="shared" si="44"/>
        <v>R169</v>
      </c>
      <c r="CQ66" t="str">
        <f>AF65</f>
        <v>R119</v>
      </c>
      <c r="CR66" t="str">
        <f t="shared" si="31"/>
        <v>R119</v>
      </c>
      <c r="CS66" t="s">
        <v>972</v>
      </c>
      <c r="CT66" t="s">
        <v>972</v>
      </c>
      <c r="CU66" s="180" t="s">
        <v>972</v>
      </c>
      <c r="CV66" t="b">
        <f t="shared" si="45"/>
        <v>1</v>
      </c>
      <c r="DC66" t="str">
        <f t="shared" si="32"/>
        <v>G565</v>
      </c>
      <c r="DD66" t="b">
        <f t="shared" si="47"/>
        <v>0</v>
      </c>
      <c r="DE66" t="str">
        <f t="shared" si="48"/>
        <v>G565</v>
      </c>
      <c r="DF66" t="str">
        <f t="shared" si="33"/>
        <v>R119</v>
      </c>
      <c r="DG66" t="b">
        <f t="shared" si="49"/>
        <v>0</v>
      </c>
      <c r="DH66" t="str">
        <f t="shared" si="50"/>
        <v>R119</v>
      </c>
    </row>
    <row r="67" spans="2:112" ht="12" customHeight="1">
      <c r="B67" t="str">
        <f>TBIDry!H139</f>
        <v>G347</v>
      </c>
      <c r="C67" t="str">
        <f>TBIDry!I139</f>
        <v>R765</v>
      </c>
      <c r="D67" t="b">
        <f t="shared" si="1"/>
        <v>0</v>
      </c>
      <c r="E67" t="b">
        <f t="shared" si="2"/>
        <v>0</v>
      </c>
      <c r="G67" t="str">
        <f>TBIWet!H139</f>
        <v>G554</v>
      </c>
      <c r="H67" t="str">
        <f>TBIWet!I139</f>
        <v>R159</v>
      </c>
      <c r="I67" t="b">
        <f t="shared" si="3"/>
        <v>0</v>
      </c>
      <c r="J67" t="b">
        <f t="shared" si="34"/>
        <v>0</v>
      </c>
      <c r="L67" t="str">
        <f>'Both teabags AfterWet'!A65</f>
        <v>G436</v>
      </c>
      <c r="M67" t="str">
        <f>'Both teabags AfterWet'!A485</f>
        <v>R171</v>
      </c>
      <c r="N67" t="b">
        <f t="shared" si="4"/>
        <v>0</v>
      </c>
      <c r="O67" t="b">
        <f t="shared" si="51"/>
        <v>0</v>
      </c>
      <c r="Q67" s="395" t="b">
        <f t="shared" si="5"/>
        <v>0</v>
      </c>
      <c r="R67" s="395" t="b">
        <f t="shared" si="6"/>
        <v>0</v>
      </c>
      <c r="T67" t="str">
        <f>'Both teabags AfterDry'!A65</f>
        <v>G181</v>
      </c>
      <c r="U67" t="str">
        <f>'Both teabags AfterDry'!A400</f>
        <v>R267</v>
      </c>
      <c r="V67" t="b">
        <f t="shared" si="7"/>
        <v>0</v>
      </c>
      <c r="W67" t="b">
        <f t="shared" si="35"/>
        <v>0</v>
      </c>
      <c r="Y67" t="str">
        <f>'Green_rooibos initial weight'!A68</f>
        <v>G64</v>
      </c>
      <c r="Z67" t="str">
        <f>'Green_rooibos initial weight'!A972</f>
        <v>R64</v>
      </c>
      <c r="AA67" t="b">
        <f t="shared" si="8"/>
        <v>0</v>
      </c>
      <c r="AB67" t="b">
        <f t="shared" si="9"/>
        <v>0</v>
      </c>
      <c r="AE67" t="str">
        <f>'WetLitterbags placem_collection'!K66</f>
        <v>G554</v>
      </c>
      <c r="AF67" t="str">
        <f>'WetLitterbags placem_collection'!M66</f>
        <v>R159</v>
      </c>
      <c r="AG67" t="b">
        <f t="shared" si="10"/>
        <v>0</v>
      </c>
      <c r="AH67" t="b">
        <f t="shared" si="11"/>
        <v>0</v>
      </c>
      <c r="AJ67" t="b">
        <f t="shared" si="12"/>
        <v>0</v>
      </c>
      <c r="AK67" t="b">
        <f t="shared" si="13"/>
        <v>0</v>
      </c>
      <c r="AM67" t="str">
        <f>IF(ISBLANK('Dry_Litterbag Placem_Collection'!J66),"","G"&amp;""&amp;'Dry_Litterbag Placem_Collection'!J66)</f>
        <v>G347</v>
      </c>
      <c r="AN67" t="str">
        <f>IF(ISBLANK('Dry_Litterbag Placem_Collection'!K66),"","R"&amp;""&amp;'Dry_Litterbag Placem_Collection'!K66)</f>
        <v>R765</v>
      </c>
      <c r="AO67" t="b">
        <f t="shared" si="53"/>
        <v>0</v>
      </c>
      <c r="AP67" t="b">
        <f t="shared" si="15"/>
        <v>0</v>
      </c>
      <c r="AS67" t="str">
        <f>'Ashed teabags dry'!A65</f>
        <v>G181</v>
      </c>
      <c r="AT67" t="str">
        <f>'Ashed teabags dry'!A400</f>
        <v>R267</v>
      </c>
      <c r="AU67" t="b">
        <f t="shared" si="16"/>
        <v>0</v>
      </c>
      <c r="AV67" t="b">
        <f>COUNTIF($AT$4:$AT$2000, AT67)&gt;1</f>
        <v>0</v>
      </c>
      <c r="AX67" s="395" t="b">
        <f t="shared" si="17"/>
        <v>0</v>
      </c>
      <c r="AY67" s="395" t="b">
        <f t="shared" si="18"/>
        <v>0</v>
      </c>
      <c r="BA67" t="str">
        <f>'Ashed teabags wet'!A65</f>
        <v>G436</v>
      </c>
      <c r="BB67" t="str">
        <f>'Ashed teabags wet'!A485</f>
        <v>R171</v>
      </c>
      <c r="BC67" t="b">
        <f t="shared" si="19"/>
        <v>0</v>
      </c>
      <c r="BD67" t="b">
        <f t="shared" si="0"/>
        <v>0</v>
      </c>
      <c r="BF67" t="str">
        <f t="shared" si="20"/>
        <v>G179</v>
      </c>
      <c r="BG67" t="str">
        <f>T66</f>
        <v>G179</v>
      </c>
      <c r="BH67" t="str">
        <f t="shared" si="21"/>
        <v>G49</v>
      </c>
      <c r="BI67" t="str">
        <f t="shared" si="36"/>
        <v>G49</v>
      </c>
      <c r="BJ67" t="s">
        <v>1871</v>
      </c>
      <c r="BK67" t="s">
        <v>1871</v>
      </c>
      <c r="BL67" t="s">
        <v>1871</v>
      </c>
      <c r="BM67" t="b">
        <f t="shared" si="37"/>
        <v>1</v>
      </c>
      <c r="BN67" t="str">
        <f t="shared" si="22"/>
        <v>R261</v>
      </c>
      <c r="BO67" t="str">
        <f>U66</f>
        <v>R261</v>
      </c>
      <c r="BP67" t="str">
        <f t="shared" si="23"/>
        <v>R733</v>
      </c>
      <c r="BQ67" t="str">
        <f t="shared" si="24"/>
        <v>R733</v>
      </c>
      <c r="BR67" t="s">
        <v>880</v>
      </c>
      <c r="BS67" t="s">
        <v>880</v>
      </c>
      <c r="BT67" t="s">
        <v>880</v>
      </c>
      <c r="BU67" t="b">
        <f t="shared" si="38"/>
        <v>1</v>
      </c>
      <c r="BV67" s="180"/>
      <c r="BW67" s="180"/>
      <c r="BZ67" t="str">
        <f t="shared" si="25"/>
        <v>G49</v>
      </c>
      <c r="CA67" t="b">
        <f t="shared" si="26"/>
        <v>0</v>
      </c>
      <c r="CB67" t="str">
        <f t="shared" si="39"/>
        <v>G49</v>
      </c>
      <c r="CC67" t="str">
        <f t="shared" si="27"/>
        <v>R733</v>
      </c>
      <c r="CD67" t="b">
        <f t="shared" si="40"/>
        <v>0</v>
      </c>
      <c r="CE67" t="str">
        <f t="shared" si="41"/>
        <v>R733</v>
      </c>
      <c r="CG67" t="str">
        <f t="shared" si="28"/>
        <v>G433</v>
      </c>
      <c r="CH67" t="str">
        <f t="shared" si="42"/>
        <v>G433</v>
      </c>
      <c r="CI67" t="str">
        <f>AE66</f>
        <v>G387</v>
      </c>
      <c r="CJ67" t="str">
        <f t="shared" si="29"/>
        <v>G387</v>
      </c>
      <c r="CK67" t="s">
        <v>1617</v>
      </c>
      <c r="CL67" t="s">
        <v>1617</v>
      </c>
      <c r="CM67" t="s">
        <v>1617</v>
      </c>
      <c r="CN67" t="b">
        <f t="shared" si="43"/>
        <v>1</v>
      </c>
      <c r="CO67" t="str">
        <f t="shared" si="30"/>
        <v>R17</v>
      </c>
      <c r="CP67" t="str">
        <f t="shared" si="44"/>
        <v>R17</v>
      </c>
      <c r="CQ67" t="str">
        <f>AF66</f>
        <v>R185</v>
      </c>
      <c r="CR67" t="str">
        <f t="shared" si="31"/>
        <v>R185</v>
      </c>
      <c r="CS67" t="s">
        <v>1124</v>
      </c>
      <c r="CT67" t="s">
        <v>1124</v>
      </c>
      <c r="CU67" s="180" t="s">
        <v>1124</v>
      </c>
      <c r="CV67" t="b">
        <f t="shared" si="45"/>
        <v>1</v>
      </c>
      <c r="DC67" t="str">
        <f t="shared" si="32"/>
        <v>G387</v>
      </c>
      <c r="DD67" t="b">
        <f t="shared" si="47"/>
        <v>0</v>
      </c>
      <c r="DE67" t="str">
        <f t="shared" si="48"/>
        <v>G387</v>
      </c>
      <c r="DF67" t="str">
        <f t="shared" si="33"/>
        <v>R185</v>
      </c>
      <c r="DG67" t="b">
        <f t="shared" si="49"/>
        <v>0</v>
      </c>
      <c r="DH67" t="str">
        <f t="shared" si="50"/>
        <v>R185</v>
      </c>
    </row>
    <row r="68" spans="2:112" ht="12" customHeight="1">
      <c r="B68" t="str">
        <f>TBIDry!H140</f>
        <v>G495</v>
      </c>
      <c r="C68" t="str">
        <f>TBIDry!I140</f>
        <v>R731</v>
      </c>
      <c r="D68" t="b">
        <f t="shared" si="1"/>
        <v>0</v>
      </c>
      <c r="E68" t="b">
        <f t="shared" si="2"/>
        <v>0</v>
      </c>
      <c r="G68" t="str">
        <f>TBIWet!H140</f>
        <v>G614</v>
      </c>
      <c r="H68" t="str">
        <f>TBIWet!I140</f>
        <v>R525</v>
      </c>
      <c r="I68" t="b">
        <f t="shared" si="3"/>
        <v>0</v>
      </c>
      <c r="J68" t="b">
        <f t="shared" si="34"/>
        <v>0</v>
      </c>
      <c r="L68" t="str">
        <f>'Both teabags AfterWet'!A66</f>
        <v>G437</v>
      </c>
      <c r="M68" t="str">
        <f>'Both teabags AfterWet'!A486</f>
        <v>R172</v>
      </c>
      <c r="N68" t="b">
        <f t="shared" si="4"/>
        <v>0</v>
      </c>
      <c r="O68" t="b">
        <f t="shared" si="51"/>
        <v>0</v>
      </c>
      <c r="Q68" s="395" t="b">
        <f t="shared" si="5"/>
        <v>0</v>
      </c>
      <c r="R68" s="395" t="b">
        <f t="shared" si="6"/>
        <v>0</v>
      </c>
      <c r="T68" t="str">
        <f>'Both teabags AfterDry'!A66</f>
        <v>G182</v>
      </c>
      <c r="U68" t="str">
        <f>'Both teabags AfterDry'!A401</f>
        <v>R269</v>
      </c>
      <c r="V68" t="b">
        <f t="shared" si="7"/>
        <v>0</v>
      </c>
      <c r="W68" t="b">
        <f t="shared" si="35"/>
        <v>0</v>
      </c>
      <c r="Y68" t="str">
        <f>'Green_rooibos initial weight'!A69</f>
        <v>G65</v>
      </c>
      <c r="Z68" t="str">
        <f>'Green_rooibos initial weight'!A973</f>
        <v>R65</v>
      </c>
      <c r="AA68" t="b">
        <f t="shared" si="8"/>
        <v>0</v>
      </c>
      <c r="AB68" t="b">
        <f t="shared" si="9"/>
        <v>0</v>
      </c>
      <c r="AE68" t="str">
        <f>'WetLitterbags placem_collection'!K67</f>
        <v>G614</v>
      </c>
      <c r="AF68" t="str">
        <f>'WetLitterbags placem_collection'!M67</f>
        <v>R525</v>
      </c>
      <c r="AG68" t="b">
        <f t="shared" si="10"/>
        <v>0</v>
      </c>
      <c r="AH68" t="b">
        <f t="shared" si="11"/>
        <v>0</v>
      </c>
      <c r="AJ68" t="b">
        <f t="shared" si="12"/>
        <v>0</v>
      </c>
      <c r="AK68" t="b">
        <f t="shared" si="13"/>
        <v>0</v>
      </c>
      <c r="AM68" t="str">
        <f>IF(ISBLANK('Dry_Litterbag Placem_Collection'!J67),"","G"&amp;""&amp;'Dry_Litterbag Placem_Collection'!J67)</f>
        <v>G495</v>
      </c>
      <c r="AN68" t="str">
        <f>IF(ISBLANK('Dry_Litterbag Placem_Collection'!K67),"","R"&amp;""&amp;'Dry_Litterbag Placem_Collection'!K67)</f>
        <v>R731</v>
      </c>
      <c r="AO68" t="b">
        <f t="shared" si="53"/>
        <v>0</v>
      </c>
      <c r="AP68" t="b">
        <f t="shared" si="15"/>
        <v>0</v>
      </c>
      <c r="AS68" t="str">
        <f>'Ashed teabags dry'!A66</f>
        <v>G182</v>
      </c>
      <c r="AT68" t="str">
        <f>'Ashed teabags dry'!A401</f>
        <v>R269</v>
      </c>
      <c r="AU68" t="b">
        <f t="shared" si="16"/>
        <v>0</v>
      </c>
      <c r="AV68" t="b">
        <f>COUNTIF($AT$4:$AT$2000, AT68)&gt;1</f>
        <v>0</v>
      </c>
      <c r="AX68" s="395" t="b">
        <f t="shared" si="17"/>
        <v>0</v>
      </c>
      <c r="AY68" s="395" t="b">
        <f t="shared" si="18"/>
        <v>0</v>
      </c>
      <c r="BA68" t="str">
        <f>'Ashed teabags wet'!A66</f>
        <v>G437</v>
      </c>
      <c r="BB68" t="str">
        <f>'Ashed teabags wet'!A486</f>
        <v>R172</v>
      </c>
      <c r="BC68" t="b">
        <f t="shared" si="19"/>
        <v>0</v>
      </c>
      <c r="BD68" t="b">
        <f t="shared" ref="BD68:BD131" si="55">COUNTIF($BB$4:$BB$2000, BB68)&gt;1</f>
        <v>0</v>
      </c>
      <c r="BF68" t="str">
        <f t="shared" si="20"/>
        <v>G181</v>
      </c>
      <c r="BG68" t="str">
        <f>T67</f>
        <v>G181</v>
      </c>
      <c r="BH68" t="str">
        <f t="shared" si="21"/>
        <v>G347</v>
      </c>
      <c r="BI68" t="str">
        <f t="shared" si="36"/>
        <v>G347</v>
      </c>
      <c r="BJ68" t="s">
        <v>1869</v>
      </c>
      <c r="BK68" t="s">
        <v>1869</v>
      </c>
      <c r="BL68" t="s">
        <v>1869</v>
      </c>
      <c r="BM68" t="b">
        <f t="shared" si="37"/>
        <v>1</v>
      </c>
      <c r="BN68" t="str">
        <f t="shared" si="22"/>
        <v>R267</v>
      </c>
      <c r="BO68" t="str">
        <f>U67</f>
        <v>R267</v>
      </c>
      <c r="BP68" t="str">
        <f t="shared" si="23"/>
        <v>R765</v>
      </c>
      <c r="BQ68" t="str">
        <f t="shared" si="24"/>
        <v>R765</v>
      </c>
      <c r="BR68" t="s">
        <v>874</v>
      </c>
      <c r="BS68" t="s">
        <v>874</v>
      </c>
      <c r="BT68" t="s">
        <v>874</v>
      </c>
      <c r="BU68" t="b">
        <f t="shared" si="38"/>
        <v>1</v>
      </c>
      <c r="BV68" s="180"/>
      <c r="BW68" s="180"/>
      <c r="BZ68" t="str">
        <f t="shared" si="25"/>
        <v>G347</v>
      </c>
      <c r="CA68" t="b">
        <f t="shared" si="26"/>
        <v>0</v>
      </c>
      <c r="CB68" t="str">
        <f t="shared" si="39"/>
        <v>G347</v>
      </c>
      <c r="CC68" t="str">
        <f t="shared" si="27"/>
        <v>R765</v>
      </c>
      <c r="CD68" t="b">
        <f t="shared" si="40"/>
        <v>0</v>
      </c>
      <c r="CE68" t="str">
        <f t="shared" si="41"/>
        <v>R765</v>
      </c>
      <c r="CG68" t="str">
        <f t="shared" si="28"/>
        <v>G436</v>
      </c>
      <c r="CH68" t="str">
        <f t="shared" si="42"/>
        <v>G436</v>
      </c>
      <c r="CI68" t="str">
        <f>AE67</f>
        <v>G554</v>
      </c>
      <c r="CJ68" t="str">
        <f t="shared" si="29"/>
        <v>G554</v>
      </c>
      <c r="CK68" t="s">
        <v>1614</v>
      </c>
      <c r="CL68" t="s">
        <v>1614</v>
      </c>
      <c r="CM68" t="s">
        <v>1614</v>
      </c>
      <c r="CN68" t="b">
        <f t="shared" si="43"/>
        <v>1</v>
      </c>
      <c r="CO68" t="str">
        <f t="shared" si="30"/>
        <v>R171</v>
      </c>
      <c r="CP68" t="str">
        <f t="shared" si="44"/>
        <v>R171</v>
      </c>
      <c r="CQ68" t="str">
        <f>AF67</f>
        <v>R159</v>
      </c>
      <c r="CR68" t="str">
        <f t="shared" si="31"/>
        <v>R159</v>
      </c>
      <c r="CS68" t="s">
        <v>970</v>
      </c>
      <c r="CT68" t="s">
        <v>970</v>
      </c>
      <c r="CU68" t="s">
        <v>970</v>
      </c>
      <c r="CV68" t="b">
        <f t="shared" si="45"/>
        <v>1</v>
      </c>
      <c r="DC68" t="str">
        <f t="shared" si="32"/>
        <v>G554</v>
      </c>
      <c r="DD68" t="b">
        <f t="shared" si="47"/>
        <v>0</v>
      </c>
      <c r="DE68" t="str">
        <f t="shared" si="48"/>
        <v>G554</v>
      </c>
      <c r="DF68" t="str">
        <f t="shared" si="33"/>
        <v>R159</v>
      </c>
      <c r="DG68" t="b">
        <f t="shared" si="49"/>
        <v>0</v>
      </c>
      <c r="DH68" t="str">
        <f t="shared" si="50"/>
        <v>R159</v>
      </c>
    </row>
    <row r="69" spans="2:112" ht="12" customHeight="1">
      <c r="B69" t="str">
        <f>TBIDry!H141</f>
        <v>G247</v>
      </c>
      <c r="C69" t="str">
        <f>TBIDry!I141</f>
        <v>R816</v>
      </c>
      <c r="D69" t="b">
        <f t="shared" ref="D69:D132" si="56">COUNTIF($B$4:$B$2000, B69)&gt;1</f>
        <v>0</v>
      </c>
      <c r="E69" t="b">
        <f t="shared" ref="E69:E132" si="57">COUNTIF($C$4:$C$2000, C69)&gt;1</f>
        <v>0</v>
      </c>
      <c r="G69" t="str">
        <f>TBIWet!H141</f>
        <v>G282</v>
      </c>
      <c r="H69" t="str">
        <f>TBIWet!I141</f>
        <v>R150</v>
      </c>
      <c r="I69" t="b">
        <f t="shared" ref="I69:I132" si="58">COUNTIF($G$4:$G$2000, G69)&gt;1</f>
        <v>0</v>
      </c>
      <c r="J69" t="b">
        <f t="shared" ref="J69:J132" si="59">COUNTIF($H$4:$H$2000, H69)&gt;1</f>
        <v>0</v>
      </c>
      <c r="L69" t="str">
        <f>'Both teabags AfterWet'!A67</f>
        <v>G439</v>
      </c>
      <c r="M69" t="str">
        <f>'Both teabags AfterWet'!A487</f>
        <v>R176</v>
      </c>
      <c r="N69" t="b">
        <f t="shared" ref="N69:N132" si="60">COUNTIF($L$4:$L$2000, L69)&gt;1</f>
        <v>0</v>
      </c>
      <c r="O69" t="b">
        <f t="shared" si="51"/>
        <v>0</v>
      </c>
      <c r="Q69" s="395" t="b">
        <f t="shared" ref="Q69:Q132" si="61">COUNTIF($T$4:$T$2000, L69)=1</f>
        <v>0</v>
      </c>
      <c r="R69" s="395" t="b">
        <f t="shared" ref="R69:R132" si="62" xml:space="preserve"> COUNTIF($U$4:$U$2000,M69)=1</f>
        <v>0</v>
      </c>
      <c r="T69" t="str">
        <f>'Both teabags AfterDry'!A67</f>
        <v>G183</v>
      </c>
      <c r="U69" t="str">
        <f>'Both teabags AfterDry'!A402</f>
        <v>R270</v>
      </c>
      <c r="V69" t="b">
        <f t="shared" ref="V69:V132" si="63">COUNTIF($T$4:$T$2000, T69)&gt;1</f>
        <v>0</v>
      </c>
      <c r="W69" t="b">
        <f t="shared" si="35"/>
        <v>0</v>
      </c>
      <c r="Y69" t="str">
        <f>'Green_rooibos initial weight'!A70</f>
        <v>G66</v>
      </c>
      <c r="Z69" t="str">
        <f>'Green_rooibos initial weight'!A974</f>
        <v>R66</v>
      </c>
      <c r="AA69" t="b">
        <f t="shared" ref="AA69:AA132" si="64">COUNTIF($Y$4:$Y$2000, Y69)&gt;1</f>
        <v>0</v>
      </c>
      <c r="AB69" t="b">
        <f t="shared" ref="AB69:AB132" si="65">COUNTIF($Z$4:$Z$2000, Z69)&gt;1</f>
        <v>0</v>
      </c>
      <c r="AE69" t="str">
        <f>'WetLitterbags placem_collection'!K68</f>
        <v>G282</v>
      </c>
      <c r="AF69" t="str">
        <f>'WetLitterbags placem_collection'!M68</f>
        <v>R150</v>
      </c>
      <c r="AG69" t="b">
        <f t="shared" ref="AG69:AG132" si="66">COUNTIF($AE$4:$AE$2000, AE69)&gt;1</f>
        <v>0</v>
      </c>
      <c r="AH69" t="b">
        <f t="shared" ref="AH69:AH132" si="67">COUNTIF($AF$4:$AF$2000, AF69)&gt;1</f>
        <v>0</v>
      </c>
      <c r="AJ69" t="b">
        <f t="shared" ref="AJ69:AJ132" si="68">COUNTIF($AM$4:$AM$2000, AE69)=1</f>
        <v>0</v>
      </c>
      <c r="AK69" t="b">
        <f t="shared" ref="AK69:AK132" si="69">COUNTIF($AN$4:$AN$2000, AF69)=1</f>
        <v>0</v>
      </c>
      <c r="AM69" t="str">
        <f>IF(ISBLANK('Dry_Litterbag Placem_Collection'!J68),"","G"&amp;""&amp;'Dry_Litterbag Placem_Collection'!J68)</f>
        <v>G247</v>
      </c>
      <c r="AN69" t="str">
        <f>IF(ISBLANK('Dry_Litterbag Placem_Collection'!K68),"","R"&amp;""&amp;'Dry_Litterbag Placem_Collection'!K68)</f>
        <v>R816</v>
      </c>
      <c r="AO69" t="b">
        <f t="shared" ref="AO69:AO132" si="70">COUNTIF($AM$4:$AM$2000, AM69)&gt;1</f>
        <v>0</v>
      </c>
      <c r="AP69" t="b">
        <f t="shared" ref="AP69:AP132" si="71">COUNTIF($AN$4:$AN$2000, AN69)&gt;1</f>
        <v>0</v>
      </c>
      <c r="AS69" t="str">
        <f>'Ashed teabags dry'!A67</f>
        <v>G183</v>
      </c>
      <c r="AT69" t="str">
        <f>'Ashed teabags dry'!A402</f>
        <v>R270</v>
      </c>
      <c r="AU69" t="b">
        <f t="shared" ref="AU69:AU132" si="72">COUNTIF($AS$4:$AS$2000, AS69)&gt;1</f>
        <v>0</v>
      </c>
      <c r="AV69" t="b">
        <f>COUNTIF($AT$4:$AT$2000, AT69)&gt;1</f>
        <v>0</v>
      </c>
      <c r="AX69" s="395" t="b">
        <f t="shared" ref="AX69:AX132" si="73">COUNTIF($BA$4:$BA$2000, AS69)=1</f>
        <v>0</v>
      </c>
      <c r="AY69" s="395" t="b">
        <f t="shared" ref="AY69:AY132" si="74">COUNTIF($BB$4:$BB$2000, AT69)=1</f>
        <v>0</v>
      </c>
      <c r="BA69" t="str">
        <f>'Ashed teabags wet'!A67</f>
        <v>G439</v>
      </c>
      <c r="BB69" t="str">
        <f>'Ashed teabags wet'!A487</f>
        <v>R176</v>
      </c>
      <c r="BC69" t="b">
        <f t="shared" ref="BC69:BC132" si="75">COUNTIF($BA$4:$BA$2000, BA69)&gt;1</f>
        <v>0</v>
      </c>
      <c r="BD69" t="b">
        <f t="shared" si="55"/>
        <v>0</v>
      </c>
      <c r="BF69" t="str">
        <f t="shared" ref="BF69:BF132" si="76">AS68</f>
        <v>G182</v>
      </c>
      <c r="BG69" t="str">
        <f>T68</f>
        <v>G182</v>
      </c>
      <c r="BH69" t="str">
        <f t="shared" ref="BH69:BH132" si="77">B68</f>
        <v>G495</v>
      </c>
      <c r="BI69" t="str">
        <f t="shared" si="36"/>
        <v/>
      </c>
      <c r="BJ69" t="s">
        <v>1868</v>
      </c>
      <c r="BK69" t="s">
        <v>1868</v>
      </c>
      <c r="BL69" t="s">
        <v>1868</v>
      </c>
      <c r="BM69" t="b">
        <f t="shared" si="37"/>
        <v>1</v>
      </c>
      <c r="BN69" t="str">
        <f t="shared" ref="BN69:BN132" si="78">AT68</f>
        <v>R269</v>
      </c>
      <c r="BO69" t="str">
        <f>U68</f>
        <v>R269</v>
      </c>
      <c r="BP69" t="str">
        <f t="shared" ref="BP69:BP132" si="79">C68</f>
        <v>R731</v>
      </c>
      <c r="BQ69" t="str">
        <f t="shared" ref="BQ69:BS132" si="80">CE69</f>
        <v/>
      </c>
      <c r="BR69" t="s">
        <v>872</v>
      </c>
      <c r="BS69" t="s">
        <v>872</v>
      </c>
      <c r="BT69" t="s">
        <v>872</v>
      </c>
      <c r="BU69" t="b">
        <f t="shared" si="38"/>
        <v>1</v>
      </c>
      <c r="BZ69" t="str">
        <f t="shared" ref="BZ69:BZ132" si="81">BH69</f>
        <v>G495</v>
      </c>
      <c r="CA69" t="b">
        <f t="shared" ref="CA69:CA132" si="82">COUNTIF($BV$5:$BV$2000, BZ69)=1</f>
        <v>1</v>
      </c>
      <c r="CB69" t="str">
        <f t="shared" si="39"/>
        <v/>
      </c>
      <c r="CC69" t="str">
        <f t="shared" ref="CC69:CC132" si="83">BP69</f>
        <v>R731</v>
      </c>
      <c r="CD69" t="b">
        <f t="shared" si="40"/>
        <v>1</v>
      </c>
      <c r="CE69" t="str">
        <f t="shared" si="41"/>
        <v/>
      </c>
      <c r="CG69" t="str">
        <f t="shared" ref="CG69:CG132" si="84">BA68</f>
        <v>G437</v>
      </c>
      <c r="CH69" t="str">
        <f t="shared" si="42"/>
        <v>G437</v>
      </c>
      <c r="CI69" t="str">
        <f>AE68</f>
        <v>G614</v>
      </c>
      <c r="CJ69" t="str">
        <f t="shared" ref="CJ69:CL132" si="85">DE69</f>
        <v>G614</v>
      </c>
      <c r="CK69" t="s">
        <v>1613</v>
      </c>
      <c r="CL69" t="s">
        <v>1613</v>
      </c>
      <c r="CM69" t="s">
        <v>1613</v>
      </c>
      <c r="CN69" t="b">
        <f t="shared" si="43"/>
        <v>1</v>
      </c>
      <c r="CO69" t="str">
        <f t="shared" ref="CO69:CO132" si="86">BB68</f>
        <v>R172</v>
      </c>
      <c r="CP69" t="str">
        <f t="shared" si="44"/>
        <v>R172</v>
      </c>
      <c r="CQ69" t="str">
        <f>AF68</f>
        <v>R525</v>
      </c>
      <c r="CR69" t="str">
        <f t="shared" ref="CR69:CT132" si="87">DH69</f>
        <v>R525</v>
      </c>
      <c r="CS69" t="s">
        <v>969</v>
      </c>
      <c r="CT69" t="s">
        <v>969</v>
      </c>
      <c r="CU69" t="s">
        <v>969</v>
      </c>
      <c r="CV69" t="b">
        <f t="shared" si="45"/>
        <v>1</v>
      </c>
      <c r="DC69" t="str">
        <f t="shared" ref="DC69:DC132" si="88">CI69</f>
        <v>G614</v>
      </c>
      <c r="DD69" t="b">
        <f t="shared" si="47"/>
        <v>0</v>
      </c>
      <c r="DE69" t="str">
        <f t="shared" si="48"/>
        <v>G614</v>
      </c>
      <c r="DF69" t="str">
        <f t="shared" ref="DF69:DF132" si="89">CQ69</f>
        <v>R525</v>
      </c>
      <c r="DG69" t="b">
        <f t="shared" si="49"/>
        <v>0</v>
      </c>
      <c r="DH69" t="str">
        <f t="shared" si="50"/>
        <v>R525</v>
      </c>
    </row>
    <row r="70" spans="2:112" ht="12" customHeight="1">
      <c r="B70" t="str">
        <f>TBIDry!H142</f>
        <v/>
      </c>
      <c r="C70" t="str">
        <f>TBIDry!I142</f>
        <v/>
      </c>
      <c r="D70" t="b">
        <f t="shared" si="56"/>
        <v>1</v>
      </c>
      <c r="E70" t="b">
        <f t="shared" si="57"/>
        <v>1</v>
      </c>
      <c r="G70" t="str">
        <f>TBIWet!H142</f>
        <v>G450</v>
      </c>
      <c r="H70" t="str">
        <f>TBIWet!I142</f>
        <v>R165</v>
      </c>
      <c r="I70" t="b">
        <f t="shared" si="58"/>
        <v>0</v>
      </c>
      <c r="J70" t="b">
        <f t="shared" si="59"/>
        <v>0</v>
      </c>
      <c r="L70" t="str">
        <f>'Both teabags AfterWet'!A68</f>
        <v>G440</v>
      </c>
      <c r="M70" t="str">
        <f>'Both teabags AfterWet'!A488</f>
        <v>R177</v>
      </c>
      <c r="N70" t="b">
        <f t="shared" si="60"/>
        <v>0</v>
      </c>
      <c r="O70" t="b">
        <f t="shared" si="51"/>
        <v>0</v>
      </c>
      <c r="Q70" s="395" t="b">
        <f t="shared" si="61"/>
        <v>0</v>
      </c>
      <c r="R70" s="395" t="b">
        <f t="shared" si="62"/>
        <v>0</v>
      </c>
      <c r="T70" t="str">
        <f>'Both teabags AfterDry'!A68</f>
        <v>G184</v>
      </c>
      <c r="U70" t="str">
        <f>'Both teabags AfterDry'!A403</f>
        <v>R272</v>
      </c>
      <c r="V70" t="b">
        <f t="shared" si="63"/>
        <v>0</v>
      </c>
      <c r="W70" t="b">
        <f t="shared" ref="W70:W133" si="90">COUNTIF($U$4:$U$2000, U70)&gt;1</f>
        <v>0</v>
      </c>
      <c r="Y70" t="str">
        <f>'Green_rooibos initial weight'!A71</f>
        <v>G67</v>
      </c>
      <c r="Z70" t="str">
        <f>'Green_rooibos initial weight'!A975</f>
        <v>R67</v>
      </c>
      <c r="AA70" t="b">
        <f t="shared" si="64"/>
        <v>0</v>
      </c>
      <c r="AB70" t="b">
        <f t="shared" si="65"/>
        <v>0</v>
      </c>
      <c r="AE70" t="str">
        <f>'WetLitterbags placem_collection'!K69</f>
        <v>G450</v>
      </c>
      <c r="AF70" t="str">
        <f>'WetLitterbags placem_collection'!M69</f>
        <v>R165</v>
      </c>
      <c r="AG70" t="b">
        <f t="shared" si="66"/>
        <v>0</v>
      </c>
      <c r="AH70" t="b">
        <f t="shared" si="67"/>
        <v>0</v>
      </c>
      <c r="AJ70" t="b">
        <f t="shared" si="68"/>
        <v>0</v>
      </c>
      <c r="AK70" t="b">
        <f t="shared" si="69"/>
        <v>0</v>
      </c>
      <c r="AM70" t="str">
        <f>IF(ISBLANK('Dry_Litterbag Placem_Collection'!J69),"","G"&amp;""&amp;'Dry_Litterbag Placem_Collection'!J69)</f>
        <v/>
      </c>
      <c r="AN70" t="str">
        <f>IF(ISBLANK('Dry_Litterbag Placem_Collection'!K69),"","R"&amp;""&amp;'Dry_Litterbag Placem_Collection'!K69)</f>
        <v/>
      </c>
      <c r="AO70" t="b">
        <f t="shared" si="70"/>
        <v>1</v>
      </c>
      <c r="AP70" t="b">
        <f t="shared" si="71"/>
        <v>1</v>
      </c>
      <c r="AS70" t="str">
        <f>'Ashed teabags dry'!A68</f>
        <v>G184</v>
      </c>
      <c r="AT70" t="str">
        <f>'Ashed teabags dry'!A403</f>
        <v>R272</v>
      </c>
      <c r="AU70" t="b">
        <f t="shared" si="72"/>
        <v>0</v>
      </c>
      <c r="AV70" t="b">
        <f>COUNTIF($AT$4:$AT$2000, AT70)&gt;1</f>
        <v>0</v>
      </c>
      <c r="AX70" s="395" t="b">
        <f t="shared" si="73"/>
        <v>0</v>
      </c>
      <c r="AY70" s="395" t="b">
        <f t="shared" si="74"/>
        <v>0</v>
      </c>
      <c r="BA70" t="str">
        <f>'Ashed teabags wet'!A68</f>
        <v>G440</v>
      </c>
      <c r="BB70" t="str">
        <f>'Ashed teabags wet'!A488</f>
        <v>R177</v>
      </c>
      <c r="BC70" t="b">
        <f t="shared" si="75"/>
        <v>0</v>
      </c>
      <c r="BD70" t="b">
        <f t="shared" si="55"/>
        <v>0</v>
      </c>
      <c r="BF70" t="str">
        <f t="shared" si="76"/>
        <v>G183</v>
      </c>
      <c r="BG70" t="str">
        <f>T69</f>
        <v>G183</v>
      </c>
      <c r="BH70" t="str">
        <f t="shared" si="77"/>
        <v>G247</v>
      </c>
      <c r="BI70" t="str">
        <f t="shared" ref="BI70:BK133" si="91">CB70</f>
        <v>G247</v>
      </c>
      <c r="BJ70" t="s">
        <v>1867</v>
      </c>
      <c r="BK70" t="s">
        <v>1867</v>
      </c>
      <c r="BL70" t="s">
        <v>1867</v>
      </c>
      <c r="BM70" t="b">
        <f t="shared" ref="BM70:BM133" si="92" xml:space="preserve"> COUNTIF($BJ$5:$BL$2000,BK70)=3</f>
        <v>1</v>
      </c>
      <c r="BN70" t="str">
        <f t="shared" si="78"/>
        <v>R270</v>
      </c>
      <c r="BO70" t="str">
        <f>U69</f>
        <v>R270</v>
      </c>
      <c r="BP70" t="str">
        <f t="shared" si="79"/>
        <v>R816</v>
      </c>
      <c r="BQ70" t="str">
        <f t="shared" si="80"/>
        <v>R816</v>
      </c>
      <c r="BR70" t="s">
        <v>871</v>
      </c>
      <c r="BS70" t="s">
        <v>871</v>
      </c>
      <c r="BT70" t="s">
        <v>871</v>
      </c>
      <c r="BU70" t="b">
        <f t="shared" ref="BU70:BU133" si="93" xml:space="preserve"> COUNTIF($BR$5:$BT$2000,BS70)=3</f>
        <v>1</v>
      </c>
      <c r="BZ70" t="str">
        <f t="shared" si="81"/>
        <v>G247</v>
      </c>
      <c r="CA70" t="b">
        <f t="shared" si="82"/>
        <v>0</v>
      </c>
      <c r="CB70" t="str">
        <f t="shared" ref="CB70:CB133" si="94">IF(ISNUMBER(SEARCH("USANN",CA70)),BZ70,"")</f>
        <v>G247</v>
      </c>
      <c r="CC70" t="str">
        <f t="shared" si="83"/>
        <v>R816</v>
      </c>
      <c r="CD70" t="b">
        <f t="shared" ref="CD70:CD133" si="95">COUNTIF($BW$5:$BW$2000, CC70)=1</f>
        <v>0</v>
      </c>
      <c r="CE70" t="str">
        <f t="shared" ref="CE70:CE133" si="96">IF(ISNUMBER(SEARCH("USANN",CD70)),CC70,"")</f>
        <v>R816</v>
      </c>
      <c r="CG70" t="str">
        <f t="shared" si="84"/>
        <v>G439</v>
      </c>
      <c r="CH70" t="str">
        <f t="shared" ref="CH70:CH133" si="97">L69</f>
        <v>G439</v>
      </c>
      <c r="CI70" t="str">
        <f>AE69</f>
        <v>G282</v>
      </c>
      <c r="CJ70" t="str">
        <f t="shared" si="85"/>
        <v>G282</v>
      </c>
      <c r="CK70" t="s">
        <v>1611</v>
      </c>
      <c r="CL70" t="s">
        <v>1611</v>
      </c>
      <c r="CM70" t="s">
        <v>1611</v>
      </c>
      <c r="CN70" t="b">
        <f t="shared" ref="CN70:CN133" si="98" xml:space="preserve"> COUNTIF($CK$5:$CM$2000,CL70)=3</f>
        <v>1</v>
      </c>
      <c r="CO70" t="str">
        <f t="shared" si="86"/>
        <v>R176</v>
      </c>
      <c r="CP70" t="str">
        <f t="shared" ref="CP70:CP133" si="99">M69</f>
        <v>R176</v>
      </c>
      <c r="CQ70" t="str">
        <f>AF69</f>
        <v>R150</v>
      </c>
      <c r="CR70" t="str">
        <f t="shared" si="87"/>
        <v>R150</v>
      </c>
      <c r="CS70" t="s">
        <v>965</v>
      </c>
      <c r="CT70" t="s">
        <v>965</v>
      </c>
      <c r="CU70" t="s">
        <v>965</v>
      </c>
      <c r="CV70" t="b">
        <f t="shared" ref="CV70:CV133" si="100" xml:space="preserve"> COUNTIF($CS$5:$CU$2000,CT70)=3</f>
        <v>1</v>
      </c>
      <c r="DC70" t="str">
        <f t="shared" si="88"/>
        <v>G282</v>
      </c>
      <c r="DD70" t="b">
        <f t="shared" ref="DD70:DD133" si="101">COUNTIF($CW$5:$CW$2000, DC70)=1</f>
        <v>0</v>
      </c>
      <c r="DE70" t="str">
        <f t="shared" ref="DE70:DE133" si="102">IF(ISNUMBER(SEARCH("USANN",DD70)),DC70,"")</f>
        <v>G282</v>
      </c>
      <c r="DF70" t="str">
        <f t="shared" si="89"/>
        <v>R150</v>
      </c>
      <c r="DG70" t="b">
        <f t="shared" ref="DG70:DG133" si="103">COUNTIF($CY$5:$CY$2000, DF70)=1</f>
        <v>0</v>
      </c>
      <c r="DH70" t="str">
        <f t="shared" ref="DH70:DH133" si="104">IF(ISNUMBER(SEARCH("USANN",DG70)),DF70,"")</f>
        <v>R150</v>
      </c>
    </row>
    <row r="71" spans="2:112" ht="12" customHeight="1">
      <c r="B71" t="str">
        <f>TBIDry!H143</f>
        <v>G63</v>
      </c>
      <c r="C71" t="str">
        <f>TBIDry!I143</f>
        <v>R815</v>
      </c>
      <c r="D71" t="b">
        <f t="shared" si="56"/>
        <v>0</v>
      </c>
      <c r="E71" t="b">
        <f t="shared" si="57"/>
        <v>0</v>
      </c>
      <c r="G71" t="str">
        <f>TBIWet!H143</f>
        <v>G269</v>
      </c>
      <c r="H71" t="str">
        <f>TBIWet!I143</f>
        <v>R129</v>
      </c>
      <c r="I71" t="b">
        <f t="shared" si="58"/>
        <v>0</v>
      </c>
      <c r="J71" t="b">
        <f t="shared" si="59"/>
        <v>0</v>
      </c>
      <c r="L71" t="str">
        <f>'Both teabags AfterWet'!A69</f>
        <v>G441</v>
      </c>
      <c r="M71" t="str">
        <f>'Both teabags AfterWet'!A489</f>
        <v>R181</v>
      </c>
      <c r="N71" t="b">
        <f t="shared" si="60"/>
        <v>0</v>
      </c>
      <c r="O71" t="b">
        <f t="shared" ref="O71:O134" si="105">COUNTIF($M$4:$M$2000, M71)&gt;1</f>
        <v>0</v>
      </c>
      <c r="Q71" s="395" t="b">
        <f t="shared" si="61"/>
        <v>0</v>
      </c>
      <c r="R71" s="395" t="b">
        <f t="shared" si="62"/>
        <v>0</v>
      </c>
      <c r="T71" t="str">
        <f>'Both teabags AfterDry'!A69</f>
        <v>G185</v>
      </c>
      <c r="U71" t="str">
        <f>'Both teabags AfterDry'!A404</f>
        <v>R275</v>
      </c>
      <c r="V71" t="b">
        <f t="shared" si="63"/>
        <v>0</v>
      </c>
      <c r="W71" t="b">
        <f t="shared" si="90"/>
        <v>0</v>
      </c>
      <c r="Y71" t="str">
        <f>'Green_rooibos initial weight'!A72</f>
        <v>G68</v>
      </c>
      <c r="Z71" t="str">
        <f>'Green_rooibos initial weight'!A976</f>
        <v>R68</v>
      </c>
      <c r="AA71" t="b">
        <f t="shared" si="64"/>
        <v>0</v>
      </c>
      <c r="AB71" t="b">
        <f t="shared" si="65"/>
        <v>0</v>
      </c>
      <c r="AE71" t="str">
        <f>'WetLitterbags placem_collection'!K70</f>
        <v>G269</v>
      </c>
      <c r="AF71" t="str">
        <f>'WetLitterbags placem_collection'!M70</f>
        <v>R129</v>
      </c>
      <c r="AG71" t="b">
        <f t="shared" si="66"/>
        <v>0</v>
      </c>
      <c r="AH71" t="b">
        <f t="shared" si="67"/>
        <v>0</v>
      </c>
      <c r="AJ71" t="b">
        <f t="shared" si="68"/>
        <v>0</v>
      </c>
      <c r="AK71" t="b">
        <f t="shared" si="69"/>
        <v>0</v>
      </c>
      <c r="AM71" t="str">
        <f>IF(ISBLANK('Dry_Litterbag Placem_Collection'!J70),"","G"&amp;""&amp;'Dry_Litterbag Placem_Collection'!J70)</f>
        <v>G63</v>
      </c>
      <c r="AN71" t="str">
        <f>IF(ISBLANK('Dry_Litterbag Placem_Collection'!K70),"","R"&amp;""&amp;'Dry_Litterbag Placem_Collection'!K70)</f>
        <v>R815</v>
      </c>
      <c r="AO71" t="b">
        <f t="shared" si="70"/>
        <v>0</v>
      </c>
      <c r="AP71" t="b">
        <f t="shared" si="71"/>
        <v>0</v>
      </c>
      <c r="AS71" t="str">
        <f>'Ashed teabags dry'!A69</f>
        <v>G185</v>
      </c>
      <c r="AT71" t="str">
        <f>'Ashed teabags dry'!A404</f>
        <v>R275</v>
      </c>
      <c r="AU71" t="b">
        <f t="shared" si="72"/>
        <v>0</v>
      </c>
      <c r="AV71" t="b">
        <f>COUNTIF($AT$4:$AT$2000, AT71)&gt;1</f>
        <v>0</v>
      </c>
      <c r="AX71" s="395" t="b">
        <f t="shared" si="73"/>
        <v>0</v>
      </c>
      <c r="AY71" s="395" t="b">
        <f t="shared" si="74"/>
        <v>0</v>
      </c>
      <c r="BA71" t="str">
        <f>'Ashed teabags wet'!A69</f>
        <v>G441</v>
      </c>
      <c r="BB71" t="str">
        <f>'Ashed teabags wet'!A489</f>
        <v>R181</v>
      </c>
      <c r="BC71" t="b">
        <f t="shared" si="75"/>
        <v>0</v>
      </c>
      <c r="BD71" t="b">
        <f t="shared" si="55"/>
        <v>0</v>
      </c>
      <c r="BF71" t="str">
        <f t="shared" si="76"/>
        <v>G184</v>
      </c>
      <c r="BG71" t="str">
        <f>T70</f>
        <v>G184</v>
      </c>
      <c r="BH71" t="str">
        <f t="shared" si="77"/>
        <v/>
      </c>
      <c r="BI71" t="str">
        <f t="shared" si="91"/>
        <v/>
      </c>
      <c r="BJ71" t="s">
        <v>1866</v>
      </c>
      <c r="BK71" t="s">
        <v>1866</v>
      </c>
      <c r="BL71" t="s">
        <v>1866</v>
      </c>
      <c r="BM71" t="b">
        <f t="shared" si="92"/>
        <v>1</v>
      </c>
      <c r="BN71" t="str">
        <f t="shared" si="78"/>
        <v>R272</v>
      </c>
      <c r="BO71" t="str">
        <f>U70</f>
        <v>R272</v>
      </c>
      <c r="BP71" t="str">
        <f t="shared" si="79"/>
        <v/>
      </c>
      <c r="BQ71" t="str">
        <f t="shared" si="80"/>
        <v/>
      </c>
      <c r="BR71" t="s">
        <v>869</v>
      </c>
      <c r="BS71" t="s">
        <v>869</v>
      </c>
      <c r="BT71" t="s">
        <v>869</v>
      </c>
      <c r="BU71" t="b">
        <f t="shared" si="93"/>
        <v>1</v>
      </c>
      <c r="BZ71" t="str">
        <f t="shared" si="81"/>
        <v/>
      </c>
      <c r="CA71" t="b">
        <f t="shared" si="82"/>
        <v>0</v>
      </c>
      <c r="CB71" t="str">
        <f t="shared" si="94"/>
        <v/>
      </c>
      <c r="CC71" t="str">
        <f t="shared" si="83"/>
        <v/>
      </c>
      <c r="CD71" t="b">
        <f t="shared" si="95"/>
        <v>0</v>
      </c>
      <c r="CE71" t="str">
        <f t="shared" si="96"/>
        <v/>
      </c>
      <c r="CG71" t="str">
        <f t="shared" si="84"/>
        <v>G440</v>
      </c>
      <c r="CH71" t="str">
        <f t="shared" si="97"/>
        <v>G440</v>
      </c>
      <c r="CI71" t="str">
        <f>AE70</f>
        <v>G450</v>
      </c>
      <c r="CJ71" t="str">
        <f t="shared" si="85"/>
        <v>G450</v>
      </c>
      <c r="CK71" t="s">
        <v>1610</v>
      </c>
      <c r="CL71" t="s">
        <v>1610</v>
      </c>
      <c r="CM71" t="s">
        <v>1610</v>
      </c>
      <c r="CN71" t="b">
        <f t="shared" si="98"/>
        <v>1</v>
      </c>
      <c r="CO71" t="str">
        <f t="shared" si="86"/>
        <v>R177</v>
      </c>
      <c r="CP71" t="str">
        <f t="shared" si="99"/>
        <v>R177</v>
      </c>
      <c r="CQ71" t="str">
        <f>AF70</f>
        <v>R165</v>
      </c>
      <c r="CR71" t="str">
        <f t="shared" si="87"/>
        <v>R165</v>
      </c>
      <c r="CS71" t="s">
        <v>964</v>
      </c>
      <c r="CT71" t="s">
        <v>964</v>
      </c>
      <c r="CU71" t="s">
        <v>964</v>
      </c>
      <c r="CV71" t="b">
        <f t="shared" si="100"/>
        <v>1</v>
      </c>
      <c r="DC71" t="str">
        <f t="shared" si="88"/>
        <v>G450</v>
      </c>
      <c r="DD71" t="b">
        <f t="shared" si="101"/>
        <v>0</v>
      </c>
      <c r="DE71" t="str">
        <f t="shared" si="102"/>
        <v>G450</v>
      </c>
      <c r="DF71" t="str">
        <f t="shared" si="89"/>
        <v>R165</v>
      </c>
      <c r="DG71" t="b">
        <f t="shared" si="103"/>
        <v>0</v>
      </c>
      <c r="DH71" t="str">
        <f t="shared" si="104"/>
        <v>R165</v>
      </c>
    </row>
    <row r="72" spans="2:112" ht="12" customHeight="1">
      <c r="B72" t="str">
        <f>TBIDry!H144</f>
        <v>G382</v>
      </c>
      <c r="C72" t="str">
        <f>TBIDry!I144</f>
        <v>R741</v>
      </c>
      <c r="D72" t="b">
        <f t="shared" si="56"/>
        <v>0</v>
      </c>
      <c r="E72" t="b">
        <f t="shared" si="57"/>
        <v>0</v>
      </c>
      <c r="G72" t="str">
        <f>TBIWet!H144</f>
        <v>G448</v>
      </c>
      <c r="H72" t="str">
        <f>TBIWet!I144</f>
        <v>R414</v>
      </c>
      <c r="I72" t="b">
        <f t="shared" si="58"/>
        <v>0</v>
      </c>
      <c r="J72" t="b">
        <f t="shared" si="59"/>
        <v>0</v>
      </c>
      <c r="L72" t="str">
        <f>'Both teabags AfterWet'!A70</f>
        <v>G442</v>
      </c>
      <c r="M72" t="str">
        <f>'Both teabags AfterWet'!A490</f>
        <v>R182</v>
      </c>
      <c r="N72" t="b">
        <f t="shared" si="60"/>
        <v>0</v>
      </c>
      <c r="O72" t="b">
        <f t="shared" si="105"/>
        <v>0</v>
      </c>
      <c r="Q72" s="395" t="b">
        <f t="shared" si="61"/>
        <v>0</v>
      </c>
      <c r="R72" s="395" t="b">
        <f t="shared" si="62"/>
        <v>0</v>
      </c>
      <c r="T72" t="str">
        <f>'Both teabags AfterDry'!A70</f>
        <v>G186</v>
      </c>
      <c r="U72" t="str">
        <f>'Both teabags AfterDry'!A405</f>
        <v>R276</v>
      </c>
      <c r="V72" t="b">
        <f t="shared" si="63"/>
        <v>0</v>
      </c>
      <c r="W72" t="b">
        <f t="shared" si="90"/>
        <v>0</v>
      </c>
      <c r="Y72" t="str">
        <f>'Green_rooibos initial weight'!A73</f>
        <v>G69</v>
      </c>
      <c r="Z72" t="str">
        <f>'Green_rooibos initial weight'!A977</f>
        <v>R69</v>
      </c>
      <c r="AA72" t="b">
        <f t="shared" si="64"/>
        <v>0</v>
      </c>
      <c r="AB72" t="b">
        <f t="shared" si="65"/>
        <v>0</v>
      </c>
      <c r="AE72" t="str">
        <f>'WetLitterbags placem_collection'!K71</f>
        <v>G448</v>
      </c>
      <c r="AF72" t="str">
        <f>'WetLitterbags placem_collection'!M71</f>
        <v>R414</v>
      </c>
      <c r="AG72" t="b">
        <f t="shared" si="66"/>
        <v>0</v>
      </c>
      <c r="AH72" t="b">
        <f t="shared" si="67"/>
        <v>0</v>
      </c>
      <c r="AJ72" t="b">
        <f t="shared" si="68"/>
        <v>0</v>
      </c>
      <c r="AK72" t="b">
        <f t="shared" si="69"/>
        <v>0</v>
      </c>
      <c r="AM72" t="str">
        <f>IF(ISBLANK('Dry_Litterbag Placem_Collection'!J71),"","G"&amp;""&amp;'Dry_Litterbag Placem_Collection'!J71)</f>
        <v>G382</v>
      </c>
      <c r="AN72" t="str">
        <f>IF(ISBLANK('Dry_Litterbag Placem_Collection'!K71),"","R"&amp;""&amp;'Dry_Litterbag Placem_Collection'!K71)</f>
        <v>R741</v>
      </c>
      <c r="AO72" t="b">
        <f t="shared" si="70"/>
        <v>0</v>
      </c>
      <c r="AP72" t="b">
        <f t="shared" si="71"/>
        <v>0</v>
      </c>
      <c r="AS72" t="str">
        <f>'Ashed teabags dry'!A70</f>
        <v>G186</v>
      </c>
      <c r="AT72" t="str">
        <f>'Ashed teabags dry'!A405</f>
        <v>R276</v>
      </c>
      <c r="AU72" t="b">
        <f t="shared" si="72"/>
        <v>0</v>
      </c>
      <c r="AV72" t="b">
        <f>COUNTIF($AT$4:$AT$2000, AT72)&gt;1</f>
        <v>0</v>
      </c>
      <c r="AX72" s="395" t="b">
        <f t="shared" si="73"/>
        <v>0</v>
      </c>
      <c r="AY72" s="395" t="b">
        <f t="shared" si="74"/>
        <v>0</v>
      </c>
      <c r="BA72" t="str">
        <f>'Ashed teabags wet'!A70</f>
        <v>G442</v>
      </c>
      <c r="BB72" t="str">
        <f>'Ashed teabags wet'!A490</f>
        <v>R182</v>
      </c>
      <c r="BC72" t="b">
        <f t="shared" si="75"/>
        <v>0</v>
      </c>
      <c r="BD72" t="b">
        <f t="shared" si="55"/>
        <v>0</v>
      </c>
      <c r="BF72" t="str">
        <f t="shared" si="76"/>
        <v>G185</v>
      </c>
      <c r="BG72" t="str">
        <f>T71</f>
        <v>G185</v>
      </c>
      <c r="BH72" t="str">
        <f t="shared" si="77"/>
        <v>G63</v>
      </c>
      <c r="BI72" t="str">
        <f t="shared" si="91"/>
        <v>G63</v>
      </c>
      <c r="BJ72" t="s">
        <v>1865</v>
      </c>
      <c r="BK72" t="s">
        <v>1865</v>
      </c>
      <c r="BL72" t="s">
        <v>1865</v>
      </c>
      <c r="BM72" t="b">
        <f t="shared" si="92"/>
        <v>1</v>
      </c>
      <c r="BN72" t="str">
        <f t="shared" si="78"/>
        <v>R275</v>
      </c>
      <c r="BO72" t="str">
        <f>U71</f>
        <v>R275</v>
      </c>
      <c r="BP72" t="str">
        <f t="shared" si="79"/>
        <v>R815</v>
      </c>
      <c r="BQ72" t="str">
        <f t="shared" si="80"/>
        <v>R815</v>
      </c>
      <c r="BR72" t="s">
        <v>866</v>
      </c>
      <c r="BS72" t="s">
        <v>866</v>
      </c>
      <c r="BT72" t="s">
        <v>866</v>
      </c>
      <c r="BU72" t="b">
        <f t="shared" si="93"/>
        <v>1</v>
      </c>
      <c r="BZ72" t="str">
        <f t="shared" si="81"/>
        <v>G63</v>
      </c>
      <c r="CA72" t="b">
        <f t="shared" si="82"/>
        <v>0</v>
      </c>
      <c r="CB72" t="str">
        <f t="shared" si="94"/>
        <v>G63</v>
      </c>
      <c r="CC72" t="str">
        <f t="shared" si="83"/>
        <v>R815</v>
      </c>
      <c r="CD72" t="b">
        <f t="shared" si="95"/>
        <v>0</v>
      </c>
      <c r="CE72" t="str">
        <f t="shared" si="96"/>
        <v>R815</v>
      </c>
      <c r="CG72" t="str">
        <f t="shared" si="84"/>
        <v>G441</v>
      </c>
      <c r="CH72" t="str">
        <f t="shared" si="97"/>
        <v>G441</v>
      </c>
      <c r="CI72" t="str">
        <f>AE71</f>
        <v>G269</v>
      </c>
      <c r="CJ72" t="str">
        <f t="shared" si="85"/>
        <v>G269</v>
      </c>
      <c r="CK72" t="s">
        <v>1609</v>
      </c>
      <c r="CL72" t="s">
        <v>1609</v>
      </c>
      <c r="CM72" t="s">
        <v>1609</v>
      </c>
      <c r="CN72" t="b">
        <f t="shared" si="98"/>
        <v>1</v>
      </c>
      <c r="CO72" t="str">
        <f t="shared" si="86"/>
        <v>R181</v>
      </c>
      <c r="CP72" t="str">
        <f t="shared" si="99"/>
        <v>R181</v>
      </c>
      <c r="CQ72" t="str">
        <f>AF71</f>
        <v>R129</v>
      </c>
      <c r="CR72" t="str">
        <f t="shared" si="87"/>
        <v>R129</v>
      </c>
      <c r="CS72" t="s">
        <v>960</v>
      </c>
      <c r="CT72" t="s">
        <v>960</v>
      </c>
      <c r="CU72" t="s">
        <v>960</v>
      </c>
      <c r="CV72" t="b">
        <f t="shared" si="100"/>
        <v>1</v>
      </c>
      <c r="DC72" t="str">
        <f t="shared" si="88"/>
        <v>G269</v>
      </c>
      <c r="DD72" t="b">
        <f t="shared" si="101"/>
        <v>0</v>
      </c>
      <c r="DE72" t="str">
        <f t="shared" si="102"/>
        <v>G269</v>
      </c>
      <c r="DF72" t="str">
        <f t="shared" si="89"/>
        <v>R129</v>
      </c>
      <c r="DG72" t="b">
        <f t="shared" si="103"/>
        <v>0</v>
      </c>
      <c r="DH72" t="str">
        <f t="shared" si="104"/>
        <v>R129</v>
      </c>
    </row>
    <row r="73" spans="2:112" ht="12" customHeight="1">
      <c r="B73" t="str">
        <f>TBIDry!H145</f>
        <v>G278</v>
      </c>
      <c r="C73" t="str">
        <f>TBIDry!I145</f>
        <v>R294</v>
      </c>
      <c r="D73" t="b">
        <f t="shared" si="56"/>
        <v>0</v>
      </c>
      <c r="E73" t="b">
        <f t="shared" si="57"/>
        <v>0</v>
      </c>
      <c r="G73" t="str">
        <f>TBIWet!H145</f>
        <v>G358</v>
      </c>
      <c r="H73" t="str">
        <f>TBIWet!I145</f>
        <v>R151</v>
      </c>
      <c r="I73" t="b">
        <f t="shared" si="58"/>
        <v>0</v>
      </c>
      <c r="J73" t="b">
        <f t="shared" si="59"/>
        <v>0</v>
      </c>
      <c r="L73" t="str">
        <f>'Both teabags AfterWet'!A71</f>
        <v>G443</v>
      </c>
      <c r="M73" t="str">
        <f>'Both teabags AfterWet'!A491</f>
        <v>R183</v>
      </c>
      <c r="N73" t="b">
        <f t="shared" si="60"/>
        <v>0</v>
      </c>
      <c r="O73" t="b">
        <f t="shared" si="105"/>
        <v>0</v>
      </c>
      <c r="Q73" s="395" t="b">
        <f t="shared" si="61"/>
        <v>0</v>
      </c>
      <c r="R73" s="395" t="b">
        <f t="shared" si="62"/>
        <v>0</v>
      </c>
      <c r="T73" t="str">
        <f>'Both teabags AfterDry'!A71</f>
        <v>G187</v>
      </c>
      <c r="U73" t="str">
        <f>'Both teabags AfterDry'!A406</f>
        <v>R277</v>
      </c>
      <c r="V73" t="b">
        <f t="shared" si="63"/>
        <v>0</v>
      </c>
      <c r="W73" t="b">
        <f t="shared" si="90"/>
        <v>0</v>
      </c>
      <c r="Y73" t="str">
        <f>'Green_rooibos initial weight'!A74</f>
        <v>G70</v>
      </c>
      <c r="Z73" t="str">
        <f>'Green_rooibos initial weight'!A978</f>
        <v>R70</v>
      </c>
      <c r="AA73" t="b">
        <f t="shared" si="64"/>
        <v>0</v>
      </c>
      <c r="AB73" t="b">
        <f t="shared" si="65"/>
        <v>0</v>
      </c>
      <c r="AE73" t="str">
        <f>'WetLitterbags placem_collection'!K72</f>
        <v>G358</v>
      </c>
      <c r="AF73" t="str">
        <f>'WetLitterbags placem_collection'!M72</f>
        <v>R151</v>
      </c>
      <c r="AG73" t="b">
        <f t="shared" si="66"/>
        <v>0</v>
      </c>
      <c r="AH73" t="b">
        <f t="shared" si="67"/>
        <v>0</v>
      </c>
      <c r="AJ73" t="b">
        <f t="shared" si="68"/>
        <v>0</v>
      </c>
      <c r="AK73" t="b">
        <f t="shared" si="69"/>
        <v>0</v>
      </c>
      <c r="AM73" t="str">
        <f>IF(ISBLANK('Dry_Litterbag Placem_Collection'!J72),"","G"&amp;""&amp;'Dry_Litterbag Placem_Collection'!J72)</f>
        <v>G278</v>
      </c>
      <c r="AN73" t="str">
        <f>IF(ISBLANK('Dry_Litterbag Placem_Collection'!K72),"","R"&amp;""&amp;'Dry_Litterbag Placem_Collection'!K72)</f>
        <v>R294</v>
      </c>
      <c r="AO73" t="b">
        <f t="shared" si="70"/>
        <v>0</v>
      </c>
      <c r="AP73" t="b">
        <f t="shared" si="71"/>
        <v>0</v>
      </c>
      <c r="AS73" t="str">
        <f>'Ashed teabags dry'!A71</f>
        <v>G187</v>
      </c>
      <c r="AT73" t="str">
        <f>'Ashed teabags dry'!A406</f>
        <v>R277</v>
      </c>
      <c r="AU73" t="b">
        <f t="shared" si="72"/>
        <v>0</v>
      </c>
      <c r="AV73" t="b">
        <f>COUNTIF($AT$4:$AT$2000, AT73)&gt;1</f>
        <v>0</v>
      </c>
      <c r="AX73" s="395" t="b">
        <f t="shared" si="73"/>
        <v>0</v>
      </c>
      <c r="AY73" s="395" t="b">
        <f t="shared" si="74"/>
        <v>0</v>
      </c>
      <c r="BA73" t="str">
        <f>'Ashed teabags wet'!A71</f>
        <v>G443</v>
      </c>
      <c r="BB73" t="str">
        <f>'Ashed teabags wet'!A491</f>
        <v>R183</v>
      </c>
      <c r="BC73" t="b">
        <f t="shared" si="75"/>
        <v>0</v>
      </c>
      <c r="BD73" t="b">
        <f t="shared" si="55"/>
        <v>0</v>
      </c>
      <c r="BF73" t="str">
        <f t="shared" si="76"/>
        <v>G186</v>
      </c>
      <c r="BG73" t="str">
        <f>T72</f>
        <v>G186</v>
      </c>
      <c r="BH73" t="str">
        <f t="shared" si="77"/>
        <v>G382</v>
      </c>
      <c r="BI73" t="str">
        <f t="shared" si="91"/>
        <v>G382</v>
      </c>
      <c r="BJ73" t="s">
        <v>1864</v>
      </c>
      <c r="BK73" t="s">
        <v>1864</v>
      </c>
      <c r="BL73" t="s">
        <v>1864</v>
      </c>
      <c r="BM73" t="b">
        <f t="shared" si="92"/>
        <v>1</v>
      </c>
      <c r="BN73" t="str">
        <f t="shared" si="78"/>
        <v>R276</v>
      </c>
      <c r="BO73" t="str">
        <f>U72</f>
        <v>R276</v>
      </c>
      <c r="BP73" t="str">
        <f t="shared" si="79"/>
        <v>R741</v>
      </c>
      <c r="BQ73" t="str">
        <f t="shared" si="80"/>
        <v>R741</v>
      </c>
      <c r="BR73" t="s">
        <v>865</v>
      </c>
      <c r="BS73" t="s">
        <v>865</v>
      </c>
      <c r="BT73" t="s">
        <v>865</v>
      </c>
      <c r="BU73" t="b">
        <f t="shared" si="93"/>
        <v>1</v>
      </c>
      <c r="BZ73" t="str">
        <f t="shared" si="81"/>
        <v>G382</v>
      </c>
      <c r="CA73" t="b">
        <f t="shared" si="82"/>
        <v>0</v>
      </c>
      <c r="CB73" t="str">
        <f t="shared" si="94"/>
        <v>G382</v>
      </c>
      <c r="CC73" t="str">
        <f t="shared" si="83"/>
        <v>R741</v>
      </c>
      <c r="CD73" t="b">
        <f t="shared" si="95"/>
        <v>0</v>
      </c>
      <c r="CE73" t="str">
        <f t="shared" si="96"/>
        <v>R741</v>
      </c>
      <c r="CG73" t="str">
        <f t="shared" si="84"/>
        <v>G442</v>
      </c>
      <c r="CH73" t="str">
        <f t="shared" si="97"/>
        <v>G442</v>
      </c>
      <c r="CI73" t="str">
        <f>AE72</f>
        <v>G448</v>
      </c>
      <c r="CJ73" t="str">
        <f t="shared" si="85"/>
        <v/>
      </c>
      <c r="CK73" t="s">
        <v>1608</v>
      </c>
      <c r="CL73" t="s">
        <v>1608</v>
      </c>
      <c r="CM73" t="s">
        <v>1608</v>
      </c>
      <c r="CN73" t="b">
        <f t="shared" si="98"/>
        <v>1</v>
      </c>
      <c r="CO73" t="str">
        <f t="shared" si="86"/>
        <v>R182</v>
      </c>
      <c r="CP73" t="str">
        <f t="shared" si="99"/>
        <v>R182</v>
      </c>
      <c r="CQ73" t="str">
        <f>AF72</f>
        <v>R414</v>
      </c>
      <c r="CR73" t="str">
        <f t="shared" si="87"/>
        <v>R414</v>
      </c>
      <c r="CS73" t="s">
        <v>959</v>
      </c>
      <c r="CT73" t="s">
        <v>959</v>
      </c>
      <c r="CU73" t="s">
        <v>959</v>
      </c>
      <c r="CV73" t="b">
        <f t="shared" si="100"/>
        <v>1</v>
      </c>
      <c r="DC73" t="str">
        <f t="shared" si="88"/>
        <v>G448</v>
      </c>
      <c r="DD73" t="b">
        <f t="shared" si="101"/>
        <v>1</v>
      </c>
      <c r="DE73" t="str">
        <f t="shared" si="102"/>
        <v/>
      </c>
      <c r="DF73" t="str">
        <f t="shared" si="89"/>
        <v>R414</v>
      </c>
      <c r="DG73" t="b">
        <f t="shared" si="103"/>
        <v>0</v>
      </c>
      <c r="DH73" t="str">
        <f t="shared" si="104"/>
        <v>R414</v>
      </c>
    </row>
    <row r="74" spans="2:112" ht="12" customHeight="1">
      <c r="B74" t="str">
        <f>TBIDry!H146</f>
        <v>G138</v>
      </c>
      <c r="C74" t="str">
        <f>TBIDry!I146</f>
        <v>R761</v>
      </c>
      <c r="D74" t="b">
        <f t="shared" si="56"/>
        <v>0</v>
      </c>
      <c r="E74" t="b">
        <f t="shared" si="57"/>
        <v>0</v>
      </c>
      <c r="G74" t="str">
        <f>TBIWet!H146</f>
        <v>G511</v>
      </c>
      <c r="H74" t="str">
        <f>TBIWet!I146</f>
        <v>R95</v>
      </c>
      <c r="I74" t="b">
        <f t="shared" si="58"/>
        <v>0</v>
      </c>
      <c r="J74" t="b">
        <f t="shared" si="59"/>
        <v>0</v>
      </c>
      <c r="L74" t="str">
        <f>'Both teabags AfterWet'!A72</f>
        <v>G445</v>
      </c>
      <c r="M74" t="str">
        <f>'Both teabags AfterWet'!A492</f>
        <v>R185</v>
      </c>
      <c r="N74" t="b">
        <f t="shared" si="60"/>
        <v>0</v>
      </c>
      <c r="O74" t="b">
        <f t="shared" si="105"/>
        <v>0</v>
      </c>
      <c r="Q74" s="395" t="b">
        <f t="shared" si="61"/>
        <v>0</v>
      </c>
      <c r="R74" s="395" t="b">
        <f t="shared" si="62"/>
        <v>0</v>
      </c>
      <c r="T74" t="str">
        <f>'Both teabags AfterDry'!A72</f>
        <v>G188</v>
      </c>
      <c r="U74" t="str">
        <f>'Both teabags AfterDry'!A407</f>
        <v>R280</v>
      </c>
      <c r="V74" t="b">
        <f t="shared" si="63"/>
        <v>0</v>
      </c>
      <c r="W74" t="b">
        <f t="shared" si="90"/>
        <v>0</v>
      </c>
      <c r="Y74" t="str">
        <f>'Green_rooibos initial weight'!A75</f>
        <v>G71</v>
      </c>
      <c r="Z74" t="str">
        <f>'Green_rooibos initial weight'!A979</f>
        <v>R71</v>
      </c>
      <c r="AA74" t="b">
        <f t="shared" si="64"/>
        <v>0</v>
      </c>
      <c r="AB74" t="b">
        <f t="shared" si="65"/>
        <v>0</v>
      </c>
      <c r="AE74" t="str">
        <f>'WetLitterbags placem_collection'!K73</f>
        <v>G511</v>
      </c>
      <c r="AF74" t="str">
        <f>'WetLitterbags placem_collection'!M73</f>
        <v>R95</v>
      </c>
      <c r="AG74" t="b">
        <f t="shared" si="66"/>
        <v>0</v>
      </c>
      <c r="AH74" t="b">
        <f t="shared" si="67"/>
        <v>0</v>
      </c>
      <c r="AJ74" t="b">
        <f t="shared" si="68"/>
        <v>0</v>
      </c>
      <c r="AK74" t="b">
        <f t="shared" si="69"/>
        <v>0</v>
      </c>
      <c r="AM74" t="str">
        <f>IF(ISBLANK('Dry_Litterbag Placem_Collection'!J73),"","G"&amp;""&amp;'Dry_Litterbag Placem_Collection'!J73)</f>
        <v>G138</v>
      </c>
      <c r="AN74" t="str">
        <f>IF(ISBLANK('Dry_Litterbag Placem_Collection'!K73),"","R"&amp;""&amp;'Dry_Litterbag Placem_Collection'!K73)</f>
        <v>R761</v>
      </c>
      <c r="AO74" t="b">
        <f t="shared" si="70"/>
        <v>0</v>
      </c>
      <c r="AP74" t="b">
        <f t="shared" si="71"/>
        <v>0</v>
      </c>
      <c r="AS74" t="str">
        <f>'Ashed teabags dry'!A72</f>
        <v>G188</v>
      </c>
      <c r="AT74" t="str">
        <f>'Ashed teabags dry'!A407</f>
        <v>R280</v>
      </c>
      <c r="AU74" t="b">
        <f t="shared" si="72"/>
        <v>0</v>
      </c>
      <c r="AV74" t="b">
        <f>COUNTIF($AT$4:$AT$2000, AT74)&gt;1</f>
        <v>0</v>
      </c>
      <c r="AX74" s="395" t="b">
        <f t="shared" si="73"/>
        <v>0</v>
      </c>
      <c r="AY74" s="395" t="b">
        <f t="shared" si="74"/>
        <v>0</v>
      </c>
      <c r="BA74" t="str">
        <f>'Ashed teabags wet'!A72</f>
        <v>G445</v>
      </c>
      <c r="BB74" t="str">
        <f>'Ashed teabags wet'!A492</f>
        <v>R185</v>
      </c>
      <c r="BC74" t="b">
        <f t="shared" si="75"/>
        <v>0</v>
      </c>
      <c r="BD74" t="b">
        <f t="shared" si="55"/>
        <v>0</v>
      </c>
      <c r="BF74" t="str">
        <f t="shared" si="76"/>
        <v>G187</v>
      </c>
      <c r="BG74" t="str">
        <f>T73</f>
        <v>G187</v>
      </c>
      <c r="BH74" t="str">
        <f t="shared" si="77"/>
        <v>G278</v>
      </c>
      <c r="BI74" t="str">
        <f t="shared" si="91"/>
        <v>G278</v>
      </c>
      <c r="BJ74" t="s">
        <v>1863</v>
      </c>
      <c r="BK74" t="s">
        <v>1863</v>
      </c>
      <c r="BL74" t="s">
        <v>1863</v>
      </c>
      <c r="BM74" t="b">
        <f t="shared" si="92"/>
        <v>1</v>
      </c>
      <c r="BN74" t="str">
        <f t="shared" si="78"/>
        <v>R277</v>
      </c>
      <c r="BO74" t="str">
        <f>U73</f>
        <v>R277</v>
      </c>
      <c r="BP74" t="str">
        <f t="shared" si="79"/>
        <v>R294</v>
      </c>
      <c r="BQ74" t="str">
        <f t="shared" si="80"/>
        <v>R294</v>
      </c>
      <c r="BR74" t="s">
        <v>864</v>
      </c>
      <c r="BS74" t="s">
        <v>864</v>
      </c>
      <c r="BT74" t="s">
        <v>864</v>
      </c>
      <c r="BU74" t="b">
        <f t="shared" si="93"/>
        <v>1</v>
      </c>
      <c r="BZ74" t="str">
        <f t="shared" si="81"/>
        <v>G278</v>
      </c>
      <c r="CA74" t="b">
        <f t="shared" si="82"/>
        <v>0</v>
      </c>
      <c r="CB74" t="str">
        <f t="shared" si="94"/>
        <v>G278</v>
      </c>
      <c r="CC74" t="str">
        <f t="shared" si="83"/>
        <v>R294</v>
      </c>
      <c r="CD74" t="b">
        <f t="shared" si="95"/>
        <v>0</v>
      </c>
      <c r="CE74" t="str">
        <f t="shared" si="96"/>
        <v>R294</v>
      </c>
      <c r="CG74" t="str">
        <f t="shared" si="84"/>
        <v>G443</v>
      </c>
      <c r="CH74" t="str">
        <f t="shared" si="97"/>
        <v>G443</v>
      </c>
      <c r="CI74" t="str">
        <f>AE73</f>
        <v>G358</v>
      </c>
      <c r="CJ74" t="str">
        <f t="shared" si="85"/>
        <v>G358</v>
      </c>
      <c r="CK74" t="s">
        <v>1607</v>
      </c>
      <c r="CL74" t="s">
        <v>1607</v>
      </c>
      <c r="CM74" t="s">
        <v>1607</v>
      </c>
      <c r="CN74" t="b">
        <f t="shared" si="98"/>
        <v>1</v>
      </c>
      <c r="CO74" t="str">
        <f t="shared" si="86"/>
        <v>R183</v>
      </c>
      <c r="CP74" t="str">
        <f t="shared" si="99"/>
        <v>R183</v>
      </c>
      <c r="CQ74" t="str">
        <f>AF73</f>
        <v>R151</v>
      </c>
      <c r="CR74" t="str">
        <f t="shared" si="87"/>
        <v>R151</v>
      </c>
      <c r="CS74" t="s">
        <v>958</v>
      </c>
      <c r="CT74" t="s">
        <v>958</v>
      </c>
      <c r="CU74" t="s">
        <v>958</v>
      </c>
      <c r="CV74" t="b">
        <f t="shared" si="100"/>
        <v>1</v>
      </c>
      <c r="DC74" t="str">
        <f t="shared" si="88"/>
        <v>G358</v>
      </c>
      <c r="DD74" t="b">
        <f t="shared" si="101"/>
        <v>0</v>
      </c>
      <c r="DE74" t="str">
        <f t="shared" si="102"/>
        <v>G358</v>
      </c>
      <c r="DF74" t="str">
        <f t="shared" si="89"/>
        <v>R151</v>
      </c>
      <c r="DG74" t="b">
        <f t="shared" si="103"/>
        <v>0</v>
      </c>
      <c r="DH74" t="str">
        <f t="shared" si="104"/>
        <v>R151</v>
      </c>
    </row>
    <row r="75" spans="2:112" ht="12" customHeight="1">
      <c r="B75" t="str">
        <f>TBIDry!H147</f>
        <v>G431</v>
      </c>
      <c r="C75" t="str">
        <f>TBIDry!I147</f>
        <v>R780</v>
      </c>
      <c r="D75" t="b">
        <f t="shared" si="56"/>
        <v>0</v>
      </c>
      <c r="E75" t="b">
        <f t="shared" si="57"/>
        <v>0</v>
      </c>
      <c r="G75" t="str">
        <f>TBIWet!H147</f>
        <v>G383</v>
      </c>
      <c r="H75" t="str">
        <f>TBIWet!I147</f>
        <v>R546</v>
      </c>
      <c r="I75" t="b">
        <f t="shared" si="58"/>
        <v>0</v>
      </c>
      <c r="J75" t="b">
        <f t="shared" si="59"/>
        <v>0</v>
      </c>
      <c r="L75" t="str">
        <f>'Both teabags AfterWet'!A73</f>
        <v>G446</v>
      </c>
      <c r="M75" t="str">
        <f>'Both teabags AfterWet'!A493</f>
        <v>R186</v>
      </c>
      <c r="N75" t="b">
        <f t="shared" si="60"/>
        <v>0</v>
      </c>
      <c r="O75" t="b">
        <f t="shared" si="105"/>
        <v>0</v>
      </c>
      <c r="Q75" s="395" t="b">
        <f t="shared" si="61"/>
        <v>0</v>
      </c>
      <c r="R75" s="395" t="b">
        <f t="shared" si="62"/>
        <v>0</v>
      </c>
      <c r="T75" t="str">
        <f>'Both teabags AfterDry'!A73</f>
        <v>G189</v>
      </c>
      <c r="U75" t="str">
        <f>'Both teabags AfterDry'!A408</f>
        <v>R281</v>
      </c>
      <c r="V75" t="b">
        <f t="shared" si="63"/>
        <v>0</v>
      </c>
      <c r="W75" t="b">
        <f t="shared" si="90"/>
        <v>0</v>
      </c>
      <c r="Y75" t="str">
        <f>'Green_rooibos initial weight'!A76</f>
        <v>G72</v>
      </c>
      <c r="Z75" t="str">
        <f>'Green_rooibos initial weight'!A980</f>
        <v>R72</v>
      </c>
      <c r="AA75" t="b">
        <f t="shared" si="64"/>
        <v>0</v>
      </c>
      <c r="AB75" t="b">
        <f t="shared" si="65"/>
        <v>0</v>
      </c>
      <c r="AE75" t="str">
        <f>'WetLitterbags placem_collection'!K74</f>
        <v>G383</v>
      </c>
      <c r="AF75" t="str">
        <f>'WetLitterbags placem_collection'!M74</f>
        <v>R546</v>
      </c>
      <c r="AG75" t="b">
        <f t="shared" si="66"/>
        <v>0</v>
      </c>
      <c r="AH75" t="b">
        <f t="shared" si="67"/>
        <v>0</v>
      </c>
      <c r="AJ75" t="b">
        <f t="shared" si="68"/>
        <v>0</v>
      </c>
      <c r="AK75" t="b">
        <f t="shared" si="69"/>
        <v>0</v>
      </c>
      <c r="AM75" t="str">
        <f>IF(ISBLANK('Dry_Litterbag Placem_Collection'!J74),"","G"&amp;""&amp;'Dry_Litterbag Placem_Collection'!J74)</f>
        <v>G431</v>
      </c>
      <c r="AN75" t="str">
        <f>IF(ISBLANK('Dry_Litterbag Placem_Collection'!K74),"","R"&amp;""&amp;'Dry_Litterbag Placem_Collection'!K74)</f>
        <v>R780</v>
      </c>
      <c r="AO75" t="b">
        <f t="shared" si="70"/>
        <v>0</v>
      </c>
      <c r="AP75" t="b">
        <f t="shared" si="71"/>
        <v>0</v>
      </c>
      <c r="AS75" t="str">
        <f>'Ashed teabags dry'!A73</f>
        <v>G189</v>
      </c>
      <c r="AT75" t="str">
        <f>'Ashed teabags dry'!A408</f>
        <v>R281</v>
      </c>
      <c r="AU75" t="b">
        <f t="shared" si="72"/>
        <v>0</v>
      </c>
      <c r="AV75" t="b">
        <f>COUNTIF($AT$4:$AT$2000, AT75)&gt;1</f>
        <v>0</v>
      </c>
      <c r="AX75" s="395" t="b">
        <f t="shared" si="73"/>
        <v>0</v>
      </c>
      <c r="AY75" s="395" t="b">
        <f t="shared" si="74"/>
        <v>0</v>
      </c>
      <c r="BA75" t="str">
        <f>'Ashed teabags wet'!A73</f>
        <v>G446</v>
      </c>
      <c r="BB75" t="str">
        <f>'Ashed teabags wet'!A493</f>
        <v>R186</v>
      </c>
      <c r="BC75" t="b">
        <f t="shared" si="75"/>
        <v>0</v>
      </c>
      <c r="BD75" t="b">
        <f t="shared" si="55"/>
        <v>0</v>
      </c>
      <c r="BF75" t="str">
        <f t="shared" si="76"/>
        <v>G188</v>
      </c>
      <c r="BG75" t="str">
        <f>T74</f>
        <v>G188</v>
      </c>
      <c r="BH75" t="str">
        <f t="shared" si="77"/>
        <v>G138</v>
      </c>
      <c r="BI75" t="str">
        <f t="shared" si="91"/>
        <v>G138</v>
      </c>
      <c r="BJ75" t="s">
        <v>1862</v>
      </c>
      <c r="BK75" t="s">
        <v>1862</v>
      </c>
      <c r="BL75" t="s">
        <v>1862</v>
      </c>
      <c r="BM75" t="b">
        <f t="shared" si="92"/>
        <v>1</v>
      </c>
      <c r="BN75" t="str">
        <f t="shared" si="78"/>
        <v>R280</v>
      </c>
      <c r="BO75" t="str">
        <f>U74</f>
        <v>R280</v>
      </c>
      <c r="BP75" t="str">
        <f t="shared" si="79"/>
        <v>R761</v>
      </c>
      <c r="BQ75" t="str">
        <f t="shared" si="80"/>
        <v>R761</v>
      </c>
      <c r="BR75" t="s">
        <v>861</v>
      </c>
      <c r="BS75" t="s">
        <v>861</v>
      </c>
      <c r="BT75" t="s">
        <v>861</v>
      </c>
      <c r="BU75" t="b">
        <f t="shared" si="93"/>
        <v>1</v>
      </c>
      <c r="BZ75" t="str">
        <f t="shared" si="81"/>
        <v>G138</v>
      </c>
      <c r="CA75" t="b">
        <f t="shared" si="82"/>
        <v>0</v>
      </c>
      <c r="CB75" t="str">
        <f t="shared" si="94"/>
        <v>G138</v>
      </c>
      <c r="CC75" t="str">
        <f t="shared" si="83"/>
        <v>R761</v>
      </c>
      <c r="CD75" t="b">
        <f t="shared" si="95"/>
        <v>0</v>
      </c>
      <c r="CE75" t="str">
        <f t="shared" si="96"/>
        <v>R761</v>
      </c>
      <c r="CG75" t="str">
        <f t="shared" si="84"/>
        <v>G445</v>
      </c>
      <c r="CH75" t="str">
        <f t="shared" si="97"/>
        <v>G445</v>
      </c>
      <c r="CI75" t="str">
        <f>AE74</f>
        <v>G511</v>
      </c>
      <c r="CJ75" t="str">
        <f t="shared" si="85"/>
        <v>G511</v>
      </c>
      <c r="CK75" t="s">
        <v>1605</v>
      </c>
      <c r="CL75" t="s">
        <v>1605</v>
      </c>
      <c r="CM75" t="s">
        <v>1605</v>
      </c>
      <c r="CN75" t="b">
        <f t="shared" si="98"/>
        <v>1</v>
      </c>
      <c r="CO75" t="str">
        <f t="shared" si="86"/>
        <v>R185</v>
      </c>
      <c r="CP75" t="str">
        <f t="shared" si="99"/>
        <v>R185</v>
      </c>
      <c r="CQ75" t="str">
        <f>AF74</f>
        <v>R95</v>
      </c>
      <c r="CR75" t="str">
        <f t="shared" si="87"/>
        <v>R95</v>
      </c>
      <c r="CS75" t="s">
        <v>956</v>
      </c>
      <c r="CT75" t="s">
        <v>956</v>
      </c>
      <c r="CU75" t="s">
        <v>956</v>
      </c>
      <c r="CV75" t="b">
        <f t="shared" si="100"/>
        <v>1</v>
      </c>
      <c r="DC75" t="str">
        <f t="shared" si="88"/>
        <v>G511</v>
      </c>
      <c r="DD75" t="b">
        <f t="shared" si="101"/>
        <v>0</v>
      </c>
      <c r="DE75" t="str">
        <f t="shared" si="102"/>
        <v>G511</v>
      </c>
      <c r="DF75" t="str">
        <f t="shared" si="89"/>
        <v>R95</v>
      </c>
      <c r="DG75" t="b">
        <f t="shared" si="103"/>
        <v>0</v>
      </c>
      <c r="DH75" t="str">
        <f t="shared" si="104"/>
        <v>R95</v>
      </c>
    </row>
    <row r="76" spans="2:112" ht="12" customHeight="1">
      <c r="B76" t="str">
        <f>TBIDry!H148</f>
        <v>G321</v>
      </c>
      <c r="C76" t="str">
        <f>TBIDry!I148</f>
        <v>R730</v>
      </c>
      <c r="D76" t="b">
        <f t="shared" si="56"/>
        <v>0</v>
      </c>
      <c r="E76" t="b">
        <f t="shared" si="57"/>
        <v>0</v>
      </c>
      <c r="G76" t="str">
        <f>TBIWet!H148</f>
        <v>G549</v>
      </c>
      <c r="H76" t="str">
        <f>TBIWet!I148</f>
        <v>R438</v>
      </c>
      <c r="I76" t="b">
        <f t="shared" si="58"/>
        <v>0</v>
      </c>
      <c r="J76" t="b">
        <f t="shared" si="59"/>
        <v>0</v>
      </c>
      <c r="L76" t="str">
        <f>'Both teabags AfterWet'!A74</f>
        <v>G447</v>
      </c>
      <c r="M76" t="str">
        <f>'Both teabags AfterWet'!A494</f>
        <v>R187</v>
      </c>
      <c r="N76" t="b">
        <f t="shared" si="60"/>
        <v>0</v>
      </c>
      <c r="O76" t="b">
        <f t="shared" si="105"/>
        <v>0</v>
      </c>
      <c r="Q76" s="395" t="b">
        <f t="shared" si="61"/>
        <v>0</v>
      </c>
      <c r="R76" s="395" t="b">
        <f t="shared" si="62"/>
        <v>0</v>
      </c>
      <c r="T76" t="str">
        <f>'Both teabags AfterDry'!A74</f>
        <v>G19</v>
      </c>
      <c r="U76" t="str">
        <f>'Both teabags AfterDry'!A409</f>
        <v>R283</v>
      </c>
      <c r="V76" t="b">
        <f t="shared" si="63"/>
        <v>0</v>
      </c>
      <c r="W76" t="b">
        <f t="shared" si="90"/>
        <v>0</v>
      </c>
      <c r="Y76" t="str">
        <f>'Green_rooibos initial weight'!A77</f>
        <v>G73</v>
      </c>
      <c r="Z76" t="str">
        <f>'Green_rooibos initial weight'!A981</f>
        <v>R73</v>
      </c>
      <c r="AA76" t="b">
        <f t="shared" si="64"/>
        <v>0</v>
      </c>
      <c r="AB76" t="b">
        <f t="shared" si="65"/>
        <v>0</v>
      </c>
      <c r="AE76" t="str">
        <f>'WetLitterbags placem_collection'!K75</f>
        <v>G549</v>
      </c>
      <c r="AF76" t="str">
        <f>'WetLitterbags placem_collection'!M75</f>
        <v>R438</v>
      </c>
      <c r="AG76" t="b">
        <f t="shared" si="66"/>
        <v>0</v>
      </c>
      <c r="AH76" t="b">
        <f t="shared" si="67"/>
        <v>0</v>
      </c>
      <c r="AJ76" t="b">
        <f t="shared" si="68"/>
        <v>0</v>
      </c>
      <c r="AK76" t="b">
        <f t="shared" si="69"/>
        <v>0</v>
      </c>
      <c r="AM76" t="str">
        <f>IF(ISBLANK('Dry_Litterbag Placem_Collection'!J75),"","G"&amp;""&amp;'Dry_Litterbag Placem_Collection'!J75)</f>
        <v>G321</v>
      </c>
      <c r="AN76" t="str">
        <f>IF(ISBLANK('Dry_Litterbag Placem_Collection'!K75),"","R"&amp;""&amp;'Dry_Litterbag Placem_Collection'!K75)</f>
        <v>R730</v>
      </c>
      <c r="AO76" t="b">
        <f t="shared" si="70"/>
        <v>0</v>
      </c>
      <c r="AP76" t="b">
        <f t="shared" si="71"/>
        <v>0</v>
      </c>
      <c r="AS76" t="str">
        <f>'Ashed teabags dry'!A74</f>
        <v>G19</v>
      </c>
      <c r="AT76" t="str">
        <f>'Ashed teabags dry'!A409</f>
        <v>R283</v>
      </c>
      <c r="AU76" t="b">
        <f t="shared" si="72"/>
        <v>0</v>
      </c>
      <c r="AV76" t="b">
        <f>COUNTIF($AT$4:$AT$2000, AT76)&gt;1</f>
        <v>0</v>
      </c>
      <c r="AX76" s="395" t="b">
        <f t="shared" si="73"/>
        <v>0</v>
      </c>
      <c r="AY76" s="395" t="b">
        <f t="shared" si="74"/>
        <v>0</v>
      </c>
      <c r="BA76" t="str">
        <f>'Ashed teabags wet'!A74</f>
        <v>G447</v>
      </c>
      <c r="BB76" t="str">
        <f>'Ashed teabags wet'!A494</f>
        <v>R187</v>
      </c>
      <c r="BC76" t="b">
        <f t="shared" si="75"/>
        <v>0</v>
      </c>
      <c r="BD76" t="b">
        <f t="shared" si="55"/>
        <v>0</v>
      </c>
      <c r="BF76" t="str">
        <f t="shared" si="76"/>
        <v>G189</v>
      </c>
      <c r="BG76" t="str">
        <f>T75</f>
        <v>G189</v>
      </c>
      <c r="BH76" t="str">
        <f t="shared" si="77"/>
        <v>G431</v>
      </c>
      <c r="BI76" t="str">
        <f t="shared" si="91"/>
        <v>G431</v>
      </c>
      <c r="BJ76" t="s">
        <v>1861</v>
      </c>
      <c r="BK76" t="s">
        <v>1861</v>
      </c>
      <c r="BL76" t="s">
        <v>1861</v>
      </c>
      <c r="BM76" t="b">
        <f t="shared" si="92"/>
        <v>1</v>
      </c>
      <c r="BN76" t="str">
        <f t="shared" si="78"/>
        <v>R281</v>
      </c>
      <c r="BO76" t="str">
        <f>U75</f>
        <v>R281</v>
      </c>
      <c r="BP76" t="str">
        <f t="shared" si="79"/>
        <v>R780</v>
      </c>
      <c r="BQ76" t="str">
        <f t="shared" si="80"/>
        <v>R780</v>
      </c>
      <c r="BR76" t="s">
        <v>860</v>
      </c>
      <c r="BS76" t="s">
        <v>860</v>
      </c>
      <c r="BT76" t="s">
        <v>860</v>
      </c>
      <c r="BU76" t="b">
        <f t="shared" si="93"/>
        <v>1</v>
      </c>
      <c r="BZ76" t="str">
        <f t="shared" si="81"/>
        <v>G431</v>
      </c>
      <c r="CA76" t="b">
        <f t="shared" si="82"/>
        <v>0</v>
      </c>
      <c r="CB76" t="str">
        <f t="shared" si="94"/>
        <v>G431</v>
      </c>
      <c r="CC76" t="str">
        <f t="shared" si="83"/>
        <v>R780</v>
      </c>
      <c r="CD76" t="b">
        <f t="shared" si="95"/>
        <v>0</v>
      </c>
      <c r="CE76" t="str">
        <f t="shared" si="96"/>
        <v>R780</v>
      </c>
      <c r="CG76" t="str">
        <f t="shared" si="84"/>
        <v>G446</v>
      </c>
      <c r="CH76" t="str">
        <f t="shared" si="97"/>
        <v>G446</v>
      </c>
      <c r="CI76" t="str">
        <f>AE75</f>
        <v>G383</v>
      </c>
      <c r="CJ76" t="str">
        <f t="shared" si="85"/>
        <v>G383</v>
      </c>
      <c r="CK76" t="s">
        <v>1604</v>
      </c>
      <c r="CL76" t="s">
        <v>1604</v>
      </c>
      <c r="CM76" t="s">
        <v>1604</v>
      </c>
      <c r="CN76" t="b">
        <f t="shared" si="98"/>
        <v>1</v>
      </c>
      <c r="CO76" t="str">
        <f t="shared" si="86"/>
        <v>R186</v>
      </c>
      <c r="CP76" t="str">
        <f t="shared" si="99"/>
        <v>R186</v>
      </c>
      <c r="CQ76" t="str">
        <f>AF75</f>
        <v>R546</v>
      </c>
      <c r="CR76" t="str">
        <f t="shared" si="87"/>
        <v>R546</v>
      </c>
      <c r="CS76" t="s">
        <v>955</v>
      </c>
      <c r="CT76" t="s">
        <v>955</v>
      </c>
      <c r="CU76" t="s">
        <v>955</v>
      </c>
      <c r="CV76" t="b">
        <f t="shared" si="100"/>
        <v>1</v>
      </c>
      <c r="DC76" t="str">
        <f t="shared" si="88"/>
        <v>G383</v>
      </c>
      <c r="DD76" t="b">
        <f t="shared" si="101"/>
        <v>0</v>
      </c>
      <c r="DE76" t="str">
        <f t="shared" si="102"/>
        <v>G383</v>
      </c>
      <c r="DF76" t="str">
        <f t="shared" si="89"/>
        <v>R546</v>
      </c>
      <c r="DG76" t="b">
        <f t="shared" si="103"/>
        <v>0</v>
      </c>
      <c r="DH76" t="str">
        <f t="shared" si="104"/>
        <v>R546</v>
      </c>
    </row>
    <row r="77" spans="2:112" ht="12" customHeight="1">
      <c r="B77" t="str">
        <f>TBIDry!H149</f>
        <v>G329</v>
      </c>
      <c r="C77" t="str">
        <f>TBIDry!I149</f>
        <v>R825</v>
      </c>
      <c r="D77" t="b">
        <f t="shared" si="56"/>
        <v>0</v>
      </c>
      <c r="E77" t="b">
        <f t="shared" si="57"/>
        <v>0</v>
      </c>
      <c r="G77" t="str">
        <f>TBIWet!H149</f>
        <v>G605</v>
      </c>
      <c r="H77" t="str">
        <f>TBIWet!I149</f>
        <v>R122</v>
      </c>
      <c r="I77" t="b">
        <f t="shared" si="58"/>
        <v>0</v>
      </c>
      <c r="J77" t="b">
        <f t="shared" si="59"/>
        <v>0</v>
      </c>
      <c r="L77" t="str">
        <f>'Both teabags AfterWet'!A75</f>
        <v>G449</v>
      </c>
      <c r="M77" t="str">
        <f>'Both teabags AfterWet'!A495</f>
        <v>R189</v>
      </c>
      <c r="N77" t="b">
        <f t="shared" si="60"/>
        <v>0</v>
      </c>
      <c r="O77" t="b">
        <f t="shared" si="105"/>
        <v>0</v>
      </c>
      <c r="Q77" s="395" t="b">
        <f t="shared" si="61"/>
        <v>0</v>
      </c>
      <c r="R77" s="395" t="b">
        <f t="shared" si="62"/>
        <v>0</v>
      </c>
      <c r="T77" t="str">
        <f>'Both teabags AfterDry'!A75</f>
        <v>G190</v>
      </c>
      <c r="U77" t="str">
        <f>'Both teabags AfterDry'!A410</f>
        <v>R284</v>
      </c>
      <c r="V77" t="b">
        <f t="shared" si="63"/>
        <v>0</v>
      </c>
      <c r="W77" t="b">
        <f t="shared" si="90"/>
        <v>0</v>
      </c>
      <c r="Y77" t="str">
        <f>'Green_rooibos initial weight'!A78</f>
        <v>G74</v>
      </c>
      <c r="Z77" t="str">
        <f>'Green_rooibos initial weight'!A982</f>
        <v>R74</v>
      </c>
      <c r="AA77" t="b">
        <f t="shared" si="64"/>
        <v>0</v>
      </c>
      <c r="AB77" t="b">
        <f t="shared" si="65"/>
        <v>0</v>
      </c>
      <c r="AE77" t="str">
        <f>'WetLitterbags placem_collection'!K76</f>
        <v>G605</v>
      </c>
      <c r="AF77" t="str">
        <f>'WetLitterbags placem_collection'!M76</f>
        <v>R122</v>
      </c>
      <c r="AG77" t="b">
        <f t="shared" si="66"/>
        <v>0</v>
      </c>
      <c r="AH77" t="b">
        <f t="shared" si="67"/>
        <v>0</v>
      </c>
      <c r="AJ77" t="b">
        <f t="shared" si="68"/>
        <v>0</v>
      </c>
      <c r="AK77" t="b">
        <f t="shared" si="69"/>
        <v>0</v>
      </c>
      <c r="AM77" t="str">
        <f>IF(ISBLANK('Dry_Litterbag Placem_Collection'!J76),"","G"&amp;""&amp;'Dry_Litterbag Placem_Collection'!J76)</f>
        <v>G329</v>
      </c>
      <c r="AN77" t="str">
        <f>IF(ISBLANK('Dry_Litterbag Placem_Collection'!K76),"","R"&amp;""&amp;'Dry_Litterbag Placem_Collection'!K76)</f>
        <v>R825</v>
      </c>
      <c r="AO77" t="b">
        <f t="shared" si="70"/>
        <v>0</v>
      </c>
      <c r="AP77" t="b">
        <f t="shared" si="71"/>
        <v>0</v>
      </c>
      <c r="AS77" t="str">
        <f>'Ashed teabags dry'!A75</f>
        <v>G190</v>
      </c>
      <c r="AT77" t="str">
        <f>'Ashed teabags dry'!A410</f>
        <v>R284</v>
      </c>
      <c r="AU77" t="b">
        <f t="shared" si="72"/>
        <v>0</v>
      </c>
      <c r="AV77" t="b">
        <f>COUNTIF($AT$4:$AT$2000, AT77)&gt;1</f>
        <v>0</v>
      </c>
      <c r="AX77" s="395" t="b">
        <f t="shared" si="73"/>
        <v>0</v>
      </c>
      <c r="AY77" s="395" t="b">
        <f t="shared" si="74"/>
        <v>0</v>
      </c>
      <c r="BA77" t="str">
        <f>'Ashed teabags wet'!A75</f>
        <v>G449</v>
      </c>
      <c r="BB77" t="str">
        <f>'Ashed teabags wet'!A495</f>
        <v>R189</v>
      </c>
      <c r="BC77" t="b">
        <f t="shared" si="75"/>
        <v>0</v>
      </c>
      <c r="BD77" t="b">
        <f t="shared" si="55"/>
        <v>0</v>
      </c>
      <c r="BF77" t="str">
        <f t="shared" si="76"/>
        <v>G19</v>
      </c>
      <c r="BG77" t="str">
        <f>T76</f>
        <v>G19</v>
      </c>
      <c r="BH77" t="str">
        <f t="shared" si="77"/>
        <v>G321</v>
      </c>
      <c r="BI77" t="str">
        <f t="shared" si="91"/>
        <v/>
      </c>
      <c r="BJ77" t="s">
        <v>2031</v>
      </c>
      <c r="BK77" t="s">
        <v>2031</v>
      </c>
      <c r="BL77" t="s">
        <v>2031</v>
      </c>
      <c r="BM77" t="b">
        <f t="shared" si="92"/>
        <v>1</v>
      </c>
      <c r="BN77" t="str">
        <f t="shared" si="78"/>
        <v>R283</v>
      </c>
      <c r="BO77" t="str">
        <f>U76</f>
        <v>R283</v>
      </c>
      <c r="BP77" t="str">
        <f t="shared" si="79"/>
        <v>R730</v>
      </c>
      <c r="BQ77" t="str">
        <f t="shared" si="80"/>
        <v/>
      </c>
      <c r="BR77" t="s">
        <v>858</v>
      </c>
      <c r="BS77" t="s">
        <v>858</v>
      </c>
      <c r="BT77" t="s">
        <v>858</v>
      </c>
      <c r="BU77" t="b">
        <f t="shared" si="93"/>
        <v>1</v>
      </c>
      <c r="BZ77" t="str">
        <f t="shared" si="81"/>
        <v>G321</v>
      </c>
      <c r="CA77" t="b">
        <f t="shared" si="82"/>
        <v>1</v>
      </c>
      <c r="CB77" t="str">
        <f t="shared" si="94"/>
        <v/>
      </c>
      <c r="CC77" t="str">
        <f t="shared" si="83"/>
        <v>R730</v>
      </c>
      <c r="CD77" t="b">
        <f t="shared" si="95"/>
        <v>1</v>
      </c>
      <c r="CE77" t="str">
        <f t="shared" si="96"/>
        <v/>
      </c>
      <c r="CG77" t="str">
        <f t="shared" si="84"/>
        <v>G447</v>
      </c>
      <c r="CH77" t="str">
        <f t="shared" si="97"/>
        <v>G447</v>
      </c>
      <c r="CI77" t="str">
        <f>AE76</f>
        <v>G549</v>
      </c>
      <c r="CJ77" t="str">
        <f t="shared" si="85"/>
        <v>G549</v>
      </c>
      <c r="CK77" t="s">
        <v>1603</v>
      </c>
      <c r="CL77" t="s">
        <v>1603</v>
      </c>
      <c r="CM77" t="s">
        <v>1603</v>
      </c>
      <c r="CN77" t="b">
        <f t="shared" si="98"/>
        <v>1</v>
      </c>
      <c r="CO77" t="str">
        <f t="shared" si="86"/>
        <v>R187</v>
      </c>
      <c r="CP77" t="str">
        <f t="shared" si="99"/>
        <v>R187</v>
      </c>
      <c r="CQ77" t="str">
        <f>AF76</f>
        <v>R438</v>
      </c>
      <c r="CR77" t="str">
        <f t="shared" si="87"/>
        <v>R438</v>
      </c>
      <c r="CS77" t="s">
        <v>954</v>
      </c>
      <c r="CT77" t="s">
        <v>954</v>
      </c>
      <c r="CU77" t="s">
        <v>954</v>
      </c>
      <c r="CV77" t="b">
        <f t="shared" si="100"/>
        <v>1</v>
      </c>
      <c r="DC77" t="str">
        <f t="shared" si="88"/>
        <v>G549</v>
      </c>
      <c r="DD77" t="b">
        <f t="shared" si="101"/>
        <v>0</v>
      </c>
      <c r="DE77" t="str">
        <f t="shared" si="102"/>
        <v>G549</v>
      </c>
      <c r="DF77" t="str">
        <f t="shared" si="89"/>
        <v>R438</v>
      </c>
      <c r="DG77" t="b">
        <f t="shared" si="103"/>
        <v>0</v>
      </c>
      <c r="DH77" t="str">
        <f t="shared" si="104"/>
        <v>R438</v>
      </c>
    </row>
    <row r="78" spans="2:112" ht="12" customHeight="1">
      <c r="B78" t="str">
        <f>TBIDry!H150</f>
        <v>G215</v>
      </c>
      <c r="C78" t="str">
        <f>TBIDry!I150</f>
        <v>R840</v>
      </c>
      <c r="D78" t="b">
        <f t="shared" si="56"/>
        <v>0</v>
      </c>
      <c r="E78" t="b">
        <f t="shared" si="57"/>
        <v>0</v>
      </c>
      <c r="G78" t="str">
        <f>TBIWet!H150</f>
        <v>G408</v>
      </c>
      <c r="H78" t="str">
        <f>TBIWet!I150</f>
        <v>R404</v>
      </c>
      <c r="I78" t="b">
        <f t="shared" si="58"/>
        <v>0</v>
      </c>
      <c r="J78" t="b">
        <f t="shared" si="59"/>
        <v>0</v>
      </c>
      <c r="L78" t="str">
        <f>'Both teabags AfterWet'!A76</f>
        <v>G450</v>
      </c>
      <c r="M78" t="str">
        <f>'Both teabags AfterWet'!A496</f>
        <v>R19</v>
      </c>
      <c r="N78" t="b">
        <f t="shared" si="60"/>
        <v>0</v>
      </c>
      <c r="O78" t="b">
        <f t="shared" si="105"/>
        <v>0</v>
      </c>
      <c r="Q78" s="395" t="b">
        <f t="shared" si="61"/>
        <v>0</v>
      </c>
      <c r="R78" s="395" t="b">
        <f t="shared" si="62"/>
        <v>0</v>
      </c>
      <c r="T78" t="str">
        <f>'Both teabags AfterDry'!A76</f>
        <v>G193</v>
      </c>
      <c r="U78" t="str">
        <f>'Both teabags AfterDry'!A411</f>
        <v>R292</v>
      </c>
      <c r="V78" t="b">
        <f t="shared" si="63"/>
        <v>0</v>
      </c>
      <c r="W78" t="b">
        <f t="shared" si="90"/>
        <v>0</v>
      </c>
      <c r="Y78" t="str">
        <f>'Green_rooibos initial weight'!A79</f>
        <v>G75</v>
      </c>
      <c r="Z78" t="str">
        <f>'Green_rooibos initial weight'!A983</f>
        <v>R75</v>
      </c>
      <c r="AA78" t="b">
        <f t="shared" si="64"/>
        <v>0</v>
      </c>
      <c r="AB78" t="b">
        <f t="shared" si="65"/>
        <v>0</v>
      </c>
      <c r="AE78" t="str">
        <f>'WetLitterbags placem_collection'!K77</f>
        <v>G408</v>
      </c>
      <c r="AF78" t="str">
        <f>'WetLitterbags placem_collection'!M77</f>
        <v>R404</v>
      </c>
      <c r="AG78" t="b">
        <f t="shared" si="66"/>
        <v>0</v>
      </c>
      <c r="AH78" t="b">
        <f t="shared" si="67"/>
        <v>0</v>
      </c>
      <c r="AJ78" t="b">
        <f t="shared" si="68"/>
        <v>0</v>
      </c>
      <c r="AK78" t="b">
        <f t="shared" si="69"/>
        <v>0</v>
      </c>
      <c r="AM78" t="str">
        <f>IF(ISBLANK('Dry_Litterbag Placem_Collection'!J77),"","G"&amp;""&amp;'Dry_Litterbag Placem_Collection'!J77)</f>
        <v>G215</v>
      </c>
      <c r="AN78" t="str">
        <f>IF(ISBLANK('Dry_Litterbag Placem_Collection'!K77),"","R"&amp;""&amp;'Dry_Litterbag Placem_Collection'!K77)</f>
        <v>R840</v>
      </c>
      <c r="AO78" t="b">
        <f t="shared" si="70"/>
        <v>0</v>
      </c>
      <c r="AP78" t="b">
        <f t="shared" si="71"/>
        <v>0</v>
      </c>
      <c r="AS78" t="str">
        <f>'Ashed teabags dry'!A76</f>
        <v>G193</v>
      </c>
      <c r="AT78" t="str">
        <f>'Ashed teabags dry'!A411</f>
        <v>R292</v>
      </c>
      <c r="AU78" t="b">
        <f t="shared" si="72"/>
        <v>0</v>
      </c>
      <c r="AV78" t="b">
        <f>COUNTIF($AT$4:$AT$2000, AT78)&gt;1</f>
        <v>0</v>
      </c>
      <c r="AX78" s="395" t="b">
        <f t="shared" si="73"/>
        <v>0</v>
      </c>
      <c r="AY78" s="395" t="b">
        <f t="shared" si="74"/>
        <v>0</v>
      </c>
      <c r="BA78" t="str">
        <f>'Ashed teabags wet'!A76</f>
        <v>G450</v>
      </c>
      <c r="BB78" t="str">
        <f>'Ashed teabags wet'!A496</f>
        <v>R19</v>
      </c>
      <c r="BC78" t="b">
        <f t="shared" si="75"/>
        <v>0</v>
      </c>
      <c r="BD78" t="b">
        <f t="shared" si="55"/>
        <v>0</v>
      </c>
      <c r="BF78" t="str">
        <f t="shared" si="76"/>
        <v>G190</v>
      </c>
      <c r="BG78" t="str">
        <f>T77</f>
        <v>G190</v>
      </c>
      <c r="BH78" t="str">
        <f t="shared" si="77"/>
        <v>G329</v>
      </c>
      <c r="BI78" t="str">
        <f t="shared" si="91"/>
        <v>G329</v>
      </c>
      <c r="BJ78" t="s">
        <v>1860</v>
      </c>
      <c r="BK78" t="s">
        <v>1860</v>
      </c>
      <c r="BL78" t="s">
        <v>1860</v>
      </c>
      <c r="BM78" t="b">
        <f t="shared" si="92"/>
        <v>1</v>
      </c>
      <c r="BN78" t="str">
        <f t="shared" si="78"/>
        <v>R284</v>
      </c>
      <c r="BO78" t="str">
        <f>U77</f>
        <v>R284</v>
      </c>
      <c r="BP78" t="str">
        <f t="shared" si="79"/>
        <v>R825</v>
      </c>
      <c r="BQ78" t="str">
        <f t="shared" si="80"/>
        <v>R825</v>
      </c>
      <c r="BR78" t="s">
        <v>857</v>
      </c>
      <c r="BS78" t="s">
        <v>857</v>
      </c>
      <c r="BT78" t="s">
        <v>857</v>
      </c>
      <c r="BU78" t="b">
        <f t="shared" si="93"/>
        <v>1</v>
      </c>
      <c r="BZ78" t="str">
        <f t="shared" si="81"/>
        <v>G329</v>
      </c>
      <c r="CA78" t="b">
        <f t="shared" si="82"/>
        <v>0</v>
      </c>
      <c r="CB78" t="str">
        <f t="shared" si="94"/>
        <v>G329</v>
      </c>
      <c r="CC78" t="str">
        <f t="shared" si="83"/>
        <v>R825</v>
      </c>
      <c r="CD78" t="b">
        <f t="shared" si="95"/>
        <v>0</v>
      </c>
      <c r="CE78" t="str">
        <f t="shared" si="96"/>
        <v>R825</v>
      </c>
      <c r="CG78" t="str">
        <f t="shared" si="84"/>
        <v>G449</v>
      </c>
      <c r="CH78" t="str">
        <f t="shared" si="97"/>
        <v>G449</v>
      </c>
      <c r="CI78" t="str">
        <f>AE77</f>
        <v>G605</v>
      </c>
      <c r="CJ78" t="str">
        <f t="shared" si="85"/>
        <v>G605</v>
      </c>
      <c r="CK78" t="s">
        <v>1601</v>
      </c>
      <c r="CL78" t="s">
        <v>1601</v>
      </c>
      <c r="CM78" t="s">
        <v>1601</v>
      </c>
      <c r="CN78" t="b">
        <f t="shared" si="98"/>
        <v>1</v>
      </c>
      <c r="CO78" t="str">
        <f t="shared" si="86"/>
        <v>R189</v>
      </c>
      <c r="CP78" t="str">
        <f t="shared" si="99"/>
        <v>R189</v>
      </c>
      <c r="CQ78" t="str">
        <f>AF77</f>
        <v>R122</v>
      </c>
      <c r="CR78" t="str">
        <f t="shared" si="87"/>
        <v>R122</v>
      </c>
      <c r="CS78" t="s">
        <v>952</v>
      </c>
      <c r="CT78" t="s">
        <v>952</v>
      </c>
      <c r="CU78" t="s">
        <v>952</v>
      </c>
      <c r="CV78" t="b">
        <f t="shared" si="100"/>
        <v>1</v>
      </c>
      <c r="DC78" t="str">
        <f t="shared" si="88"/>
        <v>G605</v>
      </c>
      <c r="DD78" t="b">
        <f t="shared" si="101"/>
        <v>0</v>
      </c>
      <c r="DE78" t="str">
        <f t="shared" si="102"/>
        <v>G605</v>
      </c>
      <c r="DF78" t="str">
        <f t="shared" si="89"/>
        <v>R122</v>
      </c>
      <c r="DG78" t="b">
        <f t="shared" si="103"/>
        <v>0</v>
      </c>
      <c r="DH78" t="str">
        <f t="shared" si="104"/>
        <v>R122</v>
      </c>
    </row>
    <row r="79" spans="2:112" ht="12" customHeight="1">
      <c r="B79" t="str">
        <f>TBIDry!H151</f>
        <v>G60</v>
      </c>
      <c r="C79" t="str">
        <f>TBIDry!I151</f>
        <v>R770</v>
      </c>
      <c r="D79" t="b">
        <f t="shared" si="56"/>
        <v>0</v>
      </c>
      <c r="E79" t="b">
        <f t="shared" si="57"/>
        <v>0</v>
      </c>
      <c r="G79" t="str">
        <f>TBIWet!H151</f>
        <v>G416</v>
      </c>
      <c r="H79" t="str">
        <f>TBIWet!I151</f>
        <v>R501</v>
      </c>
      <c r="I79" t="b">
        <f t="shared" si="58"/>
        <v>0</v>
      </c>
      <c r="J79" t="b">
        <f t="shared" si="59"/>
        <v>0</v>
      </c>
      <c r="L79" t="str">
        <f>'Both teabags AfterWet'!A77</f>
        <v>G451</v>
      </c>
      <c r="M79" t="str">
        <f>'Both teabags AfterWet'!A497</f>
        <v>R190</v>
      </c>
      <c r="N79" t="b">
        <f t="shared" si="60"/>
        <v>0</v>
      </c>
      <c r="O79" t="b">
        <f t="shared" si="105"/>
        <v>0</v>
      </c>
      <c r="Q79" s="395" t="b">
        <f t="shared" si="61"/>
        <v>0</v>
      </c>
      <c r="R79" s="395" t="b">
        <f t="shared" si="62"/>
        <v>0</v>
      </c>
      <c r="T79" t="str">
        <f>'Both teabags AfterDry'!A77</f>
        <v>G194</v>
      </c>
      <c r="U79" t="str">
        <f>'Both teabags AfterDry'!A412</f>
        <v>R294</v>
      </c>
      <c r="V79" t="b">
        <f t="shared" si="63"/>
        <v>0</v>
      </c>
      <c r="W79" t="b">
        <f t="shared" si="90"/>
        <v>0</v>
      </c>
      <c r="Y79" t="str">
        <f>'Green_rooibos initial weight'!A80</f>
        <v>G76</v>
      </c>
      <c r="Z79" t="str">
        <f>'Green_rooibos initial weight'!A984</f>
        <v>R76</v>
      </c>
      <c r="AA79" t="b">
        <f t="shared" si="64"/>
        <v>0</v>
      </c>
      <c r="AB79" t="b">
        <f t="shared" si="65"/>
        <v>0</v>
      </c>
      <c r="AE79" t="str">
        <f>'WetLitterbags placem_collection'!K78</f>
        <v>G416</v>
      </c>
      <c r="AF79" t="str">
        <f>'WetLitterbags placem_collection'!M78</f>
        <v>R501</v>
      </c>
      <c r="AG79" t="b">
        <f t="shared" si="66"/>
        <v>0</v>
      </c>
      <c r="AH79" t="b">
        <f t="shared" si="67"/>
        <v>0</v>
      </c>
      <c r="AJ79" t="b">
        <f t="shared" si="68"/>
        <v>0</v>
      </c>
      <c r="AK79" t="b">
        <f t="shared" si="69"/>
        <v>0</v>
      </c>
      <c r="AM79" t="str">
        <f>IF(ISBLANK('Dry_Litterbag Placem_Collection'!J78),"","G"&amp;""&amp;'Dry_Litterbag Placem_Collection'!J78)</f>
        <v>G60</v>
      </c>
      <c r="AN79" t="str">
        <f>IF(ISBLANK('Dry_Litterbag Placem_Collection'!K78),"","R"&amp;""&amp;'Dry_Litterbag Placem_Collection'!K78)</f>
        <v>R770</v>
      </c>
      <c r="AO79" t="b">
        <f t="shared" si="70"/>
        <v>0</v>
      </c>
      <c r="AP79" t="b">
        <f t="shared" si="71"/>
        <v>0</v>
      </c>
      <c r="AS79" t="str">
        <f>'Ashed teabags dry'!A77</f>
        <v>G194</v>
      </c>
      <c r="AT79" t="str">
        <f>'Ashed teabags dry'!A412</f>
        <v>R294</v>
      </c>
      <c r="AU79" t="b">
        <f t="shared" si="72"/>
        <v>0</v>
      </c>
      <c r="AV79" t="b">
        <f>COUNTIF($AT$4:$AT$2000, AT79)&gt;1</f>
        <v>0</v>
      </c>
      <c r="AX79" s="395" t="b">
        <f t="shared" si="73"/>
        <v>0</v>
      </c>
      <c r="AY79" s="395" t="b">
        <f t="shared" si="74"/>
        <v>0</v>
      </c>
      <c r="BA79" t="str">
        <f>'Ashed teabags wet'!A77</f>
        <v>G451</v>
      </c>
      <c r="BB79" t="str">
        <f>'Ashed teabags wet'!A497</f>
        <v>R190</v>
      </c>
      <c r="BC79" t="b">
        <f t="shared" si="75"/>
        <v>0</v>
      </c>
      <c r="BD79" t="b">
        <f t="shared" si="55"/>
        <v>0</v>
      </c>
      <c r="BF79" t="str">
        <f t="shared" si="76"/>
        <v>G193</v>
      </c>
      <c r="BG79" t="str">
        <f>T78</f>
        <v>G193</v>
      </c>
      <c r="BH79" t="str">
        <f t="shared" si="77"/>
        <v>G215</v>
      </c>
      <c r="BI79" t="str">
        <f t="shared" si="91"/>
        <v>G215</v>
      </c>
      <c r="BJ79" t="s">
        <v>1857</v>
      </c>
      <c r="BK79" t="s">
        <v>1857</v>
      </c>
      <c r="BL79" t="s">
        <v>1857</v>
      </c>
      <c r="BM79" t="b">
        <f t="shared" si="92"/>
        <v>1</v>
      </c>
      <c r="BN79" t="str">
        <f t="shared" si="78"/>
        <v>R292</v>
      </c>
      <c r="BO79" t="str">
        <f>U78</f>
        <v>R292</v>
      </c>
      <c r="BP79" t="str">
        <f t="shared" si="79"/>
        <v>R840</v>
      </c>
      <c r="BQ79" t="str">
        <f t="shared" si="80"/>
        <v>R840</v>
      </c>
      <c r="BR79" t="s">
        <v>849</v>
      </c>
      <c r="BS79" t="s">
        <v>849</v>
      </c>
      <c r="BT79" t="s">
        <v>849</v>
      </c>
      <c r="BU79" t="b">
        <f t="shared" si="93"/>
        <v>1</v>
      </c>
      <c r="BZ79" t="str">
        <f t="shared" si="81"/>
        <v>G215</v>
      </c>
      <c r="CA79" t="b">
        <f t="shared" si="82"/>
        <v>0</v>
      </c>
      <c r="CB79" t="str">
        <f t="shared" si="94"/>
        <v>G215</v>
      </c>
      <c r="CC79" t="str">
        <f t="shared" si="83"/>
        <v>R840</v>
      </c>
      <c r="CD79" t="b">
        <f t="shared" si="95"/>
        <v>0</v>
      </c>
      <c r="CE79" t="str">
        <f t="shared" si="96"/>
        <v>R840</v>
      </c>
      <c r="CG79" t="str">
        <f t="shared" si="84"/>
        <v>G450</v>
      </c>
      <c r="CH79" t="str">
        <f t="shared" si="97"/>
        <v>G450</v>
      </c>
      <c r="CI79" t="str">
        <f>AE78</f>
        <v>G408</v>
      </c>
      <c r="CJ79" t="str">
        <f t="shared" si="85"/>
        <v>G408</v>
      </c>
      <c r="CK79" t="s">
        <v>1600</v>
      </c>
      <c r="CL79" t="s">
        <v>1600</v>
      </c>
      <c r="CM79" t="s">
        <v>1600</v>
      </c>
      <c r="CN79" t="b">
        <f t="shared" si="98"/>
        <v>1</v>
      </c>
      <c r="CO79" t="str">
        <f t="shared" si="86"/>
        <v>R19</v>
      </c>
      <c r="CP79" t="str">
        <f t="shared" si="99"/>
        <v>R19</v>
      </c>
      <c r="CQ79" t="str">
        <f>AF78</f>
        <v>R404</v>
      </c>
      <c r="CR79" t="str">
        <f t="shared" si="87"/>
        <v>R404</v>
      </c>
      <c r="CS79" t="s">
        <v>1122</v>
      </c>
      <c r="CT79" t="s">
        <v>1122</v>
      </c>
      <c r="CU79" t="s">
        <v>1122</v>
      </c>
      <c r="CV79" t="b">
        <f t="shared" si="100"/>
        <v>1</v>
      </c>
      <c r="DC79" t="str">
        <f t="shared" si="88"/>
        <v>G408</v>
      </c>
      <c r="DD79" t="b">
        <f t="shared" si="101"/>
        <v>0</v>
      </c>
      <c r="DE79" t="str">
        <f t="shared" si="102"/>
        <v>G408</v>
      </c>
      <c r="DF79" t="str">
        <f t="shared" si="89"/>
        <v>R404</v>
      </c>
      <c r="DG79" t="b">
        <f t="shared" si="103"/>
        <v>0</v>
      </c>
      <c r="DH79" t="str">
        <f t="shared" si="104"/>
        <v>R404</v>
      </c>
    </row>
    <row r="80" spans="2:112" ht="12" customHeight="1">
      <c r="B80" t="str">
        <f>TBIDry!H152</f>
        <v/>
      </c>
      <c r="C80" t="str">
        <f>TBIDry!I152</f>
        <v/>
      </c>
      <c r="D80" t="b">
        <f t="shared" si="56"/>
        <v>1</v>
      </c>
      <c r="E80" t="b">
        <f t="shared" si="57"/>
        <v>1</v>
      </c>
      <c r="G80" t="str">
        <f>TBIWet!H152</f>
        <v>G594</v>
      </c>
      <c r="H80" t="str">
        <f>TBIWet!I152</f>
        <v>R137</v>
      </c>
      <c r="I80" t="b">
        <f t="shared" si="58"/>
        <v>0</v>
      </c>
      <c r="J80" t="b">
        <f t="shared" si="59"/>
        <v>0</v>
      </c>
      <c r="L80" t="str">
        <f>'Both teabags AfterWet'!A78</f>
        <v>G452</v>
      </c>
      <c r="M80" t="str">
        <f>'Both teabags AfterWet'!A498</f>
        <v>R196</v>
      </c>
      <c r="N80" t="b">
        <f t="shared" si="60"/>
        <v>0</v>
      </c>
      <c r="O80" t="b">
        <f t="shared" si="105"/>
        <v>0</v>
      </c>
      <c r="Q80" s="395" t="b">
        <f t="shared" si="61"/>
        <v>0</v>
      </c>
      <c r="R80" s="395" t="b">
        <f t="shared" si="62"/>
        <v>0</v>
      </c>
      <c r="T80" t="str">
        <f>'Both teabags AfterDry'!A78</f>
        <v>G196</v>
      </c>
      <c r="U80" t="str">
        <f>'Both teabags AfterDry'!A413</f>
        <v>R295</v>
      </c>
      <c r="V80" t="b">
        <f t="shared" si="63"/>
        <v>0</v>
      </c>
      <c r="W80" t="b">
        <f t="shared" si="90"/>
        <v>0</v>
      </c>
      <c r="Y80" t="str">
        <f>'Green_rooibos initial weight'!A81</f>
        <v>G77</v>
      </c>
      <c r="Z80" t="str">
        <f>'Green_rooibos initial weight'!A985</f>
        <v>R77</v>
      </c>
      <c r="AA80" t="b">
        <f t="shared" si="64"/>
        <v>0</v>
      </c>
      <c r="AB80" t="b">
        <f t="shared" si="65"/>
        <v>0</v>
      </c>
      <c r="AE80" t="str">
        <f>'WetLitterbags placem_collection'!K79</f>
        <v>G594</v>
      </c>
      <c r="AF80" t="str">
        <f>'WetLitterbags placem_collection'!M79</f>
        <v>R137</v>
      </c>
      <c r="AG80" t="b">
        <f t="shared" si="66"/>
        <v>0</v>
      </c>
      <c r="AH80" t="b">
        <f t="shared" si="67"/>
        <v>0</v>
      </c>
      <c r="AJ80" t="b">
        <f t="shared" si="68"/>
        <v>0</v>
      </c>
      <c r="AK80" t="b">
        <f t="shared" si="69"/>
        <v>0</v>
      </c>
      <c r="AM80" t="str">
        <f>IF(ISBLANK('Dry_Litterbag Placem_Collection'!J79),"","G"&amp;""&amp;'Dry_Litterbag Placem_Collection'!J79)</f>
        <v/>
      </c>
      <c r="AN80" t="str">
        <f>IF(ISBLANK('Dry_Litterbag Placem_Collection'!K79),"","R"&amp;""&amp;'Dry_Litterbag Placem_Collection'!K79)</f>
        <v/>
      </c>
      <c r="AO80" t="b">
        <f t="shared" si="70"/>
        <v>1</v>
      </c>
      <c r="AP80" t="b">
        <f t="shared" si="71"/>
        <v>1</v>
      </c>
      <c r="AS80" t="str">
        <f>'Ashed teabags dry'!A78</f>
        <v>G196</v>
      </c>
      <c r="AT80" t="str">
        <f>'Ashed teabags dry'!A413</f>
        <v>R295</v>
      </c>
      <c r="AU80" t="b">
        <f t="shared" si="72"/>
        <v>0</v>
      </c>
      <c r="AV80" t="b">
        <f>COUNTIF($AT$4:$AT$2000, AT80)&gt;1</f>
        <v>0</v>
      </c>
      <c r="AX80" s="395" t="b">
        <f t="shared" si="73"/>
        <v>0</v>
      </c>
      <c r="AY80" s="395" t="b">
        <f t="shared" si="74"/>
        <v>0</v>
      </c>
      <c r="BA80" t="str">
        <f>'Ashed teabags wet'!A78</f>
        <v>G452</v>
      </c>
      <c r="BB80" t="str">
        <f>'Ashed teabags wet'!A498</f>
        <v>R196</v>
      </c>
      <c r="BC80" t="b">
        <f t="shared" si="75"/>
        <v>0</v>
      </c>
      <c r="BD80" t="b">
        <f t="shared" si="55"/>
        <v>0</v>
      </c>
      <c r="BF80" t="str">
        <f t="shared" si="76"/>
        <v>G194</v>
      </c>
      <c r="BG80" t="str">
        <f>T79</f>
        <v>G194</v>
      </c>
      <c r="BH80" t="str">
        <f t="shared" si="77"/>
        <v>G60</v>
      </c>
      <c r="BI80" t="str">
        <f t="shared" si="91"/>
        <v>G60</v>
      </c>
      <c r="BJ80" t="s">
        <v>1856</v>
      </c>
      <c r="BK80" t="s">
        <v>1856</v>
      </c>
      <c r="BL80" t="s">
        <v>1856</v>
      </c>
      <c r="BM80" t="b">
        <f t="shared" si="92"/>
        <v>1</v>
      </c>
      <c r="BN80" t="str">
        <f t="shared" si="78"/>
        <v>R294</v>
      </c>
      <c r="BO80" t="str">
        <f>U79</f>
        <v>R294</v>
      </c>
      <c r="BP80" t="str">
        <f t="shared" si="79"/>
        <v>R770</v>
      </c>
      <c r="BQ80" t="str">
        <f t="shared" si="80"/>
        <v>R770</v>
      </c>
      <c r="BR80" t="s">
        <v>847</v>
      </c>
      <c r="BS80" t="s">
        <v>847</v>
      </c>
      <c r="BT80" t="s">
        <v>847</v>
      </c>
      <c r="BU80" t="b">
        <f t="shared" si="93"/>
        <v>1</v>
      </c>
      <c r="BV80" s="113"/>
      <c r="BW80" s="113"/>
      <c r="BZ80" t="str">
        <f t="shared" si="81"/>
        <v>G60</v>
      </c>
      <c r="CA80" t="b">
        <f t="shared" si="82"/>
        <v>0</v>
      </c>
      <c r="CB80" t="str">
        <f t="shared" si="94"/>
        <v>G60</v>
      </c>
      <c r="CC80" t="str">
        <f t="shared" si="83"/>
        <v>R770</v>
      </c>
      <c r="CD80" t="b">
        <f t="shared" si="95"/>
        <v>0</v>
      </c>
      <c r="CE80" t="str">
        <f t="shared" si="96"/>
        <v>R770</v>
      </c>
      <c r="CG80" t="str">
        <f t="shared" si="84"/>
        <v>G451</v>
      </c>
      <c r="CH80" t="str">
        <f t="shared" si="97"/>
        <v>G451</v>
      </c>
      <c r="CI80" t="str">
        <f>AE79</f>
        <v>G416</v>
      </c>
      <c r="CJ80" t="str">
        <f t="shared" si="85"/>
        <v>G416</v>
      </c>
      <c r="CK80" t="s">
        <v>1599</v>
      </c>
      <c r="CL80" t="s">
        <v>1599</v>
      </c>
      <c r="CM80" t="s">
        <v>1599</v>
      </c>
      <c r="CN80" t="b">
        <f t="shared" si="98"/>
        <v>1</v>
      </c>
      <c r="CO80" t="str">
        <f t="shared" si="86"/>
        <v>R190</v>
      </c>
      <c r="CP80" t="str">
        <f t="shared" si="99"/>
        <v>R190</v>
      </c>
      <c r="CQ80" t="str">
        <f>AF79</f>
        <v>R501</v>
      </c>
      <c r="CR80" t="str">
        <f t="shared" si="87"/>
        <v>R501</v>
      </c>
      <c r="CS80" t="s">
        <v>951</v>
      </c>
      <c r="CT80" t="s">
        <v>951</v>
      </c>
      <c r="CU80" t="s">
        <v>951</v>
      </c>
      <c r="CV80" t="b">
        <f t="shared" si="100"/>
        <v>1</v>
      </c>
      <c r="DC80" t="str">
        <f t="shared" si="88"/>
        <v>G416</v>
      </c>
      <c r="DD80" t="b">
        <f t="shared" si="101"/>
        <v>0</v>
      </c>
      <c r="DE80" t="str">
        <f t="shared" si="102"/>
        <v>G416</v>
      </c>
      <c r="DF80" t="str">
        <f t="shared" si="89"/>
        <v>R501</v>
      </c>
      <c r="DG80" t="b">
        <f t="shared" si="103"/>
        <v>0</v>
      </c>
      <c r="DH80" t="str">
        <f t="shared" si="104"/>
        <v>R501</v>
      </c>
    </row>
    <row r="81" spans="2:112" ht="12" customHeight="1">
      <c r="B81" t="str">
        <f>TBIDry!H153</f>
        <v>G97</v>
      </c>
      <c r="C81" t="str">
        <f>TBIDry!I153</f>
        <v>R696</v>
      </c>
      <c r="D81" t="b">
        <f t="shared" si="56"/>
        <v>0</v>
      </c>
      <c r="E81" t="b">
        <f t="shared" si="57"/>
        <v>0</v>
      </c>
      <c r="G81" t="str">
        <f>TBIWet!H153</f>
        <v>G460</v>
      </c>
      <c r="H81" t="str">
        <f>TBIWet!I153</f>
        <v>R278</v>
      </c>
      <c r="I81" t="b">
        <f t="shared" si="58"/>
        <v>0</v>
      </c>
      <c r="J81" t="b">
        <f t="shared" si="59"/>
        <v>0</v>
      </c>
      <c r="L81" t="str">
        <f>'Both teabags AfterWet'!A79</f>
        <v>G453</v>
      </c>
      <c r="M81" t="str">
        <f>'Both teabags AfterWet'!A499</f>
        <v>R2</v>
      </c>
      <c r="N81" t="b">
        <f t="shared" si="60"/>
        <v>0</v>
      </c>
      <c r="O81" t="b">
        <f t="shared" si="105"/>
        <v>0</v>
      </c>
      <c r="Q81" s="395" t="b">
        <f t="shared" si="61"/>
        <v>0</v>
      </c>
      <c r="R81" s="395" t="b">
        <f t="shared" si="62"/>
        <v>0</v>
      </c>
      <c r="T81" t="str">
        <f>'Both teabags AfterDry'!A79</f>
        <v>G197</v>
      </c>
      <c r="U81" t="str">
        <f>'Both teabags AfterDry'!A414</f>
        <v>R297</v>
      </c>
      <c r="V81" t="b">
        <f t="shared" si="63"/>
        <v>0</v>
      </c>
      <c r="W81" t="b">
        <f t="shared" si="90"/>
        <v>0</v>
      </c>
      <c r="Y81" t="str">
        <f>'Green_rooibos initial weight'!A82</f>
        <v>G78</v>
      </c>
      <c r="Z81" t="str">
        <f>'Green_rooibos initial weight'!A986</f>
        <v>R78</v>
      </c>
      <c r="AA81" t="b">
        <f t="shared" si="64"/>
        <v>0</v>
      </c>
      <c r="AB81" t="b">
        <f t="shared" si="65"/>
        <v>0</v>
      </c>
      <c r="AE81" t="str">
        <f>'WetLitterbags placem_collection'!K80</f>
        <v>G460</v>
      </c>
      <c r="AF81" t="str">
        <f>'WetLitterbags placem_collection'!M80</f>
        <v>R278</v>
      </c>
      <c r="AG81" t="b">
        <f t="shared" si="66"/>
        <v>0</v>
      </c>
      <c r="AH81" t="b">
        <f t="shared" si="67"/>
        <v>0</v>
      </c>
      <c r="AJ81" t="b">
        <f t="shared" si="68"/>
        <v>0</v>
      </c>
      <c r="AK81" t="b">
        <f t="shared" si="69"/>
        <v>0</v>
      </c>
      <c r="AM81" t="str">
        <f>IF(ISBLANK('Dry_Litterbag Placem_Collection'!J80),"","G"&amp;""&amp;'Dry_Litterbag Placem_Collection'!J80)</f>
        <v>G97</v>
      </c>
      <c r="AN81" t="str">
        <f>IF(ISBLANK('Dry_Litterbag Placem_Collection'!K80),"","R"&amp;""&amp;'Dry_Litterbag Placem_Collection'!K80)</f>
        <v>R696</v>
      </c>
      <c r="AO81" t="b">
        <f t="shared" si="70"/>
        <v>0</v>
      </c>
      <c r="AP81" t="b">
        <f t="shared" si="71"/>
        <v>0</v>
      </c>
      <c r="AS81" t="str">
        <f>'Ashed teabags dry'!A79</f>
        <v>G197</v>
      </c>
      <c r="AT81" t="str">
        <f>'Ashed teabags dry'!A414</f>
        <v>R297</v>
      </c>
      <c r="AU81" t="b">
        <f t="shared" si="72"/>
        <v>0</v>
      </c>
      <c r="AV81" t="b">
        <f>COUNTIF($AT$4:$AT$2000, AT81)&gt;1</f>
        <v>0</v>
      </c>
      <c r="AX81" s="395" t="b">
        <f t="shared" si="73"/>
        <v>0</v>
      </c>
      <c r="AY81" s="395" t="b">
        <f t="shared" si="74"/>
        <v>0</v>
      </c>
      <c r="BA81" t="str">
        <f>'Ashed teabags wet'!A79</f>
        <v>G453</v>
      </c>
      <c r="BB81" t="str">
        <f>'Ashed teabags wet'!A499</f>
        <v>R2</v>
      </c>
      <c r="BC81" t="b">
        <f t="shared" si="75"/>
        <v>0</v>
      </c>
      <c r="BD81" t="b">
        <f t="shared" si="55"/>
        <v>0</v>
      </c>
      <c r="BF81" t="str">
        <f t="shared" si="76"/>
        <v>G196</v>
      </c>
      <c r="BG81" t="str">
        <f>T80</f>
        <v>G196</v>
      </c>
      <c r="BH81" t="str">
        <f t="shared" si="77"/>
        <v/>
      </c>
      <c r="BI81" t="str">
        <f t="shared" si="91"/>
        <v/>
      </c>
      <c r="BJ81" t="s">
        <v>1854</v>
      </c>
      <c r="BK81" t="s">
        <v>1854</v>
      </c>
      <c r="BL81" t="s">
        <v>1854</v>
      </c>
      <c r="BM81" t="b">
        <f t="shared" si="92"/>
        <v>1</v>
      </c>
      <c r="BN81" t="str">
        <f t="shared" si="78"/>
        <v>R295</v>
      </c>
      <c r="BO81" t="str">
        <f>U80</f>
        <v>R295</v>
      </c>
      <c r="BP81" t="str">
        <f t="shared" si="79"/>
        <v/>
      </c>
      <c r="BQ81" t="str">
        <f t="shared" si="80"/>
        <v/>
      </c>
      <c r="BR81" t="s">
        <v>846</v>
      </c>
      <c r="BS81" t="s">
        <v>846</v>
      </c>
      <c r="BT81" t="s">
        <v>846</v>
      </c>
      <c r="BU81" t="b">
        <f t="shared" si="93"/>
        <v>1</v>
      </c>
      <c r="BZ81" t="str">
        <f t="shared" si="81"/>
        <v/>
      </c>
      <c r="CA81" t="b">
        <f t="shared" si="82"/>
        <v>0</v>
      </c>
      <c r="CB81" t="str">
        <f t="shared" si="94"/>
        <v/>
      </c>
      <c r="CC81" t="str">
        <f t="shared" si="83"/>
        <v/>
      </c>
      <c r="CD81" t="b">
        <f t="shared" si="95"/>
        <v>0</v>
      </c>
      <c r="CE81" t="str">
        <f t="shared" si="96"/>
        <v/>
      </c>
      <c r="CG81" t="str">
        <f t="shared" si="84"/>
        <v>G452</v>
      </c>
      <c r="CH81" t="str">
        <f t="shared" si="97"/>
        <v>G452</v>
      </c>
      <c r="CI81" t="str">
        <f>AE80</f>
        <v>G594</v>
      </c>
      <c r="CJ81" t="str">
        <f t="shared" si="85"/>
        <v>G594</v>
      </c>
      <c r="CK81" t="s">
        <v>1598</v>
      </c>
      <c r="CL81" t="s">
        <v>1598</v>
      </c>
      <c r="CM81" t="s">
        <v>1598</v>
      </c>
      <c r="CN81" t="b">
        <f t="shared" si="98"/>
        <v>1</v>
      </c>
      <c r="CO81" t="str">
        <f t="shared" si="86"/>
        <v>R196</v>
      </c>
      <c r="CP81" t="str">
        <f t="shared" si="99"/>
        <v>R196</v>
      </c>
      <c r="CQ81" t="str">
        <f>AF80</f>
        <v>R137</v>
      </c>
      <c r="CR81" t="str">
        <f t="shared" si="87"/>
        <v>R137</v>
      </c>
      <c r="CS81" t="s">
        <v>945</v>
      </c>
      <c r="CT81" t="s">
        <v>945</v>
      </c>
      <c r="CU81" t="s">
        <v>945</v>
      </c>
      <c r="CV81" t="b">
        <f t="shared" si="100"/>
        <v>1</v>
      </c>
      <c r="DC81" t="str">
        <f t="shared" si="88"/>
        <v>G594</v>
      </c>
      <c r="DD81" t="b">
        <f t="shared" si="101"/>
        <v>0</v>
      </c>
      <c r="DE81" t="str">
        <f t="shared" si="102"/>
        <v>G594</v>
      </c>
      <c r="DF81" t="str">
        <f t="shared" si="89"/>
        <v>R137</v>
      </c>
      <c r="DG81" t="b">
        <f t="shared" si="103"/>
        <v>0</v>
      </c>
      <c r="DH81" t="str">
        <f t="shared" si="104"/>
        <v>R137</v>
      </c>
    </row>
    <row r="82" spans="2:112" ht="12" customHeight="1">
      <c r="B82" t="str">
        <f>TBIDry!H154</f>
        <v>G130</v>
      </c>
      <c r="C82" t="str">
        <f>TBIDry!I154</f>
        <v>R270</v>
      </c>
      <c r="D82" s="113" t="b">
        <f t="shared" si="56"/>
        <v>0</v>
      </c>
      <c r="E82" t="b">
        <f t="shared" si="57"/>
        <v>0</v>
      </c>
      <c r="G82" t="str">
        <f>TBIWet!H154</f>
        <v>G217</v>
      </c>
      <c r="H82" t="str">
        <f>TBIWet!I154</f>
        <v>R235</v>
      </c>
      <c r="I82" t="b">
        <f t="shared" si="58"/>
        <v>0</v>
      </c>
      <c r="J82" t="b">
        <f t="shared" si="59"/>
        <v>0</v>
      </c>
      <c r="L82" t="str">
        <f>'Both teabags AfterWet'!A80</f>
        <v>G454</v>
      </c>
      <c r="M82" t="str">
        <f>'Both teabags AfterWet'!A500</f>
        <v>R20</v>
      </c>
      <c r="N82" t="b">
        <f t="shared" si="60"/>
        <v>0</v>
      </c>
      <c r="O82" t="b">
        <f t="shared" si="105"/>
        <v>0</v>
      </c>
      <c r="Q82" s="395" t="b">
        <f t="shared" si="61"/>
        <v>0</v>
      </c>
      <c r="R82" s="395" t="b">
        <f t="shared" si="62"/>
        <v>0</v>
      </c>
      <c r="T82" t="str">
        <f>'Both teabags AfterDry'!A80</f>
        <v>G198</v>
      </c>
      <c r="U82" t="str">
        <f>'Both teabags AfterDry'!A415</f>
        <v>R298</v>
      </c>
      <c r="V82" t="b">
        <f t="shared" si="63"/>
        <v>0</v>
      </c>
      <c r="W82" t="b">
        <f t="shared" si="90"/>
        <v>0</v>
      </c>
      <c r="Y82" t="str">
        <f>'Green_rooibos initial weight'!A83</f>
        <v>G79</v>
      </c>
      <c r="Z82" t="str">
        <f>'Green_rooibos initial weight'!A987</f>
        <v>R79</v>
      </c>
      <c r="AA82" t="b">
        <f t="shared" si="64"/>
        <v>0</v>
      </c>
      <c r="AB82" t="b">
        <f t="shared" si="65"/>
        <v>0</v>
      </c>
      <c r="AE82" t="str">
        <f>'WetLitterbags placem_collection'!K81</f>
        <v>G217</v>
      </c>
      <c r="AF82" t="str">
        <f>'WetLitterbags placem_collection'!M81</f>
        <v>R235</v>
      </c>
      <c r="AG82" t="b">
        <f t="shared" si="66"/>
        <v>0</v>
      </c>
      <c r="AH82" t="b">
        <f t="shared" si="67"/>
        <v>0</v>
      </c>
      <c r="AJ82" t="b">
        <f t="shared" si="68"/>
        <v>0</v>
      </c>
      <c r="AK82" t="b">
        <f t="shared" si="69"/>
        <v>0</v>
      </c>
      <c r="AM82" t="str">
        <f>IF(ISBLANK('Dry_Litterbag Placem_Collection'!J81),"","G"&amp;""&amp;'Dry_Litterbag Placem_Collection'!J81)</f>
        <v>G130</v>
      </c>
      <c r="AN82" t="str">
        <f>IF(ISBLANK('Dry_Litterbag Placem_Collection'!K81),"","R"&amp;""&amp;'Dry_Litterbag Placem_Collection'!K81)</f>
        <v>R270</v>
      </c>
      <c r="AO82" t="b">
        <f t="shared" si="70"/>
        <v>0</v>
      </c>
      <c r="AP82" t="b">
        <f t="shared" si="71"/>
        <v>0</v>
      </c>
      <c r="AS82" t="str">
        <f>'Ashed teabags dry'!A80</f>
        <v>G198</v>
      </c>
      <c r="AT82" t="str">
        <f>'Ashed teabags dry'!A415</f>
        <v>R298</v>
      </c>
      <c r="AU82" t="b">
        <f t="shared" si="72"/>
        <v>0</v>
      </c>
      <c r="AV82" t="b">
        <f>COUNTIF($AT$4:$AT$2000, AT82)&gt;1</f>
        <v>0</v>
      </c>
      <c r="AX82" s="395" t="b">
        <f t="shared" si="73"/>
        <v>0</v>
      </c>
      <c r="AY82" s="395" t="b">
        <f t="shared" si="74"/>
        <v>0</v>
      </c>
      <c r="BA82" t="str">
        <f>'Ashed teabags wet'!A80</f>
        <v>G454</v>
      </c>
      <c r="BB82" t="str">
        <f>'Ashed teabags wet'!A500</f>
        <v>R20</v>
      </c>
      <c r="BC82" t="b">
        <f t="shared" si="75"/>
        <v>0</v>
      </c>
      <c r="BD82" t="b">
        <f t="shared" si="55"/>
        <v>0</v>
      </c>
      <c r="BF82" t="str">
        <f t="shared" si="76"/>
        <v>G197</v>
      </c>
      <c r="BG82" t="str">
        <f>T81</f>
        <v>G197</v>
      </c>
      <c r="BH82" t="str">
        <f t="shared" si="77"/>
        <v>G97</v>
      </c>
      <c r="BI82" t="str">
        <f t="shared" si="91"/>
        <v>G97</v>
      </c>
      <c r="BJ82" t="s">
        <v>1853</v>
      </c>
      <c r="BK82" t="s">
        <v>1853</v>
      </c>
      <c r="BL82" t="s">
        <v>1853</v>
      </c>
      <c r="BM82" t="b">
        <f t="shared" si="92"/>
        <v>1</v>
      </c>
      <c r="BN82" t="str">
        <f t="shared" si="78"/>
        <v>R297</v>
      </c>
      <c r="BO82" t="str">
        <f>U81</f>
        <v>R297</v>
      </c>
      <c r="BP82" t="str">
        <f t="shared" si="79"/>
        <v>R696</v>
      </c>
      <c r="BQ82" t="str">
        <f t="shared" si="80"/>
        <v>R696</v>
      </c>
      <c r="BR82" t="s">
        <v>844</v>
      </c>
      <c r="BS82" t="s">
        <v>844</v>
      </c>
      <c r="BT82" t="s">
        <v>844</v>
      </c>
      <c r="BU82" t="b">
        <f t="shared" si="93"/>
        <v>1</v>
      </c>
      <c r="BZ82" t="str">
        <f t="shared" si="81"/>
        <v>G97</v>
      </c>
      <c r="CA82" t="b">
        <f t="shared" si="82"/>
        <v>0</v>
      </c>
      <c r="CB82" t="str">
        <f t="shared" si="94"/>
        <v>G97</v>
      </c>
      <c r="CC82" t="str">
        <f t="shared" si="83"/>
        <v>R696</v>
      </c>
      <c r="CD82" t="b">
        <f t="shared" si="95"/>
        <v>0</v>
      </c>
      <c r="CE82" t="str">
        <f t="shared" si="96"/>
        <v>R696</v>
      </c>
      <c r="CG82" t="str">
        <f t="shared" si="84"/>
        <v>G453</v>
      </c>
      <c r="CH82" t="str">
        <f t="shared" si="97"/>
        <v>G453</v>
      </c>
      <c r="CI82" t="str">
        <f>AE81</f>
        <v>G460</v>
      </c>
      <c r="CJ82" t="str">
        <f t="shared" si="85"/>
        <v>G460</v>
      </c>
      <c r="CK82" t="s">
        <v>1597</v>
      </c>
      <c r="CL82" t="s">
        <v>1597</v>
      </c>
      <c r="CM82" t="s">
        <v>1597</v>
      </c>
      <c r="CN82" t="b">
        <f t="shared" si="98"/>
        <v>1</v>
      </c>
      <c r="CO82" t="str">
        <f t="shared" si="86"/>
        <v>R2</v>
      </c>
      <c r="CP82" t="str">
        <f t="shared" si="99"/>
        <v>R2</v>
      </c>
      <c r="CQ82" t="str">
        <f>AF81</f>
        <v>R278</v>
      </c>
      <c r="CR82" t="str">
        <f t="shared" si="87"/>
        <v>R278</v>
      </c>
      <c r="CS82" t="s">
        <v>1139</v>
      </c>
      <c r="CT82" t="s">
        <v>1139</v>
      </c>
      <c r="CU82" t="s">
        <v>1139</v>
      </c>
      <c r="CV82" t="b">
        <f t="shared" si="100"/>
        <v>1</v>
      </c>
      <c r="DC82" t="str">
        <f t="shared" si="88"/>
        <v>G460</v>
      </c>
      <c r="DD82" t="b">
        <f t="shared" si="101"/>
        <v>0</v>
      </c>
      <c r="DE82" t="str">
        <f t="shared" si="102"/>
        <v>G460</v>
      </c>
      <c r="DF82" t="str">
        <f t="shared" si="89"/>
        <v>R278</v>
      </c>
      <c r="DG82" t="b">
        <f t="shared" si="103"/>
        <v>0</v>
      </c>
      <c r="DH82" t="str">
        <f t="shared" si="104"/>
        <v>R278</v>
      </c>
    </row>
    <row r="83" spans="2:112" ht="12" customHeight="1">
      <c r="B83" t="str">
        <f>TBIDry!H155</f>
        <v>G24</v>
      </c>
      <c r="C83" t="str">
        <f>TBIDry!I155</f>
        <v>R726</v>
      </c>
      <c r="D83" t="b">
        <f t="shared" si="56"/>
        <v>0</v>
      </c>
      <c r="E83" t="b">
        <f t="shared" si="57"/>
        <v>0</v>
      </c>
      <c r="G83" t="str">
        <f>TBIWet!H155</f>
        <v>G607</v>
      </c>
      <c r="H83" t="str">
        <f>TBIWet!I155</f>
        <v>R181</v>
      </c>
      <c r="I83" t="b">
        <f t="shared" si="58"/>
        <v>0</v>
      </c>
      <c r="J83" t="b">
        <f t="shared" si="59"/>
        <v>0</v>
      </c>
      <c r="L83" t="str">
        <f>'Both teabags AfterWet'!A81</f>
        <v>G456</v>
      </c>
      <c r="M83" t="str">
        <f>'Both teabags AfterWet'!A501</f>
        <v>R202</v>
      </c>
      <c r="N83" t="b">
        <f t="shared" si="60"/>
        <v>0</v>
      </c>
      <c r="O83" t="b">
        <f t="shared" si="105"/>
        <v>0</v>
      </c>
      <c r="Q83" s="395" t="b">
        <f t="shared" si="61"/>
        <v>0</v>
      </c>
      <c r="R83" s="395" t="b">
        <f t="shared" si="62"/>
        <v>0</v>
      </c>
      <c r="T83" t="str">
        <f>'Both teabags AfterDry'!A81</f>
        <v>G2</v>
      </c>
      <c r="U83" t="str">
        <f>'Both teabags AfterDry'!A416</f>
        <v>R299</v>
      </c>
      <c r="V83" t="b">
        <f t="shared" si="63"/>
        <v>0</v>
      </c>
      <c r="W83" t="b">
        <f t="shared" si="90"/>
        <v>0</v>
      </c>
      <c r="Y83" t="str">
        <f>'Green_rooibos initial weight'!A84</f>
        <v>G80</v>
      </c>
      <c r="Z83" t="str">
        <f>'Green_rooibos initial weight'!A988</f>
        <v>R80</v>
      </c>
      <c r="AA83" t="b">
        <f t="shared" si="64"/>
        <v>0</v>
      </c>
      <c r="AB83" t="b">
        <f t="shared" si="65"/>
        <v>0</v>
      </c>
      <c r="AE83" t="str">
        <f>'WetLitterbags placem_collection'!K82</f>
        <v>G607</v>
      </c>
      <c r="AF83" t="str">
        <f>'WetLitterbags placem_collection'!M82</f>
        <v>R181</v>
      </c>
      <c r="AG83" t="b">
        <f t="shared" si="66"/>
        <v>0</v>
      </c>
      <c r="AH83" t="b">
        <f t="shared" si="67"/>
        <v>0</v>
      </c>
      <c r="AJ83" t="b">
        <f t="shared" si="68"/>
        <v>0</v>
      </c>
      <c r="AK83" t="b">
        <f t="shared" si="69"/>
        <v>0</v>
      </c>
      <c r="AM83" t="str">
        <f>IF(ISBLANK('Dry_Litterbag Placem_Collection'!J82),"","G"&amp;""&amp;'Dry_Litterbag Placem_Collection'!J82)</f>
        <v>G24</v>
      </c>
      <c r="AN83" t="str">
        <f>IF(ISBLANK('Dry_Litterbag Placem_Collection'!K82),"","R"&amp;""&amp;'Dry_Litterbag Placem_Collection'!K82)</f>
        <v>R726</v>
      </c>
      <c r="AO83" t="b">
        <f t="shared" si="70"/>
        <v>0</v>
      </c>
      <c r="AP83" t="b">
        <f t="shared" si="71"/>
        <v>0</v>
      </c>
      <c r="AS83" t="str">
        <f>'Ashed teabags dry'!A81</f>
        <v>G2</v>
      </c>
      <c r="AT83" t="str">
        <f>'Ashed teabags dry'!A416</f>
        <v>R299</v>
      </c>
      <c r="AU83" t="b">
        <f t="shared" si="72"/>
        <v>0</v>
      </c>
      <c r="AV83" t="b">
        <f>COUNTIF($AT$4:$AT$2000, AT83)&gt;1</f>
        <v>0</v>
      </c>
      <c r="AX83" s="395" t="b">
        <f t="shared" si="73"/>
        <v>0</v>
      </c>
      <c r="AY83" s="395" t="b">
        <f t="shared" si="74"/>
        <v>0</v>
      </c>
      <c r="BA83" t="str">
        <f>'Ashed teabags wet'!A81</f>
        <v>G456</v>
      </c>
      <c r="BB83" t="str">
        <f>'Ashed teabags wet'!A501</f>
        <v>R202</v>
      </c>
      <c r="BC83" t="b">
        <f t="shared" si="75"/>
        <v>0</v>
      </c>
      <c r="BD83" t="b">
        <f t="shared" si="55"/>
        <v>0</v>
      </c>
      <c r="BF83" t="str">
        <f t="shared" si="76"/>
        <v>G198</v>
      </c>
      <c r="BG83" t="str">
        <f>T82</f>
        <v>G198</v>
      </c>
      <c r="BH83" t="str">
        <f t="shared" si="77"/>
        <v>G130</v>
      </c>
      <c r="BI83" t="str">
        <f t="shared" si="91"/>
        <v>G130</v>
      </c>
      <c r="BJ83" t="s">
        <v>1852</v>
      </c>
      <c r="BK83" t="s">
        <v>1852</v>
      </c>
      <c r="BL83" t="s">
        <v>1852</v>
      </c>
      <c r="BM83" t="b">
        <f t="shared" si="92"/>
        <v>1</v>
      </c>
      <c r="BN83" t="str">
        <f t="shared" si="78"/>
        <v>R298</v>
      </c>
      <c r="BO83" t="str">
        <f>U82</f>
        <v>R298</v>
      </c>
      <c r="BP83" t="str">
        <f t="shared" si="79"/>
        <v>R270</v>
      </c>
      <c r="BQ83" t="str">
        <f t="shared" si="80"/>
        <v>R270</v>
      </c>
      <c r="BR83" t="s">
        <v>843</v>
      </c>
      <c r="BS83" t="s">
        <v>843</v>
      </c>
      <c r="BT83" t="s">
        <v>843</v>
      </c>
      <c r="BU83" t="b">
        <f t="shared" si="93"/>
        <v>1</v>
      </c>
      <c r="BZ83" t="str">
        <f t="shared" si="81"/>
        <v>G130</v>
      </c>
      <c r="CA83" t="b">
        <f t="shared" si="82"/>
        <v>0</v>
      </c>
      <c r="CB83" t="str">
        <f t="shared" si="94"/>
        <v>G130</v>
      </c>
      <c r="CC83" t="str">
        <f t="shared" si="83"/>
        <v>R270</v>
      </c>
      <c r="CD83" t="b">
        <f t="shared" si="95"/>
        <v>0</v>
      </c>
      <c r="CE83" t="str">
        <f t="shared" si="96"/>
        <v>R270</v>
      </c>
      <c r="CG83" t="str">
        <f t="shared" si="84"/>
        <v>G454</v>
      </c>
      <c r="CH83" t="str">
        <f t="shared" si="97"/>
        <v>G454</v>
      </c>
      <c r="CI83" t="str">
        <f>AE82</f>
        <v>G217</v>
      </c>
      <c r="CJ83" t="str">
        <f t="shared" si="85"/>
        <v>G217</v>
      </c>
      <c r="CK83" t="s">
        <v>1596</v>
      </c>
      <c r="CL83" t="s">
        <v>1596</v>
      </c>
      <c r="CM83" t="s">
        <v>1596</v>
      </c>
      <c r="CN83" t="b">
        <f t="shared" si="98"/>
        <v>1</v>
      </c>
      <c r="CO83" t="str">
        <f t="shared" si="86"/>
        <v>R20</v>
      </c>
      <c r="CP83" t="str">
        <f t="shared" si="99"/>
        <v>R20</v>
      </c>
      <c r="CQ83" t="str">
        <f>AF82</f>
        <v>R235</v>
      </c>
      <c r="CR83" t="str">
        <f t="shared" si="87"/>
        <v>R235</v>
      </c>
      <c r="CS83" t="s">
        <v>1121</v>
      </c>
      <c r="CT83" t="s">
        <v>1121</v>
      </c>
      <c r="CU83" t="s">
        <v>1121</v>
      </c>
      <c r="CV83" t="b">
        <f t="shared" si="100"/>
        <v>1</v>
      </c>
      <c r="DC83" t="str">
        <f t="shared" si="88"/>
        <v>G217</v>
      </c>
      <c r="DD83" t="b">
        <f t="shared" si="101"/>
        <v>0</v>
      </c>
      <c r="DE83" t="str">
        <f t="shared" si="102"/>
        <v>G217</v>
      </c>
      <c r="DF83" t="str">
        <f t="shared" si="89"/>
        <v>R235</v>
      </c>
      <c r="DG83" t="b">
        <f t="shared" si="103"/>
        <v>0</v>
      </c>
      <c r="DH83" t="str">
        <f t="shared" si="104"/>
        <v>R235</v>
      </c>
    </row>
    <row r="84" spans="2:112" ht="12" customHeight="1">
      <c r="B84" t="str">
        <f>TBIDry!H156</f>
        <v>G312</v>
      </c>
      <c r="C84" t="str">
        <f>TBIDry!I156</f>
        <v>R739</v>
      </c>
      <c r="D84" t="b">
        <f t="shared" si="56"/>
        <v>0</v>
      </c>
      <c r="E84" t="b">
        <f t="shared" si="57"/>
        <v>0</v>
      </c>
      <c r="G84" t="str">
        <f>TBIWet!H156</f>
        <v>G542</v>
      </c>
      <c r="H84" t="str">
        <f>TBIWet!I156</f>
        <v>R187</v>
      </c>
      <c r="I84" t="b">
        <f t="shared" si="58"/>
        <v>0</v>
      </c>
      <c r="J84" t="b">
        <f t="shared" si="59"/>
        <v>0</v>
      </c>
      <c r="L84" t="str">
        <f>'Both teabags AfterWet'!A82</f>
        <v>G457</v>
      </c>
      <c r="M84" t="str">
        <f>'Both teabags AfterWet'!A502</f>
        <v>R21</v>
      </c>
      <c r="N84" t="b">
        <f t="shared" si="60"/>
        <v>0</v>
      </c>
      <c r="O84" t="b">
        <f t="shared" si="105"/>
        <v>0</v>
      </c>
      <c r="Q84" s="395" t="b">
        <f t="shared" si="61"/>
        <v>0</v>
      </c>
      <c r="R84" s="395" t="b">
        <f t="shared" si="62"/>
        <v>0</v>
      </c>
      <c r="T84" t="str">
        <f>'Both teabags AfterDry'!A82</f>
        <v>G20</v>
      </c>
      <c r="U84" t="str">
        <f>'Both teabags AfterDry'!A417</f>
        <v>R304</v>
      </c>
      <c r="V84" t="b">
        <f t="shared" si="63"/>
        <v>0</v>
      </c>
      <c r="W84" t="b">
        <f t="shared" si="90"/>
        <v>0</v>
      </c>
      <c r="Y84" t="str">
        <f>'Green_rooibos initial weight'!A85</f>
        <v>G81</v>
      </c>
      <c r="Z84" t="str">
        <f>'Green_rooibos initial weight'!A989</f>
        <v>R81</v>
      </c>
      <c r="AA84" t="b">
        <f t="shared" si="64"/>
        <v>0</v>
      </c>
      <c r="AB84" t="b">
        <f t="shared" si="65"/>
        <v>0</v>
      </c>
      <c r="AE84" t="str">
        <f>'WetLitterbags placem_collection'!K83</f>
        <v>G542</v>
      </c>
      <c r="AF84" t="str">
        <f>'WetLitterbags placem_collection'!M83</f>
        <v>R187</v>
      </c>
      <c r="AG84" t="b">
        <f t="shared" si="66"/>
        <v>0</v>
      </c>
      <c r="AH84" t="b">
        <f t="shared" si="67"/>
        <v>0</v>
      </c>
      <c r="AJ84" t="b">
        <f t="shared" si="68"/>
        <v>0</v>
      </c>
      <c r="AK84" t="b">
        <f t="shared" si="69"/>
        <v>0</v>
      </c>
      <c r="AM84" t="str">
        <f>IF(ISBLANK('Dry_Litterbag Placem_Collection'!J83),"","G"&amp;""&amp;'Dry_Litterbag Placem_Collection'!J83)</f>
        <v>G312</v>
      </c>
      <c r="AN84" t="str">
        <f>IF(ISBLANK('Dry_Litterbag Placem_Collection'!K83),"","R"&amp;""&amp;'Dry_Litterbag Placem_Collection'!K83)</f>
        <v>R739</v>
      </c>
      <c r="AO84" t="b">
        <f t="shared" si="70"/>
        <v>0</v>
      </c>
      <c r="AP84" t="b">
        <f t="shared" si="71"/>
        <v>0</v>
      </c>
      <c r="AS84" t="str">
        <f>'Ashed teabags dry'!A82</f>
        <v>G20</v>
      </c>
      <c r="AT84" t="str">
        <f>'Ashed teabags dry'!A417</f>
        <v>R304</v>
      </c>
      <c r="AU84" t="b">
        <f t="shared" si="72"/>
        <v>0</v>
      </c>
      <c r="AV84" t="b">
        <f>COUNTIF($AT$4:$AT$2000, AT84)&gt;1</f>
        <v>0</v>
      </c>
      <c r="AX84" s="395" t="b">
        <f t="shared" si="73"/>
        <v>0</v>
      </c>
      <c r="AY84" s="395" t="b">
        <f t="shared" si="74"/>
        <v>0</v>
      </c>
      <c r="BA84" t="str">
        <f>'Ashed teabags wet'!A82</f>
        <v>G457</v>
      </c>
      <c r="BB84" t="str">
        <f>'Ashed teabags wet'!A502</f>
        <v>R21</v>
      </c>
      <c r="BC84" t="b">
        <f t="shared" si="75"/>
        <v>0</v>
      </c>
      <c r="BD84" t="b">
        <f t="shared" si="55"/>
        <v>0</v>
      </c>
      <c r="BF84" t="str">
        <f t="shared" si="76"/>
        <v>G2</v>
      </c>
      <c r="BG84" t="str">
        <f>T83</f>
        <v>G2</v>
      </c>
      <c r="BH84" t="str">
        <f t="shared" si="77"/>
        <v>G24</v>
      </c>
      <c r="BI84" t="str">
        <f t="shared" si="91"/>
        <v>G24</v>
      </c>
      <c r="BJ84" t="s">
        <v>2048</v>
      </c>
      <c r="BK84" t="s">
        <v>2048</v>
      </c>
      <c r="BL84" t="s">
        <v>2048</v>
      </c>
      <c r="BM84" t="b">
        <f t="shared" si="92"/>
        <v>1</v>
      </c>
      <c r="BN84" t="str">
        <f t="shared" si="78"/>
        <v>R299</v>
      </c>
      <c r="BO84" t="str">
        <f>U83</f>
        <v>R299</v>
      </c>
      <c r="BP84" t="str">
        <f t="shared" si="79"/>
        <v>R726</v>
      </c>
      <c r="BQ84" t="str">
        <f t="shared" si="80"/>
        <v>R726</v>
      </c>
      <c r="BR84" t="s">
        <v>842</v>
      </c>
      <c r="BS84" t="s">
        <v>842</v>
      </c>
      <c r="BT84" t="s">
        <v>842</v>
      </c>
      <c r="BU84" t="b">
        <f t="shared" si="93"/>
        <v>1</v>
      </c>
      <c r="BZ84" t="str">
        <f t="shared" si="81"/>
        <v>G24</v>
      </c>
      <c r="CA84" t="b">
        <f t="shared" si="82"/>
        <v>0</v>
      </c>
      <c r="CB84" t="str">
        <f t="shared" si="94"/>
        <v>G24</v>
      </c>
      <c r="CC84" t="str">
        <f t="shared" si="83"/>
        <v>R726</v>
      </c>
      <c r="CD84" t="b">
        <f t="shared" si="95"/>
        <v>0</v>
      </c>
      <c r="CE84" t="str">
        <f t="shared" si="96"/>
        <v>R726</v>
      </c>
      <c r="CG84" t="str">
        <f t="shared" si="84"/>
        <v>G456</v>
      </c>
      <c r="CH84" t="str">
        <f t="shared" si="97"/>
        <v>G456</v>
      </c>
      <c r="CI84" t="str">
        <f>AE83</f>
        <v>G607</v>
      </c>
      <c r="CJ84" t="str">
        <f t="shared" si="85"/>
        <v>G607</v>
      </c>
      <c r="CK84" t="s">
        <v>1594</v>
      </c>
      <c r="CL84" t="s">
        <v>1594</v>
      </c>
      <c r="CM84" t="s">
        <v>1594</v>
      </c>
      <c r="CN84" t="b">
        <f t="shared" si="98"/>
        <v>1</v>
      </c>
      <c r="CO84" t="str">
        <f t="shared" si="86"/>
        <v>R202</v>
      </c>
      <c r="CP84" t="str">
        <f t="shared" si="99"/>
        <v>R202</v>
      </c>
      <c r="CQ84" t="str">
        <f>AF83</f>
        <v>R181</v>
      </c>
      <c r="CR84" t="str">
        <f t="shared" si="87"/>
        <v>R181</v>
      </c>
      <c r="CS84" t="s">
        <v>939</v>
      </c>
      <c r="CT84" t="s">
        <v>939</v>
      </c>
      <c r="CU84" t="s">
        <v>939</v>
      </c>
      <c r="CV84" t="b">
        <f t="shared" si="100"/>
        <v>1</v>
      </c>
      <c r="DC84" t="str">
        <f t="shared" si="88"/>
        <v>G607</v>
      </c>
      <c r="DD84" t="b">
        <f t="shared" si="101"/>
        <v>0</v>
      </c>
      <c r="DE84" t="str">
        <f t="shared" si="102"/>
        <v>G607</v>
      </c>
      <c r="DF84" t="str">
        <f t="shared" si="89"/>
        <v>R181</v>
      </c>
      <c r="DG84" t="b">
        <f t="shared" si="103"/>
        <v>0</v>
      </c>
      <c r="DH84" t="str">
        <f t="shared" si="104"/>
        <v>R181</v>
      </c>
    </row>
    <row r="85" spans="2:112" ht="12" customHeight="1">
      <c r="B85" t="str">
        <f>TBIDry!H157</f>
        <v>G356</v>
      </c>
      <c r="C85" t="str">
        <f>TBIDry!I157</f>
        <v>R800</v>
      </c>
      <c r="D85" t="b">
        <f t="shared" si="56"/>
        <v>0</v>
      </c>
      <c r="E85" t="b">
        <f t="shared" si="57"/>
        <v>0</v>
      </c>
      <c r="G85" t="str">
        <f>TBIWet!H157</f>
        <v>G536</v>
      </c>
      <c r="H85" t="str">
        <f>TBIWet!I157</f>
        <v>R83</v>
      </c>
      <c r="I85" t="b">
        <f t="shared" si="58"/>
        <v>0</v>
      </c>
      <c r="J85" t="b">
        <f t="shared" si="59"/>
        <v>0</v>
      </c>
      <c r="L85" t="str">
        <f>'Both teabags AfterWet'!A83</f>
        <v>G458</v>
      </c>
      <c r="M85" t="str">
        <f>'Both teabags AfterWet'!A503</f>
        <v>R215</v>
      </c>
      <c r="N85" t="b">
        <f t="shared" si="60"/>
        <v>0</v>
      </c>
      <c r="O85" t="b">
        <f t="shared" si="105"/>
        <v>0</v>
      </c>
      <c r="Q85" s="395" t="b">
        <f t="shared" si="61"/>
        <v>0</v>
      </c>
      <c r="R85" s="395" t="b">
        <f t="shared" si="62"/>
        <v>0</v>
      </c>
      <c r="T85" t="str">
        <f>'Both teabags AfterDry'!A83</f>
        <v>G200</v>
      </c>
      <c r="U85" t="str">
        <f>'Both teabags AfterDry'!A418</f>
        <v>R305</v>
      </c>
      <c r="V85" t="b">
        <f t="shared" si="63"/>
        <v>0</v>
      </c>
      <c r="W85" t="b">
        <f t="shared" si="90"/>
        <v>0</v>
      </c>
      <c r="Y85" t="str">
        <f>'Green_rooibos initial weight'!A86</f>
        <v>G82</v>
      </c>
      <c r="Z85" t="str">
        <f>'Green_rooibos initial weight'!A990</f>
        <v>R82</v>
      </c>
      <c r="AA85" t="b">
        <f t="shared" si="64"/>
        <v>0</v>
      </c>
      <c r="AB85" t="b">
        <f t="shared" si="65"/>
        <v>0</v>
      </c>
      <c r="AE85" t="str">
        <f>'WetLitterbags placem_collection'!K84</f>
        <v>G536</v>
      </c>
      <c r="AF85" t="str">
        <f>'WetLitterbags placem_collection'!M84</f>
        <v>R83</v>
      </c>
      <c r="AG85" t="b">
        <f t="shared" si="66"/>
        <v>0</v>
      </c>
      <c r="AH85" t="b">
        <f t="shared" si="67"/>
        <v>0</v>
      </c>
      <c r="AJ85" t="b">
        <f t="shared" si="68"/>
        <v>0</v>
      </c>
      <c r="AK85" t="b">
        <f t="shared" si="69"/>
        <v>0</v>
      </c>
      <c r="AM85" t="str">
        <f>IF(ISBLANK('Dry_Litterbag Placem_Collection'!J84),"","G"&amp;""&amp;'Dry_Litterbag Placem_Collection'!J84)</f>
        <v>G356</v>
      </c>
      <c r="AN85" t="str">
        <f>IF(ISBLANK('Dry_Litterbag Placem_Collection'!K84),"","R"&amp;""&amp;'Dry_Litterbag Placem_Collection'!K84)</f>
        <v>R800</v>
      </c>
      <c r="AO85" t="b">
        <f t="shared" si="70"/>
        <v>0</v>
      </c>
      <c r="AP85" t="b">
        <f t="shared" si="71"/>
        <v>0</v>
      </c>
      <c r="AS85" t="str">
        <f>'Ashed teabags dry'!A83</f>
        <v>G200</v>
      </c>
      <c r="AT85" t="str">
        <f>'Ashed teabags dry'!A418</f>
        <v>R305</v>
      </c>
      <c r="AU85" t="b">
        <f t="shared" si="72"/>
        <v>0</v>
      </c>
      <c r="AV85" t="b">
        <f>COUNTIF($AT$4:$AT$2000, AT85)&gt;1</f>
        <v>0</v>
      </c>
      <c r="AX85" s="395" t="b">
        <f t="shared" si="73"/>
        <v>0</v>
      </c>
      <c r="AY85" s="395" t="b">
        <f t="shared" si="74"/>
        <v>0</v>
      </c>
      <c r="BA85" t="str">
        <f>'Ashed teabags wet'!A83</f>
        <v>G458</v>
      </c>
      <c r="BB85" t="str">
        <f>'Ashed teabags wet'!A503</f>
        <v>R215</v>
      </c>
      <c r="BC85" t="b">
        <f t="shared" si="75"/>
        <v>0</v>
      </c>
      <c r="BD85" t="b">
        <f t="shared" si="55"/>
        <v>0</v>
      </c>
      <c r="BF85" t="str">
        <f t="shared" si="76"/>
        <v>G20</v>
      </c>
      <c r="BG85" t="str">
        <f>T84</f>
        <v>G20</v>
      </c>
      <c r="BH85" t="str">
        <f t="shared" si="77"/>
        <v>G312</v>
      </c>
      <c r="BI85" t="str">
        <f t="shared" si="91"/>
        <v>G312</v>
      </c>
      <c r="BJ85" t="s">
        <v>2030</v>
      </c>
      <c r="BK85" t="s">
        <v>2030</v>
      </c>
      <c r="BL85" t="s">
        <v>2030</v>
      </c>
      <c r="BM85" t="b">
        <f t="shared" si="92"/>
        <v>1</v>
      </c>
      <c r="BN85" t="str">
        <f t="shared" si="78"/>
        <v>R304</v>
      </c>
      <c r="BO85" t="str">
        <f>U84</f>
        <v>R304</v>
      </c>
      <c r="BP85" t="str">
        <f t="shared" si="79"/>
        <v>R739</v>
      </c>
      <c r="BQ85" t="str">
        <f t="shared" si="80"/>
        <v>R739</v>
      </c>
      <c r="BR85" t="s">
        <v>837</v>
      </c>
      <c r="BS85" t="s">
        <v>837</v>
      </c>
      <c r="BT85" t="s">
        <v>837</v>
      </c>
      <c r="BU85" t="b">
        <f t="shared" si="93"/>
        <v>1</v>
      </c>
      <c r="BZ85" t="str">
        <f t="shared" si="81"/>
        <v>G312</v>
      </c>
      <c r="CA85" t="b">
        <f t="shared" si="82"/>
        <v>0</v>
      </c>
      <c r="CB85" t="str">
        <f t="shared" si="94"/>
        <v>G312</v>
      </c>
      <c r="CC85" t="str">
        <f t="shared" si="83"/>
        <v>R739</v>
      </c>
      <c r="CD85" t="b">
        <f t="shared" si="95"/>
        <v>0</v>
      </c>
      <c r="CE85" t="str">
        <f t="shared" si="96"/>
        <v>R739</v>
      </c>
      <c r="CG85" t="str">
        <f t="shared" si="84"/>
        <v>G457</v>
      </c>
      <c r="CH85" t="str">
        <f t="shared" si="97"/>
        <v>G457</v>
      </c>
      <c r="CI85" t="str">
        <f>AE84</f>
        <v>G542</v>
      </c>
      <c r="CJ85" t="str">
        <f t="shared" si="85"/>
        <v>G542</v>
      </c>
      <c r="CK85" t="s">
        <v>1593</v>
      </c>
      <c r="CL85" t="s">
        <v>1593</v>
      </c>
      <c r="CM85" t="s">
        <v>1593</v>
      </c>
      <c r="CN85" t="b">
        <f t="shared" si="98"/>
        <v>1</v>
      </c>
      <c r="CO85" t="str">
        <f t="shared" si="86"/>
        <v>R21</v>
      </c>
      <c r="CP85" t="str">
        <f t="shared" si="99"/>
        <v>R21</v>
      </c>
      <c r="CQ85" t="str">
        <f>AF84</f>
        <v>R187</v>
      </c>
      <c r="CR85" t="str">
        <f t="shared" si="87"/>
        <v>R187</v>
      </c>
      <c r="CS85" t="s">
        <v>1120</v>
      </c>
      <c r="CT85" t="s">
        <v>1120</v>
      </c>
      <c r="CU85" t="s">
        <v>1120</v>
      </c>
      <c r="CV85" t="b">
        <f t="shared" si="100"/>
        <v>1</v>
      </c>
      <c r="DC85" t="str">
        <f t="shared" si="88"/>
        <v>G542</v>
      </c>
      <c r="DD85" t="b">
        <f t="shared" si="101"/>
        <v>0</v>
      </c>
      <c r="DE85" t="str">
        <f t="shared" si="102"/>
        <v>G542</v>
      </c>
      <c r="DF85" t="str">
        <f t="shared" si="89"/>
        <v>R187</v>
      </c>
      <c r="DG85" t="b">
        <f t="shared" si="103"/>
        <v>0</v>
      </c>
      <c r="DH85" t="str">
        <f t="shared" si="104"/>
        <v>R187</v>
      </c>
    </row>
    <row r="86" spans="2:112" ht="12" customHeight="1">
      <c r="B86" t="str">
        <f>TBIDry!H158</f>
        <v>G331</v>
      </c>
      <c r="C86" t="str">
        <f>TBIDry!I158</f>
        <v>R764</v>
      </c>
      <c r="D86" t="b">
        <f t="shared" si="56"/>
        <v>0</v>
      </c>
      <c r="E86" t="b">
        <f t="shared" si="57"/>
        <v>0</v>
      </c>
      <c r="G86" t="str">
        <f>TBIWet!H158</f>
        <v>G494</v>
      </c>
      <c r="H86" t="str">
        <f>TBIWet!I158</f>
        <v>R134</v>
      </c>
      <c r="I86" t="b">
        <f t="shared" si="58"/>
        <v>0</v>
      </c>
      <c r="J86" t="b">
        <f t="shared" si="59"/>
        <v>0</v>
      </c>
      <c r="L86" t="str">
        <f>'Both teabags AfterWet'!A84</f>
        <v>G459</v>
      </c>
      <c r="M86" t="str">
        <f>'Both teabags AfterWet'!A504</f>
        <v>R216</v>
      </c>
      <c r="N86" t="b">
        <f t="shared" si="60"/>
        <v>0</v>
      </c>
      <c r="O86" t="b">
        <f t="shared" si="105"/>
        <v>0</v>
      </c>
      <c r="Q86" s="395" t="b">
        <f t="shared" si="61"/>
        <v>0</v>
      </c>
      <c r="R86" s="395" t="b">
        <f t="shared" si="62"/>
        <v>0</v>
      </c>
      <c r="T86" t="str">
        <f>'Both teabags AfterDry'!A84</f>
        <v>G204</v>
      </c>
      <c r="U86" t="str">
        <f>'Both teabags AfterDry'!A419</f>
        <v>R306</v>
      </c>
      <c r="V86" t="b">
        <f t="shared" si="63"/>
        <v>0</v>
      </c>
      <c r="W86" t="b">
        <f t="shared" si="90"/>
        <v>0</v>
      </c>
      <c r="Y86" t="str">
        <f>'Green_rooibos initial weight'!A87</f>
        <v>G83</v>
      </c>
      <c r="Z86" t="str">
        <f>'Green_rooibos initial weight'!A991</f>
        <v>R83</v>
      </c>
      <c r="AA86" t="b">
        <f t="shared" si="64"/>
        <v>0</v>
      </c>
      <c r="AB86" t="b">
        <f t="shared" si="65"/>
        <v>0</v>
      </c>
      <c r="AE86" t="str">
        <f>'WetLitterbags placem_collection'!K85</f>
        <v>G494</v>
      </c>
      <c r="AF86" t="str">
        <f>'WetLitterbags placem_collection'!M85</f>
        <v>R134</v>
      </c>
      <c r="AG86" t="b">
        <f t="shared" si="66"/>
        <v>0</v>
      </c>
      <c r="AH86" t="b">
        <f t="shared" si="67"/>
        <v>0</v>
      </c>
      <c r="AJ86" t="b">
        <f t="shared" si="68"/>
        <v>0</v>
      </c>
      <c r="AK86" t="b">
        <f t="shared" si="69"/>
        <v>0</v>
      </c>
      <c r="AM86" t="str">
        <f>IF(ISBLANK('Dry_Litterbag Placem_Collection'!J85),"","G"&amp;""&amp;'Dry_Litterbag Placem_Collection'!J85)</f>
        <v>G331</v>
      </c>
      <c r="AN86" t="str">
        <f>IF(ISBLANK('Dry_Litterbag Placem_Collection'!K85),"","R"&amp;""&amp;'Dry_Litterbag Placem_Collection'!K85)</f>
        <v>R764</v>
      </c>
      <c r="AO86" t="b">
        <f t="shared" si="70"/>
        <v>0</v>
      </c>
      <c r="AP86" t="b">
        <f t="shared" si="71"/>
        <v>0</v>
      </c>
      <c r="AS86" t="str">
        <f>'Ashed teabags dry'!A84</f>
        <v>G204</v>
      </c>
      <c r="AT86" t="str">
        <f>'Ashed teabags dry'!A419</f>
        <v>R306</v>
      </c>
      <c r="AU86" t="b">
        <f t="shared" si="72"/>
        <v>0</v>
      </c>
      <c r="AV86" t="b">
        <f>COUNTIF($AT$4:$AT$2000, AT86)&gt;1</f>
        <v>0</v>
      </c>
      <c r="AX86" s="395" t="b">
        <f t="shared" si="73"/>
        <v>0</v>
      </c>
      <c r="AY86" s="395" t="b">
        <f t="shared" si="74"/>
        <v>0</v>
      </c>
      <c r="BA86" t="str">
        <f>'Ashed teabags wet'!A84</f>
        <v>G459</v>
      </c>
      <c r="BB86" t="str">
        <f>'Ashed teabags wet'!A504</f>
        <v>R216</v>
      </c>
      <c r="BC86" t="b">
        <f t="shared" si="75"/>
        <v>0</v>
      </c>
      <c r="BD86" t="b">
        <f t="shared" si="55"/>
        <v>0</v>
      </c>
      <c r="BF86" t="str">
        <f t="shared" si="76"/>
        <v>G200</v>
      </c>
      <c r="BG86" t="str">
        <f>T85</f>
        <v>G200</v>
      </c>
      <c r="BH86" t="str">
        <f t="shared" si="77"/>
        <v>G356</v>
      </c>
      <c r="BI86" t="str">
        <f t="shared" si="91"/>
        <v>G356</v>
      </c>
      <c r="BJ86" t="s">
        <v>1850</v>
      </c>
      <c r="BK86" t="s">
        <v>1850</v>
      </c>
      <c r="BL86" t="s">
        <v>1850</v>
      </c>
      <c r="BM86" t="b">
        <f t="shared" si="92"/>
        <v>1</v>
      </c>
      <c r="BN86" t="str">
        <f t="shared" si="78"/>
        <v>R305</v>
      </c>
      <c r="BO86" t="str">
        <f>U85</f>
        <v>R305</v>
      </c>
      <c r="BP86" t="str">
        <f t="shared" si="79"/>
        <v>R800</v>
      </c>
      <c r="BQ86" t="str">
        <f t="shared" si="80"/>
        <v>R800</v>
      </c>
      <c r="BR86" t="s">
        <v>836</v>
      </c>
      <c r="BS86" t="s">
        <v>836</v>
      </c>
      <c r="BT86" t="s">
        <v>836</v>
      </c>
      <c r="BU86" t="b">
        <f t="shared" si="93"/>
        <v>1</v>
      </c>
      <c r="BZ86" t="str">
        <f t="shared" si="81"/>
        <v>G356</v>
      </c>
      <c r="CA86" t="b">
        <f t="shared" si="82"/>
        <v>0</v>
      </c>
      <c r="CB86" t="str">
        <f t="shared" si="94"/>
        <v>G356</v>
      </c>
      <c r="CC86" t="str">
        <f t="shared" si="83"/>
        <v>R800</v>
      </c>
      <c r="CD86" t="b">
        <f t="shared" si="95"/>
        <v>0</v>
      </c>
      <c r="CE86" t="str">
        <f t="shared" si="96"/>
        <v>R800</v>
      </c>
      <c r="CG86" t="str">
        <f t="shared" si="84"/>
        <v>G458</v>
      </c>
      <c r="CH86" t="str">
        <f t="shared" si="97"/>
        <v>G458</v>
      </c>
      <c r="CI86" t="str">
        <f>AE85</f>
        <v>G536</v>
      </c>
      <c r="CJ86" t="str">
        <f t="shared" si="85"/>
        <v>G536</v>
      </c>
      <c r="CK86" t="s">
        <v>1592</v>
      </c>
      <c r="CL86" t="s">
        <v>1592</v>
      </c>
      <c r="CM86" t="s">
        <v>1592</v>
      </c>
      <c r="CN86" t="b">
        <f t="shared" si="98"/>
        <v>1</v>
      </c>
      <c r="CO86" t="str">
        <f t="shared" si="86"/>
        <v>R215</v>
      </c>
      <c r="CP86" t="str">
        <f t="shared" si="99"/>
        <v>R215</v>
      </c>
      <c r="CQ86" t="str">
        <f>AF85</f>
        <v>R83</v>
      </c>
      <c r="CR86" t="str">
        <f t="shared" si="87"/>
        <v>R83</v>
      </c>
      <c r="CS86" t="s">
        <v>926</v>
      </c>
      <c r="CT86" t="s">
        <v>926</v>
      </c>
      <c r="CU86" t="s">
        <v>926</v>
      </c>
      <c r="CV86" t="b">
        <f t="shared" si="100"/>
        <v>1</v>
      </c>
      <c r="DC86" t="str">
        <f t="shared" si="88"/>
        <v>G536</v>
      </c>
      <c r="DD86" t="b">
        <f t="shared" si="101"/>
        <v>0</v>
      </c>
      <c r="DE86" t="str">
        <f t="shared" si="102"/>
        <v>G536</v>
      </c>
      <c r="DF86" t="str">
        <f t="shared" si="89"/>
        <v>R83</v>
      </c>
      <c r="DG86" t="b">
        <f t="shared" si="103"/>
        <v>0</v>
      </c>
      <c r="DH86" t="str">
        <f t="shared" si="104"/>
        <v>R83</v>
      </c>
    </row>
    <row r="87" spans="2:112" ht="12" customHeight="1">
      <c r="B87" t="str">
        <f>TBIDry!H159</f>
        <v>G101</v>
      </c>
      <c r="C87" t="str">
        <f>TBIDry!I159</f>
        <v>R778</v>
      </c>
      <c r="D87" t="b">
        <f t="shared" si="56"/>
        <v>0</v>
      </c>
      <c r="E87" t="b">
        <f t="shared" si="57"/>
        <v>0</v>
      </c>
      <c r="G87" t="str">
        <f>TBIWet!H159</f>
        <v>G291</v>
      </c>
      <c r="H87" t="str">
        <f>TBIWet!I159</f>
        <v>R49</v>
      </c>
      <c r="I87" t="b">
        <f t="shared" si="58"/>
        <v>0</v>
      </c>
      <c r="J87" t="b">
        <f t="shared" si="59"/>
        <v>0</v>
      </c>
      <c r="L87" t="str">
        <f>'Both teabags AfterWet'!A85</f>
        <v>G460</v>
      </c>
      <c r="M87" t="str">
        <f>'Both teabags AfterWet'!A505</f>
        <v>R217</v>
      </c>
      <c r="N87" t="b">
        <f t="shared" si="60"/>
        <v>0</v>
      </c>
      <c r="O87" t="b">
        <f t="shared" si="105"/>
        <v>0</v>
      </c>
      <c r="Q87" s="395" t="b">
        <f t="shared" si="61"/>
        <v>0</v>
      </c>
      <c r="R87" s="395" t="b">
        <f t="shared" si="62"/>
        <v>0</v>
      </c>
      <c r="T87" t="str">
        <f>'Both teabags AfterDry'!A85</f>
        <v>G205</v>
      </c>
      <c r="U87" t="str">
        <f>'Both teabags AfterDry'!A420</f>
        <v>R310</v>
      </c>
      <c r="V87" t="b">
        <f t="shared" si="63"/>
        <v>0</v>
      </c>
      <c r="W87" t="b">
        <f t="shared" si="90"/>
        <v>0</v>
      </c>
      <c r="Y87" t="str">
        <f>'Green_rooibos initial weight'!A88</f>
        <v>G84</v>
      </c>
      <c r="Z87" t="str">
        <f>'Green_rooibos initial weight'!A992</f>
        <v>R84</v>
      </c>
      <c r="AA87" t="b">
        <f t="shared" si="64"/>
        <v>0</v>
      </c>
      <c r="AB87" t="b">
        <f t="shared" si="65"/>
        <v>0</v>
      </c>
      <c r="AE87" t="str">
        <f>'WetLitterbags placem_collection'!K86</f>
        <v>G291</v>
      </c>
      <c r="AF87" t="str">
        <f>'WetLitterbags placem_collection'!M86</f>
        <v>R49</v>
      </c>
      <c r="AG87" t="b">
        <f t="shared" si="66"/>
        <v>0</v>
      </c>
      <c r="AH87" t="b">
        <f t="shared" si="67"/>
        <v>0</v>
      </c>
      <c r="AJ87" t="b">
        <f t="shared" si="68"/>
        <v>0</v>
      </c>
      <c r="AK87" t="b">
        <f t="shared" si="69"/>
        <v>0</v>
      </c>
      <c r="AM87" t="str">
        <f>IF(ISBLANK('Dry_Litterbag Placem_Collection'!J86),"","G"&amp;""&amp;'Dry_Litterbag Placem_Collection'!J86)</f>
        <v>G101</v>
      </c>
      <c r="AN87" t="str">
        <f>IF(ISBLANK('Dry_Litterbag Placem_Collection'!K86),"","R"&amp;""&amp;'Dry_Litterbag Placem_Collection'!K86)</f>
        <v>R778</v>
      </c>
      <c r="AO87" t="b">
        <f t="shared" si="70"/>
        <v>0</v>
      </c>
      <c r="AP87" t="b">
        <f t="shared" si="71"/>
        <v>0</v>
      </c>
      <c r="AS87" t="str">
        <f>'Ashed teabags dry'!A85</f>
        <v>G205</v>
      </c>
      <c r="AT87" t="str">
        <f>'Ashed teabags dry'!A420</f>
        <v>R310</v>
      </c>
      <c r="AU87" t="b">
        <f t="shared" si="72"/>
        <v>0</v>
      </c>
      <c r="AV87" t="b">
        <f>COUNTIF($AT$4:$AT$2000, AT87)&gt;1</f>
        <v>0</v>
      </c>
      <c r="AX87" s="395" t="b">
        <f t="shared" si="73"/>
        <v>0</v>
      </c>
      <c r="AY87" s="395" t="b">
        <f t="shared" si="74"/>
        <v>0</v>
      </c>
      <c r="BA87" t="str">
        <f>'Ashed teabags wet'!A85</f>
        <v>G460</v>
      </c>
      <c r="BB87" t="str">
        <f>'Ashed teabags wet'!A505</f>
        <v>R217</v>
      </c>
      <c r="BC87" t="b">
        <f t="shared" si="75"/>
        <v>0</v>
      </c>
      <c r="BD87" t="b">
        <f t="shared" si="55"/>
        <v>0</v>
      </c>
      <c r="BF87" t="str">
        <f t="shared" si="76"/>
        <v>G204</v>
      </c>
      <c r="BG87" t="str">
        <f>T86</f>
        <v>G204</v>
      </c>
      <c r="BH87" t="str">
        <f t="shared" si="77"/>
        <v>G331</v>
      </c>
      <c r="BI87" t="str">
        <f t="shared" si="91"/>
        <v>G331</v>
      </c>
      <c r="BJ87" t="s">
        <v>1846</v>
      </c>
      <c r="BK87" t="s">
        <v>1846</v>
      </c>
      <c r="BL87" t="s">
        <v>1846</v>
      </c>
      <c r="BM87" t="b">
        <f t="shared" si="92"/>
        <v>1</v>
      </c>
      <c r="BN87" t="str">
        <f t="shared" si="78"/>
        <v>R306</v>
      </c>
      <c r="BO87" t="str">
        <f>U86</f>
        <v>R306</v>
      </c>
      <c r="BP87" t="str">
        <f t="shared" si="79"/>
        <v>R764</v>
      </c>
      <c r="BQ87" t="str">
        <f t="shared" si="80"/>
        <v>R764</v>
      </c>
      <c r="BR87" t="s">
        <v>835</v>
      </c>
      <c r="BS87" t="s">
        <v>835</v>
      </c>
      <c r="BT87" t="s">
        <v>835</v>
      </c>
      <c r="BU87" t="b">
        <f t="shared" si="93"/>
        <v>1</v>
      </c>
      <c r="BZ87" t="str">
        <f t="shared" si="81"/>
        <v>G331</v>
      </c>
      <c r="CA87" t="b">
        <f t="shared" si="82"/>
        <v>0</v>
      </c>
      <c r="CB87" t="str">
        <f t="shared" si="94"/>
        <v>G331</v>
      </c>
      <c r="CC87" t="str">
        <f t="shared" si="83"/>
        <v>R764</v>
      </c>
      <c r="CD87" t="b">
        <f t="shared" si="95"/>
        <v>0</v>
      </c>
      <c r="CE87" t="str">
        <f t="shared" si="96"/>
        <v>R764</v>
      </c>
      <c r="CG87" t="str">
        <f t="shared" si="84"/>
        <v>G459</v>
      </c>
      <c r="CH87" t="str">
        <f t="shared" si="97"/>
        <v>G459</v>
      </c>
      <c r="CI87" t="str">
        <f>AE86</f>
        <v>G494</v>
      </c>
      <c r="CJ87" t="str">
        <f t="shared" si="85"/>
        <v>G494</v>
      </c>
      <c r="CK87" t="s">
        <v>1591</v>
      </c>
      <c r="CL87" t="s">
        <v>1591</v>
      </c>
      <c r="CM87" t="s">
        <v>1591</v>
      </c>
      <c r="CN87" t="b">
        <f t="shared" si="98"/>
        <v>1</v>
      </c>
      <c r="CO87" t="str">
        <f t="shared" si="86"/>
        <v>R216</v>
      </c>
      <c r="CP87" t="str">
        <f t="shared" si="99"/>
        <v>R216</v>
      </c>
      <c r="CQ87" t="str">
        <f>AF86</f>
        <v>R134</v>
      </c>
      <c r="CR87" t="str">
        <f t="shared" si="87"/>
        <v>R134</v>
      </c>
      <c r="CS87" t="s">
        <v>925</v>
      </c>
      <c r="CT87" t="s">
        <v>925</v>
      </c>
      <c r="CU87" t="s">
        <v>925</v>
      </c>
      <c r="CV87" t="b">
        <f t="shared" si="100"/>
        <v>1</v>
      </c>
      <c r="DC87" t="str">
        <f t="shared" si="88"/>
        <v>G494</v>
      </c>
      <c r="DD87" t="b">
        <f t="shared" si="101"/>
        <v>0</v>
      </c>
      <c r="DE87" t="str">
        <f t="shared" si="102"/>
        <v>G494</v>
      </c>
      <c r="DF87" t="str">
        <f t="shared" si="89"/>
        <v>R134</v>
      </c>
      <c r="DG87" t="b">
        <f t="shared" si="103"/>
        <v>0</v>
      </c>
      <c r="DH87" t="str">
        <f t="shared" si="104"/>
        <v>R134</v>
      </c>
    </row>
    <row r="88" spans="2:112" ht="12" customHeight="1">
      <c r="B88" t="str">
        <f>TBIDry!H160</f>
        <v/>
      </c>
      <c r="C88" t="str">
        <f>TBIDry!I160</f>
        <v/>
      </c>
      <c r="D88" t="b">
        <f t="shared" si="56"/>
        <v>1</v>
      </c>
      <c r="E88" t="b">
        <f t="shared" si="57"/>
        <v>1</v>
      </c>
      <c r="G88" t="str">
        <f>TBIWet!H160</f>
        <v>G308</v>
      </c>
      <c r="H88" t="str">
        <f>TBIWet!I160</f>
        <v>R315</v>
      </c>
      <c r="I88" t="b">
        <f t="shared" si="58"/>
        <v>0</v>
      </c>
      <c r="J88" t="b">
        <f t="shared" si="59"/>
        <v>0</v>
      </c>
      <c r="L88" t="str">
        <f>'Both teabags AfterWet'!A86</f>
        <v>G461</v>
      </c>
      <c r="M88" t="str">
        <f>'Both teabags AfterWet'!A506</f>
        <v>R218</v>
      </c>
      <c r="N88" t="b">
        <f t="shared" si="60"/>
        <v>0</v>
      </c>
      <c r="O88" t="b">
        <f t="shared" si="105"/>
        <v>0</v>
      </c>
      <c r="Q88" s="395" t="b">
        <f t="shared" si="61"/>
        <v>0</v>
      </c>
      <c r="R88" s="395" t="b">
        <f t="shared" si="62"/>
        <v>0</v>
      </c>
      <c r="T88" t="str">
        <f>'Both teabags AfterDry'!A86</f>
        <v>G206</v>
      </c>
      <c r="U88" t="str">
        <f>'Both teabags AfterDry'!A421</f>
        <v>R313</v>
      </c>
      <c r="V88" t="b">
        <f t="shared" si="63"/>
        <v>0</v>
      </c>
      <c r="W88" t="b">
        <f t="shared" si="90"/>
        <v>0</v>
      </c>
      <c r="Y88" t="str">
        <f>'Green_rooibos initial weight'!A89</f>
        <v>G85</v>
      </c>
      <c r="Z88" t="str">
        <f>'Green_rooibos initial weight'!A993</f>
        <v>R85</v>
      </c>
      <c r="AA88" t="b">
        <f t="shared" si="64"/>
        <v>0</v>
      </c>
      <c r="AB88" t="b">
        <f t="shared" si="65"/>
        <v>0</v>
      </c>
      <c r="AE88" t="str">
        <f>'WetLitterbags placem_collection'!K87</f>
        <v>G308</v>
      </c>
      <c r="AF88" t="str">
        <f>'WetLitterbags placem_collection'!M87</f>
        <v>R315</v>
      </c>
      <c r="AG88" t="b">
        <f t="shared" si="66"/>
        <v>0</v>
      </c>
      <c r="AH88" t="b">
        <f t="shared" si="67"/>
        <v>0</v>
      </c>
      <c r="AJ88" t="b">
        <f t="shared" si="68"/>
        <v>0</v>
      </c>
      <c r="AK88" t="b">
        <f t="shared" si="69"/>
        <v>0</v>
      </c>
      <c r="AM88" t="str">
        <f>IF(ISBLANK('Dry_Litterbag Placem_Collection'!J87),"","G"&amp;""&amp;'Dry_Litterbag Placem_Collection'!J87)</f>
        <v/>
      </c>
      <c r="AN88" t="str">
        <f>IF(ISBLANK('Dry_Litterbag Placem_Collection'!K87),"","R"&amp;""&amp;'Dry_Litterbag Placem_Collection'!K87)</f>
        <v/>
      </c>
      <c r="AO88" t="b">
        <f t="shared" si="70"/>
        <v>1</v>
      </c>
      <c r="AP88" t="b">
        <f t="shared" si="71"/>
        <v>1</v>
      </c>
      <c r="AS88" t="str">
        <f>'Ashed teabags dry'!A86</f>
        <v>G206</v>
      </c>
      <c r="AT88" t="str">
        <f>'Ashed teabags dry'!A421</f>
        <v>R313</v>
      </c>
      <c r="AU88" t="b">
        <f t="shared" si="72"/>
        <v>0</v>
      </c>
      <c r="AV88" t="b">
        <f>COUNTIF($AT$4:$AT$2000, AT88)&gt;1</f>
        <v>0</v>
      </c>
      <c r="AX88" s="395" t="b">
        <f t="shared" si="73"/>
        <v>0</v>
      </c>
      <c r="AY88" s="395" t="b">
        <f t="shared" si="74"/>
        <v>0</v>
      </c>
      <c r="BA88" t="str">
        <f>'Ashed teabags wet'!A86</f>
        <v>G461</v>
      </c>
      <c r="BB88" t="str">
        <f>'Ashed teabags wet'!A506</f>
        <v>R218</v>
      </c>
      <c r="BC88" t="b">
        <f t="shared" si="75"/>
        <v>0</v>
      </c>
      <c r="BD88" t="b">
        <f t="shared" si="55"/>
        <v>0</v>
      </c>
      <c r="BF88" t="str">
        <f t="shared" si="76"/>
        <v>G205</v>
      </c>
      <c r="BG88" t="str">
        <f>T87</f>
        <v>G205</v>
      </c>
      <c r="BH88" t="str">
        <f t="shared" si="77"/>
        <v>G101</v>
      </c>
      <c r="BI88" t="str">
        <f t="shared" si="91"/>
        <v>G101</v>
      </c>
      <c r="BJ88" t="s">
        <v>1845</v>
      </c>
      <c r="BK88" t="s">
        <v>1845</v>
      </c>
      <c r="BL88" t="s">
        <v>1845</v>
      </c>
      <c r="BM88" t="b">
        <f t="shared" si="92"/>
        <v>1</v>
      </c>
      <c r="BN88" t="str">
        <f t="shared" si="78"/>
        <v>R310</v>
      </c>
      <c r="BO88" t="str">
        <f>U87</f>
        <v>R310</v>
      </c>
      <c r="BP88" t="str">
        <f t="shared" si="79"/>
        <v>R778</v>
      </c>
      <c r="BQ88" t="str">
        <f t="shared" si="80"/>
        <v>R778</v>
      </c>
      <c r="BR88" t="s">
        <v>831</v>
      </c>
      <c r="BS88" t="s">
        <v>831</v>
      </c>
      <c r="BT88" t="s">
        <v>831</v>
      </c>
      <c r="BU88" t="b">
        <f t="shared" si="93"/>
        <v>1</v>
      </c>
      <c r="BZ88" t="str">
        <f t="shared" si="81"/>
        <v>G101</v>
      </c>
      <c r="CA88" t="b">
        <f t="shared" si="82"/>
        <v>0</v>
      </c>
      <c r="CB88" t="str">
        <f t="shared" si="94"/>
        <v>G101</v>
      </c>
      <c r="CC88" t="str">
        <f t="shared" si="83"/>
        <v>R778</v>
      </c>
      <c r="CD88" t="b">
        <f t="shared" si="95"/>
        <v>0</v>
      </c>
      <c r="CE88" t="str">
        <f t="shared" si="96"/>
        <v>R778</v>
      </c>
      <c r="CG88" t="str">
        <f t="shared" si="84"/>
        <v>G460</v>
      </c>
      <c r="CH88" t="str">
        <f t="shared" si="97"/>
        <v>G460</v>
      </c>
      <c r="CI88" t="str">
        <f>AE87</f>
        <v>G291</v>
      </c>
      <c r="CJ88" t="str">
        <f t="shared" si="85"/>
        <v>G291</v>
      </c>
      <c r="CK88" t="s">
        <v>1590</v>
      </c>
      <c r="CL88" t="s">
        <v>1590</v>
      </c>
      <c r="CM88" t="s">
        <v>1590</v>
      </c>
      <c r="CN88" t="b">
        <f t="shared" si="98"/>
        <v>1</v>
      </c>
      <c r="CO88" t="str">
        <f t="shared" si="86"/>
        <v>R217</v>
      </c>
      <c r="CP88" t="str">
        <f t="shared" si="99"/>
        <v>R217</v>
      </c>
      <c r="CQ88" t="str">
        <f>AF87</f>
        <v>R49</v>
      </c>
      <c r="CR88" t="str">
        <f t="shared" si="87"/>
        <v>R49</v>
      </c>
      <c r="CS88" t="s">
        <v>924</v>
      </c>
      <c r="CT88" t="s">
        <v>924</v>
      </c>
      <c r="CU88" t="s">
        <v>924</v>
      </c>
      <c r="CV88" t="b">
        <f t="shared" si="100"/>
        <v>1</v>
      </c>
      <c r="DC88" t="str">
        <f t="shared" si="88"/>
        <v>G291</v>
      </c>
      <c r="DD88" t="b">
        <f t="shared" si="101"/>
        <v>0</v>
      </c>
      <c r="DE88" t="str">
        <f t="shared" si="102"/>
        <v>G291</v>
      </c>
      <c r="DF88" t="str">
        <f t="shared" si="89"/>
        <v>R49</v>
      </c>
      <c r="DG88" t="b">
        <f t="shared" si="103"/>
        <v>0</v>
      </c>
      <c r="DH88" t="str">
        <f t="shared" si="104"/>
        <v>R49</v>
      </c>
    </row>
    <row r="89" spans="2:112" ht="12" customHeight="1">
      <c r="B89" t="str">
        <f>TBIDry!H161</f>
        <v>G31</v>
      </c>
      <c r="C89" t="str">
        <f>TBIDry!I161</f>
        <v>R738</v>
      </c>
      <c r="D89" t="b">
        <f t="shared" si="56"/>
        <v>0</v>
      </c>
      <c r="E89" t="b">
        <f t="shared" si="57"/>
        <v>0</v>
      </c>
      <c r="G89" t="str">
        <f>TBIWet!H161</f>
        <v>G723</v>
      </c>
      <c r="H89" t="str">
        <f>TBIWet!I161</f>
        <v>R1</v>
      </c>
      <c r="I89" t="b">
        <f t="shared" si="58"/>
        <v>0</v>
      </c>
      <c r="J89" t="b">
        <f t="shared" si="59"/>
        <v>0</v>
      </c>
      <c r="L89" t="str">
        <f>'Both teabags AfterWet'!A87</f>
        <v>G462</v>
      </c>
      <c r="M89" t="str">
        <f>'Both teabags AfterWet'!A507</f>
        <v>R219</v>
      </c>
      <c r="N89" t="b">
        <f t="shared" si="60"/>
        <v>0</v>
      </c>
      <c r="O89" t="b">
        <f t="shared" si="105"/>
        <v>0</v>
      </c>
      <c r="Q89" s="395" t="b">
        <f t="shared" si="61"/>
        <v>0</v>
      </c>
      <c r="R89" s="395" t="b">
        <f t="shared" si="62"/>
        <v>0</v>
      </c>
      <c r="T89" t="str">
        <f>'Both teabags AfterDry'!A87</f>
        <v>G207</v>
      </c>
      <c r="U89" t="str">
        <f>'Both teabags AfterDry'!A422</f>
        <v>R314</v>
      </c>
      <c r="V89" t="b">
        <f t="shared" si="63"/>
        <v>0</v>
      </c>
      <c r="W89" t="b">
        <f t="shared" si="90"/>
        <v>0</v>
      </c>
      <c r="Y89" t="str">
        <f>'Green_rooibos initial weight'!A90</f>
        <v>G86</v>
      </c>
      <c r="Z89" t="str">
        <f>'Green_rooibos initial weight'!A994</f>
        <v>R86</v>
      </c>
      <c r="AA89" t="b">
        <f t="shared" si="64"/>
        <v>0</v>
      </c>
      <c r="AB89" t="b">
        <f t="shared" si="65"/>
        <v>0</v>
      </c>
      <c r="AE89" t="str">
        <f>'WetLitterbags placem_collection'!K88</f>
        <v>G723</v>
      </c>
      <c r="AF89" t="str">
        <f>'WetLitterbags placem_collection'!M88</f>
        <v>R1</v>
      </c>
      <c r="AG89" t="b">
        <f t="shared" si="66"/>
        <v>0</v>
      </c>
      <c r="AH89" t="b">
        <f t="shared" si="67"/>
        <v>0</v>
      </c>
      <c r="AJ89" t="b">
        <f t="shared" si="68"/>
        <v>0</v>
      </c>
      <c r="AK89" t="b">
        <f t="shared" si="69"/>
        <v>0</v>
      </c>
      <c r="AM89" t="str">
        <f>IF(ISBLANK('Dry_Litterbag Placem_Collection'!J88),"","G"&amp;""&amp;'Dry_Litterbag Placem_Collection'!J88)</f>
        <v>G31</v>
      </c>
      <c r="AN89" t="str">
        <f>IF(ISBLANK('Dry_Litterbag Placem_Collection'!K88),"","R"&amp;""&amp;'Dry_Litterbag Placem_Collection'!K88)</f>
        <v>R738</v>
      </c>
      <c r="AO89" t="b">
        <f t="shared" si="70"/>
        <v>0</v>
      </c>
      <c r="AP89" t="b">
        <f t="shared" si="71"/>
        <v>0</v>
      </c>
      <c r="AS89" t="str">
        <f>'Ashed teabags dry'!A87</f>
        <v>G207</v>
      </c>
      <c r="AT89" t="str">
        <f>'Ashed teabags dry'!A422</f>
        <v>R314</v>
      </c>
      <c r="AU89" t="b">
        <f t="shared" si="72"/>
        <v>0</v>
      </c>
      <c r="AV89" t="b">
        <f>COUNTIF($AT$4:$AT$2000, AT89)&gt;1</f>
        <v>0</v>
      </c>
      <c r="AX89" s="395" t="b">
        <f t="shared" si="73"/>
        <v>0</v>
      </c>
      <c r="AY89" s="395" t="b">
        <f t="shared" si="74"/>
        <v>0</v>
      </c>
      <c r="BA89" t="str">
        <f>'Ashed teabags wet'!A87</f>
        <v>G462</v>
      </c>
      <c r="BB89" t="str">
        <f>'Ashed teabags wet'!A507</f>
        <v>R219</v>
      </c>
      <c r="BC89" t="b">
        <f t="shared" si="75"/>
        <v>0</v>
      </c>
      <c r="BD89" t="b">
        <f t="shared" si="55"/>
        <v>0</v>
      </c>
      <c r="BF89" t="str">
        <f t="shared" si="76"/>
        <v>G206</v>
      </c>
      <c r="BG89" t="str">
        <f>T88</f>
        <v>G206</v>
      </c>
      <c r="BH89" t="str">
        <f t="shared" si="77"/>
        <v/>
      </c>
      <c r="BI89" t="str">
        <f t="shared" si="91"/>
        <v/>
      </c>
      <c r="BJ89" t="s">
        <v>1844</v>
      </c>
      <c r="BK89" t="s">
        <v>1844</v>
      </c>
      <c r="BL89" t="s">
        <v>1844</v>
      </c>
      <c r="BM89" t="b">
        <f t="shared" si="92"/>
        <v>1</v>
      </c>
      <c r="BN89" t="str">
        <f t="shared" si="78"/>
        <v>R313</v>
      </c>
      <c r="BO89" t="str">
        <f>U88</f>
        <v>R313</v>
      </c>
      <c r="BP89" t="str">
        <f t="shared" si="79"/>
        <v/>
      </c>
      <c r="BQ89" t="str">
        <f t="shared" si="80"/>
        <v/>
      </c>
      <c r="BR89" t="s">
        <v>828</v>
      </c>
      <c r="BS89" t="s">
        <v>828</v>
      </c>
      <c r="BT89" t="s">
        <v>828</v>
      </c>
      <c r="BU89" t="b">
        <f t="shared" si="93"/>
        <v>1</v>
      </c>
      <c r="BZ89" t="str">
        <f t="shared" si="81"/>
        <v/>
      </c>
      <c r="CA89" t="b">
        <f t="shared" si="82"/>
        <v>0</v>
      </c>
      <c r="CB89" t="str">
        <f t="shared" si="94"/>
        <v/>
      </c>
      <c r="CC89" t="str">
        <f t="shared" si="83"/>
        <v/>
      </c>
      <c r="CD89" t="b">
        <f t="shared" si="95"/>
        <v>0</v>
      </c>
      <c r="CE89" t="str">
        <f t="shared" si="96"/>
        <v/>
      </c>
      <c r="CG89" t="str">
        <f t="shared" si="84"/>
        <v>G461</v>
      </c>
      <c r="CH89" t="str">
        <f t="shared" si="97"/>
        <v>G461</v>
      </c>
      <c r="CI89" t="str">
        <f>AE88</f>
        <v>G308</v>
      </c>
      <c r="CJ89" t="str">
        <f t="shared" si="85"/>
        <v>G308</v>
      </c>
      <c r="CK89" t="s">
        <v>1589</v>
      </c>
      <c r="CL89" t="s">
        <v>1589</v>
      </c>
      <c r="CM89" t="s">
        <v>1589</v>
      </c>
      <c r="CN89" t="b">
        <f t="shared" si="98"/>
        <v>1</v>
      </c>
      <c r="CO89" t="str">
        <f t="shared" si="86"/>
        <v>R218</v>
      </c>
      <c r="CP89" t="str">
        <f t="shared" si="99"/>
        <v>R218</v>
      </c>
      <c r="CQ89" t="str">
        <f>AF88</f>
        <v>R315</v>
      </c>
      <c r="CR89" t="str">
        <f t="shared" si="87"/>
        <v>R315</v>
      </c>
      <c r="CS89" t="s">
        <v>923</v>
      </c>
      <c r="CT89" t="s">
        <v>923</v>
      </c>
      <c r="CU89" t="s">
        <v>923</v>
      </c>
      <c r="CV89" t="b">
        <f t="shared" si="100"/>
        <v>1</v>
      </c>
      <c r="DC89" t="str">
        <f t="shared" si="88"/>
        <v>G308</v>
      </c>
      <c r="DD89" t="b">
        <f t="shared" si="101"/>
        <v>0</v>
      </c>
      <c r="DE89" t="str">
        <f t="shared" si="102"/>
        <v>G308</v>
      </c>
      <c r="DF89" t="str">
        <f t="shared" si="89"/>
        <v>R315</v>
      </c>
      <c r="DG89" t="b">
        <f t="shared" si="103"/>
        <v>0</v>
      </c>
      <c r="DH89" t="str">
        <f t="shared" si="104"/>
        <v>R315</v>
      </c>
    </row>
    <row r="90" spans="2:112" ht="12" customHeight="1">
      <c r="B90" t="str">
        <f>TBIDry!H162</f>
        <v>G220</v>
      </c>
      <c r="C90" t="str">
        <f>TBIDry!I162</f>
        <v>R394</v>
      </c>
      <c r="D90" t="b">
        <f t="shared" si="56"/>
        <v>0</v>
      </c>
      <c r="E90" t="b">
        <f t="shared" si="57"/>
        <v>0</v>
      </c>
      <c r="G90" t="str">
        <f>TBIWet!H162</f>
        <v>G628</v>
      </c>
      <c r="H90" t="str">
        <f>TBIWet!I162</f>
        <v>R408</v>
      </c>
      <c r="I90" t="b">
        <f t="shared" si="58"/>
        <v>0</v>
      </c>
      <c r="J90" t="b">
        <f t="shared" si="59"/>
        <v>0</v>
      </c>
      <c r="L90" t="str">
        <f>'Both teabags AfterWet'!A88</f>
        <v>G469</v>
      </c>
      <c r="M90" t="str">
        <f>'Both teabags AfterWet'!A508</f>
        <v>R22</v>
      </c>
      <c r="N90" t="b">
        <f t="shared" si="60"/>
        <v>0</v>
      </c>
      <c r="O90" t="b">
        <f t="shared" si="105"/>
        <v>0</v>
      </c>
      <c r="Q90" s="395" t="b">
        <f t="shared" si="61"/>
        <v>0</v>
      </c>
      <c r="R90" s="395" t="b">
        <f t="shared" si="62"/>
        <v>0</v>
      </c>
      <c r="T90" t="str">
        <f>'Both teabags AfterDry'!A88</f>
        <v>G209</v>
      </c>
      <c r="U90" t="str">
        <f>'Both teabags AfterDry'!A423</f>
        <v>R320</v>
      </c>
      <c r="V90" t="b">
        <f t="shared" si="63"/>
        <v>0</v>
      </c>
      <c r="W90" t="b">
        <f t="shared" si="90"/>
        <v>0</v>
      </c>
      <c r="Y90" t="str">
        <f>'Green_rooibos initial weight'!A91</f>
        <v>G87</v>
      </c>
      <c r="Z90" t="str">
        <f>'Green_rooibos initial weight'!A995</f>
        <v>R87</v>
      </c>
      <c r="AA90" t="b">
        <f t="shared" si="64"/>
        <v>0</v>
      </c>
      <c r="AB90" t="b">
        <f t="shared" si="65"/>
        <v>0</v>
      </c>
      <c r="AE90" t="str">
        <f>'WetLitterbags placem_collection'!K89</f>
        <v>G628</v>
      </c>
      <c r="AF90" t="str">
        <f>'WetLitterbags placem_collection'!M89</f>
        <v>R408</v>
      </c>
      <c r="AG90" t="b">
        <f t="shared" si="66"/>
        <v>0</v>
      </c>
      <c r="AH90" t="b">
        <f t="shared" si="67"/>
        <v>0</v>
      </c>
      <c r="AJ90" t="b">
        <f t="shared" si="68"/>
        <v>0</v>
      </c>
      <c r="AK90" t="b">
        <f t="shared" si="69"/>
        <v>0</v>
      </c>
      <c r="AM90" t="str">
        <f>IF(ISBLANK('Dry_Litterbag Placem_Collection'!J89),"","G"&amp;""&amp;'Dry_Litterbag Placem_Collection'!J89)</f>
        <v>G220</v>
      </c>
      <c r="AN90" t="str">
        <f>IF(ISBLANK('Dry_Litterbag Placem_Collection'!K89),"","R"&amp;""&amp;'Dry_Litterbag Placem_Collection'!K89)</f>
        <v>R394</v>
      </c>
      <c r="AO90" t="b">
        <f t="shared" si="70"/>
        <v>0</v>
      </c>
      <c r="AP90" t="b">
        <f t="shared" si="71"/>
        <v>0</v>
      </c>
      <c r="AS90" t="str">
        <f>'Ashed teabags dry'!A88</f>
        <v>G209</v>
      </c>
      <c r="AT90" t="str">
        <f>'Ashed teabags dry'!A423</f>
        <v>R320</v>
      </c>
      <c r="AU90" t="b">
        <f t="shared" si="72"/>
        <v>0</v>
      </c>
      <c r="AV90" t="b">
        <f>COUNTIF($AT$4:$AT$2000, AT90)&gt;1</f>
        <v>0</v>
      </c>
      <c r="AX90" s="395" t="b">
        <f t="shared" si="73"/>
        <v>0</v>
      </c>
      <c r="AY90" s="395" t="b">
        <f t="shared" si="74"/>
        <v>0</v>
      </c>
      <c r="BA90" t="str">
        <f>'Ashed teabags wet'!A88</f>
        <v>G469</v>
      </c>
      <c r="BB90" t="str">
        <f>'Ashed teabags wet'!A508</f>
        <v>R22</v>
      </c>
      <c r="BC90" t="b">
        <f t="shared" si="75"/>
        <v>0</v>
      </c>
      <c r="BD90" t="b">
        <f t="shared" si="55"/>
        <v>0</v>
      </c>
      <c r="BF90" t="str">
        <f t="shared" si="76"/>
        <v>G207</v>
      </c>
      <c r="BG90" t="str">
        <f>T89</f>
        <v>G207</v>
      </c>
      <c r="BH90" t="str">
        <f t="shared" si="77"/>
        <v>G31</v>
      </c>
      <c r="BI90" t="str">
        <f t="shared" si="91"/>
        <v/>
      </c>
      <c r="BJ90" t="s">
        <v>1843</v>
      </c>
      <c r="BK90" t="s">
        <v>1843</v>
      </c>
      <c r="BL90" t="s">
        <v>1843</v>
      </c>
      <c r="BM90" t="b">
        <f t="shared" si="92"/>
        <v>1</v>
      </c>
      <c r="BN90" t="str">
        <f t="shared" si="78"/>
        <v>R314</v>
      </c>
      <c r="BO90" t="str">
        <f>U89</f>
        <v>R314</v>
      </c>
      <c r="BP90" t="str">
        <f t="shared" si="79"/>
        <v>R738</v>
      </c>
      <c r="BQ90" t="str">
        <f t="shared" si="80"/>
        <v/>
      </c>
      <c r="BR90" t="s">
        <v>827</v>
      </c>
      <c r="BS90" t="s">
        <v>827</v>
      </c>
      <c r="BT90" t="s">
        <v>827</v>
      </c>
      <c r="BU90" t="b">
        <f t="shared" si="93"/>
        <v>1</v>
      </c>
      <c r="BZ90" t="str">
        <f t="shared" si="81"/>
        <v>G31</v>
      </c>
      <c r="CA90" t="b">
        <f t="shared" si="82"/>
        <v>1</v>
      </c>
      <c r="CB90" t="str">
        <f t="shared" si="94"/>
        <v/>
      </c>
      <c r="CC90" t="str">
        <f t="shared" si="83"/>
        <v>R738</v>
      </c>
      <c r="CD90" t="b">
        <f t="shared" si="95"/>
        <v>1</v>
      </c>
      <c r="CE90" t="str">
        <f t="shared" si="96"/>
        <v/>
      </c>
      <c r="CG90" t="str">
        <f t="shared" si="84"/>
        <v>G462</v>
      </c>
      <c r="CH90" t="str">
        <f t="shared" si="97"/>
        <v>G462</v>
      </c>
      <c r="CI90" t="str">
        <f>AE89</f>
        <v>G723</v>
      </c>
      <c r="CJ90" t="str">
        <f t="shared" si="85"/>
        <v>G723</v>
      </c>
      <c r="CK90" t="s">
        <v>1588</v>
      </c>
      <c r="CL90" t="s">
        <v>1588</v>
      </c>
      <c r="CM90" t="s">
        <v>1588</v>
      </c>
      <c r="CN90" t="b">
        <f t="shared" si="98"/>
        <v>1</v>
      </c>
      <c r="CO90" t="str">
        <f t="shared" si="86"/>
        <v>R219</v>
      </c>
      <c r="CP90" t="str">
        <f t="shared" si="99"/>
        <v>R219</v>
      </c>
      <c r="CQ90" t="str">
        <f>AF89</f>
        <v>R1</v>
      </c>
      <c r="CR90" t="str">
        <f t="shared" si="87"/>
        <v>R1</v>
      </c>
      <c r="CS90" t="s">
        <v>922</v>
      </c>
      <c r="CT90" t="s">
        <v>922</v>
      </c>
      <c r="CU90" t="s">
        <v>922</v>
      </c>
      <c r="CV90" t="b">
        <f t="shared" si="100"/>
        <v>1</v>
      </c>
      <c r="DC90" t="str">
        <f t="shared" si="88"/>
        <v>G723</v>
      </c>
      <c r="DD90" t="b">
        <f t="shared" si="101"/>
        <v>0</v>
      </c>
      <c r="DE90" t="str">
        <f t="shared" si="102"/>
        <v>G723</v>
      </c>
      <c r="DF90" t="str">
        <f t="shared" si="89"/>
        <v>R1</v>
      </c>
      <c r="DG90" t="b">
        <f t="shared" si="103"/>
        <v>0</v>
      </c>
      <c r="DH90" t="str">
        <f t="shared" si="104"/>
        <v>R1</v>
      </c>
    </row>
    <row r="91" spans="2:112" ht="12" customHeight="1">
      <c r="B91" t="str">
        <f>TBIDry!H163</f>
        <v>G531</v>
      </c>
      <c r="C91" t="str">
        <f>TBIDry!I163</f>
        <v>R810</v>
      </c>
      <c r="D91" t="b">
        <f t="shared" si="56"/>
        <v>0</v>
      </c>
      <c r="E91" s="113" t="b">
        <f t="shared" si="57"/>
        <v>0</v>
      </c>
      <c r="G91" t="str">
        <f>TBIWet!H163</f>
        <v>G569</v>
      </c>
      <c r="H91" t="str">
        <f>TBIWet!I163</f>
        <v>R385</v>
      </c>
      <c r="I91" t="b">
        <f t="shared" si="58"/>
        <v>0</v>
      </c>
      <c r="J91" t="b">
        <f t="shared" si="59"/>
        <v>0</v>
      </c>
      <c r="L91" t="str">
        <f>'Both teabags AfterWet'!A89</f>
        <v>G470</v>
      </c>
      <c r="M91" t="str">
        <f>'Both teabags AfterWet'!A509</f>
        <v>R222</v>
      </c>
      <c r="N91" t="b">
        <f t="shared" si="60"/>
        <v>0</v>
      </c>
      <c r="O91" t="b">
        <f t="shared" si="105"/>
        <v>0</v>
      </c>
      <c r="Q91" s="395" t="b">
        <f t="shared" si="61"/>
        <v>0</v>
      </c>
      <c r="R91" s="395" t="b">
        <f t="shared" si="62"/>
        <v>0</v>
      </c>
      <c r="T91" t="str">
        <f>'Both teabags AfterDry'!A89</f>
        <v>G21</v>
      </c>
      <c r="U91" t="str">
        <f>'Both teabags AfterDry'!A424</f>
        <v>R321</v>
      </c>
      <c r="V91" t="b">
        <f t="shared" si="63"/>
        <v>0</v>
      </c>
      <c r="W91" t="b">
        <f t="shared" si="90"/>
        <v>0</v>
      </c>
      <c r="Y91" t="str">
        <f>'Green_rooibos initial weight'!A92</f>
        <v>G88</v>
      </c>
      <c r="Z91" t="str">
        <f>'Green_rooibos initial weight'!A996</f>
        <v>R88</v>
      </c>
      <c r="AA91" t="b">
        <f t="shared" si="64"/>
        <v>0</v>
      </c>
      <c r="AB91" t="b">
        <f t="shared" si="65"/>
        <v>0</v>
      </c>
      <c r="AE91" t="str">
        <f>'WetLitterbags placem_collection'!K90</f>
        <v>G569</v>
      </c>
      <c r="AF91" t="str">
        <f>'WetLitterbags placem_collection'!M90</f>
        <v>R385</v>
      </c>
      <c r="AG91" t="b">
        <f t="shared" si="66"/>
        <v>0</v>
      </c>
      <c r="AH91" t="b">
        <f t="shared" si="67"/>
        <v>0</v>
      </c>
      <c r="AJ91" t="b">
        <f t="shared" si="68"/>
        <v>0</v>
      </c>
      <c r="AK91" t="b">
        <f t="shared" si="69"/>
        <v>0</v>
      </c>
      <c r="AM91" t="str">
        <f>IF(ISBLANK('Dry_Litterbag Placem_Collection'!J90),"","G"&amp;""&amp;'Dry_Litterbag Placem_Collection'!J90)</f>
        <v>G531</v>
      </c>
      <c r="AN91" t="str">
        <f>IF(ISBLANK('Dry_Litterbag Placem_Collection'!K90),"","R"&amp;""&amp;'Dry_Litterbag Placem_Collection'!K90)</f>
        <v>R810</v>
      </c>
      <c r="AO91" t="b">
        <f t="shared" si="70"/>
        <v>0</v>
      </c>
      <c r="AP91" t="b">
        <f t="shared" si="71"/>
        <v>0</v>
      </c>
      <c r="AS91" t="str">
        <f>'Ashed teabags dry'!A89</f>
        <v>G21</v>
      </c>
      <c r="AT91" t="str">
        <f>'Ashed teabags dry'!A424</f>
        <v>R321</v>
      </c>
      <c r="AU91" t="b">
        <f t="shared" si="72"/>
        <v>0</v>
      </c>
      <c r="AV91" t="b">
        <f>COUNTIF($AT$4:$AT$2000, AT91)&gt;1</f>
        <v>0</v>
      </c>
      <c r="AX91" s="395" t="b">
        <f t="shared" si="73"/>
        <v>0</v>
      </c>
      <c r="AY91" s="395" t="b">
        <f t="shared" si="74"/>
        <v>0</v>
      </c>
      <c r="BA91" t="str">
        <f>'Ashed teabags wet'!A89</f>
        <v>G470</v>
      </c>
      <c r="BB91" t="str">
        <f>'Ashed teabags wet'!A509</f>
        <v>R222</v>
      </c>
      <c r="BC91" t="b">
        <f t="shared" si="75"/>
        <v>0</v>
      </c>
      <c r="BD91" t="b">
        <f t="shared" si="55"/>
        <v>0</v>
      </c>
      <c r="BF91" t="str">
        <f t="shared" si="76"/>
        <v>G209</v>
      </c>
      <c r="BG91" t="str">
        <f>T90</f>
        <v>G209</v>
      </c>
      <c r="BH91" t="str">
        <f t="shared" si="77"/>
        <v>G220</v>
      </c>
      <c r="BI91" t="str">
        <f t="shared" si="91"/>
        <v>G220</v>
      </c>
      <c r="BJ91" t="s">
        <v>1841</v>
      </c>
      <c r="BK91" t="s">
        <v>1841</v>
      </c>
      <c r="BL91" t="s">
        <v>1841</v>
      </c>
      <c r="BM91" t="b">
        <f t="shared" si="92"/>
        <v>1</v>
      </c>
      <c r="BN91" t="str">
        <f t="shared" si="78"/>
        <v>R320</v>
      </c>
      <c r="BO91" t="str">
        <f>U90</f>
        <v>R320</v>
      </c>
      <c r="BP91" t="str">
        <f t="shared" si="79"/>
        <v>R394</v>
      </c>
      <c r="BQ91" t="str">
        <f t="shared" si="80"/>
        <v>R394</v>
      </c>
      <c r="BR91" t="s">
        <v>821</v>
      </c>
      <c r="BS91" t="s">
        <v>821</v>
      </c>
      <c r="BT91" t="s">
        <v>821</v>
      </c>
      <c r="BU91" t="b">
        <f t="shared" si="93"/>
        <v>1</v>
      </c>
      <c r="BZ91" t="str">
        <f t="shared" si="81"/>
        <v>G220</v>
      </c>
      <c r="CA91" t="b">
        <f t="shared" si="82"/>
        <v>0</v>
      </c>
      <c r="CB91" t="str">
        <f t="shared" si="94"/>
        <v>G220</v>
      </c>
      <c r="CC91" t="str">
        <f t="shared" si="83"/>
        <v>R394</v>
      </c>
      <c r="CD91" t="b">
        <f t="shared" si="95"/>
        <v>0</v>
      </c>
      <c r="CE91" t="str">
        <f t="shared" si="96"/>
        <v>R394</v>
      </c>
      <c r="CG91" t="str">
        <f t="shared" si="84"/>
        <v>G469</v>
      </c>
      <c r="CH91" t="str">
        <f t="shared" si="97"/>
        <v>G469</v>
      </c>
      <c r="CI91" t="str">
        <f>AE90</f>
        <v>G628</v>
      </c>
      <c r="CJ91" t="str">
        <f t="shared" si="85"/>
        <v>G628</v>
      </c>
      <c r="CK91" t="s">
        <v>1581</v>
      </c>
      <c r="CL91" t="s">
        <v>1581</v>
      </c>
      <c r="CM91" t="s">
        <v>1581</v>
      </c>
      <c r="CN91" t="b">
        <f t="shared" si="98"/>
        <v>1</v>
      </c>
      <c r="CO91" t="str">
        <f t="shared" si="86"/>
        <v>R22</v>
      </c>
      <c r="CP91" t="str">
        <f t="shared" si="99"/>
        <v>R22</v>
      </c>
      <c r="CQ91" t="str">
        <f>AF90</f>
        <v>R408</v>
      </c>
      <c r="CR91" t="str">
        <f t="shared" si="87"/>
        <v>R408</v>
      </c>
      <c r="CS91" t="s">
        <v>1119</v>
      </c>
      <c r="CT91" t="s">
        <v>1119</v>
      </c>
      <c r="CU91" t="s">
        <v>1119</v>
      </c>
      <c r="CV91" t="b">
        <f t="shared" si="100"/>
        <v>1</v>
      </c>
      <c r="DC91" t="str">
        <f t="shared" si="88"/>
        <v>G628</v>
      </c>
      <c r="DD91" t="b">
        <f t="shared" si="101"/>
        <v>0</v>
      </c>
      <c r="DE91" t="str">
        <f t="shared" si="102"/>
        <v>G628</v>
      </c>
      <c r="DF91" t="str">
        <f t="shared" si="89"/>
        <v>R408</v>
      </c>
      <c r="DG91" t="b">
        <f t="shared" si="103"/>
        <v>0</v>
      </c>
      <c r="DH91" t="str">
        <f t="shared" si="104"/>
        <v>R408</v>
      </c>
    </row>
    <row r="92" spans="2:112" ht="12" customHeight="1">
      <c r="B92" t="str">
        <f>TBIDry!H164</f>
        <v>G35</v>
      </c>
      <c r="C92" t="str">
        <f>TBIDry!I164</f>
        <v>R818</v>
      </c>
      <c r="D92" t="b">
        <f t="shared" si="56"/>
        <v>0</v>
      </c>
      <c r="E92" t="b">
        <f t="shared" si="57"/>
        <v>0</v>
      </c>
      <c r="G92" t="str">
        <f>TBIWet!H164</f>
        <v>G339</v>
      </c>
      <c r="H92" t="str">
        <f>TBIWet!I164</f>
        <v>R196</v>
      </c>
      <c r="I92" t="b">
        <f t="shared" si="58"/>
        <v>0</v>
      </c>
      <c r="J92" t="b">
        <f t="shared" si="59"/>
        <v>0</v>
      </c>
      <c r="L92" t="str">
        <f>'Both teabags AfterWet'!A90</f>
        <v>G472</v>
      </c>
      <c r="M92" t="str">
        <f>'Both teabags AfterWet'!A510</f>
        <v>R228</v>
      </c>
      <c r="N92" t="b">
        <f t="shared" si="60"/>
        <v>0</v>
      </c>
      <c r="O92" t="b">
        <f t="shared" si="105"/>
        <v>0</v>
      </c>
      <c r="Q92" s="395" t="b">
        <f t="shared" si="61"/>
        <v>0</v>
      </c>
      <c r="R92" s="395" t="b">
        <f t="shared" si="62"/>
        <v>0</v>
      </c>
      <c r="T92" t="str">
        <f>'Both teabags AfterDry'!A90</f>
        <v>G211</v>
      </c>
      <c r="U92" t="str">
        <f>'Both teabags AfterDry'!A425</f>
        <v>R325</v>
      </c>
      <c r="V92" t="b">
        <f t="shared" si="63"/>
        <v>0</v>
      </c>
      <c r="W92" t="b">
        <f t="shared" si="90"/>
        <v>0</v>
      </c>
      <c r="Y92" t="str">
        <f>'Green_rooibos initial weight'!A93</f>
        <v>G89</v>
      </c>
      <c r="Z92" t="str">
        <f>'Green_rooibos initial weight'!A997</f>
        <v>R89</v>
      </c>
      <c r="AA92" t="b">
        <f t="shared" si="64"/>
        <v>0</v>
      </c>
      <c r="AB92" t="b">
        <f t="shared" si="65"/>
        <v>0</v>
      </c>
      <c r="AE92" t="str">
        <f>'WetLitterbags placem_collection'!K91</f>
        <v>G339</v>
      </c>
      <c r="AF92" t="str">
        <f>'WetLitterbags placem_collection'!M91</f>
        <v>R196</v>
      </c>
      <c r="AG92" t="b">
        <f t="shared" si="66"/>
        <v>0</v>
      </c>
      <c r="AH92" t="b">
        <f t="shared" si="67"/>
        <v>0</v>
      </c>
      <c r="AJ92" t="b">
        <f t="shared" si="68"/>
        <v>0</v>
      </c>
      <c r="AK92" t="b">
        <f t="shared" si="69"/>
        <v>0</v>
      </c>
      <c r="AM92" t="str">
        <f>IF(ISBLANK('Dry_Litterbag Placem_Collection'!J91),"","G"&amp;""&amp;'Dry_Litterbag Placem_Collection'!J91)</f>
        <v>G35</v>
      </c>
      <c r="AN92" t="str">
        <f>IF(ISBLANK('Dry_Litterbag Placem_Collection'!K91),"","R"&amp;""&amp;'Dry_Litterbag Placem_Collection'!K91)</f>
        <v>R818</v>
      </c>
      <c r="AO92" t="b">
        <f t="shared" si="70"/>
        <v>0</v>
      </c>
      <c r="AP92" t="b">
        <f t="shared" si="71"/>
        <v>0</v>
      </c>
      <c r="AS92" t="str">
        <f>'Ashed teabags dry'!A90</f>
        <v>G211</v>
      </c>
      <c r="AT92" t="str">
        <f>'Ashed teabags dry'!A425</f>
        <v>R325</v>
      </c>
      <c r="AU92" t="b">
        <f t="shared" si="72"/>
        <v>0</v>
      </c>
      <c r="AV92" t="b">
        <f>COUNTIF($AT$4:$AT$2000, AT92)&gt;1</f>
        <v>0</v>
      </c>
      <c r="AX92" s="395" t="b">
        <f t="shared" si="73"/>
        <v>0</v>
      </c>
      <c r="AY92" s="395" t="b">
        <f t="shared" si="74"/>
        <v>0</v>
      </c>
      <c r="BA92" t="str">
        <f>'Ashed teabags wet'!A90</f>
        <v>G472</v>
      </c>
      <c r="BB92" t="str">
        <f>'Ashed teabags wet'!A510</f>
        <v>R228</v>
      </c>
      <c r="BC92" t="b">
        <f t="shared" si="75"/>
        <v>0</v>
      </c>
      <c r="BD92" t="b">
        <f t="shared" si="55"/>
        <v>0</v>
      </c>
      <c r="BF92" t="str">
        <f t="shared" si="76"/>
        <v>G21</v>
      </c>
      <c r="BG92" t="str">
        <f>T91</f>
        <v>G21</v>
      </c>
      <c r="BH92" t="str">
        <f t="shared" si="77"/>
        <v>G531</v>
      </c>
      <c r="BI92" t="str">
        <f t="shared" si="91"/>
        <v>G531</v>
      </c>
      <c r="BJ92" t="s">
        <v>2029</v>
      </c>
      <c r="BK92" t="s">
        <v>2029</v>
      </c>
      <c r="BL92" t="s">
        <v>2029</v>
      </c>
      <c r="BM92" t="b">
        <f t="shared" si="92"/>
        <v>1</v>
      </c>
      <c r="BN92" t="str">
        <f t="shared" si="78"/>
        <v>R321</v>
      </c>
      <c r="BO92" t="str">
        <f>U91</f>
        <v>R321</v>
      </c>
      <c r="BP92" t="str">
        <f t="shared" si="79"/>
        <v>R810</v>
      </c>
      <c r="BQ92" t="str">
        <f t="shared" si="80"/>
        <v>R810</v>
      </c>
      <c r="BR92" t="s">
        <v>820</v>
      </c>
      <c r="BS92" t="s">
        <v>820</v>
      </c>
      <c r="BT92" t="s">
        <v>820</v>
      </c>
      <c r="BU92" t="b">
        <f t="shared" si="93"/>
        <v>1</v>
      </c>
      <c r="BZ92" t="str">
        <f t="shared" si="81"/>
        <v>G531</v>
      </c>
      <c r="CA92" t="b">
        <f t="shared" si="82"/>
        <v>0</v>
      </c>
      <c r="CB92" t="str">
        <f t="shared" si="94"/>
        <v>G531</v>
      </c>
      <c r="CC92" t="str">
        <f t="shared" si="83"/>
        <v>R810</v>
      </c>
      <c r="CD92" t="b">
        <f t="shared" si="95"/>
        <v>0</v>
      </c>
      <c r="CE92" t="str">
        <f t="shared" si="96"/>
        <v>R810</v>
      </c>
      <c r="CG92" t="str">
        <f t="shared" si="84"/>
        <v>G470</v>
      </c>
      <c r="CH92" t="str">
        <f t="shared" si="97"/>
        <v>G470</v>
      </c>
      <c r="CI92" t="str">
        <f>AE91</f>
        <v>G569</v>
      </c>
      <c r="CJ92" t="str">
        <f t="shared" si="85"/>
        <v>G569</v>
      </c>
      <c r="CK92" t="s">
        <v>1580</v>
      </c>
      <c r="CL92" t="s">
        <v>1580</v>
      </c>
      <c r="CM92" t="s">
        <v>1580</v>
      </c>
      <c r="CN92" t="b">
        <f t="shared" si="98"/>
        <v>1</v>
      </c>
      <c r="CO92" t="str">
        <f t="shared" si="86"/>
        <v>R222</v>
      </c>
      <c r="CP92" t="str">
        <f t="shared" si="99"/>
        <v>R222</v>
      </c>
      <c r="CQ92" t="str">
        <f>AF91</f>
        <v>R385</v>
      </c>
      <c r="CR92" t="str">
        <f t="shared" si="87"/>
        <v/>
      </c>
      <c r="CS92" t="s">
        <v>919</v>
      </c>
      <c r="CT92" t="s">
        <v>919</v>
      </c>
      <c r="CU92" t="s">
        <v>919</v>
      </c>
      <c r="CV92" t="b">
        <f t="shared" si="100"/>
        <v>1</v>
      </c>
      <c r="DC92" t="str">
        <f t="shared" si="88"/>
        <v>G569</v>
      </c>
      <c r="DD92" t="b">
        <f t="shared" si="101"/>
        <v>0</v>
      </c>
      <c r="DE92" t="str">
        <f t="shared" si="102"/>
        <v>G569</v>
      </c>
      <c r="DF92" t="str">
        <f t="shared" si="89"/>
        <v>R385</v>
      </c>
      <c r="DG92" t="b">
        <f t="shared" si="103"/>
        <v>1</v>
      </c>
      <c r="DH92" t="str">
        <f t="shared" si="104"/>
        <v/>
      </c>
    </row>
    <row r="93" spans="2:112" ht="12" customHeight="1">
      <c r="B93" t="str">
        <f>TBIDry!H165</f>
        <v>G264</v>
      </c>
      <c r="C93" t="str">
        <f>TBIDry!I165</f>
        <v>R767</v>
      </c>
      <c r="D93" t="b">
        <f t="shared" si="56"/>
        <v>0</v>
      </c>
      <c r="E93" t="b">
        <f t="shared" si="57"/>
        <v>0</v>
      </c>
      <c r="G93" t="str">
        <f>TBIWet!H165</f>
        <v>G592</v>
      </c>
      <c r="H93" t="str">
        <f>TBIWet!I165</f>
        <v>R94</v>
      </c>
      <c r="I93" t="b">
        <f t="shared" si="58"/>
        <v>0</v>
      </c>
      <c r="J93" t="b">
        <f t="shared" si="59"/>
        <v>0</v>
      </c>
      <c r="L93" t="str">
        <f>'Both teabags AfterWet'!A91</f>
        <v>G474</v>
      </c>
      <c r="M93" t="str">
        <f>'Both teabags AfterWet'!A511</f>
        <v>R23</v>
      </c>
      <c r="N93" t="b">
        <f t="shared" si="60"/>
        <v>0</v>
      </c>
      <c r="O93" t="b">
        <f t="shared" si="105"/>
        <v>0</v>
      </c>
      <c r="Q93" s="395" t="b">
        <f t="shared" si="61"/>
        <v>0</v>
      </c>
      <c r="R93" s="395" t="b">
        <f t="shared" si="62"/>
        <v>0</v>
      </c>
      <c r="T93" t="str">
        <f>'Both teabags AfterDry'!A91</f>
        <v>G213</v>
      </c>
      <c r="U93" t="str">
        <f>'Both teabags AfterDry'!A426</f>
        <v>R327</v>
      </c>
      <c r="V93" t="b">
        <f t="shared" si="63"/>
        <v>0</v>
      </c>
      <c r="W93" t="b">
        <f t="shared" si="90"/>
        <v>0</v>
      </c>
      <c r="Y93" t="str">
        <f>'Green_rooibos initial weight'!A94</f>
        <v>G90</v>
      </c>
      <c r="Z93" t="str">
        <f>'Green_rooibos initial weight'!A998</f>
        <v>R90</v>
      </c>
      <c r="AA93" t="b">
        <f t="shared" si="64"/>
        <v>0</v>
      </c>
      <c r="AB93" t="b">
        <f t="shared" si="65"/>
        <v>0</v>
      </c>
      <c r="AE93" t="str">
        <f>'WetLitterbags placem_collection'!K92</f>
        <v>G592</v>
      </c>
      <c r="AF93" t="str">
        <f>'WetLitterbags placem_collection'!M92</f>
        <v>R94</v>
      </c>
      <c r="AG93" t="b">
        <f t="shared" si="66"/>
        <v>0</v>
      </c>
      <c r="AH93" t="b">
        <f t="shared" si="67"/>
        <v>0</v>
      </c>
      <c r="AJ93" t="b">
        <f t="shared" si="68"/>
        <v>0</v>
      </c>
      <c r="AK93" t="b">
        <f t="shared" si="69"/>
        <v>0</v>
      </c>
      <c r="AM93" t="str">
        <f>IF(ISBLANK('Dry_Litterbag Placem_Collection'!J92),"","G"&amp;""&amp;'Dry_Litterbag Placem_Collection'!J92)</f>
        <v>G264</v>
      </c>
      <c r="AN93" t="str">
        <f>IF(ISBLANK('Dry_Litterbag Placem_Collection'!K92),"","R"&amp;""&amp;'Dry_Litterbag Placem_Collection'!K92)</f>
        <v>R767</v>
      </c>
      <c r="AO93" t="b">
        <f t="shared" si="70"/>
        <v>0</v>
      </c>
      <c r="AP93" t="b">
        <f t="shared" si="71"/>
        <v>0</v>
      </c>
      <c r="AS93" t="str">
        <f>'Ashed teabags dry'!A91</f>
        <v>G213</v>
      </c>
      <c r="AT93" t="str">
        <f>'Ashed teabags dry'!A426</f>
        <v>R327</v>
      </c>
      <c r="AU93" t="b">
        <f t="shared" si="72"/>
        <v>0</v>
      </c>
      <c r="AV93" t="b">
        <f>COUNTIF($AT$4:$AT$2000, AT93)&gt;1</f>
        <v>0</v>
      </c>
      <c r="AX93" s="395" t="b">
        <f t="shared" si="73"/>
        <v>0</v>
      </c>
      <c r="AY93" s="395" t="b">
        <f t="shared" si="74"/>
        <v>0</v>
      </c>
      <c r="BA93" t="str">
        <f>'Ashed teabags wet'!A91</f>
        <v>G474</v>
      </c>
      <c r="BB93" t="str">
        <f>'Ashed teabags wet'!A511</f>
        <v>R23</v>
      </c>
      <c r="BC93" t="b">
        <f t="shared" si="75"/>
        <v>0</v>
      </c>
      <c r="BD93" t="b">
        <f t="shared" si="55"/>
        <v>0</v>
      </c>
      <c r="BF93" t="str">
        <f t="shared" si="76"/>
        <v>G211</v>
      </c>
      <c r="BG93" t="str">
        <f>T92</f>
        <v>G211</v>
      </c>
      <c r="BH93" t="str">
        <f t="shared" si="77"/>
        <v>G35</v>
      </c>
      <c r="BI93" t="str">
        <f t="shared" si="91"/>
        <v>G35</v>
      </c>
      <c r="BJ93" t="s">
        <v>1839</v>
      </c>
      <c r="BK93" t="s">
        <v>1839</v>
      </c>
      <c r="BL93" t="s">
        <v>1839</v>
      </c>
      <c r="BM93" t="b">
        <f t="shared" si="92"/>
        <v>1</v>
      </c>
      <c r="BN93" t="str">
        <f t="shared" si="78"/>
        <v>R325</v>
      </c>
      <c r="BO93" t="str">
        <f>U92</f>
        <v>R325</v>
      </c>
      <c r="BP93" t="str">
        <f t="shared" si="79"/>
        <v>R818</v>
      </c>
      <c r="BQ93" t="str">
        <f t="shared" si="80"/>
        <v>R818</v>
      </c>
      <c r="BR93" t="s">
        <v>816</v>
      </c>
      <c r="BS93" t="s">
        <v>816</v>
      </c>
      <c r="BT93" t="s">
        <v>816</v>
      </c>
      <c r="BU93" t="b">
        <f t="shared" si="93"/>
        <v>1</v>
      </c>
      <c r="BZ93" t="str">
        <f t="shared" si="81"/>
        <v>G35</v>
      </c>
      <c r="CA93" t="b">
        <f t="shared" si="82"/>
        <v>0</v>
      </c>
      <c r="CB93" t="str">
        <f t="shared" si="94"/>
        <v>G35</v>
      </c>
      <c r="CC93" t="str">
        <f t="shared" si="83"/>
        <v>R818</v>
      </c>
      <c r="CD93" t="b">
        <f t="shared" si="95"/>
        <v>0</v>
      </c>
      <c r="CE93" t="str">
        <f t="shared" si="96"/>
        <v>R818</v>
      </c>
      <c r="CG93" t="str">
        <f t="shared" si="84"/>
        <v>G472</v>
      </c>
      <c r="CH93" t="str">
        <f t="shared" si="97"/>
        <v>G472</v>
      </c>
      <c r="CI93" t="str">
        <f>AE92</f>
        <v>G339</v>
      </c>
      <c r="CJ93" t="str">
        <f t="shared" si="85"/>
        <v/>
      </c>
      <c r="CK93" t="s">
        <v>1578</v>
      </c>
      <c r="CL93" t="s">
        <v>1578</v>
      </c>
      <c r="CM93" t="s">
        <v>1578</v>
      </c>
      <c r="CN93" t="b">
        <f t="shared" si="98"/>
        <v>1</v>
      </c>
      <c r="CO93" t="str">
        <f t="shared" si="86"/>
        <v>R228</v>
      </c>
      <c r="CP93" t="str">
        <f t="shared" si="99"/>
        <v>R228</v>
      </c>
      <c r="CQ93" t="str">
        <f>AF92</f>
        <v>R196</v>
      </c>
      <c r="CR93" t="str">
        <f t="shared" si="87"/>
        <v>R196</v>
      </c>
      <c r="CS93" t="s">
        <v>913</v>
      </c>
      <c r="CT93" t="s">
        <v>913</v>
      </c>
      <c r="CU93" t="s">
        <v>913</v>
      </c>
      <c r="CV93" t="b">
        <f t="shared" si="100"/>
        <v>1</v>
      </c>
      <c r="DC93" t="str">
        <f t="shared" si="88"/>
        <v>G339</v>
      </c>
      <c r="DD93" t="b">
        <f t="shared" si="101"/>
        <v>1</v>
      </c>
      <c r="DE93" t="str">
        <f t="shared" si="102"/>
        <v/>
      </c>
      <c r="DF93" t="str">
        <f t="shared" si="89"/>
        <v>R196</v>
      </c>
      <c r="DG93" t="b">
        <f t="shared" si="103"/>
        <v>0</v>
      </c>
      <c r="DH93" t="str">
        <f t="shared" si="104"/>
        <v>R196</v>
      </c>
    </row>
    <row r="94" spans="2:112" ht="12" customHeight="1">
      <c r="B94" t="str">
        <f>TBIDry!H166</f>
        <v>G13</v>
      </c>
      <c r="C94" t="str">
        <f>TBIDry!I166</f>
        <v>R787</v>
      </c>
      <c r="D94" t="b">
        <f t="shared" si="56"/>
        <v>0</v>
      </c>
      <c r="E94" t="b">
        <f t="shared" si="57"/>
        <v>0</v>
      </c>
      <c r="G94" t="str">
        <f>TBIWet!H166</f>
        <v>G472</v>
      </c>
      <c r="H94" t="str">
        <f>TBIWet!I166</f>
        <v>R343</v>
      </c>
      <c r="I94" t="b">
        <f t="shared" si="58"/>
        <v>0</v>
      </c>
      <c r="J94" t="b">
        <f t="shared" si="59"/>
        <v>0</v>
      </c>
      <c r="L94" t="str">
        <f>'Both teabags AfterWet'!A92</f>
        <v>G475</v>
      </c>
      <c r="M94" t="str">
        <f>'Both teabags AfterWet'!A512</f>
        <v>R232</v>
      </c>
      <c r="N94" t="b">
        <f t="shared" si="60"/>
        <v>0</v>
      </c>
      <c r="O94" t="b">
        <f t="shared" si="105"/>
        <v>0</v>
      </c>
      <c r="Q94" s="395" t="b">
        <f t="shared" si="61"/>
        <v>0</v>
      </c>
      <c r="R94" s="395" t="b">
        <f t="shared" si="62"/>
        <v>0</v>
      </c>
      <c r="T94" t="str">
        <f>'Both teabags AfterDry'!A92</f>
        <v>G215</v>
      </c>
      <c r="U94" t="str">
        <f>'Both teabags AfterDry'!A427</f>
        <v>R332</v>
      </c>
      <c r="V94" t="b">
        <f t="shared" si="63"/>
        <v>0</v>
      </c>
      <c r="W94" t="b">
        <f t="shared" si="90"/>
        <v>0</v>
      </c>
      <c r="Y94" t="str">
        <f>'Green_rooibos initial weight'!A95</f>
        <v>G91</v>
      </c>
      <c r="Z94" t="str">
        <f>'Green_rooibos initial weight'!A999</f>
        <v>R91</v>
      </c>
      <c r="AA94" t="b">
        <f t="shared" si="64"/>
        <v>0</v>
      </c>
      <c r="AB94" t="b">
        <f t="shared" si="65"/>
        <v>0</v>
      </c>
      <c r="AE94" t="str">
        <f>'WetLitterbags placem_collection'!K93</f>
        <v>G472</v>
      </c>
      <c r="AF94" t="str">
        <f>'WetLitterbags placem_collection'!M93</f>
        <v>R343</v>
      </c>
      <c r="AG94" t="b">
        <f t="shared" si="66"/>
        <v>0</v>
      </c>
      <c r="AH94" t="b">
        <f t="shared" si="67"/>
        <v>0</v>
      </c>
      <c r="AJ94" t="b">
        <f t="shared" si="68"/>
        <v>0</v>
      </c>
      <c r="AK94" t="b">
        <f t="shared" si="69"/>
        <v>0</v>
      </c>
      <c r="AM94" t="str">
        <f>IF(ISBLANK('Dry_Litterbag Placem_Collection'!J93),"","G"&amp;""&amp;'Dry_Litterbag Placem_Collection'!J93)</f>
        <v>G13</v>
      </c>
      <c r="AN94" t="str">
        <f>IF(ISBLANK('Dry_Litterbag Placem_Collection'!K93),"","R"&amp;""&amp;'Dry_Litterbag Placem_Collection'!K93)</f>
        <v>R787</v>
      </c>
      <c r="AO94" t="b">
        <f t="shared" si="70"/>
        <v>0</v>
      </c>
      <c r="AP94" t="b">
        <f t="shared" si="71"/>
        <v>0</v>
      </c>
      <c r="AS94" t="str">
        <f>'Ashed teabags dry'!A92</f>
        <v>G215</v>
      </c>
      <c r="AT94" t="str">
        <f>'Ashed teabags dry'!A427</f>
        <v>R332</v>
      </c>
      <c r="AU94" t="b">
        <f t="shared" si="72"/>
        <v>0</v>
      </c>
      <c r="AV94" t="b">
        <f>COUNTIF($AT$4:$AT$2000, AT94)&gt;1</f>
        <v>0</v>
      </c>
      <c r="AX94" s="395" t="b">
        <f t="shared" si="73"/>
        <v>0</v>
      </c>
      <c r="AY94" s="395" t="b">
        <f t="shared" si="74"/>
        <v>0</v>
      </c>
      <c r="BA94" t="str">
        <f>'Ashed teabags wet'!A92</f>
        <v>G475</v>
      </c>
      <c r="BB94" t="str">
        <f>'Ashed teabags wet'!A512</f>
        <v>R232</v>
      </c>
      <c r="BC94" t="b">
        <f t="shared" si="75"/>
        <v>0</v>
      </c>
      <c r="BD94" t="b">
        <f t="shared" si="55"/>
        <v>0</v>
      </c>
      <c r="BF94" t="str">
        <f t="shared" si="76"/>
        <v>G213</v>
      </c>
      <c r="BG94" t="str">
        <f>T93</f>
        <v>G213</v>
      </c>
      <c r="BH94" t="str">
        <f t="shared" si="77"/>
        <v>G264</v>
      </c>
      <c r="BI94" t="str">
        <f t="shared" si="91"/>
        <v/>
      </c>
      <c r="BJ94" t="s">
        <v>1837</v>
      </c>
      <c r="BK94" t="s">
        <v>1837</v>
      </c>
      <c r="BL94" t="s">
        <v>1837</v>
      </c>
      <c r="BM94" t="b">
        <f t="shared" si="92"/>
        <v>1</v>
      </c>
      <c r="BN94" t="str">
        <f t="shared" si="78"/>
        <v>R327</v>
      </c>
      <c r="BO94" t="str">
        <f>U93</f>
        <v>R327</v>
      </c>
      <c r="BP94" t="str">
        <f t="shared" si="79"/>
        <v>R767</v>
      </c>
      <c r="BQ94" t="str">
        <f t="shared" si="80"/>
        <v/>
      </c>
      <c r="BR94" t="s">
        <v>814</v>
      </c>
      <c r="BS94" t="s">
        <v>814</v>
      </c>
      <c r="BT94" t="s">
        <v>814</v>
      </c>
      <c r="BU94" t="b">
        <f t="shared" si="93"/>
        <v>1</v>
      </c>
      <c r="BZ94" t="str">
        <f t="shared" si="81"/>
        <v>G264</v>
      </c>
      <c r="CA94" t="b">
        <f t="shared" si="82"/>
        <v>1</v>
      </c>
      <c r="CB94" t="str">
        <f t="shared" si="94"/>
        <v/>
      </c>
      <c r="CC94" t="str">
        <f t="shared" si="83"/>
        <v>R767</v>
      </c>
      <c r="CD94" t="b">
        <f t="shared" si="95"/>
        <v>1</v>
      </c>
      <c r="CE94" t="str">
        <f t="shared" si="96"/>
        <v/>
      </c>
      <c r="CG94" t="str">
        <f t="shared" si="84"/>
        <v>G474</v>
      </c>
      <c r="CH94" t="str">
        <f t="shared" si="97"/>
        <v>G474</v>
      </c>
      <c r="CI94" t="str">
        <f>AE93</f>
        <v>G592</v>
      </c>
      <c r="CJ94" t="str">
        <f t="shared" si="85"/>
        <v>G592</v>
      </c>
      <c r="CK94" t="s">
        <v>1576</v>
      </c>
      <c r="CL94" t="s">
        <v>1576</v>
      </c>
      <c r="CM94" t="s">
        <v>1576</v>
      </c>
      <c r="CN94" t="b">
        <f t="shared" si="98"/>
        <v>1</v>
      </c>
      <c r="CO94" t="str">
        <f t="shared" si="86"/>
        <v>R23</v>
      </c>
      <c r="CP94" t="str">
        <f t="shared" si="99"/>
        <v>R23</v>
      </c>
      <c r="CQ94" t="str">
        <f>AF93</f>
        <v>R94</v>
      </c>
      <c r="CR94" t="str">
        <f t="shared" si="87"/>
        <v>R94</v>
      </c>
      <c r="CS94" t="s">
        <v>1118</v>
      </c>
      <c r="CT94" t="s">
        <v>1118</v>
      </c>
      <c r="CU94" t="s">
        <v>1118</v>
      </c>
      <c r="CV94" t="b">
        <f t="shared" si="100"/>
        <v>1</v>
      </c>
      <c r="DC94" t="str">
        <f t="shared" si="88"/>
        <v>G592</v>
      </c>
      <c r="DD94" t="b">
        <f t="shared" si="101"/>
        <v>0</v>
      </c>
      <c r="DE94" t="str">
        <f t="shared" si="102"/>
        <v>G592</v>
      </c>
      <c r="DF94" t="str">
        <f t="shared" si="89"/>
        <v>R94</v>
      </c>
      <c r="DG94" t="b">
        <f t="shared" si="103"/>
        <v>0</v>
      </c>
      <c r="DH94" t="str">
        <f t="shared" si="104"/>
        <v>R94</v>
      </c>
    </row>
    <row r="95" spans="2:112" ht="12" customHeight="1">
      <c r="B95" t="str">
        <f>TBIDry!H167</f>
        <v>G324</v>
      </c>
      <c r="C95" t="str">
        <f>TBIDry!I167</f>
        <v>R812</v>
      </c>
      <c r="D95" t="b">
        <f t="shared" si="56"/>
        <v>0</v>
      </c>
      <c r="E95" t="b">
        <f t="shared" si="57"/>
        <v>0</v>
      </c>
      <c r="G95" t="str">
        <f>TBIWet!H167</f>
        <v>G529</v>
      </c>
      <c r="H95" t="str">
        <f>TBIWet!I167</f>
        <v>R445</v>
      </c>
      <c r="I95" t="b">
        <f t="shared" si="58"/>
        <v>0</v>
      </c>
      <c r="J95" t="b">
        <f t="shared" si="59"/>
        <v>0</v>
      </c>
      <c r="L95" t="str">
        <f>'Both teabags AfterWet'!A93</f>
        <v>G476</v>
      </c>
      <c r="M95" t="str">
        <f>'Both teabags AfterWet'!A513</f>
        <v>R234</v>
      </c>
      <c r="N95" t="b">
        <f t="shared" si="60"/>
        <v>0</v>
      </c>
      <c r="O95" t="b">
        <f t="shared" si="105"/>
        <v>0</v>
      </c>
      <c r="Q95" s="395" t="b">
        <f t="shared" si="61"/>
        <v>0</v>
      </c>
      <c r="R95" s="395" t="b">
        <f t="shared" si="62"/>
        <v>0</v>
      </c>
      <c r="T95" t="str">
        <f>'Both teabags AfterDry'!A93</f>
        <v>G218</v>
      </c>
      <c r="U95" t="str">
        <f>'Both teabags AfterDry'!A428</f>
        <v>R335</v>
      </c>
      <c r="V95" t="b">
        <f t="shared" si="63"/>
        <v>0</v>
      </c>
      <c r="W95" t="b">
        <f t="shared" si="90"/>
        <v>0</v>
      </c>
      <c r="Y95" t="str">
        <f>'Green_rooibos initial weight'!A96</f>
        <v>G92</v>
      </c>
      <c r="Z95" t="str">
        <f>'Green_rooibos initial weight'!A1000</f>
        <v>R92</v>
      </c>
      <c r="AA95" t="b">
        <f t="shared" si="64"/>
        <v>0</v>
      </c>
      <c r="AB95" t="b">
        <f t="shared" si="65"/>
        <v>0</v>
      </c>
      <c r="AE95" t="str">
        <f>'WetLitterbags placem_collection'!K94</f>
        <v>G529</v>
      </c>
      <c r="AF95" t="str">
        <f>'WetLitterbags placem_collection'!M94</f>
        <v>R445</v>
      </c>
      <c r="AG95" t="b">
        <f t="shared" si="66"/>
        <v>0</v>
      </c>
      <c r="AH95" t="b">
        <f t="shared" si="67"/>
        <v>0</v>
      </c>
      <c r="AJ95" t="b">
        <f t="shared" si="68"/>
        <v>0</v>
      </c>
      <c r="AK95" t="b">
        <f t="shared" si="69"/>
        <v>0</v>
      </c>
      <c r="AM95" t="str">
        <f>IF(ISBLANK('Dry_Litterbag Placem_Collection'!J94),"","G"&amp;""&amp;'Dry_Litterbag Placem_Collection'!J94)</f>
        <v>G324</v>
      </c>
      <c r="AN95" t="str">
        <f>IF(ISBLANK('Dry_Litterbag Placem_Collection'!K94),"","R"&amp;""&amp;'Dry_Litterbag Placem_Collection'!K94)</f>
        <v>R812</v>
      </c>
      <c r="AO95" t="b">
        <f t="shared" si="70"/>
        <v>0</v>
      </c>
      <c r="AP95" t="b">
        <f t="shared" si="71"/>
        <v>0</v>
      </c>
      <c r="AS95" t="str">
        <f>'Ashed teabags dry'!A93</f>
        <v>G218</v>
      </c>
      <c r="AT95" t="str">
        <f>'Ashed teabags dry'!A428</f>
        <v>R335</v>
      </c>
      <c r="AU95" t="b">
        <f t="shared" si="72"/>
        <v>0</v>
      </c>
      <c r="AV95" t="b">
        <f>COUNTIF($AT$4:$AT$2000, AT95)&gt;1</f>
        <v>0</v>
      </c>
      <c r="AX95" s="395" t="b">
        <f t="shared" si="73"/>
        <v>0</v>
      </c>
      <c r="AY95" s="395" t="b">
        <f t="shared" si="74"/>
        <v>0</v>
      </c>
      <c r="BA95" t="str">
        <f>'Ashed teabags wet'!A93</f>
        <v>G476</v>
      </c>
      <c r="BB95" t="str">
        <f>'Ashed teabags wet'!A513</f>
        <v>R234</v>
      </c>
      <c r="BC95" t="b">
        <f t="shared" si="75"/>
        <v>0</v>
      </c>
      <c r="BD95" t="b">
        <f t="shared" si="55"/>
        <v>0</v>
      </c>
      <c r="BF95" t="str">
        <f t="shared" si="76"/>
        <v>G215</v>
      </c>
      <c r="BG95" t="str">
        <f>T94</f>
        <v>G215</v>
      </c>
      <c r="BH95" t="str">
        <f t="shared" si="77"/>
        <v>G13</v>
      </c>
      <c r="BI95" t="str">
        <f t="shared" si="91"/>
        <v>G13</v>
      </c>
      <c r="BJ95" t="s">
        <v>1835</v>
      </c>
      <c r="BK95" t="s">
        <v>1835</v>
      </c>
      <c r="BL95" t="s">
        <v>1835</v>
      </c>
      <c r="BM95" t="b">
        <f t="shared" si="92"/>
        <v>1</v>
      </c>
      <c r="BN95" t="str">
        <f t="shared" si="78"/>
        <v>R332</v>
      </c>
      <c r="BO95" t="str">
        <f>U94</f>
        <v>R332</v>
      </c>
      <c r="BP95" t="str">
        <f t="shared" si="79"/>
        <v>R787</v>
      </c>
      <c r="BQ95" t="str">
        <f t="shared" si="80"/>
        <v>R787</v>
      </c>
      <c r="BR95" t="s">
        <v>809</v>
      </c>
      <c r="BS95" t="s">
        <v>809</v>
      </c>
      <c r="BT95" t="s">
        <v>809</v>
      </c>
      <c r="BU95" t="b">
        <f t="shared" si="93"/>
        <v>1</v>
      </c>
      <c r="BZ95" t="str">
        <f t="shared" si="81"/>
        <v>G13</v>
      </c>
      <c r="CA95" t="b">
        <f t="shared" si="82"/>
        <v>0</v>
      </c>
      <c r="CB95" t="str">
        <f t="shared" si="94"/>
        <v>G13</v>
      </c>
      <c r="CC95" t="str">
        <f t="shared" si="83"/>
        <v>R787</v>
      </c>
      <c r="CD95" t="b">
        <f t="shared" si="95"/>
        <v>0</v>
      </c>
      <c r="CE95" t="str">
        <f t="shared" si="96"/>
        <v>R787</v>
      </c>
      <c r="CG95" t="str">
        <f t="shared" si="84"/>
        <v>G475</v>
      </c>
      <c r="CH95" t="str">
        <f t="shared" si="97"/>
        <v>G475</v>
      </c>
      <c r="CI95" t="str">
        <f>AE94</f>
        <v>G472</v>
      </c>
      <c r="CJ95" t="str">
        <f t="shared" si="85"/>
        <v>G472</v>
      </c>
      <c r="CK95" t="s">
        <v>1575</v>
      </c>
      <c r="CL95" t="s">
        <v>1575</v>
      </c>
      <c r="CM95" t="s">
        <v>1575</v>
      </c>
      <c r="CN95" t="b">
        <f t="shared" si="98"/>
        <v>1</v>
      </c>
      <c r="CO95" t="str">
        <f t="shared" si="86"/>
        <v>R232</v>
      </c>
      <c r="CP95" t="str">
        <f t="shared" si="99"/>
        <v>R232</v>
      </c>
      <c r="CQ95" t="str">
        <f>AF94</f>
        <v>R343</v>
      </c>
      <c r="CR95" t="str">
        <f t="shared" si="87"/>
        <v>R343</v>
      </c>
      <c r="CS95" t="s">
        <v>909</v>
      </c>
      <c r="CT95" t="s">
        <v>909</v>
      </c>
      <c r="CU95" t="s">
        <v>909</v>
      </c>
      <c r="CV95" t="b">
        <f t="shared" si="100"/>
        <v>1</v>
      </c>
      <c r="DC95" t="str">
        <f t="shared" si="88"/>
        <v>G472</v>
      </c>
      <c r="DD95" t="b">
        <f t="shared" si="101"/>
        <v>0</v>
      </c>
      <c r="DE95" t="str">
        <f t="shared" si="102"/>
        <v>G472</v>
      </c>
      <c r="DF95" t="str">
        <f t="shared" si="89"/>
        <v>R343</v>
      </c>
      <c r="DG95" t="b">
        <f t="shared" si="103"/>
        <v>0</v>
      </c>
      <c r="DH95" t="str">
        <f t="shared" si="104"/>
        <v>R343</v>
      </c>
    </row>
    <row r="96" spans="2:112" ht="12" customHeight="1">
      <c r="B96" t="str">
        <f>TBIDry!H168</f>
        <v>G99</v>
      </c>
      <c r="C96" t="str">
        <f>TBIDry!I168</f>
        <v>R675</v>
      </c>
      <c r="D96" t="b">
        <f t="shared" si="56"/>
        <v>0</v>
      </c>
      <c r="E96" t="b">
        <f t="shared" si="57"/>
        <v>0</v>
      </c>
      <c r="G96" t="str">
        <f>TBIWet!H168</f>
        <v>G636</v>
      </c>
      <c r="H96" t="str">
        <f>TBIWet!I168</f>
        <v>R12</v>
      </c>
      <c r="I96" t="b">
        <f t="shared" si="58"/>
        <v>0</v>
      </c>
      <c r="J96" t="b">
        <f t="shared" si="59"/>
        <v>0</v>
      </c>
      <c r="L96" t="str">
        <f>'Both teabags AfterWet'!A94</f>
        <v>G477</v>
      </c>
      <c r="M96" t="str">
        <f>'Both teabags AfterWet'!A514</f>
        <v>R235</v>
      </c>
      <c r="N96" t="b">
        <f t="shared" si="60"/>
        <v>0</v>
      </c>
      <c r="O96" t="b">
        <f t="shared" si="105"/>
        <v>0</v>
      </c>
      <c r="Q96" s="395" t="b">
        <f t="shared" si="61"/>
        <v>0</v>
      </c>
      <c r="R96" s="395" t="b">
        <f t="shared" si="62"/>
        <v>0</v>
      </c>
      <c r="T96" t="str">
        <f>'Both teabags AfterDry'!A94</f>
        <v>G219</v>
      </c>
      <c r="U96" t="str">
        <f>'Both teabags AfterDry'!A429</f>
        <v>R337</v>
      </c>
      <c r="V96" t="b">
        <f t="shared" si="63"/>
        <v>0</v>
      </c>
      <c r="W96" t="b">
        <f t="shared" si="90"/>
        <v>0</v>
      </c>
      <c r="Y96" t="str">
        <f>'Green_rooibos initial weight'!A97</f>
        <v>G93</v>
      </c>
      <c r="Z96" t="str">
        <f>'Green_rooibos initial weight'!A1001</f>
        <v>R93</v>
      </c>
      <c r="AA96" t="b">
        <f t="shared" si="64"/>
        <v>0</v>
      </c>
      <c r="AB96" t="b">
        <f t="shared" si="65"/>
        <v>0</v>
      </c>
      <c r="AE96" t="str">
        <f>'WetLitterbags placem_collection'!K95</f>
        <v>G636</v>
      </c>
      <c r="AF96" t="str">
        <f>'WetLitterbags placem_collection'!M95</f>
        <v>R12</v>
      </c>
      <c r="AG96" t="b">
        <f t="shared" si="66"/>
        <v>0</v>
      </c>
      <c r="AH96" t="b">
        <f t="shared" si="67"/>
        <v>0</v>
      </c>
      <c r="AJ96" t="b">
        <f t="shared" si="68"/>
        <v>0</v>
      </c>
      <c r="AK96" t="b">
        <f t="shared" si="69"/>
        <v>0</v>
      </c>
      <c r="AM96" t="str">
        <f>IF(ISBLANK('Dry_Litterbag Placem_Collection'!J95),"","G"&amp;""&amp;'Dry_Litterbag Placem_Collection'!J95)</f>
        <v>G99</v>
      </c>
      <c r="AN96" t="str">
        <f>IF(ISBLANK('Dry_Litterbag Placem_Collection'!K95),"","R"&amp;""&amp;'Dry_Litterbag Placem_Collection'!K95)</f>
        <v>R675</v>
      </c>
      <c r="AO96" t="b">
        <f t="shared" si="70"/>
        <v>0</v>
      </c>
      <c r="AP96" t="b">
        <f t="shared" si="71"/>
        <v>0</v>
      </c>
      <c r="AS96" t="str">
        <f>'Ashed teabags dry'!A94</f>
        <v>G219</v>
      </c>
      <c r="AT96" t="str">
        <f>'Ashed teabags dry'!A429</f>
        <v>R337</v>
      </c>
      <c r="AU96" t="b">
        <f t="shared" si="72"/>
        <v>0</v>
      </c>
      <c r="AV96" t="b">
        <f>COUNTIF($AT$4:$AT$2000, AT96)&gt;1</f>
        <v>0</v>
      </c>
      <c r="AX96" s="395" t="b">
        <f t="shared" si="73"/>
        <v>0</v>
      </c>
      <c r="AY96" s="395" t="b">
        <f t="shared" si="74"/>
        <v>0</v>
      </c>
      <c r="BA96" t="str">
        <f>'Ashed teabags wet'!A94</f>
        <v>G477</v>
      </c>
      <c r="BB96" t="str">
        <f>'Ashed teabags wet'!A514</f>
        <v>R235</v>
      </c>
      <c r="BC96" t="b">
        <f t="shared" si="75"/>
        <v>0</v>
      </c>
      <c r="BD96" t="b">
        <f t="shared" si="55"/>
        <v>0</v>
      </c>
      <c r="BF96" t="str">
        <f t="shared" si="76"/>
        <v>G218</v>
      </c>
      <c r="BG96" t="str">
        <f>T95</f>
        <v>G218</v>
      </c>
      <c r="BH96" t="str">
        <f t="shared" si="77"/>
        <v>G324</v>
      </c>
      <c r="BI96" t="str">
        <f t="shared" si="91"/>
        <v>G324</v>
      </c>
      <c r="BJ96" t="s">
        <v>1832</v>
      </c>
      <c r="BK96" t="s">
        <v>1832</v>
      </c>
      <c r="BL96" t="s">
        <v>1832</v>
      </c>
      <c r="BM96" t="b">
        <f t="shared" si="92"/>
        <v>1</v>
      </c>
      <c r="BN96" t="str">
        <f t="shared" si="78"/>
        <v>R335</v>
      </c>
      <c r="BO96" t="str">
        <f>U95</f>
        <v>R335</v>
      </c>
      <c r="BP96" t="str">
        <f t="shared" si="79"/>
        <v>R812</v>
      </c>
      <c r="BQ96" t="str">
        <f t="shared" si="80"/>
        <v>R812</v>
      </c>
      <c r="BR96" t="s">
        <v>806</v>
      </c>
      <c r="BS96" t="s">
        <v>806</v>
      </c>
      <c r="BT96" t="s">
        <v>806</v>
      </c>
      <c r="BU96" t="b">
        <f t="shared" si="93"/>
        <v>1</v>
      </c>
      <c r="BZ96" t="str">
        <f t="shared" si="81"/>
        <v>G324</v>
      </c>
      <c r="CA96" t="b">
        <f t="shared" si="82"/>
        <v>0</v>
      </c>
      <c r="CB96" t="str">
        <f t="shared" si="94"/>
        <v>G324</v>
      </c>
      <c r="CC96" t="str">
        <f t="shared" si="83"/>
        <v>R812</v>
      </c>
      <c r="CD96" t="b">
        <f t="shared" si="95"/>
        <v>0</v>
      </c>
      <c r="CE96" t="str">
        <f t="shared" si="96"/>
        <v>R812</v>
      </c>
      <c r="CG96" t="str">
        <f t="shared" si="84"/>
        <v>G476</v>
      </c>
      <c r="CH96" t="str">
        <f t="shared" si="97"/>
        <v>G476</v>
      </c>
      <c r="CI96" t="str">
        <f>AE95</f>
        <v>G529</v>
      </c>
      <c r="CJ96" t="str">
        <f t="shared" si="85"/>
        <v>G529</v>
      </c>
      <c r="CK96" t="s">
        <v>1574</v>
      </c>
      <c r="CL96" t="s">
        <v>1574</v>
      </c>
      <c r="CM96" t="s">
        <v>1574</v>
      </c>
      <c r="CN96" t="b">
        <f t="shared" si="98"/>
        <v>1</v>
      </c>
      <c r="CO96" t="str">
        <f t="shared" si="86"/>
        <v>R234</v>
      </c>
      <c r="CP96" t="str">
        <f t="shared" si="99"/>
        <v>R234</v>
      </c>
      <c r="CQ96" t="str">
        <f>AF95</f>
        <v>R445</v>
      </c>
      <c r="CR96" t="str">
        <f t="shared" si="87"/>
        <v>R445</v>
      </c>
      <c r="CS96" t="s">
        <v>907</v>
      </c>
      <c r="CT96" t="s">
        <v>907</v>
      </c>
      <c r="CU96" t="s">
        <v>907</v>
      </c>
      <c r="CV96" t="b">
        <f t="shared" si="100"/>
        <v>1</v>
      </c>
      <c r="DC96" t="str">
        <f t="shared" si="88"/>
        <v>G529</v>
      </c>
      <c r="DD96" t="b">
        <f t="shared" si="101"/>
        <v>0</v>
      </c>
      <c r="DE96" t="str">
        <f t="shared" si="102"/>
        <v>G529</v>
      </c>
      <c r="DF96" t="str">
        <f t="shared" si="89"/>
        <v>R445</v>
      </c>
      <c r="DG96" t="b">
        <f t="shared" si="103"/>
        <v>0</v>
      </c>
      <c r="DH96" t="str">
        <f t="shared" si="104"/>
        <v>R445</v>
      </c>
    </row>
    <row r="97" spans="2:112" ht="12" customHeight="1">
      <c r="B97" t="str">
        <f>TBIDry!H169</f>
        <v/>
      </c>
      <c r="C97" t="str">
        <f>TBIDry!I169</f>
        <v/>
      </c>
      <c r="D97" t="b">
        <f t="shared" si="56"/>
        <v>1</v>
      </c>
      <c r="E97" t="b">
        <f t="shared" si="57"/>
        <v>1</v>
      </c>
      <c r="G97" t="str">
        <f>TBIWet!H169</f>
        <v>G534</v>
      </c>
      <c r="H97" t="str">
        <f>TBIWet!I169</f>
        <v>R244</v>
      </c>
      <c r="I97" t="b">
        <f t="shared" si="58"/>
        <v>0</v>
      </c>
      <c r="J97" t="b">
        <f t="shared" si="59"/>
        <v>0</v>
      </c>
      <c r="L97" t="str">
        <f>'Both teabags AfterWet'!A95</f>
        <v>G479</v>
      </c>
      <c r="M97" t="str">
        <f>'Both teabags AfterWet'!A515</f>
        <v>R24</v>
      </c>
      <c r="N97" t="b">
        <f t="shared" si="60"/>
        <v>0</v>
      </c>
      <c r="O97" t="b">
        <f t="shared" si="105"/>
        <v>0</v>
      </c>
      <c r="Q97" s="395" t="b">
        <f t="shared" si="61"/>
        <v>0</v>
      </c>
      <c r="R97" s="395" t="b">
        <f t="shared" si="62"/>
        <v>0</v>
      </c>
      <c r="T97" t="str">
        <f>'Both teabags AfterDry'!A95</f>
        <v>G22</v>
      </c>
      <c r="U97" t="str">
        <f>'Both teabags AfterDry'!A430</f>
        <v>R338</v>
      </c>
      <c r="V97" t="b">
        <f t="shared" si="63"/>
        <v>0</v>
      </c>
      <c r="W97" t="b">
        <f t="shared" si="90"/>
        <v>0</v>
      </c>
      <c r="Y97" t="str">
        <f>'Green_rooibos initial weight'!A98</f>
        <v>G94</v>
      </c>
      <c r="Z97" t="str">
        <f>'Green_rooibos initial weight'!A1002</f>
        <v>R94</v>
      </c>
      <c r="AA97" t="b">
        <f t="shared" si="64"/>
        <v>0</v>
      </c>
      <c r="AB97" t="b">
        <f t="shared" si="65"/>
        <v>0</v>
      </c>
      <c r="AE97" t="str">
        <f>'WetLitterbags placem_collection'!K96</f>
        <v>G534</v>
      </c>
      <c r="AF97" t="str">
        <f>'WetLitterbags placem_collection'!M96</f>
        <v>R244</v>
      </c>
      <c r="AG97" t="b">
        <f t="shared" si="66"/>
        <v>0</v>
      </c>
      <c r="AH97" t="b">
        <f t="shared" si="67"/>
        <v>0</v>
      </c>
      <c r="AJ97" t="b">
        <f t="shared" si="68"/>
        <v>0</v>
      </c>
      <c r="AK97" t="b">
        <f t="shared" si="69"/>
        <v>0</v>
      </c>
      <c r="AM97" t="str">
        <f>IF(ISBLANK('Dry_Litterbag Placem_Collection'!J96),"","G"&amp;""&amp;'Dry_Litterbag Placem_Collection'!J96)</f>
        <v/>
      </c>
      <c r="AN97" t="str">
        <f>IF(ISBLANK('Dry_Litterbag Placem_Collection'!K96),"","R"&amp;""&amp;'Dry_Litterbag Placem_Collection'!K96)</f>
        <v/>
      </c>
      <c r="AO97" t="b">
        <f t="shared" si="70"/>
        <v>1</v>
      </c>
      <c r="AP97" t="b">
        <f t="shared" si="71"/>
        <v>1</v>
      </c>
      <c r="AS97" t="str">
        <f>'Ashed teabags dry'!A95</f>
        <v>G22</v>
      </c>
      <c r="AT97" t="str">
        <f>'Ashed teabags dry'!A430</f>
        <v>R338</v>
      </c>
      <c r="AU97" t="b">
        <f t="shared" si="72"/>
        <v>0</v>
      </c>
      <c r="AV97" t="b">
        <f>COUNTIF($AT$4:$AT$2000, AT97)&gt;1</f>
        <v>0</v>
      </c>
      <c r="AX97" s="395" t="b">
        <f t="shared" si="73"/>
        <v>0</v>
      </c>
      <c r="AY97" s="395" t="b">
        <f t="shared" si="74"/>
        <v>0</v>
      </c>
      <c r="BA97" t="str">
        <f>'Ashed teabags wet'!A95</f>
        <v>G479</v>
      </c>
      <c r="BB97" t="str">
        <f>'Ashed teabags wet'!A515</f>
        <v>R24</v>
      </c>
      <c r="BC97" t="b">
        <f t="shared" si="75"/>
        <v>0</v>
      </c>
      <c r="BD97" t="b">
        <f t="shared" si="55"/>
        <v>0</v>
      </c>
      <c r="BF97" t="str">
        <f t="shared" si="76"/>
        <v>G219</v>
      </c>
      <c r="BG97" t="str">
        <f>T96</f>
        <v>G219</v>
      </c>
      <c r="BH97" t="str">
        <f t="shared" si="77"/>
        <v>G99</v>
      </c>
      <c r="BI97" t="str">
        <f t="shared" si="91"/>
        <v>G99</v>
      </c>
      <c r="BJ97" t="s">
        <v>1831</v>
      </c>
      <c r="BK97" t="s">
        <v>1831</v>
      </c>
      <c r="BL97" t="s">
        <v>1831</v>
      </c>
      <c r="BM97" t="b">
        <f t="shared" si="92"/>
        <v>1</v>
      </c>
      <c r="BN97" t="str">
        <f t="shared" si="78"/>
        <v>R337</v>
      </c>
      <c r="BO97" t="str">
        <f>U96</f>
        <v>R337</v>
      </c>
      <c r="BP97" t="str">
        <f t="shared" si="79"/>
        <v>R675</v>
      </c>
      <c r="BQ97" t="str">
        <f t="shared" si="80"/>
        <v>R675</v>
      </c>
      <c r="BR97" t="s">
        <v>804</v>
      </c>
      <c r="BS97" t="s">
        <v>804</v>
      </c>
      <c r="BT97" t="s">
        <v>804</v>
      </c>
      <c r="BU97" t="b">
        <f t="shared" si="93"/>
        <v>1</v>
      </c>
      <c r="BZ97" t="str">
        <f t="shared" si="81"/>
        <v>G99</v>
      </c>
      <c r="CA97" t="b">
        <f t="shared" si="82"/>
        <v>0</v>
      </c>
      <c r="CB97" t="str">
        <f t="shared" si="94"/>
        <v>G99</v>
      </c>
      <c r="CC97" t="str">
        <f t="shared" si="83"/>
        <v>R675</v>
      </c>
      <c r="CD97" t="b">
        <f t="shared" si="95"/>
        <v>0</v>
      </c>
      <c r="CE97" t="str">
        <f t="shared" si="96"/>
        <v>R675</v>
      </c>
      <c r="CG97" t="str">
        <f t="shared" si="84"/>
        <v>G477</v>
      </c>
      <c r="CH97" t="str">
        <f t="shared" si="97"/>
        <v>G477</v>
      </c>
      <c r="CI97" t="str">
        <f>AE96</f>
        <v>G636</v>
      </c>
      <c r="CJ97" t="str">
        <f t="shared" si="85"/>
        <v>G636</v>
      </c>
      <c r="CK97" t="s">
        <v>1573</v>
      </c>
      <c r="CL97" t="s">
        <v>1573</v>
      </c>
      <c r="CM97" t="s">
        <v>1573</v>
      </c>
      <c r="CN97" t="b">
        <f t="shared" si="98"/>
        <v>1</v>
      </c>
      <c r="CO97" t="str">
        <f t="shared" si="86"/>
        <v>R235</v>
      </c>
      <c r="CP97" t="str">
        <f t="shared" si="99"/>
        <v>R235</v>
      </c>
      <c r="CQ97" t="str">
        <f>AF96</f>
        <v>R12</v>
      </c>
      <c r="CR97" t="str">
        <f t="shared" si="87"/>
        <v>R12</v>
      </c>
      <c r="CS97" t="s">
        <v>906</v>
      </c>
      <c r="CT97" t="s">
        <v>906</v>
      </c>
      <c r="CU97" t="s">
        <v>906</v>
      </c>
      <c r="CV97" t="b">
        <f t="shared" si="100"/>
        <v>1</v>
      </c>
      <c r="DC97" t="str">
        <f t="shared" si="88"/>
        <v>G636</v>
      </c>
      <c r="DD97" t="b">
        <f t="shared" si="101"/>
        <v>0</v>
      </c>
      <c r="DE97" t="str">
        <f t="shared" si="102"/>
        <v>G636</v>
      </c>
      <c r="DF97" t="str">
        <f t="shared" si="89"/>
        <v>R12</v>
      </c>
      <c r="DG97" t="b">
        <f t="shared" si="103"/>
        <v>0</v>
      </c>
      <c r="DH97" t="str">
        <f t="shared" si="104"/>
        <v>R12</v>
      </c>
    </row>
    <row r="98" spans="2:112" ht="12" customHeight="1">
      <c r="B98" t="str">
        <f>TBIDry!H170</f>
        <v>G126</v>
      </c>
      <c r="C98" t="str">
        <f>TBIDry!I170</f>
        <v>R794</v>
      </c>
      <c r="D98" t="b">
        <f t="shared" si="56"/>
        <v>0</v>
      </c>
      <c r="E98" t="b">
        <f t="shared" si="57"/>
        <v>0</v>
      </c>
      <c r="G98" t="str">
        <f>TBIWet!H170</f>
        <v>G641</v>
      </c>
      <c r="H98" t="str">
        <f>TBIWet!I170</f>
        <v>R360</v>
      </c>
      <c r="I98" t="b">
        <f t="shared" si="58"/>
        <v>0</v>
      </c>
      <c r="J98" t="b">
        <f t="shared" si="59"/>
        <v>0</v>
      </c>
      <c r="L98" t="str">
        <f>'Both teabags AfterWet'!A96</f>
        <v>G483</v>
      </c>
      <c r="M98" t="str">
        <f>'Both teabags AfterWet'!A516</f>
        <v>R241</v>
      </c>
      <c r="N98" t="b">
        <f t="shared" si="60"/>
        <v>0</v>
      </c>
      <c r="O98" t="b">
        <f t="shared" si="105"/>
        <v>0</v>
      </c>
      <c r="Q98" s="395" t="b">
        <f t="shared" si="61"/>
        <v>0</v>
      </c>
      <c r="R98" s="395" t="b">
        <f t="shared" si="62"/>
        <v>0</v>
      </c>
      <c r="T98" t="str">
        <f>'Both teabags AfterDry'!A96</f>
        <v>G220</v>
      </c>
      <c r="U98" t="str">
        <f>'Both teabags AfterDry'!A431</f>
        <v>R345</v>
      </c>
      <c r="V98" t="b">
        <f t="shared" si="63"/>
        <v>0</v>
      </c>
      <c r="W98" t="b">
        <f t="shared" si="90"/>
        <v>0</v>
      </c>
      <c r="Y98" t="str">
        <f>'Green_rooibos initial weight'!A99</f>
        <v>G95</v>
      </c>
      <c r="Z98" t="str">
        <f>'Green_rooibos initial weight'!A1003</f>
        <v>R95</v>
      </c>
      <c r="AA98" t="b">
        <f t="shared" si="64"/>
        <v>0</v>
      </c>
      <c r="AB98" t="b">
        <f t="shared" si="65"/>
        <v>0</v>
      </c>
      <c r="AE98" t="str">
        <f>'WetLitterbags placem_collection'!K97</f>
        <v>G641</v>
      </c>
      <c r="AF98" t="str">
        <f>'WetLitterbags placem_collection'!M97</f>
        <v>R360</v>
      </c>
      <c r="AG98" t="b">
        <f t="shared" si="66"/>
        <v>0</v>
      </c>
      <c r="AH98" t="b">
        <f t="shared" si="67"/>
        <v>0</v>
      </c>
      <c r="AJ98" t="b">
        <f t="shared" si="68"/>
        <v>0</v>
      </c>
      <c r="AK98" t="b">
        <f t="shared" si="69"/>
        <v>0</v>
      </c>
      <c r="AM98" t="str">
        <f>IF(ISBLANK('Dry_Litterbag Placem_Collection'!J97),"","G"&amp;""&amp;'Dry_Litterbag Placem_Collection'!J97)</f>
        <v>G126</v>
      </c>
      <c r="AN98" t="str">
        <f>IF(ISBLANK('Dry_Litterbag Placem_Collection'!K97),"","R"&amp;""&amp;'Dry_Litterbag Placem_Collection'!K97)</f>
        <v>R794</v>
      </c>
      <c r="AO98" t="b">
        <f t="shared" si="70"/>
        <v>0</v>
      </c>
      <c r="AP98" t="b">
        <f t="shared" si="71"/>
        <v>0</v>
      </c>
      <c r="AS98" t="str">
        <f>'Ashed teabags dry'!A96</f>
        <v>G220</v>
      </c>
      <c r="AT98" t="str">
        <f>'Ashed teabags dry'!A431</f>
        <v>R345</v>
      </c>
      <c r="AU98" t="b">
        <f t="shared" si="72"/>
        <v>0</v>
      </c>
      <c r="AV98" t="b">
        <f>COUNTIF($AT$4:$AT$2000, AT98)&gt;1</f>
        <v>0</v>
      </c>
      <c r="AX98" s="395" t="b">
        <f t="shared" si="73"/>
        <v>0</v>
      </c>
      <c r="AY98" s="395" t="b">
        <f t="shared" si="74"/>
        <v>0</v>
      </c>
      <c r="BA98" t="str">
        <f>'Ashed teabags wet'!A96</f>
        <v>G483</v>
      </c>
      <c r="BB98" t="str">
        <f>'Ashed teabags wet'!A516</f>
        <v>R241</v>
      </c>
      <c r="BC98" t="b">
        <f t="shared" si="75"/>
        <v>0</v>
      </c>
      <c r="BD98" t="b">
        <f t="shared" si="55"/>
        <v>0</v>
      </c>
      <c r="BF98" t="str">
        <f t="shared" si="76"/>
        <v>G22</v>
      </c>
      <c r="BG98" t="str">
        <f>T97</f>
        <v>G22</v>
      </c>
      <c r="BH98" t="str">
        <f t="shared" si="77"/>
        <v/>
      </c>
      <c r="BI98" t="str">
        <f t="shared" si="91"/>
        <v/>
      </c>
      <c r="BJ98" t="s">
        <v>2028</v>
      </c>
      <c r="BK98" t="s">
        <v>2028</v>
      </c>
      <c r="BL98" t="s">
        <v>2028</v>
      </c>
      <c r="BM98" t="b">
        <f t="shared" si="92"/>
        <v>1</v>
      </c>
      <c r="BN98" t="str">
        <f t="shared" si="78"/>
        <v>R338</v>
      </c>
      <c r="BO98" t="str">
        <f>U97</f>
        <v>R338</v>
      </c>
      <c r="BP98" t="str">
        <f t="shared" si="79"/>
        <v/>
      </c>
      <c r="BQ98" t="str">
        <f t="shared" si="80"/>
        <v/>
      </c>
      <c r="BR98" t="s">
        <v>803</v>
      </c>
      <c r="BS98" t="s">
        <v>803</v>
      </c>
      <c r="BT98" t="s">
        <v>803</v>
      </c>
      <c r="BU98" t="b">
        <f t="shared" si="93"/>
        <v>1</v>
      </c>
      <c r="BZ98" t="str">
        <f t="shared" si="81"/>
        <v/>
      </c>
      <c r="CA98" t="b">
        <f t="shared" si="82"/>
        <v>0</v>
      </c>
      <c r="CB98" t="str">
        <f t="shared" si="94"/>
        <v/>
      </c>
      <c r="CC98" t="str">
        <f t="shared" si="83"/>
        <v/>
      </c>
      <c r="CD98" t="b">
        <f t="shared" si="95"/>
        <v>0</v>
      </c>
      <c r="CE98" t="str">
        <f t="shared" si="96"/>
        <v/>
      </c>
      <c r="CG98" t="str">
        <f t="shared" si="84"/>
        <v>G479</v>
      </c>
      <c r="CH98" t="str">
        <f t="shared" si="97"/>
        <v>G479</v>
      </c>
      <c r="CI98" t="str">
        <f>AE97</f>
        <v>G534</v>
      </c>
      <c r="CJ98" t="str">
        <f t="shared" si="85"/>
        <v/>
      </c>
      <c r="CK98" t="s">
        <v>1571</v>
      </c>
      <c r="CL98" t="s">
        <v>1571</v>
      </c>
      <c r="CM98" t="s">
        <v>1571</v>
      </c>
      <c r="CN98" t="b">
        <f t="shared" si="98"/>
        <v>1</v>
      </c>
      <c r="CO98" t="str">
        <f t="shared" si="86"/>
        <v>R24</v>
      </c>
      <c r="CP98" t="str">
        <f t="shared" si="99"/>
        <v>R24</v>
      </c>
      <c r="CQ98" t="str">
        <f>AF97</f>
        <v>R244</v>
      </c>
      <c r="CR98" t="str">
        <f t="shared" si="87"/>
        <v/>
      </c>
      <c r="CS98" t="s">
        <v>1117</v>
      </c>
      <c r="CT98" t="s">
        <v>1117</v>
      </c>
      <c r="CU98" t="s">
        <v>1117</v>
      </c>
      <c r="CV98" t="b">
        <f t="shared" si="100"/>
        <v>1</v>
      </c>
      <c r="DC98" t="str">
        <f t="shared" si="88"/>
        <v>G534</v>
      </c>
      <c r="DD98" t="b">
        <f t="shared" si="101"/>
        <v>1</v>
      </c>
      <c r="DE98" t="str">
        <f t="shared" si="102"/>
        <v/>
      </c>
      <c r="DF98" t="str">
        <f t="shared" si="89"/>
        <v>R244</v>
      </c>
      <c r="DG98" t="b">
        <f t="shared" si="103"/>
        <v>1</v>
      </c>
      <c r="DH98" t="str">
        <f t="shared" si="104"/>
        <v/>
      </c>
    </row>
    <row r="99" spans="2:112" ht="12" customHeight="1">
      <c r="B99" t="str">
        <f>TBIDry!H171</f>
        <v>G244</v>
      </c>
      <c r="C99" t="str">
        <f>TBIDry!I171</f>
        <v>R737</v>
      </c>
      <c r="D99" t="b">
        <f t="shared" si="56"/>
        <v>0</v>
      </c>
      <c r="E99" t="b">
        <f t="shared" si="57"/>
        <v>0</v>
      </c>
      <c r="G99" t="str">
        <f>TBIWet!H171</f>
        <v>G479</v>
      </c>
      <c r="H99" t="str">
        <f>TBIWet!I171</f>
        <v>R318</v>
      </c>
      <c r="I99" t="b">
        <f t="shared" si="58"/>
        <v>0</v>
      </c>
      <c r="J99" t="b">
        <f t="shared" si="59"/>
        <v>0</v>
      </c>
      <c r="L99" t="str">
        <f>'Both teabags AfterWet'!A97</f>
        <v>G486</v>
      </c>
      <c r="M99" t="str">
        <f>'Both teabags AfterWet'!A517</f>
        <v>R25</v>
      </c>
      <c r="N99" t="b">
        <f t="shared" si="60"/>
        <v>0</v>
      </c>
      <c r="O99" t="b">
        <f t="shared" si="105"/>
        <v>0</v>
      </c>
      <c r="Q99" s="395" t="b">
        <f t="shared" si="61"/>
        <v>0</v>
      </c>
      <c r="R99" s="395" t="b">
        <f t="shared" si="62"/>
        <v>0</v>
      </c>
      <c r="T99" t="str">
        <f>'Both teabags AfterDry'!A97</f>
        <v>G221</v>
      </c>
      <c r="U99" t="str">
        <f>'Both teabags AfterDry'!A432</f>
        <v>R348</v>
      </c>
      <c r="V99" t="b">
        <f t="shared" si="63"/>
        <v>0</v>
      </c>
      <c r="W99" t="b">
        <f t="shared" si="90"/>
        <v>0</v>
      </c>
      <c r="Y99" t="str">
        <f>'Green_rooibos initial weight'!A100</f>
        <v>G96</v>
      </c>
      <c r="Z99" t="str">
        <f>'Green_rooibos initial weight'!A1004</f>
        <v>R96</v>
      </c>
      <c r="AA99" t="b">
        <f t="shared" si="64"/>
        <v>0</v>
      </c>
      <c r="AB99" t="b">
        <f t="shared" si="65"/>
        <v>0</v>
      </c>
      <c r="AE99" t="str">
        <f>'WetLitterbags placem_collection'!K98</f>
        <v>G479</v>
      </c>
      <c r="AF99" t="str">
        <f>'WetLitterbags placem_collection'!M98</f>
        <v>R318</v>
      </c>
      <c r="AG99" t="b">
        <f t="shared" si="66"/>
        <v>0</v>
      </c>
      <c r="AH99" t="b">
        <f t="shared" si="67"/>
        <v>0</v>
      </c>
      <c r="AJ99" t="b">
        <f t="shared" si="68"/>
        <v>0</v>
      </c>
      <c r="AK99" t="b">
        <f t="shared" si="69"/>
        <v>0</v>
      </c>
      <c r="AM99" t="str">
        <f>IF(ISBLANK('Dry_Litterbag Placem_Collection'!J98),"","G"&amp;""&amp;'Dry_Litterbag Placem_Collection'!J98)</f>
        <v>G244</v>
      </c>
      <c r="AN99" t="str">
        <f>IF(ISBLANK('Dry_Litterbag Placem_Collection'!K98),"","R"&amp;""&amp;'Dry_Litterbag Placem_Collection'!K98)</f>
        <v>R737</v>
      </c>
      <c r="AO99" t="b">
        <f t="shared" si="70"/>
        <v>0</v>
      </c>
      <c r="AP99" t="b">
        <f t="shared" si="71"/>
        <v>0</v>
      </c>
      <c r="AS99" t="str">
        <f>'Ashed teabags dry'!A97</f>
        <v>G221</v>
      </c>
      <c r="AT99" t="str">
        <f>'Ashed teabags dry'!A432</f>
        <v>R348</v>
      </c>
      <c r="AU99" t="b">
        <f t="shared" si="72"/>
        <v>0</v>
      </c>
      <c r="AV99" t="b">
        <f>COUNTIF($AT$4:$AT$2000, AT99)&gt;1</f>
        <v>0</v>
      </c>
      <c r="AX99" s="395" t="b">
        <f t="shared" si="73"/>
        <v>0</v>
      </c>
      <c r="AY99" s="395" t="b">
        <f t="shared" si="74"/>
        <v>0</v>
      </c>
      <c r="BA99" t="str">
        <f>'Ashed teabags wet'!A97</f>
        <v>G486</v>
      </c>
      <c r="BB99" t="str">
        <f>'Ashed teabags wet'!A517</f>
        <v>R25</v>
      </c>
      <c r="BC99" t="b">
        <f t="shared" si="75"/>
        <v>0</v>
      </c>
      <c r="BD99" t="b">
        <f t="shared" si="55"/>
        <v>0</v>
      </c>
      <c r="BF99" t="str">
        <f t="shared" si="76"/>
        <v>G220</v>
      </c>
      <c r="BG99" t="str">
        <f>T98</f>
        <v>G220</v>
      </c>
      <c r="BH99" t="str">
        <f t="shared" si="77"/>
        <v>G126</v>
      </c>
      <c r="BI99" t="str">
        <f t="shared" si="91"/>
        <v>G126</v>
      </c>
      <c r="BJ99" t="s">
        <v>1830</v>
      </c>
      <c r="BK99" t="s">
        <v>1830</v>
      </c>
      <c r="BL99" t="s">
        <v>1830</v>
      </c>
      <c r="BM99" t="b">
        <f t="shared" si="92"/>
        <v>1</v>
      </c>
      <c r="BN99" t="str">
        <f t="shared" si="78"/>
        <v>R345</v>
      </c>
      <c r="BO99" t="str">
        <f>U98</f>
        <v>R345</v>
      </c>
      <c r="BP99" t="str">
        <f t="shared" si="79"/>
        <v>R794</v>
      </c>
      <c r="BQ99" t="str">
        <f t="shared" si="80"/>
        <v>R794</v>
      </c>
      <c r="BR99" t="s">
        <v>796</v>
      </c>
      <c r="BS99" t="s">
        <v>796</v>
      </c>
      <c r="BT99" t="s">
        <v>796</v>
      </c>
      <c r="BU99" t="b">
        <f t="shared" si="93"/>
        <v>1</v>
      </c>
      <c r="BZ99" t="str">
        <f t="shared" si="81"/>
        <v>G126</v>
      </c>
      <c r="CA99" t="b">
        <f t="shared" si="82"/>
        <v>0</v>
      </c>
      <c r="CB99" t="str">
        <f t="shared" si="94"/>
        <v>G126</v>
      </c>
      <c r="CC99" t="str">
        <f t="shared" si="83"/>
        <v>R794</v>
      </c>
      <c r="CD99" t="b">
        <f t="shared" si="95"/>
        <v>0</v>
      </c>
      <c r="CE99" t="str">
        <f t="shared" si="96"/>
        <v>R794</v>
      </c>
      <c r="CG99" t="str">
        <f t="shared" si="84"/>
        <v>G483</v>
      </c>
      <c r="CH99" t="str">
        <f t="shared" si="97"/>
        <v>G483</v>
      </c>
      <c r="CI99" t="str">
        <f>AE98</f>
        <v>G641</v>
      </c>
      <c r="CJ99" t="str">
        <f t="shared" si="85"/>
        <v>G641</v>
      </c>
      <c r="CK99" t="s">
        <v>1567</v>
      </c>
      <c r="CL99" t="s">
        <v>1567</v>
      </c>
      <c r="CM99" t="s">
        <v>1567</v>
      </c>
      <c r="CN99" t="b">
        <f t="shared" si="98"/>
        <v>1</v>
      </c>
      <c r="CO99" t="str">
        <f t="shared" si="86"/>
        <v>R241</v>
      </c>
      <c r="CP99" t="str">
        <f t="shared" si="99"/>
        <v>R241</v>
      </c>
      <c r="CQ99" t="str">
        <f>AF98</f>
        <v>R360</v>
      </c>
      <c r="CR99" t="str">
        <f t="shared" si="87"/>
        <v>R360</v>
      </c>
      <c r="CS99" t="s">
        <v>900</v>
      </c>
      <c r="CT99" t="s">
        <v>900</v>
      </c>
      <c r="CU99" t="s">
        <v>900</v>
      </c>
      <c r="CV99" t="b">
        <f t="shared" si="100"/>
        <v>1</v>
      </c>
      <c r="DC99" t="str">
        <f t="shared" si="88"/>
        <v>G641</v>
      </c>
      <c r="DD99" t="b">
        <f t="shared" si="101"/>
        <v>0</v>
      </c>
      <c r="DE99" t="str">
        <f t="shared" si="102"/>
        <v>G641</v>
      </c>
      <c r="DF99" t="str">
        <f t="shared" si="89"/>
        <v>R360</v>
      </c>
      <c r="DG99" t="b">
        <f t="shared" si="103"/>
        <v>0</v>
      </c>
      <c r="DH99" t="str">
        <f t="shared" si="104"/>
        <v>R360</v>
      </c>
    </row>
    <row r="100" spans="2:112" ht="12" customHeight="1">
      <c r="B100" t="str">
        <f>TBIDry!H172</f>
        <v>G432</v>
      </c>
      <c r="C100" t="str">
        <f>TBIDry!I172</f>
        <v>R801</v>
      </c>
      <c r="D100" t="b">
        <f t="shared" si="56"/>
        <v>0</v>
      </c>
      <c r="E100" t="b">
        <f t="shared" si="57"/>
        <v>0</v>
      </c>
      <c r="G100" t="str">
        <f>TBIWet!H172</f>
        <v>G741</v>
      </c>
      <c r="H100" t="str">
        <f>TBIWet!I172</f>
        <v>R518</v>
      </c>
      <c r="I100" t="b">
        <f t="shared" si="58"/>
        <v>0</v>
      </c>
      <c r="J100" t="b">
        <f t="shared" si="59"/>
        <v>0</v>
      </c>
      <c r="L100" t="str">
        <f>'Both teabags AfterWet'!A98</f>
        <v>G489</v>
      </c>
      <c r="M100" t="str">
        <f>'Both teabags AfterWet'!A518</f>
        <v>R250</v>
      </c>
      <c r="N100" t="b">
        <f t="shared" si="60"/>
        <v>0</v>
      </c>
      <c r="O100" t="b">
        <f t="shared" si="105"/>
        <v>0</v>
      </c>
      <c r="Q100" s="395" t="b">
        <f t="shared" si="61"/>
        <v>0</v>
      </c>
      <c r="R100" s="395" t="b">
        <f t="shared" si="62"/>
        <v>0</v>
      </c>
      <c r="T100" t="str">
        <f>'Both teabags AfterDry'!A98</f>
        <v>G224</v>
      </c>
      <c r="U100" t="str">
        <f>'Both teabags AfterDry'!A433</f>
        <v>R350</v>
      </c>
      <c r="V100" t="b">
        <f t="shared" si="63"/>
        <v>0</v>
      </c>
      <c r="W100" t="b">
        <f t="shared" si="90"/>
        <v>0</v>
      </c>
      <c r="Y100" t="str">
        <f>'Green_rooibos initial weight'!A101</f>
        <v>G97</v>
      </c>
      <c r="Z100" t="str">
        <f>'Green_rooibos initial weight'!A1005</f>
        <v>R97</v>
      </c>
      <c r="AA100" t="b">
        <f t="shared" si="64"/>
        <v>0</v>
      </c>
      <c r="AB100" t="b">
        <f t="shared" si="65"/>
        <v>0</v>
      </c>
      <c r="AE100" t="str">
        <f>'WetLitterbags placem_collection'!K99</f>
        <v>G741</v>
      </c>
      <c r="AF100" t="str">
        <f>'WetLitterbags placem_collection'!M99</f>
        <v>R518</v>
      </c>
      <c r="AG100" t="b">
        <f t="shared" si="66"/>
        <v>0</v>
      </c>
      <c r="AH100" t="b">
        <f t="shared" si="67"/>
        <v>0</v>
      </c>
      <c r="AJ100" t="b">
        <f t="shared" si="68"/>
        <v>0</v>
      </c>
      <c r="AK100" t="b">
        <f t="shared" si="69"/>
        <v>0</v>
      </c>
      <c r="AM100" t="str">
        <f>IF(ISBLANK('Dry_Litterbag Placem_Collection'!J99),"","G"&amp;""&amp;'Dry_Litterbag Placem_Collection'!J99)</f>
        <v>G432</v>
      </c>
      <c r="AN100" t="str">
        <f>IF(ISBLANK('Dry_Litterbag Placem_Collection'!K99),"","R"&amp;""&amp;'Dry_Litterbag Placem_Collection'!K99)</f>
        <v>R801</v>
      </c>
      <c r="AO100" t="b">
        <f t="shared" si="70"/>
        <v>0</v>
      </c>
      <c r="AP100" t="b">
        <f t="shared" si="71"/>
        <v>0</v>
      </c>
      <c r="AS100" t="str">
        <f>'Ashed teabags dry'!A98</f>
        <v>G224</v>
      </c>
      <c r="AT100" t="str">
        <f>'Ashed teabags dry'!A433</f>
        <v>R350</v>
      </c>
      <c r="AU100" t="b">
        <f t="shared" si="72"/>
        <v>0</v>
      </c>
      <c r="AV100" t="b">
        <f>COUNTIF($AT$4:$AT$2000, AT100)&gt;1</f>
        <v>0</v>
      </c>
      <c r="AX100" s="395" t="b">
        <f t="shared" si="73"/>
        <v>0</v>
      </c>
      <c r="AY100" s="395" t="b">
        <f t="shared" si="74"/>
        <v>0</v>
      </c>
      <c r="BA100" t="str">
        <f>'Ashed teabags wet'!A98</f>
        <v>G489</v>
      </c>
      <c r="BB100" t="str">
        <f>'Ashed teabags wet'!A518</f>
        <v>R250</v>
      </c>
      <c r="BC100" t="b">
        <f t="shared" si="75"/>
        <v>0</v>
      </c>
      <c r="BD100" t="b">
        <f t="shared" si="55"/>
        <v>0</v>
      </c>
      <c r="BF100" t="str">
        <f t="shared" si="76"/>
        <v>G221</v>
      </c>
      <c r="BG100" t="str">
        <f>T99</f>
        <v>G221</v>
      </c>
      <c r="BH100" t="str">
        <f t="shared" si="77"/>
        <v>G244</v>
      </c>
      <c r="BI100" t="str">
        <f t="shared" si="91"/>
        <v>G244</v>
      </c>
      <c r="BJ100" t="s">
        <v>1829</v>
      </c>
      <c r="BK100" t="s">
        <v>1829</v>
      </c>
      <c r="BL100" t="s">
        <v>1829</v>
      </c>
      <c r="BM100" t="b">
        <f t="shared" si="92"/>
        <v>1</v>
      </c>
      <c r="BN100" t="str">
        <f t="shared" si="78"/>
        <v>R348</v>
      </c>
      <c r="BO100" t="str">
        <f>U99</f>
        <v>R348</v>
      </c>
      <c r="BP100" t="str">
        <f t="shared" si="79"/>
        <v>R737</v>
      </c>
      <c r="BQ100" t="str">
        <f t="shared" si="80"/>
        <v>R737</v>
      </c>
      <c r="BR100" t="s">
        <v>793</v>
      </c>
      <c r="BS100" t="s">
        <v>793</v>
      </c>
      <c r="BT100" t="s">
        <v>793</v>
      </c>
      <c r="BU100" t="b">
        <f t="shared" si="93"/>
        <v>1</v>
      </c>
      <c r="BZ100" t="str">
        <f t="shared" si="81"/>
        <v>G244</v>
      </c>
      <c r="CA100" t="b">
        <f t="shared" si="82"/>
        <v>0</v>
      </c>
      <c r="CB100" t="str">
        <f t="shared" si="94"/>
        <v>G244</v>
      </c>
      <c r="CC100" t="str">
        <f t="shared" si="83"/>
        <v>R737</v>
      </c>
      <c r="CD100" t="b">
        <f t="shared" si="95"/>
        <v>0</v>
      </c>
      <c r="CE100" t="str">
        <f t="shared" si="96"/>
        <v>R737</v>
      </c>
      <c r="CG100" t="str">
        <f t="shared" si="84"/>
        <v>G486</v>
      </c>
      <c r="CH100" t="str">
        <f t="shared" si="97"/>
        <v>G486</v>
      </c>
      <c r="CI100" t="str">
        <f>AE99</f>
        <v>G479</v>
      </c>
      <c r="CJ100" t="str">
        <f t="shared" si="85"/>
        <v>G479</v>
      </c>
      <c r="CK100" t="s">
        <v>1564</v>
      </c>
      <c r="CL100" t="s">
        <v>1564</v>
      </c>
      <c r="CM100" t="s">
        <v>1564</v>
      </c>
      <c r="CN100" t="b">
        <f t="shared" si="98"/>
        <v>1</v>
      </c>
      <c r="CO100" t="str">
        <f t="shared" si="86"/>
        <v>R25</v>
      </c>
      <c r="CP100" t="str">
        <f t="shared" si="99"/>
        <v>R25</v>
      </c>
      <c r="CQ100" t="str">
        <f>AF99</f>
        <v>R318</v>
      </c>
      <c r="CR100" t="str">
        <f t="shared" si="87"/>
        <v>R318</v>
      </c>
      <c r="CS100" t="s">
        <v>1116</v>
      </c>
      <c r="CT100" t="s">
        <v>1116</v>
      </c>
      <c r="CU100" t="s">
        <v>1116</v>
      </c>
      <c r="CV100" t="b">
        <f t="shared" si="100"/>
        <v>1</v>
      </c>
      <c r="DC100" t="str">
        <f t="shared" si="88"/>
        <v>G479</v>
      </c>
      <c r="DD100" t="b">
        <f t="shared" si="101"/>
        <v>0</v>
      </c>
      <c r="DE100" t="str">
        <f t="shared" si="102"/>
        <v>G479</v>
      </c>
      <c r="DF100" t="str">
        <f t="shared" si="89"/>
        <v>R318</v>
      </c>
      <c r="DG100" t="b">
        <f t="shared" si="103"/>
        <v>0</v>
      </c>
      <c r="DH100" t="str">
        <f t="shared" si="104"/>
        <v>R318</v>
      </c>
    </row>
    <row r="101" spans="2:112" ht="12" customHeight="1">
      <c r="B101" t="str">
        <f>TBIDry!H173</f>
        <v>G184</v>
      </c>
      <c r="C101" t="str">
        <f>TBIDry!I173</f>
        <v>R808</v>
      </c>
      <c r="D101" t="b">
        <f t="shared" si="56"/>
        <v>0</v>
      </c>
      <c r="E101" t="b">
        <f t="shared" si="57"/>
        <v>0</v>
      </c>
      <c r="G101" t="str">
        <f>TBIWet!H173</f>
        <v>G610</v>
      </c>
      <c r="H101" t="str">
        <f>TBIWet!I173</f>
        <v>R489</v>
      </c>
      <c r="I101" t="b">
        <f t="shared" si="58"/>
        <v>0</v>
      </c>
      <c r="J101" t="b">
        <f t="shared" si="59"/>
        <v>0</v>
      </c>
      <c r="L101" t="str">
        <f>'Both teabags AfterWet'!A99</f>
        <v>G491</v>
      </c>
      <c r="M101" t="str">
        <f>'Both teabags AfterWet'!A519</f>
        <v>R251</v>
      </c>
      <c r="N101" t="b">
        <f t="shared" si="60"/>
        <v>0</v>
      </c>
      <c r="O101" t="b">
        <f t="shared" si="105"/>
        <v>0</v>
      </c>
      <c r="Q101" s="395" t="b">
        <f t="shared" si="61"/>
        <v>0</v>
      </c>
      <c r="R101" s="395" t="b">
        <f t="shared" si="62"/>
        <v>0</v>
      </c>
      <c r="T101" t="str">
        <f>'Both teabags AfterDry'!A99</f>
        <v>G225</v>
      </c>
      <c r="U101" t="str">
        <f>'Both teabags AfterDry'!A434</f>
        <v>R352</v>
      </c>
      <c r="V101" t="b">
        <f t="shared" si="63"/>
        <v>0</v>
      </c>
      <c r="W101" t="b">
        <f t="shared" si="90"/>
        <v>0</v>
      </c>
      <c r="Y101" t="str">
        <f>'Green_rooibos initial weight'!A102</f>
        <v>G98</v>
      </c>
      <c r="Z101" t="str">
        <f>'Green_rooibos initial weight'!A1006</f>
        <v>R98</v>
      </c>
      <c r="AA101" t="b">
        <f t="shared" si="64"/>
        <v>0</v>
      </c>
      <c r="AB101" t="b">
        <f t="shared" si="65"/>
        <v>0</v>
      </c>
      <c r="AE101" t="str">
        <f>'WetLitterbags placem_collection'!K100</f>
        <v>G610</v>
      </c>
      <c r="AF101" t="str">
        <f>'WetLitterbags placem_collection'!M100</f>
        <v>R489</v>
      </c>
      <c r="AG101" t="b">
        <f t="shared" si="66"/>
        <v>0</v>
      </c>
      <c r="AH101" t="b">
        <f t="shared" si="67"/>
        <v>0</v>
      </c>
      <c r="AJ101" t="b">
        <f t="shared" si="68"/>
        <v>0</v>
      </c>
      <c r="AK101" t="b">
        <f t="shared" si="69"/>
        <v>0</v>
      </c>
      <c r="AM101" t="str">
        <f>IF(ISBLANK('Dry_Litterbag Placem_Collection'!J100),"","G"&amp;""&amp;'Dry_Litterbag Placem_Collection'!J100)</f>
        <v>G184</v>
      </c>
      <c r="AN101" t="str">
        <f>IF(ISBLANK('Dry_Litterbag Placem_Collection'!K100),"","R"&amp;""&amp;'Dry_Litterbag Placem_Collection'!K100)</f>
        <v>R808</v>
      </c>
      <c r="AO101" t="b">
        <f t="shared" si="70"/>
        <v>0</v>
      </c>
      <c r="AP101" t="b">
        <f t="shared" si="71"/>
        <v>0</v>
      </c>
      <c r="AS101" t="str">
        <f>'Ashed teabags dry'!A99</f>
        <v>G225</v>
      </c>
      <c r="AT101" t="str">
        <f>'Ashed teabags dry'!A434</f>
        <v>R352</v>
      </c>
      <c r="AU101" t="b">
        <f t="shared" si="72"/>
        <v>0</v>
      </c>
      <c r="AV101" t="b">
        <f>COUNTIF($AT$4:$AT$2000, AT101)&gt;1</f>
        <v>0</v>
      </c>
      <c r="AX101" s="395" t="b">
        <f t="shared" si="73"/>
        <v>0</v>
      </c>
      <c r="AY101" s="395" t="b">
        <f t="shared" si="74"/>
        <v>0</v>
      </c>
      <c r="BA101" t="str">
        <f>'Ashed teabags wet'!A99</f>
        <v>G491</v>
      </c>
      <c r="BB101" t="str">
        <f>'Ashed teabags wet'!A519</f>
        <v>R251</v>
      </c>
      <c r="BC101" t="b">
        <f t="shared" si="75"/>
        <v>0</v>
      </c>
      <c r="BD101" t="b">
        <f t="shared" si="55"/>
        <v>0</v>
      </c>
      <c r="BF101" t="str">
        <f t="shared" si="76"/>
        <v>G224</v>
      </c>
      <c r="BG101" t="str">
        <f>T100</f>
        <v>G224</v>
      </c>
      <c r="BH101" t="str">
        <f t="shared" si="77"/>
        <v>G432</v>
      </c>
      <c r="BI101" t="str">
        <f t="shared" si="91"/>
        <v/>
      </c>
      <c r="BJ101" t="s">
        <v>1826</v>
      </c>
      <c r="BK101" t="s">
        <v>1826</v>
      </c>
      <c r="BL101" t="s">
        <v>1826</v>
      </c>
      <c r="BM101" t="b">
        <f t="shared" si="92"/>
        <v>1</v>
      </c>
      <c r="BN101" t="str">
        <f t="shared" si="78"/>
        <v>R350</v>
      </c>
      <c r="BO101" t="str">
        <f>U100</f>
        <v>R350</v>
      </c>
      <c r="BP101" t="str">
        <f t="shared" si="79"/>
        <v>R801</v>
      </c>
      <c r="BQ101" t="str">
        <f t="shared" si="80"/>
        <v/>
      </c>
      <c r="BR101" t="s">
        <v>791</v>
      </c>
      <c r="BS101" t="s">
        <v>791</v>
      </c>
      <c r="BT101" t="s">
        <v>791</v>
      </c>
      <c r="BU101" t="b">
        <f t="shared" si="93"/>
        <v>1</v>
      </c>
      <c r="BZ101" t="str">
        <f t="shared" si="81"/>
        <v>G432</v>
      </c>
      <c r="CA101" t="b">
        <f t="shared" si="82"/>
        <v>1</v>
      </c>
      <c r="CB101" t="str">
        <f t="shared" si="94"/>
        <v/>
      </c>
      <c r="CC101" t="str">
        <f t="shared" si="83"/>
        <v>R801</v>
      </c>
      <c r="CD101" t="b">
        <f t="shared" si="95"/>
        <v>1</v>
      </c>
      <c r="CE101" t="str">
        <f t="shared" si="96"/>
        <v/>
      </c>
      <c r="CG101" t="str">
        <f t="shared" si="84"/>
        <v>G489</v>
      </c>
      <c r="CH101" t="str">
        <f t="shared" si="97"/>
        <v>G489</v>
      </c>
      <c r="CI101" t="str">
        <f>AE100</f>
        <v>G741</v>
      </c>
      <c r="CJ101" t="str">
        <f t="shared" si="85"/>
        <v>G741</v>
      </c>
      <c r="CK101" t="s">
        <v>1561</v>
      </c>
      <c r="CL101" t="s">
        <v>1561</v>
      </c>
      <c r="CM101" t="s">
        <v>1561</v>
      </c>
      <c r="CN101" t="b">
        <f t="shared" si="98"/>
        <v>1</v>
      </c>
      <c r="CO101" t="str">
        <f t="shared" si="86"/>
        <v>R250</v>
      </c>
      <c r="CP101" t="str">
        <f t="shared" si="99"/>
        <v>R250</v>
      </c>
      <c r="CQ101" t="str">
        <f>AF100</f>
        <v>R518</v>
      </c>
      <c r="CR101" t="str">
        <f t="shared" si="87"/>
        <v>R518</v>
      </c>
      <c r="CS101" t="s">
        <v>891</v>
      </c>
      <c r="CT101" t="s">
        <v>891</v>
      </c>
      <c r="CU101" t="s">
        <v>891</v>
      </c>
      <c r="CV101" t="b">
        <f t="shared" si="100"/>
        <v>1</v>
      </c>
      <c r="DC101" t="str">
        <f t="shared" si="88"/>
        <v>G741</v>
      </c>
      <c r="DD101" t="b">
        <f t="shared" si="101"/>
        <v>0</v>
      </c>
      <c r="DE101" t="str">
        <f t="shared" si="102"/>
        <v>G741</v>
      </c>
      <c r="DF101" t="str">
        <f t="shared" si="89"/>
        <v>R518</v>
      </c>
      <c r="DG101" t="b">
        <f t="shared" si="103"/>
        <v>0</v>
      </c>
      <c r="DH101" t="str">
        <f t="shared" si="104"/>
        <v>R518</v>
      </c>
    </row>
    <row r="102" spans="2:112" ht="12" customHeight="1">
      <c r="B102" t="str">
        <f>TBIDry!H174</f>
        <v/>
      </c>
      <c r="C102" t="str">
        <f>TBIDry!I174</f>
        <v/>
      </c>
      <c r="D102" t="b">
        <f t="shared" si="56"/>
        <v>1</v>
      </c>
      <c r="E102" t="b">
        <f t="shared" si="57"/>
        <v>1</v>
      </c>
      <c r="G102" t="str">
        <f>TBIWet!H174</f>
        <v>G765</v>
      </c>
      <c r="H102" t="str">
        <f>TBIWet!I174</f>
        <v>R549</v>
      </c>
      <c r="I102" t="b">
        <f t="shared" si="58"/>
        <v>0</v>
      </c>
      <c r="J102" t="b">
        <f t="shared" si="59"/>
        <v>0</v>
      </c>
      <c r="L102" t="str">
        <f>'Both teabags AfterWet'!A100</f>
        <v>G492</v>
      </c>
      <c r="M102" t="str">
        <f>'Both teabags AfterWet'!A520</f>
        <v>R252</v>
      </c>
      <c r="N102" t="b">
        <f t="shared" si="60"/>
        <v>0</v>
      </c>
      <c r="O102" t="b">
        <f t="shared" si="105"/>
        <v>0</v>
      </c>
      <c r="Q102" s="395" t="b">
        <f t="shared" si="61"/>
        <v>0</v>
      </c>
      <c r="R102" s="395" t="b">
        <f t="shared" si="62"/>
        <v>0</v>
      </c>
      <c r="T102" t="str">
        <f>'Both teabags AfterDry'!A100</f>
        <v>G226</v>
      </c>
      <c r="U102" t="str">
        <f>'Both teabags AfterDry'!A435</f>
        <v>R357</v>
      </c>
      <c r="V102" t="b">
        <f t="shared" si="63"/>
        <v>0</v>
      </c>
      <c r="W102" t="b">
        <f t="shared" si="90"/>
        <v>0</v>
      </c>
      <c r="Y102" t="str">
        <f>'Green_rooibos initial weight'!A103</f>
        <v>G99</v>
      </c>
      <c r="Z102" t="str">
        <f>'Green_rooibos initial weight'!A1007</f>
        <v>R99</v>
      </c>
      <c r="AA102" t="b">
        <f t="shared" si="64"/>
        <v>0</v>
      </c>
      <c r="AB102" t="b">
        <f t="shared" si="65"/>
        <v>0</v>
      </c>
      <c r="AE102" t="str">
        <f>'WetLitterbags placem_collection'!K101</f>
        <v>G765</v>
      </c>
      <c r="AF102" t="str">
        <f>'WetLitterbags placem_collection'!M101</f>
        <v>R549</v>
      </c>
      <c r="AG102" t="b">
        <f t="shared" si="66"/>
        <v>0</v>
      </c>
      <c r="AH102" t="b">
        <f t="shared" si="67"/>
        <v>0</v>
      </c>
      <c r="AJ102" t="b">
        <f t="shared" si="68"/>
        <v>0</v>
      </c>
      <c r="AK102" t="b">
        <f t="shared" si="69"/>
        <v>0</v>
      </c>
      <c r="AM102" t="str">
        <f>IF(ISBLANK('Dry_Litterbag Placem_Collection'!J101),"","G"&amp;""&amp;'Dry_Litterbag Placem_Collection'!J101)</f>
        <v/>
      </c>
      <c r="AN102" t="str">
        <f>IF(ISBLANK('Dry_Litterbag Placem_Collection'!K101),"","R"&amp;""&amp;'Dry_Litterbag Placem_Collection'!K101)</f>
        <v/>
      </c>
      <c r="AO102" t="b">
        <f t="shared" si="70"/>
        <v>1</v>
      </c>
      <c r="AP102" t="b">
        <f t="shared" si="71"/>
        <v>1</v>
      </c>
      <c r="AS102" t="str">
        <f>'Ashed teabags dry'!A100</f>
        <v>G226</v>
      </c>
      <c r="AT102" t="str">
        <f>'Ashed teabags dry'!A435</f>
        <v>R357</v>
      </c>
      <c r="AU102" t="b">
        <f t="shared" si="72"/>
        <v>0</v>
      </c>
      <c r="AV102" t="b">
        <f>COUNTIF($AT$4:$AT$2000, AT102)&gt;1</f>
        <v>0</v>
      </c>
      <c r="AX102" s="395" t="b">
        <f t="shared" si="73"/>
        <v>0</v>
      </c>
      <c r="AY102" s="395" t="b">
        <f t="shared" si="74"/>
        <v>0</v>
      </c>
      <c r="BA102" t="str">
        <f>'Ashed teabags wet'!A100</f>
        <v>G492</v>
      </c>
      <c r="BB102" t="str">
        <f>'Ashed teabags wet'!A520</f>
        <v>R252</v>
      </c>
      <c r="BC102" t="b">
        <f t="shared" si="75"/>
        <v>0</v>
      </c>
      <c r="BD102" t="b">
        <f t="shared" si="55"/>
        <v>0</v>
      </c>
      <c r="BF102" t="str">
        <f t="shared" si="76"/>
        <v>G225</v>
      </c>
      <c r="BG102" t="str">
        <f>T101</f>
        <v>G225</v>
      </c>
      <c r="BH102" t="str">
        <f t="shared" si="77"/>
        <v>G184</v>
      </c>
      <c r="BI102" t="str">
        <f t="shared" si="91"/>
        <v>G184</v>
      </c>
      <c r="BJ102" t="s">
        <v>1825</v>
      </c>
      <c r="BK102" t="s">
        <v>1825</v>
      </c>
      <c r="BL102" t="s">
        <v>1825</v>
      </c>
      <c r="BM102" t="b">
        <f t="shared" si="92"/>
        <v>1</v>
      </c>
      <c r="BN102" t="str">
        <f t="shared" si="78"/>
        <v>R352</v>
      </c>
      <c r="BO102" t="str">
        <f>U101</f>
        <v>R352</v>
      </c>
      <c r="BP102" t="str">
        <f t="shared" si="79"/>
        <v>R808</v>
      </c>
      <c r="BQ102" t="str">
        <f t="shared" si="80"/>
        <v>R808</v>
      </c>
      <c r="BR102" t="s">
        <v>789</v>
      </c>
      <c r="BS102" t="s">
        <v>789</v>
      </c>
      <c r="BT102" t="s">
        <v>789</v>
      </c>
      <c r="BU102" t="b">
        <f t="shared" si="93"/>
        <v>1</v>
      </c>
      <c r="BZ102" t="str">
        <f t="shared" si="81"/>
        <v>G184</v>
      </c>
      <c r="CA102" t="b">
        <f t="shared" si="82"/>
        <v>0</v>
      </c>
      <c r="CB102" t="str">
        <f t="shared" si="94"/>
        <v>G184</v>
      </c>
      <c r="CC102" t="str">
        <f t="shared" si="83"/>
        <v>R808</v>
      </c>
      <c r="CD102" t="b">
        <f t="shared" si="95"/>
        <v>0</v>
      </c>
      <c r="CE102" t="str">
        <f t="shared" si="96"/>
        <v>R808</v>
      </c>
      <c r="CG102" t="str">
        <f t="shared" si="84"/>
        <v>G491</v>
      </c>
      <c r="CH102" t="str">
        <f t="shared" si="97"/>
        <v>G491</v>
      </c>
      <c r="CI102" t="str">
        <f>AE101</f>
        <v>G610</v>
      </c>
      <c r="CJ102" t="str">
        <f t="shared" si="85"/>
        <v>G610</v>
      </c>
      <c r="CK102" t="s">
        <v>1559</v>
      </c>
      <c r="CL102" t="s">
        <v>1559</v>
      </c>
      <c r="CM102" t="s">
        <v>1559</v>
      </c>
      <c r="CN102" t="b">
        <f t="shared" si="98"/>
        <v>1</v>
      </c>
      <c r="CO102" t="str">
        <f t="shared" si="86"/>
        <v>R251</v>
      </c>
      <c r="CP102" t="str">
        <f t="shared" si="99"/>
        <v>R251</v>
      </c>
      <c r="CQ102" t="str">
        <f>AF101</f>
        <v>R489</v>
      </c>
      <c r="CR102" t="str">
        <f t="shared" si="87"/>
        <v>R489</v>
      </c>
      <c r="CS102" t="s">
        <v>890</v>
      </c>
      <c r="CT102" t="s">
        <v>890</v>
      </c>
      <c r="CU102" t="s">
        <v>890</v>
      </c>
      <c r="CV102" t="b">
        <f t="shared" si="100"/>
        <v>1</v>
      </c>
      <c r="DC102" t="str">
        <f t="shared" si="88"/>
        <v>G610</v>
      </c>
      <c r="DD102" t="b">
        <f t="shared" si="101"/>
        <v>0</v>
      </c>
      <c r="DE102" t="str">
        <f t="shared" si="102"/>
        <v>G610</v>
      </c>
      <c r="DF102" t="str">
        <f t="shared" si="89"/>
        <v>R489</v>
      </c>
      <c r="DG102" t="b">
        <f t="shared" si="103"/>
        <v>0</v>
      </c>
      <c r="DH102" t="str">
        <f t="shared" si="104"/>
        <v>R489</v>
      </c>
    </row>
    <row r="103" spans="2:112" ht="12" customHeight="1">
      <c r="B103" t="str">
        <f>TBIDry!H175</f>
        <v>G176</v>
      </c>
      <c r="C103" t="str">
        <f>TBIDry!I175</f>
        <v>R276</v>
      </c>
      <c r="D103" t="b">
        <f t="shared" si="56"/>
        <v>0</v>
      </c>
      <c r="E103" t="b">
        <f t="shared" si="57"/>
        <v>0</v>
      </c>
      <c r="G103" t="str">
        <f>TBIWet!H175</f>
        <v>G728</v>
      </c>
      <c r="H103" t="str">
        <f>TBIWet!I175</f>
        <v>R500</v>
      </c>
      <c r="I103" t="b">
        <f t="shared" si="58"/>
        <v>0</v>
      </c>
      <c r="J103" t="b">
        <f t="shared" si="59"/>
        <v>0</v>
      </c>
      <c r="L103" t="str">
        <f>'Both teabags AfterWet'!A101</f>
        <v>G494</v>
      </c>
      <c r="M103" t="str">
        <f>'Both teabags AfterWet'!A521</f>
        <v>R253</v>
      </c>
      <c r="N103" t="b">
        <f t="shared" si="60"/>
        <v>0</v>
      </c>
      <c r="O103" t="b">
        <f t="shared" si="105"/>
        <v>0</v>
      </c>
      <c r="Q103" s="395" t="b">
        <f t="shared" si="61"/>
        <v>0</v>
      </c>
      <c r="R103" s="395" t="b">
        <f t="shared" si="62"/>
        <v>0</v>
      </c>
      <c r="T103" t="str">
        <f>'Both teabags AfterDry'!A101</f>
        <v>G227</v>
      </c>
      <c r="U103" t="str">
        <f>'Both teabags AfterDry'!A436</f>
        <v>R36</v>
      </c>
      <c r="V103" t="b">
        <f t="shared" si="63"/>
        <v>0</v>
      </c>
      <c r="W103" t="b">
        <f t="shared" si="90"/>
        <v>0</v>
      </c>
      <c r="Y103" t="str">
        <f>'Green_rooibos initial weight'!A104</f>
        <v>G100</v>
      </c>
      <c r="Z103" t="str">
        <f>'Green_rooibos initial weight'!A1008</f>
        <v>R100</v>
      </c>
      <c r="AA103" t="b">
        <f t="shared" si="64"/>
        <v>0</v>
      </c>
      <c r="AB103" t="b">
        <f t="shared" si="65"/>
        <v>0</v>
      </c>
      <c r="AE103" t="str">
        <f>'WetLitterbags placem_collection'!K102</f>
        <v>G728</v>
      </c>
      <c r="AF103" t="str">
        <f>'WetLitterbags placem_collection'!M102</f>
        <v>R500</v>
      </c>
      <c r="AG103" t="b">
        <f t="shared" si="66"/>
        <v>0</v>
      </c>
      <c r="AH103" t="b">
        <f t="shared" si="67"/>
        <v>0</v>
      </c>
      <c r="AJ103" t="b">
        <f t="shared" si="68"/>
        <v>0</v>
      </c>
      <c r="AK103" t="b">
        <f t="shared" si="69"/>
        <v>0</v>
      </c>
      <c r="AM103" t="str">
        <f>IF(ISBLANK('Dry_Litterbag Placem_Collection'!J102),"","G"&amp;""&amp;'Dry_Litterbag Placem_Collection'!J102)</f>
        <v>G176</v>
      </c>
      <c r="AN103" t="str">
        <f>IF(ISBLANK('Dry_Litterbag Placem_Collection'!K102),"","R"&amp;""&amp;'Dry_Litterbag Placem_Collection'!K102)</f>
        <v>R276</v>
      </c>
      <c r="AO103" t="b">
        <f t="shared" si="70"/>
        <v>0</v>
      </c>
      <c r="AP103" t="b">
        <f t="shared" si="71"/>
        <v>0</v>
      </c>
      <c r="AS103" t="str">
        <f>'Ashed teabags dry'!A101</f>
        <v>G227</v>
      </c>
      <c r="AT103" t="str">
        <f>'Ashed teabags dry'!A436</f>
        <v>R36</v>
      </c>
      <c r="AU103" t="b">
        <f t="shared" si="72"/>
        <v>0</v>
      </c>
      <c r="AV103" t="b">
        <f>COUNTIF($AT$4:$AT$2000, AT103)&gt;1</f>
        <v>0</v>
      </c>
      <c r="AX103" s="395" t="b">
        <f t="shared" si="73"/>
        <v>0</v>
      </c>
      <c r="AY103" s="395" t="b">
        <f t="shared" si="74"/>
        <v>0</v>
      </c>
      <c r="BA103" t="str">
        <f>'Ashed teabags wet'!A101</f>
        <v>G494</v>
      </c>
      <c r="BB103" t="str">
        <f>'Ashed teabags wet'!A521</f>
        <v>R253</v>
      </c>
      <c r="BC103" t="b">
        <f t="shared" si="75"/>
        <v>0</v>
      </c>
      <c r="BD103" t="b">
        <f t="shared" si="55"/>
        <v>0</v>
      </c>
      <c r="BF103" t="str">
        <f t="shared" si="76"/>
        <v>G226</v>
      </c>
      <c r="BG103" t="str">
        <f>T102</f>
        <v>G226</v>
      </c>
      <c r="BH103" t="str">
        <f t="shared" si="77"/>
        <v/>
      </c>
      <c r="BI103" t="str">
        <f t="shared" si="91"/>
        <v/>
      </c>
      <c r="BJ103" t="s">
        <v>1824</v>
      </c>
      <c r="BK103" t="s">
        <v>1824</v>
      </c>
      <c r="BL103" t="s">
        <v>1824</v>
      </c>
      <c r="BM103" t="b">
        <f t="shared" si="92"/>
        <v>1</v>
      </c>
      <c r="BN103" t="str">
        <f t="shared" si="78"/>
        <v>R357</v>
      </c>
      <c r="BO103" t="str">
        <f>U102</f>
        <v>R357</v>
      </c>
      <c r="BP103" t="str">
        <f t="shared" si="79"/>
        <v/>
      </c>
      <c r="BQ103" t="str">
        <f t="shared" si="80"/>
        <v/>
      </c>
      <c r="BR103" t="s">
        <v>784</v>
      </c>
      <c r="BS103" t="s">
        <v>784</v>
      </c>
      <c r="BT103" t="s">
        <v>784</v>
      </c>
      <c r="BU103" t="b">
        <f t="shared" si="93"/>
        <v>1</v>
      </c>
      <c r="BZ103" t="str">
        <f t="shared" si="81"/>
        <v/>
      </c>
      <c r="CA103" t="b">
        <f t="shared" si="82"/>
        <v>0</v>
      </c>
      <c r="CB103" t="str">
        <f t="shared" si="94"/>
        <v/>
      </c>
      <c r="CC103" t="str">
        <f t="shared" si="83"/>
        <v/>
      </c>
      <c r="CD103" t="b">
        <f t="shared" si="95"/>
        <v>0</v>
      </c>
      <c r="CE103" t="str">
        <f t="shared" si="96"/>
        <v/>
      </c>
      <c r="CG103" t="str">
        <f t="shared" si="84"/>
        <v>G492</v>
      </c>
      <c r="CH103" t="str">
        <f t="shared" si="97"/>
        <v>G492</v>
      </c>
      <c r="CI103" t="str">
        <f>AE102</f>
        <v>G765</v>
      </c>
      <c r="CJ103" t="str">
        <f t="shared" si="85"/>
        <v>G765</v>
      </c>
      <c r="CK103" t="s">
        <v>1558</v>
      </c>
      <c r="CL103" t="s">
        <v>1558</v>
      </c>
      <c r="CM103" t="s">
        <v>1558</v>
      </c>
      <c r="CN103" t="b">
        <f t="shared" si="98"/>
        <v>1</v>
      </c>
      <c r="CO103" t="str">
        <f t="shared" si="86"/>
        <v>R252</v>
      </c>
      <c r="CP103" t="str">
        <f t="shared" si="99"/>
        <v>R252</v>
      </c>
      <c r="CQ103" t="str">
        <f>AF102</f>
        <v>R549</v>
      </c>
      <c r="CR103" t="str">
        <f t="shared" si="87"/>
        <v>R549</v>
      </c>
      <c r="CS103" t="s">
        <v>889</v>
      </c>
      <c r="CT103" t="s">
        <v>889</v>
      </c>
      <c r="CU103" t="s">
        <v>889</v>
      </c>
      <c r="CV103" t="b">
        <f t="shared" si="100"/>
        <v>1</v>
      </c>
      <c r="DC103" t="str">
        <f t="shared" si="88"/>
        <v>G765</v>
      </c>
      <c r="DD103" t="b">
        <f t="shared" si="101"/>
        <v>0</v>
      </c>
      <c r="DE103" t="str">
        <f t="shared" si="102"/>
        <v>G765</v>
      </c>
      <c r="DF103" t="str">
        <f t="shared" si="89"/>
        <v>R549</v>
      </c>
      <c r="DG103" t="b">
        <f t="shared" si="103"/>
        <v>0</v>
      </c>
      <c r="DH103" t="str">
        <f t="shared" si="104"/>
        <v>R549</v>
      </c>
    </row>
    <row r="104" spans="2:112" ht="12" customHeight="1">
      <c r="B104" t="str">
        <f>TBIDry!H176</f>
        <v>G11</v>
      </c>
      <c r="C104" t="str">
        <f>TBIDry!I176</f>
        <v>R624</v>
      </c>
      <c r="D104" t="b">
        <f t="shared" si="56"/>
        <v>0</v>
      </c>
      <c r="E104" t="b">
        <f t="shared" si="57"/>
        <v>0</v>
      </c>
      <c r="G104" t="str">
        <f>TBIWet!H176</f>
        <v>G808</v>
      </c>
      <c r="H104" t="str">
        <f>TBIWet!I176</f>
        <v>R482</v>
      </c>
      <c r="I104" t="b">
        <f t="shared" si="58"/>
        <v>0</v>
      </c>
      <c r="J104" t="b">
        <f t="shared" si="59"/>
        <v>0</v>
      </c>
      <c r="L104" t="str">
        <f>'Both teabags AfterWet'!A102</f>
        <v>G496</v>
      </c>
      <c r="M104" t="str">
        <f>'Both teabags AfterWet'!A522</f>
        <v>R255</v>
      </c>
      <c r="N104" t="b">
        <f t="shared" si="60"/>
        <v>0</v>
      </c>
      <c r="O104" t="b">
        <f t="shared" si="105"/>
        <v>0</v>
      </c>
      <c r="Q104" s="395" t="b">
        <f t="shared" si="61"/>
        <v>0</v>
      </c>
      <c r="R104" s="395" t="b">
        <f t="shared" si="62"/>
        <v>0</v>
      </c>
      <c r="T104" t="str">
        <f>'Both teabags AfterDry'!A102</f>
        <v>G228</v>
      </c>
      <c r="U104" t="str">
        <f>'Both teabags AfterDry'!A437</f>
        <v>R361</v>
      </c>
      <c r="V104" t="b">
        <f t="shared" si="63"/>
        <v>0</v>
      </c>
      <c r="W104" t="b">
        <f t="shared" si="90"/>
        <v>0</v>
      </c>
      <c r="Y104" t="str">
        <f>'Green_rooibos initial weight'!A105</f>
        <v>G101</v>
      </c>
      <c r="Z104" t="str">
        <f>'Green_rooibos initial weight'!A1009</f>
        <v>R101</v>
      </c>
      <c r="AA104" t="b">
        <f t="shared" si="64"/>
        <v>0</v>
      </c>
      <c r="AB104" t="b">
        <f t="shared" si="65"/>
        <v>0</v>
      </c>
      <c r="AE104" t="str">
        <f>'WetLitterbags placem_collection'!K103</f>
        <v>G808</v>
      </c>
      <c r="AF104" t="str">
        <f>'WetLitterbags placem_collection'!M103</f>
        <v>R482</v>
      </c>
      <c r="AG104" t="b">
        <f t="shared" si="66"/>
        <v>0</v>
      </c>
      <c r="AH104" t="b">
        <f t="shared" si="67"/>
        <v>0</v>
      </c>
      <c r="AJ104" t="b">
        <f t="shared" si="68"/>
        <v>0</v>
      </c>
      <c r="AK104" t="b">
        <f t="shared" si="69"/>
        <v>0</v>
      </c>
      <c r="AM104" t="str">
        <f>IF(ISBLANK('Dry_Litterbag Placem_Collection'!J103),"","G"&amp;""&amp;'Dry_Litterbag Placem_Collection'!J103)</f>
        <v>G11</v>
      </c>
      <c r="AN104" t="str">
        <f>IF(ISBLANK('Dry_Litterbag Placem_Collection'!K103),"","R"&amp;""&amp;'Dry_Litterbag Placem_Collection'!K103)</f>
        <v>R624</v>
      </c>
      <c r="AO104" t="b">
        <f t="shared" si="70"/>
        <v>0</v>
      </c>
      <c r="AP104" t="b">
        <f t="shared" si="71"/>
        <v>0</v>
      </c>
      <c r="AS104" t="str">
        <f>'Ashed teabags dry'!A102</f>
        <v>G228</v>
      </c>
      <c r="AT104" t="str">
        <f>'Ashed teabags dry'!A437</f>
        <v>R361</v>
      </c>
      <c r="AU104" t="b">
        <f t="shared" si="72"/>
        <v>0</v>
      </c>
      <c r="AV104" t="b">
        <f>COUNTIF($AT$4:$AT$2000, AT104)&gt;1</f>
        <v>0</v>
      </c>
      <c r="AX104" s="395" t="b">
        <f t="shared" si="73"/>
        <v>0</v>
      </c>
      <c r="AY104" s="395" t="b">
        <f t="shared" si="74"/>
        <v>0</v>
      </c>
      <c r="BA104" t="str">
        <f>'Ashed teabags wet'!A102</f>
        <v>G496</v>
      </c>
      <c r="BB104" t="str">
        <f>'Ashed teabags wet'!A522</f>
        <v>R255</v>
      </c>
      <c r="BC104" t="b">
        <f t="shared" si="75"/>
        <v>0</v>
      </c>
      <c r="BD104" t="b">
        <f t="shared" si="55"/>
        <v>0</v>
      </c>
      <c r="BF104" t="str">
        <f t="shared" si="76"/>
        <v>G227</v>
      </c>
      <c r="BG104" t="str">
        <f>T103</f>
        <v>G227</v>
      </c>
      <c r="BH104" t="str">
        <f t="shared" si="77"/>
        <v>G176</v>
      </c>
      <c r="BI104" t="str">
        <f t="shared" si="91"/>
        <v>G176</v>
      </c>
      <c r="BJ104" t="s">
        <v>1823</v>
      </c>
      <c r="BK104" t="s">
        <v>1823</v>
      </c>
      <c r="BL104" t="s">
        <v>1823</v>
      </c>
      <c r="BM104" t="b">
        <f t="shared" si="92"/>
        <v>1</v>
      </c>
      <c r="BN104" t="str">
        <f t="shared" si="78"/>
        <v>R36</v>
      </c>
      <c r="BO104" t="str">
        <f>U103</f>
        <v>R36</v>
      </c>
      <c r="BP104" t="str">
        <f t="shared" si="79"/>
        <v>R276</v>
      </c>
      <c r="BQ104" t="str">
        <f t="shared" si="80"/>
        <v>R276</v>
      </c>
      <c r="BR104" t="s">
        <v>1105</v>
      </c>
      <c r="BS104" t="s">
        <v>1105</v>
      </c>
      <c r="BT104" t="s">
        <v>1105</v>
      </c>
      <c r="BU104" t="b">
        <f t="shared" si="93"/>
        <v>1</v>
      </c>
      <c r="BZ104" t="str">
        <f t="shared" si="81"/>
        <v>G176</v>
      </c>
      <c r="CA104" t="b">
        <f t="shared" si="82"/>
        <v>0</v>
      </c>
      <c r="CB104" t="str">
        <f t="shared" si="94"/>
        <v>G176</v>
      </c>
      <c r="CC104" t="str">
        <f t="shared" si="83"/>
        <v>R276</v>
      </c>
      <c r="CD104" t="b">
        <f t="shared" si="95"/>
        <v>0</v>
      </c>
      <c r="CE104" t="str">
        <f t="shared" si="96"/>
        <v>R276</v>
      </c>
      <c r="CG104" t="str">
        <f t="shared" si="84"/>
        <v>G494</v>
      </c>
      <c r="CH104" t="str">
        <f t="shared" si="97"/>
        <v>G494</v>
      </c>
      <c r="CI104" t="str">
        <f>AE103</f>
        <v>G728</v>
      </c>
      <c r="CJ104" t="str">
        <f t="shared" si="85"/>
        <v>G728</v>
      </c>
      <c r="CK104" t="s">
        <v>1556</v>
      </c>
      <c r="CL104" t="s">
        <v>1556</v>
      </c>
      <c r="CM104" t="s">
        <v>1556</v>
      </c>
      <c r="CN104" t="b">
        <f t="shared" si="98"/>
        <v>1</v>
      </c>
      <c r="CO104" t="str">
        <f t="shared" si="86"/>
        <v>R253</v>
      </c>
      <c r="CP104" t="str">
        <f t="shared" si="99"/>
        <v>R253</v>
      </c>
      <c r="CQ104" t="str">
        <f>AF103</f>
        <v>R500</v>
      </c>
      <c r="CR104" t="str">
        <f t="shared" si="87"/>
        <v>R500</v>
      </c>
      <c r="CS104" t="s">
        <v>888</v>
      </c>
      <c r="CT104" t="s">
        <v>888</v>
      </c>
      <c r="CU104" t="s">
        <v>888</v>
      </c>
      <c r="CV104" t="b">
        <f t="shared" si="100"/>
        <v>1</v>
      </c>
      <c r="DC104" t="str">
        <f t="shared" si="88"/>
        <v>G728</v>
      </c>
      <c r="DD104" t="b">
        <f t="shared" si="101"/>
        <v>0</v>
      </c>
      <c r="DE104" t="str">
        <f t="shared" si="102"/>
        <v>G728</v>
      </c>
      <c r="DF104" t="str">
        <f t="shared" si="89"/>
        <v>R500</v>
      </c>
      <c r="DG104" t="b">
        <f t="shared" si="103"/>
        <v>0</v>
      </c>
      <c r="DH104" t="str">
        <f t="shared" si="104"/>
        <v>R500</v>
      </c>
    </row>
    <row r="105" spans="2:112" ht="12" customHeight="1">
      <c r="B105" t="str">
        <f>TBIDry!H177</f>
        <v>G284</v>
      </c>
      <c r="C105" t="str">
        <f>TBIDry!I177</f>
        <v>R781</v>
      </c>
      <c r="D105" t="b">
        <f t="shared" si="56"/>
        <v>0</v>
      </c>
      <c r="E105" t="b">
        <f t="shared" si="57"/>
        <v>0</v>
      </c>
      <c r="G105" t="str">
        <f>TBIWet!H177</f>
        <v>G892</v>
      </c>
      <c r="H105" t="str">
        <f>TBIWet!I177</f>
        <v>R569</v>
      </c>
      <c r="I105" t="b">
        <f t="shared" si="58"/>
        <v>0</v>
      </c>
      <c r="J105" t="b">
        <f t="shared" si="59"/>
        <v>0</v>
      </c>
      <c r="L105" t="str">
        <f>'Both teabags AfterWet'!A103</f>
        <v>G497</v>
      </c>
      <c r="M105" t="str">
        <f>'Both teabags AfterWet'!A523</f>
        <v>R258</v>
      </c>
      <c r="N105" t="b">
        <f t="shared" si="60"/>
        <v>0</v>
      </c>
      <c r="O105" t="b">
        <f t="shared" si="105"/>
        <v>0</v>
      </c>
      <c r="Q105" s="395" t="b">
        <f t="shared" si="61"/>
        <v>0</v>
      </c>
      <c r="R105" s="395" t="b">
        <f t="shared" si="62"/>
        <v>0</v>
      </c>
      <c r="T105" t="str">
        <f>'Both teabags AfterDry'!A103</f>
        <v>G23</v>
      </c>
      <c r="U105" t="str">
        <f>'Both teabags AfterDry'!A438</f>
        <v>R365</v>
      </c>
      <c r="V105" t="b">
        <f t="shared" si="63"/>
        <v>0</v>
      </c>
      <c r="W105" t="b">
        <f t="shared" si="90"/>
        <v>0</v>
      </c>
      <c r="Y105" t="str">
        <f>'Green_rooibos initial weight'!A106</f>
        <v>G102</v>
      </c>
      <c r="Z105" t="str">
        <f>'Green_rooibos initial weight'!A1010</f>
        <v>R102</v>
      </c>
      <c r="AA105" t="b">
        <f t="shared" si="64"/>
        <v>0</v>
      </c>
      <c r="AB105" t="b">
        <f t="shared" si="65"/>
        <v>0</v>
      </c>
      <c r="AE105" t="str">
        <f>'WetLitterbags placem_collection'!K104</f>
        <v>G892</v>
      </c>
      <c r="AF105" t="str">
        <f>'WetLitterbags placem_collection'!M104</f>
        <v>R569</v>
      </c>
      <c r="AG105" t="b">
        <f t="shared" si="66"/>
        <v>0</v>
      </c>
      <c r="AH105" t="b">
        <f t="shared" si="67"/>
        <v>0</v>
      </c>
      <c r="AJ105" t="b">
        <f t="shared" si="68"/>
        <v>0</v>
      </c>
      <c r="AK105" t="b">
        <f t="shared" si="69"/>
        <v>0</v>
      </c>
      <c r="AM105" t="str">
        <f>IF(ISBLANK('Dry_Litterbag Placem_Collection'!J104),"","G"&amp;""&amp;'Dry_Litterbag Placem_Collection'!J104)</f>
        <v>G284</v>
      </c>
      <c r="AN105" t="str">
        <f>IF(ISBLANK('Dry_Litterbag Placem_Collection'!K104),"","R"&amp;""&amp;'Dry_Litterbag Placem_Collection'!K104)</f>
        <v>R781</v>
      </c>
      <c r="AO105" t="b">
        <f t="shared" si="70"/>
        <v>0</v>
      </c>
      <c r="AP105" t="b">
        <f t="shared" si="71"/>
        <v>0</v>
      </c>
      <c r="AS105" t="str">
        <f>'Ashed teabags dry'!A103</f>
        <v>G23</v>
      </c>
      <c r="AT105" t="str">
        <f>'Ashed teabags dry'!A438</f>
        <v>R365</v>
      </c>
      <c r="AU105" t="b">
        <f t="shared" si="72"/>
        <v>0</v>
      </c>
      <c r="AV105" t="b">
        <f>COUNTIF($AT$4:$AT$2000, AT105)&gt;1</f>
        <v>0</v>
      </c>
      <c r="AX105" s="395" t="b">
        <f t="shared" si="73"/>
        <v>0</v>
      </c>
      <c r="AY105" s="395" t="b">
        <f t="shared" si="74"/>
        <v>0</v>
      </c>
      <c r="BA105" t="str">
        <f>'Ashed teabags wet'!A103</f>
        <v>G497</v>
      </c>
      <c r="BB105" t="str">
        <f>'Ashed teabags wet'!A523</f>
        <v>R258</v>
      </c>
      <c r="BC105" t="b">
        <f t="shared" si="75"/>
        <v>0</v>
      </c>
      <c r="BD105" t="b">
        <f t="shared" si="55"/>
        <v>0</v>
      </c>
      <c r="BF105" t="str">
        <f t="shared" si="76"/>
        <v>G228</v>
      </c>
      <c r="BG105" t="str">
        <f>T104</f>
        <v>G228</v>
      </c>
      <c r="BH105" t="str">
        <f t="shared" si="77"/>
        <v>G11</v>
      </c>
      <c r="BI105" t="str">
        <f t="shared" si="91"/>
        <v>G11</v>
      </c>
      <c r="BJ105" t="s">
        <v>1822</v>
      </c>
      <c r="BK105" t="s">
        <v>1822</v>
      </c>
      <c r="BL105" t="s">
        <v>1822</v>
      </c>
      <c r="BM105" t="b">
        <f t="shared" si="92"/>
        <v>1</v>
      </c>
      <c r="BN105" t="str">
        <f t="shared" si="78"/>
        <v>R361</v>
      </c>
      <c r="BO105" t="str">
        <f>U104</f>
        <v>R361</v>
      </c>
      <c r="BP105" t="str">
        <f t="shared" si="79"/>
        <v>R624</v>
      </c>
      <c r="BQ105" t="str">
        <f t="shared" si="80"/>
        <v>R624</v>
      </c>
      <c r="BR105" t="s">
        <v>780</v>
      </c>
      <c r="BS105" t="s">
        <v>780</v>
      </c>
      <c r="BT105" t="s">
        <v>780</v>
      </c>
      <c r="BU105" t="b">
        <f t="shared" si="93"/>
        <v>1</v>
      </c>
      <c r="BZ105" t="str">
        <f t="shared" si="81"/>
        <v>G11</v>
      </c>
      <c r="CA105" t="b">
        <f t="shared" si="82"/>
        <v>0</v>
      </c>
      <c r="CB105" t="str">
        <f t="shared" si="94"/>
        <v>G11</v>
      </c>
      <c r="CC105" t="str">
        <f t="shared" si="83"/>
        <v>R624</v>
      </c>
      <c r="CD105" t="b">
        <f t="shared" si="95"/>
        <v>0</v>
      </c>
      <c r="CE105" t="str">
        <f t="shared" si="96"/>
        <v>R624</v>
      </c>
      <c r="CG105" t="str">
        <f t="shared" si="84"/>
        <v>G496</v>
      </c>
      <c r="CH105" t="str">
        <f t="shared" si="97"/>
        <v>G496</v>
      </c>
      <c r="CI105" t="str">
        <f>AE104</f>
        <v>G808</v>
      </c>
      <c r="CJ105" t="str">
        <f t="shared" si="85"/>
        <v>G808</v>
      </c>
      <c r="CK105" t="s">
        <v>1554</v>
      </c>
      <c r="CL105" t="s">
        <v>1554</v>
      </c>
      <c r="CM105" t="s">
        <v>1554</v>
      </c>
      <c r="CN105" t="b">
        <f t="shared" si="98"/>
        <v>1</v>
      </c>
      <c r="CO105" t="str">
        <f t="shared" si="86"/>
        <v>R255</v>
      </c>
      <c r="CP105" t="str">
        <f t="shared" si="99"/>
        <v>R255</v>
      </c>
      <c r="CQ105" t="str">
        <f>AF104</f>
        <v>R482</v>
      </c>
      <c r="CR105" t="str">
        <f t="shared" si="87"/>
        <v>R482</v>
      </c>
      <c r="CS105" t="s">
        <v>886</v>
      </c>
      <c r="CT105" t="s">
        <v>886</v>
      </c>
      <c r="CU105" t="s">
        <v>886</v>
      </c>
      <c r="CV105" t="b">
        <f t="shared" si="100"/>
        <v>1</v>
      </c>
      <c r="DC105" t="str">
        <f t="shared" si="88"/>
        <v>G808</v>
      </c>
      <c r="DD105" t="b">
        <f t="shared" si="101"/>
        <v>0</v>
      </c>
      <c r="DE105" t="str">
        <f t="shared" si="102"/>
        <v>G808</v>
      </c>
      <c r="DF105" t="str">
        <f t="shared" si="89"/>
        <v>R482</v>
      </c>
      <c r="DG105" t="b">
        <f t="shared" si="103"/>
        <v>0</v>
      </c>
      <c r="DH105" t="str">
        <f t="shared" si="104"/>
        <v>R482</v>
      </c>
    </row>
    <row r="106" spans="2:112" ht="12" customHeight="1">
      <c r="B106" t="str">
        <f>TBIDry!H178</f>
        <v>G326</v>
      </c>
      <c r="C106" t="str">
        <f>TBIDry!I178</f>
        <v>R772</v>
      </c>
      <c r="D106" t="b">
        <f t="shared" si="56"/>
        <v>0</v>
      </c>
      <c r="E106" t="b">
        <f t="shared" si="57"/>
        <v>0</v>
      </c>
      <c r="G106" t="str">
        <f>TBIWet!H178</f>
        <v>G869</v>
      </c>
      <c r="H106" t="str">
        <f>TBIWet!I178</f>
        <v>R430</v>
      </c>
      <c r="I106" t="b">
        <f t="shared" si="58"/>
        <v>0</v>
      </c>
      <c r="J106" t="b">
        <f t="shared" si="59"/>
        <v>0</v>
      </c>
      <c r="L106" t="str">
        <f>'Both teabags AfterWet'!A104</f>
        <v>G498</v>
      </c>
      <c r="M106" t="str">
        <f>'Both teabags AfterWet'!A524</f>
        <v>R259</v>
      </c>
      <c r="N106" t="b">
        <f t="shared" si="60"/>
        <v>0</v>
      </c>
      <c r="O106" t="b">
        <f t="shared" si="105"/>
        <v>0</v>
      </c>
      <c r="Q106" s="395" t="b">
        <f t="shared" si="61"/>
        <v>0</v>
      </c>
      <c r="R106" s="395" t="b">
        <f t="shared" si="62"/>
        <v>0</v>
      </c>
      <c r="T106" t="str">
        <f>'Both teabags AfterDry'!A104</f>
        <v>G230</v>
      </c>
      <c r="U106" t="str">
        <f>'Both teabags AfterDry'!A439</f>
        <v>R366</v>
      </c>
      <c r="V106" t="b">
        <f t="shared" si="63"/>
        <v>0</v>
      </c>
      <c r="W106" t="b">
        <f t="shared" si="90"/>
        <v>0</v>
      </c>
      <c r="Y106" t="str">
        <f>'Green_rooibos initial weight'!A107</f>
        <v>G103</v>
      </c>
      <c r="Z106" t="str">
        <f>'Green_rooibos initial weight'!A1011</f>
        <v>R103</v>
      </c>
      <c r="AA106" t="b">
        <f t="shared" si="64"/>
        <v>0</v>
      </c>
      <c r="AB106" t="b">
        <f t="shared" si="65"/>
        <v>0</v>
      </c>
      <c r="AE106" t="str">
        <f>'WetLitterbags placem_collection'!K105</f>
        <v>G869</v>
      </c>
      <c r="AF106" t="str">
        <f>'WetLitterbags placem_collection'!M105</f>
        <v>R430</v>
      </c>
      <c r="AG106" t="b">
        <f t="shared" si="66"/>
        <v>0</v>
      </c>
      <c r="AH106" t="b">
        <f t="shared" si="67"/>
        <v>0</v>
      </c>
      <c r="AJ106" t="b">
        <f t="shared" si="68"/>
        <v>0</v>
      </c>
      <c r="AK106" t="b">
        <f t="shared" si="69"/>
        <v>0</v>
      </c>
      <c r="AM106" t="str">
        <f>IF(ISBLANK('Dry_Litterbag Placem_Collection'!J105),"","G"&amp;""&amp;'Dry_Litterbag Placem_Collection'!J105)</f>
        <v>G326</v>
      </c>
      <c r="AN106" t="str">
        <f>IF(ISBLANK('Dry_Litterbag Placem_Collection'!K105),"","R"&amp;""&amp;'Dry_Litterbag Placem_Collection'!K105)</f>
        <v>R772</v>
      </c>
      <c r="AO106" t="b">
        <f t="shared" si="70"/>
        <v>0</v>
      </c>
      <c r="AP106" t="b">
        <f t="shared" si="71"/>
        <v>0</v>
      </c>
      <c r="AS106" t="str">
        <f>'Ashed teabags dry'!A104</f>
        <v>G230</v>
      </c>
      <c r="AT106" t="str">
        <f>'Ashed teabags dry'!A439</f>
        <v>R366</v>
      </c>
      <c r="AU106" t="b">
        <f t="shared" si="72"/>
        <v>0</v>
      </c>
      <c r="AV106" t="b">
        <f>COUNTIF($AT$4:$AT$2000, AT106)&gt;1</f>
        <v>0</v>
      </c>
      <c r="AX106" s="395" t="b">
        <f t="shared" si="73"/>
        <v>0</v>
      </c>
      <c r="AY106" s="395" t="b">
        <f t="shared" si="74"/>
        <v>0</v>
      </c>
      <c r="BA106" t="str">
        <f>'Ashed teabags wet'!A104</f>
        <v>G498</v>
      </c>
      <c r="BB106" t="str">
        <f>'Ashed teabags wet'!A524</f>
        <v>R259</v>
      </c>
      <c r="BC106" t="b">
        <f t="shared" si="75"/>
        <v>0</v>
      </c>
      <c r="BD106" t="b">
        <f t="shared" si="55"/>
        <v>0</v>
      </c>
      <c r="BF106" t="str">
        <f t="shared" si="76"/>
        <v>G23</v>
      </c>
      <c r="BG106" t="str">
        <f>T105</f>
        <v>G23</v>
      </c>
      <c r="BH106" t="str">
        <f t="shared" si="77"/>
        <v>G284</v>
      </c>
      <c r="BI106" t="str">
        <f t="shared" si="91"/>
        <v>G284</v>
      </c>
      <c r="BJ106" t="s">
        <v>2027</v>
      </c>
      <c r="BK106" t="s">
        <v>2027</v>
      </c>
      <c r="BL106" t="s">
        <v>2027</v>
      </c>
      <c r="BM106" t="b">
        <f t="shared" si="92"/>
        <v>1</v>
      </c>
      <c r="BN106" t="str">
        <f t="shared" si="78"/>
        <v>R365</v>
      </c>
      <c r="BO106" t="str">
        <f>U105</f>
        <v>R365</v>
      </c>
      <c r="BP106" t="str">
        <f t="shared" si="79"/>
        <v>R781</v>
      </c>
      <c r="BQ106" t="str">
        <f t="shared" si="80"/>
        <v>R781</v>
      </c>
      <c r="BR106" t="s">
        <v>776</v>
      </c>
      <c r="BS106" t="s">
        <v>776</v>
      </c>
      <c r="BT106" t="s">
        <v>776</v>
      </c>
      <c r="BU106" t="b">
        <f t="shared" si="93"/>
        <v>1</v>
      </c>
      <c r="BZ106" t="str">
        <f t="shared" si="81"/>
        <v>G284</v>
      </c>
      <c r="CA106" t="b">
        <f t="shared" si="82"/>
        <v>0</v>
      </c>
      <c r="CB106" t="str">
        <f t="shared" si="94"/>
        <v>G284</v>
      </c>
      <c r="CC106" t="str">
        <f t="shared" si="83"/>
        <v>R781</v>
      </c>
      <c r="CD106" t="b">
        <f t="shared" si="95"/>
        <v>0</v>
      </c>
      <c r="CE106" t="str">
        <f t="shared" si="96"/>
        <v>R781</v>
      </c>
      <c r="CG106" t="str">
        <f t="shared" si="84"/>
        <v>G497</v>
      </c>
      <c r="CH106" t="str">
        <f t="shared" si="97"/>
        <v>G497</v>
      </c>
      <c r="CI106" t="str">
        <f>AE105</f>
        <v>G892</v>
      </c>
      <c r="CJ106" t="str">
        <f t="shared" si="85"/>
        <v>G892</v>
      </c>
      <c r="CK106" t="s">
        <v>1553</v>
      </c>
      <c r="CL106" t="s">
        <v>1553</v>
      </c>
      <c r="CM106" t="s">
        <v>1553</v>
      </c>
      <c r="CN106" t="b">
        <f t="shared" si="98"/>
        <v>1</v>
      </c>
      <c r="CO106" t="str">
        <f t="shared" si="86"/>
        <v>R258</v>
      </c>
      <c r="CP106" t="str">
        <f t="shared" si="99"/>
        <v>R258</v>
      </c>
      <c r="CQ106" t="str">
        <f>AF105</f>
        <v>R569</v>
      </c>
      <c r="CR106" t="str">
        <f t="shared" si="87"/>
        <v>R569</v>
      </c>
      <c r="CS106" t="s">
        <v>883</v>
      </c>
      <c r="CT106" t="s">
        <v>883</v>
      </c>
      <c r="CU106" t="s">
        <v>883</v>
      </c>
      <c r="CV106" t="b">
        <f t="shared" si="100"/>
        <v>1</v>
      </c>
      <c r="DC106" t="str">
        <f t="shared" si="88"/>
        <v>G892</v>
      </c>
      <c r="DD106" t="b">
        <f t="shared" si="101"/>
        <v>0</v>
      </c>
      <c r="DE106" t="str">
        <f t="shared" si="102"/>
        <v>G892</v>
      </c>
      <c r="DF106" t="str">
        <f t="shared" si="89"/>
        <v>R569</v>
      </c>
      <c r="DG106" t="b">
        <f t="shared" si="103"/>
        <v>0</v>
      </c>
      <c r="DH106" t="str">
        <f t="shared" si="104"/>
        <v>R569</v>
      </c>
    </row>
    <row r="107" spans="2:112" ht="12" customHeight="1">
      <c r="B107" t="str">
        <f>TBIDry!H179</f>
        <v>G162</v>
      </c>
      <c r="C107" t="str">
        <f>TBIDry!I179</f>
        <v>R744</v>
      </c>
      <c r="D107" t="b">
        <f t="shared" si="56"/>
        <v>0</v>
      </c>
      <c r="E107" t="b">
        <f t="shared" si="57"/>
        <v>0</v>
      </c>
      <c r="G107" t="str">
        <f>TBIWet!H179</f>
        <v>G881</v>
      </c>
      <c r="H107" t="str">
        <f>TBIWet!I179</f>
        <v>R577</v>
      </c>
      <c r="I107" t="b">
        <f t="shared" si="58"/>
        <v>0</v>
      </c>
      <c r="J107" t="b">
        <f t="shared" si="59"/>
        <v>0</v>
      </c>
      <c r="L107" t="str">
        <f>'Both teabags AfterWet'!A105</f>
        <v>G499</v>
      </c>
      <c r="M107" t="str">
        <f>'Both teabags AfterWet'!A525</f>
        <v>R26</v>
      </c>
      <c r="N107" t="b">
        <f t="shared" si="60"/>
        <v>0</v>
      </c>
      <c r="O107" t="b">
        <f t="shared" si="105"/>
        <v>0</v>
      </c>
      <c r="Q107" s="395" t="b">
        <f t="shared" si="61"/>
        <v>0</v>
      </c>
      <c r="R107" s="395" t="b">
        <f t="shared" si="62"/>
        <v>0</v>
      </c>
      <c r="T107" t="str">
        <f>'Both teabags AfterDry'!A105</f>
        <v>G231</v>
      </c>
      <c r="U107" t="str">
        <f>'Both teabags AfterDry'!A440</f>
        <v>R367</v>
      </c>
      <c r="V107" t="b">
        <f t="shared" si="63"/>
        <v>0</v>
      </c>
      <c r="W107" t="b">
        <f t="shared" si="90"/>
        <v>0</v>
      </c>
      <c r="Y107" t="str">
        <f>'Green_rooibos initial weight'!A108</f>
        <v>G104</v>
      </c>
      <c r="Z107" t="str">
        <f>'Green_rooibos initial weight'!A1012</f>
        <v>R104</v>
      </c>
      <c r="AA107" t="b">
        <f t="shared" si="64"/>
        <v>0</v>
      </c>
      <c r="AB107" t="b">
        <f t="shared" si="65"/>
        <v>0</v>
      </c>
      <c r="AE107" t="str">
        <f>'WetLitterbags placem_collection'!K106</f>
        <v>G881</v>
      </c>
      <c r="AF107" t="str">
        <f>'WetLitterbags placem_collection'!M106</f>
        <v>R577</v>
      </c>
      <c r="AG107" t="b">
        <f t="shared" si="66"/>
        <v>0</v>
      </c>
      <c r="AH107" t="b">
        <f t="shared" si="67"/>
        <v>0</v>
      </c>
      <c r="AJ107" t="b">
        <f t="shared" si="68"/>
        <v>0</v>
      </c>
      <c r="AK107" t="b">
        <f t="shared" si="69"/>
        <v>0</v>
      </c>
      <c r="AM107" t="str">
        <f>IF(ISBLANK('Dry_Litterbag Placem_Collection'!J106),"","G"&amp;""&amp;'Dry_Litterbag Placem_Collection'!J106)</f>
        <v>G162</v>
      </c>
      <c r="AN107" t="str">
        <f>IF(ISBLANK('Dry_Litterbag Placem_Collection'!K106),"","R"&amp;""&amp;'Dry_Litterbag Placem_Collection'!K106)</f>
        <v>R744</v>
      </c>
      <c r="AO107" t="b">
        <f t="shared" si="70"/>
        <v>0</v>
      </c>
      <c r="AP107" t="b">
        <f t="shared" si="71"/>
        <v>0</v>
      </c>
      <c r="AS107" t="str">
        <f>'Ashed teabags dry'!A105</f>
        <v>G231</v>
      </c>
      <c r="AT107" t="str">
        <f>'Ashed teabags dry'!A440</f>
        <v>R367</v>
      </c>
      <c r="AU107" t="b">
        <f t="shared" si="72"/>
        <v>0</v>
      </c>
      <c r="AV107" t="b">
        <f>COUNTIF($AT$4:$AT$2000, AT107)&gt;1</f>
        <v>0</v>
      </c>
      <c r="AX107" s="395" t="b">
        <f t="shared" si="73"/>
        <v>0</v>
      </c>
      <c r="AY107" s="395" t="b">
        <f t="shared" si="74"/>
        <v>0</v>
      </c>
      <c r="BA107" t="str">
        <f>'Ashed teabags wet'!A105</f>
        <v>G499</v>
      </c>
      <c r="BB107" t="str">
        <f>'Ashed teabags wet'!A525</f>
        <v>R26</v>
      </c>
      <c r="BC107" t="b">
        <f t="shared" si="75"/>
        <v>0</v>
      </c>
      <c r="BD107" t="b">
        <f t="shared" si="55"/>
        <v>0</v>
      </c>
      <c r="BF107" t="str">
        <f t="shared" si="76"/>
        <v>G230</v>
      </c>
      <c r="BG107" t="str">
        <f>T106</f>
        <v>G230</v>
      </c>
      <c r="BH107" t="str">
        <f t="shared" si="77"/>
        <v>G326</v>
      </c>
      <c r="BI107" t="str">
        <f t="shared" si="91"/>
        <v>G326</v>
      </c>
      <c r="BJ107" t="s">
        <v>1820</v>
      </c>
      <c r="BK107" t="s">
        <v>1820</v>
      </c>
      <c r="BL107" t="s">
        <v>1820</v>
      </c>
      <c r="BM107" t="b">
        <f t="shared" si="92"/>
        <v>1</v>
      </c>
      <c r="BN107" t="str">
        <f t="shared" si="78"/>
        <v>R366</v>
      </c>
      <c r="BO107" t="str">
        <f>U106</f>
        <v>R366</v>
      </c>
      <c r="BP107" t="str">
        <f t="shared" si="79"/>
        <v>R772</v>
      </c>
      <c r="BQ107" t="str">
        <f t="shared" si="80"/>
        <v>R772</v>
      </c>
      <c r="BR107" t="s">
        <v>775</v>
      </c>
      <c r="BS107" t="s">
        <v>775</v>
      </c>
      <c r="BT107" t="s">
        <v>775</v>
      </c>
      <c r="BU107" t="b">
        <f t="shared" si="93"/>
        <v>1</v>
      </c>
      <c r="BZ107" t="str">
        <f t="shared" si="81"/>
        <v>G326</v>
      </c>
      <c r="CA107" t="b">
        <f t="shared" si="82"/>
        <v>0</v>
      </c>
      <c r="CB107" t="str">
        <f t="shared" si="94"/>
        <v>G326</v>
      </c>
      <c r="CC107" t="str">
        <f t="shared" si="83"/>
        <v>R772</v>
      </c>
      <c r="CD107" t="b">
        <f t="shared" si="95"/>
        <v>0</v>
      </c>
      <c r="CE107" t="str">
        <f t="shared" si="96"/>
        <v>R772</v>
      </c>
      <c r="CG107" t="str">
        <f t="shared" si="84"/>
        <v>G498</v>
      </c>
      <c r="CH107" t="str">
        <f t="shared" si="97"/>
        <v>G498</v>
      </c>
      <c r="CI107" t="str">
        <f>AE106</f>
        <v>G869</v>
      </c>
      <c r="CJ107" t="str">
        <f t="shared" si="85"/>
        <v>G869</v>
      </c>
      <c r="CK107" t="s">
        <v>1552</v>
      </c>
      <c r="CL107" t="s">
        <v>1552</v>
      </c>
      <c r="CM107" t="s">
        <v>1552</v>
      </c>
      <c r="CN107" t="b">
        <f t="shared" si="98"/>
        <v>1</v>
      </c>
      <c r="CO107" t="str">
        <f t="shared" si="86"/>
        <v>R259</v>
      </c>
      <c r="CP107" t="str">
        <f t="shared" si="99"/>
        <v>R259</v>
      </c>
      <c r="CQ107" t="str">
        <f>AF106</f>
        <v>R430</v>
      </c>
      <c r="CR107" t="str">
        <f t="shared" si="87"/>
        <v>R430</v>
      </c>
      <c r="CS107" t="s">
        <v>882</v>
      </c>
      <c r="CT107" t="s">
        <v>882</v>
      </c>
      <c r="CU107" t="s">
        <v>882</v>
      </c>
      <c r="CV107" t="b">
        <f t="shared" si="100"/>
        <v>1</v>
      </c>
      <c r="DC107" t="str">
        <f t="shared" si="88"/>
        <v>G869</v>
      </c>
      <c r="DD107" t="b">
        <f t="shared" si="101"/>
        <v>0</v>
      </c>
      <c r="DE107" t="str">
        <f t="shared" si="102"/>
        <v>G869</v>
      </c>
      <c r="DF107" t="str">
        <f t="shared" si="89"/>
        <v>R430</v>
      </c>
      <c r="DG107" t="b">
        <f t="shared" si="103"/>
        <v>0</v>
      </c>
      <c r="DH107" t="str">
        <f t="shared" si="104"/>
        <v>R430</v>
      </c>
    </row>
    <row r="108" spans="2:112" ht="12" customHeight="1">
      <c r="B108" t="str">
        <f>TBIDry!H180</f>
        <v>G6</v>
      </c>
      <c r="C108" t="str">
        <f>TBIDry!I180</f>
        <v>R824</v>
      </c>
      <c r="D108" t="b">
        <f t="shared" si="56"/>
        <v>0</v>
      </c>
      <c r="E108" t="b">
        <f t="shared" si="57"/>
        <v>0</v>
      </c>
      <c r="G108" t="str">
        <f>TBIWet!H180</f>
        <v>G729</v>
      </c>
      <c r="H108" t="str">
        <f>TBIWet!I180</f>
        <v>R548</v>
      </c>
      <c r="I108" t="b">
        <f t="shared" si="58"/>
        <v>0</v>
      </c>
      <c r="J108" t="b">
        <f t="shared" si="59"/>
        <v>0</v>
      </c>
      <c r="L108" t="str">
        <f>'Both teabags AfterWet'!A106</f>
        <v>G500</v>
      </c>
      <c r="M108" t="str">
        <f>'Both teabags AfterWet'!A526</f>
        <v>R262</v>
      </c>
      <c r="N108" t="b">
        <f t="shared" si="60"/>
        <v>0</v>
      </c>
      <c r="O108" t="b">
        <f t="shared" si="105"/>
        <v>0</v>
      </c>
      <c r="Q108" s="395" t="b">
        <f t="shared" si="61"/>
        <v>0</v>
      </c>
      <c r="R108" s="395" t="b">
        <f t="shared" si="62"/>
        <v>0</v>
      </c>
      <c r="T108" t="str">
        <f>'Both teabags AfterDry'!A106</f>
        <v>G232</v>
      </c>
      <c r="U108" t="str">
        <f>'Both teabags AfterDry'!A441</f>
        <v>R373</v>
      </c>
      <c r="V108" s="113" t="b">
        <f t="shared" si="63"/>
        <v>0</v>
      </c>
      <c r="W108" t="b">
        <f t="shared" si="90"/>
        <v>0</v>
      </c>
      <c r="Y108" t="str">
        <f>'Green_rooibos initial weight'!A109</f>
        <v>G105</v>
      </c>
      <c r="Z108" t="str">
        <f>'Green_rooibos initial weight'!A1013</f>
        <v>R105</v>
      </c>
      <c r="AA108" t="b">
        <f t="shared" si="64"/>
        <v>0</v>
      </c>
      <c r="AB108" t="b">
        <f t="shared" si="65"/>
        <v>0</v>
      </c>
      <c r="AE108" t="str">
        <f>'WetLitterbags placem_collection'!K107</f>
        <v>G729</v>
      </c>
      <c r="AF108" t="str">
        <f>'WetLitterbags placem_collection'!M107</f>
        <v>R548</v>
      </c>
      <c r="AG108" t="b">
        <f t="shared" si="66"/>
        <v>0</v>
      </c>
      <c r="AH108" t="b">
        <f t="shared" si="67"/>
        <v>0</v>
      </c>
      <c r="AJ108" t="b">
        <f t="shared" si="68"/>
        <v>0</v>
      </c>
      <c r="AK108" t="b">
        <f t="shared" si="69"/>
        <v>0</v>
      </c>
      <c r="AM108" t="str">
        <f>IF(ISBLANK('Dry_Litterbag Placem_Collection'!J107),"","G"&amp;""&amp;'Dry_Litterbag Placem_Collection'!J107)</f>
        <v>G6</v>
      </c>
      <c r="AN108" t="str">
        <f>IF(ISBLANK('Dry_Litterbag Placem_Collection'!K107),"","R"&amp;""&amp;'Dry_Litterbag Placem_Collection'!K107)</f>
        <v>R824</v>
      </c>
      <c r="AO108" t="b">
        <f t="shared" si="70"/>
        <v>0</v>
      </c>
      <c r="AP108" t="b">
        <f t="shared" si="71"/>
        <v>0</v>
      </c>
      <c r="AS108" t="str">
        <f>'Ashed teabags dry'!A106</f>
        <v>G232</v>
      </c>
      <c r="AT108" t="str">
        <f>'Ashed teabags dry'!A441</f>
        <v>R373</v>
      </c>
      <c r="AU108" t="b">
        <f t="shared" si="72"/>
        <v>0</v>
      </c>
      <c r="AV108" t="b">
        <f>COUNTIF($AT$4:$AT$2000, AT108)&gt;1</f>
        <v>0</v>
      </c>
      <c r="AX108" s="395" t="b">
        <f t="shared" si="73"/>
        <v>0</v>
      </c>
      <c r="AY108" s="395" t="b">
        <f t="shared" si="74"/>
        <v>0</v>
      </c>
      <c r="BA108" t="str">
        <f>'Ashed teabags wet'!A106</f>
        <v>G500</v>
      </c>
      <c r="BB108" t="str">
        <f>'Ashed teabags wet'!A526</f>
        <v>R262</v>
      </c>
      <c r="BC108" t="b">
        <f t="shared" si="75"/>
        <v>0</v>
      </c>
      <c r="BD108" t="b">
        <f t="shared" si="55"/>
        <v>0</v>
      </c>
      <c r="BF108" t="str">
        <f t="shared" si="76"/>
        <v>G231</v>
      </c>
      <c r="BG108" t="str">
        <f>T107</f>
        <v>G231</v>
      </c>
      <c r="BH108" t="str">
        <f t="shared" si="77"/>
        <v>G162</v>
      </c>
      <c r="BI108" t="str">
        <f t="shared" si="91"/>
        <v>G162</v>
      </c>
      <c r="BJ108" t="s">
        <v>1819</v>
      </c>
      <c r="BK108" t="s">
        <v>1819</v>
      </c>
      <c r="BL108" t="s">
        <v>1819</v>
      </c>
      <c r="BM108" t="b">
        <f t="shared" si="92"/>
        <v>1</v>
      </c>
      <c r="BN108" t="str">
        <f t="shared" si="78"/>
        <v>R367</v>
      </c>
      <c r="BO108" t="str">
        <f>U107</f>
        <v>R367</v>
      </c>
      <c r="BP108" t="str">
        <f t="shared" si="79"/>
        <v>R744</v>
      </c>
      <c r="BQ108" t="str">
        <f t="shared" si="80"/>
        <v>R744</v>
      </c>
      <c r="BR108" t="s">
        <v>774</v>
      </c>
      <c r="BS108" t="s">
        <v>774</v>
      </c>
      <c r="BT108" t="s">
        <v>774</v>
      </c>
      <c r="BU108" t="b">
        <f t="shared" si="93"/>
        <v>1</v>
      </c>
      <c r="BZ108" t="str">
        <f t="shared" si="81"/>
        <v>G162</v>
      </c>
      <c r="CA108" t="b">
        <f t="shared" si="82"/>
        <v>0</v>
      </c>
      <c r="CB108" t="str">
        <f t="shared" si="94"/>
        <v>G162</v>
      </c>
      <c r="CC108" t="str">
        <f t="shared" si="83"/>
        <v>R744</v>
      </c>
      <c r="CD108" t="b">
        <f t="shared" si="95"/>
        <v>0</v>
      </c>
      <c r="CE108" t="str">
        <f t="shared" si="96"/>
        <v>R744</v>
      </c>
      <c r="CG108" t="str">
        <f t="shared" si="84"/>
        <v>G499</v>
      </c>
      <c r="CH108" t="str">
        <f t="shared" si="97"/>
        <v>G499</v>
      </c>
      <c r="CI108" t="str">
        <f>AE107</f>
        <v>G881</v>
      </c>
      <c r="CJ108" t="str">
        <f t="shared" si="85"/>
        <v>G881</v>
      </c>
      <c r="CK108" t="s">
        <v>1551</v>
      </c>
      <c r="CL108" t="s">
        <v>1551</v>
      </c>
      <c r="CM108" t="s">
        <v>1551</v>
      </c>
      <c r="CN108" t="b">
        <f t="shared" si="98"/>
        <v>1</v>
      </c>
      <c r="CO108" t="str">
        <f t="shared" si="86"/>
        <v>R26</v>
      </c>
      <c r="CP108" t="str">
        <f t="shared" si="99"/>
        <v>R26</v>
      </c>
      <c r="CQ108" t="str">
        <f>AF107</f>
        <v>R577</v>
      </c>
      <c r="CR108" t="str">
        <f t="shared" si="87"/>
        <v>R577</v>
      </c>
      <c r="CS108" t="s">
        <v>1115</v>
      </c>
      <c r="CT108" t="s">
        <v>1115</v>
      </c>
      <c r="CU108" t="s">
        <v>1115</v>
      </c>
      <c r="CV108" t="b">
        <f t="shared" si="100"/>
        <v>1</v>
      </c>
      <c r="DC108" t="str">
        <f t="shared" si="88"/>
        <v>G881</v>
      </c>
      <c r="DD108" t="b">
        <f t="shared" si="101"/>
        <v>0</v>
      </c>
      <c r="DE108" t="str">
        <f t="shared" si="102"/>
        <v>G881</v>
      </c>
      <c r="DF108" t="str">
        <f t="shared" si="89"/>
        <v>R577</v>
      </c>
      <c r="DG108" t="b">
        <f t="shared" si="103"/>
        <v>0</v>
      </c>
      <c r="DH108" t="str">
        <f t="shared" si="104"/>
        <v>R577</v>
      </c>
    </row>
    <row r="109" spans="2:112" ht="12" customHeight="1">
      <c r="B109" t="str">
        <f>TBIDry!H181</f>
        <v>G20</v>
      </c>
      <c r="C109" t="str">
        <f>TBIDry!I181</f>
        <v>R790</v>
      </c>
      <c r="D109" t="b">
        <f t="shared" si="56"/>
        <v>0</v>
      </c>
      <c r="E109" t="b">
        <f t="shared" si="57"/>
        <v>0</v>
      </c>
      <c r="G109" t="str">
        <f>TBIWet!H181</f>
        <v>G837</v>
      </c>
      <c r="H109" t="str">
        <f>TBIWet!I181</f>
        <v>R590</v>
      </c>
      <c r="I109" t="b">
        <f t="shared" si="58"/>
        <v>0</v>
      </c>
      <c r="J109" t="b">
        <f t="shared" si="59"/>
        <v>0</v>
      </c>
      <c r="L109" t="str">
        <f>'Both teabags AfterWet'!A107</f>
        <v>G502</v>
      </c>
      <c r="M109" t="str">
        <f>'Both teabags AfterWet'!A527</f>
        <v>R263</v>
      </c>
      <c r="N109" t="b">
        <f t="shared" si="60"/>
        <v>0</v>
      </c>
      <c r="O109" t="b">
        <f t="shared" si="105"/>
        <v>0</v>
      </c>
      <c r="Q109" s="395" t="b">
        <f t="shared" si="61"/>
        <v>0</v>
      </c>
      <c r="R109" s="395" t="b">
        <f t="shared" si="62"/>
        <v>0</v>
      </c>
      <c r="T109" t="str">
        <f>'Both teabags AfterDry'!A107</f>
        <v>G233</v>
      </c>
      <c r="U109" t="str">
        <f>'Both teabags AfterDry'!A442</f>
        <v>R377</v>
      </c>
      <c r="V109" s="113" t="b">
        <f t="shared" si="63"/>
        <v>0</v>
      </c>
      <c r="W109" t="b">
        <f t="shared" si="90"/>
        <v>0</v>
      </c>
      <c r="Y109" t="str">
        <f>'Green_rooibos initial weight'!A110</f>
        <v>G106</v>
      </c>
      <c r="Z109" t="str">
        <f>'Green_rooibos initial weight'!A1014</f>
        <v>R106</v>
      </c>
      <c r="AA109" t="b">
        <f t="shared" si="64"/>
        <v>0</v>
      </c>
      <c r="AB109" t="b">
        <f t="shared" si="65"/>
        <v>0</v>
      </c>
      <c r="AE109" t="str">
        <f>'WetLitterbags placem_collection'!K108</f>
        <v>G837</v>
      </c>
      <c r="AF109" t="str">
        <f>'WetLitterbags placem_collection'!M108</f>
        <v>R590</v>
      </c>
      <c r="AG109" t="b">
        <f t="shared" si="66"/>
        <v>0</v>
      </c>
      <c r="AH109" t="b">
        <f t="shared" si="67"/>
        <v>0</v>
      </c>
      <c r="AJ109" t="b">
        <f t="shared" si="68"/>
        <v>0</v>
      </c>
      <c r="AK109" t="b">
        <f t="shared" si="69"/>
        <v>0</v>
      </c>
      <c r="AM109" t="str">
        <f>IF(ISBLANK('Dry_Litterbag Placem_Collection'!J108),"","G"&amp;""&amp;'Dry_Litterbag Placem_Collection'!J108)</f>
        <v>G20</v>
      </c>
      <c r="AN109" t="str">
        <f>IF(ISBLANK('Dry_Litterbag Placem_Collection'!K108),"","R"&amp;""&amp;'Dry_Litterbag Placem_Collection'!K108)</f>
        <v>R790</v>
      </c>
      <c r="AO109" t="b">
        <f t="shared" si="70"/>
        <v>0</v>
      </c>
      <c r="AP109" t="b">
        <f t="shared" si="71"/>
        <v>0</v>
      </c>
      <c r="AS109" t="str">
        <f>'Ashed teabags dry'!A107</f>
        <v>G233</v>
      </c>
      <c r="AT109" t="str">
        <f>'Ashed teabags dry'!A442</f>
        <v>R377</v>
      </c>
      <c r="AU109" t="b">
        <f t="shared" si="72"/>
        <v>0</v>
      </c>
      <c r="AV109" t="b">
        <f>COUNTIF($AT$4:$AT$2000, AT109)&gt;1</f>
        <v>0</v>
      </c>
      <c r="AX109" s="395" t="b">
        <f t="shared" si="73"/>
        <v>0</v>
      </c>
      <c r="AY109" s="395" t="b">
        <f t="shared" si="74"/>
        <v>0</v>
      </c>
      <c r="BA109" t="str">
        <f>'Ashed teabags wet'!A107</f>
        <v>G502</v>
      </c>
      <c r="BB109" t="str">
        <f>'Ashed teabags wet'!A527</f>
        <v>R263</v>
      </c>
      <c r="BC109" t="b">
        <f t="shared" si="75"/>
        <v>0</v>
      </c>
      <c r="BD109" t="b">
        <f t="shared" si="55"/>
        <v>0</v>
      </c>
      <c r="BF109" t="str">
        <f t="shared" si="76"/>
        <v>G232</v>
      </c>
      <c r="BG109" t="str">
        <f>T108</f>
        <v>G232</v>
      </c>
      <c r="BH109" t="str">
        <f t="shared" si="77"/>
        <v>G6</v>
      </c>
      <c r="BI109" t="str">
        <f t="shared" si="91"/>
        <v>G6</v>
      </c>
      <c r="BJ109" t="s">
        <v>1818</v>
      </c>
      <c r="BK109" t="s">
        <v>1818</v>
      </c>
      <c r="BL109" t="s">
        <v>1818</v>
      </c>
      <c r="BM109" t="b">
        <f t="shared" si="92"/>
        <v>1</v>
      </c>
      <c r="BN109" t="str">
        <f t="shared" si="78"/>
        <v>R373</v>
      </c>
      <c r="BO109" t="str">
        <f>U108</f>
        <v>R373</v>
      </c>
      <c r="BP109" t="str">
        <f t="shared" si="79"/>
        <v>R824</v>
      </c>
      <c r="BQ109" t="str">
        <f t="shared" si="80"/>
        <v>R824</v>
      </c>
      <c r="BR109" t="s">
        <v>768</v>
      </c>
      <c r="BS109" t="s">
        <v>768</v>
      </c>
      <c r="BT109" t="s">
        <v>768</v>
      </c>
      <c r="BU109" t="b">
        <f t="shared" si="93"/>
        <v>1</v>
      </c>
      <c r="BZ109" t="str">
        <f t="shared" si="81"/>
        <v>G6</v>
      </c>
      <c r="CA109" t="b">
        <f t="shared" si="82"/>
        <v>0</v>
      </c>
      <c r="CB109" t="str">
        <f t="shared" si="94"/>
        <v>G6</v>
      </c>
      <c r="CC109" t="str">
        <f t="shared" si="83"/>
        <v>R824</v>
      </c>
      <c r="CD109" t="b">
        <f t="shared" si="95"/>
        <v>0</v>
      </c>
      <c r="CE109" t="str">
        <f t="shared" si="96"/>
        <v>R824</v>
      </c>
      <c r="CG109" t="str">
        <f t="shared" si="84"/>
        <v>G500</v>
      </c>
      <c r="CH109" t="str">
        <f t="shared" si="97"/>
        <v>G500</v>
      </c>
      <c r="CI109" t="str">
        <f>AE108</f>
        <v>G729</v>
      </c>
      <c r="CJ109" t="str">
        <f t="shared" si="85"/>
        <v>G729</v>
      </c>
      <c r="CK109" t="s">
        <v>1550</v>
      </c>
      <c r="CL109" t="s">
        <v>1550</v>
      </c>
      <c r="CM109" t="s">
        <v>1550</v>
      </c>
      <c r="CN109" t="b">
        <f t="shared" si="98"/>
        <v>1</v>
      </c>
      <c r="CO109" t="str">
        <f t="shared" si="86"/>
        <v>R262</v>
      </c>
      <c r="CP109" t="str">
        <f t="shared" si="99"/>
        <v>R262</v>
      </c>
      <c r="CQ109" t="str">
        <f>AF108</f>
        <v>R548</v>
      </c>
      <c r="CR109" t="str">
        <f t="shared" si="87"/>
        <v>R548</v>
      </c>
      <c r="CS109" t="s">
        <v>879</v>
      </c>
      <c r="CT109" t="s">
        <v>879</v>
      </c>
      <c r="CU109" t="s">
        <v>879</v>
      </c>
      <c r="CV109" t="b">
        <f t="shared" si="100"/>
        <v>1</v>
      </c>
      <c r="DC109" t="str">
        <f t="shared" si="88"/>
        <v>G729</v>
      </c>
      <c r="DD109" t="b">
        <f t="shared" si="101"/>
        <v>0</v>
      </c>
      <c r="DE109" t="str">
        <f t="shared" si="102"/>
        <v>G729</v>
      </c>
      <c r="DF109" t="str">
        <f t="shared" si="89"/>
        <v>R548</v>
      </c>
      <c r="DG109" t="b">
        <f t="shared" si="103"/>
        <v>0</v>
      </c>
      <c r="DH109" t="str">
        <f t="shared" si="104"/>
        <v>R548</v>
      </c>
    </row>
    <row r="110" spans="2:112" ht="12" customHeight="1">
      <c r="B110" t="str">
        <f>TBIDry!H182</f>
        <v>G129</v>
      </c>
      <c r="C110" t="str">
        <f>TBIDry!I182</f>
        <v>R809</v>
      </c>
      <c r="D110" t="b">
        <f t="shared" si="56"/>
        <v>0</v>
      </c>
      <c r="E110" t="b">
        <f t="shared" si="57"/>
        <v>0</v>
      </c>
      <c r="G110" t="str">
        <f>TBIWet!H182</f>
        <v>G688</v>
      </c>
      <c r="H110" t="str">
        <f>TBIWet!I182</f>
        <v>R574</v>
      </c>
      <c r="I110" t="b">
        <f t="shared" si="58"/>
        <v>0</v>
      </c>
      <c r="J110" t="b">
        <f t="shared" si="59"/>
        <v>0</v>
      </c>
      <c r="L110" t="str">
        <f>'Both teabags AfterWet'!A108</f>
        <v>G503</v>
      </c>
      <c r="M110" t="str">
        <f>'Both teabags AfterWet'!A528</f>
        <v>R264</v>
      </c>
      <c r="N110" t="b">
        <f t="shared" si="60"/>
        <v>0</v>
      </c>
      <c r="O110" t="b">
        <f t="shared" si="105"/>
        <v>0</v>
      </c>
      <c r="Q110" s="395" t="b">
        <f t="shared" si="61"/>
        <v>0</v>
      </c>
      <c r="R110" s="395" t="b">
        <f t="shared" si="62"/>
        <v>0</v>
      </c>
      <c r="T110" t="str">
        <f>'Both teabags AfterDry'!A108</f>
        <v>G234</v>
      </c>
      <c r="U110" t="str">
        <f>'Both teabags AfterDry'!A443</f>
        <v>R379</v>
      </c>
      <c r="V110" t="b">
        <f t="shared" si="63"/>
        <v>0</v>
      </c>
      <c r="W110" t="b">
        <f t="shared" si="90"/>
        <v>0</v>
      </c>
      <c r="Y110" t="str">
        <f>'Green_rooibos initial weight'!A111</f>
        <v>G107</v>
      </c>
      <c r="Z110" t="str">
        <f>'Green_rooibos initial weight'!A1015</f>
        <v>R107</v>
      </c>
      <c r="AA110" t="b">
        <f t="shared" si="64"/>
        <v>0</v>
      </c>
      <c r="AB110" t="b">
        <f t="shared" si="65"/>
        <v>0</v>
      </c>
      <c r="AE110" t="str">
        <f>'WetLitterbags placem_collection'!K109</f>
        <v>G688</v>
      </c>
      <c r="AF110" t="str">
        <f>'WetLitterbags placem_collection'!M109</f>
        <v>R574</v>
      </c>
      <c r="AG110" t="b">
        <f t="shared" si="66"/>
        <v>0</v>
      </c>
      <c r="AH110" t="b">
        <f t="shared" si="67"/>
        <v>0</v>
      </c>
      <c r="AJ110" t="b">
        <f t="shared" si="68"/>
        <v>0</v>
      </c>
      <c r="AK110" t="b">
        <f t="shared" si="69"/>
        <v>0</v>
      </c>
      <c r="AM110" t="str">
        <f>IF(ISBLANK('Dry_Litterbag Placem_Collection'!J109),"","G"&amp;""&amp;'Dry_Litterbag Placem_Collection'!J109)</f>
        <v>G129</v>
      </c>
      <c r="AN110" t="str">
        <f>IF(ISBLANK('Dry_Litterbag Placem_Collection'!K109),"","R"&amp;""&amp;'Dry_Litterbag Placem_Collection'!K109)</f>
        <v>R809</v>
      </c>
      <c r="AO110" t="b">
        <f t="shared" si="70"/>
        <v>0</v>
      </c>
      <c r="AP110" t="b">
        <f t="shared" si="71"/>
        <v>0</v>
      </c>
      <c r="AS110" t="str">
        <f>'Ashed teabags dry'!A108</f>
        <v>G234</v>
      </c>
      <c r="AT110" t="str">
        <f>'Ashed teabags dry'!A443</f>
        <v>R379</v>
      </c>
      <c r="AU110" t="b">
        <f t="shared" si="72"/>
        <v>0</v>
      </c>
      <c r="AV110" t="b">
        <f>COUNTIF($AT$4:$AT$2000, AT110)&gt;1</f>
        <v>0</v>
      </c>
      <c r="AX110" s="395" t="b">
        <f t="shared" si="73"/>
        <v>0</v>
      </c>
      <c r="AY110" s="395" t="b">
        <f t="shared" si="74"/>
        <v>0</v>
      </c>
      <c r="BA110" t="str">
        <f>'Ashed teabags wet'!A108</f>
        <v>G503</v>
      </c>
      <c r="BB110" t="str">
        <f>'Ashed teabags wet'!A528</f>
        <v>R264</v>
      </c>
      <c r="BC110" t="b">
        <f t="shared" si="75"/>
        <v>0</v>
      </c>
      <c r="BD110" t="b">
        <f t="shared" si="55"/>
        <v>0</v>
      </c>
      <c r="BF110" t="str">
        <f t="shared" si="76"/>
        <v>G233</v>
      </c>
      <c r="BG110" t="str">
        <f>T109</f>
        <v>G233</v>
      </c>
      <c r="BH110" t="str">
        <f t="shared" si="77"/>
        <v>G20</v>
      </c>
      <c r="BI110" t="str">
        <f t="shared" si="91"/>
        <v>G20</v>
      </c>
      <c r="BJ110" t="s">
        <v>1817</v>
      </c>
      <c r="BK110" t="s">
        <v>1817</v>
      </c>
      <c r="BL110" t="s">
        <v>1817</v>
      </c>
      <c r="BM110" t="b">
        <f t="shared" si="92"/>
        <v>1</v>
      </c>
      <c r="BN110" t="str">
        <f t="shared" si="78"/>
        <v>R377</v>
      </c>
      <c r="BO110" t="str">
        <f>U109</f>
        <v>R377</v>
      </c>
      <c r="BP110" t="str">
        <f t="shared" si="79"/>
        <v>R790</v>
      </c>
      <c r="BQ110" t="str">
        <f t="shared" si="80"/>
        <v>R790</v>
      </c>
      <c r="BR110" t="s">
        <v>764</v>
      </c>
      <c r="BS110" t="s">
        <v>764</v>
      </c>
      <c r="BT110" t="s">
        <v>764</v>
      </c>
      <c r="BU110" t="b">
        <f t="shared" si="93"/>
        <v>1</v>
      </c>
      <c r="BZ110" t="str">
        <f t="shared" si="81"/>
        <v>G20</v>
      </c>
      <c r="CA110" t="b">
        <f t="shared" si="82"/>
        <v>0</v>
      </c>
      <c r="CB110" t="str">
        <f t="shared" si="94"/>
        <v>G20</v>
      </c>
      <c r="CC110" t="str">
        <f t="shared" si="83"/>
        <v>R790</v>
      </c>
      <c r="CD110" t="b">
        <f t="shared" si="95"/>
        <v>0</v>
      </c>
      <c r="CE110" t="str">
        <f t="shared" si="96"/>
        <v>R790</v>
      </c>
      <c r="CG110" t="str">
        <f t="shared" si="84"/>
        <v>G502</v>
      </c>
      <c r="CH110" t="str">
        <f t="shared" si="97"/>
        <v>G502</v>
      </c>
      <c r="CI110" t="str">
        <f>AE109</f>
        <v>G837</v>
      </c>
      <c r="CJ110" t="str">
        <f t="shared" si="85"/>
        <v>G837</v>
      </c>
      <c r="CK110" t="s">
        <v>1548</v>
      </c>
      <c r="CL110" t="s">
        <v>1548</v>
      </c>
      <c r="CM110" t="s">
        <v>1548</v>
      </c>
      <c r="CN110" t="b">
        <f t="shared" si="98"/>
        <v>1</v>
      </c>
      <c r="CO110" t="str">
        <f t="shared" si="86"/>
        <v>R263</v>
      </c>
      <c r="CP110" t="str">
        <f t="shared" si="99"/>
        <v>R263</v>
      </c>
      <c r="CQ110" t="str">
        <f>AF109</f>
        <v>R590</v>
      </c>
      <c r="CR110" t="str">
        <f t="shared" si="87"/>
        <v>R590</v>
      </c>
      <c r="CS110" t="s">
        <v>878</v>
      </c>
      <c r="CT110" t="s">
        <v>878</v>
      </c>
      <c r="CU110" t="s">
        <v>878</v>
      </c>
      <c r="CV110" t="b">
        <f t="shared" si="100"/>
        <v>1</v>
      </c>
      <c r="DC110" t="str">
        <f t="shared" si="88"/>
        <v>G837</v>
      </c>
      <c r="DD110" t="b">
        <f t="shared" si="101"/>
        <v>0</v>
      </c>
      <c r="DE110" t="str">
        <f t="shared" si="102"/>
        <v>G837</v>
      </c>
      <c r="DF110" t="str">
        <f t="shared" si="89"/>
        <v>R590</v>
      </c>
      <c r="DG110" t="b">
        <f t="shared" si="103"/>
        <v>0</v>
      </c>
      <c r="DH110" t="str">
        <f t="shared" si="104"/>
        <v>R590</v>
      </c>
    </row>
    <row r="111" spans="2:112" ht="12" customHeight="1">
      <c r="B111" t="str">
        <f>TBIDry!H183</f>
        <v>G258</v>
      </c>
      <c r="C111" t="str">
        <f>TBIDry!I183</f>
        <v>R777</v>
      </c>
      <c r="D111" t="b">
        <f t="shared" si="56"/>
        <v>0</v>
      </c>
      <c r="E111" t="b">
        <f t="shared" si="57"/>
        <v>0</v>
      </c>
      <c r="G111" t="str">
        <f>TBIWet!H183</f>
        <v>G883</v>
      </c>
      <c r="H111" t="str">
        <f>TBIWet!I183</f>
        <v>R8</v>
      </c>
      <c r="I111" t="b">
        <f t="shared" si="58"/>
        <v>0</v>
      </c>
      <c r="J111" t="b">
        <f t="shared" si="59"/>
        <v>0</v>
      </c>
      <c r="L111" t="str">
        <f>'Both teabags AfterWet'!A109</f>
        <v>G504</v>
      </c>
      <c r="M111" t="str">
        <f>'Both teabags AfterWet'!A529</f>
        <v>R265</v>
      </c>
      <c r="N111" t="b">
        <f t="shared" si="60"/>
        <v>0</v>
      </c>
      <c r="O111" t="b">
        <f t="shared" si="105"/>
        <v>0</v>
      </c>
      <c r="Q111" s="395" t="b">
        <f t="shared" si="61"/>
        <v>0</v>
      </c>
      <c r="R111" s="395" t="b">
        <f t="shared" si="62"/>
        <v>0</v>
      </c>
      <c r="T111" t="str">
        <f>'Both teabags AfterDry'!A109</f>
        <v>G235</v>
      </c>
      <c r="U111" t="str">
        <f>'Both teabags AfterDry'!A444</f>
        <v>R388</v>
      </c>
      <c r="V111" t="b">
        <f t="shared" si="63"/>
        <v>0</v>
      </c>
      <c r="W111" t="b">
        <f t="shared" si="90"/>
        <v>0</v>
      </c>
      <c r="Y111" t="str">
        <f>'Green_rooibos initial weight'!A112</f>
        <v>G108</v>
      </c>
      <c r="Z111" t="str">
        <f>'Green_rooibos initial weight'!A1016</f>
        <v>R108</v>
      </c>
      <c r="AA111" t="b">
        <f t="shared" si="64"/>
        <v>0</v>
      </c>
      <c r="AB111" t="b">
        <f t="shared" si="65"/>
        <v>0</v>
      </c>
      <c r="AE111" t="str">
        <f>'WetLitterbags placem_collection'!K110</f>
        <v>G883</v>
      </c>
      <c r="AF111" t="str">
        <f>'WetLitterbags placem_collection'!M110</f>
        <v>R8</v>
      </c>
      <c r="AG111" t="b">
        <f t="shared" si="66"/>
        <v>0</v>
      </c>
      <c r="AH111" t="b">
        <f t="shared" si="67"/>
        <v>0</v>
      </c>
      <c r="AJ111" t="b">
        <f t="shared" si="68"/>
        <v>0</v>
      </c>
      <c r="AK111" t="b">
        <f t="shared" si="69"/>
        <v>0</v>
      </c>
      <c r="AM111" t="str">
        <f>IF(ISBLANK('Dry_Litterbag Placem_Collection'!J110),"","G"&amp;""&amp;'Dry_Litterbag Placem_Collection'!J110)</f>
        <v>G258</v>
      </c>
      <c r="AN111" t="str">
        <f>IF(ISBLANK('Dry_Litterbag Placem_Collection'!K110),"","R"&amp;""&amp;'Dry_Litterbag Placem_Collection'!K110)</f>
        <v>R777</v>
      </c>
      <c r="AO111" t="b">
        <f t="shared" si="70"/>
        <v>0</v>
      </c>
      <c r="AP111" t="b">
        <f t="shared" si="71"/>
        <v>0</v>
      </c>
      <c r="AS111" t="str">
        <f>'Ashed teabags dry'!A109</f>
        <v>G235</v>
      </c>
      <c r="AT111" t="str">
        <f>'Ashed teabags dry'!A444</f>
        <v>R388</v>
      </c>
      <c r="AU111" t="b">
        <f t="shared" si="72"/>
        <v>0</v>
      </c>
      <c r="AV111" t="b">
        <f>COUNTIF($AT$4:$AT$2000, AT111)&gt;1</f>
        <v>0</v>
      </c>
      <c r="AX111" s="395" t="b">
        <f t="shared" si="73"/>
        <v>0</v>
      </c>
      <c r="AY111" s="395" t="b">
        <f t="shared" si="74"/>
        <v>0</v>
      </c>
      <c r="BA111" t="str">
        <f>'Ashed teabags wet'!A109</f>
        <v>G504</v>
      </c>
      <c r="BB111" t="str">
        <f>'Ashed teabags wet'!A529</f>
        <v>R265</v>
      </c>
      <c r="BC111" t="b">
        <f t="shared" si="75"/>
        <v>0</v>
      </c>
      <c r="BD111" t="b">
        <f t="shared" si="55"/>
        <v>0</v>
      </c>
      <c r="BF111" t="str">
        <f t="shared" si="76"/>
        <v>G234</v>
      </c>
      <c r="BG111" t="str">
        <f>T110</f>
        <v>G234</v>
      </c>
      <c r="BH111" t="str">
        <f t="shared" si="77"/>
        <v>G129</v>
      </c>
      <c r="BI111" t="str">
        <f t="shared" si="91"/>
        <v/>
      </c>
      <c r="BJ111" t="s">
        <v>1816</v>
      </c>
      <c r="BK111" t="s">
        <v>1816</v>
      </c>
      <c r="BL111" t="s">
        <v>1816</v>
      </c>
      <c r="BM111" t="b">
        <f t="shared" si="92"/>
        <v>1</v>
      </c>
      <c r="BN111" t="str">
        <f t="shared" si="78"/>
        <v>R379</v>
      </c>
      <c r="BO111" t="str">
        <f>U110</f>
        <v>R379</v>
      </c>
      <c r="BP111" t="str">
        <f t="shared" si="79"/>
        <v>R809</v>
      </c>
      <c r="BQ111" t="str">
        <f t="shared" si="80"/>
        <v/>
      </c>
      <c r="BR111" t="s">
        <v>762</v>
      </c>
      <c r="BS111" t="s">
        <v>762</v>
      </c>
      <c r="BT111" t="s">
        <v>762</v>
      </c>
      <c r="BU111" t="b">
        <f t="shared" si="93"/>
        <v>1</v>
      </c>
      <c r="BZ111" t="str">
        <f t="shared" si="81"/>
        <v>G129</v>
      </c>
      <c r="CA111" t="b">
        <f t="shared" si="82"/>
        <v>1</v>
      </c>
      <c r="CB111" t="str">
        <f t="shared" si="94"/>
        <v/>
      </c>
      <c r="CC111" t="str">
        <f t="shared" si="83"/>
        <v>R809</v>
      </c>
      <c r="CD111" t="b">
        <f t="shared" si="95"/>
        <v>1</v>
      </c>
      <c r="CE111" t="str">
        <f t="shared" si="96"/>
        <v/>
      </c>
      <c r="CG111" t="str">
        <f t="shared" si="84"/>
        <v>G503</v>
      </c>
      <c r="CH111" t="str">
        <f t="shared" si="97"/>
        <v>G503</v>
      </c>
      <c r="CI111" t="str">
        <f>AE110</f>
        <v>G688</v>
      </c>
      <c r="CJ111" t="str">
        <f t="shared" si="85"/>
        <v>G688</v>
      </c>
      <c r="CK111" t="s">
        <v>1547</v>
      </c>
      <c r="CL111" t="s">
        <v>1547</v>
      </c>
      <c r="CM111" t="s">
        <v>1547</v>
      </c>
      <c r="CN111" t="b">
        <f t="shared" si="98"/>
        <v>1</v>
      </c>
      <c r="CO111" t="str">
        <f t="shared" si="86"/>
        <v>R264</v>
      </c>
      <c r="CP111" t="str">
        <f t="shared" si="99"/>
        <v>R264</v>
      </c>
      <c r="CQ111" t="str">
        <f>AF110</f>
        <v>R574</v>
      </c>
      <c r="CR111" t="str">
        <f t="shared" si="87"/>
        <v>R574</v>
      </c>
      <c r="CS111" t="s">
        <v>877</v>
      </c>
      <c r="CT111" t="s">
        <v>877</v>
      </c>
      <c r="CU111" t="s">
        <v>877</v>
      </c>
      <c r="CV111" t="b">
        <f t="shared" si="100"/>
        <v>1</v>
      </c>
      <c r="DC111" t="str">
        <f t="shared" si="88"/>
        <v>G688</v>
      </c>
      <c r="DD111" t="b">
        <f t="shared" si="101"/>
        <v>0</v>
      </c>
      <c r="DE111" t="str">
        <f t="shared" si="102"/>
        <v>G688</v>
      </c>
      <c r="DF111" t="str">
        <f t="shared" si="89"/>
        <v>R574</v>
      </c>
      <c r="DG111" t="b">
        <f t="shared" si="103"/>
        <v>0</v>
      </c>
      <c r="DH111" t="str">
        <f t="shared" si="104"/>
        <v>R574</v>
      </c>
    </row>
    <row r="112" spans="2:112" ht="12" customHeight="1">
      <c r="B112" t="str">
        <f>TBIDry!H184</f>
        <v>G294</v>
      </c>
      <c r="C112" t="str">
        <f>TBIDry!I184</f>
        <v>R804</v>
      </c>
      <c r="D112" t="b">
        <f t="shared" si="56"/>
        <v>0</v>
      </c>
      <c r="E112" t="b">
        <f t="shared" si="57"/>
        <v>0</v>
      </c>
      <c r="G112" t="str">
        <f>TBIWet!H184</f>
        <v>G704</v>
      </c>
      <c r="H112" t="str">
        <f>TBIWet!I184</f>
        <v>R552</v>
      </c>
      <c r="I112" t="b">
        <f t="shared" si="58"/>
        <v>0</v>
      </c>
      <c r="J112" t="b">
        <f t="shared" si="59"/>
        <v>0</v>
      </c>
      <c r="L112" t="str">
        <f>'Both teabags AfterWet'!A110</f>
        <v>G505</v>
      </c>
      <c r="M112" t="str">
        <f>'Both teabags AfterWet'!A530</f>
        <v>R266</v>
      </c>
      <c r="N112" t="b">
        <f t="shared" si="60"/>
        <v>0</v>
      </c>
      <c r="O112" t="b">
        <f t="shared" si="105"/>
        <v>0</v>
      </c>
      <c r="Q112" s="395" t="b">
        <f t="shared" si="61"/>
        <v>0</v>
      </c>
      <c r="R112" s="395" t="b">
        <f t="shared" si="62"/>
        <v>0</v>
      </c>
      <c r="T112" t="str">
        <f>'Both teabags AfterDry'!A110</f>
        <v>G236</v>
      </c>
      <c r="U112" t="str">
        <f>'Both teabags AfterDry'!A445</f>
        <v>R389</v>
      </c>
      <c r="V112" t="b">
        <f t="shared" si="63"/>
        <v>0</v>
      </c>
      <c r="W112" t="b">
        <f t="shared" si="90"/>
        <v>0</v>
      </c>
      <c r="Y112" t="str">
        <f>'Green_rooibos initial weight'!A113</f>
        <v>G109</v>
      </c>
      <c r="Z112" t="str">
        <f>'Green_rooibos initial weight'!A1017</f>
        <v>R109</v>
      </c>
      <c r="AA112" t="b">
        <f t="shared" si="64"/>
        <v>0</v>
      </c>
      <c r="AB112" t="b">
        <f t="shared" si="65"/>
        <v>0</v>
      </c>
      <c r="AE112" t="str">
        <f>'WetLitterbags placem_collection'!K111</f>
        <v>G704</v>
      </c>
      <c r="AF112" t="str">
        <f>'WetLitterbags placem_collection'!M111</f>
        <v>R552</v>
      </c>
      <c r="AG112" t="b">
        <f t="shared" si="66"/>
        <v>0</v>
      </c>
      <c r="AH112" t="b">
        <f t="shared" si="67"/>
        <v>0</v>
      </c>
      <c r="AJ112" t="b">
        <f t="shared" si="68"/>
        <v>0</v>
      </c>
      <c r="AK112" t="b">
        <f t="shared" si="69"/>
        <v>0</v>
      </c>
      <c r="AM112" t="str">
        <f>IF(ISBLANK('Dry_Litterbag Placem_Collection'!J111),"","G"&amp;""&amp;'Dry_Litterbag Placem_Collection'!J111)</f>
        <v>G294</v>
      </c>
      <c r="AN112" t="str">
        <f>IF(ISBLANK('Dry_Litterbag Placem_Collection'!K111),"","R"&amp;""&amp;'Dry_Litterbag Placem_Collection'!K111)</f>
        <v>R804</v>
      </c>
      <c r="AO112" t="b">
        <f t="shared" si="70"/>
        <v>0</v>
      </c>
      <c r="AP112" t="b">
        <f t="shared" si="71"/>
        <v>0</v>
      </c>
      <c r="AS112" t="str">
        <f>'Ashed teabags dry'!A110</f>
        <v>G236</v>
      </c>
      <c r="AT112" t="str">
        <f>'Ashed teabags dry'!A445</f>
        <v>R389</v>
      </c>
      <c r="AU112" t="b">
        <f t="shared" si="72"/>
        <v>0</v>
      </c>
      <c r="AV112" t="b">
        <f>COUNTIF($AT$4:$AT$2000, AT112)&gt;1</f>
        <v>0</v>
      </c>
      <c r="AX112" s="395" t="b">
        <f t="shared" si="73"/>
        <v>0</v>
      </c>
      <c r="AY112" s="395" t="b">
        <f t="shared" si="74"/>
        <v>0</v>
      </c>
      <c r="BA112" t="str">
        <f>'Ashed teabags wet'!A110</f>
        <v>G505</v>
      </c>
      <c r="BB112" t="str">
        <f>'Ashed teabags wet'!A530</f>
        <v>R266</v>
      </c>
      <c r="BC112" t="b">
        <f t="shared" si="75"/>
        <v>0</v>
      </c>
      <c r="BD112" t="b">
        <f t="shared" si="55"/>
        <v>0</v>
      </c>
      <c r="BF112" t="str">
        <f t="shared" si="76"/>
        <v>G235</v>
      </c>
      <c r="BG112" t="str">
        <f>T111</f>
        <v>G235</v>
      </c>
      <c r="BH112" t="str">
        <f t="shared" si="77"/>
        <v>G258</v>
      </c>
      <c r="BI112" t="str">
        <f t="shared" si="91"/>
        <v>G258</v>
      </c>
      <c r="BJ112" t="s">
        <v>1815</v>
      </c>
      <c r="BK112" t="s">
        <v>1815</v>
      </c>
      <c r="BL112" t="s">
        <v>1815</v>
      </c>
      <c r="BM112" t="b">
        <f t="shared" si="92"/>
        <v>1</v>
      </c>
      <c r="BN112" t="str">
        <f t="shared" si="78"/>
        <v>R388</v>
      </c>
      <c r="BO112" t="str">
        <f>U111</f>
        <v>R388</v>
      </c>
      <c r="BP112" t="str">
        <f t="shared" si="79"/>
        <v>R777</v>
      </c>
      <c r="BQ112" t="str">
        <f t="shared" si="80"/>
        <v>R777</v>
      </c>
      <c r="BR112" t="s">
        <v>753</v>
      </c>
      <c r="BS112" t="s">
        <v>753</v>
      </c>
      <c r="BT112" t="s">
        <v>753</v>
      </c>
      <c r="BU112" t="b">
        <f t="shared" si="93"/>
        <v>1</v>
      </c>
      <c r="BZ112" t="str">
        <f t="shared" si="81"/>
        <v>G258</v>
      </c>
      <c r="CA112" t="b">
        <f t="shared" si="82"/>
        <v>0</v>
      </c>
      <c r="CB112" t="str">
        <f t="shared" si="94"/>
        <v>G258</v>
      </c>
      <c r="CC112" t="str">
        <f t="shared" si="83"/>
        <v>R777</v>
      </c>
      <c r="CD112" t="b">
        <f t="shared" si="95"/>
        <v>0</v>
      </c>
      <c r="CE112" t="str">
        <f t="shared" si="96"/>
        <v>R777</v>
      </c>
      <c r="CG112" t="str">
        <f t="shared" si="84"/>
        <v>G504</v>
      </c>
      <c r="CH112" t="str">
        <f t="shared" si="97"/>
        <v>G504</v>
      </c>
      <c r="CI112" t="str">
        <f>AE111</f>
        <v>G883</v>
      </c>
      <c r="CJ112" t="str">
        <f t="shared" si="85"/>
        <v>G883</v>
      </c>
      <c r="CK112" t="s">
        <v>1546</v>
      </c>
      <c r="CL112" t="s">
        <v>1546</v>
      </c>
      <c r="CM112" t="s">
        <v>1546</v>
      </c>
      <c r="CN112" t="b">
        <f t="shared" si="98"/>
        <v>1</v>
      </c>
      <c r="CO112" t="str">
        <f t="shared" si="86"/>
        <v>R265</v>
      </c>
      <c r="CP112" t="str">
        <f t="shared" si="99"/>
        <v>R265</v>
      </c>
      <c r="CQ112" t="str">
        <f>AF111</f>
        <v>R8</v>
      </c>
      <c r="CR112" t="str">
        <f t="shared" si="87"/>
        <v>R8</v>
      </c>
      <c r="CS112" t="s">
        <v>876</v>
      </c>
      <c r="CT112" t="s">
        <v>876</v>
      </c>
      <c r="CU112" t="s">
        <v>876</v>
      </c>
      <c r="CV112" t="b">
        <f t="shared" si="100"/>
        <v>1</v>
      </c>
      <c r="DC112" t="str">
        <f t="shared" si="88"/>
        <v>G883</v>
      </c>
      <c r="DD112" t="b">
        <f t="shared" si="101"/>
        <v>0</v>
      </c>
      <c r="DE112" t="str">
        <f t="shared" si="102"/>
        <v>G883</v>
      </c>
      <c r="DF112" t="str">
        <f t="shared" si="89"/>
        <v>R8</v>
      </c>
      <c r="DG112" t="b">
        <f t="shared" si="103"/>
        <v>0</v>
      </c>
      <c r="DH112" t="str">
        <f t="shared" si="104"/>
        <v>R8</v>
      </c>
    </row>
    <row r="113" spans="2:112" ht="12" customHeight="1">
      <c r="B113" t="str">
        <f>TBIDry!H185</f>
        <v>G350</v>
      </c>
      <c r="C113" t="str">
        <f>TBIDry!I185</f>
        <v>R786</v>
      </c>
      <c r="D113" t="b">
        <f t="shared" si="56"/>
        <v>0</v>
      </c>
      <c r="E113" t="b">
        <f t="shared" si="57"/>
        <v>0</v>
      </c>
      <c r="G113" t="str">
        <f>TBIWet!H185</f>
        <v>G742</v>
      </c>
      <c r="H113" t="str">
        <f>TBIWet!I185</f>
        <v>R462</v>
      </c>
      <c r="I113" t="b">
        <f t="shared" si="58"/>
        <v>0</v>
      </c>
      <c r="J113" t="b">
        <f t="shared" si="59"/>
        <v>0</v>
      </c>
      <c r="L113" t="str">
        <f>'Both teabags AfterWet'!A111</f>
        <v>G506</v>
      </c>
      <c r="M113" t="str">
        <f>'Both teabags AfterWet'!A531</f>
        <v>R268</v>
      </c>
      <c r="N113" t="b">
        <f t="shared" si="60"/>
        <v>0</v>
      </c>
      <c r="O113" t="b">
        <f t="shared" si="105"/>
        <v>0</v>
      </c>
      <c r="Q113" s="395" t="b">
        <f t="shared" si="61"/>
        <v>0</v>
      </c>
      <c r="R113" s="395" t="b">
        <f t="shared" si="62"/>
        <v>0</v>
      </c>
      <c r="T113" t="str">
        <f>'Both teabags AfterDry'!A111</f>
        <v>G237</v>
      </c>
      <c r="U113" t="str">
        <f>'Both teabags AfterDry'!A446</f>
        <v>R394</v>
      </c>
      <c r="V113" t="b">
        <f t="shared" si="63"/>
        <v>0</v>
      </c>
      <c r="W113" t="b">
        <f t="shared" si="90"/>
        <v>0</v>
      </c>
      <c r="Y113" t="str">
        <f>'Green_rooibos initial weight'!A114</f>
        <v>G110</v>
      </c>
      <c r="Z113" t="str">
        <f>'Green_rooibos initial weight'!A1018</f>
        <v>R110</v>
      </c>
      <c r="AA113" t="b">
        <f t="shared" si="64"/>
        <v>0</v>
      </c>
      <c r="AB113" t="b">
        <f t="shared" si="65"/>
        <v>0</v>
      </c>
      <c r="AE113" t="str">
        <f>'WetLitterbags placem_collection'!K112</f>
        <v>G742</v>
      </c>
      <c r="AF113" t="str">
        <f>'WetLitterbags placem_collection'!M112</f>
        <v>R462</v>
      </c>
      <c r="AG113" t="b">
        <f t="shared" si="66"/>
        <v>0</v>
      </c>
      <c r="AH113" t="b">
        <f t="shared" si="67"/>
        <v>0</v>
      </c>
      <c r="AJ113" t="b">
        <f t="shared" si="68"/>
        <v>0</v>
      </c>
      <c r="AK113" t="b">
        <f t="shared" si="69"/>
        <v>0</v>
      </c>
      <c r="AM113" t="str">
        <f>IF(ISBLANK('Dry_Litterbag Placem_Collection'!J112),"","G"&amp;""&amp;'Dry_Litterbag Placem_Collection'!J112)</f>
        <v>G350</v>
      </c>
      <c r="AN113" t="str">
        <f>IF(ISBLANK('Dry_Litterbag Placem_Collection'!K112),"","R"&amp;""&amp;'Dry_Litterbag Placem_Collection'!K112)</f>
        <v>R786</v>
      </c>
      <c r="AO113" t="b">
        <f t="shared" si="70"/>
        <v>0</v>
      </c>
      <c r="AP113" t="b">
        <f t="shared" si="71"/>
        <v>0</v>
      </c>
      <c r="AS113" t="str">
        <f>'Ashed teabags dry'!A111</f>
        <v>G237</v>
      </c>
      <c r="AT113" t="str">
        <f>'Ashed teabags dry'!A446</f>
        <v>R394</v>
      </c>
      <c r="AU113" t="b">
        <f t="shared" si="72"/>
        <v>0</v>
      </c>
      <c r="AV113" t="b">
        <f>COUNTIF($AT$4:$AT$2000, AT113)&gt;1</f>
        <v>0</v>
      </c>
      <c r="AX113" s="395" t="b">
        <f t="shared" si="73"/>
        <v>0</v>
      </c>
      <c r="AY113" s="395" t="b">
        <f t="shared" si="74"/>
        <v>0</v>
      </c>
      <c r="BA113" t="str">
        <f>'Ashed teabags wet'!A111</f>
        <v>G506</v>
      </c>
      <c r="BB113" t="str">
        <f>'Ashed teabags wet'!A531</f>
        <v>R268</v>
      </c>
      <c r="BC113" t="b">
        <f t="shared" si="75"/>
        <v>0</v>
      </c>
      <c r="BD113" t="b">
        <f t="shared" si="55"/>
        <v>0</v>
      </c>
      <c r="BF113" t="str">
        <f t="shared" si="76"/>
        <v>G236</v>
      </c>
      <c r="BG113" t="str">
        <f>T112</f>
        <v>G236</v>
      </c>
      <c r="BH113" t="str">
        <f t="shared" si="77"/>
        <v>G294</v>
      </c>
      <c r="BI113" t="str">
        <f t="shared" si="91"/>
        <v>G294</v>
      </c>
      <c r="BJ113" t="s">
        <v>1814</v>
      </c>
      <c r="BK113" t="s">
        <v>1814</v>
      </c>
      <c r="BL113" t="s">
        <v>1814</v>
      </c>
      <c r="BM113" t="b">
        <f t="shared" si="92"/>
        <v>1</v>
      </c>
      <c r="BN113" t="str">
        <f t="shared" si="78"/>
        <v>R389</v>
      </c>
      <c r="BO113" t="str">
        <f>U112</f>
        <v>R389</v>
      </c>
      <c r="BP113" t="str">
        <f t="shared" si="79"/>
        <v>R804</v>
      </c>
      <c r="BQ113" t="str">
        <f t="shared" si="80"/>
        <v>R804</v>
      </c>
      <c r="BR113" t="s">
        <v>752</v>
      </c>
      <c r="BS113" t="s">
        <v>752</v>
      </c>
      <c r="BT113" t="s">
        <v>752</v>
      </c>
      <c r="BU113" t="b">
        <f t="shared" si="93"/>
        <v>1</v>
      </c>
      <c r="BZ113" t="str">
        <f t="shared" si="81"/>
        <v>G294</v>
      </c>
      <c r="CA113" t="b">
        <f t="shared" si="82"/>
        <v>0</v>
      </c>
      <c r="CB113" t="str">
        <f t="shared" si="94"/>
        <v>G294</v>
      </c>
      <c r="CC113" t="str">
        <f t="shared" si="83"/>
        <v>R804</v>
      </c>
      <c r="CD113" t="b">
        <f t="shared" si="95"/>
        <v>0</v>
      </c>
      <c r="CE113" t="str">
        <f t="shared" si="96"/>
        <v>R804</v>
      </c>
      <c r="CG113" t="str">
        <f t="shared" si="84"/>
        <v>G505</v>
      </c>
      <c r="CH113" t="str">
        <f t="shared" si="97"/>
        <v>G505</v>
      </c>
      <c r="CI113" t="str">
        <f>AE112</f>
        <v>G704</v>
      </c>
      <c r="CJ113" t="str">
        <f t="shared" si="85"/>
        <v>G704</v>
      </c>
      <c r="CK113" t="s">
        <v>1545</v>
      </c>
      <c r="CL113" t="s">
        <v>1545</v>
      </c>
      <c r="CM113" t="s">
        <v>1545</v>
      </c>
      <c r="CN113" t="b">
        <f t="shared" si="98"/>
        <v>1</v>
      </c>
      <c r="CO113" t="str">
        <f t="shared" si="86"/>
        <v>R266</v>
      </c>
      <c r="CP113" t="str">
        <f t="shared" si="99"/>
        <v>R266</v>
      </c>
      <c r="CQ113" t="str">
        <f>AF112</f>
        <v>R552</v>
      </c>
      <c r="CR113" t="str">
        <f t="shared" si="87"/>
        <v>R552</v>
      </c>
      <c r="CS113" t="s">
        <v>875</v>
      </c>
      <c r="CT113" t="s">
        <v>875</v>
      </c>
      <c r="CU113" t="s">
        <v>875</v>
      </c>
      <c r="CV113" t="b">
        <f t="shared" si="100"/>
        <v>1</v>
      </c>
      <c r="DC113" t="str">
        <f t="shared" si="88"/>
        <v>G704</v>
      </c>
      <c r="DD113" t="b">
        <f t="shared" si="101"/>
        <v>0</v>
      </c>
      <c r="DE113" t="str">
        <f t="shared" si="102"/>
        <v>G704</v>
      </c>
      <c r="DF113" t="str">
        <f t="shared" si="89"/>
        <v>R552</v>
      </c>
      <c r="DG113" t="b">
        <f t="shared" si="103"/>
        <v>0</v>
      </c>
      <c r="DH113" t="str">
        <f t="shared" si="104"/>
        <v>R552</v>
      </c>
    </row>
    <row r="114" spans="2:112" ht="12" customHeight="1">
      <c r="B114" t="str">
        <f>TBIDry!H186</f>
        <v>G274</v>
      </c>
      <c r="C114" t="str">
        <f>TBIDry!I186</f>
        <v>R835</v>
      </c>
      <c r="D114" t="b">
        <f t="shared" si="56"/>
        <v>0</v>
      </c>
      <c r="E114" t="b">
        <f t="shared" si="57"/>
        <v>0</v>
      </c>
      <c r="G114" t="str">
        <f>TBIWet!H186</f>
        <v>G831</v>
      </c>
      <c r="H114" t="str">
        <f>TBIWet!I186</f>
        <v>R505</v>
      </c>
      <c r="I114" t="b">
        <f t="shared" si="58"/>
        <v>0</v>
      </c>
      <c r="J114" t="b">
        <f t="shared" si="59"/>
        <v>0</v>
      </c>
      <c r="L114" t="str">
        <f>'Both teabags AfterWet'!A112</f>
        <v>G507</v>
      </c>
      <c r="M114" t="str">
        <f>'Both teabags AfterWet'!A532</f>
        <v>R27</v>
      </c>
      <c r="N114" t="b">
        <f t="shared" si="60"/>
        <v>0</v>
      </c>
      <c r="O114" t="b">
        <f t="shared" si="105"/>
        <v>0</v>
      </c>
      <c r="Q114" s="395" t="b">
        <f t="shared" si="61"/>
        <v>0</v>
      </c>
      <c r="R114" s="395" t="b">
        <f t="shared" si="62"/>
        <v>0</v>
      </c>
      <c r="T114" t="str">
        <f>'Both teabags AfterDry'!A112</f>
        <v>G238</v>
      </c>
      <c r="U114" t="str">
        <f>'Both teabags AfterDry'!A447</f>
        <v>R397</v>
      </c>
      <c r="V114" t="b">
        <f t="shared" si="63"/>
        <v>0</v>
      </c>
      <c r="W114" t="b">
        <f t="shared" si="90"/>
        <v>0</v>
      </c>
      <c r="Y114" t="str">
        <f>'Green_rooibos initial weight'!A115</f>
        <v>G111</v>
      </c>
      <c r="Z114" t="str">
        <f>'Green_rooibos initial weight'!A1019</f>
        <v>R111</v>
      </c>
      <c r="AA114" t="b">
        <f t="shared" si="64"/>
        <v>0</v>
      </c>
      <c r="AB114" t="b">
        <f t="shared" si="65"/>
        <v>0</v>
      </c>
      <c r="AE114" t="str">
        <f>'WetLitterbags placem_collection'!K113</f>
        <v>G831</v>
      </c>
      <c r="AF114" t="str">
        <f>'WetLitterbags placem_collection'!M113</f>
        <v>R505</v>
      </c>
      <c r="AG114" t="b">
        <f t="shared" si="66"/>
        <v>0</v>
      </c>
      <c r="AH114" t="b">
        <f t="shared" si="67"/>
        <v>0</v>
      </c>
      <c r="AJ114" t="b">
        <f t="shared" si="68"/>
        <v>0</v>
      </c>
      <c r="AK114" t="b">
        <f t="shared" si="69"/>
        <v>0</v>
      </c>
      <c r="AM114" t="str">
        <f>IF(ISBLANK('Dry_Litterbag Placem_Collection'!J113),"","G"&amp;""&amp;'Dry_Litterbag Placem_Collection'!J113)</f>
        <v>G274</v>
      </c>
      <c r="AN114" t="str">
        <f>IF(ISBLANK('Dry_Litterbag Placem_Collection'!K113),"","R"&amp;""&amp;'Dry_Litterbag Placem_Collection'!K113)</f>
        <v>R835</v>
      </c>
      <c r="AO114" t="b">
        <f t="shared" si="70"/>
        <v>0</v>
      </c>
      <c r="AP114" t="b">
        <f t="shared" si="71"/>
        <v>0</v>
      </c>
      <c r="AS114" t="str">
        <f>'Ashed teabags dry'!A112</f>
        <v>G238</v>
      </c>
      <c r="AT114" t="str">
        <f>'Ashed teabags dry'!A447</f>
        <v>R397</v>
      </c>
      <c r="AU114" t="b">
        <f t="shared" si="72"/>
        <v>0</v>
      </c>
      <c r="AV114" t="b">
        <f>COUNTIF($AT$4:$AT$2000, AT114)&gt;1</f>
        <v>0</v>
      </c>
      <c r="AX114" s="395" t="b">
        <f t="shared" si="73"/>
        <v>0</v>
      </c>
      <c r="AY114" s="395" t="b">
        <f t="shared" si="74"/>
        <v>0</v>
      </c>
      <c r="BA114" t="str">
        <f>'Ashed teabags wet'!A112</f>
        <v>G507</v>
      </c>
      <c r="BB114" t="str">
        <f>'Ashed teabags wet'!A532</f>
        <v>R27</v>
      </c>
      <c r="BC114" t="b">
        <f t="shared" si="75"/>
        <v>0</v>
      </c>
      <c r="BD114" t="b">
        <f t="shared" si="55"/>
        <v>0</v>
      </c>
      <c r="BF114" t="str">
        <f t="shared" si="76"/>
        <v>G237</v>
      </c>
      <c r="BG114" t="str">
        <f>T113</f>
        <v>G237</v>
      </c>
      <c r="BH114" t="str">
        <f t="shared" si="77"/>
        <v>G350</v>
      </c>
      <c r="BI114" t="str">
        <f t="shared" si="91"/>
        <v>G350</v>
      </c>
      <c r="BJ114" t="s">
        <v>1813</v>
      </c>
      <c r="BK114" t="s">
        <v>1813</v>
      </c>
      <c r="BL114" t="s">
        <v>1813</v>
      </c>
      <c r="BM114" t="b">
        <f t="shared" si="92"/>
        <v>1</v>
      </c>
      <c r="BN114" t="str">
        <f t="shared" si="78"/>
        <v>R394</v>
      </c>
      <c r="BO114" t="str">
        <f>U113</f>
        <v>R394</v>
      </c>
      <c r="BP114" t="str">
        <f t="shared" si="79"/>
        <v>R786</v>
      </c>
      <c r="BQ114" t="str">
        <f t="shared" si="80"/>
        <v>R786</v>
      </c>
      <c r="BR114" t="s">
        <v>747</v>
      </c>
      <c r="BS114" t="s">
        <v>747</v>
      </c>
      <c r="BT114" t="s">
        <v>747</v>
      </c>
      <c r="BU114" t="b">
        <f t="shared" si="93"/>
        <v>1</v>
      </c>
      <c r="BZ114" t="str">
        <f t="shared" si="81"/>
        <v>G350</v>
      </c>
      <c r="CA114" t="b">
        <f t="shared" si="82"/>
        <v>0</v>
      </c>
      <c r="CB114" t="str">
        <f t="shared" si="94"/>
        <v>G350</v>
      </c>
      <c r="CC114" t="str">
        <f t="shared" si="83"/>
        <v>R786</v>
      </c>
      <c r="CD114" t="b">
        <f t="shared" si="95"/>
        <v>0</v>
      </c>
      <c r="CE114" t="str">
        <f t="shared" si="96"/>
        <v>R786</v>
      </c>
      <c r="CG114" t="str">
        <f t="shared" si="84"/>
        <v>G506</v>
      </c>
      <c r="CH114" t="str">
        <f t="shared" si="97"/>
        <v>G506</v>
      </c>
      <c r="CI114" t="str">
        <f>AE113</f>
        <v>G742</v>
      </c>
      <c r="CJ114" t="str">
        <f t="shared" si="85"/>
        <v>G742</v>
      </c>
      <c r="CK114" t="s">
        <v>1544</v>
      </c>
      <c r="CL114" t="s">
        <v>1544</v>
      </c>
      <c r="CM114" t="s">
        <v>1544</v>
      </c>
      <c r="CN114" t="b">
        <f t="shared" si="98"/>
        <v>1</v>
      </c>
      <c r="CO114" t="str">
        <f t="shared" si="86"/>
        <v>R268</v>
      </c>
      <c r="CP114" t="str">
        <f t="shared" si="99"/>
        <v>R268</v>
      </c>
      <c r="CQ114" t="str">
        <f>AF113</f>
        <v>R462</v>
      </c>
      <c r="CR114" t="str">
        <f t="shared" si="87"/>
        <v>R462</v>
      </c>
      <c r="CS114" t="s">
        <v>873</v>
      </c>
      <c r="CT114" t="s">
        <v>873</v>
      </c>
      <c r="CU114" t="s">
        <v>873</v>
      </c>
      <c r="CV114" t="b">
        <f t="shared" si="100"/>
        <v>1</v>
      </c>
      <c r="DC114" t="str">
        <f t="shared" si="88"/>
        <v>G742</v>
      </c>
      <c r="DD114" t="b">
        <f t="shared" si="101"/>
        <v>0</v>
      </c>
      <c r="DE114" t="str">
        <f t="shared" si="102"/>
        <v>G742</v>
      </c>
      <c r="DF114" t="str">
        <f t="shared" si="89"/>
        <v>R462</v>
      </c>
      <c r="DG114" t="b">
        <f t="shared" si="103"/>
        <v>0</v>
      </c>
      <c r="DH114" t="str">
        <f t="shared" si="104"/>
        <v>R462</v>
      </c>
    </row>
    <row r="115" spans="2:112" ht="12" customHeight="1">
      <c r="B115" t="str">
        <f>TBIDry!H187</f>
        <v/>
      </c>
      <c r="C115" t="str">
        <f>TBIDry!I187</f>
        <v/>
      </c>
      <c r="D115" t="b">
        <f t="shared" si="56"/>
        <v>1</v>
      </c>
      <c r="E115" t="b">
        <f t="shared" si="57"/>
        <v>1</v>
      </c>
      <c r="G115" t="str">
        <f>TBIWet!H187</f>
        <v>G899</v>
      </c>
      <c r="H115" t="str">
        <f>TBIWet!I187</f>
        <v>R41</v>
      </c>
      <c r="I115" t="b">
        <f t="shared" si="58"/>
        <v>0</v>
      </c>
      <c r="J115" t="b">
        <f t="shared" si="59"/>
        <v>0</v>
      </c>
      <c r="L115" t="str">
        <f>'Both teabags AfterWet'!A113</f>
        <v>G508</v>
      </c>
      <c r="M115" t="str">
        <f>'Both teabags AfterWet'!A533</f>
        <v>R271</v>
      </c>
      <c r="N115" t="b">
        <f t="shared" si="60"/>
        <v>0</v>
      </c>
      <c r="O115" t="b">
        <f t="shared" si="105"/>
        <v>0</v>
      </c>
      <c r="Q115" s="395" t="b">
        <f t="shared" si="61"/>
        <v>0</v>
      </c>
      <c r="R115" s="395" t="b">
        <f t="shared" si="62"/>
        <v>0</v>
      </c>
      <c r="T115" t="str">
        <f>'Both teabags AfterDry'!A113</f>
        <v>G239</v>
      </c>
      <c r="U115" t="str">
        <f>'Both teabags AfterDry'!A448</f>
        <v>R401</v>
      </c>
      <c r="V115" t="b">
        <f t="shared" si="63"/>
        <v>0</v>
      </c>
      <c r="W115" t="b">
        <f t="shared" si="90"/>
        <v>0</v>
      </c>
      <c r="Y115" t="str">
        <f>'Green_rooibos initial weight'!A116</f>
        <v>G112</v>
      </c>
      <c r="Z115" t="str">
        <f>'Green_rooibos initial weight'!A1020</f>
        <v>R112</v>
      </c>
      <c r="AA115" t="b">
        <f t="shared" si="64"/>
        <v>0</v>
      </c>
      <c r="AB115" t="b">
        <f t="shared" si="65"/>
        <v>0</v>
      </c>
      <c r="AE115" t="str">
        <f>'WetLitterbags placem_collection'!K114</f>
        <v>G899</v>
      </c>
      <c r="AF115" t="str">
        <f>'WetLitterbags placem_collection'!M114</f>
        <v>R41</v>
      </c>
      <c r="AG115" t="b">
        <f t="shared" si="66"/>
        <v>0</v>
      </c>
      <c r="AH115" t="b">
        <f t="shared" si="67"/>
        <v>0</v>
      </c>
      <c r="AJ115" t="b">
        <f t="shared" si="68"/>
        <v>0</v>
      </c>
      <c r="AK115" t="b">
        <f t="shared" si="69"/>
        <v>0</v>
      </c>
      <c r="AM115" t="str">
        <f>IF(ISBLANK('Dry_Litterbag Placem_Collection'!J114),"","G"&amp;""&amp;'Dry_Litterbag Placem_Collection'!J114)</f>
        <v/>
      </c>
      <c r="AN115" t="str">
        <f>IF(ISBLANK('Dry_Litterbag Placem_Collection'!K114),"","R"&amp;""&amp;'Dry_Litterbag Placem_Collection'!K114)</f>
        <v/>
      </c>
      <c r="AO115" t="b">
        <f t="shared" si="70"/>
        <v>1</v>
      </c>
      <c r="AP115" t="b">
        <f t="shared" si="71"/>
        <v>1</v>
      </c>
      <c r="AS115" t="str">
        <f>'Ashed teabags dry'!A113</f>
        <v>G239</v>
      </c>
      <c r="AT115" t="str">
        <f>'Ashed teabags dry'!A448</f>
        <v>R401</v>
      </c>
      <c r="AU115" t="b">
        <f t="shared" si="72"/>
        <v>0</v>
      </c>
      <c r="AV115" t="b">
        <f>COUNTIF($AT$4:$AT$2000, AT115)&gt;1</f>
        <v>0</v>
      </c>
      <c r="AX115" s="395" t="b">
        <f t="shared" si="73"/>
        <v>0</v>
      </c>
      <c r="AY115" s="395" t="b">
        <f t="shared" si="74"/>
        <v>0</v>
      </c>
      <c r="BA115" t="str">
        <f>'Ashed teabags wet'!A113</f>
        <v>G508</v>
      </c>
      <c r="BB115" t="str">
        <f>'Ashed teabags wet'!A533</f>
        <v>R271</v>
      </c>
      <c r="BC115" t="b">
        <f t="shared" si="75"/>
        <v>0</v>
      </c>
      <c r="BD115" t="b">
        <f t="shared" si="55"/>
        <v>0</v>
      </c>
      <c r="BF115" t="str">
        <f t="shared" si="76"/>
        <v>G238</v>
      </c>
      <c r="BG115" t="str">
        <f>T114</f>
        <v>G238</v>
      </c>
      <c r="BH115" t="str">
        <f t="shared" si="77"/>
        <v>G274</v>
      </c>
      <c r="BI115" t="str">
        <f t="shared" si="91"/>
        <v>G274</v>
      </c>
      <c r="BJ115" t="s">
        <v>1812</v>
      </c>
      <c r="BK115" t="s">
        <v>1812</v>
      </c>
      <c r="BL115" t="s">
        <v>1812</v>
      </c>
      <c r="BM115" t="b">
        <f t="shared" si="92"/>
        <v>1</v>
      </c>
      <c r="BN115" t="str">
        <f t="shared" si="78"/>
        <v>R397</v>
      </c>
      <c r="BO115" t="str">
        <f>U114</f>
        <v>R397</v>
      </c>
      <c r="BP115" t="str">
        <f t="shared" si="79"/>
        <v>R835</v>
      </c>
      <c r="BQ115" t="str">
        <f t="shared" si="80"/>
        <v>R835</v>
      </c>
      <c r="BR115" t="s">
        <v>744</v>
      </c>
      <c r="BS115" t="s">
        <v>744</v>
      </c>
      <c r="BT115" t="s">
        <v>744</v>
      </c>
      <c r="BU115" t="b">
        <f t="shared" si="93"/>
        <v>1</v>
      </c>
      <c r="BZ115" t="str">
        <f t="shared" si="81"/>
        <v>G274</v>
      </c>
      <c r="CA115" t="b">
        <f t="shared" si="82"/>
        <v>0</v>
      </c>
      <c r="CB115" t="str">
        <f t="shared" si="94"/>
        <v>G274</v>
      </c>
      <c r="CC115" t="str">
        <f t="shared" si="83"/>
        <v>R835</v>
      </c>
      <c r="CD115" t="b">
        <f t="shared" si="95"/>
        <v>0</v>
      </c>
      <c r="CE115" t="str">
        <f t="shared" si="96"/>
        <v>R835</v>
      </c>
      <c r="CG115" t="str">
        <f t="shared" si="84"/>
        <v>G507</v>
      </c>
      <c r="CH115" t="str">
        <f t="shared" si="97"/>
        <v>G507</v>
      </c>
      <c r="CI115" t="str">
        <f>AE114</f>
        <v>G831</v>
      </c>
      <c r="CJ115" t="str">
        <f t="shared" si="85"/>
        <v>G831</v>
      </c>
      <c r="CK115" t="s">
        <v>1543</v>
      </c>
      <c r="CL115" t="s">
        <v>1543</v>
      </c>
      <c r="CM115" t="s">
        <v>1543</v>
      </c>
      <c r="CN115" t="b">
        <f t="shared" si="98"/>
        <v>1</v>
      </c>
      <c r="CO115" t="str">
        <f t="shared" si="86"/>
        <v>R27</v>
      </c>
      <c r="CP115" t="str">
        <f t="shared" si="99"/>
        <v>R27</v>
      </c>
      <c r="CQ115" t="str">
        <f>AF114</f>
        <v>R505</v>
      </c>
      <c r="CR115" t="str">
        <f t="shared" si="87"/>
        <v>R505</v>
      </c>
      <c r="CS115" t="s">
        <v>1114</v>
      </c>
      <c r="CT115" t="s">
        <v>1114</v>
      </c>
      <c r="CU115" t="s">
        <v>1114</v>
      </c>
      <c r="CV115" t="b">
        <f t="shared" si="100"/>
        <v>1</v>
      </c>
      <c r="DC115" t="str">
        <f t="shared" si="88"/>
        <v>G831</v>
      </c>
      <c r="DD115" t="b">
        <f t="shared" si="101"/>
        <v>0</v>
      </c>
      <c r="DE115" t="str">
        <f t="shared" si="102"/>
        <v>G831</v>
      </c>
      <c r="DF115" t="str">
        <f t="shared" si="89"/>
        <v>R505</v>
      </c>
      <c r="DG115" t="b">
        <f t="shared" si="103"/>
        <v>0</v>
      </c>
      <c r="DH115" t="str">
        <f t="shared" si="104"/>
        <v>R505</v>
      </c>
    </row>
    <row r="116" spans="2:112" ht="12" customHeight="1">
      <c r="B116" t="str">
        <f>TBIDry!H188</f>
        <v>G314</v>
      </c>
      <c r="C116" t="str">
        <f>TBIDry!I188</f>
        <v>R807</v>
      </c>
      <c r="D116" t="b">
        <f t="shared" si="56"/>
        <v>0</v>
      </c>
      <c r="E116" t="b">
        <f t="shared" si="57"/>
        <v>0</v>
      </c>
      <c r="G116" t="str">
        <f>TBIWet!H188</f>
        <v>G724</v>
      </c>
      <c r="H116" t="str">
        <f>TBIWet!I188</f>
        <v>R428</v>
      </c>
      <c r="I116" t="b">
        <f t="shared" si="58"/>
        <v>0</v>
      </c>
      <c r="J116" t="b">
        <f t="shared" si="59"/>
        <v>0</v>
      </c>
      <c r="L116" t="str">
        <f>'Both teabags AfterWet'!A114</f>
        <v>G509</v>
      </c>
      <c r="M116" t="str">
        <f>'Both teabags AfterWet'!A534</f>
        <v>R273</v>
      </c>
      <c r="N116" t="b">
        <f t="shared" si="60"/>
        <v>0</v>
      </c>
      <c r="O116" t="b">
        <f t="shared" si="105"/>
        <v>0</v>
      </c>
      <c r="Q116" s="395" t="b">
        <f t="shared" si="61"/>
        <v>0</v>
      </c>
      <c r="R116" s="395" t="b">
        <f t="shared" si="62"/>
        <v>0</v>
      </c>
      <c r="T116" t="str">
        <f>'Both teabags AfterDry'!A114</f>
        <v>G24</v>
      </c>
      <c r="U116" t="str">
        <f>'Both teabags AfterDry'!A449</f>
        <v>R402</v>
      </c>
      <c r="V116" t="b">
        <f t="shared" si="63"/>
        <v>0</v>
      </c>
      <c r="W116" t="b">
        <f t="shared" si="90"/>
        <v>0</v>
      </c>
      <c r="Y116" t="str">
        <f>'Green_rooibos initial weight'!A117</f>
        <v>G113</v>
      </c>
      <c r="Z116" t="str">
        <f>'Green_rooibos initial weight'!A1021</f>
        <v>R113</v>
      </c>
      <c r="AA116" t="b">
        <f t="shared" si="64"/>
        <v>0</v>
      </c>
      <c r="AB116" t="b">
        <f t="shared" si="65"/>
        <v>0</v>
      </c>
      <c r="AE116" t="str">
        <f>'WetLitterbags placem_collection'!K115</f>
        <v>G724</v>
      </c>
      <c r="AF116" t="str">
        <f>'WetLitterbags placem_collection'!M115</f>
        <v>R428</v>
      </c>
      <c r="AG116" t="b">
        <f t="shared" si="66"/>
        <v>0</v>
      </c>
      <c r="AH116" t="b">
        <f t="shared" si="67"/>
        <v>0</v>
      </c>
      <c r="AJ116" t="b">
        <f t="shared" si="68"/>
        <v>0</v>
      </c>
      <c r="AK116" t="b">
        <f t="shared" si="69"/>
        <v>0</v>
      </c>
      <c r="AM116" t="str">
        <f>IF(ISBLANK('Dry_Litterbag Placem_Collection'!J115),"","G"&amp;""&amp;'Dry_Litterbag Placem_Collection'!J115)</f>
        <v>G314</v>
      </c>
      <c r="AN116" t="str">
        <f>IF(ISBLANK('Dry_Litterbag Placem_Collection'!K115),"","R"&amp;""&amp;'Dry_Litterbag Placem_Collection'!K115)</f>
        <v>R807</v>
      </c>
      <c r="AO116" t="b">
        <f t="shared" si="70"/>
        <v>0</v>
      </c>
      <c r="AP116" t="b">
        <f t="shared" si="71"/>
        <v>0</v>
      </c>
      <c r="AS116" t="str">
        <f>'Ashed teabags dry'!A114</f>
        <v>G24</v>
      </c>
      <c r="AT116" t="str">
        <f>'Ashed teabags dry'!A449</f>
        <v>R402</v>
      </c>
      <c r="AU116" t="b">
        <f t="shared" si="72"/>
        <v>0</v>
      </c>
      <c r="AV116" t="b">
        <f>COUNTIF($AT$4:$AT$2000, AT116)&gt;1</f>
        <v>0</v>
      </c>
      <c r="AX116" s="395" t="b">
        <f t="shared" si="73"/>
        <v>0</v>
      </c>
      <c r="AY116" s="395" t="b">
        <f t="shared" si="74"/>
        <v>0</v>
      </c>
      <c r="BA116" t="str">
        <f>'Ashed teabags wet'!A114</f>
        <v>G509</v>
      </c>
      <c r="BB116" t="str">
        <f>'Ashed teabags wet'!A534</f>
        <v>R273</v>
      </c>
      <c r="BC116" t="b">
        <f t="shared" si="75"/>
        <v>0</v>
      </c>
      <c r="BD116" t="b">
        <f t="shared" si="55"/>
        <v>0</v>
      </c>
      <c r="BF116" t="str">
        <f t="shared" si="76"/>
        <v>G239</v>
      </c>
      <c r="BG116" t="str">
        <f>T115</f>
        <v>G239</v>
      </c>
      <c r="BH116" t="str">
        <f t="shared" si="77"/>
        <v/>
      </c>
      <c r="BI116" t="str">
        <f t="shared" si="91"/>
        <v/>
      </c>
      <c r="BJ116" t="s">
        <v>1811</v>
      </c>
      <c r="BK116" t="s">
        <v>1811</v>
      </c>
      <c r="BL116" t="s">
        <v>1811</v>
      </c>
      <c r="BM116" t="b">
        <f t="shared" si="92"/>
        <v>1</v>
      </c>
      <c r="BN116" t="str">
        <f t="shared" si="78"/>
        <v>R401</v>
      </c>
      <c r="BO116" t="str">
        <f>U115</f>
        <v>R401</v>
      </c>
      <c r="BP116" t="str">
        <f t="shared" si="79"/>
        <v/>
      </c>
      <c r="BQ116" t="str">
        <f t="shared" si="80"/>
        <v/>
      </c>
      <c r="BR116" t="s">
        <v>740</v>
      </c>
      <c r="BS116" t="s">
        <v>740</v>
      </c>
      <c r="BT116" t="s">
        <v>740</v>
      </c>
      <c r="BU116" t="b">
        <f t="shared" si="93"/>
        <v>1</v>
      </c>
      <c r="BZ116" t="str">
        <f t="shared" si="81"/>
        <v/>
      </c>
      <c r="CA116" t="b">
        <f t="shared" si="82"/>
        <v>0</v>
      </c>
      <c r="CB116" t="str">
        <f t="shared" si="94"/>
        <v/>
      </c>
      <c r="CC116" t="str">
        <f t="shared" si="83"/>
        <v/>
      </c>
      <c r="CD116" t="b">
        <f t="shared" si="95"/>
        <v>0</v>
      </c>
      <c r="CE116" t="str">
        <f t="shared" si="96"/>
        <v/>
      </c>
      <c r="CG116" t="str">
        <f t="shared" si="84"/>
        <v>G508</v>
      </c>
      <c r="CH116" t="str">
        <f t="shared" si="97"/>
        <v>G508</v>
      </c>
      <c r="CI116" t="str">
        <f>AE115</f>
        <v>G899</v>
      </c>
      <c r="CJ116" t="str">
        <f t="shared" si="85"/>
        <v>G899</v>
      </c>
      <c r="CK116" t="s">
        <v>1542</v>
      </c>
      <c r="CL116" t="s">
        <v>1542</v>
      </c>
      <c r="CM116" t="s">
        <v>1542</v>
      </c>
      <c r="CN116" t="b">
        <f t="shared" si="98"/>
        <v>1</v>
      </c>
      <c r="CO116" t="str">
        <f t="shared" si="86"/>
        <v>R271</v>
      </c>
      <c r="CP116" t="str">
        <f t="shared" si="99"/>
        <v>R271</v>
      </c>
      <c r="CQ116" t="str">
        <f>AF115</f>
        <v>R41</v>
      </c>
      <c r="CR116" t="str">
        <f t="shared" si="87"/>
        <v>R41</v>
      </c>
      <c r="CS116" t="s">
        <v>870</v>
      </c>
      <c r="CT116" t="s">
        <v>870</v>
      </c>
      <c r="CU116" t="s">
        <v>870</v>
      </c>
      <c r="CV116" t="b">
        <f t="shared" si="100"/>
        <v>1</v>
      </c>
      <c r="DC116" t="str">
        <f t="shared" si="88"/>
        <v>G899</v>
      </c>
      <c r="DD116" t="b">
        <f t="shared" si="101"/>
        <v>0</v>
      </c>
      <c r="DE116" t="str">
        <f t="shared" si="102"/>
        <v>G899</v>
      </c>
      <c r="DF116" t="str">
        <f t="shared" si="89"/>
        <v>R41</v>
      </c>
      <c r="DG116" t="b">
        <f t="shared" si="103"/>
        <v>0</v>
      </c>
      <c r="DH116" t="str">
        <f t="shared" si="104"/>
        <v>R41</v>
      </c>
    </row>
    <row r="117" spans="2:112" ht="12" customHeight="1">
      <c r="B117" t="str">
        <f>TBIDry!H189</f>
        <v>G263</v>
      </c>
      <c r="C117" t="str">
        <f>TBIDry!I189</f>
        <v>R829</v>
      </c>
      <c r="D117" t="b">
        <f t="shared" si="56"/>
        <v>0</v>
      </c>
      <c r="E117" t="b">
        <f t="shared" si="57"/>
        <v>0</v>
      </c>
      <c r="G117" t="str">
        <f>TBIWet!H189</f>
        <v>G803</v>
      </c>
      <c r="H117" t="str">
        <f>TBIWet!I189</f>
        <v>R601</v>
      </c>
      <c r="I117" t="b">
        <f t="shared" si="58"/>
        <v>0</v>
      </c>
      <c r="J117" t="b">
        <f t="shared" si="59"/>
        <v>0</v>
      </c>
      <c r="L117" t="str">
        <f>'Both teabags AfterWet'!A115</f>
        <v>G511</v>
      </c>
      <c r="M117" t="str">
        <f>'Both teabags AfterWet'!A535</f>
        <v>R274</v>
      </c>
      <c r="N117" t="b">
        <f t="shared" si="60"/>
        <v>0</v>
      </c>
      <c r="O117" t="b">
        <f t="shared" si="105"/>
        <v>0</v>
      </c>
      <c r="Q117" s="395" t="b">
        <f t="shared" si="61"/>
        <v>0</v>
      </c>
      <c r="R117" s="395" t="b">
        <f t="shared" si="62"/>
        <v>0</v>
      </c>
      <c r="T117" t="str">
        <f>'Both teabags AfterDry'!A115</f>
        <v>G242</v>
      </c>
      <c r="U117" t="str">
        <f>'Both teabags AfterDry'!A450</f>
        <v>R407</v>
      </c>
      <c r="V117" t="b">
        <f t="shared" si="63"/>
        <v>0</v>
      </c>
      <c r="W117" t="b">
        <f t="shared" si="90"/>
        <v>0</v>
      </c>
      <c r="Y117" t="str">
        <f>'Green_rooibos initial weight'!A118</f>
        <v>G114</v>
      </c>
      <c r="Z117" t="str">
        <f>'Green_rooibos initial weight'!A1022</f>
        <v>R114</v>
      </c>
      <c r="AA117" t="b">
        <f t="shared" si="64"/>
        <v>0</v>
      </c>
      <c r="AB117" t="b">
        <f t="shared" si="65"/>
        <v>0</v>
      </c>
      <c r="AE117" t="str">
        <f>'WetLitterbags placem_collection'!K116</f>
        <v>G803</v>
      </c>
      <c r="AF117" t="str">
        <f>'WetLitterbags placem_collection'!M116</f>
        <v>R601</v>
      </c>
      <c r="AG117" t="b">
        <f t="shared" si="66"/>
        <v>0</v>
      </c>
      <c r="AH117" t="b">
        <f t="shared" si="67"/>
        <v>0</v>
      </c>
      <c r="AJ117" t="b">
        <f t="shared" si="68"/>
        <v>0</v>
      </c>
      <c r="AK117" t="b">
        <f t="shared" si="69"/>
        <v>0</v>
      </c>
      <c r="AM117" t="str">
        <f>IF(ISBLANK('Dry_Litterbag Placem_Collection'!J116),"","G"&amp;""&amp;'Dry_Litterbag Placem_Collection'!J116)</f>
        <v>G263</v>
      </c>
      <c r="AN117" t="str">
        <f>IF(ISBLANK('Dry_Litterbag Placem_Collection'!K116),"","R"&amp;""&amp;'Dry_Litterbag Placem_Collection'!K116)</f>
        <v>R829</v>
      </c>
      <c r="AO117" t="b">
        <f t="shared" si="70"/>
        <v>0</v>
      </c>
      <c r="AP117" t="b">
        <f t="shared" si="71"/>
        <v>0</v>
      </c>
      <c r="AS117" t="str">
        <f>'Ashed teabags dry'!A115</f>
        <v>G242</v>
      </c>
      <c r="AT117" t="str">
        <f>'Ashed teabags dry'!A450</f>
        <v>R407</v>
      </c>
      <c r="AU117" t="b">
        <f t="shared" si="72"/>
        <v>0</v>
      </c>
      <c r="AV117" t="b">
        <f>COUNTIF($AT$4:$AT$2000, AT117)&gt;1</f>
        <v>0</v>
      </c>
      <c r="AX117" s="395" t="b">
        <f t="shared" si="73"/>
        <v>0</v>
      </c>
      <c r="AY117" s="395" t="b">
        <f t="shared" si="74"/>
        <v>0</v>
      </c>
      <c r="BA117" t="str">
        <f>'Ashed teabags wet'!A115</f>
        <v>G511</v>
      </c>
      <c r="BB117" t="str">
        <f>'Ashed teabags wet'!A535</f>
        <v>R274</v>
      </c>
      <c r="BC117" t="b">
        <f t="shared" si="75"/>
        <v>0</v>
      </c>
      <c r="BD117" t="b">
        <f t="shared" si="55"/>
        <v>0</v>
      </c>
      <c r="BF117" t="str">
        <f t="shared" si="76"/>
        <v>G24</v>
      </c>
      <c r="BG117" t="str">
        <f>T116</f>
        <v>G24</v>
      </c>
      <c r="BH117" t="str">
        <f t="shared" si="77"/>
        <v>G314</v>
      </c>
      <c r="BI117" t="str">
        <f t="shared" si="91"/>
        <v>G314</v>
      </c>
      <c r="BJ117" t="s">
        <v>2026</v>
      </c>
      <c r="BK117" t="s">
        <v>2026</v>
      </c>
      <c r="BL117" t="s">
        <v>2026</v>
      </c>
      <c r="BM117" t="b">
        <f t="shared" si="92"/>
        <v>1</v>
      </c>
      <c r="BN117" t="str">
        <f t="shared" si="78"/>
        <v>R402</v>
      </c>
      <c r="BO117" t="str">
        <f>U116</f>
        <v>R402</v>
      </c>
      <c r="BP117" t="str">
        <f t="shared" si="79"/>
        <v>R807</v>
      </c>
      <c r="BQ117" t="str">
        <f t="shared" si="80"/>
        <v>R807</v>
      </c>
      <c r="BR117" t="s">
        <v>739</v>
      </c>
      <c r="BS117" t="s">
        <v>739</v>
      </c>
      <c r="BT117" t="s">
        <v>739</v>
      </c>
      <c r="BU117" t="b">
        <f t="shared" si="93"/>
        <v>1</v>
      </c>
      <c r="BZ117" t="str">
        <f t="shared" si="81"/>
        <v>G314</v>
      </c>
      <c r="CA117" t="b">
        <f t="shared" si="82"/>
        <v>0</v>
      </c>
      <c r="CB117" t="str">
        <f t="shared" si="94"/>
        <v>G314</v>
      </c>
      <c r="CC117" t="str">
        <f t="shared" si="83"/>
        <v>R807</v>
      </c>
      <c r="CD117" t="b">
        <f t="shared" si="95"/>
        <v>0</v>
      </c>
      <c r="CE117" t="str">
        <f t="shared" si="96"/>
        <v>R807</v>
      </c>
      <c r="CG117" t="str">
        <f t="shared" si="84"/>
        <v>G509</v>
      </c>
      <c r="CH117" t="str">
        <f t="shared" si="97"/>
        <v>G509</v>
      </c>
      <c r="CI117" t="str">
        <f>AE116</f>
        <v>G724</v>
      </c>
      <c r="CJ117" t="str">
        <f t="shared" si="85"/>
        <v>G724</v>
      </c>
      <c r="CK117" t="s">
        <v>1541</v>
      </c>
      <c r="CL117" t="s">
        <v>1541</v>
      </c>
      <c r="CM117" t="s">
        <v>1541</v>
      </c>
      <c r="CN117" t="b">
        <f t="shared" si="98"/>
        <v>1</v>
      </c>
      <c r="CO117" t="str">
        <f t="shared" si="86"/>
        <v>R273</v>
      </c>
      <c r="CP117" t="str">
        <f t="shared" si="99"/>
        <v>R273</v>
      </c>
      <c r="CQ117" t="str">
        <f>AF116</f>
        <v>R428</v>
      </c>
      <c r="CR117" t="str">
        <f t="shared" si="87"/>
        <v>R428</v>
      </c>
      <c r="CS117" t="s">
        <v>868</v>
      </c>
      <c r="CT117" t="s">
        <v>868</v>
      </c>
      <c r="CU117" t="s">
        <v>868</v>
      </c>
      <c r="CV117" t="b">
        <f t="shared" si="100"/>
        <v>1</v>
      </c>
      <c r="DC117" t="str">
        <f t="shared" si="88"/>
        <v>G724</v>
      </c>
      <c r="DD117" t="b">
        <f t="shared" si="101"/>
        <v>0</v>
      </c>
      <c r="DE117" t="str">
        <f t="shared" si="102"/>
        <v>G724</v>
      </c>
      <c r="DF117" t="str">
        <f t="shared" si="89"/>
        <v>R428</v>
      </c>
      <c r="DG117" t="b">
        <f t="shared" si="103"/>
        <v>0</v>
      </c>
      <c r="DH117" t="str">
        <f t="shared" si="104"/>
        <v>R428</v>
      </c>
    </row>
    <row r="118" spans="2:112" ht="12" customHeight="1">
      <c r="B118" t="str">
        <f>TBIDry!H190</f>
        <v>G125</v>
      </c>
      <c r="C118" t="str">
        <f>TBIDry!I190</f>
        <v>R766</v>
      </c>
      <c r="D118" t="b">
        <f t="shared" si="56"/>
        <v>0</v>
      </c>
      <c r="E118" t="b">
        <f t="shared" si="57"/>
        <v>0</v>
      </c>
      <c r="G118" t="str">
        <f>TBIWet!H190</f>
        <v>G693</v>
      </c>
      <c r="H118" t="str">
        <f>TBIWet!I190</f>
        <v>R553</v>
      </c>
      <c r="I118" t="b">
        <f t="shared" si="58"/>
        <v>0</v>
      </c>
      <c r="J118" t="b">
        <f t="shared" si="59"/>
        <v>0</v>
      </c>
      <c r="L118" t="str">
        <f>'Both teabags AfterWet'!A116</f>
        <v>G512</v>
      </c>
      <c r="M118" t="str">
        <f>'Both teabags AfterWet'!A536</f>
        <v>R278</v>
      </c>
      <c r="N118" t="b">
        <f t="shared" si="60"/>
        <v>0</v>
      </c>
      <c r="O118" t="b">
        <f t="shared" si="105"/>
        <v>0</v>
      </c>
      <c r="Q118" s="395" t="b">
        <f t="shared" si="61"/>
        <v>0</v>
      </c>
      <c r="R118" s="395" t="b">
        <f t="shared" si="62"/>
        <v>0</v>
      </c>
      <c r="T118" t="str">
        <f>'Both teabags AfterDry'!A116</f>
        <v>G243</v>
      </c>
      <c r="U118" t="str">
        <f>'Both teabags AfterDry'!A451</f>
        <v>R416</v>
      </c>
      <c r="V118" t="b">
        <f t="shared" si="63"/>
        <v>0</v>
      </c>
      <c r="W118" t="b">
        <f t="shared" si="90"/>
        <v>0</v>
      </c>
      <c r="Y118" t="str">
        <f>'Green_rooibos initial weight'!A119</f>
        <v>G115</v>
      </c>
      <c r="Z118" t="str">
        <f>'Green_rooibos initial weight'!A1023</f>
        <v>R115</v>
      </c>
      <c r="AA118" t="b">
        <f t="shared" si="64"/>
        <v>0</v>
      </c>
      <c r="AB118" t="b">
        <f t="shared" si="65"/>
        <v>0</v>
      </c>
      <c r="AE118" t="str">
        <f>'WetLitterbags placem_collection'!K117</f>
        <v>G693</v>
      </c>
      <c r="AF118" t="str">
        <f>'WetLitterbags placem_collection'!M117</f>
        <v>R553</v>
      </c>
      <c r="AG118" t="b">
        <f t="shared" si="66"/>
        <v>0</v>
      </c>
      <c r="AH118" t="b">
        <f t="shared" si="67"/>
        <v>0</v>
      </c>
      <c r="AJ118" t="b">
        <f t="shared" si="68"/>
        <v>0</v>
      </c>
      <c r="AK118" t="b">
        <f t="shared" si="69"/>
        <v>0</v>
      </c>
      <c r="AM118" t="str">
        <f>IF(ISBLANK('Dry_Litterbag Placem_Collection'!J117),"","G"&amp;""&amp;'Dry_Litterbag Placem_Collection'!J117)</f>
        <v>G125</v>
      </c>
      <c r="AN118" t="str">
        <f>IF(ISBLANK('Dry_Litterbag Placem_Collection'!K117),"","R"&amp;""&amp;'Dry_Litterbag Placem_Collection'!K117)</f>
        <v>R766</v>
      </c>
      <c r="AO118" t="b">
        <f t="shared" si="70"/>
        <v>0</v>
      </c>
      <c r="AP118" t="b">
        <f t="shared" si="71"/>
        <v>0</v>
      </c>
      <c r="AS118" t="str">
        <f>'Ashed teabags dry'!A116</f>
        <v>G243</v>
      </c>
      <c r="AT118" t="str">
        <f>'Ashed teabags dry'!A451</f>
        <v>R416</v>
      </c>
      <c r="AU118" t="b">
        <f t="shared" si="72"/>
        <v>0</v>
      </c>
      <c r="AV118" t="b">
        <f>COUNTIF($AT$4:$AT$2000, AT118)&gt;1</f>
        <v>0</v>
      </c>
      <c r="AX118" s="395" t="b">
        <f t="shared" si="73"/>
        <v>0</v>
      </c>
      <c r="AY118" s="395" t="b">
        <f t="shared" si="74"/>
        <v>0</v>
      </c>
      <c r="BA118" t="str">
        <f>'Ashed teabags wet'!A116</f>
        <v>G512</v>
      </c>
      <c r="BB118" t="str">
        <f>'Ashed teabags wet'!A536</f>
        <v>R278</v>
      </c>
      <c r="BC118" t="b">
        <f t="shared" si="75"/>
        <v>0</v>
      </c>
      <c r="BD118" t="b">
        <f t="shared" si="55"/>
        <v>0</v>
      </c>
      <c r="BF118" t="str">
        <f t="shared" si="76"/>
        <v>G242</v>
      </c>
      <c r="BG118" t="str">
        <f>T117</f>
        <v>G242</v>
      </c>
      <c r="BH118" t="str">
        <f t="shared" si="77"/>
        <v>G263</v>
      </c>
      <c r="BI118" t="str">
        <f t="shared" si="91"/>
        <v>G263</v>
      </c>
      <c r="BJ118" t="s">
        <v>1808</v>
      </c>
      <c r="BK118" t="s">
        <v>1808</v>
      </c>
      <c r="BL118" t="s">
        <v>1808</v>
      </c>
      <c r="BM118" t="b">
        <f t="shared" si="92"/>
        <v>1</v>
      </c>
      <c r="BN118" t="str">
        <f t="shared" si="78"/>
        <v>R407</v>
      </c>
      <c r="BO118" t="str">
        <f>U117</f>
        <v>R407</v>
      </c>
      <c r="BP118" t="str">
        <f t="shared" si="79"/>
        <v>R829</v>
      </c>
      <c r="BQ118" t="str">
        <f t="shared" si="80"/>
        <v>R829</v>
      </c>
      <c r="BR118" t="s">
        <v>734</v>
      </c>
      <c r="BS118" t="s">
        <v>734</v>
      </c>
      <c r="BT118" t="s">
        <v>734</v>
      </c>
      <c r="BU118" t="b">
        <f t="shared" si="93"/>
        <v>1</v>
      </c>
      <c r="BZ118" t="str">
        <f t="shared" si="81"/>
        <v>G263</v>
      </c>
      <c r="CA118" t="b">
        <f t="shared" si="82"/>
        <v>0</v>
      </c>
      <c r="CB118" t="str">
        <f t="shared" si="94"/>
        <v>G263</v>
      </c>
      <c r="CC118" t="str">
        <f t="shared" si="83"/>
        <v>R829</v>
      </c>
      <c r="CD118" t="b">
        <f t="shared" si="95"/>
        <v>0</v>
      </c>
      <c r="CE118" t="str">
        <f t="shared" si="96"/>
        <v>R829</v>
      </c>
      <c r="CG118" t="str">
        <f t="shared" si="84"/>
        <v>G511</v>
      </c>
      <c r="CH118" t="str">
        <f t="shared" si="97"/>
        <v>G511</v>
      </c>
      <c r="CI118" t="str">
        <f>AE117</f>
        <v>G803</v>
      </c>
      <c r="CJ118" t="str">
        <f t="shared" si="85"/>
        <v>G803</v>
      </c>
      <c r="CK118" t="s">
        <v>1539</v>
      </c>
      <c r="CL118" t="s">
        <v>1539</v>
      </c>
      <c r="CM118" t="s">
        <v>1539</v>
      </c>
      <c r="CN118" t="b">
        <f t="shared" si="98"/>
        <v>1</v>
      </c>
      <c r="CO118" t="str">
        <f t="shared" si="86"/>
        <v>R274</v>
      </c>
      <c r="CP118" t="str">
        <f t="shared" si="99"/>
        <v>R274</v>
      </c>
      <c r="CQ118" t="str">
        <f>AF117</f>
        <v>R601</v>
      </c>
      <c r="CR118" t="str">
        <f t="shared" si="87"/>
        <v>R601</v>
      </c>
      <c r="CS118" t="s">
        <v>867</v>
      </c>
      <c r="CT118" t="s">
        <v>867</v>
      </c>
      <c r="CU118" t="s">
        <v>867</v>
      </c>
      <c r="CV118" t="b">
        <f t="shared" si="100"/>
        <v>1</v>
      </c>
      <c r="DC118" t="str">
        <f t="shared" si="88"/>
        <v>G803</v>
      </c>
      <c r="DD118" t="b">
        <f t="shared" si="101"/>
        <v>0</v>
      </c>
      <c r="DE118" t="str">
        <f t="shared" si="102"/>
        <v>G803</v>
      </c>
      <c r="DF118" t="str">
        <f t="shared" si="89"/>
        <v>R601</v>
      </c>
      <c r="DG118" t="b">
        <f t="shared" si="103"/>
        <v>0</v>
      </c>
      <c r="DH118" t="str">
        <f t="shared" si="104"/>
        <v>R601</v>
      </c>
    </row>
    <row r="119" spans="2:112" ht="12" customHeight="1">
      <c r="B119" t="str">
        <f>TBIDry!H191</f>
        <v>G189</v>
      </c>
      <c r="C119" t="str">
        <f>TBIDry!I191</f>
        <v>R757</v>
      </c>
      <c r="D119" t="b">
        <f t="shared" si="56"/>
        <v>0</v>
      </c>
      <c r="E119" t="b">
        <f t="shared" si="57"/>
        <v>0</v>
      </c>
      <c r="G119" t="str">
        <f>TBIWet!H191</f>
        <v>G897</v>
      </c>
      <c r="H119" t="str">
        <f>TBIWet!I191</f>
        <v>R459</v>
      </c>
      <c r="I119" t="b">
        <f t="shared" si="58"/>
        <v>0</v>
      </c>
      <c r="J119" t="b">
        <f t="shared" si="59"/>
        <v>0</v>
      </c>
      <c r="L119" t="str">
        <f>'Both teabags AfterWet'!A117</f>
        <v>G513</v>
      </c>
      <c r="M119" t="str">
        <f>'Both teabags AfterWet'!A537</f>
        <v>R279</v>
      </c>
      <c r="N119" t="b">
        <f t="shared" si="60"/>
        <v>0</v>
      </c>
      <c r="O119" t="b">
        <f t="shared" si="105"/>
        <v>0</v>
      </c>
      <c r="Q119" s="395" t="b">
        <f t="shared" si="61"/>
        <v>0</v>
      </c>
      <c r="R119" s="395" t="b">
        <f t="shared" si="62"/>
        <v>0</v>
      </c>
      <c r="T119" t="str">
        <f>'Both teabags AfterDry'!A117</f>
        <v>G244</v>
      </c>
      <c r="U119" t="str">
        <f>'Both teabags AfterDry'!A452</f>
        <v>R422</v>
      </c>
      <c r="V119" t="b">
        <f t="shared" si="63"/>
        <v>0</v>
      </c>
      <c r="W119" t="b">
        <f t="shared" si="90"/>
        <v>0</v>
      </c>
      <c r="Y119" t="str">
        <f>'Green_rooibos initial weight'!A120</f>
        <v>G116</v>
      </c>
      <c r="Z119" t="str">
        <f>'Green_rooibos initial weight'!A1024</f>
        <v>R116</v>
      </c>
      <c r="AA119" t="b">
        <f t="shared" si="64"/>
        <v>0</v>
      </c>
      <c r="AB119" t="b">
        <f t="shared" si="65"/>
        <v>0</v>
      </c>
      <c r="AE119" t="str">
        <f>'WetLitterbags placem_collection'!K118</f>
        <v>G897</v>
      </c>
      <c r="AF119" t="str">
        <f>'WetLitterbags placem_collection'!M118</f>
        <v>R459</v>
      </c>
      <c r="AG119" t="b">
        <f t="shared" si="66"/>
        <v>0</v>
      </c>
      <c r="AH119" t="b">
        <f t="shared" si="67"/>
        <v>0</v>
      </c>
      <c r="AJ119" t="b">
        <f t="shared" si="68"/>
        <v>0</v>
      </c>
      <c r="AK119" t="b">
        <f t="shared" si="69"/>
        <v>0</v>
      </c>
      <c r="AM119" t="str">
        <f>IF(ISBLANK('Dry_Litterbag Placem_Collection'!J118),"","G"&amp;""&amp;'Dry_Litterbag Placem_Collection'!J118)</f>
        <v>G189</v>
      </c>
      <c r="AN119" t="str">
        <f>IF(ISBLANK('Dry_Litterbag Placem_Collection'!K118),"","R"&amp;""&amp;'Dry_Litterbag Placem_Collection'!K118)</f>
        <v>R757</v>
      </c>
      <c r="AO119" t="b">
        <f t="shared" si="70"/>
        <v>0</v>
      </c>
      <c r="AP119" t="b">
        <f t="shared" si="71"/>
        <v>0</v>
      </c>
      <c r="AS119" t="str">
        <f>'Ashed teabags dry'!A117</f>
        <v>G244</v>
      </c>
      <c r="AT119" t="str">
        <f>'Ashed teabags dry'!A452</f>
        <v>R422</v>
      </c>
      <c r="AU119" t="b">
        <f t="shared" si="72"/>
        <v>0</v>
      </c>
      <c r="AV119" t="b">
        <f>COUNTIF($AT$4:$AT$2000, AT119)&gt;1</f>
        <v>0</v>
      </c>
      <c r="AX119" s="395" t="b">
        <f t="shared" si="73"/>
        <v>0</v>
      </c>
      <c r="AY119" s="395" t="b">
        <f t="shared" si="74"/>
        <v>0</v>
      </c>
      <c r="BA119" t="str">
        <f>'Ashed teabags wet'!A117</f>
        <v>G513</v>
      </c>
      <c r="BB119" t="str">
        <f>'Ashed teabags wet'!A537</f>
        <v>R279</v>
      </c>
      <c r="BC119" t="b">
        <f t="shared" si="75"/>
        <v>0</v>
      </c>
      <c r="BD119" t="b">
        <f t="shared" si="55"/>
        <v>0</v>
      </c>
      <c r="BF119" t="str">
        <f t="shared" si="76"/>
        <v>G243</v>
      </c>
      <c r="BG119" t="str">
        <f>T118</f>
        <v>G243</v>
      </c>
      <c r="BH119" t="str">
        <f t="shared" si="77"/>
        <v>G125</v>
      </c>
      <c r="BI119" t="str">
        <f t="shared" si="91"/>
        <v>G125</v>
      </c>
      <c r="BJ119" t="s">
        <v>1807</v>
      </c>
      <c r="BK119" t="s">
        <v>1807</v>
      </c>
      <c r="BL119" t="s">
        <v>1807</v>
      </c>
      <c r="BM119" t="b">
        <f t="shared" si="92"/>
        <v>1</v>
      </c>
      <c r="BN119" t="str">
        <f t="shared" si="78"/>
        <v>R416</v>
      </c>
      <c r="BO119" t="str">
        <f>U118</f>
        <v>R416</v>
      </c>
      <c r="BP119" t="str">
        <f t="shared" si="79"/>
        <v>R766</v>
      </c>
      <c r="BQ119" t="str">
        <f t="shared" si="80"/>
        <v>R766</v>
      </c>
      <c r="BR119" t="s">
        <v>725</v>
      </c>
      <c r="BS119" t="s">
        <v>725</v>
      </c>
      <c r="BT119" t="s">
        <v>725</v>
      </c>
      <c r="BU119" t="b">
        <f t="shared" si="93"/>
        <v>1</v>
      </c>
      <c r="BZ119" t="str">
        <f t="shared" si="81"/>
        <v>G125</v>
      </c>
      <c r="CA119" t="b">
        <f t="shared" si="82"/>
        <v>0</v>
      </c>
      <c r="CB119" t="str">
        <f t="shared" si="94"/>
        <v>G125</v>
      </c>
      <c r="CC119" t="str">
        <f t="shared" si="83"/>
        <v>R766</v>
      </c>
      <c r="CD119" t="b">
        <f t="shared" si="95"/>
        <v>0</v>
      </c>
      <c r="CE119" t="str">
        <f t="shared" si="96"/>
        <v>R766</v>
      </c>
      <c r="CG119" t="str">
        <f t="shared" si="84"/>
        <v>G512</v>
      </c>
      <c r="CH119" t="str">
        <f t="shared" si="97"/>
        <v>G512</v>
      </c>
      <c r="CI119" t="str">
        <f>AE118</f>
        <v>G693</v>
      </c>
      <c r="CJ119" t="str">
        <f t="shared" si="85"/>
        <v>G693</v>
      </c>
      <c r="CK119" t="s">
        <v>1538</v>
      </c>
      <c r="CL119" t="s">
        <v>1538</v>
      </c>
      <c r="CM119" t="s">
        <v>1538</v>
      </c>
      <c r="CN119" t="b">
        <f t="shared" si="98"/>
        <v>1</v>
      </c>
      <c r="CO119" t="str">
        <f t="shared" si="86"/>
        <v>R278</v>
      </c>
      <c r="CP119" t="str">
        <f t="shared" si="99"/>
        <v>R278</v>
      </c>
      <c r="CQ119" t="str">
        <f>AF118</f>
        <v>R553</v>
      </c>
      <c r="CR119" t="str">
        <f t="shared" si="87"/>
        <v>R553</v>
      </c>
      <c r="CS119" t="s">
        <v>863</v>
      </c>
      <c r="CT119" t="s">
        <v>863</v>
      </c>
      <c r="CU119" t="s">
        <v>863</v>
      </c>
      <c r="CV119" t="b">
        <f t="shared" si="100"/>
        <v>1</v>
      </c>
      <c r="DC119" t="str">
        <f t="shared" si="88"/>
        <v>G693</v>
      </c>
      <c r="DD119" t="b">
        <f t="shared" si="101"/>
        <v>0</v>
      </c>
      <c r="DE119" t="str">
        <f t="shared" si="102"/>
        <v>G693</v>
      </c>
      <c r="DF119" t="str">
        <f t="shared" si="89"/>
        <v>R553</v>
      </c>
      <c r="DG119" t="b">
        <f t="shared" si="103"/>
        <v>0</v>
      </c>
      <c r="DH119" t="str">
        <f t="shared" si="104"/>
        <v>R553</v>
      </c>
    </row>
    <row r="120" spans="2:112" ht="12" customHeight="1">
      <c r="B120" t="str">
        <f>TBIDry!H192</f>
        <v>G533</v>
      </c>
      <c r="C120" t="str">
        <f>TBIDry!I192</f>
        <v>R745</v>
      </c>
      <c r="D120" t="b">
        <f t="shared" si="56"/>
        <v>0</v>
      </c>
      <c r="E120" t="b">
        <f t="shared" si="57"/>
        <v>0</v>
      </c>
      <c r="G120" t="str">
        <f>TBIWet!H192</f>
        <v>G789</v>
      </c>
      <c r="H120" t="str">
        <f>TBIWet!I192</f>
        <v>R511</v>
      </c>
      <c r="I120" t="b">
        <f t="shared" si="58"/>
        <v>0</v>
      </c>
      <c r="J120" t="b">
        <f t="shared" si="59"/>
        <v>0</v>
      </c>
      <c r="L120" t="str">
        <f>'Both teabags AfterWet'!A118</f>
        <v>G514</v>
      </c>
      <c r="M120" t="str">
        <f>'Both teabags AfterWet'!A538</f>
        <v>R28</v>
      </c>
      <c r="N120" t="b">
        <f t="shared" si="60"/>
        <v>0</v>
      </c>
      <c r="O120" t="b">
        <f t="shared" si="105"/>
        <v>0</v>
      </c>
      <c r="Q120" s="395" t="b">
        <f t="shared" si="61"/>
        <v>0</v>
      </c>
      <c r="R120" s="395" t="b">
        <f t="shared" si="62"/>
        <v>0</v>
      </c>
      <c r="T120" t="str">
        <f>'Both teabags AfterDry'!A118</f>
        <v>G245</v>
      </c>
      <c r="U120" t="str">
        <f>'Both teabags AfterDry'!A453</f>
        <v>R425</v>
      </c>
      <c r="V120" t="b">
        <f t="shared" si="63"/>
        <v>0</v>
      </c>
      <c r="W120" t="b">
        <f t="shared" si="90"/>
        <v>0</v>
      </c>
      <c r="Y120" t="str">
        <f>'Green_rooibos initial weight'!A121</f>
        <v>G117</v>
      </c>
      <c r="Z120" t="str">
        <f>'Green_rooibos initial weight'!A1025</f>
        <v>R117</v>
      </c>
      <c r="AA120" t="b">
        <f t="shared" si="64"/>
        <v>0</v>
      </c>
      <c r="AB120" t="b">
        <f t="shared" si="65"/>
        <v>0</v>
      </c>
      <c r="AE120" t="str">
        <f>'WetLitterbags placem_collection'!K119</f>
        <v>G789</v>
      </c>
      <c r="AF120" t="str">
        <f>'WetLitterbags placem_collection'!M119</f>
        <v>R511</v>
      </c>
      <c r="AG120" t="b">
        <f t="shared" si="66"/>
        <v>0</v>
      </c>
      <c r="AH120" t="b">
        <f t="shared" si="67"/>
        <v>0</v>
      </c>
      <c r="AJ120" t="b">
        <f t="shared" si="68"/>
        <v>0</v>
      </c>
      <c r="AK120" t="b">
        <f t="shared" si="69"/>
        <v>0</v>
      </c>
      <c r="AM120" t="str">
        <f>IF(ISBLANK('Dry_Litterbag Placem_Collection'!J119),"","G"&amp;""&amp;'Dry_Litterbag Placem_Collection'!J119)</f>
        <v>G533</v>
      </c>
      <c r="AN120" t="str">
        <f>IF(ISBLANK('Dry_Litterbag Placem_Collection'!K119),"","R"&amp;""&amp;'Dry_Litterbag Placem_Collection'!K119)</f>
        <v>R745</v>
      </c>
      <c r="AO120" t="b">
        <f t="shared" si="70"/>
        <v>0</v>
      </c>
      <c r="AP120" t="b">
        <f t="shared" si="71"/>
        <v>0</v>
      </c>
      <c r="AS120" t="str">
        <f>'Ashed teabags dry'!A118</f>
        <v>G245</v>
      </c>
      <c r="AT120" t="str">
        <f>'Ashed teabags dry'!A453</f>
        <v>R425</v>
      </c>
      <c r="AU120" t="b">
        <f t="shared" si="72"/>
        <v>0</v>
      </c>
      <c r="AV120" t="b">
        <f>COUNTIF($AT$4:$AT$2000, AT120)&gt;1</f>
        <v>0</v>
      </c>
      <c r="AX120" s="395" t="b">
        <f t="shared" si="73"/>
        <v>0</v>
      </c>
      <c r="AY120" s="395" t="b">
        <f t="shared" si="74"/>
        <v>0</v>
      </c>
      <c r="BA120" t="str">
        <f>'Ashed teabags wet'!A118</f>
        <v>G514</v>
      </c>
      <c r="BB120" t="str">
        <f>'Ashed teabags wet'!A538</f>
        <v>R28</v>
      </c>
      <c r="BC120" t="b">
        <f t="shared" si="75"/>
        <v>0</v>
      </c>
      <c r="BD120" t="b">
        <f t="shared" si="55"/>
        <v>0</v>
      </c>
      <c r="BF120" t="str">
        <f t="shared" si="76"/>
        <v>G244</v>
      </c>
      <c r="BG120" t="str">
        <f>T119</f>
        <v>G244</v>
      </c>
      <c r="BH120" t="str">
        <f t="shared" si="77"/>
        <v>G189</v>
      </c>
      <c r="BI120" t="str">
        <f t="shared" si="91"/>
        <v>G189</v>
      </c>
      <c r="BJ120" t="s">
        <v>1806</v>
      </c>
      <c r="BK120" t="s">
        <v>1806</v>
      </c>
      <c r="BL120" t="s">
        <v>1806</v>
      </c>
      <c r="BM120" t="b">
        <f t="shared" si="92"/>
        <v>1</v>
      </c>
      <c r="BN120" t="str">
        <f t="shared" si="78"/>
        <v>R422</v>
      </c>
      <c r="BO120" t="str">
        <f>U119</f>
        <v>R422</v>
      </c>
      <c r="BP120" t="str">
        <f t="shared" si="79"/>
        <v>R757</v>
      </c>
      <c r="BQ120" t="str">
        <f t="shared" si="80"/>
        <v>R757</v>
      </c>
      <c r="BR120" t="s">
        <v>719</v>
      </c>
      <c r="BS120" t="s">
        <v>719</v>
      </c>
      <c r="BT120" t="s">
        <v>719</v>
      </c>
      <c r="BU120" t="b">
        <f t="shared" si="93"/>
        <v>1</v>
      </c>
      <c r="BZ120" t="str">
        <f t="shared" si="81"/>
        <v>G189</v>
      </c>
      <c r="CA120" t="b">
        <f t="shared" si="82"/>
        <v>0</v>
      </c>
      <c r="CB120" t="str">
        <f t="shared" si="94"/>
        <v>G189</v>
      </c>
      <c r="CC120" t="str">
        <f t="shared" si="83"/>
        <v>R757</v>
      </c>
      <c r="CD120" t="b">
        <f t="shared" si="95"/>
        <v>0</v>
      </c>
      <c r="CE120" t="str">
        <f t="shared" si="96"/>
        <v>R757</v>
      </c>
      <c r="CG120" t="str">
        <f t="shared" si="84"/>
        <v>G513</v>
      </c>
      <c r="CH120" t="str">
        <f t="shared" si="97"/>
        <v>G513</v>
      </c>
      <c r="CI120" t="str">
        <f>AE119</f>
        <v>G897</v>
      </c>
      <c r="CJ120" t="str">
        <f t="shared" si="85"/>
        <v>G897</v>
      </c>
      <c r="CK120" t="s">
        <v>1537</v>
      </c>
      <c r="CL120" t="s">
        <v>1537</v>
      </c>
      <c r="CM120" t="s">
        <v>1537</v>
      </c>
      <c r="CN120" t="b">
        <f t="shared" si="98"/>
        <v>1</v>
      </c>
      <c r="CO120" t="str">
        <f t="shared" si="86"/>
        <v>R279</v>
      </c>
      <c r="CP120" t="str">
        <f t="shared" si="99"/>
        <v>R279</v>
      </c>
      <c r="CQ120" t="str">
        <f>AF119</f>
        <v>R459</v>
      </c>
      <c r="CR120" t="str">
        <f t="shared" si="87"/>
        <v>R459</v>
      </c>
      <c r="CS120" t="s">
        <v>862</v>
      </c>
      <c r="CT120" t="s">
        <v>862</v>
      </c>
      <c r="CU120" t="s">
        <v>862</v>
      </c>
      <c r="CV120" t="b">
        <f t="shared" si="100"/>
        <v>1</v>
      </c>
      <c r="DC120" t="str">
        <f t="shared" si="88"/>
        <v>G897</v>
      </c>
      <c r="DD120" t="b">
        <f t="shared" si="101"/>
        <v>0</v>
      </c>
      <c r="DE120" t="str">
        <f t="shared" si="102"/>
        <v>G897</v>
      </c>
      <c r="DF120" t="str">
        <f t="shared" si="89"/>
        <v>R459</v>
      </c>
      <c r="DG120" t="b">
        <f t="shared" si="103"/>
        <v>0</v>
      </c>
      <c r="DH120" t="str">
        <f t="shared" si="104"/>
        <v>R459</v>
      </c>
    </row>
    <row r="121" spans="2:112" ht="12" customHeight="1">
      <c r="B121" t="str">
        <f>TBIDry!H193</f>
        <v>G200</v>
      </c>
      <c r="C121" t="str">
        <f>TBIDry!I193</f>
        <v>R791</v>
      </c>
      <c r="D121" t="b">
        <f t="shared" si="56"/>
        <v>0</v>
      </c>
      <c r="E121" t="b">
        <f t="shared" si="57"/>
        <v>0</v>
      </c>
      <c r="G121" t="str">
        <f>TBIWet!H193</f>
        <v>G681</v>
      </c>
      <c r="H121" t="str">
        <f>TBIWet!I193</f>
        <v>R495</v>
      </c>
      <c r="I121" t="b">
        <f t="shared" si="58"/>
        <v>0</v>
      </c>
      <c r="J121" t="b">
        <f t="shared" si="59"/>
        <v>0</v>
      </c>
      <c r="L121" t="str">
        <f>'Both teabags AfterWet'!A119</f>
        <v>G516</v>
      </c>
      <c r="M121" t="str">
        <f>'Both teabags AfterWet'!A539</f>
        <v>R282</v>
      </c>
      <c r="N121" t="b">
        <f t="shared" si="60"/>
        <v>0</v>
      </c>
      <c r="O121" t="b">
        <f t="shared" si="105"/>
        <v>0</v>
      </c>
      <c r="Q121" s="395" t="b">
        <f t="shared" si="61"/>
        <v>0</v>
      </c>
      <c r="R121" s="395" t="b">
        <f t="shared" si="62"/>
        <v>0</v>
      </c>
      <c r="T121" t="str">
        <f>'Both teabags AfterDry'!A119</f>
        <v>G246</v>
      </c>
      <c r="U121" t="str">
        <f>'Both teabags AfterDry'!A454</f>
        <v>R43</v>
      </c>
      <c r="V121" t="b">
        <f t="shared" si="63"/>
        <v>0</v>
      </c>
      <c r="W121" t="b">
        <f t="shared" si="90"/>
        <v>0</v>
      </c>
      <c r="Y121" t="str">
        <f>'Green_rooibos initial weight'!A122</f>
        <v>G118</v>
      </c>
      <c r="Z121" t="str">
        <f>'Green_rooibos initial weight'!A1026</f>
        <v>R118</v>
      </c>
      <c r="AA121" t="b">
        <f t="shared" si="64"/>
        <v>0</v>
      </c>
      <c r="AB121" t="b">
        <f t="shared" si="65"/>
        <v>0</v>
      </c>
      <c r="AE121" t="str">
        <f>'WetLitterbags placem_collection'!K120</f>
        <v>G681</v>
      </c>
      <c r="AF121" t="str">
        <f>'WetLitterbags placem_collection'!M120</f>
        <v>R495</v>
      </c>
      <c r="AG121" t="b">
        <f t="shared" si="66"/>
        <v>0</v>
      </c>
      <c r="AH121" t="b">
        <f t="shared" si="67"/>
        <v>0</v>
      </c>
      <c r="AJ121" t="b">
        <f t="shared" si="68"/>
        <v>0</v>
      </c>
      <c r="AK121" t="b">
        <f t="shared" si="69"/>
        <v>0</v>
      </c>
      <c r="AM121" t="str">
        <f>IF(ISBLANK('Dry_Litterbag Placem_Collection'!J120),"","G"&amp;""&amp;'Dry_Litterbag Placem_Collection'!J120)</f>
        <v>G200</v>
      </c>
      <c r="AN121" t="str">
        <f>IF(ISBLANK('Dry_Litterbag Placem_Collection'!K120),"","R"&amp;""&amp;'Dry_Litterbag Placem_Collection'!K120)</f>
        <v>R791</v>
      </c>
      <c r="AO121" t="b">
        <f t="shared" si="70"/>
        <v>0</v>
      </c>
      <c r="AP121" t="b">
        <f t="shared" si="71"/>
        <v>0</v>
      </c>
      <c r="AS121" t="str">
        <f>'Ashed teabags dry'!A119</f>
        <v>G246</v>
      </c>
      <c r="AT121" t="str">
        <f>'Ashed teabags dry'!A454</f>
        <v>R43</v>
      </c>
      <c r="AU121" t="b">
        <f t="shared" si="72"/>
        <v>0</v>
      </c>
      <c r="AV121" t="b">
        <f>COUNTIF($AT$4:$AT$2000, AT121)&gt;1</f>
        <v>0</v>
      </c>
      <c r="AX121" s="395" t="b">
        <f t="shared" si="73"/>
        <v>0</v>
      </c>
      <c r="AY121" s="395" t="b">
        <f t="shared" si="74"/>
        <v>0</v>
      </c>
      <c r="BA121" t="str">
        <f>'Ashed teabags wet'!A119</f>
        <v>G516</v>
      </c>
      <c r="BB121" t="str">
        <f>'Ashed teabags wet'!A539</f>
        <v>R282</v>
      </c>
      <c r="BC121" t="b">
        <f t="shared" si="75"/>
        <v>0</v>
      </c>
      <c r="BD121" t="b">
        <f t="shared" si="55"/>
        <v>0</v>
      </c>
      <c r="BF121" t="str">
        <f t="shared" si="76"/>
        <v>G245</v>
      </c>
      <c r="BG121" t="str">
        <f>T120</f>
        <v>G245</v>
      </c>
      <c r="BH121" t="str">
        <f t="shared" si="77"/>
        <v>G533</v>
      </c>
      <c r="BI121" t="str">
        <f t="shared" si="91"/>
        <v/>
      </c>
      <c r="BJ121" t="s">
        <v>1805</v>
      </c>
      <c r="BK121" t="s">
        <v>1805</v>
      </c>
      <c r="BL121" t="s">
        <v>1805</v>
      </c>
      <c r="BM121" t="b">
        <f t="shared" si="92"/>
        <v>1</v>
      </c>
      <c r="BN121" t="str">
        <f t="shared" si="78"/>
        <v>R425</v>
      </c>
      <c r="BO121" t="str">
        <f>U120</f>
        <v>R425</v>
      </c>
      <c r="BP121" t="str">
        <f t="shared" si="79"/>
        <v>R745</v>
      </c>
      <c r="BQ121" t="str">
        <f t="shared" si="80"/>
        <v/>
      </c>
      <c r="BR121" t="s">
        <v>716</v>
      </c>
      <c r="BS121" t="s">
        <v>716</v>
      </c>
      <c r="BT121" t="s">
        <v>716</v>
      </c>
      <c r="BU121" t="b">
        <f t="shared" si="93"/>
        <v>1</v>
      </c>
      <c r="BZ121" t="str">
        <f t="shared" si="81"/>
        <v>G533</v>
      </c>
      <c r="CA121" t="b">
        <f t="shared" si="82"/>
        <v>1</v>
      </c>
      <c r="CB121" t="str">
        <f t="shared" si="94"/>
        <v/>
      </c>
      <c r="CC121" t="str">
        <f t="shared" si="83"/>
        <v>R745</v>
      </c>
      <c r="CD121" t="b">
        <f t="shared" si="95"/>
        <v>1</v>
      </c>
      <c r="CE121" t="str">
        <f t="shared" si="96"/>
        <v/>
      </c>
      <c r="CG121" t="str">
        <f t="shared" si="84"/>
        <v>G514</v>
      </c>
      <c r="CH121" t="str">
        <f t="shared" si="97"/>
        <v>G514</v>
      </c>
      <c r="CI121" t="str">
        <f>AE120</f>
        <v>G789</v>
      </c>
      <c r="CJ121" t="str">
        <f t="shared" si="85"/>
        <v>G789</v>
      </c>
      <c r="CK121" t="s">
        <v>1536</v>
      </c>
      <c r="CL121" t="s">
        <v>1536</v>
      </c>
      <c r="CM121" t="s">
        <v>1536</v>
      </c>
      <c r="CN121" t="b">
        <f t="shared" si="98"/>
        <v>1</v>
      </c>
      <c r="CO121" t="str">
        <f t="shared" si="86"/>
        <v>R28</v>
      </c>
      <c r="CP121" t="str">
        <f t="shared" si="99"/>
        <v>R28</v>
      </c>
      <c r="CQ121" t="str">
        <f>AF120</f>
        <v>R511</v>
      </c>
      <c r="CR121" t="str">
        <f t="shared" si="87"/>
        <v>R511</v>
      </c>
      <c r="CS121" t="s">
        <v>1113</v>
      </c>
      <c r="CT121" t="s">
        <v>1113</v>
      </c>
      <c r="CU121" t="s">
        <v>1113</v>
      </c>
      <c r="CV121" t="b">
        <f t="shared" si="100"/>
        <v>1</v>
      </c>
      <c r="DC121" t="str">
        <f t="shared" si="88"/>
        <v>G789</v>
      </c>
      <c r="DD121" t="b">
        <f t="shared" si="101"/>
        <v>0</v>
      </c>
      <c r="DE121" t="str">
        <f t="shared" si="102"/>
        <v>G789</v>
      </c>
      <c r="DF121" t="str">
        <f t="shared" si="89"/>
        <v>R511</v>
      </c>
      <c r="DG121" t="b">
        <f t="shared" si="103"/>
        <v>0</v>
      </c>
      <c r="DH121" t="str">
        <f t="shared" si="104"/>
        <v>R511</v>
      </c>
    </row>
    <row r="122" spans="2:112" ht="12" customHeight="1">
      <c r="B122" t="str">
        <f>TBIDry!H194</f>
        <v>G236</v>
      </c>
      <c r="C122" t="str">
        <f>TBIDry!I194</f>
        <v>R802</v>
      </c>
      <c r="D122" t="b">
        <f t="shared" si="56"/>
        <v>0</v>
      </c>
      <c r="E122" t="b">
        <f t="shared" si="57"/>
        <v>0</v>
      </c>
      <c r="G122" t="str">
        <f>TBIWet!H194</f>
        <v>G657</v>
      </c>
      <c r="H122" t="str">
        <f>TBIWet!I194</f>
        <v>R584</v>
      </c>
      <c r="I122" t="b">
        <f t="shared" si="58"/>
        <v>0</v>
      </c>
      <c r="J122" t="b">
        <f t="shared" si="59"/>
        <v>0</v>
      </c>
      <c r="L122" t="str">
        <f>'Both teabags AfterWet'!A120</f>
        <v>G518</v>
      </c>
      <c r="M122" t="str">
        <f>'Both teabags AfterWet'!A540</f>
        <v>R285</v>
      </c>
      <c r="N122" t="b">
        <f t="shared" si="60"/>
        <v>0</v>
      </c>
      <c r="O122" t="b">
        <f t="shared" si="105"/>
        <v>0</v>
      </c>
      <c r="Q122" s="395" t="b">
        <f t="shared" si="61"/>
        <v>0</v>
      </c>
      <c r="R122" s="395" t="b">
        <f t="shared" si="62"/>
        <v>0</v>
      </c>
      <c r="T122" t="str">
        <f>'Both teabags AfterDry'!A120</f>
        <v>G247</v>
      </c>
      <c r="U122" t="str">
        <f>'Both teabags AfterDry'!A455</f>
        <v>R443</v>
      </c>
      <c r="V122" t="b">
        <f t="shared" si="63"/>
        <v>0</v>
      </c>
      <c r="W122" t="b">
        <f t="shared" si="90"/>
        <v>0</v>
      </c>
      <c r="Y122" t="str">
        <f>'Green_rooibos initial weight'!A123</f>
        <v>G119</v>
      </c>
      <c r="Z122" t="str">
        <f>'Green_rooibos initial weight'!A1027</f>
        <v>R119</v>
      </c>
      <c r="AA122" t="b">
        <f t="shared" si="64"/>
        <v>0</v>
      </c>
      <c r="AB122" t="b">
        <f t="shared" si="65"/>
        <v>0</v>
      </c>
      <c r="AE122" t="str">
        <f>'WetLitterbags placem_collection'!K121</f>
        <v>G657</v>
      </c>
      <c r="AF122" t="str">
        <f>'WetLitterbags placem_collection'!M121</f>
        <v>R584</v>
      </c>
      <c r="AG122" t="b">
        <f t="shared" si="66"/>
        <v>0</v>
      </c>
      <c r="AH122" t="b">
        <f t="shared" si="67"/>
        <v>0</v>
      </c>
      <c r="AJ122" t="b">
        <f t="shared" si="68"/>
        <v>0</v>
      </c>
      <c r="AK122" t="b">
        <f t="shared" si="69"/>
        <v>0</v>
      </c>
      <c r="AM122" t="str">
        <f>IF(ISBLANK('Dry_Litterbag Placem_Collection'!J121),"","G"&amp;""&amp;'Dry_Litterbag Placem_Collection'!J121)</f>
        <v>G236</v>
      </c>
      <c r="AN122" t="str">
        <f>IF(ISBLANK('Dry_Litterbag Placem_Collection'!K121),"","R"&amp;""&amp;'Dry_Litterbag Placem_Collection'!K121)</f>
        <v>R802</v>
      </c>
      <c r="AO122" t="b">
        <f t="shared" si="70"/>
        <v>0</v>
      </c>
      <c r="AP122" t="b">
        <f t="shared" si="71"/>
        <v>0</v>
      </c>
      <c r="AS122" t="str">
        <f>'Ashed teabags dry'!A120</f>
        <v>G247</v>
      </c>
      <c r="AT122" t="str">
        <f>'Ashed teabags dry'!A455</f>
        <v>R443</v>
      </c>
      <c r="AU122" t="b">
        <f t="shared" si="72"/>
        <v>0</v>
      </c>
      <c r="AV122" t="b">
        <f>COUNTIF($AT$4:$AT$2000, AT122)&gt;1</f>
        <v>0</v>
      </c>
      <c r="AX122" s="395" t="b">
        <f t="shared" si="73"/>
        <v>0</v>
      </c>
      <c r="AY122" s="395" t="b">
        <f t="shared" si="74"/>
        <v>0</v>
      </c>
      <c r="BA122" t="str">
        <f>'Ashed teabags wet'!A120</f>
        <v>G518</v>
      </c>
      <c r="BB122" t="str">
        <f>'Ashed teabags wet'!A540</f>
        <v>R285</v>
      </c>
      <c r="BC122" t="b">
        <f t="shared" si="75"/>
        <v>0</v>
      </c>
      <c r="BD122" t="b">
        <f t="shared" si="55"/>
        <v>0</v>
      </c>
      <c r="BF122" t="str">
        <f t="shared" si="76"/>
        <v>G246</v>
      </c>
      <c r="BG122" t="str">
        <f>T121</f>
        <v>G246</v>
      </c>
      <c r="BH122" t="str">
        <f t="shared" si="77"/>
        <v>G200</v>
      </c>
      <c r="BI122" t="str">
        <f t="shared" si="91"/>
        <v>G200</v>
      </c>
      <c r="BJ122" t="s">
        <v>1804</v>
      </c>
      <c r="BK122" t="s">
        <v>1804</v>
      </c>
      <c r="BL122" t="s">
        <v>1804</v>
      </c>
      <c r="BM122" t="b">
        <f t="shared" si="92"/>
        <v>1</v>
      </c>
      <c r="BN122" t="str">
        <f t="shared" si="78"/>
        <v>R43</v>
      </c>
      <c r="BO122" t="str">
        <f>U121</f>
        <v>R43</v>
      </c>
      <c r="BP122" t="str">
        <f t="shared" si="79"/>
        <v>R791</v>
      </c>
      <c r="BQ122" t="str">
        <f t="shared" si="80"/>
        <v>R791</v>
      </c>
      <c r="BR122" t="s">
        <v>1098</v>
      </c>
      <c r="BS122" t="s">
        <v>1098</v>
      </c>
      <c r="BT122" t="s">
        <v>1098</v>
      </c>
      <c r="BU122" t="b">
        <f t="shared" si="93"/>
        <v>1</v>
      </c>
      <c r="BZ122" t="str">
        <f t="shared" si="81"/>
        <v>G200</v>
      </c>
      <c r="CA122" t="b">
        <f t="shared" si="82"/>
        <v>0</v>
      </c>
      <c r="CB122" t="str">
        <f t="shared" si="94"/>
        <v>G200</v>
      </c>
      <c r="CC122" t="str">
        <f t="shared" si="83"/>
        <v>R791</v>
      </c>
      <c r="CD122" t="b">
        <f t="shared" si="95"/>
        <v>0</v>
      </c>
      <c r="CE122" t="str">
        <f t="shared" si="96"/>
        <v>R791</v>
      </c>
      <c r="CG122" t="str">
        <f t="shared" si="84"/>
        <v>G516</v>
      </c>
      <c r="CH122" t="str">
        <f t="shared" si="97"/>
        <v>G516</v>
      </c>
      <c r="CI122" t="str">
        <f>AE121</f>
        <v>G681</v>
      </c>
      <c r="CJ122" t="str">
        <f t="shared" si="85"/>
        <v>G681</v>
      </c>
      <c r="CK122" t="s">
        <v>1534</v>
      </c>
      <c r="CL122" t="s">
        <v>1534</v>
      </c>
      <c r="CM122" t="s">
        <v>1534</v>
      </c>
      <c r="CN122" t="b">
        <f t="shared" si="98"/>
        <v>1</v>
      </c>
      <c r="CO122" t="str">
        <f t="shared" si="86"/>
        <v>R282</v>
      </c>
      <c r="CP122" t="str">
        <f t="shared" si="99"/>
        <v>R282</v>
      </c>
      <c r="CQ122" t="str">
        <f>AF121</f>
        <v>R495</v>
      </c>
      <c r="CR122" t="str">
        <f t="shared" si="87"/>
        <v>R495</v>
      </c>
      <c r="CS122" t="s">
        <v>859</v>
      </c>
      <c r="CT122" t="s">
        <v>859</v>
      </c>
      <c r="CU122" t="s">
        <v>859</v>
      </c>
      <c r="CV122" t="b">
        <f t="shared" si="100"/>
        <v>1</v>
      </c>
      <c r="DC122" t="str">
        <f t="shared" si="88"/>
        <v>G681</v>
      </c>
      <c r="DD122" t="b">
        <f t="shared" si="101"/>
        <v>0</v>
      </c>
      <c r="DE122" t="str">
        <f t="shared" si="102"/>
        <v>G681</v>
      </c>
      <c r="DF122" t="str">
        <f t="shared" si="89"/>
        <v>R495</v>
      </c>
      <c r="DG122" t="b">
        <f t="shared" si="103"/>
        <v>0</v>
      </c>
      <c r="DH122" t="str">
        <f t="shared" si="104"/>
        <v>R495</v>
      </c>
    </row>
    <row r="123" spans="2:112" ht="12" customHeight="1">
      <c r="B123" t="str">
        <f>TBIDry!H195</f>
        <v/>
      </c>
      <c r="C123" t="str">
        <f>TBIDry!I195</f>
        <v/>
      </c>
      <c r="D123" t="b">
        <f t="shared" si="56"/>
        <v>1</v>
      </c>
      <c r="E123" t="b">
        <f t="shared" si="57"/>
        <v>1</v>
      </c>
      <c r="G123" t="str">
        <f>TBIWet!H195</f>
        <v>G758</v>
      </c>
      <c r="H123" t="str">
        <f>TBIWet!I195</f>
        <v>R454</v>
      </c>
      <c r="I123" t="b">
        <f t="shared" si="58"/>
        <v>0</v>
      </c>
      <c r="J123" t="b">
        <f t="shared" si="59"/>
        <v>0</v>
      </c>
      <c r="L123" t="str">
        <f>'Both teabags AfterWet'!A121</f>
        <v>G519</v>
      </c>
      <c r="M123" t="str">
        <f>'Both teabags AfterWet'!A541</f>
        <v>R287</v>
      </c>
      <c r="N123" t="b">
        <f t="shared" si="60"/>
        <v>0</v>
      </c>
      <c r="O123" t="b">
        <f t="shared" si="105"/>
        <v>0</v>
      </c>
      <c r="Q123" s="395" t="b">
        <f t="shared" si="61"/>
        <v>0</v>
      </c>
      <c r="R123" s="395" t="b">
        <f t="shared" si="62"/>
        <v>0</v>
      </c>
      <c r="T123" t="str">
        <f>'Both teabags AfterDry'!A121</f>
        <v>G248</v>
      </c>
      <c r="U123" t="str">
        <f>'Both teabags AfterDry'!A456</f>
        <v>R455</v>
      </c>
      <c r="V123" t="b">
        <f t="shared" si="63"/>
        <v>0</v>
      </c>
      <c r="W123" t="b">
        <f t="shared" si="90"/>
        <v>0</v>
      </c>
      <c r="Y123" t="str">
        <f>'Green_rooibos initial weight'!A124</f>
        <v>G120</v>
      </c>
      <c r="Z123" t="str">
        <f>'Green_rooibos initial weight'!A1028</f>
        <v>R120</v>
      </c>
      <c r="AA123" t="b">
        <f t="shared" si="64"/>
        <v>0</v>
      </c>
      <c r="AB123" t="b">
        <f t="shared" si="65"/>
        <v>0</v>
      </c>
      <c r="AE123" t="str">
        <f>'WetLitterbags placem_collection'!K122</f>
        <v>G758</v>
      </c>
      <c r="AF123" t="str">
        <f>'WetLitterbags placem_collection'!M122</f>
        <v>R454</v>
      </c>
      <c r="AG123" t="b">
        <f t="shared" si="66"/>
        <v>0</v>
      </c>
      <c r="AH123" t="b">
        <f t="shared" si="67"/>
        <v>0</v>
      </c>
      <c r="AJ123" t="b">
        <f t="shared" si="68"/>
        <v>0</v>
      </c>
      <c r="AK123" t="b">
        <f t="shared" si="69"/>
        <v>0</v>
      </c>
      <c r="AM123" t="str">
        <f>IF(ISBLANK('Dry_Litterbag Placem_Collection'!J122),"","G"&amp;""&amp;'Dry_Litterbag Placem_Collection'!J122)</f>
        <v/>
      </c>
      <c r="AN123" t="str">
        <f>IF(ISBLANK('Dry_Litterbag Placem_Collection'!K122),"","R"&amp;""&amp;'Dry_Litterbag Placem_Collection'!K122)</f>
        <v/>
      </c>
      <c r="AO123" t="b">
        <f t="shared" si="70"/>
        <v>1</v>
      </c>
      <c r="AP123" t="b">
        <f t="shared" si="71"/>
        <v>1</v>
      </c>
      <c r="AS123" t="str">
        <f>'Ashed teabags dry'!A121</f>
        <v>G248</v>
      </c>
      <c r="AT123" t="str">
        <f>'Ashed teabags dry'!A456</f>
        <v>R455</v>
      </c>
      <c r="AU123" t="b">
        <f t="shared" si="72"/>
        <v>0</v>
      </c>
      <c r="AV123" t="b">
        <f>COUNTIF($AT$4:$AT$2000, AT123)&gt;1</f>
        <v>0</v>
      </c>
      <c r="AX123" s="395" t="b">
        <f t="shared" si="73"/>
        <v>0</v>
      </c>
      <c r="AY123" s="395" t="b">
        <f t="shared" si="74"/>
        <v>0</v>
      </c>
      <c r="BA123" t="str">
        <f>'Ashed teabags wet'!A121</f>
        <v>G519</v>
      </c>
      <c r="BB123" t="str">
        <f>'Ashed teabags wet'!A541</f>
        <v>R287</v>
      </c>
      <c r="BC123" t="b">
        <f t="shared" si="75"/>
        <v>0</v>
      </c>
      <c r="BD123" t="b">
        <f t="shared" si="55"/>
        <v>0</v>
      </c>
      <c r="BF123" t="str">
        <f t="shared" si="76"/>
        <v>G247</v>
      </c>
      <c r="BG123" t="str">
        <f>T122</f>
        <v>G247</v>
      </c>
      <c r="BH123" t="str">
        <f t="shared" si="77"/>
        <v>G236</v>
      </c>
      <c r="BI123" t="str">
        <f t="shared" si="91"/>
        <v>G236</v>
      </c>
      <c r="BJ123" t="s">
        <v>1803</v>
      </c>
      <c r="BK123" t="s">
        <v>1803</v>
      </c>
      <c r="BL123" t="s">
        <v>1803</v>
      </c>
      <c r="BM123" t="b">
        <f t="shared" si="92"/>
        <v>1</v>
      </c>
      <c r="BN123" t="str">
        <f t="shared" si="78"/>
        <v>R443</v>
      </c>
      <c r="BO123" t="str">
        <f>U122</f>
        <v>R443</v>
      </c>
      <c r="BP123" t="str">
        <f t="shared" si="79"/>
        <v>R802</v>
      </c>
      <c r="BQ123" t="str">
        <f t="shared" si="80"/>
        <v>R802</v>
      </c>
      <c r="BR123" t="s">
        <v>698</v>
      </c>
      <c r="BS123" t="s">
        <v>698</v>
      </c>
      <c r="BT123" t="s">
        <v>698</v>
      </c>
      <c r="BU123" t="b">
        <f t="shared" si="93"/>
        <v>1</v>
      </c>
      <c r="BZ123" t="str">
        <f t="shared" si="81"/>
        <v>G236</v>
      </c>
      <c r="CA123" t="b">
        <f t="shared" si="82"/>
        <v>0</v>
      </c>
      <c r="CB123" t="str">
        <f t="shared" si="94"/>
        <v>G236</v>
      </c>
      <c r="CC123" t="str">
        <f t="shared" si="83"/>
        <v>R802</v>
      </c>
      <c r="CD123" t="b">
        <f t="shared" si="95"/>
        <v>0</v>
      </c>
      <c r="CE123" t="str">
        <f t="shared" si="96"/>
        <v>R802</v>
      </c>
      <c r="CG123" t="str">
        <f t="shared" si="84"/>
        <v>G518</v>
      </c>
      <c r="CH123" t="str">
        <f t="shared" si="97"/>
        <v>G518</v>
      </c>
      <c r="CI123" t="str">
        <f>AE122</f>
        <v>G657</v>
      </c>
      <c r="CJ123" t="str">
        <f t="shared" si="85"/>
        <v>G657</v>
      </c>
      <c r="CK123" t="s">
        <v>1532</v>
      </c>
      <c r="CL123" t="s">
        <v>1532</v>
      </c>
      <c r="CM123" t="s">
        <v>1532</v>
      </c>
      <c r="CN123" t="b">
        <f t="shared" si="98"/>
        <v>1</v>
      </c>
      <c r="CO123" t="str">
        <f t="shared" si="86"/>
        <v>R285</v>
      </c>
      <c r="CP123" t="str">
        <f t="shared" si="99"/>
        <v>R285</v>
      </c>
      <c r="CQ123" t="str">
        <f>AF122</f>
        <v>R584</v>
      </c>
      <c r="CR123" t="str">
        <f t="shared" si="87"/>
        <v>R584</v>
      </c>
      <c r="CS123" t="s">
        <v>856</v>
      </c>
      <c r="CT123" t="s">
        <v>856</v>
      </c>
      <c r="CU123" t="s">
        <v>856</v>
      </c>
      <c r="CV123" t="b">
        <f t="shared" si="100"/>
        <v>1</v>
      </c>
      <c r="DC123" t="str">
        <f t="shared" si="88"/>
        <v>G657</v>
      </c>
      <c r="DD123" t="b">
        <f t="shared" si="101"/>
        <v>0</v>
      </c>
      <c r="DE123" t="str">
        <f t="shared" si="102"/>
        <v>G657</v>
      </c>
      <c r="DF123" t="str">
        <f t="shared" si="89"/>
        <v>R584</v>
      </c>
      <c r="DG123" t="b">
        <f t="shared" si="103"/>
        <v>0</v>
      </c>
      <c r="DH123" t="str">
        <f t="shared" si="104"/>
        <v>R584</v>
      </c>
    </row>
    <row r="124" spans="2:112" ht="12" customHeight="1">
      <c r="B124" t="str">
        <f>TBIDry!H196</f>
        <v>G280</v>
      </c>
      <c r="C124" t="str">
        <f>TBIDry!I196</f>
        <v>R822</v>
      </c>
      <c r="D124" t="b">
        <f t="shared" si="56"/>
        <v>0</v>
      </c>
      <c r="E124" t="b">
        <f t="shared" si="57"/>
        <v>0</v>
      </c>
      <c r="G124" t="str">
        <f>TBIWet!H196</f>
        <v>G666</v>
      </c>
      <c r="H124" t="str">
        <f>TBIWet!I196</f>
        <v>R532</v>
      </c>
      <c r="I124" t="b">
        <f t="shared" si="58"/>
        <v>0</v>
      </c>
      <c r="J124" t="b">
        <f t="shared" si="59"/>
        <v>0</v>
      </c>
      <c r="L124" t="str">
        <f>'Both teabags AfterWet'!A122</f>
        <v>G520</v>
      </c>
      <c r="M124" t="str">
        <f>'Both teabags AfterWet'!A542</f>
        <v>R288</v>
      </c>
      <c r="N124" t="b">
        <f t="shared" si="60"/>
        <v>0</v>
      </c>
      <c r="O124" t="b">
        <f t="shared" si="105"/>
        <v>0</v>
      </c>
      <c r="Q124" s="395" t="b">
        <f t="shared" si="61"/>
        <v>0</v>
      </c>
      <c r="R124" s="395" t="b">
        <f t="shared" si="62"/>
        <v>0</v>
      </c>
      <c r="T124" t="str">
        <f>'Both teabags AfterDry'!A122</f>
        <v>G25</v>
      </c>
      <c r="U124" t="str">
        <f>'Both teabags AfterDry'!A457</f>
        <v>R491</v>
      </c>
      <c r="V124" t="b">
        <f t="shared" si="63"/>
        <v>0</v>
      </c>
      <c r="W124" t="b">
        <f t="shared" si="90"/>
        <v>0</v>
      </c>
      <c r="Y124" t="str">
        <f>'Green_rooibos initial weight'!A125</f>
        <v>G121</v>
      </c>
      <c r="Z124" t="str">
        <f>'Green_rooibos initial weight'!A1029</f>
        <v>R121</v>
      </c>
      <c r="AA124" t="b">
        <f t="shared" si="64"/>
        <v>0</v>
      </c>
      <c r="AB124" t="b">
        <f t="shared" si="65"/>
        <v>0</v>
      </c>
      <c r="AE124" t="str">
        <f>'WetLitterbags placem_collection'!K123</f>
        <v>G666</v>
      </c>
      <c r="AF124" t="str">
        <f>'WetLitterbags placem_collection'!M123</f>
        <v>R532</v>
      </c>
      <c r="AG124" t="b">
        <f t="shared" si="66"/>
        <v>0</v>
      </c>
      <c r="AH124" t="b">
        <f t="shared" si="67"/>
        <v>0</v>
      </c>
      <c r="AJ124" t="b">
        <f t="shared" si="68"/>
        <v>0</v>
      </c>
      <c r="AK124" t="b">
        <f t="shared" si="69"/>
        <v>0</v>
      </c>
      <c r="AM124" t="str">
        <f>IF(ISBLANK('Dry_Litterbag Placem_Collection'!J123),"","G"&amp;""&amp;'Dry_Litterbag Placem_Collection'!J123)</f>
        <v>G280</v>
      </c>
      <c r="AN124" t="str">
        <f>IF(ISBLANK('Dry_Litterbag Placem_Collection'!K123),"","R"&amp;""&amp;'Dry_Litterbag Placem_Collection'!K123)</f>
        <v>R822</v>
      </c>
      <c r="AO124" t="b">
        <f t="shared" si="70"/>
        <v>0</v>
      </c>
      <c r="AP124" t="b">
        <f t="shared" si="71"/>
        <v>0</v>
      </c>
      <c r="AS124" t="str">
        <f>'Ashed teabags dry'!A122</f>
        <v>G25</v>
      </c>
      <c r="AT124" t="str">
        <f>'Ashed teabags dry'!A457</f>
        <v>R491</v>
      </c>
      <c r="AU124" t="b">
        <f t="shared" si="72"/>
        <v>0</v>
      </c>
      <c r="AV124" t="b">
        <f>COUNTIF($AT$4:$AT$2000, AT124)&gt;1</f>
        <v>0</v>
      </c>
      <c r="AX124" s="395" t="b">
        <f t="shared" si="73"/>
        <v>0</v>
      </c>
      <c r="AY124" s="395" t="b">
        <f t="shared" si="74"/>
        <v>0</v>
      </c>
      <c r="BA124" t="str">
        <f>'Ashed teabags wet'!A122</f>
        <v>G520</v>
      </c>
      <c r="BB124" t="str">
        <f>'Ashed teabags wet'!A542</f>
        <v>R288</v>
      </c>
      <c r="BC124" t="b">
        <f t="shared" si="75"/>
        <v>0</v>
      </c>
      <c r="BD124" t="b">
        <f t="shared" si="55"/>
        <v>0</v>
      </c>
      <c r="BF124" t="str">
        <f t="shared" si="76"/>
        <v>G248</v>
      </c>
      <c r="BG124" t="str">
        <f>T123</f>
        <v>G248</v>
      </c>
      <c r="BH124" t="str">
        <f t="shared" si="77"/>
        <v/>
      </c>
      <c r="BI124" t="str">
        <f t="shared" si="91"/>
        <v/>
      </c>
      <c r="BJ124" t="s">
        <v>1802</v>
      </c>
      <c r="BK124" t="s">
        <v>1802</v>
      </c>
      <c r="BL124" t="s">
        <v>1802</v>
      </c>
      <c r="BM124" t="b">
        <f t="shared" si="92"/>
        <v>1</v>
      </c>
      <c r="BN124" t="str">
        <f t="shared" si="78"/>
        <v>R455</v>
      </c>
      <c r="BO124" t="str">
        <f>U123</f>
        <v>R455</v>
      </c>
      <c r="BP124" t="str">
        <f t="shared" si="79"/>
        <v/>
      </c>
      <c r="BQ124" t="str">
        <f t="shared" si="80"/>
        <v/>
      </c>
      <c r="BR124" t="s">
        <v>686</v>
      </c>
      <c r="BS124" t="s">
        <v>686</v>
      </c>
      <c r="BT124" t="s">
        <v>686</v>
      </c>
      <c r="BU124" t="b">
        <f t="shared" si="93"/>
        <v>1</v>
      </c>
      <c r="BZ124" t="str">
        <f t="shared" si="81"/>
        <v/>
      </c>
      <c r="CA124" t="b">
        <f t="shared" si="82"/>
        <v>0</v>
      </c>
      <c r="CB124" t="str">
        <f t="shared" si="94"/>
        <v/>
      </c>
      <c r="CC124" t="str">
        <f t="shared" si="83"/>
        <v/>
      </c>
      <c r="CD124" t="b">
        <f t="shared" si="95"/>
        <v>0</v>
      </c>
      <c r="CE124" t="str">
        <f t="shared" si="96"/>
        <v/>
      </c>
      <c r="CG124" t="str">
        <f t="shared" si="84"/>
        <v>G519</v>
      </c>
      <c r="CH124" t="str">
        <f t="shared" si="97"/>
        <v>G519</v>
      </c>
      <c r="CI124" t="str">
        <f>AE123</f>
        <v>G758</v>
      </c>
      <c r="CJ124" t="str">
        <f t="shared" si="85"/>
        <v>G758</v>
      </c>
      <c r="CK124" t="s">
        <v>1531</v>
      </c>
      <c r="CL124" t="s">
        <v>1531</v>
      </c>
      <c r="CM124" t="s">
        <v>1531</v>
      </c>
      <c r="CN124" t="b">
        <f t="shared" si="98"/>
        <v>1</v>
      </c>
      <c r="CO124" t="str">
        <f t="shared" si="86"/>
        <v>R287</v>
      </c>
      <c r="CP124" t="str">
        <f t="shared" si="99"/>
        <v>R287</v>
      </c>
      <c r="CQ124" t="str">
        <f>AF123</f>
        <v>R454</v>
      </c>
      <c r="CR124" t="str">
        <f t="shared" si="87"/>
        <v>R454</v>
      </c>
      <c r="CS124" t="s">
        <v>854</v>
      </c>
      <c r="CT124" t="s">
        <v>854</v>
      </c>
      <c r="CU124" t="s">
        <v>854</v>
      </c>
      <c r="CV124" t="b">
        <f t="shared" si="100"/>
        <v>1</v>
      </c>
      <c r="DC124" t="str">
        <f t="shared" si="88"/>
        <v>G758</v>
      </c>
      <c r="DD124" t="b">
        <f t="shared" si="101"/>
        <v>0</v>
      </c>
      <c r="DE124" t="str">
        <f t="shared" si="102"/>
        <v>G758</v>
      </c>
      <c r="DF124" t="str">
        <f t="shared" si="89"/>
        <v>R454</v>
      </c>
      <c r="DG124" t="b">
        <f t="shared" si="103"/>
        <v>0</v>
      </c>
      <c r="DH124" t="str">
        <f t="shared" si="104"/>
        <v>R454</v>
      </c>
    </row>
    <row r="125" spans="2:112" ht="12" customHeight="1">
      <c r="B125" t="str">
        <f>TBIDry!H197</f>
        <v>G231</v>
      </c>
      <c r="C125" t="str">
        <f>TBIDry!I197</f>
        <v>R792</v>
      </c>
      <c r="D125" t="b">
        <f t="shared" si="56"/>
        <v>0</v>
      </c>
      <c r="E125" t="b">
        <f t="shared" si="57"/>
        <v>0</v>
      </c>
      <c r="G125" t="str">
        <f>TBIWet!H197</f>
        <v>G860</v>
      </c>
      <c r="H125" t="str">
        <f>TBIWet!I197</f>
        <v>R11</v>
      </c>
      <c r="I125" t="b">
        <f t="shared" si="58"/>
        <v>0</v>
      </c>
      <c r="J125" t="b">
        <f t="shared" si="59"/>
        <v>0</v>
      </c>
      <c r="L125" t="str">
        <f>'Both teabags AfterWet'!A123</f>
        <v>G521</v>
      </c>
      <c r="M125" t="str">
        <f>'Both teabags AfterWet'!A543</f>
        <v>R289</v>
      </c>
      <c r="N125" t="b">
        <f t="shared" si="60"/>
        <v>0</v>
      </c>
      <c r="O125" t="b">
        <f t="shared" si="105"/>
        <v>0</v>
      </c>
      <c r="Q125" s="395" t="b">
        <f t="shared" si="61"/>
        <v>0</v>
      </c>
      <c r="R125" s="395" t="b">
        <f t="shared" si="62"/>
        <v>0</v>
      </c>
      <c r="T125" t="str">
        <f>'Both teabags AfterDry'!A123</f>
        <v>G250</v>
      </c>
      <c r="U125" t="str">
        <f>'Both teabags AfterDry'!A458</f>
        <v>R514</v>
      </c>
      <c r="V125" t="b">
        <f t="shared" si="63"/>
        <v>0</v>
      </c>
      <c r="W125" t="b">
        <f t="shared" si="90"/>
        <v>0</v>
      </c>
      <c r="Y125" t="str">
        <f>'Green_rooibos initial weight'!A126</f>
        <v>G122</v>
      </c>
      <c r="Z125" t="str">
        <f>'Green_rooibos initial weight'!A1030</f>
        <v>R122</v>
      </c>
      <c r="AA125" t="b">
        <f t="shared" si="64"/>
        <v>0</v>
      </c>
      <c r="AB125" t="b">
        <f t="shared" si="65"/>
        <v>0</v>
      </c>
      <c r="AE125" t="str">
        <f>'WetLitterbags placem_collection'!K124</f>
        <v>G860</v>
      </c>
      <c r="AF125" t="str">
        <f>'WetLitterbags placem_collection'!M124</f>
        <v>R11</v>
      </c>
      <c r="AG125" t="b">
        <f t="shared" si="66"/>
        <v>0</v>
      </c>
      <c r="AH125" t="b">
        <f t="shared" si="67"/>
        <v>0</v>
      </c>
      <c r="AJ125" t="b">
        <f t="shared" si="68"/>
        <v>0</v>
      </c>
      <c r="AK125" t="b">
        <f t="shared" si="69"/>
        <v>0</v>
      </c>
      <c r="AM125" t="str">
        <f>IF(ISBLANK('Dry_Litterbag Placem_Collection'!J124),"","G"&amp;""&amp;'Dry_Litterbag Placem_Collection'!J124)</f>
        <v>G231</v>
      </c>
      <c r="AN125" t="str">
        <f>IF(ISBLANK('Dry_Litterbag Placem_Collection'!K124),"","R"&amp;""&amp;'Dry_Litterbag Placem_Collection'!K124)</f>
        <v>R792</v>
      </c>
      <c r="AO125" t="b">
        <f t="shared" si="70"/>
        <v>0</v>
      </c>
      <c r="AP125" t="b">
        <f t="shared" si="71"/>
        <v>0</v>
      </c>
      <c r="AS125" t="str">
        <f>'Ashed teabags dry'!A123</f>
        <v>G250</v>
      </c>
      <c r="AT125" t="str">
        <f>'Ashed teabags dry'!A458</f>
        <v>R514</v>
      </c>
      <c r="AU125" t="b">
        <f t="shared" si="72"/>
        <v>0</v>
      </c>
      <c r="AV125" t="b">
        <f>COUNTIF($AT$4:$AT$2000, AT125)&gt;1</f>
        <v>0</v>
      </c>
      <c r="AX125" s="395" t="b">
        <f t="shared" si="73"/>
        <v>0</v>
      </c>
      <c r="AY125" s="395" t="b">
        <f t="shared" si="74"/>
        <v>0</v>
      </c>
      <c r="BA125" t="str">
        <f>'Ashed teabags wet'!A123</f>
        <v>G521</v>
      </c>
      <c r="BB125" t="str">
        <f>'Ashed teabags wet'!A543</f>
        <v>R289</v>
      </c>
      <c r="BC125" t="b">
        <f t="shared" si="75"/>
        <v>0</v>
      </c>
      <c r="BD125" t="b">
        <f t="shared" si="55"/>
        <v>0</v>
      </c>
      <c r="BF125" t="str">
        <f t="shared" si="76"/>
        <v>G25</v>
      </c>
      <c r="BG125" t="str">
        <f>T124</f>
        <v>G25</v>
      </c>
      <c r="BH125" t="str">
        <f t="shared" si="77"/>
        <v>G280</v>
      </c>
      <c r="BI125" t="str">
        <f t="shared" si="91"/>
        <v/>
      </c>
      <c r="BJ125" t="s">
        <v>2025</v>
      </c>
      <c r="BK125" t="s">
        <v>2025</v>
      </c>
      <c r="BL125" t="s">
        <v>2025</v>
      </c>
      <c r="BM125" t="b">
        <f t="shared" si="92"/>
        <v>1</v>
      </c>
      <c r="BN125" t="str">
        <f t="shared" si="78"/>
        <v>R491</v>
      </c>
      <c r="BO125" t="str">
        <f>U124</f>
        <v>R491</v>
      </c>
      <c r="BP125" t="str">
        <f t="shared" si="79"/>
        <v>R822</v>
      </c>
      <c r="BQ125" t="str">
        <f t="shared" si="80"/>
        <v/>
      </c>
      <c r="BR125" t="s">
        <v>650</v>
      </c>
      <c r="BS125" t="s">
        <v>650</v>
      </c>
      <c r="BT125" t="s">
        <v>650</v>
      </c>
      <c r="BU125" t="b">
        <f t="shared" si="93"/>
        <v>1</v>
      </c>
      <c r="BZ125" t="str">
        <f t="shared" si="81"/>
        <v>G280</v>
      </c>
      <c r="CA125" t="b">
        <f t="shared" si="82"/>
        <v>1</v>
      </c>
      <c r="CB125" t="str">
        <f t="shared" si="94"/>
        <v/>
      </c>
      <c r="CC125" t="str">
        <f t="shared" si="83"/>
        <v>R822</v>
      </c>
      <c r="CD125" t="b">
        <f t="shared" si="95"/>
        <v>1</v>
      </c>
      <c r="CE125" t="str">
        <f t="shared" si="96"/>
        <v/>
      </c>
      <c r="CG125" t="str">
        <f t="shared" si="84"/>
        <v>G520</v>
      </c>
      <c r="CH125" t="str">
        <f t="shared" si="97"/>
        <v>G520</v>
      </c>
      <c r="CI125" t="str">
        <f>AE124</f>
        <v>G666</v>
      </c>
      <c r="CJ125" t="str">
        <f t="shared" si="85"/>
        <v>G666</v>
      </c>
      <c r="CK125" t="s">
        <v>1530</v>
      </c>
      <c r="CL125" t="s">
        <v>1530</v>
      </c>
      <c r="CM125" t="s">
        <v>1530</v>
      </c>
      <c r="CN125" t="b">
        <f t="shared" si="98"/>
        <v>1</v>
      </c>
      <c r="CO125" t="str">
        <f t="shared" si="86"/>
        <v>R288</v>
      </c>
      <c r="CP125" t="str">
        <f t="shared" si="99"/>
        <v>R288</v>
      </c>
      <c r="CQ125" t="str">
        <f>AF124</f>
        <v>R532</v>
      </c>
      <c r="CR125" t="str">
        <f t="shared" si="87"/>
        <v>R532</v>
      </c>
      <c r="CS125" t="s">
        <v>853</v>
      </c>
      <c r="CT125" t="s">
        <v>853</v>
      </c>
      <c r="CU125" t="s">
        <v>853</v>
      </c>
      <c r="CV125" t="b">
        <f t="shared" si="100"/>
        <v>1</v>
      </c>
      <c r="DC125" t="str">
        <f t="shared" si="88"/>
        <v>G666</v>
      </c>
      <c r="DD125" t="b">
        <f t="shared" si="101"/>
        <v>0</v>
      </c>
      <c r="DE125" t="str">
        <f t="shared" si="102"/>
        <v>G666</v>
      </c>
      <c r="DF125" t="str">
        <f t="shared" si="89"/>
        <v>R532</v>
      </c>
      <c r="DG125" t="b">
        <f t="shared" si="103"/>
        <v>0</v>
      </c>
      <c r="DH125" t="str">
        <f t="shared" si="104"/>
        <v>R532</v>
      </c>
    </row>
    <row r="126" spans="2:112" ht="12" customHeight="1">
      <c r="B126" t="str">
        <f>TBIDry!H198</f>
        <v>G292</v>
      </c>
      <c r="C126" t="str">
        <f>TBIDry!I198</f>
        <v>R740</v>
      </c>
      <c r="D126" t="b">
        <f t="shared" si="56"/>
        <v>0</v>
      </c>
      <c r="E126" t="b">
        <f t="shared" si="57"/>
        <v>0</v>
      </c>
      <c r="G126" t="str">
        <f>TBIWet!H198</f>
        <v>G694</v>
      </c>
      <c r="H126" t="str">
        <f>TBIWet!I198</f>
        <v>R575</v>
      </c>
      <c r="I126" t="b">
        <f t="shared" si="58"/>
        <v>0</v>
      </c>
      <c r="J126" t="b">
        <f t="shared" si="59"/>
        <v>0</v>
      </c>
      <c r="L126" t="str">
        <f>'Both teabags AfterWet'!A124</f>
        <v>G522</v>
      </c>
      <c r="M126" t="str">
        <f>'Both teabags AfterWet'!A544</f>
        <v>R29</v>
      </c>
      <c r="N126" t="b">
        <f t="shared" si="60"/>
        <v>0</v>
      </c>
      <c r="O126" t="b">
        <f t="shared" si="105"/>
        <v>0</v>
      </c>
      <c r="Q126" s="395" t="b">
        <f t="shared" si="61"/>
        <v>0</v>
      </c>
      <c r="R126" s="395" t="b">
        <f t="shared" si="62"/>
        <v>0</v>
      </c>
      <c r="T126" t="str">
        <f>'Both teabags AfterDry'!A124</f>
        <v>G253</v>
      </c>
      <c r="U126" t="str">
        <f>'Both teabags AfterDry'!A459</f>
        <v>R516</v>
      </c>
      <c r="V126" t="b">
        <f t="shared" si="63"/>
        <v>0</v>
      </c>
      <c r="W126" t="b">
        <f t="shared" si="90"/>
        <v>0</v>
      </c>
      <c r="Y126" t="str">
        <f>'Green_rooibos initial weight'!A127</f>
        <v>G123</v>
      </c>
      <c r="Z126" t="str">
        <f>'Green_rooibos initial weight'!A1031</f>
        <v>R123</v>
      </c>
      <c r="AA126" t="b">
        <f t="shared" si="64"/>
        <v>0</v>
      </c>
      <c r="AB126" t="b">
        <f t="shared" si="65"/>
        <v>0</v>
      </c>
      <c r="AE126" t="str">
        <f>'WetLitterbags placem_collection'!K125</f>
        <v>G694</v>
      </c>
      <c r="AF126" t="str">
        <f>'WetLitterbags placem_collection'!M125</f>
        <v>R575</v>
      </c>
      <c r="AG126" t="b">
        <f t="shared" si="66"/>
        <v>0</v>
      </c>
      <c r="AH126" t="b">
        <f t="shared" si="67"/>
        <v>0</v>
      </c>
      <c r="AJ126" t="b">
        <f t="shared" si="68"/>
        <v>0</v>
      </c>
      <c r="AK126" t="b">
        <f t="shared" si="69"/>
        <v>0</v>
      </c>
      <c r="AM126" t="str">
        <f>IF(ISBLANK('Dry_Litterbag Placem_Collection'!J125),"","G"&amp;""&amp;'Dry_Litterbag Placem_Collection'!J125)</f>
        <v>G292</v>
      </c>
      <c r="AN126" t="str">
        <f>IF(ISBLANK('Dry_Litterbag Placem_Collection'!K125),"","R"&amp;""&amp;'Dry_Litterbag Placem_Collection'!K125)</f>
        <v>R740</v>
      </c>
      <c r="AO126" t="b">
        <f t="shared" si="70"/>
        <v>0</v>
      </c>
      <c r="AP126" t="b">
        <f t="shared" si="71"/>
        <v>0</v>
      </c>
      <c r="AS126" t="str">
        <f>'Ashed teabags dry'!A124</f>
        <v>G253</v>
      </c>
      <c r="AT126" t="str">
        <f>'Ashed teabags dry'!A459</f>
        <v>R516</v>
      </c>
      <c r="AU126" t="b">
        <f t="shared" si="72"/>
        <v>0</v>
      </c>
      <c r="AV126" t="b">
        <f>COUNTIF($AT$4:$AT$2000, AT126)&gt;1</f>
        <v>0</v>
      </c>
      <c r="AX126" s="395" t="b">
        <f t="shared" si="73"/>
        <v>0</v>
      </c>
      <c r="AY126" s="395" t="b">
        <f t="shared" si="74"/>
        <v>0</v>
      </c>
      <c r="BA126" t="str">
        <f>'Ashed teabags wet'!A124</f>
        <v>G522</v>
      </c>
      <c r="BB126" t="str">
        <f>'Ashed teabags wet'!A544</f>
        <v>R29</v>
      </c>
      <c r="BC126" t="b">
        <f t="shared" si="75"/>
        <v>0</v>
      </c>
      <c r="BD126" t="b">
        <f t="shared" si="55"/>
        <v>0</v>
      </c>
      <c r="BF126" t="str">
        <f t="shared" si="76"/>
        <v>G250</v>
      </c>
      <c r="BG126" t="str">
        <f>T125</f>
        <v>G250</v>
      </c>
      <c r="BH126" t="str">
        <f t="shared" si="77"/>
        <v>G231</v>
      </c>
      <c r="BI126" t="str">
        <f t="shared" si="91"/>
        <v>G231</v>
      </c>
      <c r="BJ126" t="s">
        <v>1800</v>
      </c>
      <c r="BK126" t="s">
        <v>1800</v>
      </c>
      <c r="BL126" t="s">
        <v>1800</v>
      </c>
      <c r="BM126" t="b">
        <f t="shared" si="92"/>
        <v>1</v>
      </c>
      <c r="BN126" t="str">
        <f t="shared" si="78"/>
        <v>R514</v>
      </c>
      <c r="BO126" t="str">
        <f>U125</f>
        <v>R514</v>
      </c>
      <c r="BP126" t="str">
        <f t="shared" si="79"/>
        <v>R792</v>
      </c>
      <c r="BQ126" t="str">
        <f t="shared" si="80"/>
        <v>R792</v>
      </c>
      <c r="BR126" t="s">
        <v>627</v>
      </c>
      <c r="BS126" t="s">
        <v>627</v>
      </c>
      <c r="BT126" t="s">
        <v>627</v>
      </c>
      <c r="BU126" t="b">
        <f t="shared" si="93"/>
        <v>1</v>
      </c>
      <c r="BZ126" t="str">
        <f t="shared" si="81"/>
        <v>G231</v>
      </c>
      <c r="CA126" t="b">
        <f t="shared" si="82"/>
        <v>0</v>
      </c>
      <c r="CB126" t="str">
        <f t="shared" si="94"/>
        <v>G231</v>
      </c>
      <c r="CC126" t="str">
        <f t="shared" si="83"/>
        <v>R792</v>
      </c>
      <c r="CD126" t="b">
        <f t="shared" si="95"/>
        <v>0</v>
      </c>
      <c r="CE126" t="str">
        <f t="shared" si="96"/>
        <v>R792</v>
      </c>
      <c r="CG126" t="str">
        <f t="shared" si="84"/>
        <v>G521</v>
      </c>
      <c r="CH126" t="str">
        <f t="shared" si="97"/>
        <v>G521</v>
      </c>
      <c r="CI126" t="str">
        <f>AE125</f>
        <v>G860</v>
      </c>
      <c r="CJ126" t="str">
        <f t="shared" si="85"/>
        <v>G860</v>
      </c>
      <c r="CK126" t="s">
        <v>1529</v>
      </c>
      <c r="CL126" t="s">
        <v>1529</v>
      </c>
      <c r="CM126" t="s">
        <v>1529</v>
      </c>
      <c r="CN126" t="b">
        <f t="shared" si="98"/>
        <v>1</v>
      </c>
      <c r="CO126" t="str">
        <f t="shared" si="86"/>
        <v>R289</v>
      </c>
      <c r="CP126" t="str">
        <f t="shared" si="99"/>
        <v>R289</v>
      </c>
      <c r="CQ126" t="str">
        <f>AF125</f>
        <v>R11</v>
      </c>
      <c r="CR126" t="str">
        <f t="shared" si="87"/>
        <v>R11</v>
      </c>
      <c r="CS126" t="s">
        <v>852</v>
      </c>
      <c r="CT126" t="s">
        <v>852</v>
      </c>
      <c r="CU126" t="s">
        <v>852</v>
      </c>
      <c r="CV126" t="b">
        <f t="shared" si="100"/>
        <v>1</v>
      </c>
      <c r="DC126" t="str">
        <f t="shared" si="88"/>
        <v>G860</v>
      </c>
      <c r="DD126" t="b">
        <f t="shared" si="101"/>
        <v>0</v>
      </c>
      <c r="DE126" t="str">
        <f t="shared" si="102"/>
        <v>G860</v>
      </c>
      <c r="DF126" t="str">
        <f t="shared" si="89"/>
        <v>R11</v>
      </c>
      <c r="DG126" t="b">
        <f t="shared" si="103"/>
        <v>0</v>
      </c>
      <c r="DH126" t="str">
        <f t="shared" si="104"/>
        <v>R11</v>
      </c>
    </row>
    <row r="127" spans="2:112" ht="12" customHeight="1">
      <c r="B127" t="str">
        <f>TBIDry!H199</f>
        <v>G116</v>
      </c>
      <c r="C127" t="str">
        <f>TBIDry!I199</f>
        <v>R797</v>
      </c>
      <c r="D127" t="b">
        <f t="shared" si="56"/>
        <v>0</v>
      </c>
      <c r="E127" t="b">
        <f t="shared" si="57"/>
        <v>0</v>
      </c>
      <c r="G127" t="str">
        <f>TBIWet!H199</f>
        <v>G867</v>
      </c>
      <c r="H127" t="str">
        <f>TBIWet!I199</f>
        <v>R39</v>
      </c>
      <c r="I127" t="b">
        <f t="shared" si="58"/>
        <v>0</v>
      </c>
      <c r="J127" t="b">
        <f t="shared" si="59"/>
        <v>0</v>
      </c>
      <c r="L127" t="str">
        <f>'Both teabags AfterWet'!A125</f>
        <v>G523</v>
      </c>
      <c r="M127" t="str">
        <f>'Both teabags AfterWet'!A545</f>
        <v>R290</v>
      </c>
      <c r="N127" t="b">
        <f t="shared" si="60"/>
        <v>0</v>
      </c>
      <c r="O127" t="b">
        <f t="shared" si="105"/>
        <v>0</v>
      </c>
      <c r="Q127" s="395" t="b">
        <f t="shared" si="61"/>
        <v>0</v>
      </c>
      <c r="R127" s="395" t="b">
        <f t="shared" si="62"/>
        <v>0</v>
      </c>
      <c r="T127" t="str">
        <f>'Both teabags AfterDry'!A125</f>
        <v>G254</v>
      </c>
      <c r="U127" t="str">
        <f>'Both teabags AfterDry'!A460</f>
        <v>R52</v>
      </c>
      <c r="V127" t="b">
        <f t="shared" si="63"/>
        <v>0</v>
      </c>
      <c r="W127" t="b">
        <f t="shared" si="90"/>
        <v>0</v>
      </c>
      <c r="Y127" t="str">
        <f>'Green_rooibos initial weight'!A128</f>
        <v>G124</v>
      </c>
      <c r="Z127" t="str">
        <f>'Green_rooibos initial weight'!A1032</f>
        <v>R124</v>
      </c>
      <c r="AA127" t="b">
        <f t="shared" si="64"/>
        <v>0</v>
      </c>
      <c r="AB127" t="b">
        <f t="shared" si="65"/>
        <v>0</v>
      </c>
      <c r="AE127" t="str">
        <f>'WetLitterbags placem_collection'!K126</f>
        <v>G867</v>
      </c>
      <c r="AF127" t="str">
        <f>'WetLitterbags placem_collection'!M126</f>
        <v>R39</v>
      </c>
      <c r="AG127" t="b">
        <f t="shared" si="66"/>
        <v>0</v>
      </c>
      <c r="AH127" t="b">
        <f t="shared" si="67"/>
        <v>0</v>
      </c>
      <c r="AJ127" t="b">
        <f t="shared" si="68"/>
        <v>0</v>
      </c>
      <c r="AK127" t="b">
        <f t="shared" si="69"/>
        <v>0</v>
      </c>
      <c r="AM127" t="str">
        <f>IF(ISBLANK('Dry_Litterbag Placem_Collection'!J126),"","G"&amp;""&amp;'Dry_Litterbag Placem_Collection'!J126)</f>
        <v>G116</v>
      </c>
      <c r="AN127" t="str">
        <f>IF(ISBLANK('Dry_Litterbag Placem_Collection'!K126),"","R"&amp;""&amp;'Dry_Litterbag Placem_Collection'!K126)</f>
        <v>R797</v>
      </c>
      <c r="AO127" t="b">
        <f t="shared" si="70"/>
        <v>0</v>
      </c>
      <c r="AP127" t="b">
        <f t="shared" si="71"/>
        <v>0</v>
      </c>
      <c r="AS127" t="str">
        <f>'Ashed teabags dry'!A125</f>
        <v>G254</v>
      </c>
      <c r="AT127" t="str">
        <f>'Ashed teabags dry'!A460</f>
        <v>R52</v>
      </c>
      <c r="AU127" t="b">
        <f t="shared" si="72"/>
        <v>0</v>
      </c>
      <c r="AV127" t="b">
        <f>COUNTIF($AT$4:$AT$2000, AT127)&gt;1</f>
        <v>0</v>
      </c>
      <c r="AX127" s="395" t="b">
        <f t="shared" si="73"/>
        <v>0</v>
      </c>
      <c r="AY127" s="395" t="b">
        <f t="shared" si="74"/>
        <v>0</v>
      </c>
      <c r="BA127" t="str">
        <f>'Ashed teabags wet'!A125</f>
        <v>G523</v>
      </c>
      <c r="BB127" t="str">
        <f>'Ashed teabags wet'!A545</f>
        <v>R290</v>
      </c>
      <c r="BC127" t="b">
        <f t="shared" si="75"/>
        <v>0</v>
      </c>
      <c r="BD127" t="b">
        <f t="shared" si="55"/>
        <v>0</v>
      </c>
      <c r="BF127" t="str">
        <f t="shared" si="76"/>
        <v>G253</v>
      </c>
      <c r="BG127" t="str">
        <f>T126</f>
        <v>G253</v>
      </c>
      <c r="BH127" t="str">
        <f t="shared" si="77"/>
        <v>G292</v>
      </c>
      <c r="BI127" t="str">
        <f t="shared" si="91"/>
        <v>G292</v>
      </c>
      <c r="BJ127" t="s">
        <v>1797</v>
      </c>
      <c r="BK127" t="s">
        <v>1797</v>
      </c>
      <c r="BL127" t="s">
        <v>1797</v>
      </c>
      <c r="BM127" t="b">
        <f t="shared" si="92"/>
        <v>1</v>
      </c>
      <c r="BN127" t="str">
        <f t="shared" si="78"/>
        <v>R516</v>
      </c>
      <c r="BO127" t="str">
        <f>U126</f>
        <v>R516</v>
      </c>
      <c r="BP127" t="str">
        <f t="shared" si="79"/>
        <v>R740</v>
      </c>
      <c r="BQ127" t="str">
        <f t="shared" si="80"/>
        <v>R740</v>
      </c>
      <c r="BR127" t="s">
        <v>625</v>
      </c>
      <c r="BS127" t="s">
        <v>625</v>
      </c>
      <c r="BT127" t="s">
        <v>625</v>
      </c>
      <c r="BU127" t="b">
        <f t="shared" si="93"/>
        <v>1</v>
      </c>
      <c r="BZ127" t="str">
        <f t="shared" si="81"/>
        <v>G292</v>
      </c>
      <c r="CA127" t="b">
        <f t="shared" si="82"/>
        <v>0</v>
      </c>
      <c r="CB127" t="str">
        <f t="shared" si="94"/>
        <v>G292</v>
      </c>
      <c r="CC127" t="str">
        <f t="shared" si="83"/>
        <v>R740</v>
      </c>
      <c r="CD127" t="b">
        <f t="shared" si="95"/>
        <v>0</v>
      </c>
      <c r="CE127" t="str">
        <f t="shared" si="96"/>
        <v>R740</v>
      </c>
      <c r="CG127" t="str">
        <f t="shared" si="84"/>
        <v>G522</v>
      </c>
      <c r="CH127" t="str">
        <f t="shared" si="97"/>
        <v>G522</v>
      </c>
      <c r="CI127" t="str">
        <f>AE126</f>
        <v>G694</v>
      </c>
      <c r="CJ127" t="str">
        <f t="shared" si="85"/>
        <v>G694</v>
      </c>
      <c r="CK127" t="s">
        <v>1528</v>
      </c>
      <c r="CL127" t="s">
        <v>1528</v>
      </c>
      <c r="CM127" t="s">
        <v>1528</v>
      </c>
      <c r="CN127" t="b">
        <f t="shared" si="98"/>
        <v>1</v>
      </c>
      <c r="CO127" t="str">
        <f t="shared" si="86"/>
        <v>R29</v>
      </c>
      <c r="CP127" t="str">
        <f t="shared" si="99"/>
        <v>R29</v>
      </c>
      <c r="CQ127" t="str">
        <f>AF126</f>
        <v>R575</v>
      </c>
      <c r="CR127" t="str">
        <f t="shared" si="87"/>
        <v>R575</v>
      </c>
      <c r="CS127" t="s">
        <v>1112</v>
      </c>
      <c r="CT127" t="s">
        <v>1112</v>
      </c>
      <c r="CU127" t="s">
        <v>1112</v>
      </c>
      <c r="CV127" t="b">
        <f t="shared" si="100"/>
        <v>1</v>
      </c>
      <c r="DC127" t="str">
        <f t="shared" si="88"/>
        <v>G694</v>
      </c>
      <c r="DD127" t="b">
        <f t="shared" si="101"/>
        <v>0</v>
      </c>
      <c r="DE127" t="str">
        <f t="shared" si="102"/>
        <v>G694</v>
      </c>
      <c r="DF127" t="str">
        <f t="shared" si="89"/>
        <v>R575</v>
      </c>
      <c r="DG127" t="b">
        <f t="shared" si="103"/>
        <v>0</v>
      </c>
      <c r="DH127" t="str">
        <f t="shared" si="104"/>
        <v>R575</v>
      </c>
    </row>
    <row r="128" spans="2:112" ht="12" customHeight="1">
      <c r="B128" t="str">
        <f>TBIDry!H200</f>
        <v>G50</v>
      </c>
      <c r="C128" t="str">
        <f>TBIDry!I200</f>
        <v>R795</v>
      </c>
      <c r="D128" t="b">
        <f t="shared" si="56"/>
        <v>0</v>
      </c>
      <c r="E128" t="b">
        <f t="shared" si="57"/>
        <v>0</v>
      </c>
      <c r="G128" t="str">
        <f>TBIWet!H200</f>
        <v>G793</v>
      </c>
      <c r="H128" t="str">
        <f>TBIWet!I200</f>
        <v>R560</v>
      </c>
      <c r="I128" t="b">
        <f t="shared" si="58"/>
        <v>0</v>
      </c>
      <c r="J128" t="b">
        <f t="shared" si="59"/>
        <v>0</v>
      </c>
      <c r="L128" t="str">
        <f>'Both teabags AfterWet'!A126</f>
        <v>G524</v>
      </c>
      <c r="M128" t="str">
        <f>'Both teabags AfterWet'!A546</f>
        <v>R291</v>
      </c>
      <c r="N128" t="b">
        <f t="shared" si="60"/>
        <v>0</v>
      </c>
      <c r="O128" t="b">
        <f t="shared" si="105"/>
        <v>0</v>
      </c>
      <c r="Q128" s="395" t="b">
        <f t="shared" si="61"/>
        <v>0</v>
      </c>
      <c r="R128" s="395" t="b">
        <f t="shared" si="62"/>
        <v>0</v>
      </c>
      <c r="T128" t="str">
        <f>'Both teabags AfterDry'!A126</f>
        <v>G255</v>
      </c>
      <c r="U128" t="str">
        <f>'Both teabags AfterDry'!A461</f>
        <v>R551</v>
      </c>
      <c r="V128" t="b">
        <f t="shared" si="63"/>
        <v>0</v>
      </c>
      <c r="W128" t="b">
        <f t="shared" si="90"/>
        <v>0</v>
      </c>
      <c r="Y128" t="str">
        <f>'Green_rooibos initial weight'!A129</f>
        <v>G125</v>
      </c>
      <c r="Z128" t="str">
        <f>'Green_rooibos initial weight'!A1033</f>
        <v>R125</v>
      </c>
      <c r="AA128" t="b">
        <f t="shared" si="64"/>
        <v>0</v>
      </c>
      <c r="AB128" t="b">
        <f t="shared" si="65"/>
        <v>0</v>
      </c>
      <c r="AE128" t="str">
        <f>'WetLitterbags placem_collection'!K127</f>
        <v>G793</v>
      </c>
      <c r="AF128" t="str">
        <f>'WetLitterbags placem_collection'!M127</f>
        <v>R560</v>
      </c>
      <c r="AG128" t="b">
        <f t="shared" si="66"/>
        <v>0</v>
      </c>
      <c r="AH128" t="b">
        <f t="shared" si="67"/>
        <v>0</v>
      </c>
      <c r="AJ128" t="b">
        <f t="shared" si="68"/>
        <v>0</v>
      </c>
      <c r="AK128" t="b">
        <f t="shared" si="69"/>
        <v>0</v>
      </c>
      <c r="AM128" t="str">
        <f>IF(ISBLANK('Dry_Litterbag Placem_Collection'!J127),"","G"&amp;""&amp;'Dry_Litterbag Placem_Collection'!J127)</f>
        <v>G50</v>
      </c>
      <c r="AN128" t="str">
        <f>IF(ISBLANK('Dry_Litterbag Placem_Collection'!K127),"","R"&amp;""&amp;'Dry_Litterbag Placem_Collection'!K127)</f>
        <v>R795</v>
      </c>
      <c r="AO128" t="b">
        <f t="shared" si="70"/>
        <v>0</v>
      </c>
      <c r="AP128" t="b">
        <f t="shared" si="71"/>
        <v>0</v>
      </c>
      <c r="AS128" t="str">
        <f>'Ashed teabags dry'!A126</f>
        <v>G255</v>
      </c>
      <c r="AT128" t="str">
        <f>'Ashed teabags dry'!A461</f>
        <v>R551</v>
      </c>
      <c r="AU128" t="b">
        <f t="shared" si="72"/>
        <v>0</v>
      </c>
      <c r="AV128" t="b">
        <f>COUNTIF($AT$4:$AT$2000, AT128)&gt;1</f>
        <v>0</v>
      </c>
      <c r="AX128" s="395" t="b">
        <f t="shared" si="73"/>
        <v>0</v>
      </c>
      <c r="AY128" s="395" t="b">
        <f t="shared" si="74"/>
        <v>0</v>
      </c>
      <c r="BA128" t="str">
        <f>'Ashed teabags wet'!A126</f>
        <v>G524</v>
      </c>
      <c r="BB128" t="str">
        <f>'Ashed teabags wet'!A546</f>
        <v>R291</v>
      </c>
      <c r="BC128" t="b">
        <f t="shared" si="75"/>
        <v>0</v>
      </c>
      <c r="BD128" t="b">
        <f t="shared" si="55"/>
        <v>0</v>
      </c>
      <c r="BF128" t="str">
        <f t="shared" si="76"/>
        <v>G254</v>
      </c>
      <c r="BG128" t="str">
        <f>T127</f>
        <v>G254</v>
      </c>
      <c r="BH128" t="str">
        <f t="shared" si="77"/>
        <v>G116</v>
      </c>
      <c r="BI128" t="str">
        <f t="shared" si="91"/>
        <v>G116</v>
      </c>
      <c r="BJ128" t="s">
        <v>1796</v>
      </c>
      <c r="BK128" t="s">
        <v>1796</v>
      </c>
      <c r="BL128" t="s">
        <v>1796</v>
      </c>
      <c r="BM128" t="b">
        <f t="shared" si="92"/>
        <v>1</v>
      </c>
      <c r="BN128" t="str">
        <f t="shared" si="78"/>
        <v>R52</v>
      </c>
      <c r="BO128" t="str">
        <f>U127</f>
        <v>R52</v>
      </c>
      <c r="BP128" t="str">
        <f t="shared" si="79"/>
        <v>R797</v>
      </c>
      <c r="BQ128" t="str">
        <f t="shared" si="80"/>
        <v>R797</v>
      </c>
      <c r="BR128" t="s">
        <v>1089</v>
      </c>
      <c r="BS128" t="s">
        <v>1089</v>
      </c>
      <c r="BT128" t="s">
        <v>1089</v>
      </c>
      <c r="BU128" t="b">
        <f t="shared" si="93"/>
        <v>1</v>
      </c>
      <c r="BV128" s="113"/>
      <c r="BW128" s="113"/>
      <c r="BZ128" t="str">
        <f t="shared" si="81"/>
        <v>G116</v>
      </c>
      <c r="CA128" t="b">
        <f t="shared" si="82"/>
        <v>0</v>
      </c>
      <c r="CB128" t="str">
        <f t="shared" si="94"/>
        <v>G116</v>
      </c>
      <c r="CC128" t="str">
        <f t="shared" si="83"/>
        <v>R797</v>
      </c>
      <c r="CD128" t="b">
        <f t="shared" si="95"/>
        <v>0</v>
      </c>
      <c r="CE128" t="str">
        <f t="shared" si="96"/>
        <v>R797</v>
      </c>
      <c r="CG128" t="str">
        <f t="shared" si="84"/>
        <v>G523</v>
      </c>
      <c r="CH128" t="str">
        <f t="shared" si="97"/>
        <v>G523</v>
      </c>
      <c r="CI128" t="str">
        <f>AE127</f>
        <v>G867</v>
      </c>
      <c r="CJ128" t="str">
        <f t="shared" si="85"/>
        <v>G867</v>
      </c>
      <c r="CK128" t="s">
        <v>1527</v>
      </c>
      <c r="CL128" t="s">
        <v>1527</v>
      </c>
      <c r="CM128" t="s">
        <v>1527</v>
      </c>
      <c r="CN128" t="b">
        <f t="shared" si="98"/>
        <v>1</v>
      </c>
      <c r="CO128" t="str">
        <f t="shared" si="86"/>
        <v>R290</v>
      </c>
      <c r="CP128" t="str">
        <f t="shared" si="99"/>
        <v>R290</v>
      </c>
      <c r="CQ128" t="str">
        <f>AF127</f>
        <v>R39</v>
      </c>
      <c r="CR128" t="str">
        <f t="shared" si="87"/>
        <v>R39</v>
      </c>
      <c r="CS128" t="s">
        <v>851</v>
      </c>
      <c r="CT128" t="s">
        <v>851</v>
      </c>
      <c r="CU128" t="s">
        <v>851</v>
      </c>
      <c r="CV128" t="b">
        <f t="shared" si="100"/>
        <v>1</v>
      </c>
      <c r="DC128" t="str">
        <f t="shared" si="88"/>
        <v>G867</v>
      </c>
      <c r="DD128" t="b">
        <f t="shared" si="101"/>
        <v>0</v>
      </c>
      <c r="DE128" t="str">
        <f t="shared" si="102"/>
        <v>G867</v>
      </c>
      <c r="DF128" t="str">
        <f t="shared" si="89"/>
        <v>R39</v>
      </c>
      <c r="DG128" t="b">
        <f t="shared" si="103"/>
        <v>0</v>
      </c>
      <c r="DH128" t="str">
        <f t="shared" si="104"/>
        <v>R39</v>
      </c>
    </row>
    <row r="129" spans="2:112" ht="12" customHeight="1">
      <c r="B129" t="str">
        <f>TBIDry!H201</f>
        <v/>
      </c>
      <c r="C129" t="str">
        <f>TBIDry!I201</f>
        <v/>
      </c>
      <c r="D129" t="b">
        <f t="shared" si="56"/>
        <v>1</v>
      </c>
      <c r="E129" t="b">
        <f t="shared" si="57"/>
        <v>1</v>
      </c>
      <c r="G129" t="str">
        <f>TBIWet!H201</f>
        <v>G749</v>
      </c>
      <c r="H129" t="str">
        <f>TBIWet!I201</f>
        <v>R562</v>
      </c>
      <c r="I129" t="b">
        <f t="shared" si="58"/>
        <v>0</v>
      </c>
      <c r="J129" t="b">
        <f t="shared" si="59"/>
        <v>0</v>
      </c>
      <c r="L129" t="str">
        <f>'Both teabags AfterWet'!A127</f>
        <v>G525</v>
      </c>
      <c r="M129" t="str">
        <f>'Both teabags AfterWet'!A547</f>
        <v>R293</v>
      </c>
      <c r="N129" t="b">
        <f t="shared" si="60"/>
        <v>0</v>
      </c>
      <c r="O129" t="b">
        <f t="shared" si="105"/>
        <v>0</v>
      </c>
      <c r="Q129" s="395" t="b">
        <f t="shared" si="61"/>
        <v>0</v>
      </c>
      <c r="R129" s="395" t="b">
        <f t="shared" si="62"/>
        <v>0</v>
      </c>
      <c r="T129" t="str">
        <f>'Both teabags AfterDry'!A127</f>
        <v>G256</v>
      </c>
      <c r="U129" t="str">
        <f>'Both teabags AfterDry'!A462</f>
        <v>R586</v>
      </c>
      <c r="V129" t="b">
        <f t="shared" si="63"/>
        <v>0</v>
      </c>
      <c r="W129" t="b">
        <f t="shared" si="90"/>
        <v>0</v>
      </c>
      <c r="Y129" t="str">
        <f>'Green_rooibos initial weight'!A130</f>
        <v>G126</v>
      </c>
      <c r="Z129" t="str">
        <f>'Green_rooibos initial weight'!A1034</f>
        <v>R126</v>
      </c>
      <c r="AA129" t="b">
        <f t="shared" si="64"/>
        <v>0</v>
      </c>
      <c r="AB129" t="b">
        <f t="shared" si="65"/>
        <v>0</v>
      </c>
      <c r="AE129" t="str">
        <f>'WetLitterbags placem_collection'!K128</f>
        <v>G749</v>
      </c>
      <c r="AF129" t="str">
        <f>'WetLitterbags placem_collection'!M128</f>
        <v>R562</v>
      </c>
      <c r="AG129" t="b">
        <f t="shared" si="66"/>
        <v>0</v>
      </c>
      <c r="AH129" t="b">
        <f t="shared" si="67"/>
        <v>0</v>
      </c>
      <c r="AJ129" t="b">
        <f t="shared" si="68"/>
        <v>0</v>
      </c>
      <c r="AK129" t="b">
        <f t="shared" si="69"/>
        <v>0</v>
      </c>
      <c r="AM129" t="str">
        <f>IF(ISBLANK('Dry_Litterbag Placem_Collection'!J128),"","G"&amp;""&amp;'Dry_Litterbag Placem_Collection'!J128)</f>
        <v/>
      </c>
      <c r="AN129" t="str">
        <f>IF(ISBLANK('Dry_Litterbag Placem_Collection'!K128),"","R"&amp;""&amp;'Dry_Litterbag Placem_Collection'!K128)</f>
        <v/>
      </c>
      <c r="AO129" t="b">
        <f t="shared" si="70"/>
        <v>1</v>
      </c>
      <c r="AP129" t="b">
        <f t="shared" si="71"/>
        <v>1</v>
      </c>
      <c r="AS129" t="str">
        <f>'Ashed teabags dry'!A127</f>
        <v>G256</v>
      </c>
      <c r="AT129" t="str">
        <f>'Ashed teabags dry'!A462</f>
        <v>R586</v>
      </c>
      <c r="AU129" t="b">
        <f t="shared" si="72"/>
        <v>0</v>
      </c>
      <c r="AV129" t="b">
        <f>COUNTIF($AT$4:$AT$2000, AT129)&gt;1</f>
        <v>0</v>
      </c>
      <c r="AX129" s="395" t="b">
        <f t="shared" si="73"/>
        <v>0</v>
      </c>
      <c r="AY129" s="395" t="b">
        <f t="shared" si="74"/>
        <v>0</v>
      </c>
      <c r="BA129" t="str">
        <f>'Ashed teabags wet'!A127</f>
        <v>G525</v>
      </c>
      <c r="BB129" t="str">
        <f>'Ashed teabags wet'!A547</f>
        <v>R293</v>
      </c>
      <c r="BC129" t="b">
        <f t="shared" si="75"/>
        <v>0</v>
      </c>
      <c r="BD129" t="b">
        <f t="shared" si="55"/>
        <v>0</v>
      </c>
      <c r="BF129" t="str">
        <f t="shared" si="76"/>
        <v>G255</v>
      </c>
      <c r="BG129" t="str">
        <f>T128</f>
        <v>G255</v>
      </c>
      <c r="BH129" t="str">
        <f t="shared" si="77"/>
        <v>G50</v>
      </c>
      <c r="BI129" t="str">
        <f t="shared" si="91"/>
        <v>G50</v>
      </c>
      <c r="BJ129" t="s">
        <v>1795</v>
      </c>
      <c r="BK129" t="s">
        <v>1795</v>
      </c>
      <c r="BL129" t="s">
        <v>1795</v>
      </c>
      <c r="BM129" t="b">
        <f t="shared" si="92"/>
        <v>1</v>
      </c>
      <c r="BN129" t="str">
        <f t="shared" si="78"/>
        <v>R551</v>
      </c>
      <c r="BO129" t="str">
        <f>U128</f>
        <v>R551</v>
      </c>
      <c r="BP129" t="str">
        <f t="shared" si="79"/>
        <v>R795</v>
      </c>
      <c r="BQ129" t="str">
        <f t="shared" si="80"/>
        <v>R795</v>
      </c>
      <c r="BR129" t="s">
        <v>590</v>
      </c>
      <c r="BS129" t="s">
        <v>590</v>
      </c>
      <c r="BT129" t="s">
        <v>590</v>
      </c>
      <c r="BU129" t="b">
        <f t="shared" si="93"/>
        <v>1</v>
      </c>
      <c r="BZ129" t="str">
        <f t="shared" si="81"/>
        <v>G50</v>
      </c>
      <c r="CA129" t="b">
        <f t="shared" si="82"/>
        <v>0</v>
      </c>
      <c r="CB129" t="str">
        <f t="shared" si="94"/>
        <v>G50</v>
      </c>
      <c r="CC129" t="str">
        <f t="shared" si="83"/>
        <v>R795</v>
      </c>
      <c r="CD129" t="b">
        <f t="shared" si="95"/>
        <v>0</v>
      </c>
      <c r="CE129" t="str">
        <f t="shared" si="96"/>
        <v>R795</v>
      </c>
      <c r="CG129" t="str">
        <f t="shared" si="84"/>
        <v>G524</v>
      </c>
      <c r="CH129" t="str">
        <f t="shared" si="97"/>
        <v>G524</v>
      </c>
      <c r="CI129" t="str">
        <f>AE128</f>
        <v>G793</v>
      </c>
      <c r="CJ129" t="str">
        <f t="shared" si="85"/>
        <v>G793</v>
      </c>
      <c r="CK129" t="s">
        <v>1526</v>
      </c>
      <c r="CL129" t="s">
        <v>1526</v>
      </c>
      <c r="CM129" t="s">
        <v>1526</v>
      </c>
      <c r="CN129" t="b">
        <f t="shared" si="98"/>
        <v>1</v>
      </c>
      <c r="CO129" t="str">
        <f t="shared" si="86"/>
        <v>R291</v>
      </c>
      <c r="CP129" t="str">
        <f t="shared" si="99"/>
        <v>R291</v>
      </c>
      <c r="CQ129" t="str">
        <f>AF128</f>
        <v>R560</v>
      </c>
      <c r="CR129" t="str">
        <f t="shared" si="87"/>
        <v>R560</v>
      </c>
      <c r="CS129" t="s">
        <v>850</v>
      </c>
      <c r="CT129" t="s">
        <v>850</v>
      </c>
      <c r="CU129" t="s">
        <v>850</v>
      </c>
      <c r="CV129" t="b">
        <f t="shared" si="100"/>
        <v>1</v>
      </c>
      <c r="DC129" t="str">
        <f t="shared" si="88"/>
        <v>G793</v>
      </c>
      <c r="DD129" t="b">
        <f t="shared" si="101"/>
        <v>0</v>
      </c>
      <c r="DE129" t="str">
        <f t="shared" si="102"/>
        <v>G793</v>
      </c>
      <c r="DF129" t="str">
        <f t="shared" si="89"/>
        <v>R560</v>
      </c>
      <c r="DG129" t="b">
        <f t="shared" si="103"/>
        <v>0</v>
      </c>
      <c r="DH129" t="str">
        <f t="shared" si="104"/>
        <v>R560</v>
      </c>
    </row>
    <row r="130" spans="2:112" ht="12" customHeight="1">
      <c r="B130" t="str">
        <f>TBIDry!H202</f>
        <v>G318</v>
      </c>
      <c r="C130" t="str">
        <f>TBIDry!I202</f>
        <v>R751</v>
      </c>
      <c r="D130" t="b">
        <f t="shared" si="56"/>
        <v>0</v>
      </c>
      <c r="E130" t="b">
        <f t="shared" si="57"/>
        <v>0</v>
      </c>
      <c r="G130" t="str">
        <f>TBIWet!H202</f>
        <v>G898</v>
      </c>
      <c r="H130" t="str">
        <f>TBIWet!I202</f>
        <v>R506</v>
      </c>
      <c r="I130" t="b">
        <f t="shared" si="58"/>
        <v>0</v>
      </c>
      <c r="J130" t="b">
        <f t="shared" si="59"/>
        <v>0</v>
      </c>
      <c r="L130" t="str">
        <f>'Both teabags AfterWet'!A128</f>
        <v>G526</v>
      </c>
      <c r="M130" t="str">
        <f>'Both teabags AfterWet'!A548</f>
        <v>R296</v>
      </c>
      <c r="N130" t="b">
        <f t="shared" si="60"/>
        <v>0</v>
      </c>
      <c r="O130" t="b">
        <f t="shared" si="105"/>
        <v>0</v>
      </c>
      <c r="Q130" s="395" t="b">
        <f t="shared" si="61"/>
        <v>0</v>
      </c>
      <c r="R130" s="395" t="b">
        <f t="shared" si="62"/>
        <v>0</v>
      </c>
      <c r="T130" t="str">
        <f>'Both teabags AfterDry'!A128</f>
        <v>G257</v>
      </c>
      <c r="U130" t="str">
        <f>'Both teabags AfterDry'!A463</f>
        <v>R599</v>
      </c>
      <c r="V130" t="b">
        <f t="shared" si="63"/>
        <v>0</v>
      </c>
      <c r="W130" t="b">
        <f t="shared" si="90"/>
        <v>0</v>
      </c>
      <c r="Y130" t="str">
        <f>'Green_rooibos initial weight'!A131</f>
        <v>G127</v>
      </c>
      <c r="Z130" t="str">
        <f>'Green_rooibos initial weight'!A1035</f>
        <v>R127</v>
      </c>
      <c r="AA130" t="b">
        <f t="shared" si="64"/>
        <v>0</v>
      </c>
      <c r="AB130" t="b">
        <f t="shared" si="65"/>
        <v>0</v>
      </c>
      <c r="AE130" t="str">
        <f>'WetLitterbags placem_collection'!K129</f>
        <v>G898</v>
      </c>
      <c r="AF130" t="str">
        <f>'WetLitterbags placem_collection'!M129</f>
        <v>R506</v>
      </c>
      <c r="AG130" t="b">
        <f t="shared" si="66"/>
        <v>0</v>
      </c>
      <c r="AH130" t="b">
        <f t="shared" si="67"/>
        <v>0</v>
      </c>
      <c r="AJ130" t="b">
        <f t="shared" si="68"/>
        <v>0</v>
      </c>
      <c r="AK130" t="b">
        <f t="shared" si="69"/>
        <v>0</v>
      </c>
      <c r="AM130" t="str">
        <f>IF(ISBLANK('Dry_Litterbag Placem_Collection'!J129),"","G"&amp;""&amp;'Dry_Litterbag Placem_Collection'!J129)</f>
        <v>G318</v>
      </c>
      <c r="AN130" t="str">
        <f>IF(ISBLANK('Dry_Litterbag Placem_Collection'!K129),"","R"&amp;""&amp;'Dry_Litterbag Placem_Collection'!K129)</f>
        <v>R751</v>
      </c>
      <c r="AO130" t="b">
        <f t="shared" si="70"/>
        <v>0</v>
      </c>
      <c r="AP130" t="b">
        <f t="shared" si="71"/>
        <v>0</v>
      </c>
      <c r="AS130" t="str">
        <f>'Ashed teabags dry'!A128</f>
        <v>G257</v>
      </c>
      <c r="AT130" t="str">
        <f>'Ashed teabags dry'!A463</f>
        <v>R599</v>
      </c>
      <c r="AU130" t="b">
        <f t="shared" si="72"/>
        <v>0</v>
      </c>
      <c r="AV130" t="b">
        <f>COUNTIF($AT$4:$AT$2000, AT130)&gt;1</f>
        <v>0</v>
      </c>
      <c r="AX130" s="395" t="b">
        <f t="shared" si="73"/>
        <v>0</v>
      </c>
      <c r="AY130" s="395" t="b">
        <f t="shared" si="74"/>
        <v>0</v>
      </c>
      <c r="BA130" t="str">
        <f>'Ashed teabags wet'!A128</f>
        <v>G526</v>
      </c>
      <c r="BB130" t="str">
        <f>'Ashed teabags wet'!A548</f>
        <v>R296</v>
      </c>
      <c r="BC130" t="b">
        <f t="shared" si="75"/>
        <v>0</v>
      </c>
      <c r="BD130" t="b">
        <f t="shared" si="55"/>
        <v>0</v>
      </c>
      <c r="BF130" t="str">
        <f t="shared" si="76"/>
        <v>G256</v>
      </c>
      <c r="BG130" t="str">
        <f>T129</f>
        <v>G256</v>
      </c>
      <c r="BH130" t="str">
        <f t="shared" si="77"/>
        <v/>
      </c>
      <c r="BI130" t="str">
        <f t="shared" si="91"/>
        <v/>
      </c>
      <c r="BJ130" t="s">
        <v>1794</v>
      </c>
      <c r="BK130" t="s">
        <v>1794</v>
      </c>
      <c r="BL130" t="s">
        <v>1794</v>
      </c>
      <c r="BM130" t="b">
        <f t="shared" si="92"/>
        <v>1</v>
      </c>
      <c r="BN130" t="str">
        <f t="shared" si="78"/>
        <v>R586</v>
      </c>
      <c r="BO130" t="str">
        <f>U129</f>
        <v>R586</v>
      </c>
      <c r="BP130" t="str">
        <f t="shared" si="79"/>
        <v/>
      </c>
      <c r="BQ130" t="str">
        <f t="shared" si="80"/>
        <v/>
      </c>
      <c r="BR130" t="s">
        <v>555</v>
      </c>
      <c r="BS130" t="s">
        <v>555</v>
      </c>
      <c r="BT130" t="s">
        <v>555</v>
      </c>
      <c r="BU130" t="b">
        <f t="shared" si="93"/>
        <v>1</v>
      </c>
      <c r="BZ130" t="str">
        <f t="shared" si="81"/>
        <v/>
      </c>
      <c r="CA130" t="b">
        <f t="shared" si="82"/>
        <v>0</v>
      </c>
      <c r="CB130" t="str">
        <f t="shared" si="94"/>
        <v/>
      </c>
      <c r="CC130" t="str">
        <f t="shared" si="83"/>
        <v/>
      </c>
      <c r="CD130" t="b">
        <f t="shared" si="95"/>
        <v>0</v>
      </c>
      <c r="CE130" t="str">
        <f t="shared" si="96"/>
        <v/>
      </c>
      <c r="CG130" t="str">
        <f t="shared" si="84"/>
        <v>G525</v>
      </c>
      <c r="CH130" t="str">
        <f t="shared" si="97"/>
        <v>G525</v>
      </c>
      <c r="CI130" t="str">
        <f>AE129</f>
        <v>G749</v>
      </c>
      <c r="CJ130" t="str">
        <f t="shared" si="85"/>
        <v>G749</v>
      </c>
      <c r="CK130" t="s">
        <v>1525</v>
      </c>
      <c r="CL130" t="s">
        <v>1525</v>
      </c>
      <c r="CM130" t="s">
        <v>1525</v>
      </c>
      <c r="CN130" t="b">
        <f t="shared" si="98"/>
        <v>1</v>
      </c>
      <c r="CO130" t="str">
        <f t="shared" si="86"/>
        <v>R293</v>
      </c>
      <c r="CP130" t="str">
        <f t="shared" si="99"/>
        <v>R293</v>
      </c>
      <c r="CQ130" t="str">
        <f>AF129</f>
        <v>R562</v>
      </c>
      <c r="CR130" t="str">
        <f t="shared" si="87"/>
        <v>R562</v>
      </c>
      <c r="CS130" t="s">
        <v>848</v>
      </c>
      <c r="CT130" t="s">
        <v>848</v>
      </c>
      <c r="CU130" t="s">
        <v>848</v>
      </c>
      <c r="CV130" t="b">
        <f t="shared" si="100"/>
        <v>1</v>
      </c>
      <c r="DC130" t="str">
        <f t="shared" si="88"/>
        <v>G749</v>
      </c>
      <c r="DD130" t="b">
        <f t="shared" si="101"/>
        <v>0</v>
      </c>
      <c r="DE130" t="str">
        <f t="shared" si="102"/>
        <v>G749</v>
      </c>
      <c r="DF130" t="str">
        <f t="shared" si="89"/>
        <v>R562</v>
      </c>
      <c r="DG130" t="b">
        <f t="shared" si="103"/>
        <v>0</v>
      </c>
      <c r="DH130" t="str">
        <f t="shared" si="104"/>
        <v>R562</v>
      </c>
    </row>
    <row r="131" spans="2:112" ht="12" customHeight="1">
      <c r="B131" t="str">
        <f>TBIDry!H203</f>
        <v>G34</v>
      </c>
      <c r="C131" t="str">
        <f>TBIDry!I203</f>
        <v>R819</v>
      </c>
      <c r="D131" t="b">
        <f t="shared" si="56"/>
        <v>0</v>
      </c>
      <c r="E131" s="113" t="b">
        <f t="shared" si="57"/>
        <v>0</v>
      </c>
      <c r="G131" t="str">
        <f>TBIWet!H203</f>
        <v>G834</v>
      </c>
      <c r="H131" t="str">
        <f>TBIWet!I203</f>
        <v>R554</v>
      </c>
      <c r="I131" t="b">
        <f t="shared" si="58"/>
        <v>0</v>
      </c>
      <c r="J131" t="b">
        <f t="shared" si="59"/>
        <v>0</v>
      </c>
      <c r="L131" t="str">
        <f>'Both teabags AfterWet'!A129</f>
        <v>G527</v>
      </c>
      <c r="M131" t="str">
        <f>'Both teabags AfterWet'!A549</f>
        <v>R3</v>
      </c>
      <c r="N131" t="b">
        <f t="shared" si="60"/>
        <v>0</v>
      </c>
      <c r="O131" t="b">
        <f t="shared" si="105"/>
        <v>0</v>
      </c>
      <c r="Q131" s="395" t="b">
        <f t="shared" si="61"/>
        <v>0</v>
      </c>
      <c r="R131" s="395" t="b">
        <f t="shared" si="62"/>
        <v>0</v>
      </c>
      <c r="T131" t="str">
        <f>'Both teabags AfterDry'!A129</f>
        <v>G258</v>
      </c>
      <c r="U131" t="str">
        <f>'Both teabags AfterDry'!A464</f>
        <v>R841</v>
      </c>
      <c r="V131" t="b">
        <f t="shared" si="63"/>
        <v>0</v>
      </c>
      <c r="W131" t="b">
        <f t="shared" si="90"/>
        <v>0</v>
      </c>
      <c r="Y131" t="str">
        <f>'Green_rooibos initial weight'!A132</f>
        <v>G128</v>
      </c>
      <c r="Z131" t="str">
        <f>'Green_rooibos initial weight'!A1036</f>
        <v>R128</v>
      </c>
      <c r="AA131" t="b">
        <f t="shared" si="64"/>
        <v>0</v>
      </c>
      <c r="AB131" t="b">
        <f t="shared" si="65"/>
        <v>0</v>
      </c>
      <c r="AE131" t="str">
        <f>'WetLitterbags placem_collection'!K130</f>
        <v>G834</v>
      </c>
      <c r="AF131" t="str">
        <f>'WetLitterbags placem_collection'!M130</f>
        <v>R554</v>
      </c>
      <c r="AG131" t="b">
        <f t="shared" si="66"/>
        <v>0</v>
      </c>
      <c r="AH131" t="b">
        <f t="shared" si="67"/>
        <v>0</v>
      </c>
      <c r="AJ131" t="b">
        <f t="shared" si="68"/>
        <v>0</v>
      </c>
      <c r="AK131" t="b">
        <f t="shared" si="69"/>
        <v>0</v>
      </c>
      <c r="AM131" t="str">
        <f>IF(ISBLANK('Dry_Litterbag Placem_Collection'!J130),"","G"&amp;""&amp;'Dry_Litterbag Placem_Collection'!J130)</f>
        <v>G34</v>
      </c>
      <c r="AN131" t="str">
        <f>IF(ISBLANK('Dry_Litterbag Placem_Collection'!K130),"","R"&amp;""&amp;'Dry_Litterbag Placem_Collection'!K130)</f>
        <v>R819</v>
      </c>
      <c r="AO131" t="b">
        <f t="shared" si="70"/>
        <v>0</v>
      </c>
      <c r="AP131" t="b">
        <f t="shared" si="71"/>
        <v>0</v>
      </c>
      <c r="AS131" t="str">
        <f>'Ashed teabags dry'!A129</f>
        <v>G258</v>
      </c>
      <c r="AT131" t="str">
        <f>'Ashed teabags dry'!A464</f>
        <v>R841</v>
      </c>
      <c r="AU131" t="b">
        <f t="shared" si="72"/>
        <v>0</v>
      </c>
      <c r="AV131" t="b">
        <f>COUNTIF($AT$4:$AT$2000, AT131)&gt;1</f>
        <v>0</v>
      </c>
      <c r="AX131" s="395" t="b">
        <f t="shared" si="73"/>
        <v>0</v>
      </c>
      <c r="AY131" s="395" t="b">
        <f t="shared" si="74"/>
        <v>0</v>
      </c>
      <c r="BA131" t="str">
        <f>'Ashed teabags wet'!A129</f>
        <v>G527</v>
      </c>
      <c r="BB131" t="str">
        <f>'Ashed teabags wet'!A549</f>
        <v>R3</v>
      </c>
      <c r="BC131" t="b">
        <f t="shared" si="75"/>
        <v>0</v>
      </c>
      <c r="BD131" t="b">
        <f t="shared" si="55"/>
        <v>0</v>
      </c>
      <c r="BF131" t="str">
        <f t="shared" si="76"/>
        <v>G257</v>
      </c>
      <c r="BG131" t="str">
        <f>T130</f>
        <v>G257</v>
      </c>
      <c r="BH131" t="str">
        <f t="shared" si="77"/>
        <v>G318</v>
      </c>
      <c r="BI131" t="str">
        <f t="shared" si="91"/>
        <v>G318</v>
      </c>
      <c r="BJ131" t="s">
        <v>1793</v>
      </c>
      <c r="BK131" t="s">
        <v>1793</v>
      </c>
      <c r="BL131" t="s">
        <v>1793</v>
      </c>
      <c r="BM131" t="b">
        <f t="shared" si="92"/>
        <v>1</v>
      </c>
      <c r="BN131" t="str">
        <f t="shared" si="78"/>
        <v>R599</v>
      </c>
      <c r="BO131" t="str">
        <f>U130</f>
        <v>R599</v>
      </c>
      <c r="BP131" t="str">
        <f t="shared" si="79"/>
        <v>R751</v>
      </c>
      <c r="BQ131" t="str">
        <f t="shared" si="80"/>
        <v>R751</v>
      </c>
      <c r="BR131" t="s">
        <v>542</v>
      </c>
      <c r="BS131" t="s">
        <v>542</v>
      </c>
      <c r="BT131" t="s">
        <v>542</v>
      </c>
      <c r="BU131" t="b">
        <f t="shared" si="93"/>
        <v>1</v>
      </c>
      <c r="BZ131" t="str">
        <f t="shared" si="81"/>
        <v>G318</v>
      </c>
      <c r="CA131" t="b">
        <f t="shared" si="82"/>
        <v>0</v>
      </c>
      <c r="CB131" t="str">
        <f t="shared" si="94"/>
        <v>G318</v>
      </c>
      <c r="CC131" t="str">
        <f t="shared" si="83"/>
        <v>R751</v>
      </c>
      <c r="CD131" t="b">
        <f t="shared" si="95"/>
        <v>0</v>
      </c>
      <c r="CE131" t="str">
        <f t="shared" si="96"/>
        <v>R751</v>
      </c>
      <c r="CG131" t="str">
        <f t="shared" si="84"/>
        <v>G526</v>
      </c>
      <c r="CH131" t="str">
        <f t="shared" si="97"/>
        <v>G526</v>
      </c>
      <c r="CI131" t="str">
        <f>AE130</f>
        <v>G898</v>
      </c>
      <c r="CJ131" t="str">
        <f t="shared" si="85"/>
        <v>G898</v>
      </c>
      <c r="CK131" t="s">
        <v>1524</v>
      </c>
      <c r="CL131" t="s">
        <v>1524</v>
      </c>
      <c r="CM131" t="s">
        <v>1524</v>
      </c>
      <c r="CN131" t="b">
        <f t="shared" si="98"/>
        <v>1</v>
      </c>
      <c r="CO131" t="str">
        <f t="shared" si="86"/>
        <v>R296</v>
      </c>
      <c r="CP131" t="str">
        <f t="shared" si="99"/>
        <v>R296</v>
      </c>
      <c r="CQ131" t="str">
        <f>AF130</f>
        <v>R506</v>
      </c>
      <c r="CR131" t="str">
        <f t="shared" si="87"/>
        <v>R506</v>
      </c>
      <c r="CS131" t="s">
        <v>845</v>
      </c>
      <c r="CT131" t="s">
        <v>845</v>
      </c>
      <c r="CU131" t="s">
        <v>845</v>
      </c>
      <c r="CV131" t="b">
        <f t="shared" si="100"/>
        <v>1</v>
      </c>
      <c r="DC131" t="str">
        <f t="shared" si="88"/>
        <v>G898</v>
      </c>
      <c r="DD131" t="b">
        <f t="shared" si="101"/>
        <v>0</v>
      </c>
      <c r="DE131" t="str">
        <f t="shared" si="102"/>
        <v>G898</v>
      </c>
      <c r="DF131" t="str">
        <f t="shared" si="89"/>
        <v>R506</v>
      </c>
      <c r="DG131" t="b">
        <f t="shared" si="103"/>
        <v>0</v>
      </c>
      <c r="DH131" t="str">
        <f t="shared" si="104"/>
        <v>R506</v>
      </c>
    </row>
    <row r="132" spans="2:112" ht="12" customHeight="1">
      <c r="B132" t="str">
        <f>TBIDry!H204</f>
        <v>G80</v>
      </c>
      <c r="C132" t="str">
        <f>TBIDry!I204</f>
        <v>R768</v>
      </c>
      <c r="D132" t="b">
        <f t="shared" si="56"/>
        <v>0</v>
      </c>
      <c r="E132" t="b">
        <f t="shared" si="57"/>
        <v>0</v>
      </c>
      <c r="G132" t="str">
        <f>TBIWet!H204</f>
        <v>G819</v>
      </c>
      <c r="H132" t="str">
        <f>TBIWet!I204</f>
        <v>R46</v>
      </c>
      <c r="I132" t="b">
        <f t="shared" si="58"/>
        <v>0</v>
      </c>
      <c r="J132" t="b">
        <f t="shared" si="59"/>
        <v>0</v>
      </c>
      <c r="L132" t="str">
        <f>'Both teabags AfterWet'!A130</f>
        <v>G528</v>
      </c>
      <c r="M132" t="str">
        <f>'Both teabags AfterWet'!A550</f>
        <v>R30</v>
      </c>
      <c r="N132" t="b">
        <f t="shared" si="60"/>
        <v>0</v>
      </c>
      <c r="O132" t="b">
        <f t="shared" si="105"/>
        <v>0</v>
      </c>
      <c r="Q132" s="395" t="b">
        <f t="shared" si="61"/>
        <v>0</v>
      </c>
      <c r="R132" s="395" t="b">
        <f t="shared" si="62"/>
        <v>0</v>
      </c>
      <c r="T132" t="str">
        <f>'Both teabags AfterDry'!A130</f>
        <v>G259</v>
      </c>
      <c r="U132" t="str">
        <f>'Both teabags AfterDry'!A465</f>
        <v>R602</v>
      </c>
      <c r="V132" t="b">
        <f t="shared" si="63"/>
        <v>0</v>
      </c>
      <c r="W132" t="b">
        <f t="shared" si="90"/>
        <v>0</v>
      </c>
      <c r="Y132" t="str">
        <f>'Green_rooibos initial weight'!A133</f>
        <v>G129</v>
      </c>
      <c r="Z132" t="str">
        <f>'Green_rooibos initial weight'!A1037</f>
        <v>R129</v>
      </c>
      <c r="AA132" t="b">
        <f t="shared" si="64"/>
        <v>0</v>
      </c>
      <c r="AB132" t="b">
        <f t="shared" si="65"/>
        <v>0</v>
      </c>
      <c r="AE132" t="str">
        <f>'WetLitterbags placem_collection'!K131</f>
        <v>G819</v>
      </c>
      <c r="AF132" t="str">
        <f>'WetLitterbags placem_collection'!M131</f>
        <v>R46</v>
      </c>
      <c r="AG132" t="b">
        <f t="shared" si="66"/>
        <v>0</v>
      </c>
      <c r="AH132" t="b">
        <f t="shared" si="67"/>
        <v>0</v>
      </c>
      <c r="AJ132" t="b">
        <f t="shared" si="68"/>
        <v>0</v>
      </c>
      <c r="AK132" t="b">
        <f t="shared" si="69"/>
        <v>0</v>
      </c>
      <c r="AM132" t="str">
        <f>IF(ISBLANK('Dry_Litterbag Placem_Collection'!J131),"","G"&amp;""&amp;'Dry_Litterbag Placem_Collection'!J131)</f>
        <v>G80</v>
      </c>
      <c r="AN132" t="str">
        <f>IF(ISBLANK('Dry_Litterbag Placem_Collection'!K131),"","R"&amp;""&amp;'Dry_Litterbag Placem_Collection'!K131)</f>
        <v>R768</v>
      </c>
      <c r="AO132" t="b">
        <f t="shared" si="70"/>
        <v>0</v>
      </c>
      <c r="AP132" t="b">
        <f t="shared" si="71"/>
        <v>0</v>
      </c>
      <c r="AS132" t="str">
        <f>'Ashed teabags dry'!A130</f>
        <v>G259</v>
      </c>
      <c r="AT132" t="str">
        <f>'Ashed teabags dry'!A465</f>
        <v>R602</v>
      </c>
      <c r="AU132" t="b">
        <f t="shared" si="72"/>
        <v>0</v>
      </c>
      <c r="AV132" t="b">
        <f>COUNTIF($AT$4:$AT$2000, AT132)&gt;1</f>
        <v>0</v>
      </c>
      <c r="AX132" s="395" t="b">
        <f t="shared" si="73"/>
        <v>0</v>
      </c>
      <c r="AY132" s="395" t="b">
        <f t="shared" si="74"/>
        <v>0</v>
      </c>
      <c r="BA132" t="str">
        <f>'Ashed teabags wet'!A130</f>
        <v>G528</v>
      </c>
      <c r="BB132" t="str">
        <f>'Ashed teabags wet'!A550</f>
        <v>R30</v>
      </c>
      <c r="BC132" t="b">
        <f t="shared" si="75"/>
        <v>0</v>
      </c>
      <c r="BD132" t="b">
        <f t="shared" ref="BD132:BD195" si="106">COUNTIF($BB$4:$BB$2000, BB132)&gt;1</f>
        <v>0</v>
      </c>
      <c r="BF132" t="str">
        <f t="shared" si="76"/>
        <v>G258</v>
      </c>
      <c r="BG132" t="str">
        <f>T131</f>
        <v>G258</v>
      </c>
      <c r="BH132" t="str">
        <f t="shared" si="77"/>
        <v>G34</v>
      </c>
      <c r="BI132" t="str">
        <f t="shared" si="91"/>
        <v>G34</v>
      </c>
      <c r="BJ132" t="s">
        <v>1792</v>
      </c>
      <c r="BK132" t="s">
        <v>1792</v>
      </c>
      <c r="BL132" t="s">
        <v>1792</v>
      </c>
      <c r="BM132" t="b">
        <f t="shared" si="92"/>
        <v>1</v>
      </c>
      <c r="BN132" t="str">
        <f t="shared" si="78"/>
        <v>R841</v>
      </c>
      <c r="BO132" t="str">
        <f>U131</f>
        <v>R841</v>
      </c>
      <c r="BP132" t="str">
        <f t="shared" si="79"/>
        <v>R819</v>
      </c>
      <c r="BQ132" t="str">
        <f t="shared" si="80"/>
        <v>R819</v>
      </c>
      <c r="BR132" t="s">
        <v>3872</v>
      </c>
      <c r="BS132" t="s">
        <v>537</v>
      </c>
      <c r="BT132" t="s">
        <v>3872</v>
      </c>
      <c r="BU132" t="b">
        <f t="shared" si="93"/>
        <v>1</v>
      </c>
      <c r="BZ132" t="str">
        <f t="shared" si="81"/>
        <v>G34</v>
      </c>
      <c r="CA132" t="b">
        <f t="shared" si="82"/>
        <v>0</v>
      </c>
      <c r="CB132" t="str">
        <f t="shared" si="94"/>
        <v>G34</v>
      </c>
      <c r="CC132" t="str">
        <f t="shared" si="83"/>
        <v>R819</v>
      </c>
      <c r="CD132" t="b">
        <f t="shared" si="95"/>
        <v>0</v>
      </c>
      <c r="CE132" t="str">
        <f t="shared" si="96"/>
        <v>R819</v>
      </c>
      <c r="CG132" t="str">
        <f t="shared" si="84"/>
        <v>G527</v>
      </c>
      <c r="CH132" t="str">
        <f t="shared" si="97"/>
        <v>G527</v>
      </c>
      <c r="CI132" t="str">
        <f>AE131</f>
        <v>G834</v>
      </c>
      <c r="CJ132" t="str">
        <f t="shared" si="85"/>
        <v>G834</v>
      </c>
      <c r="CK132" t="s">
        <v>1523</v>
      </c>
      <c r="CL132" t="s">
        <v>1523</v>
      </c>
      <c r="CM132" t="s">
        <v>1523</v>
      </c>
      <c r="CN132" t="b">
        <f t="shared" si="98"/>
        <v>1</v>
      </c>
      <c r="CO132" t="str">
        <f t="shared" si="86"/>
        <v>R3</v>
      </c>
      <c r="CP132" t="str">
        <f t="shared" si="99"/>
        <v>R3</v>
      </c>
      <c r="CQ132" t="str">
        <f>AF131</f>
        <v>R554</v>
      </c>
      <c r="CR132" t="str">
        <f t="shared" si="87"/>
        <v>R554</v>
      </c>
      <c r="CS132" t="s">
        <v>1138</v>
      </c>
      <c r="CT132" t="s">
        <v>1138</v>
      </c>
      <c r="CU132" t="s">
        <v>1138</v>
      </c>
      <c r="CV132" t="b">
        <f t="shared" si="100"/>
        <v>1</v>
      </c>
      <c r="DC132" t="str">
        <f t="shared" si="88"/>
        <v>G834</v>
      </c>
      <c r="DD132" t="b">
        <f t="shared" si="101"/>
        <v>0</v>
      </c>
      <c r="DE132" t="str">
        <f t="shared" si="102"/>
        <v>G834</v>
      </c>
      <c r="DF132" t="str">
        <f t="shared" si="89"/>
        <v>R554</v>
      </c>
      <c r="DG132" t="b">
        <f t="shared" si="103"/>
        <v>0</v>
      </c>
      <c r="DH132" t="str">
        <f t="shared" si="104"/>
        <v>R554</v>
      </c>
    </row>
    <row r="133" spans="2:112" ht="12" customHeight="1">
      <c r="B133" t="str">
        <f>TBIDry!H205</f>
        <v>G64</v>
      </c>
      <c r="C133" t="str">
        <f>TBIDry!I205</f>
        <v>R789</v>
      </c>
      <c r="D133" t="b">
        <f t="shared" ref="D133:D196" si="107">COUNTIF($B$4:$B$2000, B133)&gt;1</f>
        <v>0</v>
      </c>
      <c r="E133" t="b">
        <f t="shared" ref="E133:E196" si="108">COUNTIF($C$4:$C$2000, C133)&gt;1</f>
        <v>0</v>
      </c>
      <c r="G133" t="str">
        <f>TBIWet!H205</f>
        <v>G830</v>
      </c>
      <c r="H133" t="str">
        <f>TBIWet!I205</f>
        <v>R585</v>
      </c>
      <c r="I133" t="b">
        <f t="shared" ref="I133:I196" si="109">COUNTIF($G$4:$G$2000, G133)&gt;1</f>
        <v>0</v>
      </c>
      <c r="J133" t="b">
        <f t="shared" ref="J133:J196" si="110">COUNTIF($H$4:$H$2000, H133)&gt;1</f>
        <v>0</v>
      </c>
      <c r="L133" t="str">
        <f>'Both teabags AfterWet'!A131</f>
        <v>G529</v>
      </c>
      <c r="M133" t="str">
        <f>'Both teabags AfterWet'!A551</f>
        <v>R301</v>
      </c>
      <c r="N133" t="b">
        <f t="shared" ref="N133:N196" si="111">COUNTIF($L$4:$L$2000, L133)&gt;1</f>
        <v>0</v>
      </c>
      <c r="O133" t="b">
        <f t="shared" si="105"/>
        <v>0</v>
      </c>
      <c r="Q133" s="395" t="b">
        <f t="shared" ref="Q133:Q196" si="112">COUNTIF($T$4:$T$2000, L133)=1</f>
        <v>0</v>
      </c>
      <c r="R133" s="395" t="b">
        <f t="shared" ref="R133:R196" si="113" xml:space="preserve"> COUNTIF($U$4:$U$2000,M133)=1</f>
        <v>0</v>
      </c>
      <c r="T133" t="str">
        <f>'Both teabags AfterDry'!A131</f>
        <v>G26</v>
      </c>
      <c r="U133" t="str">
        <f>'Both teabags AfterDry'!A466</f>
        <v>R603</v>
      </c>
      <c r="V133" t="b">
        <f t="shared" ref="V133:V196" si="114">COUNTIF($T$4:$T$2000, T133)&gt;1</f>
        <v>0</v>
      </c>
      <c r="W133" t="b">
        <f t="shared" si="90"/>
        <v>0</v>
      </c>
      <c r="Y133" t="str">
        <f>'Green_rooibos initial weight'!A134</f>
        <v>G130</v>
      </c>
      <c r="Z133" t="str">
        <f>'Green_rooibos initial weight'!A1038</f>
        <v>R130</v>
      </c>
      <c r="AA133" t="b">
        <f t="shared" ref="AA133:AA196" si="115">COUNTIF($Y$4:$Y$2000, Y133)&gt;1</f>
        <v>0</v>
      </c>
      <c r="AB133" t="b">
        <f t="shared" ref="AB133:AB196" si="116">COUNTIF($Z$4:$Z$2000, Z133)&gt;1</f>
        <v>0</v>
      </c>
      <c r="AE133" t="str">
        <f>'WetLitterbags placem_collection'!K132</f>
        <v>G830</v>
      </c>
      <c r="AF133" t="str">
        <f>'WetLitterbags placem_collection'!M132</f>
        <v>R585</v>
      </c>
      <c r="AG133" t="b">
        <f t="shared" ref="AG133:AG196" si="117">COUNTIF($AE$4:$AE$2000, AE133)&gt;1</f>
        <v>0</v>
      </c>
      <c r="AH133" t="b">
        <f t="shared" ref="AH133:AH196" si="118">COUNTIF($AF$4:$AF$2000, AF133)&gt;1</f>
        <v>0</v>
      </c>
      <c r="AJ133" t="b">
        <f t="shared" ref="AJ133:AJ196" si="119">COUNTIF($AM$4:$AM$2000, AE133)=1</f>
        <v>0</v>
      </c>
      <c r="AK133" t="b">
        <f t="shared" ref="AK133:AK196" si="120">COUNTIF($AN$4:$AN$2000, AF133)=1</f>
        <v>0</v>
      </c>
      <c r="AM133" t="str">
        <f>IF(ISBLANK('Dry_Litterbag Placem_Collection'!J132),"","G"&amp;""&amp;'Dry_Litterbag Placem_Collection'!J132)</f>
        <v>G64</v>
      </c>
      <c r="AN133" t="str">
        <f>IF(ISBLANK('Dry_Litterbag Placem_Collection'!K132),"","R"&amp;""&amp;'Dry_Litterbag Placem_Collection'!K132)</f>
        <v>R789</v>
      </c>
      <c r="AO133" t="b">
        <f t="shared" ref="AO133:AO196" si="121">COUNTIF($AM$4:$AM$2000, AM133)&gt;1</f>
        <v>0</v>
      </c>
      <c r="AP133" t="b">
        <f t="shared" ref="AP133:AP196" si="122">COUNTIF($AN$4:$AN$2000, AN133)&gt;1</f>
        <v>0</v>
      </c>
      <c r="AS133" t="str">
        <f>'Ashed teabags dry'!A131</f>
        <v>G26</v>
      </c>
      <c r="AT133" t="str">
        <f>'Ashed teabags dry'!A466</f>
        <v>R603</v>
      </c>
      <c r="AU133" t="b">
        <f t="shared" ref="AU133:AU196" si="123">COUNTIF($AS$4:$AS$2000, AS133)&gt;1</f>
        <v>0</v>
      </c>
      <c r="AV133" t="b">
        <f>COUNTIF($AT$4:$AT$2000, AT133)&gt;1</f>
        <v>0</v>
      </c>
      <c r="AX133" s="395" t="b">
        <f t="shared" ref="AX133:AX196" si="124">COUNTIF($BA$4:$BA$2000, AS133)=1</f>
        <v>0</v>
      </c>
      <c r="AY133" s="395" t="b">
        <f t="shared" ref="AY133:AY196" si="125">COUNTIF($BB$4:$BB$2000, AT133)=1</f>
        <v>0</v>
      </c>
      <c r="BA133" t="str">
        <f>'Ashed teabags wet'!A131</f>
        <v>G529</v>
      </c>
      <c r="BB133" t="str">
        <f>'Ashed teabags wet'!A551</f>
        <v>R301</v>
      </c>
      <c r="BC133" t="b">
        <f t="shared" ref="BC133:BC196" si="126">COUNTIF($BA$4:$BA$2000, BA133)&gt;1</f>
        <v>0</v>
      </c>
      <c r="BD133" t="b">
        <f t="shared" si="106"/>
        <v>0</v>
      </c>
      <c r="BF133" t="str">
        <f t="shared" ref="BF133:BF196" si="127">AS132</f>
        <v>G259</v>
      </c>
      <c r="BG133" t="str">
        <f>T132</f>
        <v>G259</v>
      </c>
      <c r="BH133" t="str">
        <f t="shared" ref="BH133:BH196" si="128">B132</f>
        <v>G80</v>
      </c>
      <c r="BI133" t="str">
        <f t="shared" si="91"/>
        <v>G80</v>
      </c>
      <c r="BJ133" t="s">
        <v>1791</v>
      </c>
      <c r="BK133" t="s">
        <v>1791</v>
      </c>
      <c r="BL133" t="s">
        <v>1791</v>
      </c>
      <c r="BM133" t="b">
        <f t="shared" si="92"/>
        <v>1</v>
      </c>
      <c r="BN133" t="str">
        <f t="shared" ref="BN133:BN196" si="129">AT132</f>
        <v>R602</v>
      </c>
      <c r="BO133" t="str">
        <f>U132</f>
        <v>R602</v>
      </c>
      <c r="BP133" t="str">
        <f t="shared" ref="BP133:BP196" si="130">C132</f>
        <v>R768</v>
      </c>
      <c r="BQ133" t="str">
        <f t="shared" ref="BQ133:BS196" si="131">CE133</f>
        <v>R768</v>
      </c>
      <c r="BR133" t="s">
        <v>537</v>
      </c>
      <c r="BS133" t="s">
        <v>536</v>
      </c>
      <c r="BT133" t="s">
        <v>537</v>
      </c>
      <c r="BU133" t="b">
        <f t="shared" si="93"/>
        <v>1</v>
      </c>
      <c r="BZ133" t="str">
        <f t="shared" ref="BZ133:BZ196" si="132">BH133</f>
        <v>G80</v>
      </c>
      <c r="CA133" t="b">
        <f t="shared" ref="CA133:CA196" si="133">COUNTIF($BV$5:$BV$2000, BZ133)=1</f>
        <v>0</v>
      </c>
      <c r="CB133" t="str">
        <f t="shared" si="94"/>
        <v>G80</v>
      </c>
      <c r="CC133" t="str">
        <f t="shared" ref="CC133:CC196" si="134">BP133</f>
        <v>R768</v>
      </c>
      <c r="CD133" t="b">
        <f t="shared" si="95"/>
        <v>0</v>
      </c>
      <c r="CE133" t="str">
        <f t="shared" si="96"/>
        <v>R768</v>
      </c>
      <c r="CG133" t="str">
        <f t="shared" ref="CG133:CG196" si="135">BA132</f>
        <v>G528</v>
      </c>
      <c r="CH133" t="str">
        <f t="shared" si="97"/>
        <v>G528</v>
      </c>
      <c r="CI133" t="str">
        <f>AE132</f>
        <v>G819</v>
      </c>
      <c r="CJ133" t="str">
        <f t="shared" ref="CJ133:CL196" si="136">DE133</f>
        <v>G819</v>
      </c>
      <c r="CK133" t="s">
        <v>1522</v>
      </c>
      <c r="CL133" t="s">
        <v>1522</v>
      </c>
      <c r="CM133" t="s">
        <v>1522</v>
      </c>
      <c r="CN133" t="b">
        <f t="shared" si="98"/>
        <v>1</v>
      </c>
      <c r="CO133" t="str">
        <f t="shared" ref="CO133:CO196" si="137">BB132</f>
        <v>R30</v>
      </c>
      <c r="CP133" t="str">
        <f t="shared" si="99"/>
        <v>R30</v>
      </c>
      <c r="CQ133" t="str">
        <f>AF132</f>
        <v>R46</v>
      </c>
      <c r="CR133" t="str">
        <f t="shared" ref="CR133:CT196" si="138">DH133</f>
        <v>R46</v>
      </c>
      <c r="CS133" t="s">
        <v>1111</v>
      </c>
      <c r="CT133" t="s">
        <v>1111</v>
      </c>
      <c r="CU133" t="s">
        <v>1111</v>
      </c>
      <c r="CV133" t="b">
        <f t="shared" si="100"/>
        <v>1</v>
      </c>
      <c r="DC133" t="str">
        <f t="shared" ref="DC133:DC196" si="139">CI133</f>
        <v>G819</v>
      </c>
      <c r="DD133" t="b">
        <f t="shared" si="101"/>
        <v>0</v>
      </c>
      <c r="DE133" t="str">
        <f t="shared" si="102"/>
        <v>G819</v>
      </c>
      <c r="DF133" t="str">
        <f t="shared" ref="DF133:DF196" si="140">CQ133</f>
        <v>R46</v>
      </c>
      <c r="DG133" t="b">
        <f t="shared" si="103"/>
        <v>0</v>
      </c>
      <c r="DH133" t="str">
        <f t="shared" si="104"/>
        <v>R46</v>
      </c>
    </row>
    <row r="134" spans="2:112" ht="12" customHeight="1">
      <c r="B134" t="str">
        <f>TBIDry!H206</f>
        <v>G118</v>
      </c>
      <c r="C134" t="str">
        <f>TBIDry!I206</f>
        <v>R586</v>
      </c>
      <c r="D134" t="b">
        <f t="shared" si="107"/>
        <v>0</v>
      </c>
      <c r="E134" t="b">
        <f t="shared" si="108"/>
        <v>0</v>
      </c>
      <c r="G134" t="str">
        <f>TBIWet!H206</f>
        <v>G746</v>
      </c>
      <c r="H134" t="str">
        <f>TBIWet!I206</f>
        <v>R476</v>
      </c>
      <c r="I134" t="b">
        <f t="shared" si="109"/>
        <v>0</v>
      </c>
      <c r="J134" t="b">
        <f t="shared" si="110"/>
        <v>0</v>
      </c>
      <c r="L134" t="str">
        <f>'Both teabags AfterWet'!A132</f>
        <v>G532</v>
      </c>
      <c r="M134" t="str">
        <f>'Both teabags AfterWet'!A552</f>
        <v>R302</v>
      </c>
      <c r="N134" t="b">
        <f t="shared" si="111"/>
        <v>0</v>
      </c>
      <c r="O134" t="b">
        <f t="shared" si="105"/>
        <v>0</v>
      </c>
      <c r="Q134" s="395" t="b">
        <f t="shared" si="112"/>
        <v>0</v>
      </c>
      <c r="R134" s="395" t="b">
        <f t="shared" si="113"/>
        <v>0</v>
      </c>
      <c r="T134" t="str">
        <f>'Both teabags AfterDry'!A132</f>
        <v>G260</v>
      </c>
      <c r="U134" t="str">
        <f>'Both teabags AfterDry'!A467</f>
        <v>R604</v>
      </c>
      <c r="V134" t="b">
        <f t="shared" si="114"/>
        <v>0</v>
      </c>
      <c r="W134" t="b">
        <f t="shared" ref="W134:W197" si="141">COUNTIF($U$4:$U$2000, U134)&gt;1</f>
        <v>0</v>
      </c>
      <c r="Y134" t="str">
        <f>'Green_rooibos initial weight'!A135</f>
        <v>G131</v>
      </c>
      <c r="Z134" t="str">
        <f>'Green_rooibos initial weight'!A1039</f>
        <v>R131</v>
      </c>
      <c r="AA134" t="b">
        <f t="shared" si="115"/>
        <v>0</v>
      </c>
      <c r="AB134" t="b">
        <f t="shared" si="116"/>
        <v>0</v>
      </c>
      <c r="AE134" t="str">
        <f>'WetLitterbags placem_collection'!K133</f>
        <v>G746</v>
      </c>
      <c r="AF134" t="str">
        <f>'WetLitterbags placem_collection'!M133</f>
        <v>R476</v>
      </c>
      <c r="AG134" t="b">
        <f t="shared" si="117"/>
        <v>0</v>
      </c>
      <c r="AH134" t="b">
        <f t="shared" si="118"/>
        <v>0</v>
      </c>
      <c r="AJ134" t="b">
        <f t="shared" si="119"/>
        <v>0</v>
      </c>
      <c r="AK134" t="b">
        <f t="shared" si="120"/>
        <v>0</v>
      </c>
      <c r="AM134" t="str">
        <f>IF(ISBLANK('Dry_Litterbag Placem_Collection'!J133),"","G"&amp;""&amp;'Dry_Litterbag Placem_Collection'!J133)</f>
        <v>G118</v>
      </c>
      <c r="AN134" t="str">
        <f>IF(ISBLANK('Dry_Litterbag Placem_Collection'!K133),"","R"&amp;""&amp;'Dry_Litterbag Placem_Collection'!K133)</f>
        <v>R586</v>
      </c>
      <c r="AO134" t="b">
        <f t="shared" si="121"/>
        <v>0</v>
      </c>
      <c r="AP134" t="b">
        <f t="shared" si="122"/>
        <v>0</v>
      </c>
      <c r="AS134" t="str">
        <f>'Ashed teabags dry'!A132</f>
        <v>G260</v>
      </c>
      <c r="AT134" t="str">
        <f>'Ashed teabags dry'!A467</f>
        <v>R604</v>
      </c>
      <c r="AU134" t="b">
        <f t="shared" si="123"/>
        <v>0</v>
      </c>
      <c r="AV134" t="b">
        <f>COUNTIF($AT$4:$AT$2000, AT134)&gt;1</f>
        <v>0</v>
      </c>
      <c r="AX134" s="395" t="b">
        <f t="shared" si="124"/>
        <v>0</v>
      </c>
      <c r="AY134" s="395" t="b">
        <f t="shared" si="125"/>
        <v>0</v>
      </c>
      <c r="BA134" t="str">
        <f>'Ashed teabags wet'!A132</f>
        <v>G532</v>
      </c>
      <c r="BB134" t="str">
        <f>'Ashed teabags wet'!A552</f>
        <v>R302</v>
      </c>
      <c r="BC134" t="b">
        <f t="shared" si="126"/>
        <v>0</v>
      </c>
      <c r="BD134" t="b">
        <f t="shared" si="106"/>
        <v>0</v>
      </c>
      <c r="BF134" t="str">
        <f t="shared" si="127"/>
        <v>G26</v>
      </c>
      <c r="BG134" t="str">
        <f>T133</f>
        <v>G26</v>
      </c>
      <c r="BH134" t="str">
        <f t="shared" si="128"/>
        <v>G64</v>
      </c>
      <c r="BI134" t="str">
        <f t="shared" ref="BI134:BK197" si="142">CB134</f>
        <v>G64</v>
      </c>
      <c r="BJ134" t="s">
        <v>2024</v>
      </c>
      <c r="BK134" t="s">
        <v>2024</v>
      </c>
      <c r="BL134" t="s">
        <v>2024</v>
      </c>
      <c r="BM134" t="b">
        <f t="shared" ref="BM134:BM197" si="143" xml:space="preserve"> COUNTIF($BJ$5:$BL$2000,BK134)=3</f>
        <v>1</v>
      </c>
      <c r="BN134" t="str">
        <f t="shared" si="129"/>
        <v>R603</v>
      </c>
      <c r="BO134" t="str">
        <f>U133</f>
        <v>R603</v>
      </c>
      <c r="BP134" t="str">
        <f t="shared" si="130"/>
        <v>R789</v>
      </c>
      <c r="BQ134" t="str">
        <f t="shared" si="131"/>
        <v>R789</v>
      </c>
      <c r="BR134" t="s">
        <v>536</v>
      </c>
      <c r="BS134" t="s">
        <v>535</v>
      </c>
      <c r="BT134" t="s">
        <v>536</v>
      </c>
      <c r="BU134" t="b">
        <f t="shared" ref="BU134:BU197" si="144" xml:space="preserve"> COUNTIF($BR$5:$BT$2000,BS134)=3</f>
        <v>1</v>
      </c>
      <c r="BZ134" t="str">
        <f t="shared" si="132"/>
        <v>G64</v>
      </c>
      <c r="CA134" t="b">
        <f t="shared" si="133"/>
        <v>0</v>
      </c>
      <c r="CB134" t="str">
        <f t="shared" ref="CB134:CB197" si="145">IF(ISNUMBER(SEARCH("USANN",CA134)),BZ134,"")</f>
        <v>G64</v>
      </c>
      <c r="CC134" t="str">
        <f t="shared" si="134"/>
        <v>R789</v>
      </c>
      <c r="CD134" t="b">
        <f t="shared" ref="CD134:CD197" si="146">COUNTIF($BW$5:$BW$2000, CC134)=1</f>
        <v>0</v>
      </c>
      <c r="CE134" t="str">
        <f t="shared" ref="CE134:CE197" si="147">IF(ISNUMBER(SEARCH("USANN",CD134)),CC134,"")</f>
        <v>R789</v>
      </c>
      <c r="CG134" t="str">
        <f t="shared" si="135"/>
        <v>G529</v>
      </c>
      <c r="CH134" t="str">
        <f t="shared" ref="CH134:CH197" si="148">L133</f>
        <v>G529</v>
      </c>
      <c r="CI134" t="str">
        <f>AE133</f>
        <v>G830</v>
      </c>
      <c r="CJ134" t="str">
        <f t="shared" si="136"/>
        <v>G830</v>
      </c>
      <c r="CK134" t="s">
        <v>1521</v>
      </c>
      <c r="CL134" t="s">
        <v>1521</v>
      </c>
      <c r="CM134" t="s">
        <v>1521</v>
      </c>
      <c r="CN134" t="b">
        <f t="shared" ref="CN134:CN197" si="149" xml:space="preserve"> COUNTIF($CK$5:$CM$2000,CL134)=3</f>
        <v>1</v>
      </c>
      <c r="CO134" t="str">
        <f t="shared" si="137"/>
        <v>R301</v>
      </c>
      <c r="CP134" t="str">
        <f t="shared" ref="CP134:CP197" si="150">M133</f>
        <v>R301</v>
      </c>
      <c r="CQ134" t="str">
        <f>AF133</f>
        <v>R585</v>
      </c>
      <c r="CR134" t="str">
        <f t="shared" si="138"/>
        <v>R585</v>
      </c>
      <c r="CS134" t="s">
        <v>840</v>
      </c>
      <c r="CT134" t="s">
        <v>840</v>
      </c>
      <c r="CU134" t="s">
        <v>840</v>
      </c>
      <c r="CV134" t="b">
        <f t="shared" ref="CV134:CV197" si="151" xml:space="preserve"> COUNTIF($CS$5:$CU$2000,CT134)=3</f>
        <v>1</v>
      </c>
      <c r="DC134" t="str">
        <f t="shared" si="139"/>
        <v>G830</v>
      </c>
      <c r="DD134" t="b">
        <f t="shared" ref="DD134:DD197" si="152">COUNTIF($CW$5:$CW$2000, DC134)=1</f>
        <v>0</v>
      </c>
      <c r="DE134" t="str">
        <f t="shared" ref="DE134:DE197" si="153">IF(ISNUMBER(SEARCH("USANN",DD134)),DC134,"")</f>
        <v>G830</v>
      </c>
      <c r="DF134" t="str">
        <f t="shared" si="140"/>
        <v>R585</v>
      </c>
      <c r="DG134" t="b">
        <f t="shared" ref="DG134:DG197" si="154">COUNTIF($CY$5:$CY$2000, DF134)=1</f>
        <v>0</v>
      </c>
      <c r="DH134" t="str">
        <f t="shared" ref="DH134:DH197" si="155">IF(ISNUMBER(SEARCH("USANN",DG134)),DF134,"")</f>
        <v>R585</v>
      </c>
    </row>
    <row r="135" spans="2:112" ht="12" customHeight="1">
      <c r="B135" t="str">
        <f>TBIDry!H207</f>
        <v/>
      </c>
      <c r="C135" t="str">
        <f>TBIDry!I207</f>
        <v/>
      </c>
      <c r="D135" t="b">
        <f t="shared" si="107"/>
        <v>1</v>
      </c>
      <c r="E135" t="b">
        <f t="shared" si="108"/>
        <v>1</v>
      </c>
      <c r="G135" t="str">
        <f>TBIWet!H207</f>
        <v>G725</v>
      </c>
      <c r="H135" t="str">
        <f>TBIWet!I207</f>
        <v>R536</v>
      </c>
      <c r="I135" t="b">
        <f t="shared" si="109"/>
        <v>0</v>
      </c>
      <c r="J135" t="b">
        <f t="shared" si="110"/>
        <v>0</v>
      </c>
      <c r="L135" t="str">
        <f>'Both teabags AfterWet'!A133</f>
        <v>G535</v>
      </c>
      <c r="M135" t="str">
        <f>'Both teabags AfterWet'!A553</f>
        <v>R303</v>
      </c>
      <c r="N135" t="b">
        <f t="shared" si="111"/>
        <v>0</v>
      </c>
      <c r="O135" t="b">
        <f t="shared" ref="O135:O198" si="156">COUNTIF($M$4:$M$2000, M135)&gt;1</f>
        <v>0</v>
      </c>
      <c r="Q135" s="395" t="b">
        <f t="shared" si="112"/>
        <v>0</v>
      </c>
      <c r="R135" s="395" t="b">
        <f t="shared" si="113"/>
        <v>0</v>
      </c>
      <c r="T135" t="str">
        <f>'Both teabags AfterDry'!A133</f>
        <v>G261</v>
      </c>
      <c r="U135" t="str">
        <f>'Both teabags AfterDry'!A468</f>
        <v>R605</v>
      </c>
      <c r="V135" t="b">
        <f t="shared" si="114"/>
        <v>0</v>
      </c>
      <c r="W135" t="b">
        <f t="shared" si="141"/>
        <v>0</v>
      </c>
      <c r="Y135" t="str">
        <f>'Green_rooibos initial weight'!A136</f>
        <v>G132</v>
      </c>
      <c r="Z135" t="str">
        <f>'Green_rooibos initial weight'!A1040</f>
        <v>R132</v>
      </c>
      <c r="AA135" t="b">
        <f t="shared" si="115"/>
        <v>0</v>
      </c>
      <c r="AB135" t="b">
        <f t="shared" si="116"/>
        <v>0</v>
      </c>
      <c r="AE135" t="str">
        <f>'WetLitterbags placem_collection'!K134</f>
        <v>G725</v>
      </c>
      <c r="AF135" t="str">
        <f>'WetLitterbags placem_collection'!M134</f>
        <v>R536</v>
      </c>
      <c r="AG135" t="b">
        <f t="shared" si="117"/>
        <v>0</v>
      </c>
      <c r="AH135" t="b">
        <f t="shared" si="118"/>
        <v>0</v>
      </c>
      <c r="AJ135" t="b">
        <f t="shared" si="119"/>
        <v>0</v>
      </c>
      <c r="AK135" t="b">
        <f t="shared" si="120"/>
        <v>0</v>
      </c>
      <c r="AM135" t="str">
        <f>IF(ISBLANK('Dry_Litterbag Placem_Collection'!J134),"","G"&amp;""&amp;'Dry_Litterbag Placem_Collection'!J134)</f>
        <v/>
      </c>
      <c r="AN135" t="str">
        <f>IF(ISBLANK('Dry_Litterbag Placem_Collection'!K134),"","R"&amp;""&amp;'Dry_Litterbag Placem_Collection'!K134)</f>
        <v/>
      </c>
      <c r="AO135" t="b">
        <f t="shared" si="121"/>
        <v>1</v>
      </c>
      <c r="AP135" t="b">
        <f t="shared" si="122"/>
        <v>1</v>
      </c>
      <c r="AS135" t="str">
        <f>'Ashed teabags dry'!A133</f>
        <v>G261</v>
      </c>
      <c r="AT135" t="str">
        <f>'Ashed teabags dry'!A468</f>
        <v>R605</v>
      </c>
      <c r="AU135" t="b">
        <f t="shared" si="123"/>
        <v>0</v>
      </c>
      <c r="AV135" t="b">
        <f>COUNTIF($AT$4:$AT$2000, AT135)&gt;1</f>
        <v>0</v>
      </c>
      <c r="AX135" s="395" t="b">
        <f t="shared" si="124"/>
        <v>0</v>
      </c>
      <c r="AY135" s="395" t="b">
        <f t="shared" si="125"/>
        <v>0</v>
      </c>
      <c r="BA135" t="str">
        <f>'Ashed teabags wet'!A133</f>
        <v>G535</v>
      </c>
      <c r="BB135" t="str">
        <f>'Ashed teabags wet'!A553</f>
        <v>R303</v>
      </c>
      <c r="BC135" t="b">
        <f t="shared" si="126"/>
        <v>0</v>
      </c>
      <c r="BD135" t="b">
        <f t="shared" si="106"/>
        <v>0</v>
      </c>
      <c r="BF135" t="str">
        <f t="shared" si="127"/>
        <v>G260</v>
      </c>
      <c r="BG135" t="str">
        <f>T134</f>
        <v>G260</v>
      </c>
      <c r="BH135" t="str">
        <f t="shared" si="128"/>
        <v>G118</v>
      </c>
      <c r="BI135" t="str">
        <f t="shared" si="142"/>
        <v>G118</v>
      </c>
      <c r="BJ135" t="s">
        <v>1790</v>
      </c>
      <c r="BK135" t="s">
        <v>1790</v>
      </c>
      <c r="BL135" t="s">
        <v>1790</v>
      </c>
      <c r="BM135" t="b">
        <f t="shared" si="143"/>
        <v>1</v>
      </c>
      <c r="BN135" t="str">
        <f t="shared" si="129"/>
        <v>R604</v>
      </c>
      <c r="BO135" t="str">
        <f>U134</f>
        <v>R604</v>
      </c>
      <c r="BP135" t="str">
        <f t="shared" si="130"/>
        <v>R586</v>
      </c>
      <c r="BQ135" t="str">
        <f t="shared" si="131"/>
        <v>R586</v>
      </c>
      <c r="BR135" t="s">
        <v>535</v>
      </c>
      <c r="BS135" t="s">
        <v>534</v>
      </c>
      <c r="BT135" t="s">
        <v>535</v>
      </c>
      <c r="BU135" t="b">
        <f t="shared" si="144"/>
        <v>1</v>
      </c>
      <c r="BV135" s="113"/>
      <c r="BW135" s="113"/>
      <c r="BZ135" t="str">
        <f t="shared" si="132"/>
        <v>G118</v>
      </c>
      <c r="CA135" t="b">
        <f t="shared" si="133"/>
        <v>0</v>
      </c>
      <c r="CB135" t="str">
        <f t="shared" si="145"/>
        <v>G118</v>
      </c>
      <c r="CC135" t="str">
        <f t="shared" si="134"/>
        <v>R586</v>
      </c>
      <c r="CD135" t="b">
        <f t="shared" si="146"/>
        <v>0</v>
      </c>
      <c r="CE135" t="str">
        <f t="shared" si="147"/>
        <v>R586</v>
      </c>
      <c r="CG135" t="str">
        <f t="shared" si="135"/>
        <v>G532</v>
      </c>
      <c r="CH135" t="str">
        <f t="shared" si="148"/>
        <v>G532</v>
      </c>
      <c r="CI135" t="str">
        <f>AE134</f>
        <v>G746</v>
      </c>
      <c r="CJ135" t="str">
        <f t="shared" si="136"/>
        <v>G746</v>
      </c>
      <c r="CK135" t="s">
        <v>1518</v>
      </c>
      <c r="CL135" t="s">
        <v>1518</v>
      </c>
      <c r="CM135" t="s">
        <v>1518</v>
      </c>
      <c r="CN135" t="b">
        <f t="shared" si="149"/>
        <v>1</v>
      </c>
      <c r="CO135" t="str">
        <f t="shared" si="137"/>
        <v>R302</v>
      </c>
      <c r="CP135" t="str">
        <f t="shared" si="150"/>
        <v>R302</v>
      </c>
      <c r="CQ135" t="str">
        <f>AF134</f>
        <v>R476</v>
      </c>
      <c r="CR135" t="str">
        <f t="shared" si="138"/>
        <v>R476</v>
      </c>
      <c r="CS135" t="s">
        <v>839</v>
      </c>
      <c r="CT135" t="s">
        <v>839</v>
      </c>
      <c r="CU135" t="s">
        <v>839</v>
      </c>
      <c r="CV135" t="b">
        <f t="shared" si="151"/>
        <v>1</v>
      </c>
      <c r="DC135" t="str">
        <f t="shared" si="139"/>
        <v>G746</v>
      </c>
      <c r="DD135" t="b">
        <f t="shared" si="152"/>
        <v>0</v>
      </c>
      <c r="DE135" t="str">
        <f t="shared" si="153"/>
        <v>G746</v>
      </c>
      <c r="DF135" t="str">
        <f t="shared" si="140"/>
        <v>R476</v>
      </c>
      <c r="DG135" t="b">
        <f t="shared" si="154"/>
        <v>0</v>
      </c>
      <c r="DH135" t="str">
        <f t="shared" si="155"/>
        <v>R476</v>
      </c>
    </row>
    <row r="136" spans="2:112" ht="12" customHeight="1">
      <c r="B136" t="str">
        <f>TBIDry!H208</f>
        <v>G270</v>
      </c>
      <c r="C136" t="str">
        <f>TBIDry!I208</f>
        <v>R817</v>
      </c>
      <c r="D136" t="b">
        <f t="shared" si="107"/>
        <v>0</v>
      </c>
      <c r="E136" t="b">
        <f t="shared" si="108"/>
        <v>0</v>
      </c>
      <c r="G136" t="str">
        <f>TBIWet!H208</f>
        <v>G846</v>
      </c>
      <c r="H136" t="str">
        <f>TBIWet!I208</f>
        <v>R524</v>
      </c>
      <c r="I136" t="b">
        <f t="shared" si="109"/>
        <v>0</v>
      </c>
      <c r="J136" t="b">
        <f t="shared" si="110"/>
        <v>0</v>
      </c>
      <c r="L136" t="str">
        <f>'Both teabags AfterWet'!A134</f>
        <v>G536</v>
      </c>
      <c r="M136" t="str">
        <f>'Both teabags AfterWet'!A554</f>
        <v>R307</v>
      </c>
      <c r="N136" t="b">
        <f t="shared" si="111"/>
        <v>0</v>
      </c>
      <c r="O136" t="b">
        <f t="shared" si="156"/>
        <v>0</v>
      </c>
      <c r="Q136" s="395" t="b">
        <f t="shared" si="112"/>
        <v>0</v>
      </c>
      <c r="R136" s="395" t="b">
        <f t="shared" si="113"/>
        <v>0</v>
      </c>
      <c r="T136" t="str">
        <f>'Both teabags AfterDry'!A134</f>
        <v>G262</v>
      </c>
      <c r="U136" t="str">
        <f>'Both teabags AfterDry'!A469</f>
        <v>R606</v>
      </c>
      <c r="V136" t="b">
        <f t="shared" si="114"/>
        <v>0</v>
      </c>
      <c r="W136" t="b">
        <f t="shared" si="141"/>
        <v>0</v>
      </c>
      <c r="Y136" t="str">
        <f>'Green_rooibos initial weight'!A137</f>
        <v>G133</v>
      </c>
      <c r="Z136" t="str">
        <f>'Green_rooibos initial weight'!A1041</f>
        <v>R133</v>
      </c>
      <c r="AA136" t="b">
        <f t="shared" si="115"/>
        <v>0</v>
      </c>
      <c r="AB136" t="b">
        <f t="shared" si="116"/>
        <v>0</v>
      </c>
      <c r="AE136" t="str">
        <f>'WetLitterbags placem_collection'!K135</f>
        <v>G846</v>
      </c>
      <c r="AF136" t="str">
        <f>'WetLitterbags placem_collection'!M135</f>
        <v>R524</v>
      </c>
      <c r="AG136" t="b">
        <f t="shared" si="117"/>
        <v>0</v>
      </c>
      <c r="AH136" t="b">
        <f t="shared" si="118"/>
        <v>0</v>
      </c>
      <c r="AJ136" t="b">
        <f t="shared" si="119"/>
        <v>0</v>
      </c>
      <c r="AK136" t="b">
        <f t="shared" si="120"/>
        <v>0</v>
      </c>
      <c r="AM136" t="str">
        <f>IF(ISBLANK('Dry_Litterbag Placem_Collection'!J135),"","G"&amp;""&amp;'Dry_Litterbag Placem_Collection'!J135)</f>
        <v>G270</v>
      </c>
      <c r="AN136" t="str">
        <f>IF(ISBLANK('Dry_Litterbag Placem_Collection'!K135),"","R"&amp;""&amp;'Dry_Litterbag Placem_Collection'!K135)</f>
        <v>R817</v>
      </c>
      <c r="AO136" t="b">
        <f t="shared" si="121"/>
        <v>0</v>
      </c>
      <c r="AP136" t="b">
        <f t="shared" si="122"/>
        <v>0</v>
      </c>
      <c r="AS136" t="str">
        <f>'Ashed teabags dry'!A134</f>
        <v>G262</v>
      </c>
      <c r="AT136" t="str">
        <f>'Ashed teabags dry'!A469</f>
        <v>R606</v>
      </c>
      <c r="AU136" t="b">
        <f t="shared" si="123"/>
        <v>0</v>
      </c>
      <c r="AV136" t="b">
        <f>COUNTIF($AT$4:$AT$2000, AT136)&gt;1</f>
        <v>0</v>
      </c>
      <c r="AX136" s="395" t="b">
        <f t="shared" si="124"/>
        <v>0</v>
      </c>
      <c r="AY136" s="395" t="b">
        <f t="shared" si="125"/>
        <v>0</v>
      </c>
      <c r="BA136" t="str">
        <f>'Ashed teabags wet'!A134</f>
        <v>G536</v>
      </c>
      <c r="BB136" t="str">
        <f>'Ashed teabags wet'!A554</f>
        <v>R307</v>
      </c>
      <c r="BC136" t="b">
        <f t="shared" si="126"/>
        <v>0</v>
      </c>
      <c r="BD136" t="b">
        <f t="shared" si="106"/>
        <v>0</v>
      </c>
      <c r="BF136" t="str">
        <f t="shared" si="127"/>
        <v>G261</v>
      </c>
      <c r="BG136" t="str">
        <f>T135</f>
        <v>G261</v>
      </c>
      <c r="BH136" t="str">
        <f t="shared" si="128"/>
        <v/>
      </c>
      <c r="BI136" t="str">
        <f t="shared" si="142"/>
        <v/>
      </c>
      <c r="BJ136" t="s">
        <v>1789</v>
      </c>
      <c r="BK136" t="s">
        <v>1789</v>
      </c>
      <c r="BL136" t="s">
        <v>1789</v>
      </c>
      <c r="BM136" t="b">
        <f t="shared" si="143"/>
        <v>1</v>
      </c>
      <c r="BN136" t="str">
        <f t="shared" si="129"/>
        <v>R605</v>
      </c>
      <c r="BO136" t="str">
        <f>U135</f>
        <v>R605</v>
      </c>
      <c r="BP136" t="str">
        <f t="shared" si="130"/>
        <v/>
      </c>
      <c r="BQ136" t="str">
        <f t="shared" si="131"/>
        <v/>
      </c>
      <c r="BR136" t="s">
        <v>534</v>
      </c>
      <c r="BS136" t="s">
        <v>533</v>
      </c>
      <c r="BT136" t="s">
        <v>534</v>
      </c>
      <c r="BU136" t="b">
        <f t="shared" si="144"/>
        <v>1</v>
      </c>
      <c r="BZ136" t="str">
        <f t="shared" si="132"/>
        <v/>
      </c>
      <c r="CA136" t="b">
        <f t="shared" si="133"/>
        <v>0</v>
      </c>
      <c r="CB136" t="str">
        <f t="shared" si="145"/>
        <v/>
      </c>
      <c r="CC136" t="str">
        <f t="shared" si="134"/>
        <v/>
      </c>
      <c r="CD136" t="b">
        <f t="shared" si="146"/>
        <v>0</v>
      </c>
      <c r="CE136" t="str">
        <f t="shared" si="147"/>
        <v/>
      </c>
      <c r="CG136" t="str">
        <f t="shared" si="135"/>
        <v>G535</v>
      </c>
      <c r="CH136" t="str">
        <f t="shared" si="148"/>
        <v>G535</v>
      </c>
      <c r="CI136" t="str">
        <f>AE135</f>
        <v>G725</v>
      </c>
      <c r="CJ136" t="str">
        <f t="shared" si="136"/>
        <v>G725</v>
      </c>
      <c r="CK136" t="s">
        <v>1515</v>
      </c>
      <c r="CL136" t="s">
        <v>1515</v>
      </c>
      <c r="CM136" t="s">
        <v>1515</v>
      </c>
      <c r="CN136" t="b">
        <f t="shared" si="149"/>
        <v>1</v>
      </c>
      <c r="CO136" t="str">
        <f t="shared" si="137"/>
        <v>R303</v>
      </c>
      <c r="CP136" t="str">
        <f t="shared" si="150"/>
        <v>R303</v>
      </c>
      <c r="CQ136" t="str">
        <f>AF135</f>
        <v>R536</v>
      </c>
      <c r="CR136" t="str">
        <f t="shared" si="138"/>
        <v>R536</v>
      </c>
      <c r="CS136" t="s">
        <v>838</v>
      </c>
      <c r="CT136" t="s">
        <v>838</v>
      </c>
      <c r="CU136" t="s">
        <v>838</v>
      </c>
      <c r="CV136" t="b">
        <f t="shared" si="151"/>
        <v>1</v>
      </c>
      <c r="DC136" t="str">
        <f t="shared" si="139"/>
        <v>G725</v>
      </c>
      <c r="DD136" t="b">
        <f t="shared" si="152"/>
        <v>0</v>
      </c>
      <c r="DE136" t="str">
        <f t="shared" si="153"/>
        <v>G725</v>
      </c>
      <c r="DF136" t="str">
        <f t="shared" si="140"/>
        <v>R536</v>
      </c>
      <c r="DG136" t="b">
        <f t="shared" si="154"/>
        <v>0</v>
      </c>
      <c r="DH136" t="str">
        <f t="shared" si="155"/>
        <v>R536</v>
      </c>
    </row>
    <row r="137" spans="2:112" ht="12" customHeight="1">
      <c r="B137" t="str">
        <f>TBIDry!H209</f>
        <v>G316</v>
      </c>
      <c r="C137" t="str">
        <f>TBIDry!I209</f>
        <v>R837</v>
      </c>
      <c r="D137" t="b">
        <f t="shared" si="107"/>
        <v>0</v>
      </c>
      <c r="E137" t="b">
        <f t="shared" si="108"/>
        <v>0</v>
      </c>
      <c r="G137" t="str">
        <f>TBIWet!H209</f>
        <v>G756</v>
      </c>
      <c r="H137" t="str">
        <f>TBIWet!I209</f>
        <v>R600</v>
      </c>
      <c r="I137" t="b">
        <f t="shared" si="109"/>
        <v>0</v>
      </c>
      <c r="J137" t="b">
        <f t="shared" si="110"/>
        <v>0</v>
      </c>
      <c r="L137" t="str">
        <f>'Both teabags AfterWet'!A135</f>
        <v>G537</v>
      </c>
      <c r="M137" t="str">
        <f>'Both teabags AfterWet'!A555</f>
        <v>R309</v>
      </c>
      <c r="N137" t="b">
        <f t="shared" si="111"/>
        <v>0</v>
      </c>
      <c r="O137" t="b">
        <f t="shared" si="156"/>
        <v>0</v>
      </c>
      <c r="Q137" s="395" t="b">
        <f t="shared" si="112"/>
        <v>0</v>
      </c>
      <c r="R137" s="395" t="b">
        <f t="shared" si="113"/>
        <v>0</v>
      </c>
      <c r="T137" t="str">
        <f>'Both teabags AfterDry'!A135</f>
        <v>G263</v>
      </c>
      <c r="U137" t="str">
        <f>'Both teabags AfterDry'!A470</f>
        <v>R608</v>
      </c>
      <c r="V137" t="b">
        <f t="shared" si="114"/>
        <v>0</v>
      </c>
      <c r="W137" t="b">
        <f t="shared" si="141"/>
        <v>0</v>
      </c>
      <c r="Y137" t="str">
        <f>'Green_rooibos initial weight'!A138</f>
        <v>G134</v>
      </c>
      <c r="Z137" t="str">
        <f>'Green_rooibos initial weight'!A1042</f>
        <v>R134</v>
      </c>
      <c r="AA137" t="b">
        <f t="shared" si="115"/>
        <v>0</v>
      </c>
      <c r="AB137" t="b">
        <f t="shared" si="116"/>
        <v>0</v>
      </c>
      <c r="AE137" t="str">
        <f>'WetLitterbags placem_collection'!K136</f>
        <v>G756</v>
      </c>
      <c r="AF137" t="str">
        <f>'WetLitterbags placem_collection'!M136</f>
        <v>R600</v>
      </c>
      <c r="AG137" t="b">
        <f t="shared" si="117"/>
        <v>0</v>
      </c>
      <c r="AH137" t="b">
        <f t="shared" si="118"/>
        <v>0</v>
      </c>
      <c r="AJ137" t="b">
        <f t="shared" si="119"/>
        <v>0</v>
      </c>
      <c r="AK137" t="b">
        <f t="shared" si="120"/>
        <v>0</v>
      </c>
      <c r="AM137" t="str">
        <f>IF(ISBLANK('Dry_Litterbag Placem_Collection'!J136),"","G"&amp;""&amp;'Dry_Litterbag Placem_Collection'!J136)</f>
        <v>G316</v>
      </c>
      <c r="AN137" t="str">
        <f>IF(ISBLANK('Dry_Litterbag Placem_Collection'!K136),"","R"&amp;""&amp;'Dry_Litterbag Placem_Collection'!K136)</f>
        <v>R837</v>
      </c>
      <c r="AO137" t="b">
        <f t="shared" si="121"/>
        <v>0</v>
      </c>
      <c r="AP137" t="b">
        <f t="shared" si="122"/>
        <v>0</v>
      </c>
      <c r="AS137" t="str">
        <f>'Ashed teabags dry'!A135</f>
        <v>G263</v>
      </c>
      <c r="AT137" t="str">
        <f>'Ashed teabags dry'!A470</f>
        <v>R608</v>
      </c>
      <c r="AU137" t="b">
        <f t="shared" si="123"/>
        <v>0</v>
      </c>
      <c r="AV137" t="b">
        <f>COUNTIF($AT$4:$AT$2000, AT137)&gt;1</f>
        <v>0</v>
      </c>
      <c r="AX137" s="395" t="b">
        <f t="shared" si="124"/>
        <v>0</v>
      </c>
      <c r="AY137" s="395" t="b">
        <f t="shared" si="125"/>
        <v>0</v>
      </c>
      <c r="BA137" t="str">
        <f>'Ashed teabags wet'!A135</f>
        <v>G537</v>
      </c>
      <c r="BB137" t="str">
        <f>'Ashed teabags wet'!A555</f>
        <v>R309</v>
      </c>
      <c r="BC137" t="b">
        <f t="shared" si="126"/>
        <v>0</v>
      </c>
      <c r="BD137" t="b">
        <f t="shared" si="106"/>
        <v>0</v>
      </c>
      <c r="BF137" t="str">
        <f t="shared" si="127"/>
        <v>G262</v>
      </c>
      <c r="BG137" t="str">
        <f>T136</f>
        <v>G262</v>
      </c>
      <c r="BH137" t="str">
        <f t="shared" si="128"/>
        <v>G270</v>
      </c>
      <c r="BI137" t="str">
        <f t="shared" si="142"/>
        <v/>
      </c>
      <c r="BJ137" t="s">
        <v>1788</v>
      </c>
      <c r="BK137" t="s">
        <v>1788</v>
      </c>
      <c r="BL137" t="s">
        <v>1788</v>
      </c>
      <c r="BM137" t="b">
        <f t="shared" si="143"/>
        <v>1</v>
      </c>
      <c r="BN137" t="str">
        <f t="shared" si="129"/>
        <v>R606</v>
      </c>
      <c r="BO137" t="str">
        <f>U136</f>
        <v>R606</v>
      </c>
      <c r="BP137" t="str">
        <f t="shared" si="130"/>
        <v>R817</v>
      </c>
      <c r="BQ137" t="str">
        <f t="shared" si="131"/>
        <v/>
      </c>
      <c r="BR137" t="s">
        <v>533</v>
      </c>
      <c r="BS137" t="s">
        <v>531</v>
      </c>
      <c r="BT137" t="s">
        <v>533</v>
      </c>
      <c r="BU137" t="b">
        <f t="shared" si="144"/>
        <v>1</v>
      </c>
      <c r="BZ137" t="str">
        <f t="shared" si="132"/>
        <v>G270</v>
      </c>
      <c r="CA137" t="b">
        <f t="shared" si="133"/>
        <v>1</v>
      </c>
      <c r="CB137" t="str">
        <f t="shared" si="145"/>
        <v/>
      </c>
      <c r="CC137" t="str">
        <f t="shared" si="134"/>
        <v>R817</v>
      </c>
      <c r="CD137" t="b">
        <f t="shared" si="146"/>
        <v>1</v>
      </c>
      <c r="CE137" t="str">
        <f t="shared" si="147"/>
        <v/>
      </c>
      <c r="CG137" t="str">
        <f t="shared" si="135"/>
        <v>G536</v>
      </c>
      <c r="CH137" t="str">
        <f t="shared" si="148"/>
        <v>G536</v>
      </c>
      <c r="CI137" t="str">
        <f>AE136</f>
        <v>G846</v>
      </c>
      <c r="CJ137" t="str">
        <f t="shared" si="136"/>
        <v>G846</v>
      </c>
      <c r="CK137" t="s">
        <v>1514</v>
      </c>
      <c r="CL137" t="s">
        <v>1514</v>
      </c>
      <c r="CM137" t="s">
        <v>1514</v>
      </c>
      <c r="CN137" t="b">
        <f t="shared" si="149"/>
        <v>1</v>
      </c>
      <c r="CO137" t="str">
        <f t="shared" si="137"/>
        <v>R307</v>
      </c>
      <c r="CP137" t="str">
        <f t="shared" si="150"/>
        <v>R307</v>
      </c>
      <c r="CQ137" t="str">
        <f>AF136</f>
        <v>R524</v>
      </c>
      <c r="CR137" t="str">
        <f t="shared" si="138"/>
        <v>R524</v>
      </c>
      <c r="CS137" t="s">
        <v>834</v>
      </c>
      <c r="CT137" t="s">
        <v>834</v>
      </c>
      <c r="CU137" t="s">
        <v>834</v>
      </c>
      <c r="CV137" t="b">
        <f t="shared" si="151"/>
        <v>1</v>
      </c>
      <c r="DC137" t="str">
        <f t="shared" si="139"/>
        <v>G846</v>
      </c>
      <c r="DD137" t="b">
        <f t="shared" si="152"/>
        <v>0</v>
      </c>
      <c r="DE137" t="str">
        <f t="shared" si="153"/>
        <v>G846</v>
      </c>
      <c r="DF137" t="str">
        <f t="shared" si="140"/>
        <v>R524</v>
      </c>
      <c r="DG137" t="b">
        <f t="shared" si="154"/>
        <v>0</v>
      </c>
      <c r="DH137" t="str">
        <f t="shared" si="155"/>
        <v>R524</v>
      </c>
    </row>
    <row r="138" spans="2:112" ht="12" customHeight="1">
      <c r="B138" t="str">
        <f>TBIDry!H210</f>
        <v>G77</v>
      </c>
      <c r="C138" t="str">
        <f>TBIDry!I210</f>
        <v>R756</v>
      </c>
      <c r="D138" t="b">
        <f t="shared" si="107"/>
        <v>0</v>
      </c>
      <c r="E138" t="b">
        <f t="shared" si="108"/>
        <v>0</v>
      </c>
      <c r="G138" t="str">
        <f>TBIWet!H210</f>
        <v>G745</v>
      </c>
      <c r="H138" t="str">
        <f>TBIWet!I210</f>
        <v>R432</v>
      </c>
      <c r="I138" t="b">
        <f t="shared" si="109"/>
        <v>0</v>
      </c>
      <c r="J138" t="b">
        <f t="shared" si="110"/>
        <v>0</v>
      </c>
      <c r="L138" t="str">
        <f>'Both teabags AfterWet'!A136</f>
        <v>G538</v>
      </c>
      <c r="M138" t="str">
        <f>'Both teabags AfterWet'!A556</f>
        <v>R31</v>
      </c>
      <c r="N138" t="b">
        <f t="shared" si="111"/>
        <v>0</v>
      </c>
      <c r="O138" t="b">
        <f t="shared" si="156"/>
        <v>0</v>
      </c>
      <c r="Q138" s="395" t="b">
        <f t="shared" si="112"/>
        <v>0</v>
      </c>
      <c r="R138" s="395" t="b">
        <f t="shared" si="113"/>
        <v>0</v>
      </c>
      <c r="T138" t="str">
        <f>'Both teabags AfterDry'!A136</f>
        <v>G265</v>
      </c>
      <c r="U138" t="str">
        <f>'Both teabags AfterDry'!A471</f>
        <v>R609</v>
      </c>
      <c r="V138" t="b">
        <f t="shared" si="114"/>
        <v>0</v>
      </c>
      <c r="W138" t="b">
        <f t="shared" si="141"/>
        <v>0</v>
      </c>
      <c r="Y138" t="str">
        <f>'Green_rooibos initial weight'!A139</f>
        <v>G135</v>
      </c>
      <c r="Z138" t="str">
        <f>'Green_rooibos initial weight'!A1043</f>
        <v>R135</v>
      </c>
      <c r="AA138" t="b">
        <f t="shared" si="115"/>
        <v>0</v>
      </c>
      <c r="AB138" t="b">
        <f t="shared" si="116"/>
        <v>0</v>
      </c>
      <c r="AE138" t="str">
        <f>'WetLitterbags placem_collection'!K137</f>
        <v>G745</v>
      </c>
      <c r="AF138" t="str">
        <f>'WetLitterbags placem_collection'!M137</f>
        <v>R432</v>
      </c>
      <c r="AG138" t="b">
        <f t="shared" si="117"/>
        <v>0</v>
      </c>
      <c r="AH138" t="b">
        <f t="shared" si="118"/>
        <v>0</v>
      </c>
      <c r="AJ138" t="b">
        <f t="shared" si="119"/>
        <v>0</v>
      </c>
      <c r="AK138" t="b">
        <f t="shared" si="120"/>
        <v>0</v>
      </c>
      <c r="AM138" t="str">
        <f>IF(ISBLANK('Dry_Litterbag Placem_Collection'!J137),"","G"&amp;""&amp;'Dry_Litterbag Placem_Collection'!J137)</f>
        <v>G77</v>
      </c>
      <c r="AN138" t="str">
        <f>IF(ISBLANK('Dry_Litterbag Placem_Collection'!K137),"","R"&amp;""&amp;'Dry_Litterbag Placem_Collection'!K137)</f>
        <v>R756</v>
      </c>
      <c r="AO138" t="b">
        <f t="shared" si="121"/>
        <v>0</v>
      </c>
      <c r="AP138" t="b">
        <f t="shared" si="122"/>
        <v>0</v>
      </c>
      <c r="AS138" t="str">
        <f>'Ashed teabags dry'!A136</f>
        <v>G265</v>
      </c>
      <c r="AT138" t="str">
        <f>'Ashed teabags dry'!A471</f>
        <v>R609</v>
      </c>
      <c r="AU138" t="b">
        <f t="shared" si="123"/>
        <v>0</v>
      </c>
      <c r="AV138" t="b">
        <f>COUNTIF($AT$4:$AT$2000, AT138)&gt;1</f>
        <v>0</v>
      </c>
      <c r="AX138" s="395" t="b">
        <f t="shared" si="124"/>
        <v>0</v>
      </c>
      <c r="AY138" s="395" t="b">
        <f t="shared" si="125"/>
        <v>0</v>
      </c>
      <c r="BA138" t="str">
        <f>'Ashed teabags wet'!A136</f>
        <v>G538</v>
      </c>
      <c r="BB138" t="str">
        <f>'Ashed teabags wet'!A556</f>
        <v>R31</v>
      </c>
      <c r="BC138" t="b">
        <f t="shared" si="126"/>
        <v>0</v>
      </c>
      <c r="BD138" t="b">
        <f t="shared" si="106"/>
        <v>0</v>
      </c>
      <c r="BF138" t="str">
        <f t="shared" si="127"/>
        <v>G263</v>
      </c>
      <c r="BG138" t="str">
        <f>T137</f>
        <v>G263</v>
      </c>
      <c r="BH138" t="str">
        <f t="shared" si="128"/>
        <v>G316</v>
      </c>
      <c r="BI138" t="str">
        <f t="shared" si="142"/>
        <v>G316</v>
      </c>
      <c r="BJ138" t="s">
        <v>1787</v>
      </c>
      <c r="BK138" t="s">
        <v>1787</v>
      </c>
      <c r="BL138" t="s">
        <v>1787</v>
      </c>
      <c r="BM138" t="b">
        <f t="shared" si="143"/>
        <v>1</v>
      </c>
      <c r="BN138" t="str">
        <f t="shared" si="129"/>
        <v>R608</v>
      </c>
      <c r="BO138" t="str">
        <f>U137</f>
        <v>R608</v>
      </c>
      <c r="BP138" t="str">
        <f t="shared" si="130"/>
        <v>R837</v>
      </c>
      <c r="BQ138" t="str">
        <f t="shared" si="131"/>
        <v>R837</v>
      </c>
      <c r="BR138" t="s">
        <v>531</v>
      </c>
      <c r="BS138" t="s">
        <v>530</v>
      </c>
      <c r="BT138" t="s">
        <v>531</v>
      </c>
      <c r="BU138" t="b">
        <f t="shared" si="144"/>
        <v>1</v>
      </c>
      <c r="BZ138" t="str">
        <f t="shared" si="132"/>
        <v>G316</v>
      </c>
      <c r="CA138" t="b">
        <f t="shared" si="133"/>
        <v>0</v>
      </c>
      <c r="CB138" t="str">
        <f t="shared" si="145"/>
        <v>G316</v>
      </c>
      <c r="CC138" t="str">
        <f t="shared" si="134"/>
        <v>R837</v>
      </c>
      <c r="CD138" t="b">
        <f t="shared" si="146"/>
        <v>0</v>
      </c>
      <c r="CE138" t="str">
        <f t="shared" si="147"/>
        <v>R837</v>
      </c>
      <c r="CG138" t="str">
        <f t="shared" si="135"/>
        <v>G537</v>
      </c>
      <c r="CH138" t="str">
        <f t="shared" si="148"/>
        <v>G537</v>
      </c>
      <c r="CI138" t="str">
        <f>AE137</f>
        <v>G756</v>
      </c>
      <c r="CJ138" t="str">
        <f t="shared" si="136"/>
        <v>G756</v>
      </c>
      <c r="CK138" t="s">
        <v>1513</v>
      </c>
      <c r="CL138" t="s">
        <v>1513</v>
      </c>
      <c r="CM138" t="s">
        <v>1513</v>
      </c>
      <c r="CN138" t="b">
        <f t="shared" si="149"/>
        <v>1</v>
      </c>
      <c r="CO138" t="str">
        <f t="shared" si="137"/>
        <v>R309</v>
      </c>
      <c r="CP138" t="str">
        <f t="shared" si="150"/>
        <v>R309</v>
      </c>
      <c r="CQ138" t="str">
        <f>AF137</f>
        <v>R600</v>
      </c>
      <c r="CR138" t="str">
        <f t="shared" si="138"/>
        <v>R600</v>
      </c>
      <c r="CS138" t="s">
        <v>832</v>
      </c>
      <c r="CT138" t="s">
        <v>832</v>
      </c>
      <c r="CU138" t="s">
        <v>832</v>
      </c>
      <c r="CV138" t="b">
        <f t="shared" si="151"/>
        <v>1</v>
      </c>
      <c r="DC138" t="str">
        <f t="shared" si="139"/>
        <v>G756</v>
      </c>
      <c r="DD138" t="b">
        <f t="shared" si="152"/>
        <v>0</v>
      </c>
      <c r="DE138" t="str">
        <f t="shared" si="153"/>
        <v>G756</v>
      </c>
      <c r="DF138" t="str">
        <f t="shared" si="140"/>
        <v>R600</v>
      </c>
      <c r="DG138" t="b">
        <f t="shared" si="154"/>
        <v>0</v>
      </c>
      <c r="DH138" t="str">
        <f t="shared" si="155"/>
        <v>R600</v>
      </c>
    </row>
    <row r="139" spans="2:112" ht="12" customHeight="1">
      <c r="B139" t="str">
        <f>TBIDry!H211</f>
        <v>G332</v>
      </c>
      <c r="C139" t="str">
        <f>TBIDry!I211</f>
        <v>R184</v>
      </c>
      <c r="D139" t="b">
        <f t="shared" si="107"/>
        <v>0</v>
      </c>
      <c r="E139" t="b">
        <f t="shared" si="108"/>
        <v>0</v>
      </c>
      <c r="G139" t="str">
        <f>TBIWet!H211</f>
        <v>G832</v>
      </c>
      <c r="H139" t="str">
        <f>TBIWet!I211</f>
        <v>R474</v>
      </c>
      <c r="I139" t="b">
        <f t="shared" si="109"/>
        <v>0</v>
      </c>
      <c r="J139" t="b">
        <f t="shared" si="110"/>
        <v>0</v>
      </c>
      <c r="L139" t="str">
        <f>'Both teabags AfterWet'!A137</f>
        <v>G539</v>
      </c>
      <c r="M139" t="str">
        <f>'Both teabags AfterWet'!A557</f>
        <v>R311</v>
      </c>
      <c r="N139" t="b">
        <f t="shared" si="111"/>
        <v>0</v>
      </c>
      <c r="O139" t="b">
        <f t="shared" si="156"/>
        <v>0</v>
      </c>
      <c r="Q139" s="395" t="b">
        <f t="shared" si="112"/>
        <v>0</v>
      </c>
      <c r="R139" s="395" t="b">
        <f t="shared" si="113"/>
        <v>0</v>
      </c>
      <c r="T139" t="str">
        <f>'Both teabags AfterDry'!A137</f>
        <v>G266</v>
      </c>
      <c r="U139" t="str">
        <f>'Both teabags AfterDry'!A472</f>
        <v>R61</v>
      </c>
      <c r="V139" t="b">
        <f t="shared" si="114"/>
        <v>0</v>
      </c>
      <c r="W139" t="b">
        <f t="shared" si="141"/>
        <v>0</v>
      </c>
      <c r="Y139" t="str">
        <f>'Green_rooibos initial weight'!A140</f>
        <v>G136</v>
      </c>
      <c r="Z139" t="str">
        <f>'Green_rooibos initial weight'!A1044</f>
        <v>R136</v>
      </c>
      <c r="AA139" t="b">
        <f t="shared" si="115"/>
        <v>0</v>
      </c>
      <c r="AB139" t="b">
        <f t="shared" si="116"/>
        <v>0</v>
      </c>
      <c r="AE139" t="str">
        <f>'WetLitterbags placem_collection'!K138</f>
        <v>G832</v>
      </c>
      <c r="AF139" t="str">
        <f>'WetLitterbags placem_collection'!M138</f>
        <v>R474</v>
      </c>
      <c r="AG139" t="b">
        <f t="shared" si="117"/>
        <v>0</v>
      </c>
      <c r="AH139" t="b">
        <f t="shared" si="118"/>
        <v>0</v>
      </c>
      <c r="AJ139" t="b">
        <f t="shared" si="119"/>
        <v>0</v>
      </c>
      <c r="AK139" t="b">
        <f t="shared" si="120"/>
        <v>0</v>
      </c>
      <c r="AM139" t="str">
        <f>IF(ISBLANK('Dry_Litterbag Placem_Collection'!J138),"","G"&amp;""&amp;'Dry_Litterbag Placem_Collection'!J138)</f>
        <v>G332</v>
      </c>
      <c r="AN139" t="str">
        <f>IF(ISBLANK('Dry_Litterbag Placem_Collection'!K138),"","R"&amp;""&amp;'Dry_Litterbag Placem_Collection'!K138)</f>
        <v>R184</v>
      </c>
      <c r="AO139" t="b">
        <f t="shared" si="121"/>
        <v>0</v>
      </c>
      <c r="AP139" t="b">
        <f t="shared" si="122"/>
        <v>0</v>
      </c>
      <c r="AS139" t="str">
        <f>'Ashed teabags dry'!A137</f>
        <v>G266</v>
      </c>
      <c r="AT139" t="str">
        <f>'Ashed teabags dry'!A472</f>
        <v>R61</v>
      </c>
      <c r="AU139" t="b">
        <f t="shared" si="123"/>
        <v>0</v>
      </c>
      <c r="AV139" t="b">
        <f>COUNTIF($AT$4:$AT$2000, AT139)&gt;1</f>
        <v>0</v>
      </c>
      <c r="AX139" s="395" t="b">
        <f t="shared" si="124"/>
        <v>0</v>
      </c>
      <c r="AY139" s="395" t="b">
        <f t="shared" si="125"/>
        <v>0</v>
      </c>
      <c r="BA139" t="str">
        <f>'Ashed teabags wet'!A137</f>
        <v>G539</v>
      </c>
      <c r="BB139" t="str">
        <f>'Ashed teabags wet'!A557</f>
        <v>R311</v>
      </c>
      <c r="BC139" t="b">
        <f t="shared" si="126"/>
        <v>0</v>
      </c>
      <c r="BD139" t="b">
        <f t="shared" si="106"/>
        <v>0</v>
      </c>
      <c r="BF139" t="str">
        <f t="shared" si="127"/>
        <v>G265</v>
      </c>
      <c r="BG139" t="str">
        <f>T138</f>
        <v>G265</v>
      </c>
      <c r="BH139" t="str">
        <f t="shared" si="128"/>
        <v>G77</v>
      </c>
      <c r="BI139" t="str">
        <f t="shared" si="142"/>
        <v>G77</v>
      </c>
      <c r="BJ139" t="s">
        <v>1785</v>
      </c>
      <c r="BK139" t="s">
        <v>1785</v>
      </c>
      <c r="BL139" t="s">
        <v>1785</v>
      </c>
      <c r="BM139" t="b">
        <f t="shared" si="143"/>
        <v>1</v>
      </c>
      <c r="BN139" t="str">
        <f t="shared" si="129"/>
        <v>R609</v>
      </c>
      <c r="BO139" t="str">
        <f>U138</f>
        <v>R609</v>
      </c>
      <c r="BP139" t="str">
        <f t="shared" si="130"/>
        <v>R756</v>
      </c>
      <c r="BQ139" t="str">
        <f t="shared" si="131"/>
        <v>R756</v>
      </c>
      <c r="BR139" t="s">
        <v>530</v>
      </c>
      <c r="BS139" t="s">
        <v>1080</v>
      </c>
      <c r="BT139" t="s">
        <v>530</v>
      </c>
      <c r="BU139" t="b">
        <f t="shared" si="144"/>
        <v>1</v>
      </c>
      <c r="BZ139" t="str">
        <f t="shared" si="132"/>
        <v>G77</v>
      </c>
      <c r="CA139" t="b">
        <f t="shared" si="133"/>
        <v>0</v>
      </c>
      <c r="CB139" t="str">
        <f t="shared" si="145"/>
        <v>G77</v>
      </c>
      <c r="CC139" t="str">
        <f t="shared" si="134"/>
        <v>R756</v>
      </c>
      <c r="CD139" t="b">
        <f t="shared" si="146"/>
        <v>0</v>
      </c>
      <c r="CE139" t="str">
        <f t="shared" si="147"/>
        <v>R756</v>
      </c>
      <c r="CG139" t="str">
        <f t="shared" si="135"/>
        <v>G538</v>
      </c>
      <c r="CH139" t="str">
        <f t="shared" si="148"/>
        <v>G538</v>
      </c>
      <c r="CI139" t="str">
        <f>AE138</f>
        <v>G745</v>
      </c>
      <c r="CJ139" t="str">
        <f t="shared" si="136"/>
        <v>G745</v>
      </c>
      <c r="CK139" t="s">
        <v>1512</v>
      </c>
      <c r="CL139" t="s">
        <v>1512</v>
      </c>
      <c r="CM139" t="s">
        <v>1512</v>
      </c>
      <c r="CN139" t="b">
        <f t="shared" si="149"/>
        <v>1</v>
      </c>
      <c r="CO139" t="str">
        <f t="shared" si="137"/>
        <v>R31</v>
      </c>
      <c r="CP139" t="str">
        <f t="shared" si="150"/>
        <v>R31</v>
      </c>
      <c r="CQ139" t="str">
        <f>AF138</f>
        <v>R432</v>
      </c>
      <c r="CR139" t="str">
        <f t="shared" si="138"/>
        <v>R432</v>
      </c>
      <c r="CS139" t="s">
        <v>1110</v>
      </c>
      <c r="CT139" t="s">
        <v>1110</v>
      </c>
      <c r="CU139" t="s">
        <v>1110</v>
      </c>
      <c r="CV139" t="b">
        <f t="shared" si="151"/>
        <v>1</v>
      </c>
      <c r="DC139" t="str">
        <f t="shared" si="139"/>
        <v>G745</v>
      </c>
      <c r="DD139" t="b">
        <f t="shared" si="152"/>
        <v>0</v>
      </c>
      <c r="DE139" t="str">
        <f t="shared" si="153"/>
        <v>G745</v>
      </c>
      <c r="DF139" t="str">
        <f t="shared" si="140"/>
        <v>R432</v>
      </c>
      <c r="DG139" t="b">
        <f t="shared" si="154"/>
        <v>0</v>
      </c>
      <c r="DH139" t="str">
        <f t="shared" si="155"/>
        <v>R432</v>
      </c>
    </row>
    <row r="140" spans="2:112" ht="12" customHeight="1">
      <c r="B140" t="str">
        <f>TBIDry!H212</f>
        <v>G30</v>
      </c>
      <c r="C140" t="str">
        <f>TBIDry!I212</f>
        <v>R746</v>
      </c>
      <c r="D140" t="b">
        <f t="shared" si="107"/>
        <v>0</v>
      </c>
      <c r="E140" t="b">
        <f t="shared" si="108"/>
        <v>0</v>
      </c>
      <c r="G140" t="str">
        <f>TBIWet!H212</f>
        <v>G805</v>
      </c>
      <c r="H140" t="str">
        <f>TBIWet!I212</f>
        <v>R34</v>
      </c>
      <c r="I140" t="b">
        <f t="shared" si="109"/>
        <v>0</v>
      </c>
      <c r="J140" t="b">
        <f t="shared" si="110"/>
        <v>0</v>
      </c>
      <c r="L140" t="str">
        <f>'Both teabags AfterWet'!A138</f>
        <v>G540</v>
      </c>
      <c r="M140" t="str">
        <f>'Both teabags AfterWet'!A558</f>
        <v>R312</v>
      </c>
      <c r="N140" t="b">
        <f t="shared" si="111"/>
        <v>0</v>
      </c>
      <c r="O140" t="b">
        <f t="shared" si="156"/>
        <v>0</v>
      </c>
      <c r="Q140" s="395" t="b">
        <f t="shared" si="112"/>
        <v>0</v>
      </c>
      <c r="R140" s="395" t="b">
        <f t="shared" si="113"/>
        <v>0</v>
      </c>
      <c r="T140" t="str">
        <f>'Both teabags AfterDry'!A138</f>
        <v>G267</v>
      </c>
      <c r="U140" t="str">
        <f>'Both teabags AfterDry'!A473</f>
        <v>R610</v>
      </c>
      <c r="V140" t="b">
        <f t="shared" si="114"/>
        <v>0</v>
      </c>
      <c r="W140" t="b">
        <f t="shared" si="141"/>
        <v>0</v>
      </c>
      <c r="Y140" t="str">
        <f>'Green_rooibos initial weight'!A141</f>
        <v>G137</v>
      </c>
      <c r="Z140" t="str">
        <f>'Green_rooibos initial weight'!A1045</f>
        <v>R137</v>
      </c>
      <c r="AA140" t="b">
        <f t="shared" si="115"/>
        <v>0</v>
      </c>
      <c r="AB140" t="b">
        <f t="shared" si="116"/>
        <v>0</v>
      </c>
      <c r="AE140" t="str">
        <f>'WetLitterbags placem_collection'!K139</f>
        <v>G805</v>
      </c>
      <c r="AF140" t="str">
        <f>'WetLitterbags placem_collection'!M139</f>
        <v>R34</v>
      </c>
      <c r="AG140" t="b">
        <f t="shared" si="117"/>
        <v>0</v>
      </c>
      <c r="AH140" t="b">
        <f t="shared" si="118"/>
        <v>0</v>
      </c>
      <c r="AJ140" t="b">
        <f t="shared" si="119"/>
        <v>0</v>
      </c>
      <c r="AK140" t="b">
        <f t="shared" si="120"/>
        <v>0</v>
      </c>
      <c r="AM140" t="str">
        <f>IF(ISBLANK('Dry_Litterbag Placem_Collection'!J139),"","G"&amp;""&amp;'Dry_Litterbag Placem_Collection'!J139)</f>
        <v>G30</v>
      </c>
      <c r="AN140" t="str">
        <f>IF(ISBLANK('Dry_Litterbag Placem_Collection'!K139),"","R"&amp;""&amp;'Dry_Litterbag Placem_Collection'!K139)</f>
        <v>R746</v>
      </c>
      <c r="AO140" t="b">
        <f t="shared" si="121"/>
        <v>0</v>
      </c>
      <c r="AP140" t="b">
        <f t="shared" si="122"/>
        <v>0</v>
      </c>
      <c r="AS140" t="str">
        <f>'Ashed teabags dry'!A138</f>
        <v>G267</v>
      </c>
      <c r="AT140" t="str">
        <f>'Ashed teabags dry'!A473</f>
        <v>R610</v>
      </c>
      <c r="AU140" t="b">
        <f t="shared" si="123"/>
        <v>0</v>
      </c>
      <c r="AV140" t="b">
        <f>COUNTIF($AT$4:$AT$2000, AT140)&gt;1</f>
        <v>0</v>
      </c>
      <c r="AX140" s="395" t="b">
        <f t="shared" si="124"/>
        <v>0</v>
      </c>
      <c r="AY140" s="395" t="b">
        <f t="shared" si="125"/>
        <v>0</v>
      </c>
      <c r="BA140" t="str">
        <f>'Ashed teabags wet'!A138</f>
        <v>G540</v>
      </c>
      <c r="BB140" t="str">
        <f>'Ashed teabags wet'!A558</f>
        <v>R312</v>
      </c>
      <c r="BC140" t="b">
        <f t="shared" si="126"/>
        <v>0</v>
      </c>
      <c r="BD140" t="b">
        <f t="shared" si="106"/>
        <v>0</v>
      </c>
      <c r="BF140" t="str">
        <f t="shared" si="127"/>
        <v>G266</v>
      </c>
      <c r="BG140" t="str">
        <f>T139</f>
        <v>G266</v>
      </c>
      <c r="BH140" t="str">
        <f t="shared" si="128"/>
        <v>G332</v>
      </c>
      <c r="BI140" t="str">
        <f t="shared" si="142"/>
        <v>G332</v>
      </c>
      <c r="BJ140" t="s">
        <v>1784</v>
      </c>
      <c r="BK140" t="s">
        <v>1784</v>
      </c>
      <c r="BL140" t="s">
        <v>1784</v>
      </c>
      <c r="BM140" t="b">
        <f t="shared" si="143"/>
        <v>1</v>
      </c>
      <c r="BN140" t="str">
        <f t="shared" si="129"/>
        <v>R61</v>
      </c>
      <c r="BO140" t="str">
        <f>U139</f>
        <v>R61</v>
      </c>
      <c r="BP140" t="str">
        <f t="shared" si="130"/>
        <v>R184</v>
      </c>
      <c r="BQ140" t="str">
        <f t="shared" si="131"/>
        <v>R184</v>
      </c>
      <c r="BR140" t="s">
        <v>1080</v>
      </c>
      <c r="BS140" t="s">
        <v>529</v>
      </c>
      <c r="BT140" t="s">
        <v>1080</v>
      </c>
      <c r="BU140" t="b">
        <f t="shared" si="144"/>
        <v>1</v>
      </c>
      <c r="BZ140" t="str">
        <f t="shared" si="132"/>
        <v>G332</v>
      </c>
      <c r="CA140" t="b">
        <f t="shared" si="133"/>
        <v>0</v>
      </c>
      <c r="CB140" t="str">
        <f t="shared" si="145"/>
        <v>G332</v>
      </c>
      <c r="CC140" t="str">
        <f t="shared" si="134"/>
        <v>R184</v>
      </c>
      <c r="CD140" t="b">
        <f t="shared" si="146"/>
        <v>0</v>
      </c>
      <c r="CE140" t="str">
        <f t="shared" si="147"/>
        <v>R184</v>
      </c>
      <c r="CG140" t="str">
        <f t="shared" si="135"/>
        <v>G539</v>
      </c>
      <c r="CH140" t="str">
        <f t="shared" si="148"/>
        <v>G539</v>
      </c>
      <c r="CI140" t="str">
        <f>AE139</f>
        <v>G832</v>
      </c>
      <c r="CJ140" t="str">
        <f t="shared" si="136"/>
        <v>G832</v>
      </c>
      <c r="CK140" t="s">
        <v>1511</v>
      </c>
      <c r="CL140" t="s">
        <v>1511</v>
      </c>
      <c r="CM140" t="s">
        <v>1511</v>
      </c>
      <c r="CN140" t="b">
        <f t="shared" si="149"/>
        <v>1</v>
      </c>
      <c r="CO140" t="str">
        <f t="shared" si="137"/>
        <v>R311</v>
      </c>
      <c r="CP140" t="str">
        <f t="shared" si="150"/>
        <v>R311</v>
      </c>
      <c r="CQ140" t="str">
        <f>AF139</f>
        <v>R474</v>
      </c>
      <c r="CR140" t="str">
        <f t="shared" si="138"/>
        <v>R474</v>
      </c>
      <c r="CS140" t="s">
        <v>830</v>
      </c>
      <c r="CT140" t="s">
        <v>830</v>
      </c>
      <c r="CU140" t="s">
        <v>830</v>
      </c>
      <c r="CV140" t="b">
        <f t="shared" si="151"/>
        <v>1</v>
      </c>
      <c r="DC140" t="str">
        <f t="shared" si="139"/>
        <v>G832</v>
      </c>
      <c r="DD140" t="b">
        <f t="shared" si="152"/>
        <v>0</v>
      </c>
      <c r="DE140" t="str">
        <f t="shared" si="153"/>
        <v>G832</v>
      </c>
      <c r="DF140" t="str">
        <f t="shared" si="140"/>
        <v>R474</v>
      </c>
      <c r="DG140" t="b">
        <f t="shared" si="154"/>
        <v>0</v>
      </c>
      <c r="DH140" t="str">
        <f t="shared" si="155"/>
        <v>R474</v>
      </c>
    </row>
    <row r="141" spans="2:112" ht="12" customHeight="1">
      <c r="B141" t="str">
        <f>TBIDry!H213</f>
        <v>G213</v>
      </c>
      <c r="C141" t="str">
        <f>TBIDry!I213</f>
        <v>R821</v>
      </c>
      <c r="D141" t="b">
        <f t="shared" si="107"/>
        <v>0</v>
      </c>
      <c r="E141" t="b">
        <f t="shared" si="108"/>
        <v>0</v>
      </c>
      <c r="G141" t="str">
        <f>TBIWet!H213</f>
        <v>G815</v>
      </c>
      <c r="H141" t="str">
        <f>TBIWet!I213</f>
        <v>R426</v>
      </c>
      <c r="I141" t="b">
        <f t="shared" si="109"/>
        <v>0</v>
      </c>
      <c r="J141" t="b">
        <f t="shared" si="110"/>
        <v>0</v>
      </c>
      <c r="L141" t="str">
        <f>'Both teabags AfterWet'!A139</f>
        <v>G541</v>
      </c>
      <c r="M141" t="str">
        <f>'Both teabags AfterWet'!A559</f>
        <v>R315</v>
      </c>
      <c r="N141" t="b">
        <f t="shared" si="111"/>
        <v>0</v>
      </c>
      <c r="O141" t="b">
        <f t="shared" si="156"/>
        <v>0</v>
      </c>
      <c r="Q141" s="395" t="b">
        <f t="shared" si="112"/>
        <v>0</v>
      </c>
      <c r="R141" s="395" t="b">
        <f t="shared" si="113"/>
        <v>0</v>
      </c>
      <c r="T141" t="str">
        <f>'Both teabags AfterDry'!A139</f>
        <v>G268</v>
      </c>
      <c r="U141" t="str">
        <f>'Both teabags AfterDry'!A474</f>
        <v>R611</v>
      </c>
      <c r="V141" t="b">
        <f t="shared" si="114"/>
        <v>0</v>
      </c>
      <c r="W141" t="b">
        <f t="shared" si="141"/>
        <v>0</v>
      </c>
      <c r="Y141" t="str">
        <f>'Green_rooibos initial weight'!A142</f>
        <v>G138</v>
      </c>
      <c r="Z141" t="str">
        <f>'Green_rooibos initial weight'!A1046</f>
        <v>R138</v>
      </c>
      <c r="AA141" t="b">
        <f t="shared" si="115"/>
        <v>0</v>
      </c>
      <c r="AB141" t="b">
        <f t="shared" si="116"/>
        <v>0</v>
      </c>
      <c r="AE141" t="str">
        <f>'WetLitterbags placem_collection'!K140</f>
        <v>G815</v>
      </c>
      <c r="AF141" t="str">
        <f>'WetLitterbags placem_collection'!M140</f>
        <v>R426</v>
      </c>
      <c r="AG141" t="b">
        <f t="shared" si="117"/>
        <v>0</v>
      </c>
      <c r="AH141" t="b">
        <f t="shared" si="118"/>
        <v>0</v>
      </c>
      <c r="AJ141" t="b">
        <f t="shared" si="119"/>
        <v>0</v>
      </c>
      <c r="AK141" t="b">
        <f t="shared" si="120"/>
        <v>0</v>
      </c>
      <c r="AM141" t="str">
        <f>IF(ISBLANK('Dry_Litterbag Placem_Collection'!J140),"","G"&amp;""&amp;'Dry_Litterbag Placem_Collection'!J140)</f>
        <v>G213</v>
      </c>
      <c r="AN141" t="str">
        <f>IF(ISBLANK('Dry_Litterbag Placem_Collection'!K140),"","R"&amp;""&amp;'Dry_Litterbag Placem_Collection'!K140)</f>
        <v>R821</v>
      </c>
      <c r="AO141" t="b">
        <f t="shared" si="121"/>
        <v>0</v>
      </c>
      <c r="AP141" t="b">
        <f t="shared" si="122"/>
        <v>0</v>
      </c>
      <c r="AS141" t="str">
        <f>'Ashed teabags dry'!A139</f>
        <v>G268</v>
      </c>
      <c r="AT141" t="str">
        <f>'Ashed teabags dry'!A474</f>
        <v>R611</v>
      </c>
      <c r="AU141" t="b">
        <f t="shared" si="123"/>
        <v>0</v>
      </c>
      <c r="AV141" t="b">
        <f>COUNTIF($AT$4:$AT$2000, AT141)&gt;1</f>
        <v>0</v>
      </c>
      <c r="AX141" s="395" t="b">
        <f t="shared" si="124"/>
        <v>0</v>
      </c>
      <c r="AY141" s="395" t="b">
        <f t="shared" si="125"/>
        <v>0</v>
      </c>
      <c r="BA141" t="str">
        <f>'Ashed teabags wet'!A139</f>
        <v>G541</v>
      </c>
      <c r="BB141" t="str">
        <f>'Ashed teabags wet'!A559</f>
        <v>R315</v>
      </c>
      <c r="BC141" t="b">
        <f t="shared" si="126"/>
        <v>0</v>
      </c>
      <c r="BD141" t="b">
        <f t="shared" si="106"/>
        <v>0</v>
      </c>
      <c r="BF141" t="str">
        <f t="shared" si="127"/>
        <v>G267</v>
      </c>
      <c r="BG141" t="str">
        <f>T140</f>
        <v>G267</v>
      </c>
      <c r="BH141" t="str">
        <f t="shared" si="128"/>
        <v>G30</v>
      </c>
      <c r="BI141" t="str">
        <f t="shared" si="142"/>
        <v>G30</v>
      </c>
      <c r="BJ141" t="s">
        <v>1783</v>
      </c>
      <c r="BK141" t="s">
        <v>1783</v>
      </c>
      <c r="BL141" t="s">
        <v>1783</v>
      </c>
      <c r="BM141" t="b">
        <f t="shared" si="143"/>
        <v>1</v>
      </c>
      <c r="BN141" t="str">
        <f t="shared" si="129"/>
        <v>R610</v>
      </c>
      <c r="BO141" t="str">
        <f>U140</f>
        <v>R610</v>
      </c>
      <c r="BP141" t="str">
        <f t="shared" si="130"/>
        <v>R746</v>
      </c>
      <c r="BQ141" t="str">
        <f t="shared" si="131"/>
        <v>R746</v>
      </c>
      <c r="BR141" t="s">
        <v>529</v>
      </c>
      <c r="BS141" t="s">
        <v>528</v>
      </c>
      <c r="BT141" t="s">
        <v>529</v>
      </c>
      <c r="BU141" t="b">
        <f t="shared" si="144"/>
        <v>1</v>
      </c>
      <c r="BZ141" t="str">
        <f t="shared" si="132"/>
        <v>G30</v>
      </c>
      <c r="CA141" t="b">
        <f t="shared" si="133"/>
        <v>0</v>
      </c>
      <c r="CB141" t="str">
        <f t="shared" si="145"/>
        <v>G30</v>
      </c>
      <c r="CC141" t="str">
        <f t="shared" si="134"/>
        <v>R746</v>
      </c>
      <c r="CD141" t="b">
        <f t="shared" si="146"/>
        <v>0</v>
      </c>
      <c r="CE141" t="str">
        <f t="shared" si="147"/>
        <v>R746</v>
      </c>
      <c r="CG141" t="str">
        <f t="shared" si="135"/>
        <v>G540</v>
      </c>
      <c r="CH141" t="str">
        <f t="shared" si="148"/>
        <v>G540</v>
      </c>
      <c r="CI141" t="str">
        <f>AE140</f>
        <v>G805</v>
      </c>
      <c r="CJ141" t="str">
        <f t="shared" si="136"/>
        <v>G805</v>
      </c>
      <c r="CK141" t="s">
        <v>1510</v>
      </c>
      <c r="CL141" t="s">
        <v>1510</v>
      </c>
      <c r="CM141" t="s">
        <v>1510</v>
      </c>
      <c r="CN141" t="b">
        <f t="shared" si="149"/>
        <v>1</v>
      </c>
      <c r="CO141" t="str">
        <f t="shared" si="137"/>
        <v>R312</v>
      </c>
      <c r="CP141" t="str">
        <f t="shared" si="150"/>
        <v>R312</v>
      </c>
      <c r="CQ141" t="str">
        <f>AF140</f>
        <v>R34</v>
      </c>
      <c r="CR141" t="str">
        <f t="shared" si="138"/>
        <v>R34</v>
      </c>
      <c r="CS141" t="s">
        <v>829</v>
      </c>
      <c r="CT141" t="s">
        <v>829</v>
      </c>
      <c r="CU141" t="s">
        <v>829</v>
      </c>
      <c r="CV141" t="b">
        <f t="shared" si="151"/>
        <v>1</v>
      </c>
      <c r="DC141" t="str">
        <f t="shared" si="139"/>
        <v>G805</v>
      </c>
      <c r="DD141" t="b">
        <f t="shared" si="152"/>
        <v>0</v>
      </c>
      <c r="DE141" t="str">
        <f t="shared" si="153"/>
        <v>G805</v>
      </c>
      <c r="DF141" t="str">
        <f t="shared" si="140"/>
        <v>R34</v>
      </c>
      <c r="DG141" t="b">
        <f t="shared" si="154"/>
        <v>0</v>
      </c>
      <c r="DH141" t="str">
        <f t="shared" si="155"/>
        <v>R34</v>
      </c>
    </row>
    <row r="142" spans="2:112" ht="12" customHeight="1">
      <c r="B142" t="str">
        <f>TBIDry!H214</f>
        <v>G17</v>
      </c>
      <c r="C142" t="str">
        <f>TBIDry!I214</f>
        <v>R813</v>
      </c>
      <c r="D142" s="113" t="b">
        <f t="shared" si="107"/>
        <v>0</v>
      </c>
      <c r="E142" t="b">
        <f t="shared" si="108"/>
        <v>0</v>
      </c>
      <c r="G142" t="str">
        <f>TBIWet!H214</f>
        <v>G798</v>
      </c>
      <c r="H142" t="str">
        <f>TBIWet!I214</f>
        <v>R563</v>
      </c>
      <c r="I142" t="b">
        <f t="shared" si="109"/>
        <v>0</v>
      </c>
      <c r="J142" t="b">
        <f t="shared" si="110"/>
        <v>0</v>
      </c>
      <c r="L142" t="str">
        <f>'Both teabags AfterWet'!A140</f>
        <v>G542</v>
      </c>
      <c r="M142" t="str">
        <f>'Both teabags AfterWet'!A560</f>
        <v>R317</v>
      </c>
      <c r="N142" t="b">
        <f t="shared" si="111"/>
        <v>0</v>
      </c>
      <c r="O142" t="b">
        <f t="shared" si="156"/>
        <v>0</v>
      </c>
      <c r="Q142" s="395" t="b">
        <f t="shared" si="112"/>
        <v>0</v>
      </c>
      <c r="R142" s="395" t="b">
        <f t="shared" si="113"/>
        <v>0</v>
      </c>
      <c r="T142" t="str">
        <f>'Both teabags AfterDry'!A140</f>
        <v>G27</v>
      </c>
      <c r="U142" t="str">
        <f>'Both teabags AfterDry'!A475</f>
        <v>R612</v>
      </c>
      <c r="V142" t="b">
        <f t="shared" si="114"/>
        <v>0</v>
      </c>
      <c r="W142" t="b">
        <f t="shared" si="141"/>
        <v>0</v>
      </c>
      <c r="Y142" t="str">
        <f>'Green_rooibos initial weight'!A143</f>
        <v>G139</v>
      </c>
      <c r="Z142" t="str">
        <f>'Green_rooibos initial weight'!A1047</f>
        <v>R139</v>
      </c>
      <c r="AA142" t="b">
        <f t="shared" si="115"/>
        <v>0</v>
      </c>
      <c r="AB142" t="b">
        <f t="shared" si="116"/>
        <v>0</v>
      </c>
      <c r="AE142" t="str">
        <f>'WetLitterbags placem_collection'!K141</f>
        <v>G798</v>
      </c>
      <c r="AF142" t="str">
        <f>'WetLitterbags placem_collection'!M141</f>
        <v>R563</v>
      </c>
      <c r="AG142" t="b">
        <f t="shared" si="117"/>
        <v>0</v>
      </c>
      <c r="AH142" t="b">
        <f t="shared" si="118"/>
        <v>0</v>
      </c>
      <c r="AJ142" t="b">
        <f t="shared" si="119"/>
        <v>0</v>
      </c>
      <c r="AK142" t="b">
        <f t="shared" si="120"/>
        <v>0</v>
      </c>
      <c r="AM142" t="str">
        <f>IF(ISBLANK('Dry_Litterbag Placem_Collection'!J141),"","G"&amp;""&amp;'Dry_Litterbag Placem_Collection'!J141)</f>
        <v>G17</v>
      </c>
      <c r="AN142" t="str">
        <f>IF(ISBLANK('Dry_Litterbag Placem_Collection'!K141),"","R"&amp;""&amp;'Dry_Litterbag Placem_Collection'!K141)</f>
        <v>R813</v>
      </c>
      <c r="AO142" t="b">
        <f t="shared" si="121"/>
        <v>0</v>
      </c>
      <c r="AP142" t="b">
        <f t="shared" si="122"/>
        <v>0</v>
      </c>
      <c r="AS142" t="str">
        <f>'Ashed teabags dry'!A140</f>
        <v>G27</v>
      </c>
      <c r="AT142" t="str">
        <f>'Ashed teabags dry'!A475</f>
        <v>R612</v>
      </c>
      <c r="AU142" t="b">
        <f t="shared" si="123"/>
        <v>0</v>
      </c>
      <c r="AV142" t="b">
        <f>COUNTIF($AT$4:$AT$2000, AT142)&gt;1</f>
        <v>0</v>
      </c>
      <c r="AX142" s="395" t="b">
        <f t="shared" si="124"/>
        <v>0</v>
      </c>
      <c r="AY142" s="395" t="b">
        <f t="shared" si="125"/>
        <v>0</v>
      </c>
      <c r="BA142" t="str">
        <f>'Ashed teabags wet'!A140</f>
        <v>G542</v>
      </c>
      <c r="BB142" t="str">
        <f>'Ashed teabags wet'!A560</f>
        <v>R317</v>
      </c>
      <c r="BC142" t="b">
        <f t="shared" si="126"/>
        <v>0</v>
      </c>
      <c r="BD142" t="b">
        <f t="shared" si="106"/>
        <v>0</v>
      </c>
      <c r="BF142" t="str">
        <f t="shared" si="127"/>
        <v>G268</v>
      </c>
      <c r="BG142" t="str">
        <f>T141</f>
        <v>G268</v>
      </c>
      <c r="BH142" t="str">
        <f t="shared" si="128"/>
        <v>G213</v>
      </c>
      <c r="BI142" t="str">
        <f t="shared" si="142"/>
        <v>G213</v>
      </c>
      <c r="BJ142" t="s">
        <v>1782</v>
      </c>
      <c r="BK142" t="s">
        <v>1782</v>
      </c>
      <c r="BL142" t="s">
        <v>1782</v>
      </c>
      <c r="BM142" t="b">
        <f t="shared" si="143"/>
        <v>1</v>
      </c>
      <c r="BN142" t="str">
        <f t="shared" si="129"/>
        <v>R611</v>
      </c>
      <c r="BO142" t="str">
        <f>U141</f>
        <v>R611</v>
      </c>
      <c r="BP142" t="str">
        <f t="shared" si="130"/>
        <v>R821</v>
      </c>
      <c r="BQ142" t="str">
        <f t="shared" si="131"/>
        <v>R821</v>
      </c>
      <c r="BR142" t="s">
        <v>528</v>
      </c>
      <c r="BS142" t="s">
        <v>527</v>
      </c>
      <c r="BT142" t="s">
        <v>528</v>
      </c>
      <c r="BU142" t="b">
        <f t="shared" si="144"/>
        <v>1</v>
      </c>
      <c r="BZ142" t="str">
        <f t="shared" si="132"/>
        <v>G213</v>
      </c>
      <c r="CA142" t="b">
        <f t="shared" si="133"/>
        <v>0</v>
      </c>
      <c r="CB142" t="str">
        <f t="shared" si="145"/>
        <v>G213</v>
      </c>
      <c r="CC142" t="str">
        <f t="shared" si="134"/>
        <v>R821</v>
      </c>
      <c r="CD142" t="b">
        <f t="shared" si="146"/>
        <v>0</v>
      </c>
      <c r="CE142" t="str">
        <f t="shared" si="147"/>
        <v>R821</v>
      </c>
      <c r="CG142" t="str">
        <f t="shared" si="135"/>
        <v>G541</v>
      </c>
      <c r="CH142" t="str">
        <f t="shared" si="148"/>
        <v>G541</v>
      </c>
      <c r="CI142" t="str">
        <f>AE141</f>
        <v>G815</v>
      </c>
      <c r="CJ142" t="str">
        <f t="shared" si="136"/>
        <v>G815</v>
      </c>
      <c r="CK142" t="s">
        <v>1509</v>
      </c>
      <c r="CL142" t="s">
        <v>1509</v>
      </c>
      <c r="CM142" t="s">
        <v>1509</v>
      </c>
      <c r="CN142" t="b">
        <f t="shared" si="149"/>
        <v>1</v>
      </c>
      <c r="CO142" t="str">
        <f t="shared" si="137"/>
        <v>R315</v>
      </c>
      <c r="CP142" t="str">
        <f t="shared" si="150"/>
        <v>R315</v>
      </c>
      <c r="CQ142" t="str">
        <f>AF141</f>
        <v>R426</v>
      </c>
      <c r="CR142" t="str">
        <f t="shared" si="138"/>
        <v>R426</v>
      </c>
      <c r="CS142" t="s">
        <v>826</v>
      </c>
      <c r="CT142" t="s">
        <v>826</v>
      </c>
      <c r="CU142" t="s">
        <v>826</v>
      </c>
      <c r="CV142" t="b">
        <f t="shared" si="151"/>
        <v>1</v>
      </c>
      <c r="DC142" t="str">
        <f t="shared" si="139"/>
        <v>G815</v>
      </c>
      <c r="DD142" t="b">
        <f t="shared" si="152"/>
        <v>0</v>
      </c>
      <c r="DE142" t="str">
        <f t="shared" si="153"/>
        <v>G815</v>
      </c>
      <c r="DF142" t="str">
        <f t="shared" si="140"/>
        <v>R426</v>
      </c>
      <c r="DG142" t="b">
        <f t="shared" si="154"/>
        <v>0</v>
      </c>
      <c r="DH142" t="str">
        <f t="shared" si="155"/>
        <v>R426</v>
      </c>
    </row>
    <row r="143" spans="2:112" ht="12" customHeight="1">
      <c r="B143" t="str">
        <f>TBIDry!H215</f>
        <v>G401</v>
      </c>
      <c r="C143" t="str">
        <f>TBIDry!I215</f>
        <v>R729</v>
      </c>
      <c r="D143" t="b">
        <f t="shared" si="107"/>
        <v>0</v>
      </c>
      <c r="E143" t="b">
        <f t="shared" si="108"/>
        <v>0</v>
      </c>
      <c r="G143" t="str">
        <f>TBIWet!H215</f>
        <v>G787</v>
      </c>
      <c r="H143" t="str">
        <f>TBIWet!I215</f>
        <v>R535</v>
      </c>
      <c r="I143" t="b">
        <f t="shared" si="109"/>
        <v>0</v>
      </c>
      <c r="J143" t="b">
        <f t="shared" si="110"/>
        <v>0</v>
      </c>
      <c r="L143" t="str">
        <f>'Both teabags AfterWet'!A141</f>
        <v>G543</v>
      </c>
      <c r="M143" t="str">
        <f>'Both teabags AfterWet'!A561</f>
        <v>R318</v>
      </c>
      <c r="N143" t="b">
        <f t="shared" si="111"/>
        <v>0</v>
      </c>
      <c r="O143" t="b">
        <f t="shared" si="156"/>
        <v>0</v>
      </c>
      <c r="Q143" s="395" t="b">
        <f t="shared" si="112"/>
        <v>0</v>
      </c>
      <c r="R143" s="395" t="b">
        <f t="shared" si="113"/>
        <v>0</v>
      </c>
      <c r="T143" t="str">
        <f>'Both teabags AfterDry'!A141</f>
        <v>G273</v>
      </c>
      <c r="U143" t="str">
        <f>'Both teabags AfterDry'!A476</f>
        <v>R613</v>
      </c>
      <c r="V143" t="b">
        <f t="shared" si="114"/>
        <v>0</v>
      </c>
      <c r="W143" t="b">
        <f t="shared" si="141"/>
        <v>0</v>
      </c>
      <c r="Y143" t="str">
        <f>'Green_rooibos initial weight'!A144</f>
        <v>G140</v>
      </c>
      <c r="Z143" t="str">
        <f>'Green_rooibos initial weight'!A1048</f>
        <v>R140</v>
      </c>
      <c r="AA143" t="b">
        <f t="shared" si="115"/>
        <v>0</v>
      </c>
      <c r="AB143" t="b">
        <f t="shared" si="116"/>
        <v>0</v>
      </c>
      <c r="AE143" t="str">
        <f>'WetLitterbags placem_collection'!K142</f>
        <v>G787</v>
      </c>
      <c r="AF143" t="str">
        <f>'WetLitterbags placem_collection'!M142</f>
        <v>R535</v>
      </c>
      <c r="AG143" t="b">
        <f t="shared" si="117"/>
        <v>0</v>
      </c>
      <c r="AH143" t="b">
        <f t="shared" si="118"/>
        <v>0</v>
      </c>
      <c r="AJ143" t="b">
        <f t="shared" si="119"/>
        <v>0</v>
      </c>
      <c r="AK143" t="b">
        <f t="shared" si="120"/>
        <v>0</v>
      </c>
      <c r="AM143" t="str">
        <f>IF(ISBLANK('Dry_Litterbag Placem_Collection'!J142),"","G"&amp;""&amp;'Dry_Litterbag Placem_Collection'!J142)</f>
        <v>G401</v>
      </c>
      <c r="AN143" t="str">
        <f>IF(ISBLANK('Dry_Litterbag Placem_Collection'!K142),"","R"&amp;""&amp;'Dry_Litterbag Placem_Collection'!K142)</f>
        <v>R729</v>
      </c>
      <c r="AO143" t="b">
        <f t="shared" si="121"/>
        <v>0</v>
      </c>
      <c r="AP143" t="b">
        <f t="shared" si="122"/>
        <v>0</v>
      </c>
      <c r="AS143" t="str">
        <f>'Ashed teabags dry'!A141</f>
        <v>G273</v>
      </c>
      <c r="AT143" t="str">
        <f>'Ashed teabags dry'!A476</f>
        <v>R613</v>
      </c>
      <c r="AU143" t="b">
        <f t="shared" si="123"/>
        <v>0</v>
      </c>
      <c r="AV143" t="b">
        <f>COUNTIF($AT$4:$AT$2000, AT143)&gt;1</f>
        <v>0</v>
      </c>
      <c r="AX143" s="395" t="b">
        <f t="shared" si="124"/>
        <v>0</v>
      </c>
      <c r="AY143" s="395" t="b">
        <f t="shared" si="125"/>
        <v>0</v>
      </c>
      <c r="BA143" t="str">
        <f>'Ashed teabags wet'!A141</f>
        <v>G543</v>
      </c>
      <c r="BB143" t="str">
        <f>'Ashed teabags wet'!A561</f>
        <v>R318</v>
      </c>
      <c r="BC143" t="b">
        <f t="shared" si="126"/>
        <v>0</v>
      </c>
      <c r="BD143" t="b">
        <f t="shared" si="106"/>
        <v>0</v>
      </c>
      <c r="BF143" t="str">
        <f t="shared" si="127"/>
        <v>G27</v>
      </c>
      <c r="BG143" t="str">
        <f>T142</f>
        <v>G27</v>
      </c>
      <c r="BH143" t="str">
        <f t="shared" si="128"/>
        <v>G17</v>
      </c>
      <c r="BI143" t="str">
        <f t="shared" si="142"/>
        <v>G17</v>
      </c>
      <c r="BJ143" t="s">
        <v>2023</v>
      </c>
      <c r="BK143" t="s">
        <v>2023</v>
      </c>
      <c r="BL143" t="s">
        <v>2023</v>
      </c>
      <c r="BM143" t="b">
        <f t="shared" si="143"/>
        <v>1</v>
      </c>
      <c r="BN143" t="str">
        <f t="shared" si="129"/>
        <v>R612</v>
      </c>
      <c r="BO143" t="str">
        <f>U142</f>
        <v>R612</v>
      </c>
      <c r="BP143" t="str">
        <f t="shared" si="130"/>
        <v>R813</v>
      </c>
      <c r="BQ143" t="str">
        <f t="shared" si="131"/>
        <v>R813</v>
      </c>
      <c r="BR143" t="s">
        <v>527</v>
      </c>
      <c r="BS143" t="s">
        <v>526</v>
      </c>
      <c r="BT143" t="s">
        <v>527</v>
      </c>
      <c r="BU143" t="b">
        <f t="shared" si="144"/>
        <v>1</v>
      </c>
      <c r="BZ143" t="str">
        <f t="shared" si="132"/>
        <v>G17</v>
      </c>
      <c r="CA143" t="b">
        <f t="shared" si="133"/>
        <v>0</v>
      </c>
      <c r="CB143" t="str">
        <f t="shared" si="145"/>
        <v>G17</v>
      </c>
      <c r="CC143" t="str">
        <f t="shared" si="134"/>
        <v>R813</v>
      </c>
      <c r="CD143" t="b">
        <f t="shared" si="146"/>
        <v>0</v>
      </c>
      <c r="CE143" t="str">
        <f t="shared" si="147"/>
        <v>R813</v>
      </c>
      <c r="CG143" t="str">
        <f t="shared" si="135"/>
        <v>G542</v>
      </c>
      <c r="CH143" t="str">
        <f t="shared" si="148"/>
        <v>G542</v>
      </c>
      <c r="CI143" t="str">
        <f>AE142</f>
        <v>G798</v>
      </c>
      <c r="CJ143" t="str">
        <f t="shared" si="136"/>
        <v>G798</v>
      </c>
      <c r="CK143" t="s">
        <v>1508</v>
      </c>
      <c r="CL143" t="s">
        <v>1508</v>
      </c>
      <c r="CM143" t="s">
        <v>1508</v>
      </c>
      <c r="CN143" t="b">
        <f t="shared" si="149"/>
        <v>1</v>
      </c>
      <c r="CO143" t="str">
        <f t="shared" si="137"/>
        <v>R317</v>
      </c>
      <c r="CP143" t="str">
        <f t="shared" si="150"/>
        <v>R317</v>
      </c>
      <c r="CQ143" t="str">
        <f>AF142</f>
        <v>R563</v>
      </c>
      <c r="CR143" t="str">
        <f t="shared" si="138"/>
        <v>R563</v>
      </c>
      <c r="CS143" t="s">
        <v>824</v>
      </c>
      <c r="CT143" t="s">
        <v>824</v>
      </c>
      <c r="CU143" t="s">
        <v>824</v>
      </c>
      <c r="CV143" t="b">
        <f t="shared" si="151"/>
        <v>1</v>
      </c>
      <c r="DC143" t="str">
        <f t="shared" si="139"/>
        <v>G798</v>
      </c>
      <c r="DD143" t="b">
        <f t="shared" si="152"/>
        <v>0</v>
      </c>
      <c r="DE143" t="str">
        <f t="shared" si="153"/>
        <v>G798</v>
      </c>
      <c r="DF143" t="str">
        <f t="shared" si="140"/>
        <v>R563</v>
      </c>
      <c r="DG143" t="b">
        <f t="shared" si="154"/>
        <v>0</v>
      </c>
      <c r="DH143" t="str">
        <f t="shared" si="155"/>
        <v>R563</v>
      </c>
    </row>
    <row r="144" spans="2:112" ht="12" customHeight="1">
      <c r="B144" t="str">
        <f>TBIDry!H216</f>
        <v/>
      </c>
      <c r="C144" t="str">
        <f>TBIDry!I216</f>
        <v/>
      </c>
      <c r="D144" t="b">
        <f t="shared" si="107"/>
        <v>1</v>
      </c>
      <c r="E144" t="b">
        <f t="shared" si="108"/>
        <v>1</v>
      </c>
      <c r="G144" t="str">
        <f>TBIWet!H216</f>
        <v>G900</v>
      </c>
      <c r="H144" t="str">
        <f>TBIWet!I216</f>
        <v>R581</v>
      </c>
      <c r="I144" t="b">
        <f t="shared" si="109"/>
        <v>0</v>
      </c>
      <c r="J144" t="b">
        <f t="shared" si="110"/>
        <v>0</v>
      </c>
      <c r="L144" t="str">
        <f>'Both teabags AfterWet'!A142</f>
        <v>G544</v>
      </c>
      <c r="M144" t="str">
        <f>'Both teabags AfterWet'!A562</f>
        <v>R319</v>
      </c>
      <c r="N144" t="b">
        <f t="shared" si="111"/>
        <v>0</v>
      </c>
      <c r="O144" t="b">
        <f t="shared" si="156"/>
        <v>0</v>
      </c>
      <c r="Q144" s="395" t="b">
        <f t="shared" si="112"/>
        <v>0</v>
      </c>
      <c r="R144" s="395" t="b">
        <f t="shared" si="113"/>
        <v>0</v>
      </c>
      <c r="T144" t="str">
        <f>'Both teabags AfterDry'!A142</f>
        <v>G274</v>
      </c>
      <c r="U144" t="str">
        <f>'Both teabags AfterDry'!A477</f>
        <v>R614</v>
      </c>
      <c r="V144" t="b">
        <f t="shared" si="114"/>
        <v>0</v>
      </c>
      <c r="W144" t="b">
        <f t="shared" si="141"/>
        <v>0</v>
      </c>
      <c r="Y144" t="str">
        <f>'Green_rooibos initial weight'!A145</f>
        <v>G141</v>
      </c>
      <c r="Z144" t="str">
        <f>'Green_rooibos initial weight'!A1049</f>
        <v>R141</v>
      </c>
      <c r="AA144" t="b">
        <f t="shared" si="115"/>
        <v>0</v>
      </c>
      <c r="AB144" t="b">
        <f t="shared" si="116"/>
        <v>0</v>
      </c>
      <c r="AE144" t="str">
        <f>'WetLitterbags placem_collection'!K143</f>
        <v>G900</v>
      </c>
      <c r="AF144" t="str">
        <f>'WetLitterbags placem_collection'!M143</f>
        <v>R581</v>
      </c>
      <c r="AG144" t="b">
        <f t="shared" si="117"/>
        <v>0</v>
      </c>
      <c r="AH144" t="b">
        <f t="shared" si="118"/>
        <v>0</v>
      </c>
      <c r="AJ144" t="b">
        <f t="shared" si="119"/>
        <v>0</v>
      </c>
      <c r="AK144" t="b">
        <f t="shared" si="120"/>
        <v>0</v>
      </c>
      <c r="AM144" t="str">
        <f>IF(ISBLANK('Dry_Litterbag Placem_Collection'!J143),"","G"&amp;""&amp;'Dry_Litterbag Placem_Collection'!J143)</f>
        <v/>
      </c>
      <c r="AN144" t="str">
        <f>IF(ISBLANK('Dry_Litterbag Placem_Collection'!K143),"","R"&amp;""&amp;'Dry_Litterbag Placem_Collection'!K143)</f>
        <v/>
      </c>
      <c r="AO144" t="b">
        <f t="shared" si="121"/>
        <v>1</v>
      </c>
      <c r="AP144" t="b">
        <f t="shared" si="122"/>
        <v>1</v>
      </c>
      <c r="AS144" t="str">
        <f>'Ashed teabags dry'!A142</f>
        <v>G274</v>
      </c>
      <c r="AT144" t="str">
        <f>'Ashed teabags dry'!A477</f>
        <v>R614</v>
      </c>
      <c r="AU144" t="b">
        <f t="shared" si="123"/>
        <v>0</v>
      </c>
      <c r="AV144" t="b">
        <f>COUNTIF($AT$4:$AT$2000, AT144)&gt;1</f>
        <v>0</v>
      </c>
      <c r="AX144" s="395" t="b">
        <f t="shared" si="124"/>
        <v>0</v>
      </c>
      <c r="AY144" s="395" t="b">
        <f t="shared" si="125"/>
        <v>0</v>
      </c>
      <c r="BA144" t="str">
        <f>'Ashed teabags wet'!A142</f>
        <v>G544</v>
      </c>
      <c r="BB144" t="str">
        <f>'Ashed teabags wet'!A562</f>
        <v>R319</v>
      </c>
      <c r="BC144" t="b">
        <f t="shared" si="126"/>
        <v>0</v>
      </c>
      <c r="BD144" t="b">
        <f t="shared" si="106"/>
        <v>0</v>
      </c>
      <c r="BF144" t="str">
        <f t="shared" si="127"/>
        <v>G273</v>
      </c>
      <c r="BG144" t="str">
        <f>T143</f>
        <v>G273</v>
      </c>
      <c r="BH144" t="str">
        <f t="shared" si="128"/>
        <v>G401</v>
      </c>
      <c r="BI144" t="str">
        <f t="shared" si="142"/>
        <v>G401</v>
      </c>
      <c r="BJ144" t="s">
        <v>1777</v>
      </c>
      <c r="BK144" t="s">
        <v>1777</v>
      </c>
      <c r="BL144" t="s">
        <v>1777</v>
      </c>
      <c r="BM144" t="b">
        <f t="shared" si="143"/>
        <v>1</v>
      </c>
      <c r="BN144" t="str">
        <f t="shared" si="129"/>
        <v>R613</v>
      </c>
      <c r="BO144" t="str">
        <f>U143</f>
        <v>R613</v>
      </c>
      <c r="BP144" t="str">
        <f t="shared" si="130"/>
        <v>R729</v>
      </c>
      <c r="BQ144" t="str">
        <f t="shared" si="131"/>
        <v>R729</v>
      </c>
      <c r="BR144" t="s">
        <v>526</v>
      </c>
      <c r="BS144" t="s">
        <v>525</v>
      </c>
      <c r="BT144" t="s">
        <v>526</v>
      </c>
      <c r="BU144" t="b">
        <f t="shared" si="144"/>
        <v>1</v>
      </c>
      <c r="BZ144" t="str">
        <f t="shared" si="132"/>
        <v>G401</v>
      </c>
      <c r="CA144" t="b">
        <f t="shared" si="133"/>
        <v>0</v>
      </c>
      <c r="CB144" t="str">
        <f t="shared" si="145"/>
        <v>G401</v>
      </c>
      <c r="CC144" t="str">
        <f t="shared" si="134"/>
        <v>R729</v>
      </c>
      <c r="CD144" t="b">
        <f t="shared" si="146"/>
        <v>0</v>
      </c>
      <c r="CE144" t="str">
        <f t="shared" si="147"/>
        <v>R729</v>
      </c>
      <c r="CG144" t="str">
        <f t="shared" si="135"/>
        <v>G543</v>
      </c>
      <c r="CH144" t="str">
        <f t="shared" si="148"/>
        <v>G543</v>
      </c>
      <c r="CI144" t="str">
        <f>AE143</f>
        <v>G787</v>
      </c>
      <c r="CJ144" t="str">
        <f t="shared" si="136"/>
        <v>G787</v>
      </c>
      <c r="CK144" t="s">
        <v>1507</v>
      </c>
      <c r="CL144" t="s">
        <v>1507</v>
      </c>
      <c r="CM144" t="s">
        <v>1507</v>
      </c>
      <c r="CN144" t="b">
        <f t="shared" si="149"/>
        <v>1</v>
      </c>
      <c r="CO144" t="str">
        <f t="shared" si="137"/>
        <v>R318</v>
      </c>
      <c r="CP144" t="str">
        <f t="shared" si="150"/>
        <v>R318</v>
      </c>
      <c r="CQ144" t="str">
        <f>AF143</f>
        <v>R535</v>
      </c>
      <c r="CR144" t="str">
        <f t="shared" si="138"/>
        <v>R535</v>
      </c>
      <c r="CS144" t="s">
        <v>823</v>
      </c>
      <c r="CT144" t="s">
        <v>823</v>
      </c>
      <c r="CU144" t="s">
        <v>823</v>
      </c>
      <c r="CV144" t="b">
        <f t="shared" si="151"/>
        <v>1</v>
      </c>
      <c r="DC144" t="str">
        <f t="shared" si="139"/>
        <v>G787</v>
      </c>
      <c r="DD144" t="b">
        <f t="shared" si="152"/>
        <v>0</v>
      </c>
      <c r="DE144" t="str">
        <f t="shared" si="153"/>
        <v>G787</v>
      </c>
      <c r="DF144" t="str">
        <f t="shared" si="140"/>
        <v>R535</v>
      </c>
      <c r="DG144" t="b">
        <f t="shared" si="154"/>
        <v>0</v>
      </c>
      <c r="DH144" t="str">
        <f t="shared" si="155"/>
        <v>R535</v>
      </c>
    </row>
    <row r="145" spans="2:112" ht="12" customHeight="1">
      <c r="B145" t="str">
        <f>TBIDry!H217</f>
        <v>G87</v>
      </c>
      <c r="C145" t="str">
        <f>TBIDry!I217</f>
        <v>R834</v>
      </c>
      <c r="D145" t="b">
        <f t="shared" si="107"/>
        <v>0</v>
      </c>
      <c r="E145" t="b">
        <f t="shared" si="108"/>
        <v>0</v>
      </c>
      <c r="G145" t="str">
        <f>TBIWet!H217</f>
        <v>G817</v>
      </c>
      <c r="H145" t="str">
        <f>TBIWet!I217</f>
        <v>R460</v>
      </c>
      <c r="I145" t="b">
        <f t="shared" si="109"/>
        <v>0</v>
      </c>
      <c r="J145" t="b">
        <f t="shared" si="110"/>
        <v>0</v>
      </c>
      <c r="L145" t="str">
        <f>'Both teabags AfterWet'!A143</f>
        <v>G545</v>
      </c>
      <c r="M145" t="str">
        <f>'Both teabags AfterWet'!A563</f>
        <v>R32</v>
      </c>
      <c r="N145" t="b">
        <f t="shared" si="111"/>
        <v>0</v>
      </c>
      <c r="O145" t="b">
        <f t="shared" si="156"/>
        <v>0</v>
      </c>
      <c r="Q145" s="395" t="b">
        <f t="shared" si="112"/>
        <v>0</v>
      </c>
      <c r="R145" s="395" t="b">
        <f t="shared" si="113"/>
        <v>0</v>
      </c>
      <c r="T145" t="str">
        <f>'Both teabags AfterDry'!A143</f>
        <v>G275</v>
      </c>
      <c r="U145" t="str">
        <f>'Both teabags AfterDry'!A478</f>
        <v>R615</v>
      </c>
      <c r="V145" t="b">
        <f t="shared" si="114"/>
        <v>0</v>
      </c>
      <c r="W145" t="b">
        <f t="shared" si="141"/>
        <v>0</v>
      </c>
      <c r="Y145" t="str">
        <f>'Green_rooibos initial weight'!A146</f>
        <v>G142</v>
      </c>
      <c r="Z145" t="str">
        <f>'Green_rooibos initial weight'!A1050</f>
        <v>R142</v>
      </c>
      <c r="AA145" t="b">
        <f t="shared" si="115"/>
        <v>0</v>
      </c>
      <c r="AB145" t="b">
        <f t="shared" si="116"/>
        <v>0</v>
      </c>
      <c r="AE145" t="str">
        <f>'WetLitterbags placem_collection'!K144</f>
        <v>G817</v>
      </c>
      <c r="AF145" t="str">
        <f>'WetLitterbags placem_collection'!M144</f>
        <v>R460</v>
      </c>
      <c r="AG145" t="b">
        <f t="shared" si="117"/>
        <v>0</v>
      </c>
      <c r="AH145" t="b">
        <f t="shared" si="118"/>
        <v>0</v>
      </c>
      <c r="AJ145" t="b">
        <f t="shared" si="119"/>
        <v>0</v>
      </c>
      <c r="AK145" t="b">
        <f t="shared" si="120"/>
        <v>0</v>
      </c>
      <c r="AM145" t="str">
        <f>IF(ISBLANK('Dry_Litterbag Placem_Collection'!J144),"","G"&amp;""&amp;'Dry_Litterbag Placem_Collection'!J144)</f>
        <v>G87</v>
      </c>
      <c r="AN145" t="str">
        <f>IF(ISBLANK('Dry_Litterbag Placem_Collection'!K144),"","R"&amp;""&amp;'Dry_Litterbag Placem_Collection'!K144)</f>
        <v>R834</v>
      </c>
      <c r="AO145" t="b">
        <f t="shared" si="121"/>
        <v>0</v>
      </c>
      <c r="AP145" t="b">
        <f t="shared" si="122"/>
        <v>0</v>
      </c>
      <c r="AS145" t="str">
        <f>'Ashed teabags dry'!A143</f>
        <v>G275</v>
      </c>
      <c r="AT145" t="str">
        <f>'Ashed teabags dry'!A478</f>
        <v>R615</v>
      </c>
      <c r="AU145" t="b">
        <f t="shared" si="123"/>
        <v>0</v>
      </c>
      <c r="AV145" t="b">
        <f>COUNTIF($AT$4:$AT$2000, AT145)&gt;1</f>
        <v>0</v>
      </c>
      <c r="AX145" s="395" t="b">
        <f t="shared" si="124"/>
        <v>0</v>
      </c>
      <c r="AY145" s="395" t="b">
        <f t="shared" si="125"/>
        <v>0</v>
      </c>
      <c r="BA145" t="str">
        <f>'Ashed teabags wet'!A143</f>
        <v>G545</v>
      </c>
      <c r="BB145" t="str">
        <f>'Ashed teabags wet'!A563</f>
        <v>R32</v>
      </c>
      <c r="BC145" t="b">
        <f t="shared" si="126"/>
        <v>0</v>
      </c>
      <c r="BD145" t="b">
        <f t="shared" si="106"/>
        <v>0</v>
      </c>
      <c r="BF145" t="str">
        <f t="shared" si="127"/>
        <v>G274</v>
      </c>
      <c r="BG145" t="str">
        <f>T144</f>
        <v>G274</v>
      </c>
      <c r="BH145" t="str">
        <f t="shared" si="128"/>
        <v/>
      </c>
      <c r="BI145" t="str">
        <f t="shared" si="142"/>
        <v/>
      </c>
      <c r="BJ145" t="s">
        <v>1776</v>
      </c>
      <c r="BK145" t="s">
        <v>1776</v>
      </c>
      <c r="BL145" t="s">
        <v>1776</v>
      </c>
      <c r="BM145" t="b">
        <f t="shared" si="143"/>
        <v>1</v>
      </c>
      <c r="BN145" t="str">
        <f t="shared" si="129"/>
        <v>R614</v>
      </c>
      <c r="BO145" t="str">
        <f>U144</f>
        <v>R614</v>
      </c>
      <c r="BP145" t="str">
        <f t="shared" si="130"/>
        <v/>
      </c>
      <c r="BQ145" t="str">
        <f t="shared" si="131"/>
        <v/>
      </c>
      <c r="BR145" t="s">
        <v>525</v>
      </c>
      <c r="BS145" t="s">
        <v>524</v>
      </c>
      <c r="BT145" t="s">
        <v>525</v>
      </c>
      <c r="BU145" t="b">
        <f t="shared" si="144"/>
        <v>1</v>
      </c>
      <c r="BZ145" t="str">
        <f t="shared" si="132"/>
        <v/>
      </c>
      <c r="CA145" t="b">
        <f t="shared" si="133"/>
        <v>0</v>
      </c>
      <c r="CB145" t="str">
        <f t="shared" si="145"/>
        <v/>
      </c>
      <c r="CC145" t="str">
        <f t="shared" si="134"/>
        <v/>
      </c>
      <c r="CD145" t="b">
        <f t="shared" si="146"/>
        <v>0</v>
      </c>
      <c r="CE145" t="str">
        <f t="shared" si="147"/>
        <v/>
      </c>
      <c r="CG145" t="str">
        <f t="shared" si="135"/>
        <v>G544</v>
      </c>
      <c r="CH145" t="str">
        <f t="shared" si="148"/>
        <v>G544</v>
      </c>
      <c r="CI145" t="str">
        <f>AE144</f>
        <v>G900</v>
      </c>
      <c r="CJ145" t="str">
        <f t="shared" si="136"/>
        <v>G900</v>
      </c>
      <c r="CK145" t="s">
        <v>1506</v>
      </c>
      <c r="CL145" t="s">
        <v>1506</v>
      </c>
      <c r="CM145" t="s">
        <v>1506</v>
      </c>
      <c r="CN145" t="b">
        <f t="shared" si="149"/>
        <v>1</v>
      </c>
      <c r="CO145" t="str">
        <f t="shared" si="137"/>
        <v>R319</v>
      </c>
      <c r="CP145" t="str">
        <f t="shared" si="150"/>
        <v>R319</v>
      </c>
      <c r="CQ145" t="str">
        <f>AF144</f>
        <v>R581</v>
      </c>
      <c r="CR145" t="str">
        <f t="shared" si="138"/>
        <v>R581</v>
      </c>
      <c r="CS145" t="s">
        <v>822</v>
      </c>
      <c r="CT145" t="s">
        <v>822</v>
      </c>
      <c r="CU145" t="s">
        <v>822</v>
      </c>
      <c r="CV145" t="b">
        <f t="shared" si="151"/>
        <v>1</v>
      </c>
      <c r="DC145" t="str">
        <f t="shared" si="139"/>
        <v>G900</v>
      </c>
      <c r="DD145" t="b">
        <f t="shared" si="152"/>
        <v>0</v>
      </c>
      <c r="DE145" t="str">
        <f t="shared" si="153"/>
        <v>G900</v>
      </c>
      <c r="DF145" t="str">
        <f t="shared" si="140"/>
        <v>R581</v>
      </c>
      <c r="DG145" t="b">
        <f t="shared" si="154"/>
        <v>0</v>
      </c>
      <c r="DH145" t="str">
        <f t="shared" si="155"/>
        <v>R581</v>
      </c>
    </row>
    <row r="146" spans="2:112" ht="12" customHeight="1">
      <c r="B146" t="str">
        <f>TBIDry!H218</f>
        <v>G501</v>
      </c>
      <c r="C146" t="str">
        <f>TBIDry!I218</f>
        <v>R774</v>
      </c>
      <c r="D146" t="b">
        <f t="shared" si="107"/>
        <v>0</v>
      </c>
      <c r="E146" t="b">
        <f t="shared" si="108"/>
        <v>0</v>
      </c>
      <c r="G146" t="str">
        <f>TBIWet!H218</f>
        <v>G836</v>
      </c>
      <c r="H146" t="str">
        <f>TBIWet!I218</f>
        <v>R456</v>
      </c>
      <c r="I146" t="b">
        <f t="shared" si="109"/>
        <v>0</v>
      </c>
      <c r="J146" t="b">
        <f t="shared" si="110"/>
        <v>0</v>
      </c>
      <c r="L146" t="str">
        <f>'Both teabags AfterWet'!A144</f>
        <v>G546</v>
      </c>
      <c r="M146" t="str">
        <f>'Both teabags AfterWet'!A564</f>
        <v>R322</v>
      </c>
      <c r="N146" t="b">
        <f t="shared" si="111"/>
        <v>0</v>
      </c>
      <c r="O146" t="b">
        <f t="shared" si="156"/>
        <v>0</v>
      </c>
      <c r="Q146" s="395" t="b">
        <f t="shared" si="112"/>
        <v>0</v>
      </c>
      <c r="R146" s="395" t="b">
        <f t="shared" si="113"/>
        <v>0</v>
      </c>
      <c r="T146" t="str">
        <f>'Both teabags AfterDry'!A144</f>
        <v>G277</v>
      </c>
      <c r="U146" t="str">
        <f>'Both teabags AfterDry'!A479</f>
        <v>R616</v>
      </c>
      <c r="V146" t="b">
        <f t="shared" si="114"/>
        <v>0</v>
      </c>
      <c r="W146" t="b">
        <f t="shared" si="141"/>
        <v>0</v>
      </c>
      <c r="Y146" t="str">
        <f>'Green_rooibos initial weight'!A147</f>
        <v>G143</v>
      </c>
      <c r="Z146" t="str">
        <f>'Green_rooibos initial weight'!A1051</f>
        <v>R143</v>
      </c>
      <c r="AA146" t="b">
        <f t="shared" si="115"/>
        <v>0</v>
      </c>
      <c r="AB146" t="b">
        <f t="shared" si="116"/>
        <v>0</v>
      </c>
      <c r="AE146" t="str">
        <f>'WetLitterbags placem_collection'!K145</f>
        <v>G836</v>
      </c>
      <c r="AF146" t="str">
        <f>'WetLitterbags placem_collection'!M145</f>
        <v>R456</v>
      </c>
      <c r="AG146" t="b">
        <f t="shared" si="117"/>
        <v>0</v>
      </c>
      <c r="AH146" t="b">
        <f t="shared" si="118"/>
        <v>0</v>
      </c>
      <c r="AJ146" t="b">
        <f t="shared" si="119"/>
        <v>0</v>
      </c>
      <c r="AK146" t="b">
        <f t="shared" si="120"/>
        <v>0</v>
      </c>
      <c r="AM146" t="str">
        <f>IF(ISBLANK('Dry_Litterbag Placem_Collection'!J145),"","G"&amp;""&amp;'Dry_Litterbag Placem_Collection'!J145)</f>
        <v>G501</v>
      </c>
      <c r="AN146" t="str">
        <f>IF(ISBLANK('Dry_Litterbag Placem_Collection'!K145),"","R"&amp;""&amp;'Dry_Litterbag Placem_Collection'!K145)</f>
        <v>R774</v>
      </c>
      <c r="AO146" t="b">
        <f t="shared" si="121"/>
        <v>0</v>
      </c>
      <c r="AP146" t="b">
        <f t="shared" si="122"/>
        <v>0</v>
      </c>
      <c r="AS146" t="str">
        <f>'Ashed teabags dry'!A144</f>
        <v>G277</v>
      </c>
      <c r="AT146" t="str">
        <f>'Ashed teabags dry'!A479</f>
        <v>R616</v>
      </c>
      <c r="AU146" t="b">
        <f t="shared" si="123"/>
        <v>0</v>
      </c>
      <c r="AV146" t="b">
        <f>COUNTIF($AT$4:$AT$2000, AT146)&gt;1</f>
        <v>0</v>
      </c>
      <c r="AX146" s="395" t="b">
        <f t="shared" si="124"/>
        <v>0</v>
      </c>
      <c r="AY146" s="395" t="b">
        <f t="shared" si="125"/>
        <v>0</v>
      </c>
      <c r="BA146" t="str">
        <f>'Ashed teabags wet'!A144</f>
        <v>G546</v>
      </c>
      <c r="BB146" t="str">
        <f>'Ashed teabags wet'!A564</f>
        <v>R322</v>
      </c>
      <c r="BC146" t="b">
        <f t="shared" si="126"/>
        <v>0</v>
      </c>
      <c r="BD146" t="b">
        <f t="shared" si="106"/>
        <v>0</v>
      </c>
      <c r="BF146" t="str">
        <f t="shared" si="127"/>
        <v>G275</v>
      </c>
      <c r="BG146" t="str">
        <f>T145</f>
        <v>G275</v>
      </c>
      <c r="BH146" t="str">
        <f t="shared" si="128"/>
        <v>G87</v>
      </c>
      <c r="BI146" t="str">
        <f t="shared" si="142"/>
        <v/>
      </c>
      <c r="BJ146" t="s">
        <v>1775</v>
      </c>
      <c r="BK146" t="s">
        <v>1775</v>
      </c>
      <c r="BL146" t="s">
        <v>1775</v>
      </c>
      <c r="BM146" t="b">
        <f t="shared" si="143"/>
        <v>1</v>
      </c>
      <c r="BN146" t="str">
        <f t="shared" si="129"/>
        <v>R615</v>
      </c>
      <c r="BO146" t="str">
        <f>U145</f>
        <v>R615</v>
      </c>
      <c r="BP146" t="str">
        <f t="shared" si="130"/>
        <v>R834</v>
      </c>
      <c r="BQ146" t="str">
        <f t="shared" si="131"/>
        <v/>
      </c>
      <c r="BR146" t="s">
        <v>524</v>
      </c>
      <c r="BS146" t="s">
        <v>523</v>
      </c>
      <c r="BT146" t="s">
        <v>524</v>
      </c>
      <c r="BU146" t="b">
        <f t="shared" si="144"/>
        <v>1</v>
      </c>
      <c r="BZ146" t="str">
        <f t="shared" si="132"/>
        <v>G87</v>
      </c>
      <c r="CA146" t="b">
        <f t="shared" si="133"/>
        <v>1</v>
      </c>
      <c r="CB146" t="str">
        <f t="shared" si="145"/>
        <v/>
      </c>
      <c r="CC146" t="str">
        <f t="shared" si="134"/>
        <v>R834</v>
      </c>
      <c r="CD146" t="b">
        <f t="shared" si="146"/>
        <v>1</v>
      </c>
      <c r="CE146" t="str">
        <f t="shared" si="147"/>
        <v/>
      </c>
      <c r="CG146" t="str">
        <f t="shared" si="135"/>
        <v>G545</v>
      </c>
      <c r="CH146" t="str">
        <f t="shared" si="148"/>
        <v>G545</v>
      </c>
      <c r="CI146" t="str">
        <f>AE145</f>
        <v>G817</v>
      </c>
      <c r="CJ146" t="str">
        <f t="shared" si="136"/>
        <v/>
      </c>
      <c r="CK146" t="s">
        <v>1505</v>
      </c>
      <c r="CL146" t="s">
        <v>1505</v>
      </c>
      <c r="CM146" t="s">
        <v>1505</v>
      </c>
      <c r="CN146" t="b">
        <f t="shared" si="149"/>
        <v>1</v>
      </c>
      <c r="CO146" t="str">
        <f t="shared" si="137"/>
        <v>R32</v>
      </c>
      <c r="CP146" t="str">
        <f t="shared" si="150"/>
        <v>R32</v>
      </c>
      <c r="CQ146" t="str">
        <f>AF145</f>
        <v>R460</v>
      </c>
      <c r="CR146" t="str">
        <f t="shared" si="138"/>
        <v>R460</v>
      </c>
      <c r="CS146" t="s">
        <v>1109</v>
      </c>
      <c r="CT146" t="s">
        <v>1109</v>
      </c>
      <c r="CU146" t="s">
        <v>1109</v>
      </c>
      <c r="CV146" t="b">
        <f t="shared" si="151"/>
        <v>1</v>
      </c>
      <c r="DC146" t="str">
        <f t="shared" si="139"/>
        <v>G817</v>
      </c>
      <c r="DD146" t="b">
        <f t="shared" si="152"/>
        <v>1</v>
      </c>
      <c r="DE146" t="str">
        <f t="shared" si="153"/>
        <v/>
      </c>
      <c r="DF146" t="str">
        <f t="shared" si="140"/>
        <v>R460</v>
      </c>
      <c r="DG146" t="b">
        <f t="shared" si="154"/>
        <v>0</v>
      </c>
      <c r="DH146" t="str">
        <f t="shared" si="155"/>
        <v>R460</v>
      </c>
    </row>
    <row r="147" spans="2:112" ht="12" customHeight="1">
      <c r="B147" t="str">
        <f>TBIDry!H219</f>
        <v>G141</v>
      </c>
      <c r="C147" t="str">
        <f>TBIDry!I219</f>
        <v>R779</v>
      </c>
      <c r="D147" t="b">
        <f t="shared" si="107"/>
        <v>0</v>
      </c>
      <c r="E147" t="b">
        <f t="shared" si="108"/>
        <v>0</v>
      </c>
      <c r="G147" t="str">
        <f>TBIWet!H219</f>
        <v>G784</v>
      </c>
      <c r="H147" t="str">
        <f>TBIWet!I219</f>
        <v>R571</v>
      </c>
      <c r="I147" t="b">
        <f t="shared" si="109"/>
        <v>0</v>
      </c>
      <c r="J147" t="b">
        <f t="shared" si="110"/>
        <v>0</v>
      </c>
      <c r="L147" t="str">
        <f>'Both teabags AfterWet'!A145</f>
        <v>G547</v>
      </c>
      <c r="M147" t="str">
        <f>'Both teabags AfterWet'!A565</f>
        <v>R323</v>
      </c>
      <c r="N147" t="b">
        <f t="shared" si="111"/>
        <v>0</v>
      </c>
      <c r="O147" t="b">
        <f t="shared" si="156"/>
        <v>0</v>
      </c>
      <c r="Q147" s="395" t="b">
        <f t="shared" si="112"/>
        <v>0</v>
      </c>
      <c r="R147" s="395" t="b">
        <f t="shared" si="113"/>
        <v>0</v>
      </c>
      <c r="T147" t="str">
        <f>'Both teabags AfterDry'!A145</f>
        <v>G278</v>
      </c>
      <c r="U147" t="str">
        <f>'Both teabags AfterDry'!A480</f>
        <v>R617</v>
      </c>
      <c r="V147" t="b">
        <f t="shared" si="114"/>
        <v>0</v>
      </c>
      <c r="W147" t="b">
        <f t="shared" si="141"/>
        <v>0</v>
      </c>
      <c r="Y147" t="str">
        <f>'Green_rooibos initial weight'!A148</f>
        <v>G144</v>
      </c>
      <c r="Z147" t="str">
        <f>'Green_rooibos initial weight'!A1052</f>
        <v>R144</v>
      </c>
      <c r="AA147" t="b">
        <f t="shared" si="115"/>
        <v>0</v>
      </c>
      <c r="AB147" t="b">
        <f t="shared" si="116"/>
        <v>0</v>
      </c>
      <c r="AE147" t="str">
        <f>'WetLitterbags placem_collection'!K146</f>
        <v>G784</v>
      </c>
      <c r="AF147" t="str">
        <f>'WetLitterbags placem_collection'!M146</f>
        <v>R571</v>
      </c>
      <c r="AG147" t="b">
        <f t="shared" si="117"/>
        <v>0</v>
      </c>
      <c r="AH147" t="b">
        <f t="shared" si="118"/>
        <v>0</v>
      </c>
      <c r="AJ147" t="b">
        <f t="shared" si="119"/>
        <v>0</v>
      </c>
      <c r="AK147" t="b">
        <f t="shared" si="120"/>
        <v>0</v>
      </c>
      <c r="AM147" t="str">
        <f>IF(ISBLANK('Dry_Litterbag Placem_Collection'!J146),"","G"&amp;""&amp;'Dry_Litterbag Placem_Collection'!J146)</f>
        <v>G141</v>
      </c>
      <c r="AN147" t="str">
        <f>IF(ISBLANK('Dry_Litterbag Placem_Collection'!K146),"","R"&amp;""&amp;'Dry_Litterbag Placem_Collection'!K146)</f>
        <v>R779</v>
      </c>
      <c r="AO147" t="b">
        <f t="shared" si="121"/>
        <v>0</v>
      </c>
      <c r="AP147" t="b">
        <f t="shared" si="122"/>
        <v>0</v>
      </c>
      <c r="AS147" t="str">
        <f>'Ashed teabags dry'!A145</f>
        <v>G278</v>
      </c>
      <c r="AT147" t="str">
        <f>'Ashed teabags dry'!A480</f>
        <v>R617</v>
      </c>
      <c r="AU147" t="b">
        <f t="shared" si="123"/>
        <v>0</v>
      </c>
      <c r="AV147" t="b">
        <f>COUNTIF($AT$4:$AT$2000, AT147)&gt;1</f>
        <v>0</v>
      </c>
      <c r="AX147" s="395" t="b">
        <f t="shared" si="124"/>
        <v>0</v>
      </c>
      <c r="AY147" s="395" t="b">
        <f t="shared" si="125"/>
        <v>0</v>
      </c>
      <c r="BA147" t="str">
        <f>'Ashed teabags wet'!A145</f>
        <v>G547</v>
      </c>
      <c r="BB147" t="str">
        <f>'Ashed teabags wet'!A565</f>
        <v>R323</v>
      </c>
      <c r="BC147" t="b">
        <f t="shared" si="126"/>
        <v>0</v>
      </c>
      <c r="BD147" t="b">
        <f t="shared" si="106"/>
        <v>0</v>
      </c>
      <c r="BF147" t="str">
        <f t="shared" si="127"/>
        <v>G277</v>
      </c>
      <c r="BG147" t="str">
        <f>T146</f>
        <v>G277</v>
      </c>
      <c r="BH147" t="str">
        <f t="shared" si="128"/>
        <v>G501</v>
      </c>
      <c r="BI147" t="str">
        <f t="shared" si="142"/>
        <v>G501</v>
      </c>
      <c r="BJ147" t="s">
        <v>1773</v>
      </c>
      <c r="BK147" t="s">
        <v>1773</v>
      </c>
      <c r="BL147" t="s">
        <v>1773</v>
      </c>
      <c r="BM147" t="b">
        <f t="shared" si="143"/>
        <v>1</v>
      </c>
      <c r="BN147" t="str">
        <f t="shared" si="129"/>
        <v>R616</v>
      </c>
      <c r="BO147" t="str">
        <f>U146</f>
        <v>R616</v>
      </c>
      <c r="BP147" t="str">
        <f t="shared" si="130"/>
        <v>R774</v>
      </c>
      <c r="BQ147" t="str">
        <f t="shared" si="131"/>
        <v>R774</v>
      </c>
      <c r="BR147" t="s">
        <v>523</v>
      </c>
      <c r="BS147" t="s">
        <v>522</v>
      </c>
      <c r="BT147" t="s">
        <v>523</v>
      </c>
      <c r="BU147" t="b">
        <f t="shared" si="144"/>
        <v>1</v>
      </c>
      <c r="BZ147" t="str">
        <f t="shared" si="132"/>
        <v>G501</v>
      </c>
      <c r="CA147" t="b">
        <f t="shared" si="133"/>
        <v>0</v>
      </c>
      <c r="CB147" t="str">
        <f t="shared" si="145"/>
        <v>G501</v>
      </c>
      <c r="CC147" t="str">
        <f t="shared" si="134"/>
        <v>R774</v>
      </c>
      <c r="CD147" t="b">
        <f t="shared" si="146"/>
        <v>0</v>
      </c>
      <c r="CE147" t="str">
        <f t="shared" si="147"/>
        <v>R774</v>
      </c>
      <c r="CG147" t="str">
        <f t="shared" si="135"/>
        <v>G546</v>
      </c>
      <c r="CH147" t="str">
        <f t="shared" si="148"/>
        <v>G546</v>
      </c>
      <c r="CI147" t="str">
        <f>AE146</f>
        <v>G836</v>
      </c>
      <c r="CJ147" t="str">
        <f t="shared" si="136"/>
        <v>G836</v>
      </c>
      <c r="CK147" t="s">
        <v>1504</v>
      </c>
      <c r="CL147" t="s">
        <v>1504</v>
      </c>
      <c r="CM147" t="s">
        <v>1504</v>
      </c>
      <c r="CN147" t="b">
        <f t="shared" si="149"/>
        <v>1</v>
      </c>
      <c r="CO147" t="str">
        <f t="shared" si="137"/>
        <v>R322</v>
      </c>
      <c r="CP147" t="str">
        <f t="shared" si="150"/>
        <v>R322</v>
      </c>
      <c r="CQ147" t="str">
        <f>AF146</f>
        <v>R456</v>
      </c>
      <c r="CR147" t="str">
        <f t="shared" si="138"/>
        <v>R456</v>
      </c>
      <c r="CS147" t="s">
        <v>819</v>
      </c>
      <c r="CT147" t="s">
        <v>819</v>
      </c>
      <c r="CU147" t="s">
        <v>819</v>
      </c>
      <c r="CV147" t="b">
        <f t="shared" si="151"/>
        <v>1</v>
      </c>
      <c r="DC147" t="str">
        <f t="shared" si="139"/>
        <v>G836</v>
      </c>
      <c r="DD147" t="b">
        <f t="shared" si="152"/>
        <v>0</v>
      </c>
      <c r="DE147" t="str">
        <f t="shared" si="153"/>
        <v>G836</v>
      </c>
      <c r="DF147" t="str">
        <f t="shared" si="140"/>
        <v>R456</v>
      </c>
      <c r="DG147" t="b">
        <f t="shared" si="154"/>
        <v>0</v>
      </c>
      <c r="DH147" t="str">
        <f t="shared" si="155"/>
        <v>R456</v>
      </c>
    </row>
    <row r="148" spans="2:112" ht="12" customHeight="1">
      <c r="B148" t="str">
        <f>TBIDry!H220</f>
        <v>G131</v>
      </c>
      <c r="C148" t="str">
        <f>TBIDry!I220</f>
        <v>R728</v>
      </c>
      <c r="D148" t="b">
        <f t="shared" si="107"/>
        <v>0</v>
      </c>
      <c r="E148" t="b">
        <f t="shared" si="108"/>
        <v>0</v>
      </c>
      <c r="G148" t="str">
        <f>TBIWet!H220</f>
        <v>G902</v>
      </c>
      <c r="H148" t="str">
        <f>TBIWet!I220</f>
        <v>R27</v>
      </c>
      <c r="I148" t="b">
        <f t="shared" si="109"/>
        <v>0</v>
      </c>
      <c r="J148" t="b">
        <f t="shared" si="110"/>
        <v>0</v>
      </c>
      <c r="L148" t="str">
        <f>'Both teabags AfterWet'!A146</f>
        <v>G548</v>
      </c>
      <c r="M148" t="str">
        <f>'Both teabags AfterWet'!A566</f>
        <v>R326</v>
      </c>
      <c r="N148" t="b">
        <f t="shared" si="111"/>
        <v>0</v>
      </c>
      <c r="O148" t="b">
        <f t="shared" si="156"/>
        <v>0</v>
      </c>
      <c r="Q148" s="395" t="b">
        <f t="shared" si="112"/>
        <v>0</v>
      </c>
      <c r="R148" s="395" t="b">
        <f t="shared" si="113"/>
        <v>0</v>
      </c>
      <c r="T148" t="str">
        <f>'Both teabags AfterDry'!A146</f>
        <v>G284</v>
      </c>
      <c r="U148" t="str">
        <f>'Both teabags AfterDry'!A481</f>
        <v>R618</v>
      </c>
      <c r="V148" t="b">
        <f t="shared" si="114"/>
        <v>0</v>
      </c>
      <c r="W148" t="b">
        <f t="shared" si="141"/>
        <v>0</v>
      </c>
      <c r="Y148" t="str">
        <f>'Green_rooibos initial weight'!A149</f>
        <v>G145</v>
      </c>
      <c r="Z148" t="str">
        <f>'Green_rooibos initial weight'!A1053</f>
        <v>R145</v>
      </c>
      <c r="AA148" t="b">
        <f t="shared" si="115"/>
        <v>0</v>
      </c>
      <c r="AB148" t="b">
        <f t="shared" si="116"/>
        <v>0</v>
      </c>
      <c r="AE148" t="str">
        <f>'WetLitterbags placem_collection'!K147</f>
        <v>G902</v>
      </c>
      <c r="AF148" t="str">
        <f>'WetLitterbags placem_collection'!M147</f>
        <v>R27</v>
      </c>
      <c r="AG148" t="b">
        <f t="shared" si="117"/>
        <v>0</v>
      </c>
      <c r="AH148" t="b">
        <f t="shared" si="118"/>
        <v>0</v>
      </c>
      <c r="AJ148" t="b">
        <f t="shared" si="119"/>
        <v>0</v>
      </c>
      <c r="AK148" t="b">
        <f t="shared" si="120"/>
        <v>0</v>
      </c>
      <c r="AM148" t="str">
        <f>IF(ISBLANK('Dry_Litterbag Placem_Collection'!J147),"","G"&amp;""&amp;'Dry_Litterbag Placem_Collection'!J147)</f>
        <v>G131</v>
      </c>
      <c r="AN148" t="str">
        <f>IF(ISBLANK('Dry_Litterbag Placem_Collection'!K147),"","R"&amp;""&amp;'Dry_Litterbag Placem_Collection'!K147)</f>
        <v>R728</v>
      </c>
      <c r="AO148" t="b">
        <f t="shared" si="121"/>
        <v>0</v>
      </c>
      <c r="AP148" t="b">
        <f t="shared" si="122"/>
        <v>0</v>
      </c>
      <c r="AS148" t="str">
        <f>'Ashed teabags dry'!A146</f>
        <v>G284</v>
      </c>
      <c r="AT148" t="str">
        <f>'Ashed teabags dry'!A481</f>
        <v>R618</v>
      </c>
      <c r="AU148" t="b">
        <f t="shared" si="123"/>
        <v>0</v>
      </c>
      <c r="AV148" t="b">
        <f>COUNTIF($AT$4:$AT$2000, AT148)&gt;1</f>
        <v>0</v>
      </c>
      <c r="AX148" s="395" t="b">
        <f t="shared" si="124"/>
        <v>0</v>
      </c>
      <c r="AY148" s="395" t="b">
        <f t="shared" si="125"/>
        <v>0</v>
      </c>
      <c r="BA148" t="str">
        <f>'Ashed teabags wet'!A146</f>
        <v>G548</v>
      </c>
      <c r="BB148" t="str">
        <f>'Ashed teabags wet'!A566</f>
        <v>R326</v>
      </c>
      <c r="BC148" t="b">
        <f t="shared" si="126"/>
        <v>0</v>
      </c>
      <c r="BD148" t="b">
        <f t="shared" si="106"/>
        <v>0</v>
      </c>
      <c r="BF148" t="str">
        <f t="shared" si="127"/>
        <v>G278</v>
      </c>
      <c r="BG148" t="str">
        <f>T147</f>
        <v>G278</v>
      </c>
      <c r="BH148" t="str">
        <f t="shared" si="128"/>
        <v>G141</v>
      </c>
      <c r="BI148" t="str">
        <f t="shared" si="142"/>
        <v>G141</v>
      </c>
      <c r="BJ148" t="s">
        <v>1772</v>
      </c>
      <c r="BK148" t="s">
        <v>1772</v>
      </c>
      <c r="BL148" t="s">
        <v>1772</v>
      </c>
      <c r="BM148" t="b">
        <f t="shared" si="143"/>
        <v>1</v>
      </c>
      <c r="BN148" t="str">
        <f t="shared" si="129"/>
        <v>R617</v>
      </c>
      <c r="BO148" t="str">
        <f>U147</f>
        <v>R617</v>
      </c>
      <c r="BP148" t="str">
        <f t="shared" si="130"/>
        <v>R779</v>
      </c>
      <c r="BQ148" t="str">
        <f t="shared" si="131"/>
        <v>R779</v>
      </c>
      <c r="BR148" t="s">
        <v>522</v>
      </c>
      <c r="BS148" t="s">
        <v>521</v>
      </c>
      <c r="BT148" t="s">
        <v>522</v>
      </c>
      <c r="BU148" t="b">
        <f t="shared" si="144"/>
        <v>1</v>
      </c>
      <c r="BZ148" t="str">
        <f t="shared" si="132"/>
        <v>G141</v>
      </c>
      <c r="CA148" t="b">
        <f t="shared" si="133"/>
        <v>0</v>
      </c>
      <c r="CB148" t="str">
        <f t="shared" si="145"/>
        <v>G141</v>
      </c>
      <c r="CC148" t="str">
        <f t="shared" si="134"/>
        <v>R779</v>
      </c>
      <c r="CD148" t="b">
        <f t="shared" si="146"/>
        <v>0</v>
      </c>
      <c r="CE148" t="str">
        <f t="shared" si="147"/>
        <v>R779</v>
      </c>
      <c r="CG148" t="str">
        <f t="shared" si="135"/>
        <v>G547</v>
      </c>
      <c r="CH148" t="str">
        <f t="shared" si="148"/>
        <v>G547</v>
      </c>
      <c r="CI148" t="str">
        <f>AE147</f>
        <v>G784</v>
      </c>
      <c r="CJ148" t="str">
        <f t="shared" si="136"/>
        <v>G784</v>
      </c>
      <c r="CK148" t="s">
        <v>1503</v>
      </c>
      <c r="CL148" t="s">
        <v>1503</v>
      </c>
      <c r="CM148" t="s">
        <v>1503</v>
      </c>
      <c r="CN148" t="b">
        <f t="shared" si="149"/>
        <v>1</v>
      </c>
      <c r="CO148" t="str">
        <f t="shared" si="137"/>
        <v>R323</v>
      </c>
      <c r="CP148" t="str">
        <f t="shared" si="150"/>
        <v>R323</v>
      </c>
      <c r="CQ148" t="str">
        <f>AF147</f>
        <v>R571</v>
      </c>
      <c r="CR148" t="str">
        <f t="shared" si="138"/>
        <v>R571</v>
      </c>
      <c r="CS148" t="s">
        <v>818</v>
      </c>
      <c r="CT148" t="s">
        <v>818</v>
      </c>
      <c r="CU148" t="s">
        <v>818</v>
      </c>
      <c r="CV148" t="b">
        <f t="shared" si="151"/>
        <v>1</v>
      </c>
      <c r="DC148" t="str">
        <f t="shared" si="139"/>
        <v>G784</v>
      </c>
      <c r="DD148" t="b">
        <f t="shared" si="152"/>
        <v>0</v>
      </c>
      <c r="DE148" t="str">
        <f t="shared" si="153"/>
        <v>G784</v>
      </c>
      <c r="DF148" t="str">
        <f t="shared" si="140"/>
        <v>R571</v>
      </c>
      <c r="DG148" t="b">
        <f t="shared" si="154"/>
        <v>0</v>
      </c>
      <c r="DH148" t="str">
        <f t="shared" si="155"/>
        <v>R571</v>
      </c>
    </row>
    <row r="149" spans="2:112" ht="12" customHeight="1">
      <c r="B149" t="str">
        <f>TBIDry!H221</f>
        <v>G465</v>
      </c>
      <c r="C149" t="str">
        <f>TBIDry!I221</f>
        <v>R13</v>
      </c>
      <c r="D149" t="b">
        <f t="shared" si="107"/>
        <v>0</v>
      </c>
      <c r="E149" t="b">
        <f t="shared" si="108"/>
        <v>0</v>
      </c>
      <c r="G149" t="str">
        <f>TBIWet!H221</f>
        <v>G689</v>
      </c>
      <c r="H149" t="str">
        <f>TBIWet!I221</f>
        <v>R492</v>
      </c>
      <c r="I149" t="b">
        <f t="shared" si="109"/>
        <v>0</v>
      </c>
      <c r="J149" t="b">
        <f t="shared" si="110"/>
        <v>0</v>
      </c>
      <c r="L149" t="str">
        <f>'Both teabags AfterWet'!A147</f>
        <v>G549</v>
      </c>
      <c r="M149" t="str">
        <f>'Both teabags AfterWet'!A567</f>
        <v>R328</v>
      </c>
      <c r="N149" t="b">
        <f t="shared" si="111"/>
        <v>0</v>
      </c>
      <c r="O149" t="b">
        <f t="shared" si="156"/>
        <v>0</v>
      </c>
      <c r="Q149" s="395" t="b">
        <f t="shared" si="112"/>
        <v>0</v>
      </c>
      <c r="R149" s="395" t="b">
        <f t="shared" si="113"/>
        <v>0</v>
      </c>
      <c r="T149" t="str">
        <f>'Both teabags AfterDry'!A147</f>
        <v>G289</v>
      </c>
      <c r="U149" t="str">
        <f>'Both teabags AfterDry'!A482</f>
        <v>R619</v>
      </c>
      <c r="V149" t="b">
        <f t="shared" si="114"/>
        <v>0</v>
      </c>
      <c r="W149" t="b">
        <f t="shared" si="141"/>
        <v>0</v>
      </c>
      <c r="Y149" t="str">
        <f>'Green_rooibos initial weight'!A150</f>
        <v>G146</v>
      </c>
      <c r="Z149" t="str">
        <f>'Green_rooibos initial weight'!A1054</f>
        <v>R146</v>
      </c>
      <c r="AA149" t="b">
        <f t="shared" si="115"/>
        <v>0</v>
      </c>
      <c r="AB149" t="b">
        <f t="shared" si="116"/>
        <v>0</v>
      </c>
      <c r="AE149" t="str">
        <f>'WetLitterbags placem_collection'!K148</f>
        <v>G689</v>
      </c>
      <c r="AF149" t="str">
        <f>'WetLitterbags placem_collection'!M148</f>
        <v>R492</v>
      </c>
      <c r="AG149" t="b">
        <f t="shared" si="117"/>
        <v>0</v>
      </c>
      <c r="AH149" t="b">
        <f t="shared" si="118"/>
        <v>0</v>
      </c>
      <c r="AJ149" t="b">
        <f t="shared" si="119"/>
        <v>0</v>
      </c>
      <c r="AK149" t="b">
        <f t="shared" si="120"/>
        <v>0</v>
      </c>
      <c r="AM149" t="str">
        <f>IF(ISBLANK('Dry_Litterbag Placem_Collection'!J148),"","G"&amp;""&amp;'Dry_Litterbag Placem_Collection'!J148)</f>
        <v>G465</v>
      </c>
      <c r="AN149" t="str">
        <f>IF(ISBLANK('Dry_Litterbag Placem_Collection'!K148),"","R"&amp;""&amp;'Dry_Litterbag Placem_Collection'!K148)</f>
        <v>R13</v>
      </c>
      <c r="AO149" t="b">
        <f t="shared" si="121"/>
        <v>0</v>
      </c>
      <c r="AP149" t="b">
        <f t="shared" si="122"/>
        <v>0</v>
      </c>
      <c r="AS149" t="str">
        <f>'Ashed teabags dry'!A147</f>
        <v>G289</v>
      </c>
      <c r="AT149" t="str">
        <f>'Ashed teabags dry'!A482</f>
        <v>R619</v>
      </c>
      <c r="AU149" t="b">
        <f t="shared" si="123"/>
        <v>0</v>
      </c>
      <c r="AV149" t="b">
        <f>COUNTIF($AT$4:$AT$2000, AT149)&gt;1</f>
        <v>0</v>
      </c>
      <c r="AX149" s="395" t="b">
        <f t="shared" si="124"/>
        <v>0</v>
      </c>
      <c r="AY149" s="395" t="b">
        <f t="shared" si="125"/>
        <v>0</v>
      </c>
      <c r="BA149" t="str">
        <f>'Ashed teabags wet'!A147</f>
        <v>G549</v>
      </c>
      <c r="BB149" t="str">
        <f>'Ashed teabags wet'!A567</f>
        <v>R328</v>
      </c>
      <c r="BC149" t="b">
        <f t="shared" si="126"/>
        <v>0</v>
      </c>
      <c r="BD149" t="b">
        <f t="shared" si="106"/>
        <v>0</v>
      </c>
      <c r="BF149" t="str">
        <f t="shared" si="127"/>
        <v>G284</v>
      </c>
      <c r="BG149" t="str">
        <f>T148</f>
        <v>G284</v>
      </c>
      <c r="BH149" t="str">
        <f t="shared" si="128"/>
        <v>G131</v>
      </c>
      <c r="BI149" t="str">
        <f t="shared" si="142"/>
        <v>G131</v>
      </c>
      <c r="BJ149" t="s">
        <v>1766</v>
      </c>
      <c r="BK149" t="s">
        <v>1766</v>
      </c>
      <c r="BL149" t="s">
        <v>1766</v>
      </c>
      <c r="BM149" t="b">
        <f t="shared" si="143"/>
        <v>1</v>
      </c>
      <c r="BN149" t="str">
        <f t="shared" si="129"/>
        <v>R618</v>
      </c>
      <c r="BO149" t="str">
        <f>U148</f>
        <v>R618</v>
      </c>
      <c r="BP149" t="str">
        <f t="shared" si="130"/>
        <v>R728</v>
      </c>
      <c r="BQ149" t="str">
        <f t="shared" si="131"/>
        <v>R728</v>
      </c>
      <c r="BR149" t="s">
        <v>521</v>
      </c>
      <c r="BS149" t="s">
        <v>520</v>
      </c>
      <c r="BT149" t="s">
        <v>521</v>
      </c>
      <c r="BU149" t="b">
        <f t="shared" si="144"/>
        <v>1</v>
      </c>
      <c r="BZ149" t="str">
        <f t="shared" si="132"/>
        <v>G131</v>
      </c>
      <c r="CA149" t="b">
        <f t="shared" si="133"/>
        <v>0</v>
      </c>
      <c r="CB149" t="str">
        <f t="shared" si="145"/>
        <v>G131</v>
      </c>
      <c r="CC149" t="str">
        <f t="shared" si="134"/>
        <v>R728</v>
      </c>
      <c r="CD149" t="b">
        <f t="shared" si="146"/>
        <v>0</v>
      </c>
      <c r="CE149" t="str">
        <f t="shared" si="147"/>
        <v>R728</v>
      </c>
      <c r="CG149" t="str">
        <f t="shared" si="135"/>
        <v>G548</v>
      </c>
      <c r="CH149" t="str">
        <f t="shared" si="148"/>
        <v>G548</v>
      </c>
      <c r="CI149" t="str">
        <f>AE148</f>
        <v>G902</v>
      </c>
      <c r="CJ149" t="str">
        <f t="shared" si="136"/>
        <v>G902</v>
      </c>
      <c r="CK149" t="s">
        <v>1502</v>
      </c>
      <c r="CL149" t="s">
        <v>1502</v>
      </c>
      <c r="CM149" t="s">
        <v>1502</v>
      </c>
      <c r="CN149" t="b">
        <f t="shared" si="149"/>
        <v>1</v>
      </c>
      <c r="CO149" t="str">
        <f t="shared" si="137"/>
        <v>R326</v>
      </c>
      <c r="CP149" t="str">
        <f t="shared" si="150"/>
        <v>R326</v>
      </c>
      <c r="CQ149" t="str">
        <f>AF148</f>
        <v>R27</v>
      </c>
      <c r="CR149" t="str">
        <f t="shared" si="138"/>
        <v>R27</v>
      </c>
      <c r="CS149" t="s">
        <v>815</v>
      </c>
      <c r="CT149" t="s">
        <v>815</v>
      </c>
      <c r="CU149" t="s">
        <v>815</v>
      </c>
      <c r="CV149" t="b">
        <f t="shared" si="151"/>
        <v>1</v>
      </c>
      <c r="DC149" t="str">
        <f t="shared" si="139"/>
        <v>G902</v>
      </c>
      <c r="DD149" t="b">
        <f t="shared" si="152"/>
        <v>0</v>
      </c>
      <c r="DE149" t="str">
        <f t="shared" si="153"/>
        <v>G902</v>
      </c>
      <c r="DF149" t="str">
        <f t="shared" si="140"/>
        <v>R27</v>
      </c>
      <c r="DG149" t="b">
        <f t="shared" si="154"/>
        <v>0</v>
      </c>
      <c r="DH149" t="str">
        <f t="shared" si="155"/>
        <v>R27</v>
      </c>
    </row>
    <row r="150" spans="2:112" ht="12" customHeight="1">
      <c r="B150" t="str">
        <f>TBIDry!H222</f>
        <v>G15</v>
      </c>
      <c r="C150" t="str">
        <f>TBIDry!I222</f>
        <v>R832</v>
      </c>
      <c r="D150" t="b">
        <f t="shared" si="107"/>
        <v>0</v>
      </c>
      <c r="E150" t="b">
        <f t="shared" si="108"/>
        <v>0</v>
      </c>
      <c r="G150" t="str">
        <f>TBIWet!H222</f>
        <v>G678</v>
      </c>
      <c r="H150" t="str">
        <f>TBIWet!I222</f>
        <v>R573</v>
      </c>
      <c r="I150" t="b">
        <f t="shared" si="109"/>
        <v>0</v>
      </c>
      <c r="J150" t="b">
        <f t="shared" si="110"/>
        <v>0</v>
      </c>
      <c r="L150" t="str">
        <f>'Both teabags AfterWet'!A148</f>
        <v>G550</v>
      </c>
      <c r="M150" t="str">
        <f>'Both teabags AfterWet'!A568</f>
        <v>R329</v>
      </c>
      <c r="N150" t="b">
        <f t="shared" si="111"/>
        <v>0</v>
      </c>
      <c r="O150" t="b">
        <f t="shared" si="156"/>
        <v>0</v>
      </c>
      <c r="Q150" s="395" t="b">
        <f t="shared" si="112"/>
        <v>0</v>
      </c>
      <c r="R150" s="395" t="b">
        <f t="shared" si="113"/>
        <v>0</v>
      </c>
      <c r="T150" t="str">
        <f>'Both teabags AfterDry'!A148</f>
        <v>G290</v>
      </c>
      <c r="U150" t="str">
        <f>'Both teabags AfterDry'!A483</f>
        <v>R620</v>
      </c>
      <c r="V150" t="b">
        <f t="shared" si="114"/>
        <v>0</v>
      </c>
      <c r="W150" t="b">
        <f t="shared" si="141"/>
        <v>0</v>
      </c>
      <c r="Y150" t="str">
        <f>'Green_rooibos initial weight'!A151</f>
        <v>G147</v>
      </c>
      <c r="Z150" t="str">
        <f>'Green_rooibos initial weight'!A1055</f>
        <v>R147</v>
      </c>
      <c r="AA150" t="b">
        <f t="shared" si="115"/>
        <v>0</v>
      </c>
      <c r="AB150" t="b">
        <f t="shared" si="116"/>
        <v>0</v>
      </c>
      <c r="AE150" t="str">
        <f>'WetLitterbags placem_collection'!K149</f>
        <v>G678</v>
      </c>
      <c r="AF150" t="str">
        <f>'WetLitterbags placem_collection'!M149</f>
        <v>R573</v>
      </c>
      <c r="AG150" t="b">
        <f t="shared" si="117"/>
        <v>0</v>
      </c>
      <c r="AH150" t="b">
        <f t="shared" si="118"/>
        <v>0</v>
      </c>
      <c r="AJ150" t="b">
        <f t="shared" si="119"/>
        <v>0</v>
      </c>
      <c r="AK150" t="b">
        <f t="shared" si="120"/>
        <v>0</v>
      </c>
      <c r="AM150" t="str">
        <f>IF(ISBLANK('Dry_Litterbag Placem_Collection'!J149),"","G"&amp;""&amp;'Dry_Litterbag Placem_Collection'!J149)</f>
        <v>G15</v>
      </c>
      <c r="AN150" t="str">
        <f>IF(ISBLANK('Dry_Litterbag Placem_Collection'!K149),"","R"&amp;""&amp;'Dry_Litterbag Placem_Collection'!K149)</f>
        <v>R832</v>
      </c>
      <c r="AO150" t="b">
        <f t="shared" si="121"/>
        <v>0</v>
      </c>
      <c r="AP150" t="b">
        <f t="shared" si="122"/>
        <v>0</v>
      </c>
      <c r="AS150" t="str">
        <f>'Ashed teabags dry'!A148</f>
        <v>G290</v>
      </c>
      <c r="AT150" t="str">
        <f>'Ashed teabags dry'!A483</f>
        <v>R620</v>
      </c>
      <c r="AU150" t="b">
        <f t="shared" si="123"/>
        <v>0</v>
      </c>
      <c r="AV150" t="b">
        <f>COUNTIF($AT$4:$AT$2000, AT150)&gt;1</f>
        <v>0</v>
      </c>
      <c r="AX150" s="395" t="b">
        <f t="shared" si="124"/>
        <v>0</v>
      </c>
      <c r="AY150" s="395" t="b">
        <f t="shared" si="125"/>
        <v>0</v>
      </c>
      <c r="BA150" t="str">
        <f>'Ashed teabags wet'!A148</f>
        <v>G550</v>
      </c>
      <c r="BB150" t="str">
        <f>'Ashed teabags wet'!A568</f>
        <v>R329</v>
      </c>
      <c r="BC150" t="b">
        <f t="shared" si="126"/>
        <v>0</v>
      </c>
      <c r="BD150" t="b">
        <f t="shared" si="106"/>
        <v>0</v>
      </c>
      <c r="BF150" t="str">
        <f t="shared" si="127"/>
        <v>G289</v>
      </c>
      <c r="BG150" t="str">
        <f>T149</f>
        <v>G289</v>
      </c>
      <c r="BH150" t="str">
        <f t="shared" si="128"/>
        <v>G465</v>
      </c>
      <c r="BI150" t="str">
        <f t="shared" si="142"/>
        <v>G465</v>
      </c>
      <c r="BJ150" t="s">
        <v>1761</v>
      </c>
      <c r="BK150" t="s">
        <v>1761</v>
      </c>
      <c r="BL150" t="s">
        <v>1761</v>
      </c>
      <c r="BM150" t="b">
        <f t="shared" si="143"/>
        <v>1</v>
      </c>
      <c r="BN150" t="str">
        <f t="shared" si="129"/>
        <v>R619</v>
      </c>
      <c r="BO150" t="str">
        <f>U149</f>
        <v>R619</v>
      </c>
      <c r="BP150" t="str">
        <f t="shared" si="130"/>
        <v>R13</v>
      </c>
      <c r="BQ150" t="str">
        <f t="shared" si="131"/>
        <v>R13</v>
      </c>
      <c r="BR150" t="s">
        <v>520</v>
      </c>
      <c r="BS150" t="s">
        <v>519</v>
      </c>
      <c r="BT150" t="s">
        <v>520</v>
      </c>
      <c r="BU150" t="b">
        <f t="shared" si="144"/>
        <v>1</v>
      </c>
      <c r="BZ150" t="str">
        <f t="shared" si="132"/>
        <v>G465</v>
      </c>
      <c r="CA150" t="b">
        <f t="shared" si="133"/>
        <v>0</v>
      </c>
      <c r="CB150" t="str">
        <f t="shared" si="145"/>
        <v>G465</v>
      </c>
      <c r="CC150" t="str">
        <f t="shared" si="134"/>
        <v>R13</v>
      </c>
      <c r="CD150" t="b">
        <f t="shared" si="146"/>
        <v>0</v>
      </c>
      <c r="CE150" t="str">
        <f t="shared" si="147"/>
        <v>R13</v>
      </c>
      <c r="CG150" t="str">
        <f t="shared" si="135"/>
        <v>G549</v>
      </c>
      <c r="CH150" t="str">
        <f t="shared" si="148"/>
        <v>G549</v>
      </c>
      <c r="CI150" t="str">
        <f>AE149</f>
        <v>G689</v>
      </c>
      <c r="CJ150" t="str">
        <f t="shared" si="136"/>
        <v>G689</v>
      </c>
      <c r="CK150" t="s">
        <v>1501</v>
      </c>
      <c r="CL150" t="s">
        <v>1501</v>
      </c>
      <c r="CM150" t="s">
        <v>1501</v>
      </c>
      <c r="CN150" t="b">
        <f t="shared" si="149"/>
        <v>1</v>
      </c>
      <c r="CO150" t="str">
        <f t="shared" si="137"/>
        <v>R328</v>
      </c>
      <c r="CP150" t="str">
        <f t="shared" si="150"/>
        <v>R328</v>
      </c>
      <c r="CQ150" t="str">
        <f>AF149</f>
        <v>R492</v>
      </c>
      <c r="CR150" t="str">
        <f t="shared" si="138"/>
        <v>R492</v>
      </c>
      <c r="CS150" t="s">
        <v>813</v>
      </c>
      <c r="CT150" t="s">
        <v>813</v>
      </c>
      <c r="CU150" t="s">
        <v>813</v>
      </c>
      <c r="CV150" t="b">
        <f t="shared" si="151"/>
        <v>1</v>
      </c>
      <c r="DC150" t="str">
        <f t="shared" si="139"/>
        <v>G689</v>
      </c>
      <c r="DD150" t="b">
        <f t="shared" si="152"/>
        <v>0</v>
      </c>
      <c r="DE150" t="str">
        <f t="shared" si="153"/>
        <v>G689</v>
      </c>
      <c r="DF150" t="str">
        <f t="shared" si="140"/>
        <v>R492</v>
      </c>
      <c r="DG150" t="b">
        <f t="shared" si="154"/>
        <v>0</v>
      </c>
      <c r="DH150" t="str">
        <f t="shared" si="155"/>
        <v>R492</v>
      </c>
    </row>
    <row r="151" spans="2:112" ht="12" customHeight="1">
      <c r="B151" t="str">
        <f>TBIDry!H223</f>
        <v>G290</v>
      </c>
      <c r="C151" t="str">
        <f>TBIDry!I223</f>
        <v>R823</v>
      </c>
      <c r="D151" t="b">
        <f t="shared" si="107"/>
        <v>0</v>
      </c>
      <c r="E151" t="b">
        <f t="shared" si="108"/>
        <v>0</v>
      </c>
      <c r="G151" t="str">
        <f>TBIWet!H223</f>
        <v>G835</v>
      </c>
      <c r="H151" t="str">
        <f>TBIWet!I223</f>
        <v>R472</v>
      </c>
      <c r="I151" t="b">
        <f t="shared" si="109"/>
        <v>0</v>
      </c>
      <c r="J151" t="b">
        <f t="shared" si="110"/>
        <v>0</v>
      </c>
      <c r="L151" t="str">
        <f>'Both teabags AfterWet'!A149</f>
        <v>G551</v>
      </c>
      <c r="M151" t="str">
        <f>'Both teabags AfterWet'!A569</f>
        <v>R33</v>
      </c>
      <c r="N151" t="b">
        <f t="shared" si="111"/>
        <v>0</v>
      </c>
      <c r="O151" t="b">
        <f t="shared" si="156"/>
        <v>0</v>
      </c>
      <c r="Q151" s="395" t="b">
        <f t="shared" si="112"/>
        <v>0</v>
      </c>
      <c r="R151" s="395" t="b">
        <f t="shared" si="113"/>
        <v>0</v>
      </c>
      <c r="T151" t="str">
        <f>'Both teabags AfterDry'!A149</f>
        <v>G292</v>
      </c>
      <c r="U151" t="str">
        <f>'Both teabags AfterDry'!A484</f>
        <v>R621</v>
      </c>
      <c r="V151" t="b">
        <f t="shared" si="114"/>
        <v>0</v>
      </c>
      <c r="W151" t="b">
        <f t="shared" si="141"/>
        <v>0</v>
      </c>
      <c r="Y151" t="str">
        <f>'Green_rooibos initial weight'!A152</f>
        <v>G148</v>
      </c>
      <c r="Z151" t="str">
        <f>'Green_rooibos initial weight'!A1056</f>
        <v>R148</v>
      </c>
      <c r="AA151" t="b">
        <f t="shared" si="115"/>
        <v>0</v>
      </c>
      <c r="AB151" t="b">
        <f t="shared" si="116"/>
        <v>0</v>
      </c>
      <c r="AE151" t="str">
        <f>'WetLitterbags placem_collection'!K150</f>
        <v>G835</v>
      </c>
      <c r="AF151" t="str">
        <f>'WetLitterbags placem_collection'!M150</f>
        <v>R472</v>
      </c>
      <c r="AG151" t="b">
        <f t="shared" si="117"/>
        <v>0</v>
      </c>
      <c r="AH151" t="b">
        <f t="shared" si="118"/>
        <v>0</v>
      </c>
      <c r="AJ151" t="b">
        <f t="shared" si="119"/>
        <v>0</v>
      </c>
      <c r="AK151" t="b">
        <f t="shared" si="120"/>
        <v>0</v>
      </c>
      <c r="AM151" t="str">
        <f>IF(ISBLANK('Dry_Litterbag Placem_Collection'!J150),"","G"&amp;""&amp;'Dry_Litterbag Placem_Collection'!J150)</f>
        <v>G290</v>
      </c>
      <c r="AN151" t="str">
        <f>IF(ISBLANK('Dry_Litterbag Placem_Collection'!K150),"","R"&amp;""&amp;'Dry_Litterbag Placem_Collection'!K150)</f>
        <v>R823</v>
      </c>
      <c r="AO151" t="b">
        <f t="shared" si="121"/>
        <v>0</v>
      </c>
      <c r="AP151" t="b">
        <f t="shared" si="122"/>
        <v>0</v>
      </c>
      <c r="AS151" t="str">
        <f>'Ashed teabags dry'!A149</f>
        <v>G292</v>
      </c>
      <c r="AT151" t="str">
        <f>'Ashed teabags dry'!A484</f>
        <v>R621</v>
      </c>
      <c r="AU151" t="b">
        <f t="shared" si="123"/>
        <v>0</v>
      </c>
      <c r="AV151" t="b">
        <f>COUNTIF($AT$4:$AT$2000, AT151)&gt;1</f>
        <v>0</v>
      </c>
      <c r="AX151" s="395" t="b">
        <f t="shared" si="124"/>
        <v>0</v>
      </c>
      <c r="AY151" s="395" t="b">
        <f t="shared" si="125"/>
        <v>0</v>
      </c>
      <c r="BA151" t="str">
        <f>'Ashed teabags wet'!A149</f>
        <v>G551</v>
      </c>
      <c r="BB151" t="str">
        <f>'Ashed teabags wet'!A569</f>
        <v>R33</v>
      </c>
      <c r="BC151" t="b">
        <f t="shared" si="126"/>
        <v>0</v>
      </c>
      <c r="BD151" t="b">
        <f t="shared" si="106"/>
        <v>0</v>
      </c>
      <c r="BF151" t="str">
        <f t="shared" si="127"/>
        <v>G290</v>
      </c>
      <c r="BG151" t="str">
        <f>T150</f>
        <v>G290</v>
      </c>
      <c r="BH151" t="str">
        <f t="shared" si="128"/>
        <v>G15</v>
      </c>
      <c r="BI151" t="str">
        <f t="shared" si="142"/>
        <v>G15</v>
      </c>
      <c r="BJ151" t="s">
        <v>1760</v>
      </c>
      <c r="BK151" t="s">
        <v>1760</v>
      </c>
      <c r="BL151" t="s">
        <v>1760</v>
      </c>
      <c r="BM151" t="b">
        <f t="shared" si="143"/>
        <v>1</v>
      </c>
      <c r="BN151" t="str">
        <f t="shared" si="129"/>
        <v>R620</v>
      </c>
      <c r="BO151" t="str">
        <f>U150</f>
        <v>R620</v>
      </c>
      <c r="BP151" t="str">
        <f t="shared" si="130"/>
        <v>R832</v>
      </c>
      <c r="BQ151" t="str">
        <f t="shared" si="131"/>
        <v>R832</v>
      </c>
      <c r="BR151" t="s">
        <v>519</v>
      </c>
      <c r="BS151" t="s">
        <v>518</v>
      </c>
      <c r="BT151" t="s">
        <v>519</v>
      </c>
      <c r="BU151" t="b">
        <f t="shared" si="144"/>
        <v>1</v>
      </c>
      <c r="BZ151" t="str">
        <f t="shared" si="132"/>
        <v>G15</v>
      </c>
      <c r="CA151" t="b">
        <f t="shared" si="133"/>
        <v>0</v>
      </c>
      <c r="CB151" t="str">
        <f t="shared" si="145"/>
        <v>G15</v>
      </c>
      <c r="CC151" t="str">
        <f t="shared" si="134"/>
        <v>R832</v>
      </c>
      <c r="CD151" t="b">
        <f t="shared" si="146"/>
        <v>0</v>
      </c>
      <c r="CE151" t="str">
        <f t="shared" si="147"/>
        <v>R832</v>
      </c>
      <c r="CG151" t="str">
        <f t="shared" si="135"/>
        <v>G550</v>
      </c>
      <c r="CH151" t="str">
        <f t="shared" si="148"/>
        <v>G550</v>
      </c>
      <c r="CI151" t="str">
        <f>AE150</f>
        <v>G678</v>
      </c>
      <c r="CJ151" t="str">
        <f t="shared" si="136"/>
        <v>G678</v>
      </c>
      <c r="CK151" t="s">
        <v>1500</v>
      </c>
      <c r="CL151" t="s">
        <v>1500</v>
      </c>
      <c r="CM151" t="s">
        <v>1500</v>
      </c>
      <c r="CN151" t="b">
        <f t="shared" si="149"/>
        <v>1</v>
      </c>
      <c r="CO151" t="str">
        <f t="shared" si="137"/>
        <v>R329</v>
      </c>
      <c r="CP151" t="str">
        <f t="shared" si="150"/>
        <v>R329</v>
      </c>
      <c r="CQ151" t="str">
        <f>AF150</f>
        <v>R573</v>
      </c>
      <c r="CR151" t="str">
        <f t="shared" si="138"/>
        <v>R573</v>
      </c>
      <c r="CS151" t="s">
        <v>812</v>
      </c>
      <c r="CT151" t="s">
        <v>812</v>
      </c>
      <c r="CU151" t="s">
        <v>812</v>
      </c>
      <c r="CV151" t="b">
        <f t="shared" si="151"/>
        <v>1</v>
      </c>
      <c r="DC151" t="str">
        <f t="shared" si="139"/>
        <v>G678</v>
      </c>
      <c r="DD151" t="b">
        <f t="shared" si="152"/>
        <v>0</v>
      </c>
      <c r="DE151" t="str">
        <f t="shared" si="153"/>
        <v>G678</v>
      </c>
      <c r="DF151" t="str">
        <f t="shared" si="140"/>
        <v>R573</v>
      </c>
      <c r="DG151" t="b">
        <f t="shared" si="154"/>
        <v>0</v>
      </c>
      <c r="DH151" t="str">
        <f t="shared" si="155"/>
        <v>R573</v>
      </c>
    </row>
    <row r="152" spans="2:112" ht="12" customHeight="1">
      <c r="B152" t="str">
        <f>TBIDry!H224</f>
        <v>G194</v>
      </c>
      <c r="C152" t="str">
        <f>TBIDry!I224</f>
        <v>R703</v>
      </c>
      <c r="D152" t="b">
        <f t="shared" si="107"/>
        <v>0</v>
      </c>
      <c r="E152" t="b">
        <f t="shared" si="108"/>
        <v>0</v>
      </c>
      <c r="G152" t="str">
        <f>TBIWet!H224</f>
        <v>G733</v>
      </c>
      <c r="H152" t="str">
        <f>TBIWet!I224</f>
        <v>R545</v>
      </c>
      <c r="I152" t="b">
        <f t="shared" si="109"/>
        <v>0</v>
      </c>
      <c r="J152" t="b">
        <f t="shared" si="110"/>
        <v>0</v>
      </c>
      <c r="L152" t="str">
        <f>'Both teabags AfterWet'!A150</f>
        <v>G552</v>
      </c>
      <c r="M152" t="str">
        <f>'Both teabags AfterWet'!A570</f>
        <v>R330</v>
      </c>
      <c r="N152" t="b">
        <f t="shared" si="111"/>
        <v>0</v>
      </c>
      <c r="O152" t="b">
        <f t="shared" si="156"/>
        <v>0</v>
      </c>
      <c r="Q152" s="395" t="b">
        <f t="shared" si="112"/>
        <v>0</v>
      </c>
      <c r="R152" s="395" t="b">
        <f t="shared" si="113"/>
        <v>0</v>
      </c>
      <c r="T152" t="str">
        <f>'Both teabags AfterDry'!A150</f>
        <v>G293</v>
      </c>
      <c r="U152" t="str">
        <f>'Both teabags AfterDry'!A485</f>
        <v>R622</v>
      </c>
      <c r="V152" t="b">
        <f t="shared" si="114"/>
        <v>0</v>
      </c>
      <c r="W152" t="b">
        <f t="shared" si="141"/>
        <v>0</v>
      </c>
      <c r="Y152" t="str">
        <f>'Green_rooibos initial weight'!A153</f>
        <v>G149</v>
      </c>
      <c r="Z152" t="str">
        <f>'Green_rooibos initial weight'!A1057</f>
        <v>R149</v>
      </c>
      <c r="AA152" t="b">
        <f t="shared" si="115"/>
        <v>0</v>
      </c>
      <c r="AB152" t="b">
        <f t="shared" si="116"/>
        <v>0</v>
      </c>
      <c r="AE152" t="str">
        <f>'WetLitterbags placem_collection'!K151</f>
        <v>G733</v>
      </c>
      <c r="AF152" t="str">
        <f>'WetLitterbags placem_collection'!M151</f>
        <v>R545</v>
      </c>
      <c r="AG152" t="b">
        <f t="shared" si="117"/>
        <v>0</v>
      </c>
      <c r="AH152" t="b">
        <f t="shared" si="118"/>
        <v>0</v>
      </c>
      <c r="AJ152" t="b">
        <f t="shared" si="119"/>
        <v>0</v>
      </c>
      <c r="AK152" t="b">
        <f t="shared" si="120"/>
        <v>0</v>
      </c>
      <c r="AM152" t="str">
        <f>IF(ISBLANK('Dry_Litterbag Placem_Collection'!J151),"","G"&amp;""&amp;'Dry_Litterbag Placem_Collection'!J151)</f>
        <v>G194</v>
      </c>
      <c r="AN152" t="str">
        <f>IF(ISBLANK('Dry_Litterbag Placem_Collection'!K151),"","R"&amp;""&amp;'Dry_Litterbag Placem_Collection'!K151)</f>
        <v>R703</v>
      </c>
      <c r="AO152" t="b">
        <f t="shared" si="121"/>
        <v>0</v>
      </c>
      <c r="AP152" t="b">
        <f t="shared" si="122"/>
        <v>0</v>
      </c>
      <c r="AS152" t="str">
        <f>'Ashed teabags dry'!A150</f>
        <v>G293</v>
      </c>
      <c r="AT152" t="str">
        <f>'Ashed teabags dry'!A485</f>
        <v>R622</v>
      </c>
      <c r="AU152" t="b">
        <f t="shared" si="123"/>
        <v>0</v>
      </c>
      <c r="AV152" t="b">
        <f>COUNTIF($AT$4:$AT$2000, AT152)&gt;1</f>
        <v>0</v>
      </c>
      <c r="AX152" s="395" t="b">
        <f t="shared" si="124"/>
        <v>0</v>
      </c>
      <c r="AY152" s="395" t="b">
        <f t="shared" si="125"/>
        <v>0</v>
      </c>
      <c r="BA152" t="str">
        <f>'Ashed teabags wet'!A150</f>
        <v>G552</v>
      </c>
      <c r="BB152" t="str">
        <f>'Ashed teabags wet'!A570</f>
        <v>R330</v>
      </c>
      <c r="BC152" t="b">
        <f t="shared" si="126"/>
        <v>0</v>
      </c>
      <c r="BD152" t="b">
        <f t="shared" si="106"/>
        <v>0</v>
      </c>
      <c r="BF152" t="str">
        <f t="shared" si="127"/>
        <v>G292</v>
      </c>
      <c r="BG152" t="str">
        <f>T151</f>
        <v>G292</v>
      </c>
      <c r="BH152" t="str">
        <f t="shared" si="128"/>
        <v>G290</v>
      </c>
      <c r="BI152" t="str">
        <f t="shared" si="142"/>
        <v>G290</v>
      </c>
      <c r="BJ152" t="s">
        <v>1758</v>
      </c>
      <c r="BK152" t="s">
        <v>1758</v>
      </c>
      <c r="BL152" t="s">
        <v>1758</v>
      </c>
      <c r="BM152" t="b">
        <f t="shared" si="143"/>
        <v>1</v>
      </c>
      <c r="BN152" t="str">
        <f t="shared" si="129"/>
        <v>R621</v>
      </c>
      <c r="BO152" t="str">
        <f>U151</f>
        <v>R621</v>
      </c>
      <c r="BP152" t="str">
        <f t="shared" si="130"/>
        <v>R823</v>
      </c>
      <c r="BQ152" t="str">
        <f t="shared" si="131"/>
        <v>R823</v>
      </c>
      <c r="BR152" t="s">
        <v>518</v>
      </c>
      <c r="BS152" t="s">
        <v>517</v>
      </c>
      <c r="BT152" t="s">
        <v>518</v>
      </c>
      <c r="BU152" t="b">
        <f t="shared" si="144"/>
        <v>1</v>
      </c>
      <c r="BV152" s="113"/>
      <c r="BW152" s="113"/>
      <c r="BZ152" t="str">
        <f t="shared" si="132"/>
        <v>G290</v>
      </c>
      <c r="CA152" t="b">
        <f t="shared" si="133"/>
        <v>0</v>
      </c>
      <c r="CB152" t="str">
        <f t="shared" si="145"/>
        <v>G290</v>
      </c>
      <c r="CC152" t="str">
        <f t="shared" si="134"/>
        <v>R823</v>
      </c>
      <c r="CD152" t="b">
        <f t="shared" si="146"/>
        <v>0</v>
      </c>
      <c r="CE152" t="str">
        <f t="shared" si="147"/>
        <v>R823</v>
      </c>
      <c r="CG152" t="str">
        <f t="shared" si="135"/>
        <v>G551</v>
      </c>
      <c r="CH152" t="str">
        <f t="shared" si="148"/>
        <v>G551</v>
      </c>
      <c r="CI152" t="str">
        <f>AE151</f>
        <v>G835</v>
      </c>
      <c r="CJ152" t="str">
        <f t="shared" si="136"/>
        <v>G835</v>
      </c>
      <c r="CK152" t="s">
        <v>1499</v>
      </c>
      <c r="CL152" t="s">
        <v>1499</v>
      </c>
      <c r="CM152" t="s">
        <v>1499</v>
      </c>
      <c r="CN152" t="b">
        <f t="shared" si="149"/>
        <v>1</v>
      </c>
      <c r="CO152" t="str">
        <f t="shared" si="137"/>
        <v>R33</v>
      </c>
      <c r="CP152" t="str">
        <f t="shared" si="150"/>
        <v>R33</v>
      </c>
      <c r="CQ152" t="str">
        <f>AF151</f>
        <v>R472</v>
      </c>
      <c r="CR152" t="str">
        <f t="shared" si="138"/>
        <v>R472</v>
      </c>
      <c r="CS152" t="s">
        <v>1108</v>
      </c>
      <c r="CT152" t="s">
        <v>1108</v>
      </c>
      <c r="CU152" t="s">
        <v>1108</v>
      </c>
      <c r="CV152" t="b">
        <f t="shared" si="151"/>
        <v>1</v>
      </c>
      <c r="DC152" t="str">
        <f t="shared" si="139"/>
        <v>G835</v>
      </c>
      <c r="DD152" t="b">
        <f t="shared" si="152"/>
        <v>0</v>
      </c>
      <c r="DE152" t="str">
        <f t="shared" si="153"/>
        <v>G835</v>
      </c>
      <c r="DF152" t="str">
        <f t="shared" si="140"/>
        <v>R472</v>
      </c>
      <c r="DG152" t="b">
        <f t="shared" si="154"/>
        <v>0</v>
      </c>
      <c r="DH152" t="str">
        <f t="shared" si="155"/>
        <v>R472</v>
      </c>
    </row>
    <row r="153" spans="2:112" ht="12" customHeight="1">
      <c r="B153" t="str">
        <f>TBIDry!H225</f>
        <v>G272</v>
      </c>
      <c r="C153" t="str">
        <f>TBIDry!I225</f>
        <v>R668</v>
      </c>
      <c r="D153" t="b">
        <f t="shared" si="107"/>
        <v>0</v>
      </c>
      <c r="E153" t="b">
        <f t="shared" si="108"/>
        <v>0</v>
      </c>
      <c r="G153" t="str">
        <f>TBIWet!H225</f>
        <v>G658</v>
      </c>
      <c r="H153" t="str">
        <f>TBIWet!I225</f>
        <v>R7</v>
      </c>
      <c r="I153" t="b">
        <f t="shared" si="109"/>
        <v>0</v>
      </c>
      <c r="J153" t="b">
        <f t="shared" si="110"/>
        <v>0</v>
      </c>
      <c r="L153" t="str">
        <f>'Both teabags AfterWet'!A151</f>
        <v>G554</v>
      </c>
      <c r="M153" t="str">
        <f>'Both teabags AfterWet'!A571</f>
        <v>R331</v>
      </c>
      <c r="N153" t="b">
        <f t="shared" si="111"/>
        <v>0</v>
      </c>
      <c r="O153" t="b">
        <f t="shared" si="156"/>
        <v>0</v>
      </c>
      <c r="Q153" s="395" t="b">
        <f t="shared" si="112"/>
        <v>0</v>
      </c>
      <c r="R153" s="395" t="b">
        <f t="shared" si="113"/>
        <v>0</v>
      </c>
      <c r="T153" t="str">
        <f>'Both teabags AfterDry'!A151</f>
        <v>G294</v>
      </c>
      <c r="U153" t="str">
        <f>'Both teabags AfterDry'!A486</f>
        <v>R623</v>
      </c>
      <c r="V153" t="b">
        <f t="shared" si="114"/>
        <v>0</v>
      </c>
      <c r="W153" t="b">
        <f t="shared" si="141"/>
        <v>0</v>
      </c>
      <c r="Y153" t="str">
        <f>'Green_rooibos initial weight'!A154</f>
        <v>G150</v>
      </c>
      <c r="Z153" t="str">
        <f>'Green_rooibos initial weight'!A1058</f>
        <v>R150</v>
      </c>
      <c r="AA153" t="b">
        <f t="shared" si="115"/>
        <v>0</v>
      </c>
      <c r="AB153" t="b">
        <f t="shared" si="116"/>
        <v>0</v>
      </c>
      <c r="AE153" t="str">
        <f>'WetLitterbags placem_collection'!K152</f>
        <v>G658</v>
      </c>
      <c r="AF153" t="str">
        <f>'WetLitterbags placem_collection'!M152</f>
        <v>R7</v>
      </c>
      <c r="AG153" t="b">
        <f t="shared" si="117"/>
        <v>0</v>
      </c>
      <c r="AH153" t="b">
        <f t="shared" si="118"/>
        <v>0</v>
      </c>
      <c r="AJ153" t="b">
        <f t="shared" si="119"/>
        <v>0</v>
      </c>
      <c r="AK153" t="b">
        <f t="shared" si="120"/>
        <v>0</v>
      </c>
      <c r="AM153" t="str">
        <f>IF(ISBLANK('Dry_Litterbag Placem_Collection'!J152),"","G"&amp;""&amp;'Dry_Litterbag Placem_Collection'!J152)</f>
        <v>G272</v>
      </c>
      <c r="AN153" t="str">
        <f>IF(ISBLANK('Dry_Litterbag Placem_Collection'!K152),"","R"&amp;""&amp;'Dry_Litterbag Placem_Collection'!K152)</f>
        <v>R668</v>
      </c>
      <c r="AO153" t="b">
        <f t="shared" si="121"/>
        <v>0</v>
      </c>
      <c r="AP153" t="b">
        <f t="shared" si="122"/>
        <v>0</v>
      </c>
      <c r="AS153" t="str">
        <f>'Ashed teabags dry'!A151</f>
        <v>G294</v>
      </c>
      <c r="AT153" t="str">
        <f>'Ashed teabags dry'!A486</f>
        <v>R623</v>
      </c>
      <c r="AU153" t="b">
        <f t="shared" si="123"/>
        <v>0</v>
      </c>
      <c r="AV153" t="b">
        <f>COUNTIF($AT$4:$AT$2000, AT153)&gt;1</f>
        <v>0</v>
      </c>
      <c r="AX153" s="395" t="b">
        <f t="shared" si="124"/>
        <v>0</v>
      </c>
      <c r="AY153" s="395" t="b">
        <f t="shared" si="125"/>
        <v>0</v>
      </c>
      <c r="BA153" t="str">
        <f>'Ashed teabags wet'!A151</f>
        <v>G554</v>
      </c>
      <c r="BB153" t="str">
        <f>'Ashed teabags wet'!A571</f>
        <v>R331</v>
      </c>
      <c r="BC153" t="b">
        <f t="shared" si="126"/>
        <v>0</v>
      </c>
      <c r="BD153" t="b">
        <f t="shared" si="106"/>
        <v>0</v>
      </c>
      <c r="BF153" t="str">
        <f t="shared" si="127"/>
        <v>G293</v>
      </c>
      <c r="BG153" t="str">
        <f>T152</f>
        <v>G293</v>
      </c>
      <c r="BH153" t="str">
        <f t="shared" si="128"/>
        <v>G194</v>
      </c>
      <c r="BI153" t="str">
        <f t="shared" si="142"/>
        <v>G194</v>
      </c>
      <c r="BJ153" t="s">
        <v>1757</v>
      </c>
      <c r="BK153" t="s">
        <v>1757</v>
      </c>
      <c r="BL153" t="s">
        <v>1757</v>
      </c>
      <c r="BM153" t="b">
        <f t="shared" si="143"/>
        <v>1</v>
      </c>
      <c r="BN153" t="str">
        <f t="shared" si="129"/>
        <v>R622</v>
      </c>
      <c r="BO153" t="str">
        <f>U152</f>
        <v>R622</v>
      </c>
      <c r="BP153" t="str">
        <f t="shared" si="130"/>
        <v>R703</v>
      </c>
      <c r="BQ153" t="str">
        <f t="shared" si="131"/>
        <v>R703</v>
      </c>
      <c r="BR153" t="s">
        <v>517</v>
      </c>
      <c r="BS153" t="s">
        <v>516</v>
      </c>
      <c r="BT153" t="s">
        <v>517</v>
      </c>
      <c r="BU153" t="b">
        <f t="shared" si="144"/>
        <v>1</v>
      </c>
      <c r="BZ153" t="str">
        <f t="shared" si="132"/>
        <v>G194</v>
      </c>
      <c r="CA153" t="b">
        <f t="shared" si="133"/>
        <v>0</v>
      </c>
      <c r="CB153" t="str">
        <f t="shared" si="145"/>
        <v>G194</v>
      </c>
      <c r="CC153" t="str">
        <f t="shared" si="134"/>
        <v>R703</v>
      </c>
      <c r="CD153" t="b">
        <f t="shared" si="146"/>
        <v>0</v>
      </c>
      <c r="CE153" t="str">
        <f t="shared" si="147"/>
        <v>R703</v>
      </c>
      <c r="CG153" t="str">
        <f t="shared" si="135"/>
        <v>G552</v>
      </c>
      <c r="CH153" t="str">
        <f t="shared" si="148"/>
        <v>G552</v>
      </c>
      <c r="CI153" t="str">
        <f>AE152</f>
        <v>G733</v>
      </c>
      <c r="CJ153" t="str">
        <f t="shared" si="136"/>
        <v>G733</v>
      </c>
      <c r="CK153" t="s">
        <v>1498</v>
      </c>
      <c r="CL153" t="s">
        <v>1498</v>
      </c>
      <c r="CM153" t="s">
        <v>1498</v>
      </c>
      <c r="CN153" t="b">
        <f t="shared" si="149"/>
        <v>1</v>
      </c>
      <c r="CO153" t="str">
        <f t="shared" si="137"/>
        <v>R330</v>
      </c>
      <c r="CP153" t="str">
        <f t="shared" si="150"/>
        <v>R330</v>
      </c>
      <c r="CQ153" t="str">
        <f>AF152</f>
        <v>R545</v>
      </c>
      <c r="CR153" t="str">
        <f t="shared" si="138"/>
        <v>R545</v>
      </c>
      <c r="CS153" t="s">
        <v>811</v>
      </c>
      <c r="CT153" t="s">
        <v>811</v>
      </c>
      <c r="CU153" t="s">
        <v>811</v>
      </c>
      <c r="CV153" t="b">
        <f t="shared" si="151"/>
        <v>1</v>
      </c>
      <c r="DC153" t="str">
        <f t="shared" si="139"/>
        <v>G733</v>
      </c>
      <c r="DD153" t="b">
        <f t="shared" si="152"/>
        <v>0</v>
      </c>
      <c r="DE153" t="str">
        <f t="shared" si="153"/>
        <v>G733</v>
      </c>
      <c r="DF153" t="str">
        <f t="shared" si="140"/>
        <v>R545</v>
      </c>
      <c r="DG153" t="b">
        <f t="shared" si="154"/>
        <v>0</v>
      </c>
      <c r="DH153" t="str">
        <f t="shared" si="155"/>
        <v>R545</v>
      </c>
    </row>
    <row r="154" spans="2:112" ht="12" customHeight="1">
      <c r="B154" t="str">
        <f>TBIDry!H226</f>
        <v/>
      </c>
      <c r="C154" t="str">
        <f>TBIDry!I226</f>
        <v/>
      </c>
      <c r="D154" t="b">
        <f t="shared" si="107"/>
        <v>1</v>
      </c>
      <c r="E154" t="b">
        <f t="shared" si="108"/>
        <v>1</v>
      </c>
      <c r="G154" t="str">
        <f>TBIWet!H226</f>
        <v>G567</v>
      </c>
      <c r="H154" t="str">
        <f>TBIWet!I226</f>
        <v>R447</v>
      </c>
      <c r="I154" t="b">
        <f t="shared" si="109"/>
        <v>0</v>
      </c>
      <c r="J154" t="b">
        <f t="shared" si="110"/>
        <v>0</v>
      </c>
      <c r="L154" t="str">
        <f>'Both teabags AfterWet'!A152</f>
        <v>G556</v>
      </c>
      <c r="M154" t="str">
        <f>'Both teabags AfterWet'!A572</f>
        <v>R333</v>
      </c>
      <c r="N154" t="b">
        <f t="shared" si="111"/>
        <v>0</v>
      </c>
      <c r="O154" t="b">
        <f t="shared" si="156"/>
        <v>0</v>
      </c>
      <c r="Q154" s="395" t="b">
        <f t="shared" si="112"/>
        <v>0</v>
      </c>
      <c r="R154" s="395" t="b">
        <f t="shared" si="113"/>
        <v>0</v>
      </c>
      <c r="T154" t="str">
        <f>'Both teabags AfterDry'!A152</f>
        <v>G295</v>
      </c>
      <c r="U154" t="str">
        <f>'Both teabags AfterDry'!A487</f>
        <v>R624</v>
      </c>
      <c r="V154" t="b">
        <f t="shared" si="114"/>
        <v>0</v>
      </c>
      <c r="W154" t="b">
        <f t="shared" si="141"/>
        <v>0</v>
      </c>
      <c r="Y154" t="str">
        <f>'Green_rooibos initial weight'!A155</f>
        <v>G151</v>
      </c>
      <c r="Z154" t="str">
        <f>'Green_rooibos initial weight'!A1059</f>
        <v>R151</v>
      </c>
      <c r="AA154" t="b">
        <f t="shared" si="115"/>
        <v>0</v>
      </c>
      <c r="AB154" t="b">
        <f t="shared" si="116"/>
        <v>0</v>
      </c>
      <c r="AE154" t="str">
        <f>'WetLitterbags placem_collection'!K153</f>
        <v>G567</v>
      </c>
      <c r="AF154" t="str">
        <f>'WetLitterbags placem_collection'!M153</f>
        <v>R447</v>
      </c>
      <c r="AG154" t="b">
        <f t="shared" si="117"/>
        <v>0</v>
      </c>
      <c r="AH154" t="b">
        <f t="shared" si="118"/>
        <v>0</v>
      </c>
      <c r="AJ154" t="b">
        <f t="shared" si="119"/>
        <v>0</v>
      </c>
      <c r="AK154" t="b">
        <f t="shared" si="120"/>
        <v>0</v>
      </c>
      <c r="AM154" t="str">
        <f>IF(ISBLANK('Dry_Litterbag Placem_Collection'!J153),"","G"&amp;""&amp;'Dry_Litterbag Placem_Collection'!J153)</f>
        <v/>
      </c>
      <c r="AN154" t="str">
        <f>IF(ISBLANK('Dry_Litterbag Placem_Collection'!K153),"","R"&amp;""&amp;'Dry_Litterbag Placem_Collection'!K153)</f>
        <v/>
      </c>
      <c r="AO154" t="b">
        <f t="shared" si="121"/>
        <v>1</v>
      </c>
      <c r="AP154" t="b">
        <f t="shared" si="122"/>
        <v>1</v>
      </c>
      <c r="AS154" t="str">
        <f>'Ashed teabags dry'!A152</f>
        <v>G295</v>
      </c>
      <c r="AT154" t="str">
        <f>'Ashed teabags dry'!A487</f>
        <v>R624</v>
      </c>
      <c r="AU154" t="b">
        <f t="shared" si="123"/>
        <v>0</v>
      </c>
      <c r="AV154" t="b">
        <f>COUNTIF($AT$4:$AT$2000, AT154)&gt;1</f>
        <v>0</v>
      </c>
      <c r="AX154" s="395" t="b">
        <f t="shared" si="124"/>
        <v>0</v>
      </c>
      <c r="AY154" s="395" t="b">
        <f t="shared" si="125"/>
        <v>0</v>
      </c>
      <c r="BA154" t="str">
        <f>'Ashed teabags wet'!A152</f>
        <v>G556</v>
      </c>
      <c r="BB154" t="str">
        <f>'Ashed teabags wet'!A572</f>
        <v>R333</v>
      </c>
      <c r="BC154" t="b">
        <f t="shared" si="126"/>
        <v>0</v>
      </c>
      <c r="BD154" t="b">
        <f t="shared" si="106"/>
        <v>0</v>
      </c>
      <c r="BF154" t="str">
        <f t="shared" si="127"/>
        <v>G294</v>
      </c>
      <c r="BG154" t="str">
        <f>T153</f>
        <v>G294</v>
      </c>
      <c r="BH154" t="str">
        <f t="shared" si="128"/>
        <v>G272</v>
      </c>
      <c r="BI154" t="str">
        <f t="shared" si="142"/>
        <v/>
      </c>
      <c r="BJ154" t="s">
        <v>1756</v>
      </c>
      <c r="BK154" t="s">
        <v>1756</v>
      </c>
      <c r="BL154" t="s">
        <v>1756</v>
      </c>
      <c r="BM154" t="b">
        <f t="shared" si="143"/>
        <v>1</v>
      </c>
      <c r="BN154" t="str">
        <f t="shared" si="129"/>
        <v>R623</v>
      </c>
      <c r="BO154" t="str">
        <f>U153</f>
        <v>R623</v>
      </c>
      <c r="BP154" t="str">
        <f t="shared" si="130"/>
        <v>R668</v>
      </c>
      <c r="BQ154" t="str">
        <f t="shared" si="131"/>
        <v/>
      </c>
      <c r="BR154" t="s">
        <v>516</v>
      </c>
      <c r="BS154" t="s">
        <v>515</v>
      </c>
      <c r="BT154" t="s">
        <v>516</v>
      </c>
      <c r="BU154" t="b">
        <f t="shared" si="144"/>
        <v>1</v>
      </c>
      <c r="BZ154" t="str">
        <f t="shared" si="132"/>
        <v>G272</v>
      </c>
      <c r="CA154" t="b">
        <f t="shared" si="133"/>
        <v>1</v>
      </c>
      <c r="CB154" t="str">
        <f t="shared" si="145"/>
        <v/>
      </c>
      <c r="CC154" t="str">
        <f t="shared" si="134"/>
        <v>R668</v>
      </c>
      <c r="CD154" t="b">
        <f t="shared" si="146"/>
        <v>1</v>
      </c>
      <c r="CE154" t="str">
        <f t="shared" si="147"/>
        <v/>
      </c>
      <c r="CG154" t="str">
        <f t="shared" si="135"/>
        <v>G554</v>
      </c>
      <c r="CH154" t="str">
        <f t="shared" si="148"/>
        <v>G554</v>
      </c>
      <c r="CI154" t="str">
        <f>AE153</f>
        <v>G658</v>
      </c>
      <c r="CJ154" t="str">
        <f t="shared" si="136"/>
        <v>G658</v>
      </c>
      <c r="CK154" t="s">
        <v>1496</v>
      </c>
      <c r="CL154" t="s">
        <v>1496</v>
      </c>
      <c r="CM154" t="s">
        <v>1496</v>
      </c>
      <c r="CN154" t="b">
        <f t="shared" si="149"/>
        <v>1</v>
      </c>
      <c r="CO154" t="str">
        <f t="shared" si="137"/>
        <v>R331</v>
      </c>
      <c r="CP154" t="str">
        <f t="shared" si="150"/>
        <v>R331</v>
      </c>
      <c r="CQ154" t="str">
        <f>AF153</f>
        <v>R7</v>
      </c>
      <c r="CR154" t="str">
        <f t="shared" si="138"/>
        <v>R7</v>
      </c>
      <c r="CS154" t="s">
        <v>810</v>
      </c>
      <c r="CT154" t="s">
        <v>810</v>
      </c>
      <c r="CU154" t="s">
        <v>810</v>
      </c>
      <c r="CV154" t="b">
        <f t="shared" si="151"/>
        <v>1</v>
      </c>
      <c r="DC154" t="str">
        <f t="shared" si="139"/>
        <v>G658</v>
      </c>
      <c r="DD154" t="b">
        <f t="shared" si="152"/>
        <v>0</v>
      </c>
      <c r="DE154" t="str">
        <f t="shared" si="153"/>
        <v>G658</v>
      </c>
      <c r="DF154" t="str">
        <f t="shared" si="140"/>
        <v>R7</v>
      </c>
      <c r="DG154" t="b">
        <f t="shared" si="154"/>
        <v>0</v>
      </c>
      <c r="DH154" t="str">
        <f t="shared" si="155"/>
        <v>R7</v>
      </c>
    </row>
    <row r="155" spans="2:112" ht="12" customHeight="1">
      <c r="B155" t="str">
        <f>TBIDry!H227</f>
        <v>G198</v>
      </c>
      <c r="C155" t="str">
        <f>TBIDry!I227</f>
        <v>R788</v>
      </c>
      <c r="D155" t="b">
        <f t="shared" si="107"/>
        <v>0</v>
      </c>
      <c r="E155" t="b">
        <f t="shared" si="108"/>
        <v>0</v>
      </c>
      <c r="G155" t="str">
        <f>TBIWet!H227</f>
        <v>G853</v>
      </c>
      <c r="H155" t="str">
        <f>TBIWet!I227</f>
        <v>R591</v>
      </c>
      <c r="I155" t="b">
        <f t="shared" si="109"/>
        <v>0</v>
      </c>
      <c r="J155" t="b">
        <f t="shared" si="110"/>
        <v>0</v>
      </c>
      <c r="L155" t="str">
        <f>'Both teabags AfterWet'!A153</f>
        <v>G557</v>
      </c>
      <c r="M155" t="str">
        <f>'Both teabags AfterWet'!A573</f>
        <v>R334</v>
      </c>
      <c r="N155" t="b">
        <f t="shared" si="111"/>
        <v>0</v>
      </c>
      <c r="O155" t="b">
        <f t="shared" si="156"/>
        <v>0</v>
      </c>
      <c r="Q155" s="395" t="b">
        <f t="shared" si="112"/>
        <v>0</v>
      </c>
      <c r="R155" s="395" t="b">
        <f t="shared" si="113"/>
        <v>0</v>
      </c>
      <c r="T155" t="str">
        <f>'Both teabags AfterDry'!A153</f>
        <v>G30</v>
      </c>
      <c r="U155" t="str">
        <f>'Both teabags AfterDry'!A488</f>
        <v>R625</v>
      </c>
      <c r="V155" t="b">
        <f t="shared" si="114"/>
        <v>0</v>
      </c>
      <c r="W155" t="b">
        <f t="shared" si="141"/>
        <v>0</v>
      </c>
      <c r="Y155" t="str">
        <f>'Green_rooibos initial weight'!A156</f>
        <v>G152</v>
      </c>
      <c r="Z155" t="str">
        <f>'Green_rooibos initial weight'!A1060</f>
        <v>R152</v>
      </c>
      <c r="AA155" t="b">
        <f t="shared" si="115"/>
        <v>0</v>
      </c>
      <c r="AB155" t="b">
        <f t="shared" si="116"/>
        <v>0</v>
      </c>
      <c r="AE155" t="str">
        <f>'WetLitterbags placem_collection'!K154</f>
        <v>G853</v>
      </c>
      <c r="AF155" t="str">
        <f>'WetLitterbags placem_collection'!M154</f>
        <v>R591</v>
      </c>
      <c r="AG155" t="b">
        <f t="shared" si="117"/>
        <v>0</v>
      </c>
      <c r="AH155" t="b">
        <f t="shared" si="118"/>
        <v>0</v>
      </c>
      <c r="AJ155" t="b">
        <f t="shared" si="119"/>
        <v>0</v>
      </c>
      <c r="AK155" t="b">
        <f t="shared" si="120"/>
        <v>0</v>
      </c>
      <c r="AM155" t="str">
        <f>IF(ISBLANK('Dry_Litterbag Placem_Collection'!J154),"","G"&amp;""&amp;'Dry_Litterbag Placem_Collection'!J154)</f>
        <v>G198</v>
      </c>
      <c r="AN155" t="str">
        <f>IF(ISBLANK('Dry_Litterbag Placem_Collection'!K154),"","R"&amp;""&amp;'Dry_Litterbag Placem_Collection'!K154)</f>
        <v>R788</v>
      </c>
      <c r="AO155" t="b">
        <f t="shared" si="121"/>
        <v>0</v>
      </c>
      <c r="AP155" t="b">
        <f t="shared" si="122"/>
        <v>0</v>
      </c>
      <c r="AS155" t="str">
        <f>'Ashed teabags dry'!A153</f>
        <v>G30</v>
      </c>
      <c r="AT155" t="str">
        <f>'Ashed teabags dry'!A488</f>
        <v>R625</v>
      </c>
      <c r="AU155" t="b">
        <f t="shared" si="123"/>
        <v>0</v>
      </c>
      <c r="AV155" t="b">
        <f>COUNTIF($AT$4:$AT$2000, AT155)&gt;1</f>
        <v>0</v>
      </c>
      <c r="AX155" s="395" t="b">
        <f t="shared" si="124"/>
        <v>0</v>
      </c>
      <c r="AY155" s="395" t="b">
        <f t="shared" si="125"/>
        <v>0</v>
      </c>
      <c r="BA155" t="str">
        <f>'Ashed teabags wet'!A153</f>
        <v>G557</v>
      </c>
      <c r="BB155" t="str">
        <f>'Ashed teabags wet'!A573</f>
        <v>R334</v>
      </c>
      <c r="BC155" t="b">
        <f t="shared" si="126"/>
        <v>0</v>
      </c>
      <c r="BD155" t="b">
        <f t="shared" si="106"/>
        <v>0</v>
      </c>
      <c r="BF155" t="str">
        <f t="shared" si="127"/>
        <v>G295</v>
      </c>
      <c r="BG155" t="str">
        <f>T154</f>
        <v>G295</v>
      </c>
      <c r="BH155" t="str">
        <f t="shared" si="128"/>
        <v/>
      </c>
      <c r="BI155" t="str">
        <f t="shared" si="142"/>
        <v/>
      </c>
      <c r="BJ155" t="s">
        <v>1755</v>
      </c>
      <c r="BK155" t="s">
        <v>1755</v>
      </c>
      <c r="BL155" t="s">
        <v>1755</v>
      </c>
      <c r="BM155" t="b">
        <f t="shared" si="143"/>
        <v>1</v>
      </c>
      <c r="BN155" t="str">
        <f t="shared" si="129"/>
        <v>R624</v>
      </c>
      <c r="BO155" t="str">
        <f>U154</f>
        <v>R624</v>
      </c>
      <c r="BP155" t="str">
        <f t="shared" si="130"/>
        <v/>
      </c>
      <c r="BQ155" t="str">
        <f t="shared" si="131"/>
        <v/>
      </c>
      <c r="BR155" t="s">
        <v>515</v>
      </c>
      <c r="BS155" t="s">
        <v>514</v>
      </c>
      <c r="BT155" t="s">
        <v>515</v>
      </c>
      <c r="BU155" t="b">
        <f t="shared" si="144"/>
        <v>1</v>
      </c>
      <c r="BZ155" t="str">
        <f t="shared" si="132"/>
        <v/>
      </c>
      <c r="CA155" t="b">
        <f t="shared" si="133"/>
        <v>0</v>
      </c>
      <c r="CB155" t="str">
        <f t="shared" si="145"/>
        <v/>
      </c>
      <c r="CC155" t="str">
        <f t="shared" si="134"/>
        <v/>
      </c>
      <c r="CD155" t="b">
        <f t="shared" si="146"/>
        <v>0</v>
      </c>
      <c r="CE155" t="str">
        <f t="shared" si="147"/>
        <v/>
      </c>
      <c r="CG155" t="str">
        <f t="shared" si="135"/>
        <v>G556</v>
      </c>
      <c r="CH155" t="str">
        <f t="shared" si="148"/>
        <v>G556</v>
      </c>
      <c r="CI155" t="str">
        <f>AE154</f>
        <v>G567</v>
      </c>
      <c r="CJ155" t="str">
        <f t="shared" si="136"/>
        <v>G567</v>
      </c>
      <c r="CK155" t="s">
        <v>1494</v>
      </c>
      <c r="CL155" t="s">
        <v>1494</v>
      </c>
      <c r="CM155" t="s">
        <v>1494</v>
      </c>
      <c r="CN155" t="b">
        <f t="shared" si="149"/>
        <v>1</v>
      </c>
      <c r="CO155" t="str">
        <f t="shared" si="137"/>
        <v>R333</v>
      </c>
      <c r="CP155" t="str">
        <f t="shared" si="150"/>
        <v>R333</v>
      </c>
      <c r="CQ155" t="str">
        <f>AF154</f>
        <v>R447</v>
      </c>
      <c r="CR155" t="str">
        <f t="shared" si="138"/>
        <v>R447</v>
      </c>
      <c r="CS155" t="s">
        <v>808</v>
      </c>
      <c r="CT155" t="s">
        <v>808</v>
      </c>
      <c r="CU155" t="s">
        <v>808</v>
      </c>
      <c r="CV155" t="b">
        <f t="shared" si="151"/>
        <v>1</v>
      </c>
      <c r="DC155" t="str">
        <f t="shared" si="139"/>
        <v>G567</v>
      </c>
      <c r="DD155" t="b">
        <f t="shared" si="152"/>
        <v>0</v>
      </c>
      <c r="DE155" t="str">
        <f t="shared" si="153"/>
        <v>G567</v>
      </c>
      <c r="DF155" t="str">
        <f t="shared" si="140"/>
        <v>R447</v>
      </c>
      <c r="DG155" t="b">
        <f t="shared" si="154"/>
        <v>0</v>
      </c>
      <c r="DH155" t="str">
        <f t="shared" si="155"/>
        <v>R447</v>
      </c>
    </row>
    <row r="156" spans="2:112" ht="12" customHeight="1">
      <c r="B156" t="str">
        <f>TBIDry!H228</f>
        <v>G197</v>
      </c>
      <c r="C156" t="str">
        <f>TBIDry!I228</f>
        <v>R735</v>
      </c>
      <c r="D156" t="b">
        <f t="shared" si="107"/>
        <v>0</v>
      </c>
      <c r="E156" t="b">
        <f t="shared" si="108"/>
        <v>0</v>
      </c>
      <c r="G156" t="str">
        <f>TBIWet!H228</f>
        <v>G800</v>
      </c>
      <c r="H156" t="str">
        <f>TBIWet!I228</f>
        <v>R479</v>
      </c>
      <c r="I156" t="b">
        <f t="shared" si="109"/>
        <v>0</v>
      </c>
      <c r="J156" t="b">
        <f t="shared" si="110"/>
        <v>0</v>
      </c>
      <c r="L156" t="str">
        <f>'Both teabags AfterWet'!A154</f>
        <v>G560</v>
      </c>
      <c r="M156" t="str">
        <f>'Both teabags AfterWet'!A574</f>
        <v>R336</v>
      </c>
      <c r="N156" t="b">
        <f t="shared" si="111"/>
        <v>0</v>
      </c>
      <c r="O156" t="b">
        <f t="shared" si="156"/>
        <v>0</v>
      </c>
      <c r="Q156" s="395" t="b">
        <f t="shared" si="112"/>
        <v>0</v>
      </c>
      <c r="R156" s="395" t="b">
        <f t="shared" si="113"/>
        <v>0</v>
      </c>
      <c r="T156" t="str">
        <f>'Both teabags AfterDry'!A154</f>
        <v>G300</v>
      </c>
      <c r="U156" t="str">
        <f>'Both teabags AfterDry'!A489</f>
        <v>R627</v>
      </c>
      <c r="V156" t="b">
        <f t="shared" si="114"/>
        <v>0</v>
      </c>
      <c r="W156" t="b">
        <f t="shared" si="141"/>
        <v>0</v>
      </c>
      <c r="Y156" t="str">
        <f>'Green_rooibos initial weight'!A157</f>
        <v>G153</v>
      </c>
      <c r="Z156" t="str">
        <f>'Green_rooibos initial weight'!A1061</f>
        <v>R153</v>
      </c>
      <c r="AA156" t="b">
        <f t="shared" si="115"/>
        <v>0</v>
      </c>
      <c r="AB156" t="b">
        <f t="shared" si="116"/>
        <v>0</v>
      </c>
      <c r="AE156" t="str">
        <f>'WetLitterbags placem_collection'!K155</f>
        <v>G800</v>
      </c>
      <c r="AF156" t="str">
        <f>'WetLitterbags placem_collection'!M155</f>
        <v>R479</v>
      </c>
      <c r="AG156" t="b">
        <f t="shared" si="117"/>
        <v>0</v>
      </c>
      <c r="AH156" t="b">
        <f t="shared" si="118"/>
        <v>0</v>
      </c>
      <c r="AJ156" t="b">
        <f t="shared" si="119"/>
        <v>0</v>
      </c>
      <c r="AK156" t="b">
        <f t="shared" si="120"/>
        <v>0</v>
      </c>
      <c r="AM156" t="str">
        <f>IF(ISBLANK('Dry_Litterbag Placem_Collection'!J155),"","G"&amp;""&amp;'Dry_Litterbag Placem_Collection'!J155)</f>
        <v>G197</v>
      </c>
      <c r="AN156" t="str">
        <f>IF(ISBLANK('Dry_Litterbag Placem_Collection'!K155),"","R"&amp;""&amp;'Dry_Litterbag Placem_Collection'!K155)</f>
        <v>R735</v>
      </c>
      <c r="AO156" t="b">
        <f t="shared" si="121"/>
        <v>0</v>
      </c>
      <c r="AP156" t="b">
        <f t="shared" si="122"/>
        <v>0</v>
      </c>
      <c r="AS156" t="str">
        <f>'Ashed teabags dry'!A154</f>
        <v>G300</v>
      </c>
      <c r="AT156" t="str">
        <f>'Ashed teabags dry'!A489</f>
        <v>R627</v>
      </c>
      <c r="AU156" t="b">
        <f t="shared" si="123"/>
        <v>0</v>
      </c>
      <c r="AV156" t="b">
        <f>COUNTIF($AT$4:$AT$2000, AT156)&gt;1</f>
        <v>0</v>
      </c>
      <c r="AX156" s="395" t="b">
        <f t="shared" si="124"/>
        <v>0</v>
      </c>
      <c r="AY156" s="395" t="b">
        <f t="shared" si="125"/>
        <v>0</v>
      </c>
      <c r="BA156" t="str">
        <f>'Ashed teabags wet'!A154</f>
        <v>G560</v>
      </c>
      <c r="BB156" t="str">
        <f>'Ashed teabags wet'!A574</f>
        <v>R336</v>
      </c>
      <c r="BC156" t="b">
        <f t="shared" si="126"/>
        <v>0</v>
      </c>
      <c r="BD156" t="b">
        <f t="shared" si="106"/>
        <v>0</v>
      </c>
      <c r="BF156" t="str">
        <f t="shared" si="127"/>
        <v>G30</v>
      </c>
      <c r="BG156" t="str">
        <f>T155</f>
        <v>G30</v>
      </c>
      <c r="BH156" t="str">
        <f t="shared" si="128"/>
        <v>G198</v>
      </c>
      <c r="BI156" t="str">
        <f t="shared" si="142"/>
        <v>G198</v>
      </c>
      <c r="BJ156" t="s">
        <v>2020</v>
      </c>
      <c r="BK156" t="s">
        <v>2020</v>
      </c>
      <c r="BL156" t="s">
        <v>2020</v>
      </c>
      <c r="BM156" t="b">
        <f t="shared" si="143"/>
        <v>1</v>
      </c>
      <c r="BN156" t="str">
        <f t="shared" si="129"/>
        <v>R625</v>
      </c>
      <c r="BO156" t="str">
        <f>U155</f>
        <v>R625</v>
      </c>
      <c r="BP156" t="str">
        <f t="shared" si="130"/>
        <v>R788</v>
      </c>
      <c r="BQ156" t="str">
        <f t="shared" si="131"/>
        <v>R788</v>
      </c>
      <c r="BR156" t="s">
        <v>514</v>
      </c>
      <c r="BS156" t="s">
        <v>512</v>
      </c>
      <c r="BT156" t="s">
        <v>514</v>
      </c>
      <c r="BU156" t="b">
        <f t="shared" si="144"/>
        <v>1</v>
      </c>
      <c r="BZ156" t="str">
        <f t="shared" si="132"/>
        <v>G198</v>
      </c>
      <c r="CA156" t="b">
        <f t="shared" si="133"/>
        <v>0</v>
      </c>
      <c r="CB156" t="str">
        <f t="shared" si="145"/>
        <v>G198</v>
      </c>
      <c r="CC156" t="str">
        <f t="shared" si="134"/>
        <v>R788</v>
      </c>
      <c r="CD156" t="b">
        <f t="shared" si="146"/>
        <v>0</v>
      </c>
      <c r="CE156" t="str">
        <f t="shared" si="147"/>
        <v>R788</v>
      </c>
      <c r="CG156" t="str">
        <f t="shared" si="135"/>
        <v>G557</v>
      </c>
      <c r="CH156" t="str">
        <f t="shared" si="148"/>
        <v>G557</v>
      </c>
      <c r="CI156" t="str">
        <f>AE155</f>
        <v>G853</v>
      </c>
      <c r="CJ156" t="str">
        <f t="shared" si="136"/>
        <v>G853</v>
      </c>
      <c r="CK156" t="s">
        <v>1493</v>
      </c>
      <c r="CL156" t="s">
        <v>1493</v>
      </c>
      <c r="CM156" t="s">
        <v>1493</v>
      </c>
      <c r="CN156" t="b">
        <f t="shared" si="149"/>
        <v>1</v>
      </c>
      <c r="CO156" t="str">
        <f t="shared" si="137"/>
        <v>R334</v>
      </c>
      <c r="CP156" t="str">
        <f t="shared" si="150"/>
        <v>R334</v>
      </c>
      <c r="CQ156" t="str">
        <f>AF155</f>
        <v>R591</v>
      </c>
      <c r="CR156" t="str">
        <f t="shared" si="138"/>
        <v>R591</v>
      </c>
      <c r="CS156" t="s">
        <v>807</v>
      </c>
      <c r="CT156" t="s">
        <v>807</v>
      </c>
      <c r="CU156" t="s">
        <v>807</v>
      </c>
      <c r="CV156" t="b">
        <f t="shared" si="151"/>
        <v>1</v>
      </c>
      <c r="DC156" t="str">
        <f t="shared" si="139"/>
        <v>G853</v>
      </c>
      <c r="DD156" t="b">
        <f t="shared" si="152"/>
        <v>0</v>
      </c>
      <c r="DE156" t="str">
        <f t="shared" si="153"/>
        <v>G853</v>
      </c>
      <c r="DF156" t="str">
        <f t="shared" si="140"/>
        <v>R591</v>
      </c>
      <c r="DG156" t="b">
        <f t="shared" si="154"/>
        <v>0</v>
      </c>
      <c r="DH156" t="str">
        <f t="shared" si="155"/>
        <v>R591</v>
      </c>
    </row>
    <row r="157" spans="2:112" ht="12" customHeight="1">
      <c r="B157" t="str">
        <f>TBIDry!H229</f>
        <v>G127</v>
      </c>
      <c r="C157" t="str">
        <f>TBIDry!I229</f>
        <v>R836</v>
      </c>
      <c r="D157" t="b">
        <f t="shared" si="107"/>
        <v>0</v>
      </c>
      <c r="E157" t="b">
        <f t="shared" si="108"/>
        <v>0</v>
      </c>
      <c r="G157" t="str">
        <f>TBIWet!H229</f>
        <v>G675</v>
      </c>
      <c r="H157" t="str">
        <f>TBIWet!I229</f>
        <v>R493</v>
      </c>
      <c r="I157" t="b">
        <f t="shared" si="109"/>
        <v>0</v>
      </c>
      <c r="J157" t="b">
        <f t="shared" si="110"/>
        <v>0</v>
      </c>
      <c r="L157" t="str">
        <f>'Both teabags AfterWet'!A155</f>
        <v>G561</v>
      </c>
      <c r="M157" t="str">
        <f>'Both teabags AfterWet'!A575</f>
        <v>R339</v>
      </c>
      <c r="N157" t="b">
        <f t="shared" si="111"/>
        <v>0</v>
      </c>
      <c r="O157" t="b">
        <f t="shared" si="156"/>
        <v>0</v>
      </c>
      <c r="Q157" s="395" t="b">
        <f t="shared" si="112"/>
        <v>0</v>
      </c>
      <c r="R157" s="395" t="b">
        <f t="shared" si="113"/>
        <v>0</v>
      </c>
      <c r="T157" t="str">
        <f>'Both teabags AfterDry'!A155</f>
        <v>G301</v>
      </c>
      <c r="U157" t="str">
        <f>'Both teabags AfterDry'!A490</f>
        <v>R628</v>
      </c>
      <c r="V157" t="b">
        <f t="shared" si="114"/>
        <v>0</v>
      </c>
      <c r="W157" t="b">
        <f t="shared" si="141"/>
        <v>0</v>
      </c>
      <c r="Y157" t="str">
        <f>'Green_rooibos initial weight'!A158</f>
        <v>G154</v>
      </c>
      <c r="Z157" t="str">
        <f>'Green_rooibos initial weight'!A1062</f>
        <v>R154</v>
      </c>
      <c r="AA157" t="b">
        <f t="shared" si="115"/>
        <v>0</v>
      </c>
      <c r="AB157" t="b">
        <f t="shared" si="116"/>
        <v>0</v>
      </c>
      <c r="AE157" t="str">
        <f>'WetLitterbags placem_collection'!K156</f>
        <v>G675</v>
      </c>
      <c r="AF157" t="str">
        <f>'WetLitterbags placem_collection'!M156</f>
        <v>R493</v>
      </c>
      <c r="AG157" t="b">
        <f t="shared" si="117"/>
        <v>0</v>
      </c>
      <c r="AH157" t="b">
        <f t="shared" si="118"/>
        <v>0</v>
      </c>
      <c r="AJ157" t="b">
        <f t="shared" si="119"/>
        <v>0</v>
      </c>
      <c r="AK157" t="b">
        <f t="shared" si="120"/>
        <v>0</v>
      </c>
      <c r="AM157" t="str">
        <f>IF(ISBLANK('Dry_Litterbag Placem_Collection'!J156),"","G"&amp;""&amp;'Dry_Litterbag Placem_Collection'!J156)</f>
        <v>G127</v>
      </c>
      <c r="AN157" t="str">
        <f>IF(ISBLANK('Dry_Litterbag Placem_Collection'!K156),"","R"&amp;""&amp;'Dry_Litterbag Placem_Collection'!K156)</f>
        <v>R836</v>
      </c>
      <c r="AO157" t="b">
        <f t="shared" si="121"/>
        <v>0</v>
      </c>
      <c r="AP157" t="b">
        <f t="shared" si="122"/>
        <v>0</v>
      </c>
      <c r="AS157" t="str">
        <f>'Ashed teabags dry'!A155</f>
        <v>G301</v>
      </c>
      <c r="AT157" t="str">
        <f>'Ashed teabags dry'!A490</f>
        <v>R628</v>
      </c>
      <c r="AU157" t="b">
        <f t="shared" si="123"/>
        <v>0</v>
      </c>
      <c r="AV157" t="b">
        <f>COUNTIF($AT$4:$AT$2000, AT157)&gt;1</f>
        <v>0</v>
      </c>
      <c r="AX157" s="395" t="b">
        <f t="shared" si="124"/>
        <v>0</v>
      </c>
      <c r="AY157" s="395" t="b">
        <f t="shared" si="125"/>
        <v>0</v>
      </c>
      <c r="BA157" t="str">
        <f>'Ashed teabags wet'!A155</f>
        <v>G561</v>
      </c>
      <c r="BB157" t="str">
        <f>'Ashed teabags wet'!A575</f>
        <v>R339</v>
      </c>
      <c r="BC157" t="b">
        <f t="shared" si="126"/>
        <v>0</v>
      </c>
      <c r="BD157" t="b">
        <f t="shared" si="106"/>
        <v>0</v>
      </c>
      <c r="BF157" t="str">
        <f t="shared" si="127"/>
        <v>G300</v>
      </c>
      <c r="BG157" t="str">
        <f>T156</f>
        <v>G300</v>
      </c>
      <c r="BH157" t="str">
        <f t="shared" si="128"/>
        <v>G197</v>
      </c>
      <c r="BI157" t="str">
        <f t="shared" si="142"/>
        <v>G197</v>
      </c>
      <c r="BJ157" t="s">
        <v>1750</v>
      </c>
      <c r="BK157" t="s">
        <v>1750</v>
      </c>
      <c r="BL157" t="s">
        <v>1750</v>
      </c>
      <c r="BM157" t="b">
        <f t="shared" si="143"/>
        <v>1</v>
      </c>
      <c r="BN157" t="str">
        <f t="shared" si="129"/>
        <v>R627</v>
      </c>
      <c r="BO157" t="str">
        <f>U156</f>
        <v>R627</v>
      </c>
      <c r="BP157" t="str">
        <f t="shared" si="130"/>
        <v>R735</v>
      </c>
      <c r="BQ157" t="str">
        <f t="shared" si="131"/>
        <v>R735</v>
      </c>
      <c r="BR157" t="s">
        <v>512</v>
      </c>
      <c r="BS157" t="s">
        <v>511</v>
      </c>
      <c r="BT157" t="s">
        <v>512</v>
      </c>
      <c r="BU157" t="b">
        <f t="shared" si="144"/>
        <v>1</v>
      </c>
      <c r="BZ157" t="str">
        <f t="shared" si="132"/>
        <v>G197</v>
      </c>
      <c r="CA157" t="b">
        <f t="shared" si="133"/>
        <v>0</v>
      </c>
      <c r="CB157" t="str">
        <f t="shared" si="145"/>
        <v>G197</v>
      </c>
      <c r="CC157" t="str">
        <f t="shared" si="134"/>
        <v>R735</v>
      </c>
      <c r="CD157" t="b">
        <f t="shared" si="146"/>
        <v>0</v>
      </c>
      <c r="CE157" t="str">
        <f t="shared" si="147"/>
        <v>R735</v>
      </c>
      <c r="CG157" t="str">
        <f t="shared" si="135"/>
        <v>G560</v>
      </c>
      <c r="CH157" t="str">
        <f t="shared" si="148"/>
        <v>G560</v>
      </c>
      <c r="CI157" t="str">
        <f>AE156</f>
        <v>G800</v>
      </c>
      <c r="CJ157" t="str">
        <f t="shared" si="136"/>
        <v>G800</v>
      </c>
      <c r="CK157" t="s">
        <v>1490</v>
      </c>
      <c r="CL157" t="s">
        <v>1490</v>
      </c>
      <c r="CM157" t="s">
        <v>1490</v>
      </c>
      <c r="CN157" t="b">
        <f t="shared" si="149"/>
        <v>1</v>
      </c>
      <c r="CO157" t="str">
        <f t="shared" si="137"/>
        <v>R336</v>
      </c>
      <c r="CP157" t="str">
        <f t="shared" si="150"/>
        <v>R336</v>
      </c>
      <c r="CQ157" t="str">
        <f>AF156</f>
        <v>R479</v>
      </c>
      <c r="CR157" t="str">
        <f t="shared" si="138"/>
        <v>R479</v>
      </c>
      <c r="CS157" t="s">
        <v>805</v>
      </c>
      <c r="CT157" t="s">
        <v>805</v>
      </c>
      <c r="CU157" t="s">
        <v>805</v>
      </c>
      <c r="CV157" t="b">
        <f t="shared" si="151"/>
        <v>1</v>
      </c>
      <c r="DC157" t="str">
        <f t="shared" si="139"/>
        <v>G800</v>
      </c>
      <c r="DD157" t="b">
        <f t="shared" si="152"/>
        <v>0</v>
      </c>
      <c r="DE157" t="str">
        <f t="shared" si="153"/>
        <v>G800</v>
      </c>
      <c r="DF157" t="str">
        <f t="shared" si="140"/>
        <v>R479</v>
      </c>
      <c r="DG157" t="b">
        <f t="shared" si="154"/>
        <v>0</v>
      </c>
      <c r="DH157" t="str">
        <f t="shared" si="155"/>
        <v>R479</v>
      </c>
    </row>
    <row r="158" spans="2:112" ht="12" customHeight="1">
      <c r="B158" t="str">
        <f>TBIDry!H230</f>
        <v>G253</v>
      </c>
      <c r="C158" t="str">
        <f>TBIDry!I230</f>
        <v>R337</v>
      </c>
      <c r="D158" t="b">
        <f t="shared" si="107"/>
        <v>0</v>
      </c>
      <c r="E158" t="b">
        <f t="shared" si="108"/>
        <v>0</v>
      </c>
      <c r="G158" t="str">
        <f>TBIWet!H230</f>
        <v>G859</v>
      </c>
      <c r="H158" t="str">
        <f>TBIWet!I230</f>
        <v>R484</v>
      </c>
      <c r="I158" t="b">
        <f t="shared" si="109"/>
        <v>0</v>
      </c>
      <c r="J158" t="b">
        <f t="shared" si="110"/>
        <v>0</v>
      </c>
      <c r="L158" t="str">
        <f>'Both teabags AfterWet'!A156</f>
        <v>G563</v>
      </c>
      <c r="M158" t="str">
        <f>'Both teabags AfterWet'!A576</f>
        <v>R34</v>
      </c>
      <c r="N158" t="b">
        <f t="shared" si="111"/>
        <v>0</v>
      </c>
      <c r="O158" t="b">
        <f t="shared" si="156"/>
        <v>0</v>
      </c>
      <c r="Q158" s="395" t="b">
        <f t="shared" si="112"/>
        <v>0</v>
      </c>
      <c r="R158" s="395" t="b">
        <f t="shared" si="113"/>
        <v>0</v>
      </c>
      <c r="T158" t="str">
        <f>'Both teabags AfterDry'!A156</f>
        <v>G303</v>
      </c>
      <c r="U158" t="str">
        <f>'Both teabags AfterDry'!A491</f>
        <v>R629</v>
      </c>
      <c r="V158" t="b">
        <f t="shared" si="114"/>
        <v>0</v>
      </c>
      <c r="W158" t="b">
        <f t="shared" si="141"/>
        <v>0</v>
      </c>
      <c r="Y158" t="str">
        <f>'Green_rooibos initial weight'!A159</f>
        <v>G155</v>
      </c>
      <c r="Z158" t="str">
        <f>'Green_rooibos initial weight'!A1063</f>
        <v>R155</v>
      </c>
      <c r="AA158" t="b">
        <f t="shared" si="115"/>
        <v>0</v>
      </c>
      <c r="AB158" t="b">
        <f t="shared" si="116"/>
        <v>0</v>
      </c>
      <c r="AE158" t="str">
        <f>'WetLitterbags placem_collection'!K157</f>
        <v>G859</v>
      </c>
      <c r="AF158" t="str">
        <f>'WetLitterbags placem_collection'!M157</f>
        <v>R484</v>
      </c>
      <c r="AG158" t="b">
        <f t="shared" si="117"/>
        <v>0</v>
      </c>
      <c r="AH158" t="b">
        <f t="shared" si="118"/>
        <v>0</v>
      </c>
      <c r="AJ158" t="b">
        <f t="shared" si="119"/>
        <v>0</v>
      </c>
      <c r="AK158" t="b">
        <f t="shared" si="120"/>
        <v>0</v>
      </c>
      <c r="AM158" t="str">
        <f>IF(ISBLANK('Dry_Litterbag Placem_Collection'!J157),"","G"&amp;""&amp;'Dry_Litterbag Placem_Collection'!J157)</f>
        <v>G253</v>
      </c>
      <c r="AN158" t="str">
        <f>IF(ISBLANK('Dry_Litterbag Placem_Collection'!K157),"","R"&amp;""&amp;'Dry_Litterbag Placem_Collection'!K157)</f>
        <v>R337</v>
      </c>
      <c r="AO158" t="b">
        <f t="shared" si="121"/>
        <v>0</v>
      </c>
      <c r="AP158" t="b">
        <f t="shared" si="122"/>
        <v>0</v>
      </c>
      <c r="AS158" t="str">
        <f>'Ashed teabags dry'!A156</f>
        <v>G303</v>
      </c>
      <c r="AT158" t="str">
        <f>'Ashed teabags dry'!A491</f>
        <v>R629</v>
      </c>
      <c r="AU158" t="b">
        <f t="shared" si="123"/>
        <v>0</v>
      </c>
      <c r="AV158" t="b">
        <f>COUNTIF($AT$4:$AT$2000, AT158)&gt;1</f>
        <v>0</v>
      </c>
      <c r="AX158" s="395" t="b">
        <f t="shared" si="124"/>
        <v>0</v>
      </c>
      <c r="AY158" s="395" t="b">
        <f t="shared" si="125"/>
        <v>0</v>
      </c>
      <c r="BA158" t="str">
        <f>'Ashed teabags wet'!A156</f>
        <v>G563</v>
      </c>
      <c r="BB158" t="str">
        <f>'Ashed teabags wet'!A576</f>
        <v>R34</v>
      </c>
      <c r="BC158" t="b">
        <f t="shared" si="126"/>
        <v>0</v>
      </c>
      <c r="BD158" t="b">
        <f t="shared" si="106"/>
        <v>0</v>
      </c>
      <c r="BF158" t="str">
        <f t="shared" si="127"/>
        <v>G301</v>
      </c>
      <c r="BG158" t="str">
        <f>T157</f>
        <v>G301</v>
      </c>
      <c r="BH158" t="str">
        <f t="shared" si="128"/>
        <v>G127</v>
      </c>
      <c r="BI158" t="str">
        <f t="shared" si="142"/>
        <v>G127</v>
      </c>
      <c r="BJ158" t="s">
        <v>1749</v>
      </c>
      <c r="BK158" t="s">
        <v>1749</v>
      </c>
      <c r="BL158" t="s">
        <v>1749</v>
      </c>
      <c r="BM158" t="b">
        <f t="shared" si="143"/>
        <v>1</v>
      </c>
      <c r="BN158" t="str">
        <f t="shared" si="129"/>
        <v>R628</v>
      </c>
      <c r="BO158" t="str">
        <f>U157</f>
        <v>R628</v>
      </c>
      <c r="BP158" t="str">
        <f t="shared" si="130"/>
        <v>R836</v>
      </c>
      <c r="BQ158" t="str">
        <f t="shared" si="131"/>
        <v>R836</v>
      </c>
      <c r="BR158" t="s">
        <v>511</v>
      </c>
      <c r="BS158" t="s">
        <v>510</v>
      </c>
      <c r="BT158" t="s">
        <v>511</v>
      </c>
      <c r="BU158" t="b">
        <f t="shared" si="144"/>
        <v>1</v>
      </c>
      <c r="BZ158" t="str">
        <f t="shared" si="132"/>
        <v>G127</v>
      </c>
      <c r="CA158" t="b">
        <f t="shared" si="133"/>
        <v>0</v>
      </c>
      <c r="CB158" t="str">
        <f t="shared" si="145"/>
        <v>G127</v>
      </c>
      <c r="CC158" t="str">
        <f t="shared" si="134"/>
        <v>R836</v>
      </c>
      <c r="CD158" t="b">
        <f t="shared" si="146"/>
        <v>0</v>
      </c>
      <c r="CE158" t="str">
        <f t="shared" si="147"/>
        <v>R836</v>
      </c>
      <c r="CG158" t="str">
        <f t="shared" si="135"/>
        <v>G561</v>
      </c>
      <c r="CH158" t="str">
        <f t="shared" si="148"/>
        <v>G561</v>
      </c>
      <c r="CI158" t="str">
        <f>AE157</f>
        <v>G675</v>
      </c>
      <c r="CJ158" t="str">
        <f t="shared" si="136"/>
        <v>G675</v>
      </c>
      <c r="CK158" t="s">
        <v>1489</v>
      </c>
      <c r="CL158" t="s">
        <v>1489</v>
      </c>
      <c r="CM158" t="s">
        <v>1489</v>
      </c>
      <c r="CN158" t="b">
        <f t="shared" si="149"/>
        <v>1</v>
      </c>
      <c r="CO158" t="str">
        <f t="shared" si="137"/>
        <v>R339</v>
      </c>
      <c r="CP158" t="str">
        <f t="shared" si="150"/>
        <v>R339</v>
      </c>
      <c r="CQ158" t="str">
        <f>AF157</f>
        <v>R493</v>
      </c>
      <c r="CR158" t="str">
        <f t="shared" si="138"/>
        <v>R493</v>
      </c>
      <c r="CS158" t="s">
        <v>802</v>
      </c>
      <c r="CT158" t="s">
        <v>802</v>
      </c>
      <c r="CU158" t="s">
        <v>802</v>
      </c>
      <c r="CV158" t="b">
        <f t="shared" si="151"/>
        <v>1</v>
      </c>
      <c r="DC158" t="str">
        <f t="shared" si="139"/>
        <v>G675</v>
      </c>
      <c r="DD158" t="b">
        <f t="shared" si="152"/>
        <v>0</v>
      </c>
      <c r="DE158" t="str">
        <f t="shared" si="153"/>
        <v>G675</v>
      </c>
      <c r="DF158" t="str">
        <f t="shared" si="140"/>
        <v>R493</v>
      </c>
      <c r="DG158" t="b">
        <f t="shared" si="154"/>
        <v>0</v>
      </c>
      <c r="DH158" t="str">
        <f t="shared" si="155"/>
        <v>R493</v>
      </c>
    </row>
    <row r="159" spans="2:112" ht="12" customHeight="1">
      <c r="B159" t="str">
        <f>TBIDry!H231</f>
        <v>G47</v>
      </c>
      <c r="C159" t="str">
        <f>TBIDry!I231</f>
        <v>R118</v>
      </c>
      <c r="D159" t="b">
        <f t="shared" si="107"/>
        <v>0</v>
      </c>
      <c r="E159" t="b">
        <f t="shared" si="108"/>
        <v>0</v>
      </c>
      <c r="G159" t="str">
        <f>TBIWet!H231</f>
        <v>G654</v>
      </c>
      <c r="H159" t="str">
        <f>TBIWet!I231</f>
        <v>R598</v>
      </c>
      <c r="I159" t="b">
        <f t="shared" si="109"/>
        <v>0</v>
      </c>
      <c r="J159" t="b">
        <f t="shared" si="110"/>
        <v>0</v>
      </c>
      <c r="L159" t="str">
        <f>'Both teabags AfterWet'!A157</f>
        <v>G564</v>
      </c>
      <c r="M159" t="str">
        <f>'Both teabags AfterWet'!A577</f>
        <v>R340</v>
      </c>
      <c r="N159" t="b">
        <f t="shared" si="111"/>
        <v>0</v>
      </c>
      <c r="O159" t="b">
        <f t="shared" si="156"/>
        <v>0</v>
      </c>
      <c r="Q159" s="395" t="b">
        <f t="shared" si="112"/>
        <v>0</v>
      </c>
      <c r="R159" s="395" t="b">
        <f t="shared" si="113"/>
        <v>0</v>
      </c>
      <c r="T159" t="str">
        <f>'Both teabags AfterDry'!A157</f>
        <v>G309</v>
      </c>
      <c r="U159" t="str">
        <f>'Both teabags AfterDry'!A492</f>
        <v>R632</v>
      </c>
      <c r="V159" t="b">
        <f t="shared" si="114"/>
        <v>0</v>
      </c>
      <c r="W159" t="b">
        <f t="shared" si="141"/>
        <v>0</v>
      </c>
      <c r="Y159" t="str">
        <f>'Green_rooibos initial weight'!A160</f>
        <v>G156</v>
      </c>
      <c r="Z159" t="str">
        <f>'Green_rooibos initial weight'!A1064</f>
        <v>R156</v>
      </c>
      <c r="AA159" t="b">
        <f t="shared" si="115"/>
        <v>0</v>
      </c>
      <c r="AB159" t="b">
        <f t="shared" si="116"/>
        <v>0</v>
      </c>
      <c r="AE159" t="str">
        <f>'WetLitterbags placem_collection'!K158</f>
        <v>G654</v>
      </c>
      <c r="AF159" t="str">
        <f>'WetLitterbags placem_collection'!M158</f>
        <v>R598</v>
      </c>
      <c r="AG159" t="b">
        <f t="shared" si="117"/>
        <v>0</v>
      </c>
      <c r="AH159" t="b">
        <f t="shared" si="118"/>
        <v>0</v>
      </c>
      <c r="AJ159" t="b">
        <f t="shared" si="119"/>
        <v>0</v>
      </c>
      <c r="AK159" t="b">
        <f t="shared" si="120"/>
        <v>0</v>
      </c>
      <c r="AM159" t="str">
        <f>IF(ISBLANK('Dry_Litterbag Placem_Collection'!J158),"","G"&amp;""&amp;'Dry_Litterbag Placem_Collection'!J158)</f>
        <v>G47</v>
      </c>
      <c r="AN159" t="str">
        <f>IF(ISBLANK('Dry_Litterbag Placem_Collection'!K158),"","R"&amp;""&amp;'Dry_Litterbag Placem_Collection'!K158)</f>
        <v>R118</v>
      </c>
      <c r="AO159" t="b">
        <f t="shared" si="121"/>
        <v>0</v>
      </c>
      <c r="AP159" t="b">
        <f t="shared" si="122"/>
        <v>0</v>
      </c>
      <c r="AS159" t="str">
        <f>'Ashed teabags dry'!A157</f>
        <v>G309</v>
      </c>
      <c r="AT159" t="str">
        <f>'Ashed teabags dry'!A492</f>
        <v>R632</v>
      </c>
      <c r="AU159" t="b">
        <f t="shared" si="123"/>
        <v>0</v>
      </c>
      <c r="AV159" t="b">
        <f>COUNTIF($AT$4:$AT$2000, AT159)&gt;1</f>
        <v>0</v>
      </c>
      <c r="AX159" s="395" t="b">
        <f t="shared" si="124"/>
        <v>0</v>
      </c>
      <c r="AY159" s="395" t="b">
        <f t="shared" si="125"/>
        <v>0</v>
      </c>
      <c r="BA159" t="str">
        <f>'Ashed teabags wet'!A157</f>
        <v>G564</v>
      </c>
      <c r="BB159" t="str">
        <f>'Ashed teabags wet'!A577</f>
        <v>R340</v>
      </c>
      <c r="BC159" t="b">
        <f t="shared" si="126"/>
        <v>0</v>
      </c>
      <c r="BD159" t="b">
        <f t="shared" si="106"/>
        <v>0</v>
      </c>
      <c r="BF159" t="str">
        <f t="shared" si="127"/>
        <v>G303</v>
      </c>
      <c r="BG159" t="str">
        <f>T158</f>
        <v>G303</v>
      </c>
      <c r="BH159" t="str">
        <f t="shared" si="128"/>
        <v>G253</v>
      </c>
      <c r="BI159" t="str">
        <f t="shared" si="142"/>
        <v>G253</v>
      </c>
      <c r="BJ159" t="s">
        <v>1747</v>
      </c>
      <c r="BK159" t="s">
        <v>1747</v>
      </c>
      <c r="BL159" t="s">
        <v>1747</v>
      </c>
      <c r="BM159" t="b">
        <f t="shared" si="143"/>
        <v>1</v>
      </c>
      <c r="BN159" t="str">
        <f t="shared" si="129"/>
        <v>R629</v>
      </c>
      <c r="BO159" t="str">
        <f>U158</f>
        <v>R629</v>
      </c>
      <c r="BP159" t="str">
        <f t="shared" si="130"/>
        <v>R337</v>
      </c>
      <c r="BQ159" t="str">
        <f t="shared" si="131"/>
        <v>R337</v>
      </c>
      <c r="BR159" t="s">
        <v>510</v>
      </c>
      <c r="BS159" t="s">
        <v>507</v>
      </c>
      <c r="BT159" t="s">
        <v>510</v>
      </c>
      <c r="BU159" t="b">
        <f t="shared" si="144"/>
        <v>1</v>
      </c>
      <c r="BZ159" t="str">
        <f t="shared" si="132"/>
        <v>G253</v>
      </c>
      <c r="CA159" t="b">
        <f t="shared" si="133"/>
        <v>0</v>
      </c>
      <c r="CB159" t="str">
        <f t="shared" si="145"/>
        <v>G253</v>
      </c>
      <c r="CC159" t="str">
        <f t="shared" si="134"/>
        <v>R337</v>
      </c>
      <c r="CD159" t="b">
        <f t="shared" si="146"/>
        <v>0</v>
      </c>
      <c r="CE159" t="str">
        <f t="shared" si="147"/>
        <v>R337</v>
      </c>
      <c r="CG159" t="str">
        <f t="shared" si="135"/>
        <v>G563</v>
      </c>
      <c r="CH159" t="str">
        <f t="shared" si="148"/>
        <v>G563</v>
      </c>
      <c r="CI159" t="str">
        <f>AE158</f>
        <v>G859</v>
      </c>
      <c r="CJ159" t="str">
        <f t="shared" si="136"/>
        <v>G859</v>
      </c>
      <c r="CK159" t="s">
        <v>1487</v>
      </c>
      <c r="CL159" t="s">
        <v>1487</v>
      </c>
      <c r="CM159" t="s">
        <v>1487</v>
      </c>
      <c r="CN159" t="b">
        <f t="shared" si="149"/>
        <v>1</v>
      </c>
      <c r="CO159" t="str">
        <f t="shared" si="137"/>
        <v>R34</v>
      </c>
      <c r="CP159" t="str">
        <f t="shared" si="150"/>
        <v>R34</v>
      </c>
      <c r="CQ159" t="str">
        <f>AF158</f>
        <v>R484</v>
      </c>
      <c r="CR159" t="str">
        <f t="shared" si="138"/>
        <v>R484</v>
      </c>
      <c r="CS159" t="s">
        <v>1107</v>
      </c>
      <c r="CT159" t="s">
        <v>1107</v>
      </c>
      <c r="CU159" t="s">
        <v>1107</v>
      </c>
      <c r="CV159" t="b">
        <f t="shared" si="151"/>
        <v>1</v>
      </c>
      <c r="DC159" t="str">
        <f t="shared" si="139"/>
        <v>G859</v>
      </c>
      <c r="DD159" t="b">
        <f t="shared" si="152"/>
        <v>0</v>
      </c>
      <c r="DE159" t="str">
        <f t="shared" si="153"/>
        <v>G859</v>
      </c>
      <c r="DF159" t="str">
        <f t="shared" si="140"/>
        <v>R484</v>
      </c>
      <c r="DG159" t="b">
        <f t="shared" si="154"/>
        <v>0</v>
      </c>
      <c r="DH159" t="str">
        <f t="shared" si="155"/>
        <v>R484</v>
      </c>
    </row>
    <row r="160" spans="2:112" ht="12" customHeight="1">
      <c r="B160" t="str">
        <f>TBIDry!H232</f>
        <v>G328</v>
      </c>
      <c r="C160" t="str">
        <f>TBIDry!I232</f>
        <v>R478</v>
      </c>
      <c r="D160" t="b">
        <f t="shared" si="107"/>
        <v>0</v>
      </c>
      <c r="E160" t="b">
        <f t="shared" si="108"/>
        <v>0</v>
      </c>
      <c r="G160" t="str">
        <f>TBIWet!H232</f>
        <v>G890</v>
      </c>
      <c r="H160" t="str">
        <f>TBIWet!I232</f>
        <v>R30</v>
      </c>
      <c r="I160" t="b">
        <f t="shared" si="109"/>
        <v>0</v>
      </c>
      <c r="J160" t="b">
        <f t="shared" si="110"/>
        <v>0</v>
      </c>
      <c r="L160" t="str">
        <f>'Both teabags AfterWet'!A158</f>
        <v>G565</v>
      </c>
      <c r="M160" t="str">
        <f>'Both teabags AfterWet'!A578</f>
        <v>R341</v>
      </c>
      <c r="N160" t="b">
        <f t="shared" si="111"/>
        <v>0</v>
      </c>
      <c r="O160" t="b">
        <f t="shared" si="156"/>
        <v>0</v>
      </c>
      <c r="Q160" s="395" t="b">
        <f t="shared" si="112"/>
        <v>0</v>
      </c>
      <c r="R160" s="395" t="b">
        <f t="shared" si="113"/>
        <v>0</v>
      </c>
      <c r="T160" t="str">
        <f>'Both teabags AfterDry'!A158</f>
        <v>G312</v>
      </c>
      <c r="U160" t="str">
        <f>'Both teabags AfterDry'!A493</f>
        <v>R633</v>
      </c>
      <c r="V160" t="b">
        <f t="shared" si="114"/>
        <v>0</v>
      </c>
      <c r="W160" t="b">
        <f t="shared" si="141"/>
        <v>0</v>
      </c>
      <c r="Y160" t="str">
        <f>'Green_rooibos initial weight'!A161</f>
        <v>G157</v>
      </c>
      <c r="Z160" t="str">
        <f>'Green_rooibos initial weight'!A1065</f>
        <v>R157</v>
      </c>
      <c r="AA160" t="b">
        <f t="shared" si="115"/>
        <v>0</v>
      </c>
      <c r="AB160" t="b">
        <f t="shared" si="116"/>
        <v>0</v>
      </c>
      <c r="AE160" t="str">
        <f>'WetLitterbags placem_collection'!K159</f>
        <v>G890</v>
      </c>
      <c r="AF160" t="str">
        <f>'WetLitterbags placem_collection'!M159</f>
        <v>R30</v>
      </c>
      <c r="AG160" t="b">
        <f t="shared" si="117"/>
        <v>0</v>
      </c>
      <c r="AH160" t="b">
        <f t="shared" si="118"/>
        <v>0</v>
      </c>
      <c r="AJ160" t="b">
        <f t="shared" si="119"/>
        <v>0</v>
      </c>
      <c r="AK160" t="b">
        <f t="shared" si="120"/>
        <v>0</v>
      </c>
      <c r="AM160" t="str">
        <f>IF(ISBLANK('Dry_Litterbag Placem_Collection'!J159),"","G"&amp;""&amp;'Dry_Litterbag Placem_Collection'!J159)</f>
        <v>G328</v>
      </c>
      <c r="AN160" t="str">
        <f>IF(ISBLANK('Dry_Litterbag Placem_Collection'!K159),"","R"&amp;""&amp;'Dry_Litterbag Placem_Collection'!K159)</f>
        <v>R478</v>
      </c>
      <c r="AO160" t="b">
        <f t="shared" si="121"/>
        <v>0</v>
      </c>
      <c r="AP160" t="b">
        <f t="shared" si="122"/>
        <v>0</v>
      </c>
      <c r="AS160" t="str">
        <f>'Ashed teabags dry'!A158</f>
        <v>G312</v>
      </c>
      <c r="AT160" t="str">
        <f>'Ashed teabags dry'!A493</f>
        <v>R633</v>
      </c>
      <c r="AU160" t="b">
        <f t="shared" si="123"/>
        <v>0</v>
      </c>
      <c r="AV160" t="b">
        <f>COUNTIF($AT$4:$AT$2000, AT160)&gt;1</f>
        <v>0</v>
      </c>
      <c r="AX160" s="395" t="b">
        <f t="shared" si="124"/>
        <v>0</v>
      </c>
      <c r="AY160" s="395" t="b">
        <f t="shared" si="125"/>
        <v>0</v>
      </c>
      <c r="BA160" t="str">
        <f>'Ashed teabags wet'!A158</f>
        <v>G565</v>
      </c>
      <c r="BB160" t="str">
        <f>'Ashed teabags wet'!A578</f>
        <v>R341</v>
      </c>
      <c r="BC160" t="b">
        <f t="shared" si="126"/>
        <v>0</v>
      </c>
      <c r="BD160" t="b">
        <f t="shared" si="106"/>
        <v>0</v>
      </c>
      <c r="BF160" t="str">
        <f t="shared" si="127"/>
        <v>G309</v>
      </c>
      <c r="BG160" t="str">
        <f>T159</f>
        <v>G309</v>
      </c>
      <c r="BH160" t="str">
        <f t="shared" si="128"/>
        <v>G47</v>
      </c>
      <c r="BI160" t="str">
        <f t="shared" si="142"/>
        <v>G47</v>
      </c>
      <c r="BJ160" t="s">
        <v>1741</v>
      </c>
      <c r="BK160" t="s">
        <v>1741</v>
      </c>
      <c r="BL160" t="s">
        <v>1741</v>
      </c>
      <c r="BM160" t="b">
        <f t="shared" si="143"/>
        <v>1</v>
      </c>
      <c r="BN160" t="str">
        <f t="shared" si="129"/>
        <v>R632</v>
      </c>
      <c r="BO160" t="str">
        <f>U159</f>
        <v>R632</v>
      </c>
      <c r="BP160" t="str">
        <f t="shared" si="130"/>
        <v>R118</v>
      </c>
      <c r="BQ160" t="str">
        <f t="shared" si="131"/>
        <v>R118</v>
      </c>
      <c r="BR160" t="s">
        <v>507</v>
      </c>
      <c r="BS160" t="s">
        <v>506</v>
      </c>
      <c r="BT160" t="s">
        <v>507</v>
      </c>
      <c r="BU160" t="b">
        <f t="shared" si="144"/>
        <v>1</v>
      </c>
      <c r="BZ160" t="str">
        <f t="shared" si="132"/>
        <v>G47</v>
      </c>
      <c r="CA160" t="b">
        <f t="shared" si="133"/>
        <v>0</v>
      </c>
      <c r="CB160" t="str">
        <f t="shared" si="145"/>
        <v>G47</v>
      </c>
      <c r="CC160" t="str">
        <f t="shared" si="134"/>
        <v>R118</v>
      </c>
      <c r="CD160" t="b">
        <f t="shared" si="146"/>
        <v>0</v>
      </c>
      <c r="CE160" t="str">
        <f t="shared" si="147"/>
        <v>R118</v>
      </c>
      <c r="CG160" t="str">
        <f t="shared" si="135"/>
        <v>G564</v>
      </c>
      <c r="CH160" t="str">
        <f t="shared" si="148"/>
        <v>G564</v>
      </c>
      <c r="CI160" t="str">
        <f>AE159</f>
        <v>G654</v>
      </c>
      <c r="CJ160" t="str">
        <f t="shared" si="136"/>
        <v>G654</v>
      </c>
      <c r="CK160" t="s">
        <v>1486</v>
      </c>
      <c r="CL160" t="s">
        <v>1486</v>
      </c>
      <c r="CM160" t="s">
        <v>1486</v>
      </c>
      <c r="CN160" t="b">
        <f t="shared" si="149"/>
        <v>1</v>
      </c>
      <c r="CO160" t="str">
        <f t="shared" si="137"/>
        <v>R340</v>
      </c>
      <c r="CP160" t="str">
        <f t="shared" si="150"/>
        <v>R340</v>
      </c>
      <c r="CQ160" t="str">
        <f>AF159</f>
        <v>R598</v>
      </c>
      <c r="CR160" t="str">
        <f t="shared" si="138"/>
        <v>R598</v>
      </c>
      <c r="CS160" t="s">
        <v>801</v>
      </c>
      <c r="CT160" t="s">
        <v>801</v>
      </c>
      <c r="CU160" t="s">
        <v>801</v>
      </c>
      <c r="CV160" t="b">
        <f t="shared" si="151"/>
        <v>1</v>
      </c>
      <c r="DC160" t="str">
        <f t="shared" si="139"/>
        <v>G654</v>
      </c>
      <c r="DD160" t="b">
        <f t="shared" si="152"/>
        <v>0</v>
      </c>
      <c r="DE160" t="str">
        <f t="shared" si="153"/>
        <v>G654</v>
      </c>
      <c r="DF160" t="str">
        <f t="shared" si="140"/>
        <v>R598</v>
      </c>
      <c r="DG160" t="b">
        <f t="shared" si="154"/>
        <v>0</v>
      </c>
      <c r="DH160" t="str">
        <f t="shared" si="155"/>
        <v>R598</v>
      </c>
    </row>
    <row r="161" spans="2:112" ht="12" customHeight="1">
      <c r="B161" t="str">
        <f>TBIDry!H233</f>
        <v>G21</v>
      </c>
      <c r="C161" t="str">
        <f>TBIDry!I233</f>
        <v>R773</v>
      </c>
      <c r="D161" t="b">
        <f t="shared" si="107"/>
        <v>0</v>
      </c>
      <c r="E161" t="b">
        <f t="shared" si="108"/>
        <v>0</v>
      </c>
      <c r="G161" t="str">
        <f>TBIWet!H233</f>
        <v>G576</v>
      </c>
      <c r="H161" t="str">
        <f>TBIWet!I233</f>
        <v>R16</v>
      </c>
      <c r="I161" t="b">
        <f t="shared" si="109"/>
        <v>0</v>
      </c>
      <c r="J161" t="b">
        <f t="shared" si="110"/>
        <v>0</v>
      </c>
      <c r="L161" t="str">
        <f>'Both teabags AfterWet'!A159</f>
        <v>G566</v>
      </c>
      <c r="M161" t="str">
        <f>'Both teabags AfterWet'!A579</f>
        <v>R342</v>
      </c>
      <c r="N161" t="b">
        <f t="shared" si="111"/>
        <v>0</v>
      </c>
      <c r="O161" t="b">
        <f t="shared" si="156"/>
        <v>0</v>
      </c>
      <c r="Q161" s="395" t="b">
        <f t="shared" si="112"/>
        <v>0</v>
      </c>
      <c r="R161" s="395" t="b">
        <f t="shared" si="113"/>
        <v>0</v>
      </c>
      <c r="T161" t="str">
        <f>'Both teabags AfterDry'!A159</f>
        <v>G313</v>
      </c>
      <c r="U161" t="str">
        <f>'Both teabags AfterDry'!A494</f>
        <v>R634</v>
      </c>
      <c r="V161" t="b">
        <f t="shared" si="114"/>
        <v>0</v>
      </c>
      <c r="W161" t="b">
        <f t="shared" si="141"/>
        <v>0</v>
      </c>
      <c r="Y161" t="str">
        <f>'Green_rooibos initial weight'!A162</f>
        <v>G158</v>
      </c>
      <c r="Z161" t="str">
        <f>'Green_rooibos initial weight'!A1066</f>
        <v>R158</v>
      </c>
      <c r="AA161" t="b">
        <f t="shared" si="115"/>
        <v>0</v>
      </c>
      <c r="AB161" t="b">
        <f t="shared" si="116"/>
        <v>0</v>
      </c>
      <c r="AE161" t="str">
        <f>'WetLitterbags placem_collection'!K160</f>
        <v>G576</v>
      </c>
      <c r="AF161" t="str">
        <f>'WetLitterbags placem_collection'!M160</f>
        <v>R16</v>
      </c>
      <c r="AG161" t="b">
        <f t="shared" si="117"/>
        <v>0</v>
      </c>
      <c r="AH161" t="b">
        <f t="shared" si="118"/>
        <v>0</v>
      </c>
      <c r="AJ161" t="b">
        <f t="shared" si="119"/>
        <v>0</v>
      </c>
      <c r="AK161" t="b">
        <f t="shared" si="120"/>
        <v>0</v>
      </c>
      <c r="AM161" t="str">
        <f>IF(ISBLANK('Dry_Litterbag Placem_Collection'!J160),"","G"&amp;""&amp;'Dry_Litterbag Placem_Collection'!J160)</f>
        <v>G21</v>
      </c>
      <c r="AN161" t="str">
        <f>IF(ISBLANK('Dry_Litterbag Placem_Collection'!K160),"","R"&amp;""&amp;'Dry_Litterbag Placem_Collection'!K160)</f>
        <v>R773</v>
      </c>
      <c r="AO161" t="b">
        <f t="shared" si="121"/>
        <v>0</v>
      </c>
      <c r="AP161" t="b">
        <f t="shared" si="122"/>
        <v>0</v>
      </c>
      <c r="AS161" t="str">
        <f>'Ashed teabags dry'!A159</f>
        <v>G313</v>
      </c>
      <c r="AT161" t="str">
        <f>'Ashed teabags dry'!A494</f>
        <v>R634</v>
      </c>
      <c r="AU161" t="b">
        <f t="shared" si="123"/>
        <v>0</v>
      </c>
      <c r="AV161" t="b">
        <f>COUNTIF($AT$4:$AT$2000, AT161)&gt;1</f>
        <v>0</v>
      </c>
      <c r="AX161" s="395" t="b">
        <f t="shared" si="124"/>
        <v>0</v>
      </c>
      <c r="AY161" s="395" t="b">
        <f t="shared" si="125"/>
        <v>0</v>
      </c>
      <c r="BA161" t="str">
        <f>'Ashed teabags wet'!A159</f>
        <v>G566</v>
      </c>
      <c r="BB161" t="str">
        <f>'Ashed teabags wet'!A579</f>
        <v>R342</v>
      </c>
      <c r="BC161" t="b">
        <f t="shared" si="126"/>
        <v>0</v>
      </c>
      <c r="BD161" t="b">
        <f t="shared" si="106"/>
        <v>0</v>
      </c>
      <c r="BF161" t="str">
        <f t="shared" si="127"/>
        <v>G312</v>
      </c>
      <c r="BG161" t="str">
        <f>T160</f>
        <v>G312</v>
      </c>
      <c r="BH161" t="str">
        <f t="shared" si="128"/>
        <v>G328</v>
      </c>
      <c r="BI161" t="str">
        <f t="shared" si="142"/>
        <v/>
      </c>
      <c r="BJ161" t="s">
        <v>1738</v>
      </c>
      <c r="BK161" t="s">
        <v>1738</v>
      </c>
      <c r="BL161" t="s">
        <v>1738</v>
      </c>
      <c r="BM161" t="b">
        <f t="shared" si="143"/>
        <v>1</v>
      </c>
      <c r="BN161" t="str">
        <f t="shared" si="129"/>
        <v>R633</v>
      </c>
      <c r="BO161" t="str">
        <f>U160</f>
        <v>R633</v>
      </c>
      <c r="BP161" t="str">
        <f t="shared" si="130"/>
        <v>R478</v>
      </c>
      <c r="BQ161" t="str">
        <f t="shared" si="131"/>
        <v/>
      </c>
      <c r="BR161" t="s">
        <v>506</v>
      </c>
      <c r="BS161" t="s">
        <v>505</v>
      </c>
      <c r="BT161" t="s">
        <v>506</v>
      </c>
      <c r="BU161" t="b">
        <f t="shared" si="144"/>
        <v>1</v>
      </c>
      <c r="BZ161" t="str">
        <f t="shared" si="132"/>
        <v>G328</v>
      </c>
      <c r="CA161" t="b">
        <f t="shared" si="133"/>
        <v>1</v>
      </c>
      <c r="CB161" t="str">
        <f t="shared" si="145"/>
        <v/>
      </c>
      <c r="CC161" t="str">
        <f t="shared" si="134"/>
        <v>R478</v>
      </c>
      <c r="CD161" t="b">
        <f t="shared" si="146"/>
        <v>1</v>
      </c>
      <c r="CE161" t="str">
        <f t="shared" si="147"/>
        <v/>
      </c>
      <c r="CG161" t="str">
        <f t="shared" si="135"/>
        <v>G565</v>
      </c>
      <c r="CH161" t="str">
        <f t="shared" si="148"/>
        <v>G565</v>
      </c>
      <c r="CI161" t="str">
        <f>AE160</f>
        <v>G890</v>
      </c>
      <c r="CJ161" t="str">
        <f t="shared" si="136"/>
        <v>G890</v>
      </c>
      <c r="CK161" t="s">
        <v>1485</v>
      </c>
      <c r="CL161" t="s">
        <v>1485</v>
      </c>
      <c r="CM161" t="s">
        <v>1485</v>
      </c>
      <c r="CN161" t="b">
        <f t="shared" si="149"/>
        <v>1</v>
      </c>
      <c r="CO161" t="str">
        <f t="shared" si="137"/>
        <v>R341</v>
      </c>
      <c r="CP161" t="str">
        <f t="shared" si="150"/>
        <v>R341</v>
      </c>
      <c r="CQ161" t="str">
        <f>AF160</f>
        <v>R30</v>
      </c>
      <c r="CR161" t="str">
        <f t="shared" si="138"/>
        <v>R30</v>
      </c>
      <c r="CS161" t="s">
        <v>800</v>
      </c>
      <c r="CT161" t="s">
        <v>800</v>
      </c>
      <c r="CU161" t="s">
        <v>800</v>
      </c>
      <c r="CV161" t="b">
        <f t="shared" si="151"/>
        <v>1</v>
      </c>
      <c r="DC161" t="str">
        <f t="shared" si="139"/>
        <v>G890</v>
      </c>
      <c r="DD161" t="b">
        <f t="shared" si="152"/>
        <v>0</v>
      </c>
      <c r="DE161" t="str">
        <f t="shared" si="153"/>
        <v>G890</v>
      </c>
      <c r="DF161" t="str">
        <f t="shared" si="140"/>
        <v>R30</v>
      </c>
      <c r="DG161" t="b">
        <f t="shared" si="154"/>
        <v>0</v>
      </c>
      <c r="DH161" t="str">
        <f t="shared" si="155"/>
        <v>R30</v>
      </c>
    </row>
    <row r="162" spans="2:112" ht="12" customHeight="1">
      <c r="B162" t="str">
        <f>TBIDry!H234</f>
        <v/>
      </c>
      <c r="C162" t="str">
        <f>TBIDry!I234</f>
        <v/>
      </c>
      <c r="D162" t="b">
        <f t="shared" si="107"/>
        <v>1</v>
      </c>
      <c r="E162" t="b">
        <f t="shared" si="108"/>
        <v>1</v>
      </c>
      <c r="G162" t="str">
        <f>TBIWet!H234</f>
        <v>G829</v>
      </c>
      <c r="H162" t="str">
        <f>TBIWet!I234</f>
        <v>R499</v>
      </c>
      <c r="I162" t="b">
        <f t="shared" si="109"/>
        <v>0</v>
      </c>
      <c r="J162" t="b">
        <f t="shared" si="110"/>
        <v>0</v>
      </c>
      <c r="L162" t="str">
        <f>'Both teabags AfterWet'!A160</f>
        <v>G567</v>
      </c>
      <c r="M162" t="str">
        <f>'Both teabags AfterWet'!A580</f>
        <v>R343</v>
      </c>
      <c r="N162" t="b">
        <f t="shared" si="111"/>
        <v>0</v>
      </c>
      <c r="O162" t="b">
        <f t="shared" si="156"/>
        <v>0</v>
      </c>
      <c r="Q162" s="395" t="b">
        <f t="shared" si="112"/>
        <v>0</v>
      </c>
      <c r="R162" s="395" t="b">
        <f t="shared" si="113"/>
        <v>0</v>
      </c>
      <c r="T162" t="str">
        <f>'Both teabags AfterDry'!A160</f>
        <v>G314</v>
      </c>
      <c r="U162" t="str">
        <f>'Both teabags AfterDry'!A495</f>
        <v>R635</v>
      </c>
      <c r="V162" t="b">
        <f t="shared" si="114"/>
        <v>0</v>
      </c>
      <c r="W162" t="b">
        <f t="shared" si="141"/>
        <v>0</v>
      </c>
      <c r="Y162" t="str">
        <f>'Green_rooibos initial weight'!A163</f>
        <v>G159</v>
      </c>
      <c r="Z162" t="str">
        <f>'Green_rooibos initial weight'!A1067</f>
        <v>R159</v>
      </c>
      <c r="AA162" t="b">
        <f t="shared" si="115"/>
        <v>0</v>
      </c>
      <c r="AB162" t="b">
        <f t="shared" si="116"/>
        <v>0</v>
      </c>
      <c r="AE162" t="str">
        <f>'WetLitterbags placem_collection'!K161</f>
        <v>G829</v>
      </c>
      <c r="AF162" t="str">
        <f>'WetLitterbags placem_collection'!M161</f>
        <v>R499</v>
      </c>
      <c r="AG162" t="b">
        <f t="shared" si="117"/>
        <v>0</v>
      </c>
      <c r="AH162" t="b">
        <f t="shared" si="118"/>
        <v>0</v>
      </c>
      <c r="AJ162" t="b">
        <f t="shared" si="119"/>
        <v>0</v>
      </c>
      <c r="AK162" t="b">
        <f t="shared" si="120"/>
        <v>0</v>
      </c>
      <c r="AM162" t="str">
        <f>IF(ISBLANK('Dry_Litterbag Placem_Collection'!J161),"","G"&amp;""&amp;'Dry_Litterbag Placem_Collection'!J161)</f>
        <v/>
      </c>
      <c r="AN162" t="str">
        <f>IF(ISBLANK('Dry_Litterbag Placem_Collection'!K161),"","R"&amp;""&amp;'Dry_Litterbag Placem_Collection'!K161)</f>
        <v/>
      </c>
      <c r="AO162" t="b">
        <f t="shared" si="121"/>
        <v>1</v>
      </c>
      <c r="AP162" t="b">
        <f t="shared" si="122"/>
        <v>1</v>
      </c>
      <c r="AS162" t="str">
        <f>'Ashed teabags dry'!A160</f>
        <v>G314</v>
      </c>
      <c r="AT162" t="str">
        <f>'Ashed teabags dry'!A495</f>
        <v>R635</v>
      </c>
      <c r="AU162" t="b">
        <f t="shared" si="123"/>
        <v>0</v>
      </c>
      <c r="AV162" t="b">
        <f>COUNTIF($AT$4:$AT$2000, AT162)&gt;1</f>
        <v>0</v>
      </c>
      <c r="AX162" s="395" t="b">
        <f t="shared" si="124"/>
        <v>0</v>
      </c>
      <c r="AY162" s="395" t="b">
        <f t="shared" si="125"/>
        <v>0</v>
      </c>
      <c r="BA162" t="str">
        <f>'Ashed teabags wet'!A160</f>
        <v>G567</v>
      </c>
      <c r="BB162" t="str">
        <f>'Ashed teabags wet'!A580</f>
        <v>R343</v>
      </c>
      <c r="BC162" t="b">
        <f t="shared" si="126"/>
        <v>0</v>
      </c>
      <c r="BD162" t="b">
        <f t="shared" si="106"/>
        <v>0</v>
      </c>
      <c r="BF162" t="str">
        <f t="shared" si="127"/>
        <v>G313</v>
      </c>
      <c r="BG162" t="str">
        <f>T161</f>
        <v>G313</v>
      </c>
      <c r="BH162" t="str">
        <f t="shared" si="128"/>
        <v>G21</v>
      </c>
      <c r="BI162" t="str">
        <f t="shared" si="142"/>
        <v>G21</v>
      </c>
      <c r="BJ162" t="s">
        <v>1737</v>
      </c>
      <c r="BK162" t="s">
        <v>1737</v>
      </c>
      <c r="BL162" t="s">
        <v>1737</v>
      </c>
      <c r="BM162" t="b">
        <f t="shared" si="143"/>
        <v>1</v>
      </c>
      <c r="BN162" t="str">
        <f t="shared" si="129"/>
        <v>R634</v>
      </c>
      <c r="BO162" t="str">
        <f>U161</f>
        <v>R634</v>
      </c>
      <c r="BP162" t="str">
        <f t="shared" si="130"/>
        <v>R773</v>
      </c>
      <c r="BQ162" t="str">
        <f t="shared" si="131"/>
        <v>R773</v>
      </c>
      <c r="BR162" t="s">
        <v>505</v>
      </c>
      <c r="BS162" t="s">
        <v>504</v>
      </c>
      <c r="BT162" t="s">
        <v>505</v>
      </c>
      <c r="BU162" t="b">
        <f t="shared" si="144"/>
        <v>1</v>
      </c>
      <c r="BZ162" t="str">
        <f t="shared" si="132"/>
        <v>G21</v>
      </c>
      <c r="CA162" t="b">
        <f t="shared" si="133"/>
        <v>0</v>
      </c>
      <c r="CB162" t="str">
        <f t="shared" si="145"/>
        <v>G21</v>
      </c>
      <c r="CC162" t="str">
        <f t="shared" si="134"/>
        <v>R773</v>
      </c>
      <c r="CD162" t="b">
        <f t="shared" si="146"/>
        <v>0</v>
      </c>
      <c r="CE162" t="str">
        <f t="shared" si="147"/>
        <v>R773</v>
      </c>
      <c r="CG162" t="str">
        <f t="shared" si="135"/>
        <v>G566</v>
      </c>
      <c r="CH162" t="str">
        <f t="shared" si="148"/>
        <v>G566</v>
      </c>
      <c r="CI162" t="str">
        <f>AE161</f>
        <v>G576</v>
      </c>
      <c r="CJ162" t="str">
        <f t="shared" si="136"/>
        <v>G576</v>
      </c>
      <c r="CK162" t="s">
        <v>1484</v>
      </c>
      <c r="CL162" t="s">
        <v>1484</v>
      </c>
      <c r="CM162" t="s">
        <v>1484</v>
      </c>
      <c r="CN162" t="b">
        <f t="shared" si="149"/>
        <v>1</v>
      </c>
      <c r="CO162" t="str">
        <f t="shared" si="137"/>
        <v>R342</v>
      </c>
      <c r="CP162" t="str">
        <f t="shared" si="150"/>
        <v>R342</v>
      </c>
      <c r="CQ162" t="str">
        <f>AF161</f>
        <v>R16</v>
      </c>
      <c r="CR162" t="str">
        <f t="shared" si="138"/>
        <v>R16</v>
      </c>
      <c r="CS162" t="s">
        <v>799</v>
      </c>
      <c r="CT162" t="s">
        <v>799</v>
      </c>
      <c r="CU162" t="s">
        <v>799</v>
      </c>
      <c r="CV162" t="b">
        <f t="shared" si="151"/>
        <v>1</v>
      </c>
      <c r="DC162" t="str">
        <f t="shared" si="139"/>
        <v>G576</v>
      </c>
      <c r="DD162" t="b">
        <f t="shared" si="152"/>
        <v>0</v>
      </c>
      <c r="DE162" t="str">
        <f t="shared" si="153"/>
        <v>G576</v>
      </c>
      <c r="DF162" t="str">
        <f t="shared" si="140"/>
        <v>R16</v>
      </c>
      <c r="DG162" t="b">
        <f t="shared" si="154"/>
        <v>0</v>
      </c>
      <c r="DH162" t="str">
        <f t="shared" si="155"/>
        <v>R16</v>
      </c>
    </row>
    <row r="163" spans="2:112" ht="12" customHeight="1">
      <c r="B163" t="str">
        <f>TBIDry!H235</f>
        <v>G482</v>
      </c>
      <c r="C163" t="str">
        <f>TBIDry!I235</f>
        <v>R401</v>
      </c>
      <c r="D163" t="b">
        <f t="shared" si="107"/>
        <v>0</v>
      </c>
      <c r="E163" t="b">
        <f t="shared" si="108"/>
        <v>0</v>
      </c>
      <c r="G163" t="str">
        <f>TBIWet!H235</f>
        <v>G809</v>
      </c>
      <c r="H163" t="str">
        <f>TBIWet!I235</f>
        <v>R421</v>
      </c>
      <c r="I163" t="b">
        <f t="shared" si="109"/>
        <v>0</v>
      </c>
      <c r="J163" t="b">
        <f t="shared" si="110"/>
        <v>0</v>
      </c>
      <c r="L163" t="str">
        <f>'Both teabags AfterWet'!A161</f>
        <v>G568</v>
      </c>
      <c r="M163" t="str">
        <f>'Both teabags AfterWet'!A581</f>
        <v>R344</v>
      </c>
      <c r="N163" t="b">
        <f t="shared" si="111"/>
        <v>0</v>
      </c>
      <c r="O163" t="b">
        <f t="shared" si="156"/>
        <v>0</v>
      </c>
      <c r="Q163" s="395" t="b">
        <f t="shared" si="112"/>
        <v>0</v>
      </c>
      <c r="R163" s="395" t="b">
        <f t="shared" si="113"/>
        <v>0</v>
      </c>
      <c r="T163" t="str">
        <f>'Both teabags AfterDry'!A161</f>
        <v>G315</v>
      </c>
      <c r="U163" t="str">
        <f>'Both teabags AfterDry'!A496</f>
        <v>R636</v>
      </c>
      <c r="V163" t="b">
        <f t="shared" si="114"/>
        <v>0</v>
      </c>
      <c r="W163" t="b">
        <f t="shared" si="141"/>
        <v>0</v>
      </c>
      <c r="Y163" t="str">
        <f>'Green_rooibos initial weight'!A164</f>
        <v>G160</v>
      </c>
      <c r="Z163" t="str">
        <f>'Green_rooibos initial weight'!A1068</f>
        <v>R160</v>
      </c>
      <c r="AA163" t="b">
        <f t="shared" si="115"/>
        <v>0</v>
      </c>
      <c r="AB163" t="b">
        <f t="shared" si="116"/>
        <v>0</v>
      </c>
      <c r="AE163" t="str">
        <f>'WetLitterbags placem_collection'!K162</f>
        <v>G809</v>
      </c>
      <c r="AF163" t="str">
        <f>'WetLitterbags placem_collection'!M162</f>
        <v>R421</v>
      </c>
      <c r="AG163" t="b">
        <f t="shared" si="117"/>
        <v>0</v>
      </c>
      <c r="AH163" t="b">
        <f t="shared" si="118"/>
        <v>0</v>
      </c>
      <c r="AJ163" t="b">
        <f t="shared" si="119"/>
        <v>0</v>
      </c>
      <c r="AK163" t="b">
        <f t="shared" si="120"/>
        <v>0</v>
      </c>
      <c r="AM163" t="str">
        <f>IF(ISBLANK('Dry_Litterbag Placem_Collection'!J162),"","G"&amp;""&amp;'Dry_Litterbag Placem_Collection'!J162)</f>
        <v>G482</v>
      </c>
      <c r="AN163" t="str">
        <f>IF(ISBLANK('Dry_Litterbag Placem_Collection'!K162),"","R"&amp;""&amp;'Dry_Litterbag Placem_Collection'!K162)</f>
        <v>R401</v>
      </c>
      <c r="AO163" t="b">
        <f t="shared" si="121"/>
        <v>0</v>
      </c>
      <c r="AP163" t="b">
        <f t="shared" si="122"/>
        <v>0</v>
      </c>
      <c r="AS163" t="str">
        <f>'Ashed teabags dry'!A161</f>
        <v>G315</v>
      </c>
      <c r="AT163" t="str">
        <f>'Ashed teabags dry'!A496</f>
        <v>R636</v>
      </c>
      <c r="AU163" t="b">
        <f t="shared" si="123"/>
        <v>0</v>
      </c>
      <c r="AV163" t="b">
        <f>COUNTIF($AT$4:$AT$2000, AT163)&gt;1</f>
        <v>0</v>
      </c>
      <c r="AX163" s="395" t="b">
        <f t="shared" si="124"/>
        <v>0</v>
      </c>
      <c r="AY163" s="395" t="b">
        <f t="shared" si="125"/>
        <v>0</v>
      </c>
      <c r="BA163" t="str">
        <f>'Ashed teabags wet'!A161</f>
        <v>G568</v>
      </c>
      <c r="BB163" t="str">
        <f>'Ashed teabags wet'!A581</f>
        <v>R344</v>
      </c>
      <c r="BC163" t="b">
        <f t="shared" si="126"/>
        <v>0</v>
      </c>
      <c r="BD163" t="b">
        <f t="shared" si="106"/>
        <v>0</v>
      </c>
      <c r="BF163" t="str">
        <f t="shared" si="127"/>
        <v>G314</v>
      </c>
      <c r="BG163" t="str">
        <f>T162</f>
        <v>G314</v>
      </c>
      <c r="BH163" t="str">
        <f t="shared" si="128"/>
        <v/>
      </c>
      <c r="BI163" t="str">
        <f t="shared" si="142"/>
        <v/>
      </c>
      <c r="BJ163" t="s">
        <v>1736</v>
      </c>
      <c r="BK163" t="s">
        <v>1736</v>
      </c>
      <c r="BL163" t="s">
        <v>1736</v>
      </c>
      <c r="BM163" t="b">
        <f t="shared" si="143"/>
        <v>1</v>
      </c>
      <c r="BN163" t="str">
        <f t="shared" si="129"/>
        <v>R635</v>
      </c>
      <c r="BO163" t="str">
        <f>U162</f>
        <v>R635</v>
      </c>
      <c r="BP163" t="str">
        <f t="shared" si="130"/>
        <v/>
      </c>
      <c r="BQ163" t="str">
        <f t="shared" si="131"/>
        <v/>
      </c>
      <c r="BR163" t="s">
        <v>504</v>
      </c>
      <c r="BS163" t="s">
        <v>503</v>
      </c>
      <c r="BT163" t="s">
        <v>504</v>
      </c>
      <c r="BU163" t="b">
        <f t="shared" si="144"/>
        <v>1</v>
      </c>
      <c r="BZ163" t="str">
        <f t="shared" si="132"/>
        <v/>
      </c>
      <c r="CA163" t="b">
        <f t="shared" si="133"/>
        <v>0</v>
      </c>
      <c r="CB163" t="str">
        <f t="shared" si="145"/>
        <v/>
      </c>
      <c r="CC163" t="str">
        <f t="shared" si="134"/>
        <v/>
      </c>
      <c r="CD163" t="b">
        <f t="shared" si="146"/>
        <v>0</v>
      </c>
      <c r="CE163" t="str">
        <f t="shared" si="147"/>
        <v/>
      </c>
      <c r="CG163" t="str">
        <f t="shared" si="135"/>
        <v>G567</v>
      </c>
      <c r="CH163" t="str">
        <f t="shared" si="148"/>
        <v>G567</v>
      </c>
      <c r="CI163" t="str">
        <f>AE162</f>
        <v>G829</v>
      </c>
      <c r="CJ163" t="str">
        <f t="shared" si="136"/>
        <v/>
      </c>
      <c r="CK163" t="s">
        <v>1483</v>
      </c>
      <c r="CL163" t="s">
        <v>1483</v>
      </c>
      <c r="CM163" t="s">
        <v>1483</v>
      </c>
      <c r="CN163" t="b">
        <f t="shared" si="149"/>
        <v>1</v>
      </c>
      <c r="CO163" t="str">
        <f t="shared" si="137"/>
        <v>R343</v>
      </c>
      <c r="CP163" t="str">
        <f t="shared" si="150"/>
        <v>R343</v>
      </c>
      <c r="CQ163" t="str">
        <f>AF162</f>
        <v>R499</v>
      </c>
      <c r="CR163" t="str">
        <f t="shared" si="138"/>
        <v/>
      </c>
      <c r="CS163" t="s">
        <v>798</v>
      </c>
      <c r="CT163" t="s">
        <v>798</v>
      </c>
      <c r="CU163" t="s">
        <v>798</v>
      </c>
      <c r="CV163" t="b">
        <f t="shared" si="151"/>
        <v>1</v>
      </c>
      <c r="DC163" t="str">
        <f t="shared" si="139"/>
        <v>G829</v>
      </c>
      <c r="DD163" t="b">
        <f t="shared" si="152"/>
        <v>1</v>
      </c>
      <c r="DE163" t="str">
        <f t="shared" si="153"/>
        <v/>
      </c>
      <c r="DF163" t="str">
        <f t="shared" si="140"/>
        <v>R499</v>
      </c>
      <c r="DG163" t="b">
        <f t="shared" si="154"/>
        <v>1</v>
      </c>
      <c r="DH163" t="str">
        <f t="shared" si="155"/>
        <v/>
      </c>
    </row>
    <row r="164" spans="2:112" ht="12" customHeight="1">
      <c r="B164" t="str">
        <f>TBIDry!H236</f>
        <v>G51</v>
      </c>
      <c r="C164" t="str">
        <f>TBIDry!I236</f>
        <v>R673</v>
      </c>
      <c r="D164" t="b">
        <f t="shared" si="107"/>
        <v>0</v>
      </c>
      <c r="E164" t="b">
        <f t="shared" si="108"/>
        <v>0</v>
      </c>
      <c r="G164" t="str">
        <f>TBIWet!H236</f>
        <v>G352</v>
      </c>
      <c r="H164" t="str">
        <f>TBIWet!I236</f>
        <v>R124</v>
      </c>
      <c r="I164" t="b">
        <f t="shared" si="109"/>
        <v>0</v>
      </c>
      <c r="J164" t="b">
        <f t="shared" si="110"/>
        <v>0</v>
      </c>
      <c r="L164" t="str">
        <f>'Both teabags AfterWet'!A162</f>
        <v>G569</v>
      </c>
      <c r="M164" t="str">
        <f>'Both teabags AfterWet'!A582</f>
        <v>R346</v>
      </c>
      <c r="N164" t="b">
        <f t="shared" si="111"/>
        <v>0</v>
      </c>
      <c r="O164" t="b">
        <f t="shared" si="156"/>
        <v>0</v>
      </c>
      <c r="Q164" s="395" t="b">
        <f t="shared" si="112"/>
        <v>0</v>
      </c>
      <c r="R164" s="395" t="b">
        <f t="shared" si="113"/>
        <v>0</v>
      </c>
      <c r="T164" t="str">
        <f>'Both teabags AfterDry'!A162</f>
        <v>G316</v>
      </c>
      <c r="U164" t="str">
        <f>'Both teabags AfterDry'!A497</f>
        <v>R637</v>
      </c>
      <c r="V164" t="b">
        <f t="shared" si="114"/>
        <v>0</v>
      </c>
      <c r="W164" t="b">
        <f t="shared" si="141"/>
        <v>0</v>
      </c>
      <c r="Y164" t="str">
        <f>'Green_rooibos initial weight'!A165</f>
        <v>G161</v>
      </c>
      <c r="Z164" t="str">
        <f>'Green_rooibos initial weight'!A1069</f>
        <v>R161</v>
      </c>
      <c r="AA164" t="b">
        <f t="shared" si="115"/>
        <v>0</v>
      </c>
      <c r="AB164" t="b">
        <f t="shared" si="116"/>
        <v>0</v>
      </c>
      <c r="AE164" t="str">
        <f>'WetLitterbags placem_collection'!K163</f>
        <v>G352</v>
      </c>
      <c r="AF164" t="str">
        <f>'WetLitterbags placem_collection'!M163</f>
        <v>R124</v>
      </c>
      <c r="AG164" t="b">
        <f t="shared" si="117"/>
        <v>0</v>
      </c>
      <c r="AH164" t="b">
        <f t="shared" si="118"/>
        <v>0</v>
      </c>
      <c r="AJ164" t="b">
        <f t="shared" si="119"/>
        <v>0</v>
      </c>
      <c r="AK164" t="b">
        <f t="shared" si="120"/>
        <v>0</v>
      </c>
      <c r="AM164" t="str">
        <f>IF(ISBLANK('Dry_Litterbag Placem_Collection'!J163),"","G"&amp;""&amp;'Dry_Litterbag Placem_Collection'!J163)</f>
        <v>G51</v>
      </c>
      <c r="AN164" t="str">
        <f>IF(ISBLANK('Dry_Litterbag Placem_Collection'!K163),"","R"&amp;""&amp;'Dry_Litterbag Placem_Collection'!K163)</f>
        <v>R673</v>
      </c>
      <c r="AO164" t="b">
        <f t="shared" si="121"/>
        <v>0</v>
      </c>
      <c r="AP164" t="b">
        <f t="shared" si="122"/>
        <v>0</v>
      </c>
      <c r="AS164" t="str">
        <f>'Ashed teabags dry'!A162</f>
        <v>G316</v>
      </c>
      <c r="AT164" t="str">
        <f>'Ashed teabags dry'!A497</f>
        <v>R637</v>
      </c>
      <c r="AU164" t="b">
        <f t="shared" si="123"/>
        <v>0</v>
      </c>
      <c r="AV164" t="b">
        <f>COUNTIF($AT$4:$AT$2000, AT164)&gt;1</f>
        <v>0</v>
      </c>
      <c r="AX164" s="395" t="b">
        <f t="shared" si="124"/>
        <v>0</v>
      </c>
      <c r="AY164" s="395" t="b">
        <f t="shared" si="125"/>
        <v>0</v>
      </c>
      <c r="BA164" t="str">
        <f>'Ashed teabags wet'!A162</f>
        <v>G569</v>
      </c>
      <c r="BB164" t="str">
        <f>'Ashed teabags wet'!A582</f>
        <v>R346</v>
      </c>
      <c r="BC164" t="b">
        <f t="shared" si="126"/>
        <v>0</v>
      </c>
      <c r="BD164" t="b">
        <f t="shared" si="106"/>
        <v>0</v>
      </c>
      <c r="BF164" t="str">
        <f t="shared" si="127"/>
        <v>G315</v>
      </c>
      <c r="BG164" t="str">
        <f>T163</f>
        <v>G315</v>
      </c>
      <c r="BH164" t="str">
        <f t="shared" si="128"/>
        <v>G482</v>
      </c>
      <c r="BI164" t="str">
        <f t="shared" si="142"/>
        <v>G482</v>
      </c>
      <c r="BJ164" t="s">
        <v>1735</v>
      </c>
      <c r="BK164" t="s">
        <v>1735</v>
      </c>
      <c r="BL164" t="s">
        <v>1735</v>
      </c>
      <c r="BM164" t="b">
        <f t="shared" si="143"/>
        <v>1</v>
      </c>
      <c r="BN164" t="str">
        <f t="shared" si="129"/>
        <v>R636</v>
      </c>
      <c r="BO164" t="str">
        <f>U163</f>
        <v>R636</v>
      </c>
      <c r="BP164" t="str">
        <f t="shared" si="130"/>
        <v>R401</v>
      </c>
      <c r="BQ164" t="str">
        <f t="shared" si="131"/>
        <v>R401</v>
      </c>
      <c r="BR164" t="s">
        <v>503</v>
      </c>
      <c r="BS164" t="s">
        <v>502</v>
      </c>
      <c r="BT164" t="s">
        <v>503</v>
      </c>
      <c r="BU164" t="b">
        <f t="shared" si="144"/>
        <v>1</v>
      </c>
      <c r="BZ164" t="str">
        <f t="shared" si="132"/>
        <v>G482</v>
      </c>
      <c r="CA164" t="b">
        <f t="shared" si="133"/>
        <v>0</v>
      </c>
      <c r="CB164" t="str">
        <f t="shared" si="145"/>
        <v>G482</v>
      </c>
      <c r="CC164" t="str">
        <f t="shared" si="134"/>
        <v>R401</v>
      </c>
      <c r="CD164" t="b">
        <f t="shared" si="146"/>
        <v>0</v>
      </c>
      <c r="CE164" t="str">
        <f t="shared" si="147"/>
        <v>R401</v>
      </c>
      <c r="CG164" t="str">
        <f t="shared" si="135"/>
        <v>G568</v>
      </c>
      <c r="CH164" t="str">
        <f t="shared" si="148"/>
        <v>G568</v>
      </c>
      <c r="CI164" t="str">
        <f>AE163</f>
        <v>G809</v>
      </c>
      <c r="CJ164" t="str">
        <f t="shared" si="136"/>
        <v>G809</v>
      </c>
      <c r="CK164" t="s">
        <v>1482</v>
      </c>
      <c r="CL164" t="s">
        <v>1482</v>
      </c>
      <c r="CM164" t="s">
        <v>1482</v>
      </c>
      <c r="CN164" t="b">
        <f t="shared" si="149"/>
        <v>1</v>
      </c>
      <c r="CO164" t="str">
        <f t="shared" si="137"/>
        <v>R344</v>
      </c>
      <c r="CP164" t="str">
        <f t="shared" si="150"/>
        <v>R344</v>
      </c>
      <c r="CQ164" t="str">
        <f>AF163</f>
        <v>R421</v>
      </c>
      <c r="CR164" t="str">
        <f t="shared" si="138"/>
        <v>R421</v>
      </c>
      <c r="CS164" t="s">
        <v>797</v>
      </c>
      <c r="CT164" t="s">
        <v>797</v>
      </c>
      <c r="CU164" t="s">
        <v>797</v>
      </c>
      <c r="CV164" t="b">
        <f t="shared" si="151"/>
        <v>1</v>
      </c>
      <c r="DC164" t="str">
        <f t="shared" si="139"/>
        <v>G809</v>
      </c>
      <c r="DD164" t="b">
        <f t="shared" si="152"/>
        <v>0</v>
      </c>
      <c r="DE164" t="str">
        <f t="shared" si="153"/>
        <v>G809</v>
      </c>
      <c r="DF164" t="str">
        <f t="shared" si="140"/>
        <v>R421</v>
      </c>
      <c r="DG164" t="b">
        <f t="shared" si="154"/>
        <v>0</v>
      </c>
      <c r="DH164" t="str">
        <f t="shared" si="155"/>
        <v>R421</v>
      </c>
    </row>
    <row r="165" spans="2:112" ht="12" customHeight="1">
      <c r="B165" t="str">
        <f>TBIDry!H237</f>
        <v>G238</v>
      </c>
      <c r="C165" t="str">
        <f>TBIDry!I237</f>
        <v>R814</v>
      </c>
      <c r="D165" t="b">
        <f t="shared" si="107"/>
        <v>0</v>
      </c>
      <c r="E165" t="b">
        <f t="shared" si="108"/>
        <v>0</v>
      </c>
      <c r="G165" t="str">
        <f>TBIWet!H237</f>
        <v>G385</v>
      </c>
      <c r="H165" t="str">
        <f>TBIWet!I237</f>
        <v>R202</v>
      </c>
      <c r="I165" t="b">
        <f t="shared" si="109"/>
        <v>0</v>
      </c>
      <c r="J165" t="b">
        <f t="shared" si="110"/>
        <v>0</v>
      </c>
      <c r="L165" t="str">
        <f>'Both teabags AfterWet'!A163</f>
        <v>G571</v>
      </c>
      <c r="M165" t="str">
        <f>'Both teabags AfterWet'!A583</f>
        <v>R349</v>
      </c>
      <c r="N165" t="b">
        <f t="shared" si="111"/>
        <v>0</v>
      </c>
      <c r="O165" t="b">
        <f t="shared" si="156"/>
        <v>0</v>
      </c>
      <c r="Q165" s="395" t="b">
        <f t="shared" si="112"/>
        <v>0</v>
      </c>
      <c r="R165" s="395" t="b">
        <f t="shared" si="113"/>
        <v>0</v>
      </c>
      <c r="T165" t="str">
        <f>'Both teabags AfterDry'!A163</f>
        <v>G318</v>
      </c>
      <c r="U165" t="str">
        <f>'Both teabags AfterDry'!A498</f>
        <v>R638</v>
      </c>
      <c r="V165" t="b">
        <f t="shared" si="114"/>
        <v>0</v>
      </c>
      <c r="W165" t="b">
        <f t="shared" si="141"/>
        <v>0</v>
      </c>
      <c r="Y165" t="str">
        <f>'Green_rooibos initial weight'!A166</f>
        <v>G162</v>
      </c>
      <c r="Z165" t="str">
        <f>'Green_rooibos initial weight'!A1070</f>
        <v>R162</v>
      </c>
      <c r="AA165" t="b">
        <f t="shared" si="115"/>
        <v>0</v>
      </c>
      <c r="AB165" t="b">
        <f t="shared" si="116"/>
        <v>0</v>
      </c>
      <c r="AE165" t="str">
        <f>'WetLitterbags placem_collection'!K164</f>
        <v>G385</v>
      </c>
      <c r="AF165" t="str">
        <f>'WetLitterbags placem_collection'!M164</f>
        <v>R202</v>
      </c>
      <c r="AG165" t="b">
        <f t="shared" si="117"/>
        <v>0</v>
      </c>
      <c r="AH165" t="b">
        <f t="shared" si="118"/>
        <v>0</v>
      </c>
      <c r="AJ165" t="b">
        <f t="shared" si="119"/>
        <v>0</v>
      </c>
      <c r="AK165" t="b">
        <f t="shared" si="120"/>
        <v>0</v>
      </c>
      <c r="AM165" t="str">
        <f>IF(ISBLANK('Dry_Litterbag Placem_Collection'!J164),"","G"&amp;""&amp;'Dry_Litterbag Placem_Collection'!J164)</f>
        <v>G238</v>
      </c>
      <c r="AN165" t="str">
        <f>IF(ISBLANK('Dry_Litterbag Placem_Collection'!K164),"","R"&amp;""&amp;'Dry_Litterbag Placem_Collection'!K164)</f>
        <v>R814</v>
      </c>
      <c r="AO165" t="b">
        <f t="shared" si="121"/>
        <v>0</v>
      </c>
      <c r="AP165" t="b">
        <f t="shared" si="122"/>
        <v>0</v>
      </c>
      <c r="AS165" t="str">
        <f>'Ashed teabags dry'!A163</f>
        <v>G318</v>
      </c>
      <c r="AT165" t="str">
        <f>'Ashed teabags dry'!A498</f>
        <v>R638</v>
      </c>
      <c r="AU165" t="b">
        <f t="shared" si="123"/>
        <v>0</v>
      </c>
      <c r="AV165" t="b">
        <f>COUNTIF($AT$4:$AT$2000, AT165)&gt;1</f>
        <v>0</v>
      </c>
      <c r="AX165" s="395" t="b">
        <f t="shared" si="124"/>
        <v>0</v>
      </c>
      <c r="AY165" s="395" t="b">
        <f t="shared" si="125"/>
        <v>0</v>
      </c>
      <c r="BA165" t="str">
        <f>'Ashed teabags wet'!A163</f>
        <v>G571</v>
      </c>
      <c r="BB165" t="str">
        <f>'Ashed teabags wet'!A583</f>
        <v>R349</v>
      </c>
      <c r="BC165" t="b">
        <f t="shared" si="126"/>
        <v>0</v>
      </c>
      <c r="BD165" t="b">
        <f t="shared" si="106"/>
        <v>0</v>
      </c>
      <c r="BF165" t="str">
        <f t="shared" si="127"/>
        <v>G316</v>
      </c>
      <c r="BG165" t="str">
        <f>T164</f>
        <v>G316</v>
      </c>
      <c r="BH165" t="str">
        <f t="shared" si="128"/>
        <v>G51</v>
      </c>
      <c r="BI165" t="str">
        <f t="shared" si="142"/>
        <v>G51</v>
      </c>
      <c r="BJ165" t="s">
        <v>1734</v>
      </c>
      <c r="BK165" t="s">
        <v>1734</v>
      </c>
      <c r="BL165" t="s">
        <v>1734</v>
      </c>
      <c r="BM165" t="b">
        <f t="shared" si="143"/>
        <v>1</v>
      </c>
      <c r="BN165" t="str">
        <f t="shared" si="129"/>
        <v>R637</v>
      </c>
      <c r="BO165" t="str">
        <f>U164</f>
        <v>R637</v>
      </c>
      <c r="BP165" t="str">
        <f t="shared" si="130"/>
        <v>R673</v>
      </c>
      <c r="BQ165" t="str">
        <f t="shared" si="131"/>
        <v>R673</v>
      </c>
      <c r="BR165" t="s">
        <v>502</v>
      </c>
      <c r="BS165" t="s">
        <v>501</v>
      </c>
      <c r="BT165" t="s">
        <v>502</v>
      </c>
      <c r="BU165" t="b">
        <f t="shared" si="144"/>
        <v>1</v>
      </c>
      <c r="BZ165" t="str">
        <f t="shared" si="132"/>
        <v>G51</v>
      </c>
      <c r="CA165" t="b">
        <f t="shared" si="133"/>
        <v>0</v>
      </c>
      <c r="CB165" t="str">
        <f t="shared" si="145"/>
        <v>G51</v>
      </c>
      <c r="CC165" t="str">
        <f t="shared" si="134"/>
        <v>R673</v>
      </c>
      <c r="CD165" t="b">
        <f t="shared" si="146"/>
        <v>0</v>
      </c>
      <c r="CE165" t="str">
        <f t="shared" si="147"/>
        <v>R673</v>
      </c>
      <c r="CG165" t="str">
        <f t="shared" si="135"/>
        <v>G569</v>
      </c>
      <c r="CH165" t="str">
        <f t="shared" si="148"/>
        <v>G569</v>
      </c>
      <c r="CI165" t="str">
        <f>AE164</f>
        <v>G352</v>
      </c>
      <c r="CJ165" t="str">
        <f t="shared" si="136"/>
        <v>G352</v>
      </c>
      <c r="CK165" t="s">
        <v>1481</v>
      </c>
      <c r="CL165" t="s">
        <v>1481</v>
      </c>
      <c r="CM165" t="s">
        <v>1481</v>
      </c>
      <c r="CN165" t="b">
        <f t="shared" si="149"/>
        <v>1</v>
      </c>
      <c r="CO165" t="str">
        <f t="shared" si="137"/>
        <v>R346</v>
      </c>
      <c r="CP165" t="str">
        <f t="shared" si="150"/>
        <v>R346</v>
      </c>
      <c r="CQ165" t="str">
        <f>AF164</f>
        <v>R124</v>
      </c>
      <c r="CR165" t="str">
        <f t="shared" si="138"/>
        <v>R124</v>
      </c>
      <c r="CS165" t="s">
        <v>795</v>
      </c>
      <c r="CT165" t="s">
        <v>795</v>
      </c>
      <c r="CU165" t="s">
        <v>795</v>
      </c>
      <c r="CV165" t="b">
        <f t="shared" si="151"/>
        <v>1</v>
      </c>
      <c r="DC165" t="str">
        <f t="shared" si="139"/>
        <v>G352</v>
      </c>
      <c r="DD165" t="b">
        <f t="shared" si="152"/>
        <v>0</v>
      </c>
      <c r="DE165" t="str">
        <f t="shared" si="153"/>
        <v>G352</v>
      </c>
      <c r="DF165" t="str">
        <f t="shared" si="140"/>
        <v>R124</v>
      </c>
      <c r="DG165" t="b">
        <f t="shared" si="154"/>
        <v>0</v>
      </c>
      <c r="DH165" t="str">
        <f t="shared" si="155"/>
        <v>R124</v>
      </c>
    </row>
    <row r="166" spans="2:112" ht="12" customHeight="1">
      <c r="B166" t="str">
        <f>TBIDry!H238</f>
        <v>G59</v>
      </c>
      <c r="C166" t="str">
        <f>TBIDry!I238</f>
        <v>R615</v>
      </c>
      <c r="D166" t="b">
        <f t="shared" si="107"/>
        <v>0</v>
      </c>
      <c r="E166" t="b">
        <f t="shared" si="108"/>
        <v>0</v>
      </c>
      <c r="G166" t="str">
        <f>TBIWet!H238</f>
        <v>G202</v>
      </c>
      <c r="H166" t="str">
        <f>TBIWet!I238</f>
        <v>R96</v>
      </c>
      <c r="I166" t="b">
        <f t="shared" si="109"/>
        <v>0</v>
      </c>
      <c r="J166" t="b">
        <f t="shared" si="110"/>
        <v>0</v>
      </c>
      <c r="L166" t="str">
        <f>'Both teabags AfterWet'!A164</f>
        <v>G572</v>
      </c>
      <c r="M166" t="str">
        <f>'Both teabags AfterWet'!A584</f>
        <v>R35</v>
      </c>
      <c r="N166" t="b">
        <f t="shared" si="111"/>
        <v>0</v>
      </c>
      <c r="O166" t="b">
        <f t="shared" si="156"/>
        <v>0</v>
      </c>
      <c r="Q166" s="395" t="b">
        <f t="shared" si="112"/>
        <v>0</v>
      </c>
      <c r="R166" s="395" t="b">
        <f t="shared" si="113"/>
        <v>0</v>
      </c>
      <c r="T166" t="str">
        <f>'Both teabags AfterDry'!A164</f>
        <v>G319</v>
      </c>
      <c r="U166" t="str">
        <f>'Both teabags AfterDry'!A499</f>
        <v>R639</v>
      </c>
      <c r="V166" t="b">
        <f t="shared" si="114"/>
        <v>0</v>
      </c>
      <c r="W166" t="b">
        <f t="shared" si="141"/>
        <v>0</v>
      </c>
      <c r="Y166" t="str">
        <f>'Green_rooibos initial weight'!A167</f>
        <v>G163</v>
      </c>
      <c r="Z166" t="str">
        <f>'Green_rooibos initial weight'!A1071</f>
        <v>R163</v>
      </c>
      <c r="AA166" t="b">
        <f t="shared" si="115"/>
        <v>0</v>
      </c>
      <c r="AB166" t="b">
        <f t="shared" si="116"/>
        <v>0</v>
      </c>
      <c r="AE166" t="str">
        <f>'WetLitterbags placem_collection'!K165</f>
        <v>G202</v>
      </c>
      <c r="AF166" t="str">
        <f>'WetLitterbags placem_collection'!M165</f>
        <v>R96</v>
      </c>
      <c r="AG166" t="b">
        <f t="shared" si="117"/>
        <v>0</v>
      </c>
      <c r="AH166" t="b">
        <f t="shared" si="118"/>
        <v>0</v>
      </c>
      <c r="AJ166" t="b">
        <f t="shared" si="119"/>
        <v>0</v>
      </c>
      <c r="AK166" t="b">
        <f t="shared" si="120"/>
        <v>0</v>
      </c>
      <c r="AM166" t="str">
        <f>IF(ISBLANK('Dry_Litterbag Placem_Collection'!J165),"","G"&amp;""&amp;'Dry_Litterbag Placem_Collection'!J165)</f>
        <v>G59</v>
      </c>
      <c r="AN166" t="str">
        <f>IF(ISBLANK('Dry_Litterbag Placem_Collection'!K165),"","R"&amp;""&amp;'Dry_Litterbag Placem_Collection'!K165)</f>
        <v>R615</v>
      </c>
      <c r="AO166" t="b">
        <f t="shared" si="121"/>
        <v>0</v>
      </c>
      <c r="AP166" t="b">
        <f t="shared" si="122"/>
        <v>0</v>
      </c>
      <c r="AS166" t="str">
        <f>'Ashed teabags dry'!A164</f>
        <v>G319</v>
      </c>
      <c r="AT166" t="str">
        <f>'Ashed teabags dry'!A499</f>
        <v>R639</v>
      </c>
      <c r="AU166" t="b">
        <f t="shared" si="123"/>
        <v>0</v>
      </c>
      <c r="AV166" t="b">
        <f>COUNTIF($AT$4:$AT$2000, AT166)&gt;1</f>
        <v>0</v>
      </c>
      <c r="AX166" s="395" t="b">
        <f t="shared" si="124"/>
        <v>0</v>
      </c>
      <c r="AY166" s="395" t="b">
        <f t="shared" si="125"/>
        <v>0</v>
      </c>
      <c r="BA166" t="str">
        <f>'Ashed teabags wet'!A164</f>
        <v>G572</v>
      </c>
      <c r="BB166" t="str">
        <f>'Ashed teabags wet'!A584</f>
        <v>R35</v>
      </c>
      <c r="BC166" t="b">
        <f t="shared" si="126"/>
        <v>0</v>
      </c>
      <c r="BD166" t="b">
        <f t="shared" si="106"/>
        <v>0</v>
      </c>
      <c r="BF166" t="str">
        <f t="shared" si="127"/>
        <v>G318</v>
      </c>
      <c r="BG166" t="str">
        <f>T165</f>
        <v>G318</v>
      </c>
      <c r="BH166" t="str">
        <f t="shared" si="128"/>
        <v>G238</v>
      </c>
      <c r="BI166" t="str">
        <f t="shared" si="142"/>
        <v>G238</v>
      </c>
      <c r="BJ166" t="s">
        <v>1732</v>
      </c>
      <c r="BK166" t="s">
        <v>1732</v>
      </c>
      <c r="BL166" t="s">
        <v>1732</v>
      </c>
      <c r="BM166" t="b">
        <f t="shared" si="143"/>
        <v>1</v>
      </c>
      <c r="BN166" t="str">
        <f t="shared" si="129"/>
        <v>R638</v>
      </c>
      <c r="BO166" t="str">
        <f>U165</f>
        <v>R638</v>
      </c>
      <c r="BP166" t="str">
        <f t="shared" si="130"/>
        <v>R814</v>
      </c>
      <c r="BQ166" t="str">
        <f t="shared" si="131"/>
        <v>R814</v>
      </c>
      <c r="BR166" t="s">
        <v>501</v>
      </c>
      <c r="BS166" t="s">
        <v>500</v>
      </c>
      <c r="BT166" t="s">
        <v>501</v>
      </c>
      <c r="BU166" t="b">
        <f t="shared" si="144"/>
        <v>1</v>
      </c>
      <c r="BZ166" t="str">
        <f t="shared" si="132"/>
        <v>G238</v>
      </c>
      <c r="CA166" t="b">
        <f t="shared" si="133"/>
        <v>0</v>
      </c>
      <c r="CB166" t="str">
        <f t="shared" si="145"/>
        <v>G238</v>
      </c>
      <c r="CC166" t="str">
        <f t="shared" si="134"/>
        <v>R814</v>
      </c>
      <c r="CD166" t="b">
        <f t="shared" si="146"/>
        <v>0</v>
      </c>
      <c r="CE166" t="str">
        <f t="shared" si="147"/>
        <v>R814</v>
      </c>
      <c r="CG166" t="str">
        <f t="shared" si="135"/>
        <v>G571</v>
      </c>
      <c r="CH166" t="str">
        <f t="shared" si="148"/>
        <v>G571</v>
      </c>
      <c r="CI166" t="str">
        <f>AE165</f>
        <v>G385</v>
      </c>
      <c r="CJ166" t="str">
        <f t="shared" si="136"/>
        <v>G385</v>
      </c>
      <c r="CK166" t="s">
        <v>1479</v>
      </c>
      <c r="CL166" t="s">
        <v>1479</v>
      </c>
      <c r="CM166" t="s">
        <v>1479</v>
      </c>
      <c r="CN166" t="b">
        <f t="shared" si="149"/>
        <v>1</v>
      </c>
      <c r="CO166" t="str">
        <f t="shared" si="137"/>
        <v>R349</v>
      </c>
      <c r="CP166" t="str">
        <f t="shared" si="150"/>
        <v>R349</v>
      </c>
      <c r="CQ166" t="str">
        <f>AF165</f>
        <v>R202</v>
      </c>
      <c r="CR166" t="str">
        <f t="shared" si="138"/>
        <v>R202</v>
      </c>
      <c r="CS166" t="s">
        <v>792</v>
      </c>
      <c r="CT166" t="s">
        <v>792</v>
      </c>
      <c r="CU166" t="s">
        <v>792</v>
      </c>
      <c r="CV166" t="b">
        <f t="shared" si="151"/>
        <v>1</v>
      </c>
      <c r="DC166" t="str">
        <f t="shared" si="139"/>
        <v>G385</v>
      </c>
      <c r="DD166" t="b">
        <f t="shared" si="152"/>
        <v>0</v>
      </c>
      <c r="DE166" t="str">
        <f t="shared" si="153"/>
        <v>G385</v>
      </c>
      <c r="DF166" t="str">
        <f t="shared" si="140"/>
        <v>R202</v>
      </c>
      <c r="DG166" t="b">
        <f t="shared" si="154"/>
        <v>0</v>
      </c>
      <c r="DH166" t="str">
        <f t="shared" si="155"/>
        <v>R202</v>
      </c>
    </row>
    <row r="167" spans="2:112" ht="12" customHeight="1">
      <c r="B167" t="str">
        <f>TBIDry!H239</f>
        <v>G7</v>
      </c>
      <c r="C167" t="str">
        <f>TBIDry!I239</f>
        <v>R514</v>
      </c>
      <c r="D167" t="b">
        <f t="shared" si="107"/>
        <v>0</v>
      </c>
      <c r="E167" t="b">
        <f t="shared" si="108"/>
        <v>0</v>
      </c>
      <c r="G167" t="str">
        <f>TBIWet!H239</f>
        <v>G686</v>
      </c>
      <c r="H167" t="str">
        <f>TBIWet!I239</f>
        <v>R317</v>
      </c>
      <c r="I167" t="b">
        <f t="shared" si="109"/>
        <v>0</v>
      </c>
      <c r="J167" t="b">
        <f t="shared" si="110"/>
        <v>0</v>
      </c>
      <c r="L167" t="str">
        <f>'Both teabags AfterWet'!A165</f>
        <v>G573</v>
      </c>
      <c r="M167" t="str">
        <f>'Both teabags AfterWet'!A585</f>
        <v>R353</v>
      </c>
      <c r="N167" t="b">
        <f t="shared" si="111"/>
        <v>0</v>
      </c>
      <c r="O167" t="b">
        <f t="shared" si="156"/>
        <v>0</v>
      </c>
      <c r="Q167" s="395" t="b">
        <f t="shared" si="112"/>
        <v>0</v>
      </c>
      <c r="R167" s="395" t="b">
        <f t="shared" si="113"/>
        <v>0</v>
      </c>
      <c r="T167" t="str">
        <f>'Both teabags AfterDry'!A165</f>
        <v>G32</v>
      </c>
      <c r="U167" t="str">
        <f>'Both teabags AfterDry'!A500</f>
        <v>R640</v>
      </c>
      <c r="V167" t="b">
        <f t="shared" si="114"/>
        <v>0</v>
      </c>
      <c r="W167" t="b">
        <f t="shared" si="141"/>
        <v>0</v>
      </c>
      <c r="Y167" t="str">
        <f>'Green_rooibos initial weight'!A168</f>
        <v>G164</v>
      </c>
      <c r="Z167" t="str">
        <f>'Green_rooibos initial weight'!A1072</f>
        <v>R164</v>
      </c>
      <c r="AA167" t="b">
        <f t="shared" si="115"/>
        <v>0</v>
      </c>
      <c r="AB167" t="b">
        <f t="shared" si="116"/>
        <v>0</v>
      </c>
      <c r="AE167" t="str">
        <f>'WetLitterbags placem_collection'!K166</f>
        <v>G686</v>
      </c>
      <c r="AF167" t="str">
        <f>'WetLitterbags placem_collection'!M166</f>
        <v>R317</v>
      </c>
      <c r="AG167" t="b">
        <f t="shared" si="117"/>
        <v>0</v>
      </c>
      <c r="AH167" t="b">
        <f t="shared" si="118"/>
        <v>0</v>
      </c>
      <c r="AJ167" t="b">
        <f t="shared" si="119"/>
        <v>0</v>
      </c>
      <c r="AK167" t="b">
        <f t="shared" si="120"/>
        <v>0</v>
      </c>
      <c r="AM167" t="str">
        <f>IF(ISBLANK('Dry_Litterbag Placem_Collection'!J166),"","G"&amp;""&amp;'Dry_Litterbag Placem_Collection'!J166)</f>
        <v>G7</v>
      </c>
      <c r="AN167" t="str">
        <f>IF(ISBLANK('Dry_Litterbag Placem_Collection'!K166),"","R"&amp;""&amp;'Dry_Litterbag Placem_Collection'!K166)</f>
        <v>R514</v>
      </c>
      <c r="AO167" t="b">
        <f t="shared" si="121"/>
        <v>0</v>
      </c>
      <c r="AP167" t="b">
        <f t="shared" si="122"/>
        <v>0</v>
      </c>
      <c r="AS167" t="str">
        <f>'Ashed teabags dry'!A165</f>
        <v>G32</v>
      </c>
      <c r="AT167" t="str">
        <f>'Ashed teabags dry'!A500</f>
        <v>R640</v>
      </c>
      <c r="AU167" t="b">
        <f t="shared" si="123"/>
        <v>0</v>
      </c>
      <c r="AV167" t="b">
        <f>COUNTIF($AT$4:$AT$2000, AT167)&gt;1</f>
        <v>0</v>
      </c>
      <c r="AX167" s="395" t="b">
        <f t="shared" si="124"/>
        <v>0</v>
      </c>
      <c r="AY167" s="395" t="b">
        <f t="shared" si="125"/>
        <v>0</v>
      </c>
      <c r="BA167" t="str">
        <f>'Ashed teabags wet'!A165</f>
        <v>G573</v>
      </c>
      <c r="BB167" t="str">
        <f>'Ashed teabags wet'!A585</f>
        <v>R353</v>
      </c>
      <c r="BC167" t="b">
        <f t="shared" si="126"/>
        <v>0</v>
      </c>
      <c r="BD167" t="b">
        <f t="shared" si="106"/>
        <v>0</v>
      </c>
      <c r="BF167" t="str">
        <f t="shared" si="127"/>
        <v>G319</v>
      </c>
      <c r="BG167" t="str">
        <f>T166</f>
        <v>G319</v>
      </c>
      <c r="BH167" t="str">
        <f t="shared" si="128"/>
        <v>G59</v>
      </c>
      <c r="BI167" t="str">
        <f t="shared" si="142"/>
        <v>G59</v>
      </c>
      <c r="BJ167" t="s">
        <v>1731</v>
      </c>
      <c r="BK167" t="s">
        <v>1731</v>
      </c>
      <c r="BL167" t="s">
        <v>1731</v>
      </c>
      <c r="BM167" t="b">
        <f t="shared" si="143"/>
        <v>1</v>
      </c>
      <c r="BN167" t="str">
        <f t="shared" si="129"/>
        <v>R639</v>
      </c>
      <c r="BO167" t="str">
        <f>U166</f>
        <v>R639</v>
      </c>
      <c r="BP167" t="str">
        <f t="shared" si="130"/>
        <v>R615</v>
      </c>
      <c r="BQ167" t="str">
        <f t="shared" si="131"/>
        <v>R615</v>
      </c>
      <c r="BR167" t="s">
        <v>500</v>
      </c>
      <c r="BS167" t="s">
        <v>499</v>
      </c>
      <c r="BT167" t="s">
        <v>500</v>
      </c>
      <c r="BU167" t="b">
        <f t="shared" si="144"/>
        <v>1</v>
      </c>
      <c r="BZ167" t="str">
        <f t="shared" si="132"/>
        <v>G59</v>
      </c>
      <c r="CA167" t="b">
        <f t="shared" si="133"/>
        <v>0</v>
      </c>
      <c r="CB167" t="str">
        <f t="shared" si="145"/>
        <v>G59</v>
      </c>
      <c r="CC167" t="str">
        <f t="shared" si="134"/>
        <v>R615</v>
      </c>
      <c r="CD167" t="b">
        <f t="shared" si="146"/>
        <v>0</v>
      </c>
      <c r="CE167" t="str">
        <f t="shared" si="147"/>
        <v>R615</v>
      </c>
      <c r="CG167" t="str">
        <f t="shared" si="135"/>
        <v>G572</v>
      </c>
      <c r="CH167" t="str">
        <f t="shared" si="148"/>
        <v>G572</v>
      </c>
      <c r="CI167" t="str">
        <f>AE166</f>
        <v>G202</v>
      </c>
      <c r="CJ167" t="str">
        <f t="shared" si="136"/>
        <v>G202</v>
      </c>
      <c r="CK167" t="s">
        <v>1478</v>
      </c>
      <c r="CL167" t="s">
        <v>1478</v>
      </c>
      <c r="CM167" t="s">
        <v>1478</v>
      </c>
      <c r="CN167" t="b">
        <f t="shared" si="149"/>
        <v>1</v>
      </c>
      <c r="CO167" t="str">
        <f t="shared" si="137"/>
        <v>R35</v>
      </c>
      <c r="CP167" t="str">
        <f t="shared" si="150"/>
        <v>R35</v>
      </c>
      <c r="CQ167" t="str">
        <f>AF166</f>
        <v>R96</v>
      </c>
      <c r="CR167" t="str">
        <f t="shared" si="138"/>
        <v>R96</v>
      </c>
      <c r="CS167" t="s">
        <v>1106</v>
      </c>
      <c r="CT167" t="s">
        <v>1106</v>
      </c>
      <c r="CU167" t="s">
        <v>1106</v>
      </c>
      <c r="CV167" t="b">
        <f t="shared" si="151"/>
        <v>1</v>
      </c>
      <c r="DC167" t="str">
        <f t="shared" si="139"/>
        <v>G202</v>
      </c>
      <c r="DD167" t="b">
        <f t="shared" si="152"/>
        <v>0</v>
      </c>
      <c r="DE167" t="str">
        <f t="shared" si="153"/>
        <v>G202</v>
      </c>
      <c r="DF167" t="str">
        <f t="shared" si="140"/>
        <v>R96</v>
      </c>
      <c r="DG167" t="b">
        <f t="shared" si="154"/>
        <v>0</v>
      </c>
      <c r="DH167" t="str">
        <f t="shared" si="155"/>
        <v>R96</v>
      </c>
    </row>
    <row r="168" spans="2:112" ht="12" customHeight="1">
      <c r="B168" t="str">
        <f>TBIDry!H240</f>
        <v>G85</v>
      </c>
      <c r="C168" t="str">
        <f>TBIDry!I240</f>
        <v>R127</v>
      </c>
      <c r="D168" t="b">
        <f t="shared" si="107"/>
        <v>0</v>
      </c>
      <c r="E168" t="b">
        <f t="shared" si="108"/>
        <v>0</v>
      </c>
      <c r="G168" t="str">
        <f>TBIWet!H240</f>
        <v>G368</v>
      </c>
      <c r="H168" t="str">
        <f>TBIWet!I240</f>
        <v>R331</v>
      </c>
      <c r="I168" t="b">
        <f t="shared" si="109"/>
        <v>0</v>
      </c>
      <c r="J168" t="b">
        <f t="shared" si="110"/>
        <v>0</v>
      </c>
      <c r="L168" t="str">
        <f>'Both teabags AfterWet'!A166</f>
        <v>G574</v>
      </c>
      <c r="M168" t="str">
        <f>'Both teabags AfterWet'!A586</f>
        <v>R354</v>
      </c>
      <c r="N168" t="b">
        <f t="shared" si="111"/>
        <v>0</v>
      </c>
      <c r="O168" t="b">
        <f t="shared" si="156"/>
        <v>0</v>
      </c>
      <c r="Q168" s="395" t="b">
        <f t="shared" si="112"/>
        <v>0</v>
      </c>
      <c r="R168" s="395" t="b">
        <f t="shared" si="113"/>
        <v>0</v>
      </c>
      <c r="T168" t="str">
        <f>'Both teabags AfterDry'!A166</f>
        <v>G320</v>
      </c>
      <c r="U168" t="str">
        <f>'Both teabags AfterDry'!A501</f>
        <v>R641</v>
      </c>
      <c r="V168" t="b">
        <f t="shared" si="114"/>
        <v>0</v>
      </c>
      <c r="W168" t="b">
        <f t="shared" si="141"/>
        <v>0</v>
      </c>
      <c r="Y168" t="str">
        <f>'Green_rooibos initial weight'!A169</f>
        <v>G165</v>
      </c>
      <c r="Z168" t="str">
        <f>'Green_rooibos initial weight'!A1073</f>
        <v>R165</v>
      </c>
      <c r="AA168" t="b">
        <f t="shared" si="115"/>
        <v>0</v>
      </c>
      <c r="AB168" t="b">
        <f t="shared" si="116"/>
        <v>0</v>
      </c>
      <c r="AE168" t="str">
        <f>'WetLitterbags placem_collection'!K167</f>
        <v>G368</v>
      </c>
      <c r="AF168" t="str">
        <f>'WetLitterbags placem_collection'!M167</f>
        <v>R331</v>
      </c>
      <c r="AG168" t="b">
        <f t="shared" si="117"/>
        <v>0</v>
      </c>
      <c r="AH168" t="b">
        <f t="shared" si="118"/>
        <v>0</v>
      </c>
      <c r="AJ168" t="b">
        <f t="shared" si="119"/>
        <v>0</v>
      </c>
      <c r="AK168" t="b">
        <f t="shared" si="120"/>
        <v>0</v>
      </c>
      <c r="AM168" t="str">
        <f>IF(ISBLANK('Dry_Litterbag Placem_Collection'!J167),"","G"&amp;""&amp;'Dry_Litterbag Placem_Collection'!J167)</f>
        <v>G85</v>
      </c>
      <c r="AN168" t="str">
        <f>IF(ISBLANK('Dry_Litterbag Placem_Collection'!K167),"","R"&amp;""&amp;'Dry_Litterbag Placem_Collection'!K167)</f>
        <v>R127</v>
      </c>
      <c r="AO168" t="b">
        <f t="shared" si="121"/>
        <v>0</v>
      </c>
      <c r="AP168" t="b">
        <f t="shared" si="122"/>
        <v>0</v>
      </c>
      <c r="AS168" t="str">
        <f>'Ashed teabags dry'!A166</f>
        <v>G320</v>
      </c>
      <c r="AT168" t="str">
        <f>'Ashed teabags dry'!A501</f>
        <v>R641</v>
      </c>
      <c r="AU168" t="b">
        <f t="shared" si="123"/>
        <v>0</v>
      </c>
      <c r="AV168" t="b">
        <f>COUNTIF($AT$4:$AT$2000, AT168)&gt;1</f>
        <v>0</v>
      </c>
      <c r="AX168" s="395" t="b">
        <f t="shared" si="124"/>
        <v>0</v>
      </c>
      <c r="AY168" s="395" t="b">
        <f t="shared" si="125"/>
        <v>0</v>
      </c>
      <c r="BA168" t="str">
        <f>'Ashed teabags wet'!A166</f>
        <v>G574</v>
      </c>
      <c r="BB168" t="str">
        <f>'Ashed teabags wet'!A586</f>
        <v>R354</v>
      </c>
      <c r="BC168" t="b">
        <f t="shared" si="126"/>
        <v>0</v>
      </c>
      <c r="BD168" t="b">
        <f t="shared" si="106"/>
        <v>0</v>
      </c>
      <c r="BF168" t="str">
        <f t="shared" si="127"/>
        <v>G32</v>
      </c>
      <c r="BG168" t="str">
        <f>T167</f>
        <v>G32</v>
      </c>
      <c r="BH168" t="str">
        <f t="shared" si="128"/>
        <v>G7</v>
      </c>
      <c r="BI168" t="str">
        <f t="shared" si="142"/>
        <v>G7</v>
      </c>
      <c r="BJ168" t="s">
        <v>2018</v>
      </c>
      <c r="BK168" t="s">
        <v>2018</v>
      </c>
      <c r="BL168" t="s">
        <v>2018</v>
      </c>
      <c r="BM168" t="b">
        <f t="shared" si="143"/>
        <v>1</v>
      </c>
      <c r="BN168" t="str">
        <f t="shared" si="129"/>
        <v>R640</v>
      </c>
      <c r="BO168" t="str">
        <f>U167</f>
        <v>R640</v>
      </c>
      <c r="BP168" t="str">
        <f t="shared" si="130"/>
        <v>R514</v>
      </c>
      <c r="BQ168" t="str">
        <f t="shared" si="131"/>
        <v>R514</v>
      </c>
      <c r="BR168" t="s">
        <v>499</v>
      </c>
      <c r="BS168" t="s">
        <v>498</v>
      </c>
      <c r="BT168" t="s">
        <v>499</v>
      </c>
      <c r="BU168" t="b">
        <f t="shared" si="144"/>
        <v>1</v>
      </c>
      <c r="BZ168" t="str">
        <f t="shared" si="132"/>
        <v>G7</v>
      </c>
      <c r="CA168" t="b">
        <f t="shared" si="133"/>
        <v>0</v>
      </c>
      <c r="CB168" t="str">
        <f t="shared" si="145"/>
        <v>G7</v>
      </c>
      <c r="CC168" t="str">
        <f t="shared" si="134"/>
        <v>R514</v>
      </c>
      <c r="CD168" t="b">
        <f t="shared" si="146"/>
        <v>0</v>
      </c>
      <c r="CE168" t="str">
        <f t="shared" si="147"/>
        <v>R514</v>
      </c>
      <c r="CG168" t="str">
        <f t="shared" si="135"/>
        <v>G573</v>
      </c>
      <c r="CH168" t="str">
        <f t="shared" si="148"/>
        <v>G573</v>
      </c>
      <c r="CI168" t="str">
        <f>AE167</f>
        <v>G686</v>
      </c>
      <c r="CJ168" t="str">
        <f t="shared" si="136"/>
        <v>G686</v>
      </c>
      <c r="CK168" t="s">
        <v>1477</v>
      </c>
      <c r="CL168" t="s">
        <v>1477</v>
      </c>
      <c r="CM168" t="s">
        <v>1477</v>
      </c>
      <c r="CN168" t="b">
        <f t="shared" si="149"/>
        <v>1</v>
      </c>
      <c r="CO168" t="str">
        <f t="shared" si="137"/>
        <v>R353</v>
      </c>
      <c r="CP168" t="str">
        <f t="shared" si="150"/>
        <v>R353</v>
      </c>
      <c r="CQ168" t="str">
        <f>AF167</f>
        <v>R317</v>
      </c>
      <c r="CR168" t="str">
        <f t="shared" si="138"/>
        <v>R317</v>
      </c>
      <c r="CS168" t="s">
        <v>788</v>
      </c>
      <c r="CT168" t="s">
        <v>788</v>
      </c>
      <c r="CU168" t="s">
        <v>788</v>
      </c>
      <c r="CV168" t="b">
        <f t="shared" si="151"/>
        <v>1</v>
      </c>
      <c r="DC168" t="str">
        <f t="shared" si="139"/>
        <v>G686</v>
      </c>
      <c r="DD168" t="b">
        <f t="shared" si="152"/>
        <v>0</v>
      </c>
      <c r="DE168" t="str">
        <f t="shared" si="153"/>
        <v>G686</v>
      </c>
      <c r="DF168" t="str">
        <f t="shared" si="140"/>
        <v>R317</v>
      </c>
      <c r="DG168" t="b">
        <f t="shared" si="154"/>
        <v>0</v>
      </c>
      <c r="DH168" t="str">
        <f t="shared" si="155"/>
        <v>R317</v>
      </c>
    </row>
    <row r="169" spans="2:112" ht="12" customHeight="1">
      <c r="B169" t="str">
        <f>TBIDry!H241</f>
        <v>G1</v>
      </c>
      <c r="C169" t="str">
        <f>TBIDry!I241</f>
        <v>R752</v>
      </c>
      <c r="D169" t="b">
        <f t="shared" si="107"/>
        <v>0</v>
      </c>
      <c r="E169" t="b">
        <f t="shared" si="108"/>
        <v>0</v>
      </c>
      <c r="G169" t="str">
        <f>TBIWet!H241</f>
        <v>G334</v>
      </c>
      <c r="H169" t="str">
        <f>TBIWet!I241</f>
        <v>R287</v>
      </c>
      <c r="I169" t="b">
        <f t="shared" si="109"/>
        <v>0</v>
      </c>
      <c r="J169" t="b">
        <f t="shared" si="110"/>
        <v>0</v>
      </c>
      <c r="L169" t="str">
        <f>'Both teabags AfterWet'!A167</f>
        <v>G575</v>
      </c>
      <c r="M169" t="str">
        <f>'Both teabags AfterWet'!A587</f>
        <v>R356</v>
      </c>
      <c r="N169" t="b">
        <f t="shared" si="111"/>
        <v>0</v>
      </c>
      <c r="O169" t="b">
        <f t="shared" si="156"/>
        <v>0</v>
      </c>
      <c r="Q169" s="395" t="b">
        <f t="shared" si="112"/>
        <v>0</v>
      </c>
      <c r="R169" s="395" t="b">
        <f t="shared" si="113"/>
        <v>0</v>
      </c>
      <c r="T169" t="str">
        <f>'Both teabags AfterDry'!A167</f>
        <v>G322</v>
      </c>
      <c r="U169" t="str">
        <f>'Both teabags AfterDry'!A502</f>
        <v>R642</v>
      </c>
      <c r="V169" t="b">
        <f t="shared" si="114"/>
        <v>0</v>
      </c>
      <c r="W169" t="b">
        <f t="shared" si="141"/>
        <v>0</v>
      </c>
      <c r="Y169" t="str">
        <f>'Green_rooibos initial weight'!A170</f>
        <v>G166</v>
      </c>
      <c r="Z169" t="str">
        <f>'Green_rooibos initial weight'!A1074</f>
        <v>R166</v>
      </c>
      <c r="AA169" t="b">
        <f t="shared" si="115"/>
        <v>0</v>
      </c>
      <c r="AB169" t="b">
        <f t="shared" si="116"/>
        <v>0</v>
      </c>
      <c r="AE169" t="str">
        <f>'WetLitterbags placem_collection'!K168</f>
        <v>G334</v>
      </c>
      <c r="AF169" t="str">
        <f>'WetLitterbags placem_collection'!M168</f>
        <v>R287</v>
      </c>
      <c r="AG169" t="b">
        <f t="shared" si="117"/>
        <v>0</v>
      </c>
      <c r="AH169" t="b">
        <f t="shared" si="118"/>
        <v>0</v>
      </c>
      <c r="AJ169" t="b">
        <f t="shared" si="119"/>
        <v>0</v>
      </c>
      <c r="AK169" t="b">
        <f t="shared" si="120"/>
        <v>0</v>
      </c>
      <c r="AM169" t="str">
        <f>IF(ISBLANK('Dry_Litterbag Placem_Collection'!J168),"","G"&amp;""&amp;'Dry_Litterbag Placem_Collection'!J168)</f>
        <v>G1</v>
      </c>
      <c r="AN169" t="str">
        <f>IF(ISBLANK('Dry_Litterbag Placem_Collection'!K168),"","R"&amp;""&amp;'Dry_Litterbag Placem_Collection'!K168)</f>
        <v>R752</v>
      </c>
      <c r="AO169" t="b">
        <f t="shared" si="121"/>
        <v>0</v>
      </c>
      <c r="AP169" t="b">
        <f t="shared" si="122"/>
        <v>0</v>
      </c>
      <c r="AS169" t="str">
        <f>'Ashed teabags dry'!A167</f>
        <v>G322</v>
      </c>
      <c r="AT169" t="str">
        <f>'Ashed teabags dry'!A502</f>
        <v>R642</v>
      </c>
      <c r="AU169" t="b">
        <f t="shared" si="123"/>
        <v>0</v>
      </c>
      <c r="AV169" t="b">
        <f>COUNTIF($AT$4:$AT$2000, AT169)&gt;1</f>
        <v>0</v>
      </c>
      <c r="AX169" s="395" t="b">
        <f t="shared" si="124"/>
        <v>0</v>
      </c>
      <c r="AY169" s="395" t="b">
        <f t="shared" si="125"/>
        <v>0</v>
      </c>
      <c r="BA169" t="str">
        <f>'Ashed teabags wet'!A167</f>
        <v>G575</v>
      </c>
      <c r="BB169" t="str">
        <f>'Ashed teabags wet'!A587</f>
        <v>R356</v>
      </c>
      <c r="BC169" t="b">
        <f t="shared" si="126"/>
        <v>0</v>
      </c>
      <c r="BD169" t="b">
        <f t="shared" si="106"/>
        <v>0</v>
      </c>
      <c r="BF169" t="str">
        <f t="shared" si="127"/>
        <v>G320</v>
      </c>
      <c r="BG169" t="str">
        <f>T168</f>
        <v>G320</v>
      </c>
      <c r="BH169" t="str">
        <f t="shared" si="128"/>
        <v>G85</v>
      </c>
      <c r="BI169" t="str">
        <f t="shared" si="142"/>
        <v>G85</v>
      </c>
      <c r="BJ169" t="s">
        <v>1730</v>
      </c>
      <c r="BK169" t="s">
        <v>1730</v>
      </c>
      <c r="BL169" t="s">
        <v>1730</v>
      </c>
      <c r="BM169" t="b">
        <f t="shared" si="143"/>
        <v>1</v>
      </c>
      <c r="BN169" t="str">
        <f t="shared" si="129"/>
        <v>R641</v>
      </c>
      <c r="BO169" t="str">
        <f>U168</f>
        <v>R641</v>
      </c>
      <c r="BP169" t="str">
        <f t="shared" si="130"/>
        <v>R127</v>
      </c>
      <c r="BQ169" t="str">
        <f t="shared" si="131"/>
        <v>R127</v>
      </c>
      <c r="BR169" t="s">
        <v>498</v>
      </c>
      <c r="BS169" t="s">
        <v>497</v>
      </c>
      <c r="BT169" t="s">
        <v>498</v>
      </c>
      <c r="BU169" t="b">
        <f t="shared" si="144"/>
        <v>1</v>
      </c>
      <c r="BZ169" t="str">
        <f t="shared" si="132"/>
        <v>G85</v>
      </c>
      <c r="CA169" t="b">
        <f t="shared" si="133"/>
        <v>0</v>
      </c>
      <c r="CB169" t="str">
        <f t="shared" si="145"/>
        <v>G85</v>
      </c>
      <c r="CC169" t="str">
        <f t="shared" si="134"/>
        <v>R127</v>
      </c>
      <c r="CD169" t="b">
        <f t="shared" si="146"/>
        <v>0</v>
      </c>
      <c r="CE169" t="str">
        <f t="shared" si="147"/>
        <v>R127</v>
      </c>
      <c r="CG169" t="str">
        <f t="shared" si="135"/>
        <v>G574</v>
      </c>
      <c r="CH169" t="str">
        <f t="shared" si="148"/>
        <v>G574</v>
      </c>
      <c r="CI169" t="str">
        <f>AE168</f>
        <v>G368</v>
      </c>
      <c r="CJ169" t="str">
        <f t="shared" si="136"/>
        <v>G368</v>
      </c>
      <c r="CK169" t="s">
        <v>1476</v>
      </c>
      <c r="CL169" t="s">
        <v>1476</v>
      </c>
      <c r="CM169" t="s">
        <v>1476</v>
      </c>
      <c r="CN169" t="b">
        <f t="shared" si="149"/>
        <v>1</v>
      </c>
      <c r="CO169" t="str">
        <f t="shared" si="137"/>
        <v>R354</v>
      </c>
      <c r="CP169" t="str">
        <f t="shared" si="150"/>
        <v>R354</v>
      </c>
      <c r="CQ169" t="str">
        <f>AF168</f>
        <v>R331</v>
      </c>
      <c r="CR169" t="str">
        <f t="shared" si="138"/>
        <v>R331</v>
      </c>
      <c r="CS169" t="s">
        <v>787</v>
      </c>
      <c r="CT169" t="s">
        <v>787</v>
      </c>
      <c r="CU169" t="s">
        <v>787</v>
      </c>
      <c r="CV169" t="b">
        <f t="shared" si="151"/>
        <v>1</v>
      </c>
      <c r="DC169" t="str">
        <f t="shared" si="139"/>
        <v>G368</v>
      </c>
      <c r="DD169" t="b">
        <f t="shared" si="152"/>
        <v>0</v>
      </c>
      <c r="DE169" t="str">
        <f t="shared" si="153"/>
        <v>G368</v>
      </c>
      <c r="DF169" t="str">
        <f t="shared" si="140"/>
        <v>R331</v>
      </c>
      <c r="DG169" t="b">
        <f t="shared" si="154"/>
        <v>0</v>
      </c>
      <c r="DH169" t="str">
        <f t="shared" si="155"/>
        <v>R331</v>
      </c>
    </row>
    <row r="170" spans="2:112" ht="12" customHeight="1">
      <c r="B170" t="str">
        <f>TBIDry!H242</f>
        <v/>
      </c>
      <c r="C170" t="str">
        <f>TBIDry!I242</f>
        <v/>
      </c>
      <c r="D170" t="b">
        <f t="shared" si="107"/>
        <v>1</v>
      </c>
      <c r="E170" t="b">
        <f t="shared" si="108"/>
        <v>1</v>
      </c>
      <c r="G170" t="str">
        <f>TBIWet!H242</f>
        <v>G429</v>
      </c>
      <c r="H170" t="str">
        <f>TBIWet!I242</f>
        <v>R255</v>
      </c>
      <c r="I170" t="b">
        <f t="shared" si="109"/>
        <v>0</v>
      </c>
      <c r="J170" t="b">
        <f t="shared" si="110"/>
        <v>0</v>
      </c>
      <c r="L170" t="str">
        <f>'Both teabags AfterWet'!A168</f>
        <v>G576</v>
      </c>
      <c r="M170" t="str">
        <f>'Both teabags AfterWet'!A588</f>
        <v>R359</v>
      </c>
      <c r="N170" t="b">
        <f t="shared" si="111"/>
        <v>0</v>
      </c>
      <c r="O170" t="b">
        <f t="shared" si="156"/>
        <v>0</v>
      </c>
      <c r="Q170" s="395" t="b">
        <f t="shared" si="112"/>
        <v>0</v>
      </c>
      <c r="R170" s="395" t="b">
        <f t="shared" si="113"/>
        <v>0</v>
      </c>
      <c r="T170" t="str">
        <f>'Both teabags AfterDry'!A168</f>
        <v>G323</v>
      </c>
      <c r="U170" t="str">
        <f>'Both teabags AfterDry'!A503</f>
        <v>R645</v>
      </c>
      <c r="V170" t="b">
        <f t="shared" si="114"/>
        <v>0</v>
      </c>
      <c r="W170" t="b">
        <f t="shared" si="141"/>
        <v>0</v>
      </c>
      <c r="Y170" t="str">
        <f>'Green_rooibos initial weight'!A171</f>
        <v>G167</v>
      </c>
      <c r="Z170" t="str">
        <f>'Green_rooibos initial weight'!A1075</f>
        <v>R167</v>
      </c>
      <c r="AA170" t="b">
        <f t="shared" si="115"/>
        <v>0</v>
      </c>
      <c r="AB170" t="b">
        <f t="shared" si="116"/>
        <v>0</v>
      </c>
      <c r="AE170" t="str">
        <f>'WetLitterbags placem_collection'!K169</f>
        <v>G429</v>
      </c>
      <c r="AF170" t="str">
        <f>'WetLitterbags placem_collection'!M169</f>
        <v>R255</v>
      </c>
      <c r="AG170" t="b">
        <f t="shared" si="117"/>
        <v>0</v>
      </c>
      <c r="AH170" t="b">
        <f t="shared" si="118"/>
        <v>0</v>
      </c>
      <c r="AJ170" t="b">
        <f t="shared" si="119"/>
        <v>0</v>
      </c>
      <c r="AK170" t="b">
        <f t="shared" si="120"/>
        <v>0</v>
      </c>
      <c r="AM170" t="str">
        <f>IF(ISBLANK('Dry_Litterbag Placem_Collection'!J169),"","G"&amp;""&amp;'Dry_Litterbag Placem_Collection'!J169)</f>
        <v/>
      </c>
      <c r="AN170" t="str">
        <f>IF(ISBLANK('Dry_Litterbag Placem_Collection'!K169),"","R"&amp;""&amp;'Dry_Litterbag Placem_Collection'!K169)</f>
        <v/>
      </c>
      <c r="AO170" t="b">
        <f t="shared" si="121"/>
        <v>1</v>
      </c>
      <c r="AP170" t="b">
        <f t="shared" si="122"/>
        <v>1</v>
      </c>
      <c r="AS170" t="str">
        <f>'Ashed teabags dry'!A168</f>
        <v>G323</v>
      </c>
      <c r="AT170" t="str">
        <f>'Ashed teabags dry'!A503</f>
        <v>R645</v>
      </c>
      <c r="AU170" t="b">
        <f t="shared" si="123"/>
        <v>0</v>
      </c>
      <c r="AV170" t="b">
        <f>COUNTIF($AT$4:$AT$2000, AT170)&gt;1</f>
        <v>0</v>
      </c>
      <c r="AX170" s="395" t="b">
        <f t="shared" si="124"/>
        <v>0</v>
      </c>
      <c r="AY170" s="395" t="b">
        <f t="shared" si="125"/>
        <v>0</v>
      </c>
      <c r="BA170" t="str">
        <f>'Ashed teabags wet'!A168</f>
        <v>G576</v>
      </c>
      <c r="BB170" t="str">
        <f>'Ashed teabags wet'!A588</f>
        <v>R359</v>
      </c>
      <c r="BC170" t="b">
        <f t="shared" si="126"/>
        <v>0</v>
      </c>
      <c r="BD170" t="b">
        <f t="shared" si="106"/>
        <v>0</v>
      </c>
      <c r="BF170" t="str">
        <f t="shared" si="127"/>
        <v>G322</v>
      </c>
      <c r="BG170" t="str">
        <f>T169</f>
        <v>G322</v>
      </c>
      <c r="BH170" t="str">
        <f t="shared" si="128"/>
        <v>G1</v>
      </c>
      <c r="BI170" t="str">
        <f t="shared" si="142"/>
        <v>G1</v>
      </c>
      <c r="BJ170" t="s">
        <v>1728</v>
      </c>
      <c r="BK170" t="s">
        <v>1728</v>
      </c>
      <c r="BL170" t="s">
        <v>1728</v>
      </c>
      <c r="BM170" t="b">
        <f t="shared" si="143"/>
        <v>1</v>
      </c>
      <c r="BN170" t="str">
        <f t="shared" si="129"/>
        <v>R642</v>
      </c>
      <c r="BO170" t="str">
        <f>U169</f>
        <v>R642</v>
      </c>
      <c r="BP170" t="str">
        <f t="shared" si="130"/>
        <v>R752</v>
      </c>
      <c r="BQ170" t="str">
        <f t="shared" si="131"/>
        <v>R752</v>
      </c>
      <c r="BR170" t="s">
        <v>497</v>
      </c>
      <c r="BS170" t="s">
        <v>494</v>
      </c>
      <c r="BT170" t="s">
        <v>497</v>
      </c>
      <c r="BU170" t="b">
        <f t="shared" si="144"/>
        <v>1</v>
      </c>
      <c r="BZ170" t="str">
        <f t="shared" si="132"/>
        <v>G1</v>
      </c>
      <c r="CA170" t="b">
        <f t="shared" si="133"/>
        <v>0</v>
      </c>
      <c r="CB170" t="str">
        <f t="shared" si="145"/>
        <v>G1</v>
      </c>
      <c r="CC170" t="str">
        <f t="shared" si="134"/>
        <v>R752</v>
      </c>
      <c r="CD170" t="b">
        <f t="shared" si="146"/>
        <v>0</v>
      </c>
      <c r="CE170" t="str">
        <f t="shared" si="147"/>
        <v>R752</v>
      </c>
      <c r="CG170" t="str">
        <f t="shared" si="135"/>
        <v>G575</v>
      </c>
      <c r="CH170" t="str">
        <f t="shared" si="148"/>
        <v>G575</v>
      </c>
      <c r="CI170" t="str">
        <f>AE169</f>
        <v>G334</v>
      </c>
      <c r="CJ170" t="str">
        <f t="shared" si="136"/>
        <v>G334</v>
      </c>
      <c r="CK170" t="s">
        <v>1475</v>
      </c>
      <c r="CL170" t="s">
        <v>1475</v>
      </c>
      <c r="CM170" t="s">
        <v>1475</v>
      </c>
      <c r="CN170" t="b">
        <f t="shared" si="149"/>
        <v>1</v>
      </c>
      <c r="CO170" t="str">
        <f t="shared" si="137"/>
        <v>R356</v>
      </c>
      <c r="CP170" t="str">
        <f t="shared" si="150"/>
        <v>R356</v>
      </c>
      <c r="CQ170" t="str">
        <f>AF169</f>
        <v>R287</v>
      </c>
      <c r="CR170" t="str">
        <f t="shared" si="138"/>
        <v>R287</v>
      </c>
      <c r="CS170" t="s">
        <v>785</v>
      </c>
      <c r="CT170" t="s">
        <v>785</v>
      </c>
      <c r="CU170" t="s">
        <v>785</v>
      </c>
      <c r="CV170" t="b">
        <f t="shared" si="151"/>
        <v>1</v>
      </c>
      <c r="DC170" t="str">
        <f t="shared" si="139"/>
        <v>G334</v>
      </c>
      <c r="DD170" t="b">
        <f t="shared" si="152"/>
        <v>0</v>
      </c>
      <c r="DE170" t="str">
        <f t="shared" si="153"/>
        <v>G334</v>
      </c>
      <c r="DF170" t="str">
        <f t="shared" si="140"/>
        <v>R287</v>
      </c>
      <c r="DG170" t="b">
        <f t="shared" si="154"/>
        <v>0</v>
      </c>
      <c r="DH170" t="str">
        <f t="shared" si="155"/>
        <v>R287</v>
      </c>
    </row>
    <row r="171" spans="2:112" ht="12" customHeight="1">
      <c r="B171" t="str">
        <f>TBIDry!H243</f>
        <v>G70</v>
      </c>
      <c r="C171" t="str">
        <f>TBIDry!I243</f>
        <v>R690</v>
      </c>
      <c r="D171" t="b">
        <f t="shared" si="107"/>
        <v>0</v>
      </c>
      <c r="E171" t="b">
        <f t="shared" si="108"/>
        <v>0</v>
      </c>
      <c r="G171" t="str">
        <f>TBIWet!H243</f>
        <v>G461</v>
      </c>
      <c r="H171" t="str">
        <f>TBIWet!I243</f>
        <v>R534</v>
      </c>
      <c r="I171" t="b">
        <f t="shared" si="109"/>
        <v>0</v>
      </c>
      <c r="J171" t="b">
        <f t="shared" si="110"/>
        <v>0</v>
      </c>
      <c r="L171" t="str">
        <f>'Both teabags AfterWet'!A169</f>
        <v>G577</v>
      </c>
      <c r="M171" t="str">
        <f>'Both teabags AfterWet'!A589</f>
        <v>R360</v>
      </c>
      <c r="N171" t="b">
        <f t="shared" si="111"/>
        <v>0</v>
      </c>
      <c r="O171" t="b">
        <f t="shared" si="156"/>
        <v>0</v>
      </c>
      <c r="Q171" s="395" t="b">
        <f t="shared" si="112"/>
        <v>0</v>
      </c>
      <c r="R171" s="395" t="b">
        <f t="shared" si="113"/>
        <v>0</v>
      </c>
      <c r="T171" t="str">
        <f>'Both teabags AfterDry'!A169</f>
        <v>G324</v>
      </c>
      <c r="U171" t="str">
        <f>'Both teabags AfterDry'!A504</f>
        <v>R646</v>
      </c>
      <c r="V171" t="b">
        <f t="shared" si="114"/>
        <v>0</v>
      </c>
      <c r="W171" t="b">
        <f t="shared" si="141"/>
        <v>0</v>
      </c>
      <c r="Y171" t="str">
        <f>'Green_rooibos initial weight'!A172</f>
        <v>G168</v>
      </c>
      <c r="Z171" t="str">
        <f>'Green_rooibos initial weight'!A1076</f>
        <v>R168</v>
      </c>
      <c r="AA171" t="b">
        <f t="shared" si="115"/>
        <v>0</v>
      </c>
      <c r="AB171" t="b">
        <f t="shared" si="116"/>
        <v>0</v>
      </c>
      <c r="AE171" t="str">
        <f>'WetLitterbags placem_collection'!K170</f>
        <v>G461</v>
      </c>
      <c r="AF171" t="str">
        <f>'WetLitterbags placem_collection'!M170</f>
        <v>R534</v>
      </c>
      <c r="AG171" t="b">
        <f t="shared" si="117"/>
        <v>0</v>
      </c>
      <c r="AH171" t="b">
        <f t="shared" si="118"/>
        <v>0</v>
      </c>
      <c r="AJ171" t="b">
        <f t="shared" si="119"/>
        <v>0</v>
      </c>
      <c r="AK171" t="b">
        <f t="shared" si="120"/>
        <v>0</v>
      </c>
      <c r="AM171" t="str">
        <f>IF(ISBLANK('Dry_Litterbag Placem_Collection'!J170),"","G"&amp;""&amp;'Dry_Litterbag Placem_Collection'!J170)</f>
        <v>G70</v>
      </c>
      <c r="AN171" t="str">
        <f>IF(ISBLANK('Dry_Litterbag Placem_Collection'!K170),"","R"&amp;""&amp;'Dry_Litterbag Placem_Collection'!K170)</f>
        <v>R690</v>
      </c>
      <c r="AO171" t="b">
        <f t="shared" si="121"/>
        <v>0</v>
      </c>
      <c r="AP171" t="b">
        <f t="shared" si="122"/>
        <v>0</v>
      </c>
      <c r="AS171" t="str">
        <f>'Ashed teabags dry'!A169</f>
        <v>G324</v>
      </c>
      <c r="AT171" t="str">
        <f>'Ashed teabags dry'!A504</f>
        <v>R646</v>
      </c>
      <c r="AU171" t="b">
        <f t="shared" si="123"/>
        <v>0</v>
      </c>
      <c r="AV171" t="b">
        <f>COUNTIF($AT$4:$AT$2000, AT171)&gt;1</f>
        <v>0</v>
      </c>
      <c r="AX171" s="395" t="b">
        <f t="shared" si="124"/>
        <v>0</v>
      </c>
      <c r="AY171" s="395" t="b">
        <f t="shared" si="125"/>
        <v>0</v>
      </c>
      <c r="BA171" t="str">
        <f>'Ashed teabags wet'!A169</f>
        <v>G577</v>
      </c>
      <c r="BB171" t="str">
        <f>'Ashed teabags wet'!A589</f>
        <v>R360</v>
      </c>
      <c r="BC171" t="b">
        <f t="shared" si="126"/>
        <v>0</v>
      </c>
      <c r="BD171" t="b">
        <f t="shared" si="106"/>
        <v>0</v>
      </c>
      <c r="BF171" t="str">
        <f t="shared" si="127"/>
        <v>G323</v>
      </c>
      <c r="BG171" t="str">
        <f>T170</f>
        <v>G323</v>
      </c>
      <c r="BH171" t="str">
        <f t="shared" si="128"/>
        <v/>
      </c>
      <c r="BI171" t="str">
        <f t="shared" si="142"/>
        <v/>
      </c>
      <c r="BJ171" t="s">
        <v>1727</v>
      </c>
      <c r="BK171" t="s">
        <v>1727</v>
      </c>
      <c r="BL171" t="s">
        <v>1727</v>
      </c>
      <c r="BM171" t="b">
        <f t="shared" si="143"/>
        <v>1</v>
      </c>
      <c r="BN171" t="str">
        <f t="shared" si="129"/>
        <v>R645</v>
      </c>
      <c r="BO171" t="str">
        <f>U170</f>
        <v>R645</v>
      </c>
      <c r="BP171" t="str">
        <f t="shared" si="130"/>
        <v/>
      </c>
      <c r="BQ171" t="str">
        <f t="shared" si="131"/>
        <v/>
      </c>
      <c r="BR171" t="s">
        <v>494</v>
      </c>
      <c r="BS171" t="s">
        <v>493</v>
      </c>
      <c r="BT171" t="s">
        <v>494</v>
      </c>
      <c r="BU171" t="b">
        <f t="shared" si="144"/>
        <v>1</v>
      </c>
      <c r="BZ171" t="str">
        <f t="shared" si="132"/>
        <v/>
      </c>
      <c r="CA171" t="b">
        <f t="shared" si="133"/>
        <v>0</v>
      </c>
      <c r="CB171" t="str">
        <f t="shared" si="145"/>
        <v/>
      </c>
      <c r="CC171" t="str">
        <f t="shared" si="134"/>
        <v/>
      </c>
      <c r="CD171" t="b">
        <f t="shared" si="146"/>
        <v>0</v>
      </c>
      <c r="CE171" t="str">
        <f t="shared" si="147"/>
        <v/>
      </c>
      <c r="CG171" t="str">
        <f t="shared" si="135"/>
        <v>G576</v>
      </c>
      <c r="CH171" t="str">
        <f t="shared" si="148"/>
        <v>G576</v>
      </c>
      <c r="CI171" t="str">
        <f>AE170</f>
        <v>G429</v>
      </c>
      <c r="CJ171" t="str">
        <f t="shared" si="136"/>
        <v>G429</v>
      </c>
      <c r="CK171" t="s">
        <v>1474</v>
      </c>
      <c r="CL171" t="s">
        <v>1474</v>
      </c>
      <c r="CM171" t="s">
        <v>1474</v>
      </c>
      <c r="CN171" t="b">
        <f t="shared" si="149"/>
        <v>1</v>
      </c>
      <c r="CO171" t="str">
        <f t="shared" si="137"/>
        <v>R359</v>
      </c>
      <c r="CP171" t="str">
        <f t="shared" si="150"/>
        <v>R359</v>
      </c>
      <c r="CQ171" t="str">
        <f>AF170</f>
        <v>R255</v>
      </c>
      <c r="CR171" t="str">
        <f t="shared" si="138"/>
        <v>R255</v>
      </c>
      <c r="CS171" t="s">
        <v>782</v>
      </c>
      <c r="CT171" t="s">
        <v>782</v>
      </c>
      <c r="CU171" t="s">
        <v>782</v>
      </c>
      <c r="CV171" t="b">
        <f t="shared" si="151"/>
        <v>1</v>
      </c>
      <c r="DC171" t="str">
        <f t="shared" si="139"/>
        <v>G429</v>
      </c>
      <c r="DD171" t="b">
        <f t="shared" si="152"/>
        <v>0</v>
      </c>
      <c r="DE171" t="str">
        <f t="shared" si="153"/>
        <v>G429</v>
      </c>
      <c r="DF171" t="str">
        <f t="shared" si="140"/>
        <v>R255</v>
      </c>
      <c r="DG171" t="b">
        <f t="shared" si="154"/>
        <v>0</v>
      </c>
      <c r="DH171" t="str">
        <f t="shared" si="155"/>
        <v>R255</v>
      </c>
    </row>
    <row r="172" spans="2:112" ht="12" customHeight="1">
      <c r="B172" t="str">
        <f>TBIDry!H244</f>
        <v>G250</v>
      </c>
      <c r="C172" t="str">
        <f>TBIDry!I244</f>
        <v>R684</v>
      </c>
      <c r="D172" s="113" t="b">
        <f t="shared" si="107"/>
        <v>0</v>
      </c>
      <c r="E172" t="b">
        <f t="shared" si="108"/>
        <v>0</v>
      </c>
      <c r="G172" t="str">
        <f>TBIWet!H244</f>
        <v>G425</v>
      </c>
      <c r="H172" t="str">
        <f>TBIWet!I244</f>
        <v>R453</v>
      </c>
      <c r="I172" t="b">
        <f t="shared" si="109"/>
        <v>0</v>
      </c>
      <c r="J172" t="b">
        <f t="shared" si="110"/>
        <v>0</v>
      </c>
      <c r="L172" t="str">
        <f>'Both teabags AfterWet'!A170</f>
        <v>G579</v>
      </c>
      <c r="M172" t="str">
        <f>'Both teabags AfterWet'!A590</f>
        <v>R362</v>
      </c>
      <c r="N172" t="b">
        <f t="shared" si="111"/>
        <v>0</v>
      </c>
      <c r="O172" t="b">
        <f t="shared" si="156"/>
        <v>0</v>
      </c>
      <c r="Q172" s="395" t="b">
        <f t="shared" si="112"/>
        <v>0</v>
      </c>
      <c r="R172" s="395" t="b">
        <f t="shared" si="113"/>
        <v>0</v>
      </c>
      <c r="T172" t="str">
        <f>'Both teabags AfterDry'!A170</f>
        <v>G326</v>
      </c>
      <c r="U172" t="str">
        <f>'Both teabags AfterDry'!A505</f>
        <v>R647</v>
      </c>
      <c r="V172" t="b">
        <f t="shared" si="114"/>
        <v>0</v>
      </c>
      <c r="W172" t="b">
        <f t="shared" si="141"/>
        <v>0</v>
      </c>
      <c r="Y172" t="str">
        <f>'Green_rooibos initial weight'!A173</f>
        <v>G169</v>
      </c>
      <c r="Z172" t="str">
        <f>'Green_rooibos initial weight'!A1077</f>
        <v>R169</v>
      </c>
      <c r="AA172" t="b">
        <f t="shared" si="115"/>
        <v>0</v>
      </c>
      <c r="AB172" t="b">
        <f t="shared" si="116"/>
        <v>0</v>
      </c>
      <c r="AE172" t="str">
        <f>'WetLitterbags placem_collection'!K171</f>
        <v>G425</v>
      </c>
      <c r="AF172" t="str">
        <f>'WetLitterbags placem_collection'!M171</f>
        <v>R453</v>
      </c>
      <c r="AG172" t="b">
        <f t="shared" si="117"/>
        <v>0</v>
      </c>
      <c r="AH172" t="b">
        <f t="shared" si="118"/>
        <v>0</v>
      </c>
      <c r="AJ172" t="b">
        <f t="shared" si="119"/>
        <v>0</v>
      </c>
      <c r="AK172" t="b">
        <f t="shared" si="120"/>
        <v>0</v>
      </c>
      <c r="AM172" t="str">
        <f>IF(ISBLANK('Dry_Litterbag Placem_Collection'!J171),"","G"&amp;""&amp;'Dry_Litterbag Placem_Collection'!J171)</f>
        <v>G250</v>
      </c>
      <c r="AN172" t="str">
        <f>IF(ISBLANK('Dry_Litterbag Placem_Collection'!K171),"","R"&amp;""&amp;'Dry_Litterbag Placem_Collection'!K171)</f>
        <v>R684</v>
      </c>
      <c r="AO172" t="b">
        <f t="shared" si="121"/>
        <v>0</v>
      </c>
      <c r="AP172" t="b">
        <f t="shared" si="122"/>
        <v>0</v>
      </c>
      <c r="AS172" t="str">
        <f>'Ashed teabags dry'!A170</f>
        <v>G326</v>
      </c>
      <c r="AT172" t="str">
        <f>'Ashed teabags dry'!A505</f>
        <v>R647</v>
      </c>
      <c r="AU172" t="b">
        <f t="shared" si="123"/>
        <v>0</v>
      </c>
      <c r="AV172" t="b">
        <f>COUNTIF($AT$4:$AT$2000, AT172)&gt;1</f>
        <v>0</v>
      </c>
      <c r="AX172" s="395" t="b">
        <f t="shared" si="124"/>
        <v>0</v>
      </c>
      <c r="AY172" s="395" t="b">
        <f t="shared" si="125"/>
        <v>0</v>
      </c>
      <c r="BA172" t="str">
        <f>'Ashed teabags wet'!A170</f>
        <v>G579</v>
      </c>
      <c r="BB172" t="str">
        <f>'Ashed teabags wet'!A590</f>
        <v>R362</v>
      </c>
      <c r="BC172" t="b">
        <f t="shared" si="126"/>
        <v>0</v>
      </c>
      <c r="BD172" t="b">
        <f t="shared" si="106"/>
        <v>0</v>
      </c>
      <c r="BF172" t="str">
        <f t="shared" si="127"/>
        <v>G324</v>
      </c>
      <c r="BG172" t="str">
        <f>T171</f>
        <v>G324</v>
      </c>
      <c r="BH172" t="str">
        <f t="shared" si="128"/>
        <v>G70</v>
      </c>
      <c r="BI172" t="str">
        <f t="shared" si="142"/>
        <v/>
      </c>
      <c r="BJ172" t="s">
        <v>1726</v>
      </c>
      <c r="BK172" t="s">
        <v>1726</v>
      </c>
      <c r="BL172" t="s">
        <v>1726</v>
      </c>
      <c r="BM172" t="b">
        <f t="shared" si="143"/>
        <v>1</v>
      </c>
      <c r="BN172" t="str">
        <f t="shared" si="129"/>
        <v>R646</v>
      </c>
      <c r="BO172" t="str">
        <f>U171</f>
        <v>R646</v>
      </c>
      <c r="BP172" t="str">
        <f t="shared" si="130"/>
        <v>R690</v>
      </c>
      <c r="BQ172" t="str">
        <f t="shared" si="131"/>
        <v/>
      </c>
      <c r="BR172" t="s">
        <v>493</v>
      </c>
      <c r="BS172" t="s">
        <v>492</v>
      </c>
      <c r="BT172" t="s">
        <v>493</v>
      </c>
      <c r="BU172" t="b">
        <f t="shared" si="144"/>
        <v>1</v>
      </c>
      <c r="BZ172" t="str">
        <f t="shared" si="132"/>
        <v>G70</v>
      </c>
      <c r="CA172" t="b">
        <f t="shared" si="133"/>
        <v>1</v>
      </c>
      <c r="CB172" t="str">
        <f t="shared" si="145"/>
        <v/>
      </c>
      <c r="CC172" t="str">
        <f t="shared" si="134"/>
        <v>R690</v>
      </c>
      <c r="CD172" t="b">
        <f t="shared" si="146"/>
        <v>1</v>
      </c>
      <c r="CE172" t="str">
        <f t="shared" si="147"/>
        <v/>
      </c>
      <c r="CG172" t="str">
        <f t="shared" si="135"/>
        <v>G577</v>
      </c>
      <c r="CH172" t="str">
        <f t="shared" si="148"/>
        <v>G577</v>
      </c>
      <c r="CI172" t="str">
        <f>AE171</f>
        <v>G461</v>
      </c>
      <c r="CJ172" t="str">
        <f t="shared" si="136"/>
        <v>G461</v>
      </c>
      <c r="CK172" t="s">
        <v>1473</v>
      </c>
      <c r="CL172" t="s">
        <v>1473</v>
      </c>
      <c r="CM172" t="s">
        <v>1473</v>
      </c>
      <c r="CN172" t="b">
        <f t="shared" si="149"/>
        <v>1</v>
      </c>
      <c r="CO172" t="str">
        <f t="shared" si="137"/>
        <v>R360</v>
      </c>
      <c r="CP172" t="str">
        <f t="shared" si="150"/>
        <v>R360</v>
      </c>
      <c r="CQ172" t="str">
        <f>AF171</f>
        <v>R534</v>
      </c>
      <c r="CR172" t="str">
        <f t="shared" si="138"/>
        <v>R534</v>
      </c>
      <c r="CS172" t="s">
        <v>781</v>
      </c>
      <c r="CT172" t="s">
        <v>781</v>
      </c>
      <c r="CU172" t="s">
        <v>781</v>
      </c>
      <c r="CV172" t="b">
        <f t="shared" si="151"/>
        <v>1</v>
      </c>
      <c r="DC172" t="str">
        <f t="shared" si="139"/>
        <v>G461</v>
      </c>
      <c r="DD172" t="b">
        <f t="shared" si="152"/>
        <v>0</v>
      </c>
      <c r="DE172" t="str">
        <f t="shared" si="153"/>
        <v>G461</v>
      </c>
      <c r="DF172" t="str">
        <f t="shared" si="140"/>
        <v>R534</v>
      </c>
      <c r="DG172" t="b">
        <f t="shared" si="154"/>
        <v>0</v>
      </c>
      <c r="DH172" t="str">
        <f t="shared" si="155"/>
        <v>R534</v>
      </c>
    </row>
    <row r="173" spans="2:112" ht="12" customHeight="1">
      <c r="B173" t="str">
        <f>TBIDry!H245</f>
        <v>G624</v>
      </c>
      <c r="C173" t="str">
        <f>TBIDry!I245</f>
        <v>R694</v>
      </c>
      <c r="D173" t="b">
        <f t="shared" si="107"/>
        <v>0</v>
      </c>
      <c r="E173" t="b">
        <f t="shared" si="108"/>
        <v>0</v>
      </c>
      <c r="G173" t="str">
        <f>TBIWet!H245</f>
        <v>G433</v>
      </c>
      <c r="H173" t="str">
        <f>TBIWet!I245</f>
        <v>R330</v>
      </c>
      <c r="I173" t="b">
        <f t="shared" si="109"/>
        <v>0</v>
      </c>
      <c r="J173" t="b">
        <f t="shared" si="110"/>
        <v>0</v>
      </c>
      <c r="L173" t="str">
        <f>'Both teabags AfterWet'!A171</f>
        <v>G581</v>
      </c>
      <c r="M173" t="str">
        <f>'Both teabags AfterWet'!A591</f>
        <v>R363</v>
      </c>
      <c r="N173" t="b">
        <f t="shared" si="111"/>
        <v>0</v>
      </c>
      <c r="O173" t="b">
        <f t="shared" si="156"/>
        <v>0</v>
      </c>
      <c r="Q173" s="395" t="b">
        <f t="shared" si="112"/>
        <v>0</v>
      </c>
      <c r="R173" s="395" t="b">
        <f t="shared" si="113"/>
        <v>0</v>
      </c>
      <c r="T173" t="str">
        <f>'Both teabags AfterDry'!A171</f>
        <v>G329</v>
      </c>
      <c r="U173" t="str">
        <f>'Both teabags AfterDry'!A506</f>
        <v>R648</v>
      </c>
      <c r="V173" t="b">
        <f t="shared" si="114"/>
        <v>0</v>
      </c>
      <c r="W173" t="b">
        <f t="shared" si="141"/>
        <v>0</v>
      </c>
      <c r="Y173" t="str">
        <f>'Green_rooibos initial weight'!A174</f>
        <v>G170</v>
      </c>
      <c r="Z173" t="str">
        <f>'Green_rooibos initial weight'!A1078</f>
        <v>R170</v>
      </c>
      <c r="AA173" t="b">
        <f t="shared" si="115"/>
        <v>0</v>
      </c>
      <c r="AB173" t="b">
        <f t="shared" si="116"/>
        <v>0</v>
      </c>
      <c r="AE173" t="str">
        <f>'WetLitterbags placem_collection'!K172</f>
        <v>G433</v>
      </c>
      <c r="AF173" t="str">
        <f>'WetLitterbags placem_collection'!M172</f>
        <v>R330</v>
      </c>
      <c r="AG173" t="b">
        <f t="shared" si="117"/>
        <v>0</v>
      </c>
      <c r="AH173" t="b">
        <f t="shared" si="118"/>
        <v>0</v>
      </c>
      <c r="AJ173" t="b">
        <f t="shared" si="119"/>
        <v>0</v>
      </c>
      <c r="AK173" t="b">
        <f t="shared" si="120"/>
        <v>0</v>
      </c>
      <c r="AM173" t="str">
        <f>IF(ISBLANK('Dry_Litterbag Placem_Collection'!J172),"","G"&amp;""&amp;'Dry_Litterbag Placem_Collection'!J172)</f>
        <v>G624</v>
      </c>
      <c r="AN173" t="str">
        <f>IF(ISBLANK('Dry_Litterbag Placem_Collection'!K172),"","R"&amp;""&amp;'Dry_Litterbag Placem_Collection'!K172)</f>
        <v>R694</v>
      </c>
      <c r="AO173" t="b">
        <f t="shared" si="121"/>
        <v>0</v>
      </c>
      <c r="AP173" t="b">
        <f t="shared" si="122"/>
        <v>0</v>
      </c>
      <c r="AS173" t="str">
        <f>'Ashed teabags dry'!A171</f>
        <v>G329</v>
      </c>
      <c r="AT173" t="str">
        <f>'Ashed teabags dry'!A506</f>
        <v>R648</v>
      </c>
      <c r="AU173" t="b">
        <f t="shared" si="123"/>
        <v>0</v>
      </c>
      <c r="AV173" t="b">
        <f>COUNTIF($AT$4:$AT$2000, AT173)&gt;1</f>
        <v>0</v>
      </c>
      <c r="AX173" s="395" t="b">
        <f t="shared" si="124"/>
        <v>0</v>
      </c>
      <c r="AY173" s="395" t="b">
        <f t="shared" si="125"/>
        <v>0</v>
      </c>
      <c r="BA173" t="str">
        <f>'Ashed teabags wet'!A171</f>
        <v>G581</v>
      </c>
      <c r="BB173" t="str">
        <f>'Ashed teabags wet'!A591</f>
        <v>R363</v>
      </c>
      <c r="BC173" t="b">
        <f t="shared" si="126"/>
        <v>0</v>
      </c>
      <c r="BD173" t="b">
        <f t="shared" si="106"/>
        <v>0</v>
      </c>
      <c r="BF173" t="str">
        <f t="shared" si="127"/>
        <v>G326</v>
      </c>
      <c r="BG173" t="str">
        <f>T172</f>
        <v>G326</v>
      </c>
      <c r="BH173" t="str">
        <f t="shared" si="128"/>
        <v>G250</v>
      </c>
      <c r="BI173" t="str">
        <f t="shared" si="142"/>
        <v>G250</v>
      </c>
      <c r="BJ173" t="s">
        <v>1724</v>
      </c>
      <c r="BK173" t="s">
        <v>1724</v>
      </c>
      <c r="BL173" t="s">
        <v>1724</v>
      </c>
      <c r="BM173" t="b">
        <f t="shared" si="143"/>
        <v>1</v>
      </c>
      <c r="BN173" t="str">
        <f t="shared" si="129"/>
        <v>R647</v>
      </c>
      <c r="BO173" t="str">
        <f>U172</f>
        <v>R647</v>
      </c>
      <c r="BP173" t="str">
        <f t="shared" si="130"/>
        <v>R684</v>
      </c>
      <c r="BQ173" t="str">
        <f t="shared" si="131"/>
        <v>R684</v>
      </c>
      <c r="BR173" t="s">
        <v>492</v>
      </c>
      <c r="BS173" t="s">
        <v>491</v>
      </c>
      <c r="BT173" t="s">
        <v>492</v>
      </c>
      <c r="BU173" t="b">
        <f t="shared" si="144"/>
        <v>1</v>
      </c>
      <c r="BZ173" t="str">
        <f t="shared" si="132"/>
        <v>G250</v>
      </c>
      <c r="CA173" t="b">
        <f t="shared" si="133"/>
        <v>0</v>
      </c>
      <c r="CB173" t="str">
        <f t="shared" si="145"/>
        <v>G250</v>
      </c>
      <c r="CC173" t="str">
        <f t="shared" si="134"/>
        <v>R684</v>
      </c>
      <c r="CD173" t="b">
        <f t="shared" si="146"/>
        <v>0</v>
      </c>
      <c r="CE173" t="str">
        <f t="shared" si="147"/>
        <v>R684</v>
      </c>
      <c r="CG173" t="str">
        <f t="shared" si="135"/>
        <v>G579</v>
      </c>
      <c r="CH173" t="str">
        <f t="shared" si="148"/>
        <v>G579</v>
      </c>
      <c r="CI173" t="str">
        <f>AE172</f>
        <v>G425</v>
      </c>
      <c r="CJ173" t="str">
        <f t="shared" si="136"/>
        <v>G425</v>
      </c>
      <c r="CK173" t="s">
        <v>1471</v>
      </c>
      <c r="CL173" t="s">
        <v>1471</v>
      </c>
      <c r="CM173" t="s">
        <v>1471</v>
      </c>
      <c r="CN173" t="b">
        <f t="shared" si="149"/>
        <v>1</v>
      </c>
      <c r="CO173" t="str">
        <f t="shared" si="137"/>
        <v>R362</v>
      </c>
      <c r="CP173" t="str">
        <f t="shared" si="150"/>
        <v>R362</v>
      </c>
      <c r="CQ173" t="str">
        <f>AF172</f>
        <v>R453</v>
      </c>
      <c r="CR173" t="str">
        <f t="shared" si="138"/>
        <v>R453</v>
      </c>
      <c r="CS173" t="s">
        <v>779</v>
      </c>
      <c r="CT173" t="s">
        <v>779</v>
      </c>
      <c r="CU173" t="s">
        <v>779</v>
      </c>
      <c r="CV173" t="b">
        <f t="shared" si="151"/>
        <v>1</v>
      </c>
      <c r="DC173" t="str">
        <f t="shared" si="139"/>
        <v>G425</v>
      </c>
      <c r="DD173" t="b">
        <f t="shared" si="152"/>
        <v>0</v>
      </c>
      <c r="DE173" t="str">
        <f t="shared" si="153"/>
        <v>G425</v>
      </c>
      <c r="DF173" t="str">
        <f t="shared" si="140"/>
        <v>R453</v>
      </c>
      <c r="DG173" t="b">
        <f t="shared" si="154"/>
        <v>0</v>
      </c>
      <c r="DH173" t="str">
        <f t="shared" si="155"/>
        <v>R453</v>
      </c>
    </row>
    <row r="174" spans="2:112" ht="12" customHeight="1">
      <c r="B174" t="str">
        <f>TBIDry!H246</f>
        <v>G149</v>
      </c>
      <c r="C174" t="str">
        <f>TBIDry!I246</f>
        <v>R655</v>
      </c>
      <c r="D174" t="b">
        <f t="shared" si="107"/>
        <v>0</v>
      </c>
      <c r="E174" t="b">
        <f t="shared" si="108"/>
        <v>0</v>
      </c>
      <c r="G174" t="str">
        <f>TBIWet!H246</f>
        <v>G656</v>
      </c>
      <c r="H174" t="str">
        <f>TBIWet!I246</f>
        <v>R558</v>
      </c>
      <c r="I174" t="b">
        <f t="shared" si="109"/>
        <v>0</v>
      </c>
      <c r="J174" t="b">
        <f t="shared" si="110"/>
        <v>0</v>
      </c>
      <c r="L174" t="str">
        <f>'Both teabags AfterWet'!A172</f>
        <v>G582</v>
      </c>
      <c r="M174" t="str">
        <f>'Both teabags AfterWet'!A592</f>
        <v>R364</v>
      </c>
      <c r="N174" t="b">
        <f t="shared" si="111"/>
        <v>0</v>
      </c>
      <c r="O174" t="b">
        <f t="shared" si="156"/>
        <v>0</v>
      </c>
      <c r="Q174" s="395" t="b">
        <f t="shared" si="112"/>
        <v>0</v>
      </c>
      <c r="R174" s="395" t="b">
        <f t="shared" si="113"/>
        <v>0</v>
      </c>
      <c r="T174" t="str">
        <f>'Both teabags AfterDry'!A172</f>
        <v>G331</v>
      </c>
      <c r="U174" t="str">
        <f>'Both teabags AfterDry'!A507</f>
        <v>R649</v>
      </c>
      <c r="V174" t="b">
        <f t="shared" si="114"/>
        <v>0</v>
      </c>
      <c r="W174" t="b">
        <f t="shared" si="141"/>
        <v>0</v>
      </c>
      <c r="Y174" t="str">
        <f>'Green_rooibos initial weight'!A175</f>
        <v>G171</v>
      </c>
      <c r="Z174" t="str">
        <f>'Green_rooibos initial weight'!A1079</f>
        <v>R171</v>
      </c>
      <c r="AA174" t="b">
        <f t="shared" si="115"/>
        <v>0</v>
      </c>
      <c r="AB174" t="b">
        <f t="shared" si="116"/>
        <v>0</v>
      </c>
      <c r="AE174" t="str">
        <f>'WetLitterbags placem_collection'!K173</f>
        <v>G656</v>
      </c>
      <c r="AF174" t="str">
        <f>'WetLitterbags placem_collection'!M173</f>
        <v>R558</v>
      </c>
      <c r="AG174" t="b">
        <f t="shared" si="117"/>
        <v>0</v>
      </c>
      <c r="AH174" t="b">
        <f t="shared" si="118"/>
        <v>0</v>
      </c>
      <c r="AJ174" t="b">
        <f t="shared" si="119"/>
        <v>0</v>
      </c>
      <c r="AK174" t="b">
        <f t="shared" si="120"/>
        <v>0</v>
      </c>
      <c r="AM174" t="str">
        <f>IF(ISBLANK('Dry_Litterbag Placem_Collection'!J173),"","G"&amp;""&amp;'Dry_Litterbag Placem_Collection'!J173)</f>
        <v>G149</v>
      </c>
      <c r="AN174" t="str">
        <f>IF(ISBLANK('Dry_Litterbag Placem_Collection'!K173),"","R"&amp;""&amp;'Dry_Litterbag Placem_Collection'!K173)</f>
        <v>R655</v>
      </c>
      <c r="AO174" t="b">
        <f t="shared" si="121"/>
        <v>0</v>
      </c>
      <c r="AP174" t="b">
        <f t="shared" si="122"/>
        <v>0</v>
      </c>
      <c r="AS174" t="str">
        <f>'Ashed teabags dry'!A172</f>
        <v>G331</v>
      </c>
      <c r="AT174" t="str">
        <f>'Ashed teabags dry'!A507</f>
        <v>R649</v>
      </c>
      <c r="AU174" t="b">
        <f t="shared" si="123"/>
        <v>0</v>
      </c>
      <c r="AV174" t="b">
        <f>COUNTIF($AT$4:$AT$2000, AT174)&gt;1</f>
        <v>0</v>
      </c>
      <c r="AX174" s="395" t="b">
        <f t="shared" si="124"/>
        <v>0</v>
      </c>
      <c r="AY174" s="395" t="b">
        <f t="shared" si="125"/>
        <v>0</v>
      </c>
      <c r="BA174" t="str">
        <f>'Ashed teabags wet'!A172</f>
        <v>G582</v>
      </c>
      <c r="BB174" t="str">
        <f>'Ashed teabags wet'!A592</f>
        <v>R364</v>
      </c>
      <c r="BC174" t="b">
        <f t="shared" si="126"/>
        <v>0</v>
      </c>
      <c r="BD174" t="b">
        <f t="shared" si="106"/>
        <v>0</v>
      </c>
      <c r="BF174" t="str">
        <f t="shared" si="127"/>
        <v>G329</v>
      </c>
      <c r="BG174" t="str">
        <f>T173</f>
        <v>G329</v>
      </c>
      <c r="BH174" t="str">
        <f t="shared" si="128"/>
        <v>G624</v>
      </c>
      <c r="BI174" t="str">
        <f t="shared" si="142"/>
        <v>G624</v>
      </c>
      <c r="BJ174" t="s">
        <v>1721</v>
      </c>
      <c r="BK174" t="s">
        <v>1721</v>
      </c>
      <c r="BL174" t="s">
        <v>1721</v>
      </c>
      <c r="BM174" t="b">
        <f t="shared" si="143"/>
        <v>1</v>
      </c>
      <c r="BN174" t="str">
        <f t="shared" si="129"/>
        <v>R648</v>
      </c>
      <c r="BO174" t="str">
        <f>U173</f>
        <v>R648</v>
      </c>
      <c r="BP174" t="str">
        <f t="shared" si="130"/>
        <v>R694</v>
      </c>
      <c r="BQ174" t="str">
        <f t="shared" si="131"/>
        <v>R694</v>
      </c>
      <c r="BR174" t="s">
        <v>491</v>
      </c>
      <c r="BS174" t="s">
        <v>490</v>
      </c>
      <c r="BT174" t="s">
        <v>491</v>
      </c>
      <c r="BU174" t="b">
        <f t="shared" si="144"/>
        <v>1</v>
      </c>
      <c r="BZ174" t="str">
        <f t="shared" si="132"/>
        <v>G624</v>
      </c>
      <c r="CA174" t="b">
        <f t="shared" si="133"/>
        <v>0</v>
      </c>
      <c r="CB174" t="str">
        <f t="shared" si="145"/>
        <v>G624</v>
      </c>
      <c r="CC174" t="str">
        <f t="shared" si="134"/>
        <v>R694</v>
      </c>
      <c r="CD174" t="b">
        <f t="shared" si="146"/>
        <v>0</v>
      </c>
      <c r="CE174" t="str">
        <f t="shared" si="147"/>
        <v>R694</v>
      </c>
      <c r="CG174" t="str">
        <f t="shared" si="135"/>
        <v>G581</v>
      </c>
      <c r="CH174" t="str">
        <f t="shared" si="148"/>
        <v>G581</v>
      </c>
      <c r="CI174" t="str">
        <f>AE173</f>
        <v>G433</v>
      </c>
      <c r="CJ174" t="str">
        <f t="shared" si="136"/>
        <v>G433</v>
      </c>
      <c r="CK174" t="s">
        <v>1469</v>
      </c>
      <c r="CL174" t="s">
        <v>1469</v>
      </c>
      <c r="CM174" t="s">
        <v>1469</v>
      </c>
      <c r="CN174" t="b">
        <f t="shared" si="149"/>
        <v>1</v>
      </c>
      <c r="CO174" t="str">
        <f t="shared" si="137"/>
        <v>R363</v>
      </c>
      <c r="CP174" t="str">
        <f t="shared" si="150"/>
        <v>R363</v>
      </c>
      <c r="CQ174" t="str">
        <f>AF173</f>
        <v>R330</v>
      </c>
      <c r="CR174" t="str">
        <f t="shared" si="138"/>
        <v>R330</v>
      </c>
      <c r="CS174" t="s">
        <v>778</v>
      </c>
      <c r="CT174" t="s">
        <v>778</v>
      </c>
      <c r="CU174" t="s">
        <v>778</v>
      </c>
      <c r="CV174" t="b">
        <f t="shared" si="151"/>
        <v>1</v>
      </c>
      <c r="DC174" t="str">
        <f t="shared" si="139"/>
        <v>G433</v>
      </c>
      <c r="DD174" t="b">
        <f t="shared" si="152"/>
        <v>0</v>
      </c>
      <c r="DE174" t="str">
        <f t="shared" si="153"/>
        <v>G433</v>
      </c>
      <c r="DF174" t="str">
        <f t="shared" si="140"/>
        <v>R330</v>
      </c>
      <c r="DG174" t="b">
        <f t="shared" si="154"/>
        <v>0</v>
      </c>
      <c r="DH174" t="str">
        <f t="shared" si="155"/>
        <v>R330</v>
      </c>
    </row>
    <row r="175" spans="2:112" ht="12" customHeight="1">
      <c r="B175" t="str">
        <f>TBIDry!H247</f>
        <v/>
      </c>
      <c r="C175" t="str">
        <f>TBIDry!I247</f>
        <v/>
      </c>
      <c r="D175" t="b">
        <f t="shared" si="107"/>
        <v>1</v>
      </c>
      <c r="E175" t="b">
        <f t="shared" si="108"/>
        <v>1</v>
      </c>
      <c r="G175" t="str">
        <f>TBIWet!H247</f>
        <v>G281</v>
      </c>
      <c r="H175" t="str">
        <f>TBIWet!I247</f>
        <v>R157</v>
      </c>
      <c r="I175" t="b">
        <f t="shared" si="109"/>
        <v>0</v>
      </c>
      <c r="J175" t="b">
        <f t="shared" si="110"/>
        <v>0</v>
      </c>
      <c r="L175" t="str">
        <f>'Both teabags AfterWet'!A173</f>
        <v>G583</v>
      </c>
      <c r="M175" t="str">
        <f>'Both teabags AfterWet'!A593</f>
        <v>R368</v>
      </c>
      <c r="N175" t="b">
        <f t="shared" si="111"/>
        <v>0</v>
      </c>
      <c r="O175" t="b">
        <f t="shared" si="156"/>
        <v>0</v>
      </c>
      <c r="Q175" s="395" t="b">
        <f t="shared" si="112"/>
        <v>0</v>
      </c>
      <c r="R175" s="395" t="b">
        <f t="shared" si="113"/>
        <v>0</v>
      </c>
      <c r="T175" t="str">
        <f>'Both teabags AfterDry'!A173</f>
        <v>G332</v>
      </c>
      <c r="U175" t="str">
        <f>'Both teabags AfterDry'!A508</f>
        <v>R650</v>
      </c>
      <c r="V175" t="b">
        <f t="shared" si="114"/>
        <v>0</v>
      </c>
      <c r="W175" t="b">
        <f t="shared" si="141"/>
        <v>0</v>
      </c>
      <c r="Y175" t="str">
        <f>'Green_rooibos initial weight'!A176</f>
        <v>G172</v>
      </c>
      <c r="Z175" t="str">
        <f>'Green_rooibos initial weight'!A1080</f>
        <v>R172</v>
      </c>
      <c r="AA175" t="b">
        <f t="shared" si="115"/>
        <v>0</v>
      </c>
      <c r="AB175" t="b">
        <f t="shared" si="116"/>
        <v>0</v>
      </c>
      <c r="AE175" t="str">
        <f>'WetLitterbags placem_collection'!K174</f>
        <v>G281</v>
      </c>
      <c r="AF175" t="str">
        <f>'WetLitterbags placem_collection'!M174</f>
        <v>R157</v>
      </c>
      <c r="AG175" t="b">
        <f t="shared" si="117"/>
        <v>0</v>
      </c>
      <c r="AH175" t="b">
        <f t="shared" si="118"/>
        <v>0</v>
      </c>
      <c r="AJ175" t="b">
        <f t="shared" si="119"/>
        <v>0</v>
      </c>
      <c r="AK175" t="b">
        <f t="shared" si="120"/>
        <v>0</v>
      </c>
      <c r="AM175" t="str">
        <f>IF(ISBLANK('Dry_Litterbag Placem_Collection'!J174),"","G"&amp;""&amp;'Dry_Litterbag Placem_Collection'!J174)</f>
        <v/>
      </c>
      <c r="AN175" t="str">
        <f>IF(ISBLANK('Dry_Litterbag Placem_Collection'!K174),"","R"&amp;""&amp;'Dry_Litterbag Placem_Collection'!K174)</f>
        <v/>
      </c>
      <c r="AO175" t="b">
        <f t="shared" si="121"/>
        <v>1</v>
      </c>
      <c r="AP175" t="b">
        <f t="shared" si="122"/>
        <v>1</v>
      </c>
      <c r="AS175" t="str">
        <f>'Ashed teabags dry'!A173</f>
        <v>G332</v>
      </c>
      <c r="AT175" t="str">
        <f>'Ashed teabags dry'!A508</f>
        <v>R650</v>
      </c>
      <c r="AU175" t="b">
        <f t="shared" si="123"/>
        <v>0</v>
      </c>
      <c r="AV175" t="b">
        <f>COUNTIF($AT$4:$AT$2000, AT175)&gt;1</f>
        <v>0</v>
      </c>
      <c r="AX175" s="395" t="b">
        <f t="shared" si="124"/>
        <v>0</v>
      </c>
      <c r="AY175" s="395" t="b">
        <f t="shared" si="125"/>
        <v>0</v>
      </c>
      <c r="BA175" t="str">
        <f>'Ashed teabags wet'!A173</f>
        <v>G583</v>
      </c>
      <c r="BB175" t="str">
        <f>'Ashed teabags wet'!A593</f>
        <v>R368</v>
      </c>
      <c r="BC175" t="b">
        <f t="shared" si="126"/>
        <v>0</v>
      </c>
      <c r="BD175" t="b">
        <f t="shared" si="106"/>
        <v>0</v>
      </c>
      <c r="BF175" t="str">
        <f t="shared" si="127"/>
        <v>G331</v>
      </c>
      <c r="BG175" t="str">
        <f>T174</f>
        <v>G331</v>
      </c>
      <c r="BH175" t="str">
        <f t="shared" si="128"/>
        <v>G149</v>
      </c>
      <c r="BI175" t="str">
        <f t="shared" si="142"/>
        <v>G149</v>
      </c>
      <c r="BJ175" t="s">
        <v>1719</v>
      </c>
      <c r="BK175" t="s">
        <v>1719</v>
      </c>
      <c r="BL175" t="s">
        <v>1719</v>
      </c>
      <c r="BM175" t="b">
        <f t="shared" si="143"/>
        <v>1</v>
      </c>
      <c r="BN175" t="str">
        <f t="shared" si="129"/>
        <v>R649</v>
      </c>
      <c r="BO175" t="str">
        <f>U174</f>
        <v>R649</v>
      </c>
      <c r="BP175" t="str">
        <f t="shared" si="130"/>
        <v>R655</v>
      </c>
      <c r="BQ175" t="str">
        <f t="shared" si="131"/>
        <v>R655</v>
      </c>
      <c r="BR175" t="s">
        <v>490</v>
      </c>
      <c r="BS175" t="s">
        <v>489</v>
      </c>
      <c r="BT175" t="s">
        <v>490</v>
      </c>
      <c r="BU175" t="b">
        <f t="shared" si="144"/>
        <v>1</v>
      </c>
      <c r="BZ175" t="str">
        <f t="shared" si="132"/>
        <v>G149</v>
      </c>
      <c r="CA175" t="b">
        <f t="shared" si="133"/>
        <v>0</v>
      </c>
      <c r="CB175" t="str">
        <f t="shared" si="145"/>
        <v>G149</v>
      </c>
      <c r="CC175" t="str">
        <f t="shared" si="134"/>
        <v>R655</v>
      </c>
      <c r="CD175" t="b">
        <f t="shared" si="146"/>
        <v>0</v>
      </c>
      <c r="CE175" t="str">
        <f t="shared" si="147"/>
        <v>R655</v>
      </c>
      <c r="CG175" t="str">
        <f t="shared" si="135"/>
        <v>G582</v>
      </c>
      <c r="CH175" t="str">
        <f t="shared" si="148"/>
        <v>G582</v>
      </c>
      <c r="CI175" t="str">
        <f>AE174</f>
        <v>G656</v>
      </c>
      <c r="CJ175" t="str">
        <f t="shared" si="136"/>
        <v>G656</v>
      </c>
      <c r="CK175" t="s">
        <v>1468</v>
      </c>
      <c r="CL175" t="s">
        <v>1468</v>
      </c>
      <c r="CM175" t="s">
        <v>1468</v>
      </c>
      <c r="CN175" t="b">
        <f t="shared" si="149"/>
        <v>1</v>
      </c>
      <c r="CO175" t="str">
        <f t="shared" si="137"/>
        <v>R364</v>
      </c>
      <c r="CP175" t="str">
        <f t="shared" si="150"/>
        <v>R364</v>
      </c>
      <c r="CQ175" t="str">
        <f>AF174</f>
        <v>R558</v>
      </c>
      <c r="CR175" t="str">
        <f t="shared" si="138"/>
        <v>R558</v>
      </c>
      <c r="CS175" t="s">
        <v>777</v>
      </c>
      <c r="CT175" t="s">
        <v>777</v>
      </c>
      <c r="CU175" t="s">
        <v>777</v>
      </c>
      <c r="CV175" t="b">
        <f t="shared" si="151"/>
        <v>1</v>
      </c>
      <c r="DC175" t="str">
        <f t="shared" si="139"/>
        <v>G656</v>
      </c>
      <c r="DD175" t="b">
        <f t="shared" si="152"/>
        <v>0</v>
      </c>
      <c r="DE175" t="str">
        <f t="shared" si="153"/>
        <v>G656</v>
      </c>
      <c r="DF175" t="str">
        <f t="shared" si="140"/>
        <v>R558</v>
      </c>
      <c r="DG175" t="b">
        <f t="shared" si="154"/>
        <v>0</v>
      </c>
      <c r="DH175" t="str">
        <f t="shared" si="155"/>
        <v>R558</v>
      </c>
    </row>
    <row r="176" spans="2:112" ht="12" customHeight="1">
      <c r="B176" t="str">
        <f>TBIDry!H248</f>
        <v>G597</v>
      </c>
      <c r="C176" t="str">
        <f>TBIDry!I248</f>
        <v>R405</v>
      </c>
      <c r="D176" t="b">
        <f t="shared" si="107"/>
        <v>0</v>
      </c>
      <c r="E176" t="b">
        <f t="shared" si="108"/>
        <v>0</v>
      </c>
      <c r="G176" t="str">
        <f>TBIWet!H248</f>
        <v>G216</v>
      </c>
      <c r="H176" t="str">
        <f>TBIWet!I248</f>
        <v>R57</v>
      </c>
      <c r="I176" t="b">
        <f t="shared" si="109"/>
        <v>0</v>
      </c>
      <c r="J176" t="b">
        <f t="shared" si="110"/>
        <v>0</v>
      </c>
      <c r="L176" t="str">
        <f>'Both teabags AfterWet'!A174</f>
        <v>G584</v>
      </c>
      <c r="M176" t="str">
        <f>'Both teabags AfterWet'!A594</f>
        <v>R369</v>
      </c>
      <c r="N176" t="b">
        <f t="shared" si="111"/>
        <v>0</v>
      </c>
      <c r="O176" t="b">
        <f t="shared" si="156"/>
        <v>0</v>
      </c>
      <c r="Q176" s="395" t="b">
        <f t="shared" si="112"/>
        <v>0</v>
      </c>
      <c r="R176" s="395" t="b">
        <f t="shared" si="113"/>
        <v>0</v>
      </c>
      <c r="T176" t="str">
        <f>'Both teabags AfterDry'!A174</f>
        <v>G335</v>
      </c>
      <c r="U176" t="str">
        <f>'Both teabags AfterDry'!A509</f>
        <v>R651</v>
      </c>
      <c r="V176" t="b">
        <f t="shared" si="114"/>
        <v>0</v>
      </c>
      <c r="W176" t="b">
        <f t="shared" si="141"/>
        <v>0</v>
      </c>
      <c r="Y176" t="str">
        <f>'Green_rooibos initial weight'!A177</f>
        <v>G173</v>
      </c>
      <c r="Z176" t="str">
        <f>'Green_rooibos initial weight'!A1081</f>
        <v>R173</v>
      </c>
      <c r="AA176" t="b">
        <f t="shared" si="115"/>
        <v>0</v>
      </c>
      <c r="AB176" t="b">
        <f t="shared" si="116"/>
        <v>0</v>
      </c>
      <c r="AE176" t="str">
        <f>'WetLitterbags placem_collection'!K175</f>
        <v>G216</v>
      </c>
      <c r="AF176" t="str">
        <f>'WetLitterbags placem_collection'!M175</f>
        <v>R57</v>
      </c>
      <c r="AG176" t="b">
        <f t="shared" si="117"/>
        <v>0</v>
      </c>
      <c r="AH176" t="b">
        <f t="shared" si="118"/>
        <v>0</v>
      </c>
      <c r="AJ176" t="b">
        <f t="shared" si="119"/>
        <v>0</v>
      </c>
      <c r="AK176" t="b">
        <f t="shared" si="120"/>
        <v>0</v>
      </c>
      <c r="AM176" t="str">
        <f>IF(ISBLANK('Dry_Litterbag Placem_Collection'!J175),"","G"&amp;""&amp;'Dry_Litterbag Placem_Collection'!J175)</f>
        <v>G597</v>
      </c>
      <c r="AN176" t="str">
        <f>IF(ISBLANK('Dry_Litterbag Placem_Collection'!K175),"","R"&amp;""&amp;'Dry_Litterbag Placem_Collection'!K175)</f>
        <v>R405</v>
      </c>
      <c r="AO176" t="b">
        <f t="shared" si="121"/>
        <v>0</v>
      </c>
      <c r="AP176" t="b">
        <f t="shared" si="122"/>
        <v>0</v>
      </c>
      <c r="AS176" t="str">
        <f>'Ashed teabags dry'!A174</f>
        <v>G335</v>
      </c>
      <c r="AT176" t="str">
        <f>'Ashed teabags dry'!A509</f>
        <v>R651</v>
      </c>
      <c r="AU176" t="b">
        <f t="shared" si="123"/>
        <v>0</v>
      </c>
      <c r="AV176" t="b">
        <f>COUNTIF($AT$4:$AT$2000, AT176)&gt;1</f>
        <v>0</v>
      </c>
      <c r="AX176" s="395" t="b">
        <f t="shared" si="124"/>
        <v>0</v>
      </c>
      <c r="AY176" s="395" t="b">
        <f t="shared" si="125"/>
        <v>0</v>
      </c>
      <c r="BA176" t="str">
        <f>'Ashed teabags wet'!A174</f>
        <v>G584</v>
      </c>
      <c r="BB176" t="str">
        <f>'Ashed teabags wet'!A594</f>
        <v>R369</v>
      </c>
      <c r="BC176" t="b">
        <f t="shared" si="126"/>
        <v>0</v>
      </c>
      <c r="BD176" t="b">
        <f t="shared" si="106"/>
        <v>0</v>
      </c>
      <c r="BF176" t="str">
        <f t="shared" si="127"/>
        <v>G332</v>
      </c>
      <c r="BG176" t="str">
        <f>T175</f>
        <v>G332</v>
      </c>
      <c r="BH176" t="str">
        <f t="shared" si="128"/>
        <v/>
      </c>
      <c r="BI176" t="str">
        <f t="shared" si="142"/>
        <v/>
      </c>
      <c r="BJ176" t="s">
        <v>1718</v>
      </c>
      <c r="BK176" t="s">
        <v>1718</v>
      </c>
      <c r="BL176" t="s">
        <v>1718</v>
      </c>
      <c r="BM176" t="b">
        <f t="shared" si="143"/>
        <v>1</v>
      </c>
      <c r="BN176" t="str">
        <f t="shared" si="129"/>
        <v>R650</v>
      </c>
      <c r="BO176" t="str">
        <f>U175</f>
        <v>R650</v>
      </c>
      <c r="BP176" t="str">
        <f t="shared" si="130"/>
        <v/>
      </c>
      <c r="BQ176" t="str">
        <f t="shared" si="131"/>
        <v/>
      </c>
      <c r="BR176" t="s">
        <v>489</v>
      </c>
      <c r="BS176" t="s">
        <v>488</v>
      </c>
      <c r="BT176" t="s">
        <v>489</v>
      </c>
      <c r="BU176" t="b">
        <f t="shared" si="144"/>
        <v>1</v>
      </c>
      <c r="BZ176" t="str">
        <f t="shared" si="132"/>
        <v/>
      </c>
      <c r="CA176" t="b">
        <f t="shared" si="133"/>
        <v>0</v>
      </c>
      <c r="CB176" t="str">
        <f t="shared" si="145"/>
        <v/>
      </c>
      <c r="CC176" t="str">
        <f t="shared" si="134"/>
        <v/>
      </c>
      <c r="CD176" t="b">
        <f t="shared" si="146"/>
        <v>0</v>
      </c>
      <c r="CE176" t="str">
        <f t="shared" si="147"/>
        <v/>
      </c>
      <c r="CG176" t="str">
        <f t="shared" si="135"/>
        <v>G583</v>
      </c>
      <c r="CH176" t="str">
        <f t="shared" si="148"/>
        <v>G583</v>
      </c>
      <c r="CI176" t="str">
        <f>AE175</f>
        <v>G281</v>
      </c>
      <c r="CJ176" t="str">
        <f t="shared" si="136"/>
        <v>G281</v>
      </c>
      <c r="CK176" t="s">
        <v>1467</v>
      </c>
      <c r="CL176" t="s">
        <v>1467</v>
      </c>
      <c r="CM176" t="s">
        <v>1467</v>
      </c>
      <c r="CN176" t="b">
        <f t="shared" si="149"/>
        <v>1</v>
      </c>
      <c r="CO176" t="str">
        <f t="shared" si="137"/>
        <v>R368</v>
      </c>
      <c r="CP176" t="str">
        <f t="shared" si="150"/>
        <v>R368</v>
      </c>
      <c r="CQ176" t="str">
        <f>AF175</f>
        <v>R157</v>
      </c>
      <c r="CR176" t="str">
        <f t="shared" si="138"/>
        <v>R157</v>
      </c>
      <c r="CS176" t="s">
        <v>773</v>
      </c>
      <c r="CT176" t="s">
        <v>773</v>
      </c>
      <c r="CU176" t="s">
        <v>773</v>
      </c>
      <c r="CV176" t="b">
        <f t="shared" si="151"/>
        <v>1</v>
      </c>
      <c r="DC176" t="str">
        <f t="shared" si="139"/>
        <v>G281</v>
      </c>
      <c r="DD176" t="b">
        <f t="shared" si="152"/>
        <v>0</v>
      </c>
      <c r="DE176" t="str">
        <f t="shared" si="153"/>
        <v>G281</v>
      </c>
      <c r="DF176" t="str">
        <f t="shared" si="140"/>
        <v>R157</v>
      </c>
      <c r="DG176" t="b">
        <f t="shared" si="154"/>
        <v>0</v>
      </c>
      <c r="DH176" t="str">
        <f t="shared" si="155"/>
        <v>R157</v>
      </c>
    </row>
    <row r="177" spans="2:112" ht="12" customHeight="1">
      <c r="B177" t="str">
        <f>TBIDry!H249</f>
        <v>G396</v>
      </c>
      <c r="C177" t="str">
        <f>TBIDry!I249</f>
        <v>R736</v>
      </c>
      <c r="D177" t="b">
        <f t="shared" si="107"/>
        <v>0</v>
      </c>
      <c r="E177" t="b">
        <f t="shared" si="108"/>
        <v>0</v>
      </c>
      <c r="G177" t="str">
        <f>TBIWet!H249</f>
        <v>G655</v>
      </c>
      <c r="H177" t="str">
        <f>TBIWet!I249</f>
        <v>R307</v>
      </c>
      <c r="I177" t="b">
        <f t="shared" si="109"/>
        <v>0</v>
      </c>
      <c r="J177" t="b">
        <f t="shared" si="110"/>
        <v>0</v>
      </c>
      <c r="L177" t="str">
        <f>'Both teabags AfterWet'!A175</f>
        <v>G585</v>
      </c>
      <c r="M177" t="str">
        <f>'Both teabags AfterWet'!A595</f>
        <v>R37</v>
      </c>
      <c r="N177" t="b">
        <f t="shared" si="111"/>
        <v>0</v>
      </c>
      <c r="O177" t="b">
        <f t="shared" si="156"/>
        <v>0</v>
      </c>
      <c r="Q177" s="395" t="b">
        <f t="shared" si="112"/>
        <v>0</v>
      </c>
      <c r="R177" s="395" t="b">
        <f t="shared" si="113"/>
        <v>0</v>
      </c>
      <c r="T177" t="str">
        <f>'Both teabags AfterDry'!A175</f>
        <v>G336</v>
      </c>
      <c r="U177" t="str">
        <f>'Both teabags AfterDry'!A510</f>
        <v>R652</v>
      </c>
      <c r="V177" t="b">
        <f t="shared" si="114"/>
        <v>0</v>
      </c>
      <c r="W177" t="b">
        <f t="shared" si="141"/>
        <v>0</v>
      </c>
      <c r="Y177" t="str">
        <f>'Green_rooibos initial weight'!A178</f>
        <v>G174</v>
      </c>
      <c r="Z177" t="str">
        <f>'Green_rooibos initial weight'!A1082</f>
        <v>R174</v>
      </c>
      <c r="AA177" t="b">
        <f t="shared" si="115"/>
        <v>0</v>
      </c>
      <c r="AB177" t="b">
        <f t="shared" si="116"/>
        <v>0</v>
      </c>
      <c r="AE177" t="str">
        <f>'WetLitterbags placem_collection'!K176</f>
        <v>G655</v>
      </c>
      <c r="AF177" t="str">
        <f>'WetLitterbags placem_collection'!M176</f>
        <v>R307</v>
      </c>
      <c r="AG177" t="b">
        <f t="shared" si="117"/>
        <v>0</v>
      </c>
      <c r="AH177" t="b">
        <f t="shared" si="118"/>
        <v>0</v>
      </c>
      <c r="AJ177" t="b">
        <f t="shared" si="119"/>
        <v>0</v>
      </c>
      <c r="AK177" t="b">
        <f t="shared" si="120"/>
        <v>0</v>
      </c>
      <c r="AM177" t="str">
        <f>IF(ISBLANK('Dry_Litterbag Placem_Collection'!J176),"","G"&amp;""&amp;'Dry_Litterbag Placem_Collection'!J176)</f>
        <v>G396</v>
      </c>
      <c r="AN177" t="str">
        <f>IF(ISBLANK('Dry_Litterbag Placem_Collection'!K176),"","R"&amp;""&amp;'Dry_Litterbag Placem_Collection'!K176)</f>
        <v>R736</v>
      </c>
      <c r="AO177" t="b">
        <f t="shared" si="121"/>
        <v>0</v>
      </c>
      <c r="AP177" t="b">
        <f t="shared" si="122"/>
        <v>0</v>
      </c>
      <c r="AS177" t="str">
        <f>'Ashed teabags dry'!A175</f>
        <v>G336</v>
      </c>
      <c r="AT177" t="str">
        <f>'Ashed teabags dry'!A510</f>
        <v>R652</v>
      </c>
      <c r="AU177" t="b">
        <f t="shared" si="123"/>
        <v>0</v>
      </c>
      <c r="AV177" t="b">
        <f>COUNTIF($AT$4:$AT$2000, AT177)&gt;1</f>
        <v>0</v>
      </c>
      <c r="AX177" s="395" t="b">
        <f t="shared" si="124"/>
        <v>0</v>
      </c>
      <c r="AY177" s="395" t="b">
        <f t="shared" si="125"/>
        <v>0</v>
      </c>
      <c r="BA177" t="str">
        <f>'Ashed teabags wet'!A175</f>
        <v>G585</v>
      </c>
      <c r="BB177" t="str">
        <f>'Ashed teabags wet'!A595</f>
        <v>R37</v>
      </c>
      <c r="BC177" t="b">
        <f t="shared" si="126"/>
        <v>0</v>
      </c>
      <c r="BD177" t="b">
        <f t="shared" si="106"/>
        <v>0</v>
      </c>
      <c r="BF177" t="str">
        <f t="shared" si="127"/>
        <v>G335</v>
      </c>
      <c r="BG177" t="str">
        <f>T176</f>
        <v>G335</v>
      </c>
      <c r="BH177" t="str">
        <f t="shared" si="128"/>
        <v>G597</v>
      </c>
      <c r="BI177" t="str">
        <f t="shared" si="142"/>
        <v/>
      </c>
      <c r="BJ177" t="s">
        <v>1715</v>
      </c>
      <c r="BK177" t="s">
        <v>1715</v>
      </c>
      <c r="BL177" t="s">
        <v>1715</v>
      </c>
      <c r="BM177" t="b">
        <f t="shared" si="143"/>
        <v>1</v>
      </c>
      <c r="BN177" t="str">
        <f t="shared" si="129"/>
        <v>R651</v>
      </c>
      <c r="BO177" t="str">
        <f>U176</f>
        <v>R651</v>
      </c>
      <c r="BP177" t="str">
        <f t="shared" si="130"/>
        <v>R405</v>
      </c>
      <c r="BQ177" t="str">
        <f t="shared" si="131"/>
        <v/>
      </c>
      <c r="BR177" t="s">
        <v>488</v>
      </c>
      <c r="BS177" t="s">
        <v>487</v>
      </c>
      <c r="BT177" t="s">
        <v>488</v>
      </c>
      <c r="BU177" t="b">
        <f t="shared" si="144"/>
        <v>1</v>
      </c>
      <c r="BZ177" t="str">
        <f t="shared" si="132"/>
        <v>G597</v>
      </c>
      <c r="CA177" t="b">
        <f t="shared" si="133"/>
        <v>1</v>
      </c>
      <c r="CB177" t="str">
        <f t="shared" si="145"/>
        <v/>
      </c>
      <c r="CC177" t="str">
        <f t="shared" si="134"/>
        <v>R405</v>
      </c>
      <c r="CD177" t="b">
        <f t="shared" si="146"/>
        <v>1</v>
      </c>
      <c r="CE177" t="str">
        <f t="shared" si="147"/>
        <v/>
      </c>
      <c r="CG177" t="str">
        <f t="shared" si="135"/>
        <v>G584</v>
      </c>
      <c r="CH177" t="str">
        <f t="shared" si="148"/>
        <v>G584</v>
      </c>
      <c r="CI177" t="str">
        <f>AE176</f>
        <v>G216</v>
      </c>
      <c r="CJ177" t="str">
        <f t="shared" si="136"/>
        <v>G216</v>
      </c>
      <c r="CK177" t="s">
        <v>1466</v>
      </c>
      <c r="CL177" t="s">
        <v>1466</v>
      </c>
      <c r="CM177" t="s">
        <v>1466</v>
      </c>
      <c r="CN177" t="b">
        <f t="shared" si="149"/>
        <v>1</v>
      </c>
      <c r="CO177" t="str">
        <f t="shared" si="137"/>
        <v>R369</v>
      </c>
      <c r="CP177" t="str">
        <f t="shared" si="150"/>
        <v>R369</v>
      </c>
      <c r="CQ177" t="str">
        <f>AF176</f>
        <v>R57</v>
      </c>
      <c r="CR177" t="str">
        <f t="shared" si="138"/>
        <v>R57</v>
      </c>
      <c r="CS177" t="s">
        <v>772</v>
      </c>
      <c r="CT177" t="s">
        <v>772</v>
      </c>
      <c r="CU177" t="s">
        <v>772</v>
      </c>
      <c r="CV177" t="b">
        <f t="shared" si="151"/>
        <v>1</v>
      </c>
      <c r="DC177" t="str">
        <f t="shared" si="139"/>
        <v>G216</v>
      </c>
      <c r="DD177" t="b">
        <f t="shared" si="152"/>
        <v>0</v>
      </c>
      <c r="DE177" t="str">
        <f t="shared" si="153"/>
        <v>G216</v>
      </c>
      <c r="DF177" t="str">
        <f t="shared" si="140"/>
        <v>R57</v>
      </c>
      <c r="DG177" t="b">
        <f t="shared" si="154"/>
        <v>0</v>
      </c>
      <c r="DH177" t="str">
        <f t="shared" si="155"/>
        <v>R57</v>
      </c>
    </row>
    <row r="178" spans="2:112" ht="12" customHeight="1">
      <c r="B178" t="str">
        <f>TBIDry!H250</f>
        <v>G612</v>
      </c>
      <c r="C178" t="str">
        <f>TBIDry!I250</f>
        <v>R338</v>
      </c>
      <c r="D178" t="b">
        <f t="shared" si="107"/>
        <v>0</v>
      </c>
      <c r="E178" t="b">
        <f t="shared" si="108"/>
        <v>0</v>
      </c>
      <c r="G178" t="str">
        <f>TBIWet!H250</f>
        <v>G457</v>
      </c>
      <c r="H178" t="str">
        <f>TBIWet!I250</f>
        <v>R458</v>
      </c>
      <c r="I178" t="b">
        <f t="shared" si="109"/>
        <v>0</v>
      </c>
      <c r="J178" t="b">
        <f t="shared" si="110"/>
        <v>0</v>
      </c>
      <c r="L178" t="str">
        <f>'Both teabags AfterWet'!A176</f>
        <v>G587</v>
      </c>
      <c r="M178" t="str">
        <f>'Both teabags AfterWet'!A596</f>
        <v>R370</v>
      </c>
      <c r="N178" t="b">
        <f t="shared" si="111"/>
        <v>0</v>
      </c>
      <c r="O178" t="b">
        <f t="shared" si="156"/>
        <v>0</v>
      </c>
      <c r="Q178" s="395" t="b">
        <f t="shared" si="112"/>
        <v>0</v>
      </c>
      <c r="R178" s="395" t="b">
        <f t="shared" si="113"/>
        <v>0</v>
      </c>
      <c r="T178" t="str">
        <f>'Both teabags AfterDry'!A176</f>
        <v>G338</v>
      </c>
      <c r="U178" t="str">
        <f>'Both teabags AfterDry'!A511</f>
        <v>R653</v>
      </c>
      <c r="V178" t="b">
        <f t="shared" si="114"/>
        <v>0</v>
      </c>
      <c r="W178" t="b">
        <f t="shared" si="141"/>
        <v>0</v>
      </c>
      <c r="Y178" t="str">
        <f>'Green_rooibos initial weight'!A179</f>
        <v>G175</v>
      </c>
      <c r="Z178" t="str">
        <f>'Green_rooibos initial weight'!A1083</f>
        <v>R175</v>
      </c>
      <c r="AA178" t="b">
        <f t="shared" si="115"/>
        <v>0</v>
      </c>
      <c r="AB178" t="b">
        <f t="shared" si="116"/>
        <v>0</v>
      </c>
      <c r="AE178" t="str">
        <f>'WetLitterbags placem_collection'!K177</f>
        <v>G457</v>
      </c>
      <c r="AF178" t="str">
        <f>'WetLitterbags placem_collection'!M177</f>
        <v>R458</v>
      </c>
      <c r="AG178" t="b">
        <f t="shared" si="117"/>
        <v>0</v>
      </c>
      <c r="AH178" t="b">
        <f t="shared" si="118"/>
        <v>0</v>
      </c>
      <c r="AJ178" t="b">
        <f t="shared" si="119"/>
        <v>0</v>
      </c>
      <c r="AK178" t="b">
        <f t="shared" si="120"/>
        <v>0</v>
      </c>
      <c r="AM178" t="str">
        <f>IF(ISBLANK('Dry_Litterbag Placem_Collection'!J177),"","G"&amp;""&amp;'Dry_Litterbag Placem_Collection'!J177)</f>
        <v>G612</v>
      </c>
      <c r="AN178" t="str">
        <f>IF(ISBLANK('Dry_Litterbag Placem_Collection'!K177),"","R"&amp;""&amp;'Dry_Litterbag Placem_Collection'!K177)</f>
        <v>R338</v>
      </c>
      <c r="AO178" t="b">
        <f t="shared" si="121"/>
        <v>0</v>
      </c>
      <c r="AP178" t="b">
        <f t="shared" si="122"/>
        <v>0</v>
      </c>
      <c r="AS178" t="str">
        <f>'Ashed teabags dry'!A176</f>
        <v>G338</v>
      </c>
      <c r="AT178" t="str">
        <f>'Ashed teabags dry'!A511</f>
        <v>R653</v>
      </c>
      <c r="AU178" t="b">
        <f t="shared" si="123"/>
        <v>0</v>
      </c>
      <c r="AV178" t="b">
        <f>COUNTIF($AT$4:$AT$2000, AT178)&gt;1</f>
        <v>0</v>
      </c>
      <c r="AX178" s="395" t="b">
        <f t="shared" si="124"/>
        <v>0</v>
      </c>
      <c r="AY178" s="395" t="b">
        <f t="shared" si="125"/>
        <v>0</v>
      </c>
      <c r="BA178" t="str">
        <f>'Ashed teabags wet'!A176</f>
        <v>G587</v>
      </c>
      <c r="BB178" t="str">
        <f>'Ashed teabags wet'!A596</f>
        <v>R370</v>
      </c>
      <c r="BC178" t="b">
        <f t="shared" si="126"/>
        <v>0</v>
      </c>
      <c r="BD178" t="b">
        <f t="shared" si="106"/>
        <v>0</v>
      </c>
      <c r="BF178" t="str">
        <f t="shared" si="127"/>
        <v>G336</v>
      </c>
      <c r="BG178" t="str">
        <f>T177</f>
        <v>G336</v>
      </c>
      <c r="BH178" t="str">
        <f t="shared" si="128"/>
        <v>G396</v>
      </c>
      <c r="BI178" t="str">
        <f t="shared" si="142"/>
        <v>G396</v>
      </c>
      <c r="BJ178" t="s">
        <v>1714</v>
      </c>
      <c r="BK178" t="s">
        <v>1714</v>
      </c>
      <c r="BL178" t="s">
        <v>1714</v>
      </c>
      <c r="BM178" t="b">
        <f t="shared" si="143"/>
        <v>1</v>
      </c>
      <c r="BN178" t="str">
        <f t="shared" si="129"/>
        <v>R652</v>
      </c>
      <c r="BO178" t="str">
        <f>U177</f>
        <v>R652</v>
      </c>
      <c r="BP178" t="str">
        <f t="shared" si="130"/>
        <v>R736</v>
      </c>
      <c r="BQ178" t="str">
        <f t="shared" si="131"/>
        <v>R736</v>
      </c>
      <c r="BR178" t="s">
        <v>487</v>
      </c>
      <c r="BS178" t="s">
        <v>486</v>
      </c>
      <c r="BT178" t="s">
        <v>487</v>
      </c>
      <c r="BU178" t="b">
        <f t="shared" si="144"/>
        <v>1</v>
      </c>
      <c r="BZ178" t="str">
        <f t="shared" si="132"/>
        <v>G396</v>
      </c>
      <c r="CA178" t="b">
        <f t="shared" si="133"/>
        <v>0</v>
      </c>
      <c r="CB178" t="str">
        <f t="shared" si="145"/>
        <v>G396</v>
      </c>
      <c r="CC178" t="str">
        <f t="shared" si="134"/>
        <v>R736</v>
      </c>
      <c r="CD178" t="b">
        <f t="shared" si="146"/>
        <v>0</v>
      </c>
      <c r="CE178" t="str">
        <f t="shared" si="147"/>
        <v>R736</v>
      </c>
      <c r="CG178" t="str">
        <f t="shared" si="135"/>
        <v>G585</v>
      </c>
      <c r="CH178" t="str">
        <f t="shared" si="148"/>
        <v>G585</v>
      </c>
      <c r="CI178" t="str">
        <f>AE177</f>
        <v>G655</v>
      </c>
      <c r="CJ178" t="str">
        <f t="shared" si="136"/>
        <v>G655</v>
      </c>
      <c r="CK178" t="s">
        <v>1465</v>
      </c>
      <c r="CL178" t="s">
        <v>1465</v>
      </c>
      <c r="CM178" t="s">
        <v>1465</v>
      </c>
      <c r="CN178" t="b">
        <f t="shared" si="149"/>
        <v>1</v>
      </c>
      <c r="CO178" t="str">
        <f t="shared" si="137"/>
        <v>R37</v>
      </c>
      <c r="CP178" t="str">
        <f t="shared" si="150"/>
        <v>R37</v>
      </c>
      <c r="CQ178" t="str">
        <f>AF177</f>
        <v>R307</v>
      </c>
      <c r="CR178" t="str">
        <f t="shared" si="138"/>
        <v>R307</v>
      </c>
      <c r="CS178" t="s">
        <v>1104</v>
      </c>
      <c r="CT178" t="s">
        <v>1104</v>
      </c>
      <c r="CU178" t="s">
        <v>1104</v>
      </c>
      <c r="CV178" t="b">
        <f t="shared" si="151"/>
        <v>1</v>
      </c>
      <c r="DC178" t="str">
        <f t="shared" si="139"/>
        <v>G655</v>
      </c>
      <c r="DD178" t="b">
        <f t="shared" si="152"/>
        <v>0</v>
      </c>
      <c r="DE178" t="str">
        <f t="shared" si="153"/>
        <v>G655</v>
      </c>
      <c r="DF178" t="str">
        <f t="shared" si="140"/>
        <v>R307</v>
      </c>
      <c r="DG178" t="b">
        <f t="shared" si="154"/>
        <v>0</v>
      </c>
      <c r="DH178" t="str">
        <f t="shared" si="155"/>
        <v>R307</v>
      </c>
    </row>
    <row r="179" spans="2:112" ht="12" customHeight="1">
      <c r="B179" t="str">
        <f>TBIDry!H251</f>
        <v>G183</v>
      </c>
      <c r="C179" t="str">
        <f>TBIDry!I251</f>
        <v>R52</v>
      </c>
      <c r="D179" t="b">
        <f t="shared" si="107"/>
        <v>0</v>
      </c>
      <c r="E179" t="b">
        <f t="shared" si="108"/>
        <v>0</v>
      </c>
      <c r="G179" t="str">
        <f>TBIWet!H251</f>
        <v>G454</v>
      </c>
      <c r="H179" t="str">
        <f>TBIWet!I251</f>
        <v>R326</v>
      </c>
      <c r="I179" t="b">
        <f t="shared" si="109"/>
        <v>0</v>
      </c>
      <c r="J179" t="b">
        <f t="shared" si="110"/>
        <v>0</v>
      </c>
      <c r="L179" t="str">
        <f>'Both teabags AfterWet'!A177</f>
        <v>G591</v>
      </c>
      <c r="M179" t="str">
        <f>'Both teabags AfterWet'!A597</f>
        <v>R371</v>
      </c>
      <c r="N179" t="b">
        <f t="shared" si="111"/>
        <v>0</v>
      </c>
      <c r="O179" t="b">
        <f t="shared" si="156"/>
        <v>0</v>
      </c>
      <c r="Q179" s="395" t="b">
        <f t="shared" si="112"/>
        <v>0</v>
      </c>
      <c r="R179" s="395" t="b">
        <f t="shared" si="113"/>
        <v>0</v>
      </c>
      <c r="T179" t="str">
        <f>'Both teabags AfterDry'!A177</f>
        <v>G34</v>
      </c>
      <c r="U179" t="str">
        <f>'Both teabags AfterDry'!A512</f>
        <v>R655</v>
      </c>
      <c r="V179" t="b">
        <f t="shared" si="114"/>
        <v>0</v>
      </c>
      <c r="W179" t="b">
        <f t="shared" si="141"/>
        <v>0</v>
      </c>
      <c r="Y179" t="str">
        <f>'Green_rooibos initial weight'!A180</f>
        <v>G176</v>
      </c>
      <c r="Z179" t="str">
        <f>'Green_rooibos initial weight'!A1084</f>
        <v>R176</v>
      </c>
      <c r="AA179" t="b">
        <f t="shared" si="115"/>
        <v>0</v>
      </c>
      <c r="AB179" t="b">
        <f t="shared" si="116"/>
        <v>0</v>
      </c>
      <c r="AE179" t="str">
        <f>'WetLitterbags placem_collection'!K178</f>
        <v>G454</v>
      </c>
      <c r="AF179" t="str">
        <f>'WetLitterbags placem_collection'!M178</f>
        <v>R326</v>
      </c>
      <c r="AG179" t="b">
        <f t="shared" si="117"/>
        <v>0</v>
      </c>
      <c r="AH179" t="b">
        <f t="shared" si="118"/>
        <v>0</v>
      </c>
      <c r="AJ179" t="b">
        <f t="shared" si="119"/>
        <v>0</v>
      </c>
      <c r="AK179" t="b">
        <f t="shared" si="120"/>
        <v>0</v>
      </c>
      <c r="AM179" t="str">
        <f>IF(ISBLANK('Dry_Litterbag Placem_Collection'!J178),"","G"&amp;""&amp;'Dry_Litterbag Placem_Collection'!J178)</f>
        <v>G183</v>
      </c>
      <c r="AN179" t="str">
        <f>IF(ISBLANK('Dry_Litterbag Placem_Collection'!K178),"","R"&amp;""&amp;'Dry_Litterbag Placem_Collection'!K178)</f>
        <v>R52</v>
      </c>
      <c r="AO179" t="b">
        <f t="shared" si="121"/>
        <v>0</v>
      </c>
      <c r="AP179" t="b">
        <f t="shared" si="122"/>
        <v>0</v>
      </c>
      <c r="AS179" t="str">
        <f>'Ashed teabags dry'!A177</f>
        <v>G34</v>
      </c>
      <c r="AT179" t="str">
        <f>'Ashed teabags dry'!A512</f>
        <v>R655</v>
      </c>
      <c r="AU179" t="b">
        <f t="shared" si="123"/>
        <v>0</v>
      </c>
      <c r="AV179" t="b">
        <f>COUNTIF($AT$4:$AT$2000, AT179)&gt;1</f>
        <v>0</v>
      </c>
      <c r="AX179" s="395" t="b">
        <f t="shared" si="124"/>
        <v>0</v>
      </c>
      <c r="AY179" s="395" t="b">
        <f t="shared" si="125"/>
        <v>0</v>
      </c>
      <c r="BA179" t="str">
        <f>'Ashed teabags wet'!A177</f>
        <v>G591</v>
      </c>
      <c r="BB179" t="str">
        <f>'Ashed teabags wet'!A597</f>
        <v>R371</v>
      </c>
      <c r="BC179" t="b">
        <f t="shared" si="126"/>
        <v>0</v>
      </c>
      <c r="BD179" t="b">
        <f t="shared" si="106"/>
        <v>0</v>
      </c>
      <c r="BF179" t="str">
        <f t="shared" si="127"/>
        <v>G338</v>
      </c>
      <c r="BG179" t="str">
        <f>T178</f>
        <v>G338</v>
      </c>
      <c r="BH179" t="str">
        <f t="shared" si="128"/>
        <v>G612</v>
      </c>
      <c r="BI179" t="str">
        <f t="shared" si="142"/>
        <v>G612</v>
      </c>
      <c r="BJ179" t="s">
        <v>1712</v>
      </c>
      <c r="BK179" t="s">
        <v>1712</v>
      </c>
      <c r="BL179" t="s">
        <v>1712</v>
      </c>
      <c r="BM179" t="b">
        <f t="shared" si="143"/>
        <v>1</v>
      </c>
      <c r="BN179" t="str">
        <f t="shared" si="129"/>
        <v>R653</v>
      </c>
      <c r="BO179" t="str">
        <f>U178</f>
        <v>R653</v>
      </c>
      <c r="BP179" t="str">
        <f t="shared" si="130"/>
        <v>R338</v>
      </c>
      <c r="BQ179" t="str">
        <f t="shared" si="131"/>
        <v>R338</v>
      </c>
      <c r="BR179" t="s">
        <v>486</v>
      </c>
      <c r="BS179" t="s">
        <v>484</v>
      </c>
      <c r="BT179" t="s">
        <v>486</v>
      </c>
      <c r="BU179" t="b">
        <f t="shared" si="144"/>
        <v>1</v>
      </c>
      <c r="BZ179" t="str">
        <f t="shared" si="132"/>
        <v>G612</v>
      </c>
      <c r="CA179" t="b">
        <f t="shared" si="133"/>
        <v>0</v>
      </c>
      <c r="CB179" t="str">
        <f t="shared" si="145"/>
        <v>G612</v>
      </c>
      <c r="CC179" t="str">
        <f t="shared" si="134"/>
        <v>R338</v>
      </c>
      <c r="CD179" t="b">
        <f t="shared" si="146"/>
        <v>0</v>
      </c>
      <c r="CE179" t="str">
        <f t="shared" si="147"/>
        <v>R338</v>
      </c>
      <c r="CG179" t="str">
        <f t="shared" si="135"/>
        <v>G587</v>
      </c>
      <c r="CH179" t="str">
        <f t="shared" si="148"/>
        <v>G587</v>
      </c>
      <c r="CI179" t="str">
        <f>AE178</f>
        <v>G457</v>
      </c>
      <c r="CJ179" t="str">
        <f t="shared" si="136"/>
        <v>G457</v>
      </c>
      <c r="CK179" t="s">
        <v>1463</v>
      </c>
      <c r="CL179" t="s">
        <v>1463</v>
      </c>
      <c r="CM179" t="s">
        <v>1463</v>
      </c>
      <c r="CN179" t="b">
        <f t="shared" si="149"/>
        <v>1</v>
      </c>
      <c r="CO179" t="str">
        <f t="shared" si="137"/>
        <v>R370</v>
      </c>
      <c r="CP179" t="str">
        <f t="shared" si="150"/>
        <v>R370</v>
      </c>
      <c r="CQ179" t="str">
        <f>AF178</f>
        <v>R458</v>
      </c>
      <c r="CR179" t="str">
        <f t="shared" si="138"/>
        <v>R458</v>
      </c>
      <c r="CS179" t="s">
        <v>771</v>
      </c>
      <c r="CT179" t="s">
        <v>771</v>
      </c>
      <c r="CU179" t="s">
        <v>771</v>
      </c>
      <c r="CV179" t="b">
        <f t="shared" si="151"/>
        <v>1</v>
      </c>
      <c r="DC179" t="str">
        <f t="shared" si="139"/>
        <v>G457</v>
      </c>
      <c r="DD179" t="b">
        <f t="shared" si="152"/>
        <v>0</v>
      </c>
      <c r="DE179" t="str">
        <f t="shared" si="153"/>
        <v>G457</v>
      </c>
      <c r="DF179" t="str">
        <f t="shared" si="140"/>
        <v>R458</v>
      </c>
      <c r="DG179" t="b">
        <f t="shared" si="154"/>
        <v>0</v>
      </c>
      <c r="DH179" t="str">
        <f t="shared" si="155"/>
        <v>R458</v>
      </c>
    </row>
    <row r="180" spans="2:112" ht="12" customHeight="1">
      <c r="B180" t="str">
        <f>TBIDry!H252</f>
        <v>G98</v>
      </c>
      <c r="C180" t="str">
        <f>TBIDry!I252</f>
        <v>R750</v>
      </c>
      <c r="D180" t="b">
        <f t="shared" si="107"/>
        <v>0</v>
      </c>
      <c r="E180" t="b">
        <f t="shared" si="108"/>
        <v>0</v>
      </c>
      <c r="G180" t="str">
        <f>TBIWet!H252</f>
        <v>G362</v>
      </c>
      <c r="H180" t="str">
        <f>TBIWet!I252</f>
        <v>R262</v>
      </c>
      <c r="I180" t="b">
        <f t="shared" si="109"/>
        <v>0</v>
      </c>
      <c r="J180" t="b">
        <f t="shared" si="110"/>
        <v>0</v>
      </c>
      <c r="L180" t="str">
        <f>'Both teabags AfterWet'!A178</f>
        <v>G592</v>
      </c>
      <c r="M180" t="str">
        <f>'Both teabags AfterWet'!A598</f>
        <v>R372</v>
      </c>
      <c r="N180" t="b">
        <f t="shared" si="111"/>
        <v>0</v>
      </c>
      <c r="O180" t="b">
        <f t="shared" si="156"/>
        <v>0</v>
      </c>
      <c r="Q180" s="395" t="b">
        <f t="shared" si="112"/>
        <v>0</v>
      </c>
      <c r="R180" s="395" t="b">
        <f t="shared" si="113"/>
        <v>0</v>
      </c>
      <c r="T180" t="str">
        <f>'Both teabags AfterDry'!A178</f>
        <v>G341</v>
      </c>
      <c r="U180" t="str">
        <f>'Both teabags AfterDry'!A513</f>
        <v>R657</v>
      </c>
      <c r="V180" t="b">
        <f t="shared" si="114"/>
        <v>0</v>
      </c>
      <c r="W180" t="b">
        <f t="shared" si="141"/>
        <v>0</v>
      </c>
      <c r="Y180" t="str">
        <f>'Green_rooibos initial weight'!A181</f>
        <v>G177</v>
      </c>
      <c r="Z180" t="str">
        <f>'Green_rooibos initial weight'!A1085</f>
        <v>R177</v>
      </c>
      <c r="AA180" t="b">
        <f t="shared" si="115"/>
        <v>0</v>
      </c>
      <c r="AB180" t="b">
        <f t="shared" si="116"/>
        <v>0</v>
      </c>
      <c r="AE180" t="str">
        <f>'WetLitterbags placem_collection'!K179</f>
        <v>G362</v>
      </c>
      <c r="AF180" t="str">
        <f>'WetLitterbags placem_collection'!M179</f>
        <v>R262</v>
      </c>
      <c r="AG180" t="b">
        <f t="shared" si="117"/>
        <v>0</v>
      </c>
      <c r="AH180" t="b">
        <f t="shared" si="118"/>
        <v>0</v>
      </c>
      <c r="AJ180" t="b">
        <f t="shared" si="119"/>
        <v>0</v>
      </c>
      <c r="AK180" t="b">
        <f t="shared" si="120"/>
        <v>0</v>
      </c>
      <c r="AM180" t="str">
        <f>IF(ISBLANK('Dry_Litterbag Placem_Collection'!J179),"","G"&amp;""&amp;'Dry_Litterbag Placem_Collection'!J179)</f>
        <v>G98</v>
      </c>
      <c r="AN180" t="str">
        <f>IF(ISBLANK('Dry_Litterbag Placem_Collection'!K179),"","R"&amp;""&amp;'Dry_Litterbag Placem_Collection'!K179)</f>
        <v>R750</v>
      </c>
      <c r="AO180" t="b">
        <f t="shared" si="121"/>
        <v>0</v>
      </c>
      <c r="AP180" t="b">
        <f t="shared" si="122"/>
        <v>0</v>
      </c>
      <c r="AS180" t="str">
        <f>'Ashed teabags dry'!A178</f>
        <v>G341</v>
      </c>
      <c r="AT180" t="str">
        <f>'Ashed teabags dry'!A513</f>
        <v>R657</v>
      </c>
      <c r="AU180" t="b">
        <f t="shared" si="123"/>
        <v>0</v>
      </c>
      <c r="AV180" t="b">
        <f>COUNTIF($AT$4:$AT$2000, AT180)&gt;1</f>
        <v>0</v>
      </c>
      <c r="AX180" s="395" t="b">
        <f t="shared" si="124"/>
        <v>0</v>
      </c>
      <c r="AY180" s="395" t="b">
        <f t="shared" si="125"/>
        <v>0</v>
      </c>
      <c r="BA180" t="str">
        <f>'Ashed teabags wet'!A178</f>
        <v>G592</v>
      </c>
      <c r="BB180" t="str">
        <f>'Ashed teabags wet'!A598</f>
        <v>R372</v>
      </c>
      <c r="BC180" t="b">
        <f t="shared" si="126"/>
        <v>0</v>
      </c>
      <c r="BD180" t="b">
        <f t="shared" si="106"/>
        <v>0</v>
      </c>
      <c r="BF180" t="str">
        <f t="shared" si="127"/>
        <v>G34</v>
      </c>
      <c r="BG180" t="str">
        <f>T179</f>
        <v>G34</v>
      </c>
      <c r="BH180" t="str">
        <f t="shared" si="128"/>
        <v>G183</v>
      </c>
      <c r="BI180" t="str">
        <f t="shared" si="142"/>
        <v>G183</v>
      </c>
      <c r="BJ180" t="s">
        <v>2016</v>
      </c>
      <c r="BK180" t="s">
        <v>2016</v>
      </c>
      <c r="BL180" t="s">
        <v>2016</v>
      </c>
      <c r="BM180" t="b">
        <f t="shared" si="143"/>
        <v>1</v>
      </c>
      <c r="BN180" t="str">
        <f t="shared" si="129"/>
        <v>R655</v>
      </c>
      <c r="BO180" t="str">
        <f>U179</f>
        <v>R655</v>
      </c>
      <c r="BP180" t="str">
        <f t="shared" si="130"/>
        <v>R52</v>
      </c>
      <c r="BQ180" t="str">
        <f t="shared" si="131"/>
        <v>R52</v>
      </c>
      <c r="BR180" t="s">
        <v>484</v>
      </c>
      <c r="BS180" t="s">
        <v>482</v>
      </c>
      <c r="BT180" t="s">
        <v>484</v>
      </c>
      <c r="BU180" t="b">
        <f t="shared" si="144"/>
        <v>1</v>
      </c>
      <c r="BZ180" t="str">
        <f t="shared" si="132"/>
        <v>G183</v>
      </c>
      <c r="CA180" t="b">
        <f t="shared" si="133"/>
        <v>0</v>
      </c>
      <c r="CB180" t="str">
        <f t="shared" si="145"/>
        <v>G183</v>
      </c>
      <c r="CC180" t="str">
        <f t="shared" si="134"/>
        <v>R52</v>
      </c>
      <c r="CD180" t="b">
        <f t="shared" si="146"/>
        <v>0</v>
      </c>
      <c r="CE180" t="str">
        <f t="shared" si="147"/>
        <v>R52</v>
      </c>
      <c r="CG180" t="str">
        <f t="shared" si="135"/>
        <v>G591</v>
      </c>
      <c r="CH180" t="str">
        <f t="shared" si="148"/>
        <v>G591</v>
      </c>
      <c r="CI180" t="str">
        <f>AE179</f>
        <v>G454</v>
      </c>
      <c r="CJ180" t="str">
        <f t="shared" si="136"/>
        <v>G454</v>
      </c>
      <c r="CK180" t="s">
        <v>1459</v>
      </c>
      <c r="CL180" t="s">
        <v>1459</v>
      </c>
      <c r="CM180" t="s">
        <v>1459</v>
      </c>
      <c r="CN180" t="b">
        <f t="shared" si="149"/>
        <v>1</v>
      </c>
      <c r="CO180" t="str">
        <f t="shared" si="137"/>
        <v>R371</v>
      </c>
      <c r="CP180" t="str">
        <f t="shared" si="150"/>
        <v>R371</v>
      </c>
      <c r="CQ180" t="str">
        <f>AF179</f>
        <v>R326</v>
      </c>
      <c r="CR180" t="str">
        <f t="shared" si="138"/>
        <v>R326</v>
      </c>
      <c r="CS180" t="s">
        <v>770</v>
      </c>
      <c r="CT180" t="s">
        <v>770</v>
      </c>
      <c r="CU180" t="s">
        <v>770</v>
      </c>
      <c r="CV180" t="b">
        <f t="shared" si="151"/>
        <v>1</v>
      </c>
      <c r="DC180" t="str">
        <f t="shared" si="139"/>
        <v>G454</v>
      </c>
      <c r="DD180" t="b">
        <f t="shared" si="152"/>
        <v>0</v>
      </c>
      <c r="DE180" t="str">
        <f t="shared" si="153"/>
        <v>G454</v>
      </c>
      <c r="DF180" t="str">
        <f t="shared" si="140"/>
        <v>R326</v>
      </c>
      <c r="DG180" t="b">
        <f t="shared" si="154"/>
        <v>0</v>
      </c>
      <c r="DH180" t="str">
        <f t="shared" si="155"/>
        <v>R326</v>
      </c>
    </row>
    <row r="181" spans="2:112" ht="12" customHeight="1">
      <c r="B181" t="str">
        <f>TBIDry!H253</f>
        <v>G353</v>
      </c>
      <c r="C181" t="str">
        <f>TBIDry!I253</f>
        <v>R612</v>
      </c>
      <c r="D181" t="b">
        <f t="shared" si="107"/>
        <v>0</v>
      </c>
      <c r="E181" t="b">
        <f t="shared" si="108"/>
        <v>0</v>
      </c>
      <c r="G181" t="str">
        <f>TBIWet!H253</f>
        <v>G781</v>
      </c>
      <c r="H181" t="str">
        <f>TBIWet!I253</f>
        <v>R309</v>
      </c>
      <c r="I181" t="b">
        <f t="shared" si="109"/>
        <v>0</v>
      </c>
      <c r="J181" t="b">
        <f t="shared" si="110"/>
        <v>0</v>
      </c>
      <c r="L181" t="str">
        <f>'Both teabags AfterWet'!A179</f>
        <v>G593</v>
      </c>
      <c r="M181" t="str">
        <f>'Both teabags AfterWet'!A599</f>
        <v>R375</v>
      </c>
      <c r="N181" t="b">
        <f t="shared" si="111"/>
        <v>0</v>
      </c>
      <c r="O181" t="b">
        <f t="shared" si="156"/>
        <v>0</v>
      </c>
      <c r="Q181" s="395" t="b">
        <f t="shared" si="112"/>
        <v>0</v>
      </c>
      <c r="R181" s="395" t="b">
        <f t="shared" si="113"/>
        <v>0</v>
      </c>
      <c r="T181" t="str">
        <f>'Both teabags AfterDry'!A179</f>
        <v>G342</v>
      </c>
      <c r="U181" t="str">
        <f>'Both teabags AfterDry'!A514</f>
        <v>R658</v>
      </c>
      <c r="V181" t="b">
        <f t="shared" si="114"/>
        <v>0</v>
      </c>
      <c r="W181" t="b">
        <f t="shared" si="141"/>
        <v>0</v>
      </c>
      <c r="Y181" t="str">
        <f>'Green_rooibos initial weight'!A182</f>
        <v>G178</v>
      </c>
      <c r="Z181" t="str">
        <f>'Green_rooibos initial weight'!A1086</f>
        <v>R178</v>
      </c>
      <c r="AA181" t="b">
        <f t="shared" si="115"/>
        <v>0</v>
      </c>
      <c r="AB181" t="b">
        <f t="shared" si="116"/>
        <v>0</v>
      </c>
      <c r="AE181" t="str">
        <f>'WetLitterbags placem_collection'!K180</f>
        <v>G781</v>
      </c>
      <c r="AF181" t="str">
        <f>'WetLitterbags placem_collection'!M180</f>
        <v>R309</v>
      </c>
      <c r="AG181" t="b">
        <f t="shared" si="117"/>
        <v>0</v>
      </c>
      <c r="AH181" t="b">
        <f t="shared" si="118"/>
        <v>0</v>
      </c>
      <c r="AJ181" t="b">
        <f t="shared" si="119"/>
        <v>0</v>
      </c>
      <c r="AK181" t="b">
        <f t="shared" si="120"/>
        <v>0</v>
      </c>
      <c r="AM181" t="str">
        <f>IF(ISBLANK('Dry_Litterbag Placem_Collection'!J180),"","G"&amp;""&amp;'Dry_Litterbag Placem_Collection'!J180)</f>
        <v>G353</v>
      </c>
      <c r="AN181" t="str">
        <f>IF(ISBLANK('Dry_Litterbag Placem_Collection'!K180),"","R"&amp;""&amp;'Dry_Litterbag Placem_Collection'!K180)</f>
        <v>R612</v>
      </c>
      <c r="AO181" t="b">
        <f t="shared" si="121"/>
        <v>0</v>
      </c>
      <c r="AP181" t="b">
        <f t="shared" si="122"/>
        <v>0</v>
      </c>
      <c r="AS181" t="str">
        <f>'Ashed teabags dry'!A179</f>
        <v>G342</v>
      </c>
      <c r="AT181" t="str">
        <f>'Ashed teabags dry'!A514</f>
        <v>R658</v>
      </c>
      <c r="AU181" t="b">
        <f t="shared" si="123"/>
        <v>0</v>
      </c>
      <c r="AV181" t="b">
        <f>COUNTIF($AT$4:$AT$2000, AT181)&gt;1</f>
        <v>0</v>
      </c>
      <c r="AX181" s="395" t="b">
        <f t="shared" si="124"/>
        <v>0</v>
      </c>
      <c r="AY181" s="395" t="b">
        <f t="shared" si="125"/>
        <v>0</v>
      </c>
      <c r="BA181" t="str">
        <f>'Ashed teabags wet'!A179</f>
        <v>G593</v>
      </c>
      <c r="BB181" t="str">
        <f>'Ashed teabags wet'!A599</f>
        <v>R375</v>
      </c>
      <c r="BC181" t="b">
        <f t="shared" si="126"/>
        <v>0</v>
      </c>
      <c r="BD181" t="b">
        <f t="shared" si="106"/>
        <v>0</v>
      </c>
      <c r="BF181" t="str">
        <f t="shared" si="127"/>
        <v>G341</v>
      </c>
      <c r="BG181" t="str">
        <f>T180</f>
        <v>G341</v>
      </c>
      <c r="BH181" t="str">
        <f t="shared" si="128"/>
        <v>G98</v>
      </c>
      <c r="BI181" t="str">
        <f t="shared" si="142"/>
        <v/>
      </c>
      <c r="BJ181" t="s">
        <v>1709</v>
      </c>
      <c r="BK181" t="s">
        <v>1709</v>
      </c>
      <c r="BL181" t="s">
        <v>1709</v>
      </c>
      <c r="BM181" t="b">
        <f t="shared" si="143"/>
        <v>1</v>
      </c>
      <c r="BN181" t="str">
        <f t="shared" si="129"/>
        <v>R657</v>
      </c>
      <c r="BO181" t="str">
        <f>U180</f>
        <v>R657</v>
      </c>
      <c r="BP181" t="str">
        <f t="shared" si="130"/>
        <v>R750</v>
      </c>
      <c r="BQ181" t="str">
        <f t="shared" si="131"/>
        <v/>
      </c>
      <c r="BR181" t="s">
        <v>482</v>
      </c>
      <c r="BS181" t="s">
        <v>481</v>
      </c>
      <c r="BT181" t="s">
        <v>482</v>
      </c>
      <c r="BU181" t="b">
        <f t="shared" si="144"/>
        <v>1</v>
      </c>
      <c r="BZ181" t="str">
        <f t="shared" si="132"/>
        <v>G98</v>
      </c>
      <c r="CA181" t="b">
        <f t="shared" si="133"/>
        <v>1</v>
      </c>
      <c r="CB181" t="str">
        <f t="shared" si="145"/>
        <v/>
      </c>
      <c r="CC181" t="str">
        <f t="shared" si="134"/>
        <v>R750</v>
      </c>
      <c r="CD181" t="b">
        <f t="shared" si="146"/>
        <v>1</v>
      </c>
      <c r="CE181" t="str">
        <f t="shared" si="147"/>
        <v/>
      </c>
      <c r="CG181" t="str">
        <f t="shared" si="135"/>
        <v>G592</v>
      </c>
      <c r="CH181" t="str">
        <f t="shared" si="148"/>
        <v>G592</v>
      </c>
      <c r="CI181" t="str">
        <f>AE180</f>
        <v>G362</v>
      </c>
      <c r="CJ181" t="str">
        <f t="shared" si="136"/>
        <v>G362</v>
      </c>
      <c r="CK181" t="s">
        <v>1458</v>
      </c>
      <c r="CL181" t="s">
        <v>1458</v>
      </c>
      <c r="CM181" t="s">
        <v>1458</v>
      </c>
      <c r="CN181" t="b">
        <f t="shared" si="149"/>
        <v>1</v>
      </c>
      <c r="CO181" t="str">
        <f t="shared" si="137"/>
        <v>R372</v>
      </c>
      <c r="CP181" t="str">
        <f t="shared" si="150"/>
        <v>R372</v>
      </c>
      <c r="CQ181" t="str">
        <f>AF180</f>
        <v>R262</v>
      </c>
      <c r="CR181" t="str">
        <f t="shared" si="138"/>
        <v>R262</v>
      </c>
      <c r="CS181" t="s">
        <v>769</v>
      </c>
      <c r="CT181" t="s">
        <v>769</v>
      </c>
      <c r="CU181" t="s">
        <v>769</v>
      </c>
      <c r="CV181" t="b">
        <f t="shared" si="151"/>
        <v>1</v>
      </c>
      <c r="DC181" t="str">
        <f t="shared" si="139"/>
        <v>G362</v>
      </c>
      <c r="DD181" t="b">
        <f t="shared" si="152"/>
        <v>0</v>
      </c>
      <c r="DE181" t="str">
        <f t="shared" si="153"/>
        <v>G362</v>
      </c>
      <c r="DF181" t="str">
        <f t="shared" si="140"/>
        <v>R262</v>
      </c>
      <c r="DG181" t="b">
        <f t="shared" si="154"/>
        <v>0</v>
      </c>
      <c r="DH181" t="str">
        <f t="shared" si="155"/>
        <v>R262</v>
      </c>
    </row>
    <row r="182" spans="2:112" ht="12" customHeight="1">
      <c r="B182" t="str">
        <f>TBIDry!H254</f>
        <v>G42</v>
      </c>
      <c r="C182" t="str">
        <f>TBIDry!I254</f>
        <v>R491</v>
      </c>
      <c r="D182" t="b">
        <f t="shared" si="107"/>
        <v>0</v>
      </c>
      <c r="E182" t="b">
        <f t="shared" si="108"/>
        <v>0</v>
      </c>
      <c r="G182" t="str">
        <f>TBIWet!H254</f>
        <v>G451</v>
      </c>
      <c r="H182" t="str">
        <f>TBIWet!I254</f>
        <v>R32</v>
      </c>
      <c r="I182" t="b">
        <f t="shared" si="109"/>
        <v>0</v>
      </c>
      <c r="J182" t="b">
        <f t="shared" si="110"/>
        <v>0</v>
      </c>
      <c r="L182" t="str">
        <f>'Both teabags AfterWet'!A180</f>
        <v>G594</v>
      </c>
      <c r="M182" t="str">
        <f>'Both teabags AfterWet'!A600</f>
        <v>R376</v>
      </c>
      <c r="N182" t="b">
        <f t="shared" si="111"/>
        <v>0</v>
      </c>
      <c r="O182" t="b">
        <f t="shared" si="156"/>
        <v>0</v>
      </c>
      <c r="Q182" s="395" t="b">
        <f t="shared" si="112"/>
        <v>0</v>
      </c>
      <c r="R182" s="395" t="b">
        <f t="shared" si="113"/>
        <v>0</v>
      </c>
      <c r="T182" t="str">
        <f>'Both teabags AfterDry'!A180</f>
        <v>G343</v>
      </c>
      <c r="U182" t="str">
        <f>'Both teabags AfterDry'!A515</f>
        <v>R659</v>
      </c>
      <c r="V182" t="b">
        <f t="shared" si="114"/>
        <v>0</v>
      </c>
      <c r="W182" t="b">
        <f t="shared" si="141"/>
        <v>0</v>
      </c>
      <c r="Y182" t="str">
        <f>'Green_rooibos initial weight'!A183</f>
        <v>G179</v>
      </c>
      <c r="Z182" t="str">
        <f>'Green_rooibos initial weight'!A1087</f>
        <v>R179</v>
      </c>
      <c r="AA182" t="b">
        <f t="shared" si="115"/>
        <v>0</v>
      </c>
      <c r="AB182" t="b">
        <f t="shared" si="116"/>
        <v>0</v>
      </c>
      <c r="AE182" t="str">
        <f>'WetLitterbags placem_collection'!K181</f>
        <v>G451</v>
      </c>
      <c r="AF182" t="str">
        <f>'WetLitterbags placem_collection'!M181</f>
        <v>R32</v>
      </c>
      <c r="AG182" t="b">
        <f t="shared" si="117"/>
        <v>0</v>
      </c>
      <c r="AH182" t="b">
        <f t="shared" si="118"/>
        <v>0</v>
      </c>
      <c r="AJ182" t="b">
        <f t="shared" si="119"/>
        <v>0</v>
      </c>
      <c r="AK182" t="b">
        <f t="shared" si="120"/>
        <v>0</v>
      </c>
      <c r="AM182" t="str">
        <f>IF(ISBLANK('Dry_Litterbag Placem_Collection'!J181),"","G"&amp;""&amp;'Dry_Litterbag Placem_Collection'!J181)</f>
        <v>G42</v>
      </c>
      <c r="AN182" t="str">
        <f>IF(ISBLANK('Dry_Litterbag Placem_Collection'!K181),"","R"&amp;""&amp;'Dry_Litterbag Placem_Collection'!K181)</f>
        <v>R491</v>
      </c>
      <c r="AO182" t="b">
        <f t="shared" si="121"/>
        <v>0</v>
      </c>
      <c r="AP182" t="b">
        <f t="shared" si="122"/>
        <v>0</v>
      </c>
      <c r="AS182" t="str">
        <f>'Ashed teabags dry'!A180</f>
        <v>G343</v>
      </c>
      <c r="AT182" t="str">
        <f>'Ashed teabags dry'!A515</f>
        <v>R659</v>
      </c>
      <c r="AU182" t="b">
        <f t="shared" si="123"/>
        <v>0</v>
      </c>
      <c r="AV182" t="b">
        <f>COUNTIF($AT$4:$AT$2000, AT182)&gt;1</f>
        <v>0</v>
      </c>
      <c r="AX182" s="395" t="b">
        <f t="shared" si="124"/>
        <v>0</v>
      </c>
      <c r="AY182" s="395" t="b">
        <f t="shared" si="125"/>
        <v>0</v>
      </c>
      <c r="BA182" t="str">
        <f>'Ashed teabags wet'!A180</f>
        <v>G594</v>
      </c>
      <c r="BB182" t="str">
        <f>'Ashed teabags wet'!A600</f>
        <v>R376</v>
      </c>
      <c r="BC182" t="b">
        <f t="shared" si="126"/>
        <v>0</v>
      </c>
      <c r="BD182" t="b">
        <f t="shared" si="106"/>
        <v>0</v>
      </c>
      <c r="BF182" t="str">
        <f t="shared" si="127"/>
        <v>G342</v>
      </c>
      <c r="BG182" t="str">
        <f>T181</f>
        <v>G342</v>
      </c>
      <c r="BH182" t="str">
        <f t="shared" si="128"/>
        <v>G353</v>
      </c>
      <c r="BI182" t="str">
        <f t="shared" si="142"/>
        <v>G353</v>
      </c>
      <c r="BJ182" t="s">
        <v>1708</v>
      </c>
      <c r="BK182" t="s">
        <v>1708</v>
      </c>
      <c r="BL182" t="s">
        <v>1708</v>
      </c>
      <c r="BM182" t="b">
        <f t="shared" si="143"/>
        <v>1</v>
      </c>
      <c r="BN182" t="str">
        <f t="shared" si="129"/>
        <v>R658</v>
      </c>
      <c r="BO182" t="str">
        <f>U181</f>
        <v>R658</v>
      </c>
      <c r="BP182" t="str">
        <f t="shared" si="130"/>
        <v>R612</v>
      </c>
      <c r="BQ182" t="str">
        <f t="shared" si="131"/>
        <v>R612</v>
      </c>
      <c r="BR182" t="s">
        <v>481</v>
      </c>
      <c r="BS182" t="s">
        <v>480</v>
      </c>
      <c r="BT182" t="s">
        <v>481</v>
      </c>
      <c r="BU182" t="b">
        <f t="shared" si="144"/>
        <v>1</v>
      </c>
      <c r="BZ182" t="str">
        <f t="shared" si="132"/>
        <v>G353</v>
      </c>
      <c r="CA182" t="b">
        <f t="shared" si="133"/>
        <v>0</v>
      </c>
      <c r="CB182" t="str">
        <f t="shared" si="145"/>
        <v>G353</v>
      </c>
      <c r="CC182" t="str">
        <f t="shared" si="134"/>
        <v>R612</v>
      </c>
      <c r="CD182" t="b">
        <f t="shared" si="146"/>
        <v>0</v>
      </c>
      <c r="CE182" t="str">
        <f t="shared" si="147"/>
        <v>R612</v>
      </c>
      <c r="CG182" t="str">
        <f t="shared" si="135"/>
        <v>G593</v>
      </c>
      <c r="CH182" t="str">
        <f t="shared" si="148"/>
        <v>G593</v>
      </c>
      <c r="CI182" t="str">
        <f>AE181</f>
        <v>G781</v>
      </c>
      <c r="CJ182" t="str">
        <f t="shared" si="136"/>
        <v>G781</v>
      </c>
      <c r="CK182" t="s">
        <v>1457</v>
      </c>
      <c r="CL182" t="s">
        <v>1457</v>
      </c>
      <c r="CM182" t="s">
        <v>1457</v>
      </c>
      <c r="CN182" t="b">
        <f t="shared" si="149"/>
        <v>1</v>
      </c>
      <c r="CO182" t="str">
        <f t="shared" si="137"/>
        <v>R375</v>
      </c>
      <c r="CP182" t="str">
        <f t="shared" si="150"/>
        <v>R375</v>
      </c>
      <c r="CQ182" t="str">
        <f>AF181</f>
        <v>R309</v>
      </c>
      <c r="CR182" t="str">
        <f t="shared" si="138"/>
        <v>R309</v>
      </c>
      <c r="CS182" t="s">
        <v>766</v>
      </c>
      <c r="CT182" t="s">
        <v>766</v>
      </c>
      <c r="CU182" t="s">
        <v>766</v>
      </c>
      <c r="CV182" t="b">
        <f t="shared" si="151"/>
        <v>1</v>
      </c>
      <c r="DC182" t="str">
        <f t="shared" si="139"/>
        <v>G781</v>
      </c>
      <c r="DD182" t="b">
        <f t="shared" si="152"/>
        <v>0</v>
      </c>
      <c r="DE182" t="str">
        <f t="shared" si="153"/>
        <v>G781</v>
      </c>
      <c r="DF182" t="str">
        <f t="shared" si="140"/>
        <v>R309</v>
      </c>
      <c r="DG182" t="b">
        <f t="shared" si="154"/>
        <v>0</v>
      </c>
      <c r="DH182" t="str">
        <f t="shared" si="155"/>
        <v>R309</v>
      </c>
    </row>
    <row r="183" spans="2:112" ht="12" customHeight="1">
      <c r="B183" t="str">
        <f>TBIDry!H255</f>
        <v>G245</v>
      </c>
      <c r="C183" t="str">
        <f>TBIDry!I255</f>
        <v>R325</v>
      </c>
      <c r="D183" t="b">
        <f t="shared" si="107"/>
        <v>0</v>
      </c>
      <c r="E183" t="b">
        <f t="shared" si="108"/>
        <v>0</v>
      </c>
      <c r="G183" t="str">
        <f>TBIWet!H255</f>
        <v>G360</v>
      </c>
      <c r="H183" t="str">
        <f>TBIWet!I255</f>
        <v>R268</v>
      </c>
      <c r="I183" t="b">
        <f t="shared" si="109"/>
        <v>0</v>
      </c>
      <c r="J183" t="b">
        <f t="shared" si="110"/>
        <v>0</v>
      </c>
      <c r="L183" t="str">
        <f>'Both teabags AfterWet'!A181</f>
        <v>G595</v>
      </c>
      <c r="M183" t="str">
        <f>'Both teabags AfterWet'!A601</f>
        <v>R378</v>
      </c>
      <c r="N183" t="b">
        <f t="shared" si="111"/>
        <v>0</v>
      </c>
      <c r="O183" t="b">
        <f t="shared" si="156"/>
        <v>0</v>
      </c>
      <c r="Q183" s="395" t="b">
        <f t="shared" si="112"/>
        <v>0</v>
      </c>
      <c r="R183" s="395" t="b">
        <f t="shared" si="113"/>
        <v>0</v>
      </c>
      <c r="T183" t="str">
        <f>'Both teabags AfterDry'!A181</f>
        <v>G344</v>
      </c>
      <c r="U183" t="str">
        <f>'Both teabags AfterDry'!A516</f>
        <v>R66</v>
      </c>
      <c r="V183" t="b">
        <f t="shared" si="114"/>
        <v>0</v>
      </c>
      <c r="W183" t="b">
        <f t="shared" si="141"/>
        <v>0</v>
      </c>
      <c r="Y183" t="str">
        <f>'Green_rooibos initial weight'!A184</f>
        <v>G180</v>
      </c>
      <c r="Z183" t="str">
        <f>'Green_rooibos initial weight'!A1088</f>
        <v>R180</v>
      </c>
      <c r="AA183" t="b">
        <f t="shared" si="115"/>
        <v>0</v>
      </c>
      <c r="AB183" t="b">
        <f t="shared" si="116"/>
        <v>0</v>
      </c>
      <c r="AE183" t="str">
        <f>'WetLitterbags placem_collection'!K182</f>
        <v>G360</v>
      </c>
      <c r="AF183" t="str">
        <f>'WetLitterbags placem_collection'!M182</f>
        <v>R268</v>
      </c>
      <c r="AG183" t="b">
        <f t="shared" si="117"/>
        <v>0</v>
      </c>
      <c r="AH183" t="b">
        <f t="shared" si="118"/>
        <v>0</v>
      </c>
      <c r="AJ183" t="b">
        <f t="shared" si="119"/>
        <v>0</v>
      </c>
      <c r="AK183" t="b">
        <f t="shared" si="120"/>
        <v>0</v>
      </c>
      <c r="AM183" t="str">
        <f>IF(ISBLANK('Dry_Litterbag Placem_Collection'!J182),"","G"&amp;""&amp;'Dry_Litterbag Placem_Collection'!J182)</f>
        <v>G245</v>
      </c>
      <c r="AN183" t="str">
        <f>IF(ISBLANK('Dry_Litterbag Placem_Collection'!K182),"","R"&amp;""&amp;'Dry_Litterbag Placem_Collection'!K182)</f>
        <v>R325</v>
      </c>
      <c r="AO183" t="b">
        <f t="shared" si="121"/>
        <v>0</v>
      </c>
      <c r="AP183" t="b">
        <f t="shared" si="122"/>
        <v>0</v>
      </c>
      <c r="AS183" t="str">
        <f>'Ashed teabags dry'!A181</f>
        <v>G344</v>
      </c>
      <c r="AT183" t="str">
        <f>'Ashed teabags dry'!A516</f>
        <v>R66</v>
      </c>
      <c r="AU183" t="b">
        <f t="shared" si="123"/>
        <v>0</v>
      </c>
      <c r="AV183" t="b">
        <f>COUNTIF($AT$4:$AT$2000, AT183)&gt;1</f>
        <v>0</v>
      </c>
      <c r="AX183" s="395" t="b">
        <f t="shared" si="124"/>
        <v>0</v>
      </c>
      <c r="AY183" s="395" t="b">
        <f t="shared" si="125"/>
        <v>0</v>
      </c>
      <c r="BA183" t="str">
        <f>'Ashed teabags wet'!A181</f>
        <v>G595</v>
      </c>
      <c r="BB183" t="str">
        <f>'Ashed teabags wet'!A601</f>
        <v>R378</v>
      </c>
      <c r="BC183" t="b">
        <f t="shared" si="126"/>
        <v>0</v>
      </c>
      <c r="BD183" t="b">
        <f t="shared" si="106"/>
        <v>0</v>
      </c>
      <c r="BF183" t="str">
        <f t="shared" si="127"/>
        <v>G343</v>
      </c>
      <c r="BG183" t="str">
        <f>T182</f>
        <v>G343</v>
      </c>
      <c r="BH183" t="str">
        <f t="shared" si="128"/>
        <v>G42</v>
      </c>
      <c r="BI183" t="str">
        <f t="shared" si="142"/>
        <v>G42</v>
      </c>
      <c r="BJ183" t="s">
        <v>1707</v>
      </c>
      <c r="BK183" t="s">
        <v>1707</v>
      </c>
      <c r="BL183" t="s">
        <v>1707</v>
      </c>
      <c r="BM183" t="b">
        <f t="shared" si="143"/>
        <v>1</v>
      </c>
      <c r="BN183" t="str">
        <f t="shared" si="129"/>
        <v>R659</v>
      </c>
      <c r="BO183" t="str">
        <f>U182</f>
        <v>R659</v>
      </c>
      <c r="BP183" t="str">
        <f t="shared" si="130"/>
        <v>R491</v>
      </c>
      <c r="BQ183" t="str">
        <f t="shared" si="131"/>
        <v>R491</v>
      </c>
      <c r="BR183" t="s">
        <v>480</v>
      </c>
      <c r="BS183" t="s">
        <v>1075</v>
      </c>
      <c r="BT183" t="s">
        <v>480</v>
      </c>
      <c r="BU183" t="b">
        <f t="shared" si="144"/>
        <v>1</v>
      </c>
      <c r="BZ183" t="str">
        <f t="shared" si="132"/>
        <v>G42</v>
      </c>
      <c r="CA183" t="b">
        <f t="shared" si="133"/>
        <v>0</v>
      </c>
      <c r="CB183" t="str">
        <f t="shared" si="145"/>
        <v>G42</v>
      </c>
      <c r="CC183" t="str">
        <f t="shared" si="134"/>
        <v>R491</v>
      </c>
      <c r="CD183" t="b">
        <f t="shared" si="146"/>
        <v>0</v>
      </c>
      <c r="CE183" t="str">
        <f t="shared" si="147"/>
        <v>R491</v>
      </c>
      <c r="CG183" t="str">
        <f t="shared" si="135"/>
        <v>G594</v>
      </c>
      <c r="CH183" t="str">
        <f t="shared" si="148"/>
        <v>G594</v>
      </c>
      <c r="CI183" t="str">
        <f>AE182</f>
        <v>G451</v>
      </c>
      <c r="CJ183" t="str">
        <f t="shared" si="136"/>
        <v>G451</v>
      </c>
      <c r="CK183" t="s">
        <v>1456</v>
      </c>
      <c r="CL183" t="s">
        <v>1456</v>
      </c>
      <c r="CM183" t="s">
        <v>1456</v>
      </c>
      <c r="CN183" t="b">
        <f t="shared" si="149"/>
        <v>1</v>
      </c>
      <c r="CO183" t="str">
        <f t="shared" si="137"/>
        <v>R376</v>
      </c>
      <c r="CP183" t="str">
        <f t="shared" si="150"/>
        <v>R376</v>
      </c>
      <c r="CQ183" t="str">
        <f>AF182</f>
        <v>R32</v>
      </c>
      <c r="CR183" t="str">
        <f t="shared" si="138"/>
        <v>R32</v>
      </c>
      <c r="CS183" t="s">
        <v>765</v>
      </c>
      <c r="CT183" t="s">
        <v>765</v>
      </c>
      <c r="CU183" t="s">
        <v>765</v>
      </c>
      <c r="CV183" t="b">
        <f t="shared" si="151"/>
        <v>1</v>
      </c>
      <c r="DC183" t="str">
        <f t="shared" si="139"/>
        <v>G451</v>
      </c>
      <c r="DD183" t="b">
        <f t="shared" si="152"/>
        <v>0</v>
      </c>
      <c r="DE183" t="str">
        <f t="shared" si="153"/>
        <v>G451</v>
      </c>
      <c r="DF183" t="str">
        <f t="shared" si="140"/>
        <v>R32</v>
      </c>
      <c r="DG183" t="b">
        <f t="shared" si="154"/>
        <v>0</v>
      </c>
      <c r="DH183" t="str">
        <f t="shared" si="155"/>
        <v>R32</v>
      </c>
    </row>
    <row r="184" spans="2:112" ht="12" customHeight="1">
      <c r="B184" t="str">
        <f>TBIDry!H256</f>
        <v>G411</v>
      </c>
      <c r="C184" t="str">
        <f>TBIDry!I256</f>
        <v>R116</v>
      </c>
      <c r="D184" t="b">
        <f t="shared" si="107"/>
        <v>0</v>
      </c>
      <c r="E184" t="b">
        <f t="shared" si="108"/>
        <v>0</v>
      </c>
      <c r="G184" t="str">
        <f>TBIWet!H256</f>
        <v>G458</v>
      </c>
      <c r="H184" t="str">
        <f>TBIWet!I256</f>
        <v>R587</v>
      </c>
      <c r="I184" t="b">
        <f t="shared" si="109"/>
        <v>0</v>
      </c>
      <c r="J184" t="b">
        <f t="shared" si="110"/>
        <v>0</v>
      </c>
      <c r="L184" t="str">
        <f>'Both teabags AfterWet'!A182</f>
        <v>G599</v>
      </c>
      <c r="M184" t="str">
        <f>'Both teabags AfterWet'!A602</f>
        <v>R38</v>
      </c>
      <c r="N184" t="b">
        <f t="shared" si="111"/>
        <v>0</v>
      </c>
      <c r="O184" t="b">
        <f t="shared" si="156"/>
        <v>0</v>
      </c>
      <c r="Q184" s="395" t="b">
        <f t="shared" si="112"/>
        <v>0</v>
      </c>
      <c r="R184" s="395" t="b">
        <f t="shared" si="113"/>
        <v>0</v>
      </c>
      <c r="T184" t="str">
        <f>'Both teabags AfterDry'!A182</f>
        <v>G347</v>
      </c>
      <c r="U184" t="str">
        <f>'Both teabags AfterDry'!A517</f>
        <v>R660</v>
      </c>
      <c r="V184" t="b">
        <f t="shared" si="114"/>
        <v>0</v>
      </c>
      <c r="W184" t="b">
        <f t="shared" si="141"/>
        <v>0</v>
      </c>
      <c r="Y184" t="str">
        <f>'Green_rooibos initial weight'!A185</f>
        <v>G181</v>
      </c>
      <c r="Z184" t="str">
        <f>'Green_rooibos initial weight'!A1089</f>
        <v>R181</v>
      </c>
      <c r="AA184" t="b">
        <f t="shared" si="115"/>
        <v>0</v>
      </c>
      <c r="AB184" t="b">
        <f t="shared" si="116"/>
        <v>0</v>
      </c>
      <c r="AE184" t="str">
        <f>'WetLitterbags placem_collection'!K183</f>
        <v>G458</v>
      </c>
      <c r="AF184" t="str">
        <f>'WetLitterbags placem_collection'!M183</f>
        <v>R587</v>
      </c>
      <c r="AG184" t="b">
        <f t="shared" si="117"/>
        <v>0</v>
      </c>
      <c r="AH184" t="b">
        <f t="shared" si="118"/>
        <v>0</v>
      </c>
      <c r="AJ184" t="b">
        <f t="shared" si="119"/>
        <v>0</v>
      </c>
      <c r="AK184" t="b">
        <f t="shared" si="120"/>
        <v>0</v>
      </c>
      <c r="AM184" t="str">
        <f>IF(ISBLANK('Dry_Litterbag Placem_Collection'!J183),"","G"&amp;""&amp;'Dry_Litterbag Placem_Collection'!J183)</f>
        <v>G411</v>
      </c>
      <c r="AN184" t="str">
        <f>IF(ISBLANK('Dry_Litterbag Placem_Collection'!K183),"","R"&amp;""&amp;'Dry_Litterbag Placem_Collection'!K183)</f>
        <v>R116</v>
      </c>
      <c r="AO184" t="b">
        <f t="shared" si="121"/>
        <v>0</v>
      </c>
      <c r="AP184" t="b">
        <f t="shared" si="122"/>
        <v>0</v>
      </c>
      <c r="AS184" t="str">
        <f>'Ashed teabags dry'!A182</f>
        <v>G347</v>
      </c>
      <c r="AT184" t="str">
        <f>'Ashed teabags dry'!A517</f>
        <v>R660</v>
      </c>
      <c r="AU184" t="b">
        <f t="shared" si="123"/>
        <v>0</v>
      </c>
      <c r="AV184" t="b">
        <f>COUNTIF($AT$4:$AT$2000, AT184)&gt;1</f>
        <v>0</v>
      </c>
      <c r="AX184" s="395" t="b">
        <f t="shared" si="124"/>
        <v>0</v>
      </c>
      <c r="AY184" s="395" t="b">
        <f t="shared" si="125"/>
        <v>0</v>
      </c>
      <c r="BA184" t="str">
        <f>'Ashed teabags wet'!A182</f>
        <v>G599</v>
      </c>
      <c r="BB184" t="str">
        <f>'Ashed teabags wet'!A602</f>
        <v>R38</v>
      </c>
      <c r="BC184" t="b">
        <f t="shared" si="126"/>
        <v>0</v>
      </c>
      <c r="BD184" t="b">
        <f t="shared" si="106"/>
        <v>0</v>
      </c>
      <c r="BF184" t="str">
        <f t="shared" si="127"/>
        <v>G344</v>
      </c>
      <c r="BG184" t="str">
        <f>T183</f>
        <v>G344</v>
      </c>
      <c r="BH184" t="str">
        <f t="shared" si="128"/>
        <v>G245</v>
      </c>
      <c r="BI184" t="str">
        <f t="shared" si="142"/>
        <v>G245</v>
      </c>
      <c r="BJ184" t="s">
        <v>1706</v>
      </c>
      <c r="BK184" t="s">
        <v>1706</v>
      </c>
      <c r="BL184" t="s">
        <v>1706</v>
      </c>
      <c r="BM184" t="b">
        <f t="shared" si="143"/>
        <v>1</v>
      </c>
      <c r="BN184" t="str">
        <f t="shared" si="129"/>
        <v>R66</v>
      </c>
      <c r="BO184" t="str">
        <f>U183</f>
        <v>R66</v>
      </c>
      <c r="BP184" t="str">
        <f t="shared" si="130"/>
        <v>R325</v>
      </c>
      <c r="BQ184" t="str">
        <f t="shared" si="131"/>
        <v>R325</v>
      </c>
      <c r="BR184" t="s">
        <v>1075</v>
      </c>
      <c r="BS184" t="s">
        <v>479</v>
      </c>
      <c r="BT184" t="s">
        <v>1075</v>
      </c>
      <c r="BU184" t="b">
        <f t="shared" si="144"/>
        <v>1</v>
      </c>
      <c r="BZ184" t="str">
        <f t="shared" si="132"/>
        <v>G245</v>
      </c>
      <c r="CA184" t="b">
        <f t="shared" si="133"/>
        <v>0</v>
      </c>
      <c r="CB184" t="str">
        <f t="shared" si="145"/>
        <v>G245</v>
      </c>
      <c r="CC184" t="str">
        <f t="shared" si="134"/>
        <v>R325</v>
      </c>
      <c r="CD184" t="b">
        <f t="shared" si="146"/>
        <v>0</v>
      </c>
      <c r="CE184" t="str">
        <f t="shared" si="147"/>
        <v>R325</v>
      </c>
      <c r="CG184" t="str">
        <f t="shared" si="135"/>
        <v>G595</v>
      </c>
      <c r="CH184" t="str">
        <f t="shared" si="148"/>
        <v>G595</v>
      </c>
      <c r="CI184" t="str">
        <f>AE183</f>
        <v>G360</v>
      </c>
      <c r="CJ184" t="str">
        <f t="shared" si="136"/>
        <v>G360</v>
      </c>
      <c r="CK184" t="s">
        <v>1455</v>
      </c>
      <c r="CL184" t="s">
        <v>1455</v>
      </c>
      <c r="CM184" t="s">
        <v>1455</v>
      </c>
      <c r="CN184" t="b">
        <f t="shared" si="149"/>
        <v>1</v>
      </c>
      <c r="CO184" t="str">
        <f t="shared" si="137"/>
        <v>R378</v>
      </c>
      <c r="CP184" t="str">
        <f t="shared" si="150"/>
        <v>R378</v>
      </c>
      <c r="CQ184" t="str">
        <f>AF183</f>
        <v>R268</v>
      </c>
      <c r="CR184" t="str">
        <f t="shared" si="138"/>
        <v>R268</v>
      </c>
      <c r="CS184" t="s">
        <v>763</v>
      </c>
      <c r="CT184" t="s">
        <v>763</v>
      </c>
      <c r="CU184" t="s">
        <v>763</v>
      </c>
      <c r="CV184" t="b">
        <f t="shared" si="151"/>
        <v>1</v>
      </c>
      <c r="DC184" t="str">
        <f t="shared" si="139"/>
        <v>G360</v>
      </c>
      <c r="DD184" t="b">
        <f t="shared" si="152"/>
        <v>0</v>
      </c>
      <c r="DE184" t="str">
        <f t="shared" si="153"/>
        <v>G360</v>
      </c>
      <c r="DF184" t="str">
        <f t="shared" si="140"/>
        <v>R268</v>
      </c>
      <c r="DG184" t="b">
        <f t="shared" si="154"/>
        <v>0</v>
      </c>
      <c r="DH184" t="str">
        <f t="shared" si="155"/>
        <v>R268</v>
      </c>
    </row>
    <row r="185" spans="2:112" ht="12" customHeight="1">
      <c r="B185" t="str">
        <f>TBIDry!H257</f>
        <v>G309</v>
      </c>
      <c r="C185" t="str">
        <f>TBIDry!I257</f>
        <v>R613</v>
      </c>
      <c r="D185" t="b">
        <f t="shared" si="107"/>
        <v>0</v>
      </c>
      <c r="E185" t="b">
        <f t="shared" si="108"/>
        <v>0</v>
      </c>
      <c r="G185" t="str">
        <f>TBIWet!H257</f>
        <v>G403</v>
      </c>
      <c r="H185" t="str">
        <f>TBIWet!I257</f>
        <v>R444</v>
      </c>
      <c r="I185" t="b">
        <f t="shared" si="109"/>
        <v>0</v>
      </c>
      <c r="J185" t="b">
        <f t="shared" si="110"/>
        <v>0</v>
      </c>
      <c r="L185" t="str">
        <f>'Both teabags AfterWet'!A183</f>
        <v>G600</v>
      </c>
      <c r="M185" t="str">
        <f>'Both teabags AfterWet'!A603</f>
        <v>R380</v>
      </c>
      <c r="N185" t="b">
        <f t="shared" si="111"/>
        <v>0</v>
      </c>
      <c r="O185" t="b">
        <f t="shared" si="156"/>
        <v>0</v>
      </c>
      <c r="Q185" s="395" t="b">
        <f t="shared" si="112"/>
        <v>0</v>
      </c>
      <c r="R185" s="395" t="b">
        <f t="shared" si="113"/>
        <v>0</v>
      </c>
      <c r="T185" t="str">
        <f>'Both teabags AfterDry'!A183</f>
        <v>G348</v>
      </c>
      <c r="U185" t="str">
        <f>'Both teabags AfterDry'!A518</f>
        <v>R661</v>
      </c>
      <c r="V185" t="b">
        <f t="shared" si="114"/>
        <v>0</v>
      </c>
      <c r="W185" t="b">
        <f t="shared" si="141"/>
        <v>0</v>
      </c>
      <c r="Y185" t="str">
        <f>'Green_rooibos initial weight'!A186</f>
        <v>G182</v>
      </c>
      <c r="Z185" t="str">
        <f>'Green_rooibos initial weight'!A1090</f>
        <v>R182</v>
      </c>
      <c r="AA185" t="b">
        <f t="shared" si="115"/>
        <v>0</v>
      </c>
      <c r="AB185" t="b">
        <f t="shared" si="116"/>
        <v>0</v>
      </c>
      <c r="AE185" t="str">
        <f>'WetLitterbags placem_collection'!K184</f>
        <v>G403</v>
      </c>
      <c r="AF185" t="str">
        <f>'WetLitterbags placem_collection'!M184</f>
        <v>R444</v>
      </c>
      <c r="AG185" t="b">
        <f t="shared" si="117"/>
        <v>0</v>
      </c>
      <c r="AH185" t="b">
        <f t="shared" si="118"/>
        <v>0</v>
      </c>
      <c r="AJ185" t="b">
        <f t="shared" si="119"/>
        <v>0</v>
      </c>
      <c r="AK185" t="b">
        <f t="shared" si="120"/>
        <v>0</v>
      </c>
      <c r="AM185" t="str">
        <f>IF(ISBLANK('Dry_Litterbag Placem_Collection'!J184),"","G"&amp;""&amp;'Dry_Litterbag Placem_Collection'!J184)</f>
        <v>G309</v>
      </c>
      <c r="AN185" t="str">
        <f>IF(ISBLANK('Dry_Litterbag Placem_Collection'!K184),"","R"&amp;""&amp;'Dry_Litterbag Placem_Collection'!K184)</f>
        <v>R613</v>
      </c>
      <c r="AO185" t="b">
        <f t="shared" si="121"/>
        <v>0</v>
      </c>
      <c r="AP185" t="b">
        <f t="shared" si="122"/>
        <v>0</v>
      </c>
      <c r="AS185" t="str">
        <f>'Ashed teabags dry'!A183</f>
        <v>G348</v>
      </c>
      <c r="AT185" t="str">
        <f>'Ashed teabags dry'!A518</f>
        <v>R661</v>
      </c>
      <c r="AU185" t="b">
        <f t="shared" si="123"/>
        <v>0</v>
      </c>
      <c r="AV185" t="b">
        <f>COUNTIF($AT$4:$AT$2000, AT185)&gt;1</f>
        <v>0</v>
      </c>
      <c r="AX185" s="395" t="b">
        <f t="shared" si="124"/>
        <v>0</v>
      </c>
      <c r="AY185" s="395" t="b">
        <f t="shared" si="125"/>
        <v>0</v>
      </c>
      <c r="BA185" t="str">
        <f>'Ashed teabags wet'!A183</f>
        <v>G600</v>
      </c>
      <c r="BB185" t="str">
        <f>'Ashed teabags wet'!A603</f>
        <v>R380</v>
      </c>
      <c r="BC185" t="b">
        <f t="shared" si="126"/>
        <v>0</v>
      </c>
      <c r="BD185" t="b">
        <f t="shared" si="106"/>
        <v>0</v>
      </c>
      <c r="BF185" t="str">
        <f t="shared" si="127"/>
        <v>G347</v>
      </c>
      <c r="BG185" t="str">
        <f>T184</f>
        <v>G347</v>
      </c>
      <c r="BH185" t="str">
        <f t="shared" si="128"/>
        <v>G411</v>
      </c>
      <c r="BI185" t="str">
        <f t="shared" si="142"/>
        <v>G411</v>
      </c>
      <c r="BJ185" t="s">
        <v>1703</v>
      </c>
      <c r="BK185" t="s">
        <v>1703</v>
      </c>
      <c r="BL185" t="s">
        <v>1703</v>
      </c>
      <c r="BM185" t="b">
        <f t="shared" si="143"/>
        <v>1</v>
      </c>
      <c r="BN185" t="str">
        <f t="shared" si="129"/>
        <v>R660</v>
      </c>
      <c r="BO185" t="str">
        <f>U184</f>
        <v>R660</v>
      </c>
      <c r="BP185" t="str">
        <f t="shared" si="130"/>
        <v>R116</v>
      </c>
      <c r="BQ185" t="str">
        <f t="shared" si="131"/>
        <v>R116</v>
      </c>
      <c r="BR185" t="s">
        <v>479</v>
      </c>
      <c r="BS185" t="s">
        <v>478</v>
      </c>
      <c r="BT185" t="s">
        <v>479</v>
      </c>
      <c r="BU185" t="b">
        <f t="shared" si="144"/>
        <v>1</v>
      </c>
      <c r="BZ185" t="str">
        <f t="shared" si="132"/>
        <v>G411</v>
      </c>
      <c r="CA185" t="b">
        <f t="shared" si="133"/>
        <v>0</v>
      </c>
      <c r="CB185" t="str">
        <f t="shared" si="145"/>
        <v>G411</v>
      </c>
      <c r="CC185" t="str">
        <f t="shared" si="134"/>
        <v>R116</v>
      </c>
      <c r="CD185" t="b">
        <f t="shared" si="146"/>
        <v>0</v>
      </c>
      <c r="CE185" t="str">
        <f t="shared" si="147"/>
        <v>R116</v>
      </c>
      <c r="CG185" t="str">
        <f t="shared" si="135"/>
        <v>G599</v>
      </c>
      <c r="CH185" t="str">
        <f t="shared" si="148"/>
        <v>G599</v>
      </c>
      <c r="CI185" t="str">
        <f>AE184</f>
        <v>G458</v>
      </c>
      <c r="CJ185" t="str">
        <f t="shared" si="136"/>
        <v>G458</v>
      </c>
      <c r="CK185" t="s">
        <v>1451</v>
      </c>
      <c r="CL185" t="s">
        <v>1451</v>
      </c>
      <c r="CM185" t="s">
        <v>1451</v>
      </c>
      <c r="CN185" t="b">
        <f t="shared" si="149"/>
        <v>1</v>
      </c>
      <c r="CO185" t="str">
        <f t="shared" si="137"/>
        <v>R38</v>
      </c>
      <c r="CP185" t="str">
        <f t="shared" si="150"/>
        <v>R38</v>
      </c>
      <c r="CQ185" t="str">
        <f>AF184</f>
        <v>R587</v>
      </c>
      <c r="CR185" t="str">
        <f t="shared" si="138"/>
        <v>R587</v>
      </c>
      <c r="CS185" t="s">
        <v>1103</v>
      </c>
      <c r="CT185" t="s">
        <v>1103</v>
      </c>
      <c r="CU185" t="s">
        <v>1103</v>
      </c>
      <c r="CV185" t="b">
        <f t="shared" si="151"/>
        <v>1</v>
      </c>
      <c r="DC185" t="str">
        <f t="shared" si="139"/>
        <v>G458</v>
      </c>
      <c r="DD185" t="b">
        <f t="shared" si="152"/>
        <v>0</v>
      </c>
      <c r="DE185" t="str">
        <f t="shared" si="153"/>
        <v>G458</v>
      </c>
      <c r="DF185" t="str">
        <f t="shared" si="140"/>
        <v>R587</v>
      </c>
      <c r="DG185" t="b">
        <f t="shared" si="154"/>
        <v>0</v>
      </c>
      <c r="DH185" t="str">
        <f t="shared" si="155"/>
        <v>R587</v>
      </c>
    </row>
    <row r="186" spans="2:112" ht="12" customHeight="1">
      <c r="B186" t="str">
        <f>TBIDry!H258</f>
        <v/>
      </c>
      <c r="C186" t="str">
        <f>TBIDry!I258</f>
        <v/>
      </c>
      <c r="D186" t="b">
        <f t="shared" si="107"/>
        <v>1</v>
      </c>
      <c r="E186" t="b">
        <f t="shared" si="108"/>
        <v>1</v>
      </c>
      <c r="G186" t="str">
        <f>TBIWet!H258</f>
        <v>G585</v>
      </c>
      <c r="H186" t="str">
        <f>TBIWet!I258</f>
        <v>R568</v>
      </c>
      <c r="I186" t="b">
        <f t="shared" si="109"/>
        <v>0</v>
      </c>
      <c r="J186" t="b">
        <f t="shared" si="110"/>
        <v>0</v>
      </c>
      <c r="L186" t="str">
        <f>'Both teabags AfterWet'!A184</f>
        <v>G602</v>
      </c>
      <c r="M186" t="str">
        <f>'Both teabags AfterWet'!A604</f>
        <v>R381</v>
      </c>
      <c r="N186" t="b">
        <f t="shared" si="111"/>
        <v>0</v>
      </c>
      <c r="O186" t="b">
        <f t="shared" si="156"/>
        <v>0</v>
      </c>
      <c r="Q186" s="395" t="b">
        <f t="shared" si="112"/>
        <v>0</v>
      </c>
      <c r="R186" s="395" t="b">
        <f t="shared" si="113"/>
        <v>0</v>
      </c>
      <c r="T186" t="str">
        <f>'Both teabags AfterDry'!A184</f>
        <v>G349</v>
      </c>
      <c r="U186" t="str">
        <f>'Both teabags AfterDry'!A519</f>
        <v>R663</v>
      </c>
      <c r="V186" t="b">
        <f t="shared" si="114"/>
        <v>0</v>
      </c>
      <c r="W186" t="b">
        <f t="shared" si="141"/>
        <v>0</v>
      </c>
      <c r="Y186" t="str">
        <f>'Green_rooibos initial weight'!A187</f>
        <v>G183</v>
      </c>
      <c r="Z186" t="str">
        <f>'Green_rooibos initial weight'!A1091</f>
        <v>R183</v>
      </c>
      <c r="AA186" t="b">
        <f t="shared" si="115"/>
        <v>0</v>
      </c>
      <c r="AB186" t="b">
        <f t="shared" si="116"/>
        <v>0</v>
      </c>
      <c r="AE186" t="str">
        <f>'WetLitterbags placem_collection'!K185</f>
        <v>G585</v>
      </c>
      <c r="AF186" t="str">
        <f>'WetLitterbags placem_collection'!M185</f>
        <v>R568</v>
      </c>
      <c r="AG186" t="b">
        <f t="shared" si="117"/>
        <v>0</v>
      </c>
      <c r="AH186" t="b">
        <f t="shared" si="118"/>
        <v>0</v>
      </c>
      <c r="AJ186" t="b">
        <f t="shared" si="119"/>
        <v>0</v>
      </c>
      <c r="AK186" t="b">
        <f t="shared" si="120"/>
        <v>0</v>
      </c>
      <c r="AM186" t="str">
        <f>IF(ISBLANK('Dry_Litterbag Placem_Collection'!J185),"","G"&amp;""&amp;'Dry_Litterbag Placem_Collection'!J185)</f>
        <v/>
      </c>
      <c r="AN186" t="str">
        <f>IF(ISBLANK('Dry_Litterbag Placem_Collection'!K185),"","R"&amp;""&amp;'Dry_Litterbag Placem_Collection'!K185)</f>
        <v/>
      </c>
      <c r="AO186" t="b">
        <f t="shared" si="121"/>
        <v>1</v>
      </c>
      <c r="AP186" t="b">
        <f t="shared" si="122"/>
        <v>1</v>
      </c>
      <c r="AS186" t="str">
        <f>'Ashed teabags dry'!A184</f>
        <v>G349</v>
      </c>
      <c r="AT186" t="str">
        <f>'Ashed teabags dry'!A519</f>
        <v>R663</v>
      </c>
      <c r="AU186" t="b">
        <f t="shared" si="123"/>
        <v>0</v>
      </c>
      <c r="AV186" t="b">
        <f>COUNTIF($AT$4:$AT$2000, AT186)&gt;1</f>
        <v>0</v>
      </c>
      <c r="AX186" s="395" t="b">
        <f t="shared" si="124"/>
        <v>0</v>
      </c>
      <c r="AY186" s="395" t="b">
        <f t="shared" si="125"/>
        <v>0</v>
      </c>
      <c r="BA186" t="str">
        <f>'Ashed teabags wet'!A184</f>
        <v>G602</v>
      </c>
      <c r="BB186" t="str">
        <f>'Ashed teabags wet'!A604</f>
        <v>R381</v>
      </c>
      <c r="BC186" t="b">
        <f t="shared" si="126"/>
        <v>0</v>
      </c>
      <c r="BD186" t="b">
        <f t="shared" si="106"/>
        <v>0</v>
      </c>
      <c r="BF186" t="str">
        <f t="shared" si="127"/>
        <v>G348</v>
      </c>
      <c r="BG186" t="str">
        <f>T185</f>
        <v>G348</v>
      </c>
      <c r="BH186" t="str">
        <f t="shared" si="128"/>
        <v>G309</v>
      </c>
      <c r="BI186" t="str">
        <f t="shared" si="142"/>
        <v>G309</v>
      </c>
      <c r="BJ186" t="s">
        <v>1702</v>
      </c>
      <c r="BK186" t="s">
        <v>1702</v>
      </c>
      <c r="BL186" t="s">
        <v>1702</v>
      </c>
      <c r="BM186" t="b">
        <f t="shared" si="143"/>
        <v>1</v>
      </c>
      <c r="BN186" t="str">
        <f t="shared" si="129"/>
        <v>R661</v>
      </c>
      <c r="BO186" t="str">
        <f>U185</f>
        <v>R661</v>
      </c>
      <c r="BP186" t="str">
        <f t="shared" si="130"/>
        <v>R613</v>
      </c>
      <c r="BQ186" t="str">
        <f t="shared" si="131"/>
        <v>R613</v>
      </c>
      <c r="BR186" t="s">
        <v>478</v>
      </c>
      <c r="BS186" t="s">
        <v>476</v>
      </c>
      <c r="BT186" t="s">
        <v>478</v>
      </c>
      <c r="BU186" t="b">
        <f t="shared" si="144"/>
        <v>1</v>
      </c>
      <c r="BZ186" t="str">
        <f t="shared" si="132"/>
        <v>G309</v>
      </c>
      <c r="CA186" t="b">
        <f t="shared" si="133"/>
        <v>0</v>
      </c>
      <c r="CB186" t="str">
        <f t="shared" si="145"/>
        <v>G309</v>
      </c>
      <c r="CC186" t="str">
        <f t="shared" si="134"/>
        <v>R613</v>
      </c>
      <c r="CD186" t="b">
        <f t="shared" si="146"/>
        <v>0</v>
      </c>
      <c r="CE186" t="str">
        <f t="shared" si="147"/>
        <v>R613</v>
      </c>
      <c r="CG186" t="str">
        <f t="shared" si="135"/>
        <v>G600</v>
      </c>
      <c r="CH186" t="str">
        <f t="shared" si="148"/>
        <v>G600</v>
      </c>
      <c r="CI186" t="str">
        <f>AE185</f>
        <v>G403</v>
      </c>
      <c r="CJ186" t="str">
        <f t="shared" si="136"/>
        <v>G403</v>
      </c>
      <c r="CK186" t="s">
        <v>1450</v>
      </c>
      <c r="CL186" t="s">
        <v>1450</v>
      </c>
      <c r="CM186" t="s">
        <v>1450</v>
      </c>
      <c r="CN186" t="b">
        <f t="shared" si="149"/>
        <v>1</v>
      </c>
      <c r="CO186" t="str">
        <f t="shared" si="137"/>
        <v>R380</v>
      </c>
      <c r="CP186" t="str">
        <f t="shared" si="150"/>
        <v>R380</v>
      </c>
      <c r="CQ186" t="str">
        <f>AF185</f>
        <v>R444</v>
      </c>
      <c r="CR186" t="str">
        <f t="shared" si="138"/>
        <v>R444</v>
      </c>
      <c r="CS186" t="s">
        <v>761</v>
      </c>
      <c r="CT186" t="s">
        <v>761</v>
      </c>
      <c r="CU186" t="s">
        <v>761</v>
      </c>
      <c r="CV186" t="b">
        <f t="shared" si="151"/>
        <v>1</v>
      </c>
      <c r="DC186" t="str">
        <f t="shared" si="139"/>
        <v>G403</v>
      </c>
      <c r="DD186" t="b">
        <f t="shared" si="152"/>
        <v>0</v>
      </c>
      <c r="DE186" t="str">
        <f t="shared" si="153"/>
        <v>G403</v>
      </c>
      <c r="DF186" t="str">
        <f t="shared" si="140"/>
        <v>R444</v>
      </c>
      <c r="DG186" t="b">
        <f t="shared" si="154"/>
        <v>0</v>
      </c>
      <c r="DH186" t="str">
        <f t="shared" si="155"/>
        <v>R444</v>
      </c>
    </row>
    <row r="187" spans="2:112" ht="12" customHeight="1">
      <c r="B187" t="str">
        <f>TBIDry!H259</f>
        <v>G235</v>
      </c>
      <c r="C187" t="str">
        <f>TBIDry!I259</f>
        <v>R179</v>
      </c>
      <c r="D187" t="b">
        <f t="shared" si="107"/>
        <v>0</v>
      </c>
      <c r="E187" t="b">
        <f t="shared" si="108"/>
        <v>0</v>
      </c>
      <c r="G187" t="str">
        <f>TBIWet!H259</f>
        <v>G669</v>
      </c>
      <c r="H187" t="str">
        <f>TBIWet!I259</f>
        <v>R541</v>
      </c>
      <c r="I187" t="b">
        <f t="shared" si="109"/>
        <v>0</v>
      </c>
      <c r="J187" t="b">
        <f t="shared" si="110"/>
        <v>0</v>
      </c>
      <c r="L187" t="str">
        <f>'Both teabags AfterWet'!A185</f>
        <v>G603</v>
      </c>
      <c r="M187" t="str">
        <f>'Both teabags AfterWet'!A605</f>
        <v>R382</v>
      </c>
      <c r="N187" t="b">
        <f t="shared" si="111"/>
        <v>0</v>
      </c>
      <c r="O187" t="b">
        <f t="shared" si="156"/>
        <v>0</v>
      </c>
      <c r="Q187" s="395" t="b">
        <f t="shared" si="112"/>
        <v>0</v>
      </c>
      <c r="R187" s="395" t="b">
        <f t="shared" si="113"/>
        <v>0</v>
      </c>
      <c r="T187" t="str">
        <f>'Both teabags AfterDry'!A185</f>
        <v>G35</v>
      </c>
      <c r="U187" t="str">
        <f>'Both teabags AfterDry'!A520</f>
        <v>R664</v>
      </c>
      <c r="V187" t="b">
        <f t="shared" si="114"/>
        <v>0</v>
      </c>
      <c r="W187" t="b">
        <f t="shared" si="141"/>
        <v>0</v>
      </c>
      <c r="Y187" t="str">
        <f>'Green_rooibos initial weight'!A188</f>
        <v>G184</v>
      </c>
      <c r="Z187" t="str">
        <f>'Green_rooibos initial weight'!A1092</f>
        <v>R184</v>
      </c>
      <c r="AA187" t="b">
        <f t="shared" si="115"/>
        <v>0</v>
      </c>
      <c r="AB187" t="b">
        <f t="shared" si="116"/>
        <v>0</v>
      </c>
      <c r="AE187" t="str">
        <f>'WetLitterbags placem_collection'!K186</f>
        <v>G669</v>
      </c>
      <c r="AF187" t="str">
        <f>'WetLitterbags placem_collection'!M186</f>
        <v>R541</v>
      </c>
      <c r="AG187" t="b">
        <f t="shared" si="117"/>
        <v>0</v>
      </c>
      <c r="AH187" t="b">
        <f t="shared" si="118"/>
        <v>0</v>
      </c>
      <c r="AJ187" t="b">
        <f t="shared" si="119"/>
        <v>0</v>
      </c>
      <c r="AK187" t="b">
        <f t="shared" si="120"/>
        <v>0</v>
      </c>
      <c r="AM187" t="str">
        <f>IF(ISBLANK('Dry_Litterbag Placem_Collection'!J186),"","G"&amp;""&amp;'Dry_Litterbag Placem_Collection'!J186)</f>
        <v>G235</v>
      </c>
      <c r="AN187" t="str">
        <f>IF(ISBLANK('Dry_Litterbag Placem_Collection'!K186),"","R"&amp;""&amp;'Dry_Litterbag Placem_Collection'!K186)</f>
        <v>R179</v>
      </c>
      <c r="AO187" t="b">
        <f t="shared" si="121"/>
        <v>0</v>
      </c>
      <c r="AP187" t="b">
        <f t="shared" si="122"/>
        <v>0</v>
      </c>
      <c r="AS187" t="str">
        <f>'Ashed teabags dry'!A185</f>
        <v>G35</v>
      </c>
      <c r="AT187" t="str">
        <f>'Ashed teabags dry'!A520</f>
        <v>R664</v>
      </c>
      <c r="AU187" t="b">
        <f t="shared" si="123"/>
        <v>0</v>
      </c>
      <c r="AV187" t="b">
        <f>COUNTIF($AT$4:$AT$2000, AT187)&gt;1</f>
        <v>0</v>
      </c>
      <c r="AX187" s="395" t="b">
        <f t="shared" si="124"/>
        <v>0</v>
      </c>
      <c r="AY187" s="395" t="b">
        <f t="shared" si="125"/>
        <v>0</v>
      </c>
      <c r="BA187" t="str">
        <f>'Ashed teabags wet'!A185</f>
        <v>G603</v>
      </c>
      <c r="BB187" t="str">
        <f>'Ashed teabags wet'!A605</f>
        <v>R382</v>
      </c>
      <c r="BC187" t="b">
        <f t="shared" si="126"/>
        <v>0</v>
      </c>
      <c r="BD187" t="b">
        <f t="shared" si="106"/>
        <v>0</v>
      </c>
      <c r="BF187" t="str">
        <f t="shared" si="127"/>
        <v>G349</v>
      </c>
      <c r="BG187" t="str">
        <f>T186</f>
        <v>G349</v>
      </c>
      <c r="BH187" t="str">
        <f t="shared" si="128"/>
        <v/>
      </c>
      <c r="BI187" t="str">
        <f t="shared" si="142"/>
        <v/>
      </c>
      <c r="BJ187" t="s">
        <v>1701</v>
      </c>
      <c r="BK187" t="s">
        <v>1701</v>
      </c>
      <c r="BL187" t="s">
        <v>1701</v>
      </c>
      <c r="BM187" t="b">
        <f t="shared" si="143"/>
        <v>1</v>
      </c>
      <c r="BN187" t="str">
        <f t="shared" si="129"/>
        <v>R663</v>
      </c>
      <c r="BO187" t="str">
        <f>U186</f>
        <v>R663</v>
      </c>
      <c r="BP187" t="str">
        <f t="shared" si="130"/>
        <v/>
      </c>
      <c r="BQ187" t="str">
        <f t="shared" si="131"/>
        <v/>
      </c>
      <c r="BR187" t="s">
        <v>476</v>
      </c>
      <c r="BS187" t="s">
        <v>475</v>
      </c>
      <c r="BT187" t="s">
        <v>476</v>
      </c>
      <c r="BU187" t="b">
        <f t="shared" si="144"/>
        <v>1</v>
      </c>
      <c r="BZ187" t="str">
        <f t="shared" si="132"/>
        <v/>
      </c>
      <c r="CA187" t="b">
        <f t="shared" si="133"/>
        <v>0</v>
      </c>
      <c r="CB187" t="str">
        <f t="shared" si="145"/>
        <v/>
      </c>
      <c r="CC187" t="str">
        <f t="shared" si="134"/>
        <v/>
      </c>
      <c r="CD187" t="b">
        <f t="shared" si="146"/>
        <v>0</v>
      </c>
      <c r="CE187" t="str">
        <f t="shared" si="147"/>
        <v/>
      </c>
      <c r="CG187" t="str">
        <f t="shared" si="135"/>
        <v>G602</v>
      </c>
      <c r="CH187" t="str">
        <f t="shared" si="148"/>
        <v>G602</v>
      </c>
      <c r="CI187" t="str">
        <f>AE186</f>
        <v>G585</v>
      </c>
      <c r="CJ187" t="str">
        <f t="shared" si="136"/>
        <v>G585</v>
      </c>
      <c r="CK187" t="s">
        <v>1448</v>
      </c>
      <c r="CL187" t="s">
        <v>1448</v>
      </c>
      <c r="CM187" t="s">
        <v>1448</v>
      </c>
      <c r="CN187" t="b">
        <f t="shared" si="149"/>
        <v>1</v>
      </c>
      <c r="CO187" t="str">
        <f t="shared" si="137"/>
        <v>R381</v>
      </c>
      <c r="CP187" t="str">
        <f t="shared" si="150"/>
        <v>R381</v>
      </c>
      <c r="CQ187" t="str">
        <f>AF186</f>
        <v>R568</v>
      </c>
      <c r="CR187" t="str">
        <f t="shared" si="138"/>
        <v>R568</v>
      </c>
      <c r="CS187" t="s">
        <v>760</v>
      </c>
      <c r="CT187" t="s">
        <v>760</v>
      </c>
      <c r="CU187" t="s">
        <v>760</v>
      </c>
      <c r="CV187" t="b">
        <f t="shared" si="151"/>
        <v>1</v>
      </c>
      <c r="DC187" t="str">
        <f t="shared" si="139"/>
        <v>G585</v>
      </c>
      <c r="DD187" t="b">
        <f t="shared" si="152"/>
        <v>0</v>
      </c>
      <c r="DE187" t="str">
        <f t="shared" si="153"/>
        <v>G585</v>
      </c>
      <c r="DF187" t="str">
        <f t="shared" si="140"/>
        <v>R568</v>
      </c>
      <c r="DG187" t="b">
        <f t="shared" si="154"/>
        <v>0</v>
      </c>
      <c r="DH187" t="str">
        <f t="shared" si="155"/>
        <v>R568</v>
      </c>
    </row>
    <row r="188" spans="2:112" ht="12" customHeight="1">
      <c r="B188" t="str">
        <f>TBIDry!H260</f>
        <v>G369</v>
      </c>
      <c r="C188" t="str">
        <f>TBIDry!I260</f>
        <v>R300</v>
      </c>
      <c r="D188" t="b">
        <f t="shared" si="107"/>
        <v>0</v>
      </c>
      <c r="E188" t="b">
        <f t="shared" si="108"/>
        <v>0</v>
      </c>
      <c r="G188" t="str">
        <f>TBIWet!H260</f>
        <v>G423</v>
      </c>
      <c r="H188" t="str">
        <f>TBIWet!I260</f>
        <v>R51</v>
      </c>
      <c r="I188" t="b">
        <f t="shared" si="109"/>
        <v>0</v>
      </c>
      <c r="J188" t="b">
        <f t="shared" si="110"/>
        <v>0</v>
      </c>
      <c r="L188" t="str">
        <f>'Both teabags AfterWet'!A186</f>
        <v>G604</v>
      </c>
      <c r="M188" t="str">
        <f>'Both teabags AfterWet'!A606</f>
        <v>R383</v>
      </c>
      <c r="N188" t="b">
        <f t="shared" si="111"/>
        <v>0</v>
      </c>
      <c r="O188" t="b">
        <f t="shared" si="156"/>
        <v>0</v>
      </c>
      <c r="Q188" s="395" t="b">
        <f t="shared" si="112"/>
        <v>0</v>
      </c>
      <c r="R188" s="395" t="b">
        <f t="shared" si="113"/>
        <v>0</v>
      </c>
      <c r="T188" t="str">
        <f>'Both teabags AfterDry'!A186</f>
        <v>G350</v>
      </c>
      <c r="U188" t="str">
        <f>'Both teabags AfterDry'!A521</f>
        <v>R665</v>
      </c>
      <c r="V188" t="b">
        <f t="shared" si="114"/>
        <v>0</v>
      </c>
      <c r="W188" t="b">
        <f t="shared" si="141"/>
        <v>0</v>
      </c>
      <c r="Y188" t="str">
        <f>'Green_rooibos initial weight'!A189</f>
        <v>G185</v>
      </c>
      <c r="Z188" t="str">
        <f>'Green_rooibos initial weight'!A1093</f>
        <v>R185</v>
      </c>
      <c r="AA188" t="b">
        <f t="shared" si="115"/>
        <v>0</v>
      </c>
      <c r="AB188" t="b">
        <f t="shared" si="116"/>
        <v>0</v>
      </c>
      <c r="AE188" t="str">
        <f>'WetLitterbags placem_collection'!K187</f>
        <v>G423</v>
      </c>
      <c r="AF188" t="str">
        <f>'WetLitterbags placem_collection'!M187</f>
        <v>R51</v>
      </c>
      <c r="AG188" t="b">
        <f t="shared" si="117"/>
        <v>0</v>
      </c>
      <c r="AH188" t="b">
        <f t="shared" si="118"/>
        <v>0</v>
      </c>
      <c r="AJ188" t="b">
        <f t="shared" si="119"/>
        <v>0</v>
      </c>
      <c r="AK188" t="b">
        <f t="shared" si="120"/>
        <v>0</v>
      </c>
      <c r="AM188" t="str">
        <f>IF(ISBLANK('Dry_Litterbag Placem_Collection'!J187),"","G"&amp;""&amp;'Dry_Litterbag Placem_Collection'!J187)</f>
        <v>G369</v>
      </c>
      <c r="AN188" t="str">
        <f>IF(ISBLANK('Dry_Litterbag Placem_Collection'!K187),"","R"&amp;""&amp;'Dry_Litterbag Placem_Collection'!K187)</f>
        <v>R300</v>
      </c>
      <c r="AO188" t="b">
        <f t="shared" si="121"/>
        <v>0</v>
      </c>
      <c r="AP188" t="b">
        <f t="shared" si="122"/>
        <v>0</v>
      </c>
      <c r="AS188" t="str">
        <f>'Ashed teabags dry'!A186</f>
        <v>G350</v>
      </c>
      <c r="AT188" t="str">
        <f>'Ashed teabags dry'!A521</f>
        <v>R665</v>
      </c>
      <c r="AU188" t="b">
        <f t="shared" si="123"/>
        <v>0</v>
      </c>
      <c r="AV188" t="b">
        <f>COUNTIF($AT$4:$AT$2000, AT188)&gt;1</f>
        <v>0</v>
      </c>
      <c r="AX188" s="395" t="b">
        <f t="shared" si="124"/>
        <v>0</v>
      </c>
      <c r="AY188" s="395" t="b">
        <f t="shared" si="125"/>
        <v>0</v>
      </c>
      <c r="BA188" t="str">
        <f>'Ashed teabags wet'!A186</f>
        <v>G604</v>
      </c>
      <c r="BB188" t="str">
        <f>'Ashed teabags wet'!A606</f>
        <v>R383</v>
      </c>
      <c r="BC188" t="b">
        <f t="shared" si="126"/>
        <v>0</v>
      </c>
      <c r="BD188" t="b">
        <f t="shared" si="106"/>
        <v>0</v>
      </c>
      <c r="BF188" t="str">
        <f t="shared" si="127"/>
        <v>G35</v>
      </c>
      <c r="BG188" t="str">
        <f>T187</f>
        <v>G35</v>
      </c>
      <c r="BH188" t="str">
        <f t="shared" si="128"/>
        <v>G235</v>
      </c>
      <c r="BI188" t="str">
        <f t="shared" si="142"/>
        <v>G235</v>
      </c>
      <c r="BJ188" t="s">
        <v>2015</v>
      </c>
      <c r="BK188" t="s">
        <v>2015</v>
      </c>
      <c r="BL188" t="s">
        <v>2015</v>
      </c>
      <c r="BM188" t="b">
        <f t="shared" si="143"/>
        <v>1</v>
      </c>
      <c r="BN188" t="str">
        <f t="shared" si="129"/>
        <v>R664</v>
      </c>
      <c r="BO188" t="str">
        <f>U187</f>
        <v>R664</v>
      </c>
      <c r="BP188" t="str">
        <f t="shared" si="130"/>
        <v>R179</v>
      </c>
      <c r="BQ188" t="str">
        <f t="shared" si="131"/>
        <v>R179</v>
      </c>
      <c r="BR188" t="s">
        <v>475</v>
      </c>
      <c r="BS188" t="s">
        <v>474</v>
      </c>
      <c r="BT188" t="s">
        <v>475</v>
      </c>
      <c r="BU188" t="b">
        <f t="shared" si="144"/>
        <v>1</v>
      </c>
      <c r="BZ188" t="str">
        <f t="shared" si="132"/>
        <v>G235</v>
      </c>
      <c r="CA188" t="b">
        <f t="shared" si="133"/>
        <v>0</v>
      </c>
      <c r="CB188" t="str">
        <f t="shared" si="145"/>
        <v>G235</v>
      </c>
      <c r="CC188" t="str">
        <f t="shared" si="134"/>
        <v>R179</v>
      </c>
      <c r="CD188" t="b">
        <f t="shared" si="146"/>
        <v>0</v>
      </c>
      <c r="CE188" t="str">
        <f t="shared" si="147"/>
        <v>R179</v>
      </c>
      <c r="CG188" t="str">
        <f t="shared" si="135"/>
        <v>G603</v>
      </c>
      <c r="CH188" t="str">
        <f t="shared" si="148"/>
        <v>G603</v>
      </c>
      <c r="CI188" t="str">
        <f>AE187</f>
        <v>G669</v>
      </c>
      <c r="CJ188" t="str">
        <f t="shared" si="136"/>
        <v>G669</v>
      </c>
      <c r="CK188" t="s">
        <v>1447</v>
      </c>
      <c r="CL188" t="s">
        <v>1447</v>
      </c>
      <c r="CM188" t="s">
        <v>1447</v>
      </c>
      <c r="CN188" t="b">
        <f t="shared" si="149"/>
        <v>1</v>
      </c>
      <c r="CO188" t="str">
        <f t="shared" si="137"/>
        <v>R382</v>
      </c>
      <c r="CP188" t="str">
        <f t="shared" si="150"/>
        <v>R382</v>
      </c>
      <c r="CQ188" t="str">
        <f>AF187</f>
        <v>R541</v>
      </c>
      <c r="CR188" t="str">
        <f t="shared" si="138"/>
        <v>R541</v>
      </c>
      <c r="CS188" t="s">
        <v>759</v>
      </c>
      <c r="CT188" t="s">
        <v>759</v>
      </c>
      <c r="CU188" t="s">
        <v>759</v>
      </c>
      <c r="CV188" t="b">
        <f t="shared" si="151"/>
        <v>1</v>
      </c>
      <c r="DC188" t="str">
        <f t="shared" si="139"/>
        <v>G669</v>
      </c>
      <c r="DD188" t="b">
        <f t="shared" si="152"/>
        <v>0</v>
      </c>
      <c r="DE188" t="str">
        <f t="shared" si="153"/>
        <v>G669</v>
      </c>
      <c r="DF188" t="str">
        <f t="shared" si="140"/>
        <v>R541</v>
      </c>
      <c r="DG188" t="b">
        <f t="shared" si="154"/>
        <v>0</v>
      </c>
      <c r="DH188" t="str">
        <f t="shared" si="155"/>
        <v>R541</v>
      </c>
    </row>
    <row r="189" spans="2:112" ht="12" customHeight="1">
      <c r="B189" t="str">
        <f>TBIDry!H261</f>
        <v>G295</v>
      </c>
      <c r="C189" t="str">
        <f>TBIDry!I261</f>
        <v>R717</v>
      </c>
      <c r="D189" t="b">
        <f t="shared" si="107"/>
        <v>0</v>
      </c>
      <c r="E189" t="b">
        <f t="shared" si="108"/>
        <v>0</v>
      </c>
      <c r="G189" t="str">
        <f>TBIWet!H261</f>
        <v>G544</v>
      </c>
      <c r="H189" t="str">
        <f>TBIWet!I261</f>
        <v>R557</v>
      </c>
      <c r="I189" t="b">
        <f t="shared" si="109"/>
        <v>0</v>
      </c>
      <c r="J189" t="b">
        <f t="shared" si="110"/>
        <v>0</v>
      </c>
      <c r="L189" t="str">
        <f>'Both teabags AfterWet'!A187</f>
        <v>G605</v>
      </c>
      <c r="M189" t="str">
        <f>'Both teabags AfterWet'!A607</f>
        <v>R384</v>
      </c>
      <c r="N189" t="b">
        <f t="shared" si="111"/>
        <v>0</v>
      </c>
      <c r="O189" t="b">
        <f t="shared" si="156"/>
        <v>0</v>
      </c>
      <c r="Q189" s="395" t="b">
        <f t="shared" si="112"/>
        <v>0</v>
      </c>
      <c r="R189" s="395" t="b">
        <f t="shared" si="113"/>
        <v>0</v>
      </c>
      <c r="T189" t="str">
        <f>'Both teabags AfterDry'!A187</f>
        <v>G353</v>
      </c>
      <c r="U189" t="str">
        <f>'Both teabags AfterDry'!A522</f>
        <v>R667</v>
      </c>
      <c r="V189" t="b">
        <f t="shared" si="114"/>
        <v>0</v>
      </c>
      <c r="W189" t="b">
        <f t="shared" si="141"/>
        <v>0</v>
      </c>
      <c r="Y189" t="str">
        <f>'Green_rooibos initial weight'!A190</f>
        <v>G186</v>
      </c>
      <c r="Z189" t="str">
        <f>'Green_rooibos initial weight'!A1094</f>
        <v>R186</v>
      </c>
      <c r="AA189" t="b">
        <f t="shared" si="115"/>
        <v>0</v>
      </c>
      <c r="AB189" t="b">
        <f t="shared" si="116"/>
        <v>0</v>
      </c>
      <c r="AE189" t="str">
        <f>'WetLitterbags placem_collection'!K188</f>
        <v>G544</v>
      </c>
      <c r="AF189" t="str">
        <f>'WetLitterbags placem_collection'!M188</f>
        <v>R557</v>
      </c>
      <c r="AG189" t="b">
        <f t="shared" si="117"/>
        <v>0</v>
      </c>
      <c r="AH189" t="b">
        <f t="shared" si="118"/>
        <v>0</v>
      </c>
      <c r="AJ189" t="b">
        <f t="shared" si="119"/>
        <v>0</v>
      </c>
      <c r="AK189" t="b">
        <f t="shared" si="120"/>
        <v>0</v>
      </c>
      <c r="AM189" t="str">
        <f>IF(ISBLANK('Dry_Litterbag Placem_Collection'!J188),"","G"&amp;""&amp;'Dry_Litterbag Placem_Collection'!J188)</f>
        <v>G295</v>
      </c>
      <c r="AN189" t="str">
        <f>IF(ISBLANK('Dry_Litterbag Placem_Collection'!K188),"","R"&amp;""&amp;'Dry_Litterbag Placem_Collection'!K188)</f>
        <v>R717</v>
      </c>
      <c r="AO189" t="b">
        <f t="shared" si="121"/>
        <v>0</v>
      </c>
      <c r="AP189" t="b">
        <f t="shared" si="122"/>
        <v>0</v>
      </c>
      <c r="AS189" t="str">
        <f>'Ashed teabags dry'!A187</f>
        <v>G353</v>
      </c>
      <c r="AT189" t="str">
        <f>'Ashed teabags dry'!A522</f>
        <v>R667</v>
      </c>
      <c r="AU189" t="b">
        <f t="shared" si="123"/>
        <v>0</v>
      </c>
      <c r="AV189" t="b">
        <f>COUNTIF($AT$4:$AT$2000, AT189)&gt;1</f>
        <v>0</v>
      </c>
      <c r="AX189" s="395" t="b">
        <f t="shared" si="124"/>
        <v>0</v>
      </c>
      <c r="AY189" s="395" t="b">
        <f t="shared" si="125"/>
        <v>0</v>
      </c>
      <c r="BA189" t="str">
        <f>'Ashed teabags wet'!A187</f>
        <v>G605</v>
      </c>
      <c r="BB189" t="str">
        <f>'Ashed teabags wet'!A607</f>
        <v>R384</v>
      </c>
      <c r="BC189" t="b">
        <f t="shared" si="126"/>
        <v>0</v>
      </c>
      <c r="BD189" t="b">
        <f t="shared" si="106"/>
        <v>0</v>
      </c>
      <c r="BF189" t="str">
        <f t="shared" si="127"/>
        <v>G350</v>
      </c>
      <c r="BG189" t="str">
        <f>T188</f>
        <v>G350</v>
      </c>
      <c r="BH189" t="str">
        <f t="shared" si="128"/>
        <v>G369</v>
      </c>
      <c r="BI189" t="str">
        <f t="shared" si="142"/>
        <v/>
      </c>
      <c r="BJ189" t="s">
        <v>1700</v>
      </c>
      <c r="BK189" t="s">
        <v>1700</v>
      </c>
      <c r="BL189" t="s">
        <v>1700</v>
      </c>
      <c r="BM189" t="b">
        <f t="shared" si="143"/>
        <v>1</v>
      </c>
      <c r="BN189" t="str">
        <f t="shared" si="129"/>
        <v>R665</v>
      </c>
      <c r="BO189" t="str">
        <f>U188</f>
        <v>R665</v>
      </c>
      <c r="BP189" t="str">
        <f t="shared" si="130"/>
        <v>R300</v>
      </c>
      <c r="BQ189" t="str">
        <f t="shared" si="131"/>
        <v/>
      </c>
      <c r="BR189" t="s">
        <v>474</v>
      </c>
      <c r="BS189" t="s">
        <v>472</v>
      </c>
      <c r="BT189" t="s">
        <v>474</v>
      </c>
      <c r="BU189" t="b">
        <f t="shared" si="144"/>
        <v>1</v>
      </c>
      <c r="BZ189" t="str">
        <f t="shared" si="132"/>
        <v>G369</v>
      </c>
      <c r="CA189" t="b">
        <f t="shared" si="133"/>
        <v>1</v>
      </c>
      <c r="CB189" t="str">
        <f t="shared" si="145"/>
        <v/>
      </c>
      <c r="CC189" t="str">
        <f t="shared" si="134"/>
        <v>R300</v>
      </c>
      <c r="CD189" t="b">
        <f t="shared" si="146"/>
        <v>1</v>
      </c>
      <c r="CE189" t="str">
        <f t="shared" si="147"/>
        <v/>
      </c>
      <c r="CG189" t="str">
        <f t="shared" si="135"/>
        <v>G604</v>
      </c>
      <c r="CH189" t="str">
        <f t="shared" si="148"/>
        <v>G604</v>
      </c>
      <c r="CI189" t="str">
        <f>AE188</f>
        <v>G423</v>
      </c>
      <c r="CJ189" t="str">
        <f t="shared" si="136"/>
        <v>G423</v>
      </c>
      <c r="CK189" t="s">
        <v>1446</v>
      </c>
      <c r="CL189" t="s">
        <v>1446</v>
      </c>
      <c r="CM189" t="s">
        <v>1446</v>
      </c>
      <c r="CN189" t="b">
        <f t="shared" si="149"/>
        <v>1</v>
      </c>
      <c r="CO189" t="str">
        <f t="shared" si="137"/>
        <v>R383</v>
      </c>
      <c r="CP189" t="str">
        <f t="shared" si="150"/>
        <v>R383</v>
      </c>
      <c r="CQ189" t="str">
        <f>AF188</f>
        <v>R51</v>
      </c>
      <c r="CR189" t="str">
        <f t="shared" si="138"/>
        <v>R51</v>
      </c>
      <c r="CS189" t="s">
        <v>758</v>
      </c>
      <c r="CT189" t="s">
        <v>758</v>
      </c>
      <c r="CU189" t="s">
        <v>758</v>
      </c>
      <c r="CV189" t="b">
        <f t="shared" si="151"/>
        <v>1</v>
      </c>
      <c r="DC189" t="str">
        <f t="shared" si="139"/>
        <v>G423</v>
      </c>
      <c r="DD189" t="b">
        <f t="shared" si="152"/>
        <v>0</v>
      </c>
      <c r="DE189" t="str">
        <f t="shared" si="153"/>
        <v>G423</v>
      </c>
      <c r="DF189" t="str">
        <f t="shared" si="140"/>
        <v>R51</v>
      </c>
      <c r="DG189" t="b">
        <f t="shared" si="154"/>
        <v>0</v>
      </c>
      <c r="DH189" t="str">
        <f t="shared" si="155"/>
        <v>R51</v>
      </c>
    </row>
    <row r="190" spans="2:112" ht="12" customHeight="1">
      <c r="B190" t="str">
        <f>TBIDry!H262</f>
        <v>G242</v>
      </c>
      <c r="C190" t="str">
        <f>TBIDry!I262</f>
        <v>R759</v>
      </c>
      <c r="D190" t="b">
        <f t="shared" si="107"/>
        <v>0</v>
      </c>
      <c r="E190" t="b">
        <f t="shared" si="108"/>
        <v>0</v>
      </c>
      <c r="G190" t="str">
        <f>TBIWet!H262</f>
        <v>G620</v>
      </c>
      <c r="H190" t="str">
        <f>TBIWet!I262</f>
        <v>R427</v>
      </c>
      <c r="I190" t="b">
        <f t="shared" si="109"/>
        <v>0</v>
      </c>
      <c r="J190" t="b">
        <f t="shared" si="110"/>
        <v>0</v>
      </c>
      <c r="L190" t="str">
        <f>'Both teabags AfterWet'!A188</f>
        <v>G606</v>
      </c>
      <c r="M190" t="str">
        <f>'Both teabags AfterWet'!A608</f>
        <v>R386</v>
      </c>
      <c r="N190" t="b">
        <f t="shared" si="111"/>
        <v>0</v>
      </c>
      <c r="O190" t="b">
        <f t="shared" si="156"/>
        <v>0</v>
      </c>
      <c r="Q190" s="395" t="b">
        <f t="shared" si="112"/>
        <v>0</v>
      </c>
      <c r="R190" s="395" t="b">
        <f t="shared" si="113"/>
        <v>0</v>
      </c>
      <c r="T190" t="str">
        <f>'Both teabags AfterDry'!A188</f>
        <v>G356</v>
      </c>
      <c r="U190" t="str">
        <f>'Both teabags AfterDry'!A523</f>
        <v>R669</v>
      </c>
      <c r="V190" t="b">
        <f t="shared" si="114"/>
        <v>0</v>
      </c>
      <c r="W190" t="b">
        <f t="shared" si="141"/>
        <v>0</v>
      </c>
      <c r="Y190" t="str">
        <f>'Green_rooibos initial weight'!A191</f>
        <v>G187</v>
      </c>
      <c r="Z190" t="str">
        <f>'Green_rooibos initial weight'!A1095</f>
        <v>R187</v>
      </c>
      <c r="AA190" t="b">
        <f t="shared" si="115"/>
        <v>0</v>
      </c>
      <c r="AB190" t="b">
        <f t="shared" si="116"/>
        <v>0</v>
      </c>
      <c r="AE190" t="str">
        <f>'WetLitterbags placem_collection'!K189</f>
        <v>G620</v>
      </c>
      <c r="AF190" t="str">
        <f>'WetLitterbags placem_collection'!M189</f>
        <v>R427</v>
      </c>
      <c r="AG190" t="b">
        <f t="shared" si="117"/>
        <v>0</v>
      </c>
      <c r="AH190" t="b">
        <f t="shared" si="118"/>
        <v>0</v>
      </c>
      <c r="AJ190" t="b">
        <f t="shared" si="119"/>
        <v>0</v>
      </c>
      <c r="AK190" t="b">
        <f t="shared" si="120"/>
        <v>0</v>
      </c>
      <c r="AM190" t="str">
        <f>IF(ISBLANK('Dry_Litterbag Placem_Collection'!J189),"","G"&amp;""&amp;'Dry_Litterbag Placem_Collection'!J189)</f>
        <v>G242</v>
      </c>
      <c r="AN190" t="str">
        <f>IF(ISBLANK('Dry_Litterbag Placem_Collection'!K189),"","R"&amp;""&amp;'Dry_Litterbag Placem_Collection'!K189)</f>
        <v>R759</v>
      </c>
      <c r="AO190" t="b">
        <f t="shared" si="121"/>
        <v>0</v>
      </c>
      <c r="AP190" t="b">
        <f t="shared" si="122"/>
        <v>0</v>
      </c>
      <c r="AS190" t="str">
        <f>'Ashed teabags dry'!A188</f>
        <v>G356</v>
      </c>
      <c r="AT190" t="str">
        <f>'Ashed teabags dry'!A523</f>
        <v>R669</v>
      </c>
      <c r="AU190" t="b">
        <f t="shared" si="123"/>
        <v>0</v>
      </c>
      <c r="AV190" t="b">
        <f>COUNTIF($AT$4:$AT$2000, AT190)&gt;1</f>
        <v>0</v>
      </c>
      <c r="AX190" s="395" t="b">
        <f t="shared" si="124"/>
        <v>0</v>
      </c>
      <c r="AY190" s="395" t="b">
        <f t="shared" si="125"/>
        <v>0</v>
      </c>
      <c r="BA190" t="str">
        <f>'Ashed teabags wet'!A188</f>
        <v>G606</v>
      </c>
      <c r="BB190" t="str">
        <f>'Ashed teabags wet'!A608</f>
        <v>R386</v>
      </c>
      <c r="BC190" t="b">
        <f t="shared" si="126"/>
        <v>0</v>
      </c>
      <c r="BD190" t="b">
        <f t="shared" si="106"/>
        <v>0</v>
      </c>
      <c r="BF190" t="str">
        <f t="shared" si="127"/>
        <v>G353</v>
      </c>
      <c r="BG190" t="str">
        <f>T189</f>
        <v>G353</v>
      </c>
      <c r="BH190" t="str">
        <f t="shared" si="128"/>
        <v>G295</v>
      </c>
      <c r="BI190" t="str">
        <f t="shared" si="142"/>
        <v>G295</v>
      </c>
      <c r="BJ190" t="s">
        <v>1697</v>
      </c>
      <c r="BK190" t="s">
        <v>1697</v>
      </c>
      <c r="BL190" t="s">
        <v>1697</v>
      </c>
      <c r="BM190" t="b">
        <f t="shared" si="143"/>
        <v>1</v>
      </c>
      <c r="BN190" t="str">
        <f t="shared" si="129"/>
        <v>R667</v>
      </c>
      <c r="BO190" t="str">
        <f>U189</f>
        <v>R667</v>
      </c>
      <c r="BP190" t="str">
        <f t="shared" si="130"/>
        <v>R717</v>
      </c>
      <c r="BQ190" t="str">
        <f t="shared" si="131"/>
        <v>R717</v>
      </c>
      <c r="BR190" t="s">
        <v>472</v>
      </c>
      <c r="BS190" t="s">
        <v>470</v>
      </c>
      <c r="BT190" t="s">
        <v>472</v>
      </c>
      <c r="BU190" t="b">
        <f t="shared" si="144"/>
        <v>1</v>
      </c>
      <c r="BZ190" t="str">
        <f t="shared" si="132"/>
        <v>G295</v>
      </c>
      <c r="CA190" t="b">
        <f t="shared" si="133"/>
        <v>0</v>
      </c>
      <c r="CB190" t="str">
        <f t="shared" si="145"/>
        <v>G295</v>
      </c>
      <c r="CC190" t="str">
        <f t="shared" si="134"/>
        <v>R717</v>
      </c>
      <c r="CD190" t="b">
        <f t="shared" si="146"/>
        <v>0</v>
      </c>
      <c r="CE190" t="str">
        <f t="shared" si="147"/>
        <v>R717</v>
      </c>
      <c r="CG190" t="str">
        <f t="shared" si="135"/>
        <v>G605</v>
      </c>
      <c r="CH190" t="str">
        <f t="shared" si="148"/>
        <v>G605</v>
      </c>
      <c r="CI190" t="str">
        <f>AE189</f>
        <v>G544</v>
      </c>
      <c r="CJ190" t="str">
        <f t="shared" si="136"/>
        <v>G544</v>
      </c>
      <c r="CK190" t="s">
        <v>1445</v>
      </c>
      <c r="CL190" t="s">
        <v>1445</v>
      </c>
      <c r="CM190" t="s">
        <v>1445</v>
      </c>
      <c r="CN190" t="b">
        <f t="shared" si="149"/>
        <v>1</v>
      </c>
      <c r="CO190" t="str">
        <f t="shared" si="137"/>
        <v>R384</v>
      </c>
      <c r="CP190" t="str">
        <f t="shared" si="150"/>
        <v>R384</v>
      </c>
      <c r="CQ190" t="str">
        <f>AF189</f>
        <v>R557</v>
      </c>
      <c r="CR190" t="str">
        <f t="shared" si="138"/>
        <v>R557</v>
      </c>
      <c r="CS190" t="s">
        <v>757</v>
      </c>
      <c r="CT190" t="s">
        <v>757</v>
      </c>
      <c r="CU190" t="s">
        <v>757</v>
      </c>
      <c r="CV190" t="b">
        <f t="shared" si="151"/>
        <v>1</v>
      </c>
      <c r="DC190" t="str">
        <f t="shared" si="139"/>
        <v>G544</v>
      </c>
      <c r="DD190" t="b">
        <f t="shared" si="152"/>
        <v>0</v>
      </c>
      <c r="DE190" t="str">
        <f t="shared" si="153"/>
        <v>G544</v>
      </c>
      <c r="DF190" t="str">
        <f t="shared" si="140"/>
        <v>R557</v>
      </c>
      <c r="DG190" t="b">
        <f t="shared" si="154"/>
        <v>0</v>
      </c>
      <c r="DH190" t="str">
        <f t="shared" si="155"/>
        <v>R557</v>
      </c>
    </row>
    <row r="191" spans="2:112" ht="12" customHeight="1">
      <c r="B191" t="str">
        <f>TBIDry!H263</f>
        <v>G146</v>
      </c>
      <c r="C191" t="str">
        <f>TBIDry!I263</f>
        <v>R357</v>
      </c>
      <c r="D191" t="b">
        <f t="shared" si="107"/>
        <v>0</v>
      </c>
      <c r="E191" t="b">
        <f t="shared" si="108"/>
        <v>0</v>
      </c>
      <c r="G191" t="str">
        <f>TBIWet!H263</f>
        <v>G420</v>
      </c>
      <c r="H191" t="str">
        <f>TBIWet!I263</f>
        <v>R523</v>
      </c>
      <c r="I191" t="b">
        <f t="shared" si="109"/>
        <v>0</v>
      </c>
      <c r="J191" t="b">
        <f t="shared" si="110"/>
        <v>0</v>
      </c>
      <c r="L191" t="str">
        <f>'Both teabags AfterWet'!A189</f>
        <v>G607</v>
      </c>
      <c r="M191" t="str">
        <f>'Both teabags AfterWet'!A609</f>
        <v>R387</v>
      </c>
      <c r="N191" t="b">
        <f t="shared" si="111"/>
        <v>0</v>
      </c>
      <c r="O191" t="b">
        <f t="shared" si="156"/>
        <v>0</v>
      </c>
      <c r="Q191" s="395" t="b">
        <f t="shared" si="112"/>
        <v>0</v>
      </c>
      <c r="R191" s="395" t="b">
        <f t="shared" si="113"/>
        <v>0</v>
      </c>
      <c r="T191" t="str">
        <f>'Both teabags AfterDry'!A189</f>
        <v>G357</v>
      </c>
      <c r="U191" t="str">
        <f>'Both teabags AfterDry'!A524</f>
        <v>R670</v>
      </c>
      <c r="V191" t="b">
        <f t="shared" si="114"/>
        <v>0</v>
      </c>
      <c r="W191" t="b">
        <f t="shared" si="141"/>
        <v>0</v>
      </c>
      <c r="Y191" t="str">
        <f>'Green_rooibos initial weight'!A192</f>
        <v>G188</v>
      </c>
      <c r="Z191" t="str">
        <f>'Green_rooibos initial weight'!A1096</f>
        <v>R188</v>
      </c>
      <c r="AA191" t="b">
        <f t="shared" si="115"/>
        <v>0</v>
      </c>
      <c r="AB191" t="b">
        <f t="shared" si="116"/>
        <v>0</v>
      </c>
      <c r="AE191" t="str">
        <f>'WetLitterbags placem_collection'!K190</f>
        <v>G420</v>
      </c>
      <c r="AF191" t="str">
        <f>'WetLitterbags placem_collection'!M190</f>
        <v>R523</v>
      </c>
      <c r="AG191" t="b">
        <f t="shared" si="117"/>
        <v>0</v>
      </c>
      <c r="AH191" t="b">
        <f t="shared" si="118"/>
        <v>0</v>
      </c>
      <c r="AJ191" t="b">
        <f t="shared" si="119"/>
        <v>0</v>
      </c>
      <c r="AK191" t="b">
        <f t="shared" si="120"/>
        <v>0</v>
      </c>
      <c r="AM191" t="str">
        <f>IF(ISBLANK('Dry_Litterbag Placem_Collection'!J190),"","G"&amp;""&amp;'Dry_Litterbag Placem_Collection'!J190)</f>
        <v>G146</v>
      </c>
      <c r="AN191" t="str">
        <f>IF(ISBLANK('Dry_Litterbag Placem_Collection'!K190),"","R"&amp;""&amp;'Dry_Litterbag Placem_Collection'!K190)</f>
        <v>R357</v>
      </c>
      <c r="AO191" t="b">
        <f t="shared" si="121"/>
        <v>0</v>
      </c>
      <c r="AP191" t="b">
        <f t="shared" si="122"/>
        <v>0</v>
      </c>
      <c r="AS191" t="str">
        <f>'Ashed teabags dry'!A189</f>
        <v>G357</v>
      </c>
      <c r="AT191" t="str">
        <f>'Ashed teabags dry'!A524</f>
        <v>R670</v>
      </c>
      <c r="AU191" t="b">
        <f t="shared" si="123"/>
        <v>0</v>
      </c>
      <c r="AV191" t="b">
        <f>COUNTIF($AT$4:$AT$2000, AT191)&gt;1</f>
        <v>0</v>
      </c>
      <c r="AX191" s="395" t="b">
        <f t="shared" si="124"/>
        <v>0</v>
      </c>
      <c r="AY191" s="395" t="b">
        <f t="shared" si="125"/>
        <v>0</v>
      </c>
      <c r="BA191" t="str">
        <f>'Ashed teabags wet'!A189</f>
        <v>G607</v>
      </c>
      <c r="BB191" t="str">
        <f>'Ashed teabags wet'!A609</f>
        <v>R387</v>
      </c>
      <c r="BC191" t="b">
        <f t="shared" si="126"/>
        <v>0</v>
      </c>
      <c r="BD191" t="b">
        <f t="shared" si="106"/>
        <v>0</v>
      </c>
      <c r="BF191" t="str">
        <f t="shared" si="127"/>
        <v>G356</v>
      </c>
      <c r="BG191" t="str">
        <f>T190</f>
        <v>G356</v>
      </c>
      <c r="BH191" t="str">
        <f t="shared" si="128"/>
        <v>G242</v>
      </c>
      <c r="BI191" t="str">
        <f t="shared" si="142"/>
        <v>G242</v>
      </c>
      <c r="BJ191" t="s">
        <v>1694</v>
      </c>
      <c r="BK191" t="s">
        <v>1694</v>
      </c>
      <c r="BL191" t="s">
        <v>1694</v>
      </c>
      <c r="BM191" t="b">
        <f t="shared" si="143"/>
        <v>1</v>
      </c>
      <c r="BN191" t="str">
        <f t="shared" si="129"/>
        <v>R669</v>
      </c>
      <c r="BO191" t="str">
        <f>U190</f>
        <v>R669</v>
      </c>
      <c r="BP191" t="str">
        <f t="shared" si="130"/>
        <v>R759</v>
      </c>
      <c r="BQ191" t="str">
        <f t="shared" si="131"/>
        <v>R759</v>
      </c>
      <c r="BR191" t="s">
        <v>470</v>
      </c>
      <c r="BS191" t="s">
        <v>469</v>
      </c>
      <c r="BT191" t="s">
        <v>470</v>
      </c>
      <c r="BU191" t="b">
        <f t="shared" si="144"/>
        <v>1</v>
      </c>
      <c r="BZ191" t="str">
        <f t="shared" si="132"/>
        <v>G242</v>
      </c>
      <c r="CA191" t="b">
        <f t="shared" si="133"/>
        <v>0</v>
      </c>
      <c r="CB191" t="str">
        <f t="shared" si="145"/>
        <v>G242</v>
      </c>
      <c r="CC191" t="str">
        <f t="shared" si="134"/>
        <v>R759</v>
      </c>
      <c r="CD191" t="b">
        <f t="shared" si="146"/>
        <v>0</v>
      </c>
      <c r="CE191" t="str">
        <f t="shared" si="147"/>
        <v>R759</v>
      </c>
      <c r="CG191" t="str">
        <f t="shared" si="135"/>
        <v>G606</v>
      </c>
      <c r="CH191" t="str">
        <f t="shared" si="148"/>
        <v>G606</v>
      </c>
      <c r="CI191" t="str">
        <f>AE190</f>
        <v>G620</v>
      </c>
      <c r="CJ191" t="str">
        <f t="shared" si="136"/>
        <v>G620</v>
      </c>
      <c r="CK191" t="s">
        <v>1444</v>
      </c>
      <c r="CL191" t="s">
        <v>1444</v>
      </c>
      <c r="CM191" t="s">
        <v>1444</v>
      </c>
      <c r="CN191" t="b">
        <f t="shared" si="149"/>
        <v>1</v>
      </c>
      <c r="CO191" t="str">
        <f t="shared" si="137"/>
        <v>R386</v>
      </c>
      <c r="CP191" t="str">
        <f t="shared" si="150"/>
        <v>R386</v>
      </c>
      <c r="CQ191" t="str">
        <f>AF190</f>
        <v>R427</v>
      </c>
      <c r="CR191" t="str">
        <f t="shared" si="138"/>
        <v>R427</v>
      </c>
      <c r="CS191" t="s">
        <v>755</v>
      </c>
      <c r="CT191" t="s">
        <v>755</v>
      </c>
      <c r="CU191" t="s">
        <v>755</v>
      </c>
      <c r="CV191" t="b">
        <f t="shared" si="151"/>
        <v>1</v>
      </c>
      <c r="DC191" t="str">
        <f t="shared" si="139"/>
        <v>G620</v>
      </c>
      <c r="DD191" t="b">
        <f t="shared" si="152"/>
        <v>0</v>
      </c>
      <c r="DE191" t="str">
        <f t="shared" si="153"/>
        <v>G620</v>
      </c>
      <c r="DF191" t="str">
        <f t="shared" si="140"/>
        <v>R427</v>
      </c>
      <c r="DG191" t="b">
        <f t="shared" si="154"/>
        <v>0</v>
      </c>
      <c r="DH191" t="str">
        <f t="shared" si="155"/>
        <v>R427</v>
      </c>
    </row>
    <row r="192" spans="2:112" ht="12" customHeight="1">
      <c r="B192" t="str">
        <f>TBIDry!H264</f>
        <v>G144</v>
      </c>
      <c r="C192" t="str">
        <f>TBIDry!I264</f>
        <v>R18</v>
      </c>
      <c r="D192" t="b">
        <f t="shared" si="107"/>
        <v>0</v>
      </c>
      <c r="E192" t="b">
        <f t="shared" si="108"/>
        <v>0</v>
      </c>
      <c r="G192" t="str">
        <f>TBIWet!H264</f>
        <v>G367</v>
      </c>
      <c r="H192" t="str">
        <f>TBIWet!I264</f>
        <v>R354</v>
      </c>
      <c r="I192" t="b">
        <f t="shared" si="109"/>
        <v>0</v>
      </c>
      <c r="J192" t="b">
        <f t="shared" si="110"/>
        <v>0</v>
      </c>
      <c r="L192" t="str">
        <f>'Both teabags AfterWet'!A190</f>
        <v>G608</v>
      </c>
      <c r="M192" t="str">
        <f>'Both teabags AfterWet'!A610</f>
        <v>R39</v>
      </c>
      <c r="N192" t="b">
        <f t="shared" si="111"/>
        <v>0</v>
      </c>
      <c r="O192" t="b">
        <f t="shared" si="156"/>
        <v>0</v>
      </c>
      <c r="Q192" s="395" t="b">
        <f t="shared" si="112"/>
        <v>0</v>
      </c>
      <c r="R192" s="395" t="b">
        <f t="shared" si="113"/>
        <v>0</v>
      </c>
      <c r="T192" t="str">
        <f>'Both teabags AfterDry'!A190</f>
        <v>G36</v>
      </c>
      <c r="U192" t="str">
        <f>'Both teabags AfterDry'!A525</f>
        <v>R671</v>
      </c>
      <c r="V192" t="b">
        <f t="shared" si="114"/>
        <v>0</v>
      </c>
      <c r="W192" t="b">
        <f t="shared" si="141"/>
        <v>0</v>
      </c>
      <c r="Y192" t="str">
        <f>'Green_rooibos initial weight'!A193</f>
        <v>G189</v>
      </c>
      <c r="Z192" t="str">
        <f>'Green_rooibos initial weight'!A1097</f>
        <v>R189</v>
      </c>
      <c r="AA192" t="b">
        <f t="shared" si="115"/>
        <v>0</v>
      </c>
      <c r="AB192" t="b">
        <f t="shared" si="116"/>
        <v>0</v>
      </c>
      <c r="AE192" t="str">
        <f>'WetLitterbags placem_collection'!K191</f>
        <v>G367</v>
      </c>
      <c r="AF192" t="str">
        <f>'WetLitterbags placem_collection'!M191</f>
        <v>R354</v>
      </c>
      <c r="AG192" t="b">
        <f t="shared" si="117"/>
        <v>0</v>
      </c>
      <c r="AH192" t="b">
        <f t="shared" si="118"/>
        <v>0</v>
      </c>
      <c r="AJ192" t="b">
        <f t="shared" si="119"/>
        <v>0</v>
      </c>
      <c r="AK192" t="b">
        <f t="shared" si="120"/>
        <v>0</v>
      </c>
      <c r="AM192" t="str">
        <f>IF(ISBLANK('Dry_Litterbag Placem_Collection'!J191),"","G"&amp;""&amp;'Dry_Litterbag Placem_Collection'!J191)</f>
        <v>G144</v>
      </c>
      <c r="AN192" t="str">
        <f>IF(ISBLANK('Dry_Litterbag Placem_Collection'!K191),"","R"&amp;""&amp;'Dry_Litterbag Placem_Collection'!K191)</f>
        <v>R18</v>
      </c>
      <c r="AO192" t="b">
        <f t="shared" si="121"/>
        <v>0</v>
      </c>
      <c r="AP192" t="b">
        <f t="shared" si="122"/>
        <v>0</v>
      </c>
      <c r="AS192" t="str">
        <f>'Ashed teabags dry'!A190</f>
        <v>G36</v>
      </c>
      <c r="AT192" t="str">
        <f>'Ashed teabags dry'!A525</f>
        <v>R671</v>
      </c>
      <c r="AU192" t="b">
        <f t="shared" si="123"/>
        <v>0</v>
      </c>
      <c r="AV192" t="b">
        <f>COUNTIF($AT$4:$AT$2000, AT192)&gt;1</f>
        <v>0</v>
      </c>
      <c r="AX192" s="395" t="b">
        <f t="shared" si="124"/>
        <v>0</v>
      </c>
      <c r="AY192" s="395" t="b">
        <f t="shared" si="125"/>
        <v>0</v>
      </c>
      <c r="BA192" t="str">
        <f>'Ashed teabags wet'!A190</f>
        <v>G608</v>
      </c>
      <c r="BB192" t="str">
        <f>'Ashed teabags wet'!A610</f>
        <v>R39</v>
      </c>
      <c r="BC192" t="b">
        <f t="shared" si="126"/>
        <v>0</v>
      </c>
      <c r="BD192" t="b">
        <f t="shared" si="106"/>
        <v>0</v>
      </c>
      <c r="BF192" t="str">
        <f t="shared" si="127"/>
        <v>G357</v>
      </c>
      <c r="BG192" t="str">
        <f>T191</f>
        <v>G357</v>
      </c>
      <c r="BH192" t="str">
        <f t="shared" si="128"/>
        <v>G146</v>
      </c>
      <c r="BI192" t="str">
        <f t="shared" si="142"/>
        <v>G146</v>
      </c>
      <c r="BJ192" t="s">
        <v>1693</v>
      </c>
      <c r="BK192" t="s">
        <v>1693</v>
      </c>
      <c r="BL192" t="s">
        <v>1693</v>
      </c>
      <c r="BM192" t="b">
        <f t="shared" si="143"/>
        <v>1</v>
      </c>
      <c r="BN192" t="str">
        <f t="shared" si="129"/>
        <v>R670</v>
      </c>
      <c r="BO192" t="str">
        <f>U191</f>
        <v>R670</v>
      </c>
      <c r="BP192" t="str">
        <f t="shared" si="130"/>
        <v>R357</v>
      </c>
      <c r="BQ192" t="str">
        <f t="shared" si="131"/>
        <v>R357</v>
      </c>
      <c r="BR192" t="s">
        <v>469</v>
      </c>
      <c r="BS192" t="s">
        <v>468</v>
      </c>
      <c r="BT192" t="s">
        <v>469</v>
      </c>
      <c r="BU192" t="b">
        <f t="shared" si="144"/>
        <v>1</v>
      </c>
      <c r="BZ192" t="str">
        <f t="shared" si="132"/>
        <v>G146</v>
      </c>
      <c r="CA192" t="b">
        <f t="shared" si="133"/>
        <v>0</v>
      </c>
      <c r="CB192" t="str">
        <f t="shared" si="145"/>
        <v>G146</v>
      </c>
      <c r="CC192" t="str">
        <f t="shared" si="134"/>
        <v>R357</v>
      </c>
      <c r="CD192" t="b">
        <f t="shared" si="146"/>
        <v>0</v>
      </c>
      <c r="CE192" t="str">
        <f t="shared" si="147"/>
        <v>R357</v>
      </c>
      <c r="CG192" t="str">
        <f t="shared" si="135"/>
        <v>G607</v>
      </c>
      <c r="CH192" t="str">
        <f t="shared" si="148"/>
        <v>G607</v>
      </c>
      <c r="CI192" t="str">
        <f>AE191</f>
        <v>G420</v>
      </c>
      <c r="CJ192" t="str">
        <f t="shared" si="136"/>
        <v>G420</v>
      </c>
      <c r="CK192" t="s">
        <v>1443</v>
      </c>
      <c r="CL192" t="s">
        <v>1443</v>
      </c>
      <c r="CM192" t="s">
        <v>1443</v>
      </c>
      <c r="CN192" t="b">
        <f t="shared" si="149"/>
        <v>1</v>
      </c>
      <c r="CO192" t="str">
        <f t="shared" si="137"/>
        <v>R387</v>
      </c>
      <c r="CP192" t="str">
        <f t="shared" si="150"/>
        <v>R387</v>
      </c>
      <c r="CQ192" t="str">
        <f>AF191</f>
        <v>R523</v>
      </c>
      <c r="CR192" t="str">
        <f t="shared" si="138"/>
        <v>R523</v>
      </c>
      <c r="CS192" t="s">
        <v>754</v>
      </c>
      <c r="CT192" t="s">
        <v>754</v>
      </c>
      <c r="CU192" t="s">
        <v>754</v>
      </c>
      <c r="CV192" t="b">
        <f t="shared" si="151"/>
        <v>1</v>
      </c>
      <c r="DC192" t="str">
        <f t="shared" si="139"/>
        <v>G420</v>
      </c>
      <c r="DD192" t="b">
        <f t="shared" si="152"/>
        <v>0</v>
      </c>
      <c r="DE192" t="str">
        <f t="shared" si="153"/>
        <v>G420</v>
      </c>
      <c r="DF192" t="str">
        <f t="shared" si="140"/>
        <v>R523</v>
      </c>
      <c r="DG192" t="b">
        <f t="shared" si="154"/>
        <v>0</v>
      </c>
      <c r="DH192" t="str">
        <f t="shared" si="155"/>
        <v>R523</v>
      </c>
    </row>
    <row r="193" spans="2:112" ht="12" customHeight="1">
      <c r="B193" t="str">
        <f>TBIDry!H265</f>
        <v>G171</v>
      </c>
      <c r="C193" t="str">
        <f>TBIDry!I265</f>
        <v>R397</v>
      </c>
      <c r="D193" t="b">
        <f t="shared" si="107"/>
        <v>0</v>
      </c>
      <c r="E193" t="b">
        <f t="shared" si="108"/>
        <v>0</v>
      </c>
      <c r="G193" t="str">
        <f>TBIWet!H265</f>
        <v>G526</v>
      </c>
      <c r="H193" t="str">
        <f>TBIWet!I265</f>
        <v>R164</v>
      </c>
      <c r="I193" t="b">
        <f t="shared" si="109"/>
        <v>0</v>
      </c>
      <c r="J193" t="b">
        <f t="shared" si="110"/>
        <v>0</v>
      </c>
      <c r="L193" t="str">
        <f>'Both teabags AfterWet'!A191</f>
        <v>G609</v>
      </c>
      <c r="M193" t="str">
        <f>'Both teabags AfterWet'!A611</f>
        <v>R390</v>
      </c>
      <c r="N193" t="b">
        <f t="shared" si="111"/>
        <v>0</v>
      </c>
      <c r="O193" t="b">
        <f t="shared" si="156"/>
        <v>0</v>
      </c>
      <c r="Q193" s="395" t="b">
        <f t="shared" si="112"/>
        <v>0</v>
      </c>
      <c r="R193" s="395" t="b">
        <f t="shared" si="113"/>
        <v>0</v>
      </c>
      <c r="T193" t="str">
        <f>'Both teabags AfterDry'!A191</f>
        <v>G361</v>
      </c>
      <c r="U193" t="str">
        <f>'Both teabags AfterDry'!A526</f>
        <v>R673</v>
      </c>
      <c r="V193" t="b">
        <f t="shared" si="114"/>
        <v>0</v>
      </c>
      <c r="W193" t="b">
        <f t="shared" si="141"/>
        <v>0</v>
      </c>
      <c r="Y193" t="str">
        <f>'Green_rooibos initial weight'!A194</f>
        <v>G190</v>
      </c>
      <c r="Z193" t="str">
        <f>'Green_rooibos initial weight'!A1098</f>
        <v>R190</v>
      </c>
      <c r="AA193" t="b">
        <f t="shared" si="115"/>
        <v>0</v>
      </c>
      <c r="AB193" t="b">
        <f t="shared" si="116"/>
        <v>0</v>
      </c>
      <c r="AE193" t="str">
        <f>'WetLitterbags placem_collection'!K192</f>
        <v>G526</v>
      </c>
      <c r="AF193" t="str">
        <f>'WetLitterbags placem_collection'!M192</f>
        <v>R164</v>
      </c>
      <c r="AG193" t="b">
        <f t="shared" si="117"/>
        <v>0</v>
      </c>
      <c r="AH193" t="b">
        <f t="shared" si="118"/>
        <v>0</v>
      </c>
      <c r="AJ193" t="b">
        <f t="shared" si="119"/>
        <v>0</v>
      </c>
      <c r="AK193" t="b">
        <f t="shared" si="120"/>
        <v>0</v>
      </c>
      <c r="AM193" t="str">
        <f>IF(ISBLANK('Dry_Litterbag Placem_Collection'!J192),"","G"&amp;""&amp;'Dry_Litterbag Placem_Collection'!J192)</f>
        <v>G171</v>
      </c>
      <c r="AN193" t="str">
        <f>IF(ISBLANK('Dry_Litterbag Placem_Collection'!K192),"","R"&amp;""&amp;'Dry_Litterbag Placem_Collection'!K192)</f>
        <v>R397</v>
      </c>
      <c r="AO193" t="b">
        <f t="shared" si="121"/>
        <v>0</v>
      </c>
      <c r="AP193" t="b">
        <f t="shared" si="122"/>
        <v>0</v>
      </c>
      <c r="AS193" t="str">
        <f>'Ashed teabags dry'!A191</f>
        <v>G361</v>
      </c>
      <c r="AT193" t="str">
        <f>'Ashed teabags dry'!A526</f>
        <v>R673</v>
      </c>
      <c r="AU193" t="b">
        <f t="shared" si="123"/>
        <v>0</v>
      </c>
      <c r="AV193" t="b">
        <f>COUNTIF($AT$4:$AT$2000, AT193)&gt;1</f>
        <v>0</v>
      </c>
      <c r="AX193" s="395" t="b">
        <f t="shared" si="124"/>
        <v>0</v>
      </c>
      <c r="AY193" s="395" t="b">
        <f t="shared" si="125"/>
        <v>0</v>
      </c>
      <c r="BA193" t="str">
        <f>'Ashed teabags wet'!A191</f>
        <v>G609</v>
      </c>
      <c r="BB193" t="str">
        <f>'Ashed teabags wet'!A611</f>
        <v>R390</v>
      </c>
      <c r="BC193" t="b">
        <f t="shared" si="126"/>
        <v>0</v>
      </c>
      <c r="BD193" t="b">
        <f t="shared" si="106"/>
        <v>0</v>
      </c>
      <c r="BF193" t="str">
        <f t="shared" si="127"/>
        <v>G36</v>
      </c>
      <c r="BG193" t="str">
        <f>T192</f>
        <v>G36</v>
      </c>
      <c r="BH193" t="str">
        <f t="shared" si="128"/>
        <v>G144</v>
      </c>
      <c r="BI193" t="str">
        <f t="shared" si="142"/>
        <v>G144</v>
      </c>
      <c r="BJ193" t="s">
        <v>2014</v>
      </c>
      <c r="BK193" t="s">
        <v>2014</v>
      </c>
      <c r="BL193" t="s">
        <v>2014</v>
      </c>
      <c r="BM193" t="b">
        <f t="shared" si="143"/>
        <v>1</v>
      </c>
      <c r="BN193" t="str">
        <f t="shared" si="129"/>
        <v>R671</v>
      </c>
      <c r="BO193" t="str">
        <f>U192</f>
        <v>R671</v>
      </c>
      <c r="BP193" t="str">
        <f t="shared" si="130"/>
        <v>R18</v>
      </c>
      <c r="BQ193" t="str">
        <f t="shared" si="131"/>
        <v>R18</v>
      </c>
      <c r="BR193" t="s">
        <v>468</v>
      </c>
      <c r="BS193" t="s">
        <v>466</v>
      </c>
      <c r="BT193" t="s">
        <v>468</v>
      </c>
      <c r="BU193" t="b">
        <f t="shared" si="144"/>
        <v>1</v>
      </c>
      <c r="BZ193" t="str">
        <f t="shared" si="132"/>
        <v>G144</v>
      </c>
      <c r="CA193" t="b">
        <f t="shared" si="133"/>
        <v>0</v>
      </c>
      <c r="CB193" t="str">
        <f t="shared" si="145"/>
        <v>G144</v>
      </c>
      <c r="CC193" t="str">
        <f t="shared" si="134"/>
        <v>R18</v>
      </c>
      <c r="CD193" t="b">
        <f t="shared" si="146"/>
        <v>0</v>
      </c>
      <c r="CE193" t="str">
        <f t="shared" si="147"/>
        <v>R18</v>
      </c>
      <c r="CG193" t="str">
        <f t="shared" si="135"/>
        <v>G608</v>
      </c>
      <c r="CH193" t="str">
        <f t="shared" si="148"/>
        <v>G608</v>
      </c>
      <c r="CI193" t="str">
        <f>AE192</f>
        <v>G367</v>
      </c>
      <c r="CJ193" t="str">
        <f t="shared" si="136"/>
        <v>G367</v>
      </c>
      <c r="CK193" t="s">
        <v>1442</v>
      </c>
      <c r="CL193" t="s">
        <v>1442</v>
      </c>
      <c r="CM193" t="s">
        <v>1442</v>
      </c>
      <c r="CN193" t="b">
        <f t="shared" si="149"/>
        <v>1</v>
      </c>
      <c r="CO193" t="str">
        <f t="shared" si="137"/>
        <v>R39</v>
      </c>
      <c r="CP193" t="str">
        <f t="shared" si="150"/>
        <v>R39</v>
      </c>
      <c r="CQ193" t="str">
        <f>AF192</f>
        <v>R354</v>
      </c>
      <c r="CR193" t="str">
        <f t="shared" si="138"/>
        <v>R354</v>
      </c>
      <c r="CS193" t="s">
        <v>1102</v>
      </c>
      <c r="CT193" t="s">
        <v>1102</v>
      </c>
      <c r="CU193" t="s">
        <v>1102</v>
      </c>
      <c r="CV193" t="b">
        <f t="shared" si="151"/>
        <v>1</v>
      </c>
      <c r="DC193" t="str">
        <f t="shared" si="139"/>
        <v>G367</v>
      </c>
      <c r="DD193" t="b">
        <f t="shared" si="152"/>
        <v>0</v>
      </c>
      <c r="DE193" t="str">
        <f t="shared" si="153"/>
        <v>G367</v>
      </c>
      <c r="DF193" t="str">
        <f t="shared" si="140"/>
        <v>R354</v>
      </c>
      <c r="DG193" t="b">
        <f t="shared" si="154"/>
        <v>0</v>
      </c>
      <c r="DH193" t="str">
        <f t="shared" si="155"/>
        <v>R354</v>
      </c>
    </row>
    <row r="194" spans="2:112" ht="12" customHeight="1">
      <c r="B194" t="str">
        <f>TBIDry!H266</f>
        <v>G232</v>
      </c>
      <c r="C194" t="str">
        <f>TBIDry!I266</f>
        <v>R715</v>
      </c>
      <c r="D194" t="b">
        <f t="shared" si="107"/>
        <v>0</v>
      </c>
      <c r="E194" t="b">
        <f t="shared" si="108"/>
        <v>0</v>
      </c>
      <c r="G194" t="str">
        <f>TBIWet!H266</f>
        <v>G522</v>
      </c>
      <c r="H194" t="str">
        <f>TBIWet!I266</f>
        <v>R336</v>
      </c>
      <c r="I194" t="b">
        <f t="shared" si="109"/>
        <v>0</v>
      </c>
      <c r="J194" t="b">
        <f t="shared" si="110"/>
        <v>0</v>
      </c>
      <c r="L194" t="str">
        <f>'Both teabags AfterWet'!A192</f>
        <v>G610</v>
      </c>
      <c r="M194" t="str">
        <f>'Both teabags AfterWet'!A612</f>
        <v>R391</v>
      </c>
      <c r="N194" t="b">
        <f t="shared" si="111"/>
        <v>0</v>
      </c>
      <c r="O194" t="b">
        <f t="shared" si="156"/>
        <v>0</v>
      </c>
      <c r="Q194" s="395" t="b">
        <f t="shared" si="112"/>
        <v>0</v>
      </c>
      <c r="R194" s="395" t="b">
        <f t="shared" si="113"/>
        <v>0</v>
      </c>
      <c r="T194" t="str">
        <f>'Both teabags AfterDry'!A192</f>
        <v>G363</v>
      </c>
      <c r="U194" t="str">
        <f>'Both teabags AfterDry'!A527</f>
        <v>R674</v>
      </c>
      <c r="V194" t="b">
        <f t="shared" si="114"/>
        <v>0</v>
      </c>
      <c r="W194" t="b">
        <f t="shared" si="141"/>
        <v>0</v>
      </c>
      <c r="Y194" t="str">
        <f>'Green_rooibos initial weight'!A195</f>
        <v>G191</v>
      </c>
      <c r="Z194" t="str">
        <f>'Green_rooibos initial weight'!A1099</f>
        <v>R191</v>
      </c>
      <c r="AA194" t="b">
        <f t="shared" si="115"/>
        <v>0</v>
      </c>
      <c r="AB194" t="b">
        <f t="shared" si="116"/>
        <v>0</v>
      </c>
      <c r="AE194" t="str">
        <f>'WetLitterbags placem_collection'!K193</f>
        <v>G522</v>
      </c>
      <c r="AF194" t="str">
        <f>'WetLitterbags placem_collection'!M193</f>
        <v>R336</v>
      </c>
      <c r="AG194" t="b">
        <f t="shared" si="117"/>
        <v>0</v>
      </c>
      <c r="AH194" t="b">
        <f t="shared" si="118"/>
        <v>0</v>
      </c>
      <c r="AJ194" t="b">
        <f t="shared" si="119"/>
        <v>0</v>
      </c>
      <c r="AK194" t="b">
        <f t="shared" si="120"/>
        <v>0</v>
      </c>
      <c r="AM194" t="str">
        <f>IF(ISBLANK('Dry_Litterbag Placem_Collection'!J193),"","G"&amp;""&amp;'Dry_Litterbag Placem_Collection'!J193)</f>
        <v>G232</v>
      </c>
      <c r="AN194" t="str">
        <f>IF(ISBLANK('Dry_Litterbag Placem_Collection'!K193),"","R"&amp;""&amp;'Dry_Litterbag Placem_Collection'!K193)</f>
        <v>R715</v>
      </c>
      <c r="AO194" t="b">
        <f t="shared" si="121"/>
        <v>0</v>
      </c>
      <c r="AP194" t="b">
        <f t="shared" si="122"/>
        <v>0</v>
      </c>
      <c r="AS194" t="str">
        <f>'Ashed teabags dry'!A192</f>
        <v>G363</v>
      </c>
      <c r="AT194" t="str">
        <f>'Ashed teabags dry'!A527</f>
        <v>R674</v>
      </c>
      <c r="AU194" t="b">
        <f t="shared" si="123"/>
        <v>0</v>
      </c>
      <c r="AV194" t="b">
        <f>COUNTIF($AT$4:$AT$2000, AT194)&gt;1</f>
        <v>0</v>
      </c>
      <c r="AX194" s="395" t="b">
        <f t="shared" si="124"/>
        <v>0</v>
      </c>
      <c r="AY194" s="395" t="b">
        <f t="shared" si="125"/>
        <v>0</v>
      </c>
      <c r="BA194" t="str">
        <f>'Ashed teabags wet'!A192</f>
        <v>G610</v>
      </c>
      <c r="BB194" t="str">
        <f>'Ashed teabags wet'!A612</f>
        <v>R391</v>
      </c>
      <c r="BC194" t="b">
        <f t="shared" si="126"/>
        <v>0</v>
      </c>
      <c r="BD194" t="b">
        <f t="shared" si="106"/>
        <v>0</v>
      </c>
      <c r="BF194" t="str">
        <f t="shared" si="127"/>
        <v>G361</v>
      </c>
      <c r="BG194" t="str">
        <f>T193</f>
        <v>G361</v>
      </c>
      <c r="BH194" t="str">
        <f t="shared" si="128"/>
        <v>G171</v>
      </c>
      <c r="BI194" t="str">
        <f t="shared" si="142"/>
        <v>G171</v>
      </c>
      <c r="BJ194" t="s">
        <v>1689</v>
      </c>
      <c r="BK194" t="s">
        <v>1689</v>
      </c>
      <c r="BL194" t="s">
        <v>1689</v>
      </c>
      <c r="BM194" t="b">
        <f t="shared" si="143"/>
        <v>1</v>
      </c>
      <c r="BN194" t="str">
        <f t="shared" si="129"/>
        <v>R673</v>
      </c>
      <c r="BO194" t="str">
        <f>U193</f>
        <v>R673</v>
      </c>
      <c r="BP194" t="str">
        <f t="shared" si="130"/>
        <v>R397</v>
      </c>
      <c r="BQ194" t="str">
        <f t="shared" si="131"/>
        <v>R397</v>
      </c>
      <c r="BR194" t="s">
        <v>466</v>
      </c>
      <c r="BS194" t="s">
        <v>465</v>
      </c>
      <c r="BT194" t="s">
        <v>466</v>
      </c>
      <c r="BU194" t="b">
        <f t="shared" si="144"/>
        <v>1</v>
      </c>
      <c r="BZ194" t="str">
        <f t="shared" si="132"/>
        <v>G171</v>
      </c>
      <c r="CA194" t="b">
        <f t="shared" si="133"/>
        <v>0</v>
      </c>
      <c r="CB194" t="str">
        <f t="shared" si="145"/>
        <v>G171</v>
      </c>
      <c r="CC194" t="str">
        <f t="shared" si="134"/>
        <v>R397</v>
      </c>
      <c r="CD194" t="b">
        <f t="shared" si="146"/>
        <v>0</v>
      </c>
      <c r="CE194" t="str">
        <f t="shared" si="147"/>
        <v>R397</v>
      </c>
      <c r="CG194" t="str">
        <f t="shared" si="135"/>
        <v>G609</v>
      </c>
      <c r="CH194" t="str">
        <f t="shared" si="148"/>
        <v>G609</v>
      </c>
      <c r="CI194" t="str">
        <f>AE193</f>
        <v>G526</v>
      </c>
      <c r="CJ194" t="str">
        <f t="shared" si="136"/>
        <v>G526</v>
      </c>
      <c r="CK194" t="s">
        <v>1441</v>
      </c>
      <c r="CL194" t="s">
        <v>1441</v>
      </c>
      <c r="CM194" t="s">
        <v>1441</v>
      </c>
      <c r="CN194" t="b">
        <f t="shared" si="149"/>
        <v>1</v>
      </c>
      <c r="CO194" t="str">
        <f t="shared" si="137"/>
        <v>R390</v>
      </c>
      <c r="CP194" t="str">
        <f t="shared" si="150"/>
        <v>R390</v>
      </c>
      <c r="CQ194" t="str">
        <f>AF193</f>
        <v>R164</v>
      </c>
      <c r="CR194" t="str">
        <f t="shared" si="138"/>
        <v>R164</v>
      </c>
      <c r="CS194" t="s">
        <v>751</v>
      </c>
      <c r="CT194" t="s">
        <v>751</v>
      </c>
      <c r="CU194" t="s">
        <v>751</v>
      </c>
      <c r="CV194" t="b">
        <f t="shared" si="151"/>
        <v>1</v>
      </c>
      <c r="DC194" t="str">
        <f t="shared" si="139"/>
        <v>G526</v>
      </c>
      <c r="DD194" t="b">
        <f t="shared" si="152"/>
        <v>0</v>
      </c>
      <c r="DE194" t="str">
        <f t="shared" si="153"/>
        <v>G526</v>
      </c>
      <c r="DF194" t="str">
        <f t="shared" si="140"/>
        <v>R164</v>
      </c>
      <c r="DG194" t="b">
        <f t="shared" si="154"/>
        <v>0</v>
      </c>
      <c r="DH194" t="str">
        <f t="shared" si="155"/>
        <v>R164</v>
      </c>
    </row>
    <row r="195" spans="2:112" ht="12" customHeight="1">
      <c r="B195" t="str">
        <f>TBIDry!H267</f>
        <v/>
      </c>
      <c r="C195" t="str">
        <f>TBIDry!I267</f>
        <v/>
      </c>
      <c r="D195" t="b">
        <f t="shared" si="107"/>
        <v>1</v>
      </c>
      <c r="E195" t="b">
        <f t="shared" si="108"/>
        <v>1</v>
      </c>
      <c r="G195" t="str">
        <f>TBIWet!H267</f>
        <v>G591</v>
      </c>
      <c r="H195" t="str">
        <f>TBIWet!I267</f>
        <v>R263</v>
      </c>
      <c r="I195" t="b">
        <f t="shared" si="109"/>
        <v>0</v>
      </c>
      <c r="J195" t="b">
        <f t="shared" si="110"/>
        <v>0</v>
      </c>
      <c r="L195" t="str">
        <f>'Both teabags AfterWet'!A193</f>
        <v>G611</v>
      </c>
      <c r="M195" t="str">
        <f>'Both teabags AfterWet'!A613</f>
        <v>R392</v>
      </c>
      <c r="N195" t="b">
        <f t="shared" si="111"/>
        <v>0</v>
      </c>
      <c r="O195" t="b">
        <f t="shared" si="156"/>
        <v>0</v>
      </c>
      <c r="Q195" s="395" t="b">
        <f t="shared" si="112"/>
        <v>0</v>
      </c>
      <c r="R195" s="395" t="b">
        <f t="shared" si="113"/>
        <v>0</v>
      </c>
      <c r="T195" t="str">
        <f>'Both teabags AfterDry'!A193</f>
        <v>G364</v>
      </c>
      <c r="U195" t="str">
        <f>'Both teabags AfterDry'!A528</f>
        <v>R675</v>
      </c>
      <c r="V195" t="b">
        <f t="shared" si="114"/>
        <v>0</v>
      </c>
      <c r="W195" t="b">
        <f t="shared" si="141"/>
        <v>0</v>
      </c>
      <c r="Y195" t="str">
        <f>'Green_rooibos initial weight'!A196</f>
        <v>G192</v>
      </c>
      <c r="Z195" t="str">
        <f>'Green_rooibos initial weight'!A1100</f>
        <v>R192</v>
      </c>
      <c r="AA195" t="b">
        <f t="shared" si="115"/>
        <v>0</v>
      </c>
      <c r="AB195" t="b">
        <f t="shared" si="116"/>
        <v>0</v>
      </c>
      <c r="AE195" t="str">
        <f>'WetLitterbags placem_collection'!K194</f>
        <v>G591</v>
      </c>
      <c r="AF195" t="str">
        <f>'WetLitterbags placem_collection'!M194</f>
        <v>R263</v>
      </c>
      <c r="AG195" t="b">
        <f t="shared" si="117"/>
        <v>0</v>
      </c>
      <c r="AH195" t="b">
        <f t="shared" si="118"/>
        <v>0</v>
      </c>
      <c r="AJ195" t="b">
        <f t="shared" si="119"/>
        <v>0</v>
      </c>
      <c r="AK195" t="b">
        <f t="shared" si="120"/>
        <v>0</v>
      </c>
      <c r="AM195" t="str">
        <f>IF(ISBLANK('Dry_Litterbag Placem_Collection'!J194),"","G"&amp;""&amp;'Dry_Litterbag Placem_Collection'!J194)</f>
        <v/>
      </c>
      <c r="AN195" t="str">
        <f>IF(ISBLANK('Dry_Litterbag Placem_Collection'!K194),"","R"&amp;""&amp;'Dry_Litterbag Placem_Collection'!K194)</f>
        <v/>
      </c>
      <c r="AO195" t="b">
        <f t="shared" si="121"/>
        <v>1</v>
      </c>
      <c r="AP195" t="b">
        <f t="shared" si="122"/>
        <v>1</v>
      </c>
      <c r="AS195" t="str">
        <f>'Ashed teabags dry'!A193</f>
        <v>G364</v>
      </c>
      <c r="AT195" t="str">
        <f>'Ashed teabags dry'!A528</f>
        <v>R675</v>
      </c>
      <c r="AU195" t="b">
        <f t="shared" si="123"/>
        <v>0</v>
      </c>
      <c r="AV195" t="b">
        <f>COUNTIF($AT$4:$AT$2000, AT195)&gt;1</f>
        <v>0</v>
      </c>
      <c r="AX195" s="395" t="b">
        <f t="shared" si="124"/>
        <v>0</v>
      </c>
      <c r="AY195" s="395" t="b">
        <f t="shared" si="125"/>
        <v>0</v>
      </c>
      <c r="BA195" t="str">
        <f>'Ashed teabags wet'!A193</f>
        <v>G611</v>
      </c>
      <c r="BB195" t="str">
        <f>'Ashed teabags wet'!A613</f>
        <v>R392</v>
      </c>
      <c r="BC195" t="b">
        <f t="shared" si="126"/>
        <v>0</v>
      </c>
      <c r="BD195" t="b">
        <f t="shared" si="106"/>
        <v>0</v>
      </c>
      <c r="BF195" t="str">
        <f t="shared" si="127"/>
        <v>G363</v>
      </c>
      <c r="BG195" t="str">
        <f>T194</f>
        <v>G363</v>
      </c>
      <c r="BH195" t="str">
        <f t="shared" si="128"/>
        <v>G232</v>
      </c>
      <c r="BI195" t="str">
        <f t="shared" si="142"/>
        <v>G232</v>
      </c>
      <c r="BJ195" t="s">
        <v>1687</v>
      </c>
      <c r="BK195" t="s">
        <v>1687</v>
      </c>
      <c r="BL195" t="s">
        <v>1687</v>
      </c>
      <c r="BM195" t="b">
        <f t="shared" si="143"/>
        <v>1</v>
      </c>
      <c r="BN195" t="str">
        <f t="shared" si="129"/>
        <v>R674</v>
      </c>
      <c r="BO195" t="str">
        <f>U194</f>
        <v>R674</v>
      </c>
      <c r="BP195" t="str">
        <f t="shared" si="130"/>
        <v>R715</v>
      </c>
      <c r="BQ195" t="str">
        <f t="shared" si="131"/>
        <v>R715</v>
      </c>
      <c r="BR195" t="s">
        <v>465</v>
      </c>
      <c r="BS195" t="s">
        <v>464</v>
      </c>
      <c r="BT195" t="s">
        <v>465</v>
      </c>
      <c r="BU195" t="b">
        <f t="shared" si="144"/>
        <v>1</v>
      </c>
      <c r="BZ195" t="str">
        <f t="shared" si="132"/>
        <v>G232</v>
      </c>
      <c r="CA195" t="b">
        <f t="shared" si="133"/>
        <v>0</v>
      </c>
      <c r="CB195" t="str">
        <f t="shared" si="145"/>
        <v>G232</v>
      </c>
      <c r="CC195" t="str">
        <f t="shared" si="134"/>
        <v>R715</v>
      </c>
      <c r="CD195" t="b">
        <f t="shared" si="146"/>
        <v>0</v>
      </c>
      <c r="CE195" t="str">
        <f t="shared" si="147"/>
        <v>R715</v>
      </c>
      <c r="CG195" t="str">
        <f t="shared" si="135"/>
        <v>G610</v>
      </c>
      <c r="CH195" t="str">
        <f t="shared" si="148"/>
        <v>G610</v>
      </c>
      <c r="CI195" t="str">
        <f>AE194</f>
        <v>G522</v>
      </c>
      <c r="CJ195" t="str">
        <f t="shared" si="136"/>
        <v>G522</v>
      </c>
      <c r="CK195" t="s">
        <v>1440</v>
      </c>
      <c r="CL195" t="s">
        <v>1440</v>
      </c>
      <c r="CM195" t="s">
        <v>1440</v>
      </c>
      <c r="CN195" t="b">
        <f t="shared" si="149"/>
        <v>1</v>
      </c>
      <c r="CO195" t="str">
        <f t="shared" si="137"/>
        <v>R391</v>
      </c>
      <c r="CP195" t="str">
        <f t="shared" si="150"/>
        <v>R391</v>
      </c>
      <c r="CQ195" t="str">
        <f>AF194</f>
        <v>R336</v>
      </c>
      <c r="CR195" t="str">
        <f t="shared" si="138"/>
        <v>R336</v>
      </c>
      <c r="CS195" t="s">
        <v>750</v>
      </c>
      <c r="CT195" t="s">
        <v>750</v>
      </c>
      <c r="CU195" t="s">
        <v>750</v>
      </c>
      <c r="CV195" t="b">
        <f t="shared" si="151"/>
        <v>1</v>
      </c>
      <c r="DC195" t="str">
        <f t="shared" si="139"/>
        <v>G522</v>
      </c>
      <c r="DD195" t="b">
        <f t="shared" si="152"/>
        <v>0</v>
      </c>
      <c r="DE195" t="str">
        <f t="shared" si="153"/>
        <v>G522</v>
      </c>
      <c r="DF195" t="str">
        <f t="shared" si="140"/>
        <v>R336</v>
      </c>
      <c r="DG195" t="b">
        <f t="shared" si="154"/>
        <v>0</v>
      </c>
      <c r="DH195" t="str">
        <f t="shared" si="155"/>
        <v>R336</v>
      </c>
    </row>
    <row r="196" spans="2:112" ht="12" customHeight="1">
      <c r="B196" t="str">
        <f>TBIDry!H268</f>
        <v>G257</v>
      </c>
      <c r="C196" t="str">
        <f>TBIDry!I268</f>
        <v>R695</v>
      </c>
      <c r="D196" t="b">
        <f t="shared" si="107"/>
        <v>0</v>
      </c>
      <c r="E196" t="b">
        <f t="shared" si="108"/>
        <v>0</v>
      </c>
      <c r="G196" t="str">
        <f>TBIWet!H268</f>
        <v>G863</v>
      </c>
      <c r="H196" t="str">
        <f>TBIWet!I268</f>
        <v>R125</v>
      </c>
      <c r="I196" t="b">
        <f t="shared" si="109"/>
        <v>0</v>
      </c>
      <c r="J196" t="b">
        <f t="shared" si="110"/>
        <v>0</v>
      </c>
      <c r="L196" t="str">
        <f>'Both teabags AfterWet'!A194</f>
        <v>G613</v>
      </c>
      <c r="M196" t="str">
        <f>'Both teabags AfterWet'!A614</f>
        <v>R393</v>
      </c>
      <c r="N196" t="b">
        <f t="shared" si="111"/>
        <v>0</v>
      </c>
      <c r="O196" t="b">
        <f t="shared" si="156"/>
        <v>0</v>
      </c>
      <c r="Q196" s="395" t="b">
        <f t="shared" si="112"/>
        <v>0</v>
      </c>
      <c r="R196" s="395" t="b">
        <f t="shared" si="113"/>
        <v>0</v>
      </c>
      <c r="T196" t="str">
        <f>'Both teabags AfterDry'!A194</f>
        <v>G370</v>
      </c>
      <c r="U196" t="str">
        <f>'Both teabags AfterDry'!A529</f>
        <v>R676</v>
      </c>
      <c r="V196" t="b">
        <f t="shared" si="114"/>
        <v>0</v>
      </c>
      <c r="W196" t="b">
        <f t="shared" si="141"/>
        <v>0</v>
      </c>
      <c r="Y196" t="str">
        <f>'Green_rooibos initial weight'!A197</f>
        <v>G193</v>
      </c>
      <c r="Z196" t="str">
        <f>'Green_rooibos initial weight'!A1101</f>
        <v>R193</v>
      </c>
      <c r="AA196" t="b">
        <f t="shared" si="115"/>
        <v>0</v>
      </c>
      <c r="AB196" t="b">
        <f t="shared" si="116"/>
        <v>0</v>
      </c>
      <c r="AE196" t="str">
        <f>'WetLitterbags placem_collection'!K195</f>
        <v>G863</v>
      </c>
      <c r="AF196" t="str">
        <f>'WetLitterbags placem_collection'!M195</f>
        <v>R125</v>
      </c>
      <c r="AG196" t="b">
        <f t="shared" si="117"/>
        <v>0</v>
      </c>
      <c r="AH196" t="b">
        <f t="shared" si="118"/>
        <v>0</v>
      </c>
      <c r="AJ196" t="b">
        <f t="shared" si="119"/>
        <v>0</v>
      </c>
      <c r="AK196" t="b">
        <f t="shared" si="120"/>
        <v>0</v>
      </c>
      <c r="AM196" t="str">
        <f>IF(ISBLANK('Dry_Litterbag Placem_Collection'!J195),"","G"&amp;""&amp;'Dry_Litterbag Placem_Collection'!J195)</f>
        <v>G257</v>
      </c>
      <c r="AN196" t="str">
        <f>IF(ISBLANK('Dry_Litterbag Placem_Collection'!K195),"","R"&amp;""&amp;'Dry_Litterbag Placem_Collection'!K195)</f>
        <v>R695</v>
      </c>
      <c r="AO196" t="b">
        <f t="shared" si="121"/>
        <v>0</v>
      </c>
      <c r="AP196" t="b">
        <f t="shared" si="122"/>
        <v>0</v>
      </c>
      <c r="AS196" t="str">
        <f>'Ashed teabags dry'!A194</f>
        <v>G370</v>
      </c>
      <c r="AT196" t="str">
        <f>'Ashed teabags dry'!A529</f>
        <v>R676</v>
      </c>
      <c r="AU196" t="b">
        <f t="shared" si="123"/>
        <v>0</v>
      </c>
      <c r="AV196" t="b">
        <f>COUNTIF($AT$4:$AT$2000, AT196)&gt;1</f>
        <v>0</v>
      </c>
      <c r="AX196" s="395" t="b">
        <f t="shared" si="124"/>
        <v>0</v>
      </c>
      <c r="AY196" s="395" t="b">
        <f t="shared" si="125"/>
        <v>0</v>
      </c>
      <c r="BA196" t="str">
        <f>'Ashed teabags wet'!A194</f>
        <v>G613</v>
      </c>
      <c r="BB196" t="str">
        <f>'Ashed teabags wet'!A614</f>
        <v>R393</v>
      </c>
      <c r="BC196" t="b">
        <f t="shared" si="126"/>
        <v>0</v>
      </c>
      <c r="BD196" t="b">
        <f t="shared" ref="BD196:BD259" si="157">COUNTIF($BB$4:$BB$2000, BB196)&gt;1</f>
        <v>0</v>
      </c>
      <c r="BF196" t="str">
        <f t="shared" si="127"/>
        <v>G364</v>
      </c>
      <c r="BG196" t="str">
        <f>T195</f>
        <v>G364</v>
      </c>
      <c r="BH196" t="str">
        <f t="shared" si="128"/>
        <v/>
      </c>
      <c r="BI196" t="str">
        <f t="shared" si="142"/>
        <v/>
      </c>
      <c r="BJ196" t="s">
        <v>1686</v>
      </c>
      <c r="BK196" t="s">
        <v>1686</v>
      </c>
      <c r="BL196" t="s">
        <v>1686</v>
      </c>
      <c r="BM196" t="b">
        <f t="shared" si="143"/>
        <v>1</v>
      </c>
      <c r="BN196" t="str">
        <f t="shared" si="129"/>
        <v>R675</v>
      </c>
      <c r="BO196" t="str">
        <f>U195</f>
        <v>R675</v>
      </c>
      <c r="BP196" t="str">
        <f t="shared" si="130"/>
        <v/>
      </c>
      <c r="BQ196" t="str">
        <f t="shared" si="131"/>
        <v/>
      </c>
      <c r="BR196" t="s">
        <v>464</v>
      </c>
      <c r="BS196" t="s">
        <v>463</v>
      </c>
      <c r="BT196" t="s">
        <v>464</v>
      </c>
      <c r="BU196" t="b">
        <f t="shared" si="144"/>
        <v>1</v>
      </c>
      <c r="BZ196" t="str">
        <f t="shared" si="132"/>
        <v/>
      </c>
      <c r="CA196" t="b">
        <f t="shared" si="133"/>
        <v>0</v>
      </c>
      <c r="CB196" t="str">
        <f t="shared" si="145"/>
        <v/>
      </c>
      <c r="CC196" t="str">
        <f t="shared" si="134"/>
        <v/>
      </c>
      <c r="CD196" t="b">
        <f t="shared" si="146"/>
        <v>0</v>
      </c>
      <c r="CE196" t="str">
        <f t="shared" si="147"/>
        <v/>
      </c>
      <c r="CG196" t="str">
        <f t="shared" si="135"/>
        <v>G611</v>
      </c>
      <c r="CH196" t="str">
        <f t="shared" si="148"/>
        <v>G611</v>
      </c>
      <c r="CI196" t="str">
        <f>AE195</f>
        <v>G591</v>
      </c>
      <c r="CJ196" t="str">
        <f t="shared" si="136"/>
        <v>G591</v>
      </c>
      <c r="CK196" t="s">
        <v>1439</v>
      </c>
      <c r="CL196" t="s">
        <v>1439</v>
      </c>
      <c r="CM196" t="s">
        <v>1439</v>
      </c>
      <c r="CN196" t="b">
        <f t="shared" si="149"/>
        <v>1</v>
      </c>
      <c r="CO196" t="str">
        <f t="shared" si="137"/>
        <v>R392</v>
      </c>
      <c r="CP196" t="str">
        <f t="shared" si="150"/>
        <v>R392</v>
      </c>
      <c r="CQ196" t="str">
        <f>AF195</f>
        <v>R263</v>
      </c>
      <c r="CR196" t="str">
        <f t="shared" si="138"/>
        <v>R263</v>
      </c>
      <c r="CS196" t="s">
        <v>749</v>
      </c>
      <c r="CT196" t="s">
        <v>749</v>
      </c>
      <c r="CU196" t="s">
        <v>749</v>
      </c>
      <c r="CV196" t="b">
        <f t="shared" si="151"/>
        <v>1</v>
      </c>
      <c r="DC196" t="str">
        <f t="shared" si="139"/>
        <v>G591</v>
      </c>
      <c r="DD196" t="b">
        <f t="shared" si="152"/>
        <v>0</v>
      </c>
      <c r="DE196" t="str">
        <f t="shared" si="153"/>
        <v>G591</v>
      </c>
      <c r="DF196" t="str">
        <f t="shared" si="140"/>
        <v>R263</v>
      </c>
      <c r="DG196" t="b">
        <f t="shared" si="154"/>
        <v>0</v>
      </c>
      <c r="DH196" t="str">
        <f t="shared" si="155"/>
        <v>R263</v>
      </c>
    </row>
    <row r="197" spans="2:112" ht="12" customHeight="1">
      <c r="B197" t="str">
        <f>TBIDry!H269</f>
        <v>G148</v>
      </c>
      <c r="C197" t="str">
        <f>TBIDry!I269</f>
        <v>R653</v>
      </c>
      <c r="D197" t="b">
        <f t="shared" ref="D197:D260" si="158">COUNTIF($B$4:$B$2000, B197)&gt;1</f>
        <v>0</v>
      </c>
      <c r="E197" t="b">
        <f t="shared" ref="E197:E260" si="159">COUNTIF($C$4:$C$2000, C197)&gt;1</f>
        <v>0</v>
      </c>
      <c r="G197" t="str">
        <f>TBIWet!H269</f>
        <v>G615</v>
      </c>
      <c r="H197" t="str">
        <f>TBIWet!I269</f>
        <v>R289</v>
      </c>
      <c r="I197" t="b">
        <f t="shared" ref="I197:I260" si="160">COUNTIF($G$4:$G$2000, G197)&gt;1</f>
        <v>0</v>
      </c>
      <c r="J197" t="b">
        <f t="shared" ref="J197:J260" si="161">COUNTIF($H$4:$H$2000, H197)&gt;1</f>
        <v>0</v>
      </c>
      <c r="L197" t="str">
        <f>'Both teabags AfterWet'!A195</f>
        <v>G614</v>
      </c>
      <c r="M197" t="str">
        <f>'Both teabags AfterWet'!A615</f>
        <v>R395</v>
      </c>
      <c r="N197" t="b">
        <f t="shared" ref="N197:N260" si="162">COUNTIF($L$4:$L$2000, L197)&gt;1</f>
        <v>0</v>
      </c>
      <c r="O197" t="b">
        <f t="shared" si="156"/>
        <v>0</v>
      </c>
      <c r="Q197" s="395" t="b">
        <f t="shared" ref="Q197:Q260" si="163">COUNTIF($T$4:$T$2000, L197)=1</f>
        <v>0</v>
      </c>
      <c r="R197" s="395" t="b">
        <f t="shared" ref="R197:R260" si="164" xml:space="preserve"> COUNTIF($U$4:$U$2000,M197)=1</f>
        <v>0</v>
      </c>
      <c r="T197" t="str">
        <f>'Both teabags AfterDry'!A195</f>
        <v>G371</v>
      </c>
      <c r="U197" t="str">
        <f>'Both teabags AfterDry'!A530</f>
        <v>R677</v>
      </c>
      <c r="V197" t="b">
        <f t="shared" ref="V197:V260" si="165">COUNTIF($T$4:$T$2000, T197)&gt;1</f>
        <v>0</v>
      </c>
      <c r="W197" t="b">
        <f t="shared" si="141"/>
        <v>0</v>
      </c>
      <c r="Y197" t="str">
        <f>'Green_rooibos initial weight'!A198</f>
        <v>G194</v>
      </c>
      <c r="Z197" t="str">
        <f>'Green_rooibos initial weight'!A1102</f>
        <v>R194</v>
      </c>
      <c r="AA197" t="b">
        <f t="shared" ref="AA197:AA260" si="166">COUNTIF($Y$4:$Y$2000, Y197)&gt;1</f>
        <v>0</v>
      </c>
      <c r="AB197" t="b">
        <f t="shared" ref="AB197:AB260" si="167">COUNTIF($Z$4:$Z$2000, Z197)&gt;1</f>
        <v>0</v>
      </c>
      <c r="AE197" t="str">
        <f>'WetLitterbags placem_collection'!K196</f>
        <v>G615</v>
      </c>
      <c r="AF197" t="str">
        <f>'WetLitterbags placem_collection'!M196</f>
        <v>R289</v>
      </c>
      <c r="AG197" t="b">
        <f t="shared" ref="AG197:AG260" si="168">COUNTIF($AE$4:$AE$2000, AE197)&gt;1</f>
        <v>0</v>
      </c>
      <c r="AH197" t="b">
        <f t="shared" ref="AH197:AH260" si="169">COUNTIF($AF$4:$AF$2000, AF197)&gt;1</f>
        <v>0</v>
      </c>
      <c r="AJ197" t="b">
        <f t="shared" ref="AJ197:AJ260" si="170">COUNTIF($AM$4:$AM$2000, AE197)=1</f>
        <v>0</v>
      </c>
      <c r="AK197" t="b">
        <f t="shared" ref="AK197:AK260" si="171">COUNTIF($AN$4:$AN$2000, AF197)=1</f>
        <v>0</v>
      </c>
      <c r="AM197" t="str">
        <f>IF(ISBLANK('Dry_Litterbag Placem_Collection'!J196),"","G"&amp;""&amp;'Dry_Litterbag Placem_Collection'!J196)</f>
        <v>G148</v>
      </c>
      <c r="AN197" t="str">
        <f>IF(ISBLANK('Dry_Litterbag Placem_Collection'!K196),"","R"&amp;""&amp;'Dry_Litterbag Placem_Collection'!K196)</f>
        <v>R653</v>
      </c>
      <c r="AO197" t="b">
        <f t="shared" ref="AO197:AO260" si="172">COUNTIF($AM$4:$AM$2000, AM197)&gt;1</f>
        <v>0</v>
      </c>
      <c r="AP197" t="b">
        <f t="shared" ref="AP197:AP260" si="173">COUNTIF($AN$4:$AN$2000, AN197)&gt;1</f>
        <v>0</v>
      </c>
      <c r="AS197" t="str">
        <f>'Ashed teabags dry'!A195</f>
        <v>G371</v>
      </c>
      <c r="AT197" t="str">
        <f>'Ashed teabags dry'!A530</f>
        <v>R677</v>
      </c>
      <c r="AU197" t="b">
        <f t="shared" ref="AU197:AU260" si="174">COUNTIF($AS$4:$AS$2000, AS197)&gt;1</f>
        <v>0</v>
      </c>
      <c r="AV197" t="b">
        <f>COUNTIF($AT$4:$AT$2000, AT197)&gt;1</f>
        <v>0</v>
      </c>
      <c r="AX197" s="395" t="b">
        <f t="shared" ref="AX197:AX260" si="175">COUNTIF($BA$4:$BA$2000, AS197)=1</f>
        <v>0</v>
      </c>
      <c r="AY197" s="395" t="b">
        <f t="shared" ref="AY197:AY260" si="176">COUNTIF($BB$4:$BB$2000, AT197)=1</f>
        <v>0</v>
      </c>
      <c r="BA197" t="str">
        <f>'Ashed teabags wet'!A195</f>
        <v>G614</v>
      </c>
      <c r="BB197" t="str">
        <f>'Ashed teabags wet'!A615</f>
        <v>R395</v>
      </c>
      <c r="BC197" t="b">
        <f t="shared" ref="BC197:BC260" si="177">COUNTIF($BA$4:$BA$2000, BA197)&gt;1</f>
        <v>0</v>
      </c>
      <c r="BD197" t="b">
        <f t="shared" si="157"/>
        <v>0</v>
      </c>
      <c r="BF197" t="str">
        <f t="shared" ref="BF197:BF260" si="178">AS196</f>
        <v>G370</v>
      </c>
      <c r="BG197" t="str">
        <f>T196</f>
        <v>G370</v>
      </c>
      <c r="BH197" t="str">
        <f t="shared" ref="BH197:BH260" si="179">B196</f>
        <v>G257</v>
      </c>
      <c r="BI197" t="str">
        <f t="shared" si="142"/>
        <v>G257</v>
      </c>
      <c r="BJ197" t="s">
        <v>1680</v>
      </c>
      <c r="BK197" t="s">
        <v>1680</v>
      </c>
      <c r="BL197" t="s">
        <v>1680</v>
      </c>
      <c r="BM197" t="b">
        <f t="shared" si="143"/>
        <v>1</v>
      </c>
      <c r="BN197" t="str">
        <f t="shared" ref="BN197:BN260" si="180">AT196</f>
        <v>R676</v>
      </c>
      <c r="BO197" t="str">
        <f>U196</f>
        <v>R676</v>
      </c>
      <c r="BP197" t="str">
        <f t="shared" ref="BP197:BP260" si="181">C196</f>
        <v>R695</v>
      </c>
      <c r="BQ197" t="str">
        <f t="shared" ref="BQ197:BS260" si="182">CE197</f>
        <v>R695</v>
      </c>
      <c r="BR197" t="s">
        <v>463</v>
      </c>
      <c r="BS197" t="s">
        <v>462</v>
      </c>
      <c r="BT197" t="s">
        <v>463</v>
      </c>
      <c r="BU197" t="b">
        <f t="shared" si="144"/>
        <v>1</v>
      </c>
      <c r="BZ197" t="str">
        <f t="shared" ref="BZ197:BZ260" si="183">BH197</f>
        <v>G257</v>
      </c>
      <c r="CA197" t="b">
        <f t="shared" ref="CA197:CA260" si="184">COUNTIF($BV$5:$BV$2000, BZ197)=1</f>
        <v>0</v>
      </c>
      <c r="CB197" t="str">
        <f t="shared" si="145"/>
        <v>G257</v>
      </c>
      <c r="CC197" t="str">
        <f t="shared" ref="CC197:CC260" si="185">BP197</f>
        <v>R695</v>
      </c>
      <c r="CD197" t="b">
        <f t="shared" si="146"/>
        <v>0</v>
      </c>
      <c r="CE197" t="str">
        <f t="shared" si="147"/>
        <v>R695</v>
      </c>
      <c r="CG197" t="str">
        <f t="shared" ref="CG197:CG260" si="186">BA196</f>
        <v>G613</v>
      </c>
      <c r="CH197" t="str">
        <f t="shared" si="148"/>
        <v>G613</v>
      </c>
      <c r="CI197" t="str">
        <f>AE196</f>
        <v>G863</v>
      </c>
      <c r="CJ197" t="str">
        <f t="shared" ref="CJ197:CL260" si="187">DE197</f>
        <v>G863</v>
      </c>
      <c r="CK197" t="s">
        <v>1437</v>
      </c>
      <c r="CL197" t="s">
        <v>1437</v>
      </c>
      <c r="CM197" t="s">
        <v>1437</v>
      </c>
      <c r="CN197" t="b">
        <f t="shared" si="149"/>
        <v>1</v>
      </c>
      <c r="CO197" t="str">
        <f t="shared" ref="CO197:CO260" si="188">BB196</f>
        <v>R393</v>
      </c>
      <c r="CP197" t="str">
        <f t="shared" si="150"/>
        <v>R393</v>
      </c>
      <c r="CQ197" t="str">
        <f>AF196</f>
        <v>R125</v>
      </c>
      <c r="CR197" t="str">
        <f t="shared" ref="CR197:CT260" si="189">DH197</f>
        <v>R125</v>
      </c>
      <c r="CS197" t="s">
        <v>748</v>
      </c>
      <c r="CT197" t="s">
        <v>748</v>
      </c>
      <c r="CU197" t="s">
        <v>748</v>
      </c>
      <c r="CV197" t="b">
        <f t="shared" si="151"/>
        <v>1</v>
      </c>
      <c r="DC197" t="str">
        <f t="shared" ref="DC197:DC260" si="190">CI197</f>
        <v>G863</v>
      </c>
      <c r="DD197" t="b">
        <f t="shared" si="152"/>
        <v>0</v>
      </c>
      <c r="DE197" t="str">
        <f t="shared" si="153"/>
        <v>G863</v>
      </c>
      <c r="DF197" t="str">
        <f t="shared" ref="DF197:DF260" si="191">CQ197</f>
        <v>R125</v>
      </c>
      <c r="DG197" t="b">
        <f t="shared" si="154"/>
        <v>0</v>
      </c>
      <c r="DH197" t="str">
        <f t="shared" si="155"/>
        <v>R125</v>
      </c>
    </row>
    <row r="198" spans="2:112" ht="12" customHeight="1">
      <c r="B198" t="str">
        <f>TBIDry!H270</f>
        <v>G105</v>
      </c>
      <c r="C198" t="str">
        <f>TBIDry!I270</f>
        <v>R389</v>
      </c>
      <c r="D198" t="b">
        <f t="shared" si="158"/>
        <v>0</v>
      </c>
      <c r="E198" t="b">
        <f t="shared" si="159"/>
        <v>0</v>
      </c>
      <c r="G198" t="str">
        <f>TBIWet!H270</f>
        <v>G821</v>
      </c>
      <c r="H198" t="str">
        <f>TBIWet!I270</f>
        <v>R378</v>
      </c>
      <c r="I198" t="b">
        <f t="shared" si="160"/>
        <v>0</v>
      </c>
      <c r="J198" t="b">
        <f t="shared" si="161"/>
        <v>0</v>
      </c>
      <c r="L198" t="str">
        <f>'Both teabags AfterWet'!A196</f>
        <v>G615</v>
      </c>
      <c r="M198" t="str">
        <f>'Both teabags AfterWet'!A616</f>
        <v>R396</v>
      </c>
      <c r="N198" t="b">
        <f t="shared" si="162"/>
        <v>0</v>
      </c>
      <c r="O198" t="b">
        <f t="shared" si="156"/>
        <v>0</v>
      </c>
      <c r="Q198" s="395" t="b">
        <f t="shared" si="163"/>
        <v>0</v>
      </c>
      <c r="R198" s="395" t="b">
        <f t="shared" si="164"/>
        <v>0</v>
      </c>
      <c r="T198" t="str">
        <f>'Both teabags AfterDry'!A196</f>
        <v>G372</v>
      </c>
      <c r="U198" t="str">
        <f>'Both teabags AfterDry'!A531</f>
        <v>R678</v>
      </c>
      <c r="V198" t="b">
        <f t="shared" si="165"/>
        <v>0</v>
      </c>
      <c r="W198" t="b">
        <f t="shared" ref="W198:W261" si="192">COUNTIF($U$4:$U$2000, U198)&gt;1</f>
        <v>0</v>
      </c>
      <c r="Y198" t="str">
        <f>'Green_rooibos initial weight'!A199</f>
        <v>G195</v>
      </c>
      <c r="Z198" t="str">
        <f>'Green_rooibos initial weight'!A1103</f>
        <v>R195</v>
      </c>
      <c r="AA198" t="b">
        <f t="shared" si="166"/>
        <v>0</v>
      </c>
      <c r="AB198" t="b">
        <f t="shared" si="167"/>
        <v>0</v>
      </c>
      <c r="AE198" t="str">
        <f>'WetLitterbags placem_collection'!K197</f>
        <v>G821</v>
      </c>
      <c r="AF198" t="str">
        <f>'WetLitterbags placem_collection'!M197</f>
        <v>R378</v>
      </c>
      <c r="AG198" t="b">
        <f t="shared" si="168"/>
        <v>0</v>
      </c>
      <c r="AH198" t="b">
        <f t="shared" si="169"/>
        <v>0</v>
      </c>
      <c r="AJ198" t="b">
        <f t="shared" si="170"/>
        <v>0</v>
      </c>
      <c r="AK198" t="b">
        <f t="shared" si="171"/>
        <v>0</v>
      </c>
      <c r="AM198" t="str">
        <f>IF(ISBLANK('Dry_Litterbag Placem_Collection'!J197),"","G"&amp;""&amp;'Dry_Litterbag Placem_Collection'!J197)</f>
        <v>G105</v>
      </c>
      <c r="AN198" t="str">
        <f>IF(ISBLANK('Dry_Litterbag Placem_Collection'!K197),"","R"&amp;""&amp;'Dry_Litterbag Placem_Collection'!K197)</f>
        <v>R389</v>
      </c>
      <c r="AO198" t="b">
        <f t="shared" si="172"/>
        <v>0</v>
      </c>
      <c r="AP198" t="b">
        <f t="shared" si="173"/>
        <v>0</v>
      </c>
      <c r="AS198" t="str">
        <f>'Ashed teabags dry'!A196</f>
        <v>G372</v>
      </c>
      <c r="AT198" t="str">
        <f>'Ashed teabags dry'!A531</f>
        <v>R678</v>
      </c>
      <c r="AU198" t="b">
        <f t="shared" si="174"/>
        <v>0</v>
      </c>
      <c r="AV198" t="b">
        <f>COUNTIF($AT$4:$AT$2000, AT198)&gt;1</f>
        <v>0</v>
      </c>
      <c r="AX198" s="395" t="b">
        <f t="shared" si="175"/>
        <v>0</v>
      </c>
      <c r="AY198" s="395" t="b">
        <f t="shared" si="176"/>
        <v>0</v>
      </c>
      <c r="BA198" t="str">
        <f>'Ashed teabags wet'!A196</f>
        <v>G615</v>
      </c>
      <c r="BB198" t="str">
        <f>'Ashed teabags wet'!A616</f>
        <v>R396</v>
      </c>
      <c r="BC198" t="b">
        <f t="shared" si="177"/>
        <v>0</v>
      </c>
      <c r="BD198" t="b">
        <f t="shared" si="157"/>
        <v>0</v>
      </c>
      <c r="BF198" t="str">
        <f t="shared" si="178"/>
        <v>G371</v>
      </c>
      <c r="BG198" t="str">
        <f>T197</f>
        <v>G371</v>
      </c>
      <c r="BH198" t="str">
        <f t="shared" si="179"/>
        <v>G148</v>
      </c>
      <c r="BI198" t="str">
        <f t="shared" ref="BI198:BK261" si="193">CB198</f>
        <v>G148</v>
      </c>
      <c r="BJ198" t="s">
        <v>1679</v>
      </c>
      <c r="BK198" t="s">
        <v>1679</v>
      </c>
      <c r="BL198" t="s">
        <v>1679</v>
      </c>
      <c r="BM198" t="b">
        <f t="shared" ref="BM198:BM261" si="194" xml:space="preserve"> COUNTIF($BJ$5:$BL$2000,BK198)=3</f>
        <v>1</v>
      </c>
      <c r="BN198" t="str">
        <f t="shared" si="180"/>
        <v>R677</v>
      </c>
      <c r="BO198" t="str">
        <f>U197</f>
        <v>R677</v>
      </c>
      <c r="BP198" t="str">
        <f t="shared" si="181"/>
        <v>R653</v>
      </c>
      <c r="BQ198" t="str">
        <f t="shared" si="182"/>
        <v>R653</v>
      </c>
      <c r="BR198" t="s">
        <v>462</v>
      </c>
      <c r="BS198" t="s">
        <v>461</v>
      </c>
      <c r="BT198" t="s">
        <v>462</v>
      </c>
      <c r="BU198" t="b">
        <f t="shared" ref="BU198:BU261" si="195" xml:space="preserve"> COUNTIF($BR$5:$BT$2000,BS198)=3</f>
        <v>1</v>
      </c>
      <c r="BZ198" t="str">
        <f t="shared" si="183"/>
        <v>G148</v>
      </c>
      <c r="CA198" t="b">
        <f t="shared" si="184"/>
        <v>0</v>
      </c>
      <c r="CB198" t="str">
        <f t="shared" ref="CB198:CB261" si="196">IF(ISNUMBER(SEARCH("USANN",CA198)),BZ198,"")</f>
        <v>G148</v>
      </c>
      <c r="CC198" t="str">
        <f t="shared" si="185"/>
        <v>R653</v>
      </c>
      <c r="CD198" t="b">
        <f t="shared" ref="CD198:CD261" si="197">COUNTIF($BW$5:$BW$2000, CC198)=1</f>
        <v>0</v>
      </c>
      <c r="CE198" t="str">
        <f t="shared" ref="CE198:CE261" si="198">IF(ISNUMBER(SEARCH("USANN",CD198)),CC198,"")</f>
        <v>R653</v>
      </c>
      <c r="CG198" t="str">
        <f t="shared" si="186"/>
        <v>G614</v>
      </c>
      <c r="CH198" t="str">
        <f t="shared" ref="CH198:CH261" si="199">L197</f>
        <v>G614</v>
      </c>
      <c r="CI198" t="str">
        <f>AE197</f>
        <v>G615</v>
      </c>
      <c r="CJ198" t="str">
        <f t="shared" si="187"/>
        <v>G615</v>
      </c>
      <c r="CK198" t="s">
        <v>1436</v>
      </c>
      <c r="CL198" t="s">
        <v>1436</v>
      </c>
      <c r="CM198" t="s">
        <v>1436</v>
      </c>
      <c r="CN198" t="b">
        <f t="shared" ref="CN198:CN261" si="200" xml:space="preserve"> COUNTIF($CK$5:$CM$2000,CL198)=3</f>
        <v>1</v>
      </c>
      <c r="CO198" t="str">
        <f t="shared" si="188"/>
        <v>R395</v>
      </c>
      <c r="CP198" t="str">
        <f t="shared" ref="CP198:CP261" si="201">M197</f>
        <v>R395</v>
      </c>
      <c r="CQ198" t="str">
        <f>AF197</f>
        <v>R289</v>
      </c>
      <c r="CR198" t="str">
        <f t="shared" si="189"/>
        <v>R289</v>
      </c>
      <c r="CS198" t="s">
        <v>746</v>
      </c>
      <c r="CT198" t="s">
        <v>746</v>
      </c>
      <c r="CU198" t="s">
        <v>746</v>
      </c>
      <c r="CV198" t="b">
        <f t="shared" ref="CV198:CV261" si="202" xml:space="preserve"> COUNTIF($CS$5:$CU$2000,CT198)=3</f>
        <v>1</v>
      </c>
      <c r="DC198" t="str">
        <f t="shared" si="190"/>
        <v>G615</v>
      </c>
      <c r="DD198" t="b">
        <f t="shared" ref="DD198:DD261" si="203">COUNTIF($CW$5:$CW$2000, DC198)=1</f>
        <v>0</v>
      </c>
      <c r="DE198" t="str">
        <f t="shared" ref="DE198:DE261" si="204">IF(ISNUMBER(SEARCH("USANN",DD198)),DC198,"")</f>
        <v>G615</v>
      </c>
      <c r="DF198" t="str">
        <f t="shared" si="191"/>
        <v>R289</v>
      </c>
      <c r="DG198" t="b">
        <f t="shared" ref="DG198:DG261" si="205">COUNTIF($CY$5:$CY$2000, DF198)=1</f>
        <v>0</v>
      </c>
      <c r="DH198" t="str">
        <f t="shared" ref="DH198:DH261" si="206">IF(ISNUMBER(SEARCH("USANN",DG198)),DF198,"")</f>
        <v>R289</v>
      </c>
    </row>
    <row r="199" spans="2:112" ht="12" customHeight="1">
      <c r="B199" t="str">
        <f>TBIDry!H271</f>
        <v>G12</v>
      </c>
      <c r="C199" t="str">
        <f>TBIDry!I271</f>
        <v>R455</v>
      </c>
      <c r="D199" t="b">
        <f t="shared" si="158"/>
        <v>0</v>
      </c>
      <c r="E199" t="b">
        <f t="shared" si="159"/>
        <v>0</v>
      </c>
      <c r="G199" t="str">
        <f>TBIWet!H271</f>
        <v>G754</v>
      </c>
      <c r="H199" t="str">
        <f>TBIWet!I271</f>
        <v>R375</v>
      </c>
      <c r="I199" t="b">
        <f t="shared" si="160"/>
        <v>0</v>
      </c>
      <c r="J199" t="b">
        <f t="shared" si="161"/>
        <v>0</v>
      </c>
      <c r="L199" t="str">
        <f>'Both teabags AfterWet'!A197</f>
        <v>G616</v>
      </c>
      <c r="M199" t="str">
        <f>'Both teabags AfterWet'!A617</f>
        <v>R398</v>
      </c>
      <c r="N199" t="b">
        <f t="shared" si="162"/>
        <v>0</v>
      </c>
      <c r="O199" t="b">
        <f t="shared" ref="O199:O262" si="207">COUNTIF($M$4:$M$2000, M199)&gt;1</f>
        <v>0</v>
      </c>
      <c r="Q199" s="395" t="b">
        <f t="shared" si="163"/>
        <v>0</v>
      </c>
      <c r="R199" s="395" t="b">
        <f t="shared" si="164"/>
        <v>0</v>
      </c>
      <c r="T199" t="str">
        <f>'Both teabags AfterDry'!A197</f>
        <v>G377</v>
      </c>
      <c r="U199" t="str">
        <f>'Both teabags AfterDry'!A532</f>
        <v>R679</v>
      </c>
      <c r="V199" t="b">
        <f t="shared" si="165"/>
        <v>0</v>
      </c>
      <c r="W199" t="b">
        <f t="shared" si="192"/>
        <v>0</v>
      </c>
      <c r="Y199" t="str">
        <f>'Green_rooibos initial weight'!A200</f>
        <v>G196</v>
      </c>
      <c r="Z199" t="str">
        <f>'Green_rooibos initial weight'!A1104</f>
        <v>R196</v>
      </c>
      <c r="AA199" t="b">
        <f t="shared" si="166"/>
        <v>0</v>
      </c>
      <c r="AB199" t="b">
        <f t="shared" si="167"/>
        <v>0</v>
      </c>
      <c r="AE199" t="str">
        <f>'WetLitterbags placem_collection'!K198</f>
        <v>G754</v>
      </c>
      <c r="AF199" t="str">
        <f>'WetLitterbags placem_collection'!M198</f>
        <v>R375</v>
      </c>
      <c r="AG199" t="b">
        <f t="shared" si="168"/>
        <v>0</v>
      </c>
      <c r="AH199" t="b">
        <f t="shared" si="169"/>
        <v>0</v>
      </c>
      <c r="AJ199" t="b">
        <f t="shared" si="170"/>
        <v>0</v>
      </c>
      <c r="AK199" t="b">
        <f t="shared" si="171"/>
        <v>0</v>
      </c>
      <c r="AM199" t="str">
        <f>IF(ISBLANK('Dry_Litterbag Placem_Collection'!J198),"","G"&amp;""&amp;'Dry_Litterbag Placem_Collection'!J198)</f>
        <v>G12</v>
      </c>
      <c r="AN199" t="str">
        <f>IF(ISBLANK('Dry_Litterbag Placem_Collection'!K198),"","R"&amp;""&amp;'Dry_Litterbag Placem_Collection'!K198)</f>
        <v>R455</v>
      </c>
      <c r="AO199" t="b">
        <f t="shared" si="172"/>
        <v>0</v>
      </c>
      <c r="AP199" t="b">
        <f t="shared" si="173"/>
        <v>0</v>
      </c>
      <c r="AS199" t="str">
        <f>'Ashed teabags dry'!A197</f>
        <v>G377</v>
      </c>
      <c r="AT199" t="str">
        <f>'Ashed teabags dry'!A532</f>
        <v>R679</v>
      </c>
      <c r="AU199" t="b">
        <f t="shared" si="174"/>
        <v>0</v>
      </c>
      <c r="AV199" t="b">
        <f>COUNTIF($AT$4:$AT$2000, AT199)&gt;1</f>
        <v>0</v>
      </c>
      <c r="AX199" s="395" t="b">
        <f t="shared" si="175"/>
        <v>0</v>
      </c>
      <c r="AY199" s="395" t="b">
        <f t="shared" si="176"/>
        <v>0</v>
      </c>
      <c r="BA199" t="str">
        <f>'Ashed teabags wet'!A197</f>
        <v>G616</v>
      </c>
      <c r="BB199" t="str">
        <f>'Ashed teabags wet'!A617</f>
        <v>R398</v>
      </c>
      <c r="BC199" t="b">
        <f t="shared" si="177"/>
        <v>0</v>
      </c>
      <c r="BD199" t="b">
        <f t="shared" si="157"/>
        <v>0</v>
      </c>
      <c r="BF199" t="str">
        <f t="shared" si="178"/>
        <v>G372</v>
      </c>
      <c r="BG199" t="str">
        <f>T198</f>
        <v>G372</v>
      </c>
      <c r="BH199" t="str">
        <f t="shared" si="179"/>
        <v>G105</v>
      </c>
      <c r="BI199" t="str">
        <f t="shared" si="193"/>
        <v>G105</v>
      </c>
      <c r="BJ199" t="s">
        <v>1678</v>
      </c>
      <c r="BK199" t="s">
        <v>1678</v>
      </c>
      <c r="BL199" t="s">
        <v>1678</v>
      </c>
      <c r="BM199" t="b">
        <f t="shared" si="194"/>
        <v>1</v>
      </c>
      <c r="BN199" t="str">
        <f t="shared" si="180"/>
        <v>R678</v>
      </c>
      <c r="BO199" t="str">
        <f>U198</f>
        <v>R678</v>
      </c>
      <c r="BP199" t="str">
        <f t="shared" si="181"/>
        <v>R389</v>
      </c>
      <c r="BQ199" t="str">
        <f t="shared" si="182"/>
        <v>R389</v>
      </c>
      <c r="BR199" t="s">
        <v>461</v>
      </c>
      <c r="BS199" t="s">
        <v>460</v>
      </c>
      <c r="BT199" t="s">
        <v>461</v>
      </c>
      <c r="BU199" t="b">
        <f t="shared" si="195"/>
        <v>1</v>
      </c>
      <c r="BZ199" t="str">
        <f t="shared" si="183"/>
        <v>G105</v>
      </c>
      <c r="CA199" t="b">
        <f t="shared" si="184"/>
        <v>0</v>
      </c>
      <c r="CB199" t="str">
        <f t="shared" si="196"/>
        <v>G105</v>
      </c>
      <c r="CC199" t="str">
        <f t="shared" si="185"/>
        <v>R389</v>
      </c>
      <c r="CD199" t="b">
        <f t="shared" si="197"/>
        <v>0</v>
      </c>
      <c r="CE199" t="str">
        <f t="shared" si="198"/>
        <v>R389</v>
      </c>
      <c r="CG199" t="str">
        <f t="shared" si="186"/>
        <v>G615</v>
      </c>
      <c r="CH199" t="str">
        <f t="shared" si="199"/>
        <v>G615</v>
      </c>
      <c r="CI199" t="str">
        <f>AE198</f>
        <v>G821</v>
      </c>
      <c r="CJ199" t="str">
        <f t="shared" si="187"/>
        <v>G821</v>
      </c>
      <c r="CK199" t="s">
        <v>1435</v>
      </c>
      <c r="CL199" t="s">
        <v>1435</v>
      </c>
      <c r="CM199" t="s">
        <v>1435</v>
      </c>
      <c r="CN199" t="b">
        <f t="shared" si="200"/>
        <v>1</v>
      </c>
      <c r="CO199" t="str">
        <f t="shared" si="188"/>
        <v>R396</v>
      </c>
      <c r="CP199" t="str">
        <f t="shared" si="201"/>
        <v>R396</v>
      </c>
      <c r="CQ199" t="str">
        <f>AF198</f>
        <v>R378</v>
      </c>
      <c r="CR199" t="str">
        <f t="shared" si="189"/>
        <v>R378</v>
      </c>
      <c r="CS199" t="s">
        <v>745</v>
      </c>
      <c r="CT199" t="s">
        <v>745</v>
      </c>
      <c r="CU199" t="s">
        <v>745</v>
      </c>
      <c r="CV199" t="b">
        <f t="shared" si="202"/>
        <v>1</v>
      </c>
      <c r="DC199" t="str">
        <f t="shared" si="190"/>
        <v>G821</v>
      </c>
      <c r="DD199" t="b">
        <f t="shared" si="203"/>
        <v>0</v>
      </c>
      <c r="DE199" t="str">
        <f t="shared" si="204"/>
        <v>G821</v>
      </c>
      <c r="DF199" t="str">
        <f t="shared" si="191"/>
        <v>R378</v>
      </c>
      <c r="DG199" t="b">
        <f t="shared" si="205"/>
        <v>0</v>
      </c>
      <c r="DH199" t="str">
        <f t="shared" si="206"/>
        <v>R378</v>
      </c>
    </row>
    <row r="200" spans="2:112" ht="12" customHeight="1">
      <c r="B200" t="str">
        <f>TBIDry!H272</f>
        <v>G399</v>
      </c>
      <c r="C200" t="str">
        <f>TBIDry!I272</f>
        <v>R692</v>
      </c>
      <c r="D200" t="b">
        <f t="shared" si="158"/>
        <v>0</v>
      </c>
      <c r="E200" t="b">
        <f t="shared" si="159"/>
        <v>0</v>
      </c>
      <c r="G200" t="str">
        <f>TBIWet!H272</f>
        <v>G715</v>
      </c>
      <c r="H200" t="str">
        <f>TBIWet!I272</f>
        <v>R219</v>
      </c>
      <c r="I200" t="b">
        <f t="shared" si="160"/>
        <v>0</v>
      </c>
      <c r="J200" t="b">
        <f t="shared" si="161"/>
        <v>0</v>
      </c>
      <c r="L200" t="str">
        <f>'Both teabags AfterWet'!A198</f>
        <v>G618</v>
      </c>
      <c r="M200" t="str">
        <f>'Both teabags AfterWet'!A618</f>
        <v>R4</v>
      </c>
      <c r="N200" t="b">
        <f t="shared" si="162"/>
        <v>0</v>
      </c>
      <c r="O200" t="b">
        <f t="shared" si="207"/>
        <v>0</v>
      </c>
      <c r="Q200" s="395" t="b">
        <f t="shared" si="163"/>
        <v>0</v>
      </c>
      <c r="R200" s="395" t="b">
        <f t="shared" si="164"/>
        <v>0</v>
      </c>
      <c r="T200" t="str">
        <f>'Both teabags AfterDry'!A198</f>
        <v>G379</v>
      </c>
      <c r="U200" t="str">
        <f>'Both teabags AfterDry'!A533</f>
        <v>R680</v>
      </c>
      <c r="V200" t="b">
        <f t="shared" si="165"/>
        <v>0</v>
      </c>
      <c r="W200" t="b">
        <f t="shared" si="192"/>
        <v>0</v>
      </c>
      <c r="Y200" t="str">
        <f>'Green_rooibos initial weight'!A201</f>
        <v>G197</v>
      </c>
      <c r="Z200" t="str">
        <f>'Green_rooibos initial weight'!A1105</f>
        <v>R197</v>
      </c>
      <c r="AA200" t="b">
        <f t="shared" si="166"/>
        <v>0</v>
      </c>
      <c r="AB200" t="b">
        <f t="shared" si="167"/>
        <v>0</v>
      </c>
      <c r="AE200" t="str">
        <f>'WetLitterbags placem_collection'!K199</f>
        <v>G715</v>
      </c>
      <c r="AF200" t="str">
        <f>'WetLitterbags placem_collection'!M199</f>
        <v>R219</v>
      </c>
      <c r="AG200" t="b">
        <f t="shared" si="168"/>
        <v>0</v>
      </c>
      <c r="AH200" t="b">
        <f t="shared" si="169"/>
        <v>0</v>
      </c>
      <c r="AJ200" t="b">
        <f t="shared" si="170"/>
        <v>0</v>
      </c>
      <c r="AK200" t="b">
        <f t="shared" si="171"/>
        <v>0</v>
      </c>
      <c r="AM200" t="str">
        <f>IF(ISBLANK('Dry_Litterbag Placem_Collection'!J199),"","G"&amp;""&amp;'Dry_Litterbag Placem_Collection'!J199)</f>
        <v>G399</v>
      </c>
      <c r="AN200" t="str">
        <f>IF(ISBLANK('Dry_Litterbag Placem_Collection'!K199),"","R"&amp;""&amp;'Dry_Litterbag Placem_Collection'!K199)</f>
        <v>R692</v>
      </c>
      <c r="AO200" t="b">
        <f t="shared" si="172"/>
        <v>0</v>
      </c>
      <c r="AP200" t="b">
        <f t="shared" si="173"/>
        <v>0</v>
      </c>
      <c r="AS200" t="str">
        <f>'Ashed teabags dry'!A198</f>
        <v>G379</v>
      </c>
      <c r="AT200" t="str">
        <f>'Ashed teabags dry'!A533</f>
        <v>R680</v>
      </c>
      <c r="AU200" t="b">
        <f t="shared" si="174"/>
        <v>0</v>
      </c>
      <c r="AV200" t="b">
        <f>COUNTIF($AT$4:$AT$2000, AT200)&gt;1</f>
        <v>0</v>
      </c>
      <c r="AX200" s="395" t="b">
        <f t="shared" si="175"/>
        <v>0</v>
      </c>
      <c r="AY200" s="395" t="b">
        <f t="shared" si="176"/>
        <v>0</v>
      </c>
      <c r="BA200" t="str">
        <f>'Ashed teabags wet'!A198</f>
        <v>G618</v>
      </c>
      <c r="BB200" t="str">
        <f>'Ashed teabags wet'!A618</f>
        <v>R4</v>
      </c>
      <c r="BC200" t="b">
        <f t="shared" si="177"/>
        <v>0</v>
      </c>
      <c r="BD200" t="b">
        <f t="shared" si="157"/>
        <v>0</v>
      </c>
      <c r="BF200" t="str">
        <f t="shared" si="178"/>
        <v>G377</v>
      </c>
      <c r="BG200" t="str">
        <f>T199</f>
        <v>G377</v>
      </c>
      <c r="BH200" t="str">
        <f t="shared" si="179"/>
        <v>G12</v>
      </c>
      <c r="BI200" t="str">
        <f t="shared" si="193"/>
        <v>G12</v>
      </c>
      <c r="BJ200" t="s">
        <v>1673</v>
      </c>
      <c r="BK200" t="s">
        <v>1673</v>
      </c>
      <c r="BL200" t="s">
        <v>1673</v>
      </c>
      <c r="BM200" t="b">
        <f t="shared" si="194"/>
        <v>1</v>
      </c>
      <c r="BN200" t="str">
        <f t="shared" si="180"/>
        <v>R679</v>
      </c>
      <c r="BO200" t="str">
        <f>U199</f>
        <v>R679</v>
      </c>
      <c r="BP200" t="str">
        <f t="shared" si="181"/>
        <v>R455</v>
      </c>
      <c r="BQ200" t="str">
        <f t="shared" si="182"/>
        <v>R455</v>
      </c>
      <c r="BR200" t="s">
        <v>460</v>
      </c>
      <c r="BS200" t="s">
        <v>459</v>
      </c>
      <c r="BT200" t="s">
        <v>460</v>
      </c>
      <c r="BU200" t="b">
        <f t="shared" si="195"/>
        <v>1</v>
      </c>
      <c r="BZ200" t="str">
        <f t="shared" si="183"/>
        <v>G12</v>
      </c>
      <c r="CA200" t="b">
        <f t="shared" si="184"/>
        <v>0</v>
      </c>
      <c r="CB200" t="str">
        <f t="shared" si="196"/>
        <v>G12</v>
      </c>
      <c r="CC200" t="str">
        <f t="shared" si="185"/>
        <v>R455</v>
      </c>
      <c r="CD200" t="b">
        <f t="shared" si="197"/>
        <v>0</v>
      </c>
      <c r="CE200" t="str">
        <f t="shared" si="198"/>
        <v>R455</v>
      </c>
      <c r="CG200" t="str">
        <f t="shared" si="186"/>
        <v>G616</v>
      </c>
      <c r="CH200" t="str">
        <f t="shared" si="199"/>
        <v>G616</v>
      </c>
      <c r="CI200" t="str">
        <f>AE199</f>
        <v>G754</v>
      </c>
      <c r="CJ200" t="str">
        <f t="shared" si="187"/>
        <v>G754</v>
      </c>
      <c r="CK200" t="s">
        <v>1434</v>
      </c>
      <c r="CL200" t="s">
        <v>1434</v>
      </c>
      <c r="CM200" t="s">
        <v>1434</v>
      </c>
      <c r="CN200" t="b">
        <f t="shared" si="200"/>
        <v>1</v>
      </c>
      <c r="CO200" t="str">
        <f t="shared" si="188"/>
        <v>R398</v>
      </c>
      <c r="CP200" t="str">
        <f t="shared" si="201"/>
        <v>R398</v>
      </c>
      <c r="CQ200" t="str">
        <f>AF199</f>
        <v>R375</v>
      </c>
      <c r="CR200" t="str">
        <f t="shared" si="189"/>
        <v>R375</v>
      </c>
      <c r="CS200" t="s">
        <v>743</v>
      </c>
      <c r="CT200" t="s">
        <v>743</v>
      </c>
      <c r="CU200" t="s">
        <v>743</v>
      </c>
      <c r="CV200" t="b">
        <f t="shared" si="202"/>
        <v>1</v>
      </c>
      <c r="DC200" t="str">
        <f t="shared" si="190"/>
        <v>G754</v>
      </c>
      <c r="DD200" t="b">
        <f t="shared" si="203"/>
        <v>0</v>
      </c>
      <c r="DE200" t="str">
        <f t="shared" si="204"/>
        <v>G754</v>
      </c>
      <c r="DF200" t="str">
        <f t="shared" si="191"/>
        <v>R375</v>
      </c>
      <c r="DG200" t="b">
        <f t="shared" si="205"/>
        <v>0</v>
      </c>
      <c r="DH200" t="str">
        <f t="shared" si="206"/>
        <v>R375</v>
      </c>
    </row>
    <row r="201" spans="2:112" ht="12" customHeight="1">
      <c r="B201" t="str">
        <f>TBIDry!H273</f>
        <v>G27</v>
      </c>
      <c r="C201" t="str">
        <f>TBIDry!I273</f>
        <v>R352</v>
      </c>
      <c r="D201" t="b">
        <f t="shared" si="158"/>
        <v>0</v>
      </c>
      <c r="E201" t="b">
        <f t="shared" si="159"/>
        <v>0</v>
      </c>
      <c r="G201" t="str">
        <f>TBIWet!H273</f>
        <v>G785</v>
      </c>
      <c r="H201" t="str">
        <f>TBIWet!I273</f>
        <v>R463</v>
      </c>
      <c r="I201" t="b">
        <f t="shared" si="160"/>
        <v>0</v>
      </c>
      <c r="J201" t="b">
        <f t="shared" si="161"/>
        <v>0</v>
      </c>
      <c r="L201" t="str">
        <f>'Both teabags AfterWet'!A199</f>
        <v>G619</v>
      </c>
      <c r="M201" t="str">
        <f>'Both teabags AfterWet'!A619</f>
        <v>R40</v>
      </c>
      <c r="N201" t="b">
        <f t="shared" si="162"/>
        <v>0</v>
      </c>
      <c r="O201" t="b">
        <f t="shared" si="207"/>
        <v>0</v>
      </c>
      <c r="Q201" s="395" t="b">
        <f t="shared" si="163"/>
        <v>0</v>
      </c>
      <c r="R201" s="395" t="b">
        <f t="shared" si="164"/>
        <v>0</v>
      </c>
      <c r="T201" t="str">
        <f>'Both teabags AfterDry'!A199</f>
        <v>G38</v>
      </c>
      <c r="U201" t="str">
        <f>'Both teabags AfterDry'!A534</f>
        <v>R681</v>
      </c>
      <c r="V201" t="b">
        <f t="shared" si="165"/>
        <v>0</v>
      </c>
      <c r="W201" t="b">
        <f t="shared" si="192"/>
        <v>0</v>
      </c>
      <c r="Y201" t="str">
        <f>'Green_rooibos initial weight'!A202</f>
        <v>G198</v>
      </c>
      <c r="Z201" t="str">
        <f>'Green_rooibos initial weight'!A1106</f>
        <v>R198</v>
      </c>
      <c r="AA201" t="b">
        <f t="shared" si="166"/>
        <v>0</v>
      </c>
      <c r="AB201" t="b">
        <f t="shared" si="167"/>
        <v>0</v>
      </c>
      <c r="AE201" t="str">
        <f>'WetLitterbags placem_collection'!K200</f>
        <v>G785</v>
      </c>
      <c r="AF201" t="str">
        <f>'WetLitterbags placem_collection'!M200</f>
        <v>R463</v>
      </c>
      <c r="AG201" t="b">
        <f t="shared" si="168"/>
        <v>0</v>
      </c>
      <c r="AH201" t="b">
        <f t="shared" si="169"/>
        <v>0</v>
      </c>
      <c r="AJ201" t="b">
        <f t="shared" si="170"/>
        <v>0</v>
      </c>
      <c r="AK201" t="b">
        <f t="shared" si="171"/>
        <v>0</v>
      </c>
      <c r="AM201" t="str">
        <f>IF(ISBLANK('Dry_Litterbag Placem_Collection'!J200),"","G"&amp;""&amp;'Dry_Litterbag Placem_Collection'!J200)</f>
        <v>G27</v>
      </c>
      <c r="AN201" t="str">
        <f>IF(ISBLANK('Dry_Litterbag Placem_Collection'!K200),"","R"&amp;""&amp;'Dry_Litterbag Placem_Collection'!K200)</f>
        <v>R352</v>
      </c>
      <c r="AO201" t="b">
        <f t="shared" si="172"/>
        <v>0</v>
      </c>
      <c r="AP201" t="b">
        <f t="shared" si="173"/>
        <v>0</v>
      </c>
      <c r="AS201" t="str">
        <f>'Ashed teabags dry'!A199</f>
        <v>G38</v>
      </c>
      <c r="AT201" t="str">
        <f>'Ashed teabags dry'!A534</f>
        <v>R681</v>
      </c>
      <c r="AU201" t="b">
        <f t="shared" si="174"/>
        <v>0</v>
      </c>
      <c r="AV201" t="b">
        <f>COUNTIF($AT$4:$AT$2000, AT201)&gt;1</f>
        <v>0</v>
      </c>
      <c r="AX201" s="395" t="b">
        <f t="shared" si="175"/>
        <v>0</v>
      </c>
      <c r="AY201" s="395" t="b">
        <f t="shared" si="176"/>
        <v>0</v>
      </c>
      <c r="BA201" t="str">
        <f>'Ashed teabags wet'!A199</f>
        <v>G619</v>
      </c>
      <c r="BB201" t="str">
        <f>'Ashed teabags wet'!A619</f>
        <v>R40</v>
      </c>
      <c r="BC201" t="b">
        <f t="shared" si="177"/>
        <v>0</v>
      </c>
      <c r="BD201" t="b">
        <f t="shared" si="157"/>
        <v>0</v>
      </c>
      <c r="BF201" t="str">
        <f t="shared" si="178"/>
        <v>G379</v>
      </c>
      <c r="BG201" t="str">
        <f>T200</f>
        <v>G379</v>
      </c>
      <c r="BH201" t="str">
        <f t="shared" si="179"/>
        <v>G399</v>
      </c>
      <c r="BI201" t="str">
        <f t="shared" si="193"/>
        <v>G399</v>
      </c>
      <c r="BJ201" t="s">
        <v>1671</v>
      </c>
      <c r="BK201" t="s">
        <v>1671</v>
      </c>
      <c r="BL201" t="s">
        <v>1671</v>
      </c>
      <c r="BM201" t="b">
        <f t="shared" si="194"/>
        <v>1</v>
      </c>
      <c r="BN201" t="str">
        <f t="shared" si="180"/>
        <v>R680</v>
      </c>
      <c r="BO201" t="str">
        <f>U200</f>
        <v>R680</v>
      </c>
      <c r="BP201" t="str">
        <f t="shared" si="181"/>
        <v>R692</v>
      </c>
      <c r="BQ201" t="str">
        <f t="shared" si="182"/>
        <v>R692</v>
      </c>
      <c r="BR201" t="s">
        <v>459</v>
      </c>
      <c r="BS201" t="s">
        <v>458</v>
      </c>
      <c r="BT201" t="s">
        <v>459</v>
      </c>
      <c r="BU201" t="b">
        <f t="shared" si="195"/>
        <v>1</v>
      </c>
      <c r="BZ201" t="str">
        <f t="shared" si="183"/>
        <v>G399</v>
      </c>
      <c r="CA201" t="b">
        <f t="shared" si="184"/>
        <v>0</v>
      </c>
      <c r="CB201" t="str">
        <f t="shared" si="196"/>
        <v>G399</v>
      </c>
      <c r="CC201" t="str">
        <f t="shared" si="185"/>
        <v>R692</v>
      </c>
      <c r="CD201" t="b">
        <f t="shared" si="197"/>
        <v>0</v>
      </c>
      <c r="CE201" t="str">
        <f t="shared" si="198"/>
        <v>R692</v>
      </c>
      <c r="CG201" t="str">
        <f t="shared" si="186"/>
        <v>G618</v>
      </c>
      <c r="CH201" t="str">
        <f t="shared" si="199"/>
        <v>G618</v>
      </c>
      <c r="CI201" t="str">
        <f>AE200</f>
        <v>G715</v>
      </c>
      <c r="CJ201" t="str">
        <f t="shared" si="187"/>
        <v>G715</v>
      </c>
      <c r="CK201" t="s">
        <v>1432</v>
      </c>
      <c r="CL201" t="s">
        <v>1432</v>
      </c>
      <c r="CM201" t="s">
        <v>1432</v>
      </c>
      <c r="CN201" t="b">
        <f t="shared" si="200"/>
        <v>1</v>
      </c>
      <c r="CO201" t="str">
        <f t="shared" si="188"/>
        <v>R4</v>
      </c>
      <c r="CP201" t="str">
        <f t="shared" si="201"/>
        <v>R4</v>
      </c>
      <c r="CQ201" t="str">
        <f>AF200</f>
        <v>R219</v>
      </c>
      <c r="CR201" t="str">
        <f t="shared" si="189"/>
        <v>R219</v>
      </c>
      <c r="CS201" t="s">
        <v>1137</v>
      </c>
      <c r="CT201" t="s">
        <v>1137</v>
      </c>
      <c r="CU201" t="s">
        <v>1137</v>
      </c>
      <c r="CV201" t="b">
        <f t="shared" si="202"/>
        <v>1</v>
      </c>
      <c r="DC201" t="str">
        <f t="shared" si="190"/>
        <v>G715</v>
      </c>
      <c r="DD201" t="b">
        <f t="shared" si="203"/>
        <v>0</v>
      </c>
      <c r="DE201" t="str">
        <f t="shared" si="204"/>
        <v>G715</v>
      </c>
      <c r="DF201" t="str">
        <f t="shared" si="191"/>
        <v>R219</v>
      </c>
      <c r="DG201" t="b">
        <f t="shared" si="205"/>
        <v>0</v>
      </c>
      <c r="DH201" t="str">
        <f t="shared" si="206"/>
        <v>R219</v>
      </c>
    </row>
    <row r="202" spans="2:112" ht="12" customHeight="1">
      <c r="B202" t="str">
        <f>TBIDry!H274</f>
        <v>G224</v>
      </c>
      <c r="C202" t="str">
        <f>TBIDry!I274</f>
        <v>R327</v>
      </c>
      <c r="D202" t="b">
        <f t="shared" si="158"/>
        <v>0</v>
      </c>
      <c r="E202" t="b">
        <f t="shared" si="159"/>
        <v>0</v>
      </c>
      <c r="G202" t="str">
        <f>TBIWet!H274</f>
        <v>G877</v>
      </c>
      <c r="H202" t="str">
        <f>TBIWet!I274</f>
        <v>R339</v>
      </c>
      <c r="I202" t="b">
        <f t="shared" si="160"/>
        <v>0</v>
      </c>
      <c r="J202" t="b">
        <f t="shared" si="161"/>
        <v>0</v>
      </c>
      <c r="L202" t="str">
        <f>'Both teabags AfterWet'!A200</f>
        <v>G620</v>
      </c>
      <c r="M202" t="str">
        <f>'Both teabags AfterWet'!A620</f>
        <v>R403</v>
      </c>
      <c r="N202" t="b">
        <f t="shared" si="162"/>
        <v>0</v>
      </c>
      <c r="O202" t="b">
        <f t="shared" si="207"/>
        <v>0</v>
      </c>
      <c r="Q202" s="395" t="b">
        <f t="shared" si="163"/>
        <v>0</v>
      </c>
      <c r="R202" s="395" t="b">
        <f t="shared" si="164"/>
        <v>0</v>
      </c>
      <c r="T202" t="str">
        <f>'Both teabags AfterDry'!A200</f>
        <v>G380</v>
      </c>
      <c r="U202" t="str">
        <f>'Both teabags AfterDry'!A535</f>
        <v>R682</v>
      </c>
      <c r="V202" t="b">
        <f t="shared" si="165"/>
        <v>0</v>
      </c>
      <c r="W202" t="b">
        <f t="shared" si="192"/>
        <v>0</v>
      </c>
      <c r="Y202" t="str">
        <f>'Green_rooibos initial weight'!A203</f>
        <v>G199</v>
      </c>
      <c r="Z202" t="str">
        <f>'Green_rooibos initial weight'!A1107</f>
        <v>R199</v>
      </c>
      <c r="AA202" t="b">
        <f t="shared" si="166"/>
        <v>0</v>
      </c>
      <c r="AB202" t="b">
        <f t="shared" si="167"/>
        <v>0</v>
      </c>
      <c r="AE202" t="str">
        <f>'WetLitterbags placem_collection'!K201</f>
        <v>G877</v>
      </c>
      <c r="AF202" t="str">
        <f>'WetLitterbags placem_collection'!M201</f>
        <v>R339</v>
      </c>
      <c r="AG202" t="b">
        <f t="shared" si="168"/>
        <v>0</v>
      </c>
      <c r="AH202" t="b">
        <f t="shared" si="169"/>
        <v>0</v>
      </c>
      <c r="AJ202" t="b">
        <f t="shared" si="170"/>
        <v>0</v>
      </c>
      <c r="AK202" t="b">
        <f t="shared" si="171"/>
        <v>0</v>
      </c>
      <c r="AM202" t="str">
        <f>IF(ISBLANK('Dry_Litterbag Placem_Collection'!J201),"","G"&amp;""&amp;'Dry_Litterbag Placem_Collection'!J201)</f>
        <v>G224</v>
      </c>
      <c r="AN202" t="str">
        <f>IF(ISBLANK('Dry_Litterbag Placem_Collection'!K201),"","R"&amp;""&amp;'Dry_Litterbag Placem_Collection'!K201)</f>
        <v>R327</v>
      </c>
      <c r="AO202" t="b">
        <f t="shared" si="172"/>
        <v>0</v>
      </c>
      <c r="AP202" t="b">
        <f t="shared" si="173"/>
        <v>0</v>
      </c>
      <c r="AS202" t="str">
        <f>'Ashed teabags dry'!A200</f>
        <v>G380</v>
      </c>
      <c r="AT202" t="str">
        <f>'Ashed teabags dry'!A535</f>
        <v>R682</v>
      </c>
      <c r="AU202" t="b">
        <f t="shared" si="174"/>
        <v>0</v>
      </c>
      <c r="AV202" t="b">
        <f>COUNTIF($AT$4:$AT$2000, AT202)&gt;1</f>
        <v>0</v>
      </c>
      <c r="AX202" s="395" t="b">
        <f t="shared" si="175"/>
        <v>0</v>
      </c>
      <c r="AY202" s="395" t="b">
        <f t="shared" si="176"/>
        <v>0</v>
      </c>
      <c r="BA202" t="str">
        <f>'Ashed teabags wet'!A200</f>
        <v>G620</v>
      </c>
      <c r="BB202" t="str">
        <f>'Ashed teabags wet'!A620</f>
        <v>R403</v>
      </c>
      <c r="BC202" t="b">
        <f t="shared" si="177"/>
        <v>0</v>
      </c>
      <c r="BD202" t="b">
        <f t="shared" si="157"/>
        <v>0</v>
      </c>
      <c r="BF202" t="str">
        <f t="shared" si="178"/>
        <v>G38</v>
      </c>
      <c r="BG202" t="str">
        <f>T201</f>
        <v>G38</v>
      </c>
      <c r="BH202" t="str">
        <f t="shared" si="179"/>
        <v>G27</v>
      </c>
      <c r="BI202" t="str">
        <f t="shared" si="193"/>
        <v>G27</v>
      </c>
      <c r="BJ202" t="s">
        <v>2012</v>
      </c>
      <c r="BK202" t="s">
        <v>2012</v>
      </c>
      <c r="BL202" t="s">
        <v>2012</v>
      </c>
      <c r="BM202" t="b">
        <f t="shared" si="194"/>
        <v>1</v>
      </c>
      <c r="BN202" t="str">
        <f t="shared" si="180"/>
        <v>R681</v>
      </c>
      <c r="BO202" t="str">
        <f>U201</f>
        <v>R681</v>
      </c>
      <c r="BP202" t="str">
        <f t="shared" si="181"/>
        <v>R352</v>
      </c>
      <c r="BQ202" t="str">
        <f t="shared" si="182"/>
        <v>R352</v>
      </c>
      <c r="BR202" t="s">
        <v>458</v>
      </c>
      <c r="BS202" t="s">
        <v>457</v>
      </c>
      <c r="BT202" t="s">
        <v>458</v>
      </c>
      <c r="BU202" t="b">
        <f t="shared" si="195"/>
        <v>1</v>
      </c>
      <c r="BZ202" t="str">
        <f t="shared" si="183"/>
        <v>G27</v>
      </c>
      <c r="CA202" t="b">
        <f t="shared" si="184"/>
        <v>0</v>
      </c>
      <c r="CB202" t="str">
        <f t="shared" si="196"/>
        <v>G27</v>
      </c>
      <c r="CC202" t="str">
        <f t="shared" si="185"/>
        <v>R352</v>
      </c>
      <c r="CD202" t="b">
        <f t="shared" si="197"/>
        <v>0</v>
      </c>
      <c r="CE202" t="str">
        <f t="shared" si="198"/>
        <v>R352</v>
      </c>
      <c r="CG202" t="str">
        <f t="shared" si="186"/>
        <v>G619</v>
      </c>
      <c r="CH202" t="str">
        <f t="shared" si="199"/>
        <v>G619</v>
      </c>
      <c r="CI202" t="str">
        <f>AE201</f>
        <v>G785</v>
      </c>
      <c r="CJ202" t="str">
        <f t="shared" si="187"/>
        <v>G785</v>
      </c>
      <c r="CK202" t="s">
        <v>1431</v>
      </c>
      <c r="CL202" t="s">
        <v>1431</v>
      </c>
      <c r="CM202" t="s">
        <v>1431</v>
      </c>
      <c r="CN202" t="b">
        <f t="shared" si="200"/>
        <v>1</v>
      </c>
      <c r="CO202" t="str">
        <f t="shared" si="188"/>
        <v>R40</v>
      </c>
      <c r="CP202" t="str">
        <f t="shared" si="201"/>
        <v>R40</v>
      </c>
      <c r="CQ202" t="str">
        <f>AF201</f>
        <v>R463</v>
      </c>
      <c r="CR202" t="str">
        <f t="shared" si="189"/>
        <v>R463</v>
      </c>
      <c r="CS202" t="s">
        <v>1101</v>
      </c>
      <c r="CT202" t="s">
        <v>1101</v>
      </c>
      <c r="CU202" t="s">
        <v>1101</v>
      </c>
      <c r="CV202" t="b">
        <f t="shared" si="202"/>
        <v>1</v>
      </c>
      <c r="DC202" t="str">
        <f t="shared" si="190"/>
        <v>G785</v>
      </c>
      <c r="DD202" t="b">
        <f t="shared" si="203"/>
        <v>0</v>
      </c>
      <c r="DE202" t="str">
        <f t="shared" si="204"/>
        <v>G785</v>
      </c>
      <c r="DF202" t="str">
        <f t="shared" si="191"/>
        <v>R463</v>
      </c>
      <c r="DG202" t="b">
        <f t="shared" si="205"/>
        <v>0</v>
      </c>
      <c r="DH202" t="str">
        <f t="shared" si="206"/>
        <v>R463</v>
      </c>
    </row>
    <row r="203" spans="2:112" ht="12" customHeight="1">
      <c r="B203" t="str">
        <f>TBIDry!H275</f>
        <v>G158</v>
      </c>
      <c r="C203" t="str">
        <f>TBIDry!I275</f>
        <v>R75</v>
      </c>
      <c r="D203" t="b">
        <f t="shared" si="158"/>
        <v>0</v>
      </c>
      <c r="E203" t="b">
        <f t="shared" si="159"/>
        <v>0</v>
      </c>
      <c r="G203" t="str">
        <f>TBIWet!H275</f>
        <v>G816</v>
      </c>
      <c r="H203" t="str">
        <f>TBIWet!I275</f>
        <v>R303</v>
      </c>
      <c r="I203" t="b">
        <f t="shared" si="160"/>
        <v>0</v>
      </c>
      <c r="J203" t="b">
        <f t="shared" si="161"/>
        <v>0</v>
      </c>
      <c r="L203" t="str">
        <f>'Both teabags AfterWet'!A201</f>
        <v>G621</v>
      </c>
      <c r="M203" t="str">
        <f>'Both teabags AfterWet'!A621</f>
        <v>R404</v>
      </c>
      <c r="N203" t="b">
        <f t="shared" si="162"/>
        <v>0</v>
      </c>
      <c r="O203" t="b">
        <f t="shared" si="207"/>
        <v>0</v>
      </c>
      <c r="Q203" s="395" t="b">
        <f t="shared" si="163"/>
        <v>0</v>
      </c>
      <c r="R203" s="395" t="b">
        <f t="shared" si="164"/>
        <v>0</v>
      </c>
      <c r="T203" t="str">
        <f>'Both teabags AfterDry'!A201</f>
        <v>G382</v>
      </c>
      <c r="U203" t="str">
        <f>'Both teabags AfterDry'!A536</f>
        <v>R684</v>
      </c>
      <c r="V203" t="b">
        <f t="shared" si="165"/>
        <v>0</v>
      </c>
      <c r="W203" t="b">
        <f t="shared" si="192"/>
        <v>0</v>
      </c>
      <c r="Y203" t="str">
        <f>'Green_rooibos initial weight'!A204</f>
        <v>G200</v>
      </c>
      <c r="Z203" t="str">
        <f>'Green_rooibos initial weight'!A1108</f>
        <v>R200</v>
      </c>
      <c r="AA203" t="b">
        <f t="shared" si="166"/>
        <v>0</v>
      </c>
      <c r="AB203" t="b">
        <f t="shared" si="167"/>
        <v>0</v>
      </c>
      <c r="AE203" t="str">
        <f>'WetLitterbags placem_collection'!K202</f>
        <v>G816</v>
      </c>
      <c r="AF203" t="str">
        <f>'WetLitterbags placem_collection'!M202</f>
        <v>R303</v>
      </c>
      <c r="AG203" t="b">
        <f t="shared" si="168"/>
        <v>0</v>
      </c>
      <c r="AH203" t="b">
        <f t="shared" si="169"/>
        <v>0</v>
      </c>
      <c r="AJ203" t="b">
        <f t="shared" si="170"/>
        <v>0</v>
      </c>
      <c r="AK203" t="b">
        <f t="shared" si="171"/>
        <v>0</v>
      </c>
      <c r="AM203" t="str">
        <f>IF(ISBLANK('Dry_Litterbag Placem_Collection'!J202),"","G"&amp;""&amp;'Dry_Litterbag Placem_Collection'!J202)</f>
        <v>G158</v>
      </c>
      <c r="AN203" t="str">
        <f>IF(ISBLANK('Dry_Litterbag Placem_Collection'!K202),"","R"&amp;""&amp;'Dry_Litterbag Placem_Collection'!K202)</f>
        <v>R75</v>
      </c>
      <c r="AO203" t="b">
        <f t="shared" si="172"/>
        <v>0</v>
      </c>
      <c r="AP203" t="b">
        <f t="shared" si="173"/>
        <v>0</v>
      </c>
      <c r="AS203" t="str">
        <f>'Ashed teabags dry'!A201</f>
        <v>G382</v>
      </c>
      <c r="AT203" t="str">
        <f>'Ashed teabags dry'!A536</f>
        <v>R684</v>
      </c>
      <c r="AU203" t="b">
        <f t="shared" si="174"/>
        <v>0</v>
      </c>
      <c r="AV203" t="b">
        <f>COUNTIF($AT$4:$AT$2000, AT203)&gt;1</f>
        <v>0</v>
      </c>
      <c r="AX203" s="395" t="b">
        <f t="shared" si="175"/>
        <v>0</v>
      </c>
      <c r="AY203" s="395" t="b">
        <f t="shared" si="176"/>
        <v>0</v>
      </c>
      <c r="BA203" t="str">
        <f>'Ashed teabags wet'!A201</f>
        <v>G621</v>
      </c>
      <c r="BB203" t="str">
        <f>'Ashed teabags wet'!A621</f>
        <v>R404</v>
      </c>
      <c r="BC203" t="b">
        <f t="shared" si="177"/>
        <v>0</v>
      </c>
      <c r="BD203" t="b">
        <f t="shared" si="157"/>
        <v>0</v>
      </c>
      <c r="BF203" t="str">
        <f t="shared" si="178"/>
        <v>G380</v>
      </c>
      <c r="BG203" t="str">
        <f>T202</f>
        <v>G380</v>
      </c>
      <c r="BH203" t="str">
        <f t="shared" si="179"/>
        <v>G224</v>
      </c>
      <c r="BI203" t="str">
        <f t="shared" si="193"/>
        <v>G224</v>
      </c>
      <c r="BJ203" t="s">
        <v>1670</v>
      </c>
      <c r="BK203" t="s">
        <v>1670</v>
      </c>
      <c r="BL203" t="s">
        <v>1670</v>
      </c>
      <c r="BM203" t="b">
        <f t="shared" si="194"/>
        <v>1</v>
      </c>
      <c r="BN203" t="str">
        <f t="shared" si="180"/>
        <v>R682</v>
      </c>
      <c r="BO203" t="str">
        <f>U202</f>
        <v>R682</v>
      </c>
      <c r="BP203" t="str">
        <f t="shared" si="181"/>
        <v>R327</v>
      </c>
      <c r="BQ203" t="str">
        <f t="shared" si="182"/>
        <v>R327</v>
      </c>
      <c r="BR203" t="s">
        <v>457</v>
      </c>
      <c r="BS203" t="s">
        <v>455</v>
      </c>
      <c r="BT203" t="s">
        <v>457</v>
      </c>
      <c r="BU203" t="b">
        <f t="shared" si="195"/>
        <v>1</v>
      </c>
      <c r="BZ203" t="str">
        <f t="shared" si="183"/>
        <v>G224</v>
      </c>
      <c r="CA203" t="b">
        <f t="shared" si="184"/>
        <v>0</v>
      </c>
      <c r="CB203" t="str">
        <f t="shared" si="196"/>
        <v>G224</v>
      </c>
      <c r="CC203" t="str">
        <f t="shared" si="185"/>
        <v>R327</v>
      </c>
      <c r="CD203" t="b">
        <f t="shared" si="197"/>
        <v>0</v>
      </c>
      <c r="CE203" t="str">
        <f t="shared" si="198"/>
        <v>R327</v>
      </c>
      <c r="CG203" t="str">
        <f t="shared" si="186"/>
        <v>G620</v>
      </c>
      <c r="CH203" t="str">
        <f t="shared" si="199"/>
        <v>G620</v>
      </c>
      <c r="CI203" t="str">
        <f>AE202</f>
        <v>G877</v>
      </c>
      <c r="CJ203" t="str">
        <f t="shared" si="187"/>
        <v>G877</v>
      </c>
      <c r="CK203" t="s">
        <v>1430</v>
      </c>
      <c r="CL203" t="s">
        <v>1430</v>
      </c>
      <c r="CM203" t="s">
        <v>1430</v>
      </c>
      <c r="CN203" t="b">
        <f t="shared" si="200"/>
        <v>1</v>
      </c>
      <c r="CO203" t="str">
        <f t="shared" si="188"/>
        <v>R403</v>
      </c>
      <c r="CP203" t="str">
        <f t="shared" si="201"/>
        <v>R403</v>
      </c>
      <c r="CQ203" t="str">
        <f>AF202</f>
        <v>R339</v>
      </c>
      <c r="CR203" t="str">
        <f t="shared" si="189"/>
        <v>R339</v>
      </c>
      <c r="CS203" t="s">
        <v>738</v>
      </c>
      <c r="CT203" t="s">
        <v>738</v>
      </c>
      <c r="CU203" t="s">
        <v>738</v>
      </c>
      <c r="CV203" t="b">
        <f t="shared" si="202"/>
        <v>1</v>
      </c>
      <c r="DC203" t="str">
        <f t="shared" si="190"/>
        <v>G877</v>
      </c>
      <c r="DD203" t="b">
        <f t="shared" si="203"/>
        <v>0</v>
      </c>
      <c r="DE203" t="str">
        <f t="shared" si="204"/>
        <v>G877</v>
      </c>
      <c r="DF203" t="str">
        <f t="shared" si="191"/>
        <v>R339</v>
      </c>
      <c r="DG203" t="b">
        <f t="shared" si="205"/>
        <v>0</v>
      </c>
      <c r="DH203" t="str">
        <f t="shared" si="206"/>
        <v>R339</v>
      </c>
    </row>
    <row r="204" spans="2:112" ht="12" customHeight="1">
      <c r="B204" t="str">
        <f>TBIDry!H276</f>
        <v>G211</v>
      </c>
      <c r="C204" t="str">
        <f>TBIDry!I276</f>
        <v>R36</v>
      </c>
      <c r="D204" t="b">
        <f t="shared" si="158"/>
        <v>0</v>
      </c>
      <c r="E204" t="b">
        <f t="shared" si="159"/>
        <v>0</v>
      </c>
      <c r="G204" t="str">
        <f>TBIWet!H276</f>
        <v>G811</v>
      </c>
      <c r="H204" t="str">
        <f>TBIWet!I276</f>
        <v>R218</v>
      </c>
      <c r="I204" t="b">
        <f t="shared" si="160"/>
        <v>0</v>
      </c>
      <c r="J204" t="b">
        <f t="shared" si="161"/>
        <v>0</v>
      </c>
      <c r="L204" t="str">
        <f>'Both teabags AfterWet'!A202</f>
        <v>G623</v>
      </c>
      <c r="M204" t="str">
        <f>'Both teabags AfterWet'!A622</f>
        <v>R406</v>
      </c>
      <c r="N204" t="b">
        <f t="shared" si="162"/>
        <v>0</v>
      </c>
      <c r="O204" t="b">
        <f t="shared" si="207"/>
        <v>0</v>
      </c>
      <c r="Q204" s="395" t="b">
        <f t="shared" si="163"/>
        <v>0</v>
      </c>
      <c r="R204" s="395" t="b">
        <f t="shared" si="164"/>
        <v>0</v>
      </c>
      <c r="T204" t="str">
        <f>'Both teabags AfterDry'!A202</f>
        <v>G384</v>
      </c>
      <c r="U204" t="str">
        <f>'Both teabags AfterDry'!A537</f>
        <v>R685</v>
      </c>
      <c r="V204" t="b">
        <f t="shared" si="165"/>
        <v>0</v>
      </c>
      <c r="W204" t="b">
        <f t="shared" si="192"/>
        <v>0</v>
      </c>
      <c r="Y204" t="str">
        <f>'Green_rooibos initial weight'!A205</f>
        <v>G201</v>
      </c>
      <c r="Z204" t="str">
        <f>'Green_rooibos initial weight'!A1109</f>
        <v>R201</v>
      </c>
      <c r="AA204" t="b">
        <f t="shared" si="166"/>
        <v>0</v>
      </c>
      <c r="AB204" t="b">
        <f t="shared" si="167"/>
        <v>0</v>
      </c>
      <c r="AE204" t="str">
        <f>'WetLitterbags placem_collection'!K203</f>
        <v>G811</v>
      </c>
      <c r="AF204" t="str">
        <f>'WetLitterbags placem_collection'!M203</f>
        <v>R218</v>
      </c>
      <c r="AG204" t="b">
        <f t="shared" si="168"/>
        <v>0</v>
      </c>
      <c r="AH204" t="b">
        <f t="shared" si="169"/>
        <v>0</v>
      </c>
      <c r="AJ204" t="b">
        <f t="shared" si="170"/>
        <v>0</v>
      </c>
      <c r="AK204" t="b">
        <f t="shared" si="171"/>
        <v>0</v>
      </c>
      <c r="AM204" t="str">
        <f>IF(ISBLANK('Dry_Litterbag Placem_Collection'!J203),"","G"&amp;""&amp;'Dry_Litterbag Placem_Collection'!J203)</f>
        <v>G211</v>
      </c>
      <c r="AN204" t="str">
        <f>IF(ISBLANK('Dry_Litterbag Placem_Collection'!K203),"","R"&amp;""&amp;'Dry_Litterbag Placem_Collection'!K203)</f>
        <v>R36</v>
      </c>
      <c r="AO204" t="b">
        <f t="shared" si="172"/>
        <v>0</v>
      </c>
      <c r="AP204" t="b">
        <f t="shared" si="173"/>
        <v>0</v>
      </c>
      <c r="AS204" t="str">
        <f>'Ashed teabags dry'!A202</f>
        <v>G384</v>
      </c>
      <c r="AT204" t="str">
        <f>'Ashed teabags dry'!A537</f>
        <v>R685</v>
      </c>
      <c r="AU204" t="b">
        <f t="shared" si="174"/>
        <v>0</v>
      </c>
      <c r="AV204" t="b">
        <f>COUNTIF($AT$4:$AT$2000, AT204)&gt;1</f>
        <v>0</v>
      </c>
      <c r="AX204" s="395" t="b">
        <f t="shared" si="175"/>
        <v>0</v>
      </c>
      <c r="AY204" s="395" t="b">
        <f t="shared" si="176"/>
        <v>0</v>
      </c>
      <c r="BA204" t="str">
        <f>'Ashed teabags wet'!A202</f>
        <v>G623</v>
      </c>
      <c r="BB204" t="str">
        <f>'Ashed teabags wet'!A622</f>
        <v>R406</v>
      </c>
      <c r="BC204" t="b">
        <f t="shared" si="177"/>
        <v>0</v>
      </c>
      <c r="BD204" t="b">
        <f t="shared" si="157"/>
        <v>0</v>
      </c>
      <c r="BF204" t="str">
        <f t="shared" si="178"/>
        <v>G382</v>
      </c>
      <c r="BG204" t="str">
        <f>T203</f>
        <v>G382</v>
      </c>
      <c r="BH204" t="str">
        <f t="shared" si="179"/>
        <v>G158</v>
      </c>
      <c r="BI204" t="str">
        <f t="shared" si="193"/>
        <v>G158</v>
      </c>
      <c r="BJ204" t="s">
        <v>1668</v>
      </c>
      <c r="BK204" t="s">
        <v>1668</v>
      </c>
      <c r="BL204" t="s">
        <v>1668</v>
      </c>
      <c r="BM204" t="b">
        <f t="shared" si="194"/>
        <v>1</v>
      </c>
      <c r="BN204" t="str">
        <f t="shared" si="180"/>
        <v>R684</v>
      </c>
      <c r="BO204" t="str">
        <f>U203</f>
        <v>R684</v>
      </c>
      <c r="BP204" t="str">
        <f t="shared" si="181"/>
        <v>R75</v>
      </c>
      <c r="BQ204" t="str">
        <f t="shared" si="182"/>
        <v>R75</v>
      </c>
      <c r="BR204" t="s">
        <v>455</v>
      </c>
      <c r="BS204" t="s">
        <v>454</v>
      </c>
      <c r="BT204" t="s">
        <v>455</v>
      </c>
      <c r="BU204" t="b">
        <f t="shared" si="195"/>
        <v>1</v>
      </c>
      <c r="BZ204" t="str">
        <f t="shared" si="183"/>
        <v>G158</v>
      </c>
      <c r="CA204" t="b">
        <f t="shared" si="184"/>
        <v>0</v>
      </c>
      <c r="CB204" t="str">
        <f t="shared" si="196"/>
        <v>G158</v>
      </c>
      <c r="CC204" t="str">
        <f t="shared" si="185"/>
        <v>R75</v>
      </c>
      <c r="CD204" t="b">
        <f t="shared" si="197"/>
        <v>0</v>
      </c>
      <c r="CE204" t="str">
        <f t="shared" si="198"/>
        <v>R75</v>
      </c>
      <c r="CG204" t="str">
        <f t="shared" si="186"/>
        <v>G621</v>
      </c>
      <c r="CH204" t="str">
        <f t="shared" si="199"/>
        <v>G621</v>
      </c>
      <c r="CI204" t="str">
        <f>AE203</f>
        <v>G816</v>
      </c>
      <c r="CJ204" t="str">
        <f t="shared" si="187"/>
        <v>G816</v>
      </c>
      <c r="CK204" t="s">
        <v>1429</v>
      </c>
      <c r="CL204" t="s">
        <v>1429</v>
      </c>
      <c r="CM204" t="s">
        <v>1429</v>
      </c>
      <c r="CN204" t="b">
        <f t="shared" si="200"/>
        <v>1</v>
      </c>
      <c r="CO204" t="str">
        <f t="shared" si="188"/>
        <v>R404</v>
      </c>
      <c r="CP204" t="str">
        <f t="shared" si="201"/>
        <v>R404</v>
      </c>
      <c r="CQ204" t="str">
        <f>AF203</f>
        <v>R303</v>
      </c>
      <c r="CR204" t="str">
        <f t="shared" si="189"/>
        <v>R303</v>
      </c>
      <c r="CS204" t="s">
        <v>737</v>
      </c>
      <c r="CT204" t="s">
        <v>737</v>
      </c>
      <c r="CU204" t="s">
        <v>737</v>
      </c>
      <c r="CV204" t="b">
        <f t="shared" si="202"/>
        <v>1</v>
      </c>
      <c r="DC204" t="str">
        <f t="shared" si="190"/>
        <v>G816</v>
      </c>
      <c r="DD204" t="b">
        <f t="shared" si="203"/>
        <v>0</v>
      </c>
      <c r="DE204" t="str">
        <f t="shared" si="204"/>
        <v>G816</v>
      </c>
      <c r="DF204" t="str">
        <f t="shared" si="191"/>
        <v>R303</v>
      </c>
      <c r="DG204" t="b">
        <f t="shared" si="205"/>
        <v>0</v>
      </c>
      <c r="DH204" t="str">
        <f t="shared" si="206"/>
        <v>R303</v>
      </c>
    </row>
    <row r="205" spans="2:112" ht="12" customHeight="1">
      <c r="B205" t="str">
        <f>TBIDry!H277</f>
        <v>G181</v>
      </c>
      <c r="C205" t="str">
        <f>TBIDry!I277</f>
        <v>R676</v>
      </c>
      <c r="D205" t="b">
        <f t="shared" si="158"/>
        <v>0</v>
      </c>
      <c r="E205" t="b">
        <f t="shared" si="159"/>
        <v>0</v>
      </c>
      <c r="G205" t="str">
        <f>TBIWet!H277</f>
        <v>G773</v>
      </c>
      <c r="H205" t="str">
        <f>TBIWet!I277</f>
        <v>R135</v>
      </c>
      <c r="I205" t="b">
        <f t="shared" si="160"/>
        <v>0</v>
      </c>
      <c r="J205" t="b">
        <f t="shared" si="161"/>
        <v>0</v>
      </c>
      <c r="L205" t="str">
        <f>'Both teabags AfterWet'!A203</f>
        <v>G626</v>
      </c>
      <c r="M205" t="str">
        <f>'Both teabags AfterWet'!A623</f>
        <v>R408</v>
      </c>
      <c r="N205" t="b">
        <f t="shared" si="162"/>
        <v>0</v>
      </c>
      <c r="O205" t="b">
        <f t="shared" si="207"/>
        <v>0</v>
      </c>
      <c r="Q205" s="395" t="b">
        <f t="shared" si="163"/>
        <v>0</v>
      </c>
      <c r="R205" s="395" t="b">
        <f t="shared" si="164"/>
        <v>0</v>
      </c>
      <c r="T205" t="str">
        <f>'Both teabags AfterDry'!A203</f>
        <v>G394</v>
      </c>
      <c r="U205" t="str">
        <f>'Both teabags AfterDry'!A538</f>
        <v>R686</v>
      </c>
      <c r="V205" t="b">
        <f t="shared" si="165"/>
        <v>0</v>
      </c>
      <c r="W205" t="b">
        <f t="shared" si="192"/>
        <v>0</v>
      </c>
      <c r="Y205" t="str">
        <f>'Green_rooibos initial weight'!A206</f>
        <v>G202</v>
      </c>
      <c r="Z205" t="str">
        <f>'Green_rooibos initial weight'!A1110</f>
        <v>R202</v>
      </c>
      <c r="AA205" t="b">
        <f t="shared" si="166"/>
        <v>0</v>
      </c>
      <c r="AB205" t="b">
        <f t="shared" si="167"/>
        <v>0</v>
      </c>
      <c r="AE205" t="str">
        <f>'WetLitterbags placem_collection'!K204</f>
        <v>G773</v>
      </c>
      <c r="AF205" t="str">
        <f>'WetLitterbags placem_collection'!M204</f>
        <v>R135</v>
      </c>
      <c r="AG205" t="b">
        <f t="shared" si="168"/>
        <v>0</v>
      </c>
      <c r="AH205" t="b">
        <f t="shared" si="169"/>
        <v>0</v>
      </c>
      <c r="AJ205" t="b">
        <f t="shared" si="170"/>
        <v>0</v>
      </c>
      <c r="AK205" t="b">
        <f t="shared" si="171"/>
        <v>0</v>
      </c>
      <c r="AM205" t="str">
        <f>IF(ISBLANK('Dry_Litterbag Placem_Collection'!J204),"","G"&amp;""&amp;'Dry_Litterbag Placem_Collection'!J204)</f>
        <v>G181</v>
      </c>
      <c r="AN205" t="str">
        <f>IF(ISBLANK('Dry_Litterbag Placem_Collection'!K204),"","R"&amp;""&amp;'Dry_Litterbag Placem_Collection'!K204)</f>
        <v>R676</v>
      </c>
      <c r="AO205" t="b">
        <f t="shared" si="172"/>
        <v>0</v>
      </c>
      <c r="AP205" t="b">
        <f t="shared" si="173"/>
        <v>0</v>
      </c>
      <c r="AS205" t="str">
        <f>'Ashed teabags dry'!A203</f>
        <v>G394</v>
      </c>
      <c r="AT205" t="str">
        <f>'Ashed teabags dry'!A538</f>
        <v>R686</v>
      </c>
      <c r="AU205" t="b">
        <f t="shared" si="174"/>
        <v>0</v>
      </c>
      <c r="AV205" t="b">
        <f>COUNTIF($AT$4:$AT$2000, AT205)&gt;1</f>
        <v>0</v>
      </c>
      <c r="AX205" s="395" t="b">
        <f t="shared" si="175"/>
        <v>0</v>
      </c>
      <c r="AY205" s="395" t="b">
        <f t="shared" si="176"/>
        <v>0</v>
      </c>
      <c r="BA205" t="str">
        <f>'Ashed teabags wet'!A203</f>
        <v>G626</v>
      </c>
      <c r="BB205" t="str">
        <f>'Ashed teabags wet'!A623</f>
        <v>R408</v>
      </c>
      <c r="BC205" t="b">
        <f t="shared" si="177"/>
        <v>0</v>
      </c>
      <c r="BD205" t="b">
        <f t="shared" si="157"/>
        <v>0</v>
      </c>
      <c r="BF205" t="str">
        <f t="shared" si="178"/>
        <v>G384</v>
      </c>
      <c r="BG205" t="str">
        <f>T204</f>
        <v>G384</v>
      </c>
      <c r="BH205" t="str">
        <f t="shared" si="179"/>
        <v>G211</v>
      </c>
      <c r="BI205" t="str">
        <f t="shared" si="193"/>
        <v>G211</v>
      </c>
      <c r="BJ205" t="s">
        <v>1666</v>
      </c>
      <c r="BK205" t="s">
        <v>1666</v>
      </c>
      <c r="BL205" t="s">
        <v>1666</v>
      </c>
      <c r="BM205" t="b">
        <f t="shared" si="194"/>
        <v>1</v>
      </c>
      <c r="BN205" t="str">
        <f t="shared" si="180"/>
        <v>R685</v>
      </c>
      <c r="BO205" t="str">
        <f>U204</f>
        <v>R685</v>
      </c>
      <c r="BP205" t="str">
        <f t="shared" si="181"/>
        <v>R36</v>
      </c>
      <c r="BQ205" t="str">
        <f t="shared" si="182"/>
        <v>R36</v>
      </c>
      <c r="BR205" t="s">
        <v>454</v>
      </c>
      <c r="BS205" t="s">
        <v>453</v>
      </c>
      <c r="BT205" t="s">
        <v>454</v>
      </c>
      <c r="BU205" t="b">
        <f t="shared" si="195"/>
        <v>1</v>
      </c>
      <c r="BZ205" t="str">
        <f t="shared" si="183"/>
        <v>G211</v>
      </c>
      <c r="CA205" t="b">
        <f t="shared" si="184"/>
        <v>0</v>
      </c>
      <c r="CB205" t="str">
        <f t="shared" si="196"/>
        <v>G211</v>
      </c>
      <c r="CC205" t="str">
        <f t="shared" si="185"/>
        <v>R36</v>
      </c>
      <c r="CD205" t="b">
        <f t="shared" si="197"/>
        <v>0</v>
      </c>
      <c r="CE205" t="str">
        <f t="shared" si="198"/>
        <v>R36</v>
      </c>
      <c r="CG205" t="str">
        <f t="shared" si="186"/>
        <v>G623</v>
      </c>
      <c r="CH205" t="str">
        <f t="shared" si="199"/>
        <v>G623</v>
      </c>
      <c r="CI205" t="str">
        <f>AE204</f>
        <v>G811</v>
      </c>
      <c r="CJ205" t="str">
        <f t="shared" si="187"/>
        <v>G811</v>
      </c>
      <c r="CK205" t="s">
        <v>1427</v>
      </c>
      <c r="CL205" t="s">
        <v>1427</v>
      </c>
      <c r="CM205" t="s">
        <v>1427</v>
      </c>
      <c r="CN205" t="b">
        <f t="shared" si="200"/>
        <v>1</v>
      </c>
      <c r="CO205" t="str">
        <f t="shared" si="188"/>
        <v>R406</v>
      </c>
      <c r="CP205" t="str">
        <f t="shared" si="201"/>
        <v>R406</v>
      </c>
      <c r="CQ205" t="str">
        <f>AF204</f>
        <v>R218</v>
      </c>
      <c r="CR205" t="str">
        <f t="shared" si="189"/>
        <v>R218</v>
      </c>
      <c r="CS205" t="s">
        <v>735</v>
      </c>
      <c r="CT205" t="s">
        <v>735</v>
      </c>
      <c r="CU205" t="s">
        <v>735</v>
      </c>
      <c r="CV205" t="b">
        <f t="shared" si="202"/>
        <v>1</v>
      </c>
      <c r="DC205" t="str">
        <f t="shared" si="190"/>
        <v>G811</v>
      </c>
      <c r="DD205" t="b">
        <f t="shared" si="203"/>
        <v>0</v>
      </c>
      <c r="DE205" t="str">
        <f t="shared" si="204"/>
        <v>G811</v>
      </c>
      <c r="DF205" t="str">
        <f t="shared" si="191"/>
        <v>R218</v>
      </c>
      <c r="DG205" t="b">
        <f t="shared" si="205"/>
        <v>0</v>
      </c>
      <c r="DH205" t="str">
        <f t="shared" si="206"/>
        <v>R218</v>
      </c>
    </row>
    <row r="206" spans="2:112" ht="12" customHeight="1">
      <c r="B206" t="str">
        <f>TBIDry!H278</f>
        <v>G179</v>
      </c>
      <c r="C206" t="str">
        <f>TBIDry!I278</f>
        <v>R685</v>
      </c>
      <c r="D206" t="b">
        <f t="shared" si="158"/>
        <v>0</v>
      </c>
      <c r="E206" t="b">
        <f t="shared" si="159"/>
        <v>0</v>
      </c>
      <c r="G206" t="str">
        <f>TBIWet!H278</f>
        <v>G645</v>
      </c>
      <c r="H206" t="str">
        <f>TBIWet!I278</f>
        <v>R372</v>
      </c>
      <c r="I206" t="b">
        <f t="shared" si="160"/>
        <v>0</v>
      </c>
      <c r="J206" t="b">
        <f t="shared" si="161"/>
        <v>0</v>
      </c>
      <c r="L206" t="str">
        <f>'Both teabags AfterWet'!A204</f>
        <v>G627</v>
      </c>
      <c r="M206" t="str">
        <f>'Both teabags AfterWet'!A624</f>
        <v>R41</v>
      </c>
      <c r="N206" t="b">
        <f t="shared" si="162"/>
        <v>0</v>
      </c>
      <c r="O206" t="b">
        <f t="shared" si="207"/>
        <v>0</v>
      </c>
      <c r="Q206" s="395" t="b">
        <f t="shared" si="163"/>
        <v>0</v>
      </c>
      <c r="R206" s="395" t="b">
        <f t="shared" si="164"/>
        <v>0</v>
      </c>
      <c r="T206" t="str">
        <f>'Both teabags AfterDry'!A204</f>
        <v>G396</v>
      </c>
      <c r="U206" t="str">
        <f>'Both teabags AfterDry'!A539</f>
        <v>R689</v>
      </c>
      <c r="V206" t="b">
        <f t="shared" si="165"/>
        <v>0</v>
      </c>
      <c r="W206" t="b">
        <f t="shared" si="192"/>
        <v>0</v>
      </c>
      <c r="Y206" t="str">
        <f>'Green_rooibos initial weight'!A207</f>
        <v>G203</v>
      </c>
      <c r="Z206" t="str">
        <f>'Green_rooibos initial weight'!A1111</f>
        <v>R203</v>
      </c>
      <c r="AA206" t="b">
        <f t="shared" si="166"/>
        <v>0</v>
      </c>
      <c r="AB206" t="b">
        <f t="shared" si="167"/>
        <v>0</v>
      </c>
      <c r="AE206" t="str">
        <f>'WetLitterbags placem_collection'!K205</f>
        <v>G645</v>
      </c>
      <c r="AF206" t="str">
        <f>'WetLitterbags placem_collection'!M205</f>
        <v>R372</v>
      </c>
      <c r="AG206" t="b">
        <f t="shared" si="168"/>
        <v>0</v>
      </c>
      <c r="AH206" t="b">
        <f t="shared" si="169"/>
        <v>0</v>
      </c>
      <c r="AJ206" t="b">
        <f t="shared" si="170"/>
        <v>0</v>
      </c>
      <c r="AK206" t="b">
        <f t="shared" si="171"/>
        <v>0</v>
      </c>
      <c r="AM206" t="str">
        <f>IF(ISBLANK('Dry_Litterbag Placem_Collection'!J205),"","G"&amp;""&amp;'Dry_Litterbag Placem_Collection'!J205)</f>
        <v>G179</v>
      </c>
      <c r="AN206" t="str">
        <f>IF(ISBLANK('Dry_Litterbag Placem_Collection'!K205),"","R"&amp;""&amp;'Dry_Litterbag Placem_Collection'!K205)</f>
        <v>R685</v>
      </c>
      <c r="AO206" t="b">
        <f t="shared" si="172"/>
        <v>0</v>
      </c>
      <c r="AP206" t="b">
        <f t="shared" si="173"/>
        <v>0</v>
      </c>
      <c r="AS206" t="str">
        <f>'Ashed teabags dry'!A204</f>
        <v>G396</v>
      </c>
      <c r="AT206" t="str">
        <f>'Ashed teabags dry'!A539</f>
        <v>R689</v>
      </c>
      <c r="AU206" t="b">
        <f t="shared" si="174"/>
        <v>0</v>
      </c>
      <c r="AV206" t="b">
        <f>COUNTIF($AT$4:$AT$2000, AT206)&gt;1</f>
        <v>0</v>
      </c>
      <c r="AX206" s="395" t="b">
        <f t="shared" si="175"/>
        <v>0</v>
      </c>
      <c r="AY206" s="395" t="b">
        <f t="shared" si="176"/>
        <v>0</v>
      </c>
      <c r="BA206" t="str">
        <f>'Ashed teabags wet'!A204</f>
        <v>G627</v>
      </c>
      <c r="BB206" t="str">
        <f>'Ashed teabags wet'!A624</f>
        <v>R41</v>
      </c>
      <c r="BC206" t="b">
        <f t="shared" si="177"/>
        <v>0</v>
      </c>
      <c r="BD206" t="b">
        <f t="shared" si="157"/>
        <v>0</v>
      </c>
      <c r="BF206" t="str">
        <f t="shared" si="178"/>
        <v>G394</v>
      </c>
      <c r="BG206" t="str">
        <f>T205</f>
        <v>G394</v>
      </c>
      <c r="BH206" t="str">
        <f t="shared" si="179"/>
        <v>G181</v>
      </c>
      <c r="BI206" t="str">
        <f t="shared" si="193"/>
        <v>G181</v>
      </c>
      <c r="BJ206" t="s">
        <v>1656</v>
      </c>
      <c r="BK206" t="s">
        <v>1656</v>
      </c>
      <c r="BL206" t="s">
        <v>1656</v>
      </c>
      <c r="BM206" t="b">
        <f t="shared" si="194"/>
        <v>1</v>
      </c>
      <c r="BN206" t="str">
        <f t="shared" si="180"/>
        <v>R686</v>
      </c>
      <c r="BO206" t="str">
        <f>U205</f>
        <v>R686</v>
      </c>
      <c r="BP206" t="str">
        <f t="shared" si="181"/>
        <v>R676</v>
      </c>
      <c r="BQ206" t="str">
        <f t="shared" si="182"/>
        <v>R676</v>
      </c>
      <c r="BR206" t="s">
        <v>453</v>
      </c>
      <c r="BS206" t="s">
        <v>450</v>
      </c>
      <c r="BT206" t="s">
        <v>453</v>
      </c>
      <c r="BU206" t="b">
        <f t="shared" si="195"/>
        <v>1</v>
      </c>
      <c r="BZ206" t="str">
        <f t="shared" si="183"/>
        <v>G181</v>
      </c>
      <c r="CA206" t="b">
        <f t="shared" si="184"/>
        <v>0</v>
      </c>
      <c r="CB206" t="str">
        <f t="shared" si="196"/>
        <v>G181</v>
      </c>
      <c r="CC206" t="str">
        <f t="shared" si="185"/>
        <v>R676</v>
      </c>
      <c r="CD206" t="b">
        <f t="shared" si="197"/>
        <v>0</v>
      </c>
      <c r="CE206" t="str">
        <f t="shared" si="198"/>
        <v>R676</v>
      </c>
      <c r="CG206" t="str">
        <f t="shared" si="186"/>
        <v>G626</v>
      </c>
      <c r="CH206" t="str">
        <f t="shared" si="199"/>
        <v>G626</v>
      </c>
      <c r="CI206" t="str">
        <f>AE205</f>
        <v>G773</v>
      </c>
      <c r="CJ206" t="str">
        <f t="shared" si="187"/>
        <v>G773</v>
      </c>
      <c r="CK206" t="s">
        <v>1424</v>
      </c>
      <c r="CL206" t="s">
        <v>1424</v>
      </c>
      <c r="CM206" t="s">
        <v>1424</v>
      </c>
      <c r="CN206" t="b">
        <f t="shared" si="200"/>
        <v>1</v>
      </c>
      <c r="CO206" t="str">
        <f t="shared" si="188"/>
        <v>R408</v>
      </c>
      <c r="CP206" t="str">
        <f t="shared" si="201"/>
        <v>R408</v>
      </c>
      <c r="CQ206" t="str">
        <f>AF205</f>
        <v>R135</v>
      </c>
      <c r="CR206" t="str">
        <f t="shared" si="189"/>
        <v>R135</v>
      </c>
      <c r="CS206" t="s">
        <v>733</v>
      </c>
      <c r="CT206" t="s">
        <v>733</v>
      </c>
      <c r="CU206" t="s">
        <v>733</v>
      </c>
      <c r="CV206" t="b">
        <f t="shared" si="202"/>
        <v>1</v>
      </c>
      <c r="DC206" t="str">
        <f t="shared" si="190"/>
        <v>G773</v>
      </c>
      <c r="DD206" t="b">
        <f t="shared" si="203"/>
        <v>0</v>
      </c>
      <c r="DE206" t="str">
        <f t="shared" si="204"/>
        <v>G773</v>
      </c>
      <c r="DF206" t="str">
        <f t="shared" si="191"/>
        <v>R135</v>
      </c>
      <c r="DG206" t="b">
        <f t="shared" si="205"/>
        <v>0</v>
      </c>
      <c r="DH206" t="str">
        <f t="shared" si="206"/>
        <v>R135</v>
      </c>
    </row>
    <row r="207" spans="2:112" ht="12" customHeight="1">
      <c r="B207" t="str">
        <f>TBIDry!H279</f>
        <v>G248</v>
      </c>
      <c r="C207" t="str">
        <f>TBIDry!I279</f>
        <v>R254</v>
      </c>
      <c r="D207" t="b">
        <f t="shared" si="158"/>
        <v>0</v>
      </c>
      <c r="E207" t="b">
        <f t="shared" si="159"/>
        <v>0</v>
      </c>
      <c r="G207" t="str">
        <f>TBIWet!H279</f>
        <v>G814</v>
      </c>
      <c r="H207" t="str">
        <f>TBIWet!I279</f>
        <v>R334</v>
      </c>
      <c r="I207" t="b">
        <f t="shared" si="160"/>
        <v>0</v>
      </c>
      <c r="J207" t="b">
        <f t="shared" si="161"/>
        <v>0</v>
      </c>
      <c r="L207" t="str">
        <f>'Both teabags AfterWet'!A205</f>
        <v>G628</v>
      </c>
      <c r="M207" t="str">
        <f>'Both teabags AfterWet'!A625</f>
        <v>R410</v>
      </c>
      <c r="N207" t="b">
        <f t="shared" si="162"/>
        <v>0</v>
      </c>
      <c r="O207" t="b">
        <f t="shared" si="207"/>
        <v>0</v>
      </c>
      <c r="Q207" s="395" t="b">
        <f t="shared" si="163"/>
        <v>0</v>
      </c>
      <c r="R207" s="395" t="b">
        <f t="shared" si="164"/>
        <v>0</v>
      </c>
      <c r="T207" t="str">
        <f>'Both teabags AfterDry'!A205</f>
        <v>G397</v>
      </c>
      <c r="U207" t="str">
        <f>'Both teabags AfterDry'!A540</f>
        <v>R691</v>
      </c>
      <c r="V207" t="b">
        <f t="shared" si="165"/>
        <v>0</v>
      </c>
      <c r="W207" t="b">
        <f t="shared" si="192"/>
        <v>0</v>
      </c>
      <c r="Y207" t="str">
        <f>'Green_rooibos initial weight'!A208</f>
        <v>G204</v>
      </c>
      <c r="Z207" t="str">
        <f>'Green_rooibos initial weight'!A1112</f>
        <v>R204</v>
      </c>
      <c r="AA207" t="b">
        <f t="shared" si="166"/>
        <v>0</v>
      </c>
      <c r="AB207" t="b">
        <f t="shared" si="167"/>
        <v>0</v>
      </c>
      <c r="AE207" t="str">
        <f>'WetLitterbags placem_collection'!K206</f>
        <v>G814</v>
      </c>
      <c r="AF207" t="str">
        <f>'WetLitterbags placem_collection'!M206</f>
        <v>R334</v>
      </c>
      <c r="AG207" t="b">
        <f t="shared" si="168"/>
        <v>0</v>
      </c>
      <c r="AH207" t="b">
        <f t="shared" si="169"/>
        <v>0</v>
      </c>
      <c r="AJ207" t="b">
        <f t="shared" si="170"/>
        <v>0</v>
      </c>
      <c r="AK207" t="b">
        <f t="shared" si="171"/>
        <v>0</v>
      </c>
      <c r="AM207" t="str">
        <f>IF(ISBLANK('Dry_Litterbag Placem_Collection'!J206),"","G"&amp;""&amp;'Dry_Litterbag Placem_Collection'!J206)</f>
        <v>G248</v>
      </c>
      <c r="AN207" t="str">
        <f>IF(ISBLANK('Dry_Litterbag Placem_Collection'!K206),"","R"&amp;""&amp;'Dry_Litterbag Placem_Collection'!K206)</f>
        <v>R254</v>
      </c>
      <c r="AO207" t="b">
        <f t="shared" si="172"/>
        <v>0</v>
      </c>
      <c r="AP207" t="b">
        <f t="shared" si="173"/>
        <v>0</v>
      </c>
      <c r="AS207" t="str">
        <f>'Ashed teabags dry'!A205</f>
        <v>G397</v>
      </c>
      <c r="AT207" t="str">
        <f>'Ashed teabags dry'!A540</f>
        <v>R691</v>
      </c>
      <c r="AU207" t="b">
        <f t="shared" si="174"/>
        <v>0</v>
      </c>
      <c r="AV207" t="b">
        <f>COUNTIF($AT$4:$AT$2000, AT207)&gt;1</f>
        <v>0</v>
      </c>
      <c r="AX207" s="395" t="b">
        <f t="shared" si="175"/>
        <v>0</v>
      </c>
      <c r="AY207" s="395" t="b">
        <f t="shared" si="176"/>
        <v>0</v>
      </c>
      <c r="BA207" t="str">
        <f>'Ashed teabags wet'!A205</f>
        <v>G628</v>
      </c>
      <c r="BB207" t="str">
        <f>'Ashed teabags wet'!A625</f>
        <v>R410</v>
      </c>
      <c r="BC207" t="b">
        <f t="shared" si="177"/>
        <v>0</v>
      </c>
      <c r="BD207" t="b">
        <f t="shared" si="157"/>
        <v>0</v>
      </c>
      <c r="BF207" t="str">
        <f t="shared" si="178"/>
        <v>G396</v>
      </c>
      <c r="BG207" t="str">
        <f>T206</f>
        <v>G396</v>
      </c>
      <c r="BH207" t="str">
        <f t="shared" si="179"/>
        <v>G179</v>
      </c>
      <c r="BI207" t="str">
        <f t="shared" si="193"/>
        <v>G179</v>
      </c>
      <c r="BJ207" t="s">
        <v>1654</v>
      </c>
      <c r="BK207" t="s">
        <v>1654</v>
      </c>
      <c r="BL207" t="s">
        <v>1654</v>
      </c>
      <c r="BM207" t="b">
        <f t="shared" si="194"/>
        <v>1</v>
      </c>
      <c r="BN207" t="str">
        <f t="shared" si="180"/>
        <v>R689</v>
      </c>
      <c r="BO207" t="str">
        <f>U206</f>
        <v>R689</v>
      </c>
      <c r="BP207" t="str">
        <f t="shared" si="181"/>
        <v>R685</v>
      </c>
      <c r="BQ207" t="str">
        <f t="shared" si="182"/>
        <v>R685</v>
      </c>
      <c r="BR207" t="s">
        <v>450</v>
      </c>
      <c r="BS207" t="s">
        <v>448</v>
      </c>
      <c r="BT207" t="s">
        <v>450</v>
      </c>
      <c r="BU207" t="b">
        <f t="shared" si="195"/>
        <v>1</v>
      </c>
      <c r="BZ207" t="str">
        <f t="shared" si="183"/>
        <v>G179</v>
      </c>
      <c r="CA207" t="b">
        <f t="shared" si="184"/>
        <v>0</v>
      </c>
      <c r="CB207" t="str">
        <f t="shared" si="196"/>
        <v>G179</v>
      </c>
      <c r="CC207" t="str">
        <f t="shared" si="185"/>
        <v>R685</v>
      </c>
      <c r="CD207" t="b">
        <f t="shared" si="197"/>
        <v>0</v>
      </c>
      <c r="CE207" t="str">
        <f t="shared" si="198"/>
        <v>R685</v>
      </c>
      <c r="CG207" t="str">
        <f t="shared" si="186"/>
        <v>G627</v>
      </c>
      <c r="CH207" t="str">
        <f t="shared" si="199"/>
        <v>G627</v>
      </c>
      <c r="CI207" t="str">
        <f>AE206</f>
        <v>G645</v>
      </c>
      <c r="CJ207" t="str">
        <f t="shared" si="187"/>
        <v>G645</v>
      </c>
      <c r="CK207" t="s">
        <v>1423</v>
      </c>
      <c r="CL207" t="s">
        <v>1423</v>
      </c>
      <c r="CM207" t="s">
        <v>1423</v>
      </c>
      <c r="CN207" t="b">
        <f t="shared" si="200"/>
        <v>1</v>
      </c>
      <c r="CO207" t="str">
        <f t="shared" si="188"/>
        <v>R41</v>
      </c>
      <c r="CP207" t="str">
        <f t="shared" si="201"/>
        <v>R41</v>
      </c>
      <c r="CQ207" t="str">
        <f>AF206</f>
        <v>R372</v>
      </c>
      <c r="CR207" t="str">
        <f t="shared" si="189"/>
        <v>R372</v>
      </c>
      <c r="CS207" t="s">
        <v>1100</v>
      </c>
      <c r="CT207" t="s">
        <v>1100</v>
      </c>
      <c r="CU207" t="s">
        <v>1100</v>
      </c>
      <c r="CV207" t="b">
        <f t="shared" si="202"/>
        <v>1</v>
      </c>
      <c r="DC207" t="str">
        <f t="shared" si="190"/>
        <v>G645</v>
      </c>
      <c r="DD207" t="b">
        <f t="shared" si="203"/>
        <v>0</v>
      </c>
      <c r="DE207" t="str">
        <f t="shared" si="204"/>
        <v>G645</v>
      </c>
      <c r="DF207" t="str">
        <f t="shared" si="191"/>
        <v>R372</v>
      </c>
      <c r="DG207" t="b">
        <f t="shared" si="205"/>
        <v>0</v>
      </c>
      <c r="DH207" t="str">
        <f t="shared" si="206"/>
        <v>R372</v>
      </c>
    </row>
    <row r="208" spans="2:112" ht="12" customHeight="1">
      <c r="B208" t="str">
        <f>TBIDry!H280</f>
        <v>G55</v>
      </c>
      <c r="C208" t="str">
        <f>TBIDry!I280</f>
        <v>R348</v>
      </c>
      <c r="D208" t="b">
        <f t="shared" si="158"/>
        <v>0</v>
      </c>
      <c r="E208" t="b">
        <f t="shared" si="159"/>
        <v>0</v>
      </c>
      <c r="G208" t="str">
        <f>TBIWet!H280</f>
        <v>G621</v>
      </c>
      <c r="H208" t="str">
        <f>TBIWet!I280</f>
        <v>R265</v>
      </c>
      <c r="I208" t="b">
        <f t="shared" si="160"/>
        <v>0</v>
      </c>
      <c r="J208" t="b">
        <f t="shared" si="161"/>
        <v>0</v>
      </c>
      <c r="L208" t="str">
        <f>'Both teabags AfterWet'!A206</f>
        <v>G632</v>
      </c>
      <c r="M208" t="str">
        <f>'Both teabags AfterWet'!A626</f>
        <v>R411</v>
      </c>
      <c r="N208" t="b">
        <f t="shared" si="162"/>
        <v>0</v>
      </c>
      <c r="O208" t="b">
        <f t="shared" si="207"/>
        <v>0</v>
      </c>
      <c r="Q208" s="395" t="b">
        <f t="shared" si="163"/>
        <v>0</v>
      </c>
      <c r="R208" s="395" t="b">
        <f t="shared" si="164"/>
        <v>0</v>
      </c>
      <c r="T208" t="str">
        <f>'Both teabags AfterDry'!A206</f>
        <v>G398</v>
      </c>
      <c r="U208" t="str">
        <f>'Both teabags AfterDry'!A541</f>
        <v>R692</v>
      </c>
      <c r="V208" t="b">
        <f t="shared" si="165"/>
        <v>0</v>
      </c>
      <c r="W208" t="b">
        <f t="shared" si="192"/>
        <v>0</v>
      </c>
      <c r="Y208" t="str">
        <f>'Green_rooibos initial weight'!A209</f>
        <v>G205</v>
      </c>
      <c r="Z208" t="str">
        <f>'Green_rooibos initial weight'!A1113</f>
        <v>R205</v>
      </c>
      <c r="AA208" t="b">
        <f t="shared" si="166"/>
        <v>0</v>
      </c>
      <c r="AB208" t="b">
        <f t="shared" si="167"/>
        <v>0</v>
      </c>
      <c r="AE208" t="str">
        <f>'WetLitterbags placem_collection'!K207</f>
        <v>G621</v>
      </c>
      <c r="AF208" t="str">
        <f>'WetLitterbags placem_collection'!M207</f>
        <v>R265</v>
      </c>
      <c r="AG208" t="b">
        <f t="shared" si="168"/>
        <v>0</v>
      </c>
      <c r="AH208" t="b">
        <f t="shared" si="169"/>
        <v>0</v>
      </c>
      <c r="AJ208" t="b">
        <f t="shared" si="170"/>
        <v>0</v>
      </c>
      <c r="AK208" t="b">
        <f t="shared" si="171"/>
        <v>0</v>
      </c>
      <c r="AM208" t="str">
        <f>IF(ISBLANK('Dry_Litterbag Placem_Collection'!J207),"","G"&amp;""&amp;'Dry_Litterbag Placem_Collection'!J207)</f>
        <v>G55</v>
      </c>
      <c r="AN208" t="str">
        <f>IF(ISBLANK('Dry_Litterbag Placem_Collection'!K207),"","R"&amp;""&amp;'Dry_Litterbag Placem_Collection'!K207)</f>
        <v>R348</v>
      </c>
      <c r="AO208" t="b">
        <f t="shared" si="172"/>
        <v>0</v>
      </c>
      <c r="AP208" t="b">
        <f t="shared" si="173"/>
        <v>0</v>
      </c>
      <c r="AS208" t="str">
        <f>'Ashed teabags dry'!A206</f>
        <v>G398</v>
      </c>
      <c r="AT208" t="str">
        <f>'Ashed teabags dry'!A541</f>
        <v>R692</v>
      </c>
      <c r="AU208" t="b">
        <f t="shared" si="174"/>
        <v>0</v>
      </c>
      <c r="AV208" t="b">
        <f>COUNTIF($AT$4:$AT$2000, AT208)&gt;1</f>
        <v>0</v>
      </c>
      <c r="AX208" s="395" t="b">
        <f t="shared" si="175"/>
        <v>0</v>
      </c>
      <c r="AY208" s="395" t="b">
        <f t="shared" si="176"/>
        <v>0</v>
      </c>
      <c r="BA208" t="str">
        <f>'Ashed teabags wet'!A206</f>
        <v>G632</v>
      </c>
      <c r="BB208" t="str">
        <f>'Ashed teabags wet'!A626</f>
        <v>R411</v>
      </c>
      <c r="BC208" t="b">
        <f t="shared" si="177"/>
        <v>0</v>
      </c>
      <c r="BD208" t="b">
        <f t="shared" si="157"/>
        <v>0</v>
      </c>
      <c r="BF208" t="str">
        <f t="shared" si="178"/>
        <v>G397</v>
      </c>
      <c r="BG208" t="str">
        <f>T207</f>
        <v>G397</v>
      </c>
      <c r="BH208" t="str">
        <f t="shared" si="179"/>
        <v>G248</v>
      </c>
      <c r="BI208" t="str">
        <f t="shared" si="193"/>
        <v>G248</v>
      </c>
      <c r="BJ208" t="s">
        <v>1653</v>
      </c>
      <c r="BK208" t="s">
        <v>1653</v>
      </c>
      <c r="BL208" t="s">
        <v>1653</v>
      </c>
      <c r="BM208" t="b">
        <f t="shared" si="194"/>
        <v>1</v>
      </c>
      <c r="BN208" t="str">
        <f t="shared" si="180"/>
        <v>R691</v>
      </c>
      <c r="BO208" t="str">
        <f>U207</f>
        <v>R691</v>
      </c>
      <c r="BP208" t="str">
        <f t="shared" si="181"/>
        <v>R254</v>
      </c>
      <c r="BQ208" t="str">
        <f t="shared" si="182"/>
        <v>R254</v>
      </c>
      <c r="BR208" t="s">
        <v>448</v>
      </c>
      <c r="BS208" t="s">
        <v>447</v>
      </c>
      <c r="BT208" t="s">
        <v>448</v>
      </c>
      <c r="BU208" t="b">
        <f t="shared" si="195"/>
        <v>1</v>
      </c>
      <c r="BZ208" t="str">
        <f t="shared" si="183"/>
        <v>G248</v>
      </c>
      <c r="CA208" t="b">
        <f t="shared" si="184"/>
        <v>0</v>
      </c>
      <c r="CB208" t="str">
        <f t="shared" si="196"/>
        <v>G248</v>
      </c>
      <c r="CC208" t="str">
        <f t="shared" si="185"/>
        <v>R254</v>
      </c>
      <c r="CD208" t="b">
        <f t="shared" si="197"/>
        <v>0</v>
      </c>
      <c r="CE208" t="str">
        <f t="shared" si="198"/>
        <v>R254</v>
      </c>
      <c r="CG208" t="str">
        <f t="shared" si="186"/>
        <v>G628</v>
      </c>
      <c r="CH208" t="str">
        <f t="shared" si="199"/>
        <v>G628</v>
      </c>
      <c r="CI208" t="str">
        <f>AE207</f>
        <v>G814</v>
      </c>
      <c r="CJ208" t="str">
        <f t="shared" si="187"/>
        <v>G814</v>
      </c>
      <c r="CK208" t="s">
        <v>1422</v>
      </c>
      <c r="CL208" t="s">
        <v>1422</v>
      </c>
      <c r="CM208" t="s">
        <v>1422</v>
      </c>
      <c r="CN208" t="b">
        <f t="shared" si="200"/>
        <v>1</v>
      </c>
      <c r="CO208" t="str">
        <f t="shared" si="188"/>
        <v>R410</v>
      </c>
      <c r="CP208" t="str">
        <f t="shared" si="201"/>
        <v>R410</v>
      </c>
      <c r="CQ208" t="str">
        <f>AF207</f>
        <v>R334</v>
      </c>
      <c r="CR208" t="str">
        <f t="shared" si="189"/>
        <v>R334</v>
      </c>
      <c r="CS208" t="s">
        <v>731</v>
      </c>
      <c r="CT208" t="s">
        <v>731</v>
      </c>
      <c r="CU208" t="s">
        <v>731</v>
      </c>
      <c r="CV208" t="b">
        <f t="shared" si="202"/>
        <v>1</v>
      </c>
      <c r="DC208" t="str">
        <f t="shared" si="190"/>
        <v>G814</v>
      </c>
      <c r="DD208" t="b">
        <f t="shared" si="203"/>
        <v>0</v>
      </c>
      <c r="DE208" t="str">
        <f t="shared" si="204"/>
        <v>G814</v>
      </c>
      <c r="DF208" t="str">
        <f t="shared" si="191"/>
        <v>R334</v>
      </c>
      <c r="DG208" t="b">
        <f t="shared" si="205"/>
        <v>0</v>
      </c>
      <c r="DH208" t="str">
        <f t="shared" si="206"/>
        <v>R334</v>
      </c>
    </row>
    <row r="209" spans="2:112" ht="12" customHeight="1">
      <c r="B209" t="str">
        <f>TBIDry!H281</f>
        <v>G124</v>
      </c>
      <c r="C209" t="str">
        <f>TBIDry!I281</f>
        <v>R686</v>
      </c>
      <c r="D209" t="b">
        <f t="shared" si="158"/>
        <v>0</v>
      </c>
      <c r="E209" t="b">
        <f t="shared" si="159"/>
        <v>0</v>
      </c>
      <c r="G209" t="str">
        <f>TBIWet!H281</f>
        <v>G677</v>
      </c>
      <c r="H209" t="str">
        <f>TBIWet!I281</f>
        <v>R234</v>
      </c>
      <c r="I209" t="b">
        <f t="shared" si="160"/>
        <v>0</v>
      </c>
      <c r="J209" t="b">
        <f t="shared" si="161"/>
        <v>0</v>
      </c>
      <c r="L209" t="str">
        <f>'Both teabags AfterWet'!A207</f>
        <v>G633</v>
      </c>
      <c r="M209" t="str">
        <f>'Both teabags AfterWet'!A627</f>
        <v>R412</v>
      </c>
      <c r="N209" t="b">
        <f t="shared" si="162"/>
        <v>0</v>
      </c>
      <c r="O209" t="b">
        <f t="shared" si="207"/>
        <v>0</v>
      </c>
      <c r="Q209" s="395" t="b">
        <f t="shared" si="163"/>
        <v>0</v>
      </c>
      <c r="R209" s="395" t="b">
        <f t="shared" si="164"/>
        <v>0</v>
      </c>
      <c r="T209" t="str">
        <f>'Both teabags AfterDry'!A207</f>
        <v>G399</v>
      </c>
      <c r="U209" t="str">
        <f>'Both teabags AfterDry'!A542</f>
        <v>R693</v>
      </c>
      <c r="V209" t="b">
        <f t="shared" si="165"/>
        <v>0</v>
      </c>
      <c r="W209" t="b">
        <f t="shared" si="192"/>
        <v>0</v>
      </c>
      <c r="Y209" t="str">
        <f>'Green_rooibos initial weight'!A210</f>
        <v>G206</v>
      </c>
      <c r="Z209" t="str">
        <f>'Green_rooibos initial weight'!A1114</f>
        <v>R206</v>
      </c>
      <c r="AA209" t="b">
        <f t="shared" si="166"/>
        <v>0</v>
      </c>
      <c r="AB209" t="b">
        <f t="shared" si="167"/>
        <v>0</v>
      </c>
      <c r="AE209" t="str">
        <f>'WetLitterbags placem_collection'!K208</f>
        <v>G677</v>
      </c>
      <c r="AF209" t="str">
        <f>'WetLitterbags placem_collection'!M208</f>
        <v>R234</v>
      </c>
      <c r="AG209" t="b">
        <f t="shared" si="168"/>
        <v>0</v>
      </c>
      <c r="AH209" t="b">
        <f t="shared" si="169"/>
        <v>0</v>
      </c>
      <c r="AJ209" t="b">
        <f t="shared" si="170"/>
        <v>0</v>
      </c>
      <c r="AK209" t="b">
        <f t="shared" si="171"/>
        <v>0</v>
      </c>
      <c r="AM209" t="str">
        <f>IF(ISBLANK('Dry_Litterbag Placem_Collection'!J208),"","G"&amp;""&amp;'Dry_Litterbag Placem_Collection'!J208)</f>
        <v>G124</v>
      </c>
      <c r="AN209" t="str">
        <f>IF(ISBLANK('Dry_Litterbag Placem_Collection'!K208),"","R"&amp;""&amp;'Dry_Litterbag Placem_Collection'!K208)</f>
        <v>R686</v>
      </c>
      <c r="AO209" t="b">
        <f t="shared" si="172"/>
        <v>0</v>
      </c>
      <c r="AP209" t="b">
        <f t="shared" si="173"/>
        <v>0</v>
      </c>
      <c r="AS209" t="str">
        <f>'Ashed teabags dry'!A207</f>
        <v>G399</v>
      </c>
      <c r="AT209" t="str">
        <f>'Ashed teabags dry'!A542</f>
        <v>R693</v>
      </c>
      <c r="AU209" t="b">
        <f t="shared" si="174"/>
        <v>0</v>
      </c>
      <c r="AV209" t="b">
        <f>COUNTIF($AT$4:$AT$2000, AT209)&gt;1</f>
        <v>0</v>
      </c>
      <c r="AX209" s="395" t="b">
        <f t="shared" si="175"/>
        <v>0</v>
      </c>
      <c r="AY209" s="395" t="b">
        <f t="shared" si="176"/>
        <v>0</v>
      </c>
      <c r="BA209" t="str">
        <f>'Ashed teabags wet'!A207</f>
        <v>G633</v>
      </c>
      <c r="BB209" t="str">
        <f>'Ashed teabags wet'!A627</f>
        <v>R412</v>
      </c>
      <c r="BC209" t="b">
        <f t="shared" si="177"/>
        <v>0</v>
      </c>
      <c r="BD209" t="b">
        <f t="shared" si="157"/>
        <v>0</v>
      </c>
      <c r="BF209" t="str">
        <f t="shared" si="178"/>
        <v>G398</v>
      </c>
      <c r="BG209" t="str">
        <f>T208</f>
        <v>G398</v>
      </c>
      <c r="BH209" t="str">
        <f t="shared" si="179"/>
        <v>G55</v>
      </c>
      <c r="BI209" t="str">
        <f t="shared" si="193"/>
        <v>G55</v>
      </c>
      <c r="BJ209" t="s">
        <v>1652</v>
      </c>
      <c r="BK209" t="s">
        <v>1652</v>
      </c>
      <c r="BL209" t="s">
        <v>1652</v>
      </c>
      <c r="BM209" t="b">
        <f t="shared" si="194"/>
        <v>1</v>
      </c>
      <c r="BN209" t="str">
        <f t="shared" si="180"/>
        <v>R692</v>
      </c>
      <c r="BO209" t="str">
        <f>U208</f>
        <v>R692</v>
      </c>
      <c r="BP209" t="str">
        <f t="shared" si="181"/>
        <v>R348</v>
      </c>
      <c r="BQ209" t="str">
        <f t="shared" si="182"/>
        <v>R348</v>
      </c>
      <c r="BR209" t="s">
        <v>447</v>
      </c>
      <c r="BS209" t="s">
        <v>446</v>
      </c>
      <c r="BT209" t="s">
        <v>447</v>
      </c>
      <c r="BU209" t="b">
        <f t="shared" si="195"/>
        <v>1</v>
      </c>
      <c r="BZ209" t="str">
        <f t="shared" si="183"/>
        <v>G55</v>
      </c>
      <c r="CA209" t="b">
        <f t="shared" si="184"/>
        <v>0</v>
      </c>
      <c r="CB209" t="str">
        <f t="shared" si="196"/>
        <v>G55</v>
      </c>
      <c r="CC209" t="str">
        <f t="shared" si="185"/>
        <v>R348</v>
      </c>
      <c r="CD209" t="b">
        <f t="shared" si="197"/>
        <v>0</v>
      </c>
      <c r="CE209" t="str">
        <f t="shared" si="198"/>
        <v>R348</v>
      </c>
      <c r="CG209" t="str">
        <f t="shared" si="186"/>
        <v>G632</v>
      </c>
      <c r="CH209" t="str">
        <f t="shared" si="199"/>
        <v>G632</v>
      </c>
      <c r="CI209" t="str">
        <f>AE208</f>
        <v>G621</v>
      </c>
      <c r="CJ209" t="str">
        <f t="shared" si="187"/>
        <v>G621</v>
      </c>
      <c r="CK209" t="s">
        <v>1418</v>
      </c>
      <c r="CL209" t="s">
        <v>1418</v>
      </c>
      <c r="CM209" t="s">
        <v>1418</v>
      </c>
      <c r="CN209" t="b">
        <f t="shared" si="200"/>
        <v>1</v>
      </c>
      <c r="CO209" t="str">
        <f t="shared" si="188"/>
        <v>R411</v>
      </c>
      <c r="CP209" t="str">
        <f t="shared" si="201"/>
        <v>R411</v>
      </c>
      <c r="CQ209" t="str">
        <f>AF208</f>
        <v>R265</v>
      </c>
      <c r="CR209" t="str">
        <f t="shared" si="189"/>
        <v>R265</v>
      </c>
      <c r="CS209" t="s">
        <v>730</v>
      </c>
      <c r="CT209" t="s">
        <v>730</v>
      </c>
      <c r="CU209" t="s">
        <v>730</v>
      </c>
      <c r="CV209" t="b">
        <f t="shared" si="202"/>
        <v>1</v>
      </c>
      <c r="DC209" t="str">
        <f t="shared" si="190"/>
        <v>G621</v>
      </c>
      <c r="DD209" t="b">
        <f t="shared" si="203"/>
        <v>0</v>
      </c>
      <c r="DE209" t="str">
        <f t="shared" si="204"/>
        <v>G621</v>
      </c>
      <c r="DF209" t="str">
        <f t="shared" si="191"/>
        <v>R265</v>
      </c>
      <c r="DG209" t="b">
        <f t="shared" si="205"/>
        <v>0</v>
      </c>
      <c r="DH209" t="str">
        <f t="shared" si="206"/>
        <v>R265</v>
      </c>
    </row>
    <row r="210" spans="2:112" ht="12" customHeight="1">
      <c r="B210" t="str">
        <f>TBIDry!H282</f>
        <v>G234</v>
      </c>
      <c r="C210" t="str">
        <f>TBIDry!I282</f>
        <v>R551</v>
      </c>
      <c r="D210" t="b">
        <f t="shared" si="158"/>
        <v>0</v>
      </c>
      <c r="E210" t="b">
        <f t="shared" si="159"/>
        <v>0</v>
      </c>
      <c r="G210" t="str">
        <f>TBIWet!H282</f>
        <v>G574</v>
      </c>
      <c r="H210" t="str">
        <f>TBIWet!I282</f>
        <v>R258</v>
      </c>
      <c r="I210" t="b">
        <f t="shared" si="160"/>
        <v>0</v>
      </c>
      <c r="J210" t="b">
        <f t="shared" si="161"/>
        <v>0</v>
      </c>
      <c r="L210" t="str">
        <f>'Both teabags AfterWet'!A208</f>
        <v>G634</v>
      </c>
      <c r="M210" t="str">
        <f>'Both teabags AfterWet'!A628</f>
        <v>R414</v>
      </c>
      <c r="N210" t="b">
        <f t="shared" si="162"/>
        <v>0</v>
      </c>
      <c r="O210" t="b">
        <f t="shared" si="207"/>
        <v>0</v>
      </c>
      <c r="Q210" s="395" t="b">
        <f t="shared" si="163"/>
        <v>0</v>
      </c>
      <c r="R210" s="395" t="b">
        <f t="shared" si="164"/>
        <v>0</v>
      </c>
      <c r="T210" t="str">
        <f>'Both teabags AfterDry'!A208</f>
        <v>G40</v>
      </c>
      <c r="U210" t="str">
        <f>'Both teabags AfterDry'!A543</f>
        <v>R694</v>
      </c>
      <c r="V210" t="b">
        <f t="shared" si="165"/>
        <v>0</v>
      </c>
      <c r="W210" t="b">
        <f t="shared" si="192"/>
        <v>0</v>
      </c>
      <c r="Y210" t="str">
        <f>'Green_rooibos initial weight'!A211</f>
        <v>G207</v>
      </c>
      <c r="Z210" t="str">
        <f>'Green_rooibos initial weight'!A1115</f>
        <v>R207</v>
      </c>
      <c r="AA210" t="b">
        <f t="shared" si="166"/>
        <v>0</v>
      </c>
      <c r="AB210" t="b">
        <f t="shared" si="167"/>
        <v>0</v>
      </c>
      <c r="AE210" t="str">
        <f>'WetLitterbags placem_collection'!K209</f>
        <v>G574</v>
      </c>
      <c r="AF210" t="str">
        <f>'WetLitterbags placem_collection'!M209</f>
        <v>R258</v>
      </c>
      <c r="AG210" t="b">
        <f t="shared" si="168"/>
        <v>0</v>
      </c>
      <c r="AH210" t="b">
        <f t="shared" si="169"/>
        <v>0</v>
      </c>
      <c r="AJ210" t="b">
        <f t="shared" si="170"/>
        <v>0</v>
      </c>
      <c r="AK210" t="b">
        <f t="shared" si="171"/>
        <v>0</v>
      </c>
      <c r="AM210" t="str">
        <f>IF(ISBLANK('Dry_Litterbag Placem_Collection'!J209),"","G"&amp;""&amp;'Dry_Litterbag Placem_Collection'!J209)</f>
        <v>G234</v>
      </c>
      <c r="AN210" t="str">
        <f>IF(ISBLANK('Dry_Litterbag Placem_Collection'!K209),"","R"&amp;""&amp;'Dry_Litterbag Placem_Collection'!K209)</f>
        <v>R551</v>
      </c>
      <c r="AO210" t="b">
        <f t="shared" si="172"/>
        <v>0</v>
      </c>
      <c r="AP210" t="b">
        <f t="shared" si="173"/>
        <v>0</v>
      </c>
      <c r="AS210" t="str">
        <f>'Ashed teabags dry'!A208</f>
        <v>G40</v>
      </c>
      <c r="AT210" t="str">
        <f>'Ashed teabags dry'!A543</f>
        <v>R694</v>
      </c>
      <c r="AU210" t="b">
        <f t="shared" si="174"/>
        <v>0</v>
      </c>
      <c r="AV210" t="b">
        <f>COUNTIF($AT$4:$AT$2000, AT210)&gt;1</f>
        <v>0</v>
      </c>
      <c r="AX210" s="395" t="b">
        <f t="shared" si="175"/>
        <v>0</v>
      </c>
      <c r="AY210" s="395" t="b">
        <f t="shared" si="176"/>
        <v>0</v>
      </c>
      <c r="BA210" t="str">
        <f>'Ashed teabags wet'!A208</f>
        <v>G634</v>
      </c>
      <c r="BB210" t="str">
        <f>'Ashed teabags wet'!A628</f>
        <v>R414</v>
      </c>
      <c r="BC210" t="b">
        <f t="shared" si="177"/>
        <v>0</v>
      </c>
      <c r="BD210" t="b">
        <f t="shared" si="157"/>
        <v>0</v>
      </c>
      <c r="BF210" t="str">
        <f t="shared" si="178"/>
        <v>G399</v>
      </c>
      <c r="BG210" t="str">
        <f>T209</f>
        <v>G399</v>
      </c>
      <c r="BH210" t="str">
        <f t="shared" si="179"/>
        <v>G124</v>
      </c>
      <c r="BI210" t="str">
        <f t="shared" si="193"/>
        <v>G124</v>
      </c>
      <c r="BJ210" t="s">
        <v>1651</v>
      </c>
      <c r="BK210" t="s">
        <v>1651</v>
      </c>
      <c r="BL210" t="s">
        <v>1651</v>
      </c>
      <c r="BM210" t="b">
        <f t="shared" si="194"/>
        <v>1</v>
      </c>
      <c r="BN210" t="str">
        <f t="shared" si="180"/>
        <v>R693</v>
      </c>
      <c r="BO210" t="str">
        <f>U209</f>
        <v>R693</v>
      </c>
      <c r="BP210" t="str">
        <f t="shared" si="181"/>
        <v>R686</v>
      </c>
      <c r="BQ210" t="str">
        <f t="shared" si="182"/>
        <v>R686</v>
      </c>
      <c r="BR210" t="s">
        <v>446</v>
      </c>
      <c r="BS210" t="s">
        <v>445</v>
      </c>
      <c r="BT210" t="s">
        <v>446</v>
      </c>
      <c r="BU210" t="b">
        <f t="shared" si="195"/>
        <v>1</v>
      </c>
      <c r="BZ210" t="str">
        <f t="shared" si="183"/>
        <v>G124</v>
      </c>
      <c r="CA210" t="b">
        <f t="shared" si="184"/>
        <v>0</v>
      </c>
      <c r="CB210" t="str">
        <f t="shared" si="196"/>
        <v>G124</v>
      </c>
      <c r="CC210" t="str">
        <f t="shared" si="185"/>
        <v>R686</v>
      </c>
      <c r="CD210" t="b">
        <f t="shared" si="197"/>
        <v>0</v>
      </c>
      <c r="CE210" t="str">
        <f t="shared" si="198"/>
        <v>R686</v>
      </c>
      <c r="CG210" t="str">
        <f t="shared" si="186"/>
        <v>G633</v>
      </c>
      <c r="CH210" t="str">
        <f t="shared" si="199"/>
        <v>G633</v>
      </c>
      <c r="CI210" t="str">
        <f>AE209</f>
        <v>G677</v>
      </c>
      <c r="CJ210" t="str">
        <f t="shared" si="187"/>
        <v>G677</v>
      </c>
      <c r="CK210" t="s">
        <v>1417</v>
      </c>
      <c r="CL210" t="s">
        <v>1417</v>
      </c>
      <c r="CM210" t="s">
        <v>1417</v>
      </c>
      <c r="CN210" t="b">
        <f t="shared" si="200"/>
        <v>1</v>
      </c>
      <c r="CO210" t="str">
        <f t="shared" si="188"/>
        <v>R412</v>
      </c>
      <c r="CP210" t="str">
        <f t="shared" si="201"/>
        <v>R412</v>
      </c>
      <c r="CQ210" t="str">
        <f>AF209</f>
        <v>R234</v>
      </c>
      <c r="CR210" t="str">
        <f t="shared" si="189"/>
        <v>R234</v>
      </c>
      <c r="CS210" t="s">
        <v>729</v>
      </c>
      <c r="CT210" t="s">
        <v>729</v>
      </c>
      <c r="CU210" t="s">
        <v>729</v>
      </c>
      <c r="CV210" t="b">
        <f t="shared" si="202"/>
        <v>1</v>
      </c>
      <c r="DC210" t="str">
        <f t="shared" si="190"/>
        <v>G677</v>
      </c>
      <c r="DD210" t="b">
        <f t="shared" si="203"/>
        <v>0</v>
      </c>
      <c r="DE210" t="str">
        <f t="shared" si="204"/>
        <v>G677</v>
      </c>
      <c r="DF210" t="str">
        <f t="shared" si="191"/>
        <v>R234</v>
      </c>
      <c r="DG210" t="b">
        <f t="shared" si="205"/>
        <v>0</v>
      </c>
      <c r="DH210" t="str">
        <f t="shared" si="206"/>
        <v>R234</v>
      </c>
    </row>
    <row r="211" spans="2:112" ht="12" customHeight="1">
      <c r="B211" t="str">
        <f>TBIDry!H283</f>
        <v>G412</v>
      </c>
      <c r="C211" t="str">
        <f>TBIDry!I283</f>
        <v>R516</v>
      </c>
      <c r="D211" t="b">
        <f t="shared" si="158"/>
        <v>0</v>
      </c>
      <c r="E211" t="b">
        <f t="shared" si="159"/>
        <v>0</v>
      </c>
      <c r="G211" t="str">
        <f>TBIWet!H283</f>
        <v>G710</v>
      </c>
      <c r="H211" t="str">
        <f>TBIWet!I283</f>
        <v>R344</v>
      </c>
      <c r="I211" t="b">
        <f t="shared" si="160"/>
        <v>0</v>
      </c>
      <c r="J211" t="b">
        <f t="shared" si="161"/>
        <v>0</v>
      </c>
      <c r="L211" t="str">
        <f>'Both teabags AfterWet'!A209</f>
        <v>G636</v>
      </c>
      <c r="M211" t="str">
        <f>'Both teabags AfterWet'!A629</f>
        <v>R415</v>
      </c>
      <c r="N211" t="b">
        <f t="shared" si="162"/>
        <v>0</v>
      </c>
      <c r="O211" t="b">
        <f t="shared" si="207"/>
        <v>0</v>
      </c>
      <c r="Q211" s="395" t="b">
        <f t="shared" si="163"/>
        <v>0</v>
      </c>
      <c r="R211" s="395" t="b">
        <f t="shared" si="164"/>
        <v>0</v>
      </c>
      <c r="T211" t="str">
        <f>'Both teabags AfterDry'!A209</f>
        <v>G400</v>
      </c>
      <c r="U211" t="str">
        <f>'Both teabags AfterDry'!A544</f>
        <v>R695</v>
      </c>
      <c r="V211" t="b">
        <f t="shared" si="165"/>
        <v>0</v>
      </c>
      <c r="W211" t="b">
        <f t="shared" si="192"/>
        <v>0</v>
      </c>
      <c r="Y211" t="str">
        <f>'Green_rooibos initial weight'!A212</f>
        <v>G208</v>
      </c>
      <c r="Z211" t="str">
        <f>'Green_rooibos initial weight'!A1116</f>
        <v>R208</v>
      </c>
      <c r="AA211" t="b">
        <f t="shared" si="166"/>
        <v>0</v>
      </c>
      <c r="AB211" t="b">
        <f t="shared" si="167"/>
        <v>0</v>
      </c>
      <c r="AE211" t="str">
        <f>'WetLitterbags placem_collection'!K210</f>
        <v>G710</v>
      </c>
      <c r="AF211" t="str">
        <f>'WetLitterbags placem_collection'!M210</f>
        <v>R344</v>
      </c>
      <c r="AG211" t="b">
        <f t="shared" si="168"/>
        <v>0</v>
      </c>
      <c r="AH211" t="b">
        <f t="shared" si="169"/>
        <v>0</v>
      </c>
      <c r="AJ211" t="b">
        <f t="shared" si="170"/>
        <v>0</v>
      </c>
      <c r="AK211" t="b">
        <f t="shared" si="171"/>
        <v>0</v>
      </c>
      <c r="AM211" t="str">
        <f>IF(ISBLANK('Dry_Litterbag Placem_Collection'!J210),"","G"&amp;""&amp;'Dry_Litterbag Placem_Collection'!J210)</f>
        <v>G412</v>
      </c>
      <c r="AN211" t="str">
        <f>IF(ISBLANK('Dry_Litterbag Placem_Collection'!K210),"","R"&amp;""&amp;'Dry_Litterbag Placem_Collection'!K210)</f>
        <v>R516</v>
      </c>
      <c r="AO211" t="b">
        <f t="shared" si="172"/>
        <v>0</v>
      </c>
      <c r="AP211" t="b">
        <f t="shared" si="173"/>
        <v>0</v>
      </c>
      <c r="AS211" t="str">
        <f>'Ashed teabags dry'!A209</f>
        <v>G400</v>
      </c>
      <c r="AT211" t="str">
        <f>'Ashed teabags dry'!A544</f>
        <v>R695</v>
      </c>
      <c r="AU211" t="b">
        <f t="shared" si="174"/>
        <v>0</v>
      </c>
      <c r="AV211" t="b">
        <f>COUNTIF($AT$4:$AT$2000, AT211)&gt;1</f>
        <v>0</v>
      </c>
      <c r="AX211" s="395" t="b">
        <f t="shared" si="175"/>
        <v>0</v>
      </c>
      <c r="AY211" s="395" t="b">
        <f t="shared" si="176"/>
        <v>0</v>
      </c>
      <c r="BA211" t="str">
        <f>'Ashed teabags wet'!A209</f>
        <v>G636</v>
      </c>
      <c r="BB211" t="str">
        <f>'Ashed teabags wet'!A629</f>
        <v>R415</v>
      </c>
      <c r="BC211" t="b">
        <f t="shared" si="177"/>
        <v>0</v>
      </c>
      <c r="BD211" t="b">
        <f t="shared" si="157"/>
        <v>0</v>
      </c>
      <c r="BF211" t="str">
        <f t="shared" si="178"/>
        <v>G40</v>
      </c>
      <c r="BG211" t="str">
        <f>T210</f>
        <v>G40</v>
      </c>
      <c r="BH211" t="str">
        <f t="shared" si="179"/>
        <v>G234</v>
      </c>
      <c r="BI211" t="str">
        <f t="shared" si="193"/>
        <v>G234</v>
      </c>
      <c r="BJ211" t="s">
        <v>2010</v>
      </c>
      <c r="BK211" t="s">
        <v>2010</v>
      </c>
      <c r="BL211" t="s">
        <v>2010</v>
      </c>
      <c r="BM211" t="b">
        <f t="shared" si="194"/>
        <v>1</v>
      </c>
      <c r="BN211" t="str">
        <f t="shared" si="180"/>
        <v>R694</v>
      </c>
      <c r="BO211" t="str">
        <f>U210</f>
        <v>R694</v>
      </c>
      <c r="BP211" t="str">
        <f t="shared" si="181"/>
        <v>R551</v>
      </c>
      <c r="BQ211" t="str">
        <f t="shared" si="182"/>
        <v>R551</v>
      </c>
      <c r="BR211" t="s">
        <v>445</v>
      </c>
      <c r="BS211" t="s">
        <v>444</v>
      </c>
      <c r="BT211" t="s">
        <v>445</v>
      </c>
      <c r="BU211" t="b">
        <f t="shared" si="195"/>
        <v>1</v>
      </c>
      <c r="BZ211" t="str">
        <f t="shared" si="183"/>
        <v>G234</v>
      </c>
      <c r="CA211" t="b">
        <f t="shared" si="184"/>
        <v>0</v>
      </c>
      <c r="CB211" t="str">
        <f t="shared" si="196"/>
        <v>G234</v>
      </c>
      <c r="CC211" t="str">
        <f t="shared" si="185"/>
        <v>R551</v>
      </c>
      <c r="CD211" t="b">
        <f t="shared" si="197"/>
        <v>0</v>
      </c>
      <c r="CE211" t="str">
        <f t="shared" si="198"/>
        <v>R551</v>
      </c>
      <c r="CG211" t="str">
        <f t="shared" si="186"/>
        <v>G634</v>
      </c>
      <c r="CH211" t="str">
        <f t="shared" si="199"/>
        <v>G634</v>
      </c>
      <c r="CI211" t="str">
        <f>AE210</f>
        <v>G574</v>
      </c>
      <c r="CJ211" t="str">
        <f t="shared" si="187"/>
        <v>G574</v>
      </c>
      <c r="CK211" t="s">
        <v>1416</v>
      </c>
      <c r="CL211" t="s">
        <v>1416</v>
      </c>
      <c r="CM211" t="s">
        <v>1416</v>
      </c>
      <c r="CN211" t="b">
        <f t="shared" si="200"/>
        <v>1</v>
      </c>
      <c r="CO211" t="str">
        <f t="shared" si="188"/>
        <v>R414</v>
      </c>
      <c r="CP211" t="str">
        <f t="shared" si="201"/>
        <v>R414</v>
      </c>
      <c r="CQ211" t="str">
        <f>AF210</f>
        <v>R258</v>
      </c>
      <c r="CR211" t="str">
        <f t="shared" si="189"/>
        <v>R258</v>
      </c>
      <c r="CS211" t="s">
        <v>727</v>
      </c>
      <c r="CT211" t="s">
        <v>727</v>
      </c>
      <c r="CU211" t="s">
        <v>727</v>
      </c>
      <c r="CV211" t="b">
        <f t="shared" si="202"/>
        <v>1</v>
      </c>
      <c r="DC211" t="str">
        <f t="shared" si="190"/>
        <v>G574</v>
      </c>
      <c r="DD211" t="b">
        <f t="shared" si="203"/>
        <v>0</v>
      </c>
      <c r="DE211" t="str">
        <f t="shared" si="204"/>
        <v>G574</v>
      </c>
      <c r="DF211" t="str">
        <f t="shared" si="191"/>
        <v>R258</v>
      </c>
      <c r="DG211" t="b">
        <f t="shared" si="205"/>
        <v>0</v>
      </c>
      <c r="DH211" t="str">
        <f t="shared" si="206"/>
        <v>R258</v>
      </c>
    </row>
    <row r="212" spans="2:112" ht="12" customHeight="1">
      <c r="B212" t="str">
        <f>TBIDry!H284</f>
        <v>G94</v>
      </c>
      <c r="C212" t="str">
        <f>TBIDry!I284</f>
        <v>R678</v>
      </c>
      <c r="D212" t="b">
        <f t="shared" si="158"/>
        <v>0</v>
      </c>
      <c r="E212" t="b">
        <f t="shared" si="159"/>
        <v>0</v>
      </c>
      <c r="G212" t="str">
        <f>TBIWet!H284</f>
        <v>G604</v>
      </c>
      <c r="H212" t="str">
        <f>TBIWet!I284</f>
        <v>R271</v>
      </c>
      <c r="I212" t="b">
        <f t="shared" si="160"/>
        <v>0</v>
      </c>
      <c r="J212" t="b">
        <f t="shared" si="161"/>
        <v>0</v>
      </c>
      <c r="L212" t="str">
        <f>'Both teabags AfterWet'!A210</f>
        <v>G637</v>
      </c>
      <c r="M212" t="str">
        <f>'Both teabags AfterWet'!A630</f>
        <v>R417</v>
      </c>
      <c r="N212" t="b">
        <f t="shared" si="162"/>
        <v>0</v>
      </c>
      <c r="O212" t="b">
        <f t="shared" si="207"/>
        <v>0</v>
      </c>
      <c r="Q212" s="395" t="b">
        <f t="shared" si="163"/>
        <v>0</v>
      </c>
      <c r="R212" s="395" t="b">
        <f t="shared" si="164"/>
        <v>0</v>
      </c>
      <c r="T212" t="str">
        <f>'Both teabags AfterDry'!A210</f>
        <v>G401</v>
      </c>
      <c r="U212" t="str">
        <f>'Both teabags AfterDry'!A545</f>
        <v>R696</v>
      </c>
      <c r="V212" t="b">
        <f t="shared" si="165"/>
        <v>0</v>
      </c>
      <c r="W212" t="b">
        <f t="shared" si="192"/>
        <v>0</v>
      </c>
      <c r="Y212" t="str">
        <f>'Green_rooibos initial weight'!A213</f>
        <v>G209</v>
      </c>
      <c r="Z212" t="str">
        <f>'Green_rooibos initial weight'!A1117</f>
        <v>R209</v>
      </c>
      <c r="AA212" t="b">
        <f t="shared" si="166"/>
        <v>0</v>
      </c>
      <c r="AB212" t="b">
        <f t="shared" si="167"/>
        <v>0</v>
      </c>
      <c r="AE212" t="str">
        <f>'WetLitterbags placem_collection'!K211</f>
        <v>G604</v>
      </c>
      <c r="AF212" t="str">
        <f>'WetLitterbags placem_collection'!M211</f>
        <v>R271</v>
      </c>
      <c r="AG212" t="b">
        <f t="shared" si="168"/>
        <v>0</v>
      </c>
      <c r="AH212" t="b">
        <f t="shared" si="169"/>
        <v>0</v>
      </c>
      <c r="AJ212" t="b">
        <f t="shared" si="170"/>
        <v>0</v>
      </c>
      <c r="AK212" t="b">
        <f t="shared" si="171"/>
        <v>0</v>
      </c>
      <c r="AM212" t="str">
        <f>IF(ISBLANK('Dry_Litterbag Placem_Collection'!J211),"","G"&amp;""&amp;'Dry_Litterbag Placem_Collection'!J211)</f>
        <v>G94</v>
      </c>
      <c r="AN212" t="str">
        <f>IF(ISBLANK('Dry_Litterbag Placem_Collection'!K211),"","R"&amp;""&amp;'Dry_Litterbag Placem_Collection'!K211)</f>
        <v>R678</v>
      </c>
      <c r="AO212" t="b">
        <f t="shared" si="172"/>
        <v>0</v>
      </c>
      <c r="AP212" t="b">
        <f t="shared" si="173"/>
        <v>0</v>
      </c>
      <c r="AS212" t="str">
        <f>'Ashed teabags dry'!A210</f>
        <v>G401</v>
      </c>
      <c r="AT212" t="str">
        <f>'Ashed teabags dry'!A545</f>
        <v>R696</v>
      </c>
      <c r="AU212" t="b">
        <f t="shared" si="174"/>
        <v>0</v>
      </c>
      <c r="AV212" t="b">
        <f>COUNTIF($AT$4:$AT$2000, AT212)&gt;1</f>
        <v>0</v>
      </c>
      <c r="AX212" s="395" t="b">
        <f t="shared" si="175"/>
        <v>0</v>
      </c>
      <c r="AY212" s="395" t="b">
        <f t="shared" si="176"/>
        <v>0</v>
      </c>
      <c r="BA212" t="str">
        <f>'Ashed teabags wet'!A210</f>
        <v>G637</v>
      </c>
      <c r="BB212" t="str">
        <f>'Ashed teabags wet'!A630</f>
        <v>R417</v>
      </c>
      <c r="BC212" t="b">
        <f t="shared" si="177"/>
        <v>0</v>
      </c>
      <c r="BD212" t="b">
        <f t="shared" si="157"/>
        <v>0</v>
      </c>
      <c r="BF212" t="str">
        <f t="shared" si="178"/>
        <v>G400</v>
      </c>
      <c r="BG212" t="str">
        <f>T211</f>
        <v>G400</v>
      </c>
      <c r="BH212" t="str">
        <f t="shared" si="179"/>
        <v>G412</v>
      </c>
      <c r="BI212" t="str">
        <f t="shared" si="193"/>
        <v>G412</v>
      </c>
      <c r="BJ212" t="s">
        <v>1650</v>
      </c>
      <c r="BK212" t="s">
        <v>1650</v>
      </c>
      <c r="BL212" t="s">
        <v>1650</v>
      </c>
      <c r="BM212" t="b">
        <f t="shared" si="194"/>
        <v>1</v>
      </c>
      <c r="BN212" t="str">
        <f t="shared" si="180"/>
        <v>R695</v>
      </c>
      <c r="BO212" t="str">
        <f>U211</f>
        <v>R695</v>
      </c>
      <c r="BP212" t="str">
        <f t="shared" si="181"/>
        <v>R516</v>
      </c>
      <c r="BQ212" t="str">
        <f t="shared" si="182"/>
        <v>R516</v>
      </c>
      <c r="BR212" t="s">
        <v>444</v>
      </c>
      <c r="BS212" t="s">
        <v>443</v>
      </c>
      <c r="BT212" t="s">
        <v>444</v>
      </c>
      <c r="BU212" t="b">
        <f t="shared" si="195"/>
        <v>1</v>
      </c>
      <c r="BZ212" t="str">
        <f t="shared" si="183"/>
        <v>G412</v>
      </c>
      <c r="CA212" t="b">
        <f t="shared" si="184"/>
        <v>0</v>
      </c>
      <c r="CB212" t="str">
        <f t="shared" si="196"/>
        <v>G412</v>
      </c>
      <c r="CC212" t="str">
        <f t="shared" si="185"/>
        <v>R516</v>
      </c>
      <c r="CD212" t="b">
        <f t="shared" si="197"/>
        <v>0</v>
      </c>
      <c r="CE212" t="str">
        <f t="shared" si="198"/>
        <v>R516</v>
      </c>
      <c r="CG212" t="str">
        <f t="shared" si="186"/>
        <v>G636</v>
      </c>
      <c r="CH212" t="str">
        <f t="shared" si="199"/>
        <v>G636</v>
      </c>
      <c r="CI212" t="str">
        <f>AE211</f>
        <v>G710</v>
      </c>
      <c r="CJ212" t="str">
        <f t="shared" si="187"/>
        <v>G710</v>
      </c>
      <c r="CK212" t="s">
        <v>1414</v>
      </c>
      <c r="CL212" t="s">
        <v>1414</v>
      </c>
      <c r="CM212" t="s">
        <v>1414</v>
      </c>
      <c r="CN212" t="b">
        <f t="shared" si="200"/>
        <v>1</v>
      </c>
      <c r="CO212" t="str">
        <f t="shared" si="188"/>
        <v>R415</v>
      </c>
      <c r="CP212" t="str">
        <f t="shared" si="201"/>
        <v>R415</v>
      </c>
      <c r="CQ212" t="str">
        <f>AF211</f>
        <v>R344</v>
      </c>
      <c r="CR212" t="str">
        <f t="shared" si="189"/>
        <v>R344</v>
      </c>
      <c r="CS212" t="s">
        <v>726</v>
      </c>
      <c r="CT212" t="s">
        <v>726</v>
      </c>
      <c r="CU212" t="s">
        <v>726</v>
      </c>
      <c r="CV212" t="b">
        <f t="shared" si="202"/>
        <v>1</v>
      </c>
      <c r="DC212" t="str">
        <f t="shared" si="190"/>
        <v>G710</v>
      </c>
      <c r="DD212" t="b">
        <f t="shared" si="203"/>
        <v>0</v>
      </c>
      <c r="DE212" t="str">
        <f t="shared" si="204"/>
        <v>G710</v>
      </c>
      <c r="DF212" t="str">
        <f t="shared" si="191"/>
        <v>R344</v>
      </c>
      <c r="DG212" t="b">
        <f t="shared" si="205"/>
        <v>0</v>
      </c>
      <c r="DH212" t="str">
        <f t="shared" si="206"/>
        <v>R344</v>
      </c>
    </row>
    <row r="213" spans="2:112" ht="12" customHeight="1">
      <c r="B213" t="str">
        <f>TBIDry!H285</f>
        <v>G93</v>
      </c>
      <c r="C213" t="str">
        <f>TBIDry!I285</f>
        <v>R335</v>
      </c>
      <c r="D213" t="b">
        <f t="shared" si="158"/>
        <v>0</v>
      </c>
      <c r="E213" t="b">
        <f t="shared" si="159"/>
        <v>0</v>
      </c>
      <c r="G213" t="str">
        <f>TBIWet!H285</f>
        <v>G871</v>
      </c>
      <c r="H213" t="str">
        <f>TBIWet!I285</f>
        <v>R340</v>
      </c>
      <c r="I213" t="b">
        <f t="shared" si="160"/>
        <v>0</v>
      </c>
      <c r="J213" t="b">
        <f t="shared" si="161"/>
        <v>0</v>
      </c>
      <c r="L213" t="str">
        <f>'Both teabags AfterWet'!A211</f>
        <v>G638</v>
      </c>
      <c r="M213" t="str">
        <f>'Both teabags AfterWet'!A631</f>
        <v>R418</v>
      </c>
      <c r="N213" t="b">
        <f t="shared" si="162"/>
        <v>0</v>
      </c>
      <c r="O213" t="b">
        <f t="shared" si="207"/>
        <v>0</v>
      </c>
      <c r="Q213" s="395" t="b">
        <f t="shared" si="163"/>
        <v>0</v>
      </c>
      <c r="R213" s="395" t="b">
        <f t="shared" si="164"/>
        <v>0</v>
      </c>
      <c r="T213" t="str">
        <f>'Both teabags AfterDry'!A211</f>
        <v>G407</v>
      </c>
      <c r="U213" t="str">
        <f>'Both teabags AfterDry'!A546</f>
        <v>R697</v>
      </c>
      <c r="V213" t="b">
        <f t="shared" si="165"/>
        <v>0</v>
      </c>
      <c r="W213" t="b">
        <f t="shared" si="192"/>
        <v>0</v>
      </c>
      <c r="Y213" t="str">
        <f>'Green_rooibos initial weight'!A214</f>
        <v>G210</v>
      </c>
      <c r="Z213" t="str">
        <f>'Green_rooibos initial weight'!A1118</f>
        <v>R210</v>
      </c>
      <c r="AA213" t="b">
        <f t="shared" si="166"/>
        <v>0</v>
      </c>
      <c r="AB213" t="b">
        <f t="shared" si="167"/>
        <v>0</v>
      </c>
      <c r="AE213" t="str">
        <f>'WetLitterbags placem_collection'!K212</f>
        <v>G871</v>
      </c>
      <c r="AF213" t="str">
        <f>'WetLitterbags placem_collection'!M212</f>
        <v>R340</v>
      </c>
      <c r="AG213" t="b">
        <f t="shared" si="168"/>
        <v>0</v>
      </c>
      <c r="AH213" t="b">
        <f t="shared" si="169"/>
        <v>0</v>
      </c>
      <c r="AJ213" t="b">
        <f t="shared" si="170"/>
        <v>0</v>
      </c>
      <c r="AK213" t="b">
        <f t="shared" si="171"/>
        <v>0</v>
      </c>
      <c r="AM213" t="str">
        <f>IF(ISBLANK('Dry_Litterbag Placem_Collection'!J212),"","G"&amp;""&amp;'Dry_Litterbag Placem_Collection'!J212)</f>
        <v>G93</v>
      </c>
      <c r="AN213" t="str">
        <f>IF(ISBLANK('Dry_Litterbag Placem_Collection'!K212),"","R"&amp;""&amp;'Dry_Litterbag Placem_Collection'!K212)</f>
        <v>R335</v>
      </c>
      <c r="AO213" t="b">
        <f t="shared" si="172"/>
        <v>0</v>
      </c>
      <c r="AP213" t="b">
        <f t="shared" si="173"/>
        <v>0</v>
      </c>
      <c r="AS213" t="str">
        <f>'Ashed teabags dry'!A211</f>
        <v>G407</v>
      </c>
      <c r="AT213" t="str">
        <f>'Ashed teabags dry'!A546</f>
        <v>R697</v>
      </c>
      <c r="AU213" t="b">
        <f t="shared" si="174"/>
        <v>0</v>
      </c>
      <c r="AV213" t="b">
        <f>COUNTIF($AT$4:$AT$2000, AT213)&gt;1</f>
        <v>0</v>
      </c>
      <c r="AX213" s="395" t="b">
        <f t="shared" si="175"/>
        <v>0</v>
      </c>
      <c r="AY213" s="395" t="b">
        <f t="shared" si="176"/>
        <v>0</v>
      </c>
      <c r="BA213" t="str">
        <f>'Ashed teabags wet'!A211</f>
        <v>G638</v>
      </c>
      <c r="BB213" t="str">
        <f>'Ashed teabags wet'!A631</f>
        <v>R418</v>
      </c>
      <c r="BC213" t="b">
        <f t="shared" si="177"/>
        <v>0</v>
      </c>
      <c r="BD213" t="b">
        <f t="shared" si="157"/>
        <v>0</v>
      </c>
      <c r="BF213" t="str">
        <f t="shared" si="178"/>
        <v>G401</v>
      </c>
      <c r="BG213" t="str">
        <f>T212</f>
        <v>G401</v>
      </c>
      <c r="BH213" t="str">
        <f t="shared" si="179"/>
        <v>G94</v>
      </c>
      <c r="BI213" t="str">
        <f t="shared" si="193"/>
        <v>G94</v>
      </c>
      <c r="BJ213" t="s">
        <v>1649</v>
      </c>
      <c r="BK213" t="s">
        <v>1649</v>
      </c>
      <c r="BL213" t="s">
        <v>1649</v>
      </c>
      <c r="BM213" t="b">
        <f t="shared" si="194"/>
        <v>1</v>
      </c>
      <c r="BN213" t="str">
        <f t="shared" si="180"/>
        <v>R696</v>
      </c>
      <c r="BO213" t="str">
        <f>U212</f>
        <v>R696</v>
      </c>
      <c r="BP213" t="str">
        <f t="shared" si="181"/>
        <v>R678</v>
      </c>
      <c r="BQ213" t="str">
        <f t="shared" si="182"/>
        <v>R678</v>
      </c>
      <c r="BR213" t="s">
        <v>443</v>
      </c>
      <c r="BS213" t="s">
        <v>442</v>
      </c>
      <c r="BT213" t="s">
        <v>443</v>
      </c>
      <c r="BU213" t="b">
        <f t="shared" si="195"/>
        <v>1</v>
      </c>
      <c r="BZ213" t="str">
        <f t="shared" si="183"/>
        <v>G94</v>
      </c>
      <c r="CA213" t="b">
        <f t="shared" si="184"/>
        <v>0</v>
      </c>
      <c r="CB213" t="str">
        <f t="shared" si="196"/>
        <v>G94</v>
      </c>
      <c r="CC213" t="str">
        <f t="shared" si="185"/>
        <v>R678</v>
      </c>
      <c r="CD213" t="b">
        <f t="shared" si="197"/>
        <v>0</v>
      </c>
      <c r="CE213" t="str">
        <f t="shared" si="198"/>
        <v>R678</v>
      </c>
      <c r="CG213" t="str">
        <f t="shared" si="186"/>
        <v>G637</v>
      </c>
      <c r="CH213" t="str">
        <f t="shared" si="199"/>
        <v>G637</v>
      </c>
      <c r="CI213" t="str">
        <f>AE212</f>
        <v>G604</v>
      </c>
      <c r="CJ213" t="str">
        <f t="shared" si="187"/>
        <v>G604</v>
      </c>
      <c r="CK213" t="s">
        <v>1413</v>
      </c>
      <c r="CL213" t="s">
        <v>1413</v>
      </c>
      <c r="CM213" t="s">
        <v>1413</v>
      </c>
      <c r="CN213" t="b">
        <f t="shared" si="200"/>
        <v>1</v>
      </c>
      <c r="CO213" t="str">
        <f t="shared" si="188"/>
        <v>R417</v>
      </c>
      <c r="CP213" t="str">
        <f t="shared" si="201"/>
        <v>R417</v>
      </c>
      <c r="CQ213" t="str">
        <f>AF212</f>
        <v>R271</v>
      </c>
      <c r="CR213" t="str">
        <f t="shared" si="189"/>
        <v>R271</v>
      </c>
      <c r="CS213" t="s">
        <v>724</v>
      </c>
      <c r="CT213" t="s">
        <v>724</v>
      </c>
      <c r="CU213" t="s">
        <v>724</v>
      </c>
      <c r="CV213" t="b">
        <f t="shared" si="202"/>
        <v>1</v>
      </c>
      <c r="DC213" t="str">
        <f t="shared" si="190"/>
        <v>G604</v>
      </c>
      <c r="DD213" t="b">
        <f t="shared" si="203"/>
        <v>0</v>
      </c>
      <c r="DE213" t="str">
        <f t="shared" si="204"/>
        <v>G604</v>
      </c>
      <c r="DF213" t="str">
        <f t="shared" si="191"/>
        <v>R271</v>
      </c>
      <c r="DG213" t="b">
        <f t="shared" si="205"/>
        <v>0</v>
      </c>
      <c r="DH213" t="str">
        <f t="shared" si="206"/>
        <v>R271</v>
      </c>
    </row>
    <row r="214" spans="2:112" ht="12" customHeight="1">
      <c r="B214" t="str">
        <f>TBIDry!H286</f>
        <v>G26</v>
      </c>
      <c r="C214" t="str">
        <f>TBIDry!I286</f>
        <v>R249</v>
      </c>
      <c r="D214" t="b">
        <f t="shared" si="158"/>
        <v>0</v>
      </c>
      <c r="E214" t="b">
        <f t="shared" si="159"/>
        <v>0</v>
      </c>
      <c r="G214" t="str">
        <f>TBIWet!H286</f>
        <v>G822</v>
      </c>
      <c r="H214" t="str">
        <f>TBIWet!I286</f>
        <v>R381</v>
      </c>
      <c r="I214" t="b">
        <f t="shared" si="160"/>
        <v>0</v>
      </c>
      <c r="J214" t="b">
        <f t="shared" si="161"/>
        <v>0</v>
      </c>
      <c r="L214" t="str">
        <f>'Both teabags AfterWet'!A212</f>
        <v>G639</v>
      </c>
      <c r="M214" t="str">
        <f>'Both teabags AfterWet'!A632</f>
        <v>R42</v>
      </c>
      <c r="N214" t="b">
        <f t="shared" si="162"/>
        <v>0</v>
      </c>
      <c r="O214" t="b">
        <f t="shared" si="207"/>
        <v>0</v>
      </c>
      <c r="Q214" s="395" t="b">
        <f t="shared" si="163"/>
        <v>0</v>
      </c>
      <c r="R214" s="395" t="b">
        <f t="shared" si="164"/>
        <v>0</v>
      </c>
      <c r="T214" t="str">
        <f>'Both teabags AfterDry'!A212</f>
        <v>G409</v>
      </c>
      <c r="U214" t="str">
        <f>'Both teabags AfterDry'!A547</f>
        <v>R698</v>
      </c>
      <c r="V214" t="b">
        <f t="shared" si="165"/>
        <v>0</v>
      </c>
      <c r="W214" t="b">
        <f t="shared" si="192"/>
        <v>0</v>
      </c>
      <c r="Y214" t="str">
        <f>'Green_rooibos initial weight'!A215</f>
        <v>G211</v>
      </c>
      <c r="Z214" t="str">
        <f>'Green_rooibos initial weight'!A1119</f>
        <v>R211</v>
      </c>
      <c r="AA214" t="b">
        <f t="shared" si="166"/>
        <v>0</v>
      </c>
      <c r="AB214" t="b">
        <f t="shared" si="167"/>
        <v>0</v>
      </c>
      <c r="AE214" t="str">
        <f>'WetLitterbags placem_collection'!K213</f>
        <v>G822</v>
      </c>
      <c r="AF214" t="str">
        <f>'WetLitterbags placem_collection'!M213</f>
        <v>R381</v>
      </c>
      <c r="AG214" t="b">
        <f t="shared" si="168"/>
        <v>0</v>
      </c>
      <c r="AH214" t="b">
        <f t="shared" si="169"/>
        <v>0</v>
      </c>
      <c r="AJ214" t="b">
        <f t="shared" si="170"/>
        <v>0</v>
      </c>
      <c r="AK214" t="b">
        <f t="shared" si="171"/>
        <v>0</v>
      </c>
      <c r="AM214" t="str">
        <f>IF(ISBLANK('Dry_Litterbag Placem_Collection'!J213),"","G"&amp;""&amp;'Dry_Litterbag Placem_Collection'!J213)</f>
        <v>G26</v>
      </c>
      <c r="AN214" t="str">
        <f>IF(ISBLANK('Dry_Litterbag Placem_Collection'!K213),"","R"&amp;""&amp;'Dry_Litterbag Placem_Collection'!K213)</f>
        <v>R249</v>
      </c>
      <c r="AO214" t="b">
        <f t="shared" si="172"/>
        <v>0</v>
      </c>
      <c r="AP214" t="b">
        <f t="shared" si="173"/>
        <v>0</v>
      </c>
      <c r="AS214" t="str">
        <f>'Ashed teabags dry'!A212</f>
        <v>G409</v>
      </c>
      <c r="AT214" t="str">
        <f>'Ashed teabags dry'!A547</f>
        <v>R698</v>
      </c>
      <c r="AU214" t="b">
        <f t="shared" si="174"/>
        <v>0</v>
      </c>
      <c r="AV214" t="b">
        <f>COUNTIF($AT$4:$AT$2000, AT214)&gt;1</f>
        <v>0</v>
      </c>
      <c r="AX214" s="395" t="b">
        <f t="shared" si="175"/>
        <v>0</v>
      </c>
      <c r="AY214" s="395" t="b">
        <f t="shared" si="176"/>
        <v>0</v>
      </c>
      <c r="BA214" t="str">
        <f>'Ashed teabags wet'!A212</f>
        <v>G639</v>
      </c>
      <c r="BB214" t="str">
        <f>'Ashed teabags wet'!A632</f>
        <v>R42</v>
      </c>
      <c r="BC214" t="b">
        <f t="shared" si="177"/>
        <v>0</v>
      </c>
      <c r="BD214" t="b">
        <f t="shared" si="157"/>
        <v>0</v>
      </c>
      <c r="BF214" t="str">
        <f t="shared" si="178"/>
        <v>G407</v>
      </c>
      <c r="BG214" t="str">
        <f>T213</f>
        <v>G407</v>
      </c>
      <c r="BH214" t="str">
        <f t="shared" si="179"/>
        <v>G93</v>
      </c>
      <c r="BI214" t="str">
        <f t="shared" si="193"/>
        <v>G93</v>
      </c>
      <c r="BJ214" t="s">
        <v>1643</v>
      </c>
      <c r="BK214" t="s">
        <v>1643</v>
      </c>
      <c r="BL214" t="s">
        <v>1643</v>
      </c>
      <c r="BM214" t="b">
        <f t="shared" si="194"/>
        <v>1</v>
      </c>
      <c r="BN214" t="str">
        <f t="shared" si="180"/>
        <v>R697</v>
      </c>
      <c r="BO214" t="str">
        <f>U213</f>
        <v>R697</v>
      </c>
      <c r="BP214" t="str">
        <f t="shared" si="181"/>
        <v>R335</v>
      </c>
      <c r="BQ214" t="str">
        <f t="shared" si="182"/>
        <v>R335</v>
      </c>
      <c r="BR214" t="s">
        <v>442</v>
      </c>
      <c r="BS214" t="s">
        <v>441</v>
      </c>
      <c r="BT214" t="s">
        <v>442</v>
      </c>
      <c r="BU214" t="b">
        <f t="shared" si="195"/>
        <v>1</v>
      </c>
      <c r="BZ214" t="str">
        <f t="shared" si="183"/>
        <v>G93</v>
      </c>
      <c r="CA214" t="b">
        <f t="shared" si="184"/>
        <v>0</v>
      </c>
      <c r="CB214" t="str">
        <f t="shared" si="196"/>
        <v>G93</v>
      </c>
      <c r="CC214" t="str">
        <f t="shared" si="185"/>
        <v>R335</v>
      </c>
      <c r="CD214" t="b">
        <f t="shared" si="197"/>
        <v>0</v>
      </c>
      <c r="CE214" t="str">
        <f t="shared" si="198"/>
        <v>R335</v>
      </c>
      <c r="CG214" t="str">
        <f t="shared" si="186"/>
        <v>G638</v>
      </c>
      <c r="CH214" t="str">
        <f t="shared" si="199"/>
        <v>G638</v>
      </c>
      <c r="CI214" t="str">
        <f>AE213</f>
        <v>G871</v>
      </c>
      <c r="CJ214" t="str">
        <f t="shared" si="187"/>
        <v>G871</v>
      </c>
      <c r="CK214" t="s">
        <v>1412</v>
      </c>
      <c r="CL214" t="s">
        <v>1412</v>
      </c>
      <c r="CM214" t="s">
        <v>1412</v>
      </c>
      <c r="CN214" t="b">
        <f t="shared" si="200"/>
        <v>1</v>
      </c>
      <c r="CO214" t="str">
        <f t="shared" si="188"/>
        <v>R418</v>
      </c>
      <c r="CP214" t="str">
        <f t="shared" si="201"/>
        <v>R418</v>
      </c>
      <c r="CQ214" t="str">
        <f>AF213</f>
        <v>R340</v>
      </c>
      <c r="CR214" t="str">
        <f t="shared" si="189"/>
        <v>R340</v>
      </c>
      <c r="CS214" t="s">
        <v>723</v>
      </c>
      <c r="CT214" t="s">
        <v>723</v>
      </c>
      <c r="CU214" t="s">
        <v>723</v>
      </c>
      <c r="CV214" t="b">
        <f t="shared" si="202"/>
        <v>1</v>
      </c>
      <c r="DC214" t="str">
        <f t="shared" si="190"/>
        <v>G871</v>
      </c>
      <c r="DD214" t="b">
        <f t="shared" si="203"/>
        <v>0</v>
      </c>
      <c r="DE214" t="str">
        <f t="shared" si="204"/>
        <v>G871</v>
      </c>
      <c r="DF214" t="str">
        <f t="shared" si="191"/>
        <v>R340</v>
      </c>
      <c r="DG214" t="b">
        <f t="shared" si="205"/>
        <v>0</v>
      </c>
      <c r="DH214" t="str">
        <f t="shared" si="206"/>
        <v>R340</v>
      </c>
    </row>
    <row r="215" spans="2:112" ht="12" customHeight="1">
      <c r="B215" t="str">
        <f>TBIDry!H287</f>
        <v>G169</v>
      </c>
      <c r="C215" t="str">
        <f>TBIDry!I287</f>
        <v>R627</v>
      </c>
      <c r="D215" t="b">
        <f t="shared" si="158"/>
        <v>0</v>
      </c>
      <c r="E215" t="b">
        <f t="shared" si="159"/>
        <v>0</v>
      </c>
      <c r="G215" t="str">
        <f>TBIWet!H287</f>
        <v>G786</v>
      </c>
      <c r="H215" t="str">
        <f>TBIWet!I287</f>
        <v>R93</v>
      </c>
      <c r="I215" t="b">
        <f t="shared" si="160"/>
        <v>0</v>
      </c>
      <c r="J215" t="b">
        <f t="shared" si="161"/>
        <v>0</v>
      </c>
      <c r="L215" t="str">
        <f>'Both teabags AfterWet'!A213</f>
        <v>G640</v>
      </c>
      <c r="M215" t="str">
        <f>'Both teabags AfterWet'!A633</f>
        <v>R420</v>
      </c>
      <c r="N215" t="b">
        <f t="shared" si="162"/>
        <v>0</v>
      </c>
      <c r="O215" t="b">
        <f t="shared" si="207"/>
        <v>0</v>
      </c>
      <c r="Q215" s="395" t="b">
        <f t="shared" si="163"/>
        <v>0</v>
      </c>
      <c r="R215" s="395" t="b">
        <f t="shared" si="164"/>
        <v>0</v>
      </c>
      <c r="T215" t="str">
        <f>'Both teabags AfterDry'!A213</f>
        <v>G41</v>
      </c>
      <c r="U215" t="str">
        <f>'Both teabags AfterDry'!A548</f>
        <v>R699</v>
      </c>
      <c r="V215" t="b">
        <f t="shared" si="165"/>
        <v>0</v>
      </c>
      <c r="W215" t="b">
        <f t="shared" si="192"/>
        <v>0</v>
      </c>
      <c r="Y215" t="str">
        <f>'Green_rooibos initial weight'!A216</f>
        <v>G212</v>
      </c>
      <c r="Z215" t="str">
        <f>'Green_rooibos initial weight'!A1120</f>
        <v>R212</v>
      </c>
      <c r="AA215" t="b">
        <f t="shared" si="166"/>
        <v>0</v>
      </c>
      <c r="AB215" t="b">
        <f t="shared" si="167"/>
        <v>0</v>
      </c>
      <c r="AE215" t="str">
        <f>'WetLitterbags placem_collection'!K214</f>
        <v>G786</v>
      </c>
      <c r="AF215" t="str">
        <f>'WetLitterbags placem_collection'!M214</f>
        <v>R93</v>
      </c>
      <c r="AG215" t="b">
        <f t="shared" si="168"/>
        <v>0</v>
      </c>
      <c r="AH215" t="b">
        <f t="shared" si="169"/>
        <v>0</v>
      </c>
      <c r="AJ215" t="b">
        <f t="shared" si="170"/>
        <v>0</v>
      </c>
      <c r="AK215" t="b">
        <f t="shared" si="171"/>
        <v>0</v>
      </c>
      <c r="AM215" t="str">
        <f>IF(ISBLANK('Dry_Litterbag Placem_Collection'!J214),"","G"&amp;""&amp;'Dry_Litterbag Placem_Collection'!J214)</f>
        <v>G169</v>
      </c>
      <c r="AN215" t="str">
        <f>IF(ISBLANK('Dry_Litterbag Placem_Collection'!K214),"","R"&amp;""&amp;'Dry_Litterbag Placem_Collection'!K214)</f>
        <v>R627</v>
      </c>
      <c r="AO215" t="b">
        <f t="shared" si="172"/>
        <v>0</v>
      </c>
      <c r="AP215" t="b">
        <f t="shared" si="173"/>
        <v>0</v>
      </c>
      <c r="AS215" t="str">
        <f>'Ashed teabags dry'!A213</f>
        <v>G41</v>
      </c>
      <c r="AT215" t="str">
        <f>'Ashed teabags dry'!A548</f>
        <v>R699</v>
      </c>
      <c r="AU215" t="b">
        <f t="shared" si="174"/>
        <v>0</v>
      </c>
      <c r="AV215" t="b">
        <f>COUNTIF($AT$4:$AT$2000, AT215)&gt;1</f>
        <v>0</v>
      </c>
      <c r="AX215" s="395" t="b">
        <f t="shared" si="175"/>
        <v>0</v>
      </c>
      <c r="AY215" s="395" t="b">
        <f t="shared" si="176"/>
        <v>0</v>
      </c>
      <c r="BA215" t="str">
        <f>'Ashed teabags wet'!A213</f>
        <v>G640</v>
      </c>
      <c r="BB215" t="str">
        <f>'Ashed teabags wet'!A633</f>
        <v>R420</v>
      </c>
      <c r="BC215" t="b">
        <f t="shared" si="177"/>
        <v>0</v>
      </c>
      <c r="BD215" t="b">
        <f t="shared" si="157"/>
        <v>0</v>
      </c>
      <c r="BF215" t="str">
        <f t="shared" si="178"/>
        <v>G409</v>
      </c>
      <c r="BG215" t="str">
        <f>T214</f>
        <v>G409</v>
      </c>
      <c r="BH215" t="str">
        <f t="shared" si="179"/>
        <v>G26</v>
      </c>
      <c r="BI215" t="str">
        <f t="shared" si="193"/>
        <v>G26</v>
      </c>
      <c r="BJ215" t="s">
        <v>1641</v>
      </c>
      <c r="BK215" t="s">
        <v>1641</v>
      </c>
      <c r="BL215" t="s">
        <v>1641</v>
      </c>
      <c r="BM215" t="b">
        <f t="shared" si="194"/>
        <v>1</v>
      </c>
      <c r="BN215" t="str">
        <f t="shared" si="180"/>
        <v>R698</v>
      </c>
      <c r="BO215" t="str">
        <f>U214</f>
        <v>R698</v>
      </c>
      <c r="BP215" t="str">
        <f t="shared" si="181"/>
        <v>R249</v>
      </c>
      <c r="BQ215" t="str">
        <f t="shared" si="182"/>
        <v>R249</v>
      </c>
      <c r="BR215" t="s">
        <v>441</v>
      </c>
      <c r="BS215" t="s">
        <v>440</v>
      </c>
      <c r="BT215" t="s">
        <v>441</v>
      </c>
      <c r="BU215" t="b">
        <f t="shared" si="195"/>
        <v>1</v>
      </c>
      <c r="BZ215" t="str">
        <f t="shared" si="183"/>
        <v>G26</v>
      </c>
      <c r="CA215" t="b">
        <f t="shared" si="184"/>
        <v>0</v>
      </c>
      <c r="CB215" t="str">
        <f t="shared" si="196"/>
        <v>G26</v>
      </c>
      <c r="CC215" t="str">
        <f t="shared" si="185"/>
        <v>R249</v>
      </c>
      <c r="CD215" t="b">
        <f t="shared" si="197"/>
        <v>0</v>
      </c>
      <c r="CE215" t="str">
        <f t="shared" si="198"/>
        <v>R249</v>
      </c>
      <c r="CG215" t="str">
        <f t="shared" si="186"/>
        <v>G639</v>
      </c>
      <c r="CH215" t="str">
        <f t="shared" si="199"/>
        <v>G639</v>
      </c>
      <c r="CI215" t="str">
        <f>AE214</f>
        <v>G822</v>
      </c>
      <c r="CJ215" t="str">
        <f t="shared" si="187"/>
        <v>G822</v>
      </c>
      <c r="CK215" t="s">
        <v>1411</v>
      </c>
      <c r="CL215" t="s">
        <v>1411</v>
      </c>
      <c r="CM215" t="s">
        <v>1411</v>
      </c>
      <c r="CN215" t="b">
        <f t="shared" si="200"/>
        <v>1</v>
      </c>
      <c r="CO215" t="str">
        <f t="shared" si="188"/>
        <v>R42</v>
      </c>
      <c r="CP215" t="str">
        <f t="shared" si="201"/>
        <v>R42</v>
      </c>
      <c r="CQ215" t="str">
        <f>AF214</f>
        <v>R381</v>
      </c>
      <c r="CR215" t="str">
        <f t="shared" si="189"/>
        <v>R381</v>
      </c>
      <c r="CS215" t="s">
        <v>1099</v>
      </c>
      <c r="CT215" t="s">
        <v>1099</v>
      </c>
      <c r="CU215" t="s">
        <v>1099</v>
      </c>
      <c r="CV215" t="b">
        <f t="shared" si="202"/>
        <v>1</v>
      </c>
      <c r="DC215" t="str">
        <f t="shared" si="190"/>
        <v>G822</v>
      </c>
      <c r="DD215" t="b">
        <f t="shared" si="203"/>
        <v>0</v>
      </c>
      <c r="DE215" t="str">
        <f t="shared" si="204"/>
        <v>G822</v>
      </c>
      <c r="DF215" t="str">
        <f t="shared" si="191"/>
        <v>R381</v>
      </c>
      <c r="DG215" t="b">
        <f t="shared" si="205"/>
        <v>0</v>
      </c>
      <c r="DH215" t="str">
        <f t="shared" si="206"/>
        <v>R381</v>
      </c>
    </row>
    <row r="216" spans="2:112" ht="12" customHeight="1">
      <c r="B216" t="str">
        <f>TBIDry!H288</f>
        <v>G68</v>
      </c>
      <c r="C216" t="str">
        <f>TBIDry!I288</f>
        <v>R803</v>
      </c>
      <c r="D216" t="b">
        <f t="shared" si="158"/>
        <v>0</v>
      </c>
      <c r="E216" t="b">
        <f t="shared" si="159"/>
        <v>0</v>
      </c>
      <c r="G216" t="str">
        <f>TBIWet!H288</f>
        <v>G572</v>
      </c>
      <c r="H216" t="str">
        <f>TBIWet!I288</f>
        <v>R88</v>
      </c>
      <c r="I216" t="b">
        <f t="shared" si="160"/>
        <v>0</v>
      </c>
      <c r="J216" t="b">
        <f t="shared" si="161"/>
        <v>0</v>
      </c>
      <c r="L216" t="str">
        <f>'Both teabags AfterWet'!A214</f>
        <v>G641</v>
      </c>
      <c r="M216" t="str">
        <f>'Both teabags AfterWet'!A634</f>
        <v>R421</v>
      </c>
      <c r="N216" t="b">
        <f t="shared" si="162"/>
        <v>0</v>
      </c>
      <c r="O216" t="b">
        <f t="shared" si="207"/>
        <v>0</v>
      </c>
      <c r="Q216" s="395" t="b">
        <f t="shared" si="163"/>
        <v>0</v>
      </c>
      <c r="R216" s="395" t="b">
        <f t="shared" si="164"/>
        <v>0</v>
      </c>
      <c r="T216" t="str">
        <f>'Both teabags AfterDry'!A214</f>
        <v>G410</v>
      </c>
      <c r="U216" t="str">
        <f>'Both teabags AfterDry'!A549</f>
        <v>R701</v>
      </c>
      <c r="V216" t="b">
        <f t="shared" si="165"/>
        <v>0</v>
      </c>
      <c r="W216" t="b">
        <f t="shared" si="192"/>
        <v>0</v>
      </c>
      <c r="Y216" t="str">
        <f>'Green_rooibos initial weight'!A217</f>
        <v>G213</v>
      </c>
      <c r="Z216" t="str">
        <f>'Green_rooibos initial weight'!A1121</f>
        <v>R213</v>
      </c>
      <c r="AA216" t="b">
        <f t="shared" si="166"/>
        <v>0</v>
      </c>
      <c r="AB216" t="b">
        <f t="shared" si="167"/>
        <v>0</v>
      </c>
      <c r="AE216" t="str">
        <f>'WetLitterbags placem_collection'!K215</f>
        <v>G572</v>
      </c>
      <c r="AF216" t="str">
        <f>'WetLitterbags placem_collection'!M215</f>
        <v>R88</v>
      </c>
      <c r="AG216" t="b">
        <f t="shared" si="168"/>
        <v>0</v>
      </c>
      <c r="AH216" t="b">
        <f t="shared" si="169"/>
        <v>0</v>
      </c>
      <c r="AJ216" t="b">
        <f t="shared" si="170"/>
        <v>0</v>
      </c>
      <c r="AK216" t="b">
        <f t="shared" si="171"/>
        <v>0</v>
      </c>
      <c r="AM216" t="str">
        <f>IF(ISBLANK('Dry_Litterbag Placem_Collection'!J215),"","G"&amp;""&amp;'Dry_Litterbag Placem_Collection'!J215)</f>
        <v>G68</v>
      </c>
      <c r="AN216" t="str">
        <f>IF(ISBLANK('Dry_Litterbag Placem_Collection'!K215),"","R"&amp;""&amp;'Dry_Litterbag Placem_Collection'!K215)</f>
        <v>R803</v>
      </c>
      <c r="AO216" t="b">
        <f t="shared" si="172"/>
        <v>0</v>
      </c>
      <c r="AP216" t="b">
        <f t="shared" si="173"/>
        <v>0</v>
      </c>
      <c r="AS216" t="str">
        <f>'Ashed teabags dry'!A214</f>
        <v>G410</v>
      </c>
      <c r="AT216" t="str">
        <f>'Ashed teabags dry'!A549</f>
        <v>R701</v>
      </c>
      <c r="AU216" t="b">
        <f t="shared" si="174"/>
        <v>0</v>
      </c>
      <c r="AV216" t="b">
        <f>COUNTIF($AT$4:$AT$2000, AT216)&gt;1</f>
        <v>0</v>
      </c>
      <c r="AX216" s="395" t="b">
        <f t="shared" si="175"/>
        <v>0</v>
      </c>
      <c r="AY216" s="395" t="b">
        <f t="shared" si="176"/>
        <v>0</v>
      </c>
      <c r="BA216" t="str">
        <f>'Ashed teabags wet'!A214</f>
        <v>G641</v>
      </c>
      <c r="BB216" t="str">
        <f>'Ashed teabags wet'!A634</f>
        <v>R421</v>
      </c>
      <c r="BC216" t="b">
        <f t="shared" si="177"/>
        <v>0</v>
      </c>
      <c r="BD216" t="b">
        <f t="shared" si="157"/>
        <v>0</v>
      </c>
      <c r="BF216" t="str">
        <f t="shared" si="178"/>
        <v>G41</v>
      </c>
      <c r="BG216" t="str">
        <f>T215</f>
        <v>G41</v>
      </c>
      <c r="BH216" t="str">
        <f t="shared" si="179"/>
        <v>G169</v>
      </c>
      <c r="BI216" t="str">
        <f t="shared" si="193"/>
        <v>G169</v>
      </c>
      <c r="BJ216" t="s">
        <v>2009</v>
      </c>
      <c r="BK216" t="s">
        <v>2009</v>
      </c>
      <c r="BL216" t="s">
        <v>2009</v>
      </c>
      <c r="BM216" t="b">
        <f t="shared" si="194"/>
        <v>1</v>
      </c>
      <c r="BN216" t="str">
        <f t="shared" si="180"/>
        <v>R699</v>
      </c>
      <c r="BO216" t="str">
        <f>U215</f>
        <v>R699</v>
      </c>
      <c r="BP216" t="str">
        <f t="shared" si="181"/>
        <v>R627</v>
      </c>
      <c r="BQ216" t="str">
        <f t="shared" si="182"/>
        <v>R627</v>
      </c>
      <c r="BR216" t="s">
        <v>440</v>
      </c>
      <c r="BS216" t="s">
        <v>438</v>
      </c>
      <c r="BT216" t="s">
        <v>440</v>
      </c>
      <c r="BU216" t="b">
        <f t="shared" si="195"/>
        <v>1</v>
      </c>
      <c r="BZ216" t="str">
        <f t="shared" si="183"/>
        <v>G169</v>
      </c>
      <c r="CA216" t="b">
        <f t="shared" si="184"/>
        <v>0</v>
      </c>
      <c r="CB216" t="str">
        <f t="shared" si="196"/>
        <v>G169</v>
      </c>
      <c r="CC216" t="str">
        <f t="shared" si="185"/>
        <v>R627</v>
      </c>
      <c r="CD216" t="b">
        <f t="shared" si="197"/>
        <v>0</v>
      </c>
      <c r="CE216" t="str">
        <f t="shared" si="198"/>
        <v>R627</v>
      </c>
      <c r="CG216" t="str">
        <f t="shared" si="186"/>
        <v>G640</v>
      </c>
      <c r="CH216" t="str">
        <f t="shared" si="199"/>
        <v>G640</v>
      </c>
      <c r="CI216" t="str">
        <f>AE215</f>
        <v>G786</v>
      </c>
      <c r="CJ216" t="str">
        <f t="shared" si="187"/>
        <v>G786</v>
      </c>
      <c r="CK216" t="s">
        <v>1410</v>
      </c>
      <c r="CL216" t="s">
        <v>1410</v>
      </c>
      <c r="CM216" t="s">
        <v>1410</v>
      </c>
      <c r="CN216" t="b">
        <f t="shared" si="200"/>
        <v>1</v>
      </c>
      <c r="CO216" t="str">
        <f t="shared" si="188"/>
        <v>R420</v>
      </c>
      <c r="CP216" t="str">
        <f t="shared" si="201"/>
        <v>R420</v>
      </c>
      <c r="CQ216" t="str">
        <f>AF215</f>
        <v>R93</v>
      </c>
      <c r="CR216" t="str">
        <f t="shared" si="189"/>
        <v>R93</v>
      </c>
      <c r="CS216" t="s">
        <v>721</v>
      </c>
      <c r="CT216" t="s">
        <v>721</v>
      </c>
      <c r="CU216" t="s">
        <v>721</v>
      </c>
      <c r="CV216" t="b">
        <f t="shared" si="202"/>
        <v>1</v>
      </c>
      <c r="DC216" t="str">
        <f t="shared" si="190"/>
        <v>G786</v>
      </c>
      <c r="DD216" t="b">
        <f t="shared" si="203"/>
        <v>0</v>
      </c>
      <c r="DE216" t="str">
        <f t="shared" si="204"/>
        <v>G786</v>
      </c>
      <c r="DF216" t="str">
        <f t="shared" si="191"/>
        <v>R93</v>
      </c>
      <c r="DG216" t="b">
        <f t="shared" si="205"/>
        <v>0</v>
      </c>
      <c r="DH216" t="str">
        <f t="shared" si="206"/>
        <v>R93</v>
      </c>
    </row>
    <row r="217" spans="2:112" ht="12" customHeight="1">
      <c r="B217" t="str">
        <f>TBIDry!H289</f>
        <v>G143</v>
      </c>
      <c r="C217" t="str">
        <f>TBIDry!I289</f>
        <v>R321</v>
      </c>
      <c r="D217" t="b">
        <f t="shared" si="158"/>
        <v>0</v>
      </c>
      <c r="E217" t="b">
        <f t="shared" si="159"/>
        <v>0</v>
      </c>
      <c r="G217" t="str">
        <f>TBIWet!H289</f>
        <v>G761</v>
      </c>
      <c r="H217" t="str">
        <f>TBIWet!I289</f>
        <v>R383</v>
      </c>
      <c r="I217" t="b">
        <f t="shared" si="160"/>
        <v>0</v>
      </c>
      <c r="J217" t="b">
        <f t="shared" si="161"/>
        <v>0</v>
      </c>
      <c r="L217" t="str">
        <f>'Both teabags AfterWet'!A215</f>
        <v>G643</v>
      </c>
      <c r="M217" t="str">
        <f>'Both teabags AfterWet'!A635</f>
        <v>R423</v>
      </c>
      <c r="N217" t="b">
        <f t="shared" si="162"/>
        <v>0</v>
      </c>
      <c r="O217" t="b">
        <f t="shared" si="207"/>
        <v>0</v>
      </c>
      <c r="Q217" s="395" t="b">
        <f t="shared" si="163"/>
        <v>0</v>
      </c>
      <c r="R217" s="395" t="b">
        <f t="shared" si="164"/>
        <v>0</v>
      </c>
      <c r="T217" t="str">
        <f>'Both teabags AfterDry'!A215</f>
        <v>G411</v>
      </c>
      <c r="U217" t="str">
        <f>'Both teabags AfterDry'!A550</f>
        <v>R702</v>
      </c>
      <c r="V217" t="b">
        <f t="shared" si="165"/>
        <v>0</v>
      </c>
      <c r="W217" t="b">
        <f t="shared" si="192"/>
        <v>0</v>
      </c>
      <c r="Y217" t="str">
        <f>'Green_rooibos initial weight'!A218</f>
        <v>G214</v>
      </c>
      <c r="Z217" t="str">
        <f>'Green_rooibos initial weight'!A1122</f>
        <v>R214</v>
      </c>
      <c r="AA217" t="b">
        <f t="shared" si="166"/>
        <v>0</v>
      </c>
      <c r="AB217" t="b">
        <f t="shared" si="167"/>
        <v>0</v>
      </c>
      <c r="AE217" t="str">
        <f>'WetLitterbags placem_collection'!K216</f>
        <v>G761</v>
      </c>
      <c r="AF217" t="str">
        <f>'WetLitterbags placem_collection'!M216</f>
        <v>R383</v>
      </c>
      <c r="AG217" t="b">
        <f t="shared" si="168"/>
        <v>0</v>
      </c>
      <c r="AH217" t="b">
        <f t="shared" si="169"/>
        <v>0</v>
      </c>
      <c r="AJ217" t="b">
        <f t="shared" si="170"/>
        <v>0</v>
      </c>
      <c r="AK217" t="b">
        <f t="shared" si="171"/>
        <v>0</v>
      </c>
      <c r="AM217" t="str">
        <f>IF(ISBLANK('Dry_Litterbag Placem_Collection'!J216),"","G"&amp;""&amp;'Dry_Litterbag Placem_Collection'!J216)</f>
        <v>G143</v>
      </c>
      <c r="AN217" t="str">
        <f>IF(ISBLANK('Dry_Litterbag Placem_Collection'!K216),"","R"&amp;""&amp;'Dry_Litterbag Placem_Collection'!K216)</f>
        <v>R321</v>
      </c>
      <c r="AO217" t="b">
        <f t="shared" si="172"/>
        <v>0</v>
      </c>
      <c r="AP217" t="b">
        <f t="shared" si="173"/>
        <v>0</v>
      </c>
      <c r="AS217" t="str">
        <f>'Ashed teabags dry'!A215</f>
        <v>G411</v>
      </c>
      <c r="AT217" t="str">
        <f>'Ashed teabags dry'!A550</f>
        <v>R702</v>
      </c>
      <c r="AU217" t="b">
        <f t="shared" si="174"/>
        <v>0</v>
      </c>
      <c r="AV217" t="b">
        <f>COUNTIF($AT$4:$AT$2000, AT217)&gt;1</f>
        <v>0</v>
      </c>
      <c r="AX217" s="395" t="b">
        <f t="shared" si="175"/>
        <v>0</v>
      </c>
      <c r="AY217" s="395" t="b">
        <f t="shared" si="176"/>
        <v>0</v>
      </c>
      <c r="BA217" t="str">
        <f>'Ashed teabags wet'!A215</f>
        <v>G643</v>
      </c>
      <c r="BB217" t="str">
        <f>'Ashed teabags wet'!A635</f>
        <v>R423</v>
      </c>
      <c r="BC217" t="b">
        <f t="shared" si="177"/>
        <v>0</v>
      </c>
      <c r="BD217" t="b">
        <f t="shared" si="157"/>
        <v>0</v>
      </c>
      <c r="BF217" t="str">
        <f t="shared" si="178"/>
        <v>G410</v>
      </c>
      <c r="BG217" t="str">
        <f>T216</f>
        <v>G410</v>
      </c>
      <c r="BH217" t="str">
        <f t="shared" si="179"/>
        <v>G68</v>
      </c>
      <c r="BI217" t="str">
        <f t="shared" si="193"/>
        <v>G68</v>
      </c>
      <c r="BJ217" t="s">
        <v>1640</v>
      </c>
      <c r="BK217" t="s">
        <v>1640</v>
      </c>
      <c r="BL217" t="s">
        <v>1640</v>
      </c>
      <c r="BM217" t="b">
        <f t="shared" si="194"/>
        <v>1</v>
      </c>
      <c r="BN217" t="str">
        <f t="shared" si="180"/>
        <v>R701</v>
      </c>
      <c r="BO217" t="str">
        <f>U216</f>
        <v>R701</v>
      </c>
      <c r="BP217" t="str">
        <f t="shared" si="181"/>
        <v>R803</v>
      </c>
      <c r="BQ217" t="str">
        <f t="shared" si="182"/>
        <v>R803</v>
      </c>
      <c r="BR217" t="s">
        <v>438</v>
      </c>
      <c r="BS217" t="s">
        <v>437</v>
      </c>
      <c r="BT217" t="s">
        <v>438</v>
      </c>
      <c r="BU217" t="b">
        <f t="shared" si="195"/>
        <v>1</v>
      </c>
      <c r="BZ217" t="str">
        <f t="shared" si="183"/>
        <v>G68</v>
      </c>
      <c r="CA217" t="b">
        <f t="shared" si="184"/>
        <v>0</v>
      </c>
      <c r="CB217" t="str">
        <f t="shared" si="196"/>
        <v>G68</v>
      </c>
      <c r="CC217" t="str">
        <f t="shared" si="185"/>
        <v>R803</v>
      </c>
      <c r="CD217" t="b">
        <f t="shared" si="197"/>
        <v>0</v>
      </c>
      <c r="CE217" t="str">
        <f t="shared" si="198"/>
        <v>R803</v>
      </c>
      <c r="CG217" t="str">
        <f t="shared" si="186"/>
        <v>G641</v>
      </c>
      <c r="CH217" t="str">
        <f t="shared" si="199"/>
        <v>G641</v>
      </c>
      <c r="CI217" t="str">
        <f>AE216</f>
        <v>G572</v>
      </c>
      <c r="CJ217" t="str">
        <f t="shared" si="187"/>
        <v>G572</v>
      </c>
      <c r="CK217" t="s">
        <v>1409</v>
      </c>
      <c r="CL217" t="s">
        <v>1409</v>
      </c>
      <c r="CM217" t="s">
        <v>1409</v>
      </c>
      <c r="CN217" t="b">
        <f t="shared" si="200"/>
        <v>1</v>
      </c>
      <c r="CO217" t="str">
        <f t="shared" si="188"/>
        <v>R421</v>
      </c>
      <c r="CP217" t="str">
        <f t="shared" si="201"/>
        <v>R421</v>
      </c>
      <c r="CQ217" t="str">
        <f>AF216</f>
        <v>R88</v>
      </c>
      <c r="CR217" t="str">
        <f t="shared" si="189"/>
        <v>R88</v>
      </c>
      <c r="CS217" t="s">
        <v>720</v>
      </c>
      <c r="CT217" t="s">
        <v>720</v>
      </c>
      <c r="CU217" t="s">
        <v>720</v>
      </c>
      <c r="CV217" t="b">
        <f t="shared" si="202"/>
        <v>1</v>
      </c>
      <c r="DC217" t="str">
        <f t="shared" si="190"/>
        <v>G572</v>
      </c>
      <c r="DD217" t="b">
        <f t="shared" si="203"/>
        <v>0</v>
      </c>
      <c r="DE217" t="str">
        <f t="shared" si="204"/>
        <v>G572</v>
      </c>
      <c r="DF217" t="str">
        <f t="shared" si="191"/>
        <v>R88</v>
      </c>
      <c r="DG217" t="b">
        <f t="shared" si="205"/>
        <v>0</v>
      </c>
      <c r="DH217" t="str">
        <f t="shared" si="206"/>
        <v>R88</v>
      </c>
    </row>
    <row r="218" spans="2:112" ht="12" customHeight="1">
      <c r="B218" t="str">
        <f>TBIDry!H290</f>
        <v>G128</v>
      </c>
      <c r="C218" t="str">
        <f>TBIDry!I290</f>
        <v>R677</v>
      </c>
      <c r="D218" t="b">
        <f t="shared" si="158"/>
        <v>0</v>
      </c>
      <c r="E218" t="b">
        <f t="shared" si="159"/>
        <v>0</v>
      </c>
      <c r="G218" t="str">
        <f>TBIWet!H290</f>
        <v>G858</v>
      </c>
      <c r="H218" t="str">
        <f>TBIWet!I290</f>
        <v>R145</v>
      </c>
      <c r="I218" t="b">
        <f t="shared" si="160"/>
        <v>0</v>
      </c>
      <c r="J218" t="b">
        <f t="shared" si="161"/>
        <v>0</v>
      </c>
      <c r="L218" t="str">
        <f>'Both teabags AfterWet'!A216</f>
        <v>G644</v>
      </c>
      <c r="M218" t="str">
        <f>'Both teabags AfterWet'!A636</f>
        <v>R424</v>
      </c>
      <c r="N218" t="b">
        <f t="shared" si="162"/>
        <v>0</v>
      </c>
      <c r="O218" t="b">
        <f t="shared" si="207"/>
        <v>0</v>
      </c>
      <c r="Q218" s="395" t="b">
        <f t="shared" si="163"/>
        <v>0</v>
      </c>
      <c r="R218" s="395" t="b">
        <f t="shared" si="164"/>
        <v>0</v>
      </c>
      <c r="T218" t="str">
        <f>'Both teabags AfterDry'!A216</f>
        <v>G412</v>
      </c>
      <c r="U218" t="str">
        <f>'Both teabags AfterDry'!A551</f>
        <v>R703</v>
      </c>
      <c r="V218" t="b">
        <f t="shared" si="165"/>
        <v>0</v>
      </c>
      <c r="W218" t="b">
        <f t="shared" si="192"/>
        <v>0</v>
      </c>
      <c r="Y218" t="str">
        <f>'Green_rooibos initial weight'!A219</f>
        <v>G215</v>
      </c>
      <c r="Z218" t="str">
        <f>'Green_rooibos initial weight'!A1123</f>
        <v>R215</v>
      </c>
      <c r="AA218" t="b">
        <f t="shared" si="166"/>
        <v>0</v>
      </c>
      <c r="AB218" t="b">
        <f t="shared" si="167"/>
        <v>0</v>
      </c>
      <c r="AE218" t="str">
        <f>'WetLitterbags placem_collection'!K217</f>
        <v>G858</v>
      </c>
      <c r="AF218" t="str">
        <f>'WetLitterbags placem_collection'!M217</f>
        <v>R145</v>
      </c>
      <c r="AG218" t="b">
        <f t="shared" si="168"/>
        <v>0</v>
      </c>
      <c r="AH218" t="b">
        <f t="shared" si="169"/>
        <v>0</v>
      </c>
      <c r="AJ218" t="b">
        <f t="shared" si="170"/>
        <v>0</v>
      </c>
      <c r="AK218" t="b">
        <f t="shared" si="171"/>
        <v>0</v>
      </c>
      <c r="AM218" t="str">
        <f>IF(ISBLANK('Dry_Litterbag Placem_Collection'!J217),"","G"&amp;""&amp;'Dry_Litterbag Placem_Collection'!J217)</f>
        <v>G128</v>
      </c>
      <c r="AN218" t="str">
        <f>IF(ISBLANK('Dry_Litterbag Placem_Collection'!K217),"","R"&amp;""&amp;'Dry_Litterbag Placem_Collection'!K217)</f>
        <v>R677</v>
      </c>
      <c r="AO218" t="b">
        <f t="shared" si="172"/>
        <v>0</v>
      </c>
      <c r="AP218" t="b">
        <f t="shared" si="173"/>
        <v>0</v>
      </c>
      <c r="AS218" t="str">
        <f>'Ashed teabags dry'!A216</f>
        <v>G412</v>
      </c>
      <c r="AT218" t="str">
        <f>'Ashed teabags dry'!A551</f>
        <v>R703</v>
      </c>
      <c r="AU218" t="b">
        <f t="shared" si="174"/>
        <v>0</v>
      </c>
      <c r="AV218" t="b">
        <f>COUNTIF($AT$4:$AT$2000, AT218)&gt;1</f>
        <v>0</v>
      </c>
      <c r="AX218" s="395" t="b">
        <f t="shared" si="175"/>
        <v>0</v>
      </c>
      <c r="AY218" s="395" t="b">
        <f t="shared" si="176"/>
        <v>0</v>
      </c>
      <c r="BA218" t="str">
        <f>'Ashed teabags wet'!A216</f>
        <v>G644</v>
      </c>
      <c r="BB218" t="str">
        <f>'Ashed teabags wet'!A636</f>
        <v>R424</v>
      </c>
      <c r="BC218" t="b">
        <f t="shared" si="177"/>
        <v>0</v>
      </c>
      <c r="BD218" t="b">
        <f t="shared" si="157"/>
        <v>0</v>
      </c>
      <c r="BF218" t="str">
        <f t="shared" si="178"/>
        <v>G411</v>
      </c>
      <c r="BG218" t="str">
        <f>T217</f>
        <v>G411</v>
      </c>
      <c r="BH218" t="str">
        <f t="shared" si="179"/>
        <v>G143</v>
      </c>
      <c r="BI218" t="str">
        <f t="shared" si="193"/>
        <v>G143</v>
      </c>
      <c r="BJ218" t="s">
        <v>1639</v>
      </c>
      <c r="BK218" t="s">
        <v>1639</v>
      </c>
      <c r="BL218" t="s">
        <v>1639</v>
      </c>
      <c r="BM218" t="b">
        <f t="shared" si="194"/>
        <v>1</v>
      </c>
      <c r="BN218" t="str">
        <f t="shared" si="180"/>
        <v>R702</v>
      </c>
      <c r="BO218" t="str">
        <f>U217</f>
        <v>R702</v>
      </c>
      <c r="BP218" t="str">
        <f t="shared" si="181"/>
        <v>R321</v>
      </c>
      <c r="BQ218" t="str">
        <f t="shared" si="182"/>
        <v>R321</v>
      </c>
      <c r="BR218" t="s">
        <v>437</v>
      </c>
      <c r="BS218" t="s">
        <v>436</v>
      </c>
      <c r="BT218" t="s">
        <v>437</v>
      </c>
      <c r="BU218" t="b">
        <f t="shared" si="195"/>
        <v>1</v>
      </c>
      <c r="BZ218" t="str">
        <f t="shared" si="183"/>
        <v>G143</v>
      </c>
      <c r="CA218" t="b">
        <f t="shared" si="184"/>
        <v>0</v>
      </c>
      <c r="CB218" t="str">
        <f t="shared" si="196"/>
        <v>G143</v>
      </c>
      <c r="CC218" t="str">
        <f t="shared" si="185"/>
        <v>R321</v>
      </c>
      <c r="CD218" t="b">
        <f t="shared" si="197"/>
        <v>0</v>
      </c>
      <c r="CE218" t="str">
        <f t="shared" si="198"/>
        <v>R321</v>
      </c>
      <c r="CG218" t="str">
        <f t="shared" si="186"/>
        <v>G643</v>
      </c>
      <c r="CH218" t="str">
        <f t="shared" si="199"/>
        <v>G643</v>
      </c>
      <c r="CI218" t="str">
        <f>AE217</f>
        <v>G761</v>
      </c>
      <c r="CJ218" t="str">
        <f t="shared" si="187"/>
        <v>G761</v>
      </c>
      <c r="CK218" t="s">
        <v>1407</v>
      </c>
      <c r="CL218" t="s">
        <v>1407</v>
      </c>
      <c r="CM218" t="s">
        <v>1407</v>
      </c>
      <c r="CN218" t="b">
        <f t="shared" si="200"/>
        <v>1</v>
      </c>
      <c r="CO218" t="str">
        <f t="shared" si="188"/>
        <v>R423</v>
      </c>
      <c r="CP218" t="str">
        <f t="shared" si="201"/>
        <v>R423</v>
      </c>
      <c r="CQ218" t="str">
        <f>AF217</f>
        <v>R383</v>
      </c>
      <c r="CR218" t="str">
        <f t="shared" si="189"/>
        <v>R383</v>
      </c>
      <c r="CS218" t="s">
        <v>718</v>
      </c>
      <c r="CT218" t="s">
        <v>718</v>
      </c>
      <c r="CU218" t="s">
        <v>718</v>
      </c>
      <c r="CV218" t="b">
        <f t="shared" si="202"/>
        <v>1</v>
      </c>
      <c r="DC218" t="str">
        <f t="shared" si="190"/>
        <v>G761</v>
      </c>
      <c r="DD218" t="b">
        <f t="shared" si="203"/>
        <v>0</v>
      </c>
      <c r="DE218" t="str">
        <f t="shared" si="204"/>
        <v>G761</v>
      </c>
      <c r="DF218" t="str">
        <f t="shared" si="191"/>
        <v>R383</v>
      </c>
      <c r="DG218" t="b">
        <f t="shared" si="205"/>
        <v>0</v>
      </c>
      <c r="DH218" t="str">
        <f t="shared" si="206"/>
        <v>R383</v>
      </c>
    </row>
    <row r="219" spans="2:112" ht="12" customHeight="1">
      <c r="B219" t="str">
        <f>TBIDry!H291</f>
        <v>G95</v>
      </c>
      <c r="C219" t="str">
        <f>TBIDry!I291</f>
        <v>R379</v>
      </c>
      <c r="D219" t="b">
        <f t="shared" si="158"/>
        <v>0</v>
      </c>
      <c r="E219" t="b">
        <f t="shared" si="159"/>
        <v>0</v>
      </c>
      <c r="G219" t="str">
        <f>TBIWet!H291</f>
        <v>G755</v>
      </c>
      <c r="H219" t="str">
        <f>TBIWet!I291</f>
        <v>R241</v>
      </c>
      <c r="I219" t="b">
        <f t="shared" si="160"/>
        <v>0</v>
      </c>
      <c r="J219" t="b">
        <f t="shared" si="161"/>
        <v>0</v>
      </c>
      <c r="L219" t="str">
        <f>'Both teabags AfterWet'!A217</f>
        <v>G645</v>
      </c>
      <c r="M219" t="str">
        <f>'Both teabags AfterWet'!A637</f>
        <v>R426</v>
      </c>
      <c r="N219" t="b">
        <f t="shared" si="162"/>
        <v>0</v>
      </c>
      <c r="O219" t="b">
        <f t="shared" si="207"/>
        <v>0</v>
      </c>
      <c r="Q219" s="395" t="b">
        <f t="shared" si="163"/>
        <v>0</v>
      </c>
      <c r="R219" s="395" t="b">
        <f t="shared" si="164"/>
        <v>0</v>
      </c>
      <c r="T219" t="str">
        <f>'Both teabags AfterDry'!A217</f>
        <v>G413</v>
      </c>
      <c r="U219" t="str">
        <f>'Both teabags AfterDry'!A552</f>
        <v>R704</v>
      </c>
      <c r="V219" t="b">
        <f t="shared" si="165"/>
        <v>0</v>
      </c>
      <c r="W219" t="b">
        <f t="shared" si="192"/>
        <v>0</v>
      </c>
      <c r="Y219" t="str">
        <f>'Green_rooibos initial weight'!A220</f>
        <v>G216</v>
      </c>
      <c r="Z219" t="str">
        <f>'Green_rooibos initial weight'!A1124</f>
        <v>R216</v>
      </c>
      <c r="AA219" t="b">
        <f t="shared" si="166"/>
        <v>0</v>
      </c>
      <c r="AB219" t="b">
        <f t="shared" si="167"/>
        <v>0</v>
      </c>
      <c r="AE219" t="str">
        <f>'WetLitterbags placem_collection'!K218</f>
        <v>G755</v>
      </c>
      <c r="AF219" t="str">
        <f>'WetLitterbags placem_collection'!M218</f>
        <v>R241</v>
      </c>
      <c r="AG219" t="b">
        <f t="shared" si="168"/>
        <v>0</v>
      </c>
      <c r="AH219" t="b">
        <f t="shared" si="169"/>
        <v>0</v>
      </c>
      <c r="AJ219" t="b">
        <f t="shared" si="170"/>
        <v>0</v>
      </c>
      <c r="AK219" t="b">
        <f t="shared" si="171"/>
        <v>0</v>
      </c>
      <c r="AM219" t="str">
        <f>IF(ISBLANK('Dry_Litterbag Placem_Collection'!J218),"","G"&amp;""&amp;'Dry_Litterbag Placem_Collection'!J218)</f>
        <v>G95</v>
      </c>
      <c r="AN219" t="str">
        <f>IF(ISBLANK('Dry_Litterbag Placem_Collection'!K218),"","R"&amp;""&amp;'Dry_Litterbag Placem_Collection'!K218)</f>
        <v>R379</v>
      </c>
      <c r="AO219" t="b">
        <f t="shared" si="172"/>
        <v>0</v>
      </c>
      <c r="AP219" t="b">
        <f t="shared" si="173"/>
        <v>0</v>
      </c>
      <c r="AS219" t="str">
        <f>'Ashed teabags dry'!A217</f>
        <v>G413</v>
      </c>
      <c r="AT219" t="str">
        <f>'Ashed teabags dry'!A552</f>
        <v>R704</v>
      </c>
      <c r="AU219" t="b">
        <f t="shared" si="174"/>
        <v>0</v>
      </c>
      <c r="AV219" t="b">
        <f>COUNTIF($AT$4:$AT$2000, AT219)&gt;1</f>
        <v>0</v>
      </c>
      <c r="AX219" s="395" t="b">
        <f t="shared" si="175"/>
        <v>0</v>
      </c>
      <c r="AY219" s="395" t="b">
        <f t="shared" si="176"/>
        <v>0</v>
      </c>
      <c r="BA219" t="str">
        <f>'Ashed teabags wet'!A217</f>
        <v>G645</v>
      </c>
      <c r="BB219" t="str">
        <f>'Ashed teabags wet'!A637</f>
        <v>R426</v>
      </c>
      <c r="BC219" t="b">
        <f t="shared" si="177"/>
        <v>0</v>
      </c>
      <c r="BD219" t="b">
        <f t="shared" si="157"/>
        <v>0</v>
      </c>
      <c r="BF219" t="str">
        <f t="shared" si="178"/>
        <v>G412</v>
      </c>
      <c r="BG219" t="str">
        <f>T218</f>
        <v>G412</v>
      </c>
      <c r="BH219" t="str">
        <f t="shared" si="179"/>
        <v>G128</v>
      </c>
      <c r="BI219" t="str">
        <f t="shared" si="193"/>
        <v>G128</v>
      </c>
      <c r="BJ219" t="s">
        <v>1638</v>
      </c>
      <c r="BK219" t="s">
        <v>1638</v>
      </c>
      <c r="BL219" t="s">
        <v>1638</v>
      </c>
      <c r="BM219" t="b">
        <f t="shared" si="194"/>
        <v>1</v>
      </c>
      <c r="BN219" t="str">
        <f t="shared" si="180"/>
        <v>R703</v>
      </c>
      <c r="BO219" t="str">
        <f>U218</f>
        <v>R703</v>
      </c>
      <c r="BP219" t="str">
        <f t="shared" si="181"/>
        <v>R677</v>
      </c>
      <c r="BQ219" t="str">
        <f t="shared" si="182"/>
        <v>R677</v>
      </c>
      <c r="BR219" t="s">
        <v>436</v>
      </c>
      <c r="BS219" t="s">
        <v>435</v>
      </c>
      <c r="BT219" t="s">
        <v>436</v>
      </c>
      <c r="BU219" t="b">
        <f t="shared" si="195"/>
        <v>1</v>
      </c>
      <c r="BZ219" t="str">
        <f t="shared" si="183"/>
        <v>G128</v>
      </c>
      <c r="CA219" t="b">
        <f t="shared" si="184"/>
        <v>0</v>
      </c>
      <c r="CB219" t="str">
        <f t="shared" si="196"/>
        <v>G128</v>
      </c>
      <c r="CC219" t="str">
        <f t="shared" si="185"/>
        <v>R677</v>
      </c>
      <c r="CD219" t="b">
        <f t="shared" si="197"/>
        <v>0</v>
      </c>
      <c r="CE219" t="str">
        <f t="shared" si="198"/>
        <v>R677</v>
      </c>
      <c r="CG219" t="str">
        <f t="shared" si="186"/>
        <v>G644</v>
      </c>
      <c r="CH219" t="str">
        <f t="shared" si="199"/>
        <v>G644</v>
      </c>
      <c r="CI219" t="str">
        <f>AE218</f>
        <v>G858</v>
      </c>
      <c r="CJ219" t="str">
        <f t="shared" si="187"/>
        <v>G858</v>
      </c>
      <c r="CK219" t="s">
        <v>1406</v>
      </c>
      <c r="CL219" t="s">
        <v>1406</v>
      </c>
      <c r="CM219" t="s">
        <v>1406</v>
      </c>
      <c r="CN219" t="b">
        <f t="shared" si="200"/>
        <v>1</v>
      </c>
      <c r="CO219" t="str">
        <f t="shared" si="188"/>
        <v>R424</v>
      </c>
      <c r="CP219" t="str">
        <f t="shared" si="201"/>
        <v>R424</v>
      </c>
      <c r="CQ219" t="str">
        <f>AF218</f>
        <v>R145</v>
      </c>
      <c r="CR219" t="str">
        <f t="shared" si="189"/>
        <v>R145</v>
      </c>
      <c r="CS219" t="s">
        <v>717</v>
      </c>
      <c r="CT219" t="s">
        <v>717</v>
      </c>
      <c r="CU219" t="s">
        <v>717</v>
      </c>
      <c r="CV219" t="b">
        <f t="shared" si="202"/>
        <v>1</v>
      </c>
      <c r="DC219" t="str">
        <f t="shared" si="190"/>
        <v>G858</v>
      </c>
      <c r="DD219" t="b">
        <f t="shared" si="203"/>
        <v>0</v>
      </c>
      <c r="DE219" t="str">
        <f t="shared" si="204"/>
        <v>G858</v>
      </c>
      <c r="DF219" t="str">
        <f t="shared" si="191"/>
        <v>R145</v>
      </c>
      <c r="DG219" t="b">
        <f t="shared" si="205"/>
        <v>0</v>
      </c>
      <c r="DH219" t="str">
        <f t="shared" si="206"/>
        <v>R145</v>
      </c>
    </row>
    <row r="220" spans="2:112" ht="12" customHeight="1">
      <c r="B220" t="str">
        <f>TBIDry!H292</f>
        <v>G313</v>
      </c>
      <c r="C220" t="str">
        <f>TBIDry!I292</f>
        <v>R771</v>
      </c>
      <c r="D220" t="b">
        <f t="shared" si="158"/>
        <v>0</v>
      </c>
      <c r="E220" t="b">
        <f t="shared" si="159"/>
        <v>0</v>
      </c>
      <c r="G220" t="str">
        <f>TBIWet!H292</f>
        <v>G795</v>
      </c>
      <c r="H220" t="str">
        <f>TBIWet!I292</f>
        <v>R302</v>
      </c>
      <c r="I220" t="b">
        <f t="shared" si="160"/>
        <v>0</v>
      </c>
      <c r="J220" t="b">
        <f t="shared" si="161"/>
        <v>0</v>
      </c>
      <c r="L220" t="str">
        <f>'Both teabags AfterWet'!A218</f>
        <v>G647</v>
      </c>
      <c r="M220" t="str">
        <f>'Both teabags AfterWet'!A638</f>
        <v>R427</v>
      </c>
      <c r="N220" t="b">
        <f t="shared" si="162"/>
        <v>0</v>
      </c>
      <c r="O220" t="b">
        <f t="shared" si="207"/>
        <v>0</v>
      </c>
      <c r="Q220" s="395" t="b">
        <f t="shared" si="163"/>
        <v>0</v>
      </c>
      <c r="R220" s="395" t="b">
        <f t="shared" si="164"/>
        <v>0</v>
      </c>
      <c r="T220" t="str">
        <f>'Both teabags AfterDry'!A218</f>
        <v>G42</v>
      </c>
      <c r="U220" t="str">
        <f>'Both teabags AfterDry'!A553</f>
        <v>R705</v>
      </c>
      <c r="V220" t="b">
        <f t="shared" si="165"/>
        <v>0</v>
      </c>
      <c r="W220" t="b">
        <f t="shared" si="192"/>
        <v>0</v>
      </c>
      <c r="Y220" t="str">
        <f>'Green_rooibos initial weight'!A221</f>
        <v>G217</v>
      </c>
      <c r="Z220" t="str">
        <f>'Green_rooibos initial weight'!A1125</f>
        <v>R217</v>
      </c>
      <c r="AA220" t="b">
        <f t="shared" si="166"/>
        <v>0</v>
      </c>
      <c r="AB220" t="b">
        <f t="shared" si="167"/>
        <v>0</v>
      </c>
      <c r="AE220" t="str">
        <f>'WetLitterbags placem_collection'!K219</f>
        <v>G795</v>
      </c>
      <c r="AF220" t="str">
        <f>'WetLitterbags placem_collection'!M219</f>
        <v>R302</v>
      </c>
      <c r="AG220" t="b">
        <f t="shared" si="168"/>
        <v>0</v>
      </c>
      <c r="AH220" t="b">
        <f t="shared" si="169"/>
        <v>0</v>
      </c>
      <c r="AJ220" t="b">
        <f t="shared" si="170"/>
        <v>0</v>
      </c>
      <c r="AK220" t="b">
        <f t="shared" si="171"/>
        <v>0</v>
      </c>
      <c r="AM220" t="str">
        <f>IF(ISBLANK('Dry_Litterbag Placem_Collection'!J219),"","G"&amp;""&amp;'Dry_Litterbag Placem_Collection'!J219)</f>
        <v>G313</v>
      </c>
      <c r="AN220" t="str">
        <f>IF(ISBLANK('Dry_Litterbag Placem_Collection'!K219),"","R"&amp;""&amp;'Dry_Litterbag Placem_Collection'!K219)</f>
        <v>R771</v>
      </c>
      <c r="AO220" t="b">
        <f t="shared" si="172"/>
        <v>0</v>
      </c>
      <c r="AP220" t="b">
        <f t="shared" si="173"/>
        <v>0</v>
      </c>
      <c r="AS220" t="str">
        <f>'Ashed teabags dry'!A218</f>
        <v>G42</v>
      </c>
      <c r="AT220" t="str">
        <f>'Ashed teabags dry'!A553</f>
        <v>R705</v>
      </c>
      <c r="AU220" t="b">
        <f t="shared" si="174"/>
        <v>0</v>
      </c>
      <c r="AV220" t="b">
        <f>COUNTIF($AT$4:$AT$2000, AT220)&gt;1</f>
        <v>0</v>
      </c>
      <c r="AX220" s="395" t="b">
        <f t="shared" si="175"/>
        <v>0</v>
      </c>
      <c r="AY220" s="395" t="b">
        <f t="shared" si="176"/>
        <v>0</v>
      </c>
      <c r="BA220" t="str">
        <f>'Ashed teabags wet'!A218</f>
        <v>G647</v>
      </c>
      <c r="BB220" t="str">
        <f>'Ashed teabags wet'!A638</f>
        <v>R427</v>
      </c>
      <c r="BC220" t="b">
        <f t="shared" si="177"/>
        <v>0</v>
      </c>
      <c r="BD220" t="b">
        <f t="shared" si="157"/>
        <v>0</v>
      </c>
      <c r="BF220" t="str">
        <f t="shared" si="178"/>
        <v>G413</v>
      </c>
      <c r="BG220" t="str">
        <f>T219</f>
        <v>G413</v>
      </c>
      <c r="BH220" t="str">
        <f t="shared" si="179"/>
        <v>G95</v>
      </c>
      <c r="BI220" t="str">
        <f t="shared" si="193"/>
        <v>G95</v>
      </c>
      <c r="BJ220" t="s">
        <v>1637</v>
      </c>
      <c r="BK220" t="s">
        <v>1637</v>
      </c>
      <c r="BL220" t="s">
        <v>1637</v>
      </c>
      <c r="BM220" t="b">
        <f t="shared" si="194"/>
        <v>1</v>
      </c>
      <c r="BN220" t="str">
        <f t="shared" si="180"/>
        <v>R704</v>
      </c>
      <c r="BO220" t="str">
        <f>U219</f>
        <v>R704</v>
      </c>
      <c r="BP220" t="str">
        <f t="shared" si="181"/>
        <v>R379</v>
      </c>
      <c r="BQ220" t="str">
        <f t="shared" si="182"/>
        <v>R379</v>
      </c>
      <c r="BR220" t="s">
        <v>435</v>
      </c>
      <c r="BS220" t="s">
        <v>434</v>
      </c>
      <c r="BT220" t="s">
        <v>435</v>
      </c>
      <c r="BU220" t="b">
        <f t="shared" si="195"/>
        <v>1</v>
      </c>
      <c r="BZ220" t="str">
        <f t="shared" si="183"/>
        <v>G95</v>
      </c>
      <c r="CA220" t="b">
        <f t="shared" si="184"/>
        <v>0</v>
      </c>
      <c r="CB220" t="str">
        <f t="shared" si="196"/>
        <v>G95</v>
      </c>
      <c r="CC220" t="str">
        <f t="shared" si="185"/>
        <v>R379</v>
      </c>
      <c r="CD220" t="b">
        <f t="shared" si="197"/>
        <v>0</v>
      </c>
      <c r="CE220" t="str">
        <f t="shared" si="198"/>
        <v>R379</v>
      </c>
      <c r="CG220" t="str">
        <f t="shared" si="186"/>
        <v>G645</v>
      </c>
      <c r="CH220" t="str">
        <f t="shared" si="199"/>
        <v>G645</v>
      </c>
      <c r="CI220" t="str">
        <f>AE219</f>
        <v>G755</v>
      </c>
      <c r="CJ220" t="str">
        <f t="shared" si="187"/>
        <v>G755</v>
      </c>
      <c r="CK220" t="s">
        <v>1405</v>
      </c>
      <c r="CL220" t="s">
        <v>1405</v>
      </c>
      <c r="CM220" t="s">
        <v>1405</v>
      </c>
      <c r="CN220" t="b">
        <f t="shared" si="200"/>
        <v>1</v>
      </c>
      <c r="CO220" t="str">
        <f t="shared" si="188"/>
        <v>R426</v>
      </c>
      <c r="CP220" t="str">
        <f t="shared" si="201"/>
        <v>R426</v>
      </c>
      <c r="CQ220" t="str">
        <f>AF219</f>
        <v>R241</v>
      </c>
      <c r="CR220" t="str">
        <f t="shared" si="189"/>
        <v>R241</v>
      </c>
      <c r="CS220" t="s">
        <v>715</v>
      </c>
      <c r="CT220" t="s">
        <v>715</v>
      </c>
      <c r="CU220" t="s">
        <v>715</v>
      </c>
      <c r="CV220" t="b">
        <f t="shared" si="202"/>
        <v>1</v>
      </c>
      <c r="DC220" t="str">
        <f t="shared" si="190"/>
        <v>G755</v>
      </c>
      <c r="DD220" t="b">
        <f t="shared" si="203"/>
        <v>0</v>
      </c>
      <c r="DE220" t="str">
        <f t="shared" si="204"/>
        <v>G755</v>
      </c>
      <c r="DF220" t="str">
        <f t="shared" si="191"/>
        <v>R241</v>
      </c>
      <c r="DG220" t="b">
        <f t="shared" si="205"/>
        <v>0</v>
      </c>
      <c r="DH220" t="str">
        <f t="shared" si="206"/>
        <v>R241</v>
      </c>
    </row>
    <row r="221" spans="2:112" ht="12" customHeight="1">
      <c r="B221" t="str">
        <f>TBIDry!H293</f>
        <v>G485</v>
      </c>
      <c r="C221" t="str">
        <f>TBIDry!I293</f>
        <v>R680</v>
      </c>
      <c r="D221" t="b">
        <f t="shared" si="158"/>
        <v>0</v>
      </c>
      <c r="E221" t="b">
        <f t="shared" si="159"/>
        <v>0</v>
      </c>
      <c r="G221" t="str">
        <f>TBIWet!H293</f>
        <v>G251</v>
      </c>
      <c r="H221" t="str">
        <f>TBIWet!I293</f>
        <v>R442</v>
      </c>
      <c r="I221" t="b">
        <f t="shared" si="160"/>
        <v>0</v>
      </c>
      <c r="J221" t="b">
        <f t="shared" si="161"/>
        <v>0</v>
      </c>
      <c r="L221" t="str">
        <f>'Both teabags AfterWet'!A219</f>
        <v>G648</v>
      </c>
      <c r="M221" t="str">
        <f>'Both teabags AfterWet'!A639</f>
        <v>R428</v>
      </c>
      <c r="N221" t="b">
        <f t="shared" si="162"/>
        <v>0</v>
      </c>
      <c r="O221" t="b">
        <f t="shared" si="207"/>
        <v>0</v>
      </c>
      <c r="Q221" s="395" t="b">
        <f t="shared" si="163"/>
        <v>0</v>
      </c>
      <c r="R221" s="395" t="b">
        <f t="shared" si="164"/>
        <v>0</v>
      </c>
      <c r="T221" t="str">
        <f>'Both teabags AfterDry'!A219</f>
        <v>G422</v>
      </c>
      <c r="U221" t="str">
        <f>'Both teabags AfterDry'!A554</f>
        <v>R706</v>
      </c>
      <c r="V221" t="b">
        <f t="shared" si="165"/>
        <v>0</v>
      </c>
      <c r="W221" t="b">
        <f t="shared" si="192"/>
        <v>0</v>
      </c>
      <c r="Y221" t="str">
        <f>'Green_rooibos initial weight'!A222</f>
        <v>G218</v>
      </c>
      <c r="Z221" t="str">
        <f>'Green_rooibos initial weight'!A1126</f>
        <v>R218</v>
      </c>
      <c r="AA221" t="b">
        <f t="shared" si="166"/>
        <v>0</v>
      </c>
      <c r="AB221" t="b">
        <f t="shared" si="167"/>
        <v>0</v>
      </c>
      <c r="AE221" t="str">
        <f>'WetLitterbags placem_collection'!K220</f>
        <v>G251</v>
      </c>
      <c r="AF221" t="str">
        <f>'WetLitterbags placem_collection'!M220</f>
        <v>R442</v>
      </c>
      <c r="AG221" t="b">
        <f t="shared" si="168"/>
        <v>0</v>
      </c>
      <c r="AH221" t="b">
        <f t="shared" si="169"/>
        <v>0</v>
      </c>
      <c r="AJ221" t="b">
        <f t="shared" si="170"/>
        <v>0</v>
      </c>
      <c r="AK221" t="b">
        <f t="shared" si="171"/>
        <v>0</v>
      </c>
      <c r="AM221" t="str">
        <f>IF(ISBLANK('Dry_Litterbag Placem_Collection'!J220),"","G"&amp;""&amp;'Dry_Litterbag Placem_Collection'!J220)</f>
        <v>G485</v>
      </c>
      <c r="AN221" t="str">
        <f>IF(ISBLANK('Dry_Litterbag Placem_Collection'!K220),"","R"&amp;""&amp;'Dry_Litterbag Placem_Collection'!K220)</f>
        <v>R680</v>
      </c>
      <c r="AO221" t="b">
        <f t="shared" si="172"/>
        <v>0</v>
      </c>
      <c r="AP221" t="b">
        <f t="shared" si="173"/>
        <v>0</v>
      </c>
      <c r="AS221" t="str">
        <f>'Ashed teabags dry'!A219</f>
        <v>G422</v>
      </c>
      <c r="AT221" t="str">
        <f>'Ashed teabags dry'!A554</f>
        <v>R706</v>
      </c>
      <c r="AU221" t="b">
        <f t="shared" si="174"/>
        <v>0</v>
      </c>
      <c r="AV221" t="b">
        <f>COUNTIF($AT$4:$AT$2000, AT221)&gt;1</f>
        <v>0</v>
      </c>
      <c r="AX221" s="395" t="b">
        <f t="shared" si="175"/>
        <v>0</v>
      </c>
      <c r="AY221" s="395" t="b">
        <f t="shared" si="176"/>
        <v>0</v>
      </c>
      <c r="BA221" t="str">
        <f>'Ashed teabags wet'!A219</f>
        <v>G648</v>
      </c>
      <c r="BB221" t="str">
        <f>'Ashed teabags wet'!A639</f>
        <v>R428</v>
      </c>
      <c r="BC221" t="b">
        <f t="shared" si="177"/>
        <v>0</v>
      </c>
      <c r="BD221" t="b">
        <f t="shared" si="157"/>
        <v>0</v>
      </c>
      <c r="BF221" t="str">
        <f t="shared" si="178"/>
        <v>G42</v>
      </c>
      <c r="BG221" t="str">
        <f>T220</f>
        <v>G42</v>
      </c>
      <c r="BH221" t="str">
        <f t="shared" si="179"/>
        <v>G313</v>
      </c>
      <c r="BI221" t="str">
        <f t="shared" si="193"/>
        <v>G313</v>
      </c>
      <c r="BJ221" t="s">
        <v>2008</v>
      </c>
      <c r="BK221" t="s">
        <v>2008</v>
      </c>
      <c r="BL221" t="s">
        <v>2008</v>
      </c>
      <c r="BM221" t="b">
        <f t="shared" si="194"/>
        <v>1</v>
      </c>
      <c r="BN221" t="str">
        <f t="shared" si="180"/>
        <v>R705</v>
      </c>
      <c r="BO221" t="str">
        <f>U220</f>
        <v>R705</v>
      </c>
      <c r="BP221" t="str">
        <f t="shared" si="181"/>
        <v>R771</v>
      </c>
      <c r="BQ221" t="str">
        <f t="shared" si="182"/>
        <v>R771</v>
      </c>
      <c r="BR221" t="s">
        <v>434</v>
      </c>
      <c r="BS221" t="s">
        <v>433</v>
      </c>
      <c r="BT221" t="s">
        <v>434</v>
      </c>
      <c r="BU221" t="b">
        <f t="shared" si="195"/>
        <v>1</v>
      </c>
      <c r="BZ221" t="str">
        <f t="shared" si="183"/>
        <v>G313</v>
      </c>
      <c r="CA221" t="b">
        <f t="shared" si="184"/>
        <v>0</v>
      </c>
      <c r="CB221" t="str">
        <f t="shared" si="196"/>
        <v>G313</v>
      </c>
      <c r="CC221" t="str">
        <f t="shared" si="185"/>
        <v>R771</v>
      </c>
      <c r="CD221" t="b">
        <f t="shared" si="197"/>
        <v>0</v>
      </c>
      <c r="CE221" t="str">
        <f t="shared" si="198"/>
        <v>R771</v>
      </c>
      <c r="CG221" t="str">
        <f t="shared" si="186"/>
        <v>G647</v>
      </c>
      <c r="CH221" t="str">
        <f t="shared" si="199"/>
        <v>G647</v>
      </c>
      <c r="CI221" t="str">
        <f>AE220</f>
        <v>G795</v>
      </c>
      <c r="CJ221" t="str">
        <f t="shared" si="187"/>
        <v>G795</v>
      </c>
      <c r="CK221" t="s">
        <v>1403</v>
      </c>
      <c r="CL221" t="s">
        <v>1403</v>
      </c>
      <c r="CM221" t="s">
        <v>1403</v>
      </c>
      <c r="CN221" t="b">
        <f t="shared" si="200"/>
        <v>1</v>
      </c>
      <c r="CO221" t="str">
        <f t="shared" si="188"/>
        <v>R427</v>
      </c>
      <c r="CP221" t="str">
        <f t="shared" si="201"/>
        <v>R427</v>
      </c>
      <c r="CQ221" t="str">
        <f>AF220</f>
        <v>R302</v>
      </c>
      <c r="CR221" t="str">
        <f t="shared" si="189"/>
        <v>R302</v>
      </c>
      <c r="CS221" t="s">
        <v>714</v>
      </c>
      <c r="CT221" t="s">
        <v>714</v>
      </c>
      <c r="CU221" t="s">
        <v>714</v>
      </c>
      <c r="CV221" t="b">
        <f t="shared" si="202"/>
        <v>1</v>
      </c>
      <c r="DC221" t="str">
        <f t="shared" si="190"/>
        <v>G795</v>
      </c>
      <c r="DD221" t="b">
        <f t="shared" si="203"/>
        <v>0</v>
      </c>
      <c r="DE221" t="str">
        <f t="shared" si="204"/>
        <v>G795</v>
      </c>
      <c r="DF221" t="str">
        <f t="shared" si="191"/>
        <v>R302</v>
      </c>
      <c r="DG221" t="b">
        <f t="shared" si="205"/>
        <v>0</v>
      </c>
      <c r="DH221" t="str">
        <f t="shared" si="206"/>
        <v>R302</v>
      </c>
    </row>
    <row r="222" spans="2:112" ht="12" customHeight="1">
      <c r="B222" t="str">
        <f>TBIDry!H294</f>
        <v>G196</v>
      </c>
      <c r="C222" t="str">
        <f>TBIDry!I294</f>
        <v>R178</v>
      </c>
      <c r="D222" t="b">
        <f t="shared" si="158"/>
        <v>0</v>
      </c>
      <c r="E222" t="b">
        <f t="shared" si="159"/>
        <v>0</v>
      </c>
      <c r="G222" t="str">
        <f>TBIWet!H294</f>
        <v>G727</v>
      </c>
      <c r="H222" t="str">
        <f>TBIWet!I294</f>
        <v>R176</v>
      </c>
      <c r="I222" t="b">
        <f t="shared" si="160"/>
        <v>0</v>
      </c>
      <c r="J222" t="b">
        <f t="shared" si="161"/>
        <v>0</v>
      </c>
      <c r="L222" t="str">
        <f>'Both teabags AfterWet'!A220</f>
        <v>G649</v>
      </c>
      <c r="M222" t="str">
        <f>'Both teabags AfterWet'!A640</f>
        <v>R429</v>
      </c>
      <c r="N222" t="b">
        <f t="shared" si="162"/>
        <v>0</v>
      </c>
      <c r="O222" t="b">
        <f t="shared" si="207"/>
        <v>0</v>
      </c>
      <c r="Q222" s="395" t="b">
        <f t="shared" si="163"/>
        <v>0</v>
      </c>
      <c r="R222" s="395" t="b">
        <f t="shared" si="164"/>
        <v>0</v>
      </c>
      <c r="T222" t="str">
        <f>'Both teabags AfterDry'!A220</f>
        <v>G43</v>
      </c>
      <c r="U222" t="str">
        <f>'Both teabags AfterDry'!A555</f>
        <v>R707</v>
      </c>
      <c r="V222" t="b">
        <f t="shared" si="165"/>
        <v>0</v>
      </c>
      <c r="W222" t="b">
        <f t="shared" si="192"/>
        <v>0</v>
      </c>
      <c r="Y222" t="str">
        <f>'Green_rooibos initial weight'!A223</f>
        <v>G219</v>
      </c>
      <c r="Z222" t="str">
        <f>'Green_rooibos initial weight'!A1127</f>
        <v>R219</v>
      </c>
      <c r="AA222" t="b">
        <f t="shared" si="166"/>
        <v>0</v>
      </c>
      <c r="AB222" t="b">
        <f t="shared" si="167"/>
        <v>0</v>
      </c>
      <c r="AE222" t="str">
        <f>'WetLitterbags placem_collection'!K221</f>
        <v>G727</v>
      </c>
      <c r="AF222" t="str">
        <f>'WetLitterbags placem_collection'!M221</f>
        <v>R176</v>
      </c>
      <c r="AG222" t="b">
        <f t="shared" si="168"/>
        <v>0</v>
      </c>
      <c r="AH222" t="b">
        <f t="shared" si="169"/>
        <v>0</v>
      </c>
      <c r="AJ222" t="b">
        <f t="shared" si="170"/>
        <v>0</v>
      </c>
      <c r="AK222" t="b">
        <f t="shared" si="171"/>
        <v>0</v>
      </c>
      <c r="AM222" t="str">
        <f>IF(ISBLANK('Dry_Litterbag Placem_Collection'!J221),"","G"&amp;""&amp;'Dry_Litterbag Placem_Collection'!J221)</f>
        <v>G196</v>
      </c>
      <c r="AN222" t="str">
        <f>IF(ISBLANK('Dry_Litterbag Placem_Collection'!K221),"","R"&amp;""&amp;'Dry_Litterbag Placem_Collection'!K221)</f>
        <v>R178</v>
      </c>
      <c r="AO222" t="b">
        <f t="shared" si="172"/>
        <v>0</v>
      </c>
      <c r="AP222" t="b">
        <f t="shared" si="173"/>
        <v>0</v>
      </c>
      <c r="AS222" t="str">
        <f>'Ashed teabags dry'!A220</f>
        <v>G43</v>
      </c>
      <c r="AT222" t="str">
        <f>'Ashed teabags dry'!A555</f>
        <v>R707</v>
      </c>
      <c r="AU222" t="b">
        <f t="shared" si="174"/>
        <v>0</v>
      </c>
      <c r="AV222" t="b">
        <f>COUNTIF($AT$4:$AT$2000, AT222)&gt;1</f>
        <v>0</v>
      </c>
      <c r="AX222" s="395" t="b">
        <f t="shared" si="175"/>
        <v>0</v>
      </c>
      <c r="AY222" s="395" t="b">
        <f t="shared" si="176"/>
        <v>0</v>
      </c>
      <c r="BA222" t="str">
        <f>'Ashed teabags wet'!A220</f>
        <v>G649</v>
      </c>
      <c r="BB222" t="str">
        <f>'Ashed teabags wet'!A640</f>
        <v>R429</v>
      </c>
      <c r="BC222" t="b">
        <f t="shared" si="177"/>
        <v>0</v>
      </c>
      <c r="BD222" t="b">
        <f t="shared" si="157"/>
        <v>0</v>
      </c>
      <c r="BF222" t="str">
        <f t="shared" si="178"/>
        <v>G422</v>
      </c>
      <c r="BG222" t="str">
        <f>T221</f>
        <v>G422</v>
      </c>
      <c r="BH222" t="str">
        <f t="shared" si="179"/>
        <v>G485</v>
      </c>
      <c r="BI222" t="str">
        <f t="shared" si="193"/>
        <v>G485</v>
      </c>
      <c r="BJ222" t="s">
        <v>1628</v>
      </c>
      <c r="BK222" t="s">
        <v>1628</v>
      </c>
      <c r="BL222" t="s">
        <v>1628</v>
      </c>
      <c r="BM222" t="b">
        <f t="shared" si="194"/>
        <v>1</v>
      </c>
      <c r="BN222" t="str">
        <f t="shared" si="180"/>
        <v>R706</v>
      </c>
      <c r="BO222" t="str">
        <f>U221</f>
        <v>R706</v>
      </c>
      <c r="BP222" t="str">
        <f t="shared" si="181"/>
        <v>R680</v>
      </c>
      <c r="BQ222" t="str">
        <f t="shared" si="182"/>
        <v>R680</v>
      </c>
      <c r="BR222" t="s">
        <v>433</v>
      </c>
      <c r="BS222" t="s">
        <v>432</v>
      </c>
      <c r="BT222" t="s">
        <v>433</v>
      </c>
      <c r="BU222" t="b">
        <f t="shared" si="195"/>
        <v>1</v>
      </c>
      <c r="BZ222" t="str">
        <f t="shared" si="183"/>
        <v>G485</v>
      </c>
      <c r="CA222" t="b">
        <f t="shared" si="184"/>
        <v>0</v>
      </c>
      <c r="CB222" t="str">
        <f t="shared" si="196"/>
        <v>G485</v>
      </c>
      <c r="CC222" t="str">
        <f t="shared" si="185"/>
        <v>R680</v>
      </c>
      <c r="CD222" t="b">
        <f t="shared" si="197"/>
        <v>0</v>
      </c>
      <c r="CE222" t="str">
        <f t="shared" si="198"/>
        <v>R680</v>
      </c>
      <c r="CG222" t="str">
        <f t="shared" si="186"/>
        <v>G648</v>
      </c>
      <c r="CH222" t="str">
        <f t="shared" si="199"/>
        <v>G648</v>
      </c>
      <c r="CI222" t="str">
        <f>AE221</f>
        <v>G251</v>
      </c>
      <c r="CJ222" t="str">
        <f t="shared" si="187"/>
        <v>G251</v>
      </c>
      <c r="CK222" t="s">
        <v>1402</v>
      </c>
      <c r="CL222" t="s">
        <v>1402</v>
      </c>
      <c r="CM222" t="s">
        <v>1402</v>
      </c>
      <c r="CN222" t="b">
        <f t="shared" si="200"/>
        <v>1</v>
      </c>
      <c r="CO222" t="str">
        <f t="shared" si="188"/>
        <v>R428</v>
      </c>
      <c r="CP222" t="str">
        <f t="shared" si="201"/>
        <v>R428</v>
      </c>
      <c r="CQ222" t="str">
        <f>AF221</f>
        <v>R442</v>
      </c>
      <c r="CR222" t="str">
        <f t="shared" si="189"/>
        <v>R442</v>
      </c>
      <c r="CS222" t="s">
        <v>713</v>
      </c>
      <c r="CT222" t="s">
        <v>713</v>
      </c>
      <c r="CU222" t="s">
        <v>713</v>
      </c>
      <c r="CV222" t="b">
        <f t="shared" si="202"/>
        <v>1</v>
      </c>
      <c r="DC222" t="str">
        <f t="shared" si="190"/>
        <v>G251</v>
      </c>
      <c r="DD222" t="b">
        <f t="shared" si="203"/>
        <v>0</v>
      </c>
      <c r="DE222" t="str">
        <f t="shared" si="204"/>
        <v>G251</v>
      </c>
      <c r="DF222" t="str">
        <f t="shared" si="191"/>
        <v>R442</v>
      </c>
      <c r="DG222" t="b">
        <f t="shared" si="205"/>
        <v>0</v>
      </c>
      <c r="DH222" t="str">
        <f t="shared" si="206"/>
        <v>R442</v>
      </c>
    </row>
    <row r="223" spans="2:112" ht="12" customHeight="1">
      <c r="B223" t="str">
        <f>TBIDry!H295</f>
        <v>G39</v>
      </c>
      <c r="C223" t="str">
        <f>TBIDry!I295</f>
        <v>R194</v>
      </c>
      <c r="D223" t="b">
        <f t="shared" si="158"/>
        <v>0</v>
      </c>
      <c r="E223" t="b">
        <f t="shared" si="159"/>
        <v>0</v>
      </c>
      <c r="G223" t="str">
        <f>TBIWet!H295</f>
        <v>G782</v>
      </c>
      <c r="H223" t="str">
        <f>TBIWet!I295</f>
        <v>R250</v>
      </c>
      <c r="I223" t="b">
        <f t="shared" si="160"/>
        <v>0</v>
      </c>
      <c r="J223" t="b">
        <f t="shared" si="161"/>
        <v>0</v>
      </c>
      <c r="L223" t="str">
        <f>'Both teabags AfterWet'!A221</f>
        <v>G651</v>
      </c>
      <c r="M223" t="str">
        <f>'Both teabags AfterWet'!A641</f>
        <v>R430</v>
      </c>
      <c r="N223" t="b">
        <f t="shared" si="162"/>
        <v>0</v>
      </c>
      <c r="O223" t="b">
        <f t="shared" si="207"/>
        <v>0</v>
      </c>
      <c r="Q223" s="395" t="b">
        <f t="shared" si="163"/>
        <v>0</v>
      </c>
      <c r="R223" s="395" t="b">
        <f t="shared" si="164"/>
        <v>0</v>
      </c>
      <c r="T223" t="str">
        <f>'Both teabags AfterDry'!A221</f>
        <v>G430</v>
      </c>
      <c r="U223" t="str">
        <f>'Both teabags AfterDry'!A556</f>
        <v>R708</v>
      </c>
      <c r="V223" t="b">
        <f t="shared" si="165"/>
        <v>0</v>
      </c>
      <c r="W223" t="b">
        <f t="shared" si="192"/>
        <v>0</v>
      </c>
      <c r="Y223" t="str">
        <f>'Green_rooibos initial weight'!A224</f>
        <v>G220</v>
      </c>
      <c r="Z223" t="str">
        <f>'Green_rooibos initial weight'!A1128</f>
        <v>R220</v>
      </c>
      <c r="AA223" t="b">
        <f t="shared" si="166"/>
        <v>0</v>
      </c>
      <c r="AB223" t="b">
        <f t="shared" si="167"/>
        <v>0</v>
      </c>
      <c r="AE223" t="str">
        <f>'WetLitterbags placem_collection'!K222</f>
        <v>G782</v>
      </c>
      <c r="AF223" t="str">
        <f>'WetLitterbags placem_collection'!M222</f>
        <v>R250</v>
      </c>
      <c r="AG223" t="b">
        <f t="shared" si="168"/>
        <v>0</v>
      </c>
      <c r="AH223" t="b">
        <f t="shared" si="169"/>
        <v>0</v>
      </c>
      <c r="AJ223" t="b">
        <f t="shared" si="170"/>
        <v>0</v>
      </c>
      <c r="AK223" t="b">
        <f t="shared" si="171"/>
        <v>0</v>
      </c>
      <c r="AM223" t="str">
        <f>IF(ISBLANK('Dry_Litterbag Placem_Collection'!J222),"","G"&amp;""&amp;'Dry_Litterbag Placem_Collection'!J222)</f>
        <v>G39</v>
      </c>
      <c r="AN223" t="str">
        <f>IF(ISBLANK('Dry_Litterbag Placem_Collection'!K222),"","R"&amp;""&amp;'Dry_Litterbag Placem_Collection'!K222)</f>
        <v>R194</v>
      </c>
      <c r="AO223" t="b">
        <f t="shared" si="172"/>
        <v>0</v>
      </c>
      <c r="AP223" t="b">
        <f t="shared" si="173"/>
        <v>0</v>
      </c>
      <c r="AS223" t="str">
        <f>'Ashed teabags dry'!A221</f>
        <v>G430</v>
      </c>
      <c r="AT223" t="str">
        <f>'Ashed teabags dry'!A556</f>
        <v>R708</v>
      </c>
      <c r="AU223" t="b">
        <f t="shared" si="174"/>
        <v>0</v>
      </c>
      <c r="AV223" t="b">
        <f>COUNTIF($AT$4:$AT$2000, AT223)&gt;1</f>
        <v>0</v>
      </c>
      <c r="AX223" s="395" t="b">
        <f t="shared" si="175"/>
        <v>0</v>
      </c>
      <c r="AY223" s="395" t="b">
        <f t="shared" si="176"/>
        <v>0</v>
      </c>
      <c r="BA223" t="str">
        <f>'Ashed teabags wet'!A221</f>
        <v>G651</v>
      </c>
      <c r="BB223" t="str">
        <f>'Ashed teabags wet'!A641</f>
        <v>R430</v>
      </c>
      <c r="BC223" t="b">
        <f t="shared" si="177"/>
        <v>0</v>
      </c>
      <c r="BD223" t="b">
        <f t="shared" si="157"/>
        <v>0</v>
      </c>
      <c r="BF223" t="str">
        <f t="shared" si="178"/>
        <v>G43</v>
      </c>
      <c r="BG223" t="str">
        <f>T222</f>
        <v>G43</v>
      </c>
      <c r="BH223" t="str">
        <f t="shared" si="179"/>
        <v>G196</v>
      </c>
      <c r="BI223" t="str">
        <f t="shared" si="193"/>
        <v>G196</v>
      </c>
      <c r="BJ223" t="s">
        <v>2007</v>
      </c>
      <c r="BK223" t="s">
        <v>2007</v>
      </c>
      <c r="BL223" t="s">
        <v>2007</v>
      </c>
      <c r="BM223" t="b">
        <f t="shared" si="194"/>
        <v>1</v>
      </c>
      <c r="BN223" t="str">
        <f t="shared" si="180"/>
        <v>R707</v>
      </c>
      <c r="BO223" t="str">
        <f>U222</f>
        <v>R707</v>
      </c>
      <c r="BP223" t="str">
        <f t="shared" si="181"/>
        <v>R178</v>
      </c>
      <c r="BQ223" t="str">
        <f t="shared" si="182"/>
        <v>R178</v>
      </c>
      <c r="BR223" t="s">
        <v>432</v>
      </c>
      <c r="BS223" t="s">
        <v>431</v>
      </c>
      <c r="BT223" t="s">
        <v>432</v>
      </c>
      <c r="BU223" t="b">
        <f t="shared" si="195"/>
        <v>1</v>
      </c>
      <c r="BZ223" t="str">
        <f t="shared" si="183"/>
        <v>G196</v>
      </c>
      <c r="CA223" t="b">
        <f t="shared" si="184"/>
        <v>0</v>
      </c>
      <c r="CB223" t="str">
        <f t="shared" si="196"/>
        <v>G196</v>
      </c>
      <c r="CC223" t="str">
        <f t="shared" si="185"/>
        <v>R178</v>
      </c>
      <c r="CD223" t="b">
        <f t="shared" si="197"/>
        <v>0</v>
      </c>
      <c r="CE223" t="str">
        <f t="shared" si="198"/>
        <v>R178</v>
      </c>
      <c r="CG223" t="str">
        <f t="shared" si="186"/>
        <v>G649</v>
      </c>
      <c r="CH223" t="str">
        <f t="shared" si="199"/>
        <v>G649</v>
      </c>
      <c r="CI223" t="str">
        <f>AE222</f>
        <v>G727</v>
      </c>
      <c r="CJ223" t="str">
        <f t="shared" si="187"/>
        <v>G727</v>
      </c>
      <c r="CK223" t="s">
        <v>1401</v>
      </c>
      <c r="CL223" t="s">
        <v>1401</v>
      </c>
      <c r="CM223" t="s">
        <v>1401</v>
      </c>
      <c r="CN223" t="b">
        <f t="shared" si="200"/>
        <v>1</v>
      </c>
      <c r="CO223" t="str">
        <f t="shared" si="188"/>
        <v>R429</v>
      </c>
      <c r="CP223" t="str">
        <f t="shared" si="201"/>
        <v>R429</v>
      </c>
      <c r="CQ223" t="str">
        <f>AF222</f>
        <v>R176</v>
      </c>
      <c r="CR223" t="str">
        <f t="shared" si="189"/>
        <v>R176</v>
      </c>
      <c r="CS223" t="s">
        <v>712</v>
      </c>
      <c r="CT223" t="s">
        <v>712</v>
      </c>
      <c r="CU223" t="s">
        <v>712</v>
      </c>
      <c r="CV223" t="b">
        <f t="shared" si="202"/>
        <v>1</v>
      </c>
      <c r="DC223" t="str">
        <f t="shared" si="190"/>
        <v>G727</v>
      </c>
      <c r="DD223" t="b">
        <f t="shared" si="203"/>
        <v>0</v>
      </c>
      <c r="DE223" t="str">
        <f t="shared" si="204"/>
        <v>G727</v>
      </c>
      <c r="DF223" t="str">
        <f t="shared" si="191"/>
        <v>R176</v>
      </c>
      <c r="DG223" t="b">
        <f t="shared" si="205"/>
        <v>0</v>
      </c>
      <c r="DH223" t="str">
        <f t="shared" si="206"/>
        <v>R176</v>
      </c>
    </row>
    <row r="224" spans="2:112" ht="12" customHeight="1">
      <c r="B224" t="str">
        <f>TBIDry!H296</f>
        <v>G377</v>
      </c>
      <c r="C224" t="str">
        <f>TBIDry!I296</f>
        <v>R204</v>
      </c>
      <c r="D224" t="b">
        <f t="shared" si="158"/>
        <v>0</v>
      </c>
      <c r="E224" t="b">
        <f t="shared" si="159"/>
        <v>0</v>
      </c>
      <c r="G224" t="str">
        <f>TBIWet!H296</f>
        <v>G752</v>
      </c>
      <c r="H224" t="str">
        <f>TBIWet!I296</f>
        <v>R133</v>
      </c>
      <c r="I224" t="b">
        <f t="shared" si="160"/>
        <v>0</v>
      </c>
      <c r="J224" t="b">
        <f t="shared" si="161"/>
        <v>0</v>
      </c>
      <c r="L224" t="str">
        <f>'Both teabags AfterWet'!A222</f>
        <v>G653</v>
      </c>
      <c r="M224" t="str">
        <f>'Both teabags AfterWet'!A642</f>
        <v>R432</v>
      </c>
      <c r="N224" t="b">
        <f t="shared" si="162"/>
        <v>0</v>
      </c>
      <c r="O224" t="b">
        <f t="shared" si="207"/>
        <v>0</v>
      </c>
      <c r="Q224" s="395" t="b">
        <f t="shared" si="163"/>
        <v>0</v>
      </c>
      <c r="R224" s="395" t="b">
        <f t="shared" si="164"/>
        <v>0</v>
      </c>
      <c r="T224" t="str">
        <f>'Both teabags AfterDry'!A222</f>
        <v>G431</v>
      </c>
      <c r="U224" t="str">
        <f>'Both teabags AfterDry'!A557</f>
        <v>R709</v>
      </c>
      <c r="V224" t="b">
        <f t="shared" si="165"/>
        <v>0</v>
      </c>
      <c r="W224" t="b">
        <f t="shared" si="192"/>
        <v>0</v>
      </c>
      <c r="Y224" t="str">
        <f>'Green_rooibos initial weight'!A225</f>
        <v>G221</v>
      </c>
      <c r="Z224" t="str">
        <f>'Green_rooibos initial weight'!A1129</f>
        <v>R221</v>
      </c>
      <c r="AA224" t="b">
        <f t="shared" si="166"/>
        <v>0</v>
      </c>
      <c r="AB224" t="b">
        <f t="shared" si="167"/>
        <v>0</v>
      </c>
      <c r="AE224" t="str">
        <f>'WetLitterbags placem_collection'!O3</f>
        <v>G752</v>
      </c>
      <c r="AF224" t="str">
        <f>'WetLitterbags placem_collection'!Q3</f>
        <v>R133</v>
      </c>
      <c r="AG224" t="b">
        <f t="shared" si="168"/>
        <v>0</v>
      </c>
      <c r="AH224" t="b">
        <f t="shared" si="169"/>
        <v>0</v>
      </c>
      <c r="AJ224" t="b">
        <f t="shared" si="170"/>
        <v>0</v>
      </c>
      <c r="AK224" t="b">
        <f t="shared" si="171"/>
        <v>0</v>
      </c>
      <c r="AM224" t="str">
        <f>IF(ISBLANK('Dry_Litterbag Placem_Collection'!L3),"","G"&amp;""&amp;'Dry_Litterbag Placem_Collection'!L3)</f>
        <v>G377</v>
      </c>
      <c r="AN224" t="str">
        <f>IF(ISBLANK('Dry_Litterbag Placem_Collection'!M3),"","R"&amp;""&amp;'Dry_Litterbag Placem_Collection'!M3)</f>
        <v>R204</v>
      </c>
      <c r="AO224" t="b">
        <f t="shared" si="172"/>
        <v>0</v>
      </c>
      <c r="AP224" t="b">
        <f>COUNTIF($AN$4:$AN$2000, AN224)&gt;1</f>
        <v>0</v>
      </c>
      <c r="AS224" t="str">
        <f>'Ashed teabags dry'!A222</f>
        <v>G431</v>
      </c>
      <c r="AT224" t="str">
        <f>'Ashed teabags dry'!A557</f>
        <v>R709</v>
      </c>
      <c r="AU224" t="b">
        <f t="shared" si="174"/>
        <v>0</v>
      </c>
      <c r="AV224" t="b">
        <f>COUNTIF($AT$4:$AT$2000, AT224)&gt;1</f>
        <v>0</v>
      </c>
      <c r="AX224" s="395" t="b">
        <f t="shared" si="175"/>
        <v>0</v>
      </c>
      <c r="AY224" s="395" t="b">
        <f t="shared" si="176"/>
        <v>0</v>
      </c>
      <c r="BA224" t="str">
        <f>'Ashed teabags wet'!A222</f>
        <v>G653</v>
      </c>
      <c r="BB224" t="str">
        <f>'Ashed teabags wet'!A642</f>
        <v>R432</v>
      </c>
      <c r="BC224" t="b">
        <f t="shared" si="177"/>
        <v>0</v>
      </c>
      <c r="BD224" t="b">
        <f t="shared" si="157"/>
        <v>0</v>
      </c>
      <c r="BF224" t="str">
        <f t="shared" si="178"/>
        <v>G430</v>
      </c>
      <c r="BG224" t="str">
        <f>T223</f>
        <v>G430</v>
      </c>
      <c r="BH224" t="str">
        <f t="shared" si="179"/>
        <v>G39</v>
      </c>
      <c r="BI224" t="str">
        <f t="shared" si="193"/>
        <v/>
      </c>
      <c r="BJ224" t="s">
        <v>1620</v>
      </c>
      <c r="BK224" t="s">
        <v>1620</v>
      </c>
      <c r="BL224" t="s">
        <v>1620</v>
      </c>
      <c r="BM224" t="b">
        <f t="shared" si="194"/>
        <v>1</v>
      </c>
      <c r="BN224" t="str">
        <f t="shared" si="180"/>
        <v>R708</v>
      </c>
      <c r="BO224" t="str">
        <f>U223</f>
        <v>R708</v>
      </c>
      <c r="BP224" t="str">
        <f t="shared" si="181"/>
        <v>R194</v>
      </c>
      <c r="BQ224" t="str">
        <f t="shared" si="182"/>
        <v/>
      </c>
      <c r="BR224" t="s">
        <v>431</v>
      </c>
      <c r="BS224" t="s">
        <v>430</v>
      </c>
      <c r="BT224" t="s">
        <v>431</v>
      </c>
      <c r="BU224" t="b">
        <f t="shared" si="195"/>
        <v>1</v>
      </c>
      <c r="BZ224" t="str">
        <f t="shared" si="183"/>
        <v>G39</v>
      </c>
      <c r="CA224" t="b">
        <f t="shared" si="184"/>
        <v>1</v>
      </c>
      <c r="CB224" t="str">
        <f t="shared" si="196"/>
        <v/>
      </c>
      <c r="CC224" t="str">
        <f t="shared" si="185"/>
        <v>R194</v>
      </c>
      <c r="CD224" t="b">
        <f t="shared" si="197"/>
        <v>1</v>
      </c>
      <c r="CE224" t="str">
        <f t="shared" si="198"/>
        <v/>
      </c>
      <c r="CG224" t="str">
        <f t="shared" si="186"/>
        <v>G651</v>
      </c>
      <c r="CH224" t="str">
        <f t="shared" si="199"/>
        <v>G651</v>
      </c>
      <c r="CI224" t="str">
        <f>AE223</f>
        <v>G782</v>
      </c>
      <c r="CJ224" t="str">
        <f t="shared" si="187"/>
        <v>G782</v>
      </c>
      <c r="CK224" t="s">
        <v>1399</v>
      </c>
      <c r="CL224" t="s">
        <v>1399</v>
      </c>
      <c r="CM224" t="s">
        <v>1399</v>
      </c>
      <c r="CN224" t="b">
        <f t="shared" si="200"/>
        <v>1</v>
      </c>
      <c r="CO224" t="str">
        <f t="shared" si="188"/>
        <v>R430</v>
      </c>
      <c r="CP224" t="str">
        <f t="shared" si="201"/>
        <v>R430</v>
      </c>
      <c r="CQ224" t="str">
        <f>AF223</f>
        <v>R250</v>
      </c>
      <c r="CR224" t="str">
        <f t="shared" si="189"/>
        <v>R250</v>
      </c>
      <c r="CS224" t="s">
        <v>711</v>
      </c>
      <c r="CT224" t="s">
        <v>711</v>
      </c>
      <c r="CU224" t="s">
        <v>711</v>
      </c>
      <c r="CV224" t="b">
        <f t="shared" si="202"/>
        <v>1</v>
      </c>
      <c r="DC224" t="str">
        <f t="shared" si="190"/>
        <v>G782</v>
      </c>
      <c r="DD224" t="b">
        <f t="shared" si="203"/>
        <v>0</v>
      </c>
      <c r="DE224" t="str">
        <f t="shared" si="204"/>
        <v>G782</v>
      </c>
      <c r="DF224" t="str">
        <f t="shared" si="191"/>
        <v>R250</v>
      </c>
      <c r="DG224" t="b">
        <f t="shared" si="205"/>
        <v>0</v>
      </c>
      <c r="DH224" t="str">
        <f t="shared" si="206"/>
        <v>R250</v>
      </c>
    </row>
    <row r="225" spans="2:112" ht="12" customHeight="1">
      <c r="B225" t="str">
        <f>TBIDry!H297</f>
        <v/>
      </c>
      <c r="C225" t="str">
        <f>TBIDry!I297</f>
        <v/>
      </c>
      <c r="D225" t="b">
        <f t="shared" si="158"/>
        <v>1</v>
      </c>
      <c r="E225" t="b">
        <f t="shared" si="159"/>
        <v>1</v>
      </c>
      <c r="G225" t="str">
        <f>TBIWet!H297</f>
        <v>G737</v>
      </c>
      <c r="H225" t="str">
        <f>TBIWet!I297</f>
        <v>R527</v>
      </c>
      <c r="I225" t="b">
        <f t="shared" si="160"/>
        <v>0</v>
      </c>
      <c r="J225" t="b">
        <f t="shared" si="161"/>
        <v>0</v>
      </c>
      <c r="L225" t="str">
        <f>'Both teabags AfterWet'!A223</f>
        <v>G654</v>
      </c>
      <c r="M225" t="str">
        <f>'Both teabags AfterWet'!A643</f>
        <v>R433</v>
      </c>
      <c r="N225" t="b">
        <f t="shared" si="162"/>
        <v>0</v>
      </c>
      <c r="O225" t="b">
        <f t="shared" si="207"/>
        <v>0</v>
      </c>
      <c r="Q225" s="395" t="b">
        <f t="shared" si="163"/>
        <v>0</v>
      </c>
      <c r="R225" s="395" t="b">
        <f t="shared" si="164"/>
        <v>0</v>
      </c>
      <c r="T225" t="str">
        <f>'Both teabags AfterDry'!A223</f>
        <v>G434</v>
      </c>
      <c r="U225" t="str">
        <f>'Both teabags AfterDry'!A558</f>
        <v>R710</v>
      </c>
      <c r="V225" t="b">
        <f t="shared" si="165"/>
        <v>0</v>
      </c>
      <c r="W225" t="b">
        <f t="shared" si="192"/>
        <v>0</v>
      </c>
      <c r="Y225" t="str">
        <f>'Green_rooibos initial weight'!A226</f>
        <v>G222</v>
      </c>
      <c r="Z225" t="str">
        <f>'Green_rooibos initial weight'!A1130</f>
        <v>R222</v>
      </c>
      <c r="AA225" t="b">
        <f t="shared" si="166"/>
        <v>0</v>
      </c>
      <c r="AB225" t="b">
        <f t="shared" si="167"/>
        <v>0</v>
      </c>
      <c r="AE225" t="str">
        <f>'WetLitterbags placem_collection'!O4</f>
        <v>G737</v>
      </c>
      <c r="AF225" t="str">
        <f>'WetLitterbags placem_collection'!Q4</f>
        <v>R527</v>
      </c>
      <c r="AG225" t="b">
        <f t="shared" si="168"/>
        <v>0</v>
      </c>
      <c r="AH225" t="b">
        <f t="shared" si="169"/>
        <v>0</v>
      </c>
      <c r="AJ225" t="b">
        <f t="shared" si="170"/>
        <v>0</v>
      </c>
      <c r="AK225" t="b">
        <f t="shared" si="171"/>
        <v>0</v>
      </c>
      <c r="AM225" t="str">
        <f>IF(ISBLANK('Dry_Litterbag Placem_Collection'!L4),"","G"&amp;""&amp;'Dry_Litterbag Placem_Collection'!L4)</f>
        <v/>
      </c>
      <c r="AN225" t="str">
        <f>IF(ISBLANK('Dry_Litterbag Placem_Collection'!M4),"","R"&amp;""&amp;'Dry_Litterbag Placem_Collection'!M4)</f>
        <v/>
      </c>
      <c r="AO225" t="b">
        <f t="shared" si="172"/>
        <v>1</v>
      </c>
      <c r="AP225" t="b">
        <f t="shared" si="173"/>
        <v>1</v>
      </c>
      <c r="AS225" t="str">
        <f>'Ashed teabags dry'!A223</f>
        <v>G434</v>
      </c>
      <c r="AT225" t="str">
        <f>'Ashed teabags dry'!A558</f>
        <v>R710</v>
      </c>
      <c r="AU225" t="b">
        <f t="shared" si="174"/>
        <v>0</v>
      </c>
      <c r="AV225" t="b">
        <f>COUNTIF($AT$4:$AT$2000, AT225)&gt;1</f>
        <v>0</v>
      </c>
      <c r="AX225" s="395" t="b">
        <f t="shared" si="175"/>
        <v>0</v>
      </c>
      <c r="AY225" s="395" t="b">
        <f t="shared" si="176"/>
        <v>0</v>
      </c>
      <c r="BA225" t="str">
        <f>'Ashed teabags wet'!A223</f>
        <v>G654</v>
      </c>
      <c r="BB225" t="str">
        <f>'Ashed teabags wet'!A643</f>
        <v>R433</v>
      </c>
      <c r="BC225" t="b">
        <f t="shared" si="177"/>
        <v>0</v>
      </c>
      <c r="BD225" t="b">
        <f t="shared" si="157"/>
        <v>0</v>
      </c>
      <c r="BF225" t="str">
        <f t="shared" si="178"/>
        <v>G431</v>
      </c>
      <c r="BG225" t="str">
        <f>T224</f>
        <v>G431</v>
      </c>
      <c r="BH225" t="str">
        <f t="shared" si="179"/>
        <v>G377</v>
      </c>
      <c r="BI225" t="str">
        <f t="shared" si="193"/>
        <v>G377</v>
      </c>
      <c r="BJ225" t="s">
        <v>1619</v>
      </c>
      <c r="BK225" t="s">
        <v>1619</v>
      </c>
      <c r="BL225" t="s">
        <v>1619</v>
      </c>
      <c r="BM225" t="b">
        <f t="shared" si="194"/>
        <v>1</v>
      </c>
      <c r="BN225" t="str">
        <f t="shared" si="180"/>
        <v>R709</v>
      </c>
      <c r="BO225" t="str">
        <f>U224</f>
        <v>R709</v>
      </c>
      <c r="BP225" t="str">
        <f t="shared" si="181"/>
        <v>R204</v>
      </c>
      <c r="BQ225" t="str">
        <f t="shared" si="182"/>
        <v>R204</v>
      </c>
      <c r="BR225" t="s">
        <v>430</v>
      </c>
      <c r="BS225" t="s">
        <v>429</v>
      </c>
      <c r="BT225" t="s">
        <v>430</v>
      </c>
      <c r="BU225" t="b">
        <f t="shared" si="195"/>
        <v>1</v>
      </c>
      <c r="BZ225" t="str">
        <f t="shared" si="183"/>
        <v>G377</v>
      </c>
      <c r="CA225" t="b">
        <f t="shared" si="184"/>
        <v>0</v>
      </c>
      <c r="CB225" t="str">
        <f t="shared" si="196"/>
        <v>G377</v>
      </c>
      <c r="CC225" t="str">
        <f t="shared" si="185"/>
        <v>R204</v>
      </c>
      <c r="CD225" t="b">
        <f t="shared" si="197"/>
        <v>0</v>
      </c>
      <c r="CE225" t="str">
        <f t="shared" si="198"/>
        <v>R204</v>
      </c>
      <c r="CG225" t="str">
        <f t="shared" si="186"/>
        <v>G653</v>
      </c>
      <c r="CH225" t="str">
        <f t="shared" si="199"/>
        <v>G653</v>
      </c>
      <c r="CI225" t="str">
        <f>AE224</f>
        <v>G752</v>
      </c>
      <c r="CJ225" t="str">
        <f t="shared" si="187"/>
        <v>G752</v>
      </c>
      <c r="CK225" t="s">
        <v>1397</v>
      </c>
      <c r="CL225" t="s">
        <v>1397</v>
      </c>
      <c r="CM225" t="s">
        <v>1397</v>
      </c>
      <c r="CN225" t="b">
        <f t="shared" si="200"/>
        <v>1</v>
      </c>
      <c r="CO225" t="str">
        <f t="shared" si="188"/>
        <v>R432</v>
      </c>
      <c r="CP225" t="str">
        <f t="shared" si="201"/>
        <v>R432</v>
      </c>
      <c r="CQ225" t="str">
        <f>AF224</f>
        <v>R133</v>
      </c>
      <c r="CR225" t="str">
        <f t="shared" si="189"/>
        <v>R133</v>
      </c>
      <c r="CS225" t="s">
        <v>709</v>
      </c>
      <c r="CT225" t="s">
        <v>709</v>
      </c>
      <c r="CU225" t="s">
        <v>709</v>
      </c>
      <c r="CV225" t="b">
        <f t="shared" si="202"/>
        <v>1</v>
      </c>
      <c r="DC225" t="str">
        <f t="shared" si="190"/>
        <v>G752</v>
      </c>
      <c r="DD225" t="b">
        <f t="shared" si="203"/>
        <v>0</v>
      </c>
      <c r="DE225" t="str">
        <f t="shared" si="204"/>
        <v>G752</v>
      </c>
      <c r="DF225" t="str">
        <f t="shared" si="191"/>
        <v>R133</v>
      </c>
      <c r="DG225" t="b">
        <f t="shared" si="205"/>
        <v>0</v>
      </c>
      <c r="DH225" t="str">
        <f t="shared" si="206"/>
        <v>R133</v>
      </c>
    </row>
    <row r="226" spans="2:112" ht="12" customHeight="1">
      <c r="B226" t="str">
        <f>TBIDry!H298</f>
        <v>G44</v>
      </c>
      <c r="C226" t="str">
        <f>TBIDry!I298</f>
        <v>R283</v>
      </c>
      <c r="D226" t="b">
        <f t="shared" si="158"/>
        <v>0</v>
      </c>
      <c r="E226" t="b">
        <f t="shared" si="159"/>
        <v>0</v>
      </c>
      <c r="G226" t="str">
        <f>TBIWet!H298</f>
        <v>G661</v>
      </c>
      <c r="H226" t="str">
        <f>TBIWet!I298</f>
        <v>R498</v>
      </c>
      <c r="I226" t="b">
        <f t="shared" si="160"/>
        <v>0</v>
      </c>
      <c r="J226" t="b">
        <f t="shared" si="161"/>
        <v>0</v>
      </c>
      <c r="L226" t="str">
        <f>'Both teabags AfterWet'!A224</f>
        <v>G655</v>
      </c>
      <c r="M226" t="str">
        <f>'Both teabags AfterWet'!A644</f>
        <v>R434</v>
      </c>
      <c r="N226" t="b">
        <f t="shared" si="162"/>
        <v>0</v>
      </c>
      <c r="O226" t="b">
        <f t="shared" si="207"/>
        <v>0</v>
      </c>
      <c r="Q226" s="395" t="b">
        <f t="shared" si="163"/>
        <v>0</v>
      </c>
      <c r="R226" s="395" t="b">
        <f t="shared" si="164"/>
        <v>0</v>
      </c>
      <c r="T226" t="str">
        <f>'Both teabags AfterDry'!A224</f>
        <v>G435</v>
      </c>
      <c r="U226" t="str">
        <f>'Both teabags AfterDry'!A559</f>
        <v>R711</v>
      </c>
      <c r="V226" t="b">
        <f t="shared" si="165"/>
        <v>0</v>
      </c>
      <c r="W226" t="b">
        <f t="shared" si="192"/>
        <v>0</v>
      </c>
      <c r="Y226" t="str">
        <f>'Green_rooibos initial weight'!A227</f>
        <v>G223</v>
      </c>
      <c r="Z226" t="str">
        <f>'Green_rooibos initial weight'!A1131</f>
        <v>R223</v>
      </c>
      <c r="AA226" t="b">
        <f t="shared" si="166"/>
        <v>0</v>
      </c>
      <c r="AB226" t="b">
        <f t="shared" si="167"/>
        <v>0</v>
      </c>
      <c r="AE226" t="str">
        <f>'WetLitterbags placem_collection'!O5</f>
        <v>G661</v>
      </c>
      <c r="AF226" t="str">
        <f>'WetLitterbags placem_collection'!Q5</f>
        <v>R498</v>
      </c>
      <c r="AG226" t="b">
        <f t="shared" si="168"/>
        <v>0</v>
      </c>
      <c r="AH226" t="b">
        <f t="shared" si="169"/>
        <v>0</v>
      </c>
      <c r="AJ226" t="b">
        <f t="shared" si="170"/>
        <v>0</v>
      </c>
      <c r="AK226" t="b">
        <f t="shared" si="171"/>
        <v>0</v>
      </c>
      <c r="AM226" t="str">
        <f>IF(ISBLANK('Dry_Litterbag Placem_Collection'!L5),"","G"&amp;""&amp;'Dry_Litterbag Placem_Collection'!L5)</f>
        <v>G44</v>
      </c>
      <c r="AN226" t="str">
        <f>IF(ISBLANK('Dry_Litterbag Placem_Collection'!M5),"","R"&amp;""&amp;'Dry_Litterbag Placem_Collection'!M5)</f>
        <v>R283</v>
      </c>
      <c r="AO226" t="b">
        <f t="shared" si="172"/>
        <v>0</v>
      </c>
      <c r="AP226" t="b">
        <f t="shared" si="173"/>
        <v>0</v>
      </c>
      <c r="AS226" t="str">
        <f>'Ashed teabags dry'!A224</f>
        <v>G435</v>
      </c>
      <c r="AT226" t="str">
        <f>'Ashed teabags dry'!A559</f>
        <v>R711</v>
      </c>
      <c r="AU226" t="b">
        <f t="shared" si="174"/>
        <v>0</v>
      </c>
      <c r="AV226" t="b">
        <f>COUNTIF($AT$4:$AT$2000, AT226)&gt;1</f>
        <v>0</v>
      </c>
      <c r="AX226" s="395" t="b">
        <f t="shared" si="175"/>
        <v>0</v>
      </c>
      <c r="AY226" s="395" t="b">
        <f t="shared" si="176"/>
        <v>0</v>
      </c>
      <c r="BA226" t="str">
        <f>'Ashed teabags wet'!A224</f>
        <v>G655</v>
      </c>
      <c r="BB226" t="str">
        <f>'Ashed teabags wet'!A644</f>
        <v>R434</v>
      </c>
      <c r="BC226" t="b">
        <f t="shared" si="177"/>
        <v>0</v>
      </c>
      <c r="BD226" t="b">
        <f t="shared" si="157"/>
        <v>0</v>
      </c>
      <c r="BF226" t="str">
        <f t="shared" si="178"/>
        <v>G434</v>
      </c>
      <c r="BG226" t="str">
        <f>T225</f>
        <v>G434</v>
      </c>
      <c r="BH226" t="str">
        <f t="shared" si="179"/>
        <v/>
      </c>
      <c r="BI226" t="str">
        <f t="shared" si="193"/>
        <v/>
      </c>
      <c r="BJ226" t="s">
        <v>1616</v>
      </c>
      <c r="BK226" t="s">
        <v>1616</v>
      </c>
      <c r="BL226" t="s">
        <v>1616</v>
      </c>
      <c r="BM226" t="b">
        <f t="shared" si="194"/>
        <v>1</v>
      </c>
      <c r="BN226" t="str">
        <f t="shared" si="180"/>
        <v>R710</v>
      </c>
      <c r="BO226" t="str">
        <f>U225</f>
        <v>R710</v>
      </c>
      <c r="BP226" t="str">
        <f t="shared" si="181"/>
        <v/>
      </c>
      <c r="BQ226" t="str">
        <f t="shared" si="182"/>
        <v/>
      </c>
      <c r="BR226" t="s">
        <v>429</v>
      </c>
      <c r="BS226" t="s">
        <v>428</v>
      </c>
      <c r="BT226" t="s">
        <v>429</v>
      </c>
      <c r="BU226" t="b">
        <f t="shared" si="195"/>
        <v>1</v>
      </c>
      <c r="BZ226" t="str">
        <f t="shared" si="183"/>
        <v/>
      </c>
      <c r="CA226" t="b">
        <f t="shared" si="184"/>
        <v>0</v>
      </c>
      <c r="CB226" t="str">
        <f t="shared" si="196"/>
        <v/>
      </c>
      <c r="CC226" t="str">
        <f t="shared" si="185"/>
        <v/>
      </c>
      <c r="CD226" t="b">
        <f t="shared" si="197"/>
        <v>0</v>
      </c>
      <c r="CE226" t="str">
        <f t="shared" si="198"/>
        <v/>
      </c>
      <c r="CG226" t="str">
        <f t="shared" si="186"/>
        <v>G654</v>
      </c>
      <c r="CH226" t="str">
        <f t="shared" si="199"/>
        <v>G654</v>
      </c>
      <c r="CI226" t="str">
        <f>AE225</f>
        <v>G737</v>
      </c>
      <c r="CJ226" t="str">
        <f t="shared" si="187"/>
        <v>G737</v>
      </c>
      <c r="CK226" t="s">
        <v>1396</v>
      </c>
      <c r="CL226" t="s">
        <v>1396</v>
      </c>
      <c r="CM226" t="s">
        <v>1396</v>
      </c>
      <c r="CN226" t="b">
        <f t="shared" si="200"/>
        <v>1</v>
      </c>
      <c r="CO226" t="str">
        <f t="shared" si="188"/>
        <v>R433</v>
      </c>
      <c r="CP226" t="str">
        <f t="shared" si="201"/>
        <v>R433</v>
      </c>
      <c r="CQ226" t="str">
        <f>AF225</f>
        <v>R527</v>
      </c>
      <c r="CR226" t="str">
        <f t="shared" si="189"/>
        <v>R527</v>
      </c>
      <c r="CS226" t="s">
        <v>708</v>
      </c>
      <c r="CT226" t="s">
        <v>708</v>
      </c>
      <c r="CU226" t="s">
        <v>708</v>
      </c>
      <c r="CV226" t="b">
        <f t="shared" si="202"/>
        <v>1</v>
      </c>
      <c r="DC226" t="str">
        <f t="shared" si="190"/>
        <v>G737</v>
      </c>
      <c r="DD226" t="b">
        <f t="shared" si="203"/>
        <v>0</v>
      </c>
      <c r="DE226" t="str">
        <f t="shared" si="204"/>
        <v>G737</v>
      </c>
      <c r="DF226" t="str">
        <f t="shared" si="191"/>
        <v>R527</v>
      </c>
      <c r="DG226" t="b">
        <f t="shared" si="205"/>
        <v>0</v>
      </c>
      <c r="DH226" t="str">
        <f t="shared" si="206"/>
        <v>R527</v>
      </c>
    </row>
    <row r="227" spans="2:112" ht="12" customHeight="1">
      <c r="B227" t="str">
        <f>TBIDry!H299</f>
        <v>G357</v>
      </c>
      <c r="C227" t="str">
        <f>TBIDry!I299</f>
        <v>R298</v>
      </c>
      <c r="D227" t="b">
        <f t="shared" si="158"/>
        <v>0</v>
      </c>
      <c r="E227" t="b">
        <f t="shared" si="159"/>
        <v>0</v>
      </c>
      <c r="G227" t="str">
        <f>TBIWet!H299</f>
        <v>G532</v>
      </c>
      <c r="H227" t="str">
        <f>TBIWet!I299</f>
        <v>R508</v>
      </c>
      <c r="I227" t="b">
        <f t="shared" si="160"/>
        <v>0</v>
      </c>
      <c r="J227" t="b">
        <f t="shared" si="161"/>
        <v>0</v>
      </c>
      <c r="L227" t="str">
        <f>'Both teabags AfterWet'!A225</f>
        <v>G656</v>
      </c>
      <c r="M227" t="str">
        <f>'Both teabags AfterWet'!A645</f>
        <v>R435</v>
      </c>
      <c r="N227" t="b">
        <f t="shared" si="162"/>
        <v>0</v>
      </c>
      <c r="O227" t="b">
        <f t="shared" si="207"/>
        <v>0</v>
      </c>
      <c r="Q227" s="395" t="b">
        <f t="shared" si="163"/>
        <v>0</v>
      </c>
      <c r="R227" s="395" t="b">
        <f t="shared" si="164"/>
        <v>0</v>
      </c>
      <c r="T227" t="str">
        <f>'Both teabags AfterDry'!A225</f>
        <v>G44</v>
      </c>
      <c r="U227" t="str">
        <f>'Both teabags AfterDry'!A560</f>
        <v>R712</v>
      </c>
      <c r="V227" t="b">
        <f t="shared" si="165"/>
        <v>0</v>
      </c>
      <c r="W227" t="b">
        <f t="shared" si="192"/>
        <v>0</v>
      </c>
      <c r="Y227" t="str">
        <f>'Green_rooibos initial weight'!A228</f>
        <v>G224</v>
      </c>
      <c r="Z227" t="str">
        <f>'Green_rooibos initial weight'!A1132</f>
        <v>R224</v>
      </c>
      <c r="AA227" t="b">
        <f t="shared" si="166"/>
        <v>0</v>
      </c>
      <c r="AB227" t="b">
        <f t="shared" si="167"/>
        <v>0</v>
      </c>
      <c r="AE227" t="str">
        <f>'WetLitterbags placem_collection'!O6</f>
        <v>G532</v>
      </c>
      <c r="AF227" t="str">
        <f>'WetLitterbags placem_collection'!Q6</f>
        <v>R508</v>
      </c>
      <c r="AG227" t="b">
        <f t="shared" si="168"/>
        <v>0</v>
      </c>
      <c r="AH227" t="b">
        <f t="shared" si="169"/>
        <v>0</v>
      </c>
      <c r="AJ227" t="b">
        <f t="shared" si="170"/>
        <v>0</v>
      </c>
      <c r="AK227" t="b">
        <f t="shared" si="171"/>
        <v>0</v>
      </c>
      <c r="AM227" t="str">
        <f>IF(ISBLANK('Dry_Litterbag Placem_Collection'!L6),"","G"&amp;""&amp;'Dry_Litterbag Placem_Collection'!L6)</f>
        <v>G357</v>
      </c>
      <c r="AN227" t="str">
        <f>IF(ISBLANK('Dry_Litterbag Placem_Collection'!M6),"","R"&amp;""&amp;'Dry_Litterbag Placem_Collection'!M6)</f>
        <v>R298</v>
      </c>
      <c r="AO227" t="b">
        <f t="shared" si="172"/>
        <v>0</v>
      </c>
      <c r="AP227" t="b">
        <f t="shared" si="173"/>
        <v>0</v>
      </c>
      <c r="AS227" t="str">
        <f>'Ashed teabags dry'!A225</f>
        <v>G44</v>
      </c>
      <c r="AT227" t="str">
        <f>'Ashed teabags dry'!A560</f>
        <v>R712</v>
      </c>
      <c r="AU227" t="b">
        <f t="shared" si="174"/>
        <v>0</v>
      </c>
      <c r="AV227" t="b">
        <f>COUNTIF($AT$4:$AT$2000, AT227)&gt;1</f>
        <v>0</v>
      </c>
      <c r="AX227" s="395" t="b">
        <f t="shared" si="175"/>
        <v>0</v>
      </c>
      <c r="AY227" s="395" t="b">
        <f t="shared" si="176"/>
        <v>0</v>
      </c>
      <c r="BA227" t="str">
        <f>'Ashed teabags wet'!A225</f>
        <v>G656</v>
      </c>
      <c r="BB227" t="str">
        <f>'Ashed teabags wet'!A645</f>
        <v>R435</v>
      </c>
      <c r="BC227" t="b">
        <f t="shared" si="177"/>
        <v>0</v>
      </c>
      <c r="BD227" t="b">
        <f t="shared" si="157"/>
        <v>0</v>
      </c>
      <c r="BF227" t="str">
        <f t="shared" si="178"/>
        <v>G435</v>
      </c>
      <c r="BG227" t="str">
        <f>T226</f>
        <v>G435</v>
      </c>
      <c r="BH227" t="str">
        <f t="shared" si="179"/>
        <v>G44</v>
      </c>
      <c r="BI227" t="str">
        <f t="shared" si="193"/>
        <v>G44</v>
      </c>
      <c r="BJ227" t="s">
        <v>1615</v>
      </c>
      <c r="BK227" t="s">
        <v>1615</v>
      </c>
      <c r="BL227" t="s">
        <v>1615</v>
      </c>
      <c r="BM227" t="b">
        <f t="shared" si="194"/>
        <v>1</v>
      </c>
      <c r="BN227" t="str">
        <f t="shared" si="180"/>
        <v>R711</v>
      </c>
      <c r="BO227" t="str">
        <f>U226</f>
        <v>R711</v>
      </c>
      <c r="BP227" t="str">
        <f t="shared" si="181"/>
        <v>R283</v>
      </c>
      <c r="BQ227" t="str">
        <f t="shared" si="182"/>
        <v>R283</v>
      </c>
      <c r="BR227" t="s">
        <v>428</v>
      </c>
      <c r="BS227" t="s">
        <v>427</v>
      </c>
      <c r="BT227" t="s">
        <v>428</v>
      </c>
      <c r="BU227" t="b">
        <f t="shared" si="195"/>
        <v>1</v>
      </c>
      <c r="BZ227" t="str">
        <f t="shared" si="183"/>
        <v>G44</v>
      </c>
      <c r="CA227" t="b">
        <f t="shared" si="184"/>
        <v>0</v>
      </c>
      <c r="CB227" t="str">
        <f t="shared" si="196"/>
        <v>G44</v>
      </c>
      <c r="CC227" t="str">
        <f t="shared" si="185"/>
        <v>R283</v>
      </c>
      <c r="CD227" t="b">
        <f t="shared" si="197"/>
        <v>0</v>
      </c>
      <c r="CE227" t="str">
        <f t="shared" si="198"/>
        <v>R283</v>
      </c>
      <c r="CG227" t="str">
        <f t="shared" si="186"/>
        <v>G655</v>
      </c>
      <c r="CH227" t="str">
        <f t="shared" si="199"/>
        <v>G655</v>
      </c>
      <c r="CI227" t="str">
        <f>AE226</f>
        <v>G661</v>
      </c>
      <c r="CJ227" t="str">
        <f t="shared" si="187"/>
        <v/>
      </c>
      <c r="CK227" t="s">
        <v>1395</v>
      </c>
      <c r="CL227" t="s">
        <v>1395</v>
      </c>
      <c r="CM227" t="s">
        <v>1395</v>
      </c>
      <c r="CN227" t="b">
        <f t="shared" si="200"/>
        <v>1</v>
      </c>
      <c r="CO227" t="str">
        <f t="shared" si="188"/>
        <v>R434</v>
      </c>
      <c r="CP227" t="str">
        <f t="shared" si="201"/>
        <v>R434</v>
      </c>
      <c r="CQ227" t="str">
        <f>AF226</f>
        <v>R498</v>
      </c>
      <c r="CR227" t="str">
        <f t="shared" si="189"/>
        <v/>
      </c>
      <c r="CS227" t="s">
        <v>707</v>
      </c>
      <c r="CT227" t="s">
        <v>707</v>
      </c>
      <c r="CU227" t="s">
        <v>707</v>
      </c>
      <c r="CV227" t="b">
        <f t="shared" si="202"/>
        <v>1</v>
      </c>
      <c r="DC227" t="str">
        <f t="shared" si="190"/>
        <v>G661</v>
      </c>
      <c r="DD227" t="b">
        <f t="shared" si="203"/>
        <v>1</v>
      </c>
      <c r="DE227" t="str">
        <f t="shared" si="204"/>
        <v/>
      </c>
      <c r="DF227" t="str">
        <f t="shared" si="191"/>
        <v>R498</v>
      </c>
      <c r="DG227" t="b">
        <f t="shared" si="205"/>
        <v>1</v>
      </c>
      <c r="DH227" t="str">
        <f t="shared" si="206"/>
        <v/>
      </c>
    </row>
    <row r="228" spans="2:112" ht="12" customHeight="1">
      <c r="B228" t="str">
        <f>TBIDry!H300</f>
        <v>G734</v>
      </c>
      <c r="C228" t="str">
        <f>TBIDry!I300</f>
        <v>R226</v>
      </c>
      <c r="D228" t="b">
        <f t="shared" si="158"/>
        <v>0</v>
      </c>
      <c r="E228" t="b">
        <f t="shared" si="159"/>
        <v>0</v>
      </c>
      <c r="G228" t="str">
        <f>TBIWet!H300</f>
        <v>G577</v>
      </c>
      <c r="H228" t="str">
        <f>TBIWet!I300</f>
        <v>R38</v>
      </c>
      <c r="I228" t="b">
        <f t="shared" si="160"/>
        <v>0</v>
      </c>
      <c r="J228" t="b">
        <f t="shared" si="161"/>
        <v>0</v>
      </c>
      <c r="L228" t="str">
        <f>'Both teabags AfterWet'!A226</f>
        <v>G657</v>
      </c>
      <c r="M228" t="str">
        <f>'Both teabags AfterWet'!A646</f>
        <v>R436</v>
      </c>
      <c r="N228" t="b">
        <f t="shared" si="162"/>
        <v>0</v>
      </c>
      <c r="O228" t="b">
        <f t="shared" si="207"/>
        <v>0</v>
      </c>
      <c r="Q228" s="395" t="b">
        <f t="shared" si="163"/>
        <v>0</v>
      </c>
      <c r="R228" s="395" t="b">
        <f t="shared" si="164"/>
        <v>0</v>
      </c>
      <c r="T228" t="str">
        <f>'Both teabags AfterDry'!A226</f>
        <v>G444</v>
      </c>
      <c r="U228" t="str">
        <f>'Both teabags AfterDry'!A561</f>
        <v>R713</v>
      </c>
      <c r="V228" t="b">
        <f t="shared" si="165"/>
        <v>0</v>
      </c>
      <c r="W228" t="b">
        <f t="shared" si="192"/>
        <v>0</v>
      </c>
      <c r="Y228" t="str">
        <f>'Green_rooibos initial weight'!A229</f>
        <v>G225</v>
      </c>
      <c r="Z228" t="str">
        <f>'Green_rooibos initial weight'!A1133</f>
        <v>R225</v>
      </c>
      <c r="AA228" t="b">
        <f t="shared" si="166"/>
        <v>0</v>
      </c>
      <c r="AB228" t="b">
        <f t="shared" si="167"/>
        <v>0</v>
      </c>
      <c r="AE228" t="str">
        <f>'WetLitterbags placem_collection'!O7</f>
        <v>G577</v>
      </c>
      <c r="AF228" t="str">
        <f>'WetLitterbags placem_collection'!Q7</f>
        <v>R38</v>
      </c>
      <c r="AG228" t="b">
        <f t="shared" si="168"/>
        <v>0</v>
      </c>
      <c r="AH228" t="b">
        <f t="shared" si="169"/>
        <v>0</v>
      </c>
      <c r="AJ228" t="b">
        <f t="shared" si="170"/>
        <v>0</v>
      </c>
      <c r="AK228" t="b">
        <f t="shared" si="171"/>
        <v>0</v>
      </c>
      <c r="AM228" t="str">
        <f>IF(ISBLANK('Dry_Litterbag Placem_Collection'!L7),"","G"&amp;""&amp;'Dry_Litterbag Placem_Collection'!L7)</f>
        <v>G734</v>
      </c>
      <c r="AN228" t="str">
        <f>IF(ISBLANK('Dry_Litterbag Placem_Collection'!M7),"","R"&amp;""&amp;'Dry_Litterbag Placem_Collection'!M7)</f>
        <v>R226</v>
      </c>
      <c r="AO228" t="b">
        <f t="shared" si="172"/>
        <v>0</v>
      </c>
      <c r="AP228" t="b">
        <f t="shared" si="173"/>
        <v>0</v>
      </c>
      <c r="AS228" t="str">
        <f>'Ashed teabags dry'!A226</f>
        <v>G444</v>
      </c>
      <c r="AT228" t="str">
        <f>'Ashed teabags dry'!A561</f>
        <v>R713</v>
      </c>
      <c r="AU228" t="b">
        <f t="shared" si="174"/>
        <v>0</v>
      </c>
      <c r="AV228" t="b">
        <f>COUNTIF($AT$4:$AT$2000, AT228)&gt;1</f>
        <v>0</v>
      </c>
      <c r="AX228" s="395" t="b">
        <f t="shared" si="175"/>
        <v>0</v>
      </c>
      <c r="AY228" s="395" t="b">
        <f t="shared" si="176"/>
        <v>0</v>
      </c>
      <c r="BA228" t="str">
        <f>'Ashed teabags wet'!A226</f>
        <v>G657</v>
      </c>
      <c r="BB228" t="str">
        <f>'Ashed teabags wet'!A646</f>
        <v>R436</v>
      </c>
      <c r="BC228" t="b">
        <f t="shared" si="177"/>
        <v>0</v>
      </c>
      <c r="BD228" t="b">
        <f t="shared" si="157"/>
        <v>0</v>
      </c>
      <c r="BF228" t="str">
        <f t="shared" si="178"/>
        <v>G44</v>
      </c>
      <c r="BG228" t="str">
        <f>T227</f>
        <v>G44</v>
      </c>
      <c r="BH228" t="str">
        <f t="shared" si="179"/>
        <v>G357</v>
      </c>
      <c r="BI228" t="str">
        <f t="shared" si="193"/>
        <v>G357</v>
      </c>
      <c r="BJ228" t="s">
        <v>2006</v>
      </c>
      <c r="BK228" t="s">
        <v>2006</v>
      </c>
      <c r="BL228" t="s">
        <v>2006</v>
      </c>
      <c r="BM228" t="b">
        <f t="shared" si="194"/>
        <v>1</v>
      </c>
      <c r="BN228" t="str">
        <f t="shared" si="180"/>
        <v>R712</v>
      </c>
      <c r="BO228" t="str">
        <f>U227</f>
        <v>R712</v>
      </c>
      <c r="BP228" t="str">
        <f t="shared" si="181"/>
        <v>R298</v>
      </c>
      <c r="BQ228" t="str">
        <f t="shared" si="182"/>
        <v>R298</v>
      </c>
      <c r="BR228" t="s">
        <v>427</v>
      </c>
      <c r="BS228" t="s">
        <v>426</v>
      </c>
      <c r="BT228" t="s">
        <v>427</v>
      </c>
      <c r="BU228" t="b">
        <f t="shared" si="195"/>
        <v>1</v>
      </c>
      <c r="BZ228" t="str">
        <f t="shared" si="183"/>
        <v>G357</v>
      </c>
      <c r="CA228" t="b">
        <f t="shared" si="184"/>
        <v>0</v>
      </c>
      <c r="CB228" t="str">
        <f t="shared" si="196"/>
        <v>G357</v>
      </c>
      <c r="CC228" t="str">
        <f t="shared" si="185"/>
        <v>R298</v>
      </c>
      <c r="CD228" t="b">
        <f t="shared" si="197"/>
        <v>0</v>
      </c>
      <c r="CE228" t="str">
        <f t="shared" si="198"/>
        <v>R298</v>
      </c>
      <c r="CG228" t="str">
        <f t="shared" si="186"/>
        <v>G656</v>
      </c>
      <c r="CH228" t="str">
        <f t="shared" si="199"/>
        <v>G656</v>
      </c>
      <c r="CI228" t="str">
        <f>AE227</f>
        <v>G532</v>
      </c>
      <c r="CJ228" t="str">
        <f t="shared" si="187"/>
        <v>G532</v>
      </c>
      <c r="CK228" t="s">
        <v>1394</v>
      </c>
      <c r="CL228" t="s">
        <v>1394</v>
      </c>
      <c r="CM228" t="s">
        <v>1394</v>
      </c>
      <c r="CN228" t="b">
        <f t="shared" si="200"/>
        <v>1</v>
      </c>
      <c r="CO228" t="str">
        <f t="shared" si="188"/>
        <v>R435</v>
      </c>
      <c r="CP228" t="str">
        <f t="shared" si="201"/>
        <v>R435</v>
      </c>
      <c r="CQ228" t="str">
        <f>AF227</f>
        <v>R508</v>
      </c>
      <c r="CR228" t="str">
        <f t="shared" si="189"/>
        <v>R508</v>
      </c>
      <c r="CS228" t="s">
        <v>706</v>
      </c>
      <c r="CT228" t="s">
        <v>706</v>
      </c>
      <c r="CU228" t="s">
        <v>706</v>
      </c>
      <c r="CV228" t="b">
        <f t="shared" si="202"/>
        <v>1</v>
      </c>
      <c r="DC228" t="str">
        <f t="shared" si="190"/>
        <v>G532</v>
      </c>
      <c r="DD228" t="b">
        <f t="shared" si="203"/>
        <v>0</v>
      </c>
      <c r="DE228" t="str">
        <f t="shared" si="204"/>
        <v>G532</v>
      </c>
      <c r="DF228" t="str">
        <f t="shared" si="191"/>
        <v>R508</v>
      </c>
      <c r="DG228" t="b">
        <f t="shared" si="205"/>
        <v>0</v>
      </c>
      <c r="DH228" t="str">
        <f t="shared" si="206"/>
        <v>R508</v>
      </c>
    </row>
    <row r="229" spans="2:112" ht="12" customHeight="1">
      <c r="B229" t="str">
        <f>TBIDry!H301</f>
        <v>G164</v>
      </c>
      <c r="C229" t="str">
        <f>TBIDry!I301</f>
        <v>R286</v>
      </c>
      <c r="D229" t="b">
        <f t="shared" si="158"/>
        <v>0</v>
      </c>
      <c r="E229" t="b">
        <f t="shared" si="159"/>
        <v>0</v>
      </c>
      <c r="G229" t="str">
        <f>TBIWet!H301</f>
        <v>G634</v>
      </c>
      <c r="H229" t="str">
        <f>TBIWet!I301</f>
        <v>R59</v>
      </c>
      <c r="I229" t="b">
        <f t="shared" si="160"/>
        <v>0</v>
      </c>
      <c r="J229" t="b">
        <f t="shared" si="161"/>
        <v>0</v>
      </c>
      <c r="L229" t="str">
        <f>'Both teabags AfterWet'!A227</f>
        <v>G658</v>
      </c>
      <c r="M229" t="str">
        <f>'Both teabags AfterWet'!A647</f>
        <v>R437</v>
      </c>
      <c r="N229" t="b">
        <f t="shared" si="162"/>
        <v>0</v>
      </c>
      <c r="O229" t="b">
        <f t="shared" si="207"/>
        <v>0</v>
      </c>
      <c r="Q229" s="395" t="b">
        <f t="shared" si="163"/>
        <v>0</v>
      </c>
      <c r="R229" s="395" t="b">
        <f t="shared" si="164"/>
        <v>0</v>
      </c>
      <c r="T229" t="str">
        <f>'Both teabags AfterDry'!A227</f>
        <v>G45</v>
      </c>
      <c r="U229" t="str">
        <f>'Both teabags AfterDry'!A562</f>
        <v>R714</v>
      </c>
      <c r="V229" t="b">
        <f t="shared" si="165"/>
        <v>0</v>
      </c>
      <c r="W229" t="b">
        <f t="shared" si="192"/>
        <v>0</v>
      </c>
      <c r="Y229" t="str">
        <f>'Green_rooibos initial weight'!A230</f>
        <v>G226</v>
      </c>
      <c r="Z229" t="str">
        <f>'Green_rooibos initial weight'!A1134</f>
        <v>R226</v>
      </c>
      <c r="AA229" t="b">
        <f t="shared" si="166"/>
        <v>0</v>
      </c>
      <c r="AB229" t="b">
        <f t="shared" si="167"/>
        <v>0</v>
      </c>
      <c r="AE229" t="str">
        <f>'WetLitterbags placem_collection'!O8</f>
        <v>G634</v>
      </c>
      <c r="AF229" t="str">
        <f>'WetLitterbags placem_collection'!Q8</f>
        <v>R59</v>
      </c>
      <c r="AG229" t="b">
        <f t="shared" si="168"/>
        <v>0</v>
      </c>
      <c r="AH229" t="b">
        <f t="shared" si="169"/>
        <v>0</v>
      </c>
      <c r="AJ229" t="b">
        <f t="shared" si="170"/>
        <v>0</v>
      </c>
      <c r="AK229" t="b">
        <f t="shared" si="171"/>
        <v>0</v>
      </c>
      <c r="AM229" t="str">
        <f>IF(ISBLANK('Dry_Litterbag Placem_Collection'!L8),"","G"&amp;""&amp;'Dry_Litterbag Placem_Collection'!L8)</f>
        <v>G164</v>
      </c>
      <c r="AN229" t="str">
        <f>IF(ISBLANK('Dry_Litterbag Placem_Collection'!M8),"","R"&amp;""&amp;'Dry_Litterbag Placem_Collection'!M8)</f>
        <v>R286</v>
      </c>
      <c r="AO229" t="b">
        <f t="shared" si="172"/>
        <v>0</v>
      </c>
      <c r="AP229" t="b">
        <f t="shared" si="173"/>
        <v>0</v>
      </c>
      <c r="AS229" t="str">
        <f>'Ashed teabags dry'!A227</f>
        <v>G45</v>
      </c>
      <c r="AT229" t="str">
        <f>'Ashed teabags dry'!A562</f>
        <v>R714</v>
      </c>
      <c r="AU229" t="b">
        <f t="shared" si="174"/>
        <v>0</v>
      </c>
      <c r="AV229" t="b">
        <f>COUNTIF($AT$4:$AT$2000, AT229)&gt;1</f>
        <v>0</v>
      </c>
      <c r="AX229" s="395" t="b">
        <f t="shared" si="175"/>
        <v>0</v>
      </c>
      <c r="AY229" s="395" t="b">
        <f t="shared" si="176"/>
        <v>0</v>
      </c>
      <c r="BA229" t="str">
        <f>'Ashed teabags wet'!A227</f>
        <v>G658</v>
      </c>
      <c r="BB229" t="str">
        <f>'Ashed teabags wet'!A647</f>
        <v>R437</v>
      </c>
      <c r="BC229" t="b">
        <f t="shared" si="177"/>
        <v>0</v>
      </c>
      <c r="BD229" t="b">
        <f t="shared" si="157"/>
        <v>0</v>
      </c>
      <c r="BF229" t="str">
        <f t="shared" si="178"/>
        <v>G444</v>
      </c>
      <c r="BG229" t="str">
        <f>T228</f>
        <v>G444</v>
      </c>
      <c r="BH229" t="str">
        <f t="shared" si="179"/>
        <v>G734</v>
      </c>
      <c r="BI229" t="str">
        <f t="shared" si="193"/>
        <v/>
      </c>
      <c r="BJ229" t="s">
        <v>1606</v>
      </c>
      <c r="BK229" t="s">
        <v>1606</v>
      </c>
      <c r="BL229" t="s">
        <v>1606</v>
      </c>
      <c r="BM229" t="b">
        <f t="shared" si="194"/>
        <v>1</v>
      </c>
      <c r="BN229" t="str">
        <f t="shared" si="180"/>
        <v>R713</v>
      </c>
      <c r="BO229" t="str">
        <f>U228</f>
        <v>R713</v>
      </c>
      <c r="BP229" t="str">
        <f t="shared" si="181"/>
        <v>R226</v>
      </c>
      <c r="BQ229" t="str">
        <f t="shared" si="182"/>
        <v/>
      </c>
      <c r="BR229" t="s">
        <v>426</v>
      </c>
      <c r="BS229" t="s">
        <v>425</v>
      </c>
      <c r="BT229" t="s">
        <v>426</v>
      </c>
      <c r="BU229" t="b">
        <f t="shared" si="195"/>
        <v>1</v>
      </c>
      <c r="BZ229" t="str">
        <f t="shared" si="183"/>
        <v>G734</v>
      </c>
      <c r="CA229" t="b">
        <f t="shared" si="184"/>
        <v>1</v>
      </c>
      <c r="CB229" t="str">
        <f t="shared" si="196"/>
        <v/>
      </c>
      <c r="CC229" t="str">
        <f t="shared" si="185"/>
        <v>R226</v>
      </c>
      <c r="CD229" t="b">
        <f t="shared" si="197"/>
        <v>1</v>
      </c>
      <c r="CE229" t="str">
        <f t="shared" si="198"/>
        <v/>
      </c>
      <c r="CG229" t="str">
        <f t="shared" si="186"/>
        <v>G657</v>
      </c>
      <c r="CH229" t="str">
        <f t="shared" si="199"/>
        <v>G657</v>
      </c>
      <c r="CI229" t="str">
        <f>AE228</f>
        <v>G577</v>
      </c>
      <c r="CJ229" t="str">
        <f t="shared" si="187"/>
        <v>G577</v>
      </c>
      <c r="CK229" t="s">
        <v>1393</v>
      </c>
      <c r="CL229" t="s">
        <v>1393</v>
      </c>
      <c r="CM229" t="s">
        <v>1393</v>
      </c>
      <c r="CN229" t="b">
        <f t="shared" si="200"/>
        <v>1</v>
      </c>
      <c r="CO229" t="str">
        <f t="shared" si="188"/>
        <v>R436</v>
      </c>
      <c r="CP229" t="str">
        <f t="shared" si="201"/>
        <v>R436</v>
      </c>
      <c r="CQ229" t="str">
        <f>AF228</f>
        <v>R38</v>
      </c>
      <c r="CR229" t="str">
        <f t="shared" si="189"/>
        <v>R38</v>
      </c>
      <c r="CS229" t="s">
        <v>705</v>
      </c>
      <c r="CT229" t="s">
        <v>705</v>
      </c>
      <c r="CU229" t="s">
        <v>705</v>
      </c>
      <c r="CV229" t="b">
        <f t="shared" si="202"/>
        <v>1</v>
      </c>
      <c r="DC229" t="str">
        <f t="shared" si="190"/>
        <v>G577</v>
      </c>
      <c r="DD229" t="b">
        <f t="shared" si="203"/>
        <v>0</v>
      </c>
      <c r="DE229" t="str">
        <f t="shared" si="204"/>
        <v>G577</v>
      </c>
      <c r="DF229" t="str">
        <f t="shared" si="191"/>
        <v>R38</v>
      </c>
      <c r="DG229" t="b">
        <f t="shared" si="205"/>
        <v>0</v>
      </c>
      <c r="DH229" t="str">
        <f t="shared" si="206"/>
        <v>R38</v>
      </c>
    </row>
    <row r="230" spans="2:112" ht="12" customHeight="1">
      <c r="B230" t="str">
        <f>TBIDry!H302</f>
        <v>G776</v>
      </c>
      <c r="C230" t="str">
        <f>TBIDry!I302</f>
        <v>R210</v>
      </c>
      <c r="D230" t="b">
        <f t="shared" si="158"/>
        <v>0</v>
      </c>
      <c r="E230" t="b">
        <f t="shared" si="159"/>
        <v>0</v>
      </c>
      <c r="G230" t="str">
        <f>TBIWet!H302</f>
        <v>G665</v>
      </c>
      <c r="H230" t="str">
        <f>TBIWet!I302</f>
        <v>R398</v>
      </c>
      <c r="I230" t="b">
        <f t="shared" si="160"/>
        <v>0</v>
      </c>
      <c r="J230" t="b">
        <f t="shared" si="161"/>
        <v>0</v>
      </c>
      <c r="L230" t="str">
        <f>'Both teabags AfterWet'!A228</f>
        <v>G660</v>
      </c>
      <c r="M230" t="str">
        <f>'Both teabags AfterWet'!A648</f>
        <v>R438</v>
      </c>
      <c r="N230" t="b">
        <f t="shared" si="162"/>
        <v>0</v>
      </c>
      <c r="O230" t="b">
        <f t="shared" si="207"/>
        <v>0</v>
      </c>
      <c r="Q230" s="395" t="b">
        <f t="shared" si="163"/>
        <v>0</v>
      </c>
      <c r="R230" s="395" t="b">
        <f t="shared" si="164"/>
        <v>0</v>
      </c>
      <c r="T230" t="str">
        <f>'Both teabags AfterDry'!A228</f>
        <v>G455</v>
      </c>
      <c r="U230" t="str">
        <f>'Both teabags AfterDry'!A563</f>
        <v>R715</v>
      </c>
      <c r="V230" t="b">
        <f t="shared" si="165"/>
        <v>0</v>
      </c>
      <c r="W230" t="b">
        <f t="shared" si="192"/>
        <v>0</v>
      </c>
      <c r="Y230" t="str">
        <f>'Green_rooibos initial weight'!A231</f>
        <v>G227</v>
      </c>
      <c r="Z230" t="str">
        <f>'Green_rooibos initial weight'!A1135</f>
        <v>R227</v>
      </c>
      <c r="AA230" t="b">
        <f t="shared" si="166"/>
        <v>0</v>
      </c>
      <c r="AB230" t="b">
        <f t="shared" si="167"/>
        <v>0</v>
      </c>
      <c r="AE230" t="str">
        <f>'WetLitterbags placem_collection'!O9</f>
        <v>G665</v>
      </c>
      <c r="AF230" t="str">
        <f>'WetLitterbags placem_collection'!Q9</f>
        <v>R398</v>
      </c>
      <c r="AG230" t="b">
        <f t="shared" si="168"/>
        <v>0</v>
      </c>
      <c r="AH230" t="b">
        <f t="shared" si="169"/>
        <v>0</v>
      </c>
      <c r="AJ230" t="b">
        <f t="shared" si="170"/>
        <v>0</v>
      </c>
      <c r="AK230" t="b">
        <f t="shared" si="171"/>
        <v>0</v>
      </c>
      <c r="AM230" t="str">
        <f>IF(ISBLANK('Dry_Litterbag Placem_Collection'!L9),"","G"&amp;""&amp;'Dry_Litterbag Placem_Collection'!L9)</f>
        <v>G776</v>
      </c>
      <c r="AN230" t="str">
        <f>IF(ISBLANK('Dry_Litterbag Placem_Collection'!M9),"","R"&amp;""&amp;'Dry_Litterbag Placem_Collection'!M9)</f>
        <v>R210</v>
      </c>
      <c r="AO230" t="b">
        <f t="shared" si="172"/>
        <v>0</v>
      </c>
      <c r="AP230" t="b">
        <f t="shared" si="173"/>
        <v>0</v>
      </c>
      <c r="AS230" t="str">
        <f>'Ashed teabags dry'!A228</f>
        <v>G455</v>
      </c>
      <c r="AT230" t="str">
        <f>'Ashed teabags dry'!A563</f>
        <v>R715</v>
      </c>
      <c r="AU230" t="b">
        <f t="shared" si="174"/>
        <v>0</v>
      </c>
      <c r="AV230" t="b">
        <f>COUNTIF($AT$4:$AT$2000, AT230)&gt;1</f>
        <v>0</v>
      </c>
      <c r="AX230" s="395" t="b">
        <f t="shared" si="175"/>
        <v>0</v>
      </c>
      <c r="AY230" s="395" t="b">
        <f t="shared" si="176"/>
        <v>0</v>
      </c>
      <c r="BA230" t="str">
        <f>'Ashed teabags wet'!A228</f>
        <v>G660</v>
      </c>
      <c r="BB230" t="str">
        <f>'Ashed teabags wet'!A648</f>
        <v>R438</v>
      </c>
      <c r="BC230" t="b">
        <f t="shared" si="177"/>
        <v>0</v>
      </c>
      <c r="BD230" t="b">
        <f t="shared" si="157"/>
        <v>0</v>
      </c>
      <c r="BF230" t="str">
        <f t="shared" si="178"/>
        <v>G45</v>
      </c>
      <c r="BG230" t="str">
        <f>T229</f>
        <v>G45</v>
      </c>
      <c r="BH230" t="str">
        <f t="shared" si="179"/>
        <v>G164</v>
      </c>
      <c r="BI230" t="str">
        <f t="shared" si="193"/>
        <v/>
      </c>
      <c r="BJ230" t="s">
        <v>2005</v>
      </c>
      <c r="BK230" t="s">
        <v>2005</v>
      </c>
      <c r="BL230" t="s">
        <v>2005</v>
      </c>
      <c r="BM230" t="b">
        <f t="shared" si="194"/>
        <v>1</v>
      </c>
      <c r="BN230" t="str">
        <f t="shared" si="180"/>
        <v>R714</v>
      </c>
      <c r="BO230" t="str">
        <f>U229</f>
        <v>R714</v>
      </c>
      <c r="BP230" t="str">
        <f t="shared" si="181"/>
        <v>R286</v>
      </c>
      <c r="BQ230" t="str">
        <f t="shared" si="182"/>
        <v/>
      </c>
      <c r="BR230" t="s">
        <v>425</v>
      </c>
      <c r="BS230" t="s">
        <v>424</v>
      </c>
      <c r="BT230" t="s">
        <v>425</v>
      </c>
      <c r="BU230" t="b">
        <f t="shared" si="195"/>
        <v>1</v>
      </c>
      <c r="BZ230" t="str">
        <f t="shared" si="183"/>
        <v>G164</v>
      </c>
      <c r="CA230" t="b">
        <f t="shared" si="184"/>
        <v>1</v>
      </c>
      <c r="CB230" t="str">
        <f t="shared" si="196"/>
        <v/>
      </c>
      <c r="CC230" t="str">
        <f t="shared" si="185"/>
        <v>R286</v>
      </c>
      <c r="CD230" t="b">
        <f t="shared" si="197"/>
        <v>1</v>
      </c>
      <c r="CE230" t="str">
        <f t="shared" si="198"/>
        <v/>
      </c>
      <c r="CG230" t="str">
        <f t="shared" si="186"/>
        <v>G658</v>
      </c>
      <c r="CH230" t="str">
        <f t="shared" si="199"/>
        <v>G658</v>
      </c>
      <c r="CI230" t="str">
        <f>AE229</f>
        <v>G634</v>
      </c>
      <c r="CJ230" t="str">
        <f t="shared" si="187"/>
        <v>G634</v>
      </c>
      <c r="CK230" t="s">
        <v>1392</v>
      </c>
      <c r="CL230" t="s">
        <v>1392</v>
      </c>
      <c r="CM230" t="s">
        <v>1392</v>
      </c>
      <c r="CN230" t="b">
        <f t="shared" si="200"/>
        <v>1</v>
      </c>
      <c r="CO230" t="str">
        <f t="shared" si="188"/>
        <v>R437</v>
      </c>
      <c r="CP230" t="str">
        <f t="shared" si="201"/>
        <v>R437</v>
      </c>
      <c r="CQ230" t="str">
        <f>AF229</f>
        <v>R59</v>
      </c>
      <c r="CR230" t="str">
        <f t="shared" si="189"/>
        <v>R59</v>
      </c>
      <c r="CS230" t="s">
        <v>704</v>
      </c>
      <c r="CT230" t="s">
        <v>704</v>
      </c>
      <c r="CU230" t="s">
        <v>704</v>
      </c>
      <c r="CV230" t="b">
        <f t="shared" si="202"/>
        <v>1</v>
      </c>
      <c r="DC230" t="str">
        <f t="shared" si="190"/>
        <v>G634</v>
      </c>
      <c r="DD230" t="b">
        <f t="shared" si="203"/>
        <v>0</v>
      </c>
      <c r="DE230" t="str">
        <f t="shared" si="204"/>
        <v>G634</v>
      </c>
      <c r="DF230" t="str">
        <f t="shared" si="191"/>
        <v>R59</v>
      </c>
      <c r="DG230" t="b">
        <f t="shared" si="205"/>
        <v>0</v>
      </c>
      <c r="DH230" t="str">
        <f t="shared" si="206"/>
        <v>R59</v>
      </c>
    </row>
    <row r="231" spans="2:112" ht="12" customHeight="1">
      <c r="B231" t="str">
        <f>TBIDry!H303</f>
        <v>G23</v>
      </c>
      <c r="C231" t="str">
        <f>TBIDry!I303</f>
        <v>R213</v>
      </c>
      <c r="D231" t="b">
        <f t="shared" si="158"/>
        <v>0</v>
      </c>
      <c r="E231" t="b">
        <f t="shared" si="159"/>
        <v>0</v>
      </c>
      <c r="G231" t="str">
        <f>TBIWet!H303</f>
        <v>G701</v>
      </c>
      <c r="H231" t="str">
        <f>TBIWet!I303</f>
        <v>R512</v>
      </c>
      <c r="I231" t="b">
        <f t="shared" si="160"/>
        <v>0</v>
      </c>
      <c r="J231" t="b">
        <f t="shared" si="161"/>
        <v>0</v>
      </c>
      <c r="L231" t="str">
        <f>'Both teabags AfterWet'!A229</f>
        <v>G665</v>
      </c>
      <c r="M231" t="str">
        <f>'Both teabags AfterWet'!A649</f>
        <v>R44</v>
      </c>
      <c r="N231" t="b">
        <f t="shared" si="162"/>
        <v>0</v>
      </c>
      <c r="O231" t="b">
        <f t="shared" si="207"/>
        <v>0</v>
      </c>
      <c r="Q231" s="395" t="b">
        <f t="shared" si="163"/>
        <v>0</v>
      </c>
      <c r="R231" s="395" t="b">
        <f t="shared" si="164"/>
        <v>0</v>
      </c>
      <c r="T231" t="str">
        <f>'Both teabags AfterDry'!A229</f>
        <v>G46</v>
      </c>
      <c r="U231" t="str">
        <f>'Both teabags AfterDry'!A564</f>
        <v>R716</v>
      </c>
      <c r="V231" t="b">
        <f t="shared" si="165"/>
        <v>0</v>
      </c>
      <c r="W231" t="b">
        <f t="shared" si="192"/>
        <v>0</v>
      </c>
      <c r="Y231" t="str">
        <f>'Green_rooibos initial weight'!A232</f>
        <v>G228</v>
      </c>
      <c r="Z231" t="str">
        <f>'Green_rooibos initial weight'!A1136</f>
        <v>R228</v>
      </c>
      <c r="AA231" t="b">
        <f t="shared" si="166"/>
        <v>0</v>
      </c>
      <c r="AB231" t="b">
        <f t="shared" si="167"/>
        <v>0</v>
      </c>
      <c r="AE231" t="str">
        <f>'WetLitterbags placem_collection'!O10</f>
        <v>G701</v>
      </c>
      <c r="AF231" t="str">
        <f>'WetLitterbags placem_collection'!Q10</f>
        <v>R512</v>
      </c>
      <c r="AG231" t="b">
        <f t="shared" si="168"/>
        <v>0</v>
      </c>
      <c r="AH231" t="b">
        <f t="shared" si="169"/>
        <v>0</v>
      </c>
      <c r="AJ231" t="b">
        <f t="shared" si="170"/>
        <v>0</v>
      </c>
      <c r="AK231" t="b">
        <f t="shared" si="171"/>
        <v>0</v>
      </c>
      <c r="AM231" t="str">
        <f>IF(ISBLANK('Dry_Litterbag Placem_Collection'!L10),"","G"&amp;""&amp;'Dry_Litterbag Placem_Collection'!L10)</f>
        <v>G23</v>
      </c>
      <c r="AN231" t="str">
        <f>IF(ISBLANK('Dry_Litterbag Placem_Collection'!M10),"","R"&amp;""&amp;'Dry_Litterbag Placem_Collection'!M10)</f>
        <v>R213</v>
      </c>
      <c r="AO231" t="b">
        <f t="shared" si="172"/>
        <v>0</v>
      </c>
      <c r="AP231" t="b">
        <f t="shared" si="173"/>
        <v>0</v>
      </c>
      <c r="AS231" t="str">
        <f>'Ashed teabags dry'!A229</f>
        <v>G46</v>
      </c>
      <c r="AT231" t="str">
        <f>'Ashed teabags dry'!A564</f>
        <v>R716</v>
      </c>
      <c r="AU231" t="b">
        <f t="shared" si="174"/>
        <v>0</v>
      </c>
      <c r="AV231" t="b">
        <f>COUNTIF($AT$4:$AT$2000, AT231)&gt;1</f>
        <v>0</v>
      </c>
      <c r="AX231" s="395" t="b">
        <f t="shared" si="175"/>
        <v>0</v>
      </c>
      <c r="AY231" s="395" t="b">
        <f t="shared" si="176"/>
        <v>0</v>
      </c>
      <c r="BA231" t="str">
        <f>'Ashed teabags wet'!A229</f>
        <v>G665</v>
      </c>
      <c r="BB231" t="str">
        <f>'Ashed teabags wet'!A649</f>
        <v>R44</v>
      </c>
      <c r="BC231" t="b">
        <f t="shared" si="177"/>
        <v>0</v>
      </c>
      <c r="BD231" t="b">
        <f t="shared" si="157"/>
        <v>0</v>
      </c>
      <c r="BF231" t="str">
        <f t="shared" si="178"/>
        <v>G455</v>
      </c>
      <c r="BG231" t="str">
        <f>T230</f>
        <v>G455</v>
      </c>
      <c r="BH231" t="str">
        <f t="shared" si="179"/>
        <v>G776</v>
      </c>
      <c r="BI231" t="str">
        <f t="shared" si="193"/>
        <v>G776</v>
      </c>
      <c r="BJ231" t="s">
        <v>1595</v>
      </c>
      <c r="BK231" t="s">
        <v>1595</v>
      </c>
      <c r="BL231" t="s">
        <v>1595</v>
      </c>
      <c r="BM231" t="b">
        <f t="shared" si="194"/>
        <v>1</v>
      </c>
      <c r="BN231" t="str">
        <f t="shared" si="180"/>
        <v>R715</v>
      </c>
      <c r="BO231" t="str">
        <f>U230</f>
        <v>R715</v>
      </c>
      <c r="BP231" t="str">
        <f t="shared" si="181"/>
        <v>R210</v>
      </c>
      <c r="BQ231" t="str">
        <f t="shared" si="182"/>
        <v>R210</v>
      </c>
      <c r="BR231" t="s">
        <v>424</v>
      </c>
      <c r="BS231" t="s">
        <v>423</v>
      </c>
      <c r="BT231" t="s">
        <v>424</v>
      </c>
      <c r="BU231" t="b">
        <f t="shared" si="195"/>
        <v>1</v>
      </c>
      <c r="BZ231" t="str">
        <f t="shared" si="183"/>
        <v>G776</v>
      </c>
      <c r="CA231" t="b">
        <f t="shared" si="184"/>
        <v>0</v>
      </c>
      <c r="CB231" t="str">
        <f t="shared" si="196"/>
        <v>G776</v>
      </c>
      <c r="CC231" t="str">
        <f t="shared" si="185"/>
        <v>R210</v>
      </c>
      <c r="CD231" t="b">
        <f t="shared" si="197"/>
        <v>0</v>
      </c>
      <c r="CE231" t="str">
        <f t="shared" si="198"/>
        <v>R210</v>
      </c>
      <c r="CG231" t="str">
        <f t="shared" si="186"/>
        <v>G660</v>
      </c>
      <c r="CH231" t="str">
        <f t="shared" si="199"/>
        <v>G660</v>
      </c>
      <c r="CI231" t="str">
        <f>AE230</f>
        <v>G665</v>
      </c>
      <c r="CJ231" t="str">
        <f t="shared" si="187"/>
        <v>G665</v>
      </c>
      <c r="CK231" t="s">
        <v>1390</v>
      </c>
      <c r="CL231" t="s">
        <v>1390</v>
      </c>
      <c r="CM231" t="s">
        <v>1390</v>
      </c>
      <c r="CN231" t="b">
        <f t="shared" si="200"/>
        <v>1</v>
      </c>
      <c r="CO231" t="str">
        <f t="shared" si="188"/>
        <v>R438</v>
      </c>
      <c r="CP231" t="str">
        <f t="shared" si="201"/>
        <v>R438</v>
      </c>
      <c r="CQ231" t="str">
        <f>AF230</f>
        <v>R398</v>
      </c>
      <c r="CR231" t="str">
        <f t="shared" si="189"/>
        <v>R398</v>
      </c>
      <c r="CS231" t="s">
        <v>703</v>
      </c>
      <c r="CT231" t="s">
        <v>703</v>
      </c>
      <c r="CU231" t="s">
        <v>703</v>
      </c>
      <c r="CV231" t="b">
        <f t="shared" si="202"/>
        <v>1</v>
      </c>
      <c r="DC231" t="str">
        <f t="shared" si="190"/>
        <v>G665</v>
      </c>
      <c r="DD231" t="b">
        <f t="shared" si="203"/>
        <v>0</v>
      </c>
      <c r="DE231" t="str">
        <f t="shared" si="204"/>
        <v>G665</v>
      </c>
      <c r="DF231" t="str">
        <f t="shared" si="191"/>
        <v>R398</v>
      </c>
      <c r="DG231" t="b">
        <f t="shared" si="205"/>
        <v>0</v>
      </c>
      <c r="DH231" t="str">
        <f t="shared" si="206"/>
        <v>R398</v>
      </c>
    </row>
    <row r="232" spans="2:112" ht="12" customHeight="1">
      <c r="B232" t="str">
        <f>TBIDry!H304</f>
        <v>G570</v>
      </c>
      <c r="C232" t="str">
        <f>TBIDry!I304</f>
        <v>R704</v>
      </c>
      <c r="D232" t="b">
        <f t="shared" si="158"/>
        <v>0</v>
      </c>
      <c r="E232" t="b">
        <f t="shared" si="159"/>
        <v>0</v>
      </c>
      <c r="G232" t="str">
        <f>TBIWet!H304</f>
        <v>G476</v>
      </c>
      <c r="H232" t="str">
        <f>TBIWet!I304</f>
        <v>R101</v>
      </c>
      <c r="I232" t="b">
        <f t="shared" si="160"/>
        <v>0</v>
      </c>
      <c r="J232" t="b">
        <f t="shared" si="161"/>
        <v>0</v>
      </c>
      <c r="L232" t="str">
        <f>'Both teabags AfterWet'!A230</f>
        <v>G666</v>
      </c>
      <c r="M232" t="str">
        <f>'Both teabags AfterWet'!A650</f>
        <v>R440</v>
      </c>
      <c r="N232" t="b">
        <f t="shared" si="162"/>
        <v>0</v>
      </c>
      <c r="O232" t="b">
        <f t="shared" si="207"/>
        <v>0</v>
      </c>
      <c r="Q232" s="395" t="b">
        <f t="shared" si="163"/>
        <v>0</v>
      </c>
      <c r="R232" s="395" t="b">
        <f t="shared" si="164"/>
        <v>0</v>
      </c>
      <c r="T232" t="str">
        <f>'Both teabags AfterDry'!A230</f>
        <v>G464</v>
      </c>
      <c r="U232" t="str">
        <f>'Both teabags AfterDry'!A565</f>
        <v>R717</v>
      </c>
      <c r="V232" t="b">
        <f t="shared" si="165"/>
        <v>0</v>
      </c>
      <c r="W232" t="b">
        <f t="shared" si="192"/>
        <v>0</v>
      </c>
      <c r="Y232" t="str">
        <f>'Green_rooibos initial weight'!A233</f>
        <v>G229</v>
      </c>
      <c r="Z232" t="str">
        <f>'Green_rooibos initial weight'!A1137</f>
        <v>R229</v>
      </c>
      <c r="AA232" t="b">
        <f t="shared" si="166"/>
        <v>0</v>
      </c>
      <c r="AB232" t="b">
        <f t="shared" si="167"/>
        <v>0</v>
      </c>
      <c r="AE232" t="str">
        <f>'WetLitterbags placem_collection'!O11</f>
        <v>G476</v>
      </c>
      <c r="AF232" t="str">
        <f>'WetLitterbags placem_collection'!Q11</f>
        <v>R101</v>
      </c>
      <c r="AG232" t="b">
        <f t="shared" si="168"/>
        <v>0</v>
      </c>
      <c r="AH232" t="b">
        <f t="shared" si="169"/>
        <v>0</v>
      </c>
      <c r="AJ232" t="b">
        <f t="shared" si="170"/>
        <v>0</v>
      </c>
      <c r="AK232" t="b">
        <f t="shared" si="171"/>
        <v>0</v>
      </c>
      <c r="AM232" t="str">
        <f>IF(ISBLANK('Dry_Litterbag Placem_Collection'!L11),"","G"&amp;""&amp;'Dry_Litterbag Placem_Collection'!L11)</f>
        <v>G570</v>
      </c>
      <c r="AN232" t="str">
        <f>IF(ISBLANK('Dry_Litterbag Placem_Collection'!M11),"","R"&amp;""&amp;'Dry_Litterbag Placem_Collection'!M11)</f>
        <v>R704</v>
      </c>
      <c r="AO232" t="b">
        <f t="shared" si="172"/>
        <v>0</v>
      </c>
      <c r="AP232" t="b">
        <f t="shared" si="173"/>
        <v>0</v>
      </c>
      <c r="AS232" t="str">
        <f>'Ashed teabags dry'!A230</f>
        <v>G464</v>
      </c>
      <c r="AT232" t="str">
        <f>'Ashed teabags dry'!A565</f>
        <v>R717</v>
      </c>
      <c r="AU232" t="b">
        <f t="shared" si="174"/>
        <v>0</v>
      </c>
      <c r="AV232" t="b">
        <f>COUNTIF($AT$4:$AT$2000, AT232)&gt;1</f>
        <v>0</v>
      </c>
      <c r="AX232" s="395" t="b">
        <f t="shared" si="175"/>
        <v>0</v>
      </c>
      <c r="AY232" s="395" t="b">
        <f t="shared" si="176"/>
        <v>0</v>
      </c>
      <c r="BA232" t="str">
        <f>'Ashed teabags wet'!A230</f>
        <v>G666</v>
      </c>
      <c r="BB232" t="str">
        <f>'Ashed teabags wet'!A650</f>
        <v>R440</v>
      </c>
      <c r="BC232" t="b">
        <f t="shared" si="177"/>
        <v>0</v>
      </c>
      <c r="BD232" t="b">
        <f t="shared" si="157"/>
        <v>0</v>
      </c>
      <c r="BF232" t="str">
        <f t="shared" si="178"/>
        <v>G46</v>
      </c>
      <c r="BG232" t="str">
        <f>T231</f>
        <v>G46</v>
      </c>
      <c r="BH232" t="str">
        <f t="shared" si="179"/>
        <v>G23</v>
      </c>
      <c r="BI232" t="str">
        <f t="shared" si="193"/>
        <v>G23</v>
      </c>
      <c r="BJ232" t="s">
        <v>2004</v>
      </c>
      <c r="BK232" t="s">
        <v>2004</v>
      </c>
      <c r="BL232" t="s">
        <v>2004</v>
      </c>
      <c r="BM232" t="b">
        <f t="shared" si="194"/>
        <v>1</v>
      </c>
      <c r="BN232" t="str">
        <f t="shared" si="180"/>
        <v>R716</v>
      </c>
      <c r="BO232" t="str">
        <f>U231</f>
        <v>R716</v>
      </c>
      <c r="BP232" t="str">
        <f t="shared" si="181"/>
        <v>R213</v>
      </c>
      <c r="BQ232" t="str">
        <f t="shared" si="182"/>
        <v>R213</v>
      </c>
      <c r="BR232" t="s">
        <v>423</v>
      </c>
      <c r="BS232" t="s">
        <v>422</v>
      </c>
      <c r="BT232" t="s">
        <v>423</v>
      </c>
      <c r="BU232" t="b">
        <f t="shared" si="195"/>
        <v>1</v>
      </c>
      <c r="BZ232" t="str">
        <f t="shared" si="183"/>
        <v>G23</v>
      </c>
      <c r="CA232" t="b">
        <f t="shared" si="184"/>
        <v>0</v>
      </c>
      <c r="CB232" t="str">
        <f t="shared" si="196"/>
        <v>G23</v>
      </c>
      <c r="CC232" t="str">
        <f t="shared" si="185"/>
        <v>R213</v>
      </c>
      <c r="CD232" t="b">
        <f t="shared" si="197"/>
        <v>0</v>
      </c>
      <c r="CE232" t="str">
        <f t="shared" si="198"/>
        <v>R213</v>
      </c>
      <c r="CG232" t="str">
        <f t="shared" si="186"/>
        <v>G665</v>
      </c>
      <c r="CH232" t="str">
        <f t="shared" si="199"/>
        <v>G665</v>
      </c>
      <c r="CI232" t="str">
        <f>AE231</f>
        <v>G701</v>
      </c>
      <c r="CJ232" t="str">
        <f t="shared" si="187"/>
        <v>G701</v>
      </c>
      <c r="CK232" t="s">
        <v>1385</v>
      </c>
      <c r="CL232" t="s">
        <v>1385</v>
      </c>
      <c r="CM232" t="s">
        <v>1385</v>
      </c>
      <c r="CN232" t="b">
        <f t="shared" si="200"/>
        <v>1</v>
      </c>
      <c r="CO232" t="str">
        <f t="shared" si="188"/>
        <v>R44</v>
      </c>
      <c r="CP232" t="str">
        <f t="shared" si="201"/>
        <v>R44</v>
      </c>
      <c r="CQ232" t="str">
        <f>AF231</f>
        <v>R512</v>
      </c>
      <c r="CR232" t="str">
        <f t="shared" si="189"/>
        <v>R512</v>
      </c>
      <c r="CS232" t="s">
        <v>1097</v>
      </c>
      <c r="CT232" t="s">
        <v>1097</v>
      </c>
      <c r="CU232" t="s">
        <v>1097</v>
      </c>
      <c r="CV232" t="b">
        <f t="shared" si="202"/>
        <v>1</v>
      </c>
      <c r="DC232" t="str">
        <f t="shared" si="190"/>
        <v>G701</v>
      </c>
      <c r="DD232" t="b">
        <f t="shared" si="203"/>
        <v>0</v>
      </c>
      <c r="DE232" t="str">
        <f t="shared" si="204"/>
        <v>G701</v>
      </c>
      <c r="DF232" t="str">
        <f t="shared" si="191"/>
        <v>R512</v>
      </c>
      <c r="DG232" t="b">
        <f t="shared" si="205"/>
        <v>0</v>
      </c>
      <c r="DH232" t="str">
        <f t="shared" si="206"/>
        <v>R512</v>
      </c>
    </row>
    <row r="233" spans="2:112" ht="12" customHeight="1">
      <c r="B233" t="str">
        <f>TBIDry!H305</f>
        <v>G642</v>
      </c>
      <c r="C233" t="str">
        <f>TBIDry!I305</f>
        <v>R355</v>
      </c>
      <c r="D233" t="b">
        <f t="shared" si="158"/>
        <v>0</v>
      </c>
      <c r="E233" t="b">
        <f t="shared" si="159"/>
        <v>0</v>
      </c>
      <c r="G233" t="str">
        <f>TBIWet!H305</f>
        <v>G606</v>
      </c>
      <c r="H233" t="str">
        <f>TBIWet!I305</f>
        <v>R515</v>
      </c>
      <c r="I233" t="b">
        <f t="shared" si="160"/>
        <v>0</v>
      </c>
      <c r="J233" t="b">
        <f t="shared" si="161"/>
        <v>0</v>
      </c>
      <c r="L233" t="str">
        <f>'Both teabags AfterWet'!A231</f>
        <v>G667</v>
      </c>
      <c r="M233" t="str">
        <f>'Both teabags AfterWet'!A651</f>
        <v>R442</v>
      </c>
      <c r="N233" t="b">
        <f t="shared" si="162"/>
        <v>0</v>
      </c>
      <c r="O233" t="b">
        <f t="shared" si="207"/>
        <v>0</v>
      </c>
      <c r="Q233" s="395" t="b">
        <f t="shared" si="163"/>
        <v>0</v>
      </c>
      <c r="R233" s="395" t="b">
        <f t="shared" si="164"/>
        <v>0</v>
      </c>
      <c r="T233" t="str">
        <f>'Both teabags AfterDry'!A231</f>
        <v>G465</v>
      </c>
      <c r="U233" t="str">
        <f>'Both teabags AfterDry'!A566</f>
        <v>R718</v>
      </c>
      <c r="V233" t="b">
        <f t="shared" si="165"/>
        <v>0</v>
      </c>
      <c r="W233" t="b">
        <f t="shared" si="192"/>
        <v>0</v>
      </c>
      <c r="Y233" t="str">
        <f>'Green_rooibos initial weight'!A234</f>
        <v>G230</v>
      </c>
      <c r="Z233" t="str">
        <f>'Green_rooibos initial weight'!A1138</f>
        <v>R230</v>
      </c>
      <c r="AA233" t="b">
        <f t="shared" si="166"/>
        <v>0</v>
      </c>
      <c r="AB233" t="b">
        <f t="shared" si="167"/>
        <v>0</v>
      </c>
      <c r="AE233" t="str">
        <f>'WetLitterbags placem_collection'!O12</f>
        <v>G606</v>
      </c>
      <c r="AF233" t="str">
        <f>'WetLitterbags placem_collection'!Q12</f>
        <v>R515</v>
      </c>
      <c r="AG233" t="b">
        <f t="shared" si="168"/>
        <v>0</v>
      </c>
      <c r="AH233" t="b">
        <f t="shared" si="169"/>
        <v>0</v>
      </c>
      <c r="AJ233" t="b">
        <f t="shared" si="170"/>
        <v>0</v>
      </c>
      <c r="AK233" t="b">
        <f t="shared" si="171"/>
        <v>0</v>
      </c>
      <c r="AM233" t="str">
        <f>IF(ISBLANK('Dry_Litterbag Placem_Collection'!L12),"","G"&amp;""&amp;'Dry_Litterbag Placem_Collection'!L12)</f>
        <v>G642</v>
      </c>
      <c r="AN233" t="str">
        <f>IF(ISBLANK('Dry_Litterbag Placem_Collection'!M12),"","R"&amp;""&amp;'Dry_Litterbag Placem_Collection'!M12)</f>
        <v>R355</v>
      </c>
      <c r="AO233" t="b">
        <f t="shared" si="172"/>
        <v>0</v>
      </c>
      <c r="AP233" t="b">
        <f t="shared" si="173"/>
        <v>0</v>
      </c>
      <c r="AS233" t="str">
        <f>'Ashed teabags dry'!A231</f>
        <v>G465</v>
      </c>
      <c r="AT233" t="str">
        <f>'Ashed teabags dry'!A566</f>
        <v>R718</v>
      </c>
      <c r="AU233" t="b">
        <f t="shared" si="174"/>
        <v>0</v>
      </c>
      <c r="AV233" t="b">
        <f>COUNTIF($AT$4:$AT$2000, AT233)&gt;1</f>
        <v>0</v>
      </c>
      <c r="AX233" s="395" t="b">
        <f t="shared" si="175"/>
        <v>0</v>
      </c>
      <c r="AY233" s="395" t="b">
        <f t="shared" si="176"/>
        <v>0</v>
      </c>
      <c r="BA233" t="str">
        <f>'Ashed teabags wet'!A231</f>
        <v>G667</v>
      </c>
      <c r="BB233" t="str">
        <f>'Ashed teabags wet'!A651</f>
        <v>R442</v>
      </c>
      <c r="BC233" t="b">
        <f t="shared" si="177"/>
        <v>0</v>
      </c>
      <c r="BD233" t="b">
        <f t="shared" si="157"/>
        <v>0</v>
      </c>
      <c r="BF233" t="str">
        <f t="shared" si="178"/>
        <v>G464</v>
      </c>
      <c r="BG233" t="str">
        <f>T232</f>
        <v>G464</v>
      </c>
      <c r="BH233" t="str">
        <f t="shared" si="179"/>
        <v>G570</v>
      </c>
      <c r="BI233" t="str">
        <f t="shared" si="193"/>
        <v>G570</v>
      </c>
      <c r="BJ233" t="s">
        <v>1586</v>
      </c>
      <c r="BK233" t="s">
        <v>1586</v>
      </c>
      <c r="BL233" t="s">
        <v>1586</v>
      </c>
      <c r="BM233" t="b">
        <f t="shared" si="194"/>
        <v>1</v>
      </c>
      <c r="BN233" t="str">
        <f t="shared" si="180"/>
        <v>R717</v>
      </c>
      <c r="BO233" t="str">
        <f>U232</f>
        <v>R717</v>
      </c>
      <c r="BP233" t="str">
        <f t="shared" si="181"/>
        <v>R704</v>
      </c>
      <c r="BQ233" t="str">
        <f t="shared" si="182"/>
        <v>R704</v>
      </c>
      <c r="BR233" t="s">
        <v>422</v>
      </c>
      <c r="BS233" t="s">
        <v>421</v>
      </c>
      <c r="BT233" t="s">
        <v>422</v>
      </c>
      <c r="BU233" t="b">
        <f t="shared" si="195"/>
        <v>1</v>
      </c>
      <c r="BZ233" t="str">
        <f t="shared" si="183"/>
        <v>G570</v>
      </c>
      <c r="CA233" t="b">
        <f t="shared" si="184"/>
        <v>0</v>
      </c>
      <c r="CB233" t="str">
        <f t="shared" si="196"/>
        <v>G570</v>
      </c>
      <c r="CC233" t="str">
        <f t="shared" si="185"/>
        <v>R704</v>
      </c>
      <c r="CD233" t="b">
        <f t="shared" si="197"/>
        <v>0</v>
      </c>
      <c r="CE233" t="str">
        <f t="shared" si="198"/>
        <v>R704</v>
      </c>
      <c r="CG233" t="str">
        <f t="shared" si="186"/>
        <v>G666</v>
      </c>
      <c r="CH233" t="str">
        <f t="shared" si="199"/>
        <v>G666</v>
      </c>
      <c r="CI233" t="str">
        <f>AE232</f>
        <v>G476</v>
      </c>
      <c r="CJ233" t="str">
        <f t="shared" si="187"/>
        <v>G476</v>
      </c>
      <c r="CK233" t="s">
        <v>1384</v>
      </c>
      <c r="CL233" t="s">
        <v>1384</v>
      </c>
      <c r="CM233" t="s">
        <v>1384</v>
      </c>
      <c r="CN233" t="b">
        <f t="shared" si="200"/>
        <v>1</v>
      </c>
      <c r="CO233" t="str">
        <f t="shared" si="188"/>
        <v>R440</v>
      </c>
      <c r="CP233" t="str">
        <f t="shared" si="201"/>
        <v>R440</v>
      </c>
      <c r="CQ233" t="str">
        <f>AF232</f>
        <v>R101</v>
      </c>
      <c r="CR233" t="str">
        <f t="shared" si="189"/>
        <v>R101</v>
      </c>
      <c r="CS233" t="s">
        <v>701</v>
      </c>
      <c r="CT233" t="s">
        <v>701</v>
      </c>
      <c r="CU233" t="s">
        <v>701</v>
      </c>
      <c r="CV233" t="b">
        <f t="shared" si="202"/>
        <v>1</v>
      </c>
      <c r="DC233" t="str">
        <f t="shared" si="190"/>
        <v>G476</v>
      </c>
      <c r="DD233" t="b">
        <f t="shared" si="203"/>
        <v>0</v>
      </c>
      <c r="DE233" t="str">
        <f t="shared" si="204"/>
        <v>G476</v>
      </c>
      <c r="DF233" t="str">
        <f t="shared" si="191"/>
        <v>R101</v>
      </c>
      <c r="DG233" t="b">
        <f t="shared" si="205"/>
        <v>0</v>
      </c>
      <c r="DH233" t="str">
        <f t="shared" si="206"/>
        <v>R101</v>
      </c>
    </row>
    <row r="234" spans="2:112" ht="12" customHeight="1">
      <c r="B234" t="str">
        <f>TBIDry!H306</f>
        <v>G663</v>
      </c>
      <c r="C234" t="str">
        <f>TBIDry!I306</f>
        <v>R616</v>
      </c>
      <c r="D234" t="b">
        <f t="shared" si="158"/>
        <v>0</v>
      </c>
      <c r="E234" t="b">
        <f t="shared" si="159"/>
        <v>0</v>
      </c>
      <c r="G234" t="str">
        <f>TBIWet!H306</f>
        <v>G523</v>
      </c>
      <c r="H234" t="str">
        <f>TBIWet!I306</f>
        <v>R2</v>
      </c>
      <c r="I234" t="b">
        <f t="shared" si="160"/>
        <v>0</v>
      </c>
      <c r="J234" t="b">
        <f t="shared" si="161"/>
        <v>0</v>
      </c>
      <c r="L234" t="str">
        <f>'Both teabags AfterWet'!A232</f>
        <v>G668</v>
      </c>
      <c r="M234" t="str">
        <f>'Both teabags AfterWet'!A652</f>
        <v>R444</v>
      </c>
      <c r="N234" t="b">
        <f t="shared" si="162"/>
        <v>0</v>
      </c>
      <c r="O234" t="b">
        <f t="shared" si="207"/>
        <v>0</v>
      </c>
      <c r="Q234" s="395" t="b">
        <f t="shared" si="163"/>
        <v>0</v>
      </c>
      <c r="R234" s="395" t="b">
        <f t="shared" si="164"/>
        <v>0</v>
      </c>
      <c r="T234" t="str">
        <f>'Both teabags AfterDry'!A232</f>
        <v>G466</v>
      </c>
      <c r="U234" t="str">
        <f>'Both teabags AfterDry'!A567</f>
        <v>R720</v>
      </c>
      <c r="V234" t="b">
        <f t="shared" si="165"/>
        <v>0</v>
      </c>
      <c r="W234" t="b">
        <f t="shared" si="192"/>
        <v>0</v>
      </c>
      <c r="Y234" t="str">
        <f>'Green_rooibos initial weight'!A235</f>
        <v>G231</v>
      </c>
      <c r="Z234" t="str">
        <f>'Green_rooibos initial weight'!A1139</f>
        <v>R231</v>
      </c>
      <c r="AA234" t="b">
        <f t="shared" si="166"/>
        <v>0</v>
      </c>
      <c r="AB234" t="b">
        <f t="shared" si="167"/>
        <v>0</v>
      </c>
      <c r="AE234" t="str">
        <f>'WetLitterbags placem_collection'!O13</f>
        <v>G523</v>
      </c>
      <c r="AF234" t="str">
        <f>'WetLitterbags placem_collection'!Q13</f>
        <v>R2</v>
      </c>
      <c r="AG234" t="b">
        <f t="shared" si="168"/>
        <v>0</v>
      </c>
      <c r="AH234" t="b">
        <f t="shared" si="169"/>
        <v>0</v>
      </c>
      <c r="AJ234" t="b">
        <f t="shared" si="170"/>
        <v>0</v>
      </c>
      <c r="AK234" t="b">
        <f t="shared" si="171"/>
        <v>0</v>
      </c>
      <c r="AM234" t="str">
        <f>IF(ISBLANK('Dry_Litterbag Placem_Collection'!L13),"","G"&amp;""&amp;'Dry_Litterbag Placem_Collection'!L13)</f>
        <v>G663</v>
      </c>
      <c r="AN234" t="str">
        <f>IF(ISBLANK('Dry_Litterbag Placem_Collection'!M13),"","R"&amp;""&amp;'Dry_Litterbag Placem_Collection'!M13)</f>
        <v>R616</v>
      </c>
      <c r="AO234" t="b">
        <f t="shared" si="172"/>
        <v>0</v>
      </c>
      <c r="AP234" t="b">
        <f t="shared" si="173"/>
        <v>0</v>
      </c>
      <c r="AS234" t="str">
        <f>'Ashed teabags dry'!A232</f>
        <v>G466</v>
      </c>
      <c r="AT234" t="str">
        <f>'Ashed teabags dry'!A567</f>
        <v>R720</v>
      </c>
      <c r="AU234" t="b">
        <f t="shared" si="174"/>
        <v>0</v>
      </c>
      <c r="AV234" t="b">
        <f>COUNTIF($AT$4:$AT$2000, AT234)&gt;1</f>
        <v>0</v>
      </c>
      <c r="AX234" s="395" t="b">
        <f t="shared" si="175"/>
        <v>0</v>
      </c>
      <c r="AY234" s="395" t="b">
        <f t="shared" si="176"/>
        <v>0</v>
      </c>
      <c r="BA234" t="str">
        <f>'Ashed teabags wet'!A232</f>
        <v>G668</v>
      </c>
      <c r="BB234" t="str">
        <f>'Ashed teabags wet'!A652</f>
        <v>R444</v>
      </c>
      <c r="BC234" t="b">
        <f t="shared" si="177"/>
        <v>0</v>
      </c>
      <c r="BD234" t="b">
        <f t="shared" si="157"/>
        <v>0</v>
      </c>
      <c r="BF234" t="str">
        <f t="shared" si="178"/>
        <v>G465</v>
      </c>
      <c r="BG234" t="str">
        <f>T233</f>
        <v>G465</v>
      </c>
      <c r="BH234" t="str">
        <f t="shared" si="179"/>
        <v>G642</v>
      </c>
      <c r="BI234" t="str">
        <f t="shared" si="193"/>
        <v/>
      </c>
      <c r="BJ234" t="s">
        <v>1585</v>
      </c>
      <c r="BK234" t="s">
        <v>1585</v>
      </c>
      <c r="BL234" t="s">
        <v>1585</v>
      </c>
      <c r="BM234" t="b">
        <f t="shared" si="194"/>
        <v>1</v>
      </c>
      <c r="BN234" t="str">
        <f t="shared" si="180"/>
        <v>R718</v>
      </c>
      <c r="BO234" t="str">
        <f>U233</f>
        <v>R718</v>
      </c>
      <c r="BP234" t="str">
        <f t="shared" si="181"/>
        <v>R355</v>
      </c>
      <c r="BQ234" t="str">
        <f t="shared" si="182"/>
        <v/>
      </c>
      <c r="BR234" t="s">
        <v>421</v>
      </c>
      <c r="BS234" t="s">
        <v>419</v>
      </c>
      <c r="BT234" t="s">
        <v>421</v>
      </c>
      <c r="BU234" t="b">
        <f t="shared" si="195"/>
        <v>1</v>
      </c>
      <c r="BZ234" t="str">
        <f t="shared" si="183"/>
        <v>G642</v>
      </c>
      <c r="CA234" t="b">
        <f t="shared" si="184"/>
        <v>1</v>
      </c>
      <c r="CB234" t="str">
        <f t="shared" si="196"/>
        <v/>
      </c>
      <c r="CC234" t="str">
        <f t="shared" si="185"/>
        <v>R355</v>
      </c>
      <c r="CD234" t="b">
        <f t="shared" si="197"/>
        <v>1</v>
      </c>
      <c r="CE234" t="str">
        <f t="shared" si="198"/>
        <v/>
      </c>
      <c r="CG234" t="str">
        <f t="shared" si="186"/>
        <v>G667</v>
      </c>
      <c r="CH234" t="str">
        <f t="shared" si="199"/>
        <v>G667</v>
      </c>
      <c r="CI234" t="str">
        <f>AE233</f>
        <v>G606</v>
      </c>
      <c r="CJ234" t="str">
        <f t="shared" si="187"/>
        <v>G606</v>
      </c>
      <c r="CK234" t="s">
        <v>1383</v>
      </c>
      <c r="CL234" t="s">
        <v>1383</v>
      </c>
      <c r="CM234" t="s">
        <v>1383</v>
      </c>
      <c r="CN234" t="b">
        <f t="shared" si="200"/>
        <v>1</v>
      </c>
      <c r="CO234" t="str">
        <f t="shared" si="188"/>
        <v>R442</v>
      </c>
      <c r="CP234" t="str">
        <f t="shared" si="201"/>
        <v>R442</v>
      </c>
      <c r="CQ234" t="str">
        <f>AF233</f>
        <v>R515</v>
      </c>
      <c r="CR234" t="str">
        <f t="shared" si="189"/>
        <v>R515</v>
      </c>
      <c r="CS234" t="s">
        <v>699</v>
      </c>
      <c r="CT234" t="s">
        <v>699</v>
      </c>
      <c r="CU234" t="s">
        <v>699</v>
      </c>
      <c r="CV234" t="b">
        <f t="shared" si="202"/>
        <v>1</v>
      </c>
      <c r="DC234" t="str">
        <f t="shared" si="190"/>
        <v>G606</v>
      </c>
      <c r="DD234" t="b">
        <f t="shared" si="203"/>
        <v>0</v>
      </c>
      <c r="DE234" t="str">
        <f t="shared" si="204"/>
        <v>G606</v>
      </c>
      <c r="DF234" t="str">
        <f t="shared" si="191"/>
        <v>R515</v>
      </c>
      <c r="DG234" t="b">
        <f t="shared" si="205"/>
        <v>0</v>
      </c>
      <c r="DH234" t="str">
        <f t="shared" si="206"/>
        <v>R515</v>
      </c>
    </row>
    <row r="235" spans="2:112" ht="12" customHeight="1">
      <c r="B235" t="str">
        <f>TBIDry!H307</f>
        <v/>
      </c>
      <c r="C235" t="str">
        <f>TBIDry!I307</f>
        <v/>
      </c>
      <c r="D235" t="b">
        <f t="shared" si="158"/>
        <v>1</v>
      </c>
      <c r="E235" t="b">
        <f t="shared" si="159"/>
        <v>1</v>
      </c>
      <c r="G235" t="str">
        <f>TBIWet!H307</f>
        <v>G510</v>
      </c>
      <c r="H235" t="str">
        <f>TBIWet!I307</f>
        <v>R123</v>
      </c>
      <c r="I235" t="b">
        <f t="shared" si="160"/>
        <v>0</v>
      </c>
      <c r="J235" t="b">
        <f t="shared" si="161"/>
        <v>0</v>
      </c>
      <c r="L235" t="str">
        <f>'Both teabags AfterWet'!A233</f>
        <v>G669</v>
      </c>
      <c r="M235" t="str">
        <f>'Both teabags AfterWet'!A653</f>
        <v>R445</v>
      </c>
      <c r="N235" t="b">
        <f t="shared" si="162"/>
        <v>0</v>
      </c>
      <c r="O235" t="b">
        <f t="shared" si="207"/>
        <v>0</v>
      </c>
      <c r="Q235" s="395" t="b">
        <f t="shared" si="163"/>
        <v>0</v>
      </c>
      <c r="R235" s="395" t="b">
        <f t="shared" si="164"/>
        <v>0</v>
      </c>
      <c r="T235" t="str">
        <f>'Both teabags AfterDry'!A233</f>
        <v>G467</v>
      </c>
      <c r="U235" t="str">
        <f>'Both teabags AfterDry'!A568</f>
        <v>R721</v>
      </c>
      <c r="V235" t="b">
        <f t="shared" si="165"/>
        <v>0</v>
      </c>
      <c r="W235" t="b">
        <f t="shared" si="192"/>
        <v>0</v>
      </c>
      <c r="Y235" t="str">
        <f>'Green_rooibos initial weight'!A236</f>
        <v>G232</v>
      </c>
      <c r="Z235" t="str">
        <f>'Green_rooibos initial weight'!A1140</f>
        <v>R232</v>
      </c>
      <c r="AA235" t="b">
        <f t="shared" si="166"/>
        <v>0</v>
      </c>
      <c r="AB235" t="b">
        <f t="shared" si="167"/>
        <v>0</v>
      </c>
      <c r="AE235" t="str">
        <f>'WetLitterbags placem_collection'!O14</f>
        <v>G510</v>
      </c>
      <c r="AF235" t="str">
        <f>'WetLitterbags placem_collection'!Q14</f>
        <v>R123</v>
      </c>
      <c r="AG235" t="b">
        <f t="shared" si="168"/>
        <v>0</v>
      </c>
      <c r="AH235" t="b">
        <f t="shared" si="169"/>
        <v>0</v>
      </c>
      <c r="AJ235" t="b">
        <f t="shared" si="170"/>
        <v>0</v>
      </c>
      <c r="AK235" t="b">
        <f t="shared" si="171"/>
        <v>0</v>
      </c>
      <c r="AM235" t="str">
        <f>IF(ISBLANK('Dry_Litterbag Placem_Collection'!L14),"","G"&amp;""&amp;'Dry_Litterbag Placem_Collection'!L14)</f>
        <v/>
      </c>
      <c r="AN235" t="str">
        <f>IF(ISBLANK('Dry_Litterbag Placem_Collection'!M14),"","R"&amp;""&amp;'Dry_Litterbag Placem_Collection'!M14)</f>
        <v/>
      </c>
      <c r="AO235" t="b">
        <f t="shared" si="172"/>
        <v>1</v>
      </c>
      <c r="AP235" t="b">
        <f t="shared" si="173"/>
        <v>1</v>
      </c>
      <c r="AS235" t="str">
        <f>'Ashed teabags dry'!A233</f>
        <v>G467</v>
      </c>
      <c r="AT235" t="str">
        <f>'Ashed teabags dry'!A568</f>
        <v>R721</v>
      </c>
      <c r="AU235" t="b">
        <f t="shared" si="174"/>
        <v>0</v>
      </c>
      <c r="AV235" t="b">
        <f>COUNTIF($AT$4:$AT$2000, AT235)&gt;1</f>
        <v>0</v>
      </c>
      <c r="AX235" s="395" t="b">
        <f t="shared" si="175"/>
        <v>0</v>
      </c>
      <c r="AY235" s="395" t="b">
        <f t="shared" si="176"/>
        <v>0</v>
      </c>
      <c r="BA235" t="str">
        <f>'Ashed teabags wet'!A233</f>
        <v>G669</v>
      </c>
      <c r="BB235" t="str">
        <f>'Ashed teabags wet'!A653</f>
        <v>R445</v>
      </c>
      <c r="BC235" t="b">
        <f t="shared" si="177"/>
        <v>0</v>
      </c>
      <c r="BD235" t="b">
        <f t="shared" si="157"/>
        <v>0</v>
      </c>
      <c r="BF235" t="str">
        <f t="shared" si="178"/>
        <v>G466</v>
      </c>
      <c r="BG235" t="str">
        <f>T234</f>
        <v>G466</v>
      </c>
      <c r="BH235" t="str">
        <f t="shared" si="179"/>
        <v>G663</v>
      </c>
      <c r="BI235" t="str">
        <f t="shared" si="193"/>
        <v>G663</v>
      </c>
      <c r="BJ235" t="s">
        <v>1584</v>
      </c>
      <c r="BK235" t="s">
        <v>1584</v>
      </c>
      <c r="BL235" t="s">
        <v>1584</v>
      </c>
      <c r="BM235" t="b">
        <f t="shared" si="194"/>
        <v>1</v>
      </c>
      <c r="BN235" t="str">
        <f t="shared" si="180"/>
        <v>R720</v>
      </c>
      <c r="BO235" t="str">
        <f>U234</f>
        <v>R720</v>
      </c>
      <c r="BP235" t="str">
        <f t="shared" si="181"/>
        <v>R616</v>
      </c>
      <c r="BQ235" t="str">
        <f t="shared" si="182"/>
        <v>R616</v>
      </c>
      <c r="BR235" t="s">
        <v>419</v>
      </c>
      <c r="BS235" t="s">
        <v>418</v>
      </c>
      <c r="BT235" t="s">
        <v>419</v>
      </c>
      <c r="BU235" t="b">
        <f t="shared" si="195"/>
        <v>1</v>
      </c>
      <c r="BZ235" t="str">
        <f t="shared" si="183"/>
        <v>G663</v>
      </c>
      <c r="CA235" t="b">
        <f t="shared" si="184"/>
        <v>0</v>
      </c>
      <c r="CB235" t="str">
        <f t="shared" si="196"/>
        <v>G663</v>
      </c>
      <c r="CC235" t="str">
        <f t="shared" si="185"/>
        <v>R616</v>
      </c>
      <c r="CD235" t="b">
        <f t="shared" si="197"/>
        <v>0</v>
      </c>
      <c r="CE235" t="str">
        <f t="shared" si="198"/>
        <v>R616</v>
      </c>
      <c r="CG235" t="str">
        <f t="shared" si="186"/>
        <v>G668</v>
      </c>
      <c r="CH235" t="str">
        <f t="shared" si="199"/>
        <v>G668</v>
      </c>
      <c r="CI235" t="str">
        <f>AE234</f>
        <v>G523</v>
      </c>
      <c r="CJ235" t="str">
        <f t="shared" si="187"/>
        <v>G523</v>
      </c>
      <c r="CK235" t="s">
        <v>1382</v>
      </c>
      <c r="CL235" t="s">
        <v>1382</v>
      </c>
      <c r="CM235" t="s">
        <v>1382</v>
      </c>
      <c r="CN235" t="b">
        <f t="shared" si="200"/>
        <v>1</v>
      </c>
      <c r="CO235" t="str">
        <f t="shared" si="188"/>
        <v>R444</v>
      </c>
      <c r="CP235" t="str">
        <f t="shared" si="201"/>
        <v>R444</v>
      </c>
      <c r="CQ235" t="str">
        <f>AF234</f>
        <v>R2</v>
      </c>
      <c r="CR235" t="str">
        <f t="shared" si="189"/>
        <v>R2</v>
      </c>
      <c r="CS235" t="s">
        <v>697</v>
      </c>
      <c r="CT235" t="s">
        <v>697</v>
      </c>
      <c r="CU235" t="s">
        <v>697</v>
      </c>
      <c r="CV235" t="b">
        <f t="shared" si="202"/>
        <v>1</v>
      </c>
      <c r="DC235" t="str">
        <f t="shared" si="190"/>
        <v>G523</v>
      </c>
      <c r="DD235" t="b">
        <f t="shared" si="203"/>
        <v>0</v>
      </c>
      <c r="DE235" t="str">
        <f t="shared" si="204"/>
        <v>G523</v>
      </c>
      <c r="DF235" t="str">
        <f t="shared" si="191"/>
        <v>R2</v>
      </c>
      <c r="DG235" t="b">
        <f t="shared" si="205"/>
        <v>0</v>
      </c>
      <c r="DH235" t="str">
        <f t="shared" si="206"/>
        <v>R2</v>
      </c>
    </row>
    <row r="236" spans="2:112" ht="12" customHeight="1">
      <c r="B236" t="str">
        <f>TBIDry!H308</f>
        <v>G874</v>
      </c>
      <c r="C236" t="str">
        <f>TBIDry!I308</f>
        <v>R603</v>
      </c>
      <c r="D236" t="b">
        <f t="shared" si="158"/>
        <v>0</v>
      </c>
      <c r="E236" t="b">
        <f t="shared" si="159"/>
        <v>0</v>
      </c>
      <c r="G236" t="str">
        <f>TBIWet!H308</f>
        <v>G241</v>
      </c>
      <c r="H236" t="str">
        <f>TBIWet!I308</f>
        <v>R3</v>
      </c>
      <c r="I236" t="b">
        <f t="shared" si="160"/>
        <v>0</v>
      </c>
      <c r="J236" t="b">
        <f t="shared" si="161"/>
        <v>0</v>
      </c>
      <c r="L236" t="str">
        <f>'Both teabags AfterWet'!A234</f>
        <v>G670</v>
      </c>
      <c r="M236" t="str">
        <f>'Both teabags AfterWet'!A654</f>
        <v>R446</v>
      </c>
      <c r="N236" t="b">
        <f t="shared" si="162"/>
        <v>0</v>
      </c>
      <c r="O236" t="b">
        <f t="shared" si="207"/>
        <v>0</v>
      </c>
      <c r="Q236" s="395" t="b">
        <f t="shared" si="163"/>
        <v>0</v>
      </c>
      <c r="R236" s="395" t="b">
        <f t="shared" si="164"/>
        <v>0</v>
      </c>
      <c r="T236" t="str">
        <f>'Both teabags AfterDry'!A234</f>
        <v>G47</v>
      </c>
      <c r="U236" t="str">
        <f>'Both teabags AfterDry'!A569</f>
        <v>R722</v>
      </c>
      <c r="V236" t="b">
        <f t="shared" si="165"/>
        <v>0</v>
      </c>
      <c r="W236" t="b">
        <f t="shared" si="192"/>
        <v>0</v>
      </c>
      <c r="Y236" t="str">
        <f>'Green_rooibos initial weight'!A237</f>
        <v>G233</v>
      </c>
      <c r="Z236" t="str">
        <f>'Green_rooibos initial weight'!A1141</f>
        <v>R233</v>
      </c>
      <c r="AA236" t="b">
        <f t="shared" si="166"/>
        <v>0</v>
      </c>
      <c r="AB236" t="b">
        <f t="shared" si="167"/>
        <v>0</v>
      </c>
      <c r="AE236" t="str">
        <f>'WetLitterbags placem_collection'!O15</f>
        <v>G241</v>
      </c>
      <c r="AF236" t="str">
        <f>'WetLitterbags placem_collection'!Q15</f>
        <v>R3</v>
      </c>
      <c r="AG236" t="b">
        <f t="shared" si="168"/>
        <v>0</v>
      </c>
      <c r="AH236" t="b">
        <f t="shared" si="169"/>
        <v>0</v>
      </c>
      <c r="AJ236" t="b">
        <f t="shared" si="170"/>
        <v>0</v>
      </c>
      <c r="AK236" t="b">
        <f t="shared" si="171"/>
        <v>0</v>
      </c>
      <c r="AM236" t="str">
        <f>IF(ISBLANK('Dry_Litterbag Placem_Collection'!L15),"","G"&amp;""&amp;'Dry_Litterbag Placem_Collection'!L15)</f>
        <v>G874</v>
      </c>
      <c r="AN236" t="str">
        <f>IF(ISBLANK('Dry_Litterbag Placem_Collection'!M15),"","R"&amp;""&amp;'Dry_Litterbag Placem_Collection'!M15)</f>
        <v>R603</v>
      </c>
      <c r="AO236" t="b">
        <f t="shared" si="172"/>
        <v>0</v>
      </c>
      <c r="AP236" t="b">
        <f t="shared" si="173"/>
        <v>0</v>
      </c>
      <c r="AS236" t="str">
        <f>'Ashed teabags dry'!A234</f>
        <v>G47</v>
      </c>
      <c r="AT236" t="str">
        <f>'Ashed teabags dry'!A569</f>
        <v>R722</v>
      </c>
      <c r="AU236" t="b">
        <f t="shared" si="174"/>
        <v>0</v>
      </c>
      <c r="AV236" t="b">
        <f>COUNTIF($AT$4:$AT$2000, AT236)&gt;1</f>
        <v>0</v>
      </c>
      <c r="AX236" s="395" t="b">
        <f t="shared" si="175"/>
        <v>0</v>
      </c>
      <c r="AY236" s="395" t="b">
        <f t="shared" si="176"/>
        <v>0</v>
      </c>
      <c r="BA236" t="str">
        <f>'Ashed teabags wet'!A234</f>
        <v>G670</v>
      </c>
      <c r="BB236" t="str">
        <f>'Ashed teabags wet'!A654</f>
        <v>R446</v>
      </c>
      <c r="BC236" t="b">
        <f t="shared" si="177"/>
        <v>0</v>
      </c>
      <c r="BD236" t="b">
        <f t="shared" si="157"/>
        <v>0</v>
      </c>
      <c r="BF236" t="str">
        <f t="shared" si="178"/>
        <v>G467</v>
      </c>
      <c r="BG236" t="str">
        <f>T235</f>
        <v>G467</v>
      </c>
      <c r="BH236" t="str">
        <f t="shared" si="179"/>
        <v/>
      </c>
      <c r="BI236" t="str">
        <f t="shared" si="193"/>
        <v/>
      </c>
      <c r="BJ236" t="s">
        <v>1583</v>
      </c>
      <c r="BK236" t="s">
        <v>1583</v>
      </c>
      <c r="BL236" t="s">
        <v>1583</v>
      </c>
      <c r="BM236" t="b">
        <f t="shared" si="194"/>
        <v>1</v>
      </c>
      <c r="BN236" t="str">
        <f t="shared" si="180"/>
        <v>R721</v>
      </c>
      <c r="BO236" t="str">
        <f>U235</f>
        <v>R721</v>
      </c>
      <c r="BP236" t="str">
        <f t="shared" si="181"/>
        <v/>
      </c>
      <c r="BQ236" t="str">
        <f t="shared" si="182"/>
        <v/>
      </c>
      <c r="BR236" t="s">
        <v>418</v>
      </c>
      <c r="BS236" t="s">
        <v>417</v>
      </c>
      <c r="BT236" t="s">
        <v>418</v>
      </c>
      <c r="BU236" t="b">
        <f t="shared" si="195"/>
        <v>1</v>
      </c>
      <c r="BZ236" t="str">
        <f t="shared" si="183"/>
        <v/>
      </c>
      <c r="CA236" t="b">
        <f t="shared" si="184"/>
        <v>0</v>
      </c>
      <c r="CB236" t="str">
        <f t="shared" si="196"/>
        <v/>
      </c>
      <c r="CC236" t="str">
        <f t="shared" si="185"/>
        <v/>
      </c>
      <c r="CD236" t="b">
        <f t="shared" si="197"/>
        <v>0</v>
      </c>
      <c r="CE236" t="str">
        <f t="shared" si="198"/>
        <v/>
      </c>
      <c r="CG236" t="str">
        <f t="shared" si="186"/>
        <v>G669</v>
      </c>
      <c r="CH236" t="str">
        <f t="shared" si="199"/>
        <v>G669</v>
      </c>
      <c r="CI236" t="str">
        <f>AE235</f>
        <v>G510</v>
      </c>
      <c r="CJ236" t="str">
        <f t="shared" si="187"/>
        <v/>
      </c>
      <c r="CK236" t="s">
        <v>1381</v>
      </c>
      <c r="CL236" t="s">
        <v>1381</v>
      </c>
      <c r="CM236" t="s">
        <v>1381</v>
      </c>
      <c r="CN236" t="b">
        <f t="shared" si="200"/>
        <v>1</v>
      </c>
      <c r="CO236" t="str">
        <f t="shared" si="188"/>
        <v>R445</v>
      </c>
      <c r="CP236" t="str">
        <f t="shared" si="201"/>
        <v>R445</v>
      </c>
      <c r="CQ236" t="str">
        <f>AF235</f>
        <v>R123</v>
      </c>
      <c r="CR236" t="str">
        <f t="shared" si="189"/>
        <v/>
      </c>
      <c r="CS236" t="s">
        <v>696</v>
      </c>
      <c r="CT236" t="s">
        <v>696</v>
      </c>
      <c r="CU236" t="s">
        <v>696</v>
      </c>
      <c r="CV236" t="b">
        <f t="shared" si="202"/>
        <v>1</v>
      </c>
      <c r="DC236" t="str">
        <f t="shared" si="190"/>
        <v>G510</v>
      </c>
      <c r="DD236" t="b">
        <f t="shared" si="203"/>
        <v>1</v>
      </c>
      <c r="DE236" t="str">
        <f t="shared" si="204"/>
        <v/>
      </c>
      <c r="DF236" t="str">
        <f t="shared" si="191"/>
        <v>R123</v>
      </c>
      <c r="DG236" t="b">
        <f t="shared" si="205"/>
        <v>1</v>
      </c>
      <c r="DH236" t="str">
        <f t="shared" si="206"/>
        <v/>
      </c>
    </row>
    <row r="237" spans="2:112" ht="12" customHeight="1">
      <c r="B237" t="str">
        <f>TBIDry!H309</f>
        <v>G219</v>
      </c>
      <c r="C237" t="str">
        <f>TBIDry!I309</f>
        <v>R652</v>
      </c>
      <c r="D237" t="b">
        <f t="shared" si="158"/>
        <v>0</v>
      </c>
      <c r="E237" t="b">
        <f t="shared" si="159"/>
        <v>0</v>
      </c>
      <c r="G237" t="str">
        <f>TBIWet!H309</f>
        <v>G503</v>
      </c>
      <c r="H237" t="str">
        <f>TBIWet!I309</f>
        <v>R282</v>
      </c>
      <c r="I237" t="b">
        <f t="shared" si="160"/>
        <v>0</v>
      </c>
      <c r="J237" t="b">
        <f t="shared" si="161"/>
        <v>0</v>
      </c>
      <c r="L237" t="str">
        <f>'Both teabags AfterWet'!A235</f>
        <v>G673</v>
      </c>
      <c r="M237" t="str">
        <f>'Both teabags AfterWet'!A655</f>
        <v>R447</v>
      </c>
      <c r="N237" t="b">
        <f t="shared" si="162"/>
        <v>0</v>
      </c>
      <c r="O237" t="b">
        <f t="shared" si="207"/>
        <v>0</v>
      </c>
      <c r="Q237" s="395" t="b">
        <f t="shared" si="163"/>
        <v>0</v>
      </c>
      <c r="R237" s="395" t="b">
        <f t="shared" si="164"/>
        <v>0</v>
      </c>
      <c r="T237" t="str">
        <f>'Both teabags AfterDry'!A235</f>
        <v>G473</v>
      </c>
      <c r="U237" t="str">
        <f>'Both teabags AfterDry'!A570</f>
        <v>R723</v>
      </c>
      <c r="V237" t="b">
        <f t="shared" si="165"/>
        <v>0</v>
      </c>
      <c r="W237" t="b">
        <f t="shared" si="192"/>
        <v>0</v>
      </c>
      <c r="Y237" t="str">
        <f>'Green_rooibos initial weight'!A238</f>
        <v>G234</v>
      </c>
      <c r="Z237" t="str">
        <f>'Green_rooibos initial weight'!A1142</f>
        <v>R234</v>
      </c>
      <c r="AA237" t="b">
        <f t="shared" si="166"/>
        <v>0</v>
      </c>
      <c r="AB237" t="b">
        <f t="shared" si="167"/>
        <v>0</v>
      </c>
      <c r="AE237" t="str">
        <f>'WetLitterbags placem_collection'!O16</f>
        <v>G503</v>
      </c>
      <c r="AF237" t="str">
        <f>'WetLitterbags placem_collection'!Q16</f>
        <v>R282</v>
      </c>
      <c r="AG237" t="b">
        <f t="shared" si="168"/>
        <v>0</v>
      </c>
      <c r="AH237" t="b">
        <f t="shared" si="169"/>
        <v>0</v>
      </c>
      <c r="AJ237" t="b">
        <f t="shared" si="170"/>
        <v>0</v>
      </c>
      <c r="AK237" t="b">
        <f t="shared" si="171"/>
        <v>0</v>
      </c>
      <c r="AM237" t="str">
        <f>IF(ISBLANK('Dry_Litterbag Placem_Collection'!L16),"","G"&amp;""&amp;'Dry_Litterbag Placem_Collection'!L16)</f>
        <v>G219</v>
      </c>
      <c r="AN237" t="str">
        <f>IF(ISBLANK('Dry_Litterbag Placem_Collection'!M16),"","R"&amp;""&amp;'Dry_Litterbag Placem_Collection'!M16)</f>
        <v>R652</v>
      </c>
      <c r="AO237" t="b">
        <f t="shared" si="172"/>
        <v>0</v>
      </c>
      <c r="AP237" t="b">
        <f t="shared" si="173"/>
        <v>0</v>
      </c>
      <c r="AS237" t="str">
        <f>'Ashed teabags dry'!A235</f>
        <v>G473</v>
      </c>
      <c r="AT237" t="str">
        <f>'Ashed teabags dry'!A570</f>
        <v>R723</v>
      </c>
      <c r="AU237" t="b">
        <f t="shared" si="174"/>
        <v>0</v>
      </c>
      <c r="AV237" t="b">
        <f>COUNTIF($AT$4:$AT$2000, AT237)&gt;1</f>
        <v>0</v>
      </c>
      <c r="AX237" s="395" t="b">
        <f t="shared" si="175"/>
        <v>0</v>
      </c>
      <c r="AY237" s="395" t="b">
        <f t="shared" si="176"/>
        <v>0</v>
      </c>
      <c r="BA237" t="str">
        <f>'Ashed teabags wet'!A235</f>
        <v>G673</v>
      </c>
      <c r="BB237" t="str">
        <f>'Ashed teabags wet'!A655</f>
        <v>R447</v>
      </c>
      <c r="BC237" t="b">
        <f t="shared" si="177"/>
        <v>0</v>
      </c>
      <c r="BD237" t="b">
        <f t="shared" si="157"/>
        <v>0</v>
      </c>
      <c r="BF237" t="str">
        <f t="shared" si="178"/>
        <v>G47</v>
      </c>
      <c r="BG237" t="str">
        <f>T236</f>
        <v>G47</v>
      </c>
      <c r="BH237" t="str">
        <f t="shared" si="179"/>
        <v>G874</v>
      </c>
      <c r="BI237" t="str">
        <f t="shared" si="193"/>
        <v>G874</v>
      </c>
      <c r="BJ237" t="s">
        <v>2003</v>
      </c>
      <c r="BK237" t="s">
        <v>2003</v>
      </c>
      <c r="BL237" t="s">
        <v>2003</v>
      </c>
      <c r="BM237" t="b">
        <f t="shared" si="194"/>
        <v>1</v>
      </c>
      <c r="BN237" t="str">
        <f t="shared" si="180"/>
        <v>R722</v>
      </c>
      <c r="BO237" t="str">
        <f>U236</f>
        <v>R722</v>
      </c>
      <c r="BP237" t="str">
        <f t="shared" si="181"/>
        <v>R603</v>
      </c>
      <c r="BQ237" t="str">
        <f t="shared" si="182"/>
        <v>R603</v>
      </c>
      <c r="BR237" t="s">
        <v>417</v>
      </c>
      <c r="BS237" t="s">
        <v>416</v>
      </c>
      <c r="BT237" t="s">
        <v>417</v>
      </c>
      <c r="BU237" t="b">
        <f t="shared" si="195"/>
        <v>1</v>
      </c>
      <c r="BZ237" t="str">
        <f t="shared" si="183"/>
        <v>G874</v>
      </c>
      <c r="CA237" t="b">
        <f t="shared" si="184"/>
        <v>0</v>
      </c>
      <c r="CB237" t="str">
        <f t="shared" si="196"/>
        <v>G874</v>
      </c>
      <c r="CC237" t="str">
        <f t="shared" si="185"/>
        <v>R603</v>
      </c>
      <c r="CD237" t="b">
        <f t="shared" si="197"/>
        <v>0</v>
      </c>
      <c r="CE237" t="str">
        <f t="shared" si="198"/>
        <v>R603</v>
      </c>
      <c r="CG237" t="str">
        <f t="shared" si="186"/>
        <v>G670</v>
      </c>
      <c r="CH237" t="str">
        <f t="shared" si="199"/>
        <v>G670</v>
      </c>
      <c r="CI237" t="str">
        <f>AE236</f>
        <v>G241</v>
      </c>
      <c r="CJ237" t="str">
        <f t="shared" si="187"/>
        <v>G241</v>
      </c>
      <c r="CK237" t="s">
        <v>1380</v>
      </c>
      <c r="CL237" t="s">
        <v>1380</v>
      </c>
      <c r="CM237" t="s">
        <v>1380</v>
      </c>
      <c r="CN237" t="b">
        <f t="shared" si="200"/>
        <v>1</v>
      </c>
      <c r="CO237" t="str">
        <f t="shared" si="188"/>
        <v>R446</v>
      </c>
      <c r="CP237" t="str">
        <f t="shared" si="201"/>
        <v>R446</v>
      </c>
      <c r="CQ237" t="str">
        <f>AF236</f>
        <v>R3</v>
      </c>
      <c r="CR237" t="str">
        <f t="shared" si="189"/>
        <v>R3</v>
      </c>
      <c r="CS237" t="s">
        <v>695</v>
      </c>
      <c r="CT237" t="s">
        <v>695</v>
      </c>
      <c r="CU237" t="s">
        <v>695</v>
      </c>
      <c r="CV237" t="b">
        <f t="shared" si="202"/>
        <v>1</v>
      </c>
      <c r="DC237" t="str">
        <f t="shared" si="190"/>
        <v>G241</v>
      </c>
      <c r="DD237" t="b">
        <f t="shared" si="203"/>
        <v>0</v>
      </c>
      <c r="DE237" t="str">
        <f t="shared" si="204"/>
        <v>G241</v>
      </c>
      <c r="DF237" t="str">
        <f t="shared" si="191"/>
        <v>R3</v>
      </c>
      <c r="DG237" t="b">
        <f t="shared" si="205"/>
        <v>0</v>
      </c>
      <c r="DH237" t="str">
        <f t="shared" si="206"/>
        <v>R3</v>
      </c>
    </row>
    <row r="238" spans="2:112" ht="12" customHeight="1">
      <c r="B238" t="str">
        <f>TBIDry!H310</f>
        <v>G630</v>
      </c>
      <c r="C238" t="str">
        <f>TBIDry!I310</f>
        <v>R304</v>
      </c>
      <c r="D238" t="b">
        <f t="shared" si="158"/>
        <v>0</v>
      </c>
      <c r="E238" t="b">
        <f t="shared" si="159"/>
        <v>0</v>
      </c>
      <c r="G238" t="str">
        <f>TBIWet!H310</f>
        <v>G685</v>
      </c>
      <c r="H238" t="str">
        <f>TBIWet!I310</f>
        <v>R99</v>
      </c>
      <c r="I238" t="b">
        <f t="shared" si="160"/>
        <v>0</v>
      </c>
      <c r="J238" t="b">
        <f t="shared" si="161"/>
        <v>0</v>
      </c>
      <c r="L238" t="str">
        <f>'Both teabags AfterWet'!A236</f>
        <v>G674</v>
      </c>
      <c r="M238" t="str">
        <f>'Both teabags AfterWet'!A656</f>
        <v>R448</v>
      </c>
      <c r="N238" t="b">
        <f t="shared" si="162"/>
        <v>0</v>
      </c>
      <c r="O238" t="b">
        <f t="shared" si="207"/>
        <v>0</v>
      </c>
      <c r="Q238" s="395" t="b">
        <f t="shared" si="163"/>
        <v>0</v>
      </c>
      <c r="R238" s="395" t="b">
        <f t="shared" si="164"/>
        <v>0</v>
      </c>
      <c r="T238" t="str">
        <f>'Both teabags AfterDry'!A236</f>
        <v>G48</v>
      </c>
      <c r="U238" t="str">
        <f>'Both teabags AfterDry'!A571</f>
        <v>R725</v>
      </c>
      <c r="V238" t="b">
        <f t="shared" si="165"/>
        <v>0</v>
      </c>
      <c r="W238" t="b">
        <f t="shared" si="192"/>
        <v>0</v>
      </c>
      <c r="Y238" t="str">
        <f>'Green_rooibos initial weight'!A239</f>
        <v>G235</v>
      </c>
      <c r="Z238" t="str">
        <f>'Green_rooibos initial weight'!A1143</f>
        <v>R235</v>
      </c>
      <c r="AA238" t="b">
        <f t="shared" si="166"/>
        <v>0</v>
      </c>
      <c r="AB238" t="b">
        <f t="shared" si="167"/>
        <v>0</v>
      </c>
      <c r="AE238" t="str">
        <f>'WetLitterbags placem_collection'!O17</f>
        <v>G685</v>
      </c>
      <c r="AF238" t="str">
        <f>'WetLitterbags placem_collection'!Q17</f>
        <v>R99</v>
      </c>
      <c r="AG238" t="b">
        <f t="shared" si="168"/>
        <v>0</v>
      </c>
      <c r="AH238" t="b">
        <f t="shared" si="169"/>
        <v>0</v>
      </c>
      <c r="AJ238" t="b">
        <f t="shared" si="170"/>
        <v>0</v>
      </c>
      <c r="AK238" t="b">
        <f t="shared" si="171"/>
        <v>0</v>
      </c>
      <c r="AM238" t="str">
        <f>IF(ISBLANK('Dry_Litterbag Placem_Collection'!L17),"","G"&amp;""&amp;'Dry_Litterbag Placem_Collection'!L17)</f>
        <v>G630</v>
      </c>
      <c r="AN238" t="str">
        <f>IF(ISBLANK('Dry_Litterbag Placem_Collection'!M17),"","R"&amp;""&amp;'Dry_Litterbag Placem_Collection'!M17)</f>
        <v>R304</v>
      </c>
      <c r="AO238" t="b">
        <f t="shared" si="172"/>
        <v>0</v>
      </c>
      <c r="AP238" t="b">
        <f t="shared" si="173"/>
        <v>0</v>
      </c>
      <c r="AS238" t="str">
        <f>'Ashed teabags dry'!A236</f>
        <v>G48</v>
      </c>
      <c r="AT238" t="str">
        <f>'Ashed teabags dry'!A571</f>
        <v>R725</v>
      </c>
      <c r="AU238" t="b">
        <f t="shared" si="174"/>
        <v>0</v>
      </c>
      <c r="AV238" t="b">
        <f>COUNTIF($AT$4:$AT$2000, AT238)&gt;1</f>
        <v>0</v>
      </c>
      <c r="AX238" s="395" t="b">
        <f t="shared" si="175"/>
        <v>0</v>
      </c>
      <c r="AY238" s="395" t="b">
        <f t="shared" si="176"/>
        <v>0</v>
      </c>
      <c r="BA238" t="str">
        <f>'Ashed teabags wet'!A236</f>
        <v>G674</v>
      </c>
      <c r="BB238" t="str">
        <f>'Ashed teabags wet'!A656</f>
        <v>R448</v>
      </c>
      <c r="BC238" t="b">
        <f t="shared" si="177"/>
        <v>0</v>
      </c>
      <c r="BD238" t="b">
        <f t="shared" si="157"/>
        <v>0</v>
      </c>
      <c r="BF238" t="str">
        <f t="shared" si="178"/>
        <v>G473</v>
      </c>
      <c r="BG238" t="str">
        <f>T237</f>
        <v>G473</v>
      </c>
      <c r="BH238" t="str">
        <f t="shared" si="179"/>
        <v>G219</v>
      </c>
      <c r="BI238" t="str">
        <f t="shared" si="193"/>
        <v>G219</v>
      </c>
      <c r="BJ238" t="s">
        <v>1577</v>
      </c>
      <c r="BK238" t="s">
        <v>1577</v>
      </c>
      <c r="BL238" t="s">
        <v>1577</v>
      </c>
      <c r="BM238" t="b">
        <f t="shared" si="194"/>
        <v>1</v>
      </c>
      <c r="BN238" t="str">
        <f t="shared" si="180"/>
        <v>R723</v>
      </c>
      <c r="BO238" t="str">
        <f>U237</f>
        <v>R723</v>
      </c>
      <c r="BP238" t="str">
        <f t="shared" si="181"/>
        <v>R652</v>
      </c>
      <c r="BQ238" t="str">
        <f t="shared" si="182"/>
        <v>R652</v>
      </c>
      <c r="BR238" t="s">
        <v>416</v>
      </c>
      <c r="BS238" t="s">
        <v>414</v>
      </c>
      <c r="BT238" t="s">
        <v>416</v>
      </c>
      <c r="BU238" t="b">
        <f t="shared" si="195"/>
        <v>1</v>
      </c>
      <c r="BZ238" t="str">
        <f t="shared" si="183"/>
        <v>G219</v>
      </c>
      <c r="CA238" t="b">
        <f t="shared" si="184"/>
        <v>0</v>
      </c>
      <c r="CB238" t="str">
        <f t="shared" si="196"/>
        <v>G219</v>
      </c>
      <c r="CC238" t="str">
        <f t="shared" si="185"/>
        <v>R652</v>
      </c>
      <c r="CD238" t="b">
        <f t="shared" si="197"/>
        <v>0</v>
      </c>
      <c r="CE238" t="str">
        <f t="shared" si="198"/>
        <v>R652</v>
      </c>
      <c r="CG238" t="str">
        <f t="shared" si="186"/>
        <v>G673</v>
      </c>
      <c r="CH238" t="str">
        <f t="shared" si="199"/>
        <v>G673</v>
      </c>
      <c r="CI238" t="str">
        <f>AE237</f>
        <v>G503</v>
      </c>
      <c r="CJ238" t="str">
        <f t="shared" si="187"/>
        <v>G503</v>
      </c>
      <c r="CK238" t="s">
        <v>1377</v>
      </c>
      <c r="CL238" t="s">
        <v>1377</v>
      </c>
      <c r="CM238" t="s">
        <v>1377</v>
      </c>
      <c r="CN238" t="b">
        <f t="shared" si="200"/>
        <v>1</v>
      </c>
      <c r="CO238" t="str">
        <f t="shared" si="188"/>
        <v>R447</v>
      </c>
      <c r="CP238" t="str">
        <f t="shared" si="201"/>
        <v>R447</v>
      </c>
      <c r="CQ238" t="str">
        <f>AF237</f>
        <v>R282</v>
      </c>
      <c r="CR238" t="str">
        <f t="shared" si="189"/>
        <v>R282</v>
      </c>
      <c r="CS238" t="s">
        <v>694</v>
      </c>
      <c r="CT238" t="s">
        <v>694</v>
      </c>
      <c r="CU238" t="s">
        <v>694</v>
      </c>
      <c r="CV238" t="b">
        <f t="shared" si="202"/>
        <v>1</v>
      </c>
      <c r="DC238" t="str">
        <f t="shared" si="190"/>
        <v>G503</v>
      </c>
      <c r="DD238" t="b">
        <f t="shared" si="203"/>
        <v>0</v>
      </c>
      <c r="DE238" t="str">
        <f t="shared" si="204"/>
        <v>G503</v>
      </c>
      <c r="DF238" t="str">
        <f t="shared" si="191"/>
        <v>R282</v>
      </c>
      <c r="DG238" t="b">
        <f t="shared" si="205"/>
        <v>0</v>
      </c>
      <c r="DH238" t="str">
        <f t="shared" si="206"/>
        <v>R282</v>
      </c>
    </row>
    <row r="239" spans="2:112" ht="12" customHeight="1">
      <c r="B239" t="str">
        <f>TBIDry!H311</f>
        <v>G662</v>
      </c>
      <c r="C239" t="str">
        <f>TBIDry!I311</f>
        <v>R687</v>
      </c>
      <c r="D239" t="b">
        <f t="shared" si="158"/>
        <v>0</v>
      </c>
      <c r="E239" t="b">
        <f t="shared" si="159"/>
        <v>0</v>
      </c>
      <c r="G239" t="str">
        <f>TBIWet!H311</f>
        <v>G644</v>
      </c>
      <c r="H239" t="str">
        <f>TBIWet!I311</f>
        <v>R154</v>
      </c>
      <c r="I239" t="b">
        <f t="shared" si="160"/>
        <v>0</v>
      </c>
      <c r="J239" t="b">
        <f t="shared" si="161"/>
        <v>0</v>
      </c>
      <c r="L239" t="str">
        <f>'Both teabags AfterWet'!A237</f>
        <v>G675</v>
      </c>
      <c r="M239" t="str">
        <f>'Both teabags AfterWet'!A657</f>
        <v>R449</v>
      </c>
      <c r="N239" t="b">
        <f t="shared" si="162"/>
        <v>0</v>
      </c>
      <c r="O239" t="b">
        <f t="shared" si="207"/>
        <v>0</v>
      </c>
      <c r="Q239" s="395" t="b">
        <f t="shared" si="163"/>
        <v>0</v>
      </c>
      <c r="R239" s="395" t="b">
        <f t="shared" si="164"/>
        <v>0</v>
      </c>
      <c r="T239" t="str">
        <f>'Both teabags AfterDry'!A237</f>
        <v>G481</v>
      </c>
      <c r="U239" t="str">
        <f>'Both teabags AfterDry'!A572</f>
        <v>R726</v>
      </c>
      <c r="V239" t="b">
        <f t="shared" si="165"/>
        <v>0</v>
      </c>
      <c r="W239" t="b">
        <f t="shared" si="192"/>
        <v>0</v>
      </c>
      <c r="Y239" t="str">
        <f>'Green_rooibos initial weight'!A240</f>
        <v>G236</v>
      </c>
      <c r="Z239" t="str">
        <f>'Green_rooibos initial weight'!A1144</f>
        <v>R236</v>
      </c>
      <c r="AA239" t="b">
        <f t="shared" si="166"/>
        <v>0</v>
      </c>
      <c r="AB239" t="b">
        <f t="shared" si="167"/>
        <v>0</v>
      </c>
      <c r="AE239" t="str">
        <f>'WetLitterbags placem_collection'!O18</f>
        <v>G644</v>
      </c>
      <c r="AF239" t="str">
        <f>'WetLitterbags placem_collection'!Q18</f>
        <v>R154</v>
      </c>
      <c r="AG239" t="b">
        <f t="shared" si="168"/>
        <v>0</v>
      </c>
      <c r="AH239" t="b">
        <f t="shared" si="169"/>
        <v>0</v>
      </c>
      <c r="AJ239" t="b">
        <f t="shared" si="170"/>
        <v>0</v>
      </c>
      <c r="AK239" t="b">
        <f t="shared" si="171"/>
        <v>0</v>
      </c>
      <c r="AM239" t="str">
        <f>IF(ISBLANK('Dry_Litterbag Placem_Collection'!L18),"","G"&amp;""&amp;'Dry_Litterbag Placem_Collection'!L18)</f>
        <v>G662</v>
      </c>
      <c r="AN239" t="str">
        <f>IF(ISBLANK('Dry_Litterbag Placem_Collection'!M18),"","R"&amp;""&amp;'Dry_Litterbag Placem_Collection'!M18)</f>
        <v>R687</v>
      </c>
      <c r="AO239" t="b">
        <f t="shared" si="172"/>
        <v>0</v>
      </c>
      <c r="AP239" t="b">
        <f t="shared" si="173"/>
        <v>0</v>
      </c>
      <c r="AS239" t="str">
        <f>'Ashed teabags dry'!A237</f>
        <v>G481</v>
      </c>
      <c r="AT239" t="str">
        <f>'Ashed teabags dry'!A572</f>
        <v>R726</v>
      </c>
      <c r="AU239" t="b">
        <f t="shared" si="174"/>
        <v>0</v>
      </c>
      <c r="AV239" t="b">
        <f>COUNTIF($AT$4:$AT$2000, AT239)&gt;1</f>
        <v>0</v>
      </c>
      <c r="AX239" s="395" t="b">
        <f t="shared" si="175"/>
        <v>0</v>
      </c>
      <c r="AY239" s="395" t="b">
        <f t="shared" si="176"/>
        <v>0</v>
      </c>
      <c r="BA239" t="str">
        <f>'Ashed teabags wet'!A237</f>
        <v>G675</v>
      </c>
      <c r="BB239" t="str">
        <f>'Ashed teabags wet'!A657</f>
        <v>R449</v>
      </c>
      <c r="BC239" t="b">
        <f t="shared" si="177"/>
        <v>0</v>
      </c>
      <c r="BD239" t="b">
        <f t="shared" si="157"/>
        <v>0</v>
      </c>
      <c r="BF239" t="str">
        <f t="shared" si="178"/>
        <v>G48</v>
      </c>
      <c r="BG239" t="str">
        <f>T238</f>
        <v>G48</v>
      </c>
      <c r="BH239" t="str">
        <f t="shared" si="179"/>
        <v>G630</v>
      </c>
      <c r="BI239" t="str">
        <f t="shared" si="193"/>
        <v>G630</v>
      </c>
      <c r="BJ239" t="s">
        <v>2002</v>
      </c>
      <c r="BK239" t="s">
        <v>2002</v>
      </c>
      <c r="BL239" t="s">
        <v>2002</v>
      </c>
      <c r="BM239" t="b">
        <f t="shared" si="194"/>
        <v>1</v>
      </c>
      <c r="BN239" t="str">
        <f t="shared" si="180"/>
        <v>R725</v>
      </c>
      <c r="BO239" t="str">
        <f>U238</f>
        <v>R725</v>
      </c>
      <c r="BP239" t="str">
        <f t="shared" si="181"/>
        <v>R304</v>
      </c>
      <c r="BQ239" t="str">
        <f t="shared" si="182"/>
        <v>R304</v>
      </c>
      <c r="BR239" t="s">
        <v>414</v>
      </c>
      <c r="BS239" t="s">
        <v>413</v>
      </c>
      <c r="BT239" t="s">
        <v>414</v>
      </c>
      <c r="BU239" t="b">
        <f t="shared" si="195"/>
        <v>1</v>
      </c>
      <c r="BZ239" t="str">
        <f t="shared" si="183"/>
        <v>G630</v>
      </c>
      <c r="CA239" t="b">
        <f t="shared" si="184"/>
        <v>0</v>
      </c>
      <c r="CB239" t="str">
        <f t="shared" si="196"/>
        <v>G630</v>
      </c>
      <c r="CC239" t="str">
        <f t="shared" si="185"/>
        <v>R304</v>
      </c>
      <c r="CD239" t="b">
        <f t="shared" si="197"/>
        <v>0</v>
      </c>
      <c r="CE239" t="str">
        <f t="shared" si="198"/>
        <v>R304</v>
      </c>
      <c r="CG239" t="str">
        <f t="shared" si="186"/>
        <v>G674</v>
      </c>
      <c r="CH239" t="str">
        <f t="shared" si="199"/>
        <v>G674</v>
      </c>
      <c r="CI239" t="str">
        <f>AE238</f>
        <v>G685</v>
      </c>
      <c r="CJ239" t="str">
        <f t="shared" si="187"/>
        <v>G685</v>
      </c>
      <c r="CK239" t="s">
        <v>1376</v>
      </c>
      <c r="CL239" t="s">
        <v>1376</v>
      </c>
      <c r="CM239" t="s">
        <v>1376</v>
      </c>
      <c r="CN239" t="b">
        <f t="shared" si="200"/>
        <v>1</v>
      </c>
      <c r="CO239" t="str">
        <f t="shared" si="188"/>
        <v>R448</v>
      </c>
      <c r="CP239" t="str">
        <f t="shared" si="201"/>
        <v>R448</v>
      </c>
      <c r="CQ239" t="str">
        <f>AF238</f>
        <v>R99</v>
      </c>
      <c r="CR239" t="str">
        <f t="shared" si="189"/>
        <v>R99</v>
      </c>
      <c r="CS239" t="s">
        <v>693</v>
      </c>
      <c r="CT239" t="s">
        <v>693</v>
      </c>
      <c r="CU239" t="s">
        <v>693</v>
      </c>
      <c r="CV239" t="b">
        <f t="shared" si="202"/>
        <v>1</v>
      </c>
      <c r="DC239" t="str">
        <f t="shared" si="190"/>
        <v>G685</v>
      </c>
      <c r="DD239" t="b">
        <f t="shared" si="203"/>
        <v>0</v>
      </c>
      <c r="DE239" t="str">
        <f t="shared" si="204"/>
        <v>G685</v>
      </c>
      <c r="DF239" t="str">
        <f t="shared" si="191"/>
        <v>R99</v>
      </c>
      <c r="DG239" t="b">
        <f t="shared" si="205"/>
        <v>0</v>
      </c>
      <c r="DH239" t="str">
        <f t="shared" si="206"/>
        <v>R99</v>
      </c>
    </row>
    <row r="240" spans="2:112" ht="12" customHeight="1">
      <c r="B240" t="str">
        <f>TBIDry!H312</f>
        <v>G349</v>
      </c>
      <c r="C240" t="str">
        <f>TBIDry!I312</f>
        <v>R407</v>
      </c>
      <c r="D240" t="b">
        <f t="shared" si="158"/>
        <v>0</v>
      </c>
      <c r="E240" t="b">
        <f t="shared" si="159"/>
        <v>0</v>
      </c>
      <c r="G240" t="str">
        <f>TBIWet!H312</f>
        <v>G648</v>
      </c>
      <c r="H240" t="str">
        <f>TBIWet!I312</f>
        <v>R380</v>
      </c>
      <c r="I240" t="b">
        <f t="shared" si="160"/>
        <v>0</v>
      </c>
      <c r="J240" t="b">
        <f t="shared" si="161"/>
        <v>0</v>
      </c>
      <c r="L240" t="str">
        <f>'Both teabags AfterWet'!A238</f>
        <v>G676</v>
      </c>
      <c r="M240" t="str">
        <f>'Both teabags AfterWet'!A658</f>
        <v>R45</v>
      </c>
      <c r="N240" t="b">
        <f t="shared" si="162"/>
        <v>0</v>
      </c>
      <c r="O240" t="b">
        <f t="shared" si="207"/>
        <v>0</v>
      </c>
      <c r="Q240" s="395" t="b">
        <f t="shared" si="163"/>
        <v>0</v>
      </c>
      <c r="R240" s="395" t="b">
        <f t="shared" si="164"/>
        <v>0</v>
      </c>
      <c r="T240" t="str">
        <f>'Both teabags AfterDry'!A238</f>
        <v>G482</v>
      </c>
      <c r="U240" t="str">
        <f>'Both teabags AfterDry'!A573</f>
        <v>R727</v>
      </c>
      <c r="V240" t="b">
        <f t="shared" si="165"/>
        <v>0</v>
      </c>
      <c r="W240" t="b">
        <f t="shared" si="192"/>
        <v>0</v>
      </c>
      <c r="Y240" t="str">
        <f>'Green_rooibos initial weight'!A241</f>
        <v>G237</v>
      </c>
      <c r="Z240" t="str">
        <f>'Green_rooibos initial weight'!A1145</f>
        <v>R237</v>
      </c>
      <c r="AA240" t="b">
        <f t="shared" si="166"/>
        <v>0</v>
      </c>
      <c r="AB240" t="b">
        <f t="shared" si="167"/>
        <v>0</v>
      </c>
      <c r="AE240" t="str">
        <f>'WetLitterbags placem_collection'!O19</f>
        <v>G648</v>
      </c>
      <c r="AF240" t="str">
        <f>'WetLitterbags placem_collection'!Q19</f>
        <v>R380</v>
      </c>
      <c r="AG240" t="b">
        <f t="shared" si="168"/>
        <v>0</v>
      </c>
      <c r="AH240" t="b">
        <f t="shared" si="169"/>
        <v>0</v>
      </c>
      <c r="AJ240" t="b">
        <f t="shared" si="170"/>
        <v>0</v>
      </c>
      <c r="AK240" t="b">
        <f t="shared" si="171"/>
        <v>0</v>
      </c>
      <c r="AM240" t="str">
        <f>IF(ISBLANK('Dry_Litterbag Placem_Collection'!L19),"","G"&amp;""&amp;'Dry_Litterbag Placem_Collection'!L19)</f>
        <v>G349</v>
      </c>
      <c r="AN240" t="str">
        <f>IF(ISBLANK('Dry_Litterbag Placem_Collection'!M19),"","R"&amp;""&amp;'Dry_Litterbag Placem_Collection'!M19)</f>
        <v>R407</v>
      </c>
      <c r="AO240" t="b">
        <f t="shared" si="172"/>
        <v>0</v>
      </c>
      <c r="AP240" t="b">
        <f t="shared" si="173"/>
        <v>0</v>
      </c>
      <c r="AS240" t="str">
        <f>'Ashed teabags dry'!A238</f>
        <v>G482</v>
      </c>
      <c r="AT240" t="str">
        <f>'Ashed teabags dry'!A573</f>
        <v>R727</v>
      </c>
      <c r="AU240" t="b">
        <f t="shared" si="174"/>
        <v>0</v>
      </c>
      <c r="AV240" t="b">
        <f>COUNTIF($AT$4:$AT$2000, AT240)&gt;1</f>
        <v>0</v>
      </c>
      <c r="AX240" s="395" t="b">
        <f t="shared" si="175"/>
        <v>0</v>
      </c>
      <c r="AY240" s="395" t="b">
        <f t="shared" si="176"/>
        <v>0</v>
      </c>
      <c r="BA240" t="str">
        <f>'Ashed teabags wet'!A238</f>
        <v>G676</v>
      </c>
      <c r="BB240" t="str">
        <f>'Ashed teabags wet'!A658</f>
        <v>R45</v>
      </c>
      <c r="BC240" t="b">
        <f t="shared" si="177"/>
        <v>0</v>
      </c>
      <c r="BD240" t="b">
        <f t="shared" si="157"/>
        <v>0</v>
      </c>
      <c r="BF240" t="str">
        <f t="shared" si="178"/>
        <v>G481</v>
      </c>
      <c r="BG240" t="str">
        <f>T239</f>
        <v>G481</v>
      </c>
      <c r="BH240" t="str">
        <f t="shared" si="179"/>
        <v>G662</v>
      </c>
      <c r="BI240" t="str">
        <f t="shared" si="193"/>
        <v/>
      </c>
      <c r="BJ240" t="s">
        <v>1569</v>
      </c>
      <c r="BK240" t="s">
        <v>1569</v>
      </c>
      <c r="BL240" t="s">
        <v>1569</v>
      </c>
      <c r="BM240" t="b">
        <f t="shared" si="194"/>
        <v>1</v>
      </c>
      <c r="BN240" t="str">
        <f t="shared" si="180"/>
        <v>R726</v>
      </c>
      <c r="BO240" t="str">
        <f>U239</f>
        <v>R726</v>
      </c>
      <c r="BP240" t="str">
        <f t="shared" si="181"/>
        <v>R687</v>
      </c>
      <c r="BQ240" t="str">
        <f t="shared" si="182"/>
        <v/>
      </c>
      <c r="BR240" t="s">
        <v>413</v>
      </c>
      <c r="BS240" t="s">
        <v>412</v>
      </c>
      <c r="BT240" t="s">
        <v>413</v>
      </c>
      <c r="BU240" t="b">
        <f t="shared" si="195"/>
        <v>1</v>
      </c>
      <c r="BZ240" t="str">
        <f t="shared" si="183"/>
        <v>G662</v>
      </c>
      <c r="CA240" t="b">
        <f t="shared" si="184"/>
        <v>1</v>
      </c>
      <c r="CB240" t="str">
        <f t="shared" si="196"/>
        <v/>
      </c>
      <c r="CC240" t="str">
        <f t="shared" si="185"/>
        <v>R687</v>
      </c>
      <c r="CD240" t="b">
        <f t="shared" si="197"/>
        <v>1</v>
      </c>
      <c r="CE240" t="str">
        <f t="shared" si="198"/>
        <v/>
      </c>
      <c r="CG240" t="str">
        <f t="shared" si="186"/>
        <v>G675</v>
      </c>
      <c r="CH240" t="str">
        <f t="shared" si="199"/>
        <v>G675</v>
      </c>
      <c r="CI240" t="str">
        <f>AE239</f>
        <v>G644</v>
      </c>
      <c r="CJ240" t="str">
        <f t="shared" si="187"/>
        <v>G644</v>
      </c>
      <c r="CK240" t="s">
        <v>1375</v>
      </c>
      <c r="CL240" t="s">
        <v>1375</v>
      </c>
      <c r="CM240" t="s">
        <v>1375</v>
      </c>
      <c r="CN240" t="b">
        <f t="shared" si="200"/>
        <v>1</v>
      </c>
      <c r="CO240" t="str">
        <f t="shared" si="188"/>
        <v>R449</v>
      </c>
      <c r="CP240" t="str">
        <f t="shared" si="201"/>
        <v>R449</v>
      </c>
      <c r="CQ240" t="str">
        <f>AF239</f>
        <v>R154</v>
      </c>
      <c r="CR240" t="str">
        <f t="shared" si="189"/>
        <v>R154</v>
      </c>
      <c r="CS240" t="s">
        <v>692</v>
      </c>
      <c r="CT240" t="s">
        <v>692</v>
      </c>
      <c r="CU240" t="s">
        <v>692</v>
      </c>
      <c r="CV240" t="b">
        <f t="shared" si="202"/>
        <v>1</v>
      </c>
      <c r="DC240" t="str">
        <f t="shared" si="190"/>
        <v>G644</v>
      </c>
      <c r="DD240" t="b">
        <f t="shared" si="203"/>
        <v>0</v>
      </c>
      <c r="DE240" t="str">
        <f t="shared" si="204"/>
        <v>G644</v>
      </c>
      <c r="DF240" t="str">
        <f t="shared" si="191"/>
        <v>R154</v>
      </c>
      <c r="DG240" t="b">
        <f t="shared" si="205"/>
        <v>0</v>
      </c>
      <c r="DH240" t="str">
        <f t="shared" si="206"/>
        <v>R154</v>
      </c>
    </row>
    <row r="241" spans="2:112" ht="12" customHeight="1">
      <c r="B241" t="str">
        <f>TBIDry!H313</f>
        <v>G113</v>
      </c>
      <c r="C241" t="str">
        <f>TBIDry!I313</f>
        <v>R361</v>
      </c>
      <c r="D241" t="b">
        <f t="shared" si="158"/>
        <v>0</v>
      </c>
      <c r="E241" t="b">
        <f t="shared" si="159"/>
        <v>0</v>
      </c>
      <c r="G241" t="str">
        <f>TBIWet!H313</f>
        <v>G573</v>
      </c>
      <c r="H241" t="str">
        <f>TBIWet!I313</f>
        <v>R274</v>
      </c>
      <c r="I241" t="b">
        <f t="shared" si="160"/>
        <v>0</v>
      </c>
      <c r="J241" t="b">
        <f t="shared" si="161"/>
        <v>0</v>
      </c>
      <c r="L241" t="str">
        <f>'Both teabags AfterWet'!A239</f>
        <v>G677</v>
      </c>
      <c r="M241" t="str">
        <f>'Both teabags AfterWet'!A659</f>
        <v>R450</v>
      </c>
      <c r="N241" t="b">
        <f t="shared" si="162"/>
        <v>0</v>
      </c>
      <c r="O241" t="b">
        <f t="shared" si="207"/>
        <v>0</v>
      </c>
      <c r="Q241" s="395" t="b">
        <f t="shared" si="163"/>
        <v>0</v>
      </c>
      <c r="R241" s="395" t="b">
        <f t="shared" si="164"/>
        <v>0</v>
      </c>
      <c r="T241" t="str">
        <f>'Both teabags AfterDry'!A239</f>
        <v>G484</v>
      </c>
      <c r="U241" t="str">
        <f>'Both teabags AfterDry'!A574</f>
        <v>R728</v>
      </c>
      <c r="V241" t="b">
        <f t="shared" si="165"/>
        <v>0</v>
      </c>
      <c r="W241" t="b">
        <f t="shared" si="192"/>
        <v>0</v>
      </c>
      <c r="Y241" t="str">
        <f>'Green_rooibos initial weight'!A242</f>
        <v>G238</v>
      </c>
      <c r="Z241" t="str">
        <f>'Green_rooibos initial weight'!A1146</f>
        <v>R238</v>
      </c>
      <c r="AA241" t="b">
        <f t="shared" si="166"/>
        <v>0</v>
      </c>
      <c r="AB241" t="b">
        <f t="shared" si="167"/>
        <v>0</v>
      </c>
      <c r="AE241" t="str">
        <f>'WetLitterbags placem_collection'!O20</f>
        <v>G573</v>
      </c>
      <c r="AF241" t="str">
        <f>'WetLitterbags placem_collection'!Q20</f>
        <v>R274</v>
      </c>
      <c r="AG241" t="b">
        <f t="shared" si="168"/>
        <v>0</v>
      </c>
      <c r="AH241" t="b">
        <f t="shared" si="169"/>
        <v>0</v>
      </c>
      <c r="AJ241" t="b">
        <f t="shared" si="170"/>
        <v>0</v>
      </c>
      <c r="AK241" t="b">
        <f t="shared" si="171"/>
        <v>0</v>
      </c>
      <c r="AM241" t="str">
        <f>IF(ISBLANK('Dry_Litterbag Placem_Collection'!L20),"","G"&amp;""&amp;'Dry_Litterbag Placem_Collection'!L20)</f>
        <v>G113</v>
      </c>
      <c r="AN241" t="str">
        <f>IF(ISBLANK('Dry_Litterbag Placem_Collection'!M20),"","R"&amp;""&amp;'Dry_Litterbag Placem_Collection'!M20)</f>
        <v>R361</v>
      </c>
      <c r="AO241" t="b">
        <f t="shared" si="172"/>
        <v>0</v>
      </c>
      <c r="AP241" t="b">
        <f t="shared" si="173"/>
        <v>0</v>
      </c>
      <c r="AS241" t="str">
        <f>'Ashed teabags dry'!A239</f>
        <v>G484</v>
      </c>
      <c r="AT241" t="str">
        <f>'Ashed teabags dry'!A574</f>
        <v>R728</v>
      </c>
      <c r="AU241" t="b">
        <f t="shared" si="174"/>
        <v>0</v>
      </c>
      <c r="AV241" t="b">
        <f>COUNTIF($AT$4:$AT$2000, AT241)&gt;1</f>
        <v>0</v>
      </c>
      <c r="AX241" s="395" t="b">
        <f t="shared" si="175"/>
        <v>0</v>
      </c>
      <c r="AY241" s="395" t="b">
        <f t="shared" si="176"/>
        <v>0</v>
      </c>
      <c r="BA241" t="str">
        <f>'Ashed teabags wet'!A239</f>
        <v>G677</v>
      </c>
      <c r="BB241" t="str">
        <f>'Ashed teabags wet'!A659</f>
        <v>R450</v>
      </c>
      <c r="BC241" t="b">
        <f t="shared" si="177"/>
        <v>0</v>
      </c>
      <c r="BD241" t="b">
        <f t="shared" si="157"/>
        <v>0</v>
      </c>
      <c r="BF241" t="str">
        <f t="shared" si="178"/>
        <v>G482</v>
      </c>
      <c r="BG241" t="str">
        <f>T240</f>
        <v>G482</v>
      </c>
      <c r="BH241" t="str">
        <f t="shared" si="179"/>
        <v>G349</v>
      </c>
      <c r="BI241" t="str">
        <f t="shared" si="193"/>
        <v>G349</v>
      </c>
      <c r="BJ241" t="s">
        <v>1568</v>
      </c>
      <c r="BK241" t="s">
        <v>1568</v>
      </c>
      <c r="BL241" t="s">
        <v>1568</v>
      </c>
      <c r="BM241" t="b">
        <f t="shared" si="194"/>
        <v>1</v>
      </c>
      <c r="BN241" t="str">
        <f t="shared" si="180"/>
        <v>R727</v>
      </c>
      <c r="BO241" t="str">
        <f>U240</f>
        <v>R727</v>
      </c>
      <c r="BP241" t="str">
        <f t="shared" si="181"/>
        <v>R407</v>
      </c>
      <c r="BQ241" t="str">
        <f t="shared" si="182"/>
        <v>R407</v>
      </c>
      <c r="BR241" t="s">
        <v>412</v>
      </c>
      <c r="BS241" t="s">
        <v>411</v>
      </c>
      <c r="BT241" t="s">
        <v>412</v>
      </c>
      <c r="BU241" t="b">
        <f t="shared" si="195"/>
        <v>1</v>
      </c>
      <c r="BZ241" t="str">
        <f t="shared" si="183"/>
        <v>G349</v>
      </c>
      <c r="CA241" t="b">
        <f t="shared" si="184"/>
        <v>0</v>
      </c>
      <c r="CB241" t="str">
        <f t="shared" si="196"/>
        <v>G349</v>
      </c>
      <c r="CC241" t="str">
        <f t="shared" si="185"/>
        <v>R407</v>
      </c>
      <c r="CD241" t="b">
        <f t="shared" si="197"/>
        <v>0</v>
      </c>
      <c r="CE241" t="str">
        <f t="shared" si="198"/>
        <v>R407</v>
      </c>
      <c r="CG241" t="str">
        <f t="shared" si="186"/>
        <v>G676</v>
      </c>
      <c r="CH241" t="str">
        <f t="shared" si="199"/>
        <v>G676</v>
      </c>
      <c r="CI241" t="str">
        <f>AE240</f>
        <v>G648</v>
      </c>
      <c r="CJ241" t="str">
        <f t="shared" si="187"/>
        <v>G648</v>
      </c>
      <c r="CK241" t="s">
        <v>1374</v>
      </c>
      <c r="CL241" t="s">
        <v>1374</v>
      </c>
      <c r="CM241" t="s">
        <v>1374</v>
      </c>
      <c r="CN241" t="b">
        <f t="shared" si="200"/>
        <v>1</v>
      </c>
      <c r="CO241" t="str">
        <f t="shared" si="188"/>
        <v>R45</v>
      </c>
      <c r="CP241" t="str">
        <f t="shared" si="201"/>
        <v>R45</v>
      </c>
      <c r="CQ241" t="str">
        <f>AF240</f>
        <v>R380</v>
      </c>
      <c r="CR241" t="str">
        <f t="shared" si="189"/>
        <v>R380</v>
      </c>
      <c r="CS241" t="s">
        <v>1096</v>
      </c>
      <c r="CT241" t="s">
        <v>1096</v>
      </c>
      <c r="CU241" t="s">
        <v>1096</v>
      </c>
      <c r="CV241" t="b">
        <f t="shared" si="202"/>
        <v>1</v>
      </c>
      <c r="DC241" t="str">
        <f t="shared" si="190"/>
        <v>G648</v>
      </c>
      <c r="DD241" t="b">
        <f t="shared" si="203"/>
        <v>0</v>
      </c>
      <c r="DE241" t="str">
        <f t="shared" si="204"/>
        <v>G648</v>
      </c>
      <c r="DF241" t="str">
        <f t="shared" si="191"/>
        <v>R380</v>
      </c>
      <c r="DG241" t="b">
        <f t="shared" si="205"/>
        <v>0</v>
      </c>
      <c r="DH241" t="str">
        <f t="shared" si="206"/>
        <v>R380</v>
      </c>
    </row>
    <row r="242" spans="2:112" ht="12" customHeight="1">
      <c r="B242" t="str">
        <f>TBIDry!H314</f>
        <v>G394</v>
      </c>
      <c r="C242" t="str">
        <f>TBIDry!I314</f>
        <v>R280</v>
      </c>
      <c r="D242" t="b">
        <f t="shared" si="158"/>
        <v>0</v>
      </c>
      <c r="E242" t="b">
        <f t="shared" si="159"/>
        <v>0</v>
      </c>
      <c r="G242" t="str">
        <f>TBIWet!H314</f>
        <v>G639</v>
      </c>
      <c r="H242" t="str">
        <f>TBIWet!I314</f>
        <v>R566</v>
      </c>
      <c r="I242" t="b">
        <f t="shared" si="160"/>
        <v>0</v>
      </c>
      <c r="J242" t="b">
        <f t="shared" si="161"/>
        <v>0</v>
      </c>
      <c r="L242" t="str">
        <f>'Both teabags AfterWet'!A240</f>
        <v>G678</v>
      </c>
      <c r="M242" t="str">
        <f>'Both teabags AfterWet'!A660</f>
        <v>R451</v>
      </c>
      <c r="N242" t="b">
        <f t="shared" si="162"/>
        <v>0</v>
      </c>
      <c r="O242" t="b">
        <f t="shared" si="207"/>
        <v>0</v>
      </c>
      <c r="Q242" s="395" t="b">
        <f t="shared" si="163"/>
        <v>0</v>
      </c>
      <c r="R242" s="395" t="b">
        <f t="shared" si="164"/>
        <v>0</v>
      </c>
      <c r="T242" t="str">
        <f>'Both teabags AfterDry'!A240</f>
        <v>G485</v>
      </c>
      <c r="U242" t="str">
        <f>'Both teabags AfterDry'!A575</f>
        <v>R729</v>
      </c>
      <c r="V242" t="b">
        <f t="shared" si="165"/>
        <v>0</v>
      </c>
      <c r="W242" t="b">
        <f t="shared" si="192"/>
        <v>0</v>
      </c>
      <c r="Y242" t="str">
        <f>'Green_rooibos initial weight'!A243</f>
        <v>G239</v>
      </c>
      <c r="Z242" t="str">
        <f>'Green_rooibos initial weight'!A1147</f>
        <v>R239</v>
      </c>
      <c r="AA242" t="b">
        <f t="shared" si="166"/>
        <v>0</v>
      </c>
      <c r="AB242" t="b">
        <f t="shared" si="167"/>
        <v>0</v>
      </c>
      <c r="AE242" t="str">
        <f>'WetLitterbags placem_collection'!O21</f>
        <v>G639</v>
      </c>
      <c r="AF242" t="str">
        <f>'WetLitterbags placem_collection'!Q21</f>
        <v>R566</v>
      </c>
      <c r="AG242" t="b">
        <f t="shared" si="168"/>
        <v>0</v>
      </c>
      <c r="AH242" t="b">
        <f t="shared" si="169"/>
        <v>0</v>
      </c>
      <c r="AJ242" t="b">
        <f t="shared" si="170"/>
        <v>0</v>
      </c>
      <c r="AK242" t="b">
        <f t="shared" si="171"/>
        <v>0</v>
      </c>
      <c r="AM242" t="str">
        <f>IF(ISBLANK('Dry_Litterbag Placem_Collection'!L21),"","G"&amp;""&amp;'Dry_Litterbag Placem_Collection'!L21)</f>
        <v>G394</v>
      </c>
      <c r="AN242" t="str">
        <f>IF(ISBLANK('Dry_Litterbag Placem_Collection'!M21),"","R"&amp;""&amp;'Dry_Litterbag Placem_Collection'!M21)</f>
        <v>R280</v>
      </c>
      <c r="AO242" t="b">
        <f t="shared" si="172"/>
        <v>0</v>
      </c>
      <c r="AP242" t="b">
        <f t="shared" si="173"/>
        <v>0</v>
      </c>
      <c r="AS242" t="str">
        <f>'Ashed teabags dry'!A240</f>
        <v>G485</v>
      </c>
      <c r="AT242" t="str">
        <f>'Ashed teabags dry'!A575</f>
        <v>R729</v>
      </c>
      <c r="AU242" t="b">
        <f t="shared" si="174"/>
        <v>0</v>
      </c>
      <c r="AV242" t="b">
        <f>COUNTIF($AT$4:$AT$2000, AT242)&gt;1</f>
        <v>0</v>
      </c>
      <c r="AX242" s="395" t="b">
        <f t="shared" si="175"/>
        <v>0</v>
      </c>
      <c r="AY242" s="395" t="b">
        <f t="shared" si="176"/>
        <v>0</v>
      </c>
      <c r="BA242" t="str">
        <f>'Ashed teabags wet'!A240</f>
        <v>G678</v>
      </c>
      <c r="BB242" t="str">
        <f>'Ashed teabags wet'!A660</f>
        <v>R451</v>
      </c>
      <c r="BC242" t="b">
        <f t="shared" si="177"/>
        <v>0</v>
      </c>
      <c r="BD242" t="b">
        <f t="shared" si="157"/>
        <v>0</v>
      </c>
      <c r="BF242" t="str">
        <f t="shared" si="178"/>
        <v>G484</v>
      </c>
      <c r="BG242" t="str">
        <f>T241</f>
        <v>G484</v>
      </c>
      <c r="BH242" t="str">
        <f t="shared" si="179"/>
        <v>G113</v>
      </c>
      <c r="BI242" t="str">
        <f t="shared" si="193"/>
        <v>G113</v>
      </c>
      <c r="BJ242" t="s">
        <v>1566</v>
      </c>
      <c r="BK242" t="s">
        <v>1566</v>
      </c>
      <c r="BL242" t="s">
        <v>1566</v>
      </c>
      <c r="BM242" t="b">
        <f t="shared" si="194"/>
        <v>1</v>
      </c>
      <c r="BN242" t="str">
        <f t="shared" si="180"/>
        <v>R728</v>
      </c>
      <c r="BO242" t="str">
        <f>U241</f>
        <v>R728</v>
      </c>
      <c r="BP242" t="str">
        <f t="shared" si="181"/>
        <v>R361</v>
      </c>
      <c r="BQ242" t="str">
        <f t="shared" si="182"/>
        <v>R361</v>
      </c>
      <c r="BR242" t="s">
        <v>411</v>
      </c>
      <c r="BS242" t="s">
        <v>410</v>
      </c>
      <c r="BT242" t="s">
        <v>411</v>
      </c>
      <c r="BU242" t="b">
        <f t="shared" si="195"/>
        <v>1</v>
      </c>
      <c r="BZ242" t="str">
        <f t="shared" si="183"/>
        <v>G113</v>
      </c>
      <c r="CA242" t="b">
        <f t="shared" si="184"/>
        <v>0</v>
      </c>
      <c r="CB242" t="str">
        <f t="shared" si="196"/>
        <v>G113</v>
      </c>
      <c r="CC242" t="str">
        <f t="shared" si="185"/>
        <v>R361</v>
      </c>
      <c r="CD242" t="b">
        <f t="shared" si="197"/>
        <v>0</v>
      </c>
      <c r="CE242" t="str">
        <f t="shared" si="198"/>
        <v>R361</v>
      </c>
      <c r="CG242" t="str">
        <f t="shared" si="186"/>
        <v>G677</v>
      </c>
      <c r="CH242" t="str">
        <f t="shared" si="199"/>
        <v>G677</v>
      </c>
      <c r="CI242" t="str">
        <f>AE241</f>
        <v>G573</v>
      </c>
      <c r="CJ242" t="str">
        <f t="shared" si="187"/>
        <v>G573</v>
      </c>
      <c r="CK242" t="s">
        <v>1373</v>
      </c>
      <c r="CL242" t="s">
        <v>1373</v>
      </c>
      <c r="CM242" t="s">
        <v>1373</v>
      </c>
      <c r="CN242" t="b">
        <f t="shared" si="200"/>
        <v>1</v>
      </c>
      <c r="CO242" t="str">
        <f t="shared" si="188"/>
        <v>R450</v>
      </c>
      <c r="CP242" t="str">
        <f t="shared" si="201"/>
        <v>R450</v>
      </c>
      <c r="CQ242" t="str">
        <f>AF241</f>
        <v>R274</v>
      </c>
      <c r="CR242" t="str">
        <f t="shared" si="189"/>
        <v>R274</v>
      </c>
      <c r="CS242" t="s">
        <v>691</v>
      </c>
      <c r="CT242" t="s">
        <v>691</v>
      </c>
      <c r="CU242" t="s">
        <v>691</v>
      </c>
      <c r="CV242" t="b">
        <f t="shared" si="202"/>
        <v>1</v>
      </c>
      <c r="DC242" t="str">
        <f t="shared" si="190"/>
        <v>G573</v>
      </c>
      <c r="DD242" t="b">
        <f t="shared" si="203"/>
        <v>0</v>
      </c>
      <c r="DE242" t="str">
        <f t="shared" si="204"/>
        <v>G573</v>
      </c>
      <c r="DF242" t="str">
        <f t="shared" si="191"/>
        <v>R274</v>
      </c>
      <c r="DG242" t="b">
        <f t="shared" si="205"/>
        <v>0</v>
      </c>
      <c r="DH242" t="str">
        <f t="shared" si="206"/>
        <v>R274</v>
      </c>
    </row>
    <row r="243" spans="2:112" ht="12" customHeight="1">
      <c r="B243" t="str">
        <f>TBIDry!H315</f>
        <v>G79</v>
      </c>
      <c r="C243" t="str">
        <f>TBIDry!I315</f>
        <v>R320</v>
      </c>
      <c r="D243" t="b">
        <f t="shared" si="158"/>
        <v>0</v>
      </c>
      <c r="E243" t="b">
        <f t="shared" si="159"/>
        <v>0</v>
      </c>
      <c r="G243" t="str">
        <f>TBIWet!H315</f>
        <v>G505</v>
      </c>
      <c r="H243" t="str">
        <f>TBIWet!I315</f>
        <v>R110</v>
      </c>
      <c r="I243" t="b">
        <f t="shared" si="160"/>
        <v>0</v>
      </c>
      <c r="J243" t="b">
        <f t="shared" si="161"/>
        <v>0</v>
      </c>
      <c r="L243" t="str">
        <f>'Both teabags AfterWet'!A241</f>
        <v>G679</v>
      </c>
      <c r="M243" t="str">
        <f>'Both teabags AfterWet'!A661</f>
        <v>R452</v>
      </c>
      <c r="N243" t="b">
        <f t="shared" si="162"/>
        <v>0</v>
      </c>
      <c r="O243" t="b">
        <f t="shared" si="207"/>
        <v>0</v>
      </c>
      <c r="Q243" s="395" t="b">
        <f t="shared" si="163"/>
        <v>0</v>
      </c>
      <c r="R243" s="395" t="b">
        <f t="shared" si="164"/>
        <v>0</v>
      </c>
      <c r="T243" t="str">
        <f>'Both teabags AfterDry'!A241</f>
        <v>G49</v>
      </c>
      <c r="U243" t="str">
        <f>'Both teabags AfterDry'!A576</f>
        <v>R732</v>
      </c>
      <c r="V243" t="b">
        <f t="shared" si="165"/>
        <v>0</v>
      </c>
      <c r="W243" t="b">
        <f t="shared" si="192"/>
        <v>0</v>
      </c>
      <c r="Y243" t="str">
        <f>'Green_rooibos initial weight'!A244</f>
        <v>G240</v>
      </c>
      <c r="Z243" t="str">
        <f>'Green_rooibos initial weight'!A1148</f>
        <v>R240</v>
      </c>
      <c r="AA243" t="b">
        <f t="shared" si="166"/>
        <v>0</v>
      </c>
      <c r="AB243" t="b">
        <f t="shared" si="167"/>
        <v>0</v>
      </c>
      <c r="AE243" t="str">
        <f>'WetLitterbags placem_collection'!O22</f>
        <v>G505</v>
      </c>
      <c r="AF243" t="str">
        <f>'WetLitterbags placem_collection'!Q22</f>
        <v>R110</v>
      </c>
      <c r="AG243" t="b">
        <f t="shared" si="168"/>
        <v>0</v>
      </c>
      <c r="AH243" t="b">
        <f t="shared" si="169"/>
        <v>0</v>
      </c>
      <c r="AJ243" t="b">
        <f t="shared" si="170"/>
        <v>0</v>
      </c>
      <c r="AK243" t="b">
        <f t="shared" si="171"/>
        <v>0</v>
      </c>
      <c r="AM243" t="str">
        <f>IF(ISBLANK('Dry_Litterbag Placem_Collection'!L22),"","G"&amp;""&amp;'Dry_Litterbag Placem_Collection'!L22)</f>
        <v>G79</v>
      </c>
      <c r="AN243" t="str">
        <f>IF(ISBLANK('Dry_Litterbag Placem_Collection'!M22),"","R"&amp;""&amp;'Dry_Litterbag Placem_Collection'!M22)</f>
        <v>R320</v>
      </c>
      <c r="AO243" t="b">
        <f t="shared" si="172"/>
        <v>0</v>
      </c>
      <c r="AP243" t="b">
        <f t="shared" si="173"/>
        <v>0</v>
      </c>
      <c r="AS243" t="str">
        <f>'Ashed teabags dry'!A241</f>
        <v>G49</v>
      </c>
      <c r="AT243" t="str">
        <f>'Ashed teabags dry'!A576</f>
        <v>R732</v>
      </c>
      <c r="AU243" t="b">
        <f t="shared" si="174"/>
        <v>0</v>
      </c>
      <c r="AV243" t="b">
        <f>COUNTIF($AT$4:$AT$2000, AT243)&gt;1</f>
        <v>0</v>
      </c>
      <c r="AX243" s="395" t="b">
        <f t="shared" si="175"/>
        <v>0</v>
      </c>
      <c r="AY243" s="395" t="b">
        <f t="shared" si="176"/>
        <v>0</v>
      </c>
      <c r="BA243" t="str">
        <f>'Ashed teabags wet'!A241</f>
        <v>G679</v>
      </c>
      <c r="BB243" t="str">
        <f>'Ashed teabags wet'!A661</f>
        <v>R452</v>
      </c>
      <c r="BC243" t="b">
        <f t="shared" si="177"/>
        <v>0</v>
      </c>
      <c r="BD243" t="b">
        <f t="shared" si="157"/>
        <v>0</v>
      </c>
      <c r="BF243" t="str">
        <f t="shared" si="178"/>
        <v>G485</v>
      </c>
      <c r="BG243" t="str">
        <f>T242</f>
        <v>G485</v>
      </c>
      <c r="BH243" t="str">
        <f t="shared" si="179"/>
        <v>G394</v>
      </c>
      <c r="BI243" t="str">
        <f t="shared" si="193"/>
        <v>G394</v>
      </c>
      <c r="BJ243" t="s">
        <v>1565</v>
      </c>
      <c r="BK243" t="s">
        <v>1565</v>
      </c>
      <c r="BL243" t="s">
        <v>1565</v>
      </c>
      <c r="BM243" t="b">
        <f t="shared" si="194"/>
        <v>1</v>
      </c>
      <c r="BN243" t="str">
        <f t="shared" si="180"/>
        <v>R729</v>
      </c>
      <c r="BO243" t="str">
        <f>U242</f>
        <v>R729</v>
      </c>
      <c r="BP243" t="str">
        <f t="shared" si="181"/>
        <v>R280</v>
      </c>
      <c r="BQ243" t="str">
        <f t="shared" si="182"/>
        <v>R280</v>
      </c>
      <c r="BR243" t="s">
        <v>410</v>
      </c>
      <c r="BS243" t="s">
        <v>407</v>
      </c>
      <c r="BT243" t="s">
        <v>410</v>
      </c>
      <c r="BU243" t="b">
        <f t="shared" si="195"/>
        <v>1</v>
      </c>
      <c r="BZ243" t="str">
        <f t="shared" si="183"/>
        <v>G394</v>
      </c>
      <c r="CA243" t="b">
        <f t="shared" si="184"/>
        <v>0</v>
      </c>
      <c r="CB243" t="str">
        <f t="shared" si="196"/>
        <v>G394</v>
      </c>
      <c r="CC243" t="str">
        <f t="shared" si="185"/>
        <v>R280</v>
      </c>
      <c r="CD243" t="b">
        <f t="shared" si="197"/>
        <v>0</v>
      </c>
      <c r="CE243" t="str">
        <f t="shared" si="198"/>
        <v>R280</v>
      </c>
      <c r="CG243" t="str">
        <f t="shared" si="186"/>
        <v>G678</v>
      </c>
      <c r="CH243" t="str">
        <f t="shared" si="199"/>
        <v>G678</v>
      </c>
      <c r="CI243" t="str">
        <f>AE242</f>
        <v>G639</v>
      </c>
      <c r="CJ243" t="str">
        <f t="shared" si="187"/>
        <v>G639</v>
      </c>
      <c r="CK243" t="s">
        <v>1372</v>
      </c>
      <c r="CL243" t="s">
        <v>1372</v>
      </c>
      <c r="CM243" t="s">
        <v>1372</v>
      </c>
      <c r="CN243" t="b">
        <f t="shared" si="200"/>
        <v>1</v>
      </c>
      <c r="CO243" t="str">
        <f t="shared" si="188"/>
        <v>R451</v>
      </c>
      <c r="CP243" t="str">
        <f t="shared" si="201"/>
        <v>R451</v>
      </c>
      <c r="CQ243" t="str">
        <f>AF242</f>
        <v>R566</v>
      </c>
      <c r="CR243" t="str">
        <f t="shared" si="189"/>
        <v>R566</v>
      </c>
      <c r="CS243" t="s">
        <v>690</v>
      </c>
      <c r="CT243" t="s">
        <v>690</v>
      </c>
      <c r="CU243" t="s">
        <v>690</v>
      </c>
      <c r="CV243" t="b">
        <f t="shared" si="202"/>
        <v>1</v>
      </c>
      <c r="DC243" t="str">
        <f t="shared" si="190"/>
        <v>G639</v>
      </c>
      <c r="DD243" t="b">
        <f t="shared" si="203"/>
        <v>0</v>
      </c>
      <c r="DE243" t="str">
        <f t="shared" si="204"/>
        <v>G639</v>
      </c>
      <c r="DF243" t="str">
        <f t="shared" si="191"/>
        <v>R566</v>
      </c>
      <c r="DG243" t="b">
        <f t="shared" si="205"/>
        <v>0</v>
      </c>
      <c r="DH243" t="str">
        <f t="shared" si="206"/>
        <v>R566</v>
      </c>
    </row>
    <row r="244" spans="2:112" ht="12" customHeight="1">
      <c r="B244" t="str">
        <f>TBIDry!H316</f>
        <v>G488</v>
      </c>
      <c r="C244" t="str">
        <f>TBIDry!I316</f>
        <v>R209</v>
      </c>
      <c r="D244" t="b">
        <f t="shared" si="158"/>
        <v>0</v>
      </c>
      <c r="E244" t="b">
        <f t="shared" si="159"/>
        <v>0</v>
      </c>
      <c r="G244" t="str">
        <f>TBIWet!H316</f>
        <v>G721</v>
      </c>
      <c r="H244" t="str">
        <f>TBIWet!I316</f>
        <v>R79</v>
      </c>
      <c r="I244" t="b">
        <f t="shared" si="160"/>
        <v>0</v>
      </c>
      <c r="J244" s="113" t="b">
        <f t="shared" si="161"/>
        <v>0</v>
      </c>
      <c r="L244" t="str">
        <f>'Both teabags AfterWet'!A242</f>
        <v>G680</v>
      </c>
      <c r="M244" t="str">
        <f>'Both teabags AfterWet'!A662</f>
        <v>R453</v>
      </c>
      <c r="N244" t="b">
        <f t="shared" si="162"/>
        <v>0</v>
      </c>
      <c r="O244" t="b">
        <f t="shared" si="207"/>
        <v>0</v>
      </c>
      <c r="Q244" s="395" t="b">
        <f t="shared" si="163"/>
        <v>0</v>
      </c>
      <c r="R244" s="395" t="b">
        <f t="shared" si="164"/>
        <v>0</v>
      </c>
      <c r="T244" t="str">
        <f>'Both teabags AfterDry'!A242</f>
        <v>G490</v>
      </c>
      <c r="U244" t="str">
        <f>'Both teabags AfterDry'!A577</f>
        <v>R733</v>
      </c>
      <c r="V244" t="b">
        <f t="shared" si="165"/>
        <v>0</v>
      </c>
      <c r="W244" t="b">
        <f t="shared" si="192"/>
        <v>0</v>
      </c>
      <c r="Y244" t="str">
        <f>'Green_rooibos initial weight'!A245</f>
        <v>G241</v>
      </c>
      <c r="Z244" t="str">
        <f>'Green_rooibos initial weight'!A1149</f>
        <v>R241</v>
      </c>
      <c r="AA244" t="b">
        <f t="shared" si="166"/>
        <v>0</v>
      </c>
      <c r="AB244" t="b">
        <f t="shared" si="167"/>
        <v>0</v>
      </c>
      <c r="AE244" t="str">
        <f>'WetLitterbags placem_collection'!O23</f>
        <v>G721</v>
      </c>
      <c r="AF244" t="str">
        <f>'WetLitterbags placem_collection'!Q23</f>
        <v>R79</v>
      </c>
      <c r="AG244" t="b">
        <f t="shared" si="168"/>
        <v>0</v>
      </c>
      <c r="AH244" t="b">
        <f t="shared" si="169"/>
        <v>0</v>
      </c>
      <c r="AJ244" t="b">
        <f t="shared" si="170"/>
        <v>0</v>
      </c>
      <c r="AK244" t="b">
        <f t="shared" si="171"/>
        <v>0</v>
      </c>
      <c r="AM244" t="str">
        <f>IF(ISBLANK('Dry_Litterbag Placem_Collection'!L23),"","G"&amp;""&amp;'Dry_Litterbag Placem_Collection'!L23)</f>
        <v>G488</v>
      </c>
      <c r="AN244" t="str">
        <f>IF(ISBLANK('Dry_Litterbag Placem_Collection'!M23),"","R"&amp;""&amp;'Dry_Litterbag Placem_Collection'!M23)</f>
        <v>R209</v>
      </c>
      <c r="AO244" t="b">
        <f t="shared" si="172"/>
        <v>0</v>
      </c>
      <c r="AP244" t="b">
        <f t="shared" si="173"/>
        <v>0</v>
      </c>
      <c r="AS244" t="str">
        <f>'Ashed teabags dry'!A242</f>
        <v>G490</v>
      </c>
      <c r="AT244" t="str">
        <f>'Ashed teabags dry'!A577</f>
        <v>R733</v>
      </c>
      <c r="AU244" t="b">
        <f t="shared" si="174"/>
        <v>0</v>
      </c>
      <c r="AV244" t="b">
        <f>COUNTIF($AT$4:$AT$2000, AT244)&gt;1</f>
        <v>0</v>
      </c>
      <c r="AX244" s="395" t="b">
        <f t="shared" si="175"/>
        <v>0</v>
      </c>
      <c r="AY244" s="395" t="b">
        <f t="shared" si="176"/>
        <v>0</v>
      </c>
      <c r="BA244" t="str">
        <f>'Ashed teabags wet'!A242</f>
        <v>G680</v>
      </c>
      <c r="BB244" t="str">
        <f>'Ashed teabags wet'!A662</f>
        <v>R453</v>
      </c>
      <c r="BC244" t="b">
        <f t="shared" si="177"/>
        <v>0</v>
      </c>
      <c r="BD244" t="b">
        <f t="shared" si="157"/>
        <v>0</v>
      </c>
      <c r="BF244" t="str">
        <f t="shared" si="178"/>
        <v>G49</v>
      </c>
      <c r="BG244" t="str">
        <f>T243</f>
        <v>G49</v>
      </c>
      <c r="BH244" t="str">
        <f t="shared" si="179"/>
        <v>G79</v>
      </c>
      <c r="BI244" t="str">
        <f t="shared" si="193"/>
        <v>G79</v>
      </c>
      <c r="BJ244" t="s">
        <v>2001</v>
      </c>
      <c r="BK244" t="s">
        <v>2001</v>
      </c>
      <c r="BL244" t="s">
        <v>2001</v>
      </c>
      <c r="BM244" t="b">
        <f t="shared" si="194"/>
        <v>1</v>
      </c>
      <c r="BN244" t="str">
        <f t="shared" si="180"/>
        <v>R732</v>
      </c>
      <c r="BO244" t="str">
        <f>U243</f>
        <v>R732</v>
      </c>
      <c r="BP244" t="str">
        <f t="shared" si="181"/>
        <v>R320</v>
      </c>
      <c r="BQ244" t="str">
        <f t="shared" si="182"/>
        <v>R320</v>
      </c>
      <c r="BR244" t="s">
        <v>407</v>
      </c>
      <c r="BS244" t="s">
        <v>406</v>
      </c>
      <c r="BT244" t="s">
        <v>407</v>
      </c>
      <c r="BU244" t="b">
        <f t="shared" si="195"/>
        <v>1</v>
      </c>
      <c r="BZ244" t="str">
        <f t="shared" si="183"/>
        <v>G79</v>
      </c>
      <c r="CA244" t="b">
        <f t="shared" si="184"/>
        <v>0</v>
      </c>
      <c r="CB244" t="str">
        <f t="shared" si="196"/>
        <v>G79</v>
      </c>
      <c r="CC244" t="str">
        <f t="shared" si="185"/>
        <v>R320</v>
      </c>
      <c r="CD244" t="b">
        <f t="shared" si="197"/>
        <v>0</v>
      </c>
      <c r="CE244" t="str">
        <f t="shared" si="198"/>
        <v>R320</v>
      </c>
      <c r="CG244" t="str">
        <f t="shared" si="186"/>
        <v>G679</v>
      </c>
      <c r="CH244" t="str">
        <f t="shared" si="199"/>
        <v>G679</v>
      </c>
      <c r="CI244" t="str">
        <f>AE243</f>
        <v>G505</v>
      </c>
      <c r="CJ244" t="str">
        <f t="shared" si="187"/>
        <v>G505</v>
      </c>
      <c r="CK244" t="s">
        <v>1371</v>
      </c>
      <c r="CL244" t="s">
        <v>1371</v>
      </c>
      <c r="CM244" t="s">
        <v>1371</v>
      </c>
      <c r="CN244" t="b">
        <f t="shared" si="200"/>
        <v>1</v>
      </c>
      <c r="CO244" t="str">
        <f t="shared" si="188"/>
        <v>R452</v>
      </c>
      <c r="CP244" t="str">
        <f t="shared" si="201"/>
        <v>R452</v>
      </c>
      <c r="CQ244" t="str">
        <f>AF243</f>
        <v>R110</v>
      </c>
      <c r="CR244" t="str">
        <f t="shared" si="189"/>
        <v>R110</v>
      </c>
      <c r="CS244" t="s">
        <v>689</v>
      </c>
      <c r="CT244" t="s">
        <v>689</v>
      </c>
      <c r="CU244" t="s">
        <v>689</v>
      </c>
      <c r="CV244" t="b">
        <f t="shared" si="202"/>
        <v>1</v>
      </c>
      <c r="DC244" t="str">
        <f t="shared" si="190"/>
        <v>G505</v>
      </c>
      <c r="DD244" t="b">
        <f t="shared" si="203"/>
        <v>0</v>
      </c>
      <c r="DE244" t="str">
        <f t="shared" si="204"/>
        <v>G505</v>
      </c>
      <c r="DF244" t="str">
        <f t="shared" si="191"/>
        <v>R110</v>
      </c>
      <c r="DG244" t="b">
        <f t="shared" si="205"/>
        <v>0</v>
      </c>
      <c r="DH244" t="str">
        <f t="shared" si="206"/>
        <v>R110</v>
      </c>
    </row>
    <row r="245" spans="2:112" ht="12" customHeight="1">
      <c r="B245" t="str">
        <f>TBIDry!H317</f>
        <v>G750</v>
      </c>
      <c r="C245" t="str">
        <f>TBIDry!I317</f>
        <v>R646</v>
      </c>
      <c r="D245" t="b">
        <f t="shared" si="158"/>
        <v>0</v>
      </c>
      <c r="E245" t="b">
        <f t="shared" si="159"/>
        <v>0</v>
      </c>
      <c r="G245" t="str">
        <f>TBIWet!H317</f>
        <v>G552</v>
      </c>
      <c r="H245" t="str">
        <f>TBIWet!I317</f>
        <v>R45</v>
      </c>
      <c r="I245" t="b">
        <f t="shared" si="160"/>
        <v>0</v>
      </c>
      <c r="J245" t="b">
        <f t="shared" si="161"/>
        <v>0</v>
      </c>
      <c r="L245" t="str">
        <f>'Both teabags AfterWet'!A243</f>
        <v>G681</v>
      </c>
      <c r="M245" t="str">
        <f>'Both teabags AfterWet'!A663</f>
        <v>R454</v>
      </c>
      <c r="N245" t="b">
        <f t="shared" si="162"/>
        <v>0</v>
      </c>
      <c r="O245" t="b">
        <f t="shared" si="207"/>
        <v>0</v>
      </c>
      <c r="Q245" s="395" t="b">
        <f t="shared" si="163"/>
        <v>0</v>
      </c>
      <c r="R245" s="395" t="b">
        <f t="shared" si="164"/>
        <v>0</v>
      </c>
      <c r="T245" t="str">
        <f>'Both teabags AfterDry'!A243</f>
        <v>G493</v>
      </c>
      <c r="U245" t="str">
        <f>'Both teabags AfterDry'!A578</f>
        <v>R734</v>
      </c>
      <c r="V245" t="b">
        <f t="shared" si="165"/>
        <v>0</v>
      </c>
      <c r="W245" t="b">
        <f t="shared" si="192"/>
        <v>0</v>
      </c>
      <c r="Y245" t="str">
        <f>'Green_rooibos initial weight'!A246</f>
        <v>G242</v>
      </c>
      <c r="Z245" t="str">
        <f>'Green_rooibos initial weight'!A1150</f>
        <v>R242</v>
      </c>
      <c r="AA245" t="b">
        <f t="shared" si="166"/>
        <v>0</v>
      </c>
      <c r="AB245" t="b">
        <f t="shared" si="167"/>
        <v>0</v>
      </c>
      <c r="AE245" t="str">
        <f>'WetLitterbags placem_collection'!O24</f>
        <v>G552</v>
      </c>
      <c r="AF245" t="str">
        <f>'WetLitterbags placem_collection'!Q24</f>
        <v>R45</v>
      </c>
      <c r="AG245" t="b">
        <f t="shared" si="168"/>
        <v>0</v>
      </c>
      <c r="AH245" t="b">
        <f t="shared" si="169"/>
        <v>0</v>
      </c>
      <c r="AJ245" t="b">
        <f t="shared" si="170"/>
        <v>0</v>
      </c>
      <c r="AK245" t="b">
        <f t="shared" si="171"/>
        <v>0</v>
      </c>
      <c r="AM245" t="str">
        <f>IF(ISBLANK('Dry_Litterbag Placem_Collection'!L24),"","G"&amp;""&amp;'Dry_Litterbag Placem_Collection'!L24)</f>
        <v>G750</v>
      </c>
      <c r="AN245" t="str">
        <f>IF(ISBLANK('Dry_Litterbag Placem_Collection'!M24),"","R"&amp;""&amp;'Dry_Litterbag Placem_Collection'!M24)</f>
        <v>R646</v>
      </c>
      <c r="AO245" t="b">
        <f t="shared" si="172"/>
        <v>0</v>
      </c>
      <c r="AP245" t="b">
        <f t="shared" si="173"/>
        <v>0</v>
      </c>
      <c r="AS245" t="str">
        <f>'Ashed teabags dry'!A243</f>
        <v>G493</v>
      </c>
      <c r="AT245" t="str">
        <f>'Ashed teabags dry'!A578</f>
        <v>R734</v>
      </c>
      <c r="AU245" t="b">
        <f t="shared" si="174"/>
        <v>0</v>
      </c>
      <c r="AV245" t="b">
        <f>COUNTIF($AT$4:$AT$2000, AT245)&gt;1</f>
        <v>0</v>
      </c>
      <c r="AX245" s="395" t="b">
        <f t="shared" si="175"/>
        <v>0</v>
      </c>
      <c r="AY245" s="395" t="b">
        <f t="shared" si="176"/>
        <v>0</v>
      </c>
      <c r="BA245" t="str">
        <f>'Ashed teabags wet'!A243</f>
        <v>G681</v>
      </c>
      <c r="BB245" t="str">
        <f>'Ashed teabags wet'!A663</f>
        <v>R454</v>
      </c>
      <c r="BC245" t="b">
        <f t="shared" si="177"/>
        <v>0</v>
      </c>
      <c r="BD245" t="b">
        <f t="shared" si="157"/>
        <v>0</v>
      </c>
      <c r="BF245" t="str">
        <f t="shared" si="178"/>
        <v>G490</v>
      </c>
      <c r="BG245" t="str">
        <f>T244</f>
        <v>G490</v>
      </c>
      <c r="BH245" t="str">
        <f t="shared" si="179"/>
        <v>G488</v>
      </c>
      <c r="BI245" t="str">
        <f t="shared" si="193"/>
        <v/>
      </c>
      <c r="BJ245" t="s">
        <v>1560</v>
      </c>
      <c r="BK245" t="s">
        <v>1560</v>
      </c>
      <c r="BL245" t="s">
        <v>1560</v>
      </c>
      <c r="BM245" t="b">
        <f t="shared" si="194"/>
        <v>1</v>
      </c>
      <c r="BN245" t="str">
        <f t="shared" si="180"/>
        <v>R733</v>
      </c>
      <c r="BO245" t="str">
        <f>U244</f>
        <v>R733</v>
      </c>
      <c r="BP245" t="str">
        <f t="shared" si="181"/>
        <v>R209</v>
      </c>
      <c r="BQ245" t="str">
        <f t="shared" si="182"/>
        <v/>
      </c>
      <c r="BR245" t="s">
        <v>406</v>
      </c>
      <c r="BS245" t="s">
        <v>405</v>
      </c>
      <c r="BT245" t="s">
        <v>406</v>
      </c>
      <c r="BU245" t="b">
        <f t="shared" si="195"/>
        <v>1</v>
      </c>
      <c r="BZ245" t="str">
        <f t="shared" si="183"/>
        <v>G488</v>
      </c>
      <c r="CA245" t="b">
        <f t="shared" si="184"/>
        <v>1</v>
      </c>
      <c r="CB245" t="str">
        <f t="shared" si="196"/>
        <v/>
      </c>
      <c r="CC245" t="str">
        <f t="shared" si="185"/>
        <v>R209</v>
      </c>
      <c r="CD245" t="b">
        <f t="shared" si="197"/>
        <v>1</v>
      </c>
      <c r="CE245" t="str">
        <f t="shared" si="198"/>
        <v/>
      </c>
      <c r="CG245" t="str">
        <f t="shared" si="186"/>
        <v>G680</v>
      </c>
      <c r="CH245" t="str">
        <f t="shared" si="199"/>
        <v>G680</v>
      </c>
      <c r="CI245" t="str">
        <f>AE244</f>
        <v>G721</v>
      </c>
      <c r="CJ245" t="str">
        <f t="shared" si="187"/>
        <v>G721</v>
      </c>
      <c r="CK245" t="s">
        <v>1370</v>
      </c>
      <c r="CL245" t="s">
        <v>1370</v>
      </c>
      <c r="CM245" t="s">
        <v>1370</v>
      </c>
      <c r="CN245" t="b">
        <f t="shared" si="200"/>
        <v>1</v>
      </c>
      <c r="CO245" t="str">
        <f t="shared" si="188"/>
        <v>R453</v>
      </c>
      <c r="CP245" t="str">
        <f t="shared" si="201"/>
        <v>R453</v>
      </c>
      <c r="CQ245" t="str">
        <f>AF244</f>
        <v>R79</v>
      </c>
      <c r="CR245" t="str">
        <f t="shared" si="189"/>
        <v>R79</v>
      </c>
      <c r="CS245" t="s">
        <v>688</v>
      </c>
      <c r="CT245" t="s">
        <v>688</v>
      </c>
      <c r="CU245" t="s">
        <v>688</v>
      </c>
      <c r="CV245" t="b">
        <f t="shared" si="202"/>
        <v>1</v>
      </c>
      <c r="DC245" t="str">
        <f t="shared" si="190"/>
        <v>G721</v>
      </c>
      <c r="DD245" t="b">
        <f t="shared" si="203"/>
        <v>0</v>
      </c>
      <c r="DE245" t="str">
        <f t="shared" si="204"/>
        <v>G721</v>
      </c>
      <c r="DF245" t="str">
        <f t="shared" si="191"/>
        <v>R79</v>
      </c>
      <c r="DG245" t="b">
        <f t="shared" si="205"/>
        <v>0</v>
      </c>
      <c r="DH245" t="str">
        <f t="shared" si="206"/>
        <v>R79</v>
      </c>
    </row>
    <row r="246" spans="2:112" ht="12" customHeight="1">
      <c r="B246" t="str">
        <f>TBIDry!H318</f>
        <v/>
      </c>
      <c r="C246" t="str">
        <f>TBIDry!I318</f>
        <v/>
      </c>
      <c r="D246" t="b">
        <f t="shared" si="158"/>
        <v>1</v>
      </c>
      <c r="E246" t="b">
        <f t="shared" si="159"/>
        <v>1</v>
      </c>
      <c r="G246" t="str">
        <f>TBIWet!H318</f>
        <v>G456</v>
      </c>
      <c r="H246" t="str">
        <f>TBIWet!I318</f>
        <v>R132</v>
      </c>
      <c r="I246" t="b">
        <f t="shared" si="160"/>
        <v>0</v>
      </c>
      <c r="J246" t="b">
        <f t="shared" si="161"/>
        <v>0</v>
      </c>
      <c r="L246" t="str">
        <f>'Both teabags AfterWet'!A244</f>
        <v>G682</v>
      </c>
      <c r="M246" t="str">
        <f>'Both teabags AfterWet'!A664</f>
        <v>R456</v>
      </c>
      <c r="N246" t="b">
        <f t="shared" si="162"/>
        <v>0</v>
      </c>
      <c r="O246" t="b">
        <f t="shared" si="207"/>
        <v>0</v>
      </c>
      <c r="Q246" s="395" t="b">
        <f t="shared" si="163"/>
        <v>0</v>
      </c>
      <c r="R246" s="395" t="b">
        <f t="shared" si="164"/>
        <v>0</v>
      </c>
      <c r="T246" t="str">
        <f>'Both teabags AfterDry'!A244</f>
        <v>G5</v>
      </c>
      <c r="U246" t="str">
        <f>'Both teabags AfterDry'!A579</f>
        <v>R735</v>
      </c>
      <c r="V246" t="b">
        <f t="shared" si="165"/>
        <v>0</v>
      </c>
      <c r="W246" t="b">
        <f t="shared" si="192"/>
        <v>0</v>
      </c>
      <c r="Y246" t="str">
        <f>'Green_rooibos initial weight'!A247</f>
        <v>G243</v>
      </c>
      <c r="Z246" t="str">
        <f>'Green_rooibos initial weight'!A1151</f>
        <v>R243</v>
      </c>
      <c r="AA246" t="b">
        <f t="shared" si="166"/>
        <v>0</v>
      </c>
      <c r="AB246" t="b">
        <f t="shared" si="167"/>
        <v>0</v>
      </c>
      <c r="AE246" t="str">
        <f>'WetLitterbags placem_collection'!O25</f>
        <v>G456</v>
      </c>
      <c r="AF246" t="str">
        <f>'WetLitterbags placem_collection'!Q25</f>
        <v>R132</v>
      </c>
      <c r="AG246" t="b">
        <f t="shared" si="168"/>
        <v>0</v>
      </c>
      <c r="AH246" t="b">
        <f t="shared" si="169"/>
        <v>0</v>
      </c>
      <c r="AJ246" t="b">
        <f t="shared" si="170"/>
        <v>0</v>
      </c>
      <c r="AK246" t="b">
        <f t="shared" si="171"/>
        <v>0</v>
      </c>
      <c r="AM246" t="str">
        <f>IF(ISBLANK('Dry_Litterbag Placem_Collection'!L25),"","G"&amp;""&amp;'Dry_Litterbag Placem_Collection'!L25)</f>
        <v/>
      </c>
      <c r="AN246" t="str">
        <f>IF(ISBLANK('Dry_Litterbag Placem_Collection'!M25),"","R"&amp;""&amp;'Dry_Litterbag Placem_Collection'!M25)</f>
        <v/>
      </c>
      <c r="AO246" t="b">
        <f t="shared" si="172"/>
        <v>1</v>
      </c>
      <c r="AP246" t="b">
        <f t="shared" si="173"/>
        <v>1</v>
      </c>
      <c r="AS246" t="str">
        <f>'Ashed teabags dry'!A244</f>
        <v>G5</v>
      </c>
      <c r="AT246" t="str">
        <f>'Ashed teabags dry'!A579</f>
        <v>R735</v>
      </c>
      <c r="AU246" t="b">
        <f t="shared" si="174"/>
        <v>0</v>
      </c>
      <c r="AV246" t="b">
        <f>COUNTIF($AT$4:$AT$2000, AT246)&gt;1</f>
        <v>0</v>
      </c>
      <c r="AX246" s="395" t="b">
        <f t="shared" si="175"/>
        <v>0</v>
      </c>
      <c r="AY246" s="395" t="b">
        <f t="shared" si="176"/>
        <v>0</v>
      </c>
      <c r="BA246" t="str">
        <f>'Ashed teabags wet'!A244</f>
        <v>G682</v>
      </c>
      <c r="BB246" t="str">
        <f>'Ashed teabags wet'!A664</f>
        <v>R456</v>
      </c>
      <c r="BC246" t="b">
        <f t="shared" si="177"/>
        <v>0</v>
      </c>
      <c r="BD246" t="b">
        <f t="shared" si="157"/>
        <v>0</v>
      </c>
      <c r="BF246" t="str">
        <f t="shared" si="178"/>
        <v>G493</v>
      </c>
      <c r="BG246" t="str">
        <f>T245</f>
        <v>G493</v>
      </c>
      <c r="BH246" t="str">
        <f t="shared" si="179"/>
        <v>G750</v>
      </c>
      <c r="BI246" t="str">
        <f t="shared" si="193"/>
        <v>G750</v>
      </c>
      <c r="BJ246" t="s">
        <v>1557</v>
      </c>
      <c r="BK246" t="s">
        <v>1557</v>
      </c>
      <c r="BL246" t="s">
        <v>1557</v>
      </c>
      <c r="BM246" t="b">
        <f t="shared" si="194"/>
        <v>1</v>
      </c>
      <c r="BN246" t="str">
        <f t="shared" si="180"/>
        <v>R734</v>
      </c>
      <c r="BO246" t="str">
        <f>U245</f>
        <v>R734</v>
      </c>
      <c r="BP246" t="str">
        <f t="shared" si="181"/>
        <v>R646</v>
      </c>
      <c r="BQ246" t="str">
        <f t="shared" si="182"/>
        <v>R646</v>
      </c>
      <c r="BR246" t="s">
        <v>405</v>
      </c>
      <c r="BS246" t="s">
        <v>404</v>
      </c>
      <c r="BT246" t="s">
        <v>405</v>
      </c>
      <c r="BU246" t="b">
        <f t="shared" si="195"/>
        <v>1</v>
      </c>
      <c r="BZ246" t="str">
        <f t="shared" si="183"/>
        <v>G750</v>
      </c>
      <c r="CA246" t="b">
        <f t="shared" si="184"/>
        <v>0</v>
      </c>
      <c r="CB246" t="str">
        <f t="shared" si="196"/>
        <v>G750</v>
      </c>
      <c r="CC246" t="str">
        <f t="shared" si="185"/>
        <v>R646</v>
      </c>
      <c r="CD246" t="b">
        <f t="shared" si="197"/>
        <v>0</v>
      </c>
      <c r="CE246" t="str">
        <f t="shared" si="198"/>
        <v>R646</v>
      </c>
      <c r="CG246" t="str">
        <f t="shared" si="186"/>
        <v>G681</v>
      </c>
      <c r="CH246" t="str">
        <f t="shared" si="199"/>
        <v>G681</v>
      </c>
      <c r="CI246" t="str">
        <f>AE245</f>
        <v>G552</v>
      </c>
      <c r="CJ246" t="str">
        <f t="shared" si="187"/>
        <v>G552</v>
      </c>
      <c r="CK246" t="s">
        <v>1369</v>
      </c>
      <c r="CL246" t="s">
        <v>1369</v>
      </c>
      <c r="CM246" t="s">
        <v>1369</v>
      </c>
      <c r="CN246" t="b">
        <f t="shared" si="200"/>
        <v>1</v>
      </c>
      <c r="CO246" t="str">
        <f t="shared" si="188"/>
        <v>R454</v>
      </c>
      <c r="CP246" t="str">
        <f t="shared" si="201"/>
        <v>R454</v>
      </c>
      <c r="CQ246" t="str">
        <f>AF245</f>
        <v>R45</v>
      </c>
      <c r="CR246" t="str">
        <f t="shared" si="189"/>
        <v>R45</v>
      </c>
      <c r="CS246" t="s">
        <v>687</v>
      </c>
      <c r="CT246" t="s">
        <v>687</v>
      </c>
      <c r="CU246" t="s">
        <v>687</v>
      </c>
      <c r="CV246" t="b">
        <f t="shared" si="202"/>
        <v>1</v>
      </c>
      <c r="DC246" t="str">
        <f t="shared" si="190"/>
        <v>G552</v>
      </c>
      <c r="DD246" t="b">
        <f t="shared" si="203"/>
        <v>0</v>
      </c>
      <c r="DE246" t="str">
        <f t="shared" si="204"/>
        <v>G552</v>
      </c>
      <c r="DF246" t="str">
        <f t="shared" si="191"/>
        <v>R45</v>
      </c>
      <c r="DG246" t="b">
        <f t="shared" si="205"/>
        <v>0</v>
      </c>
      <c r="DH246" t="str">
        <f t="shared" si="206"/>
        <v>R45</v>
      </c>
    </row>
    <row r="247" spans="2:112" ht="12" customHeight="1">
      <c r="B247" t="str">
        <f>TBIDry!H319</f>
        <v>G562</v>
      </c>
      <c r="C247" t="str">
        <f>TBIDry!I319</f>
        <v>R650</v>
      </c>
      <c r="D247" t="b">
        <f t="shared" si="158"/>
        <v>0</v>
      </c>
      <c r="E247" t="b">
        <f t="shared" si="159"/>
        <v>0</v>
      </c>
      <c r="G247" t="str">
        <f>TBIWet!H319</f>
        <v>G421</v>
      </c>
      <c r="H247" t="str">
        <f>TBIWet!I319</f>
        <v>R71</v>
      </c>
      <c r="I247" t="b">
        <f t="shared" si="160"/>
        <v>0</v>
      </c>
      <c r="J247" t="b">
        <f t="shared" si="161"/>
        <v>0</v>
      </c>
      <c r="L247" t="str">
        <f>'Both teabags AfterWet'!A245</f>
        <v>G684</v>
      </c>
      <c r="M247" t="str">
        <f>'Both teabags AfterWet'!A665</f>
        <v>R457</v>
      </c>
      <c r="N247" t="b">
        <f t="shared" si="162"/>
        <v>0</v>
      </c>
      <c r="O247" t="b">
        <f t="shared" si="207"/>
        <v>0</v>
      </c>
      <c r="Q247" s="395" t="b">
        <f t="shared" si="163"/>
        <v>0</v>
      </c>
      <c r="R247" s="395" t="b">
        <f t="shared" si="164"/>
        <v>0</v>
      </c>
      <c r="T247" t="str">
        <f>'Both teabags AfterDry'!A245</f>
        <v>G50</v>
      </c>
      <c r="U247" t="str">
        <f>'Both teabags AfterDry'!A580</f>
        <v>R736</v>
      </c>
      <c r="V247" t="b">
        <f t="shared" si="165"/>
        <v>0</v>
      </c>
      <c r="W247" t="b">
        <f t="shared" si="192"/>
        <v>0</v>
      </c>
      <c r="Y247" t="str">
        <f>'Green_rooibos initial weight'!A248</f>
        <v>G244</v>
      </c>
      <c r="Z247" t="str">
        <f>'Green_rooibos initial weight'!A1152</f>
        <v>R244</v>
      </c>
      <c r="AA247" t="b">
        <f t="shared" si="166"/>
        <v>0</v>
      </c>
      <c r="AB247" t="b">
        <f t="shared" si="167"/>
        <v>0</v>
      </c>
      <c r="AE247" t="str">
        <f>'WetLitterbags placem_collection'!O26</f>
        <v>G421</v>
      </c>
      <c r="AF247" t="str">
        <f>'WetLitterbags placem_collection'!Q26</f>
        <v>R71</v>
      </c>
      <c r="AG247" t="b">
        <f t="shared" si="168"/>
        <v>0</v>
      </c>
      <c r="AH247" t="b">
        <f t="shared" si="169"/>
        <v>0</v>
      </c>
      <c r="AJ247" t="b">
        <f t="shared" si="170"/>
        <v>0</v>
      </c>
      <c r="AK247" t="b">
        <f t="shared" si="171"/>
        <v>0</v>
      </c>
      <c r="AM247" t="str">
        <f>IF(ISBLANK('Dry_Litterbag Placem_Collection'!L26),"","G"&amp;""&amp;'Dry_Litterbag Placem_Collection'!L26)</f>
        <v>G562</v>
      </c>
      <c r="AN247" t="str">
        <f>IF(ISBLANK('Dry_Litterbag Placem_Collection'!M26),"","R"&amp;""&amp;'Dry_Litterbag Placem_Collection'!M26)</f>
        <v>R650</v>
      </c>
      <c r="AO247" t="b">
        <f t="shared" si="172"/>
        <v>0</v>
      </c>
      <c r="AP247" t="b">
        <f t="shared" si="173"/>
        <v>0</v>
      </c>
      <c r="AS247" t="str">
        <f>'Ashed teabags dry'!A245</f>
        <v>G50</v>
      </c>
      <c r="AT247" t="str">
        <f>'Ashed teabags dry'!A580</f>
        <v>R736</v>
      </c>
      <c r="AU247" t="b">
        <f t="shared" si="174"/>
        <v>0</v>
      </c>
      <c r="AV247" t="b">
        <f>COUNTIF($AT$4:$AT$2000, AT247)&gt;1</f>
        <v>0</v>
      </c>
      <c r="AX247" s="395" t="b">
        <f t="shared" si="175"/>
        <v>0</v>
      </c>
      <c r="AY247" s="395" t="b">
        <f t="shared" si="176"/>
        <v>0</v>
      </c>
      <c r="BA247" t="str">
        <f>'Ashed teabags wet'!A245</f>
        <v>G684</v>
      </c>
      <c r="BB247" t="str">
        <f>'Ashed teabags wet'!A665</f>
        <v>R457</v>
      </c>
      <c r="BC247" t="b">
        <f t="shared" si="177"/>
        <v>0</v>
      </c>
      <c r="BD247" t="b">
        <f t="shared" si="157"/>
        <v>0</v>
      </c>
      <c r="BF247" t="str">
        <f t="shared" si="178"/>
        <v>G5</v>
      </c>
      <c r="BG247" t="str">
        <f>T246</f>
        <v>G5</v>
      </c>
      <c r="BH247" t="str">
        <f t="shared" si="179"/>
        <v/>
      </c>
      <c r="BI247" t="str">
        <f t="shared" si="193"/>
        <v/>
      </c>
      <c r="BJ247" t="s">
        <v>2045</v>
      </c>
      <c r="BK247" t="s">
        <v>2045</v>
      </c>
      <c r="BL247" t="s">
        <v>2045</v>
      </c>
      <c r="BM247" t="b">
        <f t="shared" si="194"/>
        <v>1</v>
      </c>
      <c r="BN247" t="str">
        <f t="shared" si="180"/>
        <v>R735</v>
      </c>
      <c r="BO247" t="str">
        <f>U246</f>
        <v>R735</v>
      </c>
      <c r="BP247" t="str">
        <f t="shared" si="181"/>
        <v/>
      </c>
      <c r="BQ247" t="str">
        <f t="shared" si="182"/>
        <v/>
      </c>
      <c r="BR247" t="s">
        <v>404</v>
      </c>
      <c r="BS247" t="s">
        <v>403</v>
      </c>
      <c r="BT247" t="s">
        <v>404</v>
      </c>
      <c r="BU247" t="b">
        <f t="shared" si="195"/>
        <v>1</v>
      </c>
      <c r="BZ247" t="str">
        <f t="shared" si="183"/>
        <v/>
      </c>
      <c r="CA247" t="b">
        <f t="shared" si="184"/>
        <v>0</v>
      </c>
      <c r="CB247" t="str">
        <f t="shared" si="196"/>
        <v/>
      </c>
      <c r="CC247" t="str">
        <f t="shared" si="185"/>
        <v/>
      </c>
      <c r="CD247" t="b">
        <f t="shared" si="197"/>
        <v>0</v>
      </c>
      <c r="CE247" t="str">
        <f t="shared" si="198"/>
        <v/>
      </c>
      <c r="CG247" t="str">
        <f t="shared" si="186"/>
        <v>G682</v>
      </c>
      <c r="CH247" t="str">
        <f t="shared" si="199"/>
        <v>G682</v>
      </c>
      <c r="CI247" t="str">
        <f>AE246</f>
        <v>G456</v>
      </c>
      <c r="CJ247" t="str">
        <f t="shared" si="187"/>
        <v>G456</v>
      </c>
      <c r="CK247" t="s">
        <v>1368</v>
      </c>
      <c r="CL247" t="s">
        <v>1368</v>
      </c>
      <c r="CM247" t="s">
        <v>1368</v>
      </c>
      <c r="CN247" t="b">
        <f t="shared" si="200"/>
        <v>1</v>
      </c>
      <c r="CO247" t="str">
        <f t="shared" si="188"/>
        <v>R456</v>
      </c>
      <c r="CP247" t="str">
        <f t="shared" si="201"/>
        <v>R456</v>
      </c>
      <c r="CQ247" t="str">
        <f>AF246</f>
        <v>R132</v>
      </c>
      <c r="CR247" t="str">
        <f t="shared" si="189"/>
        <v>R132</v>
      </c>
      <c r="CS247" t="s">
        <v>685</v>
      </c>
      <c r="CT247" t="s">
        <v>685</v>
      </c>
      <c r="CU247" t="s">
        <v>685</v>
      </c>
      <c r="CV247" t="b">
        <f t="shared" si="202"/>
        <v>1</v>
      </c>
      <c r="DC247" t="str">
        <f t="shared" si="190"/>
        <v>G456</v>
      </c>
      <c r="DD247" t="b">
        <f t="shared" si="203"/>
        <v>0</v>
      </c>
      <c r="DE247" t="str">
        <f t="shared" si="204"/>
        <v>G456</v>
      </c>
      <c r="DF247" t="str">
        <f t="shared" si="191"/>
        <v>R132</v>
      </c>
      <c r="DG247" t="b">
        <f t="shared" si="205"/>
        <v>0</v>
      </c>
      <c r="DH247" t="str">
        <f t="shared" si="206"/>
        <v>R132</v>
      </c>
    </row>
    <row r="248" spans="2:112" ht="12" customHeight="1">
      <c r="B248" t="str">
        <f>TBIDry!H320</f>
        <v>G156</v>
      </c>
      <c r="C248" t="str">
        <f>TBIDry!I320</f>
        <v>R230</v>
      </c>
      <c r="D248" t="b">
        <f t="shared" si="158"/>
        <v>0</v>
      </c>
      <c r="E248" t="b">
        <f t="shared" si="159"/>
        <v>0</v>
      </c>
      <c r="G248" t="str">
        <f>TBIWet!H320</f>
        <v>G864</v>
      </c>
      <c r="H248" t="str">
        <f>TBIWet!I320</f>
        <v>R104</v>
      </c>
      <c r="I248" t="b">
        <f t="shared" si="160"/>
        <v>0</v>
      </c>
      <c r="J248" t="b">
        <f t="shared" si="161"/>
        <v>0</v>
      </c>
      <c r="L248" t="str">
        <f>'Both teabags AfterWet'!A246</f>
        <v>G685</v>
      </c>
      <c r="M248" t="str">
        <f>'Both teabags AfterWet'!A666</f>
        <v>R458</v>
      </c>
      <c r="N248" t="b">
        <f t="shared" si="162"/>
        <v>0</v>
      </c>
      <c r="O248" t="b">
        <f t="shared" si="207"/>
        <v>0</v>
      </c>
      <c r="Q248" s="395" t="b">
        <f t="shared" si="163"/>
        <v>0</v>
      </c>
      <c r="R248" s="395" t="b">
        <f t="shared" si="164"/>
        <v>0</v>
      </c>
      <c r="T248" t="str">
        <f>'Both teabags AfterDry'!A246</f>
        <v>G501</v>
      </c>
      <c r="U248" t="str">
        <f>'Both teabags AfterDry'!A581</f>
        <v>R737</v>
      </c>
      <c r="V248" t="b">
        <f t="shared" si="165"/>
        <v>0</v>
      </c>
      <c r="W248" t="b">
        <f t="shared" si="192"/>
        <v>0</v>
      </c>
      <c r="Y248" t="str">
        <f>'Green_rooibos initial weight'!A249</f>
        <v>G245</v>
      </c>
      <c r="Z248" t="str">
        <f>'Green_rooibos initial weight'!A1153</f>
        <v>R245</v>
      </c>
      <c r="AA248" t="b">
        <f t="shared" si="166"/>
        <v>0</v>
      </c>
      <c r="AB248" t="b">
        <f t="shared" si="167"/>
        <v>0</v>
      </c>
      <c r="AE248" t="str">
        <f>'WetLitterbags placem_collection'!O27</f>
        <v>G864</v>
      </c>
      <c r="AF248" t="str">
        <f>'WetLitterbags placem_collection'!Q27</f>
        <v>R104</v>
      </c>
      <c r="AG248" t="b">
        <f t="shared" si="168"/>
        <v>0</v>
      </c>
      <c r="AH248" t="b">
        <f t="shared" si="169"/>
        <v>0</v>
      </c>
      <c r="AJ248" t="b">
        <f t="shared" si="170"/>
        <v>0</v>
      </c>
      <c r="AK248" t="b">
        <f t="shared" si="171"/>
        <v>0</v>
      </c>
      <c r="AM248" t="str">
        <f>IF(ISBLANK('Dry_Litterbag Placem_Collection'!L27),"","G"&amp;""&amp;'Dry_Litterbag Placem_Collection'!L27)</f>
        <v>G156</v>
      </c>
      <c r="AN248" t="str">
        <f>IF(ISBLANK('Dry_Litterbag Placem_Collection'!M27),"","R"&amp;""&amp;'Dry_Litterbag Placem_Collection'!M27)</f>
        <v>R230</v>
      </c>
      <c r="AO248" t="b">
        <f t="shared" si="172"/>
        <v>0</v>
      </c>
      <c r="AP248" t="b">
        <f t="shared" si="173"/>
        <v>0</v>
      </c>
      <c r="AS248" t="str">
        <f>'Ashed teabags dry'!A246</f>
        <v>G501</v>
      </c>
      <c r="AT248" t="str">
        <f>'Ashed teabags dry'!A581</f>
        <v>R737</v>
      </c>
      <c r="AU248" t="b">
        <f t="shared" si="174"/>
        <v>0</v>
      </c>
      <c r="AV248" t="b">
        <f>COUNTIF($AT$4:$AT$2000, AT248)&gt;1</f>
        <v>0</v>
      </c>
      <c r="AX248" s="395" t="b">
        <f t="shared" si="175"/>
        <v>0</v>
      </c>
      <c r="AY248" s="395" t="b">
        <f t="shared" si="176"/>
        <v>0</v>
      </c>
      <c r="BA248" t="str">
        <f>'Ashed teabags wet'!A246</f>
        <v>G685</v>
      </c>
      <c r="BB248" t="str">
        <f>'Ashed teabags wet'!A666</f>
        <v>R458</v>
      </c>
      <c r="BC248" t="b">
        <f t="shared" si="177"/>
        <v>0</v>
      </c>
      <c r="BD248" t="b">
        <f t="shared" si="157"/>
        <v>0</v>
      </c>
      <c r="BF248" t="str">
        <f t="shared" si="178"/>
        <v>G50</v>
      </c>
      <c r="BG248" t="str">
        <f>T247</f>
        <v>G50</v>
      </c>
      <c r="BH248" t="str">
        <f t="shared" si="179"/>
        <v>G562</v>
      </c>
      <c r="BI248" t="str">
        <f t="shared" si="193"/>
        <v>G562</v>
      </c>
      <c r="BJ248" t="s">
        <v>2000</v>
      </c>
      <c r="BK248" t="s">
        <v>2000</v>
      </c>
      <c r="BL248" t="s">
        <v>2000</v>
      </c>
      <c r="BM248" t="b">
        <f t="shared" si="194"/>
        <v>1</v>
      </c>
      <c r="BN248" t="str">
        <f t="shared" si="180"/>
        <v>R736</v>
      </c>
      <c r="BO248" t="str">
        <f>U247</f>
        <v>R736</v>
      </c>
      <c r="BP248" t="str">
        <f t="shared" si="181"/>
        <v>R650</v>
      </c>
      <c r="BQ248" t="str">
        <f t="shared" si="182"/>
        <v>R650</v>
      </c>
      <c r="BR248" t="s">
        <v>403</v>
      </c>
      <c r="BS248" t="s">
        <v>402</v>
      </c>
      <c r="BT248" t="s">
        <v>403</v>
      </c>
      <c r="BU248" t="b">
        <f t="shared" si="195"/>
        <v>1</v>
      </c>
      <c r="BZ248" t="str">
        <f t="shared" si="183"/>
        <v>G562</v>
      </c>
      <c r="CA248" t="b">
        <f t="shared" si="184"/>
        <v>0</v>
      </c>
      <c r="CB248" t="str">
        <f t="shared" si="196"/>
        <v>G562</v>
      </c>
      <c r="CC248" t="str">
        <f t="shared" si="185"/>
        <v>R650</v>
      </c>
      <c r="CD248" t="b">
        <f t="shared" si="197"/>
        <v>0</v>
      </c>
      <c r="CE248" t="str">
        <f t="shared" si="198"/>
        <v>R650</v>
      </c>
      <c r="CG248" t="str">
        <f t="shared" si="186"/>
        <v>G684</v>
      </c>
      <c r="CH248" t="str">
        <f t="shared" si="199"/>
        <v>G684</v>
      </c>
      <c r="CI248" t="str">
        <f>AE247</f>
        <v>G421</v>
      </c>
      <c r="CJ248" t="str">
        <f t="shared" si="187"/>
        <v>G421</v>
      </c>
      <c r="CK248" t="s">
        <v>1366</v>
      </c>
      <c r="CL248" t="s">
        <v>1366</v>
      </c>
      <c r="CM248" t="s">
        <v>1366</v>
      </c>
      <c r="CN248" t="b">
        <f t="shared" si="200"/>
        <v>1</v>
      </c>
      <c r="CO248" t="str">
        <f t="shared" si="188"/>
        <v>R457</v>
      </c>
      <c r="CP248" t="str">
        <f t="shared" si="201"/>
        <v>R457</v>
      </c>
      <c r="CQ248" t="str">
        <f>AF247</f>
        <v>R71</v>
      </c>
      <c r="CR248" t="str">
        <f t="shared" si="189"/>
        <v>R71</v>
      </c>
      <c r="CS248" t="s">
        <v>684</v>
      </c>
      <c r="CT248" t="s">
        <v>684</v>
      </c>
      <c r="CU248" t="s">
        <v>684</v>
      </c>
      <c r="CV248" t="b">
        <f t="shared" si="202"/>
        <v>1</v>
      </c>
      <c r="DC248" t="str">
        <f t="shared" si="190"/>
        <v>G421</v>
      </c>
      <c r="DD248" t="b">
        <f t="shared" si="203"/>
        <v>0</v>
      </c>
      <c r="DE248" t="str">
        <f t="shared" si="204"/>
        <v>G421</v>
      </c>
      <c r="DF248" t="str">
        <f t="shared" si="191"/>
        <v>R71</v>
      </c>
      <c r="DG248" t="b">
        <f t="shared" si="205"/>
        <v>0</v>
      </c>
      <c r="DH248" t="str">
        <f t="shared" si="206"/>
        <v>R71</v>
      </c>
    </row>
    <row r="249" spans="2:112" ht="12" customHeight="1">
      <c r="B249" t="str">
        <f>TBIDry!H321</f>
        <v>G555</v>
      </c>
      <c r="C249" t="str">
        <f>TBIDry!I321</f>
        <v>R642</v>
      </c>
      <c r="D249" t="b">
        <f t="shared" si="158"/>
        <v>0</v>
      </c>
      <c r="E249" t="b">
        <f t="shared" si="159"/>
        <v>0</v>
      </c>
      <c r="G249" t="str">
        <f>TBIWet!H321</f>
        <v>G506</v>
      </c>
      <c r="H249" t="str">
        <f>TBIWet!I321</f>
        <v>R189</v>
      </c>
      <c r="I249" t="b">
        <f t="shared" si="160"/>
        <v>0</v>
      </c>
      <c r="J249" t="b">
        <f t="shared" si="161"/>
        <v>0</v>
      </c>
      <c r="L249" t="str">
        <f>'Both teabags AfterWet'!A247</f>
        <v>G686</v>
      </c>
      <c r="M249" t="str">
        <f>'Both teabags AfterWet'!A667</f>
        <v>R459</v>
      </c>
      <c r="N249" t="b">
        <f t="shared" si="162"/>
        <v>0</v>
      </c>
      <c r="O249" t="b">
        <f t="shared" si="207"/>
        <v>0</v>
      </c>
      <c r="Q249" s="395" t="b">
        <f t="shared" si="163"/>
        <v>0</v>
      </c>
      <c r="R249" s="395" t="b">
        <f t="shared" si="164"/>
        <v>0</v>
      </c>
      <c r="T249" t="str">
        <f>'Both teabags AfterDry'!A247</f>
        <v>G51</v>
      </c>
      <c r="U249" t="str">
        <f>'Both teabags AfterDry'!A582</f>
        <v>R739</v>
      </c>
      <c r="V249" t="b">
        <f t="shared" si="165"/>
        <v>0</v>
      </c>
      <c r="W249" t="b">
        <f t="shared" si="192"/>
        <v>0</v>
      </c>
      <c r="Y249" t="str">
        <f>'Green_rooibos initial weight'!A250</f>
        <v>G246</v>
      </c>
      <c r="Z249" t="str">
        <f>'Green_rooibos initial weight'!A1154</f>
        <v>R246</v>
      </c>
      <c r="AA249" t="b">
        <f t="shared" si="166"/>
        <v>0</v>
      </c>
      <c r="AB249" t="b">
        <f t="shared" si="167"/>
        <v>0</v>
      </c>
      <c r="AE249" t="str">
        <f>'WetLitterbags placem_collection'!O28</f>
        <v>G506</v>
      </c>
      <c r="AF249" t="str">
        <f>'WetLitterbags placem_collection'!Q28</f>
        <v>R189</v>
      </c>
      <c r="AG249" t="b">
        <f t="shared" si="168"/>
        <v>0</v>
      </c>
      <c r="AH249" t="b">
        <f t="shared" si="169"/>
        <v>0</v>
      </c>
      <c r="AJ249" t="b">
        <f t="shared" si="170"/>
        <v>0</v>
      </c>
      <c r="AK249" t="b">
        <f t="shared" si="171"/>
        <v>0</v>
      </c>
      <c r="AM249" t="str">
        <f>IF(ISBLANK('Dry_Litterbag Placem_Collection'!L28),"","G"&amp;""&amp;'Dry_Litterbag Placem_Collection'!L28)</f>
        <v>G555</v>
      </c>
      <c r="AN249" t="str">
        <f>IF(ISBLANK('Dry_Litterbag Placem_Collection'!M28),"","R"&amp;""&amp;'Dry_Litterbag Placem_Collection'!M28)</f>
        <v>R642</v>
      </c>
      <c r="AO249" t="b">
        <f t="shared" si="172"/>
        <v>0</v>
      </c>
      <c r="AP249" t="b">
        <f t="shared" si="173"/>
        <v>0</v>
      </c>
      <c r="AS249" t="str">
        <f>'Ashed teabags dry'!A247</f>
        <v>G51</v>
      </c>
      <c r="AT249" t="str">
        <f>'Ashed teabags dry'!A582</f>
        <v>R739</v>
      </c>
      <c r="AU249" t="b">
        <f t="shared" si="174"/>
        <v>0</v>
      </c>
      <c r="AV249" t="b">
        <f>COUNTIF($AT$4:$AT$2000, AT249)&gt;1</f>
        <v>0</v>
      </c>
      <c r="AX249" s="395" t="b">
        <f t="shared" si="175"/>
        <v>0</v>
      </c>
      <c r="AY249" s="395" t="b">
        <f t="shared" si="176"/>
        <v>0</v>
      </c>
      <c r="BA249" t="str">
        <f>'Ashed teabags wet'!A247</f>
        <v>G686</v>
      </c>
      <c r="BB249" t="str">
        <f>'Ashed teabags wet'!A667</f>
        <v>R459</v>
      </c>
      <c r="BC249" t="b">
        <f t="shared" si="177"/>
        <v>0</v>
      </c>
      <c r="BD249" t="b">
        <f t="shared" si="157"/>
        <v>0</v>
      </c>
      <c r="BF249" t="str">
        <f t="shared" si="178"/>
        <v>G501</v>
      </c>
      <c r="BG249" t="str">
        <f>T248</f>
        <v>G501</v>
      </c>
      <c r="BH249" t="str">
        <f t="shared" si="179"/>
        <v>G156</v>
      </c>
      <c r="BI249" t="str">
        <f t="shared" si="193"/>
        <v>G156</v>
      </c>
      <c r="BJ249" t="s">
        <v>1549</v>
      </c>
      <c r="BK249" t="s">
        <v>1549</v>
      </c>
      <c r="BL249" t="s">
        <v>1549</v>
      </c>
      <c r="BM249" t="b">
        <f t="shared" si="194"/>
        <v>1</v>
      </c>
      <c r="BN249" t="str">
        <f t="shared" si="180"/>
        <v>R737</v>
      </c>
      <c r="BO249" t="str">
        <f>U248</f>
        <v>R737</v>
      </c>
      <c r="BP249" t="str">
        <f t="shared" si="181"/>
        <v>R230</v>
      </c>
      <c r="BQ249" t="str">
        <f t="shared" si="182"/>
        <v>R230</v>
      </c>
      <c r="BR249" t="s">
        <v>402</v>
      </c>
      <c r="BS249" t="s">
        <v>400</v>
      </c>
      <c r="BT249" t="s">
        <v>402</v>
      </c>
      <c r="BU249" t="b">
        <f t="shared" si="195"/>
        <v>1</v>
      </c>
      <c r="BZ249" t="str">
        <f t="shared" si="183"/>
        <v>G156</v>
      </c>
      <c r="CA249" t="b">
        <f t="shared" si="184"/>
        <v>0</v>
      </c>
      <c r="CB249" t="str">
        <f t="shared" si="196"/>
        <v>G156</v>
      </c>
      <c r="CC249" t="str">
        <f t="shared" si="185"/>
        <v>R230</v>
      </c>
      <c r="CD249" t="b">
        <f t="shared" si="197"/>
        <v>0</v>
      </c>
      <c r="CE249" t="str">
        <f t="shared" si="198"/>
        <v>R230</v>
      </c>
      <c r="CG249" t="str">
        <f t="shared" si="186"/>
        <v>G685</v>
      </c>
      <c r="CH249" t="str">
        <f t="shared" si="199"/>
        <v>G685</v>
      </c>
      <c r="CI249" t="str">
        <f>AE248</f>
        <v>G864</v>
      </c>
      <c r="CJ249" t="str">
        <f t="shared" si="187"/>
        <v>G864</v>
      </c>
      <c r="CK249" t="s">
        <v>1365</v>
      </c>
      <c r="CL249" t="s">
        <v>1365</v>
      </c>
      <c r="CM249" t="s">
        <v>1365</v>
      </c>
      <c r="CN249" t="b">
        <f t="shared" si="200"/>
        <v>1</v>
      </c>
      <c r="CO249" t="str">
        <f t="shared" si="188"/>
        <v>R458</v>
      </c>
      <c r="CP249" t="str">
        <f t="shared" si="201"/>
        <v>R458</v>
      </c>
      <c r="CQ249" t="str">
        <f>AF248</f>
        <v>R104</v>
      </c>
      <c r="CR249" t="str">
        <f t="shared" si="189"/>
        <v>R104</v>
      </c>
      <c r="CS249" t="s">
        <v>683</v>
      </c>
      <c r="CT249" t="s">
        <v>683</v>
      </c>
      <c r="CU249" t="s">
        <v>683</v>
      </c>
      <c r="CV249" t="b">
        <f t="shared" si="202"/>
        <v>1</v>
      </c>
      <c r="DC249" t="str">
        <f t="shared" si="190"/>
        <v>G864</v>
      </c>
      <c r="DD249" t="b">
        <f t="shared" si="203"/>
        <v>0</v>
      </c>
      <c r="DE249" t="str">
        <f t="shared" si="204"/>
        <v>G864</v>
      </c>
      <c r="DF249" t="str">
        <f t="shared" si="191"/>
        <v>R104</v>
      </c>
      <c r="DG249" t="b">
        <f t="shared" si="205"/>
        <v>0</v>
      </c>
      <c r="DH249" t="str">
        <f t="shared" si="206"/>
        <v>R104</v>
      </c>
    </row>
    <row r="250" spans="2:112" ht="12" customHeight="1">
      <c r="B250" t="str">
        <f>TBIDry!H322</f>
        <v>G378</v>
      </c>
      <c r="C250" t="str">
        <f>TBIDry!I322</f>
        <v>R199</v>
      </c>
      <c r="D250" t="b">
        <f t="shared" si="158"/>
        <v>0</v>
      </c>
      <c r="E250" t="b">
        <f t="shared" si="159"/>
        <v>0</v>
      </c>
      <c r="G250" t="str">
        <f>TBIWet!H322</f>
        <v>G449</v>
      </c>
      <c r="H250" t="str">
        <f>TBIWet!I322</f>
        <v>R217</v>
      </c>
      <c r="I250" t="b">
        <f t="shared" si="160"/>
        <v>0</v>
      </c>
      <c r="J250" t="b">
        <f t="shared" si="161"/>
        <v>0</v>
      </c>
      <c r="L250" t="str">
        <f>'Both teabags AfterWet'!A248</f>
        <v>G687</v>
      </c>
      <c r="M250" t="str">
        <f>'Both teabags AfterWet'!A668</f>
        <v>R46</v>
      </c>
      <c r="N250" t="b">
        <f t="shared" si="162"/>
        <v>0</v>
      </c>
      <c r="O250" t="b">
        <f t="shared" si="207"/>
        <v>0</v>
      </c>
      <c r="Q250" s="395" t="b">
        <f t="shared" si="163"/>
        <v>0</v>
      </c>
      <c r="R250" s="395" t="b">
        <f t="shared" si="164"/>
        <v>0</v>
      </c>
      <c r="T250" t="str">
        <f>'Both teabags AfterDry'!A248</f>
        <v>G515</v>
      </c>
      <c r="U250" t="str">
        <f>'Both teabags AfterDry'!A583</f>
        <v>R740</v>
      </c>
      <c r="V250" t="b">
        <f t="shared" si="165"/>
        <v>0</v>
      </c>
      <c r="W250" t="b">
        <f t="shared" si="192"/>
        <v>0</v>
      </c>
      <c r="Y250" t="str">
        <f>'Green_rooibos initial weight'!A251</f>
        <v>G247</v>
      </c>
      <c r="Z250" t="str">
        <f>'Green_rooibos initial weight'!A1155</f>
        <v>R247</v>
      </c>
      <c r="AA250" t="b">
        <f t="shared" si="166"/>
        <v>0</v>
      </c>
      <c r="AB250" t="b">
        <f t="shared" si="167"/>
        <v>0</v>
      </c>
      <c r="AE250" t="str">
        <f>'WetLitterbags placem_collection'!O29</f>
        <v>G449</v>
      </c>
      <c r="AF250" t="str">
        <f>'WetLitterbags placem_collection'!Q29</f>
        <v>R217</v>
      </c>
      <c r="AG250" t="b">
        <f t="shared" si="168"/>
        <v>0</v>
      </c>
      <c r="AH250" t="b">
        <f t="shared" si="169"/>
        <v>0</v>
      </c>
      <c r="AJ250" t="b">
        <f t="shared" si="170"/>
        <v>0</v>
      </c>
      <c r="AK250" t="b">
        <f t="shared" si="171"/>
        <v>0</v>
      </c>
      <c r="AM250" t="str">
        <f>IF(ISBLANK('Dry_Litterbag Placem_Collection'!L29),"","G"&amp;""&amp;'Dry_Litterbag Placem_Collection'!L29)</f>
        <v>G378</v>
      </c>
      <c r="AN250" t="str">
        <f>IF(ISBLANK('Dry_Litterbag Placem_Collection'!M29),"","R"&amp;""&amp;'Dry_Litterbag Placem_Collection'!M29)</f>
        <v>R199</v>
      </c>
      <c r="AO250" t="b">
        <f t="shared" si="172"/>
        <v>0</v>
      </c>
      <c r="AP250" t="b">
        <f t="shared" si="173"/>
        <v>0</v>
      </c>
      <c r="AS250" t="str">
        <f>'Ashed teabags dry'!A248</f>
        <v>G515</v>
      </c>
      <c r="AT250" t="str">
        <f>'Ashed teabags dry'!A583</f>
        <v>R740</v>
      </c>
      <c r="AU250" t="b">
        <f t="shared" si="174"/>
        <v>0</v>
      </c>
      <c r="AV250" t="b">
        <f>COUNTIF($AT$4:$AT$2000, AT250)&gt;1</f>
        <v>0</v>
      </c>
      <c r="AX250" s="395" t="b">
        <f t="shared" si="175"/>
        <v>0</v>
      </c>
      <c r="AY250" s="395" t="b">
        <f t="shared" si="176"/>
        <v>0</v>
      </c>
      <c r="BA250" t="str">
        <f>'Ashed teabags wet'!A248</f>
        <v>G687</v>
      </c>
      <c r="BB250" t="str">
        <f>'Ashed teabags wet'!A668</f>
        <v>R46</v>
      </c>
      <c r="BC250" t="b">
        <f t="shared" si="177"/>
        <v>0</v>
      </c>
      <c r="BD250" t="b">
        <f t="shared" si="157"/>
        <v>0</v>
      </c>
      <c r="BF250" t="str">
        <f t="shared" si="178"/>
        <v>G51</v>
      </c>
      <c r="BG250" t="str">
        <f>T249</f>
        <v>G51</v>
      </c>
      <c r="BH250" t="str">
        <f t="shared" si="179"/>
        <v>G555</v>
      </c>
      <c r="BI250" t="str">
        <f t="shared" si="193"/>
        <v>G555</v>
      </c>
      <c r="BJ250" t="s">
        <v>1999</v>
      </c>
      <c r="BK250" t="s">
        <v>1999</v>
      </c>
      <c r="BL250" t="s">
        <v>1999</v>
      </c>
      <c r="BM250" t="b">
        <f t="shared" si="194"/>
        <v>1</v>
      </c>
      <c r="BN250" t="str">
        <f t="shared" si="180"/>
        <v>R739</v>
      </c>
      <c r="BO250" t="str">
        <f>U249</f>
        <v>R739</v>
      </c>
      <c r="BP250" t="str">
        <f t="shared" si="181"/>
        <v>R642</v>
      </c>
      <c r="BQ250" t="str">
        <f t="shared" si="182"/>
        <v>R642</v>
      </c>
      <c r="BR250" t="s">
        <v>400</v>
      </c>
      <c r="BS250" t="s">
        <v>399</v>
      </c>
      <c r="BT250" t="s">
        <v>400</v>
      </c>
      <c r="BU250" t="b">
        <f t="shared" si="195"/>
        <v>1</v>
      </c>
      <c r="BZ250" t="str">
        <f t="shared" si="183"/>
        <v>G555</v>
      </c>
      <c r="CA250" t="b">
        <f t="shared" si="184"/>
        <v>0</v>
      </c>
      <c r="CB250" t="str">
        <f t="shared" si="196"/>
        <v>G555</v>
      </c>
      <c r="CC250" t="str">
        <f t="shared" si="185"/>
        <v>R642</v>
      </c>
      <c r="CD250" t="b">
        <f t="shared" si="197"/>
        <v>0</v>
      </c>
      <c r="CE250" t="str">
        <f t="shared" si="198"/>
        <v>R642</v>
      </c>
      <c r="CG250" t="str">
        <f t="shared" si="186"/>
        <v>G686</v>
      </c>
      <c r="CH250" t="str">
        <f t="shared" si="199"/>
        <v>G686</v>
      </c>
      <c r="CI250" t="str">
        <f>AE249</f>
        <v>G506</v>
      </c>
      <c r="CJ250" t="str">
        <f t="shared" si="187"/>
        <v>G506</v>
      </c>
      <c r="CK250" t="s">
        <v>1364</v>
      </c>
      <c r="CL250" t="s">
        <v>1364</v>
      </c>
      <c r="CM250" t="s">
        <v>1364</v>
      </c>
      <c r="CN250" t="b">
        <f t="shared" si="200"/>
        <v>1</v>
      </c>
      <c r="CO250" t="str">
        <f t="shared" si="188"/>
        <v>R459</v>
      </c>
      <c r="CP250" t="str">
        <f t="shared" si="201"/>
        <v>R459</v>
      </c>
      <c r="CQ250" t="str">
        <f>AF249</f>
        <v>R189</v>
      </c>
      <c r="CR250" t="str">
        <f t="shared" si="189"/>
        <v>R189</v>
      </c>
      <c r="CS250" t="s">
        <v>682</v>
      </c>
      <c r="CT250" t="s">
        <v>682</v>
      </c>
      <c r="CU250" t="s">
        <v>682</v>
      </c>
      <c r="CV250" t="b">
        <f t="shared" si="202"/>
        <v>1</v>
      </c>
      <c r="DC250" t="str">
        <f t="shared" si="190"/>
        <v>G506</v>
      </c>
      <c r="DD250" t="b">
        <f t="shared" si="203"/>
        <v>0</v>
      </c>
      <c r="DE250" t="str">
        <f t="shared" si="204"/>
        <v>G506</v>
      </c>
      <c r="DF250" t="str">
        <f t="shared" si="191"/>
        <v>R189</v>
      </c>
      <c r="DG250" t="b">
        <f t="shared" si="205"/>
        <v>0</v>
      </c>
      <c r="DH250" t="str">
        <f t="shared" si="206"/>
        <v>R189</v>
      </c>
    </row>
    <row r="251" spans="2:112" ht="12" customHeight="1">
      <c r="B251" t="str">
        <f>TBIDry!H323</f>
        <v>G46</v>
      </c>
      <c r="C251" t="str">
        <f>TBIDry!I323</f>
        <v>R162</v>
      </c>
      <c r="D251" t="b">
        <f t="shared" si="158"/>
        <v>0</v>
      </c>
      <c r="E251" t="b">
        <f t="shared" si="159"/>
        <v>0</v>
      </c>
      <c r="G251" t="str">
        <f>TBIWet!H323</f>
        <v>G502</v>
      </c>
      <c r="H251" t="str">
        <f>TBIWet!I323</f>
        <v>R172</v>
      </c>
      <c r="I251" t="b">
        <f t="shared" si="160"/>
        <v>0</v>
      </c>
      <c r="J251" t="b">
        <f t="shared" si="161"/>
        <v>0</v>
      </c>
      <c r="L251" t="str">
        <f>'Both teabags AfterWet'!A249</f>
        <v>G688</v>
      </c>
      <c r="M251" t="str">
        <f>'Both teabags AfterWet'!A669</f>
        <v>R460</v>
      </c>
      <c r="N251" t="b">
        <f t="shared" si="162"/>
        <v>0</v>
      </c>
      <c r="O251" t="b">
        <f t="shared" si="207"/>
        <v>0</v>
      </c>
      <c r="Q251" s="395" t="b">
        <f t="shared" si="163"/>
        <v>0</v>
      </c>
      <c r="R251" s="395" t="b">
        <f t="shared" si="164"/>
        <v>0</v>
      </c>
      <c r="T251" t="str">
        <f>'Both teabags AfterDry'!A249</f>
        <v>G517</v>
      </c>
      <c r="U251" t="str">
        <f>'Both teabags AfterDry'!A584</f>
        <v>R741</v>
      </c>
      <c r="V251" t="b">
        <f t="shared" si="165"/>
        <v>0</v>
      </c>
      <c r="W251" t="b">
        <f t="shared" si="192"/>
        <v>0</v>
      </c>
      <c r="Y251" t="str">
        <f>'Green_rooibos initial weight'!A252</f>
        <v>G248</v>
      </c>
      <c r="Z251" t="str">
        <f>'Green_rooibos initial weight'!A1156</f>
        <v>R248</v>
      </c>
      <c r="AA251" t="b">
        <f t="shared" si="166"/>
        <v>0</v>
      </c>
      <c r="AB251" t="b">
        <f t="shared" si="167"/>
        <v>0</v>
      </c>
      <c r="AE251" t="str">
        <f>'WetLitterbags placem_collection'!O30</f>
        <v>G502</v>
      </c>
      <c r="AF251" t="str">
        <f>'WetLitterbags placem_collection'!Q30</f>
        <v>R172</v>
      </c>
      <c r="AG251" t="b">
        <f t="shared" si="168"/>
        <v>0</v>
      </c>
      <c r="AH251" t="b">
        <f t="shared" si="169"/>
        <v>0</v>
      </c>
      <c r="AJ251" t="b">
        <f t="shared" si="170"/>
        <v>0</v>
      </c>
      <c r="AK251" t="b">
        <f t="shared" si="171"/>
        <v>0</v>
      </c>
      <c r="AM251" t="str">
        <f>IF(ISBLANK('Dry_Litterbag Placem_Collection'!L30),"","G"&amp;""&amp;'Dry_Litterbag Placem_Collection'!L30)</f>
        <v>G46</v>
      </c>
      <c r="AN251" t="str">
        <f>IF(ISBLANK('Dry_Litterbag Placem_Collection'!M30),"","R"&amp;""&amp;'Dry_Litterbag Placem_Collection'!M30)</f>
        <v>R162</v>
      </c>
      <c r="AO251" t="b">
        <f t="shared" si="172"/>
        <v>0</v>
      </c>
      <c r="AP251" t="b">
        <f t="shared" si="173"/>
        <v>0</v>
      </c>
      <c r="AS251" t="str">
        <f>'Ashed teabags dry'!A249</f>
        <v>G517</v>
      </c>
      <c r="AT251" t="str">
        <f>'Ashed teabags dry'!A584</f>
        <v>R741</v>
      </c>
      <c r="AU251" t="b">
        <f t="shared" si="174"/>
        <v>0</v>
      </c>
      <c r="AV251" t="b">
        <f>COUNTIF($AT$4:$AT$2000, AT251)&gt;1</f>
        <v>0</v>
      </c>
      <c r="AX251" s="395" t="b">
        <f t="shared" si="175"/>
        <v>0</v>
      </c>
      <c r="AY251" s="395" t="b">
        <f t="shared" si="176"/>
        <v>0</v>
      </c>
      <c r="BA251" t="str">
        <f>'Ashed teabags wet'!A249</f>
        <v>G688</v>
      </c>
      <c r="BB251" t="str">
        <f>'Ashed teabags wet'!A669</f>
        <v>R460</v>
      </c>
      <c r="BC251" t="b">
        <f t="shared" si="177"/>
        <v>0</v>
      </c>
      <c r="BD251" t="b">
        <f t="shared" si="157"/>
        <v>0</v>
      </c>
      <c r="BF251" t="str">
        <f t="shared" si="178"/>
        <v>G515</v>
      </c>
      <c r="BG251" t="str">
        <f>T250</f>
        <v>G515</v>
      </c>
      <c r="BH251" t="str">
        <f t="shared" si="179"/>
        <v>G378</v>
      </c>
      <c r="BI251" t="str">
        <f t="shared" si="193"/>
        <v/>
      </c>
      <c r="BJ251" t="s">
        <v>1535</v>
      </c>
      <c r="BK251" t="s">
        <v>1535</v>
      </c>
      <c r="BL251" t="s">
        <v>1535</v>
      </c>
      <c r="BM251" t="b">
        <f t="shared" si="194"/>
        <v>1</v>
      </c>
      <c r="BN251" t="str">
        <f t="shared" si="180"/>
        <v>R740</v>
      </c>
      <c r="BO251" t="str">
        <f>U250</f>
        <v>R740</v>
      </c>
      <c r="BP251" t="str">
        <f t="shared" si="181"/>
        <v>R199</v>
      </c>
      <c r="BQ251" t="str">
        <f t="shared" si="182"/>
        <v/>
      </c>
      <c r="BR251" t="s">
        <v>399</v>
      </c>
      <c r="BS251" t="s">
        <v>398</v>
      </c>
      <c r="BT251" t="s">
        <v>399</v>
      </c>
      <c r="BU251" t="b">
        <f t="shared" si="195"/>
        <v>1</v>
      </c>
      <c r="BZ251" t="str">
        <f t="shared" si="183"/>
        <v>G378</v>
      </c>
      <c r="CA251" t="b">
        <f t="shared" si="184"/>
        <v>1</v>
      </c>
      <c r="CB251" t="str">
        <f t="shared" si="196"/>
        <v/>
      </c>
      <c r="CC251" t="str">
        <f t="shared" si="185"/>
        <v>R199</v>
      </c>
      <c r="CD251" t="b">
        <f t="shared" si="197"/>
        <v>1</v>
      </c>
      <c r="CE251" t="str">
        <f t="shared" si="198"/>
        <v/>
      </c>
      <c r="CG251" t="str">
        <f t="shared" si="186"/>
        <v>G687</v>
      </c>
      <c r="CH251" t="str">
        <f t="shared" si="199"/>
        <v>G687</v>
      </c>
      <c r="CI251" t="str">
        <f>AE250</f>
        <v>G449</v>
      </c>
      <c r="CJ251" t="str">
        <f t="shared" si="187"/>
        <v>G449</v>
      </c>
      <c r="CK251" t="s">
        <v>1363</v>
      </c>
      <c r="CL251" t="s">
        <v>1363</v>
      </c>
      <c r="CM251" t="s">
        <v>1363</v>
      </c>
      <c r="CN251" t="b">
        <f t="shared" si="200"/>
        <v>1</v>
      </c>
      <c r="CO251" t="str">
        <f t="shared" si="188"/>
        <v>R46</v>
      </c>
      <c r="CP251" t="str">
        <f t="shared" si="201"/>
        <v>R46</v>
      </c>
      <c r="CQ251" t="str">
        <f>AF250</f>
        <v>R217</v>
      </c>
      <c r="CR251" t="str">
        <f t="shared" si="189"/>
        <v>R217</v>
      </c>
      <c r="CS251" t="s">
        <v>1095</v>
      </c>
      <c r="CT251" t="s">
        <v>1095</v>
      </c>
      <c r="CU251" t="s">
        <v>1095</v>
      </c>
      <c r="CV251" t="b">
        <f t="shared" si="202"/>
        <v>1</v>
      </c>
      <c r="DC251" t="str">
        <f t="shared" si="190"/>
        <v>G449</v>
      </c>
      <c r="DD251" t="b">
        <f t="shared" si="203"/>
        <v>0</v>
      </c>
      <c r="DE251" t="str">
        <f t="shared" si="204"/>
        <v>G449</v>
      </c>
      <c r="DF251" t="str">
        <f t="shared" si="191"/>
        <v>R217</v>
      </c>
      <c r="DG251" t="b">
        <f t="shared" si="205"/>
        <v>0</v>
      </c>
      <c r="DH251" t="str">
        <f t="shared" si="206"/>
        <v>R217</v>
      </c>
    </row>
    <row r="252" spans="2:112" ht="12" customHeight="1">
      <c r="B252" t="str">
        <f>TBIDry!H324</f>
        <v>G397</v>
      </c>
      <c r="C252" t="str">
        <f>TBIDry!I324</f>
        <v>R163</v>
      </c>
      <c r="D252" t="b">
        <f t="shared" si="158"/>
        <v>0</v>
      </c>
      <c r="E252" t="b">
        <f t="shared" si="159"/>
        <v>0</v>
      </c>
      <c r="G252" t="str">
        <f>TBIWet!H324</f>
        <v>G345</v>
      </c>
      <c r="H252" t="str">
        <f>TBIWet!I324</f>
        <v>R349</v>
      </c>
      <c r="I252" t="b">
        <f t="shared" si="160"/>
        <v>0</v>
      </c>
      <c r="J252" t="b">
        <f t="shared" si="161"/>
        <v>0</v>
      </c>
      <c r="L252" t="str">
        <f>'Both teabags AfterWet'!A250</f>
        <v>G689</v>
      </c>
      <c r="M252" t="str">
        <f>'Both teabags AfterWet'!A670</f>
        <v>R461</v>
      </c>
      <c r="N252" t="b">
        <f t="shared" si="162"/>
        <v>0</v>
      </c>
      <c r="O252" t="b">
        <f t="shared" si="207"/>
        <v>0</v>
      </c>
      <c r="Q252" s="395" t="b">
        <f t="shared" si="163"/>
        <v>0</v>
      </c>
      <c r="R252" s="395" t="b">
        <f t="shared" si="164"/>
        <v>0</v>
      </c>
      <c r="T252" t="str">
        <f>'Both teabags AfterDry'!A250</f>
        <v>G531</v>
      </c>
      <c r="U252" t="str">
        <f>'Both teabags AfterDry'!A585</f>
        <v>R742</v>
      </c>
      <c r="V252" t="b">
        <f t="shared" si="165"/>
        <v>0</v>
      </c>
      <c r="W252" t="b">
        <f t="shared" si="192"/>
        <v>0</v>
      </c>
      <c r="Y252" t="str">
        <f>'Green_rooibos initial weight'!A253</f>
        <v>G249</v>
      </c>
      <c r="Z252" t="str">
        <f>'Green_rooibos initial weight'!A1157</f>
        <v>R249</v>
      </c>
      <c r="AA252" t="b">
        <f t="shared" si="166"/>
        <v>0</v>
      </c>
      <c r="AB252" t="b">
        <f t="shared" si="167"/>
        <v>0</v>
      </c>
      <c r="AE252" t="str">
        <f>'WetLitterbags placem_collection'!O31</f>
        <v>G345</v>
      </c>
      <c r="AF252" t="str">
        <f>'WetLitterbags placem_collection'!Q31</f>
        <v>R349</v>
      </c>
      <c r="AG252" t="b">
        <f t="shared" si="168"/>
        <v>0</v>
      </c>
      <c r="AH252" t="b">
        <f t="shared" si="169"/>
        <v>0</v>
      </c>
      <c r="AJ252" t="b">
        <f t="shared" si="170"/>
        <v>0</v>
      </c>
      <c r="AK252" t="b">
        <f t="shared" si="171"/>
        <v>0</v>
      </c>
      <c r="AM252" t="str">
        <f>IF(ISBLANK('Dry_Litterbag Placem_Collection'!L31),"","G"&amp;""&amp;'Dry_Litterbag Placem_Collection'!L31)</f>
        <v>G397</v>
      </c>
      <c r="AN252" t="str">
        <f>IF(ISBLANK('Dry_Litterbag Placem_Collection'!M31),"","R"&amp;""&amp;'Dry_Litterbag Placem_Collection'!M31)</f>
        <v>R163</v>
      </c>
      <c r="AO252" t="b">
        <f t="shared" si="172"/>
        <v>0</v>
      </c>
      <c r="AP252" t="b">
        <f t="shared" si="173"/>
        <v>0</v>
      </c>
      <c r="AS252" t="str">
        <f>'Ashed teabags dry'!A250</f>
        <v>G531</v>
      </c>
      <c r="AT252" t="str">
        <f>'Ashed teabags dry'!A585</f>
        <v>R742</v>
      </c>
      <c r="AU252" t="b">
        <f t="shared" si="174"/>
        <v>0</v>
      </c>
      <c r="AV252" t="b">
        <f>COUNTIF($AT$4:$AT$2000, AT252)&gt;1</f>
        <v>0</v>
      </c>
      <c r="AX252" s="395" t="b">
        <f t="shared" si="175"/>
        <v>0</v>
      </c>
      <c r="AY252" s="395" t="b">
        <f t="shared" si="176"/>
        <v>0</v>
      </c>
      <c r="BA252" t="str">
        <f>'Ashed teabags wet'!A250</f>
        <v>G689</v>
      </c>
      <c r="BB252" t="str">
        <f>'Ashed teabags wet'!A670</f>
        <v>R461</v>
      </c>
      <c r="BC252" t="b">
        <f t="shared" si="177"/>
        <v>0</v>
      </c>
      <c r="BD252" t="b">
        <f t="shared" si="157"/>
        <v>0</v>
      </c>
      <c r="BF252" t="str">
        <f t="shared" si="178"/>
        <v>G517</v>
      </c>
      <c r="BG252" t="str">
        <f>T251</f>
        <v>G517</v>
      </c>
      <c r="BH252" t="str">
        <f t="shared" si="179"/>
        <v>G46</v>
      </c>
      <c r="BI252" t="str">
        <f t="shared" si="193"/>
        <v>G46</v>
      </c>
      <c r="BJ252" t="s">
        <v>1533</v>
      </c>
      <c r="BK252" t="s">
        <v>1533</v>
      </c>
      <c r="BL252" t="s">
        <v>1533</v>
      </c>
      <c r="BM252" t="b">
        <f t="shared" si="194"/>
        <v>1</v>
      </c>
      <c r="BN252" t="str">
        <f t="shared" si="180"/>
        <v>R741</v>
      </c>
      <c r="BO252" t="str">
        <f>U251</f>
        <v>R741</v>
      </c>
      <c r="BP252" t="str">
        <f t="shared" si="181"/>
        <v>R162</v>
      </c>
      <c r="BQ252" t="str">
        <f t="shared" si="182"/>
        <v>R162</v>
      </c>
      <c r="BR252" t="s">
        <v>398</v>
      </c>
      <c r="BS252" t="s">
        <v>397</v>
      </c>
      <c r="BT252" t="s">
        <v>398</v>
      </c>
      <c r="BU252" t="b">
        <f t="shared" si="195"/>
        <v>1</v>
      </c>
      <c r="BZ252" t="str">
        <f t="shared" si="183"/>
        <v>G46</v>
      </c>
      <c r="CA252" t="b">
        <f t="shared" si="184"/>
        <v>0</v>
      </c>
      <c r="CB252" t="str">
        <f t="shared" si="196"/>
        <v>G46</v>
      </c>
      <c r="CC252" t="str">
        <f t="shared" si="185"/>
        <v>R162</v>
      </c>
      <c r="CD252" t="b">
        <f t="shared" si="197"/>
        <v>0</v>
      </c>
      <c r="CE252" t="str">
        <f t="shared" si="198"/>
        <v>R162</v>
      </c>
      <c r="CG252" t="str">
        <f t="shared" si="186"/>
        <v>G688</v>
      </c>
      <c r="CH252" t="str">
        <f t="shared" si="199"/>
        <v>G688</v>
      </c>
      <c r="CI252" t="str">
        <f>AE251</f>
        <v>G502</v>
      </c>
      <c r="CJ252" t="str">
        <f t="shared" si="187"/>
        <v>G502</v>
      </c>
      <c r="CK252" t="s">
        <v>1362</v>
      </c>
      <c r="CL252" t="s">
        <v>1362</v>
      </c>
      <c r="CM252" t="s">
        <v>1362</v>
      </c>
      <c r="CN252" t="b">
        <f t="shared" si="200"/>
        <v>1</v>
      </c>
      <c r="CO252" t="str">
        <f t="shared" si="188"/>
        <v>R460</v>
      </c>
      <c r="CP252" t="str">
        <f t="shared" si="201"/>
        <v>R460</v>
      </c>
      <c r="CQ252" t="str">
        <f>AF251</f>
        <v>R172</v>
      </c>
      <c r="CR252" t="str">
        <f t="shared" si="189"/>
        <v>R172</v>
      </c>
      <c r="CS252" t="s">
        <v>681</v>
      </c>
      <c r="CT252" t="s">
        <v>681</v>
      </c>
      <c r="CU252" t="s">
        <v>681</v>
      </c>
      <c r="CV252" t="b">
        <f t="shared" si="202"/>
        <v>1</v>
      </c>
      <c r="DC252" t="str">
        <f t="shared" si="190"/>
        <v>G502</v>
      </c>
      <c r="DD252" t="b">
        <f t="shared" si="203"/>
        <v>0</v>
      </c>
      <c r="DE252" t="str">
        <f t="shared" si="204"/>
        <v>G502</v>
      </c>
      <c r="DF252" t="str">
        <f t="shared" si="191"/>
        <v>R172</v>
      </c>
      <c r="DG252" t="b">
        <f t="shared" si="205"/>
        <v>0</v>
      </c>
      <c r="DH252" t="str">
        <f t="shared" si="206"/>
        <v>R172</v>
      </c>
    </row>
    <row r="253" spans="2:112" ht="12" customHeight="1">
      <c r="B253" t="str">
        <f>TBIDry!H325</f>
        <v>G166</v>
      </c>
      <c r="C253" t="str">
        <f>TBIDry!I325</f>
        <v>R345</v>
      </c>
      <c r="D253" t="b">
        <f t="shared" si="158"/>
        <v>0</v>
      </c>
      <c r="E253" t="b">
        <f t="shared" si="159"/>
        <v>0</v>
      </c>
      <c r="G253" t="str">
        <f>TBIWet!H325</f>
        <v>G500</v>
      </c>
      <c r="H253" t="str">
        <f>TBIWet!I325</f>
        <v>R296</v>
      </c>
      <c r="I253" t="b">
        <f t="shared" si="160"/>
        <v>0</v>
      </c>
      <c r="J253" t="b">
        <f t="shared" si="161"/>
        <v>0</v>
      </c>
      <c r="L253" t="str">
        <f>'Both teabags AfterWet'!A251</f>
        <v>G690</v>
      </c>
      <c r="M253" t="str">
        <f>'Both teabags AfterWet'!A671</f>
        <v>R462</v>
      </c>
      <c r="N253" t="b">
        <f t="shared" si="162"/>
        <v>0</v>
      </c>
      <c r="O253" t="b">
        <f t="shared" si="207"/>
        <v>0</v>
      </c>
      <c r="Q253" s="395" t="b">
        <f t="shared" si="163"/>
        <v>0</v>
      </c>
      <c r="R253" s="395" t="b">
        <f t="shared" si="164"/>
        <v>0</v>
      </c>
      <c r="T253" t="str">
        <f>'Both teabags AfterDry'!A251</f>
        <v>G55</v>
      </c>
      <c r="U253" t="str">
        <f>'Both teabags AfterDry'!A586</f>
        <v>R743</v>
      </c>
      <c r="V253" t="b">
        <f t="shared" si="165"/>
        <v>0</v>
      </c>
      <c r="W253" t="b">
        <f t="shared" si="192"/>
        <v>0</v>
      </c>
      <c r="Y253" t="str">
        <f>'Green_rooibos initial weight'!A254</f>
        <v>G250</v>
      </c>
      <c r="Z253" t="str">
        <f>'Green_rooibos initial weight'!A1158</f>
        <v>R250</v>
      </c>
      <c r="AA253" t="b">
        <f t="shared" si="166"/>
        <v>0</v>
      </c>
      <c r="AB253" t="b">
        <f t="shared" si="167"/>
        <v>0</v>
      </c>
      <c r="AE253" t="str">
        <f>'WetLitterbags placem_collection'!O32</f>
        <v>G500</v>
      </c>
      <c r="AF253" t="str">
        <f>'WetLitterbags placem_collection'!Q32</f>
        <v>R296</v>
      </c>
      <c r="AG253" t="b">
        <f t="shared" si="168"/>
        <v>0</v>
      </c>
      <c r="AH253" t="b">
        <f t="shared" si="169"/>
        <v>0</v>
      </c>
      <c r="AJ253" t="b">
        <f t="shared" si="170"/>
        <v>0</v>
      </c>
      <c r="AK253" t="b">
        <f t="shared" si="171"/>
        <v>0</v>
      </c>
      <c r="AM253" t="str">
        <f>IF(ISBLANK('Dry_Litterbag Placem_Collection'!L32),"","G"&amp;""&amp;'Dry_Litterbag Placem_Collection'!L32)</f>
        <v>G166</v>
      </c>
      <c r="AN253" t="str">
        <f>IF(ISBLANK('Dry_Litterbag Placem_Collection'!M32),"","R"&amp;""&amp;'Dry_Litterbag Placem_Collection'!M32)</f>
        <v>R345</v>
      </c>
      <c r="AO253" t="b">
        <f t="shared" si="172"/>
        <v>0</v>
      </c>
      <c r="AP253" t="b">
        <f t="shared" si="173"/>
        <v>0</v>
      </c>
      <c r="AS253" t="str">
        <f>'Ashed teabags dry'!A251</f>
        <v>G55</v>
      </c>
      <c r="AT253" t="str">
        <f>'Ashed teabags dry'!A586</f>
        <v>R743</v>
      </c>
      <c r="AU253" t="b">
        <f t="shared" si="174"/>
        <v>0</v>
      </c>
      <c r="AV253" t="b">
        <f>COUNTIF($AT$4:$AT$2000, AT253)&gt;1</f>
        <v>0</v>
      </c>
      <c r="AX253" s="395" t="b">
        <f t="shared" si="175"/>
        <v>0</v>
      </c>
      <c r="AY253" s="395" t="b">
        <f t="shared" si="176"/>
        <v>0</v>
      </c>
      <c r="BA253" t="str">
        <f>'Ashed teabags wet'!A251</f>
        <v>G690</v>
      </c>
      <c r="BB253" t="str">
        <f>'Ashed teabags wet'!A671</f>
        <v>R462</v>
      </c>
      <c r="BC253" t="b">
        <f t="shared" si="177"/>
        <v>0</v>
      </c>
      <c r="BD253" t="b">
        <f t="shared" si="157"/>
        <v>0</v>
      </c>
      <c r="BF253" t="str">
        <f t="shared" si="178"/>
        <v>G531</v>
      </c>
      <c r="BG253" t="str">
        <f>T252</f>
        <v>G531</v>
      </c>
      <c r="BH253" t="str">
        <f t="shared" si="179"/>
        <v>G397</v>
      </c>
      <c r="BI253" t="str">
        <f t="shared" si="193"/>
        <v>G397</v>
      </c>
      <c r="BJ253" t="s">
        <v>1519</v>
      </c>
      <c r="BK253" t="s">
        <v>1519</v>
      </c>
      <c r="BL253" t="s">
        <v>1519</v>
      </c>
      <c r="BM253" t="b">
        <f t="shared" si="194"/>
        <v>1</v>
      </c>
      <c r="BN253" t="str">
        <f t="shared" si="180"/>
        <v>R742</v>
      </c>
      <c r="BO253" t="str">
        <f>U252</f>
        <v>R742</v>
      </c>
      <c r="BP253" t="str">
        <f t="shared" si="181"/>
        <v>R163</v>
      </c>
      <c r="BQ253" t="str">
        <f t="shared" si="182"/>
        <v>R163</v>
      </c>
      <c r="BR253" t="s">
        <v>397</v>
      </c>
      <c r="BS253" t="s">
        <v>396</v>
      </c>
      <c r="BT253" t="s">
        <v>397</v>
      </c>
      <c r="BU253" t="b">
        <f t="shared" si="195"/>
        <v>1</v>
      </c>
      <c r="BZ253" t="str">
        <f t="shared" si="183"/>
        <v>G397</v>
      </c>
      <c r="CA253" t="b">
        <f t="shared" si="184"/>
        <v>0</v>
      </c>
      <c r="CB253" t="str">
        <f t="shared" si="196"/>
        <v>G397</v>
      </c>
      <c r="CC253" t="str">
        <f t="shared" si="185"/>
        <v>R163</v>
      </c>
      <c r="CD253" t="b">
        <f t="shared" si="197"/>
        <v>0</v>
      </c>
      <c r="CE253" t="str">
        <f t="shared" si="198"/>
        <v>R163</v>
      </c>
      <c r="CG253" t="str">
        <f t="shared" si="186"/>
        <v>G689</v>
      </c>
      <c r="CH253" t="str">
        <f t="shared" si="199"/>
        <v>G689</v>
      </c>
      <c r="CI253" t="str">
        <f>AE252</f>
        <v>G345</v>
      </c>
      <c r="CJ253" t="str">
        <f t="shared" si="187"/>
        <v>G345</v>
      </c>
      <c r="CK253" t="s">
        <v>1361</v>
      </c>
      <c r="CL253" t="s">
        <v>1361</v>
      </c>
      <c r="CM253" t="s">
        <v>1361</v>
      </c>
      <c r="CN253" t="b">
        <f t="shared" si="200"/>
        <v>1</v>
      </c>
      <c r="CO253" t="str">
        <f t="shared" si="188"/>
        <v>R461</v>
      </c>
      <c r="CP253" t="str">
        <f t="shared" si="201"/>
        <v>R461</v>
      </c>
      <c r="CQ253" t="str">
        <f>AF252</f>
        <v>R349</v>
      </c>
      <c r="CR253" t="str">
        <f t="shared" si="189"/>
        <v>R349</v>
      </c>
      <c r="CS253" t="s">
        <v>680</v>
      </c>
      <c r="CT253" t="s">
        <v>680</v>
      </c>
      <c r="CU253" t="s">
        <v>680</v>
      </c>
      <c r="CV253" t="b">
        <f t="shared" si="202"/>
        <v>1</v>
      </c>
      <c r="DC253" t="str">
        <f t="shared" si="190"/>
        <v>G345</v>
      </c>
      <c r="DD253" t="b">
        <f t="shared" si="203"/>
        <v>0</v>
      </c>
      <c r="DE253" t="str">
        <f t="shared" si="204"/>
        <v>G345</v>
      </c>
      <c r="DF253" t="str">
        <f t="shared" si="191"/>
        <v>R349</v>
      </c>
      <c r="DG253" t="b">
        <f t="shared" si="205"/>
        <v>0</v>
      </c>
      <c r="DH253" t="str">
        <f t="shared" si="206"/>
        <v>R349</v>
      </c>
    </row>
    <row r="254" spans="2:112" ht="12" customHeight="1">
      <c r="B254" t="str">
        <f>TBIDry!H326</f>
        <v/>
      </c>
      <c r="C254" t="str">
        <f>TBIDry!I326</f>
        <v/>
      </c>
      <c r="D254" t="b">
        <f t="shared" si="158"/>
        <v>1</v>
      </c>
      <c r="E254" t="b">
        <f t="shared" si="159"/>
        <v>1</v>
      </c>
      <c r="G254" t="str">
        <f>TBIWet!H326</f>
        <v>G521</v>
      </c>
      <c r="H254" t="str">
        <f>TBIWet!I326</f>
        <v>R323</v>
      </c>
      <c r="I254" t="b">
        <f t="shared" si="160"/>
        <v>0</v>
      </c>
      <c r="J254" t="b">
        <f t="shared" si="161"/>
        <v>0</v>
      </c>
      <c r="L254" t="str">
        <f>'Both teabags AfterWet'!A252</f>
        <v>G691</v>
      </c>
      <c r="M254" t="str">
        <f>'Both teabags AfterWet'!A672</f>
        <v>R463</v>
      </c>
      <c r="N254" t="b">
        <f t="shared" si="162"/>
        <v>0</v>
      </c>
      <c r="O254" t="b">
        <f t="shared" si="207"/>
        <v>0</v>
      </c>
      <c r="Q254" s="395" t="b">
        <f t="shared" si="163"/>
        <v>0</v>
      </c>
      <c r="R254" s="395" t="b">
        <f t="shared" si="164"/>
        <v>0</v>
      </c>
      <c r="T254" t="str">
        <f>'Both teabags AfterDry'!A252</f>
        <v>G555</v>
      </c>
      <c r="U254" t="str">
        <f>'Both teabags AfterDry'!A587</f>
        <v>R744</v>
      </c>
      <c r="V254" t="b">
        <f t="shared" si="165"/>
        <v>0</v>
      </c>
      <c r="W254" t="b">
        <f t="shared" si="192"/>
        <v>0</v>
      </c>
      <c r="Y254" t="str">
        <f>'Green_rooibos initial weight'!A255</f>
        <v>G251</v>
      </c>
      <c r="Z254" t="str">
        <f>'Green_rooibos initial weight'!A1159</f>
        <v>R251</v>
      </c>
      <c r="AA254" t="b">
        <f t="shared" si="166"/>
        <v>0</v>
      </c>
      <c r="AB254" t="b">
        <f t="shared" si="167"/>
        <v>0</v>
      </c>
      <c r="AE254" t="str">
        <f>'WetLitterbags placem_collection'!O33</f>
        <v>G521</v>
      </c>
      <c r="AF254" t="str">
        <f>'WetLitterbags placem_collection'!Q33</f>
        <v>R323</v>
      </c>
      <c r="AG254" t="b">
        <f t="shared" si="168"/>
        <v>0</v>
      </c>
      <c r="AH254" t="b">
        <f t="shared" si="169"/>
        <v>0</v>
      </c>
      <c r="AJ254" t="b">
        <f t="shared" si="170"/>
        <v>0</v>
      </c>
      <c r="AK254" t="b">
        <f t="shared" si="171"/>
        <v>0</v>
      </c>
      <c r="AM254" t="str">
        <f>IF(ISBLANK('Dry_Litterbag Placem_Collection'!L33),"","G"&amp;""&amp;'Dry_Litterbag Placem_Collection'!L33)</f>
        <v/>
      </c>
      <c r="AN254" t="str">
        <f>IF(ISBLANK('Dry_Litterbag Placem_Collection'!M33),"","R"&amp;""&amp;'Dry_Litterbag Placem_Collection'!M33)</f>
        <v/>
      </c>
      <c r="AO254" t="b">
        <f t="shared" si="172"/>
        <v>1</v>
      </c>
      <c r="AP254" t="b">
        <f t="shared" si="173"/>
        <v>1</v>
      </c>
      <c r="AS254" t="str">
        <f>'Ashed teabags dry'!A252</f>
        <v>G555</v>
      </c>
      <c r="AT254" t="str">
        <f>'Ashed teabags dry'!A587</f>
        <v>R744</v>
      </c>
      <c r="AU254" t="b">
        <f t="shared" si="174"/>
        <v>0</v>
      </c>
      <c r="AV254" t="b">
        <f>COUNTIF($AT$4:$AT$2000, AT254)&gt;1</f>
        <v>0</v>
      </c>
      <c r="AX254" s="395" t="b">
        <f t="shared" si="175"/>
        <v>0</v>
      </c>
      <c r="AY254" s="395" t="b">
        <f t="shared" si="176"/>
        <v>0</v>
      </c>
      <c r="BA254" t="str">
        <f>'Ashed teabags wet'!A252</f>
        <v>G691</v>
      </c>
      <c r="BB254" t="str">
        <f>'Ashed teabags wet'!A672</f>
        <v>R463</v>
      </c>
      <c r="BC254" t="b">
        <f t="shared" si="177"/>
        <v>0</v>
      </c>
      <c r="BD254" t="b">
        <f t="shared" si="157"/>
        <v>0</v>
      </c>
      <c r="BF254" t="str">
        <f t="shared" si="178"/>
        <v>G55</v>
      </c>
      <c r="BG254" t="str">
        <f>T253</f>
        <v>G55</v>
      </c>
      <c r="BH254" t="str">
        <f t="shared" si="179"/>
        <v>G166</v>
      </c>
      <c r="BI254" t="str">
        <f t="shared" si="193"/>
        <v>G166</v>
      </c>
      <c r="BJ254" t="s">
        <v>1995</v>
      </c>
      <c r="BK254" t="s">
        <v>1995</v>
      </c>
      <c r="BL254" t="s">
        <v>1995</v>
      </c>
      <c r="BM254" t="b">
        <f t="shared" si="194"/>
        <v>1</v>
      </c>
      <c r="BN254" t="str">
        <f t="shared" si="180"/>
        <v>R743</v>
      </c>
      <c r="BO254" t="str">
        <f>U253</f>
        <v>R743</v>
      </c>
      <c r="BP254" t="str">
        <f t="shared" si="181"/>
        <v>R345</v>
      </c>
      <c r="BQ254" t="str">
        <f t="shared" si="182"/>
        <v>R345</v>
      </c>
      <c r="BR254" t="s">
        <v>396</v>
      </c>
      <c r="BS254" t="s">
        <v>395</v>
      </c>
      <c r="BT254" t="s">
        <v>396</v>
      </c>
      <c r="BU254" t="b">
        <f t="shared" si="195"/>
        <v>1</v>
      </c>
      <c r="BZ254" t="str">
        <f t="shared" si="183"/>
        <v>G166</v>
      </c>
      <c r="CA254" t="b">
        <f t="shared" si="184"/>
        <v>0</v>
      </c>
      <c r="CB254" t="str">
        <f t="shared" si="196"/>
        <v>G166</v>
      </c>
      <c r="CC254" t="str">
        <f t="shared" si="185"/>
        <v>R345</v>
      </c>
      <c r="CD254" t="b">
        <f t="shared" si="197"/>
        <v>0</v>
      </c>
      <c r="CE254" t="str">
        <f t="shared" si="198"/>
        <v>R345</v>
      </c>
      <c r="CG254" t="str">
        <f t="shared" si="186"/>
        <v>G690</v>
      </c>
      <c r="CH254" t="str">
        <f t="shared" si="199"/>
        <v>G690</v>
      </c>
      <c r="CI254" t="str">
        <f>AE253</f>
        <v>G500</v>
      </c>
      <c r="CJ254" t="str">
        <f t="shared" si="187"/>
        <v>G500</v>
      </c>
      <c r="CK254" t="s">
        <v>1360</v>
      </c>
      <c r="CL254" t="s">
        <v>1360</v>
      </c>
      <c r="CM254" t="s">
        <v>1360</v>
      </c>
      <c r="CN254" t="b">
        <f t="shared" si="200"/>
        <v>1</v>
      </c>
      <c r="CO254" t="str">
        <f t="shared" si="188"/>
        <v>R462</v>
      </c>
      <c r="CP254" t="str">
        <f t="shared" si="201"/>
        <v>R462</v>
      </c>
      <c r="CQ254" t="str">
        <f>AF253</f>
        <v>R296</v>
      </c>
      <c r="CR254" t="str">
        <f t="shared" si="189"/>
        <v>R296</v>
      </c>
      <c r="CS254" t="s">
        <v>679</v>
      </c>
      <c r="CT254" t="s">
        <v>679</v>
      </c>
      <c r="CU254" t="s">
        <v>679</v>
      </c>
      <c r="CV254" t="b">
        <f t="shared" si="202"/>
        <v>1</v>
      </c>
      <c r="DC254" t="str">
        <f t="shared" si="190"/>
        <v>G500</v>
      </c>
      <c r="DD254" t="b">
        <f t="shared" si="203"/>
        <v>0</v>
      </c>
      <c r="DE254" t="str">
        <f t="shared" si="204"/>
        <v>G500</v>
      </c>
      <c r="DF254" t="str">
        <f t="shared" si="191"/>
        <v>R296</v>
      </c>
      <c r="DG254" t="b">
        <f t="shared" si="205"/>
        <v>0</v>
      </c>
      <c r="DH254" t="str">
        <f t="shared" si="206"/>
        <v>R296</v>
      </c>
    </row>
    <row r="255" spans="2:112" ht="12" customHeight="1">
      <c r="B255" t="str">
        <f>TBIDry!H327</f>
        <v>G293</v>
      </c>
      <c r="C255" t="str">
        <f>TBIDry!I327</f>
        <v>R660</v>
      </c>
      <c r="D255" t="b">
        <f t="shared" si="158"/>
        <v>0</v>
      </c>
      <c r="E255" t="b">
        <f t="shared" si="159"/>
        <v>0</v>
      </c>
      <c r="G255" t="str">
        <f>TBIWet!H327</f>
        <v>G201</v>
      </c>
      <c r="H255" t="str">
        <f>TBIWet!I327</f>
        <v>R156</v>
      </c>
      <c r="I255" t="b">
        <f t="shared" si="160"/>
        <v>0</v>
      </c>
      <c r="J255" t="b">
        <f t="shared" si="161"/>
        <v>0</v>
      </c>
      <c r="L255" t="str">
        <f>'Both teabags AfterWet'!A253</f>
        <v>G692</v>
      </c>
      <c r="M255" t="str">
        <f>'Both teabags AfterWet'!A673</f>
        <v>R464</v>
      </c>
      <c r="N255" t="b">
        <f t="shared" si="162"/>
        <v>0</v>
      </c>
      <c r="O255" t="b">
        <f t="shared" si="207"/>
        <v>0</v>
      </c>
      <c r="Q255" s="395" t="b">
        <f t="shared" si="163"/>
        <v>0</v>
      </c>
      <c r="R255" s="395" t="b">
        <f t="shared" si="164"/>
        <v>0</v>
      </c>
      <c r="T255" t="str">
        <f>'Both teabags AfterDry'!A253</f>
        <v>G558</v>
      </c>
      <c r="U255" t="str">
        <f>'Both teabags AfterDry'!A588</f>
        <v>R746</v>
      </c>
      <c r="V255" t="b">
        <f t="shared" si="165"/>
        <v>0</v>
      </c>
      <c r="W255" t="b">
        <f t="shared" si="192"/>
        <v>0</v>
      </c>
      <c r="Y255" t="str">
        <f>'Green_rooibos initial weight'!A256</f>
        <v>G252</v>
      </c>
      <c r="Z255" t="str">
        <f>'Green_rooibos initial weight'!A1160</f>
        <v>R252</v>
      </c>
      <c r="AA255" t="b">
        <f t="shared" si="166"/>
        <v>0</v>
      </c>
      <c r="AB255" t="b">
        <f t="shared" si="167"/>
        <v>0</v>
      </c>
      <c r="AE255" t="str">
        <f>'WetLitterbags placem_collection'!O34</f>
        <v>G201</v>
      </c>
      <c r="AF255" t="str">
        <f>'WetLitterbags placem_collection'!Q34</f>
        <v>R156</v>
      </c>
      <c r="AG255" t="b">
        <f t="shared" si="168"/>
        <v>0</v>
      </c>
      <c r="AH255" t="b">
        <f t="shared" si="169"/>
        <v>0</v>
      </c>
      <c r="AJ255" t="b">
        <f t="shared" si="170"/>
        <v>0</v>
      </c>
      <c r="AK255" t="b">
        <f t="shared" si="171"/>
        <v>0</v>
      </c>
      <c r="AM255" t="str">
        <f>IF(ISBLANK('Dry_Litterbag Placem_Collection'!L34),"","G"&amp;""&amp;'Dry_Litterbag Placem_Collection'!L34)</f>
        <v>G293</v>
      </c>
      <c r="AN255" t="str">
        <f>IF(ISBLANK('Dry_Litterbag Placem_Collection'!M34),"","R"&amp;""&amp;'Dry_Litterbag Placem_Collection'!M34)</f>
        <v>R660</v>
      </c>
      <c r="AO255" t="b">
        <f t="shared" si="172"/>
        <v>0</v>
      </c>
      <c r="AP255" t="b">
        <f t="shared" si="173"/>
        <v>0</v>
      </c>
      <c r="AS255" t="str">
        <f>'Ashed teabags dry'!A253</f>
        <v>G558</v>
      </c>
      <c r="AT255" t="str">
        <f>'Ashed teabags dry'!A588</f>
        <v>R746</v>
      </c>
      <c r="AU255" t="b">
        <f t="shared" si="174"/>
        <v>0</v>
      </c>
      <c r="AV255" t="b">
        <f>COUNTIF($AT$4:$AT$2000, AT255)&gt;1</f>
        <v>0</v>
      </c>
      <c r="AX255" s="395" t="b">
        <f t="shared" si="175"/>
        <v>0</v>
      </c>
      <c r="AY255" s="395" t="b">
        <f t="shared" si="176"/>
        <v>0</v>
      </c>
      <c r="BA255" t="str">
        <f>'Ashed teabags wet'!A253</f>
        <v>G692</v>
      </c>
      <c r="BB255" t="str">
        <f>'Ashed teabags wet'!A673</f>
        <v>R464</v>
      </c>
      <c r="BC255" t="b">
        <f t="shared" si="177"/>
        <v>0</v>
      </c>
      <c r="BD255" t="b">
        <f t="shared" si="157"/>
        <v>0</v>
      </c>
      <c r="BF255" t="str">
        <f t="shared" si="178"/>
        <v>G555</v>
      </c>
      <c r="BG255" t="str">
        <f>T254</f>
        <v>G555</v>
      </c>
      <c r="BH255" t="str">
        <f t="shared" si="179"/>
        <v/>
      </c>
      <c r="BI255" t="str">
        <f t="shared" si="193"/>
        <v/>
      </c>
      <c r="BJ255" t="s">
        <v>1495</v>
      </c>
      <c r="BK255" t="s">
        <v>1495</v>
      </c>
      <c r="BL255" t="s">
        <v>1495</v>
      </c>
      <c r="BM255" t="b">
        <f t="shared" si="194"/>
        <v>1</v>
      </c>
      <c r="BN255" t="str">
        <f t="shared" si="180"/>
        <v>R744</v>
      </c>
      <c r="BO255" t="str">
        <f>U254</f>
        <v>R744</v>
      </c>
      <c r="BP255" t="str">
        <f t="shared" si="181"/>
        <v/>
      </c>
      <c r="BQ255" t="str">
        <f t="shared" si="182"/>
        <v/>
      </c>
      <c r="BR255" t="s">
        <v>395</v>
      </c>
      <c r="BS255" t="s">
        <v>393</v>
      </c>
      <c r="BT255" t="s">
        <v>395</v>
      </c>
      <c r="BU255" t="b">
        <f t="shared" si="195"/>
        <v>1</v>
      </c>
      <c r="BZ255" t="str">
        <f t="shared" si="183"/>
        <v/>
      </c>
      <c r="CA255" t="b">
        <f t="shared" si="184"/>
        <v>0</v>
      </c>
      <c r="CB255" t="str">
        <f t="shared" si="196"/>
        <v/>
      </c>
      <c r="CC255" t="str">
        <f t="shared" si="185"/>
        <v/>
      </c>
      <c r="CD255" t="b">
        <f t="shared" si="197"/>
        <v>0</v>
      </c>
      <c r="CE255" t="str">
        <f t="shared" si="198"/>
        <v/>
      </c>
      <c r="CG255" t="str">
        <f t="shared" si="186"/>
        <v>G691</v>
      </c>
      <c r="CH255" t="str">
        <f t="shared" si="199"/>
        <v>G691</v>
      </c>
      <c r="CI255" t="str">
        <f>AE254</f>
        <v>G521</v>
      </c>
      <c r="CJ255" t="str">
        <f t="shared" si="187"/>
        <v>G521</v>
      </c>
      <c r="CK255" t="s">
        <v>1359</v>
      </c>
      <c r="CL255" t="s">
        <v>1359</v>
      </c>
      <c r="CM255" t="s">
        <v>1359</v>
      </c>
      <c r="CN255" t="b">
        <f t="shared" si="200"/>
        <v>1</v>
      </c>
      <c r="CO255" t="str">
        <f t="shared" si="188"/>
        <v>R463</v>
      </c>
      <c r="CP255" t="str">
        <f t="shared" si="201"/>
        <v>R463</v>
      </c>
      <c r="CQ255" t="str">
        <f>AF254</f>
        <v>R323</v>
      </c>
      <c r="CR255" t="str">
        <f t="shared" si="189"/>
        <v>R323</v>
      </c>
      <c r="CS255" t="s">
        <v>678</v>
      </c>
      <c r="CT255" t="s">
        <v>678</v>
      </c>
      <c r="CU255" t="s">
        <v>678</v>
      </c>
      <c r="CV255" t="b">
        <f t="shared" si="202"/>
        <v>1</v>
      </c>
      <c r="DC255" t="str">
        <f t="shared" si="190"/>
        <v>G521</v>
      </c>
      <c r="DD255" t="b">
        <f t="shared" si="203"/>
        <v>0</v>
      </c>
      <c r="DE255" t="str">
        <f t="shared" si="204"/>
        <v>G521</v>
      </c>
      <c r="DF255" t="str">
        <f t="shared" si="191"/>
        <v>R323</v>
      </c>
      <c r="DG255" t="b">
        <f t="shared" si="205"/>
        <v>0</v>
      </c>
      <c r="DH255" t="str">
        <f t="shared" si="206"/>
        <v>R323</v>
      </c>
    </row>
    <row r="256" spans="2:112" ht="12" customHeight="1">
      <c r="B256" t="str">
        <f>TBIDry!H328</f>
        <v>G139</v>
      </c>
      <c r="C256" t="str">
        <f>TBIDry!I328</f>
        <v>R712</v>
      </c>
      <c r="D256" t="b">
        <f t="shared" si="158"/>
        <v>0</v>
      </c>
      <c r="E256" t="b">
        <f t="shared" si="159"/>
        <v>0</v>
      </c>
      <c r="G256" t="str">
        <f>TBIWet!H328</f>
        <v>G556</v>
      </c>
      <c r="H256" t="str">
        <f>TBIWet!I328</f>
        <v>R452</v>
      </c>
      <c r="I256" t="b">
        <f t="shared" si="160"/>
        <v>0</v>
      </c>
      <c r="J256" t="b">
        <f t="shared" si="161"/>
        <v>0</v>
      </c>
      <c r="L256" t="str">
        <f>'Both teabags AfterWet'!A254</f>
        <v>G693</v>
      </c>
      <c r="M256" t="str">
        <f>'Both teabags AfterWet'!A674</f>
        <v>R465</v>
      </c>
      <c r="N256" t="b">
        <f t="shared" si="162"/>
        <v>0</v>
      </c>
      <c r="O256" t="b">
        <f t="shared" si="207"/>
        <v>0</v>
      </c>
      <c r="Q256" s="395" t="b">
        <f t="shared" si="163"/>
        <v>0</v>
      </c>
      <c r="R256" s="395" t="b">
        <f t="shared" si="164"/>
        <v>0</v>
      </c>
      <c r="T256" t="str">
        <f>'Both teabags AfterDry'!A254</f>
        <v>G56</v>
      </c>
      <c r="U256" t="str">
        <f>'Both teabags AfterDry'!A589</f>
        <v>R748</v>
      </c>
      <c r="V256" t="b">
        <f t="shared" si="165"/>
        <v>0</v>
      </c>
      <c r="W256" t="b">
        <f t="shared" si="192"/>
        <v>0</v>
      </c>
      <c r="Y256" t="str">
        <f>'Green_rooibos initial weight'!A257</f>
        <v>G253</v>
      </c>
      <c r="Z256" t="str">
        <f>'Green_rooibos initial weight'!A1161</f>
        <v>R253</v>
      </c>
      <c r="AA256" t="b">
        <f t="shared" si="166"/>
        <v>0</v>
      </c>
      <c r="AB256" t="b">
        <f t="shared" si="167"/>
        <v>0</v>
      </c>
      <c r="AE256" t="str">
        <f>'WetLitterbags placem_collection'!O35</f>
        <v>G556</v>
      </c>
      <c r="AF256" t="str">
        <f>'WetLitterbags placem_collection'!Q35</f>
        <v>R452</v>
      </c>
      <c r="AG256" t="b">
        <f t="shared" si="168"/>
        <v>0</v>
      </c>
      <c r="AH256" t="b">
        <f t="shared" si="169"/>
        <v>0</v>
      </c>
      <c r="AJ256" t="b">
        <f t="shared" si="170"/>
        <v>0</v>
      </c>
      <c r="AK256" t="b">
        <f t="shared" si="171"/>
        <v>0</v>
      </c>
      <c r="AM256" t="str">
        <f>IF(ISBLANK('Dry_Litterbag Placem_Collection'!L35),"","G"&amp;""&amp;'Dry_Litterbag Placem_Collection'!L35)</f>
        <v>G139</v>
      </c>
      <c r="AN256" t="str">
        <f>IF(ISBLANK('Dry_Litterbag Placem_Collection'!M35),"","R"&amp;""&amp;'Dry_Litterbag Placem_Collection'!M35)</f>
        <v>R712</v>
      </c>
      <c r="AO256" t="b">
        <f t="shared" si="172"/>
        <v>0</v>
      </c>
      <c r="AP256" t="b">
        <f t="shared" si="173"/>
        <v>0</v>
      </c>
      <c r="AS256" t="str">
        <f>'Ashed teabags dry'!A254</f>
        <v>G56</v>
      </c>
      <c r="AT256" t="str">
        <f>'Ashed teabags dry'!A589</f>
        <v>R748</v>
      </c>
      <c r="AU256" t="b">
        <f t="shared" si="174"/>
        <v>0</v>
      </c>
      <c r="AV256" t="b">
        <f>COUNTIF($AT$4:$AT$2000, AT256)&gt;1</f>
        <v>0</v>
      </c>
      <c r="AX256" s="395" t="b">
        <f t="shared" si="175"/>
        <v>0</v>
      </c>
      <c r="AY256" s="395" t="b">
        <f t="shared" si="176"/>
        <v>0</v>
      </c>
      <c r="BA256" t="str">
        <f>'Ashed teabags wet'!A254</f>
        <v>G693</v>
      </c>
      <c r="BB256" t="str">
        <f>'Ashed teabags wet'!A674</f>
        <v>R465</v>
      </c>
      <c r="BC256" t="b">
        <f t="shared" si="177"/>
        <v>0</v>
      </c>
      <c r="BD256" t="b">
        <f t="shared" si="157"/>
        <v>0</v>
      </c>
      <c r="BF256" t="str">
        <f t="shared" si="178"/>
        <v>G558</v>
      </c>
      <c r="BG256" t="str">
        <f>T255</f>
        <v>G558</v>
      </c>
      <c r="BH256" t="str">
        <f t="shared" si="179"/>
        <v>G293</v>
      </c>
      <c r="BI256" t="str">
        <f t="shared" si="193"/>
        <v>G293</v>
      </c>
      <c r="BJ256" t="s">
        <v>1492</v>
      </c>
      <c r="BK256" t="s">
        <v>1492</v>
      </c>
      <c r="BL256" t="s">
        <v>1492</v>
      </c>
      <c r="BM256" t="b">
        <f t="shared" si="194"/>
        <v>1</v>
      </c>
      <c r="BN256" t="str">
        <f t="shared" si="180"/>
        <v>R746</v>
      </c>
      <c r="BO256" t="str">
        <f>U255</f>
        <v>R746</v>
      </c>
      <c r="BP256" t="str">
        <f t="shared" si="181"/>
        <v>R660</v>
      </c>
      <c r="BQ256" t="str">
        <f t="shared" si="182"/>
        <v>R660</v>
      </c>
      <c r="BR256" t="s">
        <v>393</v>
      </c>
      <c r="BS256" t="s">
        <v>391</v>
      </c>
      <c r="BT256" t="s">
        <v>393</v>
      </c>
      <c r="BU256" t="b">
        <f t="shared" si="195"/>
        <v>1</v>
      </c>
      <c r="BZ256" t="str">
        <f t="shared" si="183"/>
        <v>G293</v>
      </c>
      <c r="CA256" t="b">
        <f t="shared" si="184"/>
        <v>0</v>
      </c>
      <c r="CB256" t="str">
        <f t="shared" si="196"/>
        <v>G293</v>
      </c>
      <c r="CC256" t="str">
        <f t="shared" si="185"/>
        <v>R660</v>
      </c>
      <c r="CD256" t="b">
        <f t="shared" si="197"/>
        <v>0</v>
      </c>
      <c r="CE256" t="str">
        <f t="shared" si="198"/>
        <v>R660</v>
      </c>
      <c r="CG256" t="str">
        <f t="shared" si="186"/>
        <v>G692</v>
      </c>
      <c r="CH256" t="str">
        <f t="shared" si="199"/>
        <v>G692</v>
      </c>
      <c r="CI256" t="str">
        <f>AE255</f>
        <v>G201</v>
      </c>
      <c r="CJ256" t="str">
        <f t="shared" si="187"/>
        <v>G201</v>
      </c>
      <c r="CK256" t="s">
        <v>1358</v>
      </c>
      <c r="CL256" t="s">
        <v>1358</v>
      </c>
      <c r="CM256" t="s">
        <v>1358</v>
      </c>
      <c r="CN256" t="b">
        <f t="shared" si="200"/>
        <v>1</v>
      </c>
      <c r="CO256" t="str">
        <f t="shared" si="188"/>
        <v>R464</v>
      </c>
      <c r="CP256" t="str">
        <f t="shared" si="201"/>
        <v>R464</v>
      </c>
      <c r="CQ256" t="str">
        <f>AF255</f>
        <v>R156</v>
      </c>
      <c r="CR256" t="str">
        <f t="shared" si="189"/>
        <v>R156</v>
      </c>
      <c r="CS256" t="s">
        <v>677</v>
      </c>
      <c r="CT256" t="s">
        <v>677</v>
      </c>
      <c r="CU256" t="s">
        <v>677</v>
      </c>
      <c r="CV256" t="b">
        <f t="shared" si="202"/>
        <v>1</v>
      </c>
      <c r="DC256" t="str">
        <f t="shared" si="190"/>
        <v>G201</v>
      </c>
      <c r="DD256" t="b">
        <f t="shared" si="203"/>
        <v>0</v>
      </c>
      <c r="DE256" t="str">
        <f t="shared" si="204"/>
        <v>G201</v>
      </c>
      <c r="DF256" t="str">
        <f t="shared" si="191"/>
        <v>R156</v>
      </c>
      <c r="DG256" t="b">
        <f t="shared" si="205"/>
        <v>0</v>
      </c>
      <c r="DH256" t="str">
        <f t="shared" si="206"/>
        <v>R156</v>
      </c>
    </row>
    <row r="257" spans="2:112" ht="12" customHeight="1">
      <c r="B257" t="str">
        <f>TBIDry!H329</f>
        <v>G487</v>
      </c>
      <c r="C257" t="str">
        <f>TBIDry!I329</f>
        <v>R324</v>
      </c>
      <c r="D257" t="b">
        <f t="shared" si="158"/>
        <v>0</v>
      </c>
      <c r="E257" t="b">
        <f t="shared" si="159"/>
        <v>0</v>
      </c>
      <c r="G257" t="str">
        <f>TBIWet!H329</f>
        <v>G649</v>
      </c>
      <c r="H257" t="str">
        <f>TBIWet!I329</f>
        <v>R24</v>
      </c>
      <c r="I257" t="b">
        <f t="shared" si="160"/>
        <v>0</v>
      </c>
      <c r="J257" t="b">
        <f t="shared" si="161"/>
        <v>0</v>
      </c>
      <c r="L257" t="str">
        <f>'Both teabags AfterWet'!A255</f>
        <v>G694</v>
      </c>
      <c r="M257" t="str">
        <f>'Both teabags AfterWet'!A675</f>
        <v>R466</v>
      </c>
      <c r="N257" t="b">
        <f t="shared" si="162"/>
        <v>0</v>
      </c>
      <c r="O257" t="b">
        <f t="shared" si="207"/>
        <v>0</v>
      </c>
      <c r="Q257" s="395" t="b">
        <f t="shared" si="163"/>
        <v>0</v>
      </c>
      <c r="R257" s="395" t="b">
        <f t="shared" si="164"/>
        <v>0</v>
      </c>
      <c r="T257" t="str">
        <f>'Both teabags AfterDry'!A255</f>
        <v>G562</v>
      </c>
      <c r="U257" t="str">
        <f>'Both teabags AfterDry'!A590</f>
        <v>R749</v>
      </c>
      <c r="V257" t="b">
        <f t="shared" si="165"/>
        <v>0</v>
      </c>
      <c r="W257" t="b">
        <f t="shared" si="192"/>
        <v>0</v>
      </c>
      <c r="Y257" t="str">
        <f>'Green_rooibos initial weight'!A258</f>
        <v>G254</v>
      </c>
      <c r="Z257" t="str">
        <f>'Green_rooibos initial weight'!A1162</f>
        <v>R254</v>
      </c>
      <c r="AA257" t="b">
        <f t="shared" si="166"/>
        <v>0</v>
      </c>
      <c r="AB257" t="b">
        <f t="shared" si="167"/>
        <v>0</v>
      </c>
      <c r="AE257" t="str">
        <f>'WetLitterbags placem_collection'!O36</f>
        <v>G649</v>
      </c>
      <c r="AF257" t="str">
        <f>'WetLitterbags placem_collection'!Q36</f>
        <v>R24</v>
      </c>
      <c r="AG257" t="b">
        <f t="shared" si="168"/>
        <v>0</v>
      </c>
      <c r="AH257" t="b">
        <f t="shared" si="169"/>
        <v>0</v>
      </c>
      <c r="AJ257" t="b">
        <f t="shared" si="170"/>
        <v>0</v>
      </c>
      <c r="AK257" t="b">
        <f t="shared" si="171"/>
        <v>0</v>
      </c>
      <c r="AM257" t="str">
        <f>IF(ISBLANK('Dry_Litterbag Placem_Collection'!L36),"","G"&amp;""&amp;'Dry_Litterbag Placem_Collection'!L36)</f>
        <v>G487</v>
      </c>
      <c r="AN257" t="str">
        <f>IF(ISBLANK('Dry_Litterbag Placem_Collection'!M36),"","R"&amp;""&amp;'Dry_Litterbag Placem_Collection'!M36)</f>
        <v>R324</v>
      </c>
      <c r="AO257" t="b">
        <f t="shared" si="172"/>
        <v>0</v>
      </c>
      <c r="AP257" t="b">
        <f t="shared" si="173"/>
        <v>0</v>
      </c>
      <c r="AS257" t="str">
        <f>'Ashed teabags dry'!A255</f>
        <v>G562</v>
      </c>
      <c r="AT257" t="str">
        <f>'Ashed teabags dry'!A590</f>
        <v>R749</v>
      </c>
      <c r="AU257" t="b">
        <f t="shared" si="174"/>
        <v>0</v>
      </c>
      <c r="AV257" t="b">
        <f>COUNTIF($AT$4:$AT$2000, AT257)&gt;1</f>
        <v>0</v>
      </c>
      <c r="AX257" s="395" t="b">
        <f t="shared" si="175"/>
        <v>0</v>
      </c>
      <c r="AY257" s="395" t="b">
        <f t="shared" si="176"/>
        <v>0</v>
      </c>
      <c r="BA257" t="str">
        <f>'Ashed teabags wet'!A255</f>
        <v>G694</v>
      </c>
      <c r="BB257" t="str">
        <f>'Ashed teabags wet'!A675</f>
        <v>R466</v>
      </c>
      <c r="BC257" t="b">
        <f t="shared" si="177"/>
        <v>0</v>
      </c>
      <c r="BD257" t="b">
        <f t="shared" si="157"/>
        <v>0</v>
      </c>
      <c r="BF257" t="str">
        <f t="shared" si="178"/>
        <v>G56</v>
      </c>
      <c r="BG257" t="str">
        <f>T256</f>
        <v>G56</v>
      </c>
      <c r="BH257" t="str">
        <f t="shared" si="179"/>
        <v>G139</v>
      </c>
      <c r="BI257" t="str">
        <f t="shared" si="193"/>
        <v>G139</v>
      </c>
      <c r="BJ257" t="s">
        <v>1994</v>
      </c>
      <c r="BK257" t="s">
        <v>1994</v>
      </c>
      <c r="BL257" t="s">
        <v>1994</v>
      </c>
      <c r="BM257" t="b">
        <f t="shared" si="194"/>
        <v>1</v>
      </c>
      <c r="BN257" t="str">
        <f t="shared" si="180"/>
        <v>R748</v>
      </c>
      <c r="BO257" t="str">
        <f>U256</f>
        <v>R748</v>
      </c>
      <c r="BP257" t="str">
        <f t="shared" si="181"/>
        <v>R712</v>
      </c>
      <c r="BQ257" t="str">
        <f t="shared" si="182"/>
        <v>R712</v>
      </c>
      <c r="BR257" t="s">
        <v>391</v>
      </c>
      <c r="BS257" t="s">
        <v>390</v>
      </c>
      <c r="BT257" t="s">
        <v>391</v>
      </c>
      <c r="BU257" t="b">
        <f t="shared" si="195"/>
        <v>1</v>
      </c>
      <c r="BZ257" t="str">
        <f t="shared" si="183"/>
        <v>G139</v>
      </c>
      <c r="CA257" t="b">
        <f t="shared" si="184"/>
        <v>0</v>
      </c>
      <c r="CB257" t="str">
        <f t="shared" si="196"/>
        <v>G139</v>
      </c>
      <c r="CC257" t="str">
        <f t="shared" si="185"/>
        <v>R712</v>
      </c>
      <c r="CD257" t="b">
        <f t="shared" si="197"/>
        <v>0</v>
      </c>
      <c r="CE257" t="str">
        <f t="shared" si="198"/>
        <v>R712</v>
      </c>
      <c r="CG257" t="str">
        <f t="shared" si="186"/>
        <v>G693</v>
      </c>
      <c r="CH257" t="str">
        <f t="shared" si="199"/>
        <v>G693</v>
      </c>
      <c r="CI257" t="str">
        <f>AE256</f>
        <v>G556</v>
      </c>
      <c r="CJ257" t="str">
        <f t="shared" si="187"/>
        <v>G556</v>
      </c>
      <c r="CK257" t="s">
        <v>1357</v>
      </c>
      <c r="CL257" t="s">
        <v>1357</v>
      </c>
      <c r="CM257" t="s">
        <v>1357</v>
      </c>
      <c r="CN257" t="b">
        <f t="shared" si="200"/>
        <v>1</v>
      </c>
      <c r="CO257" t="str">
        <f t="shared" si="188"/>
        <v>R465</v>
      </c>
      <c r="CP257" t="str">
        <f t="shared" si="201"/>
        <v>R465</v>
      </c>
      <c r="CQ257" t="str">
        <f>AF256</f>
        <v>R452</v>
      </c>
      <c r="CR257" t="str">
        <f t="shared" si="189"/>
        <v>R452</v>
      </c>
      <c r="CS257" t="s">
        <v>676</v>
      </c>
      <c r="CT257" t="s">
        <v>676</v>
      </c>
      <c r="CU257" t="s">
        <v>676</v>
      </c>
      <c r="CV257" t="b">
        <f t="shared" si="202"/>
        <v>1</v>
      </c>
      <c r="DC257" t="str">
        <f t="shared" si="190"/>
        <v>G556</v>
      </c>
      <c r="DD257" t="b">
        <f t="shared" si="203"/>
        <v>0</v>
      </c>
      <c r="DE257" t="str">
        <f t="shared" si="204"/>
        <v>G556</v>
      </c>
      <c r="DF257" t="str">
        <f t="shared" si="191"/>
        <v>R452</v>
      </c>
      <c r="DG257" t="b">
        <f t="shared" si="205"/>
        <v>0</v>
      </c>
      <c r="DH257" t="str">
        <f t="shared" si="206"/>
        <v>R452</v>
      </c>
    </row>
    <row r="258" spans="2:112" ht="12" customHeight="1">
      <c r="B258" t="str">
        <f>TBIDry!H330</f>
        <v>G717</v>
      </c>
      <c r="C258" t="str">
        <f>TBIDry!I330</f>
        <v>R108</v>
      </c>
      <c r="D258" t="b">
        <f t="shared" si="158"/>
        <v>0</v>
      </c>
      <c r="E258" t="b">
        <f t="shared" si="159"/>
        <v>0</v>
      </c>
      <c r="G258" t="str">
        <f>TBIWet!H330</f>
        <v>G732</v>
      </c>
      <c r="H258" t="str">
        <f>TBIWet!I330</f>
        <v>R69</v>
      </c>
      <c r="I258" t="b">
        <f t="shared" si="160"/>
        <v>0</v>
      </c>
      <c r="J258" t="b">
        <f t="shared" si="161"/>
        <v>0</v>
      </c>
      <c r="L258" t="str">
        <f>'Both teabags AfterWet'!A256</f>
        <v>G695</v>
      </c>
      <c r="M258" t="str">
        <f>'Both teabags AfterWet'!A676</f>
        <v>R467</v>
      </c>
      <c r="N258" t="b">
        <f t="shared" si="162"/>
        <v>0</v>
      </c>
      <c r="O258" t="b">
        <f t="shared" si="207"/>
        <v>0</v>
      </c>
      <c r="Q258" s="395" t="b">
        <f t="shared" si="163"/>
        <v>0</v>
      </c>
      <c r="R258" s="395" t="b">
        <f t="shared" si="164"/>
        <v>0</v>
      </c>
      <c r="T258" t="str">
        <f>'Both teabags AfterDry'!A256</f>
        <v>G57</v>
      </c>
      <c r="U258" t="str">
        <f>'Both teabags AfterDry'!A591</f>
        <v>R75</v>
      </c>
      <c r="V258" t="b">
        <f t="shared" si="165"/>
        <v>0</v>
      </c>
      <c r="W258" t="b">
        <f t="shared" si="192"/>
        <v>0</v>
      </c>
      <c r="Y258" t="str">
        <f>'Green_rooibos initial weight'!A259</f>
        <v>G255</v>
      </c>
      <c r="Z258" t="str">
        <f>'Green_rooibos initial weight'!A1163</f>
        <v>R255</v>
      </c>
      <c r="AA258" t="b">
        <f t="shared" si="166"/>
        <v>0</v>
      </c>
      <c r="AB258" t="b">
        <f t="shared" si="167"/>
        <v>0</v>
      </c>
      <c r="AE258" t="str">
        <f>'WetLitterbags placem_collection'!O37</f>
        <v>G732</v>
      </c>
      <c r="AF258" t="str">
        <f>'WetLitterbags placem_collection'!Q37</f>
        <v>R69</v>
      </c>
      <c r="AG258" t="b">
        <f t="shared" si="168"/>
        <v>0</v>
      </c>
      <c r="AH258" t="b">
        <f t="shared" si="169"/>
        <v>0</v>
      </c>
      <c r="AJ258" t="b">
        <f t="shared" si="170"/>
        <v>0</v>
      </c>
      <c r="AK258" t="b">
        <f t="shared" si="171"/>
        <v>0</v>
      </c>
      <c r="AM258" t="str">
        <f>IF(ISBLANK('Dry_Litterbag Placem_Collection'!L37),"","G"&amp;""&amp;'Dry_Litterbag Placem_Collection'!L37)</f>
        <v>G717</v>
      </c>
      <c r="AN258" t="str">
        <f>IF(ISBLANK('Dry_Litterbag Placem_Collection'!M37),"","R"&amp;""&amp;'Dry_Litterbag Placem_Collection'!M37)</f>
        <v>R108</v>
      </c>
      <c r="AO258" t="b">
        <f t="shared" si="172"/>
        <v>0</v>
      </c>
      <c r="AP258" t="b">
        <f t="shared" si="173"/>
        <v>0</v>
      </c>
      <c r="AS258" t="str">
        <f>'Ashed teabags dry'!A256</f>
        <v>G57</v>
      </c>
      <c r="AT258" t="str">
        <f>'Ashed teabags dry'!A591</f>
        <v>R75</v>
      </c>
      <c r="AU258" t="b">
        <f t="shared" si="174"/>
        <v>0</v>
      </c>
      <c r="AV258" t="b">
        <f>COUNTIF($AT$4:$AT$2000, AT258)&gt;1</f>
        <v>0</v>
      </c>
      <c r="AX258" s="395" t="b">
        <f t="shared" si="175"/>
        <v>0</v>
      </c>
      <c r="AY258" s="395" t="b">
        <f t="shared" si="176"/>
        <v>0</v>
      </c>
      <c r="BA258" t="str">
        <f>'Ashed teabags wet'!A256</f>
        <v>G695</v>
      </c>
      <c r="BB258" t="str">
        <f>'Ashed teabags wet'!A676</f>
        <v>R467</v>
      </c>
      <c r="BC258" t="b">
        <f t="shared" si="177"/>
        <v>0</v>
      </c>
      <c r="BD258" t="b">
        <f t="shared" si="157"/>
        <v>0</v>
      </c>
      <c r="BF258" t="str">
        <f t="shared" si="178"/>
        <v>G562</v>
      </c>
      <c r="BG258" t="str">
        <f>T257</f>
        <v>G562</v>
      </c>
      <c r="BH258" t="str">
        <f t="shared" si="179"/>
        <v>G487</v>
      </c>
      <c r="BI258" t="str">
        <f t="shared" si="193"/>
        <v/>
      </c>
      <c r="BJ258" t="s">
        <v>1488</v>
      </c>
      <c r="BK258" t="s">
        <v>1488</v>
      </c>
      <c r="BL258" t="s">
        <v>1488</v>
      </c>
      <c r="BM258" t="b">
        <f t="shared" si="194"/>
        <v>1</v>
      </c>
      <c r="BN258" t="str">
        <f t="shared" si="180"/>
        <v>R749</v>
      </c>
      <c r="BO258" t="str">
        <f>U257</f>
        <v>R749</v>
      </c>
      <c r="BP258" t="str">
        <f t="shared" si="181"/>
        <v>R324</v>
      </c>
      <c r="BQ258" t="str">
        <f t="shared" si="182"/>
        <v/>
      </c>
      <c r="BR258" t="s">
        <v>390</v>
      </c>
      <c r="BS258" t="s">
        <v>1066</v>
      </c>
      <c r="BT258" t="s">
        <v>390</v>
      </c>
      <c r="BU258" t="b">
        <f t="shared" si="195"/>
        <v>1</v>
      </c>
      <c r="BZ258" t="str">
        <f t="shared" si="183"/>
        <v>G487</v>
      </c>
      <c r="CA258" t="b">
        <f t="shared" si="184"/>
        <v>1</v>
      </c>
      <c r="CB258" t="str">
        <f t="shared" si="196"/>
        <v/>
      </c>
      <c r="CC258" t="str">
        <f t="shared" si="185"/>
        <v>R324</v>
      </c>
      <c r="CD258" t="b">
        <f t="shared" si="197"/>
        <v>1</v>
      </c>
      <c r="CE258" t="str">
        <f t="shared" si="198"/>
        <v/>
      </c>
      <c r="CG258" t="str">
        <f t="shared" si="186"/>
        <v>G694</v>
      </c>
      <c r="CH258" t="str">
        <f t="shared" si="199"/>
        <v>G694</v>
      </c>
      <c r="CI258" t="str">
        <f>AE257</f>
        <v>G649</v>
      </c>
      <c r="CJ258" t="str">
        <f t="shared" si="187"/>
        <v>G649</v>
      </c>
      <c r="CK258" t="s">
        <v>1356</v>
      </c>
      <c r="CL258" t="s">
        <v>1356</v>
      </c>
      <c r="CM258" t="s">
        <v>1356</v>
      </c>
      <c r="CN258" t="b">
        <f t="shared" si="200"/>
        <v>1</v>
      </c>
      <c r="CO258" t="str">
        <f t="shared" si="188"/>
        <v>R466</v>
      </c>
      <c r="CP258" t="str">
        <f t="shared" si="201"/>
        <v>R466</v>
      </c>
      <c r="CQ258" t="str">
        <f>AF257</f>
        <v>R24</v>
      </c>
      <c r="CR258" t="str">
        <f t="shared" si="189"/>
        <v>R24</v>
      </c>
      <c r="CS258" t="s">
        <v>675</v>
      </c>
      <c r="CT258" t="s">
        <v>675</v>
      </c>
      <c r="CU258" t="s">
        <v>675</v>
      </c>
      <c r="CV258" t="b">
        <f t="shared" si="202"/>
        <v>1</v>
      </c>
      <c r="DC258" t="str">
        <f t="shared" si="190"/>
        <v>G649</v>
      </c>
      <c r="DD258" t="b">
        <f t="shared" si="203"/>
        <v>0</v>
      </c>
      <c r="DE258" t="str">
        <f t="shared" si="204"/>
        <v>G649</v>
      </c>
      <c r="DF258" t="str">
        <f t="shared" si="191"/>
        <v>R24</v>
      </c>
      <c r="DG258" t="b">
        <f t="shared" si="205"/>
        <v>0</v>
      </c>
      <c r="DH258" t="str">
        <f t="shared" si="206"/>
        <v>R24</v>
      </c>
    </row>
    <row r="259" spans="2:112" ht="12" customHeight="1">
      <c r="B259" t="str">
        <f>TBIDry!H331</f>
        <v>G767</v>
      </c>
      <c r="C259" t="str">
        <f>TBIDry!I331</f>
        <v>R152</v>
      </c>
      <c r="D259" t="b">
        <f t="shared" si="158"/>
        <v>0</v>
      </c>
      <c r="E259" t="b">
        <f t="shared" si="159"/>
        <v>0</v>
      </c>
      <c r="G259" t="str">
        <f>TBIWet!H331</f>
        <v>G550</v>
      </c>
      <c r="H259" t="str">
        <f>TBIWet!I331</f>
        <v>R97</v>
      </c>
      <c r="I259" t="b">
        <f t="shared" si="160"/>
        <v>0</v>
      </c>
      <c r="J259" t="b">
        <f t="shared" si="161"/>
        <v>0</v>
      </c>
      <c r="L259" t="str">
        <f>'Both teabags AfterWet'!A257</f>
        <v>G696</v>
      </c>
      <c r="M259" t="str">
        <f>'Both teabags AfterWet'!A677</f>
        <v>R468</v>
      </c>
      <c r="N259" t="b">
        <f t="shared" si="162"/>
        <v>0</v>
      </c>
      <c r="O259" t="b">
        <f t="shared" si="207"/>
        <v>0</v>
      </c>
      <c r="Q259" s="395" t="b">
        <f t="shared" si="163"/>
        <v>0</v>
      </c>
      <c r="R259" s="395" t="b">
        <f t="shared" si="164"/>
        <v>0</v>
      </c>
      <c r="T259" t="str">
        <f>'Both teabags AfterDry'!A257</f>
        <v>G570</v>
      </c>
      <c r="U259" t="str">
        <f>'Both teabags AfterDry'!A592</f>
        <v>R751</v>
      </c>
      <c r="V259" t="b">
        <f t="shared" si="165"/>
        <v>0</v>
      </c>
      <c r="W259" t="b">
        <f t="shared" si="192"/>
        <v>0</v>
      </c>
      <c r="Y259" t="str">
        <f>'Green_rooibos initial weight'!A260</f>
        <v>G256</v>
      </c>
      <c r="Z259" t="str">
        <f>'Green_rooibos initial weight'!A1164</f>
        <v>R256</v>
      </c>
      <c r="AA259" t="b">
        <f t="shared" si="166"/>
        <v>0</v>
      </c>
      <c r="AB259" t="b">
        <f t="shared" si="167"/>
        <v>0</v>
      </c>
      <c r="AE259" t="str">
        <f>'WetLitterbags placem_collection'!O38</f>
        <v>G550</v>
      </c>
      <c r="AF259" t="str">
        <f>'WetLitterbags placem_collection'!Q38</f>
        <v>R97</v>
      </c>
      <c r="AG259" t="b">
        <f t="shared" si="168"/>
        <v>0</v>
      </c>
      <c r="AH259" t="b">
        <f t="shared" si="169"/>
        <v>0</v>
      </c>
      <c r="AJ259" t="b">
        <f t="shared" si="170"/>
        <v>0</v>
      </c>
      <c r="AK259" t="b">
        <f t="shared" si="171"/>
        <v>0</v>
      </c>
      <c r="AM259" t="str">
        <f>IF(ISBLANK('Dry_Litterbag Placem_Collection'!L38),"","G"&amp;""&amp;'Dry_Litterbag Placem_Collection'!L38)</f>
        <v>G767</v>
      </c>
      <c r="AN259" t="str">
        <f>IF(ISBLANK('Dry_Litterbag Placem_Collection'!M38),"","R"&amp;""&amp;'Dry_Litterbag Placem_Collection'!M38)</f>
        <v>R152</v>
      </c>
      <c r="AO259" t="b">
        <f t="shared" si="172"/>
        <v>0</v>
      </c>
      <c r="AP259" t="b">
        <f t="shared" si="173"/>
        <v>0</v>
      </c>
      <c r="AS259" t="str">
        <f>'Ashed teabags dry'!A257</f>
        <v>G570</v>
      </c>
      <c r="AT259" t="str">
        <f>'Ashed teabags dry'!A592</f>
        <v>R751</v>
      </c>
      <c r="AU259" t="b">
        <f t="shared" si="174"/>
        <v>0</v>
      </c>
      <c r="AV259" t="b">
        <f>COUNTIF($AT$4:$AT$2000, AT259)&gt;1</f>
        <v>0</v>
      </c>
      <c r="AX259" s="395" t="b">
        <f t="shared" si="175"/>
        <v>0</v>
      </c>
      <c r="AY259" s="395" t="b">
        <f t="shared" si="176"/>
        <v>0</v>
      </c>
      <c r="BA259" t="str">
        <f>'Ashed teabags wet'!A257</f>
        <v>G696</v>
      </c>
      <c r="BB259" t="str">
        <f>'Ashed teabags wet'!A677</f>
        <v>R468</v>
      </c>
      <c r="BC259" t="b">
        <f t="shared" si="177"/>
        <v>0</v>
      </c>
      <c r="BD259" t="b">
        <f t="shared" si="157"/>
        <v>0</v>
      </c>
      <c r="BF259" t="str">
        <f t="shared" si="178"/>
        <v>G57</v>
      </c>
      <c r="BG259" t="str">
        <f>T258</f>
        <v>G57</v>
      </c>
      <c r="BH259" t="str">
        <f t="shared" si="179"/>
        <v>G717</v>
      </c>
      <c r="BI259" t="str">
        <f t="shared" si="193"/>
        <v>G717</v>
      </c>
      <c r="BJ259" t="s">
        <v>1993</v>
      </c>
      <c r="BK259" t="s">
        <v>1993</v>
      </c>
      <c r="BL259" t="s">
        <v>1993</v>
      </c>
      <c r="BM259" t="b">
        <f t="shared" si="194"/>
        <v>1</v>
      </c>
      <c r="BN259" t="str">
        <f t="shared" si="180"/>
        <v>R75</v>
      </c>
      <c r="BO259" t="str">
        <f>U258</f>
        <v>R75</v>
      </c>
      <c r="BP259" t="str">
        <f t="shared" si="181"/>
        <v>R108</v>
      </c>
      <c r="BQ259" t="str">
        <f t="shared" si="182"/>
        <v>R108</v>
      </c>
      <c r="BR259" t="s">
        <v>1066</v>
      </c>
      <c r="BS259" t="s">
        <v>388</v>
      </c>
      <c r="BT259" t="s">
        <v>1066</v>
      </c>
      <c r="BU259" t="b">
        <f t="shared" si="195"/>
        <v>1</v>
      </c>
      <c r="BZ259" t="str">
        <f t="shared" si="183"/>
        <v>G717</v>
      </c>
      <c r="CA259" t="b">
        <f t="shared" si="184"/>
        <v>0</v>
      </c>
      <c r="CB259" t="str">
        <f t="shared" si="196"/>
        <v>G717</v>
      </c>
      <c r="CC259" t="str">
        <f t="shared" si="185"/>
        <v>R108</v>
      </c>
      <c r="CD259" t="b">
        <f t="shared" si="197"/>
        <v>0</v>
      </c>
      <c r="CE259" t="str">
        <f t="shared" si="198"/>
        <v>R108</v>
      </c>
      <c r="CG259" t="str">
        <f t="shared" si="186"/>
        <v>G695</v>
      </c>
      <c r="CH259" t="str">
        <f t="shared" si="199"/>
        <v>G695</v>
      </c>
      <c r="CI259" t="str">
        <f>AE258</f>
        <v>G732</v>
      </c>
      <c r="CJ259" t="str">
        <f t="shared" si="187"/>
        <v>G732</v>
      </c>
      <c r="CK259" t="s">
        <v>1355</v>
      </c>
      <c r="CL259" t="s">
        <v>1355</v>
      </c>
      <c r="CM259" t="s">
        <v>1355</v>
      </c>
      <c r="CN259" t="b">
        <f t="shared" si="200"/>
        <v>1</v>
      </c>
      <c r="CO259" t="str">
        <f t="shared" si="188"/>
        <v>R467</v>
      </c>
      <c r="CP259" t="str">
        <f t="shared" si="201"/>
        <v>R467</v>
      </c>
      <c r="CQ259" t="str">
        <f>AF258</f>
        <v>R69</v>
      </c>
      <c r="CR259" t="str">
        <f t="shared" si="189"/>
        <v>R69</v>
      </c>
      <c r="CS259" t="s">
        <v>674</v>
      </c>
      <c r="CT259" t="s">
        <v>674</v>
      </c>
      <c r="CU259" t="s">
        <v>674</v>
      </c>
      <c r="CV259" t="b">
        <f t="shared" si="202"/>
        <v>1</v>
      </c>
      <c r="DC259" t="str">
        <f t="shared" si="190"/>
        <v>G732</v>
      </c>
      <c r="DD259" t="b">
        <f t="shared" si="203"/>
        <v>0</v>
      </c>
      <c r="DE259" t="str">
        <f t="shared" si="204"/>
        <v>G732</v>
      </c>
      <c r="DF259" t="str">
        <f t="shared" si="191"/>
        <v>R69</v>
      </c>
      <c r="DG259" t="b">
        <f t="shared" si="205"/>
        <v>0</v>
      </c>
      <c r="DH259" t="str">
        <f t="shared" si="206"/>
        <v>R69</v>
      </c>
    </row>
    <row r="260" spans="2:112" ht="12" customHeight="1">
      <c r="B260" t="str">
        <f>TBIDry!H332</f>
        <v>G473</v>
      </c>
      <c r="C260" t="str">
        <f>TBIDry!I332</f>
        <v>R681</v>
      </c>
      <c r="D260" t="b">
        <f t="shared" si="158"/>
        <v>0</v>
      </c>
      <c r="E260" t="b">
        <f t="shared" si="159"/>
        <v>0</v>
      </c>
      <c r="G260" t="str">
        <f>TBIWet!H332</f>
        <v>G528</v>
      </c>
      <c r="H260" t="str">
        <f>TBIWet!I332</f>
        <v>R89</v>
      </c>
      <c r="I260" t="b">
        <f t="shared" si="160"/>
        <v>0</v>
      </c>
      <c r="J260" t="b">
        <f t="shared" si="161"/>
        <v>0</v>
      </c>
      <c r="L260" t="str">
        <f>'Both teabags AfterWet'!A258</f>
        <v>G697</v>
      </c>
      <c r="M260" t="str">
        <f>'Both teabags AfterWet'!A678</f>
        <v>R469</v>
      </c>
      <c r="N260" t="b">
        <f t="shared" si="162"/>
        <v>0</v>
      </c>
      <c r="O260" t="b">
        <f t="shared" si="207"/>
        <v>0</v>
      </c>
      <c r="Q260" s="395" t="b">
        <f t="shared" si="163"/>
        <v>0</v>
      </c>
      <c r="R260" s="395" t="b">
        <f t="shared" si="164"/>
        <v>0</v>
      </c>
      <c r="T260" t="str">
        <f>'Both teabags AfterDry'!A258</f>
        <v>G58</v>
      </c>
      <c r="U260" t="str">
        <f>'Both teabags AfterDry'!A593</f>
        <v>R752</v>
      </c>
      <c r="V260" t="b">
        <f t="shared" si="165"/>
        <v>0</v>
      </c>
      <c r="W260" t="b">
        <f t="shared" si="192"/>
        <v>0</v>
      </c>
      <c r="Y260" t="str">
        <f>'Green_rooibos initial weight'!A261</f>
        <v>G257</v>
      </c>
      <c r="Z260" t="str">
        <f>'Green_rooibos initial weight'!A1165</f>
        <v>R257</v>
      </c>
      <c r="AA260" t="b">
        <f t="shared" si="166"/>
        <v>0</v>
      </c>
      <c r="AB260" t="b">
        <f t="shared" si="167"/>
        <v>0</v>
      </c>
      <c r="AE260" t="str">
        <f>'WetLitterbags placem_collection'!O39</f>
        <v>G528</v>
      </c>
      <c r="AF260" t="str">
        <f>'WetLitterbags placem_collection'!Q39</f>
        <v>R89</v>
      </c>
      <c r="AG260" t="b">
        <f t="shared" si="168"/>
        <v>0</v>
      </c>
      <c r="AH260" t="b">
        <f t="shared" si="169"/>
        <v>0</v>
      </c>
      <c r="AJ260" t="b">
        <f t="shared" si="170"/>
        <v>0</v>
      </c>
      <c r="AK260" t="b">
        <f t="shared" si="171"/>
        <v>0</v>
      </c>
      <c r="AM260" t="str">
        <f>IF(ISBLANK('Dry_Litterbag Placem_Collection'!L39),"","G"&amp;""&amp;'Dry_Litterbag Placem_Collection'!L39)</f>
        <v>G473</v>
      </c>
      <c r="AN260" t="str">
        <f>IF(ISBLANK('Dry_Litterbag Placem_Collection'!M39),"","R"&amp;""&amp;'Dry_Litterbag Placem_Collection'!M39)</f>
        <v>R681</v>
      </c>
      <c r="AO260" t="b">
        <f t="shared" si="172"/>
        <v>0</v>
      </c>
      <c r="AP260" t="b">
        <f t="shared" si="173"/>
        <v>0</v>
      </c>
      <c r="AS260" t="str">
        <f>'Ashed teabags dry'!A258</f>
        <v>G58</v>
      </c>
      <c r="AT260" t="str">
        <f>'Ashed teabags dry'!A593</f>
        <v>R752</v>
      </c>
      <c r="AU260" t="b">
        <f t="shared" si="174"/>
        <v>0</v>
      </c>
      <c r="AV260" t="b">
        <f>COUNTIF($AT$4:$AT$2000, AT260)&gt;1</f>
        <v>0</v>
      </c>
      <c r="AX260" s="395" t="b">
        <f t="shared" si="175"/>
        <v>0</v>
      </c>
      <c r="AY260" s="395" t="b">
        <f t="shared" si="176"/>
        <v>0</v>
      </c>
      <c r="BA260" t="str">
        <f>'Ashed teabags wet'!A258</f>
        <v>G697</v>
      </c>
      <c r="BB260" t="str">
        <f>'Ashed teabags wet'!A678</f>
        <v>R469</v>
      </c>
      <c r="BC260" t="b">
        <f t="shared" si="177"/>
        <v>0</v>
      </c>
      <c r="BD260" t="b">
        <f t="shared" ref="BD260:BD323" si="208">COUNTIF($BB$4:$BB$2000, BB260)&gt;1</f>
        <v>0</v>
      </c>
      <c r="BF260" t="str">
        <f t="shared" si="178"/>
        <v>G570</v>
      </c>
      <c r="BG260" t="str">
        <f>T259</f>
        <v>G570</v>
      </c>
      <c r="BH260" t="str">
        <f t="shared" si="179"/>
        <v>G767</v>
      </c>
      <c r="BI260" t="str">
        <f t="shared" si="193"/>
        <v>G767</v>
      </c>
      <c r="BJ260" t="s">
        <v>1480</v>
      </c>
      <c r="BK260" t="s">
        <v>1480</v>
      </c>
      <c r="BL260" t="s">
        <v>1480</v>
      </c>
      <c r="BM260" t="b">
        <f t="shared" si="194"/>
        <v>1</v>
      </c>
      <c r="BN260" t="str">
        <f t="shared" si="180"/>
        <v>R751</v>
      </c>
      <c r="BO260" t="str">
        <f>U259</f>
        <v>R751</v>
      </c>
      <c r="BP260" t="str">
        <f t="shared" si="181"/>
        <v>R152</v>
      </c>
      <c r="BQ260" t="str">
        <f t="shared" si="182"/>
        <v/>
      </c>
      <c r="BR260" t="s">
        <v>388</v>
      </c>
      <c r="BS260" t="s">
        <v>387</v>
      </c>
      <c r="BT260" t="s">
        <v>388</v>
      </c>
      <c r="BU260" t="b">
        <f t="shared" si="195"/>
        <v>1</v>
      </c>
      <c r="BZ260" t="str">
        <f t="shared" si="183"/>
        <v>G767</v>
      </c>
      <c r="CA260" t="b">
        <f t="shared" si="184"/>
        <v>0</v>
      </c>
      <c r="CB260" t="str">
        <f t="shared" si="196"/>
        <v>G767</v>
      </c>
      <c r="CC260" t="str">
        <f t="shared" si="185"/>
        <v>R152</v>
      </c>
      <c r="CD260" t="b">
        <f t="shared" si="197"/>
        <v>1</v>
      </c>
      <c r="CE260" t="str">
        <f t="shared" si="198"/>
        <v/>
      </c>
      <c r="CG260" t="str">
        <f t="shared" si="186"/>
        <v>G696</v>
      </c>
      <c r="CH260" t="str">
        <f t="shared" si="199"/>
        <v>G696</v>
      </c>
      <c r="CI260" t="str">
        <f>AE259</f>
        <v>G550</v>
      </c>
      <c r="CJ260" t="str">
        <f t="shared" si="187"/>
        <v>G550</v>
      </c>
      <c r="CK260" t="s">
        <v>1354</v>
      </c>
      <c r="CL260" t="s">
        <v>1354</v>
      </c>
      <c r="CM260" t="s">
        <v>1354</v>
      </c>
      <c r="CN260" t="b">
        <f t="shared" si="200"/>
        <v>1</v>
      </c>
      <c r="CO260" t="str">
        <f t="shared" si="188"/>
        <v>R468</v>
      </c>
      <c r="CP260" t="str">
        <f t="shared" si="201"/>
        <v>R468</v>
      </c>
      <c r="CQ260" t="str">
        <f>AF259</f>
        <v>R97</v>
      </c>
      <c r="CR260" t="str">
        <f t="shared" si="189"/>
        <v>R97</v>
      </c>
      <c r="CS260" t="s">
        <v>673</v>
      </c>
      <c r="CT260" t="s">
        <v>673</v>
      </c>
      <c r="CU260" t="s">
        <v>673</v>
      </c>
      <c r="CV260" t="b">
        <f t="shared" si="202"/>
        <v>1</v>
      </c>
      <c r="DC260" t="str">
        <f t="shared" si="190"/>
        <v>G550</v>
      </c>
      <c r="DD260" t="b">
        <f t="shared" si="203"/>
        <v>0</v>
      </c>
      <c r="DE260" t="str">
        <f t="shared" si="204"/>
        <v>G550</v>
      </c>
      <c r="DF260" t="str">
        <f t="shared" si="191"/>
        <v>R97</v>
      </c>
      <c r="DG260" t="b">
        <f t="shared" si="205"/>
        <v>0</v>
      </c>
      <c r="DH260" t="str">
        <f t="shared" si="206"/>
        <v>R97</v>
      </c>
    </row>
    <row r="261" spans="2:112" ht="12" customHeight="1">
      <c r="B261" t="str">
        <f>TBIDry!H333</f>
        <v>G111</v>
      </c>
      <c r="C261" t="str">
        <f>TBIDry!I333</f>
        <v>R260</v>
      </c>
      <c r="D261" t="b">
        <f t="shared" ref="D261:D324" si="209">COUNTIF($B$4:$B$2000, B261)&gt;1</f>
        <v>0</v>
      </c>
      <c r="E261" t="b">
        <f t="shared" ref="E261:E324" si="210">COUNTIF($C$4:$C$2000, C261)&gt;1</f>
        <v>0</v>
      </c>
      <c r="G261" t="str">
        <f>TBIWet!H333</f>
        <v>G703</v>
      </c>
      <c r="H261" t="str">
        <f>TBIWet!I333</f>
        <v>R147</v>
      </c>
      <c r="I261" t="b">
        <f t="shared" ref="I261:I324" si="211">COUNTIF($G$4:$G$2000, G261)&gt;1</f>
        <v>0</v>
      </c>
      <c r="J261" t="b">
        <f t="shared" ref="J261:J324" si="212">COUNTIF($H$4:$H$2000, H261)&gt;1</f>
        <v>0</v>
      </c>
      <c r="L261" t="str">
        <f>'Both teabags AfterWet'!A259</f>
        <v>G698</v>
      </c>
      <c r="M261" t="str">
        <f>'Both teabags AfterWet'!A679</f>
        <v>R470</v>
      </c>
      <c r="N261" t="b">
        <f t="shared" ref="N261:N324" si="213">COUNTIF($L$4:$L$2000, L261)&gt;1</f>
        <v>0</v>
      </c>
      <c r="O261" t="b">
        <f t="shared" si="207"/>
        <v>0</v>
      </c>
      <c r="Q261" s="395" t="b">
        <f t="shared" ref="Q261:Q324" si="214">COUNTIF($T$4:$T$2000, L261)=1</f>
        <v>0</v>
      </c>
      <c r="R261" s="395" t="b">
        <f t="shared" ref="R261:R324" si="215" xml:space="preserve"> COUNTIF($U$4:$U$2000,M261)=1</f>
        <v>0</v>
      </c>
      <c r="T261" t="str">
        <f>'Both teabags AfterDry'!A259</f>
        <v>G580</v>
      </c>
      <c r="U261" t="str">
        <f>'Both teabags AfterDry'!A594</f>
        <v>R756</v>
      </c>
      <c r="V261" t="b">
        <f t="shared" ref="V261:V324" si="216">COUNTIF($T$4:$T$2000, T261)&gt;1</f>
        <v>0</v>
      </c>
      <c r="W261" t="b">
        <f t="shared" si="192"/>
        <v>0</v>
      </c>
      <c r="Y261" t="str">
        <f>'Green_rooibos initial weight'!A262</f>
        <v>G258</v>
      </c>
      <c r="Z261" t="str">
        <f>'Green_rooibos initial weight'!A1166</f>
        <v>R258</v>
      </c>
      <c r="AA261" t="b">
        <f t="shared" ref="AA261:AA324" si="217">COUNTIF($Y$4:$Y$2000, Y261)&gt;1</f>
        <v>0</v>
      </c>
      <c r="AB261" t="b">
        <f t="shared" ref="AB261:AB324" si="218">COUNTIF($Z$4:$Z$2000, Z261)&gt;1</f>
        <v>0</v>
      </c>
      <c r="AE261" t="str">
        <f>'WetLitterbags placem_collection'!O40</f>
        <v>G703</v>
      </c>
      <c r="AF261" t="str">
        <f>'WetLitterbags placem_collection'!Q40</f>
        <v>R147</v>
      </c>
      <c r="AG261" t="b">
        <f t="shared" ref="AG261:AG324" si="219">COUNTIF($AE$4:$AE$2000, AE261)&gt;1</f>
        <v>0</v>
      </c>
      <c r="AH261" t="b">
        <f t="shared" ref="AH261:AH324" si="220">COUNTIF($AF$4:$AF$2000, AF261)&gt;1</f>
        <v>0</v>
      </c>
      <c r="AJ261" t="b">
        <f t="shared" ref="AJ261:AJ324" si="221">COUNTIF($AM$4:$AM$2000, AE261)=1</f>
        <v>0</v>
      </c>
      <c r="AK261" t="b">
        <f t="shared" ref="AK261:AK324" si="222">COUNTIF($AN$4:$AN$2000, AF261)=1</f>
        <v>0</v>
      </c>
      <c r="AM261" t="str">
        <f>IF(ISBLANK('Dry_Litterbag Placem_Collection'!L40),"","G"&amp;""&amp;'Dry_Litterbag Placem_Collection'!L40)</f>
        <v>G111</v>
      </c>
      <c r="AN261" t="str">
        <f>IF(ISBLANK('Dry_Litterbag Placem_Collection'!M40),"","R"&amp;""&amp;'Dry_Litterbag Placem_Collection'!M40)</f>
        <v>R260</v>
      </c>
      <c r="AO261" t="b">
        <f t="shared" ref="AO261:AO324" si="223">COUNTIF($AM$4:$AM$2000, AM261)&gt;1</f>
        <v>0</v>
      </c>
      <c r="AP261" t="b">
        <f t="shared" ref="AP261:AP324" si="224">COUNTIF($AN$4:$AN$2000, AN261)&gt;1</f>
        <v>0</v>
      </c>
      <c r="AS261" t="str">
        <f>'Ashed teabags dry'!A259</f>
        <v>G580</v>
      </c>
      <c r="AT261" t="str">
        <f>'Ashed teabags dry'!A594</f>
        <v>R756</v>
      </c>
      <c r="AU261" t="b">
        <f t="shared" ref="AU261:AU324" si="225">COUNTIF($AS$4:$AS$2000, AS261)&gt;1</f>
        <v>0</v>
      </c>
      <c r="AV261" t="b">
        <f>COUNTIF($AT$4:$AT$2000, AT261)&gt;1</f>
        <v>0</v>
      </c>
      <c r="AX261" s="395" t="b">
        <f t="shared" ref="AX261:AX324" si="226">COUNTIF($BA$4:$BA$2000, AS261)=1</f>
        <v>0</v>
      </c>
      <c r="AY261" s="395" t="b">
        <f t="shared" ref="AY261:AY324" si="227">COUNTIF($BB$4:$BB$2000, AT261)=1</f>
        <v>0</v>
      </c>
      <c r="BA261" t="str">
        <f>'Ashed teabags wet'!A259</f>
        <v>G698</v>
      </c>
      <c r="BB261" t="str">
        <f>'Ashed teabags wet'!A679</f>
        <v>R470</v>
      </c>
      <c r="BC261" t="b">
        <f t="shared" ref="BC261:BC324" si="228">COUNTIF($BA$4:$BA$2000, BA261)&gt;1</f>
        <v>0</v>
      </c>
      <c r="BD261" t="b">
        <f t="shared" si="208"/>
        <v>0</v>
      </c>
      <c r="BF261" t="str">
        <f t="shared" ref="BF261:BF324" si="229">AS260</f>
        <v>G58</v>
      </c>
      <c r="BG261" t="str">
        <f>T260</f>
        <v>G58</v>
      </c>
      <c r="BH261" t="str">
        <f t="shared" ref="BH261:BH324" si="230">B260</f>
        <v>G473</v>
      </c>
      <c r="BI261" t="str">
        <f t="shared" si="193"/>
        <v>G473</v>
      </c>
      <c r="BJ261" t="s">
        <v>1992</v>
      </c>
      <c r="BK261" t="s">
        <v>1992</v>
      </c>
      <c r="BL261" t="s">
        <v>1992</v>
      </c>
      <c r="BM261" t="b">
        <f t="shared" si="194"/>
        <v>1</v>
      </c>
      <c r="BN261" t="str">
        <f t="shared" ref="BN261:BN324" si="231">AT260</f>
        <v>R752</v>
      </c>
      <c r="BO261" t="str">
        <f>U260</f>
        <v>R752</v>
      </c>
      <c r="BP261" t="str">
        <f t="shared" ref="BP261:BP324" si="232">C260</f>
        <v>R681</v>
      </c>
      <c r="BQ261" t="str">
        <f t="shared" ref="BQ261:BS324" si="233">CE261</f>
        <v>R681</v>
      </c>
      <c r="BR261" t="s">
        <v>387</v>
      </c>
      <c r="BS261" t="s">
        <v>383</v>
      </c>
      <c r="BT261" t="s">
        <v>387</v>
      </c>
      <c r="BU261" t="b">
        <f t="shared" si="195"/>
        <v>1</v>
      </c>
      <c r="BZ261" t="str">
        <f t="shared" ref="BZ261:BZ324" si="234">BH261</f>
        <v>G473</v>
      </c>
      <c r="CA261" t="b">
        <f t="shared" ref="CA261:CA324" si="235">COUNTIF($BV$5:$BV$2000, BZ261)=1</f>
        <v>0</v>
      </c>
      <c r="CB261" t="str">
        <f t="shared" si="196"/>
        <v>G473</v>
      </c>
      <c r="CC261" t="str">
        <f t="shared" ref="CC261:CC324" si="236">BP261</f>
        <v>R681</v>
      </c>
      <c r="CD261" t="b">
        <f t="shared" si="197"/>
        <v>0</v>
      </c>
      <c r="CE261" t="str">
        <f t="shared" si="198"/>
        <v>R681</v>
      </c>
      <c r="CG261" t="str">
        <f t="shared" ref="CG261:CG324" si="237">BA260</f>
        <v>G697</v>
      </c>
      <c r="CH261" t="str">
        <f t="shared" si="199"/>
        <v>G697</v>
      </c>
      <c r="CI261" t="str">
        <f>AE260</f>
        <v>G528</v>
      </c>
      <c r="CJ261" t="str">
        <f t="shared" ref="CJ261:CL324" si="238">DE261</f>
        <v>G528</v>
      </c>
      <c r="CK261" t="s">
        <v>1353</v>
      </c>
      <c r="CL261" t="s">
        <v>1353</v>
      </c>
      <c r="CM261" t="s">
        <v>1353</v>
      </c>
      <c r="CN261" t="b">
        <f t="shared" si="200"/>
        <v>1</v>
      </c>
      <c r="CO261" t="str">
        <f t="shared" ref="CO261:CO324" si="239">BB260</f>
        <v>R469</v>
      </c>
      <c r="CP261" t="str">
        <f t="shared" si="201"/>
        <v>R469</v>
      </c>
      <c r="CQ261" t="str">
        <f>AF260</f>
        <v>R89</v>
      </c>
      <c r="CR261" t="str">
        <f t="shared" ref="CR261:CT324" si="240">DH261</f>
        <v>R89</v>
      </c>
      <c r="CS261" t="s">
        <v>672</v>
      </c>
      <c r="CT261" t="s">
        <v>672</v>
      </c>
      <c r="CU261" t="s">
        <v>672</v>
      </c>
      <c r="CV261" t="b">
        <f t="shared" si="202"/>
        <v>1</v>
      </c>
      <c r="DC261" t="str">
        <f t="shared" ref="DC261:DC324" si="241">CI261</f>
        <v>G528</v>
      </c>
      <c r="DD261" t="b">
        <f t="shared" si="203"/>
        <v>0</v>
      </c>
      <c r="DE261" t="str">
        <f t="shared" si="204"/>
        <v>G528</v>
      </c>
      <c r="DF261" t="str">
        <f t="shared" ref="DF261:DF324" si="242">CQ261</f>
        <v>R89</v>
      </c>
      <c r="DG261" t="b">
        <f t="shared" si="205"/>
        <v>0</v>
      </c>
      <c r="DH261" t="str">
        <f t="shared" si="206"/>
        <v>R89</v>
      </c>
    </row>
    <row r="262" spans="2:112" ht="12" customHeight="1">
      <c r="B262" t="str">
        <f>TBIDry!H334</f>
        <v/>
      </c>
      <c r="C262" t="str">
        <f>TBIDry!I334</f>
        <v/>
      </c>
      <c r="D262" t="b">
        <f t="shared" si="209"/>
        <v>1</v>
      </c>
      <c r="E262" t="b">
        <f t="shared" si="210"/>
        <v>1</v>
      </c>
      <c r="G262" t="str">
        <f>TBIWet!H334</f>
        <v>G566</v>
      </c>
      <c r="H262" t="str">
        <f>TBIWet!I334</f>
        <v>R65</v>
      </c>
      <c r="I262" t="b">
        <f t="shared" si="211"/>
        <v>0</v>
      </c>
      <c r="J262" t="b">
        <f t="shared" si="212"/>
        <v>0</v>
      </c>
      <c r="L262" t="str">
        <f>'Both teabags AfterWet'!A260</f>
        <v>G699</v>
      </c>
      <c r="M262" t="str">
        <f>'Both teabags AfterWet'!A680</f>
        <v>R471</v>
      </c>
      <c r="N262" t="b">
        <f t="shared" si="213"/>
        <v>0</v>
      </c>
      <c r="O262" t="b">
        <f t="shared" si="207"/>
        <v>0</v>
      </c>
      <c r="Q262" s="395" t="b">
        <f t="shared" si="214"/>
        <v>0</v>
      </c>
      <c r="R262" s="395" t="b">
        <f t="shared" si="215"/>
        <v>0</v>
      </c>
      <c r="T262" t="str">
        <f>'Both teabags AfterDry'!A260</f>
        <v>G59</v>
      </c>
      <c r="U262" t="str">
        <f>'Both teabags AfterDry'!A595</f>
        <v>R757</v>
      </c>
      <c r="V262" t="b">
        <f t="shared" si="216"/>
        <v>0</v>
      </c>
      <c r="W262" t="b">
        <f t="shared" ref="W262:W325" si="243">COUNTIF($U$4:$U$2000, U262)&gt;1</f>
        <v>0</v>
      </c>
      <c r="Y262" t="str">
        <f>'Green_rooibos initial weight'!A263</f>
        <v>G259</v>
      </c>
      <c r="Z262" t="str">
        <f>'Green_rooibos initial weight'!A1167</f>
        <v>R259</v>
      </c>
      <c r="AA262" t="b">
        <f t="shared" si="217"/>
        <v>0</v>
      </c>
      <c r="AB262" t="b">
        <f t="shared" si="218"/>
        <v>0</v>
      </c>
      <c r="AE262" t="str">
        <f>'WetLitterbags placem_collection'!O41</f>
        <v>G566</v>
      </c>
      <c r="AF262" t="str">
        <f>'WetLitterbags placem_collection'!Q41</f>
        <v>R65</v>
      </c>
      <c r="AG262" t="b">
        <f t="shared" si="219"/>
        <v>0</v>
      </c>
      <c r="AH262" t="b">
        <f t="shared" si="220"/>
        <v>0</v>
      </c>
      <c r="AJ262" t="b">
        <f t="shared" si="221"/>
        <v>0</v>
      </c>
      <c r="AK262" t="b">
        <f t="shared" si="222"/>
        <v>0</v>
      </c>
      <c r="AM262" t="str">
        <f>IF(ISBLANK('Dry_Litterbag Placem_Collection'!L41),"","G"&amp;""&amp;'Dry_Litterbag Placem_Collection'!L41)</f>
        <v/>
      </c>
      <c r="AN262" t="str">
        <f>IF(ISBLANK('Dry_Litterbag Placem_Collection'!M41),"","R"&amp;""&amp;'Dry_Litterbag Placem_Collection'!M41)</f>
        <v/>
      </c>
      <c r="AO262" t="b">
        <f t="shared" si="223"/>
        <v>1</v>
      </c>
      <c r="AP262" t="b">
        <f t="shared" si="224"/>
        <v>1</v>
      </c>
      <c r="AS262" t="str">
        <f>'Ashed teabags dry'!A260</f>
        <v>G59</v>
      </c>
      <c r="AT262" t="str">
        <f>'Ashed teabags dry'!A595</f>
        <v>R757</v>
      </c>
      <c r="AU262" t="b">
        <f t="shared" si="225"/>
        <v>0</v>
      </c>
      <c r="AV262" t="b">
        <f>COUNTIF($AT$4:$AT$2000, AT262)&gt;1</f>
        <v>0</v>
      </c>
      <c r="AX262" s="395" t="b">
        <f t="shared" si="226"/>
        <v>0</v>
      </c>
      <c r="AY262" s="395" t="b">
        <f t="shared" si="227"/>
        <v>0</v>
      </c>
      <c r="BA262" t="str">
        <f>'Ashed teabags wet'!A260</f>
        <v>G699</v>
      </c>
      <c r="BB262" t="str">
        <f>'Ashed teabags wet'!A680</f>
        <v>R471</v>
      </c>
      <c r="BC262" t="b">
        <f t="shared" si="228"/>
        <v>0</v>
      </c>
      <c r="BD262" t="b">
        <f t="shared" si="208"/>
        <v>0</v>
      </c>
      <c r="BF262" t="str">
        <f t="shared" si="229"/>
        <v>G580</v>
      </c>
      <c r="BG262" t="str">
        <f>T261</f>
        <v>G580</v>
      </c>
      <c r="BH262" t="str">
        <f t="shared" si="230"/>
        <v>G111</v>
      </c>
      <c r="BI262" t="str">
        <f t="shared" ref="BI262:BK325" si="244">CB262</f>
        <v>G111</v>
      </c>
      <c r="BJ262" t="s">
        <v>1470</v>
      </c>
      <c r="BK262" t="s">
        <v>1470</v>
      </c>
      <c r="BL262" t="s">
        <v>1470</v>
      </c>
      <c r="BM262" t="b">
        <f t="shared" ref="BM262:BM325" si="245" xml:space="preserve"> COUNTIF($BJ$5:$BL$2000,BK262)=3</f>
        <v>1</v>
      </c>
      <c r="BN262" t="str">
        <f t="shared" si="231"/>
        <v>R756</v>
      </c>
      <c r="BO262" t="str">
        <f>U261</f>
        <v>R756</v>
      </c>
      <c r="BP262" t="str">
        <f t="shared" si="232"/>
        <v>R260</v>
      </c>
      <c r="BQ262" t="str">
        <f t="shared" si="233"/>
        <v>R260</v>
      </c>
      <c r="BR262" t="s">
        <v>383</v>
      </c>
      <c r="BS262" t="s">
        <v>382</v>
      </c>
      <c r="BT262" t="s">
        <v>383</v>
      </c>
      <c r="BU262" t="b">
        <f t="shared" ref="BU262:BU325" si="246" xml:space="preserve"> COUNTIF($BR$5:$BT$2000,BS262)=3</f>
        <v>1</v>
      </c>
      <c r="BZ262" t="str">
        <f t="shared" si="234"/>
        <v>G111</v>
      </c>
      <c r="CA262" t="b">
        <f t="shared" si="235"/>
        <v>0</v>
      </c>
      <c r="CB262" t="str">
        <f t="shared" ref="CB262:CB325" si="247">IF(ISNUMBER(SEARCH("USANN",CA262)),BZ262,"")</f>
        <v>G111</v>
      </c>
      <c r="CC262" t="str">
        <f t="shared" si="236"/>
        <v>R260</v>
      </c>
      <c r="CD262" t="b">
        <f t="shared" ref="CD262:CD325" si="248">COUNTIF($BW$5:$BW$2000, CC262)=1</f>
        <v>0</v>
      </c>
      <c r="CE262" t="str">
        <f t="shared" ref="CE262:CE325" si="249">IF(ISNUMBER(SEARCH("USANN",CD262)),CC262,"")</f>
        <v>R260</v>
      </c>
      <c r="CG262" t="str">
        <f t="shared" si="237"/>
        <v>G698</v>
      </c>
      <c r="CH262" t="str">
        <f t="shared" ref="CH262:CH325" si="250">L261</f>
        <v>G698</v>
      </c>
      <c r="CI262" t="str">
        <f>AE261</f>
        <v>G703</v>
      </c>
      <c r="CJ262" t="str">
        <f t="shared" si="238"/>
        <v>G703</v>
      </c>
      <c r="CK262" t="s">
        <v>1352</v>
      </c>
      <c r="CL262" t="s">
        <v>1352</v>
      </c>
      <c r="CM262" t="s">
        <v>1352</v>
      </c>
      <c r="CN262" t="b">
        <f t="shared" ref="CN262:CN325" si="251" xml:space="preserve"> COUNTIF($CK$5:$CM$2000,CL262)=3</f>
        <v>1</v>
      </c>
      <c r="CO262" t="str">
        <f t="shared" si="239"/>
        <v>R470</v>
      </c>
      <c r="CP262" t="str">
        <f t="shared" ref="CP262:CP325" si="252">M261</f>
        <v>R470</v>
      </c>
      <c r="CQ262" t="str">
        <f>AF261</f>
        <v>R147</v>
      </c>
      <c r="CR262" t="str">
        <f t="shared" si="240"/>
        <v>R147</v>
      </c>
      <c r="CS262" t="s">
        <v>671</v>
      </c>
      <c r="CT262" t="s">
        <v>671</v>
      </c>
      <c r="CU262" t="s">
        <v>671</v>
      </c>
      <c r="CV262" t="b">
        <f t="shared" ref="CV262:CV325" si="253" xml:space="preserve"> COUNTIF($CS$5:$CU$2000,CT262)=3</f>
        <v>1</v>
      </c>
      <c r="DC262" t="str">
        <f t="shared" si="241"/>
        <v>G703</v>
      </c>
      <c r="DD262" t="b">
        <f t="shared" ref="DD262:DD325" si="254">COUNTIF($CW$5:$CW$2000, DC262)=1</f>
        <v>0</v>
      </c>
      <c r="DE262" t="str">
        <f t="shared" ref="DE262:DE325" si="255">IF(ISNUMBER(SEARCH("USANN",DD262)),DC262,"")</f>
        <v>G703</v>
      </c>
      <c r="DF262" t="str">
        <f t="shared" si="242"/>
        <v>R147</v>
      </c>
      <c r="DG262" t="b">
        <f t="shared" ref="DG262:DG325" si="256">COUNTIF($CY$5:$CY$2000, DF262)=1</f>
        <v>0</v>
      </c>
      <c r="DH262" t="str">
        <f t="shared" ref="DH262:DH325" si="257">IF(ISNUMBER(SEARCH("USANN",DG262)),DF262,"")</f>
        <v>R147</v>
      </c>
    </row>
    <row r="263" spans="2:112" ht="12" customHeight="1">
      <c r="B263" t="str">
        <f>TBIDry!H335</f>
        <v>G646</v>
      </c>
      <c r="C263" t="str">
        <f>TBIDry!I335</f>
        <v>R402</v>
      </c>
      <c r="D263" t="b">
        <f t="shared" si="209"/>
        <v>0</v>
      </c>
      <c r="E263" t="b">
        <f t="shared" si="210"/>
        <v>0</v>
      </c>
      <c r="G263" t="str">
        <f>TBIWet!H335</f>
        <v>G619</v>
      </c>
      <c r="H263" t="str">
        <f>TBIWet!I335</f>
        <v>R420</v>
      </c>
      <c r="I263" t="b">
        <f t="shared" si="211"/>
        <v>0</v>
      </c>
      <c r="J263" t="b">
        <f t="shared" si="212"/>
        <v>0</v>
      </c>
      <c r="L263" t="str">
        <f>'Both teabags AfterWet'!A261</f>
        <v>G700</v>
      </c>
      <c r="M263" t="str">
        <f>'Both teabags AfterWet'!A681</f>
        <v>R472</v>
      </c>
      <c r="N263" t="b">
        <f t="shared" si="213"/>
        <v>0</v>
      </c>
      <c r="O263" t="b">
        <f t="shared" ref="O263:O326" si="258">COUNTIF($M$4:$M$2000, M263)&gt;1</f>
        <v>0</v>
      </c>
      <c r="Q263" s="395" t="b">
        <f t="shared" si="214"/>
        <v>0</v>
      </c>
      <c r="R263" s="395" t="b">
        <f t="shared" si="215"/>
        <v>0</v>
      </c>
      <c r="T263" t="str">
        <f>'Both teabags AfterDry'!A261</f>
        <v>G596</v>
      </c>
      <c r="U263" t="str">
        <f>'Both teabags AfterDry'!A596</f>
        <v>R758</v>
      </c>
      <c r="V263" t="b">
        <f t="shared" si="216"/>
        <v>0</v>
      </c>
      <c r="W263" t="b">
        <f t="shared" si="243"/>
        <v>0</v>
      </c>
      <c r="Y263" t="str">
        <f>'Green_rooibos initial weight'!A264</f>
        <v>G260</v>
      </c>
      <c r="Z263" t="str">
        <f>'Green_rooibos initial weight'!A1168</f>
        <v>R260</v>
      </c>
      <c r="AA263" t="b">
        <f t="shared" si="217"/>
        <v>0</v>
      </c>
      <c r="AB263" t="b">
        <f t="shared" si="218"/>
        <v>0</v>
      </c>
      <c r="AE263" t="str">
        <f>'WetLitterbags placem_collection'!O42</f>
        <v>G619</v>
      </c>
      <c r="AF263" t="str">
        <f>'WetLitterbags placem_collection'!Q42</f>
        <v>R420</v>
      </c>
      <c r="AG263" t="b">
        <f t="shared" si="219"/>
        <v>0</v>
      </c>
      <c r="AH263" t="b">
        <f t="shared" si="220"/>
        <v>0</v>
      </c>
      <c r="AJ263" t="b">
        <f t="shared" si="221"/>
        <v>0</v>
      </c>
      <c r="AK263" t="b">
        <f t="shared" si="222"/>
        <v>0</v>
      </c>
      <c r="AM263" t="str">
        <f>IF(ISBLANK('Dry_Litterbag Placem_Collection'!L42),"","G"&amp;""&amp;'Dry_Litterbag Placem_Collection'!L42)</f>
        <v>G646</v>
      </c>
      <c r="AN263" t="str">
        <f>IF(ISBLANK('Dry_Litterbag Placem_Collection'!M42),"","R"&amp;""&amp;'Dry_Litterbag Placem_Collection'!M42)</f>
        <v>R402</v>
      </c>
      <c r="AO263" t="b">
        <f t="shared" si="223"/>
        <v>0</v>
      </c>
      <c r="AP263" t="b">
        <f t="shared" si="224"/>
        <v>0</v>
      </c>
      <c r="AS263" t="str">
        <f>'Ashed teabags dry'!A261</f>
        <v>G596</v>
      </c>
      <c r="AT263" t="str">
        <f>'Ashed teabags dry'!A596</f>
        <v>R758</v>
      </c>
      <c r="AU263" t="b">
        <f t="shared" si="225"/>
        <v>0</v>
      </c>
      <c r="AV263" t="b">
        <f>COUNTIF($AT$4:$AT$2000, AT263)&gt;1</f>
        <v>0</v>
      </c>
      <c r="AX263" s="395" t="b">
        <f t="shared" si="226"/>
        <v>0</v>
      </c>
      <c r="AY263" s="395" t="b">
        <f t="shared" si="227"/>
        <v>0</v>
      </c>
      <c r="BA263" t="str">
        <f>'Ashed teabags wet'!A261</f>
        <v>G700</v>
      </c>
      <c r="BB263" t="str">
        <f>'Ashed teabags wet'!A681</f>
        <v>R472</v>
      </c>
      <c r="BC263" t="b">
        <f t="shared" si="228"/>
        <v>0</v>
      </c>
      <c r="BD263" t="b">
        <f t="shared" si="208"/>
        <v>0</v>
      </c>
      <c r="BF263" t="str">
        <f t="shared" si="229"/>
        <v>G59</v>
      </c>
      <c r="BG263" t="str">
        <f>T262</f>
        <v>G59</v>
      </c>
      <c r="BH263" t="str">
        <f t="shared" si="230"/>
        <v/>
      </c>
      <c r="BI263" t="str">
        <f t="shared" si="244"/>
        <v/>
      </c>
      <c r="BJ263" t="s">
        <v>1991</v>
      </c>
      <c r="BK263" t="s">
        <v>1991</v>
      </c>
      <c r="BL263" t="s">
        <v>1991</v>
      </c>
      <c r="BM263" t="b">
        <f t="shared" si="245"/>
        <v>1</v>
      </c>
      <c r="BN263" t="str">
        <f t="shared" si="231"/>
        <v>R757</v>
      </c>
      <c r="BO263" t="str">
        <f>U262</f>
        <v>R757</v>
      </c>
      <c r="BP263" t="str">
        <f t="shared" si="232"/>
        <v/>
      </c>
      <c r="BQ263" t="str">
        <f t="shared" si="233"/>
        <v/>
      </c>
      <c r="BR263" t="s">
        <v>382</v>
      </c>
      <c r="BS263" t="s">
        <v>381</v>
      </c>
      <c r="BT263" t="s">
        <v>382</v>
      </c>
      <c r="BU263" t="b">
        <f t="shared" si="246"/>
        <v>1</v>
      </c>
      <c r="BZ263" t="str">
        <f t="shared" si="234"/>
        <v/>
      </c>
      <c r="CA263" t="b">
        <f t="shared" si="235"/>
        <v>0</v>
      </c>
      <c r="CB263" t="str">
        <f t="shared" si="247"/>
        <v/>
      </c>
      <c r="CC263" t="str">
        <f t="shared" si="236"/>
        <v/>
      </c>
      <c r="CD263" t="b">
        <f t="shared" si="248"/>
        <v>0</v>
      </c>
      <c r="CE263" t="str">
        <f t="shared" si="249"/>
        <v/>
      </c>
      <c r="CG263" t="str">
        <f t="shared" si="237"/>
        <v>G699</v>
      </c>
      <c r="CH263" t="str">
        <f t="shared" si="250"/>
        <v>G699</v>
      </c>
      <c r="CI263" t="str">
        <f>AE262</f>
        <v>G566</v>
      </c>
      <c r="CJ263" t="str">
        <f t="shared" si="238"/>
        <v>G566</v>
      </c>
      <c r="CK263" t="s">
        <v>1351</v>
      </c>
      <c r="CL263" t="s">
        <v>1351</v>
      </c>
      <c r="CM263" t="s">
        <v>1351</v>
      </c>
      <c r="CN263" t="b">
        <f t="shared" si="251"/>
        <v>1</v>
      </c>
      <c r="CO263" t="str">
        <f t="shared" si="239"/>
        <v>R471</v>
      </c>
      <c r="CP263" t="str">
        <f t="shared" si="252"/>
        <v>R471</v>
      </c>
      <c r="CQ263" t="str">
        <f>AF262</f>
        <v>R65</v>
      </c>
      <c r="CR263" t="str">
        <f t="shared" si="240"/>
        <v>R65</v>
      </c>
      <c r="CS263" t="s">
        <v>670</v>
      </c>
      <c r="CT263" t="s">
        <v>670</v>
      </c>
      <c r="CU263" t="s">
        <v>670</v>
      </c>
      <c r="CV263" t="b">
        <f t="shared" si="253"/>
        <v>1</v>
      </c>
      <c r="DC263" t="str">
        <f t="shared" si="241"/>
        <v>G566</v>
      </c>
      <c r="DD263" t="b">
        <f t="shared" si="254"/>
        <v>0</v>
      </c>
      <c r="DE263" t="str">
        <f t="shared" si="255"/>
        <v>G566</v>
      </c>
      <c r="DF263" t="str">
        <f t="shared" si="242"/>
        <v>R65</v>
      </c>
      <c r="DG263" t="b">
        <f t="shared" si="256"/>
        <v>0</v>
      </c>
      <c r="DH263" t="str">
        <f t="shared" si="257"/>
        <v>R65</v>
      </c>
    </row>
    <row r="264" spans="2:112" ht="12" customHeight="1">
      <c r="B264" t="str">
        <f>TBIDry!H336</f>
        <v>G43</v>
      </c>
      <c r="C264" t="str">
        <f>TBIDry!I336</f>
        <v>R648</v>
      </c>
      <c r="D264" t="b">
        <f t="shared" si="209"/>
        <v>0</v>
      </c>
      <c r="E264" t="b">
        <f t="shared" si="210"/>
        <v>0</v>
      </c>
      <c r="G264" t="str">
        <f>TBIWet!H336</f>
        <v>G626</v>
      </c>
      <c r="H264" t="str">
        <f>TBIWet!I336</f>
        <v>R77</v>
      </c>
      <c r="I264" t="b">
        <f t="shared" si="211"/>
        <v>0</v>
      </c>
      <c r="J264" t="b">
        <f t="shared" si="212"/>
        <v>0</v>
      </c>
      <c r="L264" t="str">
        <f>'Both teabags AfterWet'!A262</f>
        <v>G701</v>
      </c>
      <c r="M264" t="str">
        <f>'Both teabags AfterWet'!A682</f>
        <v>R474</v>
      </c>
      <c r="N264" t="b">
        <f t="shared" si="213"/>
        <v>0</v>
      </c>
      <c r="O264" t="b">
        <f t="shared" si="258"/>
        <v>0</v>
      </c>
      <c r="Q264" s="395" t="b">
        <f t="shared" si="214"/>
        <v>0</v>
      </c>
      <c r="R264" s="395" t="b">
        <f t="shared" si="215"/>
        <v>0</v>
      </c>
      <c r="T264" t="str">
        <f>'Both teabags AfterDry'!A262</f>
        <v>G598</v>
      </c>
      <c r="U264" t="str">
        <f>'Both teabags AfterDry'!A597</f>
        <v>R759</v>
      </c>
      <c r="V264" t="b">
        <f t="shared" si="216"/>
        <v>0</v>
      </c>
      <c r="W264" t="b">
        <f t="shared" si="243"/>
        <v>0</v>
      </c>
      <c r="Y264" t="str">
        <f>'Green_rooibos initial weight'!A265</f>
        <v>G261</v>
      </c>
      <c r="Z264" t="str">
        <f>'Green_rooibos initial weight'!A1169</f>
        <v>R261</v>
      </c>
      <c r="AA264" t="b">
        <f t="shared" si="217"/>
        <v>0</v>
      </c>
      <c r="AB264" t="b">
        <f t="shared" si="218"/>
        <v>0</v>
      </c>
      <c r="AE264" t="str">
        <f>'WetLitterbags placem_collection'!O43</f>
        <v>G626</v>
      </c>
      <c r="AF264" t="str">
        <f>'WetLitterbags placem_collection'!Q43</f>
        <v>R77</v>
      </c>
      <c r="AG264" t="b">
        <f t="shared" si="219"/>
        <v>0</v>
      </c>
      <c r="AH264" t="b">
        <f t="shared" si="220"/>
        <v>0</v>
      </c>
      <c r="AJ264" t="b">
        <f t="shared" si="221"/>
        <v>0</v>
      </c>
      <c r="AK264" t="b">
        <f t="shared" si="222"/>
        <v>0</v>
      </c>
      <c r="AM264" t="str">
        <f>IF(ISBLANK('Dry_Litterbag Placem_Collection'!L43),"","G"&amp;""&amp;'Dry_Litterbag Placem_Collection'!L43)</f>
        <v>G43</v>
      </c>
      <c r="AN264" t="str">
        <f>IF(ISBLANK('Dry_Litterbag Placem_Collection'!M43),"","R"&amp;""&amp;'Dry_Litterbag Placem_Collection'!M43)</f>
        <v>R648</v>
      </c>
      <c r="AO264" t="b">
        <f t="shared" si="223"/>
        <v>0</v>
      </c>
      <c r="AP264" t="b">
        <f t="shared" si="224"/>
        <v>0</v>
      </c>
      <c r="AS264" t="str">
        <f>'Ashed teabags dry'!A262</f>
        <v>G598</v>
      </c>
      <c r="AT264" t="str">
        <f>'Ashed teabags dry'!A597</f>
        <v>R759</v>
      </c>
      <c r="AU264" t="b">
        <f t="shared" si="225"/>
        <v>0</v>
      </c>
      <c r="AV264" t="b">
        <f>COUNTIF($AT$4:$AT$2000, AT264)&gt;1</f>
        <v>0</v>
      </c>
      <c r="AX264" s="395" t="b">
        <f t="shared" si="226"/>
        <v>0</v>
      </c>
      <c r="AY264" s="395" t="b">
        <f t="shared" si="227"/>
        <v>0</v>
      </c>
      <c r="BA264" t="str">
        <f>'Ashed teabags wet'!A262</f>
        <v>G701</v>
      </c>
      <c r="BB264" t="str">
        <f>'Ashed teabags wet'!A682</f>
        <v>R474</v>
      </c>
      <c r="BC264" t="b">
        <f t="shared" si="228"/>
        <v>0</v>
      </c>
      <c r="BD264" t="b">
        <f t="shared" si="208"/>
        <v>0</v>
      </c>
      <c r="BF264" t="str">
        <f t="shared" si="229"/>
        <v>G596</v>
      </c>
      <c r="BG264" t="str">
        <f>T263</f>
        <v>G596</v>
      </c>
      <c r="BH264" t="str">
        <f t="shared" si="230"/>
        <v>G646</v>
      </c>
      <c r="BI264" t="str">
        <f t="shared" si="244"/>
        <v>G646</v>
      </c>
      <c r="BJ264" t="s">
        <v>1454</v>
      </c>
      <c r="BK264" t="s">
        <v>1454</v>
      </c>
      <c r="BL264" t="s">
        <v>1454</v>
      </c>
      <c r="BM264" t="b">
        <f t="shared" si="245"/>
        <v>1</v>
      </c>
      <c r="BN264" t="str">
        <f t="shared" si="231"/>
        <v>R758</v>
      </c>
      <c r="BO264" t="str">
        <f>U263</f>
        <v>R758</v>
      </c>
      <c r="BP264" t="str">
        <f t="shared" si="232"/>
        <v>R402</v>
      </c>
      <c r="BQ264" t="str">
        <f t="shared" si="233"/>
        <v>R402</v>
      </c>
      <c r="BR264" t="s">
        <v>381</v>
      </c>
      <c r="BS264" t="s">
        <v>380</v>
      </c>
      <c r="BT264" t="s">
        <v>381</v>
      </c>
      <c r="BU264" t="b">
        <f t="shared" si="246"/>
        <v>1</v>
      </c>
      <c r="BZ264" t="str">
        <f t="shared" si="234"/>
        <v>G646</v>
      </c>
      <c r="CA264" t="b">
        <f t="shared" si="235"/>
        <v>0</v>
      </c>
      <c r="CB264" t="str">
        <f t="shared" si="247"/>
        <v>G646</v>
      </c>
      <c r="CC264" t="str">
        <f t="shared" si="236"/>
        <v>R402</v>
      </c>
      <c r="CD264" t="b">
        <f t="shared" si="248"/>
        <v>0</v>
      </c>
      <c r="CE264" t="str">
        <f t="shared" si="249"/>
        <v>R402</v>
      </c>
      <c r="CG264" t="str">
        <f t="shared" si="237"/>
        <v>G700</v>
      </c>
      <c r="CH264" t="str">
        <f t="shared" si="250"/>
        <v>G700</v>
      </c>
      <c r="CI264" t="str">
        <f>AE263</f>
        <v>G619</v>
      </c>
      <c r="CJ264" t="str">
        <f t="shared" si="238"/>
        <v>G619</v>
      </c>
      <c r="CK264" t="s">
        <v>1350</v>
      </c>
      <c r="CL264" t="s">
        <v>1350</v>
      </c>
      <c r="CM264" t="s">
        <v>1350</v>
      </c>
      <c r="CN264" t="b">
        <f t="shared" si="251"/>
        <v>1</v>
      </c>
      <c r="CO264" t="str">
        <f t="shared" si="239"/>
        <v>R472</v>
      </c>
      <c r="CP264" t="str">
        <f t="shared" si="252"/>
        <v>R472</v>
      </c>
      <c r="CQ264" t="str">
        <f>AF263</f>
        <v>R420</v>
      </c>
      <c r="CR264" t="str">
        <f t="shared" si="240"/>
        <v>R420</v>
      </c>
      <c r="CS264" t="s">
        <v>669</v>
      </c>
      <c r="CT264" t="s">
        <v>669</v>
      </c>
      <c r="CU264" t="s">
        <v>669</v>
      </c>
      <c r="CV264" t="b">
        <f t="shared" si="253"/>
        <v>1</v>
      </c>
      <c r="DC264" t="str">
        <f t="shared" si="241"/>
        <v>G619</v>
      </c>
      <c r="DD264" t="b">
        <f t="shared" si="254"/>
        <v>0</v>
      </c>
      <c r="DE264" t="str">
        <f t="shared" si="255"/>
        <v>G619</v>
      </c>
      <c r="DF264" t="str">
        <f t="shared" si="242"/>
        <v>R420</v>
      </c>
      <c r="DG264" t="b">
        <f t="shared" si="256"/>
        <v>0</v>
      </c>
      <c r="DH264" t="str">
        <f t="shared" si="257"/>
        <v>R420</v>
      </c>
    </row>
    <row r="265" spans="2:112" ht="12" customHeight="1">
      <c r="B265" t="str">
        <f>TBIDry!H337</f>
        <v>G268</v>
      </c>
      <c r="C265" t="str">
        <f>TBIDry!I337</f>
        <v>R257</v>
      </c>
      <c r="D265" t="b">
        <f t="shared" si="209"/>
        <v>0</v>
      </c>
      <c r="E265" t="b">
        <f t="shared" si="210"/>
        <v>0</v>
      </c>
      <c r="G265" t="str">
        <f>TBIWet!H337</f>
        <v>G437</v>
      </c>
      <c r="H265" t="str">
        <f>TBIWet!I337</f>
        <v>R81</v>
      </c>
      <c r="I265" t="b">
        <f t="shared" si="211"/>
        <v>0</v>
      </c>
      <c r="J265" t="b">
        <f t="shared" si="212"/>
        <v>0</v>
      </c>
      <c r="L265" t="str">
        <f>'Both teabags AfterWet'!A263</f>
        <v>G702</v>
      </c>
      <c r="M265" t="str">
        <f>'Both teabags AfterWet'!A683</f>
        <v>R475</v>
      </c>
      <c r="N265" t="b">
        <f t="shared" si="213"/>
        <v>0</v>
      </c>
      <c r="O265" t="b">
        <f t="shared" si="258"/>
        <v>0</v>
      </c>
      <c r="Q265" s="395" t="b">
        <f t="shared" si="214"/>
        <v>0</v>
      </c>
      <c r="R265" s="395" t="b">
        <f t="shared" si="215"/>
        <v>0</v>
      </c>
      <c r="T265" t="str">
        <f>'Both teabags AfterDry'!A263</f>
        <v>G6</v>
      </c>
      <c r="U265" t="str">
        <f>'Both teabags AfterDry'!A598</f>
        <v>R760</v>
      </c>
      <c r="V265" t="b">
        <f t="shared" si="216"/>
        <v>0</v>
      </c>
      <c r="W265" t="b">
        <f t="shared" si="243"/>
        <v>0</v>
      </c>
      <c r="Y265" t="str">
        <f>'Green_rooibos initial weight'!A266</f>
        <v>G262</v>
      </c>
      <c r="Z265" t="str">
        <f>'Green_rooibos initial weight'!A1170</f>
        <v>R262</v>
      </c>
      <c r="AA265" t="b">
        <f t="shared" si="217"/>
        <v>0</v>
      </c>
      <c r="AB265" t="b">
        <f t="shared" si="218"/>
        <v>0</v>
      </c>
      <c r="AE265" t="str">
        <f>'WetLitterbags placem_collection'!O44</f>
        <v>G437</v>
      </c>
      <c r="AF265" t="str">
        <f>'WetLitterbags placem_collection'!Q44</f>
        <v>R81</v>
      </c>
      <c r="AG265" t="b">
        <f t="shared" si="219"/>
        <v>0</v>
      </c>
      <c r="AH265" t="b">
        <f t="shared" si="220"/>
        <v>0</v>
      </c>
      <c r="AJ265" t="b">
        <f t="shared" si="221"/>
        <v>0</v>
      </c>
      <c r="AK265" t="b">
        <f t="shared" si="222"/>
        <v>0</v>
      </c>
      <c r="AM265" t="str">
        <f>IF(ISBLANK('Dry_Litterbag Placem_Collection'!L44),"","G"&amp;""&amp;'Dry_Litterbag Placem_Collection'!L44)</f>
        <v>G268</v>
      </c>
      <c r="AN265" t="str">
        <f>IF(ISBLANK('Dry_Litterbag Placem_Collection'!M44),"","R"&amp;""&amp;'Dry_Litterbag Placem_Collection'!M44)</f>
        <v>R257</v>
      </c>
      <c r="AO265" t="b">
        <f t="shared" si="223"/>
        <v>0</v>
      </c>
      <c r="AP265" t="b">
        <f t="shared" si="224"/>
        <v>0</v>
      </c>
      <c r="AS265" t="str">
        <f>'Ashed teabags dry'!A263</f>
        <v>G6</v>
      </c>
      <c r="AT265" t="str">
        <f>'Ashed teabags dry'!A598</f>
        <v>R760</v>
      </c>
      <c r="AU265" t="b">
        <f t="shared" si="225"/>
        <v>0</v>
      </c>
      <c r="AV265" t="b">
        <f>COUNTIF($AT$4:$AT$2000, AT265)&gt;1</f>
        <v>0</v>
      </c>
      <c r="AX265" s="395" t="b">
        <f t="shared" si="226"/>
        <v>0</v>
      </c>
      <c r="AY265" s="395" t="b">
        <f t="shared" si="227"/>
        <v>0</v>
      </c>
      <c r="BA265" t="str">
        <f>'Ashed teabags wet'!A263</f>
        <v>G702</v>
      </c>
      <c r="BB265" t="str">
        <f>'Ashed teabags wet'!A683</f>
        <v>R475</v>
      </c>
      <c r="BC265" t="b">
        <f t="shared" si="228"/>
        <v>0</v>
      </c>
      <c r="BD265" t="b">
        <f t="shared" si="208"/>
        <v>0</v>
      </c>
      <c r="BF265" t="str">
        <f t="shared" si="229"/>
        <v>G598</v>
      </c>
      <c r="BG265" t="str">
        <f>T264</f>
        <v>G598</v>
      </c>
      <c r="BH265" t="str">
        <f t="shared" si="230"/>
        <v>G43</v>
      </c>
      <c r="BI265" t="str">
        <f t="shared" si="244"/>
        <v>G43</v>
      </c>
      <c r="BJ265" t="s">
        <v>1452</v>
      </c>
      <c r="BK265" t="s">
        <v>1452</v>
      </c>
      <c r="BL265" t="s">
        <v>1452</v>
      </c>
      <c r="BM265" t="b">
        <f t="shared" si="245"/>
        <v>1</v>
      </c>
      <c r="BN265" t="str">
        <f t="shared" si="231"/>
        <v>R759</v>
      </c>
      <c r="BO265" t="str">
        <f>U264</f>
        <v>R759</v>
      </c>
      <c r="BP265" t="str">
        <f t="shared" si="232"/>
        <v>R648</v>
      </c>
      <c r="BQ265" t="str">
        <f t="shared" si="233"/>
        <v>R648</v>
      </c>
      <c r="BR265" t="s">
        <v>380</v>
      </c>
      <c r="BS265" t="s">
        <v>379</v>
      </c>
      <c r="BT265" t="s">
        <v>380</v>
      </c>
      <c r="BU265" t="b">
        <f t="shared" si="246"/>
        <v>1</v>
      </c>
      <c r="BZ265" t="str">
        <f t="shared" si="234"/>
        <v>G43</v>
      </c>
      <c r="CA265" t="b">
        <f t="shared" si="235"/>
        <v>0</v>
      </c>
      <c r="CB265" t="str">
        <f t="shared" si="247"/>
        <v>G43</v>
      </c>
      <c r="CC265" t="str">
        <f t="shared" si="236"/>
        <v>R648</v>
      </c>
      <c r="CD265" t="b">
        <f t="shared" si="248"/>
        <v>0</v>
      </c>
      <c r="CE265" t="str">
        <f t="shared" si="249"/>
        <v>R648</v>
      </c>
      <c r="CG265" t="str">
        <f t="shared" si="237"/>
        <v>G701</v>
      </c>
      <c r="CH265" t="str">
        <f t="shared" si="250"/>
        <v>G701</v>
      </c>
      <c r="CI265" t="str">
        <f>AE264</f>
        <v>G626</v>
      </c>
      <c r="CJ265" t="str">
        <f t="shared" si="238"/>
        <v>G626</v>
      </c>
      <c r="CK265" t="s">
        <v>1349</v>
      </c>
      <c r="CL265" t="s">
        <v>1349</v>
      </c>
      <c r="CM265" t="s">
        <v>1349</v>
      </c>
      <c r="CN265" t="b">
        <f t="shared" si="251"/>
        <v>1</v>
      </c>
      <c r="CO265" t="str">
        <f t="shared" si="239"/>
        <v>R474</v>
      </c>
      <c r="CP265" t="str">
        <f t="shared" si="252"/>
        <v>R474</v>
      </c>
      <c r="CQ265" t="str">
        <f>AF264</f>
        <v>R77</v>
      </c>
      <c r="CR265" t="str">
        <f t="shared" si="240"/>
        <v>R77</v>
      </c>
      <c r="CS265" t="s">
        <v>667</v>
      </c>
      <c r="CT265" t="s">
        <v>667</v>
      </c>
      <c r="CU265" t="s">
        <v>667</v>
      </c>
      <c r="CV265" t="b">
        <f t="shared" si="253"/>
        <v>1</v>
      </c>
      <c r="DC265" t="str">
        <f t="shared" si="241"/>
        <v>G626</v>
      </c>
      <c r="DD265" t="b">
        <f t="shared" si="254"/>
        <v>0</v>
      </c>
      <c r="DE265" t="str">
        <f t="shared" si="255"/>
        <v>G626</v>
      </c>
      <c r="DF265" t="str">
        <f t="shared" si="242"/>
        <v>R77</v>
      </c>
      <c r="DG265" t="b">
        <f t="shared" si="256"/>
        <v>0</v>
      </c>
      <c r="DH265" t="str">
        <f t="shared" si="257"/>
        <v>R77</v>
      </c>
    </row>
    <row r="266" spans="2:112" ht="12" customHeight="1">
      <c r="B266" t="str">
        <f>TBIDry!H338</f>
        <v>G300</v>
      </c>
      <c r="C266" t="str">
        <f>TBIDry!I338</f>
        <v>R691</v>
      </c>
      <c r="D266" t="b">
        <f t="shared" si="209"/>
        <v>0</v>
      </c>
      <c r="E266" t="b">
        <f t="shared" si="210"/>
        <v>0</v>
      </c>
      <c r="G266" t="str">
        <f>TBIWet!H338</f>
        <v>G643</v>
      </c>
      <c r="H266" t="str">
        <f>TBIWet!I338</f>
        <v>R117</v>
      </c>
      <c r="I266" t="b">
        <f t="shared" si="211"/>
        <v>0</v>
      </c>
      <c r="J266" t="b">
        <f t="shared" si="212"/>
        <v>0</v>
      </c>
      <c r="L266" t="str">
        <f>'Both teabags AfterWet'!A264</f>
        <v>G703</v>
      </c>
      <c r="M266" t="str">
        <f>'Both teabags AfterWet'!A684</f>
        <v>R476</v>
      </c>
      <c r="N266" t="b">
        <f t="shared" si="213"/>
        <v>0</v>
      </c>
      <c r="O266" t="b">
        <f t="shared" si="258"/>
        <v>0</v>
      </c>
      <c r="Q266" s="395" t="b">
        <f t="shared" si="214"/>
        <v>0</v>
      </c>
      <c r="R266" s="395" t="b">
        <f t="shared" si="215"/>
        <v>0</v>
      </c>
      <c r="T266" t="str">
        <f>'Both teabags AfterDry'!A264</f>
        <v>G60</v>
      </c>
      <c r="U266" t="str">
        <f>'Both teabags AfterDry'!A599</f>
        <v>R761</v>
      </c>
      <c r="V266" t="b">
        <f t="shared" si="216"/>
        <v>0</v>
      </c>
      <c r="W266" t="b">
        <f t="shared" si="243"/>
        <v>0</v>
      </c>
      <c r="Y266" t="str">
        <f>'Green_rooibos initial weight'!A267</f>
        <v>G263</v>
      </c>
      <c r="Z266" t="str">
        <f>'Green_rooibos initial weight'!A1171</f>
        <v>R263</v>
      </c>
      <c r="AA266" t="b">
        <f t="shared" si="217"/>
        <v>0</v>
      </c>
      <c r="AB266" t="b">
        <f t="shared" si="218"/>
        <v>0</v>
      </c>
      <c r="AE266" t="str">
        <f>'WetLitterbags placem_collection'!O45</f>
        <v>G643</v>
      </c>
      <c r="AF266" t="str">
        <f>'WetLitterbags placem_collection'!Q45</f>
        <v>R117</v>
      </c>
      <c r="AG266" t="b">
        <f t="shared" si="219"/>
        <v>0</v>
      </c>
      <c r="AH266" t="b">
        <f t="shared" si="220"/>
        <v>0</v>
      </c>
      <c r="AJ266" t="b">
        <f t="shared" si="221"/>
        <v>0</v>
      </c>
      <c r="AK266" t="b">
        <f t="shared" si="222"/>
        <v>0</v>
      </c>
      <c r="AM266" t="str">
        <f>IF(ISBLANK('Dry_Litterbag Placem_Collection'!L45),"","G"&amp;""&amp;'Dry_Litterbag Placem_Collection'!L45)</f>
        <v>G300</v>
      </c>
      <c r="AN266" t="str">
        <f>IF(ISBLANK('Dry_Litterbag Placem_Collection'!M45),"","R"&amp;""&amp;'Dry_Litterbag Placem_Collection'!M45)</f>
        <v>R691</v>
      </c>
      <c r="AO266" t="b">
        <f t="shared" si="223"/>
        <v>0</v>
      </c>
      <c r="AP266" t="b">
        <f t="shared" si="224"/>
        <v>0</v>
      </c>
      <c r="AS266" t="str">
        <f>'Ashed teabags dry'!A264</f>
        <v>G60</v>
      </c>
      <c r="AT266" t="str">
        <f>'Ashed teabags dry'!A599</f>
        <v>R761</v>
      </c>
      <c r="AU266" t="b">
        <f t="shared" si="225"/>
        <v>0</v>
      </c>
      <c r="AV266" t="b">
        <f>COUNTIF($AT$4:$AT$2000, AT266)&gt;1</f>
        <v>0</v>
      </c>
      <c r="AX266" s="395" t="b">
        <f t="shared" si="226"/>
        <v>0</v>
      </c>
      <c r="AY266" s="395" t="b">
        <f t="shared" si="227"/>
        <v>0</v>
      </c>
      <c r="BA266" t="str">
        <f>'Ashed teabags wet'!A264</f>
        <v>G703</v>
      </c>
      <c r="BB266" t="str">
        <f>'Ashed teabags wet'!A684</f>
        <v>R476</v>
      </c>
      <c r="BC266" t="b">
        <f t="shared" si="228"/>
        <v>0</v>
      </c>
      <c r="BD266" t="b">
        <f t="shared" si="208"/>
        <v>0</v>
      </c>
      <c r="BF266" t="str">
        <f t="shared" si="229"/>
        <v>G6</v>
      </c>
      <c r="BG266" t="str">
        <f>T265</f>
        <v>G6</v>
      </c>
      <c r="BH266" t="str">
        <f t="shared" si="230"/>
        <v>G268</v>
      </c>
      <c r="BI266" t="str">
        <f t="shared" si="244"/>
        <v>G268</v>
      </c>
      <c r="BJ266" t="s">
        <v>2044</v>
      </c>
      <c r="BK266" t="s">
        <v>2044</v>
      </c>
      <c r="BL266" t="s">
        <v>2044</v>
      </c>
      <c r="BM266" t="b">
        <f t="shared" si="245"/>
        <v>1</v>
      </c>
      <c r="BN266" t="str">
        <f t="shared" si="231"/>
        <v>R760</v>
      </c>
      <c r="BO266" t="str">
        <f>U265</f>
        <v>R760</v>
      </c>
      <c r="BP266" t="str">
        <f t="shared" si="232"/>
        <v>R257</v>
      </c>
      <c r="BQ266" t="str">
        <f t="shared" si="233"/>
        <v>R257</v>
      </c>
      <c r="BR266" t="s">
        <v>379</v>
      </c>
      <c r="BS266" t="s">
        <v>378</v>
      </c>
      <c r="BT266" t="s">
        <v>379</v>
      </c>
      <c r="BU266" t="b">
        <f t="shared" si="246"/>
        <v>1</v>
      </c>
      <c r="BZ266" t="str">
        <f t="shared" si="234"/>
        <v>G268</v>
      </c>
      <c r="CA266" t="b">
        <f t="shared" si="235"/>
        <v>0</v>
      </c>
      <c r="CB266" t="str">
        <f t="shared" si="247"/>
        <v>G268</v>
      </c>
      <c r="CC266" t="str">
        <f t="shared" si="236"/>
        <v>R257</v>
      </c>
      <c r="CD266" t="b">
        <f t="shared" si="248"/>
        <v>0</v>
      </c>
      <c r="CE266" t="str">
        <f t="shared" si="249"/>
        <v>R257</v>
      </c>
      <c r="CG266" t="str">
        <f t="shared" si="237"/>
        <v>G702</v>
      </c>
      <c r="CH266" t="str">
        <f t="shared" si="250"/>
        <v>G702</v>
      </c>
      <c r="CI266" t="str">
        <f>AE265</f>
        <v>G437</v>
      </c>
      <c r="CJ266" t="str">
        <f t="shared" si="238"/>
        <v>G437</v>
      </c>
      <c r="CK266" t="s">
        <v>1348</v>
      </c>
      <c r="CL266" t="s">
        <v>1348</v>
      </c>
      <c r="CM266" t="s">
        <v>1348</v>
      </c>
      <c r="CN266" t="b">
        <f t="shared" si="251"/>
        <v>1</v>
      </c>
      <c r="CO266" t="str">
        <f t="shared" si="239"/>
        <v>R475</v>
      </c>
      <c r="CP266" t="str">
        <f t="shared" si="252"/>
        <v>R475</v>
      </c>
      <c r="CQ266" t="str">
        <f>AF265</f>
        <v>R81</v>
      </c>
      <c r="CR266" t="str">
        <f t="shared" si="240"/>
        <v>R81</v>
      </c>
      <c r="CS266" t="s">
        <v>666</v>
      </c>
      <c r="CT266" t="s">
        <v>666</v>
      </c>
      <c r="CU266" t="s">
        <v>666</v>
      </c>
      <c r="CV266" t="b">
        <f t="shared" si="253"/>
        <v>1</v>
      </c>
      <c r="DC266" t="str">
        <f t="shared" si="241"/>
        <v>G437</v>
      </c>
      <c r="DD266" t="b">
        <f t="shared" si="254"/>
        <v>0</v>
      </c>
      <c r="DE266" t="str">
        <f t="shared" si="255"/>
        <v>G437</v>
      </c>
      <c r="DF266" t="str">
        <f t="shared" si="242"/>
        <v>R81</v>
      </c>
      <c r="DG266" t="b">
        <f t="shared" si="256"/>
        <v>0</v>
      </c>
      <c r="DH266" t="str">
        <f t="shared" si="257"/>
        <v>R81</v>
      </c>
    </row>
    <row r="267" spans="2:112" ht="12" customHeight="1">
      <c r="B267" t="str">
        <f>TBIDry!H339</f>
        <v>G823</v>
      </c>
      <c r="C267" t="str">
        <f>TBIDry!I339</f>
        <v>R716</v>
      </c>
      <c r="D267" t="b">
        <f t="shared" si="209"/>
        <v>0</v>
      </c>
      <c r="E267" t="b">
        <f t="shared" si="210"/>
        <v>0</v>
      </c>
      <c r="G267" t="str">
        <f>TBIWet!H339</f>
        <v>G283</v>
      </c>
      <c r="H267" t="str">
        <f>TBIWet!I339</f>
        <v>R6</v>
      </c>
      <c r="I267" t="b">
        <f t="shared" si="211"/>
        <v>0</v>
      </c>
      <c r="J267" t="b">
        <f t="shared" si="212"/>
        <v>0</v>
      </c>
      <c r="L267" t="str">
        <f>'Both teabags AfterWet'!A265</f>
        <v>G704</v>
      </c>
      <c r="M267" t="str">
        <f>'Both teabags AfterWet'!A685</f>
        <v>R477</v>
      </c>
      <c r="N267" t="b">
        <f t="shared" si="213"/>
        <v>0</v>
      </c>
      <c r="O267" t="b">
        <f t="shared" si="258"/>
        <v>0</v>
      </c>
      <c r="Q267" s="395" t="b">
        <f t="shared" si="214"/>
        <v>0</v>
      </c>
      <c r="R267" s="395" t="b">
        <f t="shared" si="215"/>
        <v>0</v>
      </c>
      <c r="T267" t="str">
        <f>'Both teabags AfterDry'!A265</f>
        <v>G601</v>
      </c>
      <c r="U267" t="str">
        <f>'Both teabags AfterDry'!A600</f>
        <v>R762</v>
      </c>
      <c r="V267" t="b">
        <f t="shared" si="216"/>
        <v>0</v>
      </c>
      <c r="W267" t="b">
        <f t="shared" si="243"/>
        <v>0</v>
      </c>
      <c r="Y267" t="str">
        <f>'Green_rooibos initial weight'!A268</f>
        <v>G264</v>
      </c>
      <c r="Z267" t="str">
        <f>'Green_rooibos initial weight'!A1172</f>
        <v>R264</v>
      </c>
      <c r="AA267" t="b">
        <f t="shared" si="217"/>
        <v>0</v>
      </c>
      <c r="AB267" t="b">
        <f t="shared" si="218"/>
        <v>0</v>
      </c>
      <c r="AE267" t="str">
        <f>'WetLitterbags placem_collection'!O46</f>
        <v>G283</v>
      </c>
      <c r="AF267" t="str">
        <f>'WetLitterbags placem_collection'!Q46</f>
        <v>R6</v>
      </c>
      <c r="AG267" t="b">
        <f t="shared" si="219"/>
        <v>0</v>
      </c>
      <c r="AH267" t="b">
        <f t="shared" si="220"/>
        <v>0</v>
      </c>
      <c r="AJ267" t="b">
        <f t="shared" si="221"/>
        <v>0</v>
      </c>
      <c r="AK267" t="b">
        <f t="shared" si="222"/>
        <v>0</v>
      </c>
      <c r="AM267" t="str">
        <f>IF(ISBLANK('Dry_Litterbag Placem_Collection'!L46),"","G"&amp;""&amp;'Dry_Litterbag Placem_Collection'!L46)</f>
        <v>G823</v>
      </c>
      <c r="AN267" t="str">
        <f>IF(ISBLANK('Dry_Litterbag Placem_Collection'!M46),"","R"&amp;""&amp;'Dry_Litterbag Placem_Collection'!M46)</f>
        <v>R716</v>
      </c>
      <c r="AO267" t="b">
        <f t="shared" si="223"/>
        <v>0</v>
      </c>
      <c r="AP267" t="b">
        <f t="shared" si="224"/>
        <v>0</v>
      </c>
      <c r="AS267" t="str">
        <f>'Ashed teabags dry'!A265</f>
        <v>G601</v>
      </c>
      <c r="AT267" t="str">
        <f>'Ashed teabags dry'!A600</f>
        <v>R762</v>
      </c>
      <c r="AU267" t="b">
        <f t="shared" si="225"/>
        <v>0</v>
      </c>
      <c r="AV267" t="b">
        <f>COUNTIF($AT$4:$AT$2000, AT267)&gt;1</f>
        <v>0</v>
      </c>
      <c r="AX267" s="395" t="b">
        <f t="shared" si="226"/>
        <v>0</v>
      </c>
      <c r="AY267" s="395" t="b">
        <f t="shared" si="227"/>
        <v>0</v>
      </c>
      <c r="BA267" t="str">
        <f>'Ashed teabags wet'!A265</f>
        <v>G704</v>
      </c>
      <c r="BB267" t="str">
        <f>'Ashed teabags wet'!A685</f>
        <v>R477</v>
      </c>
      <c r="BC267" t="b">
        <f t="shared" si="228"/>
        <v>0</v>
      </c>
      <c r="BD267" t="b">
        <f t="shared" si="208"/>
        <v>0</v>
      </c>
      <c r="BF267" t="str">
        <f t="shared" si="229"/>
        <v>G60</v>
      </c>
      <c r="BG267" t="str">
        <f>T266</f>
        <v>G60</v>
      </c>
      <c r="BH267" t="str">
        <f t="shared" si="230"/>
        <v>G300</v>
      </c>
      <c r="BI267" t="str">
        <f t="shared" si="244"/>
        <v>G300</v>
      </c>
      <c r="BJ267" t="s">
        <v>1990</v>
      </c>
      <c r="BK267" t="s">
        <v>1990</v>
      </c>
      <c r="BL267" t="s">
        <v>1990</v>
      </c>
      <c r="BM267" t="b">
        <f t="shared" si="245"/>
        <v>1</v>
      </c>
      <c r="BN267" t="str">
        <f t="shared" si="231"/>
        <v>R761</v>
      </c>
      <c r="BO267" t="str">
        <f>U266</f>
        <v>R761</v>
      </c>
      <c r="BP267" t="str">
        <f t="shared" si="232"/>
        <v>R691</v>
      </c>
      <c r="BQ267" t="str">
        <f t="shared" si="233"/>
        <v>R691</v>
      </c>
      <c r="BR267" t="s">
        <v>378</v>
      </c>
      <c r="BS267" t="s">
        <v>377</v>
      </c>
      <c r="BT267" t="s">
        <v>378</v>
      </c>
      <c r="BU267" t="b">
        <f t="shared" si="246"/>
        <v>1</v>
      </c>
      <c r="BZ267" t="str">
        <f t="shared" si="234"/>
        <v>G300</v>
      </c>
      <c r="CA267" t="b">
        <f t="shared" si="235"/>
        <v>0</v>
      </c>
      <c r="CB267" t="str">
        <f t="shared" si="247"/>
        <v>G300</v>
      </c>
      <c r="CC267" t="str">
        <f t="shared" si="236"/>
        <v>R691</v>
      </c>
      <c r="CD267" t="b">
        <f t="shared" si="248"/>
        <v>0</v>
      </c>
      <c r="CE267" t="str">
        <f t="shared" si="249"/>
        <v>R691</v>
      </c>
      <c r="CG267" t="str">
        <f t="shared" si="237"/>
        <v>G703</v>
      </c>
      <c r="CH267" t="str">
        <f t="shared" si="250"/>
        <v>G703</v>
      </c>
      <c r="CI267" t="str">
        <f>AE266</f>
        <v>G643</v>
      </c>
      <c r="CJ267" t="str">
        <f t="shared" si="238"/>
        <v>G643</v>
      </c>
      <c r="CK267" t="s">
        <v>1347</v>
      </c>
      <c r="CL267" t="s">
        <v>1347</v>
      </c>
      <c r="CM267" t="s">
        <v>1347</v>
      </c>
      <c r="CN267" t="b">
        <f t="shared" si="251"/>
        <v>1</v>
      </c>
      <c r="CO267" t="str">
        <f t="shared" si="239"/>
        <v>R476</v>
      </c>
      <c r="CP267" t="str">
        <f t="shared" si="252"/>
        <v>R476</v>
      </c>
      <c r="CQ267" t="str">
        <f>AF266</f>
        <v>R117</v>
      </c>
      <c r="CR267" t="str">
        <f t="shared" si="240"/>
        <v>R117</v>
      </c>
      <c r="CS267" t="s">
        <v>665</v>
      </c>
      <c r="CT267" t="s">
        <v>665</v>
      </c>
      <c r="CU267" t="s">
        <v>665</v>
      </c>
      <c r="CV267" t="b">
        <f t="shared" si="253"/>
        <v>1</v>
      </c>
      <c r="DC267" t="str">
        <f t="shared" si="241"/>
        <v>G643</v>
      </c>
      <c r="DD267" t="b">
        <f t="shared" si="254"/>
        <v>0</v>
      </c>
      <c r="DE267" t="str">
        <f t="shared" si="255"/>
        <v>G643</v>
      </c>
      <c r="DF267" t="str">
        <f t="shared" si="242"/>
        <v>R117</v>
      </c>
      <c r="DG267" t="b">
        <f t="shared" si="256"/>
        <v>0</v>
      </c>
      <c r="DH267" t="str">
        <f t="shared" si="257"/>
        <v>R117</v>
      </c>
    </row>
    <row r="268" spans="2:112" ht="12" customHeight="1">
      <c r="B268" t="str">
        <f>TBIDry!H340</f>
        <v>G354</v>
      </c>
      <c r="C268" t="str">
        <f>TBIDry!I340</f>
        <v>R631</v>
      </c>
      <c r="D268" t="b">
        <f t="shared" si="209"/>
        <v>0</v>
      </c>
      <c r="E268" t="b">
        <f t="shared" si="210"/>
        <v>0</v>
      </c>
      <c r="G268" t="str">
        <f>TBIWet!H340</f>
        <v>G602</v>
      </c>
      <c r="H268" t="str">
        <f>TBIWet!I340</f>
        <v>R74</v>
      </c>
      <c r="I268" t="b">
        <f t="shared" si="211"/>
        <v>0</v>
      </c>
      <c r="J268" t="b">
        <f t="shared" si="212"/>
        <v>0</v>
      </c>
      <c r="L268" t="str">
        <f>'Both teabags AfterWet'!A266</f>
        <v>G706</v>
      </c>
      <c r="M268" t="str">
        <f>'Both teabags AfterWet'!A686</f>
        <v>R479</v>
      </c>
      <c r="N268" t="b">
        <f t="shared" si="213"/>
        <v>0</v>
      </c>
      <c r="O268" t="b">
        <f t="shared" si="258"/>
        <v>0</v>
      </c>
      <c r="Q268" s="395" t="b">
        <f t="shared" si="214"/>
        <v>0</v>
      </c>
      <c r="R268" s="395" t="b">
        <f t="shared" si="215"/>
        <v>0</v>
      </c>
      <c r="T268" t="str">
        <f>'Both teabags AfterDry'!A266</f>
        <v>G61</v>
      </c>
      <c r="U268" t="str">
        <f>'Both teabags AfterDry'!A601</f>
        <v>R763</v>
      </c>
      <c r="V268" t="b">
        <f t="shared" si="216"/>
        <v>0</v>
      </c>
      <c r="W268" t="b">
        <f t="shared" si="243"/>
        <v>0</v>
      </c>
      <c r="Y268" t="str">
        <f>'Green_rooibos initial weight'!A269</f>
        <v>G265</v>
      </c>
      <c r="Z268" t="str">
        <f>'Green_rooibos initial weight'!A1173</f>
        <v>R265</v>
      </c>
      <c r="AA268" t="b">
        <f t="shared" si="217"/>
        <v>0</v>
      </c>
      <c r="AB268" t="b">
        <f t="shared" si="218"/>
        <v>0</v>
      </c>
      <c r="AE268" t="str">
        <f>'WetLitterbags placem_collection'!O47</f>
        <v>G602</v>
      </c>
      <c r="AF268" t="str">
        <f>'WetLitterbags placem_collection'!Q47</f>
        <v>R74</v>
      </c>
      <c r="AG268" t="b">
        <f t="shared" si="219"/>
        <v>0</v>
      </c>
      <c r="AH268" t="b">
        <f t="shared" si="220"/>
        <v>0</v>
      </c>
      <c r="AJ268" t="b">
        <f t="shared" si="221"/>
        <v>0</v>
      </c>
      <c r="AK268" t="b">
        <f t="shared" si="222"/>
        <v>0</v>
      </c>
      <c r="AM268" t="str">
        <f>IF(ISBLANK('Dry_Litterbag Placem_Collection'!L47),"","G"&amp;""&amp;'Dry_Litterbag Placem_Collection'!L47)</f>
        <v>G354</v>
      </c>
      <c r="AN268" t="str">
        <f>IF(ISBLANK('Dry_Litterbag Placem_Collection'!M47),"","R"&amp;""&amp;'Dry_Litterbag Placem_Collection'!M47)</f>
        <v>R631</v>
      </c>
      <c r="AO268" t="b">
        <f t="shared" si="223"/>
        <v>0</v>
      </c>
      <c r="AP268" t="b">
        <f t="shared" si="224"/>
        <v>0</v>
      </c>
      <c r="AS268" t="str">
        <f>'Ashed teabags dry'!A266</f>
        <v>G61</v>
      </c>
      <c r="AT268" t="str">
        <f>'Ashed teabags dry'!A601</f>
        <v>R763</v>
      </c>
      <c r="AU268" t="b">
        <f t="shared" si="225"/>
        <v>0</v>
      </c>
      <c r="AV268" t="b">
        <f>COUNTIF($AT$4:$AT$2000, AT268)&gt;1</f>
        <v>0</v>
      </c>
      <c r="AX268" s="395" t="b">
        <f t="shared" si="226"/>
        <v>0</v>
      </c>
      <c r="AY268" s="395" t="b">
        <f t="shared" si="227"/>
        <v>0</v>
      </c>
      <c r="BA268" t="str">
        <f>'Ashed teabags wet'!A266</f>
        <v>G706</v>
      </c>
      <c r="BB268" t="str">
        <f>'Ashed teabags wet'!A686</f>
        <v>R479</v>
      </c>
      <c r="BC268" t="b">
        <f t="shared" si="228"/>
        <v>0</v>
      </c>
      <c r="BD268" t="b">
        <f t="shared" si="208"/>
        <v>0</v>
      </c>
      <c r="BF268" t="str">
        <f t="shared" si="229"/>
        <v>G601</v>
      </c>
      <c r="BG268" t="str">
        <f>T267</f>
        <v>G601</v>
      </c>
      <c r="BH268" t="str">
        <f t="shared" si="230"/>
        <v>G823</v>
      </c>
      <c r="BI268" t="str">
        <f t="shared" si="244"/>
        <v>G823</v>
      </c>
      <c r="BJ268" t="s">
        <v>1449</v>
      </c>
      <c r="BK268" t="s">
        <v>1449</v>
      </c>
      <c r="BL268" t="s">
        <v>1449</v>
      </c>
      <c r="BM268" t="b">
        <f t="shared" si="245"/>
        <v>1</v>
      </c>
      <c r="BN268" t="str">
        <f t="shared" si="231"/>
        <v>R762</v>
      </c>
      <c r="BO268" t="str">
        <f>U267</f>
        <v>R762</v>
      </c>
      <c r="BP268" t="str">
        <f t="shared" si="232"/>
        <v>R716</v>
      </c>
      <c r="BQ268" t="str">
        <f t="shared" si="233"/>
        <v>R716</v>
      </c>
      <c r="BR268" t="s">
        <v>377</v>
      </c>
      <c r="BS268" t="s">
        <v>376</v>
      </c>
      <c r="BT268" t="s">
        <v>377</v>
      </c>
      <c r="BU268" t="b">
        <f t="shared" si="246"/>
        <v>1</v>
      </c>
      <c r="BZ268" t="str">
        <f t="shared" si="234"/>
        <v>G823</v>
      </c>
      <c r="CA268" t="b">
        <f t="shared" si="235"/>
        <v>0</v>
      </c>
      <c r="CB268" t="str">
        <f t="shared" si="247"/>
        <v>G823</v>
      </c>
      <c r="CC268" t="str">
        <f t="shared" si="236"/>
        <v>R716</v>
      </c>
      <c r="CD268" t="b">
        <f t="shared" si="248"/>
        <v>0</v>
      </c>
      <c r="CE268" t="str">
        <f t="shared" si="249"/>
        <v>R716</v>
      </c>
      <c r="CG268" t="str">
        <f t="shared" si="237"/>
        <v>G704</v>
      </c>
      <c r="CH268" t="str">
        <f t="shared" si="250"/>
        <v>G704</v>
      </c>
      <c r="CI268" t="str">
        <f>AE267</f>
        <v>G283</v>
      </c>
      <c r="CJ268" t="str">
        <f t="shared" si="238"/>
        <v>G283</v>
      </c>
      <c r="CK268" t="s">
        <v>1346</v>
      </c>
      <c r="CL268" t="s">
        <v>1346</v>
      </c>
      <c r="CM268" t="s">
        <v>1346</v>
      </c>
      <c r="CN268" t="b">
        <f t="shared" si="251"/>
        <v>1</v>
      </c>
      <c r="CO268" t="str">
        <f t="shared" si="239"/>
        <v>R477</v>
      </c>
      <c r="CP268" t="str">
        <f t="shared" si="252"/>
        <v>R477</v>
      </c>
      <c r="CQ268" t="str">
        <f>AF267</f>
        <v>R6</v>
      </c>
      <c r="CR268" t="str">
        <f t="shared" si="240"/>
        <v>R6</v>
      </c>
      <c r="CS268" t="s">
        <v>664</v>
      </c>
      <c r="CT268" t="s">
        <v>664</v>
      </c>
      <c r="CU268" t="s">
        <v>664</v>
      </c>
      <c r="CV268" t="b">
        <f t="shared" si="253"/>
        <v>1</v>
      </c>
      <c r="DC268" t="str">
        <f t="shared" si="241"/>
        <v>G283</v>
      </c>
      <c r="DD268" t="b">
        <f t="shared" si="254"/>
        <v>0</v>
      </c>
      <c r="DE268" t="str">
        <f t="shared" si="255"/>
        <v>G283</v>
      </c>
      <c r="DF268" t="str">
        <f t="shared" si="242"/>
        <v>R6</v>
      </c>
      <c r="DG268" t="b">
        <f t="shared" si="256"/>
        <v>0</v>
      </c>
      <c r="DH268" t="str">
        <f t="shared" si="257"/>
        <v>R6</v>
      </c>
    </row>
    <row r="269" spans="2:112" ht="12" customHeight="1">
      <c r="B269" t="str">
        <f>TBIDry!H341</f>
        <v/>
      </c>
      <c r="C269" t="str">
        <f>TBIDry!I341</f>
        <v/>
      </c>
      <c r="D269" t="b">
        <f t="shared" si="209"/>
        <v>1</v>
      </c>
      <c r="E269" t="b">
        <f t="shared" si="210"/>
        <v>1</v>
      </c>
      <c r="G269" t="str">
        <f>TBIWet!H341</f>
        <v>G427</v>
      </c>
      <c r="H269" t="str">
        <f>TBIWet!I341</f>
        <v>R102</v>
      </c>
      <c r="I269" t="b">
        <f t="shared" si="211"/>
        <v>0</v>
      </c>
      <c r="J269" t="b">
        <f t="shared" si="212"/>
        <v>0</v>
      </c>
      <c r="L269" t="str">
        <f>'Both teabags AfterWet'!A267</f>
        <v>G707</v>
      </c>
      <c r="M269" t="str">
        <f>'Both teabags AfterWet'!A687</f>
        <v>R48</v>
      </c>
      <c r="N269" t="b">
        <f t="shared" si="213"/>
        <v>0</v>
      </c>
      <c r="O269" t="b">
        <f t="shared" si="258"/>
        <v>0</v>
      </c>
      <c r="Q269" s="395" t="b">
        <f t="shared" si="214"/>
        <v>0</v>
      </c>
      <c r="R269" s="395" t="b">
        <f t="shared" si="215"/>
        <v>0</v>
      </c>
      <c r="T269" t="str">
        <f>'Both teabags AfterDry'!A267</f>
        <v>G612</v>
      </c>
      <c r="U269" t="str">
        <f>'Both teabags AfterDry'!A602</f>
        <v>R764</v>
      </c>
      <c r="V269" t="b">
        <f t="shared" si="216"/>
        <v>0</v>
      </c>
      <c r="W269" t="b">
        <f t="shared" si="243"/>
        <v>0</v>
      </c>
      <c r="Y269" t="str">
        <f>'Green_rooibos initial weight'!A270</f>
        <v>G266</v>
      </c>
      <c r="Z269" t="str">
        <f>'Green_rooibos initial weight'!A1174</f>
        <v>R266</v>
      </c>
      <c r="AA269" t="b">
        <f t="shared" si="217"/>
        <v>0</v>
      </c>
      <c r="AB269" t="b">
        <f t="shared" si="218"/>
        <v>0</v>
      </c>
      <c r="AE269" t="str">
        <f>'WetLitterbags placem_collection'!O48</f>
        <v>G427</v>
      </c>
      <c r="AF269" t="str">
        <f>'WetLitterbags placem_collection'!Q48</f>
        <v>R102</v>
      </c>
      <c r="AG269" t="b">
        <f t="shared" si="219"/>
        <v>0</v>
      </c>
      <c r="AH269" t="b">
        <f t="shared" si="220"/>
        <v>0</v>
      </c>
      <c r="AJ269" t="b">
        <f t="shared" si="221"/>
        <v>0</v>
      </c>
      <c r="AK269" t="b">
        <f t="shared" si="222"/>
        <v>0</v>
      </c>
      <c r="AM269" t="str">
        <f>IF(ISBLANK('Dry_Litterbag Placem_Collection'!L48),"","G"&amp;""&amp;'Dry_Litterbag Placem_Collection'!L48)</f>
        <v/>
      </c>
      <c r="AN269" t="str">
        <f>IF(ISBLANK('Dry_Litterbag Placem_Collection'!M48),"","R"&amp;""&amp;'Dry_Litterbag Placem_Collection'!M48)</f>
        <v/>
      </c>
      <c r="AO269" t="b">
        <f t="shared" si="223"/>
        <v>1</v>
      </c>
      <c r="AP269" t="b">
        <f t="shared" si="224"/>
        <v>1</v>
      </c>
      <c r="AS269" t="str">
        <f>'Ashed teabags dry'!A267</f>
        <v>G612</v>
      </c>
      <c r="AT269" t="str">
        <f>'Ashed teabags dry'!A602</f>
        <v>R764</v>
      </c>
      <c r="AU269" t="b">
        <f t="shared" si="225"/>
        <v>0</v>
      </c>
      <c r="AV269" t="b">
        <f>COUNTIF($AT$4:$AT$2000, AT269)&gt;1</f>
        <v>0</v>
      </c>
      <c r="AX269" s="395" t="b">
        <f t="shared" si="226"/>
        <v>0</v>
      </c>
      <c r="AY269" s="395" t="b">
        <f t="shared" si="227"/>
        <v>0</v>
      </c>
      <c r="BA269" t="str">
        <f>'Ashed teabags wet'!A267</f>
        <v>G707</v>
      </c>
      <c r="BB269" t="str">
        <f>'Ashed teabags wet'!A687</f>
        <v>R48</v>
      </c>
      <c r="BC269" t="b">
        <f t="shared" si="228"/>
        <v>0</v>
      </c>
      <c r="BD269" t="b">
        <f t="shared" si="208"/>
        <v>0</v>
      </c>
      <c r="BF269" t="str">
        <f t="shared" si="229"/>
        <v>G61</v>
      </c>
      <c r="BG269" t="str">
        <f>T268</f>
        <v>G61</v>
      </c>
      <c r="BH269" t="str">
        <f t="shared" si="230"/>
        <v>G354</v>
      </c>
      <c r="BI269" t="str">
        <f t="shared" si="244"/>
        <v/>
      </c>
      <c r="BJ269" t="s">
        <v>1989</v>
      </c>
      <c r="BK269" t="s">
        <v>1989</v>
      </c>
      <c r="BL269" t="s">
        <v>1989</v>
      </c>
      <c r="BM269" t="b">
        <f t="shared" si="245"/>
        <v>1</v>
      </c>
      <c r="BN269" t="str">
        <f t="shared" si="231"/>
        <v>R763</v>
      </c>
      <c r="BO269" t="str">
        <f>U268</f>
        <v>R763</v>
      </c>
      <c r="BP269" t="str">
        <f t="shared" si="232"/>
        <v>R631</v>
      </c>
      <c r="BQ269" t="str">
        <f t="shared" si="233"/>
        <v/>
      </c>
      <c r="BR269" t="s">
        <v>376</v>
      </c>
      <c r="BS269" t="s">
        <v>375</v>
      </c>
      <c r="BT269" t="s">
        <v>376</v>
      </c>
      <c r="BU269" t="b">
        <f t="shared" si="246"/>
        <v>1</v>
      </c>
      <c r="BZ269" t="str">
        <f t="shared" si="234"/>
        <v>G354</v>
      </c>
      <c r="CA269" t="b">
        <f t="shared" si="235"/>
        <v>1</v>
      </c>
      <c r="CB269" t="str">
        <f t="shared" si="247"/>
        <v/>
      </c>
      <c r="CC269" t="str">
        <f t="shared" si="236"/>
        <v>R631</v>
      </c>
      <c r="CD269" t="b">
        <f t="shared" si="248"/>
        <v>1</v>
      </c>
      <c r="CE269" t="str">
        <f t="shared" si="249"/>
        <v/>
      </c>
      <c r="CG269" t="str">
        <f t="shared" si="237"/>
        <v>G706</v>
      </c>
      <c r="CH269" t="str">
        <f t="shared" si="250"/>
        <v>G706</v>
      </c>
      <c r="CI269" t="str">
        <f>AE268</f>
        <v>G602</v>
      </c>
      <c r="CJ269" t="str">
        <f t="shared" si="238"/>
        <v>G602</v>
      </c>
      <c r="CK269" t="s">
        <v>1344</v>
      </c>
      <c r="CL269" t="s">
        <v>1344</v>
      </c>
      <c r="CM269" t="s">
        <v>1344</v>
      </c>
      <c r="CN269" t="b">
        <f t="shared" si="251"/>
        <v>1</v>
      </c>
      <c r="CO269" t="str">
        <f t="shared" si="239"/>
        <v>R479</v>
      </c>
      <c r="CP269" t="str">
        <f t="shared" si="252"/>
        <v>R479</v>
      </c>
      <c r="CQ269" t="str">
        <f>AF268</f>
        <v>R74</v>
      </c>
      <c r="CR269" t="str">
        <f t="shared" si="240"/>
        <v>R74</v>
      </c>
      <c r="CS269" t="s">
        <v>662</v>
      </c>
      <c r="CT269" t="s">
        <v>662</v>
      </c>
      <c r="CU269" t="s">
        <v>662</v>
      </c>
      <c r="CV269" t="b">
        <f t="shared" si="253"/>
        <v>1</v>
      </c>
      <c r="DC269" t="str">
        <f t="shared" si="241"/>
        <v>G602</v>
      </c>
      <c r="DD269" t="b">
        <f t="shared" si="254"/>
        <v>0</v>
      </c>
      <c r="DE269" t="str">
        <f t="shared" si="255"/>
        <v>G602</v>
      </c>
      <c r="DF269" t="str">
        <f t="shared" si="242"/>
        <v>R74</v>
      </c>
      <c r="DG269" t="b">
        <f t="shared" si="256"/>
        <v>0</v>
      </c>
      <c r="DH269" t="str">
        <f t="shared" si="257"/>
        <v>R74</v>
      </c>
    </row>
    <row r="270" spans="2:112" ht="12" customHeight="1">
      <c r="B270" t="str">
        <f>TBIDry!H342</f>
        <v>G659</v>
      </c>
      <c r="C270" t="str">
        <f>TBIDry!I342</f>
        <v>R606</v>
      </c>
      <c r="D270" t="b">
        <f t="shared" si="209"/>
        <v>0</v>
      </c>
      <c r="E270" t="b">
        <f t="shared" si="210"/>
        <v>0</v>
      </c>
      <c r="G270" t="str">
        <f>TBIWet!H342</f>
        <v>G512</v>
      </c>
      <c r="H270" t="str">
        <f>TBIWet!I342</f>
        <v>R76</v>
      </c>
      <c r="I270" t="b">
        <f t="shared" si="211"/>
        <v>0</v>
      </c>
      <c r="J270" t="b">
        <f t="shared" si="212"/>
        <v>0</v>
      </c>
      <c r="L270" t="str">
        <f>'Both teabags AfterWet'!A268</f>
        <v>G708</v>
      </c>
      <c r="M270" t="str">
        <f>'Both teabags AfterWet'!A688</f>
        <v>R480</v>
      </c>
      <c r="N270" t="b">
        <f t="shared" si="213"/>
        <v>0</v>
      </c>
      <c r="O270" t="b">
        <f t="shared" si="258"/>
        <v>0</v>
      </c>
      <c r="Q270" s="395" t="b">
        <f t="shared" si="214"/>
        <v>0</v>
      </c>
      <c r="R270" s="395" t="b">
        <f t="shared" si="215"/>
        <v>0</v>
      </c>
      <c r="T270" t="str">
        <f>'Both teabags AfterDry'!A268</f>
        <v>G617</v>
      </c>
      <c r="U270" t="str">
        <f>'Both teabags AfterDry'!A603</f>
        <v>R765</v>
      </c>
      <c r="V270" t="b">
        <f t="shared" si="216"/>
        <v>0</v>
      </c>
      <c r="W270" t="b">
        <f t="shared" si="243"/>
        <v>0</v>
      </c>
      <c r="Y270" t="str">
        <f>'Green_rooibos initial weight'!A271</f>
        <v>G267</v>
      </c>
      <c r="Z270" t="str">
        <f>'Green_rooibos initial weight'!A1175</f>
        <v>R267</v>
      </c>
      <c r="AA270" t="b">
        <f t="shared" si="217"/>
        <v>0</v>
      </c>
      <c r="AB270" t="b">
        <f t="shared" si="218"/>
        <v>0</v>
      </c>
      <c r="AE270" t="str">
        <f>'WetLitterbags placem_collection'!O49</f>
        <v>G512</v>
      </c>
      <c r="AF270" t="str">
        <f>'WetLitterbags placem_collection'!Q49</f>
        <v>R76</v>
      </c>
      <c r="AG270" t="b">
        <f t="shared" si="219"/>
        <v>0</v>
      </c>
      <c r="AH270" t="b">
        <f t="shared" si="220"/>
        <v>0</v>
      </c>
      <c r="AJ270" t="b">
        <f t="shared" si="221"/>
        <v>0</v>
      </c>
      <c r="AK270" t="b">
        <f t="shared" si="222"/>
        <v>0</v>
      </c>
      <c r="AM270" t="str">
        <f>IF(ISBLANK('Dry_Litterbag Placem_Collection'!L49),"","G"&amp;""&amp;'Dry_Litterbag Placem_Collection'!L49)</f>
        <v>G659</v>
      </c>
      <c r="AN270" t="str">
        <f>IF(ISBLANK('Dry_Litterbag Placem_Collection'!M49),"","R"&amp;""&amp;'Dry_Litterbag Placem_Collection'!M49)</f>
        <v>R606</v>
      </c>
      <c r="AO270" t="b">
        <f t="shared" si="223"/>
        <v>0</v>
      </c>
      <c r="AP270" t="b">
        <f t="shared" si="224"/>
        <v>0</v>
      </c>
      <c r="AS270" t="str">
        <f>'Ashed teabags dry'!A268</f>
        <v>G617</v>
      </c>
      <c r="AT270" t="str">
        <f>'Ashed teabags dry'!A603</f>
        <v>R765</v>
      </c>
      <c r="AU270" t="b">
        <f t="shared" si="225"/>
        <v>0</v>
      </c>
      <c r="AV270" t="b">
        <f>COUNTIF($AT$4:$AT$2000, AT270)&gt;1</f>
        <v>0</v>
      </c>
      <c r="AX270" s="395" t="b">
        <f t="shared" si="226"/>
        <v>0</v>
      </c>
      <c r="AY270" s="395" t="b">
        <f t="shared" si="227"/>
        <v>0</v>
      </c>
      <c r="BA270" t="str">
        <f>'Ashed teabags wet'!A268</f>
        <v>G708</v>
      </c>
      <c r="BB270" t="str">
        <f>'Ashed teabags wet'!A688</f>
        <v>R480</v>
      </c>
      <c r="BC270" t="b">
        <f t="shared" si="228"/>
        <v>0</v>
      </c>
      <c r="BD270" t="b">
        <f t="shared" si="208"/>
        <v>0</v>
      </c>
      <c r="BF270" t="str">
        <f t="shared" si="229"/>
        <v>G612</v>
      </c>
      <c r="BG270" t="str">
        <f>T269</f>
        <v>G612</v>
      </c>
      <c r="BH270" t="str">
        <f t="shared" si="230"/>
        <v/>
      </c>
      <c r="BI270" t="str">
        <f t="shared" si="244"/>
        <v/>
      </c>
      <c r="BJ270" t="s">
        <v>1438</v>
      </c>
      <c r="BK270" t="s">
        <v>1438</v>
      </c>
      <c r="BL270" t="s">
        <v>1438</v>
      </c>
      <c r="BM270" t="b">
        <f t="shared" si="245"/>
        <v>1</v>
      </c>
      <c r="BN270" t="str">
        <f t="shared" si="231"/>
        <v>R764</v>
      </c>
      <c r="BO270" t="str">
        <f>U269</f>
        <v>R764</v>
      </c>
      <c r="BP270" t="str">
        <f t="shared" si="232"/>
        <v/>
      </c>
      <c r="BQ270" t="str">
        <f t="shared" si="233"/>
        <v/>
      </c>
      <c r="BR270" t="s">
        <v>375</v>
      </c>
      <c r="BS270" t="s">
        <v>374</v>
      </c>
      <c r="BT270" t="s">
        <v>375</v>
      </c>
      <c r="BU270" t="b">
        <f t="shared" si="246"/>
        <v>1</v>
      </c>
      <c r="BZ270" t="str">
        <f t="shared" si="234"/>
        <v/>
      </c>
      <c r="CA270" t="b">
        <f t="shared" si="235"/>
        <v>0</v>
      </c>
      <c r="CB270" t="str">
        <f t="shared" si="247"/>
        <v/>
      </c>
      <c r="CC270" t="str">
        <f t="shared" si="236"/>
        <v/>
      </c>
      <c r="CD270" t="b">
        <f t="shared" si="248"/>
        <v>0</v>
      </c>
      <c r="CE270" t="str">
        <f t="shared" si="249"/>
        <v/>
      </c>
      <c r="CG270" t="str">
        <f t="shared" si="237"/>
        <v>G707</v>
      </c>
      <c r="CH270" t="str">
        <f t="shared" si="250"/>
        <v>G707</v>
      </c>
      <c r="CI270" t="str">
        <f>AE269</f>
        <v>G427</v>
      </c>
      <c r="CJ270" t="str">
        <f t="shared" si="238"/>
        <v/>
      </c>
      <c r="CK270" t="s">
        <v>1343</v>
      </c>
      <c r="CL270" t="s">
        <v>1343</v>
      </c>
      <c r="CM270" t="s">
        <v>1343</v>
      </c>
      <c r="CN270" t="b">
        <f t="shared" si="251"/>
        <v>1</v>
      </c>
      <c r="CO270" t="str">
        <f t="shared" si="239"/>
        <v>R48</v>
      </c>
      <c r="CP270" t="str">
        <f t="shared" si="252"/>
        <v>R48</v>
      </c>
      <c r="CQ270" t="str">
        <f>AF269</f>
        <v>R102</v>
      </c>
      <c r="CR270" t="str">
        <f t="shared" si="240"/>
        <v/>
      </c>
      <c r="CS270" t="s">
        <v>1093</v>
      </c>
      <c r="CT270" t="s">
        <v>1093</v>
      </c>
      <c r="CU270" t="s">
        <v>1093</v>
      </c>
      <c r="CV270" t="b">
        <f t="shared" si="253"/>
        <v>1</v>
      </c>
      <c r="DC270" t="str">
        <f t="shared" si="241"/>
        <v>G427</v>
      </c>
      <c r="DD270" t="b">
        <f t="shared" si="254"/>
        <v>1</v>
      </c>
      <c r="DE270" t="str">
        <f t="shared" si="255"/>
        <v/>
      </c>
      <c r="DF270" t="str">
        <f t="shared" si="242"/>
        <v>R102</v>
      </c>
      <c r="DG270" t="b">
        <f t="shared" si="256"/>
        <v>1</v>
      </c>
      <c r="DH270" t="str">
        <f t="shared" si="257"/>
        <v/>
      </c>
    </row>
    <row r="271" spans="2:112" ht="12" customHeight="1">
      <c r="B271" t="str">
        <f>TBIDry!H343</f>
        <v>G267</v>
      </c>
      <c r="C271" t="str">
        <f>TBIDry!I343</f>
        <v>R221</v>
      </c>
      <c r="D271" t="b">
        <f t="shared" si="209"/>
        <v>0</v>
      </c>
      <c r="E271" t="b">
        <f t="shared" si="210"/>
        <v>0</v>
      </c>
      <c r="G271" t="str">
        <f>TBIWet!H343</f>
        <v>G299</v>
      </c>
      <c r="H271" t="str">
        <f>TBIWet!I343</f>
        <v>R107</v>
      </c>
      <c r="I271" t="b">
        <f t="shared" si="211"/>
        <v>0</v>
      </c>
      <c r="J271" t="b">
        <f t="shared" si="212"/>
        <v>0</v>
      </c>
      <c r="L271" t="str">
        <f>'Both teabags AfterWet'!A269</f>
        <v>G709</v>
      </c>
      <c r="M271" t="str">
        <f>'Both teabags AfterWet'!A689</f>
        <v>R481</v>
      </c>
      <c r="N271" t="b">
        <f t="shared" si="213"/>
        <v>0</v>
      </c>
      <c r="O271" t="b">
        <f t="shared" si="258"/>
        <v>0</v>
      </c>
      <c r="Q271" s="395" t="b">
        <f t="shared" si="214"/>
        <v>0</v>
      </c>
      <c r="R271" s="395" t="b">
        <f t="shared" si="215"/>
        <v>0</v>
      </c>
      <c r="T271" t="str">
        <f>'Both teabags AfterDry'!A269</f>
        <v>G62</v>
      </c>
      <c r="U271" t="str">
        <f>'Both teabags AfterDry'!A604</f>
        <v>R766</v>
      </c>
      <c r="V271" t="b">
        <f t="shared" si="216"/>
        <v>0</v>
      </c>
      <c r="W271" t="b">
        <f t="shared" si="243"/>
        <v>0</v>
      </c>
      <c r="Y271" t="str">
        <f>'Green_rooibos initial weight'!A272</f>
        <v>G268</v>
      </c>
      <c r="Z271" t="str">
        <f>'Green_rooibos initial weight'!A1176</f>
        <v>R268</v>
      </c>
      <c r="AA271" t="b">
        <f t="shared" si="217"/>
        <v>0</v>
      </c>
      <c r="AB271" t="b">
        <f t="shared" si="218"/>
        <v>0</v>
      </c>
      <c r="AE271" t="str">
        <f>'WetLitterbags placem_collection'!O50</f>
        <v>G299</v>
      </c>
      <c r="AF271" t="str">
        <f>'WetLitterbags placem_collection'!Q50</f>
        <v>R107</v>
      </c>
      <c r="AG271" t="b">
        <f t="shared" si="219"/>
        <v>0</v>
      </c>
      <c r="AH271" t="b">
        <f t="shared" si="220"/>
        <v>0</v>
      </c>
      <c r="AJ271" t="b">
        <f t="shared" si="221"/>
        <v>0</v>
      </c>
      <c r="AK271" t="b">
        <f t="shared" si="222"/>
        <v>0</v>
      </c>
      <c r="AM271" t="str">
        <f>IF(ISBLANK('Dry_Litterbag Placem_Collection'!L50),"","G"&amp;""&amp;'Dry_Litterbag Placem_Collection'!L50)</f>
        <v>G267</v>
      </c>
      <c r="AN271" t="str">
        <f>IF(ISBLANK('Dry_Litterbag Placem_Collection'!M50),"","R"&amp;""&amp;'Dry_Litterbag Placem_Collection'!M50)</f>
        <v>R221</v>
      </c>
      <c r="AO271" t="b">
        <f t="shared" si="223"/>
        <v>0</v>
      </c>
      <c r="AP271" t="b">
        <f t="shared" si="224"/>
        <v>0</v>
      </c>
      <c r="AS271" t="str">
        <f>'Ashed teabags dry'!A269</f>
        <v>G62</v>
      </c>
      <c r="AT271" t="str">
        <f>'Ashed teabags dry'!A604</f>
        <v>R766</v>
      </c>
      <c r="AU271" t="b">
        <f t="shared" si="225"/>
        <v>0</v>
      </c>
      <c r="AV271" t="b">
        <f>COUNTIF($AT$4:$AT$2000, AT271)&gt;1</f>
        <v>0</v>
      </c>
      <c r="AX271" s="395" t="b">
        <f t="shared" si="226"/>
        <v>0</v>
      </c>
      <c r="AY271" s="395" t="b">
        <f t="shared" si="227"/>
        <v>0</v>
      </c>
      <c r="BA271" t="str">
        <f>'Ashed teabags wet'!A269</f>
        <v>G709</v>
      </c>
      <c r="BB271" t="str">
        <f>'Ashed teabags wet'!A689</f>
        <v>R481</v>
      </c>
      <c r="BC271" t="b">
        <f t="shared" si="228"/>
        <v>0</v>
      </c>
      <c r="BD271" t="b">
        <f t="shared" si="208"/>
        <v>0</v>
      </c>
      <c r="BF271" t="str">
        <f t="shared" si="229"/>
        <v>G617</v>
      </c>
      <c r="BG271" t="str">
        <f>T270</f>
        <v>G617</v>
      </c>
      <c r="BH271" t="str">
        <f t="shared" si="230"/>
        <v>G659</v>
      </c>
      <c r="BI271" t="str">
        <f t="shared" si="244"/>
        <v>G659</v>
      </c>
      <c r="BJ271" t="s">
        <v>1433</v>
      </c>
      <c r="BK271" t="s">
        <v>1433</v>
      </c>
      <c r="BL271" t="s">
        <v>1433</v>
      </c>
      <c r="BM271" t="b">
        <f t="shared" si="245"/>
        <v>1</v>
      </c>
      <c r="BN271" t="str">
        <f t="shared" si="231"/>
        <v>R765</v>
      </c>
      <c r="BO271" t="str">
        <f>U270</f>
        <v>R765</v>
      </c>
      <c r="BP271" t="str">
        <f t="shared" si="232"/>
        <v>R606</v>
      </c>
      <c r="BQ271" t="str">
        <f t="shared" si="233"/>
        <v>R606</v>
      </c>
      <c r="BR271" t="s">
        <v>374</v>
      </c>
      <c r="BS271" t="s">
        <v>373</v>
      </c>
      <c r="BT271" t="s">
        <v>374</v>
      </c>
      <c r="BU271" t="b">
        <f t="shared" si="246"/>
        <v>1</v>
      </c>
      <c r="BZ271" t="str">
        <f t="shared" si="234"/>
        <v>G659</v>
      </c>
      <c r="CA271" t="b">
        <f t="shared" si="235"/>
        <v>0</v>
      </c>
      <c r="CB271" t="str">
        <f t="shared" si="247"/>
        <v>G659</v>
      </c>
      <c r="CC271" t="str">
        <f t="shared" si="236"/>
        <v>R606</v>
      </c>
      <c r="CD271" t="b">
        <f t="shared" si="248"/>
        <v>0</v>
      </c>
      <c r="CE271" t="str">
        <f t="shared" si="249"/>
        <v>R606</v>
      </c>
      <c r="CG271" t="str">
        <f t="shared" si="237"/>
        <v>G708</v>
      </c>
      <c r="CH271" t="str">
        <f t="shared" si="250"/>
        <v>G708</v>
      </c>
      <c r="CI271" t="str">
        <f>AE270</f>
        <v>G512</v>
      </c>
      <c r="CJ271" t="str">
        <f t="shared" si="238"/>
        <v>G512</v>
      </c>
      <c r="CK271" t="s">
        <v>1342</v>
      </c>
      <c r="CL271" t="s">
        <v>1342</v>
      </c>
      <c r="CM271" t="s">
        <v>1342</v>
      </c>
      <c r="CN271" t="b">
        <f t="shared" si="251"/>
        <v>1</v>
      </c>
      <c r="CO271" t="str">
        <f t="shared" si="239"/>
        <v>R480</v>
      </c>
      <c r="CP271" t="str">
        <f t="shared" si="252"/>
        <v>R480</v>
      </c>
      <c r="CQ271" t="str">
        <f>AF270</f>
        <v>R76</v>
      </c>
      <c r="CR271" t="str">
        <f t="shared" si="240"/>
        <v>R76</v>
      </c>
      <c r="CS271" t="s">
        <v>661</v>
      </c>
      <c r="CT271" t="s">
        <v>661</v>
      </c>
      <c r="CU271" t="s">
        <v>661</v>
      </c>
      <c r="CV271" t="b">
        <f t="shared" si="253"/>
        <v>1</v>
      </c>
      <c r="DC271" t="str">
        <f t="shared" si="241"/>
        <v>G512</v>
      </c>
      <c r="DD271" t="b">
        <f t="shared" si="254"/>
        <v>0</v>
      </c>
      <c r="DE271" t="str">
        <f t="shared" si="255"/>
        <v>G512</v>
      </c>
      <c r="DF271" t="str">
        <f t="shared" si="242"/>
        <v>R76</v>
      </c>
      <c r="DG271" t="b">
        <f t="shared" si="256"/>
        <v>0</v>
      </c>
      <c r="DH271" t="str">
        <f t="shared" si="257"/>
        <v>R76</v>
      </c>
    </row>
    <row r="272" spans="2:112" ht="12" customHeight="1">
      <c r="B272" t="str">
        <f>TBIDry!H344</f>
        <v>G812</v>
      </c>
      <c r="C272" t="str">
        <f>TBIDry!I344</f>
        <v>R308</v>
      </c>
      <c r="D272" t="b">
        <f t="shared" si="209"/>
        <v>0</v>
      </c>
      <c r="E272" t="b">
        <f t="shared" si="210"/>
        <v>0</v>
      </c>
      <c r="G272" t="str">
        <f>TBIWet!H344</f>
        <v>G739</v>
      </c>
      <c r="H272" t="str">
        <f>TBIWet!I344</f>
        <v>R155</v>
      </c>
      <c r="I272" t="b">
        <f t="shared" si="211"/>
        <v>0</v>
      </c>
      <c r="J272" t="b">
        <f t="shared" si="212"/>
        <v>0</v>
      </c>
      <c r="L272" t="str">
        <f>'Both teabags AfterWet'!A270</f>
        <v>G710</v>
      </c>
      <c r="M272" t="str">
        <f>'Both teabags AfterWet'!A690</f>
        <v>R482</v>
      </c>
      <c r="N272" t="b">
        <f t="shared" si="213"/>
        <v>0</v>
      </c>
      <c r="O272" t="b">
        <f t="shared" si="258"/>
        <v>0</v>
      </c>
      <c r="Q272" s="395" t="b">
        <f t="shared" si="214"/>
        <v>0</v>
      </c>
      <c r="R272" s="395" t="b">
        <f t="shared" si="215"/>
        <v>0</v>
      </c>
      <c r="T272" t="str">
        <f>'Both teabags AfterDry'!A270</f>
        <v>G624</v>
      </c>
      <c r="U272" t="str">
        <f>'Both teabags AfterDry'!A605</f>
        <v>R768</v>
      </c>
      <c r="V272" t="b">
        <f t="shared" si="216"/>
        <v>0</v>
      </c>
      <c r="W272" t="b">
        <f t="shared" si="243"/>
        <v>0</v>
      </c>
      <c r="Y272" t="str">
        <f>'Green_rooibos initial weight'!A273</f>
        <v>G269</v>
      </c>
      <c r="Z272" t="str">
        <f>'Green_rooibos initial weight'!A1177</f>
        <v>R269</v>
      </c>
      <c r="AA272" t="b">
        <f t="shared" si="217"/>
        <v>0</v>
      </c>
      <c r="AB272" t="b">
        <f t="shared" si="218"/>
        <v>0</v>
      </c>
      <c r="AE272" t="str">
        <f>'WetLitterbags placem_collection'!O51</f>
        <v>G739</v>
      </c>
      <c r="AF272" t="str">
        <f>'WetLitterbags placem_collection'!Q51</f>
        <v>R155</v>
      </c>
      <c r="AG272" t="b">
        <f t="shared" si="219"/>
        <v>0</v>
      </c>
      <c r="AH272" t="b">
        <f t="shared" si="220"/>
        <v>0</v>
      </c>
      <c r="AJ272" t="b">
        <f t="shared" si="221"/>
        <v>0</v>
      </c>
      <c r="AK272" t="b">
        <f t="shared" si="222"/>
        <v>0</v>
      </c>
      <c r="AM272" t="str">
        <f>IF(ISBLANK('Dry_Litterbag Placem_Collection'!L51),"","G"&amp;""&amp;'Dry_Litterbag Placem_Collection'!L51)</f>
        <v>G812</v>
      </c>
      <c r="AN272" t="str">
        <f>IF(ISBLANK('Dry_Litterbag Placem_Collection'!M51),"","R"&amp;""&amp;'Dry_Litterbag Placem_Collection'!M51)</f>
        <v>R308</v>
      </c>
      <c r="AO272" t="b">
        <f t="shared" si="223"/>
        <v>0</v>
      </c>
      <c r="AP272" t="b">
        <f t="shared" si="224"/>
        <v>0</v>
      </c>
      <c r="AS272" t="str">
        <f>'Ashed teabags dry'!A270</f>
        <v>G624</v>
      </c>
      <c r="AT272" t="str">
        <f>'Ashed teabags dry'!A605</f>
        <v>R768</v>
      </c>
      <c r="AU272" t="b">
        <f t="shared" si="225"/>
        <v>0</v>
      </c>
      <c r="AV272" t="b">
        <f>COUNTIF($AT$4:$AT$2000, AT272)&gt;1</f>
        <v>0</v>
      </c>
      <c r="AX272" s="395" t="b">
        <f t="shared" si="226"/>
        <v>0</v>
      </c>
      <c r="AY272" s="395" t="b">
        <f t="shared" si="227"/>
        <v>0</v>
      </c>
      <c r="BA272" t="str">
        <f>'Ashed teabags wet'!A270</f>
        <v>G710</v>
      </c>
      <c r="BB272" t="str">
        <f>'Ashed teabags wet'!A690</f>
        <v>R482</v>
      </c>
      <c r="BC272" t="b">
        <f t="shared" si="228"/>
        <v>0</v>
      </c>
      <c r="BD272" t="b">
        <f t="shared" si="208"/>
        <v>0</v>
      </c>
      <c r="BF272" t="str">
        <f t="shared" si="229"/>
        <v>G62</v>
      </c>
      <c r="BG272" t="str">
        <f>T271</f>
        <v>G62</v>
      </c>
      <c r="BH272" t="str">
        <f t="shared" si="230"/>
        <v>G267</v>
      </c>
      <c r="BI272" t="str">
        <f t="shared" si="244"/>
        <v>G267</v>
      </c>
      <c r="BJ272" t="s">
        <v>1988</v>
      </c>
      <c r="BK272" t="s">
        <v>1988</v>
      </c>
      <c r="BL272" t="s">
        <v>1988</v>
      </c>
      <c r="BM272" t="b">
        <f t="shared" si="245"/>
        <v>1</v>
      </c>
      <c r="BN272" t="str">
        <f t="shared" si="231"/>
        <v>R766</v>
      </c>
      <c r="BO272" t="str">
        <f>U271</f>
        <v>R766</v>
      </c>
      <c r="BP272" t="str">
        <f t="shared" si="232"/>
        <v>R221</v>
      </c>
      <c r="BQ272" t="str">
        <f t="shared" si="233"/>
        <v>R221</v>
      </c>
      <c r="BR272" t="s">
        <v>373</v>
      </c>
      <c r="BS272" t="s">
        <v>371</v>
      </c>
      <c r="BT272" t="s">
        <v>373</v>
      </c>
      <c r="BU272" t="b">
        <f t="shared" si="246"/>
        <v>1</v>
      </c>
      <c r="BZ272" t="str">
        <f t="shared" si="234"/>
        <v>G267</v>
      </c>
      <c r="CA272" t="b">
        <f t="shared" si="235"/>
        <v>0</v>
      </c>
      <c r="CB272" t="str">
        <f t="shared" si="247"/>
        <v>G267</v>
      </c>
      <c r="CC272" t="str">
        <f t="shared" si="236"/>
        <v>R221</v>
      </c>
      <c r="CD272" t="b">
        <f t="shared" si="248"/>
        <v>0</v>
      </c>
      <c r="CE272" t="str">
        <f t="shared" si="249"/>
        <v>R221</v>
      </c>
      <c r="CG272" t="str">
        <f t="shared" si="237"/>
        <v>G709</v>
      </c>
      <c r="CH272" t="str">
        <f t="shared" si="250"/>
        <v>G709</v>
      </c>
      <c r="CI272" t="str">
        <f>AE271</f>
        <v>G299</v>
      </c>
      <c r="CJ272" t="str">
        <f t="shared" si="238"/>
        <v>G299</v>
      </c>
      <c r="CK272" t="s">
        <v>1341</v>
      </c>
      <c r="CL272" t="s">
        <v>1341</v>
      </c>
      <c r="CM272" t="s">
        <v>1341</v>
      </c>
      <c r="CN272" t="b">
        <f t="shared" si="251"/>
        <v>1</v>
      </c>
      <c r="CO272" t="str">
        <f t="shared" si="239"/>
        <v>R481</v>
      </c>
      <c r="CP272" t="str">
        <f t="shared" si="252"/>
        <v>R481</v>
      </c>
      <c r="CQ272" t="str">
        <f>AF271</f>
        <v>R107</v>
      </c>
      <c r="CR272" t="str">
        <f t="shared" si="240"/>
        <v>R107</v>
      </c>
      <c r="CS272" t="s">
        <v>660</v>
      </c>
      <c r="CT272" t="s">
        <v>660</v>
      </c>
      <c r="CU272" t="s">
        <v>660</v>
      </c>
      <c r="CV272" t="b">
        <f t="shared" si="253"/>
        <v>1</v>
      </c>
      <c r="DC272" t="str">
        <f t="shared" si="241"/>
        <v>G299</v>
      </c>
      <c r="DD272" t="b">
        <f t="shared" si="254"/>
        <v>0</v>
      </c>
      <c r="DE272" t="str">
        <f t="shared" si="255"/>
        <v>G299</v>
      </c>
      <c r="DF272" t="str">
        <f t="shared" si="242"/>
        <v>R107</v>
      </c>
      <c r="DG272" t="b">
        <f t="shared" si="256"/>
        <v>0</v>
      </c>
      <c r="DH272" t="str">
        <f t="shared" si="257"/>
        <v>R107</v>
      </c>
    </row>
    <row r="273" spans="2:112" ht="12" customHeight="1">
      <c r="B273" t="str">
        <f>TBIDry!H345</f>
        <v>G212</v>
      </c>
      <c r="C273" t="str">
        <f>TBIDry!I345</f>
        <v>R644</v>
      </c>
      <c r="D273" t="b">
        <f t="shared" si="209"/>
        <v>0</v>
      </c>
      <c r="E273" t="b">
        <f t="shared" si="210"/>
        <v>0</v>
      </c>
      <c r="G273" t="str">
        <f>TBIWet!H345</f>
        <v>G559</v>
      </c>
      <c r="H273" t="str">
        <f>TBIWet!I345</f>
        <v>R98</v>
      </c>
      <c r="I273" t="b">
        <f t="shared" si="211"/>
        <v>0</v>
      </c>
      <c r="J273" t="b">
        <f t="shared" si="212"/>
        <v>0</v>
      </c>
      <c r="L273" t="str">
        <f>'Both teabags AfterWet'!A271</f>
        <v>G712</v>
      </c>
      <c r="M273" t="str">
        <f>'Both teabags AfterWet'!A691</f>
        <v>R483</v>
      </c>
      <c r="N273" t="b">
        <f t="shared" si="213"/>
        <v>0</v>
      </c>
      <c r="O273" t="b">
        <f t="shared" si="258"/>
        <v>0</v>
      </c>
      <c r="Q273" s="395" t="b">
        <f t="shared" si="214"/>
        <v>0</v>
      </c>
      <c r="R273" s="395" t="b">
        <f t="shared" si="215"/>
        <v>0</v>
      </c>
      <c r="T273" t="str">
        <f>'Both teabags AfterDry'!A271</f>
        <v>G625</v>
      </c>
      <c r="U273" t="str">
        <f>'Both teabags AfterDry'!A606</f>
        <v>R769</v>
      </c>
      <c r="V273" t="b">
        <f t="shared" si="216"/>
        <v>0</v>
      </c>
      <c r="W273" t="b">
        <f t="shared" si="243"/>
        <v>0</v>
      </c>
      <c r="Y273" t="str">
        <f>'Green_rooibos initial weight'!A274</f>
        <v>G270</v>
      </c>
      <c r="Z273" t="str">
        <f>'Green_rooibos initial weight'!A1178</f>
        <v>R270</v>
      </c>
      <c r="AA273" t="b">
        <f t="shared" si="217"/>
        <v>0</v>
      </c>
      <c r="AB273" t="b">
        <f t="shared" si="218"/>
        <v>0</v>
      </c>
      <c r="AE273" t="str">
        <f>'WetLitterbags placem_collection'!O52</f>
        <v>G559</v>
      </c>
      <c r="AF273" t="str">
        <f>'WetLitterbags placem_collection'!Q52</f>
        <v>R98</v>
      </c>
      <c r="AG273" t="b">
        <f t="shared" si="219"/>
        <v>0</v>
      </c>
      <c r="AH273" t="b">
        <f t="shared" si="220"/>
        <v>0</v>
      </c>
      <c r="AJ273" t="b">
        <f t="shared" si="221"/>
        <v>0</v>
      </c>
      <c r="AK273" t="b">
        <f t="shared" si="222"/>
        <v>0</v>
      </c>
      <c r="AM273" t="str">
        <f>IF(ISBLANK('Dry_Litterbag Placem_Collection'!L52),"","G"&amp;""&amp;'Dry_Litterbag Placem_Collection'!L52)</f>
        <v>G212</v>
      </c>
      <c r="AN273" t="str">
        <f>IF(ISBLANK('Dry_Litterbag Placem_Collection'!M52),"","R"&amp;""&amp;'Dry_Litterbag Placem_Collection'!M52)</f>
        <v>R644</v>
      </c>
      <c r="AO273" t="b">
        <f t="shared" si="223"/>
        <v>0</v>
      </c>
      <c r="AP273" t="b">
        <f t="shared" si="224"/>
        <v>0</v>
      </c>
      <c r="AS273" t="str">
        <f>'Ashed teabags dry'!A271</f>
        <v>G625</v>
      </c>
      <c r="AT273" t="str">
        <f>'Ashed teabags dry'!A606</f>
        <v>R769</v>
      </c>
      <c r="AU273" t="b">
        <f t="shared" si="225"/>
        <v>0</v>
      </c>
      <c r="AV273" t="b">
        <f>COUNTIF($AT$4:$AT$2000, AT273)&gt;1</f>
        <v>0</v>
      </c>
      <c r="AX273" s="395" t="b">
        <f t="shared" si="226"/>
        <v>0</v>
      </c>
      <c r="AY273" s="395" t="b">
        <f t="shared" si="227"/>
        <v>0</v>
      </c>
      <c r="BA273" t="str">
        <f>'Ashed teabags wet'!A271</f>
        <v>G712</v>
      </c>
      <c r="BB273" t="str">
        <f>'Ashed teabags wet'!A691</f>
        <v>R483</v>
      </c>
      <c r="BC273" t="b">
        <f t="shared" si="228"/>
        <v>0</v>
      </c>
      <c r="BD273" t="b">
        <f t="shared" si="208"/>
        <v>0</v>
      </c>
      <c r="BF273" t="str">
        <f t="shared" si="229"/>
        <v>G624</v>
      </c>
      <c r="BG273" t="str">
        <f>T272</f>
        <v>G624</v>
      </c>
      <c r="BH273" t="str">
        <f t="shared" si="230"/>
        <v>G812</v>
      </c>
      <c r="BI273" t="str">
        <f t="shared" si="244"/>
        <v/>
      </c>
      <c r="BJ273" t="s">
        <v>1426</v>
      </c>
      <c r="BK273" t="s">
        <v>1426</v>
      </c>
      <c r="BL273" t="s">
        <v>1426</v>
      </c>
      <c r="BM273" t="b">
        <f t="shared" si="245"/>
        <v>1</v>
      </c>
      <c r="BN273" t="str">
        <f t="shared" si="231"/>
        <v>R768</v>
      </c>
      <c r="BO273" t="str">
        <f>U272</f>
        <v>R768</v>
      </c>
      <c r="BP273" t="str">
        <f t="shared" si="232"/>
        <v>R308</v>
      </c>
      <c r="BQ273" t="str">
        <f t="shared" si="233"/>
        <v/>
      </c>
      <c r="BR273" t="s">
        <v>371</v>
      </c>
      <c r="BS273" t="s">
        <v>370</v>
      </c>
      <c r="BT273" t="s">
        <v>371</v>
      </c>
      <c r="BU273" t="b">
        <f t="shared" si="246"/>
        <v>1</v>
      </c>
      <c r="BZ273" t="str">
        <f t="shared" si="234"/>
        <v>G812</v>
      </c>
      <c r="CA273" t="b">
        <f t="shared" si="235"/>
        <v>1</v>
      </c>
      <c r="CB273" t="str">
        <f t="shared" si="247"/>
        <v/>
      </c>
      <c r="CC273" t="str">
        <f t="shared" si="236"/>
        <v>R308</v>
      </c>
      <c r="CD273" t="b">
        <f t="shared" si="248"/>
        <v>1</v>
      </c>
      <c r="CE273" t="str">
        <f t="shared" si="249"/>
        <v/>
      </c>
      <c r="CG273" t="str">
        <f t="shared" si="237"/>
        <v>G710</v>
      </c>
      <c r="CH273" t="str">
        <f t="shared" si="250"/>
        <v>G710</v>
      </c>
      <c r="CI273" t="str">
        <f>AE272</f>
        <v>G739</v>
      </c>
      <c r="CJ273" t="str">
        <f t="shared" si="238"/>
        <v>G739</v>
      </c>
      <c r="CK273" t="s">
        <v>1340</v>
      </c>
      <c r="CL273" t="s">
        <v>1340</v>
      </c>
      <c r="CM273" t="s">
        <v>1340</v>
      </c>
      <c r="CN273" t="b">
        <f t="shared" si="251"/>
        <v>1</v>
      </c>
      <c r="CO273" t="str">
        <f t="shared" si="239"/>
        <v>R482</v>
      </c>
      <c r="CP273" t="str">
        <f t="shared" si="252"/>
        <v>R482</v>
      </c>
      <c r="CQ273" t="str">
        <f>AF272</f>
        <v>R155</v>
      </c>
      <c r="CR273" t="str">
        <f t="shared" si="240"/>
        <v>R155</v>
      </c>
      <c r="CS273" t="s">
        <v>659</v>
      </c>
      <c r="CT273" t="s">
        <v>659</v>
      </c>
      <c r="CU273" t="s">
        <v>659</v>
      </c>
      <c r="CV273" t="b">
        <f t="shared" si="253"/>
        <v>1</v>
      </c>
      <c r="DC273" t="str">
        <f t="shared" si="241"/>
        <v>G739</v>
      </c>
      <c r="DD273" t="b">
        <f t="shared" si="254"/>
        <v>0</v>
      </c>
      <c r="DE273" t="str">
        <f t="shared" si="255"/>
        <v>G739</v>
      </c>
      <c r="DF273" t="str">
        <f t="shared" si="242"/>
        <v>R155</v>
      </c>
      <c r="DG273" t="b">
        <f t="shared" si="256"/>
        <v>0</v>
      </c>
      <c r="DH273" t="str">
        <f t="shared" si="257"/>
        <v>R155</v>
      </c>
    </row>
    <row r="274" spans="2:112" ht="12" customHeight="1">
      <c r="B274" t="str">
        <f>TBIDry!H346</f>
        <v>G598</v>
      </c>
      <c r="C274" t="str">
        <f>TBIDry!I346</f>
        <v>R242</v>
      </c>
      <c r="D274" t="b">
        <f t="shared" si="209"/>
        <v>0</v>
      </c>
      <c r="E274" t="b">
        <f t="shared" si="210"/>
        <v>0</v>
      </c>
      <c r="G274" t="str">
        <f>TBIWet!H346</f>
        <v>G856</v>
      </c>
      <c r="H274" t="str">
        <f>TBIWet!I346</f>
        <v>R29</v>
      </c>
      <c r="I274" t="b">
        <f t="shared" si="211"/>
        <v>0</v>
      </c>
      <c r="J274" t="b">
        <f t="shared" si="212"/>
        <v>0</v>
      </c>
      <c r="L274" t="str">
        <f>'Both teabags AfterWet'!A272</f>
        <v>G713</v>
      </c>
      <c r="M274" t="str">
        <f>'Both teabags AfterWet'!A692</f>
        <v>R484</v>
      </c>
      <c r="N274" t="b">
        <f t="shared" si="213"/>
        <v>0</v>
      </c>
      <c r="O274" t="b">
        <f t="shared" si="258"/>
        <v>0</v>
      </c>
      <c r="Q274" s="395" t="b">
        <f t="shared" si="214"/>
        <v>0</v>
      </c>
      <c r="R274" s="395" t="b">
        <f t="shared" si="215"/>
        <v>0</v>
      </c>
      <c r="T274" t="str">
        <f>'Both teabags AfterDry'!A272</f>
        <v>G629</v>
      </c>
      <c r="U274" t="str">
        <f>'Both teabags AfterDry'!A607</f>
        <v>R770</v>
      </c>
      <c r="V274" t="b">
        <f t="shared" si="216"/>
        <v>0</v>
      </c>
      <c r="W274" t="b">
        <f t="shared" si="243"/>
        <v>0</v>
      </c>
      <c r="Y274" t="str">
        <f>'Green_rooibos initial weight'!A275</f>
        <v>G271</v>
      </c>
      <c r="Z274" t="str">
        <f>'Green_rooibos initial weight'!A1179</f>
        <v>R271</v>
      </c>
      <c r="AA274" t="b">
        <f t="shared" si="217"/>
        <v>0</v>
      </c>
      <c r="AB274" t="b">
        <f t="shared" si="218"/>
        <v>0</v>
      </c>
      <c r="AE274" t="str">
        <f>'WetLitterbags placem_collection'!O53</f>
        <v>G856</v>
      </c>
      <c r="AF274" t="str">
        <f>'WetLitterbags placem_collection'!Q53</f>
        <v>R29</v>
      </c>
      <c r="AG274" t="b">
        <f t="shared" si="219"/>
        <v>0</v>
      </c>
      <c r="AH274" t="b">
        <f t="shared" si="220"/>
        <v>0</v>
      </c>
      <c r="AJ274" t="b">
        <f t="shared" si="221"/>
        <v>0</v>
      </c>
      <c r="AK274" t="b">
        <f t="shared" si="222"/>
        <v>0</v>
      </c>
      <c r="AM274" t="str">
        <f>IF(ISBLANK('Dry_Litterbag Placem_Collection'!L53),"","G"&amp;""&amp;'Dry_Litterbag Placem_Collection'!L53)</f>
        <v>G598</v>
      </c>
      <c r="AN274" t="str">
        <f>IF(ISBLANK('Dry_Litterbag Placem_Collection'!M53),"","R"&amp;""&amp;'Dry_Litterbag Placem_Collection'!M53)</f>
        <v>R242</v>
      </c>
      <c r="AO274" t="b">
        <f t="shared" si="223"/>
        <v>0</v>
      </c>
      <c r="AP274" t="b">
        <f t="shared" si="224"/>
        <v>0</v>
      </c>
      <c r="AS274" t="str">
        <f>'Ashed teabags dry'!A272</f>
        <v>G629</v>
      </c>
      <c r="AT274" t="str">
        <f>'Ashed teabags dry'!A607</f>
        <v>R770</v>
      </c>
      <c r="AU274" t="b">
        <f t="shared" si="225"/>
        <v>0</v>
      </c>
      <c r="AV274" t="b">
        <f>COUNTIF($AT$4:$AT$2000, AT274)&gt;1</f>
        <v>0</v>
      </c>
      <c r="AX274" s="395" t="b">
        <f t="shared" si="226"/>
        <v>0</v>
      </c>
      <c r="AY274" s="395" t="b">
        <f t="shared" si="227"/>
        <v>0</v>
      </c>
      <c r="BA274" t="str">
        <f>'Ashed teabags wet'!A272</f>
        <v>G713</v>
      </c>
      <c r="BB274" t="str">
        <f>'Ashed teabags wet'!A692</f>
        <v>R484</v>
      </c>
      <c r="BC274" t="b">
        <f t="shared" si="228"/>
        <v>0</v>
      </c>
      <c r="BD274" t="b">
        <f t="shared" si="208"/>
        <v>0</v>
      </c>
      <c r="BF274" t="str">
        <f t="shared" si="229"/>
        <v>G625</v>
      </c>
      <c r="BG274" t="str">
        <f>T273</f>
        <v>G625</v>
      </c>
      <c r="BH274" t="str">
        <f t="shared" si="230"/>
        <v>G212</v>
      </c>
      <c r="BI274" t="str">
        <f t="shared" si="244"/>
        <v/>
      </c>
      <c r="BJ274" t="s">
        <v>1425</v>
      </c>
      <c r="BK274" t="s">
        <v>1425</v>
      </c>
      <c r="BL274" t="s">
        <v>1425</v>
      </c>
      <c r="BM274" t="b">
        <f t="shared" si="245"/>
        <v>1</v>
      </c>
      <c r="BN274" t="str">
        <f t="shared" si="231"/>
        <v>R769</v>
      </c>
      <c r="BO274" t="str">
        <f>U273</f>
        <v>R769</v>
      </c>
      <c r="BP274" t="str">
        <f t="shared" si="232"/>
        <v>R644</v>
      </c>
      <c r="BQ274" t="str">
        <f t="shared" si="233"/>
        <v/>
      </c>
      <c r="BR274" t="s">
        <v>370</v>
      </c>
      <c r="BS274" t="s">
        <v>369</v>
      </c>
      <c r="BT274" t="s">
        <v>370</v>
      </c>
      <c r="BU274" t="b">
        <f t="shared" si="246"/>
        <v>1</v>
      </c>
      <c r="BZ274" t="str">
        <f t="shared" si="234"/>
        <v>G212</v>
      </c>
      <c r="CA274" t="b">
        <f t="shared" si="235"/>
        <v>1</v>
      </c>
      <c r="CB274" t="str">
        <f t="shared" si="247"/>
        <v/>
      </c>
      <c r="CC274" t="str">
        <f t="shared" si="236"/>
        <v>R644</v>
      </c>
      <c r="CD274" t="b">
        <f t="shared" si="248"/>
        <v>1</v>
      </c>
      <c r="CE274" t="str">
        <f t="shared" si="249"/>
        <v/>
      </c>
      <c r="CG274" t="str">
        <f t="shared" si="237"/>
        <v>G712</v>
      </c>
      <c r="CH274" t="str">
        <f t="shared" si="250"/>
        <v>G712</v>
      </c>
      <c r="CI274" t="str">
        <f>AE273</f>
        <v>G559</v>
      </c>
      <c r="CJ274" t="str">
        <f t="shared" si="238"/>
        <v/>
      </c>
      <c r="CK274" t="s">
        <v>1338</v>
      </c>
      <c r="CL274" t="s">
        <v>1338</v>
      </c>
      <c r="CM274" t="s">
        <v>1338</v>
      </c>
      <c r="CN274" t="b">
        <f t="shared" si="251"/>
        <v>1</v>
      </c>
      <c r="CO274" t="str">
        <f t="shared" si="239"/>
        <v>R483</v>
      </c>
      <c r="CP274" t="str">
        <f t="shared" si="252"/>
        <v>R483</v>
      </c>
      <c r="CQ274" t="str">
        <f>AF273</f>
        <v>R98</v>
      </c>
      <c r="CR274" t="str">
        <f t="shared" si="240"/>
        <v/>
      </c>
      <c r="CS274" t="s">
        <v>658</v>
      </c>
      <c r="CT274" t="s">
        <v>658</v>
      </c>
      <c r="CU274" t="s">
        <v>658</v>
      </c>
      <c r="CV274" t="b">
        <f t="shared" si="253"/>
        <v>1</v>
      </c>
      <c r="DC274" t="str">
        <f t="shared" si="241"/>
        <v>G559</v>
      </c>
      <c r="DD274" t="b">
        <f t="shared" si="254"/>
        <v>1</v>
      </c>
      <c r="DE274" t="str">
        <f t="shared" si="255"/>
        <v/>
      </c>
      <c r="DF274" t="str">
        <f t="shared" si="242"/>
        <v>R98</v>
      </c>
      <c r="DG274" t="b">
        <f t="shared" si="256"/>
        <v>1</v>
      </c>
      <c r="DH274" t="str">
        <f t="shared" si="257"/>
        <v/>
      </c>
    </row>
    <row r="275" spans="2:112" ht="12" customHeight="1">
      <c r="B275" t="str">
        <f>TBIDry!H347</f>
        <v>G848</v>
      </c>
      <c r="C275" t="str">
        <f>TBIDry!I347</f>
        <v>R618</v>
      </c>
      <c r="D275" t="b">
        <f t="shared" si="209"/>
        <v>0</v>
      </c>
      <c r="E275" t="b">
        <f t="shared" si="210"/>
        <v>0</v>
      </c>
      <c r="G275" t="str">
        <f>TBIWet!H347</f>
        <v>G599</v>
      </c>
      <c r="H275" t="str">
        <f>TBIWet!I347</f>
        <v>R312</v>
      </c>
      <c r="I275" t="b">
        <f t="shared" si="211"/>
        <v>0</v>
      </c>
      <c r="J275" t="b">
        <f t="shared" si="212"/>
        <v>0</v>
      </c>
      <c r="L275" t="str">
        <f>'Both teabags AfterWet'!A273</f>
        <v>G715</v>
      </c>
      <c r="M275" t="str">
        <f>'Both teabags AfterWet'!A693</f>
        <v>R485</v>
      </c>
      <c r="N275" t="b">
        <f t="shared" si="213"/>
        <v>0</v>
      </c>
      <c r="O275" t="b">
        <f t="shared" si="258"/>
        <v>0</v>
      </c>
      <c r="Q275" s="395" t="b">
        <f t="shared" si="214"/>
        <v>0</v>
      </c>
      <c r="R275" s="395" t="b">
        <f t="shared" si="215"/>
        <v>0</v>
      </c>
      <c r="T275" t="str">
        <f>'Both teabags AfterDry'!A273</f>
        <v>G63</v>
      </c>
      <c r="U275" t="str">
        <f>'Both teabags AfterDry'!A608</f>
        <v>R771</v>
      </c>
      <c r="V275" t="b">
        <f t="shared" si="216"/>
        <v>0</v>
      </c>
      <c r="W275" t="b">
        <f t="shared" si="243"/>
        <v>0</v>
      </c>
      <c r="Y275" t="str">
        <f>'Green_rooibos initial weight'!A276</f>
        <v>G272</v>
      </c>
      <c r="Z275" t="str">
        <f>'Green_rooibos initial weight'!A1180</f>
        <v>R272</v>
      </c>
      <c r="AA275" t="b">
        <f t="shared" si="217"/>
        <v>0</v>
      </c>
      <c r="AB275" t="b">
        <f t="shared" si="218"/>
        <v>0</v>
      </c>
      <c r="AE275" t="str">
        <f>'WetLitterbags placem_collection'!O54</f>
        <v>G599</v>
      </c>
      <c r="AF275" t="str">
        <f>'WetLitterbags placem_collection'!Q54</f>
        <v>R312</v>
      </c>
      <c r="AG275" t="b">
        <f t="shared" si="219"/>
        <v>0</v>
      </c>
      <c r="AH275" t="b">
        <f t="shared" si="220"/>
        <v>0</v>
      </c>
      <c r="AJ275" t="b">
        <f t="shared" si="221"/>
        <v>0</v>
      </c>
      <c r="AK275" t="b">
        <f t="shared" si="222"/>
        <v>0</v>
      </c>
      <c r="AM275" t="str">
        <f>IF(ISBLANK('Dry_Litterbag Placem_Collection'!L54),"","G"&amp;""&amp;'Dry_Litterbag Placem_Collection'!L54)</f>
        <v>G848</v>
      </c>
      <c r="AN275" t="str">
        <f>IF(ISBLANK('Dry_Litterbag Placem_Collection'!M54),"","R"&amp;""&amp;'Dry_Litterbag Placem_Collection'!M54)</f>
        <v>R618</v>
      </c>
      <c r="AO275" t="b">
        <f t="shared" si="223"/>
        <v>0</v>
      </c>
      <c r="AP275" t="b">
        <f t="shared" si="224"/>
        <v>0</v>
      </c>
      <c r="AS275" t="str">
        <f>'Ashed teabags dry'!A273</f>
        <v>G63</v>
      </c>
      <c r="AT275" t="str">
        <f>'Ashed teabags dry'!A608</f>
        <v>R771</v>
      </c>
      <c r="AU275" t="b">
        <f t="shared" si="225"/>
        <v>0</v>
      </c>
      <c r="AV275" t="b">
        <f>COUNTIF($AT$4:$AT$2000, AT275)&gt;1</f>
        <v>0</v>
      </c>
      <c r="AX275" s="395" t="b">
        <f t="shared" si="226"/>
        <v>0</v>
      </c>
      <c r="AY275" s="395" t="b">
        <f t="shared" si="227"/>
        <v>0</v>
      </c>
      <c r="BA275" t="str">
        <f>'Ashed teabags wet'!A273</f>
        <v>G715</v>
      </c>
      <c r="BB275" t="str">
        <f>'Ashed teabags wet'!A693</f>
        <v>R485</v>
      </c>
      <c r="BC275" t="b">
        <f t="shared" si="228"/>
        <v>0</v>
      </c>
      <c r="BD275" t="b">
        <f t="shared" si="208"/>
        <v>0</v>
      </c>
      <c r="BF275" t="str">
        <f t="shared" si="229"/>
        <v>G629</v>
      </c>
      <c r="BG275" t="str">
        <f>T274</f>
        <v>G629</v>
      </c>
      <c r="BH275" t="str">
        <f t="shared" si="230"/>
        <v>G598</v>
      </c>
      <c r="BI275" t="str">
        <f t="shared" si="244"/>
        <v>G598</v>
      </c>
      <c r="BJ275" t="s">
        <v>1421</v>
      </c>
      <c r="BK275" t="s">
        <v>1421</v>
      </c>
      <c r="BL275" t="s">
        <v>1421</v>
      </c>
      <c r="BM275" t="b">
        <f t="shared" si="245"/>
        <v>1</v>
      </c>
      <c r="BN275" t="str">
        <f t="shared" si="231"/>
        <v>R770</v>
      </c>
      <c r="BO275" t="str">
        <f>U274</f>
        <v>R770</v>
      </c>
      <c r="BP275" t="str">
        <f t="shared" si="232"/>
        <v>R242</v>
      </c>
      <c r="BQ275" t="str">
        <f t="shared" si="233"/>
        <v>R242</v>
      </c>
      <c r="BR275" t="s">
        <v>369</v>
      </c>
      <c r="BS275" t="s">
        <v>368</v>
      </c>
      <c r="BT275" t="s">
        <v>369</v>
      </c>
      <c r="BU275" t="b">
        <f t="shared" si="246"/>
        <v>1</v>
      </c>
      <c r="BZ275" t="str">
        <f t="shared" si="234"/>
        <v>G598</v>
      </c>
      <c r="CA275" t="b">
        <f t="shared" si="235"/>
        <v>0</v>
      </c>
      <c r="CB275" t="str">
        <f t="shared" si="247"/>
        <v>G598</v>
      </c>
      <c r="CC275" t="str">
        <f t="shared" si="236"/>
        <v>R242</v>
      </c>
      <c r="CD275" t="b">
        <f t="shared" si="248"/>
        <v>0</v>
      </c>
      <c r="CE275" t="str">
        <f t="shared" si="249"/>
        <v>R242</v>
      </c>
      <c r="CG275" t="str">
        <f t="shared" si="237"/>
        <v>G713</v>
      </c>
      <c r="CH275" t="str">
        <f t="shared" si="250"/>
        <v>G713</v>
      </c>
      <c r="CI275" t="str">
        <f>AE274</f>
        <v>G856</v>
      </c>
      <c r="CJ275" t="str">
        <f t="shared" si="238"/>
        <v>G856</v>
      </c>
      <c r="CK275" t="s">
        <v>1337</v>
      </c>
      <c r="CL275" t="s">
        <v>1337</v>
      </c>
      <c r="CM275" t="s">
        <v>1337</v>
      </c>
      <c r="CN275" t="b">
        <f t="shared" si="251"/>
        <v>1</v>
      </c>
      <c r="CO275" t="str">
        <f t="shared" si="239"/>
        <v>R484</v>
      </c>
      <c r="CP275" t="str">
        <f t="shared" si="252"/>
        <v>R484</v>
      </c>
      <c r="CQ275" t="str">
        <f>AF274</f>
        <v>R29</v>
      </c>
      <c r="CR275" t="str">
        <f t="shared" si="240"/>
        <v>R29</v>
      </c>
      <c r="CS275" t="s">
        <v>657</v>
      </c>
      <c r="CT275" t="s">
        <v>657</v>
      </c>
      <c r="CU275" t="s">
        <v>657</v>
      </c>
      <c r="CV275" t="b">
        <f t="shared" si="253"/>
        <v>1</v>
      </c>
      <c r="DC275" t="str">
        <f t="shared" si="241"/>
        <v>G856</v>
      </c>
      <c r="DD275" t="b">
        <f t="shared" si="254"/>
        <v>0</v>
      </c>
      <c r="DE275" t="str">
        <f t="shared" si="255"/>
        <v>G856</v>
      </c>
      <c r="DF275" t="str">
        <f t="shared" si="242"/>
        <v>R29</v>
      </c>
      <c r="DG275" t="b">
        <f t="shared" si="256"/>
        <v>0</v>
      </c>
      <c r="DH275" t="str">
        <f t="shared" si="257"/>
        <v>R29</v>
      </c>
    </row>
    <row r="276" spans="2:112" ht="12" customHeight="1">
      <c r="B276" t="str">
        <f>TBIDry!H348</f>
        <v>G759</v>
      </c>
      <c r="C276" t="str">
        <f>TBIDry!I348</f>
        <v>R140</v>
      </c>
      <c r="D276" t="b">
        <f t="shared" si="209"/>
        <v>0</v>
      </c>
      <c r="E276" t="b">
        <f t="shared" si="210"/>
        <v>0</v>
      </c>
      <c r="G276" t="str">
        <f>TBIWet!H348</f>
        <v>G683</v>
      </c>
      <c r="H276" t="str">
        <f>TBIWet!I348</f>
        <v>R113</v>
      </c>
      <c r="I276" t="b">
        <f t="shared" si="211"/>
        <v>0</v>
      </c>
      <c r="J276" t="b">
        <f t="shared" si="212"/>
        <v>0</v>
      </c>
      <c r="L276" t="str">
        <f>'Both teabags AfterWet'!A274</f>
        <v>G716</v>
      </c>
      <c r="M276" t="str">
        <f>'Both teabags AfterWet'!A694</f>
        <v>R486</v>
      </c>
      <c r="N276" t="b">
        <f t="shared" si="213"/>
        <v>0</v>
      </c>
      <c r="O276" t="b">
        <f t="shared" si="258"/>
        <v>0</v>
      </c>
      <c r="Q276" s="395" t="b">
        <f t="shared" si="214"/>
        <v>0</v>
      </c>
      <c r="R276" s="395" t="b">
        <f t="shared" si="215"/>
        <v>0</v>
      </c>
      <c r="T276" t="str">
        <f>'Both teabags AfterDry'!A274</f>
        <v>G630</v>
      </c>
      <c r="U276" t="str">
        <f>'Both teabags AfterDry'!A609</f>
        <v>R772</v>
      </c>
      <c r="V276" t="b">
        <f t="shared" si="216"/>
        <v>0</v>
      </c>
      <c r="W276" t="b">
        <f t="shared" si="243"/>
        <v>0</v>
      </c>
      <c r="Y276" t="str">
        <f>'Green_rooibos initial weight'!A277</f>
        <v>G273</v>
      </c>
      <c r="Z276" t="str">
        <f>'Green_rooibos initial weight'!A1181</f>
        <v>R273</v>
      </c>
      <c r="AA276" t="b">
        <f t="shared" si="217"/>
        <v>0</v>
      </c>
      <c r="AB276" t="b">
        <f t="shared" si="218"/>
        <v>0</v>
      </c>
      <c r="AE276" t="str">
        <f>'WetLitterbags placem_collection'!O55</f>
        <v>G683</v>
      </c>
      <c r="AF276" t="str">
        <f>'WetLitterbags placem_collection'!Q55</f>
        <v>R113</v>
      </c>
      <c r="AG276" t="b">
        <f t="shared" si="219"/>
        <v>0</v>
      </c>
      <c r="AH276" t="b">
        <f t="shared" si="220"/>
        <v>0</v>
      </c>
      <c r="AJ276" t="b">
        <f t="shared" si="221"/>
        <v>0</v>
      </c>
      <c r="AK276" t="b">
        <f t="shared" si="222"/>
        <v>0</v>
      </c>
      <c r="AM276" t="str">
        <f>IF(ISBLANK('Dry_Litterbag Placem_Collection'!L55),"","G"&amp;""&amp;'Dry_Litterbag Placem_Collection'!L55)</f>
        <v>G759</v>
      </c>
      <c r="AN276" t="str">
        <f>IF(ISBLANK('Dry_Litterbag Placem_Collection'!M55),"","R"&amp;""&amp;'Dry_Litterbag Placem_Collection'!M55)</f>
        <v>R140</v>
      </c>
      <c r="AO276" t="b">
        <f t="shared" si="223"/>
        <v>0</v>
      </c>
      <c r="AP276" t="b">
        <f t="shared" si="224"/>
        <v>0</v>
      </c>
      <c r="AS276" t="str">
        <f>'Ashed teabags dry'!A274</f>
        <v>G630</v>
      </c>
      <c r="AT276" t="str">
        <f>'Ashed teabags dry'!A609</f>
        <v>R772</v>
      </c>
      <c r="AU276" t="b">
        <f t="shared" si="225"/>
        <v>0</v>
      </c>
      <c r="AV276" t="b">
        <f>COUNTIF($AT$4:$AT$2000, AT276)&gt;1</f>
        <v>0</v>
      </c>
      <c r="AX276" s="395" t="b">
        <f t="shared" si="226"/>
        <v>0</v>
      </c>
      <c r="AY276" s="395" t="b">
        <f t="shared" si="227"/>
        <v>0</v>
      </c>
      <c r="BA276" t="str">
        <f>'Ashed teabags wet'!A274</f>
        <v>G716</v>
      </c>
      <c r="BB276" t="str">
        <f>'Ashed teabags wet'!A694</f>
        <v>R486</v>
      </c>
      <c r="BC276" t="b">
        <f t="shared" si="228"/>
        <v>0</v>
      </c>
      <c r="BD276" t="b">
        <f t="shared" si="208"/>
        <v>0</v>
      </c>
      <c r="BF276" t="str">
        <f t="shared" si="229"/>
        <v>G63</v>
      </c>
      <c r="BG276" t="str">
        <f>T275</f>
        <v>G63</v>
      </c>
      <c r="BH276" t="str">
        <f t="shared" si="230"/>
        <v>G848</v>
      </c>
      <c r="BI276" t="str">
        <f t="shared" si="244"/>
        <v>G848</v>
      </c>
      <c r="BJ276" t="s">
        <v>1987</v>
      </c>
      <c r="BK276" t="s">
        <v>1987</v>
      </c>
      <c r="BL276" t="s">
        <v>1987</v>
      </c>
      <c r="BM276" t="b">
        <f t="shared" si="245"/>
        <v>1</v>
      </c>
      <c r="BN276" t="str">
        <f t="shared" si="231"/>
        <v>R771</v>
      </c>
      <c r="BO276" t="str">
        <f>U275</f>
        <v>R771</v>
      </c>
      <c r="BP276" t="str">
        <f t="shared" si="232"/>
        <v>R618</v>
      </c>
      <c r="BQ276" t="str">
        <f t="shared" si="233"/>
        <v>R618</v>
      </c>
      <c r="BR276" t="s">
        <v>368</v>
      </c>
      <c r="BS276" t="s">
        <v>367</v>
      </c>
      <c r="BT276" t="s">
        <v>368</v>
      </c>
      <c r="BU276" t="b">
        <f t="shared" si="246"/>
        <v>1</v>
      </c>
      <c r="BZ276" t="str">
        <f t="shared" si="234"/>
        <v>G848</v>
      </c>
      <c r="CA276" t="b">
        <f t="shared" si="235"/>
        <v>0</v>
      </c>
      <c r="CB276" t="str">
        <f t="shared" si="247"/>
        <v>G848</v>
      </c>
      <c r="CC276" t="str">
        <f t="shared" si="236"/>
        <v>R618</v>
      </c>
      <c r="CD276" t="b">
        <f t="shared" si="248"/>
        <v>0</v>
      </c>
      <c r="CE276" t="str">
        <f t="shared" si="249"/>
        <v>R618</v>
      </c>
      <c r="CG276" t="str">
        <f t="shared" si="237"/>
        <v>G715</v>
      </c>
      <c r="CH276" t="str">
        <f t="shared" si="250"/>
        <v>G715</v>
      </c>
      <c r="CI276" t="str">
        <f>AE275</f>
        <v>G599</v>
      </c>
      <c r="CJ276" t="str">
        <f t="shared" si="238"/>
        <v>G599</v>
      </c>
      <c r="CK276" t="s">
        <v>1335</v>
      </c>
      <c r="CL276" t="s">
        <v>1335</v>
      </c>
      <c r="CM276" t="s">
        <v>1335</v>
      </c>
      <c r="CN276" t="b">
        <f t="shared" si="251"/>
        <v>1</v>
      </c>
      <c r="CO276" t="str">
        <f t="shared" si="239"/>
        <v>R485</v>
      </c>
      <c r="CP276" t="str">
        <f t="shared" si="252"/>
        <v>R485</v>
      </c>
      <c r="CQ276" t="str">
        <f>AF275</f>
        <v>R312</v>
      </c>
      <c r="CR276" t="str">
        <f t="shared" si="240"/>
        <v>R312</v>
      </c>
      <c r="CS276" t="s">
        <v>656</v>
      </c>
      <c r="CT276" t="s">
        <v>656</v>
      </c>
      <c r="CU276" t="s">
        <v>656</v>
      </c>
      <c r="CV276" t="b">
        <f t="shared" si="253"/>
        <v>1</v>
      </c>
      <c r="DC276" t="str">
        <f t="shared" si="241"/>
        <v>G599</v>
      </c>
      <c r="DD276" t="b">
        <f t="shared" si="254"/>
        <v>0</v>
      </c>
      <c r="DE276" t="str">
        <f t="shared" si="255"/>
        <v>G599</v>
      </c>
      <c r="DF276" t="str">
        <f t="shared" si="242"/>
        <v>R312</v>
      </c>
      <c r="DG276" t="b">
        <f t="shared" si="256"/>
        <v>0</v>
      </c>
      <c r="DH276" t="str">
        <f t="shared" si="257"/>
        <v>R312</v>
      </c>
    </row>
    <row r="277" spans="2:112" ht="12" customHeight="1">
      <c r="B277" t="str">
        <f>TBIDry!H349</f>
        <v/>
      </c>
      <c r="C277" t="str">
        <f>TBIDry!I349</f>
        <v/>
      </c>
      <c r="D277" t="b">
        <f t="shared" si="209"/>
        <v>1</v>
      </c>
      <c r="E277" t="b">
        <f t="shared" si="210"/>
        <v>1</v>
      </c>
      <c r="G277" t="str">
        <f>TBIWet!H349</f>
        <v>G288</v>
      </c>
      <c r="H277" t="str">
        <f>TBIWet!I349</f>
        <v>R441</v>
      </c>
      <c r="I277" t="b">
        <f t="shared" si="211"/>
        <v>0</v>
      </c>
      <c r="J277" t="b">
        <f t="shared" si="212"/>
        <v>0</v>
      </c>
      <c r="L277" t="str">
        <f>'Both teabags AfterWet'!A275</f>
        <v>G718</v>
      </c>
      <c r="M277" t="str">
        <f>'Both teabags AfterWet'!A695</f>
        <v>R487</v>
      </c>
      <c r="N277" t="b">
        <f t="shared" si="213"/>
        <v>0</v>
      </c>
      <c r="O277" t="b">
        <f t="shared" si="258"/>
        <v>0</v>
      </c>
      <c r="Q277" s="395" t="b">
        <f t="shared" si="214"/>
        <v>0</v>
      </c>
      <c r="R277" s="395" t="b">
        <f t="shared" si="215"/>
        <v>0</v>
      </c>
      <c r="T277" t="str">
        <f>'Both teabags AfterDry'!A275</f>
        <v>G64</v>
      </c>
      <c r="U277" t="str">
        <f>'Both teabags AfterDry'!A610</f>
        <v>R773</v>
      </c>
      <c r="V277" t="b">
        <f t="shared" si="216"/>
        <v>0</v>
      </c>
      <c r="W277" t="b">
        <f t="shared" si="243"/>
        <v>0</v>
      </c>
      <c r="Y277" t="str">
        <f>'Green_rooibos initial weight'!A278</f>
        <v>G274</v>
      </c>
      <c r="Z277" t="str">
        <f>'Green_rooibos initial weight'!A1182</f>
        <v>R274</v>
      </c>
      <c r="AA277" t="b">
        <f t="shared" si="217"/>
        <v>0</v>
      </c>
      <c r="AB277" t="b">
        <f t="shared" si="218"/>
        <v>0</v>
      </c>
      <c r="AE277" t="str">
        <f>'WetLitterbags placem_collection'!O56</f>
        <v>G288</v>
      </c>
      <c r="AF277" t="str">
        <f>'WetLitterbags placem_collection'!Q56</f>
        <v>R441</v>
      </c>
      <c r="AG277" t="b">
        <f t="shared" si="219"/>
        <v>0</v>
      </c>
      <c r="AH277" t="b">
        <f t="shared" si="220"/>
        <v>0</v>
      </c>
      <c r="AJ277" t="b">
        <f t="shared" si="221"/>
        <v>0</v>
      </c>
      <c r="AK277" t="b">
        <f t="shared" si="222"/>
        <v>0</v>
      </c>
      <c r="AM277" t="str">
        <f>IF(ISBLANK('Dry_Litterbag Placem_Collection'!L56),"","G"&amp;""&amp;'Dry_Litterbag Placem_Collection'!L56)</f>
        <v/>
      </c>
      <c r="AN277" t="str">
        <f>IF(ISBLANK('Dry_Litterbag Placem_Collection'!M56),"","R"&amp;""&amp;'Dry_Litterbag Placem_Collection'!M56)</f>
        <v/>
      </c>
      <c r="AO277" t="b">
        <f t="shared" si="223"/>
        <v>1</v>
      </c>
      <c r="AP277" t="b">
        <f t="shared" si="224"/>
        <v>1</v>
      </c>
      <c r="AS277" t="str">
        <f>'Ashed teabags dry'!A275</f>
        <v>G64</v>
      </c>
      <c r="AT277" t="str">
        <f>'Ashed teabags dry'!A610</f>
        <v>R773</v>
      </c>
      <c r="AU277" t="b">
        <f t="shared" si="225"/>
        <v>0</v>
      </c>
      <c r="AV277" t="b">
        <f>COUNTIF($AT$4:$AT$2000, AT277)&gt;1</f>
        <v>0</v>
      </c>
      <c r="AX277" s="395" t="b">
        <f t="shared" si="226"/>
        <v>0</v>
      </c>
      <c r="AY277" s="395" t="b">
        <f t="shared" si="227"/>
        <v>0</v>
      </c>
      <c r="BA277" t="str">
        <f>'Ashed teabags wet'!A275</f>
        <v>G718</v>
      </c>
      <c r="BB277" t="str">
        <f>'Ashed teabags wet'!A695</f>
        <v>R487</v>
      </c>
      <c r="BC277" t="b">
        <f t="shared" si="228"/>
        <v>0</v>
      </c>
      <c r="BD277" t="b">
        <f t="shared" si="208"/>
        <v>0</v>
      </c>
      <c r="BF277" t="str">
        <f t="shared" si="229"/>
        <v>G630</v>
      </c>
      <c r="BG277" t="str">
        <f>T276</f>
        <v>G630</v>
      </c>
      <c r="BH277" t="str">
        <f t="shared" si="230"/>
        <v>G759</v>
      </c>
      <c r="BI277" t="str">
        <f t="shared" si="244"/>
        <v>G759</v>
      </c>
      <c r="BJ277" t="s">
        <v>1420</v>
      </c>
      <c r="BK277" t="s">
        <v>1420</v>
      </c>
      <c r="BL277" t="s">
        <v>1420</v>
      </c>
      <c r="BM277" t="b">
        <f t="shared" si="245"/>
        <v>1</v>
      </c>
      <c r="BN277" t="str">
        <f t="shared" si="231"/>
        <v>R772</v>
      </c>
      <c r="BO277" t="str">
        <f>U276</f>
        <v>R772</v>
      </c>
      <c r="BP277" t="str">
        <f t="shared" si="232"/>
        <v>R140</v>
      </c>
      <c r="BQ277" t="str">
        <f t="shared" si="233"/>
        <v>R140</v>
      </c>
      <c r="BR277" t="s">
        <v>367</v>
      </c>
      <c r="BS277" t="s">
        <v>366</v>
      </c>
      <c r="BT277" t="s">
        <v>367</v>
      </c>
      <c r="BU277" t="b">
        <f t="shared" si="246"/>
        <v>1</v>
      </c>
      <c r="BZ277" t="str">
        <f t="shared" si="234"/>
        <v>G759</v>
      </c>
      <c r="CA277" t="b">
        <f t="shared" si="235"/>
        <v>0</v>
      </c>
      <c r="CB277" t="str">
        <f t="shared" si="247"/>
        <v>G759</v>
      </c>
      <c r="CC277" t="str">
        <f t="shared" si="236"/>
        <v>R140</v>
      </c>
      <c r="CD277" t="b">
        <f t="shared" si="248"/>
        <v>0</v>
      </c>
      <c r="CE277" t="str">
        <f t="shared" si="249"/>
        <v>R140</v>
      </c>
      <c r="CG277" t="str">
        <f t="shared" si="237"/>
        <v>G716</v>
      </c>
      <c r="CH277" t="str">
        <f t="shared" si="250"/>
        <v>G716</v>
      </c>
      <c r="CI277" t="str">
        <f>AE276</f>
        <v>G683</v>
      </c>
      <c r="CJ277" t="str">
        <f t="shared" si="238"/>
        <v/>
      </c>
      <c r="CK277" t="s">
        <v>1334</v>
      </c>
      <c r="CL277" t="s">
        <v>1334</v>
      </c>
      <c r="CM277" t="s">
        <v>1334</v>
      </c>
      <c r="CN277" t="b">
        <f t="shared" si="251"/>
        <v>1</v>
      </c>
      <c r="CO277" t="str">
        <f t="shared" si="239"/>
        <v>R486</v>
      </c>
      <c r="CP277" t="str">
        <f t="shared" si="252"/>
        <v>R486</v>
      </c>
      <c r="CQ277" t="str">
        <f>AF276</f>
        <v>R113</v>
      </c>
      <c r="CR277" t="str">
        <f t="shared" si="240"/>
        <v/>
      </c>
      <c r="CS277" t="s">
        <v>655</v>
      </c>
      <c r="CT277" t="s">
        <v>655</v>
      </c>
      <c r="CU277" t="s">
        <v>655</v>
      </c>
      <c r="CV277" t="b">
        <f t="shared" si="253"/>
        <v>1</v>
      </c>
      <c r="DC277" t="str">
        <f t="shared" si="241"/>
        <v>G683</v>
      </c>
      <c r="DD277" t="b">
        <f t="shared" si="254"/>
        <v>1</v>
      </c>
      <c r="DE277" t="str">
        <f t="shared" si="255"/>
        <v/>
      </c>
      <c r="DF277" t="str">
        <f t="shared" si="242"/>
        <v>R113</v>
      </c>
      <c r="DG277" t="b">
        <f t="shared" si="256"/>
        <v>1</v>
      </c>
      <c r="DH277" t="str">
        <f t="shared" si="257"/>
        <v/>
      </c>
    </row>
    <row r="278" spans="2:112" ht="12" customHeight="1">
      <c r="B278" t="str">
        <f>TBIDry!H350</f>
        <v>G260</v>
      </c>
      <c r="C278" t="str">
        <f>TBIDry!I350</f>
        <v>R192</v>
      </c>
      <c r="D278" t="b">
        <f t="shared" si="209"/>
        <v>0</v>
      </c>
      <c r="E278" t="b">
        <f t="shared" si="210"/>
        <v>0</v>
      </c>
      <c r="G278" t="str">
        <f>TBIWet!H350</f>
        <v>G616</v>
      </c>
      <c r="H278" t="str">
        <f>TBIWet!I350</f>
        <v>R53</v>
      </c>
      <c r="I278" t="b">
        <f t="shared" si="211"/>
        <v>0</v>
      </c>
      <c r="J278" t="b">
        <f t="shared" si="212"/>
        <v>0</v>
      </c>
      <c r="L278" t="str">
        <f>'Both teabags AfterWet'!A276</f>
        <v>G720</v>
      </c>
      <c r="M278" t="str">
        <f>'Both teabags AfterWet'!A696</f>
        <v>R488</v>
      </c>
      <c r="N278" t="b">
        <f t="shared" si="213"/>
        <v>0</v>
      </c>
      <c r="O278" t="b">
        <f t="shared" si="258"/>
        <v>0</v>
      </c>
      <c r="Q278" s="395" t="b">
        <f t="shared" si="214"/>
        <v>0</v>
      </c>
      <c r="R278" s="395" t="b">
        <f t="shared" si="215"/>
        <v>0</v>
      </c>
      <c r="T278" t="str">
        <f>'Both teabags AfterDry'!A276</f>
        <v>G646</v>
      </c>
      <c r="U278" t="str">
        <f>'Both teabags AfterDry'!A611</f>
        <v>R774</v>
      </c>
      <c r="V278" t="b">
        <f t="shared" si="216"/>
        <v>0</v>
      </c>
      <c r="W278" t="b">
        <f t="shared" si="243"/>
        <v>0</v>
      </c>
      <c r="Y278" t="str">
        <f>'Green_rooibos initial weight'!A279</f>
        <v>G275</v>
      </c>
      <c r="Z278" t="str">
        <f>'Green_rooibos initial weight'!A1183</f>
        <v>R275</v>
      </c>
      <c r="AA278" t="b">
        <f t="shared" si="217"/>
        <v>0</v>
      </c>
      <c r="AB278" t="b">
        <f t="shared" si="218"/>
        <v>0</v>
      </c>
      <c r="AE278" t="str">
        <f>'WetLitterbags placem_collection'!O57</f>
        <v>G616</v>
      </c>
      <c r="AF278" t="str">
        <f>'WetLitterbags placem_collection'!Q57</f>
        <v>R53</v>
      </c>
      <c r="AG278" t="b">
        <f t="shared" si="219"/>
        <v>0</v>
      </c>
      <c r="AH278" t="b">
        <f t="shared" si="220"/>
        <v>0</v>
      </c>
      <c r="AJ278" t="b">
        <f t="shared" si="221"/>
        <v>0</v>
      </c>
      <c r="AK278" t="b">
        <f t="shared" si="222"/>
        <v>0</v>
      </c>
      <c r="AM278" t="str">
        <f>IF(ISBLANK('Dry_Litterbag Placem_Collection'!L57),"","G"&amp;""&amp;'Dry_Litterbag Placem_Collection'!L57)</f>
        <v>G260</v>
      </c>
      <c r="AN278" t="str">
        <f>IF(ISBLANK('Dry_Litterbag Placem_Collection'!M57),"","R"&amp;""&amp;'Dry_Litterbag Placem_Collection'!M57)</f>
        <v>R192</v>
      </c>
      <c r="AO278" t="b">
        <f t="shared" si="223"/>
        <v>0</v>
      </c>
      <c r="AP278" t="b">
        <f t="shared" si="224"/>
        <v>0</v>
      </c>
      <c r="AS278" t="str">
        <f>'Ashed teabags dry'!A276</f>
        <v>G646</v>
      </c>
      <c r="AT278" t="str">
        <f>'Ashed teabags dry'!A611</f>
        <v>R774</v>
      </c>
      <c r="AU278" t="b">
        <f t="shared" si="225"/>
        <v>0</v>
      </c>
      <c r="AV278" t="b">
        <f>COUNTIF($AT$4:$AT$2000, AT278)&gt;1</f>
        <v>0</v>
      </c>
      <c r="AX278" s="395" t="b">
        <f t="shared" si="226"/>
        <v>0</v>
      </c>
      <c r="AY278" s="395" t="b">
        <f t="shared" si="227"/>
        <v>0</v>
      </c>
      <c r="BA278" t="str">
        <f>'Ashed teabags wet'!A276</f>
        <v>G720</v>
      </c>
      <c r="BB278" t="str">
        <f>'Ashed teabags wet'!A696</f>
        <v>R488</v>
      </c>
      <c r="BC278" t="b">
        <f t="shared" si="228"/>
        <v>0</v>
      </c>
      <c r="BD278" t="b">
        <f t="shared" si="208"/>
        <v>0</v>
      </c>
      <c r="BF278" t="str">
        <f t="shared" si="229"/>
        <v>G64</v>
      </c>
      <c r="BG278" t="str">
        <f>T277</f>
        <v>G64</v>
      </c>
      <c r="BH278" t="str">
        <f t="shared" si="230"/>
        <v/>
      </c>
      <c r="BI278" t="str">
        <f t="shared" si="244"/>
        <v/>
      </c>
      <c r="BJ278" t="s">
        <v>1986</v>
      </c>
      <c r="BK278" t="s">
        <v>1986</v>
      </c>
      <c r="BL278" t="s">
        <v>1986</v>
      </c>
      <c r="BM278" t="b">
        <f t="shared" si="245"/>
        <v>1</v>
      </c>
      <c r="BN278" t="str">
        <f t="shared" si="231"/>
        <v>R773</v>
      </c>
      <c r="BO278" t="str">
        <f>U277</f>
        <v>R773</v>
      </c>
      <c r="BP278" t="str">
        <f t="shared" si="232"/>
        <v/>
      </c>
      <c r="BQ278" t="str">
        <f t="shared" si="233"/>
        <v/>
      </c>
      <c r="BR278" t="s">
        <v>366</v>
      </c>
      <c r="BS278" t="s">
        <v>365</v>
      </c>
      <c r="BT278" t="s">
        <v>366</v>
      </c>
      <c r="BU278" t="b">
        <f t="shared" si="246"/>
        <v>1</v>
      </c>
      <c r="BZ278" t="str">
        <f t="shared" si="234"/>
        <v/>
      </c>
      <c r="CA278" t="b">
        <f t="shared" si="235"/>
        <v>0</v>
      </c>
      <c r="CB278" t="str">
        <f t="shared" si="247"/>
        <v/>
      </c>
      <c r="CC278" t="str">
        <f t="shared" si="236"/>
        <v/>
      </c>
      <c r="CD278" t="b">
        <f t="shared" si="248"/>
        <v>0</v>
      </c>
      <c r="CE278" t="str">
        <f t="shared" si="249"/>
        <v/>
      </c>
      <c r="CG278" t="str">
        <f t="shared" si="237"/>
        <v>G718</v>
      </c>
      <c r="CH278" t="str">
        <f t="shared" si="250"/>
        <v>G718</v>
      </c>
      <c r="CI278" t="str">
        <f>AE277</f>
        <v>G288</v>
      </c>
      <c r="CJ278" t="str">
        <f t="shared" si="238"/>
        <v/>
      </c>
      <c r="CK278" t="s">
        <v>1332</v>
      </c>
      <c r="CL278" t="s">
        <v>1332</v>
      </c>
      <c r="CM278" t="s">
        <v>1332</v>
      </c>
      <c r="CN278" t="b">
        <f t="shared" si="251"/>
        <v>1</v>
      </c>
      <c r="CO278" t="str">
        <f t="shared" si="239"/>
        <v>R487</v>
      </c>
      <c r="CP278" t="str">
        <f t="shared" si="252"/>
        <v>R487</v>
      </c>
      <c r="CQ278" t="str">
        <f>AF277</f>
        <v>R441</v>
      </c>
      <c r="CR278" t="str">
        <f t="shared" si="240"/>
        <v/>
      </c>
      <c r="CS278" t="s">
        <v>654</v>
      </c>
      <c r="CT278" t="s">
        <v>654</v>
      </c>
      <c r="CU278" t="s">
        <v>654</v>
      </c>
      <c r="CV278" t="b">
        <f t="shared" si="253"/>
        <v>1</v>
      </c>
      <c r="DC278" t="str">
        <f t="shared" si="241"/>
        <v>G288</v>
      </c>
      <c r="DD278" t="b">
        <f t="shared" si="254"/>
        <v>1</v>
      </c>
      <c r="DE278" t="str">
        <f t="shared" si="255"/>
        <v/>
      </c>
      <c r="DF278" t="str">
        <f t="shared" si="242"/>
        <v>R441</v>
      </c>
      <c r="DG278" t="b">
        <f t="shared" si="256"/>
        <v>1</v>
      </c>
      <c r="DH278" t="str">
        <f t="shared" si="257"/>
        <v/>
      </c>
    </row>
    <row r="279" spans="2:112" ht="12" customHeight="1">
      <c r="B279" t="str">
        <f>TBIDry!H351</f>
        <v>G493</v>
      </c>
      <c r="C279" t="str">
        <f>TBIDry!I351</f>
        <v>R227</v>
      </c>
      <c r="D279" t="b">
        <f t="shared" si="209"/>
        <v>0</v>
      </c>
      <c r="E279" t="b">
        <f t="shared" si="210"/>
        <v>0</v>
      </c>
      <c r="G279" t="str">
        <f>TBIWet!H351</f>
        <v>G557</v>
      </c>
      <c r="H279" t="str">
        <f>TBIWet!I351</f>
        <v>R58</v>
      </c>
      <c r="I279" t="b">
        <f t="shared" si="211"/>
        <v>0</v>
      </c>
      <c r="J279" t="b">
        <f t="shared" si="212"/>
        <v>0</v>
      </c>
      <c r="L279" t="str">
        <f>'Both teabags AfterWet'!A277</f>
        <v>G721</v>
      </c>
      <c r="M279" t="str">
        <f>'Both teabags AfterWet'!A697</f>
        <v>R489</v>
      </c>
      <c r="N279" t="b">
        <f t="shared" si="213"/>
        <v>0</v>
      </c>
      <c r="O279" t="b">
        <f t="shared" si="258"/>
        <v>0</v>
      </c>
      <c r="Q279" s="395" t="b">
        <f t="shared" si="214"/>
        <v>0</v>
      </c>
      <c r="R279" s="395" t="b">
        <f t="shared" si="215"/>
        <v>0</v>
      </c>
      <c r="T279" t="str">
        <f>'Both teabags AfterDry'!A277</f>
        <v>G65</v>
      </c>
      <c r="U279" t="str">
        <f>'Both teabags AfterDry'!A612</f>
        <v>R776</v>
      </c>
      <c r="V279" t="b">
        <f t="shared" si="216"/>
        <v>0</v>
      </c>
      <c r="W279" t="b">
        <f t="shared" si="243"/>
        <v>0</v>
      </c>
      <c r="Y279" t="str">
        <f>'Green_rooibos initial weight'!A280</f>
        <v>G276</v>
      </c>
      <c r="Z279" t="str">
        <f>'Green_rooibos initial weight'!A1184</f>
        <v>R276</v>
      </c>
      <c r="AA279" t="b">
        <f t="shared" si="217"/>
        <v>0</v>
      </c>
      <c r="AB279" t="b">
        <f t="shared" si="218"/>
        <v>0</v>
      </c>
      <c r="AE279" t="str">
        <f>'WetLitterbags placem_collection'!O58</f>
        <v>G557</v>
      </c>
      <c r="AF279" t="str">
        <f>'WetLitterbags placem_collection'!Q58</f>
        <v>R58</v>
      </c>
      <c r="AG279" t="b">
        <f t="shared" si="219"/>
        <v>0</v>
      </c>
      <c r="AH279" t="b">
        <f t="shared" si="220"/>
        <v>0</v>
      </c>
      <c r="AJ279" t="b">
        <f t="shared" si="221"/>
        <v>0</v>
      </c>
      <c r="AK279" t="b">
        <f t="shared" si="222"/>
        <v>0</v>
      </c>
      <c r="AM279" t="str">
        <f>IF(ISBLANK('Dry_Litterbag Placem_Collection'!L58),"","G"&amp;""&amp;'Dry_Litterbag Placem_Collection'!L58)</f>
        <v>G493</v>
      </c>
      <c r="AN279" t="str">
        <f>IF(ISBLANK('Dry_Litterbag Placem_Collection'!M58),"","R"&amp;""&amp;'Dry_Litterbag Placem_Collection'!M58)</f>
        <v>R227</v>
      </c>
      <c r="AO279" t="b">
        <f t="shared" si="223"/>
        <v>0</v>
      </c>
      <c r="AP279" t="b">
        <f t="shared" si="224"/>
        <v>0</v>
      </c>
      <c r="AS279" t="str">
        <f>'Ashed teabags dry'!A277</f>
        <v>G65</v>
      </c>
      <c r="AT279" t="str">
        <f>'Ashed teabags dry'!A612</f>
        <v>R776</v>
      </c>
      <c r="AU279" t="b">
        <f t="shared" si="225"/>
        <v>0</v>
      </c>
      <c r="AV279" t="b">
        <f>COUNTIF($AT$4:$AT$2000, AT279)&gt;1</f>
        <v>0</v>
      </c>
      <c r="AX279" s="395" t="b">
        <f t="shared" si="226"/>
        <v>0</v>
      </c>
      <c r="AY279" s="395" t="b">
        <f t="shared" si="227"/>
        <v>0</v>
      </c>
      <c r="BA279" t="str">
        <f>'Ashed teabags wet'!A277</f>
        <v>G721</v>
      </c>
      <c r="BB279" t="str">
        <f>'Ashed teabags wet'!A697</f>
        <v>R489</v>
      </c>
      <c r="BC279" t="b">
        <f t="shared" si="228"/>
        <v>0</v>
      </c>
      <c r="BD279" t="b">
        <f t="shared" si="208"/>
        <v>0</v>
      </c>
      <c r="BF279" t="str">
        <f t="shared" si="229"/>
        <v>G646</v>
      </c>
      <c r="BG279" t="str">
        <f>T278</f>
        <v>G646</v>
      </c>
      <c r="BH279" t="str">
        <f t="shared" si="230"/>
        <v>G260</v>
      </c>
      <c r="BI279" t="str">
        <f t="shared" si="244"/>
        <v>G260</v>
      </c>
      <c r="BJ279" t="s">
        <v>1404</v>
      </c>
      <c r="BK279" t="s">
        <v>1404</v>
      </c>
      <c r="BL279" t="s">
        <v>1404</v>
      </c>
      <c r="BM279" t="b">
        <f t="shared" si="245"/>
        <v>1</v>
      </c>
      <c r="BN279" t="str">
        <f t="shared" si="231"/>
        <v>R774</v>
      </c>
      <c r="BO279" t="str">
        <f>U278</f>
        <v>R774</v>
      </c>
      <c r="BP279" t="str">
        <f t="shared" si="232"/>
        <v>R192</v>
      </c>
      <c r="BQ279" t="str">
        <f t="shared" si="233"/>
        <v>R192</v>
      </c>
      <c r="BR279" t="s">
        <v>365</v>
      </c>
      <c r="BS279" t="s">
        <v>363</v>
      </c>
      <c r="BT279" t="s">
        <v>365</v>
      </c>
      <c r="BU279" t="b">
        <f t="shared" si="246"/>
        <v>1</v>
      </c>
      <c r="BZ279" t="str">
        <f t="shared" si="234"/>
        <v>G260</v>
      </c>
      <c r="CA279" t="b">
        <f t="shared" si="235"/>
        <v>0</v>
      </c>
      <c r="CB279" t="str">
        <f t="shared" si="247"/>
        <v>G260</v>
      </c>
      <c r="CC279" t="str">
        <f t="shared" si="236"/>
        <v>R192</v>
      </c>
      <c r="CD279" t="b">
        <f t="shared" si="248"/>
        <v>0</v>
      </c>
      <c r="CE279" t="str">
        <f t="shared" si="249"/>
        <v>R192</v>
      </c>
      <c r="CG279" t="str">
        <f t="shared" si="237"/>
        <v>G720</v>
      </c>
      <c r="CH279" t="str">
        <f t="shared" si="250"/>
        <v>G720</v>
      </c>
      <c r="CI279" t="str">
        <f>AE278</f>
        <v>G616</v>
      </c>
      <c r="CJ279" t="str">
        <f t="shared" si="238"/>
        <v>G616</v>
      </c>
      <c r="CK279" t="s">
        <v>1330</v>
      </c>
      <c r="CL279" t="s">
        <v>1330</v>
      </c>
      <c r="CM279" t="s">
        <v>1330</v>
      </c>
      <c r="CN279" t="b">
        <f t="shared" si="251"/>
        <v>1</v>
      </c>
      <c r="CO279" t="str">
        <f t="shared" si="239"/>
        <v>R488</v>
      </c>
      <c r="CP279" t="str">
        <f t="shared" si="252"/>
        <v>R488</v>
      </c>
      <c r="CQ279" t="str">
        <f>AF278</f>
        <v>R53</v>
      </c>
      <c r="CR279" t="str">
        <f t="shared" si="240"/>
        <v>R53</v>
      </c>
      <c r="CS279" t="s">
        <v>653</v>
      </c>
      <c r="CT279" t="s">
        <v>653</v>
      </c>
      <c r="CU279" t="s">
        <v>653</v>
      </c>
      <c r="CV279" t="b">
        <f t="shared" si="253"/>
        <v>1</v>
      </c>
      <c r="DC279" t="str">
        <f t="shared" si="241"/>
        <v>G616</v>
      </c>
      <c r="DD279" t="b">
        <f t="shared" si="254"/>
        <v>0</v>
      </c>
      <c r="DE279" t="str">
        <f t="shared" si="255"/>
        <v>G616</v>
      </c>
      <c r="DF279" t="str">
        <f t="shared" si="242"/>
        <v>R53</v>
      </c>
      <c r="DG279" t="b">
        <f t="shared" si="256"/>
        <v>0</v>
      </c>
      <c r="DH279" t="str">
        <f t="shared" si="257"/>
        <v>R53</v>
      </c>
    </row>
    <row r="280" spans="2:112" ht="12" customHeight="1">
      <c r="B280" t="str">
        <f>TBIDry!H352</f>
        <v>G342</v>
      </c>
      <c r="C280" t="str">
        <f>TBIDry!I352</f>
        <v>R416</v>
      </c>
      <c r="D280" t="b">
        <f t="shared" si="209"/>
        <v>0</v>
      </c>
      <c r="E280" t="b">
        <f t="shared" si="210"/>
        <v>0</v>
      </c>
      <c r="G280" t="str">
        <f>TBIWet!H352</f>
        <v>G618</v>
      </c>
      <c r="H280" t="str">
        <f>TBIWet!I352</f>
        <v>R435</v>
      </c>
      <c r="I280" t="b">
        <f t="shared" si="211"/>
        <v>0</v>
      </c>
      <c r="J280" t="b">
        <f t="shared" si="212"/>
        <v>0</v>
      </c>
      <c r="L280" t="str">
        <f>'Both teabags AfterWet'!A278</f>
        <v>G723</v>
      </c>
      <c r="M280" t="str">
        <f>'Both teabags AfterWet'!A698</f>
        <v>R49</v>
      </c>
      <c r="N280" t="b">
        <f t="shared" si="213"/>
        <v>0</v>
      </c>
      <c r="O280" t="b">
        <f t="shared" si="258"/>
        <v>0</v>
      </c>
      <c r="Q280" s="395" t="b">
        <f t="shared" si="214"/>
        <v>0</v>
      </c>
      <c r="R280" s="395" t="b">
        <f t="shared" si="215"/>
        <v>0</v>
      </c>
      <c r="T280" t="str">
        <f>'Both teabags AfterDry'!A278</f>
        <v>G650</v>
      </c>
      <c r="U280" t="str">
        <f>'Both teabags AfterDry'!A613</f>
        <v>R777</v>
      </c>
      <c r="V280" t="b">
        <f t="shared" si="216"/>
        <v>0</v>
      </c>
      <c r="W280" t="b">
        <f t="shared" si="243"/>
        <v>0</v>
      </c>
      <c r="Y280" t="str">
        <f>'Green_rooibos initial weight'!A281</f>
        <v>G277</v>
      </c>
      <c r="Z280" t="str">
        <f>'Green_rooibos initial weight'!A1185</f>
        <v>R277</v>
      </c>
      <c r="AA280" t="b">
        <f t="shared" si="217"/>
        <v>0</v>
      </c>
      <c r="AB280" t="b">
        <f t="shared" si="218"/>
        <v>0</v>
      </c>
      <c r="AE280" t="str">
        <f>'WetLitterbags placem_collection'!O59</f>
        <v>G618</v>
      </c>
      <c r="AF280" t="str">
        <f>'WetLitterbags placem_collection'!Q59</f>
        <v>R435</v>
      </c>
      <c r="AG280" t="b">
        <f t="shared" si="219"/>
        <v>0</v>
      </c>
      <c r="AH280" t="b">
        <f t="shared" si="220"/>
        <v>0</v>
      </c>
      <c r="AJ280" t="b">
        <f t="shared" si="221"/>
        <v>0</v>
      </c>
      <c r="AK280" t="b">
        <f t="shared" si="222"/>
        <v>0</v>
      </c>
      <c r="AM280" t="str">
        <f>IF(ISBLANK('Dry_Litterbag Placem_Collection'!L59),"","G"&amp;""&amp;'Dry_Litterbag Placem_Collection'!L59)</f>
        <v>G342</v>
      </c>
      <c r="AN280" t="str">
        <f>IF(ISBLANK('Dry_Litterbag Placem_Collection'!M59),"","R"&amp;""&amp;'Dry_Litterbag Placem_Collection'!M59)</f>
        <v>R416</v>
      </c>
      <c r="AO280" t="b">
        <f t="shared" si="223"/>
        <v>0</v>
      </c>
      <c r="AP280" t="b">
        <f t="shared" si="224"/>
        <v>0</v>
      </c>
      <c r="AS280" t="str">
        <f>'Ashed teabags dry'!A278</f>
        <v>G650</v>
      </c>
      <c r="AT280" t="str">
        <f>'Ashed teabags dry'!A613</f>
        <v>R777</v>
      </c>
      <c r="AU280" t="b">
        <f t="shared" si="225"/>
        <v>0</v>
      </c>
      <c r="AV280" t="b">
        <f>COUNTIF($AT$4:$AT$2000, AT280)&gt;1</f>
        <v>0</v>
      </c>
      <c r="AX280" s="395" t="b">
        <f t="shared" si="226"/>
        <v>0</v>
      </c>
      <c r="AY280" s="395" t="b">
        <f t="shared" si="227"/>
        <v>0</v>
      </c>
      <c r="BA280" t="str">
        <f>'Ashed teabags wet'!A278</f>
        <v>G723</v>
      </c>
      <c r="BB280" t="str">
        <f>'Ashed teabags wet'!A698</f>
        <v>R49</v>
      </c>
      <c r="BC280" t="b">
        <f t="shared" si="228"/>
        <v>0</v>
      </c>
      <c r="BD280" t="b">
        <f t="shared" si="208"/>
        <v>0</v>
      </c>
      <c r="BF280" t="str">
        <f t="shared" si="229"/>
        <v>G65</v>
      </c>
      <c r="BG280" t="str">
        <f>T279</f>
        <v>G65</v>
      </c>
      <c r="BH280" t="str">
        <f t="shared" si="230"/>
        <v>G493</v>
      </c>
      <c r="BI280" t="str">
        <f t="shared" si="244"/>
        <v>G493</v>
      </c>
      <c r="BJ280" t="s">
        <v>1985</v>
      </c>
      <c r="BK280" t="s">
        <v>1985</v>
      </c>
      <c r="BL280" t="s">
        <v>1985</v>
      </c>
      <c r="BM280" t="b">
        <f t="shared" si="245"/>
        <v>1</v>
      </c>
      <c r="BN280" t="str">
        <f t="shared" si="231"/>
        <v>R776</v>
      </c>
      <c r="BO280" t="str">
        <f>U279</f>
        <v>R776</v>
      </c>
      <c r="BP280" t="str">
        <f t="shared" si="232"/>
        <v>R227</v>
      </c>
      <c r="BQ280" t="str">
        <f t="shared" si="233"/>
        <v>R227</v>
      </c>
      <c r="BR280" t="s">
        <v>363</v>
      </c>
      <c r="BS280" t="s">
        <v>362</v>
      </c>
      <c r="BT280" t="s">
        <v>363</v>
      </c>
      <c r="BU280" t="b">
        <f t="shared" si="246"/>
        <v>1</v>
      </c>
      <c r="BZ280" t="str">
        <f t="shared" si="234"/>
        <v>G493</v>
      </c>
      <c r="CA280" t="b">
        <f t="shared" si="235"/>
        <v>0</v>
      </c>
      <c r="CB280" t="str">
        <f t="shared" si="247"/>
        <v>G493</v>
      </c>
      <c r="CC280" t="str">
        <f t="shared" si="236"/>
        <v>R227</v>
      </c>
      <c r="CD280" t="b">
        <f t="shared" si="248"/>
        <v>0</v>
      </c>
      <c r="CE280" t="str">
        <f t="shared" si="249"/>
        <v>R227</v>
      </c>
      <c r="CG280" t="str">
        <f t="shared" si="237"/>
        <v>G721</v>
      </c>
      <c r="CH280" t="str">
        <f t="shared" si="250"/>
        <v>G721</v>
      </c>
      <c r="CI280" t="str">
        <f>AE279</f>
        <v>G557</v>
      </c>
      <c r="CJ280" t="str">
        <f t="shared" si="238"/>
        <v>G557</v>
      </c>
      <c r="CK280" t="s">
        <v>1329</v>
      </c>
      <c r="CL280" t="s">
        <v>1329</v>
      </c>
      <c r="CM280" t="s">
        <v>1329</v>
      </c>
      <c r="CN280" t="b">
        <f t="shared" si="251"/>
        <v>1</v>
      </c>
      <c r="CO280" t="str">
        <f t="shared" si="239"/>
        <v>R489</v>
      </c>
      <c r="CP280" t="str">
        <f t="shared" si="252"/>
        <v>R489</v>
      </c>
      <c r="CQ280" t="str">
        <f>AF279</f>
        <v>R58</v>
      </c>
      <c r="CR280" t="str">
        <f t="shared" si="240"/>
        <v>R58</v>
      </c>
      <c r="CS280" t="s">
        <v>652</v>
      </c>
      <c r="CT280" t="s">
        <v>652</v>
      </c>
      <c r="CU280" t="s">
        <v>652</v>
      </c>
      <c r="CV280" t="b">
        <f t="shared" si="253"/>
        <v>1</v>
      </c>
      <c r="DC280" t="str">
        <f t="shared" si="241"/>
        <v>G557</v>
      </c>
      <c r="DD280" t="b">
        <f t="shared" si="254"/>
        <v>0</v>
      </c>
      <c r="DE280" t="str">
        <f t="shared" si="255"/>
        <v>G557</v>
      </c>
      <c r="DF280" t="str">
        <f t="shared" si="242"/>
        <v>R58</v>
      </c>
      <c r="DG280" t="b">
        <f t="shared" si="256"/>
        <v>0</v>
      </c>
      <c r="DH280" t="str">
        <f t="shared" si="257"/>
        <v>R58</v>
      </c>
    </row>
    <row r="281" spans="2:112" ht="12" customHeight="1">
      <c r="B281" t="str">
        <f>TBIDry!H353</f>
        <v>G735</v>
      </c>
      <c r="C281" t="str">
        <f>TBIDry!I353</f>
        <v>R689</v>
      </c>
      <c r="D281" t="b">
        <f t="shared" si="209"/>
        <v>0</v>
      </c>
      <c r="E281" t="b">
        <f t="shared" si="210"/>
        <v>0</v>
      </c>
      <c r="G281" t="str">
        <f>TBIWet!H353</f>
        <v>G593</v>
      </c>
      <c r="H281" t="str">
        <f>TBIWet!I353</f>
        <v>R31</v>
      </c>
      <c r="I281" t="b">
        <f t="shared" si="211"/>
        <v>0</v>
      </c>
      <c r="J281" t="b">
        <f t="shared" si="212"/>
        <v>0</v>
      </c>
      <c r="L281" t="str">
        <f>'Both teabags AfterWet'!A279</f>
        <v>G724</v>
      </c>
      <c r="M281" t="str">
        <f>'Both teabags AfterWet'!A699</f>
        <v>R490</v>
      </c>
      <c r="N281" t="b">
        <f t="shared" si="213"/>
        <v>0</v>
      </c>
      <c r="O281" t="b">
        <f t="shared" si="258"/>
        <v>0</v>
      </c>
      <c r="Q281" s="395" t="b">
        <f t="shared" si="214"/>
        <v>0</v>
      </c>
      <c r="R281" s="395" t="b">
        <f t="shared" si="215"/>
        <v>0</v>
      </c>
      <c r="T281" t="str">
        <f>'Both teabags AfterDry'!A279</f>
        <v>G659</v>
      </c>
      <c r="U281" t="str">
        <f>'Both teabags AfterDry'!A614</f>
        <v>R778</v>
      </c>
      <c r="V281" t="b">
        <f t="shared" si="216"/>
        <v>0</v>
      </c>
      <c r="W281" t="b">
        <f t="shared" si="243"/>
        <v>0</v>
      </c>
      <c r="Y281" t="str">
        <f>'Green_rooibos initial weight'!A282</f>
        <v>G278</v>
      </c>
      <c r="Z281" t="str">
        <f>'Green_rooibos initial weight'!A1186</f>
        <v>R278</v>
      </c>
      <c r="AA281" t="b">
        <f t="shared" si="217"/>
        <v>0</v>
      </c>
      <c r="AB281" t="b">
        <f t="shared" si="218"/>
        <v>0</v>
      </c>
      <c r="AE281" t="str">
        <f>'WetLitterbags placem_collection'!O60</f>
        <v>G593</v>
      </c>
      <c r="AF281" t="str">
        <f>'WetLitterbags placem_collection'!Q60</f>
        <v>R31</v>
      </c>
      <c r="AG281" t="b">
        <f t="shared" si="219"/>
        <v>0</v>
      </c>
      <c r="AH281" t="b">
        <f t="shared" si="220"/>
        <v>0</v>
      </c>
      <c r="AJ281" t="b">
        <f t="shared" si="221"/>
        <v>0</v>
      </c>
      <c r="AK281" t="b">
        <f t="shared" si="222"/>
        <v>0</v>
      </c>
      <c r="AM281" t="str">
        <f>IF(ISBLANK('Dry_Litterbag Placem_Collection'!L60),"","G"&amp;""&amp;'Dry_Litterbag Placem_Collection'!L60)</f>
        <v>G735</v>
      </c>
      <c r="AN281" t="str">
        <f>IF(ISBLANK('Dry_Litterbag Placem_Collection'!M60),"","R"&amp;""&amp;'Dry_Litterbag Placem_Collection'!M60)</f>
        <v>R689</v>
      </c>
      <c r="AO281" t="b">
        <f t="shared" si="223"/>
        <v>0</v>
      </c>
      <c r="AP281" t="b">
        <f t="shared" si="224"/>
        <v>0</v>
      </c>
      <c r="AS281" t="str">
        <f>'Ashed teabags dry'!A279</f>
        <v>G659</v>
      </c>
      <c r="AT281" t="str">
        <f>'Ashed teabags dry'!A614</f>
        <v>R778</v>
      </c>
      <c r="AU281" t="b">
        <f t="shared" si="225"/>
        <v>0</v>
      </c>
      <c r="AV281" t="b">
        <f>COUNTIF($AT$4:$AT$2000, AT281)&gt;1</f>
        <v>0</v>
      </c>
      <c r="AX281" s="395" t="b">
        <f t="shared" si="226"/>
        <v>0</v>
      </c>
      <c r="AY281" s="395" t="b">
        <f t="shared" si="227"/>
        <v>0</v>
      </c>
      <c r="BA281" t="str">
        <f>'Ashed teabags wet'!A279</f>
        <v>G724</v>
      </c>
      <c r="BB281" t="str">
        <f>'Ashed teabags wet'!A699</f>
        <v>R490</v>
      </c>
      <c r="BC281" t="b">
        <f t="shared" si="228"/>
        <v>0</v>
      </c>
      <c r="BD281" t="b">
        <f t="shared" si="208"/>
        <v>0</v>
      </c>
      <c r="BF281" t="str">
        <f t="shared" si="229"/>
        <v>G650</v>
      </c>
      <c r="BG281" t="str">
        <f>T280</f>
        <v>G650</v>
      </c>
      <c r="BH281" t="str">
        <f t="shared" si="230"/>
        <v>G342</v>
      </c>
      <c r="BI281" t="str">
        <f t="shared" si="244"/>
        <v>G342</v>
      </c>
      <c r="BJ281" t="s">
        <v>1400</v>
      </c>
      <c r="BK281" t="s">
        <v>1400</v>
      </c>
      <c r="BL281" t="s">
        <v>1400</v>
      </c>
      <c r="BM281" t="b">
        <f t="shared" si="245"/>
        <v>1</v>
      </c>
      <c r="BN281" t="str">
        <f t="shared" si="231"/>
        <v>R777</v>
      </c>
      <c r="BO281" t="str">
        <f>U280</f>
        <v>R777</v>
      </c>
      <c r="BP281" t="str">
        <f t="shared" si="232"/>
        <v>R416</v>
      </c>
      <c r="BQ281" t="str">
        <f t="shared" si="233"/>
        <v>R416</v>
      </c>
      <c r="BR281" t="s">
        <v>362</v>
      </c>
      <c r="BS281" t="s">
        <v>361</v>
      </c>
      <c r="BT281" t="s">
        <v>362</v>
      </c>
      <c r="BU281" t="b">
        <f t="shared" si="246"/>
        <v>1</v>
      </c>
      <c r="BZ281" t="str">
        <f t="shared" si="234"/>
        <v>G342</v>
      </c>
      <c r="CA281" t="b">
        <f t="shared" si="235"/>
        <v>0</v>
      </c>
      <c r="CB281" t="str">
        <f t="shared" si="247"/>
        <v>G342</v>
      </c>
      <c r="CC281" t="str">
        <f t="shared" si="236"/>
        <v>R416</v>
      </c>
      <c r="CD281" t="b">
        <f t="shared" si="248"/>
        <v>0</v>
      </c>
      <c r="CE281" t="str">
        <f t="shared" si="249"/>
        <v>R416</v>
      </c>
      <c r="CG281" t="str">
        <f t="shared" si="237"/>
        <v>G723</v>
      </c>
      <c r="CH281" t="str">
        <f t="shared" si="250"/>
        <v>G723</v>
      </c>
      <c r="CI281" t="str">
        <f>AE280</f>
        <v>G618</v>
      </c>
      <c r="CJ281" t="str">
        <f t="shared" si="238"/>
        <v>G618</v>
      </c>
      <c r="CK281" t="s">
        <v>1327</v>
      </c>
      <c r="CL281" t="s">
        <v>1327</v>
      </c>
      <c r="CM281" t="s">
        <v>1327</v>
      </c>
      <c r="CN281" t="b">
        <f t="shared" si="251"/>
        <v>1</v>
      </c>
      <c r="CO281" t="str">
        <f t="shared" si="239"/>
        <v>R49</v>
      </c>
      <c r="CP281" t="str">
        <f t="shared" si="252"/>
        <v>R49</v>
      </c>
      <c r="CQ281" t="str">
        <f>AF280</f>
        <v>R435</v>
      </c>
      <c r="CR281" t="str">
        <f t="shared" si="240"/>
        <v>R435</v>
      </c>
      <c r="CS281" t="s">
        <v>1092</v>
      </c>
      <c r="CT281" t="s">
        <v>1092</v>
      </c>
      <c r="CU281" t="s">
        <v>1092</v>
      </c>
      <c r="CV281" t="b">
        <f t="shared" si="253"/>
        <v>1</v>
      </c>
      <c r="DC281" t="str">
        <f t="shared" si="241"/>
        <v>G618</v>
      </c>
      <c r="DD281" t="b">
        <f t="shared" si="254"/>
        <v>0</v>
      </c>
      <c r="DE281" t="str">
        <f t="shared" si="255"/>
        <v>G618</v>
      </c>
      <c r="DF281" t="str">
        <f t="shared" si="242"/>
        <v>R435</v>
      </c>
      <c r="DG281" t="b">
        <f t="shared" si="256"/>
        <v>0</v>
      </c>
      <c r="DH281" t="str">
        <f t="shared" si="257"/>
        <v>R435</v>
      </c>
    </row>
    <row r="282" spans="2:112" ht="12" customHeight="1">
      <c r="B282" t="str">
        <f>TBIDry!H354</f>
        <v>G558</v>
      </c>
      <c r="C282" t="str">
        <f>TBIDry!I354</f>
        <v>R231</v>
      </c>
      <c r="D282" t="b">
        <f t="shared" si="209"/>
        <v>0</v>
      </c>
      <c r="E282" t="b">
        <f t="shared" si="210"/>
        <v>0</v>
      </c>
      <c r="G282" t="str">
        <f>TBIWet!H354</f>
        <v>G600</v>
      </c>
      <c r="H282" t="str">
        <f>TBIWet!I354</f>
        <v>R120</v>
      </c>
      <c r="I282" t="b">
        <f t="shared" si="211"/>
        <v>0</v>
      </c>
      <c r="J282" t="b">
        <f t="shared" si="212"/>
        <v>0</v>
      </c>
      <c r="L282" t="str">
        <f>'Both teabags AfterWet'!A280</f>
        <v>G725</v>
      </c>
      <c r="M282" t="str">
        <f>'Both teabags AfterWet'!A700</f>
        <v>R492</v>
      </c>
      <c r="N282" t="b">
        <f t="shared" si="213"/>
        <v>0</v>
      </c>
      <c r="O282" t="b">
        <f t="shared" si="258"/>
        <v>0</v>
      </c>
      <c r="Q282" s="395" t="b">
        <f t="shared" si="214"/>
        <v>0</v>
      </c>
      <c r="R282" s="395" t="b">
        <f t="shared" si="215"/>
        <v>0</v>
      </c>
      <c r="T282" t="str">
        <f>'Both teabags AfterDry'!A280</f>
        <v>G66</v>
      </c>
      <c r="U282" t="str">
        <f>'Both teabags AfterDry'!A615</f>
        <v>R779</v>
      </c>
      <c r="V282" t="b">
        <f t="shared" si="216"/>
        <v>0</v>
      </c>
      <c r="W282" t="b">
        <f t="shared" si="243"/>
        <v>0</v>
      </c>
      <c r="Y282" t="str">
        <f>'Green_rooibos initial weight'!A283</f>
        <v>G279</v>
      </c>
      <c r="Z282" t="str">
        <f>'Green_rooibos initial weight'!A1187</f>
        <v>R279</v>
      </c>
      <c r="AA282" t="b">
        <f t="shared" si="217"/>
        <v>0</v>
      </c>
      <c r="AB282" t="b">
        <f t="shared" si="218"/>
        <v>0</v>
      </c>
      <c r="AE282" t="str">
        <f>'WetLitterbags placem_collection'!O61</f>
        <v>G600</v>
      </c>
      <c r="AF282" t="str">
        <f>'WetLitterbags placem_collection'!Q61</f>
        <v>R120</v>
      </c>
      <c r="AG282" t="b">
        <f t="shared" si="219"/>
        <v>0</v>
      </c>
      <c r="AH282" t="b">
        <f t="shared" si="220"/>
        <v>0</v>
      </c>
      <c r="AJ282" t="b">
        <f t="shared" si="221"/>
        <v>0</v>
      </c>
      <c r="AK282" t="b">
        <f t="shared" si="222"/>
        <v>0</v>
      </c>
      <c r="AM282" t="str">
        <f>IF(ISBLANK('Dry_Litterbag Placem_Collection'!L61),"","G"&amp;""&amp;'Dry_Litterbag Placem_Collection'!L61)</f>
        <v>G558</v>
      </c>
      <c r="AN282" t="str">
        <f>IF(ISBLANK('Dry_Litterbag Placem_Collection'!M61),"","R"&amp;""&amp;'Dry_Litterbag Placem_Collection'!M61)</f>
        <v>R231</v>
      </c>
      <c r="AO282" t="b">
        <f t="shared" si="223"/>
        <v>0</v>
      </c>
      <c r="AP282" t="b">
        <f t="shared" si="224"/>
        <v>0</v>
      </c>
      <c r="AS282" t="str">
        <f>'Ashed teabags dry'!A280</f>
        <v>G66</v>
      </c>
      <c r="AT282" t="str">
        <f>'Ashed teabags dry'!A615</f>
        <v>R779</v>
      </c>
      <c r="AU282" t="b">
        <f t="shared" si="225"/>
        <v>0</v>
      </c>
      <c r="AV282" t="b">
        <f>COUNTIF($AT$4:$AT$2000, AT282)&gt;1</f>
        <v>0</v>
      </c>
      <c r="AX282" s="395" t="b">
        <f t="shared" si="226"/>
        <v>0</v>
      </c>
      <c r="AY282" s="395" t="b">
        <f t="shared" si="227"/>
        <v>0</v>
      </c>
      <c r="BA282" t="str">
        <f>'Ashed teabags wet'!A280</f>
        <v>G725</v>
      </c>
      <c r="BB282" t="str">
        <f>'Ashed teabags wet'!A700</f>
        <v>R492</v>
      </c>
      <c r="BC282" t="b">
        <f t="shared" si="228"/>
        <v>0</v>
      </c>
      <c r="BD282" t="b">
        <f t="shared" si="208"/>
        <v>0</v>
      </c>
      <c r="BF282" t="str">
        <f t="shared" si="229"/>
        <v>G659</v>
      </c>
      <c r="BG282" t="str">
        <f>T281</f>
        <v>G659</v>
      </c>
      <c r="BH282" t="str">
        <f t="shared" si="230"/>
        <v>G735</v>
      </c>
      <c r="BI282" t="str">
        <f t="shared" si="244"/>
        <v>G735</v>
      </c>
      <c r="BJ282" t="s">
        <v>1391</v>
      </c>
      <c r="BK282" t="s">
        <v>1391</v>
      </c>
      <c r="BL282" t="s">
        <v>1391</v>
      </c>
      <c r="BM282" t="b">
        <f t="shared" si="245"/>
        <v>1</v>
      </c>
      <c r="BN282" t="str">
        <f t="shared" si="231"/>
        <v>R778</v>
      </c>
      <c r="BO282" t="str">
        <f>U281</f>
        <v>R778</v>
      </c>
      <c r="BP282" t="str">
        <f t="shared" si="232"/>
        <v>R689</v>
      </c>
      <c r="BQ282" t="str">
        <f t="shared" si="233"/>
        <v>R689</v>
      </c>
      <c r="BR282" t="s">
        <v>361</v>
      </c>
      <c r="BS282" t="s">
        <v>360</v>
      </c>
      <c r="BT282" t="s">
        <v>361</v>
      </c>
      <c r="BU282" t="b">
        <f t="shared" si="246"/>
        <v>1</v>
      </c>
      <c r="BZ282" t="str">
        <f t="shared" si="234"/>
        <v>G735</v>
      </c>
      <c r="CA282" t="b">
        <f t="shared" si="235"/>
        <v>0</v>
      </c>
      <c r="CB282" t="str">
        <f t="shared" si="247"/>
        <v>G735</v>
      </c>
      <c r="CC282" t="str">
        <f t="shared" si="236"/>
        <v>R689</v>
      </c>
      <c r="CD282" t="b">
        <f t="shared" si="248"/>
        <v>0</v>
      </c>
      <c r="CE282" t="str">
        <f t="shared" si="249"/>
        <v>R689</v>
      </c>
      <c r="CG282" t="str">
        <f t="shared" si="237"/>
        <v>G724</v>
      </c>
      <c r="CH282" t="str">
        <f t="shared" si="250"/>
        <v>G724</v>
      </c>
      <c r="CI282" t="str">
        <f>AE281</f>
        <v>G593</v>
      </c>
      <c r="CJ282" t="str">
        <f t="shared" si="238"/>
        <v>G593</v>
      </c>
      <c r="CK282" t="s">
        <v>1326</v>
      </c>
      <c r="CL282" t="s">
        <v>1326</v>
      </c>
      <c r="CM282" t="s">
        <v>1326</v>
      </c>
      <c r="CN282" t="b">
        <f t="shared" si="251"/>
        <v>1</v>
      </c>
      <c r="CO282" t="str">
        <f t="shared" si="239"/>
        <v>R490</v>
      </c>
      <c r="CP282" t="str">
        <f t="shared" si="252"/>
        <v>R490</v>
      </c>
      <c r="CQ282" t="str">
        <f>AF281</f>
        <v>R31</v>
      </c>
      <c r="CR282" t="str">
        <f t="shared" si="240"/>
        <v>R31</v>
      </c>
      <c r="CS282" t="s">
        <v>651</v>
      </c>
      <c r="CT282" t="s">
        <v>651</v>
      </c>
      <c r="CU282" t="s">
        <v>651</v>
      </c>
      <c r="CV282" t="b">
        <f t="shared" si="253"/>
        <v>1</v>
      </c>
      <c r="DC282" t="str">
        <f t="shared" si="241"/>
        <v>G593</v>
      </c>
      <c r="DD282" t="b">
        <f t="shared" si="254"/>
        <v>0</v>
      </c>
      <c r="DE282" t="str">
        <f t="shared" si="255"/>
        <v>G593</v>
      </c>
      <c r="DF282" t="str">
        <f t="shared" si="242"/>
        <v>R31</v>
      </c>
      <c r="DG282" t="b">
        <f t="shared" si="256"/>
        <v>0</v>
      </c>
      <c r="DH282" t="str">
        <f t="shared" si="257"/>
        <v>R31</v>
      </c>
    </row>
    <row r="283" spans="2:112" ht="12" customHeight="1">
      <c r="B283" t="str">
        <f>TBIDry!H355</f>
        <v>G751</v>
      </c>
      <c r="C283" t="str">
        <f>TBIDry!I355</f>
        <v>R297</v>
      </c>
      <c r="D283" t="b">
        <f t="shared" si="209"/>
        <v>0</v>
      </c>
      <c r="E283" t="b">
        <f t="shared" si="210"/>
        <v>0</v>
      </c>
      <c r="G283" t="str">
        <f>TBIWet!H355</f>
        <v>G535</v>
      </c>
      <c r="H283" t="str">
        <f>TBIWet!I355</f>
        <v>R390</v>
      </c>
      <c r="I283" t="b">
        <f t="shared" si="211"/>
        <v>0</v>
      </c>
      <c r="J283" t="b">
        <f t="shared" si="212"/>
        <v>0</v>
      </c>
      <c r="L283" t="str">
        <f>'Both teabags AfterWet'!A281</f>
        <v>G727</v>
      </c>
      <c r="M283" t="str">
        <f>'Both teabags AfterWet'!A701</f>
        <v>R493</v>
      </c>
      <c r="N283" t="b">
        <f t="shared" si="213"/>
        <v>0</v>
      </c>
      <c r="O283" t="b">
        <f t="shared" si="258"/>
        <v>0</v>
      </c>
      <c r="Q283" s="395" t="b">
        <f t="shared" si="214"/>
        <v>0</v>
      </c>
      <c r="R283" s="395" t="b">
        <f t="shared" si="215"/>
        <v>0</v>
      </c>
      <c r="T283" t="str">
        <f>'Both teabags AfterDry'!A281</f>
        <v>G663</v>
      </c>
      <c r="U283" t="str">
        <f>'Both teabags AfterDry'!A616</f>
        <v>R780</v>
      </c>
      <c r="V283" t="b">
        <f t="shared" si="216"/>
        <v>0</v>
      </c>
      <c r="W283" t="b">
        <f t="shared" si="243"/>
        <v>0</v>
      </c>
      <c r="Y283" t="str">
        <f>'Green_rooibos initial weight'!A284</f>
        <v>G280</v>
      </c>
      <c r="Z283" t="str">
        <f>'Green_rooibos initial weight'!A1188</f>
        <v>R280</v>
      </c>
      <c r="AA283" t="b">
        <f t="shared" si="217"/>
        <v>0</v>
      </c>
      <c r="AB283" t="b">
        <f t="shared" si="218"/>
        <v>0</v>
      </c>
      <c r="AE283" t="str">
        <f>'WetLitterbags placem_collection'!O62</f>
        <v>G535</v>
      </c>
      <c r="AF283" t="str">
        <f>'WetLitterbags placem_collection'!Q62</f>
        <v>R390</v>
      </c>
      <c r="AG283" t="b">
        <f t="shared" si="219"/>
        <v>0</v>
      </c>
      <c r="AH283" t="b">
        <f t="shared" si="220"/>
        <v>0</v>
      </c>
      <c r="AJ283" t="b">
        <f t="shared" si="221"/>
        <v>0</v>
      </c>
      <c r="AK283" t="b">
        <f t="shared" si="222"/>
        <v>0</v>
      </c>
      <c r="AM283" t="str">
        <f>IF(ISBLANK('Dry_Litterbag Placem_Collection'!L62),"","G"&amp;""&amp;'Dry_Litterbag Placem_Collection'!L62)</f>
        <v>G751</v>
      </c>
      <c r="AN283" t="str">
        <f>IF(ISBLANK('Dry_Litterbag Placem_Collection'!M62),"","R"&amp;""&amp;'Dry_Litterbag Placem_Collection'!M62)</f>
        <v>R297</v>
      </c>
      <c r="AO283" t="b">
        <f t="shared" si="223"/>
        <v>0</v>
      </c>
      <c r="AP283" t="b">
        <f t="shared" si="224"/>
        <v>0</v>
      </c>
      <c r="AS283" t="str">
        <f>'Ashed teabags dry'!A281</f>
        <v>G663</v>
      </c>
      <c r="AT283" t="str">
        <f>'Ashed teabags dry'!A616</f>
        <v>R780</v>
      </c>
      <c r="AU283" t="b">
        <f t="shared" si="225"/>
        <v>0</v>
      </c>
      <c r="AV283" t="b">
        <f>COUNTIF($AT$4:$AT$2000, AT283)&gt;1</f>
        <v>0</v>
      </c>
      <c r="AX283" s="395" t="b">
        <f t="shared" si="226"/>
        <v>0</v>
      </c>
      <c r="AY283" s="395" t="b">
        <f t="shared" si="227"/>
        <v>0</v>
      </c>
      <c r="BA283" t="str">
        <f>'Ashed teabags wet'!A281</f>
        <v>G727</v>
      </c>
      <c r="BB283" t="str">
        <f>'Ashed teabags wet'!A701</f>
        <v>R493</v>
      </c>
      <c r="BC283" t="b">
        <f t="shared" si="228"/>
        <v>0</v>
      </c>
      <c r="BD283" t="b">
        <f t="shared" si="208"/>
        <v>0</v>
      </c>
      <c r="BF283" t="str">
        <f t="shared" si="229"/>
        <v>G66</v>
      </c>
      <c r="BG283" t="str">
        <f>T282</f>
        <v>G66</v>
      </c>
      <c r="BH283" t="str">
        <f t="shared" si="230"/>
        <v>G558</v>
      </c>
      <c r="BI283" t="str">
        <f t="shared" si="244"/>
        <v>G558</v>
      </c>
      <c r="BJ283" t="s">
        <v>1984</v>
      </c>
      <c r="BK283" t="s">
        <v>1984</v>
      </c>
      <c r="BL283" t="s">
        <v>1984</v>
      </c>
      <c r="BM283" t="b">
        <f t="shared" si="245"/>
        <v>1</v>
      </c>
      <c r="BN283" t="str">
        <f t="shared" si="231"/>
        <v>R779</v>
      </c>
      <c r="BO283" t="str">
        <f>U282</f>
        <v>R779</v>
      </c>
      <c r="BP283" t="str">
        <f t="shared" si="232"/>
        <v>R231</v>
      </c>
      <c r="BQ283" t="str">
        <f t="shared" si="233"/>
        <v>R231</v>
      </c>
      <c r="BR283" t="s">
        <v>360</v>
      </c>
      <c r="BS283" t="s">
        <v>359</v>
      </c>
      <c r="BT283" t="s">
        <v>360</v>
      </c>
      <c r="BU283" t="b">
        <f t="shared" si="246"/>
        <v>1</v>
      </c>
      <c r="BZ283" t="str">
        <f t="shared" si="234"/>
        <v>G558</v>
      </c>
      <c r="CA283" t="b">
        <f t="shared" si="235"/>
        <v>0</v>
      </c>
      <c r="CB283" t="str">
        <f t="shared" si="247"/>
        <v>G558</v>
      </c>
      <c r="CC283" t="str">
        <f t="shared" si="236"/>
        <v>R231</v>
      </c>
      <c r="CD283" t="b">
        <f t="shared" si="248"/>
        <v>0</v>
      </c>
      <c r="CE283" t="str">
        <f t="shared" si="249"/>
        <v>R231</v>
      </c>
      <c r="CG283" t="str">
        <f t="shared" si="237"/>
        <v>G725</v>
      </c>
      <c r="CH283" t="str">
        <f t="shared" si="250"/>
        <v>G725</v>
      </c>
      <c r="CI283" t="str">
        <f>AE282</f>
        <v>G600</v>
      </c>
      <c r="CJ283" t="str">
        <f t="shared" si="238"/>
        <v>G600</v>
      </c>
      <c r="CK283" t="s">
        <v>1325</v>
      </c>
      <c r="CL283" t="s">
        <v>1325</v>
      </c>
      <c r="CM283" t="s">
        <v>1325</v>
      </c>
      <c r="CN283" t="b">
        <f t="shared" si="251"/>
        <v>1</v>
      </c>
      <c r="CO283" t="str">
        <f t="shared" si="239"/>
        <v>R492</v>
      </c>
      <c r="CP283" t="str">
        <f t="shared" si="252"/>
        <v>R492</v>
      </c>
      <c r="CQ283" t="str">
        <f>AF282</f>
        <v>R120</v>
      </c>
      <c r="CR283" t="str">
        <f t="shared" si="240"/>
        <v>R120</v>
      </c>
      <c r="CS283" t="s">
        <v>649</v>
      </c>
      <c r="CT283" t="s">
        <v>649</v>
      </c>
      <c r="CU283" t="s">
        <v>649</v>
      </c>
      <c r="CV283" t="b">
        <f t="shared" si="253"/>
        <v>1</v>
      </c>
      <c r="DC283" t="str">
        <f t="shared" si="241"/>
        <v>G600</v>
      </c>
      <c r="DD283" t="b">
        <f t="shared" si="254"/>
        <v>0</v>
      </c>
      <c r="DE283" t="str">
        <f t="shared" si="255"/>
        <v>G600</v>
      </c>
      <c r="DF283" t="str">
        <f t="shared" si="242"/>
        <v>R120</v>
      </c>
      <c r="DG283" t="b">
        <f t="shared" si="256"/>
        <v>0</v>
      </c>
      <c r="DH283" t="str">
        <f t="shared" si="257"/>
        <v>R120</v>
      </c>
    </row>
    <row r="284" spans="2:112" ht="12" customHeight="1">
      <c r="B284" t="str">
        <f>TBIDry!H356</f>
        <v>G748</v>
      </c>
      <c r="C284" t="str">
        <f>TBIDry!I356</f>
        <v>R200</v>
      </c>
      <c r="D284" t="b">
        <f t="shared" si="209"/>
        <v>0</v>
      </c>
      <c r="E284" t="b">
        <f t="shared" si="210"/>
        <v>0</v>
      </c>
      <c r="G284" t="str">
        <f>TBIWet!H356</f>
        <v>G391</v>
      </c>
      <c r="H284" t="str">
        <f>TBIWet!I356</f>
        <v>R143</v>
      </c>
      <c r="I284" t="b">
        <f t="shared" si="211"/>
        <v>0</v>
      </c>
      <c r="J284" t="b">
        <f t="shared" si="212"/>
        <v>0</v>
      </c>
      <c r="L284" t="str">
        <f>'Both teabags AfterWet'!A282</f>
        <v>G728</v>
      </c>
      <c r="M284" t="str">
        <f>'Both teabags AfterWet'!A702</f>
        <v>R494</v>
      </c>
      <c r="N284" t="b">
        <f t="shared" si="213"/>
        <v>0</v>
      </c>
      <c r="O284" t="b">
        <f t="shared" si="258"/>
        <v>0</v>
      </c>
      <c r="Q284" s="395" t="b">
        <f t="shared" si="214"/>
        <v>0</v>
      </c>
      <c r="R284" s="395" t="b">
        <f t="shared" si="215"/>
        <v>0</v>
      </c>
      <c r="T284" t="str">
        <f>'Both teabags AfterDry'!A282</f>
        <v>G67</v>
      </c>
      <c r="U284" t="str">
        <f>'Both teabags AfterDry'!A617</f>
        <v>R781</v>
      </c>
      <c r="V284" t="b">
        <f t="shared" si="216"/>
        <v>0</v>
      </c>
      <c r="W284" t="b">
        <f t="shared" si="243"/>
        <v>0</v>
      </c>
      <c r="Y284" t="str">
        <f>'Green_rooibos initial weight'!A285</f>
        <v>G281</v>
      </c>
      <c r="Z284" t="str">
        <f>'Green_rooibos initial weight'!A1189</f>
        <v>R281</v>
      </c>
      <c r="AA284" t="b">
        <f t="shared" si="217"/>
        <v>0</v>
      </c>
      <c r="AB284" t="b">
        <f t="shared" si="218"/>
        <v>0</v>
      </c>
      <c r="AE284" t="str">
        <f>'WetLitterbags placem_collection'!O63</f>
        <v>G391</v>
      </c>
      <c r="AF284" t="str">
        <f>'WetLitterbags placem_collection'!Q63</f>
        <v>R143</v>
      </c>
      <c r="AG284" t="b">
        <f t="shared" si="219"/>
        <v>0</v>
      </c>
      <c r="AH284" t="b">
        <f t="shared" si="220"/>
        <v>0</v>
      </c>
      <c r="AJ284" t="b">
        <f t="shared" si="221"/>
        <v>0</v>
      </c>
      <c r="AK284" t="b">
        <f t="shared" si="222"/>
        <v>0</v>
      </c>
      <c r="AM284" t="str">
        <f>IF(ISBLANK('Dry_Litterbag Placem_Collection'!L63),"","G"&amp;""&amp;'Dry_Litterbag Placem_Collection'!L63)</f>
        <v>G748</v>
      </c>
      <c r="AN284" t="str">
        <f>IF(ISBLANK('Dry_Litterbag Placem_Collection'!M63),"","R"&amp;""&amp;'Dry_Litterbag Placem_Collection'!M63)</f>
        <v>R200</v>
      </c>
      <c r="AO284" t="b">
        <f t="shared" si="223"/>
        <v>0</v>
      </c>
      <c r="AP284" t="b">
        <f t="shared" si="224"/>
        <v>0</v>
      </c>
      <c r="AS284" t="str">
        <f>'Ashed teabags dry'!A282</f>
        <v>G67</v>
      </c>
      <c r="AT284" t="str">
        <f>'Ashed teabags dry'!A617</f>
        <v>R781</v>
      </c>
      <c r="AU284" t="b">
        <f t="shared" si="225"/>
        <v>0</v>
      </c>
      <c r="AV284" t="b">
        <f>COUNTIF($AT$4:$AT$2000, AT284)&gt;1</f>
        <v>0</v>
      </c>
      <c r="AX284" s="395" t="b">
        <f t="shared" si="226"/>
        <v>0</v>
      </c>
      <c r="AY284" s="395" t="b">
        <f t="shared" si="227"/>
        <v>0</v>
      </c>
      <c r="BA284" t="str">
        <f>'Ashed teabags wet'!A282</f>
        <v>G728</v>
      </c>
      <c r="BB284" t="str">
        <f>'Ashed teabags wet'!A702</f>
        <v>R494</v>
      </c>
      <c r="BC284" t="b">
        <f t="shared" si="228"/>
        <v>0</v>
      </c>
      <c r="BD284" t="b">
        <f t="shared" si="208"/>
        <v>0</v>
      </c>
      <c r="BF284" t="str">
        <f t="shared" si="229"/>
        <v>G663</v>
      </c>
      <c r="BG284" t="str">
        <f>T283</f>
        <v>G663</v>
      </c>
      <c r="BH284" t="str">
        <f t="shared" si="230"/>
        <v>G751</v>
      </c>
      <c r="BI284" t="str">
        <f t="shared" si="244"/>
        <v/>
      </c>
      <c r="BJ284" t="s">
        <v>1387</v>
      </c>
      <c r="BK284" t="s">
        <v>1387</v>
      </c>
      <c r="BL284" t="s">
        <v>1387</v>
      </c>
      <c r="BM284" t="b">
        <f t="shared" si="245"/>
        <v>1</v>
      </c>
      <c r="BN284" t="str">
        <f t="shared" si="231"/>
        <v>R780</v>
      </c>
      <c r="BO284" t="str">
        <f>U283</f>
        <v>R780</v>
      </c>
      <c r="BP284" t="str">
        <f t="shared" si="232"/>
        <v>R297</v>
      </c>
      <c r="BQ284" t="str">
        <f t="shared" si="233"/>
        <v>R297</v>
      </c>
      <c r="BR284" t="s">
        <v>359</v>
      </c>
      <c r="BS284" t="s">
        <v>358</v>
      </c>
      <c r="BT284" t="s">
        <v>359</v>
      </c>
      <c r="BU284" t="b">
        <f t="shared" si="246"/>
        <v>1</v>
      </c>
      <c r="BZ284" t="str">
        <f t="shared" si="234"/>
        <v>G751</v>
      </c>
      <c r="CA284" t="b">
        <f t="shared" si="235"/>
        <v>1</v>
      </c>
      <c r="CB284" t="str">
        <f t="shared" si="247"/>
        <v/>
      </c>
      <c r="CC284" t="str">
        <f t="shared" si="236"/>
        <v>R297</v>
      </c>
      <c r="CD284" t="b">
        <f t="shared" si="248"/>
        <v>0</v>
      </c>
      <c r="CE284" t="str">
        <f t="shared" si="249"/>
        <v>R297</v>
      </c>
      <c r="CG284" t="str">
        <f t="shared" si="237"/>
        <v>G727</v>
      </c>
      <c r="CH284" t="str">
        <f t="shared" si="250"/>
        <v>G727</v>
      </c>
      <c r="CI284" t="str">
        <f>AE283</f>
        <v>G535</v>
      </c>
      <c r="CJ284" t="str">
        <f t="shared" si="238"/>
        <v>G535</v>
      </c>
      <c r="CK284" t="s">
        <v>1323</v>
      </c>
      <c r="CL284" t="s">
        <v>1323</v>
      </c>
      <c r="CM284" t="s">
        <v>1323</v>
      </c>
      <c r="CN284" t="b">
        <f t="shared" si="251"/>
        <v>1</v>
      </c>
      <c r="CO284" t="str">
        <f t="shared" si="239"/>
        <v>R493</v>
      </c>
      <c r="CP284" t="str">
        <f t="shared" si="252"/>
        <v>R493</v>
      </c>
      <c r="CQ284" t="str">
        <f>AF283</f>
        <v>R390</v>
      </c>
      <c r="CR284" t="str">
        <f t="shared" si="240"/>
        <v>R390</v>
      </c>
      <c r="CS284" t="s">
        <v>648</v>
      </c>
      <c r="CT284" t="s">
        <v>648</v>
      </c>
      <c r="CU284" t="s">
        <v>648</v>
      </c>
      <c r="CV284" t="b">
        <f t="shared" si="253"/>
        <v>1</v>
      </c>
      <c r="DC284" t="str">
        <f t="shared" si="241"/>
        <v>G535</v>
      </c>
      <c r="DD284" t="b">
        <f t="shared" si="254"/>
        <v>0</v>
      </c>
      <c r="DE284" t="str">
        <f t="shared" si="255"/>
        <v>G535</v>
      </c>
      <c r="DF284" t="str">
        <f t="shared" si="242"/>
        <v>R390</v>
      </c>
      <c r="DG284" t="b">
        <f t="shared" si="256"/>
        <v>0</v>
      </c>
      <c r="DH284" t="str">
        <f t="shared" si="257"/>
        <v>R390</v>
      </c>
    </row>
    <row r="285" spans="2:112" ht="12" customHeight="1">
      <c r="B285" t="str">
        <f>TBIDry!H357</f>
        <v/>
      </c>
      <c r="C285" t="str">
        <f>TBIDry!I357</f>
        <v/>
      </c>
      <c r="D285" t="b">
        <f t="shared" si="209"/>
        <v>1</v>
      </c>
      <c r="E285" t="b">
        <f t="shared" si="210"/>
        <v>1</v>
      </c>
      <c r="G285" t="str">
        <f>TBIWet!H357</f>
        <v>G445</v>
      </c>
      <c r="H285" t="str">
        <f>TBIWet!I357</f>
        <v>R448</v>
      </c>
      <c r="I285" t="b">
        <f t="shared" si="211"/>
        <v>0</v>
      </c>
      <c r="J285" t="b">
        <f t="shared" si="212"/>
        <v>0</v>
      </c>
      <c r="L285" t="str">
        <f>'Both teabags AfterWet'!A283</f>
        <v>G729</v>
      </c>
      <c r="M285" t="str">
        <f>'Both teabags AfterWet'!A703</f>
        <v>R495</v>
      </c>
      <c r="N285" t="b">
        <f t="shared" si="213"/>
        <v>0</v>
      </c>
      <c r="O285" t="b">
        <f t="shared" si="258"/>
        <v>0</v>
      </c>
      <c r="Q285" s="395" t="b">
        <f t="shared" si="214"/>
        <v>0</v>
      </c>
      <c r="R285" s="395" t="b">
        <f t="shared" si="215"/>
        <v>0</v>
      </c>
      <c r="T285" t="str">
        <f>'Both teabags AfterDry'!A283</f>
        <v>G671</v>
      </c>
      <c r="U285" t="str">
        <f>'Both teabags AfterDry'!A618</f>
        <v>R782</v>
      </c>
      <c r="V285" t="b">
        <f t="shared" si="216"/>
        <v>0</v>
      </c>
      <c r="W285" t="b">
        <f t="shared" si="243"/>
        <v>0</v>
      </c>
      <c r="Y285" t="str">
        <f>'Green_rooibos initial weight'!A286</f>
        <v>G282</v>
      </c>
      <c r="Z285" t="str">
        <f>'Green_rooibos initial weight'!A1190</f>
        <v>R282</v>
      </c>
      <c r="AA285" t="b">
        <f t="shared" si="217"/>
        <v>0</v>
      </c>
      <c r="AB285" t="b">
        <f t="shared" si="218"/>
        <v>0</v>
      </c>
      <c r="AE285" t="str">
        <f>'WetLitterbags placem_collection'!O64</f>
        <v>G445</v>
      </c>
      <c r="AF285" t="str">
        <f>'WetLitterbags placem_collection'!Q64</f>
        <v>R448</v>
      </c>
      <c r="AG285" t="b">
        <f t="shared" si="219"/>
        <v>0</v>
      </c>
      <c r="AH285" t="b">
        <f t="shared" si="220"/>
        <v>0</v>
      </c>
      <c r="AJ285" t="b">
        <f t="shared" si="221"/>
        <v>0</v>
      </c>
      <c r="AK285" t="b">
        <f t="shared" si="222"/>
        <v>0</v>
      </c>
      <c r="AM285" t="str">
        <f>IF(ISBLANK('Dry_Litterbag Placem_Collection'!L64),"","G"&amp;""&amp;'Dry_Litterbag Placem_Collection'!L64)</f>
        <v/>
      </c>
      <c r="AN285" t="str">
        <f>IF(ISBLANK('Dry_Litterbag Placem_Collection'!M64),"","R"&amp;""&amp;'Dry_Litterbag Placem_Collection'!M64)</f>
        <v/>
      </c>
      <c r="AO285" t="b">
        <f t="shared" si="223"/>
        <v>1</v>
      </c>
      <c r="AP285" t="b">
        <f t="shared" si="224"/>
        <v>1</v>
      </c>
      <c r="AS285" t="str">
        <f>'Ashed teabags dry'!A283</f>
        <v>G671</v>
      </c>
      <c r="AT285" t="str">
        <f>'Ashed teabags dry'!A618</f>
        <v>R782</v>
      </c>
      <c r="AU285" t="b">
        <f t="shared" si="225"/>
        <v>0</v>
      </c>
      <c r="AV285" t="b">
        <f>COUNTIF($AT$4:$AT$2000, AT285)&gt;1</f>
        <v>0</v>
      </c>
      <c r="AX285" s="395" t="b">
        <f t="shared" si="226"/>
        <v>0</v>
      </c>
      <c r="AY285" s="395" t="b">
        <f t="shared" si="227"/>
        <v>0</v>
      </c>
      <c r="BA285" t="str">
        <f>'Ashed teabags wet'!A283</f>
        <v>G729</v>
      </c>
      <c r="BB285" t="str">
        <f>'Ashed teabags wet'!A703</f>
        <v>R495</v>
      </c>
      <c r="BC285" t="b">
        <f t="shared" si="228"/>
        <v>0</v>
      </c>
      <c r="BD285" t="b">
        <f t="shared" si="208"/>
        <v>0</v>
      </c>
      <c r="BF285" t="str">
        <f t="shared" si="229"/>
        <v>G67</v>
      </c>
      <c r="BG285" t="str">
        <f>T284</f>
        <v>G67</v>
      </c>
      <c r="BH285" t="str">
        <f t="shared" si="230"/>
        <v>G748</v>
      </c>
      <c r="BI285" t="str">
        <f t="shared" si="244"/>
        <v/>
      </c>
      <c r="BJ285" t="s">
        <v>1983</v>
      </c>
      <c r="BK285" t="s">
        <v>1983</v>
      </c>
      <c r="BL285" t="s">
        <v>1983</v>
      </c>
      <c r="BM285" t="b">
        <f t="shared" si="245"/>
        <v>1</v>
      </c>
      <c r="BN285" t="str">
        <f t="shared" si="231"/>
        <v>R781</v>
      </c>
      <c r="BO285" t="str">
        <f>U284</f>
        <v>R781</v>
      </c>
      <c r="BP285" t="str">
        <f t="shared" si="232"/>
        <v>R200</v>
      </c>
      <c r="BQ285" t="str">
        <f t="shared" si="233"/>
        <v/>
      </c>
      <c r="BR285" t="s">
        <v>358</v>
      </c>
      <c r="BS285" t="s">
        <v>357</v>
      </c>
      <c r="BT285" t="s">
        <v>358</v>
      </c>
      <c r="BU285" t="b">
        <f t="shared" si="246"/>
        <v>1</v>
      </c>
      <c r="BZ285" t="str">
        <f t="shared" si="234"/>
        <v>G748</v>
      </c>
      <c r="CA285" t="b">
        <f t="shared" si="235"/>
        <v>1</v>
      </c>
      <c r="CB285" t="str">
        <f t="shared" si="247"/>
        <v/>
      </c>
      <c r="CC285" t="str">
        <f t="shared" si="236"/>
        <v>R200</v>
      </c>
      <c r="CD285" t="b">
        <f t="shared" si="248"/>
        <v>1</v>
      </c>
      <c r="CE285" t="str">
        <f t="shared" si="249"/>
        <v/>
      </c>
      <c r="CG285" t="str">
        <f t="shared" si="237"/>
        <v>G728</v>
      </c>
      <c r="CH285" t="str">
        <f t="shared" si="250"/>
        <v>G728</v>
      </c>
      <c r="CI285" t="str">
        <f>AE284</f>
        <v>G391</v>
      </c>
      <c r="CJ285" t="str">
        <f t="shared" si="238"/>
        <v>G391</v>
      </c>
      <c r="CK285" t="s">
        <v>1322</v>
      </c>
      <c r="CL285" t="s">
        <v>1322</v>
      </c>
      <c r="CM285" t="s">
        <v>1322</v>
      </c>
      <c r="CN285" t="b">
        <f t="shared" si="251"/>
        <v>1</v>
      </c>
      <c r="CO285" t="str">
        <f t="shared" si="239"/>
        <v>R494</v>
      </c>
      <c r="CP285" t="str">
        <f t="shared" si="252"/>
        <v>R494</v>
      </c>
      <c r="CQ285" t="str">
        <f>AF284</f>
        <v>R143</v>
      </c>
      <c r="CR285" t="str">
        <f t="shared" si="240"/>
        <v>R143</v>
      </c>
      <c r="CS285" t="s">
        <v>647</v>
      </c>
      <c r="CT285" t="s">
        <v>647</v>
      </c>
      <c r="CU285" t="s">
        <v>647</v>
      </c>
      <c r="CV285" t="b">
        <f t="shared" si="253"/>
        <v>1</v>
      </c>
      <c r="DC285" t="str">
        <f t="shared" si="241"/>
        <v>G391</v>
      </c>
      <c r="DD285" t="b">
        <f t="shared" si="254"/>
        <v>0</v>
      </c>
      <c r="DE285" t="str">
        <f t="shared" si="255"/>
        <v>G391</v>
      </c>
      <c r="DF285" t="str">
        <f t="shared" si="242"/>
        <v>R143</v>
      </c>
      <c r="DG285" t="b">
        <f t="shared" si="256"/>
        <v>0</v>
      </c>
      <c r="DH285" t="str">
        <f t="shared" si="257"/>
        <v>R143</v>
      </c>
    </row>
    <row r="286" spans="2:112" ht="12" customHeight="1">
      <c r="B286" t="str">
        <f>TBIDry!H358</f>
        <v>G629</v>
      </c>
      <c r="C286" t="str">
        <f>TBIDry!I358</f>
        <v>R713</v>
      </c>
      <c r="D286" t="b">
        <f t="shared" si="209"/>
        <v>0</v>
      </c>
      <c r="E286" t="b">
        <f t="shared" si="210"/>
        <v>0</v>
      </c>
      <c r="G286" t="str">
        <f>TBIWet!H358</f>
        <v>G440</v>
      </c>
      <c r="H286" t="str">
        <f>TBIWet!I358</f>
        <v>R423</v>
      </c>
      <c r="I286" t="b">
        <f t="shared" si="211"/>
        <v>0</v>
      </c>
      <c r="J286" t="b">
        <f t="shared" si="212"/>
        <v>0</v>
      </c>
      <c r="L286" t="str">
        <f>'Both teabags AfterWet'!A284</f>
        <v>G730</v>
      </c>
      <c r="M286" t="str">
        <f>'Both teabags AfterWet'!A704</f>
        <v>R496</v>
      </c>
      <c r="N286" t="b">
        <f t="shared" si="213"/>
        <v>0</v>
      </c>
      <c r="O286" t="b">
        <f t="shared" si="258"/>
        <v>0</v>
      </c>
      <c r="Q286" s="395" t="b">
        <f t="shared" si="214"/>
        <v>0</v>
      </c>
      <c r="R286" s="395" t="b">
        <f t="shared" si="215"/>
        <v>0</v>
      </c>
      <c r="T286" t="str">
        <f>'Both teabags AfterDry'!A284</f>
        <v>G672</v>
      </c>
      <c r="U286" t="str">
        <f>'Both teabags AfterDry'!A619</f>
        <v>R783</v>
      </c>
      <c r="V286" t="b">
        <f t="shared" si="216"/>
        <v>0</v>
      </c>
      <c r="W286" t="b">
        <f t="shared" si="243"/>
        <v>0</v>
      </c>
      <c r="Y286" t="str">
        <f>'Green_rooibos initial weight'!A287</f>
        <v>G283</v>
      </c>
      <c r="Z286" t="str">
        <f>'Green_rooibos initial weight'!A1191</f>
        <v>R283</v>
      </c>
      <c r="AA286" t="b">
        <f t="shared" si="217"/>
        <v>0</v>
      </c>
      <c r="AB286" t="b">
        <f t="shared" si="218"/>
        <v>0</v>
      </c>
      <c r="AE286" t="str">
        <f>'WetLitterbags placem_collection'!O65</f>
        <v>G440</v>
      </c>
      <c r="AF286" t="str">
        <f>'WetLitterbags placem_collection'!Q65</f>
        <v>R423</v>
      </c>
      <c r="AG286" t="b">
        <f t="shared" si="219"/>
        <v>0</v>
      </c>
      <c r="AH286" t="b">
        <f t="shared" si="220"/>
        <v>0</v>
      </c>
      <c r="AJ286" t="b">
        <f t="shared" si="221"/>
        <v>0</v>
      </c>
      <c r="AK286" t="b">
        <f t="shared" si="222"/>
        <v>0</v>
      </c>
      <c r="AM286" t="str">
        <f>IF(ISBLANK('Dry_Litterbag Placem_Collection'!L65),"","G"&amp;""&amp;'Dry_Litterbag Placem_Collection'!L65)</f>
        <v>G629</v>
      </c>
      <c r="AN286" t="str">
        <f>IF(ISBLANK('Dry_Litterbag Placem_Collection'!M65),"","R"&amp;""&amp;'Dry_Litterbag Placem_Collection'!M65)</f>
        <v>R713</v>
      </c>
      <c r="AO286" t="b">
        <f t="shared" si="223"/>
        <v>0</v>
      </c>
      <c r="AP286" t="b">
        <f t="shared" si="224"/>
        <v>0</v>
      </c>
      <c r="AS286" t="str">
        <f>'Ashed teabags dry'!A284</f>
        <v>G672</v>
      </c>
      <c r="AT286" t="str">
        <f>'Ashed teabags dry'!A619</f>
        <v>R783</v>
      </c>
      <c r="AU286" t="b">
        <f t="shared" si="225"/>
        <v>0</v>
      </c>
      <c r="AV286" t="b">
        <f>COUNTIF($AT$4:$AT$2000, AT286)&gt;1</f>
        <v>0</v>
      </c>
      <c r="AX286" s="395" t="b">
        <f t="shared" si="226"/>
        <v>0</v>
      </c>
      <c r="AY286" s="395" t="b">
        <f t="shared" si="227"/>
        <v>0</v>
      </c>
      <c r="BA286" t="str">
        <f>'Ashed teabags wet'!A284</f>
        <v>G730</v>
      </c>
      <c r="BB286" t="str">
        <f>'Ashed teabags wet'!A704</f>
        <v>R496</v>
      </c>
      <c r="BC286" t="b">
        <f t="shared" si="228"/>
        <v>0</v>
      </c>
      <c r="BD286" t="b">
        <f t="shared" si="208"/>
        <v>0</v>
      </c>
      <c r="BF286" t="str">
        <f t="shared" si="229"/>
        <v>G671</v>
      </c>
      <c r="BG286" t="str">
        <f>T285</f>
        <v>G671</v>
      </c>
      <c r="BH286" t="str">
        <f t="shared" si="230"/>
        <v/>
      </c>
      <c r="BI286" t="str">
        <f t="shared" si="244"/>
        <v/>
      </c>
      <c r="BJ286" t="s">
        <v>1379</v>
      </c>
      <c r="BK286" t="s">
        <v>1379</v>
      </c>
      <c r="BL286" t="s">
        <v>1379</v>
      </c>
      <c r="BM286" t="b">
        <f t="shared" si="245"/>
        <v>1</v>
      </c>
      <c r="BN286" t="str">
        <f t="shared" si="231"/>
        <v>R782</v>
      </c>
      <c r="BO286" t="str">
        <f>U285</f>
        <v>R782</v>
      </c>
      <c r="BP286" t="str">
        <f t="shared" si="232"/>
        <v/>
      </c>
      <c r="BQ286" t="str">
        <f t="shared" si="233"/>
        <v/>
      </c>
      <c r="BR286" t="s">
        <v>357</v>
      </c>
      <c r="BS286" t="s">
        <v>356</v>
      </c>
      <c r="BT286" t="s">
        <v>357</v>
      </c>
      <c r="BU286" t="b">
        <f t="shared" si="246"/>
        <v>1</v>
      </c>
      <c r="BZ286" t="str">
        <f t="shared" si="234"/>
        <v/>
      </c>
      <c r="CA286" t="b">
        <f t="shared" si="235"/>
        <v>0</v>
      </c>
      <c r="CB286" t="str">
        <f t="shared" si="247"/>
        <v/>
      </c>
      <c r="CC286" t="str">
        <f t="shared" si="236"/>
        <v/>
      </c>
      <c r="CD286" t="b">
        <f t="shared" si="248"/>
        <v>0</v>
      </c>
      <c r="CE286" t="str">
        <f t="shared" si="249"/>
        <v/>
      </c>
      <c r="CG286" t="str">
        <f t="shared" si="237"/>
        <v>G729</v>
      </c>
      <c r="CH286" t="str">
        <f t="shared" si="250"/>
        <v>G729</v>
      </c>
      <c r="CI286" t="str">
        <f>AE285</f>
        <v>G445</v>
      </c>
      <c r="CJ286" t="str">
        <f t="shared" si="238"/>
        <v>G445</v>
      </c>
      <c r="CK286" t="s">
        <v>1321</v>
      </c>
      <c r="CL286" t="s">
        <v>1321</v>
      </c>
      <c r="CM286" t="s">
        <v>1321</v>
      </c>
      <c r="CN286" t="b">
        <f t="shared" si="251"/>
        <v>1</v>
      </c>
      <c r="CO286" t="str">
        <f t="shared" si="239"/>
        <v>R495</v>
      </c>
      <c r="CP286" t="str">
        <f t="shared" si="252"/>
        <v>R495</v>
      </c>
      <c r="CQ286" t="str">
        <f>AF285</f>
        <v>R448</v>
      </c>
      <c r="CR286" t="str">
        <f t="shared" si="240"/>
        <v>R448</v>
      </c>
      <c r="CS286" t="s">
        <v>646</v>
      </c>
      <c r="CT286" t="s">
        <v>646</v>
      </c>
      <c r="CU286" t="s">
        <v>646</v>
      </c>
      <c r="CV286" t="b">
        <f t="shared" si="253"/>
        <v>1</v>
      </c>
      <c r="DC286" t="str">
        <f t="shared" si="241"/>
        <v>G445</v>
      </c>
      <c r="DD286" t="b">
        <f t="shared" si="254"/>
        <v>0</v>
      </c>
      <c r="DE286" t="str">
        <f t="shared" si="255"/>
        <v>G445</v>
      </c>
      <c r="DF286" t="str">
        <f t="shared" si="242"/>
        <v>R448</v>
      </c>
      <c r="DG286" t="b">
        <f t="shared" si="256"/>
        <v>0</v>
      </c>
      <c r="DH286" t="str">
        <f t="shared" si="257"/>
        <v>R448</v>
      </c>
    </row>
    <row r="287" spans="2:112" ht="12" customHeight="1">
      <c r="B287" t="str">
        <f>TBIDry!H359</f>
        <v>G84</v>
      </c>
      <c r="C287" t="str">
        <f>TBIDry!I359</f>
        <v>R237</v>
      </c>
      <c r="D287" t="b">
        <f t="shared" si="209"/>
        <v>0</v>
      </c>
      <c r="E287" t="b">
        <f t="shared" si="210"/>
        <v>0</v>
      </c>
      <c r="G287" t="str">
        <f>TBIWet!H359</f>
        <v>G673</v>
      </c>
      <c r="H287" t="str">
        <f>TBIWet!I359</f>
        <v>R550</v>
      </c>
      <c r="I287" t="b">
        <f t="shared" si="211"/>
        <v>0</v>
      </c>
      <c r="J287" t="b">
        <f t="shared" si="212"/>
        <v>0</v>
      </c>
      <c r="L287" t="str">
        <f>'Both teabags AfterWet'!A285</f>
        <v>G732</v>
      </c>
      <c r="M287" t="str">
        <f>'Both teabags AfterWet'!A705</f>
        <v>R497</v>
      </c>
      <c r="N287" t="b">
        <f t="shared" si="213"/>
        <v>0</v>
      </c>
      <c r="O287" t="b">
        <f t="shared" si="258"/>
        <v>0</v>
      </c>
      <c r="Q287" s="395" t="b">
        <f t="shared" si="214"/>
        <v>0</v>
      </c>
      <c r="R287" s="395" t="b">
        <f t="shared" si="215"/>
        <v>0</v>
      </c>
      <c r="T287" t="str">
        <f>'Both teabags AfterDry'!A285</f>
        <v>G68</v>
      </c>
      <c r="U287" t="str">
        <f>'Both teabags AfterDry'!A620</f>
        <v>R784</v>
      </c>
      <c r="V287" t="b">
        <f t="shared" si="216"/>
        <v>0</v>
      </c>
      <c r="W287" t="b">
        <f t="shared" si="243"/>
        <v>0</v>
      </c>
      <c r="Y287" t="str">
        <f>'Green_rooibos initial weight'!A288</f>
        <v>G284</v>
      </c>
      <c r="Z287" t="str">
        <f>'Green_rooibos initial weight'!A1192</f>
        <v>R284</v>
      </c>
      <c r="AA287" t="b">
        <f t="shared" si="217"/>
        <v>0</v>
      </c>
      <c r="AB287" t="b">
        <f t="shared" si="218"/>
        <v>0</v>
      </c>
      <c r="AE287" t="str">
        <f>'WetLitterbags placem_collection'!O66</f>
        <v>G673</v>
      </c>
      <c r="AF287" t="str">
        <f>'WetLitterbags placem_collection'!Q66</f>
        <v>R550</v>
      </c>
      <c r="AG287" t="b">
        <f t="shared" si="219"/>
        <v>0</v>
      </c>
      <c r="AH287" t="b">
        <f t="shared" si="220"/>
        <v>0</v>
      </c>
      <c r="AJ287" t="b">
        <f t="shared" si="221"/>
        <v>0</v>
      </c>
      <c r="AK287" t="b">
        <f t="shared" si="222"/>
        <v>0</v>
      </c>
      <c r="AM287" t="str">
        <f>IF(ISBLANK('Dry_Litterbag Placem_Collection'!L66),"","G"&amp;""&amp;'Dry_Litterbag Placem_Collection'!L66)</f>
        <v>G84</v>
      </c>
      <c r="AN287" t="str">
        <f>IF(ISBLANK('Dry_Litterbag Placem_Collection'!M66),"","R"&amp;""&amp;'Dry_Litterbag Placem_Collection'!M66)</f>
        <v>R237</v>
      </c>
      <c r="AO287" t="b">
        <f t="shared" si="223"/>
        <v>0</v>
      </c>
      <c r="AP287" t="b">
        <f t="shared" si="224"/>
        <v>0</v>
      </c>
      <c r="AS287" t="str">
        <f>'Ashed teabags dry'!A285</f>
        <v>G68</v>
      </c>
      <c r="AT287" t="str">
        <f>'Ashed teabags dry'!A620</f>
        <v>R784</v>
      </c>
      <c r="AU287" t="b">
        <f t="shared" si="225"/>
        <v>0</v>
      </c>
      <c r="AV287" t="b">
        <f>COUNTIF($AT$4:$AT$2000, AT287)&gt;1</f>
        <v>0</v>
      </c>
      <c r="AX287" s="395" t="b">
        <f t="shared" si="226"/>
        <v>0</v>
      </c>
      <c r="AY287" s="395" t="b">
        <f t="shared" si="227"/>
        <v>0</v>
      </c>
      <c r="BA287" t="str">
        <f>'Ashed teabags wet'!A285</f>
        <v>G732</v>
      </c>
      <c r="BB287" t="str">
        <f>'Ashed teabags wet'!A705</f>
        <v>R497</v>
      </c>
      <c r="BC287" t="b">
        <f t="shared" si="228"/>
        <v>0</v>
      </c>
      <c r="BD287" t="b">
        <f t="shared" si="208"/>
        <v>0</v>
      </c>
      <c r="BF287" t="str">
        <f t="shared" si="229"/>
        <v>G672</v>
      </c>
      <c r="BG287" t="str">
        <f>T286</f>
        <v>G672</v>
      </c>
      <c r="BH287" t="str">
        <f t="shared" si="230"/>
        <v>G629</v>
      </c>
      <c r="BI287" t="str">
        <f t="shared" si="244"/>
        <v>G629</v>
      </c>
      <c r="BJ287" t="s">
        <v>1378</v>
      </c>
      <c r="BK287" t="s">
        <v>1378</v>
      </c>
      <c r="BL287" t="s">
        <v>1378</v>
      </c>
      <c r="BM287" t="b">
        <f t="shared" si="245"/>
        <v>1</v>
      </c>
      <c r="BN287" t="str">
        <f t="shared" si="231"/>
        <v>R783</v>
      </c>
      <c r="BO287" t="str">
        <f>U286</f>
        <v>R783</v>
      </c>
      <c r="BP287" t="str">
        <f t="shared" si="232"/>
        <v>R713</v>
      </c>
      <c r="BQ287" t="str">
        <f t="shared" si="233"/>
        <v>R713</v>
      </c>
      <c r="BR287" t="s">
        <v>356</v>
      </c>
      <c r="BS287" t="s">
        <v>355</v>
      </c>
      <c r="BT287" t="s">
        <v>356</v>
      </c>
      <c r="BU287" t="b">
        <f t="shared" si="246"/>
        <v>1</v>
      </c>
      <c r="BZ287" t="str">
        <f t="shared" si="234"/>
        <v>G629</v>
      </c>
      <c r="CA287" t="b">
        <f t="shared" si="235"/>
        <v>0</v>
      </c>
      <c r="CB287" t="str">
        <f t="shared" si="247"/>
        <v>G629</v>
      </c>
      <c r="CC287" t="str">
        <f t="shared" si="236"/>
        <v>R713</v>
      </c>
      <c r="CD287" t="b">
        <f t="shared" si="248"/>
        <v>0</v>
      </c>
      <c r="CE287" t="str">
        <f t="shared" si="249"/>
        <v>R713</v>
      </c>
      <c r="CG287" t="str">
        <f t="shared" si="237"/>
        <v>G730</v>
      </c>
      <c r="CH287" t="str">
        <f t="shared" si="250"/>
        <v>G730</v>
      </c>
      <c r="CI287" t="str">
        <f>AE286</f>
        <v>G440</v>
      </c>
      <c r="CJ287" t="str">
        <f t="shared" si="238"/>
        <v>G440</v>
      </c>
      <c r="CK287" t="s">
        <v>1320</v>
      </c>
      <c r="CL287" t="s">
        <v>1320</v>
      </c>
      <c r="CM287" t="s">
        <v>1320</v>
      </c>
      <c r="CN287" t="b">
        <f t="shared" si="251"/>
        <v>1</v>
      </c>
      <c r="CO287" t="str">
        <f t="shared" si="239"/>
        <v>R496</v>
      </c>
      <c r="CP287" t="str">
        <f t="shared" si="252"/>
        <v>R496</v>
      </c>
      <c r="CQ287" t="str">
        <f>AF286</f>
        <v>R423</v>
      </c>
      <c r="CR287" t="str">
        <f t="shared" si="240"/>
        <v>R423</v>
      </c>
      <c r="CS287" t="s">
        <v>645</v>
      </c>
      <c r="CT287" t="s">
        <v>645</v>
      </c>
      <c r="CU287" t="s">
        <v>645</v>
      </c>
      <c r="CV287" t="b">
        <f t="shared" si="253"/>
        <v>1</v>
      </c>
      <c r="DC287" t="str">
        <f t="shared" si="241"/>
        <v>G440</v>
      </c>
      <c r="DD287" t="b">
        <f t="shared" si="254"/>
        <v>0</v>
      </c>
      <c r="DE287" t="str">
        <f t="shared" si="255"/>
        <v>G440</v>
      </c>
      <c r="DF287" t="str">
        <f t="shared" si="242"/>
        <v>R423</v>
      </c>
      <c r="DG287" t="b">
        <f t="shared" si="256"/>
        <v>0</v>
      </c>
      <c r="DH287" t="str">
        <f t="shared" si="257"/>
        <v>R423</v>
      </c>
    </row>
    <row r="288" spans="2:112" ht="12" customHeight="1">
      <c r="B288" t="str">
        <f>TBIDry!H360</f>
        <v>G586</v>
      </c>
      <c r="C288" t="str">
        <f>TBIDry!I360</f>
        <v>R654</v>
      </c>
      <c r="D288" t="b">
        <f t="shared" si="209"/>
        <v>0</v>
      </c>
      <c r="E288" t="b">
        <f t="shared" si="210"/>
        <v>0</v>
      </c>
      <c r="G288" t="str">
        <f>TBIWet!H360</f>
        <v>G700</v>
      </c>
      <c r="H288" t="str">
        <f>TBIWet!I360</f>
        <v>R333</v>
      </c>
      <c r="I288" t="b">
        <f t="shared" si="211"/>
        <v>0</v>
      </c>
      <c r="J288" t="b">
        <f t="shared" si="212"/>
        <v>0</v>
      </c>
      <c r="L288" t="str">
        <f>'Both teabags AfterWet'!A286</f>
        <v>G733</v>
      </c>
      <c r="M288" t="str">
        <f>'Both teabags AfterWet'!A706</f>
        <v>R5</v>
      </c>
      <c r="N288" t="b">
        <f t="shared" si="213"/>
        <v>0</v>
      </c>
      <c r="O288" t="b">
        <f t="shared" si="258"/>
        <v>0</v>
      </c>
      <c r="Q288" s="395" t="b">
        <f t="shared" si="214"/>
        <v>0</v>
      </c>
      <c r="R288" s="395" t="b">
        <f t="shared" si="215"/>
        <v>0</v>
      </c>
      <c r="T288" t="str">
        <f>'Both teabags AfterDry'!A286</f>
        <v>G7</v>
      </c>
      <c r="U288" t="str">
        <f>'Both teabags AfterDry'!A621</f>
        <v>R785</v>
      </c>
      <c r="V288" t="b">
        <f t="shared" si="216"/>
        <v>0</v>
      </c>
      <c r="W288" t="b">
        <f t="shared" si="243"/>
        <v>0</v>
      </c>
      <c r="Y288" t="str">
        <f>'Green_rooibos initial weight'!A289</f>
        <v>G285</v>
      </c>
      <c r="Z288" t="str">
        <f>'Green_rooibos initial weight'!A1193</f>
        <v>R285</v>
      </c>
      <c r="AA288" t="b">
        <f t="shared" si="217"/>
        <v>0</v>
      </c>
      <c r="AB288" t="b">
        <f t="shared" si="218"/>
        <v>0</v>
      </c>
      <c r="AE288" t="str">
        <f>'WetLitterbags placem_collection'!O67</f>
        <v>G700</v>
      </c>
      <c r="AF288" t="str">
        <f>'WetLitterbags placem_collection'!Q67</f>
        <v>R333</v>
      </c>
      <c r="AG288" t="b">
        <f t="shared" si="219"/>
        <v>0</v>
      </c>
      <c r="AH288" t="b">
        <f t="shared" si="220"/>
        <v>0</v>
      </c>
      <c r="AJ288" t="b">
        <f t="shared" si="221"/>
        <v>0</v>
      </c>
      <c r="AK288" t="b">
        <f t="shared" si="222"/>
        <v>0</v>
      </c>
      <c r="AM288" t="str">
        <f>IF(ISBLANK('Dry_Litterbag Placem_Collection'!L67),"","G"&amp;""&amp;'Dry_Litterbag Placem_Collection'!L67)</f>
        <v>G586</v>
      </c>
      <c r="AN288" t="str">
        <f>IF(ISBLANK('Dry_Litterbag Placem_Collection'!M67),"","R"&amp;""&amp;'Dry_Litterbag Placem_Collection'!M67)</f>
        <v>R654</v>
      </c>
      <c r="AO288" t="b">
        <f t="shared" si="223"/>
        <v>0</v>
      </c>
      <c r="AP288" t="b">
        <f t="shared" si="224"/>
        <v>0</v>
      </c>
      <c r="AS288" t="str">
        <f>'Ashed teabags dry'!A286</f>
        <v>G7</v>
      </c>
      <c r="AT288" t="str">
        <f>'Ashed teabags dry'!A621</f>
        <v>R785</v>
      </c>
      <c r="AU288" t="b">
        <f t="shared" si="225"/>
        <v>0</v>
      </c>
      <c r="AV288" t="b">
        <f>COUNTIF($AT$4:$AT$2000, AT288)&gt;1</f>
        <v>0</v>
      </c>
      <c r="AX288" s="395" t="b">
        <f t="shared" si="226"/>
        <v>0</v>
      </c>
      <c r="AY288" s="395" t="b">
        <f t="shared" si="227"/>
        <v>0</v>
      </c>
      <c r="BA288" t="str">
        <f>'Ashed teabags wet'!A286</f>
        <v>G733</v>
      </c>
      <c r="BB288" t="str">
        <f>'Ashed teabags wet'!A706</f>
        <v>R5</v>
      </c>
      <c r="BC288" t="b">
        <f t="shared" si="228"/>
        <v>0</v>
      </c>
      <c r="BD288" t="b">
        <f t="shared" si="208"/>
        <v>0</v>
      </c>
      <c r="BF288" t="str">
        <f t="shared" si="229"/>
        <v>G68</v>
      </c>
      <c r="BG288" t="str">
        <f>T287</f>
        <v>G68</v>
      </c>
      <c r="BH288" t="str">
        <f t="shared" si="230"/>
        <v>G84</v>
      </c>
      <c r="BI288" t="str">
        <f t="shared" si="244"/>
        <v>G84</v>
      </c>
      <c r="BJ288" t="s">
        <v>1982</v>
      </c>
      <c r="BK288" t="s">
        <v>1982</v>
      </c>
      <c r="BL288" t="s">
        <v>1982</v>
      </c>
      <c r="BM288" t="b">
        <f t="shared" si="245"/>
        <v>1</v>
      </c>
      <c r="BN288" t="str">
        <f t="shared" si="231"/>
        <v>R784</v>
      </c>
      <c r="BO288" t="str">
        <f>U287</f>
        <v>R784</v>
      </c>
      <c r="BP288" t="str">
        <f t="shared" si="232"/>
        <v>R237</v>
      </c>
      <c r="BQ288" t="str">
        <f t="shared" si="233"/>
        <v>R237</v>
      </c>
      <c r="BR288" t="s">
        <v>355</v>
      </c>
      <c r="BS288" t="s">
        <v>354</v>
      </c>
      <c r="BT288" t="s">
        <v>355</v>
      </c>
      <c r="BU288" t="b">
        <f t="shared" si="246"/>
        <v>1</v>
      </c>
      <c r="BZ288" t="str">
        <f t="shared" si="234"/>
        <v>G84</v>
      </c>
      <c r="CA288" t="b">
        <f t="shared" si="235"/>
        <v>0</v>
      </c>
      <c r="CB288" t="str">
        <f t="shared" si="247"/>
        <v>G84</v>
      </c>
      <c r="CC288" t="str">
        <f t="shared" si="236"/>
        <v>R237</v>
      </c>
      <c r="CD288" t="b">
        <f t="shared" si="248"/>
        <v>0</v>
      </c>
      <c r="CE288" t="str">
        <f t="shared" si="249"/>
        <v>R237</v>
      </c>
      <c r="CG288" t="str">
        <f t="shared" si="237"/>
        <v>G732</v>
      </c>
      <c r="CH288" t="str">
        <f t="shared" si="250"/>
        <v>G732</v>
      </c>
      <c r="CI288" t="str">
        <f>AE287</f>
        <v>G673</v>
      </c>
      <c r="CJ288" t="str">
        <f t="shared" si="238"/>
        <v>G673</v>
      </c>
      <c r="CK288" t="s">
        <v>1318</v>
      </c>
      <c r="CL288" t="s">
        <v>1318</v>
      </c>
      <c r="CM288" t="s">
        <v>1318</v>
      </c>
      <c r="CN288" t="b">
        <f t="shared" si="251"/>
        <v>1</v>
      </c>
      <c r="CO288" t="str">
        <f t="shared" si="239"/>
        <v>R497</v>
      </c>
      <c r="CP288" t="str">
        <f t="shared" si="252"/>
        <v>R497</v>
      </c>
      <c r="CQ288" t="str">
        <f>AF287</f>
        <v>R550</v>
      </c>
      <c r="CR288" t="str">
        <f t="shared" si="240"/>
        <v>R550</v>
      </c>
      <c r="CS288" t="s">
        <v>644</v>
      </c>
      <c r="CT288" t="s">
        <v>644</v>
      </c>
      <c r="CU288" t="s">
        <v>644</v>
      </c>
      <c r="CV288" t="b">
        <f t="shared" si="253"/>
        <v>1</v>
      </c>
      <c r="DC288" t="str">
        <f t="shared" si="241"/>
        <v>G673</v>
      </c>
      <c r="DD288" t="b">
        <f t="shared" si="254"/>
        <v>0</v>
      </c>
      <c r="DE288" t="str">
        <f t="shared" si="255"/>
        <v>G673</v>
      </c>
      <c r="DF288" t="str">
        <f t="shared" si="242"/>
        <v>R550</v>
      </c>
      <c r="DG288" t="b">
        <f t="shared" si="256"/>
        <v>0</v>
      </c>
      <c r="DH288" t="str">
        <f t="shared" si="257"/>
        <v>R550</v>
      </c>
    </row>
    <row r="289" spans="2:112" ht="12" customHeight="1">
      <c r="B289" t="str">
        <f>TBIDry!H361</f>
        <v>G851</v>
      </c>
      <c r="C289" t="str">
        <f>TBIDry!I361</f>
        <v>R634</v>
      </c>
      <c r="D289" t="b">
        <f t="shared" si="209"/>
        <v>0</v>
      </c>
      <c r="E289" t="b">
        <f t="shared" si="210"/>
        <v>0</v>
      </c>
      <c r="G289" t="str">
        <f>TBIWet!H361</f>
        <v>G760</v>
      </c>
      <c r="H289" t="str">
        <f>TBIWet!I361</f>
        <v>R252</v>
      </c>
      <c r="I289" t="b">
        <f t="shared" si="211"/>
        <v>0</v>
      </c>
      <c r="J289" t="b">
        <f t="shared" si="212"/>
        <v>0</v>
      </c>
      <c r="L289" t="str">
        <f>'Both teabags AfterWet'!A287</f>
        <v>G736</v>
      </c>
      <c r="M289" t="str">
        <f>'Both teabags AfterWet'!A707</f>
        <v>R50</v>
      </c>
      <c r="N289" t="b">
        <f t="shared" si="213"/>
        <v>0</v>
      </c>
      <c r="O289" t="b">
        <f t="shared" si="258"/>
        <v>0</v>
      </c>
      <c r="Q289" s="395" t="b">
        <f t="shared" si="214"/>
        <v>0</v>
      </c>
      <c r="R289" s="395" t="b">
        <f t="shared" si="215"/>
        <v>0</v>
      </c>
      <c r="T289" t="str">
        <f>'Both teabags AfterDry'!A287</f>
        <v>G705</v>
      </c>
      <c r="U289" t="str">
        <f>'Both teabags AfterDry'!A622</f>
        <v>R786</v>
      </c>
      <c r="V289" t="b">
        <f t="shared" si="216"/>
        <v>0</v>
      </c>
      <c r="W289" t="b">
        <f t="shared" si="243"/>
        <v>0</v>
      </c>
      <c r="Y289" t="str">
        <f>'Green_rooibos initial weight'!A290</f>
        <v>G286</v>
      </c>
      <c r="Z289" t="str">
        <f>'Green_rooibos initial weight'!A1194</f>
        <v>R286</v>
      </c>
      <c r="AA289" t="b">
        <f t="shared" si="217"/>
        <v>0</v>
      </c>
      <c r="AB289" t="b">
        <f t="shared" si="218"/>
        <v>0</v>
      </c>
      <c r="AE289" t="str">
        <f>'WetLitterbags placem_collection'!O68</f>
        <v>G760</v>
      </c>
      <c r="AF289" t="str">
        <f>'WetLitterbags placem_collection'!Q68</f>
        <v>R252</v>
      </c>
      <c r="AG289" t="b">
        <f t="shared" si="219"/>
        <v>0</v>
      </c>
      <c r="AH289" t="b">
        <f t="shared" si="220"/>
        <v>0</v>
      </c>
      <c r="AJ289" t="b">
        <f t="shared" si="221"/>
        <v>0</v>
      </c>
      <c r="AK289" t="b">
        <f t="shared" si="222"/>
        <v>0</v>
      </c>
      <c r="AM289" t="str">
        <f>IF(ISBLANK('Dry_Litterbag Placem_Collection'!L68),"","G"&amp;""&amp;'Dry_Litterbag Placem_Collection'!L68)</f>
        <v>G851</v>
      </c>
      <c r="AN289" t="str">
        <f>IF(ISBLANK('Dry_Litterbag Placem_Collection'!M68),"","R"&amp;""&amp;'Dry_Litterbag Placem_Collection'!M68)</f>
        <v>R634</v>
      </c>
      <c r="AO289" t="b">
        <f t="shared" si="223"/>
        <v>0</v>
      </c>
      <c r="AP289" t="b">
        <f t="shared" si="224"/>
        <v>0</v>
      </c>
      <c r="AS289" t="str">
        <f>'Ashed teabags dry'!A287</f>
        <v>G705</v>
      </c>
      <c r="AT289" t="str">
        <f>'Ashed teabags dry'!A622</f>
        <v>R786</v>
      </c>
      <c r="AU289" t="b">
        <f t="shared" si="225"/>
        <v>0</v>
      </c>
      <c r="AV289" t="b">
        <f>COUNTIF($AT$4:$AT$2000, AT289)&gt;1</f>
        <v>0</v>
      </c>
      <c r="AX289" s="395" t="b">
        <f t="shared" si="226"/>
        <v>0</v>
      </c>
      <c r="AY289" s="395" t="b">
        <f t="shared" si="227"/>
        <v>0</v>
      </c>
      <c r="BA289" t="str">
        <f>'Ashed teabags wet'!A287</f>
        <v>G736</v>
      </c>
      <c r="BB289" t="str">
        <f>'Ashed teabags wet'!A707</f>
        <v>R50</v>
      </c>
      <c r="BC289" t="b">
        <f t="shared" si="228"/>
        <v>0</v>
      </c>
      <c r="BD289" t="b">
        <f t="shared" si="208"/>
        <v>0</v>
      </c>
      <c r="BF289" t="str">
        <f t="shared" si="229"/>
        <v>G7</v>
      </c>
      <c r="BG289" t="str">
        <f>T288</f>
        <v>G7</v>
      </c>
      <c r="BH289" t="str">
        <f t="shared" si="230"/>
        <v>G586</v>
      </c>
      <c r="BI289" t="str">
        <f t="shared" si="244"/>
        <v/>
      </c>
      <c r="BJ289" t="s">
        <v>2043</v>
      </c>
      <c r="BK289" t="s">
        <v>2043</v>
      </c>
      <c r="BL289" t="s">
        <v>2043</v>
      </c>
      <c r="BM289" t="b">
        <f t="shared" si="245"/>
        <v>1</v>
      </c>
      <c r="BN289" t="str">
        <f t="shared" si="231"/>
        <v>R785</v>
      </c>
      <c r="BO289" t="str">
        <f>U288</f>
        <v>R785</v>
      </c>
      <c r="BP289" t="str">
        <f t="shared" si="232"/>
        <v>R654</v>
      </c>
      <c r="BQ289" t="str">
        <f t="shared" si="233"/>
        <v/>
      </c>
      <c r="BR289" t="s">
        <v>354</v>
      </c>
      <c r="BS289" t="s">
        <v>353</v>
      </c>
      <c r="BT289" t="s">
        <v>354</v>
      </c>
      <c r="BU289" t="b">
        <f t="shared" si="246"/>
        <v>1</v>
      </c>
      <c r="BZ289" t="str">
        <f t="shared" si="234"/>
        <v>G586</v>
      </c>
      <c r="CA289" t="b">
        <f t="shared" si="235"/>
        <v>1</v>
      </c>
      <c r="CB289" t="str">
        <f t="shared" si="247"/>
        <v/>
      </c>
      <c r="CC289" t="str">
        <f t="shared" si="236"/>
        <v>R654</v>
      </c>
      <c r="CD289" t="b">
        <f t="shared" si="248"/>
        <v>1</v>
      </c>
      <c r="CE289" t="str">
        <f t="shared" si="249"/>
        <v/>
      </c>
      <c r="CG289" t="str">
        <f t="shared" si="237"/>
        <v>G733</v>
      </c>
      <c r="CH289" t="str">
        <f t="shared" si="250"/>
        <v>G733</v>
      </c>
      <c r="CI289" t="str">
        <f>AE288</f>
        <v>G700</v>
      </c>
      <c r="CJ289" t="str">
        <f t="shared" si="238"/>
        <v>G700</v>
      </c>
      <c r="CK289" t="s">
        <v>1317</v>
      </c>
      <c r="CL289" t="s">
        <v>1317</v>
      </c>
      <c r="CM289" t="s">
        <v>1317</v>
      </c>
      <c r="CN289" t="b">
        <f t="shared" si="251"/>
        <v>1</v>
      </c>
      <c r="CO289" t="str">
        <f t="shared" si="239"/>
        <v>R5</v>
      </c>
      <c r="CP289" t="str">
        <f t="shared" si="252"/>
        <v>R5</v>
      </c>
      <c r="CQ289" t="str">
        <f>AF288</f>
        <v>R333</v>
      </c>
      <c r="CR289" t="str">
        <f t="shared" si="240"/>
        <v>R333</v>
      </c>
      <c r="CS289" t="s">
        <v>1136</v>
      </c>
      <c r="CT289" t="s">
        <v>1136</v>
      </c>
      <c r="CU289" t="s">
        <v>1136</v>
      </c>
      <c r="CV289" t="b">
        <f t="shared" si="253"/>
        <v>1</v>
      </c>
      <c r="DC289" t="str">
        <f t="shared" si="241"/>
        <v>G700</v>
      </c>
      <c r="DD289" t="b">
        <f t="shared" si="254"/>
        <v>0</v>
      </c>
      <c r="DE289" t="str">
        <f t="shared" si="255"/>
        <v>G700</v>
      </c>
      <c r="DF289" t="str">
        <f t="shared" si="242"/>
        <v>R333</v>
      </c>
      <c r="DG289" t="b">
        <f t="shared" si="256"/>
        <v>0</v>
      </c>
      <c r="DH289" t="str">
        <f t="shared" si="257"/>
        <v>R333</v>
      </c>
    </row>
    <row r="290" spans="2:112" ht="12" customHeight="1">
      <c r="B290" t="str">
        <f>TBIDry!H362</f>
        <v/>
      </c>
      <c r="C290" t="str">
        <f>TBIDry!I362</f>
        <v/>
      </c>
      <c r="D290" t="b">
        <f t="shared" si="209"/>
        <v>1</v>
      </c>
      <c r="E290" t="b">
        <f t="shared" si="210"/>
        <v>1</v>
      </c>
      <c r="G290" t="str">
        <f>TBIWet!H362</f>
        <v>G660</v>
      </c>
      <c r="H290" t="str">
        <f>TBIWet!I362</f>
        <v>R44</v>
      </c>
      <c r="I290" t="b">
        <f t="shared" si="211"/>
        <v>0</v>
      </c>
      <c r="J290" t="b">
        <f t="shared" si="212"/>
        <v>0</v>
      </c>
      <c r="L290" t="str">
        <f>'Both teabags AfterWet'!A288</f>
        <v>G737</v>
      </c>
      <c r="M290" t="str">
        <f>'Both teabags AfterWet'!A708</f>
        <v>R500</v>
      </c>
      <c r="N290" t="b">
        <f t="shared" si="213"/>
        <v>0</v>
      </c>
      <c r="O290" t="b">
        <f t="shared" si="258"/>
        <v>0</v>
      </c>
      <c r="Q290" s="395" t="b">
        <f t="shared" si="214"/>
        <v>0</v>
      </c>
      <c r="R290" s="395" t="b">
        <f t="shared" si="215"/>
        <v>0</v>
      </c>
      <c r="T290" t="str">
        <f>'Both teabags AfterDry'!A288</f>
        <v>G714</v>
      </c>
      <c r="U290" t="str">
        <f>'Both teabags AfterDry'!A623</f>
        <v>R787</v>
      </c>
      <c r="V290" t="b">
        <f t="shared" si="216"/>
        <v>0</v>
      </c>
      <c r="W290" t="b">
        <f t="shared" si="243"/>
        <v>0</v>
      </c>
      <c r="Y290" t="str">
        <f>'Green_rooibos initial weight'!A291</f>
        <v>G287</v>
      </c>
      <c r="Z290" t="str">
        <f>'Green_rooibos initial weight'!A1195</f>
        <v>R287</v>
      </c>
      <c r="AA290" t="b">
        <f t="shared" si="217"/>
        <v>0</v>
      </c>
      <c r="AB290" t="b">
        <f t="shared" si="218"/>
        <v>0</v>
      </c>
      <c r="AE290" t="str">
        <f>'WetLitterbags placem_collection'!O69</f>
        <v>G660</v>
      </c>
      <c r="AF290" t="str">
        <f>'WetLitterbags placem_collection'!Q69</f>
        <v>R44</v>
      </c>
      <c r="AG290" t="b">
        <f t="shared" si="219"/>
        <v>0</v>
      </c>
      <c r="AH290" t="b">
        <f t="shared" si="220"/>
        <v>0</v>
      </c>
      <c r="AJ290" t="b">
        <f t="shared" si="221"/>
        <v>0</v>
      </c>
      <c r="AK290" t="b">
        <f t="shared" si="222"/>
        <v>0</v>
      </c>
      <c r="AM290" t="str">
        <f>IF(ISBLANK('Dry_Litterbag Placem_Collection'!L69),"","G"&amp;""&amp;'Dry_Litterbag Placem_Collection'!L69)</f>
        <v/>
      </c>
      <c r="AN290" t="str">
        <f>IF(ISBLANK('Dry_Litterbag Placem_Collection'!M69),"","R"&amp;""&amp;'Dry_Litterbag Placem_Collection'!M69)</f>
        <v/>
      </c>
      <c r="AO290" t="b">
        <f t="shared" si="223"/>
        <v>1</v>
      </c>
      <c r="AP290" t="b">
        <f t="shared" si="224"/>
        <v>1</v>
      </c>
      <c r="AS290" t="str">
        <f>'Ashed teabags dry'!A288</f>
        <v>G714</v>
      </c>
      <c r="AT290" t="str">
        <f>'Ashed teabags dry'!A623</f>
        <v>R787</v>
      </c>
      <c r="AU290" t="b">
        <f t="shared" si="225"/>
        <v>0</v>
      </c>
      <c r="AV290" t="b">
        <f>COUNTIF($AT$4:$AT$2000, AT290)&gt;1</f>
        <v>0</v>
      </c>
      <c r="AX290" s="395" t="b">
        <f t="shared" si="226"/>
        <v>0</v>
      </c>
      <c r="AY290" s="395" t="b">
        <f t="shared" si="227"/>
        <v>0</v>
      </c>
      <c r="BA290" t="str">
        <f>'Ashed teabags wet'!A288</f>
        <v>G737</v>
      </c>
      <c r="BB290" t="str">
        <f>'Ashed teabags wet'!A708</f>
        <v>R500</v>
      </c>
      <c r="BC290" t="b">
        <f t="shared" si="228"/>
        <v>0</v>
      </c>
      <c r="BD290" t="b">
        <f t="shared" si="208"/>
        <v>0</v>
      </c>
      <c r="BF290" t="str">
        <f t="shared" si="229"/>
        <v>G705</v>
      </c>
      <c r="BG290" t="str">
        <f>T289</f>
        <v>G705</v>
      </c>
      <c r="BH290" t="str">
        <f t="shared" si="230"/>
        <v>G851</v>
      </c>
      <c r="BI290" t="str">
        <f t="shared" si="244"/>
        <v>G851</v>
      </c>
      <c r="BJ290" t="s">
        <v>1345</v>
      </c>
      <c r="BK290" t="s">
        <v>1345</v>
      </c>
      <c r="BL290" t="s">
        <v>1345</v>
      </c>
      <c r="BM290" t="b">
        <f t="shared" si="245"/>
        <v>1</v>
      </c>
      <c r="BN290" t="str">
        <f t="shared" si="231"/>
        <v>R786</v>
      </c>
      <c r="BO290" t="str">
        <f>U289</f>
        <v>R786</v>
      </c>
      <c r="BP290" t="str">
        <f t="shared" si="232"/>
        <v>R634</v>
      </c>
      <c r="BQ290" t="str">
        <f t="shared" si="233"/>
        <v>R634</v>
      </c>
      <c r="BR290" t="s">
        <v>353</v>
      </c>
      <c r="BS290" t="s">
        <v>352</v>
      </c>
      <c r="BT290" t="s">
        <v>353</v>
      </c>
      <c r="BU290" t="b">
        <f t="shared" si="246"/>
        <v>1</v>
      </c>
      <c r="BZ290" t="str">
        <f t="shared" si="234"/>
        <v>G851</v>
      </c>
      <c r="CA290" t="b">
        <f t="shared" si="235"/>
        <v>0</v>
      </c>
      <c r="CB290" t="str">
        <f t="shared" si="247"/>
        <v>G851</v>
      </c>
      <c r="CC290" t="str">
        <f t="shared" si="236"/>
        <v>R634</v>
      </c>
      <c r="CD290" t="b">
        <f t="shared" si="248"/>
        <v>0</v>
      </c>
      <c r="CE290" t="str">
        <f t="shared" si="249"/>
        <v>R634</v>
      </c>
      <c r="CG290" t="str">
        <f t="shared" si="237"/>
        <v>G736</v>
      </c>
      <c r="CH290" t="str">
        <f t="shared" si="250"/>
        <v>G736</v>
      </c>
      <c r="CI290" t="str">
        <f>AE289</f>
        <v>G760</v>
      </c>
      <c r="CJ290" t="str">
        <f t="shared" si="238"/>
        <v>G760</v>
      </c>
      <c r="CK290" t="s">
        <v>1314</v>
      </c>
      <c r="CL290" t="s">
        <v>1314</v>
      </c>
      <c r="CM290" t="s">
        <v>1314</v>
      </c>
      <c r="CN290" t="b">
        <f t="shared" si="251"/>
        <v>1</v>
      </c>
      <c r="CO290" t="str">
        <f t="shared" si="239"/>
        <v>R50</v>
      </c>
      <c r="CP290" t="str">
        <f t="shared" si="252"/>
        <v>R50</v>
      </c>
      <c r="CQ290" t="str">
        <f>AF289</f>
        <v>R252</v>
      </c>
      <c r="CR290" t="str">
        <f t="shared" si="240"/>
        <v>R252</v>
      </c>
      <c r="CS290" t="s">
        <v>1091</v>
      </c>
      <c r="CT290" t="s">
        <v>1091</v>
      </c>
      <c r="CU290" t="s">
        <v>1091</v>
      </c>
      <c r="CV290" t="b">
        <f t="shared" si="253"/>
        <v>1</v>
      </c>
      <c r="DC290" t="str">
        <f t="shared" si="241"/>
        <v>G760</v>
      </c>
      <c r="DD290" t="b">
        <f t="shared" si="254"/>
        <v>0</v>
      </c>
      <c r="DE290" t="str">
        <f t="shared" si="255"/>
        <v>G760</v>
      </c>
      <c r="DF290" t="str">
        <f t="shared" si="242"/>
        <v>R252</v>
      </c>
      <c r="DG290" t="b">
        <f t="shared" si="256"/>
        <v>0</v>
      </c>
      <c r="DH290" t="str">
        <f t="shared" si="257"/>
        <v>R252</v>
      </c>
    </row>
    <row r="291" spans="2:112" ht="12" customHeight="1">
      <c r="B291" t="str">
        <f>TBIDry!H363</f>
        <v>G467</v>
      </c>
      <c r="C291" t="str">
        <f>TBIDry!I363</f>
        <v>R201</v>
      </c>
      <c r="D291" t="b">
        <f t="shared" si="209"/>
        <v>0</v>
      </c>
      <c r="E291" t="b">
        <f t="shared" si="210"/>
        <v>0</v>
      </c>
      <c r="G291" t="str">
        <f>TBIWet!H363</f>
        <v>G477</v>
      </c>
      <c r="H291" t="str">
        <f>TBIWet!I363</f>
        <v>R9</v>
      </c>
      <c r="I291" t="b">
        <f t="shared" si="211"/>
        <v>0</v>
      </c>
      <c r="J291" t="b">
        <f t="shared" si="212"/>
        <v>0</v>
      </c>
      <c r="L291" t="str">
        <f>'Both teabags AfterWet'!A289</f>
        <v>G738</v>
      </c>
      <c r="M291" t="str">
        <f>'Both teabags AfterWet'!A709</f>
        <v>R501</v>
      </c>
      <c r="N291" t="b">
        <f t="shared" si="213"/>
        <v>0</v>
      </c>
      <c r="O291" t="b">
        <f t="shared" si="258"/>
        <v>0</v>
      </c>
      <c r="Q291" s="395" t="b">
        <f t="shared" si="214"/>
        <v>0</v>
      </c>
      <c r="R291" s="395" t="b">
        <f t="shared" si="215"/>
        <v>0</v>
      </c>
      <c r="T291" t="str">
        <f>'Both teabags AfterDry'!A289</f>
        <v>G717</v>
      </c>
      <c r="U291" t="str">
        <f>'Both teabags AfterDry'!A624</f>
        <v>R788</v>
      </c>
      <c r="V291" t="b">
        <f t="shared" si="216"/>
        <v>0</v>
      </c>
      <c r="W291" t="b">
        <f t="shared" si="243"/>
        <v>0</v>
      </c>
      <c r="Y291" t="str">
        <f>'Green_rooibos initial weight'!A292</f>
        <v>G288</v>
      </c>
      <c r="Z291" t="str">
        <f>'Green_rooibos initial weight'!A1196</f>
        <v>R288</v>
      </c>
      <c r="AA291" t="b">
        <f t="shared" si="217"/>
        <v>0</v>
      </c>
      <c r="AB291" t="b">
        <f t="shared" si="218"/>
        <v>0</v>
      </c>
      <c r="AE291" t="str">
        <f>'WetLitterbags placem_collection'!O70</f>
        <v>G477</v>
      </c>
      <c r="AF291" t="str">
        <f>'WetLitterbags placem_collection'!Q70</f>
        <v>R9</v>
      </c>
      <c r="AG291" t="b">
        <f t="shared" si="219"/>
        <v>0</v>
      </c>
      <c r="AH291" t="b">
        <f t="shared" si="220"/>
        <v>0</v>
      </c>
      <c r="AJ291" t="b">
        <f t="shared" si="221"/>
        <v>0</v>
      </c>
      <c r="AK291" t="b">
        <f t="shared" si="222"/>
        <v>0</v>
      </c>
      <c r="AM291" t="str">
        <f>IF(ISBLANK('Dry_Litterbag Placem_Collection'!L70),"","G"&amp;""&amp;'Dry_Litterbag Placem_Collection'!L70)</f>
        <v>G467</v>
      </c>
      <c r="AN291" t="str">
        <f>IF(ISBLANK('Dry_Litterbag Placem_Collection'!M70),"","R"&amp;""&amp;'Dry_Litterbag Placem_Collection'!M70)</f>
        <v>R201</v>
      </c>
      <c r="AO291" t="b">
        <f t="shared" si="223"/>
        <v>0</v>
      </c>
      <c r="AP291" t="b">
        <f t="shared" si="224"/>
        <v>0</v>
      </c>
      <c r="AS291" t="str">
        <f>'Ashed teabags dry'!A289</f>
        <v>G717</v>
      </c>
      <c r="AT291" t="str">
        <f>'Ashed teabags dry'!A624</f>
        <v>R788</v>
      </c>
      <c r="AU291" t="b">
        <f t="shared" si="225"/>
        <v>0</v>
      </c>
      <c r="AV291" t="b">
        <f>COUNTIF($AT$4:$AT$2000, AT291)&gt;1</f>
        <v>0</v>
      </c>
      <c r="AX291" s="395" t="b">
        <f t="shared" si="226"/>
        <v>0</v>
      </c>
      <c r="AY291" s="395" t="b">
        <f t="shared" si="227"/>
        <v>0</v>
      </c>
      <c r="BA291" t="str">
        <f>'Ashed teabags wet'!A289</f>
        <v>G738</v>
      </c>
      <c r="BB291" t="str">
        <f>'Ashed teabags wet'!A709</f>
        <v>R501</v>
      </c>
      <c r="BC291" t="b">
        <f t="shared" si="228"/>
        <v>0</v>
      </c>
      <c r="BD291" t="b">
        <f t="shared" si="208"/>
        <v>0</v>
      </c>
      <c r="BF291" t="str">
        <f t="shared" si="229"/>
        <v>G714</v>
      </c>
      <c r="BG291" t="str">
        <f>T290</f>
        <v>G714</v>
      </c>
      <c r="BH291" t="str">
        <f t="shared" si="230"/>
        <v/>
      </c>
      <c r="BI291" t="str">
        <f t="shared" si="244"/>
        <v/>
      </c>
      <c r="BJ291" t="s">
        <v>1336</v>
      </c>
      <c r="BK291" t="s">
        <v>1336</v>
      </c>
      <c r="BL291" t="s">
        <v>1336</v>
      </c>
      <c r="BM291" t="b">
        <f t="shared" si="245"/>
        <v>1</v>
      </c>
      <c r="BN291" t="str">
        <f t="shared" si="231"/>
        <v>R787</v>
      </c>
      <c r="BO291" t="str">
        <f>U290</f>
        <v>R787</v>
      </c>
      <c r="BP291" t="str">
        <f t="shared" si="232"/>
        <v/>
      </c>
      <c r="BQ291" t="str">
        <f t="shared" si="233"/>
        <v/>
      </c>
      <c r="BR291" t="s">
        <v>352</v>
      </c>
      <c r="BS291" t="s">
        <v>351</v>
      </c>
      <c r="BT291" t="s">
        <v>352</v>
      </c>
      <c r="BU291" t="b">
        <f t="shared" si="246"/>
        <v>1</v>
      </c>
      <c r="BZ291" t="str">
        <f t="shared" si="234"/>
        <v/>
      </c>
      <c r="CA291" t="b">
        <f t="shared" si="235"/>
        <v>0</v>
      </c>
      <c r="CB291" t="str">
        <f t="shared" si="247"/>
        <v/>
      </c>
      <c r="CC291" t="str">
        <f t="shared" si="236"/>
        <v/>
      </c>
      <c r="CD291" t="b">
        <f t="shared" si="248"/>
        <v>0</v>
      </c>
      <c r="CE291" t="str">
        <f t="shared" si="249"/>
        <v/>
      </c>
      <c r="CG291" t="str">
        <f t="shared" si="237"/>
        <v>G737</v>
      </c>
      <c r="CH291" t="str">
        <f t="shared" si="250"/>
        <v>G737</v>
      </c>
      <c r="CI291" t="str">
        <f>AE290</f>
        <v>G660</v>
      </c>
      <c r="CJ291" t="str">
        <f t="shared" si="238"/>
        <v>G660</v>
      </c>
      <c r="CK291" t="s">
        <v>1313</v>
      </c>
      <c r="CL291" t="s">
        <v>1313</v>
      </c>
      <c r="CM291" t="s">
        <v>1313</v>
      </c>
      <c r="CN291" t="b">
        <f t="shared" si="251"/>
        <v>1</v>
      </c>
      <c r="CO291" t="str">
        <f t="shared" si="239"/>
        <v>R500</v>
      </c>
      <c r="CP291" t="str">
        <f t="shared" si="252"/>
        <v>R500</v>
      </c>
      <c r="CQ291" t="str">
        <f>AF290</f>
        <v>R44</v>
      </c>
      <c r="CR291" t="str">
        <f t="shared" si="240"/>
        <v>R44</v>
      </c>
      <c r="CS291" t="s">
        <v>641</v>
      </c>
      <c r="CT291" t="s">
        <v>641</v>
      </c>
      <c r="CU291" t="s">
        <v>641</v>
      </c>
      <c r="CV291" t="b">
        <f t="shared" si="253"/>
        <v>1</v>
      </c>
      <c r="DC291" t="str">
        <f t="shared" si="241"/>
        <v>G660</v>
      </c>
      <c r="DD291" t="b">
        <f t="shared" si="254"/>
        <v>0</v>
      </c>
      <c r="DE291" t="str">
        <f t="shared" si="255"/>
        <v>G660</v>
      </c>
      <c r="DF291" t="str">
        <f t="shared" si="242"/>
        <v>R44</v>
      </c>
      <c r="DG291" t="b">
        <f t="shared" si="256"/>
        <v>0</v>
      </c>
      <c r="DH291" t="str">
        <f t="shared" si="257"/>
        <v>R44</v>
      </c>
    </row>
    <row r="292" spans="2:112" ht="12" customHeight="1">
      <c r="B292" t="str">
        <f>TBIDry!H364</f>
        <v>G766</v>
      </c>
      <c r="C292" t="str">
        <f>TBIDry!I364</f>
        <v>R174</v>
      </c>
      <c r="D292" t="b">
        <f t="shared" si="209"/>
        <v>0</v>
      </c>
      <c r="E292" t="b">
        <f t="shared" si="210"/>
        <v>0</v>
      </c>
      <c r="G292" t="str">
        <f>TBIWet!H364</f>
        <v>G386</v>
      </c>
      <c r="H292" t="str">
        <f>TBIWet!I364</f>
        <v>R251</v>
      </c>
      <c r="I292" t="b">
        <f t="shared" si="211"/>
        <v>0</v>
      </c>
      <c r="J292" t="b">
        <f t="shared" si="212"/>
        <v>0</v>
      </c>
      <c r="L292" t="str">
        <f>'Both teabags AfterWet'!A290</f>
        <v>G739</v>
      </c>
      <c r="M292" t="str">
        <f>'Both teabags AfterWet'!A710</f>
        <v>R502</v>
      </c>
      <c r="N292" t="b">
        <f t="shared" si="213"/>
        <v>0</v>
      </c>
      <c r="O292" t="b">
        <f t="shared" si="258"/>
        <v>0</v>
      </c>
      <c r="Q292" s="395" t="b">
        <f t="shared" si="214"/>
        <v>0</v>
      </c>
      <c r="R292" s="395" t="b">
        <f t="shared" si="215"/>
        <v>0</v>
      </c>
      <c r="T292" t="str">
        <f>'Both teabags AfterDry'!A290</f>
        <v>G719</v>
      </c>
      <c r="U292" t="str">
        <f>'Both teabags AfterDry'!A625</f>
        <v>R789</v>
      </c>
      <c r="V292" t="b">
        <f t="shared" si="216"/>
        <v>0</v>
      </c>
      <c r="W292" t="b">
        <f t="shared" si="243"/>
        <v>0</v>
      </c>
      <c r="Y292" t="str">
        <f>'Green_rooibos initial weight'!A293</f>
        <v>G289</v>
      </c>
      <c r="Z292" t="str">
        <f>'Green_rooibos initial weight'!A1197</f>
        <v>R289</v>
      </c>
      <c r="AA292" t="b">
        <f t="shared" si="217"/>
        <v>0</v>
      </c>
      <c r="AB292" t="b">
        <f t="shared" si="218"/>
        <v>0</v>
      </c>
      <c r="AE292" t="str">
        <f>'WetLitterbags placem_collection'!O71</f>
        <v>G386</v>
      </c>
      <c r="AF292" t="str">
        <f>'WetLitterbags placem_collection'!Q71</f>
        <v>R251</v>
      </c>
      <c r="AG292" t="b">
        <f t="shared" si="219"/>
        <v>0</v>
      </c>
      <c r="AH292" t="b">
        <f t="shared" si="220"/>
        <v>0</v>
      </c>
      <c r="AJ292" t="b">
        <f t="shared" si="221"/>
        <v>0</v>
      </c>
      <c r="AK292" t="b">
        <f t="shared" si="222"/>
        <v>0</v>
      </c>
      <c r="AM292" t="str">
        <f>IF(ISBLANK('Dry_Litterbag Placem_Collection'!L71),"","G"&amp;""&amp;'Dry_Litterbag Placem_Collection'!L71)</f>
        <v>G766</v>
      </c>
      <c r="AN292" t="str">
        <f>IF(ISBLANK('Dry_Litterbag Placem_Collection'!M71),"","R"&amp;""&amp;'Dry_Litterbag Placem_Collection'!M71)</f>
        <v>R174</v>
      </c>
      <c r="AO292" t="b">
        <f t="shared" si="223"/>
        <v>0</v>
      </c>
      <c r="AP292" t="b">
        <f t="shared" si="224"/>
        <v>0</v>
      </c>
      <c r="AS292" t="str">
        <f>'Ashed teabags dry'!A290</f>
        <v>G719</v>
      </c>
      <c r="AT292" t="str">
        <f>'Ashed teabags dry'!A625</f>
        <v>R789</v>
      </c>
      <c r="AU292" t="b">
        <f t="shared" si="225"/>
        <v>0</v>
      </c>
      <c r="AV292" t="b">
        <f>COUNTIF($AT$4:$AT$2000, AT292)&gt;1</f>
        <v>0</v>
      </c>
      <c r="AX292" s="395" t="b">
        <f t="shared" si="226"/>
        <v>0</v>
      </c>
      <c r="AY292" s="395" t="b">
        <f t="shared" si="227"/>
        <v>0</v>
      </c>
      <c r="BA292" t="str">
        <f>'Ashed teabags wet'!A290</f>
        <v>G739</v>
      </c>
      <c r="BB292" t="str">
        <f>'Ashed teabags wet'!A710</f>
        <v>R502</v>
      </c>
      <c r="BC292" t="b">
        <f t="shared" si="228"/>
        <v>0</v>
      </c>
      <c r="BD292" t="b">
        <f t="shared" si="208"/>
        <v>0</v>
      </c>
      <c r="BF292" t="str">
        <f t="shared" si="229"/>
        <v>G717</v>
      </c>
      <c r="BG292" t="str">
        <f>T291</f>
        <v>G717</v>
      </c>
      <c r="BH292" t="str">
        <f t="shared" si="230"/>
        <v>G467</v>
      </c>
      <c r="BI292" t="str">
        <f t="shared" si="244"/>
        <v>G467</v>
      </c>
      <c r="BJ292" t="s">
        <v>1333</v>
      </c>
      <c r="BK292" t="s">
        <v>1333</v>
      </c>
      <c r="BL292" t="s">
        <v>1333</v>
      </c>
      <c r="BM292" t="b">
        <f t="shared" si="245"/>
        <v>1</v>
      </c>
      <c r="BN292" t="str">
        <f t="shared" si="231"/>
        <v>R788</v>
      </c>
      <c r="BO292" t="str">
        <f>U291</f>
        <v>R788</v>
      </c>
      <c r="BP292" t="str">
        <f t="shared" si="232"/>
        <v>R201</v>
      </c>
      <c r="BQ292" t="str">
        <f t="shared" si="233"/>
        <v>R201</v>
      </c>
      <c r="BR292" t="s">
        <v>351</v>
      </c>
      <c r="BS292" t="s">
        <v>350</v>
      </c>
      <c r="BT292" t="s">
        <v>351</v>
      </c>
      <c r="BU292" t="b">
        <f t="shared" si="246"/>
        <v>1</v>
      </c>
      <c r="BZ292" t="str">
        <f t="shared" si="234"/>
        <v>G467</v>
      </c>
      <c r="CA292" t="b">
        <f t="shared" si="235"/>
        <v>0</v>
      </c>
      <c r="CB292" t="str">
        <f t="shared" si="247"/>
        <v>G467</v>
      </c>
      <c r="CC292" t="str">
        <f t="shared" si="236"/>
        <v>R201</v>
      </c>
      <c r="CD292" t="b">
        <f t="shared" si="248"/>
        <v>0</v>
      </c>
      <c r="CE292" t="str">
        <f t="shared" si="249"/>
        <v>R201</v>
      </c>
      <c r="CG292" t="str">
        <f t="shared" si="237"/>
        <v>G738</v>
      </c>
      <c r="CH292" t="str">
        <f t="shared" si="250"/>
        <v>G738</v>
      </c>
      <c r="CI292" t="str">
        <f>AE291</f>
        <v>G477</v>
      </c>
      <c r="CJ292" t="str">
        <f t="shared" si="238"/>
        <v>G477</v>
      </c>
      <c r="CK292" t="s">
        <v>1312</v>
      </c>
      <c r="CL292" t="s">
        <v>1312</v>
      </c>
      <c r="CM292" t="s">
        <v>1312</v>
      </c>
      <c r="CN292" t="b">
        <f t="shared" si="251"/>
        <v>1</v>
      </c>
      <c r="CO292" t="str">
        <f t="shared" si="239"/>
        <v>R501</v>
      </c>
      <c r="CP292" t="str">
        <f t="shared" si="252"/>
        <v>R501</v>
      </c>
      <c r="CQ292" t="str">
        <f>AF291</f>
        <v>R9</v>
      </c>
      <c r="CR292" t="str">
        <f t="shared" si="240"/>
        <v>R9</v>
      </c>
      <c r="CS292" t="s">
        <v>640</v>
      </c>
      <c r="CT292" t="s">
        <v>640</v>
      </c>
      <c r="CU292" t="s">
        <v>640</v>
      </c>
      <c r="CV292" t="b">
        <f t="shared" si="253"/>
        <v>1</v>
      </c>
      <c r="DC292" t="str">
        <f t="shared" si="241"/>
        <v>G477</v>
      </c>
      <c r="DD292" t="b">
        <f t="shared" si="254"/>
        <v>0</v>
      </c>
      <c r="DE292" t="str">
        <f t="shared" si="255"/>
        <v>G477</v>
      </c>
      <c r="DF292" t="str">
        <f t="shared" si="242"/>
        <v>R9</v>
      </c>
      <c r="DG292" t="b">
        <f t="shared" si="256"/>
        <v>0</v>
      </c>
      <c r="DH292" t="str">
        <f t="shared" si="257"/>
        <v>R9</v>
      </c>
    </row>
    <row r="293" spans="2:112" ht="12" customHeight="1">
      <c r="B293" t="str">
        <f>TBIDry!H365</f>
        <v>G430</v>
      </c>
      <c r="C293" t="str">
        <f>TBIDry!I365</f>
        <v>R261</v>
      </c>
      <c r="D293" t="b">
        <f t="shared" si="209"/>
        <v>0</v>
      </c>
      <c r="E293" t="b">
        <f t="shared" si="210"/>
        <v>0</v>
      </c>
      <c r="G293" t="str">
        <f>TBIWet!H365</f>
        <v>G414</v>
      </c>
      <c r="H293" t="str">
        <f>TBIWet!I365</f>
        <v>R266</v>
      </c>
      <c r="I293" t="b">
        <f t="shared" si="211"/>
        <v>0</v>
      </c>
      <c r="J293" t="b">
        <f t="shared" si="212"/>
        <v>0</v>
      </c>
      <c r="L293" t="str">
        <f>'Both teabags AfterWet'!A291</f>
        <v>G740</v>
      </c>
      <c r="M293" t="str">
        <f>'Both teabags AfterWet'!A711</f>
        <v>R503</v>
      </c>
      <c r="N293" t="b">
        <f t="shared" si="213"/>
        <v>0</v>
      </c>
      <c r="O293" t="b">
        <f t="shared" si="258"/>
        <v>0</v>
      </c>
      <c r="Q293" s="395" t="b">
        <f t="shared" si="214"/>
        <v>0</v>
      </c>
      <c r="R293" s="395" t="b">
        <f t="shared" si="215"/>
        <v>0</v>
      </c>
      <c r="T293" t="str">
        <f>'Both teabags AfterDry'!A291</f>
        <v>G72</v>
      </c>
      <c r="U293" t="str">
        <f>'Both teabags AfterDry'!A626</f>
        <v>R790</v>
      </c>
      <c r="V293" t="b">
        <f t="shared" si="216"/>
        <v>0</v>
      </c>
      <c r="W293" t="b">
        <f t="shared" si="243"/>
        <v>0</v>
      </c>
      <c r="Y293" t="str">
        <f>'Green_rooibos initial weight'!A294</f>
        <v>G290</v>
      </c>
      <c r="Z293" t="str">
        <f>'Green_rooibos initial weight'!A1198</f>
        <v>R290</v>
      </c>
      <c r="AA293" t="b">
        <f t="shared" si="217"/>
        <v>0</v>
      </c>
      <c r="AB293" t="b">
        <f t="shared" si="218"/>
        <v>0</v>
      </c>
      <c r="AE293" t="str">
        <f>'WetLitterbags placem_collection'!O72</f>
        <v>G414</v>
      </c>
      <c r="AF293" t="str">
        <f>'WetLitterbags placem_collection'!Q72</f>
        <v>R266</v>
      </c>
      <c r="AG293" t="b">
        <f t="shared" si="219"/>
        <v>0</v>
      </c>
      <c r="AH293" t="b">
        <f t="shared" si="220"/>
        <v>0</v>
      </c>
      <c r="AJ293" t="b">
        <f t="shared" si="221"/>
        <v>0</v>
      </c>
      <c r="AK293" t="b">
        <f t="shared" si="222"/>
        <v>0</v>
      </c>
      <c r="AM293" t="str">
        <f>IF(ISBLANK('Dry_Litterbag Placem_Collection'!L72),"","G"&amp;""&amp;'Dry_Litterbag Placem_Collection'!L72)</f>
        <v>G430</v>
      </c>
      <c r="AN293" t="str">
        <f>IF(ISBLANK('Dry_Litterbag Placem_Collection'!M72),"","R"&amp;""&amp;'Dry_Litterbag Placem_Collection'!M72)</f>
        <v>R261</v>
      </c>
      <c r="AO293" t="b">
        <f t="shared" si="223"/>
        <v>0</v>
      </c>
      <c r="AP293" t="b">
        <f t="shared" si="224"/>
        <v>0</v>
      </c>
      <c r="AS293" t="str">
        <f>'Ashed teabags dry'!A291</f>
        <v>G72</v>
      </c>
      <c r="AT293" t="str">
        <f>'Ashed teabags dry'!A626</f>
        <v>R790</v>
      </c>
      <c r="AU293" t="b">
        <f t="shared" si="225"/>
        <v>0</v>
      </c>
      <c r="AV293" t="b">
        <f>COUNTIF($AT$4:$AT$2000, AT293)&gt;1</f>
        <v>0</v>
      </c>
      <c r="AX293" s="395" t="b">
        <f t="shared" si="226"/>
        <v>0</v>
      </c>
      <c r="AY293" s="395" t="b">
        <f t="shared" si="227"/>
        <v>0</v>
      </c>
      <c r="BA293" t="str">
        <f>'Ashed teabags wet'!A291</f>
        <v>G740</v>
      </c>
      <c r="BB293" t="str">
        <f>'Ashed teabags wet'!A711</f>
        <v>R503</v>
      </c>
      <c r="BC293" t="b">
        <f t="shared" si="228"/>
        <v>0</v>
      </c>
      <c r="BD293" t="b">
        <f t="shared" si="208"/>
        <v>0</v>
      </c>
      <c r="BF293" t="str">
        <f t="shared" si="229"/>
        <v>G719</v>
      </c>
      <c r="BG293" t="str">
        <f>T292</f>
        <v>G719</v>
      </c>
      <c r="BH293" t="str">
        <f t="shared" si="230"/>
        <v>G766</v>
      </c>
      <c r="BI293" t="str">
        <f t="shared" si="244"/>
        <v>G766</v>
      </c>
      <c r="BJ293" t="s">
        <v>1331</v>
      </c>
      <c r="BK293" t="s">
        <v>1331</v>
      </c>
      <c r="BL293" t="s">
        <v>1331</v>
      </c>
      <c r="BM293" t="b">
        <f t="shared" si="245"/>
        <v>1</v>
      </c>
      <c r="BN293" t="str">
        <f t="shared" si="231"/>
        <v>R789</v>
      </c>
      <c r="BO293" t="str">
        <f>U292</f>
        <v>R789</v>
      </c>
      <c r="BP293" t="str">
        <f t="shared" si="232"/>
        <v>R174</v>
      </c>
      <c r="BQ293" t="str">
        <f t="shared" si="233"/>
        <v>R174</v>
      </c>
      <c r="BR293" t="s">
        <v>350</v>
      </c>
      <c r="BS293" t="s">
        <v>349</v>
      </c>
      <c r="BT293" t="s">
        <v>350</v>
      </c>
      <c r="BU293" t="b">
        <f t="shared" si="246"/>
        <v>1</v>
      </c>
      <c r="BZ293" t="str">
        <f t="shared" si="234"/>
        <v>G766</v>
      </c>
      <c r="CA293" t="b">
        <f t="shared" si="235"/>
        <v>0</v>
      </c>
      <c r="CB293" t="str">
        <f t="shared" si="247"/>
        <v>G766</v>
      </c>
      <c r="CC293" t="str">
        <f t="shared" si="236"/>
        <v>R174</v>
      </c>
      <c r="CD293" t="b">
        <f t="shared" si="248"/>
        <v>0</v>
      </c>
      <c r="CE293" t="str">
        <f t="shared" si="249"/>
        <v>R174</v>
      </c>
      <c r="CG293" t="str">
        <f t="shared" si="237"/>
        <v>G739</v>
      </c>
      <c r="CH293" t="str">
        <f t="shared" si="250"/>
        <v>G739</v>
      </c>
      <c r="CI293" t="str">
        <f>AE292</f>
        <v>G386</v>
      </c>
      <c r="CJ293" t="str">
        <f t="shared" si="238"/>
        <v>G386</v>
      </c>
      <c r="CK293" t="s">
        <v>1311</v>
      </c>
      <c r="CL293" t="s">
        <v>1311</v>
      </c>
      <c r="CM293" t="s">
        <v>1311</v>
      </c>
      <c r="CN293" t="b">
        <f t="shared" si="251"/>
        <v>1</v>
      </c>
      <c r="CO293" t="str">
        <f t="shared" si="239"/>
        <v>R502</v>
      </c>
      <c r="CP293" t="str">
        <f t="shared" si="252"/>
        <v>R502</v>
      </c>
      <c r="CQ293" t="str">
        <f>AF292</f>
        <v>R251</v>
      </c>
      <c r="CR293" t="str">
        <f t="shared" si="240"/>
        <v>R251</v>
      </c>
      <c r="CS293" t="s">
        <v>639</v>
      </c>
      <c r="CT293" t="s">
        <v>639</v>
      </c>
      <c r="CU293" t="s">
        <v>639</v>
      </c>
      <c r="CV293" t="b">
        <f t="shared" si="253"/>
        <v>1</v>
      </c>
      <c r="DC293" t="str">
        <f t="shared" si="241"/>
        <v>G386</v>
      </c>
      <c r="DD293" t="b">
        <f t="shared" si="254"/>
        <v>0</v>
      </c>
      <c r="DE293" t="str">
        <f t="shared" si="255"/>
        <v>G386</v>
      </c>
      <c r="DF293" t="str">
        <f t="shared" si="242"/>
        <v>R251</v>
      </c>
      <c r="DG293" t="b">
        <f t="shared" si="256"/>
        <v>0</v>
      </c>
      <c r="DH293" t="str">
        <f t="shared" si="257"/>
        <v>R251</v>
      </c>
    </row>
    <row r="294" spans="2:112" ht="12" customHeight="1">
      <c r="B294" t="str">
        <f>TBIDry!H366</f>
        <v>G174</v>
      </c>
      <c r="C294" t="str">
        <f>TBIDry!I366</f>
        <v>R203</v>
      </c>
      <c r="D294" t="b">
        <f t="shared" si="209"/>
        <v>0</v>
      </c>
      <c r="E294" t="b">
        <f t="shared" si="210"/>
        <v>0</v>
      </c>
      <c r="G294" t="str">
        <f>TBIWet!H366</f>
        <v>G459</v>
      </c>
      <c r="H294" t="str">
        <f>TBIWet!I366</f>
        <v>R528</v>
      </c>
      <c r="I294" t="b">
        <f t="shared" si="211"/>
        <v>0</v>
      </c>
      <c r="J294" t="b">
        <f t="shared" si="212"/>
        <v>0</v>
      </c>
      <c r="L294" t="str">
        <f>'Both teabags AfterWet'!A292</f>
        <v>G741</v>
      </c>
      <c r="M294" t="str">
        <f>'Both teabags AfterWet'!A712</f>
        <v>R504</v>
      </c>
      <c r="N294" t="b">
        <f t="shared" si="213"/>
        <v>0</v>
      </c>
      <c r="O294" t="b">
        <f t="shared" si="258"/>
        <v>0</v>
      </c>
      <c r="Q294" s="395" t="b">
        <f t="shared" si="214"/>
        <v>0</v>
      </c>
      <c r="R294" s="395" t="b">
        <f t="shared" si="215"/>
        <v>0</v>
      </c>
      <c r="T294" t="str">
        <f>'Both teabags AfterDry'!A292</f>
        <v>G722</v>
      </c>
      <c r="U294" t="str">
        <f>'Both teabags AfterDry'!A627</f>
        <v>R791</v>
      </c>
      <c r="V294" t="b">
        <f t="shared" si="216"/>
        <v>0</v>
      </c>
      <c r="W294" t="b">
        <f t="shared" si="243"/>
        <v>0</v>
      </c>
      <c r="Y294" t="str">
        <f>'Green_rooibos initial weight'!A295</f>
        <v>G291</v>
      </c>
      <c r="Z294" t="str">
        <f>'Green_rooibos initial weight'!A1199</f>
        <v>R291</v>
      </c>
      <c r="AA294" t="b">
        <f t="shared" si="217"/>
        <v>0</v>
      </c>
      <c r="AB294" t="b">
        <f t="shared" si="218"/>
        <v>0</v>
      </c>
      <c r="AE294" t="str">
        <f>'WetLitterbags placem_collection'!O73</f>
        <v>G459</v>
      </c>
      <c r="AF294" t="str">
        <f>'WetLitterbags placem_collection'!Q73</f>
        <v>R528</v>
      </c>
      <c r="AG294" t="b">
        <f t="shared" si="219"/>
        <v>0</v>
      </c>
      <c r="AH294" t="b">
        <f t="shared" si="220"/>
        <v>0</v>
      </c>
      <c r="AJ294" t="b">
        <f t="shared" si="221"/>
        <v>0</v>
      </c>
      <c r="AK294" t="b">
        <f t="shared" si="222"/>
        <v>0</v>
      </c>
      <c r="AM294" t="str">
        <f>IF(ISBLANK('Dry_Litterbag Placem_Collection'!L73),"","G"&amp;""&amp;'Dry_Litterbag Placem_Collection'!L73)</f>
        <v>G174</v>
      </c>
      <c r="AN294" t="str">
        <f>IF(ISBLANK('Dry_Litterbag Placem_Collection'!M73),"","R"&amp;""&amp;'Dry_Litterbag Placem_Collection'!M73)</f>
        <v>R203</v>
      </c>
      <c r="AO294" t="b">
        <f t="shared" si="223"/>
        <v>0</v>
      </c>
      <c r="AP294" t="b">
        <f t="shared" si="224"/>
        <v>0</v>
      </c>
      <c r="AS294" t="str">
        <f>'Ashed teabags dry'!A292</f>
        <v>G722</v>
      </c>
      <c r="AT294" t="str">
        <f>'Ashed teabags dry'!A627</f>
        <v>R791</v>
      </c>
      <c r="AU294" t="b">
        <f t="shared" si="225"/>
        <v>0</v>
      </c>
      <c r="AV294" t="b">
        <f>COUNTIF($AT$4:$AT$2000, AT294)&gt;1</f>
        <v>0</v>
      </c>
      <c r="AX294" s="395" t="b">
        <f t="shared" si="226"/>
        <v>0</v>
      </c>
      <c r="AY294" s="395" t="b">
        <f t="shared" si="227"/>
        <v>0</v>
      </c>
      <c r="BA294" t="str">
        <f>'Ashed teabags wet'!A292</f>
        <v>G741</v>
      </c>
      <c r="BB294" t="str">
        <f>'Ashed teabags wet'!A712</f>
        <v>R504</v>
      </c>
      <c r="BC294" t="b">
        <f t="shared" si="228"/>
        <v>0</v>
      </c>
      <c r="BD294" t="b">
        <f t="shared" si="208"/>
        <v>0</v>
      </c>
      <c r="BF294" t="str">
        <f t="shared" si="229"/>
        <v>G72</v>
      </c>
      <c r="BG294" t="str">
        <f>T293</f>
        <v>G72</v>
      </c>
      <c r="BH294" t="str">
        <f t="shared" si="230"/>
        <v>G430</v>
      </c>
      <c r="BI294" t="str">
        <f t="shared" si="244"/>
        <v>G430</v>
      </c>
      <c r="BJ294" t="s">
        <v>1978</v>
      </c>
      <c r="BK294" t="s">
        <v>1978</v>
      </c>
      <c r="BL294" t="s">
        <v>1978</v>
      </c>
      <c r="BM294" t="b">
        <f t="shared" si="245"/>
        <v>1</v>
      </c>
      <c r="BN294" t="str">
        <f t="shared" si="231"/>
        <v>R790</v>
      </c>
      <c r="BO294" t="str">
        <f>U293</f>
        <v>R790</v>
      </c>
      <c r="BP294" t="str">
        <f t="shared" si="232"/>
        <v>R261</v>
      </c>
      <c r="BQ294" t="str">
        <f t="shared" si="233"/>
        <v>R261</v>
      </c>
      <c r="BR294" t="s">
        <v>349</v>
      </c>
      <c r="BS294" t="s">
        <v>348</v>
      </c>
      <c r="BT294" t="s">
        <v>349</v>
      </c>
      <c r="BU294" t="b">
        <f t="shared" si="246"/>
        <v>1</v>
      </c>
      <c r="BZ294" t="str">
        <f t="shared" si="234"/>
        <v>G430</v>
      </c>
      <c r="CA294" t="b">
        <f t="shared" si="235"/>
        <v>0</v>
      </c>
      <c r="CB294" t="str">
        <f t="shared" si="247"/>
        <v>G430</v>
      </c>
      <c r="CC294" t="str">
        <f t="shared" si="236"/>
        <v>R261</v>
      </c>
      <c r="CD294" t="b">
        <f t="shared" si="248"/>
        <v>0</v>
      </c>
      <c r="CE294" t="str">
        <f t="shared" si="249"/>
        <v>R261</v>
      </c>
      <c r="CG294" t="str">
        <f t="shared" si="237"/>
        <v>G740</v>
      </c>
      <c r="CH294" t="str">
        <f t="shared" si="250"/>
        <v>G740</v>
      </c>
      <c r="CI294" t="str">
        <f>AE293</f>
        <v>G414</v>
      </c>
      <c r="CJ294" t="str">
        <f t="shared" si="238"/>
        <v>G414</v>
      </c>
      <c r="CK294" t="s">
        <v>1310</v>
      </c>
      <c r="CL294" t="s">
        <v>1310</v>
      </c>
      <c r="CM294" t="s">
        <v>1310</v>
      </c>
      <c r="CN294" t="b">
        <f t="shared" si="251"/>
        <v>1</v>
      </c>
      <c r="CO294" t="str">
        <f t="shared" si="239"/>
        <v>R503</v>
      </c>
      <c r="CP294" t="str">
        <f t="shared" si="252"/>
        <v>R503</v>
      </c>
      <c r="CQ294" t="str">
        <f>AF293</f>
        <v>R266</v>
      </c>
      <c r="CR294" t="str">
        <f t="shared" si="240"/>
        <v>R266</v>
      </c>
      <c r="CS294" t="s">
        <v>638</v>
      </c>
      <c r="CT294" t="s">
        <v>638</v>
      </c>
      <c r="CU294" t="s">
        <v>638</v>
      </c>
      <c r="CV294" t="b">
        <f t="shared" si="253"/>
        <v>1</v>
      </c>
      <c r="DC294" t="str">
        <f t="shared" si="241"/>
        <v>G414</v>
      </c>
      <c r="DD294" t="b">
        <f t="shared" si="254"/>
        <v>0</v>
      </c>
      <c r="DE294" t="str">
        <f t="shared" si="255"/>
        <v>G414</v>
      </c>
      <c r="DF294" t="str">
        <f t="shared" si="242"/>
        <v>R266</v>
      </c>
      <c r="DG294" t="b">
        <f t="shared" si="256"/>
        <v>0</v>
      </c>
      <c r="DH294" t="str">
        <f t="shared" si="257"/>
        <v>R266</v>
      </c>
    </row>
    <row r="295" spans="2:112" ht="12" customHeight="1">
      <c r="B295" t="str">
        <f>TBIDry!H367</f>
        <v>G714</v>
      </c>
      <c r="C295" t="str">
        <f>TBIDry!I367</f>
        <v>R191</v>
      </c>
      <c r="D295" t="b">
        <f t="shared" si="209"/>
        <v>0</v>
      </c>
      <c r="E295" t="b">
        <f t="shared" si="210"/>
        <v>0</v>
      </c>
      <c r="G295" t="str">
        <f>TBIWet!H367</f>
        <v>G627</v>
      </c>
      <c r="H295" t="str">
        <f>TBIWet!I367</f>
        <v>R14</v>
      </c>
      <c r="I295" t="b">
        <f t="shared" si="211"/>
        <v>0</v>
      </c>
      <c r="J295" t="b">
        <f t="shared" si="212"/>
        <v>0</v>
      </c>
      <c r="L295" t="str">
        <f>'Both teabags AfterWet'!A293</f>
        <v>G742</v>
      </c>
      <c r="M295" t="str">
        <f>'Both teabags AfterWet'!A713</f>
        <v>R505</v>
      </c>
      <c r="N295" t="b">
        <f t="shared" si="213"/>
        <v>0</v>
      </c>
      <c r="O295" t="b">
        <f t="shared" si="258"/>
        <v>0</v>
      </c>
      <c r="Q295" s="395" t="b">
        <f t="shared" si="214"/>
        <v>0</v>
      </c>
      <c r="R295" s="395" t="b">
        <f t="shared" si="215"/>
        <v>0</v>
      </c>
      <c r="T295" t="str">
        <f>'Both teabags AfterDry'!A293</f>
        <v>G735</v>
      </c>
      <c r="U295" t="str">
        <f>'Both teabags AfterDry'!A628</f>
        <v>R792</v>
      </c>
      <c r="V295" t="b">
        <f t="shared" si="216"/>
        <v>0</v>
      </c>
      <c r="W295" t="b">
        <f t="shared" si="243"/>
        <v>0</v>
      </c>
      <c r="Y295" t="str">
        <f>'Green_rooibos initial weight'!A296</f>
        <v>G292</v>
      </c>
      <c r="Z295" t="str">
        <f>'Green_rooibos initial weight'!A1200</f>
        <v>R292</v>
      </c>
      <c r="AA295" t="b">
        <f t="shared" si="217"/>
        <v>0</v>
      </c>
      <c r="AB295" t="b">
        <f t="shared" si="218"/>
        <v>0</v>
      </c>
      <c r="AE295" t="str">
        <f>'WetLitterbags placem_collection'!O74</f>
        <v>G627</v>
      </c>
      <c r="AF295" t="str">
        <f>'WetLitterbags placem_collection'!Q74</f>
        <v>R14</v>
      </c>
      <c r="AG295" t="b">
        <f t="shared" si="219"/>
        <v>0</v>
      </c>
      <c r="AH295" t="b">
        <f t="shared" si="220"/>
        <v>0</v>
      </c>
      <c r="AJ295" t="b">
        <f t="shared" si="221"/>
        <v>0</v>
      </c>
      <c r="AK295" t="b">
        <f t="shared" si="222"/>
        <v>0</v>
      </c>
      <c r="AM295" t="str">
        <f>IF(ISBLANK('Dry_Litterbag Placem_Collection'!L74),"","G"&amp;""&amp;'Dry_Litterbag Placem_Collection'!L74)</f>
        <v>G714</v>
      </c>
      <c r="AN295" t="str">
        <f>IF(ISBLANK('Dry_Litterbag Placem_Collection'!M74),"","R"&amp;""&amp;'Dry_Litterbag Placem_Collection'!M74)</f>
        <v>R191</v>
      </c>
      <c r="AO295" t="b">
        <f t="shared" si="223"/>
        <v>0</v>
      </c>
      <c r="AP295" t="b">
        <f t="shared" si="224"/>
        <v>0</v>
      </c>
      <c r="AS295" t="str">
        <f>'Ashed teabags dry'!A293</f>
        <v>G735</v>
      </c>
      <c r="AT295" t="str">
        <f>'Ashed teabags dry'!A628</f>
        <v>R792</v>
      </c>
      <c r="AU295" t="b">
        <f t="shared" si="225"/>
        <v>0</v>
      </c>
      <c r="AV295" t="b">
        <f>COUNTIF($AT$4:$AT$2000, AT295)&gt;1</f>
        <v>0</v>
      </c>
      <c r="AX295" s="395" t="b">
        <f t="shared" si="226"/>
        <v>0</v>
      </c>
      <c r="AY295" s="395" t="b">
        <f t="shared" si="227"/>
        <v>0</v>
      </c>
      <c r="BA295" t="str">
        <f>'Ashed teabags wet'!A293</f>
        <v>G742</v>
      </c>
      <c r="BB295" t="str">
        <f>'Ashed teabags wet'!A713</f>
        <v>R505</v>
      </c>
      <c r="BC295" t="b">
        <f t="shared" si="228"/>
        <v>0</v>
      </c>
      <c r="BD295" t="b">
        <f t="shared" si="208"/>
        <v>0</v>
      </c>
      <c r="BF295" t="str">
        <f t="shared" si="229"/>
        <v>G722</v>
      </c>
      <c r="BG295" t="str">
        <f>T294</f>
        <v>G722</v>
      </c>
      <c r="BH295" t="str">
        <f t="shared" si="230"/>
        <v>G174</v>
      </c>
      <c r="BI295" t="str">
        <f t="shared" si="244"/>
        <v>G174</v>
      </c>
      <c r="BJ295" t="s">
        <v>1328</v>
      </c>
      <c r="BK295" t="s">
        <v>1328</v>
      </c>
      <c r="BL295" t="s">
        <v>1328</v>
      </c>
      <c r="BM295" t="b">
        <f t="shared" si="245"/>
        <v>1</v>
      </c>
      <c r="BN295" t="str">
        <f t="shared" si="231"/>
        <v>R791</v>
      </c>
      <c r="BO295" t="str">
        <f>U294</f>
        <v>R791</v>
      </c>
      <c r="BP295" t="str">
        <f t="shared" si="232"/>
        <v>R203</v>
      </c>
      <c r="BQ295" t="str">
        <f t="shared" si="233"/>
        <v>R203</v>
      </c>
      <c r="BR295" t="s">
        <v>348</v>
      </c>
      <c r="BS295" t="s">
        <v>347</v>
      </c>
      <c r="BT295" t="s">
        <v>348</v>
      </c>
      <c r="BU295" t="b">
        <f t="shared" si="246"/>
        <v>1</v>
      </c>
      <c r="BZ295" t="str">
        <f t="shared" si="234"/>
        <v>G174</v>
      </c>
      <c r="CA295" t="b">
        <f t="shared" si="235"/>
        <v>0</v>
      </c>
      <c r="CB295" t="str">
        <f t="shared" si="247"/>
        <v>G174</v>
      </c>
      <c r="CC295" t="str">
        <f t="shared" si="236"/>
        <v>R203</v>
      </c>
      <c r="CD295" t="b">
        <f t="shared" si="248"/>
        <v>0</v>
      </c>
      <c r="CE295" t="str">
        <f t="shared" si="249"/>
        <v>R203</v>
      </c>
      <c r="CG295" t="str">
        <f t="shared" si="237"/>
        <v>G741</v>
      </c>
      <c r="CH295" t="str">
        <f t="shared" si="250"/>
        <v>G741</v>
      </c>
      <c r="CI295" t="str">
        <f>AE294</f>
        <v>G459</v>
      </c>
      <c r="CJ295" t="str">
        <f t="shared" si="238"/>
        <v>G459</v>
      </c>
      <c r="CK295" t="s">
        <v>1309</v>
      </c>
      <c r="CL295" t="s">
        <v>1309</v>
      </c>
      <c r="CM295" t="s">
        <v>1309</v>
      </c>
      <c r="CN295" t="b">
        <f t="shared" si="251"/>
        <v>1</v>
      </c>
      <c r="CO295" t="str">
        <f t="shared" si="239"/>
        <v>R504</v>
      </c>
      <c r="CP295" t="str">
        <f t="shared" si="252"/>
        <v>R504</v>
      </c>
      <c r="CQ295" t="str">
        <f>AF294</f>
        <v>R528</v>
      </c>
      <c r="CR295" t="str">
        <f t="shared" si="240"/>
        <v>R528</v>
      </c>
      <c r="CS295" t="s">
        <v>637</v>
      </c>
      <c r="CT295" t="s">
        <v>637</v>
      </c>
      <c r="CU295" t="s">
        <v>637</v>
      </c>
      <c r="CV295" t="b">
        <f t="shared" si="253"/>
        <v>1</v>
      </c>
      <c r="DC295" t="str">
        <f t="shared" si="241"/>
        <v>G459</v>
      </c>
      <c r="DD295" t="b">
        <f t="shared" si="254"/>
        <v>0</v>
      </c>
      <c r="DE295" t="str">
        <f t="shared" si="255"/>
        <v>G459</v>
      </c>
      <c r="DF295" t="str">
        <f t="shared" si="242"/>
        <v>R528</v>
      </c>
      <c r="DG295" t="b">
        <f t="shared" si="256"/>
        <v>0</v>
      </c>
      <c r="DH295" t="str">
        <f t="shared" si="257"/>
        <v>R528</v>
      </c>
    </row>
    <row r="296" spans="2:112" ht="12" customHeight="1">
      <c r="B296" t="str">
        <f>TBIDry!H368</f>
        <v>G726</v>
      </c>
      <c r="C296" t="str">
        <f>TBIDry!I368</f>
        <v>R160</v>
      </c>
      <c r="D296" t="b">
        <f t="shared" si="209"/>
        <v>0</v>
      </c>
      <c r="E296" t="b">
        <f t="shared" si="210"/>
        <v>0</v>
      </c>
      <c r="G296" t="str">
        <f>TBIWet!H368</f>
        <v>G498</v>
      </c>
      <c r="H296" t="str">
        <f>TBIWet!I368</f>
        <v>R393</v>
      </c>
      <c r="I296" t="b">
        <f t="shared" si="211"/>
        <v>0</v>
      </c>
      <c r="J296" t="b">
        <f t="shared" si="212"/>
        <v>0</v>
      </c>
      <c r="L296" t="str">
        <f>'Both teabags AfterWet'!A294</f>
        <v>G743</v>
      </c>
      <c r="M296" t="str">
        <f>'Both teabags AfterWet'!A714</f>
        <v>R506</v>
      </c>
      <c r="N296" t="b">
        <f t="shared" si="213"/>
        <v>0</v>
      </c>
      <c r="O296" t="b">
        <f t="shared" si="258"/>
        <v>0</v>
      </c>
      <c r="Q296" s="395" t="b">
        <f t="shared" si="214"/>
        <v>0</v>
      </c>
      <c r="R296" s="395" t="b">
        <f t="shared" si="215"/>
        <v>0</v>
      </c>
      <c r="T296" t="str">
        <f>'Both teabags AfterDry'!A294</f>
        <v>G750</v>
      </c>
      <c r="U296" t="str">
        <f>'Both teabags AfterDry'!A629</f>
        <v>R793</v>
      </c>
      <c r="V296" t="b">
        <f t="shared" si="216"/>
        <v>0</v>
      </c>
      <c r="W296" t="b">
        <f t="shared" si="243"/>
        <v>0</v>
      </c>
      <c r="Y296" t="str">
        <f>'Green_rooibos initial weight'!A297</f>
        <v>G293</v>
      </c>
      <c r="Z296" t="str">
        <f>'Green_rooibos initial weight'!A1201</f>
        <v>R293</v>
      </c>
      <c r="AA296" t="b">
        <f t="shared" si="217"/>
        <v>0</v>
      </c>
      <c r="AB296" t="b">
        <f t="shared" si="218"/>
        <v>0</v>
      </c>
      <c r="AE296" t="str">
        <f>'WetLitterbags placem_collection'!O75</f>
        <v>G498</v>
      </c>
      <c r="AF296" t="str">
        <f>'WetLitterbags placem_collection'!Q75</f>
        <v>R393</v>
      </c>
      <c r="AG296" t="b">
        <f t="shared" si="219"/>
        <v>0</v>
      </c>
      <c r="AH296" t="b">
        <f t="shared" si="220"/>
        <v>0</v>
      </c>
      <c r="AJ296" t="b">
        <f t="shared" si="221"/>
        <v>0</v>
      </c>
      <c r="AK296" t="b">
        <f t="shared" si="222"/>
        <v>0</v>
      </c>
      <c r="AM296" t="str">
        <f>IF(ISBLANK('Dry_Litterbag Placem_Collection'!L75),"","G"&amp;""&amp;'Dry_Litterbag Placem_Collection'!L75)</f>
        <v>G726</v>
      </c>
      <c r="AN296" t="str">
        <f>IF(ISBLANK('Dry_Litterbag Placem_Collection'!M75),"","R"&amp;""&amp;'Dry_Litterbag Placem_Collection'!M75)</f>
        <v>R160</v>
      </c>
      <c r="AO296" t="b">
        <f t="shared" si="223"/>
        <v>0</v>
      </c>
      <c r="AP296" t="b">
        <f t="shared" si="224"/>
        <v>0</v>
      </c>
      <c r="AS296" t="str">
        <f>'Ashed teabags dry'!A294</f>
        <v>G750</v>
      </c>
      <c r="AT296" t="str">
        <f>'Ashed teabags dry'!A629</f>
        <v>R793</v>
      </c>
      <c r="AU296" t="b">
        <f t="shared" si="225"/>
        <v>0</v>
      </c>
      <c r="AV296" t="b">
        <f>COUNTIF($AT$4:$AT$2000, AT296)&gt;1</f>
        <v>0</v>
      </c>
      <c r="AX296" s="395" t="b">
        <f t="shared" si="226"/>
        <v>0</v>
      </c>
      <c r="AY296" s="395" t="b">
        <f t="shared" si="227"/>
        <v>0</v>
      </c>
      <c r="BA296" t="str">
        <f>'Ashed teabags wet'!A294</f>
        <v>G743</v>
      </c>
      <c r="BB296" t="str">
        <f>'Ashed teabags wet'!A714</f>
        <v>R506</v>
      </c>
      <c r="BC296" t="b">
        <f t="shared" si="228"/>
        <v>0</v>
      </c>
      <c r="BD296" t="b">
        <f t="shared" si="208"/>
        <v>0</v>
      </c>
      <c r="BF296" t="str">
        <f t="shared" si="229"/>
        <v>G735</v>
      </c>
      <c r="BG296" t="str">
        <f>T295</f>
        <v>G735</v>
      </c>
      <c r="BH296" t="str">
        <f t="shared" si="230"/>
        <v>G714</v>
      </c>
      <c r="BI296" t="str">
        <f t="shared" si="244"/>
        <v>G714</v>
      </c>
      <c r="BJ296" t="s">
        <v>1315</v>
      </c>
      <c r="BK296" t="s">
        <v>1315</v>
      </c>
      <c r="BL296" t="s">
        <v>1315</v>
      </c>
      <c r="BM296" t="b">
        <f t="shared" si="245"/>
        <v>1</v>
      </c>
      <c r="BN296" t="str">
        <f t="shared" si="231"/>
        <v>R792</v>
      </c>
      <c r="BO296" t="str">
        <f>U295</f>
        <v>R792</v>
      </c>
      <c r="BP296" t="str">
        <f t="shared" si="232"/>
        <v>R191</v>
      </c>
      <c r="BQ296" t="str">
        <f t="shared" si="233"/>
        <v>R191</v>
      </c>
      <c r="BR296" t="s">
        <v>347</v>
      </c>
      <c r="BS296" t="s">
        <v>346</v>
      </c>
      <c r="BT296" t="s">
        <v>347</v>
      </c>
      <c r="BU296" t="b">
        <f t="shared" si="246"/>
        <v>1</v>
      </c>
      <c r="BZ296" t="str">
        <f t="shared" si="234"/>
        <v>G714</v>
      </c>
      <c r="CA296" t="b">
        <f t="shared" si="235"/>
        <v>0</v>
      </c>
      <c r="CB296" t="str">
        <f t="shared" si="247"/>
        <v>G714</v>
      </c>
      <c r="CC296" t="str">
        <f t="shared" si="236"/>
        <v>R191</v>
      </c>
      <c r="CD296" t="b">
        <f t="shared" si="248"/>
        <v>0</v>
      </c>
      <c r="CE296" t="str">
        <f t="shared" si="249"/>
        <v>R191</v>
      </c>
      <c r="CG296" t="str">
        <f t="shared" si="237"/>
        <v>G742</v>
      </c>
      <c r="CH296" t="str">
        <f t="shared" si="250"/>
        <v>G742</v>
      </c>
      <c r="CI296" t="str">
        <f>AE295</f>
        <v>G627</v>
      </c>
      <c r="CJ296" t="str">
        <f t="shared" si="238"/>
        <v>G627</v>
      </c>
      <c r="CK296" t="s">
        <v>1308</v>
      </c>
      <c r="CL296" t="s">
        <v>1308</v>
      </c>
      <c r="CM296" t="s">
        <v>1308</v>
      </c>
      <c r="CN296" t="b">
        <f t="shared" si="251"/>
        <v>1</v>
      </c>
      <c r="CO296" t="str">
        <f t="shared" si="239"/>
        <v>R505</v>
      </c>
      <c r="CP296" t="str">
        <f t="shared" si="252"/>
        <v>R505</v>
      </c>
      <c r="CQ296" t="str">
        <f>AF295</f>
        <v>R14</v>
      </c>
      <c r="CR296" t="str">
        <f t="shared" si="240"/>
        <v>R14</v>
      </c>
      <c r="CS296" t="s">
        <v>636</v>
      </c>
      <c r="CT296" t="s">
        <v>636</v>
      </c>
      <c r="CU296" t="s">
        <v>636</v>
      </c>
      <c r="CV296" t="b">
        <f t="shared" si="253"/>
        <v>1</v>
      </c>
      <c r="DC296" t="str">
        <f t="shared" si="241"/>
        <v>G627</v>
      </c>
      <c r="DD296" t="b">
        <f t="shared" si="254"/>
        <v>0</v>
      </c>
      <c r="DE296" t="str">
        <f t="shared" si="255"/>
        <v>G627</v>
      </c>
      <c r="DF296" t="str">
        <f t="shared" si="242"/>
        <v>R14</v>
      </c>
      <c r="DG296" t="b">
        <f t="shared" si="256"/>
        <v>0</v>
      </c>
      <c r="DH296" t="str">
        <f t="shared" si="257"/>
        <v>R14</v>
      </c>
    </row>
    <row r="297" spans="2:112" ht="12" customHeight="1">
      <c r="B297" t="str">
        <f>TBIDry!H369</f>
        <v>G866</v>
      </c>
      <c r="C297" t="str">
        <f>TBIDry!I369</f>
        <v>R275</v>
      </c>
      <c r="D297" t="b">
        <f t="shared" si="209"/>
        <v>0</v>
      </c>
      <c r="E297" t="b">
        <f t="shared" si="210"/>
        <v>0</v>
      </c>
      <c r="G297" t="str">
        <f>TBIWet!H369</f>
        <v>G579</v>
      </c>
      <c r="H297" t="str">
        <f>TBIWet!I369</f>
        <v>R138</v>
      </c>
      <c r="I297" t="b">
        <f t="shared" si="211"/>
        <v>0</v>
      </c>
      <c r="J297" t="b">
        <f t="shared" si="212"/>
        <v>0</v>
      </c>
      <c r="L297" t="str">
        <f>'Both teabags AfterWet'!A295</f>
        <v>G744</v>
      </c>
      <c r="M297" t="str">
        <f>'Both teabags AfterWet'!A715</f>
        <v>R507</v>
      </c>
      <c r="N297" t="b">
        <f t="shared" si="213"/>
        <v>0</v>
      </c>
      <c r="O297" t="b">
        <f t="shared" si="258"/>
        <v>0</v>
      </c>
      <c r="Q297" s="395" t="b">
        <f t="shared" si="214"/>
        <v>0</v>
      </c>
      <c r="R297" s="395" t="b">
        <f t="shared" si="215"/>
        <v>0</v>
      </c>
      <c r="T297" t="str">
        <f>'Both teabags AfterDry'!A295</f>
        <v>G757</v>
      </c>
      <c r="U297" t="str">
        <f>'Both teabags AfterDry'!A630</f>
        <v>R794</v>
      </c>
      <c r="V297" t="b">
        <f t="shared" si="216"/>
        <v>0</v>
      </c>
      <c r="W297" t="b">
        <f t="shared" si="243"/>
        <v>0</v>
      </c>
      <c r="Y297" t="str">
        <f>'Green_rooibos initial weight'!A298</f>
        <v>G294</v>
      </c>
      <c r="Z297" t="str">
        <f>'Green_rooibos initial weight'!A1202</f>
        <v>R294</v>
      </c>
      <c r="AA297" t="b">
        <f t="shared" si="217"/>
        <v>0</v>
      </c>
      <c r="AB297" t="b">
        <f t="shared" si="218"/>
        <v>0</v>
      </c>
      <c r="AE297" t="str">
        <f>'WetLitterbags placem_collection'!O76</f>
        <v>G579</v>
      </c>
      <c r="AF297" t="str">
        <f>'WetLitterbags placem_collection'!Q76</f>
        <v>R138</v>
      </c>
      <c r="AG297" t="b">
        <f t="shared" si="219"/>
        <v>0</v>
      </c>
      <c r="AH297" t="b">
        <f t="shared" si="220"/>
        <v>0</v>
      </c>
      <c r="AJ297" t="b">
        <f t="shared" si="221"/>
        <v>0</v>
      </c>
      <c r="AK297" t="b">
        <f t="shared" si="222"/>
        <v>0</v>
      </c>
      <c r="AM297" t="str">
        <f>IF(ISBLANK('Dry_Litterbag Placem_Collection'!L76),"","G"&amp;""&amp;'Dry_Litterbag Placem_Collection'!L76)</f>
        <v>G866</v>
      </c>
      <c r="AN297" t="str">
        <f>IF(ISBLANK('Dry_Litterbag Placem_Collection'!M76),"","R"&amp;""&amp;'Dry_Litterbag Placem_Collection'!M76)</f>
        <v>R275</v>
      </c>
      <c r="AO297" t="b">
        <f t="shared" si="223"/>
        <v>0</v>
      </c>
      <c r="AP297" t="b">
        <f t="shared" si="224"/>
        <v>0</v>
      </c>
      <c r="AS297" t="str">
        <f>'Ashed teabags dry'!A295</f>
        <v>G757</v>
      </c>
      <c r="AT297" t="str">
        <f>'Ashed teabags dry'!A630</f>
        <v>R794</v>
      </c>
      <c r="AU297" t="b">
        <f t="shared" si="225"/>
        <v>0</v>
      </c>
      <c r="AV297" t="b">
        <f>COUNTIF($AT$4:$AT$2000, AT297)&gt;1</f>
        <v>0</v>
      </c>
      <c r="AX297" s="395" t="b">
        <f t="shared" si="226"/>
        <v>0</v>
      </c>
      <c r="AY297" s="395" t="b">
        <f t="shared" si="227"/>
        <v>0</v>
      </c>
      <c r="BA297" t="str">
        <f>'Ashed teabags wet'!A295</f>
        <v>G744</v>
      </c>
      <c r="BB297" t="str">
        <f>'Ashed teabags wet'!A715</f>
        <v>R507</v>
      </c>
      <c r="BC297" t="b">
        <f t="shared" si="228"/>
        <v>0</v>
      </c>
      <c r="BD297" t="b">
        <f t="shared" si="208"/>
        <v>0</v>
      </c>
      <c r="BF297" t="str">
        <f t="shared" si="229"/>
        <v>G750</v>
      </c>
      <c r="BG297" t="str">
        <f>T296</f>
        <v>G750</v>
      </c>
      <c r="BH297" t="str">
        <f t="shared" si="230"/>
        <v>G726</v>
      </c>
      <c r="BI297" t="str">
        <f t="shared" si="244"/>
        <v/>
      </c>
      <c r="BJ297" t="s">
        <v>1300</v>
      </c>
      <c r="BK297" t="s">
        <v>1300</v>
      </c>
      <c r="BL297" t="s">
        <v>1300</v>
      </c>
      <c r="BM297" t="b">
        <f t="shared" si="245"/>
        <v>1</v>
      </c>
      <c r="BN297" t="str">
        <f t="shared" si="231"/>
        <v>R793</v>
      </c>
      <c r="BO297" t="str">
        <f>U296</f>
        <v>R793</v>
      </c>
      <c r="BP297" t="str">
        <f t="shared" si="232"/>
        <v>R160</v>
      </c>
      <c r="BQ297" t="str">
        <f t="shared" si="233"/>
        <v/>
      </c>
      <c r="BR297" t="s">
        <v>346</v>
      </c>
      <c r="BS297" t="s">
        <v>345</v>
      </c>
      <c r="BT297" t="s">
        <v>346</v>
      </c>
      <c r="BU297" t="b">
        <f t="shared" si="246"/>
        <v>1</v>
      </c>
      <c r="BZ297" t="str">
        <f t="shared" si="234"/>
        <v>G726</v>
      </c>
      <c r="CA297" t="b">
        <f t="shared" si="235"/>
        <v>1</v>
      </c>
      <c r="CB297" t="str">
        <f t="shared" si="247"/>
        <v/>
      </c>
      <c r="CC297" t="str">
        <f t="shared" si="236"/>
        <v>R160</v>
      </c>
      <c r="CD297" t="b">
        <f t="shared" si="248"/>
        <v>1</v>
      </c>
      <c r="CE297" t="str">
        <f t="shared" si="249"/>
        <v/>
      </c>
      <c r="CG297" t="str">
        <f t="shared" si="237"/>
        <v>G743</v>
      </c>
      <c r="CH297" t="str">
        <f t="shared" si="250"/>
        <v>G743</v>
      </c>
      <c r="CI297" t="str">
        <f>AE296</f>
        <v>G498</v>
      </c>
      <c r="CJ297" t="str">
        <f t="shared" si="238"/>
        <v>G498</v>
      </c>
      <c r="CK297" t="s">
        <v>1307</v>
      </c>
      <c r="CL297" t="s">
        <v>1307</v>
      </c>
      <c r="CM297" t="s">
        <v>1307</v>
      </c>
      <c r="CN297" t="b">
        <f t="shared" si="251"/>
        <v>1</v>
      </c>
      <c r="CO297" t="str">
        <f t="shared" si="239"/>
        <v>R506</v>
      </c>
      <c r="CP297" t="str">
        <f t="shared" si="252"/>
        <v>R506</v>
      </c>
      <c r="CQ297" t="str">
        <f>AF296</f>
        <v>R393</v>
      </c>
      <c r="CR297" t="str">
        <f t="shared" si="240"/>
        <v>R393</v>
      </c>
      <c r="CS297" t="s">
        <v>635</v>
      </c>
      <c r="CT297" t="s">
        <v>635</v>
      </c>
      <c r="CU297" t="s">
        <v>635</v>
      </c>
      <c r="CV297" t="b">
        <f t="shared" si="253"/>
        <v>1</v>
      </c>
      <c r="DC297" t="str">
        <f t="shared" si="241"/>
        <v>G498</v>
      </c>
      <c r="DD297" t="b">
        <f t="shared" si="254"/>
        <v>0</v>
      </c>
      <c r="DE297" t="str">
        <f t="shared" si="255"/>
        <v>G498</v>
      </c>
      <c r="DF297" t="str">
        <f t="shared" si="242"/>
        <v>R393</v>
      </c>
      <c r="DG297" t="b">
        <f t="shared" si="256"/>
        <v>0</v>
      </c>
      <c r="DH297" t="str">
        <f t="shared" si="257"/>
        <v>R393</v>
      </c>
    </row>
    <row r="298" spans="2:112" ht="12" customHeight="1">
      <c r="B298" t="str">
        <f>TBIDry!H370</f>
        <v>G705</v>
      </c>
      <c r="C298" t="str">
        <f>TBIDry!I370</f>
        <v>R657</v>
      </c>
      <c r="D298" t="b">
        <f t="shared" si="209"/>
        <v>0</v>
      </c>
      <c r="E298" t="b">
        <f t="shared" si="210"/>
        <v>0</v>
      </c>
      <c r="G298" t="str">
        <f>TBIWet!H370</f>
        <v>G373</v>
      </c>
      <c r="H298" t="str">
        <f>TBIWet!I370</f>
        <v>R311</v>
      </c>
      <c r="I298" t="b">
        <f t="shared" si="211"/>
        <v>0</v>
      </c>
      <c r="J298" t="b">
        <f t="shared" si="212"/>
        <v>0</v>
      </c>
      <c r="L298" t="str">
        <f>'Both teabags AfterWet'!A296</f>
        <v>G745</v>
      </c>
      <c r="M298" t="str">
        <f>'Both teabags AfterWet'!A716</f>
        <v>R508</v>
      </c>
      <c r="N298" t="b">
        <f t="shared" si="213"/>
        <v>0</v>
      </c>
      <c r="O298" t="b">
        <f t="shared" si="258"/>
        <v>0</v>
      </c>
      <c r="Q298" s="395" t="b">
        <f t="shared" si="214"/>
        <v>0</v>
      </c>
      <c r="R298" s="395" t="b">
        <f t="shared" si="215"/>
        <v>0</v>
      </c>
      <c r="T298" t="str">
        <f>'Both teabags AfterDry'!A296</f>
        <v>G759</v>
      </c>
      <c r="U298" t="str">
        <f>'Both teabags AfterDry'!A631</f>
        <v>R795</v>
      </c>
      <c r="V298" t="b">
        <f t="shared" si="216"/>
        <v>0</v>
      </c>
      <c r="W298" t="b">
        <f t="shared" si="243"/>
        <v>0</v>
      </c>
      <c r="Y298" t="str">
        <f>'Green_rooibos initial weight'!A299</f>
        <v>G295</v>
      </c>
      <c r="Z298" t="str">
        <f>'Green_rooibos initial weight'!A1203</f>
        <v>R295</v>
      </c>
      <c r="AA298" t="b">
        <f t="shared" si="217"/>
        <v>0</v>
      </c>
      <c r="AB298" t="b">
        <f t="shared" si="218"/>
        <v>0</v>
      </c>
      <c r="AE298" t="str">
        <f>'WetLitterbags placem_collection'!O77</f>
        <v>G373</v>
      </c>
      <c r="AF298" t="str">
        <f>'WetLitterbags placem_collection'!Q77</f>
        <v>R311</v>
      </c>
      <c r="AG298" t="b">
        <f t="shared" si="219"/>
        <v>0</v>
      </c>
      <c r="AH298" t="b">
        <f t="shared" si="220"/>
        <v>0</v>
      </c>
      <c r="AJ298" t="b">
        <f t="shared" si="221"/>
        <v>0</v>
      </c>
      <c r="AK298" t="b">
        <f t="shared" si="222"/>
        <v>0</v>
      </c>
      <c r="AM298" t="str">
        <f>IF(ISBLANK('Dry_Litterbag Placem_Collection'!L77),"","G"&amp;""&amp;'Dry_Litterbag Placem_Collection'!L77)</f>
        <v>G705</v>
      </c>
      <c r="AN298" t="str">
        <f>IF(ISBLANK('Dry_Litterbag Placem_Collection'!M77),"","R"&amp;""&amp;'Dry_Litterbag Placem_Collection'!M77)</f>
        <v>R657</v>
      </c>
      <c r="AO298" t="b">
        <f t="shared" si="223"/>
        <v>0</v>
      </c>
      <c r="AP298" t="b">
        <f t="shared" si="224"/>
        <v>0</v>
      </c>
      <c r="AS298" t="str">
        <f>'Ashed teabags dry'!A296</f>
        <v>G759</v>
      </c>
      <c r="AT298" t="str">
        <f>'Ashed teabags dry'!A631</f>
        <v>R795</v>
      </c>
      <c r="AU298" t="b">
        <f t="shared" si="225"/>
        <v>0</v>
      </c>
      <c r="AV298" t="b">
        <f>COUNTIF($AT$4:$AT$2000, AT298)&gt;1</f>
        <v>0</v>
      </c>
      <c r="AX298" s="395" t="b">
        <f t="shared" si="226"/>
        <v>0</v>
      </c>
      <c r="AY298" s="395" t="b">
        <f t="shared" si="227"/>
        <v>0</v>
      </c>
      <c r="BA298" t="str">
        <f>'Ashed teabags wet'!A296</f>
        <v>G745</v>
      </c>
      <c r="BB298" t="str">
        <f>'Ashed teabags wet'!A716</f>
        <v>R508</v>
      </c>
      <c r="BC298" t="b">
        <f t="shared" si="228"/>
        <v>0</v>
      </c>
      <c r="BD298" t="b">
        <f t="shared" si="208"/>
        <v>0</v>
      </c>
      <c r="BF298" t="str">
        <f t="shared" si="229"/>
        <v>G757</v>
      </c>
      <c r="BG298" t="str">
        <f>T297</f>
        <v>G757</v>
      </c>
      <c r="BH298" t="str">
        <f t="shared" si="230"/>
        <v>G866</v>
      </c>
      <c r="BI298" t="str">
        <f t="shared" si="244"/>
        <v>G866</v>
      </c>
      <c r="BJ298" t="s">
        <v>1293</v>
      </c>
      <c r="BK298" t="s">
        <v>1293</v>
      </c>
      <c r="BL298" t="s">
        <v>1293</v>
      </c>
      <c r="BM298" t="b">
        <f t="shared" si="245"/>
        <v>1</v>
      </c>
      <c r="BN298" t="str">
        <f t="shared" si="231"/>
        <v>R794</v>
      </c>
      <c r="BO298" t="str">
        <f>U297</f>
        <v>R794</v>
      </c>
      <c r="BP298" t="str">
        <f t="shared" si="232"/>
        <v>R275</v>
      </c>
      <c r="BQ298" t="str">
        <f t="shared" si="233"/>
        <v>R275</v>
      </c>
      <c r="BR298" t="s">
        <v>345</v>
      </c>
      <c r="BS298" t="s">
        <v>344</v>
      </c>
      <c r="BT298" t="s">
        <v>345</v>
      </c>
      <c r="BU298" t="b">
        <f t="shared" si="246"/>
        <v>1</v>
      </c>
      <c r="BZ298" t="str">
        <f t="shared" si="234"/>
        <v>G866</v>
      </c>
      <c r="CA298" t="b">
        <f t="shared" si="235"/>
        <v>0</v>
      </c>
      <c r="CB298" t="str">
        <f t="shared" si="247"/>
        <v>G866</v>
      </c>
      <c r="CC298" t="str">
        <f t="shared" si="236"/>
        <v>R275</v>
      </c>
      <c r="CD298" t="b">
        <f t="shared" si="248"/>
        <v>0</v>
      </c>
      <c r="CE298" t="str">
        <f t="shared" si="249"/>
        <v>R275</v>
      </c>
      <c r="CG298" t="str">
        <f t="shared" si="237"/>
        <v>G744</v>
      </c>
      <c r="CH298" t="str">
        <f t="shared" si="250"/>
        <v>G744</v>
      </c>
      <c r="CI298" t="str">
        <f>AE297</f>
        <v>G579</v>
      </c>
      <c r="CJ298" t="str">
        <f t="shared" si="238"/>
        <v>G579</v>
      </c>
      <c r="CK298" t="s">
        <v>1306</v>
      </c>
      <c r="CL298" t="s">
        <v>1306</v>
      </c>
      <c r="CM298" t="s">
        <v>1306</v>
      </c>
      <c r="CN298" t="b">
        <f t="shared" si="251"/>
        <v>1</v>
      </c>
      <c r="CO298" t="str">
        <f t="shared" si="239"/>
        <v>R507</v>
      </c>
      <c r="CP298" t="str">
        <f t="shared" si="252"/>
        <v>R507</v>
      </c>
      <c r="CQ298" t="str">
        <f>AF297</f>
        <v>R138</v>
      </c>
      <c r="CR298" t="str">
        <f t="shared" si="240"/>
        <v>R138</v>
      </c>
      <c r="CS298" t="s">
        <v>634</v>
      </c>
      <c r="CT298" t="s">
        <v>634</v>
      </c>
      <c r="CU298" t="s">
        <v>634</v>
      </c>
      <c r="CV298" t="b">
        <f t="shared" si="253"/>
        <v>1</v>
      </c>
      <c r="DC298" t="str">
        <f t="shared" si="241"/>
        <v>G579</v>
      </c>
      <c r="DD298" t="b">
        <f t="shared" si="254"/>
        <v>0</v>
      </c>
      <c r="DE298" t="str">
        <f t="shared" si="255"/>
        <v>G579</v>
      </c>
      <c r="DF298" t="str">
        <f t="shared" si="242"/>
        <v>R138</v>
      </c>
      <c r="DG298" t="b">
        <f t="shared" si="256"/>
        <v>0</v>
      </c>
      <c r="DH298" t="str">
        <f t="shared" si="257"/>
        <v>R138</v>
      </c>
    </row>
    <row r="299" spans="2:112" ht="12" customHeight="1">
      <c r="B299" t="str">
        <f>TBIDry!H371</f>
        <v>G601</v>
      </c>
      <c r="C299" t="str">
        <f>TBIDry!I371</f>
        <v>R306</v>
      </c>
      <c r="D299" t="b">
        <f t="shared" si="209"/>
        <v>0</v>
      </c>
      <c r="E299" t="b">
        <f t="shared" si="210"/>
        <v>0</v>
      </c>
      <c r="G299" t="str">
        <f>TBIWet!H371</f>
        <v>G603</v>
      </c>
      <c r="H299" t="str">
        <f>TBIWet!I371</f>
        <v>R183</v>
      </c>
      <c r="I299" t="b">
        <f t="shared" si="211"/>
        <v>0</v>
      </c>
      <c r="J299" t="b">
        <f t="shared" si="212"/>
        <v>0</v>
      </c>
      <c r="L299" t="str">
        <f>'Both teabags AfterWet'!A297</f>
        <v>G746</v>
      </c>
      <c r="M299" t="str">
        <f>'Both teabags AfterWet'!A717</f>
        <v>R509</v>
      </c>
      <c r="N299" t="b">
        <f t="shared" si="213"/>
        <v>0</v>
      </c>
      <c r="O299" t="b">
        <f t="shared" si="258"/>
        <v>0</v>
      </c>
      <c r="Q299" s="395" t="b">
        <f t="shared" si="214"/>
        <v>0</v>
      </c>
      <c r="R299" s="395" t="b">
        <f t="shared" si="215"/>
        <v>0</v>
      </c>
      <c r="T299" t="str">
        <f>'Both teabags AfterDry'!A297</f>
        <v>G76</v>
      </c>
      <c r="U299" t="str">
        <f>'Both teabags AfterDry'!A632</f>
        <v>R796</v>
      </c>
      <c r="V299" t="b">
        <f t="shared" si="216"/>
        <v>0</v>
      </c>
      <c r="W299" t="b">
        <f t="shared" si="243"/>
        <v>0</v>
      </c>
      <c r="Y299" t="str">
        <f>'Green_rooibos initial weight'!A300</f>
        <v>G296</v>
      </c>
      <c r="Z299" t="str">
        <f>'Green_rooibos initial weight'!A1204</f>
        <v>R296</v>
      </c>
      <c r="AA299" t="b">
        <f t="shared" si="217"/>
        <v>0</v>
      </c>
      <c r="AB299" t="b">
        <f t="shared" si="218"/>
        <v>0</v>
      </c>
      <c r="AE299" t="str">
        <f>'WetLitterbags placem_collection'!O78</f>
        <v>G603</v>
      </c>
      <c r="AF299" t="str">
        <f>'WetLitterbags placem_collection'!Q78</f>
        <v>R183</v>
      </c>
      <c r="AG299" t="b">
        <f t="shared" si="219"/>
        <v>0</v>
      </c>
      <c r="AH299" t="b">
        <f t="shared" si="220"/>
        <v>0</v>
      </c>
      <c r="AJ299" t="b">
        <f t="shared" si="221"/>
        <v>0</v>
      </c>
      <c r="AK299" t="b">
        <f t="shared" si="222"/>
        <v>0</v>
      </c>
      <c r="AM299" t="str">
        <f>IF(ISBLANK('Dry_Litterbag Placem_Collection'!L78),"","G"&amp;""&amp;'Dry_Litterbag Placem_Collection'!L78)</f>
        <v>G601</v>
      </c>
      <c r="AN299" t="str">
        <f>IF(ISBLANK('Dry_Litterbag Placem_Collection'!M78),"","R"&amp;""&amp;'Dry_Litterbag Placem_Collection'!M78)</f>
        <v>R306</v>
      </c>
      <c r="AO299" t="b">
        <f t="shared" si="223"/>
        <v>0</v>
      </c>
      <c r="AP299" t="b">
        <f t="shared" si="224"/>
        <v>0</v>
      </c>
      <c r="AS299" t="str">
        <f>'Ashed teabags dry'!A297</f>
        <v>G76</v>
      </c>
      <c r="AT299" t="str">
        <f>'Ashed teabags dry'!A632</f>
        <v>R796</v>
      </c>
      <c r="AU299" t="b">
        <f t="shared" si="225"/>
        <v>0</v>
      </c>
      <c r="AV299" t="b">
        <f>COUNTIF($AT$4:$AT$2000, AT299)&gt;1</f>
        <v>0</v>
      </c>
      <c r="AX299" s="395" t="b">
        <f t="shared" si="226"/>
        <v>0</v>
      </c>
      <c r="AY299" s="395" t="b">
        <f t="shared" si="227"/>
        <v>0</v>
      </c>
      <c r="BA299" t="str">
        <f>'Ashed teabags wet'!A297</f>
        <v>G746</v>
      </c>
      <c r="BB299" t="str">
        <f>'Ashed teabags wet'!A717</f>
        <v>R509</v>
      </c>
      <c r="BC299" t="b">
        <f t="shared" si="228"/>
        <v>0</v>
      </c>
      <c r="BD299" t="b">
        <f t="shared" si="208"/>
        <v>0</v>
      </c>
      <c r="BF299" t="str">
        <f t="shared" si="229"/>
        <v>G759</v>
      </c>
      <c r="BG299" t="str">
        <f>T298</f>
        <v>G759</v>
      </c>
      <c r="BH299" t="str">
        <f t="shared" si="230"/>
        <v>G705</v>
      </c>
      <c r="BI299" t="str">
        <f t="shared" si="244"/>
        <v>G705</v>
      </c>
      <c r="BJ299" t="s">
        <v>1291</v>
      </c>
      <c r="BK299" t="s">
        <v>1291</v>
      </c>
      <c r="BL299" t="s">
        <v>1291</v>
      </c>
      <c r="BM299" t="b">
        <f t="shared" si="245"/>
        <v>1</v>
      </c>
      <c r="BN299" t="str">
        <f t="shared" si="231"/>
        <v>R795</v>
      </c>
      <c r="BO299" t="str">
        <f>U298</f>
        <v>R795</v>
      </c>
      <c r="BP299" t="str">
        <f t="shared" si="232"/>
        <v>R657</v>
      </c>
      <c r="BQ299" t="str">
        <f t="shared" si="233"/>
        <v>R657</v>
      </c>
      <c r="BR299" t="s">
        <v>344</v>
      </c>
      <c r="BS299" t="s">
        <v>343</v>
      </c>
      <c r="BT299" t="s">
        <v>344</v>
      </c>
      <c r="BU299" t="b">
        <f t="shared" si="246"/>
        <v>1</v>
      </c>
      <c r="BZ299" t="str">
        <f t="shared" si="234"/>
        <v>G705</v>
      </c>
      <c r="CA299" t="b">
        <f t="shared" si="235"/>
        <v>0</v>
      </c>
      <c r="CB299" t="str">
        <f t="shared" si="247"/>
        <v>G705</v>
      </c>
      <c r="CC299" t="str">
        <f t="shared" si="236"/>
        <v>R657</v>
      </c>
      <c r="CD299" t="b">
        <f t="shared" si="248"/>
        <v>0</v>
      </c>
      <c r="CE299" t="str">
        <f t="shared" si="249"/>
        <v>R657</v>
      </c>
      <c r="CG299" t="str">
        <f t="shared" si="237"/>
        <v>G745</v>
      </c>
      <c r="CH299" t="str">
        <f t="shared" si="250"/>
        <v>G745</v>
      </c>
      <c r="CI299" t="str">
        <f>AE298</f>
        <v>G373</v>
      </c>
      <c r="CJ299" t="str">
        <f t="shared" si="238"/>
        <v>G373</v>
      </c>
      <c r="CK299" t="s">
        <v>1305</v>
      </c>
      <c r="CL299" t="s">
        <v>1305</v>
      </c>
      <c r="CM299" t="s">
        <v>1305</v>
      </c>
      <c r="CN299" t="b">
        <f t="shared" si="251"/>
        <v>1</v>
      </c>
      <c r="CO299" t="str">
        <f t="shared" si="239"/>
        <v>R508</v>
      </c>
      <c r="CP299" t="str">
        <f t="shared" si="252"/>
        <v>R508</v>
      </c>
      <c r="CQ299" t="str">
        <f>AF298</f>
        <v>R311</v>
      </c>
      <c r="CR299" t="str">
        <f t="shared" si="240"/>
        <v>R311</v>
      </c>
      <c r="CS299" t="s">
        <v>633</v>
      </c>
      <c r="CT299" t="s">
        <v>633</v>
      </c>
      <c r="CU299" t="s">
        <v>633</v>
      </c>
      <c r="CV299" t="b">
        <f t="shared" si="253"/>
        <v>1</v>
      </c>
      <c r="DC299" t="str">
        <f t="shared" si="241"/>
        <v>G373</v>
      </c>
      <c r="DD299" t="b">
        <f t="shared" si="254"/>
        <v>0</v>
      </c>
      <c r="DE299" t="str">
        <f t="shared" si="255"/>
        <v>G373</v>
      </c>
      <c r="DF299" t="str">
        <f t="shared" si="242"/>
        <v>R311</v>
      </c>
      <c r="DG299" t="b">
        <f t="shared" si="256"/>
        <v>0</v>
      </c>
      <c r="DH299" t="str">
        <f t="shared" si="257"/>
        <v>R311</v>
      </c>
    </row>
    <row r="300" spans="2:112" ht="12" customHeight="1">
      <c r="B300" t="str">
        <f>TBIDry!H372</f>
        <v/>
      </c>
      <c r="C300" t="str">
        <f>TBIDry!I372</f>
        <v/>
      </c>
      <c r="D300" t="b">
        <f t="shared" si="209"/>
        <v>1</v>
      </c>
      <c r="E300" t="b">
        <f t="shared" si="210"/>
        <v>1</v>
      </c>
      <c r="G300" t="str">
        <f>TBIWet!H372</f>
        <v>G509</v>
      </c>
      <c r="H300" t="str">
        <f>TBIWet!I372</f>
        <v>R228</v>
      </c>
      <c r="I300" t="b">
        <f t="shared" si="211"/>
        <v>0</v>
      </c>
      <c r="J300" t="b">
        <f t="shared" si="212"/>
        <v>0</v>
      </c>
      <c r="L300" t="str">
        <f>'Both teabags AfterWet'!A298</f>
        <v>G747</v>
      </c>
      <c r="M300" t="str">
        <f>'Both teabags AfterWet'!A718</f>
        <v>R51</v>
      </c>
      <c r="N300" t="b">
        <f t="shared" si="213"/>
        <v>0</v>
      </c>
      <c r="O300" t="b">
        <f t="shared" si="258"/>
        <v>0</v>
      </c>
      <c r="Q300" s="395" t="b">
        <f t="shared" si="214"/>
        <v>0</v>
      </c>
      <c r="R300" s="395" t="b">
        <f t="shared" si="215"/>
        <v>0</v>
      </c>
      <c r="T300" t="str">
        <f>'Both teabags AfterDry'!A298</f>
        <v>G766</v>
      </c>
      <c r="U300" t="str">
        <f>'Both teabags AfterDry'!A633</f>
        <v>R797</v>
      </c>
      <c r="V300" t="b">
        <f t="shared" si="216"/>
        <v>0</v>
      </c>
      <c r="W300" t="b">
        <f t="shared" si="243"/>
        <v>0</v>
      </c>
      <c r="Y300" t="str">
        <f>'Green_rooibos initial weight'!A301</f>
        <v>G297</v>
      </c>
      <c r="Z300" t="str">
        <f>'Green_rooibos initial weight'!A1205</f>
        <v>R297</v>
      </c>
      <c r="AA300" t="b">
        <f t="shared" si="217"/>
        <v>0</v>
      </c>
      <c r="AB300" t="b">
        <f t="shared" si="218"/>
        <v>0</v>
      </c>
      <c r="AE300" t="str">
        <f>'WetLitterbags placem_collection'!O79</f>
        <v>G509</v>
      </c>
      <c r="AF300" t="str">
        <f>'WetLitterbags placem_collection'!Q79</f>
        <v>R228</v>
      </c>
      <c r="AG300" t="b">
        <f t="shared" si="219"/>
        <v>0</v>
      </c>
      <c r="AH300" t="b">
        <f t="shared" si="220"/>
        <v>0</v>
      </c>
      <c r="AJ300" t="b">
        <f t="shared" si="221"/>
        <v>0</v>
      </c>
      <c r="AK300" t="b">
        <f t="shared" si="222"/>
        <v>0</v>
      </c>
      <c r="AM300" t="str">
        <f>IF(ISBLANK('Dry_Litterbag Placem_Collection'!L79),"","G"&amp;""&amp;'Dry_Litterbag Placem_Collection'!L79)</f>
        <v/>
      </c>
      <c r="AN300" t="str">
        <f>IF(ISBLANK('Dry_Litterbag Placem_Collection'!M79),"","R"&amp;""&amp;'Dry_Litterbag Placem_Collection'!M79)</f>
        <v/>
      </c>
      <c r="AO300" t="b">
        <f t="shared" si="223"/>
        <v>1</v>
      </c>
      <c r="AP300" t="b">
        <f t="shared" si="224"/>
        <v>1</v>
      </c>
      <c r="AS300" t="str">
        <f>'Ashed teabags dry'!A298</f>
        <v>G766</v>
      </c>
      <c r="AT300" t="str">
        <f>'Ashed teabags dry'!A633</f>
        <v>R797</v>
      </c>
      <c r="AU300" t="b">
        <f t="shared" si="225"/>
        <v>0</v>
      </c>
      <c r="AV300" t="b">
        <f>COUNTIF($AT$4:$AT$2000, AT300)&gt;1</f>
        <v>0</v>
      </c>
      <c r="AX300" s="395" t="b">
        <f t="shared" si="226"/>
        <v>0</v>
      </c>
      <c r="AY300" s="395" t="b">
        <f t="shared" si="227"/>
        <v>0</v>
      </c>
      <c r="BA300" t="str">
        <f>'Ashed teabags wet'!A298</f>
        <v>G747</v>
      </c>
      <c r="BB300" t="str">
        <f>'Ashed teabags wet'!A718</f>
        <v>R51</v>
      </c>
      <c r="BC300" t="b">
        <f t="shared" si="228"/>
        <v>0</v>
      </c>
      <c r="BD300" t="b">
        <f t="shared" si="208"/>
        <v>0</v>
      </c>
      <c r="BF300" t="str">
        <f t="shared" si="229"/>
        <v>G76</v>
      </c>
      <c r="BG300" t="str">
        <f>T299</f>
        <v>G76</v>
      </c>
      <c r="BH300" t="str">
        <f t="shared" si="230"/>
        <v>G601</v>
      </c>
      <c r="BI300" t="str">
        <f t="shared" si="244"/>
        <v>G601</v>
      </c>
      <c r="BJ300" t="s">
        <v>1974</v>
      </c>
      <c r="BK300" t="s">
        <v>1974</v>
      </c>
      <c r="BL300" t="s">
        <v>1974</v>
      </c>
      <c r="BM300" t="b">
        <f t="shared" si="245"/>
        <v>1</v>
      </c>
      <c r="BN300" t="str">
        <f t="shared" si="231"/>
        <v>R796</v>
      </c>
      <c r="BO300" t="str">
        <f>U299</f>
        <v>R796</v>
      </c>
      <c r="BP300" t="str">
        <f t="shared" si="232"/>
        <v>R306</v>
      </c>
      <c r="BQ300" t="str">
        <f t="shared" si="233"/>
        <v>R306</v>
      </c>
      <c r="BR300" t="s">
        <v>343</v>
      </c>
      <c r="BS300" t="s">
        <v>342</v>
      </c>
      <c r="BT300" t="s">
        <v>343</v>
      </c>
      <c r="BU300" t="b">
        <f t="shared" si="246"/>
        <v>1</v>
      </c>
      <c r="BZ300" t="str">
        <f t="shared" si="234"/>
        <v>G601</v>
      </c>
      <c r="CA300" t="b">
        <f t="shared" si="235"/>
        <v>0</v>
      </c>
      <c r="CB300" t="str">
        <f t="shared" si="247"/>
        <v>G601</v>
      </c>
      <c r="CC300" t="str">
        <f t="shared" si="236"/>
        <v>R306</v>
      </c>
      <c r="CD300" t="b">
        <f t="shared" si="248"/>
        <v>0</v>
      </c>
      <c r="CE300" t="str">
        <f t="shared" si="249"/>
        <v>R306</v>
      </c>
      <c r="CG300" t="str">
        <f t="shared" si="237"/>
        <v>G746</v>
      </c>
      <c r="CH300" t="str">
        <f t="shared" si="250"/>
        <v>G746</v>
      </c>
      <c r="CI300" t="str">
        <f>AE299</f>
        <v>G603</v>
      </c>
      <c r="CJ300" t="str">
        <f t="shared" si="238"/>
        <v>G603</v>
      </c>
      <c r="CK300" t="s">
        <v>1304</v>
      </c>
      <c r="CL300" t="s">
        <v>1304</v>
      </c>
      <c r="CM300" t="s">
        <v>1304</v>
      </c>
      <c r="CN300" t="b">
        <f t="shared" si="251"/>
        <v>1</v>
      </c>
      <c r="CO300" t="str">
        <f t="shared" si="239"/>
        <v>R509</v>
      </c>
      <c r="CP300" t="str">
        <f t="shared" si="252"/>
        <v>R509</v>
      </c>
      <c r="CQ300" t="str">
        <f>AF299</f>
        <v>R183</v>
      </c>
      <c r="CR300" t="str">
        <f t="shared" si="240"/>
        <v>R183</v>
      </c>
      <c r="CS300" t="s">
        <v>632</v>
      </c>
      <c r="CT300" t="s">
        <v>632</v>
      </c>
      <c r="CU300" t="s">
        <v>632</v>
      </c>
      <c r="CV300" t="b">
        <f t="shared" si="253"/>
        <v>1</v>
      </c>
      <c r="DC300" t="str">
        <f t="shared" si="241"/>
        <v>G603</v>
      </c>
      <c r="DD300" t="b">
        <f t="shared" si="254"/>
        <v>0</v>
      </c>
      <c r="DE300" t="str">
        <f t="shared" si="255"/>
        <v>G603</v>
      </c>
      <c r="DF300" t="str">
        <f t="shared" si="242"/>
        <v>R183</v>
      </c>
      <c r="DG300" t="b">
        <f t="shared" si="256"/>
        <v>0</v>
      </c>
      <c r="DH300" t="str">
        <f t="shared" si="257"/>
        <v>R183</v>
      </c>
    </row>
    <row r="301" spans="2:112" ht="12" customHeight="1">
      <c r="B301" t="str">
        <f>TBIDry!H373</f>
        <v>G157</v>
      </c>
      <c r="C301" t="str">
        <f>TBIDry!I373</f>
        <v>R377</v>
      </c>
      <c r="D301" t="b">
        <f t="shared" si="209"/>
        <v>0</v>
      </c>
      <c r="E301" t="b">
        <f t="shared" si="210"/>
        <v>0</v>
      </c>
      <c r="G301" t="str">
        <f>TBIWet!H373</f>
        <v>G446</v>
      </c>
      <c r="H301" t="str">
        <f>TBIWet!I373</f>
        <v>R100</v>
      </c>
      <c r="I301" t="b">
        <f t="shared" si="211"/>
        <v>0</v>
      </c>
      <c r="J301" t="b">
        <f t="shared" si="212"/>
        <v>0</v>
      </c>
      <c r="L301" t="str">
        <f>'Both teabags AfterWet'!A299</f>
        <v>G749</v>
      </c>
      <c r="M301" t="str">
        <f>'Both teabags AfterWet'!A719</f>
        <v>R510</v>
      </c>
      <c r="N301" t="b">
        <f t="shared" si="213"/>
        <v>0</v>
      </c>
      <c r="O301" t="b">
        <f t="shared" si="258"/>
        <v>0</v>
      </c>
      <c r="Q301" s="395" t="b">
        <f t="shared" si="214"/>
        <v>0</v>
      </c>
      <c r="R301" s="395" t="b">
        <f t="shared" si="215"/>
        <v>0</v>
      </c>
      <c r="T301" t="str">
        <f>'Both teabags AfterDry'!A299</f>
        <v>G767</v>
      </c>
      <c r="U301" t="str">
        <f>'Both teabags AfterDry'!A634</f>
        <v>R798</v>
      </c>
      <c r="V301" t="b">
        <f t="shared" si="216"/>
        <v>0</v>
      </c>
      <c r="W301" t="b">
        <f t="shared" si="243"/>
        <v>0</v>
      </c>
      <c r="Y301" t="str">
        <f>'Green_rooibos initial weight'!A302</f>
        <v>G298</v>
      </c>
      <c r="Z301" t="str">
        <f>'Green_rooibos initial weight'!A1206</f>
        <v>R298</v>
      </c>
      <c r="AA301" t="b">
        <f t="shared" si="217"/>
        <v>0</v>
      </c>
      <c r="AB301" t="b">
        <f t="shared" si="218"/>
        <v>0</v>
      </c>
      <c r="AE301" t="str">
        <f>'WetLitterbags placem_collection'!O80</f>
        <v>G446</v>
      </c>
      <c r="AF301" t="str">
        <f>'WetLitterbags placem_collection'!Q80</f>
        <v>R100</v>
      </c>
      <c r="AG301" t="b">
        <f t="shared" si="219"/>
        <v>0</v>
      </c>
      <c r="AH301" t="b">
        <f t="shared" si="220"/>
        <v>0</v>
      </c>
      <c r="AJ301" t="b">
        <f t="shared" si="221"/>
        <v>0</v>
      </c>
      <c r="AK301" t="b">
        <f t="shared" si="222"/>
        <v>0</v>
      </c>
      <c r="AM301" t="str">
        <f>IF(ISBLANK('Dry_Litterbag Placem_Collection'!L80),"","G"&amp;""&amp;'Dry_Litterbag Placem_Collection'!L80)</f>
        <v>G157</v>
      </c>
      <c r="AN301" t="str">
        <f>IF(ISBLANK('Dry_Litterbag Placem_Collection'!M80),"","R"&amp;""&amp;'Dry_Litterbag Placem_Collection'!M80)</f>
        <v>R377</v>
      </c>
      <c r="AO301" t="b">
        <f t="shared" si="223"/>
        <v>0</v>
      </c>
      <c r="AP301" t="b">
        <f t="shared" si="224"/>
        <v>0</v>
      </c>
      <c r="AS301" t="str">
        <f>'Ashed teabags dry'!A299</f>
        <v>G767</v>
      </c>
      <c r="AT301" t="str">
        <f>'Ashed teabags dry'!A634</f>
        <v>R798</v>
      </c>
      <c r="AU301" t="b">
        <f t="shared" si="225"/>
        <v>0</v>
      </c>
      <c r="AV301" t="b">
        <f>COUNTIF($AT$4:$AT$2000, AT301)&gt;1</f>
        <v>0</v>
      </c>
      <c r="AX301" s="395" t="b">
        <f t="shared" si="226"/>
        <v>0</v>
      </c>
      <c r="AY301" s="395" t="b">
        <f t="shared" si="227"/>
        <v>0</v>
      </c>
      <c r="BA301" t="str">
        <f>'Ashed teabags wet'!A299</f>
        <v>G749</v>
      </c>
      <c r="BB301" t="str">
        <f>'Ashed teabags wet'!A719</f>
        <v>R510</v>
      </c>
      <c r="BC301" t="b">
        <f t="shared" si="228"/>
        <v>0</v>
      </c>
      <c r="BD301" t="b">
        <f t="shared" si="208"/>
        <v>0</v>
      </c>
      <c r="BF301" t="str">
        <f t="shared" si="229"/>
        <v>G766</v>
      </c>
      <c r="BG301" t="str">
        <f>T300</f>
        <v>G766</v>
      </c>
      <c r="BH301" t="str">
        <f t="shared" si="230"/>
        <v/>
      </c>
      <c r="BI301" t="str">
        <f t="shared" si="244"/>
        <v/>
      </c>
      <c r="BJ301" t="s">
        <v>1284</v>
      </c>
      <c r="BK301" t="s">
        <v>1284</v>
      </c>
      <c r="BL301" t="s">
        <v>1284</v>
      </c>
      <c r="BM301" t="b">
        <f t="shared" si="245"/>
        <v>1</v>
      </c>
      <c r="BN301" t="str">
        <f t="shared" si="231"/>
        <v>R797</v>
      </c>
      <c r="BO301" t="str">
        <f>U300</f>
        <v>R797</v>
      </c>
      <c r="BP301" t="str">
        <f t="shared" si="232"/>
        <v/>
      </c>
      <c r="BQ301" t="str">
        <f t="shared" si="233"/>
        <v/>
      </c>
      <c r="BR301" t="s">
        <v>342</v>
      </c>
      <c r="BS301" t="s">
        <v>341</v>
      </c>
      <c r="BT301" t="s">
        <v>342</v>
      </c>
      <c r="BU301" t="b">
        <f t="shared" si="246"/>
        <v>1</v>
      </c>
      <c r="BZ301" t="str">
        <f t="shared" si="234"/>
        <v/>
      </c>
      <c r="CA301" t="b">
        <f t="shared" si="235"/>
        <v>0</v>
      </c>
      <c r="CB301" t="str">
        <f t="shared" si="247"/>
        <v/>
      </c>
      <c r="CC301" t="str">
        <f t="shared" si="236"/>
        <v/>
      </c>
      <c r="CD301" t="b">
        <f t="shared" si="248"/>
        <v>0</v>
      </c>
      <c r="CE301" t="str">
        <f t="shared" si="249"/>
        <v/>
      </c>
      <c r="CG301" t="str">
        <f t="shared" si="237"/>
        <v>G747</v>
      </c>
      <c r="CH301" t="str">
        <f t="shared" si="250"/>
        <v>G747</v>
      </c>
      <c r="CI301" t="str">
        <f>AE300</f>
        <v>G509</v>
      </c>
      <c r="CJ301" t="str">
        <f t="shared" si="238"/>
        <v>G509</v>
      </c>
      <c r="CK301" t="s">
        <v>1303</v>
      </c>
      <c r="CL301" t="s">
        <v>1303</v>
      </c>
      <c r="CM301" t="s">
        <v>1303</v>
      </c>
      <c r="CN301" t="b">
        <f t="shared" si="251"/>
        <v>1</v>
      </c>
      <c r="CO301" t="str">
        <f t="shared" si="239"/>
        <v>R51</v>
      </c>
      <c r="CP301" t="str">
        <f t="shared" si="252"/>
        <v>R51</v>
      </c>
      <c r="CQ301" t="str">
        <f>AF300</f>
        <v>R228</v>
      </c>
      <c r="CR301" t="str">
        <f t="shared" si="240"/>
        <v>R228</v>
      </c>
      <c r="CS301" t="s">
        <v>1090</v>
      </c>
      <c r="CT301" t="s">
        <v>1090</v>
      </c>
      <c r="CU301" t="s">
        <v>1090</v>
      </c>
      <c r="CV301" t="b">
        <f t="shared" si="253"/>
        <v>1</v>
      </c>
      <c r="DC301" t="str">
        <f t="shared" si="241"/>
        <v>G509</v>
      </c>
      <c r="DD301" t="b">
        <f t="shared" si="254"/>
        <v>0</v>
      </c>
      <c r="DE301" t="str">
        <f t="shared" si="255"/>
        <v>G509</v>
      </c>
      <c r="DF301" t="str">
        <f t="shared" si="242"/>
        <v>R228</v>
      </c>
      <c r="DG301" t="b">
        <f t="shared" si="256"/>
        <v>0</v>
      </c>
      <c r="DH301" t="str">
        <f t="shared" si="257"/>
        <v>R228</v>
      </c>
    </row>
    <row r="302" spans="2:112" ht="12" customHeight="1">
      <c r="B302" t="str">
        <f>TBIDry!H374</f>
        <v>G226</v>
      </c>
      <c r="C302" t="str">
        <f>TBIDry!I374</f>
        <v>R61</v>
      </c>
      <c r="D302" t="b">
        <f t="shared" si="209"/>
        <v>0</v>
      </c>
      <c r="E302" t="b">
        <f t="shared" si="210"/>
        <v>0</v>
      </c>
      <c r="G302" t="str">
        <f>TBIWet!H374</f>
        <v>G249</v>
      </c>
      <c r="H302" t="str">
        <f>TBIWet!I374</f>
        <v>R56</v>
      </c>
      <c r="I302" t="b">
        <f t="shared" si="211"/>
        <v>0</v>
      </c>
      <c r="J302" t="b">
        <f t="shared" si="212"/>
        <v>0</v>
      </c>
      <c r="L302" t="str">
        <f>'Both teabags AfterWet'!A300</f>
        <v>G752</v>
      </c>
      <c r="M302" t="str">
        <f>'Both teabags AfterWet'!A720</f>
        <v>R511</v>
      </c>
      <c r="N302" t="b">
        <f t="shared" si="213"/>
        <v>0</v>
      </c>
      <c r="O302" t="b">
        <f t="shared" si="258"/>
        <v>0</v>
      </c>
      <c r="Q302" s="395" t="b">
        <f t="shared" si="214"/>
        <v>0</v>
      </c>
      <c r="R302" s="395" t="b">
        <f t="shared" si="215"/>
        <v>0</v>
      </c>
      <c r="T302" t="str">
        <f>'Both teabags AfterDry'!A300</f>
        <v>G77</v>
      </c>
      <c r="U302" t="str">
        <f>'Both teabags AfterDry'!A635</f>
        <v>R799</v>
      </c>
      <c r="V302" t="b">
        <f t="shared" si="216"/>
        <v>0</v>
      </c>
      <c r="W302" t="b">
        <f t="shared" si="243"/>
        <v>0</v>
      </c>
      <c r="Y302" t="str">
        <f>'Green_rooibos initial weight'!A303</f>
        <v>G299</v>
      </c>
      <c r="Z302" t="str">
        <f>'Green_rooibos initial weight'!A1207</f>
        <v>R299</v>
      </c>
      <c r="AA302" t="b">
        <f t="shared" si="217"/>
        <v>0</v>
      </c>
      <c r="AB302" t="b">
        <f t="shared" si="218"/>
        <v>0</v>
      </c>
      <c r="AE302" t="str">
        <f>'WetLitterbags placem_collection'!O81</f>
        <v>G249</v>
      </c>
      <c r="AF302" t="str">
        <f>'WetLitterbags placem_collection'!Q81</f>
        <v>R56</v>
      </c>
      <c r="AG302" t="b">
        <f t="shared" si="219"/>
        <v>0</v>
      </c>
      <c r="AH302" t="b">
        <f t="shared" si="220"/>
        <v>0</v>
      </c>
      <c r="AJ302" t="b">
        <f t="shared" si="221"/>
        <v>0</v>
      </c>
      <c r="AK302" t="b">
        <f t="shared" si="222"/>
        <v>0</v>
      </c>
      <c r="AM302" t="str">
        <f>IF(ISBLANK('Dry_Litterbag Placem_Collection'!L81),"","G"&amp;""&amp;'Dry_Litterbag Placem_Collection'!L81)</f>
        <v>G226</v>
      </c>
      <c r="AN302" t="str">
        <f>IF(ISBLANK('Dry_Litterbag Placem_Collection'!M81),"","R"&amp;""&amp;'Dry_Litterbag Placem_Collection'!M81)</f>
        <v>R61</v>
      </c>
      <c r="AO302" t="b">
        <f t="shared" si="223"/>
        <v>0</v>
      </c>
      <c r="AP302" t="b">
        <f t="shared" si="224"/>
        <v>0</v>
      </c>
      <c r="AS302" t="str">
        <f>'Ashed teabags dry'!A300</f>
        <v>G77</v>
      </c>
      <c r="AT302" t="str">
        <f>'Ashed teabags dry'!A635</f>
        <v>R799</v>
      </c>
      <c r="AU302" t="b">
        <f t="shared" si="225"/>
        <v>0</v>
      </c>
      <c r="AV302" t="b">
        <f>COUNTIF($AT$4:$AT$2000, AT302)&gt;1</f>
        <v>0</v>
      </c>
      <c r="AX302" s="395" t="b">
        <f t="shared" si="226"/>
        <v>0</v>
      </c>
      <c r="AY302" s="395" t="b">
        <f t="shared" si="227"/>
        <v>0</v>
      </c>
      <c r="BA302" t="str">
        <f>'Ashed teabags wet'!A300</f>
        <v>G752</v>
      </c>
      <c r="BB302" t="str">
        <f>'Ashed teabags wet'!A720</f>
        <v>R511</v>
      </c>
      <c r="BC302" t="b">
        <f t="shared" si="228"/>
        <v>0</v>
      </c>
      <c r="BD302" t="b">
        <f t="shared" si="208"/>
        <v>0</v>
      </c>
      <c r="BF302" t="str">
        <f t="shared" si="229"/>
        <v>G767</v>
      </c>
      <c r="BG302" t="str">
        <f>T301</f>
        <v>G767</v>
      </c>
      <c r="BH302" t="str">
        <f t="shared" si="230"/>
        <v>G157</v>
      </c>
      <c r="BI302" t="str">
        <f t="shared" si="244"/>
        <v>G157</v>
      </c>
      <c r="BJ302" t="s">
        <v>1283</v>
      </c>
      <c r="BK302" t="s">
        <v>1283</v>
      </c>
      <c r="BL302" t="s">
        <v>1283</v>
      </c>
      <c r="BM302" t="b">
        <f t="shared" si="245"/>
        <v>1</v>
      </c>
      <c r="BN302" t="str">
        <f t="shared" si="231"/>
        <v>R798</v>
      </c>
      <c r="BO302" t="str">
        <f>U301</f>
        <v>R798</v>
      </c>
      <c r="BP302" t="str">
        <f t="shared" si="232"/>
        <v>R377</v>
      </c>
      <c r="BQ302" t="str">
        <f t="shared" si="233"/>
        <v>R377</v>
      </c>
      <c r="BR302" t="s">
        <v>341</v>
      </c>
      <c r="BS302" t="s">
        <v>340</v>
      </c>
      <c r="BT302" t="s">
        <v>341</v>
      </c>
      <c r="BU302" t="b">
        <f t="shared" si="246"/>
        <v>1</v>
      </c>
      <c r="BZ302" t="str">
        <f t="shared" si="234"/>
        <v>G157</v>
      </c>
      <c r="CA302" t="b">
        <f t="shared" si="235"/>
        <v>0</v>
      </c>
      <c r="CB302" t="str">
        <f t="shared" si="247"/>
        <v>G157</v>
      </c>
      <c r="CC302" t="str">
        <f t="shared" si="236"/>
        <v>R377</v>
      </c>
      <c r="CD302" t="b">
        <f t="shared" si="248"/>
        <v>0</v>
      </c>
      <c r="CE302" t="str">
        <f t="shared" si="249"/>
        <v>R377</v>
      </c>
      <c r="CG302" t="str">
        <f t="shared" si="237"/>
        <v>G749</v>
      </c>
      <c r="CH302" t="str">
        <f t="shared" si="250"/>
        <v>G749</v>
      </c>
      <c r="CI302" t="str">
        <f>AE301</f>
        <v>G446</v>
      </c>
      <c r="CJ302" t="str">
        <f t="shared" si="238"/>
        <v>G446</v>
      </c>
      <c r="CK302" t="s">
        <v>1301</v>
      </c>
      <c r="CL302" t="s">
        <v>1301</v>
      </c>
      <c r="CM302" t="s">
        <v>1301</v>
      </c>
      <c r="CN302" t="b">
        <f t="shared" si="251"/>
        <v>1</v>
      </c>
      <c r="CO302" t="str">
        <f t="shared" si="239"/>
        <v>R510</v>
      </c>
      <c r="CP302" t="str">
        <f t="shared" si="252"/>
        <v>R510</v>
      </c>
      <c r="CQ302" t="str">
        <f>AF301</f>
        <v>R100</v>
      </c>
      <c r="CR302" t="str">
        <f t="shared" si="240"/>
        <v>R100</v>
      </c>
      <c r="CS302" t="s">
        <v>631</v>
      </c>
      <c r="CT302" t="s">
        <v>631</v>
      </c>
      <c r="CU302" t="s">
        <v>631</v>
      </c>
      <c r="CV302" t="b">
        <f t="shared" si="253"/>
        <v>1</v>
      </c>
      <c r="DC302" t="str">
        <f t="shared" si="241"/>
        <v>G446</v>
      </c>
      <c r="DD302" t="b">
        <f t="shared" si="254"/>
        <v>0</v>
      </c>
      <c r="DE302" t="str">
        <f t="shared" si="255"/>
        <v>G446</v>
      </c>
      <c r="DF302" t="str">
        <f t="shared" si="242"/>
        <v>R100</v>
      </c>
      <c r="DG302" t="b">
        <f t="shared" si="256"/>
        <v>0</v>
      </c>
      <c r="DH302" t="str">
        <f t="shared" si="257"/>
        <v>R100</v>
      </c>
    </row>
    <row r="303" spans="2:112" ht="12" customHeight="1">
      <c r="B303" t="str">
        <f>TBIDry!H375</f>
        <v>G855</v>
      </c>
      <c r="C303" t="str">
        <f>TBIDry!I375</f>
        <v>R620</v>
      </c>
      <c r="D303" t="b">
        <f t="shared" si="209"/>
        <v>0</v>
      </c>
      <c r="E303" t="b">
        <f t="shared" si="210"/>
        <v>0</v>
      </c>
      <c r="G303" t="str">
        <f>TBIWet!H375</f>
        <v>G474</v>
      </c>
      <c r="H303" t="str">
        <f>TBIWet!I375</f>
        <v>R68</v>
      </c>
      <c r="I303" t="b">
        <f t="shared" si="211"/>
        <v>0</v>
      </c>
      <c r="J303" t="b">
        <f t="shared" si="212"/>
        <v>0</v>
      </c>
      <c r="L303" t="str">
        <f>'Both teabags AfterWet'!A301</f>
        <v>G753</v>
      </c>
      <c r="M303" t="str">
        <f>'Both teabags AfterWet'!A721</f>
        <v>R512</v>
      </c>
      <c r="N303" t="b">
        <f t="shared" si="213"/>
        <v>0</v>
      </c>
      <c r="O303" t="b">
        <f t="shared" si="258"/>
        <v>0</v>
      </c>
      <c r="Q303" s="395" t="b">
        <f t="shared" si="214"/>
        <v>0</v>
      </c>
      <c r="R303" s="395" t="b">
        <f t="shared" si="215"/>
        <v>0</v>
      </c>
      <c r="T303" t="str">
        <f>'Both teabags AfterDry'!A301</f>
        <v>G771</v>
      </c>
      <c r="U303" t="str">
        <f>'Both teabags AfterDry'!A636</f>
        <v>R80</v>
      </c>
      <c r="V303" t="b">
        <f t="shared" si="216"/>
        <v>0</v>
      </c>
      <c r="W303" t="b">
        <f t="shared" si="243"/>
        <v>0</v>
      </c>
      <c r="Y303" t="str">
        <f>'Green_rooibos initial weight'!A304</f>
        <v>G300</v>
      </c>
      <c r="Z303" t="str">
        <f>'Green_rooibos initial weight'!A1208</f>
        <v>R300</v>
      </c>
      <c r="AA303" t="b">
        <f t="shared" si="217"/>
        <v>0</v>
      </c>
      <c r="AB303" t="b">
        <f t="shared" si="218"/>
        <v>0</v>
      </c>
      <c r="AE303" t="str">
        <f>'WetLitterbags placem_collection'!O82</f>
        <v>G474</v>
      </c>
      <c r="AF303" t="str">
        <f>'WetLitterbags placem_collection'!Q82</f>
        <v>R68</v>
      </c>
      <c r="AG303" t="b">
        <f t="shared" si="219"/>
        <v>0</v>
      </c>
      <c r="AH303" t="b">
        <f t="shared" si="220"/>
        <v>0</v>
      </c>
      <c r="AJ303" t="b">
        <f t="shared" si="221"/>
        <v>0</v>
      </c>
      <c r="AK303" t="b">
        <f t="shared" si="222"/>
        <v>0</v>
      </c>
      <c r="AM303" t="str">
        <f>IF(ISBLANK('Dry_Litterbag Placem_Collection'!L82),"","G"&amp;""&amp;'Dry_Litterbag Placem_Collection'!L82)</f>
        <v>G855</v>
      </c>
      <c r="AN303" t="str">
        <f>IF(ISBLANK('Dry_Litterbag Placem_Collection'!M82),"","R"&amp;""&amp;'Dry_Litterbag Placem_Collection'!M82)</f>
        <v>R620</v>
      </c>
      <c r="AO303" t="b">
        <f t="shared" si="223"/>
        <v>0</v>
      </c>
      <c r="AP303" t="b">
        <f t="shared" si="224"/>
        <v>0</v>
      </c>
      <c r="AS303" t="str">
        <f>'Ashed teabags dry'!A301</f>
        <v>G771</v>
      </c>
      <c r="AT303" t="str">
        <f>'Ashed teabags dry'!A636</f>
        <v>R80</v>
      </c>
      <c r="AU303" t="b">
        <f t="shared" si="225"/>
        <v>0</v>
      </c>
      <c r="AV303" t="b">
        <f>COUNTIF($AT$4:$AT$2000, AT303)&gt;1</f>
        <v>0</v>
      </c>
      <c r="AX303" s="395" t="b">
        <f t="shared" si="226"/>
        <v>0</v>
      </c>
      <c r="AY303" s="395" t="b">
        <f t="shared" si="227"/>
        <v>0</v>
      </c>
      <c r="BA303" t="str">
        <f>'Ashed teabags wet'!A301</f>
        <v>G753</v>
      </c>
      <c r="BB303" t="str">
        <f>'Ashed teabags wet'!A721</f>
        <v>R512</v>
      </c>
      <c r="BC303" t="b">
        <f t="shared" si="228"/>
        <v>0</v>
      </c>
      <c r="BD303" t="b">
        <f t="shared" si="208"/>
        <v>0</v>
      </c>
      <c r="BF303" t="str">
        <f t="shared" si="229"/>
        <v>G77</v>
      </c>
      <c r="BG303" t="str">
        <f>T302</f>
        <v>G77</v>
      </c>
      <c r="BH303" t="str">
        <f t="shared" si="230"/>
        <v>G226</v>
      </c>
      <c r="BI303" t="str">
        <f t="shared" si="244"/>
        <v>G226</v>
      </c>
      <c r="BJ303" t="s">
        <v>1973</v>
      </c>
      <c r="BK303" t="s">
        <v>1973</v>
      </c>
      <c r="BL303" t="s">
        <v>1973</v>
      </c>
      <c r="BM303" t="b">
        <f t="shared" si="245"/>
        <v>1</v>
      </c>
      <c r="BN303" t="str">
        <f t="shared" si="231"/>
        <v>R799</v>
      </c>
      <c r="BO303" t="str">
        <f>U302</f>
        <v>R799</v>
      </c>
      <c r="BP303" t="str">
        <f t="shared" si="232"/>
        <v>R61</v>
      </c>
      <c r="BQ303" t="str">
        <f t="shared" si="233"/>
        <v>R61</v>
      </c>
      <c r="BR303" t="s">
        <v>340</v>
      </c>
      <c r="BS303" t="s">
        <v>1061</v>
      </c>
      <c r="BT303" t="s">
        <v>340</v>
      </c>
      <c r="BU303" t="b">
        <f t="shared" si="246"/>
        <v>1</v>
      </c>
      <c r="BZ303" t="str">
        <f t="shared" si="234"/>
        <v>G226</v>
      </c>
      <c r="CA303" t="b">
        <f t="shared" si="235"/>
        <v>0</v>
      </c>
      <c r="CB303" t="str">
        <f t="shared" si="247"/>
        <v>G226</v>
      </c>
      <c r="CC303" t="str">
        <f t="shared" si="236"/>
        <v>R61</v>
      </c>
      <c r="CD303" t="b">
        <f t="shared" si="248"/>
        <v>0</v>
      </c>
      <c r="CE303" t="str">
        <f t="shared" si="249"/>
        <v>R61</v>
      </c>
      <c r="CG303" t="str">
        <f t="shared" si="237"/>
        <v>G752</v>
      </c>
      <c r="CH303" t="str">
        <f t="shared" si="250"/>
        <v>G752</v>
      </c>
      <c r="CI303" t="str">
        <f>AE302</f>
        <v>G249</v>
      </c>
      <c r="CJ303" t="str">
        <f t="shared" si="238"/>
        <v>G249</v>
      </c>
      <c r="CK303" t="s">
        <v>1298</v>
      </c>
      <c r="CL303" t="s">
        <v>1298</v>
      </c>
      <c r="CM303" t="s">
        <v>1298</v>
      </c>
      <c r="CN303" t="b">
        <f t="shared" si="251"/>
        <v>1</v>
      </c>
      <c r="CO303" t="str">
        <f t="shared" si="239"/>
        <v>R511</v>
      </c>
      <c r="CP303" t="str">
        <f t="shared" si="252"/>
        <v>R511</v>
      </c>
      <c r="CQ303" t="str">
        <f>AF302</f>
        <v>R56</v>
      </c>
      <c r="CR303" t="str">
        <f t="shared" si="240"/>
        <v>R56</v>
      </c>
      <c r="CS303" t="s">
        <v>630</v>
      </c>
      <c r="CT303" t="s">
        <v>630</v>
      </c>
      <c r="CU303" t="s">
        <v>630</v>
      </c>
      <c r="CV303" t="b">
        <f t="shared" si="253"/>
        <v>1</v>
      </c>
      <c r="DC303" t="str">
        <f t="shared" si="241"/>
        <v>G249</v>
      </c>
      <c r="DD303" t="b">
        <f t="shared" si="254"/>
        <v>0</v>
      </c>
      <c r="DE303" t="str">
        <f t="shared" si="255"/>
        <v>G249</v>
      </c>
      <c r="DF303" t="str">
        <f t="shared" si="242"/>
        <v>R56</v>
      </c>
      <c r="DG303" t="b">
        <f t="shared" si="256"/>
        <v>0</v>
      </c>
      <c r="DH303" t="str">
        <f t="shared" si="257"/>
        <v>R56</v>
      </c>
    </row>
    <row r="304" spans="2:112" ht="12" customHeight="1">
      <c r="B304" t="str">
        <f>TBIDry!H376</f>
        <v>G413</v>
      </c>
      <c r="C304" t="str">
        <f>TBIDry!I376</f>
        <v>R366</v>
      </c>
      <c r="D304" t="b">
        <f t="shared" si="209"/>
        <v>0</v>
      </c>
      <c r="E304" t="b">
        <f t="shared" si="210"/>
        <v>0</v>
      </c>
      <c r="G304" t="str">
        <f>TBIWet!H376</f>
        <v>G475</v>
      </c>
      <c r="H304" t="str">
        <f>TBIWet!I376</f>
        <v>R293</v>
      </c>
      <c r="I304" t="b">
        <f t="shared" si="211"/>
        <v>0</v>
      </c>
      <c r="J304" t="b">
        <f t="shared" si="212"/>
        <v>0</v>
      </c>
      <c r="L304" t="str">
        <f>'Both teabags AfterWet'!A302</f>
        <v>G754</v>
      </c>
      <c r="M304" t="str">
        <f>'Both teabags AfterWet'!A722</f>
        <v>R513</v>
      </c>
      <c r="N304" t="b">
        <f t="shared" si="213"/>
        <v>0</v>
      </c>
      <c r="O304" t="b">
        <f t="shared" si="258"/>
        <v>0</v>
      </c>
      <c r="Q304" s="395" t="b">
        <f t="shared" si="214"/>
        <v>0</v>
      </c>
      <c r="R304" s="395" t="b">
        <f t="shared" si="215"/>
        <v>0</v>
      </c>
      <c r="T304" t="str">
        <f>'Both teabags AfterDry'!A302</f>
        <v>G776</v>
      </c>
      <c r="U304" t="str">
        <f>'Both teabags AfterDry'!A637</f>
        <v>R800</v>
      </c>
      <c r="V304" t="b">
        <f t="shared" si="216"/>
        <v>0</v>
      </c>
      <c r="W304" t="b">
        <f t="shared" si="243"/>
        <v>0</v>
      </c>
      <c r="Y304" t="str">
        <f>'Green_rooibos initial weight'!A305</f>
        <v>G301</v>
      </c>
      <c r="Z304" t="str">
        <f>'Green_rooibos initial weight'!A1209</f>
        <v>R301</v>
      </c>
      <c r="AA304" t="b">
        <f t="shared" si="217"/>
        <v>0</v>
      </c>
      <c r="AB304" t="b">
        <f t="shared" si="218"/>
        <v>0</v>
      </c>
      <c r="AE304" t="str">
        <f>'WetLitterbags placem_collection'!O83</f>
        <v>G475</v>
      </c>
      <c r="AF304" t="str">
        <f>'WetLitterbags placem_collection'!Q83</f>
        <v>R293</v>
      </c>
      <c r="AG304" t="b">
        <f t="shared" si="219"/>
        <v>0</v>
      </c>
      <c r="AH304" t="b">
        <f t="shared" si="220"/>
        <v>0</v>
      </c>
      <c r="AJ304" t="b">
        <f t="shared" si="221"/>
        <v>0</v>
      </c>
      <c r="AK304" t="b">
        <f t="shared" si="222"/>
        <v>0</v>
      </c>
      <c r="AM304" t="str">
        <f>IF(ISBLANK('Dry_Litterbag Placem_Collection'!L83),"","G"&amp;""&amp;'Dry_Litterbag Placem_Collection'!L83)</f>
        <v>G413</v>
      </c>
      <c r="AN304" t="str">
        <f>IF(ISBLANK('Dry_Litterbag Placem_Collection'!M83),"","R"&amp;""&amp;'Dry_Litterbag Placem_Collection'!M83)</f>
        <v>R366</v>
      </c>
      <c r="AO304" t="b">
        <f t="shared" si="223"/>
        <v>0</v>
      </c>
      <c r="AP304" t="b">
        <f t="shared" si="224"/>
        <v>0</v>
      </c>
      <c r="AS304" t="str">
        <f>'Ashed teabags dry'!A302</f>
        <v>G776</v>
      </c>
      <c r="AT304" t="str">
        <f>'Ashed teabags dry'!A637</f>
        <v>R800</v>
      </c>
      <c r="AU304" t="b">
        <f t="shared" si="225"/>
        <v>0</v>
      </c>
      <c r="AV304" t="b">
        <f>COUNTIF($AT$4:$AT$2000, AT304)&gt;1</f>
        <v>0</v>
      </c>
      <c r="AX304" s="395" t="b">
        <f t="shared" si="226"/>
        <v>0</v>
      </c>
      <c r="AY304" s="395" t="b">
        <f t="shared" si="227"/>
        <v>0</v>
      </c>
      <c r="BA304" t="str">
        <f>'Ashed teabags wet'!A302</f>
        <v>G754</v>
      </c>
      <c r="BB304" t="str">
        <f>'Ashed teabags wet'!A722</f>
        <v>R513</v>
      </c>
      <c r="BC304" t="b">
        <f t="shared" si="228"/>
        <v>0</v>
      </c>
      <c r="BD304" t="b">
        <f t="shared" si="208"/>
        <v>0</v>
      </c>
      <c r="BF304" t="str">
        <f t="shared" si="229"/>
        <v>G771</v>
      </c>
      <c r="BG304" t="str">
        <f>T303</f>
        <v>G771</v>
      </c>
      <c r="BH304" t="str">
        <f t="shared" si="230"/>
        <v>G855</v>
      </c>
      <c r="BI304" t="str">
        <f t="shared" si="244"/>
        <v>G855</v>
      </c>
      <c r="BJ304" t="s">
        <v>1279</v>
      </c>
      <c r="BK304" t="s">
        <v>1279</v>
      </c>
      <c r="BL304" t="s">
        <v>1279</v>
      </c>
      <c r="BM304" t="b">
        <f t="shared" si="245"/>
        <v>1</v>
      </c>
      <c r="BN304" t="str">
        <f t="shared" si="231"/>
        <v>R80</v>
      </c>
      <c r="BO304" t="str">
        <f>U303</f>
        <v>R80</v>
      </c>
      <c r="BP304" t="str">
        <f t="shared" si="232"/>
        <v>R620</v>
      </c>
      <c r="BQ304" t="str">
        <f t="shared" si="233"/>
        <v>R620</v>
      </c>
      <c r="BR304" t="s">
        <v>1061</v>
      </c>
      <c r="BS304" t="s">
        <v>339</v>
      </c>
      <c r="BT304" t="s">
        <v>1061</v>
      </c>
      <c r="BU304" t="b">
        <f t="shared" si="246"/>
        <v>1</v>
      </c>
      <c r="BZ304" t="str">
        <f t="shared" si="234"/>
        <v>G855</v>
      </c>
      <c r="CA304" t="b">
        <f t="shared" si="235"/>
        <v>0</v>
      </c>
      <c r="CB304" t="str">
        <f t="shared" si="247"/>
        <v>G855</v>
      </c>
      <c r="CC304" t="str">
        <f t="shared" si="236"/>
        <v>R620</v>
      </c>
      <c r="CD304" t="b">
        <f t="shared" si="248"/>
        <v>0</v>
      </c>
      <c r="CE304" t="str">
        <f t="shared" si="249"/>
        <v>R620</v>
      </c>
      <c r="CG304" t="str">
        <f t="shared" si="237"/>
        <v>G753</v>
      </c>
      <c r="CH304" t="str">
        <f t="shared" si="250"/>
        <v>G753</v>
      </c>
      <c r="CI304" t="str">
        <f>AE303</f>
        <v>G474</v>
      </c>
      <c r="CJ304" t="str">
        <f t="shared" si="238"/>
        <v>G474</v>
      </c>
      <c r="CK304" t="s">
        <v>1297</v>
      </c>
      <c r="CL304" t="s">
        <v>1297</v>
      </c>
      <c r="CM304" t="s">
        <v>1297</v>
      </c>
      <c r="CN304" t="b">
        <f t="shared" si="251"/>
        <v>1</v>
      </c>
      <c r="CO304" t="str">
        <f t="shared" si="239"/>
        <v>R512</v>
      </c>
      <c r="CP304" t="str">
        <f t="shared" si="252"/>
        <v>R512</v>
      </c>
      <c r="CQ304" t="str">
        <f>AF303</f>
        <v>R68</v>
      </c>
      <c r="CR304" t="str">
        <f t="shared" si="240"/>
        <v>R68</v>
      </c>
      <c r="CS304" t="s">
        <v>629</v>
      </c>
      <c r="CT304" t="s">
        <v>629</v>
      </c>
      <c r="CU304" t="s">
        <v>629</v>
      </c>
      <c r="CV304" t="b">
        <f t="shared" si="253"/>
        <v>1</v>
      </c>
      <c r="DC304" t="str">
        <f t="shared" si="241"/>
        <v>G474</v>
      </c>
      <c r="DD304" t="b">
        <f t="shared" si="254"/>
        <v>0</v>
      </c>
      <c r="DE304" t="str">
        <f t="shared" si="255"/>
        <v>G474</v>
      </c>
      <c r="DF304" t="str">
        <f t="shared" si="242"/>
        <v>R68</v>
      </c>
      <c r="DG304" t="b">
        <f t="shared" si="256"/>
        <v>0</v>
      </c>
      <c r="DH304" t="str">
        <f t="shared" si="257"/>
        <v>R68</v>
      </c>
    </row>
    <row r="305" spans="2:112" ht="12" customHeight="1">
      <c r="B305" t="str">
        <f>TBIDry!H377</f>
        <v>G370</v>
      </c>
      <c r="C305" t="str">
        <f>TBIDry!I377</f>
        <v>R610</v>
      </c>
      <c r="D305" t="b">
        <f t="shared" si="209"/>
        <v>0</v>
      </c>
      <c r="E305" t="b">
        <f t="shared" si="210"/>
        <v>0</v>
      </c>
      <c r="G305" t="str">
        <f>TBIWet!H377</f>
        <v>G840</v>
      </c>
      <c r="H305" t="str">
        <f>TBIWet!I377</f>
        <v>R368</v>
      </c>
      <c r="I305" t="b">
        <f t="shared" si="211"/>
        <v>0</v>
      </c>
      <c r="J305" t="b">
        <f t="shared" si="212"/>
        <v>0</v>
      </c>
      <c r="L305" t="str">
        <f>'Both teabags AfterWet'!A303</f>
        <v>G755</v>
      </c>
      <c r="M305" t="str">
        <f>'Both teabags AfterWet'!A723</f>
        <v>R515</v>
      </c>
      <c r="N305" t="b">
        <f t="shared" si="213"/>
        <v>0</v>
      </c>
      <c r="O305" t="b">
        <f t="shared" si="258"/>
        <v>0</v>
      </c>
      <c r="Q305" s="395" t="b">
        <f t="shared" si="214"/>
        <v>0</v>
      </c>
      <c r="R305" s="395" t="b">
        <f t="shared" si="215"/>
        <v>0</v>
      </c>
      <c r="T305" t="str">
        <f>'Both teabags AfterDry'!A303</f>
        <v>G78</v>
      </c>
      <c r="U305" t="str">
        <f>'Both teabags AfterDry'!A638</f>
        <v>R802</v>
      </c>
      <c r="V305" t="b">
        <f t="shared" si="216"/>
        <v>0</v>
      </c>
      <c r="W305" t="b">
        <f t="shared" si="243"/>
        <v>0</v>
      </c>
      <c r="Y305" t="str">
        <f>'Green_rooibos initial weight'!A306</f>
        <v>G302</v>
      </c>
      <c r="Z305" t="str">
        <f>'Green_rooibos initial weight'!A1210</f>
        <v>R302</v>
      </c>
      <c r="AA305" t="b">
        <f t="shared" si="217"/>
        <v>0</v>
      </c>
      <c r="AB305" t="b">
        <f t="shared" si="218"/>
        <v>0</v>
      </c>
      <c r="AE305" t="str">
        <f>'WetLitterbags placem_collection'!O84</f>
        <v>G840</v>
      </c>
      <c r="AF305" t="str">
        <f>'WetLitterbags placem_collection'!Q84</f>
        <v>R368</v>
      </c>
      <c r="AG305" t="b">
        <f t="shared" si="219"/>
        <v>0</v>
      </c>
      <c r="AH305" t="b">
        <f t="shared" si="220"/>
        <v>0</v>
      </c>
      <c r="AJ305" t="b">
        <f t="shared" si="221"/>
        <v>0</v>
      </c>
      <c r="AK305" t="b">
        <f t="shared" si="222"/>
        <v>0</v>
      </c>
      <c r="AM305" t="str">
        <f>IF(ISBLANK('Dry_Litterbag Placem_Collection'!L84),"","G"&amp;""&amp;'Dry_Litterbag Placem_Collection'!L84)</f>
        <v>G370</v>
      </c>
      <c r="AN305" t="str">
        <f>IF(ISBLANK('Dry_Litterbag Placem_Collection'!M84),"","R"&amp;""&amp;'Dry_Litterbag Placem_Collection'!M84)</f>
        <v>R610</v>
      </c>
      <c r="AO305" t="b">
        <f t="shared" si="223"/>
        <v>0</v>
      </c>
      <c r="AP305" t="b">
        <f t="shared" si="224"/>
        <v>0</v>
      </c>
      <c r="AS305" t="str">
        <f>'Ashed teabags dry'!A303</f>
        <v>G78</v>
      </c>
      <c r="AT305" t="str">
        <f>'Ashed teabags dry'!A638</f>
        <v>R802</v>
      </c>
      <c r="AU305" t="b">
        <f t="shared" si="225"/>
        <v>0</v>
      </c>
      <c r="AV305" t="b">
        <f>COUNTIF($AT$4:$AT$2000, AT305)&gt;1</f>
        <v>0</v>
      </c>
      <c r="AX305" s="395" t="b">
        <f t="shared" si="226"/>
        <v>0</v>
      </c>
      <c r="AY305" s="395" t="b">
        <f t="shared" si="227"/>
        <v>0</v>
      </c>
      <c r="BA305" t="str">
        <f>'Ashed teabags wet'!A303</f>
        <v>G755</v>
      </c>
      <c r="BB305" t="str">
        <f>'Ashed teabags wet'!A723</f>
        <v>R515</v>
      </c>
      <c r="BC305" t="b">
        <f t="shared" si="228"/>
        <v>0</v>
      </c>
      <c r="BD305" t="b">
        <f t="shared" si="208"/>
        <v>0</v>
      </c>
      <c r="BF305" t="str">
        <f t="shared" si="229"/>
        <v>G776</v>
      </c>
      <c r="BG305" t="str">
        <f>T304</f>
        <v>G776</v>
      </c>
      <c r="BH305" t="str">
        <f t="shared" si="230"/>
        <v>G413</v>
      </c>
      <c r="BI305" t="str">
        <f t="shared" si="244"/>
        <v>G413</v>
      </c>
      <c r="BJ305" t="s">
        <v>1274</v>
      </c>
      <c r="BK305" t="s">
        <v>1274</v>
      </c>
      <c r="BL305" t="s">
        <v>1274</v>
      </c>
      <c r="BM305" t="b">
        <f t="shared" si="245"/>
        <v>1</v>
      </c>
      <c r="BN305" t="str">
        <f t="shared" si="231"/>
        <v>R800</v>
      </c>
      <c r="BO305" t="str">
        <f>U304</f>
        <v>R800</v>
      </c>
      <c r="BP305" t="str">
        <f t="shared" si="232"/>
        <v>R366</v>
      </c>
      <c r="BQ305" t="str">
        <f t="shared" si="233"/>
        <v>R366</v>
      </c>
      <c r="BR305" t="s">
        <v>339</v>
      </c>
      <c r="BS305" t="s">
        <v>337</v>
      </c>
      <c r="BT305" t="s">
        <v>339</v>
      </c>
      <c r="BU305" t="b">
        <f t="shared" si="246"/>
        <v>1</v>
      </c>
      <c r="BZ305" t="str">
        <f t="shared" si="234"/>
        <v>G413</v>
      </c>
      <c r="CA305" t="b">
        <f t="shared" si="235"/>
        <v>0</v>
      </c>
      <c r="CB305" t="str">
        <f t="shared" si="247"/>
        <v>G413</v>
      </c>
      <c r="CC305" t="str">
        <f t="shared" si="236"/>
        <v>R366</v>
      </c>
      <c r="CD305" t="b">
        <f t="shared" si="248"/>
        <v>0</v>
      </c>
      <c r="CE305" t="str">
        <f t="shared" si="249"/>
        <v>R366</v>
      </c>
      <c r="CG305" t="str">
        <f t="shared" si="237"/>
        <v>G754</v>
      </c>
      <c r="CH305" t="str">
        <f t="shared" si="250"/>
        <v>G754</v>
      </c>
      <c r="CI305" t="str">
        <f>AE304</f>
        <v>G475</v>
      </c>
      <c r="CJ305" t="str">
        <f t="shared" si="238"/>
        <v>G475</v>
      </c>
      <c r="CK305" t="s">
        <v>1296</v>
      </c>
      <c r="CL305" t="s">
        <v>1296</v>
      </c>
      <c r="CM305" t="s">
        <v>1296</v>
      </c>
      <c r="CN305" t="b">
        <f t="shared" si="251"/>
        <v>1</v>
      </c>
      <c r="CO305" t="str">
        <f t="shared" si="239"/>
        <v>R513</v>
      </c>
      <c r="CP305" t="str">
        <f t="shared" si="252"/>
        <v>R513</v>
      </c>
      <c r="CQ305" t="str">
        <f>AF304</f>
        <v>R293</v>
      </c>
      <c r="CR305" t="str">
        <f t="shared" si="240"/>
        <v>R293</v>
      </c>
      <c r="CS305" t="s">
        <v>628</v>
      </c>
      <c r="CT305" t="s">
        <v>628</v>
      </c>
      <c r="CU305" t="s">
        <v>628</v>
      </c>
      <c r="CV305" t="b">
        <f t="shared" si="253"/>
        <v>1</v>
      </c>
      <c r="DC305" t="str">
        <f t="shared" si="241"/>
        <v>G475</v>
      </c>
      <c r="DD305" t="b">
        <f t="shared" si="254"/>
        <v>0</v>
      </c>
      <c r="DE305" t="str">
        <f t="shared" si="255"/>
        <v>G475</v>
      </c>
      <c r="DF305" t="str">
        <f t="shared" si="242"/>
        <v>R293</v>
      </c>
      <c r="DG305" t="b">
        <f t="shared" si="256"/>
        <v>0</v>
      </c>
      <c r="DH305" t="str">
        <f t="shared" si="257"/>
        <v>R293</v>
      </c>
    </row>
    <row r="306" spans="2:112" ht="12" customHeight="1">
      <c r="B306" t="str">
        <f>TBIDry!H378</f>
        <v>G879</v>
      </c>
      <c r="C306" t="str">
        <f>TBIDry!I378</f>
        <v>R614</v>
      </c>
      <c r="D306" t="b">
        <f t="shared" si="209"/>
        <v>0</v>
      </c>
      <c r="E306" t="b">
        <f t="shared" si="210"/>
        <v>0</v>
      </c>
      <c r="G306" t="str">
        <f>TBIWet!H378</f>
        <v>G298</v>
      </c>
      <c r="H306" t="str">
        <f>TBIWet!I378</f>
        <v>R22</v>
      </c>
      <c r="I306" t="b">
        <f t="shared" si="211"/>
        <v>0</v>
      </c>
      <c r="J306" t="b">
        <f t="shared" si="212"/>
        <v>0</v>
      </c>
      <c r="L306" t="str">
        <f>'Both teabags AfterWet'!A304</f>
        <v>G756</v>
      </c>
      <c r="M306" t="str">
        <f>'Both teabags AfterWet'!A724</f>
        <v>R517</v>
      </c>
      <c r="N306" t="b">
        <f t="shared" si="213"/>
        <v>0</v>
      </c>
      <c r="O306" t="b">
        <f t="shared" si="258"/>
        <v>0</v>
      </c>
      <c r="Q306" s="395" t="b">
        <f t="shared" si="214"/>
        <v>0</v>
      </c>
      <c r="R306" s="395" t="b">
        <f t="shared" si="215"/>
        <v>0</v>
      </c>
      <c r="T306" t="str">
        <f>'Both teabags AfterDry'!A304</f>
        <v>G780</v>
      </c>
      <c r="U306" t="str">
        <f>'Both teabags AfterDry'!A639</f>
        <v>R803</v>
      </c>
      <c r="V306" t="b">
        <f t="shared" si="216"/>
        <v>0</v>
      </c>
      <c r="W306" t="b">
        <f t="shared" si="243"/>
        <v>0</v>
      </c>
      <c r="Y306" t="str">
        <f>'Green_rooibos initial weight'!A307</f>
        <v>G303</v>
      </c>
      <c r="Z306" t="str">
        <f>'Green_rooibos initial weight'!A1211</f>
        <v>R303</v>
      </c>
      <c r="AA306" t="b">
        <f t="shared" si="217"/>
        <v>0</v>
      </c>
      <c r="AB306" t="b">
        <f t="shared" si="218"/>
        <v>0</v>
      </c>
      <c r="AE306" t="str">
        <f>'WetLitterbags placem_collection'!O85</f>
        <v>G298</v>
      </c>
      <c r="AF306" t="str">
        <f>'WetLitterbags placem_collection'!Q85</f>
        <v>R22</v>
      </c>
      <c r="AG306" t="b">
        <f t="shared" si="219"/>
        <v>0</v>
      </c>
      <c r="AH306" t="b">
        <f t="shared" si="220"/>
        <v>0</v>
      </c>
      <c r="AJ306" t="b">
        <f t="shared" si="221"/>
        <v>0</v>
      </c>
      <c r="AK306" t="b">
        <f t="shared" si="222"/>
        <v>0</v>
      </c>
      <c r="AM306" t="str">
        <f>IF(ISBLANK('Dry_Litterbag Placem_Collection'!L85),"","G"&amp;""&amp;'Dry_Litterbag Placem_Collection'!L85)</f>
        <v>G879</v>
      </c>
      <c r="AN306" t="str">
        <f>IF(ISBLANK('Dry_Litterbag Placem_Collection'!M85),"","R"&amp;""&amp;'Dry_Litterbag Placem_Collection'!M85)</f>
        <v>R614</v>
      </c>
      <c r="AO306" t="b">
        <f t="shared" si="223"/>
        <v>0</v>
      </c>
      <c r="AP306" t="b">
        <f t="shared" si="224"/>
        <v>0</v>
      </c>
      <c r="AS306" t="str">
        <f>'Ashed teabags dry'!A304</f>
        <v>G780</v>
      </c>
      <c r="AT306" t="str">
        <f>'Ashed teabags dry'!A639</f>
        <v>R803</v>
      </c>
      <c r="AU306" t="b">
        <f t="shared" si="225"/>
        <v>0</v>
      </c>
      <c r="AV306" t="b">
        <f>COUNTIF($AT$4:$AT$2000, AT306)&gt;1</f>
        <v>0</v>
      </c>
      <c r="AX306" s="395" t="b">
        <f t="shared" si="226"/>
        <v>0</v>
      </c>
      <c r="AY306" s="395" t="b">
        <f t="shared" si="227"/>
        <v>0</v>
      </c>
      <c r="BA306" t="str">
        <f>'Ashed teabags wet'!A304</f>
        <v>G756</v>
      </c>
      <c r="BB306" t="str">
        <f>'Ashed teabags wet'!A724</f>
        <v>R517</v>
      </c>
      <c r="BC306" t="b">
        <f t="shared" si="228"/>
        <v>0</v>
      </c>
      <c r="BD306" t="b">
        <f t="shared" si="208"/>
        <v>0</v>
      </c>
      <c r="BF306" t="str">
        <f t="shared" si="229"/>
        <v>G78</v>
      </c>
      <c r="BG306" t="str">
        <f>T305</f>
        <v>G78</v>
      </c>
      <c r="BH306" t="str">
        <f t="shared" si="230"/>
        <v>G370</v>
      </c>
      <c r="BI306" t="str">
        <f t="shared" si="244"/>
        <v>G370</v>
      </c>
      <c r="BJ306" t="s">
        <v>1972</v>
      </c>
      <c r="BK306" t="s">
        <v>1972</v>
      </c>
      <c r="BL306" t="s">
        <v>1972</v>
      </c>
      <c r="BM306" t="b">
        <f t="shared" si="245"/>
        <v>1</v>
      </c>
      <c r="BN306" t="str">
        <f t="shared" si="231"/>
        <v>R802</v>
      </c>
      <c r="BO306" t="str">
        <f>U305</f>
        <v>R802</v>
      </c>
      <c r="BP306" t="str">
        <f t="shared" si="232"/>
        <v>R610</v>
      </c>
      <c r="BQ306" t="str">
        <f t="shared" si="233"/>
        <v>R610</v>
      </c>
      <c r="BR306" t="s">
        <v>337</v>
      </c>
      <c r="BS306" t="s">
        <v>336</v>
      </c>
      <c r="BT306" t="s">
        <v>337</v>
      </c>
      <c r="BU306" t="b">
        <f t="shared" si="246"/>
        <v>1</v>
      </c>
      <c r="BZ306" t="str">
        <f t="shared" si="234"/>
        <v>G370</v>
      </c>
      <c r="CA306" t="b">
        <f t="shared" si="235"/>
        <v>0</v>
      </c>
      <c r="CB306" t="str">
        <f t="shared" si="247"/>
        <v>G370</v>
      </c>
      <c r="CC306" t="str">
        <f t="shared" si="236"/>
        <v>R610</v>
      </c>
      <c r="CD306" t="b">
        <f t="shared" si="248"/>
        <v>0</v>
      </c>
      <c r="CE306" t="str">
        <f t="shared" si="249"/>
        <v>R610</v>
      </c>
      <c r="CG306" t="str">
        <f t="shared" si="237"/>
        <v>G755</v>
      </c>
      <c r="CH306" t="str">
        <f t="shared" si="250"/>
        <v>G755</v>
      </c>
      <c r="CI306" t="str">
        <f>AE305</f>
        <v>G840</v>
      </c>
      <c r="CJ306" t="str">
        <f t="shared" si="238"/>
        <v>G840</v>
      </c>
      <c r="CK306" t="s">
        <v>1295</v>
      </c>
      <c r="CL306" t="s">
        <v>1295</v>
      </c>
      <c r="CM306" t="s">
        <v>1295</v>
      </c>
      <c r="CN306" t="b">
        <f t="shared" si="251"/>
        <v>1</v>
      </c>
      <c r="CO306" t="str">
        <f t="shared" si="239"/>
        <v>R515</v>
      </c>
      <c r="CP306" t="str">
        <f t="shared" si="252"/>
        <v>R515</v>
      </c>
      <c r="CQ306" t="str">
        <f>AF305</f>
        <v>R368</v>
      </c>
      <c r="CR306" t="str">
        <f t="shared" si="240"/>
        <v>R368</v>
      </c>
      <c r="CS306" t="s">
        <v>626</v>
      </c>
      <c r="CT306" t="s">
        <v>626</v>
      </c>
      <c r="CU306" t="s">
        <v>626</v>
      </c>
      <c r="CV306" t="b">
        <f t="shared" si="253"/>
        <v>1</v>
      </c>
      <c r="DC306" t="str">
        <f t="shared" si="241"/>
        <v>G840</v>
      </c>
      <c r="DD306" t="b">
        <f t="shared" si="254"/>
        <v>0</v>
      </c>
      <c r="DE306" t="str">
        <f t="shared" si="255"/>
        <v>G840</v>
      </c>
      <c r="DF306" t="str">
        <f t="shared" si="242"/>
        <v>R368</v>
      </c>
      <c r="DG306" t="b">
        <f t="shared" si="256"/>
        <v>0</v>
      </c>
      <c r="DH306" t="str">
        <f t="shared" si="257"/>
        <v>R368</v>
      </c>
    </row>
    <row r="307" spans="2:112" ht="12" customHeight="1">
      <c r="B307" t="str">
        <f>TBIDry!H379</f>
        <v>G854</v>
      </c>
      <c r="C307" t="str">
        <f>TBIDry!I379</f>
        <v>R720</v>
      </c>
      <c r="D307" t="b">
        <f t="shared" si="209"/>
        <v>0</v>
      </c>
      <c r="E307" t="b">
        <f t="shared" si="210"/>
        <v>0</v>
      </c>
      <c r="G307" t="str">
        <f>TBIWet!H379</f>
        <v>G520</v>
      </c>
      <c r="H307" t="str">
        <f>TBIWet!I379</f>
        <v>R417</v>
      </c>
      <c r="I307" t="b">
        <f t="shared" si="211"/>
        <v>0</v>
      </c>
      <c r="J307" t="b">
        <f t="shared" si="212"/>
        <v>0</v>
      </c>
      <c r="L307" t="str">
        <f>'Both teabags AfterWet'!A305</f>
        <v>G758</v>
      </c>
      <c r="M307" t="str">
        <f>'Both teabags AfterWet'!A725</f>
        <v>R518</v>
      </c>
      <c r="N307" t="b">
        <f t="shared" si="213"/>
        <v>0</v>
      </c>
      <c r="O307" t="b">
        <f t="shared" si="258"/>
        <v>0</v>
      </c>
      <c r="Q307" s="395" t="b">
        <f t="shared" si="214"/>
        <v>0</v>
      </c>
      <c r="R307" s="395" t="b">
        <f t="shared" si="215"/>
        <v>0</v>
      </c>
      <c r="T307" t="str">
        <f>'Both teabags AfterDry'!A305</f>
        <v>G79</v>
      </c>
      <c r="U307" t="str">
        <f>'Both teabags AfterDry'!A640</f>
        <v>R804</v>
      </c>
      <c r="V307" t="b">
        <f t="shared" si="216"/>
        <v>0</v>
      </c>
      <c r="W307" t="b">
        <f t="shared" si="243"/>
        <v>0</v>
      </c>
      <c r="Y307" t="str">
        <f>'Green_rooibos initial weight'!A308</f>
        <v>G304</v>
      </c>
      <c r="Z307" t="str">
        <f>'Green_rooibos initial weight'!A1212</f>
        <v>R304</v>
      </c>
      <c r="AA307" t="b">
        <f t="shared" si="217"/>
        <v>0</v>
      </c>
      <c r="AB307" t="b">
        <f t="shared" si="218"/>
        <v>0</v>
      </c>
      <c r="AE307" t="str">
        <f>'WetLitterbags placem_collection'!O86</f>
        <v>G520</v>
      </c>
      <c r="AF307" t="str">
        <f>'WetLitterbags placem_collection'!Q86</f>
        <v>R417</v>
      </c>
      <c r="AG307" t="b">
        <f t="shared" si="219"/>
        <v>0</v>
      </c>
      <c r="AH307" t="b">
        <f t="shared" si="220"/>
        <v>0</v>
      </c>
      <c r="AJ307" t="b">
        <f t="shared" si="221"/>
        <v>0</v>
      </c>
      <c r="AK307" t="b">
        <f t="shared" si="222"/>
        <v>0</v>
      </c>
      <c r="AM307" t="str">
        <f>IF(ISBLANK('Dry_Litterbag Placem_Collection'!L86),"","G"&amp;""&amp;'Dry_Litterbag Placem_Collection'!L86)</f>
        <v>G854</v>
      </c>
      <c r="AN307" t="str">
        <f>IF(ISBLANK('Dry_Litterbag Placem_Collection'!M86),"","R"&amp;""&amp;'Dry_Litterbag Placem_Collection'!M86)</f>
        <v>R720</v>
      </c>
      <c r="AO307" t="b">
        <f t="shared" si="223"/>
        <v>0</v>
      </c>
      <c r="AP307" t="b">
        <f t="shared" si="224"/>
        <v>0</v>
      </c>
      <c r="AS307" t="str">
        <f>'Ashed teabags dry'!A305</f>
        <v>G79</v>
      </c>
      <c r="AT307" t="str">
        <f>'Ashed teabags dry'!A640</f>
        <v>R804</v>
      </c>
      <c r="AU307" t="b">
        <f t="shared" si="225"/>
        <v>0</v>
      </c>
      <c r="AV307" t="b">
        <f>COUNTIF($AT$4:$AT$2000, AT307)&gt;1</f>
        <v>0</v>
      </c>
      <c r="AX307" s="395" t="b">
        <f t="shared" si="226"/>
        <v>0</v>
      </c>
      <c r="AY307" s="395" t="b">
        <f t="shared" si="227"/>
        <v>0</v>
      </c>
      <c r="BA307" t="str">
        <f>'Ashed teabags wet'!A305</f>
        <v>G758</v>
      </c>
      <c r="BB307" t="str">
        <f>'Ashed teabags wet'!A725</f>
        <v>R518</v>
      </c>
      <c r="BC307" t="b">
        <f t="shared" si="228"/>
        <v>0</v>
      </c>
      <c r="BD307" t="b">
        <f t="shared" si="208"/>
        <v>0</v>
      </c>
      <c r="BF307" t="str">
        <f t="shared" si="229"/>
        <v>G780</v>
      </c>
      <c r="BG307" t="str">
        <f>T306</f>
        <v>G780</v>
      </c>
      <c r="BH307" t="str">
        <f t="shared" si="230"/>
        <v>G879</v>
      </c>
      <c r="BI307" t="str">
        <f t="shared" si="244"/>
        <v>G879</v>
      </c>
      <c r="BJ307" t="s">
        <v>1270</v>
      </c>
      <c r="BK307" t="s">
        <v>1270</v>
      </c>
      <c r="BL307" t="s">
        <v>1270</v>
      </c>
      <c r="BM307" t="b">
        <f t="shared" si="245"/>
        <v>1</v>
      </c>
      <c r="BN307" t="str">
        <f t="shared" si="231"/>
        <v>R803</v>
      </c>
      <c r="BO307" t="str">
        <f>U306</f>
        <v>R803</v>
      </c>
      <c r="BP307" t="str">
        <f t="shared" si="232"/>
        <v>R614</v>
      </c>
      <c r="BQ307" t="str">
        <f t="shared" si="233"/>
        <v>R614</v>
      </c>
      <c r="BR307" t="s">
        <v>336</v>
      </c>
      <c r="BS307" t="s">
        <v>335</v>
      </c>
      <c r="BT307" t="s">
        <v>336</v>
      </c>
      <c r="BU307" t="b">
        <f t="shared" si="246"/>
        <v>1</v>
      </c>
      <c r="BZ307" t="str">
        <f t="shared" si="234"/>
        <v>G879</v>
      </c>
      <c r="CA307" t="b">
        <f t="shared" si="235"/>
        <v>0</v>
      </c>
      <c r="CB307" t="str">
        <f t="shared" si="247"/>
        <v>G879</v>
      </c>
      <c r="CC307" t="str">
        <f t="shared" si="236"/>
        <v>R614</v>
      </c>
      <c r="CD307" t="b">
        <f t="shared" si="248"/>
        <v>0</v>
      </c>
      <c r="CE307" t="str">
        <f t="shared" si="249"/>
        <v>R614</v>
      </c>
      <c r="CG307" t="str">
        <f t="shared" si="237"/>
        <v>G756</v>
      </c>
      <c r="CH307" t="str">
        <f t="shared" si="250"/>
        <v>G756</v>
      </c>
      <c r="CI307" t="str">
        <f>AE306</f>
        <v>G298</v>
      </c>
      <c r="CJ307" t="str">
        <f t="shared" si="238"/>
        <v>G298</v>
      </c>
      <c r="CK307" t="s">
        <v>1294</v>
      </c>
      <c r="CL307" t="s">
        <v>1294</v>
      </c>
      <c r="CM307" t="s">
        <v>1294</v>
      </c>
      <c r="CN307" t="b">
        <f t="shared" si="251"/>
        <v>1</v>
      </c>
      <c r="CO307" t="str">
        <f t="shared" si="239"/>
        <v>R517</v>
      </c>
      <c r="CP307" t="str">
        <f t="shared" si="252"/>
        <v>R517</v>
      </c>
      <c r="CQ307" t="str">
        <f>AF306</f>
        <v>R22</v>
      </c>
      <c r="CR307" t="str">
        <f t="shared" si="240"/>
        <v>R22</v>
      </c>
      <c r="CS307" t="s">
        <v>624</v>
      </c>
      <c r="CT307" t="s">
        <v>624</v>
      </c>
      <c r="CU307" t="s">
        <v>624</v>
      </c>
      <c r="CV307" t="b">
        <f t="shared" si="253"/>
        <v>1</v>
      </c>
      <c r="DC307" t="str">
        <f t="shared" si="241"/>
        <v>G298</v>
      </c>
      <c r="DD307" t="b">
        <f t="shared" si="254"/>
        <v>0</v>
      </c>
      <c r="DE307" t="str">
        <f t="shared" si="255"/>
        <v>G298</v>
      </c>
      <c r="DF307" t="str">
        <f t="shared" si="242"/>
        <v>R22</v>
      </c>
      <c r="DG307" t="b">
        <f t="shared" si="256"/>
        <v>0</v>
      </c>
      <c r="DH307" t="str">
        <f t="shared" si="257"/>
        <v>R22</v>
      </c>
    </row>
    <row r="308" spans="2:112" ht="12" customHeight="1">
      <c r="B308" t="str">
        <f>TBIDry!H380</f>
        <v/>
      </c>
      <c r="C308" t="str">
        <f>TBIDry!I380</f>
        <v/>
      </c>
      <c r="D308" t="b">
        <f t="shared" si="209"/>
        <v>1</v>
      </c>
      <c r="E308" t="b">
        <f t="shared" si="210"/>
        <v>1</v>
      </c>
      <c r="G308" t="str">
        <f>TBIWet!H380</f>
        <v>G441</v>
      </c>
      <c r="H308" t="str">
        <f>TBIWet!I380</f>
        <v>R391</v>
      </c>
      <c r="I308" t="b">
        <f t="shared" si="211"/>
        <v>0</v>
      </c>
      <c r="J308" t="b">
        <f t="shared" si="212"/>
        <v>0</v>
      </c>
      <c r="L308" t="str">
        <f>'Both teabags AfterWet'!A306</f>
        <v>G760</v>
      </c>
      <c r="M308" t="str">
        <f>'Both teabags AfterWet'!A726</f>
        <v>R519</v>
      </c>
      <c r="N308" t="b">
        <f t="shared" si="213"/>
        <v>0</v>
      </c>
      <c r="O308" t="b">
        <f t="shared" si="258"/>
        <v>0</v>
      </c>
      <c r="Q308" s="395" t="b">
        <f t="shared" si="214"/>
        <v>0</v>
      </c>
      <c r="R308" s="395" t="b">
        <f t="shared" si="215"/>
        <v>0</v>
      </c>
      <c r="T308" t="str">
        <f>'Both teabags AfterDry'!A306</f>
        <v>G792</v>
      </c>
      <c r="U308" t="str">
        <f>'Both teabags AfterDry'!A641</f>
        <v>R806</v>
      </c>
      <c r="V308" t="b">
        <f t="shared" si="216"/>
        <v>0</v>
      </c>
      <c r="W308" t="b">
        <f t="shared" si="243"/>
        <v>0</v>
      </c>
      <c r="Y308" t="str">
        <f>'Green_rooibos initial weight'!A309</f>
        <v>G305</v>
      </c>
      <c r="Z308" t="str">
        <f>'Green_rooibos initial weight'!A1213</f>
        <v>R305</v>
      </c>
      <c r="AA308" t="b">
        <f t="shared" si="217"/>
        <v>0</v>
      </c>
      <c r="AB308" t="b">
        <f t="shared" si="218"/>
        <v>0</v>
      </c>
      <c r="AE308" t="str">
        <f>'WetLitterbags placem_collection'!O87</f>
        <v>G441</v>
      </c>
      <c r="AF308" t="str">
        <f>'WetLitterbags placem_collection'!Q87</f>
        <v>R391</v>
      </c>
      <c r="AG308" t="b">
        <f t="shared" si="219"/>
        <v>0</v>
      </c>
      <c r="AH308" t="b">
        <f t="shared" si="220"/>
        <v>0</v>
      </c>
      <c r="AJ308" t="b">
        <f t="shared" si="221"/>
        <v>0</v>
      </c>
      <c r="AK308" t="b">
        <f t="shared" si="222"/>
        <v>0</v>
      </c>
      <c r="AM308" t="str">
        <f>IF(ISBLANK('Dry_Litterbag Placem_Collection'!L87),"","G"&amp;""&amp;'Dry_Litterbag Placem_Collection'!L87)</f>
        <v/>
      </c>
      <c r="AN308" t="str">
        <f>IF(ISBLANK('Dry_Litterbag Placem_Collection'!M87),"","R"&amp;""&amp;'Dry_Litterbag Placem_Collection'!M87)</f>
        <v/>
      </c>
      <c r="AO308" t="b">
        <f t="shared" si="223"/>
        <v>1</v>
      </c>
      <c r="AP308" t="b">
        <f t="shared" si="224"/>
        <v>1</v>
      </c>
      <c r="AS308" t="str">
        <f>'Ashed teabags dry'!A306</f>
        <v>G792</v>
      </c>
      <c r="AT308" t="str">
        <f>'Ashed teabags dry'!A641</f>
        <v>R806</v>
      </c>
      <c r="AU308" t="b">
        <f t="shared" si="225"/>
        <v>0</v>
      </c>
      <c r="AV308" t="b">
        <f>COUNTIF($AT$4:$AT$2000, AT308)&gt;1</f>
        <v>0</v>
      </c>
      <c r="AX308" s="395" t="b">
        <f t="shared" si="226"/>
        <v>0</v>
      </c>
      <c r="AY308" s="395" t="b">
        <f t="shared" si="227"/>
        <v>0</v>
      </c>
      <c r="BA308" t="str">
        <f>'Ashed teabags wet'!A306</f>
        <v>G760</v>
      </c>
      <c r="BB308" t="str">
        <f>'Ashed teabags wet'!A726</f>
        <v>R519</v>
      </c>
      <c r="BC308" t="b">
        <f t="shared" si="228"/>
        <v>0</v>
      </c>
      <c r="BD308" t="b">
        <f t="shared" si="208"/>
        <v>0</v>
      </c>
      <c r="BF308" t="str">
        <f t="shared" si="229"/>
        <v>G79</v>
      </c>
      <c r="BG308" t="str">
        <f>T307</f>
        <v>G79</v>
      </c>
      <c r="BH308" t="str">
        <f t="shared" si="230"/>
        <v>G854</v>
      </c>
      <c r="BI308" t="str">
        <f t="shared" si="244"/>
        <v>G854</v>
      </c>
      <c r="BJ308" t="s">
        <v>1971</v>
      </c>
      <c r="BK308" t="s">
        <v>1971</v>
      </c>
      <c r="BL308" t="s">
        <v>1971</v>
      </c>
      <c r="BM308" t="b">
        <f t="shared" si="245"/>
        <v>1</v>
      </c>
      <c r="BN308" t="str">
        <f t="shared" si="231"/>
        <v>R804</v>
      </c>
      <c r="BO308" t="str">
        <f>U307</f>
        <v>R804</v>
      </c>
      <c r="BP308" t="str">
        <f t="shared" si="232"/>
        <v>R720</v>
      </c>
      <c r="BQ308" t="str">
        <f t="shared" si="233"/>
        <v>R720</v>
      </c>
      <c r="BR308" t="s">
        <v>335</v>
      </c>
      <c r="BS308" t="s">
        <v>333</v>
      </c>
      <c r="BT308" t="s">
        <v>335</v>
      </c>
      <c r="BU308" t="b">
        <f t="shared" si="246"/>
        <v>1</v>
      </c>
      <c r="BZ308" t="str">
        <f t="shared" si="234"/>
        <v>G854</v>
      </c>
      <c r="CA308" t="b">
        <f t="shared" si="235"/>
        <v>0</v>
      </c>
      <c r="CB308" t="str">
        <f t="shared" si="247"/>
        <v>G854</v>
      </c>
      <c r="CC308" t="str">
        <f t="shared" si="236"/>
        <v>R720</v>
      </c>
      <c r="CD308" t="b">
        <f t="shared" si="248"/>
        <v>0</v>
      </c>
      <c r="CE308" t="str">
        <f t="shared" si="249"/>
        <v>R720</v>
      </c>
      <c r="CG308" t="str">
        <f t="shared" si="237"/>
        <v>G758</v>
      </c>
      <c r="CH308" t="str">
        <f t="shared" si="250"/>
        <v>G758</v>
      </c>
      <c r="CI308" t="str">
        <f>AE307</f>
        <v>G520</v>
      </c>
      <c r="CJ308" t="str">
        <f t="shared" si="238"/>
        <v>G520</v>
      </c>
      <c r="CK308" t="s">
        <v>1292</v>
      </c>
      <c r="CL308" t="s">
        <v>1292</v>
      </c>
      <c r="CM308" t="s">
        <v>1292</v>
      </c>
      <c r="CN308" t="b">
        <f t="shared" si="251"/>
        <v>1</v>
      </c>
      <c r="CO308" t="str">
        <f t="shared" si="239"/>
        <v>R518</v>
      </c>
      <c r="CP308" t="str">
        <f t="shared" si="252"/>
        <v>R518</v>
      </c>
      <c r="CQ308" t="str">
        <f>AF307</f>
        <v>R417</v>
      </c>
      <c r="CR308" t="str">
        <f t="shared" si="240"/>
        <v>R417</v>
      </c>
      <c r="CS308" t="s">
        <v>623</v>
      </c>
      <c r="CT308" t="s">
        <v>623</v>
      </c>
      <c r="CU308" t="s">
        <v>623</v>
      </c>
      <c r="CV308" t="b">
        <f t="shared" si="253"/>
        <v>1</v>
      </c>
      <c r="DC308" t="str">
        <f t="shared" si="241"/>
        <v>G520</v>
      </c>
      <c r="DD308" t="b">
        <f t="shared" si="254"/>
        <v>0</v>
      </c>
      <c r="DE308" t="str">
        <f t="shared" si="255"/>
        <v>G520</v>
      </c>
      <c r="DF308" t="str">
        <f t="shared" si="242"/>
        <v>R417</v>
      </c>
      <c r="DG308" t="b">
        <f t="shared" si="256"/>
        <v>0</v>
      </c>
      <c r="DH308" t="str">
        <f t="shared" si="257"/>
        <v>R417</v>
      </c>
    </row>
    <row r="309" spans="2:112" ht="12" customHeight="1">
      <c r="B309" t="str">
        <f>TBIDry!H381</f>
        <v>G788</v>
      </c>
      <c r="C309" t="str">
        <f>TBIDry!I381</f>
        <v>R643</v>
      </c>
      <c r="D309" t="b">
        <f t="shared" si="209"/>
        <v>0</v>
      </c>
      <c r="E309" t="b">
        <f t="shared" si="210"/>
        <v>0</v>
      </c>
      <c r="G309" t="str">
        <f>TBIWet!H381</f>
        <v>G561</v>
      </c>
      <c r="H309" t="str">
        <f>TBIWet!I381</f>
        <v>R62</v>
      </c>
      <c r="I309" t="b">
        <f t="shared" si="211"/>
        <v>0</v>
      </c>
      <c r="J309" t="b">
        <f t="shared" si="212"/>
        <v>0</v>
      </c>
      <c r="L309" t="str">
        <f>'Both teabags AfterWet'!A307</f>
        <v>G761</v>
      </c>
      <c r="M309" t="str">
        <f>'Both teabags AfterWet'!A727</f>
        <v>R520</v>
      </c>
      <c r="N309" t="b">
        <f t="shared" si="213"/>
        <v>0</v>
      </c>
      <c r="O309" t="b">
        <f t="shared" si="258"/>
        <v>0</v>
      </c>
      <c r="Q309" s="395" t="b">
        <f t="shared" si="214"/>
        <v>0</v>
      </c>
      <c r="R309" s="395" t="b">
        <f t="shared" si="215"/>
        <v>0</v>
      </c>
      <c r="T309" t="str">
        <f>'Both teabags AfterDry'!A307</f>
        <v>G8</v>
      </c>
      <c r="U309" t="str">
        <f>'Both teabags AfterDry'!A642</f>
        <v>R807</v>
      </c>
      <c r="V309" t="b">
        <f t="shared" si="216"/>
        <v>0</v>
      </c>
      <c r="W309" t="b">
        <f t="shared" si="243"/>
        <v>0</v>
      </c>
      <c r="Y309" t="str">
        <f>'Green_rooibos initial weight'!A310</f>
        <v>G306</v>
      </c>
      <c r="Z309" t="str">
        <f>'Green_rooibos initial weight'!A1214</f>
        <v>R306</v>
      </c>
      <c r="AA309" t="b">
        <f t="shared" si="217"/>
        <v>0</v>
      </c>
      <c r="AB309" t="b">
        <f t="shared" si="218"/>
        <v>0</v>
      </c>
      <c r="AE309" t="str">
        <f>'WetLitterbags placem_collection'!O88</f>
        <v>G561</v>
      </c>
      <c r="AF309" t="str">
        <f>'WetLitterbags placem_collection'!Q88</f>
        <v>R62</v>
      </c>
      <c r="AG309" t="b">
        <f t="shared" si="219"/>
        <v>0</v>
      </c>
      <c r="AH309" t="b">
        <f t="shared" si="220"/>
        <v>0</v>
      </c>
      <c r="AJ309" t="b">
        <f t="shared" si="221"/>
        <v>0</v>
      </c>
      <c r="AK309" t="b">
        <f t="shared" si="222"/>
        <v>0</v>
      </c>
      <c r="AM309" t="str">
        <f>IF(ISBLANK('Dry_Litterbag Placem_Collection'!L88),"","G"&amp;""&amp;'Dry_Litterbag Placem_Collection'!L88)</f>
        <v>G788</v>
      </c>
      <c r="AN309" t="str">
        <f>IF(ISBLANK('Dry_Litterbag Placem_Collection'!M88),"","R"&amp;""&amp;'Dry_Litterbag Placem_Collection'!M88)</f>
        <v>R643</v>
      </c>
      <c r="AO309" t="b">
        <f t="shared" si="223"/>
        <v>0</v>
      </c>
      <c r="AP309" t="b">
        <f t="shared" si="224"/>
        <v>0</v>
      </c>
      <c r="AS309" t="str">
        <f>'Ashed teabags dry'!A307</f>
        <v>G8</v>
      </c>
      <c r="AT309" t="str">
        <f>'Ashed teabags dry'!A642</f>
        <v>R807</v>
      </c>
      <c r="AU309" t="b">
        <f t="shared" si="225"/>
        <v>0</v>
      </c>
      <c r="AV309" t="b">
        <f>COUNTIF($AT$4:$AT$2000, AT309)&gt;1</f>
        <v>0</v>
      </c>
      <c r="AX309" s="395" t="b">
        <f t="shared" si="226"/>
        <v>0</v>
      </c>
      <c r="AY309" s="395" t="b">
        <f t="shared" si="227"/>
        <v>0</v>
      </c>
      <c r="BA309" t="str">
        <f>'Ashed teabags wet'!A307</f>
        <v>G761</v>
      </c>
      <c r="BB309" t="str">
        <f>'Ashed teabags wet'!A727</f>
        <v>R520</v>
      </c>
      <c r="BC309" t="b">
        <f t="shared" si="228"/>
        <v>0</v>
      </c>
      <c r="BD309" t="b">
        <f t="shared" si="208"/>
        <v>0</v>
      </c>
      <c r="BF309" t="str">
        <f t="shared" si="229"/>
        <v>G792</v>
      </c>
      <c r="BG309" t="str">
        <f>T308</f>
        <v>G792</v>
      </c>
      <c r="BH309" t="str">
        <f t="shared" si="230"/>
        <v/>
      </c>
      <c r="BI309" t="str">
        <f t="shared" si="244"/>
        <v/>
      </c>
      <c r="BJ309" t="s">
        <v>1258</v>
      </c>
      <c r="BK309" t="s">
        <v>1258</v>
      </c>
      <c r="BL309" t="s">
        <v>1258</v>
      </c>
      <c r="BM309" t="b">
        <f t="shared" si="245"/>
        <v>1</v>
      </c>
      <c r="BN309" t="str">
        <f t="shared" si="231"/>
        <v>R806</v>
      </c>
      <c r="BO309" t="str">
        <f>U308</f>
        <v>R806</v>
      </c>
      <c r="BP309" t="str">
        <f t="shared" si="232"/>
        <v/>
      </c>
      <c r="BQ309" t="str">
        <f t="shared" si="233"/>
        <v/>
      </c>
      <c r="BR309" t="s">
        <v>333</v>
      </c>
      <c r="BS309" t="s">
        <v>332</v>
      </c>
      <c r="BT309" t="s">
        <v>333</v>
      </c>
      <c r="BU309" t="b">
        <f t="shared" si="246"/>
        <v>1</v>
      </c>
      <c r="BZ309" t="str">
        <f t="shared" si="234"/>
        <v/>
      </c>
      <c r="CA309" t="b">
        <f t="shared" si="235"/>
        <v>0</v>
      </c>
      <c r="CB309" t="str">
        <f t="shared" si="247"/>
        <v/>
      </c>
      <c r="CC309" t="str">
        <f t="shared" si="236"/>
        <v/>
      </c>
      <c r="CD309" t="b">
        <f t="shared" si="248"/>
        <v>0</v>
      </c>
      <c r="CE309" t="str">
        <f t="shared" si="249"/>
        <v/>
      </c>
      <c r="CG309" t="str">
        <f t="shared" si="237"/>
        <v>G760</v>
      </c>
      <c r="CH309" t="str">
        <f t="shared" si="250"/>
        <v>G760</v>
      </c>
      <c r="CI309" t="str">
        <f>AE308</f>
        <v>G441</v>
      </c>
      <c r="CJ309" t="str">
        <f t="shared" si="238"/>
        <v>G441</v>
      </c>
      <c r="CK309" t="s">
        <v>1290</v>
      </c>
      <c r="CL309" t="s">
        <v>1290</v>
      </c>
      <c r="CM309" t="s">
        <v>1290</v>
      </c>
      <c r="CN309" t="b">
        <f t="shared" si="251"/>
        <v>1</v>
      </c>
      <c r="CO309" t="str">
        <f t="shared" si="239"/>
        <v>R519</v>
      </c>
      <c r="CP309" t="str">
        <f t="shared" si="252"/>
        <v>R519</v>
      </c>
      <c r="CQ309" t="str">
        <f>AF308</f>
        <v>R391</v>
      </c>
      <c r="CR309" t="str">
        <f t="shared" si="240"/>
        <v>R391</v>
      </c>
      <c r="CS309" t="s">
        <v>622</v>
      </c>
      <c r="CT309" t="s">
        <v>622</v>
      </c>
      <c r="CU309" t="s">
        <v>622</v>
      </c>
      <c r="CV309" t="b">
        <f t="shared" si="253"/>
        <v>1</v>
      </c>
      <c r="DC309" t="str">
        <f t="shared" si="241"/>
        <v>G441</v>
      </c>
      <c r="DD309" t="b">
        <f t="shared" si="254"/>
        <v>0</v>
      </c>
      <c r="DE309" t="str">
        <f t="shared" si="255"/>
        <v>G441</v>
      </c>
      <c r="DF309" t="str">
        <f t="shared" si="242"/>
        <v>R391</v>
      </c>
      <c r="DG309" t="b">
        <f t="shared" si="256"/>
        <v>0</v>
      </c>
      <c r="DH309" t="str">
        <f t="shared" si="257"/>
        <v>R391</v>
      </c>
    </row>
    <row r="310" spans="2:112" ht="12" customHeight="1">
      <c r="B310" t="str">
        <f>TBIDry!H382</f>
        <v>G91</v>
      </c>
      <c r="C310" t="str">
        <f>TBIDry!I382</f>
        <v>R277</v>
      </c>
      <c r="D310" t="b">
        <f t="shared" si="209"/>
        <v>0</v>
      </c>
      <c r="E310" t="b">
        <f t="shared" si="210"/>
        <v>0</v>
      </c>
      <c r="G310" t="str">
        <f>TBIWet!H382</f>
        <v>G632</v>
      </c>
      <c r="H310" t="str">
        <f>TBIWet!I382</f>
        <v>R329</v>
      </c>
      <c r="I310" t="b">
        <f t="shared" si="211"/>
        <v>0</v>
      </c>
      <c r="J310" t="b">
        <f t="shared" si="212"/>
        <v>0</v>
      </c>
      <c r="L310" t="str">
        <f>'Both teabags AfterWet'!A308</f>
        <v>G762</v>
      </c>
      <c r="M310" t="str">
        <f>'Both teabags AfterWet'!A728</f>
        <v>R521</v>
      </c>
      <c r="N310" t="b">
        <f t="shared" si="213"/>
        <v>0</v>
      </c>
      <c r="O310" t="b">
        <f t="shared" si="258"/>
        <v>0</v>
      </c>
      <c r="Q310" s="395" t="b">
        <f t="shared" si="214"/>
        <v>0</v>
      </c>
      <c r="R310" s="395" t="b">
        <f t="shared" si="215"/>
        <v>0</v>
      </c>
      <c r="T310" t="str">
        <f>'Both teabags AfterDry'!A308</f>
        <v>G80</v>
      </c>
      <c r="U310" t="str">
        <f>'Both teabags AfterDry'!A643</f>
        <v>R808</v>
      </c>
      <c r="V310" t="b">
        <f t="shared" si="216"/>
        <v>0</v>
      </c>
      <c r="W310" t="b">
        <f t="shared" si="243"/>
        <v>0</v>
      </c>
      <c r="Y310" t="str">
        <f>'Green_rooibos initial weight'!A311</f>
        <v>G307</v>
      </c>
      <c r="Z310" t="str">
        <f>'Green_rooibos initial weight'!A1215</f>
        <v>R307</v>
      </c>
      <c r="AA310" t="b">
        <f t="shared" si="217"/>
        <v>0</v>
      </c>
      <c r="AB310" t="b">
        <f t="shared" si="218"/>
        <v>0</v>
      </c>
      <c r="AE310" t="str">
        <f>'WetLitterbags placem_collection'!O89</f>
        <v>G632</v>
      </c>
      <c r="AF310" t="str">
        <f>'WetLitterbags placem_collection'!Q89</f>
        <v>R329</v>
      </c>
      <c r="AG310" t="b">
        <f t="shared" si="219"/>
        <v>0</v>
      </c>
      <c r="AH310" t="b">
        <f t="shared" si="220"/>
        <v>0</v>
      </c>
      <c r="AJ310" t="b">
        <f t="shared" si="221"/>
        <v>0</v>
      </c>
      <c r="AK310" t="b">
        <f t="shared" si="222"/>
        <v>0</v>
      </c>
      <c r="AM310" t="str">
        <f>IF(ISBLANK('Dry_Litterbag Placem_Collection'!L89),"","G"&amp;""&amp;'Dry_Litterbag Placem_Collection'!L89)</f>
        <v>G91</v>
      </c>
      <c r="AN310" t="str">
        <f>IF(ISBLANK('Dry_Litterbag Placem_Collection'!M89),"","R"&amp;""&amp;'Dry_Litterbag Placem_Collection'!M89)</f>
        <v>R277</v>
      </c>
      <c r="AO310" t="b">
        <f t="shared" si="223"/>
        <v>0</v>
      </c>
      <c r="AP310" t="b">
        <f t="shared" si="224"/>
        <v>0</v>
      </c>
      <c r="AS310" t="str">
        <f>'Ashed teabags dry'!A308</f>
        <v>G80</v>
      </c>
      <c r="AT310" t="str">
        <f>'Ashed teabags dry'!A643</f>
        <v>R808</v>
      </c>
      <c r="AU310" t="b">
        <f t="shared" si="225"/>
        <v>0</v>
      </c>
      <c r="AV310" t="b">
        <f>COUNTIF($AT$4:$AT$2000, AT310)&gt;1</f>
        <v>0</v>
      </c>
      <c r="AX310" s="395" t="b">
        <f t="shared" si="226"/>
        <v>0</v>
      </c>
      <c r="AY310" s="395" t="b">
        <f t="shared" si="227"/>
        <v>0</v>
      </c>
      <c r="BA310" t="str">
        <f>'Ashed teabags wet'!A308</f>
        <v>G762</v>
      </c>
      <c r="BB310" t="str">
        <f>'Ashed teabags wet'!A728</f>
        <v>R521</v>
      </c>
      <c r="BC310" t="b">
        <f t="shared" si="228"/>
        <v>0</v>
      </c>
      <c r="BD310" t="b">
        <f t="shared" si="208"/>
        <v>0</v>
      </c>
      <c r="BF310" t="str">
        <f t="shared" si="229"/>
        <v>G8</v>
      </c>
      <c r="BG310" t="str">
        <f>T309</f>
        <v>G8</v>
      </c>
      <c r="BH310" t="str">
        <f t="shared" si="230"/>
        <v>G788</v>
      </c>
      <c r="BI310" t="str">
        <f t="shared" si="244"/>
        <v/>
      </c>
      <c r="BJ310" t="s">
        <v>2042</v>
      </c>
      <c r="BK310" t="s">
        <v>2042</v>
      </c>
      <c r="BL310" t="s">
        <v>2042</v>
      </c>
      <c r="BM310" t="b">
        <f t="shared" si="245"/>
        <v>1</v>
      </c>
      <c r="BN310" t="str">
        <f t="shared" si="231"/>
        <v>R807</v>
      </c>
      <c r="BO310" t="str">
        <f>U309</f>
        <v>R807</v>
      </c>
      <c r="BP310" t="str">
        <f t="shared" si="232"/>
        <v>R643</v>
      </c>
      <c r="BQ310" t="str">
        <f t="shared" si="233"/>
        <v/>
      </c>
      <c r="BR310" t="s">
        <v>332</v>
      </c>
      <c r="BS310" t="s">
        <v>331</v>
      </c>
      <c r="BT310" t="s">
        <v>332</v>
      </c>
      <c r="BU310" t="b">
        <f t="shared" si="246"/>
        <v>1</v>
      </c>
      <c r="BZ310" t="str">
        <f t="shared" si="234"/>
        <v>G788</v>
      </c>
      <c r="CA310" t="b">
        <f t="shared" si="235"/>
        <v>1</v>
      </c>
      <c r="CB310" t="str">
        <f t="shared" si="247"/>
        <v/>
      </c>
      <c r="CC310" t="str">
        <f t="shared" si="236"/>
        <v>R643</v>
      </c>
      <c r="CD310" t="b">
        <f t="shared" si="248"/>
        <v>1</v>
      </c>
      <c r="CE310" t="str">
        <f t="shared" si="249"/>
        <v/>
      </c>
      <c r="CG310" t="str">
        <f t="shared" si="237"/>
        <v>G761</v>
      </c>
      <c r="CH310" t="str">
        <f t="shared" si="250"/>
        <v>G761</v>
      </c>
      <c r="CI310" t="str">
        <f>AE309</f>
        <v>G561</v>
      </c>
      <c r="CJ310" t="str">
        <f t="shared" si="238"/>
        <v>G561</v>
      </c>
      <c r="CK310" t="s">
        <v>1289</v>
      </c>
      <c r="CL310" t="s">
        <v>1289</v>
      </c>
      <c r="CM310" t="s">
        <v>1289</v>
      </c>
      <c r="CN310" t="b">
        <f t="shared" si="251"/>
        <v>1</v>
      </c>
      <c r="CO310" t="str">
        <f t="shared" si="239"/>
        <v>R520</v>
      </c>
      <c r="CP310" t="str">
        <f t="shared" si="252"/>
        <v>R520</v>
      </c>
      <c r="CQ310" t="str">
        <f>AF309</f>
        <v>R62</v>
      </c>
      <c r="CR310" t="str">
        <f t="shared" si="240"/>
        <v>R62</v>
      </c>
      <c r="CS310" t="s">
        <v>621</v>
      </c>
      <c r="CT310" t="s">
        <v>621</v>
      </c>
      <c r="CU310" t="s">
        <v>621</v>
      </c>
      <c r="CV310" t="b">
        <f t="shared" si="253"/>
        <v>1</v>
      </c>
      <c r="DC310" t="str">
        <f t="shared" si="241"/>
        <v>G561</v>
      </c>
      <c r="DD310" t="b">
        <f t="shared" si="254"/>
        <v>0</v>
      </c>
      <c r="DE310" t="str">
        <f t="shared" si="255"/>
        <v>G561</v>
      </c>
      <c r="DF310" t="str">
        <f t="shared" si="242"/>
        <v>R62</v>
      </c>
      <c r="DG310" t="b">
        <f t="shared" si="256"/>
        <v>0</v>
      </c>
      <c r="DH310" t="str">
        <f t="shared" si="257"/>
        <v>R62</v>
      </c>
    </row>
    <row r="311" spans="2:112" ht="12" customHeight="1">
      <c r="B311" t="str">
        <f>TBIDry!H383</f>
        <v>G364</v>
      </c>
      <c r="C311" t="str">
        <f>TBIDry!I383</f>
        <v>R197</v>
      </c>
      <c r="D311" t="b">
        <f t="shared" si="209"/>
        <v>0</v>
      </c>
      <c r="E311" t="b">
        <f t="shared" si="210"/>
        <v>0</v>
      </c>
      <c r="G311" t="str">
        <f>TBIWet!H383</f>
        <v>G611</v>
      </c>
      <c r="H311" t="str">
        <f>TBIWet!I383</f>
        <v>R288</v>
      </c>
      <c r="I311" t="b">
        <f t="shared" si="211"/>
        <v>0</v>
      </c>
      <c r="J311" t="b">
        <f t="shared" si="212"/>
        <v>0</v>
      </c>
      <c r="L311" t="str">
        <f>'Both teabags AfterWet'!A309</f>
        <v>G763</v>
      </c>
      <c r="M311" t="str">
        <f>'Both teabags AfterWet'!A729</f>
        <v>R522</v>
      </c>
      <c r="N311" t="b">
        <f t="shared" si="213"/>
        <v>0</v>
      </c>
      <c r="O311" t="b">
        <f t="shared" si="258"/>
        <v>0</v>
      </c>
      <c r="Q311" s="395" t="b">
        <f t="shared" si="214"/>
        <v>0</v>
      </c>
      <c r="R311" s="395" t="b">
        <f t="shared" si="215"/>
        <v>0</v>
      </c>
      <c r="T311" t="str">
        <f>'Both teabags AfterDry'!A309</f>
        <v>G823</v>
      </c>
      <c r="U311" t="str">
        <f>'Both teabags AfterDry'!A644</f>
        <v>R810</v>
      </c>
      <c r="V311" t="b">
        <f t="shared" si="216"/>
        <v>0</v>
      </c>
      <c r="W311" t="b">
        <f t="shared" si="243"/>
        <v>0</v>
      </c>
      <c r="Y311" t="str">
        <f>'Green_rooibos initial weight'!A312</f>
        <v>G308</v>
      </c>
      <c r="Z311" t="str">
        <f>'Green_rooibos initial weight'!A1216</f>
        <v>R308</v>
      </c>
      <c r="AA311" t="b">
        <f t="shared" si="217"/>
        <v>0</v>
      </c>
      <c r="AB311" t="b">
        <f t="shared" si="218"/>
        <v>0</v>
      </c>
      <c r="AE311" t="str">
        <f>'WetLitterbags placem_collection'!O90</f>
        <v>G611</v>
      </c>
      <c r="AF311" t="str">
        <f>'WetLitterbags placem_collection'!Q90</f>
        <v>R288</v>
      </c>
      <c r="AG311" t="b">
        <f t="shared" si="219"/>
        <v>0</v>
      </c>
      <c r="AH311" t="b">
        <f t="shared" si="220"/>
        <v>0</v>
      </c>
      <c r="AJ311" t="b">
        <f t="shared" si="221"/>
        <v>0</v>
      </c>
      <c r="AK311" t="b">
        <f t="shared" si="222"/>
        <v>0</v>
      </c>
      <c r="AM311" t="str">
        <f>IF(ISBLANK('Dry_Litterbag Placem_Collection'!L90),"","G"&amp;""&amp;'Dry_Litterbag Placem_Collection'!L90)</f>
        <v>G364</v>
      </c>
      <c r="AN311" t="str">
        <f>IF(ISBLANK('Dry_Litterbag Placem_Collection'!M90),"","R"&amp;""&amp;'Dry_Litterbag Placem_Collection'!M90)</f>
        <v>R197</v>
      </c>
      <c r="AO311" t="b">
        <f t="shared" si="223"/>
        <v>0</v>
      </c>
      <c r="AP311" t="b">
        <f t="shared" si="224"/>
        <v>0</v>
      </c>
      <c r="AS311" t="str">
        <f>'Ashed teabags dry'!A309</f>
        <v>G823</v>
      </c>
      <c r="AT311" t="str">
        <f>'Ashed teabags dry'!A644</f>
        <v>R810</v>
      </c>
      <c r="AU311" t="b">
        <f t="shared" si="225"/>
        <v>0</v>
      </c>
      <c r="AV311" t="b">
        <f>COUNTIF($AT$4:$AT$2000, AT311)&gt;1</f>
        <v>0</v>
      </c>
      <c r="AX311" s="395" t="b">
        <f t="shared" si="226"/>
        <v>0</v>
      </c>
      <c r="AY311" s="395" t="b">
        <f t="shared" si="227"/>
        <v>0</v>
      </c>
      <c r="BA311" t="str">
        <f>'Ashed teabags wet'!A309</f>
        <v>G763</v>
      </c>
      <c r="BB311" t="str">
        <f>'Ashed teabags wet'!A729</f>
        <v>R522</v>
      </c>
      <c r="BC311" t="b">
        <f t="shared" si="228"/>
        <v>0</v>
      </c>
      <c r="BD311" t="b">
        <f t="shared" si="208"/>
        <v>0</v>
      </c>
      <c r="BF311" t="str">
        <f t="shared" si="229"/>
        <v>G80</v>
      </c>
      <c r="BG311" t="str">
        <f>T310</f>
        <v>G80</v>
      </c>
      <c r="BH311" t="str">
        <f t="shared" si="230"/>
        <v>G91</v>
      </c>
      <c r="BI311" t="str">
        <f t="shared" si="244"/>
        <v>G91</v>
      </c>
      <c r="BJ311" t="s">
        <v>1970</v>
      </c>
      <c r="BK311" t="s">
        <v>1970</v>
      </c>
      <c r="BL311" t="s">
        <v>1970</v>
      </c>
      <c r="BM311" t="b">
        <f t="shared" si="245"/>
        <v>1</v>
      </c>
      <c r="BN311" t="str">
        <f t="shared" si="231"/>
        <v>R808</v>
      </c>
      <c r="BO311" t="str">
        <f>U310</f>
        <v>R808</v>
      </c>
      <c r="BP311" t="str">
        <f t="shared" si="232"/>
        <v>R277</v>
      </c>
      <c r="BQ311" t="str">
        <f t="shared" si="233"/>
        <v>R277</v>
      </c>
      <c r="BR311" t="s">
        <v>331</v>
      </c>
      <c r="BS311" t="s">
        <v>329</v>
      </c>
      <c r="BT311" t="s">
        <v>331</v>
      </c>
      <c r="BU311" t="b">
        <f t="shared" si="246"/>
        <v>1</v>
      </c>
      <c r="BZ311" t="str">
        <f t="shared" si="234"/>
        <v>G91</v>
      </c>
      <c r="CA311" t="b">
        <f t="shared" si="235"/>
        <v>0</v>
      </c>
      <c r="CB311" t="str">
        <f t="shared" si="247"/>
        <v>G91</v>
      </c>
      <c r="CC311" t="str">
        <f t="shared" si="236"/>
        <v>R277</v>
      </c>
      <c r="CD311" t="b">
        <f t="shared" si="248"/>
        <v>0</v>
      </c>
      <c r="CE311" t="str">
        <f t="shared" si="249"/>
        <v>R277</v>
      </c>
      <c r="CG311" t="str">
        <f t="shared" si="237"/>
        <v>G762</v>
      </c>
      <c r="CH311" t="str">
        <f t="shared" si="250"/>
        <v>G762</v>
      </c>
      <c r="CI311" t="str">
        <f>AE310</f>
        <v>G632</v>
      </c>
      <c r="CJ311" t="str">
        <f t="shared" si="238"/>
        <v>G632</v>
      </c>
      <c r="CK311" t="s">
        <v>1288</v>
      </c>
      <c r="CL311" t="s">
        <v>1288</v>
      </c>
      <c r="CM311" t="s">
        <v>1288</v>
      </c>
      <c r="CN311" t="b">
        <f t="shared" si="251"/>
        <v>1</v>
      </c>
      <c r="CO311" t="str">
        <f t="shared" si="239"/>
        <v>R521</v>
      </c>
      <c r="CP311" t="str">
        <f t="shared" si="252"/>
        <v>R521</v>
      </c>
      <c r="CQ311" t="str">
        <f>AF310</f>
        <v>R329</v>
      </c>
      <c r="CR311" t="str">
        <f t="shared" si="240"/>
        <v>R329</v>
      </c>
      <c r="CS311" t="s">
        <v>620</v>
      </c>
      <c r="CT311" t="s">
        <v>620</v>
      </c>
      <c r="CU311" t="s">
        <v>620</v>
      </c>
      <c r="CV311" t="b">
        <f t="shared" si="253"/>
        <v>1</v>
      </c>
      <c r="DC311" t="str">
        <f t="shared" si="241"/>
        <v>G632</v>
      </c>
      <c r="DD311" t="b">
        <f t="shared" si="254"/>
        <v>0</v>
      </c>
      <c r="DE311" t="str">
        <f t="shared" si="255"/>
        <v>G632</v>
      </c>
      <c r="DF311" t="str">
        <f t="shared" si="242"/>
        <v>R329</v>
      </c>
      <c r="DG311" t="b">
        <f t="shared" si="256"/>
        <v>0</v>
      </c>
      <c r="DH311" t="str">
        <f t="shared" si="257"/>
        <v>R329</v>
      </c>
    </row>
    <row r="312" spans="2:112" ht="12" customHeight="1">
      <c r="B312" t="str">
        <f>TBIDry!H384</f>
        <v>G862</v>
      </c>
      <c r="C312" t="str">
        <f>TBIDry!I384</f>
        <v>R841</v>
      </c>
      <c r="D312" t="b">
        <f t="shared" si="209"/>
        <v>0</v>
      </c>
      <c r="E312" t="b">
        <f t="shared" si="210"/>
        <v>0</v>
      </c>
      <c r="G312" t="str">
        <f>TBIWet!H384</f>
        <v>G469</v>
      </c>
      <c r="H312" t="str">
        <f>TBIWet!I384</f>
        <v>R171</v>
      </c>
      <c r="I312" t="b">
        <f t="shared" si="211"/>
        <v>0</v>
      </c>
      <c r="J312" t="b">
        <f t="shared" si="212"/>
        <v>0</v>
      </c>
      <c r="L312" t="str">
        <f>'Both teabags AfterWet'!A310</f>
        <v>G764</v>
      </c>
      <c r="M312" t="str">
        <f>'Both teabags AfterWet'!A730</f>
        <v>R523</v>
      </c>
      <c r="N312" t="b">
        <f t="shared" si="213"/>
        <v>0</v>
      </c>
      <c r="O312" t="b">
        <f t="shared" si="258"/>
        <v>0</v>
      </c>
      <c r="Q312" s="395" t="b">
        <f t="shared" si="214"/>
        <v>0</v>
      </c>
      <c r="R312" s="395" t="b">
        <f t="shared" si="215"/>
        <v>0</v>
      </c>
      <c r="T312" t="str">
        <f>'Both teabags AfterDry'!A310</f>
        <v>G83</v>
      </c>
      <c r="U312" t="str">
        <f>'Both teabags AfterDry'!A645</f>
        <v>R811</v>
      </c>
      <c r="V312" t="b">
        <f t="shared" si="216"/>
        <v>0</v>
      </c>
      <c r="W312" t="b">
        <f t="shared" si="243"/>
        <v>0</v>
      </c>
      <c r="Y312" t="str">
        <f>'Green_rooibos initial weight'!A313</f>
        <v>G309</v>
      </c>
      <c r="Z312" t="str">
        <f>'Green_rooibos initial weight'!A1217</f>
        <v>R309</v>
      </c>
      <c r="AA312" t="b">
        <f t="shared" si="217"/>
        <v>0</v>
      </c>
      <c r="AB312" t="b">
        <f t="shared" si="218"/>
        <v>0</v>
      </c>
      <c r="AE312" t="str">
        <f>'WetLitterbags placem_collection'!O91</f>
        <v>G469</v>
      </c>
      <c r="AF312" t="str">
        <f>'WetLitterbags placem_collection'!Q91</f>
        <v>R171</v>
      </c>
      <c r="AG312" t="b">
        <f t="shared" si="219"/>
        <v>0</v>
      </c>
      <c r="AH312" t="b">
        <f t="shared" si="220"/>
        <v>0</v>
      </c>
      <c r="AJ312" t="b">
        <f t="shared" si="221"/>
        <v>0</v>
      </c>
      <c r="AK312" t="b">
        <f t="shared" si="222"/>
        <v>0</v>
      </c>
      <c r="AM312" t="str">
        <f>IF(ISBLANK('Dry_Litterbag Placem_Collection'!L91),"","G"&amp;""&amp;'Dry_Litterbag Placem_Collection'!L91)</f>
        <v>G862</v>
      </c>
      <c r="AN312" t="str">
        <f>IF(ISBLANK('Dry_Litterbag Placem_Collection'!M91),"","R"&amp;""&amp;'Dry_Litterbag Placem_Collection'!M91)</f>
        <v>R841</v>
      </c>
      <c r="AO312" t="b">
        <f t="shared" si="223"/>
        <v>0</v>
      </c>
      <c r="AP312" t="b">
        <f t="shared" si="224"/>
        <v>0</v>
      </c>
      <c r="AS312" t="str">
        <f>'Ashed teabags dry'!A310</f>
        <v>G83</v>
      </c>
      <c r="AT312" t="str">
        <f>'Ashed teabags dry'!A645</f>
        <v>R811</v>
      </c>
      <c r="AU312" t="b">
        <f t="shared" si="225"/>
        <v>0</v>
      </c>
      <c r="AV312" t="b">
        <f>COUNTIF($AT$4:$AT$2000, AT312)&gt;1</f>
        <v>0</v>
      </c>
      <c r="AX312" s="395" t="b">
        <f t="shared" si="226"/>
        <v>0</v>
      </c>
      <c r="AY312" s="395" t="b">
        <f t="shared" si="227"/>
        <v>0</v>
      </c>
      <c r="BA312" t="str">
        <f>'Ashed teabags wet'!A310</f>
        <v>G764</v>
      </c>
      <c r="BB312" t="str">
        <f>'Ashed teabags wet'!A730</f>
        <v>R523</v>
      </c>
      <c r="BC312" t="b">
        <f t="shared" si="228"/>
        <v>0</v>
      </c>
      <c r="BD312" t="b">
        <f t="shared" si="208"/>
        <v>0</v>
      </c>
      <c r="BF312" t="str">
        <f t="shared" si="229"/>
        <v>G823</v>
      </c>
      <c r="BG312" t="str">
        <f>T311</f>
        <v>G823</v>
      </c>
      <c r="BH312" t="str">
        <f t="shared" si="230"/>
        <v>G364</v>
      </c>
      <c r="BI312" t="str">
        <f t="shared" si="244"/>
        <v>G364</v>
      </c>
      <c r="BJ312" t="s">
        <v>1227</v>
      </c>
      <c r="BK312" t="s">
        <v>1227</v>
      </c>
      <c r="BL312" t="s">
        <v>1227</v>
      </c>
      <c r="BM312" t="b">
        <f t="shared" si="245"/>
        <v>1</v>
      </c>
      <c r="BN312" t="str">
        <f t="shared" si="231"/>
        <v>R810</v>
      </c>
      <c r="BO312" t="str">
        <f>U311</f>
        <v>R810</v>
      </c>
      <c r="BP312" t="str">
        <f t="shared" si="232"/>
        <v>R197</v>
      </c>
      <c r="BQ312" t="str">
        <f t="shared" si="233"/>
        <v>R197</v>
      </c>
      <c r="BR312" t="s">
        <v>329</v>
      </c>
      <c r="BS312" t="s">
        <v>328</v>
      </c>
      <c r="BT312" t="s">
        <v>329</v>
      </c>
      <c r="BU312" t="b">
        <f t="shared" si="246"/>
        <v>1</v>
      </c>
      <c r="BZ312" t="str">
        <f t="shared" si="234"/>
        <v>G364</v>
      </c>
      <c r="CA312" t="b">
        <f t="shared" si="235"/>
        <v>0</v>
      </c>
      <c r="CB312" t="str">
        <f t="shared" si="247"/>
        <v>G364</v>
      </c>
      <c r="CC312" t="str">
        <f t="shared" si="236"/>
        <v>R197</v>
      </c>
      <c r="CD312" t="b">
        <f t="shared" si="248"/>
        <v>0</v>
      </c>
      <c r="CE312" t="str">
        <f t="shared" si="249"/>
        <v>R197</v>
      </c>
      <c r="CG312" t="str">
        <f t="shared" si="237"/>
        <v>G763</v>
      </c>
      <c r="CH312" t="str">
        <f t="shared" si="250"/>
        <v>G763</v>
      </c>
      <c r="CI312" t="str">
        <f>AE311</f>
        <v>G611</v>
      </c>
      <c r="CJ312" t="str">
        <f t="shared" si="238"/>
        <v>G611</v>
      </c>
      <c r="CK312" t="s">
        <v>1287</v>
      </c>
      <c r="CL312" t="s">
        <v>1287</v>
      </c>
      <c r="CM312" t="s">
        <v>1287</v>
      </c>
      <c r="CN312" t="b">
        <f t="shared" si="251"/>
        <v>1</v>
      </c>
      <c r="CO312" t="str">
        <f t="shared" si="239"/>
        <v>R522</v>
      </c>
      <c r="CP312" t="str">
        <f t="shared" si="252"/>
        <v>R522</v>
      </c>
      <c r="CQ312" t="str">
        <f>AF311</f>
        <v>R288</v>
      </c>
      <c r="CR312" t="str">
        <f t="shared" si="240"/>
        <v>R288</v>
      </c>
      <c r="CS312" t="s">
        <v>619</v>
      </c>
      <c r="CT312" t="s">
        <v>619</v>
      </c>
      <c r="CU312" t="s">
        <v>619</v>
      </c>
      <c r="CV312" t="b">
        <f t="shared" si="253"/>
        <v>1</v>
      </c>
      <c r="DC312" t="str">
        <f t="shared" si="241"/>
        <v>G611</v>
      </c>
      <c r="DD312" t="b">
        <f t="shared" si="254"/>
        <v>0</v>
      </c>
      <c r="DE312" t="str">
        <f t="shared" si="255"/>
        <v>G611</v>
      </c>
      <c r="DF312" t="str">
        <f t="shared" si="242"/>
        <v>R288</v>
      </c>
      <c r="DG312" t="b">
        <f t="shared" si="256"/>
        <v>0</v>
      </c>
      <c r="DH312" t="str">
        <f t="shared" si="257"/>
        <v>R288</v>
      </c>
    </row>
    <row r="313" spans="2:112" ht="12" customHeight="1">
      <c r="B313" t="str">
        <f>TBIDry!H385</f>
        <v>G330</v>
      </c>
      <c r="C313" t="str">
        <f>TBIDry!I385</f>
        <v>R220</v>
      </c>
      <c r="D313" t="b">
        <f t="shared" si="209"/>
        <v>0</v>
      </c>
      <c r="E313" t="b">
        <f t="shared" si="210"/>
        <v>0</v>
      </c>
      <c r="G313" t="str">
        <f>TBIWet!H385</f>
        <v>G355</v>
      </c>
      <c r="H313" t="str">
        <f>TBIWet!I385</f>
        <v>R517</v>
      </c>
      <c r="I313" t="b">
        <f t="shared" si="211"/>
        <v>0</v>
      </c>
      <c r="J313" t="b">
        <f t="shared" si="212"/>
        <v>0</v>
      </c>
      <c r="L313" t="str">
        <f>'Both teabags AfterWet'!A311</f>
        <v>G765</v>
      </c>
      <c r="M313" t="str">
        <f>'Both teabags AfterWet'!A731</f>
        <v>R524</v>
      </c>
      <c r="N313" t="b">
        <f t="shared" si="213"/>
        <v>0</v>
      </c>
      <c r="O313" t="b">
        <f t="shared" si="258"/>
        <v>0</v>
      </c>
      <c r="Q313" s="395" t="b">
        <f t="shared" si="214"/>
        <v>0</v>
      </c>
      <c r="R313" s="395" t="b">
        <f t="shared" si="215"/>
        <v>0</v>
      </c>
      <c r="T313" t="str">
        <f>'Both teabags AfterDry'!A311</f>
        <v>G84</v>
      </c>
      <c r="U313" t="str">
        <f>'Both teabags AfterDry'!A646</f>
        <v>R812</v>
      </c>
      <c r="V313" t="b">
        <f t="shared" si="216"/>
        <v>0</v>
      </c>
      <c r="W313" t="b">
        <f t="shared" si="243"/>
        <v>0</v>
      </c>
      <c r="Y313" t="str">
        <f>'Green_rooibos initial weight'!A314</f>
        <v>G310</v>
      </c>
      <c r="Z313" t="str">
        <f>'Green_rooibos initial weight'!A1218</f>
        <v>R310</v>
      </c>
      <c r="AA313" t="b">
        <f t="shared" si="217"/>
        <v>0</v>
      </c>
      <c r="AB313" t="b">
        <f t="shared" si="218"/>
        <v>0</v>
      </c>
      <c r="AE313" t="str">
        <f>'WetLitterbags placem_collection'!O92</f>
        <v>G355</v>
      </c>
      <c r="AF313" t="str">
        <f>'WetLitterbags placem_collection'!Q92</f>
        <v>R517</v>
      </c>
      <c r="AG313" t="b">
        <f t="shared" si="219"/>
        <v>0</v>
      </c>
      <c r="AH313" t="b">
        <f t="shared" si="220"/>
        <v>0</v>
      </c>
      <c r="AJ313" t="b">
        <f t="shared" si="221"/>
        <v>0</v>
      </c>
      <c r="AK313" t="b">
        <f t="shared" si="222"/>
        <v>0</v>
      </c>
      <c r="AM313" t="str">
        <f>IF(ISBLANK('Dry_Litterbag Placem_Collection'!L92),"","G"&amp;""&amp;'Dry_Litterbag Placem_Collection'!L92)</f>
        <v>G330</v>
      </c>
      <c r="AN313" t="str">
        <f>IF(ISBLANK('Dry_Litterbag Placem_Collection'!M92),"","R"&amp;""&amp;'Dry_Litterbag Placem_Collection'!M92)</f>
        <v>R220</v>
      </c>
      <c r="AO313" t="b">
        <f t="shared" si="223"/>
        <v>0</v>
      </c>
      <c r="AP313" t="b">
        <f t="shared" si="224"/>
        <v>0</v>
      </c>
      <c r="AS313" t="str">
        <f>'Ashed teabags dry'!A311</f>
        <v>G84</v>
      </c>
      <c r="AT313" t="str">
        <f>'Ashed teabags dry'!A646</f>
        <v>R812</v>
      </c>
      <c r="AU313" t="b">
        <f t="shared" si="225"/>
        <v>0</v>
      </c>
      <c r="AV313" t="b">
        <f>COUNTIF($AT$4:$AT$2000, AT313)&gt;1</f>
        <v>0</v>
      </c>
      <c r="AX313" s="395" t="b">
        <f t="shared" si="226"/>
        <v>0</v>
      </c>
      <c r="AY313" s="395" t="b">
        <f t="shared" si="227"/>
        <v>0</v>
      </c>
      <c r="BA313" t="str">
        <f>'Ashed teabags wet'!A311</f>
        <v>G765</v>
      </c>
      <c r="BB313" t="str">
        <f>'Ashed teabags wet'!A731</f>
        <v>R524</v>
      </c>
      <c r="BC313" t="b">
        <f t="shared" si="228"/>
        <v>0</v>
      </c>
      <c r="BD313" t="b">
        <f t="shared" si="208"/>
        <v>0</v>
      </c>
      <c r="BF313" t="str">
        <f t="shared" si="229"/>
        <v>G83</v>
      </c>
      <c r="BG313" t="str">
        <f>T312</f>
        <v>G83</v>
      </c>
      <c r="BH313" t="str">
        <f t="shared" si="230"/>
        <v>G862</v>
      </c>
      <c r="BI313" t="str">
        <f t="shared" si="244"/>
        <v>G862</v>
      </c>
      <c r="BJ313" t="s">
        <v>1967</v>
      </c>
      <c r="BK313" t="s">
        <v>1967</v>
      </c>
      <c r="BL313" t="s">
        <v>1967</v>
      </c>
      <c r="BM313" t="b">
        <f t="shared" si="245"/>
        <v>1</v>
      </c>
      <c r="BN313" t="str">
        <f t="shared" si="231"/>
        <v>R811</v>
      </c>
      <c r="BO313" t="str">
        <f>U312</f>
        <v>R811</v>
      </c>
      <c r="BP313" t="str">
        <f t="shared" si="232"/>
        <v>R841</v>
      </c>
      <c r="BQ313" t="str">
        <f t="shared" si="233"/>
        <v>R841</v>
      </c>
      <c r="BR313" t="s">
        <v>328</v>
      </c>
      <c r="BS313" t="s">
        <v>327</v>
      </c>
      <c r="BT313" t="s">
        <v>328</v>
      </c>
      <c r="BU313" t="b">
        <f t="shared" si="246"/>
        <v>1</v>
      </c>
      <c r="BZ313" t="str">
        <f t="shared" si="234"/>
        <v>G862</v>
      </c>
      <c r="CA313" t="b">
        <f t="shared" si="235"/>
        <v>0</v>
      </c>
      <c r="CB313" t="str">
        <f t="shared" si="247"/>
        <v>G862</v>
      </c>
      <c r="CC313" t="str">
        <f t="shared" si="236"/>
        <v>R841</v>
      </c>
      <c r="CD313" t="b">
        <f t="shared" si="248"/>
        <v>0</v>
      </c>
      <c r="CE313" t="str">
        <f t="shared" si="249"/>
        <v>R841</v>
      </c>
      <c r="CG313" t="str">
        <f t="shared" si="237"/>
        <v>G764</v>
      </c>
      <c r="CH313" t="str">
        <f t="shared" si="250"/>
        <v>G764</v>
      </c>
      <c r="CI313" t="str">
        <f>AE312</f>
        <v>G469</v>
      </c>
      <c r="CJ313" t="str">
        <f t="shared" si="238"/>
        <v>G469</v>
      </c>
      <c r="CK313" t="s">
        <v>1286</v>
      </c>
      <c r="CL313" t="s">
        <v>1286</v>
      </c>
      <c r="CM313" t="s">
        <v>1286</v>
      </c>
      <c r="CN313" t="b">
        <f t="shared" si="251"/>
        <v>1</v>
      </c>
      <c r="CO313" t="str">
        <f t="shared" si="239"/>
        <v>R523</v>
      </c>
      <c r="CP313" t="str">
        <f t="shared" si="252"/>
        <v>R523</v>
      </c>
      <c r="CQ313" t="str">
        <f>AF312</f>
        <v>R171</v>
      </c>
      <c r="CR313" t="str">
        <f t="shared" si="240"/>
        <v>R171</v>
      </c>
      <c r="CS313" t="s">
        <v>618</v>
      </c>
      <c r="CT313" t="s">
        <v>618</v>
      </c>
      <c r="CU313" t="s">
        <v>618</v>
      </c>
      <c r="CV313" t="b">
        <f t="shared" si="253"/>
        <v>1</v>
      </c>
      <c r="DC313" t="str">
        <f t="shared" si="241"/>
        <v>G469</v>
      </c>
      <c r="DD313" t="b">
        <f t="shared" si="254"/>
        <v>0</v>
      </c>
      <c r="DE313" t="str">
        <f t="shared" si="255"/>
        <v>G469</v>
      </c>
      <c r="DF313" t="str">
        <f t="shared" si="242"/>
        <v>R171</v>
      </c>
      <c r="DG313" t="b">
        <f t="shared" si="256"/>
        <v>0</v>
      </c>
      <c r="DH313" t="str">
        <f t="shared" si="257"/>
        <v>R171</v>
      </c>
    </row>
    <row r="314" spans="2:112" ht="12" customHeight="1">
      <c r="B314" t="str">
        <f>TBIDry!H386</f>
        <v>G596</v>
      </c>
      <c r="C314" t="str">
        <f>TBIDry!I386</f>
        <v>R659</v>
      </c>
      <c r="D314" t="b">
        <f t="shared" si="209"/>
        <v>0</v>
      </c>
      <c r="E314" t="b">
        <f t="shared" si="210"/>
        <v>0</v>
      </c>
      <c r="G314" t="str">
        <f>TBIWet!H386</f>
        <v>G547</v>
      </c>
      <c r="H314" t="str">
        <f>TBIWet!I386</f>
        <v>R73</v>
      </c>
      <c r="I314" t="b">
        <f t="shared" si="211"/>
        <v>0</v>
      </c>
      <c r="J314" t="b">
        <f t="shared" si="212"/>
        <v>0</v>
      </c>
      <c r="L314" t="str">
        <f>'Both teabags AfterWet'!A312</f>
        <v>G768</v>
      </c>
      <c r="M314" t="str">
        <f>'Both teabags AfterWet'!A732</f>
        <v>R525</v>
      </c>
      <c r="N314" t="b">
        <f t="shared" si="213"/>
        <v>0</v>
      </c>
      <c r="O314" t="b">
        <f t="shared" si="258"/>
        <v>0</v>
      </c>
      <c r="Q314" s="395" t="b">
        <f t="shared" si="214"/>
        <v>0</v>
      </c>
      <c r="R314" s="395" t="b">
        <f t="shared" si="215"/>
        <v>0</v>
      </c>
      <c r="T314" t="str">
        <f>'Both teabags AfterDry'!A312</f>
        <v>G844</v>
      </c>
      <c r="U314" t="str">
        <f>'Both teabags AfterDry'!A647</f>
        <v>R813</v>
      </c>
      <c r="V314" t="b">
        <f t="shared" si="216"/>
        <v>0</v>
      </c>
      <c r="W314" t="b">
        <f t="shared" si="243"/>
        <v>0</v>
      </c>
      <c r="Y314" t="str">
        <f>'Green_rooibos initial weight'!A315</f>
        <v>G311</v>
      </c>
      <c r="Z314" t="str">
        <f>'Green_rooibos initial weight'!A1219</f>
        <v>R311</v>
      </c>
      <c r="AA314" t="b">
        <f t="shared" si="217"/>
        <v>0</v>
      </c>
      <c r="AB314" t="b">
        <f t="shared" si="218"/>
        <v>0</v>
      </c>
      <c r="AE314" t="str">
        <f>'WetLitterbags placem_collection'!O93</f>
        <v>G547</v>
      </c>
      <c r="AF314" t="str">
        <f>'WetLitterbags placem_collection'!Q93</f>
        <v>R73</v>
      </c>
      <c r="AG314" t="b">
        <f t="shared" si="219"/>
        <v>0</v>
      </c>
      <c r="AH314" t="b">
        <f t="shared" si="220"/>
        <v>0</v>
      </c>
      <c r="AJ314" t="b">
        <f t="shared" si="221"/>
        <v>0</v>
      </c>
      <c r="AK314" t="b">
        <f t="shared" si="222"/>
        <v>0</v>
      </c>
      <c r="AM314" t="str">
        <f>IF(ISBLANK('Dry_Litterbag Placem_Collection'!L93),"","G"&amp;""&amp;'Dry_Litterbag Placem_Collection'!L93)</f>
        <v>G596</v>
      </c>
      <c r="AN314" t="str">
        <f>IF(ISBLANK('Dry_Litterbag Placem_Collection'!M93),"","R"&amp;""&amp;'Dry_Litterbag Placem_Collection'!M93)</f>
        <v>R659</v>
      </c>
      <c r="AO314" t="b">
        <f t="shared" si="223"/>
        <v>0</v>
      </c>
      <c r="AP314" t="b">
        <f t="shared" si="224"/>
        <v>0</v>
      </c>
      <c r="AS314" t="str">
        <f>'Ashed teabags dry'!A312</f>
        <v>G844</v>
      </c>
      <c r="AT314" t="str">
        <f>'Ashed teabags dry'!A647</f>
        <v>R813</v>
      </c>
      <c r="AU314" t="b">
        <f t="shared" si="225"/>
        <v>0</v>
      </c>
      <c r="AV314" t="b">
        <f>COUNTIF($AT$4:$AT$2000, AT314)&gt;1</f>
        <v>0</v>
      </c>
      <c r="AX314" s="395" t="b">
        <f t="shared" si="226"/>
        <v>0</v>
      </c>
      <c r="AY314" s="395" t="b">
        <f t="shared" si="227"/>
        <v>0</v>
      </c>
      <c r="BA314" t="str">
        <f>'Ashed teabags wet'!A312</f>
        <v>G768</v>
      </c>
      <c r="BB314" t="str">
        <f>'Ashed teabags wet'!A732</f>
        <v>R525</v>
      </c>
      <c r="BC314" t="b">
        <f t="shared" si="228"/>
        <v>0</v>
      </c>
      <c r="BD314" t="b">
        <f t="shared" si="208"/>
        <v>0</v>
      </c>
      <c r="BF314" t="str">
        <f t="shared" si="229"/>
        <v>G84</v>
      </c>
      <c r="BG314" t="str">
        <f>T313</f>
        <v>G84</v>
      </c>
      <c r="BH314" t="str">
        <f t="shared" si="230"/>
        <v>G330</v>
      </c>
      <c r="BI314" t="str">
        <f t="shared" si="244"/>
        <v/>
      </c>
      <c r="BJ314" t="s">
        <v>1966</v>
      </c>
      <c r="BK314" t="s">
        <v>1966</v>
      </c>
      <c r="BL314" t="s">
        <v>1966</v>
      </c>
      <c r="BM314" t="b">
        <f t="shared" si="245"/>
        <v>1</v>
      </c>
      <c r="BN314" t="str">
        <f t="shared" si="231"/>
        <v>R812</v>
      </c>
      <c r="BO314" t="str">
        <f>U313</f>
        <v>R812</v>
      </c>
      <c r="BP314" t="str">
        <f t="shared" si="232"/>
        <v>R220</v>
      </c>
      <c r="BQ314" t="str">
        <f t="shared" si="233"/>
        <v/>
      </c>
      <c r="BR314" t="s">
        <v>327</v>
      </c>
      <c r="BS314" t="s">
        <v>326</v>
      </c>
      <c r="BT314" t="s">
        <v>327</v>
      </c>
      <c r="BU314" t="b">
        <f t="shared" si="246"/>
        <v>1</v>
      </c>
      <c r="BZ314" t="str">
        <f t="shared" si="234"/>
        <v>G330</v>
      </c>
      <c r="CA314" t="b">
        <f t="shared" si="235"/>
        <v>1</v>
      </c>
      <c r="CB314" t="str">
        <f t="shared" si="247"/>
        <v/>
      </c>
      <c r="CC314" t="str">
        <f t="shared" si="236"/>
        <v>R220</v>
      </c>
      <c r="CD314" t="b">
        <f t="shared" si="248"/>
        <v>1</v>
      </c>
      <c r="CE314" t="str">
        <f t="shared" si="249"/>
        <v/>
      </c>
      <c r="CG314" t="str">
        <f t="shared" si="237"/>
        <v>G765</v>
      </c>
      <c r="CH314" t="str">
        <f t="shared" si="250"/>
        <v>G765</v>
      </c>
      <c r="CI314" t="str">
        <f>AE313</f>
        <v>G355</v>
      </c>
      <c r="CJ314" t="str">
        <f t="shared" si="238"/>
        <v>G355</v>
      </c>
      <c r="CK314" t="s">
        <v>1285</v>
      </c>
      <c r="CL314" t="s">
        <v>1285</v>
      </c>
      <c r="CM314" t="s">
        <v>1285</v>
      </c>
      <c r="CN314" t="b">
        <f t="shared" si="251"/>
        <v>1</v>
      </c>
      <c r="CO314" t="str">
        <f t="shared" si="239"/>
        <v>R524</v>
      </c>
      <c r="CP314" t="str">
        <f t="shared" si="252"/>
        <v>R524</v>
      </c>
      <c r="CQ314" t="str">
        <f>AF313</f>
        <v>R517</v>
      </c>
      <c r="CR314" t="str">
        <f t="shared" si="240"/>
        <v>R517</v>
      </c>
      <c r="CS314" t="s">
        <v>617</v>
      </c>
      <c r="CT314" t="s">
        <v>617</v>
      </c>
      <c r="CU314" t="s">
        <v>617</v>
      </c>
      <c r="CV314" t="b">
        <f t="shared" si="253"/>
        <v>1</v>
      </c>
      <c r="DC314" t="str">
        <f t="shared" si="241"/>
        <v>G355</v>
      </c>
      <c r="DD314" t="b">
        <f t="shared" si="254"/>
        <v>0</v>
      </c>
      <c r="DE314" t="str">
        <f t="shared" si="255"/>
        <v>G355</v>
      </c>
      <c r="DF314" t="str">
        <f t="shared" si="242"/>
        <v>R517</v>
      </c>
      <c r="DG314" t="b">
        <f t="shared" si="256"/>
        <v>0</v>
      </c>
      <c r="DH314" t="str">
        <f t="shared" si="257"/>
        <v>R517</v>
      </c>
    </row>
    <row r="315" spans="2:112" ht="12" customHeight="1">
      <c r="B315" t="str">
        <f>TBIDry!H387</f>
        <v>G380</v>
      </c>
      <c r="C315" t="str">
        <f>TBIDry!I387</f>
        <v>R619</v>
      </c>
      <c r="D315" t="b">
        <f t="shared" si="209"/>
        <v>0</v>
      </c>
      <c r="E315" t="b">
        <f t="shared" si="210"/>
        <v>0</v>
      </c>
      <c r="G315" t="str">
        <f>TBIWet!H387</f>
        <v>G763</v>
      </c>
      <c r="H315" t="str">
        <f>TBIWet!I387</f>
        <v>R4</v>
      </c>
      <c r="I315" t="b">
        <f t="shared" si="211"/>
        <v>0</v>
      </c>
      <c r="J315" t="b">
        <f t="shared" si="212"/>
        <v>0</v>
      </c>
      <c r="L315" t="str">
        <f>'Both teabags AfterWet'!A313</f>
        <v>G769</v>
      </c>
      <c r="M315" t="str">
        <f>'Both teabags AfterWet'!A733</f>
        <v>R526</v>
      </c>
      <c r="N315" t="b">
        <f t="shared" si="213"/>
        <v>0</v>
      </c>
      <c r="O315" t="b">
        <f t="shared" si="258"/>
        <v>0</v>
      </c>
      <c r="Q315" s="395" t="b">
        <f t="shared" si="214"/>
        <v>0</v>
      </c>
      <c r="R315" s="395" t="b">
        <f t="shared" si="215"/>
        <v>0</v>
      </c>
      <c r="T315" t="str">
        <f>'Both teabags AfterDry'!A313</f>
        <v>G848</v>
      </c>
      <c r="U315" t="str">
        <f>'Both teabags AfterDry'!A648</f>
        <v>R814</v>
      </c>
      <c r="V315" t="b">
        <f t="shared" si="216"/>
        <v>0</v>
      </c>
      <c r="W315" t="b">
        <f t="shared" si="243"/>
        <v>0</v>
      </c>
      <c r="Y315" t="str">
        <f>'Green_rooibos initial weight'!A316</f>
        <v>G312</v>
      </c>
      <c r="Z315" t="str">
        <f>'Green_rooibos initial weight'!A1220</f>
        <v>R312</v>
      </c>
      <c r="AA315" t="b">
        <f t="shared" si="217"/>
        <v>0</v>
      </c>
      <c r="AB315" t="b">
        <f t="shared" si="218"/>
        <v>0</v>
      </c>
      <c r="AE315" t="str">
        <f>'WetLitterbags placem_collection'!O94</f>
        <v>G763</v>
      </c>
      <c r="AF315" t="str">
        <f>'WetLitterbags placem_collection'!Q94</f>
        <v>R4</v>
      </c>
      <c r="AG315" t="b">
        <f t="shared" si="219"/>
        <v>0</v>
      </c>
      <c r="AH315" t="b">
        <f t="shared" si="220"/>
        <v>0</v>
      </c>
      <c r="AJ315" t="b">
        <f t="shared" si="221"/>
        <v>0</v>
      </c>
      <c r="AK315" t="b">
        <f t="shared" si="222"/>
        <v>0</v>
      </c>
      <c r="AM315" t="str">
        <f>IF(ISBLANK('Dry_Litterbag Placem_Collection'!L94),"","G"&amp;""&amp;'Dry_Litterbag Placem_Collection'!L94)</f>
        <v>G380</v>
      </c>
      <c r="AN315" t="str">
        <f>IF(ISBLANK('Dry_Litterbag Placem_Collection'!M94),"","R"&amp;""&amp;'Dry_Litterbag Placem_Collection'!M94)</f>
        <v>R619</v>
      </c>
      <c r="AO315" t="b">
        <f t="shared" si="223"/>
        <v>0</v>
      </c>
      <c r="AP315" t="b">
        <f t="shared" si="224"/>
        <v>0</v>
      </c>
      <c r="AS315" t="str">
        <f>'Ashed teabags dry'!A313</f>
        <v>G848</v>
      </c>
      <c r="AT315" t="str">
        <f>'Ashed teabags dry'!A648</f>
        <v>R814</v>
      </c>
      <c r="AU315" t="b">
        <f t="shared" si="225"/>
        <v>0</v>
      </c>
      <c r="AV315" t="b">
        <f>COUNTIF($AT$4:$AT$2000, AT315)&gt;1</f>
        <v>0</v>
      </c>
      <c r="AX315" s="395" t="b">
        <f t="shared" si="226"/>
        <v>0</v>
      </c>
      <c r="AY315" s="395" t="b">
        <f t="shared" si="227"/>
        <v>0</v>
      </c>
      <c r="BA315" t="str">
        <f>'Ashed teabags wet'!A313</f>
        <v>G769</v>
      </c>
      <c r="BB315" t="str">
        <f>'Ashed teabags wet'!A733</f>
        <v>R526</v>
      </c>
      <c r="BC315" t="b">
        <f t="shared" si="228"/>
        <v>0</v>
      </c>
      <c r="BD315" t="b">
        <f t="shared" si="208"/>
        <v>0</v>
      </c>
      <c r="BF315" t="str">
        <f t="shared" si="229"/>
        <v>G844</v>
      </c>
      <c r="BG315" t="str">
        <f>T314</f>
        <v>G844</v>
      </c>
      <c r="BH315" t="str">
        <f t="shared" si="230"/>
        <v>G596</v>
      </c>
      <c r="BI315" t="str">
        <f t="shared" si="244"/>
        <v>G596</v>
      </c>
      <c r="BJ315" t="s">
        <v>1206</v>
      </c>
      <c r="BK315" t="s">
        <v>1206</v>
      </c>
      <c r="BL315" t="s">
        <v>1206</v>
      </c>
      <c r="BM315" t="b">
        <f t="shared" si="245"/>
        <v>1</v>
      </c>
      <c r="BN315" t="str">
        <f t="shared" si="231"/>
        <v>R813</v>
      </c>
      <c r="BO315" t="str">
        <f>U314</f>
        <v>R813</v>
      </c>
      <c r="BP315" t="str">
        <f t="shared" si="232"/>
        <v>R659</v>
      </c>
      <c r="BQ315" t="str">
        <f t="shared" si="233"/>
        <v>R659</v>
      </c>
      <c r="BR315" t="s">
        <v>326</v>
      </c>
      <c r="BS315" t="s">
        <v>325</v>
      </c>
      <c r="BT315" t="s">
        <v>326</v>
      </c>
      <c r="BU315" t="b">
        <f t="shared" si="246"/>
        <v>1</v>
      </c>
      <c r="BZ315" t="str">
        <f t="shared" si="234"/>
        <v>G596</v>
      </c>
      <c r="CA315" t="b">
        <f t="shared" si="235"/>
        <v>0</v>
      </c>
      <c r="CB315" t="str">
        <f t="shared" si="247"/>
        <v>G596</v>
      </c>
      <c r="CC315" t="str">
        <f t="shared" si="236"/>
        <v>R659</v>
      </c>
      <c r="CD315" t="b">
        <f t="shared" si="248"/>
        <v>0</v>
      </c>
      <c r="CE315" t="str">
        <f t="shared" si="249"/>
        <v>R659</v>
      </c>
      <c r="CG315" t="str">
        <f t="shared" si="237"/>
        <v>G768</v>
      </c>
      <c r="CH315" t="str">
        <f t="shared" si="250"/>
        <v>G768</v>
      </c>
      <c r="CI315" t="str">
        <f>AE314</f>
        <v>G547</v>
      </c>
      <c r="CJ315" t="str">
        <f t="shared" si="238"/>
        <v>G547</v>
      </c>
      <c r="CK315" t="s">
        <v>1282</v>
      </c>
      <c r="CL315" t="s">
        <v>1282</v>
      </c>
      <c r="CM315" t="s">
        <v>1282</v>
      </c>
      <c r="CN315" t="b">
        <f t="shared" si="251"/>
        <v>1</v>
      </c>
      <c r="CO315" t="str">
        <f t="shared" si="239"/>
        <v>R525</v>
      </c>
      <c r="CP315" t="str">
        <f t="shared" si="252"/>
        <v>R525</v>
      </c>
      <c r="CQ315" t="str">
        <f>AF314</f>
        <v>R73</v>
      </c>
      <c r="CR315" t="str">
        <f t="shared" si="240"/>
        <v>R73</v>
      </c>
      <c r="CS315" t="s">
        <v>616</v>
      </c>
      <c r="CT315" t="s">
        <v>616</v>
      </c>
      <c r="CU315" t="s">
        <v>616</v>
      </c>
      <c r="CV315" t="b">
        <f t="shared" si="253"/>
        <v>1</v>
      </c>
      <c r="DC315" t="str">
        <f t="shared" si="241"/>
        <v>G547</v>
      </c>
      <c r="DD315" t="b">
        <f t="shared" si="254"/>
        <v>0</v>
      </c>
      <c r="DE315" t="str">
        <f t="shared" si="255"/>
        <v>G547</v>
      </c>
      <c r="DF315" t="str">
        <f t="shared" si="242"/>
        <v>R73</v>
      </c>
      <c r="DG315" t="b">
        <f t="shared" si="256"/>
        <v>0</v>
      </c>
      <c r="DH315" t="str">
        <f t="shared" si="257"/>
        <v>R73</v>
      </c>
    </row>
    <row r="316" spans="2:112" ht="12" customHeight="1">
      <c r="B316" t="str">
        <f>TBIDry!H388</f>
        <v>G872</v>
      </c>
      <c r="C316" t="str">
        <f>TBIDry!I388</f>
        <v>R106</v>
      </c>
      <c r="D316" t="b">
        <f t="shared" si="209"/>
        <v>0</v>
      </c>
      <c r="E316" t="b">
        <f t="shared" si="210"/>
        <v>0</v>
      </c>
      <c r="G316" t="str">
        <f>TBIWet!H388</f>
        <v>G424</v>
      </c>
      <c r="H316" t="str">
        <f>TBIWet!I388</f>
        <v>R136</v>
      </c>
      <c r="I316" t="b">
        <f t="shared" si="211"/>
        <v>0</v>
      </c>
      <c r="J316" t="b">
        <f t="shared" si="212"/>
        <v>0</v>
      </c>
      <c r="L316" t="str">
        <f>'Both teabags AfterWet'!A314</f>
        <v>G770</v>
      </c>
      <c r="M316" t="str">
        <f>'Both teabags AfterWet'!A734</f>
        <v>R527</v>
      </c>
      <c r="N316" t="b">
        <f t="shared" si="213"/>
        <v>0</v>
      </c>
      <c r="O316" t="b">
        <f t="shared" si="258"/>
        <v>0</v>
      </c>
      <c r="Q316" s="395" t="b">
        <f t="shared" si="214"/>
        <v>0</v>
      </c>
      <c r="R316" s="395" t="b">
        <f t="shared" si="215"/>
        <v>0</v>
      </c>
      <c r="T316" t="str">
        <f>'Both teabags AfterDry'!A314</f>
        <v>G85</v>
      </c>
      <c r="U316" t="str">
        <f>'Both teabags AfterDry'!A649</f>
        <v>R815</v>
      </c>
      <c r="V316" t="b">
        <f t="shared" si="216"/>
        <v>0</v>
      </c>
      <c r="W316" t="b">
        <f t="shared" si="243"/>
        <v>0</v>
      </c>
      <c r="Y316" t="str">
        <f>'Green_rooibos initial weight'!A317</f>
        <v>G313</v>
      </c>
      <c r="Z316" t="str">
        <f>'Green_rooibos initial weight'!A1221</f>
        <v>R313</v>
      </c>
      <c r="AA316" t="b">
        <f t="shared" si="217"/>
        <v>0</v>
      </c>
      <c r="AB316" t="b">
        <f t="shared" si="218"/>
        <v>0</v>
      </c>
      <c r="AE316" t="str">
        <f>'WetLitterbags placem_collection'!O95</f>
        <v>G424</v>
      </c>
      <c r="AF316" t="str">
        <f>'WetLitterbags placem_collection'!Q95</f>
        <v>R136</v>
      </c>
      <c r="AG316" t="b">
        <f t="shared" si="219"/>
        <v>0</v>
      </c>
      <c r="AH316" t="b">
        <f t="shared" si="220"/>
        <v>0</v>
      </c>
      <c r="AJ316" t="b">
        <f t="shared" si="221"/>
        <v>0</v>
      </c>
      <c r="AK316" t="b">
        <f t="shared" si="222"/>
        <v>0</v>
      </c>
      <c r="AM316" t="str">
        <f>IF(ISBLANK('Dry_Litterbag Placem_Collection'!L95),"","G"&amp;""&amp;'Dry_Litterbag Placem_Collection'!L95)</f>
        <v>G872</v>
      </c>
      <c r="AN316" t="str">
        <f>IF(ISBLANK('Dry_Litterbag Placem_Collection'!M95),"","R"&amp;""&amp;'Dry_Litterbag Placem_Collection'!M95)</f>
        <v>R106</v>
      </c>
      <c r="AO316" t="b">
        <f t="shared" si="223"/>
        <v>0</v>
      </c>
      <c r="AP316" t="b">
        <f t="shared" si="224"/>
        <v>0</v>
      </c>
      <c r="AS316" t="str">
        <f>'Ashed teabags dry'!A314</f>
        <v>G85</v>
      </c>
      <c r="AT316" t="str">
        <f>'Ashed teabags dry'!A649</f>
        <v>R815</v>
      </c>
      <c r="AU316" t="b">
        <f t="shared" si="225"/>
        <v>0</v>
      </c>
      <c r="AV316" t="b">
        <f>COUNTIF($AT$4:$AT$2000, AT316)&gt;1</f>
        <v>0</v>
      </c>
      <c r="AX316" s="395" t="b">
        <f t="shared" si="226"/>
        <v>0</v>
      </c>
      <c r="AY316" s="395" t="b">
        <f t="shared" si="227"/>
        <v>0</v>
      </c>
      <c r="BA316" t="str">
        <f>'Ashed teabags wet'!A314</f>
        <v>G770</v>
      </c>
      <c r="BB316" t="str">
        <f>'Ashed teabags wet'!A734</f>
        <v>R527</v>
      </c>
      <c r="BC316" t="b">
        <f t="shared" si="228"/>
        <v>0</v>
      </c>
      <c r="BD316" t="b">
        <f t="shared" si="208"/>
        <v>0</v>
      </c>
      <c r="BF316" t="str">
        <f t="shared" si="229"/>
        <v>G848</v>
      </c>
      <c r="BG316" t="str">
        <f>T315</f>
        <v>G848</v>
      </c>
      <c r="BH316" t="str">
        <f t="shared" si="230"/>
        <v>G380</v>
      </c>
      <c r="BI316" t="str">
        <f t="shared" si="244"/>
        <v>G380</v>
      </c>
      <c r="BJ316" t="s">
        <v>1202</v>
      </c>
      <c r="BK316" t="s">
        <v>1202</v>
      </c>
      <c r="BL316" t="s">
        <v>1202</v>
      </c>
      <c r="BM316" t="b">
        <f t="shared" si="245"/>
        <v>1</v>
      </c>
      <c r="BN316" t="str">
        <f t="shared" si="231"/>
        <v>R814</v>
      </c>
      <c r="BO316" t="str">
        <f>U315</f>
        <v>R814</v>
      </c>
      <c r="BP316" t="str">
        <f t="shared" si="232"/>
        <v>R619</v>
      </c>
      <c r="BQ316" t="str">
        <f t="shared" si="233"/>
        <v>R619</v>
      </c>
      <c r="BR316" t="s">
        <v>325</v>
      </c>
      <c r="BS316" t="s">
        <v>324</v>
      </c>
      <c r="BT316" t="s">
        <v>325</v>
      </c>
      <c r="BU316" t="b">
        <f t="shared" si="246"/>
        <v>1</v>
      </c>
      <c r="BZ316" t="str">
        <f t="shared" si="234"/>
        <v>G380</v>
      </c>
      <c r="CA316" t="b">
        <f t="shared" si="235"/>
        <v>0</v>
      </c>
      <c r="CB316" t="str">
        <f t="shared" si="247"/>
        <v>G380</v>
      </c>
      <c r="CC316" t="str">
        <f t="shared" si="236"/>
        <v>R619</v>
      </c>
      <c r="CD316" t="b">
        <f t="shared" si="248"/>
        <v>0</v>
      </c>
      <c r="CE316" t="str">
        <f t="shared" si="249"/>
        <v>R619</v>
      </c>
      <c r="CG316" t="str">
        <f t="shared" si="237"/>
        <v>G769</v>
      </c>
      <c r="CH316" t="str">
        <f t="shared" si="250"/>
        <v>G769</v>
      </c>
      <c r="CI316" t="str">
        <f>AE315</f>
        <v>G763</v>
      </c>
      <c r="CJ316" t="str">
        <f t="shared" si="238"/>
        <v>G763</v>
      </c>
      <c r="CK316" t="s">
        <v>1281</v>
      </c>
      <c r="CL316" t="s">
        <v>1281</v>
      </c>
      <c r="CM316" t="s">
        <v>1281</v>
      </c>
      <c r="CN316" t="b">
        <f t="shared" si="251"/>
        <v>1</v>
      </c>
      <c r="CO316" t="str">
        <f t="shared" si="239"/>
        <v>R526</v>
      </c>
      <c r="CP316" t="str">
        <f t="shared" si="252"/>
        <v>R526</v>
      </c>
      <c r="CQ316" t="str">
        <f>AF315</f>
        <v>R4</v>
      </c>
      <c r="CR316" t="str">
        <f t="shared" si="240"/>
        <v>R4</v>
      </c>
      <c r="CS316" t="s">
        <v>615</v>
      </c>
      <c r="CT316" t="s">
        <v>615</v>
      </c>
      <c r="CU316" t="s">
        <v>615</v>
      </c>
      <c r="CV316" t="b">
        <f t="shared" si="253"/>
        <v>1</v>
      </c>
      <c r="DC316" t="str">
        <f t="shared" si="241"/>
        <v>G763</v>
      </c>
      <c r="DD316" t="b">
        <f t="shared" si="254"/>
        <v>0</v>
      </c>
      <c r="DE316" t="str">
        <f t="shared" si="255"/>
        <v>G763</v>
      </c>
      <c r="DF316" t="str">
        <f t="shared" si="242"/>
        <v>R4</v>
      </c>
      <c r="DG316" t="b">
        <f t="shared" si="256"/>
        <v>0</v>
      </c>
      <c r="DH316" t="str">
        <f t="shared" si="257"/>
        <v>R4</v>
      </c>
    </row>
    <row r="317" spans="2:112" ht="12" customHeight="1">
      <c r="B317" t="str">
        <f>TBIDry!H389</f>
        <v/>
      </c>
      <c r="C317" t="str">
        <f>TBIDry!I389</f>
        <v/>
      </c>
      <c r="D317" t="b">
        <f t="shared" si="209"/>
        <v>1</v>
      </c>
      <c r="E317" t="b">
        <f t="shared" si="210"/>
        <v>1</v>
      </c>
      <c r="G317" t="str">
        <f>TBIWet!H389</f>
        <v>G588</v>
      </c>
      <c r="H317" t="str">
        <f>TBIWet!I389</f>
        <v>R358</v>
      </c>
      <c r="I317" t="b">
        <f t="shared" si="211"/>
        <v>0</v>
      </c>
      <c r="J317" t="b">
        <f t="shared" si="212"/>
        <v>0</v>
      </c>
      <c r="L317" t="str">
        <f>'Both teabags AfterWet'!A315</f>
        <v>G772</v>
      </c>
      <c r="M317" t="str">
        <f>'Both teabags AfterWet'!A735</f>
        <v>R528</v>
      </c>
      <c r="N317" t="b">
        <f t="shared" si="213"/>
        <v>0</v>
      </c>
      <c r="O317" t="b">
        <f t="shared" si="258"/>
        <v>0</v>
      </c>
      <c r="Q317" s="395" t="b">
        <f t="shared" si="214"/>
        <v>0</v>
      </c>
      <c r="R317" s="395" t="b">
        <f t="shared" si="215"/>
        <v>0</v>
      </c>
      <c r="T317" t="str">
        <f>'Both teabags AfterDry'!A315</f>
        <v>G851</v>
      </c>
      <c r="U317" t="str">
        <f>'Both teabags AfterDry'!A650</f>
        <v>R816</v>
      </c>
      <c r="V317" t="b">
        <f t="shared" si="216"/>
        <v>0</v>
      </c>
      <c r="W317" t="b">
        <f t="shared" si="243"/>
        <v>0</v>
      </c>
      <c r="Y317" t="str">
        <f>'Green_rooibos initial weight'!A318</f>
        <v>G314</v>
      </c>
      <c r="Z317" t="str">
        <f>'Green_rooibos initial weight'!A1222</f>
        <v>R314</v>
      </c>
      <c r="AA317" t="b">
        <f t="shared" si="217"/>
        <v>0</v>
      </c>
      <c r="AB317" t="b">
        <f t="shared" si="218"/>
        <v>0</v>
      </c>
      <c r="AE317" t="str">
        <f>'WetLitterbags placem_collection'!O96</f>
        <v>G588</v>
      </c>
      <c r="AF317" t="str">
        <f>'WetLitterbags placem_collection'!Q96</f>
        <v>R358</v>
      </c>
      <c r="AG317" t="b">
        <f t="shared" si="219"/>
        <v>0</v>
      </c>
      <c r="AH317" t="b">
        <f t="shared" si="220"/>
        <v>0</v>
      </c>
      <c r="AJ317" t="b">
        <f t="shared" si="221"/>
        <v>0</v>
      </c>
      <c r="AK317" t="b">
        <f t="shared" si="222"/>
        <v>0</v>
      </c>
      <c r="AM317" t="str">
        <f>IF(ISBLANK('Dry_Litterbag Placem_Collection'!L96),"","G"&amp;""&amp;'Dry_Litterbag Placem_Collection'!L96)</f>
        <v/>
      </c>
      <c r="AN317" t="str">
        <f>IF(ISBLANK('Dry_Litterbag Placem_Collection'!M96),"","R"&amp;""&amp;'Dry_Litterbag Placem_Collection'!M96)</f>
        <v/>
      </c>
      <c r="AO317" t="b">
        <f t="shared" si="223"/>
        <v>1</v>
      </c>
      <c r="AP317" t="b">
        <f t="shared" si="224"/>
        <v>1</v>
      </c>
      <c r="AS317" t="str">
        <f>'Ashed teabags dry'!A315</f>
        <v>G851</v>
      </c>
      <c r="AT317" t="str">
        <f>'Ashed teabags dry'!A650</f>
        <v>R816</v>
      </c>
      <c r="AU317" t="b">
        <f t="shared" si="225"/>
        <v>0</v>
      </c>
      <c r="AV317" t="b">
        <f>COUNTIF($AT$4:$AT$2000, AT317)&gt;1</f>
        <v>0</v>
      </c>
      <c r="AX317" s="395" t="b">
        <f t="shared" si="226"/>
        <v>0</v>
      </c>
      <c r="AY317" s="395" t="b">
        <f t="shared" si="227"/>
        <v>0</v>
      </c>
      <c r="BA317" t="str">
        <f>'Ashed teabags wet'!A315</f>
        <v>G772</v>
      </c>
      <c r="BB317" t="str">
        <f>'Ashed teabags wet'!A735</f>
        <v>R528</v>
      </c>
      <c r="BC317" t="b">
        <f t="shared" si="228"/>
        <v>0</v>
      </c>
      <c r="BD317" t="b">
        <f t="shared" si="208"/>
        <v>0</v>
      </c>
      <c r="BF317" t="str">
        <f t="shared" si="229"/>
        <v>G85</v>
      </c>
      <c r="BG317" t="str">
        <f>T316</f>
        <v>G85</v>
      </c>
      <c r="BH317" t="str">
        <f t="shared" si="230"/>
        <v>G872</v>
      </c>
      <c r="BI317" t="str">
        <f t="shared" si="244"/>
        <v>G872</v>
      </c>
      <c r="BJ317" t="s">
        <v>1965</v>
      </c>
      <c r="BK317" t="s">
        <v>1965</v>
      </c>
      <c r="BL317" t="s">
        <v>1965</v>
      </c>
      <c r="BM317" t="b">
        <f t="shared" si="245"/>
        <v>1</v>
      </c>
      <c r="BN317" t="str">
        <f t="shared" si="231"/>
        <v>R815</v>
      </c>
      <c r="BO317" t="str">
        <f>U316</f>
        <v>R815</v>
      </c>
      <c r="BP317" t="str">
        <f t="shared" si="232"/>
        <v>R106</v>
      </c>
      <c r="BQ317" t="str">
        <f t="shared" si="233"/>
        <v>R106</v>
      </c>
      <c r="BR317" t="s">
        <v>324</v>
      </c>
      <c r="BS317" t="s">
        <v>323</v>
      </c>
      <c r="BT317" t="s">
        <v>324</v>
      </c>
      <c r="BU317" t="b">
        <f t="shared" si="246"/>
        <v>1</v>
      </c>
      <c r="BZ317" t="str">
        <f t="shared" si="234"/>
        <v>G872</v>
      </c>
      <c r="CA317" t="b">
        <f t="shared" si="235"/>
        <v>0</v>
      </c>
      <c r="CB317" t="str">
        <f t="shared" si="247"/>
        <v>G872</v>
      </c>
      <c r="CC317" t="str">
        <f t="shared" si="236"/>
        <v>R106</v>
      </c>
      <c r="CD317" t="b">
        <f t="shared" si="248"/>
        <v>0</v>
      </c>
      <c r="CE317" t="str">
        <f t="shared" si="249"/>
        <v>R106</v>
      </c>
      <c r="CG317" t="str">
        <f t="shared" si="237"/>
        <v>G770</v>
      </c>
      <c r="CH317" t="str">
        <f t="shared" si="250"/>
        <v>G770</v>
      </c>
      <c r="CI317" t="str">
        <f>AE316</f>
        <v>G424</v>
      </c>
      <c r="CJ317" t="str">
        <f t="shared" si="238"/>
        <v>G424</v>
      </c>
      <c r="CK317" t="s">
        <v>1280</v>
      </c>
      <c r="CL317" t="s">
        <v>1280</v>
      </c>
      <c r="CM317" t="s">
        <v>1280</v>
      </c>
      <c r="CN317" t="b">
        <f t="shared" si="251"/>
        <v>1</v>
      </c>
      <c r="CO317" t="str">
        <f t="shared" si="239"/>
        <v>R527</v>
      </c>
      <c r="CP317" t="str">
        <f t="shared" si="252"/>
        <v>R527</v>
      </c>
      <c r="CQ317" t="str">
        <f>AF316</f>
        <v>R136</v>
      </c>
      <c r="CR317" t="str">
        <f t="shared" si="240"/>
        <v>R136</v>
      </c>
      <c r="CS317" t="s">
        <v>614</v>
      </c>
      <c r="CT317" t="s">
        <v>614</v>
      </c>
      <c r="CU317" t="s">
        <v>614</v>
      </c>
      <c r="CV317" t="b">
        <f t="shared" si="253"/>
        <v>1</v>
      </c>
      <c r="DC317" t="str">
        <f t="shared" si="241"/>
        <v>G424</v>
      </c>
      <c r="DD317" t="b">
        <f t="shared" si="254"/>
        <v>0</v>
      </c>
      <c r="DE317" t="str">
        <f t="shared" si="255"/>
        <v>G424</v>
      </c>
      <c r="DF317" t="str">
        <f t="shared" si="242"/>
        <v>R136</v>
      </c>
      <c r="DG317" t="b">
        <f t="shared" si="256"/>
        <v>0</v>
      </c>
      <c r="DH317" t="str">
        <f t="shared" si="257"/>
        <v>R136</v>
      </c>
    </row>
    <row r="318" spans="2:112" ht="12" customHeight="1">
      <c r="B318" t="str">
        <f>TBIDry!H390</f>
        <v>G844</v>
      </c>
      <c r="C318" t="str">
        <f>TBIDry!I390</f>
        <v>R233</v>
      </c>
      <c r="D318" t="b">
        <f t="shared" si="209"/>
        <v>0</v>
      </c>
      <c r="E318" t="b">
        <f t="shared" si="210"/>
        <v>0</v>
      </c>
      <c r="G318" t="str">
        <f>TBIWet!H390</f>
        <v>G486</v>
      </c>
      <c r="H318" t="str">
        <f>TBIWet!I390</f>
        <v>R547</v>
      </c>
      <c r="I318" t="b">
        <f t="shared" si="211"/>
        <v>0</v>
      </c>
      <c r="J318" t="b">
        <f t="shared" si="212"/>
        <v>0</v>
      </c>
      <c r="L318" t="str">
        <f>'Both teabags AfterWet'!A316</f>
        <v>G773</v>
      </c>
      <c r="M318" t="str">
        <f>'Both teabags AfterWet'!A736</f>
        <v>R529</v>
      </c>
      <c r="N318" t="b">
        <f t="shared" si="213"/>
        <v>0</v>
      </c>
      <c r="O318" t="b">
        <f t="shared" si="258"/>
        <v>0</v>
      </c>
      <c r="Q318" s="395" t="b">
        <f t="shared" si="214"/>
        <v>0</v>
      </c>
      <c r="R318" s="395" t="b">
        <f t="shared" si="215"/>
        <v>0</v>
      </c>
      <c r="T318" t="str">
        <f>'Both teabags AfterDry'!A316</f>
        <v>G854</v>
      </c>
      <c r="U318" t="str">
        <f>'Both teabags AfterDry'!A651</f>
        <v>R818</v>
      </c>
      <c r="V318" t="b">
        <f t="shared" si="216"/>
        <v>0</v>
      </c>
      <c r="W318" t="b">
        <f t="shared" si="243"/>
        <v>0</v>
      </c>
      <c r="Y318" t="str">
        <f>'Green_rooibos initial weight'!A319</f>
        <v>G315</v>
      </c>
      <c r="Z318" t="str">
        <f>'Green_rooibos initial weight'!A1223</f>
        <v>R315</v>
      </c>
      <c r="AA318" t="b">
        <f t="shared" si="217"/>
        <v>0</v>
      </c>
      <c r="AB318" t="b">
        <f t="shared" si="218"/>
        <v>0</v>
      </c>
      <c r="AE318" t="str">
        <f>'WetLitterbags placem_collection'!O97</f>
        <v>G486</v>
      </c>
      <c r="AF318" t="str">
        <f>'WetLitterbags placem_collection'!Q97</f>
        <v>R547</v>
      </c>
      <c r="AG318" t="b">
        <f t="shared" si="219"/>
        <v>0</v>
      </c>
      <c r="AH318" t="b">
        <f t="shared" si="220"/>
        <v>0</v>
      </c>
      <c r="AJ318" t="b">
        <f t="shared" si="221"/>
        <v>0</v>
      </c>
      <c r="AK318" t="b">
        <f t="shared" si="222"/>
        <v>0</v>
      </c>
      <c r="AM318" t="str">
        <f>IF(ISBLANK('Dry_Litterbag Placem_Collection'!L97),"","G"&amp;""&amp;'Dry_Litterbag Placem_Collection'!L97)</f>
        <v>G844</v>
      </c>
      <c r="AN318" t="str">
        <f>IF(ISBLANK('Dry_Litterbag Placem_Collection'!M97),"","R"&amp;""&amp;'Dry_Litterbag Placem_Collection'!M97)</f>
        <v>R233</v>
      </c>
      <c r="AO318" t="b">
        <f t="shared" si="223"/>
        <v>0</v>
      </c>
      <c r="AP318" t="b">
        <f t="shared" si="224"/>
        <v>0</v>
      </c>
      <c r="AS318" t="str">
        <f>'Ashed teabags dry'!A316</f>
        <v>G854</v>
      </c>
      <c r="AT318" t="str">
        <f>'Ashed teabags dry'!A651</f>
        <v>R818</v>
      </c>
      <c r="AU318" t="b">
        <f t="shared" si="225"/>
        <v>0</v>
      </c>
      <c r="AV318" t="b">
        <f>COUNTIF($AT$4:$AT$2000, AT318)&gt;1</f>
        <v>0</v>
      </c>
      <c r="AX318" s="395" t="b">
        <f t="shared" si="226"/>
        <v>0</v>
      </c>
      <c r="AY318" s="395" t="b">
        <f t="shared" si="227"/>
        <v>0</v>
      </c>
      <c r="BA318" t="str">
        <f>'Ashed teabags wet'!A316</f>
        <v>G773</v>
      </c>
      <c r="BB318" t="str">
        <f>'Ashed teabags wet'!A736</f>
        <v>R529</v>
      </c>
      <c r="BC318" t="b">
        <f t="shared" si="228"/>
        <v>0</v>
      </c>
      <c r="BD318" t="b">
        <f t="shared" si="208"/>
        <v>0</v>
      </c>
      <c r="BF318" t="str">
        <f t="shared" si="229"/>
        <v>G851</v>
      </c>
      <c r="BG318" t="str">
        <f>T317</f>
        <v>G851</v>
      </c>
      <c r="BH318" t="str">
        <f t="shared" si="230"/>
        <v/>
      </c>
      <c r="BI318" t="str">
        <f t="shared" si="244"/>
        <v/>
      </c>
      <c r="BJ318" t="s">
        <v>1199</v>
      </c>
      <c r="BK318" t="s">
        <v>1199</v>
      </c>
      <c r="BL318" t="s">
        <v>1199</v>
      </c>
      <c r="BM318" t="b">
        <f t="shared" si="245"/>
        <v>1</v>
      </c>
      <c r="BN318" t="str">
        <f t="shared" si="231"/>
        <v>R816</v>
      </c>
      <c r="BO318" t="str">
        <f>U317</f>
        <v>R816</v>
      </c>
      <c r="BP318" t="str">
        <f t="shared" si="232"/>
        <v/>
      </c>
      <c r="BQ318" t="str">
        <f t="shared" si="233"/>
        <v/>
      </c>
      <c r="BR318" t="s">
        <v>323</v>
      </c>
      <c r="BS318" t="s">
        <v>321</v>
      </c>
      <c r="BT318" t="s">
        <v>323</v>
      </c>
      <c r="BU318" t="b">
        <f t="shared" si="246"/>
        <v>1</v>
      </c>
      <c r="BZ318" t="str">
        <f t="shared" si="234"/>
        <v/>
      </c>
      <c r="CA318" t="b">
        <f t="shared" si="235"/>
        <v>0</v>
      </c>
      <c r="CB318" t="str">
        <f t="shared" si="247"/>
        <v/>
      </c>
      <c r="CC318" t="str">
        <f t="shared" si="236"/>
        <v/>
      </c>
      <c r="CD318" t="b">
        <f t="shared" si="248"/>
        <v>0</v>
      </c>
      <c r="CE318" t="str">
        <f t="shared" si="249"/>
        <v/>
      </c>
      <c r="CG318" t="str">
        <f t="shared" si="237"/>
        <v>G772</v>
      </c>
      <c r="CH318" t="str">
        <f t="shared" si="250"/>
        <v>G772</v>
      </c>
      <c r="CI318" t="str">
        <f>AE317</f>
        <v>G588</v>
      </c>
      <c r="CJ318" t="str">
        <f t="shared" si="238"/>
        <v/>
      </c>
      <c r="CK318" t="s">
        <v>1278</v>
      </c>
      <c r="CL318" t="s">
        <v>1278</v>
      </c>
      <c r="CM318" t="s">
        <v>1278</v>
      </c>
      <c r="CN318" t="b">
        <f t="shared" si="251"/>
        <v>1</v>
      </c>
      <c r="CO318" t="str">
        <f t="shared" si="239"/>
        <v>R528</v>
      </c>
      <c r="CP318" t="str">
        <f t="shared" si="252"/>
        <v>R528</v>
      </c>
      <c r="CQ318" t="str">
        <f>AF317</f>
        <v>R358</v>
      </c>
      <c r="CR318" t="str">
        <f t="shared" si="240"/>
        <v/>
      </c>
      <c r="CS318" t="s">
        <v>613</v>
      </c>
      <c r="CT318" t="s">
        <v>613</v>
      </c>
      <c r="CU318" t="s">
        <v>613</v>
      </c>
      <c r="CV318" t="b">
        <f t="shared" si="253"/>
        <v>1</v>
      </c>
      <c r="DC318" t="str">
        <f t="shared" si="241"/>
        <v>G588</v>
      </c>
      <c r="DD318" t="b">
        <f t="shared" si="254"/>
        <v>1</v>
      </c>
      <c r="DE318" t="str">
        <f t="shared" si="255"/>
        <v/>
      </c>
      <c r="DF318" t="str">
        <f t="shared" si="242"/>
        <v>R358</v>
      </c>
      <c r="DG318" t="b">
        <f t="shared" si="256"/>
        <v>1</v>
      </c>
      <c r="DH318" t="str">
        <f t="shared" si="257"/>
        <v/>
      </c>
    </row>
    <row r="319" spans="2:112" ht="12" customHeight="1">
      <c r="B319" t="str">
        <f>TBIDry!H391</f>
        <v>G372</v>
      </c>
      <c r="C319" t="str">
        <f>TBIDry!I391</f>
        <v>R698</v>
      </c>
      <c r="D319" t="b">
        <f t="shared" si="209"/>
        <v>0</v>
      </c>
      <c r="E319" t="b">
        <f t="shared" si="210"/>
        <v>0</v>
      </c>
      <c r="G319" t="str">
        <f>TBIWet!H391</f>
        <v>G545</v>
      </c>
      <c r="H319" t="str">
        <f>TBIWet!I391</f>
        <v>R588</v>
      </c>
      <c r="I319" t="b">
        <f t="shared" si="211"/>
        <v>0</v>
      </c>
      <c r="J319" t="b">
        <f t="shared" si="212"/>
        <v>0</v>
      </c>
      <c r="L319" t="str">
        <f>'Both teabags AfterWet'!A317</f>
        <v>G774</v>
      </c>
      <c r="M319" t="str">
        <f>'Both teabags AfterWet'!A737</f>
        <v>R530</v>
      </c>
      <c r="N319" t="b">
        <f t="shared" si="213"/>
        <v>0</v>
      </c>
      <c r="O319" t="b">
        <f t="shared" si="258"/>
        <v>0</v>
      </c>
      <c r="Q319" s="395" t="b">
        <f t="shared" si="214"/>
        <v>0</v>
      </c>
      <c r="R319" s="395" t="b">
        <f t="shared" si="215"/>
        <v>0</v>
      </c>
      <c r="T319" t="str">
        <f>'Both teabags AfterDry'!A317</f>
        <v>G855</v>
      </c>
      <c r="U319" t="str">
        <f>'Both teabags AfterDry'!A652</f>
        <v>R819</v>
      </c>
      <c r="V319" t="b">
        <f t="shared" si="216"/>
        <v>0</v>
      </c>
      <c r="W319" t="b">
        <f t="shared" si="243"/>
        <v>0</v>
      </c>
      <c r="Y319" t="str">
        <f>'Green_rooibos initial weight'!A320</f>
        <v>G316</v>
      </c>
      <c r="Z319" t="str">
        <f>'Green_rooibos initial weight'!A1224</f>
        <v>R316</v>
      </c>
      <c r="AA319" t="b">
        <f t="shared" si="217"/>
        <v>0</v>
      </c>
      <c r="AB319" t="b">
        <f t="shared" si="218"/>
        <v>0</v>
      </c>
      <c r="AE319" t="str">
        <f>'WetLitterbags placem_collection'!O98</f>
        <v>G545</v>
      </c>
      <c r="AF319" t="str">
        <f>'WetLitterbags placem_collection'!Q98</f>
        <v>R588</v>
      </c>
      <c r="AG319" t="b">
        <f t="shared" si="219"/>
        <v>0</v>
      </c>
      <c r="AH319" t="b">
        <f t="shared" si="220"/>
        <v>0</v>
      </c>
      <c r="AJ319" t="b">
        <f t="shared" si="221"/>
        <v>0</v>
      </c>
      <c r="AK319" t="b">
        <f t="shared" si="222"/>
        <v>0</v>
      </c>
      <c r="AM319" t="str">
        <f>IF(ISBLANK('Dry_Litterbag Placem_Collection'!L98),"","G"&amp;""&amp;'Dry_Litterbag Placem_Collection'!L98)</f>
        <v>G372</v>
      </c>
      <c r="AN319" t="str">
        <f>IF(ISBLANK('Dry_Litterbag Placem_Collection'!M98),"","R"&amp;""&amp;'Dry_Litterbag Placem_Collection'!M98)</f>
        <v>R698</v>
      </c>
      <c r="AO319" t="b">
        <f t="shared" si="223"/>
        <v>0</v>
      </c>
      <c r="AP319" t="b">
        <f t="shared" si="224"/>
        <v>0</v>
      </c>
      <c r="AS319" t="str">
        <f>'Ashed teabags dry'!A317</f>
        <v>G855</v>
      </c>
      <c r="AT319" t="str">
        <f>'Ashed teabags dry'!A652</f>
        <v>R819</v>
      </c>
      <c r="AU319" t="b">
        <f t="shared" si="225"/>
        <v>0</v>
      </c>
      <c r="AV319" t="b">
        <f>COUNTIF($AT$4:$AT$2000, AT319)&gt;1</f>
        <v>0</v>
      </c>
      <c r="AX319" s="395" t="b">
        <f t="shared" si="226"/>
        <v>0</v>
      </c>
      <c r="AY319" s="395" t="b">
        <f t="shared" si="227"/>
        <v>0</v>
      </c>
      <c r="BA319" t="str">
        <f>'Ashed teabags wet'!A317</f>
        <v>G774</v>
      </c>
      <c r="BB319" t="str">
        <f>'Ashed teabags wet'!A737</f>
        <v>R530</v>
      </c>
      <c r="BC319" t="b">
        <f t="shared" si="228"/>
        <v>0</v>
      </c>
      <c r="BD319" t="b">
        <f t="shared" si="208"/>
        <v>0</v>
      </c>
      <c r="BF319" t="str">
        <f t="shared" si="229"/>
        <v>G854</v>
      </c>
      <c r="BG319" t="str">
        <f>T318</f>
        <v>G854</v>
      </c>
      <c r="BH319" t="str">
        <f t="shared" si="230"/>
        <v>G844</v>
      </c>
      <c r="BI319" t="str">
        <f t="shared" si="244"/>
        <v>G844</v>
      </c>
      <c r="BJ319" t="s">
        <v>1196</v>
      </c>
      <c r="BK319" t="s">
        <v>1196</v>
      </c>
      <c r="BL319" t="s">
        <v>1196</v>
      </c>
      <c r="BM319" t="b">
        <f t="shared" si="245"/>
        <v>1</v>
      </c>
      <c r="BN319" t="str">
        <f t="shared" si="231"/>
        <v>R818</v>
      </c>
      <c r="BO319" t="str">
        <f>U318</f>
        <v>R818</v>
      </c>
      <c r="BP319" t="str">
        <f t="shared" si="232"/>
        <v>R233</v>
      </c>
      <c r="BQ319" t="str">
        <f t="shared" si="233"/>
        <v>R233</v>
      </c>
      <c r="BR319" t="s">
        <v>321</v>
      </c>
      <c r="BS319" t="s">
        <v>320</v>
      </c>
      <c r="BT319" t="s">
        <v>321</v>
      </c>
      <c r="BU319" t="b">
        <f t="shared" si="246"/>
        <v>1</v>
      </c>
      <c r="BZ319" t="str">
        <f t="shared" si="234"/>
        <v>G844</v>
      </c>
      <c r="CA319" t="b">
        <f t="shared" si="235"/>
        <v>0</v>
      </c>
      <c r="CB319" t="str">
        <f t="shared" si="247"/>
        <v>G844</v>
      </c>
      <c r="CC319" t="str">
        <f t="shared" si="236"/>
        <v>R233</v>
      </c>
      <c r="CD319" t="b">
        <f t="shared" si="248"/>
        <v>0</v>
      </c>
      <c r="CE319" t="str">
        <f t="shared" si="249"/>
        <v>R233</v>
      </c>
      <c r="CG319" t="str">
        <f t="shared" si="237"/>
        <v>G773</v>
      </c>
      <c r="CH319" t="str">
        <f t="shared" si="250"/>
        <v>G773</v>
      </c>
      <c r="CI319" t="str">
        <f>AE318</f>
        <v>G486</v>
      </c>
      <c r="CJ319" t="str">
        <f t="shared" si="238"/>
        <v>G486</v>
      </c>
      <c r="CK319" t="s">
        <v>1277</v>
      </c>
      <c r="CL319" t="s">
        <v>1277</v>
      </c>
      <c r="CM319" t="s">
        <v>1277</v>
      </c>
      <c r="CN319" t="b">
        <f t="shared" si="251"/>
        <v>1</v>
      </c>
      <c r="CO319" t="str">
        <f t="shared" si="239"/>
        <v>R529</v>
      </c>
      <c r="CP319" t="str">
        <f t="shared" si="252"/>
        <v>R529</v>
      </c>
      <c r="CQ319" t="str">
        <f>AF318</f>
        <v>R547</v>
      </c>
      <c r="CR319" t="str">
        <f t="shared" si="240"/>
        <v>R547</v>
      </c>
      <c r="CS319" t="s">
        <v>612</v>
      </c>
      <c r="CT319" t="s">
        <v>612</v>
      </c>
      <c r="CU319" t="s">
        <v>612</v>
      </c>
      <c r="CV319" t="b">
        <f t="shared" si="253"/>
        <v>1</v>
      </c>
      <c r="DC319" t="str">
        <f t="shared" si="241"/>
        <v>G486</v>
      </c>
      <c r="DD319" t="b">
        <f t="shared" si="254"/>
        <v>0</v>
      </c>
      <c r="DE319" t="str">
        <f t="shared" si="255"/>
        <v>G486</v>
      </c>
      <c r="DF319" t="str">
        <f t="shared" si="242"/>
        <v>R547</v>
      </c>
      <c r="DG319" t="b">
        <f t="shared" si="256"/>
        <v>0</v>
      </c>
      <c r="DH319" t="str">
        <f t="shared" si="257"/>
        <v>R547</v>
      </c>
    </row>
    <row r="320" spans="2:112" ht="12" customHeight="1">
      <c r="B320" t="str">
        <f>TBIDry!H392</f>
        <v>G3</v>
      </c>
      <c r="C320" t="str">
        <f>TBIDry!I392</f>
        <v>R47</v>
      </c>
      <c r="D320" t="b">
        <f t="shared" si="209"/>
        <v>0</v>
      </c>
      <c r="E320" t="b">
        <f t="shared" si="210"/>
        <v>0</v>
      </c>
      <c r="G320" t="str">
        <f>TBIWet!H392</f>
        <v>G847</v>
      </c>
      <c r="H320" t="str">
        <f>TBIWet!I392</f>
        <v>R576</v>
      </c>
      <c r="I320" t="b">
        <f t="shared" si="211"/>
        <v>0</v>
      </c>
      <c r="J320" t="b">
        <f t="shared" si="212"/>
        <v>0</v>
      </c>
      <c r="L320" t="str">
        <f>'Both teabags AfterWet'!A318</f>
        <v>G775</v>
      </c>
      <c r="M320" t="str">
        <f>'Both teabags AfterWet'!A738</f>
        <v>R531</v>
      </c>
      <c r="N320" t="b">
        <f t="shared" si="213"/>
        <v>0</v>
      </c>
      <c r="O320" t="b">
        <f t="shared" si="258"/>
        <v>0</v>
      </c>
      <c r="Q320" s="395" t="b">
        <f t="shared" si="214"/>
        <v>0</v>
      </c>
      <c r="R320" s="395" t="b">
        <f t="shared" si="215"/>
        <v>0</v>
      </c>
      <c r="T320" t="str">
        <f>'Both teabags AfterDry'!A318</f>
        <v>G86</v>
      </c>
      <c r="U320" t="str">
        <f>'Both teabags AfterDry'!A653</f>
        <v>R820</v>
      </c>
      <c r="V320" t="b">
        <f t="shared" si="216"/>
        <v>0</v>
      </c>
      <c r="W320" t="b">
        <f t="shared" si="243"/>
        <v>0</v>
      </c>
      <c r="Y320" t="str">
        <f>'Green_rooibos initial weight'!A321</f>
        <v>G317</v>
      </c>
      <c r="Z320" t="str">
        <f>'Green_rooibos initial weight'!A1225</f>
        <v>R317</v>
      </c>
      <c r="AA320" t="b">
        <f t="shared" si="217"/>
        <v>0</v>
      </c>
      <c r="AB320" t="b">
        <f t="shared" si="218"/>
        <v>0</v>
      </c>
      <c r="AE320" t="str">
        <f>'WetLitterbags placem_collection'!O99</f>
        <v>G847</v>
      </c>
      <c r="AF320" t="str">
        <f>'WetLitterbags placem_collection'!Q99</f>
        <v>R576</v>
      </c>
      <c r="AG320" t="b">
        <f t="shared" si="219"/>
        <v>0</v>
      </c>
      <c r="AH320" t="b">
        <f t="shared" si="220"/>
        <v>0</v>
      </c>
      <c r="AJ320" t="b">
        <f t="shared" si="221"/>
        <v>0</v>
      </c>
      <c r="AK320" t="b">
        <f t="shared" si="222"/>
        <v>0</v>
      </c>
      <c r="AM320" t="str">
        <f>IF(ISBLANK('Dry_Litterbag Placem_Collection'!L99),"","G"&amp;""&amp;'Dry_Litterbag Placem_Collection'!L99)</f>
        <v>G3</v>
      </c>
      <c r="AN320" t="str">
        <f>IF(ISBLANK('Dry_Litterbag Placem_Collection'!M99),"","R"&amp;""&amp;'Dry_Litterbag Placem_Collection'!M99)</f>
        <v>R47</v>
      </c>
      <c r="AO320" t="b">
        <f t="shared" si="223"/>
        <v>0</v>
      </c>
      <c r="AP320" t="b">
        <f t="shared" si="224"/>
        <v>0</v>
      </c>
      <c r="AS320" t="str">
        <f>'Ashed teabags dry'!A318</f>
        <v>G86</v>
      </c>
      <c r="AT320" t="str">
        <f>'Ashed teabags dry'!A653</f>
        <v>R820</v>
      </c>
      <c r="AU320" t="b">
        <f t="shared" si="225"/>
        <v>0</v>
      </c>
      <c r="AV320" t="b">
        <f>COUNTIF($AT$4:$AT$2000, AT320)&gt;1</f>
        <v>0</v>
      </c>
      <c r="AX320" s="395" t="b">
        <f t="shared" si="226"/>
        <v>0</v>
      </c>
      <c r="AY320" s="395" t="b">
        <f t="shared" si="227"/>
        <v>0</v>
      </c>
      <c r="BA320" t="str">
        <f>'Ashed teabags wet'!A318</f>
        <v>G775</v>
      </c>
      <c r="BB320" t="str">
        <f>'Ashed teabags wet'!A738</f>
        <v>R531</v>
      </c>
      <c r="BC320" t="b">
        <f t="shared" si="228"/>
        <v>0</v>
      </c>
      <c r="BD320" t="b">
        <f t="shared" si="208"/>
        <v>0</v>
      </c>
      <c r="BF320" t="str">
        <f t="shared" si="229"/>
        <v>G855</v>
      </c>
      <c r="BG320" t="str">
        <f>T319</f>
        <v>G855</v>
      </c>
      <c r="BH320" t="str">
        <f t="shared" si="230"/>
        <v>G372</v>
      </c>
      <c r="BI320" t="str">
        <f t="shared" si="244"/>
        <v>G372</v>
      </c>
      <c r="BJ320" t="s">
        <v>1195</v>
      </c>
      <c r="BK320" t="s">
        <v>1195</v>
      </c>
      <c r="BL320" t="s">
        <v>1195</v>
      </c>
      <c r="BM320" t="b">
        <f t="shared" si="245"/>
        <v>1</v>
      </c>
      <c r="BN320" t="str">
        <f t="shared" si="231"/>
        <v>R819</v>
      </c>
      <c r="BO320" t="str">
        <f>U319</f>
        <v>R819</v>
      </c>
      <c r="BP320" t="str">
        <f t="shared" si="232"/>
        <v>R698</v>
      </c>
      <c r="BQ320" t="str">
        <f t="shared" si="233"/>
        <v>R698</v>
      </c>
      <c r="BR320" t="s">
        <v>320</v>
      </c>
      <c r="BS320" t="s">
        <v>319</v>
      </c>
      <c r="BT320" t="s">
        <v>320</v>
      </c>
      <c r="BU320" t="b">
        <f t="shared" si="246"/>
        <v>1</v>
      </c>
      <c r="BZ320" t="str">
        <f t="shared" si="234"/>
        <v>G372</v>
      </c>
      <c r="CA320" t="b">
        <f t="shared" si="235"/>
        <v>0</v>
      </c>
      <c r="CB320" t="str">
        <f t="shared" si="247"/>
        <v>G372</v>
      </c>
      <c r="CC320" t="str">
        <f t="shared" si="236"/>
        <v>R698</v>
      </c>
      <c r="CD320" t="b">
        <f t="shared" si="248"/>
        <v>0</v>
      </c>
      <c r="CE320" t="str">
        <f t="shared" si="249"/>
        <v>R698</v>
      </c>
      <c r="CG320" t="str">
        <f t="shared" si="237"/>
        <v>G774</v>
      </c>
      <c r="CH320" t="str">
        <f t="shared" si="250"/>
        <v>G774</v>
      </c>
      <c r="CI320" t="str">
        <f>AE319</f>
        <v>G545</v>
      </c>
      <c r="CJ320" t="str">
        <f t="shared" si="238"/>
        <v>G545</v>
      </c>
      <c r="CK320" t="s">
        <v>1276</v>
      </c>
      <c r="CL320" t="s">
        <v>1276</v>
      </c>
      <c r="CM320" t="s">
        <v>1276</v>
      </c>
      <c r="CN320" t="b">
        <f t="shared" si="251"/>
        <v>1</v>
      </c>
      <c r="CO320" t="str">
        <f t="shared" si="239"/>
        <v>R530</v>
      </c>
      <c r="CP320" t="str">
        <f t="shared" si="252"/>
        <v>R530</v>
      </c>
      <c r="CQ320" t="str">
        <f>AF319</f>
        <v>R588</v>
      </c>
      <c r="CR320" t="str">
        <f t="shared" si="240"/>
        <v>R588</v>
      </c>
      <c r="CS320" t="s">
        <v>611</v>
      </c>
      <c r="CT320" t="s">
        <v>1088</v>
      </c>
      <c r="CU320" t="s">
        <v>611</v>
      </c>
      <c r="CV320" t="b">
        <f t="shared" si="253"/>
        <v>1</v>
      </c>
      <c r="DC320" t="str">
        <f t="shared" si="241"/>
        <v>G545</v>
      </c>
      <c r="DD320" t="b">
        <f t="shared" si="254"/>
        <v>0</v>
      </c>
      <c r="DE320" t="str">
        <f t="shared" si="255"/>
        <v>G545</v>
      </c>
      <c r="DF320" t="str">
        <f t="shared" si="242"/>
        <v>R588</v>
      </c>
      <c r="DG320" t="b">
        <f t="shared" si="256"/>
        <v>0</v>
      </c>
      <c r="DH320" t="str">
        <f t="shared" si="257"/>
        <v>R588</v>
      </c>
    </row>
    <row r="321" spans="2:112" ht="12" customHeight="1">
      <c r="B321" t="str">
        <f>TBIDry!H393</f>
        <v>G25</v>
      </c>
      <c r="C321" t="str">
        <f>TBIDry!I393</f>
        <v>R707</v>
      </c>
      <c r="D321" t="b">
        <f t="shared" si="209"/>
        <v>0</v>
      </c>
      <c r="E321" t="b">
        <f t="shared" si="210"/>
        <v>0</v>
      </c>
      <c r="G321" t="str">
        <f>TBIWet!H393</f>
        <v>G730</v>
      </c>
      <c r="H321" t="str">
        <f>TBIWet!I393</f>
        <v>R561</v>
      </c>
      <c r="I321" t="b">
        <f t="shared" si="211"/>
        <v>0</v>
      </c>
      <c r="J321" t="b">
        <f t="shared" si="212"/>
        <v>0</v>
      </c>
      <c r="L321" t="str">
        <f>'Both teabags AfterWet'!A319</f>
        <v>G777</v>
      </c>
      <c r="M321" t="str">
        <f>'Both teabags AfterWet'!A739</f>
        <v>R532</v>
      </c>
      <c r="N321" t="b">
        <f t="shared" si="213"/>
        <v>0</v>
      </c>
      <c r="O321" t="b">
        <f t="shared" si="258"/>
        <v>0</v>
      </c>
      <c r="Q321" s="395" t="b">
        <f t="shared" si="214"/>
        <v>0</v>
      </c>
      <c r="R321" s="395" t="b">
        <f t="shared" si="215"/>
        <v>0</v>
      </c>
      <c r="T321" t="str">
        <f>'Both teabags AfterDry'!A319</f>
        <v>G862</v>
      </c>
      <c r="U321" t="str">
        <f>'Both teabags AfterDry'!A654</f>
        <v>R821</v>
      </c>
      <c r="V321" t="b">
        <f t="shared" si="216"/>
        <v>0</v>
      </c>
      <c r="W321" t="b">
        <f t="shared" si="243"/>
        <v>0</v>
      </c>
      <c r="Y321" t="str">
        <f>'Green_rooibos initial weight'!A322</f>
        <v>G318</v>
      </c>
      <c r="Z321" t="str">
        <f>'Green_rooibos initial weight'!A1226</f>
        <v>R318</v>
      </c>
      <c r="AA321" t="b">
        <f t="shared" si="217"/>
        <v>0</v>
      </c>
      <c r="AB321" t="b">
        <f t="shared" si="218"/>
        <v>0</v>
      </c>
      <c r="AE321" t="str">
        <f>'WetLitterbags placem_collection'!O100</f>
        <v>G730</v>
      </c>
      <c r="AF321" t="str">
        <f>'WetLitterbags placem_collection'!Q100</f>
        <v>R561</v>
      </c>
      <c r="AG321" t="b">
        <f t="shared" si="219"/>
        <v>0</v>
      </c>
      <c r="AH321" t="b">
        <f t="shared" si="220"/>
        <v>0</v>
      </c>
      <c r="AJ321" t="b">
        <f t="shared" si="221"/>
        <v>0</v>
      </c>
      <c r="AK321" t="b">
        <f t="shared" si="222"/>
        <v>0</v>
      </c>
      <c r="AM321" t="str">
        <f>IF(ISBLANK('Dry_Litterbag Placem_Collection'!L100),"","G"&amp;""&amp;'Dry_Litterbag Placem_Collection'!L100)</f>
        <v>G25</v>
      </c>
      <c r="AN321" t="str">
        <f>IF(ISBLANK('Dry_Litterbag Placem_Collection'!M100),"","R"&amp;""&amp;'Dry_Litterbag Placem_Collection'!M100)</f>
        <v>R707</v>
      </c>
      <c r="AO321" t="b">
        <f t="shared" si="223"/>
        <v>0</v>
      </c>
      <c r="AP321" t="b">
        <f t="shared" si="224"/>
        <v>0</v>
      </c>
      <c r="AS321" t="str">
        <f>'Ashed teabags dry'!A319</f>
        <v>G862</v>
      </c>
      <c r="AT321" t="str">
        <f>'Ashed teabags dry'!A654</f>
        <v>R821</v>
      </c>
      <c r="AU321" t="b">
        <f t="shared" si="225"/>
        <v>0</v>
      </c>
      <c r="AV321" t="b">
        <f>COUNTIF($AT$4:$AT$2000, AT321)&gt;1</f>
        <v>0</v>
      </c>
      <c r="AX321" s="395" t="b">
        <f t="shared" si="226"/>
        <v>0</v>
      </c>
      <c r="AY321" s="395" t="b">
        <f t="shared" si="227"/>
        <v>0</v>
      </c>
      <c r="BA321" t="str">
        <f>'Ashed teabags wet'!A319</f>
        <v>G777</v>
      </c>
      <c r="BB321" t="str">
        <f>'Ashed teabags wet'!A739</f>
        <v>R532</v>
      </c>
      <c r="BC321" t="b">
        <f t="shared" si="228"/>
        <v>0</v>
      </c>
      <c r="BD321" t="b">
        <f t="shared" si="208"/>
        <v>0</v>
      </c>
      <c r="BF321" t="str">
        <f t="shared" si="229"/>
        <v>G86</v>
      </c>
      <c r="BG321" t="str">
        <f>T320</f>
        <v>G86</v>
      </c>
      <c r="BH321" t="str">
        <f t="shared" si="230"/>
        <v>G3</v>
      </c>
      <c r="BI321" t="str">
        <f t="shared" si="244"/>
        <v/>
      </c>
      <c r="BJ321" t="s">
        <v>1964</v>
      </c>
      <c r="BK321" t="s">
        <v>1964</v>
      </c>
      <c r="BL321" t="s">
        <v>1964</v>
      </c>
      <c r="BM321" t="b">
        <f t="shared" si="245"/>
        <v>1</v>
      </c>
      <c r="BN321" t="str">
        <f t="shared" si="231"/>
        <v>R820</v>
      </c>
      <c r="BO321" t="str">
        <f>U320</f>
        <v>R820</v>
      </c>
      <c r="BP321" t="str">
        <f t="shared" si="232"/>
        <v>R47</v>
      </c>
      <c r="BQ321" t="str">
        <f t="shared" si="233"/>
        <v/>
      </c>
      <c r="BR321" t="s">
        <v>319</v>
      </c>
      <c r="BS321" t="s">
        <v>318</v>
      </c>
      <c r="BT321" t="s">
        <v>319</v>
      </c>
      <c r="BU321" t="b">
        <f t="shared" si="246"/>
        <v>1</v>
      </c>
      <c r="BZ321" t="str">
        <f t="shared" si="234"/>
        <v>G3</v>
      </c>
      <c r="CA321" t="b">
        <f t="shared" si="235"/>
        <v>1</v>
      </c>
      <c r="CB321" t="str">
        <f t="shared" si="247"/>
        <v/>
      </c>
      <c r="CC321" t="str">
        <f t="shared" si="236"/>
        <v>R47</v>
      </c>
      <c r="CD321" t="b">
        <f t="shared" si="248"/>
        <v>1</v>
      </c>
      <c r="CE321" t="str">
        <f t="shared" si="249"/>
        <v/>
      </c>
      <c r="CG321" t="str">
        <f t="shared" si="237"/>
        <v>G775</v>
      </c>
      <c r="CH321" t="str">
        <f t="shared" si="250"/>
        <v>G775</v>
      </c>
      <c r="CI321" t="str">
        <f>AE320</f>
        <v>G847</v>
      </c>
      <c r="CJ321" t="str">
        <f t="shared" si="238"/>
        <v>G847</v>
      </c>
      <c r="CK321" t="s">
        <v>1275</v>
      </c>
      <c r="CL321" t="s">
        <v>1275</v>
      </c>
      <c r="CM321" t="s">
        <v>1275</v>
      </c>
      <c r="CN321" t="b">
        <f t="shared" si="251"/>
        <v>1</v>
      </c>
      <c r="CO321" t="str">
        <f t="shared" si="239"/>
        <v>R531</v>
      </c>
      <c r="CP321" t="str">
        <f t="shared" si="252"/>
        <v>R531</v>
      </c>
      <c r="CQ321" t="str">
        <f>AF320</f>
        <v>R576</v>
      </c>
      <c r="CR321" t="str">
        <f t="shared" si="240"/>
        <v>R576</v>
      </c>
      <c r="CS321" t="s">
        <v>610</v>
      </c>
      <c r="CT321" t="s">
        <v>611</v>
      </c>
      <c r="CU321" t="s">
        <v>610</v>
      </c>
      <c r="CV321" t="b">
        <f t="shared" si="253"/>
        <v>1</v>
      </c>
      <c r="DC321" t="str">
        <f t="shared" si="241"/>
        <v>G847</v>
      </c>
      <c r="DD321" t="b">
        <f t="shared" si="254"/>
        <v>0</v>
      </c>
      <c r="DE321" t="str">
        <f t="shared" si="255"/>
        <v>G847</v>
      </c>
      <c r="DF321" t="str">
        <f t="shared" si="242"/>
        <v>R576</v>
      </c>
      <c r="DG321" t="b">
        <f t="shared" si="256"/>
        <v>0</v>
      </c>
      <c r="DH321" t="str">
        <f t="shared" si="257"/>
        <v>R576</v>
      </c>
    </row>
    <row r="322" spans="2:112" ht="12" customHeight="1">
      <c r="B322" t="str">
        <f>TBIDry!H394</f>
        <v/>
      </c>
      <c r="C322" t="str">
        <f>TBIDry!I394</f>
        <v/>
      </c>
      <c r="D322" t="b">
        <f t="shared" si="209"/>
        <v>1</v>
      </c>
      <c r="E322" t="b">
        <f t="shared" si="210"/>
        <v>1</v>
      </c>
      <c r="G322" t="str">
        <f>TBIWet!H394</f>
        <v>G691</v>
      </c>
      <c r="H322" t="str">
        <f>TBIWet!I394</f>
        <v>R496</v>
      </c>
      <c r="I322" t="b">
        <f t="shared" si="211"/>
        <v>0</v>
      </c>
      <c r="J322" t="b">
        <f t="shared" si="212"/>
        <v>0</v>
      </c>
      <c r="L322" t="str">
        <f>'Both teabags AfterWet'!A320</f>
        <v>G778</v>
      </c>
      <c r="M322" t="str">
        <f>'Both teabags AfterWet'!A740</f>
        <v>R533</v>
      </c>
      <c r="N322" t="b">
        <f t="shared" si="213"/>
        <v>0</v>
      </c>
      <c r="O322" t="b">
        <f t="shared" si="258"/>
        <v>0</v>
      </c>
      <c r="Q322" s="395" t="b">
        <f t="shared" si="214"/>
        <v>0</v>
      </c>
      <c r="R322" s="395" t="b">
        <f t="shared" si="215"/>
        <v>0</v>
      </c>
      <c r="T322" t="str">
        <f>'Both teabags AfterDry'!A320</f>
        <v>G866</v>
      </c>
      <c r="U322" t="str">
        <f>'Both teabags AfterDry'!A655</f>
        <v>R823</v>
      </c>
      <c r="V322" t="b">
        <f t="shared" si="216"/>
        <v>0</v>
      </c>
      <c r="W322" t="b">
        <f t="shared" si="243"/>
        <v>0</v>
      </c>
      <c r="Y322" t="str">
        <f>'Green_rooibos initial weight'!A323</f>
        <v>G319</v>
      </c>
      <c r="Z322" t="str">
        <f>'Green_rooibos initial weight'!A1227</f>
        <v>R319</v>
      </c>
      <c r="AA322" t="b">
        <f t="shared" si="217"/>
        <v>0</v>
      </c>
      <c r="AB322" t="b">
        <f t="shared" si="218"/>
        <v>0</v>
      </c>
      <c r="AE322" t="str">
        <f>'WetLitterbags placem_collection'!O101</f>
        <v>G691</v>
      </c>
      <c r="AF322" t="str">
        <f>'WetLitterbags placem_collection'!Q101</f>
        <v>R496</v>
      </c>
      <c r="AG322" t="b">
        <f t="shared" si="219"/>
        <v>0</v>
      </c>
      <c r="AH322" t="b">
        <f t="shared" si="220"/>
        <v>0</v>
      </c>
      <c r="AJ322" t="b">
        <f t="shared" si="221"/>
        <v>0</v>
      </c>
      <c r="AK322" t="b">
        <f t="shared" si="222"/>
        <v>0</v>
      </c>
      <c r="AM322" t="str">
        <f>IF(ISBLANK('Dry_Litterbag Placem_Collection'!L101),"","G"&amp;""&amp;'Dry_Litterbag Placem_Collection'!L101)</f>
        <v/>
      </c>
      <c r="AN322" t="str">
        <f>IF(ISBLANK('Dry_Litterbag Placem_Collection'!M101),"","R"&amp;""&amp;'Dry_Litterbag Placem_Collection'!M101)</f>
        <v/>
      </c>
      <c r="AO322" t="b">
        <f t="shared" si="223"/>
        <v>1</v>
      </c>
      <c r="AP322" t="b">
        <f t="shared" si="224"/>
        <v>1</v>
      </c>
      <c r="AS322" t="str">
        <f>'Ashed teabags dry'!A320</f>
        <v>G866</v>
      </c>
      <c r="AT322" t="str">
        <f>'Ashed teabags dry'!A655</f>
        <v>R823</v>
      </c>
      <c r="AU322" t="b">
        <f t="shared" si="225"/>
        <v>0</v>
      </c>
      <c r="AV322" t="b">
        <f>COUNTIF($AT$4:$AT$2000, AT322)&gt;1</f>
        <v>0</v>
      </c>
      <c r="AX322" s="395" t="b">
        <f t="shared" si="226"/>
        <v>0</v>
      </c>
      <c r="AY322" s="395" t="b">
        <f t="shared" si="227"/>
        <v>0</v>
      </c>
      <c r="BA322" t="str">
        <f>'Ashed teabags wet'!A320</f>
        <v>G778</v>
      </c>
      <c r="BB322" t="str">
        <f>'Ashed teabags wet'!A740</f>
        <v>R533</v>
      </c>
      <c r="BC322" t="b">
        <f t="shared" si="228"/>
        <v>0</v>
      </c>
      <c r="BD322" t="b">
        <f t="shared" si="208"/>
        <v>0</v>
      </c>
      <c r="BF322" t="str">
        <f t="shared" si="229"/>
        <v>G862</v>
      </c>
      <c r="BG322" t="str">
        <f>T321</f>
        <v>G862</v>
      </c>
      <c r="BH322" t="str">
        <f t="shared" si="230"/>
        <v>G25</v>
      </c>
      <c r="BI322" t="str">
        <f t="shared" si="244"/>
        <v>G25</v>
      </c>
      <c r="BJ322" t="s">
        <v>1188</v>
      </c>
      <c r="BK322" t="s">
        <v>1188</v>
      </c>
      <c r="BL322" t="s">
        <v>1188</v>
      </c>
      <c r="BM322" t="b">
        <f t="shared" si="245"/>
        <v>1</v>
      </c>
      <c r="BN322" t="str">
        <f t="shared" si="231"/>
        <v>R821</v>
      </c>
      <c r="BO322" t="str">
        <f>U321</f>
        <v>R821</v>
      </c>
      <c r="BP322" t="str">
        <f t="shared" si="232"/>
        <v>R707</v>
      </c>
      <c r="BQ322" t="str">
        <f t="shared" si="233"/>
        <v>R707</v>
      </c>
      <c r="BR322" t="s">
        <v>318</v>
      </c>
      <c r="BS322" t="s">
        <v>316</v>
      </c>
      <c r="BT322" t="s">
        <v>318</v>
      </c>
      <c r="BU322" t="b">
        <f t="shared" si="246"/>
        <v>1</v>
      </c>
      <c r="BZ322" t="str">
        <f t="shared" si="234"/>
        <v>G25</v>
      </c>
      <c r="CA322" t="b">
        <f t="shared" si="235"/>
        <v>0</v>
      </c>
      <c r="CB322" t="str">
        <f t="shared" si="247"/>
        <v>G25</v>
      </c>
      <c r="CC322" t="str">
        <f t="shared" si="236"/>
        <v>R707</v>
      </c>
      <c r="CD322" t="b">
        <f t="shared" si="248"/>
        <v>0</v>
      </c>
      <c r="CE322" t="str">
        <f t="shared" si="249"/>
        <v>R707</v>
      </c>
      <c r="CG322" t="str">
        <f t="shared" si="237"/>
        <v>G777</v>
      </c>
      <c r="CH322" t="str">
        <f t="shared" si="250"/>
        <v>G777</v>
      </c>
      <c r="CI322" t="str">
        <f>AE321</f>
        <v>G730</v>
      </c>
      <c r="CJ322" t="str">
        <f t="shared" si="238"/>
        <v>G730</v>
      </c>
      <c r="CK322" t="s">
        <v>1273</v>
      </c>
      <c r="CL322" t="s">
        <v>1273</v>
      </c>
      <c r="CM322" t="s">
        <v>1273</v>
      </c>
      <c r="CN322" t="b">
        <f t="shared" si="251"/>
        <v>1</v>
      </c>
      <c r="CO322" t="str">
        <f t="shared" si="239"/>
        <v>R532</v>
      </c>
      <c r="CP322" t="str">
        <f t="shared" si="252"/>
        <v>R532</v>
      </c>
      <c r="CQ322" t="str">
        <f>AF321</f>
        <v>R561</v>
      </c>
      <c r="CR322" t="str">
        <f t="shared" si="240"/>
        <v>R561</v>
      </c>
      <c r="CS322" t="s">
        <v>609</v>
      </c>
      <c r="CT322" t="s">
        <v>610</v>
      </c>
      <c r="CU322" t="s">
        <v>609</v>
      </c>
      <c r="CV322" t="b">
        <f t="shared" si="253"/>
        <v>1</v>
      </c>
      <c r="DC322" t="str">
        <f t="shared" si="241"/>
        <v>G730</v>
      </c>
      <c r="DD322" t="b">
        <f t="shared" si="254"/>
        <v>0</v>
      </c>
      <c r="DE322" t="str">
        <f t="shared" si="255"/>
        <v>G730</v>
      </c>
      <c r="DF322" t="str">
        <f t="shared" si="242"/>
        <v>R561</v>
      </c>
      <c r="DG322" t="b">
        <f t="shared" si="256"/>
        <v>0</v>
      </c>
      <c r="DH322" t="str">
        <f t="shared" si="257"/>
        <v>R561</v>
      </c>
    </row>
    <row r="323" spans="2:112" ht="12" customHeight="1">
      <c r="B323" t="str">
        <f>TBIDry!H395</f>
        <v>G187</v>
      </c>
      <c r="C323" t="str">
        <f>TBIDry!I395</f>
        <v>R641</v>
      </c>
      <c r="D323" t="b">
        <f t="shared" si="209"/>
        <v>0</v>
      </c>
      <c r="E323" t="b">
        <f t="shared" si="210"/>
        <v>0</v>
      </c>
      <c r="G323" t="str">
        <f>TBIWet!H395</f>
        <v>G828</v>
      </c>
      <c r="H323" t="str">
        <f>TBIWet!I395</f>
        <v>R497</v>
      </c>
      <c r="I323" t="b">
        <f t="shared" si="211"/>
        <v>0</v>
      </c>
      <c r="J323" t="b">
        <f t="shared" si="212"/>
        <v>0</v>
      </c>
      <c r="L323" t="str">
        <f>'Both teabags AfterWet'!A321</f>
        <v>G779</v>
      </c>
      <c r="M323" t="str">
        <f>'Both teabags AfterWet'!A741</f>
        <v>R534</v>
      </c>
      <c r="N323" t="b">
        <f t="shared" si="213"/>
        <v>0</v>
      </c>
      <c r="O323" t="b">
        <f t="shared" si="258"/>
        <v>0</v>
      </c>
      <c r="Q323" s="395" t="b">
        <f t="shared" si="214"/>
        <v>0</v>
      </c>
      <c r="R323" s="395" t="b">
        <f t="shared" si="215"/>
        <v>0</v>
      </c>
      <c r="T323" t="str">
        <f>'Both teabags AfterDry'!A321</f>
        <v>G868</v>
      </c>
      <c r="U323" t="str">
        <f>'Both teabags AfterDry'!A656</f>
        <v>R824</v>
      </c>
      <c r="V323" t="b">
        <f t="shared" si="216"/>
        <v>0</v>
      </c>
      <c r="W323" t="b">
        <f t="shared" si="243"/>
        <v>0</v>
      </c>
      <c r="Y323" t="str">
        <f>'Green_rooibos initial weight'!A324</f>
        <v>G320</v>
      </c>
      <c r="Z323" t="str">
        <f>'Green_rooibos initial weight'!A1228</f>
        <v>R320</v>
      </c>
      <c r="AA323" t="b">
        <f t="shared" si="217"/>
        <v>0</v>
      </c>
      <c r="AB323" t="b">
        <f t="shared" si="218"/>
        <v>0</v>
      </c>
      <c r="AE323" t="str">
        <f>'WetLitterbags placem_collection'!O102</f>
        <v>G828</v>
      </c>
      <c r="AF323" t="str">
        <f>'WetLitterbags placem_collection'!Q102</f>
        <v>R497</v>
      </c>
      <c r="AG323" t="b">
        <f t="shared" si="219"/>
        <v>0</v>
      </c>
      <c r="AH323" t="b">
        <f t="shared" si="220"/>
        <v>0</v>
      </c>
      <c r="AJ323" t="b">
        <f t="shared" si="221"/>
        <v>0</v>
      </c>
      <c r="AK323" t="b">
        <f t="shared" si="222"/>
        <v>0</v>
      </c>
      <c r="AM323" t="str">
        <f>IF(ISBLANK('Dry_Litterbag Placem_Collection'!L102),"","G"&amp;""&amp;'Dry_Litterbag Placem_Collection'!L102)</f>
        <v>G187</v>
      </c>
      <c r="AN323" t="str">
        <f>IF(ISBLANK('Dry_Litterbag Placem_Collection'!M102),"","R"&amp;""&amp;'Dry_Litterbag Placem_Collection'!M102)</f>
        <v>R641</v>
      </c>
      <c r="AO323" t="b">
        <f t="shared" si="223"/>
        <v>0</v>
      </c>
      <c r="AP323" t="b">
        <f t="shared" si="224"/>
        <v>0</v>
      </c>
      <c r="AS323" t="str">
        <f>'Ashed teabags dry'!A321</f>
        <v>G868</v>
      </c>
      <c r="AT323" t="str">
        <f>'Ashed teabags dry'!A656</f>
        <v>R824</v>
      </c>
      <c r="AU323" t="b">
        <f t="shared" si="225"/>
        <v>0</v>
      </c>
      <c r="AV323" t="b">
        <f>COUNTIF($AT$4:$AT$2000, AT323)&gt;1</f>
        <v>0</v>
      </c>
      <c r="AX323" s="395" t="b">
        <f t="shared" si="226"/>
        <v>0</v>
      </c>
      <c r="AY323" s="395" t="b">
        <f t="shared" si="227"/>
        <v>0</v>
      </c>
      <c r="BA323" t="str">
        <f>'Ashed teabags wet'!A321</f>
        <v>G779</v>
      </c>
      <c r="BB323" t="str">
        <f>'Ashed teabags wet'!A741</f>
        <v>R534</v>
      </c>
      <c r="BC323" t="b">
        <f t="shared" si="228"/>
        <v>0</v>
      </c>
      <c r="BD323" t="b">
        <f t="shared" si="208"/>
        <v>0</v>
      </c>
      <c r="BF323" t="str">
        <f t="shared" si="229"/>
        <v>G866</v>
      </c>
      <c r="BG323" t="str">
        <f>T322</f>
        <v>G866</v>
      </c>
      <c r="BH323" t="str">
        <f t="shared" si="230"/>
        <v/>
      </c>
      <c r="BI323" t="str">
        <f t="shared" si="244"/>
        <v/>
      </c>
      <c r="BJ323" t="s">
        <v>1184</v>
      </c>
      <c r="BK323" t="s">
        <v>1184</v>
      </c>
      <c r="BL323" t="s">
        <v>1184</v>
      </c>
      <c r="BM323" t="b">
        <f t="shared" si="245"/>
        <v>1</v>
      </c>
      <c r="BN323" t="str">
        <f t="shared" si="231"/>
        <v>R823</v>
      </c>
      <c r="BO323" t="str">
        <f>U322</f>
        <v>R823</v>
      </c>
      <c r="BP323" t="str">
        <f t="shared" si="232"/>
        <v/>
      </c>
      <c r="BQ323" t="str">
        <f t="shared" si="233"/>
        <v/>
      </c>
      <c r="BR323" t="s">
        <v>316</v>
      </c>
      <c r="BS323" t="s">
        <v>315</v>
      </c>
      <c r="BT323" t="s">
        <v>316</v>
      </c>
      <c r="BU323" t="b">
        <f t="shared" si="246"/>
        <v>1</v>
      </c>
      <c r="BZ323" t="str">
        <f t="shared" si="234"/>
        <v/>
      </c>
      <c r="CA323" t="b">
        <f t="shared" si="235"/>
        <v>0</v>
      </c>
      <c r="CB323" t="str">
        <f t="shared" si="247"/>
        <v/>
      </c>
      <c r="CC323" t="str">
        <f t="shared" si="236"/>
        <v/>
      </c>
      <c r="CD323" t="b">
        <f t="shared" si="248"/>
        <v>0</v>
      </c>
      <c r="CE323" t="str">
        <f t="shared" si="249"/>
        <v/>
      </c>
      <c r="CG323" t="str">
        <f t="shared" si="237"/>
        <v>G778</v>
      </c>
      <c r="CH323" t="str">
        <f t="shared" si="250"/>
        <v>G778</v>
      </c>
      <c r="CI323" t="str">
        <f>AE322</f>
        <v>G691</v>
      </c>
      <c r="CJ323" t="str">
        <f t="shared" si="238"/>
        <v>G691</v>
      </c>
      <c r="CK323" t="s">
        <v>1272</v>
      </c>
      <c r="CL323" t="s">
        <v>1272</v>
      </c>
      <c r="CM323" t="s">
        <v>1272</v>
      </c>
      <c r="CN323" t="b">
        <f t="shared" si="251"/>
        <v>1</v>
      </c>
      <c r="CO323" t="str">
        <f t="shared" si="239"/>
        <v>R533</v>
      </c>
      <c r="CP323" t="str">
        <f t="shared" si="252"/>
        <v>R533</v>
      </c>
      <c r="CQ323" t="str">
        <f>AF322</f>
        <v>R496</v>
      </c>
      <c r="CR323" t="str">
        <f t="shared" si="240"/>
        <v>R496</v>
      </c>
      <c r="CS323" t="s">
        <v>608</v>
      </c>
      <c r="CT323" t="s">
        <v>609</v>
      </c>
      <c r="CU323" t="s">
        <v>608</v>
      </c>
      <c r="CV323" t="b">
        <f t="shared" si="253"/>
        <v>1</v>
      </c>
      <c r="DC323" t="str">
        <f t="shared" si="241"/>
        <v>G691</v>
      </c>
      <c r="DD323" t="b">
        <f t="shared" si="254"/>
        <v>0</v>
      </c>
      <c r="DE323" t="str">
        <f t="shared" si="255"/>
        <v>G691</v>
      </c>
      <c r="DF323" t="str">
        <f t="shared" si="242"/>
        <v>R496</v>
      </c>
      <c r="DG323" t="b">
        <f t="shared" si="256"/>
        <v>0</v>
      </c>
      <c r="DH323" t="str">
        <f t="shared" si="257"/>
        <v>R496</v>
      </c>
    </row>
    <row r="324" spans="2:112" ht="12" customHeight="1">
      <c r="B324" t="str">
        <f>TBIDry!H396</f>
        <v>G398</v>
      </c>
      <c r="C324" t="str">
        <f>TBIDry!I396</f>
        <v>R245</v>
      </c>
      <c r="D324" t="b">
        <f t="shared" si="209"/>
        <v>0</v>
      </c>
      <c r="E324" t="b">
        <f t="shared" si="210"/>
        <v>0</v>
      </c>
      <c r="G324" t="str">
        <f>TBIWet!H396</f>
        <v>G875</v>
      </c>
      <c r="H324" t="str">
        <f>TBIWet!I396</f>
        <v>R10</v>
      </c>
      <c r="I324" t="b">
        <f t="shared" si="211"/>
        <v>0</v>
      </c>
      <c r="J324" t="b">
        <f t="shared" si="212"/>
        <v>0</v>
      </c>
      <c r="L324" t="str">
        <f>'Both teabags AfterWet'!A322</f>
        <v>G781</v>
      </c>
      <c r="M324" t="str">
        <f>'Both teabags AfterWet'!A742</f>
        <v>R535</v>
      </c>
      <c r="N324" t="b">
        <f t="shared" si="213"/>
        <v>0</v>
      </c>
      <c r="O324" t="b">
        <f t="shared" si="258"/>
        <v>0</v>
      </c>
      <c r="Q324" s="395" t="b">
        <f t="shared" si="214"/>
        <v>0</v>
      </c>
      <c r="R324" s="395" t="b">
        <f t="shared" si="215"/>
        <v>0</v>
      </c>
      <c r="T324" t="str">
        <f>'Both teabags AfterDry'!A322</f>
        <v>G870</v>
      </c>
      <c r="U324" t="str">
        <f>'Both teabags AfterDry'!A657</f>
        <v>R825</v>
      </c>
      <c r="V324" t="b">
        <f t="shared" si="216"/>
        <v>0</v>
      </c>
      <c r="W324" t="b">
        <f t="shared" si="243"/>
        <v>0</v>
      </c>
      <c r="Y324" t="str">
        <f>'Green_rooibos initial weight'!A325</f>
        <v>G321</v>
      </c>
      <c r="Z324" t="str">
        <f>'Green_rooibos initial weight'!A1229</f>
        <v>R321</v>
      </c>
      <c r="AA324" t="b">
        <f t="shared" si="217"/>
        <v>0</v>
      </c>
      <c r="AB324" t="b">
        <f t="shared" si="218"/>
        <v>0</v>
      </c>
      <c r="AE324" t="str">
        <f>'WetLitterbags placem_collection'!O103</f>
        <v>G875</v>
      </c>
      <c r="AF324" t="str">
        <f>'WetLitterbags placem_collection'!Q103</f>
        <v>R10</v>
      </c>
      <c r="AG324" t="b">
        <f t="shared" si="219"/>
        <v>0</v>
      </c>
      <c r="AH324" t="b">
        <f t="shared" si="220"/>
        <v>0</v>
      </c>
      <c r="AJ324" t="b">
        <f t="shared" si="221"/>
        <v>0</v>
      </c>
      <c r="AK324" t="b">
        <f t="shared" si="222"/>
        <v>0</v>
      </c>
      <c r="AM324" t="str">
        <f>IF(ISBLANK('Dry_Litterbag Placem_Collection'!L103),"","G"&amp;""&amp;'Dry_Litterbag Placem_Collection'!L103)</f>
        <v>G398</v>
      </c>
      <c r="AN324" t="str">
        <f>IF(ISBLANK('Dry_Litterbag Placem_Collection'!M103),"","R"&amp;""&amp;'Dry_Litterbag Placem_Collection'!M103)</f>
        <v>R245</v>
      </c>
      <c r="AO324" t="b">
        <f t="shared" si="223"/>
        <v>0</v>
      </c>
      <c r="AP324" t="b">
        <f t="shared" si="224"/>
        <v>0</v>
      </c>
      <c r="AS324" t="str">
        <f>'Ashed teabags dry'!A322</f>
        <v>G870</v>
      </c>
      <c r="AT324" t="str">
        <f>'Ashed teabags dry'!A657</f>
        <v>R825</v>
      </c>
      <c r="AU324" t="b">
        <f t="shared" si="225"/>
        <v>0</v>
      </c>
      <c r="AV324" t="b">
        <f>COUNTIF($AT$4:$AT$2000, AT324)&gt;1</f>
        <v>0</v>
      </c>
      <c r="AX324" s="395" t="b">
        <f t="shared" si="226"/>
        <v>0</v>
      </c>
      <c r="AY324" s="395" t="b">
        <f t="shared" si="227"/>
        <v>0</v>
      </c>
      <c r="BA324" t="str">
        <f>'Ashed teabags wet'!A322</f>
        <v>G781</v>
      </c>
      <c r="BB324" t="str">
        <f>'Ashed teabags wet'!A742</f>
        <v>R535</v>
      </c>
      <c r="BC324" t="b">
        <f t="shared" si="228"/>
        <v>0</v>
      </c>
      <c r="BD324" t="b">
        <f t="shared" ref="BD324:BD387" si="259">COUNTIF($BB$4:$BB$2000, BB324)&gt;1</f>
        <v>0</v>
      </c>
      <c r="BF324" t="str">
        <f t="shared" si="229"/>
        <v>G868</v>
      </c>
      <c r="BG324" t="str">
        <f>T323</f>
        <v>G868</v>
      </c>
      <c r="BH324" t="str">
        <f t="shared" si="230"/>
        <v>G187</v>
      </c>
      <c r="BI324" t="str">
        <f t="shared" si="244"/>
        <v>G187</v>
      </c>
      <c r="BJ324" t="s">
        <v>1182</v>
      </c>
      <c r="BK324" t="s">
        <v>1182</v>
      </c>
      <c r="BL324" t="s">
        <v>1182</v>
      </c>
      <c r="BM324" t="b">
        <f t="shared" si="245"/>
        <v>1</v>
      </c>
      <c r="BN324" t="str">
        <f t="shared" si="231"/>
        <v>R824</v>
      </c>
      <c r="BO324" t="str">
        <f>U323</f>
        <v>R824</v>
      </c>
      <c r="BP324" t="str">
        <f t="shared" si="232"/>
        <v>R641</v>
      </c>
      <c r="BQ324" t="str">
        <f t="shared" si="233"/>
        <v>R641</v>
      </c>
      <c r="BR324" t="s">
        <v>315</v>
      </c>
      <c r="BS324" t="s">
        <v>314</v>
      </c>
      <c r="BT324" t="s">
        <v>315</v>
      </c>
      <c r="BU324" t="b">
        <f t="shared" si="246"/>
        <v>1</v>
      </c>
      <c r="BZ324" t="str">
        <f t="shared" si="234"/>
        <v>G187</v>
      </c>
      <c r="CA324" t="b">
        <f t="shared" si="235"/>
        <v>0</v>
      </c>
      <c r="CB324" t="str">
        <f t="shared" si="247"/>
        <v>G187</v>
      </c>
      <c r="CC324" t="str">
        <f t="shared" si="236"/>
        <v>R641</v>
      </c>
      <c r="CD324" t="b">
        <f t="shared" si="248"/>
        <v>0</v>
      </c>
      <c r="CE324" t="str">
        <f t="shared" si="249"/>
        <v>R641</v>
      </c>
      <c r="CG324" t="str">
        <f t="shared" si="237"/>
        <v>G779</v>
      </c>
      <c r="CH324" t="str">
        <f t="shared" si="250"/>
        <v>G779</v>
      </c>
      <c r="CI324" t="str">
        <f>AE323</f>
        <v>G828</v>
      </c>
      <c r="CJ324" t="str">
        <f t="shared" si="238"/>
        <v>G828</v>
      </c>
      <c r="CK324" t="s">
        <v>1271</v>
      </c>
      <c r="CL324" t="s">
        <v>1271</v>
      </c>
      <c r="CM324" t="s">
        <v>1271</v>
      </c>
      <c r="CN324" t="b">
        <f t="shared" si="251"/>
        <v>1</v>
      </c>
      <c r="CO324" t="str">
        <f t="shared" si="239"/>
        <v>R534</v>
      </c>
      <c r="CP324" t="str">
        <f t="shared" si="252"/>
        <v>R534</v>
      </c>
      <c r="CQ324" t="str">
        <f>AF323</f>
        <v>R497</v>
      </c>
      <c r="CR324" t="str">
        <f t="shared" si="240"/>
        <v>R497</v>
      </c>
      <c r="CS324" t="s">
        <v>607</v>
      </c>
      <c r="CT324" t="s">
        <v>608</v>
      </c>
      <c r="CU324" t="s">
        <v>607</v>
      </c>
      <c r="CV324" t="b">
        <f t="shared" si="253"/>
        <v>1</v>
      </c>
      <c r="DC324" t="str">
        <f t="shared" si="241"/>
        <v>G828</v>
      </c>
      <c r="DD324" t="b">
        <f t="shared" si="254"/>
        <v>0</v>
      </c>
      <c r="DE324" t="str">
        <f t="shared" si="255"/>
        <v>G828</v>
      </c>
      <c r="DF324" t="str">
        <f t="shared" si="242"/>
        <v>R497</v>
      </c>
      <c r="DG324" t="b">
        <f t="shared" si="256"/>
        <v>0</v>
      </c>
      <c r="DH324" t="str">
        <f t="shared" si="257"/>
        <v>R497</v>
      </c>
    </row>
    <row r="325" spans="2:112" ht="12" customHeight="1">
      <c r="B325" t="str">
        <f>TBIDry!H397</f>
        <v>G120</v>
      </c>
      <c r="C325" t="str">
        <f>TBIDry!I397</f>
        <v>R714</v>
      </c>
      <c r="D325" s="113" t="b">
        <f t="shared" ref="D325:D388" si="260">COUNTIF($B$4:$B$2000, B325)&gt;1</f>
        <v>0</v>
      </c>
      <c r="E325" t="b">
        <f t="shared" ref="E325:E388" si="261">COUNTIF($C$4:$C$2000, C325)&gt;1</f>
        <v>0</v>
      </c>
      <c r="G325" t="str">
        <f>TBIWet!H397</f>
        <v>G824</v>
      </c>
      <c r="H325" t="str">
        <f>TBIWet!I397</f>
        <v>R26</v>
      </c>
      <c r="I325" t="b">
        <f t="shared" ref="I325:I388" si="262">COUNTIF($G$4:$G$2000, G325)&gt;1</f>
        <v>0</v>
      </c>
      <c r="J325" t="b">
        <f t="shared" ref="J325:J388" si="263">COUNTIF($H$4:$H$2000, H325)&gt;1</f>
        <v>0</v>
      </c>
      <c r="L325" t="str">
        <f>'Both teabags AfterWet'!A323</f>
        <v>G782</v>
      </c>
      <c r="M325" t="str">
        <f>'Both teabags AfterWet'!A743</f>
        <v>R536</v>
      </c>
      <c r="N325" t="b">
        <f t="shared" ref="N325:N388" si="264">COUNTIF($L$4:$L$2000, L325)&gt;1</f>
        <v>0</v>
      </c>
      <c r="O325" t="b">
        <f t="shared" si="258"/>
        <v>0</v>
      </c>
      <c r="Q325" s="395" t="b">
        <f t="shared" ref="Q325:Q388" si="265">COUNTIF($T$4:$T$2000, L325)=1</f>
        <v>0</v>
      </c>
      <c r="R325" s="395" t="b">
        <f t="shared" ref="R325:R388" si="266" xml:space="preserve"> COUNTIF($U$4:$U$2000,M325)=1</f>
        <v>0</v>
      </c>
      <c r="T325" t="str">
        <f>'Both teabags AfterDry'!A323</f>
        <v>G872</v>
      </c>
      <c r="U325" t="str">
        <f>'Both teabags AfterDry'!A658</f>
        <v>R826</v>
      </c>
      <c r="V325" t="b">
        <f t="shared" ref="V325:V346" si="267">COUNTIF($T$4:$T$2000, T325)&gt;1</f>
        <v>0</v>
      </c>
      <c r="W325" t="b">
        <f t="shared" si="243"/>
        <v>0</v>
      </c>
      <c r="Y325" t="str">
        <f>'Green_rooibos initial weight'!A326</f>
        <v>G322</v>
      </c>
      <c r="Z325" t="str">
        <f>'Green_rooibos initial weight'!A1230</f>
        <v>R322</v>
      </c>
      <c r="AA325" t="b">
        <f t="shared" ref="AA325:AA388" si="268">COUNTIF($Y$4:$Y$2000, Y325)&gt;1</f>
        <v>0</v>
      </c>
      <c r="AB325" t="b">
        <f t="shared" ref="AB325:AB388" si="269">COUNTIF($Z$4:$Z$2000, Z325)&gt;1</f>
        <v>0</v>
      </c>
      <c r="AE325" t="str">
        <f>'WetLitterbags placem_collection'!O104</f>
        <v>G824</v>
      </c>
      <c r="AF325" t="str">
        <f>'WetLitterbags placem_collection'!Q104</f>
        <v>R26</v>
      </c>
      <c r="AG325" t="b">
        <f t="shared" ref="AG325:AG388" si="270">COUNTIF($AE$4:$AE$2000, AE325)&gt;1</f>
        <v>0</v>
      </c>
      <c r="AH325" t="b">
        <f t="shared" ref="AH325:AH388" si="271">COUNTIF($AF$4:$AF$2000, AF325)&gt;1</f>
        <v>0</v>
      </c>
      <c r="AJ325" t="b">
        <f t="shared" ref="AJ325:AJ388" si="272">COUNTIF($AM$4:$AM$2000, AE325)=1</f>
        <v>0</v>
      </c>
      <c r="AK325" t="b">
        <f t="shared" ref="AK325:AK388" si="273">COUNTIF($AN$4:$AN$2000, AF325)=1</f>
        <v>0</v>
      </c>
      <c r="AM325" t="str">
        <f>IF(ISBLANK('Dry_Litterbag Placem_Collection'!L104),"","G"&amp;""&amp;'Dry_Litterbag Placem_Collection'!L104)</f>
        <v>G120</v>
      </c>
      <c r="AN325" t="str">
        <f>IF(ISBLANK('Dry_Litterbag Placem_Collection'!M104),"","R"&amp;""&amp;'Dry_Litterbag Placem_Collection'!M104)</f>
        <v>R714</v>
      </c>
      <c r="AO325" t="b">
        <f t="shared" ref="AO325:AO388" si="274">COUNTIF($AM$4:$AM$2000, AM325)&gt;1</f>
        <v>0</v>
      </c>
      <c r="AP325" t="b">
        <f t="shared" ref="AP325:AP388" si="275">COUNTIF($AN$4:$AN$2000, AN325)&gt;1</f>
        <v>0</v>
      </c>
      <c r="AS325" t="str">
        <f>'Ashed teabags dry'!A323</f>
        <v>G872</v>
      </c>
      <c r="AT325" t="str">
        <f>'Ashed teabags dry'!A658</f>
        <v>R826</v>
      </c>
      <c r="AU325" t="b">
        <f t="shared" ref="AU325:AU344" si="276">COUNTIF($AS$4:$AS$2000, AS325)&gt;1</f>
        <v>0</v>
      </c>
      <c r="AV325" t="b">
        <f>COUNTIF($AT$4:$AT$2000, AT325)&gt;1</f>
        <v>0</v>
      </c>
      <c r="AX325" s="395" t="b">
        <f t="shared" ref="AX325:AX388" si="277">COUNTIF($BA$4:$BA$2000, AS325)=1</f>
        <v>0</v>
      </c>
      <c r="AY325" s="395" t="b">
        <f t="shared" ref="AY325:AY388" si="278">COUNTIF($BB$4:$BB$2000, AT325)=1</f>
        <v>0</v>
      </c>
      <c r="BA325" t="str">
        <f>'Ashed teabags wet'!A323</f>
        <v>G782</v>
      </c>
      <c r="BB325" t="str">
        <f>'Ashed teabags wet'!A743</f>
        <v>R536</v>
      </c>
      <c r="BC325" t="b">
        <f t="shared" ref="BC325:BC388" si="279">COUNTIF($BA$4:$BA$2000, BA325)&gt;1</f>
        <v>0</v>
      </c>
      <c r="BD325" t="b">
        <f t="shared" si="259"/>
        <v>0</v>
      </c>
      <c r="BF325" t="str">
        <f t="shared" ref="BF325:BF339" si="280">AS324</f>
        <v>G870</v>
      </c>
      <c r="BG325" t="str">
        <f>T324</f>
        <v>G870</v>
      </c>
      <c r="BH325" t="str">
        <f t="shared" ref="BH325:BH388" si="281">B324</f>
        <v>G398</v>
      </c>
      <c r="BI325" t="str">
        <f t="shared" si="244"/>
        <v>G398</v>
      </c>
      <c r="BJ325" t="s">
        <v>1180</v>
      </c>
      <c r="BK325" t="s">
        <v>1180</v>
      </c>
      <c r="BL325" t="s">
        <v>1180</v>
      </c>
      <c r="BM325" t="b">
        <f t="shared" si="245"/>
        <v>1</v>
      </c>
      <c r="BN325" t="str">
        <f t="shared" ref="BN325:BN345" si="282">AT324</f>
        <v>R825</v>
      </c>
      <c r="BO325" t="str">
        <f>U324</f>
        <v>R825</v>
      </c>
      <c r="BP325" t="str">
        <f t="shared" ref="BP325:BP388" si="283">C324</f>
        <v>R245</v>
      </c>
      <c r="BQ325" t="str">
        <f t="shared" ref="BQ325:BS388" si="284">CE325</f>
        <v>R245</v>
      </c>
      <c r="BR325" t="s">
        <v>314</v>
      </c>
      <c r="BS325" t="s">
        <v>313</v>
      </c>
      <c r="BT325" t="s">
        <v>314</v>
      </c>
      <c r="BU325" t="b">
        <f t="shared" si="246"/>
        <v>1</v>
      </c>
      <c r="BZ325" t="str">
        <f t="shared" ref="BZ325:BZ388" si="285">BH325</f>
        <v>G398</v>
      </c>
      <c r="CA325" t="b">
        <f t="shared" ref="CA325:CA388" si="286">COUNTIF($BV$5:$BV$2000, BZ325)=1</f>
        <v>0</v>
      </c>
      <c r="CB325" t="str">
        <f t="shared" si="247"/>
        <v>G398</v>
      </c>
      <c r="CC325" t="str">
        <f t="shared" ref="CC325:CC388" si="287">BP325</f>
        <v>R245</v>
      </c>
      <c r="CD325" t="b">
        <f t="shared" si="248"/>
        <v>0</v>
      </c>
      <c r="CE325" t="str">
        <f t="shared" si="249"/>
        <v>R245</v>
      </c>
      <c r="CG325" t="str">
        <f t="shared" ref="CG325:CG388" si="288">BA324</f>
        <v>G781</v>
      </c>
      <c r="CH325" t="str">
        <f t="shared" si="250"/>
        <v>G781</v>
      </c>
      <c r="CI325" t="str">
        <f>AE324</f>
        <v>G875</v>
      </c>
      <c r="CJ325" t="str">
        <f t="shared" ref="CJ325:CL388" si="289">DE325</f>
        <v>G875</v>
      </c>
      <c r="CK325" t="s">
        <v>1269</v>
      </c>
      <c r="CL325" t="s">
        <v>1269</v>
      </c>
      <c r="CM325" t="s">
        <v>1269</v>
      </c>
      <c r="CN325" t="b">
        <f t="shared" si="251"/>
        <v>1</v>
      </c>
      <c r="CO325" t="str">
        <f t="shared" ref="CO325:CO388" si="290">BB324</f>
        <v>R535</v>
      </c>
      <c r="CP325" t="str">
        <f t="shared" si="252"/>
        <v>R535</v>
      </c>
      <c r="CQ325" t="str">
        <f>AF324</f>
        <v>R10</v>
      </c>
      <c r="CR325" t="str">
        <f t="shared" ref="CR325:CT388" si="291">DH325</f>
        <v>R10</v>
      </c>
      <c r="CS325" t="s">
        <v>606</v>
      </c>
      <c r="CT325" t="s">
        <v>607</v>
      </c>
      <c r="CU325" t="s">
        <v>606</v>
      </c>
      <c r="CV325" t="b">
        <f t="shared" si="253"/>
        <v>1</v>
      </c>
      <c r="DC325" t="str">
        <f t="shared" ref="DC325:DC388" si="292">CI325</f>
        <v>G875</v>
      </c>
      <c r="DD325" t="b">
        <f t="shared" si="254"/>
        <v>0</v>
      </c>
      <c r="DE325" t="str">
        <f t="shared" si="255"/>
        <v>G875</v>
      </c>
      <c r="DF325" t="str">
        <f t="shared" ref="DF325:DF388" si="293">CQ325</f>
        <v>R10</v>
      </c>
      <c r="DG325" t="b">
        <f t="shared" si="256"/>
        <v>0</v>
      </c>
      <c r="DH325" t="str">
        <f t="shared" si="257"/>
        <v>R10</v>
      </c>
    </row>
    <row r="326" spans="2:112" ht="12" customHeight="1">
      <c r="B326" t="str">
        <f>TBIDry!H398</f>
        <v>G145</v>
      </c>
      <c r="C326" t="str">
        <f>TBIDry!I398</f>
        <v>R701</v>
      </c>
      <c r="D326" t="b">
        <f t="shared" si="260"/>
        <v>0</v>
      </c>
      <c r="E326" t="b">
        <f t="shared" si="261"/>
        <v>0</v>
      </c>
      <c r="G326" t="str">
        <f>TBIWet!H398</f>
        <v>G692</v>
      </c>
      <c r="H326" t="str">
        <f>TBIWet!I398</f>
        <v>R494</v>
      </c>
      <c r="I326" t="b">
        <f t="shared" si="262"/>
        <v>0</v>
      </c>
      <c r="J326" t="b">
        <f t="shared" si="263"/>
        <v>0</v>
      </c>
      <c r="L326" t="str">
        <f>'Both teabags AfterWet'!A324</f>
        <v>G783</v>
      </c>
      <c r="M326" t="str">
        <f>'Both teabags AfterWet'!A744</f>
        <v>R537</v>
      </c>
      <c r="N326" t="b">
        <f t="shared" si="264"/>
        <v>0</v>
      </c>
      <c r="O326" t="b">
        <f t="shared" si="258"/>
        <v>0</v>
      </c>
      <c r="Q326" s="395" t="b">
        <f t="shared" si="265"/>
        <v>0</v>
      </c>
      <c r="R326" s="395" t="b">
        <f t="shared" si="266"/>
        <v>0</v>
      </c>
      <c r="T326" t="str">
        <f>'Both teabags AfterDry'!A324</f>
        <v>G873</v>
      </c>
      <c r="U326" t="str">
        <f>'Both teabags AfterDry'!A659</f>
        <v>R828</v>
      </c>
      <c r="V326" t="b">
        <f t="shared" si="267"/>
        <v>0</v>
      </c>
      <c r="W326" t="b">
        <f t="shared" ref="W326:W346" si="294">COUNTIF($U$4:$U$2000, U326)&gt;1</f>
        <v>0</v>
      </c>
      <c r="Y326" t="str">
        <f>'Green_rooibos initial weight'!A327</f>
        <v>G323</v>
      </c>
      <c r="Z326" t="str">
        <f>'Green_rooibos initial weight'!A1231</f>
        <v>R323</v>
      </c>
      <c r="AA326" t="b">
        <f t="shared" si="268"/>
        <v>0</v>
      </c>
      <c r="AB326" t="b">
        <f t="shared" si="269"/>
        <v>0</v>
      </c>
      <c r="AE326" t="str">
        <f>'WetLitterbags placem_collection'!O105</f>
        <v>G692</v>
      </c>
      <c r="AF326" t="str">
        <f>'WetLitterbags placem_collection'!Q105</f>
        <v>R494</v>
      </c>
      <c r="AG326" t="b">
        <f t="shared" si="270"/>
        <v>0</v>
      </c>
      <c r="AH326" t="b">
        <f t="shared" si="271"/>
        <v>0</v>
      </c>
      <c r="AJ326" t="b">
        <f t="shared" si="272"/>
        <v>0</v>
      </c>
      <c r="AK326" t="b">
        <f t="shared" si="273"/>
        <v>0</v>
      </c>
      <c r="AM326" t="str">
        <f>IF(ISBLANK('Dry_Litterbag Placem_Collection'!L105),"","G"&amp;""&amp;'Dry_Litterbag Placem_Collection'!L105)</f>
        <v>G145</v>
      </c>
      <c r="AN326" t="str">
        <f>IF(ISBLANK('Dry_Litterbag Placem_Collection'!M105),"","R"&amp;""&amp;'Dry_Litterbag Placem_Collection'!M105)</f>
        <v>R701</v>
      </c>
      <c r="AO326" t="b">
        <f t="shared" si="274"/>
        <v>0</v>
      </c>
      <c r="AP326" t="b">
        <f t="shared" si="275"/>
        <v>0</v>
      </c>
      <c r="AS326" t="str">
        <f>'Ashed teabags dry'!A324</f>
        <v>G873</v>
      </c>
      <c r="AT326" t="str">
        <f>'Ashed teabags dry'!A659</f>
        <v>R828</v>
      </c>
      <c r="AU326" t="b">
        <f t="shared" si="276"/>
        <v>0</v>
      </c>
      <c r="AV326" t="b">
        <f>COUNTIF($AT$4:$AT$2000, AT326)&gt;1</f>
        <v>0</v>
      </c>
      <c r="AX326" s="395" t="b">
        <f t="shared" si="277"/>
        <v>0</v>
      </c>
      <c r="AY326" s="395" t="b">
        <f t="shared" si="278"/>
        <v>0</v>
      </c>
      <c r="BA326" t="str">
        <f>'Ashed teabags wet'!A324</f>
        <v>G783</v>
      </c>
      <c r="BB326" t="str">
        <f>'Ashed teabags wet'!A744</f>
        <v>R537</v>
      </c>
      <c r="BC326" t="b">
        <f t="shared" si="279"/>
        <v>0</v>
      </c>
      <c r="BD326" t="b">
        <f t="shared" si="259"/>
        <v>0</v>
      </c>
      <c r="BF326" t="str">
        <f t="shared" si="280"/>
        <v>G872</v>
      </c>
      <c r="BG326" t="str">
        <f>T325</f>
        <v>G872</v>
      </c>
      <c r="BH326" t="str">
        <f t="shared" si="281"/>
        <v>G120</v>
      </c>
      <c r="BI326" t="str">
        <f t="shared" ref="BI326:BK389" si="295">CB326</f>
        <v>G120</v>
      </c>
      <c r="BJ326" t="s">
        <v>1178</v>
      </c>
      <c r="BK326" t="s">
        <v>1178</v>
      </c>
      <c r="BL326" t="s">
        <v>1178</v>
      </c>
      <c r="BM326" t="b">
        <f t="shared" ref="BM326:BM389" si="296" xml:space="preserve"> COUNTIF($BJ$5:$BL$2000,BK326)=3</f>
        <v>1</v>
      </c>
      <c r="BN326" t="str">
        <f t="shared" si="282"/>
        <v>R826</v>
      </c>
      <c r="BO326" t="str">
        <f>U325</f>
        <v>R826</v>
      </c>
      <c r="BP326" t="str">
        <f t="shared" si="283"/>
        <v>R714</v>
      </c>
      <c r="BQ326" t="str">
        <f t="shared" si="284"/>
        <v>R714</v>
      </c>
      <c r="BR326" t="s">
        <v>313</v>
      </c>
      <c r="BS326" t="s">
        <v>311</v>
      </c>
      <c r="BT326" t="s">
        <v>313</v>
      </c>
      <c r="BU326" t="b">
        <f t="shared" ref="BU326:BU389" si="297" xml:space="preserve"> COUNTIF($BR$5:$BT$2000,BS326)=3</f>
        <v>1</v>
      </c>
      <c r="BZ326" t="str">
        <f t="shared" si="285"/>
        <v>G120</v>
      </c>
      <c r="CA326" t="b">
        <f t="shared" si="286"/>
        <v>0</v>
      </c>
      <c r="CB326" t="str">
        <f t="shared" ref="CB326:CB389" si="298">IF(ISNUMBER(SEARCH("USANN",CA326)),BZ326,"")</f>
        <v>G120</v>
      </c>
      <c r="CC326" t="str">
        <f t="shared" si="287"/>
        <v>R714</v>
      </c>
      <c r="CD326" t="b">
        <f t="shared" ref="CD326:CD389" si="299">COUNTIF($BW$5:$BW$2000, CC326)=1</f>
        <v>0</v>
      </c>
      <c r="CE326" t="str">
        <f t="shared" ref="CE326:CE389" si="300">IF(ISNUMBER(SEARCH("USANN",CD326)),CC326,"")</f>
        <v>R714</v>
      </c>
      <c r="CG326" t="str">
        <f t="shared" si="288"/>
        <v>G782</v>
      </c>
      <c r="CH326" t="str">
        <f t="shared" ref="CH326:CH389" si="301">L325</f>
        <v>G782</v>
      </c>
      <c r="CI326" t="str">
        <f>AE325</f>
        <v>G824</v>
      </c>
      <c r="CJ326" t="str">
        <f t="shared" si="289"/>
        <v>G824</v>
      </c>
      <c r="CK326" t="s">
        <v>1268</v>
      </c>
      <c r="CL326" t="s">
        <v>1268</v>
      </c>
      <c r="CM326" t="s">
        <v>1268</v>
      </c>
      <c r="CN326" t="b">
        <f t="shared" ref="CN326:CN389" si="302" xml:space="preserve"> COUNTIF($CK$5:$CM$2000,CL326)=3</f>
        <v>1</v>
      </c>
      <c r="CO326" t="str">
        <f t="shared" si="290"/>
        <v>R536</v>
      </c>
      <c r="CP326" t="str">
        <f t="shared" ref="CP326:CP389" si="303">M325</f>
        <v>R536</v>
      </c>
      <c r="CQ326" t="str">
        <f>AF325</f>
        <v>R26</v>
      </c>
      <c r="CR326" t="str">
        <f t="shared" si="291"/>
        <v>R26</v>
      </c>
      <c r="CS326" t="s">
        <v>605</v>
      </c>
      <c r="CT326" t="s">
        <v>606</v>
      </c>
      <c r="CU326" t="s">
        <v>605</v>
      </c>
      <c r="CV326" t="b">
        <f t="shared" ref="CV326:CV389" si="304" xml:space="preserve"> COUNTIF($CS$5:$CU$2000,CT326)=3</f>
        <v>1</v>
      </c>
      <c r="DC326" t="str">
        <f t="shared" si="292"/>
        <v>G824</v>
      </c>
      <c r="DD326" t="b">
        <f t="shared" ref="DD326:DD389" si="305">COUNTIF($CW$5:$CW$2000, DC326)=1</f>
        <v>0</v>
      </c>
      <c r="DE326" t="str">
        <f t="shared" ref="DE326:DE389" si="306">IF(ISNUMBER(SEARCH("USANN",DD326)),DC326,"")</f>
        <v>G824</v>
      </c>
      <c r="DF326" t="str">
        <f t="shared" si="293"/>
        <v>R26</v>
      </c>
      <c r="DG326" t="b">
        <f t="shared" ref="DG326:DG389" si="307">COUNTIF($CY$5:$CY$2000, DF326)=1</f>
        <v>0</v>
      </c>
      <c r="DH326" t="str">
        <f t="shared" ref="DH326:DH389" si="308">IF(ISNUMBER(SEARCH("USANN",DG326)),DF326,"")</f>
        <v>R26</v>
      </c>
    </row>
    <row r="327" spans="2:112" ht="12" customHeight="1">
      <c r="B327" t="str">
        <f>TBIDry!H399</f>
        <v>G76</v>
      </c>
      <c r="C327" t="str">
        <f>TBIDry!I399</f>
        <v>R365</v>
      </c>
      <c r="D327" t="b">
        <f t="shared" si="260"/>
        <v>0</v>
      </c>
      <c r="E327" t="b">
        <f t="shared" si="261"/>
        <v>0</v>
      </c>
      <c r="G327" t="str">
        <f>TBIWet!H399</f>
        <v>G806</v>
      </c>
      <c r="H327" t="str">
        <f>TBIWet!I399</f>
        <v>R475</v>
      </c>
      <c r="I327" t="b">
        <f t="shared" si="262"/>
        <v>0</v>
      </c>
      <c r="J327" t="b">
        <f t="shared" si="263"/>
        <v>0</v>
      </c>
      <c r="L327" t="str">
        <f>'Both teabags AfterWet'!A325</f>
        <v>G784</v>
      </c>
      <c r="M327" t="str">
        <f>'Both teabags AfterWet'!A745</f>
        <v>R538</v>
      </c>
      <c r="N327" t="b">
        <f t="shared" si="264"/>
        <v>0</v>
      </c>
      <c r="O327" t="b">
        <f t="shared" ref="O327:O390" si="309">COUNTIF($M$4:$M$2000, M327)&gt;1</f>
        <v>0</v>
      </c>
      <c r="Q327" s="395" t="b">
        <f t="shared" si="265"/>
        <v>0</v>
      </c>
      <c r="R327" s="395" t="b">
        <f t="shared" si="266"/>
        <v>0</v>
      </c>
      <c r="T327" t="str">
        <f>'Both teabags AfterDry'!A325</f>
        <v>G874</v>
      </c>
      <c r="U327" t="str">
        <f>'Both teabags AfterDry'!A660</f>
        <v>R829</v>
      </c>
      <c r="V327" t="b">
        <f t="shared" si="267"/>
        <v>0</v>
      </c>
      <c r="W327" t="b">
        <f t="shared" si="294"/>
        <v>0</v>
      </c>
      <c r="Y327" t="str">
        <f>'Green_rooibos initial weight'!A328</f>
        <v>G324</v>
      </c>
      <c r="Z327" t="str">
        <f>'Green_rooibos initial weight'!A1232</f>
        <v>R324</v>
      </c>
      <c r="AA327" t="b">
        <f t="shared" si="268"/>
        <v>0</v>
      </c>
      <c r="AB327" t="b">
        <f t="shared" si="269"/>
        <v>0</v>
      </c>
      <c r="AE327" t="str">
        <f>'WetLitterbags placem_collection'!O106</f>
        <v>G806</v>
      </c>
      <c r="AF327" t="str">
        <f>'WetLitterbags placem_collection'!Q106</f>
        <v>R475</v>
      </c>
      <c r="AG327" t="b">
        <f t="shared" si="270"/>
        <v>0</v>
      </c>
      <c r="AH327" t="b">
        <f t="shared" si="271"/>
        <v>0</v>
      </c>
      <c r="AJ327" t="b">
        <f t="shared" si="272"/>
        <v>0</v>
      </c>
      <c r="AK327" t="b">
        <f t="shared" si="273"/>
        <v>0</v>
      </c>
      <c r="AM327" t="str">
        <f>IF(ISBLANK('Dry_Litterbag Placem_Collection'!L106),"","G"&amp;""&amp;'Dry_Litterbag Placem_Collection'!L106)</f>
        <v>G76</v>
      </c>
      <c r="AN327" t="str">
        <f>IF(ISBLANK('Dry_Litterbag Placem_Collection'!M106),"","R"&amp;""&amp;'Dry_Litterbag Placem_Collection'!M106)</f>
        <v>R365</v>
      </c>
      <c r="AO327" t="b">
        <f t="shared" si="274"/>
        <v>0</v>
      </c>
      <c r="AP327" t="b">
        <f t="shared" si="275"/>
        <v>0</v>
      </c>
      <c r="AS327" t="str">
        <f>'Ashed teabags dry'!A325</f>
        <v>G874</v>
      </c>
      <c r="AT327" t="str">
        <f>'Ashed teabags dry'!A660</f>
        <v>R829</v>
      </c>
      <c r="AU327" t="b">
        <f t="shared" si="276"/>
        <v>0</v>
      </c>
      <c r="AV327" t="b">
        <f>COUNTIF($AT$4:$AT$2000, AT327)&gt;1</f>
        <v>0</v>
      </c>
      <c r="AX327" s="395" t="b">
        <f t="shared" si="277"/>
        <v>0</v>
      </c>
      <c r="AY327" s="395" t="b">
        <f t="shared" si="278"/>
        <v>0</v>
      </c>
      <c r="BA327" t="str">
        <f>'Ashed teabags wet'!A325</f>
        <v>G784</v>
      </c>
      <c r="BB327" t="str">
        <f>'Ashed teabags wet'!A745</f>
        <v>R538</v>
      </c>
      <c r="BC327" t="b">
        <f t="shared" si="279"/>
        <v>0</v>
      </c>
      <c r="BD327" t="b">
        <f t="shared" si="259"/>
        <v>0</v>
      </c>
      <c r="BF327" t="str">
        <f t="shared" si="280"/>
        <v>G873</v>
      </c>
      <c r="BG327" t="str">
        <f>T326</f>
        <v>G873</v>
      </c>
      <c r="BH327" t="str">
        <f t="shared" si="281"/>
        <v>G145</v>
      </c>
      <c r="BI327" t="str">
        <f t="shared" si="295"/>
        <v>G145</v>
      </c>
      <c r="BJ327" t="s">
        <v>1177</v>
      </c>
      <c r="BK327" t="s">
        <v>1177</v>
      </c>
      <c r="BL327" t="s">
        <v>1177</v>
      </c>
      <c r="BM327" t="b">
        <f t="shared" si="296"/>
        <v>1</v>
      </c>
      <c r="BN327" t="str">
        <f t="shared" si="282"/>
        <v>R828</v>
      </c>
      <c r="BO327" t="str">
        <f>U326</f>
        <v>R828</v>
      </c>
      <c r="BP327" t="str">
        <f t="shared" si="283"/>
        <v>R701</v>
      </c>
      <c r="BQ327" t="str">
        <f t="shared" si="284"/>
        <v>R701</v>
      </c>
      <c r="BR327" t="s">
        <v>311</v>
      </c>
      <c r="BS327" t="s">
        <v>310</v>
      </c>
      <c r="BT327" t="s">
        <v>311</v>
      </c>
      <c r="BU327" t="b">
        <f t="shared" si="297"/>
        <v>1</v>
      </c>
      <c r="BZ327" t="str">
        <f t="shared" si="285"/>
        <v>G145</v>
      </c>
      <c r="CA327" t="b">
        <f t="shared" si="286"/>
        <v>0</v>
      </c>
      <c r="CB327" t="str">
        <f t="shared" si="298"/>
        <v>G145</v>
      </c>
      <c r="CC327" t="str">
        <f t="shared" si="287"/>
        <v>R701</v>
      </c>
      <c r="CD327" t="b">
        <f t="shared" si="299"/>
        <v>0</v>
      </c>
      <c r="CE327" t="str">
        <f t="shared" si="300"/>
        <v>R701</v>
      </c>
      <c r="CG327" t="str">
        <f t="shared" si="288"/>
        <v>G783</v>
      </c>
      <c r="CH327" t="str">
        <f t="shared" si="301"/>
        <v>G783</v>
      </c>
      <c r="CI327" t="str">
        <f>AE326</f>
        <v>G692</v>
      </c>
      <c r="CJ327" t="str">
        <f t="shared" si="289"/>
        <v>G692</v>
      </c>
      <c r="CK327" t="s">
        <v>1267</v>
      </c>
      <c r="CL327" t="s">
        <v>1267</v>
      </c>
      <c r="CM327" t="s">
        <v>1267</v>
      </c>
      <c r="CN327" t="b">
        <f t="shared" si="302"/>
        <v>1</v>
      </c>
      <c r="CO327" t="str">
        <f t="shared" si="290"/>
        <v>R537</v>
      </c>
      <c r="CP327" t="str">
        <f t="shared" si="303"/>
        <v>R537</v>
      </c>
      <c r="CQ327" t="str">
        <f>AF326</f>
        <v>R494</v>
      </c>
      <c r="CR327" t="str">
        <f t="shared" si="291"/>
        <v>R494</v>
      </c>
      <c r="CS327" t="s">
        <v>604</v>
      </c>
      <c r="CT327" t="s">
        <v>605</v>
      </c>
      <c r="CU327" t="s">
        <v>604</v>
      </c>
      <c r="CV327" t="b">
        <f t="shared" si="304"/>
        <v>1</v>
      </c>
      <c r="DC327" t="str">
        <f t="shared" si="292"/>
        <v>G692</v>
      </c>
      <c r="DD327" t="b">
        <f t="shared" si="305"/>
        <v>0</v>
      </c>
      <c r="DE327" t="str">
        <f t="shared" si="306"/>
        <v>G692</v>
      </c>
      <c r="DF327" t="str">
        <f t="shared" si="293"/>
        <v>R494</v>
      </c>
      <c r="DG327" t="b">
        <f t="shared" si="307"/>
        <v>0</v>
      </c>
      <c r="DH327" t="str">
        <f t="shared" si="308"/>
        <v>R494</v>
      </c>
    </row>
    <row r="328" spans="2:112" ht="12" customHeight="1">
      <c r="B328" t="str">
        <f>TBIDry!H400</f>
        <v>G57</v>
      </c>
      <c r="C328" t="str">
        <f>TBIDry!I400</f>
        <v>R212</v>
      </c>
      <c r="D328" t="b">
        <f t="shared" si="260"/>
        <v>0</v>
      </c>
      <c r="E328" t="b">
        <f t="shared" si="261"/>
        <v>0</v>
      </c>
      <c r="G328" t="str">
        <f>TBIWet!H400</f>
        <v>G861</v>
      </c>
      <c r="H328" t="str">
        <f>TBIWet!I400</f>
        <v>R540</v>
      </c>
      <c r="I328" t="b">
        <f t="shared" si="262"/>
        <v>0</v>
      </c>
      <c r="J328" t="b">
        <f t="shared" si="263"/>
        <v>0</v>
      </c>
      <c r="L328" t="str">
        <f>'Both teabags AfterWet'!A326</f>
        <v>G785</v>
      </c>
      <c r="M328" t="str">
        <f>'Both teabags AfterWet'!A746</f>
        <v>R539</v>
      </c>
      <c r="N328" t="b">
        <f t="shared" si="264"/>
        <v>0</v>
      </c>
      <c r="O328" t="b">
        <f t="shared" si="309"/>
        <v>0</v>
      </c>
      <c r="Q328" s="395" t="b">
        <f t="shared" si="265"/>
        <v>0</v>
      </c>
      <c r="R328" s="395" t="b">
        <f t="shared" si="266"/>
        <v>0</v>
      </c>
      <c r="T328" t="str">
        <f>'Both teabags AfterDry'!A326</f>
        <v>G879</v>
      </c>
      <c r="U328" t="str">
        <f>'Both teabags AfterDry'!A661</f>
        <v>R830</v>
      </c>
      <c r="V328" t="b">
        <f t="shared" si="267"/>
        <v>0</v>
      </c>
      <c r="W328" t="b">
        <f t="shared" si="294"/>
        <v>0</v>
      </c>
      <c r="Y328" t="str">
        <f>'Green_rooibos initial weight'!A329</f>
        <v>G325</v>
      </c>
      <c r="Z328" t="str">
        <f>'Green_rooibos initial weight'!A1233</f>
        <v>R325</v>
      </c>
      <c r="AA328" t="b">
        <f t="shared" si="268"/>
        <v>0</v>
      </c>
      <c r="AB328" t="b">
        <f t="shared" si="269"/>
        <v>0</v>
      </c>
      <c r="AE328" t="str">
        <f>'WetLitterbags placem_collection'!O107</f>
        <v>G861</v>
      </c>
      <c r="AF328" t="str">
        <f>'WetLitterbags placem_collection'!Q107</f>
        <v>R540</v>
      </c>
      <c r="AG328" t="b">
        <f t="shared" si="270"/>
        <v>0</v>
      </c>
      <c r="AH328" t="b">
        <f t="shared" si="271"/>
        <v>0</v>
      </c>
      <c r="AJ328" t="b">
        <f t="shared" si="272"/>
        <v>0</v>
      </c>
      <c r="AK328" t="b">
        <f t="shared" si="273"/>
        <v>0</v>
      </c>
      <c r="AM328" t="str">
        <f>IF(ISBLANK('Dry_Litterbag Placem_Collection'!L107),"","G"&amp;""&amp;'Dry_Litterbag Placem_Collection'!L107)</f>
        <v>G57</v>
      </c>
      <c r="AN328" t="str">
        <f>IF(ISBLANK('Dry_Litterbag Placem_Collection'!M107),"","R"&amp;""&amp;'Dry_Litterbag Placem_Collection'!M107)</f>
        <v>R212</v>
      </c>
      <c r="AO328" t="b">
        <f t="shared" si="274"/>
        <v>0</v>
      </c>
      <c r="AP328" t="b">
        <f t="shared" si="275"/>
        <v>0</v>
      </c>
      <c r="AS328" t="str">
        <f>'Ashed teabags dry'!A326</f>
        <v>G879</v>
      </c>
      <c r="AT328" t="str">
        <f>'Ashed teabags dry'!A661</f>
        <v>R830</v>
      </c>
      <c r="AU328" t="b">
        <f t="shared" si="276"/>
        <v>0</v>
      </c>
      <c r="AV328" t="b">
        <f>COUNTIF($AT$4:$AT$2000, AT328)&gt;1</f>
        <v>0</v>
      </c>
      <c r="AX328" s="395" t="b">
        <f t="shared" si="277"/>
        <v>0</v>
      </c>
      <c r="AY328" s="395" t="b">
        <f t="shared" si="278"/>
        <v>0</v>
      </c>
      <c r="BA328" t="str">
        <f>'Ashed teabags wet'!A326</f>
        <v>G785</v>
      </c>
      <c r="BB328" t="str">
        <f>'Ashed teabags wet'!A746</f>
        <v>R539</v>
      </c>
      <c r="BC328" t="b">
        <f t="shared" si="279"/>
        <v>0</v>
      </c>
      <c r="BD328" t="b">
        <f t="shared" si="259"/>
        <v>0</v>
      </c>
      <c r="BF328" t="str">
        <f t="shared" si="280"/>
        <v>G874</v>
      </c>
      <c r="BG328" t="str">
        <f>T327</f>
        <v>G874</v>
      </c>
      <c r="BH328" t="str">
        <f t="shared" si="281"/>
        <v>G76</v>
      </c>
      <c r="BI328" t="str">
        <f t="shared" si="295"/>
        <v>G76</v>
      </c>
      <c r="BJ328" t="s">
        <v>1176</v>
      </c>
      <c r="BK328" t="s">
        <v>1176</v>
      </c>
      <c r="BL328" t="s">
        <v>1176</v>
      </c>
      <c r="BM328" t="b">
        <f t="shared" si="296"/>
        <v>1</v>
      </c>
      <c r="BN328" t="str">
        <f t="shared" si="282"/>
        <v>R829</v>
      </c>
      <c r="BO328" t="str">
        <f>U327</f>
        <v>R829</v>
      </c>
      <c r="BP328" t="str">
        <f t="shared" si="283"/>
        <v>R365</v>
      </c>
      <c r="BQ328" t="str">
        <f t="shared" si="284"/>
        <v>R365</v>
      </c>
      <c r="BR328" t="s">
        <v>310</v>
      </c>
      <c r="BS328" t="s">
        <v>309</v>
      </c>
      <c r="BT328" t="s">
        <v>310</v>
      </c>
      <c r="BU328" t="b">
        <f t="shared" si="297"/>
        <v>1</v>
      </c>
      <c r="BZ328" t="str">
        <f t="shared" si="285"/>
        <v>G76</v>
      </c>
      <c r="CA328" t="b">
        <f t="shared" si="286"/>
        <v>0</v>
      </c>
      <c r="CB328" t="str">
        <f t="shared" si="298"/>
        <v>G76</v>
      </c>
      <c r="CC328" t="str">
        <f t="shared" si="287"/>
        <v>R365</v>
      </c>
      <c r="CD328" t="b">
        <f t="shared" si="299"/>
        <v>0</v>
      </c>
      <c r="CE328" t="str">
        <f t="shared" si="300"/>
        <v>R365</v>
      </c>
      <c r="CG328" t="str">
        <f t="shared" si="288"/>
        <v>G784</v>
      </c>
      <c r="CH328" t="str">
        <f t="shared" si="301"/>
        <v>G784</v>
      </c>
      <c r="CI328" t="str">
        <f>AE327</f>
        <v>G806</v>
      </c>
      <c r="CJ328" t="str">
        <f t="shared" si="289"/>
        <v>G806</v>
      </c>
      <c r="CK328" t="s">
        <v>1266</v>
      </c>
      <c r="CL328" t="s">
        <v>1266</v>
      </c>
      <c r="CM328" t="s">
        <v>1266</v>
      </c>
      <c r="CN328" t="b">
        <f t="shared" si="302"/>
        <v>1</v>
      </c>
      <c r="CO328" t="str">
        <f t="shared" si="290"/>
        <v>R538</v>
      </c>
      <c r="CP328" t="str">
        <f t="shared" si="303"/>
        <v>R538</v>
      </c>
      <c r="CQ328" t="str">
        <f>AF327</f>
        <v>R475</v>
      </c>
      <c r="CR328" t="str">
        <f t="shared" si="291"/>
        <v>R475</v>
      </c>
      <c r="CS328" t="s">
        <v>603</v>
      </c>
      <c r="CT328" t="s">
        <v>604</v>
      </c>
      <c r="CU328" t="s">
        <v>603</v>
      </c>
      <c r="CV328" t="b">
        <f t="shared" si="304"/>
        <v>1</v>
      </c>
      <c r="DC328" t="str">
        <f t="shared" si="292"/>
        <v>G806</v>
      </c>
      <c r="DD328" t="b">
        <f t="shared" si="305"/>
        <v>0</v>
      </c>
      <c r="DE328" t="str">
        <f t="shared" si="306"/>
        <v>G806</v>
      </c>
      <c r="DF328" t="str">
        <f t="shared" si="293"/>
        <v>R475</v>
      </c>
      <c r="DG328" t="b">
        <f t="shared" si="307"/>
        <v>0</v>
      </c>
      <c r="DH328" t="str">
        <f t="shared" si="308"/>
        <v>R475</v>
      </c>
    </row>
    <row r="329" spans="2:112" ht="12" customHeight="1">
      <c r="B329" t="str">
        <f>TBIDry!H401</f>
        <v>G167</v>
      </c>
      <c r="C329" t="str">
        <f>TBIDry!I401</f>
        <v>R66</v>
      </c>
      <c r="D329" t="b">
        <f t="shared" si="260"/>
        <v>0</v>
      </c>
      <c r="E329" t="b">
        <f t="shared" si="261"/>
        <v>0</v>
      </c>
      <c r="G329" t="str">
        <f>TBIWet!H401</f>
        <v>G738</v>
      </c>
      <c r="H329" t="str">
        <f>TBIWet!I401</f>
        <v>R593</v>
      </c>
      <c r="I329" t="b">
        <f t="shared" si="262"/>
        <v>0</v>
      </c>
      <c r="J329" t="b">
        <f t="shared" si="263"/>
        <v>0</v>
      </c>
      <c r="L329" t="str">
        <f>'Both teabags AfterWet'!A327</f>
        <v>G786</v>
      </c>
      <c r="M329" t="str">
        <f>'Both teabags AfterWet'!A747</f>
        <v>R540</v>
      </c>
      <c r="N329" t="b">
        <f t="shared" si="264"/>
        <v>0</v>
      </c>
      <c r="O329" t="b">
        <f t="shared" si="309"/>
        <v>0</v>
      </c>
      <c r="Q329" s="395" t="b">
        <f t="shared" si="265"/>
        <v>0</v>
      </c>
      <c r="R329" s="395" t="b">
        <f t="shared" si="266"/>
        <v>0</v>
      </c>
      <c r="T329" t="str">
        <f>'Both teabags AfterDry'!A327</f>
        <v>G88</v>
      </c>
      <c r="U329" t="str">
        <f>'Both teabags AfterDry'!A662</f>
        <v>R831</v>
      </c>
      <c r="V329" t="b">
        <f t="shared" si="267"/>
        <v>0</v>
      </c>
      <c r="W329" t="b">
        <f t="shared" si="294"/>
        <v>0</v>
      </c>
      <c r="Y329" t="str">
        <f>'Green_rooibos initial weight'!A330</f>
        <v>G326</v>
      </c>
      <c r="Z329" t="str">
        <f>'Green_rooibos initial weight'!A1234</f>
        <v>R326</v>
      </c>
      <c r="AA329" t="b">
        <f t="shared" si="268"/>
        <v>0</v>
      </c>
      <c r="AB329" t="b">
        <f t="shared" si="269"/>
        <v>0</v>
      </c>
      <c r="AE329" t="str">
        <f>'WetLitterbags placem_collection'!O108</f>
        <v>G738</v>
      </c>
      <c r="AF329" t="str">
        <f>'WetLitterbags placem_collection'!Q108</f>
        <v>R593</v>
      </c>
      <c r="AG329" t="b">
        <f t="shared" si="270"/>
        <v>0</v>
      </c>
      <c r="AH329" t="b">
        <f t="shared" si="271"/>
        <v>0</v>
      </c>
      <c r="AJ329" t="b">
        <f t="shared" si="272"/>
        <v>0</v>
      </c>
      <c r="AK329" t="b">
        <f t="shared" si="273"/>
        <v>0</v>
      </c>
      <c r="AM329" t="str">
        <f>IF(ISBLANK('Dry_Litterbag Placem_Collection'!L108),"","G"&amp;""&amp;'Dry_Litterbag Placem_Collection'!L108)</f>
        <v>G167</v>
      </c>
      <c r="AN329" t="str">
        <f>IF(ISBLANK('Dry_Litterbag Placem_Collection'!M108),"","R"&amp;""&amp;'Dry_Litterbag Placem_Collection'!M108)</f>
        <v>R66</v>
      </c>
      <c r="AO329" t="b">
        <f t="shared" si="274"/>
        <v>0</v>
      </c>
      <c r="AP329" t="b">
        <f t="shared" si="275"/>
        <v>0</v>
      </c>
      <c r="AS329" t="str">
        <f>'Ashed teabags dry'!A327</f>
        <v>G88</v>
      </c>
      <c r="AT329" t="str">
        <f>'Ashed teabags dry'!A662</f>
        <v>R831</v>
      </c>
      <c r="AU329" t="b">
        <f t="shared" si="276"/>
        <v>0</v>
      </c>
      <c r="AV329" t="b">
        <f>COUNTIF($AT$4:$AT$2000, AT329)&gt;1</f>
        <v>0</v>
      </c>
      <c r="AX329" s="395" t="b">
        <f t="shared" si="277"/>
        <v>0</v>
      </c>
      <c r="AY329" s="395" t="b">
        <f t="shared" si="278"/>
        <v>0</v>
      </c>
      <c r="BA329" t="str">
        <f>'Ashed teabags wet'!A327</f>
        <v>G786</v>
      </c>
      <c r="BB329" t="str">
        <f>'Ashed teabags wet'!A747</f>
        <v>R540</v>
      </c>
      <c r="BC329" t="b">
        <f t="shared" si="279"/>
        <v>0</v>
      </c>
      <c r="BD329" t="b">
        <f t="shared" si="259"/>
        <v>0</v>
      </c>
      <c r="BF329" t="str">
        <f t="shared" si="280"/>
        <v>G879</v>
      </c>
      <c r="BG329" t="str">
        <f>T328</f>
        <v>G879</v>
      </c>
      <c r="BH329" t="str">
        <f t="shared" si="281"/>
        <v>G57</v>
      </c>
      <c r="BI329" t="str">
        <f t="shared" si="295"/>
        <v>G57</v>
      </c>
      <c r="BJ329" t="s">
        <v>1171</v>
      </c>
      <c r="BK329" t="s">
        <v>1171</v>
      </c>
      <c r="BL329" t="s">
        <v>1171</v>
      </c>
      <c r="BM329" t="b">
        <f t="shared" si="296"/>
        <v>1</v>
      </c>
      <c r="BN329" t="str">
        <f t="shared" si="282"/>
        <v>R830</v>
      </c>
      <c r="BO329" t="str">
        <f>U328</f>
        <v>R830</v>
      </c>
      <c r="BP329" t="str">
        <f t="shared" si="283"/>
        <v>R212</v>
      </c>
      <c r="BQ329" t="str">
        <f t="shared" si="284"/>
        <v>R212</v>
      </c>
      <c r="BR329" t="s">
        <v>309</v>
      </c>
      <c r="BS329" t="s">
        <v>308</v>
      </c>
      <c r="BT329" t="s">
        <v>309</v>
      </c>
      <c r="BU329" t="b">
        <f t="shared" si="297"/>
        <v>1</v>
      </c>
      <c r="BZ329" t="str">
        <f t="shared" si="285"/>
        <v>G57</v>
      </c>
      <c r="CA329" t="b">
        <f t="shared" si="286"/>
        <v>0</v>
      </c>
      <c r="CB329" t="str">
        <f t="shared" si="298"/>
        <v>G57</v>
      </c>
      <c r="CC329" t="str">
        <f t="shared" si="287"/>
        <v>R212</v>
      </c>
      <c r="CD329" t="b">
        <f t="shared" si="299"/>
        <v>0</v>
      </c>
      <c r="CE329" t="str">
        <f t="shared" si="300"/>
        <v>R212</v>
      </c>
      <c r="CG329" t="str">
        <f t="shared" si="288"/>
        <v>G785</v>
      </c>
      <c r="CH329" t="str">
        <f t="shared" si="301"/>
        <v>G785</v>
      </c>
      <c r="CI329" t="str">
        <f>AE328</f>
        <v>G861</v>
      </c>
      <c r="CJ329" t="str">
        <f t="shared" si="289"/>
        <v>G861</v>
      </c>
      <c r="CK329" t="s">
        <v>1265</v>
      </c>
      <c r="CL329" t="s">
        <v>1265</v>
      </c>
      <c r="CM329" t="s">
        <v>1265</v>
      </c>
      <c r="CN329" t="b">
        <f t="shared" si="302"/>
        <v>1</v>
      </c>
      <c r="CO329" t="str">
        <f t="shared" si="290"/>
        <v>R539</v>
      </c>
      <c r="CP329" t="str">
        <f t="shared" si="303"/>
        <v>R539</v>
      </c>
      <c r="CQ329" t="str">
        <f>AF328</f>
        <v>R540</v>
      </c>
      <c r="CR329" t="str">
        <f t="shared" si="291"/>
        <v>R540</v>
      </c>
      <c r="CS329" t="s">
        <v>602</v>
      </c>
      <c r="CT329" t="s">
        <v>603</v>
      </c>
      <c r="CU329" t="s">
        <v>602</v>
      </c>
      <c r="CV329" t="b">
        <f t="shared" si="304"/>
        <v>1</v>
      </c>
      <c r="DC329" t="str">
        <f t="shared" si="292"/>
        <v>G861</v>
      </c>
      <c r="DD329" t="b">
        <f t="shared" si="305"/>
        <v>0</v>
      </c>
      <c r="DE329" t="str">
        <f t="shared" si="306"/>
        <v>G861</v>
      </c>
      <c r="DF329" t="str">
        <f t="shared" si="293"/>
        <v>R540</v>
      </c>
      <c r="DG329" t="b">
        <f t="shared" si="307"/>
        <v>0</v>
      </c>
      <c r="DH329" t="str">
        <f t="shared" si="308"/>
        <v>R540</v>
      </c>
    </row>
    <row r="330" spans="2:112" ht="12" customHeight="1">
      <c r="B330" t="str">
        <f>TBIDry!H402</f>
        <v>G208</v>
      </c>
      <c r="C330" t="str">
        <f>TBIDry!I402</f>
        <v>R347</v>
      </c>
      <c r="D330" t="b">
        <f t="shared" si="260"/>
        <v>0</v>
      </c>
      <c r="E330" t="b">
        <f t="shared" si="261"/>
        <v>0</v>
      </c>
      <c r="G330" t="str">
        <f>TBIWet!H402</f>
        <v>G676</v>
      </c>
      <c r="H330" t="str">
        <f>TBIWet!I402</f>
        <v>R510</v>
      </c>
      <c r="I330" t="b">
        <f t="shared" si="262"/>
        <v>0</v>
      </c>
      <c r="J330" t="b">
        <f t="shared" si="263"/>
        <v>0</v>
      </c>
      <c r="L330" t="str">
        <f>'Both teabags AfterWet'!A328</f>
        <v>G787</v>
      </c>
      <c r="M330" t="str">
        <f>'Both teabags AfterWet'!A748</f>
        <v>R541</v>
      </c>
      <c r="N330" t="b">
        <f t="shared" si="264"/>
        <v>0</v>
      </c>
      <c r="O330" t="b">
        <f t="shared" si="309"/>
        <v>0</v>
      </c>
      <c r="Q330" s="395" t="b">
        <f t="shared" si="265"/>
        <v>0</v>
      </c>
      <c r="R330" s="395" t="b">
        <f t="shared" si="266"/>
        <v>0</v>
      </c>
      <c r="T330" t="str">
        <f>'Both teabags AfterDry'!A328</f>
        <v>G90</v>
      </c>
      <c r="U330" t="str">
        <f>'Both teabags AfterDry'!A663</f>
        <v>R832</v>
      </c>
      <c r="V330" t="b">
        <f t="shared" si="267"/>
        <v>0</v>
      </c>
      <c r="W330" t="b">
        <f t="shared" si="294"/>
        <v>0</v>
      </c>
      <c r="Y330" t="str">
        <f>'Green_rooibos initial weight'!A331</f>
        <v>G327</v>
      </c>
      <c r="Z330" t="str">
        <f>'Green_rooibos initial weight'!A1235</f>
        <v>R327</v>
      </c>
      <c r="AA330" t="b">
        <f t="shared" si="268"/>
        <v>0</v>
      </c>
      <c r="AB330" t="b">
        <f t="shared" si="269"/>
        <v>0</v>
      </c>
      <c r="AE330" t="str">
        <f>'WetLitterbags placem_collection'!O109</f>
        <v>G676</v>
      </c>
      <c r="AF330" t="str">
        <f>'WetLitterbags placem_collection'!Q109</f>
        <v>R510</v>
      </c>
      <c r="AG330" t="b">
        <f t="shared" si="270"/>
        <v>0</v>
      </c>
      <c r="AH330" t="b">
        <f t="shared" si="271"/>
        <v>0</v>
      </c>
      <c r="AJ330" t="b">
        <f t="shared" si="272"/>
        <v>0</v>
      </c>
      <c r="AK330" t="b">
        <f t="shared" si="273"/>
        <v>0</v>
      </c>
      <c r="AM330" t="str">
        <f>IF(ISBLANK('Dry_Litterbag Placem_Collection'!L109),"","G"&amp;""&amp;'Dry_Litterbag Placem_Collection'!L109)</f>
        <v>G208</v>
      </c>
      <c r="AN330" t="str">
        <f>IF(ISBLANK('Dry_Litterbag Placem_Collection'!M109),"","R"&amp;""&amp;'Dry_Litterbag Placem_Collection'!M109)</f>
        <v>R347</v>
      </c>
      <c r="AO330" t="b">
        <f t="shared" si="274"/>
        <v>0</v>
      </c>
      <c r="AP330" t="b">
        <f t="shared" si="275"/>
        <v>0</v>
      </c>
      <c r="AS330" t="str">
        <f>'Ashed teabags dry'!A328</f>
        <v>G90</v>
      </c>
      <c r="AT330" t="str">
        <f>'Ashed teabags dry'!A663</f>
        <v>R832</v>
      </c>
      <c r="AU330" t="b">
        <f t="shared" si="276"/>
        <v>0</v>
      </c>
      <c r="AV330" t="b">
        <f>COUNTIF($AT$4:$AT$2000, AT330)&gt;1</f>
        <v>0</v>
      </c>
      <c r="AX330" s="395" t="b">
        <f t="shared" si="277"/>
        <v>0</v>
      </c>
      <c r="AY330" s="395" t="b">
        <f t="shared" si="278"/>
        <v>0</v>
      </c>
      <c r="BA330" t="str">
        <f>'Ashed teabags wet'!A328</f>
        <v>G787</v>
      </c>
      <c r="BB330" t="str">
        <f>'Ashed teabags wet'!A748</f>
        <v>R541</v>
      </c>
      <c r="BC330" t="b">
        <f t="shared" si="279"/>
        <v>0</v>
      </c>
      <c r="BD330" t="b">
        <f t="shared" si="259"/>
        <v>0</v>
      </c>
      <c r="BF330" t="str">
        <f t="shared" si="280"/>
        <v>G88</v>
      </c>
      <c r="BG330" t="str">
        <f>T329</f>
        <v>G88</v>
      </c>
      <c r="BH330" t="str">
        <f t="shared" si="281"/>
        <v>G167</v>
      </c>
      <c r="BI330" t="str">
        <f t="shared" si="295"/>
        <v>G167</v>
      </c>
      <c r="BJ330" t="s">
        <v>1962</v>
      </c>
      <c r="BK330" t="s">
        <v>1962</v>
      </c>
      <c r="BL330" t="s">
        <v>1962</v>
      </c>
      <c r="BM330" t="b">
        <f t="shared" si="296"/>
        <v>1</v>
      </c>
      <c r="BN330" t="str">
        <f t="shared" si="282"/>
        <v>R831</v>
      </c>
      <c r="BO330" t="str">
        <f>U329</f>
        <v>R831</v>
      </c>
      <c r="BP330" t="str">
        <f t="shared" si="283"/>
        <v>R66</v>
      </c>
      <c r="BQ330" t="str">
        <f t="shared" si="284"/>
        <v>R66</v>
      </c>
      <c r="BR330" t="s">
        <v>308</v>
      </c>
      <c r="BS330" t="s">
        <v>307</v>
      </c>
      <c r="BT330" t="s">
        <v>308</v>
      </c>
      <c r="BU330" t="b">
        <f t="shared" si="297"/>
        <v>1</v>
      </c>
      <c r="BZ330" t="str">
        <f t="shared" si="285"/>
        <v>G167</v>
      </c>
      <c r="CA330" t="b">
        <f t="shared" si="286"/>
        <v>0</v>
      </c>
      <c r="CB330" t="str">
        <f t="shared" si="298"/>
        <v>G167</v>
      </c>
      <c r="CC330" t="str">
        <f t="shared" si="287"/>
        <v>R66</v>
      </c>
      <c r="CD330" t="b">
        <f t="shared" si="299"/>
        <v>0</v>
      </c>
      <c r="CE330" t="str">
        <f t="shared" si="300"/>
        <v>R66</v>
      </c>
      <c r="CG330" t="str">
        <f t="shared" si="288"/>
        <v>G786</v>
      </c>
      <c r="CH330" t="str">
        <f t="shared" si="301"/>
        <v>G786</v>
      </c>
      <c r="CI330" t="str">
        <f>AE329</f>
        <v>G738</v>
      </c>
      <c r="CJ330" t="str">
        <f t="shared" si="289"/>
        <v>G738</v>
      </c>
      <c r="CK330" t="s">
        <v>1264</v>
      </c>
      <c r="CL330" t="s">
        <v>1264</v>
      </c>
      <c r="CM330" t="s">
        <v>1264</v>
      </c>
      <c r="CN330" t="b">
        <f t="shared" si="302"/>
        <v>1</v>
      </c>
      <c r="CO330" t="str">
        <f t="shared" si="290"/>
        <v>R540</v>
      </c>
      <c r="CP330" t="str">
        <f t="shared" si="303"/>
        <v>R540</v>
      </c>
      <c r="CQ330" t="str">
        <f>AF329</f>
        <v>R593</v>
      </c>
      <c r="CR330" t="str">
        <f t="shared" si="291"/>
        <v>R593</v>
      </c>
      <c r="CS330" t="s">
        <v>601</v>
      </c>
      <c r="CT330" t="s">
        <v>602</v>
      </c>
      <c r="CU330" t="s">
        <v>601</v>
      </c>
      <c r="CV330" t="b">
        <f t="shared" si="304"/>
        <v>1</v>
      </c>
      <c r="DC330" t="str">
        <f t="shared" si="292"/>
        <v>G738</v>
      </c>
      <c r="DD330" t="b">
        <f t="shared" si="305"/>
        <v>0</v>
      </c>
      <c r="DE330" t="str">
        <f t="shared" si="306"/>
        <v>G738</v>
      </c>
      <c r="DF330" t="str">
        <f t="shared" si="293"/>
        <v>R593</v>
      </c>
      <c r="DG330" t="b">
        <f t="shared" si="307"/>
        <v>0</v>
      </c>
      <c r="DH330" t="str">
        <f t="shared" si="308"/>
        <v>R593</v>
      </c>
    </row>
    <row r="331" spans="2:112" ht="12" customHeight="1">
      <c r="B331" t="str">
        <f>TBIDry!H403</f>
        <v>G62</v>
      </c>
      <c r="C331" t="str">
        <f>TBIDry!I403</f>
        <v>R206</v>
      </c>
      <c r="D331" t="b">
        <f t="shared" si="260"/>
        <v>0</v>
      </c>
      <c r="E331" t="b">
        <f t="shared" si="261"/>
        <v>0</v>
      </c>
      <c r="G331" t="str">
        <f>TBIWet!H403</f>
        <v>G845</v>
      </c>
      <c r="H331" t="str">
        <f>TBIWet!I403</f>
        <v>R509</v>
      </c>
      <c r="I331" t="b">
        <f t="shared" si="262"/>
        <v>0</v>
      </c>
      <c r="J331" t="b">
        <f t="shared" si="263"/>
        <v>0</v>
      </c>
      <c r="L331" t="str">
        <f>'Both teabags AfterWet'!A329</f>
        <v>G789</v>
      </c>
      <c r="M331" t="str">
        <f>'Both teabags AfterWet'!A749</f>
        <v>R542</v>
      </c>
      <c r="N331" t="b">
        <f t="shared" si="264"/>
        <v>0</v>
      </c>
      <c r="O331" t="b">
        <f t="shared" si="309"/>
        <v>0</v>
      </c>
      <c r="Q331" s="395" t="b">
        <f t="shared" si="265"/>
        <v>0</v>
      </c>
      <c r="R331" s="395" t="b">
        <f t="shared" si="266"/>
        <v>0</v>
      </c>
      <c r="T331" t="str">
        <f>'Both teabags AfterDry'!A329</f>
        <v>G91</v>
      </c>
      <c r="U331" t="str">
        <f>'Both teabags AfterDry'!A664</f>
        <v>R833</v>
      </c>
      <c r="V331" t="b">
        <f t="shared" si="267"/>
        <v>0</v>
      </c>
      <c r="W331" t="b">
        <f t="shared" si="294"/>
        <v>0</v>
      </c>
      <c r="Y331" t="str">
        <f>'Green_rooibos initial weight'!A332</f>
        <v>G328</v>
      </c>
      <c r="Z331" t="str">
        <f>'Green_rooibos initial weight'!A1236</f>
        <v>R328</v>
      </c>
      <c r="AA331" t="b">
        <f t="shared" si="268"/>
        <v>0</v>
      </c>
      <c r="AB331" t="b">
        <f t="shared" si="269"/>
        <v>0</v>
      </c>
      <c r="AE331" t="str">
        <f>'WetLitterbags placem_collection'!O110</f>
        <v>G845</v>
      </c>
      <c r="AF331" t="str">
        <f>'WetLitterbags placem_collection'!Q110</f>
        <v>R509</v>
      </c>
      <c r="AG331" t="b">
        <f t="shared" si="270"/>
        <v>0</v>
      </c>
      <c r="AH331" t="b">
        <f t="shared" si="271"/>
        <v>0</v>
      </c>
      <c r="AJ331" t="b">
        <f t="shared" si="272"/>
        <v>0</v>
      </c>
      <c r="AK331" t="b">
        <f t="shared" si="273"/>
        <v>0</v>
      </c>
      <c r="AM331" t="str">
        <f>IF(ISBLANK('Dry_Litterbag Placem_Collection'!L110),"","G"&amp;""&amp;'Dry_Litterbag Placem_Collection'!L110)</f>
        <v>G62</v>
      </c>
      <c r="AN331" t="str">
        <f>IF(ISBLANK('Dry_Litterbag Placem_Collection'!M110),"","R"&amp;""&amp;'Dry_Litterbag Placem_Collection'!M110)</f>
        <v>R206</v>
      </c>
      <c r="AO331" t="b">
        <f t="shared" si="274"/>
        <v>0</v>
      </c>
      <c r="AP331" t="b">
        <f t="shared" si="275"/>
        <v>0</v>
      </c>
      <c r="AS331" t="str">
        <f>'Ashed teabags dry'!A329</f>
        <v>G91</v>
      </c>
      <c r="AT331" t="str">
        <f>'Ashed teabags dry'!A664</f>
        <v>R833</v>
      </c>
      <c r="AU331" t="b">
        <f t="shared" si="276"/>
        <v>0</v>
      </c>
      <c r="AV331" t="b">
        <f>COUNTIF($AT$4:$AT$2000, AT331)&gt;1</f>
        <v>0</v>
      </c>
      <c r="AX331" s="395" t="b">
        <f t="shared" si="277"/>
        <v>0</v>
      </c>
      <c r="AY331" s="395" t="b">
        <f t="shared" si="278"/>
        <v>0</v>
      </c>
      <c r="BA331" t="str">
        <f>'Ashed teabags wet'!A329</f>
        <v>G789</v>
      </c>
      <c r="BB331" t="str">
        <f>'Ashed teabags wet'!A749</f>
        <v>R542</v>
      </c>
      <c r="BC331" t="b">
        <f t="shared" si="279"/>
        <v>0</v>
      </c>
      <c r="BD331" t="b">
        <f t="shared" si="259"/>
        <v>0</v>
      </c>
      <c r="BF331" t="str">
        <f t="shared" si="280"/>
        <v>G90</v>
      </c>
      <c r="BG331" t="str">
        <f>T330</f>
        <v>G90</v>
      </c>
      <c r="BH331" t="str">
        <f t="shared" si="281"/>
        <v>G208</v>
      </c>
      <c r="BI331" t="str">
        <f t="shared" si="295"/>
        <v/>
      </c>
      <c r="BJ331" t="s">
        <v>1960</v>
      </c>
      <c r="BK331" t="s">
        <v>1960</v>
      </c>
      <c r="BL331" t="s">
        <v>1960</v>
      </c>
      <c r="BM331" t="b">
        <f t="shared" si="296"/>
        <v>1</v>
      </c>
      <c r="BN331" t="str">
        <f t="shared" si="282"/>
        <v>R832</v>
      </c>
      <c r="BO331" t="str">
        <f>U330</f>
        <v>R832</v>
      </c>
      <c r="BP331" t="str">
        <f t="shared" si="283"/>
        <v>R347</v>
      </c>
      <c r="BQ331" t="str">
        <f t="shared" si="284"/>
        <v/>
      </c>
      <c r="BR331" t="s">
        <v>307</v>
      </c>
      <c r="BS331" t="s">
        <v>306</v>
      </c>
      <c r="BT331" t="s">
        <v>307</v>
      </c>
      <c r="BU331" t="b">
        <f t="shared" si="297"/>
        <v>1</v>
      </c>
      <c r="BZ331" t="str">
        <f t="shared" si="285"/>
        <v>G208</v>
      </c>
      <c r="CA331" t="b">
        <f t="shared" si="286"/>
        <v>1</v>
      </c>
      <c r="CB331" t="str">
        <f t="shared" si="298"/>
        <v/>
      </c>
      <c r="CC331" t="str">
        <f t="shared" si="287"/>
        <v>R347</v>
      </c>
      <c r="CD331" t="b">
        <f t="shared" si="299"/>
        <v>1</v>
      </c>
      <c r="CE331" t="str">
        <f t="shared" si="300"/>
        <v/>
      </c>
      <c r="CG331" t="str">
        <f t="shared" si="288"/>
        <v>G787</v>
      </c>
      <c r="CH331" t="str">
        <f t="shared" si="301"/>
        <v>G787</v>
      </c>
      <c r="CI331" t="str">
        <f>AE330</f>
        <v>G676</v>
      </c>
      <c r="CJ331" t="str">
        <f t="shared" si="289"/>
        <v>G676</v>
      </c>
      <c r="CK331" t="s">
        <v>1263</v>
      </c>
      <c r="CL331" t="s">
        <v>1263</v>
      </c>
      <c r="CM331" t="s">
        <v>1263</v>
      </c>
      <c r="CN331" t="b">
        <f t="shared" si="302"/>
        <v>1</v>
      </c>
      <c r="CO331" t="str">
        <f t="shared" si="290"/>
        <v>R541</v>
      </c>
      <c r="CP331" t="str">
        <f t="shared" si="303"/>
        <v>R541</v>
      </c>
      <c r="CQ331" t="str">
        <f>AF330</f>
        <v>R510</v>
      </c>
      <c r="CR331" t="str">
        <f t="shared" si="291"/>
        <v>R510</v>
      </c>
      <c r="CS331" t="s">
        <v>600</v>
      </c>
      <c r="CT331" t="s">
        <v>1087</v>
      </c>
      <c r="CU331" t="s">
        <v>600</v>
      </c>
      <c r="CV331" t="b">
        <f t="shared" si="304"/>
        <v>1</v>
      </c>
      <c r="DC331" t="str">
        <f t="shared" si="292"/>
        <v>G676</v>
      </c>
      <c r="DD331" t="b">
        <f t="shared" si="305"/>
        <v>0</v>
      </c>
      <c r="DE331" t="str">
        <f t="shared" si="306"/>
        <v>G676</v>
      </c>
      <c r="DF331" t="str">
        <f t="shared" si="293"/>
        <v>R510</v>
      </c>
      <c r="DG331" t="b">
        <f t="shared" si="307"/>
        <v>0</v>
      </c>
      <c r="DH331" t="str">
        <f t="shared" si="308"/>
        <v>R510</v>
      </c>
    </row>
    <row r="332" spans="2:112" ht="12" customHeight="1">
      <c r="B332" t="str">
        <f>TBIDry!H404</f>
        <v>G102</v>
      </c>
      <c r="C332" t="str">
        <f>TBIDry!I404</f>
        <v>R299</v>
      </c>
      <c r="D332" t="b">
        <f t="shared" si="260"/>
        <v>0</v>
      </c>
      <c r="E332" t="b">
        <f t="shared" si="261"/>
        <v>0</v>
      </c>
      <c r="G332" t="str">
        <f>TBIWet!H404</f>
        <v>G887</v>
      </c>
      <c r="H332" t="str">
        <f>TBIWet!I404</f>
        <v>R33</v>
      </c>
      <c r="I332" t="b">
        <f t="shared" si="262"/>
        <v>0</v>
      </c>
      <c r="J332" t="b">
        <f t="shared" si="263"/>
        <v>0</v>
      </c>
      <c r="L332" t="str">
        <f>'Both teabags AfterWet'!A330</f>
        <v>G791</v>
      </c>
      <c r="M332" t="str">
        <f>'Both teabags AfterWet'!A750</f>
        <v>R543</v>
      </c>
      <c r="N332" t="b">
        <f t="shared" si="264"/>
        <v>0</v>
      </c>
      <c r="O332" t="b">
        <f t="shared" si="309"/>
        <v>0</v>
      </c>
      <c r="Q332" s="395" t="b">
        <f t="shared" si="265"/>
        <v>0</v>
      </c>
      <c r="R332" s="395" t="b">
        <f t="shared" si="266"/>
        <v>0</v>
      </c>
      <c r="T332" t="str">
        <f>'Both teabags AfterDry'!A330</f>
        <v>G92</v>
      </c>
      <c r="U332" t="str">
        <f>'Both teabags AfterDry'!A665</f>
        <v>R835</v>
      </c>
      <c r="V332" t="b">
        <f t="shared" si="267"/>
        <v>0</v>
      </c>
      <c r="W332" t="b">
        <f t="shared" si="294"/>
        <v>0</v>
      </c>
      <c r="Y332" t="str">
        <f>'Green_rooibos initial weight'!A333</f>
        <v>G329</v>
      </c>
      <c r="Z332" t="str">
        <f>'Green_rooibos initial weight'!A1237</f>
        <v>R329</v>
      </c>
      <c r="AA332" t="b">
        <f t="shared" si="268"/>
        <v>0</v>
      </c>
      <c r="AB332" t="b">
        <f t="shared" si="269"/>
        <v>0</v>
      </c>
      <c r="AE332" t="str">
        <f>'WetLitterbags placem_collection'!O111</f>
        <v>G887</v>
      </c>
      <c r="AF332" t="str">
        <f>'WetLitterbags placem_collection'!Q111</f>
        <v>R33</v>
      </c>
      <c r="AG332" t="b">
        <f t="shared" si="270"/>
        <v>0</v>
      </c>
      <c r="AH332" t="b">
        <f t="shared" si="271"/>
        <v>0</v>
      </c>
      <c r="AJ332" t="b">
        <f t="shared" si="272"/>
        <v>0</v>
      </c>
      <c r="AK332" t="b">
        <f t="shared" si="273"/>
        <v>0</v>
      </c>
      <c r="AM332" t="str">
        <f>IF(ISBLANK('Dry_Litterbag Placem_Collection'!L111),"","G"&amp;""&amp;'Dry_Litterbag Placem_Collection'!L111)</f>
        <v>G102</v>
      </c>
      <c r="AN332" t="str">
        <f>IF(ISBLANK('Dry_Litterbag Placem_Collection'!M111),"","R"&amp;""&amp;'Dry_Litterbag Placem_Collection'!M111)</f>
        <v>R299</v>
      </c>
      <c r="AO332" t="b">
        <f t="shared" si="274"/>
        <v>0</v>
      </c>
      <c r="AP332" t="b">
        <f t="shared" si="275"/>
        <v>0</v>
      </c>
      <c r="AS332" t="str">
        <f>'Ashed teabags dry'!A330</f>
        <v>G92</v>
      </c>
      <c r="AT332" t="str">
        <f>'Ashed teabags dry'!A665</f>
        <v>R835</v>
      </c>
      <c r="AU332" t="b">
        <f t="shared" si="276"/>
        <v>0</v>
      </c>
      <c r="AV332" t="b">
        <f>COUNTIF($AT$4:$AT$2000, AT332)&gt;1</f>
        <v>0</v>
      </c>
      <c r="AX332" s="395" t="b">
        <f t="shared" si="277"/>
        <v>0</v>
      </c>
      <c r="AY332" s="395" t="b">
        <f t="shared" si="278"/>
        <v>0</v>
      </c>
      <c r="BA332" t="str">
        <f>'Ashed teabags wet'!A330</f>
        <v>G791</v>
      </c>
      <c r="BB332" t="str">
        <f>'Ashed teabags wet'!A750</f>
        <v>R543</v>
      </c>
      <c r="BC332" t="b">
        <f t="shared" si="279"/>
        <v>0</v>
      </c>
      <c r="BD332" t="b">
        <f t="shared" si="259"/>
        <v>0</v>
      </c>
      <c r="BF332" t="str">
        <f t="shared" si="280"/>
        <v>G91</v>
      </c>
      <c r="BG332" t="str">
        <f>T331</f>
        <v>G91</v>
      </c>
      <c r="BH332" t="str">
        <f t="shared" si="281"/>
        <v>G62</v>
      </c>
      <c r="BI332" t="str">
        <f t="shared" si="295"/>
        <v>G62</v>
      </c>
      <c r="BJ332" t="s">
        <v>1959</v>
      </c>
      <c r="BK332" t="s">
        <v>1959</v>
      </c>
      <c r="BL332" t="s">
        <v>1959</v>
      </c>
      <c r="BM332" t="b">
        <f t="shared" si="296"/>
        <v>1</v>
      </c>
      <c r="BN332" t="str">
        <f t="shared" si="282"/>
        <v>R833</v>
      </c>
      <c r="BO332" t="str">
        <f>U331</f>
        <v>R833</v>
      </c>
      <c r="BP332" t="str">
        <f t="shared" si="283"/>
        <v>R206</v>
      </c>
      <c r="BQ332" t="str">
        <f t="shared" si="284"/>
        <v>R206</v>
      </c>
      <c r="BR332" t="s">
        <v>306</v>
      </c>
      <c r="BS332" t="s">
        <v>304</v>
      </c>
      <c r="BT332" t="s">
        <v>306</v>
      </c>
      <c r="BU332" t="b">
        <f t="shared" si="297"/>
        <v>1</v>
      </c>
      <c r="BZ332" t="str">
        <f t="shared" si="285"/>
        <v>G62</v>
      </c>
      <c r="CA332" t="b">
        <f t="shared" si="286"/>
        <v>0</v>
      </c>
      <c r="CB332" t="str">
        <f t="shared" si="298"/>
        <v>G62</v>
      </c>
      <c r="CC332" t="str">
        <f t="shared" si="287"/>
        <v>R206</v>
      </c>
      <c r="CD332" t="b">
        <f t="shared" si="299"/>
        <v>0</v>
      </c>
      <c r="CE332" t="str">
        <f t="shared" si="300"/>
        <v>R206</v>
      </c>
      <c r="CG332" t="str">
        <f t="shared" si="288"/>
        <v>G789</v>
      </c>
      <c r="CH332" t="str">
        <f t="shared" si="301"/>
        <v>G789</v>
      </c>
      <c r="CI332" t="str">
        <f>AE331</f>
        <v>G845</v>
      </c>
      <c r="CJ332" t="str">
        <f t="shared" si="289"/>
        <v>G845</v>
      </c>
      <c r="CK332" t="s">
        <v>1261</v>
      </c>
      <c r="CL332" t="s">
        <v>1261</v>
      </c>
      <c r="CM332" t="s">
        <v>1261</v>
      </c>
      <c r="CN332" t="b">
        <f t="shared" si="302"/>
        <v>1</v>
      </c>
      <c r="CO332" t="str">
        <f t="shared" si="290"/>
        <v>R542</v>
      </c>
      <c r="CP332" t="str">
        <f t="shared" si="303"/>
        <v>R542</v>
      </c>
      <c r="CQ332" t="str">
        <f>AF331</f>
        <v>R509</v>
      </c>
      <c r="CR332" t="str">
        <f t="shared" si="291"/>
        <v>R509</v>
      </c>
      <c r="CS332" t="s">
        <v>599</v>
      </c>
      <c r="CT332" t="s">
        <v>601</v>
      </c>
      <c r="CU332" t="s">
        <v>599</v>
      </c>
      <c r="CV332" t="b">
        <f t="shared" si="304"/>
        <v>1</v>
      </c>
      <c r="DC332" t="str">
        <f t="shared" si="292"/>
        <v>G845</v>
      </c>
      <c r="DD332" t="b">
        <f t="shared" si="305"/>
        <v>0</v>
      </c>
      <c r="DE332" t="str">
        <f t="shared" si="306"/>
        <v>G845</v>
      </c>
      <c r="DF332" t="str">
        <f t="shared" si="293"/>
        <v>R509</v>
      </c>
      <c r="DG332" t="b">
        <f t="shared" si="307"/>
        <v>0</v>
      </c>
      <c r="DH332" t="str">
        <f t="shared" si="308"/>
        <v>R509</v>
      </c>
    </row>
    <row r="333" spans="2:112" ht="12" customHeight="1">
      <c r="B333" t="str">
        <f>TBIDry!H405</f>
        <v>G265</v>
      </c>
      <c r="C333" t="str">
        <f>TBIDry!I405</f>
        <v>R636</v>
      </c>
      <c r="D333" t="b">
        <f t="shared" si="260"/>
        <v>0</v>
      </c>
      <c r="E333" t="b">
        <f t="shared" si="261"/>
        <v>0</v>
      </c>
      <c r="G333" t="str">
        <f>TBIWet!H405</f>
        <v>G882</v>
      </c>
      <c r="H333" t="str">
        <f>TBIWet!I405</f>
        <v>R54</v>
      </c>
      <c r="I333" t="b">
        <f t="shared" si="262"/>
        <v>0</v>
      </c>
      <c r="J333" t="b">
        <f t="shared" si="263"/>
        <v>0</v>
      </c>
      <c r="L333" t="str">
        <f>'Both teabags AfterWet'!A331</f>
        <v>G793</v>
      </c>
      <c r="M333" t="str">
        <f>'Both teabags AfterWet'!A751</f>
        <v>R544</v>
      </c>
      <c r="N333" t="b">
        <f t="shared" si="264"/>
        <v>0</v>
      </c>
      <c r="O333" t="b">
        <f t="shared" si="309"/>
        <v>0</v>
      </c>
      <c r="Q333" s="395" t="b">
        <f t="shared" si="265"/>
        <v>0</v>
      </c>
      <c r="R333" s="395" t="b">
        <f t="shared" si="266"/>
        <v>0</v>
      </c>
      <c r="T333" t="str">
        <f>'Both teabags AfterDry'!A331</f>
        <v>G93</v>
      </c>
      <c r="U333" t="str">
        <f>'Both teabags AfterDry'!A666</f>
        <v>R836</v>
      </c>
      <c r="V333" t="b">
        <f t="shared" si="267"/>
        <v>0</v>
      </c>
      <c r="W333" t="b">
        <f t="shared" si="294"/>
        <v>0</v>
      </c>
      <c r="Y333" t="str">
        <f>'Green_rooibos initial weight'!A334</f>
        <v>G330</v>
      </c>
      <c r="Z333" t="str">
        <f>'Green_rooibos initial weight'!A1238</f>
        <v>R330</v>
      </c>
      <c r="AA333" t="b">
        <f t="shared" si="268"/>
        <v>0</v>
      </c>
      <c r="AB333" t="b">
        <f t="shared" si="269"/>
        <v>0</v>
      </c>
      <c r="AE333" t="str">
        <f>'WetLitterbags placem_collection'!O112</f>
        <v>G882</v>
      </c>
      <c r="AF333" t="str">
        <f>'WetLitterbags placem_collection'!Q112</f>
        <v>R54</v>
      </c>
      <c r="AG333" t="b">
        <f t="shared" si="270"/>
        <v>0</v>
      </c>
      <c r="AH333" t="b">
        <f t="shared" si="271"/>
        <v>0</v>
      </c>
      <c r="AJ333" t="b">
        <f t="shared" si="272"/>
        <v>0</v>
      </c>
      <c r="AK333" t="b">
        <f t="shared" si="273"/>
        <v>0</v>
      </c>
      <c r="AM333" t="str">
        <f>IF(ISBLANK('Dry_Litterbag Placem_Collection'!L112),"","G"&amp;""&amp;'Dry_Litterbag Placem_Collection'!L112)</f>
        <v>G265</v>
      </c>
      <c r="AN333" t="str">
        <f>IF(ISBLANK('Dry_Litterbag Placem_Collection'!M112),"","R"&amp;""&amp;'Dry_Litterbag Placem_Collection'!M112)</f>
        <v>R636</v>
      </c>
      <c r="AO333" t="b">
        <f t="shared" si="274"/>
        <v>0</v>
      </c>
      <c r="AP333" t="b">
        <f t="shared" si="275"/>
        <v>0</v>
      </c>
      <c r="AS333" t="str">
        <f>'Ashed teabags dry'!A331</f>
        <v>G93</v>
      </c>
      <c r="AT333" t="str">
        <f>'Ashed teabags dry'!A666</f>
        <v>R836</v>
      </c>
      <c r="AU333" t="b">
        <f t="shared" si="276"/>
        <v>0</v>
      </c>
      <c r="AV333" t="b">
        <f>COUNTIF($AT$4:$AT$2000, AT333)&gt;1</f>
        <v>0</v>
      </c>
      <c r="AX333" s="395" t="b">
        <f t="shared" si="277"/>
        <v>0</v>
      </c>
      <c r="AY333" s="395" t="b">
        <f t="shared" si="278"/>
        <v>0</v>
      </c>
      <c r="BA333" t="str">
        <f>'Ashed teabags wet'!A331</f>
        <v>G793</v>
      </c>
      <c r="BB333" t="str">
        <f>'Ashed teabags wet'!A751</f>
        <v>R544</v>
      </c>
      <c r="BC333" t="b">
        <f t="shared" si="279"/>
        <v>0</v>
      </c>
      <c r="BD333" t="b">
        <f t="shared" si="259"/>
        <v>0</v>
      </c>
      <c r="BF333" t="str">
        <f t="shared" si="280"/>
        <v>G92</v>
      </c>
      <c r="BG333" t="str">
        <f>T332</f>
        <v>G92</v>
      </c>
      <c r="BH333" t="str">
        <f t="shared" si="281"/>
        <v>G102</v>
      </c>
      <c r="BI333" t="str">
        <f t="shared" si="295"/>
        <v>G102</v>
      </c>
      <c r="BJ333" t="s">
        <v>1958</v>
      </c>
      <c r="BK333" t="s">
        <v>1958</v>
      </c>
      <c r="BL333" t="s">
        <v>1958</v>
      </c>
      <c r="BM333" t="b">
        <f t="shared" si="296"/>
        <v>1</v>
      </c>
      <c r="BN333" t="str">
        <f t="shared" si="282"/>
        <v>R835</v>
      </c>
      <c r="BO333" t="str">
        <f>U332</f>
        <v>R835</v>
      </c>
      <c r="BP333" t="str">
        <f t="shared" si="283"/>
        <v>R299</v>
      </c>
      <c r="BQ333" t="str">
        <f t="shared" si="284"/>
        <v>R299</v>
      </c>
      <c r="BR333" t="s">
        <v>304</v>
      </c>
      <c r="BS333" t="s">
        <v>303</v>
      </c>
      <c r="BT333" t="s">
        <v>304</v>
      </c>
      <c r="BU333" t="b">
        <f t="shared" si="297"/>
        <v>1</v>
      </c>
      <c r="BZ333" t="str">
        <f t="shared" si="285"/>
        <v>G102</v>
      </c>
      <c r="CA333" t="b">
        <f t="shared" si="286"/>
        <v>0</v>
      </c>
      <c r="CB333" t="str">
        <f t="shared" si="298"/>
        <v>G102</v>
      </c>
      <c r="CC333" t="str">
        <f t="shared" si="287"/>
        <v>R299</v>
      </c>
      <c r="CD333" t="b">
        <f t="shared" si="299"/>
        <v>0</v>
      </c>
      <c r="CE333" t="str">
        <f t="shared" si="300"/>
        <v>R299</v>
      </c>
      <c r="CG333" t="str">
        <f t="shared" si="288"/>
        <v>G791</v>
      </c>
      <c r="CH333" t="str">
        <f t="shared" si="301"/>
        <v>G791</v>
      </c>
      <c r="CI333" t="str">
        <f>AE332</f>
        <v>G887</v>
      </c>
      <c r="CJ333" t="str">
        <f t="shared" si="289"/>
        <v>G887</v>
      </c>
      <c r="CK333" t="s">
        <v>1259</v>
      </c>
      <c r="CL333" t="s">
        <v>1259</v>
      </c>
      <c r="CM333" t="s">
        <v>1259</v>
      </c>
      <c r="CN333" t="b">
        <f t="shared" si="302"/>
        <v>1</v>
      </c>
      <c r="CO333" t="str">
        <f t="shared" si="290"/>
        <v>R543</v>
      </c>
      <c r="CP333" t="str">
        <f t="shared" si="303"/>
        <v>R543</v>
      </c>
      <c r="CQ333" t="str">
        <f>AF332</f>
        <v>R33</v>
      </c>
      <c r="CR333" t="str">
        <f t="shared" si="291"/>
        <v>R33</v>
      </c>
      <c r="CS333" t="s">
        <v>598</v>
      </c>
      <c r="CT333" t="s">
        <v>600</v>
      </c>
      <c r="CU333" t="s">
        <v>598</v>
      </c>
      <c r="CV333" t="b">
        <f t="shared" si="304"/>
        <v>1</v>
      </c>
      <c r="DC333" t="str">
        <f t="shared" si="292"/>
        <v>G887</v>
      </c>
      <c r="DD333" t="b">
        <f t="shared" si="305"/>
        <v>0</v>
      </c>
      <c r="DE333" t="str">
        <f t="shared" si="306"/>
        <v>G887</v>
      </c>
      <c r="DF333" t="str">
        <f t="shared" si="293"/>
        <v>R33</v>
      </c>
      <c r="DG333" t="b">
        <f t="shared" si="307"/>
        <v>0</v>
      </c>
      <c r="DH333" t="str">
        <f t="shared" si="308"/>
        <v>R33</v>
      </c>
    </row>
    <row r="334" spans="2:112" ht="12" customHeight="1">
      <c r="B334" t="str">
        <f>TBIDry!H406</f>
        <v>G455</v>
      </c>
      <c r="C334" t="str">
        <f>TBIDry!I406</f>
        <v>R239</v>
      </c>
      <c r="D334" t="b">
        <f t="shared" si="260"/>
        <v>0</v>
      </c>
      <c r="E334" t="b">
        <f t="shared" si="261"/>
        <v>0</v>
      </c>
      <c r="G334" t="str">
        <f>TBIWet!H406</f>
        <v>G695</v>
      </c>
      <c r="H334" t="str">
        <f>TBIWet!I406</f>
        <v>R487</v>
      </c>
      <c r="I334" t="b">
        <f t="shared" si="262"/>
        <v>0</v>
      </c>
      <c r="J334" t="b">
        <f t="shared" si="263"/>
        <v>0</v>
      </c>
      <c r="L334" t="str">
        <f>'Both teabags AfterWet'!A332</f>
        <v>G795</v>
      </c>
      <c r="M334" t="str">
        <f>'Both teabags AfterWet'!A752</f>
        <v>R545</v>
      </c>
      <c r="N334" t="b">
        <f t="shared" si="264"/>
        <v>0</v>
      </c>
      <c r="O334" t="b">
        <f t="shared" si="309"/>
        <v>0</v>
      </c>
      <c r="Q334" s="395" t="b">
        <f t="shared" si="265"/>
        <v>0</v>
      </c>
      <c r="R334" s="395" t="b">
        <f t="shared" si="266"/>
        <v>0</v>
      </c>
      <c r="T334" t="str">
        <f>'Both teabags AfterDry'!A332</f>
        <v>G94</v>
      </c>
      <c r="U334" t="str">
        <f>'Both teabags AfterDry'!A667</f>
        <v>R837</v>
      </c>
      <c r="V334" t="b">
        <f t="shared" si="267"/>
        <v>0</v>
      </c>
      <c r="W334" t="b">
        <f t="shared" si="294"/>
        <v>0</v>
      </c>
      <c r="Y334" t="str">
        <f>'Green_rooibos initial weight'!A335</f>
        <v>G331</v>
      </c>
      <c r="Z334" t="str">
        <f>'Green_rooibos initial weight'!A1239</f>
        <v>R331</v>
      </c>
      <c r="AA334" t="b">
        <f t="shared" si="268"/>
        <v>0</v>
      </c>
      <c r="AB334" t="b">
        <f t="shared" si="269"/>
        <v>0</v>
      </c>
      <c r="AE334" t="str">
        <f>'WetLitterbags placem_collection'!O113</f>
        <v>G695</v>
      </c>
      <c r="AF334" t="str">
        <f>'WetLitterbags placem_collection'!Q113</f>
        <v>R487</v>
      </c>
      <c r="AG334" t="b">
        <f t="shared" si="270"/>
        <v>0</v>
      </c>
      <c r="AH334" t="b">
        <f t="shared" si="271"/>
        <v>0</v>
      </c>
      <c r="AJ334" t="b">
        <f t="shared" si="272"/>
        <v>0</v>
      </c>
      <c r="AK334" t="b">
        <f t="shared" si="273"/>
        <v>0</v>
      </c>
      <c r="AM334" t="str">
        <f>IF(ISBLANK('Dry_Litterbag Placem_Collection'!L113),"","G"&amp;""&amp;'Dry_Litterbag Placem_Collection'!L113)</f>
        <v>G455</v>
      </c>
      <c r="AN334" t="str">
        <f>IF(ISBLANK('Dry_Litterbag Placem_Collection'!M113),"","R"&amp;""&amp;'Dry_Litterbag Placem_Collection'!M113)</f>
        <v>R239</v>
      </c>
      <c r="AO334" t="b">
        <f t="shared" si="274"/>
        <v>0</v>
      </c>
      <c r="AP334" t="b">
        <f t="shared" si="275"/>
        <v>0</v>
      </c>
      <c r="AS334" t="str">
        <f>'Ashed teabags dry'!A332</f>
        <v>G94</v>
      </c>
      <c r="AT334" t="str">
        <f>'Ashed teabags dry'!A667</f>
        <v>R837</v>
      </c>
      <c r="AU334" t="b">
        <f t="shared" si="276"/>
        <v>0</v>
      </c>
      <c r="AV334" t="b">
        <f>COUNTIF($AT$4:$AT$2000, AT334)&gt;1</f>
        <v>0</v>
      </c>
      <c r="AX334" s="395" t="b">
        <f t="shared" si="277"/>
        <v>0</v>
      </c>
      <c r="AY334" s="395" t="b">
        <f t="shared" si="278"/>
        <v>0</v>
      </c>
      <c r="BA334" t="str">
        <f>'Ashed teabags wet'!A332</f>
        <v>G795</v>
      </c>
      <c r="BB334" t="str">
        <f>'Ashed teabags wet'!A752</f>
        <v>R545</v>
      </c>
      <c r="BC334" t="b">
        <f t="shared" si="279"/>
        <v>0</v>
      </c>
      <c r="BD334" t="b">
        <f t="shared" si="259"/>
        <v>0</v>
      </c>
      <c r="BF334" t="str">
        <f t="shared" si="280"/>
        <v>G93</v>
      </c>
      <c r="BG334" t="str">
        <f>T333</f>
        <v>G93</v>
      </c>
      <c r="BH334" t="str">
        <f t="shared" si="281"/>
        <v>G265</v>
      </c>
      <c r="BI334" t="str">
        <f t="shared" si="295"/>
        <v>G265</v>
      </c>
      <c r="BJ334" t="s">
        <v>1957</v>
      </c>
      <c r="BK334" t="s">
        <v>1957</v>
      </c>
      <c r="BL334" t="s">
        <v>1957</v>
      </c>
      <c r="BM334" t="b">
        <f t="shared" si="296"/>
        <v>1</v>
      </c>
      <c r="BN334" t="str">
        <f t="shared" si="282"/>
        <v>R836</v>
      </c>
      <c r="BO334" t="str">
        <f>U333</f>
        <v>R836</v>
      </c>
      <c r="BP334" t="str">
        <f t="shared" si="283"/>
        <v>R636</v>
      </c>
      <c r="BQ334" t="str">
        <f t="shared" si="284"/>
        <v>R636</v>
      </c>
      <c r="BR334" t="s">
        <v>303</v>
      </c>
      <c r="BS334" t="s">
        <v>302</v>
      </c>
      <c r="BT334" t="s">
        <v>303</v>
      </c>
      <c r="BU334" t="b">
        <f t="shared" si="297"/>
        <v>1</v>
      </c>
      <c r="BZ334" t="str">
        <f t="shared" si="285"/>
        <v>G265</v>
      </c>
      <c r="CA334" t="b">
        <f t="shared" si="286"/>
        <v>0</v>
      </c>
      <c r="CB334" t="str">
        <f t="shared" si="298"/>
        <v>G265</v>
      </c>
      <c r="CC334" t="str">
        <f t="shared" si="287"/>
        <v>R636</v>
      </c>
      <c r="CD334" t="b">
        <f t="shared" si="299"/>
        <v>0</v>
      </c>
      <c r="CE334" t="str">
        <f t="shared" si="300"/>
        <v>R636</v>
      </c>
      <c r="CG334" t="str">
        <f t="shared" si="288"/>
        <v>G793</v>
      </c>
      <c r="CH334" t="str">
        <f t="shared" si="301"/>
        <v>G793</v>
      </c>
      <c r="CI334" t="str">
        <f>AE333</f>
        <v>G882</v>
      </c>
      <c r="CJ334" t="str">
        <f t="shared" si="289"/>
        <v>G882</v>
      </c>
      <c r="CK334" t="s">
        <v>1257</v>
      </c>
      <c r="CL334" t="s">
        <v>1257</v>
      </c>
      <c r="CM334" t="s">
        <v>1257</v>
      </c>
      <c r="CN334" t="b">
        <f t="shared" si="302"/>
        <v>1</v>
      </c>
      <c r="CO334" t="str">
        <f t="shared" si="290"/>
        <v>R544</v>
      </c>
      <c r="CP334" t="str">
        <f t="shared" si="303"/>
        <v>R544</v>
      </c>
      <c r="CQ334" t="str">
        <f>AF333</f>
        <v>R54</v>
      </c>
      <c r="CR334" t="str">
        <f t="shared" si="291"/>
        <v>R54</v>
      </c>
      <c r="CS334" t="s">
        <v>597</v>
      </c>
      <c r="CT334" t="s">
        <v>599</v>
      </c>
      <c r="CU334" t="s">
        <v>597</v>
      </c>
      <c r="CV334" t="b">
        <f t="shared" si="304"/>
        <v>1</v>
      </c>
      <c r="DC334" t="str">
        <f t="shared" si="292"/>
        <v>G882</v>
      </c>
      <c r="DD334" t="b">
        <f t="shared" si="305"/>
        <v>0</v>
      </c>
      <c r="DE334" t="str">
        <f t="shared" si="306"/>
        <v>G882</v>
      </c>
      <c r="DF334" t="str">
        <f t="shared" si="293"/>
        <v>R54</v>
      </c>
      <c r="DG334" t="b">
        <f t="shared" si="307"/>
        <v>0</v>
      </c>
      <c r="DH334" t="str">
        <f t="shared" si="308"/>
        <v>R54</v>
      </c>
    </row>
    <row r="335" spans="2:112" ht="12" customHeight="1">
      <c r="B335" t="str">
        <f>TBIDry!H407</f>
        <v/>
      </c>
      <c r="C335" t="str">
        <f>TBIDry!I407</f>
        <v/>
      </c>
      <c r="D335" t="b">
        <f t="shared" si="260"/>
        <v>1</v>
      </c>
      <c r="E335" t="b">
        <f t="shared" si="261"/>
        <v>1</v>
      </c>
      <c r="G335" t="str">
        <f>TBIWet!H407</f>
        <v>G852</v>
      </c>
      <c r="H335" t="str">
        <f>TBIWet!I407</f>
        <v>R530</v>
      </c>
      <c r="I335" t="b">
        <f t="shared" si="262"/>
        <v>0</v>
      </c>
      <c r="J335" t="b">
        <f t="shared" si="263"/>
        <v>0</v>
      </c>
      <c r="L335" t="str">
        <f>'Both teabags AfterWet'!A333</f>
        <v>G796</v>
      </c>
      <c r="M335" t="str">
        <f>'Both teabags AfterWet'!A753</f>
        <v>R546</v>
      </c>
      <c r="N335" t="b">
        <f t="shared" si="264"/>
        <v>0</v>
      </c>
      <c r="O335" t="b">
        <f t="shared" si="309"/>
        <v>0</v>
      </c>
      <c r="Q335" s="395" t="b">
        <f t="shared" si="265"/>
        <v>0</v>
      </c>
      <c r="R335" s="395" t="b">
        <f t="shared" si="266"/>
        <v>0</v>
      </c>
      <c r="T335" t="str">
        <f>'Both teabags AfterDry'!A333</f>
        <v>G95</v>
      </c>
      <c r="U335" t="str">
        <f>'Both teabags AfterDry'!A668</f>
        <v>R838</v>
      </c>
      <c r="V335" t="b">
        <f t="shared" si="267"/>
        <v>0</v>
      </c>
      <c r="W335" t="b">
        <f t="shared" si="294"/>
        <v>0</v>
      </c>
      <c r="Y335" t="str">
        <f>'Green_rooibos initial weight'!A336</f>
        <v>G332</v>
      </c>
      <c r="Z335" t="str">
        <f>'Green_rooibos initial weight'!A1240</f>
        <v>R332</v>
      </c>
      <c r="AA335" t="b">
        <f t="shared" si="268"/>
        <v>0</v>
      </c>
      <c r="AB335" t="b">
        <f t="shared" si="269"/>
        <v>0</v>
      </c>
      <c r="AE335" t="str">
        <f>'WetLitterbags placem_collection'!O114</f>
        <v>G852</v>
      </c>
      <c r="AF335" t="str">
        <f>'WetLitterbags placem_collection'!Q114</f>
        <v>R530</v>
      </c>
      <c r="AG335" t="b">
        <f t="shared" si="270"/>
        <v>0</v>
      </c>
      <c r="AH335" t="b">
        <f t="shared" si="271"/>
        <v>0</v>
      </c>
      <c r="AJ335" t="b">
        <f t="shared" si="272"/>
        <v>0</v>
      </c>
      <c r="AK335" t="b">
        <f t="shared" si="273"/>
        <v>0</v>
      </c>
      <c r="AM335" t="str">
        <f>IF(ISBLANK('Dry_Litterbag Placem_Collection'!L114),"","G"&amp;""&amp;'Dry_Litterbag Placem_Collection'!L114)</f>
        <v/>
      </c>
      <c r="AN335" t="str">
        <f>IF(ISBLANK('Dry_Litterbag Placem_Collection'!M114),"","R"&amp;""&amp;'Dry_Litterbag Placem_Collection'!M114)</f>
        <v/>
      </c>
      <c r="AO335" t="b">
        <f t="shared" si="274"/>
        <v>1</v>
      </c>
      <c r="AP335" t="b">
        <f t="shared" si="275"/>
        <v>1</v>
      </c>
      <c r="AS335" t="str">
        <f>'Ashed teabags dry'!A333</f>
        <v>G95</v>
      </c>
      <c r="AT335" t="str">
        <f>'Ashed teabags dry'!A668</f>
        <v>R838</v>
      </c>
      <c r="AU335" t="b">
        <f t="shared" si="276"/>
        <v>0</v>
      </c>
      <c r="AV335" t="b">
        <f>COUNTIF($AT$4:$AT$2000, AT335)&gt;1</f>
        <v>0</v>
      </c>
      <c r="AX335" s="395" t="b">
        <f t="shared" si="277"/>
        <v>0</v>
      </c>
      <c r="AY335" s="395" t="b">
        <f t="shared" si="278"/>
        <v>0</v>
      </c>
      <c r="BA335" t="str">
        <f>'Ashed teabags wet'!A333</f>
        <v>G796</v>
      </c>
      <c r="BB335" t="str">
        <f>'Ashed teabags wet'!A753</f>
        <v>R546</v>
      </c>
      <c r="BC335" t="b">
        <f t="shared" si="279"/>
        <v>0</v>
      </c>
      <c r="BD335" t="b">
        <f t="shared" si="259"/>
        <v>0</v>
      </c>
      <c r="BF335" t="str">
        <f t="shared" si="280"/>
        <v>G94</v>
      </c>
      <c r="BG335" t="str">
        <f>T334</f>
        <v>G94</v>
      </c>
      <c r="BH335" t="str">
        <f t="shared" si="281"/>
        <v>G455</v>
      </c>
      <c r="BI335" t="str">
        <f t="shared" si="295"/>
        <v>G455</v>
      </c>
      <c r="BJ335" t="s">
        <v>1956</v>
      </c>
      <c r="BK335" t="s">
        <v>1956</v>
      </c>
      <c r="BL335" t="s">
        <v>1956</v>
      </c>
      <c r="BM335" t="b">
        <f t="shared" si="296"/>
        <v>1</v>
      </c>
      <c r="BN335" t="str">
        <f t="shared" si="282"/>
        <v>R837</v>
      </c>
      <c r="BO335" t="str">
        <f>U334</f>
        <v>R837</v>
      </c>
      <c r="BP335" t="str">
        <f t="shared" si="283"/>
        <v>R239</v>
      </c>
      <c r="BQ335" t="str">
        <f t="shared" si="284"/>
        <v>R239</v>
      </c>
      <c r="BR335" t="s">
        <v>302</v>
      </c>
      <c r="BS335" t="s">
        <v>301</v>
      </c>
      <c r="BT335" t="s">
        <v>302</v>
      </c>
      <c r="BU335" t="b">
        <f t="shared" si="297"/>
        <v>1</v>
      </c>
      <c r="BZ335" t="str">
        <f t="shared" si="285"/>
        <v>G455</v>
      </c>
      <c r="CA335" t="b">
        <f t="shared" si="286"/>
        <v>0</v>
      </c>
      <c r="CB335" t="str">
        <f t="shared" si="298"/>
        <v>G455</v>
      </c>
      <c r="CC335" t="str">
        <f t="shared" si="287"/>
        <v>R239</v>
      </c>
      <c r="CD335" t="b">
        <f t="shared" si="299"/>
        <v>0</v>
      </c>
      <c r="CE335" t="str">
        <f t="shared" si="300"/>
        <v>R239</v>
      </c>
      <c r="CG335" t="str">
        <f t="shared" si="288"/>
        <v>G795</v>
      </c>
      <c r="CH335" t="str">
        <f t="shared" si="301"/>
        <v>G795</v>
      </c>
      <c r="CI335" t="str">
        <f>AE334</f>
        <v>G695</v>
      </c>
      <c r="CJ335" t="str">
        <f t="shared" si="289"/>
        <v>G695</v>
      </c>
      <c r="CK335" t="s">
        <v>1255</v>
      </c>
      <c r="CL335" t="s">
        <v>1255</v>
      </c>
      <c r="CM335" t="s">
        <v>1255</v>
      </c>
      <c r="CN335" t="b">
        <f t="shared" si="302"/>
        <v>1</v>
      </c>
      <c r="CO335" t="str">
        <f t="shared" si="290"/>
        <v>R545</v>
      </c>
      <c r="CP335" t="str">
        <f t="shared" si="303"/>
        <v>R545</v>
      </c>
      <c r="CQ335" t="str">
        <f>AF334</f>
        <v>R487</v>
      </c>
      <c r="CR335" t="str">
        <f t="shared" si="291"/>
        <v>R487</v>
      </c>
      <c r="CS335" t="s">
        <v>596</v>
      </c>
      <c r="CT335" t="s">
        <v>598</v>
      </c>
      <c r="CU335" t="s">
        <v>596</v>
      </c>
      <c r="CV335" t="b">
        <f t="shared" si="304"/>
        <v>1</v>
      </c>
      <c r="DC335" t="str">
        <f t="shared" si="292"/>
        <v>G695</v>
      </c>
      <c r="DD335" t="b">
        <f t="shared" si="305"/>
        <v>0</v>
      </c>
      <c r="DE335" t="str">
        <f t="shared" si="306"/>
        <v>G695</v>
      </c>
      <c r="DF335" t="str">
        <f t="shared" si="293"/>
        <v>R487</v>
      </c>
      <c r="DG335" t="b">
        <f t="shared" si="307"/>
        <v>0</v>
      </c>
      <c r="DH335" t="str">
        <f t="shared" si="308"/>
        <v>R487</v>
      </c>
    </row>
    <row r="336" spans="2:112" ht="12" customHeight="1">
      <c r="B336" t="str">
        <f>TBIDry!H408</f>
        <v>G490</v>
      </c>
      <c r="C336" t="str">
        <f>TBIDry!I408</f>
        <v>R313</v>
      </c>
      <c r="D336" t="b">
        <f t="shared" si="260"/>
        <v>0</v>
      </c>
      <c r="E336" t="b">
        <f t="shared" si="261"/>
        <v>0</v>
      </c>
      <c r="G336" t="str">
        <f>TBIWet!H408</f>
        <v>G769</v>
      </c>
      <c r="H336" t="str">
        <f>TBIWet!I408</f>
        <v>R578</v>
      </c>
      <c r="I336" t="b">
        <f t="shared" si="262"/>
        <v>0</v>
      </c>
      <c r="J336" t="b">
        <f t="shared" si="263"/>
        <v>0</v>
      </c>
      <c r="L336" t="str">
        <f>'Both teabags AfterWet'!A334</f>
        <v>G798</v>
      </c>
      <c r="M336" t="str">
        <f>'Both teabags AfterWet'!A754</f>
        <v>R547</v>
      </c>
      <c r="N336" t="b">
        <f t="shared" si="264"/>
        <v>0</v>
      </c>
      <c r="O336" t="b">
        <f t="shared" si="309"/>
        <v>0</v>
      </c>
      <c r="Q336" s="395" t="b">
        <f t="shared" si="265"/>
        <v>0</v>
      </c>
      <c r="R336" s="395" t="b">
        <f t="shared" si="266"/>
        <v>0</v>
      </c>
      <c r="T336" t="str">
        <f>'Both teabags AfterDry'!A334</f>
        <v>G96</v>
      </c>
      <c r="U336" t="str">
        <f>'Both teabags AfterDry'!A669</f>
        <v>R839</v>
      </c>
      <c r="V336" t="b">
        <f t="shared" si="267"/>
        <v>0</v>
      </c>
      <c r="W336" t="b">
        <f t="shared" si="294"/>
        <v>0</v>
      </c>
      <c r="Y336" t="str">
        <f>'Green_rooibos initial weight'!A337</f>
        <v>G333</v>
      </c>
      <c r="Z336" t="str">
        <f>'Green_rooibos initial weight'!A1241</f>
        <v>R333</v>
      </c>
      <c r="AA336" t="b">
        <f t="shared" si="268"/>
        <v>0</v>
      </c>
      <c r="AB336" t="b">
        <f t="shared" si="269"/>
        <v>0</v>
      </c>
      <c r="AE336" t="str">
        <f>'WetLitterbags placem_collection'!O115</f>
        <v>G769</v>
      </c>
      <c r="AF336" t="str">
        <f>'WetLitterbags placem_collection'!Q115</f>
        <v>R578</v>
      </c>
      <c r="AG336" t="b">
        <f t="shared" si="270"/>
        <v>0</v>
      </c>
      <c r="AH336" t="b">
        <f t="shared" si="271"/>
        <v>0</v>
      </c>
      <c r="AJ336" t="b">
        <f t="shared" si="272"/>
        <v>0</v>
      </c>
      <c r="AK336" t="b">
        <f t="shared" si="273"/>
        <v>0</v>
      </c>
      <c r="AM336" t="str">
        <f>IF(ISBLANK('Dry_Litterbag Placem_Collection'!L115),"","G"&amp;""&amp;'Dry_Litterbag Placem_Collection'!L115)</f>
        <v>G490</v>
      </c>
      <c r="AN336" t="str">
        <f>IF(ISBLANK('Dry_Litterbag Placem_Collection'!M115),"","R"&amp;""&amp;'Dry_Litterbag Placem_Collection'!M115)</f>
        <v>R313</v>
      </c>
      <c r="AO336" t="b">
        <f t="shared" si="274"/>
        <v>0</v>
      </c>
      <c r="AP336" t="b">
        <f t="shared" si="275"/>
        <v>0</v>
      </c>
      <c r="AS336" t="str">
        <f>'Ashed teabags dry'!A334</f>
        <v>G96</v>
      </c>
      <c r="AT336" t="str">
        <f>'Ashed teabags dry'!A669</f>
        <v>R839</v>
      </c>
      <c r="AU336" t="b">
        <f t="shared" si="276"/>
        <v>0</v>
      </c>
      <c r="AV336" t="b">
        <f>COUNTIF($AT$4:$AT$2000, AT336)&gt;1</f>
        <v>0</v>
      </c>
      <c r="AX336" s="395" t="b">
        <f t="shared" si="277"/>
        <v>0</v>
      </c>
      <c r="AY336" s="395" t="b">
        <f t="shared" si="278"/>
        <v>0</v>
      </c>
      <c r="BA336" t="str">
        <f>'Ashed teabags wet'!A334</f>
        <v>G798</v>
      </c>
      <c r="BB336" t="str">
        <f>'Ashed teabags wet'!A754</f>
        <v>R547</v>
      </c>
      <c r="BC336" t="b">
        <f t="shared" si="279"/>
        <v>0</v>
      </c>
      <c r="BD336" t="b">
        <f t="shared" si="259"/>
        <v>0</v>
      </c>
      <c r="BF336" t="str">
        <f t="shared" si="280"/>
        <v>G95</v>
      </c>
      <c r="BG336" t="str">
        <f>T335</f>
        <v>G95</v>
      </c>
      <c r="BH336" t="str">
        <f t="shared" si="281"/>
        <v/>
      </c>
      <c r="BI336" t="str">
        <f t="shared" si="295"/>
        <v/>
      </c>
      <c r="BJ336" t="s">
        <v>1955</v>
      </c>
      <c r="BK336" t="s">
        <v>1955</v>
      </c>
      <c r="BL336" t="s">
        <v>1955</v>
      </c>
      <c r="BM336" t="b">
        <f t="shared" si="296"/>
        <v>1</v>
      </c>
      <c r="BN336" t="str">
        <f t="shared" si="282"/>
        <v>R838</v>
      </c>
      <c r="BO336" t="str">
        <f>U335</f>
        <v>R838</v>
      </c>
      <c r="BP336" t="str">
        <f t="shared" si="283"/>
        <v/>
      </c>
      <c r="BQ336" t="str">
        <f t="shared" si="284"/>
        <v/>
      </c>
      <c r="BR336" t="s">
        <v>301</v>
      </c>
      <c r="BS336" t="s">
        <v>300</v>
      </c>
      <c r="BT336" t="s">
        <v>301</v>
      </c>
      <c r="BU336" t="b">
        <f t="shared" si="297"/>
        <v>1</v>
      </c>
      <c r="BZ336" t="str">
        <f t="shared" si="285"/>
        <v/>
      </c>
      <c r="CA336" t="b">
        <f t="shared" si="286"/>
        <v>0</v>
      </c>
      <c r="CB336" t="str">
        <f t="shared" si="298"/>
        <v/>
      </c>
      <c r="CC336" t="str">
        <f t="shared" si="287"/>
        <v/>
      </c>
      <c r="CD336" t="b">
        <f t="shared" si="299"/>
        <v>0</v>
      </c>
      <c r="CE336" t="str">
        <f t="shared" si="300"/>
        <v/>
      </c>
      <c r="CG336" t="str">
        <f t="shared" si="288"/>
        <v>G796</v>
      </c>
      <c r="CH336" t="str">
        <f t="shared" si="301"/>
        <v>G796</v>
      </c>
      <c r="CI336" t="str">
        <f>AE335</f>
        <v>G852</v>
      </c>
      <c r="CJ336" t="str">
        <f t="shared" si="289"/>
        <v>G852</v>
      </c>
      <c r="CK336" t="s">
        <v>1254</v>
      </c>
      <c r="CL336" t="s">
        <v>1254</v>
      </c>
      <c r="CM336" t="s">
        <v>1254</v>
      </c>
      <c r="CN336" t="b">
        <f t="shared" si="302"/>
        <v>1</v>
      </c>
      <c r="CO336" t="str">
        <f t="shared" si="290"/>
        <v>R546</v>
      </c>
      <c r="CP336" t="str">
        <f t="shared" si="303"/>
        <v>R546</v>
      </c>
      <c r="CQ336" t="str">
        <f>AF335</f>
        <v>R530</v>
      </c>
      <c r="CR336" t="str">
        <f t="shared" si="291"/>
        <v>R530</v>
      </c>
      <c r="CS336" t="s">
        <v>595</v>
      </c>
      <c r="CT336" t="s">
        <v>597</v>
      </c>
      <c r="CU336" t="s">
        <v>595</v>
      </c>
      <c r="CV336" t="b">
        <f t="shared" si="304"/>
        <v>1</v>
      </c>
      <c r="DC336" t="str">
        <f t="shared" si="292"/>
        <v>G852</v>
      </c>
      <c r="DD336" t="b">
        <f t="shared" si="305"/>
        <v>0</v>
      </c>
      <c r="DE336" t="str">
        <f t="shared" si="306"/>
        <v>G852</v>
      </c>
      <c r="DF336" t="str">
        <f t="shared" si="293"/>
        <v>R530</v>
      </c>
      <c r="DG336" t="b">
        <f t="shared" si="307"/>
        <v>0</v>
      </c>
      <c r="DH336" t="str">
        <f t="shared" si="308"/>
        <v>R530</v>
      </c>
    </row>
    <row r="337" spans="2:112" ht="12" customHeight="1">
      <c r="B337" t="str">
        <f>TBIDry!H409</f>
        <v>G650</v>
      </c>
      <c r="C337" t="str">
        <f>TBIDry!I409</f>
        <v>R247</v>
      </c>
      <c r="D337" t="b">
        <f t="shared" si="260"/>
        <v>0</v>
      </c>
      <c r="E337" t="b">
        <f t="shared" si="261"/>
        <v>0</v>
      </c>
      <c r="G337" t="str">
        <f>TBIWet!H409</f>
        <v>G889</v>
      </c>
      <c r="H337" t="str">
        <f>TBIWet!I409</f>
        <v>R37</v>
      </c>
      <c r="I337" t="b">
        <f t="shared" si="262"/>
        <v>0</v>
      </c>
      <c r="J337" t="b">
        <f t="shared" si="263"/>
        <v>0</v>
      </c>
      <c r="L337" t="str">
        <f>'Both teabags AfterWet'!A335</f>
        <v>G799</v>
      </c>
      <c r="M337" t="str">
        <f>'Both teabags AfterWet'!A755</f>
        <v>R548</v>
      </c>
      <c r="N337" t="b">
        <f t="shared" si="264"/>
        <v>0</v>
      </c>
      <c r="O337" t="b">
        <f t="shared" si="309"/>
        <v>0</v>
      </c>
      <c r="Q337" s="395" t="b">
        <f t="shared" si="265"/>
        <v>0</v>
      </c>
      <c r="R337" s="395" t="b">
        <f t="shared" si="266"/>
        <v>0</v>
      </c>
      <c r="T337" t="str">
        <f>'Both teabags AfterDry'!A335</f>
        <v>G97</v>
      </c>
      <c r="U337" t="str">
        <f>'Both teabags AfterDry'!A670</f>
        <v>R84</v>
      </c>
      <c r="V337" t="b">
        <f t="shared" si="267"/>
        <v>0</v>
      </c>
      <c r="W337" t="b">
        <f t="shared" si="294"/>
        <v>0</v>
      </c>
      <c r="Y337" t="str">
        <f>'Green_rooibos initial weight'!A338</f>
        <v>G334</v>
      </c>
      <c r="Z337" t="str">
        <f>'Green_rooibos initial weight'!A1242</f>
        <v>R334</v>
      </c>
      <c r="AA337" t="b">
        <f t="shared" si="268"/>
        <v>0</v>
      </c>
      <c r="AB337" t="b">
        <f t="shared" si="269"/>
        <v>0</v>
      </c>
      <c r="AE337" t="str">
        <f>'WetLitterbags placem_collection'!O116</f>
        <v>G889</v>
      </c>
      <c r="AF337" t="str">
        <f>'WetLitterbags placem_collection'!Q116</f>
        <v>R37</v>
      </c>
      <c r="AG337" t="b">
        <f t="shared" si="270"/>
        <v>0</v>
      </c>
      <c r="AH337" t="b">
        <f t="shared" si="271"/>
        <v>0</v>
      </c>
      <c r="AJ337" t="b">
        <f t="shared" si="272"/>
        <v>0</v>
      </c>
      <c r="AK337" t="b">
        <f t="shared" si="273"/>
        <v>0</v>
      </c>
      <c r="AM337" t="str">
        <f>IF(ISBLANK('Dry_Litterbag Placem_Collection'!L116),"","G"&amp;""&amp;'Dry_Litterbag Placem_Collection'!L116)</f>
        <v>G650</v>
      </c>
      <c r="AN337" t="str">
        <f>IF(ISBLANK('Dry_Litterbag Placem_Collection'!M116),"","R"&amp;""&amp;'Dry_Litterbag Placem_Collection'!M116)</f>
        <v>R247</v>
      </c>
      <c r="AO337" t="b">
        <f t="shared" si="274"/>
        <v>0</v>
      </c>
      <c r="AP337" t="b">
        <f t="shared" si="275"/>
        <v>0</v>
      </c>
      <c r="AS337" t="str">
        <f>'Ashed teabags dry'!A335</f>
        <v>G97</v>
      </c>
      <c r="AT337" t="str">
        <f>'Ashed teabags dry'!A670</f>
        <v>R84</v>
      </c>
      <c r="AU337" t="b">
        <f t="shared" si="276"/>
        <v>0</v>
      </c>
      <c r="AV337" t="b">
        <f>COUNTIF($AT$4:$AT$2000, AT337)&gt;1</f>
        <v>0</v>
      </c>
      <c r="AX337" s="395" t="b">
        <f t="shared" si="277"/>
        <v>0</v>
      </c>
      <c r="AY337" s="395" t="b">
        <f t="shared" si="278"/>
        <v>0</v>
      </c>
      <c r="BA337" t="str">
        <f>'Ashed teabags wet'!A335</f>
        <v>G799</v>
      </c>
      <c r="BB337" t="str">
        <f>'Ashed teabags wet'!A755</f>
        <v>R548</v>
      </c>
      <c r="BC337" t="b">
        <f t="shared" si="279"/>
        <v>0</v>
      </c>
      <c r="BD337" t="b">
        <f t="shared" si="259"/>
        <v>0</v>
      </c>
      <c r="BF337" t="str">
        <f t="shared" si="280"/>
        <v>G96</v>
      </c>
      <c r="BG337" t="str">
        <f>T336</f>
        <v>G96</v>
      </c>
      <c r="BH337" t="str">
        <f t="shared" si="281"/>
        <v>G490</v>
      </c>
      <c r="BI337" t="str">
        <f t="shared" si="295"/>
        <v>G490</v>
      </c>
      <c r="BJ337" t="s">
        <v>1954</v>
      </c>
      <c r="BK337" t="s">
        <v>1954</v>
      </c>
      <c r="BL337" t="s">
        <v>1954</v>
      </c>
      <c r="BM337" t="b">
        <f t="shared" si="296"/>
        <v>1</v>
      </c>
      <c r="BN337" t="str">
        <f t="shared" si="282"/>
        <v>R839</v>
      </c>
      <c r="BO337" t="str">
        <f>U336</f>
        <v>R839</v>
      </c>
      <c r="BP337" t="str">
        <f t="shared" si="283"/>
        <v>R313</v>
      </c>
      <c r="BQ337" t="str">
        <f t="shared" si="284"/>
        <v>R313</v>
      </c>
      <c r="BR337" t="s">
        <v>300</v>
      </c>
      <c r="BS337" t="s">
        <v>1057</v>
      </c>
      <c r="BT337" t="s">
        <v>300</v>
      </c>
      <c r="BU337" t="b">
        <f t="shared" si="297"/>
        <v>1</v>
      </c>
      <c r="BZ337" t="str">
        <f t="shared" si="285"/>
        <v>G490</v>
      </c>
      <c r="CA337" t="b">
        <f t="shared" si="286"/>
        <v>0</v>
      </c>
      <c r="CB337" t="str">
        <f t="shared" si="298"/>
        <v>G490</v>
      </c>
      <c r="CC337" t="str">
        <f t="shared" si="287"/>
        <v>R313</v>
      </c>
      <c r="CD337" t="b">
        <f t="shared" si="299"/>
        <v>0</v>
      </c>
      <c r="CE337" t="str">
        <f t="shared" si="300"/>
        <v>R313</v>
      </c>
      <c r="CG337" t="str">
        <f t="shared" si="288"/>
        <v>G798</v>
      </c>
      <c r="CH337" t="str">
        <f t="shared" si="301"/>
        <v>G798</v>
      </c>
      <c r="CI337" t="str">
        <f>AE336</f>
        <v>G769</v>
      </c>
      <c r="CJ337" t="str">
        <f t="shared" si="289"/>
        <v>G769</v>
      </c>
      <c r="CK337" t="s">
        <v>1252</v>
      </c>
      <c r="CL337" t="s">
        <v>1252</v>
      </c>
      <c r="CM337" t="s">
        <v>1252</v>
      </c>
      <c r="CN337" t="b">
        <f t="shared" si="302"/>
        <v>1</v>
      </c>
      <c r="CO337" t="str">
        <f t="shared" si="290"/>
        <v>R547</v>
      </c>
      <c r="CP337" t="str">
        <f t="shared" si="303"/>
        <v>R547</v>
      </c>
      <c r="CQ337" t="str">
        <f>AF336</f>
        <v>R578</v>
      </c>
      <c r="CR337" t="str">
        <f t="shared" si="291"/>
        <v>R578</v>
      </c>
      <c r="CS337" t="s">
        <v>594</v>
      </c>
      <c r="CT337" t="s">
        <v>596</v>
      </c>
      <c r="CU337" t="s">
        <v>594</v>
      </c>
      <c r="CV337" t="b">
        <f t="shared" si="304"/>
        <v>1</v>
      </c>
      <c r="DC337" t="str">
        <f t="shared" si="292"/>
        <v>G769</v>
      </c>
      <c r="DD337" t="b">
        <f t="shared" si="305"/>
        <v>0</v>
      </c>
      <c r="DE337" t="str">
        <f t="shared" si="306"/>
        <v>G769</v>
      </c>
      <c r="DF337" t="str">
        <f t="shared" si="293"/>
        <v>R578</v>
      </c>
      <c r="DG337" t="b">
        <f t="shared" si="307"/>
        <v>0</v>
      </c>
      <c r="DH337" t="str">
        <f t="shared" si="308"/>
        <v>R578</v>
      </c>
    </row>
    <row r="338" spans="2:112" ht="12" customHeight="1">
      <c r="B338" t="str">
        <f>TBIDry!H410</f>
        <v>G873</v>
      </c>
      <c r="C338" t="str">
        <f>TBIDry!I410</f>
        <v>R671</v>
      </c>
      <c r="D338" t="b">
        <f t="shared" si="260"/>
        <v>0</v>
      </c>
      <c r="E338" t="b">
        <f t="shared" si="261"/>
        <v>0</v>
      </c>
      <c r="G338" t="str">
        <f>TBIWet!H410</f>
        <v>G778</v>
      </c>
      <c r="H338" t="str">
        <f>TBIWet!I410</f>
        <v>R522</v>
      </c>
      <c r="I338" t="b">
        <f t="shared" si="262"/>
        <v>0</v>
      </c>
      <c r="J338" t="b">
        <f t="shared" si="263"/>
        <v>0</v>
      </c>
      <c r="L338" t="str">
        <f>'Both teabags AfterWet'!A336</f>
        <v>G800</v>
      </c>
      <c r="M338" t="str">
        <f>'Both teabags AfterWet'!A756</f>
        <v>R549</v>
      </c>
      <c r="N338" t="b">
        <f t="shared" si="264"/>
        <v>0</v>
      </c>
      <c r="O338" t="b">
        <f t="shared" si="309"/>
        <v>0</v>
      </c>
      <c r="Q338" s="395" t="b">
        <f t="shared" si="265"/>
        <v>0</v>
      </c>
      <c r="R338" s="395" t="b">
        <f t="shared" si="266"/>
        <v>0</v>
      </c>
      <c r="T338" t="str">
        <f>'Both teabags AfterDry'!A336</f>
        <v>G99</v>
      </c>
      <c r="U338" t="str">
        <f>'Both teabags AfterDry'!A671</f>
        <v>R840</v>
      </c>
      <c r="V338" t="b">
        <f t="shared" si="267"/>
        <v>0</v>
      </c>
      <c r="W338" t="b">
        <f t="shared" si="294"/>
        <v>0</v>
      </c>
      <c r="Y338" t="str">
        <f>'Green_rooibos initial weight'!A339</f>
        <v>G335</v>
      </c>
      <c r="Z338" t="str">
        <f>'Green_rooibos initial weight'!A1243</f>
        <v>R335</v>
      </c>
      <c r="AA338" t="b">
        <f t="shared" si="268"/>
        <v>0</v>
      </c>
      <c r="AB338" t="b">
        <f t="shared" si="269"/>
        <v>0</v>
      </c>
      <c r="AE338" t="str">
        <f>'WetLitterbags placem_collection'!O117</f>
        <v>G778</v>
      </c>
      <c r="AF338" t="str">
        <f>'WetLitterbags placem_collection'!Q117</f>
        <v>R522</v>
      </c>
      <c r="AG338" t="b">
        <f t="shared" si="270"/>
        <v>0</v>
      </c>
      <c r="AH338" t="b">
        <f t="shared" si="271"/>
        <v>0</v>
      </c>
      <c r="AJ338" t="b">
        <f t="shared" si="272"/>
        <v>0</v>
      </c>
      <c r="AK338" t="b">
        <f t="shared" si="273"/>
        <v>0</v>
      </c>
      <c r="AM338" t="str">
        <f>IF(ISBLANK('Dry_Litterbag Placem_Collection'!L117),"","G"&amp;""&amp;'Dry_Litterbag Placem_Collection'!L117)</f>
        <v>G873</v>
      </c>
      <c r="AN338" t="str">
        <f>IF(ISBLANK('Dry_Litterbag Placem_Collection'!M117),"","R"&amp;""&amp;'Dry_Litterbag Placem_Collection'!M117)</f>
        <v>R671</v>
      </c>
      <c r="AO338" t="b">
        <f t="shared" si="274"/>
        <v>0</v>
      </c>
      <c r="AP338" t="b">
        <f t="shared" si="275"/>
        <v>0</v>
      </c>
      <c r="AS338" t="str">
        <f>'Ashed teabags dry'!A336</f>
        <v>G99</v>
      </c>
      <c r="AT338" t="str">
        <f>'Ashed teabags dry'!A671</f>
        <v>R840</v>
      </c>
      <c r="AU338" t="b">
        <f t="shared" si="276"/>
        <v>0</v>
      </c>
      <c r="AV338" t="b">
        <f>COUNTIF($AT$4:$AT$2000, AT338)&gt;1</f>
        <v>0</v>
      </c>
      <c r="AX338" s="395" t="b">
        <f t="shared" si="277"/>
        <v>0</v>
      </c>
      <c r="AY338" s="395" t="b">
        <f t="shared" si="278"/>
        <v>0</v>
      </c>
      <c r="BA338" t="str">
        <f>'Ashed teabags wet'!A336</f>
        <v>G800</v>
      </c>
      <c r="BB338" t="str">
        <f>'Ashed teabags wet'!A756</f>
        <v>R549</v>
      </c>
      <c r="BC338" t="b">
        <f t="shared" si="279"/>
        <v>0</v>
      </c>
      <c r="BD338" t="b">
        <f t="shared" si="259"/>
        <v>0</v>
      </c>
      <c r="BF338" t="str">
        <f t="shared" si="280"/>
        <v>G97</v>
      </c>
      <c r="BG338" t="str">
        <f>T337</f>
        <v>G97</v>
      </c>
      <c r="BH338" t="str">
        <f t="shared" si="281"/>
        <v>G650</v>
      </c>
      <c r="BI338" t="str">
        <f t="shared" si="295"/>
        <v>G650</v>
      </c>
      <c r="BJ338" t="s">
        <v>1953</v>
      </c>
      <c r="BK338" t="s">
        <v>1953</v>
      </c>
      <c r="BL338" t="s">
        <v>1953</v>
      </c>
      <c r="BM338" t="b">
        <f t="shared" si="296"/>
        <v>1</v>
      </c>
      <c r="BN338" t="str">
        <f t="shared" si="282"/>
        <v>R84</v>
      </c>
      <c r="BO338" t="str">
        <f>U337</f>
        <v>R84</v>
      </c>
      <c r="BP338" t="str">
        <f t="shared" si="283"/>
        <v>R247</v>
      </c>
      <c r="BQ338" t="str">
        <f t="shared" si="284"/>
        <v>R247</v>
      </c>
      <c r="BR338" t="s">
        <v>1057</v>
      </c>
      <c r="BS338" t="s">
        <v>299</v>
      </c>
      <c r="BT338" t="s">
        <v>1057</v>
      </c>
      <c r="BU338" t="b">
        <f xml:space="preserve"> COUNTIF($BR$5:$BT$2000,BS338)=3</f>
        <v>1</v>
      </c>
      <c r="BZ338" t="str">
        <f t="shared" si="285"/>
        <v>G650</v>
      </c>
      <c r="CA338" t="b">
        <f t="shared" si="286"/>
        <v>0</v>
      </c>
      <c r="CB338" t="str">
        <f t="shared" si="298"/>
        <v>G650</v>
      </c>
      <c r="CC338" t="str">
        <f t="shared" si="287"/>
        <v>R247</v>
      </c>
      <c r="CD338" t="b">
        <f t="shared" si="299"/>
        <v>0</v>
      </c>
      <c r="CE338" t="str">
        <f t="shared" si="300"/>
        <v>R247</v>
      </c>
      <c r="CG338" t="str">
        <f t="shared" si="288"/>
        <v>G799</v>
      </c>
      <c r="CH338" t="str">
        <f t="shared" si="301"/>
        <v>G799</v>
      </c>
      <c r="CI338" t="str">
        <f>AE337</f>
        <v>G889</v>
      </c>
      <c r="CJ338" t="str">
        <f t="shared" si="289"/>
        <v>G889</v>
      </c>
      <c r="CK338" t="s">
        <v>1251</v>
      </c>
      <c r="CL338" t="s">
        <v>1251</v>
      </c>
      <c r="CM338" t="s">
        <v>1251</v>
      </c>
      <c r="CN338" t="b">
        <f t="shared" si="302"/>
        <v>1</v>
      </c>
      <c r="CO338" t="str">
        <f t="shared" si="290"/>
        <v>R548</v>
      </c>
      <c r="CP338" t="str">
        <f t="shared" si="303"/>
        <v>R548</v>
      </c>
      <c r="CQ338" t="str">
        <f>AF337</f>
        <v>R37</v>
      </c>
      <c r="CR338" t="str">
        <f t="shared" si="291"/>
        <v>R37</v>
      </c>
      <c r="CS338" t="s">
        <v>593</v>
      </c>
      <c r="CT338" t="s">
        <v>595</v>
      </c>
      <c r="CU338" t="s">
        <v>593</v>
      </c>
      <c r="CV338" t="b">
        <f t="shared" si="304"/>
        <v>1</v>
      </c>
      <c r="DC338" t="str">
        <f t="shared" si="292"/>
        <v>G889</v>
      </c>
      <c r="DD338" t="b">
        <f t="shared" si="305"/>
        <v>0</v>
      </c>
      <c r="DE338" t="str">
        <f t="shared" si="306"/>
        <v>G889</v>
      </c>
      <c r="DF338" t="str">
        <f t="shared" si="293"/>
        <v>R37</v>
      </c>
      <c r="DG338" t="b">
        <f t="shared" si="307"/>
        <v>0</v>
      </c>
      <c r="DH338" t="str">
        <f t="shared" si="308"/>
        <v>R37</v>
      </c>
    </row>
    <row r="339" spans="2:112" ht="12" customHeight="1">
      <c r="B339" t="str">
        <f>TBIDry!H411</f>
        <v>G206</v>
      </c>
      <c r="C339" t="str">
        <f>TBIDry!I411</f>
        <v>R638</v>
      </c>
      <c r="D339" t="b">
        <f t="shared" si="260"/>
        <v>0</v>
      </c>
      <c r="E339" t="b">
        <f t="shared" si="261"/>
        <v>0</v>
      </c>
      <c r="G339" t="str">
        <f>TBIWet!H411</f>
        <v>G563</v>
      </c>
      <c r="H339" t="str">
        <f>TBIWet!I411</f>
        <v>R480</v>
      </c>
      <c r="I339" t="b">
        <f t="shared" si="262"/>
        <v>0</v>
      </c>
      <c r="J339" t="b">
        <f t="shared" si="263"/>
        <v>0</v>
      </c>
      <c r="L339" t="str">
        <f>'Both teabags AfterWet'!A337</f>
        <v>G801</v>
      </c>
      <c r="M339" t="str">
        <f>'Both teabags AfterWet'!A757</f>
        <v>R54</v>
      </c>
      <c r="N339" t="b">
        <f t="shared" si="264"/>
        <v>0</v>
      </c>
      <c r="O339" t="b">
        <f t="shared" si="309"/>
        <v>0</v>
      </c>
      <c r="Q339" s="395" t="b">
        <f t="shared" si="265"/>
        <v>0</v>
      </c>
      <c r="R339" s="395" t="b">
        <f t="shared" si="266"/>
        <v>0</v>
      </c>
      <c r="T339" t="str">
        <f>'Both teabags AfterDry'!A337</f>
        <v>R106</v>
      </c>
      <c r="V339" t="b">
        <f t="shared" si="267"/>
        <v>0</v>
      </c>
      <c r="W339" t="b">
        <f t="shared" si="294"/>
        <v>0</v>
      </c>
      <c r="Y339" t="str">
        <f>'Green_rooibos initial weight'!A340</f>
        <v>G336</v>
      </c>
      <c r="Z339" t="str">
        <f>'Green_rooibos initial weight'!A1244</f>
        <v>R336</v>
      </c>
      <c r="AA339" t="b">
        <f t="shared" si="268"/>
        <v>0</v>
      </c>
      <c r="AB339" t="b">
        <f t="shared" si="269"/>
        <v>0</v>
      </c>
      <c r="AE339" t="str">
        <f>'WetLitterbags placem_collection'!O118</f>
        <v>G563</v>
      </c>
      <c r="AF339" t="str">
        <f>'WetLitterbags placem_collection'!Q118</f>
        <v>R480</v>
      </c>
      <c r="AG339" t="b">
        <f t="shared" si="270"/>
        <v>0</v>
      </c>
      <c r="AH339" t="b">
        <f t="shared" si="271"/>
        <v>0</v>
      </c>
      <c r="AJ339" t="b">
        <f t="shared" si="272"/>
        <v>0</v>
      </c>
      <c r="AK339" t="b">
        <f t="shared" si="273"/>
        <v>0</v>
      </c>
      <c r="AM339" t="str">
        <f>IF(ISBLANK('Dry_Litterbag Placem_Collection'!L118),"","G"&amp;""&amp;'Dry_Litterbag Placem_Collection'!L118)</f>
        <v>G206</v>
      </c>
      <c r="AN339" t="str">
        <f>IF(ISBLANK('Dry_Litterbag Placem_Collection'!M118),"","R"&amp;""&amp;'Dry_Litterbag Placem_Collection'!M118)</f>
        <v>R638</v>
      </c>
      <c r="AO339" t="b">
        <f t="shared" si="274"/>
        <v>0</v>
      </c>
      <c r="AP339" t="b">
        <f t="shared" si="275"/>
        <v>0</v>
      </c>
      <c r="AT339">
        <f>'Ashed teabags dry'!A672</f>
        <v>0</v>
      </c>
      <c r="AU339" t="b">
        <f>COUNTIF($AS$4:$AS$2000, AT4)&gt;1</f>
        <v>0</v>
      </c>
      <c r="AV339" t="b">
        <f>COUNTIF($AT$4:$AT$2000, AT339)&gt;1</f>
        <v>0</v>
      </c>
      <c r="AX339" s="395" t="b">
        <f t="shared" si="277"/>
        <v>0</v>
      </c>
      <c r="AY339" s="395" t="b">
        <f t="shared" si="278"/>
        <v>0</v>
      </c>
      <c r="BA339" t="str">
        <f>'Ashed teabags wet'!A337</f>
        <v>G801</v>
      </c>
      <c r="BB339" t="str">
        <f>'Ashed teabags wet'!A757</f>
        <v>R54</v>
      </c>
      <c r="BC339" t="b">
        <f t="shared" si="279"/>
        <v>0</v>
      </c>
      <c r="BD339" t="b">
        <f t="shared" si="259"/>
        <v>0</v>
      </c>
      <c r="BF339" t="str">
        <f t="shared" si="280"/>
        <v>G99</v>
      </c>
      <c r="BG339" t="str">
        <f>T338</f>
        <v>G99</v>
      </c>
      <c r="BH339" t="str">
        <f t="shared" si="281"/>
        <v>G873</v>
      </c>
      <c r="BI339" t="str">
        <f t="shared" si="295"/>
        <v>G873</v>
      </c>
      <c r="BJ339" t="s">
        <v>1951</v>
      </c>
      <c r="BK339" t="s">
        <v>1951</v>
      </c>
      <c r="BL339" t="s">
        <v>1951</v>
      </c>
      <c r="BM339" t="b">
        <f t="shared" si="296"/>
        <v>1</v>
      </c>
      <c r="BN339" t="str">
        <f t="shared" si="282"/>
        <v>R840</v>
      </c>
      <c r="BO339" t="str">
        <f>U338</f>
        <v>R840</v>
      </c>
      <c r="BP339" t="str">
        <f t="shared" si="283"/>
        <v>R671</v>
      </c>
      <c r="BQ339" t="str">
        <f t="shared" si="284"/>
        <v>R671</v>
      </c>
      <c r="BR339" t="s">
        <v>299</v>
      </c>
      <c r="BS339" t="s">
        <v>3872</v>
      </c>
      <c r="BT339" t="s">
        <v>299</v>
      </c>
      <c r="BU339" t="b">
        <f t="shared" si="297"/>
        <v>1</v>
      </c>
      <c r="BZ339" t="str">
        <f t="shared" si="285"/>
        <v>G873</v>
      </c>
      <c r="CA339" t="b">
        <f t="shared" si="286"/>
        <v>0</v>
      </c>
      <c r="CB339" t="str">
        <f t="shared" si="298"/>
        <v>G873</v>
      </c>
      <c r="CC339" t="str">
        <f t="shared" si="287"/>
        <v>R671</v>
      </c>
      <c r="CD339" t="b">
        <f t="shared" si="299"/>
        <v>0</v>
      </c>
      <c r="CE339" t="str">
        <f t="shared" si="300"/>
        <v>R671</v>
      </c>
      <c r="CG339" t="str">
        <f t="shared" si="288"/>
        <v>G800</v>
      </c>
      <c r="CH339" t="str">
        <f t="shared" si="301"/>
        <v>G800</v>
      </c>
      <c r="CI339" t="str">
        <f>AE338</f>
        <v>G778</v>
      </c>
      <c r="CJ339" t="str">
        <f t="shared" si="289"/>
        <v>G778</v>
      </c>
      <c r="CK339" t="s">
        <v>1250</v>
      </c>
      <c r="CL339" t="s">
        <v>1250</v>
      </c>
      <c r="CM339" t="s">
        <v>1250</v>
      </c>
      <c r="CN339" t="b">
        <f t="shared" si="302"/>
        <v>1</v>
      </c>
      <c r="CO339" t="str">
        <f t="shared" si="290"/>
        <v>R549</v>
      </c>
      <c r="CP339" t="str">
        <f t="shared" si="303"/>
        <v>R549</v>
      </c>
      <c r="CQ339" t="str">
        <f>AF338</f>
        <v>R522</v>
      </c>
      <c r="CR339" t="str">
        <f t="shared" si="291"/>
        <v>R522</v>
      </c>
      <c r="CS339" t="s">
        <v>592</v>
      </c>
      <c r="CT339" t="s">
        <v>594</v>
      </c>
      <c r="CU339" t="s">
        <v>592</v>
      </c>
      <c r="CV339" t="b">
        <f t="shared" si="304"/>
        <v>1</v>
      </c>
      <c r="DC339" t="str">
        <f t="shared" si="292"/>
        <v>G778</v>
      </c>
      <c r="DD339" t="b">
        <f t="shared" si="305"/>
        <v>0</v>
      </c>
      <c r="DE339" t="str">
        <f t="shared" si="306"/>
        <v>G778</v>
      </c>
      <c r="DF339" t="str">
        <f t="shared" si="293"/>
        <v>R522</v>
      </c>
      <c r="DG339" t="b">
        <f t="shared" si="307"/>
        <v>0</v>
      </c>
      <c r="DH339" t="str">
        <f t="shared" si="308"/>
        <v>R522</v>
      </c>
    </row>
    <row r="340" spans="2:112" ht="12" customHeight="1">
      <c r="B340" t="str">
        <f>TBIDry!H412</f>
        <v>G163</v>
      </c>
      <c r="C340" t="str">
        <f>TBIDry!I412</f>
        <v>R719</v>
      </c>
      <c r="D340" t="b">
        <f t="shared" si="260"/>
        <v>0</v>
      </c>
      <c r="E340" t="b">
        <f t="shared" si="261"/>
        <v>0</v>
      </c>
      <c r="G340" t="str">
        <f>TBIWet!H412</f>
        <v>G901</v>
      </c>
      <c r="H340" t="str">
        <f>TBIWet!I412</f>
        <v>R565</v>
      </c>
      <c r="I340" t="b">
        <f t="shared" si="262"/>
        <v>0</v>
      </c>
      <c r="J340" t="b">
        <f t="shared" si="263"/>
        <v>0</v>
      </c>
      <c r="L340" t="str">
        <f>'Both teabags AfterWet'!A338</f>
        <v>G802</v>
      </c>
      <c r="M340" t="str">
        <f>'Both teabags AfterWet'!A758</f>
        <v>R53</v>
      </c>
      <c r="N340" t="b">
        <f t="shared" si="264"/>
        <v>0</v>
      </c>
      <c r="O340" t="b">
        <f t="shared" si="309"/>
        <v>0</v>
      </c>
      <c r="Q340" s="395" t="b">
        <f t="shared" si="265"/>
        <v>0</v>
      </c>
      <c r="R340" s="395" t="b">
        <f t="shared" si="266"/>
        <v>0</v>
      </c>
      <c r="T340" t="str">
        <f>'Both teabags AfterDry'!A338</f>
        <v>R108</v>
      </c>
      <c r="V340" t="b">
        <f t="shared" si="267"/>
        <v>0</v>
      </c>
      <c r="W340" t="b">
        <f t="shared" si="294"/>
        <v>0</v>
      </c>
      <c r="Y340" t="str">
        <f>'Green_rooibos initial weight'!A341</f>
        <v>G337</v>
      </c>
      <c r="Z340" t="str">
        <f>'Green_rooibos initial weight'!A1245</f>
        <v>R337</v>
      </c>
      <c r="AA340" t="b">
        <f t="shared" si="268"/>
        <v>0</v>
      </c>
      <c r="AB340" t="b">
        <f t="shared" si="269"/>
        <v>0</v>
      </c>
      <c r="AE340" t="str">
        <f>'WetLitterbags placem_collection'!O119</f>
        <v>G901</v>
      </c>
      <c r="AF340" t="str">
        <f>'WetLitterbags placem_collection'!Q119</f>
        <v>R565</v>
      </c>
      <c r="AG340" t="b">
        <f t="shared" si="270"/>
        <v>0</v>
      </c>
      <c r="AH340" t="b">
        <f t="shared" si="271"/>
        <v>0</v>
      </c>
      <c r="AJ340" t="b">
        <f t="shared" si="272"/>
        <v>0</v>
      </c>
      <c r="AK340" t="b">
        <f t="shared" si="273"/>
        <v>0</v>
      </c>
      <c r="AM340" t="str">
        <f>IF(ISBLANK('Dry_Litterbag Placem_Collection'!L119),"","G"&amp;""&amp;'Dry_Litterbag Placem_Collection'!L119)</f>
        <v>G163</v>
      </c>
      <c r="AN340" t="str">
        <f>IF(ISBLANK('Dry_Litterbag Placem_Collection'!M119),"","R"&amp;""&amp;'Dry_Litterbag Placem_Collection'!M119)</f>
        <v>R719</v>
      </c>
      <c r="AO340" t="b">
        <f t="shared" si="274"/>
        <v>0</v>
      </c>
      <c r="AP340" t="b">
        <f t="shared" si="275"/>
        <v>0</v>
      </c>
      <c r="AU340" t="b">
        <f>COUNTIF($AS$4:$AS$2000, AT5)&gt;1</f>
        <v>0</v>
      </c>
      <c r="AV340" t="b">
        <f>COUNTIF($AT$4:$AT$2000, AT340)&gt;1</f>
        <v>0</v>
      </c>
      <c r="AX340" s="395" t="b">
        <f t="shared" si="277"/>
        <v>0</v>
      </c>
      <c r="AY340" s="395" t="b">
        <f t="shared" si="278"/>
        <v>0</v>
      </c>
      <c r="BA340" t="str">
        <f>'Ashed teabags wet'!A338</f>
        <v>G802</v>
      </c>
      <c r="BB340" t="str">
        <f>'Ashed teabags wet'!A758</f>
        <v>R53</v>
      </c>
      <c r="BC340" t="b">
        <f t="shared" si="279"/>
        <v>0</v>
      </c>
      <c r="BD340" t="b">
        <f t="shared" si="259"/>
        <v>0</v>
      </c>
      <c r="BH340" t="str">
        <f t="shared" si="281"/>
        <v>G206</v>
      </c>
      <c r="BI340" t="str">
        <f t="shared" si="295"/>
        <v>G206</v>
      </c>
      <c r="BP340" t="str">
        <f t="shared" si="283"/>
        <v>R638</v>
      </c>
      <c r="BQ340" t="str">
        <f t="shared" si="284"/>
        <v>R638</v>
      </c>
      <c r="BZ340" t="str">
        <f t="shared" si="285"/>
        <v>G206</v>
      </c>
      <c r="CA340" t="b">
        <f t="shared" si="286"/>
        <v>0</v>
      </c>
      <c r="CB340" t="str">
        <f t="shared" si="298"/>
        <v>G206</v>
      </c>
      <c r="CC340" t="str">
        <f t="shared" si="287"/>
        <v>R638</v>
      </c>
      <c r="CD340" t="b">
        <f t="shared" si="299"/>
        <v>0</v>
      </c>
      <c r="CE340" t="str">
        <f t="shared" si="300"/>
        <v>R638</v>
      </c>
      <c r="CG340" t="str">
        <f t="shared" si="288"/>
        <v>G801</v>
      </c>
      <c r="CH340" t="str">
        <f t="shared" si="301"/>
        <v>G801</v>
      </c>
      <c r="CI340" t="str">
        <f>AE339</f>
        <v>G563</v>
      </c>
      <c r="CJ340" t="str">
        <f t="shared" si="289"/>
        <v>G563</v>
      </c>
      <c r="CK340" t="s">
        <v>1249</v>
      </c>
      <c r="CL340" t="s">
        <v>1249</v>
      </c>
      <c r="CM340" t="s">
        <v>1249</v>
      </c>
      <c r="CN340" t="b">
        <f t="shared" si="302"/>
        <v>1</v>
      </c>
      <c r="CO340" t="str">
        <f t="shared" si="290"/>
        <v>R54</v>
      </c>
      <c r="CP340" t="str">
        <f t="shared" si="303"/>
        <v>R54</v>
      </c>
      <c r="CQ340" t="str">
        <f>AF339</f>
        <v>R480</v>
      </c>
      <c r="CR340" t="str">
        <f t="shared" si="291"/>
        <v>R480</v>
      </c>
      <c r="CS340" t="s">
        <v>1087</v>
      </c>
      <c r="CT340" t="s">
        <v>593</v>
      </c>
      <c r="CU340" t="s">
        <v>1087</v>
      </c>
      <c r="CV340" t="b">
        <f t="shared" si="304"/>
        <v>1</v>
      </c>
      <c r="DC340" t="str">
        <f t="shared" si="292"/>
        <v>G563</v>
      </c>
      <c r="DD340" t="b">
        <f t="shared" si="305"/>
        <v>0</v>
      </c>
      <c r="DE340" t="str">
        <f t="shared" si="306"/>
        <v>G563</v>
      </c>
      <c r="DF340" t="str">
        <f t="shared" si="293"/>
        <v>R480</v>
      </c>
      <c r="DG340" t="b">
        <f t="shared" si="307"/>
        <v>0</v>
      </c>
      <c r="DH340" t="str">
        <f t="shared" si="308"/>
        <v>R480</v>
      </c>
    </row>
    <row r="341" spans="2:112" ht="12" customHeight="1">
      <c r="B341" t="str">
        <f>TBIDry!H413</f>
        <v>G83</v>
      </c>
      <c r="C341" t="str">
        <f>TBIDry!I413</f>
        <v>R173</v>
      </c>
      <c r="D341" t="b">
        <f t="shared" si="260"/>
        <v>0</v>
      </c>
      <c r="E341" t="b">
        <f t="shared" si="261"/>
        <v>0</v>
      </c>
      <c r="G341" t="str">
        <f>TBIWet!H413</f>
        <v>G791</v>
      </c>
      <c r="H341" t="str">
        <f>TBIWet!I413</f>
        <v>R544</v>
      </c>
      <c r="I341" t="b">
        <f t="shared" si="262"/>
        <v>0</v>
      </c>
      <c r="J341" t="b">
        <f t="shared" si="263"/>
        <v>0</v>
      </c>
      <c r="L341" t="str">
        <f>'Both teabags AfterWet'!A339</f>
        <v>G803</v>
      </c>
      <c r="M341" t="str">
        <f>'Both teabags AfterWet'!A759</f>
        <v>R55</v>
      </c>
      <c r="N341" t="b">
        <f t="shared" si="264"/>
        <v>0</v>
      </c>
      <c r="O341" t="b">
        <f t="shared" si="309"/>
        <v>0</v>
      </c>
      <c r="Q341" s="395" t="b">
        <f t="shared" si="265"/>
        <v>0</v>
      </c>
      <c r="R341" s="395" t="b">
        <f t="shared" si="266"/>
        <v>0</v>
      </c>
      <c r="V341" t="b">
        <f>COUNTIF($T$4:$T$2000, U4)&gt;1</f>
        <v>0</v>
      </c>
      <c r="W341" t="b">
        <f t="shared" si="294"/>
        <v>0</v>
      </c>
      <c r="Y341" t="str">
        <f>'Green_rooibos initial weight'!A342</f>
        <v>G338</v>
      </c>
      <c r="Z341" t="str">
        <f>'Green_rooibos initial weight'!A1246</f>
        <v>R338</v>
      </c>
      <c r="AA341" t="b">
        <f t="shared" si="268"/>
        <v>0</v>
      </c>
      <c r="AB341" t="b">
        <f t="shared" si="269"/>
        <v>0</v>
      </c>
      <c r="AE341" t="str">
        <f>'WetLitterbags placem_collection'!O120</f>
        <v>G791</v>
      </c>
      <c r="AF341" t="str">
        <f>'WetLitterbags placem_collection'!Q120</f>
        <v>R544</v>
      </c>
      <c r="AG341" t="b">
        <f t="shared" si="270"/>
        <v>0</v>
      </c>
      <c r="AH341" t="b">
        <f t="shared" si="271"/>
        <v>0</v>
      </c>
      <c r="AJ341" t="b">
        <f t="shared" si="272"/>
        <v>0</v>
      </c>
      <c r="AK341" t="b">
        <f t="shared" si="273"/>
        <v>0</v>
      </c>
      <c r="AM341" t="str">
        <f>IF(ISBLANK('Dry_Litterbag Placem_Collection'!L120),"","G"&amp;""&amp;'Dry_Litterbag Placem_Collection'!L120)</f>
        <v>G83</v>
      </c>
      <c r="AN341" t="str">
        <f>IF(ISBLANK('Dry_Litterbag Placem_Collection'!M120),"","R"&amp;""&amp;'Dry_Litterbag Placem_Collection'!M120)</f>
        <v>R173</v>
      </c>
      <c r="AO341" t="b">
        <f t="shared" si="274"/>
        <v>0</v>
      </c>
      <c r="AP341" t="b">
        <f t="shared" si="275"/>
        <v>0</v>
      </c>
      <c r="AX341" s="395" t="b">
        <f t="shared" si="277"/>
        <v>0</v>
      </c>
      <c r="AY341" s="395" t="b">
        <f t="shared" si="278"/>
        <v>0</v>
      </c>
      <c r="BA341" t="str">
        <f>'Ashed teabags wet'!A339</f>
        <v>G803</v>
      </c>
      <c r="BB341" t="str">
        <f>'Ashed teabags wet'!A759</f>
        <v>R55</v>
      </c>
      <c r="BC341" t="b">
        <f t="shared" si="279"/>
        <v>0</v>
      </c>
      <c r="BD341" t="b">
        <f t="shared" si="259"/>
        <v>0</v>
      </c>
      <c r="BH341" t="str">
        <f t="shared" si="281"/>
        <v>G163</v>
      </c>
      <c r="BI341" t="str">
        <f t="shared" si="295"/>
        <v/>
      </c>
      <c r="BP341" t="str">
        <f t="shared" si="283"/>
        <v>R719</v>
      </c>
      <c r="BQ341" t="str">
        <f t="shared" si="284"/>
        <v/>
      </c>
      <c r="BZ341" t="str">
        <f t="shared" si="285"/>
        <v>G163</v>
      </c>
      <c r="CA341" t="b">
        <f t="shared" si="286"/>
        <v>1</v>
      </c>
      <c r="CB341" t="str">
        <f t="shared" si="298"/>
        <v/>
      </c>
      <c r="CC341" t="str">
        <f t="shared" si="287"/>
        <v>R719</v>
      </c>
      <c r="CD341" t="b">
        <f t="shared" si="299"/>
        <v>1</v>
      </c>
      <c r="CE341" t="str">
        <f t="shared" si="300"/>
        <v/>
      </c>
      <c r="CG341" t="str">
        <f t="shared" si="288"/>
        <v>G802</v>
      </c>
      <c r="CH341" t="str">
        <f t="shared" si="301"/>
        <v>G802</v>
      </c>
      <c r="CI341" t="str">
        <f>AE340</f>
        <v>G901</v>
      </c>
      <c r="CJ341" t="str">
        <f t="shared" si="289"/>
        <v>G901</v>
      </c>
      <c r="CK341" t="s">
        <v>1248</v>
      </c>
      <c r="CL341" t="s">
        <v>1248</v>
      </c>
      <c r="CM341" t="s">
        <v>1248</v>
      </c>
      <c r="CN341" t="b">
        <f t="shared" si="302"/>
        <v>1</v>
      </c>
      <c r="CO341" t="str">
        <f t="shared" si="290"/>
        <v>R53</v>
      </c>
      <c r="CP341" t="str">
        <f t="shared" si="303"/>
        <v>R53</v>
      </c>
      <c r="CQ341" t="str">
        <f>AF340</f>
        <v>R565</v>
      </c>
      <c r="CR341" t="str">
        <f t="shared" si="291"/>
        <v>R565</v>
      </c>
      <c r="CS341" t="s">
        <v>1088</v>
      </c>
      <c r="CT341" t="s">
        <v>592</v>
      </c>
      <c r="CU341" t="s">
        <v>1088</v>
      </c>
      <c r="CV341" t="b">
        <f t="shared" si="304"/>
        <v>1</v>
      </c>
      <c r="DC341" t="str">
        <f t="shared" si="292"/>
        <v>G901</v>
      </c>
      <c r="DD341" t="b">
        <f t="shared" si="305"/>
        <v>0</v>
      </c>
      <c r="DE341" t="str">
        <f t="shared" si="306"/>
        <v>G901</v>
      </c>
      <c r="DF341" t="str">
        <f t="shared" si="293"/>
        <v>R565</v>
      </c>
      <c r="DG341" t="b">
        <f t="shared" si="307"/>
        <v>0</v>
      </c>
      <c r="DH341" t="str">
        <f t="shared" si="308"/>
        <v>R565</v>
      </c>
    </row>
    <row r="342" spans="2:112" ht="12" customHeight="1">
      <c r="B342" t="str">
        <f>TBIDry!H414</f>
        <v>G159</v>
      </c>
      <c r="C342" t="str">
        <f>TBIDry!I414</f>
        <v>R373</v>
      </c>
      <c r="D342" t="b">
        <f t="shared" si="260"/>
        <v>0</v>
      </c>
      <c r="E342" t="b">
        <f t="shared" si="261"/>
        <v>0</v>
      </c>
      <c r="G342" t="str">
        <f>TBIWet!H414</f>
        <v>G802</v>
      </c>
      <c r="H342" t="str">
        <f>TBIWet!I414</f>
        <v>R526</v>
      </c>
      <c r="I342" t="b">
        <f t="shared" si="262"/>
        <v>0</v>
      </c>
      <c r="J342" t="b">
        <f t="shared" si="263"/>
        <v>0</v>
      </c>
      <c r="L342" t="str">
        <f>'Both teabags AfterWet'!A340</f>
        <v>G804</v>
      </c>
      <c r="M342" t="str">
        <f>'Both teabags AfterWet'!A760</f>
        <v>R550</v>
      </c>
      <c r="N342" t="b">
        <f t="shared" si="264"/>
        <v>0</v>
      </c>
      <c r="O342" t="b">
        <f t="shared" si="309"/>
        <v>0</v>
      </c>
      <c r="Q342" s="395" t="b">
        <f t="shared" si="265"/>
        <v>0</v>
      </c>
      <c r="R342" s="395" t="b">
        <f t="shared" si="266"/>
        <v>0</v>
      </c>
      <c r="V342" t="b">
        <f t="shared" si="267"/>
        <v>0</v>
      </c>
      <c r="W342" t="b">
        <f t="shared" si="294"/>
        <v>0</v>
      </c>
      <c r="Y342" t="str">
        <f>'Green_rooibos initial weight'!A343</f>
        <v>G339</v>
      </c>
      <c r="Z342" t="str">
        <f>'Green_rooibos initial weight'!A1247</f>
        <v>R339</v>
      </c>
      <c r="AA342" t="b">
        <f t="shared" si="268"/>
        <v>0</v>
      </c>
      <c r="AB342" t="b">
        <f t="shared" si="269"/>
        <v>0</v>
      </c>
      <c r="AE342" t="str">
        <f>'WetLitterbags placem_collection'!O121</f>
        <v>G802</v>
      </c>
      <c r="AF342" t="str">
        <f>'WetLitterbags placem_collection'!Q121</f>
        <v>R526</v>
      </c>
      <c r="AG342" t="b">
        <f t="shared" si="270"/>
        <v>0</v>
      </c>
      <c r="AH342" t="b">
        <f t="shared" si="271"/>
        <v>0</v>
      </c>
      <c r="AJ342" t="b">
        <f t="shared" si="272"/>
        <v>0</v>
      </c>
      <c r="AK342" t="b">
        <f t="shared" si="273"/>
        <v>0</v>
      </c>
      <c r="AM342" t="str">
        <f>IF(ISBLANK('Dry_Litterbag Placem_Collection'!L121),"","G"&amp;""&amp;'Dry_Litterbag Placem_Collection'!L121)</f>
        <v>G159</v>
      </c>
      <c r="AN342" t="str">
        <f>IF(ISBLANK('Dry_Litterbag Placem_Collection'!M121),"","R"&amp;""&amp;'Dry_Litterbag Placem_Collection'!M121)</f>
        <v>R373</v>
      </c>
      <c r="AO342" t="b">
        <f t="shared" si="274"/>
        <v>0</v>
      </c>
      <c r="AP342" t="b">
        <f t="shared" si="275"/>
        <v>0</v>
      </c>
      <c r="AX342" s="395" t="b">
        <f t="shared" si="277"/>
        <v>0</v>
      </c>
      <c r="AY342" s="395" t="b">
        <f t="shared" si="278"/>
        <v>0</v>
      </c>
      <c r="BA342" t="str">
        <f>'Ashed teabags wet'!A340</f>
        <v>G804</v>
      </c>
      <c r="BB342" t="str">
        <f>'Ashed teabags wet'!A760</f>
        <v>R550</v>
      </c>
      <c r="BC342" t="b">
        <f t="shared" si="279"/>
        <v>0</v>
      </c>
      <c r="BD342" t="b">
        <f t="shared" si="259"/>
        <v>0</v>
      </c>
      <c r="BH342" t="str">
        <f t="shared" si="281"/>
        <v>G83</v>
      </c>
      <c r="BI342" t="str">
        <f t="shared" si="295"/>
        <v>G83</v>
      </c>
      <c r="BP342" t="str">
        <f t="shared" si="283"/>
        <v>R173</v>
      </c>
      <c r="BQ342" t="str">
        <f t="shared" si="284"/>
        <v>R173</v>
      </c>
      <c r="BZ342" t="str">
        <f t="shared" si="285"/>
        <v>G83</v>
      </c>
      <c r="CA342" t="b">
        <f t="shared" si="286"/>
        <v>0</v>
      </c>
      <c r="CB342" t="str">
        <f t="shared" si="298"/>
        <v>G83</v>
      </c>
      <c r="CC342" t="str">
        <f t="shared" si="287"/>
        <v>R173</v>
      </c>
      <c r="CD342" t="b">
        <f t="shared" si="299"/>
        <v>0</v>
      </c>
      <c r="CE342" t="str">
        <f t="shared" si="300"/>
        <v>R173</v>
      </c>
      <c r="CG342" t="str">
        <f t="shared" si="288"/>
        <v>G803</v>
      </c>
      <c r="CH342" t="str">
        <f t="shared" si="301"/>
        <v>G803</v>
      </c>
      <c r="CI342" t="str">
        <f>AE341</f>
        <v>G791</v>
      </c>
      <c r="CJ342" t="str">
        <f t="shared" si="289"/>
        <v>G791</v>
      </c>
      <c r="CK342" t="s">
        <v>1247</v>
      </c>
      <c r="CL342" t="s">
        <v>1247</v>
      </c>
      <c r="CM342" t="s">
        <v>1247</v>
      </c>
      <c r="CN342" t="b">
        <f t="shared" si="302"/>
        <v>1</v>
      </c>
      <c r="CO342" t="str">
        <f t="shared" si="290"/>
        <v>R55</v>
      </c>
      <c r="CP342" t="str">
        <f t="shared" si="303"/>
        <v>R55</v>
      </c>
      <c r="CQ342" t="str">
        <f>AF341</f>
        <v>R544</v>
      </c>
      <c r="CR342" t="str">
        <f t="shared" si="291"/>
        <v>R544</v>
      </c>
      <c r="CS342" t="s">
        <v>1086</v>
      </c>
      <c r="CT342" t="s">
        <v>1086</v>
      </c>
      <c r="CU342" t="s">
        <v>1086</v>
      </c>
      <c r="CV342" t="b">
        <f t="shared" si="304"/>
        <v>1</v>
      </c>
      <c r="DC342" t="str">
        <f t="shared" si="292"/>
        <v>G791</v>
      </c>
      <c r="DD342" t="b">
        <f t="shared" si="305"/>
        <v>0</v>
      </c>
      <c r="DE342" t="str">
        <f t="shared" si="306"/>
        <v>G791</v>
      </c>
      <c r="DF342" t="str">
        <f t="shared" si="293"/>
        <v>R544</v>
      </c>
      <c r="DG342" t="b">
        <f t="shared" si="307"/>
        <v>0</v>
      </c>
      <c r="DH342" t="str">
        <f t="shared" si="308"/>
        <v>R544</v>
      </c>
    </row>
    <row r="343" spans="2:112" ht="12" customHeight="1">
      <c r="B343" t="str">
        <f>TBIDry!H415</f>
        <v/>
      </c>
      <c r="C343" t="str">
        <f>TBIDry!I415</f>
        <v/>
      </c>
      <c r="D343" t="b">
        <f t="shared" si="260"/>
        <v>1</v>
      </c>
      <c r="E343" t="b">
        <f t="shared" si="261"/>
        <v>1</v>
      </c>
      <c r="G343" t="str">
        <f>TBIWet!H415</f>
        <v>G698</v>
      </c>
      <c r="H343" t="str">
        <f>TBIWet!I415</f>
        <v>R594</v>
      </c>
      <c r="I343" t="b">
        <f t="shared" si="262"/>
        <v>0</v>
      </c>
      <c r="J343" t="b">
        <f t="shared" si="263"/>
        <v>0</v>
      </c>
      <c r="L343" t="str">
        <f>'Both teabags AfterWet'!A341</f>
        <v>G805</v>
      </c>
      <c r="M343" t="str">
        <f>'Both teabags AfterWet'!A761</f>
        <v>R552</v>
      </c>
      <c r="N343" t="b">
        <f t="shared" si="264"/>
        <v>0</v>
      </c>
      <c r="O343" t="b">
        <f t="shared" si="309"/>
        <v>0</v>
      </c>
      <c r="Q343" s="395" t="b">
        <f t="shared" si="265"/>
        <v>0</v>
      </c>
      <c r="R343" s="395" t="b">
        <f t="shared" si="266"/>
        <v>0</v>
      </c>
      <c r="V343" t="b">
        <f t="shared" si="267"/>
        <v>0</v>
      </c>
      <c r="W343" t="b">
        <f t="shared" si="294"/>
        <v>0</v>
      </c>
      <c r="Y343" t="str">
        <f>'Green_rooibos initial weight'!A344</f>
        <v>G340</v>
      </c>
      <c r="Z343" t="str">
        <f>'Green_rooibos initial weight'!A1248</f>
        <v>R340</v>
      </c>
      <c r="AA343" t="b">
        <f t="shared" si="268"/>
        <v>0</v>
      </c>
      <c r="AB343" t="b">
        <f t="shared" si="269"/>
        <v>0</v>
      </c>
      <c r="AE343" t="str">
        <f>'WetLitterbags placem_collection'!O122</f>
        <v>G698</v>
      </c>
      <c r="AF343" t="str">
        <f>'WetLitterbags placem_collection'!Q122</f>
        <v>R594</v>
      </c>
      <c r="AG343" t="b">
        <f t="shared" si="270"/>
        <v>0</v>
      </c>
      <c r="AH343" t="b">
        <f t="shared" si="271"/>
        <v>0</v>
      </c>
      <c r="AJ343" t="b">
        <f t="shared" si="272"/>
        <v>0</v>
      </c>
      <c r="AK343" t="b">
        <f t="shared" si="273"/>
        <v>0</v>
      </c>
      <c r="AM343" t="str">
        <f>IF(ISBLANK('Dry_Litterbag Placem_Collection'!L122),"","G"&amp;""&amp;'Dry_Litterbag Placem_Collection'!L122)</f>
        <v/>
      </c>
      <c r="AN343" t="str">
        <f>IF(ISBLANK('Dry_Litterbag Placem_Collection'!M122),"","R"&amp;""&amp;'Dry_Litterbag Placem_Collection'!M122)</f>
        <v/>
      </c>
      <c r="AO343" t="b">
        <f t="shared" si="274"/>
        <v>1</v>
      </c>
      <c r="AP343" t="b">
        <f t="shared" si="275"/>
        <v>1</v>
      </c>
      <c r="AX343" s="395" t="b">
        <f t="shared" si="277"/>
        <v>0</v>
      </c>
      <c r="AY343" s="395" t="b">
        <f t="shared" si="278"/>
        <v>0</v>
      </c>
      <c r="BA343" t="str">
        <f>'Ashed teabags wet'!A341</f>
        <v>G805</v>
      </c>
      <c r="BB343" t="str">
        <f>'Ashed teabags wet'!A761</f>
        <v>R552</v>
      </c>
      <c r="BC343" t="b">
        <f t="shared" si="279"/>
        <v>0</v>
      </c>
      <c r="BD343" t="b">
        <f t="shared" si="259"/>
        <v>0</v>
      </c>
      <c r="BH343" t="str">
        <f t="shared" si="281"/>
        <v>G159</v>
      </c>
      <c r="BI343" t="str">
        <f t="shared" si="295"/>
        <v>G159</v>
      </c>
      <c r="BP343" t="str">
        <f t="shared" si="283"/>
        <v>R373</v>
      </c>
      <c r="BQ343" t="str">
        <f t="shared" si="284"/>
        <v>R373</v>
      </c>
      <c r="BZ343" t="str">
        <f t="shared" si="285"/>
        <v>G159</v>
      </c>
      <c r="CA343" t="b">
        <f t="shared" si="286"/>
        <v>0</v>
      </c>
      <c r="CB343" t="str">
        <f t="shared" si="298"/>
        <v>G159</v>
      </c>
      <c r="CC343" t="str">
        <f t="shared" si="287"/>
        <v>R373</v>
      </c>
      <c r="CD343" t="b">
        <f t="shared" si="299"/>
        <v>0</v>
      </c>
      <c r="CE343" t="str">
        <f t="shared" si="300"/>
        <v>R373</v>
      </c>
      <c r="CG343" t="str">
        <f t="shared" si="288"/>
        <v>G804</v>
      </c>
      <c r="CH343" t="str">
        <f t="shared" si="301"/>
        <v>G804</v>
      </c>
      <c r="CI343" t="str">
        <f>AE342</f>
        <v>G802</v>
      </c>
      <c r="CJ343" t="str">
        <f t="shared" si="289"/>
        <v>G802</v>
      </c>
      <c r="CK343" t="s">
        <v>1246</v>
      </c>
      <c r="CL343" t="s">
        <v>1246</v>
      </c>
      <c r="CM343" t="s">
        <v>1246</v>
      </c>
      <c r="CN343" t="b">
        <f t="shared" si="302"/>
        <v>1</v>
      </c>
      <c r="CO343" t="str">
        <f t="shared" si="290"/>
        <v>R550</v>
      </c>
      <c r="CP343" t="str">
        <f t="shared" si="303"/>
        <v>R550</v>
      </c>
      <c r="CQ343" t="str">
        <f>AF342</f>
        <v>R526</v>
      </c>
      <c r="CR343" t="str">
        <f t="shared" si="291"/>
        <v>R526</v>
      </c>
      <c r="CS343" t="s">
        <v>591</v>
      </c>
      <c r="CT343" t="s">
        <v>591</v>
      </c>
      <c r="CU343" t="s">
        <v>591</v>
      </c>
      <c r="CV343" t="b">
        <f t="shared" si="304"/>
        <v>1</v>
      </c>
      <c r="DC343" t="str">
        <f t="shared" si="292"/>
        <v>G802</v>
      </c>
      <c r="DD343" t="b">
        <f t="shared" si="305"/>
        <v>0</v>
      </c>
      <c r="DE343" t="str">
        <f t="shared" si="306"/>
        <v>G802</v>
      </c>
      <c r="DF343" t="str">
        <f t="shared" si="293"/>
        <v>R526</v>
      </c>
      <c r="DG343" t="b">
        <f t="shared" si="307"/>
        <v>0</v>
      </c>
      <c r="DH343" t="str">
        <f t="shared" si="308"/>
        <v>R526</v>
      </c>
    </row>
    <row r="344" spans="2:112" ht="12" customHeight="1">
      <c r="B344" t="str">
        <f>TBIDry!H416</f>
        <v>G16</v>
      </c>
      <c r="C344" t="str">
        <f>TBIDry!I416</f>
        <v>R374</v>
      </c>
      <c r="D344" t="b">
        <f t="shared" si="260"/>
        <v>0</v>
      </c>
      <c r="E344" t="b">
        <f t="shared" si="261"/>
        <v>0</v>
      </c>
      <c r="G344" t="str">
        <f>TBIWet!H416</f>
        <v>G825</v>
      </c>
      <c r="H344" t="str">
        <f>TBIWet!I416</f>
        <v>R564</v>
      </c>
      <c r="I344" t="b">
        <f t="shared" si="262"/>
        <v>0</v>
      </c>
      <c r="J344" t="b">
        <f t="shared" si="263"/>
        <v>0</v>
      </c>
      <c r="L344" t="str">
        <f>'Both teabags AfterWet'!A342</f>
        <v>G806</v>
      </c>
      <c r="M344" t="str">
        <f>'Both teabags AfterWet'!A762</f>
        <v>R553</v>
      </c>
      <c r="N344" t="b">
        <f t="shared" si="264"/>
        <v>0</v>
      </c>
      <c r="O344" t="b">
        <f t="shared" si="309"/>
        <v>0</v>
      </c>
      <c r="Q344" s="395" t="b">
        <f t="shared" si="265"/>
        <v>0</v>
      </c>
      <c r="R344" s="395" t="b">
        <f t="shared" si="266"/>
        <v>0</v>
      </c>
      <c r="V344" t="b">
        <f t="shared" si="267"/>
        <v>0</v>
      </c>
      <c r="W344" t="b">
        <f t="shared" si="294"/>
        <v>0</v>
      </c>
      <c r="Y344" t="str">
        <f>'Green_rooibos initial weight'!A345</f>
        <v>G341</v>
      </c>
      <c r="Z344" t="str">
        <f>'Green_rooibos initial weight'!A1249</f>
        <v>R341</v>
      </c>
      <c r="AA344" t="b">
        <f t="shared" si="268"/>
        <v>0</v>
      </c>
      <c r="AB344" t="b">
        <f t="shared" si="269"/>
        <v>0</v>
      </c>
      <c r="AE344" t="str">
        <f>'WetLitterbags placem_collection'!O123</f>
        <v>G825</v>
      </c>
      <c r="AF344" t="str">
        <f>'WetLitterbags placem_collection'!Q123</f>
        <v>R564</v>
      </c>
      <c r="AG344" t="b">
        <f t="shared" si="270"/>
        <v>0</v>
      </c>
      <c r="AH344" t="b">
        <f t="shared" si="271"/>
        <v>0</v>
      </c>
      <c r="AJ344" t="b">
        <f t="shared" si="272"/>
        <v>0</v>
      </c>
      <c r="AK344" t="b">
        <f t="shared" si="273"/>
        <v>0</v>
      </c>
      <c r="AM344" t="str">
        <f>IF(ISBLANK('Dry_Litterbag Placem_Collection'!L123),"","G"&amp;""&amp;'Dry_Litterbag Placem_Collection'!L123)</f>
        <v>G16</v>
      </c>
      <c r="AN344" t="str">
        <f>IF(ISBLANK('Dry_Litterbag Placem_Collection'!M123),"","R"&amp;""&amp;'Dry_Litterbag Placem_Collection'!M123)</f>
        <v>R374</v>
      </c>
      <c r="AO344" t="b">
        <f t="shared" si="274"/>
        <v>0</v>
      </c>
      <c r="AP344" t="b">
        <f t="shared" si="275"/>
        <v>0</v>
      </c>
      <c r="AX344" s="395" t="b">
        <f t="shared" si="277"/>
        <v>0</v>
      </c>
      <c r="AY344" s="395" t="b">
        <f t="shared" si="278"/>
        <v>0</v>
      </c>
      <c r="BA344" t="str">
        <f>'Ashed teabags wet'!A342</f>
        <v>G806</v>
      </c>
      <c r="BB344" t="str">
        <f>'Ashed teabags wet'!A762</f>
        <v>R553</v>
      </c>
      <c r="BC344" t="b">
        <f t="shared" si="279"/>
        <v>0</v>
      </c>
      <c r="BD344" t="b">
        <f t="shared" si="259"/>
        <v>0</v>
      </c>
      <c r="BH344" t="str">
        <f t="shared" si="281"/>
        <v/>
      </c>
      <c r="BI344" t="str">
        <f t="shared" si="295"/>
        <v/>
      </c>
      <c r="BP344" t="str">
        <f t="shared" si="283"/>
        <v/>
      </c>
      <c r="BQ344" t="str">
        <f t="shared" si="284"/>
        <v/>
      </c>
      <c r="BZ344" t="str">
        <f t="shared" si="285"/>
        <v/>
      </c>
      <c r="CA344" t="b">
        <f t="shared" si="286"/>
        <v>0</v>
      </c>
      <c r="CB344" t="str">
        <f t="shared" si="298"/>
        <v/>
      </c>
      <c r="CC344" t="str">
        <f t="shared" si="287"/>
        <v/>
      </c>
      <c r="CD344" t="b">
        <f t="shared" si="299"/>
        <v>0</v>
      </c>
      <c r="CE344" t="str">
        <f t="shared" si="300"/>
        <v/>
      </c>
      <c r="CG344" t="str">
        <f t="shared" si="288"/>
        <v>G805</v>
      </c>
      <c r="CH344" t="str">
        <f t="shared" si="301"/>
        <v>G805</v>
      </c>
      <c r="CI344" t="str">
        <f>AE343</f>
        <v>G698</v>
      </c>
      <c r="CJ344" t="str">
        <f t="shared" si="289"/>
        <v>G698</v>
      </c>
      <c r="CK344" t="s">
        <v>1245</v>
      </c>
      <c r="CL344" t="s">
        <v>1245</v>
      </c>
      <c r="CM344" t="s">
        <v>1245</v>
      </c>
      <c r="CN344" t="b">
        <f t="shared" si="302"/>
        <v>1</v>
      </c>
      <c r="CO344" t="str">
        <f t="shared" si="290"/>
        <v>R552</v>
      </c>
      <c r="CP344" t="str">
        <f t="shared" si="303"/>
        <v>R552</v>
      </c>
      <c r="CQ344" t="str">
        <f>AF343</f>
        <v>R594</v>
      </c>
      <c r="CR344" t="str">
        <f t="shared" si="291"/>
        <v>R594</v>
      </c>
      <c r="CS344" t="s">
        <v>589</v>
      </c>
      <c r="CT344" t="s">
        <v>589</v>
      </c>
      <c r="CU344" t="s">
        <v>589</v>
      </c>
      <c r="CV344" t="b">
        <f t="shared" si="304"/>
        <v>1</v>
      </c>
      <c r="DC344" t="str">
        <f t="shared" si="292"/>
        <v>G698</v>
      </c>
      <c r="DD344" t="b">
        <f t="shared" si="305"/>
        <v>0</v>
      </c>
      <c r="DE344" t="str">
        <f t="shared" si="306"/>
        <v>G698</v>
      </c>
      <c r="DF344" t="str">
        <f t="shared" si="293"/>
        <v>R594</v>
      </c>
      <c r="DG344" t="b">
        <f t="shared" si="307"/>
        <v>0</v>
      </c>
      <c r="DH344" t="str">
        <f t="shared" si="308"/>
        <v>R594</v>
      </c>
    </row>
    <row r="345" spans="2:112" ht="12" customHeight="1">
      <c r="B345" t="str">
        <f>TBIDry!H417</f>
        <v>G109</v>
      </c>
      <c r="C345" t="str">
        <f>TBIDry!I417</f>
        <v>R388</v>
      </c>
      <c r="D345" t="b">
        <f t="shared" si="260"/>
        <v>0</v>
      </c>
      <c r="E345" t="b">
        <f t="shared" si="261"/>
        <v>0</v>
      </c>
      <c r="G345" t="str">
        <f>TBIWet!H417</f>
        <v>G839</v>
      </c>
      <c r="H345" t="str">
        <f>TBIWet!I417</f>
        <v>R429</v>
      </c>
      <c r="I345" t="b">
        <f t="shared" si="262"/>
        <v>0</v>
      </c>
      <c r="J345" t="b">
        <f t="shared" si="263"/>
        <v>0</v>
      </c>
      <c r="L345" t="str">
        <f>'Both teabags AfterWet'!A343</f>
        <v>G807</v>
      </c>
      <c r="M345" t="str">
        <f>'Both teabags AfterWet'!A763</f>
        <v>R554</v>
      </c>
      <c r="N345" t="b">
        <f t="shared" si="264"/>
        <v>0</v>
      </c>
      <c r="O345" t="b">
        <f t="shared" si="309"/>
        <v>0</v>
      </c>
      <c r="Q345" s="395" t="b">
        <f t="shared" si="265"/>
        <v>0</v>
      </c>
      <c r="R345" s="395" t="b">
        <f t="shared" si="266"/>
        <v>0</v>
      </c>
      <c r="V345" t="b">
        <f t="shared" si="267"/>
        <v>0</v>
      </c>
      <c r="W345" t="b">
        <f t="shared" si="294"/>
        <v>0</v>
      </c>
      <c r="Y345" t="str">
        <f>'Green_rooibos initial weight'!A346</f>
        <v>G342</v>
      </c>
      <c r="Z345" t="str">
        <f>'Green_rooibos initial weight'!A1250</f>
        <v>R342</v>
      </c>
      <c r="AA345" t="b">
        <f t="shared" si="268"/>
        <v>0</v>
      </c>
      <c r="AB345" t="b">
        <f t="shared" si="269"/>
        <v>0</v>
      </c>
      <c r="AE345" t="str">
        <f>'WetLitterbags placem_collection'!O124</f>
        <v>G839</v>
      </c>
      <c r="AF345" t="str">
        <f>'WetLitterbags placem_collection'!Q124</f>
        <v>R429</v>
      </c>
      <c r="AG345" t="b">
        <f t="shared" si="270"/>
        <v>0</v>
      </c>
      <c r="AH345" t="b">
        <f t="shared" si="271"/>
        <v>0</v>
      </c>
      <c r="AJ345" t="b">
        <f t="shared" si="272"/>
        <v>0</v>
      </c>
      <c r="AK345" t="b">
        <f t="shared" si="273"/>
        <v>0</v>
      </c>
      <c r="AM345" t="str">
        <f>IF(ISBLANK('Dry_Litterbag Placem_Collection'!L124),"","G"&amp;""&amp;'Dry_Litterbag Placem_Collection'!L124)</f>
        <v>G109</v>
      </c>
      <c r="AN345" t="str">
        <f>IF(ISBLANK('Dry_Litterbag Placem_Collection'!M124),"","R"&amp;""&amp;'Dry_Litterbag Placem_Collection'!M124)</f>
        <v>R388</v>
      </c>
      <c r="AO345" t="b">
        <f t="shared" si="274"/>
        <v>0</v>
      </c>
      <c r="AP345" t="b">
        <f t="shared" si="275"/>
        <v>0</v>
      </c>
      <c r="AX345" s="395" t="b">
        <f t="shared" si="277"/>
        <v>0</v>
      </c>
      <c r="AY345" s="395" t="b">
        <f t="shared" si="278"/>
        <v>0</v>
      </c>
      <c r="BA345" t="str">
        <f>'Ashed teabags wet'!A343</f>
        <v>G807</v>
      </c>
      <c r="BB345" t="str">
        <f>'Ashed teabags wet'!A763</f>
        <v>R554</v>
      </c>
      <c r="BC345" t="b">
        <f t="shared" si="279"/>
        <v>0</v>
      </c>
      <c r="BD345" t="b">
        <f t="shared" si="259"/>
        <v>0</v>
      </c>
      <c r="BH345" t="str">
        <f t="shared" si="281"/>
        <v>G16</v>
      </c>
      <c r="BI345" t="str">
        <f t="shared" si="295"/>
        <v/>
      </c>
      <c r="BP345" t="str">
        <f t="shared" si="283"/>
        <v>R374</v>
      </c>
      <c r="BQ345" t="str">
        <f t="shared" si="284"/>
        <v/>
      </c>
      <c r="BZ345" t="str">
        <f t="shared" si="285"/>
        <v>G16</v>
      </c>
      <c r="CA345" t="b">
        <f t="shared" si="286"/>
        <v>1</v>
      </c>
      <c r="CB345" t="str">
        <f t="shared" si="298"/>
        <v/>
      </c>
      <c r="CC345" t="str">
        <f t="shared" si="287"/>
        <v>R374</v>
      </c>
      <c r="CD345" t="b">
        <f t="shared" si="299"/>
        <v>1</v>
      </c>
      <c r="CE345" t="str">
        <f t="shared" si="300"/>
        <v/>
      </c>
      <c r="CG345" t="str">
        <f t="shared" si="288"/>
        <v>G806</v>
      </c>
      <c r="CH345" t="str">
        <f t="shared" si="301"/>
        <v>G806</v>
      </c>
      <c r="CI345" t="str">
        <f>AE344</f>
        <v>G825</v>
      </c>
      <c r="CJ345" t="str">
        <f t="shared" si="289"/>
        <v>G825</v>
      </c>
      <c r="CK345" t="s">
        <v>1244</v>
      </c>
      <c r="CL345" t="s">
        <v>1244</v>
      </c>
      <c r="CM345" t="s">
        <v>1244</v>
      </c>
      <c r="CN345" t="b">
        <f t="shared" si="302"/>
        <v>1</v>
      </c>
      <c r="CO345" t="str">
        <f t="shared" si="290"/>
        <v>R553</v>
      </c>
      <c r="CP345" t="str">
        <f t="shared" si="303"/>
        <v>R553</v>
      </c>
      <c r="CQ345" t="str">
        <f>AF344</f>
        <v>R564</v>
      </c>
      <c r="CR345" t="str">
        <f t="shared" si="291"/>
        <v>R564</v>
      </c>
      <c r="CS345" t="s">
        <v>588</v>
      </c>
      <c r="CT345" t="s">
        <v>588</v>
      </c>
      <c r="CU345" t="s">
        <v>588</v>
      </c>
      <c r="CV345" t="b">
        <f t="shared" si="304"/>
        <v>1</v>
      </c>
      <c r="DC345" t="str">
        <f t="shared" si="292"/>
        <v>G825</v>
      </c>
      <c r="DD345" t="b">
        <f t="shared" si="305"/>
        <v>0</v>
      </c>
      <c r="DE345" t="str">
        <f t="shared" si="306"/>
        <v>G825</v>
      </c>
      <c r="DF345" t="str">
        <f t="shared" si="293"/>
        <v>R564</v>
      </c>
      <c r="DG345" t="b">
        <f t="shared" si="307"/>
        <v>0</v>
      </c>
      <c r="DH345" t="str">
        <f t="shared" si="308"/>
        <v>R564</v>
      </c>
    </row>
    <row r="346" spans="2:112" ht="12" customHeight="1">
      <c r="B346" t="str">
        <f>TBIDry!H418</f>
        <v>G344</v>
      </c>
      <c r="C346" t="str">
        <f>TBIDry!I418</f>
        <v>R281</v>
      </c>
      <c r="D346" t="b">
        <f t="shared" si="260"/>
        <v>0</v>
      </c>
      <c r="E346" t="b">
        <f t="shared" si="261"/>
        <v>0</v>
      </c>
      <c r="G346" t="str">
        <f>TBIWet!H418</f>
        <v>G895</v>
      </c>
      <c r="H346" t="str">
        <f>TBIWet!I418</f>
        <v>R466</v>
      </c>
      <c r="I346" t="b">
        <f t="shared" si="262"/>
        <v>0</v>
      </c>
      <c r="J346" t="b">
        <f t="shared" si="263"/>
        <v>0</v>
      </c>
      <c r="L346" t="str">
        <f>'Both teabags AfterWet'!A344</f>
        <v>G808</v>
      </c>
      <c r="M346" t="str">
        <f>'Both teabags AfterWet'!A764</f>
        <v>R555</v>
      </c>
      <c r="N346" t="b">
        <f t="shared" si="264"/>
        <v>0</v>
      </c>
      <c r="O346" t="b">
        <f t="shared" si="309"/>
        <v>0</v>
      </c>
      <c r="Q346" s="395" t="b">
        <f t="shared" si="265"/>
        <v>0</v>
      </c>
      <c r="R346" s="395" t="b">
        <f t="shared" si="266"/>
        <v>0</v>
      </c>
      <c r="V346" t="b">
        <f t="shared" si="267"/>
        <v>0</v>
      </c>
      <c r="W346" t="b">
        <f t="shared" si="294"/>
        <v>0</v>
      </c>
      <c r="Y346" t="str">
        <f>'Green_rooibos initial weight'!A347</f>
        <v>G343</v>
      </c>
      <c r="Z346" t="str">
        <f>'Green_rooibos initial weight'!A1251</f>
        <v>R343</v>
      </c>
      <c r="AA346" t="b">
        <f t="shared" si="268"/>
        <v>0</v>
      </c>
      <c r="AB346" t="b">
        <f t="shared" si="269"/>
        <v>0</v>
      </c>
      <c r="AE346" t="str">
        <f>'WetLitterbags placem_collection'!O125</f>
        <v>G895</v>
      </c>
      <c r="AF346" t="str">
        <f>'WetLitterbags placem_collection'!Q125</f>
        <v>R466</v>
      </c>
      <c r="AG346" t="b">
        <f t="shared" si="270"/>
        <v>0</v>
      </c>
      <c r="AH346" t="b">
        <f t="shared" si="271"/>
        <v>0</v>
      </c>
      <c r="AJ346" t="b">
        <f t="shared" si="272"/>
        <v>0</v>
      </c>
      <c r="AK346" t="b">
        <f t="shared" si="273"/>
        <v>0</v>
      </c>
      <c r="AM346" t="str">
        <f>IF(ISBLANK('Dry_Litterbag Placem_Collection'!L125),"","G"&amp;""&amp;'Dry_Litterbag Placem_Collection'!L125)</f>
        <v>G344</v>
      </c>
      <c r="AN346" t="str">
        <f>IF(ISBLANK('Dry_Litterbag Placem_Collection'!M125),"","R"&amp;""&amp;'Dry_Litterbag Placem_Collection'!M125)</f>
        <v>R281</v>
      </c>
      <c r="AO346" t="b">
        <f t="shared" si="274"/>
        <v>0</v>
      </c>
      <c r="AP346" t="b">
        <f t="shared" si="275"/>
        <v>0</v>
      </c>
      <c r="AX346" s="395" t="b">
        <f t="shared" si="277"/>
        <v>0</v>
      </c>
      <c r="AY346" s="395" t="b">
        <f t="shared" si="278"/>
        <v>0</v>
      </c>
      <c r="BA346" t="str">
        <f>'Ashed teabags wet'!A344</f>
        <v>G808</v>
      </c>
      <c r="BB346" t="str">
        <f>'Ashed teabags wet'!A764</f>
        <v>R555</v>
      </c>
      <c r="BC346" t="b">
        <f t="shared" si="279"/>
        <v>0</v>
      </c>
      <c r="BD346" t="b">
        <f t="shared" si="259"/>
        <v>0</v>
      </c>
      <c r="BH346" t="str">
        <f t="shared" si="281"/>
        <v>G109</v>
      </c>
      <c r="BI346" t="str">
        <f t="shared" si="295"/>
        <v>G109</v>
      </c>
      <c r="BP346" t="str">
        <f t="shared" si="283"/>
        <v>R388</v>
      </c>
      <c r="BQ346" t="str">
        <f t="shared" si="284"/>
        <v>R388</v>
      </c>
      <c r="BZ346" t="str">
        <f t="shared" si="285"/>
        <v>G109</v>
      </c>
      <c r="CA346" t="b">
        <f t="shared" si="286"/>
        <v>0</v>
      </c>
      <c r="CB346" t="str">
        <f t="shared" si="298"/>
        <v>G109</v>
      </c>
      <c r="CC346" t="str">
        <f t="shared" si="287"/>
        <v>R388</v>
      </c>
      <c r="CD346" t="b">
        <f t="shared" si="299"/>
        <v>0</v>
      </c>
      <c r="CE346" t="str">
        <f t="shared" si="300"/>
        <v>R388</v>
      </c>
      <c r="CG346" t="str">
        <f t="shared" si="288"/>
        <v>G807</v>
      </c>
      <c r="CH346" t="str">
        <f t="shared" si="301"/>
        <v>G807</v>
      </c>
      <c r="CI346" t="str">
        <f>AE345</f>
        <v>G839</v>
      </c>
      <c r="CJ346" t="str">
        <f t="shared" si="289"/>
        <v>G839</v>
      </c>
      <c r="CK346" t="s">
        <v>1243</v>
      </c>
      <c r="CL346" t="s">
        <v>1243</v>
      </c>
      <c r="CM346" t="s">
        <v>1243</v>
      </c>
      <c r="CN346" t="b">
        <f t="shared" si="302"/>
        <v>1</v>
      </c>
      <c r="CO346" t="str">
        <f t="shared" si="290"/>
        <v>R554</v>
      </c>
      <c r="CP346" t="str">
        <f t="shared" si="303"/>
        <v>R554</v>
      </c>
      <c r="CQ346" t="str">
        <f>AF345</f>
        <v>R429</v>
      </c>
      <c r="CR346" t="str">
        <f t="shared" si="291"/>
        <v>R429</v>
      </c>
      <c r="CS346" t="s">
        <v>587</v>
      </c>
      <c r="CT346" t="s">
        <v>587</v>
      </c>
      <c r="CU346" t="s">
        <v>587</v>
      </c>
      <c r="CV346" t="b">
        <f t="shared" si="304"/>
        <v>1</v>
      </c>
      <c r="DC346" t="str">
        <f t="shared" si="292"/>
        <v>G839</v>
      </c>
      <c r="DD346" t="b">
        <f t="shared" si="305"/>
        <v>0</v>
      </c>
      <c r="DE346" t="str">
        <f t="shared" si="306"/>
        <v>G839</v>
      </c>
      <c r="DF346" t="str">
        <f t="shared" si="293"/>
        <v>R429</v>
      </c>
      <c r="DG346" t="b">
        <f t="shared" si="307"/>
        <v>0</v>
      </c>
      <c r="DH346" t="str">
        <f t="shared" si="308"/>
        <v>R429</v>
      </c>
    </row>
    <row r="347" spans="2:112" ht="12" customHeight="1">
      <c r="B347" t="str">
        <f>TBIDry!H419</f>
        <v>G221</v>
      </c>
      <c r="C347" t="str">
        <f>TBIDry!I419</f>
        <v>R443</v>
      </c>
      <c r="D347" t="b">
        <f t="shared" si="260"/>
        <v>0</v>
      </c>
      <c r="E347" t="b">
        <f t="shared" si="261"/>
        <v>0</v>
      </c>
      <c r="G347" t="str">
        <f>TBIWet!H419</f>
        <v>G682</v>
      </c>
      <c r="H347" t="str">
        <f>TBIWet!I419</f>
        <v>R471</v>
      </c>
      <c r="I347" t="b">
        <f t="shared" si="262"/>
        <v>0</v>
      </c>
      <c r="J347" t="b">
        <f t="shared" si="263"/>
        <v>0</v>
      </c>
      <c r="L347" t="str">
        <f>'Both teabags AfterWet'!A345</f>
        <v>G809</v>
      </c>
      <c r="M347" t="str">
        <f>'Both teabags AfterWet'!A765</f>
        <v>R556</v>
      </c>
      <c r="N347" t="b">
        <f t="shared" si="264"/>
        <v>0</v>
      </c>
      <c r="O347" t="b">
        <f t="shared" si="309"/>
        <v>0</v>
      </c>
      <c r="Q347" s="395" t="b">
        <f t="shared" si="265"/>
        <v>0</v>
      </c>
      <c r="R347" s="395" t="b">
        <f t="shared" si="266"/>
        <v>0</v>
      </c>
      <c r="Y347" t="str">
        <f>'Green_rooibos initial weight'!A348</f>
        <v>G344</v>
      </c>
      <c r="Z347" t="str">
        <f>'Green_rooibos initial weight'!A1252</f>
        <v>R344</v>
      </c>
      <c r="AA347" t="b">
        <f t="shared" si="268"/>
        <v>0</v>
      </c>
      <c r="AB347" t="b">
        <f t="shared" si="269"/>
        <v>0</v>
      </c>
      <c r="AE347" t="str">
        <f>'WetLitterbags placem_collection'!O126</f>
        <v>G682</v>
      </c>
      <c r="AF347" t="str">
        <f>'WetLitterbags placem_collection'!Q126</f>
        <v>R471</v>
      </c>
      <c r="AG347" t="b">
        <f t="shared" si="270"/>
        <v>0</v>
      </c>
      <c r="AH347" t="b">
        <f t="shared" si="271"/>
        <v>0</v>
      </c>
      <c r="AJ347" t="b">
        <f t="shared" si="272"/>
        <v>0</v>
      </c>
      <c r="AK347" t="b">
        <f t="shared" si="273"/>
        <v>0</v>
      </c>
      <c r="AM347" t="str">
        <f>IF(ISBLANK('Dry_Litterbag Placem_Collection'!L126),"","G"&amp;""&amp;'Dry_Litterbag Placem_Collection'!L126)</f>
        <v>G221</v>
      </c>
      <c r="AN347" t="str">
        <f>IF(ISBLANK('Dry_Litterbag Placem_Collection'!M126),"","R"&amp;""&amp;'Dry_Litterbag Placem_Collection'!M126)</f>
        <v>R443</v>
      </c>
      <c r="AO347" t="b">
        <f t="shared" si="274"/>
        <v>0</v>
      </c>
      <c r="AP347" t="b">
        <f t="shared" si="275"/>
        <v>0</v>
      </c>
      <c r="AX347" s="395" t="b">
        <f t="shared" si="277"/>
        <v>0</v>
      </c>
      <c r="AY347" s="395" t="b">
        <f t="shared" si="278"/>
        <v>0</v>
      </c>
      <c r="BA347" t="str">
        <f>'Ashed teabags wet'!A345</f>
        <v>G809</v>
      </c>
      <c r="BB347" t="str">
        <f>'Ashed teabags wet'!A765</f>
        <v>R556</v>
      </c>
      <c r="BC347" t="b">
        <f t="shared" si="279"/>
        <v>0</v>
      </c>
      <c r="BD347" t="b">
        <f t="shared" si="259"/>
        <v>0</v>
      </c>
      <c r="BH347" t="str">
        <f t="shared" si="281"/>
        <v>G344</v>
      </c>
      <c r="BI347" t="str">
        <f t="shared" si="295"/>
        <v>G344</v>
      </c>
      <c r="BP347" t="str">
        <f t="shared" si="283"/>
        <v>R281</v>
      </c>
      <c r="BQ347" t="str">
        <f t="shared" si="284"/>
        <v>R281</v>
      </c>
      <c r="BZ347" t="str">
        <f t="shared" si="285"/>
        <v>G344</v>
      </c>
      <c r="CA347" t="b">
        <f t="shared" si="286"/>
        <v>0</v>
      </c>
      <c r="CB347" t="str">
        <f t="shared" si="298"/>
        <v>G344</v>
      </c>
      <c r="CC347" t="str">
        <f t="shared" si="287"/>
        <v>R281</v>
      </c>
      <c r="CD347" t="b">
        <f t="shared" si="299"/>
        <v>0</v>
      </c>
      <c r="CE347" t="str">
        <f t="shared" si="300"/>
        <v>R281</v>
      </c>
      <c r="CG347" t="str">
        <f t="shared" si="288"/>
        <v>G808</v>
      </c>
      <c r="CH347" t="str">
        <f t="shared" si="301"/>
        <v>G808</v>
      </c>
      <c r="CI347" t="str">
        <f>AE346</f>
        <v>G895</v>
      </c>
      <c r="CJ347" t="str">
        <f t="shared" si="289"/>
        <v>G895</v>
      </c>
      <c r="CK347" t="s">
        <v>1242</v>
      </c>
      <c r="CL347" t="s">
        <v>1242</v>
      </c>
      <c r="CM347" t="s">
        <v>1242</v>
      </c>
      <c r="CN347" t="b">
        <f t="shared" si="302"/>
        <v>1</v>
      </c>
      <c r="CO347" t="str">
        <f t="shared" si="290"/>
        <v>R555</v>
      </c>
      <c r="CP347" t="str">
        <f t="shared" si="303"/>
        <v>R555</v>
      </c>
      <c r="CQ347" t="str">
        <f>AF346</f>
        <v>R466</v>
      </c>
      <c r="CR347" t="str">
        <f t="shared" si="291"/>
        <v>R466</v>
      </c>
      <c r="CS347" t="s">
        <v>586</v>
      </c>
      <c r="CT347" t="s">
        <v>586</v>
      </c>
      <c r="CU347" t="s">
        <v>586</v>
      </c>
      <c r="CV347" t="b">
        <f t="shared" si="304"/>
        <v>1</v>
      </c>
      <c r="DC347" t="str">
        <f t="shared" si="292"/>
        <v>G895</v>
      </c>
      <c r="DD347" t="b">
        <f t="shared" si="305"/>
        <v>0</v>
      </c>
      <c r="DE347" t="str">
        <f t="shared" si="306"/>
        <v>G895</v>
      </c>
      <c r="DF347" t="str">
        <f t="shared" si="293"/>
        <v>R466</v>
      </c>
      <c r="DG347" t="b">
        <f t="shared" si="307"/>
        <v>0</v>
      </c>
      <c r="DH347" t="str">
        <f t="shared" si="308"/>
        <v>R466</v>
      </c>
    </row>
    <row r="348" spans="2:112" ht="12" customHeight="1">
      <c r="B348" t="str">
        <f>TBIDry!H420</f>
        <v>G757</v>
      </c>
      <c r="C348" t="str">
        <f>TBIDry!I420</f>
        <v>R180</v>
      </c>
      <c r="D348" t="b">
        <f t="shared" si="260"/>
        <v>0</v>
      </c>
      <c r="E348" t="b">
        <f t="shared" si="261"/>
        <v>0</v>
      </c>
      <c r="G348" t="str">
        <f>TBIWet!H420</f>
        <v>G740</v>
      </c>
      <c r="H348" t="str">
        <f>TBIWet!I420</f>
        <v>R486</v>
      </c>
      <c r="I348" t="b">
        <f t="shared" si="262"/>
        <v>0</v>
      </c>
      <c r="J348" t="b">
        <f t="shared" si="263"/>
        <v>0</v>
      </c>
      <c r="L348" t="str">
        <f>'Both teabags AfterWet'!A346</f>
        <v>G810</v>
      </c>
      <c r="M348" t="str">
        <f>'Both teabags AfterWet'!A766</f>
        <v>R557</v>
      </c>
      <c r="N348" t="b">
        <f t="shared" si="264"/>
        <v>0</v>
      </c>
      <c r="O348" t="b">
        <f t="shared" si="309"/>
        <v>0</v>
      </c>
      <c r="Q348" s="395" t="b">
        <f t="shared" si="265"/>
        <v>0</v>
      </c>
      <c r="R348" s="395" t="b">
        <f t="shared" si="266"/>
        <v>0</v>
      </c>
      <c r="Y348" t="str">
        <f>'Green_rooibos initial weight'!A349</f>
        <v>G345</v>
      </c>
      <c r="Z348" t="str">
        <f>'Green_rooibos initial weight'!A1253</f>
        <v>R345</v>
      </c>
      <c r="AA348" t="b">
        <f t="shared" si="268"/>
        <v>0</v>
      </c>
      <c r="AB348" t="b">
        <f t="shared" si="269"/>
        <v>0</v>
      </c>
      <c r="AE348" t="str">
        <f>'WetLitterbags placem_collection'!O127</f>
        <v>G740</v>
      </c>
      <c r="AF348" t="str">
        <f>'WetLitterbags placem_collection'!Q127</f>
        <v>R486</v>
      </c>
      <c r="AG348" t="b">
        <f t="shared" si="270"/>
        <v>0</v>
      </c>
      <c r="AH348" t="b">
        <f t="shared" si="271"/>
        <v>0</v>
      </c>
      <c r="AJ348" t="b">
        <f t="shared" si="272"/>
        <v>0</v>
      </c>
      <c r="AK348" t="b">
        <f t="shared" si="273"/>
        <v>0</v>
      </c>
      <c r="AM348" t="str">
        <f>IF(ISBLANK('Dry_Litterbag Placem_Collection'!L127),"","G"&amp;""&amp;'Dry_Litterbag Placem_Collection'!L127)</f>
        <v>G757</v>
      </c>
      <c r="AN348" t="str">
        <f>IF(ISBLANK('Dry_Litterbag Placem_Collection'!M127),"","R"&amp;""&amp;'Dry_Litterbag Placem_Collection'!M127)</f>
        <v>R180</v>
      </c>
      <c r="AO348" t="b">
        <f t="shared" si="274"/>
        <v>0</v>
      </c>
      <c r="AP348" t="b">
        <f t="shared" si="275"/>
        <v>0</v>
      </c>
      <c r="AX348" s="395" t="b">
        <f t="shared" si="277"/>
        <v>0</v>
      </c>
      <c r="AY348" s="395" t="b">
        <f t="shared" si="278"/>
        <v>0</v>
      </c>
      <c r="BA348" t="str">
        <f>'Ashed teabags wet'!A346</f>
        <v>G810</v>
      </c>
      <c r="BB348" t="str">
        <f>'Ashed teabags wet'!A766</f>
        <v>R557</v>
      </c>
      <c r="BC348" t="b">
        <f t="shared" si="279"/>
        <v>0</v>
      </c>
      <c r="BD348" t="b">
        <f t="shared" si="259"/>
        <v>0</v>
      </c>
      <c r="BH348" t="str">
        <f t="shared" si="281"/>
        <v>G221</v>
      </c>
      <c r="BI348" t="str">
        <f t="shared" si="295"/>
        <v>G221</v>
      </c>
      <c r="BP348" t="str">
        <f t="shared" si="283"/>
        <v>R443</v>
      </c>
      <c r="BQ348" t="str">
        <f t="shared" si="284"/>
        <v>R443</v>
      </c>
      <c r="BZ348" t="str">
        <f t="shared" si="285"/>
        <v>G221</v>
      </c>
      <c r="CA348" t="b">
        <f t="shared" si="286"/>
        <v>0</v>
      </c>
      <c r="CB348" t="str">
        <f t="shared" si="298"/>
        <v>G221</v>
      </c>
      <c r="CC348" t="str">
        <f t="shared" si="287"/>
        <v>R443</v>
      </c>
      <c r="CD348" t="b">
        <f t="shared" si="299"/>
        <v>0</v>
      </c>
      <c r="CE348" t="str">
        <f t="shared" si="300"/>
        <v>R443</v>
      </c>
      <c r="CG348" t="str">
        <f t="shared" si="288"/>
        <v>G809</v>
      </c>
      <c r="CH348" t="str">
        <f t="shared" si="301"/>
        <v>G809</v>
      </c>
      <c r="CI348" t="str">
        <f>AE347</f>
        <v>G682</v>
      </c>
      <c r="CJ348" t="str">
        <f t="shared" si="289"/>
        <v>G682</v>
      </c>
      <c r="CK348" t="s">
        <v>1241</v>
      </c>
      <c r="CL348" t="s">
        <v>1241</v>
      </c>
      <c r="CM348" t="s">
        <v>1241</v>
      </c>
      <c r="CN348" t="b">
        <f t="shared" si="302"/>
        <v>1</v>
      </c>
      <c r="CO348" t="str">
        <f t="shared" si="290"/>
        <v>R556</v>
      </c>
      <c r="CP348" t="str">
        <f t="shared" si="303"/>
        <v>R556</v>
      </c>
      <c r="CQ348" t="str">
        <f>AF347</f>
        <v>R471</v>
      </c>
      <c r="CR348" t="str">
        <f t="shared" si="291"/>
        <v>R471</v>
      </c>
      <c r="CS348" t="s">
        <v>585</v>
      </c>
      <c r="CT348" t="s">
        <v>585</v>
      </c>
      <c r="CU348" t="s">
        <v>585</v>
      </c>
      <c r="CV348" t="b">
        <f t="shared" si="304"/>
        <v>1</v>
      </c>
      <c r="DC348" t="str">
        <f t="shared" si="292"/>
        <v>G682</v>
      </c>
      <c r="DD348" t="b">
        <f t="shared" si="305"/>
        <v>0</v>
      </c>
      <c r="DE348" t="str">
        <f t="shared" si="306"/>
        <v>G682</v>
      </c>
      <c r="DF348" t="str">
        <f t="shared" si="293"/>
        <v>R471</v>
      </c>
      <c r="DG348" t="b">
        <f t="shared" si="307"/>
        <v>0</v>
      </c>
      <c r="DH348" t="str">
        <f t="shared" si="308"/>
        <v>R471</v>
      </c>
    </row>
    <row r="349" spans="2:112" ht="12" customHeight="1">
      <c r="B349" t="str">
        <f>TBIDry!H421</f>
        <v/>
      </c>
      <c r="C349" t="str">
        <f>TBIDry!I421</f>
        <v/>
      </c>
      <c r="D349" t="b">
        <f t="shared" si="260"/>
        <v>1</v>
      </c>
      <c r="E349" t="b">
        <f t="shared" si="261"/>
        <v>1</v>
      </c>
      <c r="G349" t="str">
        <f>TBIWet!H421</f>
        <v>G841</v>
      </c>
      <c r="H349" t="str">
        <f>TBIWet!I421</f>
        <v>R55</v>
      </c>
      <c r="I349" t="b">
        <f t="shared" si="262"/>
        <v>0</v>
      </c>
      <c r="J349" t="b">
        <f t="shared" si="263"/>
        <v>0</v>
      </c>
      <c r="L349" t="str">
        <f>'Both teabags AfterWet'!A347</f>
        <v>G811</v>
      </c>
      <c r="M349" t="str">
        <f>'Both teabags AfterWet'!A767</f>
        <v>R558</v>
      </c>
      <c r="N349" t="b">
        <f t="shared" si="264"/>
        <v>0</v>
      </c>
      <c r="O349" t="b">
        <f t="shared" si="309"/>
        <v>0</v>
      </c>
      <c r="Q349" s="395" t="b">
        <f t="shared" si="265"/>
        <v>0</v>
      </c>
      <c r="R349" s="395" t="b">
        <f t="shared" si="266"/>
        <v>0</v>
      </c>
      <c r="Y349" t="str">
        <f>'Green_rooibos initial weight'!A350</f>
        <v>G346</v>
      </c>
      <c r="Z349" t="str">
        <f>'Green_rooibos initial weight'!A1254</f>
        <v>R346</v>
      </c>
      <c r="AA349" t="b">
        <f t="shared" si="268"/>
        <v>0</v>
      </c>
      <c r="AB349" t="b">
        <f t="shared" si="269"/>
        <v>0</v>
      </c>
      <c r="AE349" t="str">
        <f>'WetLitterbags placem_collection'!O128</f>
        <v>G841</v>
      </c>
      <c r="AF349" t="str">
        <f>'WetLitterbags placem_collection'!Q128</f>
        <v>R55</v>
      </c>
      <c r="AG349" t="b">
        <f t="shared" si="270"/>
        <v>0</v>
      </c>
      <c r="AH349" t="b">
        <f t="shared" si="271"/>
        <v>0</v>
      </c>
      <c r="AJ349" t="b">
        <f t="shared" si="272"/>
        <v>0</v>
      </c>
      <c r="AK349" t="b">
        <f t="shared" si="273"/>
        <v>0</v>
      </c>
      <c r="AM349" t="str">
        <f>IF(ISBLANK('Dry_Litterbag Placem_Collection'!L128),"","G"&amp;""&amp;'Dry_Litterbag Placem_Collection'!L128)</f>
        <v/>
      </c>
      <c r="AN349" t="str">
        <f>IF(ISBLANK('Dry_Litterbag Placem_Collection'!M128),"","R"&amp;""&amp;'Dry_Litterbag Placem_Collection'!M128)</f>
        <v/>
      </c>
      <c r="AO349" t="b">
        <f t="shared" si="274"/>
        <v>1</v>
      </c>
      <c r="AP349" t="b">
        <f t="shared" si="275"/>
        <v>1</v>
      </c>
      <c r="AX349" s="395" t="b">
        <f t="shared" si="277"/>
        <v>0</v>
      </c>
      <c r="AY349" s="395" t="b">
        <f t="shared" si="278"/>
        <v>0</v>
      </c>
      <c r="BA349" t="str">
        <f>'Ashed teabags wet'!A347</f>
        <v>G811</v>
      </c>
      <c r="BB349" t="str">
        <f>'Ashed teabags wet'!A767</f>
        <v>R558</v>
      </c>
      <c r="BC349" t="b">
        <f t="shared" si="279"/>
        <v>0</v>
      </c>
      <c r="BD349" t="b">
        <f t="shared" si="259"/>
        <v>0</v>
      </c>
      <c r="BH349" t="str">
        <f t="shared" si="281"/>
        <v>G757</v>
      </c>
      <c r="BI349" t="str">
        <f t="shared" si="295"/>
        <v>G757</v>
      </c>
      <c r="BP349" t="str">
        <f t="shared" si="283"/>
        <v>R180</v>
      </c>
      <c r="BQ349" t="str">
        <f t="shared" si="284"/>
        <v>R180</v>
      </c>
      <c r="BZ349" t="str">
        <f t="shared" si="285"/>
        <v>G757</v>
      </c>
      <c r="CA349" t="b">
        <f t="shared" si="286"/>
        <v>0</v>
      </c>
      <c r="CB349" t="str">
        <f t="shared" si="298"/>
        <v>G757</v>
      </c>
      <c r="CC349" t="str">
        <f t="shared" si="287"/>
        <v>R180</v>
      </c>
      <c r="CD349" t="b">
        <f t="shared" si="299"/>
        <v>0</v>
      </c>
      <c r="CE349" t="str">
        <f t="shared" si="300"/>
        <v>R180</v>
      </c>
      <c r="CG349" t="str">
        <f t="shared" si="288"/>
        <v>G810</v>
      </c>
      <c r="CH349" t="str">
        <f t="shared" si="301"/>
        <v>G810</v>
      </c>
      <c r="CI349" t="str">
        <f>AE348</f>
        <v>G740</v>
      </c>
      <c r="CJ349" t="str">
        <f t="shared" si="289"/>
        <v>G740</v>
      </c>
      <c r="CK349" t="s">
        <v>1240</v>
      </c>
      <c r="CL349" t="s">
        <v>1240</v>
      </c>
      <c r="CM349" t="s">
        <v>1240</v>
      </c>
      <c r="CN349" t="b">
        <f t="shared" si="302"/>
        <v>1</v>
      </c>
      <c r="CO349" t="str">
        <f t="shared" si="290"/>
        <v>R557</v>
      </c>
      <c r="CP349" t="str">
        <f t="shared" si="303"/>
        <v>R557</v>
      </c>
      <c r="CQ349" t="str">
        <f>AF348</f>
        <v>R486</v>
      </c>
      <c r="CR349" t="str">
        <f t="shared" si="291"/>
        <v>R486</v>
      </c>
      <c r="CS349" t="s">
        <v>584</v>
      </c>
      <c r="CT349" t="s">
        <v>584</v>
      </c>
      <c r="CU349" t="s">
        <v>584</v>
      </c>
      <c r="CV349" t="b">
        <f t="shared" si="304"/>
        <v>1</v>
      </c>
      <c r="DC349" t="str">
        <f t="shared" si="292"/>
        <v>G740</v>
      </c>
      <c r="DD349" t="b">
        <f t="shared" si="305"/>
        <v>0</v>
      </c>
      <c r="DE349" t="str">
        <f t="shared" si="306"/>
        <v>G740</v>
      </c>
      <c r="DF349" t="str">
        <f t="shared" si="293"/>
        <v>R486</v>
      </c>
      <c r="DG349" t="b">
        <f t="shared" si="307"/>
        <v>0</v>
      </c>
      <c r="DH349" t="str">
        <f t="shared" si="308"/>
        <v>R486</v>
      </c>
    </row>
    <row r="350" spans="2:112" ht="12" customHeight="1">
      <c r="B350" t="str">
        <f>TBIDry!H422</f>
        <v>G96</v>
      </c>
      <c r="C350" t="str">
        <f>TBIDry!I422</f>
        <v>R229</v>
      </c>
      <c r="D350" t="b">
        <f t="shared" si="260"/>
        <v>0</v>
      </c>
      <c r="E350" t="b">
        <f t="shared" si="261"/>
        <v>0</v>
      </c>
      <c r="G350" t="str">
        <f>TBIWet!H422</f>
        <v>G687</v>
      </c>
      <c r="H350" t="str">
        <f>TBIWet!I422</f>
        <v>R424</v>
      </c>
      <c r="I350" t="b">
        <f t="shared" si="262"/>
        <v>0</v>
      </c>
      <c r="J350" t="b">
        <f t="shared" si="263"/>
        <v>0</v>
      </c>
      <c r="L350" t="str">
        <f>'Both teabags AfterWet'!A348</f>
        <v>G813</v>
      </c>
      <c r="M350" t="str">
        <f>'Both teabags AfterWet'!A768</f>
        <v>R559</v>
      </c>
      <c r="N350" t="b">
        <f t="shared" si="264"/>
        <v>0</v>
      </c>
      <c r="O350" t="b">
        <f t="shared" si="309"/>
        <v>0</v>
      </c>
      <c r="Q350" s="395" t="b">
        <f t="shared" si="265"/>
        <v>0</v>
      </c>
      <c r="R350" s="395" t="b">
        <f t="shared" si="266"/>
        <v>0</v>
      </c>
      <c r="Y350" t="str">
        <f>'Green_rooibos initial weight'!A351</f>
        <v>G347</v>
      </c>
      <c r="Z350" t="str">
        <f>'Green_rooibos initial weight'!A1255</f>
        <v>R347</v>
      </c>
      <c r="AA350" t="b">
        <f t="shared" si="268"/>
        <v>0</v>
      </c>
      <c r="AB350" t="b">
        <f t="shared" si="269"/>
        <v>0</v>
      </c>
      <c r="AE350" t="str">
        <f>'WetLitterbags placem_collection'!O129</f>
        <v>G687</v>
      </c>
      <c r="AF350" t="str">
        <f>'WetLitterbags placem_collection'!Q129</f>
        <v>R424</v>
      </c>
      <c r="AG350" t="b">
        <f t="shared" si="270"/>
        <v>0</v>
      </c>
      <c r="AH350" t="b">
        <f t="shared" si="271"/>
        <v>0</v>
      </c>
      <c r="AJ350" t="b">
        <f t="shared" si="272"/>
        <v>0</v>
      </c>
      <c r="AK350" t="b">
        <f t="shared" si="273"/>
        <v>0</v>
      </c>
      <c r="AM350" t="str">
        <f>IF(ISBLANK('Dry_Litterbag Placem_Collection'!L129),"","G"&amp;""&amp;'Dry_Litterbag Placem_Collection'!L129)</f>
        <v>G96</v>
      </c>
      <c r="AN350" t="str">
        <f>IF(ISBLANK('Dry_Litterbag Placem_Collection'!M129),"","R"&amp;""&amp;'Dry_Litterbag Placem_Collection'!M129)</f>
        <v>R229</v>
      </c>
      <c r="AO350" t="b">
        <f t="shared" si="274"/>
        <v>0</v>
      </c>
      <c r="AP350" t="b">
        <f t="shared" si="275"/>
        <v>0</v>
      </c>
      <c r="AX350" s="395" t="b">
        <f t="shared" si="277"/>
        <v>0</v>
      </c>
      <c r="AY350" s="395" t="b">
        <f t="shared" si="278"/>
        <v>0</v>
      </c>
      <c r="BA350" t="str">
        <f>'Ashed teabags wet'!A348</f>
        <v>G813</v>
      </c>
      <c r="BB350" t="str">
        <f>'Ashed teabags wet'!A768</f>
        <v>R559</v>
      </c>
      <c r="BC350" t="b">
        <f t="shared" si="279"/>
        <v>0</v>
      </c>
      <c r="BD350" t="b">
        <f t="shared" si="259"/>
        <v>0</v>
      </c>
      <c r="BH350" t="str">
        <f t="shared" si="281"/>
        <v/>
      </c>
      <c r="BI350" t="str">
        <f t="shared" si="295"/>
        <v/>
      </c>
      <c r="BP350" t="str">
        <f t="shared" si="283"/>
        <v/>
      </c>
      <c r="BQ350" t="str">
        <f t="shared" si="284"/>
        <v/>
      </c>
      <c r="BZ350" t="str">
        <f t="shared" si="285"/>
        <v/>
      </c>
      <c r="CA350" t="b">
        <f t="shared" si="286"/>
        <v>0</v>
      </c>
      <c r="CB350" t="str">
        <f t="shared" si="298"/>
        <v/>
      </c>
      <c r="CC350" t="str">
        <f t="shared" si="287"/>
        <v/>
      </c>
      <c r="CD350" t="b">
        <f t="shared" si="299"/>
        <v>0</v>
      </c>
      <c r="CE350" t="str">
        <f t="shared" si="300"/>
        <v/>
      </c>
      <c r="CG350" t="str">
        <f t="shared" si="288"/>
        <v>G811</v>
      </c>
      <c r="CH350" t="str">
        <f t="shared" si="301"/>
        <v>G811</v>
      </c>
      <c r="CI350" t="str">
        <f>AE349</f>
        <v>G841</v>
      </c>
      <c r="CJ350" t="str">
        <f t="shared" si="289"/>
        <v>G841</v>
      </c>
      <c r="CK350" t="s">
        <v>1239</v>
      </c>
      <c r="CL350" t="s">
        <v>1239</v>
      </c>
      <c r="CM350" t="s">
        <v>1239</v>
      </c>
      <c r="CN350" t="b">
        <f t="shared" si="302"/>
        <v>1</v>
      </c>
      <c r="CO350" t="str">
        <f t="shared" si="290"/>
        <v>R558</v>
      </c>
      <c r="CP350" t="str">
        <f t="shared" si="303"/>
        <v>R558</v>
      </c>
      <c r="CQ350" t="str">
        <f>AF349</f>
        <v>R55</v>
      </c>
      <c r="CR350" t="str">
        <f t="shared" si="291"/>
        <v>R55</v>
      </c>
      <c r="CS350" t="s">
        <v>583</v>
      </c>
      <c r="CT350" t="s">
        <v>583</v>
      </c>
      <c r="CU350" t="s">
        <v>583</v>
      </c>
      <c r="CV350" t="b">
        <f t="shared" si="304"/>
        <v>1</v>
      </c>
      <c r="DC350" t="str">
        <f t="shared" si="292"/>
        <v>G841</v>
      </c>
      <c r="DD350" t="b">
        <f t="shared" si="305"/>
        <v>0</v>
      </c>
      <c r="DE350" t="str">
        <f t="shared" si="306"/>
        <v>G841</v>
      </c>
      <c r="DF350" t="str">
        <f t="shared" si="293"/>
        <v>R55</v>
      </c>
      <c r="DG350" t="b">
        <f t="shared" si="307"/>
        <v>0</v>
      </c>
      <c r="DH350" t="str">
        <f t="shared" si="308"/>
        <v>R55</v>
      </c>
    </row>
    <row r="351" spans="2:112" ht="12" customHeight="1">
      <c r="B351" t="str">
        <f>TBIDry!H423</f>
        <v>G134</v>
      </c>
      <c r="C351" t="str">
        <f>TBIDry!I423</f>
        <v>R272</v>
      </c>
      <c r="D351" t="b">
        <f t="shared" si="260"/>
        <v>0</v>
      </c>
      <c r="E351" t="b">
        <f t="shared" si="261"/>
        <v>0</v>
      </c>
      <c r="G351" t="str">
        <f>TBIWet!H423</f>
        <v>G833</v>
      </c>
      <c r="H351" t="str">
        <f>TBIWet!I423</f>
        <v>R418</v>
      </c>
      <c r="I351" t="b">
        <f t="shared" si="262"/>
        <v>0</v>
      </c>
      <c r="J351" t="b">
        <f t="shared" si="263"/>
        <v>0</v>
      </c>
      <c r="L351" t="str">
        <f>'Both teabags AfterWet'!A349</f>
        <v>G814</v>
      </c>
      <c r="M351" t="str">
        <f>'Both teabags AfterWet'!A769</f>
        <v>R56</v>
      </c>
      <c r="N351" t="b">
        <f t="shared" si="264"/>
        <v>0</v>
      </c>
      <c r="O351" t="b">
        <f t="shared" si="309"/>
        <v>0</v>
      </c>
      <c r="Q351" s="395" t="b">
        <f t="shared" si="265"/>
        <v>0</v>
      </c>
      <c r="R351" s="395" t="b">
        <f t="shared" si="266"/>
        <v>0</v>
      </c>
      <c r="Y351" t="str">
        <f>'Green_rooibos initial weight'!A352</f>
        <v>G348</v>
      </c>
      <c r="Z351" t="str">
        <f>'Green_rooibos initial weight'!A1256</f>
        <v>R348</v>
      </c>
      <c r="AA351" t="b">
        <f t="shared" si="268"/>
        <v>0</v>
      </c>
      <c r="AB351" t="b">
        <f t="shared" si="269"/>
        <v>0</v>
      </c>
      <c r="AE351" t="str">
        <f>'WetLitterbags placem_collection'!O130</f>
        <v>G833</v>
      </c>
      <c r="AF351" t="str">
        <f>'WetLitterbags placem_collection'!Q130</f>
        <v>R418</v>
      </c>
      <c r="AG351" t="b">
        <f t="shared" si="270"/>
        <v>0</v>
      </c>
      <c r="AH351" t="b">
        <f t="shared" si="271"/>
        <v>0</v>
      </c>
      <c r="AJ351" t="b">
        <f t="shared" si="272"/>
        <v>0</v>
      </c>
      <c r="AK351" t="b">
        <f t="shared" si="273"/>
        <v>0</v>
      </c>
      <c r="AM351" t="str">
        <f>IF(ISBLANK('Dry_Litterbag Placem_Collection'!L130),"","G"&amp;""&amp;'Dry_Litterbag Placem_Collection'!L130)</f>
        <v>G134</v>
      </c>
      <c r="AN351" t="str">
        <f>IF(ISBLANK('Dry_Litterbag Placem_Collection'!M130),"","R"&amp;""&amp;'Dry_Litterbag Placem_Collection'!M130)</f>
        <v>R272</v>
      </c>
      <c r="AO351" t="b">
        <f t="shared" si="274"/>
        <v>0</v>
      </c>
      <c r="AP351" t="b">
        <f t="shared" si="275"/>
        <v>0</v>
      </c>
      <c r="AX351" s="395" t="b">
        <f t="shared" si="277"/>
        <v>0</v>
      </c>
      <c r="AY351" s="395" t="b">
        <f t="shared" si="278"/>
        <v>0</v>
      </c>
      <c r="BA351" t="str">
        <f>'Ashed teabags wet'!A349</f>
        <v>G814</v>
      </c>
      <c r="BB351" t="str">
        <f>'Ashed teabags wet'!A769</f>
        <v>R56</v>
      </c>
      <c r="BC351" t="b">
        <f t="shared" si="279"/>
        <v>0</v>
      </c>
      <c r="BD351" t="b">
        <f t="shared" si="259"/>
        <v>0</v>
      </c>
      <c r="BH351" t="str">
        <f t="shared" si="281"/>
        <v>G96</v>
      </c>
      <c r="BI351" t="str">
        <f t="shared" si="295"/>
        <v>G96</v>
      </c>
      <c r="BP351" t="str">
        <f t="shared" si="283"/>
        <v>R229</v>
      </c>
      <c r="BQ351" t="str">
        <f t="shared" si="284"/>
        <v>R229</v>
      </c>
      <c r="BZ351" t="str">
        <f t="shared" si="285"/>
        <v>G96</v>
      </c>
      <c r="CA351" t="b">
        <f t="shared" si="286"/>
        <v>0</v>
      </c>
      <c r="CB351" t="str">
        <f t="shared" si="298"/>
        <v>G96</v>
      </c>
      <c r="CC351" t="str">
        <f t="shared" si="287"/>
        <v>R229</v>
      </c>
      <c r="CD351" t="b">
        <f t="shared" si="299"/>
        <v>0</v>
      </c>
      <c r="CE351" t="str">
        <f t="shared" si="300"/>
        <v>R229</v>
      </c>
      <c r="CG351" t="str">
        <f t="shared" si="288"/>
        <v>G813</v>
      </c>
      <c r="CH351" t="str">
        <f t="shared" si="301"/>
        <v>G813</v>
      </c>
      <c r="CI351" t="str">
        <f>AE350</f>
        <v>G687</v>
      </c>
      <c r="CJ351" t="str">
        <f t="shared" si="289"/>
        <v>G687</v>
      </c>
      <c r="CK351" t="s">
        <v>1237</v>
      </c>
      <c r="CL351" t="s">
        <v>1237</v>
      </c>
      <c r="CM351" t="s">
        <v>1237</v>
      </c>
      <c r="CN351" t="b">
        <f t="shared" si="302"/>
        <v>1</v>
      </c>
      <c r="CO351" t="str">
        <f t="shared" si="290"/>
        <v>R559</v>
      </c>
      <c r="CP351" t="str">
        <f t="shared" si="303"/>
        <v>R559</v>
      </c>
      <c r="CQ351" t="str">
        <f>AF350</f>
        <v>R424</v>
      </c>
      <c r="CR351" t="str">
        <f t="shared" si="291"/>
        <v>R424</v>
      </c>
      <c r="CS351" t="s">
        <v>582</v>
      </c>
      <c r="CT351" t="s">
        <v>582</v>
      </c>
      <c r="CU351" t="s">
        <v>582</v>
      </c>
      <c r="CV351" t="b">
        <f t="shared" si="304"/>
        <v>1</v>
      </c>
      <c r="DC351" t="str">
        <f t="shared" si="292"/>
        <v>G687</v>
      </c>
      <c r="DD351" t="b">
        <f t="shared" si="305"/>
        <v>0</v>
      </c>
      <c r="DE351" t="str">
        <f t="shared" si="306"/>
        <v>G687</v>
      </c>
      <c r="DF351" t="str">
        <f t="shared" si="293"/>
        <v>R424</v>
      </c>
      <c r="DG351" t="b">
        <f t="shared" si="307"/>
        <v>0</v>
      </c>
      <c r="DH351" t="str">
        <f t="shared" si="308"/>
        <v>R424</v>
      </c>
    </row>
    <row r="352" spans="2:112" ht="12" customHeight="1">
      <c r="B352" t="str">
        <f>TBIDry!H424</f>
        <v>G671</v>
      </c>
      <c r="C352" t="str">
        <f>TBIDry!I424</f>
        <v>R207</v>
      </c>
      <c r="D352" t="b">
        <f t="shared" si="260"/>
        <v>0</v>
      </c>
      <c r="E352" t="b">
        <f t="shared" si="261"/>
        <v>0</v>
      </c>
      <c r="G352" t="str">
        <f>TBIWet!H424</f>
        <v>G888</v>
      </c>
      <c r="H352" t="str">
        <f>TBIWet!I424</f>
        <v>R520</v>
      </c>
      <c r="I352" t="b">
        <f t="shared" si="262"/>
        <v>0</v>
      </c>
      <c r="J352" t="b">
        <f t="shared" si="263"/>
        <v>0</v>
      </c>
      <c r="L352" t="str">
        <f>'Both teabags AfterWet'!A350</f>
        <v>G815</v>
      </c>
      <c r="M352" t="str">
        <f>'Both teabags AfterWet'!A770</f>
        <v>R560</v>
      </c>
      <c r="N352" t="b">
        <f t="shared" si="264"/>
        <v>0</v>
      </c>
      <c r="O352" t="b">
        <f t="shared" si="309"/>
        <v>0</v>
      </c>
      <c r="Q352" s="395" t="b">
        <f t="shared" si="265"/>
        <v>0</v>
      </c>
      <c r="R352" s="395" t="b">
        <f t="shared" si="266"/>
        <v>0</v>
      </c>
      <c r="Y352" t="str">
        <f>'Green_rooibos initial weight'!A353</f>
        <v>G349</v>
      </c>
      <c r="Z352" t="str">
        <f>'Green_rooibos initial weight'!A1257</f>
        <v>R349</v>
      </c>
      <c r="AA352" t="b">
        <f t="shared" si="268"/>
        <v>0</v>
      </c>
      <c r="AB352" t="b">
        <f t="shared" si="269"/>
        <v>0</v>
      </c>
      <c r="AE352" t="str">
        <f>'WetLitterbags placem_collection'!O131</f>
        <v>G888</v>
      </c>
      <c r="AF352" t="str">
        <f>'WetLitterbags placem_collection'!Q131</f>
        <v>R520</v>
      </c>
      <c r="AG352" t="b">
        <f t="shared" si="270"/>
        <v>0</v>
      </c>
      <c r="AH352" t="b">
        <f t="shared" si="271"/>
        <v>0</v>
      </c>
      <c r="AJ352" t="b">
        <f t="shared" si="272"/>
        <v>0</v>
      </c>
      <c r="AK352" t="b">
        <f t="shared" si="273"/>
        <v>0</v>
      </c>
      <c r="AM352" t="str">
        <f>IF(ISBLANK('Dry_Litterbag Placem_Collection'!L131),"","G"&amp;""&amp;'Dry_Litterbag Placem_Collection'!L131)</f>
        <v>G671</v>
      </c>
      <c r="AN352" t="str">
        <f>IF(ISBLANK('Dry_Litterbag Placem_Collection'!M131),"","R"&amp;""&amp;'Dry_Litterbag Placem_Collection'!M131)</f>
        <v>R207</v>
      </c>
      <c r="AO352" t="b">
        <f t="shared" si="274"/>
        <v>0</v>
      </c>
      <c r="AP352" t="b">
        <f t="shared" si="275"/>
        <v>0</v>
      </c>
      <c r="AX352" s="395" t="b">
        <f t="shared" si="277"/>
        <v>0</v>
      </c>
      <c r="AY352" s="395" t="b">
        <f t="shared" si="278"/>
        <v>0</v>
      </c>
      <c r="BA352" t="str">
        <f>'Ashed teabags wet'!A350</f>
        <v>G815</v>
      </c>
      <c r="BB352" t="str">
        <f>'Ashed teabags wet'!A770</f>
        <v>R560</v>
      </c>
      <c r="BC352" t="b">
        <f t="shared" si="279"/>
        <v>0</v>
      </c>
      <c r="BD352" t="b">
        <f t="shared" si="259"/>
        <v>0</v>
      </c>
      <c r="BH352" t="str">
        <f t="shared" si="281"/>
        <v>G134</v>
      </c>
      <c r="BI352" t="str">
        <f t="shared" si="295"/>
        <v>G134</v>
      </c>
      <c r="BP352" t="str">
        <f t="shared" si="283"/>
        <v>R272</v>
      </c>
      <c r="BQ352" t="str">
        <f t="shared" si="284"/>
        <v>R272</v>
      </c>
      <c r="BZ352" t="str">
        <f t="shared" si="285"/>
        <v>G134</v>
      </c>
      <c r="CA352" t="b">
        <f t="shared" si="286"/>
        <v>0</v>
      </c>
      <c r="CB352" t="str">
        <f t="shared" si="298"/>
        <v>G134</v>
      </c>
      <c r="CC352" t="str">
        <f t="shared" si="287"/>
        <v>R272</v>
      </c>
      <c r="CD352" t="b">
        <f t="shared" si="299"/>
        <v>0</v>
      </c>
      <c r="CE352" t="str">
        <f t="shared" si="300"/>
        <v>R272</v>
      </c>
      <c r="CG352" t="str">
        <f t="shared" si="288"/>
        <v>G814</v>
      </c>
      <c r="CH352" t="str">
        <f t="shared" si="301"/>
        <v>G814</v>
      </c>
      <c r="CI352" t="str">
        <f>AE351</f>
        <v>G833</v>
      </c>
      <c r="CJ352" t="str">
        <f t="shared" si="289"/>
        <v>G833</v>
      </c>
      <c r="CK352" t="s">
        <v>1236</v>
      </c>
      <c r="CL352" t="s">
        <v>1236</v>
      </c>
      <c r="CM352" t="s">
        <v>1236</v>
      </c>
      <c r="CN352" t="b">
        <f t="shared" si="302"/>
        <v>1</v>
      </c>
      <c r="CO352" t="str">
        <f t="shared" si="290"/>
        <v>R56</v>
      </c>
      <c r="CP352" t="str">
        <f t="shared" si="303"/>
        <v>R56</v>
      </c>
      <c r="CQ352" t="str">
        <f>AF351</f>
        <v>R418</v>
      </c>
      <c r="CR352" t="str">
        <f t="shared" si="291"/>
        <v>R418</v>
      </c>
      <c r="CS352" t="s">
        <v>1085</v>
      </c>
      <c r="CT352" t="s">
        <v>1085</v>
      </c>
      <c r="CU352" t="s">
        <v>1085</v>
      </c>
      <c r="CV352" t="b">
        <f t="shared" si="304"/>
        <v>1</v>
      </c>
      <c r="DC352" t="str">
        <f t="shared" si="292"/>
        <v>G833</v>
      </c>
      <c r="DD352" t="b">
        <f t="shared" si="305"/>
        <v>0</v>
      </c>
      <c r="DE352" t="str">
        <f t="shared" si="306"/>
        <v>G833</v>
      </c>
      <c r="DF352" t="str">
        <f t="shared" si="293"/>
        <v>R418</v>
      </c>
      <c r="DG352" t="b">
        <f t="shared" si="307"/>
        <v>0</v>
      </c>
      <c r="DH352" t="str">
        <f t="shared" si="308"/>
        <v>R418</v>
      </c>
    </row>
    <row r="353" spans="2:112" ht="12" customHeight="1">
      <c r="B353" t="str">
        <f>TBIDry!H425</f>
        <v>G400</v>
      </c>
      <c r="C353" t="str">
        <f>TBIDry!I425</f>
        <v>R193</v>
      </c>
      <c r="D353" t="b">
        <f t="shared" si="260"/>
        <v>0</v>
      </c>
      <c r="E353" t="b">
        <f t="shared" si="261"/>
        <v>0</v>
      </c>
      <c r="G353" t="str">
        <f>TBIWet!H425</f>
        <v>G708</v>
      </c>
      <c r="H353" t="str">
        <f>TBIWet!I425</f>
        <v>R433</v>
      </c>
      <c r="I353" t="b">
        <f t="shared" si="262"/>
        <v>0</v>
      </c>
      <c r="J353" t="b">
        <f t="shared" si="263"/>
        <v>0</v>
      </c>
      <c r="L353" t="str">
        <f>'Both teabags AfterWet'!A351</f>
        <v>G816</v>
      </c>
      <c r="M353" t="str">
        <f>'Both teabags AfterWet'!A771</f>
        <v>R561</v>
      </c>
      <c r="N353" t="b">
        <f t="shared" si="264"/>
        <v>0</v>
      </c>
      <c r="O353" t="b">
        <f t="shared" si="309"/>
        <v>0</v>
      </c>
      <c r="Q353" s="395" t="b">
        <f t="shared" si="265"/>
        <v>0</v>
      </c>
      <c r="R353" s="395" t="b">
        <f t="shared" si="266"/>
        <v>0</v>
      </c>
      <c r="Y353" t="str">
        <f>'Green_rooibos initial weight'!A354</f>
        <v>G350</v>
      </c>
      <c r="Z353" t="str">
        <f>'Green_rooibos initial weight'!A1258</f>
        <v>R350</v>
      </c>
      <c r="AA353" t="b">
        <f t="shared" si="268"/>
        <v>0</v>
      </c>
      <c r="AB353" t="b">
        <f t="shared" si="269"/>
        <v>0</v>
      </c>
      <c r="AE353" t="str">
        <f>'WetLitterbags placem_collection'!O132</f>
        <v>G708</v>
      </c>
      <c r="AF353" t="str">
        <f>'WetLitterbags placem_collection'!Q132</f>
        <v>R433</v>
      </c>
      <c r="AG353" t="b">
        <f t="shared" si="270"/>
        <v>0</v>
      </c>
      <c r="AH353" t="b">
        <f t="shared" si="271"/>
        <v>0</v>
      </c>
      <c r="AJ353" t="b">
        <f t="shared" si="272"/>
        <v>0</v>
      </c>
      <c r="AK353" t="b">
        <f t="shared" si="273"/>
        <v>0</v>
      </c>
      <c r="AM353" t="str">
        <f>IF(ISBLANK('Dry_Litterbag Placem_Collection'!L132),"","G"&amp;""&amp;'Dry_Litterbag Placem_Collection'!L132)</f>
        <v>G400</v>
      </c>
      <c r="AN353" t="str">
        <f>IF(ISBLANK('Dry_Litterbag Placem_Collection'!M132),"","R"&amp;""&amp;'Dry_Litterbag Placem_Collection'!M132)</f>
        <v>R193</v>
      </c>
      <c r="AO353" t="b">
        <f t="shared" si="274"/>
        <v>0</v>
      </c>
      <c r="AP353" t="b">
        <f t="shared" si="275"/>
        <v>0</v>
      </c>
      <c r="AX353" s="395" t="b">
        <f t="shared" si="277"/>
        <v>0</v>
      </c>
      <c r="AY353" s="395" t="b">
        <f t="shared" si="278"/>
        <v>0</v>
      </c>
      <c r="BA353" t="str">
        <f>'Ashed teabags wet'!A351</f>
        <v>G816</v>
      </c>
      <c r="BB353" t="str">
        <f>'Ashed teabags wet'!A771</f>
        <v>R561</v>
      </c>
      <c r="BC353" t="b">
        <f t="shared" si="279"/>
        <v>0</v>
      </c>
      <c r="BD353" t="b">
        <f t="shared" si="259"/>
        <v>0</v>
      </c>
      <c r="BH353" t="str">
        <f t="shared" si="281"/>
        <v>G671</v>
      </c>
      <c r="BI353" t="str">
        <f t="shared" si="295"/>
        <v>G671</v>
      </c>
      <c r="BP353" t="str">
        <f t="shared" si="283"/>
        <v>R207</v>
      </c>
      <c r="BQ353" t="str">
        <f t="shared" si="284"/>
        <v>R207</v>
      </c>
      <c r="BZ353" t="str">
        <f t="shared" si="285"/>
        <v>G671</v>
      </c>
      <c r="CA353" t="b">
        <f t="shared" si="286"/>
        <v>0</v>
      </c>
      <c r="CB353" t="str">
        <f t="shared" si="298"/>
        <v>G671</v>
      </c>
      <c r="CC353" t="str">
        <f t="shared" si="287"/>
        <v>R207</v>
      </c>
      <c r="CD353" t="b">
        <f t="shared" si="299"/>
        <v>0</v>
      </c>
      <c r="CE353" t="str">
        <f t="shared" si="300"/>
        <v>R207</v>
      </c>
      <c r="CG353" t="str">
        <f t="shared" si="288"/>
        <v>G815</v>
      </c>
      <c r="CH353" t="str">
        <f t="shared" si="301"/>
        <v>G815</v>
      </c>
      <c r="CI353" t="str">
        <f>AE352</f>
        <v>G888</v>
      </c>
      <c r="CJ353" t="str">
        <f t="shared" si="289"/>
        <v>G888</v>
      </c>
      <c r="CK353" t="s">
        <v>1235</v>
      </c>
      <c r="CL353" t="s">
        <v>1235</v>
      </c>
      <c r="CM353" t="s">
        <v>1235</v>
      </c>
      <c r="CN353" t="b">
        <f t="shared" si="302"/>
        <v>1</v>
      </c>
      <c r="CO353" t="str">
        <f t="shared" si="290"/>
        <v>R560</v>
      </c>
      <c r="CP353" t="str">
        <f t="shared" si="303"/>
        <v>R560</v>
      </c>
      <c r="CQ353" t="str">
        <f>AF352</f>
        <v>R520</v>
      </c>
      <c r="CR353" t="str">
        <f t="shared" si="291"/>
        <v>R520</v>
      </c>
      <c r="CS353" t="s">
        <v>581</v>
      </c>
      <c r="CT353" t="s">
        <v>581</v>
      </c>
      <c r="CU353" t="s">
        <v>581</v>
      </c>
      <c r="CV353" t="b">
        <f t="shared" si="304"/>
        <v>1</v>
      </c>
      <c r="DC353" t="str">
        <f t="shared" si="292"/>
        <v>G888</v>
      </c>
      <c r="DD353" t="b">
        <f t="shared" si="305"/>
        <v>0</v>
      </c>
      <c r="DE353" t="str">
        <f t="shared" si="306"/>
        <v>G888</v>
      </c>
      <c r="DF353" t="str">
        <f t="shared" si="293"/>
        <v>R520</v>
      </c>
      <c r="DG353" t="b">
        <f t="shared" si="307"/>
        <v>0</v>
      </c>
      <c r="DH353" t="str">
        <f t="shared" si="308"/>
        <v>R520</v>
      </c>
    </row>
    <row r="354" spans="2:112" ht="12" customHeight="1">
      <c r="B354" t="str">
        <f>TBIDry!H426</f>
        <v>G48</v>
      </c>
      <c r="C354" t="str">
        <f>TBIDry!I426</f>
        <v>R188</v>
      </c>
      <c r="D354" t="b">
        <f t="shared" si="260"/>
        <v>0</v>
      </c>
      <c r="E354" t="b">
        <f t="shared" si="261"/>
        <v>0</v>
      </c>
      <c r="G354" t="str">
        <f>TBIWet!H426</f>
        <v>G768</v>
      </c>
      <c r="H354" t="str">
        <f>TBIWet!I426</f>
        <v>R592</v>
      </c>
      <c r="I354" t="b">
        <f t="shared" si="262"/>
        <v>0</v>
      </c>
      <c r="J354" t="b">
        <f t="shared" si="263"/>
        <v>0</v>
      </c>
      <c r="L354" t="str">
        <f>'Both teabags AfterWet'!A352</f>
        <v>G817</v>
      </c>
      <c r="M354" t="str">
        <f>'Both teabags AfterWet'!A772</f>
        <v>R562</v>
      </c>
      <c r="N354" t="b">
        <f t="shared" si="264"/>
        <v>0</v>
      </c>
      <c r="O354" t="b">
        <f t="shared" si="309"/>
        <v>0</v>
      </c>
      <c r="Q354" s="395" t="b">
        <f t="shared" si="265"/>
        <v>0</v>
      </c>
      <c r="R354" s="395" t="b">
        <f t="shared" si="266"/>
        <v>0</v>
      </c>
      <c r="Y354" t="str">
        <f>'Green_rooibos initial weight'!A355</f>
        <v>G351</v>
      </c>
      <c r="Z354" t="str">
        <f>'Green_rooibos initial weight'!A1259</f>
        <v>R351</v>
      </c>
      <c r="AA354" t="b">
        <f t="shared" si="268"/>
        <v>0</v>
      </c>
      <c r="AB354" t="b">
        <f t="shared" si="269"/>
        <v>0</v>
      </c>
      <c r="AE354" t="str">
        <f>'WetLitterbags placem_collection'!O133</f>
        <v>G768</v>
      </c>
      <c r="AF354" t="str">
        <f>'WetLitterbags placem_collection'!Q133</f>
        <v>R592</v>
      </c>
      <c r="AG354" t="b">
        <f t="shared" si="270"/>
        <v>0</v>
      </c>
      <c r="AH354" t="b">
        <f t="shared" si="271"/>
        <v>0</v>
      </c>
      <c r="AJ354" t="b">
        <f t="shared" si="272"/>
        <v>0</v>
      </c>
      <c r="AK354" t="b">
        <f t="shared" si="273"/>
        <v>0</v>
      </c>
      <c r="AM354" t="str">
        <f>IF(ISBLANK('Dry_Litterbag Placem_Collection'!L133),"","G"&amp;""&amp;'Dry_Litterbag Placem_Collection'!L133)</f>
        <v>G48</v>
      </c>
      <c r="AN354" t="str">
        <f>IF(ISBLANK('Dry_Litterbag Placem_Collection'!M133),"","R"&amp;""&amp;'Dry_Litterbag Placem_Collection'!M133)</f>
        <v>R188</v>
      </c>
      <c r="AO354" t="b">
        <f t="shared" si="274"/>
        <v>0</v>
      </c>
      <c r="AP354" t="b">
        <f t="shared" si="275"/>
        <v>0</v>
      </c>
      <c r="AX354" s="395" t="b">
        <f t="shared" si="277"/>
        <v>0</v>
      </c>
      <c r="AY354" s="395" t="b">
        <f t="shared" si="278"/>
        <v>0</v>
      </c>
      <c r="BA354" t="str">
        <f>'Ashed teabags wet'!A352</f>
        <v>G817</v>
      </c>
      <c r="BB354" t="str">
        <f>'Ashed teabags wet'!A772</f>
        <v>R562</v>
      </c>
      <c r="BC354" t="b">
        <f t="shared" si="279"/>
        <v>0</v>
      </c>
      <c r="BD354" t="b">
        <f t="shared" si="259"/>
        <v>0</v>
      </c>
      <c r="BH354" t="str">
        <f t="shared" si="281"/>
        <v>G400</v>
      </c>
      <c r="BI354" t="str">
        <f t="shared" si="295"/>
        <v>G400</v>
      </c>
      <c r="BP354" t="str">
        <f t="shared" si="283"/>
        <v>R193</v>
      </c>
      <c r="BQ354" t="str">
        <f t="shared" si="284"/>
        <v>R193</v>
      </c>
      <c r="BZ354" t="str">
        <f t="shared" si="285"/>
        <v>G400</v>
      </c>
      <c r="CA354" t="b">
        <f t="shared" si="286"/>
        <v>0</v>
      </c>
      <c r="CB354" t="str">
        <f t="shared" si="298"/>
        <v>G400</v>
      </c>
      <c r="CC354" t="str">
        <f t="shared" si="287"/>
        <v>R193</v>
      </c>
      <c r="CD354" t="b">
        <f t="shared" si="299"/>
        <v>0</v>
      </c>
      <c r="CE354" t="str">
        <f t="shared" si="300"/>
        <v>R193</v>
      </c>
      <c r="CG354" t="str">
        <f t="shared" si="288"/>
        <v>G816</v>
      </c>
      <c r="CH354" t="str">
        <f t="shared" si="301"/>
        <v>G816</v>
      </c>
      <c r="CI354" t="str">
        <f>AE353</f>
        <v>G708</v>
      </c>
      <c r="CJ354" t="str">
        <f t="shared" si="289"/>
        <v>G708</v>
      </c>
      <c r="CK354" t="s">
        <v>1234</v>
      </c>
      <c r="CL354" t="s">
        <v>1234</v>
      </c>
      <c r="CM354" t="s">
        <v>1234</v>
      </c>
      <c r="CN354" t="b">
        <f t="shared" si="302"/>
        <v>1</v>
      </c>
      <c r="CO354" t="str">
        <f t="shared" si="290"/>
        <v>R561</v>
      </c>
      <c r="CP354" t="str">
        <f t="shared" si="303"/>
        <v>R561</v>
      </c>
      <c r="CQ354" t="str">
        <f>AF353</f>
        <v>R433</v>
      </c>
      <c r="CR354" t="str">
        <f t="shared" si="291"/>
        <v>R433</v>
      </c>
      <c r="CS354" t="s">
        <v>580</v>
      </c>
      <c r="CT354" t="s">
        <v>580</v>
      </c>
      <c r="CU354" t="s">
        <v>580</v>
      </c>
      <c r="CV354" t="b">
        <f t="shared" si="304"/>
        <v>1</v>
      </c>
      <c r="DC354" t="str">
        <f t="shared" si="292"/>
        <v>G708</v>
      </c>
      <c r="DD354" t="b">
        <f t="shared" si="305"/>
        <v>0</v>
      </c>
      <c r="DE354" t="str">
        <f t="shared" si="306"/>
        <v>G708</v>
      </c>
      <c r="DF354" t="str">
        <f t="shared" si="293"/>
        <v>R433</v>
      </c>
      <c r="DG354" t="b">
        <f t="shared" si="307"/>
        <v>0</v>
      </c>
      <c r="DH354" t="str">
        <f t="shared" si="308"/>
        <v>R433</v>
      </c>
    </row>
    <row r="355" spans="2:112" ht="12" customHeight="1">
      <c r="B355" t="str">
        <f>TBIDry!H427</f>
        <v/>
      </c>
      <c r="C355" t="str">
        <f>TBIDry!I427</f>
        <v/>
      </c>
      <c r="D355" t="b">
        <f t="shared" si="260"/>
        <v>1</v>
      </c>
      <c r="E355" t="b">
        <f t="shared" si="261"/>
        <v>1</v>
      </c>
      <c r="G355" t="str">
        <f>TBIWet!H427</f>
        <v>G779</v>
      </c>
      <c r="H355" t="str">
        <f>TBIWet!I427</f>
        <v>R477</v>
      </c>
      <c r="I355" t="b">
        <f t="shared" si="262"/>
        <v>0</v>
      </c>
      <c r="J355" t="b">
        <f t="shared" si="263"/>
        <v>0</v>
      </c>
      <c r="L355" t="str">
        <f>'Both teabags AfterWet'!A353</f>
        <v>G818</v>
      </c>
      <c r="M355" t="str">
        <f>'Both teabags AfterWet'!A773</f>
        <v>R563</v>
      </c>
      <c r="N355" t="b">
        <f t="shared" si="264"/>
        <v>0</v>
      </c>
      <c r="O355" t="b">
        <f t="shared" si="309"/>
        <v>0</v>
      </c>
      <c r="Q355" s="395" t="b">
        <f t="shared" si="265"/>
        <v>0</v>
      </c>
      <c r="R355" s="395" t="b">
        <f t="shared" si="266"/>
        <v>0</v>
      </c>
      <c r="Y355" t="str">
        <f>'Green_rooibos initial weight'!A356</f>
        <v>G352</v>
      </c>
      <c r="Z355" t="str">
        <f>'Green_rooibos initial weight'!A1260</f>
        <v>R352</v>
      </c>
      <c r="AA355" t="b">
        <f t="shared" si="268"/>
        <v>0</v>
      </c>
      <c r="AB355" t="b">
        <f t="shared" si="269"/>
        <v>0</v>
      </c>
      <c r="AE355" t="str">
        <f>'WetLitterbags placem_collection'!O134</f>
        <v>G779</v>
      </c>
      <c r="AF355" t="str">
        <f>'WetLitterbags placem_collection'!Q134</f>
        <v>R477</v>
      </c>
      <c r="AG355" t="b">
        <f t="shared" si="270"/>
        <v>0</v>
      </c>
      <c r="AH355" t="b">
        <f t="shared" si="271"/>
        <v>0</v>
      </c>
      <c r="AJ355" t="b">
        <f t="shared" si="272"/>
        <v>0</v>
      </c>
      <c r="AK355" t="b">
        <f t="shared" si="273"/>
        <v>0</v>
      </c>
      <c r="AM355" t="str">
        <f>IF(ISBLANK('Dry_Litterbag Placem_Collection'!L134),"","G"&amp;""&amp;'Dry_Litterbag Placem_Collection'!L134)</f>
        <v/>
      </c>
      <c r="AN355" t="str">
        <f>IF(ISBLANK('Dry_Litterbag Placem_Collection'!M134),"","R"&amp;""&amp;'Dry_Litterbag Placem_Collection'!M134)</f>
        <v/>
      </c>
      <c r="AO355" t="b">
        <f t="shared" si="274"/>
        <v>1</v>
      </c>
      <c r="AP355" t="b">
        <f t="shared" si="275"/>
        <v>1</v>
      </c>
      <c r="AX355" s="395" t="b">
        <f t="shared" si="277"/>
        <v>0</v>
      </c>
      <c r="AY355" s="395" t="b">
        <f t="shared" si="278"/>
        <v>0</v>
      </c>
      <c r="BA355" t="str">
        <f>'Ashed teabags wet'!A353</f>
        <v>G818</v>
      </c>
      <c r="BB355" t="str">
        <f>'Ashed teabags wet'!A773</f>
        <v>R563</v>
      </c>
      <c r="BC355" t="b">
        <f t="shared" si="279"/>
        <v>0</v>
      </c>
      <c r="BD355" t="b">
        <f t="shared" si="259"/>
        <v>0</v>
      </c>
      <c r="BH355" t="str">
        <f t="shared" si="281"/>
        <v>G48</v>
      </c>
      <c r="BI355" t="str">
        <f t="shared" si="295"/>
        <v>G48</v>
      </c>
      <c r="BP355" t="str">
        <f t="shared" si="283"/>
        <v>R188</v>
      </c>
      <c r="BQ355" t="str">
        <f t="shared" si="284"/>
        <v>R188</v>
      </c>
      <c r="BZ355" t="str">
        <f t="shared" si="285"/>
        <v>G48</v>
      </c>
      <c r="CA355" t="b">
        <f t="shared" si="286"/>
        <v>0</v>
      </c>
      <c r="CB355" t="str">
        <f t="shared" si="298"/>
        <v>G48</v>
      </c>
      <c r="CC355" t="str">
        <f t="shared" si="287"/>
        <v>R188</v>
      </c>
      <c r="CD355" t="b">
        <f t="shared" si="299"/>
        <v>0</v>
      </c>
      <c r="CE355" t="str">
        <f t="shared" si="300"/>
        <v>R188</v>
      </c>
      <c r="CG355" t="str">
        <f t="shared" si="288"/>
        <v>G817</v>
      </c>
      <c r="CH355" t="str">
        <f t="shared" si="301"/>
        <v>G817</v>
      </c>
      <c r="CI355" t="str">
        <f>AE354</f>
        <v>G768</v>
      </c>
      <c r="CJ355" t="str">
        <f t="shared" si="289"/>
        <v>G768</v>
      </c>
      <c r="CK355" t="s">
        <v>1233</v>
      </c>
      <c r="CL355" t="s">
        <v>1233</v>
      </c>
      <c r="CM355" t="s">
        <v>1233</v>
      </c>
      <c r="CN355" t="b">
        <f t="shared" si="302"/>
        <v>1</v>
      </c>
      <c r="CO355" t="str">
        <f t="shared" si="290"/>
        <v>R562</v>
      </c>
      <c r="CP355" t="str">
        <f t="shared" si="303"/>
        <v>R562</v>
      </c>
      <c r="CQ355" t="str">
        <f>AF354</f>
        <v>R592</v>
      </c>
      <c r="CR355" t="str">
        <f t="shared" si="291"/>
        <v>R592</v>
      </c>
      <c r="CS355" t="s">
        <v>579</v>
      </c>
      <c r="CT355" t="s">
        <v>579</v>
      </c>
      <c r="CU355" t="s">
        <v>579</v>
      </c>
      <c r="CV355" t="b">
        <f t="shared" si="304"/>
        <v>1</v>
      </c>
      <c r="DC355" t="str">
        <f t="shared" si="292"/>
        <v>G768</v>
      </c>
      <c r="DD355" t="b">
        <f t="shared" si="305"/>
        <v>0</v>
      </c>
      <c r="DE355" t="str">
        <f t="shared" si="306"/>
        <v>G768</v>
      </c>
      <c r="DF355" t="str">
        <f t="shared" si="293"/>
        <v>R592</v>
      </c>
      <c r="DG355" t="b">
        <f t="shared" si="307"/>
        <v>0</v>
      </c>
      <c r="DH355" t="str">
        <f t="shared" si="308"/>
        <v>R592</v>
      </c>
    </row>
    <row r="356" spans="2:112" ht="12" customHeight="1">
      <c r="B356" t="str">
        <f>TBIDry!H428</f>
        <v>G210</v>
      </c>
      <c r="C356" t="str">
        <f>TBIDry!I428</f>
        <v>R683</v>
      </c>
      <c r="D356" t="b">
        <f t="shared" si="260"/>
        <v>0</v>
      </c>
      <c r="E356" t="b">
        <f t="shared" si="261"/>
        <v>0</v>
      </c>
      <c r="G356" t="str">
        <f>TBIWet!H428</f>
        <v>G799</v>
      </c>
      <c r="H356" t="str">
        <f>TBIWet!I428</f>
        <v>R597</v>
      </c>
      <c r="I356" t="b">
        <f t="shared" si="262"/>
        <v>0</v>
      </c>
      <c r="J356" t="b">
        <f t="shared" si="263"/>
        <v>0</v>
      </c>
      <c r="L356" t="str">
        <f>'Both teabags AfterWet'!A354</f>
        <v>G819</v>
      </c>
      <c r="M356" t="str">
        <f>'Both teabags AfterWet'!A774</f>
        <v>R564</v>
      </c>
      <c r="N356" t="b">
        <f t="shared" si="264"/>
        <v>0</v>
      </c>
      <c r="O356" t="b">
        <f t="shared" si="309"/>
        <v>0</v>
      </c>
      <c r="Q356" s="395" t="b">
        <f t="shared" si="265"/>
        <v>0</v>
      </c>
      <c r="R356" s="395" t="b">
        <f t="shared" si="266"/>
        <v>0</v>
      </c>
      <c r="Y356" t="str">
        <f>'Green_rooibos initial weight'!A357</f>
        <v>G353</v>
      </c>
      <c r="Z356" t="str">
        <f>'Green_rooibos initial weight'!A1261</f>
        <v>R353</v>
      </c>
      <c r="AA356" t="b">
        <f t="shared" si="268"/>
        <v>0</v>
      </c>
      <c r="AB356" t="b">
        <f t="shared" si="269"/>
        <v>0</v>
      </c>
      <c r="AE356" t="str">
        <f>'WetLitterbags placem_collection'!O135</f>
        <v>G799</v>
      </c>
      <c r="AF356" t="str">
        <f>'WetLitterbags placem_collection'!Q135</f>
        <v>R597</v>
      </c>
      <c r="AG356" t="b">
        <f t="shared" si="270"/>
        <v>0</v>
      </c>
      <c r="AH356" t="b">
        <f t="shared" si="271"/>
        <v>0</v>
      </c>
      <c r="AJ356" t="b">
        <f t="shared" si="272"/>
        <v>0</v>
      </c>
      <c r="AK356" t="b">
        <f t="shared" si="273"/>
        <v>0</v>
      </c>
      <c r="AM356" t="str">
        <f>IF(ISBLANK('Dry_Litterbag Placem_Collection'!L135),"","G"&amp;""&amp;'Dry_Litterbag Placem_Collection'!L135)</f>
        <v>G210</v>
      </c>
      <c r="AN356" t="str">
        <f>IF(ISBLANK('Dry_Litterbag Placem_Collection'!M135),"","R"&amp;""&amp;'Dry_Litterbag Placem_Collection'!M135)</f>
        <v>R683</v>
      </c>
      <c r="AO356" t="b">
        <f t="shared" si="274"/>
        <v>0</v>
      </c>
      <c r="AP356" t="b">
        <f t="shared" si="275"/>
        <v>0</v>
      </c>
      <c r="AX356" s="395" t="b">
        <f t="shared" si="277"/>
        <v>0</v>
      </c>
      <c r="AY356" s="395" t="b">
        <f t="shared" si="278"/>
        <v>0</v>
      </c>
      <c r="BA356" t="str">
        <f>'Ashed teabags wet'!A354</f>
        <v>G819</v>
      </c>
      <c r="BB356" t="str">
        <f>'Ashed teabags wet'!A774</f>
        <v>R564</v>
      </c>
      <c r="BC356" t="b">
        <f t="shared" si="279"/>
        <v>0</v>
      </c>
      <c r="BD356" t="b">
        <f t="shared" si="259"/>
        <v>0</v>
      </c>
      <c r="BH356" t="str">
        <f t="shared" si="281"/>
        <v/>
      </c>
      <c r="BI356" t="str">
        <f t="shared" si="295"/>
        <v/>
      </c>
      <c r="BP356" t="str">
        <f t="shared" si="283"/>
        <v/>
      </c>
      <c r="BQ356" t="str">
        <f t="shared" si="284"/>
        <v/>
      </c>
      <c r="BZ356" t="str">
        <f t="shared" si="285"/>
        <v/>
      </c>
      <c r="CA356" t="b">
        <f t="shared" si="286"/>
        <v>0</v>
      </c>
      <c r="CB356" t="str">
        <f t="shared" si="298"/>
        <v/>
      </c>
      <c r="CC356" t="str">
        <f t="shared" si="287"/>
        <v/>
      </c>
      <c r="CD356" t="b">
        <f t="shared" si="299"/>
        <v>0</v>
      </c>
      <c r="CE356" t="str">
        <f t="shared" si="300"/>
        <v/>
      </c>
      <c r="CG356" t="str">
        <f t="shared" si="288"/>
        <v>G818</v>
      </c>
      <c r="CH356" t="str">
        <f t="shared" si="301"/>
        <v>G818</v>
      </c>
      <c r="CI356" t="str">
        <f>AE355</f>
        <v>G779</v>
      </c>
      <c r="CJ356" t="str">
        <f t="shared" si="289"/>
        <v>G779</v>
      </c>
      <c r="CK356" t="s">
        <v>1232</v>
      </c>
      <c r="CL356" t="s">
        <v>1232</v>
      </c>
      <c r="CM356" t="s">
        <v>1232</v>
      </c>
      <c r="CN356" t="b">
        <f t="shared" si="302"/>
        <v>1</v>
      </c>
      <c r="CO356" t="str">
        <f t="shared" si="290"/>
        <v>R563</v>
      </c>
      <c r="CP356" t="str">
        <f t="shared" si="303"/>
        <v>R563</v>
      </c>
      <c r="CQ356" t="str">
        <f>AF355</f>
        <v>R477</v>
      </c>
      <c r="CR356" t="str">
        <f t="shared" si="291"/>
        <v>R477</v>
      </c>
      <c r="CS356" t="s">
        <v>578</v>
      </c>
      <c r="CT356" t="s">
        <v>578</v>
      </c>
      <c r="CU356" t="s">
        <v>578</v>
      </c>
      <c r="CV356" t="b">
        <f t="shared" si="304"/>
        <v>1</v>
      </c>
      <c r="DC356" t="str">
        <f t="shared" si="292"/>
        <v>G779</v>
      </c>
      <c r="DD356" t="b">
        <f t="shared" si="305"/>
        <v>0</v>
      </c>
      <c r="DE356" t="str">
        <f t="shared" si="306"/>
        <v>G779</v>
      </c>
      <c r="DF356" t="str">
        <f t="shared" si="293"/>
        <v>R477</v>
      </c>
      <c r="DG356" t="b">
        <f t="shared" si="307"/>
        <v>0</v>
      </c>
      <c r="DH356" t="str">
        <f t="shared" si="308"/>
        <v>R477</v>
      </c>
    </row>
    <row r="357" spans="2:112" ht="12" customHeight="1">
      <c r="B357" t="str">
        <f>TBIDry!H429</f>
        <v>G40</v>
      </c>
      <c r="C357" t="str">
        <f>TBIDry!I429</f>
        <v>R649</v>
      </c>
      <c r="D357" t="b">
        <f t="shared" si="260"/>
        <v>0</v>
      </c>
      <c r="E357" t="b">
        <f t="shared" si="261"/>
        <v>0</v>
      </c>
      <c r="G357" t="str">
        <f>TBIWet!H429</f>
        <v>G820</v>
      </c>
      <c r="H357" t="str">
        <f>TBIWet!I429</f>
        <v>R467</v>
      </c>
      <c r="I357" t="b">
        <f t="shared" si="262"/>
        <v>0</v>
      </c>
      <c r="J357" t="b">
        <f t="shared" si="263"/>
        <v>0</v>
      </c>
      <c r="L357" t="str">
        <f>'Both teabags AfterWet'!A355</f>
        <v>G820</v>
      </c>
      <c r="M357" t="str">
        <f>'Both teabags AfterWet'!A775</f>
        <v>R565</v>
      </c>
      <c r="N357" t="b">
        <f t="shared" si="264"/>
        <v>0</v>
      </c>
      <c r="O357" t="b">
        <f t="shared" si="309"/>
        <v>0</v>
      </c>
      <c r="Q357" s="395" t="b">
        <f t="shared" si="265"/>
        <v>0</v>
      </c>
      <c r="R357" s="395" t="b">
        <f t="shared" si="266"/>
        <v>0</v>
      </c>
      <c r="Y357" t="str">
        <f>'Green_rooibos initial weight'!A358</f>
        <v>G354</v>
      </c>
      <c r="Z357" t="str">
        <f>'Green_rooibos initial weight'!A1262</f>
        <v>R354</v>
      </c>
      <c r="AA357" t="b">
        <f t="shared" si="268"/>
        <v>0</v>
      </c>
      <c r="AB357" t="b">
        <f t="shared" si="269"/>
        <v>0</v>
      </c>
      <c r="AE357" t="str">
        <f>'WetLitterbags placem_collection'!O136</f>
        <v>G820</v>
      </c>
      <c r="AF357" t="str">
        <f>'WetLitterbags placem_collection'!Q136</f>
        <v>R467</v>
      </c>
      <c r="AG357" t="b">
        <f t="shared" si="270"/>
        <v>0</v>
      </c>
      <c r="AH357" t="b">
        <f t="shared" si="271"/>
        <v>0</v>
      </c>
      <c r="AJ357" t="b">
        <f t="shared" si="272"/>
        <v>0</v>
      </c>
      <c r="AK357" t="b">
        <f t="shared" si="273"/>
        <v>0</v>
      </c>
      <c r="AM357" t="str">
        <f>IF(ISBLANK('Dry_Litterbag Placem_Collection'!L136),"","G"&amp;""&amp;'Dry_Litterbag Placem_Collection'!L136)</f>
        <v>G40</v>
      </c>
      <c r="AN357" t="str">
        <f>IF(ISBLANK('Dry_Litterbag Placem_Collection'!M136),"","R"&amp;""&amp;'Dry_Litterbag Placem_Collection'!M136)</f>
        <v>R649</v>
      </c>
      <c r="AO357" t="b">
        <f t="shared" si="274"/>
        <v>0</v>
      </c>
      <c r="AP357" t="b">
        <f t="shared" si="275"/>
        <v>0</v>
      </c>
      <c r="AX357" s="395" t="b">
        <f t="shared" si="277"/>
        <v>0</v>
      </c>
      <c r="AY357" s="395" t="b">
        <f t="shared" si="278"/>
        <v>0</v>
      </c>
      <c r="BA357" t="str">
        <f>'Ashed teabags wet'!A355</f>
        <v>G820</v>
      </c>
      <c r="BB357" t="str">
        <f>'Ashed teabags wet'!A775</f>
        <v>R565</v>
      </c>
      <c r="BC357" t="b">
        <f t="shared" si="279"/>
        <v>0</v>
      </c>
      <c r="BD357" t="b">
        <f t="shared" si="259"/>
        <v>0</v>
      </c>
      <c r="BH357" t="str">
        <f t="shared" si="281"/>
        <v>G210</v>
      </c>
      <c r="BI357" t="str">
        <f t="shared" si="295"/>
        <v/>
      </c>
      <c r="BP357" t="str">
        <f t="shared" si="283"/>
        <v>R683</v>
      </c>
      <c r="BQ357" t="str">
        <f t="shared" si="284"/>
        <v/>
      </c>
      <c r="BZ357" t="str">
        <f t="shared" si="285"/>
        <v>G210</v>
      </c>
      <c r="CA357" t="b">
        <f t="shared" si="286"/>
        <v>1</v>
      </c>
      <c r="CB357" t="str">
        <f t="shared" si="298"/>
        <v/>
      </c>
      <c r="CC357" t="str">
        <f t="shared" si="287"/>
        <v>R683</v>
      </c>
      <c r="CD357" t="b">
        <f t="shared" si="299"/>
        <v>1</v>
      </c>
      <c r="CE357" t="str">
        <f t="shared" si="300"/>
        <v/>
      </c>
      <c r="CG357" t="str">
        <f t="shared" si="288"/>
        <v>G819</v>
      </c>
      <c r="CH357" t="str">
        <f t="shared" si="301"/>
        <v>G819</v>
      </c>
      <c r="CI357" t="str">
        <f>AE356</f>
        <v>G799</v>
      </c>
      <c r="CJ357" t="str">
        <f t="shared" si="289"/>
        <v>G799</v>
      </c>
      <c r="CK357" t="s">
        <v>1231</v>
      </c>
      <c r="CL357" t="s">
        <v>1231</v>
      </c>
      <c r="CM357" t="s">
        <v>1231</v>
      </c>
      <c r="CN357" t="b">
        <f t="shared" si="302"/>
        <v>1</v>
      </c>
      <c r="CO357" t="str">
        <f t="shared" si="290"/>
        <v>R564</v>
      </c>
      <c r="CP357" t="str">
        <f t="shared" si="303"/>
        <v>R564</v>
      </c>
      <c r="CQ357" t="str">
        <f>AF356</f>
        <v>R597</v>
      </c>
      <c r="CR357" t="str">
        <f t="shared" si="291"/>
        <v>R597</v>
      </c>
      <c r="CS357" t="s">
        <v>577</v>
      </c>
      <c r="CT357" t="s">
        <v>577</v>
      </c>
      <c r="CU357" t="s">
        <v>577</v>
      </c>
      <c r="CV357" t="b">
        <f t="shared" si="304"/>
        <v>1</v>
      </c>
      <c r="DC357" t="str">
        <f t="shared" si="292"/>
        <v>G799</v>
      </c>
      <c r="DD357" t="b">
        <f t="shared" si="305"/>
        <v>0</v>
      </c>
      <c r="DE357" t="str">
        <f t="shared" si="306"/>
        <v>G799</v>
      </c>
      <c r="DF357" t="str">
        <f t="shared" si="293"/>
        <v>R597</v>
      </c>
      <c r="DG357" t="b">
        <f t="shared" si="307"/>
        <v>0</v>
      </c>
      <c r="DH357" t="str">
        <f t="shared" si="308"/>
        <v>R597</v>
      </c>
    </row>
    <row r="358" spans="2:112" ht="12" customHeight="1">
      <c r="B358" t="str">
        <f>TBIDry!H430</f>
        <v>G517</v>
      </c>
      <c r="C358" t="str">
        <f>TBIDry!I430</f>
        <v>R223</v>
      </c>
      <c r="D358" t="b">
        <f t="shared" si="260"/>
        <v>0</v>
      </c>
      <c r="E358" t="b">
        <f t="shared" si="261"/>
        <v>0</v>
      </c>
      <c r="G358" t="str">
        <f>TBIWet!H430</f>
        <v>G842</v>
      </c>
      <c r="H358" t="str">
        <f>TBIWet!I430</f>
        <v>R596</v>
      </c>
      <c r="I358" t="b">
        <f t="shared" si="262"/>
        <v>0</v>
      </c>
      <c r="J358" t="b">
        <f t="shared" si="263"/>
        <v>0</v>
      </c>
      <c r="L358" t="str">
        <f>'Both teabags AfterWet'!A356</f>
        <v>G821</v>
      </c>
      <c r="M358" t="str">
        <f>'Both teabags AfterWet'!A776</f>
        <v>R566</v>
      </c>
      <c r="N358" t="b">
        <f t="shared" si="264"/>
        <v>0</v>
      </c>
      <c r="O358" t="b">
        <f t="shared" si="309"/>
        <v>0</v>
      </c>
      <c r="Q358" s="395" t="b">
        <f t="shared" si="265"/>
        <v>0</v>
      </c>
      <c r="R358" s="395" t="b">
        <f t="shared" si="266"/>
        <v>0</v>
      </c>
      <c r="Y358" t="str">
        <f>'Green_rooibos initial weight'!A359</f>
        <v>G355</v>
      </c>
      <c r="Z358" t="str">
        <f>'Green_rooibos initial weight'!A1263</f>
        <v>R355</v>
      </c>
      <c r="AA358" t="b">
        <f t="shared" si="268"/>
        <v>0</v>
      </c>
      <c r="AB358" t="b">
        <f t="shared" si="269"/>
        <v>0</v>
      </c>
      <c r="AE358" t="str">
        <f>'WetLitterbags placem_collection'!O137</f>
        <v>G842</v>
      </c>
      <c r="AF358" t="str">
        <f>'WetLitterbags placem_collection'!Q137</f>
        <v>R596</v>
      </c>
      <c r="AG358" t="b">
        <f t="shared" si="270"/>
        <v>0</v>
      </c>
      <c r="AH358" t="b">
        <f t="shared" si="271"/>
        <v>0</v>
      </c>
      <c r="AJ358" t="b">
        <f t="shared" si="272"/>
        <v>0</v>
      </c>
      <c r="AK358" t="b">
        <f t="shared" si="273"/>
        <v>0</v>
      </c>
      <c r="AM358" t="str">
        <f>IF(ISBLANK('Dry_Litterbag Placem_Collection'!L137),"","G"&amp;""&amp;'Dry_Litterbag Placem_Collection'!L137)</f>
        <v>G517</v>
      </c>
      <c r="AN358" t="str">
        <f>IF(ISBLANK('Dry_Litterbag Placem_Collection'!M137),"","R"&amp;""&amp;'Dry_Litterbag Placem_Collection'!M137)</f>
        <v>R223</v>
      </c>
      <c r="AO358" t="b">
        <f t="shared" si="274"/>
        <v>0</v>
      </c>
      <c r="AP358" t="b">
        <f t="shared" si="275"/>
        <v>0</v>
      </c>
      <c r="AX358" s="395" t="b">
        <f t="shared" si="277"/>
        <v>0</v>
      </c>
      <c r="AY358" s="395" t="b">
        <f t="shared" si="278"/>
        <v>0</v>
      </c>
      <c r="BA358" t="str">
        <f>'Ashed teabags wet'!A356</f>
        <v>G821</v>
      </c>
      <c r="BB358" t="str">
        <f>'Ashed teabags wet'!A776</f>
        <v>R566</v>
      </c>
      <c r="BC358" t="b">
        <f t="shared" si="279"/>
        <v>0</v>
      </c>
      <c r="BD358" t="b">
        <f t="shared" si="259"/>
        <v>0</v>
      </c>
      <c r="BH358" t="str">
        <f t="shared" si="281"/>
        <v>G40</v>
      </c>
      <c r="BI358" t="str">
        <f t="shared" si="295"/>
        <v>G40</v>
      </c>
      <c r="BP358" t="str">
        <f t="shared" si="283"/>
        <v>R649</v>
      </c>
      <c r="BQ358" t="str">
        <f t="shared" si="284"/>
        <v>R649</v>
      </c>
      <c r="BZ358" t="str">
        <f t="shared" si="285"/>
        <v>G40</v>
      </c>
      <c r="CA358" t="b">
        <f t="shared" si="286"/>
        <v>0</v>
      </c>
      <c r="CB358" t="str">
        <f t="shared" si="298"/>
        <v>G40</v>
      </c>
      <c r="CC358" t="str">
        <f t="shared" si="287"/>
        <v>R649</v>
      </c>
      <c r="CD358" t="b">
        <f t="shared" si="299"/>
        <v>0</v>
      </c>
      <c r="CE358" t="str">
        <f t="shared" si="300"/>
        <v>R649</v>
      </c>
      <c r="CG358" t="str">
        <f t="shared" si="288"/>
        <v>G820</v>
      </c>
      <c r="CH358" t="str">
        <f t="shared" si="301"/>
        <v>G820</v>
      </c>
      <c r="CI358" t="str">
        <f>AE357</f>
        <v>G820</v>
      </c>
      <c r="CJ358" t="str">
        <f t="shared" si="289"/>
        <v>G820</v>
      </c>
      <c r="CK358" t="s">
        <v>1230</v>
      </c>
      <c r="CL358" t="s">
        <v>1230</v>
      </c>
      <c r="CM358" t="s">
        <v>1230</v>
      </c>
      <c r="CN358" t="b">
        <f t="shared" si="302"/>
        <v>1</v>
      </c>
      <c r="CO358" t="str">
        <f t="shared" si="290"/>
        <v>R565</v>
      </c>
      <c r="CP358" t="str">
        <f t="shared" si="303"/>
        <v>R565</v>
      </c>
      <c r="CQ358" t="str">
        <f>AF357</f>
        <v>R467</v>
      </c>
      <c r="CR358" t="str">
        <f t="shared" si="291"/>
        <v>R467</v>
      </c>
      <c r="CS358" t="s">
        <v>576</v>
      </c>
      <c r="CT358" t="s">
        <v>576</v>
      </c>
      <c r="CU358" t="s">
        <v>576</v>
      </c>
      <c r="CV358" t="b">
        <f t="shared" si="304"/>
        <v>1</v>
      </c>
      <c r="DC358" t="str">
        <f t="shared" si="292"/>
        <v>G820</v>
      </c>
      <c r="DD358" t="b">
        <f t="shared" si="305"/>
        <v>0</v>
      </c>
      <c r="DE358" t="str">
        <f t="shared" si="306"/>
        <v>G820</v>
      </c>
      <c r="DF358" t="str">
        <f t="shared" si="293"/>
        <v>R467</v>
      </c>
      <c r="DG358" t="b">
        <f t="shared" si="307"/>
        <v>0</v>
      </c>
      <c r="DH358" t="str">
        <f t="shared" si="308"/>
        <v>R467</v>
      </c>
    </row>
    <row r="359" spans="2:112" ht="12" customHeight="1">
      <c r="B359" t="str">
        <f>TBIDry!H431</f>
        <v>G67</v>
      </c>
      <c r="C359" t="str">
        <f>TBIDry!I431</f>
        <v>R214</v>
      </c>
      <c r="D359" t="b">
        <f t="shared" si="260"/>
        <v>0</v>
      </c>
      <c r="E359" t="b">
        <f t="shared" si="261"/>
        <v>0</v>
      </c>
      <c r="G359" t="str">
        <f>TBIWet!H431</f>
        <v>G747</v>
      </c>
      <c r="H359" t="str">
        <f>TBIWet!I431</f>
        <v>R543</v>
      </c>
      <c r="I359" t="b">
        <f t="shared" si="262"/>
        <v>0</v>
      </c>
      <c r="J359" t="b">
        <f t="shared" si="263"/>
        <v>0</v>
      </c>
      <c r="L359" t="str">
        <f>'Both teabags AfterWet'!A357</f>
        <v>G822</v>
      </c>
      <c r="M359" t="str">
        <f>'Both teabags AfterWet'!A777</f>
        <v>R567</v>
      </c>
      <c r="N359" t="b">
        <f t="shared" si="264"/>
        <v>0</v>
      </c>
      <c r="O359" t="b">
        <f t="shared" si="309"/>
        <v>0</v>
      </c>
      <c r="Q359" s="395" t="b">
        <f t="shared" si="265"/>
        <v>0</v>
      </c>
      <c r="R359" s="395" t="b">
        <f t="shared" si="266"/>
        <v>0</v>
      </c>
      <c r="Y359" t="str">
        <f>'Green_rooibos initial weight'!A360</f>
        <v>G356</v>
      </c>
      <c r="Z359" t="str">
        <f>'Green_rooibos initial weight'!A1264</f>
        <v>R356</v>
      </c>
      <c r="AA359" t="b">
        <f t="shared" si="268"/>
        <v>0</v>
      </c>
      <c r="AB359" t="b">
        <f t="shared" si="269"/>
        <v>0</v>
      </c>
      <c r="AE359" t="str">
        <f>'WetLitterbags placem_collection'!O138</f>
        <v>G747</v>
      </c>
      <c r="AF359" t="str">
        <f>'WetLitterbags placem_collection'!Q138</f>
        <v>R543</v>
      </c>
      <c r="AG359" t="b">
        <f t="shared" si="270"/>
        <v>0</v>
      </c>
      <c r="AH359" t="b">
        <f t="shared" si="271"/>
        <v>0</v>
      </c>
      <c r="AJ359" t="b">
        <f t="shared" si="272"/>
        <v>0</v>
      </c>
      <c r="AK359" t="b">
        <f t="shared" si="273"/>
        <v>0</v>
      </c>
      <c r="AM359" t="str">
        <f>IF(ISBLANK('Dry_Litterbag Placem_Collection'!L138),"","G"&amp;""&amp;'Dry_Litterbag Placem_Collection'!L138)</f>
        <v>G67</v>
      </c>
      <c r="AN359" t="str">
        <f>IF(ISBLANK('Dry_Litterbag Placem_Collection'!M138),"","R"&amp;""&amp;'Dry_Litterbag Placem_Collection'!M138)</f>
        <v>R214</v>
      </c>
      <c r="AO359" t="b">
        <f t="shared" si="274"/>
        <v>0</v>
      </c>
      <c r="AP359" t="b">
        <f t="shared" si="275"/>
        <v>0</v>
      </c>
      <c r="AX359" s="395" t="b">
        <f t="shared" si="277"/>
        <v>0</v>
      </c>
      <c r="AY359" s="395" t="b">
        <f t="shared" si="278"/>
        <v>0</v>
      </c>
      <c r="BA359" t="str">
        <f>'Ashed teabags wet'!A357</f>
        <v>G822</v>
      </c>
      <c r="BB359" t="str">
        <f>'Ashed teabags wet'!A777</f>
        <v>R567</v>
      </c>
      <c r="BC359" t="b">
        <f t="shared" si="279"/>
        <v>0</v>
      </c>
      <c r="BD359" t="b">
        <f t="shared" si="259"/>
        <v>0</v>
      </c>
      <c r="BH359" t="str">
        <f t="shared" si="281"/>
        <v>G517</v>
      </c>
      <c r="BI359" t="str">
        <f t="shared" si="295"/>
        <v>G517</v>
      </c>
      <c r="BP359" t="str">
        <f t="shared" si="283"/>
        <v>R223</v>
      </c>
      <c r="BQ359" t="str">
        <f t="shared" si="284"/>
        <v>R223</v>
      </c>
      <c r="BZ359" t="str">
        <f t="shared" si="285"/>
        <v>G517</v>
      </c>
      <c r="CA359" t="b">
        <f t="shared" si="286"/>
        <v>0</v>
      </c>
      <c r="CB359" t="str">
        <f t="shared" si="298"/>
        <v>G517</v>
      </c>
      <c r="CC359" t="str">
        <f t="shared" si="287"/>
        <v>R223</v>
      </c>
      <c r="CD359" t="b">
        <f t="shared" si="299"/>
        <v>0</v>
      </c>
      <c r="CE359" t="str">
        <f t="shared" si="300"/>
        <v>R223</v>
      </c>
      <c r="CG359" t="str">
        <f t="shared" si="288"/>
        <v>G821</v>
      </c>
      <c r="CH359" t="str">
        <f t="shared" si="301"/>
        <v>G821</v>
      </c>
      <c r="CI359" t="str">
        <f>AE358</f>
        <v>G842</v>
      </c>
      <c r="CJ359" t="str">
        <f t="shared" si="289"/>
        <v>G842</v>
      </c>
      <c r="CK359" t="s">
        <v>1229</v>
      </c>
      <c r="CL359" t="s">
        <v>1229</v>
      </c>
      <c r="CM359" t="s">
        <v>1229</v>
      </c>
      <c r="CN359" t="b">
        <f t="shared" si="302"/>
        <v>1</v>
      </c>
      <c r="CO359" t="str">
        <f t="shared" si="290"/>
        <v>R566</v>
      </c>
      <c r="CP359" t="str">
        <f t="shared" si="303"/>
        <v>R566</v>
      </c>
      <c r="CQ359" t="str">
        <f>AF358</f>
        <v>R596</v>
      </c>
      <c r="CR359" t="str">
        <f t="shared" si="291"/>
        <v>R596</v>
      </c>
      <c r="CS359" t="s">
        <v>575</v>
      </c>
      <c r="CT359" t="s">
        <v>575</v>
      </c>
      <c r="CU359" t="s">
        <v>575</v>
      </c>
      <c r="CV359" t="b">
        <f t="shared" si="304"/>
        <v>1</v>
      </c>
      <c r="DC359" t="str">
        <f t="shared" si="292"/>
        <v>G842</v>
      </c>
      <c r="DD359" t="b">
        <f t="shared" si="305"/>
        <v>0</v>
      </c>
      <c r="DE359" t="str">
        <f t="shared" si="306"/>
        <v>G842</v>
      </c>
      <c r="DF359" t="str">
        <f t="shared" si="293"/>
        <v>R596</v>
      </c>
      <c r="DG359" t="b">
        <f t="shared" si="307"/>
        <v>0</v>
      </c>
      <c r="DH359" t="str">
        <f t="shared" si="308"/>
        <v>R596</v>
      </c>
    </row>
    <row r="360" spans="2:112" ht="12" customHeight="1">
      <c r="B360" t="str">
        <f>TBIDry!H432</f>
        <v>G335</v>
      </c>
      <c r="C360" t="str">
        <f>TBIDry!I432</f>
        <v>R628</v>
      </c>
      <c r="D360" t="b">
        <f t="shared" si="260"/>
        <v>0</v>
      </c>
      <c r="E360" t="b">
        <f t="shared" si="261"/>
        <v>0</v>
      </c>
      <c r="G360" t="str">
        <f>TBIWet!H432</f>
        <v>G857</v>
      </c>
      <c r="H360" t="str">
        <f>TBIWet!I432</f>
        <v>R483</v>
      </c>
      <c r="I360" t="b">
        <f t="shared" si="262"/>
        <v>0</v>
      </c>
      <c r="J360" t="b">
        <f t="shared" si="263"/>
        <v>0</v>
      </c>
      <c r="L360" t="str">
        <f>'Both teabags AfterWet'!A358</f>
        <v>G824</v>
      </c>
      <c r="M360" t="str">
        <f>'Both teabags AfterWet'!A778</f>
        <v>R568</v>
      </c>
      <c r="N360" t="b">
        <f t="shared" si="264"/>
        <v>0</v>
      </c>
      <c r="O360" t="b">
        <f t="shared" si="309"/>
        <v>0</v>
      </c>
      <c r="Q360" s="395" t="b">
        <f t="shared" si="265"/>
        <v>0</v>
      </c>
      <c r="R360" s="395" t="b">
        <f t="shared" si="266"/>
        <v>0</v>
      </c>
      <c r="Y360" t="str">
        <f>'Green_rooibos initial weight'!A361</f>
        <v>G357</v>
      </c>
      <c r="Z360" t="str">
        <f>'Green_rooibos initial weight'!A1265</f>
        <v>R357</v>
      </c>
      <c r="AA360" t="b">
        <f t="shared" si="268"/>
        <v>0</v>
      </c>
      <c r="AB360" t="b">
        <f t="shared" si="269"/>
        <v>0</v>
      </c>
      <c r="AE360" t="str">
        <f>'WetLitterbags placem_collection'!O139</f>
        <v>G857</v>
      </c>
      <c r="AF360" t="str">
        <f>'WetLitterbags placem_collection'!Q139</f>
        <v>R483</v>
      </c>
      <c r="AG360" t="b">
        <f t="shared" si="270"/>
        <v>0</v>
      </c>
      <c r="AH360" t="b">
        <f t="shared" si="271"/>
        <v>0</v>
      </c>
      <c r="AJ360" t="b">
        <f t="shared" si="272"/>
        <v>0</v>
      </c>
      <c r="AK360" t="b">
        <f t="shared" si="273"/>
        <v>0</v>
      </c>
      <c r="AM360" t="str">
        <f>IF(ISBLANK('Dry_Litterbag Placem_Collection'!L139),"","G"&amp;""&amp;'Dry_Litterbag Placem_Collection'!L139)</f>
        <v>G335</v>
      </c>
      <c r="AN360" t="str">
        <f>IF(ISBLANK('Dry_Litterbag Placem_Collection'!M139),"","R"&amp;""&amp;'Dry_Litterbag Placem_Collection'!M139)</f>
        <v>R628</v>
      </c>
      <c r="AO360" t="b">
        <f t="shared" si="274"/>
        <v>0</v>
      </c>
      <c r="AP360" t="b">
        <f t="shared" si="275"/>
        <v>0</v>
      </c>
      <c r="AX360" s="395" t="b">
        <f t="shared" si="277"/>
        <v>0</v>
      </c>
      <c r="AY360" s="395" t="b">
        <f t="shared" si="278"/>
        <v>0</v>
      </c>
      <c r="BA360" t="str">
        <f>'Ashed teabags wet'!A358</f>
        <v>G824</v>
      </c>
      <c r="BB360" t="str">
        <f>'Ashed teabags wet'!A778</f>
        <v>R568</v>
      </c>
      <c r="BC360" t="b">
        <f t="shared" si="279"/>
        <v>0</v>
      </c>
      <c r="BD360" t="b">
        <f t="shared" si="259"/>
        <v>0</v>
      </c>
      <c r="BH360" t="str">
        <f t="shared" si="281"/>
        <v>G67</v>
      </c>
      <c r="BI360" t="str">
        <f t="shared" si="295"/>
        <v>G67</v>
      </c>
      <c r="BP360" t="str">
        <f t="shared" si="283"/>
        <v>R214</v>
      </c>
      <c r="BQ360" t="str">
        <f t="shared" si="284"/>
        <v>R214</v>
      </c>
      <c r="BZ360" t="str">
        <f t="shared" si="285"/>
        <v>G67</v>
      </c>
      <c r="CA360" t="b">
        <f t="shared" si="286"/>
        <v>0</v>
      </c>
      <c r="CB360" t="str">
        <f t="shared" si="298"/>
        <v>G67</v>
      </c>
      <c r="CC360" t="str">
        <f t="shared" si="287"/>
        <v>R214</v>
      </c>
      <c r="CD360" t="b">
        <f t="shared" si="299"/>
        <v>0</v>
      </c>
      <c r="CE360" t="str">
        <f t="shared" si="300"/>
        <v>R214</v>
      </c>
      <c r="CG360" t="str">
        <f t="shared" si="288"/>
        <v>G822</v>
      </c>
      <c r="CH360" t="str">
        <f t="shared" si="301"/>
        <v>G822</v>
      </c>
      <c r="CI360" t="str">
        <f>AE359</f>
        <v>G747</v>
      </c>
      <c r="CJ360" t="str">
        <f t="shared" si="289"/>
        <v>G747</v>
      </c>
      <c r="CK360" t="s">
        <v>1228</v>
      </c>
      <c r="CL360" t="s">
        <v>1228</v>
      </c>
      <c r="CM360" t="s">
        <v>1228</v>
      </c>
      <c r="CN360" t="b">
        <f t="shared" si="302"/>
        <v>1</v>
      </c>
      <c r="CO360" t="str">
        <f t="shared" si="290"/>
        <v>R567</v>
      </c>
      <c r="CP360" t="str">
        <f t="shared" si="303"/>
        <v>R567</v>
      </c>
      <c r="CQ360" t="str">
        <f>AF359</f>
        <v>R543</v>
      </c>
      <c r="CR360" t="str">
        <f t="shared" si="291"/>
        <v>R543</v>
      </c>
      <c r="CS360" t="s">
        <v>574</v>
      </c>
      <c r="CT360" t="s">
        <v>574</v>
      </c>
      <c r="CU360" t="s">
        <v>574</v>
      </c>
      <c r="CV360" t="b">
        <f t="shared" si="304"/>
        <v>1</v>
      </c>
      <c r="DC360" t="str">
        <f t="shared" si="292"/>
        <v>G747</v>
      </c>
      <c r="DD360" t="b">
        <f t="shared" si="305"/>
        <v>0</v>
      </c>
      <c r="DE360" t="str">
        <f t="shared" si="306"/>
        <v>G747</v>
      </c>
      <c r="DF360" t="str">
        <f t="shared" si="293"/>
        <v>R543</v>
      </c>
      <c r="DG360" t="b">
        <f t="shared" si="307"/>
        <v>0</v>
      </c>
      <c r="DH360" t="str">
        <f t="shared" si="308"/>
        <v>R543</v>
      </c>
    </row>
    <row r="361" spans="2:112" ht="12" customHeight="1">
      <c r="B361" t="str">
        <f>TBIDry!H433</f>
        <v>G484</v>
      </c>
      <c r="C361" t="str">
        <f>TBIDry!I433</f>
        <v>R198</v>
      </c>
      <c r="D361" t="b">
        <f t="shared" si="260"/>
        <v>0</v>
      </c>
      <c r="E361" t="b">
        <f t="shared" si="261"/>
        <v>0</v>
      </c>
      <c r="G361" t="str">
        <f>TBIWet!H433</f>
        <v>G623</v>
      </c>
      <c r="H361" t="str">
        <f>TBIWet!I433</f>
        <v>R21</v>
      </c>
      <c r="I361" t="b">
        <f t="shared" si="262"/>
        <v>0</v>
      </c>
      <c r="J361" t="b">
        <f t="shared" si="263"/>
        <v>0</v>
      </c>
      <c r="L361" t="str">
        <f>'Both teabags AfterWet'!A359</f>
        <v>G825</v>
      </c>
      <c r="M361" t="str">
        <f>'Both teabags AfterWet'!A779</f>
        <v>R569</v>
      </c>
      <c r="N361" t="b">
        <f t="shared" si="264"/>
        <v>0</v>
      </c>
      <c r="O361" t="b">
        <f t="shared" si="309"/>
        <v>0</v>
      </c>
      <c r="Q361" s="395" t="b">
        <f t="shared" si="265"/>
        <v>0</v>
      </c>
      <c r="R361" s="395" t="b">
        <f t="shared" si="266"/>
        <v>0</v>
      </c>
      <c r="Y361" t="str">
        <f>'Green_rooibos initial weight'!A362</f>
        <v>G358</v>
      </c>
      <c r="Z361" t="str">
        <f>'Green_rooibos initial weight'!A1266</f>
        <v>R358</v>
      </c>
      <c r="AA361" t="b">
        <f t="shared" si="268"/>
        <v>0</v>
      </c>
      <c r="AB361" t="b">
        <f t="shared" si="269"/>
        <v>0</v>
      </c>
      <c r="AE361" t="str">
        <f>'WetLitterbags placem_collection'!O140</f>
        <v>G623</v>
      </c>
      <c r="AF361" t="str">
        <f>'WetLitterbags placem_collection'!Q140</f>
        <v>R21</v>
      </c>
      <c r="AG361" t="b">
        <f t="shared" si="270"/>
        <v>0</v>
      </c>
      <c r="AH361" t="b">
        <f t="shared" si="271"/>
        <v>0</v>
      </c>
      <c r="AJ361" t="b">
        <f t="shared" si="272"/>
        <v>0</v>
      </c>
      <c r="AK361" t="b">
        <f t="shared" si="273"/>
        <v>0</v>
      </c>
      <c r="AM361" t="str">
        <f>IF(ISBLANK('Dry_Litterbag Placem_Collection'!L140),"","G"&amp;""&amp;'Dry_Litterbag Placem_Collection'!L140)</f>
        <v>G484</v>
      </c>
      <c r="AN361" t="str">
        <f>IF(ISBLANK('Dry_Litterbag Placem_Collection'!M140),"","R"&amp;""&amp;'Dry_Litterbag Placem_Collection'!M140)</f>
        <v>R198</v>
      </c>
      <c r="AO361" t="b">
        <f t="shared" si="274"/>
        <v>0</v>
      </c>
      <c r="AP361" t="b">
        <f t="shared" si="275"/>
        <v>0</v>
      </c>
      <c r="AX361" s="395" t="b">
        <f t="shared" si="277"/>
        <v>0</v>
      </c>
      <c r="AY361" s="395" t="b">
        <f t="shared" si="278"/>
        <v>0</v>
      </c>
      <c r="BA361" t="str">
        <f>'Ashed teabags wet'!A359</f>
        <v>G825</v>
      </c>
      <c r="BB361" t="str">
        <f>'Ashed teabags wet'!A779</f>
        <v>R569</v>
      </c>
      <c r="BC361" t="b">
        <f t="shared" si="279"/>
        <v>0</v>
      </c>
      <c r="BD361" t="b">
        <f t="shared" si="259"/>
        <v>0</v>
      </c>
      <c r="BH361" t="str">
        <f t="shared" si="281"/>
        <v>G335</v>
      </c>
      <c r="BI361" t="str">
        <f t="shared" si="295"/>
        <v>G335</v>
      </c>
      <c r="BP361" t="str">
        <f t="shared" si="283"/>
        <v>R628</v>
      </c>
      <c r="BQ361" t="str">
        <f t="shared" si="284"/>
        <v>R628</v>
      </c>
      <c r="BZ361" t="str">
        <f t="shared" si="285"/>
        <v>G335</v>
      </c>
      <c r="CA361" t="b">
        <f t="shared" si="286"/>
        <v>0</v>
      </c>
      <c r="CB361" t="str">
        <f t="shared" si="298"/>
        <v>G335</v>
      </c>
      <c r="CC361" t="str">
        <f t="shared" si="287"/>
        <v>R628</v>
      </c>
      <c r="CD361" t="b">
        <f t="shared" si="299"/>
        <v>0</v>
      </c>
      <c r="CE361" t="str">
        <f t="shared" si="300"/>
        <v>R628</v>
      </c>
      <c r="CG361" t="str">
        <f t="shared" si="288"/>
        <v>G824</v>
      </c>
      <c r="CH361" t="str">
        <f t="shared" si="301"/>
        <v>G824</v>
      </c>
      <c r="CI361" t="str">
        <f>AE360</f>
        <v>G857</v>
      </c>
      <c r="CJ361" t="str">
        <f t="shared" si="289"/>
        <v>G857</v>
      </c>
      <c r="CK361" t="s">
        <v>1226</v>
      </c>
      <c r="CL361" t="s">
        <v>1226</v>
      </c>
      <c r="CM361" t="s">
        <v>1226</v>
      </c>
      <c r="CN361" t="b">
        <f t="shared" si="302"/>
        <v>1</v>
      </c>
      <c r="CO361" t="str">
        <f t="shared" si="290"/>
        <v>R568</v>
      </c>
      <c r="CP361" t="str">
        <f t="shared" si="303"/>
        <v>R568</v>
      </c>
      <c r="CQ361" t="str">
        <f>AF360</f>
        <v>R483</v>
      </c>
      <c r="CR361" t="str">
        <f t="shared" si="291"/>
        <v>R483</v>
      </c>
      <c r="CS361" t="s">
        <v>573</v>
      </c>
      <c r="CT361" t="s">
        <v>573</v>
      </c>
      <c r="CU361" t="s">
        <v>573</v>
      </c>
      <c r="CV361" t="b">
        <f t="shared" si="304"/>
        <v>1</v>
      </c>
      <c r="DC361" t="str">
        <f t="shared" si="292"/>
        <v>G857</v>
      </c>
      <c r="DD361" t="b">
        <f t="shared" si="305"/>
        <v>0</v>
      </c>
      <c r="DE361" t="str">
        <f t="shared" si="306"/>
        <v>G857</v>
      </c>
      <c r="DF361" t="str">
        <f t="shared" si="293"/>
        <v>R483</v>
      </c>
      <c r="DG361" t="b">
        <f t="shared" si="307"/>
        <v>0</v>
      </c>
      <c r="DH361" t="str">
        <f t="shared" si="308"/>
        <v>R483</v>
      </c>
    </row>
    <row r="362" spans="2:112" ht="12" customHeight="1">
      <c r="B362" t="str">
        <f>TBIDry!H434</f>
        <v>G868</v>
      </c>
      <c r="C362" t="str">
        <f>TBIDry!I434</f>
        <v>R706</v>
      </c>
      <c r="D362" t="b">
        <f t="shared" si="260"/>
        <v>0</v>
      </c>
      <c r="E362" t="b">
        <f t="shared" si="261"/>
        <v>0</v>
      </c>
      <c r="G362" t="str">
        <f>TBIWet!H434</f>
        <v>G880</v>
      </c>
      <c r="H362" t="str">
        <f>TBIWet!I434</f>
        <v>R538</v>
      </c>
      <c r="I362" t="b">
        <f t="shared" si="262"/>
        <v>0</v>
      </c>
      <c r="J362" t="b">
        <f t="shared" si="263"/>
        <v>0</v>
      </c>
      <c r="L362" t="str">
        <f>'Both teabags AfterWet'!A360</f>
        <v>G826</v>
      </c>
      <c r="M362" t="str">
        <f>'Both teabags AfterWet'!A780</f>
        <v>R57</v>
      </c>
      <c r="N362" t="b">
        <f t="shared" si="264"/>
        <v>0</v>
      </c>
      <c r="O362" t="b">
        <f t="shared" si="309"/>
        <v>0</v>
      </c>
      <c r="Q362" s="395" t="b">
        <f t="shared" si="265"/>
        <v>0</v>
      </c>
      <c r="R362" s="395" t="b">
        <f t="shared" si="266"/>
        <v>0</v>
      </c>
      <c r="Y362" t="str">
        <f>'Green_rooibos initial weight'!A363</f>
        <v>G359</v>
      </c>
      <c r="Z362" t="str">
        <f>'Green_rooibos initial weight'!A1267</f>
        <v>R359</v>
      </c>
      <c r="AA362" t="b">
        <f t="shared" si="268"/>
        <v>0</v>
      </c>
      <c r="AB362" t="b">
        <f t="shared" si="269"/>
        <v>0</v>
      </c>
      <c r="AE362" t="str">
        <f>'WetLitterbags placem_collection'!O141</f>
        <v>G880</v>
      </c>
      <c r="AF362" t="str">
        <f>'WetLitterbags placem_collection'!Q141</f>
        <v>R538</v>
      </c>
      <c r="AG362" t="b">
        <f t="shared" si="270"/>
        <v>0</v>
      </c>
      <c r="AH362" t="b">
        <f t="shared" si="271"/>
        <v>0</v>
      </c>
      <c r="AJ362" t="b">
        <f t="shared" si="272"/>
        <v>0</v>
      </c>
      <c r="AK362" t="b">
        <f t="shared" si="273"/>
        <v>0</v>
      </c>
      <c r="AM362" t="str">
        <f>IF(ISBLANK('Dry_Litterbag Placem_Collection'!L141),"","G"&amp;""&amp;'Dry_Litterbag Placem_Collection'!L141)</f>
        <v>G868</v>
      </c>
      <c r="AN362" t="str">
        <f>IF(ISBLANK('Dry_Litterbag Placem_Collection'!M141),"","R"&amp;""&amp;'Dry_Litterbag Placem_Collection'!M141)</f>
        <v>R706</v>
      </c>
      <c r="AO362" t="b">
        <f t="shared" si="274"/>
        <v>0</v>
      </c>
      <c r="AP362" t="b">
        <f t="shared" si="275"/>
        <v>0</v>
      </c>
      <c r="AX362" s="395" t="b">
        <f t="shared" si="277"/>
        <v>0</v>
      </c>
      <c r="AY362" s="395" t="b">
        <f t="shared" si="278"/>
        <v>0</v>
      </c>
      <c r="BA362" t="str">
        <f>'Ashed teabags wet'!A360</f>
        <v>G826</v>
      </c>
      <c r="BB362" t="str">
        <f>'Ashed teabags wet'!A780</f>
        <v>R57</v>
      </c>
      <c r="BC362" t="b">
        <f t="shared" si="279"/>
        <v>0</v>
      </c>
      <c r="BD362" t="b">
        <f t="shared" si="259"/>
        <v>0</v>
      </c>
      <c r="BH362" t="str">
        <f t="shared" si="281"/>
        <v>G484</v>
      </c>
      <c r="BI362" t="str">
        <f t="shared" si="295"/>
        <v>G484</v>
      </c>
      <c r="BP362" t="str">
        <f t="shared" si="283"/>
        <v>R198</v>
      </c>
      <c r="BQ362" t="str">
        <f t="shared" si="284"/>
        <v>R198</v>
      </c>
      <c r="BZ362" t="str">
        <f t="shared" si="285"/>
        <v>G484</v>
      </c>
      <c r="CA362" t="b">
        <f t="shared" si="286"/>
        <v>0</v>
      </c>
      <c r="CB362" t="str">
        <f t="shared" si="298"/>
        <v>G484</v>
      </c>
      <c r="CC362" t="str">
        <f t="shared" si="287"/>
        <v>R198</v>
      </c>
      <c r="CD362" t="b">
        <f t="shared" si="299"/>
        <v>0</v>
      </c>
      <c r="CE362" t="str">
        <f t="shared" si="300"/>
        <v>R198</v>
      </c>
      <c r="CG362" t="str">
        <f t="shared" si="288"/>
        <v>G825</v>
      </c>
      <c r="CH362" t="str">
        <f t="shared" si="301"/>
        <v>G825</v>
      </c>
      <c r="CI362" t="str">
        <f>AE361</f>
        <v>G623</v>
      </c>
      <c r="CJ362" t="str">
        <f t="shared" si="289"/>
        <v>G623</v>
      </c>
      <c r="CK362" t="s">
        <v>1225</v>
      </c>
      <c r="CL362" t="s">
        <v>1225</v>
      </c>
      <c r="CM362" t="s">
        <v>1225</v>
      </c>
      <c r="CN362" t="b">
        <f t="shared" si="302"/>
        <v>1</v>
      </c>
      <c r="CO362" t="str">
        <f t="shared" si="290"/>
        <v>R569</v>
      </c>
      <c r="CP362" t="str">
        <f t="shared" si="303"/>
        <v>R569</v>
      </c>
      <c r="CQ362" t="str">
        <f>AF361</f>
        <v>R21</v>
      </c>
      <c r="CR362" t="str">
        <f t="shared" si="291"/>
        <v>R21</v>
      </c>
      <c r="CS362" t="s">
        <v>572</v>
      </c>
      <c r="CT362" t="s">
        <v>572</v>
      </c>
      <c r="CU362" t="s">
        <v>572</v>
      </c>
      <c r="CV362" t="b">
        <f t="shared" si="304"/>
        <v>1</v>
      </c>
      <c r="DC362" t="str">
        <f t="shared" si="292"/>
        <v>G623</v>
      </c>
      <c r="DD362" t="b">
        <f t="shared" si="305"/>
        <v>0</v>
      </c>
      <c r="DE362" t="str">
        <f t="shared" si="306"/>
        <v>G623</v>
      </c>
      <c r="DF362" t="str">
        <f t="shared" si="293"/>
        <v>R21</v>
      </c>
      <c r="DG362" t="b">
        <f t="shared" si="307"/>
        <v>0</v>
      </c>
      <c r="DH362" t="str">
        <f t="shared" si="308"/>
        <v>R21</v>
      </c>
    </row>
    <row r="363" spans="2:112" ht="12" customHeight="1">
      <c r="B363" t="str">
        <f>TBIDry!H435</f>
        <v>G792</v>
      </c>
      <c r="C363" t="str">
        <f>TBIDry!I435</f>
        <v>R710</v>
      </c>
      <c r="D363" t="b">
        <f t="shared" si="260"/>
        <v>0</v>
      </c>
      <c r="E363" t="b">
        <f t="shared" si="261"/>
        <v>0</v>
      </c>
      <c r="G363" t="str">
        <f>TBIWet!H435</f>
        <v>G706</v>
      </c>
      <c r="H363" t="str">
        <f>TBIWet!I435</f>
        <v>R559</v>
      </c>
      <c r="I363" t="b">
        <f t="shared" si="262"/>
        <v>0</v>
      </c>
      <c r="J363" t="b">
        <f t="shared" si="263"/>
        <v>0</v>
      </c>
      <c r="L363" t="str">
        <f>'Both teabags AfterWet'!A361</f>
        <v>G827</v>
      </c>
      <c r="M363" t="str">
        <f>'Both teabags AfterWet'!A781</f>
        <v>R570</v>
      </c>
      <c r="N363" t="b">
        <f t="shared" si="264"/>
        <v>0</v>
      </c>
      <c r="O363" s="113" t="b">
        <f t="shared" si="309"/>
        <v>0</v>
      </c>
      <c r="Q363" s="395" t="b">
        <f t="shared" si="265"/>
        <v>0</v>
      </c>
      <c r="R363" s="395" t="b">
        <f t="shared" si="266"/>
        <v>0</v>
      </c>
      <c r="Y363" t="str">
        <f>'Green_rooibos initial weight'!A364</f>
        <v>G360</v>
      </c>
      <c r="Z363" t="str">
        <f>'Green_rooibos initial weight'!A1268</f>
        <v>R360</v>
      </c>
      <c r="AA363" t="b">
        <f t="shared" si="268"/>
        <v>0</v>
      </c>
      <c r="AB363" t="b">
        <f t="shared" si="269"/>
        <v>0</v>
      </c>
      <c r="AE363" t="str">
        <f>'WetLitterbags placem_collection'!O142</f>
        <v>G706</v>
      </c>
      <c r="AF363" t="str">
        <f>'WetLitterbags placem_collection'!Q142</f>
        <v>R559</v>
      </c>
      <c r="AG363" t="b">
        <f t="shared" si="270"/>
        <v>0</v>
      </c>
      <c r="AH363" t="b">
        <f t="shared" si="271"/>
        <v>0</v>
      </c>
      <c r="AJ363" t="b">
        <f t="shared" si="272"/>
        <v>0</v>
      </c>
      <c r="AK363" t="b">
        <f t="shared" si="273"/>
        <v>0</v>
      </c>
      <c r="AM363" t="str">
        <f>IF(ISBLANK('Dry_Litterbag Placem_Collection'!L142),"","G"&amp;""&amp;'Dry_Litterbag Placem_Collection'!L142)</f>
        <v>G792</v>
      </c>
      <c r="AN363" t="str">
        <f>IF(ISBLANK('Dry_Litterbag Placem_Collection'!M142),"","R"&amp;""&amp;'Dry_Litterbag Placem_Collection'!M142)</f>
        <v>R710</v>
      </c>
      <c r="AO363" t="b">
        <f t="shared" si="274"/>
        <v>0</v>
      </c>
      <c r="AP363" t="b">
        <f t="shared" si="275"/>
        <v>0</v>
      </c>
      <c r="AX363" s="395" t="b">
        <f t="shared" si="277"/>
        <v>0</v>
      </c>
      <c r="AY363" s="395" t="b">
        <f t="shared" si="278"/>
        <v>0</v>
      </c>
      <c r="BA363" t="str">
        <f>'Ashed teabags wet'!A361</f>
        <v>G827</v>
      </c>
      <c r="BB363" t="str">
        <f>'Ashed teabags wet'!A781</f>
        <v>R570</v>
      </c>
      <c r="BC363" t="b">
        <f t="shared" si="279"/>
        <v>0</v>
      </c>
      <c r="BD363" t="b">
        <f t="shared" si="259"/>
        <v>0</v>
      </c>
      <c r="BH363" t="str">
        <f t="shared" si="281"/>
        <v>G868</v>
      </c>
      <c r="BI363" t="str">
        <f t="shared" si="295"/>
        <v>G868</v>
      </c>
      <c r="BP363" t="str">
        <f t="shared" si="283"/>
        <v>R706</v>
      </c>
      <c r="BQ363" t="str">
        <f t="shared" si="284"/>
        <v>R706</v>
      </c>
      <c r="BZ363" t="str">
        <f t="shared" si="285"/>
        <v>G868</v>
      </c>
      <c r="CA363" t="b">
        <f t="shared" si="286"/>
        <v>0</v>
      </c>
      <c r="CB363" t="str">
        <f t="shared" si="298"/>
        <v>G868</v>
      </c>
      <c r="CC363" t="str">
        <f t="shared" si="287"/>
        <v>R706</v>
      </c>
      <c r="CD363" t="b">
        <f t="shared" si="299"/>
        <v>0</v>
      </c>
      <c r="CE363" t="str">
        <f t="shared" si="300"/>
        <v>R706</v>
      </c>
      <c r="CG363" t="str">
        <f t="shared" si="288"/>
        <v>G826</v>
      </c>
      <c r="CH363" t="str">
        <f t="shared" si="301"/>
        <v>G826</v>
      </c>
      <c r="CI363" t="str">
        <f>AE362</f>
        <v>G880</v>
      </c>
      <c r="CJ363" t="str">
        <f t="shared" si="289"/>
        <v>G880</v>
      </c>
      <c r="CK363" t="s">
        <v>1224</v>
      </c>
      <c r="CL363" t="s">
        <v>1224</v>
      </c>
      <c r="CM363" t="s">
        <v>1224</v>
      </c>
      <c r="CN363" t="b">
        <f t="shared" si="302"/>
        <v>1</v>
      </c>
      <c r="CO363" t="str">
        <f t="shared" si="290"/>
        <v>R57</v>
      </c>
      <c r="CP363" t="str">
        <f t="shared" si="303"/>
        <v>R57</v>
      </c>
      <c r="CQ363" t="str">
        <f>AF362</f>
        <v>R538</v>
      </c>
      <c r="CR363" t="str">
        <f t="shared" si="291"/>
        <v>R538</v>
      </c>
      <c r="CS363" t="s">
        <v>1084</v>
      </c>
      <c r="CT363" t="s">
        <v>1084</v>
      </c>
      <c r="CU363" t="s">
        <v>1084</v>
      </c>
      <c r="CV363" t="b">
        <f t="shared" si="304"/>
        <v>1</v>
      </c>
      <c r="DC363" t="str">
        <f t="shared" si="292"/>
        <v>G880</v>
      </c>
      <c r="DD363" t="b">
        <f t="shared" si="305"/>
        <v>0</v>
      </c>
      <c r="DE363" t="str">
        <f t="shared" si="306"/>
        <v>G880</v>
      </c>
      <c r="DF363" t="str">
        <f t="shared" si="293"/>
        <v>R538</v>
      </c>
      <c r="DG363" t="b">
        <f t="shared" si="307"/>
        <v>0</v>
      </c>
      <c r="DH363" t="str">
        <f t="shared" si="308"/>
        <v>R538</v>
      </c>
    </row>
    <row r="364" spans="2:112" ht="12" customHeight="1">
      <c r="B364" t="str">
        <f>TBIDry!H436</f>
        <v/>
      </c>
      <c r="C364" t="str">
        <f>TBIDry!I436</f>
        <v/>
      </c>
      <c r="D364" t="b">
        <f t="shared" si="260"/>
        <v>1</v>
      </c>
      <c r="E364" t="b">
        <f t="shared" si="261"/>
        <v>1</v>
      </c>
      <c r="G364" t="str">
        <f>TBIWet!H436</f>
        <v>G775</v>
      </c>
      <c r="H364" t="str">
        <f>TBIWet!I436</f>
        <v>R465</v>
      </c>
      <c r="I364" t="b">
        <f t="shared" si="262"/>
        <v>0</v>
      </c>
      <c r="J364" t="b">
        <f t="shared" si="263"/>
        <v>0</v>
      </c>
      <c r="L364" t="str">
        <f>'Both teabags AfterWet'!A362</f>
        <v>G828</v>
      </c>
      <c r="M364" t="str">
        <f>'Both teabags AfterWet'!A782</f>
        <v>R571</v>
      </c>
      <c r="N364" t="b">
        <f t="shared" si="264"/>
        <v>0</v>
      </c>
      <c r="O364" s="113" t="b">
        <f t="shared" si="309"/>
        <v>0</v>
      </c>
      <c r="Q364" s="395" t="b">
        <f t="shared" si="265"/>
        <v>0</v>
      </c>
      <c r="R364" s="395" t="b">
        <f t="shared" si="266"/>
        <v>0</v>
      </c>
      <c r="Y364" t="str">
        <f>'Green_rooibos initial weight'!A365</f>
        <v>G361</v>
      </c>
      <c r="Z364" t="str">
        <f>'Green_rooibos initial weight'!A1269</f>
        <v>R361</v>
      </c>
      <c r="AA364" t="b">
        <f t="shared" si="268"/>
        <v>0</v>
      </c>
      <c r="AB364" t="b">
        <f t="shared" si="269"/>
        <v>0</v>
      </c>
      <c r="AE364" t="str">
        <f>'WetLitterbags placem_collection'!O143</f>
        <v>G775</v>
      </c>
      <c r="AF364" t="str">
        <f>'WetLitterbags placem_collection'!Q143</f>
        <v>R465</v>
      </c>
      <c r="AG364" t="b">
        <f t="shared" si="270"/>
        <v>0</v>
      </c>
      <c r="AH364" t="b">
        <f t="shared" si="271"/>
        <v>0</v>
      </c>
      <c r="AJ364" t="b">
        <f t="shared" si="272"/>
        <v>0</v>
      </c>
      <c r="AK364" t="b">
        <f t="shared" si="273"/>
        <v>0</v>
      </c>
      <c r="AM364" t="str">
        <f>IF(ISBLANK('Dry_Litterbag Placem_Collection'!L143),"","G"&amp;""&amp;'Dry_Litterbag Placem_Collection'!L143)</f>
        <v/>
      </c>
      <c r="AN364" t="str">
        <f>IF(ISBLANK('Dry_Litterbag Placem_Collection'!M143),"","R"&amp;""&amp;'Dry_Litterbag Placem_Collection'!M143)</f>
        <v/>
      </c>
      <c r="AO364" t="b">
        <f t="shared" si="274"/>
        <v>1</v>
      </c>
      <c r="AP364" t="b">
        <f t="shared" si="275"/>
        <v>1</v>
      </c>
      <c r="AX364" s="395" t="b">
        <f t="shared" si="277"/>
        <v>0</v>
      </c>
      <c r="AY364" s="395" t="b">
        <f t="shared" si="278"/>
        <v>0</v>
      </c>
      <c r="BA364" t="str">
        <f>'Ashed teabags wet'!A362</f>
        <v>G828</v>
      </c>
      <c r="BB364" t="str">
        <f>'Ashed teabags wet'!A782</f>
        <v>R571</v>
      </c>
      <c r="BC364" t="b">
        <f t="shared" si="279"/>
        <v>0</v>
      </c>
      <c r="BD364" t="b">
        <f t="shared" si="259"/>
        <v>0</v>
      </c>
      <c r="BH364" t="str">
        <f t="shared" si="281"/>
        <v>G792</v>
      </c>
      <c r="BI364" t="str">
        <f t="shared" si="295"/>
        <v>G792</v>
      </c>
      <c r="BP364" t="str">
        <f t="shared" si="283"/>
        <v>R710</v>
      </c>
      <c r="BQ364" t="str">
        <f t="shared" si="284"/>
        <v>R710</v>
      </c>
      <c r="BZ364" t="str">
        <f t="shared" si="285"/>
        <v>G792</v>
      </c>
      <c r="CA364" t="b">
        <f t="shared" si="286"/>
        <v>0</v>
      </c>
      <c r="CB364" t="str">
        <f t="shared" si="298"/>
        <v>G792</v>
      </c>
      <c r="CC364" t="str">
        <f t="shared" si="287"/>
        <v>R710</v>
      </c>
      <c r="CD364" t="b">
        <f t="shared" si="299"/>
        <v>0</v>
      </c>
      <c r="CE364" t="str">
        <f t="shared" si="300"/>
        <v>R710</v>
      </c>
      <c r="CG364" t="str">
        <f t="shared" si="288"/>
        <v>G827</v>
      </c>
      <c r="CH364" t="str">
        <f t="shared" si="301"/>
        <v>G827</v>
      </c>
      <c r="CI364" t="str">
        <f>AE363</f>
        <v>G706</v>
      </c>
      <c r="CJ364" t="str">
        <f t="shared" si="289"/>
        <v>G706</v>
      </c>
      <c r="CK364" t="s">
        <v>1223</v>
      </c>
      <c r="CL364" t="s">
        <v>1223</v>
      </c>
      <c r="CM364" t="s">
        <v>1223</v>
      </c>
      <c r="CN364" t="b">
        <f t="shared" si="302"/>
        <v>1</v>
      </c>
      <c r="CO364" t="str">
        <f t="shared" si="290"/>
        <v>R570</v>
      </c>
      <c r="CP364" t="str">
        <f t="shared" si="303"/>
        <v>R570</v>
      </c>
      <c r="CQ364" t="str">
        <f>AF363</f>
        <v>R559</v>
      </c>
      <c r="CR364" t="str">
        <f t="shared" si="291"/>
        <v>R559</v>
      </c>
      <c r="CS364" t="s">
        <v>571</v>
      </c>
      <c r="CT364" t="s">
        <v>571</v>
      </c>
      <c r="CU364" t="s">
        <v>571</v>
      </c>
      <c r="CV364" t="b">
        <f t="shared" si="304"/>
        <v>1</v>
      </c>
      <c r="DC364" t="str">
        <f t="shared" si="292"/>
        <v>G706</v>
      </c>
      <c r="DD364" t="b">
        <f t="shared" si="305"/>
        <v>0</v>
      </c>
      <c r="DE364" t="str">
        <f t="shared" si="306"/>
        <v>G706</v>
      </c>
      <c r="DF364" t="str">
        <f t="shared" si="293"/>
        <v>R559</v>
      </c>
      <c r="DG364" t="b">
        <f t="shared" si="307"/>
        <v>0</v>
      </c>
      <c r="DH364" t="str">
        <f t="shared" si="308"/>
        <v>R559</v>
      </c>
    </row>
    <row r="365" spans="2:112" ht="12" customHeight="1">
      <c r="B365" t="str">
        <f>TBIDry!H437</f>
        <v>G711</v>
      </c>
      <c r="C365" t="str">
        <f>TBIDry!I437</f>
        <v>R626</v>
      </c>
      <c r="D365" t="b">
        <f t="shared" si="260"/>
        <v>0</v>
      </c>
      <c r="E365" t="b">
        <f t="shared" si="261"/>
        <v>0</v>
      </c>
      <c r="G365" t="str">
        <f>TBIWet!H437</f>
        <v>G850</v>
      </c>
      <c r="H365" t="str">
        <f>TBIWet!I437</f>
        <v>R503</v>
      </c>
      <c r="I365" t="b">
        <f t="shared" si="262"/>
        <v>0</v>
      </c>
      <c r="J365" t="b">
        <f t="shared" si="263"/>
        <v>0</v>
      </c>
      <c r="L365" t="str">
        <f>'Both teabags AfterWet'!A363</f>
        <v>G830</v>
      </c>
      <c r="M365" t="str">
        <f>'Both teabags AfterWet'!A783</f>
        <v>R572</v>
      </c>
      <c r="N365" t="b">
        <f t="shared" si="264"/>
        <v>0</v>
      </c>
      <c r="O365" t="b">
        <f t="shared" si="309"/>
        <v>0</v>
      </c>
      <c r="Q365" s="395" t="b">
        <f t="shared" si="265"/>
        <v>0</v>
      </c>
      <c r="R365" s="395" t="b">
        <f t="shared" si="266"/>
        <v>0</v>
      </c>
      <c r="Y365" t="str">
        <f>'Green_rooibos initial weight'!A366</f>
        <v>G362</v>
      </c>
      <c r="Z365" t="str">
        <f>'Green_rooibos initial weight'!A1270</f>
        <v>R362</v>
      </c>
      <c r="AA365" t="b">
        <f t="shared" si="268"/>
        <v>0</v>
      </c>
      <c r="AB365" t="b">
        <f t="shared" si="269"/>
        <v>0</v>
      </c>
      <c r="AE365" t="str">
        <f>'WetLitterbags placem_collection'!O144</f>
        <v>G850</v>
      </c>
      <c r="AF365" t="str">
        <f>'WetLitterbags placem_collection'!Q144</f>
        <v>R503</v>
      </c>
      <c r="AG365" t="b">
        <f t="shared" si="270"/>
        <v>0</v>
      </c>
      <c r="AH365" t="b">
        <f t="shared" si="271"/>
        <v>0</v>
      </c>
      <c r="AJ365" t="b">
        <f t="shared" si="272"/>
        <v>0</v>
      </c>
      <c r="AK365" t="b">
        <f t="shared" si="273"/>
        <v>0</v>
      </c>
      <c r="AM365" t="str">
        <f>IF(ISBLANK('Dry_Litterbag Placem_Collection'!L144),"","G"&amp;""&amp;'Dry_Litterbag Placem_Collection'!L144)</f>
        <v>G711</v>
      </c>
      <c r="AN365" t="str">
        <f>IF(ISBLANK('Dry_Litterbag Placem_Collection'!M144),"","R"&amp;""&amp;'Dry_Litterbag Placem_Collection'!M144)</f>
        <v>R626</v>
      </c>
      <c r="AO365" t="b">
        <f t="shared" si="274"/>
        <v>0</v>
      </c>
      <c r="AP365" t="b">
        <f t="shared" si="275"/>
        <v>0</v>
      </c>
      <c r="AX365" s="395" t="b">
        <f t="shared" si="277"/>
        <v>0</v>
      </c>
      <c r="AY365" s="395" t="b">
        <f t="shared" si="278"/>
        <v>0</v>
      </c>
      <c r="BA365" t="str">
        <f>'Ashed teabags wet'!A363</f>
        <v>G830</v>
      </c>
      <c r="BB365" t="str">
        <f>'Ashed teabags wet'!A783</f>
        <v>R572</v>
      </c>
      <c r="BC365" t="b">
        <f t="shared" si="279"/>
        <v>0</v>
      </c>
      <c r="BD365" t="b">
        <f t="shared" si="259"/>
        <v>0</v>
      </c>
      <c r="BH365" t="str">
        <f t="shared" si="281"/>
        <v/>
      </c>
      <c r="BI365" t="str">
        <f t="shared" si="295"/>
        <v/>
      </c>
      <c r="BP365" t="str">
        <f t="shared" si="283"/>
        <v/>
      </c>
      <c r="BQ365" t="str">
        <f t="shared" si="284"/>
        <v/>
      </c>
      <c r="BZ365" t="str">
        <f t="shared" si="285"/>
        <v/>
      </c>
      <c r="CA365" t="b">
        <f t="shared" si="286"/>
        <v>0</v>
      </c>
      <c r="CB365" t="str">
        <f t="shared" si="298"/>
        <v/>
      </c>
      <c r="CC365" t="str">
        <f t="shared" si="287"/>
        <v/>
      </c>
      <c r="CD365" t="b">
        <f t="shared" si="299"/>
        <v>0</v>
      </c>
      <c r="CE365" t="str">
        <f t="shared" si="300"/>
        <v/>
      </c>
      <c r="CG365" t="str">
        <f t="shared" si="288"/>
        <v>G828</v>
      </c>
      <c r="CH365" t="str">
        <f t="shared" si="301"/>
        <v>G828</v>
      </c>
      <c r="CI365" t="str">
        <f>AE364</f>
        <v>G775</v>
      </c>
      <c r="CJ365" t="str">
        <f t="shared" si="289"/>
        <v>G775</v>
      </c>
      <c r="CK365" t="s">
        <v>1222</v>
      </c>
      <c r="CL365" t="s">
        <v>1222</v>
      </c>
      <c r="CM365" t="s">
        <v>1222</v>
      </c>
      <c r="CN365" t="b">
        <f t="shared" si="302"/>
        <v>1</v>
      </c>
      <c r="CO365" t="str">
        <f t="shared" si="290"/>
        <v>R571</v>
      </c>
      <c r="CP365" t="str">
        <f t="shared" si="303"/>
        <v>R571</v>
      </c>
      <c r="CQ365" t="str">
        <f>AF364</f>
        <v>R465</v>
      </c>
      <c r="CR365" t="str">
        <f t="shared" si="291"/>
        <v>R465</v>
      </c>
      <c r="CS365" t="s">
        <v>570</v>
      </c>
      <c r="CT365" t="s">
        <v>570</v>
      </c>
      <c r="CU365" t="s">
        <v>570</v>
      </c>
      <c r="CV365" t="b">
        <f t="shared" si="304"/>
        <v>1</v>
      </c>
      <c r="DC365" t="str">
        <f t="shared" si="292"/>
        <v>G775</v>
      </c>
      <c r="DD365" t="b">
        <f t="shared" si="305"/>
        <v>0</v>
      </c>
      <c r="DE365" t="str">
        <f t="shared" si="306"/>
        <v>G775</v>
      </c>
      <c r="DF365" t="str">
        <f t="shared" si="293"/>
        <v>R465</v>
      </c>
      <c r="DG365" t="b">
        <f t="shared" si="307"/>
        <v>0</v>
      </c>
      <c r="DH365" t="str">
        <f t="shared" si="308"/>
        <v>R465</v>
      </c>
    </row>
    <row r="366" spans="2:112" ht="12" customHeight="1">
      <c r="B366" t="str">
        <f>TBIDry!H438</f>
        <v>G205</v>
      </c>
      <c r="C366" t="str">
        <f>TBIDry!I438</f>
        <v>R195</v>
      </c>
      <c r="D366" t="b">
        <f t="shared" si="260"/>
        <v>0</v>
      </c>
      <c r="E366" t="b">
        <f t="shared" si="261"/>
        <v>0</v>
      </c>
      <c r="G366" t="str">
        <f>TBIWet!H438</f>
        <v>G697</v>
      </c>
      <c r="H366" t="str">
        <f>TBIWet!I438</f>
        <v>R567</v>
      </c>
      <c r="I366" t="b">
        <f t="shared" si="262"/>
        <v>0</v>
      </c>
      <c r="J366" t="b">
        <f t="shared" si="263"/>
        <v>0</v>
      </c>
      <c r="L366" t="str">
        <f>'Both teabags AfterWet'!A364</f>
        <v>G831</v>
      </c>
      <c r="M366" t="str">
        <f>'Both teabags AfterWet'!A784</f>
        <v>R573</v>
      </c>
      <c r="N366" t="b">
        <f t="shared" si="264"/>
        <v>0</v>
      </c>
      <c r="O366" t="b">
        <f t="shared" si="309"/>
        <v>0</v>
      </c>
      <c r="Q366" s="395" t="b">
        <f t="shared" si="265"/>
        <v>0</v>
      </c>
      <c r="R366" s="395" t="b">
        <f t="shared" si="266"/>
        <v>0</v>
      </c>
      <c r="Y366" t="str">
        <f>'Green_rooibos initial weight'!A367</f>
        <v>G363</v>
      </c>
      <c r="Z366" t="str">
        <f>'Green_rooibos initial weight'!A1271</f>
        <v>R363</v>
      </c>
      <c r="AA366" t="b">
        <f t="shared" si="268"/>
        <v>0</v>
      </c>
      <c r="AB366" t="b">
        <f t="shared" si="269"/>
        <v>0</v>
      </c>
      <c r="AE366" t="str">
        <f>'WetLitterbags placem_collection'!O145</f>
        <v>G697</v>
      </c>
      <c r="AF366" t="str">
        <f>'WetLitterbags placem_collection'!Q145</f>
        <v>R567</v>
      </c>
      <c r="AG366" t="b">
        <f t="shared" si="270"/>
        <v>0</v>
      </c>
      <c r="AH366" t="b">
        <f t="shared" si="271"/>
        <v>0</v>
      </c>
      <c r="AJ366" t="b">
        <f t="shared" si="272"/>
        <v>0</v>
      </c>
      <c r="AK366" t="b">
        <f t="shared" si="273"/>
        <v>0</v>
      </c>
      <c r="AM366" t="str">
        <f>IF(ISBLANK('Dry_Litterbag Placem_Collection'!L145),"","G"&amp;""&amp;'Dry_Litterbag Placem_Collection'!L145)</f>
        <v>G205</v>
      </c>
      <c r="AN366" t="str">
        <f>IF(ISBLANK('Dry_Litterbag Placem_Collection'!M145),"","R"&amp;""&amp;'Dry_Litterbag Placem_Collection'!M145)</f>
        <v>R195</v>
      </c>
      <c r="AO366" t="b">
        <f t="shared" si="274"/>
        <v>0</v>
      </c>
      <c r="AP366" t="b">
        <f t="shared" si="275"/>
        <v>0</v>
      </c>
      <c r="AX366" s="395" t="b">
        <f t="shared" si="277"/>
        <v>0</v>
      </c>
      <c r="AY366" s="395" t="b">
        <f t="shared" si="278"/>
        <v>0</v>
      </c>
      <c r="BA366" t="str">
        <f>'Ashed teabags wet'!A364</f>
        <v>G831</v>
      </c>
      <c r="BB366" t="str">
        <f>'Ashed teabags wet'!A784</f>
        <v>R573</v>
      </c>
      <c r="BC366" t="b">
        <f t="shared" si="279"/>
        <v>0</v>
      </c>
      <c r="BD366" t="b">
        <f t="shared" si="259"/>
        <v>0</v>
      </c>
      <c r="BH366" t="str">
        <f t="shared" si="281"/>
        <v>G711</v>
      </c>
      <c r="BI366" t="str">
        <f t="shared" si="295"/>
        <v/>
      </c>
      <c r="BP366" t="str">
        <f t="shared" si="283"/>
        <v>R626</v>
      </c>
      <c r="BQ366" t="str">
        <f t="shared" si="284"/>
        <v/>
      </c>
      <c r="BZ366" t="str">
        <f t="shared" si="285"/>
        <v>G711</v>
      </c>
      <c r="CA366" t="b">
        <f t="shared" si="286"/>
        <v>1</v>
      </c>
      <c r="CB366" t="str">
        <f t="shared" si="298"/>
        <v/>
      </c>
      <c r="CC366" t="str">
        <f t="shared" si="287"/>
        <v>R626</v>
      </c>
      <c r="CD366" t="b">
        <f t="shared" si="299"/>
        <v>1</v>
      </c>
      <c r="CE366" t="str">
        <f t="shared" si="300"/>
        <v/>
      </c>
      <c r="CG366" t="str">
        <f t="shared" si="288"/>
        <v>G830</v>
      </c>
      <c r="CH366" t="str">
        <f t="shared" si="301"/>
        <v>G830</v>
      </c>
      <c r="CI366" t="str">
        <f>AE365</f>
        <v>G850</v>
      </c>
      <c r="CJ366" t="str">
        <f t="shared" si="289"/>
        <v>G850</v>
      </c>
      <c r="CK366" t="s">
        <v>1220</v>
      </c>
      <c r="CL366" t="s">
        <v>1220</v>
      </c>
      <c r="CM366" t="s">
        <v>1220</v>
      </c>
      <c r="CN366" t="b">
        <f t="shared" si="302"/>
        <v>1</v>
      </c>
      <c r="CO366" t="str">
        <f t="shared" si="290"/>
        <v>R572</v>
      </c>
      <c r="CP366" t="str">
        <f t="shared" si="303"/>
        <v>R572</v>
      </c>
      <c r="CQ366" t="str">
        <f>AF365</f>
        <v>R503</v>
      </c>
      <c r="CR366" t="str">
        <f t="shared" si="291"/>
        <v>R503</v>
      </c>
      <c r="CS366" t="s">
        <v>569</v>
      </c>
      <c r="CT366" t="s">
        <v>569</v>
      </c>
      <c r="CU366" t="s">
        <v>569</v>
      </c>
      <c r="CV366" t="b">
        <f t="shared" si="304"/>
        <v>1</v>
      </c>
      <c r="DC366" t="str">
        <f t="shared" si="292"/>
        <v>G850</v>
      </c>
      <c r="DD366" t="b">
        <f t="shared" si="305"/>
        <v>0</v>
      </c>
      <c r="DE366" t="str">
        <f t="shared" si="306"/>
        <v>G850</v>
      </c>
      <c r="DF366" t="str">
        <f t="shared" si="293"/>
        <v>R503</v>
      </c>
      <c r="DG366" t="b">
        <f t="shared" si="307"/>
        <v>0</v>
      </c>
      <c r="DH366" t="str">
        <f t="shared" si="308"/>
        <v>R503</v>
      </c>
    </row>
    <row r="367" spans="2:112" ht="12" customHeight="1">
      <c r="B367" t="str">
        <f>TBIDry!H439</f>
        <v>G384</v>
      </c>
      <c r="C367" t="str">
        <f>TBIDry!I439</f>
        <v>R295</v>
      </c>
      <c r="D367" t="b">
        <f t="shared" si="260"/>
        <v>0</v>
      </c>
      <c r="E367" t="b">
        <f t="shared" si="261"/>
        <v>0</v>
      </c>
      <c r="G367" t="str">
        <f>TBIWet!H439</f>
        <v>G894</v>
      </c>
      <c r="H367" t="str">
        <f>TBIWet!I439</f>
        <v>R15</v>
      </c>
      <c r="I367" t="b">
        <f t="shared" si="262"/>
        <v>0</v>
      </c>
      <c r="J367" t="b">
        <f t="shared" si="263"/>
        <v>0</v>
      </c>
      <c r="L367" t="str">
        <f>'Both teabags AfterWet'!A365</f>
        <v>G832</v>
      </c>
      <c r="M367" t="str">
        <f>'Both teabags AfterWet'!A785</f>
        <v>R574</v>
      </c>
      <c r="N367" t="b">
        <f t="shared" si="264"/>
        <v>0</v>
      </c>
      <c r="O367" t="b">
        <f t="shared" si="309"/>
        <v>0</v>
      </c>
      <c r="Q367" s="395" t="b">
        <f t="shared" si="265"/>
        <v>0</v>
      </c>
      <c r="R367" s="395" t="b">
        <f t="shared" si="266"/>
        <v>0</v>
      </c>
      <c r="Y367" t="str">
        <f>'Green_rooibos initial weight'!A368</f>
        <v>G364</v>
      </c>
      <c r="Z367" t="str">
        <f>'Green_rooibos initial weight'!A1272</f>
        <v>R364</v>
      </c>
      <c r="AA367" t="b">
        <f t="shared" si="268"/>
        <v>0</v>
      </c>
      <c r="AB367" t="b">
        <f t="shared" si="269"/>
        <v>0</v>
      </c>
      <c r="AE367" t="str">
        <f>'WetLitterbags placem_collection'!O146</f>
        <v>G894</v>
      </c>
      <c r="AF367" t="str">
        <f>'WetLitterbags placem_collection'!Q146</f>
        <v>R15</v>
      </c>
      <c r="AG367" t="b">
        <f t="shared" si="270"/>
        <v>0</v>
      </c>
      <c r="AH367" t="b">
        <f t="shared" si="271"/>
        <v>0</v>
      </c>
      <c r="AJ367" t="b">
        <f t="shared" si="272"/>
        <v>0</v>
      </c>
      <c r="AK367" t="b">
        <f t="shared" si="273"/>
        <v>0</v>
      </c>
      <c r="AM367" t="str">
        <f>IF(ISBLANK('Dry_Litterbag Placem_Collection'!L146),"","G"&amp;""&amp;'Dry_Litterbag Placem_Collection'!L146)</f>
        <v>G384</v>
      </c>
      <c r="AN367" t="str">
        <f>IF(ISBLANK('Dry_Litterbag Placem_Collection'!M146),"","R"&amp;""&amp;'Dry_Litterbag Placem_Collection'!M146)</f>
        <v>R295</v>
      </c>
      <c r="AO367" t="b">
        <f t="shared" si="274"/>
        <v>0</v>
      </c>
      <c r="AP367" t="b">
        <f t="shared" si="275"/>
        <v>0</v>
      </c>
      <c r="AX367" s="395" t="b">
        <f t="shared" si="277"/>
        <v>0</v>
      </c>
      <c r="AY367" s="395" t="b">
        <f t="shared" si="278"/>
        <v>0</v>
      </c>
      <c r="BA367" t="str">
        <f>'Ashed teabags wet'!A365</f>
        <v>G832</v>
      </c>
      <c r="BB367" t="str">
        <f>'Ashed teabags wet'!A785</f>
        <v>R574</v>
      </c>
      <c r="BC367" t="b">
        <f t="shared" si="279"/>
        <v>0</v>
      </c>
      <c r="BD367" t="b">
        <f t="shared" si="259"/>
        <v>0</v>
      </c>
      <c r="BH367" t="str">
        <f t="shared" si="281"/>
        <v>G205</v>
      </c>
      <c r="BI367" t="str">
        <f t="shared" si="295"/>
        <v>G205</v>
      </c>
      <c r="BP367" t="str">
        <f t="shared" si="283"/>
        <v>R195</v>
      </c>
      <c r="BQ367" t="str">
        <f t="shared" si="284"/>
        <v>R195</v>
      </c>
      <c r="BZ367" t="str">
        <f t="shared" si="285"/>
        <v>G205</v>
      </c>
      <c r="CA367" t="b">
        <f t="shared" si="286"/>
        <v>0</v>
      </c>
      <c r="CB367" t="str">
        <f t="shared" si="298"/>
        <v>G205</v>
      </c>
      <c r="CC367" t="str">
        <f t="shared" si="287"/>
        <v>R195</v>
      </c>
      <c r="CD367" t="b">
        <f t="shared" si="299"/>
        <v>0</v>
      </c>
      <c r="CE367" t="str">
        <f t="shared" si="300"/>
        <v>R195</v>
      </c>
      <c r="CG367" t="str">
        <f t="shared" si="288"/>
        <v>G831</v>
      </c>
      <c r="CH367" t="str">
        <f t="shared" si="301"/>
        <v>G831</v>
      </c>
      <c r="CI367" t="str">
        <f>AE366</f>
        <v>G697</v>
      </c>
      <c r="CJ367" t="str">
        <f t="shared" si="289"/>
        <v>G697</v>
      </c>
      <c r="CK367" t="s">
        <v>1219</v>
      </c>
      <c r="CL367" t="s">
        <v>1219</v>
      </c>
      <c r="CM367" t="s">
        <v>1219</v>
      </c>
      <c r="CN367" t="b">
        <f t="shared" si="302"/>
        <v>1</v>
      </c>
      <c r="CO367" t="str">
        <f t="shared" si="290"/>
        <v>R573</v>
      </c>
      <c r="CP367" t="str">
        <f t="shared" si="303"/>
        <v>R573</v>
      </c>
      <c r="CQ367" t="str">
        <f>AF366</f>
        <v>R567</v>
      </c>
      <c r="CR367" t="str">
        <f t="shared" si="291"/>
        <v>R567</v>
      </c>
      <c r="CS367" t="s">
        <v>568</v>
      </c>
      <c r="CT367" t="s">
        <v>568</v>
      </c>
      <c r="CU367" t="s">
        <v>568</v>
      </c>
      <c r="CV367" t="b">
        <f t="shared" si="304"/>
        <v>1</v>
      </c>
      <c r="DC367" t="str">
        <f t="shared" si="292"/>
        <v>G697</v>
      </c>
      <c r="DD367" t="b">
        <f t="shared" si="305"/>
        <v>0</v>
      </c>
      <c r="DE367" t="str">
        <f t="shared" si="306"/>
        <v>G697</v>
      </c>
      <c r="DF367" t="str">
        <f t="shared" si="293"/>
        <v>R567</v>
      </c>
      <c r="DG367" t="b">
        <f t="shared" si="307"/>
        <v>0</v>
      </c>
      <c r="DH367" t="str">
        <f t="shared" si="308"/>
        <v>R567</v>
      </c>
    </row>
    <row r="368" spans="2:112" ht="12" customHeight="1">
      <c r="B368" t="str">
        <f>TBIDry!H440</f>
        <v>G72</v>
      </c>
      <c r="C368" t="str">
        <f>TBIDry!I440</f>
        <v>R609</v>
      </c>
      <c r="D368" t="b">
        <f t="shared" si="260"/>
        <v>0</v>
      </c>
      <c r="E368" t="b">
        <f t="shared" si="261"/>
        <v>0</v>
      </c>
      <c r="G368" t="str">
        <f>TBIWet!H440</f>
        <v>G653</v>
      </c>
      <c r="H368" t="str">
        <f>TBIWet!I440</f>
        <v>R40</v>
      </c>
      <c r="I368" t="b">
        <f t="shared" si="262"/>
        <v>0</v>
      </c>
      <c r="J368" t="b">
        <f t="shared" si="263"/>
        <v>0</v>
      </c>
      <c r="L368" t="str">
        <f>'Both teabags AfterWet'!A366</f>
        <v>G833</v>
      </c>
      <c r="M368" t="str">
        <f>'Both teabags AfterWet'!A786</f>
        <v>R575</v>
      </c>
      <c r="N368" t="b">
        <f t="shared" si="264"/>
        <v>0</v>
      </c>
      <c r="O368" t="b">
        <f t="shared" si="309"/>
        <v>0</v>
      </c>
      <c r="Q368" s="395" t="b">
        <f t="shared" si="265"/>
        <v>0</v>
      </c>
      <c r="R368" s="395" t="b">
        <f t="shared" si="266"/>
        <v>0</v>
      </c>
      <c r="Y368" t="str">
        <f>'Green_rooibos initial weight'!A369</f>
        <v>G365</v>
      </c>
      <c r="Z368" t="str">
        <f>'Green_rooibos initial weight'!A1273</f>
        <v>R365</v>
      </c>
      <c r="AA368" t="b">
        <f t="shared" si="268"/>
        <v>0</v>
      </c>
      <c r="AB368" t="b">
        <f t="shared" si="269"/>
        <v>0</v>
      </c>
      <c r="AE368" t="str">
        <f>'WetLitterbags placem_collection'!O147</f>
        <v>G653</v>
      </c>
      <c r="AF368" t="str">
        <f>'WetLitterbags placem_collection'!Q147</f>
        <v>R40</v>
      </c>
      <c r="AG368" t="b">
        <f t="shared" si="270"/>
        <v>0</v>
      </c>
      <c r="AH368" t="b">
        <f t="shared" si="271"/>
        <v>0</v>
      </c>
      <c r="AJ368" t="b">
        <f t="shared" si="272"/>
        <v>0</v>
      </c>
      <c r="AK368" t="b">
        <f t="shared" si="273"/>
        <v>0</v>
      </c>
      <c r="AM368" t="str">
        <f>IF(ISBLANK('Dry_Litterbag Placem_Collection'!L147),"","G"&amp;""&amp;'Dry_Litterbag Placem_Collection'!L147)</f>
        <v>G72</v>
      </c>
      <c r="AN368" t="str">
        <f>IF(ISBLANK('Dry_Litterbag Placem_Collection'!M147),"","R"&amp;""&amp;'Dry_Litterbag Placem_Collection'!M147)</f>
        <v>R609</v>
      </c>
      <c r="AO368" t="b">
        <f t="shared" si="274"/>
        <v>0</v>
      </c>
      <c r="AP368" t="b">
        <f t="shared" si="275"/>
        <v>0</v>
      </c>
      <c r="AX368" s="395" t="b">
        <f t="shared" si="277"/>
        <v>0</v>
      </c>
      <c r="AY368" s="395" t="b">
        <f t="shared" si="278"/>
        <v>0</v>
      </c>
      <c r="BA368" t="str">
        <f>'Ashed teabags wet'!A366</f>
        <v>G833</v>
      </c>
      <c r="BB368" t="str">
        <f>'Ashed teabags wet'!A786</f>
        <v>R575</v>
      </c>
      <c r="BC368" t="b">
        <f t="shared" si="279"/>
        <v>0</v>
      </c>
      <c r="BD368" t="b">
        <f t="shared" si="259"/>
        <v>0</v>
      </c>
      <c r="BH368" t="str">
        <f t="shared" si="281"/>
        <v>G384</v>
      </c>
      <c r="BI368" t="str">
        <f t="shared" si="295"/>
        <v>G384</v>
      </c>
      <c r="BP368" t="str">
        <f t="shared" si="283"/>
        <v>R295</v>
      </c>
      <c r="BQ368" t="str">
        <f t="shared" si="284"/>
        <v>R295</v>
      </c>
      <c r="BZ368" t="str">
        <f t="shared" si="285"/>
        <v>G384</v>
      </c>
      <c r="CA368" t="b">
        <f t="shared" si="286"/>
        <v>0</v>
      </c>
      <c r="CB368" t="str">
        <f t="shared" si="298"/>
        <v>G384</v>
      </c>
      <c r="CC368" t="str">
        <f t="shared" si="287"/>
        <v>R295</v>
      </c>
      <c r="CD368" t="b">
        <f t="shared" si="299"/>
        <v>0</v>
      </c>
      <c r="CE368" t="str">
        <f t="shared" si="300"/>
        <v>R295</v>
      </c>
      <c r="CG368" t="str">
        <f t="shared" si="288"/>
        <v>G832</v>
      </c>
      <c r="CH368" t="str">
        <f t="shared" si="301"/>
        <v>G832</v>
      </c>
      <c r="CI368" t="str">
        <f>AE367</f>
        <v>G894</v>
      </c>
      <c r="CJ368" t="str">
        <f t="shared" si="289"/>
        <v>G894</v>
      </c>
      <c r="CK368" t="s">
        <v>1218</v>
      </c>
      <c r="CL368" t="s">
        <v>1218</v>
      </c>
      <c r="CM368" t="s">
        <v>1218</v>
      </c>
      <c r="CN368" t="b">
        <f t="shared" si="302"/>
        <v>1</v>
      </c>
      <c r="CO368" t="str">
        <f t="shared" si="290"/>
        <v>R574</v>
      </c>
      <c r="CP368" t="str">
        <f t="shared" si="303"/>
        <v>R574</v>
      </c>
      <c r="CQ368" t="str">
        <f>AF367</f>
        <v>R15</v>
      </c>
      <c r="CR368" t="str">
        <f t="shared" si="291"/>
        <v>R15</v>
      </c>
      <c r="CS368" t="s">
        <v>567</v>
      </c>
      <c r="CT368" t="s">
        <v>567</v>
      </c>
      <c r="CU368" t="s">
        <v>567</v>
      </c>
      <c r="CV368" t="b">
        <f t="shared" si="304"/>
        <v>1</v>
      </c>
      <c r="DC368" t="str">
        <f t="shared" si="292"/>
        <v>G894</v>
      </c>
      <c r="DD368" t="b">
        <f t="shared" si="305"/>
        <v>0</v>
      </c>
      <c r="DE368" t="str">
        <f t="shared" si="306"/>
        <v>G894</v>
      </c>
      <c r="DF368" t="str">
        <f t="shared" si="293"/>
        <v>R15</v>
      </c>
      <c r="DG368" t="b">
        <f t="shared" si="307"/>
        <v>0</v>
      </c>
      <c r="DH368" t="str">
        <f t="shared" si="308"/>
        <v>R15</v>
      </c>
    </row>
    <row r="369" spans="2:112" ht="12" customHeight="1">
      <c r="B369" t="str">
        <f>TBIDry!H441</f>
        <v>G336</v>
      </c>
      <c r="C369" t="str">
        <f>TBIDry!I441</f>
        <v>R292</v>
      </c>
      <c r="D369" t="b">
        <f t="shared" si="260"/>
        <v>0</v>
      </c>
      <c r="E369" t="b">
        <f t="shared" si="261"/>
        <v>0</v>
      </c>
      <c r="G369" t="str">
        <f>TBIWet!H441</f>
        <v>G762</v>
      </c>
      <c r="H369" t="str">
        <f>TBIWet!I441</f>
        <v>R468</v>
      </c>
      <c r="I369" t="b">
        <f t="shared" si="262"/>
        <v>0</v>
      </c>
      <c r="J369" t="b">
        <f t="shared" si="263"/>
        <v>0</v>
      </c>
      <c r="L369" t="str">
        <f>'Both teabags AfterWet'!A367</f>
        <v>G834</v>
      </c>
      <c r="M369" t="str">
        <f>'Both teabags AfterWet'!A787</f>
        <v>R576</v>
      </c>
      <c r="N369" t="b">
        <f t="shared" si="264"/>
        <v>0</v>
      </c>
      <c r="O369" t="b">
        <f t="shared" si="309"/>
        <v>0</v>
      </c>
      <c r="Q369" s="395" t="b">
        <f t="shared" si="265"/>
        <v>0</v>
      </c>
      <c r="R369" s="395" t="b">
        <f t="shared" si="266"/>
        <v>0</v>
      </c>
      <c r="Y369" t="str">
        <f>'Green_rooibos initial weight'!A370</f>
        <v>G366</v>
      </c>
      <c r="Z369" t="str">
        <f>'Green_rooibos initial weight'!A1274</f>
        <v>R366</v>
      </c>
      <c r="AA369" t="b">
        <f t="shared" si="268"/>
        <v>0</v>
      </c>
      <c r="AB369" t="b">
        <f t="shared" si="269"/>
        <v>0</v>
      </c>
      <c r="AE369" t="str">
        <f>'WetLitterbags placem_collection'!O148</f>
        <v>G762</v>
      </c>
      <c r="AF369" t="str">
        <f>'WetLitterbags placem_collection'!Q148</f>
        <v>R468</v>
      </c>
      <c r="AG369" t="b">
        <f t="shared" si="270"/>
        <v>0</v>
      </c>
      <c r="AH369" t="b">
        <f t="shared" si="271"/>
        <v>0</v>
      </c>
      <c r="AJ369" t="b">
        <f t="shared" si="272"/>
        <v>0</v>
      </c>
      <c r="AK369" t="b">
        <f t="shared" si="273"/>
        <v>0</v>
      </c>
      <c r="AM369" t="str">
        <f>IF(ISBLANK('Dry_Litterbag Placem_Collection'!L148),"","G"&amp;""&amp;'Dry_Litterbag Placem_Collection'!L148)</f>
        <v>G336</v>
      </c>
      <c r="AN369" t="str">
        <f>IF(ISBLANK('Dry_Litterbag Placem_Collection'!M148),"","R"&amp;""&amp;'Dry_Litterbag Placem_Collection'!M148)</f>
        <v>R292</v>
      </c>
      <c r="AO369" t="b">
        <f t="shared" si="274"/>
        <v>0</v>
      </c>
      <c r="AP369" t="b">
        <f t="shared" si="275"/>
        <v>0</v>
      </c>
      <c r="AX369" s="395" t="b">
        <f t="shared" si="277"/>
        <v>0</v>
      </c>
      <c r="AY369" s="395" t="b">
        <f t="shared" si="278"/>
        <v>0</v>
      </c>
      <c r="BA369" t="str">
        <f>'Ashed teabags wet'!A367</f>
        <v>G834</v>
      </c>
      <c r="BB369" t="str">
        <f>'Ashed teabags wet'!A787</f>
        <v>R576</v>
      </c>
      <c r="BC369" t="b">
        <f t="shared" si="279"/>
        <v>0</v>
      </c>
      <c r="BD369" t="b">
        <f t="shared" si="259"/>
        <v>0</v>
      </c>
      <c r="BH369" t="str">
        <f t="shared" si="281"/>
        <v>G72</v>
      </c>
      <c r="BI369" t="str">
        <f t="shared" si="295"/>
        <v>G72</v>
      </c>
      <c r="BP369" t="str">
        <f t="shared" si="283"/>
        <v>R609</v>
      </c>
      <c r="BQ369" t="str">
        <f t="shared" si="284"/>
        <v>R609</v>
      </c>
      <c r="BZ369" t="str">
        <f t="shared" si="285"/>
        <v>G72</v>
      </c>
      <c r="CA369" t="b">
        <f t="shared" si="286"/>
        <v>0</v>
      </c>
      <c r="CB369" t="str">
        <f t="shared" si="298"/>
        <v>G72</v>
      </c>
      <c r="CC369" t="str">
        <f t="shared" si="287"/>
        <v>R609</v>
      </c>
      <c r="CD369" t="b">
        <f t="shared" si="299"/>
        <v>0</v>
      </c>
      <c r="CE369" t="str">
        <f t="shared" si="300"/>
        <v>R609</v>
      </c>
      <c r="CG369" t="str">
        <f t="shared" si="288"/>
        <v>G833</v>
      </c>
      <c r="CH369" t="str">
        <f t="shared" si="301"/>
        <v>G833</v>
      </c>
      <c r="CI369" t="str">
        <f>AE368</f>
        <v>G653</v>
      </c>
      <c r="CJ369" t="str">
        <f t="shared" si="289"/>
        <v>G653</v>
      </c>
      <c r="CK369" t="s">
        <v>1217</v>
      </c>
      <c r="CL369" t="s">
        <v>1217</v>
      </c>
      <c r="CM369" t="s">
        <v>1217</v>
      </c>
      <c r="CN369" t="b">
        <f t="shared" si="302"/>
        <v>1</v>
      </c>
      <c r="CO369" t="str">
        <f t="shared" si="290"/>
        <v>R575</v>
      </c>
      <c r="CP369" t="str">
        <f t="shared" si="303"/>
        <v>R575</v>
      </c>
      <c r="CQ369" t="str">
        <f>AF368</f>
        <v>R40</v>
      </c>
      <c r="CR369" t="str">
        <f t="shared" si="291"/>
        <v>R40</v>
      </c>
      <c r="CS369" t="s">
        <v>566</v>
      </c>
      <c r="CT369" t="s">
        <v>566</v>
      </c>
      <c r="CU369" t="s">
        <v>566</v>
      </c>
      <c r="CV369" t="b">
        <f t="shared" si="304"/>
        <v>1</v>
      </c>
      <c r="DC369" t="str">
        <f t="shared" si="292"/>
        <v>G653</v>
      </c>
      <c r="DD369" t="b">
        <f t="shared" si="305"/>
        <v>0</v>
      </c>
      <c r="DE369" t="str">
        <f t="shared" si="306"/>
        <v>G653</v>
      </c>
      <c r="DF369" t="str">
        <f t="shared" si="293"/>
        <v>R40</v>
      </c>
      <c r="DG369" t="b">
        <f t="shared" si="307"/>
        <v>0</v>
      </c>
      <c r="DH369" t="str">
        <f t="shared" si="308"/>
        <v>R40</v>
      </c>
    </row>
    <row r="370" spans="2:112" ht="12" customHeight="1">
      <c r="B370" t="str">
        <f>TBIDry!H442</f>
        <v>G303</v>
      </c>
      <c r="C370" t="str">
        <f>TBIDry!I442</f>
        <v>R243</v>
      </c>
      <c r="D370" t="b">
        <f t="shared" si="260"/>
        <v>0</v>
      </c>
      <c r="E370" t="b">
        <f t="shared" si="261"/>
        <v>0</v>
      </c>
      <c r="G370" t="str">
        <f>TBIWet!H442</f>
        <v>G878</v>
      </c>
      <c r="H370" t="str">
        <f>TBIWet!I442</f>
        <v>R582</v>
      </c>
      <c r="I370" t="b">
        <f t="shared" si="262"/>
        <v>0</v>
      </c>
      <c r="J370" t="b">
        <f t="shared" si="263"/>
        <v>0</v>
      </c>
      <c r="L370" t="str">
        <f>'Both teabags AfterWet'!A368</f>
        <v>G835</v>
      </c>
      <c r="M370" t="str">
        <f>'Both teabags AfterWet'!A788</f>
        <v>R577</v>
      </c>
      <c r="N370" t="b">
        <f t="shared" si="264"/>
        <v>0</v>
      </c>
      <c r="O370" t="b">
        <f t="shared" si="309"/>
        <v>0</v>
      </c>
      <c r="Q370" s="395" t="b">
        <f t="shared" si="265"/>
        <v>0</v>
      </c>
      <c r="R370" s="395" t="b">
        <f t="shared" si="266"/>
        <v>0</v>
      </c>
      <c r="Y370" t="str">
        <f>'Green_rooibos initial weight'!A371</f>
        <v>G367</v>
      </c>
      <c r="Z370" t="str">
        <f>'Green_rooibos initial weight'!A1275</f>
        <v>R367</v>
      </c>
      <c r="AA370" t="b">
        <f t="shared" si="268"/>
        <v>0</v>
      </c>
      <c r="AB370" t="b">
        <f t="shared" si="269"/>
        <v>0</v>
      </c>
      <c r="AE370" t="str">
        <f>'WetLitterbags placem_collection'!O149</f>
        <v>G878</v>
      </c>
      <c r="AF370" t="str">
        <f>'WetLitterbags placem_collection'!Q149</f>
        <v>R582</v>
      </c>
      <c r="AG370" t="b">
        <f t="shared" si="270"/>
        <v>0</v>
      </c>
      <c r="AH370" t="b">
        <f t="shared" si="271"/>
        <v>0</v>
      </c>
      <c r="AJ370" t="b">
        <f t="shared" si="272"/>
        <v>0</v>
      </c>
      <c r="AK370" t="b">
        <f t="shared" si="273"/>
        <v>0</v>
      </c>
      <c r="AM370" t="str">
        <f>IF(ISBLANK('Dry_Litterbag Placem_Collection'!L149),"","G"&amp;""&amp;'Dry_Litterbag Placem_Collection'!L149)</f>
        <v>G303</v>
      </c>
      <c r="AN370" t="str">
        <f>IF(ISBLANK('Dry_Litterbag Placem_Collection'!M149),"","R"&amp;""&amp;'Dry_Litterbag Placem_Collection'!M149)</f>
        <v>R243</v>
      </c>
      <c r="AO370" t="b">
        <f t="shared" si="274"/>
        <v>0</v>
      </c>
      <c r="AP370" t="b">
        <f t="shared" si="275"/>
        <v>0</v>
      </c>
      <c r="AX370" s="395" t="b">
        <f t="shared" si="277"/>
        <v>0</v>
      </c>
      <c r="AY370" s="395" t="b">
        <f t="shared" si="278"/>
        <v>0</v>
      </c>
      <c r="BA370" t="str">
        <f>'Ashed teabags wet'!A368</f>
        <v>G835</v>
      </c>
      <c r="BB370" t="str">
        <f>'Ashed teabags wet'!A788</f>
        <v>R577</v>
      </c>
      <c r="BC370" t="b">
        <f t="shared" si="279"/>
        <v>0</v>
      </c>
      <c r="BD370" t="b">
        <f t="shared" si="259"/>
        <v>0</v>
      </c>
      <c r="BH370" t="str">
        <f t="shared" si="281"/>
        <v>G336</v>
      </c>
      <c r="BI370" t="str">
        <f t="shared" si="295"/>
        <v>G336</v>
      </c>
      <c r="BP370" t="str">
        <f t="shared" si="283"/>
        <v>R292</v>
      </c>
      <c r="BQ370" t="str">
        <f t="shared" si="284"/>
        <v>R292</v>
      </c>
      <c r="BZ370" t="str">
        <f t="shared" si="285"/>
        <v>G336</v>
      </c>
      <c r="CA370" t="b">
        <f t="shared" si="286"/>
        <v>0</v>
      </c>
      <c r="CB370" t="str">
        <f t="shared" si="298"/>
        <v>G336</v>
      </c>
      <c r="CC370" t="str">
        <f t="shared" si="287"/>
        <v>R292</v>
      </c>
      <c r="CD370" t="b">
        <f t="shared" si="299"/>
        <v>0</v>
      </c>
      <c r="CE370" t="str">
        <f t="shared" si="300"/>
        <v>R292</v>
      </c>
      <c r="CG370" t="str">
        <f t="shared" si="288"/>
        <v>G834</v>
      </c>
      <c r="CH370" t="str">
        <f t="shared" si="301"/>
        <v>G834</v>
      </c>
      <c r="CI370" t="str">
        <f>AE369</f>
        <v>G762</v>
      </c>
      <c r="CJ370" t="str">
        <f t="shared" si="289"/>
        <v>G762</v>
      </c>
      <c r="CK370" t="s">
        <v>1216</v>
      </c>
      <c r="CL370" t="s">
        <v>1216</v>
      </c>
      <c r="CM370" t="s">
        <v>1216</v>
      </c>
      <c r="CN370" t="b">
        <f t="shared" si="302"/>
        <v>1</v>
      </c>
      <c r="CO370" t="str">
        <f t="shared" si="290"/>
        <v>R576</v>
      </c>
      <c r="CP370" t="str">
        <f t="shared" si="303"/>
        <v>R576</v>
      </c>
      <c r="CQ370" t="str">
        <f>AF369</f>
        <v>R468</v>
      </c>
      <c r="CR370" t="str">
        <f t="shared" si="291"/>
        <v>R468</v>
      </c>
      <c r="CS370" t="s">
        <v>565</v>
      </c>
      <c r="CT370" t="s">
        <v>565</v>
      </c>
      <c r="CU370" t="s">
        <v>565</v>
      </c>
      <c r="CV370" t="b">
        <f t="shared" si="304"/>
        <v>1</v>
      </c>
      <c r="DC370" t="str">
        <f t="shared" si="292"/>
        <v>G762</v>
      </c>
      <c r="DD370" t="b">
        <f t="shared" si="305"/>
        <v>0</v>
      </c>
      <c r="DE370" t="str">
        <f t="shared" si="306"/>
        <v>G762</v>
      </c>
      <c r="DF370" t="str">
        <f t="shared" si="293"/>
        <v>R468</v>
      </c>
      <c r="DG370" t="b">
        <f t="shared" si="307"/>
        <v>0</v>
      </c>
      <c r="DH370" t="str">
        <f t="shared" si="308"/>
        <v>R468</v>
      </c>
    </row>
    <row r="371" spans="2:112" ht="12" customHeight="1">
      <c r="B371" t="str">
        <f>TBIDry!H443</f>
        <v>G161</v>
      </c>
      <c r="C371" t="str">
        <f>TBIDry!I443</f>
        <v>R422</v>
      </c>
      <c r="D371" t="b">
        <f t="shared" si="260"/>
        <v>0</v>
      </c>
      <c r="E371" t="b">
        <f t="shared" si="261"/>
        <v>0</v>
      </c>
      <c r="G371" t="str">
        <f>TBIWet!H443</f>
        <v>G807</v>
      </c>
      <c r="H371" t="str">
        <f>TBIWet!I443</f>
        <v>R20</v>
      </c>
      <c r="I371" t="b">
        <f t="shared" si="262"/>
        <v>0</v>
      </c>
      <c r="J371" t="b">
        <f t="shared" si="263"/>
        <v>0</v>
      </c>
      <c r="L371" t="str">
        <f>'Both teabags AfterWet'!A369</f>
        <v>G836</v>
      </c>
      <c r="M371" t="str">
        <f>'Both teabags AfterWet'!A789</f>
        <v>R578</v>
      </c>
      <c r="N371" t="b">
        <f t="shared" si="264"/>
        <v>0</v>
      </c>
      <c r="O371" t="b">
        <f t="shared" si="309"/>
        <v>0</v>
      </c>
      <c r="Q371" s="395" t="b">
        <f t="shared" si="265"/>
        <v>0</v>
      </c>
      <c r="R371" s="395" t="b">
        <f t="shared" si="266"/>
        <v>0</v>
      </c>
      <c r="Y371" t="str">
        <f>'Green_rooibos initial weight'!A372</f>
        <v>G368</v>
      </c>
      <c r="Z371" t="str">
        <f>'Green_rooibos initial weight'!A1276</f>
        <v>R368</v>
      </c>
      <c r="AA371" t="b">
        <f t="shared" si="268"/>
        <v>0</v>
      </c>
      <c r="AB371" t="b">
        <f t="shared" si="269"/>
        <v>0</v>
      </c>
      <c r="AE371" t="str">
        <f>'WetLitterbags placem_collection'!O150</f>
        <v>G807</v>
      </c>
      <c r="AF371" t="str">
        <f>'WetLitterbags placem_collection'!Q150</f>
        <v>R20</v>
      </c>
      <c r="AG371" t="b">
        <f t="shared" si="270"/>
        <v>0</v>
      </c>
      <c r="AH371" t="b">
        <f t="shared" si="271"/>
        <v>0</v>
      </c>
      <c r="AJ371" t="b">
        <f t="shared" si="272"/>
        <v>0</v>
      </c>
      <c r="AK371" t="b">
        <f t="shared" si="273"/>
        <v>0</v>
      </c>
      <c r="AM371" t="str">
        <f>IF(ISBLANK('Dry_Litterbag Placem_Collection'!L150),"","G"&amp;""&amp;'Dry_Litterbag Placem_Collection'!L150)</f>
        <v>G161</v>
      </c>
      <c r="AN371" t="str">
        <f>IF(ISBLANK('Dry_Litterbag Placem_Collection'!M150),"","R"&amp;""&amp;'Dry_Litterbag Placem_Collection'!M150)</f>
        <v>R422</v>
      </c>
      <c r="AO371" t="b">
        <f t="shared" si="274"/>
        <v>0</v>
      </c>
      <c r="AP371" t="b">
        <f t="shared" si="275"/>
        <v>0</v>
      </c>
      <c r="AX371" s="395" t="b">
        <f t="shared" si="277"/>
        <v>0</v>
      </c>
      <c r="AY371" s="395" t="b">
        <f t="shared" si="278"/>
        <v>0</v>
      </c>
      <c r="BA371" t="str">
        <f>'Ashed teabags wet'!A369</f>
        <v>G836</v>
      </c>
      <c r="BB371" t="str">
        <f>'Ashed teabags wet'!A789</f>
        <v>R578</v>
      </c>
      <c r="BC371" t="b">
        <f t="shared" si="279"/>
        <v>0</v>
      </c>
      <c r="BD371" t="b">
        <f t="shared" si="259"/>
        <v>0</v>
      </c>
      <c r="BH371" t="str">
        <f t="shared" si="281"/>
        <v>G303</v>
      </c>
      <c r="BI371" t="str">
        <f t="shared" si="295"/>
        <v>G303</v>
      </c>
      <c r="BP371" t="str">
        <f t="shared" si="283"/>
        <v>R243</v>
      </c>
      <c r="BQ371" t="str">
        <f t="shared" si="284"/>
        <v>R243</v>
      </c>
      <c r="BZ371" t="str">
        <f t="shared" si="285"/>
        <v>G303</v>
      </c>
      <c r="CA371" t="b">
        <f t="shared" si="286"/>
        <v>0</v>
      </c>
      <c r="CB371" t="str">
        <f t="shared" si="298"/>
        <v>G303</v>
      </c>
      <c r="CC371" t="str">
        <f t="shared" si="287"/>
        <v>R243</v>
      </c>
      <c r="CD371" t="b">
        <f t="shared" si="299"/>
        <v>0</v>
      </c>
      <c r="CE371" t="str">
        <f t="shared" si="300"/>
        <v>R243</v>
      </c>
      <c r="CG371" t="str">
        <f t="shared" si="288"/>
        <v>G835</v>
      </c>
      <c r="CH371" t="str">
        <f t="shared" si="301"/>
        <v>G835</v>
      </c>
      <c r="CI371" t="str">
        <f>AE370</f>
        <v>G878</v>
      </c>
      <c r="CJ371" t="str">
        <f t="shared" si="289"/>
        <v>G878</v>
      </c>
      <c r="CK371" t="s">
        <v>1215</v>
      </c>
      <c r="CL371" t="s">
        <v>1215</v>
      </c>
      <c r="CM371" t="s">
        <v>1215</v>
      </c>
      <c r="CN371" t="b">
        <f t="shared" si="302"/>
        <v>1</v>
      </c>
      <c r="CO371" t="str">
        <f t="shared" si="290"/>
        <v>R577</v>
      </c>
      <c r="CP371" t="str">
        <f t="shared" si="303"/>
        <v>R577</v>
      </c>
      <c r="CQ371" t="str">
        <f>AF370</f>
        <v>R582</v>
      </c>
      <c r="CR371" t="str">
        <f t="shared" si="291"/>
        <v>R582</v>
      </c>
      <c r="CS371" t="s">
        <v>564</v>
      </c>
      <c r="CT371" t="s">
        <v>564</v>
      </c>
      <c r="CU371" t="s">
        <v>564</v>
      </c>
      <c r="CV371" t="b">
        <f t="shared" si="304"/>
        <v>1</v>
      </c>
      <c r="DC371" t="str">
        <f t="shared" si="292"/>
        <v>G878</v>
      </c>
      <c r="DD371" t="b">
        <f t="shared" si="305"/>
        <v>0</v>
      </c>
      <c r="DE371" t="str">
        <f t="shared" si="306"/>
        <v>G878</v>
      </c>
      <c r="DF371" t="str">
        <f t="shared" si="293"/>
        <v>R582</v>
      </c>
      <c r="DG371" t="b">
        <f t="shared" si="307"/>
        <v>0</v>
      </c>
      <c r="DH371" t="str">
        <f t="shared" si="308"/>
        <v>R582</v>
      </c>
    </row>
    <row r="372" spans="2:112" ht="12" customHeight="1">
      <c r="B372" t="str">
        <f>TBIDry!H444</f>
        <v>G464</v>
      </c>
      <c r="C372" t="str">
        <f>TBIDry!I444</f>
        <v>R664</v>
      </c>
      <c r="D372" t="b">
        <f t="shared" si="260"/>
        <v>0</v>
      </c>
      <c r="E372" t="b">
        <f t="shared" si="261"/>
        <v>0</v>
      </c>
      <c r="G372" t="str">
        <f>TBIWet!H444</f>
        <v>G696</v>
      </c>
      <c r="H372" t="str">
        <f>TBIWet!I444</f>
        <v>R533</v>
      </c>
      <c r="I372" t="b">
        <f t="shared" si="262"/>
        <v>0</v>
      </c>
      <c r="J372" t="b">
        <f t="shared" si="263"/>
        <v>0</v>
      </c>
      <c r="L372" t="str">
        <f>'Both teabags AfterWet'!A370</f>
        <v>G837</v>
      </c>
      <c r="M372" t="str">
        <f>'Both teabags AfterWet'!A790</f>
        <v>R579</v>
      </c>
      <c r="N372" t="b">
        <f t="shared" si="264"/>
        <v>0</v>
      </c>
      <c r="O372" t="b">
        <f t="shared" si="309"/>
        <v>0</v>
      </c>
      <c r="Q372" s="395" t="b">
        <f t="shared" si="265"/>
        <v>0</v>
      </c>
      <c r="R372" s="395" t="b">
        <f t="shared" si="266"/>
        <v>0</v>
      </c>
      <c r="Y372" t="str">
        <f>'Green_rooibos initial weight'!A373</f>
        <v>G369</v>
      </c>
      <c r="Z372" t="str">
        <f>'Green_rooibos initial weight'!A1277</f>
        <v>R369</v>
      </c>
      <c r="AA372" t="b">
        <f t="shared" si="268"/>
        <v>0</v>
      </c>
      <c r="AB372" t="b">
        <f t="shared" si="269"/>
        <v>0</v>
      </c>
      <c r="AE372" t="str">
        <f>'WetLitterbags placem_collection'!O151</f>
        <v>G696</v>
      </c>
      <c r="AF372" t="str">
        <f>'WetLitterbags placem_collection'!Q151</f>
        <v>R533</v>
      </c>
      <c r="AG372" t="b">
        <f t="shared" si="270"/>
        <v>0</v>
      </c>
      <c r="AH372" t="b">
        <f t="shared" si="271"/>
        <v>0</v>
      </c>
      <c r="AJ372" t="b">
        <f t="shared" si="272"/>
        <v>0</v>
      </c>
      <c r="AK372" t="b">
        <f t="shared" si="273"/>
        <v>0</v>
      </c>
      <c r="AM372" t="str">
        <f>IF(ISBLANK('Dry_Litterbag Placem_Collection'!L151),"","G"&amp;""&amp;'Dry_Litterbag Placem_Collection'!L151)</f>
        <v>G464</v>
      </c>
      <c r="AN372" t="str">
        <f>IF(ISBLANK('Dry_Litterbag Placem_Collection'!M151),"","R"&amp;""&amp;'Dry_Litterbag Placem_Collection'!M151)</f>
        <v>R664</v>
      </c>
      <c r="AO372" t="b">
        <f t="shared" si="274"/>
        <v>0</v>
      </c>
      <c r="AP372" t="b">
        <f t="shared" si="275"/>
        <v>0</v>
      </c>
      <c r="AX372" s="395" t="b">
        <f t="shared" si="277"/>
        <v>0</v>
      </c>
      <c r="AY372" s="395" t="b">
        <f t="shared" si="278"/>
        <v>0</v>
      </c>
      <c r="BA372" t="str">
        <f>'Ashed teabags wet'!A370</f>
        <v>G837</v>
      </c>
      <c r="BB372" t="str">
        <f>'Ashed teabags wet'!A790</f>
        <v>R579</v>
      </c>
      <c r="BC372" t="b">
        <f t="shared" si="279"/>
        <v>0</v>
      </c>
      <c r="BD372" t="b">
        <f t="shared" si="259"/>
        <v>0</v>
      </c>
      <c r="BH372" t="str">
        <f t="shared" si="281"/>
        <v>G161</v>
      </c>
      <c r="BI372" t="str">
        <f t="shared" si="295"/>
        <v>G161</v>
      </c>
      <c r="BP372" t="str">
        <f t="shared" si="283"/>
        <v>R422</v>
      </c>
      <c r="BQ372" t="str">
        <f t="shared" si="284"/>
        <v>R422</v>
      </c>
      <c r="BZ372" t="str">
        <f t="shared" si="285"/>
        <v>G161</v>
      </c>
      <c r="CA372" t="b">
        <f t="shared" si="286"/>
        <v>0</v>
      </c>
      <c r="CB372" t="str">
        <f t="shared" si="298"/>
        <v>G161</v>
      </c>
      <c r="CC372" t="str">
        <f t="shared" si="287"/>
        <v>R422</v>
      </c>
      <c r="CD372" t="b">
        <f t="shared" si="299"/>
        <v>0</v>
      </c>
      <c r="CE372" t="str">
        <f t="shared" si="300"/>
        <v>R422</v>
      </c>
      <c r="CG372" t="str">
        <f t="shared" si="288"/>
        <v>G836</v>
      </c>
      <c r="CH372" t="str">
        <f t="shared" si="301"/>
        <v>G836</v>
      </c>
      <c r="CI372" t="str">
        <f>AE371</f>
        <v>G807</v>
      </c>
      <c r="CJ372" t="str">
        <f t="shared" si="289"/>
        <v>G807</v>
      </c>
      <c r="CK372" t="s">
        <v>1214</v>
      </c>
      <c r="CL372" t="s">
        <v>1214</v>
      </c>
      <c r="CM372" t="s">
        <v>1214</v>
      </c>
      <c r="CN372" t="b">
        <f t="shared" si="302"/>
        <v>1</v>
      </c>
      <c r="CO372" t="str">
        <f t="shared" si="290"/>
        <v>R578</v>
      </c>
      <c r="CP372" t="str">
        <f t="shared" si="303"/>
        <v>R578</v>
      </c>
      <c r="CQ372" t="str">
        <f>AF371</f>
        <v>R20</v>
      </c>
      <c r="CR372" t="str">
        <f t="shared" si="291"/>
        <v>R20</v>
      </c>
      <c r="CS372" t="s">
        <v>563</v>
      </c>
      <c r="CT372" t="s">
        <v>563</v>
      </c>
      <c r="CU372" t="s">
        <v>563</v>
      </c>
      <c r="CV372" t="b">
        <f t="shared" si="304"/>
        <v>1</v>
      </c>
      <c r="DC372" t="str">
        <f t="shared" si="292"/>
        <v>G807</v>
      </c>
      <c r="DD372" t="b">
        <f t="shared" si="305"/>
        <v>0</v>
      </c>
      <c r="DE372" t="str">
        <f t="shared" si="306"/>
        <v>G807</v>
      </c>
      <c r="DF372" t="str">
        <f t="shared" si="293"/>
        <v>R20</v>
      </c>
      <c r="DG372" t="b">
        <f t="shared" si="307"/>
        <v>0</v>
      </c>
      <c r="DH372" t="str">
        <f t="shared" si="308"/>
        <v>R20</v>
      </c>
    </row>
    <row r="373" spans="2:112" ht="12" customHeight="1">
      <c r="B373" t="str">
        <f>TBIDry!H445</f>
        <v>G843</v>
      </c>
      <c r="C373" t="str">
        <f>TBIDry!I445</f>
        <v>R316</v>
      </c>
      <c r="D373" t="b">
        <f t="shared" si="260"/>
        <v>0</v>
      </c>
      <c r="E373" t="b">
        <f t="shared" si="261"/>
        <v>0</v>
      </c>
      <c r="G373" t="str">
        <f>TBIWet!H445</f>
        <v>G801</v>
      </c>
      <c r="H373" t="str">
        <f>TBIWet!I445</f>
        <v>R572</v>
      </c>
      <c r="I373" t="b">
        <f t="shared" si="262"/>
        <v>0</v>
      </c>
      <c r="J373" t="b">
        <f t="shared" si="263"/>
        <v>0</v>
      </c>
      <c r="L373" t="str">
        <f>'Both teabags AfterWet'!A371</f>
        <v>G838</v>
      </c>
      <c r="M373" t="str">
        <f>'Both teabags AfterWet'!A791</f>
        <v>R58</v>
      </c>
      <c r="N373" t="b">
        <f t="shared" si="264"/>
        <v>0</v>
      </c>
      <c r="O373" t="b">
        <f t="shared" si="309"/>
        <v>0</v>
      </c>
      <c r="Q373" s="395" t="b">
        <f t="shared" si="265"/>
        <v>0</v>
      </c>
      <c r="R373" s="395" t="b">
        <f t="shared" si="266"/>
        <v>0</v>
      </c>
      <c r="Y373" t="str">
        <f>'Green_rooibos initial weight'!A374</f>
        <v>G370</v>
      </c>
      <c r="Z373" t="str">
        <f>'Green_rooibos initial weight'!A1278</f>
        <v>R370</v>
      </c>
      <c r="AA373" t="b">
        <f t="shared" si="268"/>
        <v>0</v>
      </c>
      <c r="AB373" t="b">
        <f t="shared" si="269"/>
        <v>0</v>
      </c>
      <c r="AE373" t="str">
        <f>'WetLitterbags placem_collection'!O152</f>
        <v>G801</v>
      </c>
      <c r="AF373" t="str">
        <f>'WetLitterbags placem_collection'!Q152</f>
        <v>R572</v>
      </c>
      <c r="AG373" t="b">
        <f t="shared" si="270"/>
        <v>0</v>
      </c>
      <c r="AH373" t="b">
        <f t="shared" si="271"/>
        <v>0</v>
      </c>
      <c r="AJ373" t="b">
        <f t="shared" si="272"/>
        <v>0</v>
      </c>
      <c r="AK373" t="b">
        <f t="shared" si="273"/>
        <v>0</v>
      </c>
      <c r="AM373" t="str">
        <f>IF(ISBLANK('Dry_Litterbag Placem_Collection'!L152),"","G"&amp;""&amp;'Dry_Litterbag Placem_Collection'!L152)</f>
        <v>G843</v>
      </c>
      <c r="AN373" t="str">
        <f>IF(ISBLANK('Dry_Litterbag Placem_Collection'!M152),"","R"&amp;""&amp;'Dry_Litterbag Placem_Collection'!M152)</f>
        <v>R316</v>
      </c>
      <c r="AO373" t="b">
        <f t="shared" si="274"/>
        <v>0</v>
      </c>
      <c r="AP373" t="b">
        <f t="shared" si="275"/>
        <v>0</v>
      </c>
      <c r="AX373" s="395" t="b">
        <f t="shared" si="277"/>
        <v>0</v>
      </c>
      <c r="AY373" s="395" t="b">
        <f t="shared" si="278"/>
        <v>0</v>
      </c>
      <c r="BA373" t="str">
        <f>'Ashed teabags wet'!A371</f>
        <v>G838</v>
      </c>
      <c r="BB373" t="str">
        <f>'Ashed teabags wet'!A791</f>
        <v>R58</v>
      </c>
      <c r="BC373" t="b">
        <f t="shared" si="279"/>
        <v>0</v>
      </c>
      <c r="BD373" t="b">
        <f t="shared" si="259"/>
        <v>0</v>
      </c>
      <c r="BH373" t="str">
        <f t="shared" si="281"/>
        <v>G464</v>
      </c>
      <c r="BI373" t="str">
        <f t="shared" si="295"/>
        <v>G464</v>
      </c>
      <c r="BP373" t="str">
        <f t="shared" si="283"/>
        <v>R664</v>
      </c>
      <c r="BQ373" t="str">
        <f t="shared" si="284"/>
        <v>R664</v>
      </c>
      <c r="BZ373" t="str">
        <f t="shared" si="285"/>
        <v>G464</v>
      </c>
      <c r="CA373" t="b">
        <f t="shared" si="286"/>
        <v>0</v>
      </c>
      <c r="CB373" t="str">
        <f t="shared" si="298"/>
        <v>G464</v>
      </c>
      <c r="CC373" t="str">
        <f t="shared" si="287"/>
        <v>R664</v>
      </c>
      <c r="CD373" t="b">
        <f t="shared" si="299"/>
        <v>0</v>
      </c>
      <c r="CE373" t="str">
        <f t="shared" si="300"/>
        <v>R664</v>
      </c>
      <c r="CG373" t="str">
        <f t="shared" si="288"/>
        <v>G837</v>
      </c>
      <c r="CH373" t="str">
        <f t="shared" si="301"/>
        <v>G837</v>
      </c>
      <c r="CI373" t="str">
        <f>AE372</f>
        <v>G696</v>
      </c>
      <c r="CJ373" t="str">
        <f t="shared" si="289"/>
        <v>G696</v>
      </c>
      <c r="CK373" t="s">
        <v>1213</v>
      </c>
      <c r="CL373" t="s">
        <v>1213</v>
      </c>
      <c r="CM373" t="s">
        <v>1213</v>
      </c>
      <c r="CN373" t="b">
        <f t="shared" si="302"/>
        <v>1</v>
      </c>
      <c r="CO373" t="str">
        <f t="shared" si="290"/>
        <v>R579</v>
      </c>
      <c r="CP373" t="str">
        <f t="shared" si="303"/>
        <v>R579</v>
      </c>
      <c r="CQ373" t="str">
        <f>AF372</f>
        <v>R533</v>
      </c>
      <c r="CR373" t="str">
        <f t="shared" si="291"/>
        <v>R533</v>
      </c>
      <c r="CS373" t="s">
        <v>562</v>
      </c>
      <c r="CT373" t="s">
        <v>562</v>
      </c>
      <c r="CU373" t="s">
        <v>562</v>
      </c>
      <c r="CV373" t="b">
        <f t="shared" si="304"/>
        <v>1</v>
      </c>
      <c r="DC373" t="str">
        <f t="shared" si="292"/>
        <v>G696</v>
      </c>
      <c r="DD373" t="b">
        <f t="shared" si="305"/>
        <v>0</v>
      </c>
      <c r="DE373" t="str">
        <f t="shared" si="306"/>
        <v>G696</v>
      </c>
      <c r="DF373" t="str">
        <f t="shared" si="293"/>
        <v>R533</v>
      </c>
      <c r="DG373" t="b">
        <f t="shared" si="307"/>
        <v>0</v>
      </c>
      <c r="DH373" t="str">
        <f t="shared" si="308"/>
        <v>R533</v>
      </c>
    </row>
    <row r="374" spans="2:112" ht="12" customHeight="1">
      <c r="B374" t="str">
        <f>TBIDry!H446</f>
        <v/>
      </c>
      <c r="C374" t="str">
        <f>TBIDry!I446</f>
        <v/>
      </c>
      <c r="D374" t="b">
        <f t="shared" si="260"/>
        <v>1</v>
      </c>
      <c r="E374" t="b">
        <f t="shared" si="261"/>
        <v>1</v>
      </c>
      <c r="G374" t="str">
        <f>TBIWet!H446</f>
        <v>G647</v>
      </c>
      <c r="H374" t="str">
        <f>TBIWet!I446</f>
        <v>R504</v>
      </c>
      <c r="I374" t="b">
        <f t="shared" si="262"/>
        <v>0</v>
      </c>
      <c r="J374" t="b">
        <f t="shared" si="263"/>
        <v>0</v>
      </c>
      <c r="L374" t="str">
        <f>'Both teabags AfterWet'!A372</f>
        <v>G839</v>
      </c>
      <c r="M374" t="str">
        <f>'Both teabags AfterWet'!A792</f>
        <v>R580</v>
      </c>
      <c r="N374" t="b">
        <f t="shared" si="264"/>
        <v>0</v>
      </c>
      <c r="O374" t="b">
        <f t="shared" si="309"/>
        <v>0</v>
      </c>
      <c r="Q374" s="395" t="b">
        <f t="shared" si="265"/>
        <v>0</v>
      </c>
      <c r="R374" s="395" t="b">
        <f t="shared" si="266"/>
        <v>0</v>
      </c>
      <c r="Y374" t="str">
        <f>'Green_rooibos initial weight'!A375</f>
        <v>G371</v>
      </c>
      <c r="Z374" t="str">
        <f>'Green_rooibos initial weight'!A1279</f>
        <v>R371</v>
      </c>
      <c r="AA374" t="b">
        <f t="shared" si="268"/>
        <v>0</v>
      </c>
      <c r="AB374" t="b">
        <f t="shared" si="269"/>
        <v>0</v>
      </c>
      <c r="AE374" t="str">
        <f>'WetLitterbags placem_collection'!O153</f>
        <v>G647</v>
      </c>
      <c r="AF374" t="str">
        <f>'WetLitterbags placem_collection'!Q153</f>
        <v>R504</v>
      </c>
      <c r="AG374" t="b">
        <f t="shared" si="270"/>
        <v>0</v>
      </c>
      <c r="AH374" t="b">
        <f t="shared" si="271"/>
        <v>0</v>
      </c>
      <c r="AJ374" t="b">
        <f t="shared" si="272"/>
        <v>0</v>
      </c>
      <c r="AK374" t="b">
        <f t="shared" si="273"/>
        <v>0</v>
      </c>
      <c r="AM374" t="str">
        <f>IF(ISBLANK('Dry_Litterbag Placem_Collection'!L153),"","G"&amp;""&amp;'Dry_Litterbag Placem_Collection'!L153)</f>
        <v/>
      </c>
      <c r="AN374" t="str">
        <f>IF(ISBLANK('Dry_Litterbag Placem_Collection'!M153),"","R"&amp;""&amp;'Dry_Litterbag Placem_Collection'!M153)</f>
        <v/>
      </c>
      <c r="AO374" t="b">
        <f t="shared" si="274"/>
        <v>1</v>
      </c>
      <c r="AP374" t="b">
        <f t="shared" si="275"/>
        <v>1</v>
      </c>
      <c r="AX374" s="395" t="b">
        <f t="shared" si="277"/>
        <v>0</v>
      </c>
      <c r="AY374" s="395" t="b">
        <f t="shared" si="278"/>
        <v>0</v>
      </c>
      <c r="BA374" t="str">
        <f>'Ashed teabags wet'!A372</f>
        <v>G839</v>
      </c>
      <c r="BB374" t="str">
        <f>'Ashed teabags wet'!A792</f>
        <v>R580</v>
      </c>
      <c r="BC374" t="b">
        <f t="shared" si="279"/>
        <v>0</v>
      </c>
      <c r="BD374" t="b">
        <f t="shared" si="259"/>
        <v>0</v>
      </c>
      <c r="BH374" t="str">
        <f t="shared" si="281"/>
        <v>G843</v>
      </c>
      <c r="BI374" t="str">
        <f t="shared" si="295"/>
        <v/>
      </c>
      <c r="BP374" t="str">
        <f t="shared" si="283"/>
        <v>R316</v>
      </c>
      <c r="BQ374" t="str">
        <f t="shared" si="284"/>
        <v/>
      </c>
      <c r="BZ374" t="str">
        <f t="shared" si="285"/>
        <v>G843</v>
      </c>
      <c r="CA374" t="b">
        <f t="shared" si="286"/>
        <v>1</v>
      </c>
      <c r="CB374" t="str">
        <f t="shared" si="298"/>
        <v/>
      </c>
      <c r="CC374" t="str">
        <f t="shared" si="287"/>
        <v>R316</v>
      </c>
      <c r="CD374" t="b">
        <f t="shared" si="299"/>
        <v>1</v>
      </c>
      <c r="CE374" t="str">
        <f t="shared" si="300"/>
        <v/>
      </c>
      <c r="CG374" t="str">
        <f t="shared" si="288"/>
        <v>G838</v>
      </c>
      <c r="CH374" t="str">
        <f t="shared" si="301"/>
        <v>G838</v>
      </c>
      <c r="CI374" t="str">
        <f>AE373</f>
        <v>G801</v>
      </c>
      <c r="CJ374" t="str">
        <f t="shared" si="289"/>
        <v>G801</v>
      </c>
      <c r="CK374" t="s">
        <v>1212</v>
      </c>
      <c r="CL374" t="s">
        <v>1212</v>
      </c>
      <c r="CM374" t="s">
        <v>1212</v>
      </c>
      <c r="CN374" t="b">
        <f t="shared" si="302"/>
        <v>1</v>
      </c>
      <c r="CO374" t="str">
        <f t="shared" si="290"/>
        <v>R58</v>
      </c>
      <c r="CP374" t="str">
        <f t="shared" si="303"/>
        <v>R58</v>
      </c>
      <c r="CQ374" t="str">
        <f>AF373</f>
        <v>R572</v>
      </c>
      <c r="CR374" t="str">
        <f t="shared" si="291"/>
        <v>R572</v>
      </c>
      <c r="CS374" t="s">
        <v>1083</v>
      </c>
      <c r="CT374" t="s">
        <v>1083</v>
      </c>
      <c r="CU374" t="s">
        <v>1083</v>
      </c>
      <c r="CV374" t="b">
        <f t="shared" si="304"/>
        <v>1</v>
      </c>
      <c r="DC374" t="str">
        <f t="shared" si="292"/>
        <v>G801</v>
      </c>
      <c r="DD374" t="b">
        <f t="shared" si="305"/>
        <v>0</v>
      </c>
      <c r="DE374" t="str">
        <f t="shared" si="306"/>
        <v>G801</v>
      </c>
      <c r="DF374" t="str">
        <f t="shared" si="293"/>
        <v>R572</v>
      </c>
      <c r="DG374" t="b">
        <f t="shared" si="307"/>
        <v>0</v>
      </c>
      <c r="DH374" t="str">
        <f t="shared" si="308"/>
        <v>R572</v>
      </c>
    </row>
    <row r="375" spans="2:112" ht="12" customHeight="1">
      <c r="B375" t="str">
        <f>TBIDry!H447</f>
        <v>G617</v>
      </c>
      <c r="C375" t="str">
        <f>TBIDry!I447</f>
        <v>R635</v>
      </c>
      <c r="D375" t="b">
        <f t="shared" si="260"/>
        <v>0</v>
      </c>
      <c r="E375" t="b">
        <f t="shared" si="261"/>
        <v>0</v>
      </c>
      <c r="G375" t="str">
        <f>TBIWet!H447</f>
        <v>G744</v>
      </c>
      <c r="H375" t="str">
        <f>TBIWet!I447</f>
        <v>R579</v>
      </c>
      <c r="I375" t="b">
        <f t="shared" si="262"/>
        <v>0</v>
      </c>
      <c r="J375" t="b">
        <f t="shared" si="263"/>
        <v>0</v>
      </c>
      <c r="L375" t="str">
        <f>'Both teabags AfterWet'!A373</f>
        <v>G840</v>
      </c>
      <c r="M375" t="str">
        <f>'Both teabags AfterWet'!A793</f>
        <v>R581</v>
      </c>
      <c r="N375" t="b">
        <f t="shared" si="264"/>
        <v>0</v>
      </c>
      <c r="O375" t="b">
        <f t="shared" si="309"/>
        <v>0</v>
      </c>
      <c r="Q375" s="395" t="b">
        <f t="shared" si="265"/>
        <v>0</v>
      </c>
      <c r="R375" s="395" t="b">
        <f t="shared" si="266"/>
        <v>0</v>
      </c>
      <c r="Y375" t="str">
        <f>'Green_rooibos initial weight'!A376</f>
        <v>G372</v>
      </c>
      <c r="Z375" t="str">
        <f>'Green_rooibos initial weight'!A1280</f>
        <v>R372</v>
      </c>
      <c r="AA375" t="b">
        <f t="shared" si="268"/>
        <v>0</v>
      </c>
      <c r="AB375" t="b">
        <f t="shared" si="269"/>
        <v>0</v>
      </c>
      <c r="AE375" t="str">
        <f>'WetLitterbags placem_collection'!O154</f>
        <v>G744</v>
      </c>
      <c r="AF375" t="str">
        <f>'WetLitterbags placem_collection'!Q154</f>
        <v>R579</v>
      </c>
      <c r="AG375" t="b">
        <f t="shared" si="270"/>
        <v>0</v>
      </c>
      <c r="AH375" t="b">
        <f t="shared" si="271"/>
        <v>0</v>
      </c>
      <c r="AJ375" t="b">
        <f t="shared" si="272"/>
        <v>0</v>
      </c>
      <c r="AK375" t="b">
        <f t="shared" si="273"/>
        <v>0</v>
      </c>
      <c r="AM375" t="str">
        <f>IF(ISBLANK('Dry_Litterbag Placem_Collection'!L154),"","G"&amp;""&amp;'Dry_Litterbag Placem_Collection'!L154)</f>
        <v>G617</v>
      </c>
      <c r="AN375" t="str">
        <f>IF(ISBLANK('Dry_Litterbag Placem_Collection'!M154),"","R"&amp;""&amp;'Dry_Litterbag Placem_Collection'!M154)</f>
        <v>R635</v>
      </c>
      <c r="AO375" t="b">
        <f t="shared" si="274"/>
        <v>0</v>
      </c>
      <c r="AP375" t="b">
        <f t="shared" si="275"/>
        <v>0</v>
      </c>
      <c r="AX375" s="395" t="b">
        <f t="shared" si="277"/>
        <v>0</v>
      </c>
      <c r="AY375" s="395" t="b">
        <f t="shared" si="278"/>
        <v>0</v>
      </c>
      <c r="BA375" t="str">
        <f>'Ashed teabags wet'!A373</f>
        <v>G840</v>
      </c>
      <c r="BB375" t="str">
        <f>'Ashed teabags wet'!A793</f>
        <v>R581</v>
      </c>
      <c r="BC375" t="b">
        <f t="shared" si="279"/>
        <v>0</v>
      </c>
      <c r="BD375" t="b">
        <f t="shared" si="259"/>
        <v>0</v>
      </c>
      <c r="BH375" t="str">
        <f t="shared" si="281"/>
        <v/>
      </c>
      <c r="BI375" t="str">
        <f t="shared" si="295"/>
        <v/>
      </c>
      <c r="BP375" t="str">
        <f t="shared" si="283"/>
        <v/>
      </c>
      <c r="BQ375" t="str">
        <f t="shared" si="284"/>
        <v/>
      </c>
      <c r="BZ375" t="str">
        <f t="shared" si="285"/>
        <v/>
      </c>
      <c r="CA375" t="b">
        <f t="shared" si="286"/>
        <v>0</v>
      </c>
      <c r="CB375" t="str">
        <f t="shared" si="298"/>
        <v/>
      </c>
      <c r="CC375" t="str">
        <f t="shared" si="287"/>
        <v/>
      </c>
      <c r="CD375" t="b">
        <f t="shared" si="299"/>
        <v>0</v>
      </c>
      <c r="CE375" t="str">
        <f t="shared" si="300"/>
        <v/>
      </c>
      <c r="CG375" t="str">
        <f t="shared" si="288"/>
        <v>G839</v>
      </c>
      <c r="CH375" t="str">
        <f t="shared" si="301"/>
        <v>G839</v>
      </c>
      <c r="CI375" t="str">
        <f>AE374</f>
        <v>G647</v>
      </c>
      <c r="CJ375" t="str">
        <f t="shared" si="289"/>
        <v>G647</v>
      </c>
      <c r="CK375" t="s">
        <v>1211</v>
      </c>
      <c r="CL375" t="s">
        <v>1211</v>
      </c>
      <c r="CM375" t="s">
        <v>1211</v>
      </c>
      <c r="CN375" t="b">
        <f t="shared" si="302"/>
        <v>1</v>
      </c>
      <c r="CO375" t="str">
        <f t="shared" si="290"/>
        <v>R580</v>
      </c>
      <c r="CP375" t="str">
        <f t="shared" si="303"/>
        <v>R580</v>
      </c>
      <c r="CQ375" t="str">
        <f>AF374</f>
        <v>R504</v>
      </c>
      <c r="CR375" t="str">
        <f t="shared" si="291"/>
        <v>R504</v>
      </c>
      <c r="CS375" t="s">
        <v>561</v>
      </c>
      <c r="CT375" t="s">
        <v>561</v>
      </c>
      <c r="CU375" t="s">
        <v>561</v>
      </c>
      <c r="CV375" t="b">
        <f t="shared" si="304"/>
        <v>1</v>
      </c>
      <c r="DC375" t="str">
        <f t="shared" si="292"/>
        <v>G647</v>
      </c>
      <c r="DD375" t="b">
        <f t="shared" si="305"/>
        <v>0</v>
      </c>
      <c r="DE375" t="str">
        <f t="shared" si="306"/>
        <v>G647</v>
      </c>
      <c r="DF375" t="str">
        <f t="shared" si="293"/>
        <v>R504</v>
      </c>
      <c r="DG375" t="b">
        <f t="shared" si="307"/>
        <v>0</v>
      </c>
      <c r="DH375" t="str">
        <f t="shared" si="308"/>
        <v>R504</v>
      </c>
    </row>
    <row r="376" spans="2:112" ht="12" customHeight="1">
      <c r="B376" t="str">
        <f>TBIDry!H448</f>
        <v>G19</v>
      </c>
      <c r="C376" t="str">
        <f>TBIDry!I448</f>
        <v>R651</v>
      </c>
      <c r="D376" t="b">
        <f t="shared" si="260"/>
        <v>0</v>
      </c>
      <c r="E376" t="b">
        <f t="shared" si="261"/>
        <v>0</v>
      </c>
      <c r="G376" t="str">
        <f>TBIWet!H448</f>
        <v>G885</v>
      </c>
      <c r="H376" t="str">
        <f>TBIWet!I448</f>
        <v>R440</v>
      </c>
      <c r="I376" t="b">
        <f t="shared" si="262"/>
        <v>0</v>
      </c>
      <c r="J376" t="b">
        <f t="shared" si="263"/>
        <v>0</v>
      </c>
      <c r="L376" t="str">
        <f>'Both teabags AfterWet'!A374</f>
        <v>G841</v>
      </c>
      <c r="M376" t="str">
        <f>'Both teabags AfterWet'!A794</f>
        <v>R582</v>
      </c>
      <c r="N376" t="b">
        <f t="shared" si="264"/>
        <v>0</v>
      </c>
      <c r="O376" t="b">
        <f t="shared" si="309"/>
        <v>0</v>
      </c>
      <c r="Q376" s="395" t="b">
        <f t="shared" si="265"/>
        <v>0</v>
      </c>
      <c r="R376" s="395" t="b">
        <f t="shared" si="266"/>
        <v>0</v>
      </c>
      <c r="Y376" t="str">
        <f>'Green_rooibos initial weight'!A377</f>
        <v>G373</v>
      </c>
      <c r="Z376" t="str">
        <f>'Green_rooibos initial weight'!A1281</f>
        <v>R373</v>
      </c>
      <c r="AA376" t="b">
        <f t="shared" si="268"/>
        <v>0</v>
      </c>
      <c r="AB376" t="b">
        <f t="shared" si="269"/>
        <v>0</v>
      </c>
      <c r="AE376" t="str">
        <f>'WetLitterbags placem_collection'!O155</f>
        <v>G885</v>
      </c>
      <c r="AF376" t="str">
        <f>'WetLitterbags placem_collection'!Q155</f>
        <v>R440</v>
      </c>
      <c r="AG376" t="b">
        <f t="shared" si="270"/>
        <v>0</v>
      </c>
      <c r="AH376" t="b">
        <f t="shared" si="271"/>
        <v>0</v>
      </c>
      <c r="AJ376" t="b">
        <f t="shared" si="272"/>
        <v>0</v>
      </c>
      <c r="AK376" t="b">
        <f t="shared" si="273"/>
        <v>0</v>
      </c>
      <c r="AM376" t="str">
        <f>IF(ISBLANK('Dry_Litterbag Placem_Collection'!L155),"","G"&amp;""&amp;'Dry_Litterbag Placem_Collection'!L155)</f>
        <v>G19</v>
      </c>
      <c r="AN376" t="str">
        <f>IF(ISBLANK('Dry_Litterbag Placem_Collection'!M155),"","R"&amp;""&amp;'Dry_Litterbag Placem_Collection'!M155)</f>
        <v>R651</v>
      </c>
      <c r="AO376" t="b">
        <f t="shared" si="274"/>
        <v>0</v>
      </c>
      <c r="AP376" t="b">
        <f t="shared" si="275"/>
        <v>0</v>
      </c>
      <c r="AX376" s="395" t="b">
        <f t="shared" si="277"/>
        <v>0</v>
      </c>
      <c r="AY376" s="395" t="b">
        <f t="shared" si="278"/>
        <v>0</v>
      </c>
      <c r="BA376" t="str">
        <f>'Ashed teabags wet'!A374</f>
        <v>G841</v>
      </c>
      <c r="BB376" t="str">
        <f>'Ashed teabags wet'!A794</f>
        <v>R582</v>
      </c>
      <c r="BC376" t="b">
        <f t="shared" si="279"/>
        <v>0</v>
      </c>
      <c r="BD376" t="b">
        <f t="shared" si="259"/>
        <v>0</v>
      </c>
      <c r="BH376" t="str">
        <f t="shared" si="281"/>
        <v>G617</v>
      </c>
      <c r="BI376" t="str">
        <f t="shared" si="295"/>
        <v>G617</v>
      </c>
      <c r="BP376" t="str">
        <f t="shared" si="283"/>
        <v>R635</v>
      </c>
      <c r="BQ376" t="str">
        <f t="shared" si="284"/>
        <v>R635</v>
      </c>
      <c r="BZ376" t="str">
        <f t="shared" si="285"/>
        <v>G617</v>
      </c>
      <c r="CA376" t="b">
        <f t="shared" si="286"/>
        <v>0</v>
      </c>
      <c r="CB376" t="str">
        <f t="shared" si="298"/>
        <v>G617</v>
      </c>
      <c r="CC376" t="str">
        <f t="shared" si="287"/>
        <v>R635</v>
      </c>
      <c r="CD376" t="b">
        <f t="shared" si="299"/>
        <v>0</v>
      </c>
      <c r="CE376" t="str">
        <f t="shared" si="300"/>
        <v>R635</v>
      </c>
      <c r="CG376" t="str">
        <f t="shared" si="288"/>
        <v>G840</v>
      </c>
      <c r="CH376" t="str">
        <f t="shared" si="301"/>
        <v>G840</v>
      </c>
      <c r="CI376" t="str">
        <f>AE375</f>
        <v>G744</v>
      </c>
      <c r="CJ376" t="str">
        <f t="shared" si="289"/>
        <v>G744</v>
      </c>
      <c r="CK376" t="s">
        <v>1210</v>
      </c>
      <c r="CL376" t="s">
        <v>1210</v>
      </c>
      <c r="CM376" t="s">
        <v>1210</v>
      </c>
      <c r="CN376" t="b">
        <f t="shared" si="302"/>
        <v>1</v>
      </c>
      <c r="CO376" t="str">
        <f t="shared" si="290"/>
        <v>R581</v>
      </c>
      <c r="CP376" t="str">
        <f t="shared" si="303"/>
        <v>R581</v>
      </c>
      <c r="CQ376" t="str">
        <f>AF375</f>
        <v>R579</v>
      </c>
      <c r="CR376" t="str">
        <f t="shared" si="291"/>
        <v>R579</v>
      </c>
      <c r="CS376" t="s">
        <v>560</v>
      </c>
      <c r="CT376" t="s">
        <v>560</v>
      </c>
      <c r="CU376" t="s">
        <v>560</v>
      </c>
      <c r="CV376" t="b">
        <f t="shared" si="304"/>
        <v>1</v>
      </c>
      <c r="DC376" t="str">
        <f t="shared" si="292"/>
        <v>G744</v>
      </c>
      <c r="DD376" t="b">
        <f t="shared" si="305"/>
        <v>0</v>
      </c>
      <c r="DE376" t="str">
        <f t="shared" si="306"/>
        <v>G744</v>
      </c>
      <c r="DF376" t="str">
        <f t="shared" si="293"/>
        <v>R579</v>
      </c>
      <c r="DG376" t="b">
        <f t="shared" si="307"/>
        <v>0</v>
      </c>
      <c r="DH376" t="str">
        <f t="shared" si="308"/>
        <v>R579</v>
      </c>
    </row>
    <row r="377" spans="2:112" ht="12" customHeight="1">
      <c r="B377" t="str">
        <f>TBIDry!H449</f>
        <v>G275</v>
      </c>
      <c r="C377" t="str">
        <f>TBIDry!I449</f>
        <v>R367</v>
      </c>
      <c r="D377" t="b">
        <f t="shared" si="260"/>
        <v>0</v>
      </c>
      <c r="E377" t="b">
        <f t="shared" si="261"/>
        <v>0</v>
      </c>
      <c r="G377" t="str">
        <f>TBIWet!H449</f>
        <v>G684</v>
      </c>
      <c r="H377" t="str">
        <f>TBIWet!I449</f>
        <v>R485</v>
      </c>
      <c r="I377" t="b">
        <f t="shared" si="262"/>
        <v>0</v>
      </c>
      <c r="J377" t="b">
        <f t="shared" si="263"/>
        <v>0</v>
      </c>
      <c r="L377" t="str">
        <f>'Both teabags AfterWet'!A375</f>
        <v>G842</v>
      </c>
      <c r="M377" t="str">
        <f>'Both teabags AfterWet'!A795</f>
        <v>R583</v>
      </c>
      <c r="N377" t="b">
        <f t="shared" si="264"/>
        <v>0</v>
      </c>
      <c r="O377" t="b">
        <f t="shared" si="309"/>
        <v>0</v>
      </c>
      <c r="Q377" s="395" t="b">
        <f t="shared" si="265"/>
        <v>0</v>
      </c>
      <c r="R377" s="395" t="b">
        <f t="shared" si="266"/>
        <v>0</v>
      </c>
      <c r="Y377" t="str">
        <f>'Green_rooibos initial weight'!A378</f>
        <v>G374</v>
      </c>
      <c r="Z377" t="str">
        <f>'Green_rooibos initial weight'!A1282</f>
        <v>R374</v>
      </c>
      <c r="AA377" t="b">
        <f t="shared" si="268"/>
        <v>0</v>
      </c>
      <c r="AB377" t="b">
        <f t="shared" si="269"/>
        <v>0</v>
      </c>
      <c r="AE377" t="str">
        <f>'WetLitterbags placem_collection'!O156</f>
        <v>G684</v>
      </c>
      <c r="AF377" t="str">
        <f>'WetLitterbags placem_collection'!Q156</f>
        <v>R485</v>
      </c>
      <c r="AG377" t="b">
        <f t="shared" si="270"/>
        <v>0</v>
      </c>
      <c r="AH377" t="b">
        <f t="shared" si="271"/>
        <v>0</v>
      </c>
      <c r="AJ377" t="b">
        <f t="shared" si="272"/>
        <v>0</v>
      </c>
      <c r="AK377" t="b">
        <f t="shared" si="273"/>
        <v>0</v>
      </c>
      <c r="AM377" t="str">
        <f>IF(ISBLANK('Dry_Litterbag Placem_Collection'!L156),"","G"&amp;""&amp;'Dry_Litterbag Placem_Collection'!L156)</f>
        <v>G275</v>
      </c>
      <c r="AN377" t="str">
        <f>IF(ISBLANK('Dry_Litterbag Placem_Collection'!M156),"","R"&amp;""&amp;'Dry_Litterbag Placem_Collection'!M156)</f>
        <v>R367</v>
      </c>
      <c r="AO377" t="b">
        <f t="shared" si="274"/>
        <v>0</v>
      </c>
      <c r="AP377" t="b">
        <f t="shared" si="275"/>
        <v>0</v>
      </c>
      <c r="AX377" s="395" t="b">
        <f t="shared" si="277"/>
        <v>0</v>
      </c>
      <c r="AY377" s="395" t="b">
        <f t="shared" si="278"/>
        <v>0</v>
      </c>
      <c r="BA377" t="str">
        <f>'Ashed teabags wet'!A375</f>
        <v>G842</v>
      </c>
      <c r="BB377" t="str">
        <f>'Ashed teabags wet'!A795</f>
        <v>R583</v>
      </c>
      <c r="BC377" t="b">
        <f t="shared" si="279"/>
        <v>0</v>
      </c>
      <c r="BD377" t="b">
        <f t="shared" si="259"/>
        <v>0</v>
      </c>
      <c r="BH377" t="str">
        <f t="shared" si="281"/>
        <v>G19</v>
      </c>
      <c r="BI377" t="str">
        <f t="shared" si="295"/>
        <v>G19</v>
      </c>
      <c r="BP377" t="str">
        <f t="shared" si="283"/>
        <v>R651</v>
      </c>
      <c r="BQ377" t="str">
        <f t="shared" si="284"/>
        <v>R651</v>
      </c>
      <c r="BZ377" t="str">
        <f t="shared" si="285"/>
        <v>G19</v>
      </c>
      <c r="CA377" t="b">
        <f t="shared" si="286"/>
        <v>0</v>
      </c>
      <c r="CB377" t="str">
        <f t="shared" si="298"/>
        <v>G19</v>
      </c>
      <c r="CC377" t="str">
        <f t="shared" si="287"/>
        <v>R651</v>
      </c>
      <c r="CD377" t="b">
        <f t="shared" si="299"/>
        <v>0</v>
      </c>
      <c r="CE377" t="str">
        <f t="shared" si="300"/>
        <v>R651</v>
      </c>
      <c r="CG377" t="str">
        <f t="shared" si="288"/>
        <v>G841</v>
      </c>
      <c r="CH377" t="str">
        <f t="shared" si="301"/>
        <v>G841</v>
      </c>
      <c r="CI377" t="str">
        <f>AE376</f>
        <v>G885</v>
      </c>
      <c r="CJ377" t="str">
        <f t="shared" si="289"/>
        <v>G885</v>
      </c>
      <c r="CK377" t="s">
        <v>1209</v>
      </c>
      <c r="CL377" t="s">
        <v>1209</v>
      </c>
      <c r="CM377" t="s">
        <v>1209</v>
      </c>
      <c r="CN377" t="b">
        <f t="shared" si="302"/>
        <v>1</v>
      </c>
      <c r="CO377" t="str">
        <f t="shared" si="290"/>
        <v>R582</v>
      </c>
      <c r="CP377" t="str">
        <f t="shared" si="303"/>
        <v>R582</v>
      </c>
      <c r="CQ377" t="str">
        <f>AF376</f>
        <v>R440</v>
      </c>
      <c r="CR377" t="str">
        <f t="shared" si="291"/>
        <v>R440</v>
      </c>
      <c r="CS377" t="s">
        <v>559</v>
      </c>
      <c r="CT377" t="s">
        <v>559</v>
      </c>
      <c r="CU377" t="s">
        <v>559</v>
      </c>
      <c r="CV377" t="b">
        <f t="shared" si="304"/>
        <v>1</v>
      </c>
      <c r="DC377" t="str">
        <f t="shared" si="292"/>
        <v>G885</v>
      </c>
      <c r="DD377" t="b">
        <f t="shared" si="305"/>
        <v>0</v>
      </c>
      <c r="DE377" t="str">
        <f t="shared" si="306"/>
        <v>G885</v>
      </c>
      <c r="DF377" t="str">
        <f t="shared" si="293"/>
        <v>R440</v>
      </c>
      <c r="DG377" t="b">
        <f t="shared" si="307"/>
        <v>0</v>
      </c>
      <c r="DH377" t="str">
        <f t="shared" si="308"/>
        <v>R440</v>
      </c>
    </row>
    <row r="378" spans="2:112" ht="12" customHeight="1">
      <c r="B378" t="str">
        <f>TBIDry!H450</f>
        <v>G289</v>
      </c>
      <c r="C378" t="str">
        <f>TBIDry!I450</f>
        <v>R617</v>
      </c>
      <c r="D378" t="b">
        <f t="shared" si="260"/>
        <v>0</v>
      </c>
      <c r="E378" t="b">
        <f t="shared" si="261"/>
        <v>0</v>
      </c>
      <c r="G378" t="str">
        <f>TBIWet!H450</f>
        <v>G827</v>
      </c>
      <c r="H378" t="str">
        <f>TBIWet!I450</f>
        <v>R556</v>
      </c>
      <c r="I378" t="b">
        <f t="shared" si="262"/>
        <v>0</v>
      </c>
      <c r="J378" t="b">
        <f t="shared" si="263"/>
        <v>0</v>
      </c>
      <c r="L378" t="str">
        <f>'Both teabags AfterWet'!A376</f>
        <v>G845</v>
      </c>
      <c r="M378" t="str">
        <f>'Both teabags AfterWet'!A796</f>
        <v>R584</v>
      </c>
      <c r="N378" t="b">
        <f t="shared" si="264"/>
        <v>0</v>
      </c>
      <c r="O378" t="b">
        <f t="shared" si="309"/>
        <v>0</v>
      </c>
      <c r="Q378" s="395" t="b">
        <f t="shared" si="265"/>
        <v>0</v>
      </c>
      <c r="R378" s="395" t="b">
        <f t="shared" si="266"/>
        <v>0</v>
      </c>
      <c r="Y378" t="str">
        <f>'Green_rooibos initial weight'!A379</f>
        <v>G375</v>
      </c>
      <c r="Z378" t="str">
        <f>'Green_rooibos initial weight'!A1283</f>
        <v>R375</v>
      </c>
      <c r="AA378" t="b">
        <f t="shared" si="268"/>
        <v>0</v>
      </c>
      <c r="AB378" t="b">
        <f t="shared" si="269"/>
        <v>0</v>
      </c>
      <c r="AE378" t="str">
        <f>'WetLitterbags placem_collection'!O157</f>
        <v>G827</v>
      </c>
      <c r="AF378" t="str">
        <f>'WetLitterbags placem_collection'!Q157</f>
        <v>R556</v>
      </c>
      <c r="AG378" t="b">
        <f t="shared" si="270"/>
        <v>0</v>
      </c>
      <c r="AH378" t="b">
        <f t="shared" si="271"/>
        <v>0</v>
      </c>
      <c r="AJ378" t="b">
        <f t="shared" si="272"/>
        <v>0</v>
      </c>
      <c r="AK378" t="b">
        <f t="shared" si="273"/>
        <v>0</v>
      </c>
      <c r="AM378" t="str">
        <f>IF(ISBLANK('Dry_Litterbag Placem_Collection'!L157),"","G"&amp;""&amp;'Dry_Litterbag Placem_Collection'!L157)</f>
        <v>G289</v>
      </c>
      <c r="AN378" t="str">
        <f>IF(ISBLANK('Dry_Litterbag Placem_Collection'!M157),"","R"&amp;""&amp;'Dry_Litterbag Placem_Collection'!M157)</f>
        <v>R617</v>
      </c>
      <c r="AO378" t="b">
        <f t="shared" si="274"/>
        <v>0</v>
      </c>
      <c r="AP378" t="b">
        <f t="shared" si="275"/>
        <v>0</v>
      </c>
      <c r="AX378" s="395" t="b">
        <f t="shared" si="277"/>
        <v>0</v>
      </c>
      <c r="AY378" s="395" t="b">
        <f t="shared" si="278"/>
        <v>0</v>
      </c>
      <c r="BA378" t="str">
        <f>'Ashed teabags wet'!A376</f>
        <v>G845</v>
      </c>
      <c r="BB378" t="str">
        <f>'Ashed teabags wet'!A796</f>
        <v>R584</v>
      </c>
      <c r="BC378" t="b">
        <f t="shared" si="279"/>
        <v>0</v>
      </c>
      <c r="BD378" t="b">
        <f t="shared" si="259"/>
        <v>0</v>
      </c>
      <c r="BH378" t="str">
        <f t="shared" si="281"/>
        <v>G275</v>
      </c>
      <c r="BI378" t="str">
        <f t="shared" si="295"/>
        <v>G275</v>
      </c>
      <c r="BP378" t="str">
        <f t="shared" si="283"/>
        <v>R367</v>
      </c>
      <c r="BQ378" t="str">
        <f t="shared" si="284"/>
        <v>R367</v>
      </c>
      <c r="BZ378" t="str">
        <f t="shared" si="285"/>
        <v>G275</v>
      </c>
      <c r="CA378" t="b">
        <f t="shared" si="286"/>
        <v>0</v>
      </c>
      <c r="CB378" t="str">
        <f t="shared" si="298"/>
        <v>G275</v>
      </c>
      <c r="CC378" t="str">
        <f t="shared" si="287"/>
        <v>R367</v>
      </c>
      <c r="CD378" t="b">
        <f t="shared" si="299"/>
        <v>0</v>
      </c>
      <c r="CE378" t="str">
        <f t="shared" si="300"/>
        <v>R367</v>
      </c>
      <c r="CG378" t="str">
        <f t="shared" si="288"/>
        <v>G842</v>
      </c>
      <c r="CH378" t="str">
        <f t="shared" si="301"/>
        <v>G842</v>
      </c>
      <c r="CI378" t="str">
        <f>AE377</f>
        <v>G684</v>
      </c>
      <c r="CJ378" t="str">
        <f t="shared" si="289"/>
        <v>G684</v>
      </c>
      <c r="CK378" t="s">
        <v>1208</v>
      </c>
      <c r="CL378" t="s">
        <v>1208</v>
      </c>
      <c r="CM378" t="s">
        <v>1208</v>
      </c>
      <c r="CN378" t="b">
        <f t="shared" si="302"/>
        <v>1</v>
      </c>
      <c r="CO378" t="str">
        <f t="shared" si="290"/>
        <v>R583</v>
      </c>
      <c r="CP378" t="str">
        <f t="shared" si="303"/>
        <v>R583</v>
      </c>
      <c r="CQ378" t="str">
        <f>AF377</f>
        <v>R485</v>
      </c>
      <c r="CR378" t="str">
        <f t="shared" si="291"/>
        <v>R485</v>
      </c>
      <c r="CS378" t="s">
        <v>558</v>
      </c>
      <c r="CT378" t="s">
        <v>558</v>
      </c>
      <c r="CU378" t="s">
        <v>558</v>
      </c>
      <c r="CV378" t="b">
        <f t="shared" si="304"/>
        <v>1</v>
      </c>
      <c r="DC378" t="str">
        <f t="shared" si="292"/>
        <v>G684</v>
      </c>
      <c r="DD378" t="b">
        <f t="shared" si="305"/>
        <v>0</v>
      </c>
      <c r="DE378" t="str">
        <f t="shared" si="306"/>
        <v>G684</v>
      </c>
      <c r="DF378" t="str">
        <f t="shared" si="293"/>
        <v>R485</v>
      </c>
      <c r="DG378" t="b">
        <f t="shared" si="307"/>
        <v>0</v>
      </c>
      <c r="DH378" t="str">
        <f t="shared" si="308"/>
        <v>R485</v>
      </c>
    </row>
    <row r="379" spans="2:112" ht="12" customHeight="1">
      <c r="B379" t="str">
        <f>TBIDry!H451</f>
        <v>G65</v>
      </c>
      <c r="C379" t="str">
        <f>TBIDry!I451</f>
        <v>R84</v>
      </c>
      <c r="D379" t="b">
        <f t="shared" si="260"/>
        <v>0</v>
      </c>
      <c r="E379" t="b">
        <f t="shared" si="261"/>
        <v>0</v>
      </c>
      <c r="G379" t="str">
        <f>TBIWet!H451</f>
        <v>G667</v>
      </c>
      <c r="H379" t="str">
        <f>TBIWet!I451</f>
        <v>R464</v>
      </c>
      <c r="I379" t="b">
        <f t="shared" si="262"/>
        <v>0</v>
      </c>
      <c r="J379" t="b">
        <f t="shared" si="263"/>
        <v>0</v>
      </c>
      <c r="L379" t="str">
        <f>'Both teabags AfterWet'!A377</f>
        <v>G846</v>
      </c>
      <c r="M379" t="str">
        <f>'Both teabags AfterWet'!A797</f>
        <v>R585</v>
      </c>
      <c r="N379" t="b">
        <f t="shared" si="264"/>
        <v>0</v>
      </c>
      <c r="O379" t="b">
        <f t="shared" si="309"/>
        <v>0</v>
      </c>
      <c r="Q379" s="395" t="b">
        <f t="shared" si="265"/>
        <v>0</v>
      </c>
      <c r="R379" s="395" t="b">
        <f t="shared" si="266"/>
        <v>0</v>
      </c>
      <c r="Y379" t="str">
        <f>'Green_rooibos initial weight'!A380</f>
        <v>G376</v>
      </c>
      <c r="Z379" t="str">
        <f>'Green_rooibos initial weight'!A1284</f>
        <v>R376</v>
      </c>
      <c r="AA379" t="b">
        <f t="shared" si="268"/>
        <v>0</v>
      </c>
      <c r="AB379" t="b">
        <f t="shared" si="269"/>
        <v>0</v>
      </c>
      <c r="AE379" t="str">
        <f>'WetLitterbags placem_collection'!O158</f>
        <v>G667</v>
      </c>
      <c r="AF379" t="str">
        <f>'WetLitterbags placem_collection'!Q158</f>
        <v>R464</v>
      </c>
      <c r="AG379" t="b">
        <f t="shared" si="270"/>
        <v>0</v>
      </c>
      <c r="AH379" t="b">
        <f t="shared" si="271"/>
        <v>0</v>
      </c>
      <c r="AJ379" t="b">
        <f t="shared" si="272"/>
        <v>0</v>
      </c>
      <c r="AK379" t="b">
        <f t="shared" si="273"/>
        <v>0</v>
      </c>
      <c r="AM379" t="str">
        <f>IF(ISBLANK('Dry_Litterbag Placem_Collection'!L158),"","G"&amp;""&amp;'Dry_Litterbag Placem_Collection'!L158)</f>
        <v>G65</v>
      </c>
      <c r="AN379" t="str">
        <f>IF(ISBLANK('Dry_Litterbag Placem_Collection'!M158),"","R"&amp;""&amp;'Dry_Litterbag Placem_Collection'!M158)</f>
        <v>R84</v>
      </c>
      <c r="AO379" t="b">
        <f t="shared" si="274"/>
        <v>0</v>
      </c>
      <c r="AP379" t="b">
        <f t="shared" si="275"/>
        <v>0</v>
      </c>
      <c r="AX379" s="395" t="b">
        <f t="shared" si="277"/>
        <v>0</v>
      </c>
      <c r="AY379" s="395" t="b">
        <f t="shared" si="278"/>
        <v>0</v>
      </c>
      <c r="BA379" t="str">
        <f>'Ashed teabags wet'!A377</f>
        <v>G846</v>
      </c>
      <c r="BB379" t="str">
        <f>'Ashed teabags wet'!A797</f>
        <v>R585</v>
      </c>
      <c r="BC379" t="b">
        <f t="shared" si="279"/>
        <v>0</v>
      </c>
      <c r="BD379" t="b">
        <f t="shared" si="259"/>
        <v>0</v>
      </c>
      <c r="BH379" t="str">
        <f t="shared" si="281"/>
        <v>G289</v>
      </c>
      <c r="BI379" t="str">
        <f t="shared" si="295"/>
        <v>G289</v>
      </c>
      <c r="BP379" t="str">
        <f t="shared" si="283"/>
        <v>R617</v>
      </c>
      <c r="BQ379" t="str">
        <f t="shared" si="284"/>
        <v>R617</v>
      </c>
      <c r="BZ379" t="str">
        <f t="shared" si="285"/>
        <v>G289</v>
      </c>
      <c r="CA379" t="b">
        <f t="shared" si="286"/>
        <v>0</v>
      </c>
      <c r="CB379" t="str">
        <f t="shared" si="298"/>
        <v>G289</v>
      </c>
      <c r="CC379" t="str">
        <f t="shared" si="287"/>
        <v>R617</v>
      </c>
      <c r="CD379" t="b">
        <f t="shared" si="299"/>
        <v>0</v>
      </c>
      <c r="CE379" t="str">
        <f t="shared" si="300"/>
        <v>R617</v>
      </c>
      <c r="CG379" t="str">
        <f t="shared" si="288"/>
        <v>G845</v>
      </c>
      <c r="CH379" t="str">
        <f t="shared" si="301"/>
        <v>G845</v>
      </c>
      <c r="CI379" t="str">
        <f>AE378</f>
        <v>G827</v>
      </c>
      <c r="CJ379" t="str">
        <f t="shared" si="289"/>
        <v>G827</v>
      </c>
      <c r="CK379" t="s">
        <v>1205</v>
      </c>
      <c r="CL379" t="s">
        <v>1205</v>
      </c>
      <c r="CM379" t="s">
        <v>1205</v>
      </c>
      <c r="CN379" t="b">
        <f t="shared" si="302"/>
        <v>1</v>
      </c>
      <c r="CO379" t="str">
        <f t="shared" si="290"/>
        <v>R584</v>
      </c>
      <c r="CP379" t="str">
        <f t="shared" si="303"/>
        <v>R584</v>
      </c>
      <c r="CQ379" t="str">
        <f>AF378</f>
        <v>R556</v>
      </c>
      <c r="CR379" t="str">
        <f t="shared" si="291"/>
        <v>R556</v>
      </c>
      <c r="CS379" t="s">
        <v>557</v>
      </c>
      <c r="CT379" t="s">
        <v>557</v>
      </c>
      <c r="CU379" t="s">
        <v>557</v>
      </c>
      <c r="CV379" t="b">
        <f t="shared" si="304"/>
        <v>1</v>
      </c>
      <c r="DC379" t="str">
        <f t="shared" si="292"/>
        <v>G827</v>
      </c>
      <c r="DD379" t="b">
        <f t="shared" si="305"/>
        <v>0</v>
      </c>
      <c r="DE379" t="str">
        <f t="shared" si="306"/>
        <v>G827</v>
      </c>
      <c r="DF379" t="str">
        <f t="shared" si="293"/>
        <v>R556</v>
      </c>
      <c r="DG379" t="b">
        <f t="shared" si="307"/>
        <v>0</v>
      </c>
      <c r="DH379" t="str">
        <f t="shared" si="308"/>
        <v>R556</v>
      </c>
    </row>
    <row r="380" spans="2:112" ht="12" customHeight="1">
      <c r="B380" t="str">
        <f>TBIDry!H452</f>
        <v>G33</v>
      </c>
      <c r="C380" t="str">
        <f>TBIDry!I452</f>
        <v>R248</v>
      </c>
      <c r="D380" t="b">
        <f t="shared" si="260"/>
        <v>0</v>
      </c>
      <c r="E380" t="b">
        <f t="shared" si="261"/>
        <v>0</v>
      </c>
      <c r="G380" t="str">
        <f>TBIWet!H452</f>
        <v>G777</v>
      </c>
      <c r="H380" t="str">
        <f>TBIWet!I452</f>
        <v>R35</v>
      </c>
      <c r="I380" t="b">
        <f t="shared" si="262"/>
        <v>0</v>
      </c>
      <c r="J380" t="b">
        <f t="shared" si="263"/>
        <v>0</v>
      </c>
      <c r="L380" t="str">
        <f>'Both teabags AfterWet'!A378</f>
        <v>G847</v>
      </c>
      <c r="M380" t="str">
        <f>'Both teabags AfterWet'!A798</f>
        <v>R587</v>
      </c>
      <c r="N380" t="b">
        <f t="shared" si="264"/>
        <v>0</v>
      </c>
      <c r="O380" t="b">
        <f t="shared" si="309"/>
        <v>0</v>
      </c>
      <c r="Q380" s="395" t="b">
        <f t="shared" si="265"/>
        <v>0</v>
      </c>
      <c r="R380" s="395" t="b">
        <f t="shared" si="266"/>
        <v>0</v>
      </c>
      <c r="Y380" t="str">
        <f>'Green_rooibos initial weight'!A381</f>
        <v>G377</v>
      </c>
      <c r="Z380" t="str">
        <f>'Green_rooibos initial weight'!A1285</f>
        <v>R377</v>
      </c>
      <c r="AA380" t="b">
        <f t="shared" si="268"/>
        <v>0</v>
      </c>
      <c r="AB380" t="b">
        <f t="shared" si="269"/>
        <v>0</v>
      </c>
      <c r="AE380" t="str">
        <f>'WetLitterbags placem_collection'!O159</f>
        <v>G777</v>
      </c>
      <c r="AF380" t="str">
        <f>'WetLitterbags placem_collection'!Q159</f>
        <v>R35</v>
      </c>
      <c r="AG380" t="b">
        <f t="shared" si="270"/>
        <v>0</v>
      </c>
      <c r="AH380" t="b">
        <f t="shared" si="271"/>
        <v>0</v>
      </c>
      <c r="AJ380" t="b">
        <f t="shared" si="272"/>
        <v>0</v>
      </c>
      <c r="AK380" t="b">
        <f t="shared" si="273"/>
        <v>0</v>
      </c>
      <c r="AM380" t="str">
        <f>IF(ISBLANK('Dry_Litterbag Placem_Collection'!L159),"","G"&amp;""&amp;'Dry_Litterbag Placem_Collection'!L159)</f>
        <v>G33</v>
      </c>
      <c r="AN380" t="str">
        <f>IF(ISBLANK('Dry_Litterbag Placem_Collection'!M159),"","R"&amp;""&amp;'Dry_Litterbag Placem_Collection'!M159)</f>
        <v>R248</v>
      </c>
      <c r="AO380" t="b">
        <f t="shared" si="274"/>
        <v>0</v>
      </c>
      <c r="AP380" t="b">
        <f t="shared" si="275"/>
        <v>0</v>
      </c>
      <c r="AX380" s="395" t="b">
        <f t="shared" si="277"/>
        <v>0</v>
      </c>
      <c r="AY380" s="395" t="b">
        <f t="shared" si="278"/>
        <v>0</v>
      </c>
      <c r="BA380" t="str">
        <f>'Ashed teabags wet'!A378</f>
        <v>G847</v>
      </c>
      <c r="BB380" t="str">
        <f>'Ashed teabags wet'!A798</f>
        <v>R587</v>
      </c>
      <c r="BC380" t="b">
        <f t="shared" si="279"/>
        <v>0</v>
      </c>
      <c r="BD380" t="b">
        <f t="shared" si="259"/>
        <v>0</v>
      </c>
      <c r="BH380" t="str">
        <f t="shared" si="281"/>
        <v>G65</v>
      </c>
      <c r="BI380" t="str">
        <f t="shared" si="295"/>
        <v>G65</v>
      </c>
      <c r="BP380" t="str">
        <f t="shared" si="283"/>
        <v>R84</v>
      </c>
      <c r="BQ380" t="str">
        <f t="shared" si="284"/>
        <v>R84</v>
      </c>
      <c r="BZ380" t="str">
        <f t="shared" si="285"/>
        <v>G65</v>
      </c>
      <c r="CA380" t="b">
        <f t="shared" si="286"/>
        <v>0</v>
      </c>
      <c r="CB380" t="str">
        <f t="shared" si="298"/>
        <v>G65</v>
      </c>
      <c r="CC380" t="str">
        <f t="shared" si="287"/>
        <v>R84</v>
      </c>
      <c r="CD380" t="b">
        <f t="shared" si="299"/>
        <v>0</v>
      </c>
      <c r="CE380" t="str">
        <f t="shared" si="300"/>
        <v>R84</v>
      </c>
      <c r="CG380" t="str">
        <f t="shared" si="288"/>
        <v>G846</v>
      </c>
      <c r="CH380" t="str">
        <f t="shared" si="301"/>
        <v>G846</v>
      </c>
      <c r="CI380" t="str">
        <f>AE379</f>
        <v>G667</v>
      </c>
      <c r="CJ380" t="str">
        <f t="shared" si="289"/>
        <v>G667</v>
      </c>
      <c r="CK380" t="s">
        <v>1204</v>
      </c>
      <c r="CL380" t="s">
        <v>1204</v>
      </c>
      <c r="CM380" t="s">
        <v>1204</v>
      </c>
      <c r="CN380" t="b">
        <f t="shared" si="302"/>
        <v>1</v>
      </c>
      <c r="CO380" t="str">
        <f t="shared" si="290"/>
        <v>R585</v>
      </c>
      <c r="CP380" t="str">
        <f t="shared" si="303"/>
        <v>R585</v>
      </c>
      <c r="CQ380" t="str">
        <f>AF379</f>
        <v>R464</v>
      </c>
      <c r="CR380" t="str">
        <f t="shared" si="291"/>
        <v>R464</v>
      </c>
      <c r="CS380" t="s">
        <v>556</v>
      </c>
      <c r="CT380" t="s">
        <v>556</v>
      </c>
      <c r="CU380" t="s">
        <v>556</v>
      </c>
      <c r="CV380" t="b">
        <f t="shared" si="304"/>
        <v>1</v>
      </c>
      <c r="DC380" t="str">
        <f t="shared" si="292"/>
        <v>G667</v>
      </c>
      <c r="DD380" t="b">
        <f t="shared" si="305"/>
        <v>0</v>
      </c>
      <c r="DE380" t="str">
        <f t="shared" si="306"/>
        <v>G667</v>
      </c>
      <c r="DF380" t="str">
        <f t="shared" si="293"/>
        <v>R464</v>
      </c>
      <c r="DG380" t="b">
        <f t="shared" si="307"/>
        <v>0</v>
      </c>
      <c r="DH380" t="str">
        <f t="shared" si="308"/>
        <v>R464</v>
      </c>
    </row>
    <row r="381" spans="2:112" ht="12" customHeight="1">
      <c r="B381" t="str">
        <f>TBIDry!H453</f>
        <v>G153</v>
      </c>
      <c r="C381" t="str">
        <f>TBIDry!I453</f>
        <v>R238</v>
      </c>
      <c r="D381" t="b">
        <f t="shared" si="260"/>
        <v>0</v>
      </c>
      <c r="E381" t="b">
        <f t="shared" si="261"/>
        <v>0</v>
      </c>
      <c r="G381" t="str">
        <f>TBIWet!H453</f>
        <v>G884</v>
      </c>
      <c r="H381" t="str">
        <f>TBIWet!I453</f>
        <v>R570</v>
      </c>
      <c r="I381" t="b">
        <f t="shared" si="262"/>
        <v>0</v>
      </c>
      <c r="J381" t="b">
        <f t="shared" si="263"/>
        <v>0</v>
      </c>
      <c r="L381" t="str">
        <f>'Both teabags AfterWet'!A379</f>
        <v>G849</v>
      </c>
      <c r="M381" t="str">
        <f>'Both teabags AfterWet'!A799</f>
        <v>R588</v>
      </c>
      <c r="N381" t="b">
        <f t="shared" si="264"/>
        <v>0</v>
      </c>
      <c r="O381" t="b">
        <f t="shared" si="309"/>
        <v>0</v>
      </c>
      <c r="Q381" s="395" t="b">
        <f t="shared" si="265"/>
        <v>0</v>
      </c>
      <c r="R381" s="395" t="b">
        <f t="shared" si="266"/>
        <v>0</v>
      </c>
      <c r="Y381" t="str">
        <f>'Green_rooibos initial weight'!A382</f>
        <v>G378</v>
      </c>
      <c r="Z381" t="str">
        <f>'Green_rooibos initial weight'!A1286</f>
        <v>R378</v>
      </c>
      <c r="AA381" t="b">
        <f t="shared" si="268"/>
        <v>0</v>
      </c>
      <c r="AB381" t="b">
        <f t="shared" si="269"/>
        <v>0</v>
      </c>
      <c r="AE381" t="str">
        <f>'WetLitterbags placem_collection'!O160</f>
        <v>G884</v>
      </c>
      <c r="AF381" t="str">
        <f>'WetLitterbags placem_collection'!Q160</f>
        <v>R570</v>
      </c>
      <c r="AG381" t="b">
        <f t="shared" si="270"/>
        <v>0</v>
      </c>
      <c r="AH381" t="b">
        <f t="shared" si="271"/>
        <v>0</v>
      </c>
      <c r="AJ381" t="b">
        <f t="shared" si="272"/>
        <v>0</v>
      </c>
      <c r="AK381" t="b">
        <f t="shared" si="273"/>
        <v>0</v>
      </c>
      <c r="AM381" t="str">
        <f>IF(ISBLANK('Dry_Litterbag Placem_Collection'!L160),"","G"&amp;""&amp;'Dry_Litterbag Placem_Collection'!L160)</f>
        <v>G153</v>
      </c>
      <c r="AN381" t="str">
        <f>IF(ISBLANK('Dry_Litterbag Placem_Collection'!M160),"","R"&amp;""&amp;'Dry_Litterbag Placem_Collection'!M160)</f>
        <v>R238</v>
      </c>
      <c r="AO381" t="b">
        <f t="shared" si="274"/>
        <v>0</v>
      </c>
      <c r="AP381" t="b">
        <f t="shared" si="275"/>
        <v>0</v>
      </c>
      <c r="AX381" s="395" t="b">
        <f t="shared" si="277"/>
        <v>0</v>
      </c>
      <c r="AY381" s="395" t="b">
        <f t="shared" si="278"/>
        <v>0</v>
      </c>
      <c r="BA381" t="str">
        <f>'Ashed teabags wet'!A379</f>
        <v>G849</v>
      </c>
      <c r="BB381" t="str">
        <f>'Ashed teabags wet'!A799</f>
        <v>R588</v>
      </c>
      <c r="BC381" t="b">
        <f t="shared" si="279"/>
        <v>0</v>
      </c>
      <c r="BD381" t="b">
        <f t="shared" si="259"/>
        <v>0</v>
      </c>
      <c r="BH381" t="str">
        <f t="shared" si="281"/>
        <v>G33</v>
      </c>
      <c r="BI381" t="str">
        <f t="shared" si="295"/>
        <v/>
      </c>
      <c r="BP381" t="str">
        <f t="shared" si="283"/>
        <v>R248</v>
      </c>
      <c r="BQ381" t="str">
        <f t="shared" si="284"/>
        <v/>
      </c>
      <c r="BZ381" t="str">
        <f t="shared" si="285"/>
        <v>G33</v>
      </c>
      <c r="CA381" t="b">
        <f t="shared" si="286"/>
        <v>1</v>
      </c>
      <c r="CB381" t="str">
        <f t="shared" si="298"/>
        <v/>
      </c>
      <c r="CC381" t="str">
        <f t="shared" si="287"/>
        <v>R248</v>
      </c>
      <c r="CD381" t="b">
        <f t="shared" si="299"/>
        <v>1</v>
      </c>
      <c r="CE381" t="str">
        <f t="shared" si="300"/>
        <v/>
      </c>
      <c r="CG381" t="str">
        <f t="shared" si="288"/>
        <v>G847</v>
      </c>
      <c r="CH381" t="str">
        <f t="shared" si="301"/>
        <v>G847</v>
      </c>
      <c r="CI381" t="str">
        <f>AE380</f>
        <v>G777</v>
      </c>
      <c r="CJ381" t="str">
        <f t="shared" si="289"/>
        <v>G777</v>
      </c>
      <c r="CK381" t="s">
        <v>1203</v>
      </c>
      <c r="CL381" t="s">
        <v>1203</v>
      </c>
      <c r="CM381" t="s">
        <v>1203</v>
      </c>
      <c r="CN381" t="b">
        <f t="shared" si="302"/>
        <v>1</v>
      </c>
      <c r="CO381" t="str">
        <f t="shared" si="290"/>
        <v>R587</v>
      </c>
      <c r="CP381" t="str">
        <f t="shared" si="303"/>
        <v>R587</v>
      </c>
      <c r="CQ381" t="str">
        <f>AF380</f>
        <v>R35</v>
      </c>
      <c r="CR381" t="str">
        <f t="shared" si="291"/>
        <v>R35</v>
      </c>
      <c r="CS381" t="s">
        <v>554</v>
      </c>
      <c r="CT381" t="s">
        <v>554</v>
      </c>
      <c r="CU381" t="s">
        <v>554</v>
      </c>
      <c r="CV381" t="b">
        <f t="shared" si="304"/>
        <v>1</v>
      </c>
      <c r="DC381" t="str">
        <f t="shared" si="292"/>
        <v>G777</v>
      </c>
      <c r="DD381" t="b">
        <f t="shared" si="305"/>
        <v>0</v>
      </c>
      <c r="DE381" t="str">
        <f t="shared" si="306"/>
        <v>G777</v>
      </c>
      <c r="DF381" t="str">
        <f t="shared" si="293"/>
        <v>R35</v>
      </c>
      <c r="DG381" t="b">
        <f t="shared" si="307"/>
        <v>0</v>
      </c>
      <c r="DH381" t="str">
        <f t="shared" si="308"/>
        <v>R35</v>
      </c>
    </row>
    <row r="382" spans="2:112" ht="12" customHeight="1">
      <c r="B382" t="str">
        <f>TBIDry!H454</f>
        <v/>
      </c>
      <c r="C382" t="str">
        <f>TBIDry!I454</f>
        <v/>
      </c>
      <c r="D382" t="b">
        <f t="shared" si="260"/>
        <v>1</v>
      </c>
      <c r="E382" t="b">
        <f t="shared" si="261"/>
        <v>1</v>
      </c>
      <c r="G382" t="str">
        <f>TBIWet!H454</f>
        <v>G731</v>
      </c>
      <c r="H382" t="str">
        <f>TBIWet!I454</f>
        <v>R439</v>
      </c>
      <c r="I382" t="b">
        <f t="shared" si="262"/>
        <v>0</v>
      </c>
      <c r="J382" t="b">
        <f t="shared" si="263"/>
        <v>0</v>
      </c>
      <c r="L382" t="str">
        <f>'Both teabags AfterWet'!A380</f>
        <v>G850</v>
      </c>
      <c r="M382" t="str">
        <f>'Both teabags AfterWet'!A800</f>
        <v>R589</v>
      </c>
      <c r="N382" t="b">
        <f t="shared" si="264"/>
        <v>0</v>
      </c>
      <c r="O382" t="b">
        <f t="shared" si="309"/>
        <v>0</v>
      </c>
      <c r="Q382" s="395" t="b">
        <f t="shared" si="265"/>
        <v>0</v>
      </c>
      <c r="R382" s="395" t="b">
        <f t="shared" si="266"/>
        <v>0</v>
      </c>
      <c r="Y382" t="str">
        <f>'Green_rooibos initial weight'!A383</f>
        <v>G379</v>
      </c>
      <c r="Z382" t="str">
        <f>'Green_rooibos initial weight'!A1287</f>
        <v>R379</v>
      </c>
      <c r="AA382" t="b">
        <f t="shared" si="268"/>
        <v>0</v>
      </c>
      <c r="AB382" t="b">
        <f t="shared" si="269"/>
        <v>0</v>
      </c>
      <c r="AE382" t="str">
        <f>'WetLitterbags placem_collection'!O161</f>
        <v>G731</v>
      </c>
      <c r="AF382" t="str">
        <f>'WetLitterbags placem_collection'!Q161</f>
        <v>R439</v>
      </c>
      <c r="AG382" t="b">
        <f t="shared" si="270"/>
        <v>0</v>
      </c>
      <c r="AH382" t="b">
        <f t="shared" si="271"/>
        <v>0</v>
      </c>
      <c r="AJ382" t="b">
        <f t="shared" si="272"/>
        <v>0</v>
      </c>
      <c r="AK382" t="b">
        <f t="shared" si="273"/>
        <v>0</v>
      </c>
      <c r="AM382" t="str">
        <f>IF(ISBLANK('Dry_Litterbag Placem_Collection'!L161),"","G"&amp;""&amp;'Dry_Litterbag Placem_Collection'!L161)</f>
        <v/>
      </c>
      <c r="AN382" t="str">
        <f>IF(ISBLANK('Dry_Litterbag Placem_Collection'!M161),"","R"&amp;""&amp;'Dry_Litterbag Placem_Collection'!M161)</f>
        <v/>
      </c>
      <c r="AO382" t="b">
        <f t="shared" si="274"/>
        <v>1</v>
      </c>
      <c r="AP382" t="b">
        <f t="shared" si="275"/>
        <v>1</v>
      </c>
      <c r="AX382" s="395" t="b">
        <f t="shared" si="277"/>
        <v>0</v>
      </c>
      <c r="AY382" s="395" t="b">
        <f t="shared" si="278"/>
        <v>0</v>
      </c>
      <c r="BA382" t="str">
        <f>'Ashed teabags wet'!A380</f>
        <v>G850</v>
      </c>
      <c r="BB382" t="str">
        <f>'Ashed teabags wet'!A800</f>
        <v>R589</v>
      </c>
      <c r="BC382" t="b">
        <f t="shared" si="279"/>
        <v>0</v>
      </c>
      <c r="BD382" t="b">
        <f t="shared" si="259"/>
        <v>0</v>
      </c>
      <c r="BH382" t="str">
        <f t="shared" si="281"/>
        <v>G153</v>
      </c>
      <c r="BI382" t="str">
        <f t="shared" si="295"/>
        <v>G153</v>
      </c>
      <c r="BP382" t="str">
        <f t="shared" si="283"/>
        <v>R238</v>
      </c>
      <c r="BQ382" t="str">
        <f t="shared" si="284"/>
        <v>R238</v>
      </c>
      <c r="BZ382" t="str">
        <f t="shared" si="285"/>
        <v>G153</v>
      </c>
      <c r="CA382" t="b">
        <f t="shared" si="286"/>
        <v>0</v>
      </c>
      <c r="CB382" t="str">
        <f t="shared" si="298"/>
        <v>G153</v>
      </c>
      <c r="CC382" t="str">
        <f t="shared" si="287"/>
        <v>R238</v>
      </c>
      <c r="CD382" t="b">
        <f t="shared" si="299"/>
        <v>0</v>
      </c>
      <c r="CE382" t="str">
        <f t="shared" si="300"/>
        <v>R238</v>
      </c>
      <c r="CG382" t="str">
        <f t="shared" si="288"/>
        <v>G849</v>
      </c>
      <c r="CH382" t="str">
        <f t="shared" si="301"/>
        <v>G849</v>
      </c>
      <c r="CI382" t="str">
        <f>AE381</f>
        <v>G884</v>
      </c>
      <c r="CJ382" t="str">
        <f t="shared" si="289"/>
        <v>G884</v>
      </c>
      <c r="CK382" t="s">
        <v>1201</v>
      </c>
      <c r="CL382" t="s">
        <v>1201</v>
      </c>
      <c r="CM382" t="s">
        <v>1201</v>
      </c>
      <c r="CN382" t="b">
        <f t="shared" si="302"/>
        <v>1</v>
      </c>
      <c r="CO382" t="str">
        <f t="shared" si="290"/>
        <v>R588</v>
      </c>
      <c r="CP382" t="str">
        <f t="shared" si="303"/>
        <v>R588</v>
      </c>
      <c r="CQ382" t="str">
        <f>AF381</f>
        <v>R570</v>
      </c>
      <c r="CR382" t="str">
        <f t="shared" si="291"/>
        <v>R570</v>
      </c>
      <c r="CS382" t="s">
        <v>553</v>
      </c>
      <c r="CT382" t="s">
        <v>553</v>
      </c>
      <c r="CU382" t="s">
        <v>553</v>
      </c>
      <c r="CV382" t="b">
        <f t="shared" si="304"/>
        <v>1</v>
      </c>
      <c r="DC382" t="str">
        <f t="shared" si="292"/>
        <v>G884</v>
      </c>
      <c r="DD382" t="b">
        <f t="shared" si="305"/>
        <v>0</v>
      </c>
      <c r="DE382" t="str">
        <f t="shared" si="306"/>
        <v>G884</v>
      </c>
      <c r="DF382" t="str">
        <f t="shared" si="293"/>
        <v>R570</v>
      </c>
      <c r="DG382" t="b">
        <f t="shared" si="307"/>
        <v>0</v>
      </c>
      <c r="DH382" t="str">
        <f t="shared" si="308"/>
        <v>R570</v>
      </c>
    </row>
    <row r="383" spans="2:112" ht="12" customHeight="1">
      <c r="B383" t="str">
        <f>TBIDry!H455</f>
        <v>G175</v>
      </c>
      <c r="C383" t="str">
        <f>TBIDry!I455</f>
        <v>R350</v>
      </c>
      <c r="D383" t="b">
        <f t="shared" si="260"/>
        <v>0</v>
      </c>
      <c r="E383" t="b">
        <f t="shared" si="261"/>
        <v>0</v>
      </c>
      <c r="G383" t="str">
        <f>TBIWet!H455</f>
        <v>G876</v>
      </c>
      <c r="H383" t="str">
        <f>TBIWet!I455</f>
        <v>R461</v>
      </c>
      <c r="I383" t="b">
        <f t="shared" si="262"/>
        <v>0</v>
      </c>
      <c r="J383" t="b">
        <f t="shared" si="263"/>
        <v>0</v>
      </c>
      <c r="L383" t="str">
        <f>'Both teabags AfterWet'!A381</f>
        <v>G852</v>
      </c>
      <c r="M383" t="str">
        <f>'Both teabags AfterWet'!A801</f>
        <v>R59</v>
      </c>
      <c r="N383" t="b">
        <f t="shared" si="264"/>
        <v>0</v>
      </c>
      <c r="O383" t="b">
        <f t="shared" si="309"/>
        <v>0</v>
      </c>
      <c r="Q383" s="395" t="b">
        <f t="shared" si="265"/>
        <v>0</v>
      </c>
      <c r="R383" s="395" t="b">
        <f t="shared" si="266"/>
        <v>0</v>
      </c>
      <c r="Y383" t="str">
        <f>'Green_rooibos initial weight'!A384</f>
        <v>G380</v>
      </c>
      <c r="Z383" t="str">
        <f>'Green_rooibos initial weight'!A1288</f>
        <v>R380</v>
      </c>
      <c r="AA383" t="b">
        <f t="shared" si="268"/>
        <v>0</v>
      </c>
      <c r="AB383" t="b">
        <f t="shared" si="269"/>
        <v>0</v>
      </c>
      <c r="AE383" t="str">
        <f>'WetLitterbags placem_collection'!O162</f>
        <v>G876</v>
      </c>
      <c r="AF383" t="str">
        <f>'WetLitterbags placem_collection'!Q162</f>
        <v>R461</v>
      </c>
      <c r="AG383" t="b">
        <f t="shared" si="270"/>
        <v>0</v>
      </c>
      <c r="AH383" t="b">
        <f t="shared" si="271"/>
        <v>0</v>
      </c>
      <c r="AJ383" t="b">
        <f t="shared" si="272"/>
        <v>0</v>
      </c>
      <c r="AK383" t="b">
        <f t="shared" si="273"/>
        <v>0</v>
      </c>
      <c r="AM383" t="str">
        <f>IF(ISBLANK('Dry_Litterbag Placem_Collection'!L162),"","G"&amp;""&amp;'Dry_Litterbag Placem_Collection'!L162)</f>
        <v>G175</v>
      </c>
      <c r="AN383" t="str">
        <f>IF(ISBLANK('Dry_Litterbag Placem_Collection'!M162),"","R"&amp;""&amp;'Dry_Litterbag Placem_Collection'!M162)</f>
        <v>R350</v>
      </c>
      <c r="AO383" t="b">
        <f t="shared" si="274"/>
        <v>0</v>
      </c>
      <c r="AP383" t="b">
        <f t="shared" si="275"/>
        <v>0</v>
      </c>
      <c r="AX383" s="395" t="b">
        <f t="shared" si="277"/>
        <v>0</v>
      </c>
      <c r="AY383" s="395" t="b">
        <f t="shared" si="278"/>
        <v>0</v>
      </c>
      <c r="BA383" t="str">
        <f>'Ashed teabags wet'!A381</f>
        <v>G852</v>
      </c>
      <c r="BB383" t="str">
        <f>'Ashed teabags wet'!A801</f>
        <v>R59</v>
      </c>
      <c r="BC383" t="b">
        <f t="shared" si="279"/>
        <v>0</v>
      </c>
      <c r="BD383" t="b">
        <f t="shared" si="259"/>
        <v>0</v>
      </c>
      <c r="BH383" t="str">
        <f t="shared" si="281"/>
        <v/>
      </c>
      <c r="BI383" t="str">
        <f t="shared" si="295"/>
        <v/>
      </c>
      <c r="BP383" t="str">
        <f t="shared" si="283"/>
        <v/>
      </c>
      <c r="BQ383" t="str">
        <f t="shared" si="284"/>
        <v/>
      </c>
      <c r="BZ383" t="str">
        <f t="shared" si="285"/>
        <v/>
      </c>
      <c r="CA383" t="b">
        <f t="shared" si="286"/>
        <v>0</v>
      </c>
      <c r="CB383" t="str">
        <f t="shared" si="298"/>
        <v/>
      </c>
      <c r="CC383" t="str">
        <f t="shared" si="287"/>
        <v/>
      </c>
      <c r="CD383" t="b">
        <f t="shared" si="299"/>
        <v>0</v>
      </c>
      <c r="CE383" t="str">
        <f t="shared" si="300"/>
        <v/>
      </c>
      <c r="CG383" t="str">
        <f t="shared" si="288"/>
        <v>G850</v>
      </c>
      <c r="CH383" t="str">
        <f t="shared" si="301"/>
        <v>G850</v>
      </c>
      <c r="CI383" t="str">
        <f>AE382</f>
        <v>G731</v>
      </c>
      <c r="CJ383" t="str">
        <f t="shared" si="289"/>
        <v/>
      </c>
      <c r="CK383" t="s">
        <v>1200</v>
      </c>
      <c r="CL383" t="s">
        <v>1200</v>
      </c>
      <c r="CM383" t="s">
        <v>1200</v>
      </c>
      <c r="CN383" t="b">
        <f t="shared" si="302"/>
        <v>1</v>
      </c>
      <c r="CO383" t="str">
        <f t="shared" si="290"/>
        <v>R589</v>
      </c>
      <c r="CP383" t="str">
        <f t="shared" si="303"/>
        <v>R589</v>
      </c>
      <c r="CQ383" t="str">
        <f>AF382</f>
        <v>R439</v>
      </c>
      <c r="CR383" t="str">
        <f t="shared" si="291"/>
        <v/>
      </c>
      <c r="CS383" t="s">
        <v>552</v>
      </c>
      <c r="CT383" t="s">
        <v>552</v>
      </c>
      <c r="CU383" t="s">
        <v>552</v>
      </c>
      <c r="CV383" t="b">
        <f t="shared" si="304"/>
        <v>1</v>
      </c>
      <c r="DC383" t="str">
        <f t="shared" si="292"/>
        <v>G731</v>
      </c>
      <c r="DD383" t="b">
        <f t="shared" si="305"/>
        <v>1</v>
      </c>
      <c r="DE383" t="str">
        <f t="shared" si="306"/>
        <v/>
      </c>
      <c r="DF383" t="str">
        <f t="shared" si="293"/>
        <v>R439</v>
      </c>
      <c r="DG383" t="b">
        <f t="shared" si="307"/>
        <v>1</v>
      </c>
      <c r="DH383" t="str">
        <f t="shared" si="308"/>
        <v/>
      </c>
    </row>
    <row r="384" spans="2:112" ht="12" customHeight="1">
      <c r="B384" t="str">
        <f>TBIDry!H456</f>
        <v>G207</v>
      </c>
      <c r="C384" t="str">
        <f>TBIDry!I456</f>
        <v>R314</v>
      </c>
      <c r="D384" t="b">
        <f t="shared" si="260"/>
        <v>0</v>
      </c>
      <c r="E384" t="b">
        <f t="shared" si="261"/>
        <v>0</v>
      </c>
      <c r="G384" t="str">
        <f>TBIWet!H456</f>
        <v>G351</v>
      </c>
      <c r="H384" t="str">
        <f>TBIWet!I456</f>
        <v>R253</v>
      </c>
      <c r="I384" t="b">
        <f t="shared" si="262"/>
        <v>0</v>
      </c>
      <c r="J384" t="b">
        <f t="shared" si="263"/>
        <v>0</v>
      </c>
      <c r="L384" t="str">
        <f>'Both teabags AfterWet'!A382</f>
        <v>G853</v>
      </c>
      <c r="M384" t="str">
        <f>'Both teabags AfterWet'!A802</f>
        <v>R590</v>
      </c>
      <c r="N384" t="b">
        <f t="shared" si="264"/>
        <v>0</v>
      </c>
      <c r="O384" t="b">
        <f t="shared" si="309"/>
        <v>0</v>
      </c>
      <c r="Q384" s="395" t="b">
        <f t="shared" si="265"/>
        <v>0</v>
      </c>
      <c r="R384" s="395" t="b">
        <f t="shared" si="266"/>
        <v>0</v>
      </c>
      <c r="Y384" t="str">
        <f>'Green_rooibos initial weight'!A385</f>
        <v>G381</v>
      </c>
      <c r="Z384" t="str">
        <f>'Green_rooibos initial weight'!A1289</f>
        <v>R381</v>
      </c>
      <c r="AA384" t="b">
        <f t="shared" si="268"/>
        <v>0</v>
      </c>
      <c r="AB384" t="b">
        <f t="shared" si="269"/>
        <v>0</v>
      </c>
      <c r="AE384" t="str">
        <f>'WetLitterbags placem_collection'!O163</f>
        <v>G351</v>
      </c>
      <c r="AF384" t="str">
        <f>'WetLitterbags placem_collection'!Q163</f>
        <v>R253</v>
      </c>
      <c r="AG384" t="b">
        <f t="shared" si="270"/>
        <v>0</v>
      </c>
      <c r="AH384" t="b">
        <f t="shared" si="271"/>
        <v>0</v>
      </c>
      <c r="AJ384" t="b">
        <f t="shared" si="272"/>
        <v>0</v>
      </c>
      <c r="AK384" t="b">
        <f t="shared" si="273"/>
        <v>0</v>
      </c>
      <c r="AM384" t="str">
        <f>IF(ISBLANK('Dry_Litterbag Placem_Collection'!L163),"","G"&amp;""&amp;'Dry_Litterbag Placem_Collection'!L163)</f>
        <v>G207</v>
      </c>
      <c r="AN384" t="str">
        <f>IF(ISBLANK('Dry_Litterbag Placem_Collection'!M163),"","R"&amp;""&amp;'Dry_Litterbag Placem_Collection'!M163)</f>
        <v>R314</v>
      </c>
      <c r="AO384" t="b">
        <f t="shared" si="274"/>
        <v>0</v>
      </c>
      <c r="AP384" t="b">
        <f t="shared" si="275"/>
        <v>0</v>
      </c>
      <c r="AX384" s="395" t="b">
        <f t="shared" si="277"/>
        <v>0</v>
      </c>
      <c r="AY384" s="395" t="b">
        <f t="shared" si="278"/>
        <v>0</v>
      </c>
      <c r="BA384" t="str">
        <f>'Ashed teabags wet'!A382</f>
        <v>G853</v>
      </c>
      <c r="BB384" t="str">
        <f>'Ashed teabags wet'!A802</f>
        <v>R590</v>
      </c>
      <c r="BC384" t="b">
        <f t="shared" si="279"/>
        <v>0</v>
      </c>
      <c r="BD384" t="b">
        <f t="shared" si="259"/>
        <v>0</v>
      </c>
      <c r="BH384" t="str">
        <f t="shared" si="281"/>
        <v>G175</v>
      </c>
      <c r="BI384" t="str">
        <f t="shared" si="295"/>
        <v>G175</v>
      </c>
      <c r="BP384" t="str">
        <f t="shared" si="283"/>
        <v>R350</v>
      </c>
      <c r="BQ384" t="str">
        <f t="shared" si="284"/>
        <v>R350</v>
      </c>
      <c r="BZ384" t="str">
        <f t="shared" si="285"/>
        <v>G175</v>
      </c>
      <c r="CA384" t="b">
        <f t="shared" si="286"/>
        <v>0</v>
      </c>
      <c r="CB384" t="str">
        <f t="shared" si="298"/>
        <v>G175</v>
      </c>
      <c r="CC384" t="str">
        <f t="shared" si="287"/>
        <v>R350</v>
      </c>
      <c r="CD384" t="b">
        <f t="shared" si="299"/>
        <v>0</v>
      </c>
      <c r="CE384" t="str">
        <f t="shared" si="300"/>
        <v>R350</v>
      </c>
      <c r="CG384" t="str">
        <f t="shared" si="288"/>
        <v>G852</v>
      </c>
      <c r="CH384" t="str">
        <f t="shared" si="301"/>
        <v>G852</v>
      </c>
      <c r="CI384" t="str">
        <f>AE383</f>
        <v>G876</v>
      </c>
      <c r="CJ384" t="str">
        <f t="shared" si="289"/>
        <v>G876</v>
      </c>
      <c r="CK384" t="s">
        <v>1198</v>
      </c>
      <c r="CL384" t="s">
        <v>1198</v>
      </c>
      <c r="CM384" t="s">
        <v>1198</v>
      </c>
      <c r="CN384" t="b">
        <f t="shared" si="302"/>
        <v>1</v>
      </c>
      <c r="CO384" t="str">
        <f t="shared" si="290"/>
        <v>R59</v>
      </c>
      <c r="CP384" t="str">
        <f t="shared" si="303"/>
        <v>R59</v>
      </c>
      <c r="CQ384" t="str">
        <f>AF383</f>
        <v>R461</v>
      </c>
      <c r="CR384" t="str">
        <f t="shared" si="291"/>
        <v>R461</v>
      </c>
      <c r="CS384" t="s">
        <v>1082</v>
      </c>
      <c r="CT384" t="s">
        <v>1082</v>
      </c>
      <c r="CU384" t="s">
        <v>1082</v>
      </c>
      <c r="CV384" t="b">
        <f t="shared" si="304"/>
        <v>1</v>
      </c>
      <c r="DC384" t="str">
        <f t="shared" si="292"/>
        <v>G876</v>
      </c>
      <c r="DD384" t="b">
        <f t="shared" si="305"/>
        <v>0</v>
      </c>
      <c r="DE384" t="str">
        <f t="shared" si="306"/>
        <v>G876</v>
      </c>
      <c r="DF384" t="str">
        <f t="shared" si="293"/>
        <v>R461</v>
      </c>
      <c r="DG384" t="b">
        <f t="shared" si="307"/>
        <v>0</v>
      </c>
      <c r="DH384" t="str">
        <f t="shared" si="308"/>
        <v>R461</v>
      </c>
    </row>
    <row r="385" spans="2:112" ht="12" customHeight="1">
      <c r="B385" t="str">
        <f>TBIDry!H457</f>
        <v>G580</v>
      </c>
      <c r="C385" t="str">
        <f>TBIDry!I457</f>
        <v>R425</v>
      </c>
      <c r="D385" t="b">
        <f t="shared" si="260"/>
        <v>0</v>
      </c>
      <c r="E385" t="b">
        <f t="shared" si="261"/>
        <v>0</v>
      </c>
      <c r="G385" t="str">
        <f>TBIWet!H457</f>
        <v>G442</v>
      </c>
      <c r="H385" t="str">
        <f>TBIWet!I457</f>
        <v>R285</v>
      </c>
      <c r="I385" t="b">
        <f t="shared" si="262"/>
        <v>0</v>
      </c>
      <c r="J385" t="b">
        <f t="shared" si="263"/>
        <v>0</v>
      </c>
      <c r="L385" t="str">
        <f>'Both teabags AfterWet'!A383</f>
        <v>G856</v>
      </c>
      <c r="M385" t="str">
        <f>'Both teabags AfterWet'!A803</f>
        <v>R591</v>
      </c>
      <c r="N385" t="b">
        <f t="shared" si="264"/>
        <v>0</v>
      </c>
      <c r="O385" t="b">
        <f t="shared" si="309"/>
        <v>0</v>
      </c>
      <c r="Q385" s="395" t="b">
        <f t="shared" si="265"/>
        <v>0</v>
      </c>
      <c r="R385" s="395" t="b">
        <f t="shared" si="266"/>
        <v>0</v>
      </c>
      <c r="Y385" t="str">
        <f>'Green_rooibos initial weight'!A386</f>
        <v>G382</v>
      </c>
      <c r="Z385" t="str">
        <f>'Green_rooibos initial weight'!A1290</f>
        <v>R382</v>
      </c>
      <c r="AA385" t="b">
        <f t="shared" si="268"/>
        <v>0</v>
      </c>
      <c r="AB385" t="b">
        <f t="shared" si="269"/>
        <v>0</v>
      </c>
      <c r="AE385" t="str">
        <f>'WetLitterbags placem_collection'!O164</f>
        <v>G442</v>
      </c>
      <c r="AF385" t="str">
        <f>'WetLitterbags placem_collection'!Q164</f>
        <v>R285</v>
      </c>
      <c r="AG385" t="b">
        <f t="shared" si="270"/>
        <v>0</v>
      </c>
      <c r="AH385" t="b">
        <f t="shared" si="271"/>
        <v>0</v>
      </c>
      <c r="AJ385" t="b">
        <f t="shared" si="272"/>
        <v>0</v>
      </c>
      <c r="AK385" t="b">
        <f t="shared" si="273"/>
        <v>0</v>
      </c>
      <c r="AM385" t="str">
        <f>IF(ISBLANK('Dry_Litterbag Placem_Collection'!L164),"","G"&amp;""&amp;'Dry_Litterbag Placem_Collection'!L164)</f>
        <v>G580</v>
      </c>
      <c r="AN385" t="str">
        <f>IF(ISBLANK('Dry_Litterbag Placem_Collection'!M164),"","R"&amp;""&amp;'Dry_Litterbag Placem_Collection'!M164)</f>
        <v>R425</v>
      </c>
      <c r="AO385" t="b">
        <f t="shared" si="274"/>
        <v>0</v>
      </c>
      <c r="AP385" t="b">
        <f t="shared" si="275"/>
        <v>0</v>
      </c>
      <c r="AX385" s="395" t="b">
        <f t="shared" si="277"/>
        <v>0</v>
      </c>
      <c r="AY385" s="395" t="b">
        <f t="shared" si="278"/>
        <v>0</v>
      </c>
      <c r="BA385" t="str">
        <f>'Ashed teabags wet'!A383</f>
        <v>G856</v>
      </c>
      <c r="BB385" t="str">
        <f>'Ashed teabags wet'!A803</f>
        <v>R591</v>
      </c>
      <c r="BC385" t="b">
        <f t="shared" si="279"/>
        <v>0</v>
      </c>
      <c r="BD385" t="b">
        <f t="shared" si="259"/>
        <v>0</v>
      </c>
      <c r="BH385" t="str">
        <f t="shared" si="281"/>
        <v>G207</v>
      </c>
      <c r="BI385" t="str">
        <f t="shared" si="295"/>
        <v>G207</v>
      </c>
      <c r="BP385" t="str">
        <f t="shared" si="283"/>
        <v>R314</v>
      </c>
      <c r="BQ385" t="str">
        <f t="shared" si="284"/>
        <v>R314</v>
      </c>
      <c r="BZ385" t="str">
        <f t="shared" si="285"/>
        <v>G207</v>
      </c>
      <c r="CA385" t="b">
        <f t="shared" si="286"/>
        <v>0</v>
      </c>
      <c r="CB385" t="str">
        <f t="shared" si="298"/>
        <v>G207</v>
      </c>
      <c r="CC385" t="str">
        <f t="shared" si="287"/>
        <v>R314</v>
      </c>
      <c r="CD385" t="b">
        <f t="shared" si="299"/>
        <v>0</v>
      </c>
      <c r="CE385" t="str">
        <f t="shared" si="300"/>
        <v>R314</v>
      </c>
      <c r="CG385" t="str">
        <f t="shared" si="288"/>
        <v>G853</v>
      </c>
      <c r="CH385" t="str">
        <f t="shared" si="301"/>
        <v>G853</v>
      </c>
      <c r="CI385" t="str">
        <f>AE384</f>
        <v>G351</v>
      </c>
      <c r="CJ385" t="str">
        <f t="shared" si="289"/>
        <v>G351</v>
      </c>
      <c r="CK385" t="s">
        <v>1197</v>
      </c>
      <c r="CL385" t="s">
        <v>1197</v>
      </c>
      <c r="CM385" t="s">
        <v>1197</v>
      </c>
      <c r="CN385" t="b">
        <f t="shared" si="302"/>
        <v>1</v>
      </c>
      <c r="CO385" t="str">
        <f t="shared" si="290"/>
        <v>R590</v>
      </c>
      <c r="CP385" t="str">
        <f t="shared" si="303"/>
        <v>R590</v>
      </c>
      <c r="CQ385" t="str">
        <f>AF384</f>
        <v>R253</v>
      </c>
      <c r="CR385" t="str">
        <f t="shared" si="291"/>
        <v>R253</v>
      </c>
      <c r="CS385" t="s">
        <v>551</v>
      </c>
      <c r="CT385" t="s">
        <v>551</v>
      </c>
      <c r="CU385" t="s">
        <v>551</v>
      </c>
      <c r="CV385" t="b">
        <f t="shared" si="304"/>
        <v>1</v>
      </c>
      <c r="DC385" t="str">
        <f t="shared" si="292"/>
        <v>G351</v>
      </c>
      <c r="DD385" t="b">
        <f t="shared" si="305"/>
        <v>0</v>
      </c>
      <c r="DE385" t="str">
        <f t="shared" si="306"/>
        <v>G351</v>
      </c>
      <c r="DF385" t="str">
        <f t="shared" si="293"/>
        <v>R253</v>
      </c>
      <c r="DG385" t="b">
        <f t="shared" si="307"/>
        <v>0</v>
      </c>
      <c r="DH385" t="str">
        <f t="shared" si="308"/>
        <v>R253</v>
      </c>
    </row>
    <row r="386" spans="2:112" ht="12" customHeight="1">
      <c r="B386" t="str">
        <f>TBIDry!H458</f>
        <v>G722</v>
      </c>
      <c r="C386" t="str">
        <f>TBIDry!I458</f>
        <v>R267</v>
      </c>
      <c r="D386" t="b">
        <f t="shared" si="260"/>
        <v>0</v>
      </c>
      <c r="E386" t="b">
        <f t="shared" si="261"/>
        <v>0</v>
      </c>
      <c r="G386" t="str">
        <f>TBIWet!H458</f>
        <v>G743</v>
      </c>
      <c r="H386" t="str">
        <f>TBIWet!I458</f>
        <v>R341</v>
      </c>
      <c r="I386" t="b">
        <f t="shared" si="262"/>
        <v>0</v>
      </c>
      <c r="J386" t="b">
        <f t="shared" si="263"/>
        <v>0</v>
      </c>
      <c r="L386" t="str">
        <f>'Both teabags AfterWet'!A384</f>
        <v>G857</v>
      </c>
      <c r="M386" t="str">
        <f>'Both teabags AfterWet'!A804</f>
        <v>R592</v>
      </c>
      <c r="N386" t="b">
        <f t="shared" si="264"/>
        <v>0</v>
      </c>
      <c r="O386" t="b">
        <f t="shared" si="309"/>
        <v>0</v>
      </c>
      <c r="Q386" s="395" t="b">
        <f t="shared" si="265"/>
        <v>0</v>
      </c>
      <c r="R386" s="395" t="b">
        <f t="shared" si="266"/>
        <v>0</v>
      </c>
      <c r="Y386" t="str">
        <f>'Green_rooibos initial weight'!A387</f>
        <v>G383</v>
      </c>
      <c r="Z386" t="str">
        <f>'Green_rooibos initial weight'!A1291</f>
        <v>R383</v>
      </c>
      <c r="AA386" t="b">
        <f t="shared" si="268"/>
        <v>0</v>
      </c>
      <c r="AB386" t="b">
        <f t="shared" si="269"/>
        <v>0</v>
      </c>
      <c r="AE386" t="str">
        <f>'WetLitterbags placem_collection'!O165</f>
        <v>G743</v>
      </c>
      <c r="AF386" t="str">
        <f>'WetLitterbags placem_collection'!Q165</f>
        <v>R341</v>
      </c>
      <c r="AG386" t="b">
        <f t="shared" si="270"/>
        <v>0</v>
      </c>
      <c r="AH386" t="b">
        <f t="shared" si="271"/>
        <v>0</v>
      </c>
      <c r="AJ386" t="b">
        <f t="shared" si="272"/>
        <v>0</v>
      </c>
      <c r="AK386" t="b">
        <f t="shared" si="273"/>
        <v>0</v>
      </c>
      <c r="AM386" t="str">
        <f>IF(ISBLANK('Dry_Litterbag Placem_Collection'!L165),"","G"&amp;""&amp;'Dry_Litterbag Placem_Collection'!L165)</f>
        <v>G722</v>
      </c>
      <c r="AN386" t="str">
        <f>IF(ISBLANK('Dry_Litterbag Placem_Collection'!M165),"","R"&amp;""&amp;'Dry_Litterbag Placem_Collection'!M165)</f>
        <v>R267</v>
      </c>
      <c r="AO386" t="b">
        <f t="shared" si="274"/>
        <v>0</v>
      </c>
      <c r="AP386" t="b">
        <f t="shared" si="275"/>
        <v>0</v>
      </c>
      <c r="AX386" s="395" t="b">
        <f t="shared" si="277"/>
        <v>0</v>
      </c>
      <c r="AY386" s="395" t="b">
        <f t="shared" si="278"/>
        <v>0</v>
      </c>
      <c r="BA386" t="str">
        <f>'Ashed teabags wet'!A384</f>
        <v>G857</v>
      </c>
      <c r="BB386" t="str">
        <f>'Ashed teabags wet'!A804</f>
        <v>R592</v>
      </c>
      <c r="BC386" t="b">
        <f t="shared" si="279"/>
        <v>0</v>
      </c>
      <c r="BD386" t="b">
        <f t="shared" si="259"/>
        <v>0</v>
      </c>
      <c r="BH386" t="str">
        <f t="shared" si="281"/>
        <v>G580</v>
      </c>
      <c r="BI386" t="str">
        <f t="shared" si="295"/>
        <v>G580</v>
      </c>
      <c r="BP386" t="str">
        <f t="shared" si="283"/>
        <v>R425</v>
      </c>
      <c r="BQ386" t="str">
        <f t="shared" si="284"/>
        <v>R425</v>
      </c>
      <c r="BZ386" t="str">
        <f t="shared" si="285"/>
        <v>G580</v>
      </c>
      <c r="CA386" t="b">
        <f t="shared" si="286"/>
        <v>0</v>
      </c>
      <c r="CB386" t="str">
        <f t="shared" si="298"/>
        <v>G580</v>
      </c>
      <c r="CC386" t="str">
        <f t="shared" si="287"/>
        <v>R425</v>
      </c>
      <c r="CD386" t="b">
        <f t="shared" si="299"/>
        <v>0</v>
      </c>
      <c r="CE386" t="str">
        <f t="shared" si="300"/>
        <v>R425</v>
      </c>
      <c r="CG386" t="str">
        <f t="shared" si="288"/>
        <v>G856</v>
      </c>
      <c r="CH386" t="str">
        <f t="shared" si="301"/>
        <v>G856</v>
      </c>
      <c r="CI386" t="str">
        <f>AE385</f>
        <v>G442</v>
      </c>
      <c r="CJ386" t="str">
        <f t="shared" si="289"/>
        <v>G442</v>
      </c>
      <c r="CK386" t="s">
        <v>1194</v>
      </c>
      <c r="CL386" t="s">
        <v>1194</v>
      </c>
      <c r="CM386" t="s">
        <v>1194</v>
      </c>
      <c r="CN386" t="b">
        <f t="shared" si="302"/>
        <v>1</v>
      </c>
      <c r="CO386" t="str">
        <f t="shared" si="290"/>
        <v>R591</v>
      </c>
      <c r="CP386" t="str">
        <f t="shared" si="303"/>
        <v>R591</v>
      </c>
      <c r="CQ386" t="str">
        <f>AF385</f>
        <v>R285</v>
      </c>
      <c r="CR386" t="str">
        <f t="shared" si="291"/>
        <v>R285</v>
      </c>
      <c r="CS386" t="s">
        <v>550</v>
      </c>
      <c r="CT386" t="s">
        <v>550</v>
      </c>
      <c r="CU386" t="s">
        <v>550</v>
      </c>
      <c r="CV386" t="b">
        <f t="shared" si="304"/>
        <v>1</v>
      </c>
      <c r="DC386" t="str">
        <f t="shared" si="292"/>
        <v>G442</v>
      </c>
      <c r="DD386" t="b">
        <f t="shared" si="305"/>
        <v>0</v>
      </c>
      <c r="DE386" t="str">
        <f t="shared" si="306"/>
        <v>G442</v>
      </c>
      <c r="DF386" t="str">
        <f t="shared" si="293"/>
        <v>R285</v>
      </c>
      <c r="DG386" t="b">
        <f t="shared" si="307"/>
        <v>0</v>
      </c>
      <c r="DH386" t="str">
        <f t="shared" si="308"/>
        <v>R285</v>
      </c>
    </row>
    <row r="387" spans="2:112" ht="12" customHeight="1">
      <c r="B387" t="str">
        <f>TBIDry!H459</f>
        <v>G239</v>
      </c>
      <c r="C387" t="str">
        <f>TBIDry!I459</f>
        <v>R211</v>
      </c>
      <c r="D387" t="b">
        <f t="shared" si="260"/>
        <v>0</v>
      </c>
      <c r="E387" t="b">
        <f t="shared" si="261"/>
        <v>0</v>
      </c>
      <c r="G387" t="str">
        <f>TBIWet!H459</f>
        <v>G390</v>
      </c>
      <c r="H387" t="str">
        <f>TBIWet!I459</f>
        <v>R264</v>
      </c>
      <c r="I387" t="b">
        <f t="shared" si="262"/>
        <v>0</v>
      </c>
      <c r="J387" t="b">
        <f t="shared" si="263"/>
        <v>0</v>
      </c>
      <c r="L387" t="str">
        <f>'Both teabags AfterWet'!A385</f>
        <v>G858</v>
      </c>
      <c r="M387" t="str">
        <f>'Both teabags AfterWet'!A805</f>
        <v>R593</v>
      </c>
      <c r="N387" t="b">
        <f t="shared" si="264"/>
        <v>0</v>
      </c>
      <c r="O387" t="b">
        <f t="shared" si="309"/>
        <v>0</v>
      </c>
      <c r="Q387" s="395" t="b">
        <f t="shared" si="265"/>
        <v>0</v>
      </c>
      <c r="R387" s="395" t="b">
        <f t="shared" si="266"/>
        <v>0</v>
      </c>
      <c r="Y387" t="str">
        <f>'Green_rooibos initial weight'!A388</f>
        <v>G384</v>
      </c>
      <c r="Z387" t="str">
        <f>'Green_rooibos initial weight'!A1292</f>
        <v>R384</v>
      </c>
      <c r="AA387" t="b">
        <f t="shared" si="268"/>
        <v>0</v>
      </c>
      <c r="AB387" t="b">
        <f t="shared" si="269"/>
        <v>0</v>
      </c>
      <c r="AE387" t="str">
        <f>'WetLitterbags placem_collection'!O166</f>
        <v>G390</v>
      </c>
      <c r="AF387" t="str">
        <f>'WetLitterbags placem_collection'!Q166</f>
        <v>R264</v>
      </c>
      <c r="AG387" t="b">
        <f t="shared" si="270"/>
        <v>0</v>
      </c>
      <c r="AH387" t="b">
        <f t="shared" si="271"/>
        <v>0</v>
      </c>
      <c r="AJ387" t="b">
        <f t="shared" si="272"/>
        <v>0</v>
      </c>
      <c r="AK387" t="b">
        <f t="shared" si="273"/>
        <v>0</v>
      </c>
      <c r="AM387" t="str">
        <f>IF(ISBLANK('Dry_Litterbag Placem_Collection'!L166),"","G"&amp;""&amp;'Dry_Litterbag Placem_Collection'!L166)</f>
        <v>G239</v>
      </c>
      <c r="AN387" t="str">
        <f>IF(ISBLANK('Dry_Litterbag Placem_Collection'!M166),"","R"&amp;""&amp;'Dry_Litterbag Placem_Collection'!M166)</f>
        <v>R211</v>
      </c>
      <c r="AO387" t="b">
        <f t="shared" si="274"/>
        <v>0</v>
      </c>
      <c r="AP387" t="b">
        <f t="shared" si="275"/>
        <v>0</v>
      </c>
      <c r="AX387" s="395" t="b">
        <f t="shared" si="277"/>
        <v>0</v>
      </c>
      <c r="AY387" s="395" t="b">
        <f t="shared" si="278"/>
        <v>0</v>
      </c>
      <c r="BA387" t="str">
        <f>'Ashed teabags wet'!A385</f>
        <v>G858</v>
      </c>
      <c r="BB387" t="str">
        <f>'Ashed teabags wet'!A805</f>
        <v>R593</v>
      </c>
      <c r="BC387" t="b">
        <f t="shared" si="279"/>
        <v>0</v>
      </c>
      <c r="BD387" t="b">
        <f t="shared" si="259"/>
        <v>0</v>
      </c>
      <c r="BH387" t="str">
        <f t="shared" si="281"/>
        <v>G722</v>
      </c>
      <c r="BI387" t="str">
        <f t="shared" si="295"/>
        <v>G722</v>
      </c>
      <c r="BP387" t="str">
        <f t="shared" si="283"/>
        <v>R267</v>
      </c>
      <c r="BQ387" t="str">
        <f t="shared" si="284"/>
        <v>R267</v>
      </c>
      <c r="BZ387" t="str">
        <f t="shared" si="285"/>
        <v>G722</v>
      </c>
      <c r="CA387" t="b">
        <f t="shared" si="286"/>
        <v>0</v>
      </c>
      <c r="CB387" t="str">
        <f t="shared" si="298"/>
        <v>G722</v>
      </c>
      <c r="CC387" t="str">
        <f t="shared" si="287"/>
        <v>R267</v>
      </c>
      <c r="CD387" t="b">
        <f t="shared" si="299"/>
        <v>0</v>
      </c>
      <c r="CE387" t="str">
        <f t="shared" si="300"/>
        <v>R267</v>
      </c>
      <c r="CG387" t="str">
        <f t="shared" si="288"/>
        <v>G857</v>
      </c>
      <c r="CH387" t="str">
        <f t="shared" si="301"/>
        <v>G857</v>
      </c>
      <c r="CI387" t="str">
        <f>AE386</f>
        <v>G743</v>
      </c>
      <c r="CJ387" t="str">
        <f t="shared" si="289"/>
        <v>G743</v>
      </c>
      <c r="CK387" t="s">
        <v>1193</v>
      </c>
      <c r="CL387" t="s">
        <v>1193</v>
      </c>
      <c r="CM387" t="s">
        <v>1193</v>
      </c>
      <c r="CN387" t="b">
        <f t="shared" si="302"/>
        <v>1</v>
      </c>
      <c r="CO387" t="str">
        <f t="shared" si="290"/>
        <v>R592</v>
      </c>
      <c r="CP387" t="str">
        <f t="shared" si="303"/>
        <v>R592</v>
      </c>
      <c r="CQ387" t="str">
        <f>AF386</f>
        <v>R341</v>
      </c>
      <c r="CR387" t="str">
        <f t="shared" si="291"/>
        <v>R341</v>
      </c>
      <c r="CS387" t="s">
        <v>549</v>
      </c>
      <c r="CT387" t="s">
        <v>549</v>
      </c>
      <c r="CU387" t="s">
        <v>549</v>
      </c>
      <c r="CV387" t="b">
        <f t="shared" si="304"/>
        <v>1</v>
      </c>
      <c r="DC387" t="str">
        <f t="shared" si="292"/>
        <v>G743</v>
      </c>
      <c r="DD387" t="b">
        <f t="shared" si="305"/>
        <v>0</v>
      </c>
      <c r="DE387" t="str">
        <f t="shared" si="306"/>
        <v>G743</v>
      </c>
      <c r="DF387" t="str">
        <f t="shared" si="293"/>
        <v>R341</v>
      </c>
      <c r="DG387" t="b">
        <f t="shared" si="307"/>
        <v>0</v>
      </c>
      <c r="DH387" t="str">
        <f t="shared" si="308"/>
        <v>R341</v>
      </c>
    </row>
    <row r="388" spans="2:112" ht="12" customHeight="1">
      <c r="B388" t="str">
        <f>TBIDry!H460</f>
        <v>G343</v>
      </c>
      <c r="C388" t="str">
        <f>TBIDry!I460</f>
        <v>R310</v>
      </c>
      <c r="D388" t="b">
        <f t="shared" si="260"/>
        <v>0</v>
      </c>
      <c r="E388" t="b">
        <f t="shared" si="261"/>
        <v>0</v>
      </c>
      <c r="G388" t="str">
        <f>TBIWet!H460</f>
        <v>G810</v>
      </c>
      <c r="H388" t="str">
        <f>TBIWet!I460</f>
        <v>R411</v>
      </c>
      <c r="I388" t="b">
        <f t="shared" si="262"/>
        <v>0</v>
      </c>
      <c r="J388" t="b">
        <f t="shared" si="263"/>
        <v>0</v>
      </c>
      <c r="L388" t="str">
        <f>'Both teabags AfterWet'!A386</f>
        <v>G859</v>
      </c>
      <c r="M388" t="str">
        <f>'Both teabags AfterWet'!A806</f>
        <v>R594</v>
      </c>
      <c r="N388" t="b">
        <f t="shared" si="264"/>
        <v>0</v>
      </c>
      <c r="O388" t="b">
        <f t="shared" si="309"/>
        <v>0</v>
      </c>
      <c r="Q388" s="395" t="b">
        <f t="shared" si="265"/>
        <v>0</v>
      </c>
      <c r="R388" s="395" t="b">
        <f t="shared" si="266"/>
        <v>0</v>
      </c>
      <c r="Y388" t="str">
        <f>'Green_rooibos initial weight'!A389</f>
        <v>G385</v>
      </c>
      <c r="Z388" t="str">
        <f>'Green_rooibos initial weight'!A1293</f>
        <v>R385</v>
      </c>
      <c r="AA388" t="b">
        <f t="shared" si="268"/>
        <v>0</v>
      </c>
      <c r="AB388" t="b">
        <f t="shared" si="269"/>
        <v>0</v>
      </c>
      <c r="AE388" t="str">
        <f>'WetLitterbags placem_collection'!O167</f>
        <v>G810</v>
      </c>
      <c r="AF388" t="str">
        <f>'WetLitterbags placem_collection'!Q167</f>
        <v>R411</v>
      </c>
      <c r="AG388" t="b">
        <f t="shared" si="270"/>
        <v>0</v>
      </c>
      <c r="AH388" t="b">
        <f t="shared" si="271"/>
        <v>0</v>
      </c>
      <c r="AJ388" t="b">
        <f t="shared" si="272"/>
        <v>0</v>
      </c>
      <c r="AK388" t="b">
        <f t="shared" si="273"/>
        <v>0</v>
      </c>
      <c r="AM388" t="str">
        <f>IF(ISBLANK('Dry_Litterbag Placem_Collection'!L167),"","G"&amp;""&amp;'Dry_Litterbag Placem_Collection'!L167)</f>
        <v>G343</v>
      </c>
      <c r="AN388" t="str">
        <f>IF(ISBLANK('Dry_Litterbag Placem_Collection'!M167),"","R"&amp;""&amp;'Dry_Litterbag Placem_Collection'!M167)</f>
        <v>R310</v>
      </c>
      <c r="AO388" t="b">
        <f t="shared" si="274"/>
        <v>0</v>
      </c>
      <c r="AP388" t="b">
        <f t="shared" si="275"/>
        <v>0</v>
      </c>
      <c r="AX388" s="395" t="b">
        <f t="shared" si="277"/>
        <v>0</v>
      </c>
      <c r="AY388" s="395" t="b">
        <f t="shared" si="278"/>
        <v>0</v>
      </c>
      <c r="BA388" t="str">
        <f>'Ashed teabags wet'!A386</f>
        <v>G859</v>
      </c>
      <c r="BB388" t="str">
        <f>'Ashed teabags wet'!A806</f>
        <v>R594</v>
      </c>
      <c r="BC388" t="b">
        <f t="shared" si="279"/>
        <v>0</v>
      </c>
      <c r="BD388" t="b">
        <f t="shared" ref="BD388:BD420" si="310">COUNTIF($BB$4:$BB$2000, BB388)&gt;1</f>
        <v>0</v>
      </c>
      <c r="BH388" t="str">
        <f t="shared" si="281"/>
        <v>G239</v>
      </c>
      <c r="BI388" t="str">
        <f t="shared" si="295"/>
        <v>G239</v>
      </c>
      <c r="BP388" t="str">
        <f t="shared" si="283"/>
        <v>R211</v>
      </c>
      <c r="BQ388" t="str">
        <f t="shared" si="284"/>
        <v>R211</v>
      </c>
      <c r="BZ388" t="str">
        <f t="shared" si="285"/>
        <v>G239</v>
      </c>
      <c r="CA388" t="b">
        <f t="shared" si="286"/>
        <v>0</v>
      </c>
      <c r="CB388" t="str">
        <f t="shared" si="298"/>
        <v>G239</v>
      </c>
      <c r="CC388" t="str">
        <f t="shared" si="287"/>
        <v>R211</v>
      </c>
      <c r="CD388" t="b">
        <f t="shared" si="299"/>
        <v>0</v>
      </c>
      <c r="CE388" t="str">
        <f t="shared" si="300"/>
        <v>R211</v>
      </c>
      <c r="CG388" t="str">
        <f t="shared" si="288"/>
        <v>G858</v>
      </c>
      <c r="CH388" t="str">
        <f t="shared" si="301"/>
        <v>G858</v>
      </c>
      <c r="CI388" t="str">
        <f>AE387</f>
        <v>G390</v>
      </c>
      <c r="CJ388" t="str">
        <f t="shared" si="289"/>
        <v>G390</v>
      </c>
      <c r="CK388" t="s">
        <v>1192</v>
      </c>
      <c r="CL388" t="s">
        <v>1192</v>
      </c>
      <c r="CM388" t="s">
        <v>1192</v>
      </c>
      <c r="CN388" t="b">
        <f t="shared" si="302"/>
        <v>1</v>
      </c>
      <c r="CO388" t="str">
        <f t="shared" si="290"/>
        <v>R593</v>
      </c>
      <c r="CP388" t="str">
        <f t="shared" si="303"/>
        <v>R593</v>
      </c>
      <c r="CQ388" t="str">
        <f>AF387</f>
        <v>R264</v>
      </c>
      <c r="CR388" t="str">
        <f t="shared" si="291"/>
        <v>R264</v>
      </c>
      <c r="CS388" t="s">
        <v>548</v>
      </c>
      <c r="CT388" t="s">
        <v>548</v>
      </c>
      <c r="CU388" t="s">
        <v>548</v>
      </c>
      <c r="CV388" t="b">
        <f t="shared" si="304"/>
        <v>1</v>
      </c>
      <c r="DC388" t="str">
        <f t="shared" si="292"/>
        <v>G390</v>
      </c>
      <c r="DD388" t="b">
        <f t="shared" si="305"/>
        <v>0</v>
      </c>
      <c r="DE388" t="str">
        <f t="shared" si="306"/>
        <v>G390</v>
      </c>
      <c r="DF388" t="str">
        <f t="shared" si="293"/>
        <v>R264</v>
      </c>
      <c r="DG388" t="b">
        <f t="shared" si="307"/>
        <v>0</v>
      </c>
      <c r="DH388" t="str">
        <f t="shared" si="308"/>
        <v>R264</v>
      </c>
    </row>
    <row r="389" spans="2:112" ht="12" customHeight="1">
      <c r="B389" t="str">
        <f>TBIDry!H461</f>
        <v>G409</v>
      </c>
      <c r="C389" t="str">
        <f>TBIDry!I461</f>
        <v>R269</v>
      </c>
      <c r="D389" t="b">
        <f t="shared" ref="D389:D452" si="311">COUNTIF($B$4:$B$2000, B389)&gt;1</f>
        <v>0</v>
      </c>
      <c r="E389" t="b">
        <f t="shared" ref="E389:E452" si="312">COUNTIF($C$4:$C$2000, C389)&gt;1</f>
        <v>0</v>
      </c>
      <c r="G389" t="str">
        <f>TBIWet!H461</f>
        <v>G287</v>
      </c>
      <c r="H389" t="str">
        <f>TBIWet!I461</f>
        <v>R259</v>
      </c>
      <c r="I389" t="b">
        <f t="shared" ref="I389:I452" si="313">COUNTIF($G$4:$G$2000, G389)&gt;1</f>
        <v>0</v>
      </c>
      <c r="J389" t="b">
        <f t="shared" ref="J389:J452" si="314">COUNTIF($H$4:$H$2000, H389)&gt;1</f>
        <v>0</v>
      </c>
      <c r="L389" t="str">
        <f>'Both teabags AfterWet'!A387</f>
        <v>G860</v>
      </c>
      <c r="M389" t="str">
        <f>'Both teabags AfterWet'!A807</f>
        <v>R596</v>
      </c>
      <c r="N389" t="b">
        <f t="shared" ref="N389:N427" si="315">COUNTIF($L$4:$L$2000, L389)&gt;1</f>
        <v>0</v>
      </c>
      <c r="O389" t="b">
        <f t="shared" si="309"/>
        <v>0</v>
      </c>
      <c r="Q389" s="395" t="b">
        <f t="shared" ref="Q389:Q452" si="316">COUNTIF($T$4:$T$2000, L389)=1</f>
        <v>0</v>
      </c>
      <c r="R389" s="395" t="b">
        <f t="shared" ref="R389:R452" si="317" xml:space="preserve"> COUNTIF($U$4:$U$2000,M389)=1</f>
        <v>0</v>
      </c>
      <c r="Y389" t="str">
        <f>'Green_rooibos initial weight'!A390</f>
        <v>G386</v>
      </c>
      <c r="Z389" t="str">
        <f>'Green_rooibos initial weight'!A1294</f>
        <v>R386</v>
      </c>
      <c r="AA389" t="b">
        <f t="shared" ref="AA389:AA452" si="318">COUNTIF($Y$4:$Y$2000, Y389)&gt;1</f>
        <v>0</v>
      </c>
      <c r="AB389" t="b">
        <f t="shared" ref="AB389:AB452" si="319">COUNTIF($Z$4:$Z$2000, Z389)&gt;1</f>
        <v>0</v>
      </c>
      <c r="AE389" t="str">
        <f>'WetLitterbags placem_collection'!O168</f>
        <v>G287</v>
      </c>
      <c r="AF389" t="str">
        <f>'WetLitterbags placem_collection'!Q168</f>
        <v>R259</v>
      </c>
      <c r="AG389" t="b">
        <f t="shared" ref="AG389:AG443" si="320">COUNTIF($AE$4:$AE$2000, AE389)&gt;1</f>
        <v>0</v>
      </c>
      <c r="AH389" t="b">
        <f t="shared" ref="AH389:AH443" si="321">COUNTIF($AF$4:$AF$2000, AF389)&gt;1</f>
        <v>0</v>
      </c>
      <c r="AJ389" t="b">
        <f t="shared" ref="AJ389:AJ451" si="322">COUNTIF($AM$4:$AM$2000, AE389)=1</f>
        <v>0</v>
      </c>
      <c r="AK389" t="b">
        <f t="shared" ref="AK389:AK451" si="323">COUNTIF($AN$4:$AN$2000, AF389)=1</f>
        <v>0</v>
      </c>
      <c r="AM389" t="str">
        <f>IF(ISBLANK('Dry_Litterbag Placem_Collection'!L168),"","G"&amp;""&amp;'Dry_Litterbag Placem_Collection'!L168)</f>
        <v>G409</v>
      </c>
      <c r="AN389" t="str">
        <f>IF(ISBLANK('Dry_Litterbag Placem_Collection'!M168),"","R"&amp;""&amp;'Dry_Litterbag Placem_Collection'!M168)</f>
        <v>R269</v>
      </c>
      <c r="AO389" t="b">
        <f t="shared" ref="AO389:AO447" si="324">COUNTIF($AM$4:$AM$2000, AM389)&gt;1</f>
        <v>0</v>
      </c>
      <c r="AP389" t="b">
        <f t="shared" ref="AP389:AP447" si="325">COUNTIF($AN$4:$AN$2000, AN389)&gt;1</f>
        <v>0</v>
      </c>
      <c r="AX389" s="395" t="b">
        <f t="shared" ref="AX389:AX452" si="326">COUNTIF($BA$4:$BA$2000, AS389)=1</f>
        <v>0</v>
      </c>
      <c r="AY389" s="395" t="b">
        <f t="shared" ref="AY389:AY452" si="327">COUNTIF($BB$4:$BB$2000, AT389)=1</f>
        <v>0</v>
      </c>
      <c r="BA389" t="str">
        <f>'Ashed teabags wet'!A387</f>
        <v>G860</v>
      </c>
      <c r="BB389" t="str">
        <f>'Ashed teabags wet'!A807</f>
        <v>R596</v>
      </c>
      <c r="BC389" t="b">
        <f t="shared" ref="BC389:BC420" si="328">COUNTIF($BA$4:$BA$2000, BA389)&gt;1</f>
        <v>0</v>
      </c>
      <c r="BD389" t="b">
        <f t="shared" si="310"/>
        <v>0</v>
      </c>
      <c r="BH389" t="str">
        <f t="shared" ref="BH389:BH452" si="329">B388</f>
        <v>G343</v>
      </c>
      <c r="BI389" t="str">
        <f t="shared" si="295"/>
        <v>G343</v>
      </c>
      <c r="BP389" t="str">
        <f t="shared" ref="BP389:BP444" si="330">C388</f>
        <v>R310</v>
      </c>
      <c r="BQ389" t="str">
        <f t="shared" ref="BQ389:BS444" si="331">CE389</f>
        <v>R310</v>
      </c>
      <c r="BZ389" t="str">
        <f t="shared" ref="BZ389:BZ444" si="332">BH389</f>
        <v>G343</v>
      </c>
      <c r="CA389" t="b">
        <f t="shared" ref="CA389:CA445" si="333">COUNTIF($BV$5:$BV$2000, BZ389)=1</f>
        <v>0</v>
      </c>
      <c r="CB389" t="str">
        <f t="shared" si="298"/>
        <v>G343</v>
      </c>
      <c r="CC389" t="str">
        <f t="shared" ref="CC389:CC444" si="334">BP389</f>
        <v>R310</v>
      </c>
      <c r="CD389" t="b">
        <f t="shared" si="299"/>
        <v>0</v>
      </c>
      <c r="CE389" t="str">
        <f t="shared" si="300"/>
        <v>R310</v>
      </c>
      <c r="CG389" t="str">
        <f t="shared" ref="CG389:CG424" si="335">BA388</f>
        <v>G859</v>
      </c>
      <c r="CH389" t="str">
        <f t="shared" si="301"/>
        <v>G859</v>
      </c>
      <c r="CI389" t="str">
        <f>AE388</f>
        <v>G810</v>
      </c>
      <c r="CJ389" t="str">
        <f t="shared" ref="CJ389:CL444" si="336">DE389</f>
        <v>G810</v>
      </c>
      <c r="CK389" t="s">
        <v>1191</v>
      </c>
      <c r="CL389" t="s">
        <v>1191</v>
      </c>
      <c r="CM389" t="s">
        <v>1191</v>
      </c>
      <c r="CN389" t="b">
        <f t="shared" si="302"/>
        <v>1</v>
      </c>
      <c r="CO389" t="str">
        <f t="shared" ref="CO389:CO428" si="337">BB388</f>
        <v>R594</v>
      </c>
      <c r="CP389" t="str">
        <f t="shared" si="303"/>
        <v>R594</v>
      </c>
      <c r="CQ389" t="str">
        <f>AF388</f>
        <v>R411</v>
      </c>
      <c r="CR389" t="str">
        <f t="shared" ref="CR389:CT444" si="338">DH389</f>
        <v>R411</v>
      </c>
      <c r="CS389" t="s">
        <v>547</v>
      </c>
      <c r="CT389" t="s">
        <v>547</v>
      </c>
      <c r="CU389" t="s">
        <v>547</v>
      </c>
      <c r="CV389" t="b">
        <f t="shared" si="304"/>
        <v>1</v>
      </c>
      <c r="DC389" t="str">
        <f t="shared" ref="DC389:DC444" si="339">CI389</f>
        <v>G810</v>
      </c>
      <c r="DD389" t="b">
        <f t="shared" si="305"/>
        <v>0</v>
      </c>
      <c r="DE389" t="str">
        <f t="shared" si="306"/>
        <v>G810</v>
      </c>
      <c r="DF389" t="str">
        <f t="shared" ref="DF389:DF444" si="340">CQ389</f>
        <v>R411</v>
      </c>
      <c r="DG389" t="b">
        <f t="shared" si="307"/>
        <v>0</v>
      </c>
      <c r="DH389" t="str">
        <f t="shared" si="308"/>
        <v>R411</v>
      </c>
    </row>
    <row r="390" spans="2:112" ht="12" customHeight="1">
      <c r="B390" t="str">
        <f>TBIDry!H462</f>
        <v/>
      </c>
      <c r="C390" t="str">
        <f>TBIDry!I462</f>
        <v/>
      </c>
      <c r="D390" t="b">
        <f t="shared" si="311"/>
        <v>1</v>
      </c>
      <c r="E390" t="b">
        <f t="shared" si="312"/>
        <v>1</v>
      </c>
      <c r="G390" t="str">
        <f>TBIWet!H462</f>
        <v>G443</v>
      </c>
      <c r="H390" t="str">
        <f>TBIWet!I462</f>
        <v>R215</v>
      </c>
      <c r="I390" t="b">
        <f t="shared" si="313"/>
        <v>0</v>
      </c>
      <c r="J390" t="b">
        <f t="shared" si="314"/>
        <v>0</v>
      </c>
      <c r="L390" t="str">
        <f>'Both teabags AfterWet'!A388</f>
        <v>G861</v>
      </c>
      <c r="M390" t="str">
        <f>'Both teabags AfterWet'!A808</f>
        <v>R597</v>
      </c>
      <c r="N390" t="b">
        <f t="shared" si="315"/>
        <v>0</v>
      </c>
      <c r="O390" t="b">
        <f t="shared" si="309"/>
        <v>0</v>
      </c>
      <c r="Q390" s="395" t="b">
        <f t="shared" si="316"/>
        <v>0</v>
      </c>
      <c r="R390" s="395" t="b">
        <f t="shared" si="317"/>
        <v>0</v>
      </c>
      <c r="Y390" t="str">
        <f>'Green_rooibos initial weight'!A391</f>
        <v>G387</v>
      </c>
      <c r="Z390" t="str">
        <f>'Green_rooibos initial weight'!A1295</f>
        <v>R387</v>
      </c>
      <c r="AA390" t="b">
        <f t="shared" si="318"/>
        <v>0</v>
      </c>
      <c r="AB390" t="b">
        <f t="shared" si="319"/>
        <v>0</v>
      </c>
      <c r="AE390" t="str">
        <f>'WetLitterbags placem_collection'!O169</f>
        <v>G443</v>
      </c>
      <c r="AF390" t="str">
        <f>'WetLitterbags placem_collection'!Q169</f>
        <v>R215</v>
      </c>
      <c r="AG390" t="b">
        <f t="shared" si="320"/>
        <v>0</v>
      </c>
      <c r="AH390" t="b">
        <f t="shared" si="321"/>
        <v>0</v>
      </c>
      <c r="AJ390" t="b">
        <f t="shared" si="322"/>
        <v>0</v>
      </c>
      <c r="AK390" t="b">
        <f t="shared" si="323"/>
        <v>0</v>
      </c>
      <c r="AM390" t="str">
        <f>IF(ISBLANK('Dry_Litterbag Placem_Collection'!L169),"","G"&amp;""&amp;'Dry_Litterbag Placem_Collection'!L169)</f>
        <v/>
      </c>
      <c r="AN390" t="str">
        <f>IF(ISBLANK('Dry_Litterbag Placem_Collection'!M169),"","R"&amp;""&amp;'Dry_Litterbag Placem_Collection'!M169)</f>
        <v/>
      </c>
      <c r="AO390" t="b">
        <f t="shared" si="324"/>
        <v>1</v>
      </c>
      <c r="AP390" t="b">
        <f t="shared" si="325"/>
        <v>1</v>
      </c>
      <c r="AX390" s="395" t="b">
        <f t="shared" si="326"/>
        <v>0</v>
      </c>
      <c r="AY390" s="395" t="b">
        <f t="shared" si="327"/>
        <v>0</v>
      </c>
      <c r="BA390" t="str">
        <f>'Ashed teabags wet'!A388</f>
        <v>G861</v>
      </c>
      <c r="BB390" t="str">
        <f>'Ashed teabags wet'!A808</f>
        <v>R597</v>
      </c>
      <c r="BC390" t="b">
        <f t="shared" si="328"/>
        <v>0</v>
      </c>
      <c r="BD390" t="b">
        <f t="shared" si="310"/>
        <v>0</v>
      </c>
      <c r="BH390" t="str">
        <f t="shared" si="329"/>
        <v>G409</v>
      </c>
      <c r="BI390" t="str">
        <f t="shared" ref="BI390:BK444" si="341">CB390</f>
        <v>G409</v>
      </c>
      <c r="BP390" t="str">
        <f t="shared" si="330"/>
        <v>R269</v>
      </c>
      <c r="BQ390" t="str">
        <f t="shared" si="331"/>
        <v>R269</v>
      </c>
      <c r="BZ390" t="str">
        <f t="shared" si="332"/>
        <v>G409</v>
      </c>
      <c r="CA390" t="b">
        <f t="shared" si="333"/>
        <v>0</v>
      </c>
      <c r="CB390" t="str">
        <f t="shared" ref="CB390:CB446" si="342">IF(ISNUMBER(SEARCH("USANN",CA390)),BZ390,"")</f>
        <v>G409</v>
      </c>
      <c r="CC390" t="str">
        <f t="shared" si="334"/>
        <v>R269</v>
      </c>
      <c r="CD390" t="b">
        <f t="shared" ref="CD390:CD446" si="343">COUNTIF($BW$5:$BW$2000, CC390)=1</f>
        <v>0</v>
      </c>
      <c r="CE390" t="str">
        <f t="shared" ref="CE390:CE446" si="344">IF(ISNUMBER(SEARCH("USANN",CD390)),CC390,"")</f>
        <v>R269</v>
      </c>
      <c r="CG390" t="str">
        <f t="shared" si="335"/>
        <v>G860</v>
      </c>
      <c r="CH390" t="str">
        <f t="shared" ref="CH390:CH424" si="345">L389</f>
        <v>G860</v>
      </c>
      <c r="CI390" t="str">
        <f>AE389</f>
        <v>G287</v>
      </c>
      <c r="CJ390" t="str">
        <f t="shared" si="336"/>
        <v>G287</v>
      </c>
      <c r="CK390" t="s">
        <v>1190</v>
      </c>
      <c r="CL390" t="s">
        <v>1190</v>
      </c>
      <c r="CM390" t="s">
        <v>1190</v>
      </c>
      <c r="CN390" t="b">
        <f t="shared" ref="CN390:CN453" si="346" xml:space="preserve"> COUNTIF($CK$5:$CM$2000,CL390)=3</f>
        <v>1</v>
      </c>
      <c r="CO390" t="str">
        <f t="shared" si="337"/>
        <v>R596</v>
      </c>
      <c r="CP390" t="str">
        <f t="shared" ref="CP390:CP428" si="347">M389</f>
        <v>R596</v>
      </c>
      <c r="CQ390" t="str">
        <f>AF389</f>
        <v>R259</v>
      </c>
      <c r="CR390" t="str">
        <f t="shared" si="338"/>
        <v>R259</v>
      </c>
      <c r="CS390" t="s">
        <v>545</v>
      </c>
      <c r="CT390" t="s">
        <v>545</v>
      </c>
      <c r="CU390" t="s">
        <v>545</v>
      </c>
      <c r="CV390" t="b">
        <f t="shared" ref="CV390:CV429" si="348" xml:space="preserve"> COUNTIF($CS$5:$CU$2000,CT390)=3</f>
        <v>1</v>
      </c>
      <c r="DC390" t="str">
        <f t="shared" si="339"/>
        <v>G287</v>
      </c>
      <c r="DD390" t="b">
        <f t="shared" ref="DD390:DD444" si="349">COUNTIF($CW$5:$CW$2000, DC390)=1</f>
        <v>0</v>
      </c>
      <c r="DE390" t="str">
        <f t="shared" ref="DE390:DE444" si="350">IF(ISNUMBER(SEARCH("USANN",DD390)),DC390,"")</f>
        <v>G287</v>
      </c>
      <c r="DF390" t="str">
        <f t="shared" si="340"/>
        <v>R259</v>
      </c>
      <c r="DG390" t="b">
        <f t="shared" ref="DG390:DG444" si="351">COUNTIF($CY$5:$CY$2000, DF390)=1</f>
        <v>0</v>
      </c>
      <c r="DH390" t="str">
        <f t="shared" ref="DH390:DH444" si="352">IF(ISNUMBER(SEARCH("USANN",DG390)),DF390,"")</f>
        <v>R259</v>
      </c>
    </row>
    <row r="391" spans="2:112" ht="12" customHeight="1">
      <c r="B391" t="str">
        <f>TBIDry!H463</f>
        <v>G304</v>
      </c>
      <c r="C391" t="str">
        <f>TBIDry!I463</f>
        <v>R413</v>
      </c>
      <c r="D391" t="b">
        <f t="shared" si="311"/>
        <v>0</v>
      </c>
      <c r="E391" t="b">
        <f t="shared" si="312"/>
        <v>0</v>
      </c>
      <c r="G391" t="str">
        <f>TBIWet!H463</f>
        <v>G680</v>
      </c>
      <c r="H391" t="str">
        <f>TBIWet!I463</f>
        <v>R322</v>
      </c>
      <c r="I391" t="b">
        <f t="shared" si="313"/>
        <v>0</v>
      </c>
      <c r="J391" t="b">
        <f t="shared" si="314"/>
        <v>0</v>
      </c>
      <c r="L391" t="str">
        <f>'Both teabags AfterWet'!A389</f>
        <v>G863</v>
      </c>
      <c r="M391" t="str">
        <f>'Both teabags AfterWet'!A809</f>
        <v>R598</v>
      </c>
      <c r="N391" t="b">
        <f t="shared" si="315"/>
        <v>0</v>
      </c>
      <c r="O391" t="b">
        <f t="shared" ref="O391:O427" si="353">COUNTIF($M$4:$M$2000, M391)&gt;1</f>
        <v>0</v>
      </c>
      <c r="Q391" s="395" t="b">
        <f t="shared" si="316"/>
        <v>0</v>
      </c>
      <c r="R391" s="395" t="b">
        <f t="shared" si="317"/>
        <v>0</v>
      </c>
      <c r="Y391" t="str">
        <f>'Green_rooibos initial weight'!A392</f>
        <v>G388</v>
      </c>
      <c r="Z391" t="str">
        <f>'Green_rooibos initial weight'!A1296</f>
        <v>R388</v>
      </c>
      <c r="AA391" t="b">
        <f t="shared" si="318"/>
        <v>0</v>
      </c>
      <c r="AB391" t="b">
        <f t="shared" si="319"/>
        <v>0</v>
      </c>
      <c r="AE391" t="str">
        <f>'WetLitterbags placem_collection'!O170</f>
        <v>G680</v>
      </c>
      <c r="AF391" t="str">
        <f>'WetLitterbags placem_collection'!Q170</f>
        <v>R322</v>
      </c>
      <c r="AG391" t="b">
        <f t="shared" si="320"/>
        <v>0</v>
      </c>
      <c r="AH391" t="b">
        <f t="shared" si="321"/>
        <v>0</v>
      </c>
      <c r="AJ391" t="b">
        <f t="shared" si="322"/>
        <v>0</v>
      </c>
      <c r="AK391" t="b">
        <f t="shared" si="323"/>
        <v>0</v>
      </c>
      <c r="AM391" t="str">
        <f>IF(ISBLANK('Dry_Litterbag Placem_Collection'!L170),"","G"&amp;""&amp;'Dry_Litterbag Placem_Collection'!L170)</f>
        <v>G304</v>
      </c>
      <c r="AN391" t="str">
        <f>IF(ISBLANK('Dry_Litterbag Placem_Collection'!M170),"","R"&amp;""&amp;'Dry_Litterbag Placem_Collection'!M170)</f>
        <v>R413</v>
      </c>
      <c r="AO391" t="b">
        <f t="shared" si="324"/>
        <v>0</v>
      </c>
      <c r="AP391" t="b">
        <f t="shared" si="325"/>
        <v>0</v>
      </c>
      <c r="AX391" s="395" t="b">
        <f t="shared" si="326"/>
        <v>0</v>
      </c>
      <c r="AY391" s="395" t="b">
        <f t="shared" si="327"/>
        <v>0</v>
      </c>
      <c r="BA391" t="str">
        <f>'Ashed teabags wet'!A389</f>
        <v>G863</v>
      </c>
      <c r="BB391" t="str">
        <f>'Ashed teabags wet'!A809</f>
        <v>R598</v>
      </c>
      <c r="BC391" t="b">
        <f t="shared" si="328"/>
        <v>0</v>
      </c>
      <c r="BD391" t="b">
        <f t="shared" si="310"/>
        <v>0</v>
      </c>
      <c r="BH391" t="str">
        <f t="shared" si="329"/>
        <v/>
      </c>
      <c r="BI391" t="str">
        <f t="shared" si="341"/>
        <v/>
      </c>
      <c r="BP391" t="str">
        <f t="shared" si="330"/>
        <v/>
      </c>
      <c r="BQ391" t="str">
        <f t="shared" si="331"/>
        <v/>
      </c>
      <c r="BZ391" t="str">
        <f t="shared" si="332"/>
        <v/>
      </c>
      <c r="CA391" t="b">
        <f t="shared" si="333"/>
        <v>0</v>
      </c>
      <c r="CB391" t="str">
        <f t="shared" si="342"/>
        <v/>
      </c>
      <c r="CC391" t="str">
        <f t="shared" si="334"/>
        <v/>
      </c>
      <c r="CD391" t="b">
        <f t="shared" si="343"/>
        <v>0</v>
      </c>
      <c r="CE391" t="str">
        <f t="shared" si="344"/>
        <v/>
      </c>
      <c r="CG391" t="str">
        <f t="shared" si="335"/>
        <v>G861</v>
      </c>
      <c r="CH391" t="str">
        <f t="shared" si="345"/>
        <v>G861</v>
      </c>
      <c r="CI391" t="str">
        <f>AE390</f>
        <v>G443</v>
      </c>
      <c r="CJ391" t="str">
        <f t="shared" si="336"/>
        <v>G443</v>
      </c>
      <c r="CK391" t="s">
        <v>1189</v>
      </c>
      <c r="CL391" t="s">
        <v>1189</v>
      </c>
      <c r="CM391" t="s">
        <v>1189</v>
      </c>
      <c r="CN391" t="b">
        <f t="shared" si="346"/>
        <v>1</v>
      </c>
      <c r="CO391" t="str">
        <f t="shared" si="337"/>
        <v>R597</v>
      </c>
      <c r="CP391" t="str">
        <f t="shared" si="347"/>
        <v>R597</v>
      </c>
      <c r="CQ391" t="str">
        <f>AF390</f>
        <v>R215</v>
      </c>
      <c r="CR391" t="str">
        <f t="shared" si="338"/>
        <v>R215</v>
      </c>
      <c r="CS391" t="s">
        <v>544</v>
      </c>
      <c r="CT391" t="s">
        <v>544</v>
      </c>
      <c r="CU391" t="s">
        <v>544</v>
      </c>
      <c r="CV391" t="b">
        <f t="shared" si="348"/>
        <v>1</v>
      </c>
      <c r="DC391" t="str">
        <f t="shared" si="339"/>
        <v>G443</v>
      </c>
      <c r="DD391" t="b">
        <f t="shared" si="349"/>
        <v>0</v>
      </c>
      <c r="DE391" t="str">
        <f t="shared" si="350"/>
        <v>G443</v>
      </c>
      <c r="DF391" t="str">
        <f t="shared" si="340"/>
        <v>R215</v>
      </c>
      <c r="DG391" t="b">
        <f t="shared" si="351"/>
        <v>0</v>
      </c>
      <c r="DH391" t="str">
        <f t="shared" si="352"/>
        <v>R215</v>
      </c>
    </row>
    <row r="392" spans="2:112" ht="12" customHeight="1">
      <c r="B392" t="str">
        <f>TBIDry!H464</f>
        <v>G135</v>
      </c>
      <c r="C392" t="str">
        <f>TBIDry!I464</f>
        <v>R80</v>
      </c>
      <c r="D392" t="b">
        <f t="shared" si="311"/>
        <v>0</v>
      </c>
      <c r="E392" t="b">
        <f t="shared" si="312"/>
        <v>0</v>
      </c>
      <c r="G392" t="str">
        <f>TBIWet!H464</f>
        <v>G496</v>
      </c>
      <c r="H392" t="str">
        <f>TBIWet!I464</f>
        <v>R403</v>
      </c>
      <c r="I392" t="b">
        <f t="shared" si="313"/>
        <v>0</v>
      </c>
      <c r="J392" t="b">
        <f t="shared" si="314"/>
        <v>0</v>
      </c>
      <c r="L392" t="str">
        <f>'Both teabags AfterWet'!A390</f>
        <v>G864</v>
      </c>
      <c r="M392" t="str">
        <f>'Both teabags AfterWet'!A810</f>
        <v>R6</v>
      </c>
      <c r="N392" t="b">
        <f t="shared" si="315"/>
        <v>0</v>
      </c>
      <c r="O392" t="b">
        <f t="shared" si="353"/>
        <v>0</v>
      </c>
      <c r="Q392" s="395" t="b">
        <f t="shared" si="316"/>
        <v>0</v>
      </c>
      <c r="R392" s="395" t="b">
        <f t="shared" si="317"/>
        <v>0</v>
      </c>
      <c r="Y392" t="str">
        <f>'Green_rooibos initial weight'!A393</f>
        <v>G389</v>
      </c>
      <c r="Z392" t="str">
        <f>'Green_rooibos initial weight'!A1297</f>
        <v>R389</v>
      </c>
      <c r="AA392" t="b">
        <f t="shared" si="318"/>
        <v>0</v>
      </c>
      <c r="AB392" t="b">
        <f t="shared" si="319"/>
        <v>0</v>
      </c>
      <c r="AE392" t="str">
        <f>'WetLitterbags placem_collection'!O171</f>
        <v>G496</v>
      </c>
      <c r="AF392" t="str">
        <f>'WetLitterbags placem_collection'!Q171</f>
        <v>R403</v>
      </c>
      <c r="AG392" t="b">
        <f t="shared" si="320"/>
        <v>0</v>
      </c>
      <c r="AH392" t="b">
        <f t="shared" si="321"/>
        <v>0</v>
      </c>
      <c r="AJ392" t="b">
        <f t="shared" si="322"/>
        <v>0</v>
      </c>
      <c r="AK392" t="b">
        <f t="shared" si="323"/>
        <v>0</v>
      </c>
      <c r="AM392" t="str">
        <f>IF(ISBLANK('Dry_Litterbag Placem_Collection'!L171),"","G"&amp;""&amp;'Dry_Litterbag Placem_Collection'!L171)</f>
        <v>G135</v>
      </c>
      <c r="AN392" t="str">
        <f>IF(ISBLANK('Dry_Litterbag Placem_Collection'!M171),"","R"&amp;""&amp;'Dry_Litterbag Placem_Collection'!M171)</f>
        <v>R80</v>
      </c>
      <c r="AO392" t="b">
        <f t="shared" si="324"/>
        <v>0</v>
      </c>
      <c r="AP392" t="b">
        <f t="shared" si="325"/>
        <v>0</v>
      </c>
      <c r="AX392" s="395" t="b">
        <f t="shared" si="326"/>
        <v>0</v>
      </c>
      <c r="AY392" s="395" t="b">
        <f t="shared" si="327"/>
        <v>0</v>
      </c>
      <c r="BA392" t="str">
        <f>'Ashed teabags wet'!A390</f>
        <v>G864</v>
      </c>
      <c r="BB392" t="str">
        <f>'Ashed teabags wet'!A810</f>
        <v>R6</v>
      </c>
      <c r="BC392" t="b">
        <f t="shared" si="328"/>
        <v>0</v>
      </c>
      <c r="BD392" t="b">
        <f t="shared" si="310"/>
        <v>0</v>
      </c>
      <c r="BH392" t="str">
        <f t="shared" si="329"/>
        <v>G304</v>
      </c>
      <c r="BI392" t="str">
        <f t="shared" si="341"/>
        <v/>
      </c>
      <c r="BP392" t="str">
        <f t="shared" si="330"/>
        <v>R413</v>
      </c>
      <c r="BQ392" t="str">
        <f t="shared" si="331"/>
        <v/>
      </c>
      <c r="BZ392" t="str">
        <f t="shared" si="332"/>
        <v>G304</v>
      </c>
      <c r="CA392" t="b">
        <f t="shared" si="333"/>
        <v>1</v>
      </c>
      <c r="CB392" t="str">
        <f t="shared" si="342"/>
        <v/>
      </c>
      <c r="CC392" t="str">
        <f t="shared" si="334"/>
        <v>R413</v>
      </c>
      <c r="CD392" t="b">
        <f t="shared" si="343"/>
        <v>1</v>
      </c>
      <c r="CE392" t="str">
        <f t="shared" si="344"/>
        <v/>
      </c>
      <c r="CG392" t="str">
        <f t="shared" si="335"/>
        <v>G863</v>
      </c>
      <c r="CH392" t="str">
        <f t="shared" si="345"/>
        <v>G863</v>
      </c>
      <c r="CI392" t="str">
        <f>AE391</f>
        <v>G680</v>
      </c>
      <c r="CJ392" t="str">
        <f t="shared" si="336"/>
        <v>G680</v>
      </c>
      <c r="CK392" t="s">
        <v>1187</v>
      </c>
      <c r="CL392" t="s">
        <v>1187</v>
      </c>
      <c r="CM392" t="s">
        <v>1187</v>
      </c>
      <c r="CN392" t="b">
        <f t="shared" si="346"/>
        <v>1</v>
      </c>
      <c r="CO392" t="str">
        <f t="shared" si="337"/>
        <v>R598</v>
      </c>
      <c r="CP392" t="str">
        <f t="shared" si="347"/>
        <v>R598</v>
      </c>
      <c r="CQ392" t="str">
        <f>AF391</f>
        <v>R322</v>
      </c>
      <c r="CR392" t="str">
        <f t="shared" si="338"/>
        <v>R322</v>
      </c>
      <c r="CS392" t="s">
        <v>543</v>
      </c>
      <c r="CT392" t="s">
        <v>543</v>
      </c>
      <c r="CU392" t="s">
        <v>543</v>
      </c>
      <c r="CV392" t="b">
        <f t="shared" si="348"/>
        <v>1</v>
      </c>
      <c r="DC392" t="str">
        <f t="shared" si="339"/>
        <v>G680</v>
      </c>
      <c r="DD392" t="b">
        <f t="shared" si="349"/>
        <v>0</v>
      </c>
      <c r="DE392" t="str">
        <f t="shared" si="350"/>
        <v>G680</v>
      </c>
      <c r="DF392" t="str">
        <f t="shared" si="340"/>
        <v>R322</v>
      </c>
      <c r="DG392" t="b">
        <f t="shared" si="351"/>
        <v>0</v>
      </c>
      <c r="DH392" t="str">
        <f t="shared" si="352"/>
        <v>R322</v>
      </c>
    </row>
    <row r="393" spans="2:112" ht="12" customHeight="1">
      <c r="B393" t="str">
        <f>TBIDry!H465</f>
        <v>G515</v>
      </c>
      <c r="C393" t="str">
        <f>TBIDry!I465</f>
        <v>R208</v>
      </c>
      <c r="D393" t="b">
        <f t="shared" si="311"/>
        <v>0</v>
      </c>
      <c r="E393" t="b">
        <f t="shared" si="312"/>
        <v>0</v>
      </c>
      <c r="G393" t="str">
        <f>TBIWet!H465</f>
        <v>G674</v>
      </c>
      <c r="H393" t="str">
        <f>TBIWet!I465</f>
        <v>R583</v>
      </c>
      <c r="I393" t="b">
        <f t="shared" si="313"/>
        <v>0</v>
      </c>
      <c r="J393" t="b">
        <f t="shared" si="314"/>
        <v>0</v>
      </c>
      <c r="L393" t="str">
        <f>'Both teabags AfterWet'!A391</f>
        <v>G865</v>
      </c>
      <c r="M393" t="str">
        <f>'Both teabags AfterWet'!A811</f>
        <v>R60</v>
      </c>
      <c r="N393" t="b">
        <f t="shared" si="315"/>
        <v>0</v>
      </c>
      <c r="O393" t="b">
        <f t="shared" si="353"/>
        <v>0</v>
      </c>
      <c r="Q393" s="395" t="b">
        <f t="shared" si="316"/>
        <v>0</v>
      </c>
      <c r="R393" s="395" t="b">
        <f t="shared" si="317"/>
        <v>0</v>
      </c>
      <c r="Y393" t="str">
        <f>'Green_rooibos initial weight'!A394</f>
        <v>G390</v>
      </c>
      <c r="Z393" t="str">
        <f>'Green_rooibos initial weight'!A1298</f>
        <v>R390</v>
      </c>
      <c r="AA393" t="b">
        <f t="shared" si="318"/>
        <v>0</v>
      </c>
      <c r="AB393" t="b">
        <f t="shared" si="319"/>
        <v>0</v>
      </c>
      <c r="AE393" t="str">
        <f>'WetLitterbags placem_collection'!O172</f>
        <v>G674</v>
      </c>
      <c r="AF393" t="str">
        <f>'WetLitterbags placem_collection'!Q172</f>
        <v>R583</v>
      </c>
      <c r="AG393" t="b">
        <f t="shared" si="320"/>
        <v>0</v>
      </c>
      <c r="AH393" t="b">
        <f t="shared" si="321"/>
        <v>0</v>
      </c>
      <c r="AJ393" t="b">
        <f t="shared" si="322"/>
        <v>0</v>
      </c>
      <c r="AK393" t="b">
        <f t="shared" si="323"/>
        <v>0</v>
      </c>
      <c r="AM393" t="str">
        <f>IF(ISBLANK('Dry_Litterbag Placem_Collection'!L172),"","G"&amp;""&amp;'Dry_Litterbag Placem_Collection'!L172)</f>
        <v>G515</v>
      </c>
      <c r="AN393" t="str">
        <f>IF(ISBLANK('Dry_Litterbag Placem_Collection'!M172),"","R"&amp;""&amp;'Dry_Litterbag Placem_Collection'!M172)</f>
        <v>R208</v>
      </c>
      <c r="AO393" t="b">
        <f t="shared" si="324"/>
        <v>0</v>
      </c>
      <c r="AP393" t="b">
        <f t="shared" si="325"/>
        <v>0</v>
      </c>
      <c r="AX393" s="395" t="b">
        <f t="shared" si="326"/>
        <v>0</v>
      </c>
      <c r="AY393" s="395" t="b">
        <f t="shared" si="327"/>
        <v>0</v>
      </c>
      <c r="BA393" t="str">
        <f>'Ashed teabags wet'!A391</f>
        <v>G865</v>
      </c>
      <c r="BB393" t="str">
        <f>'Ashed teabags wet'!A811</f>
        <v>R60</v>
      </c>
      <c r="BC393" t="b">
        <f t="shared" si="328"/>
        <v>0</v>
      </c>
      <c r="BD393" t="b">
        <f t="shared" si="310"/>
        <v>0</v>
      </c>
      <c r="BH393" t="str">
        <f t="shared" si="329"/>
        <v>G135</v>
      </c>
      <c r="BI393" t="str">
        <f t="shared" si="341"/>
        <v>G135</v>
      </c>
      <c r="BP393" t="str">
        <f t="shared" si="330"/>
        <v>R80</v>
      </c>
      <c r="BQ393" t="str">
        <f t="shared" si="331"/>
        <v>R80</v>
      </c>
      <c r="BZ393" t="str">
        <f t="shared" si="332"/>
        <v>G135</v>
      </c>
      <c r="CA393" t="b">
        <f t="shared" si="333"/>
        <v>0</v>
      </c>
      <c r="CB393" t="str">
        <f t="shared" si="342"/>
        <v>G135</v>
      </c>
      <c r="CC393" t="str">
        <f t="shared" si="334"/>
        <v>R80</v>
      </c>
      <c r="CD393" t="b">
        <f t="shared" si="343"/>
        <v>0</v>
      </c>
      <c r="CE393" t="str">
        <f t="shared" si="344"/>
        <v>R80</v>
      </c>
      <c r="CG393" t="str">
        <f t="shared" si="335"/>
        <v>G864</v>
      </c>
      <c r="CH393" t="str">
        <f t="shared" si="345"/>
        <v>G864</v>
      </c>
      <c r="CI393" t="str">
        <f>AE392</f>
        <v>G496</v>
      </c>
      <c r="CJ393" t="str">
        <f t="shared" si="336"/>
        <v>G496</v>
      </c>
      <c r="CK393" t="s">
        <v>1186</v>
      </c>
      <c r="CL393" t="s">
        <v>1186</v>
      </c>
      <c r="CM393" t="s">
        <v>1186</v>
      </c>
      <c r="CN393" t="b">
        <f t="shared" si="346"/>
        <v>1</v>
      </c>
      <c r="CO393" t="str">
        <f t="shared" si="337"/>
        <v>R6</v>
      </c>
      <c r="CP393" t="str">
        <f t="shared" si="347"/>
        <v>R6</v>
      </c>
      <c r="CQ393" t="str">
        <f>AF392</f>
        <v>R403</v>
      </c>
      <c r="CR393" t="str">
        <f t="shared" si="338"/>
        <v>R403</v>
      </c>
      <c r="CS393" t="s">
        <v>1135</v>
      </c>
      <c r="CT393" t="s">
        <v>1135</v>
      </c>
      <c r="CU393" t="s">
        <v>1135</v>
      </c>
      <c r="CV393" t="b">
        <f t="shared" si="348"/>
        <v>1</v>
      </c>
      <c r="DC393" t="str">
        <f t="shared" si="339"/>
        <v>G496</v>
      </c>
      <c r="DD393" t="b">
        <f t="shared" si="349"/>
        <v>0</v>
      </c>
      <c r="DE393" t="str">
        <f t="shared" si="350"/>
        <v>G496</v>
      </c>
      <c r="DF393" t="str">
        <f t="shared" si="340"/>
        <v>R403</v>
      </c>
      <c r="DG393" t="b">
        <f t="shared" si="351"/>
        <v>0</v>
      </c>
      <c r="DH393" t="str">
        <f t="shared" si="352"/>
        <v>R403</v>
      </c>
    </row>
    <row r="394" spans="2:112" ht="12" customHeight="1">
      <c r="B394" t="str">
        <f>TBIDry!H466</f>
        <v>G348</v>
      </c>
      <c r="C394" t="str">
        <f>TBIDry!I466</f>
        <v>R633</v>
      </c>
      <c r="D394" t="b">
        <f t="shared" si="311"/>
        <v>0</v>
      </c>
      <c r="E394" t="b">
        <f t="shared" si="312"/>
        <v>0</v>
      </c>
      <c r="G394" t="str">
        <f>TBIWet!H466</f>
        <v>G504</v>
      </c>
      <c r="H394" t="str">
        <f>TBIWet!I466</f>
        <v>R451</v>
      </c>
      <c r="I394" t="b">
        <f t="shared" si="313"/>
        <v>0</v>
      </c>
      <c r="J394" t="b">
        <f t="shared" si="314"/>
        <v>0</v>
      </c>
      <c r="L394" t="str">
        <f>'Both teabags AfterWet'!A392</f>
        <v>G867</v>
      </c>
      <c r="M394" t="str">
        <f>'Both teabags AfterWet'!A812</f>
        <v>R600</v>
      </c>
      <c r="N394" t="b">
        <f t="shared" si="315"/>
        <v>0</v>
      </c>
      <c r="O394" t="b">
        <f t="shared" si="353"/>
        <v>0</v>
      </c>
      <c r="Q394" s="395" t="b">
        <f t="shared" si="316"/>
        <v>0</v>
      </c>
      <c r="R394" s="395" t="b">
        <f t="shared" si="317"/>
        <v>0</v>
      </c>
      <c r="Y394" t="str">
        <f>'Green_rooibos initial weight'!A395</f>
        <v>G391</v>
      </c>
      <c r="Z394" t="str">
        <f>'Green_rooibos initial weight'!A1299</f>
        <v>R391</v>
      </c>
      <c r="AA394" t="b">
        <f t="shared" si="318"/>
        <v>0</v>
      </c>
      <c r="AB394" t="b">
        <f t="shared" si="319"/>
        <v>0</v>
      </c>
      <c r="AE394" t="str">
        <f>'WetLitterbags placem_collection'!O173</f>
        <v>G504</v>
      </c>
      <c r="AF394" t="str">
        <f>'WetLitterbags placem_collection'!Q173</f>
        <v>R451</v>
      </c>
      <c r="AG394" t="b">
        <f t="shared" si="320"/>
        <v>0</v>
      </c>
      <c r="AH394" t="b">
        <f t="shared" si="321"/>
        <v>0</v>
      </c>
      <c r="AJ394" t="b">
        <f t="shared" si="322"/>
        <v>0</v>
      </c>
      <c r="AK394" t="b">
        <f t="shared" si="323"/>
        <v>0</v>
      </c>
      <c r="AM394" t="str">
        <f>IF(ISBLANK('Dry_Litterbag Placem_Collection'!L173),"","G"&amp;""&amp;'Dry_Litterbag Placem_Collection'!L173)</f>
        <v>G348</v>
      </c>
      <c r="AN394" t="str">
        <f>IF(ISBLANK('Dry_Litterbag Placem_Collection'!M173),"","R"&amp;""&amp;'Dry_Litterbag Placem_Collection'!M173)</f>
        <v>R633</v>
      </c>
      <c r="AO394" t="b">
        <f t="shared" si="324"/>
        <v>0</v>
      </c>
      <c r="AP394" t="b">
        <f t="shared" si="325"/>
        <v>0</v>
      </c>
      <c r="AX394" s="395" t="b">
        <f t="shared" si="326"/>
        <v>0</v>
      </c>
      <c r="AY394" s="395" t="b">
        <f t="shared" si="327"/>
        <v>0</v>
      </c>
      <c r="BA394" t="str">
        <f>'Ashed teabags wet'!A392</f>
        <v>G867</v>
      </c>
      <c r="BB394" t="str">
        <f>'Ashed teabags wet'!A812</f>
        <v>R600</v>
      </c>
      <c r="BC394" t="b">
        <f t="shared" si="328"/>
        <v>0</v>
      </c>
      <c r="BD394" t="b">
        <f t="shared" si="310"/>
        <v>0</v>
      </c>
      <c r="BH394" t="str">
        <f t="shared" si="329"/>
        <v>G515</v>
      </c>
      <c r="BI394" t="str">
        <f t="shared" si="341"/>
        <v>G515</v>
      </c>
      <c r="BP394" t="str">
        <f t="shared" si="330"/>
        <v>R208</v>
      </c>
      <c r="BQ394" t="str">
        <f t="shared" si="331"/>
        <v>R208</v>
      </c>
      <c r="BZ394" t="str">
        <f t="shared" si="332"/>
        <v>G515</v>
      </c>
      <c r="CA394" t="b">
        <f t="shared" si="333"/>
        <v>0</v>
      </c>
      <c r="CB394" t="str">
        <f t="shared" si="342"/>
        <v>G515</v>
      </c>
      <c r="CC394" t="str">
        <f t="shared" si="334"/>
        <v>R208</v>
      </c>
      <c r="CD394" t="b">
        <f t="shared" si="343"/>
        <v>0</v>
      </c>
      <c r="CE394" t="str">
        <f t="shared" si="344"/>
        <v>R208</v>
      </c>
      <c r="CG394" t="str">
        <f t="shared" si="335"/>
        <v>G865</v>
      </c>
      <c r="CH394" t="str">
        <f t="shared" si="345"/>
        <v>G865</v>
      </c>
      <c r="CI394" t="str">
        <f>AE393</f>
        <v>G674</v>
      </c>
      <c r="CJ394" t="str">
        <f t="shared" si="336"/>
        <v>G674</v>
      </c>
      <c r="CK394" t="s">
        <v>1185</v>
      </c>
      <c r="CL394" t="s">
        <v>1185</v>
      </c>
      <c r="CM394" t="s">
        <v>1185</v>
      </c>
      <c r="CN394" t="b">
        <f t="shared" si="346"/>
        <v>1</v>
      </c>
      <c r="CO394" t="str">
        <f t="shared" si="337"/>
        <v>R60</v>
      </c>
      <c r="CP394" t="str">
        <f t="shared" si="347"/>
        <v>R60</v>
      </c>
      <c r="CQ394" t="str">
        <f>AF393</f>
        <v>R583</v>
      </c>
      <c r="CR394" t="str">
        <f t="shared" si="338"/>
        <v>R583</v>
      </c>
      <c r="CS394" t="s">
        <v>1081</v>
      </c>
      <c r="CT394" t="s">
        <v>1081</v>
      </c>
      <c r="CU394" t="s">
        <v>1081</v>
      </c>
      <c r="CV394" t="b">
        <f t="shared" si="348"/>
        <v>1</v>
      </c>
      <c r="DC394" t="str">
        <f t="shared" si="339"/>
        <v>G674</v>
      </c>
      <c r="DD394" t="b">
        <f t="shared" si="349"/>
        <v>0</v>
      </c>
      <c r="DE394" t="str">
        <f t="shared" si="350"/>
        <v>G674</v>
      </c>
      <c r="DF394" t="str">
        <f t="shared" si="340"/>
        <v>R583</v>
      </c>
      <c r="DG394" t="b">
        <f t="shared" si="351"/>
        <v>0</v>
      </c>
      <c r="DH394" t="str">
        <f t="shared" si="352"/>
        <v>R583</v>
      </c>
    </row>
    <row r="395" spans="2:112" ht="12" customHeight="1">
      <c r="B395" t="str">
        <f>TBIDry!H467</f>
        <v/>
      </c>
      <c r="C395" t="str">
        <f>TBIDry!I467</f>
        <v/>
      </c>
      <c r="D395" t="b">
        <f t="shared" si="311"/>
        <v>1</v>
      </c>
      <c r="E395" t="b">
        <f t="shared" si="312"/>
        <v>1</v>
      </c>
      <c r="G395" t="str">
        <f>TBIWet!H467</f>
        <v>G439</v>
      </c>
      <c r="H395" t="str">
        <f>TBIWet!I467</f>
        <v>R353</v>
      </c>
      <c r="I395" t="b">
        <f t="shared" si="313"/>
        <v>0</v>
      </c>
      <c r="J395" t="b">
        <f t="shared" si="314"/>
        <v>0</v>
      </c>
      <c r="L395" t="str">
        <f>'Both teabags AfterWet'!A393</f>
        <v>G869</v>
      </c>
      <c r="M395" t="str">
        <f>'Both teabags AfterWet'!A813</f>
        <v>R601</v>
      </c>
      <c r="N395" t="b">
        <f t="shared" si="315"/>
        <v>0</v>
      </c>
      <c r="O395" t="b">
        <f t="shared" si="353"/>
        <v>0</v>
      </c>
      <c r="Q395" s="395" t="b">
        <f t="shared" si="316"/>
        <v>0</v>
      </c>
      <c r="R395" s="395" t="b">
        <f xml:space="preserve"> COUNTIF($U$4:$U$2000,M395)=1</f>
        <v>0</v>
      </c>
      <c r="Y395" t="str">
        <f>'Green_rooibos initial weight'!A396</f>
        <v>G392</v>
      </c>
      <c r="Z395" t="str">
        <f>'Green_rooibos initial weight'!A1300</f>
        <v>R392</v>
      </c>
      <c r="AA395" t="b">
        <f t="shared" si="318"/>
        <v>0</v>
      </c>
      <c r="AB395" t="b">
        <f t="shared" si="319"/>
        <v>0</v>
      </c>
      <c r="AE395" t="str">
        <f>'WetLitterbags placem_collection'!O174</f>
        <v>G439</v>
      </c>
      <c r="AF395" t="str">
        <f>'WetLitterbags placem_collection'!Q174</f>
        <v>R353</v>
      </c>
      <c r="AG395" t="b">
        <f t="shared" si="320"/>
        <v>0</v>
      </c>
      <c r="AH395" t="b">
        <f t="shared" si="321"/>
        <v>0</v>
      </c>
      <c r="AJ395" t="b">
        <f t="shared" si="322"/>
        <v>0</v>
      </c>
      <c r="AK395" t="b">
        <f t="shared" si="323"/>
        <v>0</v>
      </c>
      <c r="AM395" t="str">
        <f>IF(ISBLANK('Dry_Litterbag Placem_Collection'!L174),"","G"&amp;""&amp;'Dry_Litterbag Placem_Collection'!L174)</f>
        <v/>
      </c>
      <c r="AN395" t="str">
        <f>IF(ISBLANK('Dry_Litterbag Placem_Collection'!M174),"","R"&amp;""&amp;'Dry_Litterbag Placem_Collection'!M174)</f>
        <v/>
      </c>
      <c r="AO395" t="b">
        <f t="shared" si="324"/>
        <v>1</v>
      </c>
      <c r="AP395" t="b">
        <f t="shared" si="325"/>
        <v>1</v>
      </c>
      <c r="AX395" s="395" t="b">
        <f t="shared" si="326"/>
        <v>0</v>
      </c>
      <c r="AY395" s="395" t="b">
        <f t="shared" si="327"/>
        <v>0</v>
      </c>
      <c r="BA395" t="str">
        <f>'Ashed teabags wet'!A393</f>
        <v>G869</v>
      </c>
      <c r="BB395" t="str">
        <f>'Ashed teabags wet'!A813</f>
        <v>R601</v>
      </c>
      <c r="BC395" t="b">
        <f t="shared" si="328"/>
        <v>0</v>
      </c>
      <c r="BD395" t="b">
        <f t="shared" si="310"/>
        <v>0</v>
      </c>
      <c r="BH395" t="str">
        <f t="shared" si="329"/>
        <v>G348</v>
      </c>
      <c r="BI395" t="str">
        <f t="shared" si="341"/>
        <v>G348</v>
      </c>
      <c r="BP395" t="str">
        <f t="shared" si="330"/>
        <v>R633</v>
      </c>
      <c r="BQ395" t="str">
        <f t="shared" si="331"/>
        <v>R633</v>
      </c>
      <c r="BZ395" t="str">
        <f t="shared" si="332"/>
        <v>G348</v>
      </c>
      <c r="CA395" t="b">
        <f t="shared" si="333"/>
        <v>0</v>
      </c>
      <c r="CB395" t="str">
        <f t="shared" si="342"/>
        <v>G348</v>
      </c>
      <c r="CC395" t="str">
        <f t="shared" si="334"/>
        <v>R633</v>
      </c>
      <c r="CD395" t="b">
        <f t="shared" si="343"/>
        <v>0</v>
      </c>
      <c r="CE395" t="str">
        <f t="shared" si="344"/>
        <v>R633</v>
      </c>
      <c r="CG395" t="str">
        <f t="shared" si="335"/>
        <v>G867</v>
      </c>
      <c r="CH395" t="str">
        <f t="shared" si="345"/>
        <v>G867</v>
      </c>
      <c r="CI395" t="str">
        <f>AE394</f>
        <v>G504</v>
      </c>
      <c r="CJ395" t="str">
        <f t="shared" si="336"/>
        <v>G504</v>
      </c>
      <c r="CK395" t="s">
        <v>1183</v>
      </c>
      <c r="CL395" t="s">
        <v>1183</v>
      </c>
      <c r="CM395" t="s">
        <v>1183</v>
      </c>
      <c r="CN395" t="b">
        <f t="shared" si="346"/>
        <v>1</v>
      </c>
      <c r="CO395" t="str">
        <f t="shared" si="337"/>
        <v>R600</v>
      </c>
      <c r="CP395" t="str">
        <f t="shared" si="347"/>
        <v>R600</v>
      </c>
      <c r="CQ395" t="str">
        <f>AF394</f>
        <v>R451</v>
      </c>
      <c r="CR395" t="str">
        <f t="shared" si="338"/>
        <v>R451</v>
      </c>
      <c r="CS395" t="s">
        <v>541</v>
      </c>
      <c r="CT395" t="s">
        <v>541</v>
      </c>
      <c r="CU395" t="s">
        <v>541</v>
      </c>
      <c r="CV395" t="b">
        <f t="shared" si="348"/>
        <v>1</v>
      </c>
      <c r="DC395" t="str">
        <f t="shared" si="339"/>
        <v>G504</v>
      </c>
      <c r="DD395" t="b">
        <f t="shared" si="349"/>
        <v>0</v>
      </c>
      <c r="DE395" t="str">
        <f t="shared" si="350"/>
        <v>G504</v>
      </c>
      <c r="DF395" t="str">
        <f t="shared" si="340"/>
        <v>R451</v>
      </c>
      <c r="DG395" t="b">
        <f t="shared" si="351"/>
        <v>0</v>
      </c>
      <c r="DH395" t="str">
        <f t="shared" si="352"/>
        <v>R451</v>
      </c>
    </row>
    <row r="396" spans="2:112" ht="12" customHeight="1">
      <c r="B396" t="str">
        <f>TBIDry!H468</f>
        <v>G307</v>
      </c>
      <c r="C396" t="str">
        <f>TBIDry!I468</f>
        <v>R473</v>
      </c>
      <c r="D396" t="b">
        <f t="shared" si="311"/>
        <v>0</v>
      </c>
      <c r="E396" t="b">
        <f t="shared" si="312"/>
        <v>0</v>
      </c>
      <c r="G396" t="str">
        <f>TBIWet!H468</f>
        <v>G865</v>
      </c>
      <c r="H396" t="str">
        <f>TBIWet!I468</f>
        <v>R105</v>
      </c>
      <c r="I396" t="b">
        <f t="shared" si="313"/>
        <v>0</v>
      </c>
      <c r="J396" t="b">
        <f t="shared" si="314"/>
        <v>0</v>
      </c>
      <c r="L396" t="str">
        <f>'Both teabags AfterWet'!A394</f>
        <v>G871</v>
      </c>
      <c r="M396" t="str">
        <f>'Both teabags AfterWet'!A814</f>
        <v>R62</v>
      </c>
      <c r="N396" t="b">
        <f t="shared" si="315"/>
        <v>0</v>
      </c>
      <c r="O396" t="b">
        <f t="shared" si="353"/>
        <v>0</v>
      </c>
      <c r="Q396" s="395" t="b">
        <f t="shared" si="316"/>
        <v>0</v>
      </c>
      <c r="R396" s="395" t="b">
        <f t="shared" si="317"/>
        <v>0</v>
      </c>
      <c r="Y396" t="str">
        <f>'Green_rooibos initial weight'!A397</f>
        <v>G393</v>
      </c>
      <c r="Z396" t="str">
        <f>'Green_rooibos initial weight'!A1301</f>
        <v>R393</v>
      </c>
      <c r="AA396" t="b">
        <f t="shared" si="318"/>
        <v>0</v>
      </c>
      <c r="AB396" t="b">
        <f t="shared" si="319"/>
        <v>0</v>
      </c>
      <c r="AE396" t="str">
        <f>'WetLitterbags placem_collection'!O175</f>
        <v>G865</v>
      </c>
      <c r="AF396" t="str">
        <f>'WetLitterbags placem_collection'!Q175</f>
        <v>R105</v>
      </c>
      <c r="AG396" t="b">
        <f t="shared" si="320"/>
        <v>0</v>
      </c>
      <c r="AH396" t="b">
        <f t="shared" si="321"/>
        <v>0</v>
      </c>
      <c r="AJ396" t="b">
        <f t="shared" si="322"/>
        <v>0</v>
      </c>
      <c r="AK396" t="b">
        <f t="shared" si="323"/>
        <v>0</v>
      </c>
      <c r="AM396" t="str">
        <f>IF(ISBLANK('Dry_Litterbag Placem_Collection'!L175),"","G"&amp;""&amp;'Dry_Litterbag Placem_Collection'!L175)</f>
        <v>G307</v>
      </c>
      <c r="AN396" t="str">
        <f>IF(ISBLANK('Dry_Litterbag Placem_Collection'!M175),"","R"&amp;""&amp;'Dry_Litterbag Placem_Collection'!M175)</f>
        <v>R473</v>
      </c>
      <c r="AO396" t="b">
        <f t="shared" si="324"/>
        <v>0</v>
      </c>
      <c r="AP396" t="b">
        <f t="shared" si="325"/>
        <v>0</v>
      </c>
      <c r="AX396" s="395" t="b">
        <f t="shared" si="326"/>
        <v>0</v>
      </c>
      <c r="AY396" s="395" t="b">
        <f t="shared" si="327"/>
        <v>0</v>
      </c>
      <c r="BA396" t="str">
        <f>'Ashed teabags wet'!A394</f>
        <v>G871</v>
      </c>
      <c r="BB396" t="str">
        <f>'Ashed teabags wet'!A814</f>
        <v>R62</v>
      </c>
      <c r="BC396" t="b">
        <f t="shared" si="328"/>
        <v>0</v>
      </c>
      <c r="BD396" t="b">
        <f t="shared" si="310"/>
        <v>0</v>
      </c>
      <c r="BH396" t="str">
        <f t="shared" si="329"/>
        <v/>
      </c>
      <c r="BI396" t="str">
        <f t="shared" si="341"/>
        <v/>
      </c>
      <c r="BP396" t="str">
        <f t="shared" si="330"/>
        <v/>
      </c>
      <c r="BQ396" t="str">
        <f t="shared" si="331"/>
        <v/>
      </c>
      <c r="BZ396" t="str">
        <f t="shared" si="332"/>
        <v/>
      </c>
      <c r="CA396" t="b">
        <f t="shared" si="333"/>
        <v>0</v>
      </c>
      <c r="CB396" t="str">
        <f t="shared" si="342"/>
        <v/>
      </c>
      <c r="CC396" t="str">
        <f t="shared" si="334"/>
        <v/>
      </c>
      <c r="CD396" t="b">
        <f t="shared" si="343"/>
        <v>0</v>
      </c>
      <c r="CE396" t="str">
        <f t="shared" si="344"/>
        <v/>
      </c>
      <c r="CG396" t="str">
        <f t="shared" si="335"/>
        <v>G869</v>
      </c>
      <c r="CH396" t="str">
        <f t="shared" si="345"/>
        <v>G869</v>
      </c>
      <c r="CI396" t="str">
        <f>AE395</f>
        <v>G439</v>
      </c>
      <c r="CJ396" t="str">
        <f t="shared" si="336"/>
        <v>G439</v>
      </c>
      <c r="CK396" t="s">
        <v>1181</v>
      </c>
      <c r="CL396" t="s">
        <v>1181</v>
      </c>
      <c r="CM396" t="s">
        <v>1181</v>
      </c>
      <c r="CN396" t="b">
        <f t="shared" si="346"/>
        <v>1</v>
      </c>
      <c r="CO396" t="str">
        <f t="shared" si="337"/>
        <v>R601</v>
      </c>
      <c r="CP396" t="str">
        <f t="shared" si="347"/>
        <v>R601</v>
      </c>
      <c r="CQ396" t="str">
        <f>AF395</f>
        <v>R353</v>
      </c>
      <c r="CR396" t="str">
        <f t="shared" si="338"/>
        <v>R353</v>
      </c>
      <c r="CS396" t="s">
        <v>539</v>
      </c>
      <c r="CT396" t="s">
        <v>539</v>
      </c>
      <c r="CU396" t="s">
        <v>539</v>
      </c>
      <c r="CV396" t="b">
        <f t="shared" si="348"/>
        <v>1</v>
      </c>
      <c r="DC396" t="str">
        <f t="shared" si="339"/>
        <v>G439</v>
      </c>
      <c r="DD396" t="b">
        <f t="shared" si="349"/>
        <v>0</v>
      </c>
      <c r="DE396" t="str">
        <f t="shared" si="350"/>
        <v>G439</v>
      </c>
      <c r="DF396" t="str">
        <f t="shared" si="340"/>
        <v>R353</v>
      </c>
      <c r="DG396" t="b">
        <f t="shared" si="351"/>
        <v>0</v>
      </c>
      <c r="DH396" t="str">
        <f t="shared" si="352"/>
        <v>R353</v>
      </c>
    </row>
    <row r="397" spans="2:112" ht="12" customHeight="1">
      <c r="B397" t="str">
        <f>TBIDry!H469</f>
        <v>G155</v>
      </c>
      <c r="C397" t="str">
        <f>TBIDry!I469</f>
        <v>R702</v>
      </c>
      <c r="D397" t="b">
        <f t="shared" si="311"/>
        <v>0</v>
      </c>
      <c r="E397" t="b">
        <f t="shared" si="312"/>
        <v>0</v>
      </c>
      <c r="G397" t="str">
        <f>TBIWet!H469</f>
        <v>G736</v>
      </c>
      <c r="H397" t="str">
        <f>TBIWet!I469</f>
        <v>R384</v>
      </c>
      <c r="I397" t="b">
        <f t="shared" si="313"/>
        <v>0</v>
      </c>
      <c r="J397" t="b">
        <f t="shared" si="314"/>
        <v>0</v>
      </c>
      <c r="L397" t="str">
        <f>'Both teabags AfterWet'!A395</f>
        <v>G875</v>
      </c>
      <c r="M397" t="str">
        <f>'Both teabags AfterWet'!A815</f>
        <v>R63</v>
      </c>
      <c r="N397" t="b">
        <f t="shared" si="315"/>
        <v>0</v>
      </c>
      <c r="O397" t="b">
        <f t="shared" si="353"/>
        <v>0</v>
      </c>
      <c r="Q397" s="395" t="b">
        <f t="shared" si="316"/>
        <v>0</v>
      </c>
      <c r="R397" s="395" t="b">
        <f t="shared" si="317"/>
        <v>0</v>
      </c>
      <c r="Y397" t="str">
        <f>'Green_rooibos initial weight'!A398</f>
        <v>G394</v>
      </c>
      <c r="Z397" t="str">
        <f>'Green_rooibos initial weight'!A1302</f>
        <v>R394</v>
      </c>
      <c r="AA397" t="b">
        <f t="shared" si="318"/>
        <v>0</v>
      </c>
      <c r="AB397" t="b">
        <f t="shared" si="319"/>
        <v>0</v>
      </c>
      <c r="AE397" t="str">
        <f>'WetLitterbags placem_collection'!O176</f>
        <v>G736</v>
      </c>
      <c r="AF397" t="str">
        <f>'WetLitterbags placem_collection'!Q176</f>
        <v>R384</v>
      </c>
      <c r="AG397" t="b">
        <f t="shared" si="320"/>
        <v>0</v>
      </c>
      <c r="AH397" t="b">
        <f t="shared" si="321"/>
        <v>0</v>
      </c>
      <c r="AJ397" t="b">
        <f t="shared" si="322"/>
        <v>0</v>
      </c>
      <c r="AK397" t="b">
        <f t="shared" si="323"/>
        <v>0</v>
      </c>
      <c r="AM397" t="str">
        <f>IF(ISBLANK('Dry_Litterbag Placem_Collection'!L176),"","G"&amp;""&amp;'Dry_Litterbag Placem_Collection'!L176)</f>
        <v>G155</v>
      </c>
      <c r="AN397" t="str">
        <f>IF(ISBLANK('Dry_Litterbag Placem_Collection'!M176),"","R"&amp;""&amp;'Dry_Litterbag Placem_Collection'!M176)</f>
        <v>R702</v>
      </c>
      <c r="AO397" t="b">
        <f t="shared" si="324"/>
        <v>0</v>
      </c>
      <c r="AP397" t="b">
        <f t="shared" si="325"/>
        <v>0</v>
      </c>
      <c r="AX397" s="395" t="b">
        <f t="shared" si="326"/>
        <v>0</v>
      </c>
      <c r="AY397" s="395" t="b">
        <f t="shared" si="327"/>
        <v>0</v>
      </c>
      <c r="BA397" t="str">
        <f>'Ashed teabags wet'!A395</f>
        <v>G875</v>
      </c>
      <c r="BB397" t="str">
        <f>'Ashed teabags wet'!A815</f>
        <v>R63</v>
      </c>
      <c r="BC397" t="b">
        <f t="shared" si="328"/>
        <v>0</v>
      </c>
      <c r="BD397" t="b">
        <f t="shared" si="310"/>
        <v>0</v>
      </c>
      <c r="BH397" t="str">
        <f t="shared" si="329"/>
        <v>G307</v>
      </c>
      <c r="BI397" t="str">
        <f t="shared" si="341"/>
        <v/>
      </c>
      <c r="BP397" t="str">
        <f t="shared" si="330"/>
        <v>R473</v>
      </c>
      <c r="BQ397" t="str">
        <f t="shared" si="331"/>
        <v/>
      </c>
      <c r="BZ397" t="str">
        <f t="shared" si="332"/>
        <v>G307</v>
      </c>
      <c r="CA397" t="b">
        <f t="shared" si="333"/>
        <v>1</v>
      </c>
      <c r="CB397" t="str">
        <f t="shared" si="342"/>
        <v/>
      </c>
      <c r="CC397" t="str">
        <f t="shared" si="334"/>
        <v>R473</v>
      </c>
      <c r="CD397" t="b">
        <f t="shared" si="343"/>
        <v>1</v>
      </c>
      <c r="CE397" t="str">
        <f t="shared" si="344"/>
        <v/>
      </c>
      <c r="CG397" t="str">
        <f t="shared" si="335"/>
        <v>G871</v>
      </c>
      <c r="CH397" t="str">
        <f t="shared" si="345"/>
        <v>G871</v>
      </c>
      <c r="CI397" t="str">
        <f>AE396</f>
        <v>G865</v>
      </c>
      <c r="CJ397" t="str">
        <f t="shared" si="336"/>
        <v>G865</v>
      </c>
      <c r="CK397" t="s">
        <v>1179</v>
      </c>
      <c r="CL397" t="s">
        <v>1179</v>
      </c>
      <c r="CM397" t="s">
        <v>1179</v>
      </c>
      <c r="CN397" t="b">
        <f t="shared" si="346"/>
        <v>1</v>
      </c>
      <c r="CO397" t="str">
        <f t="shared" si="337"/>
        <v>R62</v>
      </c>
      <c r="CP397" t="str">
        <f t="shared" si="347"/>
        <v>R62</v>
      </c>
      <c r="CQ397" t="str">
        <f>AF396</f>
        <v>R105</v>
      </c>
      <c r="CR397" t="str">
        <f t="shared" si="338"/>
        <v>R105</v>
      </c>
      <c r="CS397" t="s">
        <v>1079</v>
      </c>
      <c r="CT397" t="s">
        <v>1079</v>
      </c>
      <c r="CU397" t="s">
        <v>1079</v>
      </c>
      <c r="CV397" t="b">
        <f t="shared" si="348"/>
        <v>1</v>
      </c>
      <c r="DC397" t="str">
        <f t="shared" si="339"/>
        <v>G865</v>
      </c>
      <c r="DD397" t="b">
        <f t="shared" si="349"/>
        <v>0</v>
      </c>
      <c r="DE397" t="str">
        <f t="shared" si="350"/>
        <v>G865</v>
      </c>
      <c r="DF397" t="str">
        <f t="shared" si="340"/>
        <v>R105</v>
      </c>
      <c r="DG397" t="b">
        <f t="shared" si="351"/>
        <v>0</v>
      </c>
      <c r="DH397" t="str">
        <f t="shared" si="352"/>
        <v>R105</v>
      </c>
    </row>
    <row r="398" spans="2:112" ht="12" customHeight="1">
      <c r="B398" t="str">
        <f>TBIDry!H470</f>
        <v>G719</v>
      </c>
      <c r="C398" t="str">
        <f>TBIDry!I470</f>
        <v>R175</v>
      </c>
      <c r="D398" t="b">
        <f t="shared" si="311"/>
        <v>0</v>
      </c>
      <c r="E398" t="b">
        <f t="shared" si="312"/>
        <v>0</v>
      </c>
      <c r="G398" t="str">
        <f>TBIWet!H470</f>
        <v>G772</v>
      </c>
      <c r="H398" t="str">
        <f>TBIWet!I470</f>
        <v>R481</v>
      </c>
      <c r="I398" t="b">
        <f t="shared" si="313"/>
        <v>0</v>
      </c>
      <c r="J398" t="b">
        <f t="shared" si="314"/>
        <v>0</v>
      </c>
      <c r="L398" t="str">
        <f>'Both teabags AfterWet'!A396</f>
        <v>G876</v>
      </c>
      <c r="M398" t="str">
        <f>'Both teabags AfterWet'!A816</f>
        <v>R64</v>
      </c>
      <c r="N398" t="b">
        <f t="shared" si="315"/>
        <v>0</v>
      </c>
      <c r="O398" t="b">
        <f t="shared" si="353"/>
        <v>0</v>
      </c>
      <c r="Q398" s="395" t="b">
        <f t="shared" si="316"/>
        <v>0</v>
      </c>
      <c r="R398" s="395" t="b">
        <f t="shared" si="317"/>
        <v>0</v>
      </c>
      <c r="Y398" t="str">
        <f>'Green_rooibos initial weight'!A399</f>
        <v>G395</v>
      </c>
      <c r="Z398" t="str">
        <f>'Green_rooibos initial weight'!A1303</f>
        <v>R395</v>
      </c>
      <c r="AA398" t="b">
        <f t="shared" si="318"/>
        <v>0</v>
      </c>
      <c r="AB398" t="b">
        <f t="shared" si="319"/>
        <v>0</v>
      </c>
      <c r="AE398" t="str">
        <f>'WetLitterbags placem_collection'!O177</f>
        <v>G772</v>
      </c>
      <c r="AF398" t="str">
        <f>'WetLitterbags placem_collection'!Q177</f>
        <v>R481</v>
      </c>
      <c r="AG398" t="b">
        <f t="shared" si="320"/>
        <v>0</v>
      </c>
      <c r="AH398" t="b">
        <f t="shared" si="321"/>
        <v>0</v>
      </c>
      <c r="AJ398" t="b">
        <f t="shared" si="322"/>
        <v>0</v>
      </c>
      <c r="AK398" t="b">
        <f t="shared" si="323"/>
        <v>0</v>
      </c>
      <c r="AM398" t="str">
        <f>IF(ISBLANK('Dry_Litterbag Placem_Collection'!L177),"","G"&amp;""&amp;'Dry_Litterbag Placem_Collection'!L177)</f>
        <v>G719</v>
      </c>
      <c r="AN398" t="str">
        <f>IF(ISBLANK('Dry_Litterbag Placem_Collection'!M177),"","R"&amp;""&amp;'Dry_Litterbag Placem_Collection'!M177)</f>
        <v>R175</v>
      </c>
      <c r="AO398" t="b">
        <f t="shared" si="324"/>
        <v>0</v>
      </c>
      <c r="AP398" t="b">
        <f t="shared" si="325"/>
        <v>0</v>
      </c>
      <c r="AX398" s="395" t="b">
        <f t="shared" si="326"/>
        <v>0</v>
      </c>
      <c r="AY398" s="395" t="b">
        <f t="shared" si="327"/>
        <v>0</v>
      </c>
      <c r="BA398" t="str">
        <f>'Ashed teabags wet'!A396</f>
        <v>G876</v>
      </c>
      <c r="BB398" t="str">
        <f>'Ashed teabags wet'!A816</f>
        <v>R64</v>
      </c>
      <c r="BC398" t="b">
        <f t="shared" si="328"/>
        <v>0</v>
      </c>
      <c r="BD398" t="b">
        <f t="shared" si="310"/>
        <v>0</v>
      </c>
      <c r="BH398" t="str">
        <f t="shared" si="329"/>
        <v>G155</v>
      </c>
      <c r="BI398" t="str">
        <f t="shared" si="341"/>
        <v>G155</v>
      </c>
      <c r="BP398" t="str">
        <f t="shared" si="330"/>
        <v>R702</v>
      </c>
      <c r="BQ398" t="str">
        <f t="shared" si="331"/>
        <v>R702</v>
      </c>
      <c r="BZ398" t="str">
        <f t="shared" si="332"/>
        <v>G155</v>
      </c>
      <c r="CA398" t="b">
        <f t="shared" si="333"/>
        <v>0</v>
      </c>
      <c r="CB398" t="str">
        <f t="shared" si="342"/>
        <v>G155</v>
      </c>
      <c r="CC398" t="str">
        <f t="shared" si="334"/>
        <v>R702</v>
      </c>
      <c r="CD398" t="b">
        <f t="shared" si="343"/>
        <v>0</v>
      </c>
      <c r="CE398" t="str">
        <f t="shared" si="344"/>
        <v>R702</v>
      </c>
      <c r="CG398" t="str">
        <f t="shared" si="335"/>
        <v>G875</v>
      </c>
      <c r="CH398" t="str">
        <f t="shared" si="345"/>
        <v>G875</v>
      </c>
      <c r="CI398" t="str">
        <f>AE397</f>
        <v>G736</v>
      </c>
      <c r="CJ398" t="str">
        <f t="shared" si="336"/>
        <v>G736</v>
      </c>
      <c r="CK398" t="s">
        <v>1175</v>
      </c>
      <c r="CL398" t="s">
        <v>1175</v>
      </c>
      <c r="CM398" t="s">
        <v>1175</v>
      </c>
      <c r="CN398" t="b">
        <f t="shared" si="346"/>
        <v>1</v>
      </c>
      <c r="CO398" t="str">
        <f t="shared" si="337"/>
        <v>R63</v>
      </c>
      <c r="CP398" t="str">
        <f t="shared" si="347"/>
        <v>R63</v>
      </c>
      <c r="CQ398" t="str">
        <f>AF397</f>
        <v>R384</v>
      </c>
      <c r="CR398" t="str">
        <f t="shared" si="338"/>
        <v>R384</v>
      </c>
      <c r="CS398" t="s">
        <v>1078</v>
      </c>
      <c r="CT398" t="s">
        <v>1078</v>
      </c>
      <c r="CU398" t="s">
        <v>1078</v>
      </c>
      <c r="CV398" t="b">
        <f t="shared" si="348"/>
        <v>1</v>
      </c>
      <c r="DC398" t="str">
        <f t="shared" si="339"/>
        <v>G736</v>
      </c>
      <c r="DD398" t="b">
        <f t="shared" si="349"/>
        <v>0</v>
      </c>
      <c r="DE398" t="str">
        <f t="shared" si="350"/>
        <v>G736</v>
      </c>
      <c r="DF398" t="str">
        <f t="shared" si="340"/>
        <v>R384</v>
      </c>
      <c r="DG398" t="b">
        <f t="shared" si="351"/>
        <v>0</v>
      </c>
      <c r="DH398" t="str">
        <f t="shared" si="352"/>
        <v>R384</v>
      </c>
    </row>
    <row r="399" spans="2:112" ht="12" customHeight="1">
      <c r="B399" t="str">
        <f>TBIDry!H471</f>
        <v>G323</v>
      </c>
      <c r="C399" t="str">
        <f>TBIDry!I471</f>
        <v>R332</v>
      </c>
      <c r="D399" t="b">
        <f t="shared" si="311"/>
        <v>0</v>
      </c>
      <c r="E399" t="b">
        <f t="shared" si="312"/>
        <v>0</v>
      </c>
      <c r="G399" t="str">
        <f>TBIWet!H471</f>
        <v>G470</v>
      </c>
      <c r="H399" t="str">
        <f>TBIWet!I471</f>
        <v>R490</v>
      </c>
      <c r="I399" t="b">
        <f t="shared" si="313"/>
        <v>0</v>
      </c>
      <c r="J399" t="b">
        <f t="shared" si="314"/>
        <v>0</v>
      </c>
      <c r="L399" t="str">
        <f>'Both teabags AfterWet'!A397</f>
        <v>G877</v>
      </c>
      <c r="M399" t="str">
        <f>'Both teabags AfterWet'!A817</f>
        <v>R65</v>
      </c>
      <c r="N399" t="b">
        <f t="shared" si="315"/>
        <v>0</v>
      </c>
      <c r="O399" t="b">
        <f t="shared" si="353"/>
        <v>0</v>
      </c>
      <c r="Q399" s="395" t="b">
        <f t="shared" si="316"/>
        <v>0</v>
      </c>
      <c r="R399" s="395" t="b">
        <f t="shared" si="317"/>
        <v>0</v>
      </c>
      <c r="Y399" t="str">
        <f>'Green_rooibos initial weight'!A400</f>
        <v>G396</v>
      </c>
      <c r="Z399" t="str">
        <f>'Green_rooibos initial weight'!A1304</f>
        <v>R396</v>
      </c>
      <c r="AA399" t="b">
        <f t="shared" si="318"/>
        <v>0</v>
      </c>
      <c r="AB399" t="b">
        <f t="shared" si="319"/>
        <v>0</v>
      </c>
      <c r="AE399" t="str">
        <f>'WetLitterbags placem_collection'!O178</f>
        <v>G470</v>
      </c>
      <c r="AF399" t="str">
        <f>'WetLitterbags placem_collection'!Q178</f>
        <v>R490</v>
      </c>
      <c r="AG399" t="b">
        <f t="shared" si="320"/>
        <v>0</v>
      </c>
      <c r="AH399" t="b">
        <f t="shared" si="321"/>
        <v>0</v>
      </c>
      <c r="AJ399" t="b">
        <f t="shared" si="322"/>
        <v>0</v>
      </c>
      <c r="AK399" t="b">
        <f t="shared" si="323"/>
        <v>0</v>
      </c>
      <c r="AM399" t="str">
        <f>IF(ISBLANK('Dry_Litterbag Placem_Collection'!L178),"","G"&amp;""&amp;'Dry_Litterbag Placem_Collection'!L178)</f>
        <v>G323</v>
      </c>
      <c r="AN399" t="str">
        <f>IF(ISBLANK('Dry_Litterbag Placem_Collection'!M178),"","R"&amp;""&amp;'Dry_Litterbag Placem_Collection'!M178)</f>
        <v>R332</v>
      </c>
      <c r="AO399" t="b">
        <f t="shared" si="324"/>
        <v>0</v>
      </c>
      <c r="AP399" t="b">
        <f t="shared" si="325"/>
        <v>0</v>
      </c>
      <c r="AX399" s="395" t="b">
        <f t="shared" si="326"/>
        <v>0</v>
      </c>
      <c r="AY399" s="395" t="b">
        <f t="shared" si="327"/>
        <v>0</v>
      </c>
      <c r="BA399" t="str">
        <f>'Ashed teabags wet'!A397</f>
        <v>G877</v>
      </c>
      <c r="BB399" t="str">
        <f>'Ashed teabags wet'!A817</f>
        <v>R65</v>
      </c>
      <c r="BC399" t="b">
        <f t="shared" si="328"/>
        <v>0</v>
      </c>
      <c r="BD399" t="b">
        <f t="shared" si="310"/>
        <v>0</v>
      </c>
      <c r="BH399" t="str">
        <f t="shared" si="329"/>
        <v>G719</v>
      </c>
      <c r="BI399" t="str">
        <f t="shared" si="341"/>
        <v>G719</v>
      </c>
      <c r="BP399" t="str">
        <f t="shared" si="330"/>
        <v>R175</v>
      </c>
      <c r="BQ399" t="str">
        <f t="shared" si="331"/>
        <v>R175</v>
      </c>
      <c r="BZ399" t="str">
        <f t="shared" si="332"/>
        <v>G719</v>
      </c>
      <c r="CA399" t="b">
        <f t="shared" si="333"/>
        <v>0</v>
      </c>
      <c r="CB399" t="str">
        <f t="shared" si="342"/>
        <v>G719</v>
      </c>
      <c r="CC399" t="str">
        <f t="shared" si="334"/>
        <v>R175</v>
      </c>
      <c r="CD399" t="b">
        <f t="shared" si="343"/>
        <v>0</v>
      </c>
      <c r="CE399" t="str">
        <f t="shared" si="344"/>
        <v>R175</v>
      </c>
      <c r="CG399" t="str">
        <f t="shared" si="335"/>
        <v>G876</v>
      </c>
      <c r="CH399" t="str">
        <f t="shared" si="345"/>
        <v>G876</v>
      </c>
      <c r="CI399" t="str">
        <f>AE398</f>
        <v>G772</v>
      </c>
      <c r="CJ399" t="str">
        <f t="shared" si="336"/>
        <v>G772</v>
      </c>
      <c r="CK399" t="s">
        <v>1174</v>
      </c>
      <c r="CL399" t="s">
        <v>1174</v>
      </c>
      <c r="CM399" t="s">
        <v>1174</v>
      </c>
      <c r="CN399" t="b">
        <f t="shared" si="346"/>
        <v>1</v>
      </c>
      <c r="CO399" t="str">
        <f t="shared" si="337"/>
        <v>R64</v>
      </c>
      <c r="CP399" t="str">
        <f t="shared" si="347"/>
        <v>R64</v>
      </c>
      <c r="CQ399" t="str">
        <f>AF398</f>
        <v>R481</v>
      </c>
      <c r="CR399" t="str">
        <f t="shared" si="338"/>
        <v>R481</v>
      </c>
      <c r="CS399" t="s">
        <v>1077</v>
      </c>
      <c r="CT399" t="s">
        <v>1077</v>
      </c>
      <c r="CU399" t="s">
        <v>1077</v>
      </c>
      <c r="CV399" t="b">
        <f t="shared" si="348"/>
        <v>1</v>
      </c>
      <c r="DC399" t="str">
        <f t="shared" si="339"/>
        <v>G772</v>
      </c>
      <c r="DD399" t="b">
        <f t="shared" si="349"/>
        <v>0</v>
      </c>
      <c r="DE399" t="str">
        <f t="shared" si="350"/>
        <v>G772</v>
      </c>
      <c r="DF399" t="str">
        <f t="shared" si="340"/>
        <v>R481</v>
      </c>
      <c r="DG399" t="b">
        <f t="shared" si="351"/>
        <v>0</v>
      </c>
      <c r="DH399" t="str">
        <f t="shared" si="352"/>
        <v>R481</v>
      </c>
    </row>
    <row r="400" spans="2:112" ht="12" customHeight="1">
      <c r="B400" t="str">
        <f>TBIDry!H472</f>
        <v>G14</v>
      </c>
      <c r="C400" t="str">
        <f>TBIDry!I472</f>
        <v>R70</v>
      </c>
      <c r="D400" t="b">
        <f t="shared" si="311"/>
        <v>0</v>
      </c>
      <c r="E400" t="b">
        <f t="shared" si="312"/>
        <v>0</v>
      </c>
      <c r="G400" t="str">
        <f>TBIWet!H472</f>
        <v>G483</v>
      </c>
      <c r="H400" t="str">
        <f>TBIWet!I472</f>
        <v>R470</v>
      </c>
      <c r="I400" t="b">
        <f t="shared" si="313"/>
        <v>0</v>
      </c>
      <c r="J400" t="b">
        <f t="shared" si="314"/>
        <v>0</v>
      </c>
      <c r="L400" t="str">
        <f>'Both teabags AfterWet'!A398</f>
        <v>G878</v>
      </c>
      <c r="M400" t="str">
        <f>'Both teabags AfterWet'!A818</f>
        <v>R68</v>
      </c>
      <c r="N400" t="b">
        <f t="shared" si="315"/>
        <v>0</v>
      </c>
      <c r="O400" t="b">
        <f t="shared" si="353"/>
        <v>0</v>
      </c>
      <c r="Q400" s="395" t="b">
        <f t="shared" si="316"/>
        <v>0</v>
      </c>
      <c r="R400" s="395" t="b">
        <f t="shared" si="317"/>
        <v>0</v>
      </c>
      <c r="Y400" t="str">
        <f>'Green_rooibos initial weight'!A401</f>
        <v>G397</v>
      </c>
      <c r="Z400" t="str">
        <f>'Green_rooibos initial weight'!A1305</f>
        <v>R397</v>
      </c>
      <c r="AA400" t="b">
        <f t="shared" si="318"/>
        <v>0</v>
      </c>
      <c r="AB400" t="b">
        <f t="shared" si="319"/>
        <v>0</v>
      </c>
      <c r="AE400" t="str">
        <f>'WetLitterbags placem_collection'!O179</f>
        <v>G483</v>
      </c>
      <c r="AF400" t="str">
        <f>'WetLitterbags placem_collection'!Q179</f>
        <v>R470</v>
      </c>
      <c r="AG400" t="b">
        <f t="shared" si="320"/>
        <v>0</v>
      </c>
      <c r="AH400" t="b">
        <f t="shared" si="321"/>
        <v>0</v>
      </c>
      <c r="AJ400" t="b">
        <f t="shared" si="322"/>
        <v>0</v>
      </c>
      <c r="AK400" t="b">
        <f t="shared" si="323"/>
        <v>0</v>
      </c>
      <c r="AM400" t="str">
        <f>IF(ISBLANK('Dry_Litterbag Placem_Collection'!L179),"","G"&amp;""&amp;'Dry_Litterbag Placem_Collection'!L179)</f>
        <v>G14</v>
      </c>
      <c r="AN400" t="str">
        <f>IF(ISBLANK('Dry_Litterbag Placem_Collection'!M179),"","R"&amp;""&amp;'Dry_Litterbag Placem_Collection'!M179)</f>
        <v>R70</v>
      </c>
      <c r="AO400" t="b">
        <f t="shared" si="324"/>
        <v>0</v>
      </c>
      <c r="AP400" t="b">
        <f t="shared" si="325"/>
        <v>0</v>
      </c>
      <c r="AX400" s="395" t="b">
        <f t="shared" si="326"/>
        <v>0</v>
      </c>
      <c r="AY400" s="395" t="b">
        <f t="shared" si="327"/>
        <v>0</v>
      </c>
      <c r="BA400" t="str">
        <f>'Ashed teabags wet'!A398</f>
        <v>G878</v>
      </c>
      <c r="BB400" t="str">
        <f>'Ashed teabags wet'!A818</f>
        <v>R68</v>
      </c>
      <c r="BC400" t="b">
        <f t="shared" si="328"/>
        <v>0</v>
      </c>
      <c r="BD400" t="b">
        <f t="shared" si="310"/>
        <v>0</v>
      </c>
      <c r="BH400" t="str">
        <f t="shared" si="329"/>
        <v>G323</v>
      </c>
      <c r="BI400" t="str">
        <f t="shared" si="341"/>
        <v>G323</v>
      </c>
      <c r="BP400" t="str">
        <f t="shared" si="330"/>
        <v>R332</v>
      </c>
      <c r="BQ400" t="str">
        <f t="shared" si="331"/>
        <v>R332</v>
      </c>
      <c r="BZ400" t="str">
        <f t="shared" si="332"/>
        <v>G323</v>
      </c>
      <c r="CA400" t="b">
        <f t="shared" si="333"/>
        <v>0</v>
      </c>
      <c r="CB400" t="str">
        <f t="shared" si="342"/>
        <v>G323</v>
      </c>
      <c r="CC400" t="str">
        <f t="shared" si="334"/>
        <v>R332</v>
      </c>
      <c r="CD400" t="b">
        <f t="shared" si="343"/>
        <v>0</v>
      </c>
      <c r="CE400" t="str">
        <f t="shared" si="344"/>
        <v>R332</v>
      </c>
      <c r="CG400" t="str">
        <f t="shared" si="335"/>
        <v>G877</v>
      </c>
      <c r="CH400" t="str">
        <f t="shared" si="345"/>
        <v>G877</v>
      </c>
      <c r="CI400" t="str">
        <f>AE399</f>
        <v>G470</v>
      </c>
      <c r="CJ400" t="str">
        <f t="shared" si="336"/>
        <v>G470</v>
      </c>
      <c r="CK400" t="s">
        <v>1173</v>
      </c>
      <c r="CL400" t="s">
        <v>1173</v>
      </c>
      <c r="CM400" t="s">
        <v>1173</v>
      </c>
      <c r="CN400" t="b">
        <f t="shared" si="346"/>
        <v>1</v>
      </c>
      <c r="CO400" t="str">
        <f t="shared" si="337"/>
        <v>R65</v>
      </c>
      <c r="CP400" t="str">
        <f t="shared" si="347"/>
        <v>R65</v>
      </c>
      <c r="CQ400" t="str">
        <f>AF399</f>
        <v>R490</v>
      </c>
      <c r="CR400" t="str">
        <f t="shared" si="338"/>
        <v>R490</v>
      </c>
      <c r="CS400" t="s">
        <v>1076</v>
      </c>
      <c r="CT400" t="s">
        <v>1076</v>
      </c>
      <c r="CU400" t="s">
        <v>1076</v>
      </c>
      <c r="CV400" t="b">
        <f t="shared" si="348"/>
        <v>1</v>
      </c>
      <c r="DC400" t="str">
        <f t="shared" si="339"/>
        <v>G470</v>
      </c>
      <c r="DD400" t="b">
        <f t="shared" si="349"/>
        <v>0</v>
      </c>
      <c r="DE400" t="str">
        <f t="shared" si="350"/>
        <v>G470</v>
      </c>
      <c r="DF400" t="str">
        <f t="shared" si="340"/>
        <v>R490</v>
      </c>
      <c r="DG400" t="b">
        <f t="shared" si="351"/>
        <v>0</v>
      </c>
      <c r="DH400" t="str">
        <f t="shared" si="352"/>
        <v>R490</v>
      </c>
    </row>
    <row r="401" spans="2:112" ht="12" customHeight="1">
      <c r="B401" t="str">
        <f>TBIDry!H473</f>
        <v>G410</v>
      </c>
      <c r="C401" t="str">
        <f>TBIDry!I473</f>
        <v>R718</v>
      </c>
      <c r="D401" t="b">
        <f t="shared" si="311"/>
        <v>0</v>
      </c>
      <c r="E401" t="b">
        <f t="shared" si="312"/>
        <v>0</v>
      </c>
      <c r="G401" t="str">
        <f>TBIWet!H473</f>
        <v>G893</v>
      </c>
      <c r="H401" t="str">
        <f>TBIWet!I473</f>
        <v>R488</v>
      </c>
      <c r="I401" t="b">
        <f t="shared" si="313"/>
        <v>0</v>
      </c>
      <c r="J401" t="b">
        <f t="shared" si="314"/>
        <v>0</v>
      </c>
      <c r="L401" t="str">
        <f>'Both teabags AfterWet'!A399</f>
        <v>G880</v>
      </c>
      <c r="M401" t="str">
        <f>'Both teabags AfterWet'!A819</f>
        <v>R69</v>
      </c>
      <c r="N401" t="b">
        <f t="shared" si="315"/>
        <v>0</v>
      </c>
      <c r="O401" t="b">
        <f t="shared" si="353"/>
        <v>0</v>
      </c>
      <c r="Q401" s="395" t="b">
        <f t="shared" si="316"/>
        <v>0</v>
      </c>
      <c r="R401" s="395" t="b">
        <f t="shared" si="317"/>
        <v>0</v>
      </c>
      <c r="Y401" t="str">
        <f>'Green_rooibos initial weight'!A402</f>
        <v>G398</v>
      </c>
      <c r="Z401" t="str">
        <f>'Green_rooibos initial weight'!A1306</f>
        <v>R398</v>
      </c>
      <c r="AA401" t="b">
        <f t="shared" si="318"/>
        <v>0</v>
      </c>
      <c r="AB401" t="b">
        <f t="shared" si="319"/>
        <v>0</v>
      </c>
      <c r="AE401" t="str">
        <f>'WetLitterbags placem_collection'!O180</f>
        <v>G893</v>
      </c>
      <c r="AF401" t="str">
        <f>'WetLitterbags placem_collection'!Q180</f>
        <v>R488</v>
      </c>
      <c r="AG401" t="b">
        <f t="shared" si="320"/>
        <v>0</v>
      </c>
      <c r="AH401" t="b">
        <f t="shared" si="321"/>
        <v>0</v>
      </c>
      <c r="AJ401" t="b">
        <f t="shared" si="322"/>
        <v>0</v>
      </c>
      <c r="AK401" t="b">
        <f t="shared" si="323"/>
        <v>0</v>
      </c>
      <c r="AM401" t="str">
        <f>IF(ISBLANK('Dry_Litterbag Placem_Collection'!L180),"","G"&amp;""&amp;'Dry_Litterbag Placem_Collection'!L180)</f>
        <v>G410</v>
      </c>
      <c r="AN401" t="str">
        <f>IF(ISBLANK('Dry_Litterbag Placem_Collection'!M180),"","R"&amp;""&amp;'Dry_Litterbag Placem_Collection'!M180)</f>
        <v>R718</v>
      </c>
      <c r="AO401" t="b">
        <f t="shared" si="324"/>
        <v>0</v>
      </c>
      <c r="AP401" t="b">
        <f t="shared" si="325"/>
        <v>0</v>
      </c>
      <c r="AX401" s="395" t="b">
        <f t="shared" si="326"/>
        <v>0</v>
      </c>
      <c r="AY401" s="395" t="b">
        <f t="shared" si="327"/>
        <v>0</v>
      </c>
      <c r="BA401" t="str">
        <f>'Ashed teabags wet'!A399</f>
        <v>G880</v>
      </c>
      <c r="BB401" t="str">
        <f>'Ashed teabags wet'!A819</f>
        <v>R69</v>
      </c>
      <c r="BC401" t="b">
        <f t="shared" si="328"/>
        <v>0</v>
      </c>
      <c r="BD401" t="b">
        <f t="shared" si="310"/>
        <v>0</v>
      </c>
      <c r="BH401" t="str">
        <f t="shared" si="329"/>
        <v>G14</v>
      </c>
      <c r="BI401" t="str">
        <f t="shared" si="341"/>
        <v/>
      </c>
      <c r="BP401" t="str">
        <f t="shared" si="330"/>
        <v>R70</v>
      </c>
      <c r="BQ401" t="str">
        <f t="shared" si="331"/>
        <v/>
      </c>
      <c r="BZ401" t="str">
        <f t="shared" si="332"/>
        <v>G14</v>
      </c>
      <c r="CA401" t="b">
        <f t="shared" si="333"/>
        <v>1</v>
      </c>
      <c r="CB401" t="str">
        <f t="shared" si="342"/>
        <v/>
      </c>
      <c r="CC401" t="str">
        <f t="shared" si="334"/>
        <v>R70</v>
      </c>
      <c r="CD401" t="b">
        <f t="shared" si="343"/>
        <v>1</v>
      </c>
      <c r="CE401" t="str">
        <f t="shared" si="344"/>
        <v/>
      </c>
      <c r="CG401" t="str">
        <f t="shared" si="335"/>
        <v>G878</v>
      </c>
      <c r="CH401" t="str">
        <f t="shared" si="345"/>
        <v>G878</v>
      </c>
      <c r="CI401" t="str">
        <f>AE400</f>
        <v>G483</v>
      </c>
      <c r="CJ401" t="str">
        <f t="shared" si="336"/>
        <v>G483</v>
      </c>
      <c r="CK401" t="s">
        <v>1172</v>
      </c>
      <c r="CL401" t="s">
        <v>1172</v>
      </c>
      <c r="CM401" t="s">
        <v>1172</v>
      </c>
      <c r="CN401" t="b">
        <f t="shared" si="346"/>
        <v>1</v>
      </c>
      <c r="CO401" t="str">
        <f t="shared" si="337"/>
        <v>R68</v>
      </c>
      <c r="CP401" t="str">
        <f t="shared" si="347"/>
        <v>R68</v>
      </c>
      <c r="CQ401" t="str">
        <f>AF400</f>
        <v>R470</v>
      </c>
      <c r="CR401" t="str">
        <f t="shared" si="338"/>
        <v>R470</v>
      </c>
      <c r="CS401" t="s">
        <v>1073</v>
      </c>
      <c r="CT401" t="s">
        <v>1073</v>
      </c>
      <c r="CU401" t="s">
        <v>1073</v>
      </c>
      <c r="CV401" t="b">
        <f t="shared" si="348"/>
        <v>1</v>
      </c>
      <c r="DC401" t="str">
        <f t="shared" si="339"/>
        <v>G483</v>
      </c>
      <c r="DD401" t="b">
        <f t="shared" si="349"/>
        <v>0</v>
      </c>
      <c r="DE401" t="str">
        <f t="shared" si="350"/>
        <v>G483</v>
      </c>
      <c r="DF401" t="str">
        <f t="shared" si="340"/>
        <v>R470</v>
      </c>
      <c r="DG401" t="b">
        <f t="shared" si="351"/>
        <v>0</v>
      </c>
      <c r="DH401" t="str">
        <f t="shared" si="352"/>
        <v>R470</v>
      </c>
    </row>
    <row r="402" spans="2:112" ht="12" customHeight="1">
      <c r="B402" t="str">
        <f>TBIDry!H474</f>
        <v>G78</v>
      </c>
      <c r="C402" t="str">
        <f>TBIDry!I474</f>
        <v>R640</v>
      </c>
      <c r="D402" t="b">
        <f t="shared" si="311"/>
        <v>0</v>
      </c>
      <c r="E402" t="b">
        <f t="shared" si="312"/>
        <v>0</v>
      </c>
      <c r="G402" t="str">
        <f>TBIWet!H474</f>
        <v>G826</v>
      </c>
      <c r="H402" t="str">
        <f>TBIWet!I474</f>
        <v>R273</v>
      </c>
      <c r="I402" t="b">
        <f t="shared" si="313"/>
        <v>0</v>
      </c>
      <c r="J402" t="b">
        <f t="shared" si="314"/>
        <v>0</v>
      </c>
      <c r="L402" t="str">
        <f>'Both teabags AfterWet'!A400</f>
        <v>G881</v>
      </c>
      <c r="M402" t="str">
        <f>'Both teabags AfterWet'!A820</f>
        <v>R7</v>
      </c>
      <c r="N402" t="b">
        <f t="shared" si="315"/>
        <v>0</v>
      </c>
      <c r="O402" t="b">
        <f t="shared" si="353"/>
        <v>0</v>
      </c>
      <c r="Q402" s="395" t="b">
        <f t="shared" si="316"/>
        <v>0</v>
      </c>
      <c r="R402" s="395" t="b">
        <f t="shared" si="317"/>
        <v>0</v>
      </c>
      <c r="Y402" t="str">
        <f>'Green_rooibos initial weight'!A403</f>
        <v>G399</v>
      </c>
      <c r="Z402" t="str">
        <f>'Green_rooibos initial weight'!A1307</f>
        <v>R399</v>
      </c>
      <c r="AA402" t="b">
        <f t="shared" si="318"/>
        <v>0</v>
      </c>
      <c r="AB402" t="b">
        <f t="shared" si="319"/>
        <v>0</v>
      </c>
      <c r="AE402" t="str">
        <f>'WetLitterbags placem_collection'!O181</f>
        <v>G826</v>
      </c>
      <c r="AF402" t="str">
        <f>'WetLitterbags placem_collection'!Q181</f>
        <v>R273</v>
      </c>
      <c r="AG402" t="b">
        <f t="shared" si="320"/>
        <v>0</v>
      </c>
      <c r="AH402" t="b">
        <f t="shared" si="321"/>
        <v>0</v>
      </c>
      <c r="AJ402" t="b">
        <f t="shared" si="322"/>
        <v>0</v>
      </c>
      <c r="AK402" t="b">
        <f t="shared" si="323"/>
        <v>0</v>
      </c>
      <c r="AM402" t="str">
        <f>IF(ISBLANK('Dry_Litterbag Placem_Collection'!L181),"","G"&amp;""&amp;'Dry_Litterbag Placem_Collection'!L181)</f>
        <v>G78</v>
      </c>
      <c r="AN402" t="str">
        <f>IF(ISBLANK('Dry_Litterbag Placem_Collection'!M181),"","R"&amp;""&amp;'Dry_Litterbag Placem_Collection'!M181)</f>
        <v>R640</v>
      </c>
      <c r="AO402" t="b">
        <f t="shared" si="324"/>
        <v>0</v>
      </c>
      <c r="AP402" t="b">
        <f t="shared" si="325"/>
        <v>0</v>
      </c>
      <c r="AX402" s="395" t="b">
        <f t="shared" si="326"/>
        <v>0</v>
      </c>
      <c r="AY402" s="395" t="b">
        <f t="shared" si="327"/>
        <v>0</v>
      </c>
      <c r="BA402" t="str">
        <f>'Ashed teabags wet'!A400</f>
        <v>G881</v>
      </c>
      <c r="BB402" t="str">
        <f>'Ashed teabags wet'!A820</f>
        <v>R7</v>
      </c>
      <c r="BC402" t="b">
        <f t="shared" si="328"/>
        <v>0</v>
      </c>
      <c r="BD402" t="b">
        <f t="shared" si="310"/>
        <v>0</v>
      </c>
      <c r="BH402" t="str">
        <f t="shared" si="329"/>
        <v>G410</v>
      </c>
      <c r="BI402" t="str">
        <f t="shared" si="341"/>
        <v>G410</v>
      </c>
      <c r="BP402" t="str">
        <f t="shared" si="330"/>
        <v>R718</v>
      </c>
      <c r="BQ402" t="str">
        <f t="shared" si="331"/>
        <v>R718</v>
      </c>
      <c r="BZ402" t="str">
        <f t="shared" si="332"/>
        <v>G410</v>
      </c>
      <c r="CA402" t="b">
        <f t="shared" si="333"/>
        <v>0</v>
      </c>
      <c r="CB402" t="str">
        <f t="shared" si="342"/>
        <v>G410</v>
      </c>
      <c r="CC402" t="str">
        <f t="shared" si="334"/>
        <v>R718</v>
      </c>
      <c r="CD402" t="b">
        <f t="shared" si="343"/>
        <v>0</v>
      </c>
      <c r="CE402" t="str">
        <f t="shared" si="344"/>
        <v>R718</v>
      </c>
      <c r="CG402" t="str">
        <f t="shared" si="335"/>
        <v>G880</v>
      </c>
      <c r="CH402" t="str">
        <f t="shared" si="345"/>
        <v>G880</v>
      </c>
      <c r="CI402" t="str">
        <f>AE401</f>
        <v>G893</v>
      </c>
      <c r="CJ402" t="str">
        <f t="shared" si="336"/>
        <v>G893</v>
      </c>
      <c r="CK402" t="s">
        <v>1170</v>
      </c>
      <c r="CL402" t="s">
        <v>1170</v>
      </c>
      <c r="CM402" t="s">
        <v>1170</v>
      </c>
      <c r="CN402" t="b">
        <f t="shared" si="346"/>
        <v>1</v>
      </c>
      <c r="CO402" t="str">
        <f t="shared" si="337"/>
        <v>R69</v>
      </c>
      <c r="CP402" t="str">
        <f t="shared" si="347"/>
        <v>R69</v>
      </c>
      <c r="CQ402" t="str">
        <f>AF401</f>
        <v>R488</v>
      </c>
      <c r="CR402" t="str">
        <f t="shared" si="338"/>
        <v>R488</v>
      </c>
      <c r="CS402" t="s">
        <v>1072</v>
      </c>
      <c r="CT402" t="s">
        <v>1072</v>
      </c>
      <c r="CU402" t="s">
        <v>1072</v>
      </c>
      <c r="CV402" t="b">
        <f t="shared" si="348"/>
        <v>1</v>
      </c>
      <c r="DC402" t="str">
        <f t="shared" si="339"/>
        <v>G893</v>
      </c>
      <c r="DD402" t="b">
        <f t="shared" si="349"/>
        <v>0</v>
      </c>
      <c r="DE402" t="str">
        <f t="shared" si="350"/>
        <v>G893</v>
      </c>
      <c r="DF402" t="str">
        <f t="shared" si="340"/>
        <v>R488</v>
      </c>
      <c r="DG402" t="b">
        <f t="shared" si="351"/>
        <v>0</v>
      </c>
      <c r="DH402" t="str">
        <f t="shared" si="352"/>
        <v>R488</v>
      </c>
    </row>
    <row r="403" spans="2:112" ht="12" customHeight="1">
      <c r="B403" t="str">
        <f>TBIDry!H475</f>
        <v>G422</v>
      </c>
      <c r="C403" t="str">
        <f>TBIDry!I475</f>
        <v>R669</v>
      </c>
      <c r="D403" t="b">
        <f t="shared" si="311"/>
        <v>0</v>
      </c>
      <c r="E403" t="b">
        <f t="shared" si="312"/>
        <v>0</v>
      </c>
      <c r="G403" t="str">
        <f>TBIWet!H475</f>
        <v>G783</v>
      </c>
      <c r="H403" t="str">
        <f>TBIWet!I475</f>
        <v>R301</v>
      </c>
      <c r="I403" t="b">
        <f t="shared" si="313"/>
        <v>0</v>
      </c>
      <c r="J403" t="b">
        <f t="shared" si="314"/>
        <v>0</v>
      </c>
      <c r="L403" t="str">
        <f>'Both teabags AfterWet'!A401</f>
        <v>G882</v>
      </c>
      <c r="M403" t="str">
        <f>'Both teabags AfterWet'!A821</f>
        <v>R71</v>
      </c>
      <c r="N403" t="b">
        <f t="shared" si="315"/>
        <v>0</v>
      </c>
      <c r="O403" t="b">
        <f t="shared" si="353"/>
        <v>0</v>
      </c>
      <c r="Q403" s="395" t="b">
        <f t="shared" si="316"/>
        <v>0</v>
      </c>
      <c r="R403" s="395" t="b">
        <f t="shared" si="317"/>
        <v>0</v>
      </c>
      <c r="Y403" t="str">
        <f>'Green_rooibos initial weight'!A404</f>
        <v>G400</v>
      </c>
      <c r="Z403" t="str">
        <f>'Green_rooibos initial weight'!A1308</f>
        <v>R400</v>
      </c>
      <c r="AA403" t="b">
        <f t="shared" si="318"/>
        <v>0</v>
      </c>
      <c r="AB403" t="b">
        <f t="shared" si="319"/>
        <v>0</v>
      </c>
      <c r="AE403" t="str">
        <f>'WetLitterbags placem_collection'!O182</f>
        <v>G783</v>
      </c>
      <c r="AF403" t="str">
        <f>'WetLitterbags placem_collection'!Q182</f>
        <v>R301</v>
      </c>
      <c r="AG403" t="b">
        <f t="shared" si="320"/>
        <v>0</v>
      </c>
      <c r="AH403" t="b">
        <f t="shared" si="321"/>
        <v>0</v>
      </c>
      <c r="AJ403" t="b">
        <f t="shared" si="322"/>
        <v>0</v>
      </c>
      <c r="AK403" t="b">
        <f t="shared" si="323"/>
        <v>0</v>
      </c>
      <c r="AM403" t="str">
        <f>IF(ISBLANK('Dry_Litterbag Placem_Collection'!L182),"","G"&amp;""&amp;'Dry_Litterbag Placem_Collection'!L182)</f>
        <v>G422</v>
      </c>
      <c r="AN403" t="str">
        <f>IF(ISBLANK('Dry_Litterbag Placem_Collection'!M182),"","R"&amp;""&amp;'Dry_Litterbag Placem_Collection'!M182)</f>
        <v>R669</v>
      </c>
      <c r="AO403" t="b">
        <f t="shared" si="324"/>
        <v>0</v>
      </c>
      <c r="AP403" t="b">
        <f t="shared" si="325"/>
        <v>0</v>
      </c>
      <c r="AX403" s="395" t="b">
        <f t="shared" si="326"/>
        <v>0</v>
      </c>
      <c r="AY403" s="395" t="b">
        <f t="shared" si="327"/>
        <v>0</v>
      </c>
      <c r="BA403" t="str">
        <f>'Ashed teabags wet'!A401</f>
        <v>G882</v>
      </c>
      <c r="BB403" t="str">
        <f>'Ashed teabags wet'!A821</f>
        <v>R71</v>
      </c>
      <c r="BC403" t="b">
        <f t="shared" si="328"/>
        <v>0</v>
      </c>
      <c r="BD403" t="b">
        <f t="shared" si="310"/>
        <v>0</v>
      </c>
      <c r="BH403" t="str">
        <f t="shared" si="329"/>
        <v>G78</v>
      </c>
      <c r="BI403" t="str">
        <f t="shared" si="341"/>
        <v>G78</v>
      </c>
      <c r="BP403" t="str">
        <f t="shared" si="330"/>
        <v>R640</v>
      </c>
      <c r="BQ403" t="str">
        <f t="shared" si="331"/>
        <v>R640</v>
      </c>
      <c r="BZ403" t="str">
        <f t="shared" si="332"/>
        <v>G78</v>
      </c>
      <c r="CA403" t="b">
        <f t="shared" si="333"/>
        <v>0</v>
      </c>
      <c r="CB403" t="str">
        <f t="shared" si="342"/>
        <v>G78</v>
      </c>
      <c r="CC403" t="str">
        <f t="shared" si="334"/>
        <v>R640</v>
      </c>
      <c r="CD403" t="b">
        <f t="shared" si="343"/>
        <v>0</v>
      </c>
      <c r="CE403" t="str">
        <f t="shared" si="344"/>
        <v>R640</v>
      </c>
      <c r="CG403" t="str">
        <f t="shared" si="335"/>
        <v>G881</v>
      </c>
      <c r="CH403" t="str">
        <f t="shared" si="345"/>
        <v>G881</v>
      </c>
      <c r="CI403" t="str">
        <f>AE402</f>
        <v>G826</v>
      </c>
      <c r="CJ403" t="str">
        <f t="shared" si="336"/>
        <v>G826</v>
      </c>
      <c r="CK403" t="s">
        <v>1169</v>
      </c>
      <c r="CL403" t="s">
        <v>1169</v>
      </c>
      <c r="CM403" t="s">
        <v>1169</v>
      </c>
      <c r="CN403" t="b">
        <f t="shared" si="346"/>
        <v>1</v>
      </c>
      <c r="CO403" t="str">
        <f t="shared" si="337"/>
        <v>R7</v>
      </c>
      <c r="CP403" t="str">
        <f t="shared" si="347"/>
        <v>R7</v>
      </c>
      <c r="CQ403" t="str">
        <f>AF402</f>
        <v>R273</v>
      </c>
      <c r="CR403" t="str">
        <f t="shared" si="338"/>
        <v>R273</v>
      </c>
      <c r="CS403" t="s">
        <v>1134</v>
      </c>
      <c r="CT403" t="s">
        <v>1134</v>
      </c>
      <c r="CU403" t="s">
        <v>1134</v>
      </c>
      <c r="CV403" t="b">
        <f t="shared" si="348"/>
        <v>1</v>
      </c>
      <c r="DC403" t="str">
        <f t="shared" si="339"/>
        <v>G826</v>
      </c>
      <c r="DD403" t="b">
        <f t="shared" si="349"/>
        <v>0</v>
      </c>
      <c r="DE403" t="str">
        <f t="shared" si="350"/>
        <v>G826</v>
      </c>
      <c r="DF403" t="str">
        <f t="shared" si="340"/>
        <v>R273</v>
      </c>
      <c r="DG403" t="b">
        <f t="shared" si="351"/>
        <v>0</v>
      </c>
      <c r="DH403" t="str">
        <f t="shared" si="352"/>
        <v>R273</v>
      </c>
    </row>
    <row r="404" spans="2:112" ht="12" customHeight="1">
      <c r="B404" t="str">
        <f>TBIDry!H476</f>
        <v>G870</v>
      </c>
      <c r="C404" t="str">
        <f>TBIDry!I476</f>
        <v>R170</v>
      </c>
      <c r="D404" t="b">
        <f t="shared" si="311"/>
        <v>0</v>
      </c>
      <c r="E404" t="b">
        <f t="shared" si="312"/>
        <v>0</v>
      </c>
      <c r="G404" t="str">
        <f>TBIWet!H476</f>
        <v>G551</v>
      </c>
      <c r="H404" t="str">
        <f>TBIWet!I476</f>
        <v>R291</v>
      </c>
      <c r="I404" t="b">
        <f t="shared" si="313"/>
        <v>0</v>
      </c>
      <c r="J404" t="b">
        <f t="shared" si="314"/>
        <v>0</v>
      </c>
      <c r="L404" t="str">
        <f>'Both teabags AfterWet'!A402</f>
        <v>G883</v>
      </c>
      <c r="M404" t="str">
        <f>'Both teabags AfterWet'!A822</f>
        <v>R72</v>
      </c>
      <c r="N404" t="b">
        <f t="shared" si="315"/>
        <v>0</v>
      </c>
      <c r="O404" t="b">
        <f t="shared" si="353"/>
        <v>0</v>
      </c>
      <c r="Q404" s="395" t="b">
        <f t="shared" si="316"/>
        <v>0</v>
      </c>
      <c r="R404" s="395" t="b">
        <f t="shared" si="317"/>
        <v>0</v>
      </c>
      <c r="Y404" t="str">
        <f>'Green_rooibos initial weight'!A405</f>
        <v>G401</v>
      </c>
      <c r="Z404" t="str">
        <f>'Green_rooibos initial weight'!A1309</f>
        <v>R401</v>
      </c>
      <c r="AA404" t="b">
        <f t="shared" si="318"/>
        <v>0</v>
      </c>
      <c r="AB404" t="b">
        <f t="shared" si="319"/>
        <v>0</v>
      </c>
      <c r="AE404" t="str">
        <f>'WetLitterbags placem_collection'!O183</f>
        <v>G551</v>
      </c>
      <c r="AF404" t="str">
        <f>'WetLitterbags placem_collection'!Q183</f>
        <v>R291</v>
      </c>
      <c r="AG404" t="b">
        <f t="shared" si="320"/>
        <v>0</v>
      </c>
      <c r="AH404" t="b">
        <f t="shared" si="321"/>
        <v>0</v>
      </c>
      <c r="AJ404" t="b">
        <f t="shared" si="322"/>
        <v>0</v>
      </c>
      <c r="AK404" t="b">
        <f t="shared" si="323"/>
        <v>0</v>
      </c>
      <c r="AM404" t="str">
        <f>IF(ISBLANK('Dry_Litterbag Placem_Collection'!L183),"","G"&amp;""&amp;'Dry_Litterbag Placem_Collection'!L183)</f>
        <v>G870</v>
      </c>
      <c r="AN404" t="str">
        <f>IF(ISBLANK('Dry_Litterbag Placem_Collection'!M183),"","R"&amp;""&amp;'Dry_Litterbag Placem_Collection'!M183)</f>
        <v>R170</v>
      </c>
      <c r="AO404" t="b">
        <f t="shared" si="324"/>
        <v>0</v>
      </c>
      <c r="AP404" t="b">
        <f t="shared" si="325"/>
        <v>0</v>
      </c>
      <c r="AX404" s="395" t="b">
        <f t="shared" si="326"/>
        <v>0</v>
      </c>
      <c r="AY404" s="395" t="b">
        <f t="shared" si="327"/>
        <v>0</v>
      </c>
      <c r="BA404" t="str">
        <f>'Ashed teabags wet'!A402</f>
        <v>G883</v>
      </c>
      <c r="BB404" t="str">
        <f>'Ashed teabags wet'!A822</f>
        <v>R72</v>
      </c>
      <c r="BC404" t="b">
        <f t="shared" si="328"/>
        <v>0</v>
      </c>
      <c r="BD404" t="b">
        <f t="shared" si="310"/>
        <v>0</v>
      </c>
      <c r="BH404" t="str">
        <f t="shared" si="329"/>
        <v>G422</v>
      </c>
      <c r="BI404" t="str">
        <f t="shared" si="341"/>
        <v>G422</v>
      </c>
      <c r="BP404" t="str">
        <f t="shared" si="330"/>
        <v>R669</v>
      </c>
      <c r="BQ404" t="str">
        <f t="shared" si="331"/>
        <v>R669</v>
      </c>
      <c r="BZ404" t="str">
        <f t="shared" si="332"/>
        <v>G422</v>
      </c>
      <c r="CA404" t="b">
        <f t="shared" si="333"/>
        <v>0</v>
      </c>
      <c r="CB404" t="str">
        <f t="shared" si="342"/>
        <v>G422</v>
      </c>
      <c r="CC404" t="str">
        <f t="shared" si="334"/>
        <v>R669</v>
      </c>
      <c r="CD404" t="b">
        <f t="shared" si="343"/>
        <v>0</v>
      </c>
      <c r="CE404" t="str">
        <f t="shared" si="344"/>
        <v>R669</v>
      </c>
      <c r="CG404" t="str">
        <f t="shared" si="335"/>
        <v>G882</v>
      </c>
      <c r="CH404" t="str">
        <f t="shared" si="345"/>
        <v>G882</v>
      </c>
      <c r="CI404" t="str">
        <f>AE403</f>
        <v>G783</v>
      </c>
      <c r="CJ404" t="str">
        <f t="shared" si="336"/>
        <v>G783</v>
      </c>
      <c r="CK404" t="s">
        <v>1168</v>
      </c>
      <c r="CL404" t="s">
        <v>1168</v>
      </c>
      <c r="CM404" t="s">
        <v>1168</v>
      </c>
      <c r="CN404" t="b">
        <f t="shared" si="346"/>
        <v>1</v>
      </c>
      <c r="CO404" t="str">
        <f t="shared" si="337"/>
        <v>R71</v>
      </c>
      <c r="CP404" t="str">
        <f t="shared" si="347"/>
        <v>R71</v>
      </c>
      <c r="CQ404" t="str">
        <f>AF403</f>
        <v>R301</v>
      </c>
      <c r="CR404" t="str">
        <f t="shared" si="338"/>
        <v>R301</v>
      </c>
      <c r="CS404" t="s">
        <v>1070</v>
      </c>
      <c r="CT404" t="s">
        <v>1070</v>
      </c>
      <c r="CU404" t="s">
        <v>1070</v>
      </c>
      <c r="CV404" t="b">
        <f t="shared" si="348"/>
        <v>1</v>
      </c>
      <c r="DC404" t="str">
        <f t="shared" si="339"/>
        <v>G783</v>
      </c>
      <c r="DD404" t="b">
        <f t="shared" si="349"/>
        <v>0</v>
      </c>
      <c r="DE404" t="str">
        <f t="shared" si="350"/>
        <v>G783</v>
      </c>
      <c r="DF404" t="str">
        <f t="shared" si="340"/>
        <v>R301</v>
      </c>
      <c r="DG404" t="b">
        <f t="shared" si="351"/>
        <v>0</v>
      </c>
      <c r="DH404" t="str">
        <f t="shared" si="352"/>
        <v>R301</v>
      </c>
    </row>
    <row r="405" spans="2:112" ht="12" customHeight="1">
      <c r="B405" t="str">
        <f>TBIDry!H477</f>
        <v>G136</v>
      </c>
      <c r="C405" t="str">
        <f>TBIDry!I477</f>
        <v>R697</v>
      </c>
      <c r="D405" t="b">
        <f t="shared" si="311"/>
        <v>0</v>
      </c>
      <c r="E405" t="b">
        <f t="shared" si="312"/>
        <v>0</v>
      </c>
      <c r="G405" t="str">
        <f>TBIWet!H477</f>
        <v>G818</v>
      </c>
      <c r="H405" t="str">
        <f>TBIWet!I477</f>
        <v>R537</v>
      </c>
      <c r="I405" t="b">
        <f t="shared" si="313"/>
        <v>0</v>
      </c>
      <c r="J405" t="b">
        <f t="shared" si="314"/>
        <v>0</v>
      </c>
      <c r="L405" t="str">
        <f>'Both teabags AfterWet'!A403</f>
        <v>G884</v>
      </c>
      <c r="M405" t="str">
        <f>'Both teabags AfterWet'!A823</f>
        <v>R73</v>
      </c>
      <c r="N405" t="b">
        <f t="shared" si="315"/>
        <v>0</v>
      </c>
      <c r="O405" t="b">
        <f t="shared" si="353"/>
        <v>0</v>
      </c>
      <c r="Q405" s="395" t="b">
        <f t="shared" si="316"/>
        <v>0</v>
      </c>
      <c r="R405" s="395" t="b">
        <f t="shared" si="317"/>
        <v>0</v>
      </c>
      <c r="Y405" t="str">
        <f>'Green_rooibos initial weight'!A406</f>
        <v>G402</v>
      </c>
      <c r="Z405" t="str">
        <f>'Green_rooibos initial weight'!A1310</f>
        <v>R402</v>
      </c>
      <c r="AA405" t="b">
        <f t="shared" si="318"/>
        <v>0</v>
      </c>
      <c r="AB405" t="b">
        <f t="shared" si="319"/>
        <v>0</v>
      </c>
      <c r="AE405" t="str">
        <f>'WetLitterbags placem_collection'!O184</f>
        <v>G818</v>
      </c>
      <c r="AF405" t="str">
        <f>'WetLitterbags placem_collection'!Q184</f>
        <v>R537</v>
      </c>
      <c r="AG405" t="b">
        <f t="shared" si="320"/>
        <v>0</v>
      </c>
      <c r="AH405" t="b">
        <f t="shared" si="321"/>
        <v>0</v>
      </c>
      <c r="AJ405" t="b">
        <f t="shared" si="322"/>
        <v>0</v>
      </c>
      <c r="AK405" t="b">
        <f t="shared" si="323"/>
        <v>0</v>
      </c>
      <c r="AM405" t="str">
        <f>IF(ISBLANK('Dry_Litterbag Placem_Collection'!L184),"","G"&amp;""&amp;'Dry_Litterbag Placem_Collection'!L184)</f>
        <v>G136</v>
      </c>
      <c r="AN405" t="str">
        <f>IF(ISBLANK('Dry_Litterbag Placem_Collection'!M184),"","R"&amp;""&amp;'Dry_Litterbag Placem_Collection'!M184)</f>
        <v>R697</v>
      </c>
      <c r="AO405" t="b">
        <f t="shared" si="324"/>
        <v>0</v>
      </c>
      <c r="AP405" t="b">
        <f t="shared" si="325"/>
        <v>0</v>
      </c>
      <c r="AX405" s="395" t="b">
        <f t="shared" si="326"/>
        <v>0</v>
      </c>
      <c r="AY405" s="395" t="b">
        <f t="shared" si="327"/>
        <v>0</v>
      </c>
      <c r="BA405" t="str">
        <f>'Ashed teabags wet'!A403</f>
        <v>G884</v>
      </c>
      <c r="BB405" t="str">
        <f>'Ashed teabags wet'!A823</f>
        <v>R73</v>
      </c>
      <c r="BC405" t="b">
        <f t="shared" si="328"/>
        <v>0</v>
      </c>
      <c r="BD405" t="b">
        <f t="shared" si="310"/>
        <v>0</v>
      </c>
      <c r="BH405" t="str">
        <f t="shared" si="329"/>
        <v>G870</v>
      </c>
      <c r="BI405" t="str">
        <f t="shared" si="341"/>
        <v>G870</v>
      </c>
      <c r="BP405" t="str">
        <f t="shared" si="330"/>
        <v>R170</v>
      </c>
      <c r="BQ405" t="str">
        <f t="shared" si="331"/>
        <v>R170</v>
      </c>
      <c r="BZ405" t="str">
        <f t="shared" si="332"/>
        <v>G870</v>
      </c>
      <c r="CA405" t="b">
        <f t="shared" si="333"/>
        <v>0</v>
      </c>
      <c r="CB405" t="str">
        <f t="shared" si="342"/>
        <v>G870</v>
      </c>
      <c r="CC405" t="str">
        <f t="shared" si="334"/>
        <v>R170</v>
      </c>
      <c r="CD405" t="b">
        <f t="shared" si="343"/>
        <v>0</v>
      </c>
      <c r="CE405" t="str">
        <f t="shared" si="344"/>
        <v>R170</v>
      </c>
      <c r="CG405" t="str">
        <f t="shared" si="335"/>
        <v>G883</v>
      </c>
      <c r="CH405" t="str">
        <f t="shared" si="345"/>
        <v>G883</v>
      </c>
      <c r="CI405" t="str">
        <f>AE404</f>
        <v>G551</v>
      </c>
      <c r="CJ405" t="str">
        <f t="shared" si="336"/>
        <v>G551</v>
      </c>
      <c r="CK405" t="s">
        <v>1167</v>
      </c>
      <c r="CL405" t="s">
        <v>1167</v>
      </c>
      <c r="CM405" t="s">
        <v>1167</v>
      </c>
      <c r="CN405" t="b">
        <f t="shared" si="346"/>
        <v>1</v>
      </c>
      <c r="CO405" t="str">
        <f t="shared" si="337"/>
        <v>R72</v>
      </c>
      <c r="CP405" t="str">
        <f t="shared" si="347"/>
        <v>R72</v>
      </c>
      <c r="CQ405" t="str">
        <f>AF404</f>
        <v>R291</v>
      </c>
      <c r="CR405" t="str">
        <f t="shared" si="338"/>
        <v>R291</v>
      </c>
      <c r="CS405" t="s">
        <v>1069</v>
      </c>
      <c r="CT405" t="s">
        <v>1069</v>
      </c>
      <c r="CU405" t="s">
        <v>1069</v>
      </c>
      <c r="CV405" t="b">
        <f t="shared" si="348"/>
        <v>1</v>
      </c>
      <c r="DC405" t="str">
        <f t="shared" si="339"/>
        <v>G551</v>
      </c>
      <c r="DD405" t="b">
        <f t="shared" si="349"/>
        <v>0</v>
      </c>
      <c r="DE405" t="str">
        <f t="shared" si="350"/>
        <v>G551</v>
      </c>
      <c r="DF405" t="str">
        <f t="shared" si="340"/>
        <v>R291</v>
      </c>
      <c r="DG405" t="b">
        <f t="shared" si="351"/>
        <v>0</v>
      </c>
      <c r="DH405" t="str">
        <f t="shared" si="352"/>
        <v>R291</v>
      </c>
    </row>
    <row r="406" spans="2:112" ht="12" customHeight="1">
      <c r="B406" t="str">
        <f>TBIDry!H478</f>
        <v/>
      </c>
      <c r="C406" t="str">
        <f>TBIDry!I478</f>
        <v/>
      </c>
      <c r="D406" t="b">
        <f t="shared" si="311"/>
        <v>1</v>
      </c>
      <c r="E406" t="b">
        <f t="shared" si="312"/>
        <v>1</v>
      </c>
      <c r="G406" t="str">
        <f>TBIWet!H478</f>
        <v>G896</v>
      </c>
      <c r="H406" t="str">
        <f>TBIWet!I478</f>
        <v>R290</v>
      </c>
      <c r="I406" t="b">
        <f t="shared" si="313"/>
        <v>0</v>
      </c>
      <c r="J406" t="b">
        <f t="shared" si="314"/>
        <v>0</v>
      </c>
      <c r="L406" t="str">
        <f>'Both teabags AfterWet'!A404</f>
        <v>G885</v>
      </c>
      <c r="M406" t="str">
        <f>'Both teabags AfterWet'!A824</f>
        <v>R74</v>
      </c>
      <c r="N406" t="b">
        <f t="shared" si="315"/>
        <v>0</v>
      </c>
      <c r="O406" t="b">
        <f t="shared" si="353"/>
        <v>0</v>
      </c>
      <c r="Q406" s="395" t="b">
        <f t="shared" si="316"/>
        <v>0</v>
      </c>
      <c r="R406" s="395" t="b">
        <f t="shared" si="317"/>
        <v>0</v>
      </c>
      <c r="Y406" t="str">
        <f>'Green_rooibos initial weight'!A407</f>
        <v>G403</v>
      </c>
      <c r="Z406" t="str">
        <f>'Green_rooibos initial weight'!A1311</f>
        <v>R403</v>
      </c>
      <c r="AA406" t="b">
        <f t="shared" si="318"/>
        <v>0</v>
      </c>
      <c r="AB406" t="b">
        <f t="shared" si="319"/>
        <v>0</v>
      </c>
      <c r="AE406" t="str">
        <f>'WetLitterbags placem_collection'!O185</f>
        <v>G896</v>
      </c>
      <c r="AF406" t="str">
        <f>'WetLitterbags placem_collection'!Q185</f>
        <v>R290</v>
      </c>
      <c r="AG406" t="b">
        <f t="shared" si="320"/>
        <v>0</v>
      </c>
      <c r="AH406" t="b">
        <f t="shared" si="321"/>
        <v>0</v>
      </c>
      <c r="AJ406" t="b">
        <f t="shared" si="322"/>
        <v>0</v>
      </c>
      <c r="AK406" t="b">
        <f t="shared" si="323"/>
        <v>0</v>
      </c>
      <c r="AM406" t="str">
        <f>IF(ISBLANK('Dry_Litterbag Placem_Collection'!L185),"","G"&amp;""&amp;'Dry_Litterbag Placem_Collection'!L185)</f>
        <v/>
      </c>
      <c r="AN406" t="str">
        <f>IF(ISBLANK('Dry_Litterbag Placem_Collection'!M185),"","R"&amp;""&amp;'Dry_Litterbag Placem_Collection'!M185)</f>
        <v/>
      </c>
      <c r="AO406" t="b">
        <f t="shared" si="324"/>
        <v>1</v>
      </c>
      <c r="AP406" t="b">
        <f t="shared" si="325"/>
        <v>1</v>
      </c>
      <c r="AX406" s="395" t="b">
        <f t="shared" si="326"/>
        <v>0</v>
      </c>
      <c r="AY406" s="395" t="b">
        <f t="shared" si="327"/>
        <v>0</v>
      </c>
      <c r="BA406" t="str">
        <f>'Ashed teabags wet'!A404</f>
        <v>G885</v>
      </c>
      <c r="BB406" t="str">
        <f>'Ashed teabags wet'!A824</f>
        <v>R74</v>
      </c>
      <c r="BC406" t="b">
        <f t="shared" si="328"/>
        <v>0</v>
      </c>
      <c r="BD406" t="b">
        <f t="shared" si="310"/>
        <v>0</v>
      </c>
      <c r="BH406" t="str">
        <f t="shared" si="329"/>
        <v>G136</v>
      </c>
      <c r="BI406" t="str">
        <f t="shared" si="341"/>
        <v>G136</v>
      </c>
      <c r="BP406" t="str">
        <f t="shared" si="330"/>
        <v>R697</v>
      </c>
      <c r="BQ406" t="str">
        <f t="shared" si="331"/>
        <v>R697</v>
      </c>
      <c r="BZ406" t="str">
        <f t="shared" si="332"/>
        <v>G136</v>
      </c>
      <c r="CA406" t="b">
        <f t="shared" si="333"/>
        <v>0</v>
      </c>
      <c r="CB406" t="str">
        <f t="shared" si="342"/>
        <v>G136</v>
      </c>
      <c r="CC406" t="str">
        <f t="shared" si="334"/>
        <v>R697</v>
      </c>
      <c r="CD406" t="b">
        <f t="shared" si="343"/>
        <v>0</v>
      </c>
      <c r="CE406" t="str">
        <f t="shared" si="344"/>
        <v>R697</v>
      </c>
      <c r="CG406" t="str">
        <f t="shared" si="335"/>
        <v>G884</v>
      </c>
      <c r="CH406" t="str">
        <f t="shared" si="345"/>
        <v>G884</v>
      </c>
      <c r="CI406" t="str">
        <f>AE405</f>
        <v>G818</v>
      </c>
      <c r="CJ406" t="str">
        <f t="shared" si="336"/>
        <v>G818</v>
      </c>
      <c r="CK406" t="s">
        <v>1166</v>
      </c>
      <c r="CL406" t="s">
        <v>1166</v>
      </c>
      <c r="CM406" t="s">
        <v>1166</v>
      </c>
      <c r="CN406" t="b">
        <f t="shared" si="346"/>
        <v>1</v>
      </c>
      <c r="CO406" t="str">
        <f t="shared" si="337"/>
        <v>R73</v>
      </c>
      <c r="CP406" t="str">
        <f t="shared" si="347"/>
        <v>R73</v>
      </c>
      <c r="CQ406" t="str">
        <f>AF405</f>
        <v>R537</v>
      </c>
      <c r="CR406" t="str">
        <f t="shared" si="338"/>
        <v>R537</v>
      </c>
      <c r="CS406" t="s">
        <v>1068</v>
      </c>
      <c r="CT406" t="s">
        <v>1068</v>
      </c>
      <c r="CU406" t="s">
        <v>1068</v>
      </c>
      <c r="CV406" t="b">
        <f t="shared" si="348"/>
        <v>1</v>
      </c>
      <c r="DC406" t="str">
        <f t="shared" si="339"/>
        <v>G818</v>
      </c>
      <c r="DD406" t="b">
        <f t="shared" si="349"/>
        <v>0</v>
      </c>
      <c r="DE406" t="str">
        <f t="shared" si="350"/>
        <v>G818</v>
      </c>
      <c r="DF406" t="str">
        <f t="shared" si="340"/>
        <v>R537</v>
      </c>
      <c r="DG406" t="b">
        <f t="shared" si="351"/>
        <v>0</v>
      </c>
      <c r="DH406" t="str">
        <f t="shared" si="352"/>
        <v>R537</v>
      </c>
    </row>
    <row r="407" spans="2:112" ht="12" customHeight="1">
      <c r="B407" t="str">
        <f>TBIDry!H479</f>
        <v>G266</v>
      </c>
      <c r="C407" t="str">
        <f>TBIDry!I479</f>
        <v>R674</v>
      </c>
      <c r="D407" t="b">
        <f t="shared" si="311"/>
        <v>0</v>
      </c>
      <c r="E407" t="b">
        <f t="shared" si="312"/>
        <v>0</v>
      </c>
      <c r="G407" t="str">
        <f>TBIWet!H479</f>
        <v>G337</v>
      </c>
      <c r="H407" t="str">
        <f>TBIWet!I479</f>
        <v>R555</v>
      </c>
      <c r="I407" t="b">
        <f t="shared" si="313"/>
        <v>0</v>
      </c>
      <c r="J407" t="b">
        <f t="shared" si="314"/>
        <v>0</v>
      </c>
      <c r="L407" t="str">
        <f>'Both teabags AfterWet'!A405</f>
        <v>G886</v>
      </c>
      <c r="M407" t="str">
        <f>'Both teabags AfterWet'!A825</f>
        <v>R76</v>
      </c>
      <c r="N407" t="b">
        <f t="shared" si="315"/>
        <v>0</v>
      </c>
      <c r="O407" t="b">
        <f t="shared" si="353"/>
        <v>0</v>
      </c>
      <c r="Q407" s="395" t="b">
        <f t="shared" si="316"/>
        <v>0</v>
      </c>
      <c r="R407" s="395" t="b">
        <f t="shared" si="317"/>
        <v>0</v>
      </c>
      <c r="Y407" t="str">
        <f>'Green_rooibos initial weight'!A408</f>
        <v>G404</v>
      </c>
      <c r="Z407" t="str">
        <f>'Green_rooibos initial weight'!A1312</f>
        <v>R404</v>
      </c>
      <c r="AA407" t="b">
        <f t="shared" si="318"/>
        <v>0</v>
      </c>
      <c r="AB407" t="b">
        <f t="shared" si="319"/>
        <v>0</v>
      </c>
      <c r="AE407" t="str">
        <f>'WetLitterbags placem_collection'!O186</f>
        <v>G337</v>
      </c>
      <c r="AF407" t="str">
        <f>'WetLitterbags placem_collection'!Q186</f>
        <v>R555</v>
      </c>
      <c r="AG407" t="b">
        <f t="shared" si="320"/>
        <v>0</v>
      </c>
      <c r="AH407" t="b">
        <f t="shared" si="321"/>
        <v>0</v>
      </c>
      <c r="AJ407" t="b">
        <f t="shared" si="322"/>
        <v>0</v>
      </c>
      <c r="AK407" t="b">
        <f t="shared" si="323"/>
        <v>0</v>
      </c>
      <c r="AM407" t="str">
        <f>IF(ISBLANK('Dry_Litterbag Placem_Collection'!L186),"","G"&amp;""&amp;'Dry_Litterbag Placem_Collection'!L186)</f>
        <v>G266</v>
      </c>
      <c r="AN407" t="str">
        <f>IF(ISBLANK('Dry_Litterbag Placem_Collection'!M186),"","R"&amp;""&amp;'Dry_Litterbag Placem_Collection'!M186)</f>
        <v>R674</v>
      </c>
      <c r="AO407" t="b">
        <f t="shared" si="324"/>
        <v>0</v>
      </c>
      <c r="AP407" t="b">
        <f t="shared" si="325"/>
        <v>0</v>
      </c>
      <c r="AX407" s="395" t="b">
        <f t="shared" si="326"/>
        <v>0</v>
      </c>
      <c r="AY407" s="395" t="b">
        <f t="shared" si="327"/>
        <v>0</v>
      </c>
      <c r="BA407" t="str">
        <f>'Ashed teabags wet'!A405</f>
        <v>G886</v>
      </c>
      <c r="BB407" t="str">
        <f>'Ashed teabags wet'!A825</f>
        <v>R76</v>
      </c>
      <c r="BC407" t="b">
        <f t="shared" si="328"/>
        <v>0</v>
      </c>
      <c r="BD407" t="b">
        <f t="shared" si="310"/>
        <v>0</v>
      </c>
      <c r="BH407" t="str">
        <f t="shared" si="329"/>
        <v/>
      </c>
      <c r="BI407" t="str">
        <f t="shared" si="341"/>
        <v/>
      </c>
      <c r="BP407" t="str">
        <f t="shared" si="330"/>
        <v/>
      </c>
      <c r="BQ407" t="str">
        <f t="shared" si="331"/>
        <v/>
      </c>
      <c r="BZ407" t="str">
        <f t="shared" si="332"/>
        <v/>
      </c>
      <c r="CA407" t="b">
        <f t="shared" si="333"/>
        <v>0</v>
      </c>
      <c r="CB407" t="str">
        <f t="shared" si="342"/>
        <v/>
      </c>
      <c r="CC407" t="str">
        <f t="shared" si="334"/>
        <v/>
      </c>
      <c r="CD407" t="b">
        <f t="shared" si="343"/>
        <v>0</v>
      </c>
      <c r="CE407" t="str">
        <f t="shared" si="344"/>
        <v/>
      </c>
      <c r="CG407" t="str">
        <f t="shared" si="335"/>
        <v>G885</v>
      </c>
      <c r="CH407" t="str">
        <f t="shared" si="345"/>
        <v>G885</v>
      </c>
      <c r="CI407" t="str">
        <f>AE406</f>
        <v>G896</v>
      </c>
      <c r="CJ407" t="str">
        <f t="shared" si="336"/>
        <v>G896</v>
      </c>
      <c r="CK407" t="s">
        <v>1165</v>
      </c>
      <c r="CL407" t="s">
        <v>1165</v>
      </c>
      <c r="CM407" t="s">
        <v>1165</v>
      </c>
      <c r="CN407" t="b">
        <f t="shared" si="346"/>
        <v>1</v>
      </c>
      <c r="CO407" t="str">
        <f t="shared" si="337"/>
        <v>R74</v>
      </c>
      <c r="CP407" t="str">
        <f t="shared" si="347"/>
        <v>R74</v>
      </c>
      <c r="CQ407" t="str">
        <f>AF406</f>
        <v>R290</v>
      </c>
      <c r="CR407" t="str">
        <f t="shared" si="338"/>
        <v>R290</v>
      </c>
      <c r="CS407" t="s">
        <v>1067</v>
      </c>
      <c r="CT407" t="s">
        <v>1067</v>
      </c>
      <c r="CU407" t="s">
        <v>1067</v>
      </c>
      <c r="CV407" t="b">
        <f t="shared" si="348"/>
        <v>1</v>
      </c>
      <c r="DC407" t="str">
        <f t="shared" si="339"/>
        <v>G896</v>
      </c>
      <c r="DD407" t="b">
        <f t="shared" si="349"/>
        <v>0</v>
      </c>
      <c r="DE407" t="str">
        <f t="shared" si="350"/>
        <v>G896</v>
      </c>
      <c r="DF407" t="str">
        <f t="shared" si="340"/>
        <v>R290</v>
      </c>
      <c r="DG407" t="b">
        <f t="shared" si="351"/>
        <v>0</v>
      </c>
      <c r="DH407" t="str">
        <f t="shared" si="352"/>
        <v>R290</v>
      </c>
    </row>
    <row r="408" spans="2:112" ht="12" customHeight="1">
      <c r="B408" t="str">
        <f>TBIDry!H480</f>
        <v>G165</v>
      </c>
      <c r="C408" t="str">
        <f>TBIDry!I480</f>
        <v>R607</v>
      </c>
      <c r="D408" t="b">
        <f t="shared" si="311"/>
        <v>0</v>
      </c>
      <c r="E408" t="b">
        <f t="shared" si="312"/>
        <v>0</v>
      </c>
      <c r="G408" t="str">
        <f>TBIWet!H480</f>
        <v>G564</v>
      </c>
      <c r="H408" t="str">
        <f>TBIWet!I480</f>
        <v>R539</v>
      </c>
      <c r="I408" t="b">
        <f t="shared" si="313"/>
        <v>0</v>
      </c>
      <c r="J408" t="b">
        <f t="shared" si="314"/>
        <v>0</v>
      </c>
      <c r="L408" t="str">
        <f>'Both teabags AfterWet'!A406</f>
        <v>G887</v>
      </c>
      <c r="M408" t="str">
        <f>'Both teabags AfterWet'!A826</f>
        <v>R77</v>
      </c>
      <c r="N408" t="b">
        <f t="shared" si="315"/>
        <v>0</v>
      </c>
      <c r="O408" t="b">
        <f t="shared" si="353"/>
        <v>0</v>
      </c>
      <c r="Q408" s="395" t="b">
        <f t="shared" si="316"/>
        <v>0</v>
      </c>
      <c r="R408" s="395" t="b">
        <f t="shared" si="317"/>
        <v>0</v>
      </c>
      <c r="Y408" t="str">
        <f>'Green_rooibos initial weight'!A409</f>
        <v>G405</v>
      </c>
      <c r="Z408" t="str">
        <f>'Green_rooibos initial weight'!A1313</f>
        <v>R405</v>
      </c>
      <c r="AA408" t="b">
        <f t="shared" si="318"/>
        <v>0</v>
      </c>
      <c r="AB408" t="b">
        <f t="shared" si="319"/>
        <v>0</v>
      </c>
      <c r="AE408" t="str">
        <f>'WetLitterbags placem_collection'!O187</f>
        <v>G564</v>
      </c>
      <c r="AF408" t="str">
        <f>'WetLitterbags placem_collection'!Q187</f>
        <v>R539</v>
      </c>
      <c r="AG408" t="b">
        <f t="shared" si="320"/>
        <v>0</v>
      </c>
      <c r="AH408" t="b">
        <f t="shared" si="321"/>
        <v>0</v>
      </c>
      <c r="AJ408" t="b">
        <f t="shared" si="322"/>
        <v>0</v>
      </c>
      <c r="AK408" t="b">
        <f t="shared" si="323"/>
        <v>0</v>
      </c>
      <c r="AM408" t="str">
        <f>IF(ISBLANK('Dry_Litterbag Placem_Collection'!L187),"","G"&amp;""&amp;'Dry_Litterbag Placem_Collection'!L187)</f>
        <v>G165</v>
      </c>
      <c r="AN408" t="str">
        <f>IF(ISBLANK('Dry_Litterbag Placem_Collection'!M187),"","R"&amp;""&amp;'Dry_Litterbag Placem_Collection'!M187)</f>
        <v>R607</v>
      </c>
      <c r="AO408" t="b">
        <f t="shared" si="324"/>
        <v>0</v>
      </c>
      <c r="AP408" t="b">
        <f t="shared" si="325"/>
        <v>0</v>
      </c>
      <c r="AX408" s="395" t="b">
        <f t="shared" si="326"/>
        <v>0</v>
      </c>
      <c r="AY408" s="395" t="b">
        <f t="shared" si="327"/>
        <v>0</v>
      </c>
      <c r="BA408" t="str">
        <f>'Ashed teabags wet'!A406</f>
        <v>G887</v>
      </c>
      <c r="BB408" t="str">
        <f>'Ashed teabags wet'!A826</f>
        <v>R77</v>
      </c>
      <c r="BC408" t="b">
        <f t="shared" si="328"/>
        <v>0</v>
      </c>
      <c r="BD408" t="b">
        <f t="shared" si="310"/>
        <v>0</v>
      </c>
      <c r="BH408" t="str">
        <f t="shared" si="329"/>
        <v>G266</v>
      </c>
      <c r="BI408" t="str">
        <f t="shared" si="341"/>
        <v>G266</v>
      </c>
      <c r="BP408" t="str">
        <f t="shared" si="330"/>
        <v>R674</v>
      </c>
      <c r="BQ408" t="str">
        <f t="shared" si="331"/>
        <v>R674</v>
      </c>
      <c r="BZ408" t="str">
        <f t="shared" si="332"/>
        <v>G266</v>
      </c>
      <c r="CA408" t="b">
        <f t="shared" si="333"/>
        <v>0</v>
      </c>
      <c r="CB408" t="str">
        <f t="shared" si="342"/>
        <v>G266</v>
      </c>
      <c r="CC408" t="str">
        <f t="shared" si="334"/>
        <v>R674</v>
      </c>
      <c r="CD408" t="b">
        <f t="shared" si="343"/>
        <v>0</v>
      </c>
      <c r="CE408" t="str">
        <f t="shared" si="344"/>
        <v>R674</v>
      </c>
      <c r="CG408" t="str">
        <f t="shared" si="335"/>
        <v>G886</v>
      </c>
      <c r="CH408" t="str">
        <f t="shared" si="345"/>
        <v>G886</v>
      </c>
      <c r="CI408" t="str">
        <f>AE407</f>
        <v>G337</v>
      </c>
      <c r="CJ408" t="str">
        <f t="shared" si="336"/>
        <v>G337</v>
      </c>
      <c r="CK408" t="s">
        <v>1164</v>
      </c>
      <c r="CL408" t="s">
        <v>1164</v>
      </c>
      <c r="CM408" t="s">
        <v>1164</v>
      </c>
      <c r="CN408" t="b">
        <f t="shared" si="346"/>
        <v>1</v>
      </c>
      <c r="CO408" t="str">
        <f t="shared" si="337"/>
        <v>R76</v>
      </c>
      <c r="CP408" t="str">
        <f t="shared" si="347"/>
        <v>R76</v>
      </c>
      <c r="CQ408" t="str">
        <f>AF407</f>
        <v>R555</v>
      </c>
      <c r="CR408" t="str">
        <f t="shared" si="338"/>
        <v>R555</v>
      </c>
      <c r="CS408" t="s">
        <v>1065</v>
      </c>
      <c r="CT408" t="s">
        <v>1065</v>
      </c>
      <c r="CU408" t="s">
        <v>1065</v>
      </c>
      <c r="CV408" t="b">
        <f t="shared" si="348"/>
        <v>1</v>
      </c>
      <c r="DC408" t="str">
        <f t="shared" si="339"/>
        <v>G337</v>
      </c>
      <c r="DD408" t="b">
        <f t="shared" si="349"/>
        <v>0</v>
      </c>
      <c r="DE408" t="str">
        <f t="shared" si="350"/>
        <v>G337</v>
      </c>
      <c r="DF408" t="str">
        <f t="shared" si="340"/>
        <v>R555</v>
      </c>
      <c r="DG408" t="b">
        <f t="shared" si="351"/>
        <v>0</v>
      </c>
      <c r="DH408" t="str">
        <f t="shared" si="352"/>
        <v>R555</v>
      </c>
    </row>
    <row r="409" spans="2:112" ht="12" customHeight="1">
      <c r="B409" t="str">
        <f>TBIDry!H481</f>
        <v>G22</v>
      </c>
      <c r="C409" t="str">
        <f>TBIDry!I481</f>
        <v>R629</v>
      </c>
      <c r="D409" t="b">
        <f t="shared" si="311"/>
        <v>0</v>
      </c>
      <c r="E409" t="b">
        <f t="shared" si="312"/>
        <v>0</v>
      </c>
      <c r="G409" t="str">
        <f>TBIWet!H481</f>
        <v>G608</v>
      </c>
      <c r="H409" t="str">
        <f>TBIWet!I481</f>
        <v>R186</v>
      </c>
      <c r="I409" t="b">
        <f t="shared" si="313"/>
        <v>0</v>
      </c>
      <c r="J409" t="b">
        <f t="shared" si="314"/>
        <v>0</v>
      </c>
      <c r="L409" t="str">
        <f>'Both teabags AfterWet'!A407</f>
        <v>G888</v>
      </c>
      <c r="M409" t="str">
        <f>'Both teabags AfterWet'!A827</f>
        <v>R78</v>
      </c>
      <c r="N409" t="b">
        <f t="shared" si="315"/>
        <v>0</v>
      </c>
      <c r="O409" t="b">
        <f t="shared" si="353"/>
        <v>0</v>
      </c>
      <c r="Q409" s="395" t="b">
        <f t="shared" si="316"/>
        <v>0</v>
      </c>
      <c r="R409" s="395" t="b">
        <f t="shared" si="317"/>
        <v>0</v>
      </c>
      <c r="Y409" t="str">
        <f>'Green_rooibos initial weight'!A410</f>
        <v>G406</v>
      </c>
      <c r="Z409" t="str">
        <f>'Green_rooibos initial weight'!A1314</f>
        <v>R406</v>
      </c>
      <c r="AA409" t="b">
        <f t="shared" si="318"/>
        <v>0</v>
      </c>
      <c r="AB409" t="b">
        <f t="shared" si="319"/>
        <v>0</v>
      </c>
      <c r="AE409" t="str">
        <f>'WetLitterbags placem_collection'!O188</f>
        <v>G608</v>
      </c>
      <c r="AF409" t="str">
        <f>'WetLitterbags placem_collection'!Q188</f>
        <v>R186</v>
      </c>
      <c r="AG409" t="b">
        <f t="shared" si="320"/>
        <v>0</v>
      </c>
      <c r="AH409" t="b">
        <f t="shared" si="321"/>
        <v>0</v>
      </c>
      <c r="AJ409" t="b">
        <f t="shared" si="322"/>
        <v>0</v>
      </c>
      <c r="AK409" t="b">
        <f t="shared" si="323"/>
        <v>0</v>
      </c>
      <c r="AM409" t="str">
        <f>IF(ISBLANK('Dry_Litterbag Placem_Collection'!L188),"","G"&amp;""&amp;'Dry_Litterbag Placem_Collection'!L188)</f>
        <v>G22</v>
      </c>
      <c r="AN409" t="str">
        <f>IF(ISBLANK('Dry_Litterbag Placem_Collection'!M188),"","R"&amp;""&amp;'Dry_Litterbag Placem_Collection'!M188)</f>
        <v>R629</v>
      </c>
      <c r="AO409" t="b">
        <f t="shared" si="324"/>
        <v>0</v>
      </c>
      <c r="AP409" t="b">
        <f t="shared" si="325"/>
        <v>0</v>
      </c>
      <c r="AX409" s="395" t="b">
        <f t="shared" si="326"/>
        <v>0</v>
      </c>
      <c r="AY409" s="395" t="b">
        <f t="shared" si="327"/>
        <v>0</v>
      </c>
      <c r="BA409" t="str">
        <f>'Ashed teabags wet'!A407</f>
        <v>G888</v>
      </c>
      <c r="BB409" t="str">
        <f>'Ashed teabags wet'!A827</f>
        <v>R78</v>
      </c>
      <c r="BC409" t="b">
        <f t="shared" si="328"/>
        <v>0</v>
      </c>
      <c r="BD409" t="b">
        <f t="shared" si="310"/>
        <v>0</v>
      </c>
      <c r="BH409" t="str">
        <f t="shared" si="329"/>
        <v>G165</v>
      </c>
      <c r="BI409" t="str">
        <f t="shared" si="341"/>
        <v/>
      </c>
      <c r="BP409" t="str">
        <f t="shared" si="330"/>
        <v>R607</v>
      </c>
      <c r="BQ409" t="str">
        <f t="shared" si="331"/>
        <v/>
      </c>
      <c r="BZ409" t="str">
        <f t="shared" si="332"/>
        <v>G165</v>
      </c>
      <c r="CA409" t="b">
        <f t="shared" si="333"/>
        <v>1</v>
      </c>
      <c r="CB409" t="str">
        <f t="shared" si="342"/>
        <v/>
      </c>
      <c r="CC409" t="str">
        <f t="shared" si="334"/>
        <v>R607</v>
      </c>
      <c r="CD409" t="b">
        <f t="shared" si="343"/>
        <v>1</v>
      </c>
      <c r="CE409" t="str">
        <f t="shared" si="344"/>
        <v/>
      </c>
      <c r="CG409" t="str">
        <f t="shared" si="335"/>
        <v>G887</v>
      </c>
      <c r="CH409" t="str">
        <f t="shared" si="345"/>
        <v>G887</v>
      </c>
      <c r="CI409" t="str">
        <f>AE408</f>
        <v>G564</v>
      </c>
      <c r="CJ409" t="str">
        <f t="shared" si="336"/>
        <v>G564</v>
      </c>
      <c r="CK409" t="s">
        <v>1163</v>
      </c>
      <c r="CL409" t="s">
        <v>1163</v>
      </c>
      <c r="CM409" t="s">
        <v>1163</v>
      </c>
      <c r="CN409" t="b">
        <f t="shared" si="346"/>
        <v>1</v>
      </c>
      <c r="CO409" t="str">
        <f t="shared" si="337"/>
        <v>R77</v>
      </c>
      <c r="CP409" t="str">
        <f t="shared" si="347"/>
        <v>R77</v>
      </c>
      <c r="CQ409" t="str">
        <f>AF408</f>
        <v>R539</v>
      </c>
      <c r="CR409" t="str">
        <f t="shared" si="338"/>
        <v>R539</v>
      </c>
      <c r="CS409" t="s">
        <v>1064</v>
      </c>
      <c r="CT409" t="s">
        <v>1064</v>
      </c>
      <c r="CU409" t="s">
        <v>1064</v>
      </c>
      <c r="CV409" t="b">
        <f t="shared" si="348"/>
        <v>1</v>
      </c>
      <c r="DC409" t="str">
        <f t="shared" si="339"/>
        <v>G564</v>
      </c>
      <c r="DD409" t="b">
        <f t="shared" si="349"/>
        <v>0</v>
      </c>
      <c r="DE409" t="str">
        <f t="shared" si="350"/>
        <v>G564</v>
      </c>
      <c r="DF409" t="str">
        <f t="shared" si="340"/>
        <v>R539</v>
      </c>
      <c r="DG409" t="b">
        <f t="shared" si="351"/>
        <v>0</v>
      </c>
      <c r="DH409" t="str">
        <f t="shared" si="352"/>
        <v>R539</v>
      </c>
    </row>
    <row r="410" spans="2:112" ht="12" customHeight="1">
      <c r="B410" t="str">
        <f>TBIDry!H482</f>
        <v>G371</v>
      </c>
      <c r="C410" t="str">
        <f>TBIDry!I482</f>
        <v>R679</v>
      </c>
      <c r="D410" t="b">
        <f t="shared" si="311"/>
        <v>0</v>
      </c>
      <c r="E410" t="b">
        <f t="shared" si="312"/>
        <v>0</v>
      </c>
      <c r="G410" t="str">
        <f>TBIWet!H482</f>
        <v>G365</v>
      </c>
      <c r="H410" t="str">
        <f>TBIWet!I482</f>
        <v>R580</v>
      </c>
      <c r="I410" t="b">
        <f t="shared" si="313"/>
        <v>0</v>
      </c>
      <c r="J410" t="b">
        <f t="shared" si="314"/>
        <v>0</v>
      </c>
      <c r="L410" t="str">
        <f>'Both teabags AfterWet'!A408</f>
        <v>G889</v>
      </c>
      <c r="M410" t="str">
        <f>'Both teabags AfterWet'!A828</f>
        <v>R79</v>
      </c>
      <c r="N410" t="b">
        <f t="shared" si="315"/>
        <v>0</v>
      </c>
      <c r="O410" t="b">
        <f t="shared" si="353"/>
        <v>0</v>
      </c>
      <c r="Q410" s="395" t="b">
        <f t="shared" si="316"/>
        <v>0</v>
      </c>
      <c r="R410" s="395" t="b">
        <f t="shared" si="317"/>
        <v>0</v>
      </c>
      <c r="Y410" t="str">
        <f>'Green_rooibos initial weight'!A411</f>
        <v>G407</v>
      </c>
      <c r="Z410" t="str">
        <f>'Green_rooibos initial weight'!A1315</f>
        <v>R407</v>
      </c>
      <c r="AA410" t="b">
        <f t="shared" si="318"/>
        <v>0</v>
      </c>
      <c r="AB410" t="b">
        <f t="shared" si="319"/>
        <v>0</v>
      </c>
      <c r="AE410" t="str">
        <f>'WetLitterbags placem_collection'!O189</f>
        <v>G365</v>
      </c>
      <c r="AF410" t="str">
        <f>'WetLitterbags placem_collection'!Q189</f>
        <v>R580</v>
      </c>
      <c r="AG410" t="b">
        <f t="shared" si="320"/>
        <v>0</v>
      </c>
      <c r="AH410" t="b">
        <f t="shared" si="321"/>
        <v>0</v>
      </c>
      <c r="AJ410" t="b">
        <f t="shared" si="322"/>
        <v>0</v>
      </c>
      <c r="AK410" t="b">
        <f t="shared" si="323"/>
        <v>0</v>
      </c>
      <c r="AM410" t="str">
        <f>IF(ISBLANK('Dry_Litterbag Placem_Collection'!L189),"","G"&amp;""&amp;'Dry_Litterbag Placem_Collection'!L189)</f>
        <v>G371</v>
      </c>
      <c r="AN410" t="str">
        <f>IF(ISBLANK('Dry_Litterbag Placem_Collection'!M189),"","R"&amp;""&amp;'Dry_Litterbag Placem_Collection'!M189)</f>
        <v>R679</v>
      </c>
      <c r="AO410" t="b">
        <f t="shared" si="324"/>
        <v>0</v>
      </c>
      <c r="AP410" t="b">
        <f t="shared" si="325"/>
        <v>0</v>
      </c>
      <c r="AX410" s="395" t="b">
        <f t="shared" si="326"/>
        <v>0</v>
      </c>
      <c r="AY410" s="395" t="b">
        <f t="shared" si="327"/>
        <v>0</v>
      </c>
      <c r="BA410" t="str">
        <f>'Ashed teabags wet'!A408</f>
        <v>G889</v>
      </c>
      <c r="BB410" t="str">
        <f>'Ashed teabags wet'!A828</f>
        <v>R79</v>
      </c>
      <c r="BC410" t="b">
        <f t="shared" si="328"/>
        <v>0</v>
      </c>
      <c r="BD410" t="b">
        <f t="shared" si="310"/>
        <v>0</v>
      </c>
      <c r="BH410" t="str">
        <f t="shared" si="329"/>
        <v>G22</v>
      </c>
      <c r="BI410" t="str">
        <f t="shared" si="341"/>
        <v>G22</v>
      </c>
      <c r="BP410" t="str">
        <f t="shared" si="330"/>
        <v>R629</v>
      </c>
      <c r="BQ410" t="str">
        <f t="shared" si="331"/>
        <v>R629</v>
      </c>
      <c r="BZ410" t="str">
        <f t="shared" si="332"/>
        <v>G22</v>
      </c>
      <c r="CA410" t="b">
        <f t="shared" si="333"/>
        <v>0</v>
      </c>
      <c r="CB410" t="str">
        <f t="shared" si="342"/>
        <v>G22</v>
      </c>
      <c r="CC410" t="str">
        <f t="shared" si="334"/>
        <v>R629</v>
      </c>
      <c r="CD410" t="b">
        <f t="shared" si="343"/>
        <v>0</v>
      </c>
      <c r="CE410" t="str">
        <f t="shared" si="344"/>
        <v>R629</v>
      </c>
      <c r="CG410" t="str">
        <f t="shared" si="335"/>
        <v>G888</v>
      </c>
      <c r="CH410" t="str">
        <f t="shared" si="345"/>
        <v>G888</v>
      </c>
      <c r="CI410" t="str">
        <f>AE409</f>
        <v>G608</v>
      </c>
      <c r="CJ410" t="str">
        <f t="shared" si="336"/>
        <v>G608</v>
      </c>
      <c r="CK410" t="s">
        <v>1162</v>
      </c>
      <c r="CL410" t="s">
        <v>1162</v>
      </c>
      <c r="CM410" t="s">
        <v>1162</v>
      </c>
      <c r="CN410" t="b">
        <f t="shared" si="346"/>
        <v>1</v>
      </c>
      <c r="CO410" t="str">
        <f t="shared" si="337"/>
        <v>R78</v>
      </c>
      <c r="CP410" t="str">
        <f t="shared" si="347"/>
        <v>R78</v>
      </c>
      <c r="CQ410" t="str">
        <f>AF409</f>
        <v>R186</v>
      </c>
      <c r="CR410" t="str">
        <f t="shared" si="338"/>
        <v>R186</v>
      </c>
      <c r="CS410" t="s">
        <v>1063</v>
      </c>
      <c r="CT410" t="s">
        <v>1063</v>
      </c>
      <c r="CU410" t="s">
        <v>1063</v>
      </c>
      <c r="CV410" t="b">
        <f t="shared" si="348"/>
        <v>1</v>
      </c>
      <c r="DC410" t="str">
        <f t="shared" si="339"/>
        <v>G608</v>
      </c>
      <c r="DD410" t="b">
        <f t="shared" si="349"/>
        <v>0</v>
      </c>
      <c r="DE410" t="str">
        <f t="shared" si="350"/>
        <v>G608</v>
      </c>
      <c r="DF410" t="str">
        <f t="shared" si="340"/>
        <v>R186</v>
      </c>
      <c r="DG410" t="b">
        <f t="shared" si="351"/>
        <v>0</v>
      </c>
      <c r="DH410" t="str">
        <f t="shared" si="352"/>
        <v>R186</v>
      </c>
    </row>
    <row r="411" spans="2:112" ht="12" customHeight="1">
      <c r="B411" t="str">
        <f>TBIDry!H483</f>
        <v>G185</v>
      </c>
      <c r="C411" t="str">
        <f>TBIDry!I483</f>
        <v>R682</v>
      </c>
      <c r="D411" t="b">
        <f t="shared" si="311"/>
        <v>0</v>
      </c>
      <c r="E411" t="b">
        <f t="shared" si="312"/>
        <v>0</v>
      </c>
      <c r="G411" t="str">
        <f>TBIWet!H483</f>
        <v>G375</v>
      </c>
      <c r="H411" t="str">
        <f>TBIWet!I483</f>
        <v>R222</v>
      </c>
      <c r="I411" t="b">
        <f t="shared" si="313"/>
        <v>0</v>
      </c>
      <c r="J411" t="b">
        <f t="shared" si="314"/>
        <v>0</v>
      </c>
      <c r="L411" t="str">
        <f>'Both teabags AfterWet'!A409</f>
        <v>G890</v>
      </c>
      <c r="M411" t="str">
        <f>'Both teabags AfterWet'!A829</f>
        <v>R8</v>
      </c>
      <c r="N411" t="b">
        <f t="shared" si="315"/>
        <v>0</v>
      </c>
      <c r="O411" t="b">
        <f t="shared" si="353"/>
        <v>0</v>
      </c>
      <c r="Q411" s="395" t="b">
        <f t="shared" si="316"/>
        <v>0</v>
      </c>
      <c r="R411" s="395" t="b">
        <f t="shared" si="317"/>
        <v>0</v>
      </c>
      <c r="Y411" t="str">
        <f>'Green_rooibos initial weight'!A412</f>
        <v>G408</v>
      </c>
      <c r="Z411" t="str">
        <f>'Green_rooibos initial weight'!A1316</f>
        <v>R408</v>
      </c>
      <c r="AA411" t="b">
        <f t="shared" si="318"/>
        <v>0</v>
      </c>
      <c r="AB411" t="b">
        <f t="shared" si="319"/>
        <v>0</v>
      </c>
      <c r="AE411" t="str">
        <f>'WetLitterbags placem_collection'!O190</f>
        <v>G375</v>
      </c>
      <c r="AF411" t="str">
        <f>'WetLitterbags placem_collection'!Q190</f>
        <v>R222</v>
      </c>
      <c r="AG411" t="b">
        <f t="shared" si="320"/>
        <v>0</v>
      </c>
      <c r="AH411" t="b">
        <f t="shared" si="321"/>
        <v>0</v>
      </c>
      <c r="AJ411" t="b">
        <f t="shared" si="322"/>
        <v>0</v>
      </c>
      <c r="AK411" t="b">
        <f t="shared" si="323"/>
        <v>0</v>
      </c>
      <c r="AM411" t="str">
        <f>IF(ISBLANK('Dry_Litterbag Placem_Collection'!L190),"","G"&amp;""&amp;'Dry_Litterbag Placem_Collection'!L190)</f>
        <v>G185</v>
      </c>
      <c r="AN411" t="str">
        <f>IF(ISBLANK('Dry_Litterbag Placem_Collection'!M190),"","R"&amp;""&amp;'Dry_Litterbag Placem_Collection'!M190)</f>
        <v>R682</v>
      </c>
      <c r="AO411" t="b">
        <f t="shared" si="324"/>
        <v>0</v>
      </c>
      <c r="AP411" t="b">
        <f t="shared" si="325"/>
        <v>0</v>
      </c>
      <c r="AX411" s="395" t="b">
        <f t="shared" si="326"/>
        <v>0</v>
      </c>
      <c r="AY411" s="395" t="b">
        <f t="shared" si="327"/>
        <v>0</v>
      </c>
      <c r="BA411" t="str">
        <f>'Ashed teabags wet'!A409</f>
        <v>G890</v>
      </c>
      <c r="BB411" t="str">
        <f>'Ashed teabags wet'!A829</f>
        <v>R8</v>
      </c>
      <c r="BC411" t="b">
        <f t="shared" si="328"/>
        <v>0</v>
      </c>
      <c r="BD411" t="b">
        <f t="shared" si="310"/>
        <v>0</v>
      </c>
      <c r="BH411" t="str">
        <f t="shared" si="329"/>
        <v>G371</v>
      </c>
      <c r="BI411" t="str">
        <f t="shared" si="341"/>
        <v>G371</v>
      </c>
      <c r="BP411" t="str">
        <f t="shared" si="330"/>
        <v>R679</v>
      </c>
      <c r="BQ411" t="str">
        <f t="shared" si="331"/>
        <v>R679</v>
      </c>
      <c r="BZ411" t="str">
        <f t="shared" si="332"/>
        <v>G371</v>
      </c>
      <c r="CA411" t="b">
        <f t="shared" si="333"/>
        <v>0</v>
      </c>
      <c r="CB411" t="str">
        <f t="shared" si="342"/>
        <v>G371</v>
      </c>
      <c r="CC411" t="str">
        <f t="shared" si="334"/>
        <v>R679</v>
      </c>
      <c r="CD411" t="b">
        <f t="shared" si="343"/>
        <v>0</v>
      </c>
      <c r="CE411" t="str">
        <f t="shared" si="344"/>
        <v>R679</v>
      </c>
      <c r="CG411" t="str">
        <f t="shared" si="335"/>
        <v>G889</v>
      </c>
      <c r="CH411" t="str">
        <f t="shared" si="345"/>
        <v>G889</v>
      </c>
      <c r="CI411" t="str">
        <f>AE410</f>
        <v>G365</v>
      </c>
      <c r="CJ411" t="str">
        <f t="shared" si="336"/>
        <v>G365</v>
      </c>
      <c r="CK411" t="s">
        <v>1161</v>
      </c>
      <c r="CL411" t="s">
        <v>1161</v>
      </c>
      <c r="CM411" t="s">
        <v>1161</v>
      </c>
      <c r="CN411" t="b">
        <f t="shared" si="346"/>
        <v>1</v>
      </c>
      <c r="CO411" t="str">
        <f t="shared" si="337"/>
        <v>R79</v>
      </c>
      <c r="CP411" t="str">
        <f t="shared" si="347"/>
        <v>R79</v>
      </c>
      <c r="CQ411" t="str">
        <f>AF410</f>
        <v>R580</v>
      </c>
      <c r="CR411" t="str">
        <f t="shared" si="338"/>
        <v>R580</v>
      </c>
      <c r="CS411" t="s">
        <v>1062</v>
      </c>
      <c r="CT411" t="s">
        <v>1062</v>
      </c>
      <c r="CU411" t="s">
        <v>1062</v>
      </c>
      <c r="CV411" t="b">
        <f t="shared" si="348"/>
        <v>1</v>
      </c>
      <c r="DC411" t="str">
        <f t="shared" si="339"/>
        <v>G365</v>
      </c>
      <c r="DD411" t="b">
        <f t="shared" si="349"/>
        <v>0</v>
      </c>
      <c r="DE411" t="str">
        <f t="shared" si="350"/>
        <v>G365</v>
      </c>
      <c r="DF411" t="str">
        <f t="shared" si="340"/>
        <v>R580</v>
      </c>
      <c r="DG411" t="b">
        <f t="shared" si="351"/>
        <v>0</v>
      </c>
      <c r="DH411" t="str">
        <f t="shared" si="352"/>
        <v>R580</v>
      </c>
    </row>
    <row r="412" spans="2:112" ht="12" customHeight="1">
      <c r="B412" t="str">
        <f>TBIDry!H484</f>
        <v>G301</v>
      </c>
      <c r="C412" t="str">
        <f>TBIDry!I484</f>
        <v>R693</v>
      </c>
      <c r="D412" t="b">
        <f t="shared" si="311"/>
        <v>0</v>
      </c>
      <c r="E412" t="b">
        <f t="shared" si="312"/>
        <v>0</v>
      </c>
      <c r="G412" t="str">
        <f>TBIWet!H484</f>
        <v>G537</v>
      </c>
      <c r="H412" t="str">
        <f>TBIWet!I484</f>
        <v>R216</v>
      </c>
      <c r="I412" t="b">
        <f t="shared" si="313"/>
        <v>0</v>
      </c>
      <c r="J412" t="b">
        <f t="shared" si="314"/>
        <v>0</v>
      </c>
      <c r="L412" t="str">
        <f>'Both teabags AfterWet'!A410</f>
        <v>G891</v>
      </c>
      <c r="M412" t="str">
        <f>'Both teabags AfterWet'!A830</f>
        <v>R81</v>
      </c>
      <c r="N412" t="b">
        <f t="shared" si="315"/>
        <v>0</v>
      </c>
      <c r="O412" t="b">
        <f t="shared" si="353"/>
        <v>0</v>
      </c>
      <c r="Q412" s="395" t="b">
        <f t="shared" si="316"/>
        <v>0</v>
      </c>
      <c r="R412" s="395" t="b">
        <f t="shared" si="317"/>
        <v>0</v>
      </c>
      <c r="Y412" t="str">
        <f>'Green_rooibos initial weight'!A413</f>
        <v>G409</v>
      </c>
      <c r="Z412" t="str">
        <f>'Green_rooibos initial weight'!A1317</f>
        <v>R409</v>
      </c>
      <c r="AA412" t="b">
        <f t="shared" si="318"/>
        <v>0</v>
      </c>
      <c r="AB412" t="b">
        <f t="shared" si="319"/>
        <v>0</v>
      </c>
      <c r="AE412" t="str">
        <f>'WetLitterbags placem_collection'!O191</f>
        <v>G537</v>
      </c>
      <c r="AF412" t="str">
        <f>'WetLitterbags placem_collection'!Q191</f>
        <v>R216</v>
      </c>
      <c r="AG412" t="b">
        <f t="shared" si="320"/>
        <v>0</v>
      </c>
      <c r="AH412" t="b">
        <f t="shared" si="321"/>
        <v>0</v>
      </c>
      <c r="AJ412" t="b">
        <f t="shared" si="322"/>
        <v>0</v>
      </c>
      <c r="AK412" t="b">
        <f t="shared" si="323"/>
        <v>0</v>
      </c>
      <c r="AM412" t="str">
        <f>IF(ISBLANK('Dry_Litterbag Placem_Collection'!L191),"","G"&amp;""&amp;'Dry_Litterbag Placem_Collection'!L191)</f>
        <v>G301</v>
      </c>
      <c r="AN412" t="str">
        <f>IF(ISBLANK('Dry_Litterbag Placem_Collection'!M191),"","R"&amp;""&amp;'Dry_Litterbag Placem_Collection'!M191)</f>
        <v>R693</v>
      </c>
      <c r="AO412" t="b">
        <f t="shared" si="324"/>
        <v>0</v>
      </c>
      <c r="AP412" t="b">
        <f t="shared" si="325"/>
        <v>0</v>
      </c>
      <c r="AX412" s="395" t="b">
        <f t="shared" si="326"/>
        <v>0</v>
      </c>
      <c r="AY412" s="395" t="b">
        <f t="shared" si="327"/>
        <v>0</v>
      </c>
      <c r="BA412" t="str">
        <f>'Ashed teabags wet'!A410</f>
        <v>G891</v>
      </c>
      <c r="BB412" t="str">
        <f>'Ashed teabags wet'!A830</f>
        <v>R81</v>
      </c>
      <c r="BC412" t="b">
        <f t="shared" si="328"/>
        <v>0</v>
      </c>
      <c r="BD412" t="b">
        <f t="shared" si="310"/>
        <v>0</v>
      </c>
      <c r="BH412" t="str">
        <f t="shared" si="329"/>
        <v>G185</v>
      </c>
      <c r="BI412" t="str">
        <f t="shared" si="341"/>
        <v>G185</v>
      </c>
      <c r="BP412" t="str">
        <f t="shared" si="330"/>
        <v>R682</v>
      </c>
      <c r="BQ412" t="str">
        <f t="shared" si="331"/>
        <v>R682</v>
      </c>
      <c r="BZ412" t="str">
        <f t="shared" si="332"/>
        <v>G185</v>
      </c>
      <c r="CA412" t="b">
        <f t="shared" si="333"/>
        <v>0</v>
      </c>
      <c r="CB412" t="str">
        <f t="shared" si="342"/>
        <v>G185</v>
      </c>
      <c r="CC412" t="str">
        <f t="shared" si="334"/>
        <v>R682</v>
      </c>
      <c r="CD412" t="b">
        <f t="shared" si="343"/>
        <v>0</v>
      </c>
      <c r="CE412" t="str">
        <f t="shared" si="344"/>
        <v>R682</v>
      </c>
      <c r="CG412" t="str">
        <f t="shared" si="335"/>
        <v>G890</v>
      </c>
      <c r="CH412" t="str">
        <f t="shared" si="345"/>
        <v>G890</v>
      </c>
      <c r="CI412" t="str">
        <f>AE411</f>
        <v>G375</v>
      </c>
      <c r="CJ412" t="str">
        <f t="shared" si="336"/>
        <v>G375</v>
      </c>
      <c r="CK412" t="s">
        <v>1160</v>
      </c>
      <c r="CL412" t="s">
        <v>1160</v>
      </c>
      <c r="CM412" t="s">
        <v>1160</v>
      </c>
      <c r="CN412" t="b">
        <f t="shared" si="346"/>
        <v>1</v>
      </c>
      <c r="CO412" t="str">
        <f t="shared" si="337"/>
        <v>R8</v>
      </c>
      <c r="CP412" t="str">
        <f t="shared" si="347"/>
        <v>R8</v>
      </c>
      <c r="CQ412" t="str">
        <f>AF411</f>
        <v>R222</v>
      </c>
      <c r="CR412" t="str">
        <f t="shared" si="338"/>
        <v>R222</v>
      </c>
      <c r="CS412" t="s">
        <v>1133</v>
      </c>
      <c r="CT412" t="s">
        <v>1133</v>
      </c>
      <c r="CU412" t="s">
        <v>1133</v>
      </c>
      <c r="CV412" t="b">
        <f t="shared" si="348"/>
        <v>1</v>
      </c>
      <c r="DC412" t="str">
        <f t="shared" si="339"/>
        <v>G375</v>
      </c>
      <c r="DD412" t="b">
        <f t="shared" si="349"/>
        <v>0</v>
      </c>
      <c r="DE412" t="str">
        <f t="shared" si="350"/>
        <v>G375</v>
      </c>
      <c r="DF412" t="str">
        <f t="shared" si="340"/>
        <v>R222</v>
      </c>
      <c r="DG412" t="b">
        <f t="shared" si="351"/>
        <v>0</v>
      </c>
      <c r="DH412" t="str">
        <f t="shared" si="352"/>
        <v>R222</v>
      </c>
    </row>
    <row r="413" spans="2:112" ht="12" customHeight="1">
      <c r="B413" t="str">
        <f>TBIDry!H485</f>
        <v>G466</v>
      </c>
      <c r="C413" t="str">
        <f>TBIDry!I485</f>
        <v>R605</v>
      </c>
      <c r="D413" t="b">
        <f t="shared" si="311"/>
        <v>0</v>
      </c>
      <c r="E413" t="b">
        <f t="shared" si="312"/>
        <v>0</v>
      </c>
      <c r="G413" t="str">
        <f>TBIWet!H485</f>
        <v>G393</v>
      </c>
      <c r="H413" t="str">
        <f>TBIWet!I485</f>
        <v>R232</v>
      </c>
      <c r="I413" t="b">
        <f t="shared" si="313"/>
        <v>0</v>
      </c>
      <c r="J413" t="b">
        <f t="shared" si="314"/>
        <v>0</v>
      </c>
      <c r="L413" t="str">
        <f>'Both teabags AfterWet'!A411</f>
        <v>G892</v>
      </c>
      <c r="M413" t="str">
        <f>'Both teabags AfterWet'!A831</f>
        <v>R82</v>
      </c>
      <c r="N413" t="b">
        <f t="shared" si="315"/>
        <v>0</v>
      </c>
      <c r="O413" t="b">
        <f t="shared" si="353"/>
        <v>0</v>
      </c>
      <c r="Q413" s="395" t="b">
        <f t="shared" si="316"/>
        <v>0</v>
      </c>
      <c r="R413" s="395" t="b">
        <f t="shared" si="317"/>
        <v>0</v>
      </c>
      <c r="Y413" t="str">
        <f>'Green_rooibos initial weight'!A414</f>
        <v>G410</v>
      </c>
      <c r="Z413" t="str">
        <f>'Green_rooibos initial weight'!A1318</f>
        <v>R410</v>
      </c>
      <c r="AA413" t="b">
        <f t="shared" si="318"/>
        <v>0</v>
      </c>
      <c r="AB413" t="b">
        <f t="shared" si="319"/>
        <v>0</v>
      </c>
      <c r="AE413" t="str">
        <f>'WetLitterbags placem_collection'!O192</f>
        <v>G393</v>
      </c>
      <c r="AF413" t="str">
        <f>'WetLitterbags placem_collection'!Q192</f>
        <v>R232</v>
      </c>
      <c r="AG413" t="b">
        <f t="shared" si="320"/>
        <v>0</v>
      </c>
      <c r="AH413" t="b">
        <f t="shared" si="321"/>
        <v>0</v>
      </c>
      <c r="AJ413" t="b">
        <f t="shared" si="322"/>
        <v>0</v>
      </c>
      <c r="AK413" t="b">
        <f t="shared" si="323"/>
        <v>0</v>
      </c>
      <c r="AM413" t="str">
        <f>IF(ISBLANK('Dry_Litterbag Placem_Collection'!L192),"","G"&amp;""&amp;'Dry_Litterbag Placem_Collection'!L192)</f>
        <v>G466</v>
      </c>
      <c r="AN413" t="str">
        <f>IF(ISBLANK('Dry_Litterbag Placem_Collection'!M192),"","R"&amp;""&amp;'Dry_Litterbag Placem_Collection'!M192)</f>
        <v>R605</v>
      </c>
      <c r="AO413" t="b">
        <f t="shared" si="324"/>
        <v>0</v>
      </c>
      <c r="AP413" t="b">
        <f t="shared" si="325"/>
        <v>0</v>
      </c>
      <c r="AX413" s="395" t="b">
        <f t="shared" si="326"/>
        <v>0</v>
      </c>
      <c r="AY413" s="395" t="b">
        <f t="shared" si="327"/>
        <v>0</v>
      </c>
      <c r="BA413" t="str">
        <f>'Ashed teabags wet'!A411</f>
        <v>G892</v>
      </c>
      <c r="BB413" t="str">
        <f>'Ashed teabags wet'!A831</f>
        <v>R82</v>
      </c>
      <c r="BC413" t="b">
        <f t="shared" si="328"/>
        <v>0</v>
      </c>
      <c r="BD413" t="b">
        <f t="shared" si="310"/>
        <v>0</v>
      </c>
      <c r="BH413" t="str">
        <f t="shared" si="329"/>
        <v>G301</v>
      </c>
      <c r="BI413" t="str">
        <f t="shared" si="341"/>
        <v>G301</v>
      </c>
      <c r="BP413" t="str">
        <f t="shared" si="330"/>
        <v>R693</v>
      </c>
      <c r="BQ413" t="str">
        <f t="shared" si="331"/>
        <v>R693</v>
      </c>
      <c r="BZ413" t="str">
        <f t="shared" si="332"/>
        <v>G301</v>
      </c>
      <c r="CA413" t="b">
        <f t="shared" si="333"/>
        <v>0</v>
      </c>
      <c r="CB413" t="str">
        <f t="shared" si="342"/>
        <v>G301</v>
      </c>
      <c r="CC413" t="str">
        <f t="shared" si="334"/>
        <v>R693</v>
      </c>
      <c r="CD413" t="b">
        <f t="shared" si="343"/>
        <v>0</v>
      </c>
      <c r="CE413" t="str">
        <f t="shared" si="344"/>
        <v>R693</v>
      </c>
      <c r="CG413" t="str">
        <f t="shared" si="335"/>
        <v>G891</v>
      </c>
      <c r="CH413" t="str">
        <f t="shared" si="345"/>
        <v>G891</v>
      </c>
      <c r="CI413" t="str">
        <f>AE412</f>
        <v>G537</v>
      </c>
      <c r="CJ413" t="str">
        <f t="shared" si="336"/>
        <v>G537</v>
      </c>
      <c r="CK413" t="s">
        <v>1159</v>
      </c>
      <c r="CL413" t="s">
        <v>1159</v>
      </c>
      <c r="CM413" t="s">
        <v>1159</v>
      </c>
      <c r="CN413" t="b">
        <f t="shared" si="346"/>
        <v>1</v>
      </c>
      <c r="CO413" t="str">
        <f t="shared" si="337"/>
        <v>R81</v>
      </c>
      <c r="CP413" t="str">
        <f t="shared" si="347"/>
        <v>R81</v>
      </c>
      <c r="CQ413" t="str">
        <f>AF412</f>
        <v>R216</v>
      </c>
      <c r="CR413" t="str">
        <f t="shared" si="338"/>
        <v>R216</v>
      </c>
      <c r="CS413" t="s">
        <v>1060</v>
      </c>
      <c r="CT413" t="s">
        <v>1060</v>
      </c>
      <c r="CU413" t="s">
        <v>1060</v>
      </c>
      <c r="CV413" t="b">
        <f t="shared" si="348"/>
        <v>1</v>
      </c>
      <c r="DC413" t="str">
        <f t="shared" si="339"/>
        <v>G537</v>
      </c>
      <c r="DD413" t="b">
        <f t="shared" si="349"/>
        <v>0</v>
      </c>
      <c r="DE413" t="str">
        <f t="shared" si="350"/>
        <v>G537</v>
      </c>
      <c r="DF413" t="str">
        <f t="shared" si="340"/>
        <v>R216</v>
      </c>
      <c r="DG413" t="b">
        <f t="shared" si="351"/>
        <v>0</v>
      </c>
      <c r="DH413" t="str">
        <f t="shared" si="352"/>
        <v>R216</v>
      </c>
    </row>
    <row r="414" spans="2:112" ht="12" customHeight="1">
      <c r="B414" t="str">
        <f>TBIDry!H486</f>
        <v>G32</v>
      </c>
      <c r="C414" t="str">
        <f>TBIDry!I486</f>
        <v>R240</v>
      </c>
      <c r="D414" t="b">
        <f t="shared" si="311"/>
        <v>0</v>
      </c>
      <c r="E414" t="b">
        <f t="shared" si="312"/>
        <v>0</v>
      </c>
      <c r="G414" t="str">
        <f>TBIWet!H486</f>
        <v>G417</v>
      </c>
      <c r="H414" t="str">
        <f>TBIWet!I486</f>
        <v>R387</v>
      </c>
      <c r="I414" t="b">
        <f t="shared" si="313"/>
        <v>0</v>
      </c>
      <c r="J414" t="b">
        <f t="shared" si="314"/>
        <v>0</v>
      </c>
      <c r="L414" t="str">
        <f>'Both teabags AfterWet'!A412</f>
        <v>G893</v>
      </c>
      <c r="M414" t="str">
        <f>'Both teabags AfterWet'!A832</f>
        <v>R83</v>
      </c>
      <c r="N414" t="b">
        <f t="shared" si="315"/>
        <v>0</v>
      </c>
      <c r="O414" t="b">
        <f t="shared" si="353"/>
        <v>0</v>
      </c>
      <c r="Q414" s="395" t="b">
        <f t="shared" si="316"/>
        <v>0</v>
      </c>
      <c r="R414" s="395" t="b">
        <f t="shared" si="317"/>
        <v>0</v>
      </c>
      <c r="Y414" t="str">
        <f>'Green_rooibos initial weight'!A415</f>
        <v>G411</v>
      </c>
      <c r="Z414" t="str">
        <f>'Green_rooibos initial weight'!A1319</f>
        <v>R411</v>
      </c>
      <c r="AA414" t="b">
        <f t="shared" si="318"/>
        <v>0</v>
      </c>
      <c r="AB414" t="b">
        <f t="shared" si="319"/>
        <v>0</v>
      </c>
      <c r="AE414" t="str">
        <f>'WetLitterbags placem_collection'!O193</f>
        <v>G417</v>
      </c>
      <c r="AF414" t="str">
        <f>'WetLitterbags placem_collection'!Q193</f>
        <v>R387</v>
      </c>
      <c r="AG414" t="b">
        <f t="shared" si="320"/>
        <v>0</v>
      </c>
      <c r="AH414" t="b">
        <f t="shared" si="321"/>
        <v>0</v>
      </c>
      <c r="AJ414" t="b">
        <f t="shared" si="322"/>
        <v>0</v>
      </c>
      <c r="AK414" t="b">
        <f t="shared" si="323"/>
        <v>0</v>
      </c>
      <c r="AM414" t="str">
        <f>IF(ISBLANK('Dry_Litterbag Placem_Collection'!L193),"","G"&amp;""&amp;'Dry_Litterbag Placem_Collection'!L193)</f>
        <v>G32</v>
      </c>
      <c r="AN414" t="str">
        <f>IF(ISBLANK('Dry_Litterbag Placem_Collection'!M193),"","R"&amp;""&amp;'Dry_Litterbag Placem_Collection'!M193)</f>
        <v>R240</v>
      </c>
      <c r="AO414" t="b">
        <f t="shared" si="324"/>
        <v>0</v>
      </c>
      <c r="AP414" t="b">
        <f t="shared" si="325"/>
        <v>0</v>
      </c>
      <c r="AX414" s="395" t="b">
        <f t="shared" si="326"/>
        <v>0</v>
      </c>
      <c r="AY414" s="395" t="b">
        <f t="shared" si="327"/>
        <v>0</v>
      </c>
      <c r="BA414" t="str">
        <f>'Ashed teabags wet'!A412</f>
        <v>G893</v>
      </c>
      <c r="BB414" t="str">
        <f>'Ashed teabags wet'!A832</f>
        <v>R83</v>
      </c>
      <c r="BC414" t="b">
        <f t="shared" si="328"/>
        <v>0</v>
      </c>
      <c r="BD414" t="b">
        <f t="shared" si="310"/>
        <v>0</v>
      </c>
      <c r="BH414" t="str">
        <f t="shared" si="329"/>
        <v>G466</v>
      </c>
      <c r="BI414" t="str">
        <f t="shared" si="341"/>
        <v>G466</v>
      </c>
      <c r="BP414" t="str">
        <f t="shared" si="330"/>
        <v>R605</v>
      </c>
      <c r="BQ414" t="str">
        <f t="shared" si="331"/>
        <v>R605</v>
      </c>
      <c r="BZ414" t="str">
        <f t="shared" si="332"/>
        <v>G466</v>
      </c>
      <c r="CA414" t="b">
        <f t="shared" si="333"/>
        <v>0</v>
      </c>
      <c r="CB414" t="str">
        <f t="shared" si="342"/>
        <v>G466</v>
      </c>
      <c r="CC414" t="str">
        <f t="shared" si="334"/>
        <v>R605</v>
      </c>
      <c r="CD414" t="b">
        <f t="shared" si="343"/>
        <v>0</v>
      </c>
      <c r="CE414" t="str">
        <f t="shared" si="344"/>
        <v>R605</v>
      </c>
      <c r="CG414" t="str">
        <f t="shared" si="335"/>
        <v>G892</v>
      </c>
      <c r="CH414" t="str">
        <f t="shared" si="345"/>
        <v>G892</v>
      </c>
      <c r="CI414" t="str">
        <f>AE413</f>
        <v>G393</v>
      </c>
      <c r="CJ414" t="str">
        <f t="shared" si="336"/>
        <v>G393</v>
      </c>
      <c r="CK414" t="s">
        <v>1158</v>
      </c>
      <c r="CL414" t="s">
        <v>1158</v>
      </c>
      <c r="CM414" t="s">
        <v>1158</v>
      </c>
      <c r="CN414" t="b">
        <f t="shared" si="346"/>
        <v>1</v>
      </c>
      <c r="CO414" t="str">
        <f t="shared" si="337"/>
        <v>R82</v>
      </c>
      <c r="CP414" t="str">
        <f t="shared" si="347"/>
        <v>R82</v>
      </c>
      <c r="CQ414" t="str">
        <f>AF413</f>
        <v>R232</v>
      </c>
      <c r="CR414" t="str">
        <f t="shared" si="338"/>
        <v>R232</v>
      </c>
      <c r="CS414" t="s">
        <v>1059</v>
      </c>
      <c r="CT414" t="s">
        <v>1059</v>
      </c>
      <c r="CU414" t="s">
        <v>1059</v>
      </c>
      <c r="CV414" t="b">
        <f t="shared" si="348"/>
        <v>1</v>
      </c>
      <c r="DC414" t="str">
        <f t="shared" si="339"/>
        <v>G393</v>
      </c>
      <c r="DD414" t="b">
        <f t="shared" si="349"/>
        <v>0</v>
      </c>
      <c r="DE414" t="str">
        <f t="shared" si="350"/>
        <v>G393</v>
      </c>
      <c r="DF414" t="str">
        <f t="shared" si="340"/>
        <v>R232</v>
      </c>
      <c r="DG414" t="b">
        <f t="shared" si="351"/>
        <v>0</v>
      </c>
      <c r="DH414" t="str">
        <f t="shared" si="352"/>
        <v>R232</v>
      </c>
    </row>
    <row r="415" spans="2:112" ht="12" customHeight="1">
      <c r="B415" t="str">
        <f>TBIDry!H487</f>
        <v/>
      </c>
      <c r="C415" t="str">
        <f>TBIDry!I487</f>
        <v/>
      </c>
      <c r="D415" t="b">
        <f t="shared" si="311"/>
        <v>1</v>
      </c>
      <c r="E415" t="b">
        <f t="shared" si="312"/>
        <v>1</v>
      </c>
      <c r="G415" t="str">
        <f>TBIWet!H487</f>
        <v>G297</v>
      </c>
      <c r="H415" t="str">
        <f>TBIWet!I487</f>
        <v>R346</v>
      </c>
      <c r="I415" t="b">
        <f t="shared" si="313"/>
        <v>0</v>
      </c>
      <c r="J415" t="b">
        <f t="shared" si="314"/>
        <v>0</v>
      </c>
      <c r="L415" t="str">
        <f>'Both teabags AfterWet'!A413</f>
        <v>G894</v>
      </c>
      <c r="M415" t="str">
        <f>'Both teabags AfterWet'!A833</f>
        <v>R85</v>
      </c>
      <c r="N415" t="b">
        <f t="shared" si="315"/>
        <v>0</v>
      </c>
      <c r="O415" t="b">
        <f t="shared" si="353"/>
        <v>0</v>
      </c>
      <c r="Q415" s="395" t="b">
        <f t="shared" si="316"/>
        <v>0</v>
      </c>
      <c r="R415" s="395" t="b">
        <f t="shared" si="317"/>
        <v>0</v>
      </c>
      <c r="Y415" t="str">
        <f>'Green_rooibos initial weight'!A416</f>
        <v>G412</v>
      </c>
      <c r="Z415" t="str">
        <f>'Green_rooibos initial weight'!A1320</f>
        <v>R412</v>
      </c>
      <c r="AA415" t="b">
        <f t="shared" si="318"/>
        <v>0</v>
      </c>
      <c r="AB415" t="b">
        <f t="shared" si="319"/>
        <v>0</v>
      </c>
      <c r="AE415" t="str">
        <f>'WetLitterbags placem_collection'!O194</f>
        <v>G297</v>
      </c>
      <c r="AF415" t="str">
        <f>'WetLitterbags placem_collection'!Q194</f>
        <v>R346</v>
      </c>
      <c r="AG415" t="b">
        <f t="shared" si="320"/>
        <v>0</v>
      </c>
      <c r="AH415" t="b">
        <f t="shared" si="321"/>
        <v>0</v>
      </c>
      <c r="AJ415" t="b">
        <f t="shared" si="322"/>
        <v>0</v>
      </c>
      <c r="AK415" t="b">
        <f t="shared" si="323"/>
        <v>0</v>
      </c>
      <c r="AM415" t="str">
        <f>IF(ISBLANK('Dry_Litterbag Placem_Collection'!L194),"","G"&amp;""&amp;'Dry_Litterbag Placem_Collection'!L194)</f>
        <v/>
      </c>
      <c r="AN415" t="str">
        <f>IF(ISBLANK('Dry_Litterbag Placem_Collection'!M194),"","R"&amp;""&amp;'Dry_Litterbag Placem_Collection'!M194)</f>
        <v/>
      </c>
      <c r="AO415" t="b">
        <f t="shared" si="324"/>
        <v>1</v>
      </c>
      <c r="AP415" t="b">
        <f t="shared" si="325"/>
        <v>1</v>
      </c>
      <c r="AX415" s="395" t="b">
        <f t="shared" si="326"/>
        <v>0</v>
      </c>
      <c r="AY415" s="395" t="b">
        <f t="shared" si="327"/>
        <v>0</v>
      </c>
      <c r="BA415" t="str">
        <f>'Ashed teabags wet'!A413</f>
        <v>G894</v>
      </c>
      <c r="BB415" t="str">
        <f>'Ashed teabags wet'!A833</f>
        <v>R85</v>
      </c>
      <c r="BC415" t="b">
        <f t="shared" si="328"/>
        <v>0</v>
      </c>
      <c r="BD415" t="b">
        <f t="shared" si="310"/>
        <v>0</v>
      </c>
      <c r="BH415" t="str">
        <f t="shared" si="329"/>
        <v>G32</v>
      </c>
      <c r="BI415" t="str">
        <f t="shared" si="341"/>
        <v>G32</v>
      </c>
      <c r="BP415" t="str">
        <f t="shared" si="330"/>
        <v>R240</v>
      </c>
      <c r="BQ415" t="str">
        <f t="shared" si="331"/>
        <v>R240</v>
      </c>
      <c r="BZ415" t="str">
        <f t="shared" si="332"/>
        <v>G32</v>
      </c>
      <c r="CA415" t="b">
        <f t="shared" si="333"/>
        <v>0</v>
      </c>
      <c r="CB415" t="str">
        <f t="shared" si="342"/>
        <v>G32</v>
      </c>
      <c r="CC415" t="str">
        <f t="shared" si="334"/>
        <v>R240</v>
      </c>
      <c r="CD415" t="b">
        <f t="shared" si="343"/>
        <v>0</v>
      </c>
      <c r="CE415" t="str">
        <f t="shared" si="344"/>
        <v>R240</v>
      </c>
      <c r="CG415" t="str">
        <f t="shared" si="335"/>
        <v>G893</v>
      </c>
      <c r="CH415" t="str">
        <f t="shared" si="345"/>
        <v>G893</v>
      </c>
      <c r="CI415" t="str">
        <f>AE414</f>
        <v>G417</v>
      </c>
      <c r="CJ415" t="str">
        <f t="shared" si="336"/>
        <v>G417</v>
      </c>
      <c r="CK415" t="s">
        <v>1157</v>
      </c>
      <c r="CL415" t="s">
        <v>1157</v>
      </c>
      <c r="CM415" t="s">
        <v>1157</v>
      </c>
      <c r="CN415" t="b">
        <f t="shared" si="346"/>
        <v>1</v>
      </c>
      <c r="CO415" t="str">
        <f t="shared" si="337"/>
        <v>R83</v>
      </c>
      <c r="CP415" t="str">
        <f t="shared" si="347"/>
        <v>R83</v>
      </c>
      <c r="CQ415" t="str">
        <f>AF414</f>
        <v>R387</v>
      </c>
      <c r="CR415" t="str">
        <f t="shared" si="338"/>
        <v>R387</v>
      </c>
      <c r="CS415" t="s">
        <v>1058</v>
      </c>
      <c r="CT415" t="s">
        <v>1058</v>
      </c>
      <c r="CU415" t="s">
        <v>1058</v>
      </c>
      <c r="CV415" t="b">
        <f t="shared" si="348"/>
        <v>1</v>
      </c>
      <c r="DC415" t="str">
        <f t="shared" si="339"/>
        <v>G417</v>
      </c>
      <c r="DD415" t="b">
        <f t="shared" si="349"/>
        <v>0</v>
      </c>
      <c r="DE415" t="str">
        <f t="shared" si="350"/>
        <v>G417</v>
      </c>
      <c r="DF415" t="str">
        <f t="shared" si="340"/>
        <v>R387</v>
      </c>
      <c r="DG415" t="b">
        <f t="shared" si="351"/>
        <v>0</v>
      </c>
      <c r="DH415" t="str">
        <f t="shared" si="352"/>
        <v>R387</v>
      </c>
    </row>
    <row r="416" spans="2:112" ht="12" customHeight="1">
      <c r="B416" t="str">
        <f>TBIDry!H488</f>
        <v>G45</v>
      </c>
      <c r="C416" t="str">
        <f>TBIDry!I488</f>
        <v>R623</v>
      </c>
      <c r="D416" t="b">
        <f t="shared" si="311"/>
        <v>0</v>
      </c>
      <c r="E416" t="b">
        <f t="shared" si="312"/>
        <v>0</v>
      </c>
      <c r="G416" t="str">
        <f>TBIWet!H488</f>
        <v>G584</v>
      </c>
      <c r="H416" t="str">
        <f>TBIWet!I488</f>
        <v>R364</v>
      </c>
      <c r="I416" t="b">
        <f t="shared" si="313"/>
        <v>0</v>
      </c>
      <c r="J416" t="b">
        <f t="shared" si="314"/>
        <v>0</v>
      </c>
      <c r="L416" t="str">
        <f>'Both teabags AfterWet'!A414</f>
        <v>G895</v>
      </c>
      <c r="M416" t="str">
        <f>'Both teabags AfterWet'!A834</f>
        <v>R87</v>
      </c>
      <c r="N416" t="b">
        <f t="shared" si="315"/>
        <v>0</v>
      </c>
      <c r="O416" t="b">
        <f t="shared" si="353"/>
        <v>0</v>
      </c>
      <c r="Q416" s="395" t="b">
        <f t="shared" si="316"/>
        <v>0</v>
      </c>
      <c r="R416" s="395" t="b">
        <f t="shared" si="317"/>
        <v>0</v>
      </c>
      <c r="Y416" t="str">
        <f>'Green_rooibos initial weight'!A417</f>
        <v>G413</v>
      </c>
      <c r="Z416" t="str">
        <f>'Green_rooibos initial weight'!A1321</f>
        <v>R413</v>
      </c>
      <c r="AA416" t="b">
        <f t="shared" si="318"/>
        <v>0</v>
      </c>
      <c r="AB416" t="b">
        <f t="shared" si="319"/>
        <v>0</v>
      </c>
      <c r="AE416" t="str">
        <f>'WetLitterbags placem_collection'!O195</f>
        <v>G584</v>
      </c>
      <c r="AF416" t="str">
        <f>'WetLitterbags placem_collection'!Q195</f>
        <v>R364</v>
      </c>
      <c r="AG416" t="b">
        <f t="shared" si="320"/>
        <v>0</v>
      </c>
      <c r="AH416" t="b">
        <f t="shared" si="321"/>
        <v>0</v>
      </c>
      <c r="AJ416" t="b">
        <f t="shared" si="322"/>
        <v>0</v>
      </c>
      <c r="AK416" t="b">
        <f t="shared" si="323"/>
        <v>0</v>
      </c>
      <c r="AM416" t="str">
        <f>IF(ISBLANK('Dry_Litterbag Placem_Collection'!L195),"","G"&amp;""&amp;'Dry_Litterbag Placem_Collection'!L195)</f>
        <v>G45</v>
      </c>
      <c r="AN416" t="str">
        <f>IF(ISBLANK('Dry_Litterbag Placem_Collection'!M195),"","R"&amp;""&amp;'Dry_Litterbag Placem_Collection'!M195)</f>
        <v>R623</v>
      </c>
      <c r="AO416" t="b">
        <f t="shared" si="324"/>
        <v>0</v>
      </c>
      <c r="AP416" t="b">
        <f t="shared" si="325"/>
        <v>0</v>
      </c>
      <c r="AX416" s="395" t="b">
        <f t="shared" si="326"/>
        <v>0</v>
      </c>
      <c r="AY416" s="395" t="b">
        <f t="shared" si="327"/>
        <v>0</v>
      </c>
      <c r="BA416" t="str">
        <f>'Ashed teabags wet'!A414</f>
        <v>G895</v>
      </c>
      <c r="BB416" t="str">
        <f>'Ashed teabags wet'!A834</f>
        <v>R87</v>
      </c>
      <c r="BC416" t="b">
        <f t="shared" si="328"/>
        <v>0</v>
      </c>
      <c r="BD416" t="b">
        <f t="shared" si="310"/>
        <v>0</v>
      </c>
      <c r="BH416" t="str">
        <f t="shared" si="329"/>
        <v/>
      </c>
      <c r="BI416" t="str">
        <f t="shared" si="341"/>
        <v/>
      </c>
      <c r="BP416" t="str">
        <f t="shared" si="330"/>
        <v/>
      </c>
      <c r="BQ416" t="str">
        <f t="shared" si="331"/>
        <v/>
      </c>
      <c r="BZ416" t="str">
        <f t="shared" si="332"/>
        <v/>
      </c>
      <c r="CA416" t="b">
        <f t="shared" si="333"/>
        <v>0</v>
      </c>
      <c r="CB416" t="str">
        <f t="shared" si="342"/>
        <v/>
      </c>
      <c r="CC416" t="str">
        <f t="shared" si="334"/>
        <v/>
      </c>
      <c r="CD416" t="b">
        <f t="shared" si="343"/>
        <v>0</v>
      </c>
      <c r="CE416" t="str">
        <f t="shared" si="344"/>
        <v/>
      </c>
      <c r="CG416" t="str">
        <f t="shared" si="335"/>
        <v>G894</v>
      </c>
      <c r="CH416" t="str">
        <f t="shared" si="345"/>
        <v>G894</v>
      </c>
      <c r="CI416" t="str">
        <f>AE415</f>
        <v>G297</v>
      </c>
      <c r="CJ416" t="str">
        <f t="shared" si="336"/>
        <v>G297</v>
      </c>
      <c r="CK416" t="s">
        <v>1156</v>
      </c>
      <c r="CL416" t="s">
        <v>1156</v>
      </c>
      <c r="CM416" t="s">
        <v>1156</v>
      </c>
      <c r="CN416" t="b">
        <f t="shared" si="346"/>
        <v>1</v>
      </c>
      <c r="CO416" t="str">
        <f t="shared" si="337"/>
        <v>R85</v>
      </c>
      <c r="CP416" t="str">
        <f t="shared" si="347"/>
        <v>R85</v>
      </c>
      <c r="CQ416" t="str">
        <f>AF415</f>
        <v>R346</v>
      </c>
      <c r="CR416" t="str">
        <f t="shared" si="338"/>
        <v>R346</v>
      </c>
      <c r="CS416" t="s">
        <v>1056</v>
      </c>
      <c r="CT416" t="s">
        <v>1056</v>
      </c>
      <c r="CU416" t="s">
        <v>1056</v>
      </c>
      <c r="CV416" t="b">
        <f t="shared" si="348"/>
        <v>1</v>
      </c>
      <c r="DC416" t="str">
        <f t="shared" si="339"/>
        <v>G297</v>
      </c>
      <c r="DD416" t="b">
        <f t="shared" si="349"/>
        <v>0</v>
      </c>
      <c r="DE416" t="str">
        <f t="shared" si="350"/>
        <v>G297</v>
      </c>
      <c r="DF416" t="str">
        <f t="shared" si="340"/>
        <v>R346</v>
      </c>
      <c r="DG416" t="b">
        <f t="shared" si="351"/>
        <v>0</v>
      </c>
      <c r="DH416" t="str">
        <f t="shared" si="352"/>
        <v>R346</v>
      </c>
    </row>
    <row r="417" spans="2:112" ht="12" customHeight="1">
      <c r="B417" t="str">
        <f>TBIDry!H489</f>
        <v>G90</v>
      </c>
      <c r="C417" t="str">
        <f>TBIDry!I489</f>
        <v>R611</v>
      </c>
      <c r="D417" t="b">
        <f t="shared" si="311"/>
        <v>0</v>
      </c>
      <c r="E417" t="b">
        <f t="shared" si="312"/>
        <v>0</v>
      </c>
      <c r="G417" t="str">
        <f>TBIWet!H489</f>
        <v>G713</v>
      </c>
      <c r="H417" t="str">
        <f>TBIWet!I489</f>
        <v>R167</v>
      </c>
      <c r="I417" t="b">
        <f t="shared" si="313"/>
        <v>0</v>
      </c>
      <c r="J417" t="b">
        <f t="shared" si="314"/>
        <v>0</v>
      </c>
      <c r="L417" t="str">
        <f>'Both teabags AfterWet'!A415</f>
        <v>G896</v>
      </c>
      <c r="M417" t="str">
        <f>'Both teabags AfterWet'!A835</f>
        <v>R88</v>
      </c>
      <c r="N417" t="b">
        <f t="shared" si="315"/>
        <v>0</v>
      </c>
      <c r="O417" t="b">
        <f t="shared" si="353"/>
        <v>0</v>
      </c>
      <c r="Q417" s="395" t="b">
        <f t="shared" si="316"/>
        <v>0</v>
      </c>
      <c r="R417" s="395" t="b">
        <f t="shared" si="317"/>
        <v>0</v>
      </c>
      <c r="Y417" t="str">
        <f>'Green_rooibos initial weight'!A418</f>
        <v>G414</v>
      </c>
      <c r="Z417" t="str">
        <f>'Green_rooibos initial weight'!A1322</f>
        <v>R414</v>
      </c>
      <c r="AA417" t="b">
        <f t="shared" si="318"/>
        <v>0</v>
      </c>
      <c r="AB417" t="b">
        <f t="shared" si="319"/>
        <v>0</v>
      </c>
      <c r="AE417" t="str">
        <f>'WetLitterbags placem_collection'!O196</f>
        <v>G713</v>
      </c>
      <c r="AF417" t="str">
        <f>'WetLitterbags placem_collection'!Q196</f>
        <v>R167</v>
      </c>
      <c r="AG417" t="b">
        <f t="shared" si="320"/>
        <v>0</v>
      </c>
      <c r="AH417" t="b">
        <f t="shared" si="321"/>
        <v>0</v>
      </c>
      <c r="AJ417" t="b">
        <f t="shared" si="322"/>
        <v>0</v>
      </c>
      <c r="AK417" t="b">
        <f t="shared" si="323"/>
        <v>0</v>
      </c>
      <c r="AM417" t="str">
        <f>IF(ISBLANK('Dry_Litterbag Placem_Collection'!L196),"","G"&amp;""&amp;'Dry_Litterbag Placem_Collection'!L196)</f>
        <v>G90</v>
      </c>
      <c r="AN417" t="str">
        <f>IF(ISBLANK('Dry_Litterbag Placem_Collection'!M196),"","R"&amp;""&amp;'Dry_Litterbag Placem_Collection'!M196)</f>
        <v>R611</v>
      </c>
      <c r="AO417" t="b">
        <f t="shared" si="324"/>
        <v>0</v>
      </c>
      <c r="AP417" t="b">
        <f t="shared" si="325"/>
        <v>0</v>
      </c>
      <c r="AX417" s="395" t="b">
        <f t="shared" si="326"/>
        <v>0</v>
      </c>
      <c r="AY417" s="395" t="b">
        <f t="shared" si="327"/>
        <v>0</v>
      </c>
      <c r="BA417" t="str">
        <f>'Ashed teabags wet'!A415</f>
        <v>G896</v>
      </c>
      <c r="BB417" t="str">
        <f>'Ashed teabags wet'!A835</f>
        <v>R88</v>
      </c>
      <c r="BC417" t="b">
        <f t="shared" si="328"/>
        <v>0</v>
      </c>
      <c r="BD417" t="b">
        <f t="shared" si="310"/>
        <v>0</v>
      </c>
      <c r="BH417" t="str">
        <f t="shared" si="329"/>
        <v>G45</v>
      </c>
      <c r="BI417" t="str">
        <f t="shared" si="341"/>
        <v>G45</v>
      </c>
      <c r="BP417" t="str">
        <f t="shared" si="330"/>
        <v>R623</v>
      </c>
      <c r="BQ417" t="str">
        <f t="shared" si="331"/>
        <v>R623</v>
      </c>
      <c r="BZ417" t="str">
        <f t="shared" si="332"/>
        <v>G45</v>
      </c>
      <c r="CA417" t="b">
        <f t="shared" si="333"/>
        <v>0</v>
      </c>
      <c r="CB417" t="str">
        <f t="shared" si="342"/>
        <v>G45</v>
      </c>
      <c r="CC417" t="str">
        <f t="shared" si="334"/>
        <v>R623</v>
      </c>
      <c r="CD417" t="b">
        <f t="shared" si="343"/>
        <v>0</v>
      </c>
      <c r="CE417" t="str">
        <f t="shared" si="344"/>
        <v>R623</v>
      </c>
      <c r="CG417" t="str">
        <f t="shared" si="335"/>
        <v>G895</v>
      </c>
      <c r="CH417" t="str">
        <f t="shared" si="345"/>
        <v>G895</v>
      </c>
      <c r="CI417" t="str">
        <f>AE416</f>
        <v>G584</v>
      </c>
      <c r="CJ417" t="str">
        <f t="shared" si="336"/>
        <v>G584</v>
      </c>
      <c r="CK417" t="s">
        <v>1155</v>
      </c>
      <c r="CL417" t="s">
        <v>1155</v>
      </c>
      <c r="CM417" t="s">
        <v>1155</v>
      </c>
      <c r="CN417" t="b">
        <f t="shared" si="346"/>
        <v>1</v>
      </c>
      <c r="CO417" t="str">
        <f t="shared" si="337"/>
        <v>R87</v>
      </c>
      <c r="CP417" t="str">
        <f t="shared" si="347"/>
        <v>R87</v>
      </c>
      <c r="CQ417" t="str">
        <f>AF416</f>
        <v>R364</v>
      </c>
      <c r="CR417" t="str">
        <f t="shared" si="338"/>
        <v>R364</v>
      </c>
      <c r="CS417" t="s">
        <v>1054</v>
      </c>
      <c r="CT417" t="s">
        <v>1054</v>
      </c>
      <c r="CU417" t="s">
        <v>1054</v>
      </c>
      <c r="CV417" t="b">
        <f t="shared" si="348"/>
        <v>1</v>
      </c>
      <c r="DC417" t="str">
        <f t="shared" si="339"/>
        <v>G584</v>
      </c>
      <c r="DD417" t="b">
        <f t="shared" si="349"/>
        <v>0</v>
      </c>
      <c r="DE417" t="str">
        <f t="shared" si="350"/>
        <v>G584</v>
      </c>
      <c r="DF417" t="str">
        <f t="shared" si="340"/>
        <v>R364</v>
      </c>
      <c r="DG417" t="b">
        <f t="shared" si="351"/>
        <v>0</v>
      </c>
      <c r="DH417" t="str">
        <f t="shared" si="352"/>
        <v>R364</v>
      </c>
    </row>
    <row r="418" spans="2:112" ht="12" customHeight="1">
      <c r="B418" t="str">
        <f>TBIDry!H490</f>
        <v>G338</v>
      </c>
      <c r="C418" t="str">
        <f>TBIDry!I490</f>
        <v>R645</v>
      </c>
      <c r="D418" t="b">
        <f t="shared" si="311"/>
        <v>0</v>
      </c>
      <c r="E418" t="b">
        <f t="shared" si="312"/>
        <v>0</v>
      </c>
      <c r="G418" t="str">
        <f>TBIWet!H490</f>
        <v>G525</v>
      </c>
      <c r="H418" t="str">
        <f>TBIWet!I490</f>
        <v>R25</v>
      </c>
      <c r="I418" t="b">
        <f t="shared" si="313"/>
        <v>0</v>
      </c>
      <c r="J418" t="b">
        <f t="shared" si="314"/>
        <v>0</v>
      </c>
      <c r="L418" t="str">
        <f>'Both teabags AfterWet'!A416</f>
        <v>G897</v>
      </c>
      <c r="M418" t="str">
        <f>'Both teabags AfterWet'!A836</f>
        <v>R89</v>
      </c>
      <c r="N418" t="b">
        <f t="shared" si="315"/>
        <v>0</v>
      </c>
      <c r="O418" t="b">
        <f t="shared" si="353"/>
        <v>0</v>
      </c>
      <c r="Q418" s="395" t="b">
        <f t="shared" si="316"/>
        <v>0</v>
      </c>
      <c r="R418" s="395" t="b">
        <f t="shared" si="317"/>
        <v>0</v>
      </c>
      <c r="Y418" t="str">
        <f>'Green_rooibos initial weight'!A419</f>
        <v>G415</v>
      </c>
      <c r="Z418" t="str">
        <f>'Green_rooibos initial weight'!A1323</f>
        <v>R415</v>
      </c>
      <c r="AA418" t="b">
        <f t="shared" si="318"/>
        <v>0</v>
      </c>
      <c r="AB418" t="b">
        <f t="shared" si="319"/>
        <v>0</v>
      </c>
      <c r="AE418" t="str">
        <f>'WetLitterbags placem_collection'!O197</f>
        <v>G525</v>
      </c>
      <c r="AF418" t="str">
        <f>'WetLitterbags placem_collection'!Q197</f>
        <v>R25</v>
      </c>
      <c r="AG418" t="b">
        <f t="shared" si="320"/>
        <v>0</v>
      </c>
      <c r="AH418" t="b">
        <f t="shared" si="321"/>
        <v>0</v>
      </c>
      <c r="AJ418" t="b">
        <f t="shared" si="322"/>
        <v>0</v>
      </c>
      <c r="AK418" t="b">
        <f t="shared" si="323"/>
        <v>0</v>
      </c>
      <c r="AM418" t="str">
        <f>IF(ISBLANK('Dry_Litterbag Placem_Collection'!L197),"","G"&amp;""&amp;'Dry_Litterbag Placem_Collection'!L197)</f>
        <v>G338</v>
      </c>
      <c r="AN418" t="str">
        <f>IF(ISBLANK('Dry_Litterbag Placem_Collection'!M197),"","R"&amp;""&amp;'Dry_Litterbag Placem_Collection'!M197)</f>
        <v>R645</v>
      </c>
      <c r="AO418" t="b">
        <f t="shared" si="324"/>
        <v>0</v>
      </c>
      <c r="AP418" t="b">
        <f t="shared" si="325"/>
        <v>0</v>
      </c>
      <c r="AX418" s="395" t="b">
        <f t="shared" si="326"/>
        <v>0</v>
      </c>
      <c r="AY418" s="395" t="b">
        <f t="shared" si="327"/>
        <v>0</v>
      </c>
      <c r="BA418" t="str">
        <f>'Ashed teabags wet'!A416</f>
        <v>G897</v>
      </c>
      <c r="BB418" t="str">
        <f>'Ashed teabags wet'!A836</f>
        <v>R89</v>
      </c>
      <c r="BC418" t="b">
        <f t="shared" si="328"/>
        <v>0</v>
      </c>
      <c r="BD418" t="b">
        <f t="shared" si="310"/>
        <v>0</v>
      </c>
      <c r="BH418" t="str">
        <f t="shared" si="329"/>
        <v>G90</v>
      </c>
      <c r="BI418" t="str">
        <f t="shared" si="341"/>
        <v>G90</v>
      </c>
      <c r="BP418" t="str">
        <f t="shared" si="330"/>
        <v>R611</v>
      </c>
      <c r="BQ418" t="str">
        <f t="shared" si="331"/>
        <v>R611</v>
      </c>
      <c r="BZ418" t="str">
        <f t="shared" si="332"/>
        <v>G90</v>
      </c>
      <c r="CA418" t="b">
        <f t="shared" si="333"/>
        <v>0</v>
      </c>
      <c r="CB418" t="str">
        <f t="shared" si="342"/>
        <v>G90</v>
      </c>
      <c r="CC418" t="str">
        <f t="shared" si="334"/>
        <v>R611</v>
      </c>
      <c r="CD418" t="b">
        <f t="shared" si="343"/>
        <v>0</v>
      </c>
      <c r="CE418" t="str">
        <f t="shared" si="344"/>
        <v>R611</v>
      </c>
      <c r="CG418" t="str">
        <f t="shared" si="335"/>
        <v>G896</v>
      </c>
      <c r="CH418" t="str">
        <f t="shared" si="345"/>
        <v>G896</v>
      </c>
      <c r="CI418" t="str">
        <f>AE417</f>
        <v>G713</v>
      </c>
      <c r="CJ418" t="str">
        <f t="shared" si="336"/>
        <v>G713</v>
      </c>
      <c r="CK418" t="s">
        <v>1154</v>
      </c>
      <c r="CL418" t="s">
        <v>1154</v>
      </c>
      <c r="CM418" t="s">
        <v>1154</v>
      </c>
      <c r="CN418" t="b">
        <f t="shared" si="346"/>
        <v>1</v>
      </c>
      <c r="CO418" t="str">
        <f t="shared" si="337"/>
        <v>R88</v>
      </c>
      <c r="CP418" t="str">
        <f t="shared" si="347"/>
        <v>R88</v>
      </c>
      <c r="CQ418" t="str">
        <f>AF417</f>
        <v>R167</v>
      </c>
      <c r="CR418" t="str">
        <f t="shared" si="338"/>
        <v>R167</v>
      </c>
      <c r="CS418" t="s">
        <v>1053</v>
      </c>
      <c r="CT418" t="s">
        <v>1053</v>
      </c>
      <c r="CU418" t="s">
        <v>1053</v>
      </c>
      <c r="CV418" t="b">
        <f t="shared" si="348"/>
        <v>1</v>
      </c>
      <c r="DC418" t="str">
        <f t="shared" si="339"/>
        <v>G713</v>
      </c>
      <c r="DD418" t="b">
        <f t="shared" si="349"/>
        <v>0</v>
      </c>
      <c r="DE418" t="str">
        <f t="shared" si="350"/>
        <v>G713</v>
      </c>
      <c r="DF418" t="str">
        <f t="shared" si="340"/>
        <v>R167</v>
      </c>
      <c r="DG418" t="b">
        <f t="shared" si="351"/>
        <v>0</v>
      </c>
      <c r="DH418" t="str">
        <f t="shared" si="352"/>
        <v>R167</v>
      </c>
    </row>
    <row r="419" spans="2:112" ht="12" customHeight="1">
      <c r="B419" t="str">
        <f>TBIDry!H491</f>
        <v>G243</v>
      </c>
      <c r="C419" t="str">
        <f>TBIDry!I491</f>
        <v>R709</v>
      </c>
      <c r="D419" t="b">
        <f t="shared" si="311"/>
        <v>0</v>
      </c>
      <c r="E419" t="b">
        <f t="shared" si="312"/>
        <v>0</v>
      </c>
      <c r="G419" t="str">
        <f>TBIWet!H491</f>
        <v>G886</v>
      </c>
      <c r="H419" t="str">
        <f>TBIWet!I491</f>
        <v>R362</v>
      </c>
      <c r="I419" t="b">
        <f t="shared" si="313"/>
        <v>0</v>
      </c>
      <c r="J419" t="b">
        <f t="shared" si="314"/>
        <v>0</v>
      </c>
      <c r="L419" t="str">
        <f>'Both teabags AfterWet'!A417</f>
        <v>G898</v>
      </c>
      <c r="M419" t="str">
        <f>'Both teabags AfterWet'!A837</f>
        <v>R9</v>
      </c>
      <c r="N419" t="b">
        <f t="shared" si="315"/>
        <v>0</v>
      </c>
      <c r="O419" t="b">
        <f t="shared" si="353"/>
        <v>0</v>
      </c>
      <c r="Q419" s="395" t="b">
        <f t="shared" si="316"/>
        <v>0</v>
      </c>
      <c r="R419" s="395" t="b">
        <f t="shared" si="317"/>
        <v>0</v>
      </c>
      <c r="Y419" t="str">
        <f>'Green_rooibos initial weight'!A420</f>
        <v>G416</v>
      </c>
      <c r="Z419" t="str">
        <f>'Green_rooibos initial weight'!A1324</f>
        <v>R416</v>
      </c>
      <c r="AA419" t="b">
        <f t="shared" si="318"/>
        <v>0</v>
      </c>
      <c r="AB419" t="b">
        <f t="shared" si="319"/>
        <v>0</v>
      </c>
      <c r="AE419" t="str">
        <f>'WetLitterbags placem_collection'!O198</f>
        <v>G886</v>
      </c>
      <c r="AF419" t="str">
        <f>'WetLitterbags placem_collection'!Q198</f>
        <v>R362</v>
      </c>
      <c r="AG419" t="b">
        <f t="shared" si="320"/>
        <v>0</v>
      </c>
      <c r="AH419" t="b">
        <f t="shared" si="321"/>
        <v>0</v>
      </c>
      <c r="AJ419" t="b">
        <f t="shared" si="322"/>
        <v>0</v>
      </c>
      <c r="AK419" t="b">
        <f t="shared" si="323"/>
        <v>0</v>
      </c>
      <c r="AM419" t="str">
        <f>IF(ISBLANK('Dry_Litterbag Placem_Collection'!L198),"","G"&amp;""&amp;'Dry_Litterbag Placem_Collection'!L198)</f>
        <v>G243</v>
      </c>
      <c r="AN419" t="str">
        <f>IF(ISBLANK('Dry_Litterbag Placem_Collection'!M198),"","R"&amp;""&amp;'Dry_Litterbag Placem_Collection'!M198)</f>
        <v>R709</v>
      </c>
      <c r="AO419" t="b">
        <f t="shared" si="324"/>
        <v>0</v>
      </c>
      <c r="AP419" t="b">
        <f t="shared" si="325"/>
        <v>0</v>
      </c>
      <c r="AX419" s="395" t="b">
        <f t="shared" si="326"/>
        <v>0</v>
      </c>
      <c r="AY419" s="395" t="b">
        <f t="shared" si="327"/>
        <v>0</v>
      </c>
      <c r="BA419" t="str">
        <f>'Ashed teabags wet'!A417</f>
        <v>G898</v>
      </c>
      <c r="BB419" t="str">
        <f>'Ashed teabags wet'!A837</f>
        <v>R9</v>
      </c>
      <c r="BC419" t="b">
        <f t="shared" si="328"/>
        <v>0</v>
      </c>
      <c r="BD419" t="b">
        <f t="shared" si="310"/>
        <v>0</v>
      </c>
      <c r="BH419" t="str">
        <f t="shared" si="329"/>
        <v>G338</v>
      </c>
      <c r="BI419" t="str">
        <f t="shared" si="341"/>
        <v>G338</v>
      </c>
      <c r="BP419" t="str">
        <f t="shared" si="330"/>
        <v>R645</v>
      </c>
      <c r="BQ419" t="str">
        <f t="shared" si="331"/>
        <v>R645</v>
      </c>
      <c r="BZ419" t="str">
        <f t="shared" si="332"/>
        <v>G338</v>
      </c>
      <c r="CA419" t="b">
        <f t="shared" si="333"/>
        <v>0</v>
      </c>
      <c r="CB419" t="str">
        <f t="shared" si="342"/>
        <v>G338</v>
      </c>
      <c r="CC419" t="str">
        <f t="shared" si="334"/>
        <v>R645</v>
      </c>
      <c r="CD419" t="b">
        <f t="shared" si="343"/>
        <v>0</v>
      </c>
      <c r="CE419" t="str">
        <f t="shared" si="344"/>
        <v>R645</v>
      </c>
      <c r="CG419" t="str">
        <f t="shared" si="335"/>
        <v>G897</v>
      </c>
      <c r="CH419" t="str">
        <f t="shared" si="345"/>
        <v>G897</v>
      </c>
      <c r="CI419" t="str">
        <f>AE418</f>
        <v>G525</v>
      </c>
      <c r="CJ419" t="str">
        <f t="shared" si="336"/>
        <v>G525</v>
      </c>
      <c r="CK419" t="s">
        <v>1153</v>
      </c>
      <c r="CL419" t="s">
        <v>1153</v>
      </c>
      <c r="CM419" t="s">
        <v>1153</v>
      </c>
      <c r="CN419" t="b">
        <f t="shared" si="346"/>
        <v>1</v>
      </c>
      <c r="CO419" t="str">
        <f t="shared" si="337"/>
        <v>R89</v>
      </c>
      <c r="CP419" t="str">
        <f t="shared" si="347"/>
        <v>R89</v>
      </c>
      <c r="CQ419" t="str">
        <f>AF418</f>
        <v>R25</v>
      </c>
      <c r="CR419" t="str">
        <f t="shared" si="338"/>
        <v>R25</v>
      </c>
      <c r="CS419" t="s">
        <v>1052</v>
      </c>
      <c r="CT419" t="s">
        <v>1052</v>
      </c>
      <c r="CU419" t="s">
        <v>1052</v>
      </c>
      <c r="CV419" t="b">
        <f t="shared" si="348"/>
        <v>1</v>
      </c>
      <c r="DC419" t="str">
        <f t="shared" si="339"/>
        <v>G525</v>
      </c>
      <c r="DD419" t="b">
        <f t="shared" si="349"/>
        <v>0</v>
      </c>
      <c r="DE419" t="str">
        <f t="shared" si="350"/>
        <v>G525</v>
      </c>
      <c r="DF419" t="str">
        <f t="shared" si="340"/>
        <v>R25</v>
      </c>
      <c r="DG419" t="b">
        <f t="shared" si="351"/>
        <v>0</v>
      </c>
      <c r="DH419" t="str">
        <f t="shared" si="352"/>
        <v>R25</v>
      </c>
    </row>
    <row r="420" spans="2:112" ht="12" customHeight="1">
      <c r="B420" t="str">
        <f>TBIDry!H492</f>
        <v>G254</v>
      </c>
      <c r="C420" t="str">
        <f>TBIDry!I492</f>
        <v>R131</v>
      </c>
      <c r="D420" t="b">
        <f t="shared" si="311"/>
        <v>0</v>
      </c>
      <c r="E420" t="b">
        <f t="shared" si="312"/>
        <v>0</v>
      </c>
      <c r="G420" t="str">
        <f>TBIWet!H492</f>
        <v>G388</v>
      </c>
      <c r="H420" t="str">
        <f>TBIWet!I492</f>
        <v>R370</v>
      </c>
      <c r="I420" t="b">
        <f t="shared" si="313"/>
        <v>0</v>
      </c>
      <c r="J420" t="b">
        <f t="shared" si="314"/>
        <v>0</v>
      </c>
      <c r="L420" t="str">
        <f>'Both teabags AfterWet'!A418</f>
        <v>G899</v>
      </c>
      <c r="M420" t="str">
        <f>'Both teabags AfterWet'!A838</f>
        <v>R91</v>
      </c>
      <c r="N420" t="b">
        <f t="shared" si="315"/>
        <v>0</v>
      </c>
      <c r="O420" t="b">
        <f t="shared" si="353"/>
        <v>0</v>
      </c>
      <c r="Q420" s="395" t="b">
        <f t="shared" si="316"/>
        <v>0</v>
      </c>
      <c r="R420" s="395" t="b">
        <f t="shared" si="317"/>
        <v>0</v>
      </c>
      <c r="Y420" t="str">
        <f>'Green_rooibos initial weight'!A421</f>
        <v>G417</v>
      </c>
      <c r="Z420" t="str">
        <f>'Green_rooibos initial weight'!A1325</f>
        <v>R417</v>
      </c>
      <c r="AA420" t="b">
        <f t="shared" si="318"/>
        <v>0</v>
      </c>
      <c r="AB420" t="b">
        <f t="shared" si="319"/>
        <v>0</v>
      </c>
      <c r="AE420" t="str">
        <f>'WetLitterbags placem_collection'!O199</f>
        <v>G388</v>
      </c>
      <c r="AF420" t="str">
        <f>'WetLitterbags placem_collection'!Q199</f>
        <v>R370</v>
      </c>
      <c r="AG420" t="b">
        <f t="shared" si="320"/>
        <v>0</v>
      </c>
      <c r="AH420" t="b">
        <f t="shared" si="321"/>
        <v>0</v>
      </c>
      <c r="AJ420" t="b">
        <f t="shared" si="322"/>
        <v>0</v>
      </c>
      <c r="AK420" t="b">
        <f t="shared" si="323"/>
        <v>0</v>
      </c>
      <c r="AM420" t="str">
        <f>IF(ISBLANK('Dry_Litterbag Placem_Collection'!L199),"","G"&amp;""&amp;'Dry_Litterbag Placem_Collection'!L199)</f>
        <v>G254</v>
      </c>
      <c r="AN420" t="str">
        <f>IF(ISBLANK('Dry_Litterbag Placem_Collection'!M199),"","R"&amp;""&amp;'Dry_Litterbag Placem_Collection'!M199)</f>
        <v>R131</v>
      </c>
      <c r="AO420" t="b">
        <f t="shared" si="324"/>
        <v>0</v>
      </c>
      <c r="AP420" t="b">
        <f t="shared" si="325"/>
        <v>0</v>
      </c>
      <c r="AX420" s="395" t="b">
        <f t="shared" si="326"/>
        <v>0</v>
      </c>
      <c r="AY420" s="395" t="b">
        <f t="shared" si="327"/>
        <v>0</v>
      </c>
      <c r="BA420" t="str">
        <f>'Ashed teabags wet'!A418</f>
        <v>G899</v>
      </c>
      <c r="BB420" t="str">
        <f>'Ashed teabags wet'!A838</f>
        <v>R91</v>
      </c>
      <c r="BC420" t="b">
        <f t="shared" si="328"/>
        <v>0</v>
      </c>
      <c r="BD420" t="b">
        <f t="shared" si="310"/>
        <v>0</v>
      </c>
      <c r="BH420" t="str">
        <f t="shared" si="329"/>
        <v>G243</v>
      </c>
      <c r="BI420" t="str">
        <f t="shared" si="341"/>
        <v>G243</v>
      </c>
      <c r="BP420" t="str">
        <f t="shared" si="330"/>
        <v>R709</v>
      </c>
      <c r="BQ420" t="str">
        <f t="shared" si="331"/>
        <v>R709</v>
      </c>
      <c r="BZ420" t="str">
        <f t="shared" si="332"/>
        <v>G243</v>
      </c>
      <c r="CA420" t="b">
        <f t="shared" si="333"/>
        <v>0</v>
      </c>
      <c r="CB420" t="str">
        <f t="shared" si="342"/>
        <v>G243</v>
      </c>
      <c r="CC420" t="str">
        <f t="shared" si="334"/>
        <v>R709</v>
      </c>
      <c r="CD420" t="b">
        <f t="shared" si="343"/>
        <v>0</v>
      </c>
      <c r="CE420" t="str">
        <f t="shared" si="344"/>
        <v>R709</v>
      </c>
      <c r="CG420" t="str">
        <f t="shared" si="335"/>
        <v>G898</v>
      </c>
      <c r="CH420" t="str">
        <f t="shared" si="345"/>
        <v>G898</v>
      </c>
      <c r="CI420" t="str">
        <f>AE419</f>
        <v>G886</v>
      </c>
      <c r="CJ420" t="str">
        <f t="shared" si="336"/>
        <v>G886</v>
      </c>
      <c r="CK420" t="s">
        <v>1152</v>
      </c>
      <c r="CL420" t="s">
        <v>1152</v>
      </c>
      <c r="CM420" t="s">
        <v>1152</v>
      </c>
      <c r="CN420" t="b">
        <f t="shared" si="346"/>
        <v>1</v>
      </c>
      <c r="CO420" t="str">
        <f t="shared" si="337"/>
        <v>R9</v>
      </c>
      <c r="CP420" t="str">
        <f t="shared" si="347"/>
        <v>R9</v>
      </c>
      <c r="CQ420" t="str">
        <f>AF419</f>
        <v>R362</v>
      </c>
      <c r="CR420" t="str">
        <f t="shared" si="338"/>
        <v>R362</v>
      </c>
      <c r="CS420" t="s">
        <v>1132</v>
      </c>
      <c r="CT420" t="s">
        <v>1132</v>
      </c>
      <c r="CU420" t="s">
        <v>1132</v>
      </c>
      <c r="CV420" t="b">
        <f t="shared" si="348"/>
        <v>1</v>
      </c>
      <c r="DC420" t="str">
        <f t="shared" si="339"/>
        <v>G886</v>
      </c>
      <c r="DD420" t="b">
        <f t="shared" si="349"/>
        <v>0</v>
      </c>
      <c r="DE420" t="str">
        <f t="shared" si="350"/>
        <v>G886</v>
      </c>
      <c r="DF420" t="str">
        <f t="shared" si="340"/>
        <v>R362</v>
      </c>
      <c r="DG420" t="b">
        <f t="shared" si="351"/>
        <v>0</v>
      </c>
      <c r="DH420" t="str">
        <f t="shared" si="352"/>
        <v>R362</v>
      </c>
    </row>
    <row r="421" spans="2:112" ht="12" customHeight="1">
      <c r="B421" t="str">
        <f>TBIDry!H493</f>
        <v>G780</v>
      </c>
      <c r="C421" t="str">
        <f>TBIDry!I493</f>
        <v>R711</v>
      </c>
      <c r="D421" t="b">
        <f t="shared" si="311"/>
        <v>0</v>
      </c>
      <c r="E421" t="b">
        <f t="shared" si="312"/>
        <v>0</v>
      </c>
      <c r="G421" t="str">
        <f>TBIWet!H493</f>
        <v>G462</v>
      </c>
      <c r="H421" t="str">
        <f>TBIWet!I493</f>
        <v>R168</v>
      </c>
      <c r="I421" t="b">
        <f t="shared" si="313"/>
        <v>0</v>
      </c>
      <c r="J421" t="b">
        <f t="shared" si="314"/>
        <v>0</v>
      </c>
      <c r="L421" t="str">
        <f>'Both teabags AfterWet'!A419</f>
        <v>G900</v>
      </c>
      <c r="M421" t="str">
        <f>'Both teabags AfterWet'!A839</f>
        <v>R92</v>
      </c>
      <c r="N421" t="b">
        <f t="shared" si="315"/>
        <v>0</v>
      </c>
      <c r="O421" t="b">
        <f t="shared" si="353"/>
        <v>0</v>
      </c>
      <c r="Q421" s="395" t="b">
        <f t="shared" si="316"/>
        <v>0</v>
      </c>
      <c r="R421" s="395" t="b">
        <f t="shared" si="317"/>
        <v>0</v>
      </c>
      <c r="Y421" t="str">
        <f>'Green_rooibos initial weight'!A422</f>
        <v>G418</v>
      </c>
      <c r="Z421" t="str">
        <f>'Green_rooibos initial weight'!A1326</f>
        <v>R418</v>
      </c>
      <c r="AA421" t="b">
        <f t="shared" si="318"/>
        <v>0</v>
      </c>
      <c r="AB421" t="b">
        <f t="shared" si="319"/>
        <v>0</v>
      </c>
      <c r="AE421" t="str">
        <f>'WetLitterbags placem_collection'!O200</f>
        <v>G462</v>
      </c>
      <c r="AF421" t="str">
        <f>'WetLitterbags placem_collection'!Q200</f>
        <v>R168</v>
      </c>
      <c r="AG421" t="b">
        <f t="shared" si="320"/>
        <v>0</v>
      </c>
      <c r="AH421" t="b">
        <f t="shared" si="321"/>
        <v>0</v>
      </c>
      <c r="AJ421" t="b">
        <f t="shared" si="322"/>
        <v>0</v>
      </c>
      <c r="AK421" t="b">
        <f t="shared" si="323"/>
        <v>0</v>
      </c>
      <c r="AM421" t="str">
        <f>IF(ISBLANK('Dry_Litterbag Placem_Collection'!L200),"","G"&amp;""&amp;'Dry_Litterbag Placem_Collection'!L200)</f>
        <v>G780</v>
      </c>
      <c r="AN421" t="str">
        <f>IF(ISBLANK('Dry_Litterbag Placem_Collection'!M200),"","R"&amp;""&amp;'Dry_Litterbag Placem_Collection'!M200)</f>
        <v>R711</v>
      </c>
      <c r="AO421" t="b">
        <f t="shared" si="324"/>
        <v>0</v>
      </c>
      <c r="AP421" t="b">
        <f t="shared" si="325"/>
        <v>0</v>
      </c>
      <c r="AX421" s="395" t="b">
        <f t="shared" si="326"/>
        <v>0</v>
      </c>
      <c r="AY421" s="395" t="b">
        <f t="shared" si="327"/>
        <v>0</v>
      </c>
      <c r="BA421" t="str">
        <f>'Ashed teabags wet'!A419</f>
        <v>G900</v>
      </c>
      <c r="BB421" t="str">
        <f>'Ashed teabags wet'!A839</f>
        <v>R92</v>
      </c>
      <c r="BH421" t="str">
        <f t="shared" si="329"/>
        <v>G254</v>
      </c>
      <c r="BI421" t="str">
        <f t="shared" si="341"/>
        <v>G254</v>
      </c>
      <c r="BP421" t="str">
        <f t="shared" si="330"/>
        <v>R131</v>
      </c>
      <c r="BQ421" t="str">
        <f t="shared" si="331"/>
        <v>R131</v>
      </c>
      <c r="BZ421" t="str">
        <f t="shared" si="332"/>
        <v>G254</v>
      </c>
      <c r="CA421" t="b">
        <f t="shared" si="333"/>
        <v>0</v>
      </c>
      <c r="CB421" t="str">
        <f t="shared" si="342"/>
        <v>G254</v>
      </c>
      <c r="CC421" t="str">
        <f t="shared" si="334"/>
        <v>R131</v>
      </c>
      <c r="CD421" t="b">
        <f t="shared" si="343"/>
        <v>0</v>
      </c>
      <c r="CE421" t="str">
        <f t="shared" si="344"/>
        <v>R131</v>
      </c>
      <c r="CG421" t="str">
        <f t="shared" si="335"/>
        <v>G899</v>
      </c>
      <c r="CH421" t="str">
        <f t="shared" si="345"/>
        <v>G899</v>
      </c>
      <c r="CI421" t="str">
        <f>AE420</f>
        <v>G388</v>
      </c>
      <c r="CJ421" t="str">
        <f t="shared" si="336"/>
        <v>G388</v>
      </c>
      <c r="CK421" t="s">
        <v>1151</v>
      </c>
      <c r="CL421" t="s">
        <v>1151</v>
      </c>
      <c r="CM421" t="s">
        <v>1151</v>
      </c>
      <c r="CN421" t="b">
        <f t="shared" si="346"/>
        <v>1</v>
      </c>
      <c r="CO421" t="str">
        <f t="shared" si="337"/>
        <v>R91</v>
      </c>
      <c r="CP421" t="str">
        <f t="shared" si="347"/>
        <v>R91</v>
      </c>
      <c r="CQ421" t="str">
        <f>AF420</f>
        <v>R370</v>
      </c>
      <c r="CR421" t="str">
        <f t="shared" si="338"/>
        <v>R370</v>
      </c>
      <c r="CS421" t="s">
        <v>1050</v>
      </c>
      <c r="CT421" t="s">
        <v>1050</v>
      </c>
      <c r="CU421" t="s">
        <v>1050</v>
      </c>
      <c r="CV421" t="b">
        <f t="shared" si="348"/>
        <v>1</v>
      </c>
      <c r="DC421" t="str">
        <f t="shared" si="339"/>
        <v>G388</v>
      </c>
      <c r="DD421" t="b">
        <f t="shared" si="349"/>
        <v>0</v>
      </c>
      <c r="DE421" t="str">
        <f t="shared" si="350"/>
        <v>G388</v>
      </c>
      <c r="DF421" t="str">
        <f t="shared" si="340"/>
        <v>R370</v>
      </c>
      <c r="DG421" t="b">
        <f t="shared" si="351"/>
        <v>0</v>
      </c>
      <c r="DH421" t="str">
        <f t="shared" si="352"/>
        <v>R370</v>
      </c>
    </row>
    <row r="422" spans="2:112" ht="12" customHeight="1">
      <c r="B422" t="str">
        <f>TBIDry!H494</f>
        <v>G182</v>
      </c>
      <c r="C422" t="str">
        <f>TBIDry!I494</f>
        <v>R236</v>
      </c>
      <c r="D422" t="b">
        <f t="shared" si="311"/>
        <v>0</v>
      </c>
      <c r="E422" t="b">
        <f t="shared" si="312"/>
        <v>0</v>
      </c>
      <c r="G422" t="str">
        <f>TBIWet!H494</f>
        <v>G712</v>
      </c>
      <c r="H422" t="str">
        <f>TBIWet!I494</f>
        <v>R369</v>
      </c>
      <c r="I422" t="b">
        <f t="shared" si="313"/>
        <v>0</v>
      </c>
      <c r="J422" t="b">
        <f t="shared" si="314"/>
        <v>0</v>
      </c>
      <c r="L422" t="str">
        <f>'Both teabags AfterWet'!A420</f>
        <v>G901</v>
      </c>
      <c r="M422" t="str">
        <f>'Both teabags AfterWet'!A840</f>
        <v>R93</v>
      </c>
      <c r="N422" t="b">
        <f t="shared" si="315"/>
        <v>0</v>
      </c>
      <c r="O422" t="b">
        <f t="shared" si="353"/>
        <v>0</v>
      </c>
      <c r="Q422" s="395" t="b">
        <f t="shared" si="316"/>
        <v>0</v>
      </c>
      <c r="R422" s="395" t="b">
        <f t="shared" si="317"/>
        <v>0</v>
      </c>
      <c r="Y422" t="str">
        <f>'Green_rooibos initial weight'!A423</f>
        <v>G419</v>
      </c>
      <c r="Z422" t="str">
        <f>'Green_rooibos initial weight'!A1327</f>
        <v>R419</v>
      </c>
      <c r="AA422" t="b">
        <f t="shared" si="318"/>
        <v>0</v>
      </c>
      <c r="AB422" t="b">
        <f t="shared" si="319"/>
        <v>0</v>
      </c>
      <c r="AE422" t="str">
        <f>'WetLitterbags placem_collection'!O201</f>
        <v>G712</v>
      </c>
      <c r="AF422" t="str">
        <f>'WetLitterbags placem_collection'!Q201</f>
        <v>R369</v>
      </c>
      <c r="AG422" t="b">
        <f t="shared" si="320"/>
        <v>0</v>
      </c>
      <c r="AH422" t="b">
        <f t="shared" si="321"/>
        <v>0</v>
      </c>
      <c r="AJ422" t="b">
        <f t="shared" si="322"/>
        <v>0</v>
      </c>
      <c r="AK422" t="b">
        <f t="shared" si="323"/>
        <v>0</v>
      </c>
      <c r="AM422" t="str">
        <f>IF(ISBLANK('Dry_Litterbag Placem_Collection'!L201),"","G"&amp;""&amp;'Dry_Litterbag Placem_Collection'!L201)</f>
        <v>G182</v>
      </c>
      <c r="AN422" t="str">
        <f>IF(ISBLANK('Dry_Litterbag Placem_Collection'!M201),"","R"&amp;""&amp;'Dry_Litterbag Placem_Collection'!M201)</f>
        <v>R236</v>
      </c>
      <c r="AO422" t="b">
        <f t="shared" si="324"/>
        <v>0</v>
      </c>
      <c r="AP422" t="b">
        <f t="shared" si="325"/>
        <v>0</v>
      </c>
      <c r="AX422" s="395" t="b">
        <f t="shared" si="326"/>
        <v>0</v>
      </c>
      <c r="AY422" s="395" t="b">
        <f t="shared" si="327"/>
        <v>0</v>
      </c>
      <c r="BA422" t="str">
        <f>'Ashed teabags wet'!A420</f>
        <v>G901</v>
      </c>
      <c r="BB422" t="str">
        <f>'Ashed teabags wet'!A840</f>
        <v>R93</v>
      </c>
      <c r="BH422" t="str">
        <f t="shared" si="329"/>
        <v>G780</v>
      </c>
      <c r="BI422" t="str">
        <f t="shared" si="341"/>
        <v>G780</v>
      </c>
      <c r="BP422" t="str">
        <f t="shared" si="330"/>
        <v>R711</v>
      </c>
      <c r="BQ422" t="str">
        <f t="shared" si="331"/>
        <v>R711</v>
      </c>
      <c r="BZ422" t="str">
        <f t="shared" si="332"/>
        <v>G780</v>
      </c>
      <c r="CA422" t="b">
        <f t="shared" si="333"/>
        <v>0</v>
      </c>
      <c r="CB422" t="str">
        <f t="shared" si="342"/>
        <v>G780</v>
      </c>
      <c r="CC422" t="str">
        <f t="shared" si="334"/>
        <v>R711</v>
      </c>
      <c r="CD422" t="b">
        <f t="shared" si="343"/>
        <v>0</v>
      </c>
      <c r="CE422" t="str">
        <f t="shared" si="344"/>
        <v>R711</v>
      </c>
      <c r="CG422" t="str">
        <f t="shared" si="335"/>
        <v>G900</v>
      </c>
      <c r="CH422" t="str">
        <f t="shared" si="345"/>
        <v>G900</v>
      </c>
      <c r="CI422" t="str">
        <f>AE421</f>
        <v>G462</v>
      </c>
      <c r="CJ422" t="str">
        <f t="shared" si="336"/>
        <v>G462</v>
      </c>
      <c r="CK422" t="s">
        <v>1150</v>
      </c>
      <c r="CL422" t="s">
        <v>1150</v>
      </c>
      <c r="CM422" t="s">
        <v>1150</v>
      </c>
      <c r="CN422" t="b">
        <f t="shared" si="346"/>
        <v>1</v>
      </c>
      <c r="CO422" t="str">
        <f t="shared" si="337"/>
        <v>R92</v>
      </c>
      <c r="CP422" t="str">
        <f t="shared" si="347"/>
        <v>R92</v>
      </c>
      <c r="CQ422" t="str">
        <f>AF421</f>
        <v>R168</v>
      </c>
      <c r="CR422" t="str">
        <f t="shared" si="338"/>
        <v>R168</v>
      </c>
      <c r="CS422" t="s">
        <v>1049</v>
      </c>
      <c r="CT422" t="s">
        <v>1049</v>
      </c>
      <c r="CU422" t="s">
        <v>1049</v>
      </c>
      <c r="CV422" t="b">
        <f t="shared" si="348"/>
        <v>1</v>
      </c>
      <c r="DC422" t="str">
        <f t="shared" si="339"/>
        <v>G462</v>
      </c>
      <c r="DD422" t="b">
        <f t="shared" si="349"/>
        <v>0</v>
      </c>
      <c r="DE422" t="str">
        <f t="shared" si="350"/>
        <v>G462</v>
      </c>
      <c r="DF422" t="str">
        <f t="shared" si="340"/>
        <v>R168</v>
      </c>
      <c r="DG422" t="b">
        <f t="shared" si="351"/>
        <v>0</v>
      </c>
      <c r="DH422" t="str">
        <f t="shared" si="352"/>
        <v>R168</v>
      </c>
    </row>
    <row r="423" spans="2:112" ht="12" customHeight="1">
      <c r="B423" t="str">
        <f>TBIDry!H495</f>
        <v>G186</v>
      </c>
      <c r="C423" t="str">
        <f>TBIDry!I495</f>
        <v>R205</v>
      </c>
      <c r="D423" t="b">
        <f t="shared" si="311"/>
        <v>0</v>
      </c>
      <c r="E423" t="b">
        <f t="shared" si="312"/>
        <v>0</v>
      </c>
      <c r="G423" t="str">
        <f>TBIWet!H495</f>
        <v>G709</v>
      </c>
      <c r="H423" t="str">
        <f>TBIWet!I495</f>
        <v>R359</v>
      </c>
      <c r="I423" t="b">
        <f t="shared" si="313"/>
        <v>0</v>
      </c>
      <c r="J423" t="b">
        <f t="shared" si="314"/>
        <v>0</v>
      </c>
      <c r="L423" t="str">
        <f>'Both teabags AfterWet'!A421</f>
        <v>G902</v>
      </c>
      <c r="M423" t="str">
        <f>'Both teabags AfterWet'!A841</f>
        <v>R94</v>
      </c>
      <c r="N423" t="b">
        <f t="shared" si="315"/>
        <v>0</v>
      </c>
      <c r="O423" t="b">
        <f t="shared" si="353"/>
        <v>0</v>
      </c>
      <c r="Q423" s="395" t="b">
        <f t="shared" si="316"/>
        <v>0</v>
      </c>
      <c r="R423" s="395" t="b">
        <f t="shared" si="317"/>
        <v>0</v>
      </c>
      <c r="Y423" t="str">
        <f>'Green_rooibos initial weight'!A424</f>
        <v>G420</v>
      </c>
      <c r="Z423" t="str">
        <f>'Green_rooibos initial weight'!A1328</f>
        <v>R420</v>
      </c>
      <c r="AA423" t="b">
        <f t="shared" si="318"/>
        <v>0</v>
      </c>
      <c r="AB423" t="b">
        <f t="shared" si="319"/>
        <v>0</v>
      </c>
      <c r="AE423" t="str">
        <f>'WetLitterbags placem_collection'!O202</f>
        <v>G709</v>
      </c>
      <c r="AF423" t="str">
        <f>'WetLitterbags placem_collection'!Q202</f>
        <v>R359</v>
      </c>
      <c r="AG423" t="b">
        <f t="shared" si="320"/>
        <v>0</v>
      </c>
      <c r="AH423" t="b">
        <f t="shared" si="321"/>
        <v>0</v>
      </c>
      <c r="AJ423" t="b">
        <f t="shared" si="322"/>
        <v>0</v>
      </c>
      <c r="AK423" t="b">
        <f t="shared" si="323"/>
        <v>0</v>
      </c>
      <c r="AM423" t="str">
        <f>IF(ISBLANK('Dry_Litterbag Placem_Collection'!L202),"","G"&amp;""&amp;'Dry_Litterbag Placem_Collection'!L202)</f>
        <v>G186</v>
      </c>
      <c r="AN423" t="str">
        <f>IF(ISBLANK('Dry_Litterbag Placem_Collection'!M202),"","R"&amp;""&amp;'Dry_Litterbag Placem_Collection'!M202)</f>
        <v>R205</v>
      </c>
      <c r="AO423" t="b">
        <f t="shared" si="324"/>
        <v>0</v>
      </c>
      <c r="AP423" t="b">
        <f t="shared" si="325"/>
        <v>0</v>
      </c>
      <c r="AX423" s="395" t="b">
        <f t="shared" si="326"/>
        <v>0</v>
      </c>
      <c r="AY423" s="395" t="b">
        <f t="shared" si="327"/>
        <v>0</v>
      </c>
      <c r="BA423" t="str">
        <f>'Ashed teabags wet'!A421</f>
        <v>G902</v>
      </c>
      <c r="BB423" t="str">
        <f>'Ashed teabags wet'!A841</f>
        <v>R94</v>
      </c>
      <c r="BH423" t="str">
        <f t="shared" si="329"/>
        <v>G182</v>
      </c>
      <c r="BI423" t="str">
        <f t="shared" si="341"/>
        <v>G182</v>
      </c>
      <c r="BP423" t="str">
        <f t="shared" si="330"/>
        <v>R236</v>
      </c>
      <c r="BQ423" t="str">
        <f t="shared" si="331"/>
        <v>R236</v>
      </c>
      <c r="BZ423" t="str">
        <f t="shared" si="332"/>
        <v>G182</v>
      </c>
      <c r="CA423" t="b">
        <f t="shared" si="333"/>
        <v>0</v>
      </c>
      <c r="CB423" t="str">
        <f t="shared" si="342"/>
        <v>G182</v>
      </c>
      <c r="CC423" t="str">
        <f t="shared" si="334"/>
        <v>R236</v>
      </c>
      <c r="CD423" t="b">
        <f t="shared" si="343"/>
        <v>0</v>
      </c>
      <c r="CE423" t="str">
        <f t="shared" si="344"/>
        <v>R236</v>
      </c>
      <c r="CG423" t="str">
        <f t="shared" si="335"/>
        <v>G901</v>
      </c>
      <c r="CH423" t="str">
        <f t="shared" si="345"/>
        <v>G901</v>
      </c>
      <c r="CI423" t="str">
        <f>AE422</f>
        <v>G712</v>
      </c>
      <c r="CJ423" t="str">
        <f t="shared" si="336"/>
        <v>G712</v>
      </c>
      <c r="CK423" t="s">
        <v>1149</v>
      </c>
      <c r="CL423" t="s">
        <v>1149</v>
      </c>
      <c r="CM423" t="s">
        <v>1149</v>
      </c>
      <c r="CN423" t="b">
        <f t="shared" si="346"/>
        <v>1</v>
      </c>
      <c r="CO423" t="str">
        <f t="shared" si="337"/>
        <v>R93</v>
      </c>
      <c r="CP423" t="str">
        <f t="shared" si="347"/>
        <v>R93</v>
      </c>
      <c r="CQ423" t="str">
        <f>AF422</f>
        <v>R369</v>
      </c>
      <c r="CR423" t="str">
        <f t="shared" si="338"/>
        <v>R369</v>
      </c>
      <c r="CS423" t="s">
        <v>1048</v>
      </c>
      <c r="CT423" t="s">
        <v>1048</v>
      </c>
      <c r="CU423" t="s">
        <v>1048</v>
      </c>
      <c r="CV423" t="b">
        <f t="shared" si="348"/>
        <v>1</v>
      </c>
      <c r="DC423" t="str">
        <f t="shared" si="339"/>
        <v>G712</v>
      </c>
      <c r="DD423" t="b">
        <f t="shared" si="349"/>
        <v>0</v>
      </c>
      <c r="DE423" t="str">
        <f t="shared" si="350"/>
        <v>G712</v>
      </c>
      <c r="DF423" t="str">
        <f t="shared" si="340"/>
        <v>R369</v>
      </c>
      <c r="DG423" t="b">
        <f t="shared" si="351"/>
        <v>0</v>
      </c>
      <c r="DH423" t="str">
        <f t="shared" si="352"/>
        <v>R369</v>
      </c>
    </row>
    <row r="424" spans="2:112" ht="12" customHeight="1">
      <c r="B424" t="str">
        <f>TBIDry!H496</f>
        <v>G315</v>
      </c>
      <c r="C424" t="str">
        <f>TBIDry!I496</f>
        <v>R665</v>
      </c>
      <c r="D424" t="b">
        <f t="shared" si="311"/>
        <v>0</v>
      </c>
      <c r="E424" t="b">
        <f t="shared" si="312"/>
        <v>0</v>
      </c>
      <c r="G424" t="str">
        <f>TBIWet!H496</f>
        <v>G707</v>
      </c>
      <c r="H424" t="str">
        <f>TBIWet!I496</f>
        <v>R395</v>
      </c>
      <c r="I424" t="b">
        <f t="shared" si="313"/>
        <v>0</v>
      </c>
      <c r="J424" t="b">
        <f t="shared" si="314"/>
        <v>0</v>
      </c>
      <c r="M424" t="str">
        <f>'Both teabags AfterWet'!A842</f>
        <v>R95</v>
      </c>
      <c r="N424" t="b">
        <f t="shared" si="315"/>
        <v>0</v>
      </c>
      <c r="O424" t="b">
        <f t="shared" si="353"/>
        <v>0</v>
      </c>
      <c r="Q424" s="395" t="b">
        <f t="shared" si="316"/>
        <v>0</v>
      </c>
      <c r="R424" s="395" t="b">
        <f t="shared" si="317"/>
        <v>0</v>
      </c>
      <c r="Y424" t="str">
        <f>'Green_rooibos initial weight'!A425</f>
        <v>G421</v>
      </c>
      <c r="Z424" t="str">
        <f>'Green_rooibos initial weight'!A1329</f>
        <v>R421</v>
      </c>
      <c r="AA424" t="b">
        <f t="shared" si="318"/>
        <v>0</v>
      </c>
      <c r="AB424" t="b">
        <f t="shared" si="319"/>
        <v>0</v>
      </c>
      <c r="AE424" t="str">
        <f>'WetLitterbags placem_collection'!O203</f>
        <v>G707</v>
      </c>
      <c r="AF424" t="str">
        <f>'WetLitterbags placem_collection'!Q203</f>
        <v>R395</v>
      </c>
      <c r="AG424" t="b">
        <f t="shared" si="320"/>
        <v>0</v>
      </c>
      <c r="AH424" t="b">
        <f t="shared" si="321"/>
        <v>0</v>
      </c>
      <c r="AJ424" t="b">
        <f t="shared" si="322"/>
        <v>0</v>
      </c>
      <c r="AK424" t="b">
        <f t="shared" si="323"/>
        <v>0</v>
      </c>
      <c r="AM424" t="str">
        <f>IF(ISBLANK('Dry_Litterbag Placem_Collection'!L203),"","G"&amp;""&amp;'Dry_Litterbag Placem_Collection'!L203)</f>
        <v>G315</v>
      </c>
      <c r="AN424" t="str">
        <f>IF(ISBLANK('Dry_Litterbag Placem_Collection'!M203),"","R"&amp;""&amp;'Dry_Litterbag Placem_Collection'!M203)</f>
        <v>R665</v>
      </c>
      <c r="AO424" t="b">
        <f t="shared" si="324"/>
        <v>0</v>
      </c>
      <c r="AP424" t="b">
        <f t="shared" si="325"/>
        <v>0</v>
      </c>
      <c r="AX424" s="395" t="b">
        <f t="shared" si="326"/>
        <v>0</v>
      </c>
      <c r="AY424" s="395" t="b">
        <f t="shared" si="327"/>
        <v>0</v>
      </c>
      <c r="BB424" t="str">
        <f>'Ashed teabags wet'!A842</f>
        <v>R95</v>
      </c>
      <c r="BH424" t="str">
        <f t="shared" si="329"/>
        <v>G186</v>
      </c>
      <c r="BI424" t="str">
        <f t="shared" si="341"/>
        <v>G186</v>
      </c>
      <c r="BP424" t="str">
        <f t="shared" si="330"/>
        <v>R205</v>
      </c>
      <c r="BQ424" t="str">
        <f t="shared" si="331"/>
        <v>R205</v>
      </c>
      <c r="BZ424" t="str">
        <f t="shared" si="332"/>
        <v>G186</v>
      </c>
      <c r="CA424" t="b">
        <f t="shared" si="333"/>
        <v>0</v>
      </c>
      <c r="CB424" t="str">
        <f t="shared" si="342"/>
        <v>G186</v>
      </c>
      <c r="CC424" t="str">
        <f t="shared" si="334"/>
        <v>R205</v>
      </c>
      <c r="CD424" t="b">
        <f t="shared" si="343"/>
        <v>0</v>
      </c>
      <c r="CE424" t="str">
        <f t="shared" si="344"/>
        <v>R205</v>
      </c>
      <c r="CG424" t="str">
        <f t="shared" si="335"/>
        <v>G902</v>
      </c>
      <c r="CH424" t="str">
        <f t="shared" si="345"/>
        <v>G902</v>
      </c>
      <c r="CI424" t="str">
        <f>AE423</f>
        <v>G709</v>
      </c>
      <c r="CJ424" t="str">
        <f t="shared" si="336"/>
        <v>G709</v>
      </c>
      <c r="CK424" t="s">
        <v>1148</v>
      </c>
      <c r="CL424" t="s">
        <v>1148</v>
      </c>
      <c r="CM424" t="s">
        <v>1148</v>
      </c>
      <c r="CN424" t="b">
        <f t="shared" si="346"/>
        <v>1</v>
      </c>
      <c r="CO424" t="str">
        <f t="shared" si="337"/>
        <v>R94</v>
      </c>
      <c r="CP424" t="str">
        <f t="shared" si="347"/>
        <v>R94</v>
      </c>
      <c r="CQ424" t="str">
        <f>AF423</f>
        <v>R359</v>
      </c>
      <c r="CR424" t="str">
        <f t="shared" si="338"/>
        <v>R359</v>
      </c>
      <c r="CS424" t="s">
        <v>1047</v>
      </c>
      <c r="CT424" t="s">
        <v>1047</v>
      </c>
      <c r="CU424" t="s">
        <v>1047</v>
      </c>
      <c r="CV424" t="b">
        <f t="shared" si="348"/>
        <v>1</v>
      </c>
      <c r="DC424" t="str">
        <f t="shared" si="339"/>
        <v>G709</v>
      </c>
      <c r="DD424" t="b">
        <f t="shared" si="349"/>
        <v>0</v>
      </c>
      <c r="DE424" t="str">
        <f t="shared" si="350"/>
        <v>G709</v>
      </c>
      <c r="DF424" t="str">
        <f t="shared" si="340"/>
        <v>R359</v>
      </c>
      <c r="DG424" t="b">
        <f t="shared" si="351"/>
        <v>0</v>
      </c>
      <c r="DH424" t="str">
        <f t="shared" si="352"/>
        <v>R359</v>
      </c>
    </row>
    <row r="425" spans="2:112" ht="12" customHeight="1">
      <c r="B425" t="str">
        <f>TBIDry!H497</f>
        <v>G147</v>
      </c>
      <c r="C425" t="str">
        <f>TBIDry!I497</f>
        <v>R224</v>
      </c>
      <c r="D425" t="b">
        <f t="shared" si="311"/>
        <v>0</v>
      </c>
      <c r="E425" t="b">
        <f t="shared" si="312"/>
        <v>0</v>
      </c>
      <c r="G425" t="str">
        <f>TBIWet!H497</f>
        <v>G770</v>
      </c>
      <c r="H425" t="str">
        <f>TBIWet!I497</f>
        <v>R182</v>
      </c>
      <c r="I425" t="b">
        <f t="shared" si="313"/>
        <v>0</v>
      </c>
      <c r="J425" t="b">
        <f t="shared" si="314"/>
        <v>0</v>
      </c>
      <c r="M425" t="str">
        <f>'Both teabags AfterWet'!A843</f>
        <v>R96</v>
      </c>
      <c r="N425" t="b">
        <f t="shared" si="315"/>
        <v>0</v>
      </c>
      <c r="O425" t="b">
        <f t="shared" si="353"/>
        <v>0</v>
      </c>
      <c r="Q425" s="395" t="b">
        <f t="shared" si="316"/>
        <v>0</v>
      </c>
      <c r="R425" s="395" t="b">
        <f t="shared" si="317"/>
        <v>0</v>
      </c>
      <c r="Y425" t="str">
        <f>'Green_rooibos initial weight'!A426</f>
        <v>G422</v>
      </c>
      <c r="Z425" t="str">
        <f>'Green_rooibos initial weight'!A1330</f>
        <v>R422</v>
      </c>
      <c r="AA425" t="b">
        <f t="shared" si="318"/>
        <v>0</v>
      </c>
      <c r="AB425" t="b">
        <f t="shared" si="319"/>
        <v>0</v>
      </c>
      <c r="AE425" t="str">
        <f>'WetLitterbags placem_collection'!O204</f>
        <v>G770</v>
      </c>
      <c r="AF425" t="str">
        <f>'WetLitterbags placem_collection'!Q204</f>
        <v>R182</v>
      </c>
      <c r="AG425" t="b">
        <f t="shared" si="320"/>
        <v>0</v>
      </c>
      <c r="AH425" t="b">
        <f t="shared" si="321"/>
        <v>0</v>
      </c>
      <c r="AJ425" t="b">
        <f t="shared" si="322"/>
        <v>0</v>
      </c>
      <c r="AK425" t="b">
        <f t="shared" si="323"/>
        <v>0</v>
      </c>
      <c r="AM425" t="str">
        <f>IF(ISBLANK('Dry_Litterbag Placem_Collection'!L204),"","G"&amp;""&amp;'Dry_Litterbag Placem_Collection'!L204)</f>
        <v>G147</v>
      </c>
      <c r="AN425" t="str">
        <f>IF(ISBLANK('Dry_Litterbag Placem_Collection'!M204),"","R"&amp;""&amp;'Dry_Litterbag Placem_Collection'!M204)</f>
        <v>R224</v>
      </c>
      <c r="AO425" t="b">
        <f t="shared" si="324"/>
        <v>0</v>
      </c>
      <c r="AP425" t="b">
        <f t="shared" si="325"/>
        <v>0</v>
      </c>
      <c r="AX425" s="395" t="b">
        <f t="shared" si="326"/>
        <v>0</v>
      </c>
      <c r="AY425" s="395" t="b">
        <f t="shared" si="327"/>
        <v>0</v>
      </c>
      <c r="BB425" t="str">
        <f>'Ashed teabags wet'!A843</f>
        <v>R96</v>
      </c>
      <c r="BH425" t="str">
        <f t="shared" si="329"/>
        <v>G315</v>
      </c>
      <c r="BI425" t="str">
        <f t="shared" si="341"/>
        <v>G315</v>
      </c>
      <c r="BP425" t="str">
        <f t="shared" si="330"/>
        <v>R665</v>
      </c>
      <c r="BQ425" t="str">
        <f t="shared" si="331"/>
        <v>R665</v>
      </c>
      <c r="BZ425" t="str">
        <f t="shared" si="332"/>
        <v>G315</v>
      </c>
      <c r="CA425" t="b">
        <f t="shared" si="333"/>
        <v>0</v>
      </c>
      <c r="CB425" t="str">
        <f t="shared" si="342"/>
        <v>G315</v>
      </c>
      <c r="CC425" t="str">
        <f t="shared" si="334"/>
        <v>R665</v>
      </c>
      <c r="CD425" t="b">
        <f t="shared" si="343"/>
        <v>0</v>
      </c>
      <c r="CE425" t="str">
        <f t="shared" si="344"/>
        <v>R665</v>
      </c>
      <c r="CI425" t="str">
        <f>AE424</f>
        <v>G707</v>
      </c>
      <c r="CJ425" t="str">
        <f t="shared" si="336"/>
        <v>G707</v>
      </c>
      <c r="CO425" t="str">
        <f t="shared" si="337"/>
        <v>R95</v>
      </c>
      <c r="CP425" t="str">
        <f t="shared" si="347"/>
        <v>R95</v>
      </c>
      <c r="CQ425" t="str">
        <f>AF424</f>
        <v>R395</v>
      </c>
      <c r="CR425" t="str">
        <f t="shared" si="338"/>
        <v>R395</v>
      </c>
      <c r="CS425" t="s">
        <v>1046</v>
      </c>
      <c r="CT425" t="s">
        <v>1046</v>
      </c>
      <c r="CU425" t="s">
        <v>1046</v>
      </c>
      <c r="CV425" t="b">
        <f t="shared" si="348"/>
        <v>1</v>
      </c>
      <c r="DC425" t="str">
        <f t="shared" si="339"/>
        <v>G707</v>
      </c>
      <c r="DD425" t="b">
        <f t="shared" si="349"/>
        <v>0</v>
      </c>
      <c r="DE425" t="str">
        <f t="shared" si="350"/>
        <v>G707</v>
      </c>
      <c r="DF425" t="str">
        <f t="shared" si="340"/>
        <v>R395</v>
      </c>
      <c r="DG425" t="b">
        <f t="shared" si="351"/>
        <v>0</v>
      </c>
      <c r="DH425" t="str">
        <f t="shared" si="352"/>
        <v>R395</v>
      </c>
    </row>
    <row r="426" spans="2:112" ht="12" customHeight="1">
      <c r="B426" t="str">
        <f>TBIDry!H498</f>
        <v>G168</v>
      </c>
      <c r="C426" t="str">
        <f>TBIDry!I498</f>
        <v>R621</v>
      </c>
      <c r="D426" t="b">
        <f t="shared" si="311"/>
        <v>0</v>
      </c>
      <c r="E426" t="b">
        <f t="shared" si="312"/>
        <v>0</v>
      </c>
      <c r="G426" t="str">
        <f>TBIWet!H498</f>
        <v>G753</v>
      </c>
      <c r="H426" t="str">
        <f>TBIWet!I498</f>
        <v>R342</v>
      </c>
      <c r="I426" t="b">
        <f t="shared" si="313"/>
        <v>0</v>
      </c>
      <c r="J426" t="b">
        <f t="shared" si="314"/>
        <v>0</v>
      </c>
      <c r="M426" t="str">
        <f>'Both teabags AfterWet'!A844</f>
        <v>R97</v>
      </c>
      <c r="N426" t="b">
        <f t="shared" si="315"/>
        <v>0</v>
      </c>
      <c r="O426" t="b">
        <f t="shared" si="353"/>
        <v>0</v>
      </c>
      <c r="Q426" s="395" t="b">
        <f t="shared" si="316"/>
        <v>0</v>
      </c>
      <c r="R426" s="395" t="b">
        <f t="shared" si="317"/>
        <v>0</v>
      </c>
      <c r="Y426" t="str">
        <f>'Green_rooibos initial weight'!A427</f>
        <v>G423</v>
      </c>
      <c r="Z426" t="str">
        <f>'Green_rooibos initial weight'!A1331</f>
        <v>R423</v>
      </c>
      <c r="AA426" t="b">
        <f t="shared" si="318"/>
        <v>0</v>
      </c>
      <c r="AB426" t="b">
        <f t="shared" si="319"/>
        <v>0</v>
      </c>
      <c r="AE426" t="str">
        <f>'WetLitterbags placem_collection'!O205</f>
        <v>G753</v>
      </c>
      <c r="AF426" t="str">
        <f>'WetLitterbags placem_collection'!Q205</f>
        <v>R342</v>
      </c>
      <c r="AG426" t="b">
        <f t="shared" si="320"/>
        <v>0</v>
      </c>
      <c r="AH426" t="b">
        <f t="shared" si="321"/>
        <v>0</v>
      </c>
      <c r="AJ426" t="b">
        <f t="shared" si="322"/>
        <v>0</v>
      </c>
      <c r="AK426" t="b">
        <f t="shared" si="323"/>
        <v>0</v>
      </c>
      <c r="AM426" t="str">
        <f>IF(ISBLANK('Dry_Litterbag Placem_Collection'!L205),"","G"&amp;""&amp;'Dry_Litterbag Placem_Collection'!L205)</f>
        <v>G168</v>
      </c>
      <c r="AN426" t="str">
        <f>IF(ISBLANK('Dry_Litterbag Placem_Collection'!M205),"","R"&amp;""&amp;'Dry_Litterbag Placem_Collection'!M205)</f>
        <v>R621</v>
      </c>
      <c r="AO426" t="b">
        <f t="shared" si="324"/>
        <v>0</v>
      </c>
      <c r="AP426" t="b">
        <f t="shared" si="325"/>
        <v>0</v>
      </c>
      <c r="AX426" s="395" t="b">
        <f t="shared" si="326"/>
        <v>0</v>
      </c>
      <c r="AY426" s="395" t="b">
        <f t="shared" si="327"/>
        <v>0</v>
      </c>
      <c r="BB426" t="str">
        <f>'Ashed teabags wet'!A844</f>
        <v>R97</v>
      </c>
      <c r="BH426" t="str">
        <f t="shared" si="329"/>
        <v>G147</v>
      </c>
      <c r="BI426" t="str">
        <f t="shared" si="341"/>
        <v>G147</v>
      </c>
      <c r="BP426" t="str">
        <f t="shared" si="330"/>
        <v>R224</v>
      </c>
      <c r="BQ426" t="str">
        <f t="shared" si="331"/>
        <v>R224</v>
      </c>
      <c r="BZ426" t="str">
        <f t="shared" si="332"/>
        <v>G147</v>
      </c>
      <c r="CA426" t="b">
        <f t="shared" si="333"/>
        <v>0</v>
      </c>
      <c r="CB426" t="str">
        <f t="shared" si="342"/>
        <v>G147</v>
      </c>
      <c r="CC426" t="str">
        <f t="shared" si="334"/>
        <v>R224</v>
      </c>
      <c r="CD426" t="b">
        <f t="shared" si="343"/>
        <v>0</v>
      </c>
      <c r="CE426" t="str">
        <f t="shared" si="344"/>
        <v>R224</v>
      </c>
      <c r="CI426" t="str">
        <f>AE425</f>
        <v>G770</v>
      </c>
      <c r="CJ426" t="str">
        <f t="shared" si="336"/>
        <v>G770</v>
      </c>
      <c r="CO426" t="str">
        <f t="shared" si="337"/>
        <v>R96</v>
      </c>
      <c r="CP426" t="str">
        <f t="shared" si="347"/>
        <v>R96</v>
      </c>
      <c r="CQ426" t="str">
        <f>AF425</f>
        <v>R182</v>
      </c>
      <c r="CR426" t="str">
        <f t="shared" si="338"/>
        <v>R182</v>
      </c>
      <c r="CS426" t="s">
        <v>1045</v>
      </c>
      <c r="CT426" t="s">
        <v>1045</v>
      </c>
      <c r="CU426" t="s">
        <v>1045</v>
      </c>
      <c r="CV426" t="b">
        <f t="shared" si="348"/>
        <v>1</v>
      </c>
      <c r="DC426" t="str">
        <f t="shared" si="339"/>
        <v>G770</v>
      </c>
      <c r="DD426" t="b">
        <f t="shared" si="349"/>
        <v>0</v>
      </c>
      <c r="DE426" t="str">
        <f t="shared" si="350"/>
        <v>G770</v>
      </c>
      <c r="DF426" t="str">
        <f t="shared" si="340"/>
        <v>R182</v>
      </c>
      <c r="DG426" t="b">
        <f t="shared" si="351"/>
        <v>0</v>
      </c>
      <c r="DH426" t="str">
        <f t="shared" si="352"/>
        <v>R182</v>
      </c>
    </row>
    <row r="427" spans="2:112" ht="12" customHeight="1">
      <c r="B427" t="str">
        <f>TBIDry!H499</f>
        <v>G672</v>
      </c>
      <c r="C427" t="str">
        <f>TBIDry!I499</f>
        <v>R708</v>
      </c>
      <c r="D427" t="b">
        <f t="shared" si="311"/>
        <v>0</v>
      </c>
      <c r="E427" t="b">
        <f t="shared" si="312"/>
        <v>0</v>
      </c>
      <c r="G427" t="str">
        <f>TBIWet!H499</f>
        <v>G640</v>
      </c>
      <c r="H427" t="str">
        <f>TBIWet!I499</f>
        <v>R139</v>
      </c>
      <c r="I427" t="b">
        <f t="shared" si="313"/>
        <v>0</v>
      </c>
      <c r="J427" t="b">
        <f t="shared" si="314"/>
        <v>0</v>
      </c>
      <c r="M427" t="str">
        <f>'Both teabags AfterWet'!A845</f>
        <v>R99</v>
      </c>
      <c r="N427" t="b">
        <f t="shared" si="315"/>
        <v>0</v>
      </c>
      <c r="O427" t="b">
        <f t="shared" si="353"/>
        <v>0</v>
      </c>
      <c r="Q427" s="395" t="b">
        <f t="shared" si="316"/>
        <v>0</v>
      </c>
      <c r="R427" s="395" t="b">
        <f t="shared" si="317"/>
        <v>0</v>
      </c>
      <c r="Y427" t="str">
        <f>'Green_rooibos initial weight'!A428</f>
        <v>G424</v>
      </c>
      <c r="Z427" t="str">
        <f>'Green_rooibos initial weight'!A1332</f>
        <v>R424</v>
      </c>
      <c r="AA427" t="b">
        <f t="shared" si="318"/>
        <v>0</v>
      </c>
      <c r="AB427" t="b">
        <f t="shared" si="319"/>
        <v>0</v>
      </c>
      <c r="AE427" t="str">
        <f>'WetLitterbags placem_collection'!O206</f>
        <v>G640</v>
      </c>
      <c r="AF427" t="str">
        <f>'WetLitterbags placem_collection'!Q206</f>
        <v>R139</v>
      </c>
      <c r="AG427" t="b">
        <f t="shared" si="320"/>
        <v>0</v>
      </c>
      <c r="AH427" t="b">
        <f t="shared" si="321"/>
        <v>0</v>
      </c>
      <c r="AJ427" t="b">
        <f t="shared" si="322"/>
        <v>0</v>
      </c>
      <c r="AK427" t="b">
        <f t="shared" si="323"/>
        <v>0</v>
      </c>
      <c r="AM427" t="str">
        <f>IF(ISBLANK('Dry_Litterbag Placem_Collection'!L206),"","G"&amp;""&amp;'Dry_Litterbag Placem_Collection'!L206)</f>
        <v>G672</v>
      </c>
      <c r="AN427" t="str">
        <f>IF(ISBLANK('Dry_Litterbag Placem_Collection'!M206),"","R"&amp;""&amp;'Dry_Litterbag Placem_Collection'!M206)</f>
        <v>R708</v>
      </c>
      <c r="AO427" t="b">
        <f t="shared" si="324"/>
        <v>0</v>
      </c>
      <c r="AP427" t="b">
        <f t="shared" si="325"/>
        <v>0</v>
      </c>
      <c r="AX427" s="395" t="b">
        <f t="shared" si="326"/>
        <v>0</v>
      </c>
      <c r="AY427" s="395" t="b">
        <f t="shared" si="327"/>
        <v>0</v>
      </c>
      <c r="BB427" t="str">
        <f>'Ashed teabags wet'!A845</f>
        <v>R99</v>
      </c>
      <c r="BH427" t="str">
        <f t="shared" si="329"/>
        <v>G168</v>
      </c>
      <c r="BI427" t="str">
        <f t="shared" si="341"/>
        <v>G168</v>
      </c>
      <c r="BP427" t="str">
        <f t="shared" si="330"/>
        <v>R621</v>
      </c>
      <c r="BQ427" t="str">
        <f t="shared" si="331"/>
        <v>R621</v>
      </c>
      <c r="BZ427" t="str">
        <f t="shared" si="332"/>
        <v>G168</v>
      </c>
      <c r="CA427" t="b">
        <f t="shared" si="333"/>
        <v>0</v>
      </c>
      <c r="CB427" t="str">
        <f t="shared" si="342"/>
        <v>G168</v>
      </c>
      <c r="CC427" t="str">
        <f t="shared" si="334"/>
        <v>R621</v>
      </c>
      <c r="CD427" t="b">
        <f t="shared" si="343"/>
        <v>0</v>
      </c>
      <c r="CE427" t="str">
        <f t="shared" si="344"/>
        <v>R621</v>
      </c>
      <c r="CI427" t="str">
        <f>AE426</f>
        <v>G753</v>
      </c>
      <c r="CJ427" t="str">
        <f t="shared" si="336"/>
        <v>G753</v>
      </c>
      <c r="CO427" t="str">
        <f t="shared" si="337"/>
        <v>R97</v>
      </c>
      <c r="CP427" t="str">
        <f t="shared" si="347"/>
        <v>R97</v>
      </c>
      <c r="CQ427" t="str">
        <f>AF426</f>
        <v>R342</v>
      </c>
      <c r="CR427" t="str">
        <f t="shared" si="338"/>
        <v>R342</v>
      </c>
      <c r="CS427" t="s">
        <v>1044</v>
      </c>
      <c r="CT427" t="s">
        <v>1044</v>
      </c>
      <c r="CU427" t="s">
        <v>1044</v>
      </c>
      <c r="CV427" t="b">
        <f t="shared" si="348"/>
        <v>1</v>
      </c>
      <c r="DC427" t="str">
        <f t="shared" si="339"/>
        <v>G753</v>
      </c>
      <c r="DD427" t="b">
        <f t="shared" si="349"/>
        <v>0</v>
      </c>
      <c r="DE427" t="str">
        <f t="shared" si="350"/>
        <v>G753</v>
      </c>
      <c r="DF427" t="str">
        <f t="shared" si="340"/>
        <v>R342</v>
      </c>
      <c r="DG427" t="b">
        <f t="shared" si="351"/>
        <v>0</v>
      </c>
      <c r="DH427" t="str">
        <f t="shared" si="352"/>
        <v>R342</v>
      </c>
    </row>
    <row r="428" spans="2:112" ht="12" customHeight="1">
      <c r="B428" t="str">
        <f>TBIDry!H500</f>
        <v>G173</v>
      </c>
      <c r="C428" t="str">
        <f>TBIDry!I500</f>
        <v>R637</v>
      </c>
      <c r="D428" t="b">
        <f t="shared" si="311"/>
        <v>0</v>
      </c>
      <c r="E428" t="b">
        <f t="shared" si="312"/>
        <v>0</v>
      </c>
      <c r="G428" t="str">
        <f>TBIWet!H500</f>
        <v>G668</v>
      </c>
      <c r="H428" t="str">
        <f>TBIWet!I500</f>
        <v>R92</v>
      </c>
      <c r="I428" t="b">
        <f t="shared" si="313"/>
        <v>0</v>
      </c>
      <c r="J428" t="b">
        <f t="shared" si="314"/>
        <v>0</v>
      </c>
      <c r="Q428" s="395" t="b">
        <f t="shared" si="316"/>
        <v>0</v>
      </c>
      <c r="R428" s="395" t="b">
        <f t="shared" si="317"/>
        <v>0</v>
      </c>
      <c r="Y428" t="str">
        <f>'Green_rooibos initial weight'!A429</f>
        <v>G425</v>
      </c>
      <c r="Z428" t="str">
        <f>'Green_rooibos initial weight'!A1333</f>
        <v>R425</v>
      </c>
      <c r="AA428" t="b">
        <f t="shared" si="318"/>
        <v>0</v>
      </c>
      <c r="AB428" t="b">
        <f t="shared" si="319"/>
        <v>0</v>
      </c>
      <c r="AE428" t="str">
        <f>'WetLitterbags placem_collection'!O207</f>
        <v>G668</v>
      </c>
      <c r="AF428" t="str">
        <f>'WetLitterbags placem_collection'!Q207</f>
        <v>R92</v>
      </c>
      <c r="AG428" t="b">
        <f t="shared" si="320"/>
        <v>0</v>
      </c>
      <c r="AH428" t="b">
        <f t="shared" si="321"/>
        <v>0</v>
      </c>
      <c r="AJ428" t="b">
        <f t="shared" si="322"/>
        <v>0</v>
      </c>
      <c r="AK428" t="b">
        <f t="shared" si="323"/>
        <v>0</v>
      </c>
      <c r="AM428" t="str">
        <f>IF(ISBLANK('Dry_Litterbag Placem_Collection'!L207),"","G"&amp;""&amp;'Dry_Litterbag Placem_Collection'!L207)</f>
        <v>G173</v>
      </c>
      <c r="AN428" t="str">
        <f>IF(ISBLANK('Dry_Litterbag Placem_Collection'!M207),"","R"&amp;""&amp;'Dry_Litterbag Placem_Collection'!M207)</f>
        <v>R637</v>
      </c>
      <c r="AO428" t="b">
        <f t="shared" si="324"/>
        <v>0</v>
      </c>
      <c r="AP428" t="b">
        <f t="shared" si="325"/>
        <v>0</v>
      </c>
      <c r="AX428" s="395" t="b">
        <f t="shared" si="326"/>
        <v>0</v>
      </c>
      <c r="AY428" s="395" t="b">
        <f t="shared" si="327"/>
        <v>0</v>
      </c>
      <c r="BH428" t="str">
        <f t="shared" si="329"/>
        <v>G672</v>
      </c>
      <c r="BI428" t="str">
        <f t="shared" si="341"/>
        <v>G672</v>
      </c>
      <c r="BP428" t="str">
        <f t="shared" si="330"/>
        <v>R708</v>
      </c>
      <c r="BQ428" t="str">
        <f t="shared" si="331"/>
        <v>R708</v>
      </c>
      <c r="BZ428" t="str">
        <f t="shared" si="332"/>
        <v>G672</v>
      </c>
      <c r="CA428" t="b">
        <f t="shared" si="333"/>
        <v>0</v>
      </c>
      <c r="CB428" t="str">
        <f t="shared" si="342"/>
        <v>G672</v>
      </c>
      <c r="CC428" t="str">
        <f t="shared" si="334"/>
        <v>R708</v>
      </c>
      <c r="CD428" t="b">
        <f t="shared" si="343"/>
        <v>0</v>
      </c>
      <c r="CE428" t="str">
        <f t="shared" si="344"/>
        <v>R708</v>
      </c>
      <c r="CI428" t="str">
        <f>AE427</f>
        <v>G640</v>
      </c>
      <c r="CJ428" t="str">
        <f t="shared" si="336"/>
        <v>G640</v>
      </c>
      <c r="CO428" t="str">
        <f t="shared" si="337"/>
        <v>R99</v>
      </c>
      <c r="CP428" t="str">
        <f t="shared" si="347"/>
        <v>R99</v>
      </c>
      <c r="CQ428" t="str">
        <f>AF427</f>
        <v>R139</v>
      </c>
      <c r="CR428" t="str">
        <f t="shared" si="338"/>
        <v>R139</v>
      </c>
      <c r="CS428" t="s">
        <v>1042</v>
      </c>
      <c r="CT428" t="s">
        <v>1042</v>
      </c>
      <c r="CU428" t="s">
        <v>1042</v>
      </c>
      <c r="CV428" t="b">
        <f t="shared" si="348"/>
        <v>1</v>
      </c>
      <c r="DC428" t="str">
        <f t="shared" si="339"/>
        <v>G640</v>
      </c>
      <c r="DD428" t="b">
        <f t="shared" si="349"/>
        <v>0</v>
      </c>
      <c r="DE428" t="str">
        <f t="shared" si="350"/>
        <v>G640</v>
      </c>
      <c r="DF428" t="str">
        <f t="shared" si="340"/>
        <v>R139</v>
      </c>
      <c r="DG428" t="b">
        <f t="shared" si="351"/>
        <v>0</v>
      </c>
      <c r="DH428" t="str">
        <f t="shared" si="352"/>
        <v>R139</v>
      </c>
    </row>
    <row r="429" spans="2:112" ht="12" customHeight="1">
      <c r="B429" t="str">
        <f>TBIDry!H501</f>
        <v>G262</v>
      </c>
      <c r="C429" t="str">
        <f>TBIDry!I501</f>
        <v>R284</v>
      </c>
      <c r="D429" t="b">
        <f t="shared" si="311"/>
        <v>0</v>
      </c>
      <c r="E429" t="b">
        <f t="shared" si="312"/>
        <v>0</v>
      </c>
      <c r="G429" t="str">
        <f>TBIWet!H501</f>
        <v>G891</v>
      </c>
      <c r="H429" t="str">
        <f>TBIWet!I501</f>
        <v>R328</v>
      </c>
      <c r="I429" t="b">
        <f t="shared" si="313"/>
        <v>0</v>
      </c>
      <c r="J429" t="b">
        <f t="shared" si="314"/>
        <v>0</v>
      </c>
      <c r="Q429" s="395" t="b">
        <f t="shared" si="316"/>
        <v>0</v>
      </c>
      <c r="R429" s="395" t="b">
        <f t="shared" si="317"/>
        <v>0</v>
      </c>
      <c r="Y429" t="str">
        <f>'Green_rooibos initial weight'!A430</f>
        <v>G426</v>
      </c>
      <c r="Z429" t="str">
        <f>'Green_rooibos initial weight'!A1334</f>
        <v>R426</v>
      </c>
      <c r="AA429" t="b">
        <f t="shared" si="318"/>
        <v>0</v>
      </c>
      <c r="AB429" t="b">
        <f t="shared" si="319"/>
        <v>0</v>
      </c>
      <c r="AE429" t="str">
        <f>'WetLitterbags placem_collection'!O208</f>
        <v>G891</v>
      </c>
      <c r="AF429" t="str">
        <f>'WetLitterbags placem_collection'!Q208</f>
        <v>R328</v>
      </c>
      <c r="AG429" t="b">
        <f t="shared" si="320"/>
        <v>0</v>
      </c>
      <c r="AH429" t="b">
        <f t="shared" si="321"/>
        <v>0</v>
      </c>
      <c r="AJ429" t="b">
        <f t="shared" si="322"/>
        <v>0</v>
      </c>
      <c r="AK429" t="b">
        <f t="shared" si="323"/>
        <v>0</v>
      </c>
      <c r="AM429" t="str">
        <f>IF(ISBLANK('Dry_Litterbag Placem_Collection'!L208),"","G"&amp;""&amp;'Dry_Litterbag Placem_Collection'!L208)</f>
        <v>G262</v>
      </c>
      <c r="AN429" t="str">
        <f>IF(ISBLANK('Dry_Litterbag Placem_Collection'!M208),"","R"&amp;""&amp;'Dry_Litterbag Placem_Collection'!M208)</f>
        <v>R284</v>
      </c>
      <c r="AO429" t="b">
        <f t="shared" si="324"/>
        <v>0</v>
      </c>
      <c r="AP429" t="b">
        <f t="shared" si="325"/>
        <v>0</v>
      </c>
      <c r="AX429" s="395" t="b">
        <f t="shared" si="326"/>
        <v>0</v>
      </c>
      <c r="AY429" s="395" t="b">
        <f t="shared" si="327"/>
        <v>0</v>
      </c>
      <c r="BH429" t="str">
        <f t="shared" si="329"/>
        <v>G173</v>
      </c>
      <c r="BI429" t="str">
        <f t="shared" si="341"/>
        <v>G173</v>
      </c>
      <c r="BP429" t="str">
        <f t="shared" si="330"/>
        <v>R637</v>
      </c>
      <c r="BQ429" t="str">
        <f t="shared" si="331"/>
        <v>R637</v>
      </c>
      <c r="BZ429" t="str">
        <f t="shared" si="332"/>
        <v>G173</v>
      </c>
      <c r="CA429" t="b">
        <f t="shared" si="333"/>
        <v>0</v>
      </c>
      <c r="CB429" t="str">
        <f t="shared" si="342"/>
        <v>G173</v>
      </c>
      <c r="CC429" t="str">
        <f t="shared" si="334"/>
        <v>R637</v>
      </c>
      <c r="CD429" t="b">
        <f t="shared" si="343"/>
        <v>0</v>
      </c>
      <c r="CE429" t="str">
        <f t="shared" si="344"/>
        <v>R637</v>
      </c>
      <c r="CI429" t="str">
        <f>AE428</f>
        <v>G668</v>
      </c>
      <c r="CJ429" t="str">
        <f t="shared" si="336"/>
        <v>G668</v>
      </c>
      <c r="CQ429" t="str">
        <f>AF428</f>
        <v>R92</v>
      </c>
      <c r="CR429" t="str">
        <f t="shared" si="338"/>
        <v>R92</v>
      </c>
      <c r="DC429" t="str">
        <f t="shared" si="339"/>
        <v>G668</v>
      </c>
      <c r="DD429" t="b">
        <f t="shared" si="349"/>
        <v>0</v>
      </c>
      <c r="DE429" t="str">
        <f t="shared" si="350"/>
        <v>G668</v>
      </c>
      <c r="DF429" t="str">
        <f t="shared" si="340"/>
        <v>R92</v>
      </c>
      <c r="DG429" t="b">
        <f t="shared" si="351"/>
        <v>0</v>
      </c>
      <c r="DH429" t="str">
        <f t="shared" si="352"/>
        <v>R92</v>
      </c>
    </row>
    <row r="430" spans="2:112" ht="12" customHeight="1">
      <c r="B430" t="str">
        <f>TBIDry!H502</f>
        <v>G230</v>
      </c>
      <c r="C430" t="str">
        <f>TBIDry!I502</f>
        <v>R604</v>
      </c>
      <c r="D430" t="b">
        <f t="shared" si="311"/>
        <v>0</v>
      </c>
      <c r="E430" t="b">
        <f t="shared" si="312"/>
        <v>0</v>
      </c>
      <c r="G430" t="str">
        <f>TBIWet!H502</f>
        <v>G540</v>
      </c>
      <c r="H430" t="str">
        <f>TBIWet!I502</f>
        <v>R149</v>
      </c>
      <c r="I430" s="113" t="b">
        <f t="shared" si="313"/>
        <v>0</v>
      </c>
      <c r="J430" t="b">
        <f t="shared" si="314"/>
        <v>0</v>
      </c>
      <c r="Q430" s="395" t="b">
        <f t="shared" si="316"/>
        <v>0</v>
      </c>
      <c r="R430" s="395" t="b">
        <f t="shared" si="317"/>
        <v>0</v>
      </c>
      <c r="Y430" t="str">
        <f>'Green_rooibos initial weight'!A431</f>
        <v>G427</v>
      </c>
      <c r="Z430" t="str">
        <f>'Green_rooibos initial weight'!A1335</f>
        <v>R427</v>
      </c>
      <c r="AA430" t="b">
        <f t="shared" si="318"/>
        <v>0</v>
      </c>
      <c r="AB430" t="b">
        <f t="shared" si="319"/>
        <v>0</v>
      </c>
      <c r="AE430" t="str">
        <f>'WetLitterbags placem_collection'!O209</f>
        <v>G540</v>
      </c>
      <c r="AF430" t="str">
        <f>'WetLitterbags placem_collection'!Q209</f>
        <v>R149</v>
      </c>
      <c r="AG430" t="b">
        <f t="shared" si="320"/>
        <v>0</v>
      </c>
      <c r="AH430" t="b">
        <f t="shared" si="321"/>
        <v>0</v>
      </c>
      <c r="AJ430" t="b">
        <f t="shared" si="322"/>
        <v>0</v>
      </c>
      <c r="AK430" t="b">
        <f t="shared" si="323"/>
        <v>0</v>
      </c>
      <c r="AM430" t="str">
        <f>IF(ISBLANK('Dry_Litterbag Placem_Collection'!L209),"","G"&amp;""&amp;'Dry_Litterbag Placem_Collection'!L209)</f>
        <v>G230</v>
      </c>
      <c r="AN430" t="str">
        <f>IF(ISBLANK('Dry_Litterbag Placem_Collection'!M209),"","R"&amp;""&amp;'Dry_Litterbag Placem_Collection'!M209)</f>
        <v>R604</v>
      </c>
      <c r="AO430" t="b">
        <f t="shared" si="324"/>
        <v>0</v>
      </c>
      <c r="AP430" t="b">
        <f t="shared" si="325"/>
        <v>0</v>
      </c>
      <c r="AX430" s="395" t="b">
        <f t="shared" si="326"/>
        <v>0</v>
      </c>
      <c r="AY430" s="395" t="b">
        <f t="shared" si="327"/>
        <v>0</v>
      </c>
      <c r="BH430" t="str">
        <f t="shared" si="329"/>
        <v>G262</v>
      </c>
      <c r="BI430" t="str">
        <f t="shared" si="341"/>
        <v>G262</v>
      </c>
      <c r="BP430" t="str">
        <f t="shared" si="330"/>
        <v>R284</v>
      </c>
      <c r="BQ430" t="str">
        <f t="shared" si="331"/>
        <v>R284</v>
      </c>
      <c r="BZ430" t="str">
        <f t="shared" si="332"/>
        <v>G262</v>
      </c>
      <c r="CA430" t="b">
        <f t="shared" si="333"/>
        <v>0</v>
      </c>
      <c r="CB430" t="str">
        <f t="shared" si="342"/>
        <v>G262</v>
      </c>
      <c r="CC430" t="str">
        <f t="shared" si="334"/>
        <v>R284</v>
      </c>
      <c r="CD430" t="b">
        <f t="shared" si="343"/>
        <v>0</v>
      </c>
      <c r="CE430" t="str">
        <f t="shared" si="344"/>
        <v>R284</v>
      </c>
      <c r="CI430" t="str">
        <f>AE429</f>
        <v>G891</v>
      </c>
      <c r="CJ430" t="str">
        <f t="shared" si="336"/>
        <v>G891</v>
      </c>
      <c r="CQ430" t="str">
        <f>AF429</f>
        <v>R328</v>
      </c>
      <c r="CR430" t="str">
        <f t="shared" si="338"/>
        <v>R328</v>
      </c>
      <c r="DC430" t="str">
        <f t="shared" si="339"/>
        <v>G891</v>
      </c>
      <c r="DD430" t="b">
        <f t="shared" si="349"/>
        <v>0</v>
      </c>
      <c r="DE430" t="str">
        <f t="shared" si="350"/>
        <v>G891</v>
      </c>
      <c r="DF430" t="str">
        <f t="shared" si="340"/>
        <v>R328</v>
      </c>
      <c r="DG430" t="b">
        <f t="shared" si="351"/>
        <v>0</v>
      </c>
      <c r="DH430" t="str">
        <f t="shared" si="352"/>
        <v>R328</v>
      </c>
    </row>
    <row r="431" spans="2:112" ht="12" customHeight="1">
      <c r="B431" t="str">
        <f>TBIDry!H503</f>
        <v>G140</v>
      </c>
      <c r="C431" t="str">
        <f>TBIDry!I503</f>
        <v>R625</v>
      </c>
      <c r="D431" t="b">
        <f t="shared" si="311"/>
        <v>0</v>
      </c>
      <c r="E431" t="b">
        <f t="shared" si="312"/>
        <v>0</v>
      </c>
      <c r="G431" t="str">
        <f>TBIWet!H503</f>
        <v>G508</v>
      </c>
      <c r="H431" t="str">
        <f>TBIWet!I503</f>
        <v>R449</v>
      </c>
      <c r="I431" t="b">
        <f t="shared" si="313"/>
        <v>0</v>
      </c>
      <c r="J431" t="b">
        <f t="shared" si="314"/>
        <v>0</v>
      </c>
      <c r="Q431" s="395" t="b">
        <f t="shared" si="316"/>
        <v>0</v>
      </c>
      <c r="R431" s="395" t="b">
        <f t="shared" si="317"/>
        <v>0</v>
      </c>
      <c r="Y431" t="str">
        <f>'Green_rooibos initial weight'!A432</f>
        <v>G428</v>
      </c>
      <c r="Z431" t="str">
        <f>'Green_rooibos initial weight'!A1336</f>
        <v>R428</v>
      </c>
      <c r="AA431" t="b">
        <f t="shared" si="318"/>
        <v>0</v>
      </c>
      <c r="AB431" t="b">
        <f t="shared" si="319"/>
        <v>0</v>
      </c>
      <c r="AE431" t="str">
        <f>'WetLitterbags placem_collection'!O210</f>
        <v>G508</v>
      </c>
      <c r="AF431" t="str">
        <f>'WetLitterbags placem_collection'!Q210</f>
        <v>R449</v>
      </c>
      <c r="AG431" t="b">
        <f t="shared" si="320"/>
        <v>0</v>
      </c>
      <c r="AH431" t="b">
        <f t="shared" si="321"/>
        <v>0</v>
      </c>
      <c r="AJ431" t="b">
        <f t="shared" si="322"/>
        <v>0</v>
      </c>
      <c r="AK431" t="b">
        <f t="shared" si="323"/>
        <v>0</v>
      </c>
      <c r="AM431" t="str">
        <f>IF(ISBLANK('Dry_Litterbag Placem_Collection'!L210),"","G"&amp;""&amp;'Dry_Litterbag Placem_Collection'!L210)</f>
        <v>G140</v>
      </c>
      <c r="AN431" t="str">
        <f>IF(ISBLANK('Dry_Litterbag Placem_Collection'!M210),"","R"&amp;""&amp;'Dry_Litterbag Placem_Collection'!M210)</f>
        <v>R625</v>
      </c>
      <c r="AO431" t="b">
        <f t="shared" si="324"/>
        <v>0</v>
      </c>
      <c r="AP431" t="b">
        <f t="shared" si="325"/>
        <v>0</v>
      </c>
      <c r="AX431" s="395" t="b">
        <f t="shared" si="326"/>
        <v>0</v>
      </c>
      <c r="AY431" s="395" t="b">
        <f t="shared" si="327"/>
        <v>0</v>
      </c>
      <c r="BH431" t="str">
        <f t="shared" si="329"/>
        <v>G230</v>
      </c>
      <c r="BI431" t="str">
        <f t="shared" si="341"/>
        <v>G230</v>
      </c>
      <c r="BP431" t="str">
        <f t="shared" si="330"/>
        <v>R604</v>
      </c>
      <c r="BQ431" t="str">
        <f t="shared" si="331"/>
        <v>R604</v>
      </c>
      <c r="BZ431" t="str">
        <f t="shared" si="332"/>
        <v>G230</v>
      </c>
      <c r="CA431" t="b">
        <f t="shared" si="333"/>
        <v>0</v>
      </c>
      <c r="CB431" t="str">
        <f t="shared" si="342"/>
        <v>G230</v>
      </c>
      <c r="CC431" t="str">
        <f t="shared" si="334"/>
        <v>R604</v>
      </c>
      <c r="CD431" t="b">
        <f t="shared" si="343"/>
        <v>0</v>
      </c>
      <c r="CE431" t="str">
        <f t="shared" si="344"/>
        <v>R604</v>
      </c>
      <c r="CI431" t="str">
        <f>AE430</f>
        <v>G540</v>
      </c>
      <c r="CJ431" t="str">
        <f t="shared" si="336"/>
        <v>G540</v>
      </c>
      <c r="CQ431" t="str">
        <f>AF430</f>
        <v>R149</v>
      </c>
      <c r="CR431" t="str">
        <f t="shared" si="338"/>
        <v>R149</v>
      </c>
      <c r="DC431" t="str">
        <f t="shared" si="339"/>
        <v>G540</v>
      </c>
      <c r="DD431" t="b">
        <f t="shared" si="349"/>
        <v>0</v>
      </c>
      <c r="DE431" t="str">
        <f t="shared" si="350"/>
        <v>G540</v>
      </c>
      <c r="DF431" t="str">
        <f t="shared" si="340"/>
        <v>R149</v>
      </c>
      <c r="DG431" t="b">
        <f t="shared" si="351"/>
        <v>0</v>
      </c>
      <c r="DH431" t="str">
        <f t="shared" si="352"/>
        <v>R149</v>
      </c>
    </row>
    <row r="432" spans="2:112" ht="12" customHeight="1">
      <c r="B432" t="str">
        <f>TBIDry!H504</f>
        <v>G92</v>
      </c>
      <c r="C432" t="str">
        <f>TBIDry!I504</f>
        <v>R647</v>
      </c>
      <c r="D432" t="b">
        <f t="shared" si="311"/>
        <v>0</v>
      </c>
      <c r="E432" t="b">
        <f t="shared" si="312"/>
        <v>0</v>
      </c>
      <c r="G432" t="str">
        <f>TBIWet!H504</f>
        <v>G637</v>
      </c>
      <c r="H432" t="str">
        <f>TBIWet!I504</f>
        <v>R142</v>
      </c>
      <c r="I432" t="b">
        <f t="shared" si="313"/>
        <v>0</v>
      </c>
      <c r="J432" t="b">
        <f t="shared" si="314"/>
        <v>0</v>
      </c>
      <c r="Q432" s="395" t="b">
        <f t="shared" si="316"/>
        <v>0</v>
      </c>
      <c r="R432" s="395" t="b">
        <f t="shared" si="317"/>
        <v>0</v>
      </c>
      <c r="Y432" t="str">
        <f>'Green_rooibos initial weight'!A433</f>
        <v>G429</v>
      </c>
      <c r="Z432" t="str">
        <f>'Green_rooibos initial weight'!A1337</f>
        <v>R429</v>
      </c>
      <c r="AA432" t="b">
        <f t="shared" si="318"/>
        <v>0</v>
      </c>
      <c r="AB432" t="b">
        <f t="shared" si="319"/>
        <v>0</v>
      </c>
      <c r="AE432" t="str">
        <f>'WetLitterbags placem_collection'!O211</f>
        <v>G637</v>
      </c>
      <c r="AF432" t="str">
        <f>'WetLitterbags placem_collection'!Q211</f>
        <v>R142</v>
      </c>
      <c r="AG432" t="b">
        <f t="shared" si="320"/>
        <v>0</v>
      </c>
      <c r="AH432" t="b">
        <f t="shared" si="321"/>
        <v>0</v>
      </c>
      <c r="AJ432" t="b">
        <f t="shared" si="322"/>
        <v>0</v>
      </c>
      <c r="AK432" t="b">
        <f t="shared" si="323"/>
        <v>0</v>
      </c>
      <c r="AM432" t="str">
        <f>IF(ISBLANK('Dry_Litterbag Placem_Collection'!L211),"","G"&amp;""&amp;'Dry_Litterbag Placem_Collection'!L211)</f>
        <v>G92</v>
      </c>
      <c r="AN432" t="str">
        <f>IF(ISBLANK('Dry_Litterbag Placem_Collection'!M211),"","R"&amp;""&amp;'Dry_Litterbag Placem_Collection'!M211)</f>
        <v>R647</v>
      </c>
      <c r="AO432" t="b">
        <f t="shared" si="324"/>
        <v>0</v>
      </c>
      <c r="AP432" t="b">
        <f t="shared" si="325"/>
        <v>0</v>
      </c>
      <c r="AX432" s="395" t="b">
        <f t="shared" si="326"/>
        <v>0</v>
      </c>
      <c r="AY432" s="395" t="b">
        <f t="shared" si="327"/>
        <v>0</v>
      </c>
      <c r="BH432" t="str">
        <f t="shared" si="329"/>
        <v>G140</v>
      </c>
      <c r="BI432" t="str">
        <f t="shared" si="341"/>
        <v>G140</v>
      </c>
      <c r="BP432" t="str">
        <f t="shared" si="330"/>
        <v>R625</v>
      </c>
      <c r="BQ432" t="str">
        <f t="shared" si="331"/>
        <v>R625</v>
      </c>
      <c r="BZ432" t="str">
        <f t="shared" si="332"/>
        <v>G140</v>
      </c>
      <c r="CA432" t="b">
        <f t="shared" si="333"/>
        <v>0</v>
      </c>
      <c r="CB432" t="str">
        <f t="shared" si="342"/>
        <v>G140</v>
      </c>
      <c r="CC432" t="str">
        <f t="shared" si="334"/>
        <v>R625</v>
      </c>
      <c r="CD432" t="b">
        <f t="shared" si="343"/>
        <v>0</v>
      </c>
      <c r="CE432" t="str">
        <f t="shared" si="344"/>
        <v>R625</v>
      </c>
      <c r="CI432" t="str">
        <f>AE431</f>
        <v>G508</v>
      </c>
      <c r="CJ432" t="str">
        <f t="shared" si="336"/>
        <v>G508</v>
      </c>
      <c r="CQ432" t="str">
        <f>AF431</f>
        <v>R449</v>
      </c>
      <c r="CR432" t="str">
        <f t="shared" si="338"/>
        <v>R449</v>
      </c>
      <c r="DC432" t="str">
        <f t="shared" si="339"/>
        <v>G508</v>
      </c>
      <c r="DD432" t="b">
        <f t="shared" si="349"/>
        <v>0</v>
      </c>
      <c r="DE432" t="str">
        <f t="shared" si="350"/>
        <v>G508</v>
      </c>
      <c r="DF432" t="str">
        <f t="shared" si="340"/>
        <v>R449</v>
      </c>
      <c r="DG432" t="b">
        <f t="shared" si="351"/>
        <v>0</v>
      </c>
      <c r="DH432" t="str">
        <f t="shared" si="352"/>
        <v>R449</v>
      </c>
    </row>
    <row r="433" spans="2:112" ht="12" customHeight="1">
      <c r="B433" t="str">
        <f>TBIDry!H505</f>
        <v>G36</v>
      </c>
      <c r="C433" t="str">
        <f>TBIDry!I505</f>
        <v>R599</v>
      </c>
      <c r="D433" t="b">
        <f t="shared" si="311"/>
        <v>0</v>
      </c>
      <c r="E433" t="b">
        <f t="shared" si="312"/>
        <v>0</v>
      </c>
      <c r="G433" t="str">
        <f>TBIWet!H505</f>
        <v>G720</v>
      </c>
      <c r="H433" t="str">
        <f>TBIWet!I505</f>
        <v>R392</v>
      </c>
      <c r="I433" t="b">
        <f t="shared" si="313"/>
        <v>0</v>
      </c>
      <c r="J433" t="b">
        <f t="shared" si="314"/>
        <v>0</v>
      </c>
      <c r="Q433" s="395" t="b">
        <f t="shared" si="316"/>
        <v>0</v>
      </c>
      <c r="R433" s="395" t="b">
        <f t="shared" si="317"/>
        <v>0</v>
      </c>
      <c r="Y433" t="str">
        <f>'Green_rooibos initial weight'!A434</f>
        <v>G430</v>
      </c>
      <c r="Z433" t="str">
        <f>'Green_rooibos initial weight'!A1338</f>
        <v>R430</v>
      </c>
      <c r="AA433" t="b">
        <f t="shared" si="318"/>
        <v>0</v>
      </c>
      <c r="AB433" t="b">
        <f t="shared" si="319"/>
        <v>0</v>
      </c>
      <c r="AE433" t="str">
        <f>'WetLitterbags placem_collection'!O212</f>
        <v>G720</v>
      </c>
      <c r="AF433" t="str">
        <f>'WetLitterbags placem_collection'!Q212</f>
        <v>R392</v>
      </c>
      <c r="AG433" t="b">
        <f t="shared" si="320"/>
        <v>0</v>
      </c>
      <c r="AH433" t="b">
        <f t="shared" si="321"/>
        <v>0</v>
      </c>
      <c r="AJ433" t="b">
        <f t="shared" si="322"/>
        <v>0</v>
      </c>
      <c r="AK433" t="b">
        <f t="shared" si="323"/>
        <v>0</v>
      </c>
      <c r="AM433" t="str">
        <f>IF(ISBLANK('Dry_Litterbag Placem_Collection'!L212),"","G"&amp;""&amp;'Dry_Litterbag Placem_Collection'!L212)</f>
        <v>G36</v>
      </c>
      <c r="AN433" t="str">
        <f>IF(ISBLANK('Dry_Litterbag Placem_Collection'!M212),"","R"&amp;""&amp;'Dry_Litterbag Placem_Collection'!M212)</f>
        <v>R599</v>
      </c>
      <c r="AO433" t="b">
        <f t="shared" si="324"/>
        <v>0</v>
      </c>
      <c r="AP433" t="b">
        <f t="shared" si="325"/>
        <v>0</v>
      </c>
      <c r="AX433" s="395" t="b">
        <f t="shared" si="326"/>
        <v>0</v>
      </c>
      <c r="AY433" s="395" t="b">
        <f t="shared" si="327"/>
        <v>0</v>
      </c>
      <c r="BH433" t="str">
        <f t="shared" si="329"/>
        <v>G92</v>
      </c>
      <c r="BI433" t="str">
        <f t="shared" si="341"/>
        <v>G92</v>
      </c>
      <c r="BP433" t="str">
        <f t="shared" si="330"/>
        <v>R647</v>
      </c>
      <c r="BQ433" t="str">
        <f t="shared" si="331"/>
        <v>R647</v>
      </c>
      <c r="BZ433" t="str">
        <f t="shared" si="332"/>
        <v>G92</v>
      </c>
      <c r="CA433" t="b">
        <f t="shared" si="333"/>
        <v>0</v>
      </c>
      <c r="CB433" t="str">
        <f t="shared" si="342"/>
        <v>G92</v>
      </c>
      <c r="CC433" t="str">
        <f t="shared" si="334"/>
        <v>R647</v>
      </c>
      <c r="CD433" t="b">
        <f t="shared" si="343"/>
        <v>0</v>
      </c>
      <c r="CE433" t="str">
        <f t="shared" si="344"/>
        <v>R647</v>
      </c>
      <c r="CI433" t="str">
        <f>AE432</f>
        <v>G637</v>
      </c>
      <c r="CJ433" t="str">
        <f t="shared" si="336"/>
        <v>G637</v>
      </c>
      <c r="CQ433" t="str">
        <f>AF432</f>
        <v>R142</v>
      </c>
      <c r="CR433" t="str">
        <f t="shared" si="338"/>
        <v>R142</v>
      </c>
      <c r="DC433" t="str">
        <f t="shared" si="339"/>
        <v>G637</v>
      </c>
      <c r="DD433" t="b">
        <f t="shared" si="349"/>
        <v>0</v>
      </c>
      <c r="DE433" t="str">
        <f t="shared" si="350"/>
        <v>G637</v>
      </c>
      <c r="DF433" t="str">
        <f t="shared" si="340"/>
        <v>R142</v>
      </c>
      <c r="DG433" t="b">
        <f t="shared" si="351"/>
        <v>0</v>
      </c>
      <c r="DH433" t="str">
        <f t="shared" si="352"/>
        <v>R142</v>
      </c>
    </row>
    <row r="434" spans="2:112" ht="12" customHeight="1">
      <c r="B434" t="str">
        <f>TBIDry!H506</f>
        <v>G434</v>
      </c>
      <c r="C434" t="str">
        <f>TBIDry!I506</f>
        <v>R670</v>
      </c>
      <c r="D434" t="b">
        <f t="shared" si="311"/>
        <v>0</v>
      </c>
      <c r="E434" t="b">
        <f t="shared" si="312"/>
        <v>0</v>
      </c>
      <c r="G434" t="str">
        <f>TBIWet!H506</f>
        <v>G796</v>
      </c>
      <c r="H434" t="str">
        <f>TBIWet!I506</f>
        <v>R589</v>
      </c>
      <c r="I434" t="b">
        <f t="shared" si="313"/>
        <v>0</v>
      </c>
      <c r="J434" t="b">
        <f t="shared" si="314"/>
        <v>0</v>
      </c>
      <c r="Q434" s="395" t="b">
        <f t="shared" si="316"/>
        <v>0</v>
      </c>
      <c r="R434" s="395" t="b">
        <f t="shared" si="317"/>
        <v>0</v>
      </c>
      <c r="Y434" t="str">
        <f>'Green_rooibos initial weight'!A435</f>
        <v>G431</v>
      </c>
      <c r="Z434" t="str">
        <f>'Green_rooibos initial weight'!A1339</f>
        <v>R431</v>
      </c>
      <c r="AA434" t="b">
        <f t="shared" si="318"/>
        <v>0</v>
      </c>
      <c r="AB434" t="b">
        <f t="shared" si="319"/>
        <v>0</v>
      </c>
      <c r="AE434" t="str">
        <f>'WetLitterbags placem_collection'!O213</f>
        <v>G796</v>
      </c>
      <c r="AF434" t="str">
        <f>'WetLitterbags placem_collection'!Q213</f>
        <v>R589</v>
      </c>
      <c r="AG434" t="b">
        <f t="shared" si="320"/>
        <v>0</v>
      </c>
      <c r="AH434" t="b">
        <f t="shared" si="321"/>
        <v>0</v>
      </c>
      <c r="AJ434" t="b">
        <f t="shared" si="322"/>
        <v>0</v>
      </c>
      <c r="AK434" t="b">
        <f t="shared" si="323"/>
        <v>0</v>
      </c>
      <c r="AM434" t="str">
        <f>IF(ISBLANK('Dry_Litterbag Placem_Collection'!L213),"","G"&amp;""&amp;'Dry_Litterbag Placem_Collection'!L213)</f>
        <v>G434</v>
      </c>
      <c r="AN434" t="str">
        <f>IF(ISBLANK('Dry_Litterbag Placem_Collection'!M213),"","R"&amp;""&amp;'Dry_Litterbag Placem_Collection'!M213)</f>
        <v>R670</v>
      </c>
      <c r="AO434" t="b">
        <f t="shared" si="324"/>
        <v>0</v>
      </c>
      <c r="AP434" t="b">
        <f t="shared" si="325"/>
        <v>0</v>
      </c>
      <c r="AX434" s="395" t="b">
        <f t="shared" si="326"/>
        <v>0</v>
      </c>
      <c r="AY434" s="395" t="b">
        <f t="shared" si="327"/>
        <v>0</v>
      </c>
      <c r="BH434" t="str">
        <f t="shared" si="329"/>
        <v>G36</v>
      </c>
      <c r="BI434" t="str">
        <f t="shared" si="341"/>
        <v>G36</v>
      </c>
      <c r="BP434" t="str">
        <f t="shared" si="330"/>
        <v>R599</v>
      </c>
      <c r="BQ434" t="str">
        <f t="shared" si="331"/>
        <v>R599</v>
      </c>
      <c r="BZ434" t="str">
        <f t="shared" si="332"/>
        <v>G36</v>
      </c>
      <c r="CA434" t="b">
        <f t="shared" si="333"/>
        <v>0</v>
      </c>
      <c r="CB434" t="str">
        <f t="shared" si="342"/>
        <v>G36</v>
      </c>
      <c r="CC434" t="str">
        <f t="shared" si="334"/>
        <v>R599</v>
      </c>
      <c r="CD434" t="b">
        <f t="shared" si="343"/>
        <v>0</v>
      </c>
      <c r="CE434" t="str">
        <f t="shared" si="344"/>
        <v>R599</v>
      </c>
      <c r="CI434" t="str">
        <f>AE433</f>
        <v>G720</v>
      </c>
      <c r="CJ434" t="str">
        <f t="shared" si="336"/>
        <v>G720</v>
      </c>
      <c r="CQ434" t="str">
        <f>AF433</f>
        <v>R392</v>
      </c>
      <c r="CR434" t="str">
        <f t="shared" si="338"/>
        <v>R392</v>
      </c>
      <c r="DC434" t="str">
        <f t="shared" si="339"/>
        <v>G720</v>
      </c>
      <c r="DD434" t="b">
        <f t="shared" si="349"/>
        <v>0</v>
      </c>
      <c r="DE434" t="str">
        <f t="shared" si="350"/>
        <v>G720</v>
      </c>
      <c r="DF434" t="str">
        <f t="shared" si="340"/>
        <v>R392</v>
      </c>
      <c r="DG434" t="b">
        <f t="shared" si="351"/>
        <v>0</v>
      </c>
      <c r="DH434" t="str">
        <f t="shared" si="352"/>
        <v>R392</v>
      </c>
    </row>
    <row r="435" spans="2:112" ht="12" customHeight="1">
      <c r="B435" t="str">
        <f>TBIDry!H507</f>
        <v>G56</v>
      </c>
      <c r="C435" t="str">
        <f>TBIDry!I507</f>
        <v>R256</v>
      </c>
      <c r="D435" t="b">
        <f t="shared" si="311"/>
        <v>0</v>
      </c>
      <c r="E435" t="b">
        <f t="shared" si="312"/>
        <v>0</v>
      </c>
      <c r="G435" t="str">
        <f>TBIWet!H507</f>
        <v>G560</v>
      </c>
      <c r="H435" t="str">
        <f>TBIWet!I507</f>
        <v>R130</v>
      </c>
      <c r="I435" t="b">
        <f t="shared" si="313"/>
        <v>0</v>
      </c>
      <c r="J435" t="b">
        <f t="shared" si="314"/>
        <v>0</v>
      </c>
      <c r="Q435" s="395" t="b">
        <f t="shared" si="316"/>
        <v>0</v>
      </c>
      <c r="R435" s="395" t="b">
        <f t="shared" si="317"/>
        <v>0</v>
      </c>
      <c r="Y435" t="str">
        <f>'Green_rooibos initial weight'!A436</f>
        <v>G432</v>
      </c>
      <c r="Z435" t="str">
        <f>'Green_rooibos initial weight'!A1340</f>
        <v>R432</v>
      </c>
      <c r="AA435" t="b">
        <f t="shared" si="318"/>
        <v>0</v>
      </c>
      <c r="AB435" t="b">
        <f t="shared" si="319"/>
        <v>0</v>
      </c>
      <c r="AE435" t="str">
        <f>'WetLitterbags placem_collection'!O214</f>
        <v>G560</v>
      </c>
      <c r="AF435" t="str">
        <f>'WetLitterbags placem_collection'!Q214</f>
        <v>R130</v>
      </c>
      <c r="AG435" t="b">
        <f t="shared" si="320"/>
        <v>0</v>
      </c>
      <c r="AH435" t="b">
        <f t="shared" si="321"/>
        <v>0</v>
      </c>
      <c r="AJ435" t="b">
        <f t="shared" si="322"/>
        <v>0</v>
      </c>
      <c r="AK435" t="b">
        <f t="shared" si="323"/>
        <v>0</v>
      </c>
      <c r="AM435" t="str">
        <f>IF(ISBLANK('Dry_Litterbag Placem_Collection'!L214),"","G"&amp;""&amp;'Dry_Litterbag Placem_Collection'!L214)</f>
        <v>G56</v>
      </c>
      <c r="AN435" t="str">
        <f>IF(ISBLANK('Dry_Litterbag Placem_Collection'!M214),"","R"&amp;""&amp;'Dry_Litterbag Placem_Collection'!M214)</f>
        <v>R256</v>
      </c>
      <c r="AO435" t="b">
        <f t="shared" si="324"/>
        <v>0</v>
      </c>
      <c r="AP435" t="b">
        <f t="shared" si="325"/>
        <v>0</v>
      </c>
      <c r="AX435" s="395" t="b">
        <f t="shared" si="326"/>
        <v>0</v>
      </c>
      <c r="AY435" s="395" t="b">
        <f t="shared" si="327"/>
        <v>0</v>
      </c>
      <c r="BH435" t="str">
        <f t="shared" si="329"/>
        <v>G434</v>
      </c>
      <c r="BI435" t="str">
        <f t="shared" si="341"/>
        <v>G434</v>
      </c>
      <c r="BP435" t="str">
        <f t="shared" si="330"/>
        <v>R670</v>
      </c>
      <c r="BQ435" t="str">
        <f t="shared" si="331"/>
        <v>R670</v>
      </c>
      <c r="BZ435" t="str">
        <f t="shared" si="332"/>
        <v>G434</v>
      </c>
      <c r="CA435" t="b">
        <f t="shared" si="333"/>
        <v>0</v>
      </c>
      <c r="CB435" t="str">
        <f t="shared" si="342"/>
        <v>G434</v>
      </c>
      <c r="CC435" t="str">
        <f t="shared" si="334"/>
        <v>R670</v>
      </c>
      <c r="CD435" t="b">
        <f t="shared" si="343"/>
        <v>0</v>
      </c>
      <c r="CE435" t="str">
        <f t="shared" si="344"/>
        <v>R670</v>
      </c>
      <c r="CI435" t="str">
        <f>AE434</f>
        <v>G796</v>
      </c>
      <c r="CJ435" t="str">
        <f t="shared" si="336"/>
        <v>G796</v>
      </c>
      <c r="CQ435" t="str">
        <f>AF434</f>
        <v>R589</v>
      </c>
      <c r="CR435" t="str">
        <f t="shared" si="338"/>
        <v>R589</v>
      </c>
      <c r="DC435" t="str">
        <f t="shared" si="339"/>
        <v>G796</v>
      </c>
      <c r="DD435" t="b">
        <f t="shared" si="349"/>
        <v>0</v>
      </c>
      <c r="DE435" t="str">
        <f t="shared" si="350"/>
        <v>G796</v>
      </c>
      <c r="DF435" t="str">
        <f t="shared" si="340"/>
        <v>R589</v>
      </c>
      <c r="DG435" t="b">
        <f t="shared" si="351"/>
        <v>0</v>
      </c>
      <c r="DH435" t="str">
        <f t="shared" si="352"/>
        <v>R589</v>
      </c>
    </row>
    <row r="436" spans="2:112" ht="12" customHeight="1">
      <c r="B436" t="str">
        <f>TBIDry!H508</f>
        <v>G363</v>
      </c>
      <c r="C436" t="str">
        <f>TBIDry!I508</f>
        <v>R658</v>
      </c>
      <c r="D436" t="b">
        <f t="shared" si="311"/>
        <v>0</v>
      </c>
      <c r="E436" t="b">
        <f t="shared" si="312"/>
        <v>0</v>
      </c>
      <c r="G436" t="str">
        <f>TBIWet!H508</f>
        <v>G716</v>
      </c>
      <c r="H436" t="str">
        <f>TBIWet!I508</f>
        <v>R111</v>
      </c>
      <c r="I436" t="b">
        <f t="shared" si="313"/>
        <v>0</v>
      </c>
      <c r="J436" t="b">
        <f t="shared" si="314"/>
        <v>0</v>
      </c>
      <c r="Q436" s="395" t="b">
        <f t="shared" si="316"/>
        <v>0</v>
      </c>
      <c r="R436" s="395" t="b">
        <f t="shared" si="317"/>
        <v>0</v>
      </c>
      <c r="Y436" t="str">
        <f>'Green_rooibos initial weight'!A437</f>
        <v>G433</v>
      </c>
      <c r="Z436" t="str">
        <f>'Green_rooibos initial weight'!A1341</f>
        <v>R433</v>
      </c>
      <c r="AA436" t="b">
        <f t="shared" si="318"/>
        <v>0</v>
      </c>
      <c r="AB436" t="b">
        <f t="shared" si="319"/>
        <v>0</v>
      </c>
      <c r="AE436" t="str">
        <f>'WetLitterbags placem_collection'!O215</f>
        <v>G716</v>
      </c>
      <c r="AF436" t="str">
        <f>'WetLitterbags placem_collection'!Q215</f>
        <v>R111</v>
      </c>
      <c r="AG436" t="b">
        <f t="shared" si="320"/>
        <v>0</v>
      </c>
      <c r="AH436" t="b">
        <f t="shared" si="321"/>
        <v>0</v>
      </c>
      <c r="AJ436" t="b">
        <f t="shared" si="322"/>
        <v>0</v>
      </c>
      <c r="AK436" t="b">
        <f t="shared" si="323"/>
        <v>0</v>
      </c>
      <c r="AM436" t="str">
        <f>IF(ISBLANK('Dry_Litterbag Placem_Collection'!L215),"","G"&amp;""&amp;'Dry_Litterbag Placem_Collection'!L215)</f>
        <v>G363</v>
      </c>
      <c r="AN436" t="str">
        <f>IF(ISBLANK('Dry_Litterbag Placem_Collection'!M215),"","R"&amp;""&amp;'Dry_Litterbag Placem_Collection'!M215)</f>
        <v>R658</v>
      </c>
      <c r="AO436" t="b">
        <f t="shared" si="324"/>
        <v>0</v>
      </c>
      <c r="AP436" t="b">
        <f t="shared" si="325"/>
        <v>0</v>
      </c>
      <c r="AX436" s="395" t="b">
        <f t="shared" si="326"/>
        <v>0</v>
      </c>
      <c r="AY436" s="395" t="b">
        <f t="shared" si="327"/>
        <v>0</v>
      </c>
      <c r="BH436" t="str">
        <f t="shared" si="329"/>
        <v>G56</v>
      </c>
      <c r="BI436" t="str">
        <f t="shared" si="341"/>
        <v>G56</v>
      </c>
      <c r="BP436" t="str">
        <f t="shared" si="330"/>
        <v>R256</v>
      </c>
      <c r="BQ436" t="str">
        <f t="shared" si="331"/>
        <v>R256</v>
      </c>
      <c r="BZ436" t="str">
        <f t="shared" si="332"/>
        <v>G56</v>
      </c>
      <c r="CA436" t="b">
        <f t="shared" si="333"/>
        <v>0</v>
      </c>
      <c r="CB436" t="str">
        <f t="shared" si="342"/>
        <v>G56</v>
      </c>
      <c r="CC436" t="str">
        <f t="shared" si="334"/>
        <v>R256</v>
      </c>
      <c r="CD436" t="b">
        <f t="shared" si="343"/>
        <v>0</v>
      </c>
      <c r="CE436" t="str">
        <f t="shared" si="344"/>
        <v>R256</v>
      </c>
      <c r="CI436" t="str">
        <f>AE435</f>
        <v>G560</v>
      </c>
      <c r="CJ436" t="str">
        <f t="shared" si="336"/>
        <v>G560</v>
      </c>
      <c r="CQ436" t="str">
        <f>AF435</f>
        <v>R130</v>
      </c>
      <c r="CR436" t="str">
        <f t="shared" si="338"/>
        <v>R130</v>
      </c>
      <c r="DC436" t="str">
        <f t="shared" si="339"/>
        <v>G560</v>
      </c>
      <c r="DD436" t="b">
        <f t="shared" si="349"/>
        <v>0</v>
      </c>
      <c r="DE436" t="str">
        <f t="shared" si="350"/>
        <v>G560</v>
      </c>
      <c r="DF436" t="str">
        <f t="shared" si="340"/>
        <v>R130</v>
      </c>
      <c r="DG436" t="b">
        <f t="shared" si="351"/>
        <v>0</v>
      </c>
      <c r="DH436" t="str">
        <f t="shared" si="352"/>
        <v>R130</v>
      </c>
    </row>
    <row r="437" spans="2:112" ht="12" customHeight="1">
      <c r="B437" t="str">
        <f>TBIDry!H509</f>
        <v>G5</v>
      </c>
      <c r="C437" t="str">
        <f>TBIDry!I509</f>
        <v>R699</v>
      </c>
      <c r="D437" t="b">
        <f t="shared" si="311"/>
        <v>0</v>
      </c>
      <c r="E437" t="b">
        <f t="shared" si="312"/>
        <v>0</v>
      </c>
      <c r="G437" t="str">
        <f>TBIWet!H509</f>
        <v>G581</v>
      </c>
      <c r="H437" t="str">
        <f>TBIWet!I509</f>
        <v>R412</v>
      </c>
      <c r="I437" t="b">
        <f t="shared" si="313"/>
        <v>0</v>
      </c>
      <c r="J437" t="b">
        <f t="shared" si="314"/>
        <v>0</v>
      </c>
      <c r="Q437" s="395" t="b">
        <f t="shared" si="316"/>
        <v>0</v>
      </c>
      <c r="R437" s="395" t="b">
        <f t="shared" si="317"/>
        <v>0</v>
      </c>
      <c r="Y437" t="str">
        <f>'Green_rooibos initial weight'!A438</f>
        <v>G434</v>
      </c>
      <c r="Z437" t="str">
        <f>'Green_rooibos initial weight'!A1342</f>
        <v>R434</v>
      </c>
      <c r="AA437" t="b">
        <f t="shared" si="318"/>
        <v>0</v>
      </c>
      <c r="AB437" t="b">
        <f t="shared" si="319"/>
        <v>0</v>
      </c>
      <c r="AE437" t="str">
        <f>'WetLitterbags placem_collection'!O216</f>
        <v>G581</v>
      </c>
      <c r="AF437" t="str">
        <f>'WetLitterbags placem_collection'!Q216</f>
        <v>R412</v>
      </c>
      <c r="AG437" t="b">
        <f t="shared" si="320"/>
        <v>0</v>
      </c>
      <c r="AH437" t="b">
        <f t="shared" si="321"/>
        <v>0</v>
      </c>
      <c r="AJ437" t="b">
        <f t="shared" si="322"/>
        <v>0</v>
      </c>
      <c r="AK437" t="b">
        <f t="shared" si="323"/>
        <v>0</v>
      </c>
      <c r="AM437" t="str">
        <f>IF(ISBLANK('Dry_Litterbag Placem_Collection'!L216),"","G"&amp;""&amp;'Dry_Litterbag Placem_Collection'!L216)</f>
        <v>G5</v>
      </c>
      <c r="AN437" t="str">
        <f>IF(ISBLANK('Dry_Litterbag Placem_Collection'!M216),"","R"&amp;""&amp;'Dry_Litterbag Placem_Collection'!M216)</f>
        <v>R699</v>
      </c>
      <c r="AO437" t="b">
        <f t="shared" si="324"/>
        <v>0</v>
      </c>
      <c r="AP437" t="b">
        <f t="shared" si="325"/>
        <v>0</v>
      </c>
      <c r="AX437" s="395" t="b">
        <f t="shared" si="326"/>
        <v>0</v>
      </c>
      <c r="AY437" s="395" t="b">
        <f t="shared" si="327"/>
        <v>0</v>
      </c>
      <c r="BH437" t="str">
        <f t="shared" si="329"/>
        <v>G363</v>
      </c>
      <c r="BI437" t="str">
        <f t="shared" si="341"/>
        <v>G363</v>
      </c>
      <c r="BP437" t="str">
        <f t="shared" si="330"/>
        <v>R658</v>
      </c>
      <c r="BQ437" t="str">
        <f t="shared" si="331"/>
        <v>R658</v>
      </c>
      <c r="BZ437" t="str">
        <f t="shared" si="332"/>
        <v>G363</v>
      </c>
      <c r="CA437" t="b">
        <f t="shared" si="333"/>
        <v>0</v>
      </c>
      <c r="CB437" t="str">
        <f t="shared" si="342"/>
        <v>G363</v>
      </c>
      <c r="CC437" t="str">
        <f t="shared" si="334"/>
        <v>R658</v>
      </c>
      <c r="CD437" t="b">
        <f t="shared" si="343"/>
        <v>0</v>
      </c>
      <c r="CE437" t="str">
        <f t="shared" si="344"/>
        <v>R658</v>
      </c>
      <c r="CI437" t="str">
        <f>AE436</f>
        <v>G716</v>
      </c>
      <c r="CJ437" t="str">
        <f t="shared" si="336"/>
        <v>G716</v>
      </c>
      <c r="CQ437" t="str">
        <f>AF436</f>
        <v>R111</v>
      </c>
      <c r="CR437" t="str">
        <f t="shared" si="338"/>
        <v>R111</v>
      </c>
      <c r="DC437" t="str">
        <f t="shared" si="339"/>
        <v>G716</v>
      </c>
      <c r="DD437" t="b">
        <f t="shared" si="349"/>
        <v>0</v>
      </c>
      <c r="DE437" t="str">
        <f t="shared" si="350"/>
        <v>G716</v>
      </c>
      <c r="DF437" t="str">
        <f t="shared" si="340"/>
        <v>R111</v>
      </c>
      <c r="DG437" t="b">
        <f t="shared" si="351"/>
        <v>0</v>
      </c>
      <c r="DH437" t="str">
        <f t="shared" si="352"/>
        <v>R111</v>
      </c>
    </row>
    <row r="438" spans="2:112" ht="12" customHeight="1">
      <c r="B438" t="str">
        <f>TBIDry!H510</f>
        <v>G771</v>
      </c>
      <c r="C438" t="str">
        <f>TBIDry!I510</f>
        <v>R663</v>
      </c>
      <c r="D438" t="b">
        <f t="shared" si="311"/>
        <v>0</v>
      </c>
      <c r="E438" t="b">
        <f t="shared" si="312"/>
        <v>0</v>
      </c>
      <c r="G438" t="str">
        <f>TBIWet!H510</f>
        <v>G718</v>
      </c>
      <c r="H438" t="str">
        <f>TBIWet!I510</f>
        <v>R434</v>
      </c>
      <c r="I438" t="b">
        <f t="shared" si="313"/>
        <v>0</v>
      </c>
      <c r="J438" t="b">
        <f t="shared" si="314"/>
        <v>0</v>
      </c>
      <c r="Q438" s="395" t="b">
        <f t="shared" si="316"/>
        <v>0</v>
      </c>
      <c r="R438" s="395" t="b">
        <f t="shared" si="317"/>
        <v>0</v>
      </c>
      <c r="Y438" t="str">
        <f>'Green_rooibos initial weight'!A439</f>
        <v>G435</v>
      </c>
      <c r="Z438" t="str">
        <f>'Green_rooibos initial weight'!A1343</f>
        <v>R435</v>
      </c>
      <c r="AA438" t="b">
        <f t="shared" si="318"/>
        <v>0</v>
      </c>
      <c r="AB438" t="b">
        <f t="shared" si="319"/>
        <v>0</v>
      </c>
      <c r="AE438" t="str">
        <f>'WetLitterbags placem_collection'!O217</f>
        <v>G718</v>
      </c>
      <c r="AF438" t="str">
        <f>'WetLitterbags placem_collection'!Q217</f>
        <v>R434</v>
      </c>
      <c r="AG438" t="b">
        <f t="shared" si="320"/>
        <v>0</v>
      </c>
      <c r="AH438" t="b">
        <f t="shared" si="321"/>
        <v>0</v>
      </c>
      <c r="AJ438" t="b">
        <f t="shared" si="322"/>
        <v>0</v>
      </c>
      <c r="AK438" t="b">
        <f t="shared" si="323"/>
        <v>0</v>
      </c>
      <c r="AM438" t="str">
        <f>IF(ISBLANK('Dry_Litterbag Placem_Collection'!L217),"","G"&amp;""&amp;'Dry_Litterbag Placem_Collection'!L217)</f>
        <v>G771</v>
      </c>
      <c r="AN438" t="str">
        <f>IF(ISBLANK('Dry_Litterbag Placem_Collection'!M217),"","R"&amp;""&amp;'Dry_Litterbag Placem_Collection'!M217)</f>
        <v>R663</v>
      </c>
      <c r="AO438" t="b">
        <f t="shared" si="324"/>
        <v>0</v>
      </c>
      <c r="AP438" t="b">
        <f t="shared" si="325"/>
        <v>0</v>
      </c>
      <c r="AX438" s="395" t="b">
        <f t="shared" si="326"/>
        <v>0</v>
      </c>
      <c r="AY438" s="395" t="b">
        <f t="shared" si="327"/>
        <v>0</v>
      </c>
      <c r="BH438" t="str">
        <f t="shared" si="329"/>
        <v>G5</v>
      </c>
      <c r="BI438" t="str">
        <f t="shared" si="341"/>
        <v>G5</v>
      </c>
      <c r="BP438" t="str">
        <f t="shared" si="330"/>
        <v>R699</v>
      </c>
      <c r="BQ438" t="str">
        <f t="shared" si="331"/>
        <v>R699</v>
      </c>
      <c r="BZ438" t="str">
        <f t="shared" si="332"/>
        <v>G5</v>
      </c>
      <c r="CA438" t="b">
        <f t="shared" si="333"/>
        <v>0</v>
      </c>
      <c r="CB438" t="str">
        <f t="shared" si="342"/>
        <v>G5</v>
      </c>
      <c r="CC438" t="str">
        <f t="shared" si="334"/>
        <v>R699</v>
      </c>
      <c r="CD438" t="b">
        <f t="shared" si="343"/>
        <v>0</v>
      </c>
      <c r="CE438" t="str">
        <f t="shared" si="344"/>
        <v>R699</v>
      </c>
      <c r="CI438" t="str">
        <f>AE437</f>
        <v>G581</v>
      </c>
      <c r="CJ438" t="str">
        <f t="shared" si="336"/>
        <v>G581</v>
      </c>
      <c r="CQ438" t="str">
        <f>AF437</f>
        <v>R412</v>
      </c>
      <c r="CR438" t="str">
        <f t="shared" si="338"/>
        <v>R412</v>
      </c>
      <c r="DC438" t="str">
        <f t="shared" si="339"/>
        <v>G581</v>
      </c>
      <c r="DD438" t="b">
        <f t="shared" si="349"/>
        <v>0</v>
      </c>
      <c r="DE438" t="str">
        <f t="shared" si="350"/>
        <v>G581</v>
      </c>
      <c r="DF438" t="str">
        <f t="shared" si="340"/>
        <v>R412</v>
      </c>
      <c r="DG438" t="b">
        <f t="shared" si="351"/>
        <v>0</v>
      </c>
      <c r="DH438" t="str">
        <f t="shared" si="352"/>
        <v>R412</v>
      </c>
    </row>
    <row r="439" spans="2:112" ht="12" customHeight="1">
      <c r="B439" t="str">
        <f>TBIDry!H511</f>
        <v>G361</v>
      </c>
      <c r="C439" t="str">
        <f>TBIDry!I511</f>
        <v>R622</v>
      </c>
      <c r="D439" t="b">
        <f t="shared" si="311"/>
        <v>0</v>
      </c>
      <c r="E439" t="b">
        <f t="shared" si="312"/>
        <v>0</v>
      </c>
      <c r="G439" t="str">
        <f>TBIWet!H511</f>
        <v>G613</v>
      </c>
      <c r="H439" t="str">
        <f>TBIWet!I511</f>
        <v>R457</v>
      </c>
      <c r="I439" t="b">
        <f t="shared" si="313"/>
        <v>0</v>
      </c>
      <c r="J439" t="b">
        <f t="shared" si="314"/>
        <v>0</v>
      </c>
      <c r="Q439" s="395" t="b">
        <f t="shared" si="316"/>
        <v>0</v>
      </c>
      <c r="R439" s="395" t="b">
        <f t="shared" si="317"/>
        <v>0</v>
      </c>
      <c r="Y439" t="str">
        <f>'Green_rooibos initial weight'!A440</f>
        <v>G436</v>
      </c>
      <c r="Z439" t="str">
        <f>'Green_rooibos initial weight'!A1344</f>
        <v>R436</v>
      </c>
      <c r="AA439" t="b">
        <f t="shared" si="318"/>
        <v>0</v>
      </c>
      <c r="AB439" t="b">
        <f t="shared" si="319"/>
        <v>0</v>
      </c>
      <c r="AE439" t="str">
        <f>'WetLitterbags placem_collection'!O218</f>
        <v>G613</v>
      </c>
      <c r="AF439" t="str">
        <f>'WetLitterbags placem_collection'!Q218</f>
        <v>R457</v>
      </c>
      <c r="AG439" t="b">
        <f t="shared" si="320"/>
        <v>0</v>
      </c>
      <c r="AH439" t="b">
        <f t="shared" si="321"/>
        <v>0</v>
      </c>
      <c r="AJ439" t="b">
        <f t="shared" si="322"/>
        <v>0</v>
      </c>
      <c r="AK439" t="b">
        <f t="shared" si="323"/>
        <v>0</v>
      </c>
      <c r="AM439" t="str">
        <f>IF(ISBLANK('Dry_Litterbag Placem_Collection'!L218),"","G"&amp;""&amp;'Dry_Litterbag Placem_Collection'!L218)</f>
        <v>G361</v>
      </c>
      <c r="AN439" t="str">
        <f>IF(ISBLANK('Dry_Litterbag Placem_Collection'!M218),"","R"&amp;""&amp;'Dry_Litterbag Placem_Collection'!M218)</f>
        <v>R622</v>
      </c>
      <c r="AO439" t="b">
        <f t="shared" si="324"/>
        <v>0</v>
      </c>
      <c r="AP439" t="b">
        <f t="shared" si="325"/>
        <v>0</v>
      </c>
      <c r="AX439" s="395" t="b">
        <f t="shared" si="326"/>
        <v>0</v>
      </c>
      <c r="AY439" s="395" t="b">
        <f t="shared" si="327"/>
        <v>0</v>
      </c>
      <c r="BH439" t="str">
        <f t="shared" si="329"/>
        <v>G771</v>
      </c>
      <c r="BI439" t="str">
        <f t="shared" si="341"/>
        <v>G771</v>
      </c>
      <c r="BP439" t="str">
        <f t="shared" si="330"/>
        <v>R663</v>
      </c>
      <c r="BQ439" t="str">
        <f t="shared" si="331"/>
        <v>R663</v>
      </c>
      <c r="BZ439" t="str">
        <f t="shared" si="332"/>
        <v>G771</v>
      </c>
      <c r="CA439" t="b">
        <f t="shared" si="333"/>
        <v>0</v>
      </c>
      <c r="CB439" t="str">
        <f t="shared" si="342"/>
        <v>G771</v>
      </c>
      <c r="CC439" t="str">
        <f t="shared" si="334"/>
        <v>R663</v>
      </c>
      <c r="CD439" t="b">
        <f t="shared" si="343"/>
        <v>0</v>
      </c>
      <c r="CE439" t="str">
        <f t="shared" si="344"/>
        <v>R663</v>
      </c>
      <c r="CI439" t="str">
        <f>AE438</f>
        <v>G718</v>
      </c>
      <c r="CJ439" t="str">
        <f t="shared" si="336"/>
        <v>G718</v>
      </c>
      <c r="CQ439" t="str">
        <f>AF438</f>
        <v>R434</v>
      </c>
      <c r="CR439" t="str">
        <f t="shared" si="338"/>
        <v>R434</v>
      </c>
      <c r="DC439" t="str">
        <f t="shared" si="339"/>
        <v>G718</v>
      </c>
      <c r="DD439" t="b">
        <f t="shared" si="349"/>
        <v>0</v>
      </c>
      <c r="DE439" t="str">
        <f t="shared" si="350"/>
        <v>G718</v>
      </c>
      <c r="DF439" t="str">
        <f t="shared" si="340"/>
        <v>R434</v>
      </c>
      <c r="DG439" t="b">
        <f t="shared" si="351"/>
        <v>0</v>
      </c>
      <c r="DH439" t="str">
        <f t="shared" si="352"/>
        <v>R434</v>
      </c>
    </row>
    <row r="440" spans="2:112" ht="12" customHeight="1">
      <c r="B440" t="str">
        <f>TBIDry!H512</f>
        <v>G204</v>
      </c>
      <c r="C440" t="str">
        <f>TBIDry!I512</f>
        <v>R608</v>
      </c>
      <c r="D440" t="b">
        <f t="shared" si="311"/>
        <v>0</v>
      </c>
      <c r="E440" t="b">
        <f t="shared" si="312"/>
        <v>0</v>
      </c>
      <c r="G440" t="str">
        <f>TBIWet!H512</f>
        <v>G804</v>
      </c>
      <c r="H440" t="str">
        <f>TBIWet!I512</f>
        <v>R410</v>
      </c>
      <c r="I440" t="b">
        <f t="shared" si="313"/>
        <v>0</v>
      </c>
      <c r="J440" t="b">
        <f t="shared" si="314"/>
        <v>0</v>
      </c>
      <c r="Q440" s="395" t="b">
        <f t="shared" si="316"/>
        <v>0</v>
      </c>
      <c r="R440" s="395" t="b">
        <f t="shared" si="317"/>
        <v>0</v>
      </c>
      <c r="Y440" t="str">
        <f>'Green_rooibos initial weight'!A441</f>
        <v>G437</v>
      </c>
      <c r="Z440" t="str">
        <f>'Green_rooibos initial weight'!A1345</f>
        <v>R437</v>
      </c>
      <c r="AA440" t="b">
        <f t="shared" si="318"/>
        <v>0</v>
      </c>
      <c r="AB440" t="b">
        <f t="shared" si="319"/>
        <v>0</v>
      </c>
      <c r="AE440" t="str">
        <f>'WetLitterbags placem_collection'!O219</f>
        <v>G804</v>
      </c>
      <c r="AF440" t="str">
        <f>'WetLitterbags placem_collection'!Q219</f>
        <v>R410</v>
      </c>
      <c r="AG440" t="b">
        <f t="shared" si="320"/>
        <v>0</v>
      </c>
      <c r="AH440" t="b">
        <f t="shared" si="321"/>
        <v>0</v>
      </c>
      <c r="AJ440" t="b">
        <f t="shared" si="322"/>
        <v>0</v>
      </c>
      <c r="AK440" t="b">
        <f t="shared" si="323"/>
        <v>0</v>
      </c>
      <c r="AM440" t="str">
        <f>IF(ISBLANK('Dry_Litterbag Placem_Collection'!L219),"","G"&amp;""&amp;'Dry_Litterbag Placem_Collection'!L219)</f>
        <v>G204</v>
      </c>
      <c r="AN440" t="str">
        <f>IF(ISBLANK('Dry_Litterbag Placem_Collection'!M219),"","R"&amp;""&amp;'Dry_Litterbag Placem_Collection'!M219)</f>
        <v>R608</v>
      </c>
      <c r="AO440" t="b">
        <f t="shared" si="324"/>
        <v>0</v>
      </c>
      <c r="AP440" t="b">
        <f t="shared" si="325"/>
        <v>0</v>
      </c>
      <c r="AX440" s="395" t="b">
        <f t="shared" si="326"/>
        <v>0</v>
      </c>
      <c r="AY440" s="395" t="b">
        <f t="shared" si="327"/>
        <v>0</v>
      </c>
      <c r="BH440" t="str">
        <f t="shared" si="329"/>
        <v>G361</v>
      </c>
      <c r="BI440" t="str">
        <f t="shared" si="341"/>
        <v>G361</v>
      </c>
      <c r="BP440" t="str">
        <f t="shared" si="330"/>
        <v>R622</v>
      </c>
      <c r="BQ440" t="str">
        <f t="shared" si="331"/>
        <v>R622</v>
      </c>
      <c r="BZ440" t="str">
        <f t="shared" si="332"/>
        <v>G361</v>
      </c>
      <c r="CA440" t="b">
        <f t="shared" si="333"/>
        <v>0</v>
      </c>
      <c r="CB440" t="str">
        <f t="shared" si="342"/>
        <v>G361</v>
      </c>
      <c r="CC440" t="str">
        <f t="shared" si="334"/>
        <v>R622</v>
      </c>
      <c r="CD440" t="b">
        <f t="shared" si="343"/>
        <v>0</v>
      </c>
      <c r="CE440" t="str">
        <f t="shared" si="344"/>
        <v>R622</v>
      </c>
      <c r="CI440" t="str">
        <f>AE439</f>
        <v>G613</v>
      </c>
      <c r="CJ440" t="str">
        <f t="shared" si="336"/>
        <v>G613</v>
      </c>
      <c r="CQ440" t="str">
        <f>AF439</f>
        <v>R457</v>
      </c>
      <c r="CR440" t="str">
        <f t="shared" si="338"/>
        <v>R457</v>
      </c>
      <c r="DC440" t="str">
        <f t="shared" si="339"/>
        <v>G613</v>
      </c>
      <c r="DD440" t="b">
        <f t="shared" si="349"/>
        <v>0</v>
      </c>
      <c r="DE440" t="str">
        <f t="shared" si="350"/>
        <v>G613</v>
      </c>
      <c r="DF440" t="str">
        <f t="shared" si="340"/>
        <v>R457</v>
      </c>
      <c r="DG440" t="b">
        <f t="shared" si="351"/>
        <v>0</v>
      </c>
      <c r="DH440" t="str">
        <f t="shared" si="352"/>
        <v>R457</v>
      </c>
    </row>
    <row r="441" spans="2:112" ht="12" customHeight="1">
      <c r="B441" t="str">
        <f>TBIDry!H513</f>
        <v>G170</v>
      </c>
      <c r="C441" t="str">
        <f>TBIDry!I513</f>
        <v>R639</v>
      </c>
      <c r="D441" t="b">
        <f t="shared" si="311"/>
        <v>0</v>
      </c>
      <c r="E441" t="b">
        <f t="shared" si="312"/>
        <v>0</v>
      </c>
      <c r="G441" t="str">
        <f>TBIWet!H513</f>
        <v>G587</v>
      </c>
      <c r="H441" t="str">
        <f>TBIWet!I513</f>
        <v>R103</v>
      </c>
      <c r="I441" t="b">
        <f t="shared" si="313"/>
        <v>0</v>
      </c>
      <c r="J441" t="b">
        <f t="shared" si="314"/>
        <v>0</v>
      </c>
      <c r="Q441" s="395" t="b">
        <f t="shared" si="316"/>
        <v>0</v>
      </c>
      <c r="R441" s="395" t="b">
        <f t="shared" si="317"/>
        <v>0</v>
      </c>
      <c r="Y441" t="str">
        <f>'Green_rooibos initial weight'!A442</f>
        <v>G438</v>
      </c>
      <c r="Z441" t="str">
        <f>'Green_rooibos initial weight'!A1346</f>
        <v>R438</v>
      </c>
      <c r="AA441" t="b">
        <f t="shared" si="318"/>
        <v>0</v>
      </c>
      <c r="AB441" t="b">
        <f t="shared" si="319"/>
        <v>0</v>
      </c>
      <c r="AE441" t="str">
        <f>'WetLitterbags placem_collection'!O220</f>
        <v>G587</v>
      </c>
      <c r="AF441" t="str">
        <f>'WetLitterbags placem_collection'!Q220</f>
        <v>R103</v>
      </c>
      <c r="AG441" t="b">
        <f t="shared" si="320"/>
        <v>0</v>
      </c>
      <c r="AH441" t="b">
        <f t="shared" si="321"/>
        <v>0</v>
      </c>
      <c r="AJ441" t="b">
        <f t="shared" si="322"/>
        <v>0</v>
      </c>
      <c r="AK441" t="b">
        <f t="shared" si="323"/>
        <v>0</v>
      </c>
      <c r="AM441" t="str">
        <f>IF(ISBLANK('Dry_Litterbag Placem_Collection'!L220),"","G"&amp;""&amp;'Dry_Litterbag Placem_Collection'!L220)</f>
        <v>G170</v>
      </c>
      <c r="AN441" t="str">
        <f>IF(ISBLANK('Dry_Litterbag Placem_Collection'!M220),"","R"&amp;""&amp;'Dry_Litterbag Placem_Collection'!M220)</f>
        <v>R639</v>
      </c>
      <c r="AO441" t="b">
        <f t="shared" si="324"/>
        <v>0</v>
      </c>
      <c r="AP441" t="b">
        <f t="shared" si="325"/>
        <v>0</v>
      </c>
      <c r="AX441" s="395" t="b">
        <f t="shared" si="326"/>
        <v>0</v>
      </c>
      <c r="AY441" s="395" t="b">
        <f t="shared" si="327"/>
        <v>0</v>
      </c>
      <c r="BH441" t="str">
        <f t="shared" si="329"/>
        <v>G204</v>
      </c>
      <c r="BI441" t="str">
        <f t="shared" si="341"/>
        <v>G204</v>
      </c>
      <c r="BP441" t="str">
        <f t="shared" si="330"/>
        <v>R608</v>
      </c>
      <c r="BQ441" t="str">
        <f t="shared" si="331"/>
        <v>R608</v>
      </c>
      <c r="BZ441" t="str">
        <f t="shared" si="332"/>
        <v>G204</v>
      </c>
      <c r="CA441" t="b">
        <f t="shared" si="333"/>
        <v>0</v>
      </c>
      <c r="CB441" t="str">
        <f t="shared" si="342"/>
        <v>G204</v>
      </c>
      <c r="CC441" t="str">
        <f t="shared" si="334"/>
        <v>R608</v>
      </c>
      <c r="CD441" t="b">
        <f t="shared" si="343"/>
        <v>0</v>
      </c>
      <c r="CE441" t="str">
        <f t="shared" si="344"/>
        <v>R608</v>
      </c>
      <c r="CI441" t="str">
        <f>AE440</f>
        <v>G804</v>
      </c>
      <c r="CJ441" t="str">
        <f t="shared" si="336"/>
        <v>G804</v>
      </c>
      <c r="CQ441" t="str">
        <f>AF440</f>
        <v>R410</v>
      </c>
      <c r="CR441" t="str">
        <f t="shared" si="338"/>
        <v>R410</v>
      </c>
      <c r="DC441" t="str">
        <f t="shared" si="339"/>
        <v>G804</v>
      </c>
      <c r="DD441" t="b">
        <f t="shared" si="349"/>
        <v>0</v>
      </c>
      <c r="DE441" t="str">
        <f t="shared" si="350"/>
        <v>G804</v>
      </c>
      <c r="DF441" t="str">
        <f t="shared" si="340"/>
        <v>R410</v>
      </c>
      <c r="DG441" t="b">
        <f t="shared" si="351"/>
        <v>0</v>
      </c>
      <c r="DH441" t="str">
        <f t="shared" si="352"/>
        <v>R410</v>
      </c>
    </row>
    <row r="442" spans="2:112" ht="12" customHeight="1">
      <c r="B442" t="str">
        <f>TBIDry!H514</f>
        <v>G123</v>
      </c>
      <c r="C442" t="str">
        <f>TBIDry!I514</f>
        <v>R246</v>
      </c>
      <c r="D442" t="b">
        <f t="shared" si="311"/>
        <v>0</v>
      </c>
      <c r="E442" t="b">
        <f t="shared" si="312"/>
        <v>0</v>
      </c>
      <c r="G442" t="str">
        <f>TBIWet!H514</f>
        <v>G491</v>
      </c>
      <c r="H442" t="str">
        <f>TBIWet!I514</f>
        <v>R356</v>
      </c>
      <c r="I442" t="b">
        <f t="shared" si="313"/>
        <v>0</v>
      </c>
      <c r="J442" t="b">
        <f t="shared" si="314"/>
        <v>0</v>
      </c>
      <c r="Q442" s="395" t="b">
        <f t="shared" si="316"/>
        <v>0</v>
      </c>
      <c r="R442" s="395" t="b">
        <f t="shared" si="317"/>
        <v>0</v>
      </c>
      <c r="Y442" t="str">
        <f>'Green_rooibos initial weight'!A443</f>
        <v>G439</v>
      </c>
      <c r="Z442" t="str">
        <f>'Green_rooibos initial weight'!A1347</f>
        <v>R439</v>
      </c>
      <c r="AA442" t="b">
        <f t="shared" si="318"/>
        <v>0</v>
      </c>
      <c r="AB442" t="b">
        <f t="shared" si="319"/>
        <v>0</v>
      </c>
      <c r="AE442" t="str">
        <f>'WetLitterbags placem_collection'!O221</f>
        <v>G491</v>
      </c>
      <c r="AF442" t="str">
        <f>'WetLitterbags placem_collection'!Q221</f>
        <v>R356</v>
      </c>
      <c r="AG442" t="b">
        <f t="shared" si="320"/>
        <v>0</v>
      </c>
      <c r="AH442" t="b">
        <f t="shared" si="321"/>
        <v>0</v>
      </c>
      <c r="AJ442" t="b">
        <f t="shared" si="322"/>
        <v>0</v>
      </c>
      <c r="AK442" t="b">
        <f t="shared" si="323"/>
        <v>0</v>
      </c>
      <c r="AM442" t="str">
        <f>IF(ISBLANK('Dry_Litterbag Placem_Collection'!L221),"","G"&amp;""&amp;'Dry_Litterbag Placem_Collection'!L221)</f>
        <v>G123</v>
      </c>
      <c r="AN442" t="str">
        <f>IF(ISBLANK('Dry_Litterbag Placem_Collection'!M221),"","R"&amp;""&amp;'Dry_Litterbag Placem_Collection'!M221)</f>
        <v>R246</v>
      </c>
      <c r="AO442" t="b">
        <f t="shared" si="324"/>
        <v>0</v>
      </c>
      <c r="AP442" t="b">
        <f t="shared" si="325"/>
        <v>0</v>
      </c>
      <c r="AX442" s="395" t="b">
        <f t="shared" si="326"/>
        <v>0</v>
      </c>
      <c r="AY442" s="395" t="b">
        <f t="shared" si="327"/>
        <v>0</v>
      </c>
      <c r="BH442" t="str">
        <f t="shared" si="329"/>
        <v>G170</v>
      </c>
      <c r="BI442" t="str">
        <f t="shared" si="341"/>
        <v>G170</v>
      </c>
      <c r="BP442" t="str">
        <f t="shared" si="330"/>
        <v>R639</v>
      </c>
      <c r="BQ442" t="str">
        <f t="shared" si="331"/>
        <v>R639</v>
      </c>
      <c r="BZ442" t="str">
        <f t="shared" si="332"/>
        <v>G170</v>
      </c>
      <c r="CA442" t="b">
        <f t="shared" si="333"/>
        <v>0</v>
      </c>
      <c r="CB442" t="str">
        <f t="shared" si="342"/>
        <v>G170</v>
      </c>
      <c r="CC442" t="str">
        <f t="shared" si="334"/>
        <v>R639</v>
      </c>
      <c r="CD442" t="b">
        <f t="shared" si="343"/>
        <v>0</v>
      </c>
      <c r="CE442" t="str">
        <f t="shared" si="344"/>
        <v>R639</v>
      </c>
      <c r="CI442" t="str">
        <f>AE441</f>
        <v>G587</v>
      </c>
      <c r="CJ442" t="str">
        <f t="shared" si="336"/>
        <v>G587</v>
      </c>
      <c r="CQ442" t="str">
        <f>AF441</f>
        <v>R103</v>
      </c>
      <c r="CR442" t="str">
        <f t="shared" si="338"/>
        <v>R103</v>
      </c>
      <c r="DC442" t="str">
        <f t="shared" si="339"/>
        <v>G587</v>
      </c>
      <c r="DD442" t="b">
        <f t="shared" si="349"/>
        <v>0</v>
      </c>
      <c r="DE442" t="str">
        <f t="shared" si="350"/>
        <v>G587</v>
      </c>
      <c r="DF442" t="str">
        <f t="shared" si="340"/>
        <v>R103</v>
      </c>
      <c r="DG442" t="b">
        <f t="shared" si="351"/>
        <v>0</v>
      </c>
      <c r="DH442" t="str">
        <f t="shared" si="352"/>
        <v>R103</v>
      </c>
    </row>
    <row r="443" spans="2:112" ht="12" customHeight="1">
      <c r="B443" t="str">
        <f>TBIDry!H515</f>
        <v>G53</v>
      </c>
      <c r="C443" t="str">
        <f>TBIDry!I515</f>
        <v>R672</v>
      </c>
      <c r="D443" t="b">
        <f t="shared" si="311"/>
        <v>0</v>
      </c>
      <c r="E443" t="b">
        <f t="shared" si="312"/>
        <v>0</v>
      </c>
      <c r="G443" t="str">
        <f>TBIWet!H515</f>
        <v>G849</v>
      </c>
      <c r="H443" t="str">
        <f>TBIWet!I515</f>
        <v>R319</v>
      </c>
      <c r="I443" t="b">
        <f t="shared" si="313"/>
        <v>0</v>
      </c>
      <c r="J443" t="b">
        <f t="shared" si="314"/>
        <v>0</v>
      </c>
      <c r="Q443" s="395" t="b">
        <f t="shared" si="316"/>
        <v>0</v>
      </c>
      <c r="R443" s="395" t="b">
        <f t="shared" si="317"/>
        <v>0</v>
      </c>
      <c r="Y443" t="str">
        <f>'Green_rooibos initial weight'!A444</f>
        <v>G440</v>
      </c>
      <c r="Z443" t="str">
        <f>'Green_rooibos initial weight'!A1348</f>
        <v>R440</v>
      </c>
      <c r="AA443" t="b">
        <f t="shared" si="318"/>
        <v>0</v>
      </c>
      <c r="AB443" t="b">
        <f t="shared" si="319"/>
        <v>0</v>
      </c>
      <c r="AE443" t="str">
        <f>'WetLitterbags placem_collection'!O222</f>
        <v>G849</v>
      </c>
      <c r="AF443" t="str">
        <f>'WetLitterbags placem_collection'!Q222</f>
        <v>R319</v>
      </c>
      <c r="AG443" t="b">
        <f t="shared" si="320"/>
        <v>0</v>
      </c>
      <c r="AH443" t="b">
        <f t="shared" si="321"/>
        <v>0</v>
      </c>
      <c r="AJ443" t="b">
        <f t="shared" si="322"/>
        <v>0</v>
      </c>
      <c r="AK443" t="b">
        <f t="shared" si="323"/>
        <v>0</v>
      </c>
      <c r="AM443" t="str">
        <f>IF(ISBLANK('Dry_Litterbag Placem_Collection'!L222),"","G"&amp;""&amp;'Dry_Litterbag Placem_Collection'!L222)</f>
        <v>G53</v>
      </c>
      <c r="AN443" t="str">
        <f>IF(ISBLANK('Dry_Litterbag Placem_Collection'!M222),"","R"&amp;""&amp;'Dry_Litterbag Placem_Collection'!M222)</f>
        <v>R672</v>
      </c>
      <c r="AO443" t="b">
        <f t="shared" si="324"/>
        <v>0</v>
      </c>
      <c r="AP443" t="b">
        <f t="shared" si="325"/>
        <v>0</v>
      </c>
      <c r="AX443" s="395" t="b">
        <f t="shared" si="326"/>
        <v>0</v>
      </c>
      <c r="AY443" s="395" t="b">
        <f t="shared" si="327"/>
        <v>0</v>
      </c>
      <c r="BH443" t="str">
        <f t="shared" si="329"/>
        <v>G123</v>
      </c>
      <c r="BI443" t="str">
        <f t="shared" si="341"/>
        <v>G123</v>
      </c>
      <c r="BP443" t="str">
        <f t="shared" si="330"/>
        <v>R246</v>
      </c>
      <c r="BQ443" t="str">
        <f t="shared" si="331"/>
        <v>R246</v>
      </c>
      <c r="BZ443" t="str">
        <f t="shared" si="332"/>
        <v>G123</v>
      </c>
      <c r="CA443" t="b">
        <f t="shared" si="333"/>
        <v>0</v>
      </c>
      <c r="CB443" t="str">
        <f t="shared" si="342"/>
        <v>G123</v>
      </c>
      <c r="CC443" t="str">
        <f t="shared" si="334"/>
        <v>R246</v>
      </c>
      <c r="CD443" t="b">
        <f t="shared" si="343"/>
        <v>0</v>
      </c>
      <c r="CE443" t="str">
        <f t="shared" si="344"/>
        <v>R246</v>
      </c>
      <c r="CI443" t="str">
        <f>AE442</f>
        <v>G491</v>
      </c>
      <c r="CJ443" t="str">
        <f t="shared" si="336"/>
        <v>G491</v>
      </c>
      <c r="CQ443" t="str">
        <f>AF442</f>
        <v>R356</v>
      </c>
      <c r="CR443" t="str">
        <f t="shared" si="338"/>
        <v>R356</v>
      </c>
      <c r="DC443" t="str">
        <f t="shared" si="339"/>
        <v>G491</v>
      </c>
      <c r="DD443" t="b">
        <f t="shared" si="349"/>
        <v>0</v>
      </c>
      <c r="DE443" t="str">
        <f t="shared" si="350"/>
        <v>G491</v>
      </c>
      <c r="DF443" t="str">
        <f t="shared" si="340"/>
        <v>R356</v>
      </c>
      <c r="DG443" t="b">
        <f t="shared" si="351"/>
        <v>0</v>
      </c>
      <c r="DH443" t="str">
        <f t="shared" si="352"/>
        <v>R356</v>
      </c>
    </row>
    <row r="444" spans="2:112" ht="12" customHeight="1">
      <c r="B444">
        <f>TBIDry!H516</f>
        <v>0</v>
      </c>
      <c r="C444">
        <f>TBIDry!I516</f>
        <v>0</v>
      </c>
      <c r="D444" t="b">
        <f t="shared" si="311"/>
        <v>1</v>
      </c>
      <c r="E444" t="b">
        <f t="shared" si="312"/>
        <v>1</v>
      </c>
      <c r="G444">
        <f>TBIWet!H516</f>
        <v>0</v>
      </c>
      <c r="H444">
        <f>TBIWet!I516</f>
        <v>0</v>
      </c>
      <c r="I444" t="b">
        <f t="shared" si="313"/>
        <v>1</v>
      </c>
      <c r="J444" t="b">
        <f t="shared" si="314"/>
        <v>1</v>
      </c>
      <c r="Q444" s="395" t="b">
        <f t="shared" si="316"/>
        <v>0</v>
      </c>
      <c r="R444" s="395" t="b">
        <f t="shared" si="317"/>
        <v>0</v>
      </c>
      <c r="Y444" t="str">
        <f>'Green_rooibos initial weight'!A445</f>
        <v>G441</v>
      </c>
      <c r="Z444" t="str">
        <f>'Green_rooibos initial weight'!A1349</f>
        <v>R441</v>
      </c>
      <c r="AA444" t="b">
        <f t="shared" si="318"/>
        <v>0</v>
      </c>
      <c r="AB444" t="b">
        <f t="shared" si="319"/>
        <v>0</v>
      </c>
      <c r="AJ444" t="b">
        <f t="shared" si="322"/>
        <v>0</v>
      </c>
      <c r="AK444" t="b">
        <f t="shared" si="323"/>
        <v>0</v>
      </c>
      <c r="AM444" t="str">
        <f>IF(ISBLANK('Dry_Litterbag Placem_Collection'!L223),"","G"&amp;""&amp;'Dry_Litterbag Placem_Collection'!L223)</f>
        <v/>
      </c>
      <c r="AN444" t="str">
        <f>IF(ISBLANK('Dry_Litterbag Placem_Collection'!M223),"","R"&amp;""&amp;'Dry_Litterbag Placem_Collection'!M223)</f>
        <v/>
      </c>
      <c r="AX444" s="395" t="b">
        <f t="shared" si="326"/>
        <v>0</v>
      </c>
      <c r="AY444" s="395" t="b">
        <f t="shared" si="327"/>
        <v>0</v>
      </c>
      <c r="BH444" t="str">
        <f t="shared" si="329"/>
        <v>G53</v>
      </c>
      <c r="BI444" t="str">
        <f t="shared" si="341"/>
        <v/>
      </c>
      <c r="BP444" t="str">
        <f t="shared" si="330"/>
        <v>R672</v>
      </c>
      <c r="BQ444" t="str">
        <f t="shared" si="331"/>
        <v/>
      </c>
      <c r="BZ444" t="str">
        <f t="shared" si="332"/>
        <v>G53</v>
      </c>
      <c r="CA444" t="b">
        <f t="shared" si="333"/>
        <v>1</v>
      </c>
      <c r="CB444" t="str">
        <f t="shared" si="342"/>
        <v/>
      </c>
      <c r="CC444" t="str">
        <f t="shared" si="334"/>
        <v>R672</v>
      </c>
      <c r="CD444" t="b">
        <f t="shared" si="343"/>
        <v>1</v>
      </c>
      <c r="CE444" t="str">
        <f t="shared" si="344"/>
        <v/>
      </c>
      <c r="CI444" t="str">
        <f>AE443</f>
        <v>G849</v>
      </c>
      <c r="CJ444" t="str">
        <f t="shared" si="336"/>
        <v>G849</v>
      </c>
      <c r="CQ444" t="str">
        <f>AF443</f>
        <v>R319</v>
      </c>
      <c r="CR444" t="str">
        <f t="shared" si="338"/>
        <v>R319</v>
      </c>
      <c r="DC444" t="str">
        <f t="shared" si="339"/>
        <v>G849</v>
      </c>
      <c r="DD444" t="b">
        <f t="shared" si="349"/>
        <v>0</v>
      </c>
      <c r="DE444" t="str">
        <f t="shared" si="350"/>
        <v>G849</v>
      </c>
      <c r="DF444" t="str">
        <f t="shared" si="340"/>
        <v>R319</v>
      </c>
      <c r="DG444" t="b">
        <f t="shared" si="351"/>
        <v>0</v>
      </c>
      <c r="DH444" t="str">
        <f t="shared" si="352"/>
        <v>R319</v>
      </c>
    </row>
    <row r="445" spans="2:112" ht="12" customHeight="1">
      <c r="B445">
        <f>TBIDry!H517</f>
        <v>0</v>
      </c>
      <c r="C445">
        <f>TBIDry!I517</f>
        <v>0</v>
      </c>
      <c r="D445" t="b">
        <f t="shared" si="311"/>
        <v>1</v>
      </c>
      <c r="E445" t="b">
        <f t="shared" si="312"/>
        <v>1</v>
      </c>
      <c r="G445">
        <f>TBIWet!H517</f>
        <v>0</v>
      </c>
      <c r="H445">
        <f>TBIWet!I517</f>
        <v>0</v>
      </c>
      <c r="I445" t="b">
        <f t="shared" si="313"/>
        <v>1</v>
      </c>
      <c r="J445" t="b">
        <f t="shared" si="314"/>
        <v>1</v>
      </c>
      <c r="Q445" s="395" t="b">
        <f t="shared" si="316"/>
        <v>0</v>
      </c>
      <c r="R445" s="395" t="b">
        <f t="shared" si="317"/>
        <v>0</v>
      </c>
      <c r="Y445" t="str">
        <f>'Green_rooibos initial weight'!A446</f>
        <v>G442</v>
      </c>
      <c r="Z445" t="str">
        <f>'Green_rooibos initial weight'!A1350</f>
        <v>R442</v>
      </c>
      <c r="AA445" t="b">
        <f t="shared" si="318"/>
        <v>0</v>
      </c>
      <c r="AB445" t="b">
        <f t="shared" si="319"/>
        <v>0</v>
      </c>
      <c r="AJ445" t="b">
        <f t="shared" si="322"/>
        <v>0</v>
      </c>
      <c r="AK445" t="b">
        <f t="shared" si="323"/>
        <v>0</v>
      </c>
      <c r="AM445" t="str">
        <f>IF(ISBLANK('Dry_Litterbag Placem_Collection'!L224),"","G"&amp;""&amp;'Dry_Litterbag Placem_Collection'!L224)</f>
        <v/>
      </c>
      <c r="AX445" s="395" t="b">
        <f t="shared" si="326"/>
        <v>0</v>
      </c>
      <c r="AY445" s="395" t="b">
        <f t="shared" si="327"/>
        <v>0</v>
      </c>
      <c r="BH445">
        <f t="shared" si="329"/>
        <v>0</v>
      </c>
      <c r="CA445" t="b">
        <f t="shared" si="333"/>
        <v>0</v>
      </c>
      <c r="CB445">
        <f t="shared" si="342"/>
        <v>0</v>
      </c>
      <c r="CD445" t="b">
        <f t="shared" si="343"/>
        <v>0</v>
      </c>
      <c r="CE445">
        <f t="shared" si="344"/>
        <v>0</v>
      </c>
      <c r="DC445">
        <f t="shared" ref="DC445:DC452" si="354">CI445</f>
        <v>0</v>
      </c>
    </row>
    <row r="446" spans="2:112" ht="12" customHeight="1">
      <c r="B446">
        <f>TBIDry!H518</f>
        <v>0</v>
      </c>
      <c r="C446">
        <f>TBIDry!I518</f>
        <v>0</v>
      </c>
      <c r="D446" t="b">
        <f t="shared" si="311"/>
        <v>1</v>
      </c>
      <c r="E446" t="b">
        <f t="shared" si="312"/>
        <v>1</v>
      </c>
      <c r="G446">
        <f>TBIWet!H518</f>
        <v>0</v>
      </c>
      <c r="H446">
        <f>TBIWet!I518</f>
        <v>0</v>
      </c>
      <c r="I446" t="b">
        <f t="shared" si="313"/>
        <v>1</v>
      </c>
      <c r="J446" t="b">
        <f t="shared" si="314"/>
        <v>1</v>
      </c>
      <c r="Q446" s="395" t="b">
        <f t="shared" si="316"/>
        <v>0</v>
      </c>
      <c r="R446" s="395" t="b">
        <f t="shared" si="317"/>
        <v>0</v>
      </c>
      <c r="Y446" t="str">
        <f>'Green_rooibos initial weight'!A447</f>
        <v>G443</v>
      </c>
      <c r="Z446" t="str">
        <f>'Green_rooibos initial weight'!A1351</f>
        <v>R443</v>
      </c>
      <c r="AA446" t="b">
        <f t="shared" si="318"/>
        <v>0</v>
      </c>
      <c r="AB446" t="b">
        <f t="shared" si="319"/>
        <v>0</v>
      </c>
      <c r="AJ446" t="b">
        <f t="shared" si="322"/>
        <v>0</v>
      </c>
      <c r="AK446" t="b">
        <f t="shared" si="323"/>
        <v>0</v>
      </c>
      <c r="AM446" t="str">
        <f>IF('Dry_Litterbag Placem_Collection'!L225=0,"",'Dry_Litterbag Placem_Collection'!L225)</f>
        <v/>
      </c>
      <c r="AX446" s="395" t="b">
        <f t="shared" si="326"/>
        <v>0</v>
      </c>
      <c r="AY446" s="395" t="b">
        <f t="shared" si="327"/>
        <v>0</v>
      </c>
      <c r="BH446">
        <f t="shared" si="329"/>
        <v>0</v>
      </c>
      <c r="BI446" t="str">
        <f>CB446</f>
        <v/>
      </c>
      <c r="CB446" t="str">
        <f t="shared" si="342"/>
        <v/>
      </c>
      <c r="CD446" t="b">
        <f t="shared" si="343"/>
        <v>0</v>
      </c>
      <c r="CE446">
        <f t="shared" si="344"/>
        <v>0</v>
      </c>
      <c r="DC446">
        <f t="shared" si="354"/>
        <v>0</v>
      </c>
    </row>
    <row r="447" spans="2:112" ht="12" customHeight="1">
      <c r="B447">
        <f>TBIDry!H519</f>
        <v>0</v>
      </c>
      <c r="C447">
        <f>TBIDry!I519</f>
        <v>0</v>
      </c>
      <c r="D447" t="b">
        <f t="shared" si="311"/>
        <v>1</v>
      </c>
      <c r="E447" t="b">
        <f t="shared" si="312"/>
        <v>1</v>
      </c>
      <c r="G447">
        <f>TBIWet!H519</f>
        <v>0</v>
      </c>
      <c r="H447">
        <f>TBIWet!I519</f>
        <v>0</v>
      </c>
      <c r="I447" t="b">
        <f t="shared" si="313"/>
        <v>1</v>
      </c>
      <c r="J447" t="b">
        <f t="shared" si="314"/>
        <v>1</v>
      </c>
      <c r="Q447" s="395" t="b">
        <f t="shared" si="316"/>
        <v>0</v>
      </c>
      <c r="R447" s="395" t="b">
        <f t="shared" si="317"/>
        <v>0</v>
      </c>
      <c r="Y447" t="str">
        <f>'Green_rooibos initial weight'!A448</f>
        <v>G444</v>
      </c>
      <c r="Z447" t="str">
        <f>'Green_rooibos initial weight'!A1352</f>
        <v>R444</v>
      </c>
      <c r="AA447" t="b">
        <f t="shared" si="318"/>
        <v>0</v>
      </c>
      <c r="AB447" t="b">
        <f t="shared" si="319"/>
        <v>0</v>
      </c>
      <c r="AJ447" t="b">
        <f t="shared" si="322"/>
        <v>0</v>
      </c>
      <c r="AK447" t="b">
        <f t="shared" si="323"/>
        <v>0</v>
      </c>
      <c r="AM447" t="str">
        <f>IF('Dry_Litterbag Placem_Collection'!L226=0,"",'Dry_Litterbag Placem_Collection'!L226)</f>
        <v/>
      </c>
      <c r="AX447" s="395" t="b">
        <f t="shared" si="326"/>
        <v>0</v>
      </c>
      <c r="AY447" s="395" t="b">
        <f t="shared" si="327"/>
        <v>0</v>
      </c>
      <c r="BH447">
        <f t="shared" si="329"/>
        <v>0</v>
      </c>
      <c r="DC447">
        <f t="shared" si="354"/>
        <v>0</v>
      </c>
    </row>
    <row r="448" spans="2:112" ht="12" customHeight="1">
      <c r="B448">
        <f>TBIDry!H520</f>
        <v>0</v>
      </c>
      <c r="C448">
        <f>TBIDry!I520</f>
        <v>0</v>
      </c>
      <c r="D448" t="b">
        <f t="shared" si="311"/>
        <v>1</v>
      </c>
      <c r="E448" t="b">
        <f t="shared" si="312"/>
        <v>1</v>
      </c>
      <c r="G448">
        <f>TBIWet!H520</f>
        <v>0</v>
      </c>
      <c r="H448">
        <f>TBIWet!I520</f>
        <v>0</v>
      </c>
      <c r="I448" t="b">
        <f t="shared" si="313"/>
        <v>1</v>
      </c>
      <c r="J448" t="b">
        <f t="shared" si="314"/>
        <v>1</v>
      </c>
      <c r="Q448" s="395" t="b">
        <f t="shared" si="316"/>
        <v>0</v>
      </c>
      <c r="R448" s="395" t="b">
        <f t="shared" si="317"/>
        <v>0</v>
      </c>
      <c r="Y448" t="str">
        <f>'Green_rooibos initial weight'!A449</f>
        <v>G445</v>
      </c>
      <c r="Z448" t="str">
        <f>'Green_rooibos initial weight'!A1353</f>
        <v>R445</v>
      </c>
      <c r="AA448" t="b">
        <f t="shared" si="318"/>
        <v>0</v>
      </c>
      <c r="AB448" t="b">
        <f t="shared" si="319"/>
        <v>0</v>
      </c>
      <c r="AJ448" t="b">
        <f t="shared" si="322"/>
        <v>0</v>
      </c>
      <c r="AK448" t="b">
        <f t="shared" si="323"/>
        <v>0</v>
      </c>
      <c r="AX448" s="395" t="b">
        <f t="shared" si="326"/>
        <v>0</v>
      </c>
      <c r="AY448" s="395" t="b">
        <f t="shared" si="327"/>
        <v>0</v>
      </c>
      <c r="BH448">
        <f t="shared" si="329"/>
        <v>0</v>
      </c>
      <c r="DC448">
        <f t="shared" si="354"/>
        <v>0</v>
      </c>
    </row>
    <row r="449" spans="2:107" ht="12" customHeight="1">
      <c r="B449">
        <f>TBIDry!H521</f>
        <v>0</v>
      </c>
      <c r="C449">
        <f>TBIDry!I521</f>
        <v>0</v>
      </c>
      <c r="D449" t="b">
        <f t="shared" si="311"/>
        <v>1</v>
      </c>
      <c r="E449" t="b">
        <f t="shared" si="312"/>
        <v>1</v>
      </c>
      <c r="G449">
        <f>TBIWet!H521</f>
        <v>0</v>
      </c>
      <c r="H449">
        <f>TBIWet!I521</f>
        <v>0</v>
      </c>
      <c r="I449" t="b">
        <f t="shared" si="313"/>
        <v>1</v>
      </c>
      <c r="J449" t="b">
        <f t="shared" si="314"/>
        <v>1</v>
      </c>
      <c r="Q449" s="395" t="b">
        <f t="shared" si="316"/>
        <v>0</v>
      </c>
      <c r="R449" s="395" t="b">
        <f t="shared" si="317"/>
        <v>0</v>
      </c>
      <c r="Y449" t="str">
        <f>'Green_rooibos initial weight'!A450</f>
        <v>G446</v>
      </c>
      <c r="Z449" t="str">
        <f>'Green_rooibos initial weight'!A1354</f>
        <v>R446</v>
      </c>
      <c r="AA449" t="b">
        <f t="shared" si="318"/>
        <v>0</v>
      </c>
      <c r="AB449" t="b">
        <f t="shared" si="319"/>
        <v>0</v>
      </c>
      <c r="AJ449" t="b">
        <f t="shared" si="322"/>
        <v>0</v>
      </c>
      <c r="AK449" t="b">
        <f t="shared" si="323"/>
        <v>0</v>
      </c>
      <c r="AX449" s="395" t="b">
        <f t="shared" si="326"/>
        <v>0</v>
      </c>
      <c r="AY449" s="395" t="b">
        <f t="shared" si="327"/>
        <v>0</v>
      </c>
      <c r="BH449">
        <f t="shared" si="329"/>
        <v>0</v>
      </c>
      <c r="DC449">
        <f t="shared" si="354"/>
        <v>0</v>
      </c>
    </row>
    <row r="450" spans="2:107" ht="12" customHeight="1">
      <c r="B450">
        <f>TBIDry!H522</f>
        <v>0</v>
      </c>
      <c r="C450">
        <f>TBIDry!I522</f>
        <v>0</v>
      </c>
      <c r="D450" t="b">
        <f t="shared" si="311"/>
        <v>1</v>
      </c>
      <c r="E450" t="b">
        <f t="shared" si="312"/>
        <v>1</v>
      </c>
      <c r="G450">
        <f>TBIWet!H522</f>
        <v>0</v>
      </c>
      <c r="H450">
        <f>TBIWet!I522</f>
        <v>0</v>
      </c>
      <c r="I450" t="b">
        <f t="shared" si="313"/>
        <v>1</v>
      </c>
      <c r="J450" t="b">
        <f t="shared" si="314"/>
        <v>1</v>
      </c>
      <c r="Q450" s="395" t="b">
        <f t="shared" si="316"/>
        <v>0</v>
      </c>
      <c r="R450" s="395" t="b">
        <f t="shared" si="317"/>
        <v>0</v>
      </c>
      <c r="Y450" t="str">
        <f>'Green_rooibos initial weight'!A451</f>
        <v>G447</v>
      </c>
      <c r="Z450" t="str">
        <f>'Green_rooibos initial weight'!A1355</f>
        <v>R447</v>
      </c>
      <c r="AA450" t="b">
        <f t="shared" si="318"/>
        <v>0</v>
      </c>
      <c r="AB450" t="b">
        <f t="shared" si="319"/>
        <v>0</v>
      </c>
      <c r="AJ450" t="b">
        <f t="shared" si="322"/>
        <v>0</v>
      </c>
      <c r="AK450" t="b">
        <f t="shared" si="323"/>
        <v>0</v>
      </c>
      <c r="AX450" s="395" t="b">
        <f t="shared" si="326"/>
        <v>0</v>
      </c>
      <c r="AY450" s="395" t="b">
        <f t="shared" si="327"/>
        <v>0</v>
      </c>
      <c r="BH450">
        <f t="shared" si="329"/>
        <v>0</v>
      </c>
      <c r="DC450">
        <f t="shared" si="354"/>
        <v>0</v>
      </c>
    </row>
    <row r="451" spans="2:107" ht="12" customHeight="1">
      <c r="B451">
        <f>TBIDry!H523</f>
        <v>0</v>
      </c>
      <c r="C451">
        <f>TBIDry!I523</f>
        <v>0</v>
      </c>
      <c r="D451" t="b">
        <f t="shared" si="311"/>
        <v>1</v>
      </c>
      <c r="E451" t="b">
        <f t="shared" si="312"/>
        <v>1</v>
      </c>
      <c r="G451">
        <f>TBIWet!H523</f>
        <v>0</v>
      </c>
      <c r="H451">
        <f>TBIWet!I523</f>
        <v>0</v>
      </c>
      <c r="I451" t="b">
        <f t="shared" si="313"/>
        <v>1</v>
      </c>
      <c r="J451" t="b">
        <f t="shared" si="314"/>
        <v>1</v>
      </c>
      <c r="Q451" s="395" t="b">
        <f t="shared" si="316"/>
        <v>0</v>
      </c>
      <c r="R451" s="395" t="b">
        <f t="shared" si="317"/>
        <v>0</v>
      </c>
      <c r="Y451" t="str">
        <f>'Green_rooibos initial weight'!A452</f>
        <v>G448</v>
      </c>
      <c r="Z451" t="str">
        <f>'Green_rooibos initial weight'!A1356</f>
        <v>R448</v>
      </c>
      <c r="AA451" t="b">
        <f t="shared" si="318"/>
        <v>0</v>
      </c>
      <c r="AB451" t="b">
        <f t="shared" si="319"/>
        <v>0</v>
      </c>
      <c r="AJ451" t="b">
        <f t="shared" si="322"/>
        <v>0</v>
      </c>
      <c r="AK451" t="b">
        <f t="shared" si="323"/>
        <v>0</v>
      </c>
      <c r="AX451" s="395" t="b">
        <f t="shared" si="326"/>
        <v>0</v>
      </c>
      <c r="AY451" s="395" t="b">
        <f t="shared" si="327"/>
        <v>0</v>
      </c>
      <c r="BH451">
        <f t="shared" si="329"/>
        <v>0</v>
      </c>
      <c r="DC451">
        <f t="shared" si="354"/>
        <v>0</v>
      </c>
    </row>
    <row r="452" spans="2:107" ht="12" customHeight="1">
      <c r="B452">
        <f>TBIDry!H524</f>
        <v>0</v>
      </c>
      <c r="C452">
        <f>TBIDry!I524</f>
        <v>0</v>
      </c>
      <c r="D452" t="b">
        <f t="shared" si="311"/>
        <v>1</v>
      </c>
      <c r="E452" t="b">
        <f t="shared" si="312"/>
        <v>1</v>
      </c>
      <c r="G452">
        <f>TBIWet!H524</f>
        <v>0</v>
      </c>
      <c r="H452">
        <f>TBIWet!I524</f>
        <v>0</v>
      </c>
      <c r="I452" t="b">
        <f t="shared" si="313"/>
        <v>1</v>
      </c>
      <c r="J452" t="b">
        <f t="shared" si="314"/>
        <v>1</v>
      </c>
      <c r="Q452" s="395" t="b">
        <f t="shared" si="316"/>
        <v>0</v>
      </c>
      <c r="R452" s="395" t="b">
        <f t="shared" si="317"/>
        <v>0</v>
      </c>
      <c r="Y452" t="str">
        <f>'Green_rooibos initial weight'!A453</f>
        <v>G449</v>
      </c>
      <c r="Z452" t="str">
        <f>'Green_rooibos initial weight'!A1357</f>
        <v>R449</v>
      </c>
      <c r="AA452" t="b">
        <f t="shared" si="318"/>
        <v>0</v>
      </c>
      <c r="AB452" t="b">
        <f t="shared" si="319"/>
        <v>0</v>
      </c>
      <c r="AX452" s="395" t="b">
        <f t="shared" si="326"/>
        <v>0</v>
      </c>
      <c r="AY452" s="395" t="b">
        <f t="shared" si="327"/>
        <v>0</v>
      </c>
      <c r="BH452">
        <f t="shared" si="329"/>
        <v>0</v>
      </c>
      <c r="DC452">
        <f t="shared" si="354"/>
        <v>0</v>
      </c>
    </row>
    <row r="453" spans="2:107" ht="12" customHeight="1">
      <c r="B453">
        <f>TBIDry!H525</f>
        <v>0</v>
      </c>
      <c r="C453">
        <f>TBIDry!I525</f>
        <v>0</v>
      </c>
      <c r="D453" t="b">
        <f t="shared" ref="D453:D516" si="355">COUNTIF($B$4:$B$2000, B453)&gt;1</f>
        <v>1</v>
      </c>
      <c r="E453" t="b">
        <f t="shared" ref="E453:E516" si="356">COUNTIF($C$4:$C$2000, C453)&gt;1</f>
        <v>1</v>
      </c>
      <c r="G453">
        <f>TBIWet!H525</f>
        <v>0</v>
      </c>
      <c r="H453">
        <f>TBIWet!I525</f>
        <v>0</v>
      </c>
      <c r="I453" t="b">
        <f t="shared" ref="I453:I454" si="357">COUNTIF($G$4:$G$2000, G453)&gt;1</f>
        <v>1</v>
      </c>
      <c r="J453" t="b">
        <f t="shared" ref="J453:J454" si="358">COUNTIF($H$4:$H$2000, H453)&gt;1</f>
        <v>1</v>
      </c>
      <c r="Q453" s="395" t="b">
        <f t="shared" ref="Q453:Q516" si="359">COUNTIF($T$4:$T$2000, L453)=1</f>
        <v>0</v>
      </c>
      <c r="R453" s="395" t="b">
        <f t="shared" ref="R453:R516" si="360" xml:space="preserve"> COUNTIF($U$4:$U$2000,M453)=1</f>
        <v>0</v>
      </c>
      <c r="Y453" t="str">
        <f>'Green_rooibos initial weight'!A454</f>
        <v>G450</v>
      </c>
      <c r="Z453" t="str">
        <f>'Green_rooibos initial weight'!A1358</f>
        <v>R450</v>
      </c>
      <c r="AA453" t="b">
        <f t="shared" ref="AA453:AA516" si="361">COUNTIF($Y$4:$Y$2000, Y453)&gt;1</f>
        <v>0</v>
      </c>
      <c r="AB453" t="b">
        <f t="shared" ref="AB453:AB516" si="362">COUNTIF($Z$4:$Z$2000, Z453)&gt;1</f>
        <v>0</v>
      </c>
      <c r="AX453" s="395" t="b">
        <f t="shared" ref="AX453:AX516" si="363">COUNTIF($BA$4:$BA$2000, AS453)=1</f>
        <v>0</v>
      </c>
      <c r="AY453" s="395" t="b">
        <f t="shared" ref="AY453:AY516" si="364">COUNTIF($BB$4:$BB$2000, AT453)=1</f>
        <v>0</v>
      </c>
      <c r="BH453">
        <f t="shared" ref="BH453:BH516" si="365">B452</f>
        <v>0</v>
      </c>
      <c r="DC453">
        <f t="shared" ref="DC453:DC478" si="366">CI453</f>
        <v>0</v>
      </c>
    </row>
    <row r="454" spans="2:107" ht="12" customHeight="1">
      <c r="B454">
        <f>TBIDry!H526</f>
        <v>0</v>
      </c>
      <c r="C454">
        <f>TBIDry!I526</f>
        <v>0</v>
      </c>
      <c r="D454" t="b">
        <f t="shared" si="355"/>
        <v>1</v>
      </c>
      <c r="E454" t="b">
        <f t="shared" si="356"/>
        <v>1</v>
      </c>
      <c r="G454">
        <f>TBIWet!H526</f>
        <v>0</v>
      </c>
      <c r="H454">
        <f>TBIWet!I526</f>
        <v>0</v>
      </c>
      <c r="I454" t="b">
        <f t="shared" si="357"/>
        <v>1</v>
      </c>
      <c r="J454" t="b">
        <f t="shared" si="358"/>
        <v>1</v>
      </c>
      <c r="Q454" s="395" t="b">
        <f t="shared" si="359"/>
        <v>0</v>
      </c>
      <c r="R454" s="395" t="b">
        <f t="shared" si="360"/>
        <v>0</v>
      </c>
      <c r="Y454" t="str">
        <f>'Green_rooibos initial weight'!A455</f>
        <v>G451</v>
      </c>
      <c r="Z454" t="str">
        <f>'Green_rooibos initial weight'!A1359</f>
        <v>R451</v>
      </c>
      <c r="AA454" t="b">
        <f t="shared" si="361"/>
        <v>0</v>
      </c>
      <c r="AB454" t="b">
        <f t="shared" si="362"/>
        <v>0</v>
      </c>
      <c r="AX454" s="395" t="b">
        <f t="shared" si="363"/>
        <v>0</v>
      </c>
      <c r="AY454" s="395" t="b">
        <f t="shared" si="364"/>
        <v>0</v>
      </c>
      <c r="BH454">
        <f t="shared" si="365"/>
        <v>0</v>
      </c>
      <c r="DC454">
        <f t="shared" si="366"/>
        <v>0</v>
      </c>
    </row>
    <row r="455" spans="2:107" ht="12" customHeight="1">
      <c r="B455">
        <f>TBIDry!H527</f>
        <v>0</v>
      </c>
      <c r="C455">
        <f>TBIDry!I527</f>
        <v>0</v>
      </c>
      <c r="D455" t="b">
        <f t="shared" si="355"/>
        <v>1</v>
      </c>
      <c r="E455" t="b">
        <f t="shared" si="356"/>
        <v>1</v>
      </c>
      <c r="Q455" s="395" t="b">
        <f t="shared" si="359"/>
        <v>0</v>
      </c>
      <c r="R455" s="395" t="b">
        <f t="shared" si="360"/>
        <v>0</v>
      </c>
      <c r="Y455" t="str">
        <f>'Green_rooibos initial weight'!A456</f>
        <v>G452</v>
      </c>
      <c r="Z455" t="str">
        <f>'Green_rooibos initial weight'!A1360</f>
        <v>R452</v>
      </c>
      <c r="AA455" t="b">
        <f t="shared" si="361"/>
        <v>0</v>
      </c>
      <c r="AB455" t="b">
        <f t="shared" si="362"/>
        <v>0</v>
      </c>
      <c r="AX455" s="395" t="b">
        <f t="shared" si="363"/>
        <v>0</v>
      </c>
      <c r="AY455" s="395" t="b">
        <f t="shared" si="364"/>
        <v>0</v>
      </c>
      <c r="BH455">
        <f t="shared" si="365"/>
        <v>0</v>
      </c>
      <c r="DC455">
        <f t="shared" si="366"/>
        <v>0</v>
      </c>
    </row>
    <row r="456" spans="2:107" ht="12" customHeight="1">
      <c r="B456">
        <f>TBIDry!H528</f>
        <v>0</v>
      </c>
      <c r="C456">
        <f>TBIDry!I528</f>
        <v>0</v>
      </c>
      <c r="D456" t="b">
        <f t="shared" si="355"/>
        <v>1</v>
      </c>
      <c r="E456" t="b">
        <f t="shared" si="356"/>
        <v>1</v>
      </c>
      <c r="Q456" s="395" t="b">
        <f t="shared" si="359"/>
        <v>0</v>
      </c>
      <c r="R456" s="395" t="b">
        <f t="shared" si="360"/>
        <v>0</v>
      </c>
      <c r="Y456" t="str">
        <f>'Green_rooibos initial weight'!A457</f>
        <v>G453</v>
      </c>
      <c r="Z456" t="str">
        <f>'Green_rooibos initial weight'!A1361</f>
        <v>R453</v>
      </c>
      <c r="AA456" t="b">
        <f t="shared" si="361"/>
        <v>0</v>
      </c>
      <c r="AB456" t="b">
        <f t="shared" si="362"/>
        <v>0</v>
      </c>
      <c r="AX456" s="395" t="b">
        <f t="shared" si="363"/>
        <v>0</v>
      </c>
      <c r="AY456" s="395" t="b">
        <f t="shared" si="364"/>
        <v>0</v>
      </c>
      <c r="BH456">
        <f t="shared" si="365"/>
        <v>0</v>
      </c>
      <c r="DC456">
        <f t="shared" si="366"/>
        <v>0</v>
      </c>
    </row>
    <row r="457" spans="2:107" ht="12" customHeight="1">
      <c r="B457">
        <f>TBIDry!H529</f>
        <v>0</v>
      </c>
      <c r="C457">
        <f>TBIDry!I529</f>
        <v>0</v>
      </c>
      <c r="D457" t="b">
        <f t="shared" si="355"/>
        <v>1</v>
      </c>
      <c r="E457" t="b">
        <f t="shared" si="356"/>
        <v>1</v>
      </c>
      <c r="Q457" s="395" t="b">
        <f t="shared" si="359"/>
        <v>0</v>
      </c>
      <c r="R457" s="395" t="b">
        <f t="shared" si="360"/>
        <v>0</v>
      </c>
      <c r="Y457" t="str">
        <f>'Green_rooibos initial weight'!A458</f>
        <v>G454</v>
      </c>
      <c r="Z457" t="str">
        <f>'Green_rooibos initial weight'!A1362</f>
        <v>R454</v>
      </c>
      <c r="AA457" t="b">
        <f t="shared" si="361"/>
        <v>0</v>
      </c>
      <c r="AB457" t="b">
        <f t="shared" si="362"/>
        <v>0</v>
      </c>
      <c r="AX457" s="395" t="b">
        <f t="shared" si="363"/>
        <v>0</v>
      </c>
      <c r="AY457" s="395" t="b">
        <f t="shared" si="364"/>
        <v>0</v>
      </c>
      <c r="BH457">
        <f t="shared" si="365"/>
        <v>0</v>
      </c>
      <c r="DC457">
        <f t="shared" si="366"/>
        <v>0</v>
      </c>
    </row>
    <row r="458" spans="2:107" ht="12" customHeight="1">
      <c r="B458">
        <f>TBIDry!H530</f>
        <v>0</v>
      </c>
      <c r="C458">
        <f>TBIDry!I530</f>
        <v>0</v>
      </c>
      <c r="D458" t="b">
        <f t="shared" si="355"/>
        <v>1</v>
      </c>
      <c r="E458" t="b">
        <f t="shared" si="356"/>
        <v>1</v>
      </c>
      <c r="Q458" s="395" t="b">
        <f t="shared" si="359"/>
        <v>0</v>
      </c>
      <c r="R458" s="395" t="b">
        <f t="shared" si="360"/>
        <v>0</v>
      </c>
      <c r="Y458" t="str">
        <f>'Green_rooibos initial weight'!A459</f>
        <v>G455</v>
      </c>
      <c r="Z458" t="str">
        <f>'Green_rooibos initial weight'!A1363</f>
        <v>R455</v>
      </c>
      <c r="AA458" t="b">
        <f t="shared" si="361"/>
        <v>0</v>
      </c>
      <c r="AB458" t="b">
        <f t="shared" si="362"/>
        <v>0</v>
      </c>
      <c r="AX458" s="395" t="b">
        <f t="shared" si="363"/>
        <v>0</v>
      </c>
      <c r="AY458" s="395" t="b">
        <f t="shared" si="364"/>
        <v>0</v>
      </c>
      <c r="BH458">
        <f t="shared" si="365"/>
        <v>0</v>
      </c>
      <c r="DC458">
        <f t="shared" si="366"/>
        <v>0</v>
      </c>
    </row>
    <row r="459" spans="2:107" ht="12" customHeight="1">
      <c r="B459">
        <f>TBIDry!H531</f>
        <v>0</v>
      </c>
      <c r="C459">
        <f>TBIDry!I531</f>
        <v>0</v>
      </c>
      <c r="D459" t="b">
        <f t="shared" si="355"/>
        <v>1</v>
      </c>
      <c r="E459" t="b">
        <f t="shared" si="356"/>
        <v>1</v>
      </c>
      <c r="Q459" s="395" t="b">
        <f t="shared" si="359"/>
        <v>0</v>
      </c>
      <c r="R459" s="395" t="b">
        <f t="shared" si="360"/>
        <v>0</v>
      </c>
      <c r="Y459" t="str">
        <f>'Green_rooibos initial weight'!A460</f>
        <v>G456</v>
      </c>
      <c r="Z459" t="str">
        <f>'Green_rooibos initial weight'!A1364</f>
        <v>R456</v>
      </c>
      <c r="AA459" t="b">
        <f t="shared" si="361"/>
        <v>0</v>
      </c>
      <c r="AB459" t="b">
        <f t="shared" si="362"/>
        <v>0</v>
      </c>
      <c r="AX459" s="395" t="b">
        <f t="shared" si="363"/>
        <v>0</v>
      </c>
      <c r="AY459" s="395" t="b">
        <f t="shared" si="364"/>
        <v>0</v>
      </c>
      <c r="BH459">
        <f t="shared" si="365"/>
        <v>0</v>
      </c>
      <c r="DC459">
        <f t="shared" si="366"/>
        <v>0</v>
      </c>
    </row>
    <row r="460" spans="2:107" ht="12" customHeight="1">
      <c r="B460">
        <f>TBIDry!H532</f>
        <v>0</v>
      </c>
      <c r="C460">
        <f>TBIDry!I532</f>
        <v>0</v>
      </c>
      <c r="D460" t="b">
        <f t="shared" si="355"/>
        <v>1</v>
      </c>
      <c r="E460" t="b">
        <f t="shared" si="356"/>
        <v>1</v>
      </c>
      <c r="Q460" s="395" t="b">
        <f t="shared" si="359"/>
        <v>0</v>
      </c>
      <c r="R460" s="395" t="b">
        <f t="shared" si="360"/>
        <v>0</v>
      </c>
      <c r="Y460" t="str">
        <f>'Green_rooibos initial weight'!A461</f>
        <v>G457</v>
      </c>
      <c r="Z460" t="str">
        <f>'Green_rooibos initial weight'!A1365</f>
        <v>R457</v>
      </c>
      <c r="AA460" t="b">
        <f t="shared" si="361"/>
        <v>0</v>
      </c>
      <c r="AB460" t="b">
        <f t="shared" si="362"/>
        <v>0</v>
      </c>
      <c r="AX460" s="395" t="b">
        <f t="shared" si="363"/>
        <v>0</v>
      </c>
      <c r="AY460" s="395" t="b">
        <f t="shared" si="364"/>
        <v>0</v>
      </c>
      <c r="BH460">
        <f t="shared" si="365"/>
        <v>0</v>
      </c>
      <c r="DC460">
        <f t="shared" si="366"/>
        <v>0</v>
      </c>
    </row>
    <row r="461" spans="2:107" ht="12" customHeight="1">
      <c r="B461">
        <f>TBIDry!H533</f>
        <v>0</v>
      </c>
      <c r="C461">
        <f>TBIDry!I533</f>
        <v>0</v>
      </c>
      <c r="D461" t="b">
        <f t="shared" si="355"/>
        <v>1</v>
      </c>
      <c r="E461" t="b">
        <f t="shared" si="356"/>
        <v>1</v>
      </c>
      <c r="Q461" s="395" t="b">
        <f t="shared" si="359"/>
        <v>0</v>
      </c>
      <c r="R461" s="395" t="b">
        <f t="shared" si="360"/>
        <v>0</v>
      </c>
      <c r="Y461" t="str">
        <f>'Green_rooibos initial weight'!A462</f>
        <v>G458</v>
      </c>
      <c r="Z461" t="str">
        <f>'Green_rooibos initial weight'!A1366</f>
        <v>R458</v>
      </c>
      <c r="AA461" t="b">
        <f t="shared" si="361"/>
        <v>0</v>
      </c>
      <c r="AB461" t="b">
        <f t="shared" si="362"/>
        <v>0</v>
      </c>
      <c r="AX461" s="395" t="b">
        <f t="shared" si="363"/>
        <v>0</v>
      </c>
      <c r="AY461" s="395" t="b">
        <f t="shared" si="364"/>
        <v>0</v>
      </c>
      <c r="BH461">
        <f t="shared" si="365"/>
        <v>0</v>
      </c>
      <c r="DC461">
        <f t="shared" si="366"/>
        <v>0</v>
      </c>
    </row>
    <row r="462" spans="2:107" ht="12" customHeight="1">
      <c r="B462">
        <f>TBIDry!H534</f>
        <v>0</v>
      </c>
      <c r="C462">
        <f>TBIDry!I534</f>
        <v>0</v>
      </c>
      <c r="D462" t="b">
        <f t="shared" si="355"/>
        <v>1</v>
      </c>
      <c r="E462" t="b">
        <f t="shared" si="356"/>
        <v>1</v>
      </c>
      <c r="Q462" s="395" t="b">
        <f t="shared" si="359"/>
        <v>0</v>
      </c>
      <c r="R462" s="395" t="b">
        <f t="shared" si="360"/>
        <v>0</v>
      </c>
      <c r="Y462" t="str">
        <f>'Green_rooibos initial weight'!A463</f>
        <v>G459</v>
      </c>
      <c r="Z462" t="str">
        <f>'Green_rooibos initial weight'!A1367</f>
        <v>R459</v>
      </c>
      <c r="AA462" t="b">
        <f t="shared" si="361"/>
        <v>0</v>
      </c>
      <c r="AB462" t="b">
        <f t="shared" si="362"/>
        <v>0</v>
      </c>
      <c r="AX462" s="395" t="b">
        <f t="shared" si="363"/>
        <v>0</v>
      </c>
      <c r="AY462" s="395" t="b">
        <f t="shared" si="364"/>
        <v>0</v>
      </c>
      <c r="BH462">
        <f t="shared" si="365"/>
        <v>0</v>
      </c>
      <c r="DC462">
        <f t="shared" si="366"/>
        <v>0</v>
      </c>
    </row>
    <row r="463" spans="2:107" ht="12" customHeight="1">
      <c r="B463">
        <f>TBIDry!H535</f>
        <v>0</v>
      </c>
      <c r="C463">
        <f>TBIDry!I535</f>
        <v>0</v>
      </c>
      <c r="D463" t="b">
        <f t="shared" si="355"/>
        <v>1</v>
      </c>
      <c r="E463" t="b">
        <f t="shared" si="356"/>
        <v>1</v>
      </c>
      <c r="Q463" s="395" t="b">
        <f t="shared" si="359"/>
        <v>0</v>
      </c>
      <c r="R463" s="395" t="b">
        <f t="shared" si="360"/>
        <v>0</v>
      </c>
      <c r="Y463" t="str">
        <f>'Green_rooibos initial weight'!A464</f>
        <v>G460</v>
      </c>
      <c r="Z463" t="str">
        <f>'Green_rooibos initial weight'!A1368</f>
        <v>R460</v>
      </c>
      <c r="AA463" t="b">
        <f t="shared" si="361"/>
        <v>0</v>
      </c>
      <c r="AB463" t="b">
        <f t="shared" si="362"/>
        <v>0</v>
      </c>
      <c r="AX463" s="395" t="b">
        <f t="shared" si="363"/>
        <v>0</v>
      </c>
      <c r="AY463" s="395" t="b">
        <f t="shared" si="364"/>
        <v>0</v>
      </c>
      <c r="BH463">
        <f t="shared" si="365"/>
        <v>0</v>
      </c>
      <c r="DC463">
        <f t="shared" si="366"/>
        <v>0</v>
      </c>
    </row>
    <row r="464" spans="2:107" ht="12" customHeight="1">
      <c r="B464">
        <f>TBIDry!H536</f>
        <v>0</v>
      </c>
      <c r="C464">
        <f>TBIDry!I536</f>
        <v>0</v>
      </c>
      <c r="D464" t="b">
        <f t="shared" si="355"/>
        <v>1</v>
      </c>
      <c r="E464" t="b">
        <f t="shared" si="356"/>
        <v>1</v>
      </c>
      <c r="Q464" s="395" t="b">
        <f t="shared" si="359"/>
        <v>0</v>
      </c>
      <c r="R464" s="395" t="b">
        <f t="shared" si="360"/>
        <v>0</v>
      </c>
      <c r="Y464" t="str">
        <f>'Green_rooibos initial weight'!A465</f>
        <v>G461</v>
      </c>
      <c r="Z464" t="str">
        <f>'Green_rooibos initial weight'!A1369</f>
        <v>R461</v>
      </c>
      <c r="AA464" t="b">
        <f t="shared" si="361"/>
        <v>0</v>
      </c>
      <c r="AB464" t="b">
        <f t="shared" si="362"/>
        <v>0</v>
      </c>
      <c r="AX464" s="395" t="b">
        <f t="shared" si="363"/>
        <v>0</v>
      </c>
      <c r="AY464" s="395" t="b">
        <f t="shared" si="364"/>
        <v>0</v>
      </c>
      <c r="BH464">
        <f t="shared" si="365"/>
        <v>0</v>
      </c>
      <c r="DC464">
        <f t="shared" si="366"/>
        <v>0</v>
      </c>
    </row>
    <row r="465" spans="2:107" ht="12" customHeight="1">
      <c r="B465">
        <f>TBIDry!H537</f>
        <v>0</v>
      </c>
      <c r="C465">
        <f>TBIDry!I537</f>
        <v>0</v>
      </c>
      <c r="D465" t="b">
        <f t="shared" si="355"/>
        <v>1</v>
      </c>
      <c r="E465" t="b">
        <f t="shared" si="356"/>
        <v>1</v>
      </c>
      <c r="Q465" s="395" t="b">
        <f t="shared" si="359"/>
        <v>0</v>
      </c>
      <c r="R465" s="395" t="b">
        <f t="shared" si="360"/>
        <v>0</v>
      </c>
      <c r="Y465" t="str">
        <f>'Green_rooibos initial weight'!A466</f>
        <v>G462</v>
      </c>
      <c r="Z465" t="str">
        <f>'Green_rooibos initial weight'!A1370</f>
        <v>R462</v>
      </c>
      <c r="AA465" t="b">
        <f t="shared" si="361"/>
        <v>0</v>
      </c>
      <c r="AB465" t="b">
        <f t="shared" si="362"/>
        <v>0</v>
      </c>
      <c r="AX465" s="395" t="b">
        <f t="shared" si="363"/>
        <v>0</v>
      </c>
      <c r="AY465" s="395" t="b">
        <f t="shared" si="364"/>
        <v>0</v>
      </c>
      <c r="BH465">
        <f t="shared" si="365"/>
        <v>0</v>
      </c>
      <c r="DC465">
        <f t="shared" si="366"/>
        <v>0</v>
      </c>
    </row>
    <row r="466" spans="2:107" ht="12" customHeight="1">
      <c r="B466">
        <f>TBIDry!H538</f>
        <v>0</v>
      </c>
      <c r="C466">
        <f>TBIDry!I538</f>
        <v>0</v>
      </c>
      <c r="D466" t="b">
        <f t="shared" si="355"/>
        <v>1</v>
      </c>
      <c r="E466" t="b">
        <f t="shared" si="356"/>
        <v>1</v>
      </c>
      <c r="Q466" s="395" t="b">
        <f t="shared" si="359"/>
        <v>0</v>
      </c>
      <c r="R466" s="395" t="b">
        <f t="shared" si="360"/>
        <v>0</v>
      </c>
      <c r="Y466" t="str">
        <f>'Green_rooibos initial weight'!A467</f>
        <v>G463</v>
      </c>
      <c r="Z466" t="str">
        <f>'Green_rooibos initial weight'!A1371</f>
        <v>R463</v>
      </c>
      <c r="AA466" t="b">
        <f t="shared" si="361"/>
        <v>0</v>
      </c>
      <c r="AB466" t="b">
        <f t="shared" si="362"/>
        <v>0</v>
      </c>
      <c r="AX466" s="395" t="b">
        <f t="shared" si="363"/>
        <v>0</v>
      </c>
      <c r="AY466" s="395" t="b">
        <f t="shared" si="364"/>
        <v>0</v>
      </c>
      <c r="BH466">
        <f t="shared" si="365"/>
        <v>0</v>
      </c>
      <c r="DC466">
        <f t="shared" si="366"/>
        <v>0</v>
      </c>
    </row>
    <row r="467" spans="2:107" ht="12" customHeight="1">
      <c r="B467">
        <f>TBIDry!H539</f>
        <v>0</v>
      </c>
      <c r="C467">
        <f>TBIDry!I539</f>
        <v>0</v>
      </c>
      <c r="D467" t="b">
        <f t="shared" si="355"/>
        <v>1</v>
      </c>
      <c r="E467" t="b">
        <f t="shared" si="356"/>
        <v>1</v>
      </c>
      <c r="Q467" s="395" t="b">
        <f t="shared" si="359"/>
        <v>0</v>
      </c>
      <c r="R467" s="395" t="b">
        <f t="shared" si="360"/>
        <v>0</v>
      </c>
      <c r="Y467" t="str">
        <f>'Green_rooibos initial weight'!A468</f>
        <v>G464</v>
      </c>
      <c r="Z467" t="str">
        <f>'Green_rooibos initial weight'!A1372</f>
        <v>R464</v>
      </c>
      <c r="AA467" t="b">
        <f t="shared" si="361"/>
        <v>0</v>
      </c>
      <c r="AB467" t="b">
        <f t="shared" si="362"/>
        <v>0</v>
      </c>
      <c r="AX467" s="395" t="b">
        <f t="shared" si="363"/>
        <v>0</v>
      </c>
      <c r="AY467" s="395" t="b">
        <f t="shared" si="364"/>
        <v>0</v>
      </c>
      <c r="BH467">
        <f t="shared" si="365"/>
        <v>0</v>
      </c>
      <c r="DC467">
        <f t="shared" si="366"/>
        <v>0</v>
      </c>
    </row>
    <row r="468" spans="2:107" ht="12" customHeight="1">
      <c r="B468">
        <f>TBIDry!H540</f>
        <v>0</v>
      </c>
      <c r="C468">
        <f>TBIDry!I540</f>
        <v>0</v>
      </c>
      <c r="D468" t="b">
        <f t="shared" si="355"/>
        <v>1</v>
      </c>
      <c r="E468" t="b">
        <f t="shared" si="356"/>
        <v>1</v>
      </c>
      <c r="Q468" s="395" t="b">
        <f t="shared" si="359"/>
        <v>0</v>
      </c>
      <c r="R468" s="395" t="b">
        <f t="shared" si="360"/>
        <v>0</v>
      </c>
      <c r="Y468" t="str">
        <f>'Green_rooibos initial weight'!A469</f>
        <v>G465</v>
      </c>
      <c r="Z468" t="str">
        <f>'Green_rooibos initial weight'!A1373</f>
        <v>R465</v>
      </c>
      <c r="AA468" t="b">
        <f t="shared" si="361"/>
        <v>0</v>
      </c>
      <c r="AB468" t="b">
        <f t="shared" si="362"/>
        <v>0</v>
      </c>
      <c r="AX468" s="395" t="b">
        <f t="shared" si="363"/>
        <v>0</v>
      </c>
      <c r="AY468" s="395" t="b">
        <f t="shared" si="364"/>
        <v>0</v>
      </c>
      <c r="BH468">
        <f t="shared" si="365"/>
        <v>0</v>
      </c>
      <c r="DC468">
        <f t="shared" si="366"/>
        <v>0</v>
      </c>
    </row>
    <row r="469" spans="2:107" ht="12" customHeight="1">
      <c r="B469">
        <f>TBIDry!H541</f>
        <v>0</v>
      </c>
      <c r="C469">
        <f>TBIDry!I541</f>
        <v>0</v>
      </c>
      <c r="D469" t="b">
        <f t="shared" si="355"/>
        <v>1</v>
      </c>
      <c r="E469" t="b">
        <f t="shared" si="356"/>
        <v>1</v>
      </c>
      <c r="Q469" s="395" t="b">
        <f t="shared" si="359"/>
        <v>0</v>
      </c>
      <c r="R469" s="395" t="b">
        <f t="shared" si="360"/>
        <v>0</v>
      </c>
      <c r="Y469" t="str">
        <f>'Green_rooibos initial weight'!A470</f>
        <v>G466</v>
      </c>
      <c r="Z469" t="str">
        <f>'Green_rooibos initial weight'!A1374</f>
        <v>R466</v>
      </c>
      <c r="AA469" t="b">
        <f t="shared" si="361"/>
        <v>0</v>
      </c>
      <c r="AB469" t="b">
        <f t="shared" si="362"/>
        <v>0</v>
      </c>
      <c r="AX469" s="395" t="b">
        <f t="shared" si="363"/>
        <v>0</v>
      </c>
      <c r="AY469" s="395" t="b">
        <f t="shared" si="364"/>
        <v>0</v>
      </c>
      <c r="BH469">
        <f t="shared" si="365"/>
        <v>0</v>
      </c>
      <c r="DC469">
        <f t="shared" si="366"/>
        <v>0</v>
      </c>
    </row>
    <row r="470" spans="2:107" ht="12" customHeight="1">
      <c r="B470">
        <f>TBIDry!H542</f>
        <v>0</v>
      </c>
      <c r="C470">
        <f>TBIDry!I542</f>
        <v>0</v>
      </c>
      <c r="D470" t="b">
        <f t="shared" si="355"/>
        <v>1</v>
      </c>
      <c r="E470" t="b">
        <f t="shared" si="356"/>
        <v>1</v>
      </c>
      <c r="Q470" s="395" t="b">
        <f t="shared" si="359"/>
        <v>0</v>
      </c>
      <c r="R470" s="395" t="b">
        <f t="shared" si="360"/>
        <v>0</v>
      </c>
      <c r="Y470" t="str">
        <f>'Green_rooibos initial weight'!A471</f>
        <v>G467</v>
      </c>
      <c r="Z470" t="str">
        <f>'Green_rooibos initial weight'!A1375</f>
        <v>R467</v>
      </c>
      <c r="AA470" t="b">
        <f t="shared" si="361"/>
        <v>0</v>
      </c>
      <c r="AB470" t="b">
        <f t="shared" si="362"/>
        <v>0</v>
      </c>
      <c r="AX470" s="395" t="b">
        <f t="shared" si="363"/>
        <v>0</v>
      </c>
      <c r="AY470" s="395" t="b">
        <f t="shared" si="364"/>
        <v>0</v>
      </c>
      <c r="BH470">
        <f t="shared" si="365"/>
        <v>0</v>
      </c>
      <c r="DC470">
        <f t="shared" si="366"/>
        <v>0</v>
      </c>
    </row>
    <row r="471" spans="2:107" ht="12" customHeight="1">
      <c r="B471">
        <f>TBIDry!H543</f>
        <v>0</v>
      </c>
      <c r="C471">
        <f>TBIDry!I543</f>
        <v>0</v>
      </c>
      <c r="D471" t="b">
        <f t="shared" si="355"/>
        <v>1</v>
      </c>
      <c r="E471" t="b">
        <f t="shared" si="356"/>
        <v>1</v>
      </c>
      <c r="Q471" s="395" t="b">
        <f t="shared" si="359"/>
        <v>0</v>
      </c>
      <c r="R471" s="395" t="b">
        <f t="shared" si="360"/>
        <v>0</v>
      </c>
      <c r="Y471" t="str">
        <f>'Green_rooibos initial weight'!A472</f>
        <v>G468</v>
      </c>
      <c r="Z471" t="str">
        <f>'Green_rooibos initial weight'!A1376</f>
        <v>R468</v>
      </c>
      <c r="AA471" t="b">
        <f t="shared" si="361"/>
        <v>0</v>
      </c>
      <c r="AB471" t="b">
        <f t="shared" si="362"/>
        <v>0</v>
      </c>
      <c r="AX471" s="395" t="b">
        <f t="shared" si="363"/>
        <v>0</v>
      </c>
      <c r="AY471" s="395" t="b">
        <f t="shared" si="364"/>
        <v>0</v>
      </c>
      <c r="BH471">
        <f t="shared" si="365"/>
        <v>0</v>
      </c>
      <c r="DC471">
        <f t="shared" si="366"/>
        <v>0</v>
      </c>
    </row>
    <row r="472" spans="2:107" ht="12" customHeight="1">
      <c r="B472">
        <f>TBIDry!H544</f>
        <v>0</v>
      </c>
      <c r="C472">
        <f>TBIDry!I544</f>
        <v>0</v>
      </c>
      <c r="D472" t="b">
        <f t="shared" si="355"/>
        <v>1</v>
      </c>
      <c r="E472" t="b">
        <f t="shared" si="356"/>
        <v>1</v>
      </c>
      <c r="Q472" s="395" t="b">
        <f t="shared" si="359"/>
        <v>0</v>
      </c>
      <c r="R472" s="395" t="b">
        <f t="shared" si="360"/>
        <v>0</v>
      </c>
      <c r="Y472" t="str">
        <f>'Green_rooibos initial weight'!A473</f>
        <v>G469</v>
      </c>
      <c r="Z472" t="str">
        <f>'Green_rooibos initial weight'!A1377</f>
        <v>R469</v>
      </c>
      <c r="AA472" t="b">
        <f t="shared" si="361"/>
        <v>0</v>
      </c>
      <c r="AB472" t="b">
        <f t="shared" si="362"/>
        <v>0</v>
      </c>
      <c r="AX472" s="395" t="b">
        <f t="shared" si="363"/>
        <v>0</v>
      </c>
      <c r="AY472" s="395" t="b">
        <f t="shared" si="364"/>
        <v>0</v>
      </c>
      <c r="BH472">
        <f t="shared" si="365"/>
        <v>0</v>
      </c>
      <c r="DC472">
        <f t="shared" si="366"/>
        <v>0</v>
      </c>
    </row>
    <row r="473" spans="2:107" ht="12" customHeight="1">
      <c r="B473">
        <f>TBIDry!H545</f>
        <v>0</v>
      </c>
      <c r="C473">
        <f>TBIDry!I545</f>
        <v>0</v>
      </c>
      <c r="D473" t="b">
        <f t="shared" si="355"/>
        <v>1</v>
      </c>
      <c r="E473" t="b">
        <f t="shared" si="356"/>
        <v>1</v>
      </c>
      <c r="Q473" s="395" t="b">
        <f t="shared" si="359"/>
        <v>0</v>
      </c>
      <c r="R473" s="395" t="b">
        <f t="shared" si="360"/>
        <v>0</v>
      </c>
      <c r="Y473" t="str">
        <f>'Green_rooibos initial weight'!A474</f>
        <v>G470</v>
      </c>
      <c r="Z473" t="str">
        <f>'Green_rooibos initial weight'!A1378</f>
        <v>R470</v>
      </c>
      <c r="AA473" t="b">
        <f t="shared" si="361"/>
        <v>0</v>
      </c>
      <c r="AB473" t="b">
        <f t="shared" si="362"/>
        <v>0</v>
      </c>
      <c r="AX473" s="395" t="b">
        <f t="shared" si="363"/>
        <v>0</v>
      </c>
      <c r="AY473" s="395" t="b">
        <f t="shared" si="364"/>
        <v>0</v>
      </c>
      <c r="BH473">
        <f t="shared" si="365"/>
        <v>0</v>
      </c>
      <c r="DC473">
        <f t="shared" si="366"/>
        <v>0</v>
      </c>
    </row>
    <row r="474" spans="2:107" ht="12" customHeight="1">
      <c r="B474">
        <f>TBIDry!H546</f>
        <v>0</v>
      </c>
      <c r="C474">
        <f>TBIDry!I546</f>
        <v>0</v>
      </c>
      <c r="D474" t="b">
        <f t="shared" si="355"/>
        <v>1</v>
      </c>
      <c r="E474" t="b">
        <f t="shared" si="356"/>
        <v>1</v>
      </c>
      <c r="Q474" s="395" t="b">
        <f t="shared" si="359"/>
        <v>0</v>
      </c>
      <c r="R474" s="395" t="b">
        <f t="shared" si="360"/>
        <v>0</v>
      </c>
      <c r="Y474" t="str">
        <f>'Green_rooibos initial weight'!A475</f>
        <v>G471</v>
      </c>
      <c r="Z474" t="str">
        <f>'Green_rooibos initial weight'!A1379</f>
        <v>R471</v>
      </c>
      <c r="AA474" t="b">
        <f t="shared" si="361"/>
        <v>0</v>
      </c>
      <c r="AB474" t="b">
        <f t="shared" si="362"/>
        <v>0</v>
      </c>
      <c r="AX474" s="395" t="b">
        <f t="shared" si="363"/>
        <v>0</v>
      </c>
      <c r="AY474" s="395" t="b">
        <f t="shared" si="364"/>
        <v>0</v>
      </c>
      <c r="BH474">
        <f t="shared" si="365"/>
        <v>0</v>
      </c>
      <c r="DC474">
        <f t="shared" si="366"/>
        <v>0</v>
      </c>
    </row>
    <row r="475" spans="2:107" ht="12" customHeight="1">
      <c r="B475">
        <f>TBIDry!H547</f>
        <v>0</v>
      </c>
      <c r="C475">
        <f>TBIDry!I547</f>
        <v>0</v>
      </c>
      <c r="D475" t="b">
        <f t="shared" si="355"/>
        <v>1</v>
      </c>
      <c r="E475" t="b">
        <f t="shared" si="356"/>
        <v>1</v>
      </c>
      <c r="Q475" s="395" t="b">
        <f t="shared" si="359"/>
        <v>0</v>
      </c>
      <c r="R475" s="395" t="b">
        <f t="shared" si="360"/>
        <v>0</v>
      </c>
      <c r="Y475" t="str">
        <f>'Green_rooibos initial weight'!A476</f>
        <v>G472</v>
      </c>
      <c r="Z475" t="str">
        <f>'Green_rooibos initial weight'!A1380</f>
        <v>R472</v>
      </c>
      <c r="AA475" t="b">
        <f t="shared" si="361"/>
        <v>0</v>
      </c>
      <c r="AB475" t="b">
        <f t="shared" si="362"/>
        <v>0</v>
      </c>
      <c r="AX475" s="395" t="b">
        <f t="shared" si="363"/>
        <v>0</v>
      </c>
      <c r="AY475" s="395" t="b">
        <f t="shared" si="364"/>
        <v>0</v>
      </c>
      <c r="BH475">
        <f t="shared" si="365"/>
        <v>0</v>
      </c>
      <c r="DC475">
        <f t="shared" si="366"/>
        <v>0</v>
      </c>
    </row>
    <row r="476" spans="2:107" ht="12" customHeight="1">
      <c r="B476">
        <f>TBIDry!H548</f>
        <v>0</v>
      </c>
      <c r="C476">
        <f>TBIDry!I548</f>
        <v>0</v>
      </c>
      <c r="D476" t="b">
        <f t="shared" si="355"/>
        <v>1</v>
      </c>
      <c r="E476" t="b">
        <f t="shared" si="356"/>
        <v>1</v>
      </c>
      <c r="Q476" s="395" t="b">
        <f t="shared" si="359"/>
        <v>0</v>
      </c>
      <c r="R476" s="395" t="b">
        <f t="shared" si="360"/>
        <v>0</v>
      </c>
      <c r="Y476" t="str">
        <f>'Green_rooibos initial weight'!A477</f>
        <v>G473</v>
      </c>
      <c r="Z476" t="str">
        <f>'Green_rooibos initial weight'!A1381</f>
        <v>R473</v>
      </c>
      <c r="AA476" t="b">
        <f t="shared" si="361"/>
        <v>0</v>
      </c>
      <c r="AB476" t="b">
        <f t="shared" si="362"/>
        <v>0</v>
      </c>
      <c r="AX476" s="395" t="b">
        <f t="shared" si="363"/>
        <v>0</v>
      </c>
      <c r="AY476" s="395" t="b">
        <f t="shared" si="364"/>
        <v>0</v>
      </c>
      <c r="BH476">
        <f t="shared" si="365"/>
        <v>0</v>
      </c>
      <c r="DC476">
        <f t="shared" si="366"/>
        <v>0</v>
      </c>
    </row>
    <row r="477" spans="2:107" ht="12" customHeight="1">
      <c r="B477">
        <f>TBIDry!H549</f>
        <v>0</v>
      </c>
      <c r="C477">
        <f>TBIDry!I549</f>
        <v>0</v>
      </c>
      <c r="D477" t="b">
        <f t="shared" si="355"/>
        <v>1</v>
      </c>
      <c r="E477" t="b">
        <f t="shared" si="356"/>
        <v>1</v>
      </c>
      <c r="Q477" s="395" t="b">
        <f t="shared" si="359"/>
        <v>0</v>
      </c>
      <c r="R477" s="395" t="b">
        <f t="shared" si="360"/>
        <v>0</v>
      </c>
      <c r="Y477" t="str">
        <f>'Green_rooibos initial weight'!A478</f>
        <v>G474</v>
      </c>
      <c r="Z477" t="str">
        <f>'Green_rooibos initial weight'!A1382</f>
        <v>R474</v>
      </c>
      <c r="AA477" t="b">
        <f t="shared" si="361"/>
        <v>0</v>
      </c>
      <c r="AB477" t="b">
        <f t="shared" si="362"/>
        <v>0</v>
      </c>
      <c r="AX477" s="395" t="b">
        <f t="shared" si="363"/>
        <v>0</v>
      </c>
      <c r="AY477" s="395" t="b">
        <f t="shared" si="364"/>
        <v>0</v>
      </c>
      <c r="BH477">
        <f t="shared" si="365"/>
        <v>0</v>
      </c>
      <c r="DC477">
        <f t="shared" si="366"/>
        <v>0</v>
      </c>
    </row>
    <row r="478" spans="2:107" ht="12" customHeight="1">
      <c r="B478">
        <f>TBIDry!H550</f>
        <v>0</v>
      </c>
      <c r="C478">
        <f>TBIDry!I550</f>
        <v>0</v>
      </c>
      <c r="D478" t="b">
        <f t="shared" si="355"/>
        <v>1</v>
      </c>
      <c r="E478" t="b">
        <f t="shared" si="356"/>
        <v>1</v>
      </c>
      <c r="Q478" s="395" t="b">
        <f t="shared" si="359"/>
        <v>0</v>
      </c>
      <c r="R478" s="395" t="b">
        <f t="shared" si="360"/>
        <v>0</v>
      </c>
      <c r="Y478" t="str">
        <f>'Green_rooibos initial weight'!A479</f>
        <v>G475</v>
      </c>
      <c r="Z478" t="str">
        <f>'Green_rooibos initial weight'!A1383</f>
        <v>R475</v>
      </c>
      <c r="AA478" t="b">
        <f t="shared" si="361"/>
        <v>0</v>
      </c>
      <c r="AB478" t="b">
        <f t="shared" si="362"/>
        <v>0</v>
      </c>
      <c r="AX478" s="395" t="b">
        <f t="shared" si="363"/>
        <v>0</v>
      </c>
      <c r="AY478" s="395" t="b">
        <f t="shared" si="364"/>
        <v>0</v>
      </c>
      <c r="BH478">
        <f t="shared" si="365"/>
        <v>0</v>
      </c>
      <c r="DC478">
        <f t="shared" si="366"/>
        <v>0</v>
      </c>
    </row>
    <row r="479" spans="2:107" ht="12" customHeight="1">
      <c r="B479">
        <f>TBIDry!H551</f>
        <v>0</v>
      </c>
      <c r="C479">
        <f>TBIDry!I551</f>
        <v>0</v>
      </c>
      <c r="D479" t="b">
        <f t="shared" si="355"/>
        <v>1</v>
      </c>
      <c r="E479" t="b">
        <f t="shared" si="356"/>
        <v>1</v>
      </c>
      <c r="Q479" s="395" t="b">
        <f t="shared" si="359"/>
        <v>0</v>
      </c>
      <c r="R479" s="395" t="b">
        <f t="shared" si="360"/>
        <v>0</v>
      </c>
      <c r="Y479" t="str">
        <f>'Green_rooibos initial weight'!A480</f>
        <v>G476</v>
      </c>
      <c r="Z479" t="str">
        <f>'Green_rooibos initial weight'!A1384</f>
        <v>R476</v>
      </c>
      <c r="AA479" t="b">
        <f t="shared" si="361"/>
        <v>0</v>
      </c>
      <c r="AB479" t="b">
        <f t="shared" si="362"/>
        <v>0</v>
      </c>
      <c r="AX479" s="395" t="b">
        <f t="shared" si="363"/>
        <v>0</v>
      </c>
      <c r="AY479" s="395" t="b">
        <f t="shared" si="364"/>
        <v>0</v>
      </c>
      <c r="BH479">
        <f t="shared" si="365"/>
        <v>0</v>
      </c>
    </row>
    <row r="480" spans="2:107" ht="12" customHeight="1">
      <c r="B480">
        <f>TBIDry!H552</f>
        <v>0</v>
      </c>
      <c r="C480">
        <f>TBIDry!I552</f>
        <v>0</v>
      </c>
      <c r="D480" t="b">
        <f t="shared" si="355"/>
        <v>1</v>
      </c>
      <c r="E480" t="b">
        <f t="shared" si="356"/>
        <v>1</v>
      </c>
      <c r="Q480" s="395" t="b">
        <f t="shared" si="359"/>
        <v>0</v>
      </c>
      <c r="R480" s="395" t="b">
        <f t="shared" si="360"/>
        <v>0</v>
      </c>
      <c r="Y480" t="str">
        <f>'Green_rooibos initial weight'!A481</f>
        <v>G477</v>
      </c>
      <c r="Z480" t="str">
        <f>'Green_rooibos initial weight'!A1385</f>
        <v>R477</v>
      </c>
      <c r="AA480" t="b">
        <f t="shared" si="361"/>
        <v>0</v>
      </c>
      <c r="AB480" t="b">
        <f t="shared" si="362"/>
        <v>0</v>
      </c>
      <c r="AX480" s="395" t="b">
        <f t="shared" si="363"/>
        <v>0</v>
      </c>
      <c r="AY480" s="395" t="b">
        <f t="shared" si="364"/>
        <v>0</v>
      </c>
      <c r="BH480">
        <f t="shared" si="365"/>
        <v>0</v>
      </c>
    </row>
    <row r="481" spans="2:60" ht="12" customHeight="1">
      <c r="B481">
        <f>TBIDry!H553</f>
        <v>0</v>
      </c>
      <c r="C481">
        <f>TBIDry!I553</f>
        <v>0</v>
      </c>
      <c r="D481" t="b">
        <f t="shared" si="355"/>
        <v>1</v>
      </c>
      <c r="E481" t="b">
        <f t="shared" si="356"/>
        <v>1</v>
      </c>
      <c r="Q481" s="395" t="b">
        <f t="shared" si="359"/>
        <v>0</v>
      </c>
      <c r="R481" s="395" t="b">
        <f t="shared" si="360"/>
        <v>0</v>
      </c>
      <c r="Y481" t="str">
        <f>'Green_rooibos initial weight'!A482</f>
        <v>G478</v>
      </c>
      <c r="Z481" t="str">
        <f>'Green_rooibos initial weight'!A1386</f>
        <v>R478</v>
      </c>
      <c r="AA481" t="b">
        <f t="shared" si="361"/>
        <v>0</v>
      </c>
      <c r="AB481" t="b">
        <f t="shared" si="362"/>
        <v>0</v>
      </c>
      <c r="AX481" s="395" t="b">
        <f t="shared" si="363"/>
        <v>0</v>
      </c>
      <c r="AY481" s="395" t="b">
        <f t="shared" si="364"/>
        <v>0</v>
      </c>
      <c r="BH481">
        <f t="shared" si="365"/>
        <v>0</v>
      </c>
    </row>
    <row r="482" spans="2:60" ht="12" customHeight="1">
      <c r="B482">
        <f>TBIDry!H554</f>
        <v>0</v>
      </c>
      <c r="C482">
        <f>TBIDry!I554</f>
        <v>0</v>
      </c>
      <c r="D482" t="b">
        <f t="shared" si="355"/>
        <v>1</v>
      </c>
      <c r="E482" t="b">
        <f t="shared" si="356"/>
        <v>1</v>
      </c>
      <c r="Q482" s="395" t="b">
        <f t="shared" si="359"/>
        <v>0</v>
      </c>
      <c r="R482" s="395" t="b">
        <f t="shared" si="360"/>
        <v>0</v>
      </c>
      <c r="Y482" t="str">
        <f>'Green_rooibos initial weight'!A483</f>
        <v>G479</v>
      </c>
      <c r="Z482" t="str">
        <f>'Green_rooibos initial weight'!A1387</f>
        <v>R479</v>
      </c>
      <c r="AA482" t="b">
        <f t="shared" si="361"/>
        <v>0</v>
      </c>
      <c r="AB482" t="b">
        <f t="shared" si="362"/>
        <v>0</v>
      </c>
      <c r="AX482" s="395" t="b">
        <f t="shared" si="363"/>
        <v>0</v>
      </c>
      <c r="AY482" s="395" t="b">
        <f t="shared" si="364"/>
        <v>0</v>
      </c>
      <c r="BH482">
        <f t="shared" si="365"/>
        <v>0</v>
      </c>
    </row>
    <row r="483" spans="2:60" ht="12" customHeight="1">
      <c r="B483">
        <f>TBIDry!H555</f>
        <v>0</v>
      </c>
      <c r="C483">
        <f>TBIDry!I555</f>
        <v>0</v>
      </c>
      <c r="D483" t="b">
        <f t="shared" si="355"/>
        <v>1</v>
      </c>
      <c r="E483" t="b">
        <f t="shared" si="356"/>
        <v>1</v>
      </c>
      <c r="Q483" s="395" t="b">
        <f t="shared" si="359"/>
        <v>0</v>
      </c>
      <c r="R483" s="395" t="b">
        <f t="shared" si="360"/>
        <v>0</v>
      </c>
      <c r="Y483" t="str">
        <f>'Green_rooibos initial weight'!A484</f>
        <v>G480</v>
      </c>
      <c r="Z483" t="str">
        <f>'Green_rooibos initial weight'!A1388</f>
        <v>R480</v>
      </c>
      <c r="AA483" t="b">
        <f t="shared" si="361"/>
        <v>0</v>
      </c>
      <c r="AB483" t="b">
        <f t="shared" si="362"/>
        <v>0</v>
      </c>
      <c r="AX483" s="395" t="b">
        <f t="shared" si="363"/>
        <v>0</v>
      </c>
      <c r="AY483" s="395" t="b">
        <f t="shared" si="364"/>
        <v>0</v>
      </c>
      <c r="BH483">
        <f t="shared" si="365"/>
        <v>0</v>
      </c>
    </row>
    <row r="484" spans="2:60" ht="12" customHeight="1">
      <c r="B484">
        <f>TBIDry!H556</f>
        <v>0</v>
      </c>
      <c r="C484">
        <f>TBIDry!I556</f>
        <v>0</v>
      </c>
      <c r="D484" t="b">
        <f t="shared" si="355"/>
        <v>1</v>
      </c>
      <c r="E484" t="b">
        <f t="shared" si="356"/>
        <v>1</v>
      </c>
      <c r="Q484" s="395" t="b">
        <f t="shared" si="359"/>
        <v>0</v>
      </c>
      <c r="R484" s="395" t="b">
        <f t="shared" si="360"/>
        <v>0</v>
      </c>
      <c r="Y484" t="str">
        <f>'Green_rooibos initial weight'!A485</f>
        <v>G481</v>
      </c>
      <c r="Z484" t="str">
        <f>'Green_rooibos initial weight'!A1389</f>
        <v>R481</v>
      </c>
      <c r="AA484" t="b">
        <f t="shared" si="361"/>
        <v>0</v>
      </c>
      <c r="AB484" t="b">
        <f t="shared" si="362"/>
        <v>0</v>
      </c>
      <c r="AX484" s="395" t="b">
        <f t="shared" si="363"/>
        <v>0</v>
      </c>
      <c r="AY484" s="395" t="b">
        <f t="shared" si="364"/>
        <v>0</v>
      </c>
      <c r="BH484">
        <f t="shared" si="365"/>
        <v>0</v>
      </c>
    </row>
    <row r="485" spans="2:60" ht="12" customHeight="1">
      <c r="B485">
        <f>TBIDry!H557</f>
        <v>0</v>
      </c>
      <c r="C485">
        <f>TBIDry!I557</f>
        <v>0</v>
      </c>
      <c r="D485" t="b">
        <f t="shared" si="355"/>
        <v>1</v>
      </c>
      <c r="E485" t="b">
        <f t="shared" si="356"/>
        <v>1</v>
      </c>
      <c r="Q485" s="395" t="b">
        <f t="shared" si="359"/>
        <v>0</v>
      </c>
      <c r="R485" s="395" t="b">
        <f t="shared" si="360"/>
        <v>0</v>
      </c>
      <c r="Y485" t="str">
        <f>'Green_rooibos initial weight'!A486</f>
        <v>G482</v>
      </c>
      <c r="Z485" t="str">
        <f>'Green_rooibos initial weight'!A1390</f>
        <v>R482</v>
      </c>
      <c r="AA485" t="b">
        <f t="shared" si="361"/>
        <v>0</v>
      </c>
      <c r="AB485" t="b">
        <f t="shared" si="362"/>
        <v>0</v>
      </c>
      <c r="AX485" s="395" t="b">
        <f t="shared" si="363"/>
        <v>0</v>
      </c>
      <c r="AY485" s="395" t="b">
        <f t="shared" si="364"/>
        <v>0</v>
      </c>
      <c r="BH485">
        <f t="shared" si="365"/>
        <v>0</v>
      </c>
    </row>
    <row r="486" spans="2:60" ht="12" customHeight="1">
      <c r="B486">
        <f>TBIDry!H558</f>
        <v>0</v>
      </c>
      <c r="C486">
        <f>TBIDry!I558</f>
        <v>0</v>
      </c>
      <c r="D486" t="b">
        <f t="shared" si="355"/>
        <v>1</v>
      </c>
      <c r="E486" t="b">
        <f t="shared" si="356"/>
        <v>1</v>
      </c>
      <c r="Q486" s="395" t="b">
        <f t="shared" si="359"/>
        <v>0</v>
      </c>
      <c r="R486" s="395" t="b">
        <f t="shared" si="360"/>
        <v>0</v>
      </c>
      <c r="Y486" t="str">
        <f>'Green_rooibos initial weight'!A487</f>
        <v>G483</v>
      </c>
      <c r="Z486" t="str">
        <f>'Green_rooibos initial weight'!A1391</f>
        <v>R483</v>
      </c>
      <c r="AA486" t="b">
        <f t="shared" si="361"/>
        <v>0</v>
      </c>
      <c r="AB486" t="b">
        <f t="shared" si="362"/>
        <v>0</v>
      </c>
      <c r="AX486" s="395" t="b">
        <f t="shared" si="363"/>
        <v>0</v>
      </c>
      <c r="AY486" s="395" t="b">
        <f t="shared" si="364"/>
        <v>0</v>
      </c>
      <c r="BH486">
        <f t="shared" si="365"/>
        <v>0</v>
      </c>
    </row>
    <row r="487" spans="2:60" ht="12" customHeight="1">
      <c r="B487">
        <f>TBIDry!H559</f>
        <v>0</v>
      </c>
      <c r="C487">
        <f>TBIDry!I559</f>
        <v>0</v>
      </c>
      <c r="D487" t="b">
        <f t="shared" si="355"/>
        <v>1</v>
      </c>
      <c r="E487" t="b">
        <f t="shared" si="356"/>
        <v>1</v>
      </c>
      <c r="Q487" s="395" t="b">
        <f t="shared" si="359"/>
        <v>0</v>
      </c>
      <c r="R487" s="395" t="b">
        <f t="shared" si="360"/>
        <v>0</v>
      </c>
      <c r="Y487" t="str">
        <f>'Green_rooibos initial weight'!A488</f>
        <v>G484</v>
      </c>
      <c r="Z487" t="str">
        <f>'Green_rooibos initial weight'!A1392</f>
        <v>R484</v>
      </c>
      <c r="AA487" t="b">
        <f t="shared" si="361"/>
        <v>0</v>
      </c>
      <c r="AB487" t="b">
        <f t="shared" si="362"/>
        <v>0</v>
      </c>
      <c r="AX487" s="395" t="b">
        <f t="shared" si="363"/>
        <v>0</v>
      </c>
      <c r="AY487" s="395" t="b">
        <f t="shared" si="364"/>
        <v>0</v>
      </c>
      <c r="BH487">
        <f t="shared" si="365"/>
        <v>0</v>
      </c>
    </row>
    <row r="488" spans="2:60" ht="12" customHeight="1">
      <c r="B488">
        <f>TBIDry!H560</f>
        <v>0</v>
      </c>
      <c r="C488">
        <f>TBIDry!I560</f>
        <v>0</v>
      </c>
      <c r="D488" t="b">
        <f t="shared" si="355"/>
        <v>1</v>
      </c>
      <c r="E488" t="b">
        <f t="shared" si="356"/>
        <v>1</v>
      </c>
      <c r="Q488" s="395" t="b">
        <f t="shared" si="359"/>
        <v>0</v>
      </c>
      <c r="R488" s="395" t="b">
        <f t="shared" si="360"/>
        <v>0</v>
      </c>
      <c r="Y488" t="str">
        <f>'Green_rooibos initial weight'!A489</f>
        <v>G485</v>
      </c>
      <c r="Z488" t="str">
        <f>'Green_rooibos initial weight'!A1393</f>
        <v>R485</v>
      </c>
      <c r="AA488" t="b">
        <f t="shared" si="361"/>
        <v>0</v>
      </c>
      <c r="AB488" t="b">
        <f t="shared" si="362"/>
        <v>0</v>
      </c>
      <c r="AX488" s="395" t="b">
        <f t="shared" si="363"/>
        <v>0</v>
      </c>
      <c r="AY488" s="395" t="b">
        <f t="shared" si="364"/>
        <v>0</v>
      </c>
      <c r="BH488">
        <f t="shared" si="365"/>
        <v>0</v>
      </c>
    </row>
    <row r="489" spans="2:60" ht="12" customHeight="1">
      <c r="B489">
        <f>TBIDry!H561</f>
        <v>0</v>
      </c>
      <c r="C489">
        <f>TBIDry!I561</f>
        <v>0</v>
      </c>
      <c r="D489" t="b">
        <f t="shared" si="355"/>
        <v>1</v>
      </c>
      <c r="E489" t="b">
        <f t="shared" si="356"/>
        <v>1</v>
      </c>
      <c r="Q489" s="395" t="b">
        <f t="shared" si="359"/>
        <v>0</v>
      </c>
      <c r="R489" s="395" t="b">
        <f t="shared" si="360"/>
        <v>0</v>
      </c>
      <c r="Y489" t="str">
        <f>'Green_rooibos initial weight'!A490</f>
        <v>G486</v>
      </c>
      <c r="Z489" t="str">
        <f>'Green_rooibos initial weight'!A1394</f>
        <v>R486</v>
      </c>
      <c r="AA489" t="b">
        <f t="shared" si="361"/>
        <v>0</v>
      </c>
      <c r="AB489" t="b">
        <f t="shared" si="362"/>
        <v>0</v>
      </c>
      <c r="AX489" s="395" t="b">
        <f t="shared" si="363"/>
        <v>0</v>
      </c>
      <c r="AY489" s="395" t="b">
        <f t="shared" si="364"/>
        <v>0</v>
      </c>
      <c r="BH489">
        <f t="shared" si="365"/>
        <v>0</v>
      </c>
    </row>
    <row r="490" spans="2:60" ht="12" customHeight="1">
      <c r="B490">
        <f>TBIDry!H562</f>
        <v>0</v>
      </c>
      <c r="C490">
        <f>TBIDry!I562</f>
        <v>0</v>
      </c>
      <c r="D490" t="b">
        <f t="shared" si="355"/>
        <v>1</v>
      </c>
      <c r="E490" t="b">
        <f t="shared" si="356"/>
        <v>1</v>
      </c>
      <c r="Q490" s="395" t="b">
        <f t="shared" si="359"/>
        <v>0</v>
      </c>
      <c r="R490" s="395" t="b">
        <f t="shared" si="360"/>
        <v>0</v>
      </c>
      <c r="Y490" t="str">
        <f>'Green_rooibos initial weight'!A491</f>
        <v>G487</v>
      </c>
      <c r="Z490" t="str">
        <f>'Green_rooibos initial weight'!A1395</f>
        <v>R487</v>
      </c>
      <c r="AA490" t="b">
        <f t="shared" si="361"/>
        <v>0</v>
      </c>
      <c r="AB490" t="b">
        <f t="shared" si="362"/>
        <v>0</v>
      </c>
      <c r="AX490" s="395" t="b">
        <f t="shared" si="363"/>
        <v>0</v>
      </c>
      <c r="AY490" s="395" t="b">
        <f t="shared" si="364"/>
        <v>0</v>
      </c>
      <c r="BH490">
        <f t="shared" si="365"/>
        <v>0</v>
      </c>
    </row>
    <row r="491" spans="2:60" ht="12" customHeight="1">
      <c r="B491">
        <f>TBIDry!H563</f>
        <v>0</v>
      </c>
      <c r="C491">
        <f>TBIDry!I563</f>
        <v>0</v>
      </c>
      <c r="D491" t="b">
        <f t="shared" si="355"/>
        <v>1</v>
      </c>
      <c r="E491" t="b">
        <f t="shared" si="356"/>
        <v>1</v>
      </c>
      <c r="Q491" s="395" t="b">
        <f t="shared" si="359"/>
        <v>0</v>
      </c>
      <c r="R491" s="395" t="b">
        <f t="shared" si="360"/>
        <v>0</v>
      </c>
      <c r="Y491" t="str">
        <f>'Green_rooibos initial weight'!A492</f>
        <v>G488</v>
      </c>
      <c r="Z491" t="str">
        <f>'Green_rooibos initial weight'!A1396</f>
        <v>R488</v>
      </c>
      <c r="AA491" t="b">
        <f t="shared" si="361"/>
        <v>0</v>
      </c>
      <c r="AB491" t="b">
        <f t="shared" si="362"/>
        <v>0</v>
      </c>
      <c r="AX491" s="395" t="b">
        <f t="shared" si="363"/>
        <v>0</v>
      </c>
      <c r="AY491" s="395" t="b">
        <f t="shared" si="364"/>
        <v>0</v>
      </c>
      <c r="BH491">
        <f t="shared" si="365"/>
        <v>0</v>
      </c>
    </row>
    <row r="492" spans="2:60" ht="12" customHeight="1">
      <c r="B492">
        <f>TBIDry!H564</f>
        <v>0</v>
      </c>
      <c r="C492">
        <f>TBIDry!I564</f>
        <v>0</v>
      </c>
      <c r="D492" t="b">
        <f t="shared" si="355"/>
        <v>1</v>
      </c>
      <c r="E492" t="b">
        <f t="shared" si="356"/>
        <v>1</v>
      </c>
      <c r="Q492" s="395" t="b">
        <f t="shared" si="359"/>
        <v>0</v>
      </c>
      <c r="R492" s="395" t="b">
        <f t="shared" si="360"/>
        <v>0</v>
      </c>
      <c r="Y492" t="str">
        <f>'Green_rooibos initial weight'!A493</f>
        <v>G489</v>
      </c>
      <c r="Z492" t="str">
        <f>'Green_rooibos initial weight'!A1397</f>
        <v>R489</v>
      </c>
      <c r="AA492" t="b">
        <f t="shared" si="361"/>
        <v>0</v>
      </c>
      <c r="AB492" t="b">
        <f t="shared" si="362"/>
        <v>0</v>
      </c>
      <c r="AX492" s="395" t="b">
        <f t="shared" si="363"/>
        <v>0</v>
      </c>
      <c r="AY492" s="395" t="b">
        <f t="shared" si="364"/>
        <v>0</v>
      </c>
      <c r="BH492">
        <f t="shared" si="365"/>
        <v>0</v>
      </c>
    </row>
    <row r="493" spans="2:60" ht="12" customHeight="1">
      <c r="B493">
        <f>TBIDry!H565</f>
        <v>0</v>
      </c>
      <c r="C493">
        <f>TBIDry!I565</f>
        <v>0</v>
      </c>
      <c r="D493" t="b">
        <f t="shared" si="355"/>
        <v>1</v>
      </c>
      <c r="E493" t="b">
        <f t="shared" si="356"/>
        <v>1</v>
      </c>
      <c r="Q493" s="395" t="b">
        <f t="shared" si="359"/>
        <v>0</v>
      </c>
      <c r="R493" s="395" t="b">
        <f t="shared" si="360"/>
        <v>0</v>
      </c>
      <c r="Y493" t="str">
        <f>'Green_rooibos initial weight'!A494</f>
        <v>G490</v>
      </c>
      <c r="Z493" t="str">
        <f>'Green_rooibos initial weight'!A1398</f>
        <v>R490</v>
      </c>
      <c r="AA493" t="b">
        <f t="shared" si="361"/>
        <v>0</v>
      </c>
      <c r="AB493" t="b">
        <f t="shared" si="362"/>
        <v>0</v>
      </c>
      <c r="AX493" s="395" t="b">
        <f t="shared" si="363"/>
        <v>0</v>
      </c>
      <c r="AY493" s="395" t="b">
        <f t="shared" si="364"/>
        <v>0</v>
      </c>
      <c r="BH493">
        <f t="shared" si="365"/>
        <v>0</v>
      </c>
    </row>
    <row r="494" spans="2:60" ht="12" customHeight="1">
      <c r="B494">
        <f>TBIDry!H566</f>
        <v>0</v>
      </c>
      <c r="C494">
        <f>TBIDry!I566</f>
        <v>0</v>
      </c>
      <c r="D494" t="b">
        <f t="shared" si="355"/>
        <v>1</v>
      </c>
      <c r="E494" t="b">
        <f t="shared" si="356"/>
        <v>1</v>
      </c>
      <c r="Q494" s="395" t="b">
        <f t="shared" si="359"/>
        <v>0</v>
      </c>
      <c r="R494" s="395" t="b">
        <f t="shared" si="360"/>
        <v>0</v>
      </c>
      <c r="Y494" t="str">
        <f>'Green_rooibos initial weight'!A495</f>
        <v>G491</v>
      </c>
      <c r="Z494" t="str">
        <f>'Green_rooibos initial weight'!A1399</f>
        <v>R491</v>
      </c>
      <c r="AA494" t="b">
        <f t="shared" si="361"/>
        <v>0</v>
      </c>
      <c r="AB494" t="b">
        <f t="shared" si="362"/>
        <v>0</v>
      </c>
      <c r="AX494" s="395" t="b">
        <f t="shared" si="363"/>
        <v>0</v>
      </c>
      <c r="AY494" s="395" t="b">
        <f t="shared" si="364"/>
        <v>0</v>
      </c>
      <c r="BH494">
        <f t="shared" si="365"/>
        <v>0</v>
      </c>
    </row>
    <row r="495" spans="2:60" ht="12" customHeight="1">
      <c r="B495">
        <f>TBIDry!H567</f>
        <v>0</v>
      </c>
      <c r="C495">
        <f>TBIDry!I567</f>
        <v>0</v>
      </c>
      <c r="D495" t="b">
        <f t="shared" si="355"/>
        <v>1</v>
      </c>
      <c r="E495" t="b">
        <f t="shared" si="356"/>
        <v>1</v>
      </c>
      <c r="Q495" s="395" t="b">
        <f t="shared" si="359"/>
        <v>0</v>
      </c>
      <c r="R495" s="395" t="b">
        <f t="shared" si="360"/>
        <v>0</v>
      </c>
      <c r="Y495" t="str">
        <f>'Green_rooibos initial weight'!A496</f>
        <v>G492</v>
      </c>
      <c r="Z495" t="str">
        <f>'Green_rooibos initial weight'!A1400</f>
        <v>R492</v>
      </c>
      <c r="AA495" t="b">
        <f t="shared" si="361"/>
        <v>0</v>
      </c>
      <c r="AB495" t="b">
        <f t="shared" si="362"/>
        <v>0</v>
      </c>
      <c r="AX495" s="395" t="b">
        <f t="shared" si="363"/>
        <v>0</v>
      </c>
      <c r="AY495" s="395" t="b">
        <f t="shared" si="364"/>
        <v>0</v>
      </c>
      <c r="BH495">
        <f t="shared" si="365"/>
        <v>0</v>
      </c>
    </row>
    <row r="496" spans="2:60" ht="12" customHeight="1">
      <c r="B496">
        <f>TBIDry!H568</f>
        <v>0</v>
      </c>
      <c r="C496">
        <f>TBIDry!I568</f>
        <v>0</v>
      </c>
      <c r="D496" t="b">
        <f t="shared" si="355"/>
        <v>1</v>
      </c>
      <c r="E496" t="b">
        <f t="shared" si="356"/>
        <v>1</v>
      </c>
      <c r="Q496" s="395" t="b">
        <f t="shared" si="359"/>
        <v>0</v>
      </c>
      <c r="R496" s="395" t="b">
        <f t="shared" si="360"/>
        <v>0</v>
      </c>
      <c r="Y496" t="str">
        <f>'Green_rooibos initial weight'!A497</f>
        <v>G493</v>
      </c>
      <c r="Z496" t="str">
        <f>'Green_rooibos initial weight'!A1401</f>
        <v>R493</v>
      </c>
      <c r="AA496" t="b">
        <f t="shared" si="361"/>
        <v>0</v>
      </c>
      <c r="AB496" t="b">
        <f t="shared" si="362"/>
        <v>0</v>
      </c>
      <c r="AX496" s="395" t="b">
        <f t="shared" si="363"/>
        <v>0</v>
      </c>
      <c r="AY496" s="395" t="b">
        <f t="shared" si="364"/>
        <v>0</v>
      </c>
      <c r="BH496">
        <f t="shared" si="365"/>
        <v>0</v>
      </c>
    </row>
    <row r="497" spans="2:60" ht="12" customHeight="1">
      <c r="B497">
        <f>TBIDry!H569</f>
        <v>0</v>
      </c>
      <c r="C497">
        <f>TBIDry!I569</f>
        <v>0</v>
      </c>
      <c r="D497" t="b">
        <f t="shared" si="355"/>
        <v>1</v>
      </c>
      <c r="E497" t="b">
        <f t="shared" si="356"/>
        <v>1</v>
      </c>
      <c r="Q497" s="395" t="b">
        <f t="shared" si="359"/>
        <v>0</v>
      </c>
      <c r="R497" s="395" t="b">
        <f t="shared" si="360"/>
        <v>0</v>
      </c>
      <c r="Y497" t="str">
        <f>'Green_rooibos initial weight'!A498</f>
        <v>G494</v>
      </c>
      <c r="Z497" t="str">
        <f>'Green_rooibos initial weight'!A1402</f>
        <v>R494</v>
      </c>
      <c r="AA497" t="b">
        <f t="shared" si="361"/>
        <v>0</v>
      </c>
      <c r="AB497" t="b">
        <f t="shared" si="362"/>
        <v>0</v>
      </c>
      <c r="AX497" s="395" t="b">
        <f t="shared" si="363"/>
        <v>0</v>
      </c>
      <c r="AY497" s="395" t="b">
        <f t="shared" si="364"/>
        <v>0</v>
      </c>
      <c r="BH497">
        <f t="shared" si="365"/>
        <v>0</v>
      </c>
    </row>
    <row r="498" spans="2:60" ht="12" customHeight="1">
      <c r="B498">
        <f>TBIDry!H570</f>
        <v>0</v>
      </c>
      <c r="C498">
        <f>TBIDry!I570</f>
        <v>0</v>
      </c>
      <c r="D498" t="b">
        <f t="shared" si="355"/>
        <v>1</v>
      </c>
      <c r="E498" t="b">
        <f t="shared" si="356"/>
        <v>1</v>
      </c>
      <c r="Q498" s="395" t="b">
        <f t="shared" si="359"/>
        <v>0</v>
      </c>
      <c r="R498" s="395" t="b">
        <f t="shared" si="360"/>
        <v>0</v>
      </c>
      <c r="Y498" t="str">
        <f>'Green_rooibos initial weight'!A499</f>
        <v>G495</v>
      </c>
      <c r="Z498" t="str">
        <f>'Green_rooibos initial weight'!A1403</f>
        <v>R495</v>
      </c>
      <c r="AA498" t="b">
        <f t="shared" si="361"/>
        <v>0</v>
      </c>
      <c r="AB498" t="b">
        <f t="shared" si="362"/>
        <v>0</v>
      </c>
      <c r="AX498" s="395" t="b">
        <f t="shared" si="363"/>
        <v>0</v>
      </c>
      <c r="AY498" s="395" t="b">
        <f t="shared" si="364"/>
        <v>0</v>
      </c>
      <c r="BH498">
        <f t="shared" si="365"/>
        <v>0</v>
      </c>
    </row>
    <row r="499" spans="2:60" ht="12" customHeight="1">
      <c r="B499">
        <f>TBIDry!H571</f>
        <v>0</v>
      </c>
      <c r="C499">
        <f>TBIDry!I571</f>
        <v>0</v>
      </c>
      <c r="D499" t="b">
        <f t="shared" si="355"/>
        <v>1</v>
      </c>
      <c r="E499" t="b">
        <f t="shared" si="356"/>
        <v>1</v>
      </c>
      <c r="Q499" s="395" t="b">
        <f t="shared" si="359"/>
        <v>0</v>
      </c>
      <c r="R499" s="395" t="b">
        <f t="shared" si="360"/>
        <v>0</v>
      </c>
      <c r="Y499" t="str">
        <f>'Green_rooibos initial weight'!A500</f>
        <v>G496</v>
      </c>
      <c r="Z499" t="str">
        <f>'Green_rooibos initial weight'!A1404</f>
        <v>R496</v>
      </c>
      <c r="AA499" t="b">
        <f t="shared" si="361"/>
        <v>0</v>
      </c>
      <c r="AB499" t="b">
        <f t="shared" si="362"/>
        <v>0</v>
      </c>
      <c r="AX499" s="395" t="b">
        <f t="shared" si="363"/>
        <v>0</v>
      </c>
      <c r="AY499" s="395" t="b">
        <f t="shared" si="364"/>
        <v>0</v>
      </c>
      <c r="BH499">
        <f t="shared" si="365"/>
        <v>0</v>
      </c>
    </row>
    <row r="500" spans="2:60" ht="12" customHeight="1">
      <c r="B500">
        <f>TBIDry!H572</f>
        <v>0</v>
      </c>
      <c r="C500">
        <f>TBIDry!I572</f>
        <v>0</v>
      </c>
      <c r="D500" t="b">
        <f t="shared" si="355"/>
        <v>1</v>
      </c>
      <c r="E500" t="b">
        <f t="shared" si="356"/>
        <v>1</v>
      </c>
      <c r="Q500" s="395" t="b">
        <f t="shared" si="359"/>
        <v>0</v>
      </c>
      <c r="R500" s="395" t="b">
        <f t="shared" si="360"/>
        <v>0</v>
      </c>
      <c r="Y500" t="str">
        <f>'Green_rooibos initial weight'!A501</f>
        <v>G497</v>
      </c>
      <c r="Z500" t="str">
        <f>'Green_rooibos initial weight'!A1405</f>
        <v>R497</v>
      </c>
      <c r="AA500" t="b">
        <f t="shared" si="361"/>
        <v>0</v>
      </c>
      <c r="AB500" t="b">
        <f t="shared" si="362"/>
        <v>0</v>
      </c>
      <c r="AX500" s="395" t="b">
        <f t="shared" si="363"/>
        <v>0</v>
      </c>
      <c r="AY500" s="395" t="b">
        <f t="shared" si="364"/>
        <v>0</v>
      </c>
      <c r="BH500">
        <f t="shared" si="365"/>
        <v>0</v>
      </c>
    </row>
    <row r="501" spans="2:60" ht="12" customHeight="1">
      <c r="B501">
        <f>TBIDry!H573</f>
        <v>0</v>
      </c>
      <c r="C501">
        <f>TBIDry!I573</f>
        <v>0</v>
      </c>
      <c r="D501" t="b">
        <f t="shared" si="355"/>
        <v>1</v>
      </c>
      <c r="E501" t="b">
        <f t="shared" si="356"/>
        <v>1</v>
      </c>
      <c r="Q501" s="395" t="b">
        <f t="shared" si="359"/>
        <v>0</v>
      </c>
      <c r="R501" s="395" t="b">
        <f t="shared" si="360"/>
        <v>0</v>
      </c>
      <c r="Y501" t="str">
        <f>'Green_rooibos initial weight'!A502</f>
        <v>G498</v>
      </c>
      <c r="Z501" t="str">
        <f>'Green_rooibos initial weight'!A1406</f>
        <v>R498</v>
      </c>
      <c r="AA501" t="b">
        <f t="shared" si="361"/>
        <v>0</v>
      </c>
      <c r="AB501" t="b">
        <f t="shared" si="362"/>
        <v>0</v>
      </c>
      <c r="AX501" s="395" t="b">
        <f t="shared" si="363"/>
        <v>0</v>
      </c>
      <c r="AY501" s="395" t="b">
        <f t="shared" si="364"/>
        <v>0</v>
      </c>
      <c r="BH501">
        <f t="shared" si="365"/>
        <v>0</v>
      </c>
    </row>
    <row r="502" spans="2:60" ht="12" customHeight="1">
      <c r="B502">
        <f>TBIDry!H574</f>
        <v>0</v>
      </c>
      <c r="C502">
        <f>TBIDry!I574</f>
        <v>0</v>
      </c>
      <c r="D502" t="b">
        <f t="shared" si="355"/>
        <v>1</v>
      </c>
      <c r="E502" t="b">
        <f t="shared" si="356"/>
        <v>1</v>
      </c>
      <c r="Q502" s="395" t="b">
        <f t="shared" si="359"/>
        <v>0</v>
      </c>
      <c r="R502" s="395" t="b">
        <f t="shared" si="360"/>
        <v>0</v>
      </c>
      <c r="Y502" t="str">
        <f>'Green_rooibos initial weight'!A503</f>
        <v>G499</v>
      </c>
      <c r="Z502" t="str">
        <f>'Green_rooibos initial weight'!A1407</f>
        <v>R499</v>
      </c>
      <c r="AA502" t="b">
        <f t="shared" si="361"/>
        <v>0</v>
      </c>
      <c r="AB502" t="b">
        <f t="shared" si="362"/>
        <v>0</v>
      </c>
      <c r="AX502" s="395" t="b">
        <f t="shared" si="363"/>
        <v>0</v>
      </c>
      <c r="AY502" s="395" t="b">
        <f t="shared" si="364"/>
        <v>0</v>
      </c>
      <c r="BH502">
        <f t="shared" si="365"/>
        <v>0</v>
      </c>
    </row>
    <row r="503" spans="2:60" ht="12" customHeight="1">
      <c r="B503">
        <f>TBIDry!H575</f>
        <v>0</v>
      </c>
      <c r="C503">
        <f>TBIDry!I575</f>
        <v>0</v>
      </c>
      <c r="D503" t="b">
        <f t="shared" si="355"/>
        <v>1</v>
      </c>
      <c r="E503" t="b">
        <f t="shared" si="356"/>
        <v>1</v>
      </c>
      <c r="Q503" s="395" t="b">
        <f t="shared" si="359"/>
        <v>0</v>
      </c>
      <c r="R503" s="395" t="b">
        <f t="shared" si="360"/>
        <v>0</v>
      </c>
      <c r="Y503" t="str">
        <f>'Green_rooibos initial weight'!A504</f>
        <v>G500</v>
      </c>
      <c r="Z503" t="str">
        <f>'Green_rooibos initial weight'!A1408</f>
        <v>R500</v>
      </c>
      <c r="AA503" t="b">
        <f t="shared" si="361"/>
        <v>0</v>
      </c>
      <c r="AB503" t="b">
        <f t="shared" si="362"/>
        <v>0</v>
      </c>
      <c r="AX503" s="395" t="b">
        <f t="shared" si="363"/>
        <v>0</v>
      </c>
      <c r="AY503" s="395" t="b">
        <f t="shared" si="364"/>
        <v>0</v>
      </c>
      <c r="BH503">
        <f t="shared" si="365"/>
        <v>0</v>
      </c>
    </row>
    <row r="504" spans="2:60" ht="12" customHeight="1">
      <c r="B504">
        <f>TBIDry!H576</f>
        <v>0</v>
      </c>
      <c r="C504">
        <f>TBIDry!I576</f>
        <v>0</v>
      </c>
      <c r="D504" t="b">
        <f t="shared" si="355"/>
        <v>1</v>
      </c>
      <c r="E504" t="b">
        <f t="shared" si="356"/>
        <v>1</v>
      </c>
      <c r="Q504" s="395" t="b">
        <f t="shared" si="359"/>
        <v>0</v>
      </c>
      <c r="R504" s="395" t="b">
        <f t="shared" si="360"/>
        <v>0</v>
      </c>
      <c r="Y504" t="str">
        <f>'Green_rooibos initial weight'!A505</f>
        <v>G501</v>
      </c>
      <c r="Z504" t="str">
        <f>'Green_rooibos initial weight'!A1409</f>
        <v>R501</v>
      </c>
      <c r="AA504" t="b">
        <f t="shared" si="361"/>
        <v>0</v>
      </c>
      <c r="AB504" t="b">
        <f t="shared" si="362"/>
        <v>0</v>
      </c>
      <c r="AX504" s="395" t="b">
        <f t="shared" si="363"/>
        <v>0</v>
      </c>
      <c r="AY504" s="395" t="b">
        <f t="shared" si="364"/>
        <v>0</v>
      </c>
      <c r="BH504">
        <f t="shared" si="365"/>
        <v>0</v>
      </c>
    </row>
    <row r="505" spans="2:60" ht="12" customHeight="1">
      <c r="B505">
        <f>TBIDry!H577</f>
        <v>0</v>
      </c>
      <c r="C505">
        <f>TBIDry!I577</f>
        <v>0</v>
      </c>
      <c r="D505" t="b">
        <f t="shared" si="355"/>
        <v>1</v>
      </c>
      <c r="E505" t="b">
        <f t="shared" si="356"/>
        <v>1</v>
      </c>
      <c r="Q505" s="395" t="b">
        <f t="shared" si="359"/>
        <v>0</v>
      </c>
      <c r="R505" s="395" t="b">
        <f t="shared" si="360"/>
        <v>0</v>
      </c>
      <c r="Y505" t="str">
        <f>'Green_rooibos initial weight'!A506</f>
        <v>G502</v>
      </c>
      <c r="Z505" t="str">
        <f>'Green_rooibos initial weight'!A1410</f>
        <v>R502</v>
      </c>
      <c r="AA505" t="b">
        <f t="shared" si="361"/>
        <v>0</v>
      </c>
      <c r="AB505" t="b">
        <f t="shared" si="362"/>
        <v>0</v>
      </c>
      <c r="AX505" s="395" t="b">
        <f t="shared" si="363"/>
        <v>0</v>
      </c>
      <c r="AY505" s="395" t="b">
        <f t="shared" si="364"/>
        <v>0</v>
      </c>
      <c r="BH505">
        <f t="shared" si="365"/>
        <v>0</v>
      </c>
    </row>
    <row r="506" spans="2:60" ht="12" customHeight="1">
      <c r="B506">
        <f>TBIDry!H578</f>
        <v>0</v>
      </c>
      <c r="C506">
        <f>TBIDry!I578</f>
        <v>0</v>
      </c>
      <c r="D506" t="b">
        <f t="shared" si="355"/>
        <v>1</v>
      </c>
      <c r="E506" t="b">
        <f t="shared" si="356"/>
        <v>1</v>
      </c>
      <c r="Q506" s="395" t="b">
        <f t="shared" si="359"/>
        <v>0</v>
      </c>
      <c r="R506" s="395" t="b">
        <f t="shared" si="360"/>
        <v>0</v>
      </c>
      <c r="Y506" t="str">
        <f>'Green_rooibos initial weight'!A507</f>
        <v>G503</v>
      </c>
      <c r="Z506" t="str">
        <f>'Green_rooibos initial weight'!A1411</f>
        <v>R503</v>
      </c>
      <c r="AA506" t="b">
        <f t="shared" si="361"/>
        <v>0</v>
      </c>
      <c r="AB506" t="b">
        <f t="shared" si="362"/>
        <v>0</v>
      </c>
      <c r="AX506" s="395" t="b">
        <f t="shared" si="363"/>
        <v>0</v>
      </c>
      <c r="AY506" s="395" t="b">
        <f t="shared" si="364"/>
        <v>0</v>
      </c>
      <c r="BH506">
        <f t="shared" si="365"/>
        <v>0</v>
      </c>
    </row>
    <row r="507" spans="2:60" ht="12" customHeight="1">
      <c r="B507">
        <f>TBIDry!H579</f>
        <v>0</v>
      </c>
      <c r="C507">
        <f>TBIDry!I579</f>
        <v>0</v>
      </c>
      <c r="D507" t="b">
        <f t="shared" si="355"/>
        <v>1</v>
      </c>
      <c r="E507" t="b">
        <f t="shared" si="356"/>
        <v>1</v>
      </c>
      <c r="Q507" s="395" t="b">
        <f t="shared" si="359"/>
        <v>0</v>
      </c>
      <c r="R507" s="395" t="b">
        <f t="shared" si="360"/>
        <v>0</v>
      </c>
      <c r="Y507" t="str">
        <f>'Green_rooibos initial weight'!A508</f>
        <v>G504</v>
      </c>
      <c r="Z507" t="str">
        <f>'Green_rooibos initial weight'!A1412</f>
        <v>R504</v>
      </c>
      <c r="AA507" t="b">
        <f t="shared" si="361"/>
        <v>0</v>
      </c>
      <c r="AB507" t="b">
        <f t="shared" si="362"/>
        <v>0</v>
      </c>
      <c r="AX507" s="395" t="b">
        <f t="shared" si="363"/>
        <v>0</v>
      </c>
      <c r="AY507" s="395" t="b">
        <f t="shared" si="364"/>
        <v>0</v>
      </c>
      <c r="BH507">
        <f t="shared" si="365"/>
        <v>0</v>
      </c>
    </row>
    <row r="508" spans="2:60" ht="12" customHeight="1">
      <c r="B508">
        <f>TBIDry!H580</f>
        <v>0</v>
      </c>
      <c r="C508">
        <f>TBIDry!I580</f>
        <v>0</v>
      </c>
      <c r="D508" t="b">
        <f t="shared" si="355"/>
        <v>1</v>
      </c>
      <c r="E508" t="b">
        <f t="shared" si="356"/>
        <v>1</v>
      </c>
      <c r="Q508" s="395" t="b">
        <f t="shared" si="359"/>
        <v>0</v>
      </c>
      <c r="R508" s="395" t="b">
        <f t="shared" si="360"/>
        <v>0</v>
      </c>
      <c r="Y508" t="str">
        <f>'Green_rooibos initial weight'!A509</f>
        <v>G505</v>
      </c>
      <c r="Z508" t="str">
        <f>'Green_rooibos initial weight'!A1413</f>
        <v>R505</v>
      </c>
      <c r="AA508" t="b">
        <f t="shared" si="361"/>
        <v>0</v>
      </c>
      <c r="AB508" t="b">
        <f t="shared" si="362"/>
        <v>0</v>
      </c>
      <c r="AX508" s="395" t="b">
        <f t="shared" si="363"/>
        <v>0</v>
      </c>
      <c r="AY508" s="395" t="b">
        <f t="shared" si="364"/>
        <v>0</v>
      </c>
      <c r="BH508">
        <f t="shared" si="365"/>
        <v>0</v>
      </c>
    </row>
    <row r="509" spans="2:60" ht="12" customHeight="1">
      <c r="B509">
        <f>TBIDry!H581</f>
        <v>0</v>
      </c>
      <c r="C509">
        <f>TBIDry!I581</f>
        <v>0</v>
      </c>
      <c r="D509" t="b">
        <f t="shared" si="355"/>
        <v>1</v>
      </c>
      <c r="E509" t="b">
        <f t="shared" si="356"/>
        <v>1</v>
      </c>
      <c r="Q509" s="395" t="b">
        <f t="shared" si="359"/>
        <v>0</v>
      </c>
      <c r="R509" s="395" t="b">
        <f t="shared" si="360"/>
        <v>0</v>
      </c>
      <c r="Y509" t="str">
        <f>'Green_rooibos initial weight'!A510</f>
        <v>G506</v>
      </c>
      <c r="Z509" t="str">
        <f>'Green_rooibos initial weight'!A1414</f>
        <v>R506</v>
      </c>
      <c r="AA509" t="b">
        <f t="shared" si="361"/>
        <v>0</v>
      </c>
      <c r="AB509" t="b">
        <f t="shared" si="362"/>
        <v>0</v>
      </c>
      <c r="AX509" s="395" t="b">
        <f t="shared" si="363"/>
        <v>0</v>
      </c>
      <c r="AY509" s="395" t="b">
        <f t="shared" si="364"/>
        <v>0</v>
      </c>
      <c r="BH509">
        <f t="shared" si="365"/>
        <v>0</v>
      </c>
    </row>
    <row r="510" spans="2:60" ht="12" customHeight="1">
      <c r="B510">
        <f>TBIDry!H582</f>
        <v>0</v>
      </c>
      <c r="C510">
        <f>TBIDry!I582</f>
        <v>0</v>
      </c>
      <c r="D510" t="b">
        <f t="shared" si="355"/>
        <v>1</v>
      </c>
      <c r="E510" t="b">
        <f t="shared" si="356"/>
        <v>1</v>
      </c>
      <c r="Q510" s="395" t="b">
        <f t="shared" si="359"/>
        <v>0</v>
      </c>
      <c r="R510" s="395" t="b">
        <f t="shared" si="360"/>
        <v>0</v>
      </c>
      <c r="Y510" t="str">
        <f>'Green_rooibos initial weight'!A511</f>
        <v>G507</v>
      </c>
      <c r="Z510" t="str">
        <f>'Green_rooibos initial weight'!A1415</f>
        <v>R507</v>
      </c>
      <c r="AA510" t="b">
        <f t="shared" si="361"/>
        <v>0</v>
      </c>
      <c r="AB510" t="b">
        <f t="shared" si="362"/>
        <v>0</v>
      </c>
      <c r="AX510" s="395" t="b">
        <f t="shared" si="363"/>
        <v>0</v>
      </c>
      <c r="AY510" s="395" t="b">
        <f t="shared" si="364"/>
        <v>0</v>
      </c>
      <c r="BH510">
        <f t="shared" si="365"/>
        <v>0</v>
      </c>
    </row>
    <row r="511" spans="2:60" ht="12" customHeight="1">
      <c r="B511">
        <f>TBIDry!H583</f>
        <v>0</v>
      </c>
      <c r="C511">
        <f>TBIDry!I583</f>
        <v>0</v>
      </c>
      <c r="D511" t="b">
        <f t="shared" si="355"/>
        <v>1</v>
      </c>
      <c r="E511" t="b">
        <f t="shared" si="356"/>
        <v>1</v>
      </c>
      <c r="Q511" s="395" t="b">
        <f t="shared" si="359"/>
        <v>0</v>
      </c>
      <c r="R511" s="395" t="b">
        <f t="shared" si="360"/>
        <v>0</v>
      </c>
      <c r="Y511" t="str">
        <f>'Green_rooibos initial weight'!A512</f>
        <v>G508</v>
      </c>
      <c r="Z511" t="str">
        <f>'Green_rooibos initial weight'!A1416</f>
        <v>R508</v>
      </c>
      <c r="AA511" t="b">
        <f t="shared" si="361"/>
        <v>0</v>
      </c>
      <c r="AB511" t="b">
        <f t="shared" si="362"/>
        <v>0</v>
      </c>
      <c r="AX511" s="395" t="b">
        <f t="shared" si="363"/>
        <v>0</v>
      </c>
      <c r="AY511" s="395" t="b">
        <f t="shared" si="364"/>
        <v>0</v>
      </c>
      <c r="BH511">
        <f t="shared" si="365"/>
        <v>0</v>
      </c>
    </row>
    <row r="512" spans="2:60" ht="12" customHeight="1">
      <c r="B512">
        <f>TBIDry!H584</f>
        <v>0</v>
      </c>
      <c r="C512">
        <f>TBIDry!I584</f>
        <v>0</v>
      </c>
      <c r="D512" t="b">
        <f t="shared" si="355"/>
        <v>1</v>
      </c>
      <c r="E512" t="b">
        <f t="shared" si="356"/>
        <v>1</v>
      </c>
      <c r="Q512" s="395" t="b">
        <f t="shared" si="359"/>
        <v>0</v>
      </c>
      <c r="R512" s="395" t="b">
        <f t="shared" si="360"/>
        <v>0</v>
      </c>
      <c r="Y512" t="str">
        <f>'Green_rooibos initial weight'!A513</f>
        <v>G509</v>
      </c>
      <c r="Z512" t="str">
        <f>'Green_rooibos initial weight'!A1417</f>
        <v>R509</v>
      </c>
      <c r="AA512" t="b">
        <f t="shared" si="361"/>
        <v>0</v>
      </c>
      <c r="AB512" t="b">
        <f t="shared" si="362"/>
        <v>0</v>
      </c>
      <c r="AX512" s="395" t="b">
        <f t="shared" si="363"/>
        <v>0</v>
      </c>
      <c r="AY512" s="395" t="b">
        <f t="shared" si="364"/>
        <v>0</v>
      </c>
      <c r="BH512">
        <f t="shared" si="365"/>
        <v>0</v>
      </c>
    </row>
    <row r="513" spans="2:60" ht="12" customHeight="1">
      <c r="B513">
        <f>TBIDry!H585</f>
        <v>0</v>
      </c>
      <c r="C513">
        <f>TBIDry!I585</f>
        <v>0</v>
      </c>
      <c r="D513" t="b">
        <f t="shared" si="355"/>
        <v>1</v>
      </c>
      <c r="E513" t="b">
        <f t="shared" si="356"/>
        <v>1</v>
      </c>
      <c r="Q513" s="395" t="b">
        <f t="shared" si="359"/>
        <v>0</v>
      </c>
      <c r="R513" s="395" t="b">
        <f t="shared" si="360"/>
        <v>0</v>
      </c>
      <c r="Y513" t="str">
        <f>'Green_rooibos initial weight'!A514</f>
        <v>G510</v>
      </c>
      <c r="Z513" t="str">
        <f>'Green_rooibos initial weight'!A1418</f>
        <v>R510</v>
      </c>
      <c r="AA513" t="b">
        <f t="shared" si="361"/>
        <v>0</v>
      </c>
      <c r="AB513" t="b">
        <f t="shared" si="362"/>
        <v>0</v>
      </c>
      <c r="AX513" s="395" t="b">
        <f t="shared" si="363"/>
        <v>0</v>
      </c>
      <c r="AY513" s="395" t="b">
        <f t="shared" si="364"/>
        <v>0</v>
      </c>
      <c r="BH513">
        <f t="shared" si="365"/>
        <v>0</v>
      </c>
    </row>
    <row r="514" spans="2:60" ht="12" customHeight="1">
      <c r="B514">
        <f>TBIDry!H586</f>
        <v>0</v>
      </c>
      <c r="C514">
        <f>TBIDry!I586</f>
        <v>0</v>
      </c>
      <c r="D514" t="b">
        <f t="shared" si="355"/>
        <v>1</v>
      </c>
      <c r="E514" t="b">
        <f t="shared" si="356"/>
        <v>1</v>
      </c>
      <c r="Q514" s="395" t="b">
        <f t="shared" si="359"/>
        <v>0</v>
      </c>
      <c r="R514" s="395" t="b">
        <f t="shared" si="360"/>
        <v>0</v>
      </c>
      <c r="Y514" t="str">
        <f>'Green_rooibos initial weight'!A515</f>
        <v>G511</v>
      </c>
      <c r="Z514" t="str">
        <f>'Green_rooibos initial weight'!A1419</f>
        <v>R511</v>
      </c>
      <c r="AA514" t="b">
        <f t="shared" si="361"/>
        <v>0</v>
      </c>
      <c r="AB514" t="b">
        <f t="shared" si="362"/>
        <v>0</v>
      </c>
      <c r="AX514" s="395" t="b">
        <f t="shared" si="363"/>
        <v>0</v>
      </c>
      <c r="AY514" s="395" t="b">
        <f t="shared" si="364"/>
        <v>0</v>
      </c>
      <c r="BH514">
        <f t="shared" si="365"/>
        <v>0</v>
      </c>
    </row>
    <row r="515" spans="2:60" ht="12" customHeight="1">
      <c r="B515">
        <f>TBIDry!H587</f>
        <v>0</v>
      </c>
      <c r="C515">
        <f>TBIDry!I587</f>
        <v>0</v>
      </c>
      <c r="D515" t="b">
        <f t="shared" si="355"/>
        <v>1</v>
      </c>
      <c r="E515" t="b">
        <f t="shared" si="356"/>
        <v>1</v>
      </c>
      <c r="Q515" s="395" t="b">
        <f t="shared" si="359"/>
        <v>0</v>
      </c>
      <c r="R515" s="395" t="b">
        <f t="shared" si="360"/>
        <v>0</v>
      </c>
      <c r="Y515" t="str">
        <f>'Green_rooibos initial weight'!A516</f>
        <v>G512</v>
      </c>
      <c r="Z515" t="str">
        <f>'Green_rooibos initial weight'!A1420</f>
        <v>R512</v>
      </c>
      <c r="AA515" t="b">
        <f t="shared" si="361"/>
        <v>0</v>
      </c>
      <c r="AB515" t="b">
        <f t="shared" si="362"/>
        <v>0</v>
      </c>
      <c r="AX515" s="395" t="b">
        <f t="shared" si="363"/>
        <v>0</v>
      </c>
      <c r="AY515" s="395" t="b">
        <f t="shared" si="364"/>
        <v>0</v>
      </c>
      <c r="BH515">
        <f t="shared" si="365"/>
        <v>0</v>
      </c>
    </row>
    <row r="516" spans="2:60" ht="12" customHeight="1">
      <c r="B516">
        <f>TBIDry!H588</f>
        <v>0</v>
      </c>
      <c r="C516">
        <f>TBIDry!I588</f>
        <v>0</v>
      </c>
      <c r="D516" t="b">
        <f t="shared" si="355"/>
        <v>1</v>
      </c>
      <c r="E516" t="b">
        <f t="shared" si="356"/>
        <v>1</v>
      </c>
      <c r="Q516" s="395" t="b">
        <f t="shared" si="359"/>
        <v>0</v>
      </c>
      <c r="R516" s="395" t="b">
        <f t="shared" si="360"/>
        <v>0</v>
      </c>
      <c r="Y516" t="str">
        <f>'Green_rooibos initial weight'!A517</f>
        <v>G513</v>
      </c>
      <c r="Z516" t="str">
        <f>'Green_rooibos initial weight'!A1421</f>
        <v>R513</v>
      </c>
      <c r="AA516" t="b">
        <f t="shared" si="361"/>
        <v>0</v>
      </c>
      <c r="AB516" t="b">
        <f t="shared" si="362"/>
        <v>0</v>
      </c>
      <c r="AX516" s="395" t="b">
        <f t="shared" si="363"/>
        <v>0</v>
      </c>
      <c r="AY516" s="395" t="b">
        <f t="shared" si="364"/>
        <v>0</v>
      </c>
      <c r="BH516">
        <f t="shared" si="365"/>
        <v>0</v>
      </c>
    </row>
    <row r="517" spans="2:60" ht="12" customHeight="1">
      <c r="B517">
        <f>TBIDry!H589</f>
        <v>0</v>
      </c>
      <c r="C517">
        <f>TBIDry!I589</f>
        <v>0</v>
      </c>
      <c r="D517" t="b">
        <f t="shared" ref="D517:D580" si="367">COUNTIF($B$4:$B$2000, B517)&gt;1</f>
        <v>1</v>
      </c>
      <c r="E517" t="b">
        <f t="shared" ref="E517:E580" si="368">COUNTIF($C$4:$C$2000, C517)&gt;1</f>
        <v>1</v>
      </c>
      <c r="Q517" s="395" t="b">
        <f t="shared" ref="Q517:Q525" si="369">COUNTIF($T$4:$T$2000, L517)=1</f>
        <v>0</v>
      </c>
      <c r="R517" s="395" t="b">
        <f t="shared" ref="R517:R525" si="370" xml:space="preserve"> COUNTIF($U$4:$U$2000,M517)=1</f>
        <v>0</v>
      </c>
      <c r="Y517" t="str">
        <f>'Green_rooibos initial weight'!A518</f>
        <v>G514</v>
      </c>
      <c r="Z517" t="str">
        <f>'Green_rooibos initial weight'!A1422</f>
        <v>R514</v>
      </c>
      <c r="AA517" t="b">
        <f t="shared" ref="AA517:AA580" si="371">COUNTIF($Y$4:$Y$2000, Y517)&gt;1</f>
        <v>0</v>
      </c>
      <c r="AB517" t="b">
        <f t="shared" ref="AB517:AB580" si="372">COUNTIF($Z$4:$Z$2000, Z517)&gt;1</f>
        <v>0</v>
      </c>
      <c r="AX517" s="395" t="b">
        <f t="shared" ref="AX517:AX525" si="373">COUNTIF($BA$4:$BA$2000, AS517)=1</f>
        <v>0</v>
      </c>
      <c r="AY517" s="395" t="b">
        <f t="shared" ref="AY517:AY525" si="374">COUNTIF($BB$4:$BB$2000, AT517)=1</f>
        <v>0</v>
      </c>
      <c r="BH517">
        <f t="shared" ref="BH517:BH580" si="375">B516</f>
        <v>0</v>
      </c>
    </row>
    <row r="518" spans="2:60" ht="12" customHeight="1">
      <c r="B518">
        <f>TBIDry!H590</f>
        <v>0</v>
      </c>
      <c r="C518">
        <f>TBIDry!I590</f>
        <v>0</v>
      </c>
      <c r="D518" t="b">
        <f t="shared" si="367"/>
        <v>1</v>
      </c>
      <c r="E518" t="b">
        <f t="shared" si="368"/>
        <v>1</v>
      </c>
      <c r="Q518" s="395" t="b">
        <f t="shared" si="369"/>
        <v>0</v>
      </c>
      <c r="R518" s="395" t="b">
        <f t="shared" si="370"/>
        <v>0</v>
      </c>
      <c r="Y518" t="str">
        <f>'Green_rooibos initial weight'!A519</f>
        <v>G515</v>
      </c>
      <c r="Z518" t="str">
        <f>'Green_rooibos initial weight'!A1423</f>
        <v>R515</v>
      </c>
      <c r="AA518" t="b">
        <f t="shared" si="371"/>
        <v>0</v>
      </c>
      <c r="AB518" t="b">
        <f t="shared" si="372"/>
        <v>0</v>
      </c>
      <c r="AX518" s="395" t="b">
        <f t="shared" si="373"/>
        <v>0</v>
      </c>
      <c r="AY518" s="395" t="b">
        <f t="shared" si="374"/>
        <v>0</v>
      </c>
      <c r="BH518">
        <f t="shared" si="375"/>
        <v>0</v>
      </c>
    </row>
    <row r="519" spans="2:60" ht="12" customHeight="1">
      <c r="B519">
        <f>TBIDry!H591</f>
        <v>0</v>
      </c>
      <c r="C519">
        <f>TBIDry!I591</f>
        <v>0</v>
      </c>
      <c r="D519" t="b">
        <f t="shared" si="367"/>
        <v>1</v>
      </c>
      <c r="E519" t="b">
        <f t="shared" si="368"/>
        <v>1</v>
      </c>
      <c r="Q519" s="395" t="b">
        <f t="shared" si="369"/>
        <v>0</v>
      </c>
      <c r="R519" s="395" t="b">
        <f t="shared" si="370"/>
        <v>0</v>
      </c>
      <c r="Y519" t="str">
        <f>'Green_rooibos initial weight'!A520</f>
        <v>G516</v>
      </c>
      <c r="Z519" t="str">
        <f>'Green_rooibos initial weight'!A1424</f>
        <v>R516</v>
      </c>
      <c r="AA519" t="b">
        <f t="shared" si="371"/>
        <v>0</v>
      </c>
      <c r="AB519" t="b">
        <f t="shared" si="372"/>
        <v>0</v>
      </c>
      <c r="AX519" s="395" t="b">
        <f t="shared" si="373"/>
        <v>0</v>
      </c>
      <c r="AY519" s="395" t="b">
        <f t="shared" si="374"/>
        <v>0</v>
      </c>
      <c r="BH519">
        <f t="shared" si="375"/>
        <v>0</v>
      </c>
    </row>
    <row r="520" spans="2:60" ht="12" customHeight="1">
      <c r="B520">
        <f>TBIDry!H592</f>
        <v>0</v>
      </c>
      <c r="C520">
        <f>TBIDry!I592</f>
        <v>0</v>
      </c>
      <c r="D520" t="b">
        <f t="shared" si="367"/>
        <v>1</v>
      </c>
      <c r="E520" t="b">
        <f t="shared" si="368"/>
        <v>1</v>
      </c>
      <c r="Q520" s="395" t="b">
        <f t="shared" si="369"/>
        <v>0</v>
      </c>
      <c r="R520" s="395" t="b">
        <f t="shared" si="370"/>
        <v>0</v>
      </c>
      <c r="Y520" t="str">
        <f>'Green_rooibos initial weight'!A521</f>
        <v>G517</v>
      </c>
      <c r="Z520" t="str">
        <f>'Green_rooibos initial weight'!A1425</f>
        <v>R517</v>
      </c>
      <c r="AA520" t="b">
        <f t="shared" si="371"/>
        <v>0</v>
      </c>
      <c r="AB520" t="b">
        <f t="shared" si="372"/>
        <v>0</v>
      </c>
      <c r="AX520" s="395" t="b">
        <f t="shared" si="373"/>
        <v>0</v>
      </c>
      <c r="AY520" s="395" t="b">
        <f t="shared" si="374"/>
        <v>0</v>
      </c>
      <c r="BH520">
        <f t="shared" si="375"/>
        <v>0</v>
      </c>
    </row>
    <row r="521" spans="2:60" ht="12" customHeight="1">
      <c r="B521">
        <f>TBIDry!H593</f>
        <v>0</v>
      </c>
      <c r="C521">
        <f>TBIDry!I593</f>
        <v>0</v>
      </c>
      <c r="D521" t="b">
        <f t="shared" si="367"/>
        <v>1</v>
      </c>
      <c r="E521" t="b">
        <f t="shared" si="368"/>
        <v>1</v>
      </c>
      <c r="Q521" s="395" t="b">
        <f t="shared" si="369"/>
        <v>0</v>
      </c>
      <c r="R521" s="395" t="b">
        <f t="shared" si="370"/>
        <v>0</v>
      </c>
      <c r="Y521" t="str">
        <f>'Green_rooibos initial weight'!A522</f>
        <v>G518</v>
      </c>
      <c r="Z521" t="str">
        <f>'Green_rooibos initial weight'!A1426</f>
        <v>R518</v>
      </c>
      <c r="AA521" t="b">
        <f t="shared" si="371"/>
        <v>0</v>
      </c>
      <c r="AB521" t="b">
        <f t="shared" si="372"/>
        <v>0</v>
      </c>
      <c r="AX521" s="395" t="b">
        <f t="shared" si="373"/>
        <v>0</v>
      </c>
      <c r="AY521" s="395" t="b">
        <f t="shared" si="374"/>
        <v>0</v>
      </c>
      <c r="BH521">
        <f t="shared" si="375"/>
        <v>0</v>
      </c>
    </row>
    <row r="522" spans="2:60" ht="12" customHeight="1">
      <c r="B522">
        <f>TBIDry!H594</f>
        <v>0</v>
      </c>
      <c r="C522">
        <f>TBIDry!I594</f>
        <v>0</v>
      </c>
      <c r="D522" t="b">
        <f t="shared" si="367"/>
        <v>1</v>
      </c>
      <c r="E522" t="b">
        <f t="shared" si="368"/>
        <v>1</v>
      </c>
      <c r="Q522" s="395" t="b">
        <f t="shared" si="369"/>
        <v>0</v>
      </c>
      <c r="R522" s="395" t="b">
        <f t="shared" si="370"/>
        <v>0</v>
      </c>
      <c r="Y522" t="str">
        <f>'Green_rooibos initial weight'!A523</f>
        <v>G519</v>
      </c>
      <c r="Z522" t="str">
        <f>'Green_rooibos initial weight'!A1427</f>
        <v>R519</v>
      </c>
      <c r="AA522" t="b">
        <f t="shared" si="371"/>
        <v>0</v>
      </c>
      <c r="AB522" t="b">
        <f t="shared" si="372"/>
        <v>0</v>
      </c>
      <c r="AX522" s="395" t="b">
        <f t="shared" si="373"/>
        <v>0</v>
      </c>
      <c r="AY522" s="395" t="b">
        <f t="shared" si="374"/>
        <v>0</v>
      </c>
      <c r="BH522">
        <f t="shared" si="375"/>
        <v>0</v>
      </c>
    </row>
    <row r="523" spans="2:60" ht="12" customHeight="1">
      <c r="B523">
        <f>TBIDry!H595</f>
        <v>0</v>
      </c>
      <c r="C523">
        <f>TBIDry!I595</f>
        <v>0</v>
      </c>
      <c r="D523" t="b">
        <f t="shared" si="367"/>
        <v>1</v>
      </c>
      <c r="E523" t="b">
        <f t="shared" si="368"/>
        <v>1</v>
      </c>
      <c r="Q523" s="395" t="b">
        <f t="shared" si="369"/>
        <v>0</v>
      </c>
      <c r="R523" s="395" t="b">
        <f t="shared" si="370"/>
        <v>0</v>
      </c>
      <c r="Y523" t="str">
        <f>'Green_rooibos initial weight'!A524</f>
        <v>G520</v>
      </c>
      <c r="Z523" t="str">
        <f>'Green_rooibos initial weight'!A1428</f>
        <v>R520</v>
      </c>
      <c r="AA523" t="b">
        <f t="shared" si="371"/>
        <v>0</v>
      </c>
      <c r="AB523" t="b">
        <f t="shared" si="372"/>
        <v>0</v>
      </c>
      <c r="AX523" s="395" t="b">
        <f t="shared" si="373"/>
        <v>0</v>
      </c>
      <c r="AY523" s="395" t="b">
        <f t="shared" si="374"/>
        <v>0</v>
      </c>
      <c r="BH523">
        <f t="shared" si="375"/>
        <v>0</v>
      </c>
    </row>
    <row r="524" spans="2:60" ht="12" customHeight="1">
      <c r="B524">
        <f>TBIDry!H596</f>
        <v>0</v>
      </c>
      <c r="C524">
        <f>TBIDry!I596</f>
        <v>0</v>
      </c>
      <c r="D524" t="b">
        <f t="shared" si="367"/>
        <v>1</v>
      </c>
      <c r="E524" t="b">
        <f t="shared" si="368"/>
        <v>1</v>
      </c>
      <c r="Q524" s="395" t="b">
        <f t="shared" si="369"/>
        <v>0</v>
      </c>
      <c r="R524" s="395" t="b">
        <f t="shared" si="370"/>
        <v>0</v>
      </c>
      <c r="Y524" t="str">
        <f>'Green_rooibos initial weight'!A525</f>
        <v>G521</v>
      </c>
      <c r="Z524" t="str">
        <f>'Green_rooibos initial weight'!A1429</f>
        <v>R521</v>
      </c>
      <c r="AA524" t="b">
        <f t="shared" si="371"/>
        <v>0</v>
      </c>
      <c r="AB524" t="b">
        <f t="shared" si="372"/>
        <v>0</v>
      </c>
      <c r="AX524" s="395" t="b">
        <f t="shared" si="373"/>
        <v>0</v>
      </c>
      <c r="AY524" s="395" t="b">
        <f t="shared" si="374"/>
        <v>0</v>
      </c>
      <c r="BH524">
        <f t="shared" si="375"/>
        <v>0</v>
      </c>
    </row>
    <row r="525" spans="2:60" ht="12" customHeight="1">
      <c r="B525">
        <f>TBIDry!H597</f>
        <v>0</v>
      </c>
      <c r="C525">
        <f>TBIDry!I597</f>
        <v>0</v>
      </c>
      <c r="D525" t="b">
        <f t="shared" si="367"/>
        <v>1</v>
      </c>
      <c r="E525" t="b">
        <f t="shared" si="368"/>
        <v>1</v>
      </c>
      <c r="Q525" s="395" t="b">
        <f t="shared" si="369"/>
        <v>0</v>
      </c>
      <c r="R525" s="395" t="b">
        <f t="shared" si="370"/>
        <v>0</v>
      </c>
      <c r="Y525" t="str">
        <f>'Green_rooibos initial weight'!A526</f>
        <v>G522</v>
      </c>
      <c r="Z525" t="str">
        <f>'Green_rooibos initial weight'!A1430</f>
        <v>R522</v>
      </c>
      <c r="AA525" t="b">
        <f t="shared" si="371"/>
        <v>0</v>
      </c>
      <c r="AB525" t="b">
        <f t="shared" si="372"/>
        <v>0</v>
      </c>
      <c r="AX525" s="395" t="b">
        <f t="shared" si="373"/>
        <v>0</v>
      </c>
      <c r="AY525" s="395" t="b">
        <f t="shared" si="374"/>
        <v>0</v>
      </c>
      <c r="BH525">
        <f t="shared" si="375"/>
        <v>0</v>
      </c>
    </row>
    <row r="526" spans="2:60" ht="12" customHeight="1">
      <c r="B526">
        <f>TBIDry!H598</f>
        <v>0</v>
      </c>
      <c r="C526">
        <f>TBIDry!I598</f>
        <v>0</v>
      </c>
      <c r="D526" t="b">
        <f t="shared" si="367"/>
        <v>1</v>
      </c>
      <c r="E526" t="b">
        <f t="shared" si="368"/>
        <v>1</v>
      </c>
      <c r="Y526" t="str">
        <f>'Green_rooibos initial weight'!A527</f>
        <v>G523</v>
      </c>
      <c r="Z526" t="str">
        <f>'Green_rooibos initial weight'!A1431</f>
        <v>R523</v>
      </c>
      <c r="AA526" t="b">
        <f t="shared" si="371"/>
        <v>0</v>
      </c>
      <c r="AB526" t="b">
        <f t="shared" si="372"/>
        <v>0</v>
      </c>
      <c r="BH526">
        <f t="shared" si="375"/>
        <v>0</v>
      </c>
    </row>
    <row r="527" spans="2:60" ht="12" customHeight="1">
      <c r="B527">
        <f>TBIDry!H599</f>
        <v>0</v>
      </c>
      <c r="C527">
        <f>TBIDry!I599</f>
        <v>0</v>
      </c>
      <c r="D527" t="b">
        <f t="shared" si="367"/>
        <v>1</v>
      </c>
      <c r="E527" t="b">
        <f t="shared" si="368"/>
        <v>1</v>
      </c>
      <c r="Y527" t="str">
        <f>'Green_rooibos initial weight'!A528</f>
        <v>G524</v>
      </c>
      <c r="Z527" t="str">
        <f>'Green_rooibos initial weight'!A1432</f>
        <v>R524</v>
      </c>
      <c r="AA527" t="b">
        <f t="shared" si="371"/>
        <v>0</v>
      </c>
      <c r="AB527" t="b">
        <f t="shared" si="372"/>
        <v>0</v>
      </c>
      <c r="BH527">
        <f t="shared" si="375"/>
        <v>0</v>
      </c>
    </row>
    <row r="528" spans="2:60" ht="12" customHeight="1">
      <c r="B528">
        <f>TBIDry!H600</f>
        <v>0</v>
      </c>
      <c r="C528">
        <f>TBIDry!I600</f>
        <v>0</v>
      </c>
      <c r="D528" t="b">
        <f t="shared" si="367"/>
        <v>1</v>
      </c>
      <c r="E528" t="b">
        <f t="shared" si="368"/>
        <v>1</v>
      </c>
      <c r="Y528" t="str">
        <f>'Green_rooibos initial weight'!A529</f>
        <v>G525</v>
      </c>
      <c r="Z528" t="str">
        <f>'Green_rooibos initial weight'!A1433</f>
        <v>R525</v>
      </c>
      <c r="AA528" t="b">
        <f t="shared" si="371"/>
        <v>0</v>
      </c>
      <c r="AB528" t="b">
        <f t="shared" si="372"/>
        <v>0</v>
      </c>
      <c r="BH528">
        <f t="shared" si="375"/>
        <v>0</v>
      </c>
    </row>
    <row r="529" spans="2:60" ht="12" customHeight="1">
      <c r="B529">
        <f>TBIDry!H601</f>
        <v>0</v>
      </c>
      <c r="C529">
        <f>TBIDry!I601</f>
        <v>0</v>
      </c>
      <c r="D529" t="b">
        <f t="shared" si="367"/>
        <v>1</v>
      </c>
      <c r="E529" t="b">
        <f t="shared" si="368"/>
        <v>1</v>
      </c>
      <c r="Y529" t="str">
        <f>'Green_rooibos initial weight'!A530</f>
        <v>G526</v>
      </c>
      <c r="Z529" t="str">
        <f>'Green_rooibos initial weight'!A1434</f>
        <v>R526</v>
      </c>
      <c r="AA529" t="b">
        <f t="shared" si="371"/>
        <v>0</v>
      </c>
      <c r="AB529" t="b">
        <f t="shared" si="372"/>
        <v>0</v>
      </c>
      <c r="BH529">
        <f t="shared" si="375"/>
        <v>0</v>
      </c>
    </row>
    <row r="530" spans="2:60" ht="12" customHeight="1">
      <c r="B530">
        <f>TBIDry!H602</f>
        <v>0</v>
      </c>
      <c r="C530">
        <f>TBIDry!I602</f>
        <v>0</v>
      </c>
      <c r="D530" t="b">
        <f t="shared" si="367"/>
        <v>1</v>
      </c>
      <c r="E530" t="b">
        <f t="shared" si="368"/>
        <v>1</v>
      </c>
      <c r="Y530" t="str">
        <f>'Green_rooibos initial weight'!A531</f>
        <v>G527</v>
      </c>
      <c r="Z530" t="str">
        <f>'Green_rooibos initial weight'!A1435</f>
        <v>R527</v>
      </c>
      <c r="AA530" t="b">
        <f t="shared" si="371"/>
        <v>0</v>
      </c>
      <c r="AB530" t="b">
        <f t="shared" si="372"/>
        <v>0</v>
      </c>
      <c r="BH530">
        <f t="shared" si="375"/>
        <v>0</v>
      </c>
    </row>
    <row r="531" spans="2:60" ht="12" customHeight="1">
      <c r="B531">
        <f>TBIDry!H603</f>
        <v>0</v>
      </c>
      <c r="C531">
        <f>TBIDry!I603</f>
        <v>0</v>
      </c>
      <c r="D531" t="b">
        <f t="shared" si="367"/>
        <v>1</v>
      </c>
      <c r="E531" t="b">
        <f t="shared" si="368"/>
        <v>1</v>
      </c>
      <c r="Y531" t="str">
        <f>'Green_rooibos initial weight'!A532</f>
        <v>G528</v>
      </c>
      <c r="Z531" t="str">
        <f>'Green_rooibos initial weight'!A1436</f>
        <v>R528</v>
      </c>
      <c r="AA531" t="b">
        <f t="shared" si="371"/>
        <v>0</v>
      </c>
      <c r="AB531" t="b">
        <f t="shared" si="372"/>
        <v>0</v>
      </c>
      <c r="BH531">
        <f t="shared" si="375"/>
        <v>0</v>
      </c>
    </row>
    <row r="532" spans="2:60" ht="12" customHeight="1">
      <c r="B532">
        <f>TBIDry!H604</f>
        <v>0</v>
      </c>
      <c r="C532">
        <f>TBIDry!I604</f>
        <v>0</v>
      </c>
      <c r="D532" t="b">
        <f t="shared" si="367"/>
        <v>1</v>
      </c>
      <c r="E532" t="b">
        <f t="shared" si="368"/>
        <v>1</v>
      </c>
      <c r="Y532" t="str">
        <f>'Green_rooibos initial weight'!A533</f>
        <v>G529</v>
      </c>
      <c r="Z532" t="str">
        <f>'Green_rooibos initial weight'!A1437</f>
        <v>R529</v>
      </c>
      <c r="AA532" t="b">
        <f t="shared" si="371"/>
        <v>0</v>
      </c>
      <c r="AB532" t="b">
        <f t="shared" si="372"/>
        <v>0</v>
      </c>
      <c r="BH532">
        <f t="shared" si="375"/>
        <v>0</v>
      </c>
    </row>
    <row r="533" spans="2:60" ht="12" customHeight="1">
      <c r="B533">
        <f>TBIDry!H605</f>
        <v>0</v>
      </c>
      <c r="C533">
        <f>TBIDry!I605</f>
        <v>0</v>
      </c>
      <c r="D533" t="b">
        <f t="shared" si="367"/>
        <v>1</v>
      </c>
      <c r="E533" t="b">
        <f t="shared" si="368"/>
        <v>1</v>
      </c>
      <c r="Y533" t="str">
        <f>'Green_rooibos initial weight'!A534</f>
        <v>G530</v>
      </c>
      <c r="Z533" t="str">
        <f>'Green_rooibos initial weight'!A1438</f>
        <v>R530</v>
      </c>
      <c r="AA533" t="b">
        <f t="shared" si="371"/>
        <v>0</v>
      </c>
      <c r="AB533" t="b">
        <f t="shared" si="372"/>
        <v>0</v>
      </c>
      <c r="BH533">
        <f t="shared" si="375"/>
        <v>0</v>
      </c>
    </row>
    <row r="534" spans="2:60" ht="12" customHeight="1">
      <c r="B534">
        <f>TBIDry!H606</f>
        <v>0</v>
      </c>
      <c r="C534">
        <f>TBIDry!I606</f>
        <v>0</v>
      </c>
      <c r="D534" t="b">
        <f t="shared" si="367"/>
        <v>1</v>
      </c>
      <c r="E534" t="b">
        <f t="shared" si="368"/>
        <v>1</v>
      </c>
      <c r="Y534" t="str">
        <f>'Green_rooibos initial weight'!A535</f>
        <v>G531</v>
      </c>
      <c r="Z534" t="str">
        <f>'Green_rooibos initial weight'!A1439</f>
        <v>R531</v>
      </c>
      <c r="AA534" t="b">
        <f t="shared" si="371"/>
        <v>0</v>
      </c>
      <c r="AB534" t="b">
        <f t="shared" si="372"/>
        <v>0</v>
      </c>
      <c r="BH534">
        <f t="shared" si="375"/>
        <v>0</v>
      </c>
    </row>
    <row r="535" spans="2:60" ht="12" customHeight="1">
      <c r="B535">
        <f>TBIDry!H607</f>
        <v>0</v>
      </c>
      <c r="C535">
        <f>TBIDry!I607</f>
        <v>0</v>
      </c>
      <c r="D535" t="b">
        <f t="shared" si="367"/>
        <v>1</v>
      </c>
      <c r="E535" t="b">
        <f t="shared" si="368"/>
        <v>1</v>
      </c>
      <c r="Y535" t="str">
        <f>'Green_rooibos initial weight'!A536</f>
        <v>G532</v>
      </c>
      <c r="Z535" t="str">
        <f>'Green_rooibos initial weight'!A1440</f>
        <v>R532</v>
      </c>
      <c r="AA535" t="b">
        <f t="shared" si="371"/>
        <v>0</v>
      </c>
      <c r="AB535" t="b">
        <f t="shared" si="372"/>
        <v>0</v>
      </c>
      <c r="BH535">
        <f t="shared" si="375"/>
        <v>0</v>
      </c>
    </row>
    <row r="536" spans="2:60" ht="12" customHeight="1">
      <c r="B536">
        <f>TBIDry!H608</f>
        <v>0</v>
      </c>
      <c r="C536">
        <f>TBIDry!I608</f>
        <v>0</v>
      </c>
      <c r="D536" t="b">
        <f t="shared" si="367"/>
        <v>1</v>
      </c>
      <c r="E536" t="b">
        <f t="shared" si="368"/>
        <v>1</v>
      </c>
      <c r="Y536" t="str">
        <f>'Green_rooibos initial weight'!A537</f>
        <v>G533</v>
      </c>
      <c r="Z536" t="str">
        <f>'Green_rooibos initial weight'!A1441</f>
        <v>R533</v>
      </c>
      <c r="AA536" t="b">
        <f t="shared" si="371"/>
        <v>0</v>
      </c>
      <c r="AB536" t="b">
        <f t="shared" si="372"/>
        <v>0</v>
      </c>
      <c r="BH536">
        <f t="shared" si="375"/>
        <v>0</v>
      </c>
    </row>
    <row r="537" spans="2:60" ht="12" customHeight="1">
      <c r="B537">
        <f>TBIDry!H609</f>
        <v>0</v>
      </c>
      <c r="C537">
        <f>TBIDry!I609</f>
        <v>0</v>
      </c>
      <c r="D537" t="b">
        <f t="shared" si="367"/>
        <v>1</v>
      </c>
      <c r="E537" t="b">
        <f t="shared" si="368"/>
        <v>1</v>
      </c>
      <c r="Y537" t="str">
        <f>'Green_rooibos initial weight'!A538</f>
        <v>G534</v>
      </c>
      <c r="Z537" t="str">
        <f>'Green_rooibos initial weight'!A1442</f>
        <v>R534</v>
      </c>
      <c r="AA537" t="b">
        <f t="shared" si="371"/>
        <v>0</v>
      </c>
      <c r="AB537" t="b">
        <f t="shared" si="372"/>
        <v>0</v>
      </c>
      <c r="BH537">
        <f t="shared" si="375"/>
        <v>0</v>
      </c>
    </row>
    <row r="538" spans="2:60" ht="12" customHeight="1">
      <c r="B538">
        <f>TBIDry!H610</f>
        <v>0</v>
      </c>
      <c r="C538">
        <f>TBIDry!I610</f>
        <v>0</v>
      </c>
      <c r="D538" t="b">
        <f t="shared" si="367"/>
        <v>1</v>
      </c>
      <c r="E538" t="b">
        <f t="shared" si="368"/>
        <v>1</v>
      </c>
      <c r="Y538" t="str">
        <f>'Green_rooibos initial weight'!A539</f>
        <v>G535</v>
      </c>
      <c r="Z538" t="str">
        <f>'Green_rooibos initial weight'!A1443</f>
        <v>R535</v>
      </c>
      <c r="AA538" t="b">
        <f t="shared" si="371"/>
        <v>0</v>
      </c>
      <c r="AB538" t="b">
        <f t="shared" si="372"/>
        <v>0</v>
      </c>
      <c r="BH538">
        <f t="shared" si="375"/>
        <v>0</v>
      </c>
    </row>
    <row r="539" spans="2:60" ht="12" customHeight="1">
      <c r="B539">
        <f>TBIDry!H611</f>
        <v>0</v>
      </c>
      <c r="C539">
        <f>TBIDry!I611</f>
        <v>0</v>
      </c>
      <c r="D539" t="b">
        <f t="shared" si="367"/>
        <v>1</v>
      </c>
      <c r="E539" t="b">
        <f t="shared" si="368"/>
        <v>1</v>
      </c>
      <c r="Y539" t="str">
        <f>'Green_rooibos initial weight'!A540</f>
        <v>G536</v>
      </c>
      <c r="Z539" t="str">
        <f>'Green_rooibos initial weight'!A1444</f>
        <v>R536</v>
      </c>
      <c r="AA539" t="b">
        <f t="shared" si="371"/>
        <v>0</v>
      </c>
      <c r="AB539" t="b">
        <f t="shared" si="372"/>
        <v>0</v>
      </c>
      <c r="BH539">
        <f t="shared" si="375"/>
        <v>0</v>
      </c>
    </row>
    <row r="540" spans="2:60" ht="12" customHeight="1">
      <c r="B540">
        <f>TBIDry!H612</f>
        <v>0</v>
      </c>
      <c r="C540">
        <f>TBIDry!I612</f>
        <v>0</v>
      </c>
      <c r="D540" t="b">
        <f t="shared" si="367"/>
        <v>1</v>
      </c>
      <c r="E540" t="b">
        <f t="shared" si="368"/>
        <v>1</v>
      </c>
      <c r="Y540" t="str">
        <f>'Green_rooibos initial weight'!A541</f>
        <v>G537</v>
      </c>
      <c r="Z540" t="str">
        <f>'Green_rooibos initial weight'!A1445</f>
        <v>R537</v>
      </c>
      <c r="AA540" t="b">
        <f t="shared" si="371"/>
        <v>0</v>
      </c>
      <c r="AB540" t="b">
        <f t="shared" si="372"/>
        <v>0</v>
      </c>
      <c r="BH540">
        <f t="shared" si="375"/>
        <v>0</v>
      </c>
    </row>
    <row r="541" spans="2:60" ht="12" customHeight="1">
      <c r="B541">
        <f>TBIDry!H613</f>
        <v>0</v>
      </c>
      <c r="C541">
        <f>TBIDry!I613</f>
        <v>0</v>
      </c>
      <c r="D541" t="b">
        <f t="shared" si="367"/>
        <v>1</v>
      </c>
      <c r="E541" t="b">
        <f t="shared" si="368"/>
        <v>1</v>
      </c>
      <c r="Y541" t="str">
        <f>'Green_rooibos initial weight'!A542</f>
        <v>G538</v>
      </c>
      <c r="Z541" t="str">
        <f>'Green_rooibos initial weight'!A1446</f>
        <v>R538</v>
      </c>
      <c r="AA541" t="b">
        <f t="shared" si="371"/>
        <v>0</v>
      </c>
      <c r="AB541" t="b">
        <f t="shared" si="372"/>
        <v>0</v>
      </c>
      <c r="BH541">
        <f t="shared" si="375"/>
        <v>0</v>
      </c>
    </row>
    <row r="542" spans="2:60" ht="12" customHeight="1">
      <c r="B542">
        <f>TBIDry!H614</f>
        <v>0</v>
      </c>
      <c r="C542">
        <f>TBIDry!I614</f>
        <v>0</v>
      </c>
      <c r="D542" t="b">
        <f t="shared" si="367"/>
        <v>1</v>
      </c>
      <c r="E542" t="b">
        <f t="shared" si="368"/>
        <v>1</v>
      </c>
      <c r="Y542" t="str">
        <f>'Green_rooibos initial weight'!A543</f>
        <v>G539</v>
      </c>
      <c r="Z542" t="str">
        <f>'Green_rooibos initial weight'!A1447</f>
        <v>R539</v>
      </c>
      <c r="AA542" t="b">
        <f t="shared" si="371"/>
        <v>0</v>
      </c>
      <c r="AB542" t="b">
        <f t="shared" si="372"/>
        <v>0</v>
      </c>
      <c r="BH542">
        <f t="shared" si="375"/>
        <v>0</v>
      </c>
    </row>
    <row r="543" spans="2:60" ht="12" customHeight="1">
      <c r="B543">
        <f>TBIDry!H615</f>
        <v>0</v>
      </c>
      <c r="C543">
        <f>TBIDry!I615</f>
        <v>0</v>
      </c>
      <c r="D543" t="b">
        <f t="shared" si="367"/>
        <v>1</v>
      </c>
      <c r="E543" t="b">
        <f t="shared" si="368"/>
        <v>1</v>
      </c>
      <c r="Y543" t="str">
        <f>'Green_rooibos initial weight'!A544</f>
        <v>G540</v>
      </c>
      <c r="Z543" t="str">
        <f>'Green_rooibos initial weight'!A1448</f>
        <v>R540</v>
      </c>
      <c r="AA543" t="b">
        <f t="shared" si="371"/>
        <v>0</v>
      </c>
      <c r="AB543" t="b">
        <f t="shared" si="372"/>
        <v>0</v>
      </c>
      <c r="BH543">
        <f t="shared" si="375"/>
        <v>0</v>
      </c>
    </row>
    <row r="544" spans="2:60" ht="12" customHeight="1">
      <c r="B544">
        <f>TBIDry!H616</f>
        <v>0</v>
      </c>
      <c r="C544">
        <f>TBIDry!I616</f>
        <v>0</v>
      </c>
      <c r="D544" t="b">
        <f t="shared" si="367"/>
        <v>1</v>
      </c>
      <c r="E544" t="b">
        <f t="shared" si="368"/>
        <v>1</v>
      </c>
      <c r="Y544" t="str">
        <f>'Green_rooibos initial weight'!A545</f>
        <v>G541</v>
      </c>
      <c r="Z544" t="str">
        <f>'Green_rooibos initial weight'!A1449</f>
        <v>R541</v>
      </c>
      <c r="AA544" t="b">
        <f t="shared" si="371"/>
        <v>0</v>
      </c>
      <c r="AB544" t="b">
        <f t="shared" si="372"/>
        <v>0</v>
      </c>
      <c r="BH544">
        <f t="shared" si="375"/>
        <v>0</v>
      </c>
    </row>
    <row r="545" spans="2:60" ht="12" customHeight="1">
      <c r="B545">
        <f>TBIDry!H617</f>
        <v>0</v>
      </c>
      <c r="C545">
        <f>TBIDry!I617</f>
        <v>0</v>
      </c>
      <c r="D545" t="b">
        <f t="shared" si="367"/>
        <v>1</v>
      </c>
      <c r="E545" t="b">
        <f t="shared" si="368"/>
        <v>1</v>
      </c>
      <c r="Y545" t="str">
        <f>'Green_rooibos initial weight'!A546</f>
        <v>G542</v>
      </c>
      <c r="Z545" t="str">
        <f>'Green_rooibos initial weight'!A1450</f>
        <v>R542</v>
      </c>
      <c r="AA545" t="b">
        <f t="shared" si="371"/>
        <v>0</v>
      </c>
      <c r="AB545" t="b">
        <f t="shared" si="372"/>
        <v>0</v>
      </c>
      <c r="BH545">
        <f t="shared" si="375"/>
        <v>0</v>
      </c>
    </row>
    <row r="546" spans="2:60" ht="12" customHeight="1">
      <c r="B546">
        <f>TBIDry!H618</f>
        <v>0</v>
      </c>
      <c r="C546">
        <f>TBIDry!I618</f>
        <v>0</v>
      </c>
      <c r="D546" t="b">
        <f t="shared" si="367"/>
        <v>1</v>
      </c>
      <c r="E546" t="b">
        <f t="shared" si="368"/>
        <v>1</v>
      </c>
      <c r="Y546" t="str">
        <f>'Green_rooibos initial weight'!A547</f>
        <v>G543</v>
      </c>
      <c r="Z546" t="str">
        <f>'Green_rooibos initial weight'!A1451</f>
        <v>R543</v>
      </c>
      <c r="AA546" t="b">
        <f t="shared" si="371"/>
        <v>0</v>
      </c>
      <c r="AB546" t="b">
        <f t="shared" si="372"/>
        <v>0</v>
      </c>
      <c r="BH546">
        <f t="shared" si="375"/>
        <v>0</v>
      </c>
    </row>
    <row r="547" spans="2:60" ht="12" customHeight="1">
      <c r="B547">
        <f>TBIDry!H619</f>
        <v>0</v>
      </c>
      <c r="C547">
        <f>TBIDry!I619</f>
        <v>0</v>
      </c>
      <c r="D547" t="b">
        <f t="shared" si="367"/>
        <v>1</v>
      </c>
      <c r="E547" t="b">
        <f t="shared" si="368"/>
        <v>1</v>
      </c>
      <c r="Y547" t="str">
        <f>'Green_rooibos initial weight'!A548</f>
        <v>G544</v>
      </c>
      <c r="Z547" t="str">
        <f>'Green_rooibos initial weight'!A1452</f>
        <v>R544</v>
      </c>
      <c r="AA547" t="b">
        <f t="shared" si="371"/>
        <v>0</v>
      </c>
      <c r="AB547" t="b">
        <f t="shared" si="372"/>
        <v>0</v>
      </c>
      <c r="BH547">
        <f t="shared" si="375"/>
        <v>0</v>
      </c>
    </row>
    <row r="548" spans="2:60" ht="12" customHeight="1">
      <c r="B548">
        <f>TBIDry!H620</f>
        <v>0</v>
      </c>
      <c r="C548">
        <f>TBIDry!I620</f>
        <v>0</v>
      </c>
      <c r="D548" t="b">
        <f t="shared" si="367"/>
        <v>1</v>
      </c>
      <c r="E548" t="b">
        <f t="shared" si="368"/>
        <v>1</v>
      </c>
      <c r="Y548" t="str">
        <f>'Green_rooibos initial weight'!A549</f>
        <v>G545</v>
      </c>
      <c r="Z548" t="str">
        <f>'Green_rooibos initial weight'!A1453</f>
        <v>R545</v>
      </c>
      <c r="AA548" t="b">
        <f t="shared" si="371"/>
        <v>0</v>
      </c>
      <c r="AB548" t="b">
        <f t="shared" si="372"/>
        <v>0</v>
      </c>
      <c r="BH548">
        <f t="shared" si="375"/>
        <v>0</v>
      </c>
    </row>
    <row r="549" spans="2:60" ht="12" customHeight="1">
      <c r="B549">
        <f>TBIDry!H621</f>
        <v>0</v>
      </c>
      <c r="C549">
        <f>TBIDry!I621</f>
        <v>0</v>
      </c>
      <c r="D549" t="b">
        <f t="shared" si="367"/>
        <v>1</v>
      </c>
      <c r="E549" t="b">
        <f t="shared" si="368"/>
        <v>1</v>
      </c>
      <c r="Y549" t="str">
        <f>'Green_rooibos initial weight'!A550</f>
        <v>G546</v>
      </c>
      <c r="Z549" t="str">
        <f>'Green_rooibos initial weight'!A1454</f>
        <v>R546</v>
      </c>
      <c r="AA549" t="b">
        <f t="shared" si="371"/>
        <v>0</v>
      </c>
      <c r="AB549" t="b">
        <f t="shared" si="372"/>
        <v>0</v>
      </c>
      <c r="BH549">
        <f t="shared" si="375"/>
        <v>0</v>
      </c>
    </row>
    <row r="550" spans="2:60" ht="12" customHeight="1">
      <c r="B550">
        <f>TBIDry!H622</f>
        <v>0</v>
      </c>
      <c r="C550">
        <f>TBIDry!I622</f>
        <v>0</v>
      </c>
      <c r="D550" t="b">
        <f t="shared" si="367"/>
        <v>1</v>
      </c>
      <c r="E550" t="b">
        <f t="shared" si="368"/>
        <v>1</v>
      </c>
      <c r="Y550" t="str">
        <f>'Green_rooibos initial weight'!A551</f>
        <v>G547</v>
      </c>
      <c r="Z550" t="str">
        <f>'Green_rooibos initial weight'!A1455</f>
        <v>R547</v>
      </c>
      <c r="AA550" t="b">
        <f t="shared" si="371"/>
        <v>0</v>
      </c>
      <c r="AB550" t="b">
        <f t="shared" si="372"/>
        <v>0</v>
      </c>
      <c r="BH550">
        <f t="shared" si="375"/>
        <v>0</v>
      </c>
    </row>
    <row r="551" spans="2:60" ht="12" customHeight="1">
      <c r="B551">
        <f>TBIDry!H623</f>
        <v>0</v>
      </c>
      <c r="C551">
        <f>TBIDry!I623</f>
        <v>0</v>
      </c>
      <c r="D551" t="b">
        <f t="shared" si="367"/>
        <v>1</v>
      </c>
      <c r="E551" t="b">
        <f t="shared" si="368"/>
        <v>1</v>
      </c>
      <c r="Y551" t="str">
        <f>'Green_rooibos initial weight'!A552</f>
        <v>G548</v>
      </c>
      <c r="Z551" t="str">
        <f>'Green_rooibos initial weight'!A1456</f>
        <v>R548</v>
      </c>
      <c r="AA551" t="b">
        <f t="shared" si="371"/>
        <v>0</v>
      </c>
      <c r="AB551" t="b">
        <f t="shared" si="372"/>
        <v>0</v>
      </c>
      <c r="BH551">
        <f t="shared" si="375"/>
        <v>0</v>
      </c>
    </row>
    <row r="552" spans="2:60" ht="12" customHeight="1">
      <c r="B552">
        <f>TBIDry!H624</f>
        <v>0</v>
      </c>
      <c r="C552">
        <f>TBIDry!I624</f>
        <v>0</v>
      </c>
      <c r="D552" t="b">
        <f t="shared" si="367"/>
        <v>1</v>
      </c>
      <c r="E552" t="b">
        <f t="shared" si="368"/>
        <v>1</v>
      </c>
      <c r="Y552" t="str">
        <f>'Green_rooibos initial weight'!A553</f>
        <v>G549</v>
      </c>
      <c r="Z552" t="str">
        <f>'Green_rooibos initial weight'!A1457</f>
        <v>R549</v>
      </c>
      <c r="AA552" t="b">
        <f t="shared" si="371"/>
        <v>0</v>
      </c>
      <c r="AB552" t="b">
        <f t="shared" si="372"/>
        <v>0</v>
      </c>
      <c r="BH552">
        <f t="shared" si="375"/>
        <v>0</v>
      </c>
    </row>
    <row r="553" spans="2:60" ht="12" customHeight="1">
      <c r="B553">
        <f>TBIDry!H625</f>
        <v>0</v>
      </c>
      <c r="C553">
        <f>TBIDry!I625</f>
        <v>0</v>
      </c>
      <c r="D553" t="b">
        <f t="shared" si="367"/>
        <v>1</v>
      </c>
      <c r="E553" t="b">
        <f t="shared" si="368"/>
        <v>1</v>
      </c>
      <c r="Y553" t="str">
        <f>'Green_rooibos initial weight'!A554</f>
        <v>G550</v>
      </c>
      <c r="Z553" t="str">
        <f>'Green_rooibos initial weight'!A1458</f>
        <v>R550</v>
      </c>
      <c r="AA553" t="b">
        <f t="shared" si="371"/>
        <v>0</v>
      </c>
      <c r="AB553" t="b">
        <f t="shared" si="372"/>
        <v>0</v>
      </c>
      <c r="BH553">
        <f t="shared" si="375"/>
        <v>0</v>
      </c>
    </row>
    <row r="554" spans="2:60" ht="12" customHeight="1">
      <c r="B554">
        <f>TBIDry!H626</f>
        <v>0</v>
      </c>
      <c r="C554">
        <f>TBIDry!I626</f>
        <v>0</v>
      </c>
      <c r="D554" t="b">
        <f t="shared" si="367"/>
        <v>1</v>
      </c>
      <c r="E554" t="b">
        <f t="shared" si="368"/>
        <v>1</v>
      </c>
      <c r="Y554" t="str">
        <f>'Green_rooibos initial weight'!A555</f>
        <v>G551</v>
      </c>
      <c r="Z554" t="str">
        <f>'Green_rooibos initial weight'!A1459</f>
        <v>R551</v>
      </c>
      <c r="AA554" t="b">
        <f t="shared" si="371"/>
        <v>0</v>
      </c>
      <c r="AB554" t="b">
        <f t="shared" si="372"/>
        <v>0</v>
      </c>
      <c r="BH554">
        <f t="shared" si="375"/>
        <v>0</v>
      </c>
    </row>
    <row r="555" spans="2:60" ht="12" customHeight="1">
      <c r="B555">
        <f>TBIDry!H627</f>
        <v>0</v>
      </c>
      <c r="C555">
        <f>TBIDry!I627</f>
        <v>0</v>
      </c>
      <c r="D555" t="b">
        <f t="shared" si="367"/>
        <v>1</v>
      </c>
      <c r="E555" t="b">
        <f t="shared" si="368"/>
        <v>1</v>
      </c>
      <c r="Y555" t="str">
        <f>'Green_rooibos initial weight'!A556</f>
        <v>G552</v>
      </c>
      <c r="Z555" t="str">
        <f>'Green_rooibos initial weight'!A1460</f>
        <v>R552</v>
      </c>
      <c r="AA555" t="b">
        <f t="shared" si="371"/>
        <v>0</v>
      </c>
      <c r="AB555" t="b">
        <f t="shared" si="372"/>
        <v>0</v>
      </c>
      <c r="BH555">
        <f t="shared" si="375"/>
        <v>0</v>
      </c>
    </row>
    <row r="556" spans="2:60" ht="12" customHeight="1">
      <c r="B556">
        <f>TBIDry!H628</f>
        <v>0</v>
      </c>
      <c r="C556">
        <f>TBIDry!I628</f>
        <v>0</v>
      </c>
      <c r="D556" t="b">
        <f t="shared" si="367"/>
        <v>1</v>
      </c>
      <c r="E556" t="b">
        <f t="shared" si="368"/>
        <v>1</v>
      </c>
      <c r="Y556" t="str">
        <f>'Green_rooibos initial weight'!A557</f>
        <v>G553</v>
      </c>
      <c r="Z556" t="str">
        <f>'Green_rooibos initial weight'!A1461</f>
        <v>R553</v>
      </c>
      <c r="AA556" t="b">
        <f t="shared" si="371"/>
        <v>0</v>
      </c>
      <c r="AB556" t="b">
        <f t="shared" si="372"/>
        <v>0</v>
      </c>
      <c r="BH556">
        <f t="shared" si="375"/>
        <v>0</v>
      </c>
    </row>
    <row r="557" spans="2:60" ht="12" customHeight="1">
      <c r="B557">
        <f>TBIDry!H629</f>
        <v>0</v>
      </c>
      <c r="C557">
        <f>TBIDry!I629</f>
        <v>0</v>
      </c>
      <c r="D557" t="b">
        <f t="shared" si="367"/>
        <v>1</v>
      </c>
      <c r="E557" t="b">
        <f t="shared" si="368"/>
        <v>1</v>
      </c>
      <c r="Y557" t="str">
        <f>'Green_rooibos initial weight'!A558</f>
        <v>G554</v>
      </c>
      <c r="Z557" t="str">
        <f>'Green_rooibos initial weight'!A1462</f>
        <v>R554</v>
      </c>
      <c r="AA557" t="b">
        <f t="shared" si="371"/>
        <v>0</v>
      </c>
      <c r="AB557" t="b">
        <f t="shared" si="372"/>
        <v>0</v>
      </c>
      <c r="BH557">
        <f t="shared" si="375"/>
        <v>0</v>
      </c>
    </row>
    <row r="558" spans="2:60" ht="12" customHeight="1">
      <c r="B558">
        <f>TBIDry!H630</f>
        <v>0</v>
      </c>
      <c r="C558">
        <f>TBIDry!I630</f>
        <v>0</v>
      </c>
      <c r="D558" t="b">
        <f t="shared" si="367"/>
        <v>1</v>
      </c>
      <c r="E558" t="b">
        <f t="shared" si="368"/>
        <v>1</v>
      </c>
      <c r="Y558" t="str">
        <f>'Green_rooibos initial weight'!A559</f>
        <v>G555</v>
      </c>
      <c r="Z558" t="str">
        <f>'Green_rooibos initial weight'!A1463</f>
        <v>R555</v>
      </c>
      <c r="AA558" t="b">
        <f t="shared" si="371"/>
        <v>0</v>
      </c>
      <c r="AB558" t="b">
        <f t="shared" si="372"/>
        <v>0</v>
      </c>
      <c r="BH558">
        <f t="shared" si="375"/>
        <v>0</v>
      </c>
    </row>
    <row r="559" spans="2:60" ht="12" customHeight="1">
      <c r="B559">
        <f>TBIDry!H631</f>
        <v>0</v>
      </c>
      <c r="C559">
        <f>TBIDry!I631</f>
        <v>0</v>
      </c>
      <c r="D559" t="b">
        <f t="shared" si="367"/>
        <v>1</v>
      </c>
      <c r="E559" t="b">
        <f t="shared" si="368"/>
        <v>1</v>
      </c>
      <c r="Y559" t="str">
        <f>'Green_rooibos initial weight'!A560</f>
        <v>G556</v>
      </c>
      <c r="Z559" t="str">
        <f>'Green_rooibos initial weight'!A1464</f>
        <v>R556</v>
      </c>
      <c r="AA559" t="b">
        <f t="shared" si="371"/>
        <v>0</v>
      </c>
      <c r="AB559" t="b">
        <f t="shared" si="372"/>
        <v>0</v>
      </c>
      <c r="BH559">
        <f t="shared" si="375"/>
        <v>0</v>
      </c>
    </row>
    <row r="560" spans="2:60" ht="12" customHeight="1">
      <c r="B560">
        <f>TBIDry!H632</f>
        <v>0</v>
      </c>
      <c r="C560">
        <f>TBIDry!I632</f>
        <v>0</v>
      </c>
      <c r="D560" t="b">
        <f t="shared" si="367"/>
        <v>1</v>
      </c>
      <c r="E560" t="b">
        <f t="shared" si="368"/>
        <v>1</v>
      </c>
      <c r="Y560" t="str">
        <f>'Green_rooibos initial weight'!A561</f>
        <v>G557</v>
      </c>
      <c r="Z560" t="str">
        <f>'Green_rooibos initial weight'!A1465</f>
        <v>R557</v>
      </c>
      <c r="AA560" t="b">
        <f t="shared" si="371"/>
        <v>0</v>
      </c>
      <c r="AB560" t="b">
        <f t="shared" si="372"/>
        <v>0</v>
      </c>
      <c r="BH560">
        <f t="shared" si="375"/>
        <v>0</v>
      </c>
    </row>
    <row r="561" spans="2:60" ht="12" customHeight="1">
      <c r="B561">
        <f>TBIDry!H633</f>
        <v>0</v>
      </c>
      <c r="C561">
        <f>TBIDry!I633</f>
        <v>0</v>
      </c>
      <c r="D561" t="b">
        <f t="shared" si="367"/>
        <v>1</v>
      </c>
      <c r="E561" t="b">
        <f t="shared" si="368"/>
        <v>1</v>
      </c>
      <c r="Y561" t="str">
        <f>'Green_rooibos initial weight'!A562</f>
        <v>G558</v>
      </c>
      <c r="Z561" t="str">
        <f>'Green_rooibos initial weight'!A1466</f>
        <v>R558</v>
      </c>
      <c r="AA561" t="b">
        <f t="shared" si="371"/>
        <v>0</v>
      </c>
      <c r="AB561" t="b">
        <f t="shared" si="372"/>
        <v>0</v>
      </c>
      <c r="BH561">
        <f t="shared" si="375"/>
        <v>0</v>
      </c>
    </row>
    <row r="562" spans="2:60" ht="12" customHeight="1">
      <c r="B562">
        <f>TBIDry!H634</f>
        <v>0</v>
      </c>
      <c r="C562">
        <f>TBIDry!I634</f>
        <v>0</v>
      </c>
      <c r="D562" t="b">
        <f t="shared" si="367"/>
        <v>1</v>
      </c>
      <c r="E562" t="b">
        <f t="shared" si="368"/>
        <v>1</v>
      </c>
      <c r="Y562" t="str">
        <f>'Green_rooibos initial weight'!A563</f>
        <v>G559</v>
      </c>
      <c r="Z562" t="str">
        <f>'Green_rooibos initial weight'!A1467</f>
        <v>R559</v>
      </c>
      <c r="AA562" t="b">
        <f t="shared" si="371"/>
        <v>0</v>
      </c>
      <c r="AB562" t="b">
        <f t="shared" si="372"/>
        <v>0</v>
      </c>
      <c r="BH562">
        <f t="shared" si="375"/>
        <v>0</v>
      </c>
    </row>
    <row r="563" spans="2:60" ht="12" customHeight="1">
      <c r="B563">
        <f>TBIDry!H635</f>
        <v>0</v>
      </c>
      <c r="C563">
        <f>TBIDry!I635</f>
        <v>0</v>
      </c>
      <c r="D563" t="b">
        <f t="shared" si="367"/>
        <v>1</v>
      </c>
      <c r="E563" t="b">
        <f t="shared" si="368"/>
        <v>1</v>
      </c>
      <c r="Y563" t="str">
        <f>'Green_rooibos initial weight'!A564</f>
        <v>G560</v>
      </c>
      <c r="Z563" t="str">
        <f>'Green_rooibos initial weight'!A1468</f>
        <v>R560</v>
      </c>
      <c r="AA563" t="b">
        <f t="shared" si="371"/>
        <v>0</v>
      </c>
      <c r="AB563" t="b">
        <f t="shared" si="372"/>
        <v>0</v>
      </c>
      <c r="BH563">
        <f t="shared" si="375"/>
        <v>0</v>
      </c>
    </row>
    <row r="564" spans="2:60" ht="12" customHeight="1">
      <c r="B564">
        <f>TBIDry!H636</f>
        <v>0</v>
      </c>
      <c r="C564">
        <f>TBIDry!I636</f>
        <v>0</v>
      </c>
      <c r="D564" t="b">
        <f t="shared" si="367"/>
        <v>1</v>
      </c>
      <c r="E564" t="b">
        <f t="shared" si="368"/>
        <v>1</v>
      </c>
      <c r="Y564" t="str">
        <f>'Green_rooibos initial weight'!A565</f>
        <v>G561</v>
      </c>
      <c r="Z564" t="str">
        <f>'Green_rooibos initial weight'!A1469</f>
        <v>R561</v>
      </c>
      <c r="AA564" t="b">
        <f t="shared" si="371"/>
        <v>0</v>
      </c>
      <c r="AB564" t="b">
        <f t="shared" si="372"/>
        <v>0</v>
      </c>
      <c r="BH564">
        <f t="shared" si="375"/>
        <v>0</v>
      </c>
    </row>
    <row r="565" spans="2:60" ht="12" customHeight="1">
      <c r="B565">
        <f>TBIDry!H637</f>
        <v>0</v>
      </c>
      <c r="C565">
        <f>TBIDry!I637</f>
        <v>0</v>
      </c>
      <c r="D565" t="b">
        <f t="shared" si="367"/>
        <v>1</v>
      </c>
      <c r="E565" t="b">
        <f t="shared" si="368"/>
        <v>1</v>
      </c>
      <c r="Y565" t="str">
        <f>'Green_rooibos initial weight'!A566</f>
        <v>G562</v>
      </c>
      <c r="Z565" t="str">
        <f>'Green_rooibos initial weight'!A1470</f>
        <v>R562</v>
      </c>
      <c r="AA565" t="b">
        <f t="shared" si="371"/>
        <v>0</v>
      </c>
      <c r="AB565" t="b">
        <f t="shared" si="372"/>
        <v>0</v>
      </c>
      <c r="BH565">
        <f t="shared" si="375"/>
        <v>0</v>
      </c>
    </row>
    <row r="566" spans="2:60" ht="12" customHeight="1">
      <c r="B566">
        <f>TBIDry!H638</f>
        <v>0</v>
      </c>
      <c r="C566">
        <f>TBIDry!I638</f>
        <v>0</v>
      </c>
      <c r="D566" t="b">
        <f t="shared" si="367"/>
        <v>1</v>
      </c>
      <c r="E566" t="b">
        <f t="shared" si="368"/>
        <v>1</v>
      </c>
      <c r="Y566" t="str">
        <f>'Green_rooibos initial weight'!A567</f>
        <v>G563</v>
      </c>
      <c r="Z566" t="str">
        <f>'Green_rooibos initial weight'!A1471</f>
        <v>R563</v>
      </c>
      <c r="AA566" t="b">
        <f t="shared" si="371"/>
        <v>0</v>
      </c>
      <c r="AB566" t="b">
        <f t="shared" si="372"/>
        <v>0</v>
      </c>
      <c r="BH566">
        <f t="shared" si="375"/>
        <v>0</v>
      </c>
    </row>
    <row r="567" spans="2:60" ht="12" customHeight="1">
      <c r="B567">
        <f>TBIDry!H639</f>
        <v>0</v>
      </c>
      <c r="C567">
        <f>TBIDry!I639</f>
        <v>0</v>
      </c>
      <c r="D567" t="b">
        <f t="shared" si="367"/>
        <v>1</v>
      </c>
      <c r="E567" t="b">
        <f t="shared" si="368"/>
        <v>1</v>
      </c>
      <c r="Y567" t="str">
        <f>'Green_rooibos initial weight'!A568</f>
        <v>G564</v>
      </c>
      <c r="Z567" t="str">
        <f>'Green_rooibos initial weight'!A1472</f>
        <v>R564</v>
      </c>
      <c r="AA567" t="b">
        <f t="shared" si="371"/>
        <v>0</v>
      </c>
      <c r="AB567" t="b">
        <f t="shared" si="372"/>
        <v>0</v>
      </c>
      <c r="BH567">
        <f t="shared" si="375"/>
        <v>0</v>
      </c>
    </row>
    <row r="568" spans="2:60" ht="12" customHeight="1">
      <c r="B568">
        <f>TBIDry!H640</f>
        <v>0</v>
      </c>
      <c r="C568">
        <f>TBIDry!I640</f>
        <v>0</v>
      </c>
      <c r="D568" t="b">
        <f t="shared" si="367"/>
        <v>1</v>
      </c>
      <c r="E568" t="b">
        <f t="shared" si="368"/>
        <v>1</v>
      </c>
      <c r="Y568" t="str">
        <f>'Green_rooibos initial weight'!A569</f>
        <v>G565</v>
      </c>
      <c r="Z568" t="str">
        <f>'Green_rooibos initial weight'!A1473</f>
        <v>R565</v>
      </c>
      <c r="AA568" t="b">
        <f t="shared" si="371"/>
        <v>0</v>
      </c>
      <c r="AB568" t="b">
        <f t="shared" si="372"/>
        <v>0</v>
      </c>
      <c r="BH568">
        <f t="shared" si="375"/>
        <v>0</v>
      </c>
    </row>
    <row r="569" spans="2:60" ht="12" customHeight="1">
      <c r="B569">
        <f>TBIDry!H641</f>
        <v>0</v>
      </c>
      <c r="C569">
        <f>TBIDry!I641</f>
        <v>0</v>
      </c>
      <c r="D569" t="b">
        <f t="shared" si="367"/>
        <v>1</v>
      </c>
      <c r="E569" t="b">
        <f t="shared" si="368"/>
        <v>1</v>
      </c>
      <c r="Y569" t="str">
        <f>'Green_rooibos initial weight'!A570</f>
        <v>G566</v>
      </c>
      <c r="Z569" t="str">
        <f>'Green_rooibos initial weight'!A1474</f>
        <v>R566</v>
      </c>
      <c r="AA569" t="b">
        <f t="shared" si="371"/>
        <v>0</v>
      </c>
      <c r="AB569" t="b">
        <f t="shared" si="372"/>
        <v>0</v>
      </c>
      <c r="BH569">
        <f t="shared" si="375"/>
        <v>0</v>
      </c>
    </row>
    <row r="570" spans="2:60" ht="12" customHeight="1">
      <c r="B570">
        <f>TBIDry!H642</f>
        <v>0</v>
      </c>
      <c r="C570">
        <f>TBIDry!I642</f>
        <v>0</v>
      </c>
      <c r="D570" t="b">
        <f t="shared" si="367"/>
        <v>1</v>
      </c>
      <c r="E570" t="b">
        <f t="shared" si="368"/>
        <v>1</v>
      </c>
      <c r="Y570" t="str">
        <f>'Green_rooibos initial weight'!A571</f>
        <v>G567</v>
      </c>
      <c r="Z570" t="str">
        <f>'Green_rooibos initial weight'!A1475</f>
        <v>R567</v>
      </c>
      <c r="AA570" t="b">
        <f t="shared" si="371"/>
        <v>0</v>
      </c>
      <c r="AB570" t="b">
        <f t="shared" si="372"/>
        <v>0</v>
      </c>
      <c r="BH570">
        <f t="shared" si="375"/>
        <v>0</v>
      </c>
    </row>
    <row r="571" spans="2:60" ht="12" customHeight="1">
      <c r="B571">
        <f>TBIDry!H643</f>
        <v>0</v>
      </c>
      <c r="C571">
        <f>TBIDry!I643</f>
        <v>0</v>
      </c>
      <c r="D571" t="b">
        <f t="shared" si="367"/>
        <v>1</v>
      </c>
      <c r="E571" t="b">
        <f t="shared" si="368"/>
        <v>1</v>
      </c>
      <c r="Y571" t="str">
        <f>'Green_rooibos initial weight'!A572</f>
        <v>G568</v>
      </c>
      <c r="Z571" t="str">
        <f>'Green_rooibos initial weight'!A1476</f>
        <v>R568</v>
      </c>
      <c r="AA571" t="b">
        <f t="shared" si="371"/>
        <v>0</v>
      </c>
      <c r="AB571" t="b">
        <f t="shared" si="372"/>
        <v>0</v>
      </c>
      <c r="BH571">
        <f t="shared" si="375"/>
        <v>0</v>
      </c>
    </row>
    <row r="572" spans="2:60" ht="12" customHeight="1">
      <c r="B572">
        <f>TBIDry!H644</f>
        <v>0</v>
      </c>
      <c r="C572">
        <f>TBIDry!I644</f>
        <v>0</v>
      </c>
      <c r="D572" t="b">
        <f t="shared" si="367"/>
        <v>1</v>
      </c>
      <c r="E572" t="b">
        <f t="shared" si="368"/>
        <v>1</v>
      </c>
      <c r="Y572" t="str">
        <f>'Green_rooibos initial weight'!A573</f>
        <v>G569</v>
      </c>
      <c r="Z572" t="str">
        <f>'Green_rooibos initial weight'!A1477</f>
        <v>R569</v>
      </c>
      <c r="AA572" t="b">
        <f t="shared" si="371"/>
        <v>0</v>
      </c>
      <c r="AB572" t="b">
        <f t="shared" si="372"/>
        <v>0</v>
      </c>
      <c r="BH572">
        <f t="shared" si="375"/>
        <v>0</v>
      </c>
    </row>
    <row r="573" spans="2:60" ht="12" customHeight="1">
      <c r="B573">
        <f>TBIDry!H645</f>
        <v>0</v>
      </c>
      <c r="C573">
        <f>TBIDry!I645</f>
        <v>0</v>
      </c>
      <c r="D573" t="b">
        <f t="shared" si="367"/>
        <v>1</v>
      </c>
      <c r="E573" t="b">
        <f t="shared" si="368"/>
        <v>1</v>
      </c>
      <c r="Y573" t="str">
        <f>'Green_rooibos initial weight'!A574</f>
        <v>G570</v>
      </c>
      <c r="Z573" t="str">
        <f>'Green_rooibos initial weight'!A1478</f>
        <v>R570</v>
      </c>
      <c r="AA573" t="b">
        <f t="shared" si="371"/>
        <v>0</v>
      </c>
      <c r="AB573" t="b">
        <f t="shared" si="372"/>
        <v>0</v>
      </c>
      <c r="BH573">
        <f t="shared" si="375"/>
        <v>0</v>
      </c>
    </row>
    <row r="574" spans="2:60" ht="12" customHeight="1">
      <c r="B574">
        <f>TBIDry!H646</f>
        <v>0</v>
      </c>
      <c r="C574">
        <f>TBIDry!I646</f>
        <v>0</v>
      </c>
      <c r="D574" t="b">
        <f t="shared" si="367"/>
        <v>1</v>
      </c>
      <c r="E574" t="b">
        <f t="shared" si="368"/>
        <v>1</v>
      </c>
      <c r="Y574" t="str">
        <f>'Green_rooibos initial weight'!A575</f>
        <v>G571</v>
      </c>
      <c r="Z574" t="str">
        <f>'Green_rooibos initial weight'!A1479</f>
        <v>R571</v>
      </c>
      <c r="AA574" t="b">
        <f t="shared" si="371"/>
        <v>0</v>
      </c>
      <c r="AB574" t="b">
        <f t="shared" si="372"/>
        <v>0</v>
      </c>
      <c r="BH574">
        <f t="shared" si="375"/>
        <v>0</v>
      </c>
    </row>
    <row r="575" spans="2:60" ht="12" customHeight="1">
      <c r="B575">
        <f>TBIDry!H647</f>
        <v>0</v>
      </c>
      <c r="C575">
        <f>TBIDry!I647</f>
        <v>0</v>
      </c>
      <c r="D575" t="b">
        <f t="shared" si="367"/>
        <v>1</v>
      </c>
      <c r="E575" t="b">
        <f t="shared" si="368"/>
        <v>1</v>
      </c>
      <c r="Y575" t="str">
        <f>'Green_rooibos initial weight'!A576</f>
        <v>G572</v>
      </c>
      <c r="Z575" t="str">
        <f>'Green_rooibos initial weight'!A1480</f>
        <v>R572</v>
      </c>
      <c r="AA575" t="b">
        <f t="shared" si="371"/>
        <v>0</v>
      </c>
      <c r="AB575" t="b">
        <f t="shared" si="372"/>
        <v>0</v>
      </c>
      <c r="BH575">
        <f t="shared" si="375"/>
        <v>0</v>
      </c>
    </row>
    <row r="576" spans="2:60" ht="12" customHeight="1">
      <c r="B576">
        <f>TBIDry!H648</f>
        <v>0</v>
      </c>
      <c r="C576">
        <f>TBIDry!I648</f>
        <v>0</v>
      </c>
      <c r="D576" t="b">
        <f t="shared" si="367"/>
        <v>1</v>
      </c>
      <c r="E576" t="b">
        <f t="shared" si="368"/>
        <v>1</v>
      </c>
      <c r="Y576" t="str">
        <f>'Green_rooibos initial weight'!A577</f>
        <v>G573</v>
      </c>
      <c r="Z576" t="str">
        <f>'Green_rooibos initial weight'!A1481</f>
        <v>R573</v>
      </c>
      <c r="AA576" t="b">
        <f t="shared" si="371"/>
        <v>0</v>
      </c>
      <c r="AB576" t="b">
        <f t="shared" si="372"/>
        <v>0</v>
      </c>
      <c r="BH576">
        <f t="shared" si="375"/>
        <v>0</v>
      </c>
    </row>
    <row r="577" spans="2:60" ht="12" customHeight="1">
      <c r="B577">
        <f>TBIDry!H649</f>
        <v>0</v>
      </c>
      <c r="C577">
        <f>TBIDry!I649</f>
        <v>0</v>
      </c>
      <c r="D577" t="b">
        <f t="shared" si="367"/>
        <v>1</v>
      </c>
      <c r="E577" t="b">
        <f t="shared" si="368"/>
        <v>1</v>
      </c>
      <c r="Y577" t="str">
        <f>'Green_rooibos initial weight'!A578</f>
        <v>G574</v>
      </c>
      <c r="Z577" t="str">
        <f>'Green_rooibos initial weight'!A1482</f>
        <v>R574</v>
      </c>
      <c r="AA577" t="b">
        <f t="shared" si="371"/>
        <v>0</v>
      </c>
      <c r="AB577" t="b">
        <f t="shared" si="372"/>
        <v>0</v>
      </c>
      <c r="BH577">
        <f t="shared" si="375"/>
        <v>0</v>
      </c>
    </row>
    <row r="578" spans="2:60" ht="12" customHeight="1">
      <c r="B578">
        <f>TBIDry!H650</f>
        <v>0</v>
      </c>
      <c r="C578">
        <f>TBIDry!I650</f>
        <v>0</v>
      </c>
      <c r="D578" t="b">
        <f t="shared" si="367"/>
        <v>1</v>
      </c>
      <c r="E578" t="b">
        <f t="shared" si="368"/>
        <v>1</v>
      </c>
      <c r="Y578" t="str">
        <f>'Green_rooibos initial weight'!A579</f>
        <v>G575</v>
      </c>
      <c r="Z578" t="str">
        <f>'Green_rooibos initial weight'!A1483</f>
        <v>R575</v>
      </c>
      <c r="AA578" t="b">
        <f t="shared" si="371"/>
        <v>0</v>
      </c>
      <c r="AB578" t="b">
        <f t="shared" si="372"/>
        <v>0</v>
      </c>
      <c r="BH578">
        <f t="shared" si="375"/>
        <v>0</v>
      </c>
    </row>
    <row r="579" spans="2:60" ht="12" customHeight="1">
      <c r="B579">
        <f>TBIDry!H651</f>
        <v>0</v>
      </c>
      <c r="C579">
        <f>TBIDry!I651</f>
        <v>0</v>
      </c>
      <c r="D579" t="b">
        <f t="shared" si="367"/>
        <v>1</v>
      </c>
      <c r="E579" t="b">
        <f t="shared" si="368"/>
        <v>1</v>
      </c>
      <c r="Y579" t="str">
        <f>'Green_rooibos initial weight'!A580</f>
        <v>G576</v>
      </c>
      <c r="Z579" t="str">
        <f>'Green_rooibos initial weight'!A1484</f>
        <v>R576</v>
      </c>
      <c r="AA579" t="b">
        <f t="shared" si="371"/>
        <v>0</v>
      </c>
      <c r="AB579" t="b">
        <f t="shared" si="372"/>
        <v>0</v>
      </c>
      <c r="BH579">
        <f t="shared" si="375"/>
        <v>0</v>
      </c>
    </row>
    <row r="580" spans="2:60" ht="12" customHeight="1">
      <c r="B580">
        <f>TBIDry!H652</f>
        <v>0</v>
      </c>
      <c r="C580">
        <f>TBIDry!I652</f>
        <v>0</v>
      </c>
      <c r="D580" t="b">
        <f t="shared" si="367"/>
        <v>1</v>
      </c>
      <c r="E580" t="b">
        <f t="shared" si="368"/>
        <v>1</v>
      </c>
      <c r="Y580" t="str">
        <f>'Green_rooibos initial weight'!A581</f>
        <v>G577</v>
      </c>
      <c r="Z580" t="str">
        <f>'Green_rooibos initial weight'!A1485</f>
        <v>R577</v>
      </c>
      <c r="AA580" t="b">
        <f t="shared" si="371"/>
        <v>0</v>
      </c>
      <c r="AB580" t="b">
        <f t="shared" si="372"/>
        <v>0</v>
      </c>
      <c r="BH580">
        <f t="shared" si="375"/>
        <v>0</v>
      </c>
    </row>
    <row r="581" spans="2:60" ht="12" customHeight="1">
      <c r="B581">
        <f>TBIDry!H653</f>
        <v>0</v>
      </c>
      <c r="C581">
        <f>TBIDry!I653</f>
        <v>0</v>
      </c>
      <c r="D581" t="b">
        <f t="shared" ref="D581:D644" si="376">COUNTIF($B$4:$B$2000, B581)&gt;1</f>
        <v>1</v>
      </c>
      <c r="E581" t="b">
        <f t="shared" ref="E581:E644" si="377">COUNTIF($C$4:$C$2000, C581)&gt;1</f>
        <v>1</v>
      </c>
      <c r="Y581" t="str">
        <f>'Green_rooibos initial weight'!A582</f>
        <v>G578</v>
      </c>
      <c r="Z581" t="str">
        <f>'Green_rooibos initial weight'!A1486</f>
        <v>R578</v>
      </c>
      <c r="AA581" t="b">
        <f t="shared" ref="AA581:AA644" si="378">COUNTIF($Y$4:$Y$2000, Y581)&gt;1</f>
        <v>0</v>
      </c>
      <c r="AB581" t="b">
        <f t="shared" ref="AB581:AB644" si="379">COUNTIF($Z$4:$Z$2000, Z581)&gt;1</f>
        <v>0</v>
      </c>
      <c r="BH581">
        <f t="shared" ref="BH581:BH644" si="380">B580</f>
        <v>0</v>
      </c>
    </row>
    <row r="582" spans="2:60" ht="12" customHeight="1">
      <c r="B582">
        <f>TBIDry!H654</f>
        <v>0</v>
      </c>
      <c r="C582">
        <f>TBIDry!I654</f>
        <v>0</v>
      </c>
      <c r="D582" t="b">
        <f t="shared" si="376"/>
        <v>1</v>
      </c>
      <c r="E582" t="b">
        <f t="shared" si="377"/>
        <v>1</v>
      </c>
      <c r="Y582" t="str">
        <f>'Green_rooibos initial weight'!A583</f>
        <v>G579</v>
      </c>
      <c r="Z582" t="str">
        <f>'Green_rooibos initial weight'!A1487</f>
        <v>R579</v>
      </c>
      <c r="AA582" t="b">
        <f t="shared" si="378"/>
        <v>0</v>
      </c>
      <c r="AB582" t="b">
        <f t="shared" si="379"/>
        <v>0</v>
      </c>
      <c r="BH582">
        <f t="shared" si="380"/>
        <v>0</v>
      </c>
    </row>
    <row r="583" spans="2:60" ht="12" customHeight="1">
      <c r="B583">
        <f>TBIDry!H655</f>
        <v>0</v>
      </c>
      <c r="C583">
        <f>TBIDry!I655</f>
        <v>0</v>
      </c>
      <c r="D583" t="b">
        <f t="shared" si="376"/>
        <v>1</v>
      </c>
      <c r="E583" t="b">
        <f t="shared" si="377"/>
        <v>1</v>
      </c>
      <c r="Y583" t="str">
        <f>'Green_rooibos initial weight'!A584</f>
        <v>G580</v>
      </c>
      <c r="Z583" t="str">
        <f>'Green_rooibos initial weight'!A1488</f>
        <v>R580</v>
      </c>
      <c r="AA583" t="b">
        <f t="shared" si="378"/>
        <v>0</v>
      </c>
      <c r="AB583" t="b">
        <f t="shared" si="379"/>
        <v>0</v>
      </c>
      <c r="BH583">
        <f t="shared" si="380"/>
        <v>0</v>
      </c>
    </row>
    <row r="584" spans="2:60" ht="12" customHeight="1">
      <c r="B584">
        <f>TBIDry!H656</f>
        <v>0</v>
      </c>
      <c r="C584">
        <f>TBIDry!I656</f>
        <v>0</v>
      </c>
      <c r="D584" t="b">
        <f t="shared" si="376"/>
        <v>1</v>
      </c>
      <c r="E584" t="b">
        <f t="shared" si="377"/>
        <v>1</v>
      </c>
      <c r="Y584" t="str">
        <f>'Green_rooibos initial weight'!A585</f>
        <v>G581</v>
      </c>
      <c r="Z584" t="str">
        <f>'Green_rooibos initial weight'!A1489</f>
        <v>R581</v>
      </c>
      <c r="AA584" t="b">
        <f t="shared" si="378"/>
        <v>0</v>
      </c>
      <c r="AB584" t="b">
        <f t="shared" si="379"/>
        <v>0</v>
      </c>
      <c r="BH584">
        <f t="shared" si="380"/>
        <v>0</v>
      </c>
    </row>
    <row r="585" spans="2:60" ht="12" customHeight="1">
      <c r="B585">
        <f>TBIDry!H657</f>
        <v>0</v>
      </c>
      <c r="C585">
        <f>TBIDry!I657</f>
        <v>0</v>
      </c>
      <c r="D585" t="b">
        <f t="shared" si="376"/>
        <v>1</v>
      </c>
      <c r="E585" t="b">
        <f t="shared" si="377"/>
        <v>1</v>
      </c>
      <c r="Y585" t="str">
        <f>'Green_rooibos initial weight'!A586</f>
        <v>G582</v>
      </c>
      <c r="Z585" t="str">
        <f>'Green_rooibos initial weight'!A1490</f>
        <v>R582</v>
      </c>
      <c r="AA585" t="b">
        <f t="shared" si="378"/>
        <v>0</v>
      </c>
      <c r="AB585" t="b">
        <f t="shared" si="379"/>
        <v>0</v>
      </c>
      <c r="BH585">
        <f t="shared" si="380"/>
        <v>0</v>
      </c>
    </row>
    <row r="586" spans="2:60" ht="12" customHeight="1">
      <c r="B586">
        <f>TBIDry!H658</f>
        <v>0</v>
      </c>
      <c r="C586">
        <f>TBIDry!I658</f>
        <v>0</v>
      </c>
      <c r="D586" t="b">
        <f t="shared" si="376"/>
        <v>1</v>
      </c>
      <c r="E586" t="b">
        <f t="shared" si="377"/>
        <v>1</v>
      </c>
      <c r="Y586" t="str">
        <f>'Green_rooibos initial weight'!A587</f>
        <v>G583</v>
      </c>
      <c r="Z586" t="str">
        <f>'Green_rooibos initial weight'!A1491</f>
        <v>R583</v>
      </c>
      <c r="AA586" t="b">
        <f t="shared" si="378"/>
        <v>0</v>
      </c>
      <c r="AB586" t="b">
        <f t="shared" si="379"/>
        <v>0</v>
      </c>
      <c r="BH586">
        <f t="shared" si="380"/>
        <v>0</v>
      </c>
    </row>
    <row r="587" spans="2:60" ht="12" customHeight="1">
      <c r="B587">
        <f>TBIDry!H659</f>
        <v>0</v>
      </c>
      <c r="C587">
        <f>TBIDry!I659</f>
        <v>0</v>
      </c>
      <c r="D587" t="b">
        <f t="shared" si="376"/>
        <v>1</v>
      </c>
      <c r="E587" t="b">
        <f t="shared" si="377"/>
        <v>1</v>
      </c>
      <c r="Y587" t="str">
        <f>'Green_rooibos initial weight'!A588</f>
        <v>G584</v>
      </c>
      <c r="Z587" t="str">
        <f>'Green_rooibos initial weight'!A1492</f>
        <v>R584</v>
      </c>
      <c r="AA587" t="b">
        <f t="shared" si="378"/>
        <v>0</v>
      </c>
      <c r="AB587" t="b">
        <f t="shared" si="379"/>
        <v>0</v>
      </c>
      <c r="BH587">
        <f t="shared" si="380"/>
        <v>0</v>
      </c>
    </row>
    <row r="588" spans="2:60" ht="12" customHeight="1">
      <c r="B588">
        <f>TBIDry!H660</f>
        <v>0</v>
      </c>
      <c r="C588">
        <f>TBIDry!I660</f>
        <v>0</v>
      </c>
      <c r="D588" t="b">
        <f t="shared" si="376"/>
        <v>1</v>
      </c>
      <c r="E588" t="b">
        <f t="shared" si="377"/>
        <v>1</v>
      </c>
      <c r="Y588" t="str">
        <f>'Green_rooibos initial weight'!A589</f>
        <v>G585</v>
      </c>
      <c r="Z588" t="str">
        <f>'Green_rooibos initial weight'!A1493</f>
        <v>R585</v>
      </c>
      <c r="AA588" t="b">
        <f t="shared" si="378"/>
        <v>0</v>
      </c>
      <c r="AB588" t="b">
        <f t="shared" si="379"/>
        <v>0</v>
      </c>
      <c r="BH588">
        <f t="shared" si="380"/>
        <v>0</v>
      </c>
    </row>
    <row r="589" spans="2:60" ht="12" customHeight="1">
      <c r="B589">
        <f>TBIDry!H661</f>
        <v>0</v>
      </c>
      <c r="C589">
        <f>TBIDry!I661</f>
        <v>0</v>
      </c>
      <c r="D589" t="b">
        <f t="shared" si="376"/>
        <v>1</v>
      </c>
      <c r="E589" t="b">
        <f t="shared" si="377"/>
        <v>1</v>
      </c>
      <c r="Y589" t="str">
        <f>'Green_rooibos initial weight'!A590</f>
        <v>G586</v>
      </c>
      <c r="Z589" t="str">
        <f>'Green_rooibos initial weight'!A1494</f>
        <v>R586</v>
      </c>
      <c r="AA589" t="b">
        <f t="shared" si="378"/>
        <v>0</v>
      </c>
      <c r="AB589" t="b">
        <f t="shared" si="379"/>
        <v>0</v>
      </c>
      <c r="BH589">
        <f t="shared" si="380"/>
        <v>0</v>
      </c>
    </row>
    <row r="590" spans="2:60" ht="12" customHeight="1">
      <c r="B590">
        <f>TBIDry!H662</f>
        <v>0</v>
      </c>
      <c r="C590">
        <f>TBIDry!I662</f>
        <v>0</v>
      </c>
      <c r="D590" t="b">
        <f t="shared" si="376"/>
        <v>1</v>
      </c>
      <c r="E590" t="b">
        <f t="shared" si="377"/>
        <v>1</v>
      </c>
      <c r="Y590" t="str">
        <f>'Green_rooibos initial weight'!A591</f>
        <v>G587</v>
      </c>
      <c r="Z590" t="str">
        <f>'Green_rooibos initial weight'!A1495</f>
        <v>R587</v>
      </c>
      <c r="AA590" t="b">
        <f t="shared" si="378"/>
        <v>0</v>
      </c>
      <c r="AB590" t="b">
        <f t="shared" si="379"/>
        <v>0</v>
      </c>
      <c r="BH590">
        <f t="shared" si="380"/>
        <v>0</v>
      </c>
    </row>
    <row r="591" spans="2:60" ht="12" customHeight="1">
      <c r="B591">
        <f>TBIDry!H663</f>
        <v>0</v>
      </c>
      <c r="C591">
        <f>TBIDry!I663</f>
        <v>0</v>
      </c>
      <c r="D591" t="b">
        <f t="shared" si="376"/>
        <v>1</v>
      </c>
      <c r="E591" t="b">
        <f t="shared" si="377"/>
        <v>1</v>
      </c>
      <c r="Y591" t="str">
        <f>'Green_rooibos initial weight'!A592</f>
        <v>G588</v>
      </c>
      <c r="Z591" t="str">
        <f>'Green_rooibos initial weight'!A1496</f>
        <v>R588</v>
      </c>
      <c r="AA591" t="b">
        <f t="shared" si="378"/>
        <v>0</v>
      </c>
      <c r="AB591" t="b">
        <f t="shared" si="379"/>
        <v>0</v>
      </c>
      <c r="BH591">
        <f t="shared" si="380"/>
        <v>0</v>
      </c>
    </row>
    <row r="592" spans="2:60" ht="12" customHeight="1">
      <c r="B592">
        <f>TBIDry!H664</f>
        <v>0</v>
      </c>
      <c r="C592">
        <f>TBIDry!I664</f>
        <v>0</v>
      </c>
      <c r="D592" t="b">
        <f t="shared" si="376"/>
        <v>1</v>
      </c>
      <c r="E592" t="b">
        <f t="shared" si="377"/>
        <v>1</v>
      </c>
      <c r="Y592" t="str">
        <f>'Green_rooibos initial weight'!A593</f>
        <v>G589</v>
      </c>
      <c r="Z592" t="str">
        <f>'Green_rooibos initial weight'!A1497</f>
        <v>R589</v>
      </c>
      <c r="AA592" t="b">
        <f t="shared" si="378"/>
        <v>0</v>
      </c>
      <c r="AB592" t="b">
        <f t="shared" si="379"/>
        <v>0</v>
      </c>
      <c r="BH592">
        <f t="shared" si="380"/>
        <v>0</v>
      </c>
    </row>
    <row r="593" spans="2:60" ht="12" customHeight="1">
      <c r="B593">
        <f>TBIDry!H665</f>
        <v>0</v>
      </c>
      <c r="C593">
        <f>TBIDry!I665</f>
        <v>0</v>
      </c>
      <c r="D593" t="b">
        <f t="shared" si="376"/>
        <v>1</v>
      </c>
      <c r="E593" t="b">
        <f t="shared" si="377"/>
        <v>1</v>
      </c>
      <c r="Y593" t="str">
        <f>'Green_rooibos initial weight'!A594</f>
        <v>G590</v>
      </c>
      <c r="Z593" t="str">
        <f>'Green_rooibos initial weight'!A1498</f>
        <v>R590</v>
      </c>
      <c r="AA593" t="b">
        <f t="shared" si="378"/>
        <v>0</v>
      </c>
      <c r="AB593" t="b">
        <f t="shared" si="379"/>
        <v>0</v>
      </c>
      <c r="BH593">
        <f t="shared" si="380"/>
        <v>0</v>
      </c>
    </row>
    <row r="594" spans="2:60" ht="12" customHeight="1">
      <c r="B594">
        <f>TBIDry!H666</f>
        <v>0</v>
      </c>
      <c r="C594">
        <f>TBIDry!I666</f>
        <v>0</v>
      </c>
      <c r="D594" t="b">
        <f t="shared" si="376"/>
        <v>1</v>
      </c>
      <c r="E594" t="b">
        <f t="shared" si="377"/>
        <v>1</v>
      </c>
      <c r="Y594" t="str">
        <f>'Green_rooibos initial weight'!A595</f>
        <v>G591</v>
      </c>
      <c r="Z594" t="str">
        <f>'Green_rooibos initial weight'!A1499</f>
        <v>R591</v>
      </c>
      <c r="AA594" t="b">
        <f t="shared" si="378"/>
        <v>0</v>
      </c>
      <c r="AB594" t="b">
        <f t="shared" si="379"/>
        <v>0</v>
      </c>
      <c r="BH594">
        <f t="shared" si="380"/>
        <v>0</v>
      </c>
    </row>
    <row r="595" spans="2:60" ht="12" customHeight="1">
      <c r="B595">
        <f>TBIDry!H667</f>
        <v>0</v>
      </c>
      <c r="C595">
        <f>TBIDry!I667</f>
        <v>0</v>
      </c>
      <c r="D595" t="b">
        <f t="shared" si="376"/>
        <v>1</v>
      </c>
      <c r="E595" t="b">
        <f t="shared" si="377"/>
        <v>1</v>
      </c>
      <c r="Y595" t="str">
        <f>'Green_rooibos initial weight'!A596</f>
        <v>G592</v>
      </c>
      <c r="Z595" t="str">
        <f>'Green_rooibos initial weight'!A1500</f>
        <v>R592</v>
      </c>
      <c r="AA595" t="b">
        <f t="shared" si="378"/>
        <v>0</v>
      </c>
      <c r="AB595" t="b">
        <f t="shared" si="379"/>
        <v>0</v>
      </c>
      <c r="BH595">
        <f t="shared" si="380"/>
        <v>0</v>
      </c>
    </row>
    <row r="596" spans="2:60" ht="12" customHeight="1">
      <c r="B596">
        <f>TBIDry!H668</f>
        <v>0</v>
      </c>
      <c r="C596">
        <f>TBIDry!I668</f>
        <v>0</v>
      </c>
      <c r="D596" t="b">
        <f t="shared" si="376"/>
        <v>1</v>
      </c>
      <c r="E596" t="b">
        <f t="shared" si="377"/>
        <v>1</v>
      </c>
      <c r="Y596" t="str">
        <f>'Green_rooibos initial weight'!A597</f>
        <v>G593</v>
      </c>
      <c r="Z596" t="str">
        <f>'Green_rooibos initial weight'!A1501</f>
        <v>R593</v>
      </c>
      <c r="AA596" t="b">
        <f t="shared" si="378"/>
        <v>0</v>
      </c>
      <c r="AB596" t="b">
        <f t="shared" si="379"/>
        <v>0</v>
      </c>
      <c r="BH596">
        <f t="shared" si="380"/>
        <v>0</v>
      </c>
    </row>
    <row r="597" spans="2:60" ht="12" customHeight="1">
      <c r="B597">
        <f>TBIDry!H669</f>
        <v>0</v>
      </c>
      <c r="C597">
        <f>TBIDry!I669</f>
        <v>0</v>
      </c>
      <c r="D597" t="b">
        <f t="shared" si="376"/>
        <v>1</v>
      </c>
      <c r="E597" t="b">
        <f t="shared" si="377"/>
        <v>1</v>
      </c>
      <c r="Y597" t="str">
        <f>'Green_rooibos initial weight'!A598</f>
        <v>G594</v>
      </c>
      <c r="Z597" t="str">
        <f>'Green_rooibos initial weight'!A1502</f>
        <v>R594</v>
      </c>
      <c r="AA597" t="b">
        <f t="shared" si="378"/>
        <v>0</v>
      </c>
      <c r="AB597" t="b">
        <f t="shared" si="379"/>
        <v>0</v>
      </c>
      <c r="BH597">
        <f t="shared" si="380"/>
        <v>0</v>
      </c>
    </row>
    <row r="598" spans="2:60" ht="12" customHeight="1">
      <c r="B598">
        <f>TBIDry!H670</f>
        <v>0</v>
      </c>
      <c r="C598">
        <f>TBIDry!I670</f>
        <v>0</v>
      </c>
      <c r="D598" t="b">
        <f t="shared" si="376"/>
        <v>1</v>
      </c>
      <c r="E598" t="b">
        <f t="shared" si="377"/>
        <v>1</v>
      </c>
      <c r="Y598" t="str">
        <f>'Green_rooibos initial weight'!A599</f>
        <v>G595</v>
      </c>
      <c r="Z598" t="str">
        <f>'Green_rooibos initial weight'!A1503</f>
        <v>R595</v>
      </c>
      <c r="AA598" t="b">
        <f t="shared" si="378"/>
        <v>0</v>
      </c>
      <c r="AB598" t="b">
        <f t="shared" si="379"/>
        <v>0</v>
      </c>
      <c r="BH598">
        <f t="shared" si="380"/>
        <v>0</v>
      </c>
    </row>
    <row r="599" spans="2:60" ht="12" customHeight="1">
      <c r="B599">
        <f>TBIDry!H671</f>
        <v>0</v>
      </c>
      <c r="C599">
        <f>TBIDry!I671</f>
        <v>0</v>
      </c>
      <c r="D599" t="b">
        <f t="shared" si="376"/>
        <v>1</v>
      </c>
      <c r="E599" t="b">
        <f t="shared" si="377"/>
        <v>1</v>
      </c>
      <c r="Y599" t="str">
        <f>'Green_rooibos initial weight'!A600</f>
        <v>G596</v>
      </c>
      <c r="Z599" t="str">
        <f>'Green_rooibos initial weight'!A1504</f>
        <v>R596</v>
      </c>
      <c r="AA599" t="b">
        <f t="shared" si="378"/>
        <v>0</v>
      </c>
      <c r="AB599" t="b">
        <f t="shared" si="379"/>
        <v>0</v>
      </c>
      <c r="BH599">
        <f t="shared" si="380"/>
        <v>0</v>
      </c>
    </row>
    <row r="600" spans="2:60" ht="12" customHeight="1">
      <c r="B600">
        <f>TBIDry!H672</f>
        <v>0</v>
      </c>
      <c r="C600">
        <f>TBIDry!I672</f>
        <v>0</v>
      </c>
      <c r="D600" t="b">
        <f t="shared" si="376"/>
        <v>1</v>
      </c>
      <c r="E600" t="b">
        <f t="shared" si="377"/>
        <v>1</v>
      </c>
      <c r="Y600" t="str">
        <f>'Green_rooibos initial weight'!A601</f>
        <v>G597</v>
      </c>
      <c r="Z600" t="str">
        <f>'Green_rooibos initial weight'!A1505</f>
        <v>R597</v>
      </c>
      <c r="AA600" t="b">
        <f t="shared" si="378"/>
        <v>0</v>
      </c>
      <c r="AB600" t="b">
        <f t="shared" si="379"/>
        <v>0</v>
      </c>
      <c r="BH600">
        <f t="shared" si="380"/>
        <v>0</v>
      </c>
    </row>
    <row r="601" spans="2:60" ht="12" customHeight="1">
      <c r="B601">
        <f>TBIDry!H673</f>
        <v>0</v>
      </c>
      <c r="C601">
        <f>TBIDry!I673</f>
        <v>0</v>
      </c>
      <c r="D601" t="b">
        <f t="shared" si="376"/>
        <v>1</v>
      </c>
      <c r="E601" t="b">
        <f t="shared" si="377"/>
        <v>1</v>
      </c>
      <c r="Y601" t="str">
        <f>'Green_rooibos initial weight'!A602</f>
        <v>G598</v>
      </c>
      <c r="Z601" t="str">
        <f>'Green_rooibos initial weight'!A1506</f>
        <v>R598</v>
      </c>
      <c r="AA601" t="b">
        <f t="shared" si="378"/>
        <v>0</v>
      </c>
      <c r="AB601" t="b">
        <f t="shared" si="379"/>
        <v>0</v>
      </c>
      <c r="BH601">
        <f t="shared" si="380"/>
        <v>0</v>
      </c>
    </row>
    <row r="602" spans="2:60" ht="12" customHeight="1">
      <c r="B602">
        <f>TBIDry!H674</f>
        <v>0</v>
      </c>
      <c r="C602">
        <f>TBIDry!I674</f>
        <v>0</v>
      </c>
      <c r="D602" t="b">
        <f t="shared" si="376"/>
        <v>1</v>
      </c>
      <c r="E602" t="b">
        <f t="shared" si="377"/>
        <v>1</v>
      </c>
      <c r="Y602" t="str">
        <f>'Green_rooibos initial weight'!A603</f>
        <v>G599</v>
      </c>
      <c r="Z602" t="str">
        <f>'Green_rooibos initial weight'!A1507</f>
        <v>R599</v>
      </c>
      <c r="AA602" t="b">
        <f t="shared" si="378"/>
        <v>0</v>
      </c>
      <c r="AB602" t="b">
        <f t="shared" si="379"/>
        <v>0</v>
      </c>
      <c r="BH602">
        <f t="shared" si="380"/>
        <v>0</v>
      </c>
    </row>
    <row r="603" spans="2:60" ht="12" customHeight="1">
      <c r="B603">
        <f>TBIDry!H675</f>
        <v>0</v>
      </c>
      <c r="C603">
        <f>TBIDry!I675</f>
        <v>0</v>
      </c>
      <c r="D603" t="b">
        <f t="shared" si="376"/>
        <v>1</v>
      </c>
      <c r="E603" t="b">
        <f t="shared" si="377"/>
        <v>1</v>
      </c>
      <c r="Y603" t="str">
        <f>'Green_rooibos initial weight'!A604</f>
        <v>G600</v>
      </c>
      <c r="Z603" t="str">
        <f>'Green_rooibos initial weight'!A1508</f>
        <v>R600</v>
      </c>
      <c r="AA603" t="b">
        <f t="shared" si="378"/>
        <v>0</v>
      </c>
      <c r="AB603" t="b">
        <f t="shared" si="379"/>
        <v>0</v>
      </c>
      <c r="BH603">
        <f t="shared" si="380"/>
        <v>0</v>
      </c>
    </row>
    <row r="604" spans="2:60" ht="12" customHeight="1">
      <c r="B604">
        <f>TBIDry!H676</f>
        <v>0</v>
      </c>
      <c r="C604">
        <f>TBIDry!I676</f>
        <v>0</v>
      </c>
      <c r="D604" t="b">
        <f t="shared" si="376"/>
        <v>1</v>
      </c>
      <c r="E604" t="b">
        <f t="shared" si="377"/>
        <v>1</v>
      </c>
      <c r="Y604" t="str">
        <f>'Green_rooibos initial weight'!A605</f>
        <v>G601</v>
      </c>
      <c r="Z604" t="str">
        <f>'Green_rooibos initial weight'!A1509</f>
        <v>R601</v>
      </c>
      <c r="AA604" t="b">
        <f t="shared" si="378"/>
        <v>0</v>
      </c>
      <c r="AB604" t="b">
        <f t="shared" si="379"/>
        <v>0</v>
      </c>
      <c r="BH604">
        <f t="shared" si="380"/>
        <v>0</v>
      </c>
    </row>
    <row r="605" spans="2:60" ht="12" customHeight="1">
      <c r="B605">
        <f>TBIDry!H677</f>
        <v>0</v>
      </c>
      <c r="C605">
        <f>TBIDry!I677</f>
        <v>0</v>
      </c>
      <c r="D605" t="b">
        <f t="shared" si="376"/>
        <v>1</v>
      </c>
      <c r="E605" t="b">
        <f t="shared" si="377"/>
        <v>1</v>
      </c>
      <c r="Y605" t="str">
        <f>'Green_rooibos initial weight'!A606</f>
        <v>G602</v>
      </c>
      <c r="Z605" t="str">
        <f>'Green_rooibos initial weight'!A1510</f>
        <v>R841</v>
      </c>
      <c r="AA605" t="b">
        <f t="shared" si="378"/>
        <v>0</v>
      </c>
      <c r="AB605" t="b">
        <f t="shared" si="379"/>
        <v>0</v>
      </c>
      <c r="BH605">
        <f t="shared" si="380"/>
        <v>0</v>
      </c>
    </row>
    <row r="606" spans="2:60" ht="12" customHeight="1">
      <c r="B606">
        <f>TBIDry!H678</f>
        <v>0</v>
      </c>
      <c r="C606">
        <f>TBIDry!I678</f>
        <v>0</v>
      </c>
      <c r="D606" t="b">
        <f t="shared" si="376"/>
        <v>1</v>
      </c>
      <c r="E606" t="b">
        <f t="shared" si="377"/>
        <v>1</v>
      </c>
      <c r="Y606" t="str">
        <f>'Green_rooibos initial weight'!A607</f>
        <v>G603</v>
      </c>
      <c r="Z606" t="str">
        <f>'Green_rooibos initial weight'!A1511</f>
        <v>R602</v>
      </c>
      <c r="AA606" t="b">
        <f t="shared" si="378"/>
        <v>0</v>
      </c>
      <c r="AB606" t="b">
        <f t="shared" si="379"/>
        <v>0</v>
      </c>
      <c r="BH606">
        <f t="shared" si="380"/>
        <v>0</v>
      </c>
    </row>
    <row r="607" spans="2:60" ht="12" customHeight="1">
      <c r="B607">
        <f>TBIDry!H679</f>
        <v>0</v>
      </c>
      <c r="C607">
        <f>TBIDry!I679</f>
        <v>0</v>
      </c>
      <c r="D607" t="b">
        <f t="shared" si="376"/>
        <v>1</v>
      </c>
      <c r="E607" t="b">
        <f t="shared" si="377"/>
        <v>1</v>
      </c>
      <c r="Y607" t="str">
        <f>'Green_rooibos initial weight'!A608</f>
        <v>G604</v>
      </c>
      <c r="Z607" t="str">
        <f>'Green_rooibos initial weight'!A1512</f>
        <v>R603</v>
      </c>
      <c r="AA607" t="b">
        <f t="shared" si="378"/>
        <v>0</v>
      </c>
      <c r="AB607" t="b">
        <f t="shared" si="379"/>
        <v>0</v>
      </c>
      <c r="BH607">
        <f t="shared" si="380"/>
        <v>0</v>
      </c>
    </row>
    <row r="608" spans="2:60" ht="12" customHeight="1">
      <c r="B608">
        <f>TBIDry!H680</f>
        <v>0</v>
      </c>
      <c r="C608">
        <f>TBIDry!I680</f>
        <v>0</v>
      </c>
      <c r="D608" t="b">
        <f t="shared" si="376"/>
        <v>1</v>
      </c>
      <c r="E608" t="b">
        <f t="shared" si="377"/>
        <v>1</v>
      </c>
      <c r="Y608" t="str">
        <f>'Green_rooibos initial weight'!A609</f>
        <v>G605</v>
      </c>
      <c r="Z608" t="str">
        <f>'Green_rooibos initial weight'!A1513</f>
        <v>R604</v>
      </c>
      <c r="AA608" t="b">
        <f t="shared" si="378"/>
        <v>0</v>
      </c>
      <c r="AB608" t="b">
        <f t="shared" si="379"/>
        <v>0</v>
      </c>
      <c r="BH608">
        <f t="shared" si="380"/>
        <v>0</v>
      </c>
    </row>
    <row r="609" spans="2:60" ht="12" customHeight="1">
      <c r="B609">
        <f>TBIDry!H681</f>
        <v>0</v>
      </c>
      <c r="C609">
        <f>TBIDry!I681</f>
        <v>0</v>
      </c>
      <c r="D609" t="b">
        <f t="shared" si="376"/>
        <v>1</v>
      </c>
      <c r="E609" t="b">
        <f t="shared" si="377"/>
        <v>1</v>
      </c>
      <c r="Y609" t="str">
        <f>'Green_rooibos initial weight'!A610</f>
        <v>G606</v>
      </c>
      <c r="Z609" t="str">
        <f>'Green_rooibos initial weight'!A1514</f>
        <v>R605</v>
      </c>
      <c r="AA609" t="b">
        <f t="shared" si="378"/>
        <v>0</v>
      </c>
      <c r="AB609" t="b">
        <f t="shared" si="379"/>
        <v>0</v>
      </c>
      <c r="BH609">
        <f t="shared" si="380"/>
        <v>0</v>
      </c>
    </row>
    <row r="610" spans="2:60" ht="12" customHeight="1">
      <c r="B610">
        <f>TBIDry!H682</f>
        <v>0</v>
      </c>
      <c r="C610">
        <f>TBIDry!I682</f>
        <v>0</v>
      </c>
      <c r="D610" t="b">
        <f t="shared" si="376"/>
        <v>1</v>
      </c>
      <c r="E610" t="b">
        <f t="shared" si="377"/>
        <v>1</v>
      </c>
      <c r="Y610" t="str">
        <f>'Green_rooibos initial weight'!A611</f>
        <v>G607</v>
      </c>
      <c r="Z610" t="str">
        <f>'Green_rooibos initial weight'!A1515</f>
        <v>R606</v>
      </c>
      <c r="AA610" t="b">
        <f t="shared" si="378"/>
        <v>0</v>
      </c>
      <c r="AB610" t="b">
        <f t="shared" si="379"/>
        <v>0</v>
      </c>
      <c r="BH610">
        <f t="shared" si="380"/>
        <v>0</v>
      </c>
    </row>
    <row r="611" spans="2:60" ht="12" customHeight="1">
      <c r="B611">
        <f>TBIDry!H683</f>
        <v>0</v>
      </c>
      <c r="C611">
        <f>TBIDry!I683</f>
        <v>0</v>
      </c>
      <c r="D611" t="b">
        <f t="shared" si="376"/>
        <v>1</v>
      </c>
      <c r="E611" t="b">
        <f t="shared" si="377"/>
        <v>1</v>
      </c>
      <c r="Y611" t="str">
        <f>'Green_rooibos initial weight'!A612</f>
        <v>G608</v>
      </c>
      <c r="Z611" t="str">
        <f>'Green_rooibos initial weight'!A1516</f>
        <v>R607</v>
      </c>
      <c r="AA611" t="b">
        <f t="shared" si="378"/>
        <v>0</v>
      </c>
      <c r="AB611" t="b">
        <f t="shared" si="379"/>
        <v>0</v>
      </c>
      <c r="BH611">
        <f t="shared" si="380"/>
        <v>0</v>
      </c>
    </row>
    <row r="612" spans="2:60" ht="12" customHeight="1">
      <c r="B612">
        <f>TBIDry!H684</f>
        <v>0</v>
      </c>
      <c r="C612">
        <f>TBIDry!I684</f>
        <v>0</v>
      </c>
      <c r="D612" t="b">
        <f t="shared" si="376"/>
        <v>1</v>
      </c>
      <c r="E612" t="b">
        <f t="shared" si="377"/>
        <v>1</v>
      </c>
      <c r="Y612" t="str">
        <f>'Green_rooibos initial weight'!A613</f>
        <v>G609</v>
      </c>
      <c r="Z612" t="str">
        <f>'Green_rooibos initial weight'!A1517</f>
        <v>R608</v>
      </c>
      <c r="AA612" t="b">
        <f t="shared" si="378"/>
        <v>0</v>
      </c>
      <c r="AB612" t="b">
        <f t="shared" si="379"/>
        <v>0</v>
      </c>
      <c r="BH612">
        <f t="shared" si="380"/>
        <v>0</v>
      </c>
    </row>
    <row r="613" spans="2:60" ht="12" customHeight="1">
      <c r="B613">
        <f>TBIDry!H685</f>
        <v>0</v>
      </c>
      <c r="C613">
        <f>TBIDry!I685</f>
        <v>0</v>
      </c>
      <c r="D613" t="b">
        <f t="shared" si="376"/>
        <v>1</v>
      </c>
      <c r="E613" t="b">
        <f t="shared" si="377"/>
        <v>1</v>
      </c>
      <c r="Y613" t="str">
        <f>'Green_rooibos initial weight'!A614</f>
        <v>G610</v>
      </c>
      <c r="Z613" t="str">
        <f>'Green_rooibos initial weight'!A1518</f>
        <v>R609</v>
      </c>
      <c r="AA613" t="b">
        <f t="shared" si="378"/>
        <v>0</v>
      </c>
      <c r="AB613" t="b">
        <f t="shared" si="379"/>
        <v>0</v>
      </c>
      <c r="BH613">
        <f t="shared" si="380"/>
        <v>0</v>
      </c>
    </row>
    <row r="614" spans="2:60" ht="12" customHeight="1">
      <c r="B614">
        <f>TBIDry!H686</f>
        <v>0</v>
      </c>
      <c r="C614">
        <f>TBIDry!I686</f>
        <v>0</v>
      </c>
      <c r="D614" t="b">
        <f t="shared" si="376"/>
        <v>1</v>
      </c>
      <c r="E614" t="b">
        <f t="shared" si="377"/>
        <v>1</v>
      </c>
      <c r="Y614" t="str">
        <f>'Green_rooibos initial weight'!A615</f>
        <v>G611</v>
      </c>
      <c r="Z614" t="str">
        <f>'Green_rooibos initial weight'!A1519</f>
        <v>R610</v>
      </c>
      <c r="AA614" t="b">
        <f t="shared" si="378"/>
        <v>0</v>
      </c>
      <c r="AB614" t="b">
        <f t="shared" si="379"/>
        <v>0</v>
      </c>
      <c r="BH614">
        <f t="shared" si="380"/>
        <v>0</v>
      </c>
    </row>
    <row r="615" spans="2:60" ht="12" customHeight="1">
      <c r="B615">
        <f>TBIDry!H687</f>
        <v>0</v>
      </c>
      <c r="C615">
        <f>TBIDry!I687</f>
        <v>0</v>
      </c>
      <c r="D615" t="b">
        <f t="shared" si="376"/>
        <v>1</v>
      </c>
      <c r="E615" t="b">
        <f t="shared" si="377"/>
        <v>1</v>
      </c>
      <c r="Y615" t="str">
        <f>'Green_rooibos initial weight'!A616</f>
        <v>G612</v>
      </c>
      <c r="Z615" t="str">
        <f>'Green_rooibos initial weight'!A1520</f>
        <v>R611</v>
      </c>
      <c r="AA615" t="b">
        <f t="shared" si="378"/>
        <v>0</v>
      </c>
      <c r="AB615" t="b">
        <f t="shared" si="379"/>
        <v>0</v>
      </c>
      <c r="BH615">
        <f t="shared" si="380"/>
        <v>0</v>
      </c>
    </row>
    <row r="616" spans="2:60" ht="12" customHeight="1">
      <c r="B616">
        <f>TBIDry!H688</f>
        <v>0</v>
      </c>
      <c r="C616">
        <f>TBIDry!I688</f>
        <v>0</v>
      </c>
      <c r="D616" t="b">
        <f t="shared" si="376"/>
        <v>1</v>
      </c>
      <c r="E616" t="b">
        <f t="shared" si="377"/>
        <v>1</v>
      </c>
      <c r="Y616" t="str">
        <f>'Green_rooibos initial weight'!A617</f>
        <v>G613</v>
      </c>
      <c r="Z616" t="str">
        <f>'Green_rooibos initial weight'!A1521</f>
        <v>R612</v>
      </c>
      <c r="AA616" t="b">
        <f t="shared" si="378"/>
        <v>0</v>
      </c>
      <c r="AB616" t="b">
        <f t="shared" si="379"/>
        <v>0</v>
      </c>
      <c r="BH616">
        <f t="shared" si="380"/>
        <v>0</v>
      </c>
    </row>
    <row r="617" spans="2:60" ht="12" customHeight="1">
      <c r="B617">
        <f>TBIDry!H689</f>
        <v>0</v>
      </c>
      <c r="C617">
        <f>TBIDry!I689</f>
        <v>0</v>
      </c>
      <c r="D617" t="b">
        <f t="shared" si="376"/>
        <v>1</v>
      </c>
      <c r="E617" t="b">
        <f t="shared" si="377"/>
        <v>1</v>
      </c>
      <c r="Y617" t="str">
        <f>'Green_rooibos initial weight'!A618</f>
        <v>G614</v>
      </c>
      <c r="Z617" t="str">
        <f>'Green_rooibos initial weight'!A1522</f>
        <v>R613</v>
      </c>
      <c r="AA617" t="b">
        <f t="shared" si="378"/>
        <v>0</v>
      </c>
      <c r="AB617" t="b">
        <f t="shared" si="379"/>
        <v>0</v>
      </c>
      <c r="BH617">
        <f t="shared" si="380"/>
        <v>0</v>
      </c>
    </row>
    <row r="618" spans="2:60" ht="12" customHeight="1">
      <c r="B618">
        <f>TBIDry!H690</f>
        <v>0</v>
      </c>
      <c r="C618">
        <f>TBIDry!I690</f>
        <v>0</v>
      </c>
      <c r="D618" t="b">
        <f t="shared" si="376"/>
        <v>1</v>
      </c>
      <c r="E618" t="b">
        <f t="shared" si="377"/>
        <v>1</v>
      </c>
      <c r="Y618" t="str">
        <f>'Green_rooibos initial weight'!A619</f>
        <v>G615</v>
      </c>
      <c r="Z618" t="str">
        <f>'Green_rooibos initial weight'!A1523</f>
        <v>R614</v>
      </c>
      <c r="AA618" t="b">
        <f t="shared" si="378"/>
        <v>0</v>
      </c>
      <c r="AB618" t="b">
        <f t="shared" si="379"/>
        <v>0</v>
      </c>
      <c r="BH618">
        <f t="shared" si="380"/>
        <v>0</v>
      </c>
    </row>
    <row r="619" spans="2:60" ht="12" customHeight="1">
      <c r="B619">
        <f>TBIDry!H691</f>
        <v>0</v>
      </c>
      <c r="C619">
        <f>TBIDry!I691</f>
        <v>0</v>
      </c>
      <c r="D619" t="b">
        <f t="shared" si="376"/>
        <v>1</v>
      </c>
      <c r="E619" t="b">
        <f t="shared" si="377"/>
        <v>1</v>
      </c>
      <c r="Y619" t="str">
        <f>'Green_rooibos initial weight'!A620</f>
        <v>G616</v>
      </c>
      <c r="Z619" t="str">
        <f>'Green_rooibos initial weight'!A1524</f>
        <v>R615</v>
      </c>
      <c r="AA619" t="b">
        <f t="shared" si="378"/>
        <v>0</v>
      </c>
      <c r="AB619" t="b">
        <f t="shared" si="379"/>
        <v>0</v>
      </c>
      <c r="BH619">
        <f t="shared" si="380"/>
        <v>0</v>
      </c>
    </row>
    <row r="620" spans="2:60" ht="12" customHeight="1">
      <c r="B620">
        <f>TBIDry!H692</f>
        <v>0</v>
      </c>
      <c r="C620">
        <f>TBIDry!I692</f>
        <v>0</v>
      </c>
      <c r="D620" t="b">
        <f t="shared" si="376"/>
        <v>1</v>
      </c>
      <c r="E620" t="b">
        <f t="shared" si="377"/>
        <v>1</v>
      </c>
      <c r="Y620" t="str">
        <f>'Green_rooibos initial weight'!A621</f>
        <v>G617</v>
      </c>
      <c r="Z620" t="str">
        <f>'Green_rooibos initial weight'!A1525</f>
        <v>R616</v>
      </c>
      <c r="AA620" t="b">
        <f t="shared" si="378"/>
        <v>0</v>
      </c>
      <c r="AB620" t="b">
        <f t="shared" si="379"/>
        <v>0</v>
      </c>
      <c r="BH620">
        <f t="shared" si="380"/>
        <v>0</v>
      </c>
    </row>
    <row r="621" spans="2:60" ht="12" customHeight="1">
      <c r="B621">
        <f>TBIDry!H693</f>
        <v>0</v>
      </c>
      <c r="C621">
        <f>TBIDry!I693</f>
        <v>0</v>
      </c>
      <c r="D621" t="b">
        <f t="shared" si="376"/>
        <v>1</v>
      </c>
      <c r="E621" t="b">
        <f t="shared" si="377"/>
        <v>1</v>
      </c>
      <c r="Y621" t="str">
        <f>'Green_rooibos initial weight'!A622</f>
        <v>G618</v>
      </c>
      <c r="Z621" t="str">
        <f>'Green_rooibos initial weight'!A1526</f>
        <v>R617</v>
      </c>
      <c r="AA621" t="b">
        <f t="shared" si="378"/>
        <v>0</v>
      </c>
      <c r="AB621" t="b">
        <f t="shared" si="379"/>
        <v>0</v>
      </c>
      <c r="BH621">
        <f t="shared" si="380"/>
        <v>0</v>
      </c>
    </row>
    <row r="622" spans="2:60" ht="12" customHeight="1">
      <c r="B622">
        <f>TBIDry!H694</f>
        <v>0</v>
      </c>
      <c r="C622">
        <f>TBIDry!I694</f>
        <v>0</v>
      </c>
      <c r="D622" t="b">
        <f t="shared" si="376"/>
        <v>1</v>
      </c>
      <c r="E622" t="b">
        <f t="shared" si="377"/>
        <v>1</v>
      </c>
      <c r="Y622" t="str">
        <f>'Green_rooibos initial weight'!A623</f>
        <v>G619</v>
      </c>
      <c r="Z622" t="str">
        <f>'Green_rooibos initial weight'!A1527</f>
        <v>R618</v>
      </c>
      <c r="AA622" t="b">
        <f t="shared" si="378"/>
        <v>0</v>
      </c>
      <c r="AB622" t="b">
        <f t="shared" si="379"/>
        <v>0</v>
      </c>
      <c r="BH622">
        <f t="shared" si="380"/>
        <v>0</v>
      </c>
    </row>
    <row r="623" spans="2:60" ht="12" customHeight="1">
      <c r="B623">
        <f>TBIDry!H695</f>
        <v>0</v>
      </c>
      <c r="C623">
        <f>TBIDry!I695</f>
        <v>0</v>
      </c>
      <c r="D623" t="b">
        <f t="shared" si="376"/>
        <v>1</v>
      </c>
      <c r="E623" t="b">
        <f t="shared" si="377"/>
        <v>1</v>
      </c>
      <c r="Y623" t="str">
        <f>'Green_rooibos initial weight'!A624</f>
        <v>G620</v>
      </c>
      <c r="Z623" t="str">
        <f>'Green_rooibos initial weight'!A1528</f>
        <v>R619</v>
      </c>
      <c r="AA623" t="b">
        <f t="shared" si="378"/>
        <v>0</v>
      </c>
      <c r="AB623" t="b">
        <f t="shared" si="379"/>
        <v>0</v>
      </c>
      <c r="BH623">
        <f t="shared" si="380"/>
        <v>0</v>
      </c>
    </row>
    <row r="624" spans="2:60" ht="12" customHeight="1">
      <c r="B624">
        <f>TBIDry!H696</f>
        <v>0</v>
      </c>
      <c r="C624">
        <f>TBIDry!I696</f>
        <v>0</v>
      </c>
      <c r="D624" t="b">
        <f t="shared" si="376"/>
        <v>1</v>
      </c>
      <c r="E624" t="b">
        <f t="shared" si="377"/>
        <v>1</v>
      </c>
      <c r="Y624" t="str">
        <f>'Green_rooibos initial weight'!A625</f>
        <v>G621</v>
      </c>
      <c r="Z624" t="str">
        <f>'Green_rooibos initial weight'!A1529</f>
        <v>R620</v>
      </c>
      <c r="AA624" t="b">
        <f t="shared" si="378"/>
        <v>0</v>
      </c>
      <c r="AB624" t="b">
        <f t="shared" si="379"/>
        <v>0</v>
      </c>
      <c r="BH624">
        <f t="shared" si="380"/>
        <v>0</v>
      </c>
    </row>
    <row r="625" spans="2:60" ht="12" customHeight="1">
      <c r="B625">
        <f>TBIDry!H697</f>
        <v>0</v>
      </c>
      <c r="C625">
        <f>TBIDry!I697</f>
        <v>0</v>
      </c>
      <c r="D625" t="b">
        <f t="shared" si="376"/>
        <v>1</v>
      </c>
      <c r="E625" t="b">
        <f t="shared" si="377"/>
        <v>1</v>
      </c>
      <c r="Y625" t="str">
        <f>'Green_rooibos initial weight'!A626</f>
        <v>G622</v>
      </c>
      <c r="Z625" t="str">
        <f>'Green_rooibos initial weight'!A1530</f>
        <v>R621</v>
      </c>
      <c r="AA625" t="b">
        <f t="shared" si="378"/>
        <v>0</v>
      </c>
      <c r="AB625" t="b">
        <f t="shared" si="379"/>
        <v>0</v>
      </c>
      <c r="BH625">
        <f t="shared" si="380"/>
        <v>0</v>
      </c>
    </row>
    <row r="626" spans="2:60" ht="12" customHeight="1">
      <c r="B626">
        <f>TBIDry!H698</f>
        <v>0</v>
      </c>
      <c r="C626">
        <f>TBIDry!I698</f>
        <v>0</v>
      </c>
      <c r="D626" t="b">
        <f t="shared" si="376"/>
        <v>1</v>
      </c>
      <c r="E626" t="b">
        <f t="shared" si="377"/>
        <v>1</v>
      </c>
      <c r="Y626" t="str">
        <f>'Green_rooibos initial weight'!A627</f>
        <v>G623</v>
      </c>
      <c r="Z626" t="str">
        <f>'Green_rooibos initial weight'!A1531</f>
        <v>R622</v>
      </c>
      <c r="AA626" t="b">
        <f t="shared" si="378"/>
        <v>0</v>
      </c>
      <c r="AB626" t="b">
        <f t="shared" si="379"/>
        <v>0</v>
      </c>
      <c r="BH626">
        <f t="shared" si="380"/>
        <v>0</v>
      </c>
    </row>
    <row r="627" spans="2:60" ht="12" customHeight="1">
      <c r="B627">
        <f>TBIDry!H699</f>
        <v>0</v>
      </c>
      <c r="C627">
        <f>TBIDry!I699</f>
        <v>0</v>
      </c>
      <c r="D627" t="b">
        <f t="shared" si="376"/>
        <v>1</v>
      </c>
      <c r="E627" t="b">
        <f t="shared" si="377"/>
        <v>1</v>
      </c>
      <c r="Y627" t="str">
        <f>'Green_rooibos initial weight'!A628</f>
        <v>G624</v>
      </c>
      <c r="Z627" t="str">
        <f>'Green_rooibos initial weight'!A1532</f>
        <v>R623</v>
      </c>
      <c r="AA627" t="b">
        <f t="shared" si="378"/>
        <v>0</v>
      </c>
      <c r="AB627" t="b">
        <f t="shared" si="379"/>
        <v>0</v>
      </c>
      <c r="BH627">
        <f t="shared" si="380"/>
        <v>0</v>
      </c>
    </row>
    <row r="628" spans="2:60" ht="12" customHeight="1">
      <c r="B628">
        <f>TBIDry!H700</f>
        <v>0</v>
      </c>
      <c r="C628">
        <f>TBIDry!I700</f>
        <v>0</v>
      </c>
      <c r="D628" t="b">
        <f t="shared" si="376"/>
        <v>1</v>
      </c>
      <c r="E628" t="b">
        <f t="shared" si="377"/>
        <v>1</v>
      </c>
      <c r="Y628" t="str">
        <f>'Green_rooibos initial weight'!A629</f>
        <v>G625</v>
      </c>
      <c r="Z628" t="str">
        <f>'Green_rooibos initial weight'!A1533</f>
        <v>R624</v>
      </c>
      <c r="AA628" t="b">
        <f t="shared" si="378"/>
        <v>0</v>
      </c>
      <c r="AB628" t="b">
        <f t="shared" si="379"/>
        <v>0</v>
      </c>
      <c r="BH628">
        <f t="shared" si="380"/>
        <v>0</v>
      </c>
    </row>
    <row r="629" spans="2:60" ht="12" customHeight="1">
      <c r="B629">
        <f>TBIDry!H701</f>
        <v>0</v>
      </c>
      <c r="C629">
        <f>TBIDry!I701</f>
        <v>0</v>
      </c>
      <c r="D629" t="b">
        <f t="shared" si="376"/>
        <v>1</v>
      </c>
      <c r="E629" t="b">
        <f t="shared" si="377"/>
        <v>1</v>
      </c>
      <c r="Y629" t="str">
        <f>'Green_rooibos initial weight'!A630</f>
        <v>G626</v>
      </c>
      <c r="Z629" t="str">
        <f>'Green_rooibos initial weight'!A1534</f>
        <v>R625</v>
      </c>
      <c r="AA629" t="b">
        <f t="shared" si="378"/>
        <v>0</v>
      </c>
      <c r="AB629" t="b">
        <f t="shared" si="379"/>
        <v>0</v>
      </c>
      <c r="BH629">
        <f t="shared" si="380"/>
        <v>0</v>
      </c>
    </row>
    <row r="630" spans="2:60" ht="12" customHeight="1">
      <c r="B630">
        <f>TBIDry!H702</f>
        <v>0</v>
      </c>
      <c r="C630">
        <f>TBIDry!I702</f>
        <v>0</v>
      </c>
      <c r="D630" t="b">
        <f t="shared" si="376"/>
        <v>1</v>
      </c>
      <c r="E630" t="b">
        <f t="shared" si="377"/>
        <v>1</v>
      </c>
      <c r="Y630" t="str">
        <f>'Green_rooibos initial weight'!A631</f>
        <v>G627</v>
      </c>
      <c r="Z630" t="str">
        <f>'Green_rooibos initial weight'!A1535</f>
        <v>R626</v>
      </c>
      <c r="AA630" t="b">
        <f t="shared" si="378"/>
        <v>0</v>
      </c>
      <c r="AB630" t="b">
        <f t="shared" si="379"/>
        <v>0</v>
      </c>
      <c r="BH630">
        <f t="shared" si="380"/>
        <v>0</v>
      </c>
    </row>
    <row r="631" spans="2:60" ht="12" customHeight="1">
      <c r="B631">
        <f>TBIDry!H703</f>
        <v>0</v>
      </c>
      <c r="C631">
        <f>TBIDry!I703</f>
        <v>0</v>
      </c>
      <c r="D631" t="b">
        <f t="shared" si="376"/>
        <v>1</v>
      </c>
      <c r="E631" t="b">
        <f t="shared" si="377"/>
        <v>1</v>
      </c>
      <c r="Y631" t="str">
        <f>'Green_rooibos initial weight'!A632</f>
        <v>G628</v>
      </c>
      <c r="Z631" t="str">
        <f>'Green_rooibos initial weight'!A1536</f>
        <v>R627</v>
      </c>
      <c r="AA631" t="b">
        <f t="shared" si="378"/>
        <v>0</v>
      </c>
      <c r="AB631" t="b">
        <f t="shared" si="379"/>
        <v>0</v>
      </c>
      <c r="BH631">
        <f t="shared" si="380"/>
        <v>0</v>
      </c>
    </row>
    <row r="632" spans="2:60" ht="12" customHeight="1">
      <c r="B632">
        <f>TBIDry!H704</f>
        <v>0</v>
      </c>
      <c r="C632">
        <f>TBIDry!I704</f>
        <v>0</v>
      </c>
      <c r="D632" t="b">
        <f t="shared" si="376"/>
        <v>1</v>
      </c>
      <c r="E632" t="b">
        <f t="shared" si="377"/>
        <v>1</v>
      </c>
      <c r="Y632" t="str">
        <f>'Green_rooibos initial weight'!A633</f>
        <v>G629</v>
      </c>
      <c r="Z632" t="str">
        <f>'Green_rooibos initial weight'!A1537</f>
        <v>R628</v>
      </c>
      <c r="AA632" t="b">
        <f t="shared" si="378"/>
        <v>0</v>
      </c>
      <c r="AB632" t="b">
        <f t="shared" si="379"/>
        <v>0</v>
      </c>
      <c r="BH632">
        <f t="shared" si="380"/>
        <v>0</v>
      </c>
    </row>
    <row r="633" spans="2:60" ht="12" customHeight="1">
      <c r="B633">
        <f>TBIDry!H705</f>
        <v>0</v>
      </c>
      <c r="C633">
        <f>TBIDry!I705</f>
        <v>0</v>
      </c>
      <c r="D633" t="b">
        <f t="shared" si="376"/>
        <v>1</v>
      </c>
      <c r="E633" t="b">
        <f t="shared" si="377"/>
        <v>1</v>
      </c>
      <c r="Y633" t="str">
        <f>'Green_rooibos initial weight'!A634</f>
        <v>G630</v>
      </c>
      <c r="Z633" t="str">
        <f>'Green_rooibos initial weight'!A1538</f>
        <v>R629</v>
      </c>
      <c r="AA633" t="b">
        <f t="shared" si="378"/>
        <v>0</v>
      </c>
      <c r="AB633" t="b">
        <f t="shared" si="379"/>
        <v>0</v>
      </c>
      <c r="BH633">
        <f t="shared" si="380"/>
        <v>0</v>
      </c>
    </row>
    <row r="634" spans="2:60" ht="12" customHeight="1">
      <c r="B634">
        <f>TBIDry!H706</f>
        <v>0</v>
      </c>
      <c r="C634">
        <f>TBIDry!I706</f>
        <v>0</v>
      </c>
      <c r="D634" t="b">
        <f t="shared" si="376"/>
        <v>1</v>
      </c>
      <c r="E634" t="b">
        <f t="shared" si="377"/>
        <v>1</v>
      </c>
      <c r="Y634" t="str">
        <f>'Green_rooibos initial weight'!A635</f>
        <v>G631</v>
      </c>
      <c r="Z634" t="str">
        <f>'Green_rooibos initial weight'!A1539</f>
        <v>R630</v>
      </c>
      <c r="AA634" t="b">
        <f t="shared" si="378"/>
        <v>0</v>
      </c>
      <c r="AB634" t="b">
        <f t="shared" si="379"/>
        <v>0</v>
      </c>
      <c r="BH634">
        <f t="shared" si="380"/>
        <v>0</v>
      </c>
    </row>
    <row r="635" spans="2:60" ht="12" customHeight="1">
      <c r="B635">
        <f>TBIDry!H707</f>
        <v>0</v>
      </c>
      <c r="C635">
        <f>TBIDry!I707</f>
        <v>0</v>
      </c>
      <c r="D635" t="b">
        <f t="shared" si="376"/>
        <v>1</v>
      </c>
      <c r="E635" t="b">
        <f t="shared" si="377"/>
        <v>1</v>
      </c>
      <c r="Y635" t="str">
        <f>'Green_rooibos initial weight'!A636</f>
        <v>G632</v>
      </c>
      <c r="Z635" t="str">
        <f>'Green_rooibos initial weight'!A1540</f>
        <v>R631</v>
      </c>
      <c r="AA635" t="b">
        <f t="shared" si="378"/>
        <v>0</v>
      </c>
      <c r="AB635" t="b">
        <f t="shared" si="379"/>
        <v>0</v>
      </c>
      <c r="BH635">
        <f t="shared" si="380"/>
        <v>0</v>
      </c>
    </row>
    <row r="636" spans="2:60" ht="12" customHeight="1">
      <c r="B636">
        <f>TBIDry!H708</f>
        <v>0</v>
      </c>
      <c r="C636">
        <f>TBIDry!I708</f>
        <v>0</v>
      </c>
      <c r="D636" t="b">
        <f t="shared" si="376"/>
        <v>1</v>
      </c>
      <c r="E636" t="b">
        <f t="shared" si="377"/>
        <v>1</v>
      </c>
      <c r="Y636" t="str">
        <f>'Green_rooibos initial weight'!A637</f>
        <v>G633</v>
      </c>
      <c r="Z636" t="str">
        <f>'Green_rooibos initial weight'!A1541</f>
        <v>R632</v>
      </c>
      <c r="AA636" t="b">
        <f t="shared" si="378"/>
        <v>0</v>
      </c>
      <c r="AB636" t="b">
        <f t="shared" si="379"/>
        <v>0</v>
      </c>
      <c r="BH636">
        <f t="shared" si="380"/>
        <v>0</v>
      </c>
    </row>
    <row r="637" spans="2:60" ht="12" customHeight="1">
      <c r="B637">
        <f>TBIDry!H709</f>
        <v>0</v>
      </c>
      <c r="C637">
        <f>TBIDry!I709</f>
        <v>0</v>
      </c>
      <c r="D637" t="b">
        <f t="shared" si="376"/>
        <v>1</v>
      </c>
      <c r="E637" t="b">
        <f t="shared" si="377"/>
        <v>1</v>
      </c>
      <c r="Y637" t="str">
        <f>'Green_rooibos initial weight'!A638</f>
        <v>G634</v>
      </c>
      <c r="Z637" t="str">
        <f>'Green_rooibos initial weight'!A1542</f>
        <v>R633</v>
      </c>
      <c r="AA637" t="b">
        <f t="shared" si="378"/>
        <v>0</v>
      </c>
      <c r="AB637" t="b">
        <f t="shared" si="379"/>
        <v>0</v>
      </c>
      <c r="BH637">
        <f t="shared" si="380"/>
        <v>0</v>
      </c>
    </row>
    <row r="638" spans="2:60" ht="12" customHeight="1">
      <c r="B638">
        <f>TBIDry!H710</f>
        <v>0</v>
      </c>
      <c r="C638">
        <f>TBIDry!I710</f>
        <v>0</v>
      </c>
      <c r="D638" t="b">
        <f t="shared" si="376"/>
        <v>1</v>
      </c>
      <c r="E638" t="b">
        <f t="shared" si="377"/>
        <v>1</v>
      </c>
      <c r="Y638" t="str">
        <f>'Green_rooibos initial weight'!A639</f>
        <v>G635</v>
      </c>
      <c r="Z638" t="str">
        <f>'Green_rooibos initial weight'!A1543</f>
        <v>R634</v>
      </c>
      <c r="AA638" t="b">
        <f t="shared" si="378"/>
        <v>0</v>
      </c>
      <c r="AB638" t="b">
        <f t="shared" si="379"/>
        <v>0</v>
      </c>
      <c r="BH638">
        <f t="shared" si="380"/>
        <v>0</v>
      </c>
    </row>
    <row r="639" spans="2:60" ht="12" customHeight="1">
      <c r="B639">
        <f>TBIDry!H711</f>
        <v>0</v>
      </c>
      <c r="C639">
        <f>TBIDry!I711</f>
        <v>0</v>
      </c>
      <c r="D639" t="b">
        <f t="shared" si="376"/>
        <v>1</v>
      </c>
      <c r="E639" t="b">
        <f t="shared" si="377"/>
        <v>1</v>
      </c>
      <c r="Y639" t="str">
        <f>'Green_rooibos initial weight'!A640</f>
        <v>G636</v>
      </c>
      <c r="Z639" t="str">
        <f>'Green_rooibos initial weight'!A1544</f>
        <v>R635</v>
      </c>
      <c r="AA639" t="b">
        <f t="shared" si="378"/>
        <v>0</v>
      </c>
      <c r="AB639" t="b">
        <f t="shared" si="379"/>
        <v>0</v>
      </c>
      <c r="BH639">
        <f t="shared" si="380"/>
        <v>0</v>
      </c>
    </row>
    <row r="640" spans="2:60" ht="12" customHeight="1">
      <c r="B640">
        <f>TBIDry!H712</f>
        <v>0</v>
      </c>
      <c r="C640">
        <f>TBIDry!I712</f>
        <v>0</v>
      </c>
      <c r="D640" t="b">
        <f t="shared" si="376"/>
        <v>1</v>
      </c>
      <c r="E640" t="b">
        <f t="shared" si="377"/>
        <v>1</v>
      </c>
      <c r="Y640" t="str">
        <f>'Green_rooibos initial weight'!A641</f>
        <v>G637</v>
      </c>
      <c r="Z640" t="str">
        <f>'Green_rooibos initial weight'!A1545</f>
        <v>R636</v>
      </c>
      <c r="AA640" t="b">
        <f t="shared" si="378"/>
        <v>0</v>
      </c>
      <c r="AB640" t="b">
        <f t="shared" si="379"/>
        <v>0</v>
      </c>
      <c r="BH640">
        <f t="shared" si="380"/>
        <v>0</v>
      </c>
    </row>
    <row r="641" spans="2:60" ht="12" customHeight="1">
      <c r="B641">
        <f>TBIDry!H713</f>
        <v>0</v>
      </c>
      <c r="C641">
        <f>TBIDry!I713</f>
        <v>0</v>
      </c>
      <c r="D641" t="b">
        <f t="shared" si="376"/>
        <v>1</v>
      </c>
      <c r="E641" t="b">
        <f t="shared" si="377"/>
        <v>1</v>
      </c>
      <c r="Y641" t="str">
        <f>'Green_rooibos initial weight'!A642</f>
        <v>G638</v>
      </c>
      <c r="Z641" t="str">
        <f>'Green_rooibos initial weight'!A1546</f>
        <v>R637</v>
      </c>
      <c r="AA641" t="b">
        <f t="shared" si="378"/>
        <v>0</v>
      </c>
      <c r="AB641" t="b">
        <f t="shared" si="379"/>
        <v>0</v>
      </c>
      <c r="BH641">
        <f t="shared" si="380"/>
        <v>0</v>
      </c>
    </row>
    <row r="642" spans="2:60" ht="12" customHeight="1">
      <c r="B642">
        <f>TBIDry!H714</f>
        <v>0</v>
      </c>
      <c r="C642">
        <f>TBIDry!I714</f>
        <v>0</v>
      </c>
      <c r="D642" t="b">
        <f t="shared" si="376"/>
        <v>1</v>
      </c>
      <c r="E642" t="b">
        <f t="shared" si="377"/>
        <v>1</v>
      </c>
      <c r="Y642" t="str">
        <f>'Green_rooibos initial weight'!A643</f>
        <v>G639</v>
      </c>
      <c r="Z642" t="str">
        <f>'Green_rooibos initial weight'!A1547</f>
        <v>R638</v>
      </c>
      <c r="AA642" t="b">
        <f t="shared" si="378"/>
        <v>0</v>
      </c>
      <c r="AB642" t="b">
        <f t="shared" si="379"/>
        <v>0</v>
      </c>
      <c r="BH642">
        <f t="shared" si="380"/>
        <v>0</v>
      </c>
    </row>
    <row r="643" spans="2:60" ht="12" customHeight="1">
      <c r="B643">
        <f>TBIDry!H715</f>
        <v>0</v>
      </c>
      <c r="C643">
        <f>TBIDry!I715</f>
        <v>0</v>
      </c>
      <c r="D643" t="b">
        <f t="shared" si="376"/>
        <v>1</v>
      </c>
      <c r="E643" t="b">
        <f t="shared" si="377"/>
        <v>1</v>
      </c>
      <c r="Y643" t="str">
        <f>'Green_rooibos initial weight'!A644</f>
        <v>G640</v>
      </c>
      <c r="Z643" t="str">
        <f>'Green_rooibos initial weight'!A1548</f>
        <v>R639</v>
      </c>
      <c r="AA643" t="b">
        <f t="shared" si="378"/>
        <v>0</v>
      </c>
      <c r="AB643" t="b">
        <f t="shared" si="379"/>
        <v>0</v>
      </c>
      <c r="BH643">
        <f t="shared" si="380"/>
        <v>0</v>
      </c>
    </row>
    <row r="644" spans="2:60" ht="12" customHeight="1">
      <c r="B644">
        <f>TBIDry!H716</f>
        <v>0</v>
      </c>
      <c r="C644">
        <f>TBIDry!I716</f>
        <v>0</v>
      </c>
      <c r="D644" t="b">
        <f t="shared" si="376"/>
        <v>1</v>
      </c>
      <c r="E644" t="b">
        <f t="shared" si="377"/>
        <v>1</v>
      </c>
      <c r="Y644" t="str">
        <f>'Green_rooibos initial weight'!A645</f>
        <v>G641</v>
      </c>
      <c r="Z644" t="str">
        <f>'Green_rooibos initial weight'!A1549</f>
        <v>R640</v>
      </c>
      <c r="AA644" t="b">
        <f t="shared" si="378"/>
        <v>0</v>
      </c>
      <c r="AB644" t="b">
        <f t="shared" si="379"/>
        <v>0</v>
      </c>
      <c r="BH644">
        <f t="shared" si="380"/>
        <v>0</v>
      </c>
    </row>
    <row r="645" spans="2:60" ht="12" customHeight="1">
      <c r="B645">
        <f>TBIDry!H717</f>
        <v>0</v>
      </c>
      <c r="C645">
        <f>TBIDry!I717</f>
        <v>0</v>
      </c>
      <c r="D645" t="b">
        <f t="shared" ref="D645:D662" si="381">COUNTIF($B$4:$B$2000, B645)&gt;1</f>
        <v>1</v>
      </c>
      <c r="E645" t="b">
        <f t="shared" ref="E645:E662" si="382">COUNTIF($C$4:$C$2000, C645)&gt;1</f>
        <v>1</v>
      </c>
      <c r="Y645" t="str">
        <f>'Green_rooibos initial weight'!A646</f>
        <v>G642</v>
      </c>
      <c r="Z645" t="str">
        <f>'Green_rooibos initial weight'!A1550</f>
        <v>R641</v>
      </c>
      <c r="AA645" t="b">
        <f t="shared" ref="AA645:AA708" si="383">COUNTIF($Y$4:$Y$2000, Y645)&gt;1</f>
        <v>0</v>
      </c>
      <c r="AB645" t="b">
        <f t="shared" ref="AB645:AB708" si="384">COUNTIF($Z$4:$Z$2000, Z645)&gt;1</f>
        <v>0</v>
      </c>
      <c r="BH645">
        <f t="shared" ref="BH645:BH663" si="385">B644</f>
        <v>0</v>
      </c>
    </row>
    <row r="646" spans="2:60" ht="12" customHeight="1">
      <c r="B646">
        <f>TBIDry!H718</f>
        <v>0</v>
      </c>
      <c r="C646">
        <f>TBIDry!I718</f>
        <v>0</v>
      </c>
      <c r="D646" t="b">
        <f t="shared" si="381"/>
        <v>1</v>
      </c>
      <c r="E646" t="b">
        <f t="shared" si="382"/>
        <v>1</v>
      </c>
      <c r="Y646" t="str">
        <f>'Green_rooibos initial weight'!A647</f>
        <v>G643</v>
      </c>
      <c r="Z646" t="str">
        <f>'Green_rooibos initial weight'!A1551</f>
        <v>R642</v>
      </c>
      <c r="AA646" t="b">
        <f t="shared" si="383"/>
        <v>0</v>
      </c>
      <c r="AB646" t="b">
        <f t="shared" si="384"/>
        <v>0</v>
      </c>
      <c r="BH646">
        <f t="shared" si="385"/>
        <v>0</v>
      </c>
    </row>
    <row r="647" spans="2:60" ht="12" customHeight="1">
      <c r="B647">
        <f>TBIDry!H719</f>
        <v>0</v>
      </c>
      <c r="C647">
        <f>TBIDry!I719</f>
        <v>0</v>
      </c>
      <c r="D647" t="b">
        <f t="shared" si="381"/>
        <v>1</v>
      </c>
      <c r="E647" t="b">
        <f t="shared" si="382"/>
        <v>1</v>
      </c>
      <c r="Y647" t="str">
        <f>'Green_rooibos initial weight'!A648</f>
        <v>G644</v>
      </c>
      <c r="Z647" t="str">
        <f>'Green_rooibos initial weight'!A1552</f>
        <v>R643</v>
      </c>
      <c r="AA647" t="b">
        <f t="shared" si="383"/>
        <v>0</v>
      </c>
      <c r="AB647" t="b">
        <f t="shared" si="384"/>
        <v>0</v>
      </c>
      <c r="BH647">
        <f t="shared" si="385"/>
        <v>0</v>
      </c>
    </row>
    <row r="648" spans="2:60" ht="12" customHeight="1">
      <c r="B648">
        <f>TBIDry!H720</f>
        <v>0</v>
      </c>
      <c r="C648">
        <f>TBIDry!I720</f>
        <v>0</v>
      </c>
      <c r="D648" t="b">
        <f t="shared" si="381"/>
        <v>1</v>
      </c>
      <c r="E648" t="b">
        <f t="shared" si="382"/>
        <v>1</v>
      </c>
      <c r="Y648" t="str">
        <f>'Green_rooibos initial weight'!A649</f>
        <v>G645</v>
      </c>
      <c r="Z648" t="str">
        <f>'Green_rooibos initial weight'!A1553</f>
        <v>R644</v>
      </c>
      <c r="AA648" t="b">
        <f t="shared" si="383"/>
        <v>0</v>
      </c>
      <c r="AB648" t="b">
        <f t="shared" si="384"/>
        <v>0</v>
      </c>
      <c r="BH648">
        <f t="shared" si="385"/>
        <v>0</v>
      </c>
    </row>
    <row r="649" spans="2:60" ht="12" customHeight="1">
      <c r="B649">
        <f>TBIDry!H721</f>
        <v>0</v>
      </c>
      <c r="C649">
        <f>TBIDry!I721</f>
        <v>0</v>
      </c>
      <c r="D649" t="b">
        <f t="shared" si="381"/>
        <v>1</v>
      </c>
      <c r="E649" t="b">
        <f t="shared" si="382"/>
        <v>1</v>
      </c>
      <c r="Y649" t="str">
        <f>'Green_rooibos initial weight'!A650</f>
        <v>G646</v>
      </c>
      <c r="Z649" t="str">
        <f>'Green_rooibos initial weight'!A1554</f>
        <v>R645</v>
      </c>
      <c r="AA649" t="b">
        <f t="shared" si="383"/>
        <v>0</v>
      </c>
      <c r="AB649" t="b">
        <f t="shared" si="384"/>
        <v>0</v>
      </c>
      <c r="BH649">
        <f t="shared" si="385"/>
        <v>0</v>
      </c>
    </row>
    <row r="650" spans="2:60" ht="12" customHeight="1">
      <c r="B650">
        <f>TBIDry!H722</f>
        <v>0</v>
      </c>
      <c r="C650">
        <f>TBIDry!I722</f>
        <v>0</v>
      </c>
      <c r="D650" t="b">
        <f t="shared" si="381"/>
        <v>1</v>
      </c>
      <c r="E650" t="b">
        <f t="shared" si="382"/>
        <v>1</v>
      </c>
      <c r="Y650" t="str">
        <f>'Green_rooibos initial weight'!A651</f>
        <v>G647</v>
      </c>
      <c r="Z650" t="str">
        <f>'Green_rooibos initial weight'!A1555</f>
        <v>R646</v>
      </c>
      <c r="AA650" t="b">
        <f t="shared" si="383"/>
        <v>0</v>
      </c>
      <c r="AB650" t="b">
        <f t="shared" si="384"/>
        <v>0</v>
      </c>
      <c r="BH650">
        <f t="shared" si="385"/>
        <v>0</v>
      </c>
    </row>
    <row r="651" spans="2:60" ht="12" customHeight="1">
      <c r="B651">
        <f>TBIDry!H723</f>
        <v>0</v>
      </c>
      <c r="C651">
        <f>TBIDry!I723</f>
        <v>0</v>
      </c>
      <c r="D651" t="b">
        <f t="shared" si="381"/>
        <v>1</v>
      </c>
      <c r="E651" t="b">
        <f t="shared" si="382"/>
        <v>1</v>
      </c>
      <c r="Y651" t="str">
        <f>'Green_rooibos initial weight'!A652</f>
        <v>G648</v>
      </c>
      <c r="Z651" t="str">
        <f>'Green_rooibos initial weight'!A1556</f>
        <v>R647</v>
      </c>
      <c r="AA651" t="b">
        <f t="shared" si="383"/>
        <v>0</v>
      </c>
      <c r="AB651" t="b">
        <f t="shared" si="384"/>
        <v>0</v>
      </c>
      <c r="BH651">
        <f t="shared" si="385"/>
        <v>0</v>
      </c>
    </row>
    <row r="652" spans="2:60" ht="12" customHeight="1">
      <c r="B652">
        <f>TBIDry!H724</f>
        <v>0</v>
      </c>
      <c r="C652">
        <f>TBIDry!I724</f>
        <v>0</v>
      </c>
      <c r="D652" t="b">
        <f t="shared" si="381"/>
        <v>1</v>
      </c>
      <c r="E652" t="b">
        <f t="shared" si="382"/>
        <v>1</v>
      </c>
      <c r="Y652" t="str">
        <f>'Green_rooibos initial weight'!A653</f>
        <v>G649</v>
      </c>
      <c r="Z652" t="str">
        <f>'Green_rooibos initial weight'!A1557</f>
        <v>R648</v>
      </c>
      <c r="AA652" t="b">
        <f t="shared" si="383"/>
        <v>0</v>
      </c>
      <c r="AB652" t="b">
        <f t="shared" si="384"/>
        <v>0</v>
      </c>
      <c r="BH652">
        <f t="shared" si="385"/>
        <v>0</v>
      </c>
    </row>
    <row r="653" spans="2:60" ht="12" customHeight="1">
      <c r="B653">
        <f>TBIDry!H725</f>
        <v>0</v>
      </c>
      <c r="C653">
        <f>TBIDry!I725</f>
        <v>0</v>
      </c>
      <c r="D653" t="b">
        <f t="shared" si="381"/>
        <v>1</v>
      </c>
      <c r="E653" t="b">
        <f t="shared" si="382"/>
        <v>1</v>
      </c>
      <c r="Y653" t="str">
        <f>'Green_rooibos initial weight'!A654</f>
        <v>G650</v>
      </c>
      <c r="Z653" t="str">
        <f>'Green_rooibos initial weight'!A1558</f>
        <v>R649</v>
      </c>
      <c r="AA653" t="b">
        <f t="shared" si="383"/>
        <v>0</v>
      </c>
      <c r="AB653" t="b">
        <f t="shared" si="384"/>
        <v>0</v>
      </c>
      <c r="BH653">
        <f t="shared" si="385"/>
        <v>0</v>
      </c>
    </row>
    <row r="654" spans="2:60" ht="12" customHeight="1">
      <c r="B654">
        <f>TBIDry!H726</f>
        <v>0</v>
      </c>
      <c r="C654">
        <f>TBIDry!I726</f>
        <v>0</v>
      </c>
      <c r="D654" t="b">
        <f t="shared" si="381"/>
        <v>1</v>
      </c>
      <c r="E654" t="b">
        <f t="shared" si="382"/>
        <v>1</v>
      </c>
      <c r="Y654" t="str">
        <f>'Green_rooibos initial weight'!A655</f>
        <v>G651</v>
      </c>
      <c r="Z654" t="str">
        <f>'Green_rooibos initial weight'!A1559</f>
        <v>R650</v>
      </c>
      <c r="AA654" t="b">
        <f t="shared" si="383"/>
        <v>0</v>
      </c>
      <c r="AB654" t="b">
        <f t="shared" si="384"/>
        <v>0</v>
      </c>
      <c r="BH654">
        <f t="shared" si="385"/>
        <v>0</v>
      </c>
    </row>
    <row r="655" spans="2:60" ht="12" customHeight="1">
      <c r="B655">
        <f>TBIDry!H727</f>
        <v>0</v>
      </c>
      <c r="C655">
        <f>TBIDry!I727</f>
        <v>0</v>
      </c>
      <c r="D655" t="b">
        <f t="shared" si="381"/>
        <v>1</v>
      </c>
      <c r="E655" t="b">
        <f t="shared" si="382"/>
        <v>1</v>
      </c>
      <c r="Y655" t="str">
        <f>'Green_rooibos initial weight'!A656</f>
        <v>G652</v>
      </c>
      <c r="Z655" t="str">
        <f>'Green_rooibos initial weight'!A1560</f>
        <v>R651</v>
      </c>
      <c r="AA655" t="b">
        <f t="shared" si="383"/>
        <v>0</v>
      </c>
      <c r="AB655" t="b">
        <f t="shared" si="384"/>
        <v>0</v>
      </c>
      <c r="BH655">
        <f t="shared" si="385"/>
        <v>0</v>
      </c>
    </row>
    <row r="656" spans="2:60" ht="12" customHeight="1">
      <c r="B656">
        <f>TBIDry!H728</f>
        <v>0</v>
      </c>
      <c r="C656">
        <f>TBIDry!I728</f>
        <v>0</v>
      </c>
      <c r="D656" t="b">
        <f t="shared" si="381"/>
        <v>1</v>
      </c>
      <c r="E656" t="b">
        <f t="shared" si="382"/>
        <v>1</v>
      </c>
      <c r="Y656" t="str">
        <f>'Green_rooibos initial weight'!A657</f>
        <v>G653</v>
      </c>
      <c r="Z656" t="str">
        <f>'Green_rooibos initial weight'!A1561</f>
        <v>R652</v>
      </c>
      <c r="AA656" t="b">
        <f t="shared" si="383"/>
        <v>0</v>
      </c>
      <c r="AB656" t="b">
        <f t="shared" si="384"/>
        <v>0</v>
      </c>
      <c r="BH656">
        <f t="shared" si="385"/>
        <v>0</v>
      </c>
    </row>
    <row r="657" spans="2:60" ht="12" customHeight="1">
      <c r="B657">
        <f>TBIDry!H729</f>
        <v>0</v>
      </c>
      <c r="C657">
        <f>TBIDry!I729</f>
        <v>0</v>
      </c>
      <c r="D657" t="b">
        <f t="shared" si="381"/>
        <v>1</v>
      </c>
      <c r="E657" t="b">
        <f t="shared" si="382"/>
        <v>1</v>
      </c>
      <c r="Y657" t="str">
        <f>'Green_rooibos initial weight'!A658</f>
        <v>G654</v>
      </c>
      <c r="Z657" t="str">
        <f>'Green_rooibos initial weight'!A1562</f>
        <v>R653</v>
      </c>
      <c r="AA657" t="b">
        <f t="shared" si="383"/>
        <v>0</v>
      </c>
      <c r="AB657" t="b">
        <f t="shared" si="384"/>
        <v>0</v>
      </c>
      <c r="BH657">
        <f t="shared" si="385"/>
        <v>0</v>
      </c>
    </row>
    <row r="658" spans="2:60" ht="12" customHeight="1">
      <c r="B658">
        <f>TBIDry!H730</f>
        <v>0</v>
      </c>
      <c r="C658">
        <f>TBIDry!I730</f>
        <v>0</v>
      </c>
      <c r="D658" t="b">
        <f t="shared" si="381"/>
        <v>1</v>
      </c>
      <c r="E658" t="b">
        <f t="shared" si="382"/>
        <v>1</v>
      </c>
      <c r="Y658" t="str">
        <f>'Green_rooibos initial weight'!A659</f>
        <v>G655</v>
      </c>
      <c r="Z658" t="str">
        <f>'Green_rooibos initial weight'!A1563</f>
        <v>R654</v>
      </c>
      <c r="AA658" t="b">
        <f t="shared" si="383"/>
        <v>0</v>
      </c>
      <c r="AB658" t="b">
        <f t="shared" si="384"/>
        <v>0</v>
      </c>
      <c r="BH658">
        <f t="shared" si="385"/>
        <v>0</v>
      </c>
    </row>
    <row r="659" spans="2:60" ht="12" customHeight="1">
      <c r="B659">
        <f>TBIDry!H731</f>
        <v>0</v>
      </c>
      <c r="C659">
        <f>TBIDry!I731</f>
        <v>0</v>
      </c>
      <c r="D659" t="b">
        <f t="shared" si="381"/>
        <v>1</v>
      </c>
      <c r="E659" t="b">
        <f t="shared" si="382"/>
        <v>1</v>
      </c>
      <c r="Y659" t="str">
        <f>'Green_rooibos initial weight'!A660</f>
        <v>G656</v>
      </c>
      <c r="Z659" t="str">
        <f>'Green_rooibos initial weight'!A1564</f>
        <v>R655</v>
      </c>
      <c r="AA659" t="b">
        <f t="shared" si="383"/>
        <v>0</v>
      </c>
      <c r="AB659" t="b">
        <f t="shared" si="384"/>
        <v>0</v>
      </c>
      <c r="BH659">
        <f t="shared" si="385"/>
        <v>0</v>
      </c>
    </row>
    <row r="660" spans="2:60" ht="12" customHeight="1">
      <c r="B660">
        <f>TBIDry!H732</f>
        <v>0</v>
      </c>
      <c r="C660">
        <f>TBIDry!I732</f>
        <v>0</v>
      </c>
      <c r="D660" t="b">
        <f t="shared" si="381"/>
        <v>1</v>
      </c>
      <c r="E660" t="b">
        <f t="shared" si="382"/>
        <v>1</v>
      </c>
      <c r="Y660" t="str">
        <f>'Green_rooibos initial weight'!A661</f>
        <v>G657</v>
      </c>
      <c r="Z660" t="str">
        <f>'Green_rooibos initial weight'!A1565</f>
        <v>R656</v>
      </c>
      <c r="AA660" t="b">
        <f t="shared" si="383"/>
        <v>0</v>
      </c>
      <c r="AB660" t="b">
        <f t="shared" si="384"/>
        <v>0</v>
      </c>
      <c r="BH660">
        <f t="shared" si="385"/>
        <v>0</v>
      </c>
    </row>
    <row r="661" spans="2:60" ht="12" customHeight="1">
      <c r="B661">
        <f>TBIDry!H733</f>
        <v>0</v>
      </c>
      <c r="C661">
        <f>TBIDry!I733</f>
        <v>0</v>
      </c>
      <c r="D661" t="b">
        <f t="shared" si="381"/>
        <v>1</v>
      </c>
      <c r="E661" t="b">
        <f t="shared" si="382"/>
        <v>1</v>
      </c>
      <c r="Y661" t="str">
        <f>'Green_rooibos initial weight'!A662</f>
        <v>G658</v>
      </c>
      <c r="Z661" t="str">
        <f>'Green_rooibos initial weight'!A1566</f>
        <v>R657</v>
      </c>
      <c r="AA661" t="b">
        <f t="shared" si="383"/>
        <v>0</v>
      </c>
      <c r="AB661" t="b">
        <f t="shared" si="384"/>
        <v>0</v>
      </c>
      <c r="BH661">
        <f t="shared" si="385"/>
        <v>0</v>
      </c>
    </row>
    <row r="662" spans="2:60" ht="12" customHeight="1">
      <c r="B662">
        <f>TBIDry!H734</f>
        <v>0</v>
      </c>
      <c r="C662">
        <f>TBIDry!I734</f>
        <v>0</v>
      </c>
      <c r="D662" t="b">
        <f t="shared" si="381"/>
        <v>1</v>
      </c>
      <c r="E662" t="b">
        <f t="shared" si="382"/>
        <v>1</v>
      </c>
      <c r="Y662" t="str">
        <f>'Green_rooibos initial weight'!A663</f>
        <v>G659</v>
      </c>
      <c r="Z662" t="str">
        <f>'Green_rooibos initial weight'!A1567</f>
        <v>R658</v>
      </c>
      <c r="AA662" t="b">
        <f t="shared" si="383"/>
        <v>0</v>
      </c>
      <c r="AB662" t="b">
        <f t="shared" si="384"/>
        <v>0</v>
      </c>
      <c r="BH662">
        <f t="shared" si="385"/>
        <v>0</v>
      </c>
    </row>
    <row r="663" spans="2:60" ht="12" customHeight="1">
      <c r="Y663" t="str">
        <f>'Green_rooibos initial weight'!A664</f>
        <v>G660</v>
      </c>
      <c r="Z663" t="str">
        <f>'Green_rooibos initial weight'!A1568</f>
        <v>R659</v>
      </c>
      <c r="AA663" t="b">
        <f t="shared" si="383"/>
        <v>0</v>
      </c>
      <c r="AB663" t="b">
        <f t="shared" si="384"/>
        <v>0</v>
      </c>
      <c r="BH663">
        <f t="shared" si="385"/>
        <v>0</v>
      </c>
    </row>
    <row r="664" spans="2:60" ht="12" customHeight="1">
      <c r="Y664" t="str">
        <f>'Green_rooibos initial weight'!A665</f>
        <v>G661</v>
      </c>
      <c r="Z664" t="str">
        <f>'Green_rooibos initial weight'!A1569</f>
        <v>R660</v>
      </c>
      <c r="AA664" t="b">
        <f t="shared" si="383"/>
        <v>0</v>
      </c>
      <c r="AB664" t="b">
        <f t="shared" si="384"/>
        <v>0</v>
      </c>
    </row>
    <row r="665" spans="2:60" ht="12" customHeight="1">
      <c r="Y665" t="str">
        <f>'Green_rooibos initial weight'!A666</f>
        <v>G662</v>
      </c>
      <c r="Z665" t="str">
        <f>'Green_rooibos initial weight'!A1570</f>
        <v>R661</v>
      </c>
      <c r="AA665" t="b">
        <f t="shared" si="383"/>
        <v>0</v>
      </c>
      <c r="AB665" t="b">
        <f t="shared" si="384"/>
        <v>0</v>
      </c>
    </row>
    <row r="666" spans="2:60" ht="12" customHeight="1">
      <c r="Y666" t="str">
        <f>'Green_rooibos initial weight'!A667</f>
        <v>G663</v>
      </c>
      <c r="Z666" t="str">
        <f>'Green_rooibos initial weight'!A1571</f>
        <v>R662</v>
      </c>
      <c r="AA666" t="b">
        <f t="shared" si="383"/>
        <v>0</v>
      </c>
      <c r="AB666" t="b">
        <f t="shared" si="384"/>
        <v>0</v>
      </c>
    </row>
    <row r="667" spans="2:60" ht="12" customHeight="1">
      <c r="Y667" t="str">
        <f>'Green_rooibos initial weight'!A668</f>
        <v>G664</v>
      </c>
      <c r="Z667" t="str">
        <f>'Green_rooibos initial weight'!A1572</f>
        <v>R663</v>
      </c>
      <c r="AA667" t="b">
        <f t="shared" si="383"/>
        <v>0</v>
      </c>
      <c r="AB667" t="b">
        <f t="shared" si="384"/>
        <v>0</v>
      </c>
    </row>
    <row r="668" spans="2:60" ht="12" customHeight="1">
      <c r="Y668" t="str">
        <f>'Green_rooibos initial weight'!A669</f>
        <v>G665</v>
      </c>
      <c r="Z668" t="str">
        <f>'Green_rooibos initial weight'!A1573</f>
        <v>R664</v>
      </c>
      <c r="AA668" t="b">
        <f t="shared" si="383"/>
        <v>0</v>
      </c>
      <c r="AB668" t="b">
        <f t="shared" si="384"/>
        <v>0</v>
      </c>
    </row>
    <row r="669" spans="2:60" ht="12" customHeight="1">
      <c r="Y669" t="str">
        <f>'Green_rooibos initial weight'!A670</f>
        <v>G666</v>
      </c>
      <c r="Z669" t="str">
        <f>'Green_rooibos initial weight'!A1574</f>
        <v>R665</v>
      </c>
      <c r="AA669" t="b">
        <f t="shared" si="383"/>
        <v>0</v>
      </c>
      <c r="AB669" t="b">
        <f t="shared" si="384"/>
        <v>0</v>
      </c>
    </row>
    <row r="670" spans="2:60" ht="12" customHeight="1">
      <c r="Y670" t="str">
        <f>'Green_rooibos initial weight'!A671</f>
        <v>G667</v>
      </c>
      <c r="Z670" t="str">
        <f>'Green_rooibos initial weight'!A1575</f>
        <v>R666</v>
      </c>
      <c r="AA670" t="b">
        <f t="shared" si="383"/>
        <v>0</v>
      </c>
      <c r="AB670" t="b">
        <f t="shared" si="384"/>
        <v>0</v>
      </c>
    </row>
    <row r="671" spans="2:60" ht="12" customHeight="1">
      <c r="Y671" t="str">
        <f>'Green_rooibos initial weight'!A672</f>
        <v>G668</v>
      </c>
      <c r="Z671" t="str">
        <f>'Green_rooibos initial weight'!A1576</f>
        <v>R667</v>
      </c>
      <c r="AA671" t="b">
        <f t="shared" si="383"/>
        <v>0</v>
      </c>
      <c r="AB671" t="b">
        <f t="shared" si="384"/>
        <v>0</v>
      </c>
    </row>
    <row r="672" spans="2:60" ht="12" customHeight="1">
      <c r="Y672" t="str">
        <f>'Green_rooibos initial weight'!A673</f>
        <v>G669</v>
      </c>
      <c r="Z672" t="str">
        <f>'Green_rooibos initial weight'!A1577</f>
        <v>R668</v>
      </c>
      <c r="AA672" t="b">
        <f t="shared" si="383"/>
        <v>0</v>
      </c>
      <c r="AB672" t="b">
        <f t="shared" si="384"/>
        <v>0</v>
      </c>
    </row>
    <row r="673" spans="25:28" ht="12" customHeight="1">
      <c r="Y673" t="str">
        <f>'Green_rooibos initial weight'!A674</f>
        <v>G670</v>
      </c>
      <c r="Z673" t="str">
        <f>'Green_rooibos initial weight'!A1578</f>
        <v>R669</v>
      </c>
      <c r="AA673" t="b">
        <f t="shared" si="383"/>
        <v>0</v>
      </c>
      <c r="AB673" t="b">
        <f t="shared" si="384"/>
        <v>0</v>
      </c>
    </row>
    <row r="674" spans="25:28" ht="12" customHeight="1">
      <c r="Y674" t="str">
        <f>'Green_rooibos initial weight'!A675</f>
        <v>G671</v>
      </c>
      <c r="Z674" t="str">
        <f>'Green_rooibos initial weight'!A1579</f>
        <v>R670</v>
      </c>
      <c r="AA674" t="b">
        <f t="shared" si="383"/>
        <v>0</v>
      </c>
      <c r="AB674" t="b">
        <f t="shared" si="384"/>
        <v>0</v>
      </c>
    </row>
    <row r="675" spans="25:28" ht="12" customHeight="1">
      <c r="Y675" t="str">
        <f>'Green_rooibos initial weight'!A676</f>
        <v>G672</v>
      </c>
      <c r="Z675" t="str">
        <f>'Green_rooibos initial weight'!A1580</f>
        <v>R671</v>
      </c>
      <c r="AA675" t="b">
        <f t="shared" si="383"/>
        <v>0</v>
      </c>
      <c r="AB675" t="b">
        <f t="shared" si="384"/>
        <v>0</v>
      </c>
    </row>
    <row r="676" spans="25:28" ht="12" customHeight="1">
      <c r="Y676" t="str">
        <f>'Green_rooibos initial weight'!A677</f>
        <v>G673</v>
      </c>
      <c r="Z676" t="str">
        <f>'Green_rooibos initial weight'!A1581</f>
        <v>R672</v>
      </c>
      <c r="AA676" t="b">
        <f t="shared" si="383"/>
        <v>0</v>
      </c>
      <c r="AB676" t="b">
        <f t="shared" si="384"/>
        <v>0</v>
      </c>
    </row>
    <row r="677" spans="25:28" ht="12" customHeight="1">
      <c r="Y677" t="str">
        <f>'Green_rooibos initial weight'!A678</f>
        <v>G674</v>
      </c>
      <c r="Z677" t="str">
        <f>'Green_rooibos initial weight'!A1582</f>
        <v>R673</v>
      </c>
      <c r="AA677" t="b">
        <f t="shared" si="383"/>
        <v>0</v>
      </c>
      <c r="AB677" t="b">
        <f t="shared" si="384"/>
        <v>0</v>
      </c>
    </row>
    <row r="678" spans="25:28" ht="12" customHeight="1">
      <c r="Y678" t="str">
        <f>'Green_rooibos initial weight'!A679</f>
        <v>G675</v>
      </c>
      <c r="Z678" t="str">
        <f>'Green_rooibos initial weight'!A1583</f>
        <v>R674</v>
      </c>
      <c r="AA678" t="b">
        <f t="shared" si="383"/>
        <v>0</v>
      </c>
      <c r="AB678" t="b">
        <f t="shared" si="384"/>
        <v>0</v>
      </c>
    </row>
    <row r="679" spans="25:28" ht="12" customHeight="1">
      <c r="Y679" t="str">
        <f>'Green_rooibos initial weight'!A680</f>
        <v>G676</v>
      </c>
      <c r="Z679" t="str">
        <f>'Green_rooibos initial weight'!A1584</f>
        <v>R675</v>
      </c>
      <c r="AA679" t="b">
        <f t="shared" si="383"/>
        <v>0</v>
      </c>
      <c r="AB679" t="b">
        <f t="shared" si="384"/>
        <v>0</v>
      </c>
    </row>
    <row r="680" spans="25:28" ht="12" customHeight="1">
      <c r="Y680" t="str">
        <f>'Green_rooibos initial weight'!A681</f>
        <v>G677</v>
      </c>
      <c r="Z680" t="str">
        <f>'Green_rooibos initial weight'!A1585</f>
        <v>R676</v>
      </c>
      <c r="AA680" t="b">
        <f t="shared" si="383"/>
        <v>0</v>
      </c>
      <c r="AB680" t="b">
        <f t="shared" si="384"/>
        <v>0</v>
      </c>
    </row>
    <row r="681" spans="25:28" ht="12" customHeight="1">
      <c r="Y681" t="str">
        <f>'Green_rooibos initial weight'!A682</f>
        <v>G678</v>
      </c>
      <c r="Z681" t="str">
        <f>'Green_rooibos initial weight'!A1586</f>
        <v>R677</v>
      </c>
      <c r="AA681" t="b">
        <f t="shared" si="383"/>
        <v>0</v>
      </c>
      <c r="AB681" t="b">
        <f t="shared" si="384"/>
        <v>0</v>
      </c>
    </row>
    <row r="682" spans="25:28" ht="12" customHeight="1">
      <c r="Y682" t="str">
        <f>'Green_rooibos initial weight'!A683</f>
        <v>G679</v>
      </c>
      <c r="Z682" t="str">
        <f>'Green_rooibos initial weight'!A1587</f>
        <v>R678</v>
      </c>
      <c r="AA682" t="b">
        <f t="shared" si="383"/>
        <v>0</v>
      </c>
      <c r="AB682" t="b">
        <f t="shared" si="384"/>
        <v>0</v>
      </c>
    </row>
    <row r="683" spans="25:28" ht="12" customHeight="1">
      <c r="Y683" t="str">
        <f>'Green_rooibos initial weight'!A684</f>
        <v>G680</v>
      </c>
      <c r="Z683" t="str">
        <f>'Green_rooibos initial weight'!A1588</f>
        <v>R679</v>
      </c>
      <c r="AA683" t="b">
        <f t="shared" si="383"/>
        <v>0</v>
      </c>
      <c r="AB683" t="b">
        <f t="shared" si="384"/>
        <v>0</v>
      </c>
    </row>
    <row r="684" spans="25:28" ht="12" customHeight="1">
      <c r="Y684" t="str">
        <f>'Green_rooibos initial weight'!A685</f>
        <v>G681</v>
      </c>
      <c r="Z684" t="str">
        <f>'Green_rooibos initial weight'!A1589</f>
        <v>R680</v>
      </c>
      <c r="AA684" t="b">
        <f t="shared" si="383"/>
        <v>0</v>
      </c>
      <c r="AB684" t="b">
        <f t="shared" si="384"/>
        <v>0</v>
      </c>
    </row>
    <row r="685" spans="25:28" ht="12" customHeight="1">
      <c r="Y685" t="str">
        <f>'Green_rooibos initial weight'!A686</f>
        <v>G682</v>
      </c>
      <c r="Z685" t="str">
        <f>'Green_rooibos initial weight'!A1590</f>
        <v>R681</v>
      </c>
      <c r="AA685" t="b">
        <f t="shared" si="383"/>
        <v>0</v>
      </c>
      <c r="AB685" t="b">
        <f t="shared" si="384"/>
        <v>0</v>
      </c>
    </row>
    <row r="686" spans="25:28" ht="12" customHeight="1">
      <c r="Y686" t="str">
        <f>'Green_rooibos initial weight'!A687</f>
        <v>G683</v>
      </c>
      <c r="Z686" t="str">
        <f>'Green_rooibos initial weight'!A1591</f>
        <v>R682</v>
      </c>
      <c r="AA686" t="b">
        <f t="shared" si="383"/>
        <v>0</v>
      </c>
      <c r="AB686" t="b">
        <f t="shared" si="384"/>
        <v>0</v>
      </c>
    </row>
    <row r="687" spans="25:28" ht="12" customHeight="1">
      <c r="Y687" t="str">
        <f>'Green_rooibos initial weight'!A688</f>
        <v>G684</v>
      </c>
      <c r="Z687" t="str">
        <f>'Green_rooibos initial weight'!A1592</f>
        <v>R683</v>
      </c>
      <c r="AA687" t="b">
        <f t="shared" si="383"/>
        <v>0</v>
      </c>
      <c r="AB687" t="b">
        <f t="shared" si="384"/>
        <v>0</v>
      </c>
    </row>
    <row r="688" spans="25:28" ht="12" customHeight="1">
      <c r="Y688" t="str">
        <f>'Green_rooibos initial weight'!A689</f>
        <v>G685</v>
      </c>
      <c r="Z688" t="str">
        <f>'Green_rooibos initial weight'!A1593</f>
        <v>R684</v>
      </c>
      <c r="AA688" t="b">
        <f t="shared" si="383"/>
        <v>0</v>
      </c>
      <c r="AB688" t="b">
        <f t="shared" si="384"/>
        <v>0</v>
      </c>
    </row>
    <row r="689" spans="25:28" ht="12" customHeight="1">
      <c r="Y689" t="str">
        <f>'Green_rooibos initial weight'!A690</f>
        <v>G686</v>
      </c>
      <c r="Z689" t="str">
        <f>'Green_rooibos initial weight'!A1594</f>
        <v>R685</v>
      </c>
      <c r="AA689" t="b">
        <f t="shared" si="383"/>
        <v>0</v>
      </c>
      <c r="AB689" t="b">
        <f t="shared" si="384"/>
        <v>0</v>
      </c>
    </row>
    <row r="690" spans="25:28" ht="12" customHeight="1">
      <c r="Y690" t="str">
        <f>'Green_rooibos initial weight'!A691</f>
        <v>G687</v>
      </c>
      <c r="Z690" t="str">
        <f>'Green_rooibos initial weight'!A1595</f>
        <v>R686</v>
      </c>
      <c r="AA690" t="b">
        <f t="shared" si="383"/>
        <v>0</v>
      </c>
      <c r="AB690" t="b">
        <f t="shared" si="384"/>
        <v>0</v>
      </c>
    </row>
    <row r="691" spans="25:28" ht="12" customHeight="1">
      <c r="Y691" t="str">
        <f>'Green_rooibos initial weight'!A692</f>
        <v>G688</v>
      </c>
      <c r="Z691" t="str">
        <f>'Green_rooibos initial weight'!A1596</f>
        <v>R687</v>
      </c>
      <c r="AA691" t="b">
        <f t="shared" si="383"/>
        <v>0</v>
      </c>
      <c r="AB691" t="b">
        <f t="shared" si="384"/>
        <v>0</v>
      </c>
    </row>
    <row r="692" spans="25:28" ht="12" customHeight="1">
      <c r="Y692" t="str">
        <f>'Green_rooibos initial weight'!A693</f>
        <v>G689</v>
      </c>
      <c r="Z692" t="str">
        <f>'Green_rooibos initial weight'!A1597</f>
        <v>R688</v>
      </c>
      <c r="AA692" t="b">
        <f t="shared" si="383"/>
        <v>0</v>
      </c>
      <c r="AB692" t="b">
        <f t="shared" si="384"/>
        <v>0</v>
      </c>
    </row>
    <row r="693" spans="25:28" ht="12" customHeight="1">
      <c r="Y693" t="str">
        <f>'Green_rooibos initial weight'!A694</f>
        <v>G690</v>
      </c>
      <c r="Z693" t="str">
        <f>'Green_rooibos initial weight'!A1598</f>
        <v>R689</v>
      </c>
      <c r="AA693" t="b">
        <f t="shared" si="383"/>
        <v>0</v>
      </c>
      <c r="AB693" t="b">
        <f t="shared" si="384"/>
        <v>0</v>
      </c>
    </row>
    <row r="694" spans="25:28" ht="12" customHeight="1">
      <c r="Y694" t="str">
        <f>'Green_rooibos initial weight'!A695</f>
        <v>G691</v>
      </c>
      <c r="Z694" t="str">
        <f>'Green_rooibos initial weight'!A1599</f>
        <v>R690</v>
      </c>
      <c r="AA694" t="b">
        <f t="shared" si="383"/>
        <v>0</v>
      </c>
      <c r="AB694" t="b">
        <f t="shared" si="384"/>
        <v>0</v>
      </c>
    </row>
    <row r="695" spans="25:28" ht="12" customHeight="1">
      <c r="Y695" t="str">
        <f>'Green_rooibos initial weight'!A696</f>
        <v>G692</v>
      </c>
      <c r="Z695" t="str">
        <f>'Green_rooibos initial weight'!A1600</f>
        <v>R691</v>
      </c>
      <c r="AA695" t="b">
        <f t="shared" si="383"/>
        <v>0</v>
      </c>
      <c r="AB695" t="b">
        <f t="shared" si="384"/>
        <v>0</v>
      </c>
    </row>
    <row r="696" spans="25:28" ht="12" customHeight="1">
      <c r="Y696" t="str">
        <f>'Green_rooibos initial weight'!A697</f>
        <v>G693</v>
      </c>
      <c r="Z696" t="str">
        <f>'Green_rooibos initial weight'!A1601</f>
        <v>R692</v>
      </c>
      <c r="AA696" t="b">
        <f t="shared" si="383"/>
        <v>0</v>
      </c>
      <c r="AB696" t="b">
        <f t="shared" si="384"/>
        <v>0</v>
      </c>
    </row>
    <row r="697" spans="25:28" ht="12" customHeight="1">
      <c r="Y697" t="str">
        <f>'Green_rooibos initial weight'!A698</f>
        <v>G694</v>
      </c>
      <c r="Z697" t="str">
        <f>'Green_rooibos initial weight'!A1602</f>
        <v>R693</v>
      </c>
      <c r="AA697" t="b">
        <f t="shared" si="383"/>
        <v>0</v>
      </c>
      <c r="AB697" t="b">
        <f t="shared" si="384"/>
        <v>0</v>
      </c>
    </row>
    <row r="698" spans="25:28" ht="12" customHeight="1">
      <c r="Y698" t="str">
        <f>'Green_rooibos initial weight'!A699</f>
        <v>G695</v>
      </c>
      <c r="Z698" t="str">
        <f>'Green_rooibos initial weight'!A1603</f>
        <v>R694</v>
      </c>
      <c r="AA698" t="b">
        <f t="shared" si="383"/>
        <v>0</v>
      </c>
      <c r="AB698" t="b">
        <f t="shared" si="384"/>
        <v>0</v>
      </c>
    </row>
    <row r="699" spans="25:28" ht="12" customHeight="1">
      <c r="Y699" t="str">
        <f>'Green_rooibos initial weight'!A700</f>
        <v>G696</v>
      </c>
      <c r="Z699" t="str">
        <f>'Green_rooibos initial weight'!A1604</f>
        <v>R695</v>
      </c>
      <c r="AA699" t="b">
        <f t="shared" si="383"/>
        <v>0</v>
      </c>
      <c r="AB699" t="b">
        <f t="shared" si="384"/>
        <v>0</v>
      </c>
    </row>
    <row r="700" spans="25:28" ht="12" customHeight="1">
      <c r="Y700" t="str">
        <f>'Green_rooibos initial weight'!A701</f>
        <v>G697</v>
      </c>
      <c r="Z700" t="str">
        <f>'Green_rooibos initial weight'!A1605</f>
        <v>R696</v>
      </c>
      <c r="AA700" t="b">
        <f t="shared" si="383"/>
        <v>0</v>
      </c>
      <c r="AB700" t="b">
        <f t="shared" si="384"/>
        <v>0</v>
      </c>
    </row>
    <row r="701" spans="25:28" ht="12" customHeight="1">
      <c r="Y701" t="str">
        <f>'Green_rooibos initial weight'!A702</f>
        <v>G698</v>
      </c>
      <c r="Z701" t="str">
        <f>'Green_rooibos initial weight'!A1606</f>
        <v>R697</v>
      </c>
      <c r="AA701" t="b">
        <f t="shared" si="383"/>
        <v>0</v>
      </c>
      <c r="AB701" t="b">
        <f t="shared" si="384"/>
        <v>0</v>
      </c>
    </row>
    <row r="702" spans="25:28" ht="12" customHeight="1">
      <c r="Y702" t="str">
        <f>'Green_rooibos initial weight'!A703</f>
        <v>G699</v>
      </c>
      <c r="Z702" t="str">
        <f>'Green_rooibos initial weight'!A1607</f>
        <v>R698</v>
      </c>
      <c r="AA702" t="b">
        <f t="shared" si="383"/>
        <v>0</v>
      </c>
      <c r="AB702" t="b">
        <f t="shared" si="384"/>
        <v>0</v>
      </c>
    </row>
    <row r="703" spans="25:28" ht="12" customHeight="1">
      <c r="Y703" t="str">
        <f>'Green_rooibos initial weight'!A704</f>
        <v>G700</v>
      </c>
      <c r="Z703" t="str">
        <f>'Green_rooibos initial weight'!A1608</f>
        <v>R699</v>
      </c>
      <c r="AA703" t="b">
        <f t="shared" si="383"/>
        <v>0</v>
      </c>
      <c r="AB703" t="b">
        <f t="shared" si="384"/>
        <v>0</v>
      </c>
    </row>
    <row r="704" spans="25:28" ht="12" customHeight="1">
      <c r="Y704" t="str">
        <f>'Green_rooibos initial weight'!A705</f>
        <v>G701</v>
      </c>
      <c r="Z704" t="str">
        <f>'Green_rooibos initial weight'!A1609</f>
        <v>R700</v>
      </c>
      <c r="AA704" t="b">
        <f t="shared" si="383"/>
        <v>0</v>
      </c>
      <c r="AB704" t="b">
        <f t="shared" si="384"/>
        <v>0</v>
      </c>
    </row>
    <row r="705" spans="25:28" ht="12" customHeight="1">
      <c r="Y705" t="str">
        <f>'Green_rooibos initial weight'!A706</f>
        <v>G702</v>
      </c>
      <c r="Z705" t="str">
        <f>'Green_rooibos initial weight'!A1610</f>
        <v>R701</v>
      </c>
      <c r="AA705" t="b">
        <f t="shared" si="383"/>
        <v>0</v>
      </c>
      <c r="AB705" t="b">
        <f t="shared" si="384"/>
        <v>0</v>
      </c>
    </row>
    <row r="706" spans="25:28" ht="12" customHeight="1">
      <c r="Y706" t="str">
        <f>'Green_rooibos initial weight'!A707</f>
        <v>G703</v>
      </c>
      <c r="Z706" t="str">
        <f>'Green_rooibos initial weight'!A1611</f>
        <v>R702</v>
      </c>
      <c r="AA706" t="b">
        <f t="shared" si="383"/>
        <v>0</v>
      </c>
      <c r="AB706" t="b">
        <f t="shared" si="384"/>
        <v>0</v>
      </c>
    </row>
    <row r="707" spans="25:28" ht="12" customHeight="1">
      <c r="Y707" t="str">
        <f>'Green_rooibos initial weight'!A708</f>
        <v>G704</v>
      </c>
      <c r="Z707" t="str">
        <f>'Green_rooibos initial weight'!A1612</f>
        <v>R703</v>
      </c>
      <c r="AA707" t="b">
        <f t="shared" si="383"/>
        <v>0</v>
      </c>
      <c r="AB707" t="b">
        <f t="shared" si="384"/>
        <v>0</v>
      </c>
    </row>
    <row r="708" spans="25:28" ht="12" customHeight="1">
      <c r="Y708" t="str">
        <f>'Green_rooibos initial weight'!A709</f>
        <v>G705</v>
      </c>
      <c r="Z708" t="str">
        <f>'Green_rooibos initial weight'!A1613</f>
        <v>R704</v>
      </c>
      <c r="AA708" t="b">
        <f t="shared" si="383"/>
        <v>0</v>
      </c>
      <c r="AB708" t="b">
        <f t="shared" si="384"/>
        <v>0</v>
      </c>
    </row>
    <row r="709" spans="25:28" ht="12" customHeight="1">
      <c r="Y709" t="str">
        <f>'Green_rooibos initial weight'!A710</f>
        <v>G706</v>
      </c>
      <c r="Z709" t="str">
        <f>'Green_rooibos initial weight'!A1614</f>
        <v>R705</v>
      </c>
      <c r="AA709" t="b">
        <f t="shared" ref="AA709:AA772" si="386">COUNTIF($Y$4:$Y$2000, Y709)&gt;1</f>
        <v>0</v>
      </c>
      <c r="AB709" t="b">
        <f t="shared" ref="AB709:AB772" si="387">COUNTIF($Z$4:$Z$2000, Z709)&gt;1</f>
        <v>0</v>
      </c>
    </row>
    <row r="710" spans="25:28" ht="12" customHeight="1">
      <c r="Y710" t="str">
        <f>'Green_rooibos initial weight'!A711</f>
        <v>G707</v>
      </c>
      <c r="Z710" t="str">
        <f>'Green_rooibos initial weight'!A1615</f>
        <v>R706</v>
      </c>
      <c r="AA710" t="b">
        <f t="shared" si="386"/>
        <v>0</v>
      </c>
      <c r="AB710" t="b">
        <f t="shared" si="387"/>
        <v>0</v>
      </c>
    </row>
    <row r="711" spans="25:28" ht="12" customHeight="1">
      <c r="Y711" t="str">
        <f>'Green_rooibos initial weight'!A712</f>
        <v>G708</v>
      </c>
      <c r="Z711" t="str">
        <f>'Green_rooibos initial weight'!A1616</f>
        <v>R707</v>
      </c>
      <c r="AA711" t="b">
        <f t="shared" si="386"/>
        <v>0</v>
      </c>
      <c r="AB711" t="b">
        <f t="shared" si="387"/>
        <v>0</v>
      </c>
    </row>
    <row r="712" spans="25:28" ht="12" customHeight="1">
      <c r="Y712" t="str">
        <f>'Green_rooibos initial weight'!A713</f>
        <v>G709</v>
      </c>
      <c r="Z712" t="str">
        <f>'Green_rooibos initial weight'!A1617</f>
        <v>R708</v>
      </c>
      <c r="AA712" t="b">
        <f t="shared" si="386"/>
        <v>0</v>
      </c>
      <c r="AB712" t="b">
        <f t="shared" si="387"/>
        <v>0</v>
      </c>
    </row>
    <row r="713" spans="25:28" ht="12" customHeight="1">
      <c r="Y713" t="str">
        <f>'Green_rooibos initial weight'!A714</f>
        <v>G710</v>
      </c>
      <c r="Z713" t="str">
        <f>'Green_rooibos initial weight'!A1618</f>
        <v>R709</v>
      </c>
      <c r="AA713" t="b">
        <f t="shared" si="386"/>
        <v>0</v>
      </c>
      <c r="AB713" t="b">
        <f t="shared" si="387"/>
        <v>0</v>
      </c>
    </row>
    <row r="714" spans="25:28" ht="12" customHeight="1">
      <c r="Y714" t="str">
        <f>'Green_rooibos initial weight'!A715</f>
        <v>G711</v>
      </c>
      <c r="Z714" t="str">
        <f>'Green_rooibos initial weight'!A1619</f>
        <v>R710</v>
      </c>
      <c r="AA714" t="b">
        <f t="shared" si="386"/>
        <v>0</v>
      </c>
      <c r="AB714" t="b">
        <f t="shared" si="387"/>
        <v>0</v>
      </c>
    </row>
    <row r="715" spans="25:28" ht="12" customHeight="1">
      <c r="Y715" t="str">
        <f>'Green_rooibos initial weight'!A716</f>
        <v>G712</v>
      </c>
      <c r="Z715" t="str">
        <f>'Green_rooibos initial weight'!A1620</f>
        <v>R711</v>
      </c>
      <c r="AA715" t="b">
        <f t="shared" si="386"/>
        <v>0</v>
      </c>
      <c r="AB715" t="b">
        <f t="shared" si="387"/>
        <v>0</v>
      </c>
    </row>
    <row r="716" spans="25:28" ht="12" customHeight="1">
      <c r="Y716" t="str">
        <f>'Green_rooibos initial weight'!A717</f>
        <v>G713</v>
      </c>
      <c r="Z716" t="str">
        <f>'Green_rooibos initial weight'!A1621</f>
        <v>R712</v>
      </c>
      <c r="AA716" t="b">
        <f t="shared" si="386"/>
        <v>0</v>
      </c>
      <c r="AB716" t="b">
        <f t="shared" si="387"/>
        <v>0</v>
      </c>
    </row>
    <row r="717" spans="25:28" ht="12" customHeight="1">
      <c r="Y717" t="str">
        <f>'Green_rooibos initial weight'!A718</f>
        <v>G714</v>
      </c>
      <c r="Z717" t="str">
        <f>'Green_rooibos initial weight'!A1622</f>
        <v>R713</v>
      </c>
      <c r="AA717" t="b">
        <f t="shared" si="386"/>
        <v>0</v>
      </c>
      <c r="AB717" t="b">
        <f t="shared" si="387"/>
        <v>0</v>
      </c>
    </row>
    <row r="718" spans="25:28" ht="12" customHeight="1">
      <c r="Y718" t="str">
        <f>'Green_rooibos initial weight'!A719</f>
        <v>G715</v>
      </c>
      <c r="Z718" t="str">
        <f>'Green_rooibos initial weight'!A1623</f>
        <v>R714</v>
      </c>
      <c r="AA718" t="b">
        <f t="shared" si="386"/>
        <v>0</v>
      </c>
      <c r="AB718" t="b">
        <f t="shared" si="387"/>
        <v>0</v>
      </c>
    </row>
    <row r="719" spans="25:28" ht="12" customHeight="1">
      <c r="Y719" t="str">
        <f>'Green_rooibos initial weight'!A720</f>
        <v>G716</v>
      </c>
      <c r="Z719" t="str">
        <f>'Green_rooibos initial weight'!A1624</f>
        <v>R715</v>
      </c>
      <c r="AA719" t="b">
        <f t="shared" si="386"/>
        <v>0</v>
      </c>
      <c r="AB719" t="b">
        <f t="shared" si="387"/>
        <v>0</v>
      </c>
    </row>
    <row r="720" spans="25:28" ht="12" customHeight="1">
      <c r="Y720" t="str">
        <f>'Green_rooibos initial weight'!A721</f>
        <v>G717</v>
      </c>
      <c r="Z720" t="str">
        <f>'Green_rooibos initial weight'!A1625</f>
        <v>R716</v>
      </c>
      <c r="AA720" t="b">
        <f t="shared" si="386"/>
        <v>0</v>
      </c>
      <c r="AB720" t="b">
        <f t="shared" si="387"/>
        <v>0</v>
      </c>
    </row>
    <row r="721" spans="25:28" ht="12" customHeight="1">
      <c r="Y721" t="str">
        <f>'Green_rooibos initial weight'!A722</f>
        <v>G718</v>
      </c>
      <c r="Z721" t="str">
        <f>'Green_rooibos initial weight'!A1626</f>
        <v>R717</v>
      </c>
      <c r="AA721" t="b">
        <f t="shared" si="386"/>
        <v>0</v>
      </c>
      <c r="AB721" t="b">
        <f t="shared" si="387"/>
        <v>0</v>
      </c>
    </row>
    <row r="722" spans="25:28" ht="12" customHeight="1">
      <c r="Y722" t="str">
        <f>'Green_rooibos initial weight'!A723</f>
        <v>G719</v>
      </c>
      <c r="Z722" t="str">
        <f>'Green_rooibos initial weight'!A1627</f>
        <v>R718</v>
      </c>
      <c r="AA722" t="b">
        <f t="shared" si="386"/>
        <v>0</v>
      </c>
      <c r="AB722" t="b">
        <f t="shared" si="387"/>
        <v>0</v>
      </c>
    </row>
    <row r="723" spans="25:28" ht="12" customHeight="1">
      <c r="Y723" t="str">
        <f>'Green_rooibos initial weight'!A724</f>
        <v>G720</v>
      </c>
      <c r="Z723" t="str">
        <f>'Green_rooibos initial weight'!A1628</f>
        <v>R719</v>
      </c>
      <c r="AA723" t="b">
        <f t="shared" si="386"/>
        <v>0</v>
      </c>
      <c r="AB723" t="b">
        <f t="shared" si="387"/>
        <v>0</v>
      </c>
    </row>
    <row r="724" spans="25:28" ht="12" customHeight="1">
      <c r="Y724" t="str">
        <f>'Green_rooibos initial weight'!A725</f>
        <v>G721</v>
      </c>
      <c r="Z724" t="str">
        <f>'Green_rooibos initial weight'!A1629</f>
        <v>R720</v>
      </c>
      <c r="AA724" t="b">
        <f t="shared" si="386"/>
        <v>0</v>
      </c>
      <c r="AB724" t="b">
        <f t="shared" si="387"/>
        <v>0</v>
      </c>
    </row>
    <row r="725" spans="25:28" ht="12" customHeight="1">
      <c r="Y725" t="str">
        <f>'Green_rooibos initial weight'!A726</f>
        <v>G722</v>
      </c>
      <c r="Z725" t="str">
        <f>'Green_rooibos initial weight'!A1630</f>
        <v>R721</v>
      </c>
      <c r="AA725" t="b">
        <f t="shared" si="386"/>
        <v>0</v>
      </c>
      <c r="AB725" t="b">
        <f t="shared" si="387"/>
        <v>0</v>
      </c>
    </row>
    <row r="726" spans="25:28" ht="12" customHeight="1">
      <c r="Y726" t="str">
        <f>'Green_rooibos initial weight'!A727</f>
        <v>G723</v>
      </c>
      <c r="Z726" t="str">
        <f>'Green_rooibos initial weight'!A1631</f>
        <v>R722</v>
      </c>
      <c r="AA726" t="b">
        <f t="shared" si="386"/>
        <v>0</v>
      </c>
      <c r="AB726" t="b">
        <f t="shared" si="387"/>
        <v>0</v>
      </c>
    </row>
    <row r="727" spans="25:28" ht="12" customHeight="1">
      <c r="Y727" t="str">
        <f>'Green_rooibos initial weight'!A728</f>
        <v>G724</v>
      </c>
      <c r="Z727" t="str">
        <f>'Green_rooibos initial weight'!A1632</f>
        <v>R723</v>
      </c>
      <c r="AA727" t="b">
        <f t="shared" si="386"/>
        <v>0</v>
      </c>
      <c r="AB727" t="b">
        <f t="shared" si="387"/>
        <v>0</v>
      </c>
    </row>
    <row r="728" spans="25:28" ht="12" customHeight="1">
      <c r="Y728" t="str">
        <f>'Green_rooibos initial weight'!A729</f>
        <v>G725</v>
      </c>
      <c r="Z728" t="str">
        <f>'Green_rooibos initial weight'!A1633</f>
        <v>R724</v>
      </c>
      <c r="AA728" t="b">
        <f t="shared" si="386"/>
        <v>0</v>
      </c>
      <c r="AB728" t="b">
        <f t="shared" si="387"/>
        <v>0</v>
      </c>
    </row>
    <row r="729" spans="25:28" ht="12" customHeight="1">
      <c r="Y729" t="str">
        <f>'Green_rooibos initial weight'!A730</f>
        <v>G726</v>
      </c>
      <c r="Z729" t="str">
        <f>'Green_rooibos initial weight'!A1634</f>
        <v>R725</v>
      </c>
      <c r="AA729" t="b">
        <f t="shared" si="386"/>
        <v>0</v>
      </c>
      <c r="AB729" t="b">
        <f t="shared" si="387"/>
        <v>0</v>
      </c>
    </row>
    <row r="730" spans="25:28" ht="12" customHeight="1">
      <c r="Y730" t="str">
        <f>'Green_rooibos initial weight'!A731</f>
        <v>G727</v>
      </c>
      <c r="Z730" t="str">
        <f>'Green_rooibos initial weight'!A1635</f>
        <v>R726</v>
      </c>
      <c r="AA730" t="b">
        <f t="shared" si="386"/>
        <v>0</v>
      </c>
      <c r="AB730" t="b">
        <f t="shared" si="387"/>
        <v>0</v>
      </c>
    </row>
    <row r="731" spans="25:28" ht="12" customHeight="1">
      <c r="Y731" t="str">
        <f>'Green_rooibos initial weight'!A732</f>
        <v>G728</v>
      </c>
      <c r="Z731" t="str">
        <f>'Green_rooibos initial weight'!A1636</f>
        <v>R727</v>
      </c>
      <c r="AA731" t="b">
        <f t="shared" si="386"/>
        <v>0</v>
      </c>
      <c r="AB731" t="b">
        <f t="shared" si="387"/>
        <v>0</v>
      </c>
    </row>
    <row r="732" spans="25:28" ht="12" customHeight="1">
      <c r="Y732" t="str">
        <f>'Green_rooibos initial weight'!A733</f>
        <v>G729</v>
      </c>
      <c r="Z732" t="str">
        <f>'Green_rooibos initial weight'!A1637</f>
        <v>R728</v>
      </c>
      <c r="AA732" t="b">
        <f t="shared" si="386"/>
        <v>0</v>
      </c>
      <c r="AB732" t="b">
        <f t="shared" si="387"/>
        <v>0</v>
      </c>
    </row>
    <row r="733" spans="25:28" ht="12" customHeight="1">
      <c r="Y733" t="str">
        <f>'Green_rooibos initial weight'!A734</f>
        <v>G730</v>
      </c>
      <c r="Z733" t="str">
        <f>'Green_rooibos initial weight'!A1638</f>
        <v>R729</v>
      </c>
      <c r="AA733" t="b">
        <f t="shared" si="386"/>
        <v>0</v>
      </c>
      <c r="AB733" t="b">
        <f t="shared" si="387"/>
        <v>0</v>
      </c>
    </row>
    <row r="734" spans="25:28" ht="12" customHeight="1">
      <c r="Y734" t="str">
        <f>'Green_rooibos initial weight'!A735</f>
        <v>G731</v>
      </c>
      <c r="Z734" t="str">
        <f>'Green_rooibos initial weight'!A1639</f>
        <v>R730</v>
      </c>
      <c r="AA734" t="b">
        <f t="shared" si="386"/>
        <v>0</v>
      </c>
      <c r="AB734" t="b">
        <f t="shared" si="387"/>
        <v>0</v>
      </c>
    </row>
    <row r="735" spans="25:28" ht="12" customHeight="1">
      <c r="Y735" t="str">
        <f>'Green_rooibos initial weight'!A736</f>
        <v>G732</v>
      </c>
      <c r="Z735" t="str">
        <f>'Green_rooibos initial weight'!A1640</f>
        <v>R731</v>
      </c>
      <c r="AA735" t="b">
        <f t="shared" si="386"/>
        <v>0</v>
      </c>
      <c r="AB735" t="b">
        <f t="shared" si="387"/>
        <v>0</v>
      </c>
    </row>
    <row r="736" spans="25:28" ht="12" customHeight="1">
      <c r="Y736" t="str">
        <f>'Green_rooibos initial weight'!A737</f>
        <v>G733</v>
      </c>
      <c r="Z736" t="str">
        <f>'Green_rooibos initial weight'!A1641</f>
        <v>R732</v>
      </c>
      <c r="AA736" t="b">
        <f t="shared" si="386"/>
        <v>0</v>
      </c>
      <c r="AB736" t="b">
        <f t="shared" si="387"/>
        <v>0</v>
      </c>
    </row>
    <row r="737" spans="25:28" ht="12" customHeight="1">
      <c r="Y737" t="str">
        <f>'Green_rooibos initial weight'!A738</f>
        <v>G734</v>
      </c>
      <c r="Z737" t="str">
        <f>'Green_rooibos initial weight'!A1642</f>
        <v>R733</v>
      </c>
      <c r="AA737" t="b">
        <f t="shared" si="386"/>
        <v>0</v>
      </c>
      <c r="AB737" t="b">
        <f t="shared" si="387"/>
        <v>0</v>
      </c>
    </row>
    <row r="738" spans="25:28" ht="12" customHeight="1">
      <c r="Y738" t="str">
        <f>'Green_rooibos initial weight'!A739</f>
        <v>G735</v>
      </c>
      <c r="Z738" t="str">
        <f>'Green_rooibos initial weight'!A1643</f>
        <v>R734</v>
      </c>
      <c r="AA738" t="b">
        <f t="shared" si="386"/>
        <v>0</v>
      </c>
      <c r="AB738" t="b">
        <f t="shared" si="387"/>
        <v>0</v>
      </c>
    </row>
    <row r="739" spans="25:28" ht="12" customHeight="1">
      <c r="Y739" t="str">
        <f>'Green_rooibos initial weight'!A740</f>
        <v>G736</v>
      </c>
      <c r="Z739" t="str">
        <f>'Green_rooibos initial weight'!A1644</f>
        <v>R735</v>
      </c>
      <c r="AA739" t="b">
        <f t="shared" si="386"/>
        <v>0</v>
      </c>
      <c r="AB739" t="b">
        <f t="shared" si="387"/>
        <v>0</v>
      </c>
    </row>
    <row r="740" spans="25:28" ht="12" customHeight="1">
      <c r="Y740" t="str">
        <f>'Green_rooibos initial weight'!A741</f>
        <v>G737</v>
      </c>
      <c r="Z740" t="str">
        <f>'Green_rooibos initial weight'!A1645</f>
        <v>R736</v>
      </c>
      <c r="AA740" t="b">
        <f t="shared" si="386"/>
        <v>0</v>
      </c>
      <c r="AB740" t="b">
        <f t="shared" si="387"/>
        <v>0</v>
      </c>
    </row>
    <row r="741" spans="25:28" ht="12" customHeight="1">
      <c r="Y741" t="str">
        <f>'Green_rooibos initial weight'!A742</f>
        <v>G738</v>
      </c>
      <c r="Z741" t="str">
        <f>'Green_rooibos initial weight'!A1646</f>
        <v>R737</v>
      </c>
      <c r="AA741" t="b">
        <f t="shared" si="386"/>
        <v>0</v>
      </c>
      <c r="AB741" t="b">
        <f t="shared" si="387"/>
        <v>0</v>
      </c>
    </row>
    <row r="742" spans="25:28" ht="12" customHeight="1">
      <c r="Y742" t="str">
        <f>'Green_rooibos initial weight'!A743</f>
        <v>G739</v>
      </c>
      <c r="Z742" t="str">
        <f>'Green_rooibos initial weight'!A1647</f>
        <v>R738</v>
      </c>
      <c r="AA742" t="b">
        <f t="shared" si="386"/>
        <v>0</v>
      </c>
      <c r="AB742" t="b">
        <f t="shared" si="387"/>
        <v>0</v>
      </c>
    </row>
    <row r="743" spans="25:28" ht="12" customHeight="1">
      <c r="Y743" t="str">
        <f>'Green_rooibos initial weight'!A744</f>
        <v>G740</v>
      </c>
      <c r="Z743" t="str">
        <f>'Green_rooibos initial weight'!A1648</f>
        <v>R739</v>
      </c>
      <c r="AA743" t="b">
        <f t="shared" si="386"/>
        <v>0</v>
      </c>
      <c r="AB743" t="b">
        <f t="shared" si="387"/>
        <v>0</v>
      </c>
    </row>
    <row r="744" spans="25:28" ht="12" customHeight="1">
      <c r="Y744" t="str">
        <f>'Green_rooibos initial weight'!A745</f>
        <v>G741</v>
      </c>
      <c r="Z744" t="str">
        <f>'Green_rooibos initial weight'!A1649</f>
        <v>R740</v>
      </c>
      <c r="AA744" t="b">
        <f t="shared" si="386"/>
        <v>0</v>
      </c>
      <c r="AB744" t="b">
        <f t="shared" si="387"/>
        <v>0</v>
      </c>
    </row>
    <row r="745" spans="25:28" ht="12" customHeight="1">
      <c r="Y745" t="str">
        <f>'Green_rooibos initial weight'!A746</f>
        <v>G742</v>
      </c>
      <c r="Z745" t="str">
        <f>'Green_rooibos initial weight'!A1650</f>
        <v>R741</v>
      </c>
      <c r="AA745" t="b">
        <f t="shared" si="386"/>
        <v>0</v>
      </c>
      <c r="AB745" t="b">
        <f t="shared" si="387"/>
        <v>0</v>
      </c>
    </row>
    <row r="746" spans="25:28" ht="12" customHeight="1">
      <c r="Y746" t="str">
        <f>'Green_rooibos initial weight'!A747</f>
        <v>G743</v>
      </c>
      <c r="Z746" t="str">
        <f>'Green_rooibos initial weight'!A1651</f>
        <v>R742</v>
      </c>
      <c r="AA746" t="b">
        <f t="shared" si="386"/>
        <v>0</v>
      </c>
      <c r="AB746" t="b">
        <f t="shared" si="387"/>
        <v>0</v>
      </c>
    </row>
    <row r="747" spans="25:28" ht="12" customHeight="1">
      <c r="Y747" t="str">
        <f>'Green_rooibos initial weight'!A748</f>
        <v>G744</v>
      </c>
      <c r="Z747" t="str">
        <f>'Green_rooibos initial weight'!A1652</f>
        <v>R743</v>
      </c>
      <c r="AA747" t="b">
        <f t="shared" si="386"/>
        <v>0</v>
      </c>
      <c r="AB747" t="b">
        <f t="shared" si="387"/>
        <v>0</v>
      </c>
    </row>
    <row r="748" spans="25:28" ht="12" customHeight="1">
      <c r="Y748" t="str">
        <f>'Green_rooibos initial weight'!A749</f>
        <v>G745</v>
      </c>
      <c r="Z748" t="str">
        <f>'Green_rooibos initial weight'!A1653</f>
        <v>R744</v>
      </c>
      <c r="AA748" t="b">
        <f t="shared" si="386"/>
        <v>0</v>
      </c>
      <c r="AB748" t="b">
        <f t="shared" si="387"/>
        <v>0</v>
      </c>
    </row>
    <row r="749" spans="25:28" ht="12" customHeight="1">
      <c r="Y749" t="str">
        <f>'Green_rooibos initial weight'!A750</f>
        <v>G746</v>
      </c>
      <c r="Z749" t="str">
        <f>'Green_rooibos initial weight'!A1654</f>
        <v>R745</v>
      </c>
      <c r="AA749" t="b">
        <f t="shared" si="386"/>
        <v>0</v>
      </c>
      <c r="AB749" t="b">
        <f t="shared" si="387"/>
        <v>0</v>
      </c>
    </row>
    <row r="750" spans="25:28" ht="12" customHeight="1">
      <c r="Y750" t="str">
        <f>'Green_rooibos initial weight'!A751</f>
        <v>G747</v>
      </c>
      <c r="Z750" t="str">
        <f>'Green_rooibos initial weight'!A1655</f>
        <v>R746</v>
      </c>
      <c r="AA750" t="b">
        <f t="shared" si="386"/>
        <v>0</v>
      </c>
      <c r="AB750" t="b">
        <f t="shared" si="387"/>
        <v>0</v>
      </c>
    </row>
    <row r="751" spans="25:28" ht="12" customHeight="1">
      <c r="Y751" t="str">
        <f>'Green_rooibos initial weight'!A752</f>
        <v>G748</v>
      </c>
      <c r="Z751" t="str">
        <f>'Green_rooibos initial weight'!A1656</f>
        <v>R747</v>
      </c>
      <c r="AA751" t="b">
        <f t="shared" si="386"/>
        <v>0</v>
      </c>
      <c r="AB751" t="b">
        <f t="shared" si="387"/>
        <v>0</v>
      </c>
    </row>
    <row r="752" spans="25:28" ht="12" customHeight="1">
      <c r="Y752" t="str">
        <f>'Green_rooibos initial weight'!A753</f>
        <v>G749</v>
      </c>
      <c r="Z752" t="str">
        <f>'Green_rooibos initial weight'!A1657</f>
        <v>R748</v>
      </c>
      <c r="AA752" t="b">
        <f t="shared" si="386"/>
        <v>0</v>
      </c>
      <c r="AB752" t="b">
        <f t="shared" si="387"/>
        <v>0</v>
      </c>
    </row>
    <row r="753" spans="25:28" ht="12" customHeight="1">
      <c r="Y753" t="str">
        <f>'Green_rooibos initial weight'!A754</f>
        <v>G750</v>
      </c>
      <c r="Z753" t="str">
        <f>'Green_rooibos initial weight'!A1658</f>
        <v>R749</v>
      </c>
      <c r="AA753" t="b">
        <f t="shared" si="386"/>
        <v>0</v>
      </c>
      <c r="AB753" t="b">
        <f t="shared" si="387"/>
        <v>0</v>
      </c>
    </row>
    <row r="754" spans="25:28" ht="12" customHeight="1">
      <c r="Y754" t="str">
        <f>'Green_rooibos initial weight'!A755</f>
        <v>G751</v>
      </c>
      <c r="Z754" t="str">
        <f>'Green_rooibos initial weight'!A1659</f>
        <v>R750</v>
      </c>
      <c r="AA754" t="b">
        <f t="shared" si="386"/>
        <v>0</v>
      </c>
      <c r="AB754" t="b">
        <f t="shared" si="387"/>
        <v>0</v>
      </c>
    </row>
    <row r="755" spans="25:28" ht="12" customHeight="1">
      <c r="Y755" t="str">
        <f>'Green_rooibos initial weight'!A756</f>
        <v>G752</v>
      </c>
      <c r="Z755" t="str">
        <f>'Green_rooibos initial weight'!A1660</f>
        <v>R751</v>
      </c>
      <c r="AA755" t="b">
        <f t="shared" si="386"/>
        <v>0</v>
      </c>
      <c r="AB755" t="b">
        <f t="shared" si="387"/>
        <v>0</v>
      </c>
    </row>
    <row r="756" spans="25:28" ht="12" customHeight="1">
      <c r="Y756" t="str">
        <f>'Green_rooibos initial weight'!A757</f>
        <v>G753</v>
      </c>
      <c r="Z756" t="str">
        <f>'Green_rooibos initial weight'!A1661</f>
        <v>R752</v>
      </c>
      <c r="AA756" t="b">
        <f t="shared" si="386"/>
        <v>0</v>
      </c>
      <c r="AB756" t="b">
        <f t="shared" si="387"/>
        <v>0</v>
      </c>
    </row>
    <row r="757" spans="25:28" ht="12" customHeight="1">
      <c r="Y757" t="str">
        <f>'Green_rooibos initial weight'!A758</f>
        <v>G754</v>
      </c>
      <c r="Z757" t="str">
        <f>'Green_rooibos initial weight'!A1662</f>
        <v>R753</v>
      </c>
      <c r="AA757" t="b">
        <f t="shared" si="386"/>
        <v>0</v>
      </c>
      <c r="AB757" t="b">
        <f t="shared" si="387"/>
        <v>0</v>
      </c>
    </row>
    <row r="758" spans="25:28" ht="12" customHeight="1">
      <c r="Y758" t="str">
        <f>'Green_rooibos initial weight'!A759</f>
        <v>G755</v>
      </c>
      <c r="Z758" t="str">
        <f>'Green_rooibos initial weight'!A1663</f>
        <v>R754</v>
      </c>
      <c r="AA758" t="b">
        <f t="shared" si="386"/>
        <v>0</v>
      </c>
      <c r="AB758" t="b">
        <f t="shared" si="387"/>
        <v>0</v>
      </c>
    </row>
    <row r="759" spans="25:28" ht="12" customHeight="1">
      <c r="Y759" t="str">
        <f>'Green_rooibos initial weight'!A760</f>
        <v>G756</v>
      </c>
      <c r="Z759" t="str">
        <f>'Green_rooibos initial weight'!A1664</f>
        <v>R755</v>
      </c>
      <c r="AA759" t="b">
        <f t="shared" si="386"/>
        <v>0</v>
      </c>
      <c r="AB759" t="b">
        <f t="shared" si="387"/>
        <v>0</v>
      </c>
    </row>
    <row r="760" spans="25:28" ht="12" customHeight="1">
      <c r="Y760" t="str">
        <f>'Green_rooibos initial weight'!A761</f>
        <v>G757</v>
      </c>
      <c r="Z760" t="str">
        <f>'Green_rooibos initial weight'!A1665</f>
        <v>R756</v>
      </c>
      <c r="AA760" t="b">
        <f t="shared" si="386"/>
        <v>0</v>
      </c>
      <c r="AB760" t="b">
        <f t="shared" si="387"/>
        <v>0</v>
      </c>
    </row>
    <row r="761" spans="25:28" ht="12" customHeight="1">
      <c r="Y761" t="str">
        <f>'Green_rooibos initial weight'!A762</f>
        <v>G758</v>
      </c>
      <c r="Z761" t="str">
        <f>'Green_rooibos initial weight'!A1666</f>
        <v>R757</v>
      </c>
      <c r="AA761" t="b">
        <f t="shared" si="386"/>
        <v>0</v>
      </c>
      <c r="AB761" t="b">
        <f t="shared" si="387"/>
        <v>0</v>
      </c>
    </row>
    <row r="762" spans="25:28" ht="12" customHeight="1">
      <c r="Y762" t="str">
        <f>'Green_rooibos initial weight'!A763</f>
        <v>G759</v>
      </c>
      <c r="Z762" t="str">
        <f>'Green_rooibos initial weight'!A1667</f>
        <v>R758</v>
      </c>
      <c r="AA762" t="b">
        <f t="shared" si="386"/>
        <v>0</v>
      </c>
      <c r="AB762" t="b">
        <f t="shared" si="387"/>
        <v>0</v>
      </c>
    </row>
    <row r="763" spans="25:28" ht="12" customHeight="1">
      <c r="Y763" t="str">
        <f>'Green_rooibos initial weight'!A764</f>
        <v>G760</v>
      </c>
      <c r="Z763" t="str">
        <f>'Green_rooibos initial weight'!A1668</f>
        <v>R759</v>
      </c>
      <c r="AA763" t="b">
        <f t="shared" si="386"/>
        <v>0</v>
      </c>
      <c r="AB763" t="b">
        <f t="shared" si="387"/>
        <v>0</v>
      </c>
    </row>
    <row r="764" spans="25:28" ht="12" customHeight="1">
      <c r="Y764" t="str">
        <f>'Green_rooibos initial weight'!A765</f>
        <v>G761</v>
      </c>
      <c r="Z764" t="str">
        <f>'Green_rooibos initial weight'!A1669</f>
        <v>R760</v>
      </c>
      <c r="AA764" t="b">
        <f t="shared" si="386"/>
        <v>0</v>
      </c>
      <c r="AB764" t="b">
        <f t="shared" si="387"/>
        <v>0</v>
      </c>
    </row>
    <row r="765" spans="25:28" ht="12" customHeight="1">
      <c r="Y765" t="str">
        <f>'Green_rooibos initial weight'!A766</f>
        <v>G762</v>
      </c>
      <c r="Z765" t="str">
        <f>'Green_rooibos initial weight'!A1670</f>
        <v>R761</v>
      </c>
      <c r="AA765" t="b">
        <f t="shared" si="386"/>
        <v>0</v>
      </c>
      <c r="AB765" t="b">
        <f t="shared" si="387"/>
        <v>0</v>
      </c>
    </row>
    <row r="766" spans="25:28" ht="12" customHeight="1">
      <c r="Y766" t="str">
        <f>'Green_rooibos initial weight'!A767</f>
        <v>G763</v>
      </c>
      <c r="Z766" t="str">
        <f>'Green_rooibos initial weight'!A1671</f>
        <v>R762</v>
      </c>
      <c r="AA766" t="b">
        <f t="shared" si="386"/>
        <v>0</v>
      </c>
      <c r="AB766" t="b">
        <f t="shared" si="387"/>
        <v>0</v>
      </c>
    </row>
    <row r="767" spans="25:28" ht="12" customHeight="1">
      <c r="Y767" t="str">
        <f>'Green_rooibos initial weight'!A768</f>
        <v>G764</v>
      </c>
      <c r="Z767" t="str">
        <f>'Green_rooibos initial weight'!A1672</f>
        <v>R763</v>
      </c>
      <c r="AA767" t="b">
        <f t="shared" si="386"/>
        <v>0</v>
      </c>
      <c r="AB767" t="b">
        <f t="shared" si="387"/>
        <v>0</v>
      </c>
    </row>
    <row r="768" spans="25:28" ht="12" customHeight="1">
      <c r="Y768" t="str">
        <f>'Green_rooibos initial weight'!A769</f>
        <v>G765</v>
      </c>
      <c r="Z768" t="str">
        <f>'Green_rooibos initial weight'!A1673</f>
        <v>R764</v>
      </c>
      <c r="AA768" t="b">
        <f t="shared" si="386"/>
        <v>0</v>
      </c>
      <c r="AB768" t="b">
        <f t="shared" si="387"/>
        <v>0</v>
      </c>
    </row>
    <row r="769" spans="25:28" ht="12" customHeight="1">
      <c r="Y769" t="str">
        <f>'Green_rooibos initial weight'!A770</f>
        <v>G766</v>
      </c>
      <c r="Z769" t="str">
        <f>'Green_rooibos initial weight'!A1674</f>
        <v>R765</v>
      </c>
      <c r="AA769" t="b">
        <f t="shared" si="386"/>
        <v>0</v>
      </c>
      <c r="AB769" t="b">
        <f t="shared" si="387"/>
        <v>0</v>
      </c>
    </row>
    <row r="770" spans="25:28" ht="12" customHeight="1">
      <c r="Y770" t="str">
        <f>'Green_rooibos initial weight'!A771</f>
        <v>G767</v>
      </c>
      <c r="Z770" t="str">
        <f>'Green_rooibos initial weight'!A1675</f>
        <v>R766</v>
      </c>
      <c r="AA770" t="b">
        <f t="shared" si="386"/>
        <v>0</v>
      </c>
      <c r="AB770" t="b">
        <f t="shared" si="387"/>
        <v>0</v>
      </c>
    </row>
    <row r="771" spans="25:28" ht="12" customHeight="1">
      <c r="Y771" t="str">
        <f>'Green_rooibos initial weight'!A772</f>
        <v>G768</v>
      </c>
      <c r="Z771" t="str">
        <f>'Green_rooibos initial weight'!A1676</f>
        <v>R767</v>
      </c>
      <c r="AA771" t="b">
        <f t="shared" si="386"/>
        <v>0</v>
      </c>
      <c r="AB771" t="b">
        <f t="shared" si="387"/>
        <v>0</v>
      </c>
    </row>
    <row r="772" spans="25:28" ht="12" customHeight="1">
      <c r="Y772" t="str">
        <f>'Green_rooibos initial weight'!A773</f>
        <v>G769</v>
      </c>
      <c r="Z772" t="str">
        <f>'Green_rooibos initial weight'!A1677</f>
        <v>R768</v>
      </c>
      <c r="AA772" t="b">
        <f t="shared" si="386"/>
        <v>0</v>
      </c>
      <c r="AB772" t="b">
        <f t="shared" si="387"/>
        <v>0</v>
      </c>
    </row>
    <row r="773" spans="25:28" ht="12" customHeight="1">
      <c r="Y773" t="str">
        <f>'Green_rooibos initial weight'!A774</f>
        <v>G770</v>
      </c>
      <c r="Z773" t="str">
        <f>'Green_rooibos initial weight'!A1678</f>
        <v>R769</v>
      </c>
      <c r="AA773" t="b">
        <f t="shared" ref="AA773:AA836" si="388">COUNTIF($Y$4:$Y$2000, Y773)&gt;1</f>
        <v>0</v>
      </c>
      <c r="AB773" t="b">
        <f t="shared" ref="AB773:AB836" si="389">COUNTIF($Z$4:$Z$2000, Z773)&gt;1</f>
        <v>0</v>
      </c>
    </row>
    <row r="774" spans="25:28" ht="12" customHeight="1">
      <c r="Y774" t="str">
        <f>'Green_rooibos initial weight'!A775</f>
        <v>G771</v>
      </c>
      <c r="Z774" t="str">
        <f>'Green_rooibos initial weight'!A1679</f>
        <v>R770</v>
      </c>
      <c r="AA774" t="b">
        <f t="shared" si="388"/>
        <v>0</v>
      </c>
      <c r="AB774" t="b">
        <f t="shared" si="389"/>
        <v>0</v>
      </c>
    </row>
    <row r="775" spans="25:28" ht="12" customHeight="1">
      <c r="Y775" t="str">
        <f>'Green_rooibos initial weight'!A776</f>
        <v>G772</v>
      </c>
      <c r="Z775" t="str">
        <f>'Green_rooibos initial weight'!A1680</f>
        <v>R771</v>
      </c>
      <c r="AA775" t="b">
        <f t="shared" si="388"/>
        <v>0</v>
      </c>
      <c r="AB775" t="b">
        <f t="shared" si="389"/>
        <v>0</v>
      </c>
    </row>
    <row r="776" spans="25:28" ht="12" customHeight="1">
      <c r="Y776" t="str">
        <f>'Green_rooibos initial weight'!A777</f>
        <v>G773</v>
      </c>
      <c r="Z776" t="str">
        <f>'Green_rooibos initial weight'!A1681</f>
        <v>R772</v>
      </c>
      <c r="AA776" t="b">
        <f t="shared" si="388"/>
        <v>0</v>
      </c>
      <c r="AB776" t="b">
        <f t="shared" si="389"/>
        <v>0</v>
      </c>
    </row>
    <row r="777" spans="25:28" ht="12" customHeight="1">
      <c r="Y777" t="str">
        <f>'Green_rooibos initial weight'!A778</f>
        <v>G774</v>
      </c>
      <c r="Z777" t="str">
        <f>'Green_rooibos initial weight'!A1682</f>
        <v>R773</v>
      </c>
      <c r="AA777" t="b">
        <f t="shared" si="388"/>
        <v>0</v>
      </c>
      <c r="AB777" t="b">
        <f t="shared" si="389"/>
        <v>0</v>
      </c>
    </row>
    <row r="778" spans="25:28" ht="12" customHeight="1">
      <c r="Y778" t="str">
        <f>'Green_rooibos initial weight'!A779</f>
        <v>G775</v>
      </c>
      <c r="Z778" t="str">
        <f>'Green_rooibos initial weight'!A1683</f>
        <v>R774</v>
      </c>
      <c r="AA778" t="b">
        <f t="shared" si="388"/>
        <v>0</v>
      </c>
      <c r="AB778" t="b">
        <f t="shared" si="389"/>
        <v>0</v>
      </c>
    </row>
    <row r="779" spans="25:28" ht="12" customHeight="1">
      <c r="Y779" t="str">
        <f>'Green_rooibos initial weight'!A780</f>
        <v>G776</v>
      </c>
      <c r="Z779" t="str">
        <f>'Green_rooibos initial weight'!A1684</f>
        <v>R775</v>
      </c>
      <c r="AA779" t="b">
        <f t="shared" si="388"/>
        <v>0</v>
      </c>
      <c r="AB779" t="b">
        <f t="shared" si="389"/>
        <v>0</v>
      </c>
    </row>
    <row r="780" spans="25:28" ht="12" customHeight="1">
      <c r="Y780" t="str">
        <f>'Green_rooibos initial weight'!A781</f>
        <v>G777</v>
      </c>
      <c r="Z780" t="str">
        <f>'Green_rooibos initial weight'!A1685</f>
        <v>R776</v>
      </c>
      <c r="AA780" t="b">
        <f t="shared" si="388"/>
        <v>0</v>
      </c>
      <c r="AB780" t="b">
        <f t="shared" si="389"/>
        <v>0</v>
      </c>
    </row>
    <row r="781" spans="25:28" ht="12" customHeight="1">
      <c r="Y781" t="str">
        <f>'Green_rooibos initial weight'!A782</f>
        <v>G778</v>
      </c>
      <c r="Z781" t="str">
        <f>'Green_rooibos initial weight'!A1686</f>
        <v>R777</v>
      </c>
      <c r="AA781" t="b">
        <f t="shared" si="388"/>
        <v>0</v>
      </c>
      <c r="AB781" t="b">
        <f t="shared" si="389"/>
        <v>0</v>
      </c>
    </row>
    <row r="782" spans="25:28" ht="12" customHeight="1">
      <c r="Y782" t="str">
        <f>'Green_rooibos initial weight'!A783</f>
        <v>G779</v>
      </c>
      <c r="Z782" t="str">
        <f>'Green_rooibos initial weight'!A1687</f>
        <v>R778</v>
      </c>
      <c r="AA782" t="b">
        <f t="shared" si="388"/>
        <v>0</v>
      </c>
      <c r="AB782" t="b">
        <f t="shared" si="389"/>
        <v>0</v>
      </c>
    </row>
    <row r="783" spans="25:28" ht="12" customHeight="1">
      <c r="Y783" t="str">
        <f>'Green_rooibos initial weight'!A784</f>
        <v>G780</v>
      </c>
      <c r="Z783" t="str">
        <f>'Green_rooibos initial weight'!A1688</f>
        <v>R779</v>
      </c>
      <c r="AA783" t="b">
        <f t="shared" si="388"/>
        <v>0</v>
      </c>
      <c r="AB783" t="b">
        <f t="shared" si="389"/>
        <v>0</v>
      </c>
    </row>
    <row r="784" spans="25:28" ht="12" customHeight="1">
      <c r="Y784" t="str">
        <f>'Green_rooibos initial weight'!A785</f>
        <v>G781</v>
      </c>
      <c r="Z784" t="str">
        <f>'Green_rooibos initial weight'!A1689</f>
        <v>R780</v>
      </c>
      <c r="AA784" t="b">
        <f t="shared" si="388"/>
        <v>0</v>
      </c>
      <c r="AB784" t="b">
        <f t="shared" si="389"/>
        <v>0</v>
      </c>
    </row>
    <row r="785" spans="25:28" ht="12" customHeight="1">
      <c r="Y785" t="str">
        <f>'Green_rooibos initial weight'!A786</f>
        <v>G782</v>
      </c>
      <c r="Z785" t="str">
        <f>'Green_rooibos initial weight'!A1690</f>
        <v>R781</v>
      </c>
      <c r="AA785" t="b">
        <f t="shared" si="388"/>
        <v>0</v>
      </c>
      <c r="AB785" t="b">
        <f t="shared" si="389"/>
        <v>0</v>
      </c>
    </row>
    <row r="786" spans="25:28" ht="12" customHeight="1">
      <c r="Y786" t="str">
        <f>'Green_rooibos initial weight'!A787</f>
        <v>G783</v>
      </c>
      <c r="Z786" t="str">
        <f>'Green_rooibos initial weight'!A1691</f>
        <v>R782</v>
      </c>
      <c r="AA786" t="b">
        <f t="shared" si="388"/>
        <v>0</v>
      </c>
      <c r="AB786" t="b">
        <f t="shared" si="389"/>
        <v>0</v>
      </c>
    </row>
    <row r="787" spans="25:28" ht="12" customHeight="1">
      <c r="Y787" t="str">
        <f>'Green_rooibos initial weight'!A788</f>
        <v>G784</v>
      </c>
      <c r="Z787" t="str">
        <f>'Green_rooibos initial weight'!A1692</f>
        <v>R783</v>
      </c>
      <c r="AA787" t="b">
        <f t="shared" si="388"/>
        <v>0</v>
      </c>
      <c r="AB787" t="b">
        <f t="shared" si="389"/>
        <v>0</v>
      </c>
    </row>
    <row r="788" spans="25:28" ht="12" customHeight="1">
      <c r="Y788" t="str">
        <f>'Green_rooibos initial weight'!A789</f>
        <v>G785</v>
      </c>
      <c r="Z788" t="str">
        <f>'Green_rooibos initial weight'!A1693</f>
        <v>R784</v>
      </c>
      <c r="AA788" t="b">
        <f t="shared" si="388"/>
        <v>0</v>
      </c>
      <c r="AB788" t="b">
        <f t="shared" si="389"/>
        <v>0</v>
      </c>
    </row>
    <row r="789" spans="25:28" ht="12" customHeight="1">
      <c r="Y789" t="str">
        <f>'Green_rooibos initial weight'!A790</f>
        <v>G786</v>
      </c>
      <c r="Z789" t="str">
        <f>'Green_rooibos initial weight'!A1694</f>
        <v>R785</v>
      </c>
      <c r="AA789" t="b">
        <f t="shared" si="388"/>
        <v>0</v>
      </c>
      <c r="AB789" t="b">
        <f t="shared" si="389"/>
        <v>0</v>
      </c>
    </row>
    <row r="790" spans="25:28" ht="12" customHeight="1">
      <c r="Y790" t="str">
        <f>'Green_rooibos initial weight'!A791</f>
        <v>G787</v>
      </c>
      <c r="Z790" t="str">
        <f>'Green_rooibos initial weight'!A1695</f>
        <v>R786</v>
      </c>
      <c r="AA790" t="b">
        <f t="shared" si="388"/>
        <v>0</v>
      </c>
      <c r="AB790" t="b">
        <f t="shared" si="389"/>
        <v>0</v>
      </c>
    </row>
    <row r="791" spans="25:28" ht="12" customHeight="1">
      <c r="Y791" t="str">
        <f>'Green_rooibos initial weight'!A792</f>
        <v>G788</v>
      </c>
      <c r="Z791" t="str">
        <f>'Green_rooibos initial weight'!A1696</f>
        <v>R787</v>
      </c>
      <c r="AA791" t="b">
        <f t="shared" si="388"/>
        <v>0</v>
      </c>
      <c r="AB791" t="b">
        <f t="shared" si="389"/>
        <v>0</v>
      </c>
    </row>
    <row r="792" spans="25:28" ht="12" customHeight="1">
      <c r="Y792" t="str">
        <f>'Green_rooibos initial weight'!A793</f>
        <v>G789</v>
      </c>
      <c r="Z792" t="str">
        <f>'Green_rooibos initial weight'!A1697</f>
        <v>R788</v>
      </c>
      <c r="AA792" t="b">
        <f t="shared" si="388"/>
        <v>0</v>
      </c>
      <c r="AB792" t="b">
        <f t="shared" si="389"/>
        <v>0</v>
      </c>
    </row>
    <row r="793" spans="25:28" ht="12" customHeight="1">
      <c r="Y793" t="str">
        <f>'Green_rooibos initial weight'!A794</f>
        <v>G790</v>
      </c>
      <c r="Z793" t="str">
        <f>'Green_rooibos initial weight'!A1698</f>
        <v>R789</v>
      </c>
      <c r="AA793" t="b">
        <f t="shared" si="388"/>
        <v>0</v>
      </c>
      <c r="AB793" t="b">
        <f t="shared" si="389"/>
        <v>0</v>
      </c>
    </row>
    <row r="794" spans="25:28" ht="12" customHeight="1">
      <c r="Y794" t="str">
        <f>'Green_rooibos initial weight'!A795</f>
        <v>G791</v>
      </c>
      <c r="Z794" t="str">
        <f>'Green_rooibos initial weight'!A1699</f>
        <v>R790</v>
      </c>
      <c r="AA794" t="b">
        <f t="shared" si="388"/>
        <v>0</v>
      </c>
      <c r="AB794" t="b">
        <f t="shared" si="389"/>
        <v>0</v>
      </c>
    </row>
    <row r="795" spans="25:28" ht="12" customHeight="1">
      <c r="Y795" t="str">
        <f>'Green_rooibos initial weight'!A796</f>
        <v>G792</v>
      </c>
      <c r="Z795" t="str">
        <f>'Green_rooibos initial weight'!A1700</f>
        <v>R791</v>
      </c>
      <c r="AA795" t="b">
        <f t="shared" si="388"/>
        <v>0</v>
      </c>
      <c r="AB795" t="b">
        <f t="shared" si="389"/>
        <v>0</v>
      </c>
    </row>
    <row r="796" spans="25:28" ht="12" customHeight="1">
      <c r="Y796" t="str">
        <f>'Green_rooibos initial weight'!A797</f>
        <v>G793</v>
      </c>
      <c r="Z796" t="str">
        <f>'Green_rooibos initial weight'!A1701</f>
        <v>R792</v>
      </c>
      <c r="AA796" t="b">
        <f t="shared" si="388"/>
        <v>0</v>
      </c>
      <c r="AB796" t="b">
        <f t="shared" si="389"/>
        <v>0</v>
      </c>
    </row>
    <row r="797" spans="25:28" ht="12" customHeight="1">
      <c r="Y797" t="str">
        <f>'Green_rooibos initial weight'!A798</f>
        <v>G794</v>
      </c>
      <c r="Z797" t="str">
        <f>'Green_rooibos initial weight'!A1702</f>
        <v>R793</v>
      </c>
      <c r="AA797" t="b">
        <f t="shared" si="388"/>
        <v>0</v>
      </c>
      <c r="AB797" t="b">
        <f t="shared" si="389"/>
        <v>0</v>
      </c>
    </row>
    <row r="798" spans="25:28" ht="12" customHeight="1">
      <c r="Y798" t="str">
        <f>'Green_rooibos initial weight'!A799</f>
        <v>G795</v>
      </c>
      <c r="Z798" t="str">
        <f>'Green_rooibos initial weight'!A1703</f>
        <v>R794</v>
      </c>
      <c r="AA798" t="b">
        <f t="shared" si="388"/>
        <v>0</v>
      </c>
      <c r="AB798" t="b">
        <f t="shared" si="389"/>
        <v>0</v>
      </c>
    </row>
    <row r="799" spans="25:28" ht="12" customHeight="1">
      <c r="Y799" t="str">
        <f>'Green_rooibos initial weight'!A800</f>
        <v>G796</v>
      </c>
      <c r="Z799" t="str">
        <f>'Green_rooibos initial weight'!A1704</f>
        <v>R795</v>
      </c>
      <c r="AA799" t="b">
        <f t="shared" si="388"/>
        <v>0</v>
      </c>
      <c r="AB799" t="b">
        <f t="shared" si="389"/>
        <v>0</v>
      </c>
    </row>
    <row r="800" spans="25:28" ht="12" customHeight="1">
      <c r="Y800" t="str">
        <f>'Green_rooibos initial weight'!A801</f>
        <v>G797</v>
      </c>
      <c r="Z800" t="str">
        <f>'Green_rooibos initial weight'!A1705</f>
        <v>R796</v>
      </c>
      <c r="AA800" t="b">
        <f t="shared" si="388"/>
        <v>0</v>
      </c>
      <c r="AB800" t="b">
        <f t="shared" si="389"/>
        <v>0</v>
      </c>
    </row>
    <row r="801" spans="25:28" ht="12" customHeight="1">
      <c r="Y801" t="str">
        <f>'Green_rooibos initial weight'!A802</f>
        <v>G798</v>
      </c>
      <c r="Z801" t="str">
        <f>'Green_rooibos initial weight'!A1706</f>
        <v>R797</v>
      </c>
      <c r="AA801" t="b">
        <f t="shared" si="388"/>
        <v>0</v>
      </c>
      <c r="AB801" t="b">
        <f t="shared" si="389"/>
        <v>0</v>
      </c>
    </row>
    <row r="802" spans="25:28" ht="12" customHeight="1">
      <c r="Y802" t="str">
        <f>'Green_rooibos initial weight'!A803</f>
        <v>G799</v>
      </c>
      <c r="Z802" t="str">
        <f>'Green_rooibos initial weight'!A1707</f>
        <v>R798</v>
      </c>
      <c r="AA802" t="b">
        <f t="shared" si="388"/>
        <v>0</v>
      </c>
      <c r="AB802" t="b">
        <f t="shared" si="389"/>
        <v>0</v>
      </c>
    </row>
    <row r="803" spans="25:28" ht="12" customHeight="1">
      <c r="Y803" t="str">
        <f>'Green_rooibos initial weight'!A804</f>
        <v>G800</v>
      </c>
      <c r="Z803" t="str">
        <f>'Green_rooibos initial weight'!A1708</f>
        <v>R799</v>
      </c>
      <c r="AA803" t="b">
        <f t="shared" si="388"/>
        <v>0</v>
      </c>
      <c r="AB803" t="b">
        <f t="shared" si="389"/>
        <v>0</v>
      </c>
    </row>
    <row r="804" spans="25:28" ht="12" customHeight="1">
      <c r="Y804" t="str">
        <f>'Green_rooibos initial weight'!A805</f>
        <v>G801</v>
      </c>
      <c r="Z804" t="str">
        <f>'Green_rooibos initial weight'!A1709</f>
        <v>R800</v>
      </c>
      <c r="AA804" t="b">
        <f t="shared" si="388"/>
        <v>0</v>
      </c>
      <c r="AB804" t="b">
        <f t="shared" si="389"/>
        <v>0</v>
      </c>
    </row>
    <row r="805" spans="25:28" ht="12" customHeight="1">
      <c r="Y805" t="str">
        <f>'Green_rooibos initial weight'!A806</f>
        <v>G802</v>
      </c>
      <c r="Z805" t="str">
        <f>'Green_rooibos initial weight'!A1710</f>
        <v>R801</v>
      </c>
      <c r="AA805" t="b">
        <f t="shared" si="388"/>
        <v>0</v>
      </c>
      <c r="AB805" t="b">
        <f t="shared" si="389"/>
        <v>0</v>
      </c>
    </row>
    <row r="806" spans="25:28" ht="12" customHeight="1">
      <c r="Y806" t="str">
        <f>'Green_rooibos initial weight'!A807</f>
        <v>G803</v>
      </c>
      <c r="Z806" t="str">
        <f>'Green_rooibos initial weight'!A1711</f>
        <v>R802</v>
      </c>
      <c r="AA806" t="b">
        <f t="shared" si="388"/>
        <v>0</v>
      </c>
      <c r="AB806" t="b">
        <f t="shared" si="389"/>
        <v>0</v>
      </c>
    </row>
    <row r="807" spans="25:28" ht="12" customHeight="1">
      <c r="Y807" t="str">
        <f>'Green_rooibos initial weight'!A808</f>
        <v>G804</v>
      </c>
      <c r="Z807" t="str">
        <f>'Green_rooibos initial weight'!A1712</f>
        <v>R803</v>
      </c>
      <c r="AA807" t="b">
        <f t="shared" si="388"/>
        <v>0</v>
      </c>
      <c r="AB807" t="b">
        <f t="shared" si="389"/>
        <v>0</v>
      </c>
    </row>
    <row r="808" spans="25:28" ht="12" customHeight="1">
      <c r="Y808" t="str">
        <f>'Green_rooibos initial weight'!A809</f>
        <v>G805</v>
      </c>
      <c r="Z808" t="str">
        <f>'Green_rooibos initial weight'!A1713</f>
        <v>R804</v>
      </c>
      <c r="AA808" t="b">
        <f t="shared" si="388"/>
        <v>0</v>
      </c>
      <c r="AB808" t="b">
        <f t="shared" si="389"/>
        <v>0</v>
      </c>
    </row>
    <row r="809" spans="25:28" ht="12" customHeight="1">
      <c r="Y809" t="str">
        <f>'Green_rooibos initial weight'!A810</f>
        <v>G806</v>
      </c>
      <c r="Z809" t="str">
        <f>'Green_rooibos initial weight'!A1714</f>
        <v>R805</v>
      </c>
      <c r="AA809" t="b">
        <f t="shared" si="388"/>
        <v>0</v>
      </c>
      <c r="AB809" t="b">
        <f t="shared" si="389"/>
        <v>0</v>
      </c>
    </row>
    <row r="810" spans="25:28" ht="12" customHeight="1">
      <c r="Y810" t="str">
        <f>'Green_rooibos initial weight'!A811</f>
        <v>G807</v>
      </c>
      <c r="Z810" t="str">
        <f>'Green_rooibos initial weight'!A1715</f>
        <v>R806</v>
      </c>
      <c r="AA810" t="b">
        <f t="shared" si="388"/>
        <v>0</v>
      </c>
      <c r="AB810" t="b">
        <f t="shared" si="389"/>
        <v>0</v>
      </c>
    </row>
    <row r="811" spans="25:28" ht="12" customHeight="1">
      <c r="Y811" t="str">
        <f>'Green_rooibos initial weight'!A812</f>
        <v>G808</v>
      </c>
      <c r="Z811" t="str">
        <f>'Green_rooibos initial weight'!A1716</f>
        <v>R807</v>
      </c>
      <c r="AA811" t="b">
        <f t="shared" si="388"/>
        <v>0</v>
      </c>
      <c r="AB811" t="b">
        <f t="shared" si="389"/>
        <v>0</v>
      </c>
    </row>
    <row r="812" spans="25:28" ht="12" customHeight="1">
      <c r="Y812" t="str">
        <f>'Green_rooibos initial weight'!A813</f>
        <v>G809</v>
      </c>
      <c r="Z812" t="str">
        <f>'Green_rooibos initial weight'!A1717</f>
        <v>R808</v>
      </c>
      <c r="AA812" t="b">
        <f t="shared" si="388"/>
        <v>0</v>
      </c>
      <c r="AB812" t="b">
        <f t="shared" si="389"/>
        <v>0</v>
      </c>
    </row>
    <row r="813" spans="25:28" ht="12" customHeight="1">
      <c r="Y813" t="str">
        <f>'Green_rooibos initial weight'!A814</f>
        <v>G810</v>
      </c>
      <c r="Z813" t="str">
        <f>'Green_rooibos initial weight'!A1718</f>
        <v>R809</v>
      </c>
      <c r="AA813" t="b">
        <f t="shared" si="388"/>
        <v>0</v>
      </c>
      <c r="AB813" t="b">
        <f t="shared" si="389"/>
        <v>0</v>
      </c>
    </row>
    <row r="814" spans="25:28" ht="12" customHeight="1">
      <c r="Y814" t="str">
        <f>'Green_rooibos initial weight'!A815</f>
        <v>G811</v>
      </c>
      <c r="Z814" t="str">
        <f>'Green_rooibos initial weight'!A1719</f>
        <v>R810</v>
      </c>
      <c r="AA814" t="b">
        <f t="shared" si="388"/>
        <v>0</v>
      </c>
      <c r="AB814" t="b">
        <f t="shared" si="389"/>
        <v>0</v>
      </c>
    </row>
    <row r="815" spans="25:28" ht="12" customHeight="1">
      <c r="Y815" t="str">
        <f>'Green_rooibos initial weight'!A816</f>
        <v>G812</v>
      </c>
      <c r="Z815" t="str">
        <f>'Green_rooibos initial weight'!A1720</f>
        <v>R811</v>
      </c>
      <c r="AA815" t="b">
        <f t="shared" si="388"/>
        <v>0</v>
      </c>
      <c r="AB815" t="b">
        <f t="shared" si="389"/>
        <v>0</v>
      </c>
    </row>
    <row r="816" spans="25:28" ht="12" customHeight="1">
      <c r="Y816" t="str">
        <f>'Green_rooibos initial weight'!A817</f>
        <v>G813</v>
      </c>
      <c r="Z816" t="str">
        <f>'Green_rooibos initial weight'!A1721</f>
        <v>R812</v>
      </c>
      <c r="AA816" t="b">
        <f t="shared" si="388"/>
        <v>0</v>
      </c>
      <c r="AB816" t="b">
        <f t="shared" si="389"/>
        <v>0</v>
      </c>
    </row>
    <row r="817" spans="25:28" ht="12" customHeight="1">
      <c r="Y817" t="str">
        <f>'Green_rooibos initial weight'!A818</f>
        <v>G814</v>
      </c>
      <c r="Z817" t="str">
        <f>'Green_rooibos initial weight'!A1722</f>
        <v>R813</v>
      </c>
      <c r="AA817" t="b">
        <f t="shared" si="388"/>
        <v>0</v>
      </c>
      <c r="AB817" t="b">
        <f t="shared" si="389"/>
        <v>0</v>
      </c>
    </row>
    <row r="818" spans="25:28" ht="12" customHeight="1">
      <c r="Y818" t="str">
        <f>'Green_rooibos initial weight'!A819</f>
        <v>G815</v>
      </c>
      <c r="Z818" t="str">
        <f>'Green_rooibos initial weight'!A1723</f>
        <v>R814</v>
      </c>
      <c r="AA818" t="b">
        <f t="shared" si="388"/>
        <v>0</v>
      </c>
      <c r="AB818" t="b">
        <f t="shared" si="389"/>
        <v>0</v>
      </c>
    </row>
    <row r="819" spans="25:28" ht="12" customHeight="1">
      <c r="Y819" t="str">
        <f>'Green_rooibos initial weight'!A820</f>
        <v>G816</v>
      </c>
      <c r="Z819" t="str">
        <f>'Green_rooibos initial weight'!A1724</f>
        <v>R815</v>
      </c>
      <c r="AA819" t="b">
        <f t="shared" si="388"/>
        <v>0</v>
      </c>
      <c r="AB819" t="b">
        <f t="shared" si="389"/>
        <v>0</v>
      </c>
    </row>
    <row r="820" spans="25:28" ht="12" customHeight="1">
      <c r="Y820" t="str">
        <f>'Green_rooibos initial weight'!A821</f>
        <v>G817</v>
      </c>
      <c r="Z820" t="str">
        <f>'Green_rooibos initial weight'!A1725</f>
        <v>R816</v>
      </c>
      <c r="AA820" t="b">
        <f t="shared" si="388"/>
        <v>0</v>
      </c>
      <c r="AB820" t="b">
        <f t="shared" si="389"/>
        <v>0</v>
      </c>
    </row>
    <row r="821" spans="25:28" ht="12" customHeight="1">
      <c r="Y821" t="str">
        <f>'Green_rooibos initial weight'!A822</f>
        <v>G818</v>
      </c>
      <c r="Z821" t="str">
        <f>'Green_rooibos initial weight'!A1726</f>
        <v>R817</v>
      </c>
      <c r="AA821" t="b">
        <f t="shared" si="388"/>
        <v>0</v>
      </c>
      <c r="AB821" t="b">
        <f t="shared" si="389"/>
        <v>0</v>
      </c>
    </row>
    <row r="822" spans="25:28" ht="12" customHeight="1">
      <c r="Y822" t="str">
        <f>'Green_rooibos initial weight'!A823</f>
        <v>G819</v>
      </c>
      <c r="Z822" t="str">
        <f>'Green_rooibos initial weight'!A1727</f>
        <v>R818</v>
      </c>
      <c r="AA822" t="b">
        <f t="shared" si="388"/>
        <v>0</v>
      </c>
      <c r="AB822" t="b">
        <f t="shared" si="389"/>
        <v>0</v>
      </c>
    </row>
    <row r="823" spans="25:28" ht="12" customHeight="1">
      <c r="Y823" t="str">
        <f>'Green_rooibos initial weight'!A824</f>
        <v>G820</v>
      </c>
      <c r="Z823" t="str">
        <f>'Green_rooibos initial weight'!A1728</f>
        <v>R819</v>
      </c>
      <c r="AA823" t="b">
        <f t="shared" si="388"/>
        <v>0</v>
      </c>
      <c r="AB823" t="b">
        <f t="shared" si="389"/>
        <v>0</v>
      </c>
    </row>
    <row r="824" spans="25:28" ht="12" customHeight="1">
      <c r="Y824" t="str">
        <f>'Green_rooibos initial weight'!A825</f>
        <v>G821</v>
      </c>
      <c r="Z824" t="str">
        <f>'Green_rooibos initial weight'!A1729</f>
        <v>R820</v>
      </c>
      <c r="AA824" t="b">
        <f t="shared" si="388"/>
        <v>0</v>
      </c>
      <c r="AB824" t="b">
        <f t="shared" si="389"/>
        <v>0</v>
      </c>
    </row>
    <row r="825" spans="25:28" ht="12" customHeight="1">
      <c r="Y825" t="str">
        <f>'Green_rooibos initial weight'!A826</f>
        <v>G822</v>
      </c>
      <c r="Z825" t="str">
        <f>'Green_rooibos initial weight'!A1730</f>
        <v>R821</v>
      </c>
      <c r="AA825" t="b">
        <f t="shared" si="388"/>
        <v>0</v>
      </c>
      <c r="AB825" t="b">
        <f t="shared" si="389"/>
        <v>0</v>
      </c>
    </row>
    <row r="826" spans="25:28" ht="12" customHeight="1">
      <c r="Y826" t="str">
        <f>'Green_rooibos initial weight'!A827</f>
        <v>G823</v>
      </c>
      <c r="Z826" t="str">
        <f>'Green_rooibos initial weight'!A1731</f>
        <v>R822</v>
      </c>
      <c r="AA826" t="b">
        <f t="shared" si="388"/>
        <v>0</v>
      </c>
      <c r="AB826" t="b">
        <f t="shared" si="389"/>
        <v>0</v>
      </c>
    </row>
    <row r="827" spans="25:28" ht="12" customHeight="1">
      <c r="Y827" t="str">
        <f>'Green_rooibos initial weight'!A828</f>
        <v>G824</v>
      </c>
      <c r="Z827" t="str">
        <f>'Green_rooibos initial weight'!A1732</f>
        <v>R823</v>
      </c>
      <c r="AA827" t="b">
        <f t="shared" si="388"/>
        <v>0</v>
      </c>
      <c r="AB827" t="b">
        <f t="shared" si="389"/>
        <v>0</v>
      </c>
    </row>
    <row r="828" spans="25:28" ht="12" customHeight="1">
      <c r="Y828" t="str">
        <f>'Green_rooibos initial weight'!A829</f>
        <v>G825</v>
      </c>
      <c r="Z828" t="str">
        <f>'Green_rooibos initial weight'!A1733</f>
        <v>R824</v>
      </c>
      <c r="AA828" t="b">
        <f t="shared" si="388"/>
        <v>0</v>
      </c>
      <c r="AB828" t="b">
        <f t="shared" si="389"/>
        <v>0</v>
      </c>
    </row>
    <row r="829" spans="25:28" ht="12" customHeight="1">
      <c r="Y829" t="str">
        <f>'Green_rooibos initial weight'!A830</f>
        <v>G826</v>
      </c>
      <c r="Z829" t="str">
        <f>'Green_rooibos initial weight'!A1734</f>
        <v>R825</v>
      </c>
      <c r="AA829" t="b">
        <f t="shared" si="388"/>
        <v>0</v>
      </c>
      <c r="AB829" t="b">
        <f t="shared" si="389"/>
        <v>0</v>
      </c>
    </row>
    <row r="830" spans="25:28" ht="12" customHeight="1">
      <c r="Y830" t="str">
        <f>'Green_rooibos initial weight'!A831</f>
        <v>G827</v>
      </c>
      <c r="Z830" t="str">
        <f>'Green_rooibos initial weight'!A1735</f>
        <v>R826</v>
      </c>
      <c r="AA830" t="b">
        <f t="shared" si="388"/>
        <v>0</v>
      </c>
      <c r="AB830" t="b">
        <f t="shared" si="389"/>
        <v>0</v>
      </c>
    </row>
    <row r="831" spans="25:28" ht="12" customHeight="1">
      <c r="Y831" t="str">
        <f>'Green_rooibos initial weight'!A832</f>
        <v>G828</v>
      </c>
      <c r="Z831" t="str">
        <f>'Green_rooibos initial weight'!A1736</f>
        <v>R827</v>
      </c>
      <c r="AA831" t="b">
        <f t="shared" si="388"/>
        <v>0</v>
      </c>
      <c r="AB831" t="b">
        <f t="shared" si="389"/>
        <v>0</v>
      </c>
    </row>
    <row r="832" spans="25:28" ht="12" customHeight="1">
      <c r="Y832" t="str">
        <f>'Green_rooibos initial weight'!A833</f>
        <v>G829</v>
      </c>
      <c r="Z832" t="str">
        <f>'Green_rooibos initial weight'!A1737</f>
        <v>R828</v>
      </c>
      <c r="AA832" t="b">
        <f t="shared" si="388"/>
        <v>0</v>
      </c>
      <c r="AB832" t="b">
        <f t="shared" si="389"/>
        <v>0</v>
      </c>
    </row>
    <row r="833" spans="25:28" ht="12" customHeight="1">
      <c r="Y833" t="str">
        <f>'Green_rooibos initial weight'!A834</f>
        <v>G830</v>
      </c>
      <c r="Z833" t="str">
        <f>'Green_rooibos initial weight'!A1738</f>
        <v>R829</v>
      </c>
      <c r="AA833" t="b">
        <f t="shared" si="388"/>
        <v>0</v>
      </c>
      <c r="AB833" t="b">
        <f t="shared" si="389"/>
        <v>0</v>
      </c>
    </row>
    <row r="834" spans="25:28" ht="12" customHeight="1">
      <c r="Y834" t="str">
        <f>'Green_rooibos initial weight'!A835</f>
        <v>G831</v>
      </c>
      <c r="Z834" t="str">
        <f>'Green_rooibos initial weight'!A1739</f>
        <v>R830</v>
      </c>
      <c r="AA834" t="b">
        <f t="shared" si="388"/>
        <v>0</v>
      </c>
      <c r="AB834" t="b">
        <f t="shared" si="389"/>
        <v>0</v>
      </c>
    </row>
    <row r="835" spans="25:28" ht="12" customHeight="1">
      <c r="Y835" t="str">
        <f>'Green_rooibos initial weight'!A836</f>
        <v>G832</v>
      </c>
      <c r="Z835" t="str">
        <f>'Green_rooibos initial weight'!A1740</f>
        <v>R831</v>
      </c>
      <c r="AA835" t="b">
        <f t="shared" si="388"/>
        <v>0</v>
      </c>
      <c r="AB835" t="b">
        <f t="shared" si="389"/>
        <v>0</v>
      </c>
    </row>
    <row r="836" spans="25:28" ht="12" customHeight="1">
      <c r="Y836" t="str">
        <f>'Green_rooibos initial weight'!A837</f>
        <v>G833</v>
      </c>
      <c r="Z836" t="str">
        <f>'Green_rooibos initial weight'!A1741</f>
        <v>R832</v>
      </c>
      <c r="AA836" t="b">
        <f t="shared" si="388"/>
        <v>0</v>
      </c>
      <c r="AB836" t="b">
        <f t="shared" si="389"/>
        <v>0</v>
      </c>
    </row>
    <row r="837" spans="25:28" ht="12" customHeight="1">
      <c r="Y837" t="str">
        <f>'Green_rooibos initial weight'!A838</f>
        <v>G834</v>
      </c>
      <c r="Z837" t="str">
        <f>'Green_rooibos initial weight'!A1742</f>
        <v>R833</v>
      </c>
      <c r="AA837" t="b">
        <f t="shared" ref="AA837:AA900" si="390">COUNTIF($Y$4:$Y$2000, Y837)&gt;1</f>
        <v>0</v>
      </c>
      <c r="AB837" t="b">
        <f t="shared" ref="AB837:AB900" si="391">COUNTIF($Z$4:$Z$2000, Z837)&gt;1</f>
        <v>0</v>
      </c>
    </row>
    <row r="838" spans="25:28" ht="12" customHeight="1">
      <c r="Y838" t="str">
        <f>'Green_rooibos initial weight'!A839</f>
        <v>G835</v>
      </c>
      <c r="Z838" t="str">
        <f>'Green_rooibos initial weight'!A1743</f>
        <v>R834</v>
      </c>
      <c r="AA838" t="b">
        <f t="shared" si="390"/>
        <v>0</v>
      </c>
      <c r="AB838" t="b">
        <f t="shared" si="391"/>
        <v>0</v>
      </c>
    </row>
    <row r="839" spans="25:28" ht="12" customHeight="1">
      <c r="Y839" t="str">
        <f>'Green_rooibos initial weight'!A840</f>
        <v>G836</v>
      </c>
      <c r="Z839" t="str">
        <f>'Green_rooibos initial weight'!A1744</f>
        <v>R835</v>
      </c>
      <c r="AA839" t="b">
        <f t="shared" si="390"/>
        <v>0</v>
      </c>
      <c r="AB839" t="b">
        <f t="shared" si="391"/>
        <v>0</v>
      </c>
    </row>
    <row r="840" spans="25:28" ht="12" customHeight="1">
      <c r="Y840" t="str">
        <f>'Green_rooibos initial weight'!A841</f>
        <v>G837</v>
      </c>
      <c r="Z840" t="str">
        <f>'Green_rooibos initial weight'!A1745</f>
        <v>R836</v>
      </c>
      <c r="AA840" t="b">
        <f t="shared" si="390"/>
        <v>0</v>
      </c>
      <c r="AB840" t="b">
        <f t="shared" si="391"/>
        <v>0</v>
      </c>
    </row>
    <row r="841" spans="25:28" ht="12" customHeight="1">
      <c r="Y841" t="str">
        <f>'Green_rooibos initial weight'!A842</f>
        <v>G838</v>
      </c>
      <c r="Z841" t="str">
        <f>'Green_rooibos initial weight'!A1746</f>
        <v>R837</v>
      </c>
      <c r="AA841" t="b">
        <f t="shared" si="390"/>
        <v>0</v>
      </c>
      <c r="AB841" t="b">
        <f t="shared" si="391"/>
        <v>0</v>
      </c>
    </row>
    <row r="842" spans="25:28" ht="12" customHeight="1">
      <c r="Y842" t="str">
        <f>'Green_rooibos initial weight'!A843</f>
        <v>G839</v>
      </c>
      <c r="Z842" t="str">
        <f>'Green_rooibos initial weight'!A1747</f>
        <v>R838</v>
      </c>
      <c r="AA842" t="b">
        <f t="shared" si="390"/>
        <v>0</v>
      </c>
      <c r="AB842" t="b">
        <f t="shared" si="391"/>
        <v>0</v>
      </c>
    </row>
    <row r="843" spans="25:28" ht="12" customHeight="1">
      <c r="Y843" t="str">
        <f>'Green_rooibos initial weight'!A844</f>
        <v>G840</v>
      </c>
      <c r="Z843" t="str">
        <f>'Green_rooibos initial weight'!A1748</f>
        <v>R839</v>
      </c>
      <c r="AA843" t="b">
        <f t="shared" si="390"/>
        <v>0</v>
      </c>
      <c r="AB843" t="b">
        <f t="shared" si="391"/>
        <v>0</v>
      </c>
    </row>
    <row r="844" spans="25:28" ht="12" customHeight="1">
      <c r="Y844" t="str">
        <f>'Green_rooibos initial weight'!A845</f>
        <v>G841</v>
      </c>
      <c r="Z844" t="str">
        <f>'Green_rooibos initial weight'!A1749</f>
        <v>R840</v>
      </c>
      <c r="AA844" t="b">
        <f t="shared" si="390"/>
        <v>0</v>
      </c>
      <c r="AB844" t="b">
        <f t="shared" si="391"/>
        <v>0</v>
      </c>
    </row>
    <row r="845" spans="25:28" ht="12" customHeight="1">
      <c r="Y845" t="str">
        <f>'Green_rooibos initial weight'!A846</f>
        <v>G842</v>
      </c>
      <c r="Z845">
        <f>'Green_rooibos initial weight'!A1750</f>
        <v>0</v>
      </c>
      <c r="AA845" t="b">
        <f t="shared" si="390"/>
        <v>0</v>
      </c>
      <c r="AB845" t="b">
        <f t="shared" si="391"/>
        <v>1</v>
      </c>
    </row>
    <row r="846" spans="25:28" ht="12" customHeight="1">
      <c r="Y846" t="str">
        <f>'Green_rooibos initial weight'!A847</f>
        <v>G843</v>
      </c>
      <c r="Z846">
        <f>'Green_rooibos initial weight'!A1751</f>
        <v>0</v>
      </c>
      <c r="AA846" t="b">
        <f t="shared" si="390"/>
        <v>0</v>
      </c>
      <c r="AB846" t="b">
        <f t="shared" si="391"/>
        <v>1</v>
      </c>
    </row>
    <row r="847" spans="25:28" ht="12" customHeight="1">
      <c r="Y847" t="str">
        <f>'Green_rooibos initial weight'!A848</f>
        <v>G844</v>
      </c>
      <c r="Z847">
        <f>'Green_rooibos initial weight'!A1752</f>
        <v>0</v>
      </c>
      <c r="AA847" t="b">
        <f t="shared" si="390"/>
        <v>0</v>
      </c>
      <c r="AB847" t="b">
        <f t="shared" si="391"/>
        <v>1</v>
      </c>
    </row>
    <row r="848" spans="25:28" ht="12" customHeight="1">
      <c r="Y848" t="str">
        <f>'Green_rooibos initial weight'!A849</f>
        <v>G845</v>
      </c>
      <c r="Z848">
        <f>'Green_rooibos initial weight'!A1753</f>
        <v>0</v>
      </c>
      <c r="AA848" t="b">
        <f t="shared" si="390"/>
        <v>0</v>
      </c>
      <c r="AB848" t="b">
        <f t="shared" si="391"/>
        <v>1</v>
      </c>
    </row>
    <row r="849" spans="25:28" ht="12" customHeight="1">
      <c r="Y849" t="str">
        <f>'Green_rooibos initial weight'!A850</f>
        <v>G846</v>
      </c>
      <c r="Z849">
        <f>'Green_rooibos initial weight'!A1754</f>
        <v>0</v>
      </c>
      <c r="AA849" t="b">
        <f t="shared" si="390"/>
        <v>0</v>
      </c>
      <c r="AB849" t="b">
        <f t="shared" si="391"/>
        <v>1</v>
      </c>
    </row>
    <row r="850" spans="25:28" ht="12" customHeight="1">
      <c r="Y850" t="str">
        <f>'Green_rooibos initial weight'!A851</f>
        <v>G847</v>
      </c>
      <c r="Z850">
        <f>'Green_rooibos initial weight'!A1755</f>
        <v>0</v>
      </c>
      <c r="AA850" t="b">
        <f t="shared" si="390"/>
        <v>0</v>
      </c>
      <c r="AB850" t="b">
        <f t="shared" si="391"/>
        <v>1</v>
      </c>
    </row>
    <row r="851" spans="25:28" ht="12" customHeight="1">
      <c r="Y851" t="str">
        <f>'Green_rooibos initial weight'!A852</f>
        <v>G848</v>
      </c>
      <c r="Z851">
        <f>'Green_rooibos initial weight'!A1756</f>
        <v>0</v>
      </c>
      <c r="AA851" t="b">
        <f t="shared" si="390"/>
        <v>0</v>
      </c>
      <c r="AB851" t="b">
        <f t="shared" si="391"/>
        <v>1</v>
      </c>
    </row>
    <row r="852" spans="25:28" ht="12" customHeight="1">
      <c r="Y852" t="str">
        <f>'Green_rooibos initial weight'!A853</f>
        <v>G849</v>
      </c>
      <c r="Z852">
        <f>'Green_rooibos initial weight'!A1757</f>
        <v>0</v>
      </c>
      <c r="AA852" t="b">
        <f t="shared" si="390"/>
        <v>0</v>
      </c>
      <c r="AB852" t="b">
        <f t="shared" si="391"/>
        <v>1</v>
      </c>
    </row>
    <row r="853" spans="25:28" ht="12" customHeight="1">
      <c r="Y853" t="str">
        <f>'Green_rooibos initial weight'!A854</f>
        <v>G850</v>
      </c>
      <c r="Z853">
        <f>'Green_rooibos initial weight'!A1758</f>
        <v>0</v>
      </c>
      <c r="AA853" t="b">
        <f t="shared" si="390"/>
        <v>0</v>
      </c>
      <c r="AB853" t="b">
        <f t="shared" si="391"/>
        <v>1</v>
      </c>
    </row>
    <row r="854" spans="25:28" ht="12" customHeight="1">
      <c r="Y854" t="str">
        <f>'Green_rooibos initial weight'!A855</f>
        <v>G851</v>
      </c>
      <c r="Z854">
        <f>'Green_rooibos initial weight'!A1759</f>
        <v>0</v>
      </c>
      <c r="AA854" t="b">
        <f t="shared" si="390"/>
        <v>0</v>
      </c>
      <c r="AB854" t="b">
        <f t="shared" si="391"/>
        <v>1</v>
      </c>
    </row>
    <row r="855" spans="25:28" ht="12" customHeight="1">
      <c r="Y855" t="str">
        <f>'Green_rooibos initial weight'!A856</f>
        <v>G852</v>
      </c>
      <c r="Z855">
        <f>'Green_rooibos initial weight'!A1760</f>
        <v>0</v>
      </c>
      <c r="AA855" t="b">
        <f t="shared" si="390"/>
        <v>0</v>
      </c>
      <c r="AB855" t="b">
        <f t="shared" si="391"/>
        <v>1</v>
      </c>
    </row>
    <row r="856" spans="25:28" ht="12" customHeight="1">
      <c r="Y856" t="str">
        <f>'Green_rooibos initial weight'!A857</f>
        <v>G853</v>
      </c>
      <c r="Z856">
        <f>'Green_rooibos initial weight'!A1761</f>
        <v>0</v>
      </c>
      <c r="AA856" t="b">
        <f t="shared" si="390"/>
        <v>0</v>
      </c>
      <c r="AB856" t="b">
        <f t="shared" si="391"/>
        <v>1</v>
      </c>
    </row>
    <row r="857" spans="25:28" ht="12" customHeight="1">
      <c r="Y857" t="str">
        <f>'Green_rooibos initial weight'!A858</f>
        <v>G854</v>
      </c>
      <c r="Z857">
        <f>'Green_rooibos initial weight'!A1762</f>
        <v>0</v>
      </c>
      <c r="AA857" t="b">
        <f t="shared" si="390"/>
        <v>0</v>
      </c>
      <c r="AB857" t="b">
        <f t="shared" si="391"/>
        <v>1</v>
      </c>
    </row>
    <row r="858" spans="25:28" ht="12" customHeight="1">
      <c r="Y858" t="str">
        <f>'Green_rooibos initial weight'!A859</f>
        <v>G855</v>
      </c>
      <c r="Z858">
        <f>'Green_rooibos initial weight'!A1763</f>
        <v>0</v>
      </c>
      <c r="AA858" t="b">
        <f t="shared" si="390"/>
        <v>0</v>
      </c>
      <c r="AB858" t="b">
        <f t="shared" si="391"/>
        <v>1</v>
      </c>
    </row>
    <row r="859" spans="25:28" ht="12" customHeight="1">
      <c r="Y859" t="str">
        <f>'Green_rooibos initial weight'!A860</f>
        <v>G856</v>
      </c>
      <c r="Z859">
        <f>'Green_rooibos initial weight'!A1764</f>
        <v>0</v>
      </c>
      <c r="AA859" t="b">
        <f t="shared" si="390"/>
        <v>0</v>
      </c>
      <c r="AB859" t="b">
        <f t="shared" si="391"/>
        <v>1</v>
      </c>
    </row>
    <row r="860" spans="25:28" ht="12" customHeight="1">
      <c r="Y860" t="str">
        <f>'Green_rooibos initial weight'!A861</f>
        <v>G857</v>
      </c>
      <c r="Z860">
        <f>'Green_rooibos initial weight'!A1765</f>
        <v>0</v>
      </c>
      <c r="AA860" t="b">
        <f t="shared" si="390"/>
        <v>0</v>
      </c>
      <c r="AB860" t="b">
        <f t="shared" si="391"/>
        <v>1</v>
      </c>
    </row>
    <row r="861" spans="25:28" ht="12" customHeight="1">
      <c r="Y861" t="str">
        <f>'Green_rooibos initial weight'!A862</f>
        <v>G858</v>
      </c>
      <c r="Z861">
        <f>'Green_rooibos initial weight'!A1766</f>
        <v>0</v>
      </c>
      <c r="AA861" t="b">
        <f t="shared" si="390"/>
        <v>0</v>
      </c>
      <c r="AB861" t="b">
        <f t="shared" si="391"/>
        <v>1</v>
      </c>
    </row>
    <row r="862" spans="25:28" ht="12" customHeight="1">
      <c r="Y862" t="str">
        <f>'Green_rooibos initial weight'!A863</f>
        <v>G859</v>
      </c>
      <c r="Z862">
        <f>'Green_rooibos initial weight'!A1767</f>
        <v>0</v>
      </c>
      <c r="AA862" t="b">
        <f t="shared" si="390"/>
        <v>0</v>
      </c>
      <c r="AB862" t="b">
        <f t="shared" si="391"/>
        <v>1</v>
      </c>
    </row>
    <row r="863" spans="25:28" ht="12" customHeight="1">
      <c r="Y863" t="str">
        <f>'Green_rooibos initial weight'!A864</f>
        <v>G860</v>
      </c>
      <c r="Z863">
        <f>'Green_rooibos initial weight'!A1768</f>
        <v>0</v>
      </c>
      <c r="AA863" t="b">
        <f t="shared" si="390"/>
        <v>0</v>
      </c>
      <c r="AB863" t="b">
        <f t="shared" si="391"/>
        <v>1</v>
      </c>
    </row>
    <row r="864" spans="25:28" ht="12" customHeight="1">
      <c r="Y864" t="str">
        <f>'Green_rooibos initial weight'!A865</f>
        <v>G861</v>
      </c>
      <c r="Z864">
        <f>'Green_rooibos initial weight'!A1769</f>
        <v>0</v>
      </c>
      <c r="AA864" t="b">
        <f t="shared" si="390"/>
        <v>0</v>
      </c>
      <c r="AB864" t="b">
        <f t="shared" si="391"/>
        <v>1</v>
      </c>
    </row>
    <row r="865" spans="25:28" ht="12" customHeight="1">
      <c r="Y865" t="str">
        <f>'Green_rooibos initial weight'!A866</f>
        <v>G862</v>
      </c>
      <c r="Z865">
        <f>'Green_rooibos initial weight'!A1770</f>
        <v>0</v>
      </c>
      <c r="AA865" t="b">
        <f t="shared" si="390"/>
        <v>0</v>
      </c>
      <c r="AB865" t="b">
        <f t="shared" si="391"/>
        <v>1</v>
      </c>
    </row>
    <row r="866" spans="25:28" ht="12" customHeight="1">
      <c r="Y866" t="str">
        <f>'Green_rooibos initial weight'!A867</f>
        <v>G863</v>
      </c>
      <c r="Z866">
        <f>'Green_rooibos initial weight'!A1771</f>
        <v>0</v>
      </c>
      <c r="AA866" t="b">
        <f t="shared" si="390"/>
        <v>0</v>
      </c>
      <c r="AB866" t="b">
        <f t="shared" si="391"/>
        <v>1</v>
      </c>
    </row>
    <row r="867" spans="25:28" ht="12" customHeight="1">
      <c r="Y867" t="str">
        <f>'Green_rooibos initial weight'!A868</f>
        <v>G864</v>
      </c>
      <c r="Z867">
        <f>'Green_rooibos initial weight'!A1772</f>
        <v>0</v>
      </c>
      <c r="AA867" t="b">
        <f t="shared" si="390"/>
        <v>0</v>
      </c>
      <c r="AB867" t="b">
        <f t="shared" si="391"/>
        <v>1</v>
      </c>
    </row>
    <row r="868" spans="25:28" ht="12" customHeight="1">
      <c r="Y868" t="str">
        <f>'Green_rooibos initial weight'!A869</f>
        <v>G865</v>
      </c>
      <c r="Z868">
        <f>'Green_rooibos initial weight'!A1773</f>
        <v>0</v>
      </c>
      <c r="AA868" t="b">
        <f t="shared" si="390"/>
        <v>0</v>
      </c>
      <c r="AB868" t="b">
        <f t="shared" si="391"/>
        <v>1</v>
      </c>
    </row>
    <row r="869" spans="25:28" ht="12" customHeight="1">
      <c r="Y869" t="str">
        <f>'Green_rooibos initial weight'!A870</f>
        <v>G866</v>
      </c>
      <c r="Z869">
        <f>'Green_rooibos initial weight'!A1774</f>
        <v>0</v>
      </c>
      <c r="AA869" t="b">
        <f t="shared" si="390"/>
        <v>0</v>
      </c>
      <c r="AB869" t="b">
        <f t="shared" si="391"/>
        <v>1</v>
      </c>
    </row>
    <row r="870" spans="25:28" ht="12" customHeight="1">
      <c r="Y870" t="str">
        <f>'Green_rooibos initial weight'!A871</f>
        <v>G867</v>
      </c>
      <c r="Z870">
        <f>'Green_rooibos initial weight'!A1775</f>
        <v>0</v>
      </c>
      <c r="AA870" t="b">
        <f t="shared" si="390"/>
        <v>0</v>
      </c>
      <c r="AB870" t="b">
        <f t="shared" si="391"/>
        <v>1</v>
      </c>
    </row>
    <row r="871" spans="25:28" ht="12" customHeight="1">
      <c r="Y871" t="str">
        <f>'Green_rooibos initial weight'!A872</f>
        <v>G868</v>
      </c>
      <c r="Z871">
        <f>'Green_rooibos initial weight'!A1776</f>
        <v>0</v>
      </c>
      <c r="AA871" t="b">
        <f t="shared" si="390"/>
        <v>0</v>
      </c>
      <c r="AB871" t="b">
        <f t="shared" si="391"/>
        <v>1</v>
      </c>
    </row>
    <row r="872" spans="25:28" ht="12" customHeight="1">
      <c r="Y872" t="str">
        <f>'Green_rooibos initial weight'!A873</f>
        <v>G869</v>
      </c>
      <c r="Z872">
        <f>'Green_rooibos initial weight'!A1777</f>
        <v>0</v>
      </c>
      <c r="AA872" t="b">
        <f t="shared" si="390"/>
        <v>0</v>
      </c>
      <c r="AB872" t="b">
        <f t="shared" si="391"/>
        <v>1</v>
      </c>
    </row>
    <row r="873" spans="25:28" ht="12" customHeight="1">
      <c r="Y873" t="str">
        <f>'Green_rooibos initial weight'!A874</f>
        <v>G870</v>
      </c>
      <c r="Z873">
        <f>'Green_rooibos initial weight'!A1778</f>
        <v>0</v>
      </c>
      <c r="AA873" t="b">
        <f t="shared" si="390"/>
        <v>0</v>
      </c>
      <c r="AB873" t="b">
        <f t="shared" si="391"/>
        <v>1</v>
      </c>
    </row>
    <row r="874" spans="25:28" ht="12" customHeight="1">
      <c r="Y874" t="str">
        <f>'Green_rooibos initial weight'!A875</f>
        <v>G871</v>
      </c>
      <c r="Z874">
        <f>'Green_rooibos initial weight'!A1779</f>
        <v>0</v>
      </c>
      <c r="AA874" t="b">
        <f t="shared" si="390"/>
        <v>0</v>
      </c>
      <c r="AB874" t="b">
        <f t="shared" si="391"/>
        <v>1</v>
      </c>
    </row>
    <row r="875" spans="25:28" ht="12" customHeight="1">
      <c r="Y875" t="str">
        <f>'Green_rooibos initial weight'!A876</f>
        <v>G872</v>
      </c>
      <c r="Z875">
        <f>'Green_rooibos initial weight'!A1780</f>
        <v>0</v>
      </c>
      <c r="AA875" t="b">
        <f t="shared" si="390"/>
        <v>0</v>
      </c>
      <c r="AB875" t="b">
        <f t="shared" si="391"/>
        <v>1</v>
      </c>
    </row>
    <row r="876" spans="25:28" ht="12" customHeight="1">
      <c r="Y876" t="str">
        <f>'Green_rooibos initial weight'!A877</f>
        <v>G873</v>
      </c>
      <c r="Z876">
        <f>'Green_rooibos initial weight'!A1781</f>
        <v>0</v>
      </c>
      <c r="AA876" t="b">
        <f t="shared" si="390"/>
        <v>0</v>
      </c>
      <c r="AB876" t="b">
        <f t="shared" si="391"/>
        <v>1</v>
      </c>
    </row>
    <row r="877" spans="25:28" ht="12" customHeight="1">
      <c r="Y877" t="str">
        <f>'Green_rooibos initial weight'!A878</f>
        <v>G874</v>
      </c>
      <c r="Z877">
        <f>'Green_rooibos initial weight'!A1782</f>
        <v>0</v>
      </c>
      <c r="AA877" t="b">
        <f t="shared" si="390"/>
        <v>0</v>
      </c>
      <c r="AB877" t="b">
        <f t="shared" si="391"/>
        <v>1</v>
      </c>
    </row>
    <row r="878" spans="25:28" ht="12" customHeight="1">
      <c r="Y878" t="str">
        <f>'Green_rooibos initial weight'!A879</f>
        <v>G875</v>
      </c>
      <c r="Z878">
        <f>'Green_rooibos initial weight'!A1783</f>
        <v>0</v>
      </c>
      <c r="AA878" t="b">
        <f t="shared" si="390"/>
        <v>0</v>
      </c>
      <c r="AB878" t="b">
        <f t="shared" si="391"/>
        <v>1</v>
      </c>
    </row>
    <row r="879" spans="25:28" ht="12" customHeight="1">
      <c r="Y879" t="str">
        <f>'Green_rooibos initial weight'!A880</f>
        <v>G876</v>
      </c>
      <c r="Z879">
        <f>'Green_rooibos initial weight'!A1784</f>
        <v>0</v>
      </c>
      <c r="AA879" t="b">
        <f t="shared" si="390"/>
        <v>0</v>
      </c>
      <c r="AB879" t="b">
        <f t="shared" si="391"/>
        <v>1</v>
      </c>
    </row>
    <row r="880" spans="25:28" ht="12" customHeight="1">
      <c r="Y880" t="str">
        <f>'Green_rooibos initial weight'!A881</f>
        <v>G877</v>
      </c>
      <c r="Z880">
        <f>'Green_rooibos initial weight'!A1785</f>
        <v>0</v>
      </c>
      <c r="AA880" t="b">
        <f t="shared" si="390"/>
        <v>0</v>
      </c>
      <c r="AB880" t="b">
        <f t="shared" si="391"/>
        <v>1</v>
      </c>
    </row>
    <row r="881" spans="25:28" ht="12" customHeight="1">
      <c r="Y881" t="str">
        <f>'Green_rooibos initial weight'!A882</f>
        <v>G878</v>
      </c>
      <c r="Z881">
        <f>'Green_rooibos initial weight'!A1786</f>
        <v>0</v>
      </c>
      <c r="AA881" t="b">
        <f t="shared" si="390"/>
        <v>0</v>
      </c>
      <c r="AB881" t="b">
        <f t="shared" si="391"/>
        <v>1</v>
      </c>
    </row>
    <row r="882" spans="25:28" ht="12" customHeight="1">
      <c r="Y882" t="str">
        <f>'Green_rooibos initial weight'!A883</f>
        <v>G879</v>
      </c>
      <c r="Z882">
        <f>'Green_rooibos initial weight'!A1787</f>
        <v>0</v>
      </c>
      <c r="AA882" t="b">
        <f t="shared" si="390"/>
        <v>0</v>
      </c>
      <c r="AB882" t="b">
        <f t="shared" si="391"/>
        <v>1</v>
      </c>
    </row>
    <row r="883" spans="25:28" ht="12" customHeight="1">
      <c r="Y883" t="str">
        <f>'Green_rooibos initial weight'!A884</f>
        <v>G880</v>
      </c>
      <c r="Z883">
        <f>'Green_rooibos initial weight'!A1788</f>
        <v>0</v>
      </c>
      <c r="AA883" t="b">
        <f t="shared" si="390"/>
        <v>0</v>
      </c>
      <c r="AB883" t="b">
        <f t="shared" si="391"/>
        <v>1</v>
      </c>
    </row>
    <row r="884" spans="25:28" ht="12" customHeight="1">
      <c r="Y884" t="str">
        <f>'Green_rooibos initial weight'!A885</f>
        <v>G881</v>
      </c>
      <c r="Z884">
        <f>'Green_rooibos initial weight'!A1789</f>
        <v>0</v>
      </c>
      <c r="AA884" t="b">
        <f t="shared" si="390"/>
        <v>0</v>
      </c>
      <c r="AB884" t="b">
        <f t="shared" si="391"/>
        <v>1</v>
      </c>
    </row>
    <row r="885" spans="25:28" ht="12" customHeight="1">
      <c r="Y885" t="str">
        <f>'Green_rooibos initial weight'!A886</f>
        <v>G882</v>
      </c>
      <c r="Z885">
        <f>'Green_rooibos initial weight'!A1790</f>
        <v>0</v>
      </c>
      <c r="AA885" t="b">
        <f t="shared" si="390"/>
        <v>0</v>
      </c>
      <c r="AB885" t="b">
        <f t="shared" si="391"/>
        <v>1</v>
      </c>
    </row>
    <row r="886" spans="25:28" ht="12" customHeight="1">
      <c r="Y886" t="str">
        <f>'Green_rooibos initial weight'!A887</f>
        <v>G883</v>
      </c>
      <c r="Z886">
        <f>'Green_rooibos initial weight'!A1791</f>
        <v>0</v>
      </c>
      <c r="AA886" t="b">
        <f t="shared" si="390"/>
        <v>0</v>
      </c>
      <c r="AB886" t="b">
        <f t="shared" si="391"/>
        <v>1</v>
      </c>
    </row>
    <row r="887" spans="25:28" ht="12" customHeight="1">
      <c r="Y887" t="str">
        <f>'Green_rooibos initial weight'!A888</f>
        <v>G884</v>
      </c>
      <c r="Z887">
        <f>'Green_rooibos initial weight'!A1792</f>
        <v>0</v>
      </c>
      <c r="AA887" t="b">
        <f t="shared" si="390"/>
        <v>0</v>
      </c>
      <c r="AB887" t="b">
        <f t="shared" si="391"/>
        <v>1</v>
      </c>
    </row>
    <row r="888" spans="25:28" ht="12" customHeight="1">
      <c r="Y888" t="str">
        <f>'Green_rooibos initial weight'!A889</f>
        <v>G885</v>
      </c>
      <c r="Z888">
        <f>'Green_rooibos initial weight'!A1793</f>
        <v>0</v>
      </c>
      <c r="AA888" t="b">
        <f t="shared" si="390"/>
        <v>0</v>
      </c>
      <c r="AB888" t="b">
        <f t="shared" si="391"/>
        <v>1</v>
      </c>
    </row>
    <row r="889" spans="25:28" ht="12" customHeight="1">
      <c r="Y889" t="str">
        <f>'Green_rooibos initial weight'!A890</f>
        <v>G886</v>
      </c>
      <c r="Z889">
        <f>'Green_rooibos initial weight'!A1794</f>
        <v>0</v>
      </c>
      <c r="AA889" t="b">
        <f t="shared" si="390"/>
        <v>0</v>
      </c>
      <c r="AB889" t="b">
        <f t="shared" si="391"/>
        <v>1</v>
      </c>
    </row>
    <row r="890" spans="25:28" ht="12" customHeight="1">
      <c r="Y890" t="str">
        <f>'Green_rooibos initial weight'!A891</f>
        <v>G887</v>
      </c>
      <c r="Z890">
        <f>'Green_rooibos initial weight'!A1795</f>
        <v>0</v>
      </c>
      <c r="AA890" t="b">
        <f t="shared" si="390"/>
        <v>0</v>
      </c>
      <c r="AB890" t="b">
        <f t="shared" si="391"/>
        <v>1</v>
      </c>
    </row>
    <row r="891" spans="25:28" ht="12" customHeight="1">
      <c r="Y891" t="str">
        <f>'Green_rooibos initial weight'!A892</f>
        <v>G888</v>
      </c>
      <c r="Z891">
        <f>'Green_rooibos initial weight'!A1796</f>
        <v>0</v>
      </c>
      <c r="AA891" t="b">
        <f t="shared" si="390"/>
        <v>0</v>
      </c>
      <c r="AB891" t="b">
        <f t="shared" si="391"/>
        <v>1</v>
      </c>
    </row>
    <row r="892" spans="25:28" ht="12" customHeight="1">
      <c r="Y892" t="str">
        <f>'Green_rooibos initial weight'!A893</f>
        <v>G889</v>
      </c>
      <c r="Z892">
        <f>'Green_rooibos initial weight'!A1797</f>
        <v>0</v>
      </c>
      <c r="AA892" t="b">
        <f t="shared" si="390"/>
        <v>0</v>
      </c>
      <c r="AB892" t="b">
        <f t="shared" si="391"/>
        <v>1</v>
      </c>
    </row>
    <row r="893" spans="25:28" ht="12" customHeight="1">
      <c r="Y893" t="str">
        <f>'Green_rooibos initial weight'!A894</f>
        <v>G890</v>
      </c>
      <c r="Z893">
        <f>'Green_rooibos initial weight'!A1798</f>
        <v>0</v>
      </c>
      <c r="AA893" t="b">
        <f t="shared" si="390"/>
        <v>0</v>
      </c>
      <c r="AB893" t="b">
        <f t="shared" si="391"/>
        <v>1</v>
      </c>
    </row>
    <row r="894" spans="25:28" ht="12" customHeight="1">
      <c r="Y894" t="str">
        <f>'Green_rooibos initial weight'!A895</f>
        <v>G891</v>
      </c>
      <c r="Z894">
        <f>'Green_rooibos initial weight'!A1799</f>
        <v>0</v>
      </c>
      <c r="AA894" t="b">
        <f t="shared" si="390"/>
        <v>0</v>
      </c>
      <c r="AB894" t="b">
        <f t="shared" si="391"/>
        <v>1</v>
      </c>
    </row>
    <row r="895" spans="25:28" ht="12" customHeight="1">
      <c r="Y895" t="str">
        <f>'Green_rooibos initial weight'!A896</f>
        <v>G892</v>
      </c>
      <c r="AA895" t="b">
        <f t="shared" si="390"/>
        <v>0</v>
      </c>
      <c r="AB895" t="b">
        <f t="shared" si="391"/>
        <v>1</v>
      </c>
    </row>
    <row r="896" spans="25:28" ht="12" customHeight="1">
      <c r="Y896" t="str">
        <f>'Green_rooibos initial weight'!A897</f>
        <v>G893</v>
      </c>
      <c r="AA896" t="b">
        <f t="shared" si="390"/>
        <v>0</v>
      </c>
      <c r="AB896" t="b">
        <f t="shared" si="391"/>
        <v>1</v>
      </c>
    </row>
    <row r="897" spans="25:28" ht="12" customHeight="1">
      <c r="Y897" t="str">
        <f>'Green_rooibos initial weight'!A898</f>
        <v>G894</v>
      </c>
      <c r="AA897" t="b">
        <f t="shared" si="390"/>
        <v>0</v>
      </c>
      <c r="AB897" t="b">
        <f t="shared" si="391"/>
        <v>1</v>
      </c>
    </row>
    <row r="898" spans="25:28" ht="12" customHeight="1">
      <c r="Y898" t="str">
        <f>'Green_rooibos initial weight'!A899</f>
        <v>G895</v>
      </c>
      <c r="AA898" t="b">
        <f t="shared" si="390"/>
        <v>0</v>
      </c>
      <c r="AB898" t="b">
        <f t="shared" si="391"/>
        <v>1</v>
      </c>
    </row>
    <row r="899" spans="25:28" ht="12" customHeight="1">
      <c r="Y899" t="str">
        <f>'Green_rooibos initial weight'!A900</f>
        <v>G896</v>
      </c>
      <c r="AA899" t="b">
        <f t="shared" si="390"/>
        <v>0</v>
      </c>
      <c r="AB899" t="b">
        <f t="shared" si="391"/>
        <v>1</v>
      </c>
    </row>
    <row r="900" spans="25:28" ht="12" customHeight="1">
      <c r="Y900" t="str">
        <f>'Green_rooibos initial weight'!A901</f>
        <v>G897</v>
      </c>
      <c r="AA900" t="b">
        <f t="shared" si="390"/>
        <v>0</v>
      </c>
      <c r="AB900" t="b">
        <f t="shared" si="391"/>
        <v>1</v>
      </c>
    </row>
    <row r="901" spans="25:28" ht="12" customHeight="1">
      <c r="Y901" t="str">
        <f>'Green_rooibos initial weight'!A902</f>
        <v>G898</v>
      </c>
      <c r="AA901" t="b">
        <f t="shared" ref="AA901:AA907" si="392">COUNTIF($Y$4:$Y$2000, Y901)&gt;1</f>
        <v>0</v>
      </c>
      <c r="AB901" t="b">
        <f t="shared" ref="AB901:AB907" si="393">COUNTIF($Z$4:$Z$2000, Z901)&gt;1</f>
        <v>1</v>
      </c>
    </row>
    <row r="902" spans="25:28" ht="12" customHeight="1">
      <c r="Y902" t="str">
        <f>'Green_rooibos initial weight'!A903</f>
        <v>G899</v>
      </c>
      <c r="AA902" t="b">
        <f t="shared" si="392"/>
        <v>0</v>
      </c>
      <c r="AB902" t="b">
        <f t="shared" si="393"/>
        <v>1</v>
      </c>
    </row>
    <row r="903" spans="25:28" ht="12" customHeight="1">
      <c r="Y903" t="str">
        <f>'Green_rooibos initial weight'!A904</f>
        <v>G900</v>
      </c>
      <c r="AA903" t="b">
        <f t="shared" si="392"/>
        <v>0</v>
      </c>
      <c r="AB903" t="b">
        <f t="shared" si="393"/>
        <v>1</v>
      </c>
    </row>
    <row r="904" spans="25:28" ht="12" customHeight="1">
      <c r="Y904" t="str">
        <f>'Green_rooibos initial weight'!A905</f>
        <v>G901</v>
      </c>
      <c r="AA904" t="b">
        <f t="shared" si="392"/>
        <v>0</v>
      </c>
      <c r="AB904" t="b">
        <f t="shared" si="393"/>
        <v>1</v>
      </c>
    </row>
    <row r="905" spans="25:28" ht="12" customHeight="1">
      <c r="Y905" t="str">
        <f>'Green_rooibos initial weight'!A906</f>
        <v>G902</v>
      </c>
      <c r="AA905" t="b">
        <f t="shared" si="392"/>
        <v>0</v>
      </c>
      <c r="AB905" t="b">
        <f t="shared" si="393"/>
        <v>1</v>
      </c>
    </row>
    <row r="906" spans="25:28" ht="12" customHeight="1">
      <c r="Y906" t="str">
        <f>'Green_rooibos initial weight'!A907</f>
        <v>G903</v>
      </c>
      <c r="AA906" t="b">
        <f t="shared" si="392"/>
        <v>0</v>
      </c>
      <c r="AB906" t="b">
        <f t="shared" si="393"/>
        <v>1</v>
      </c>
    </row>
    <row r="907" spans="25:28" ht="12" customHeight="1">
      <c r="Y907" t="str">
        <f>'Green_rooibos initial weight'!A908</f>
        <v>G904</v>
      </c>
      <c r="AA907" t="b">
        <f t="shared" si="392"/>
        <v>0</v>
      </c>
      <c r="AB907" t="b">
        <f t="shared" si="393"/>
        <v>1</v>
      </c>
    </row>
  </sheetData>
  <sortState ref="CT5:CT444">
    <sortCondition ref="CT5"/>
  </sortState>
  <mergeCells count="2">
    <mergeCell ref="G1:H1"/>
    <mergeCell ref="B1:C1"/>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AD671"/>
  <sheetViews>
    <sheetView zoomScale="85" zoomScaleNormal="85" workbookViewId="0">
      <pane ySplit="1" topLeftCell="A657" activePane="bottomLeft" state="frozen"/>
      <selection pane="bottomLeft" activeCell="A671" sqref="A1:A1048576"/>
    </sheetView>
  </sheetViews>
  <sheetFormatPr baseColWidth="10" defaultRowHeight="14.4"/>
  <sheetData>
    <row r="1" spans="1:20" ht="100.8">
      <c r="A1" s="278" t="s">
        <v>2593</v>
      </c>
      <c r="B1" s="278" t="s">
        <v>2471</v>
      </c>
      <c r="C1" s="278" t="s">
        <v>2594</v>
      </c>
      <c r="D1" s="278" t="s">
        <v>2573</v>
      </c>
      <c r="E1" s="278" t="s">
        <v>2592</v>
      </c>
      <c r="F1" s="278" t="s">
        <v>2591</v>
      </c>
      <c r="G1" s="278" t="s">
        <v>2590</v>
      </c>
      <c r="H1" s="278" t="s">
        <v>2589</v>
      </c>
      <c r="I1" s="209" t="s">
        <v>2628</v>
      </c>
      <c r="J1" s="209" t="s">
        <v>2629</v>
      </c>
      <c r="K1" s="209" t="s">
        <v>2630</v>
      </c>
      <c r="L1" s="279" t="s">
        <v>2588</v>
      </c>
      <c r="M1" s="279" t="s">
        <v>2587</v>
      </c>
      <c r="N1" s="279" t="s">
        <v>2586</v>
      </c>
      <c r="O1" s="279" t="s">
        <v>2585</v>
      </c>
      <c r="P1" s="279" t="s">
        <v>2143</v>
      </c>
      <c r="R1" s="209"/>
    </row>
    <row r="2" spans="1:20">
      <c r="A2" t="s">
        <v>2049</v>
      </c>
      <c r="C2" t="s">
        <v>3457</v>
      </c>
      <c r="D2">
        <v>0.66510000000000002</v>
      </c>
      <c r="E2">
        <v>8.8612000000000002</v>
      </c>
      <c r="F2">
        <v>0.2072</v>
      </c>
      <c r="G2" s="281">
        <f t="shared" ref="G2:G33" si="0">E2+F2</f>
        <v>9.0684000000000005</v>
      </c>
      <c r="H2" s="281">
        <v>8.9166000000000007</v>
      </c>
      <c r="I2" s="281">
        <f>G2-H2</f>
        <v>0.15179999999999971</v>
      </c>
      <c r="J2" s="280">
        <f t="shared" ref="J2:J33" si="1">F2-I2</f>
        <v>5.5400000000000282E-2</v>
      </c>
      <c r="K2" s="282">
        <f t="shared" ref="K2:K33" si="2">(J2/F2)*100</f>
        <v>26.737451737451874</v>
      </c>
      <c r="L2">
        <v>10</v>
      </c>
      <c r="M2" s="16">
        <v>43399</v>
      </c>
      <c r="N2" s="16">
        <v>43400</v>
      </c>
      <c r="R2" s="282"/>
    </row>
    <row r="3" spans="1:20">
      <c r="A3" t="s">
        <v>2040</v>
      </c>
      <c r="C3" t="s">
        <v>3717</v>
      </c>
      <c r="D3">
        <v>1.6155999999999999</v>
      </c>
      <c r="E3">
        <v>7.5294999999999996</v>
      </c>
      <c r="F3">
        <v>0.20569999999999999</v>
      </c>
      <c r="G3" s="281">
        <f t="shared" si="0"/>
        <v>7.7351999999999999</v>
      </c>
      <c r="H3" s="281">
        <v>7.5415000000000001</v>
      </c>
      <c r="I3" s="281">
        <f>G3-H3</f>
        <v>0.19369999999999976</v>
      </c>
      <c r="J3" s="280">
        <f t="shared" si="1"/>
        <v>1.2000000000000233E-2</v>
      </c>
      <c r="K3" s="282">
        <f t="shared" si="2"/>
        <v>5.8337384540594233</v>
      </c>
      <c r="L3">
        <v>19</v>
      </c>
      <c r="M3" s="283">
        <v>43362</v>
      </c>
      <c r="N3" s="283">
        <v>43363</v>
      </c>
      <c r="R3" s="282"/>
      <c r="T3" s="110" t="str">
        <f>IFERROR(INDEX('WetLitterbags placem_collection'!$A$3:$A$500,MATCH(A3,'WetLitterbags placem_collection'!$K$4:$K$500,0)),"")</f>
        <v/>
      </c>
    </row>
    <row r="4" spans="1:20">
      <c r="A4" t="s">
        <v>1949</v>
      </c>
      <c r="C4" t="s">
        <v>3701</v>
      </c>
      <c r="D4">
        <v>1.8332999999999999</v>
      </c>
      <c r="E4">
        <v>7.9947999999999997</v>
      </c>
      <c r="F4">
        <v>0.23419999999999999</v>
      </c>
      <c r="G4" s="281">
        <f t="shared" si="0"/>
        <v>8.2289999999999992</v>
      </c>
      <c r="H4" s="281">
        <v>8.0077999999999996</v>
      </c>
      <c r="I4" s="281">
        <f>(G4-H4)</f>
        <v>0.22119999999999962</v>
      </c>
      <c r="J4" s="280">
        <f t="shared" si="1"/>
        <v>1.3000000000000372E-2</v>
      </c>
      <c r="K4" s="282">
        <f t="shared" si="2"/>
        <v>5.5508112724168974</v>
      </c>
      <c r="L4">
        <v>35</v>
      </c>
      <c r="M4" s="283">
        <v>43360</v>
      </c>
      <c r="N4" s="283">
        <v>43361</v>
      </c>
      <c r="O4" s="280" t="s">
        <v>3684</v>
      </c>
      <c r="R4" s="282"/>
      <c r="T4" s="110" t="str">
        <f>IFERROR(INDEX('WetLitterbags placem_collection'!$A$3:$A$500,MATCH(A4,'WetLitterbags placem_collection'!$K$4:$K$500,0)),"")</f>
        <v/>
      </c>
    </row>
    <row r="5" spans="1:20">
      <c r="A5" t="s">
        <v>1948</v>
      </c>
      <c r="C5" t="s">
        <v>3711</v>
      </c>
      <c r="D5">
        <v>0.8498</v>
      </c>
      <c r="E5">
        <v>11.455500000000001</v>
      </c>
      <c r="F5">
        <v>0.23169999999999999</v>
      </c>
      <c r="G5" s="281">
        <f t="shared" si="0"/>
        <v>11.687200000000001</v>
      </c>
      <c r="H5" s="281">
        <v>11.498900000000001</v>
      </c>
      <c r="I5" s="281">
        <f>G5-H5</f>
        <v>0.18829999999999991</v>
      </c>
      <c r="J5" s="280">
        <f t="shared" si="1"/>
        <v>4.3400000000000077E-2</v>
      </c>
      <c r="K5" s="282">
        <f t="shared" si="2"/>
        <v>18.731117824773449</v>
      </c>
      <c r="L5">
        <v>26</v>
      </c>
      <c r="M5" s="16">
        <v>43381</v>
      </c>
      <c r="N5" s="16">
        <v>43382</v>
      </c>
      <c r="R5" s="282"/>
      <c r="T5" s="110" t="str">
        <f>IFERROR(INDEX('WetLitterbags placem_collection'!$A$3:$A$500,MATCH(A5,'WetLitterbags placem_collection'!$K$4:$K$500,0)),"")</f>
        <v/>
      </c>
    </row>
    <row r="6" spans="1:20">
      <c r="A6" t="s">
        <v>1945</v>
      </c>
      <c r="B6">
        <v>195</v>
      </c>
      <c r="D6">
        <v>0.98450000000000004</v>
      </c>
      <c r="E6">
        <v>9.4870999999999999</v>
      </c>
      <c r="F6">
        <v>0.20760000000000001</v>
      </c>
      <c r="G6" s="281">
        <f t="shared" si="0"/>
        <v>9.6946999999999992</v>
      </c>
      <c r="H6" s="281">
        <v>9.5785999999999998</v>
      </c>
      <c r="I6" s="281">
        <f>G6-H6</f>
        <v>0.11609999999999943</v>
      </c>
      <c r="J6" s="280">
        <f t="shared" si="1"/>
        <v>9.1500000000000581E-2</v>
      </c>
      <c r="K6" s="282">
        <f t="shared" si="2"/>
        <v>44.075144508670796</v>
      </c>
      <c r="L6">
        <v>2</v>
      </c>
      <c r="M6">
        <v>23.101800000000001</v>
      </c>
      <c r="N6" s="16">
        <v>43397</v>
      </c>
      <c r="R6" s="282"/>
      <c r="T6" s="110" t="str">
        <f>IFERROR(INDEX('WetLitterbags placem_collection'!$A$3:$A$500,MATCH(A6,'WetLitterbags placem_collection'!$K$4:$K$500,0)),"")</f>
        <v/>
      </c>
    </row>
    <row r="7" spans="1:20">
      <c r="A7" t="s">
        <v>1944</v>
      </c>
      <c r="C7" t="s">
        <v>3716</v>
      </c>
      <c r="D7">
        <v>1.8148</v>
      </c>
      <c r="E7">
        <v>7.8602999999999996</v>
      </c>
      <c r="F7">
        <f>8.0949-E7</f>
        <v>0.23460000000000125</v>
      </c>
      <c r="G7" s="281">
        <f t="shared" si="0"/>
        <v>8.0949000000000009</v>
      </c>
      <c r="H7" s="281">
        <v>7.8802000000000003</v>
      </c>
      <c r="I7" s="281">
        <f>G7-H7</f>
        <v>0.21470000000000056</v>
      </c>
      <c r="J7" s="280">
        <f t="shared" si="1"/>
        <v>1.9900000000000695E-2</v>
      </c>
      <c r="K7" s="282">
        <f t="shared" si="2"/>
        <v>8.482523444160524</v>
      </c>
      <c r="L7">
        <v>20</v>
      </c>
      <c r="M7" s="283">
        <v>43363</v>
      </c>
      <c r="N7" s="283">
        <v>43364</v>
      </c>
      <c r="O7" s="280" t="s">
        <v>3732</v>
      </c>
      <c r="R7" s="282"/>
      <c r="T7" s="110" t="str">
        <f>IFERROR(INDEX('WetLitterbags placem_collection'!$A$3:$A$500,MATCH(A7,'WetLitterbags placem_collection'!$K$4:$K$500,0)),"")</f>
        <v/>
      </c>
    </row>
    <row r="8" spans="1:20">
      <c r="A8" t="s">
        <v>1943</v>
      </c>
      <c r="C8" t="s">
        <v>3665</v>
      </c>
      <c r="D8">
        <v>1.8686</v>
      </c>
      <c r="E8">
        <v>9.1973000000000003</v>
      </c>
      <c r="F8">
        <v>0.23480000000000001</v>
      </c>
      <c r="G8" s="281">
        <f t="shared" si="0"/>
        <v>9.4321000000000002</v>
      </c>
      <c r="H8" s="281">
        <v>9.2104999999999997</v>
      </c>
      <c r="I8" s="281">
        <f>(G8-H8)</f>
        <v>0.22160000000000046</v>
      </c>
      <c r="J8" s="280">
        <f t="shared" si="1"/>
        <v>1.3199999999999545E-2</v>
      </c>
      <c r="K8" s="282">
        <f t="shared" si="2"/>
        <v>5.6218057921633493</v>
      </c>
      <c r="L8">
        <v>11</v>
      </c>
      <c r="M8" s="283">
        <v>43360</v>
      </c>
      <c r="N8" s="283">
        <v>43361</v>
      </c>
      <c r="O8" s="280"/>
      <c r="R8" s="282"/>
    </row>
    <row r="9" spans="1:20">
      <c r="A9" t="s">
        <v>1941</v>
      </c>
      <c r="C9" t="s">
        <v>3713</v>
      </c>
      <c r="D9">
        <v>0.48480000000000001</v>
      </c>
      <c r="E9">
        <v>19.663900000000002</v>
      </c>
      <c r="F9">
        <v>0.21659999999999999</v>
      </c>
      <c r="G9" s="281">
        <f t="shared" si="0"/>
        <v>19.880500000000001</v>
      </c>
      <c r="H9" s="281">
        <v>19.7011</v>
      </c>
      <c r="I9" s="281">
        <f>G9-H9</f>
        <v>0.17940000000000111</v>
      </c>
      <c r="J9" s="280">
        <f t="shared" si="1"/>
        <v>3.7199999999998873E-2</v>
      </c>
      <c r="K9" s="282">
        <f t="shared" si="2"/>
        <v>17.174515235456546</v>
      </c>
      <c r="L9">
        <v>24</v>
      </c>
      <c r="M9" s="283">
        <v>43361</v>
      </c>
      <c r="N9" s="283">
        <v>43362</v>
      </c>
      <c r="O9" s="280" t="s">
        <v>3707</v>
      </c>
      <c r="P9" t="s">
        <v>3714</v>
      </c>
      <c r="R9" s="282"/>
    </row>
    <row r="10" spans="1:20">
      <c r="A10" t="s">
        <v>2039</v>
      </c>
      <c r="C10" t="s">
        <v>3737</v>
      </c>
      <c r="D10">
        <v>0.84289999999999998</v>
      </c>
      <c r="E10">
        <v>10.124000000000001</v>
      </c>
      <c r="F10">
        <v>0.2054</v>
      </c>
      <c r="G10" s="281">
        <f t="shared" si="0"/>
        <v>10.3294</v>
      </c>
      <c r="H10" s="281">
        <v>10.1564</v>
      </c>
      <c r="I10" s="281">
        <f>G10-H10</f>
        <v>0.17300000000000004</v>
      </c>
      <c r="J10" s="280">
        <f t="shared" si="1"/>
        <v>3.2399999999999957E-2</v>
      </c>
      <c r="K10" s="282">
        <f t="shared" si="2"/>
        <v>15.774099318403096</v>
      </c>
      <c r="L10">
        <v>34</v>
      </c>
      <c r="M10" s="283">
        <v>43363</v>
      </c>
      <c r="N10" s="283">
        <v>43364</v>
      </c>
      <c r="R10" s="282"/>
    </row>
    <row r="11" spans="1:20">
      <c r="A11" t="s">
        <v>1940</v>
      </c>
      <c r="C11" t="s">
        <v>3663</v>
      </c>
      <c r="D11">
        <v>1.6871</v>
      </c>
      <c r="E11">
        <v>9.4852000000000007</v>
      </c>
      <c r="F11">
        <v>0.24590000000000001</v>
      </c>
      <c r="G11" s="281">
        <f t="shared" si="0"/>
        <v>9.7311000000000014</v>
      </c>
      <c r="H11" s="281">
        <v>9.5007999999999999</v>
      </c>
      <c r="I11" s="281">
        <f>(G11-H11)</f>
        <v>0.2303000000000015</v>
      </c>
      <c r="J11" s="280">
        <f t="shared" si="1"/>
        <v>1.5599999999998504E-2</v>
      </c>
      <c r="K11" s="282">
        <f t="shared" si="2"/>
        <v>6.3440422936146827</v>
      </c>
      <c r="L11">
        <v>9</v>
      </c>
      <c r="M11" s="283">
        <v>43360</v>
      </c>
      <c r="N11" s="283">
        <v>43361</v>
      </c>
      <c r="O11" s="280"/>
      <c r="R11" s="282"/>
    </row>
    <row r="12" spans="1:20">
      <c r="A12" t="s">
        <v>1939</v>
      </c>
      <c r="C12" t="s">
        <v>3695</v>
      </c>
      <c r="D12">
        <v>1.6712</v>
      </c>
      <c r="E12">
        <v>8.1678999999999995</v>
      </c>
      <c r="F12">
        <v>0.2054</v>
      </c>
      <c r="G12" s="281">
        <f t="shared" si="0"/>
        <v>8.3732999999999986</v>
      </c>
      <c r="H12" s="281">
        <v>8.1806999999999999</v>
      </c>
      <c r="I12" s="281">
        <f>(G12-H12)</f>
        <v>0.19259999999999877</v>
      </c>
      <c r="J12" s="280">
        <f t="shared" si="1"/>
        <v>1.2800000000001227E-2</v>
      </c>
      <c r="K12" s="282">
        <f t="shared" si="2"/>
        <v>6.2317429406042981</v>
      </c>
      <c r="L12">
        <v>22</v>
      </c>
      <c r="M12" s="283">
        <v>43360</v>
      </c>
      <c r="N12" s="283">
        <v>43361</v>
      </c>
      <c r="O12" s="280" t="s">
        <v>3684</v>
      </c>
      <c r="R12" s="282"/>
    </row>
    <row r="13" spans="1:20">
      <c r="A13" t="s">
        <v>1937</v>
      </c>
      <c r="C13" t="s">
        <v>3717</v>
      </c>
      <c r="D13" s="280">
        <v>1.6425000000000001</v>
      </c>
      <c r="E13" s="281">
        <v>20.852699999999999</v>
      </c>
      <c r="F13" s="281">
        <v>0.2089</v>
      </c>
      <c r="G13" s="281">
        <f t="shared" si="0"/>
        <v>21.061599999999999</v>
      </c>
      <c r="H13" s="281">
        <v>20.866700000000002</v>
      </c>
      <c r="I13" s="281">
        <f>G13-H13</f>
        <v>0.19489999999999696</v>
      </c>
      <c r="J13" s="280">
        <f t="shared" si="1"/>
        <v>1.4000000000003038E-2</v>
      </c>
      <c r="K13" s="282">
        <f t="shared" si="2"/>
        <v>6.7017711823853698</v>
      </c>
      <c r="L13" s="280">
        <v>1</v>
      </c>
      <c r="M13" s="283">
        <v>43362</v>
      </c>
      <c r="N13" s="283">
        <v>43363</v>
      </c>
      <c r="O13" s="280"/>
      <c r="P13" s="280"/>
      <c r="R13" s="282"/>
    </row>
    <row r="14" spans="1:20">
      <c r="A14" t="s">
        <v>1935</v>
      </c>
      <c r="C14" t="s">
        <v>3710</v>
      </c>
      <c r="D14">
        <v>1.5762</v>
      </c>
      <c r="E14">
        <v>9.9190000000000005</v>
      </c>
      <c r="F14">
        <v>0.20710000000000001</v>
      </c>
      <c r="G14" s="281">
        <f t="shared" si="0"/>
        <v>10.126100000000001</v>
      </c>
      <c r="H14" s="281">
        <v>9.9313000000000002</v>
      </c>
      <c r="I14" s="281">
        <f>G14-H14</f>
        <v>0.19480000000000075</v>
      </c>
      <c r="J14" s="280">
        <f t="shared" si="1"/>
        <v>1.2299999999999256E-2</v>
      </c>
      <c r="K14" s="282">
        <f t="shared" si="2"/>
        <v>5.939159826170572</v>
      </c>
      <c r="L14">
        <v>15</v>
      </c>
      <c r="M14" s="283">
        <v>43374</v>
      </c>
      <c r="N14" s="283">
        <v>43375</v>
      </c>
      <c r="O14" s="280" t="s">
        <v>3707</v>
      </c>
      <c r="R14" s="282"/>
    </row>
    <row r="15" spans="1:20">
      <c r="A15" t="s">
        <v>1934</v>
      </c>
      <c r="C15" t="s">
        <v>3659</v>
      </c>
      <c r="D15">
        <v>0.48299999999999998</v>
      </c>
      <c r="E15">
        <v>11.056100000000001</v>
      </c>
      <c r="F15">
        <v>0.21679999999999999</v>
      </c>
      <c r="G15" s="281">
        <f t="shared" si="0"/>
        <v>11.2729</v>
      </c>
      <c r="H15" s="281">
        <v>11.0951</v>
      </c>
      <c r="I15" s="281">
        <f>G15-H15</f>
        <v>0.17779999999999951</v>
      </c>
      <c r="J15" s="280">
        <f t="shared" si="1"/>
        <v>3.9000000000000479E-2</v>
      </c>
      <c r="K15" s="282">
        <f t="shared" si="2"/>
        <v>17.988929889299115</v>
      </c>
      <c r="L15">
        <v>27</v>
      </c>
      <c r="M15" s="16">
        <v>43399</v>
      </c>
      <c r="N15" s="16">
        <v>43400</v>
      </c>
      <c r="R15" s="282"/>
    </row>
    <row r="16" spans="1:20">
      <c r="A16" t="s">
        <v>1932</v>
      </c>
      <c r="C16" t="s">
        <v>3405</v>
      </c>
      <c r="D16">
        <v>0.69289999999999996</v>
      </c>
      <c r="E16">
        <v>10.1173</v>
      </c>
      <c r="F16">
        <v>0.2102</v>
      </c>
      <c r="G16">
        <f t="shared" si="0"/>
        <v>10.327500000000001</v>
      </c>
      <c r="H16">
        <v>10.1578</v>
      </c>
      <c r="I16" s="281">
        <f>G16-H16</f>
        <v>0.16970000000000063</v>
      </c>
      <c r="J16" s="280">
        <f t="shared" si="1"/>
        <v>4.049999999999937E-2</v>
      </c>
      <c r="K16" s="282">
        <f t="shared" si="2"/>
        <v>19.267364414842707</v>
      </c>
      <c r="L16">
        <v>16</v>
      </c>
      <c r="M16" s="16">
        <v>43399</v>
      </c>
      <c r="N16" s="16">
        <v>43400</v>
      </c>
      <c r="R16" s="282"/>
    </row>
    <row r="17" spans="1:18">
      <c r="A17" t="s">
        <v>2038</v>
      </c>
      <c r="B17">
        <v>196</v>
      </c>
      <c r="D17">
        <v>0.46760000000000002</v>
      </c>
      <c r="E17">
        <v>8.3564000000000007</v>
      </c>
      <c r="F17">
        <v>0.20749999999999999</v>
      </c>
      <c r="G17" s="281">
        <f t="shared" si="0"/>
        <v>8.5639000000000003</v>
      </c>
      <c r="H17" s="281">
        <v>8.4141999999999992</v>
      </c>
      <c r="I17" s="281">
        <f>G17-H17</f>
        <v>0.14970000000000105</v>
      </c>
      <c r="J17" s="280">
        <f t="shared" si="1"/>
        <v>5.7799999999998936E-2</v>
      </c>
      <c r="K17" s="282">
        <f t="shared" si="2"/>
        <v>27.855421686746478</v>
      </c>
      <c r="L17">
        <v>26</v>
      </c>
      <c r="M17" s="16">
        <v>43388</v>
      </c>
      <c r="N17" s="283">
        <v>43389</v>
      </c>
      <c r="O17" s="16"/>
      <c r="R17" s="282"/>
    </row>
    <row r="18" spans="1:18">
      <c r="A18" t="s">
        <v>1930</v>
      </c>
      <c r="C18" t="s">
        <v>3657</v>
      </c>
      <c r="D18">
        <v>0.87960000000000005</v>
      </c>
      <c r="E18">
        <v>8.8452000000000002</v>
      </c>
      <c r="F18">
        <v>0.20319999999999999</v>
      </c>
      <c r="G18" s="281">
        <f t="shared" si="0"/>
        <v>9.0484000000000009</v>
      </c>
      <c r="H18" s="281">
        <v>8.8666999999999998</v>
      </c>
      <c r="I18" s="281">
        <f>(G18-H18)</f>
        <v>0.18170000000000108</v>
      </c>
      <c r="J18" s="280">
        <f t="shared" si="1"/>
        <v>2.1499999999998909E-2</v>
      </c>
      <c r="K18" s="282">
        <f t="shared" si="2"/>
        <v>10.580708661416786</v>
      </c>
      <c r="L18">
        <v>6</v>
      </c>
      <c r="M18" s="283">
        <v>43360</v>
      </c>
      <c r="N18" s="283">
        <v>43361</v>
      </c>
      <c r="O18" s="280"/>
      <c r="R18" s="282"/>
    </row>
    <row r="19" spans="1:18">
      <c r="A19" t="s">
        <v>1927</v>
      </c>
      <c r="B19">
        <v>219</v>
      </c>
      <c r="C19" t="s">
        <v>2490</v>
      </c>
      <c r="D19">
        <v>0.62549999999999994</v>
      </c>
      <c r="E19">
        <v>11.456</v>
      </c>
      <c r="F19">
        <v>0.22650000000000001</v>
      </c>
      <c r="G19" s="281">
        <f t="shared" si="0"/>
        <v>11.682499999999999</v>
      </c>
      <c r="H19" s="281">
        <v>11.511900000000001</v>
      </c>
      <c r="I19" s="281">
        <f>G19-H19</f>
        <v>0.17059999999999853</v>
      </c>
      <c r="J19" s="280">
        <f t="shared" si="1"/>
        <v>5.5900000000001476E-2</v>
      </c>
      <c r="K19" s="282">
        <f t="shared" si="2"/>
        <v>24.6799116997799</v>
      </c>
      <c r="L19">
        <v>38</v>
      </c>
      <c r="M19" s="16">
        <v>43399</v>
      </c>
      <c r="N19" s="16">
        <v>43400</v>
      </c>
      <c r="R19" s="282"/>
    </row>
    <row r="20" spans="1:18">
      <c r="A20" t="s">
        <v>1926</v>
      </c>
      <c r="B20">
        <v>206</v>
      </c>
      <c r="C20" t="s">
        <v>2490</v>
      </c>
      <c r="D20">
        <v>0.49540000000000001</v>
      </c>
      <c r="E20">
        <v>10.0777</v>
      </c>
      <c r="F20">
        <v>0.2072</v>
      </c>
      <c r="G20">
        <f t="shared" si="0"/>
        <v>10.2849</v>
      </c>
      <c r="H20">
        <v>10.1074</v>
      </c>
      <c r="I20" s="281">
        <f>G20-H20</f>
        <v>0.17750000000000021</v>
      </c>
      <c r="J20" s="280">
        <f t="shared" si="1"/>
        <v>2.9699999999999782E-2</v>
      </c>
      <c r="K20" s="282">
        <f t="shared" si="2"/>
        <v>14.333976833976731</v>
      </c>
      <c r="L20">
        <v>28</v>
      </c>
      <c r="M20" s="16">
        <v>43399</v>
      </c>
      <c r="N20" s="16">
        <v>43400</v>
      </c>
      <c r="R20" s="282"/>
    </row>
    <row r="21" spans="1:18">
      <c r="A21" t="s">
        <v>1925</v>
      </c>
      <c r="C21" t="s">
        <v>3671</v>
      </c>
      <c r="D21">
        <v>0.59860000000000002</v>
      </c>
      <c r="E21">
        <v>10.155200000000001</v>
      </c>
      <c r="F21">
        <v>0.20319999999999999</v>
      </c>
      <c r="G21" s="281">
        <f t="shared" si="0"/>
        <v>10.358400000000001</v>
      </c>
      <c r="H21" s="281">
        <v>10.1928</v>
      </c>
      <c r="I21" s="281">
        <f>(G21-H21)</f>
        <v>0.1656000000000013</v>
      </c>
      <c r="J21" s="280">
        <f t="shared" si="1"/>
        <v>3.759999999999869E-2</v>
      </c>
      <c r="K21" s="282">
        <f t="shared" si="2"/>
        <v>18.503937007873372</v>
      </c>
      <c r="L21">
        <v>10</v>
      </c>
      <c r="M21" s="283">
        <v>43360</v>
      </c>
      <c r="N21" s="283">
        <v>43361</v>
      </c>
      <c r="O21" s="280" t="s">
        <v>3684</v>
      </c>
      <c r="R21" s="282"/>
    </row>
    <row r="22" spans="1:18">
      <c r="A22" t="s">
        <v>1924</v>
      </c>
      <c r="C22" t="s">
        <v>3645</v>
      </c>
      <c r="D22">
        <v>1.7190000000000001</v>
      </c>
      <c r="E22">
        <v>7.8718000000000004</v>
      </c>
      <c r="F22">
        <v>0.20960000000000001</v>
      </c>
      <c r="G22" s="281">
        <f t="shared" si="0"/>
        <v>8.0814000000000004</v>
      </c>
      <c r="H22" s="281">
        <v>7.8833000000000002</v>
      </c>
      <c r="I22" s="281">
        <f>(G22-H22)</f>
        <v>0.19810000000000016</v>
      </c>
      <c r="J22" s="280">
        <f t="shared" si="1"/>
        <v>1.1499999999999844E-2</v>
      </c>
      <c r="K22" s="282">
        <f t="shared" si="2"/>
        <v>5.4866412213739713</v>
      </c>
      <c r="L22">
        <v>28</v>
      </c>
      <c r="M22" s="16">
        <v>43358</v>
      </c>
      <c r="N22" s="16">
        <v>43358</v>
      </c>
      <c r="R22" s="282"/>
    </row>
    <row r="23" spans="1:18">
      <c r="A23" t="s">
        <v>1923</v>
      </c>
      <c r="C23" t="s">
        <v>3481</v>
      </c>
      <c r="D23">
        <v>1.0039</v>
      </c>
      <c r="E23">
        <v>9.3199000000000005</v>
      </c>
      <c r="F23">
        <v>0.20979999999999999</v>
      </c>
      <c r="G23" s="281">
        <f t="shared" si="0"/>
        <v>9.5297000000000001</v>
      </c>
      <c r="H23" s="281">
        <v>9.3470999999999993</v>
      </c>
      <c r="I23" s="281">
        <f>G23-H23</f>
        <v>0.18260000000000076</v>
      </c>
      <c r="J23" s="280">
        <f t="shared" si="1"/>
        <v>2.7199999999999225E-2</v>
      </c>
      <c r="K23" s="282">
        <f t="shared" si="2"/>
        <v>12.964728312678373</v>
      </c>
      <c r="L23">
        <v>7</v>
      </c>
      <c r="M23" s="283">
        <v>43363</v>
      </c>
      <c r="N23" s="283">
        <v>43364</v>
      </c>
      <c r="O23" s="280"/>
      <c r="R23" s="282"/>
    </row>
    <row r="24" spans="1:18">
      <c r="A24" t="s">
        <v>1922</v>
      </c>
      <c r="B24">
        <v>214</v>
      </c>
      <c r="D24">
        <v>0.52639999999999998</v>
      </c>
      <c r="E24">
        <v>8.7746999999999993</v>
      </c>
      <c r="F24">
        <v>0.21629999999999999</v>
      </c>
      <c r="G24" s="281">
        <f t="shared" si="0"/>
        <v>8.9909999999999997</v>
      </c>
      <c r="H24" s="281">
        <v>8.8180999999999994</v>
      </c>
      <c r="I24" s="281">
        <f>G24-H24</f>
        <v>0.17290000000000028</v>
      </c>
      <c r="J24" s="280">
        <f t="shared" si="1"/>
        <v>4.3399999999999717E-2</v>
      </c>
      <c r="K24" s="282">
        <f t="shared" si="2"/>
        <v>20.06472491909372</v>
      </c>
      <c r="L24">
        <v>28</v>
      </c>
      <c r="M24" s="16">
        <v>43395</v>
      </c>
      <c r="N24" s="16">
        <v>43396</v>
      </c>
      <c r="R24" s="282"/>
    </row>
    <row r="25" spans="1:18">
      <c r="A25" t="s">
        <v>2037</v>
      </c>
      <c r="C25" t="s">
        <v>3708</v>
      </c>
      <c r="D25">
        <v>1.7701</v>
      </c>
      <c r="E25">
        <v>7.8719999999999999</v>
      </c>
      <c r="F25">
        <v>0.24010000000000001</v>
      </c>
      <c r="G25" s="281">
        <f t="shared" si="0"/>
        <v>8.1120999999999999</v>
      </c>
      <c r="H25" s="281">
        <v>7.8863000000000003</v>
      </c>
      <c r="I25" s="281">
        <f>G25-H25</f>
        <v>0.22579999999999956</v>
      </c>
      <c r="J25" s="280">
        <f t="shared" si="1"/>
        <v>1.4300000000000451E-2</v>
      </c>
      <c r="K25" s="282">
        <f t="shared" si="2"/>
        <v>5.9558517284466683</v>
      </c>
      <c r="L25">
        <v>8</v>
      </c>
      <c r="M25" s="283">
        <v>43361</v>
      </c>
      <c r="N25" s="283">
        <v>43362</v>
      </c>
      <c r="O25" s="280" t="s">
        <v>3707</v>
      </c>
      <c r="R25" s="282"/>
    </row>
    <row r="26" spans="1:18">
      <c r="A26" t="s">
        <v>1920</v>
      </c>
      <c r="C26" t="s">
        <v>3666</v>
      </c>
      <c r="D26">
        <v>1.6929000000000001</v>
      </c>
      <c r="E26">
        <v>11.122400000000001</v>
      </c>
      <c r="F26">
        <v>0.21759999999999999</v>
      </c>
      <c r="G26" s="281">
        <f t="shared" si="0"/>
        <v>11.34</v>
      </c>
      <c r="H26" s="281">
        <v>11.1351</v>
      </c>
      <c r="I26" s="281">
        <f>G26-H26</f>
        <v>0.2049000000000003</v>
      </c>
      <c r="J26" s="280">
        <f t="shared" si="1"/>
        <v>1.2699999999999684E-2</v>
      </c>
      <c r="K26" s="282">
        <f t="shared" si="2"/>
        <v>5.8363970588233842</v>
      </c>
      <c r="L26">
        <v>36</v>
      </c>
      <c r="M26" s="16">
        <v>43381</v>
      </c>
      <c r="N26" s="16">
        <v>43382</v>
      </c>
      <c r="R26" s="282"/>
    </row>
    <row r="27" spans="1:18">
      <c r="A27" t="s">
        <v>1919</v>
      </c>
      <c r="C27" t="s">
        <v>3482</v>
      </c>
      <c r="D27">
        <v>1.3692</v>
      </c>
      <c r="E27">
        <v>9.3442000000000007</v>
      </c>
      <c r="F27">
        <v>0.20519999999999999</v>
      </c>
      <c r="G27" s="281">
        <f t="shared" si="0"/>
        <v>9.5494000000000003</v>
      </c>
      <c r="H27" s="281">
        <v>9.3613999999999997</v>
      </c>
      <c r="I27" s="281">
        <f>G27-H27</f>
        <v>0.18800000000000061</v>
      </c>
      <c r="J27" s="280">
        <f t="shared" si="1"/>
        <v>1.7199999999999382E-2</v>
      </c>
      <c r="K27" s="282">
        <f t="shared" si="2"/>
        <v>8.3820662768028189</v>
      </c>
      <c r="L27">
        <v>42</v>
      </c>
      <c r="M27" s="283">
        <v>43362</v>
      </c>
      <c r="N27" s="283">
        <v>43363</v>
      </c>
      <c r="R27" s="282"/>
    </row>
    <row r="28" spans="1:18">
      <c r="A28" t="s">
        <v>1916</v>
      </c>
      <c r="C28" t="s">
        <v>3706</v>
      </c>
      <c r="D28">
        <v>0.64349999999999996</v>
      </c>
      <c r="E28">
        <v>10.0764</v>
      </c>
      <c r="F28">
        <v>0.20669999999999999</v>
      </c>
      <c r="G28" s="281">
        <f t="shared" si="0"/>
        <v>10.283099999999999</v>
      </c>
      <c r="H28" s="281">
        <v>10.1145</v>
      </c>
      <c r="I28" s="281">
        <f>(G28-H28)</f>
        <v>0.16859999999999964</v>
      </c>
      <c r="J28" s="280">
        <f t="shared" si="1"/>
        <v>3.8100000000000356E-2</v>
      </c>
      <c r="K28" s="282">
        <f t="shared" si="2"/>
        <v>18.432510885341248</v>
      </c>
      <c r="L28">
        <v>41</v>
      </c>
      <c r="M28" s="283">
        <v>43360</v>
      </c>
      <c r="N28" s="283">
        <v>43361</v>
      </c>
      <c r="O28" s="280" t="s">
        <v>3684</v>
      </c>
      <c r="R28" s="282"/>
    </row>
    <row r="29" spans="1:18">
      <c r="A29" t="s">
        <v>1915</v>
      </c>
      <c r="C29" t="s">
        <v>3448</v>
      </c>
      <c r="D29">
        <v>0.59279999999999999</v>
      </c>
      <c r="E29">
        <v>21.074000000000002</v>
      </c>
      <c r="F29">
        <v>0.21029999999999999</v>
      </c>
      <c r="G29" s="281">
        <f t="shared" si="0"/>
        <v>21.284300000000002</v>
      </c>
      <c r="H29" s="281">
        <v>21.12</v>
      </c>
      <c r="I29" s="281">
        <f>G29-H29</f>
        <v>0.16430000000000078</v>
      </c>
      <c r="J29" s="280">
        <f t="shared" si="1"/>
        <v>4.5999999999999208E-2</v>
      </c>
      <c r="K29" s="282">
        <f t="shared" si="2"/>
        <v>21.873514027579272</v>
      </c>
      <c r="L29">
        <v>40</v>
      </c>
      <c r="M29" s="283">
        <v>43361</v>
      </c>
      <c r="N29" s="283">
        <v>43362</v>
      </c>
      <c r="O29" s="280" t="s">
        <v>3707</v>
      </c>
      <c r="R29" s="282"/>
    </row>
    <row r="30" spans="1:18">
      <c r="A30" t="s">
        <v>1914</v>
      </c>
      <c r="C30" t="s">
        <v>3450</v>
      </c>
      <c r="D30">
        <v>0.52039999999999997</v>
      </c>
      <c r="E30">
        <v>9.2370000000000001</v>
      </c>
      <c r="F30">
        <v>0.20330000000000001</v>
      </c>
      <c r="G30" s="281">
        <f t="shared" si="0"/>
        <v>9.4403000000000006</v>
      </c>
      <c r="H30" s="281">
        <v>9.2703000000000007</v>
      </c>
      <c r="I30" s="281">
        <f>G30-H30</f>
        <v>0.16999999999999993</v>
      </c>
      <c r="J30" s="280">
        <f t="shared" si="1"/>
        <v>3.330000000000008E-2</v>
      </c>
      <c r="K30" s="282">
        <f t="shared" si="2"/>
        <v>16.379734382685722</v>
      </c>
      <c r="L30">
        <v>12</v>
      </c>
      <c r="M30" s="283">
        <v>43374</v>
      </c>
      <c r="N30" s="283">
        <v>43375</v>
      </c>
      <c r="O30" s="280" t="s">
        <v>3707</v>
      </c>
      <c r="R30" s="282"/>
    </row>
    <row r="31" spans="1:18">
      <c r="A31" t="s">
        <v>1912</v>
      </c>
      <c r="C31" t="s">
        <v>3642</v>
      </c>
      <c r="D31">
        <v>1.6281000000000001</v>
      </c>
      <c r="E31">
        <v>7.3170999999999999</v>
      </c>
      <c r="F31">
        <v>0.20860000000000001</v>
      </c>
      <c r="G31" s="281">
        <f t="shared" si="0"/>
        <v>7.5256999999999996</v>
      </c>
      <c r="H31" s="281">
        <v>7.3278999999999996</v>
      </c>
      <c r="I31" s="281">
        <f>(G31-H31)</f>
        <v>0.19779999999999998</v>
      </c>
      <c r="J31" s="280">
        <f t="shared" si="1"/>
        <v>1.0800000000000032E-2</v>
      </c>
      <c r="K31" s="282">
        <f t="shared" si="2"/>
        <v>5.177372962607877</v>
      </c>
      <c r="L31">
        <v>6</v>
      </c>
      <c r="M31" s="283">
        <v>43355.625</v>
      </c>
      <c r="N31" s="283">
        <v>43355.791666666664</v>
      </c>
      <c r="O31" s="280" t="s">
        <v>3637</v>
      </c>
      <c r="R31" s="282"/>
    </row>
    <row r="32" spans="1:18">
      <c r="A32" t="s">
        <v>1911</v>
      </c>
      <c r="C32" t="s">
        <v>3661</v>
      </c>
      <c r="D32">
        <v>1.6859</v>
      </c>
      <c r="E32">
        <v>8.3545999999999996</v>
      </c>
      <c r="F32">
        <v>0.24260000000000001</v>
      </c>
      <c r="G32" s="281">
        <f t="shared" si="0"/>
        <v>8.5971999999999991</v>
      </c>
      <c r="H32" s="281">
        <v>8.3691999999999993</v>
      </c>
      <c r="I32" s="281">
        <f>(G32-H32)</f>
        <v>0.22799999999999976</v>
      </c>
      <c r="J32" s="280">
        <f t="shared" si="1"/>
        <v>1.4600000000000252E-2</v>
      </c>
      <c r="K32" s="282">
        <f t="shared" si="2"/>
        <v>6.0181368507832858</v>
      </c>
      <c r="L32">
        <v>26</v>
      </c>
      <c r="M32" s="283">
        <v>43360</v>
      </c>
      <c r="N32" s="283">
        <v>43361</v>
      </c>
      <c r="R32" s="282"/>
    </row>
    <row r="33" spans="1:18">
      <c r="A33" t="s">
        <v>1910</v>
      </c>
      <c r="B33">
        <v>208</v>
      </c>
      <c r="D33">
        <v>0.57820000000000005</v>
      </c>
      <c r="E33">
        <v>8.4451000000000001</v>
      </c>
      <c r="F33">
        <v>0.20499999999999999</v>
      </c>
      <c r="G33" s="281">
        <f t="shared" si="0"/>
        <v>8.6501000000000001</v>
      </c>
      <c r="H33" s="281">
        <v>8.4872999999999994</v>
      </c>
      <c r="I33" s="281">
        <f t="shared" ref="I33:I46" si="3">G33-H33</f>
        <v>0.16280000000000072</v>
      </c>
      <c r="J33" s="280">
        <f t="shared" si="1"/>
        <v>4.2199999999999266E-2</v>
      </c>
      <c r="K33" s="282">
        <f t="shared" si="2"/>
        <v>20.585365853658182</v>
      </c>
      <c r="L33">
        <v>30</v>
      </c>
      <c r="M33" s="16">
        <v>43388</v>
      </c>
      <c r="N33" s="283">
        <v>43389</v>
      </c>
      <c r="O33" s="16"/>
      <c r="R33" s="282"/>
    </row>
    <row r="34" spans="1:18">
      <c r="A34" t="s">
        <v>1909</v>
      </c>
      <c r="C34" t="s">
        <v>3400</v>
      </c>
      <c r="D34">
        <v>0.48530000000000001</v>
      </c>
      <c r="E34">
        <v>9.2226999999999997</v>
      </c>
      <c r="F34">
        <v>0.20430000000000001</v>
      </c>
      <c r="G34" s="281">
        <f t="shared" ref="G34:G65" si="4">E34+F34</f>
        <v>9.4269999999999996</v>
      </c>
      <c r="H34" s="281">
        <v>9.2571999999999992</v>
      </c>
      <c r="I34" s="281">
        <f t="shared" si="3"/>
        <v>0.1698000000000004</v>
      </c>
      <c r="J34" s="280">
        <f t="shared" ref="J34:J65" si="5">F34-I34</f>
        <v>3.4499999999999614E-2</v>
      </c>
      <c r="K34" s="282">
        <f t="shared" ref="K34:K65" si="6">(J34/F34)*100</f>
        <v>16.886930983847094</v>
      </c>
      <c r="L34">
        <v>32</v>
      </c>
      <c r="M34">
        <v>23.101800000000001</v>
      </c>
      <c r="N34" s="16">
        <v>43397</v>
      </c>
      <c r="R34" s="282"/>
    </row>
    <row r="35" spans="1:18">
      <c r="A35" t="s">
        <v>1907</v>
      </c>
      <c r="B35">
        <v>213</v>
      </c>
      <c r="D35">
        <v>0.3967</v>
      </c>
      <c r="E35">
        <v>10.5123</v>
      </c>
      <c r="F35">
        <v>0.20039999999999999</v>
      </c>
      <c r="G35" s="281">
        <f t="shared" si="4"/>
        <v>10.7127</v>
      </c>
      <c r="H35" s="281">
        <v>10.550700000000001</v>
      </c>
      <c r="I35" s="281">
        <f t="shared" si="3"/>
        <v>0.16199999999999903</v>
      </c>
      <c r="J35" s="280">
        <f t="shared" si="5"/>
        <v>3.8400000000000961E-2</v>
      </c>
      <c r="K35" s="282">
        <f t="shared" si="6"/>
        <v>19.161676646707068</v>
      </c>
      <c r="L35">
        <v>16</v>
      </c>
      <c r="M35" s="16">
        <v>43395</v>
      </c>
      <c r="N35" s="16">
        <v>43396</v>
      </c>
      <c r="R35" s="282"/>
    </row>
    <row r="36" spans="1:18">
      <c r="A36" t="s">
        <v>1906</v>
      </c>
      <c r="C36" t="s">
        <v>3454</v>
      </c>
      <c r="D36" s="280">
        <v>0.45729999999999998</v>
      </c>
      <c r="E36" s="281">
        <v>8.1690000000000005</v>
      </c>
      <c r="F36" s="281">
        <v>0.20030000000000001</v>
      </c>
      <c r="G36" s="281">
        <f t="shared" si="4"/>
        <v>8.3693000000000008</v>
      </c>
      <c r="H36" s="281">
        <v>8.2138000000000009</v>
      </c>
      <c r="I36" s="281">
        <f t="shared" si="3"/>
        <v>0.15549999999999997</v>
      </c>
      <c r="J36" s="280">
        <f t="shared" si="5"/>
        <v>4.4800000000000034E-2</v>
      </c>
      <c r="K36" s="282">
        <f t="shared" si="6"/>
        <v>22.366450324513245</v>
      </c>
      <c r="L36" s="280">
        <v>1</v>
      </c>
      <c r="M36" s="283">
        <v>43374</v>
      </c>
      <c r="N36" s="283">
        <v>43375</v>
      </c>
      <c r="O36" s="280" t="s">
        <v>3707</v>
      </c>
      <c r="P36" s="280"/>
      <c r="R36" s="282"/>
    </row>
    <row r="37" spans="1:18">
      <c r="A37" t="s">
        <v>1905</v>
      </c>
      <c r="C37" t="s">
        <v>3660</v>
      </c>
      <c r="D37">
        <v>0.89710000000000001</v>
      </c>
      <c r="E37">
        <v>10.0761</v>
      </c>
      <c r="F37">
        <v>0.2218</v>
      </c>
      <c r="G37" s="281">
        <f t="shared" si="4"/>
        <v>10.2979</v>
      </c>
      <c r="H37" s="281">
        <v>10.1014</v>
      </c>
      <c r="I37" s="281">
        <f t="shared" si="3"/>
        <v>0.19650000000000034</v>
      </c>
      <c r="J37" s="280">
        <f t="shared" si="5"/>
        <v>2.5299999999999656E-2</v>
      </c>
      <c r="K37" s="282">
        <f t="shared" si="6"/>
        <v>11.406672678088214</v>
      </c>
      <c r="L37">
        <v>26</v>
      </c>
      <c r="M37" s="283">
        <v>43363</v>
      </c>
      <c r="N37" s="283">
        <v>43364</v>
      </c>
      <c r="R37" s="282"/>
    </row>
    <row r="38" spans="1:18">
      <c r="A38" t="s">
        <v>1904</v>
      </c>
      <c r="C38" t="s">
        <v>3451</v>
      </c>
      <c r="D38">
        <v>0.76780000000000004</v>
      </c>
      <c r="E38">
        <v>8.7037999999999993</v>
      </c>
      <c r="F38">
        <v>0.22570000000000001</v>
      </c>
      <c r="G38">
        <f t="shared" si="4"/>
        <v>8.9294999999999991</v>
      </c>
      <c r="H38">
        <v>8.7919</v>
      </c>
      <c r="I38">
        <f t="shared" si="3"/>
        <v>0.13759999999999906</v>
      </c>
      <c r="J38" s="280">
        <f t="shared" si="5"/>
        <v>8.8100000000000955E-2</v>
      </c>
      <c r="K38" s="282">
        <f t="shared" si="6"/>
        <v>39.03411608329683</v>
      </c>
      <c r="M38" s="16">
        <v>43399</v>
      </c>
      <c r="N38" s="16">
        <v>43400</v>
      </c>
      <c r="P38" t="s">
        <v>3685</v>
      </c>
      <c r="R38" s="282"/>
    </row>
    <row r="39" spans="1:18">
      <c r="A39" t="s">
        <v>1903</v>
      </c>
      <c r="B39">
        <v>202</v>
      </c>
      <c r="C39" t="s">
        <v>2490</v>
      </c>
      <c r="D39">
        <v>0.53639999999999999</v>
      </c>
      <c r="E39">
        <v>10.922000000000001</v>
      </c>
      <c r="F39">
        <v>0.2041</v>
      </c>
      <c r="G39">
        <f t="shared" si="4"/>
        <v>11.126100000000001</v>
      </c>
      <c r="H39">
        <v>10.9625</v>
      </c>
      <c r="I39" s="281">
        <f t="shared" si="3"/>
        <v>0.16360000000000063</v>
      </c>
      <c r="J39" s="280">
        <f t="shared" si="5"/>
        <v>4.049999999999937E-2</v>
      </c>
      <c r="K39" s="282">
        <f t="shared" si="6"/>
        <v>19.843214110729726</v>
      </c>
      <c r="L39">
        <v>17</v>
      </c>
      <c r="M39" s="16">
        <v>43402</v>
      </c>
      <c r="N39" s="16">
        <v>43403</v>
      </c>
      <c r="R39" s="282"/>
    </row>
    <row r="40" spans="1:18">
      <c r="A40" t="s">
        <v>1902</v>
      </c>
      <c r="B40">
        <v>194</v>
      </c>
      <c r="D40">
        <v>0.27379999999999999</v>
      </c>
      <c r="E40">
        <v>9.0533000000000001</v>
      </c>
      <c r="F40">
        <v>0.20649999999999999</v>
      </c>
      <c r="G40" s="281">
        <f t="shared" si="4"/>
        <v>9.2598000000000003</v>
      </c>
      <c r="H40" s="281">
        <v>9.0852000000000004</v>
      </c>
      <c r="I40" s="281">
        <f t="shared" si="3"/>
        <v>0.17459999999999987</v>
      </c>
      <c r="J40" s="280">
        <f t="shared" si="5"/>
        <v>3.1900000000000123E-2</v>
      </c>
      <c r="K40" s="282">
        <f t="shared" si="6"/>
        <v>15.447941888619916</v>
      </c>
      <c r="L40">
        <v>22</v>
      </c>
      <c r="M40" s="16">
        <v>43388</v>
      </c>
      <c r="N40" s="283">
        <v>43389</v>
      </c>
      <c r="O40" s="16"/>
      <c r="P40" t="s">
        <v>3756</v>
      </c>
      <c r="R40" s="282"/>
    </row>
    <row r="41" spans="1:18">
      <c r="A41" t="s">
        <v>1901</v>
      </c>
      <c r="C41" t="s">
        <v>3404</v>
      </c>
      <c r="D41">
        <v>0.57299999999999995</v>
      </c>
      <c r="E41">
        <v>11.0909</v>
      </c>
      <c r="F41">
        <v>0.2011</v>
      </c>
      <c r="G41">
        <f t="shared" si="4"/>
        <v>11.292</v>
      </c>
      <c r="H41">
        <v>11.129200000000001</v>
      </c>
      <c r="I41" s="281">
        <f t="shared" si="3"/>
        <v>0.16279999999999895</v>
      </c>
      <c r="J41" s="280">
        <f t="shared" si="5"/>
        <v>3.8300000000001055E-2</v>
      </c>
      <c r="K41" s="282">
        <f t="shared" si="6"/>
        <v>19.04525111884687</v>
      </c>
      <c r="L41">
        <v>39</v>
      </c>
      <c r="M41" s="16">
        <v>43399</v>
      </c>
      <c r="N41" s="16">
        <v>43400</v>
      </c>
      <c r="R41" s="282"/>
    </row>
    <row r="42" spans="1:18">
      <c r="A42" t="s">
        <v>2035</v>
      </c>
      <c r="C42" t="s">
        <v>3468</v>
      </c>
      <c r="D42">
        <v>1.5294000000000001</v>
      </c>
      <c r="E42">
        <v>10.1083</v>
      </c>
      <c r="F42">
        <v>0.2006</v>
      </c>
      <c r="G42" s="281">
        <f t="shared" si="4"/>
        <v>10.3089</v>
      </c>
      <c r="H42" s="281">
        <v>10.122299999999999</v>
      </c>
      <c r="I42" s="281">
        <f t="shared" si="3"/>
        <v>0.18660000000000032</v>
      </c>
      <c r="J42" s="280">
        <f t="shared" si="5"/>
        <v>1.3999999999999679E-2</v>
      </c>
      <c r="K42" s="282">
        <f t="shared" si="6"/>
        <v>6.9790628115651439</v>
      </c>
      <c r="L42">
        <v>10</v>
      </c>
      <c r="M42" s="283">
        <v>43363</v>
      </c>
      <c r="N42" s="283">
        <v>43364</v>
      </c>
      <c r="O42" s="280"/>
      <c r="R42" s="282"/>
    </row>
    <row r="43" spans="1:18">
      <c r="A43" t="s">
        <v>1898</v>
      </c>
      <c r="C43" t="s">
        <v>3689</v>
      </c>
      <c r="D43">
        <v>1.7141999999999999</v>
      </c>
      <c r="E43">
        <v>11.0246</v>
      </c>
      <c r="F43">
        <v>0.2218</v>
      </c>
      <c r="G43" s="281">
        <f t="shared" si="4"/>
        <v>11.2464</v>
      </c>
      <c r="H43" s="281">
        <v>11.036899999999999</v>
      </c>
      <c r="I43" s="281">
        <f t="shared" si="3"/>
        <v>0.20950000000000024</v>
      </c>
      <c r="J43" s="280">
        <f t="shared" si="5"/>
        <v>1.2299999999999756E-2</v>
      </c>
      <c r="K43" s="282">
        <f t="shared" si="6"/>
        <v>5.545536519386725</v>
      </c>
      <c r="L43">
        <v>22</v>
      </c>
      <c r="M43" s="16">
        <v>43399</v>
      </c>
      <c r="N43" s="16">
        <v>43400</v>
      </c>
      <c r="R43" s="282"/>
    </row>
    <row r="44" spans="1:18">
      <c r="A44" t="s">
        <v>1897</v>
      </c>
      <c r="C44" t="s">
        <v>3470</v>
      </c>
      <c r="D44">
        <v>0.67800000000000005</v>
      </c>
      <c r="E44">
        <v>7.6650999999999998</v>
      </c>
      <c r="F44">
        <v>0.20669999999999999</v>
      </c>
      <c r="G44" s="281">
        <f t="shared" si="4"/>
        <v>7.8717999999999995</v>
      </c>
      <c r="H44" s="281">
        <v>7.8121999999999998</v>
      </c>
      <c r="I44" s="281">
        <f t="shared" si="3"/>
        <v>5.9599999999999653E-2</v>
      </c>
      <c r="J44" s="280">
        <f t="shared" si="5"/>
        <v>0.14710000000000034</v>
      </c>
      <c r="K44" s="282">
        <f t="shared" si="6"/>
        <v>71.165940977261897</v>
      </c>
      <c r="L44">
        <v>22</v>
      </c>
      <c r="M44" s="283">
        <v>43363</v>
      </c>
      <c r="N44" s="283">
        <v>43364</v>
      </c>
      <c r="O44" s="280" t="s">
        <v>3732</v>
      </c>
      <c r="R44" s="282"/>
    </row>
    <row r="45" spans="1:18">
      <c r="A45" t="s">
        <v>1895</v>
      </c>
      <c r="C45" t="s">
        <v>3413</v>
      </c>
      <c r="D45">
        <v>0.60899999999999999</v>
      </c>
      <c r="E45">
        <v>10.2729</v>
      </c>
      <c r="F45">
        <v>0.20849999999999999</v>
      </c>
      <c r="G45" s="281">
        <f t="shared" si="4"/>
        <v>10.481400000000001</v>
      </c>
      <c r="H45" s="281">
        <v>10.3217</v>
      </c>
      <c r="I45" s="281">
        <f t="shared" si="3"/>
        <v>0.15970000000000084</v>
      </c>
      <c r="J45" s="280">
        <f t="shared" si="5"/>
        <v>4.879999999999915E-2</v>
      </c>
      <c r="K45" s="282">
        <f t="shared" si="6"/>
        <v>23.40527577937609</v>
      </c>
      <c r="L45">
        <v>17</v>
      </c>
      <c r="M45" s="16">
        <v>43399</v>
      </c>
      <c r="N45" s="16">
        <v>43400</v>
      </c>
      <c r="R45" s="282"/>
    </row>
    <row r="46" spans="1:18">
      <c r="A46" t="s">
        <v>1894</v>
      </c>
      <c r="C46" t="s">
        <v>3729</v>
      </c>
      <c r="D46">
        <v>1.6411</v>
      </c>
      <c r="E46">
        <v>10.418200000000001</v>
      </c>
      <c r="F46">
        <v>0.21490000000000001</v>
      </c>
      <c r="G46" s="281">
        <f t="shared" si="4"/>
        <v>10.633100000000001</v>
      </c>
      <c r="H46" s="281">
        <v>10.430999999999999</v>
      </c>
      <c r="I46" s="281">
        <f t="shared" si="3"/>
        <v>0.2021000000000015</v>
      </c>
      <c r="J46" s="280">
        <f t="shared" si="5"/>
        <v>1.2799999999998507E-2</v>
      </c>
      <c r="K46" s="282">
        <f t="shared" si="6"/>
        <v>5.9562587249876717</v>
      </c>
      <c r="L46">
        <v>16</v>
      </c>
      <c r="M46" s="16">
        <v>43388</v>
      </c>
      <c r="N46" s="283">
        <v>43389</v>
      </c>
      <c r="O46" s="283"/>
      <c r="P46" s="280"/>
      <c r="R46" s="282"/>
    </row>
    <row r="47" spans="1:18">
      <c r="A47" t="s">
        <v>1893</v>
      </c>
      <c r="C47" t="s">
        <v>3647</v>
      </c>
      <c r="D47">
        <v>1.6581999999999999</v>
      </c>
      <c r="E47">
        <v>10.5092</v>
      </c>
      <c r="F47">
        <v>0.20150000000000001</v>
      </c>
      <c r="G47" s="281">
        <f t="shared" si="4"/>
        <v>10.710699999999999</v>
      </c>
      <c r="H47" s="281">
        <v>10.5219</v>
      </c>
      <c r="I47" s="281">
        <f>(G47-H47)</f>
        <v>0.18879999999999875</v>
      </c>
      <c r="J47" s="280">
        <f t="shared" si="5"/>
        <v>1.2700000000001266E-2</v>
      </c>
      <c r="K47" s="282">
        <f t="shared" si="6"/>
        <v>6.3027295285366076</v>
      </c>
      <c r="L47">
        <v>37</v>
      </c>
      <c r="M47" s="16">
        <v>43358</v>
      </c>
      <c r="N47" s="16">
        <v>43358</v>
      </c>
      <c r="R47" s="282"/>
    </row>
    <row r="48" spans="1:18">
      <c r="A48" t="s">
        <v>1892</v>
      </c>
      <c r="B48">
        <v>200</v>
      </c>
      <c r="C48" t="s">
        <v>2490</v>
      </c>
      <c r="D48">
        <v>0.53959999999999997</v>
      </c>
      <c r="E48">
        <v>8.1367999999999991</v>
      </c>
      <c r="F48">
        <v>0.2099</v>
      </c>
      <c r="G48" s="281">
        <f t="shared" si="4"/>
        <v>8.3466999999999985</v>
      </c>
      <c r="H48" s="281">
        <v>8.1814999999999998</v>
      </c>
      <c r="I48" s="281">
        <f>G48-H48</f>
        <v>0.16519999999999868</v>
      </c>
      <c r="J48" s="280">
        <f t="shared" si="5"/>
        <v>4.4700000000001322E-2</v>
      </c>
      <c r="K48" s="282">
        <f t="shared" si="6"/>
        <v>21.295855169128785</v>
      </c>
      <c r="L48">
        <v>42</v>
      </c>
      <c r="M48" s="16">
        <v>43395</v>
      </c>
      <c r="N48" s="16">
        <v>43396</v>
      </c>
      <c r="R48" s="282"/>
    </row>
    <row r="49" spans="1:18">
      <c r="A49" t="s">
        <v>1891</v>
      </c>
      <c r="C49" t="s">
        <v>3670</v>
      </c>
      <c r="D49">
        <v>0.58809999999999996</v>
      </c>
      <c r="E49">
        <v>7.8015999999999996</v>
      </c>
      <c r="F49">
        <v>0.21840000000000001</v>
      </c>
      <c r="G49" s="281">
        <f t="shared" si="4"/>
        <v>8.02</v>
      </c>
      <c r="H49" s="281">
        <v>7.8402000000000003</v>
      </c>
      <c r="I49" s="281">
        <f>(G49-H49)</f>
        <v>0.17979999999999929</v>
      </c>
      <c r="J49" s="280">
        <f t="shared" si="5"/>
        <v>3.8600000000000717E-2</v>
      </c>
      <c r="K49" s="282">
        <f t="shared" si="6"/>
        <v>17.673992673993002</v>
      </c>
      <c r="L49">
        <v>28</v>
      </c>
      <c r="M49" s="283">
        <v>43360</v>
      </c>
      <c r="N49" s="283">
        <v>43361</v>
      </c>
      <c r="R49" s="282"/>
    </row>
    <row r="50" spans="1:18">
      <c r="A50" t="s">
        <v>1889</v>
      </c>
      <c r="C50" t="s">
        <v>3478</v>
      </c>
      <c r="D50">
        <v>1.5247999999999999</v>
      </c>
      <c r="E50">
        <v>7.0930999999999997</v>
      </c>
      <c r="F50">
        <v>0.20499999999999999</v>
      </c>
      <c r="G50" s="281">
        <f t="shared" si="4"/>
        <v>7.2980999999999998</v>
      </c>
      <c r="H50" s="281">
        <v>7.1116999999999999</v>
      </c>
      <c r="I50" s="281">
        <f t="shared" ref="I50:I60" si="7">G50-H50</f>
        <v>0.1863999999999999</v>
      </c>
      <c r="J50" s="280">
        <f t="shared" si="5"/>
        <v>1.8600000000000089E-2</v>
      </c>
      <c r="K50" s="282">
        <f t="shared" si="6"/>
        <v>9.0731707317073607</v>
      </c>
      <c r="L50">
        <v>35</v>
      </c>
      <c r="M50" s="283">
        <v>43363</v>
      </c>
      <c r="N50" s="283">
        <v>43364</v>
      </c>
      <c r="R50" s="282"/>
    </row>
    <row r="51" spans="1:18">
      <c r="A51" t="s">
        <v>1888</v>
      </c>
      <c r="C51" t="s">
        <v>3736</v>
      </c>
      <c r="D51">
        <v>1.2806</v>
      </c>
      <c r="E51">
        <v>10.511799999999999</v>
      </c>
      <c r="F51">
        <v>0.2288</v>
      </c>
      <c r="G51" s="281">
        <f t="shared" si="4"/>
        <v>10.740599999999999</v>
      </c>
      <c r="H51" s="281">
        <v>10.539199999999999</v>
      </c>
      <c r="I51" s="281">
        <f t="shared" si="7"/>
        <v>0.20139999999999958</v>
      </c>
      <c r="J51" s="280">
        <f t="shared" si="5"/>
        <v>2.7400000000000424E-2</v>
      </c>
      <c r="K51" s="282">
        <f t="shared" si="6"/>
        <v>11.975524475524661</v>
      </c>
      <c r="L51">
        <v>23</v>
      </c>
      <c r="M51" s="283">
        <v>43363</v>
      </c>
      <c r="N51" s="283">
        <v>43364</v>
      </c>
      <c r="O51" s="280" t="s">
        <v>3732</v>
      </c>
      <c r="R51" s="282"/>
    </row>
    <row r="52" spans="1:18">
      <c r="A52" t="s">
        <v>1884</v>
      </c>
      <c r="C52" t="s">
        <v>3722</v>
      </c>
      <c r="D52">
        <v>1.7110000000000001</v>
      </c>
      <c r="E52">
        <v>7.9946000000000002</v>
      </c>
      <c r="F52">
        <v>0.2059</v>
      </c>
      <c r="G52" s="281">
        <f t="shared" si="4"/>
        <v>8.2004999999999999</v>
      </c>
      <c r="H52" s="281">
        <v>8.0063999999999993</v>
      </c>
      <c r="I52" s="281">
        <f t="shared" si="7"/>
        <v>0.19410000000000061</v>
      </c>
      <c r="J52" s="280">
        <f t="shared" si="5"/>
        <v>1.1799999999999394E-2</v>
      </c>
      <c r="K52" s="282">
        <f t="shared" si="6"/>
        <v>5.730937348227001</v>
      </c>
      <c r="L52">
        <v>5</v>
      </c>
      <c r="M52" s="16">
        <v>43399</v>
      </c>
      <c r="N52" s="16">
        <v>43400</v>
      </c>
      <c r="R52" s="282"/>
    </row>
    <row r="53" spans="1:18">
      <c r="A53" t="s">
        <v>1883</v>
      </c>
      <c r="C53" t="s">
        <v>3696</v>
      </c>
      <c r="D53">
        <v>0.79720000000000002</v>
      </c>
      <c r="E53">
        <v>9.2212999999999994</v>
      </c>
      <c r="F53">
        <v>0.22459999999999999</v>
      </c>
      <c r="G53" s="281">
        <f t="shared" si="4"/>
        <v>9.4459</v>
      </c>
      <c r="H53" s="281">
        <v>9.2627000000000006</v>
      </c>
      <c r="I53" s="281">
        <f t="shared" si="7"/>
        <v>0.18319999999999936</v>
      </c>
      <c r="J53" s="280">
        <f t="shared" si="5"/>
        <v>4.1400000000000631E-2</v>
      </c>
      <c r="K53" s="282">
        <f t="shared" si="6"/>
        <v>18.432769367765196</v>
      </c>
      <c r="L53">
        <v>18</v>
      </c>
      <c r="M53" s="283">
        <v>43374</v>
      </c>
      <c r="N53" s="283">
        <v>43375</v>
      </c>
      <c r="O53" s="280" t="s">
        <v>3707</v>
      </c>
      <c r="R53" s="282"/>
    </row>
    <row r="54" spans="1:18">
      <c r="A54" t="s">
        <v>1882</v>
      </c>
      <c r="B54">
        <v>203</v>
      </c>
      <c r="C54" t="s">
        <v>2490</v>
      </c>
      <c r="D54">
        <v>0.55449999999999999</v>
      </c>
      <c r="E54">
        <v>7.5293999999999999</v>
      </c>
      <c r="F54">
        <v>0.2059</v>
      </c>
      <c r="G54">
        <f t="shared" si="4"/>
        <v>7.7352999999999996</v>
      </c>
      <c r="H54">
        <v>7.5590999999999999</v>
      </c>
      <c r="I54" s="281">
        <f t="shared" si="7"/>
        <v>0.17619999999999969</v>
      </c>
      <c r="J54" s="280">
        <f t="shared" si="5"/>
        <v>2.9700000000000309E-2</v>
      </c>
      <c r="K54" s="282">
        <f t="shared" si="6"/>
        <v>14.424477901894273</v>
      </c>
      <c r="L54">
        <v>18</v>
      </c>
      <c r="M54" s="16">
        <v>43402</v>
      </c>
      <c r="N54" s="16">
        <v>43403</v>
      </c>
      <c r="R54" s="282"/>
    </row>
    <row r="55" spans="1:18">
      <c r="A55" t="s">
        <v>1881</v>
      </c>
      <c r="B55">
        <v>211</v>
      </c>
      <c r="C55" t="s">
        <v>2490</v>
      </c>
      <c r="D55">
        <v>0.54249999999999998</v>
      </c>
      <c r="E55">
        <v>11.444000000000001</v>
      </c>
      <c r="F55">
        <v>0.20030000000000001</v>
      </c>
      <c r="G55" s="281">
        <f t="shared" si="4"/>
        <v>11.644300000000001</v>
      </c>
      <c r="H55" s="281">
        <v>11.4878</v>
      </c>
      <c r="I55" s="281">
        <f t="shared" si="7"/>
        <v>0.15650000000000119</v>
      </c>
      <c r="J55" s="280">
        <f t="shared" si="5"/>
        <v>4.3799999999998812E-2</v>
      </c>
      <c r="K55" s="282">
        <f t="shared" si="6"/>
        <v>21.867199201197611</v>
      </c>
      <c r="L55">
        <v>21</v>
      </c>
      <c r="M55" s="16">
        <v>43399</v>
      </c>
      <c r="N55" s="16">
        <v>43400</v>
      </c>
      <c r="R55" s="282"/>
    </row>
    <row r="56" spans="1:18">
      <c r="A56" t="s">
        <v>2033</v>
      </c>
      <c r="C56" t="s">
        <v>3410</v>
      </c>
      <c r="D56">
        <v>0.56720000000000004</v>
      </c>
      <c r="E56">
        <v>7.3182</v>
      </c>
      <c r="F56">
        <v>0.20519999999999999</v>
      </c>
      <c r="G56" s="285">
        <f t="shared" si="4"/>
        <v>7.5233999999999996</v>
      </c>
      <c r="H56" s="281">
        <v>7.3620000000000001</v>
      </c>
      <c r="I56" s="285">
        <f t="shared" si="7"/>
        <v>0.16139999999999954</v>
      </c>
      <c r="J56" s="280">
        <f t="shared" si="5"/>
        <v>4.380000000000045E-2</v>
      </c>
      <c r="K56" s="282">
        <f t="shared" si="6"/>
        <v>21.345029239766301</v>
      </c>
      <c r="L56">
        <v>30</v>
      </c>
      <c r="M56" s="283">
        <v>43379</v>
      </c>
      <c r="N56" s="283">
        <v>43379</v>
      </c>
      <c r="R56" s="282"/>
    </row>
    <row r="57" spans="1:18">
      <c r="A57" t="s">
        <v>1880</v>
      </c>
      <c r="B57">
        <v>218</v>
      </c>
      <c r="D57">
        <v>0.49509999999999998</v>
      </c>
      <c r="E57">
        <v>9.6803000000000008</v>
      </c>
      <c r="F57">
        <v>0.2137</v>
      </c>
      <c r="G57" s="281">
        <f t="shared" si="4"/>
        <v>9.8940000000000001</v>
      </c>
      <c r="H57" s="281">
        <v>9.7294999999999998</v>
      </c>
      <c r="I57" s="281">
        <f t="shared" si="7"/>
        <v>0.16450000000000031</v>
      </c>
      <c r="J57" s="280">
        <f t="shared" si="5"/>
        <v>4.9199999999999688E-2</v>
      </c>
      <c r="K57" s="282">
        <f t="shared" si="6"/>
        <v>23.022929340196391</v>
      </c>
      <c r="L57">
        <v>14</v>
      </c>
      <c r="M57" s="16">
        <v>43395</v>
      </c>
      <c r="N57" s="16">
        <v>43396</v>
      </c>
      <c r="R57" s="282"/>
    </row>
    <row r="58" spans="1:18">
      <c r="A58" t="s">
        <v>1879</v>
      </c>
      <c r="C58" t="s">
        <v>3449</v>
      </c>
      <c r="D58">
        <v>0.57020000000000004</v>
      </c>
      <c r="E58">
        <v>7.4804000000000004</v>
      </c>
      <c r="F58">
        <v>0.2079</v>
      </c>
      <c r="G58" s="281">
        <f t="shared" si="4"/>
        <v>7.6883000000000008</v>
      </c>
      <c r="H58" s="281">
        <v>7.5321999999999996</v>
      </c>
      <c r="I58" s="281">
        <f t="shared" si="7"/>
        <v>0.15610000000000124</v>
      </c>
      <c r="J58" s="280">
        <f t="shared" si="5"/>
        <v>5.1799999999998764E-2</v>
      </c>
      <c r="K58" s="282">
        <f t="shared" si="6"/>
        <v>24.915824915824324</v>
      </c>
      <c r="L58">
        <v>5</v>
      </c>
      <c r="M58">
        <v>23.101800000000001</v>
      </c>
      <c r="N58" s="16">
        <v>43397</v>
      </c>
      <c r="R58" s="282"/>
    </row>
    <row r="59" spans="1:18">
      <c r="A59" t="s">
        <v>1878</v>
      </c>
      <c r="C59" t="s">
        <v>3664</v>
      </c>
      <c r="D59">
        <v>1.6617999999999999</v>
      </c>
      <c r="E59">
        <v>10.6196</v>
      </c>
      <c r="F59">
        <v>0.23619999999999999</v>
      </c>
      <c r="G59" s="281">
        <f t="shared" si="4"/>
        <v>10.8558</v>
      </c>
      <c r="H59" s="281">
        <v>10.632899999999999</v>
      </c>
      <c r="I59" s="281">
        <f t="shared" si="7"/>
        <v>0.22290000000000099</v>
      </c>
      <c r="J59" s="280">
        <f t="shared" si="5"/>
        <v>1.3299999999999007E-2</v>
      </c>
      <c r="K59" s="282">
        <f t="shared" si="6"/>
        <v>5.6308213378488601</v>
      </c>
      <c r="L59">
        <v>20</v>
      </c>
      <c r="M59" s="16">
        <v>43381</v>
      </c>
      <c r="N59" s="16">
        <v>43382</v>
      </c>
      <c r="R59" s="282"/>
    </row>
    <row r="60" spans="1:18">
      <c r="A60" t="s">
        <v>1877</v>
      </c>
      <c r="B60">
        <v>205</v>
      </c>
      <c r="C60" t="s">
        <v>2490</v>
      </c>
      <c r="D60">
        <v>0.63280000000000003</v>
      </c>
      <c r="E60">
        <v>8.8627000000000002</v>
      </c>
      <c r="F60">
        <v>0.217</v>
      </c>
      <c r="G60">
        <f t="shared" si="4"/>
        <v>9.0797000000000008</v>
      </c>
      <c r="H60">
        <v>8.9017999999999997</v>
      </c>
      <c r="I60" s="281">
        <f t="shared" si="7"/>
        <v>0.17790000000000106</v>
      </c>
      <c r="J60" s="280">
        <f t="shared" si="5"/>
        <v>3.9099999999998941E-2</v>
      </c>
      <c r="K60" s="282">
        <f t="shared" si="6"/>
        <v>18.018433179723015</v>
      </c>
      <c r="L60">
        <v>40</v>
      </c>
      <c r="M60" s="16">
        <v>43399</v>
      </c>
      <c r="N60" s="16">
        <v>43400</v>
      </c>
      <c r="R60" s="282"/>
    </row>
    <row r="61" spans="1:18">
      <c r="A61" t="s">
        <v>1876</v>
      </c>
      <c r="C61" t="s">
        <v>3642</v>
      </c>
      <c r="D61">
        <v>1.7222</v>
      </c>
      <c r="E61">
        <v>8.8440999999999992</v>
      </c>
      <c r="F61">
        <v>0.20219999999999999</v>
      </c>
      <c r="G61" s="281">
        <f t="shared" si="4"/>
        <v>9.0462999999999987</v>
      </c>
      <c r="H61" s="281">
        <v>8.8551000000000002</v>
      </c>
      <c r="I61" s="281">
        <f>(G61-H61)</f>
        <v>0.19119999999999848</v>
      </c>
      <c r="J61" s="280">
        <f t="shared" si="5"/>
        <v>1.1000000000001509E-2</v>
      </c>
      <c r="K61" s="282">
        <f t="shared" si="6"/>
        <v>5.4401582591501034</v>
      </c>
      <c r="L61">
        <v>13</v>
      </c>
      <c r="M61" s="283">
        <v>43355.625</v>
      </c>
      <c r="N61" s="283">
        <v>43355.791666666664</v>
      </c>
      <c r="O61" s="280" t="s">
        <v>3637</v>
      </c>
      <c r="R61" s="282"/>
    </row>
    <row r="62" spans="1:18">
      <c r="A62" t="s">
        <v>1875</v>
      </c>
      <c r="C62" t="s">
        <v>3472</v>
      </c>
      <c r="D62">
        <v>1.0085</v>
      </c>
      <c r="E62">
        <v>11.089</v>
      </c>
      <c r="F62">
        <v>0.23849999999999999</v>
      </c>
      <c r="G62" s="281">
        <f t="shared" si="4"/>
        <v>11.327500000000001</v>
      </c>
      <c r="H62" s="281">
        <v>11.142799999999999</v>
      </c>
      <c r="I62" s="281">
        <f t="shared" ref="I62:I71" si="8">G62-H62</f>
        <v>0.1847000000000012</v>
      </c>
      <c r="J62" s="280">
        <f t="shared" si="5"/>
        <v>5.3799999999998793E-2</v>
      </c>
      <c r="K62" s="282">
        <f t="shared" si="6"/>
        <v>22.557651991613749</v>
      </c>
      <c r="L62">
        <v>19</v>
      </c>
      <c r="M62" s="283">
        <v>43363</v>
      </c>
      <c r="N62" s="283">
        <v>43364</v>
      </c>
      <c r="O62" s="280" t="s">
        <v>3732</v>
      </c>
      <c r="R62" s="282"/>
    </row>
    <row r="63" spans="1:18">
      <c r="A63" t="s">
        <v>1874</v>
      </c>
      <c r="C63" t="s">
        <v>3758</v>
      </c>
      <c r="D63">
        <v>1.0862000000000001</v>
      </c>
      <c r="E63">
        <v>11.1609</v>
      </c>
      <c r="F63">
        <v>0.20930000000000001</v>
      </c>
      <c r="G63" s="281">
        <f t="shared" si="4"/>
        <v>11.370200000000001</v>
      </c>
      <c r="H63" s="281">
        <v>11.1906</v>
      </c>
      <c r="I63" s="281">
        <f t="shared" si="8"/>
        <v>0.17960000000000065</v>
      </c>
      <c r="J63" s="280">
        <f t="shared" si="5"/>
        <v>2.9699999999999366E-2</v>
      </c>
      <c r="K63" s="282">
        <f t="shared" si="6"/>
        <v>14.190157668418236</v>
      </c>
      <c r="L63">
        <v>3</v>
      </c>
      <c r="M63" s="16">
        <v>43399</v>
      </c>
      <c r="N63" s="16">
        <v>43400</v>
      </c>
      <c r="R63" s="282"/>
    </row>
    <row r="64" spans="1:18">
      <c r="A64" t="s">
        <v>1871</v>
      </c>
      <c r="B64">
        <v>203</v>
      </c>
      <c r="C64" t="s">
        <v>2490</v>
      </c>
      <c r="D64">
        <v>0.40100000000000002</v>
      </c>
      <c r="E64">
        <v>11.173500000000001</v>
      </c>
      <c r="F64">
        <v>0.20399999999999999</v>
      </c>
      <c r="G64">
        <f t="shared" si="4"/>
        <v>11.377500000000001</v>
      </c>
      <c r="H64">
        <v>11.223599999999999</v>
      </c>
      <c r="I64" s="281">
        <f t="shared" si="8"/>
        <v>0.15390000000000192</v>
      </c>
      <c r="J64" s="280">
        <f t="shared" si="5"/>
        <v>5.0099999999998063E-2</v>
      </c>
      <c r="K64" s="282">
        <f t="shared" si="6"/>
        <v>24.558823529410816</v>
      </c>
      <c r="L64">
        <v>12</v>
      </c>
      <c r="M64" s="16">
        <v>43402</v>
      </c>
      <c r="N64" s="16">
        <v>43403</v>
      </c>
      <c r="R64" s="282"/>
    </row>
    <row r="65" spans="1:18">
      <c r="A65" t="s">
        <v>1869</v>
      </c>
      <c r="B65">
        <v>202</v>
      </c>
      <c r="C65" t="s">
        <v>2490</v>
      </c>
      <c r="D65">
        <v>0.61839999999999995</v>
      </c>
      <c r="E65">
        <v>7.7754000000000003</v>
      </c>
      <c r="F65">
        <v>0.22239999999999999</v>
      </c>
      <c r="G65" s="281">
        <f t="shared" si="4"/>
        <v>7.9978000000000007</v>
      </c>
      <c r="H65" s="281">
        <v>7.8433000000000002</v>
      </c>
      <c r="I65" s="281">
        <f t="shared" si="8"/>
        <v>0.15450000000000053</v>
      </c>
      <c r="J65" s="280">
        <f t="shared" si="5"/>
        <v>6.7899999999999461E-2</v>
      </c>
      <c r="K65" s="282">
        <f t="shared" si="6"/>
        <v>30.530575539568105</v>
      </c>
      <c r="L65">
        <v>36</v>
      </c>
      <c r="M65" s="16">
        <v>43395</v>
      </c>
      <c r="N65" s="16">
        <v>43396</v>
      </c>
      <c r="R65" s="282"/>
    </row>
    <row r="66" spans="1:18">
      <c r="A66" t="s">
        <v>1868</v>
      </c>
      <c r="B66">
        <v>199</v>
      </c>
      <c r="C66" t="s">
        <v>2490</v>
      </c>
      <c r="D66">
        <v>0.43680000000000002</v>
      </c>
      <c r="E66">
        <v>10.126300000000001</v>
      </c>
      <c r="F66">
        <v>0.20269999999999999</v>
      </c>
      <c r="G66">
        <f t="shared" ref="G66:G88" si="9">E66+F66</f>
        <v>10.329000000000001</v>
      </c>
      <c r="H66">
        <v>10.1569</v>
      </c>
      <c r="I66" s="281">
        <f t="shared" si="8"/>
        <v>0.17210000000000036</v>
      </c>
      <c r="J66" s="280">
        <f t="shared" ref="J66:J88" si="10">F66-I66</f>
        <v>3.0599999999999627E-2</v>
      </c>
      <c r="K66" s="282">
        <f t="shared" ref="K66:K88" si="11">(J66/F66)*100</f>
        <v>15.096201282683586</v>
      </c>
      <c r="L66">
        <v>29</v>
      </c>
      <c r="M66" s="16">
        <v>43399</v>
      </c>
      <c r="N66" s="16">
        <v>43400</v>
      </c>
      <c r="R66" s="282"/>
    </row>
    <row r="67" spans="1:18">
      <c r="A67" t="s">
        <v>1867</v>
      </c>
      <c r="C67" t="s">
        <v>3455</v>
      </c>
      <c r="D67">
        <v>0.71299999999999997</v>
      </c>
      <c r="E67">
        <v>10.2034</v>
      </c>
      <c r="F67">
        <v>0.20280000000000001</v>
      </c>
      <c r="G67" s="281">
        <f t="shared" si="9"/>
        <v>10.4062</v>
      </c>
      <c r="H67" s="281">
        <v>10.277200000000001</v>
      </c>
      <c r="I67" s="281">
        <f t="shared" si="8"/>
        <v>0.12899999999999956</v>
      </c>
      <c r="J67" s="280">
        <f t="shared" si="10"/>
        <v>7.3800000000000449E-2</v>
      </c>
      <c r="K67" s="282">
        <f t="shared" si="11"/>
        <v>36.390532544378914</v>
      </c>
      <c r="L67">
        <v>5</v>
      </c>
      <c r="M67" s="283">
        <v>43363</v>
      </c>
      <c r="N67" s="283">
        <v>43364</v>
      </c>
      <c r="O67" s="280" t="s">
        <v>3732</v>
      </c>
      <c r="P67" t="s">
        <v>3733</v>
      </c>
      <c r="R67" s="282"/>
    </row>
    <row r="68" spans="1:18">
      <c r="A68" t="s">
        <v>1866</v>
      </c>
      <c r="C68" t="s">
        <v>3734</v>
      </c>
      <c r="D68">
        <v>0.79810000000000003</v>
      </c>
      <c r="E68">
        <v>10.6745</v>
      </c>
      <c r="F68">
        <v>0.21310000000000001</v>
      </c>
      <c r="G68" s="281">
        <f t="shared" si="9"/>
        <v>10.887600000000001</v>
      </c>
      <c r="H68" s="281">
        <v>10.7004</v>
      </c>
      <c r="I68" s="281">
        <f t="shared" si="8"/>
        <v>0.1872000000000007</v>
      </c>
      <c r="J68" s="280">
        <f t="shared" si="10"/>
        <v>2.5899999999999312E-2</v>
      </c>
      <c r="K68" s="282">
        <f t="shared" si="11"/>
        <v>12.153918348193013</v>
      </c>
      <c r="L68">
        <v>21</v>
      </c>
      <c r="M68" s="283">
        <v>43363</v>
      </c>
      <c r="N68" s="283">
        <v>43364</v>
      </c>
      <c r="R68" s="282"/>
    </row>
    <row r="69" spans="1:18">
      <c r="A69" t="s">
        <v>1865</v>
      </c>
      <c r="C69" t="s">
        <v>3451</v>
      </c>
      <c r="D69">
        <v>0.55979999999999996</v>
      </c>
      <c r="E69">
        <v>10.1454</v>
      </c>
      <c r="F69">
        <v>0.2049</v>
      </c>
      <c r="G69" s="281">
        <f t="shared" si="9"/>
        <v>10.350300000000001</v>
      </c>
      <c r="H69" s="281">
        <v>10.1907</v>
      </c>
      <c r="I69" s="281">
        <f t="shared" si="8"/>
        <v>0.15960000000000107</v>
      </c>
      <c r="J69" s="280">
        <f t="shared" si="10"/>
        <v>4.5299999999998924E-2</v>
      </c>
      <c r="K69" s="282">
        <f t="shared" si="11"/>
        <v>22.108345534406503</v>
      </c>
      <c r="L69">
        <v>30</v>
      </c>
      <c r="M69" s="283">
        <v>43374</v>
      </c>
      <c r="N69" s="283">
        <v>43375</v>
      </c>
      <c r="O69" s="280" t="s">
        <v>3707</v>
      </c>
      <c r="R69" s="282"/>
    </row>
    <row r="70" spans="1:18">
      <c r="A70" t="s">
        <v>1864</v>
      </c>
      <c r="B70">
        <v>200</v>
      </c>
      <c r="C70" t="s">
        <v>2490</v>
      </c>
      <c r="D70">
        <v>0.502</v>
      </c>
      <c r="E70">
        <v>7.4816000000000003</v>
      </c>
      <c r="F70">
        <v>0.23400000000000001</v>
      </c>
      <c r="G70">
        <f t="shared" si="9"/>
        <v>7.7156000000000002</v>
      </c>
      <c r="H70">
        <v>7.5110999999999999</v>
      </c>
      <c r="I70" s="281">
        <f t="shared" si="8"/>
        <v>0.20450000000000035</v>
      </c>
      <c r="J70" s="280">
        <f t="shared" si="10"/>
        <v>2.9499999999999665E-2</v>
      </c>
      <c r="K70" s="282">
        <f t="shared" si="11"/>
        <v>12.606837606837463</v>
      </c>
      <c r="L70">
        <v>24</v>
      </c>
      <c r="M70" s="16">
        <v>43399</v>
      </c>
      <c r="N70" s="16">
        <v>43400</v>
      </c>
      <c r="R70" s="282"/>
    </row>
    <row r="71" spans="1:18">
      <c r="A71" t="s">
        <v>1863</v>
      </c>
      <c r="C71" t="s">
        <v>3758</v>
      </c>
      <c r="D71">
        <v>0.96719999999999995</v>
      </c>
      <c r="E71">
        <v>9.0335000000000001</v>
      </c>
      <c r="F71">
        <v>0.2082</v>
      </c>
      <c r="G71">
        <f t="shared" si="9"/>
        <v>9.2416999999999998</v>
      </c>
      <c r="H71">
        <v>9.0564</v>
      </c>
      <c r="I71" s="281">
        <f t="shared" si="8"/>
        <v>0.1852999999999998</v>
      </c>
      <c r="J71" s="280">
        <f t="shared" si="10"/>
        <v>2.2900000000000198E-2</v>
      </c>
      <c r="K71" s="282">
        <f t="shared" si="11"/>
        <v>10.999039385206627</v>
      </c>
      <c r="L71">
        <v>12</v>
      </c>
      <c r="M71" s="16">
        <v>43399</v>
      </c>
      <c r="N71" s="16">
        <v>43400</v>
      </c>
      <c r="R71" s="282"/>
    </row>
    <row r="72" spans="1:18">
      <c r="A72" t="s">
        <v>1862</v>
      </c>
      <c r="C72" t="s">
        <v>3651</v>
      </c>
      <c r="D72">
        <v>1.6246</v>
      </c>
      <c r="E72">
        <v>8.0631000000000004</v>
      </c>
      <c r="F72">
        <v>0.20319999999999999</v>
      </c>
      <c r="G72" s="281">
        <f t="shared" si="9"/>
        <v>8.2663000000000011</v>
      </c>
      <c r="H72" s="281">
        <v>8.0751000000000008</v>
      </c>
      <c r="I72" s="281">
        <f>(G72-H72)</f>
        <v>0.19120000000000026</v>
      </c>
      <c r="J72" s="280">
        <f t="shared" si="10"/>
        <v>1.1999999999999733E-2</v>
      </c>
      <c r="K72" s="282">
        <f t="shared" si="11"/>
        <v>5.9055118110234908</v>
      </c>
      <c r="L72">
        <v>17</v>
      </c>
      <c r="M72" s="16">
        <v>43358</v>
      </c>
      <c r="N72" s="16">
        <v>43358</v>
      </c>
      <c r="R72" s="282"/>
    </row>
    <row r="73" spans="1:18">
      <c r="A73" t="s">
        <v>1861</v>
      </c>
      <c r="C73" t="s">
        <v>3741</v>
      </c>
      <c r="D73">
        <v>0.57599999999999996</v>
      </c>
      <c r="E73">
        <v>9.8216000000000001</v>
      </c>
      <c r="F73">
        <v>0.20580000000000001</v>
      </c>
      <c r="G73" s="285">
        <f t="shared" si="9"/>
        <v>10.0274</v>
      </c>
      <c r="H73" s="281">
        <v>9.8629999999999995</v>
      </c>
      <c r="I73" s="285">
        <f t="shared" ref="I73:I81" si="12">G73-H73</f>
        <v>0.16440000000000055</v>
      </c>
      <c r="J73" s="280">
        <f t="shared" si="10"/>
        <v>4.1399999999999465E-2</v>
      </c>
      <c r="K73" s="282">
        <f t="shared" si="11"/>
        <v>20.116618075801487</v>
      </c>
      <c r="L73">
        <v>34</v>
      </c>
      <c r="M73" s="283">
        <v>43379</v>
      </c>
      <c r="N73" s="283">
        <v>43379</v>
      </c>
      <c r="R73" s="282"/>
    </row>
    <row r="74" spans="1:18">
      <c r="A74" t="s">
        <v>2031</v>
      </c>
      <c r="C74" t="s">
        <v>3469</v>
      </c>
      <c r="D74">
        <v>0.86140000000000005</v>
      </c>
      <c r="E74">
        <v>7.8017000000000003</v>
      </c>
      <c r="F74">
        <v>0.2054</v>
      </c>
      <c r="G74" s="281">
        <f t="shared" si="9"/>
        <v>8.0070999999999994</v>
      </c>
      <c r="H74" s="281">
        <v>7.8273000000000001</v>
      </c>
      <c r="I74" s="281">
        <f t="shared" si="12"/>
        <v>0.17979999999999929</v>
      </c>
      <c r="J74" s="280">
        <f t="shared" si="10"/>
        <v>2.5600000000000706E-2</v>
      </c>
      <c r="K74" s="282">
        <f t="shared" si="11"/>
        <v>12.463485881207744</v>
      </c>
      <c r="L74">
        <v>11</v>
      </c>
      <c r="M74" s="283">
        <v>43363</v>
      </c>
      <c r="N74" s="283">
        <v>43364</v>
      </c>
      <c r="O74" s="280"/>
      <c r="R74" s="282"/>
    </row>
    <row r="75" spans="1:18">
      <c r="A75" t="s">
        <v>1860</v>
      </c>
      <c r="C75" t="s">
        <v>3720</v>
      </c>
      <c r="D75">
        <v>1.5517000000000001</v>
      </c>
      <c r="E75">
        <v>20.988499999999998</v>
      </c>
      <c r="F75">
        <v>0.2056</v>
      </c>
      <c r="G75" s="281">
        <f t="shared" si="9"/>
        <v>21.194099999999999</v>
      </c>
      <c r="H75" s="281">
        <v>21.000900000000001</v>
      </c>
      <c r="I75" s="281">
        <f t="shared" si="12"/>
        <v>0.19319999999999737</v>
      </c>
      <c r="J75" s="280">
        <f t="shared" si="10"/>
        <v>1.2400000000002631E-2</v>
      </c>
      <c r="K75" s="282">
        <f t="shared" si="11"/>
        <v>6.0311284046705405</v>
      </c>
      <c r="L75">
        <v>10</v>
      </c>
      <c r="M75" s="283">
        <v>43362</v>
      </c>
      <c r="N75" s="283">
        <v>43363</v>
      </c>
      <c r="O75" s="280"/>
      <c r="R75" s="282"/>
    </row>
    <row r="76" spans="1:18">
      <c r="A76" t="s">
        <v>1857</v>
      </c>
      <c r="C76" t="s">
        <v>3731</v>
      </c>
      <c r="D76">
        <v>1.7357</v>
      </c>
      <c r="E76">
        <v>11.1074</v>
      </c>
      <c r="F76">
        <v>0.22459999999999999</v>
      </c>
      <c r="G76" s="281">
        <f t="shared" si="9"/>
        <v>11.332000000000001</v>
      </c>
      <c r="H76" s="281">
        <v>11.122</v>
      </c>
      <c r="I76" s="281">
        <f t="shared" si="12"/>
        <v>0.21000000000000085</v>
      </c>
      <c r="J76" s="280">
        <f t="shared" si="10"/>
        <v>1.4599999999999141E-2</v>
      </c>
      <c r="K76" s="282">
        <f t="shared" si="11"/>
        <v>6.5004452359746852</v>
      </c>
      <c r="L76">
        <v>38</v>
      </c>
      <c r="M76" s="283">
        <v>43362</v>
      </c>
      <c r="N76" s="283">
        <v>43363</v>
      </c>
      <c r="R76" s="282"/>
    </row>
    <row r="77" spans="1:18">
      <c r="A77" t="s">
        <v>1856</v>
      </c>
      <c r="C77" t="s">
        <v>3471</v>
      </c>
      <c r="D77">
        <v>1.4026000000000001</v>
      </c>
      <c r="E77">
        <v>10.795199999999999</v>
      </c>
      <c r="F77">
        <v>0.23599999999999999</v>
      </c>
      <c r="G77" s="281">
        <f t="shared" si="9"/>
        <v>11.0312</v>
      </c>
      <c r="H77" s="281">
        <v>10.811999999999999</v>
      </c>
      <c r="I77" s="281">
        <f t="shared" si="12"/>
        <v>0.21920000000000073</v>
      </c>
      <c r="J77" s="280">
        <f t="shared" si="10"/>
        <v>1.679999999999926E-2</v>
      </c>
      <c r="K77" s="282">
        <f t="shared" si="11"/>
        <v>7.1186440677962963</v>
      </c>
      <c r="L77">
        <v>27</v>
      </c>
      <c r="M77" s="283">
        <v>43374</v>
      </c>
      <c r="N77" s="283">
        <v>43375</v>
      </c>
      <c r="O77" s="280" t="s">
        <v>3707</v>
      </c>
      <c r="R77" s="282"/>
    </row>
    <row r="78" spans="1:18">
      <c r="A78" t="s">
        <v>1854</v>
      </c>
      <c r="B78">
        <v>219</v>
      </c>
      <c r="C78" t="s">
        <v>2490</v>
      </c>
      <c r="D78">
        <v>0.39419999999999999</v>
      </c>
      <c r="E78">
        <v>8.7696000000000005</v>
      </c>
      <c r="F78">
        <v>0.2031</v>
      </c>
      <c r="G78" s="281">
        <f t="shared" si="9"/>
        <v>8.9726999999999997</v>
      </c>
      <c r="H78" s="281">
        <v>8.8156999999999996</v>
      </c>
      <c r="I78" s="281">
        <f t="shared" si="12"/>
        <v>0.15700000000000003</v>
      </c>
      <c r="J78" s="280">
        <f t="shared" si="10"/>
        <v>4.6099999999999974E-2</v>
      </c>
      <c r="K78" s="282">
        <f t="shared" si="11"/>
        <v>22.698178237321503</v>
      </c>
      <c r="L78">
        <v>27</v>
      </c>
      <c r="M78" s="16">
        <v>43395</v>
      </c>
      <c r="N78" s="16">
        <v>43396</v>
      </c>
      <c r="R78" s="282"/>
    </row>
    <row r="79" spans="1:18">
      <c r="A79" t="s">
        <v>1853</v>
      </c>
      <c r="C79" t="s">
        <v>3469</v>
      </c>
      <c r="D79">
        <v>1.0368999999999999</v>
      </c>
      <c r="E79">
        <v>9.0328999999999997</v>
      </c>
      <c r="F79">
        <v>0.22339999999999999</v>
      </c>
      <c r="G79" s="281">
        <f t="shared" si="9"/>
        <v>9.2562999999999995</v>
      </c>
      <c r="H79" s="281">
        <v>9.0556999999999999</v>
      </c>
      <c r="I79" s="281">
        <f t="shared" si="12"/>
        <v>0.20059999999999967</v>
      </c>
      <c r="J79" s="280">
        <f t="shared" si="10"/>
        <v>2.280000000000032E-2</v>
      </c>
      <c r="K79" s="282">
        <f t="shared" si="11"/>
        <v>10.205908683975077</v>
      </c>
      <c r="L79">
        <v>16</v>
      </c>
      <c r="M79" s="283">
        <v>43374</v>
      </c>
      <c r="N79" s="283">
        <v>43375</v>
      </c>
      <c r="O79" s="280" t="s">
        <v>3707</v>
      </c>
      <c r="R79" s="282"/>
    </row>
    <row r="80" spans="1:18">
      <c r="A80" t="s">
        <v>1852</v>
      </c>
      <c r="C80" t="s">
        <v>3474</v>
      </c>
      <c r="D80">
        <v>1.1795</v>
      </c>
      <c r="E80">
        <v>10.5045</v>
      </c>
      <c r="F80">
        <v>0.23860000000000001</v>
      </c>
      <c r="G80" s="281">
        <f t="shared" si="9"/>
        <v>10.7431</v>
      </c>
      <c r="H80" s="281">
        <v>10.528600000000001</v>
      </c>
      <c r="I80" s="281">
        <f t="shared" si="12"/>
        <v>0.21449999999999925</v>
      </c>
      <c r="J80" s="280">
        <f t="shared" si="10"/>
        <v>2.410000000000076E-2</v>
      </c>
      <c r="K80" s="282">
        <f t="shared" si="11"/>
        <v>10.100586756077433</v>
      </c>
      <c r="L80">
        <v>24</v>
      </c>
      <c r="M80" s="283">
        <v>43363</v>
      </c>
      <c r="N80" s="283">
        <v>43364</v>
      </c>
      <c r="R80" s="282"/>
    </row>
    <row r="81" spans="1:18">
      <c r="A81" t="s">
        <v>2048</v>
      </c>
      <c r="C81" t="s">
        <v>3730</v>
      </c>
      <c r="D81">
        <v>1.3561000000000001</v>
      </c>
      <c r="E81">
        <v>9.9193999999999996</v>
      </c>
      <c r="F81">
        <v>0.2041</v>
      </c>
      <c r="G81" s="281">
        <f t="shared" si="9"/>
        <v>10.1235</v>
      </c>
      <c r="H81" s="281">
        <v>9.9764999999999997</v>
      </c>
      <c r="I81" s="281">
        <f t="shared" si="12"/>
        <v>0.14700000000000024</v>
      </c>
      <c r="J81" s="280">
        <f t="shared" si="10"/>
        <v>5.7099999999999762E-2</v>
      </c>
      <c r="K81" s="282">
        <f t="shared" si="11"/>
        <v>27.976482116609386</v>
      </c>
      <c r="L81">
        <v>7</v>
      </c>
      <c r="M81" s="283">
        <v>43363</v>
      </c>
      <c r="N81" s="283">
        <v>43364</v>
      </c>
      <c r="O81" s="280" t="s">
        <v>3732</v>
      </c>
      <c r="R81" s="282"/>
    </row>
    <row r="82" spans="1:18">
      <c r="A82" t="s">
        <v>2030</v>
      </c>
      <c r="C82" t="s">
        <v>3696</v>
      </c>
      <c r="D82">
        <v>0.94489999999999996</v>
      </c>
      <c r="E82">
        <v>8.1201000000000008</v>
      </c>
      <c r="F82">
        <v>0.21329999999999999</v>
      </c>
      <c r="G82" s="281">
        <f t="shared" si="9"/>
        <v>8.333400000000001</v>
      </c>
      <c r="H82" s="281">
        <v>8.1453000000000007</v>
      </c>
      <c r="I82" s="281">
        <f>(G82-H82)</f>
        <v>0.18810000000000038</v>
      </c>
      <c r="J82" s="280">
        <f t="shared" si="10"/>
        <v>2.5199999999999612E-2</v>
      </c>
      <c r="K82" s="282">
        <f t="shared" si="11"/>
        <v>11.814345991561</v>
      </c>
      <c r="L82">
        <v>26</v>
      </c>
      <c r="M82" s="283">
        <v>43360</v>
      </c>
      <c r="N82" s="283">
        <v>43361</v>
      </c>
      <c r="O82" s="280" t="s">
        <v>3684</v>
      </c>
      <c r="R82" s="282"/>
    </row>
    <row r="83" spans="1:18">
      <c r="A83" t="s">
        <v>1850</v>
      </c>
      <c r="C83" t="s">
        <v>3739</v>
      </c>
      <c r="D83">
        <v>0.58140000000000003</v>
      </c>
      <c r="E83">
        <v>10.315099999999999</v>
      </c>
      <c r="F83">
        <v>0.20649999999999999</v>
      </c>
      <c r="G83" s="285">
        <f t="shared" si="9"/>
        <v>10.521599999999999</v>
      </c>
      <c r="H83" s="281">
        <v>10.353400000000001</v>
      </c>
      <c r="I83" s="285">
        <f t="shared" ref="I83:I88" si="13">G83-H83</f>
        <v>0.16819999999999879</v>
      </c>
      <c r="J83" s="280">
        <f t="shared" si="10"/>
        <v>3.8300000000001194E-2</v>
      </c>
      <c r="K83" s="282">
        <f t="shared" si="11"/>
        <v>18.547215496368619</v>
      </c>
      <c r="L83">
        <v>16</v>
      </c>
      <c r="M83" s="283">
        <v>43379</v>
      </c>
      <c r="N83" s="283">
        <v>43379</v>
      </c>
      <c r="O83" s="280"/>
      <c r="R83" s="282"/>
    </row>
    <row r="84" spans="1:18">
      <c r="A84" t="s">
        <v>1846</v>
      </c>
      <c r="B84">
        <v>217</v>
      </c>
      <c r="C84" t="s">
        <v>2490</v>
      </c>
      <c r="D84">
        <v>0.6381</v>
      </c>
      <c r="E84">
        <v>10.202999999999999</v>
      </c>
      <c r="F84">
        <v>0.20599999999999999</v>
      </c>
      <c r="G84" s="281">
        <f t="shared" si="9"/>
        <v>10.408999999999999</v>
      </c>
      <c r="H84" s="281">
        <v>10.242900000000001</v>
      </c>
      <c r="I84" s="281">
        <f t="shared" si="13"/>
        <v>0.16609999999999836</v>
      </c>
      <c r="J84" s="280">
        <f t="shared" si="10"/>
        <v>3.9900000000001629E-2</v>
      </c>
      <c r="K84" s="282">
        <f t="shared" si="11"/>
        <v>19.368932038835744</v>
      </c>
      <c r="L84">
        <v>14</v>
      </c>
      <c r="M84" s="16">
        <v>43399</v>
      </c>
      <c r="N84" s="16">
        <v>43400</v>
      </c>
      <c r="R84" s="282"/>
    </row>
    <row r="85" spans="1:18">
      <c r="A85" t="s">
        <v>1845</v>
      </c>
      <c r="C85" t="s">
        <v>3673</v>
      </c>
      <c r="D85">
        <v>0.65239999999999998</v>
      </c>
      <c r="E85">
        <v>7.1909999999999998</v>
      </c>
      <c r="F85">
        <v>0.20280000000000001</v>
      </c>
      <c r="G85" s="285">
        <f t="shared" si="9"/>
        <v>7.3937999999999997</v>
      </c>
      <c r="H85" s="281">
        <v>7.2282999999999999</v>
      </c>
      <c r="I85" s="285">
        <f t="shared" si="13"/>
        <v>0.16549999999999976</v>
      </c>
      <c r="J85" s="280">
        <f t="shared" si="10"/>
        <v>3.730000000000025E-2</v>
      </c>
      <c r="K85" s="282">
        <f t="shared" si="11"/>
        <v>18.392504930966592</v>
      </c>
      <c r="L85">
        <v>41</v>
      </c>
      <c r="M85" s="283">
        <v>43379</v>
      </c>
      <c r="N85" s="283">
        <v>43379</v>
      </c>
      <c r="R85" s="282"/>
    </row>
    <row r="86" spans="1:18">
      <c r="A86" t="s">
        <v>1844</v>
      </c>
      <c r="C86" t="s">
        <v>3741</v>
      </c>
      <c r="D86">
        <v>0.58940000000000003</v>
      </c>
      <c r="E86">
        <v>20.9283</v>
      </c>
      <c r="F86">
        <v>0.22589999999999999</v>
      </c>
      <c r="G86" s="281">
        <f t="shared" si="9"/>
        <v>21.154199999999999</v>
      </c>
      <c r="H86" s="281">
        <v>20.974399999999999</v>
      </c>
      <c r="I86" s="281">
        <f t="shared" si="13"/>
        <v>0.17980000000000018</v>
      </c>
      <c r="J86" s="280">
        <f t="shared" si="10"/>
        <v>4.6099999999999808E-2</v>
      </c>
      <c r="K86" s="282">
        <f t="shared" si="11"/>
        <v>20.407259849490842</v>
      </c>
      <c r="L86">
        <v>42</v>
      </c>
      <c r="M86" s="283">
        <v>43363</v>
      </c>
      <c r="N86" s="283">
        <v>43364</v>
      </c>
      <c r="R86" s="282"/>
    </row>
    <row r="87" spans="1:18">
      <c r="A87" t="s">
        <v>1843</v>
      </c>
      <c r="C87" t="s">
        <v>3402</v>
      </c>
      <c r="D87">
        <v>0.59960000000000002</v>
      </c>
      <c r="E87">
        <v>8.1325000000000003</v>
      </c>
      <c r="F87">
        <v>0.20519999999999999</v>
      </c>
      <c r="G87" s="281">
        <f t="shared" si="9"/>
        <v>8.3376999999999999</v>
      </c>
      <c r="H87" s="281">
        <v>8.1774000000000004</v>
      </c>
      <c r="I87" s="281">
        <f t="shared" si="13"/>
        <v>0.16029999999999944</v>
      </c>
      <c r="J87" s="280">
        <f t="shared" si="10"/>
        <v>4.4900000000000551E-2</v>
      </c>
      <c r="K87" s="282">
        <f t="shared" si="11"/>
        <v>21.881091617933993</v>
      </c>
      <c r="L87">
        <v>13</v>
      </c>
      <c r="M87" s="16">
        <v>43388</v>
      </c>
      <c r="N87" s="283">
        <v>43389</v>
      </c>
      <c r="O87" s="283"/>
      <c r="P87" s="280"/>
      <c r="R87" s="282"/>
    </row>
    <row r="88" spans="1:18">
      <c r="A88" t="s">
        <v>1841</v>
      </c>
      <c r="C88" t="s">
        <v>3727</v>
      </c>
      <c r="D88">
        <v>1.7410000000000001</v>
      </c>
      <c r="E88">
        <v>11.905099999999999</v>
      </c>
      <c r="F88">
        <v>0.23580000000000001</v>
      </c>
      <c r="G88" s="281">
        <f t="shared" si="9"/>
        <v>12.140899999999998</v>
      </c>
      <c r="H88" s="281">
        <v>11.917899999999999</v>
      </c>
      <c r="I88" s="281">
        <f t="shared" si="13"/>
        <v>0.22299999999999898</v>
      </c>
      <c r="J88" s="280">
        <f t="shared" si="10"/>
        <v>1.2800000000001033E-2</v>
      </c>
      <c r="K88" s="282">
        <f t="shared" si="11"/>
        <v>5.4283290924516674</v>
      </c>
      <c r="L88">
        <v>8</v>
      </c>
      <c r="M88">
        <v>23.101800000000001</v>
      </c>
      <c r="N88" s="16">
        <v>43397</v>
      </c>
      <c r="R88" s="282"/>
    </row>
    <row r="89" spans="1:18">
      <c r="A89" t="s">
        <v>2029</v>
      </c>
      <c r="C89" t="s">
        <v>3470</v>
      </c>
      <c r="D89">
        <v>0</v>
      </c>
      <c r="E89">
        <v>0</v>
      </c>
      <c r="F89">
        <v>0</v>
      </c>
      <c r="G89">
        <v>0</v>
      </c>
      <c r="H89">
        <v>0</v>
      </c>
      <c r="I89">
        <v>0</v>
      </c>
      <c r="J89">
        <v>0</v>
      </c>
      <c r="K89">
        <v>0</v>
      </c>
    </row>
    <row r="90" spans="1:18">
      <c r="A90" t="s">
        <v>1839</v>
      </c>
      <c r="B90">
        <v>201</v>
      </c>
      <c r="D90">
        <v>0.49409999999999998</v>
      </c>
      <c r="E90">
        <v>11.748100000000001</v>
      </c>
      <c r="F90">
        <v>0.20699999999999999</v>
      </c>
      <c r="G90" s="281">
        <f t="shared" ref="G90:G121" si="14">E90+F90</f>
        <v>11.955100000000002</v>
      </c>
      <c r="H90" s="281">
        <v>11.8874</v>
      </c>
      <c r="I90" s="281">
        <f>G90-H90</f>
        <v>6.7700000000002092E-2</v>
      </c>
      <c r="J90" s="280">
        <f t="shared" ref="J90:J153" si="15">F90-I90</f>
        <v>0.1392999999999979</v>
      </c>
      <c r="K90" s="282">
        <f t="shared" ref="K90:K153" si="16">(J90/F90)*100</f>
        <v>67.294685990337157</v>
      </c>
      <c r="L90">
        <v>1</v>
      </c>
      <c r="M90">
        <v>23.101800000000001</v>
      </c>
      <c r="N90" s="16">
        <v>43397</v>
      </c>
      <c r="R90" s="282"/>
    </row>
    <row r="91" spans="1:18">
      <c r="A91" t="s">
        <v>1837</v>
      </c>
      <c r="C91" t="s">
        <v>3399</v>
      </c>
      <c r="D91">
        <v>0.42020000000000002</v>
      </c>
      <c r="E91">
        <v>10.9038</v>
      </c>
      <c r="F91">
        <v>0.2026</v>
      </c>
      <c r="G91" s="281">
        <f t="shared" si="14"/>
        <v>11.106400000000001</v>
      </c>
      <c r="H91" s="281">
        <v>10.960699999999999</v>
      </c>
      <c r="I91" s="281">
        <f>G91-H91</f>
        <v>0.14570000000000149</v>
      </c>
      <c r="J91" s="280">
        <f t="shared" si="15"/>
        <v>5.6899999999998507E-2</v>
      </c>
      <c r="K91" s="282">
        <f t="shared" si="16"/>
        <v>28.084896347481987</v>
      </c>
      <c r="L91">
        <v>2</v>
      </c>
      <c r="M91" s="16">
        <v>43399</v>
      </c>
      <c r="N91" s="16">
        <v>43400</v>
      </c>
      <c r="R91" s="282"/>
    </row>
    <row r="92" spans="1:18">
      <c r="A92" t="s">
        <v>1835</v>
      </c>
      <c r="C92" t="s">
        <v>3640</v>
      </c>
      <c r="D92">
        <v>1.7544</v>
      </c>
      <c r="E92">
        <v>10.107200000000001</v>
      </c>
      <c r="F92">
        <v>0.2011</v>
      </c>
      <c r="G92" s="281">
        <f t="shared" si="14"/>
        <v>10.308300000000001</v>
      </c>
      <c r="H92" s="281">
        <v>10.1173</v>
      </c>
      <c r="I92" s="281">
        <f>(G92-H92)</f>
        <v>0.19100000000000072</v>
      </c>
      <c r="J92" s="280">
        <f t="shared" si="15"/>
        <v>1.0099999999999276E-2</v>
      </c>
      <c r="K92" s="282">
        <f t="shared" si="16"/>
        <v>5.0223769269016794</v>
      </c>
      <c r="L92">
        <v>4</v>
      </c>
      <c r="M92" s="283">
        <v>43355.625</v>
      </c>
      <c r="N92" s="283">
        <v>43355.791666666664</v>
      </c>
      <c r="O92" s="280" t="s">
        <v>3637</v>
      </c>
      <c r="R92" s="282"/>
    </row>
    <row r="93" spans="1:18">
      <c r="A93" t="s">
        <v>1832</v>
      </c>
      <c r="C93" t="s">
        <v>3661</v>
      </c>
      <c r="D93">
        <v>1.6302000000000001</v>
      </c>
      <c r="E93">
        <v>7.9062000000000001</v>
      </c>
      <c r="F93">
        <v>0.2298</v>
      </c>
      <c r="G93">
        <f t="shared" si="14"/>
        <v>8.1359999999999992</v>
      </c>
      <c r="H93">
        <v>7.9196</v>
      </c>
      <c r="I93">
        <f t="shared" ref="I93:I99" si="17">G93-H93</f>
        <v>0.21639999999999926</v>
      </c>
      <c r="J93" s="280">
        <f t="shared" si="15"/>
        <v>1.3400000000000745E-2</v>
      </c>
      <c r="K93" s="282">
        <f t="shared" si="16"/>
        <v>5.8311575282857895</v>
      </c>
      <c r="M93" s="16">
        <v>43399</v>
      </c>
      <c r="N93" s="16">
        <v>43400</v>
      </c>
      <c r="O93" s="280"/>
      <c r="R93" s="282"/>
    </row>
    <row r="94" spans="1:18">
      <c r="A94" t="s">
        <v>1831</v>
      </c>
      <c r="C94" t="s">
        <v>3728</v>
      </c>
      <c r="D94">
        <v>0.59450000000000003</v>
      </c>
      <c r="E94">
        <v>8.0475999999999992</v>
      </c>
      <c r="F94">
        <v>0.2112</v>
      </c>
      <c r="G94" s="281">
        <f t="shared" si="14"/>
        <v>8.258799999999999</v>
      </c>
      <c r="H94" s="281">
        <v>8.0813000000000006</v>
      </c>
      <c r="I94" s="281">
        <f t="shared" si="17"/>
        <v>0.17749999999999844</v>
      </c>
      <c r="J94" s="280">
        <f t="shared" si="15"/>
        <v>3.3700000000001562E-2</v>
      </c>
      <c r="K94" s="282">
        <f t="shared" si="16"/>
        <v>15.956439393940133</v>
      </c>
      <c r="L94">
        <v>30</v>
      </c>
      <c r="M94" s="16">
        <v>43399</v>
      </c>
      <c r="N94" s="16">
        <v>43400</v>
      </c>
      <c r="R94" s="282"/>
    </row>
    <row r="95" spans="1:18">
      <c r="A95" t="s">
        <v>2028</v>
      </c>
      <c r="C95" t="s">
        <v>3396</v>
      </c>
      <c r="D95">
        <v>0.54469999999999996</v>
      </c>
      <c r="E95">
        <v>10.9232</v>
      </c>
      <c r="F95">
        <v>0.21410000000000001</v>
      </c>
      <c r="G95" s="281">
        <f t="shared" si="14"/>
        <v>11.1373</v>
      </c>
      <c r="H95" s="281">
        <v>10.9648</v>
      </c>
      <c r="I95" s="281">
        <f t="shared" si="17"/>
        <v>0.17249999999999943</v>
      </c>
      <c r="J95" s="280">
        <f t="shared" si="15"/>
        <v>4.1600000000000581E-2</v>
      </c>
      <c r="K95" s="282">
        <f t="shared" si="16"/>
        <v>19.430172816441186</v>
      </c>
      <c r="L95">
        <v>37</v>
      </c>
      <c r="M95">
        <v>23.101800000000001</v>
      </c>
      <c r="N95" s="16">
        <v>43397</v>
      </c>
      <c r="R95" s="282"/>
    </row>
    <row r="96" spans="1:18">
      <c r="A96" t="s">
        <v>1830</v>
      </c>
      <c r="C96" t="s">
        <v>3704</v>
      </c>
      <c r="D96">
        <v>1.8326</v>
      </c>
      <c r="E96">
        <v>10.7447</v>
      </c>
      <c r="F96">
        <v>0.2218</v>
      </c>
      <c r="G96" s="281">
        <f t="shared" si="14"/>
        <v>10.9665</v>
      </c>
      <c r="H96" s="281">
        <v>10.7578</v>
      </c>
      <c r="I96" s="281">
        <f t="shared" si="17"/>
        <v>0.20870000000000033</v>
      </c>
      <c r="J96" s="280">
        <f t="shared" si="15"/>
        <v>1.3099999999999667E-2</v>
      </c>
      <c r="K96" s="282">
        <f t="shared" si="16"/>
        <v>5.9062218214606252</v>
      </c>
      <c r="L96">
        <v>30</v>
      </c>
      <c r="M96" s="16">
        <v>43381</v>
      </c>
      <c r="N96" s="16">
        <v>43382</v>
      </c>
      <c r="R96" s="282"/>
    </row>
    <row r="97" spans="1:18">
      <c r="A97" t="s">
        <v>1829</v>
      </c>
      <c r="C97" t="s">
        <v>3659</v>
      </c>
      <c r="D97">
        <v>0.50380000000000003</v>
      </c>
      <c r="E97">
        <v>8.0962999999999994</v>
      </c>
      <c r="F97">
        <v>0.2049</v>
      </c>
      <c r="G97" s="281">
        <f t="shared" si="14"/>
        <v>8.3011999999999997</v>
      </c>
      <c r="H97" s="281">
        <v>8.1359999999999992</v>
      </c>
      <c r="I97" s="281">
        <f t="shared" si="17"/>
        <v>0.16520000000000046</v>
      </c>
      <c r="J97" s="280">
        <f t="shared" si="15"/>
        <v>3.9699999999999541E-2</v>
      </c>
      <c r="K97" s="282">
        <f t="shared" si="16"/>
        <v>19.375305026842138</v>
      </c>
      <c r="L97">
        <v>36</v>
      </c>
      <c r="M97" s="283">
        <v>43363</v>
      </c>
      <c r="N97" s="283">
        <v>43364</v>
      </c>
      <c r="R97" s="282"/>
    </row>
    <row r="98" spans="1:18">
      <c r="A98" t="s">
        <v>1826</v>
      </c>
      <c r="B98">
        <v>199</v>
      </c>
      <c r="C98" t="s">
        <v>2490</v>
      </c>
      <c r="D98">
        <v>0.35720000000000002</v>
      </c>
      <c r="E98">
        <v>11.9055</v>
      </c>
      <c r="F98">
        <v>0.20030000000000001</v>
      </c>
      <c r="G98">
        <f t="shared" si="14"/>
        <v>12.1058</v>
      </c>
      <c r="H98">
        <v>11.950799999999999</v>
      </c>
      <c r="I98" s="281">
        <f t="shared" si="17"/>
        <v>0.15500000000000114</v>
      </c>
      <c r="J98" s="280">
        <f t="shared" si="15"/>
        <v>4.5299999999998869E-2</v>
      </c>
      <c r="K98" s="282">
        <f t="shared" si="16"/>
        <v>22.616075886170179</v>
      </c>
      <c r="L98">
        <v>31</v>
      </c>
      <c r="M98" s="16">
        <v>43399</v>
      </c>
      <c r="N98" s="16">
        <v>43400</v>
      </c>
      <c r="R98" s="282"/>
    </row>
    <row r="99" spans="1:18">
      <c r="A99" t="s">
        <v>1825</v>
      </c>
      <c r="C99" t="s">
        <v>3728</v>
      </c>
      <c r="D99">
        <v>1.0464</v>
      </c>
      <c r="E99">
        <v>10.6349</v>
      </c>
      <c r="F99">
        <v>0.20569999999999999</v>
      </c>
      <c r="G99" s="281">
        <f t="shared" si="14"/>
        <v>10.8406</v>
      </c>
      <c r="H99" s="281">
        <v>10.698399999999999</v>
      </c>
      <c r="I99" s="281">
        <f t="shared" si="17"/>
        <v>0.14220000000000077</v>
      </c>
      <c r="J99" s="280">
        <f t="shared" si="15"/>
        <v>6.3499999999999224E-2</v>
      </c>
      <c r="K99" s="282">
        <f t="shared" si="16"/>
        <v>30.8701993193968</v>
      </c>
      <c r="L99">
        <v>29</v>
      </c>
      <c r="M99" s="283">
        <v>43362</v>
      </c>
      <c r="N99" s="283">
        <v>43363</v>
      </c>
      <c r="R99" s="282"/>
    </row>
    <row r="100" spans="1:18">
      <c r="A100" t="s">
        <v>1824</v>
      </c>
      <c r="C100" t="s">
        <v>3666</v>
      </c>
      <c r="D100">
        <v>1.6272</v>
      </c>
      <c r="E100">
        <v>10.5214</v>
      </c>
      <c r="F100">
        <v>0.2034</v>
      </c>
      <c r="G100" s="281">
        <f t="shared" si="14"/>
        <v>10.7248</v>
      </c>
      <c r="H100" s="281">
        <v>10.5328</v>
      </c>
      <c r="I100" s="281">
        <f>(G100-H100)</f>
        <v>0.19200000000000017</v>
      </c>
      <c r="J100" s="280">
        <f t="shared" si="15"/>
        <v>1.1399999999999827E-2</v>
      </c>
      <c r="K100" s="282">
        <f t="shared" si="16"/>
        <v>5.6047197640117146</v>
      </c>
      <c r="L100">
        <v>27</v>
      </c>
      <c r="M100" s="283">
        <v>43360</v>
      </c>
      <c r="N100" s="283">
        <v>43361</v>
      </c>
      <c r="R100" s="282"/>
    </row>
    <row r="101" spans="1:18">
      <c r="A101" t="s">
        <v>1823</v>
      </c>
      <c r="C101" t="s">
        <v>3658</v>
      </c>
      <c r="D101">
        <v>1.6253</v>
      </c>
      <c r="E101">
        <v>10.566000000000001</v>
      </c>
      <c r="F101">
        <v>0.22670000000000001</v>
      </c>
      <c r="G101" s="281">
        <f t="shared" si="14"/>
        <v>10.7927</v>
      </c>
      <c r="H101" s="281">
        <v>10.5794</v>
      </c>
      <c r="I101" s="281">
        <f>(G101-H101)</f>
        <v>0.21330000000000027</v>
      </c>
      <c r="J101" s="280">
        <f t="shared" si="15"/>
        <v>1.3399999999999745E-2</v>
      </c>
      <c r="K101" s="282">
        <f t="shared" si="16"/>
        <v>5.9108954565503948</v>
      </c>
      <c r="L101">
        <v>3</v>
      </c>
      <c r="M101" s="283">
        <v>43360</v>
      </c>
      <c r="N101" s="283">
        <v>43361</v>
      </c>
      <c r="O101" s="280"/>
      <c r="R101" s="282"/>
    </row>
    <row r="102" spans="1:18">
      <c r="A102" t="s">
        <v>1822</v>
      </c>
      <c r="C102" t="s">
        <v>3725</v>
      </c>
      <c r="D102">
        <v>0.63749999999999996</v>
      </c>
      <c r="E102">
        <v>11.4559</v>
      </c>
      <c r="F102">
        <v>0.20349999999999999</v>
      </c>
      <c r="G102" s="281">
        <f t="shared" si="14"/>
        <v>11.6594</v>
      </c>
      <c r="H102" s="281">
        <v>11.4855</v>
      </c>
      <c r="I102" s="281">
        <f>G102-H102</f>
        <v>0.17389999999999972</v>
      </c>
      <c r="J102" s="280">
        <f t="shared" si="15"/>
        <v>2.9600000000000265E-2</v>
      </c>
      <c r="K102" s="282">
        <f t="shared" si="16"/>
        <v>14.545454545454678</v>
      </c>
      <c r="L102">
        <v>30</v>
      </c>
      <c r="M102" s="283">
        <v>43363</v>
      </c>
      <c r="N102" s="283">
        <v>43364</v>
      </c>
      <c r="O102" s="280" t="s">
        <v>3732</v>
      </c>
      <c r="R102" s="282"/>
    </row>
    <row r="103" spans="1:18">
      <c r="A103" t="s">
        <v>2027</v>
      </c>
      <c r="C103" t="s">
        <v>3725</v>
      </c>
      <c r="D103">
        <v>0.74039999999999995</v>
      </c>
      <c r="E103">
        <v>9.1983999999999995</v>
      </c>
      <c r="F103">
        <v>0.2145</v>
      </c>
      <c r="G103" s="281">
        <f t="shared" si="14"/>
        <v>9.4128999999999987</v>
      </c>
      <c r="H103" s="281">
        <v>9.2392000000000003</v>
      </c>
      <c r="I103" s="281">
        <f>G103-H103</f>
        <v>0.17369999999999841</v>
      </c>
      <c r="J103" s="280">
        <f t="shared" si="15"/>
        <v>4.0800000000001585E-2</v>
      </c>
      <c r="K103" s="282">
        <f t="shared" si="16"/>
        <v>19.020979020979762</v>
      </c>
      <c r="L103">
        <v>21</v>
      </c>
      <c r="M103" s="283">
        <v>43362</v>
      </c>
      <c r="N103" s="283">
        <v>43363</v>
      </c>
      <c r="R103" s="282"/>
    </row>
    <row r="104" spans="1:18">
      <c r="A104" t="s">
        <v>1820</v>
      </c>
      <c r="B104">
        <v>207</v>
      </c>
      <c r="D104">
        <v>0.56999999999999995</v>
      </c>
      <c r="E104">
        <v>7.3182999999999998</v>
      </c>
      <c r="F104">
        <v>0.20449999999999999</v>
      </c>
      <c r="G104" s="281">
        <f t="shared" si="14"/>
        <v>7.5228000000000002</v>
      </c>
      <c r="H104" s="281">
        <v>7.3601999999999999</v>
      </c>
      <c r="I104" s="281">
        <f>G104-H104</f>
        <v>0.1626000000000003</v>
      </c>
      <c r="J104" s="280">
        <f t="shared" si="15"/>
        <v>4.1899999999999687E-2</v>
      </c>
      <c r="K104" s="282">
        <f t="shared" si="16"/>
        <v>20.488997555012073</v>
      </c>
      <c r="L104">
        <v>42</v>
      </c>
      <c r="M104" s="16">
        <v>43388</v>
      </c>
      <c r="N104" s="283">
        <v>43389</v>
      </c>
      <c r="O104" s="16"/>
      <c r="R104" s="282"/>
    </row>
    <row r="105" spans="1:18">
      <c r="A105" t="s">
        <v>1819</v>
      </c>
      <c r="C105" t="s">
        <v>3713</v>
      </c>
      <c r="D105">
        <v>0.57020000000000004</v>
      </c>
      <c r="E105">
        <v>20.858000000000001</v>
      </c>
      <c r="F105">
        <v>0.2084</v>
      </c>
      <c r="G105" s="281">
        <f t="shared" si="14"/>
        <v>21.066400000000002</v>
      </c>
      <c r="H105" s="281">
        <v>20.914400000000001</v>
      </c>
      <c r="I105" s="281">
        <f>G105-H105</f>
        <v>0.15200000000000102</v>
      </c>
      <c r="J105" s="280">
        <f t="shared" si="15"/>
        <v>5.6399999999998979E-2</v>
      </c>
      <c r="K105" s="282">
        <f t="shared" si="16"/>
        <v>27.063339731285495</v>
      </c>
      <c r="L105">
        <v>36</v>
      </c>
      <c r="M105" s="283">
        <v>43361</v>
      </c>
      <c r="N105" s="283">
        <v>43362</v>
      </c>
      <c r="O105" s="280" t="s">
        <v>3707</v>
      </c>
      <c r="R105" s="282"/>
    </row>
    <row r="106" spans="1:18">
      <c r="A106" t="s">
        <v>1818</v>
      </c>
      <c r="C106" t="s">
        <v>3394</v>
      </c>
      <c r="D106">
        <v>0.62060000000000004</v>
      </c>
      <c r="E106">
        <v>10.541</v>
      </c>
      <c r="F106">
        <v>0.20349999999999999</v>
      </c>
      <c r="G106" s="281">
        <f t="shared" si="14"/>
        <v>10.7445</v>
      </c>
      <c r="H106" s="281">
        <v>10.5946</v>
      </c>
      <c r="I106" s="281">
        <f>G106-H106</f>
        <v>0.14990000000000059</v>
      </c>
      <c r="J106" s="280">
        <f t="shared" si="15"/>
        <v>5.3599999999999398E-2</v>
      </c>
      <c r="K106" s="282">
        <f t="shared" si="16"/>
        <v>26.339066339066047</v>
      </c>
      <c r="L106">
        <v>31</v>
      </c>
      <c r="M106" s="16">
        <v>43399</v>
      </c>
      <c r="N106" s="16">
        <v>43400</v>
      </c>
      <c r="R106" s="282"/>
    </row>
    <row r="107" spans="1:18">
      <c r="A107" t="s">
        <v>1817</v>
      </c>
      <c r="C107" t="s">
        <v>3653</v>
      </c>
      <c r="D107">
        <v>1.5526</v>
      </c>
      <c r="E107">
        <v>11.023</v>
      </c>
      <c r="F107">
        <v>0.20519999999999999</v>
      </c>
      <c r="G107" s="281">
        <f t="shared" si="14"/>
        <v>11.228199999999999</v>
      </c>
      <c r="H107" s="281">
        <v>11.036</v>
      </c>
      <c r="I107" s="281">
        <f>(G107-H107)</f>
        <v>0.1921999999999997</v>
      </c>
      <c r="J107" s="280">
        <f t="shared" si="15"/>
        <v>1.3000000000000289E-2</v>
      </c>
      <c r="K107" s="282">
        <f t="shared" si="16"/>
        <v>6.3352826510722657</v>
      </c>
      <c r="L107">
        <v>26</v>
      </c>
      <c r="M107" s="16">
        <v>43358</v>
      </c>
      <c r="N107" s="16">
        <v>43358</v>
      </c>
      <c r="R107" s="282"/>
    </row>
    <row r="108" spans="1:18">
      <c r="A108" t="s">
        <v>1816</v>
      </c>
      <c r="B108">
        <v>207</v>
      </c>
      <c r="D108">
        <v>0.57969999999999999</v>
      </c>
      <c r="E108">
        <v>11.0565</v>
      </c>
      <c r="F108">
        <v>0.21940000000000001</v>
      </c>
      <c r="G108" s="281">
        <f t="shared" si="14"/>
        <v>11.2759</v>
      </c>
      <c r="H108" s="281">
        <v>11.1036</v>
      </c>
      <c r="I108" s="281">
        <f>G108-H108</f>
        <v>0.1722999999999999</v>
      </c>
      <c r="J108" s="280">
        <f t="shared" si="15"/>
        <v>4.7100000000000114E-2</v>
      </c>
      <c r="K108" s="282">
        <f t="shared" si="16"/>
        <v>21.467639015496861</v>
      </c>
      <c r="L108">
        <v>11</v>
      </c>
      <c r="M108" s="16">
        <v>43395</v>
      </c>
      <c r="N108" s="16">
        <v>43396</v>
      </c>
      <c r="R108" s="282"/>
    </row>
    <row r="109" spans="1:18">
      <c r="A109" t="s">
        <v>1815</v>
      </c>
      <c r="C109" t="s">
        <v>3441</v>
      </c>
      <c r="D109">
        <v>0.46710000000000002</v>
      </c>
      <c r="E109">
        <v>10.1265</v>
      </c>
      <c r="F109">
        <v>0.20610000000000001</v>
      </c>
      <c r="G109" s="281">
        <f t="shared" si="14"/>
        <v>10.332599999999999</v>
      </c>
      <c r="H109" s="281">
        <v>10.1844</v>
      </c>
      <c r="I109" s="281">
        <f>G109-H109</f>
        <v>0.14819999999999922</v>
      </c>
      <c r="J109" s="280">
        <f t="shared" si="15"/>
        <v>5.7900000000000784E-2</v>
      </c>
      <c r="K109" s="282">
        <f t="shared" si="16"/>
        <v>28.09315866084463</v>
      </c>
      <c r="L109">
        <v>4</v>
      </c>
      <c r="M109" s="16">
        <v>43381</v>
      </c>
      <c r="N109" s="16">
        <v>43382</v>
      </c>
      <c r="R109" s="282"/>
    </row>
    <row r="110" spans="1:18">
      <c r="A110" t="s">
        <v>1814</v>
      </c>
      <c r="C110" t="s">
        <v>3670</v>
      </c>
      <c r="D110">
        <v>0.62909999999999999</v>
      </c>
      <c r="E110">
        <v>11.088800000000001</v>
      </c>
      <c r="F110">
        <v>0.20730000000000001</v>
      </c>
      <c r="G110" s="281">
        <f t="shared" si="14"/>
        <v>11.296100000000001</v>
      </c>
      <c r="H110" s="281">
        <v>11.1282</v>
      </c>
      <c r="I110" s="281">
        <f>(G110-H110)</f>
        <v>0.16790000000000127</v>
      </c>
      <c r="J110" s="280">
        <f t="shared" si="15"/>
        <v>3.9399999999998742E-2</v>
      </c>
      <c r="K110" s="282">
        <f t="shared" si="16"/>
        <v>19.0062711046786</v>
      </c>
      <c r="L110">
        <v>25</v>
      </c>
      <c r="M110" s="283">
        <v>43360</v>
      </c>
      <c r="N110" s="283">
        <v>43361</v>
      </c>
      <c r="R110" s="282"/>
    </row>
    <row r="111" spans="1:18">
      <c r="A111" t="s">
        <v>1813</v>
      </c>
      <c r="C111" t="s">
        <v>3709</v>
      </c>
      <c r="D111">
        <v>1.6671</v>
      </c>
      <c r="E111">
        <v>9.7742000000000004</v>
      </c>
      <c r="F111">
        <v>0.2132</v>
      </c>
      <c r="G111" s="281">
        <f t="shared" si="14"/>
        <v>9.9874000000000009</v>
      </c>
      <c r="H111" s="281">
        <v>9.7866</v>
      </c>
      <c r="I111" s="281">
        <f t="shared" ref="I111:I116" si="18">G111-H111</f>
        <v>0.20080000000000098</v>
      </c>
      <c r="J111" s="280">
        <f t="shared" si="15"/>
        <v>1.2399999999999023E-2</v>
      </c>
      <c r="K111" s="282">
        <f t="shared" si="16"/>
        <v>5.8161350844273088</v>
      </c>
      <c r="L111">
        <v>13</v>
      </c>
      <c r="M111" s="283">
        <v>43374</v>
      </c>
      <c r="N111" s="283">
        <v>43375</v>
      </c>
      <c r="O111" s="280" t="s">
        <v>3707</v>
      </c>
      <c r="R111" s="282"/>
    </row>
    <row r="112" spans="1:18">
      <c r="A112" t="s">
        <v>1812</v>
      </c>
      <c r="C112" t="s">
        <v>3407</v>
      </c>
      <c r="D112">
        <v>0.61199999999999999</v>
      </c>
      <c r="E112">
        <v>9.7220999999999993</v>
      </c>
      <c r="F112">
        <v>0.21199999999999999</v>
      </c>
      <c r="G112" s="281">
        <f t="shared" si="14"/>
        <v>9.934099999999999</v>
      </c>
      <c r="H112" s="281">
        <v>9.7768999999999995</v>
      </c>
      <c r="I112" s="281">
        <f t="shared" si="18"/>
        <v>0.15719999999999956</v>
      </c>
      <c r="J112" s="280">
        <f t="shared" si="15"/>
        <v>5.4800000000000432E-2</v>
      </c>
      <c r="K112" s="282">
        <f t="shared" si="16"/>
        <v>25.849056603773789</v>
      </c>
      <c r="L112">
        <v>13</v>
      </c>
      <c r="M112" s="16">
        <v>43399</v>
      </c>
      <c r="N112" s="16">
        <v>43400</v>
      </c>
      <c r="R112" s="282"/>
    </row>
    <row r="113" spans="1:18">
      <c r="A113" t="s">
        <v>1811</v>
      </c>
      <c r="C113" t="s">
        <v>3418</v>
      </c>
      <c r="D113">
        <v>0.57250000000000001</v>
      </c>
      <c r="E113">
        <v>10.677300000000001</v>
      </c>
      <c r="F113">
        <v>0.2021</v>
      </c>
      <c r="G113" s="281">
        <f t="shared" si="14"/>
        <v>10.8794</v>
      </c>
      <c r="H113" s="281">
        <v>10.7127</v>
      </c>
      <c r="I113" s="281">
        <f t="shared" si="18"/>
        <v>0.16670000000000051</v>
      </c>
      <c r="J113" s="280">
        <f t="shared" si="15"/>
        <v>3.5399999999999487E-2</v>
      </c>
      <c r="K113" s="282">
        <f t="shared" si="16"/>
        <v>17.516081147946309</v>
      </c>
      <c r="L113">
        <v>15</v>
      </c>
      <c r="M113" s="16">
        <v>43381</v>
      </c>
      <c r="N113" s="16">
        <v>43382</v>
      </c>
      <c r="R113" s="282"/>
    </row>
    <row r="114" spans="1:18">
      <c r="A114" t="s">
        <v>2026</v>
      </c>
      <c r="C114" t="s">
        <v>3641</v>
      </c>
      <c r="D114">
        <v>1.7465999999999999</v>
      </c>
      <c r="E114">
        <v>9.9192</v>
      </c>
      <c r="F114">
        <v>0.21820000000000001</v>
      </c>
      <c r="G114" s="281">
        <f t="shared" si="14"/>
        <v>10.1374</v>
      </c>
      <c r="H114" s="281">
        <v>9.9309999999999992</v>
      </c>
      <c r="I114" s="281">
        <f t="shared" si="18"/>
        <v>0.20640000000000036</v>
      </c>
      <c r="J114" s="280">
        <f t="shared" si="15"/>
        <v>1.1799999999999644E-2</v>
      </c>
      <c r="K114" s="282">
        <f t="shared" si="16"/>
        <v>5.4078826764434664</v>
      </c>
      <c r="L114">
        <v>7</v>
      </c>
      <c r="M114" s="283">
        <v>43355.625</v>
      </c>
      <c r="N114" s="283">
        <v>43355.791666666664</v>
      </c>
      <c r="O114" s="280" t="s">
        <v>3637</v>
      </c>
      <c r="R114" s="282"/>
    </row>
    <row r="115" spans="1:18">
      <c r="A115" t="s">
        <v>1808</v>
      </c>
      <c r="C115" t="s">
        <v>3397</v>
      </c>
      <c r="D115">
        <v>0.52880000000000005</v>
      </c>
      <c r="E115">
        <v>9.0324000000000009</v>
      </c>
      <c r="F115">
        <v>0.2051</v>
      </c>
      <c r="G115" s="281">
        <f t="shared" si="14"/>
        <v>9.2375000000000007</v>
      </c>
      <c r="H115" s="281">
        <v>9.0878999999999994</v>
      </c>
      <c r="I115" s="281">
        <f t="shared" si="18"/>
        <v>0.14960000000000129</v>
      </c>
      <c r="J115" s="280">
        <f t="shared" si="15"/>
        <v>5.5499999999998717E-2</v>
      </c>
      <c r="K115" s="282">
        <f t="shared" si="16"/>
        <v>27.059970745976948</v>
      </c>
      <c r="L115">
        <v>41</v>
      </c>
      <c r="M115" s="16">
        <v>43395</v>
      </c>
      <c r="N115" s="16">
        <v>43396</v>
      </c>
      <c r="R115" s="282"/>
    </row>
    <row r="116" spans="1:18">
      <c r="A116" t="s">
        <v>1807</v>
      </c>
      <c r="B116">
        <v>196</v>
      </c>
      <c r="D116">
        <v>0.87819999999999998</v>
      </c>
      <c r="E116">
        <v>7.1909000000000001</v>
      </c>
      <c r="F116">
        <v>0.22570000000000001</v>
      </c>
      <c r="G116" s="281">
        <f t="shared" si="14"/>
        <v>7.4165999999999999</v>
      </c>
      <c r="H116" s="281">
        <v>7.2313999999999998</v>
      </c>
      <c r="I116" s="281">
        <f t="shared" si="18"/>
        <v>0.18520000000000003</v>
      </c>
      <c r="J116" s="280">
        <f t="shared" si="15"/>
        <v>4.049999999999998E-2</v>
      </c>
      <c r="K116" s="282">
        <f t="shared" si="16"/>
        <v>17.944173681878588</v>
      </c>
      <c r="L116">
        <v>32</v>
      </c>
      <c r="M116" s="16">
        <v>43388</v>
      </c>
      <c r="N116" s="283">
        <v>43389</v>
      </c>
      <c r="O116" s="16"/>
      <c r="R116" s="282"/>
    </row>
    <row r="117" spans="1:18">
      <c r="A117" t="s">
        <v>1806</v>
      </c>
      <c r="C117" t="s">
        <v>3646</v>
      </c>
      <c r="D117">
        <v>1.7131000000000001</v>
      </c>
      <c r="E117">
        <v>7.7735000000000003</v>
      </c>
      <c r="F117">
        <v>0.20749999999999999</v>
      </c>
      <c r="G117" s="281">
        <f t="shared" si="14"/>
        <v>7.9809999999999999</v>
      </c>
      <c r="H117" s="281">
        <v>7.7857000000000003</v>
      </c>
      <c r="I117" s="281">
        <f>(G117-H117)</f>
        <v>0.19529999999999959</v>
      </c>
      <c r="J117" s="280">
        <f t="shared" si="15"/>
        <v>1.2200000000000405E-2</v>
      </c>
      <c r="K117" s="282">
        <f t="shared" si="16"/>
        <v>5.8795180722893514</v>
      </c>
      <c r="L117">
        <v>25</v>
      </c>
      <c r="M117" s="16">
        <v>43358</v>
      </c>
      <c r="N117" s="16">
        <v>43358</v>
      </c>
      <c r="R117" s="282"/>
    </row>
    <row r="118" spans="1:18">
      <c r="A118" t="s">
        <v>1805</v>
      </c>
      <c r="C118" t="s">
        <v>3417</v>
      </c>
      <c r="D118">
        <v>0.62680000000000002</v>
      </c>
      <c r="E118">
        <v>9.4868000000000006</v>
      </c>
      <c r="F118">
        <v>0.2054</v>
      </c>
      <c r="G118">
        <f t="shared" si="14"/>
        <v>9.6921999999999997</v>
      </c>
      <c r="H118">
        <v>9.5259999999999998</v>
      </c>
      <c r="I118" s="281">
        <f t="shared" ref="I118:I132" si="19">G118-H118</f>
        <v>0.1661999999999999</v>
      </c>
      <c r="J118" s="280">
        <f t="shared" si="15"/>
        <v>3.9200000000000096E-2</v>
      </c>
      <c r="K118" s="282">
        <f t="shared" si="16"/>
        <v>19.084712755598879</v>
      </c>
      <c r="L118">
        <v>14</v>
      </c>
      <c r="M118" s="16">
        <v>43402</v>
      </c>
      <c r="N118" s="16">
        <v>43403</v>
      </c>
      <c r="R118" s="282"/>
    </row>
    <row r="119" spans="1:18">
      <c r="A119" t="s">
        <v>1804</v>
      </c>
      <c r="C119" t="s">
        <v>3681</v>
      </c>
      <c r="D119">
        <v>1.8198000000000001</v>
      </c>
      <c r="E119">
        <v>7.8017000000000003</v>
      </c>
      <c r="F119">
        <v>0.22339999999999999</v>
      </c>
      <c r="G119" s="285">
        <f t="shared" si="14"/>
        <v>8.0251000000000001</v>
      </c>
      <c r="H119" s="281">
        <v>7.8198999999999996</v>
      </c>
      <c r="I119" s="285">
        <f t="shared" si="19"/>
        <v>0.20520000000000049</v>
      </c>
      <c r="J119" s="280">
        <f t="shared" si="15"/>
        <v>1.8199999999999494E-2</v>
      </c>
      <c r="K119" s="282">
        <f t="shared" si="16"/>
        <v>8.1468218442253786</v>
      </c>
      <c r="L119">
        <v>38</v>
      </c>
      <c r="M119" s="283">
        <v>43379</v>
      </c>
      <c r="N119" s="283">
        <v>43379</v>
      </c>
      <c r="R119" s="282"/>
    </row>
    <row r="120" spans="1:18">
      <c r="A120" t="s">
        <v>1803</v>
      </c>
      <c r="C120" t="s">
        <v>3667</v>
      </c>
      <c r="D120">
        <v>1.8222</v>
      </c>
      <c r="E120">
        <v>7.7743000000000002</v>
      </c>
      <c r="F120">
        <v>0.20730000000000001</v>
      </c>
      <c r="G120" s="281">
        <f t="shared" si="14"/>
        <v>7.9816000000000003</v>
      </c>
      <c r="H120" s="281">
        <v>7.7869000000000002</v>
      </c>
      <c r="I120" s="281">
        <f t="shared" si="19"/>
        <v>0.1947000000000001</v>
      </c>
      <c r="J120" s="280">
        <f t="shared" si="15"/>
        <v>1.2599999999999917E-2</v>
      </c>
      <c r="K120" s="282">
        <f t="shared" si="16"/>
        <v>6.078147612156255</v>
      </c>
      <c r="L120">
        <v>33</v>
      </c>
      <c r="M120" s="16">
        <v>43381</v>
      </c>
      <c r="N120" s="16">
        <v>43382</v>
      </c>
      <c r="R120" s="282"/>
    </row>
    <row r="121" spans="1:18">
      <c r="A121" t="s">
        <v>1802</v>
      </c>
      <c r="B121">
        <v>204</v>
      </c>
      <c r="C121" t="s">
        <v>2490</v>
      </c>
      <c r="D121">
        <v>0.52149999999999996</v>
      </c>
      <c r="E121">
        <v>9.5203000000000007</v>
      </c>
      <c r="F121">
        <v>0.2056</v>
      </c>
      <c r="G121">
        <f t="shared" si="14"/>
        <v>9.7259000000000011</v>
      </c>
      <c r="H121">
        <v>9.5478000000000005</v>
      </c>
      <c r="I121" s="281">
        <f t="shared" si="19"/>
        <v>0.17810000000000059</v>
      </c>
      <c r="J121" s="280">
        <f t="shared" si="15"/>
        <v>2.7499999999999414E-2</v>
      </c>
      <c r="K121" s="282">
        <f t="shared" si="16"/>
        <v>13.375486381322672</v>
      </c>
      <c r="L121">
        <v>19</v>
      </c>
      <c r="M121" s="16">
        <v>43402</v>
      </c>
      <c r="N121" s="16">
        <v>43403</v>
      </c>
      <c r="R121" s="282"/>
    </row>
    <row r="122" spans="1:18">
      <c r="A122" t="s">
        <v>2025</v>
      </c>
      <c r="C122" t="s">
        <v>3734</v>
      </c>
      <c r="D122">
        <v>0.80300000000000005</v>
      </c>
      <c r="E122">
        <v>7.8404999999999996</v>
      </c>
      <c r="F122">
        <v>0.21010000000000001</v>
      </c>
      <c r="G122" s="281">
        <f t="shared" ref="G122:G145" si="20">E122+F122</f>
        <v>8.0505999999999993</v>
      </c>
      <c r="H122" s="281">
        <v>7.8849</v>
      </c>
      <c r="I122" s="281">
        <f t="shared" si="19"/>
        <v>0.16569999999999929</v>
      </c>
      <c r="J122" s="280">
        <f t="shared" si="15"/>
        <v>4.4400000000000717E-2</v>
      </c>
      <c r="K122" s="282">
        <f t="shared" si="16"/>
        <v>21.132793907663359</v>
      </c>
      <c r="L122">
        <v>12</v>
      </c>
      <c r="M122" s="283">
        <v>43363</v>
      </c>
      <c r="N122" s="283">
        <v>43364</v>
      </c>
      <c r="O122" s="280" t="s">
        <v>3732</v>
      </c>
      <c r="R122" s="282"/>
    </row>
    <row r="123" spans="1:18">
      <c r="A123" t="s">
        <v>1800</v>
      </c>
      <c r="C123" t="s">
        <v>3448</v>
      </c>
      <c r="D123">
        <v>0.61970000000000003</v>
      </c>
      <c r="E123">
        <v>20.893699999999999</v>
      </c>
      <c r="F123">
        <v>0.20030000000000001</v>
      </c>
      <c r="G123" s="281">
        <f t="shared" si="20"/>
        <v>21.093999999999998</v>
      </c>
      <c r="H123" s="281">
        <v>20.929400000000001</v>
      </c>
      <c r="I123" s="281">
        <f t="shared" si="19"/>
        <v>0.16459999999999653</v>
      </c>
      <c r="J123" s="280">
        <f t="shared" si="15"/>
        <v>3.5700000000003479E-2</v>
      </c>
      <c r="K123" s="282">
        <f t="shared" si="16"/>
        <v>17.823265102348216</v>
      </c>
      <c r="L123">
        <v>42</v>
      </c>
      <c r="M123" s="283">
        <v>43361</v>
      </c>
      <c r="N123" s="283">
        <v>43362</v>
      </c>
      <c r="O123" s="280" t="s">
        <v>3707</v>
      </c>
      <c r="R123" s="282"/>
    </row>
    <row r="124" spans="1:18">
      <c r="A124" t="s">
        <v>1797</v>
      </c>
      <c r="C124" t="s">
        <v>3473</v>
      </c>
      <c r="D124">
        <v>1.0555000000000001</v>
      </c>
      <c r="E124">
        <v>7.4752999999999998</v>
      </c>
      <c r="F124">
        <v>0.2034</v>
      </c>
      <c r="G124" s="281">
        <f t="shared" si="20"/>
        <v>7.6787000000000001</v>
      </c>
      <c r="H124" s="281">
        <v>7.5019</v>
      </c>
      <c r="I124" s="281">
        <f t="shared" si="19"/>
        <v>0.17680000000000007</v>
      </c>
      <c r="J124" s="280">
        <f t="shared" si="15"/>
        <v>2.6599999999999929E-2</v>
      </c>
      <c r="K124" s="282">
        <f t="shared" si="16"/>
        <v>13.077679449360829</v>
      </c>
      <c r="L124">
        <v>25</v>
      </c>
      <c r="M124" s="283">
        <v>43363</v>
      </c>
      <c r="N124" s="283">
        <v>43364</v>
      </c>
      <c r="O124" s="280" t="s">
        <v>3732</v>
      </c>
      <c r="R124" s="282"/>
    </row>
    <row r="125" spans="1:18">
      <c r="A125" t="s">
        <v>1796</v>
      </c>
      <c r="B125">
        <v>197</v>
      </c>
      <c r="D125">
        <v>0.64470000000000005</v>
      </c>
      <c r="E125">
        <v>9.3209999999999997</v>
      </c>
      <c r="F125">
        <v>0.20250000000000001</v>
      </c>
      <c r="G125" s="281">
        <f t="shared" si="20"/>
        <v>9.5235000000000003</v>
      </c>
      <c r="H125" s="281">
        <v>9.3719000000000001</v>
      </c>
      <c r="I125" s="281">
        <f t="shared" si="19"/>
        <v>0.15160000000000018</v>
      </c>
      <c r="J125" s="280">
        <f t="shared" si="15"/>
        <v>5.0899999999999834E-2</v>
      </c>
      <c r="K125" s="282">
        <f t="shared" si="16"/>
        <v>25.135802469135722</v>
      </c>
      <c r="L125">
        <v>23</v>
      </c>
      <c r="M125" s="16">
        <v>43388</v>
      </c>
      <c r="N125" s="283">
        <v>43389</v>
      </c>
      <c r="O125" s="16"/>
      <c r="R125" s="282"/>
    </row>
    <row r="126" spans="1:18">
      <c r="A126" t="s">
        <v>1795</v>
      </c>
      <c r="C126" t="s">
        <v>3723</v>
      </c>
      <c r="D126">
        <v>1.4726999999999999</v>
      </c>
      <c r="E126">
        <v>11.445499999999999</v>
      </c>
      <c r="F126">
        <v>0.2155</v>
      </c>
      <c r="G126" s="281">
        <f t="shared" si="20"/>
        <v>11.661</v>
      </c>
      <c r="H126" s="281">
        <v>11.464</v>
      </c>
      <c r="I126" s="281">
        <f t="shared" si="19"/>
        <v>0.19699999999999918</v>
      </c>
      <c r="J126" s="280">
        <f t="shared" si="15"/>
        <v>1.8500000000000821E-2</v>
      </c>
      <c r="K126" s="282">
        <f t="shared" si="16"/>
        <v>8.5846867749423765</v>
      </c>
      <c r="L126">
        <v>32</v>
      </c>
      <c r="M126" s="283">
        <v>43362</v>
      </c>
      <c r="N126" s="283">
        <v>43363</v>
      </c>
      <c r="R126" s="282"/>
    </row>
    <row r="127" spans="1:18">
      <c r="A127" t="s">
        <v>1794</v>
      </c>
      <c r="C127" t="s">
        <v>3690</v>
      </c>
      <c r="D127" s="280">
        <v>1.4871000000000001</v>
      </c>
      <c r="E127" s="284">
        <v>7.4743000000000004</v>
      </c>
      <c r="F127" s="284">
        <v>0.21060000000000001</v>
      </c>
      <c r="G127" s="281">
        <f t="shared" si="20"/>
        <v>7.6849000000000007</v>
      </c>
      <c r="H127" s="281">
        <v>7.4877000000000002</v>
      </c>
      <c r="I127" s="281">
        <f t="shared" si="19"/>
        <v>0.19720000000000049</v>
      </c>
      <c r="J127" s="280">
        <f t="shared" si="15"/>
        <v>1.3399999999999523E-2</v>
      </c>
      <c r="K127" s="282">
        <f t="shared" si="16"/>
        <v>6.3627730294394693</v>
      </c>
      <c r="L127" s="280">
        <v>1</v>
      </c>
      <c r="M127" s="283">
        <v>43361</v>
      </c>
      <c r="N127" s="283">
        <v>43362</v>
      </c>
      <c r="O127" s="280" t="s">
        <v>3707</v>
      </c>
      <c r="P127" s="280"/>
      <c r="R127" s="282"/>
    </row>
    <row r="128" spans="1:18">
      <c r="A128" t="s">
        <v>1793</v>
      </c>
      <c r="B128">
        <v>193</v>
      </c>
      <c r="D128">
        <v>0.50209999999999999</v>
      </c>
      <c r="E128">
        <v>11.454800000000001</v>
      </c>
      <c r="F128">
        <v>0.20499999999999999</v>
      </c>
      <c r="G128" s="281">
        <f t="shared" si="20"/>
        <v>11.659800000000001</v>
      </c>
      <c r="H128" s="281">
        <v>11.4818</v>
      </c>
      <c r="I128" s="281">
        <f t="shared" si="19"/>
        <v>0.17800000000000082</v>
      </c>
      <c r="J128" s="280">
        <f t="shared" si="15"/>
        <v>2.6999999999999164E-2</v>
      </c>
      <c r="K128" s="282">
        <f t="shared" si="16"/>
        <v>13.170731707316666</v>
      </c>
      <c r="L128">
        <v>13</v>
      </c>
      <c r="M128" s="16">
        <v>43395</v>
      </c>
      <c r="N128" s="16">
        <v>43396</v>
      </c>
      <c r="R128" s="282"/>
    </row>
    <row r="129" spans="1:18">
      <c r="A129" t="s">
        <v>1792</v>
      </c>
      <c r="C129" t="s">
        <v>3735</v>
      </c>
      <c r="D129">
        <v>0.74809999999999999</v>
      </c>
      <c r="E129">
        <v>9.0536999999999992</v>
      </c>
      <c r="F129">
        <v>0.20830000000000001</v>
      </c>
      <c r="G129" s="281">
        <f t="shared" si="20"/>
        <v>9.2619999999999987</v>
      </c>
      <c r="H129" s="281">
        <v>9.0958000000000006</v>
      </c>
      <c r="I129" s="281">
        <f t="shared" si="19"/>
        <v>0.16619999999999813</v>
      </c>
      <c r="J129" s="280">
        <f t="shared" si="15"/>
        <v>4.2100000000001886E-2</v>
      </c>
      <c r="K129" s="282">
        <f t="shared" si="16"/>
        <v>20.211233797408489</v>
      </c>
      <c r="L129">
        <v>16</v>
      </c>
      <c r="M129" s="283">
        <v>43363</v>
      </c>
      <c r="N129" s="283">
        <v>43364</v>
      </c>
      <c r="O129" s="280" t="s">
        <v>3732</v>
      </c>
      <c r="R129" s="282"/>
    </row>
    <row r="130" spans="1:18">
      <c r="A130" t="s">
        <v>1791</v>
      </c>
      <c r="C130" t="s">
        <v>3746</v>
      </c>
      <c r="D130">
        <v>1.4135</v>
      </c>
      <c r="E130">
        <v>10.7416</v>
      </c>
      <c r="F130">
        <v>0.21010000000000001</v>
      </c>
      <c r="G130" s="285">
        <f t="shared" si="20"/>
        <v>10.951700000000001</v>
      </c>
      <c r="H130" s="281">
        <v>10.7639</v>
      </c>
      <c r="I130" s="285">
        <f t="shared" si="19"/>
        <v>0.18780000000000108</v>
      </c>
      <c r="J130" s="280">
        <f t="shared" si="15"/>
        <v>2.2299999999998932E-2</v>
      </c>
      <c r="K130" s="282">
        <f t="shared" si="16"/>
        <v>10.613993336505917</v>
      </c>
      <c r="L130">
        <v>42</v>
      </c>
      <c r="M130" s="283">
        <v>43379</v>
      </c>
      <c r="N130" s="283">
        <v>43379</v>
      </c>
      <c r="R130" s="282"/>
    </row>
    <row r="131" spans="1:18">
      <c r="A131" t="s">
        <v>2024</v>
      </c>
      <c r="B131">
        <v>211</v>
      </c>
      <c r="D131">
        <v>0.1973</v>
      </c>
      <c r="E131">
        <v>9.5208999999999993</v>
      </c>
      <c r="F131">
        <v>0.18</v>
      </c>
      <c r="G131" s="281">
        <f t="shared" si="20"/>
        <v>9.700899999999999</v>
      </c>
      <c r="H131" s="281">
        <v>9.5540000000000003</v>
      </c>
      <c r="I131" s="281">
        <f t="shared" si="19"/>
        <v>0.1468999999999987</v>
      </c>
      <c r="J131" s="280">
        <f t="shared" si="15"/>
        <v>3.3100000000001295E-2</v>
      </c>
      <c r="K131" s="282">
        <f t="shared" si="16"/>
        <v>18.38888888888961</v>
      </c>
      <c r="L131">
        <v>12</v>
      </c>
      <c r="M131">
        <v>23.101800000000001</v>
      </c>
      <c r="N131" s="16">
        <v>43397</v>
      </c>
      <c r="P131" t="s">
        <v>3762</v>
      </c>
      <c r="R131" s="282"/>
    </row>
    <row r="132" spans="1:18">
      <c r="A132" t="s">
        <v>1790</v>
      </c>
      <c r="C132" t="s">
        <v>3705</v>
      </c>
      <c r="D132">
        <v>1.7643</v>
      </c>
      <c r="E132">
        <v>9.7738999999999994</v>
      </c>
      <c r="F132">
        <v>0.22989999999999999</v>
      </c>
      <c r="G132" s="281">
        <f t="shared" si="20"/>
        <v>10.0038</v>
      </c>
      <c r="H132" s="281">
        <v>9.7942999999999998</v>
      </c>
      <c r="I132" s="281">
        <f t="shared" si="19"/>
        <v>0.20950000000000024</v>
      </c>
      <c r="J132" s="280">
        <f t="shared" si="15"/>
        <v>2.0399999999999752E-2</v>
      </c>
      <c r="K132" s="282">
        <f t="shared" si="16"/>
        <v>8.8734232274901057</v>
      </c>
      <c r="L132">
        <v>20</v>
      </c>
      <c r="M132" s="283">
        <v>43361</v>
      </c>
      <c r="N132" s="283">
        <v>43362</v>
      </c>
      <c r="O132" s="280" t="s">
        <v>3707</v>
      </c>
      <c r="R132" s="282"/>
    </row>
    <row r="133" spans="1:18">
      <c r="A133" t="s">
        <v>1789</v>
      </c>
      <c r="C133" t="s">
        <v>3672</v>
      </c>
      <c r="D133">
        <v>1.6620999999999999</v>
      </c>
      <c r="E133">
        <v>8.7690000000000001</v>
      </c>
      <c r="F133">
        <v>0.21970000000000001</v>
      </c>
      <c r="G133" s="281">
        <f t="shared" si="20"/>
        <v>8.9886999999999997</v>
      </c>
      <c r="H133" s="281">
        <v>8.7815999999999992</v>
      </c>
      <c r="I133" s="281">
        <f>(G133-H133)</f>
        <v>0.20710000000000051</v>
      </c>
      <c r="J133" s="280">
        <f t="shared" si="15"/>
        <v>1.25999999999995E-2</v>
      </c>
      <c r="K133" s="282">
        <f t="shared" si="16"/>
        <v>5.7350933090575786</v>
      </c>
      <c r="L133">
        <v>21</v>
      </c>
      <c r="M133" s="283">
        <v>43360</v>
      </c>
      <c r="N133" s="283">
        <v>43361</v>
      </c>
      <c r="R133" s="282"/>
    </row>
    <row r="134" spans="1:18">
      <c r="A134" t="s">
        <v>1788</v>
      </c>
      <c r="B134">
        <v>206</v>
      </c>
      <c r="C134" t="s">
        <v>2490</v>
      </c>
      <c r="D134">
        <v>0.41320000000000001</v>
      </c>
      <c r="E134">
        <v>7.8723999999999998</v>
      </c>
      <c r="F134">
        <v>0.20150000000000001</v>
      </c>
      <c r="G134">
        <f t="shared" si="20"/>
        <v>8.0739000000000001</v>
      </c>
      <c r="H134">
        <v>7.9099000000000004</v>
      </c>
      <c r="I134" s="281">
        <f>G134-H134</f>
        <v>0.1639999999999997</v>
      </c>
      <c r="J134" s="280">
        <f t="shared" si="15"/>
        <v>3.7500000000000311E-2</v>
      </c>
      <c r="K134" s="282">
        <f t="shared" si="16"/>
        <v>18.61042183622844</v>
      </c>
      <c r="L134">
        <v>42</v>
      </c>
      <c r="M134" s="16">
        <v>43399</v>
      </c>
      <c r="N134" s="16">
        <v>43400</v>
      </c>
      <c r="R134" s="282"/>
    </row>
    <row r="135" spans="1:18">
      <c r="A135" t="s">
        <v>1787</v>
      </c>
      <c r="C135" t="s">
        <v>3694</v>
      </c>
      <c r="D135">
        <v>0.70720000000000005</v>
      </c>
      <c r="E135">
        <v>11.055099999999999</v>
      </c>
      <c r="F135">
        <v>0.2321</v>
      </c>
      <c r="G135" s="281">
        <f t="shared" si="20"/>
        <v>11.2872</v>
      </c>
      <c r="H135" s="281">
        <v>11.1227</v>
      </c>
      <c r="I135" s="281">
        <f>G135-H135</f>
        <v>0.16450000000000031</v>
      </c>
      <c r="J135" s="280">
        <f t="shared" si="15"/>
        <v>6.7599999999999688E-2</v>
      </c>
      <c r="K135" s="282">
        <f t="shared" si="16"/>
        <v>29.125376992675438</v>
      </c>
      <c r="L135">
        <v>19</v>
      </c>
      <c r="M135" s="283">
        <v>43361</v>
      </c>
      <c r="N135" s="283">
        <v>43362</v>
      </c>
      <c r="O135" s="280" t="s">
        <v>3707</v>
      </c>
      <c r="R135" s="282"/>
    </row>
    <row r="136" spans="1:18">
      <c r="A136" t="s">
        <v>1785</v>
      </c>
      <c r="C136" t="s">
        <v>3761</v>
      </c>
      <c r="D136">
        <v>0.74970000000000003</v>
      </c>
      <c r="E136">
        <v>9.7751999999999999</v>
      </c>
      <c r="F136">
        <v>0.20319999999999999</v>
      </c>
      <c r="G136" s="281">
        <f t="shared" si="20"/>
        <v>9.9784000000000006</v>
      </c>
      <c r="H136" s="281">
        <v>9.8049999999999997</v>
      </c>
      <c r="I136" s="281">
        <f>G136-H136</f>
        <v>0.17340000000000089</v>
      </c>
      <c r="J136" s="280">
        <f t="shared" si="15"/>
        <v>2.9799999999999105E-2</v>
      </c>
      <c r="K136" s="282">
        <f t="shared" si="16"/>
        <v>14.665354330708222</v>
      </c>
      <c r="L136">
        <v>16</v>
      </c>
      <c r="M136" s="16">
        <v>43399</v>
      </c>
      <c r="N136" s="16">
        <v>43400</v>
      </c>
      <c r="R136" s="282"/>
    </row>
    <row r="137" spans="1:18">
      <c r="A137" t="s">
        <v>1784</v>
      </c>
      <c r="C137" t="s">
        <v>3441</v>
      </c>
      <c r="D137">
        <v>0.53210000000000002</v>
      </c>
      <c r="E137">
        <v>11.0571</v>
      </c>
      <c r="F137">
        <v>0.2077</v>
      </c>
      <c r="G137" s="285">
        <f t="shared" si="20"/>
        <v>11.264800000000001</v>
      </c>
      <c r="H137" s="281">
        <v>11.1181</v>
      </c>
      <c r="I137" s="285">
        <f>G137-H137</f>
        <v>0.14670000000000094</v>
      </c>
      <c r="J137" s="280">
        <f t="shared" si="15"/>
        <v>6.0999999999999055E-2</v>
      </c>
      <c r="K137" s="282">
        <f t="shared" si="16"/>
        <v>29.369282619161797</v>
      </c>
      <c r="L137">
        <v>6</v>
      </c>
      <c r="M137" s="283">
        <v>43379</v>
      </c>
      <c r="N137" s="283">
        <v>43379</v>
      </c>
      <c r="O137" s="280"/>
      <c r="R137" s="282"/>
    </row>
    <row r="138" spans="1:18">
      <c r="A138" t="s">
        <v>1783</v>
      </c>
      <c r="C138" t="s">
        <v>3693</v>
      </c>
      <c r="D138">
        <v>1.6738999999999999</v>
      </c>
      <c r="E138">
        <v>8.0961999999999996</v>
      </c>
      <c r="F138">
        <v>0.23669999999999999</v>
      </c>
      <c r="G138" s="281">
        <f t="shared" si="20"/>
        <v>8.3329000000000004</v>
      </c>
      <c r="H138" s="281">
        <v>8.1098999999999997</v>
      </c>
      <c r="I138" s="281">
        <f>(G138-H138)</f>
        <v>0.22300000000000075</v>
      </c>
      <c r="J138" s="280">
        <f t="shared" si="15"/>
        <v>1.3699999999999241E-2</v>
      </c>
      <c r="K138" s="282">
        <f t="shared" si="16"/>
        <v>5.78791719476098</v>
      </c>
      <c r="L138">
        <v>34</v>
      </c>
      <c r="M138" s="283">
        <v>43360</v>
      </c>
      <c r="N138" s="283">
        <v>43361</v>
      </c>
      <c r="O138" s="280" t="s">
        <v>3684</v>
      </c>
      <c r="R138" s="282"/>
    </row>
    <row r="139" spans="1:18">
      <c r="A139" t="s">
        <v>1782</v>
      </c>
      <c r="C139" t="s">
        <v>3703</v>
      </c>
      <c r="D139">
        <v>1.6014999999999999</v>
      </c>
      <c r="E139">
        <v>7.8029999999999999</v>
      </c>
      <c r="F139">
        <v>0.2107</v>
      </c>
      <c r="G139" s="281">
        <f t="shared" si="20"/>
        <v>8.0137</v>
      </c>
      <c r="H139" s="281">
        <v>7.8228</v>
      </c>
      <c r="I139" s="281">
        <f t="shared" ref="I139:I144" si="21">G139-H139</f>
        <v>0.19090000000000007</v>
      </c>
      <c r="J139" s="280">
        <f t="shared" si="15"/>
        <v>1.9799999999999929E-2</v>
      </c>
      <c r="K139" s="282">
        <f t="shared" si="16"/>
        <v>9.3972472710013903</v>
      </c>
      <c r="L139">
        <v>28</v>
      </c>
      <c r="M139" s="16">
        <v>43399</v>
      </c>
      <c r="N139" s="16">
        <v>43400</v>
      </c>
      <c r="R139" s="282"/>
    </row>
    <row r="140" spans="1:18">
      <c r="A140" t="s">
        <v>2023</v>
      </c>
      <c r="B140">
        <v>198</v>
      </c>
      <c r="D140">
        <v>0.55259999999999998</v>
      </c>
      <c r="E140">
        <v>8.7041000000000004</v>
      </c>
      <c r="F140">
        <v>0.2039</v>
      </c>
      <c r="G140" s="281">
        <f t="shared" si="20"/>
        <v>8.9080000000000013</v>
      </c>
      <c r="H140" s="281">
        <v>8.7571999999999992</v>
      </c>
      <c r="I140" s="281">
        <f t="shared" si="21"/>
        <v>0.15080000000000204</v>
      </c>
      <c r="J140" s="280">
        <f t="shared" si="15"/>
        <v>5.3099999999997954E-2</v>
      </c>
      <c r="K140" s="282">
        <f t="shared" si="16"/>
        <v>26.042177538007827</v>
      </c>
      <c r="L140">
        <v>2</v>
      </c>
      <c r="M140" s="16">
        <v>43395</v>
      </c>
      <c r="N140" s="16">
        <v>43396</v>
      </c>
      <c r="R140" s="282"/>
    </row>
    <row r="141" spans="1:18">
      <c r="A141" t="s">
        <v>1777</v>
      </c>
      <c r="C141" t="s">
        <v>3722</v>
      </c>
      <c r="D141">
        <v>1.7927999999999999</v>
      </c>
      <c r="E141">
        <v>8.7614000000000001</v>
      </c>
      <c r="F141">
        <v>0.23269999999999999</v>
      </c>
      <c r="G141" s="281">
        <f t="shared" si="20"/>
        <v>8.9940999999999995</v>
      </c>
      <c r="H141" s="281">
        <v>8.7733000000000008</v>
      </c>
      <c r="I141" s="281">
        <f t="shared" si="21"/>
        <v>0.22079999999999878</v>
      </c>
      <c r="J141" s="280">
        <f t="shared" si="15"/>
        <v>1.1900000000001215E-2</v>
      </c>
      <c r="K141" s="282">
        <f t="shared" si="16"/>
        <v>5.1138805328754682</v>
      </c>
      <c r="L141">
        <v>15</v>
      </c>
      <c r="M141" s="283">
        <v>43362</v>
      </c>
      <c r="N141" s="283">
        <v>43363</v>
      </c>
      <c r="O141" s="280"/>
      <c r="R141" s="282"/>
    </row>
    <row r="142" spans="1:18">
      <c r="A142" t="s">
        <v>1776</v>
      </c>
      <c r="C142" t="s">
        <v>3751</v>
      </c>
      <c r="D142">
        <v>0.88290000000000002</v>
      </c>
      <c r="E142">
        <v>9.2363</v>
      </c>
      <c r="F142">
        <v>0.2107</v>
      </c>
      <c r="G142" s="281">
        <f t="shared" si="20"/>
        <v>9.4469999999999992</v>
      </c>
      <c r="H142" s="281">
        <v>9.2727000000000004</v>
      </c>
      <c r="I142" s="281">
        <f t="shared" si="21"/>
        <v>0.17429999999999879</v>
      </c>
      <c r="J142" s="280">
        <f t="shared" si="15"/>
        <v>3.6400000000001209E-2</v>
      </c>
      <c r="K142" s="282">
        <f t="shared" si="16"/>
        <v>17.275747508306221</v>
      </c>
      <c r="L142">
        <v>2</v>
      </c>
      <c r="M142" s="16">
        <v>43388</v>
      </c>
      <c r="N142" s="283">
        <v>43389</v>
      </c>
      <c r="O142" s="283"/>
      <c r="P142" s="280"/>
      <c r="R142" s="282"/>
    </row>
    <row r="143" spans="1:18">
      <c r="A143" t="s">
        <v>1775</v>
      </c>
      <c r="C143" t="s">
        <v>3481</v>
      </c>
      <c r="D143">
        <v>1.0206</v>
      </c>
      <c r="E143">
        <v>10.7043</v>
      </c>
      <c r="F143">
        <v>0.20599999999999999</v>
      </c>
      <c r="G143" s="281">
        <f t="shared" si="20"/>
        <v>10.910299999999999</v>
      </c>
      <c r="H143" s="281">
        <v>10.7407</v>
      </c>
      <c r="I143" s="281">
        <f t="shared" si="21"/>
        <v>0.16959999999999908</v>
      </c>
      <c r="J143" s="280">
        <f t="shared" si="15"/>
        <v>3.6400000000000904E-2</v>
      </c>
      <c r="K143" s="282">
        <f t="shared" si="16"/>
        <v>17.669902912621797</v>
      </c>
      <c r="L143">
        <v>26</v>
      </c>
      <c r="M143" s="283">
        <v>43363</v>
      </c>
      <c r="N143" s="283">
        <v>43364</v>
      </c>
      <c r="O143" s="280" t="s">
        <v>3732</v>
      </c>
      <c r="R143" s="282"/>
    </row>
    <row r="144" spans="1:18">
      <c r="A144" t="s">
        <v>1773</v>
      </c>
      <c r="C144" t="s">
        <v>3724</v>
      </c>
      <c r="D144">
        <v>1.6758999999999999</v>
      </c>
      <c r="E144">
        <v>7.4760999999999997</v>
      </c>
      <c r="F144">
        <v>0.2442</v>
      </c>
      <c r="G144">
        <f t="shared" si="20"/>
        <v>7.7202999999999999</v>
      </c>
      <c r="H144">
        <v>7.5316999999999998</v>
      </c>
      <c r="I144" s="281">
        <f t="shared" si="21"/>
        <v>0.1886000000000001</v>
      </c>
      <c r="J144" s="280">
        <f t="shared" si="15"/>
        <v>5.55999999999999E-2</v>
      </c>
      <c r="K144" s="282">
        <f t="shared" si="16"/>
        <v>22.768222768222728</v>
      </c>
      <c r="L144">
        <v>20</v>
      </c>
      <c r="M144" s="16">
        <v>43402</v>
      </c>
      <c r="N144" s="16">
        <v>43403</v>
      </c>
      <c r="R144" s="282"/>
    </row>
    <row r="145" spans="1:18">
      <c r="A145" t="s">
        <v>1772</v>
      </c>
      <c r="C145" t="s">
        <v>3691</v>
      </c>
      <c r="D145">
        <v>1.6702999999999999</v>
      </c>
      <c r="E145">
        <v>9.1378000000000004</v>
      </c>
      <c r="F145">
        <v>0.20069999999999999</v>
      </c>
      <c r="G145" s="281">
        <f t="shared" si="20"/>
        <v>9.3384999999999998</v>
      </c>
      <c r="H145" s="281">
        <v>9.1496999999999993</v>
      </c>
      <c r="I145" s="281">
        <f>(G145-H145)</f>
        <v>0.18880000000000052</v>
      </c>
      <c r="J145" s="280">
        <f t="shared" si="15"/>
        <v>1.1899999999999467E-2</v>
      </c>
      <c r="K145" s="282">
        <f t="shared" si="16"/>
        <v>5.9292476332832429</v>
      </c>
      <c r="L145">
        <v>13</v>
      </c>
      <c r="M145" s="283">
        <v>43360</v>
      </c>
      <c r="N145" s="283">
        <v>43361</v>
      </c>
      <c r="O145" s="280" t="s">
        <v>3684</v>
      </c>
      <c r="R145" s="282"/>
    </row>
    <row r="146" spans="1:18">
      <c r="A146" t="s">
        <v>1766</v>
      </c>
      <c r="C146" t="s">
        <v>3657</v>
      </c>
      <c r="D146">
        <v>0.95940000000000003</v>
      </c>
      <c r="E146">
        <f>G146-F146</f>
        <v>10.1082</v>
      </c>
      <c r="F146">
        <v>0.2172</v>
      </c>
      <c r="G146" s="281">
        <v>10.3254</v>
      </c>
      <c r="H146" s="281">
        <v>10.1347</v>
      </c>
      <c r="I146" s="281">
        <f>(G146-H146)</f>
        <v>0.19069999999999965</v>
      </c>
      <c r="J146" s="280">
        <f t="shared" si="15"/>
        <v>2.6500000000000357E-2</v>
      </c>
      <c r="K146" s="282">
        <f t="shared" si="16"/>
        <v>12.200736648250626</v>
      </c>
      <c r="L146">
        <v>2</v>
      </c>
      <c r="M146" s="283">
        <v>43360</v>
      </c>
      <c r="N146" s="283">
        <v>43361</v>
      </c>
      <c r="O146" s="280"/>
      <c r="R146" s="282"/>
    </row>
    <row r="147" spans="1:18">
      <c r="A147" t="s">
        <v>1761</v>
      </c>
      <c r="C147" t="s">
        <v>3473</v>
      </c>
      <c r="D147">
        <v>1.0654999999999999</v>
      </c>
      <c r="E147">
        <v>10.617699999999999</v>
      </c>
      <c r="F147">
        <v>0.20530000000000001</v>
      </c>
      <c r="G147" s="281">
        <f t="shared" ref="G147:G210" si="22">E147+F147</f>
        <v>10.822999999999999</v>
      </c>
      <c r="H147" s="281">
        <v>10.64</v>
      </c>
      <c r="I147" s="281">
        <f>G147-H147</f>
        <v>0.18299999999999805</v>
      </c>
      <c r="J147" s="280">
        <f t="shared" si="15"/>
        <v>2.2300000000001957E-2</v>
      </c>
      <c r="K147" s="282">
        <f t="shared" si="16"/>
        <v>10.862152946907919</v>
      </c>
      <c r="L147">
        <v>27</v>
      </c>
      <c r="M147" s="283">
        <v>43363</v>
      </c>
      <c r="N147" s="283">
        <v>43364</v>
      </c>
      <c r="R147" s="282"/>
    </row>
    <row r="148" spans="1:18">
      <c r="A148" t="s">
        <v>1760</v>
      </c>
      <c r="C148" t="s">
        <v>3478</v>
      </c>
      <c r="D148">
        <v>1.4702999999999999</v>
      </c>
      <c r="E148">
        <v>10.740399999999999</v>
      </c>
      <c r="F148">
        <v>0.24010000000000001</v>
      </c>
      <c r="G148" s="281">
        <f t="shared" si="22"/>
        <v>10.980499999999999</v>
      </c>
      <c r="H148" s="281">
        <v>10.7583</v>
      </c>
      <c r="I148" s="281">
        <f>G148-H148</f>
        <v>0.22219999999999906</v>
      </c>
      <c r="J148" s="280">
        <f t="shared" si="15"/>
        <v>1.7900000000000943E-2</v>
      </c>
      <c r="K148" s="282">
        <f t="shared" si="16"/>
        <v>7.4552269887550784</v>
      </c>
      <c r="L148">
        <v>2</v>
      </c>
      <c r="M148" s="283">
        <v>43363</v>
      </c>
      <c r="N148" s="283">
        <v>43364</v>
      </c>
      <c r="O148" s="280"/>
      <c r="R148" s="282"/>
    </row>
    <row r="149" spans="1:18">
      <c r="A149" t="s">
        <v>1758</v>
      </c>
      <c r="C149" t="s">
        <v>3679</v>
      </c>
      <c r="D149">
        <v>0.69669999999999999</v>
      </c>
      <c r="E149">
        <v>8.7598000000000003</v>
      </c>
      <c r="F149">
        <v>0.2031</v>
      </c>
      <c r="G149" s="281">
        <f t="shared" si="22"/>
        <v>8.9628999999999994</v>
      </c>
      <c r="H149" s="281">
        <v>8.7980999999999998</v>
      </c>
      <c r="I149" s="281">
        <f>(G149-H149)</f>
        <v>0.16479999999999961</v>
      </c>
      <c r="J149" s="280">
        <f t="shared" si="15"/>
        <v>3.8300000000000389E-2</v>
      </c>
      <c r="K149" s="282">
        <f t="shared" si="16"/>
        <v>18.857705563761883</v>
      </c>
      <c r="L149">
        <v>34</v>
      </c>
      <c r="M149" s="283">
        <v>43360</v>
      </c>
      <c r="N149" s="283">
        <v>43361</v>
      </c>
      <c r="R149" s="282"/>
    </row>
    <row r="150" spans="1:18">
      <c r="A150" t="s">
        <v>1757</v>
      </c>
      <c r="C150" t="s">
        <v>3731</v>
      </c>
      <c r="D150" s="280">
        <v>1.6407</v>
      </c>
      <c r="E150" s="281">
        <v>9.6792999999999996</v>
      </c>
      <c r="F150" s="281">
        <v>0.23730000000000001</v>
      </c>
      <c r="G150" s="285">
        <f t="shared" si="22"/>
        <v>9.916599999999999</v>
      </c>
      <c r="H150" s="281">
        <v>9.6951999999999998</v>
      </c>
      <c r="I150" s="285">
        <f t="shared" ref="I150:I168" si="23">G150-H150</f>
        <v>0.22139999999999915</v>
      </c>
      <c r="J150" s="280">
        <f t="shared" si="15"/>
        <v>1.5900000000000858E-2</v>
      </c>
      <c r="K150" s="282">
        <f t="shared" si="16"/>
        <v>6.7003792667513089</v>
      </c>
      <c r="L150" s="280">
        <v>1</v>
      </c>
      <c r="M150" s="283">
        <v>43379</v>
      </c>
      <c r="N150" s="283">
        <v>43379</v>
      </c>
      <c r="O150" s="280"/>
      <c r="P150" s="280"/>
      <c r="R150" s="282"/>
    </row>
    <row r="151" spans="1:18">
      <c r="A151" t="s">
        <v>1756</v>
      </c>
      <c r="C151" t="s">
        <v>3711</v>
      </c>
      <c r="D151">
        <v>0.73580000000000001</v>
      </c>
      <c r="E151">
        <v>19.408899999999999</v>
      </c>
      <c r="F151">
        <v>0.21940000000000001</v>
      </c>
      <c r="G151" s="281">
        <f t="shared" si="22"/>
        <v>19.628299999999999</v>
      </c>
      <c r="H151" s="281">
        <v>19.474</v>
      </c>
      <c r="I151" s="281">
        <f t="shared" si="23"/>
        <v>0.15429999999999922</v>
      </c>
      <c r="J151" s="280">
        <f t="shared" si="15"/>
        <v>6.5100000000000796E-2</v>
      </c>
      <c r="K151" s="282">
        <f t="shared" si="16"/>
        <v>29.671832269827163</v>
      </c>
      <c r="L151">
        <v>30</v>
      </c>
      <c r="M151" s="283">
        <v>43361</v>
      </c>
      <c r="N151" s="283">
        <v>43362</v>
      </c>
      <c r="O151" s="280" t="s">
        <v>3707</v>
      </c>
      <c r="R151" s="282"/>
    </row>
    <row r="152" spans="1:18">
      <c r="A152" t="s">
        <v>1755</v>
      </c>
      <c r="C152" t="s">
        <v>3396</v>
      </c>
      <c r="D152">
        <v>0.74370000000000003</v>
      </c>
      <c r="E152">
        <v>8.2199000000000009</v>
      </c>
      <c r="F152">
        <v>0.2021</v>
      </c>
      <c r="G152" s="281">
        <f t="shared" si="22"/>
        <v>8.4220000000000006</v>
      </c>
      <c r="H152" s="281">
        <v>8.2733000000000008</v>
      </c>
      <c r="I152" s="281">
        <f t="shared" si="23"/>
        <v>0.14869999999999983</v>
      </c>
      <c r="J152" s="280">
        <f t="shared" si="15"/>
        <v>5.340000000000017E-2</v>
      </c>
      <c r="K152" s="282">
        <f t="shared" si="16"/>
        <v>26.422563087580492</v>
      </c>
      <c r="L152">
        <v>10</v>
      </c>
      <c r="M152" s="16">
        <v>43388</v>
      </c>
      <c r="N152" s="283">
        <v>43389</v>
      </c>
      <c r="O152" s="283"/>
      <c r="P152" s="280"/>
      <c r="R152" s="282"/>
    </row>
    <row r="153" spans="1:18">
      <c r="A153" t="s">
        <v>2020</v>
      </c>
      <c r="C153" t="s">
        <v>3409</v>
      </c>
      <c r="D153">
        <v>0.59309999999999996</v>
      </c>
      <c r="E153">
        <v>10.795500000000001</v>
      </c>
      <c r="F153">
        <v>0.22020000000000001</v>
      </c>
      <c r="G153" s="281">
        <f t="shared" si="22"/>
        <v>11.015700000000001</v>
      </c>
      <c r="H153" s="281">
        <v>10.8386</v>
      </c>
      <c r="I153" s="281">
        <f t="shared" si="23"/>
        <v>0.17710000000000115</v>
      </c>
      <c r="J153" s="280">
        <f t="shared" si="15"/>
        <v>4.3099999999998861E-2</v>
      </c>
      <c r="K153" s="282">
        <f t="shared" si="16"/>
        <v>19.57311534968159</v>
      </c>
      <c r="L153">
        <v>20</v>
      </c>
      <c r="M153" s="16">
        <v>43388</v>
      </c>
      <c r="N153" s="283">
        <v>43389</v>
      </c>
      <c r="O153" s="16"/>
      <c r="R153" s="282"/>
    </row>
    <row r="154" spans="1:18">
      <c r="A154" t="s">
        <v>1750</v>
      </c>
      <c r="C154" t="s">
        <v>3681</v>
      </c>
      <c r="D154">
        <v>1.6894</v>
      </c>
      <c r="E154">
        <v>7.8613</v>
      </c>
      <c r="F154">
        <v>0.2127</v>
      </c>
      <c r="G154" s="281">
        <f t="shared" si="22"/>
        <v>8.0739999999999998</v>
      </c>
      <c r="H154" s="281">
        <v>7.8746999999999998</v>
      </c>
      <c r="I154" s="281">
        <f t="shared" si="23"/>
        <v>0.19930000000000003</v>
      </c>
      <c r="J154" s="280">
        <f t="shared" ref="J154:J217" si="24">F154-I154</f>
        <v>1.3399999999999967E-2</v>
      </c>
      <c r="K154" s="282">
        <f t="shared" ref="K154:K217" si="25">(J154/F154)*100</f>
        <v>6.2999529854254668</v>
      </c>
      <c r="L154">
        <v>14</v>
      </c>
      <c r="M154" s="283">
        <v>43374</v>
      </c>
      <c r="N154" s="283">
        <v>43375</v>
      </c>
      <c r="O154" s="280" t="s">
        <v>3707</v>
      </c>
      <c r="R154" s="282"/>
    </row>
    <row r="155" spans="1:18">
      <c r="A155" t="s">
        <v>1749</v>
      </c>
      <c r="C155" t="s">
        <v>3454</v>
      </c>
      <c r="D155">
        <v>0.47089999999999999</v>
      </c>
      <c r="E155">
        <v>8.8465000000000007</v>
      </c>
      <c r="F155">
        <v>0.23549999999999999</v>
      </c>
      <c r="G155" s="281">
        <f t="shared" si="22"/>
        <v>9.0820000000000007</v>
      </c>
      <c r="H155" s="281">
        <v>8.8833000000000002</v>
      </c>
      <c r="I155" s="281">
        <f t="shared" si="23"/>
        <v>0.19870000000000054</v>
      </c>
      <c r="J155" s="280">
        <f t="shared" si="24"/>
        <v>3.6799999999999444E-2</v>
      </c>
      <c r="K155" s="282">
        <f t="shared" si="25"/>
        <v>15.626326963906347</v>
      </c>
      <c r="L155">
        <v>15</v>
      </c>
      <c r="M155" s="283">
        <v>43363</v>
      </c>
      <c r="N155" s="283">
        <v>43364</v>
      </c>
      <c r="O155" s="280"/>
      <c r="P155" t="s">
        <v>3738</v>
      </c>
      <c r="R155" s="282"/>
    </row>
    <row r="156" spans="1:18">
      <c r="A156" t="s">
        <v>1747</v>
      </c>
      <c r="C156" t="s">
        <v>3468</v>
      </c>
      <c r="D156">
        <v>1.4985999999999999</v>
      </c>
      <c r="E156">
        <v>8.0891999999999999</v>
      </c>
      <c r="F156">
        <v>0.20230000000000001</v>
      </c>
      <c r="G156" s="281">
        <f t="shared" si="22"/>
        <v>8.2914999999999992</v>
      </c>
      <c r="H156" s="281">
        <v>8.1057000000000006</v>
      </c>
      <c r="I156" s="281">
        <f t="shared" si="23"/>
        <v>0.18579999999999863</v>
      </c>
      <c r="J156" s="280">
        <f t="shared" si="24"/>
        <v>1.6500000000001375E-2</v>
      </c>
      <c r="K156" s="282">
        <f t="shared" si="25"/>
        <v>8.1562036579344408</v>
      </c>
      <c r="L156">
        <v>4</v>
      </c>
      <c r="M156" s="283">
        <v>43363</v>
      </c>
      <c r="N156" s="283">
        <v>43364</v>
      </c>
      <c r="O156" s="280"/>
      <c r="R156" s="282"/>
    </row>
    <row r="157" spans="1:18">
      <c r="A157" t="s">
        <v>1741</v>
      </c>
      <c r="C157" t="s">
        <v>3450</v>
      </c>
      <c r="D157">
        <v>0.64359999999999995</v>
      </c>
      <c r="E157">
        <v>8.1205999999999996</v>
      </c>
      <c r="F157">
        <v>0.2024</v>
      </c>
      <c r="G157" s="281">
        <f t="shared" si="22"/>
        <v>8.3230000000000004</v>
      </c>
      <c r="H157" s="281">
        <v>8.19</v>
      </c>
      <c r="I157" s="281">
        <f t="shared" si="23"/>
        <v>0.1330000000000009</v>
      </c>
      <c r="J157" s="280">
        <f t="shared" si="24"/>
        <v>6.9399999999999101E-2</v>
      </c>
      <c r="K157" s="282">
        <f t="shared" si="25"/>
        <v>34.288537549406669</v>
      </c>
      <c r="L157">
        <v>23</v>
      </c>
      <c r="M157" s="283">
        <v>43374</v>
      </c>
      <c r="N157" s="283">
        <v>43375</v>
      </c>
      <c r="O157" s="280" t="s">
        <v>3707</v>
      </c>
      <c r="R157" s="282"/>
    </row>
    <row r="158" spans="1:18">
      <c r="A158" t="s">
        <v>1738</v>
      </c>
      <c r="C158" t="s">
        <v>3754</v>
      </c>
      <c r="D158">
        <v>1.6714</v>
      </c>
      <c r="E158">
        <v>11.259600000000001</v>
      </c>
      <c r="F158">
        <v>0.2049</v>
      </c>
      <c r="G158" s="281">
        <f t="shared" si="22"/>
        <v>11.464500000000001</v>
      </c>
      <c r="H158" s="281">
        <v>11.270899999999999</v>
      </c>
      <c r="I158" s="281">
        <f t="shared" si="23"/>
        <v>0.19360000000000177</v>
      </c>
      <c r="J158" s="280">
        <f t="shared" si="24"/>
        <v>1.1299999999998228E-2</v>
      </c>
      <c r="K158" s="282">
        <f t="shared" si="25"/>
        <v>5.5148853099064077</v>
      </c>
      <c r="L158">
        <v>40</v>
      </c>
      <c r="M158">
        <v>23.101800000000001</v>
      </c>
      <c r="N158" s="16">
        <v>43397</v>
      </c>
      <c r="R158" s="282"/>
    </row>
    <row r="159" spans="1:18">
      <c r="A159" t="s">
        <v>1737</v>
      </c>
      <c r="B159">
        <v>217</v>
      </c>
      <c r="C159" t="s">
        <v>2490</v>
      </c>
      <c r="D159">
        <v>0.57699999999999996</v>
      </c>
      <c r="E159">
        <v>8.0656999999999996</v>
      </c>
      <c r="F159">
        <v>0.20960000000000001</v>
      </c>
      <c r="G159" s="281">
        <f t="shared" si="22"/>
        <v>8.2752999999999997</v>
      </c>
      <c r="H159" s="281">
        <v>8.1027000000000005</v>
      </c>
      <c r="I159" s="281">
        <f t="shared" si="23"/>
        <v>0.1725999999999992</v>
      </c>
      <c r="J159" s="280">
        <f t="shared" si="24"/>
        <v>3.700000000000081E-2</v>
      </c>
      <c r="K159" s="282">
        <f t="shared" si="25"/>
        <v>17.652671755725578</v>
      </c>
      <c r="L159">
        <v>32</v>
      </c>
      <c r="M159" s="16">
        <v>43395</v>
      </c>
      <c r="N159" s="16">
        <v>43396</v>
      </c>
      <c r="R159" s="282"/>
    </row>
    <row r="160" spans="1:18">
      <c r="A160" t="s">
        <v>1736</v>
      </c>
      <c r="C160" t="s">
        <v>3740</v>
      </c>
      <c r="D160">
        <v>0.59319999999999995</v>
      </c>
      <c r="E160">
        <v>11.864000000000001</v>
      </c>
      <c r="F160">
        <v>0.23580000000000001</v>
      </c>
      <c r="G160" s="281">
        <f t="shared" si="22"/>
        <v>12.0998</v>
      </c>
      <c r="H160" s="281">
        <v>11.9154</v>
      </c>
      <c r="I160" s="281">
        <f t="shared" si="23"/>
        <v>0.18440000000000012</v>
      </c>
      <c r="J160" s="280">
        <f t="shared" si="24"/>
        <v>5.139999999999989E-2</v>
      </c>
      <c r="K160" s="282">
        <f t="shared" si="25"/>
        <v>21.798134011874424</v>
      </c>
      <c r="L160">
        <v>37</v>
      </c>
      <c r="M160" s="283">
        <v>43363</v>
      </c>
      <c r="N160" s="283">
        <v>43364</v>
      </c>
      <c r="R160" s="282"/>
    </row>
    <row r="161" spans="1:30">
      <c r="A161" t="s">
        <v>1735</v>
      </c>
      <c r="B161">
        <v>201</v>
      </c>
      <c r="D161">
        <v>0.66920000000000002</v>
      </c>
      <c r="E161">
        <v>7.4762000000000004</v>
      </c>
      <c r="F161">
        <v>0.2077</v>
      </c>
      <c r="G161" s="281">
        <f t="shared" si="22"/>
        <v>7.6839000000000004</v>
      </c>
      <c r="H161" s="281">
        <v>7.5107999999999997</v>
      </c>
      <c r="I161" s="281">
        <f t="shared" si="23"/>
        <v>0.1731000000000007</v>
      </c>
      <c r="J161" s="280">
        <f t="shared" si="24"/>
        <v>3.4599999999999298E-2</v>
      </c>
      <c r="K161" s="282">
        <f t="shared" si="25"/>
        <v>16.658642272508086</v>
      </c>
      <c r="L161">
        <v>14</v>
      </c>
      <c r="M161">
        <v>23.101800000000001</v>
      </c>
      <c r="N161" s="16">
        <v>43397</v>
      </c>
      <c r="R161" s="282"/>
    </row>
    <row r="162" spans="1:30">
      <c r="A162" t="s">
        <v>1734</v>
      </c>
      <c r="C162" t="s">
        <v>3465</v>
      </c>
      <c r="D162">
        <v>0.51480000000000004</v>
      </c>
      <c r="E162">
        <v>11.1229</v>
      </c>
      <c r="F162">
        <v>0.20630000000000001</v>
      </c>
      <c r="G162" s="281">
        <f t="shared" si="22"/>
        <v>11.3292</v>
      </c>
      <c r="H162" s="281">
        <v>11.152699999999999</v>
      </c>
      <c r="I162" s="281">
        <f t="shared" si="23"/>
        <v>0.17650000000000077</v>
      </c>
      <c r="J162" s="280">
        <f t="shared" si="24"/>
        <v>2.9799999999999244E-2</v>
      </c>
      <c r="K162" s="282">
        <f t="shared" si="25"/>
        <v>14.444983034415532</v>
      </c>
      <c r="L162">
        <v>32</v>
      </c>
      <c r="M162" s="283">
        <v>43363</v>
      </c>
      <c r="N162" s="283">
        <v>43364</v>
      </c>
      <c r="O162" s="280" t="s">
        <v>3732</v>
      </c>
      <c r="R162" s="282"/>
    </row>
    <row r="163" spans="1:30">
      <c r="A163" t="s">
        <v>1732</v>
      </c>
      <c r="C163" t="s">
        <v>3697</v>
      </c>
      <c r="D163">
        <v>0.58660000000000001</v>
      </c>
      <c r="E163">
        <v>11.903600000000001</v>
      </c>
      <c r="F163">
        <v>0.21740000000000001</v>
      </c>
      <c r="G163" s="281">
        <f t="shared" si="22"/>
        <v>12.121</v>
      </c>
      <c r="H163" s="281">
        <v>11.9339</v>
      </c>
      <c r="I163" s="281">
        <f t="shared" si="23"/>
        <v>0.18710000000000093</v>
      </c>
      <c r="J163" s="280">
        <f t="shared" si="24"/>
        <v>3.0299999999999078E-2</v>
      </c>
      <c r="K163" s="282">
        <f t="shared" si="25"/>
        <v>13.937442502299483</v>
      </c>
      <c r="L163">
        <v>14</v>
      </c>
      <c r="M163" s="283">
        <v>43361</v>
      </c>
      <c r="N163" s="283">
        <v>43362</v>
      </c>
      <c r="O163" s="280" t="s">
        <v>3707</v>
      </c>
      <c r="R163" s="282"/>
    </row>
    <row r="164" spans="1:30">
      <c r="A164" t="s">
        <v>1731</v>
      </c>
      <c r="C164" t="s">
        <v>3750</v>
      </c>
      <c r="D164">
        <v>1.657</v>
      </c>
      <c r="E164">
        <v>11.864000000000001</v>
      </c>
      <c r="F164">
        <v>0.2137</v>
      </c>
      <c r="G164" s="285">
        <f t="shared" si="22"/>
        <v>12.0777</v>
      </c>
      <c r="H164" s="281">
        <v>11.8775</v>
      </c>
      <c r="I164" s="285">
        <f t="shared" si="23"/>
        <v>0.2002000000000006</v>
      </c>
      <c r="J164" s="280">
        <f t="shared" si="24"/>
        <v>1.3499999999999401E-2</v>
      </c>
      <c r="K164" s="282">
        <f t="shared" si="25"/>
        <v>6.3172671970048668</v>
      </c>
      <c r="L164">
        <v>39</v>
      </c>
      <c r="M164" s="283">
        <v>43379</v>
      </c>
      <c r="N164" s="283">
        <v>43379</v>
      </c>
      <c r="R164" s="282"/>
    </row>
    <row r="165" spans="1:30">
      <c r="A165" t="s">
        <v>2018</v>
      </c>
      <c r="C165" t="s">
        <v>3394</v>
      </c>
      <c r="D165">
        <v>0.59130000000000005</v>
      </c>
      <c r="E165">
        <v>10.155099999999999</v>
      </c>
      <c r="F165">
        <v>0.20949999999999999</v>
      </c>
      <c r="G165" s="281">
        <f t="shared" si="22"/>
        <v>10.364599999999999</v>
      </c>
      <c r="H165" s="281">
        <v>10.209300000000001</v>
      </c>
      <c r="I165" s="281">
        <f t="shared" si="23"/>
        <v>0.15529999999999866</v>
      </c>
      <c r="J165" s="280">
        <f t="shared" si="24"/>
        <v>5.420000000000133E-2</v>
      </c>
      <c r="K165" s="282">
        <f t="shared" si="25"/>
        <v>25.871121718377726</v>
      </c>
      <c r="L165">
        <v>40</v>
      </c>
      <c r="M165" s="283">
        <v>43374</v>
      </c>
      <c r="N165" s="283">
        <v>43375</v>
      </c>
      <c r="O165" s="280" t="s">
        <v>3707</v>
      </c>
      <c r="R165" s="282"/>
    </row>
    <row r="166" spans="1:30">
      <c r="A166" t="s">
        <v>1730</v>
      </c>
      <c r="C166" t="s">
        <v>3747</v>
      </c>
      <c r="D166">
        <v>1.5604</v>
      </c>
      <c r="E166">
        <v>7.7161</v>
      </c>
      <c r="F166">
        <v>0.21679999999999999</v>
      </c>
      <c r="G166" s="285">
        <f t="shared" si="22"/>
        <v>7.9329000000000001</v>
      </c>
      <c r="H166" s="281">
        <v>7.7297000000000002</v>
      </c>
      <c r="I166" s="285">
        <f t="shared" si="23"/>
        <v>0.20319999999999983</v>
      </c>
      <c r="J166" s="280">
        <f t="shared" si="24"/>
        <v>1.3600000000000168E-2</v>
      </c>
      <c r="K166" s="282">
        <f t="shared" si="25"/>
        <v>6.2730627306273838</v>
      </c>
      <c r="L166">
        <v>27</v>
      </c>
      <c r="M166" s="283">
        <v>43379</v>
      </c>
      <c r="N166" s="283">
        <v>43379</v>
      </c>
      <c r="R166" s="282"/>
    </row>
    <row r="167" spans="1:30">
      <c r="A167" t="s">
        <v>1728</v>
      </c>
      <c r="C167" t="s">
        <v>3729</v>
      </c>
      <c r="D167">
        <v>1.6896</v>
      </c>
      <c r="E167">
        <v>9.3444000000000003</v>
      </c>
      <c r="F167">
        <v>0.20630000000000001</v>
      </c>
      <c r="G167" s="285">
        <f t="shared" si="22"/>
        <v>9.5507000000000009</v>
      </c>
      <c r="H167" s="281">
        <v>9.3569999999999993</v>
      </c>
      <c r="I167" s="285">
        <f t="shared" si="23"/>
        <v>0.19370000000000154</v>
      </c>
      <c r="J167" s="280">
        <f t="shared" si="24"/>
        <v>1.2599999999998474E-2</v>
      </c>
      <c r="K167" s="282">
        <f t="shared" si="25"/>
        <v>6.1076102762959152</v>
      </c>
      <c r="L167">
        <v>3</v>
      </c>
      <c r="M167" s="283">
        <v>43379</v>
      </c>
      <c r="N167" s="283">
        <v>43379</v>
      </c>
      <c r="O167" s="280"/>
      <c r="R167" s="282"/>
    </row>
    <row r="168" spans="1:30">
      <c r="A168" t="s">
        <v>1727</v>
      </c>
      <c r="C168" t="s">
        <v>3455</v>
      </c>
      <c r="D168">
        <v>0.57050000000000001</v>
      </c>
      <c r="E168">
        <v>11.0906</v>
      </c>
      <c r="F168">
        <v>0.20610000000000001</v>
      </c>
      <c r="G168" s="281">
        <f t="shared" si="22"/>
        <v>11.2967</v>
      </c>
      <c r="H168" s="281">
        <v>11.1309</v>
      </c>
      <c r="I168" s="281">
        <f t="shared" si="23"/>
        <v>0.16579999999999906</v>
      </c>
      <c r="J168" s="280">
        <f t="shared" si="24"/>
        <v>4.0300000000000946E-2</v>
      </c>
      <c r="K168" s="282">
        <f t="shared" si="25"/>
        <v>19.55361475012176</v>
      </c>
      <c r="L168">
        <v>8</v>
      </c>
      <c r="M168" s="283">
        <v>43374</v>
      </c>
      <c r="N168" s="283">
        <v>43375</v>
      </c>
      <c r="O168" s="280" t="s">
        <v>3707</v>
      </c>
      <c r="R168" s="282"/>
    </row>
    <row r="169" spans="1:30">
      <c r="A169" t="s">
        <v>1726</v>
      </c>
      <c r="C169" t="s">
        <v>3656</v>
      </c>
      <c r="D169">
        <v>1.5694999999999999</v>
      </c>
      <c r="E169">
        <v>9.9166000000000007</v>
      </c>
      <c r="F169">
        <v>0.2001</v>
      </c>
      <c r="G169" s="281">
        <f t="shared" si="22"/>
        <v>10.116700000000002</v>
      </c>
      <c r="H169" s="281">
        <v>9.9318000000000008</v>
      </c>
      <c r="I169" s="281">
        <f>(G169-H169)</f>
        <v>0.18490000000000073</v>
      </c>
      <c r="J169" s="280">
        <f t="shared" si="24"/>
        <v>1.519999999999927E-2</v>
      </c>
      <c r="K169" s="282">
        <f t="shared" si="25"/>
        <v>7.5962018990501106</v>
      </c>
      <c r="L169">
        <v>33</v>
      </c>
      <c r="M169" s="16">
        <v>43358</v>
      </c>
      <c r="N169" s="16">
        <v>43358</v>
      </c>
      <c r="R169" s="282"/>
      <c r="Z169" s="282"/>
      <c r="AB169" s="283"/>
      <c r="AC169" s="283"/>
      <c r="AD169" s="280"/>
    </row>
    <row r="170" spans="1:30">
      <c r="A170" t="s">
        <v>1724</v>
      </c>
      <c r="C170" t="s">
        <v>3660</v>
      </c>
      <c r="D170">
        <v>0.86680000000000001</v>
      </c>
      <c r="E170">
        <v>10.9024</v>
      </c>
      <c r="F170">
        <v>0.24099999999999999</v>
      </c>
      <c r="G170" s="281">
        <f t="shared" si="22"/>
        <v>11.1434</v>
      </c>
      <c r="H170" s="281">
        <v>10.943</v>
      </c>
      <c r="I170" s="281">
        <f>G170-H170</f>
        <v>0.20040000000000013</v>
      </c>
      <c r="J170" s="280">
        <f t="shared" si="24"/>
        <v>4.0599999999999858E-2</v>
      </c>
      <c r="K170" s="282">
        <f t="shared" si="25"/>
        <v>16.846473029045587</v>
      </c>
      <c r="L170">
        <v>32</v>
      </c>
      <c r="M170" s="283">
        <v>43363</v>
      </c>
      <c r="N170" s="283">
        <v>43364</v>
      </c>
      <c r="R170" s="282"/>
    </row>
    <row r="171" spans="1:30">
      <c r="A171" t="s">
        <v>1721</v>
      </c>
      <c r="C171" t="s">
        <v>3639</v>
      </c>
      <c r="D171">
        <v>1.6275999999999999</v>
      </c>
      <c r="E171">
        <v>10.5022</v>
      </c>
      <c r="F171">
        <v>0.2031</v>
      </c>
      <c r="G171" s="281">
        <f t="shared" si="22"/>
        <v>10.705299999999999</v>
      </c>
      <c r="H171" s="281">
        <v>10.513299999999999</v>
      </c>
      <c r="I171" s="281">
        <f>(G171-H171)</f>
        <v>0.19200000000000017</v>
      </c>
      <c r="J171" s="280">
        <f t="shared" si="24"/>
        <v>1.1099999999999832E-2</v>
      </c>
      <c r="K171" s="282">
        <f t="shared" si="25"/>
        <v>5.4652880354504347</v>
      </c>
      <c r="L171">
        <v>3</v>
      </c>
      <c r="M171" s="283">
        <v>43355.625</v>
      </c>
      <c r="N171" s="283">
        <v>43355.791666666664</v>
      </c>
      <c r="O171" s="280" t="s">
        <v>3637</v>
      </c>
      <c r="R171" s="282"/>
    </row>
    <row r="172" spans="1:30">
      <c r="A172" t="s">
        <v>1719</v>
      </c>
      <c r="C172" t="s">
        <v>3753</v>
      </c>
      <c r="D172">
        <v>1.7169000000000001</v>
      </c>
      <c r="E172">
        <v>8.7347999999999999</v>
      </c>
      <c r="F172">
        <v>0.2021</v>
      </c>
      <c r="G172" s="281">
        <f t="shared" si="22"/>
        <v>8.9368999999999996</v>
      </c>
      <c r="H172" s="281">
        <v>8.7462999999999997</v>
      </c>
      <c r="I172" s="281">
        <f>G172-H172</f>
        <v>0.19059999999999988</v>
      </c>
      <c r="J172" s="280">
        <f t="shared" si="24"/>
        <v>1.1500000000000121E-2</v>
      </c>
      <c r="K172" s="282">
        <f t="shared" si="25"/>
        <v>5.6902523503216829</v>
      </c>
      <c r="L172">
        <v>28</v>
      </c>
      <c r="M172" s="16">
        <v>43381</v>
      </c>
      <c r="N172" s="16">
        <v>43382</v>
      </c>
      <c r="R172" s="282"/>
    </row>
    <row r="173" spans="1:30">
      <c r="A173" t="s">
        <v>1718</v>
      </c>
      <c r="C173" t="s">
        <v>3412</v>
      </c>
      <c r="D173">
        <v>0.75490000000000002</v>
      </c>
      <c r="E173">
        <v>18.1126</v>
      </c>
      <c r="F173">
        <v>0.2051</v>
      </c>
      <c r="G173" s="281">
        <f t="shared" si="22"/>
        <v>18.317700000000002</v>
      </c>
      <c r="H173" s="281">
        <v>18.186699999999998</v>
      </c>
      <c r="I173" s="281">
        <f>G173-H173</f>
        <v>0.13100000000000378</v>
      </c>
      <c r="J173" s="280">
        <f t="shared" si="24"/>
        <v>7.4099999999996224E-2</v>
      </c>
      <c r="K173" s="282">
        <f t="shared" si="25"/>
        <v>36.128717698681726</v>
      </c>
      <c r="L173">
        <v>39</v>
      </c>
      <c r="M173" s="283">
        <v>43363</v>
      </c>
      <c r="N173" s="283">
        <v>43364</v>
      </c>
      <c r="O173" s="280" t="s">
        <v>3732</v>
      </c>
      <c r="R173" s="282"/>
    </row>
    <row r="174" spans="1:30">
      <c r="A174" t="s">
        <v>1715</v>
      </c>
      <c r="C174" t="s">
        <v>3409</v>
      </c>
      <c r="D174">
        <v>0.69259999999999999</v>
      </c>
      <c r="E174">
        <v>10.273400000000001</v>
      </c>
      <c r="F174">
        <v>0.20230000000000001</v>
      </c>
      <c r="G174" s="285">
        <f t="shared" si="22"/>
        <v>10.4757</v>
      </c>
      <c r="H174" s="281">
        <v>10.331099999999999</v>
      </c>
      <c r="I174" s="285">
        <f>G174-H174</f>
        <v>0.14460000000000051</v>
      </c>
      <c r="J174" s="280">
        <f t="shared" si="24"/>
        <v>5.7699999999999502E-2</v>
      </c>
      <c r="K174" s="282">
        <f t="shared" si="25"/>
        <v>28.521997034107514</v>
      </c>
      <c r="L174">
        <v>35</v>
      </c>
      <c r="M174" s="283">
        <v>43379</v>
      </c>
      <c r="N174" s="283">
        <v>43379</v>
      </c>
      <c r="R174" s="282"/>
    </row>
    <row r="175" spans="1:30">
      <c r="A175" t="s">
        <v>1714</v>
      </c>
      <c r="C175" t="s">
        <v>3673</v>
      </c>
      <c r="D175">
        <v>1.4553</v>
      </c>
      <c r="E175">
        <v>11.002800000000001</v>
      </c>
      <c r="F175">
        <v>0.21110000000000001</v>
      </c>
      <c r="G175" s="281">
        <f t="shared" si="22"/>
        <v>11.213900000000001</v>
      </c>
      <c r="H175" s="281">
        <v>11.023300000000001</v>
      </c>
      <c r="I175" s="281">
        <f>(G175-H175)</f>
        <v>0.19059999999999988</v>
      </c>
      <c r="J175" s="280">
        <f t="shared" si="24"/>
        <v>2.0500000000000129E-2</v>
      </c>
      <c r="K175" s="282">
        <f t="shared" si="25"/>
        <v>9.7110374230223258</v>
      </c>
      <c r="L175">
        <v>22</v>
      </c>
      <c r="M175" s="283">
        <v>43360</v>
      </c>
      <c r="N175" s="283">
        <v>43361</v>
      </c>
      <c r="R175" s="282"/>
    </row>
    <row r="176" spans="1:30">
      <c r="A176" t="s">
        <v>1712</v>
      </c>
      <c r="B176">
        <v>195</v>
      </c>
      <c r="D176">
        <v>0.65900000000000003</v>
      </c>
      <c r="E176">
        <v>8.0901999999999994</v>
      </c>
      <c r="F176">
        <v>0.20080000000000001</v>
      </c>
      <c r="G176" s="281">
        <f t="shared" si="22"/>
        <v>8.2909999999999986</v>
      </c>
      <c r="H176" s="281">
        <v>8.1227</v>
      </c>
      <c r="I176" s="281">
        <f>G176-H176</f>
        <v>0.16829999999999856</v>
      </c>
      <c r="J176" s="280">
        <f t="shared" si="24"/>
        <v>3.2500000000001444E-2</v>
      </c>
      <c r="K176" s="282">
        <f t="shared" si="25"/>
        <v>16.185258964144143</v>
      </c>
      <c r="L176">
        <v>7</v>
      </c>
      <c r="M176">
        <v>23.101800000000001</v>
      </c>
      <c r="N176" s="16">
        <v>43397</v>
      </c>
      <c r="R176" s="282"/>
    </row>
    <row r="177" spans="1:18">
      <c r="A177" t="s">
        <v>2016</v>
      </c>
      <c r="C177" t="s">
        <v>3706</v>
      </c>
      <c r="D177">
        <v>0.71709999999999996</v>
      </c>
      <c r="E177">
        <v>9.3442000000000007</v>
      </c>
      <c r="F177">
        <v>0.22459999999999999</v>
      </c>
      <c r="G177" s="281">
        <f t="shared" si="22"/>
        <v>9.5688000000000013</v>
      </c>
      <c r="H177" s="281">
        <v>9.4041999999999994</v>
      </c>
      <c r="I177" s="281">
        <f>(G177-H177)</f>
        <v>0.16460000000000186</v>
      </c>
      <c r="J177" s="280">
        <f t="shared" si="24"/>
        <v>5.9999999999998138E-2</v>
      </c>
      <c r="K177" s="282">
        <f t="shared" si="25"/>
        <v>26.714158504006296</v>
      </c>
      <c r="L177">
        <v>42</v>
      </c>
      <c r="M177" s="283">
        <v>43360</v>
      </c>
      <c r="N177" s="283">
        <v>43361</v>
      </c>
      <c r="O177" s="280" t="s">
        <v>3684</v>
      </c>
      <c r="R177" s="282"/>
    </row>
    <row r="178" spans="1:18">
      <c r="A178" t="s">
        <v>1709</v>
      </c>
      <c r="C178" t="s">
        <v>3703</v>
      </c>
      <c r="D178">
        <v>1.5366</v>
      </c>
      <c r="E178">
        <v>10.540800000000001</v>
      </c>
      <c r="F178">
        <v>0.2329</v>
      </c>
      <c r="G178" s="281">
        <f t="shared" si="22"/>
        <v>10.773700000000002</v>
      </c>
      <c r="H178" s="281">
        <v>10.557499999999999</v>
      </c>
      <c r="I178" s="281">
        <f>(G178-H178)</f>
        <v>0.21620000000000239</v>
      </c>
      <c r="J178" s="280">
        <f t="shared" si="24"/>
        <v>1.6699999999997606E-2</v>
      </c>
      <c r="K178" s="282">
        <f t="shared" si="25"/>
        <v>7.1704594246447426</v>
      </c>
      <c r="L178">
        <v>38</v>
      </c>
      <c r="M178" s="283">
        <v>43360</v>
      </c>
      <c r="N178" s="283">
        <v>43361</v>
      </c>
      <c r="O178" s="280" t="s">
        <v>3684</v>
      </c>
      <c r="R178" s="282"/>
    </row>
    <row r="179" spans="1:18">
      <c r="A179" t="s">
        <v>1708</v>
      </c>
      <c r="C179" t="s">
        <v>3702</v>
      </c>
      <c r="D179">
        <v>1.5739000000000001</v>
      </c>
      <c r="E179">
        <v>9.3206000000000007</v>
      </c>
      <c r="F179">
        <v>0.24679999999999999</v>
      </c>
      <c r="G179" s="281">
        <f t="shared" si="22"/>
        <v>9.567400000000001</v>
      </c>
      <c r="H179" s="281">
        <v>9.3346</v>
      </c>
      <c r="I179" s="281">
        <f>G179-H179</f>
        <v>0.23280000000000101</v>
      </c>
      <c r="J179" s="280">
        <f t="shared" si="24"/>
        <v>1.3999999999998985E-2</v>
      </c>
      <c r="K179" s="282">
        <f t="shared" si="25"/>
        <v>5.6726094003237382</v>
      </c>
      <c r="L179">
        <v>2</v>
      </c>
      <c r="M179" s="16">
        <v>43381</v>
      </c>
      <c r="N179" s="16">
        <v>43382</v>
      </c>
      <c r="R179" s="282"/>
    </row>
    <row r="180" spans="1:18">
      <c r="A180" t="s">
        <v>1707</v>
      </c>
      <c r="C180" t="s">
        <v>3398</v>
      </c>
      <c r="D180">
        <v>0.49370000000000003</v>
      </c>
      <c r="E180">
        <v>10.5054</v>
      </c>
      <c r="F180">
        <v>0.20749999999999999</v>
      </c>
      <c r="G180" s="281">
        <f t="shared" si="22"/>
        <v>10.712899999999999</v>
      </c>
      <c r="H180" s="281">
        <v>10.5404</v>
      </c>
      <c r="I180" s="281">
        <f>G180-H180</f>
        <v>0.17249999999999943</v>
      </c>
      <c r="J180" s="280">
        <f t="shared" si="24"/>
        <v>3.5000000000000558E-2</v>
      </c>
      <c r="K180" s="282">
        <f t="shared" si="25"/>
        <v>16.867469879518342</v>
      </c>
      <c r="L180">
        <v>6</v>
      </c>
      <c r="M180" s="16">
        <v>43381</v>
      </c>
      <c r="N180" s="16">
        <v>43382</v>
      </c>
      <c r="R180" s="282"/>
    </row>
    <row r="181" spans="1:18">
      <c r="A181" t="s">
        <v>1706</v>
      </c>
      <c r="C181" t="s">
        <v>3679</v>
      </c>
      <c r="D181">
        <v>0.62109999999999999</v>
      </c>
      <c r="E181">
        <v>19.650200000000002</v>
      </c>
      <c r="F181">
        <v>0.21510000000000001</v>
      </c>
      <c r="G181" s="281">
        <f t="shared" si="22"/>
        <v>19.865300000000001</v>
      </c>
      <c r="H181" s="281">
        <v>19.692399999999999</v>
      </c>
      <c r="I181" s="281">
        <f>G181-H181</f>
        <v>0.17290000000000205</v>
      </c>
      <c r="J181" s="280">
        <f t="shared" si="24"/>
        <v>4.2199999999997961E-2</v>
      </c>
      <c r="K181" s="282">
        <f t="shared" si="25"/>
        <v>19.618781961877247</v>
      </c>
      <c r="L181">
        <v>32</v>
      </c>
      <c r="M181" s="283">
        <v>43361</v>
      </c>
      <c r="N181" s="283">
        <v>43362</v>
      </c>
      <c r="O181" s="280" t="s">
        <v>3707</v>
      </c>
      <c r="R181" s="282"/>
    </row>
    <row r="182" spans="1:18">
      <c r="A182" t="s">
        <v>1703</v>
      </c>
      <c r="C182" t="s">
        <v>3643</v>
      </c>
      <c r="D182">
        <v>1.5323</v>
      </c>
      <c r="E182">
        <v>10.074999999999999</v>
      </c>
      <c r="F182">
        <v>0.2021</v>
      </c>
      <c r="G182" s="281">
        <f t="shared" si="22"/>
        <v>10.277099999999999</v>
      </c>
      <c r="H182" s="281">
        <v>10.0878</v>
      </c>
      <c r="I182" s="281">
        <f>(G182-H182)</f>
        <v>0.18929999999999936</v>
      </c>
      <c r="J182" s="280">
        <f t="shared" si="24"/>
        <v>1.2800000000000644E-2</v>
      </c>
      <c r="K182" s="282">
        <f t="shared" si="25"/>
        <v>6.3334982681843854</v>
      </c>
      <c r="L182">
        <v>5</v>
      </c>
      <c r="M182" s="16">
        <v>43358</v>
      </c>
      <c r="N182" s="16">
        <v>43358</v>
      </c>
      <c r="R182" s="282"/>
    </row>
    <row r="183" spans="1:18">
      <c r="A183" t="s">
        <v>1702</v>
      </c>
      <c r="C183" t="s">
        <v>3404</v>
      </c>
      <c r="D183">
        <v>0.51029999999999998</v>
      </c>
      <c r="E183">
        <v>8.1319999999999997</v>
      </c>
      <c r="F183">
        <v>0.2112</v>
      </c>
      <c r="G183">
        <f t="shared" si="22"/>
        <v>8.3431999999999995</v>
      </c>
      <c r="H183">
        <v>8.173</v>
      </c>
      <c r="I183" s="281">
        <f>G183-H183</f>
        <v>0.17019999999999946</v>
      </c>
      <c r="J183" s="280">
        <f t="shared" si="24"/>
        <v>4.1000000000000536E-2</v>
      </c>
      <c r="K183" s="282">
        <f t="shared" si="25"/>
        <v>19.412878787879041</v>
      </c>
      <c r="L183">
        <v>9</v>
      </c>
      <c r="M183" s="16">
        <v>43402</v>
      </c>
      <c r="N183" s="16">
        <v>43403</v>
      </c>
      <c r="R183" s="282"/>
    </row>
    <row r="184" spans="1:18">
      <c r="A184" t="s">
        <v>1701</v>
      </c>
      <c r="C184" t="s">
        <v>3727</v>
      </c>
      <c r="D184">
        <v>1.63</v>
      </c>
      <c r="E184">
        <v>9.5570000000000004</v>
      </c>
      <c r="F184">
        <v>0.2009</v>
      </c>
      <c r="G184" s="281">
        <f t="shared" si="22"/>
        <v>9.7579000000000011</v>
      </c>
      <c r="H184" s="281">
        <v>9.5688999999999993</v>
      </c>
      <c r="I184" s="281">
        <f>G184-H184</f>
        <v>0.18900000000000183</v>
      </c>
      <c r="J184" s="280">
        <f t="shared" si="24"/>
        <v>1.1899999999998162E-2</v>
      </c>
      <c r="K184" s="282">
        <f t="shared" si="25"/>
        <v>5.923344947734277</v>
      </c>
      <c r="L184">
        <v>24</v>
      </c>
      <c r="M184" s="283">
        <v>43362</v>
      </c>
      <c r="N184" s="283">
        <v>43363</v>
      </c>
      <c r="R184" s="282"/>
    </row>
    <row r="185" spans="1:18">
      <c r="A185" t="s">
        <v>2015</v>
      </c>
      <c r="C185" t="s">
        <v>3700</v>
      </c>
      <c r="D185">
        <v>1.7032</v>
      </c>
      <c r="E185">
        <v>7.7754000000000003</v>
      </c>
      <c r="F185">
        <v>0.21210000000000001</v>
      </c>
      <c r="G185" s="281">
        <f t="shared" si="22"/>
        <v>7.9875000000000007</v>
      </c>
      <c r="H185" s="281">
        <v>7.7873000000000001</v>
      </c>
      <c r="I185" s="281">
        <f>G185-H185</f>
        <v>0.2002000000000006</v>
      </c>
      <c r="J185" s="280">
        <f t="shared" si="24"/>
        <v>1.1899999999999411E-2</v>
      </c>
      <c r="K185" s="282">
        <f t="shared" si="25"/>
        <v>5.6105610561053325</v>
      </c>
      <c r="L185">
        <v>23</v>
      </c>
      <c r="M185" s="16">
        <v>43395</v>
      </c>
      <c r="N185" s="16">
        <v>43396</v>
      </c>
      <c r="R185" s="282"/>
    </row>
    <row r="186" spans="1:18">
      <c r="A186" t="s">
        <v>1700</v>
      </c>
      <c r="C186" t="s">
        <v>3761</v>
      </c>
      <c r="D186">
        <v>0.75870000000000004</v>
      </c>
      <c r="E186">
        <v>7.3183999999999996</v>
      </c>
      <c r="F186">
        <v>0.22370000000000001</v>
      </c>
      <c r="G186" s="281">
        <f t="shared" si="22"/>
        <v>7.5420999999999996</v>
      </c>
      <c r="H186" s="281">
        <v>7.3623000000000003</v>
      </c>
      <c r="I186" s="281">
        <f>G186-H186</f>
        <v>0.17979999999999929</v>
      </c>
      <c r="J186" s="280">
        <f t="shared" si="24"/>
        <v>4.3900000000000716E-2</v>
      </c>
      <c r="K186" s="282">
        <f t="shared" si="25"/>
        <v>19.624497094323072</v>
      </c>
      <c r="L186">
        <v>23</v>
      </c>
      <c r="M186" s="16">
        <v>43399</v>
      </c>
      <c r="N186" s="16">
        <v>43400</v>
      </c>
      <c r="R186" s="282"/>
    </row>
    <row r="187" spans="1:18">
      <c r="A187" t="s">
        <v>1697</v>
      </c>
      <c r="C187" t="s">
        <v>3446</v>
      </c>
      <c r="D187">
        <v>0.59299999999999997</v>
      </c>
      <c r="E187">
        <v>9.0047999999999995</v>
      </c>
      <c r="F187">
        <v>0.2029</v>
      </c>
      <c r="G187" s="281">
        <f t="shared" si="22"/>
        <v>9.2076999999999991</v>
      </c>
      <c r="H187" s="281">
        <v>9.0604999999999993</v>
      </c>
      <c r="I187" s="281">
        <f>G187-H187</f>
        <v>0.14719999999999978</v>
      </c>
      <c r="J187" s="280">
        <f t="shared" si="24"/>
        <v>5.5700000000000222E-2</v>
      </c>
      <c r="K187" s="282">
        <f t="shared" si="25"/>
        <v>27.451946771808881</v>
      </c>
      <c r="L187">
        <v>41</v>
      </c>
      <c r="M187" s="283">
        <v>43362</v>
      </c>
      <c r="N187" s="283">
        <v>43363</v>
      </c>
      <c r="R187" s="282"/>
    </row>
    <row r="188" spans="1:18">
      <c r="A188" t="s">
        <v>1694</v>
      </c>
      <c r="C188" t="s">
        <v>3698</v>
      </c>
      <c r="D188">
        <f>4.0438-2.3947</f>
        <v>1.6491000000000002</v>
      </c>
      <c r="E188">
        <v>9.5563000000000002</v>
      </c>
      <c r="F188">
        <v>0.21060000000000001</v>
      </c>
      <c r="G188" s="281">
        <f t="shared" si="22"/>
        <v>9.7668999999999997</v>
      </c>
      <c r="H188" s="281">
        <v>9.5673999999999992</v>
      </c>
      <c r="I188" s="281">
        <f>(G188-H188)</f>
        <v>0.19950000000000045</v>
      </c>
      <c r="J188" s="280">
        <f t="shared" si="24"/>
        <v>1.1099999999999555E-2</v>
      </c>
      <c r="K188" s="282">
        <f t="shared" si="25"/>
        <v>5.2706552706550589</v>
      </c>
      <c r="L188">
        <v>32</v>
      </c>
      <c r="M188" s="283">
        <v>43360</v>
      </c>
      <c r="N188" s="283">
        <v>43361</v>
      </c>
      <c r="O188" s="280" t="s">
        <v>3684</v>
      </c>
      <c r="R188" s="282"/>
    </row>
    <row r="189" spans="1:18">
      <c r="A189" t="s">
        <v>1693</v>
      </c>
      <c r="C189" t="s">
        <v>3723</v>
      </c>
      <c r="D189">
        <v>1.5</v>
      </c>
      <c r="E189">
        <v>11.025600000000001</v>
      </c>
      <c r="F189">
        <v>0.21890000000000001</v>
      </c>
      <c r="G189" s="281">
        <f t="shared" si="22"/>
        <v>11.2445</v>
      </c>
      <c r="H189" s="281">
        <v>11.0396</v>
      </c>
      <c r="I189" s="281">
        <f>G189-H189</f>
        <v>0.2049000000000003</v>
      </c>
      <c r="J189" s="280">
        <f t="shared" si="24"/>
        <v>1.3999999999999707E-2</v>
      </c>
      <c r="K189" s="282">
        <f t="shared" si="25"/>
        <v>6.3956144358153066</v>
      </c>
      <c r="L189">
        <v>18</v>
      </c>
      <c r="M189" s="283">
        <v>43362</v>
      </c>
      <c r="N189" s="283">
        <v>43363</v>
      </c>
      <c r="R189" s="282"/>
    </row>
    <row r="190" spans="1:18">
      <c r="A190" t="s">
        <v>2014</v>
      </c>
      <c r="B190">
        <v>210</v>
      </c>
      <c r="D190">
        <v>0.68300000000000005</v>
      </c>
      <c r="E190">
        <v>10.856199999999999</v>
      </c>
      <c r="F190">
        <v>0.23469999999999999</v>
      </c>
      <c r="G190" s="281">
        <f t="shared" si="22"/>
        <v>11.0909</v>
      </c>
      <c r="H190" s="281">
        <v>10.901199999999999</v>
      </c>
      <c r="I190" s="281">
        <f>G190-H190</f>
        <v>0.1897000000000002</v>
      </c>
      <c r="J190" s="280">
        <f t="shared" si="24"/>
        <v>4.499999999999979E-2</v>
      </c>
      <c r="K190" s="282">
        <f t="shared" si="25"/>
        <v>19.173412867490324</v>
      </c>
      <c r="L190">
        <v>20</v>
      </c>
      <c r="M190" s="16">
        <v>43395</v>
      </c>
      <c r="N190" s="16">
        <v>43396</v>
      </c>
      <c r="R190" s="282"/>
    </row>
    <row r="191" spans="1:18">
      <c r="A191" t="s">
        <v>1689</v>
      </c>
      <c r="B191">
        <v>216</v>
      </c>
      <c r="D191">
        <v>0.55179999999999996</v>
      </c>
      <c r="E191">
        <v>9.0035000000000007</v>
      </c>
      <c r="F191">
        <v>0.23080000000000001</v>
      </c>
      <c r="G191" s="281">
        <f t="shared" si="22"/>
        <v>9.2343000000000011</v>
      </c>
      <c r="H191" s="281">
        <v>9.0334000000000003</v>
      </c>
      <c r="I191" s="281">
        <f>G191-H191</f>
        <v>0.20090000000000074</v>
      </c>
      <c r="J191" s="280">
        <f t="shared" si="24"/>
        <v>2.9899999999999261E-2</v>
      </c>
      <c r="K191" s="282">
        <f t="shared" si="25"/>
        <v>12.954939341420824</v>
      </c>
      <c r="L191">
        <v>30</v>
      </c>
      <c r="M191" s="16">
        <v>43395</v>
      </c>
      <c r="N191" s="16">
        <v>43396</v>
      </c>
      <c r="R191" s="282"/>
    </row>
    <row r="192" spans="1:18">
      <c r="A192" t="s">
        <v>1687</v>
      </c>
      <c r="B192">
        <v>212</v>
      </c>
      <c r="D192">
        <v>0.57750000000000001</v>
      </c>
      <c r="E192">
        <v>11.0245</v>
      </c>
      <c r="F192">
        <v>0.20979999999999999</v>
      </c>
      <c r="G192" s="281">
        <f t="shared" si="22"/>
        <v>11.234299999999999</v>
      </c>
      <c r="H192" s="281">
        <v>11.056699999999999</v>
      </c>
      <c r="I192" s="281">
        <f>G192-H192</f>
        <v>0.17759999999999998</v>
      </c>
      <c r="J192" s="280">
        <f t="shared" si="24"/>
        <v>3.2200000000000006E-2</v>
      </c>
      <c r="K192" s="282">
        <f t="shared" si="25"/>
        <v>15.347950428979985</v>
      </c>
      <c r="L192">
        <v>6</v>
      </c>
      <c r="M192" s="16">
        <v>43395</v>
      </c>
      <c r="N192" s="16">
        <v>43396</v>
      </c>
      <c r="R192" s="282"/>
    </row>
    <row r="193" spans="1:18">
      <c r="A193" t="s">
        <v>1686</v>
      </c>
      <c r="C193" t="s">
        <v>3675</v>
      </c>
      <c r="D193">
        <v>1.7355</v>
      </c>
      <c r="E193">
        <v>10.271800000000001</v>
      </c>
      <c r="F193">
        <v>0.21909999999999999</v>
      </c>
      <c r="G193" s="281">
        <f t="shared" si="22"/>
        <v>10.4909</v>
      </c>
      <c r="H193" s="281">
        <v>10.2857</v>
      </c>
      <c r="I193" s="281">
        <f>(G193-H193)</f>
        <v>0.2051999999999996</v>
      </c>
      <c r="J193" s="280">
        <f t="shared" si="24"/>
        <v>1.3900000000000384E-2</v>
      </c>
      <c r="K193" s="282">
        <f t="shared" si="25"/>
        <v>6.3441350981288833</v>
      </c>
      <c r="L193">
        <v>29</v>
      </c>
      <c r="M193" s="283">
        <v>43360</v>
      </c>
      <c r="N193" s="283">
        <v>43361</v>
      </c>
      <c r="R193" s="282"/>
    </row>
    <row r="194" spans="1:18">
      <c r="A194" t="s">
        <v>1680</v>
      </c>
      <c r="C194" t="s">
        <v>3698</v>
      </c>
      <c r="D194">
        <v>1.7263999999999999</v>
      </c>
      <c r="E194">
        <v>9.7270000000000003</v>
      </c>
      <c r="F194">
        <v>0.23710000000000001</v>
      </c>
      <c r="G194" s="281">
        <f t="shared" si="22"/>
        <v>9.9641000000000002</v>
      </c>
      <c r="H194" s="281">
        <v>9.74</v>
      </c>
      <c r="I194" s="281">
        <f>(G194-H194)</f>
        <v>0.22409999999999997</v>
      </c>
      <c r="J194" s="280">
        <f t="shared" si="24"/>
        <v>1.3000000000000039E-2</v>
      </c>
      <c r="K194" s="282">
        <f t="shared" si="25"/>
        <v>5.4829185997469585</v>
      </c>
      <c r="L194">
        <v>30</v>
      </c>
      <c r="M194" s="283">
        <v>43360</v>
      </c>
      <c r="N194" s="283">
        <v>43361</v>
      </c>
      <c r="O194" s="280" t="s">
        <v>3684</v>
      </c>
      <c r="R194" s="282"/>
    </row>
    <row r="195" spans="1:18">
      <c r="A195" t="s">
        <v>1679</v>
      </c>
      <c r="C195" t="s">
        <v>3397</v>
      </c>
      <c r="D195">
        <v>0.62929999999999997</v>
      </c>
      <c r="E195">
        <v>8.0646000000000004</v>
      </c>
      <c r="F195">
        <v>0.2056</v>
      </c>
      <c r="G195" s="281">
        <f t="shared" si="22"/>
        <v>8.2702000000000009</v>
      </c>
      <c r="H195" s="281">
        <v>8.1158999999999999</v>
      </c>
      <c r="I195" s="281">
        <f>G195-H195</f>
        <v>0.15430000000000099</v>
      </c>
      <c r="J195" s="280">
        <f t="shared" si="24"/>
        <v>5.1299999999999013E-2</v>
      </c>
      <c r="K195" s="282">
        <f t="shared" si="25"/>
        <v>24.951361867703799</v>
      </c>
      <c r="L195">
        <v>5</v>
      </c>
      <c r="M195" s="16">
        <v>43399</v>
      </c>
      <c r="N195" s="16">
        <v>43400</v>
      </c>
      <c r="R195" s="282"/>
    </row>
    <row r="196" spans="1:18">
      <c r="A196" t="s">
        <v>1678</v>
      </c>
      <c r="C196" t="s">
        <v>3646</v>
      </c>
      <c r="D196">
        <v>1.8066</v>
      </c>
      <c r="E196">
        <v>7.9055</v>
      </c>
      <c r="F196">
        <v>0.20480000000000001</v>
      </c>
      <c r="G196" s="281">
        <f t="shared" si="22"/>
        <v>8.1103000000000005</v>
      </c>
      <c r="H196" s="281">
        <v>7.9172000000000002</v>
      </c>
      <c r="I196" s="281">
        <f>(G196-H196)</f>
        <v>0.19310000000000027</v>
      </c>
      <c r="J196" s="280">
        <f t="shared" si="24"/>
        <v>1.1699999999999738E-2</v>
      </c>
      <c r="K196" s="282">
        <f t="shared" si="25"/>
        <v>5.7128906249998721</v>
      </c>
      <c r="L196">
        <v>14</v>
      </c>
      <c r="M196" s="16">
        <v>43358</v>
      </c>
      <c r="N196" s="16">
        <v>43358</v>
      </c>
      <c r="R196" s="282"/>
    </row>
    <row r="197" spans="1:18">
      <c r="A197" t="s">
        <v>1673</v>
      </c>
      <c r="C197" t="s">
        <v>3744</v>
      </c>
      <c r="D197">
        <v>1.2113</v>
      </c>
      <c r="E197">
        <v>9.0335000000000001</v>
      </c>
      <c r="F197">
        <v>0.22120000000000001</v>
      </c>
      <c r="G197" s="281">
        <f t="shared" si="22"/>
        <v>9.2546999999999997</v>
      </c>
      <c r="H197" s="281">
        <v>9.0708000000000002</v>
      </c>
      <c r="I197" s="281">
        <f>G197-H197</f>
        <v>0.18389999999999951</v>
      </c>
      <c r="J197" s="280">
        <f t="shared" si="24"/>
        <v>3.7300000000000499E-2</v>
      </c>
      <c r="K197" s="282">
        <f t="shared" si="25"/>
        <v>16.862567811935126</v>
      </c>
      <c r="L197">
        <v>34</v>
      </c>
      <c r="M197" s="16">
        <v>43381</v>
      </c>
      <c r="N197" s="16">
        <v>43382</v>
      </c>
      <c r="R197" s="282"/>
    </row>
    <row r="198" spans="1:18">
      <c r="A198" t="s">
        <v>1671</v>
      </c>
      <c r="C198" t="s">
        <v>3692</v>
      </c>
      <c r="D198">
        <v>1.4884999999999999</v>
      </c>
      <c r="E198">
        <v>7.4813000000000001</v>
      </c>
      <c r="F198">
        <v>0.22600000000000001</v>
      </c>
      <c r="G198" s="281">
        <f t="shared" si="22"/>
        <v>7.7073</v>
      </c>
      <c r="H198" s="281">
        <v>7.5008999999999997</v>
      </c>
      <c r="I198" s="281">
        <f>G198-H198</f>
        <v>0.20640000000000036</v>
      </c>
      <c r="J198" s="280">
        <f t="shared" si="24"/>
        <v>1.9599999999999645E-2</v>
      </c>
      <c r="K198" s="282">
        <f t="shared" si="25"/>
        <v>8.6725663716812598</v>
      </c>
      <c r="L198">
        <v>12</v>
      </c>
      <c r="M198" s="283">
        <v>43361</v>
      </c>
      <c r="N198" s="283">
        <v>43362</v>
      </c>
      <c r="O198" s="280" t="s">
        <v>3707</v>
      </c>
      <c r="R198" s="282"/>
    </row>
    <row r="199" spans="1:18">
      <c r="A199" t="s">
        <v>2012</v>
      </c>
      <c r="C199" t="s">
        <v>3726</v>
      </c>
      <c r="D199">
        <v>1.5153000000000001</v>
      </c>
      <c r="E199">
        <v>7.7161999999999997</v>
      </c>
      <c r="F199">
        <v>0.2127</v>
      </c>
      <c r="G199" s="281">
        <f t="shared" si="22"/>
        <v>7.9288999999999996</v>
      </c>
      <c r="H199" s="281">
        <v>7.7305000000000001</v>
      </c>
      <c r="I199" s="281">
        <f>G199-H199</f>
        <v>0.19839999999999947</v>
      </c>
      <c r="J199" s="280">
        <f t="shared" si="24"/>
        <v>1.4300000000000535E-2</v>
      </c>
      <c r="K199" s="282">
        <f t="shared" si="25"/>
        <v>6.723084156088639</v>
      </c>
      <c r="L199">
        <v>23</v>
      </c>
      <c r="M199" s="283">
        <v>43362</v>
      </c>
      <c r="N199" s="283">
        <v>43363</v>
      </c>
      <c r="R199" s="282"/>
    </row>
    <row r="200" spans="1:18">
      <c r="A200" t="s">
        <v>1670</v>
      </c>
      <c r="C200" t="s">
        <v>3676</v>
      </c>
      <c r="D200">
        <v>1.7269000000000001</v>
      </c>
      <c r="E200">
        <v>10.3141</v>
      </c>
      <c r="F200">
        <v>0.21679999999999999</v>
      </c>
      <c r="G200" s="281">
        <f t="shared" si="22"/>
        <v>10.530899999999999</v>
      </c>
      <c r="H200" s="281">
        <v>10.3269</v>
      </c>
      <c r="I200" s="281">
        <f>(G200-H200)</f>
        <v>0.20399999999999885</v>
      </c>
      <c r="J200" s="280">
        <f t="shared" si="24"/>
        <v>1.2800000000001144E-2</v>
      </c>
      <c r="K200" s="282">
        <f t="shared" si="25"/>
        <v>5.9040590405909334</v>
      </c>
      <c r="L200">
        <v>31</v>
      </c>
      <c r="M200" s="283">
        <v>43360</v>
      </c>
      <c r="N200" s="283">
        <v>43361</v>
      </c>
      <c r="R200" s="282"/>
    </row>
    <row r="201" spans="1:18">
      <c r="A201" t="s">
        <v>1668</v>
      </c>
      <c r="C201" t="s">
        <v>3644</v>
      </c>
      <c r="D201">
        <v>1.7425999999999999</v>
      </c>
      <c r="E201">
        <v>10.901199999999999</v>
      </c>
      <c r="F201">
        <v>0.2034</v>
      </c>
      <c r="G201" s="281">
        <f t="shared" si="22"/>
        <v>11.1046</v>
      </c>
      <c r="H201" s="281">
        <v>10.9124</v>
      </c>
      <c r="I201" s="281">
        <f>(G201-H201)</f>
        <v>0.1921999999999997</v>
      </c>
      <c r="J201" s="280">
        <f t="shared" si="24"/>
        <v>1.1200000000000293E-2</v>
      </c>
      <c r="K201" s="282">
        <f t="shared" si="25"/>
        <v>5.5063913470994565</v>
      </c>
      <c r="L201">
        <v>11</v>
      </c>
      <c r="M201" s="283">
        <v>43355.625</v>
      </c>
      <c r="N201" s="283">
        <v>43355.791666666664</v>
      </c>
      <c r="O201" s="280" t="s">
        <v>3637</v>
      </c>
      <c r="R201" s="282"/>
    </row>
    <row r="202" spans="1:18">
      <c r="A202" t="s">
        <v>1666</v>
      </c>
      <c r="C202" t="s">
        <v>3400</v>
      </c>
      <c r="D202">
        <v>0.56120000000000003</v>
      </c>
      <c r="E202">
        <v>10.923</v>
      </c>
      <c r="F202">
        <v>0.20880000000000001</v>
      </c>
      <c r="G202" s="281">
        <f t="shared" si="22"/>
        <v>11.1318</v>
      </c>
      <c r="H202" s="281">
        <v>10.9572</v>
      </c>
      <c r="I202" s="281">
        <f t="shared" ref="I202:I219" si="26">G202-H202</f>
        <v>0.17459999999999987</v>
      </c>
      <c r="J202" s="280">
        <f t="shared" si="24"/>
        <v>3.4200000000000147E-2</v>
      </c>
      <c r="K202" s="282">
        <f t="shared" si="25"/>
        <v>16.379310344827655</v>
      </c>
      <c r="L202">
        <v>42</v>
      </c>
      <c r="M202" s="283">
        <v>43374</v>
      </c>
      <c r="N202" s="283">
        <v>43375</v>
      </c>
      <c r="O202" s="280" t="s">
        <v>3707</v>
      </c>
      <c r="P202" t="s">
        <v>3745</v>
      </c>
      <c r="R202" s="282"/>
    </row>
    <row r="203" spans="1:18">
      <c r="A203" t="s">
        <v>1656</v>
      </c>
      <c r="C203" t="s">
        <v>3720</v>
      </c>
      <c r="D203">
        <v>1.6800999999999999</v>
      </c>
      <c r="E203">
        <v>8.09</v>
      </c>
      <c r="F203">
        <v>0.2344</v>
      </c>
      <c r="G203" s="281">
        <f t="shared" si="22"/>
        <v>8.3244000000000007</v>
      </c>
      <c r="H203" s="281">
        <v>8.1045999999999996</v>
      </c>
      <c r="I203" s="281">
        <f t="shared" si="26"/>
        <v>0.21980000000000111</v>
      </c>
      <c r="J203" s="280">
        <f t="shared" si="24"/>
        <v>1.4599999999998892E-2</v>
      </c>
      <c r="K203" s="282">
        <f t="shared" si="25"/>
        <v>6.2286689419790493</v>
      </c>
      <c r="L203">
        <v>7</v>
      </c>
      <c r="M203" s="16">
        <v>43381</v>
      </c>
      <c r="N203" s="16">
        <v>43382</v>
      </c>
      <c r="R203" s="282"/>
    </row>
    <row r="204" spans="1:18">
      <c r="A204" t="s">
        <v>1654</v>
      </c>
      <c r="C204" t="s">
        <v>3413</v>
      </c>
      <c r="D204">
        <v>0.6492</v>
      </c>
      <c r="E204">
        <v>8.3565000000000005</v>
      </c>
      <c r="F204">
        <v>0.21440000000000001</v>
      </c>
      <c r="G204" s="281">
        <f t="shared" si="22"/>
        <v>8.5709</v>
      </c>
      <c r="H204" s="281">
        <v>8.4098000000000006</v>
      </c>
      <c r="I204" s="281">
        <f t="shared" si="26"/>
        <v>0.16109999999999935</v>
      </c>
      <c r="J204" s="280">
        <f t="shared" si="24"/>
        <v>5.3300000000000652E-2</v>
      </c>
      <c r="K204" s="282">
        <f t="shared" si="25"/>
        <v>24.860074626865973</v>
      </c>
      <c r="L204">
        <v>36</v>
      </c>
      <c r="M204">
        <v>23.101800000000001</v>
      </c>
      <c r="N204" s="16">
        <v>43397</v>
      </c>
      <c r="R204" s="282"/>
    </row>
    <row r="205" spans="1:18">
      <c r="A205" t="s">
        <v>1653</v>
      </c>
      <c r="C205" t="s">
        <v>3750</v>
      </c>
      <c r="D205">
        <v>1.5838000000000001</v>
      </c>
      <c r="E205">
        <v>8.048</v>
      </c>
      <c r="F205">
        <v>0.2044</v>
      </c>
      <c r="G205" s="285">
        <f t="shared" si="22"/>
        <v>8.2523999999999997</v>
      </c>
      <c r="H205" s="281">
        <v>8.0610999999999997</v>
      </c>
      <c r="I205" s="285">
        <f t="shared" si="26"/>
        <v>0.19130000000000003</v>
      </c>
      <c r="J205" s="280">
        <f t="shared" si="24"/>
        <v>1.3099999999999973E-2</v>
      </c>
      <c r="K205" s="282">
        <f t="shared" si="25"/>
        <v>6.4090019569471499</v>
      </c>
      <c r="L205">
        <v>31</v>
      </c>
      <c r="M205" s="283">
        <v>43379</v>
      </c>
      <c r="N205" s="283">
        <v>43379</v>
      </c>
      <c r="R205" s="282"/>
    </row>
    <row r="206" spans="1:18">
      <c r="A206" t="s">
        <v>1652</v>
      </c>
      <c r="C206" t="s">
        <v>3737</v>
      </c>
      <c r="D206">
        <v>0.8508</v>
      </c>
      <c r="E206">
        <v>10.155099999999999</v>
      </c>
      <c r="F206">
        <v>0.21529999999999999</v>
      </c>
      <c r="G206" s="281">
        <f t="shared" si="22"/>
        <v>10.370399999999998</v>
      </c>
      <c r="H206" s="281">
        <v>10.185499999999999</v>
      </c>
      <c r="I206" s="281">
        <f t="shared" si="26"/>
        <v>0.18489999999999895</v>
      </c>
      <c r="J206" s="280">
        <f t="shared" si="24"/>
        <v>3.0400000000001037E-2</v>
      </c>
      <c r="K206" s="282">
        <f t="shared" si="25"/>
        <v>14.119832791454268</v>
      </c>
      <c r="L206">
        <v>34</v>
      </c>
      <c r="M206" s="283">
        <v>43363</v>
      </c>
      <c r="N206" s="283">
        <v>43364</v>
      </c>
      <c r="O206" s="280" t="s">
        <v>3732</v>
      </c>
      <c r="R206" s="282"/>
    </row>
    <row r="207" spans="1:18">
      <c r="A207" t="s">
        <v>1651</v>
      </c>
      <c r="B207">
        <v>197</v>
      </c>
      <c r="D207">
        <v>0.51829999999999998</v>
      </c>
      <c r="E207">
        <v>11.172700000000001</v>
      </c>
      <c r="F207">
        <v>0.2167</v>
      </c>
      <c r="G207" s="281">
        <f t="shared" si="22"/>
        <v>11.3894</v>
      </c>
      <c r="H207" s="281">
        <v>11.2127</v>
      </c>
      <c r="I207" s="281">
        <f t="shared" si="26"/>
        <v>0.1767000000000003</v>
      </c>
      <c r="J207" s="280">
        <f t="shared" si="24"/>
        <v>3.9999999999999702E-2</v>
      </c>
      <c r="K207" s="282">
        <f t="shared" si="25"/>
        <v>18.458698661744211</v>
      </c>
      <c r="L207">
        <v>37</v>
      </c>
      <c r="M207" s="16">
        <v>43388</v>
      </c>
      <c r="N207" s="283">
        <v>43389</v>
      </c>
      <c r="O207" s="16"/>
      <c r="R207" s="282"/>
    </row>
    <row r="208" spans="1:18">
      <c r="A208" t="s">
        <v>2010</v>
      </c>
      <c r="C208" t="s">
        <v>3465</v>
      </c>
      <c r="D208">
        <v>0.54169999999999996</v>
      </c>
      <c r="E208">
        <v>9.1562000000000001</v>
      </c>
      <c r="F208">
        <v>0.20300000000000001</v>
      </c>
      <c r="G208" s="281">
        <f t="shared" si="22"/>
        <v>9.3591999999999995</v>
      </c>
      <c r="H208" s="281">
        <v>9.1906999999999996</v>
      </c>
      <c r="I208" s="281">
        <f t="shared" si="26"/>
        <v>0.16849999999999987</v>
      </c>
      <c r="J208" s="280">
        <f t="shared" si="24"/>
        <v>3.4500000000000142E-2</v>
      </c>
      <c r="K208" s="282">
        <f t="shared" si="25"/>
        <v>16.995073891625683</v>
      </c>
      <c r="L208">
        <v>25</v>
      </c>
      <c r="M208" s="283">
        <v>43363</v>
      </c>
      <c r="N208" s="283">
        <v>43364</v>
      </c>
      <c r="R208" s="282"/>
    </row>
    <row r="209" spans="1:18">
      <c r="A209" t="s">
        <v>1650</v>
      </c>
      <c r="C209" t="s">
        <v>3415</v>
      </c>
      <c r="D209">
        <v>0.65100000000000002</v>
      </c>
      <c r="E209">
        <v>7.0761000000000003</v>
      </c>
      <c r="F209">
        <v>0.20649999999999999</v>
      </c>
      <c r="G209" s="281">
        <f t="shared" si="22"/>
        <v>7.2826000000000004</v>
      </c>
      <c r="H209" s="281">
        <v>7.1243999999999996</v>
      </c>
      <c r="I209" s="281">
        <f t="shared" si="26"/>
        <v>0.15820000000000078</v>
      </c>
      <c r="J209" s="280">
        <f t="shared" si="24"/>
        <v>4.8299999999999205E-2</v>
      </c>
      <c r="K209" s="282">
        <f t="shared" si="25"/>
        <v>23.389830508474194</v>
      </c>
      <c r="L209">
        <v>9</v>
      </c>
      <c r="M209" s="16">
        <v>43399</v>
      </c>
      <c r="N209" s="16">
        <v>43400</v>
      </c>
      <c r="R209" s="282"/>
    </row>
    <row r="210" spans="1:18">
      <c r="A210" t="s">
        <v>1649</v>
      </c>
      <c r="C210" t="s">
        <v>3440</v>
      </c>
      <c r="D210">
        <v>0.75260000000000005</v>
      </c>
      <c r="E210">
        <v>8.4448000000000008</v>
      </c>
      <c r="F210">
        <v>0.20960000000000001</v>
      </c>
      <c r="G210" s="285">
        <f t="shared" si="22"/>
        <v>8.6544000000000008</v>
      </c>
      <c r="H210" s="281">
        <v>8.4928000000000008</v>
      </c>
      <c r="I210" s="285">
        <f t="shared" si="26"/>
        <v>0.16159999999999997</v>
      </c>
      <c r="J210" s="280">
        <f t="shared" si="24"/>
        <v>4.8000000000000043E-2</v>
      </c>
      <c r="K210" s="282">
        <f t="shared" si="25"/>
        <v>22.900763358778644</v>
      </c>
      <c r="L210">
        <v>9</v>
      </c>
      <c r="M210" s="283">
        <v>43379</v>
      </c>
      <c r="N210" s="283">
        <v>43379</v>
      </c>
      <c r="O210" s="280"/>
      <c r="R210" s="282"/>
    </row>
    <row r="211" spans="1:18">
      <c r="A211" t="s">
        <v>1643</v>
      </c>
      <c r="C211" t="s">
        <v>3744</v>
      </c>
      <c r="D211">
        <v>1.0766</v>
      </c>
      <c r="E211">
        <v>7.8731</v>
      </c>
      <c r="F211">
        <v>0.21079999999999999</v>
      </c>
      <c r="G211" s="281">
        <f t="shared" ref="G211:G274" si="27">E211+F211</f>
        <v>8.0838999999999999</v>
      </c>
      <c r="H211" s="281">
        <v>7.9188000000000001</v>
      </c>
      <c r="I211" s="281">
        <f t="shared" si="26"/>
        <v>0.1650999999999998</v>
      </c>
      <c r="J211" s="280">
        <f t="shared" si="24"/>
        <v>4.5700000000000185E-2</v>
      </c>
      <c r="K211" s="282">
        <f t="shared" si="25"/>
        <v>21.67931688804563</v>
      </c>
      <c r="L211">
        <v>34</v>
      </c>
      <c r="M211" s="283">
        <v>43374</v>
      </c>
      <c r="N211" s="283">
        <v>43375</v>
      </c>
      <c r="O211" s="280" t="s">
        <v>3707</v>
      </c>
      <c r="R211" s="282"/>
    </row>
    <row r="212" spans="1:18">
      <c r="A212" t="s">
        <v>1641</v>
      </c>
      <c r="C212" t="s">
        <v>3457</v>
      </c>
      <c r="D212">
        <v>0.59450000000000003</v>
      </c>
      <c r="E212">
        <v>10.4185</v>
      </c>
      <c r="F212">
        <v>0.21460000000000001</v>
      </c>
      <c r="G212">
        <f t="shared" si="27"/>
        <v>10.633100000000001</v>
      </c>
      <c r="H212">
        <v>10.4679</v>
      </c>
      <c r="I212" s="281">
        <f t="shared" si="26"/>
        <v>0.16520000000000046</v>
      </c>
      <c r="J212" s="280">
        <f t="shared" si="24"/>
        <v>4.9399999999999555E-2</v>
      </c>
      <c r="K212" s="282">
        <f t="shared" si="25"/>
        <v>23.019571295433156</v>
      </c>
      <c r="L212">
        <v>23</v>
      </c>
      <c r="M212" s="16">
        <v>43402</v>
      </c>
      <c r="N212" s="16">
        <v>43403</v>
      </c>
      <c r="R212" s="282"/>
    </row>
    <row r="213" spans="1:18">
      <c r="A213" t="s">
        <v>2009</v>
      </c>
      <c r="C213" t="s">
        <v>3702</v>
      </c>
      <c r="D213">
        <v>1.649</v>
      </c>
      <c r="E213">
        <v>8.7743000000000002</v>
      </c>
      <c r="F213">
        <v>0.2109</v>
      </c>
      <c r="G213" s="281">
        <f t="shared" si="27"/>
        <v>8.9852000000000007</v>
      </c>
      <c r="H213" s="281">
        <v>8.7872000000000003</v>
      </c>
      <c r="I213" s="281">
        <f t="shared" si="26"/>
        <v>0.1980000000000004</v>
      </c>
      <c r="J213" s="280">
        <f t="shared" si="24"/>
        <v>1.2899999999999606E-2</v>
      </c>
      <c r="K213" s="282">
        <f t="shared" si="25"/>
        <v>6.1166429587480353</v>
      </c>
      <c r="L213">
        <v>31</v>
      </c>
      <c r="M213" s="283">
        <v>43363</v>
      </c>
      <c r="N213" s="283">
        <v>43364</v>
      </c>
      <c r="R213" s="282"/>
    </row>
    <row r="214" spans="1:18">
      <c r="A214" t="s">
        <v>1640</v>
      </c>
      <c r="C214" t="s">
        <v>3446</v>
      </c>
      <c r="D214">
        <v>0.5232</v>
      </c>
      <c r="E214">
        <v>19.801400000000001</v>
      </c>
      <c r="F214">
        <v>0.20219999999999999</v>
      </c>
      <c r="G214" s="281">
        <f t="shared" si="27"/>
        <v>20.003600000000002</v>
      </c>
      <c r="H214" s="281">
        <v>19.839600000000001</v>
      </c>
      <c r="I214" s="281">
        <f t="shared" si="26"/>
        <v>0.16400000000000148</v>
      </c>
      <c r="J214" s="280">
        <f t="shared" si="24"/>
        <v>3.8199999999998513E-2</v>
      </c>
      <c r="K214" s="282">
        <f t="shared" si="25"/>
        <v>18.892185954499759</v>
      </c>
      <c r="L214">
        <v>3</v>
      </c>
      <c r="M214" s="283">
        <v>43362</v>
      </c>
      <c r="N214" s="283">
        <v>43363</v>
      </c>
      <c r="O214" s="280"/>
      <c r="R214" s="282"/>
    </row>
    <row r="215" spans="1:18">
      <c r="A215" t="s">
        <v>1639</v>
      </c>
      <c r="C215" t="s">
        <v>3458</v>
      </c>
      <c r="D215">
        <v>0.59319999999999995</v>
      </c>
      <c r="E215">
        <v>8.0650999999999993</v>
      </c>
      <c r="F215">
        <v>0.2009</v>
      </c>
      <c r="G215" s="281">
        <f t="shared" si="27"/>
        <v>8.266</v>
      </c>
      <c r="H215" s="281">
        <v>8.1016999999999992</v>
      </c>
      <c r="I215" s="281">
        <f t="shared" si="26"/>
        <v>0.16430000000000078</v>
      </c>
      <c r="J215" s="280">
        <f t="shared" si="24"/>
        <v>3.6599999999999216E-2</v>
      </c>
      <c r="K215" s="282">
        <f t="shared" si="25"/>
        <v>18.218018914882634</v>
      </c>
      <c r="L215">
        <v>29</v>
      </c>
      <c r="M215" s="283">
        <v>43374</v>
      </c>
      <c r="N215" s="283">
        <v>43375</v>
      </c>
      <c r="O215" s="280" t="s">
        <v>3707</v>
      </c>
      <c r="R215" s="282"/>
    </row>
    <row r="216" spans="1:18">
      <c r="A216" t="s">
        <v>1638</v>
      </c>
      <c r="B216">
        <v>208</v>
      </c>
      <c r="D216">
        <v>0.55830000000000002</v>
      </c>
      <c r="E216">
        <v>7.5297000000000001</v>
      </c>
      <c r="F216">
        <v>0.20039999999999999</v>
      </c>
      <c r="G216" s="281">
        <f t="shared" si="27"/>
        <v>7.7301000000000002</v>
      </c>
      <c r="H216" s="281">
        <v>7.5850999999999997</v>
      </c>
      <c r="I216" s="281">
        <f t="shared" si="26"/>
        <v>0.14500000000000046</v>
      </c>
      <c r="J216" s="280">
        <f t="shared" si="24"/>
        <v>5.5399999999999533E-2</v>
      </c>
      <c r="K216" s="282">
        <f t="shared" si="25"/>
        <v>27.644710578842087</v>
      </c>
      <c r="L216">
        <v>40</v>
      </c>
      <c r="M216" s="16">
        <v>43388</v>
      </c>
      <c r="N216" s="283">
        <v>43389</v>
      </c>
      <c r="O216" s="16"/>
      <c r="R216" s="282"/>
    </row>
    <row r="217" spans="1:18">
      <c r="A217" t="s">
        <v>1637</v>
      </c>
      <c r="C217" t="s">
        <v>3754</v>
      </c>
      <c r="D217">
        <v>1.8223</v>
      </c>
      <c r="E217">
        <v>11.904500000000001</v>
      </c>
      <c r="F217">
        <v>0.23100000000000001</v>
      </c>
      <c r="G217" s="281">
        <f t="shared" si="27"/>
        <v>12.1355</v>
      </c>
      <c r="H217" s="281">
        <v>11.9168</v>
      </c>
      <c r="I217" s="281">
        <f t="shared" si="26"/>
        <v>0.21870000000000012</v>
      </c>
      <c r="J217" s="280">
        <f t="shared" si="24"/>
        <v>1.2299999999999894E-2</v>
      </c>
      <c r="K217" s="282">
        <f t="shared" si="25"/>
        <v>5.3246753246752787</v>
      </c>
      <c r="L217">
        <v>40</v>
      </c>
      <c r="M217" s="16">
        <v>43381</v>
      </c>
      <c r="N217" s="16">
        <v>43382</v>
      </c>
      <c r="R217" s="282"/>
    </row>
    <row r="218" spans="1:18">
      <c r="A218" t="s">
        <v>2008</v>
      </c>
      <c r="C218" t="s">
        <v>3408</v>
      </c>
      <c r="D218">
        <v>0.81630000000000003</v>
      </c>
      <c r="E218">
        <v>11.0244</v>
      </c>
      <c r="F218">
        <v>0.20499999999999999</v>
      </c>
      <c r="G218" s="285">
        <f t="shared" si="27"/>
        <v>11.2294</v>
      </c>
      <c r="H218" s="281">
        <v>11.108700000000001</v>
      </c>
      <c r="I218" s="285">
        <f t="shared" si="26"/>
        <v>0.12069999999999936</v>
      </c>
      <c r="J218" s="280">
        <f t="shared" ref="J218:J281" si="28">F218-I218</f>
        <v>8.4300000000000624E-2</v>
      </c>
      <c r="K218" s="282">
        <f t="shared" ref="K218:K281" si="29">(J218/F218)*100</f>
        <v>41.121951219512503</v>
      </c>
      <c r="L218">
        <v>17</v>
      </c>
      <c r="M218" s="283">
        <v>43379</v>
      </c>
      <c r="N218" s="283">
        <v>43379</v>
      </c>
      <c r="R218" s="282"/>
    </row>
    <row r="219" spans="1:18">
      <c r="A219" t="s">
        <v>1628</v>
      </c>
      <c r="C219" t="s">
        <v>3417</v>
      </c>
      <c r="D219">
        <v>0.56340000000000001</v>
      </c>
      <c r="E219">
        <v>7.9611999999999998</v>
      </c>
      <c r="F219">
        <v>0.21199999999999999</v>
      </c>
      <c r="G219" s="281">
        <f t="shared" si="27"/>
        <v>8.1731999999999996</v>
      </c>
      <c r="H219" s="281">
        <v>8.0054999999999996</v>
      </c>
      <c r="I219" s="281">
        <f t="shared" si="26"/>
        <v>0.16769999999999996</v>
      </c>
      <c r="J219" s="280">
        <f t="shared" si="28"/>
        <v>4.4300000000000034E-2</v>
      </c>
      <c r="K219" s="282">
        <f t="shared" si="29"/>
        <v>20.896226415094358</v>
      </c>
      <c r="L219">
        <v>27</v>
      </c>
      <c r="M219">
        <v>23.101800000000001</v>
      </c>
      <c r="N219" s="16">
        <v>43397</v>
      </c>
      <c r="R219" s="282"/>
    </row>
    <row r="220" spans="1:18">
      <c r="A220" t="s">
        <v>2007</v>
      </c>
      <c r="C220" t="s">
        <v>3690</v>
      </c>
      <c r="D220">
        <v>1.6472</v>
      </c>
      <c r="E220">
        <v>10.116899999999999</v>
      </c>
      <c r="F220">
        <v>0.22869999999999999</v>
      </c>
      <c r="G220" s="281">
        <f t="shared" si="27"/>
        <v>10.345599999999999</v>
      </c>
      <c r="H220" s="281">
        <v>10.1279</v>
      </c>
      <c r="I220" s="281">
        <f>(G220-H220)</f>
        <v>0.21769999999999889</v>
      </c>
      <c r="J220" s="280">
        <f t="shared" si="28"/>
        <v>1.1000000000001092E-2</v>
      </c>
      <c r="K220" s="282">
        <f t="shared" si="29"/>
        <v>4.8097944905995158</v>
      </c>
      <c r="L220">
        <v>12</v>
      </c>
      <c r="M220" s="283">
        <v>43360</v>
      </c>
      <c r="N220" s="283">
        <v>43361</v>
      </c>
      <c r="O220" s="280" t="s">
        <v>3684</v>
      </c>
      <c r="R220" s="282"/>
    </row>
    <row r="221" spans="1:18">
      <c r="A221" t="s">
        <v>1620</v>
      </c>
      <c r="C221" t="s">
        <v>3691</v>
      </c>
      <c r="D221">
        <v>1.7615000000000001</v>
      </c>
      <c r="E221">
        <v>8.0637000000000008</v>
      </c>
      <c r="F221">
        <v>0.2351</v>
      </c>
      <c r="G221" s="281">
        <f t="shared" si="27"/>
        <v>8.2988</v>
      </c>
      <c r="H221" s="281">
        <v>8.0770999999999997</v>
      </c>
      <c r="I221" s="281">
        <f>(G221-H221)</f>
        <v>0.22170000000000023</v>
      </c>
      <c r="J221" s="280">
        <f t="shared" si="28"/>
        <v>1.3399999999999773E-2</v>
      </c>
      <c r="K221" s="282">
        <f t="shared" si="29"/>
        <v>5.6997022543597504</v>
      </c>
      <c r="L221">
        <v>17</v>
      </c>
      <c r="M221" s="283">
        <v>43360</v>
      </c>
      <c r="N221" s="283">
        <v>43361</v>
      </c>
      <c r="O221" s="280" t="s">
        <v>3684</v>
      </c>
      <c r="R221" s="282"/>
    </row>
    <row r="222" spans="1:18">
      <c r="A222" t="s">
        <v>1619</v>
      </c>
      <c r="C222" t="s">
        <v>3638</v>
      </c>
      <c r="D222">
        <v>1.7277</v>
      </c>
      <c r="E222">
        <v>8.0465</v>
      </c>
      <c r="F222">
        <v>0.20730000000000001</v>
      </c>
      <c r="G222" s="281">
        <f t="shared" si="27"/>
        <v>8.2538</v>
      </c>
      <c r="H222" s="281">
        <v>8.0582999999999991</v>
      </c>
      <c r="I222" s="281">
        <f>(G222-H222)</f>
        <v>0.1955000000000009</v>
      </c>
      <c r="J222" s="280">
        <f t="shared" si="28"/>
        <v>1.1799999999999117E-2</v>
      </c>
      <c r="K222" s="282">
        <f t="shared" si="29"/>
        <v>5.6922334780507073</v>
      </c>
      <c r="L222">
        <v>24</v>
      </c>
      <c r="M222" s="16">
        <v>43358</v>
      </c>
      <c r="N222" s="16">
        <v>43358</v>
      </c>
      <c r="R222" s="282"/>
    </row>
    <row r="223" spans="1:18">
      <c r="A223" t="s">
        <v>1616</v>
      </c>
      <c r="B223">
        <v>211</v>
      </c>
      <c r="D223">
        <v>0.56089999999999995</v>
      </c>
      <c r="E223">
        <v>7.8733000000000004</v>
      </c>
      <c r="F223">
        <v>0.20649999999999999</v>
      </c>
      <c r="G223" s="281">
        <f t="shared" si="27"/>
        <v>8.0798000000000005</v>
      </c>
      <c r="H223" s="281">
        <v>7.9043000000000001</v>
      </c>
      <c r="I223" s="281">
        <f t="shared" ref="I223:I230" si="30">G223-H223</f>
        <v>0.17550000000000043</v>
      </c>
      <c r="J223" s="280">
        <f t="shared" si="28"/>
        <v>3.0999999999999556E-2</v>
      </c>
      <c r="K223" s="282">
        <f t="shared" si="29"/>
        <v>15.012106537530052</v>
      </c>
      <c r="L223">
        <v>11</v>
      </c>
      <c r="M223">
        <v>23.101800000000001</v>
      </c>
      <c r="N223" s="16">
        <v>43397</v>
      </c>
      <c r="R223" s="282"/>
    </row>
    <row r="224" spans="1:18">
      <c r="A224" t="s">
        <v>1615</v>
      </c>
      <c r="C224" t="s">
        <v>3719</v>
      </c>
      <c r="D224">
        <v>1.577</v>
      </c>
      <c r="E224">
        <v>7.8734000000000002</v>
      </c>
      <c r="F224">
        <v>0.2041</v>
      </c>
      <c r="G224" s="281">
        <f t="shared" si="27"/>
        <v>8.0775000000000006</v>
      </c>
      <c r="H224" s="281">
        <v>7.8943000000000003</v>
      </c>
      <c r="I224" s="281">
        <f t="shared" si="30"/>
        <v>0.18320000000000025</v>
      </c>
      <c r="J224" s="280">
        <f t="shared" si="28"/>
        <v>2.0899999999999752E-2</v>
      </c>
      <c r="K224" s="282">
        <f t="shared" si="29"/>
        <v>10.240078392944513</v>
      </c>
      <c r="L224">
        <v>31</v>
      </c>
      <c r="M224" s="16">
        <v>43381</v>
      </c>
      <c r="N224" s="16">
        <v>43382</v>
      </c>
      <c r="R224" s="282"/>
    </row>
    <row r="225" spans="1:18">
      <c r="A225" t="s">
        <v>2006</v>
      </c>
      <c r="C225" t="s">
        <v>3746</v>
      </c>
      <c r="D225">
        <v>1.3672</v>
      </c>
      <c r="E225">
        <v>7.9619999999999997</v>
      </c>
      <c r="F225">
        <v>0.21840000000000001</v>
      </c>
      <c r="G225" s="285">
        <f t="shared" si="27"/>
        <v>8.1804000000000006</v>
      </c>
      <c r="H225" s="281">
        <v>7.9851999999999999</v>
      </c>
      <c r="I225" s="285">
        <f t="shared" si="30"/>
        <v>0.19520000000000071</v>
      </c>
      <c r="J225" s="280">
        <f t="shared" si="28"/>
        <v>2.3199999999999305E-2</v>
      </c>
      <c r="K225" s="282">
        <f t="shared" si="29"/>
        <v>10.622710622710303</v>
      </c>
      <c r="L225">
        <v>5</v>
      </c>
      <c r="M225" s="283">
        <v>43379</v>
      </c>
      <c r="N225" s="283">
        <v>43379</v>
      </c>
      <c r="O225" s="280"/>
      <c r="R225" s="282"/>
    </row>
    <row r="226" spans="1:18">
      <c r="A226" t="s">
        <v>1606</v>
      </c>
      <c r="C226" t="s">
        <v>3748</v>
      </c>
      <c r="D226">
        <v>1.1603000000000001</v>
      </c>
      <c r="E226">
        <v>7.7750000000000004</v>
      </c>
      <c r="F226">
        <v>0.21129999999999999</v>
      </c>
      <c r="G226" s="281">
        <f t="shared" si="27"/>
        <v>7.9863</v>
      </c>
      <c r="H226" s="281">
        <v>7.7977999999999996</v>
      </c>
      <c r="I226" s="281">
        <f t="shared" si="30"/>
        <v>0.18850000000000033</v>
      </c>
      <c r="J226" s="280">
        <f t="shared" si="28"/>
        <v>2.2799999999999654E-2</v>
      </c>
      <c r="K226" s="282">
        <f t="shared" si="29"/>
        <v>10.790345480359514</v>
      </c>
      <c r="L226">
        <v>16</v>
      </c>
      <c r="M226" s="16">
        <v>43381</v>
      </c>
      <c r="N226" s="16">
        <v>43382</v>
      </c>
      <c r="R226" s="282"/>
    </row>
    <row r="227" spans="1:18">
      <c r="A227" t="s">
        <v>2005</v>
      </c>
      <c r="B227">
        <v>193</v>
      </c>
      <c r="D227">
        <v>0.6321</v>
      </c>
      <c r="E227">
        <v>9.3230000000000004</v>
      </c>
      <c r="F227">
        <v>0.20660000000000001</v>
      </c>
      <c r="G227" s="281">
        <f t="shared" si="27"/>
        <v>9.5296000000000003</v>
      </c>
      <c r="H227" s="281">
        <v>9.3507999999999996</v>
      </c>
      <c r="I227" s="281">
        <f t="shared" si="30"/>
        <v>0.17880000000000074</v>
      </c>
      <c r="J227" s="280">
        <f t="shared" si="28"/>
        <v>2.779999999999927E-2</v>
      </c>
      <c r="K227" s="282">
        <f t="shared" si="29"/>
        <v>13.455953533397516</v>
      </c>
      <c r="L227">
        <v>4</v>
      </c>
      <c r="M227" s="16">
        <v>43395</v>
      </c>
      <c r="N227" s="16">
        <v>43396</v>
      </c>
      <c r="R227" s="282"/>
    </row>
    <row r="228" spans="1:18">
      <c r="A228" t="s">
        <v>1595</v>
      </c>
      <c r="C228" t="s">
        <v>3751</v>
      </c>
      <c r="D228">
        <v>0.74009999999999998</v>
      </c>
      <c r="E228">
        <v>8.1692999999999998</v>
      </c>
      <c r="F228">
        <v>0.20660000000000001</v>
      </c>
      <c r="G228" s="281">
        <f t="shared" si="27"/>
        <v>8.3758999999999997</v>
      </c>
      <c r="H228" s="281">
        <v>8.2050999999999998</v>
      </c>
      <c r="I228" s="281">
        <f t="shared" si="30"/>
        <v>0.17079999999999984</v>
      </c>
      <c r="J228" s="280">
        <f t="shared" si="28"/>
        <v>3.5800000000000165E-2</v>
      </c>
      <c r="K228" s="282">
        <f t="shared" si="29"/>
        <v>17.328170377541223</v>
      </c>
      <c r="L228">
        <v>15</v>
      </c>
      <c r="M228" s="16">
        <v>43399</v>
      </c>
      <c r="N228" s="16">
        <v>43400</v>
      </c>
      <c r="R228" s="282"/>
    </row>
    <row r="229" spans="1:18">
      <c r="A229" t="s">
        <v>2004</v>
      </c>
      <c r="C229" t="s">
        <v>3718</v>
      </c>
      <c r="D229">
        <v>1.4639</v>
      </c>
      <c r="E229">
        <v>20.014700000000001</v>
      </c>
      <c r="F229">
        <v>0.2228</v>
      </c>
      <c r="G229" s="281">
        <f t="shared" si="27"/>
        <v>20.237500000000001</v>
      </c>
      <c r="H229" s="281">
        <v>20.029399999999999</v>
      </c>
      <c r="I229" s="281">
        <f t="shared" si="30"/>
        <v>0.20810000000000173</v>
      </c>
      <c r="J229" s="280">
        <f t="shared" si="28"/>
        <v>1.469999999999827E-2</v>
      </c>
      <c r="K229" s="282">
        <f t="shared" si="29"/>
        <v>6.5978456014354894</v>
      </c>
      <c r="L229">
        <v>6</v>
      </c>
      <c r="M229" s="283">
        <v>43362</v>
      </c>
      <c r="N229" s="283">
        <v>43363</v>
      </c>
      <c r="O229" s="280"/>
      <c r="R229" s="282"/>
    </row>
    <row r="230" spans="1:18">
      <c r="A230" t="s">
        <v>1586</v>
      </c>
      <c r="C230" t="s">
        <v>3471</v>
      </c>
      <c r="D230">
        <v>1.4184000000000001</v>
      </c>
      <c r="E230">
        <v>10.741300000000001</v>
      </c>
      <c r="F230">
        <v>0.22470000000000001</v>
      </c>
      <c r="G230" s="281">
        <f t="shared" si="27"/>
        <v>10.966000000000001</v>
      </c>
      <c r="H230" s="281">
        <v>10.7585</v>
      </c>
      <c r="I230" s="281">
        <f t="shared" si="30"/>
        <v>0.20750000000000135</v>
      </c>
      <c r="J230" s="280">
        <f t="shared" si="28"/>
        <v>1.7199999999998661E-2</v>
      </c>
      <c r="K230" s="282">
        <f t="shared" si="29"/>
        <v>7.6546506453042547</v>
      </c>
      <c r="L230">
        <v>32</v>
      </c>
      <c r="M230" s="16">
        <v>43399</v>
      </c>
      <c r="N230" s="16">
        <v>43400</v>
      </c>
      <c r="R230" s="282"/>
    </row>
    <row r="231" spans="1:18">
      <c r="A231" t="s">
        <v>1585</v>
      </c>
      <c r="C231" t="s">
        <v>3673</v>
      </c>
      <c r="D231">
        <v>1.5044</v>
      </c>
      <c r="E231">
        <v>9.0043000000000006</v>
      </c>
      <c r="F231">
        <v>0.2024</v>
      </c>
      <c r="G231" s="281">
        <f t="shared" si="27"/>
        <v>9.2067000000000014</v>
      </c>
      <c r="H231" s="281">
        <v>9.0182000000000002</v>
      </c>
      <c r="I231" s="281">
        <f>(G231-H231)</f>
        <v>0.18850000000000122</v>
      </c>
      <c r="J231" s="280">
        <f t="shared" si="28"/>
        <v>1.3899999999998774E-2</v>
      </c>
      <c r="K231" s="282">
        <f t="shared" si="29"/>
        <v>6.8675889328057185</v>
      </c>
      <c r="L231">
        <v>8</v>
      </c>
      <c r="M231" s="283">
        <v>43360</v>
      </c>
      <c r="N231" s="283">
        <v>43361</v>
      </c>
      <c r="O231" s="280" t="s">
        <v>3684</v>
      </c>
      <c r="R231" s="282"/>
    </row>
    <row r="232" spans="1:18">
      <c r="A232" t="s">
        <v>1584</v>
      </c>
      <c r="C232" t="s">
        <v>3449</v>
      </c>
      <c r="D232">
        <f>0.4237+0.2034</f>
        <v>0.62709999999999999</v>
      </c>
      <c r="E232">
        <v>11.1738</v>
      </c>
      <c r="F232">
        <v>0.2034</v>
      </c>
      <c r="G232" s="281">
        <f t="shared" si="27"/>
        <v>11.3772</v>
      </c>
      <c r="H232" s="281">
        <v>11.2234</v>
      </c>
      <c r="I232" s="281">
        <f>G232-H232</f>
        <v>0.15380000000000038</v>
      </c>
      <c r="J232" s="280">
        <f t="shared" si="28"/>
        <v>4.9599999999999617E-2</v>
      </c>
      <c r="K232" s="282">
        <f t="shared" si="29"/>
        <v>24.385447394296765</v>
      </c>
      <c r="L232">
        <v>13</v>
      </c>
      <c r="M232" s="283">
        <v>43362</v>
      </c>
      <c r="N232" s="283">
        <v>43363</v>
      </c>
      <c r="O232" s="280"/>
      <c r="R232" s="282"/>
    </row>
    <row r="233" spans="1:18">
      <c r="A233" t="s">
        <v>1583</v>
      </c>
      <c r="C233" t="s">
        <v>3669</v>
      </c>
      <c r="D233">
        <v>1.6935</v>
      </c>
      <c r="E233">
        <v>7.7742000000000004</v>
      </c>
      <c r="F233">
        <v>0.23710000000000001</v>
      </c>
      <c r="G233" s="281">
        <f t="shared" si="27"/>
        <v>8.0113000000000003</v>
      </c>
      <c r="H233" s="281">
        <v>7.7876000000000003</v>
      </c>
      <c r="I233" s="281">
        <f>(G233-H233)</f>
        <v>0.22370000000000001</v>
      </c>
      <c r="J233" s="280">
        <f t="shared" si="28"/>
        <v>1.3399999999999995E-2</v>
      </c>
      <c r="K233" s="282">
        <f t="shared" si="29"/>
        <v>5.6516237874314612</v>
      </c>
      <c r="L233">
        <v>30</v>
      </c>
      <c r="M233" s="283">
        <v>43360</v>
      </c>
      <c r="N233" s="283">
        <v>43361</v>
      </c>
      <c r="R233" s="282"/>
    </row>
    <row r="234" spans="1:18">
      <c r="A234" t="s">
        <v>2003</v>
      </c>
      <c r="C234" t="s">
        <v>3480</v>
      </c>
      <c r="D234">
        <v>0.87460000000000004</v>
      </c>
      <c r="E234">
        <v>9.0324000000000009</v>
      </c>
      <c r="F234">
        <v>0.20830000000000001</v>
      </c>
      <c r="G234" s="281">
        <f t="shared" si="27"/>
        <v>9.2407000000000004</v>
      </c>
      <c r="H234" s="281">
        <v>9.0789000000000009</v>
      </c>
      <c r="I234" s="281">
        <f>G234-H234</f>
        <v>0.1617999999999995</v>
      </c>
      <c r="J234" s="280">
        <f t="shared" si="28"/>
        <v>4.6500000000000513E-2</v>
      </c>
      <c r="K234" s="282">
        <f t="shared" si="29"/>
        <v>22.323571771483682</v>
      </c>
      <c r="L234">
        <v>21</v>
      </c>
      <c r="M234" s="283">
        <v>43363</v>
      </c>
      <c r="N234" s="283">
        <v>43364</v>
      </c>
      <c r="O234" s="280" t="s">
        <v>3732</v>
      </c>
      <c r="R234" s="282"/>
    </row>
    <row r="235" spans="1:18">
      <c r="A235" t="s">
        <v>1577</v>
      </c>
      <c r="C235" t="s">
        <v>3680</v>
      </c>
      <c r="D235">
        <v>1.7426999999999999</v>
      </c>
      <c r="E235">
        <v>10.202400000000001</v>
      </c>
      <c r="F235">
        <v>0.23849999999999999</v>
      </c>
      <c r="G235" s="281">
        <f t="shared" si="27"/>
        <v>10.440900000000001</v>
      </c>
      <c r="H235" s="281">
        <v>10.2186</v>
      </c>
      <c r="I235" s="281">
        <f>G235-H235</f>
        <v>0.22230000000000061</v>
      </c>
      <c r="J235" s="280">
        <f t="shared" si="28"/>
        <v>1.6199999999999382E-2</v>
      </c>
      <c r="K235" s="282">
        <f t="shared" si="29"/>
        <v>6.7924528301884193</v>
      </c>
      <c r="L235">
        <v>11</v>
      </c>
      <c r="M235" s="283">
        <v>43361</v>
      </c>
      <c r="N235" s="283">
        <v>43362</v>
      </c>
      <c r="O235" s="280" t="s">
        <v>3707</v>
      </c>
      <c r="R235" s="282"/>
    </row>
    <row r="236" spans="1:18">
      <c r="A236" t="s">
        <v>2002</v>
      </c>
      <c r="C236" t="s">
        <v>3405</v>
      </c>
      <c r="D236">
        <v>0.65239999999999998</v>
      </c>
      <c r="E236">
        <v>10.076499999999999</v>
      </c>
      <c r="F236">
        <v>0.2109</v>
      </c>
      <c r="G236" s="281">
        <f t="shared" si="27"/>
        <v>10.2874</v>
      </c>
      <c r="H236" s="281">
        <v>10.1121</v>
      </c>
      <c r="I236" s="281">
        <f>G236-H236</f>
        <v>0.17530000000000001</v>
      </c>
      <c r="J236" s="280">
        <f t="shared" si="28"/>
        <v>3.5599999999999993E-2</v>
      </c>
      <c r="K236" s="282">
        <f t="shared" si="29"/>
        <v>16.880037932669509</v>
      </c>
      <c r="L236">
        <v>23</v>
      </c>
      <c r="M236">
        <v>23.101800000000001</v>
      </c>
      <c r="N236" s="16">
        <v>43397</v>
      </c>
      <c r="R236" s="282"/>
    </row>
    <row r="237" spans="1:18">
      <c r="A237" t="s">
        <v>1569</v>
      </c>
      <c r="C237" t="s">
        <v>3677</v>
      </c>
      <c r="D237">
        <v>1.6008</v>
      </c>
      <c r="E237">
        <v>11.106199999999999</v>
      </c>
      <c r="F237">
        <v>0.20130000000000001</v>
      </c>
      <c r="G237" s="281">
        <f t="shared" si="27"/>
        <v>11.307499999999999</v>
      </c>
      <c r="H237" s="281">
        <v>11.118</v>
      </c>
      <c r="I237" s="281">
        <f>(G237-H237)</f>
        <v>0.18949999999999889</v>
      </c>
      <c r="J237" s="280">
        <f t="shared" si="28"/>
        <v>1.1800000000001115E-2</v>
      </c>
      <c r="K237" s="282">
        <f t="shared" si="29"/>
        <v>5.8618976651769072</v>
      </c>
      <c r="L237">
        <v>37</v>
      </c>
      <c r="M237" s="283">
        <v>43360</v>
      </c>
      <c r="N237" s="283">
        <v>43361</v>
      </c>
      <c r="O237" s="280" t="s">
        <v>3684</v>
      </c>
      <c r="R237" s="282"/>
    </row>
    <row r="238" spans="1:18">
      <c r="A238" t="s">
        <v>1568</v>
      </c>
      <c r="C238" t="s">
        <v>3472</v>
      </c>
      <c r="D238">
        <v>1.2858000000000001</v>
      </c>
      <c r="E238">
        <v>8.0655000000000001</v>
      </c>
      <c r="F238">
        <v>0.21179999999999999</v>
      </c>
      <c r="G238" s="281">
        <f t="shared" si="27"/>
        <v>8.2773000000000003</v>
      </c>
      <c r="H238" s="281">
        <v>8.0974000000000004</v>
      </c>
      <c r="I238" s="281">
        <f>G238-H238</f>
        <v>0.17989999999999995</v>
      </c>
      <c r="J238" s="280">
        <f t="shared" si="28"/>
        <v>3.1900000000000039E-2</v>
      </c>
      <c r="K238" s="282">
        <f t="shared" si="29"/>
        <v>15.061378659112389</v>
      </c>
      <c r="L238">
        <v>4</v>
      </c>
      <c r="M238" s="16">
        <v>43399</v>
      </c>
      <c r="N238" s="16">
        <v>43400</v>
      </c>
      <c r="R238" s="282"/>
    </row>
    <row r="239" spans="1:18">
      <c r="A239" t="s">
        <v>1566</v>
      </c>
      <c r="C239" t="s">
        <v>3399</v>
      </c>
      <c r="D239">
        <v>0.49030000000000001</v>
      </c>
      <c r="E239">
        <v>8.4450000000000003</v>
      </c>
      <c r="F239">
        <v>0.21110000000000001</v>
      </c>
      <c r="G239" s="281">
        <f t="shared" si="27"/>
        <v>8.6561000000000003</v>
      </c>
      <c r="H239" s="281">
        <v>8.4809999999999999</v>
      </c>
      <c r="I239" s="281">
        <f>G239-H239</f>
        <v>0.17510000000000048</v>
      </c>
      <c r="J239" s="280">
        <f t="shared" si="28"/>
        <v>3.5999999999999532E-2</v>
      </c>
      <c r="K239" s="282">
        <f t="shared" si="29"/>
        <v>17.053529133112047</v>
      </c>
      <c r="L239">
        <v>6</v>
      </c>
      <c r="M239" s="16">
        <v>43399</v>
      </c>
      <c r="N239" s="16">
        <v>43400</v>
      </c>
      <c r="R239" s="282"/>
    </row>
    <row r="240" spans="1:18">
      <c r="A240" t="s">
        <v>1565</v>
      </c>
      <c r="B240">
        <v>218</v>
      </c>
      <c r="D240">
        <v>0.50409999999999999</v>
      </c>
      <c r="E240">
        <v>10.902200000000001</v>
      </c>
      <c r="F240">
        <v>0.2039</v>
      </c>
      <c r="G240" s="281">
        <f t="shared" si="27"/>
        <v>11.106100000000001</v>
      </c>
      <c r="H240" s="281">
        <v>10.9472</v>
      </c>
      <c r="I240" s="281">
        <f>G240-H240</f>
        <v>0.15890000000000093</v>
      </c>
      <c r="J240" s="280">
        <f t="shared" si="28"/>
        <v>4.4999999999999069E-2</v>
      </c>
      <c r="K240" s="282">
        <f t="shared" si="29"/>
        <v>22.069641981362956</v>
      </c>
      <c r="L240">
        <v>29</v>
      </c>
      <c r="M240" s="16">
        <v>43388</v>
      </c>
      <c r="N240" s="283">
        <v>43389</v>
      </c>
      <c r="O240" s="16"/>
      <c r="R240" s="282"/>
    </row>
    <row r="241" spans="1:18">
      <c r="A241" t="s">
        <v>2001</v>
      </c>
      <c r="C241" t="s">
        <v>3688</v>
      </c>
      <c r="D241">
        <v>1.7726999999999999</v>
      </c>
      <c r="E241">
        <v>8.1189999999999998</v>
      </c>
      <c r="F241">
        <v>0.20449999999999999</v>
      </c>
      <c r="G241" s="281">
        <f t="shared" si="27"/>
        <v>8.3234999999999992</v>
      </c>
      <c r="H241" s="281">
        <v>8.1290999999999993</v>
      </c>
      <c r="I241" s="281">
        <f>(G241-H241)</f>
        <v>0.19439999999999991</v>
      </c>
      <c r="J241" s="280">
        <f t="shared" si="28"/>
        <v>1.0100000000000081E-2</v>
      </c>
      <c r="K241" s="282">
        <f t="shared" si="29"/>
        <v>4.9388753056235117</v>
      </c>
      <c r="L241">
        <v>6</v>
      </c>
      <c r="M241" s="283">
        <v>43360</v>
      </c>
      <c r="N241" s="283">
        <v>43361</v>
      </c>
      <c r="O241" s="280" t="s">
        <v>3684</v>
      </c>
      <c r="R241" s="282"/>
    </row>
    <row r="242" spans="1:18">
      <c r="A242" t="s">
        <v>1560</v>
      </c>
      <c r="C242" t="s">
        <v>3740</v>
      </c>
      <c r="D242">
        <v>0.56969999999999998</v>
      </c>
      <c r="E242">
        <v>8.8620000000000001</v>
      </c>
      <c r="F242">
        <v>0.20669999999999999</v>
      </c>
      <c r="G242" s="281">
        <f t="shared" si="27"/>
        <v>9.0686999999999998</v>
      </c>
      <c r="H242" s="281">
        <v>8.9099000000000004</v>
      </c>
      <c r="I242" s="281">
        <f t="shared" ref="I242:I252" si="31">G242-H242</f>
        <v>0.15879999999999939</v>
      </c>
      <c r="J242" s="280">
        <f t="shared" si="28"/>
        <v>4.7900000000000609E-2</v>
      </c>
      <c r="K242" s="282">
        <f t="shared" si="29"/>
        <v>23.173681664247997</v>
      </c>
      <c r="L242">
        <v>41</v>
      </c>
      <c r="M242" s="283">
        <v>43374</v>
      </c>
      <c r="N242" s="283">
        <v>43375</v>
      </c>
      <c r="O242" s="280" t="s">
        <v>3707</v>
      </c>
      <c r="R242" s="282"/>
    </row>
    <row r="243" spans="1:18">
      <c r="A243" t="s">
        <v>1557</v>
      </c>
      <c r="C243" t="s">
        <v>3665</v>
      </c>
      <c r="D243">
        <v>1.7154</v>
      </c>
      <c r="E243">
        <v>7.4753999999999996</v>
      </c>
      <c r="F243">
        <v>0.23980000000000001</v>
      </c>
      <c r="G243" s="281">
        <f t="shared" si="27"/>
        <v>7.7151999999999994</v>
      </c>
      <c r="H243" s="281">
        <v>7.4907000000000004</v>
      </c>
      <c r="I243" s="281">
        <f t="shared" si="31"/>
        <v>0.22449999999999903</v>
      </c>
      <c r="J243" s="280">
        <f t="shared" si="28"/>
        <v>1.5300000000000979E-2</v>
      </c>
      <c r="K243" s="282">
        <f t="shared" si="29"/>
        <v>6.380316930776055</v>
      </c>
      <c r="L243">
        <v>37</v>
      </c>
      <c r="M243" s="16">
        <v>43381</v>
      </c>
      <c r="N243" s="16">
        <v>43382</v>
      </c>
      <c r="R243" s="282"/>
    </row>
    <row r="244" spans="1:18">
      <c r="A244" t="s">
        <v>2045</v>
      </c>
      <c r="B244">
        <v>213</v>
      </c>
      <c r="D244">
        <v>0.505</v>
      </c>
      <c r="E244">
        <v>7.8402000000000003</v>
      </c>
      <c r="F244">
        <v>0.2016</v>
      </c>
      <c r="G244" s="281">
        <f t="shared" si="27"/>
        <v>8.0418000000000003</v>
      </c>
      <c r="H244" s="281">
        <v>7.8685</v>
      </c>
      <c r="I244" s="281">
        <f t="shared" si="31"/>
        <v>0.17330000000000023</v>
      </c>
      <c r="J244" s="280">
        <f t="shared" si="28"/>
        <v>2.829999999999977E-2</v>
      </c>
      <c r="K244" s="282">
        <f t="shared" si="29"/>
        <v>14.037698412698299</v>
      </c>
      <c r="L244">
        <v>24</v>
      </c>
      <c r="M244" s="16">
        <v>43388</v>
      </c>
      <c r="N244" s="283">
        <v>43389</v>
      </c>
      <c r="O244" s="16"/>
      <c r="R244" s="282"/>
    </row>
    <row r="245" spans="1:18">
      <c r="A245" t="s">
        <v>2000</v>
      </c>
      <c r="C245" t="s">
        <v>3760</v>
      </c>
      <c r="D245">
        <v>0.68879999999999997</v>
      </c>
      <c r="E245">
        <v>9.1579999999999995</v>
      </c>
      <c r="F245">
        <v>0.20630000000000001</v>
      </c>
      <c r="G245" s="281">
        <f t="shared" si="27"/>
        <v>9.3643000000000001</v>
      </c>
      <c r="H245" s="281">
        <v>9.2218999999999998</v>
      </c>
      <c r="I245" s="281">
        <f t="shared" si="31"/>
        <v>0.1424000000000003</v>
      </c>
      <c r="J245" s="280">
        <f t="shared" si="28"/>
        <v>6.3899999999999707E-2</v>
      </c>
      <c r="K245" s="282">
        <f t="shared" si="29"/>
        <v>30.974309258361465</v>
      </c>
      <c r="L245">
        <v>2</v>
      </c>
      <c r="M245" s="16">
        <v>43399</v>
      </c>
      <c r="N245" s="16">
        <v>43400</v>
      </c>
      <c r="R245" s="282"/>
    </row>
    <row r="246" spans="1:18">
      <c r="A246" t="s">
        <v>1549</v>
      </c>
      <c r="C246" t="s">
        <v>3399</v>
      </c>
      <c r="D246">
        <v>0.60850000000000004</v>
      </c>
      <c r="E246">
        <v>9.3436000000000003</v>
      </c>
      <c r="F246">
        <v>0.23619999999999999</v>
      </c>
      <c r="G246" s="281">
        <f t="shared" si="27"/>
        <v>9.5798000000000005</v>
      </c>
      <c r="H246" s="281">
        <v>9.3923000000000005</v>
      </c>
      <c r="I246" s="281">
        <f t="shared" si="31"/>
        <v>0.1875</v>
      </c>
      <c r="J246" s="280">
        <f t="shared" si="28"/>
        <v>4.8699999999999993E-2</v>
      </c>
      <c r="K246" s="282">
        <f t="shared" si="29"/>
        <v>20.618120237087211</v>
      </c>
      <c r="L246">
        <v>41</v>
      </c>
      <c r="M246" s="16">
        <v>43399</v>
      </c>
      <c r="N246" s="16">
        <v>43400</v>
      </c>
      <c r="R246" s="282"/>
    </row>
    <row r="247" spans="1:18">
      <c r="A247" t="s">
        <v>1999</v>
      </c>
      <c r="C247" t="s">
        <v>3402</v>
      </c>
      <c r="D247">
        <v>0.62309999999999999</v>
      </c>
      <c r="E247">
        <v>9.0040999999999993</v>
      </c>
      <c r="F247">
        <v>0.21890000000000001</v>
      </c>
      <c r="G247" s="285">
        <f t="shared" si="27"/>
        <v>9.222999999999999</v>
      </c>
      <c r="H247" s="281">
        <v>9.0614000000000008</v>
      </c>
      <c r="I247" s="285">
        <f t="shared" si="31"/>
        <v>0.16159999999999819</v>
      </c>
      <c r="J247" s="280">
        <f t="shared" si="28"/>
        <v>5.7300000000001822E-2</v>
      </c>
      <c r="K247" s="282">
        <f t="shared" si="29"/>
        <v>26.176336226588315</v>
      </c>
      <c r="L247">
        <v>18</v>
      </c>
      <c r="M247" s="283">
        <v>43379</v>
      </c>
      <c r="N247" s="283">
        <v>43379</v>
      </c>
      <c r="R247" s="282"/>
    </row>
    <row r="248" spans="1:18">
      <c r="A248" t="s">
        <v>1535</v>
      </c>
      <c r="C248" t="s">
        <v>3444</v>
      </c>
      <c r="D248">
        <v>0.58069999999999999</v>
      </c>
      <c r="E248">
        <v>9.7233000000000001</v>
      </c>
      <c r="F248">
        <v>0.21629999999999999</v>
      </c>
      <c r="G248" s="281">
        <f t="shared" si="27"/>
        <v>9.9396000000000004</v>
      </c>
      <c r="H248" s="281">
        <v>9.7765000000000004</v>
      </c>
      <c r="I248" s="281">
        <f t="shared" si="31"/>
        <v>0.16310000000000002</v>
      </c>
      <c r="J248" s="280">
        <f t="shared" si="28"/>
        <v>5.319999999999997E-2</v>
      </c>
      <c r="K248" s="282">
        <f t="shared" si="29"/>
        <v>24.595469255663417</v>
      </c>
      <c r="L248">
        <v>28</v>
      </c>
      <c r="M248" s="283">
        <v>43374</v>
      </c>
      <c r="N248" s="283">
        <v>43375</v>
      </c>
      <c r="O248" s="280" t="s">
        <v>3707</v>
      </c>
      <c r="R248" s="282"/>
    </row>
    <row r="249" spans="1:18">
      <c r="A249" t="s">
        <v>1533</v>
      </c>
      <c r="C249" t="s">
        <v>3403</v>
      </c>
      <c r="D249">
        <v>0.57410000000000005</v>
      </c>
      <c r="E249">
        <v>10.744999999999999</v>
      </c>
      <c r="F249">
        <v>0.20430000000000001</v>
      </c>
      <c r="G249" s="281">
        <f t="shared" si="27"/>
        <v>10.949299999999999</v>
      </c>
      <c r="H249" s="281">
        <v>10.782299999999999</v>
      </c>
      <c r="I249" s="281">
        <f t="shared" si="31"/>
        <v>0.16699999999999982</v>
      </c>
      <c r="J249" s="280">
        <f t="shared" si="28"/>
        <v>3.7300000000000194E-2</v>
      </c>
      <c r="K249" s="282">
        <f t="shared" si="29"/>
        <v>18.257464512971215</v>
      </c>
      <c r="L249">
        <v>39</v>
      </c>
      <c r="M249" s="283">
        <v>43374</v>
      </c>
      <c r="N249" s="283">
        <v>43375</v>
      </c>
      <c r="O249" s="280" t="s">
        <v>3707</v>
      </c>
      <c r="R249" s="282"/>
    </row>
    <row r="250" spans="1:18">
      <c r="A250" t="s">
        <v>1519</v>
      </c>
      <c r="C250" t="s">
        <v>3675</v>
      </c>
      <c r="D250">
        <v>1.7277</v>
      </c>
      <c r="E250">
        <v>8.9566999999999997</v>
      </c>
      <c r="F250">
        <v>0.2011</v>
      </c>
      <c r="G250" s="281">
        <f t="shared" si="27"/>
        <v>9.1577999999999999</v>
      </c>
      <c r="H250" s="281">
        <v>8.9712999999999994</v>
      </c>
      <c r="I250" s="281">
        <f t="shared" si="31"/>
        <v>0.18650000000000055</v>
      </c>
      <c r="J250" s="280">
        <f t="shared" si="28"/>
        <v>1.4599999999999447E-2</v>
      </c>
      <c r="K250" s="282">
        <f t="shared" si="29"/>
        <v>7.2600696171056427</v>
      </c>
      <c r="L250">
        <v>5</v>
      </c>
      <c r="M250" s="283">
        <v>43361</v>
      </c>
      <c r="N250" s="283">
        <v>43362</v>
      </c>
      <c r="O250" s="280" t="s">
        <v>3707</v>
      </c>
      <c r="R250" s="282"/>
    </row>
    <row r="251" spans="1:18">
      <c r="A251" t="s">
        <v>1995</v>
      </c>
      <c r="B251">
        <v>205</v>
      </c>
      <c r="C251" t="s">
        <v>2490</v>
      </c>
      <c r="D251">
        <v>0.68079999999999996</v>
      </c>
      <c r="E251">
        <v>10.745200000000001</v>
      </c>
      <c r="F251">
        <v>0.2056</v>
      </c>
      <c r="G251">
        <f t="shared" si="27"/>
        <v>10.950800000000001</v>
      </c>
      <c r="H251">
        <v>10.784800000000001</v>
      </c>
      <c r="I251" s="281">
        <f t="shared" si="31"/>
        <v>0.16600000000000037</v>
      </c>
      <c r="J251" s="280">
        <f t="shared" si="28"/>
        <v>3.9599999999999635E-2</v>
      </c>
      <c r="K251" s="282">
        <f t="shared" si="29"/>
        <v>19.260700389104883</v>
      </c>
      <c r="L251">
        <v>2</v>
      </c>
      <c r="M251" s="16">
        <v>43402</v>
      </c>
      <c r="N251" s="16">
        <v>43403</v>
      </c>
      <c r="R251" s="282"/>
    </row>
    <row r="252" spans="1:18">
      <c r="A252" t="s">
        <v>1495</v>
      </c>
      <c r="C252" t="s">
        <v>3721</v>
      </c>
      <c r="D252">
        <v>1.8042</v>
      </c>
      <c r="E252">
        <v>7.5289000000000001</v>
      </c>
      <c r="F252">
        <v>0.2198</v>
      </c>
      <c r="G252" s="285">
        <f t="shared" si="27"/>
        <v>7.7487000000000004</v>
      </c>
      <c r="H252" s="281">
        <v>7.5422000000000002</v>
      </c>
      <c r="I252" s="285">
        <f t="shared" si="31"/>
        <v>0.20650000000000013</v>
      </c>
      <c r="J252" s="280">
        <f t="shared" si="28"/>
        <v>1.3299999999999867E-2</v>
      </c>
      <c r="K252" s="282">
        <f t="shared" si="29"/>
        <v>6.0509554140126784</v>
      </c>
      <c r="L252">
        <v>10</v>
      </c>
      <c r="M252" s="283">
        <v>43379</v>
      </c>
      <c r="N252" s="283">
        <v>43379</v>
      </c>
      <c r="O252" s="280"/>
      <c r="R252" s="282"/>
    </row>
    <row r="253" spans="1:18">
      <c r="A253" t="s">
        <v>1492</v>
      </c>
      <c r="C253" t="s">
        <v>3636</v>
      </c>
      <c r="D253">
        <v>1.7853000000000001</v>
      </c>
      <c r="E253">
        <v>7.8596000000000004</v>
      </c>
      <c r="F253">
        <v>0.20349999999999999</v>
      </c>
      <c r="G253" s="281">
        <f t="shared" si="27"/>
        <v>8.0631000000000004</v>
      </c>
      <c r="H253" s="281">
        <v>7.8711000000000002</v>
      </c>
      <c r="I253" s="281">
        <f>(G253-H253)</f>
        <v>0.19200000000000017</v>
      </c>
      <c r="J253" s="280">
        <f t="shared" si="28"/>
        <v>1.1499999999999816E-2</v>
      </c>
      <c r="K253" s="282">
        <f t="shared" si="29"/>
        <v>5.6511056511055608</v>
      </c>
      <c r="L253">
        <v>29</v>
      </c>
      <c r="M253" s="16">
        <v>43358</v>
      </c>
      <c r="N253" s="16">
        <v>43358</v>
      </c>
      <c r="R253" s="282"/>
    </row>
    <row r="254" spans="1:18">
      <c r="A254" t="s">
        <v>1994</v>
      </c>
      <c r="B254">
        <v>211</v>
      </c>
      <c r="C254" t="s">
        <v>2490</v>
      </c>
      <c r="D254">
        <v>0.54649999999999999</v>
      </c>
      <c r="E254">
        <v>10.1091</v>
      </c>
      <c r="F254">
        <v>0.2122</v>
      </c>
      <c r="G254">
        <f t="shared" si="27"/>
        <v>10.321299999999999</v>
      </c>
      <c r="H254">
        <v>10.152200000000001</v>
      </c>
      <c r="I254" s="281">
        <f t="shared" ref="I254:I264" si="32">G254-H254</f>
        <v>0.16909999999999847</v>
      </c>
      <c r="J254" s="280">
        <f t="shared" si="28"/>
        <v>4.3100000000001526E-2</v>
      </c>
      <c r="K254" s="282">
        <f t="shared" si="29"/>
        <v>20.311027332705713</v>
      </c>
      <c r="L254">
        <v>3</v>
      </c>
      <c r="M254" s="16">
        <v>43402</v>
      </c>
      <c r="N254" s="16">
        <v>43403</v>
      </c>
      <c r="R254" s="282"/>
    </row>
    <row r="255" spans="1:18">
      <c r="A255" t="s">
        <v>1488</v>
      </c>
      <c r="C255" t="s">
        <v>3747</v>
      </c>
      <c r="D255">
        <v>1.7042999999999999</v>
      </c>
      <c r="E255">
        <v>7.1909999999999998</v>
      </c>
      <c r="F255">
        <v>0.20380000000000001</v>
      </c>
      <c r="G255" s="281">
        <f t="shared" si="27"/>
        <v>7.3948</v>
      </c>
      <c r="H255" s="281">
        <v>7.2035</v>
      </c>
      <c r="I255" s="281">
        <f t="shared" si="32"/>
        <v>0.19130000000000003</v>
      </c>
      <c r="J255" s="280">
        <f t="shared" si="28"/>
        <v>1.2499999999999983E-2</v>
      </c>
      <c r="K255" s="282">
        <f t="shared" si="29"/>
        <v>6.1334641805691774</v>
      </c>
      <c r="L255">
        <v>33</v>
      </c>
      <c r="M255">
        <v>23.101800000000001</v>
      </c>
      <c r="N255" s="16">
        <v>43397</v>
      </c>
      <c r="R255" s="282"/>
    </row>
    <row r="256" spans="1:18">
      <c r="A256" t="s">
        <v>1993</v>
      </c>
      <c r="C256" t="s">
        <v>3662</v>
      </c>
      <c r="D256">
        <v>0.8054</v>
      </c>
      <c r="E256">
        <v>20.933599999999998</v>
      </c>
      <c r="F256">
        <v>0.223</v>
      </c>
      <c r="G256" s="281">
        <f t="shared" si="27"/>
        <v>21.156599999999997</v>
      </c>
      <c r="H256" s="281">
        <v>20.988099999999999</v>
      </c>
      <c r="I256" s="281">
        <f t="shared" si="32"/>
        <v>0.1684999999999981</v>
      </c>
      <c r="J256" s="280">
        <f t="shared" si="28"/>
        <v>5.4500000000001908E-2</v>
      </c>
      <c r="K256" s="282">
        <f t="shared" si="29"/>
        <v>24.439461883408928</v>
      </c>
      <c r="L256">
        <v>2</v>
      </c>
      <c r="M256" s="283">
        <v>43362</v>
      </c>
      <c r="N256" s="283">
        <v>43363</v>
      </c>
      <c r="O256" s="280"/>
      <c r="R256" s="282"/>
    </row>
    <row r="257" spans="1:18">
      <c r="A257" t="s">
        <v>1480</v>
      </c>
      <c r="C257" t="s">
        <v>3724</v>
      </c>
      <c r="D257">
        <v>1.7245999999999999</v>
      </c>
      <c r="E257">
        <v>11.088800000000001</v>
      </c>
      <c r="F257">
        <v>0.2009</v>
      </c>
      <c r="G257" s="285">
        <f t="shared" si="27"/>
        <v>11.289700000000002</v>
      </c>
      <c r="H257" s="281">
        <v>11.1007</v>
      </c>
      <c r="I257" s="285">
        <f t="shared" si="32"/>
        <v>0.18900000000000183</v>
      </c>
      <c r="J257" s="280">
        <f t="shared" si="28"/>
        <v>1.1899999999998162E-2</v>
      </c>
      <c r="K257" s="282">
        <f t="shared" si="29"/>
        <v>5.923344947734277</v>
      </c>
      <c r="L257">
        <v>2</v>
      </c>
      <c r="M257" s="283">
        <v>43379</v>
      </c>
      <c r="N257" s="283">
        <v>43379</v>
      </c>
      <c r="O257" s="280"/>
      <c r="R257" s="282"/>
    </row>
    <row r="258" spans="1:18">
      <c r="A258" t="s">
        <v>1992</v>
      </c>
      <c r="C258" t="s">
        <v>3721</v>
      </c>
      <c r="D258">
        <v>1.5825</v>
      </c>
      <c r="E258">
        <v>7.3552</v>
      </c>
      <c r="F258">
        <v>0.2341</v>
      </c>
      <c r="G258" s="281">
        <f t="shared" si="27"/>
        <v>7.5892999999999997</v>
      </c>
      <c r="H258" s="281">
        <v>7.3685999999999998</v>
      </c>
      <c r="I258" s="281">
        <f t="shared" si="32"/>
        <v>0.2206999999999999</v>
      </c>
      <c r="J258" s="280">
        <f t="shared" si="28"/>
        <v>1.3400000000000106E-2</v>
      </c>
      <c r="K258" s="282">
        <f t="shared" si="29"/>
        <v>5.724049551473775</v>
      </c>
      <c r="L258">
        <v>28</v>
      </c>
      <c r="M258" s="283">
        <v>43362</v>
      </c>
      <c r="N258" s="283">
        <v>43363</v>
      </c>
      <c r="R258" s="282"/>
    </row>
    <row r="259" spans="1:18">
      <c r="A259" t="s">
        <v>1470</v>
      </c>
      <c r="C259" t="s">
        <v>3407</v>
      </c>
      <c r="D259">
        <v>0.65110000000000001</v>
      </c>
      <c r="E259">
        <v>11.033799999999999</v>
      </c>
      <c r="F259">
        <v>0.2011</v>
      </c>
      <c r="G259" s="281">
        <f t="shared" si="27"/>
        <v>11.2349</v>
      </c>
      <c r="H259" s="281">
        <v>11.073</v>
      </c>
      <c r="I259" s="281">
        <f t="shared" si="32"/>
        <v>0.16189999999999927</v>
      </c>
      <c r="J259" s="280">
        <f t="shared" si="28"/>
        <v>3.9200000000000734E-2</v>
      </c>
      <c r="K259" s="282">
        <f t="shared" si="29"/>
        <v>19.492789656887485</v>
      </c>
      <c r="L259">
        <v>13</v>
      </c>
      <c r="M259" s="16">
        <v>43381</v>
      </c>
      <c r="N259" s="16">
        <v>43382</v>
      </c>
      <c r="R259" s="282"/>
    </row>
    <row r="260" spans="1:18">
      <c r="A260" t="s">
        <v>1991</v>
      </c>
      <c r="C260" t="s">
        <v>3438</v>
      </c>
      <c r="D260">
        <v>0.75880000000000003</v>
      </c>
      <c r="E260">
        <v>18.046299999999999</v>
      </c>
      <c r="F260">
        <v>0.2213</v>
      </c>
      <c r="G260" s="281">
        <f t="shared" si="27"/>
        <v>18.267599999999998</v>
      </c>
      <c r="H260" s="281">
        <v>18.1233</v>
      </c>
      <c r="I260" s="281">
        <f t="shared" si="32"/>
        <v>0.14429999999999765</v>
      </c>
      <c r="J260" s="280">
        <f t="shared" si="28"/>
        <v>7.7000000000002344E-2</v>
      </c>
      <c r="K260" s="282">
        <f t="shared" si="29"/>
        <v>34.794396746499032</v>
      </c>
      <c r="L260">
        <v>9</v>
      </c>
      <c r="M260" s="283">
        <v>43362</v>
      </c>
      <c r="N260" s="283">
        <v>43363</v>
      </c>
      <c r="O260" s="280"/>
      <c r="R260" s="282"/>
    </row>
    <row r="261" spans="1:18">
      <c r="A261" t="s">
        <v>1454</v>
      </c>
      <c r="C261" t="s">
        <v>3708</v>
      </c>
      <c r="D261">
        <v>1.7161</v>
      </c>
      <c r="E261">
        <v>9.1399000000000008</v>
      </c>
      <c r="F261">
        <v>0.23899999999999999</v>
      </c>
      <c r="G261" s="281">
        <f t="shared" si="27"/>
        <v>9.3789000000000016</v>
      </c>
      <c r="H261" s="281">
        <v>9.1523000000000003</v>
      </c>
      <c r="I261" s="281">
        <f t="shared" si="32"/>
        <v>0.22660000000000124</v>
      </c>
      <c r="J261" s="280">
        <f t="shared" si="28"/>
        <v>1.2399999999998745E-2</v>
      </c>
      <c r="K261" s="282">
        <f t="shared" si="29"/>
        <v>5.1882845188279267</v>
      </c>
      <c r="L261">
        <v>35</v>
      </c>
      <c r="M261" s="283">
        <v>43363</v>
      </c>
      <c r="N261" s="283">
        <v>43364</v>
      </c>
      <c r="O261" s="280" t="s">
        <v>3732</v>
      </c>
      <c r="R261" s="282"/>
    </row>
    <row r="262" spans="1:18">
      <c r="A262" t="s">
        <v>1452</v>
      </c>
      <c r="C262" t="s">
        <v>3658</v>
      </c>
      <c r="D262">
        <v>1.7318</v>
      </c>
      <c r="E262">
        <v>10.417299999999999</v>
      </c>
      <c r="F262">
        <v>0.2021</v>
      </c>
      <c r="G262">
        <f t="shared" si="27"/>
        <v>10.619399999999999</v>
      </c>
      <c r="H262">
        <v>10.4297</v>
      </c>
      <c r="I262" s="281">
        <f t="shared" si="32"/>
        <v>0.18969999999999843</v>
      </c>
      <c r="J262" s="280">
        <f t="shared" si="28"/>
        <v>1.2400000000001576E-2</v>
      </c>
      <c r="K262" s="282">
        <f t="shared" si="29"/>
        <v>6.1355764473040955</v>
      </c>
      <c r="L262">
        <v>30</v>
      </c>
      <c r="M262" s="16">
        <v>43399</v>
      </c>
      <c r="N262" s="16">
        <v>43400</v>
      </c>
      <c r="R262" s="282"/>
    </row>
    <row r="263" spans="1:18">
      <c r="A263" t="s">
        <v>2044</v>
      </c>
      <c r="C263" t="s">
        <v>3662</v>
      </c>
      <c r="D263">
        <v>0.93340000000000001</v>
      </c>
      <c r="E263">
        <v>20.778600000000001</v>
      </c>
      <c r="F263">
        <v>0.20899999999999999</v>
      </c>
      <c r="G263" s="281">
        <f t="shared" si="27"/>
        <v>20.9876</v>
      </c>
      <c r="H263" s="281">
        <v>20.829000000000001</v>
      </c>
      <c r="I263" s="281">
        <f t="shared" si="32"/>
        <v>0.15859999999999985</v>
      </c>
      <c r="J263" s="280">
        <f t="shared" si="28"/>
        <v>5.0400000000000139E-2</v>
      </c>
      <c r="K263" s="282">
        <f t="shared" si="29"/>
        <v>24.114832535885235</v>
      </c>
      <c r="L263">
        <v>35</v>
      </c>
      <c r="M263" s="283">
        <v>43361</v>
      </c>
      <c r="N263" s="283">
        <v>43362</v>
      </c>
      <c r="O263" s="280" t="s">
        <v>3707</v>
      </c>
      <c r="R263" s="282"/>
    </row>
    <row r="264" spans="1:18">
      <c r="A264" t="s">
        <v>1990</v>
      </c>
      <c r="C264" t="s">
        <v>3668</v>
      </c>
      <c r="D264">
        <v>1.8058000000000001</v>
      </c>
      <c r="E264">
        <v>10.703200000000001</v>
      </c>
      <c r="F264">
        <v>0.2349</v>
      </c>
      <c r="G264" s="281">
        <f t="shared" si="27"/>
        <v>10.9381</v>
      </c>
      <c r="H264" s="281">
        <v>10.717000000000001</v>
      </c>
      <c r="I264" s="281">
        <f t="shared" si="32"/>
        <v>0.22109999999999985</v>
      </c>
      <c r="J264" s="280">
        <f t="shared" si="28"/>
        <v>1.3800000000000145E-2</v>
      </c>
      <c r="K264" s="282">
        <f t="shared" si="29"/>
        <v>5.8748403575990409</v>
      </c>
      <c r="L264">
        <v>2</v>
      </c>
      <c r="M264" s="283">
        <v>43361</v>
      </c>
      <c r="N264" s="283">
        <v>43362</v>
      </c>
      <c r="O264" s="280" t="s">
        <v>3707</v>
      </c>
      <c r="R264" s="282"/>
    </row>
    <row r="265" spans="1:18">
      <c r="A265" t="s">
        <v>1449</v>
      </c>
      <c r="C265" t="s">
        <v>3652</v>
      </c>
      <c r="D265">
        <v>1.6801999999999999</v>
      </c>
      <c r="E265">
        <v>7.4805000000000001</v>
      </c>
      <c r="F265">
        <v>0.2039</v>
      </c>
      <c r="G265" s="281">
        <f t="shared" si="27"/>
        <v>7.6844000000000001</v>
      </c>
      <c r="H265" s="281">
        <v>7.4927000000000001</v>
      </c>
      <c r="I265" s="281">
        <f>(G265-H265)</f>
        <v>0.19169999999999998</v>
      </c>
      <c r="J265" s="280">
        <f t="shared" si="28"/>
        <v>1.2200000000000016E-2</v>
      </c>
      <c r="K265" s="282">
        <f t="shared" si="29"/>
        <v>5.9833251593918666</v>
      </c>
      <c r="L265">
        <v>20</v>
      </c>
      <c r="M265" s="16">
        <v>43358</v>
      </c>
      <c r="N265" s="16">
        <v>43358</v>
      </c>
      <c r="R265" s="282"/>
    </row>
    <row r="266" spans="1:18">
      <c r="A266" t="s">
        <v>1989</v>
      </c>
      <c r="C266" t="s">
        <v>3718</v>
      </c>
      <c r="D266">
        <v>1.3340000000000001</v>
      </c>
      <c r="E266">
        <v>11.7486</v>
      </c>
      <c r="F266">
        <v>0.21340000000000001</v>
      </c>
      <c r="G266" s="281">
        <f t="shared" si="27"/>
        <v>11.962</v>
      </c>
      <c r="H266" s="281">
        <v>11.763299999999999</v>
      </c>
      <c r="I266" s="281">
        <f t="shared" ref="I266:I279" si="33">G266-H266</f>
        <v>0.19870000000000054</v>
      </c>
      <c r="J266" s="280">
        <f t="shared" si="28"/>
        <v>1.4699999999999463E-2</v>
      </c>
      <c r="K266" s="282">
        <f t="shared" si="29"/>
        <v>6.888472352389627</v>
      </c>
      <c r="L266">
        <v>11</v>
      </c>
      <c r="M266" s="16">
        <v>43381</v>
      </c>
      <c r="N266" s="16">
        <v>43382</v>
      </c>
      <c r="R266" s="282"/>
    </row>
    <row r="267" spans="1:18">
      <c r="A267" t="s">
        <v>1438</v>
      </c>
      <c r="C267" t="s">
        <v>3443</v>
      </c>
      <c r="D267">
        <v>0.61880000000000002</v>
      </c>
      <c r="E267">
        <v>20.883600000000001</v>
      </c>
      <c r="F267">
        <v>0.22420000000000001</v>
      </c>
      <c r="G267" s="281">
        <f t="shared" si="27"/>
        <v>21.107800000000001</v>
      </c>
      <c r="H267" s="281">
        <v>20.948399999999999</v>
      </c>
      <c r="I267" s="281">
        <f t="shared" si="33"/>
        <v>0.15940000000000154</v>
      </c>
      <c r="J267" s="280">
        <f t="shared" si="28"/>
        <v>6.479999999999847E-2</v>
      </c>
      <c r="K267" s="282">
        <f t="shared" si="29"/>
        <v>28.902765388045704</v>
      </c>
      <c r="L267">
        <v>4</v>
      </c>
      <c r="M267" s="283">
        <v>43362</v>
      </c>
      <c r="N267" s="283">
        <v>43363</v>
      </c>
      <c r="O267" s="280"/>
      <c r="R267" s="282"/>
    </row>
    <row r="268" spans="1:18">
      <c r="A268" t="s">
        <v>1433</v>
      </c>
      <c r="C268" t="s">
        <v>3474</v>
      </c>
      <c r="D268">
        <v>1.2075</v>
      </c>
      <c r="E268">
        <v>11.0564</v>
      </c>
      <c r="F268">
        <v>0.23069999999999999</v>
      </c>
      <c r="G268" s="281">
        <f t="shared" si="27"/>
        <v>11.287100000000001</v>
      </c>
      <c r="H268" s="281">
        <v>11.0746</v>
      </c>
      <c r="I268" s="281">
        <f t="shared" si="33"/>
        <v>0.21250000000000036</v>
      </c>
      <c r="J268" s="280">
        <f t="shared" si="28"/>
        <v>1.8199999999999633E-2</v>
      </c>
      <c r="K268" s="282">
        <f t="shared" si="29"/>
        <v>7.889033376679512</v>
      </c>
      <c r="L268">
        <v>15</v>
      </c>
      <c r="M268" s="283">
        <v>43363</v>
      </c>
      <c r="N268" s="283">
        <v>43364</v>
      </c>
      <c r="O268" s="280" t="s">
        <v>3732</v>
      </c>
      <c r="R268" s="282"/>
    </row>
    <row r="269" spans="1:18">
      <c r="A269" t="s">
        <v>1988</v>
      </c>
      <c r="C269" t="s">
        <v>3735</v>
      </c>
      <c r="D269">
        <v>0.87570000000000003</v>
      </c>
      <c r="E269">
        <v>10.567500000000001</v>
      </c>
      <c r="F269">
        <v>0.2147</v>
      </c>
      <c r="G269" s="281">
        <f t="shared" si="27"/>
        <v>10.782200000000001</v>
      </c>
      <c r="H269" s="281">
        <v>10.6075</v>
      </c>
      <c r="I269" s="281">
        <f t="shared" si="33"/>
        <v>0.17470000000000141</v>
      </c>
      <c r="J269" s="280">
        <f t="shared" si="28"/>
        <v>3.9999999999998592E-2</v>
      </c>
      <c r="K269" s="282">
        <f t="shared" si="29"/>
        <v>18.630647414997014</v>
      </c>
      <c r="L269">
        <v>17</v>
      </c>
      <c r="M269" s="283">
        <v>43363</v>
      </c>
      <c r="N269" s="283">
        <v>43364</v>
      </c>
      <c r="O269" s="280" t="s">
        <v>3732</v>
      </c>
      <c r="R269" s="282"/>
    </row>
    <row r="270" spans="1:18">
      <c r="A270" t="s">
        <v>1426</v>
      </c>
      <c r="C270" t="s">
        <v>3444</v>
      </c>
      <c r="D270">
        <v>0.75309999999999999</v>
      </c>
      <c r="E270">
        <v>7.9949000000000003</v>
      </c>
      <c r="F270">
        <v>0.2041</v>
      </c>
      <c r="G270" s="281">
        <f t="shared" si="27"/>
        <v>8.1989999999999998</v>
      </c>
      <c r="H270" s="281">
        <v>8.0541999999999998</v>
      </c>
      <c r="I270" s="281">
        <f t="shared" si="33"/>
        <v>0.14480000000000004</v>
      </c>
      <c r="J270" s="280">
        <f t="shared" si="28"/>
        <v>5.9299999999999964E-2</v>
      </c>
      <c r="K270" s="282">
        <f t="shared" si="29"/>
        <v>29.054385105340501</v>
      </c>
      <c r="L270">
        <v>25</v>
      </c>
      <c r="M270" s="283">
        <v>43362</v>
      </c>
      <c r="N270" s="283">
        <v>43363</v>
      </c>
      <c r="R270" s="282"/>
    </row>
    <row r="271" spans="1:18">
      <c r="A271" t="s">
        <v>1425</v>
      </c>
      <c r="C271" t="s">
        <v>3695</v>
      </c>
      <c r="D271">
        <v>1.6726000000000001</v>
      </c>
      <c r="E271">
        <v>7.774</v>
      </c>
      <c r="F271">
        <v>0.24510000000000001</v>
      </c>
      <c r="G271" s="281">
        <f t="shared" si="27"/>
        <v>8.0190999999999999</v>
      </c>
      <c r="H271" s="281">
        <v>7.7984999999999998</v>
      </c>
      <c r="I271" s="281">
        <f t="shared" si="33"/>
        <v>0.22060000000000013</v>
      </c>
      <c r="J271" s="280">
        <f t="shared" si="28"/>
        <v>2.4499999999999883E-2</v>
      </c>
      <c r="K271" s="282">
        <f t="shared" si="29"/>
        <v>9.99592003263969</v>
      </c>
      <c r="L271">
        <v>15</v>
      </c>
      <c r="M271" s="283">
        <v>43361</v>
      </c>
      <c r="N271" s="283">
        <v>43362</v>
      </c>
      <c r="O271" s="280" t="s">
        <v>3707</v>
      </c>
      <c r="R271" s="282"/>
    </row>
    <row r="272" spans="1:18">
      <c r="A272" t="s">
        <v>1421</v>
      </c>
      <c r="C272" t="s">
        <v>3688</v>
      </c>
      <c r="D272">
        <v>1.6720999999999999</v>
      </c>
      <c r="E272">
        <v>9.1577999999999999</v>
      </c>
      <c r="F272">
        <v>0.20069999999999999</v>
      </c>
      <c r="G272" s="281">
        <f t="shared" si="27"/>
        <v>9.3584999999999994</v>
      </c>
      <c r="H272" s="281">
        <v>9.1692</v>
      </c>
      <c r="I272" s="281">
        <f t="shared" si="33"/>
        <v>0.18929999999999936</v>
      </c>
      <c r="J272" s="280">
        <f t="shared" si="28"/>
        <v>1.1400000000000632E-2</v>
      </c>
      <c r="K272" s="282">
        <f t="shared" si="29"/>
        <v>5.6801195814651884</v>
      </c>
      <c r="L272">
        <v>35</v>
      </c>
      <c r="M272" s="16">
        <v>43395</v>
      </c>
      <c r="N272" s="16">
        <v>43396</v>
      </c>
      <c r="R272" s="282"/>
    </row>
    <row r="273" spans="1:18">
      <c r="A273" t="s">
        <v>1987</v>
      </c>
      <c r="C273" t="s">
        <v>3669</v>
      </c>
      <c r="D273">
        <v>1.6745000000000001</v>
      </c>
      <c r="E273">
        <v>9.2224000000000004</v>
      </c>
      <c r="F273">
        <v>0.20580000000000001</v>
      </c>
      <c r="G273" s="281">
        <f t="shared" si="27"/>
        <v>9.4282000000000004</v>
      </c>
      <c r="H273" s="281">
        <v>9.2340999999999998</v>
      </c>
      <c r="I273" s="281">
        <f t="shared" si="33"/>
        <v>0.19410000000000061</v>
      </c>
      <c r="J273" s="280">
        <f t="shared" si="28"/>
        <v>1.1699999999999405E-2</v>
      </c>
      <c r="K273" s="282">
        <f t="shared" si="29"/>
        <v>5.6851311953349883</v>
      </c>
      <c r="L273">
        <v>15</v>
      </c>
      <c r="M273" s="16">
        <v>43388</v>
      </c>
      <c r="N273" s="283">
        <v>43389</v>
      </c>
      <c r="O273" s="283"/>
      <c r="P273" s="280"/>
      <c r="R273" s="282"/>
    </row>
    <row r="274" spans="1:18">
      <c r="A274" t="s">
        <v>1420</v>
      </c>
      <c r="C274" t="s">
        <v>3748</v>
      </c>
      <c r="D274">
        <v>1.7069000000000001</v>
      </c>
      <c r="E274">
        <v>8.3559000000000001</v>
      </c>
      <c r="F274">
        <v>0.2054</v>
      </c>
      <c r="G274" s="285">
        <f t="shared" si="27"/>
        <v>8.5612999999999992</v>
      </c>
      <c r="H274" s="281">
        <v>8.3684999999999992</v>
      </c>
      <c r="I274" s="285">
        <f t="shared" si="33"/>
        <v>0.19280000000000008</v>
      </c>
      <c r="J274" s="280">
        <f t="shared" si="28"/>
        <v>1.2599999999999917E-2</v>
      </c>
      <c r="K274" s="282">
        <f t="shared" si="29"/>
        <v>6.134371957156727</v>
      </c>
      <c r="L274">
        <v>32</v>
      </c>
      <c r="M274" s="283">
        <v>43379</v>
      </c>
      <c r="N274" s="283">
        <v>43379</v>
      </c>
      <c r="R274" s="282"/>
    </row>
    <row r="275" spans="1:18">
      <c r="A275" t="s">
        <v>1986</v>
      </c>
      <c r="C275" t="s">
        <v>3415</v>
      </c>
      <c r="D275">
        <v>0.66769999999999996</v>
      </c>
      <c r="E275">
        <v>8.0965000000000007</v>
      </c>
      <c r="F275">
        <v>0.2132</v>
      </c>
      <c r="G275" s="281">
        <f t="shared" ref="G275:G338" si="34">E275+F275</f>
        <v>8.3097000000000012</v>
      </c>
      <c r="H275" s="281">
        <v>8.1460000000000008</v>
      </c>
      <c r="I275" s="281">
        <f t="shared" si="33"/>
        <v>0.1637000000000004</v>
      </c>
      <c r="J275" s="280">
        <f t="shared" si="28"/>
        <v>4.94999999999996E-2</v>
      </c>
      <c r="K275" s="282">
        <f t="shared" si="29"/>
        <v>23.217636022513883</v>
      </c>
      <c r="L275">
        <v>18</v>
      </c>
      <c r="M275" s="16">
        <v>43399</v>
      </c>
      <c r="N275" s="16">
        <v>43400</v>
      </c>
      <c r="R275" s="282"/>
    </row>
    <row r="276" spans="1:18">
      <c r="A276" t="s">
        <v>1404</v>
      </c>
      <c r="C276" t="s">
        <v>3678</v>
      </c>
      <c r="D276">
        <v>1.7404999999999999</v>
      </c>
      <c r="E276">
        <v>20.760899999999999</v>
      </c>
      <c r="F276">
        <v>0.2054</v>
      </c>
      <c r="G276" s="281">
        <f t="shared" si="34"/>
        <v>20.9663</v>
      </c>
      <c r="H276" s="281">
        <v>20.774799999999999</v>
      </c>
      <c r="I276" s="281">
        <f t="shared" si="33"/>
        <v>0.19150000000000134</v>
      </c>
      <c r="J276" s="280">
        <f t="shared" si="28"/>
        <v>1.3899999999998663E-2</v>
      </c>
      <c r="K276" s="282">
        <f t="shared" si="29"/>
        <v>6.7672833495611799</v>
      </c>
      <c r="L276">
        <v>31</v>
      </c>
      <c r="M276" s="283">
        <v>43361</v>
      </c>
      <c r="N276" s="283">
        <v>43362</v>
      </c>
      <c r="O276" s="280" t="s">
        <v>3707</v>
      </c>
      <c r="R276" s="282"/>
    </row>
    <row r="277" spans="1:18">
      <c r="A277" t="s">
        <v>1985</v>
      </c>
      <c r="C277" t="s">
        <v>3480</v>
      </c>
      <c r="D277">
        <v>0.88129999999999997</v>
      </c>
      <c r="E277">
        <v>10.7941</v>
      </c>
      <c r="F277">
        <v>0.20810000000000001</v>
      </c>
      <c r="G277" s="281">
        <f t="shared" si="34"/>
        <v>11.0022</v>
      </c>
      <c r="H277" s="281">
        <v>10.8285</v>
      </c>
      <c r="I277" s="281">
        <f t="shared" si="33"/>
        <v>0.17370000000000019</v>
      </c>
      <c r="J277" s="280">
        <f t="shared" si="28"/>
        <v>3.439999999999982E-2</v>
      </c>
      <c r="K277" s="282">
        <f t="shared" si="29"/>
        <v>16.530514175876895</v>
      </c>
      <c r="L277">
        <v>12</v>
      </c>
      <c r="M277" s="283">
        <v>43363</v>
      </c>
      <c r="N277" s="283">
        <v>43364</v>
      </c>
      <c r="O277" s="280"/>
      <c r="R277" s="282"/>
    </row>
    <row r="278" spans="1:18">
      <c r="A278" t="s">
        <v>1400</v>
      </c>
      <c r="C278" t="s">
        <v>3694</v>
      </c>
      <c r="D278">
        <v>0.69179999999999997</v>
      </c>
      <c r="E278">
        <v>7.0941999999999998</v>
      </c>
      <c r="F278">
        <v>0.2054</v>
      </c>
      <c r="G278" s="281">
        <f t="shared" si="34"/>
        <v>7.2995999999999999</v>
      </c>
      <c r="H278" s="281">
        <v>7.1402000000000001</v>
      </c>
      <c r="I278" s="281">
        <f t="shared" si="33"/>
        <v>0.15939999999999976</v>
      </c>
      <c r="J278" s="280">
        <f t="shared" si="28"/>
        <v>4.6000000000000235E-2</v>
      </c>
      <c r="K278" s="282">
        <f t="shared" si="29"/>
        <v>22.395326192794663</v>
      </c>
      <c r="L278">
        <v>24</v>
      </c>
      <c r="M278" s="16">
        <v>43399</v>
      </c>
      <c r="N278" s="16">
        <v>43400</v>
      </c>
      <c r="R278" s="282"/>
    </row>
    <row r="279" spans="1:18">
      <c r="A279" t="s">
        <v>1391</v>
      </c>
      <c r="C279" t="s">
        <v>3663</v>
      </c>
      <c r="D279">
        <v>1.7538</v>
      </c>
      <c r="E279">
        <v>11.0907</v>
      </c>
      <c r="F279">
        <v>0.22600000000000001</v>
      </c>
      <c r="G279" s="281">
        <f t="shared" si="34"/>
        <v>11.316700000000001</v>
      </c>
      <c r="H279" s="281">
        <v>11.103999999999999</v>
      </c>
      <c r="I279" s="281">
        <f t="shared" si="33"/>
        <v>0.21270000000000167</v>
      </c>
      <c r="J279" s="280">
        <f t="shared" si="28"/>
        <v>1.3299999999998341E-2</v>
      </c>
      <c r="K279" s="282">
        <f t="shared" si="29"/>
        <v>5.8849557522116545</v>
      </c>
      <c r="L279">
        <v>23</v>
      </c>
      <c r="M279" s="16">
        <v>43381</v>
      </c>
      <c r="N279" s="16">
        <v>43382</v>
      </c>
      <c r="R279" s="282"/>
    </row>
    <row r="280" spans="1:18">
      <c r="A280" t="s">
        <v>1984</v>
      </c>
      <c r="C280" t="s">
        <v>3680</v>
      </c>
      <c r="D280">
        <v>3.1697000000000002</v>
      </c>
      <c r="E280">
        <v>8.0473999999999997</v>
      </c>
      <c r="F280">
        <v>0.24690000000000001</v>
      </c>
      <c r="G280" s="281">
        <f t="shared" si="34"/>
        <v>8.2942999999999998</v>
      </c>
      <c r="H280" s="281">
        <v>8.2288999999999994</v>
      </c>
      <c r="I280" s="281">
        <f>(G280-H280)</f>
        <v>6.5400000000000347E-2</v>
      </c>
      <c r="J280" s="280">
        <f t="shared" si="28"/>
        <v>0.18149999999999966</v>
      </c>
      <c r="K280" s="282">
        <f t="shared" si="29"/>
        <v>73.511543134872284</v>
      </c>
      <c r="L280">
        <v>40</v>
      </c>
      <c r="M280" s="283">
        <v>43360</v>
      </c>
      <c r="N280" s="283">
        <v>43361</v>
      </c>
      <c r="R280" s="282"/>
    </row>
    <row r="281" spans="1:18">
      <c r="A281" t="s">
        <v>1387</v>
      </c>
      <c r="C281" t="s">
        <v>3719</v>
      </c>
      <c r="D281">
        <v>1.494</v>
      </c>
      <c r="E281">
        <v>7.8018000000000001</v>
      </c>
      <c r="F281">
        <v>0.23780000000000001</v>
      </c>
      <c r="G281" s="281">
        <f t="shared" si="34"/>
        <v>8.0396000000000001</v>
      </c>
      <c r="H281" s="281">
        <v>7.8205999999999998</v>
      </c>
      <c r="I281" s="281">
        <f t="shared" ref="I281:I286" si="35">G281-H281</f>
        <v>0.21900000000000031</v>
      </c>
      <c r="J281" s="280">
        <f t="shared" si="28"/>
        <v>1.8799999999999706E-2</v>
      </c>
      <c r="K281" s="282">
        <f t="shared" si="29"/>
        <v>7.9058031959628696</v>
      </c>
      <c r="L281">
        <v>29</v>
      </c>
      <c r="M281" s="16">
        <v>43395</v>
      </c>
      <c r="N281" s="16">
        <v>43396</v>
      </c>
      <c r="R281" s="282"/>
    </row>
    <row r="282" spans="1:18">
      <c r="A282" t="s">
        <v>1983</v>
      </c>
      <c r="C282" t="s">
        <v>3412</v>
      </c>
      <c r="D282">
        <v>0.59789999999999999</v>
      </c>
      <c r="E282">
        <v>9.8879999999999999</v>
      </c>
      <c r="F282">
        <v>0.2117</v>
      </c>
      <c r="G282">
        <f t="shared" si="34"/>
        <v>10.0997</v>
      </c>
      <c r="H282">
        <v>9.9367000000000001</v>
      </c>
      <c r="I282" s="281">
        <f t="shared" si="35"/>
        <v>0.16300000000000026</v>
      </c>
      <c r="J282" s="280">
        <f t="shared" ref="J282:J345" si="36">F282-I282</f>
        <v>4.8699999999999743E-2</v>
      </c>
      <c r="K282" s="282">
        <f t="shared" ref="K282:K345" si="37">(J282/F282)*100</f>
        <v>23.004251299007908</v>
      </c>
      <c r="L282">
        <v>15</v>
      </c>
      <c r="M282" s="16">
        <v>43402</v>
      </c>
      <c r="N282" s="16">
        <v>43403</v>
      </c>
      <c r="R282" s="282"/>
    </row>
    <row r="283" spans="1:18">
      <c r="A283" t="s">
        <v>1379</v>
      </c>
      <c r="C283" t="s">
        <v>3406</v>
      </c>
      <c r="D283">
        <v>0.51459999999999995</v>
      </c>
      <c r="E283">
        <v>11.107699999999999</v>
      </c>
      <c r="F283">
        <v>0.20699999999999999</v>
      </c>
      <c r="G283" s="281">
        <f t="shared" si="34"/>
        <v>11.3147</v>
      </c>
      <c r="H283" s="281">
        <v>11.140700000000001</v>
      </c>
      <c r="I283" s="281">
        <f t="shared" si="35"/>
        <v>0.17399999999999949</v>
      </c>
      <c r="J283" s="280">
        <f t="shared" si="36"/>
        <v>3.3000000000000501E-2</v>
      </c>
      <c r="K283" s="282">
        <f t="shared" si="37"/>
        <v>15.942028985507489</v>
      </c>
      <c r="L283">
        <v>7</v>
      </c>
      <c r="M283" s="16">
        <v>43399</v>
      </c>
      <c r="N283" s="16">
        <v>43400</v>
      </c>
      <c r="R283" s="282"/>
    </row>
    <row r="284" spans="1:18">
      <c r="A284" t="s">
        <v>1378</v>
      </c>
      <c r="B284">
        <v>204</v>
      </c>
      <c r="C284" t="s">
        <v>2490</v>
      </c>
      <c r="D284">
        <v>0.58760000000000001</v>
      </c>
      <c r="E284">
        <v>10.5038</v>
      </c>
      <c r="F284">
        <v>0.2051</v>
      </c>
      <c r="G284" s="281">
        <f t="shared" si="34"/>
        <v>10.7089</v>
      </c>
      <c r="H284" s="281">
        <v>10.5481</v>
      </c>
      <c r="I284" s="281">
        <f t="shared" si="35"/>
        <v>0.16080000000000005</v>
      </c>
      <c r="J284" s="280">
        <f t="shared" si="36"/>
        <v>4.4299999999999951E-2</v>
      </c>
      <c r="K284" s="282">
        <f t="shared" si="37"/>
        <v>21.599219892735228</v>
      </c>
      <c r="L284">
        <v>9</v>
      </c>
      <c r="M284">
        <v>23.101800000000001</v>
      </c>
      <c r="N284" s="16">
        <v>43397</v>
      </c>
      <c r="R284" s="282"/>
    </row>
    <row r="285" spans="1:18">
      <c r="A285" t="s">
        <v>1982</v>
      </c>
      <c r="B285">
        <v>212</v>
      </c>
      <c r="D285">
        <v>0.5323</v>
      </c>
      <c r="E285">
        <v>10.741199999999999</v>
      </c>
      <c r="F285">
        <v>0.2198</v>
      </c>
      <c r="G285" s="281">
        <f t="shared" si="34"/>
        <v>10.960999999999999</v>
      </c>
      <c r="H285" s="281">
        <v>10.795999999999999</v>
      </c>
      <c r="I285" s="281">
        <f t="shared" si="35"/>
        <v>0.16499999999999915</v>
      </c>
      <c r="J285" s="280">
        <f t="shared" si="36"/>
        <v>5.4800000000000848E-2</v>
      </c>
      <c r="K285" s="282">
        <f t="shared" si="37"/>
        <v>24.931756141947613</v>
      </c>
      <c r="L285">
        <v>18</v>
      </c>
      <c r="M285" s="16">
        <v>43395</v>
      </c>
      <c r="N285" s="16">
        <v>43396</v>
      </c>
      <c r="R285" s="282"/>
    </row>
    <row r="286" spans="1:18">
      <c r="A286" t="s">
        <v>2043</v>
      </c>
      <c r="C286" t="s">
        <v>3418</v>
      </c>
      <c r="D286">
        <v>0.63500000000000001</v>
      </c>
      <c r="E286">
        <v>11.4559</v>
      </c>
      <c r="F286">
        <v>0.20910000000000001</v>
      </c>
      <c r="G286" s="281">
        <f t="shared" si="34"/>
        <v>11.664999999999999</v>
      </c>
      <c r="H286" s="281">
        <v>11.5093</v>
      </c>
      <c r="I286" s="281">
        <f t="shared" si="35"/>
        <v>0.15569999999999951</v>
      </c>
      <c r="J286" s="280">
        <f t="shared" si="36"/>
        <v>5.3400000000000503E-2</v>
      </c>
      <c r="K286" s="282">
        <f t="shared" si="37"/>
        <v>25.538020086083453</v>
      </c>
      <c r="L286">
        <v>35</v>
      </c>
      <c r="M286" s="283">
        <v>43374</v>
      </c>
      <c r="N286" s="283">
        <v>43375</v>
      </c>
      <c r="O286" s="280" t="s">
        <v>3707</v>
      </c>
      <c r="R286" s="282"/>
    </row>
    <row r="287" spans="1:18">
      <c r="A287" t="s">
        <v>1345</v>
      </c>
      <c r="C287" t="s">
        <v>3640</v>
      </c>
      <c r="D287">
        <v>1.6583000000000001</v>
      </c>
      <c r="E287">
        <v>10.270799999999999</v>
      </c>
      <c r="F287">
        <v>0.19980000000000001</v>
      </c>
      <c r="G287" s="281">
        <f t="shared" si="34"/>
        <v>10.470599999999999</v>
      </c>
      <c r="H287" s="281">
        <v>10.282500000000001</v>
      </c>
      <c r="I287" s="281">
        <f>(G287-H287)</f>
        <v>0.1880999999999986</v>
      </c>
      <c r="J287" s="280">
        <f t="shared" si="36"/>
        <v>1.1700000000001404E-2</v>
      </c>
      <c r="K287" s="282">
        <f t="shared" si="37"/>
        <v>5.8558558558565581</v>
      </c>
      <c r="L287">
        <v>9</v>
      </c>
      <c r="M287" s="16">
        <v>43358</v>
      </c>
      <c r="N287" s="16">
        <v>43358</v>
      </c>
      <c r="R287" s="282"/>
    </row>
    <row r="288" spans="1:18">
      <c r="A288" t="s">
        <v>1336</v>
      </c>
      <c r="C288" t="s">
        <v>3638</v>
      </c>
      <c r="D288">
        <v>1.6967000000000001</v>
      </c>
      <c r="E288">
        <v>10.674099999999999</v>
      </c>
      <c r="F288">
        <v>0.20430000000000001</v>
      </c>
      <c r="G288" s="281">
        <f t="shared" si="34"/>
        <v>10.878399999999999</v>
      </c>
      <c r="H288" s="281">
        <v>10.6853</v>
      </c>
      <c r="I288" s="281">
        <f>(G288-H288)</f>
        <v>0.19309999999999938</v>
      </c>
      <c r="J288" s="280">
        <f t="shared" si="36"/>
        <v>1.1200000000000626E-2</v>
      </c>
      <c r="K288" s="282">
        <f t="shared" si="37"/>
        <v>5.4821341164956561</v>
      </c>
      <c r="L288">
        <v>9</v>
      </c>
      <c r="M288" s="283">
        <v>43355.625</v>
      </c>
      <c r="N288" s="283">
        <v>43355.791666666664</v>
      </c>
      <c r="O288" s="280" t="s">
        <v>3637</v>
      </c>
      <c r="R288" s="282"/>
    </row>
    <row r="289" spans="1:18">
      <c r="A289" t="s">
        <v>1333</v>
      </c>
      <c r="C289" t="s">
        <v>3752</v>
      </c>
      <c r="D289">
        <v>1.6601999999999999</v>
      </c>
      <c r="E289">
        <v>11.0349</v>
      </c>
      <c r="F289">
        <v>0.22639999999999999</v>
      </c>
      <c r="G289" s="281">
        <f t="shared" si="34"/>
        <v>11.2613</v>
      </c>
      <c r="H289" s="281">
        <v>11.047700000000001</v>
      </c>
      <c r="I289" s="281">
        <f>G289-H289</f>
        <v>0.21359999999999957</v>
      </c>
      <c r="J289" s="280">
        <f t="shared" si="36"/>
        <v>1.2800000000000422E-2</v>
      </c>
      <c r="K289" s="282">
        <f t="shared" si="37"/>
        <v>5.65371024735001</v>
      </c>
      <c r="L289">
        <v>18</v>
      </c>
      <c r="M289">
        <v>23.101800000000001</v>
      </c>
      <c r="N289" s="16">
        <v>43397</v>
      </c>
      <c r="R289" s="282"/>
    </row>
    <row r="290" spans="1:18">
      <c r="A290" t="s">
        <v>1331</v>
      </c>
      <c r="C290" t="s">
        <v>3443</v>
      </c>
      <c r="D290">
        <v>0.63629999999999998</v>
      </c>
      <c r="E290">
        <v>8.1296999999999997</v>
      </c>
      <c r="F290">
        <v>0.20469999999999999</v>
      </c>
      <c r="G290" s="281">
        <f t="shared" si="34"/>
        <v>8.3344000000000005</v>
      </c>
      <c r="H290" s="281">
        <v>8.1714000000000002</v>
      </c>
      <c r="I290" s="281">
        <f>G290-H290</f>
        <v>0.16300000000000026</v>
      </c>
      <c r="J290" s="280">
        <f t="shared" si="36"/>
        <v>4.1699999999999737E-2</v>
      </c>
      <c r="K290" s="282">
        <f t="shared" si="37"/>
        <v>20.371275036638856</v>
      </c>
      <c r="L290">
        <v>14</v>
      </c>
      <c r="M290" s="283">
        <v>43362</v>
      </c>
      <c r="N290" s="283">
        <v>43363</v>
      </c>
      <c r="O290" s="280"/>
      <c r="R290" s="282"/>
    </row>
    <row r="291" spans="1:18">
      <c r="A291" t="s">
        <v>1978</v>
      </c>
      <c r="C291" t="s">
        <v>3687</v>
      </c>
      <c r="D291">
        <v>1.5502</v>
      </c>
      <c r="E291">
        <v>8.7347000000000001</v>
      </c>
      <c r="F291">
        <v>0.2029</v>
      </c>
      <c r="G291" s="281">
        <f t="shared" si="34"/>
        <v>8.9375999999999998</v>
      </c>
      <c r="H291" s="281">
        <v>8.7567000000000004</v>
      </c>
      <c r="I291" s="281">
        <f>(G291-H291)</f>
        <v>0.18089999999999939</v>
      </c>
      <c r="J291" s="280">
        <f t="shared" si="36"/>
        <v>2.2000000000000602E-2</v>
      </c>
      <c r="K291" s="282">
        <f t="shared" si="37"/>
        <v>10.842779694431051</v>
      </c>
      <c r="L291">
        <v>4</v>
      </c>
      <c r="M291" s="283">
        <v>43360</v>
      </c>
      <c r="N291" s="283">
        <v>43361</v>
      </c>
      <c r="O291" s="280" t="s">
        <v>3684</v>
      </c>
      <c r="R291" s="282"/>
    </row>
    <row r="292" spans="1:18">
      <c r="A292" t="s">
        <v>1328</v>
      </c>
      <c r="C292" t="s">
        <v>3438</v>
      </c>
      <c r="D292">
        <v>0.69030000000000002</v>
      </c>
      <c r="E292">
        <v>10.077999999999999</v>
      </c>
      <c r="F292">
        <v>0.20430000000000001</v>
      </c>
      <c r="G292" s="281">
        <f t="shared" si="34"/>
        <v>10.282299999999999</v>
      </c>
      <c r="H292" s="281">
        <v>10.137600000000001</v>
      </c>
      <c r="I292" s="281">
        <f>G292-H292</f>
        <v>0.1446999999999985</v>
      </c>
      <c r="J292" s="280">
        <f t="shared" si="36"/>
        <v>5.9600000000001513E-2</v>
      </c>
      <c r="K292" s="282">
        <f t="shared" si="37"/>
        <v>29.172785119922423</v>
      </c>
      <c r="L292">
        <v>19</v>
      </c>
      <c r="M292" s="283">
        <v>43374</v>
      </c>
      <c r="N292" s="283">
        <v>43375</v>
      </c>
      <c r="O292" s="280" t="s">
        <v>3707</v>
      </c>
      <c r="R292" s="282"/>
    </row>
    <row r="293" spans="1:18">
      <c r="A293" t="s">
        <v>1315</v>
      </c>
      <c r="C293" t="s">
        <v>3677</v>
      </c>
      <c r="D293">
        <v>1.7659</v>
      </c>
      <c r="E293">
        <v>9.0510000000000002</v>
      </c>
      <c r="F293">
        <v>0.20280000000000001</v>
      </c>
      <c r="G293" s="281">
        <f t="shared" si="34"/>
        <v>9.2538</v>
      </c>
      <c r="H293" s="281">
        <v>9.0641999999999996</v>
      </c>
      <c r="I293" s="281">
        <f>G293-H293</f>
        <v>0.18960000000000043</v>
      </c>
      <c r="J293" s="280">
        <f t="shared" si="36"/>
        <v>1.3199999999999573E-2</v>
      </c>
      <c r="K293" s="282">
        <f t="shared" si="37"/>
        <v>6.5088757396447594</v>
      </c>
      <c r="L293">
        <v>21</v>
      </c>
      <c r="M293" s="283">
        <v>43361</v>
      </c>
      <c r="N293" s="283">
        <v>43362</v>
      </c>
      <c r="O293" s="280" t="s">
        <v>3707</v>
      </c>
      <c r="R293" s="282"/>
    </row>
    <row r="294" spans="1:18">
      <c r="A294" t="s">
        <v>1300</v>
      </c>
      <c r="C294" t="s">
        <v>3715</v>
      </c>
      <c r="D294">
        <v>1.2071000000000001</v>
      </c>
      <c r="E294">
        <v>8.9581999999999997</v>
      </c>
      <c r="F294">
        <v>0.20219999999999999</v>
      </c>
      <c r="G294" s="281">
        <f t="shared" si="34"/>
        <v>9.1603999999999992</v>
      </c>
      <c r="H294" s="281">
        <v>8.9743999999999993</v>
      </c>
      <c r="I294" s="281">
        <f>G294-H294</f>
        <v>0.18599999999999994</v>
      </c>
      <c r="J294" s="280">
        <f t="shared" si="36"/>
        <v>1.6200000000000048E-2</v>
      </c>
      <c r="K294" s="282">
        <f t="shared" si="37"/>
        <v>8.0118694362018044</v>
      </c>
      <c r="L294">
        <v>21</v>
      </c>
      <c r="M294" s="283">
        <v>43374</v>
      </c>
      <c r="N294" s="283">
        <v>43375</v>
      </c>
      <c r="O294" s="280" t="s">
        <v>3707</v>
      </c>
      <c r="R294" s="282"/>
    </row>
    <row r="295" spans="1:18">
      <c r="A295" t="s">
        <v>1293</v>
      </c>
      <c r="C295" t="s">
        <v>3760</v>
      </c>
      <c r="D295">
        <v>7.359</v>
      </c>
      <c r="E295">
        <v>10.314399999999999</v>
      </c>
      <c r="F295">
        <v>0.20330000000000001</v>
      </c>
      <c r="G295">
        <f t="shared" si="34"/>
        <v>10.5177</v>
      </c>
      <c r="H295">
        <v>10.356999999999999</v>
      </c>
      <c r="I295" s="281">
        <f>G295-H295</f>
        <v>0.16070000000000029</v>
      </c>
      <c r="J295" s="280">
        <f t="shared" si="36"/>
        <v>4.2599999999999721E-2</v>
      </c>
      <c r="K295" s="282">
        <f t="shared" si="37"/>
        <v>20.954254795868039</v>
      </c>
      <c r="L295">
        <v>34</v>
      </c>
      <c r="M295" s="16">
        <v>43399</v>
      </c>
      <c r="N295" s="16">
        <v>43400</v>
      </c>
      <c r="R295" s="282"/>
    </row>
    <row r="296" spans="1:18">
      <c r="A296" t="s">
        <v>1291</v>
      </c>
      <c r="C296" t="s">
        <v>3664</v>
      </c>
      <c r="D296">
        <v>1.6763999999999999</v>
      </c>
      <c r="E296">
        <v>8.4440000000000008</v>
      </c>
      <c r="F296">
        <v>0.20669999999999999</v>
      </c>
      <c r="G296" s="281">
        <f t="shared" si="34"/>
        <v>8.6507000000000005</v>
      </c>
      <c r="H296" s="281">
        <v>8.4558999999999997</v>
      </c>
      <c r="I296" s="281">
        <f>(G296-H296)</f>
        <v>0.19480000000000075</v>
      </c>
      <c r="J296" s="280">
        <f t="shared" si="36"/>
        <v>1.1899999999999245E-2</v>
      </c>
      <c r="K296" s="282">
        <f t="shared" si="37"/>
        <v>5.7571359458148255</v>
      </c>
      <c r="L296">
        <v>24</v>
      </c>
      <c r="M296" s="283">
        <v>43360</v>
      </c>
      <c r="N296" s="283">
        <v>43361</v>
      </c>
      <c r="R296" s="282"/>
    </row>
    <row r="297" spans="1:18">
      <c r="A297" t="s">
        <v>1974</v>
      </c>
      <c r="C297" t="s">
        <v>3736</v>
      </c>
      <c r="D297">
        <v>1.1228</v>
      </c>
      <c r="E297">
        <v>10.1462</v>
      </c>
      <c r="F297">
        <v>0.20849999999999999</v>
      </c>
      <c r="G297" s="281">
        <f t="shared" si="34"/>
        <v>10.354700000000001</v>
      </c>
      <c r="H297" s="281">
        <v>10.1662</v>
      </c>
      <c r="I297" s="281">
        <f>G297-H297</f>
        <v>0.18850000000000122</v>
      </c>
      <c r="J297" s="280">
        <f t="shared" si="36"/>
        <v>1.9999999999998769E-2</v>
      </c>
      <c r="K297" s="282">
        <f t="shared" si="37"/>
        <v>9.59232613908814</v>
      </c>
      <c r="L297">
        <v>31</v>
      </c>
      <c r="M297" s="283">
        <v>43363</v>
      </c>
      <c r="N297" s="283">
        <v>43364</v>
      </c>
      <c r="O297" s="280" t="s">
        <v>3732</v>
      </c>
      <c r="R297" s="282"/>
    </row>
    <row r="298" spans="1:18">
      <c r="A298" t="s">
        <v>1284</v>
      </c>
      <c r="C298" t="s">
        <v>3644</v>
      </c>
      <c r="D298">
        <v>1.7133</v>
      </c>
      <c r="E298">
        <v>10.7386</v>
      </c>
      <c r="F298">
        <v>0.20330000000000001</v>
      </c>
      <c r="G298" s="281">
        <f t="shared" si="34"/>
        <v>10.9419</v>
      </c>
      <c r="H298" s="281">
        <v>10.7508</v>
      </c>
      <c r="I298" s="281">
        <f>(G298-H298)</f>
        <v>0.19110000000000049</v>
      </c>
      <c r="J298" s="280">
        <f t="shared" si="36"/>
        <v>1.2199999999999517E-2</v>
      </c>
      <c r="K298" s="282">
        <f t="shared" si="37"/>
        <v>6.0009837678305544</v>
      </c>
      <c r="L298">
        <v>23</v>
      </c>
      <c r="M298" s="16">
        <v>43358</v>
      </c>
      <c r="N298" s="16">
        <v>43358</v>
      </c>
      <c r="R298" s="282"/>
    </row>
    <row r="299" spans="1:18">
      <c r="A299" t="s">
        <v>1283</v>
      </c>
      <c r="C299" t="s">
        <v>3692</v>
      </c>
      <c r="D299">
        <v>1.2627999999999999</v>
      </c>
      <c r="E299">
        <v>9.1565999999999992</v>
      </c>
      <c r="F299">
        <v>0.2016</v>
      </c>
      <c r="G299" s="281">
        <f t="shared" si="34"/>
        <v>9.3582000000000001</v>
      </c>
      <c r="H299" s="281">
        <v>9.1734000000000009</v>
      </c>
      <c r="I299" s="281">
        <f>(G299-H299)</f>
        <v>0.18479999999999919</v>
      </c>
      <c r="J299" s="280">
        <f t="shared" si="36"/>
        <v>1.6800000000000814E-2</v>
      </c>
      <c r="K299" s="282">
        <f t="shared" si="37"/>
        <v>8.3333333333337372</v>
      </c>
      <c r="L299">
        <v>21</v>
      </c>
      <c r="M299" s="283">
        <v>43360</v>
      </c>
      <c r="N299" s="283">
        <v>43361</v>
      </c>
      <c r="O299" s="280" t="s">
        <v>3684</v>
      </c>
      <c r="R299" s="282"/>
    </row>
    <row r="300" spans="1:18">
      <c r="A300" t="s">
        <v>1973</v>
      </c>
      <c r="C300" t="s">
        <v>3403</v>
      </c>
      <c r="D300">
        <v>0.69240000000000002</v>
      </c>
      <c r="E300">
        <v>7.8403999999999998</v>
      </c>
      <c r="F300">
        <v>0.2089</v>
      </c>
      <c r="G300" s="281">
        <f t="shared" si="34"/>
        <v>8.0493000000000006</v>
      </c>
      <c r="H300" s="281">
        <v>7.9118000000000004</v>
      </c>
      <c r="I300" s="281">
        <f t="shared" ref="I300:I310" si="38">G300-H300</f>
        <v>0.13750000000000018</v>
      </c>
      <c r="J300" s="280">
        <f t="shared" si="36"/>
        <v>7.1399999999999825E-2</v>
      </c>
      <c r="K300" s="282">
        <f t="shared" si="37"/>
        <v>34.179033030157882</v>
      </c>
      <c r="L300">
        <v>38</v>
      </c>
      <c r="M300">
        <v>23.101800000000001</v>
      </c>
      <c r="N300" s="16">
        <v>43397</v>
      </c>
      <c r="R300" s="282"/>
    </row>
    <row r="301" spans="1:18">
      <c r="A301" t="s">
        <v>1279</v>
      </c>
      <c r="B301">
        <v>214</v>
      </c>
      <c r="D301">
        <v>0.48149999999999998</v>
      </c>
      <c r="E301">
        <v>11.160600000000001</v>
      </c>
      <c r="F301">
        <v>0.2082</v>
      </c>
      <c r="G301" s="281">
        <f t="shared" si="34"/>
        <v>11.3688</v>
      </c>
      <c r="H301" s="281">
        <v>11.188700000000001</v>
      </c>
      <c r="I301" s="281">
        <f t="shared" si="38"/>
        <v>0.18009999999999948</v>
      </c>
      <c r="J301" s="280">
        <f t="shared" si="36"/>
        <v>2.8100000000000513E-2</v>
      </c>
      <c r="K301" s="282">
        <f t="shared" si="37"/>
        <v>13.496637848223109</v>
      </c>
      <c r="L301">
        <v>31</v>
      </c>
      <c r="M301" s="16">
        <v>43395</v>
      </c>
      <c r="N301" s="16">
        <v>43396</v>
      </c>
      <c r="R301" s="282"/>
    </row>
    <row r="302" spans="1:18">
      <c r="A302" t="s">
        <v>1274</v>
      </c>
      <c r="C302" t="s">
        <v>3716</v>
      </c>
      <c r="D302">
        <v>1.6464000000000001</v>
      </c>
      <c r="E302">
        <v>9.7222000000000008</v>
      </c>
      <c r="F302">
        <v>0.20930000000000001</v>
      </c>
      <c r="G302" s="281">
        <f t="shared" si="34"/>
        <v>9.9315000000000015</v>
      </c>
      <c r="H302" s="281">
        <v>9.7346000000000004</v>
      </c>
      <c r="I302" s="281">
        <f t="shared" si="38"/>
        <v>0.19690000000000119</v>
      </c>
      <c r="J302" s="280">
        <f t="shared" si="36"/>
        <v>1.2399999999998829E-2</v>
      </c>
      <c r="K302" s="282">
        <f t="shared" si="37"/>
        <v>5.924510272335799</v>
      </c>
      <c r="L302">
        <v>16</v>
      </c>
      <c r="M302" s="283">
        <v>43363</v>
      </c>
      <c r="N302" s="283">
        <v>43364</v>
      </c>
      <c r="O302" s="280"/>
      <c r="R302" s="282"/>
    </row>
    <row r="303" spans="1:18">
      <c r="A303" t="s">
        <v>1972</v>
      </c>
      <c r="C303" t="s">
        <v>3408</v>
      </c>
      <c r="D303">
        <v>0.67779999999999996</v>
      </c>
      <c r="E303">
        <v>8.1698000000000004</v>
      </c>
      <c r="F303">
        <v>0.2082</v>
      </c>
      <c r="G303" s="281">
        <f t="shared" si="34"/>
        <v>8.3780000000000001</v>
      </c>
      <c r="H303" s="281">
        <v>8.2352000000000007</v>
      </c>
      <c r="I303" s="281">
        <f t="shared" si="38"/>
        <v>0.14279999999999937</v>
      </c>
      <c r="J303" s="280">
        <f t="shared" si="36"/>
        <v>6.5400000000000624E-2</v>
      </c>
      <c r="K303" s="282">
        <f t="shared" si="37"/>
        <v>31.412103746397996</v>
      </c>
      <c r="L303">
        <v>19</v>
      </c>
      <c r="M303" s="16">
        <v>43388</v>
      </c>
      <c r="N303" s="283">
        <v>43389</v>
      </c>
      <c r="O303" s="16"/>
      <c r="R303" s="282"/>
    </row>
    <row r="304" spans="1:18">
      <c r="A304" t="s">
        <v>1270</v>
      </c>
      <c r="B304">
        <v>198</v>
      </c>
      <c r="D304">
        <v>0.52429999999999999</v>
      </c>
      <c r="E304">
        <v>9.7272999999999996</v>
      </c>
      <c r="F304">
        <v>0.20680000000000001</v>
      </c>
      <c r="G304" s="281">
        <f t="shared" si="34"/>
        <v>9.934099999999999</v>
      </c>
      <c r="H304" s="281">
        <v>9.7561999999999998</v>
      </c>
      <c r="I304" s="281">
        <f t="shared" si="38"/>
        <v>0.17789999999999928</v>
      </c>
      <c r="J304" s="280">
        <f t="shared" si="36"/>
        <v>2.8900000000000731E-2</v>
      </c>
      <c r="K304" s="282">
        <f t="shared" si="37"/>
        <v>13.974854932302094</v>
      </c>
      <c r="L304">
        <v>3</v>
      </c>
      <c r="M304" s="16">
        <v>43395</v>
      </c>
      <c r="N304" s="16">
        <v>43396</v>
      </c>
      <c r="R304" s="282"/>
    </row>
    <row r="305" spans="1:18">
      <c r="A305" t="s">
        <v>1971</v>
      </c>
      <c r="C305" t="s">
        <v>3726</v>
      </c>
      <c r="D305">
        <v>1.6848000000000001</v>
      </c>
      <c r="E305">
        <v>8.7614000000000001</v>
      </c>
      <c r="F305">
        <v>0.21560000000000001</v>
      </c>
      <c r="G305" s="285">
        <f t="shared" si="34"/>
        <v>8.9770000000000003</v>
      </c>
      <c r="H305" s="281">
        <v>8.7753999999999994</v>
      </c>
      <c r="I305" s="285">
        <f t="shared" si="38"/>
        <v>0.20160000000000089</v>
      </c>
      <c r="J305" s="280">
        <f t="shared" si="36"/>
        <v>1.3999999999999124E-2</v>
      </c>
      <c r="K305" s="282">
        <f t="shared" si="37"/>
        <v>6.4935064935060867</v>
      </c>
      <c r="L305">
        <v>22</v>
      </c>
      <c r="M305" s="283">
        <v>43379</v>
      </c>
      <c r="N305" s="283">
        <v>43379</v>
      </c>
      <c r="R305" s="282"/>
    </row>
    <row r="306" spans="1:18">
      <c r="A306" t="s">
        <v>1258</v>
      </c>
      <c r="C306" t="s">
        <v>3440</v>
      </c>
      <c r="D306">
        <v>0.70409999999999995</v>
      </c>
      <c r="E306">
        <v>19.729600000000001</v>
      </c>
      <c r="F306">
        <v>0.2208</v>
      </c>
      <c r="G306" s="281">
        <f t="shared" si="34"/>
        <v>19.950400000000002</v>
      </c>
      <c r="H306" s="281">
        <v>19.764700000000001</v>
      </c>
      <c r="I306" s="281">
        <f t="shared" si="38"/>
        <v>0.18570000000000064</v>
      </c>
      <c r="J306" s="280">
        <f t="shared" si="36"/>
        <v>3.5099999999999354E-2</v>
      </c>
      <c r="K306" s="282">
        <f t="shared" si="37"/>
        <v>15.89673913043449</v>
      </c>
      <c r="L306">
        <v>7</v>
      </c>
      <c r="M306" s="283">
        <v>43362</v>
      </c>
      <c r="N306" s="283">
        <v>43363</v>
      </c>
      <c r="O306" s="280"/>
      <c r="R306" s="282"/>
    </row>
    <row r="307" spans="1:18">
      <c r="A307" t="s">
        <v>2042</v>
      </c>
      <c r="C307" t="s">
        <v>3715</v>
      </c>
      <c r="D307">
        <v>1.2962</v>
      </c>
      <c r="E307">
        <v>20.968900000000001</v>
      </c>
      <c r="F307">
        <v>0.2253</v>
      </c>
      <c r="G307" s="281">
        <f t="shared" si="34"/>
        <v>21.194200000000002</v>
      </c>
      <c r="H307" s="281">
        <v>20.988700000000001</v>
      </c>
      <c r="I307" s="281">
        <f t="shared" si="38"/>
        <v>0.20550000000000068</v>
      </c>
      <c r="J307" s="280">
        <f t="shared" si="36"/>
        <v>1.9799999999999318E-2</v>
      </c>
      <c r="K307" s="282">
        <f t="shared" si="37"/>
        <v>8.7882822902793247</v>
      </c>
      <c r="L307">
        <v>39</v>
      </c>
      <c r="M307" s="283">
        <v>43361</v>
      </c>
      <c r="N307" s="283">
        <v>43362</v>
      </c>
      <c r="O307" s="280" t="s">
        <v>3707</v>
      </c>
      <c r="R307" s="282"/>
    </row>
    <row r="308" spans="1:18">
      <c r="A308" t="s">
        <v>1970</v>
      </c>
      <c r="C308" t="s">
        <v>3406</v>
      </c>
      <c r="D308">
        <v>0.53410000000000002</v>
      </c>
      <c r="E308">
        <v>10.5413</v>
      </c>
      <c r="F308">
        <v>0.21290000000000001</v>
      </c>
      <c r="G308" s="285">
        <f t="shared" si="34"/>
        <v>10.754199999999999</v>
      </c>
      <c r="H308" s="281">
        <v>10.5839</v>
      </c>
      <c r="I308" s="285">
        <f t="shared" si="38"/>
        <v>0.17029999999999923</v>
      </c>
      <c r="J308" s="280">
        <f t="shared" si="36"/>
        <v>4.2600000000000776E-2</v>
      </c>
      <c r="K308" s="282">
        <f t="shared" si="37"/>
        <v>20.009394081728875</v>
      </c>
      <c r="L308">
        <v>26</v>
      </c>
      <c r="M308" s="283">
        <v>43379</v>
      </c>
      <c r="N308" s="283">
        <v>43379</v>
      </c>
      <c r="R308" s="282"/>
    </row>
    <row r="309" spans="1:18">
      <c r="A309" t="s">
        <v>1227</v>
      </c>
      <c r="C309" t="s">
        <v>3710</v>
      </c>
      <c r="D309">
        <v>1.7028000000000001</v>
      </c>
      <c r="E309">
        <v>10.4156</v>
      </c>
      <c r="F309">
        <v>0.2253</v>
      </c>
      <c r="G309" s="281">
        <f t="shared" si="34"/>
        <v>10.6409</v>
      </c>
      <c r="H309" s="281">
        <v>10.4307</v>
      </c>
      <c r="I309" s="281">
        <f t="shared" si="38"/>
        <v>0.21020000000000039</v>
      </c>
      <c r="J309" s="280">
        <f t="shared" si="36"/>
        <v>1.5099999999999614E-2</v>
      </c>
      <c r="K309" s="282">
        <f t="shared" si="37"/>
        <v>6.7021748779403518</v>
      </c>
      <c r="L309">
        <v>18</v>
      </c>
      <c r="M309" s="283">
        <v>43361</v>
      </c>
      <c r="N309" s="283">
        <v>43362</v>
      </c>
      <c r="O309" s="280" t="s">
        <v>3707</v>
      </c>
      <c r="R309" s="282"/>
    </row>
    <row r="310" spans="1:18">
      <c r="A310" t="s">
        <v>1967</v>
      </c>
      <c r="C310" t="s">
        <v>3739</v>
      </c>
      <c r="D310">
        <v>0.64949999999999997</v>
      </c>
      <c r="E310">
        <v>11.0328</v>
      </c>
      <c r="F310">
        <v>0.22869999999999999</v>
      </c>
      <c r="G310" s="281">
        <f t="shared" si="34"/>
        <v>11.2615</v>
      </c>
      <c r="H310" s="281">
        <v>11.105600000000001</v>
      </c>
      <c r="I310" s="281">
        <f t="shared" si="38"/>
        <v>0.15589999999999904</v>
      </c>
      <c r="J310" s="280">
        <f t="shared" si="36"/>
        <v>7.2800000000000947E-2</v>
      </c>
      <c r="K310" s="282">
        <f t="shared" si="37"/>
        <v>31.832094446874049</v>
      </c>
      <c r="L310">
        <v>30</v>
      </c>
      <c r="M310" s="283">
        <v>43363</v>
      </c>
      <c r="N310" s="283">
        <v>43364</v>
      </c>
      <c r="R310" s="282"/>
    </row>
    <row r="311" spans="1:18">
      <c r="A311" t="s">
        <v>1966</v>
      </c>
      <c r="C311" t="s">
        <v>3643</v>
      </c>
      <c r="D311">
        <v>1.8103</v>
      </c>
      <c r="E311">
        <v>7.8392999999999997</v>
      </c>
      <c r="F311">
        <v>0.2031</v>
      </c>
      <c r="G311" s="281">
        <f t="shared" si="34"/>
        <v>8.0423999999999989</v>
      </c>
      <c r="H311" s="281">
        <v>7.85</v>
      </c>
      <c r="I311" s="281">
        <f>(G311-H311)</f>
        <v>0.19239999999999924</v>
      </c>
      <c r="J311" s="280">
        <f t="shared" si="36"/>
        <v>1.0700000000000764E-2</v>
      </c>
      <c r="K311" s="282">
        <f t="shared" si="37"/>
        <v>5.2683407188580818</v>
      </c>
      <c r="L311">
        <v>8</v>
      </c>
      <c r="M311" s="283">
        <v>43355.625</v>
      </c>
      <c r="N311" s="283">
        <v>43355.791666666664</v>
      </c>
      <c r="O311" s="280" t="s">
        <v>3637</v>
      </c>
      <c r="R311" s="282"/>
    </row>
    <row r="312" spans="1:18">
      <c r="A312" t="s">
        <v>1206</v>
      </c>
      <c r="C312" t="s">
        <v>3645</v>
      </c>
      <c r="D312">
        <v>1.6153999999999999</v>
      </c>
      <c r="E312">
        <v>10.3123</v>
      </c>
      <c r="F312">
        <v>0.2011</v>
      </c>
      <c r="G312" s="281">
        <f t="shared" si="34"/>
        <v>10.513400000000001</v>
      </c>
      <c r="H312" s="281">
        <v>10.3248</v>
      </c>
      <c r="I312" s="281">
        <f>(G312-H312)</f>
        <v>0.18860000000000099</v>
      </c>
      <c r="J312" s="280">
        <f t="shared" si="36"/>
        <v>1.2499999999999012E-2</v>
      </c>
      <c r="K312" s="282">
        <f t="shared" si="37"/>
        <v>6.2158130283436162</v>
      </c>
      <c r="L312">
        <v>15</v>
      </c>
      <c r="M312" s="16">
        <v>43358</v>
      </c>
      <c r="N312" s="16">
        <v>43358</v>
      </c>
      <c r="R312" s="282"/>
    </row>
    <row r="313" spans="1:18">
      <c r="A313" t="s">
        <v>1202</v>
      </c>
      <c r="C313" t="s">
        <v>3709</v>
      </c>
      <c r="D313">
        <v>1.6625000000000001</v>
      </c>
      <c r="E313">
        <v>10.4177</v>
      </c>
      <c r="F313">
        <v>0.22470000000000001</v>
      </c>
      <c r="G313" s="281">
        <f t="shared" si="34"/>
        <v>10.6424</v>
      </c>
      <c r="H313" s="281">
        <v>10.4306</v>
      </c>
      <c r="I313" s="281">
        <f>G313-H313</f>
        <v>0.21180000000000021</v>
      </c>
      <c r="J313" s="280">
        <f t="shared" si="36"/>
        <v>1.2899999999999801E-2</v>
      </c>
      <c r="K313" s="282">
        <f t="shared" si="37"/>
        <v>5.7409879839785489</v>
      </c>
      <c r="L313">
        <v>4</v>
      </c>
      <c r="M313" s="283">
        <v>43374</v>
      </c>
      <c r="N313" s="283">
        <v>43375</v>
      </c>
      <c r="O313" s="280" t="s">
        <v>3707</v>
      </c>
      <c r="R313" s="282"/>
    </row>
    <row r="314" spans="1:18">
      <c r="A314" t="s">
        <v>1965</v>
      </c>
      <c r="C314" t="s">
        <v>3398</v>
      </c>
      <c r="D314">
        <v>0.63660000000000005</v>
      </c>
      <c r="E314">
        <v>8.1193000000000008</v>
      </c>
      <c r="F314">
        <v>0.20280000000000001</v>
      </c>
      <c r="G314">
        <f t="shared" si="34"/>
        <v>8.3221000000000007</v>
      </c>
      <c r="H314">
        <v>8.1708999999999996</v>
      </c>
      <c r="I314" s="281">
        <f>G314-H314</f>
        <v>0.15120000000000111</v>
      </c>
      <c r="J314" s="280">
        <f t="shared" si="36"/>
        <v>5.1599999999998897E-2</v>
      </c>
      <c r="K314" s="282">
        <f t="shared" si="37"/>
        <v>25.443786982247975</v>
      </c>
      <c r="L314">
        <v>23</v>
      </c>
      <c r="M314" s="16">
        <v>43399</v>
      </c>
      <c r="N314" s="16">
        <v>43400</v>
      </c>
      <c r="R314" s="282"/>
    </row>
    <row r="315" spans="1:18">
      <c r="A315" t="s">
        <v>1199</v>
      </c>
      <c r="C315" t="s">
        <v>3667</v>
      </c>
      <c r="D315">
        <v>1.6746000000000001</v>
      </c>
      <c r="E315">
        <v>7.7142999999999997</v>
      </c>
      <c r="F315">
        <v>0.20319999999999999</v>
      </c>
      <c r="G315" s="281">
        <f t="shared" si="34"/>
        <v>7.9174999999999995</v>
      </c>
      <c r="H315" s="281">
        <v>7.7271999999999998</v>
      </c>
      <c r="I315" s="281">
        <f>(G315-H315)</f>
        <v>0.19029999999999969</v>
      </c>
      <c r="J315" s="280">
        <f t="shared" si="36"/>
        <v>1.29000000000003E-2</v>
      </c>
      <c r="K315" s="282">
        <f t="shared" si="37"/>
        <v>6.3484251968505419</v>
      </c>
      <c r="L315">
        <v>13</v>
      </c>
      <c r="M315" s="283">
        <v>43360</v>
      </c>
      <c r="N315" s="283">
        <v>43361</v>
      </c>
      <c r="O315" s="280"/>
      <c r="R315" s="282"/>
    </row>
    <row r="316" spans="1:18">
      <c r="A316" t="s">
        <v>1196</v>
      </c>
      <c r="C316" t="s">
        <v>3701</v>
      </c>
      <c r="D316">
        <v>1.708</v>
      </c>
      <c r="E316">
        <v>9.2190999999999992</v>
      </c>
      <c r="F316">
        <v>0.2056</v>
      </c>
      <c r="G316" s="281">
        <f t="shared" si="34"/>
        <v>9.4246999999999996</v>
      </c>
      <c r="H316" s="281">
        <v>9.2330000000000005</v>
      </c>
      <c r="I316" s="281">
        <f>G316-H316</f>
        <v>0.19169999999999909</v>
      </c>
      <c r="J316" s="280">
        <f t="shared" si="36"/>
        <v>1.3900000000000912E-2</v>
      </c>
      <c r="K316" s="282">
        <f t="shared" si="37"/>
        <v>6.7607003891055024</v>
      </c>
      <c r="L316">
        <v>17</v>
      </c>
      <c r="M316" s="283">
        <v>43361</v>
      </c>
      <c r="N316" s="283">
        <v>43362</v>
      </c>
      <c r="O316" s="280" t="s">
        <v>3707</v>
      </c>
      <c r="R316" s="282"/>
    </row>
    <row r="317" spans="1:18">
      <c r="A317" t="s">
        <v>1195</v>
      </c>
      <c r="C317" t="s">
        <v>3641</v>
      </c>
      <c r="D317">
        <v>1.6116999999999999</v>
      </c>
      <c r="E317">
        <v>7.4741999999999997</v>
      </c>
      <c r="F317">
        <v>0.20230000000000001</v>
      </c>
      <c r="G317" s="281">
        <f t="shared" si="34"/>
        <v>7.6764999999999999</v>
      </c>
      <c r="H317" s="281">
        <v>7.4863999999999997</v>
      </c>
      <c r="I317" s="281">
        <f>(G317-H317)</f>
        <v>0.19010000000000016</v>
      </c>
      <c r="J317" s="280">
        <f t="shared" si="36"/>
        <v>1.219999999999985E-2</v>
      </c>
      <c r="K317" s="282">
        <f t="shared" si="37"/>
        <v>6.0306475531388282</v>
      </c>
      <c r="L317">
        <v>35</v>
      </c>
      <c r="M317" s="16">
        <v>43358</v>
      </c>
      <c r="N317" s="16">
        <v>43358</v>
      </c>
      <c r="R317" s="282"/>
    </row>
    <row r="318" spans="1:18">
      <c r="A318" t="s">
        <v>1964</v>
      </c>
      <c r="C318" t="s">
        <v>3705</v>
      </c>
      <c r="D318">
        <v>1.6781999999999999</v>
      </c>
      <c r="E318">
        <v>10.7409</v>
      </c>
      <c r="F318">
        <v>0.224</v>
      </c>
      <c r="G318" s="281">
        <f t="shared" si="34"/>
        <v>10.9649</v>
      </c>
      <c r="H318" s="281">
        <v>10.7546</v>
      </c>
      <c r="I318" s="281">
        <f>(G318-H318)</f>
        <v>0.21030000000000015</v>
      </c>
      <c r="J318" s="280">
        <f t="shared" si="36"/>
        <v>1.3699999999999851E-2</v>
      </c>
      <c r="K318" s="282">
        <f t="shared" si="37"/>
        <v>6.1160714285713613</v>
      </c>
      <c r="L318">
        <v>40</v>
      </c>
      <c r="M318" s="283">
        <v>43360</v>
      </c>
      <c r="N318" s="283">
        <v>43361</v>
      </c>
      <c r="O318" s="280" t="s">
        <v>3684</v>
      </c>
      <c r="R318" s="282"/>
    </row>
    <row r="319" spans="1:18">
      <c r="A319" t="s">
        <v>1188</v>
      </c>
      <c r="C319" t="s">
        <v>3650</v>
      </c>
      <c r="D319">
        <v>1.6603000000000001</v>
      </c>
      <c r="E319">
        <v>11.153700000000001</v>
      </c>
      <c r="F319">
        <v>0.20430000000000001</v>
      </c>
      <c r="G319" s="281">
        <f t="shared" si="34"/>
        <v>11.358000000000001</v>
      </c>
      <c r="H319" s="281">
        <v>11.166</v>
      </c>
      <c r="I319" s="281">
        <f>(G319-H319)</f>
        <v>0.19200000000000017</v>
      </c>
      <c r="J319" s="280">
        <f t="shared" si="36"/>
        <v>1.2299999999999839E-2</v>
      </c>
      <c r="K319" s="282">
        <f t="shared" si="37"/>
        <v>6.0205580029367782</v>
      </c>
      <c r="L319">
        <v>12</v>
      </c>
      <c r="M319" s="16">
        <v>43358</v>
      </c>
      <c r="N319" s="16">
        <v>43358</v>
      </c>
      <c r="R319" s="282"/>
    </row>
    <row r="320" spans="1:18">
      <c r="A320" t="s">
        <v>1184</v>
      </c>
      <c r="C320" t="s">
        <v>3639</v>
      </c>
      <c r="D320">
        <v>1.7005999999999999</v>
      </c>
      <c r="E320">
        <v>9.7212999999999994</v>
      </c>
      <c r="F320">
        <v>0.2041</v>
      </c>
      <c r="G320" s="281">
        <f t="shared" si="34"/>
        <v>9.9253999999999998</v>
      </c>
      <c r="H320" s="281">
        <v>9.7326999999999995</v>
      </c>
      <c r="I320" s="281">
        <f>(G320-H320)</f>
        <v>0.19270000000000032</v>
      </c>
      <c r="J320" s="280">
        <f t="shared" si="36"/>
        <v>1.1399999999999688E-2</v>
      </c>
      <c r="K320" s="282">
        <f t="shared" si="37"/>
        <v>5.5854973052423755</v>
      </c>
      <c r="L320">
        <v>18</v>
      </c>
      <c r="M320" s="16">
        <v>43358</v>
      </c>
      <c r="N320" s="16">
        <v>43358</v>
      </c>
      <c r="R320" s="282"/>
    </row>
    <row r="321" spans="1:18">
      <c r="A321" t="s">
        <v>1182</v>
      </c>
      <c r="C321" t="s">
        <v>3410</v>
      </c>
      <c r="D321">
        <v>0.54469999999999996</v>
      </c>
      <c r="E321">
        <v>9.7744999999999997</v>
      </c>
      <c r="F321">
        <v>0.20499999999999999</v>
      </c>
      <c r="G321" s="281">
        <f t="shared" si="34"/>
        <v>9.9794999999999998</v>
      </c>
      <c r="H321" s="281">
        <v>9.8183000000000007</v>
      </c>
      <c r="I321" s="281">
        <f>G321-H321</f>
        <v>0.16119999999999912</v>
      </c>
      <c r="J321" s="280">
        <f t="shared" si="36"/>
        <v>4.3800000000000866E-2</v>
      </c>
      <c r="K321" s="282">
        <f t="shared" si="37"/>
        <v>21.365853658537009</v>
      </c>
      <c r="L321">
        <v>17</v>
      </c>
      <c r="M321" s="16">
        <v>43388</v>
      </c>
      <c r="N321" s="283">
        <v>43389</v>
      </c>
      <c r="O321" s="16"/>
      <c r="R321" s="282"/>
    </row>
    <row r="322" spans="1:18">
      <c r="A322" t="s">
        <v>1180</v>
      </c>
      <c r="C322" t="s">
        <v>3458</v>
      </c>
      <c r="D322">
        <v>0.54679999999999995</v>
      </c>
      <c r="E322">
        <v>11.089499999999999</v>
      </c>
      <c r="F322">
        <v>0.20319999999999999</v>
      </c>
      <c r="G322" s="281">
        <f t="shared" si="34"/>
        <v>11.2927</v>
      </c>
      <c r="H322" s="281">
        <v>11.125</v>
      </c>
      <c r="I322" s="281">
        <f>G322-H322</f>
        <v>0.16769999999999996</v>
      </c>
      <c r="J322" s="280">
        <f t="shared" si="36"/>
        <v>3.5500000000000032E-2</v>
      </c>
      <c r="K322" s="282">
        <f t="shared" si="37"/>
        <v>17.470472440944899</v>
      </c>
      <c r="L322">
        <v>19</v>
      </c>
      <c r="M322" s="283">
        <v>43363</v>
      </c>
      <c r="N322" s="283">
        <v>43364</v>
      </c>
      <c r="R322" s="282"/>
    </row>
    <row r="323" spans="1:18">
      <c r="A323" t="s">
        <v>1178</v>
      </c>
      <c r="C323" t="s">
        <v>3682</v>
      </c>
      <c r="D323">
        <v>1.6744000000000001</v>
      </c>
      <c r="E323">
        <v>8.7622</v>
      </c>
      <c r="F323">
        <v>0.23330000000000001</v>
      </c>
      <c r="G323" s="281">
        <f t="shared" si="34"/>
        <v>8.9954999999999998</v>
      </c>
      <c r="H323" s="281">
        <v>8.7754999999999992</v>
      </c>
      <c r="I323" s="281">
        <f>G323-H323</f>
        <v>0.22000000000000064</v>
      </c>
      <c r="J323" s="280">
        <f t="shared" si="36"/>
        <v>1.3299999999999368E-2</v>
      </c>
      <c r="K323" s="282">
        <f t="shared" si="37"/>
        <v>5.7008144020571656</v>
      </c>
      <c r="L323">
        <v>24</v>
      </c>
      <c r="M323" s="16">
        <v>43395</v>
      </c>
      <c r="N323" s="16">
        <v>43396</v>
      </c>
      <c r="R323" s="282"/>
    </row>
    <row r="324" spans="1:18">
      <c r="A324" t="s">
        <v>1177</v>
      </c>
      <c r="C324" t="s">
        <v>3671</v>
      </c>
      <c r="D324">
        <v>0.50749999999999995</v>
      </c>
      <c r="E324">
        <v>10.617800000000001</v>
      </c>
      <c r="F324">
        <v>0.21629999999999999</v>
      </c>
      <c r="G324" s="281">
        <f t="shared" si="34"/>
        <v>10.834100000000001</v>
      </c>
      <c r="H324" s="281">
        <v>10.649900000000001</v>
      </c>
      <c r="I324" s="281">
        <f>(G324-H324)</f>
        <v>0.18420000000000059</v>
      </c>
      <c r="J324" s="280">
        <f t="shared" si="36"/>
        <v>3.2099999999999407E-2</v>
      </c>
      <c r="K324" s="282">
        <f t="shared" si="37"/>
        <v>14.840499306518451</v>
      </c>
      <c r="L324">
        <v>20</v>
      </c>
      <c r="M324" s="283">
        <v>43360</v>
      </c>
      <c r="N324" s="283">
        <v>43361</v>
      </c>
      <c r="R324" s="282"/>
    </row>
    <row r="325" spans="1:18">
      <c r="A325" t="s">
        <v>1176</v>
      </c>
      <c r="C325" t="s">
        <v>3730</v>
      </c>
      <c r="D325">
        <v>1.1621999999999999</v>
      </c>
      <c r="E325">
        <v>8.0650999999999993</v>
      </c>
      <c r="F325">
        <v>0.21479999999999999</v>
      </c>
      <c r="G325" s="281">
        <f t="shared" si="34"/>
        <v>8.2798999999999996</v>
      </c>
      <c r="H325" s="281">
        <v>8.0850000000000009</v>
      </c>
      <c r="I325" s="281">
        <f t="shared" ref="I325:I333" si="39">G325-H325</f>
        <v>0.19489999999999874</v>
      </c>
      <c r="J325" s="280">
        <f t="shared" si="36"/>
        <v>1.990000000000125E-2</v>
      </c>
      <c r="K325" s="282">
        <f t="shared" si="37"/>
        <v>9.2644320297957403</v>
      </c>
      <c r="L325">
        <v>14</v>
      </c>
      <c r="M325" s="283">
        <v>43363</v>
      </c>
      <c r="N325" s="283">
        <v>43364</v>
      </c>
      <c r="O325" s="280" t="s">
        <v>3732</v>
      </c>
      <c r="R325" s="282"/>
    </row>
    <row r="326" spans="1:18">
      <c r="A326" t="s">
        <v>1171</v>
      </c>
      <c r="C326" t="s">
        <v>3753</v>
      </c>
      <c r="D326">
        <v>1.7639</v>
      </c>
      <c r="E326">
        <v>8.1178000000000008</v>
      </c>
      <c r="F326">
        <v>0.21160000000000001</v>
      </c>
      <c r="G326" s="281">
        <f t="shared" si="34"/>
        <v>8.3294000000000015</v>
      </c>
      <c r="H326" s="281">
        <v>8.1304999999999996</v>
      </c>
      <c r="I326" s="281">
        <f t="shared" si="39"/>
        <v>0.19890000000000185</v>
      </c>
      <c r="J326" s="280">
        <f t="shared" si="36"/>
        <v>1.2699999999998157E-2</v>
      </c>
      <c r="K326" s="282">
        <f t="shared" si="37"/>
        <v>6.0018903591673709</v>
      </c>
      <c r="L326">
        <v>39</v>
      </c>
      <c r="M326">
        <v>23.101800000000001</v>
      </c>
      <c r="N326" s="16">
        <v>43397</v>
      </c>
      <c r="R326" s="282"/>
    </row>
    <row r="327" spans="1:18">
      <c r="A327" t="s">
        <v>1962</v>
      </c>
      <c r="C327" t="s">
        <v>3678</v>
      </c>
      <c r="D327">
        <v>1.7779</v>
      </c>
      <c r="E327">
        <v>8.7691999999999997</v>
      </c>
      <c r="F327">
        <v>0.21510000000000001</v>
      </c>
      <c r="G327" s="281">
        <f t="shared" si="34"/>
        <v>8.9842999999999993</v>
      </c>
      <c r="H327" s="281">
        <v>8.7835999999999999</v>
      </c>
      <c r="I327" s="281">
        <f t="shared" si="39"/>
        <v>0.20069999999999943</v>
      </c>
      <c r="J327" s="280">
        <f t="shared" si="36"/>
        <v>1.4400000000000579E-2</v>
      </c>
      <c r="K327" s="282">
        <f t="shared" si="37"/>
        <v>6.6945606694563358</v>
      </c>
      <c r="L327">
        <v>36</v>
      </c>
      <c r="M327" s="283">
        <v>43360</v>
      </c>
      <c r="N327" s="283">
        <v>43361</v>
      </c>
      <c r="R327" s="282"/>
    </row>
    <row r="328" spans="1:18">
      <c r="A328" t="s">
        <v>1960</v>
      </c>
      <c r="B328">
        <v>194</v>
      </c>
      <c r="D328">
        <v>0.54149999999999998</v>
      </c>
      <c r="E328">
        <v>10.521800000000001</v>
      </c>
      <c r="F328">
        <v>0.20230000000000001</v>
      </c>
      <c r="G328" s="281">
        <f t="shared" si="34"/>
        <v>10.7241</v>
      </c>
      <c r="H328" s="281">
        <v>10.5532</v>
      </c>
      <c r="I328" s="281">
        <f t="shared" si="39"/>
        <v>0.17089999999999961</v>
      </c>
      <c r="J328" s="280">
        <f t="shared" si="36"/>
        <v>3.14000000000004E-2</v>
      </c>
      <c r="K328" s="282">
        <f t="shared" si="37"/>
        <v>15.52150271873475</v>
      </c>
      <c r="L328">
        <v>9</v>
      </c>
      <c r="M328" s="16">
        <v>43395</v>
      </c>
      <c r="N328" s="16">
        <v>43396</v>
      </c>
      <c r="R328" s="282"/>
    </row>
    <row r="329" spans="1:18">
      <c r="A329" t="s">
        <v>1959</v>
      </c>
      <c r="C329" t="s">
        <v>3704</v>
      </c>
      <c r="D329">
        <v>1.7264999999999999</v>
      </c>
      <c r="E329">
        <v>7.8612000000000002</v>
      </c>
      <c r="F329">
        <v>0.21329999999999999</v>
      </c>
      <c r="G329" s="281">
        <f t="shared" si="34"/>
        <v>8.0745000000000005</v>
      </c>
      <c r="H329" s="281">
        <v>7.8733000000000004</v>
      </c>
      <c r="I329" s="281">
        <f t="shared" si="39"/>
        <v>0.20120000000000005</v>
      </c>
      <c r="J329" s="280">
        <f t="shared" si="36"/>
        <v>1.2099999999999944E-2</v>
      </c>
      <c r="K329" s="282">
        <f t="shared" si="37"/>
        <v>5.6727613689638741</v>
      </c>
      <c r="L329">
        <v>29</v>
      </c>
      <c r="M329" s="16">
        <v>43381</v>
      </c>
      <c r="N329" s="16">
        <v>43382</v>
      </c>
      <c r="R329" s="282"/>
    </row>
    <row r="330" spans="1:18">
      <c r="A330" t="s">
        <v>1958</v>
      </c>
      <c r="B330">
        <v>209</v>
      </c>
      <c r="C330" t="s">
        <v>2490</v>
      </c>
      <c r="D330">
        <v>0.57469999999999999</v>
      </c>
      <c r="E330">
        <v>10.567600000000001</v>
      </c>
      <c r="F330">
        <v>0.2059</v>
      </c>
      <c r="G330" s="281">
        <f t="shared" si="34"/>
        <v>10.7735</v>
      </c>
      <c r="H330" s="281">
        <v>10.603400000000001</v>
      </c>
      <c r="I330" s="281">
        <f t="shared" si="39"/>
        <v>0.1700999999999997</v>
      </c>
      <c r="J330" s="280">
        <f t="shared" si="36"/>
        <v>3.5800000000000304E-2</v>
      </c>
      <c r="K330" s="282">
        <f t="shared" si="37"/>
        <v>17.387081107333806</v>
      </c>
      <c r="L330">
        <v>12</v>
      </c>
      <c r="M330" s="16">
        <v>43399</v>
      </c>
      <c r="N330" s="16">
        <v>43400</v>
      </c>
      <c r="R330" s="282"/>
    </row>
    <row r="331" spans="1:18">
      <c r="A331" t="s">
        <v>1957</v>
      </c>
      <c r="B331">
        <v>210</v>
      </c>
      <c r="D331">
        <v>0.63739999999999997</v>
      </c>
      <c r="E331">
        <v>10.117599999999999</v>
      </c>
      <c r="F331">
        <v>0.217</v>
      </c>
      <c r="G331" s="281">
        <f t="shared" si="34"/>
        <v>10.3346</v>
      </c>
      <c r="H331" s="281">
        <v>10.147600000000001</v>
      </c>
      <c r="I331" s="281">
        <f t="shared" si="39"/>
        <v>0.18699999999999939</v>
      </c>
      <c r="J331" s="280">
        <f t="shared" si="36"/>
        <v>3.000000000000061E-2</v>
      </c>
      <c r="K331" s="282">
        <f t="shared" si="37"/>
        <v>13.82488479262701</v>
      </c>
      <c r="L331">
        <v>7</v>
      </c>
      <c r="M331" s="16">
        <v>43395</v>
      </c>
      <c r="N331" s="16">
        <v>43396</v>
      </c>
      <c r="R331" s="282"/>
    </row>
    <row r="332" spans="1:18">
      <c r="A332" t="s">
        <v>1956</v>
      </c>
      <c r="B332">
        <v>209</v>
      </c>
      <c r="C332" t="s">
        <v>2490</v>
      </c>
      <c r="D332">
        <v>0.58240000000000003</v>
      </c>
      <c r="E332">
        <v>11.8644</v>
      </c>
      <c r="F332">
        <v>0.2021</v>
      </c>
      <c r="G332">
        <f t="shared" si="34"/>
        <v>12.0665</v>
      </c>
      <c r="H332">
        <v>11.903700000000001</v>
      </c>
      <c r="I332" s="281">
        <f t="shared" si="39"/>
        <v>0.16279999999999895</v>
      </c>
      <c r="J332" s="280">
        <f t="shared" si="36"/>
        <v>3.9300000000001056E-2</v>
      </c>
      <c r="K332" s="282">
        <f t="shared" si="37"/>
        <v>19.445818901534416</v>
      </c>
      <c r="L332">
        <v>7</v>
      </c>
      <c r="M332" s="16">
        <v>43402</v>
      </c>
      <c r="N332" s="16">
        <v>43403</v>
      </c>
      <c r="R332" s="282"/>
    </row>
    <row r="333" spans="1:18">
      <c r="A333" t="s">
        <v>1955</v>
      </c>
      <c r="B333">
        <v>216</v>
      </c>
      <c r="D333">
        <v>0.63270000000000004</v>
      </c>
      <c r="E333">
        <v>8.1205999999999996</v>
      </c>
      <c r="F333">
        <v>0.23319999999999999</v>
      </c>
      <c r="G333" s="281">
        <f t="shared" si="34"/>
        <v>8.3537999999999997</v>
      </c>
      <c r="H333" s="281">
        <v>8.1773000000000007</v>
      </c>
      <c r="I333" s="281">
        <f t="shared" si="39"/>
        <v>0.17649999999999899</v>
      </c>
      <c r="J333" s="280">
        <f t="shared" si="36"/>
        <v>5.6700000000001E-2</v>
      </c>
      <c r="K333" s="282">
        <f t="shared" si="37"/>
        <v>24.313893653516725</v>
      </c>
      <c r="L333">
        <v>34</v>
      </c>
      <c r="M333" s="16">
        <v>43395</v>
      </c>
      <c r="N333" s="16">
        <v>43396</v>
      </c>
      <c r="R333" s="282"/>
    </row>
    <row r="334" spans="1:18">
      <c r="A334" t="s">
        <v>1954</v>
      </c>
      <c r="C334" t="s">
        <v>3697</v>
      </c>
      <c r="D334">
        <f>0.3786+0.2037</f>
        <v>0.58230000000000004</v>
      </c>
      <c r="E334">
        <v>7.5293999999999999</v>
      </c>
      <c r="F334">
        <v>0.20369999999999999</v>
      </c>
      <c r="G334" s="281">
        <f t="shared" si="34"/>
        <v>7.7331000000000003</v>
      </c>
      <c r="H334" s="281">
        <v>7.5602</v>
      </c>
      <c r="I334" s="281">
        <f>(G334-H334)</f>
        <v>0.17290000000000028</v>
      </c>
      <c r="J334" s="280">
        <f t="shared" si="36"/>
        <v>3.0799999999999716E-2</v>
      </c>
      <c r="K334" s="282">
        <f t="shared" si="37"/>
        <v>15.120274914089208</v>
      </c>
      <c r="L334">
        <v>28</v>
      </c>
      <c r="M334" s="283">
        <v>43360</v>
      </c>
      <c r="N334" s="283">
        <v>43361</v>
      </c>
      <c r="O334" s="280" t="s">
        <v>3684</v>
      </c>
      <c r="R334" s="282"/>
    </row>
    <row r="335" spans="1:18">
      <c r="A335" t="s">
        <v>1953</v>
      </c>
      <c r="C335" t="s">
        <v>3647</v>
      </c>
      <c r="D335">
        <v>1.6101000000000001</v>
      </c>
      <c r="E335">
        <v>8.7728999999999999</v>
      </c>
      <c r="F335">
        <v>0.2054</v>
      </c>
      <c r="G335" s="281">
        <f t="shared" si="34"/>
        <v>8.9782999999999991</v>
      </c>
      <c r="H335" s="281">
        <v>8.7844999999999995</v>
      </c>
      <c r="I335" s="281">
        <f>(G335-H335)</f>
        <v>0.19379999999999953</v>
      </c>
      <c r="J335" s="280">
        <f t="shared" si="36"/>
        <v>1.1600000000000471E-2</v>
      </c>
      <c r="K335" s="282">
        <f t="shared" si="37"/>
        <v>5.6475170399223327</v>
      </c>
      <c r="L335">
        <v>16</v>
      </c>
      <c r="M335" s="283">
        <v>43355.625</v>
      </c>
      <c r="N335" s="283">
        <v>43355.791666666664</v>
      </c>
      <c r="O335" s="280" t="s">
        <v>3637</v>
      </c>
      <c r="R335" s="282"/>
    </row>
    <row r="336" spans="1:18">
      <c r="A336" t="s">
        <v>1951</v>
      </c>
      <c r="C336" t="s">
        <v>3682</v>
      </c>
      <c r="D336">
        <v>1.7537</v>
      </c>
      <c r="E336">
        <v>9.3231999999999999</v>
      </c>
      <c r="F336">
        <v>0.2157</v>
      </c>
      <c r="G336" s="281">
        <f t="shared" si="34"/>
        <v>9.5388999999999999</v>
      </c>
      <c r="H336" s="281">
        <v>9.3364999999999991</v>
      </c>
      <c r="I336" s="281">
        <f t="shared" ref="I336:I348" si="40">G336-H336</f>
        <v>0.2024000000000008</v>
      </c>
      <c r="J336" s="280">
        <f t="shared" si="36"/>
        <v>1.3299999999999201E-2</v>
      </c>
      <c r="K336" s="282">
        <f t="shared" si="37"/>
        <v>6.1659712563742239</v>
      </c>
      <c r="L336">
        <v>6</v>
      </c>
      <c r="M336" s="16">
        <v>43399</v>
      </c>
      <c r="N336" s="16">
        <v>43400</v>
      </c>
      <c r="R336" s="282"/>
    </row>
    <row r="337" spans="1:18">
      <c r="A337" t="s">
        <v>1035</v>
      </c>
      <c r="C337" t="s">
        <v>3682</v>
      </c>
      <c r="D337">
        <v>1.8883000000000001</v>
      </c>
      <c r="E337">
        <v>11.173299999999999</v>
      </c>
      <c r="F337">
        <v>0.20080000000000001</v>
      </c>
      <c r="G337" s="285">
        <f t="shared" si="34"/>
        <v>11.374099999999999</v>
      </c>
      <c r="H337" s="281">
        <v>11.1785</v>
      </c>
      <c r="I337" s="285">
        <f t="shared" si="40"/>
        <v>0.19559999999999889</v>
      </c>
      <c r="J337" s="280">
        <f t="shared" si="36"/>
        <v>5.2000000000011204E-3</v>
      </c>
      <c r="K337" s="282">
        <f t="shared" si="37"/>
        <v>2.5896414342635063</v>
      </c>
      <c r="L337">
        <v>8</v>
      </c>
      <c r="M337" s="283">
        <v>43379</v>
      </c>
      <c r="N337" s="283">
        <v>43379</v>
      </c>
      <c r="O337" s="280"/>
      <c r="R337" s="282"/>
    </row>
    <row r="338" spans="1:18">
      <c r="A338" t="s">
        <v>1033</v>
      </c>
      <c r="C338" t="s">
        <v>3752</v>
      </c>
      <c r="D338">
        <v>1.8230999999999999</v>
      </c>
      <c r="E338">
        <v>8.1364999999999998</v>
      </c>
      <c r="F338">
        <v>0.20499999999999999</v>
      </c>
      <c r="G338" s="281">
        <f t="shared" si="34"/>
        <v>8.3414999999999999</v>
      </c>
      <c r="H338" s="281">
        <v>8.1417999999999999</v>
      </c>
      <c r="I338" s="281">
        <f t="shared" si="40"/>
        <v>0.19969999999999999</v>
      </c>
      <c r="J338" s="280">
        <f t="shared" si="36"/>
        <v>5.2999999999999992E-3</v>
      </c>
      <c r="K338" s="282">
        <f t="shared" si="37"/>
        <v>2.5853658536585367</v>
      </c>
      <c r="L338">
        <v>10</v>
      </c>
      <c r="M338" s="16">
        <v>43381</v>
      </c>
      <c r="N338" s="16">
        <v>43382</v>
      </c>
      <c r="R338" s="282"/>
    </row>
    <row r="339" spans="1:18">
      <c r="A339" t="s">
        <v>1025</v>
      </c>
      <c r="C339" t="s">
        <v>3458</v>
      </c>
      <c r="D339">
        <v>1.8302</v>
      </c>
      <c r="E339">
        <v>11.121</v>
      </c>
      <c r="F339">
        <v>0.2064</v>
      </c>
      <c r="G339" s="281">
        <f t="shared" ref="G339:G402" si="41">E339+F339</f>
        <v>11.327400000000001</v>
      </c>
      <c r="H339" s="281">
        <v>11.135999999999999</v>
      </c>
      <c r="I339" s="281">
        <f t="shared" si="40"/>
        <v>0.19140000000000157</v>
      </c>
      <c r="J339" s="280">
        <f t="shared" si="36"/>
        <v>1.4999999999998431E-2</v>
      </c>
      <c r="K339" s="282">
        <f t="shared" si="37"/>
        <v>7.2674418604643565</v>
      </c>
      <c r="L339">
        <v>17</v>
      </c>
      <c r="M339" s="283">
        <v>43374</v>
      </c>
      <c r="N339" s="283">
        <v>43375</v>
      </c>
      <c r="O339" s="280" t="s">
        <v>3707</v>
      </c>
      <c r="R339" s="282"/>
    </row>
    <row r="340" spans="1:18">
      <c r="A340" t="s">
        <v>1023</v>
      </c>
      <c r="C340" t="s">
        <v>3480</v>
      </c>
      <c r="D340">
        <v>0.50219999999999998</v>
      </c>
      <c r="E340">
        <v>7.4756</v>
      </c>
      <c r="F340">
        <v>0.20219999999999999</v>
      </c>
      <c r="G340" s="281">
        <f t="shared" si="41"/>
        <v>7.6778000000000004</v>
      </c>
      <c r="H340" s="281">
        <v>7.6318000000000001</v>
      </c>
      <c r="I340" s="281">
        <f t="shared" si="40"/>
        <v>4.6000000000000263E-2</v>
      </c>
      <c r="J340" s="280">
        <f t="shared" si="36"/>
        <v>0.15619999999999973</v>
      </c>
      <c r="K340" s="282">
        <f t="shared" si="37"/>
        <v>77.250247279920742</v>
      </c>
      <c r="L340">
        <v>26</v>
      </c>
      <c r="M340" s="283">
        <v>43374</v>
      </c>
      <c r="N340" s="283">
        <v>43375</v>
      </c>
      <c r="O340" s="280" t="s">
        <v>3707</v>
      </c>
      <c r="R340" s="282"/>
    </row>
    <row r="341" spans="1:18">
      <c r="A341" t="s">
        <v>1014</v>
      </c>
      <c r="C341" t="s">
        <v>3398</v>
      </c>
      <c r="D341">
        <v>1.6020000000000001</v>
      </c>
      <c r="E341">
        <v>10.5227</v>
      </c>
      <c r="F341">
        <v>0.20680000000000001</v>
      </c>
      <c r="G341">
        <f t="shared" si="41"/>
        <v>10.7295</v>
      </c>
      <c r="H341">
        <v>10.5566</v>
      </c>
      <c r="I341" s="281">
        <f t="shared" si="40"/>
        <v>0.17290000000000028</v>
      </c>
      <c r="J341" s="280">
        <f t="shared" si="36"/>
        <v>3.3899999999999736E-2</v>
      </c>
      <c r="K341" s="282">
        <f t="shared" si="37"/>
        <v>16.392649903288074</v>
      </c>
      <c r="L341">
        <v>14</v>
      </c>
      <c r="M341" s="16">
        <v>43399</v>
      </c>
      <c r="N341" s="16">
        <v>43400</v>
      </c>
      <c r="R341" s="282"/>
    </row>
    <row r="342" spans="1:18">
      <c r="A342" t="s">
        <v>1128</v>
      </c>
      <c r="C342" t="s">
        <v>3673</v>
      </c>
      <c r="D342">
        <v>0.38569999999999999</v>
      </c>
      <c r="E342">
        <v>9.1988000000000003</v>
      </c>
      <c r="F342">
        <v>0.20050000000000001</v>
      </c>
      <c r="G342" s="281">
        <f t="shared" si="41"/>
        <v>9.3993000000000002</v>
      </c>
      <c r="H342" s="281">
        <v>9.3762000000000008</v>
      </c>
      <c r="I342" s="281">
        <f t="shared" si="40"/>
        <v>2.3099999999999454E-2</v>
      </c>
      <c r="J342" s="280">
        <f t="shared" si="36"/>
        <v>0.17740000000000056</v>
      </c>
      <c r="K342" s="282">
        <f t="shared" si="37"/>
        <v>88.478802992518979</v>
      </c>
      <c r="L342">
        <v>8</v>
      </c>
      <c r="M342" s="16">
        <v>43399</v>
      </c>
      <c r="N342" s="16">
        <v>43400</v>
      </c>
      <c r="R342" s="282"/>
    </row>
    <row r="343" spans="1:18">
      <c r="A343" t="s">
        <v>1010</v>
      </c>
      <c r="B343">
        <v>197</v>
      </c>
      <c r="D343">
        <v>1.4252</v>
      </c>
      <c r="E343">
        <v>11.1074</v>
      </c>
      <c r="F343">
        <v>0.2205</v>
      </c>
      <c r="G343" s="281">
        <f t="shared" si="41"/>
        <v>11.3279</v>
      </c>
      <c r="H343" s="281">
        <v>11.1258</v>
      </c>
      <c r="I343" s="281">
        <f t="shared" si="40"/>
        <v>0.20209999999999972</v>
      </c>
      <c r="J343" s="280">
        <f t="shared" si="36"/>
        <v>1.8400000000000277E-2</v>
      </c>
      <c r="K343" s="282">
        <f t="shared" si="37"/>
        <v>8.3446712018141849</v>
      </c>
      <c r="L343">
        <v>34</v>
      </c>
      <c r="M343" s="16">
        <v>43388</v>
      </c>
      <c r="N343" s="283">
        <v>43389</v>
      </c>
      <c r="O343" s="16"/>
      <c r="R343" s="282"/>
    </row>
    <row r="344" spans="1:18">
      <c r="A344" t="s">
        <v>1001</v>
      </c>
      <c r="C344" t="s">
        <v>3664</v>
      </c>
      <c r="D344" s="280">
        <v>1.8002</v>
      </c>
      <c r="E344" s="281">
        <v>9.2352000000000007</v>
      </c>
      <c r="F344" s="281">
        <v>0.21190000000000001</v>
      </c>
      <c r="G344" s="281">
        <f t="shared" si="41"/>
        <v>9.4471000000000007</v>
      </c>
      <c r="H344" s="281">
        <v>9.2417999999999996</v>
      </c>
      <c r="I344" s="281">
        <f t="shared" si="40"/>
        <v>0.20530000000000115</v>
      </c>
      <c r="J344" s="280">
        <f t="shared" si="36"/>
        <v>6.5999999999988568E-3</v>
      </c>
      <c r="K344" s="282">
        <f t="shared" si="37"/>
        <v>3.1146767343080963</v>
      </c>
      <c r="L344" s="280">
        <v>1</v>
      </c>
      <c r="M344" s="283">
        <v>43363</v>
      </c>
      <c r="N344" s="283">
        <v>43364</v>
      </c>
      <c r="O344" s="280" t="s">
        <v>3732</v>
      </c>
      <c r="P344" s="280"/>
      <c r="R344" s="282"/>
    </row>
    <row r="345" spans="1:18">
      <c r="A345" t="s">
        <v>979</v>
      </c>
      <c r="C345" t="s">
        <v>3718</v>
      </c>
      <c r="D345">
        <v>1.7994000000000001</v>
      </c>
      <c r="E345">
        <v>9.3194999999999997</v>
      </c>
      <c r="F345">
        <v>0.20300000000000001</v>
      </c>
      <c r="G345" s="281">
        <f t="shared" si="41"/>
        <v>9.5224999999999991</v>
      </c>
      <c r="H345" s="281">
        <v>9.3268000000000004</v>
      </c>
      <c r="I345" s="281">
        <f t="shared" si="40"/>
        <v>0.19569999999999865</v>
      </c>
      <c r="J345" s="280">
        <f t="shared" si="36"/>
        <v>7.300000000001361E-3</v>
      </c>
      <c r="K345" s="282">
        <f t="shared" si="37"/>
        <v>3.596059113301163</v>
      </c>
      <c r="L345">
        <v>35</v>
      </c>
      <c r="M345">
        <v>23.101800000000001</v>
      </c>
      <c r="N345" s="16">
        <v>43397</v>
      </c>
      <c r="R345" s="282"/>
    </row>
    <row r="346" spans="1:18">
      <c r="A346" t="s">
        <v>978</v>
      </c>
      <c r="C346" t="s">
        <v>3750</v>
      </c>
      <c r="D346">
        <v>1.8096000000000001</v>
      </c>
      <c r="E346">
        <v>10.145899999999999</v>
      </c>
      <c r="F346">
        <v>0.20499999999999999</v>
      </c>
      <c r="G346" s="281">
        <f t="shared" si="41"/>
        <v>10.350899999999999</v>
      </c>
      <c r="H346" s="281">
        <v>10.1517</v>
      </c>
      <c r="I346" s="281">
        <f t="shared" si="40"/>
        <v>0.19919999999999938</v>
      </c>
      <c r="J346" s="280">
        <f t="shared" ref="J346:J409" si="42">F346-I346</f>
        <v>5.8000000000006102E-3</v>
      </c>
      <c r="K346" s="282">
        <f t="shared" ref="K346:K409" si="43">(J346/F346)*100</f>
        <v>2.8292682926832247</v>
      </c>
      <c r="L346">
        <v>3</v>
      </c>
      <c r="M346" s="16">
        <v>43388</v>
      </c>
      <c r="N346" s="283">
        <v>43389</v>
      </c>
      <c r="O346" s="283"/>
      <c r="P346" s="280"/>
      <c r="R346" s="282"/>
    </row>
    <row r="347" spans="1:18">
      <c r="A347" t="s">
        <v>971</v>
      </c>
      <c r="C347" t="s">
        <v>3458</v>
      </c>
      <c r="D347">
        <v>1.5750999999999999</v>
      </c>
      <c r="E347">
        <v>8.2200000000000006</v>
      </c>
      <c r="F347">
        <v>0.21540000000000001</v>
      </c>
      <c r="G347" s="281">
        <f t="shared" si="41"/>
        <v>8.4354000000000013</v>
      </c>
      <c r="H347" s="281">
        <v>8.2370999999999999</v>
      </c>
      <c r="I347" s="281">
        <f t="shared" si="40"/>
        <v>0.19830000000000148</v>
      </c>
      <c r="J347" s="280">
        <f t="shared" si="42"/>
        <v>1.7099999999998533E-2</v>
      </c>
      <c r="K347" s="282">
        <f t="shared" si="43"/>
        <v>7.9387186629519642</v>
      </c>
      <c r="L347">
        <v>31</v>
      </c>
      <c r="M347" s="283">
        <v>43374</v>
      </c>
      <c r="N347" s="283">
        <v>43375</v>
      </c>
      <c r="O347" s="280" t="s">
        <v>3707</v>
      </c>
      <c r="R347" s="282"/>
    </row>
    <row r="348" spans="1:18">
      <c r="A348" t="s">
        <v>968</v>
      </c>
      <c r="C348" t="s">
        <v>3739</v>
      </c>
      <c r="D348">
        <v>1.3748</v>
      </c>
      <c r="E348">
        <v>10.567399999999999</v>
      </c>
      <c r="F348">
        <v>0.22450000000000001</v>
      </c>
      <c r="G348" s="281">
        <f t="shared" si="41"/>
        <v>10.7919</v>
      </c>
      <c r="H348" s="281">
        <v>10.5876</v>
      </c>
      <c r="I348" s="281">
        <f t="shared" si="40"/>
        <v>0.20429999999999993</v>
      </c>
      <c r="J348" s="280">
        <f t="shared" si="42"/>
        <v>2.0200000000000079E-2</v>
      </c>
      <c r="K348" s="282">
        <f t="shared" si="43"/>
        <v>8.9977728285078307</v>
      </c>
      <c r="L348">
        <v>2</v>
      </c>
      <c r="M348" s="283">
        <v>43374</v>
      </c>
      <c r="N348" s="283">
        <v>43375</v>
      </c>
      <c r="O348" s="280" t="s">
        <v>3707</v>
      </c>
      <c r="R348" s="282"/>
    </row>
    <row r="349" spans="1:18">
      <c r="A349" t="s">
        <v>967</v>
      </c>
      <c r="C349" t="s">
        <v>3644</v>
      </c>
      <c r="D349">
        <v>1.8367</v>
      </c>
      <c r="E349">
        <v>10.702299999999999</v>
      </c>
      <c r="F349">
        <v>0.19900000000000001</v>
      </c>
      <c r="G349" s="281">
        <f t="shared" si="41"/>
        <v>10.901299999999999</v>
      </c>
      <c r="H349" s="281">
        <v>10.707800000000001</v>
      </c>
      <c r="I349" s="281">
        <f>(G349-H349)</f>
        <v>0.19349999999999845</v>
      </c>
      <c r="J349" s="280">
        <f t="shared" si="42"/>
        <v>5.5000000000015592E-3</v>
      </c>
      <c r="K349" s="282">
        <f t="shared" si="43"/>
        <v>2.7638190954781701</v>
      </c>
      <c r="L349">
        <v>4</v>
      </c>
      <c r="M349" s="16">
        <v>43358</v>
      </c>
      <c r="N349" s="16">
        <v>43358</v>
      </c>
      <c r="R349" s="282"/>
    </row>
    <row r="350" spans="1:18">
      <c r="A350" t="s">
        <v>966</v>
      </c>
      <c r="C350" t="s">
        <v>3443</v>
      </c>
      <c r="D350">
        <v>1.6423000000000001</v>
      </c>
      <c r="E350">
        <v>19.650099999999998</v>
      </c>
      <c r="F350">
        <v>0.21940000000000001</v>
      </c>
      <c r="G350" s="281">
        <f t="shared" si="41"/>
        <v>19.869499999999999</v>
      </c>
      <c r="H350" s="281">
        <v>19.6755</v>
      </c>
      <c r="I350" s="281">
        <f t="shared" ref="I350:I356" si="44">G350-H350</f>
        <v>0.19399999999999906</v>
      </c>
      <c r="J350" s="280">
        <f t="shared" si="42"/>
        <v>2.540000000000095E-2</v>
      </c>
      <c r="K350" s="282">
        <f t="shared" si="43"/>
        <v>11.577028258888308</v>
      </c>
      <c r="L350">
        <v>40</v>
      </c>
      <c r="M350" s="283">
        <v>43363</v>
      </c>
      <c r="N350" s="283">
        <v>43364</v>
      </c>
      <c r="O350" s="280" t="s">
        <v>3732</v>
      </c>
      <c r="R350" s="282"/>
    </row>
    <row r="351" spans="1:18">
      <c r="A351" t="s">
        <v>963</v>
      </c>
      <c r="B351">
        <v>219</v>
      </c>
      <c r="C351" t="s">
        <v>2490</v>
      </c>
      <c r="D351">
        <v>1.6102000000000001</v>
      </c>
      <c r="E351">
        <v>10.056800000000001</v>
      </c>
      <c r="F351">
        <v>0.20169999999999999</v>
      </c>
      <c r="G351" s="281">
        <f t="shared" si="41"/>
        <v>10.258500000000002</v>
      </c>
      <c r="H351" s="281">
        <v>10.0954</v>
      </c>
      <c r="I351" s="281">
        <f t="shared" si="44"/>
        <v>0.1631000000000018</v>
      </c>
      <c r="J351" s="280">
        <f t="shared" si="42"/>
        <v>3.8599999999998191E-2</v>
      </c>
      <c r="K351" s="282">
        <f t="shared" si="43"/>
        <v>19.137332672284675</v>
      </c>
      <c r="L351">
        <v>24</v>
      </c>
      <c r="M351">
        <v>23.101800000000001</v>
      </c>
      <c r="N351" s="16">
        <v>43397</v>
      </c>
      <c r="R351" s="282"/>
    </row>
    <row r="352" spans="1:18">
      <c r="A352" t="s">
        <v>962</v>
      </c>
      <c r="C352" t="s">
        <v>3441</v>
      </c>
      <c r="D352">
        <v>1.5268999999999999</v>
      </c>
      <c r="E352">
        <v>10.541600000000001</v>
      </c>
      <c r="F352">
        <v>0.2069</v>
      </c>
      <c r="G352" s="281">
        <f t="shared" si="41"/>
        <v>10.7485</v>
      </c>
      <c r="H352" s="281">
        <v>10.5534</v>
      </c>
      <c r="I352" s="281">
        <f t="shared" si="44"/>
        <v>0.19510000000000005</v>
      </c>
      <c r="J352" s="280">
        <f t="shared" si="42"/>
        <v>1.1799999999999949E-2</v>
      </c>
      <c r="K352" s="282">
        <f t="shared" si="43"/>
        <v>5.7032382793619867</v>
      </c>
      <c r="L352">
        <v>26</v>
      </c>
      <c r="M352" s="283">
        <v>43362</v>
      </c>
      <c r="N352" s="283">
        <v>43363</v>
      </c>
      <c r="R352" s="282"/>
    </row>
    <row r="353" spans="1:18">
      <c r="A353" t="s">
        <v>1123</v>
      </c>
      <c r="C353" t="s">
        <v>3454</v>
      </c>
      <c r="D353">
        <v>0.83740000000000003</v>
      </c>
      <c r="E353">
        <v>9.4870999999999999</v>
      </c>
      <c r="F353">
        <v>0.2258</v>
      </c>
      <c r="G353" s="281">
        <f t="shared" si="41"/>
        <v>9.7128999999999994</v>
      </c>
      <c r="H353" s="281">
        <v>9.6941000000000006</v>
      </c>
      <c r="I353" s="281">
        <f t="shared" si="44"/>
        <v>1.8799999999998818E-2</v>
      </c>
      <c r="J353" s="280">
        <f t="shared" si="42"/>
        <v>0.20700000000000118</v>
      </c>
      <c r="K353" s="282">
        <f t="shared" si="43"/>
        <v>91.674047829938516</v>
      </c>
      <c r="L353">
        <v>22</v>
      </c>
      <c r="M353" s="16">
        <v>43381</v>
      </c>
      <c r="N353" s="16">
        <v>43382</v>
      </c>
      <c r="R353" s="282"/>
    </row>
    <row r="354" spans="1:18">
      <c r="A354" t="s">
        <v>961</v>
      </c>
      <c r="C354" t="s">
        <v>3759</v>
      </c>
      <c r="D354">
        <v>1.3980999999999999</v>
      </c>
      <c r="E354">
        <v>7.907</v>
      </c>
      <c r="F354">
        <v>0.2135</v>
      </c>
      <c r="G354" s="281">
        <f t="shared" si="41"/>
        <v>8.1204999999999998</v>
      </c>
      <c r="H354" s="281">
        <v>7.9187000000000003</v>
      </c>
      <c r="I354" s="281">
        <f t="shared" si="44"/>
        <v>0.20179999999999954</v>
      </c>
      <c r="J354" s="280">
        <f t="shared" si="42"/>
        <v>1.170000000000046E-2</v>
      </c>
      <c r="K354" s="282">
        <f t="shared" si="43"/>
        <v>5.480093676815204</v>
      </c>
      <c r="L354">
        <v>26</v>
      </c>
      <c r="M354" s="16">
        <v>43395</v>
      </c>
      <c r="N354" s="16">
        <v>43396</v>
      </c>
      <c r="R354" s="282"/>
    </row>
    <row r="355" spans="1:18">
      <c r="A355" t="s">
        <v>957</v>
      </c>
      <c r="C355" t="s">
        <v>3412</v>
      </c>
      <c r="D355">
        <v>1.56</v>
      </c>
      <c r="E355">
        <v>10.155099999999999</v>
      </c>
      <c r="F355">
        <v>0.20760000000000001</v>
      </c>
      <c r="G355" s="281">
        <f t="shared" si="41"/>
        <v>10.362699999999998</v>
      </c>
      <c r="H355" s="281">
        <v>10.164300000000001</v>
      </c>
      <c r="I355" s="281">
        <f t="shared" si="44"/>
        <v>0.19839999999999769</v>
      </c>
      <c r="J355" s="280">
        <f t="shared" si="42"/>
        <v>9.2000000000023174E-3</v>
      </c>
      <c r="K355" s="282">
        <f t="shared" si="43"/>
        <v>4.4315992292882065</v>
      </c>
      <c r="L355">
        <v>18</v>
      </c>
      <c r="M355" s="16">
        <v>43388</v>
      </c>
      <c r="N355" s="283">
        <v>43389</v>
      </c>
      <c r="O355" s="16"/>
      <c r="R355" s="282"/>
    </row>
    <row r="356" spans="1:18">
      <c r="A356" t="s">
        <v>953</v>
      </c>
      <c r="C356" t="s">
        <v>3405</v>
      </c>
      <c r="D356">
        <v>1.5962000000000001</v>
      </c>
      <c r="E356">
        <v>9.1384000000000007</v>
      </c>
      <c r="F356">
        <v>0.20760000000000001</v>
      </c>
      <c r="G356" s="281">
        <f t="shared" si="41"/>
        <v>9.3460000000000001</v>
      </c>
      <c r="H356" s="281">
        <v>9.1475000000000009</v>
      </c>
      <c r="I356" s="281">
        <f t="shared" si="44"/>
        <v>0.19849999999999923</v>
      </c>
      <c r="J356" s="280">
        <f t="shared" si="42"/>
        <v>9.1000000000007741E-3</v>
      </c>
      <c r="K356" s="282">
        <f t="shared" si="43"/>
        <v>4.3834296724473862</v>
      </c>
      <c r="L356">
        <v>31</v>
      </c>
      <c r="M356">
        <v>23.101800000000001</v>
      </c>
      <c r="N356" s="16">
        <v>43397</v>
      </c>
      <c r="R356" s="282"/>
    </row>
    <row r="357" spans="1:18">
      <c r="A357" t="s">
        <v>950</v>
      </c>
      <c r="C357" t="s">
        <v>3638</v>
      </c>
      <c r="D357">
        <v>1.8129</v>
      </c>
      <c r="E357">
        <v>10.565799999999999</v>
      </c>
      <c r="F357">
        <v>0.2097</v>
      </c>
      <c r="G357" s="281">
        <f t="shared" si="41"/>
        <v>10.775499999999999</v>
      </c>
      <c r="H357" s="281">
        <v>10.569599999999999</v>
      </c>
      <c r="I357" s="281">
        <f>(G357-H357)</f>
        <v>0.20589999999999975</v>
      </c>
      <c r="J357" s="280">
        <f t="shared" si="42"/>
        <v>3.8000000000002476E-3</v>
      </c>
      <c r="K357" s="282">
        <f t="shared" si="43"/>
        <v>1.8121125417263937</v>
      </c>
      <c r="L357">
        <v>2</v>
      </c>
      <c r="M357" s="283">
        <v>43355.625</v>
      </c>
      <c r="N357" s="283">
        <v>43355.791666666664</v>
      </c>
      <c r="O357" s="280" t="s">
        <v>3637</v>
      </c>
      <c r="R357" s="282"/>
    </row>
    <row r="358" spans="1:18">
      <c r="A358" t="s">
        <v>949</v>
      </c>
      <c r="C358" t="s">
        <v>3705</v>
      </c>
      <c r="D358">
        <v>1.8529</v>
      </c>
      <c r="E358">
        <v>9.0221999999999998</v>
      </c>
      <c r="F358">
        <v>0.20530000000000001</v>
      </c>
      <c r="G358" s="285">
        <f t="shared" si="41"/>
        <v>9.2274999999999991</v>
      </c>
      <c r="H358" s="281">
        <v>9.0292999999999992</v>
      </c>
      <c r="I358" s="285">
        <f>G358-H358</f>
        <v>0.19819999999999993</v>
      </c>
      <c r="J358" s="280">
        <f t="shared" si="42"/>
        <v>7.1000000000000785E-3</v>
      </c>
      <c r="K358" s="282">
        <f t="shared" si="43"/>
        <v>3.4583536288358885</v>
      </c>
      <c r="L358">
        <v>13</v>
      </c>
      <c r="M358" s="283">
        <v>43379</v>
      </c>
      <c r="N358" s="283">
        <v>43379</v>
      </c>
      <c r="O358" s="280"/>
      <c r="R358" s="282"/>
    </row>
    <row r="359" spans="1:18">
      <c r="A359" t="s">
        <v>948</v>
      </c>
      <c r="C359" t="s">
        <v>3415</v>
      </c>
      <c r="D359">
        <v>1.6133</v>
      </c>
      <c r="E359">
        <v>10.923299999999999</v>
      </c>
      <c r="F359">
        <v>0.20630000000000001</v>
      </c>
      <c r="G359" s="281">
        <f t="shared" si="41"/>
        <v>11.1296</v>
      </c>
      <c r="H359" s="281">
        <v>10.9398</v>
      </c>
      <c r="I359" s="281">
        <f>G359-H359</f>
        <v>0.18979999999999997</v>
      </c>
      <c r="J359" s="280">
        <f t="shared" si="42"/>
        <v>1.6500000000000042E-2</v>
      </c>
      <c r="K359" s="282">
        <f t="shared" si="43"/>
        <v>7.9980610761027835</v>
      </c>
      <c r="L359">
        <v>12</v>
      </c>
      <c r="M359" s="16">
        <v>43388</v>
      </c>
      <c r="N359" s="283">
        <v>43389</v>
      </c>
      <c r="O359" s="283"/>
      <c r="P359" s="280"/>
      <c r="R359" s="282"/>
    </row>
    <row r="360" spans="1:18">
      <c r="A360" t="s">
        <v>946</v>
      </c>
      <c r="C360" t="s">
        <v>3399</v>
      </c>
      <c r="D360">
        <v>1.4694</v>
      </c>
      <c r="E360">
        <v>10.125500000000001</v>
      </c>
      <c r="F360">
        <v>0.21759999999999999</v>
      </c>
      <c r="G360" s="281">
        <f t="shared" si="41"/>
        <v>10.3431</v>
      </c>
      <c r="H360" s="281">
        <v>10.147500000000001</v>
      </c>
      <c r="I360" s="281">
        <f>G360-H360</f>
        <v>0.19559999999999889</v>
      </c>
      <c r="J360" s="280">
        <f t="shared" si="42"/>
        <v>2.2000000000001102E-2</v>
      </c>
      <c r="K360" s="282">
        <f t="shared" si="43"/>
        <v>10.110294117647566</v>
      </c>
      <c r="L360">
        <v>19</v>
      </c>
      <c r="M360">
        <v>23.101800000000001</v>
      </c>
      <c r="N360" s="16">
        <v>43397</v>
      </c>
      <c r="R360" s="282"/>
    </row>
    <row r="361" spans="1:18">
      <c r="A361" t="s">
        <v>944</v>
      </c>
      <c r="C361" t="s">
        <v>3675</v>
      </c>
      <c r="D361">
        <v>1.8783000000000001</v>
      </c>
      <c r="E361">
        <v>11.034800000000001</v>
      </c>
      <c r="F361">
        <v>0.21890000000000001</v>
      </c>
      <c r="G361" s="281">
        <f t="shared" si="41"/>
        <v>11.2537</v>
      </c>
      <c r="H361" s="281">
        <v>11.039</v>
      </c>
      <c r="I361" s="281">
        <f>(G361-H361)</f>
        <v>0.21470000000000056</v>
      </c>
      <c r="J361" s="280">
        <f t="shared" si="42"/>
        <v>4.1999999999994542E-3</v>
      </c>
      <c r="K361" s="282">
        <f t="shared" si="43"/>
        <v>1.9186843307443828</v>
      </c>
      <c r="L361">
        <v>23</v>
      </c>
      <c r="M361" s="283">
        <v>43360</v>
      </c>
      <c r="N361" s="283">
        <v>43361</v>
      </c>
      <c r="O361" s="280" t="s">
        <v>3684</v>
      </c>
      <c r="R361" s="282"/>
    </row>
    <row r="362" spans="1:18">
      <c r="A362" t="s">
        <v>943</v>
      </c>
      <c r="C362" t="s">
        <v>3399</v>
      </c>
      <c r="D362">
        <v>1.6357999999999999</v>
      </c>
      <c r="E362">
        <v>8.1191999999999993</v>
      </c>
      <c r="F362">
        <v>0.20300000000000001</v>
      </c>
      <c r="G362" s="281">
        <f t="shared" si="41"/>
        <v>8.3221999999999987</v>
      </c>
      <c r="H362" s="281">
        <v>8.1301000000000005</v>
      </c>
      <c r="I362" s="281">
        <f>G362-H362</f>
        <v>0.19209999999999816</v>
      </c>
      <c r="J362" s="280">
        <f t="shared" si="42"/>
        <v>1.0900000000001853E-2</v>
      </c>
      <c r="K362" s="282">
        <f t="shared" si="43"/>
        <v>5.3694581280797298</v>
      </c>
      <c r="L362">
        <v>29</v>
      </c>
      <c r="M362" s="16">
        <v>43399</v>
      </c>
      <c r="N362" s="16">
        <v>43400</v>
      </c>
      <c r="R362" s="282"/>
    </row>
    <row r="363" spans="1:18">
      <c r="A363" t="s">
        <v>940</v>
      </c>
      <c r="C363" t="s">
        <v>3669</v>
      </c>
      <c r="D363">
        <v>1.8588</v>
      </c>
      <c r="E363">
        <v>10.1242</v>
      </c>
      <c r="F363">
        <v>0.23860000000000001</v>
      </c>
      <c r="G363" s="281">
        <f t="shared" si="41"/>
        <v>10.3628</v>
      </c>
      <c r="H363" s="281">
        <v>10.132</v>
      </c>
      <c r="I363" s="281">
        <f>(G363-H363)</f>
        <v>0.23080000000000034</v>
      </c>
      <c r="J363" s="280">
        <f t="shared" si="42"/>
        <v>7.7999999999996683E-3</v>
      </c>
      <c r="K363" s="282">
        <f t="shared" si="43"/>
        <v>3.2690695725061474</v>
      </c>
      <c r="L363">
        <v>17</v>
      </c>
      <c r="M363" s="283">
        <v>43360</v>
      </c>
      <c r="N363" s="283">
        <v>43361</v>
      </c>
      <c r="R363" s="282"/>
    </row>
    <row r="364" spans="1:18">
      <c r="A364" t="s">
        <v>938</v>
      </c>
      <c r="C364" t="s">
        <v>3642</v>
      </c>
      <c r="D364">
        <v>1.8813</v>
      </c>
      <c r="E364">
        <v>8.0874000000000006</v>
      </c>
      <c r="F364">
        <v>0.20519999999999999</v>
      </c>
      <c r="G364" s="281">
        <f t="shared" si="41"/>
        <v>8.2926000000000002</v>
      </c>
      <c r="H364" s="281">
        <v>8.0943000000000005</v>
      </c>
      <c r="I364" s="281">
        <f>(G364-H364)</f>
        <v>0.1982999999999997</v>
      </c>
      <c r="J364" s="280">
        <f t="shared" si="42"/>
        <v>6.9000000000002948E-3</v>
      </c>
      <c r="K364" s="282">
        <f t="shared" si="43"/>
        <v>3.3625730994153482</v>
      </c>
      <c r="L364">
        <v>3</v>
      </c>
      <c r="M364" s="16">
        <v>43358</v>
      </c>
      <c r="N364" s="16">
        <v>43358</v>
      </c>
      <c r="R364" s="282"/>
    </row>
    <row r="365" spans="1:18">
      <c r="A365" t="s">
        <v>937</v>
      </c>
      <c r="C365" t="s">
        <v>3744</v>
      </c>
      <c r="D365">
        <v>1.7385999999999999</v>
      </c>
      <c r="E365">
        <v>10.5122</v>
      </c>
      <c r="F365">
        <v>0.2223</v>
      </c>
      <c r="G365">
        <f t="shared" si="41"/>
        <v>10.734500000000001</v>
      </c>
      <c r="H365">
        <v>10.5174</v>
      </c>
      <c r="I365" s="281">
        <f t="shared" ref="I365:I381" si="45">G365-H365</f>
        <v>0.21710000000000029</v>
      </c>
      <c r="J365" s="280">
        <f t="shared" si="42"/>
        <v>5.1999999999997049E-3</v>
      </c>
      <c r="K365" s="282">
        <f t="shared" si="43"/>
        <v>2.3391812865495751</v>
      </c>
      <c r="L365">
        <v>20</v>
      </c>
      <c r="M365" s="16">
        <v>43399</v>
      </c>
      <c r="N365" s="16">
        <v>43400</v>
      </c>
      <c r="R365" s="282"/>
    </row>
    <row r="366" spans="1:18">
      <c r="A366" t="s">
        <v>936</v>
      </c>
      <c r="B366">
        <v>200</v>
      </c>
      <c r="C366" t="s">
        <v>2490</v>
      </c>
      <c r="D366">
        <v>1.4829000000000001</v>
      </c>
      <c r="E366">
        <v>8.7036999999999995</v>
      </c>
      <c r="F366">
        <v>0.222</v>
      </c>
      <c r="G366">
        <f t="shared" si="41"/>
        <v>8.9256999999999991</v>
      </c>
      <c r="H366">
        <v>8.7087000000000003</v>
      </c>
      <c r="I366" s="281">
        <f t="shared" si="45"/>
        <v>0.21699999999999875</v>
      </c>
      <c r="J366" s="280">
        <f t="shared" si="42"/>
        <v>5.0000000000012534E-3</v>
      </c>
      <c r="K366" s="282">
        <f t="shared" si="43"/>
        <v>2.2522522522528168</v>
      </c>
      <c r="L366">
        <v>22</v>
      </c>
      <c r="M366" s="16">
        <v>43402</v>
      </c>
      <c r="N366" s="16">
        <v>43403</v>
      </c>
      <c r="R366" s="282"/>
    </row>
    <row r="367" spans="1:18">
      <c r="A367" t="s">
        <v>935</v>
      </c>
      <c r="C367" t="s">
        <v>3735</v>
      </c>
      <c r="D367">
        <v>1.7315</v>
      </c>
      <c r="E367">
        <v>8.8620999999999999</v>
      </c>
      <c r="F367">
        <v>0.20100000000000001</v>
      </c>
      <c r="G367" s="281">
        <f t="shared" si="41"/>
        <v>9.0631000000000004</v>
      </c>
      <c r="H367" s="281">
        <v>8.8704000000000001</v>
      </c>
      <c r="I367" s="281">
        <f t="shared" si="45"/>
        <v>0.19270000000000032</v>
      </c>
      <c r="J367" s="280">
        <f t="shared" si="42"/>
        <v>8.2999999999996965E-3</v>
      </c>
      <c r="K367" s="282">
        <f t="shared" si="43"/>
        <v>4.1293532338306944</v>
      </c>
      <c r="L367">
        <v>36</v>
      </c>
      <c r="M367" s="283">
        <v>43374</v>
      </c>
      <c r="N367" s="283">
        <v>43375</v>
      </c>
      <c r="O367" s="280" t="s">
        <v>3707</v>
      </c>
      <c r="R367" s="282"/>
    </row>
    <row r="368" spans="1:18">
      <c r="A368" t="s">
        <v>934</v>
      </c>
      <c r="C368" t="s">
        <v>3406</v>
      </c>
      <c r="D368">
        <v>1.4986999999999999</v>
      </c>
      <c r="E368">
        <v>9.2368000000000006</v>
      </c>
      <c r="F368">
        <v>0.22650000000000001</v>
      </c>
      <c r="G368" s="281">
        <f t="shared" si="41"/>
        <v>9.4633000000000003</v>
      </c>
      <c r="H368" s="281">
        <v>9.2510999999999992</v>
      </c>
      <c r="I368" s="281">
        <f t="shared" si="45"/>
        <v>0.21220000000000105</v>
      </c>
      <c r="J368" s="280">
        <f t="shared" si="42"/>
        <v>1.4299999999998952E-2</v>
      </c>
      <c r="K368" s="282">
        <f t="shared" si="43"/>
        <v>6.3134657836639967</v>
      </c>
      <c r="L368">
        <v>3</v>
      </c>
      <c r="M368" s="16">
        <v>43399</v>
      </c>
      <c r="N368" s="16">
        <v>43400</v>
      </c>
      <c r="R368" s="282"/>
    </row>
    <row r="369" spans="1:19">
      <c r="A369" t="s">
        <v>933</v>
      </c>
      <c r="C369" t="s">
        <v>3444</v>
      </c>
      <c r="D369">
        <v>1.6383000000000001</v>
      </c>
      <c r="E369">
        <v>7.7756999999999996</v>
      </c>
      <c r="F369">
        <v>0.21229999999999999</v>
      </c>
      <c r="G369">
        <f t="shared" si="41"/>
        <v>7.9879999999999995</v>
      </c>
      <c r="H369">
        <v>7.7870999999999997</v>
      </c>
      <c r="I369" s="281">
        <f t="shared" si="45"/>
        <v>0.20089999999999986</v>
      </c>
      <c r="J369" s="280">
        <f t="shared" si="42"/>
        <v>1.1400000000000132E-2</v>
      </c>
      <c r="K369" s="282">
        <f t="shared" si="43"/>
        <v>5.3697597739049137</v>
      </c>
      <c r="L369">
        <v>15</v>
      </c>
      <c r="M369" s="16">
        <v>43399</v>
      </c>
      <c r="N369" s="16">
        <v>43400</v>
      </c>
      <c r="R369" s="282"/>
    </row>
    <row r="370" spans="1:19">
      <c r="A370" t="s">
        <v>931</v>
      </c>
      <c r="C370" t="s">
        <v>3716</v>
      </c>
      <c r="D370">
        <v>1.8501000000000001</v>
      </c>
      <c r="E370">
        <v>10.0565</v>
      </c>
      <c r="F370">
        <v>0.21099999999999999</v>
      </c>
      <c r="G370" s="281">
        <f t="shared" si="41"/>
        <v>10.2675</v>
      </c>
      <c r="H370" s="281">
        <v>10.062900000000001</v>
      </c>
      <c r="I370" s="281">
        <f t="shared" si="45"/>
        <v>0.20459999999999923</v>
      </c>
      <c r="J370" s="280">
        <f t="shared" si="42"/>
        <v>6.4000000000007662E-3</v>
      </c>
      <c r="K370" s="282">
        <f t="shared" si="43"/>
        <v>3.0331753554506005</v>
      </c>
      <c r="L370">
        <v>23</v>
      </c>
      <c r="M370" s="283">
        <v>43363</v>
      </c>
      <c r="N370" s="283">
        <v>43364</v>
      </c>
      <c r="R370" s="282"/>
    </row>
    <row r="371" spans="1:19">
      <c r="A371" t="s">
        <v>930</v>
      </c>
      <c r="C371" t="s">
        <v>3418</v>
      </c>
      <c r="D371">
        <v>1.5892999999999999</v>
      </c>
      <c r="E371">
        <v>8.7698999999999998</v>
      </c>
      <c r="F371">
        <v>0.20200000000000001</v>
      </c>
      <c r="G371" s="285">
        <f t="shared" si="41"/>
        <v>8.9718999999999998</v>
      </c>
      <c r="H371" s="281">
        <v>8.7827999999999999</v>
      </c>
      <c r="I371" s="285">
        <f t="shared" si="45"/>
        <v>0.18909999999999982</v>
      </c>
      <c r="J371" s="280">
        <f t="shared" si="42"/>
        <v>1.2900000000000189E-2</v>
      </c>
      <c r="K371" s="282">
        <f t="shared" si="43"/>
        <v>6.3861386138614789</v>
      </c>
      <c r="L371">
        <v>40</v>
      </c>
      <c r="M371" s="283">
        <v>43379</v>
      </c>
      <c r="N371" s="283">
        <v>43379</v>
      </c>
      <c r="R371" s="282"/>
    </row>
    <row r="372" spans="1:19">
      <c r="A372" t="s">
        <v>929</v>
      </c>
      <c r="C372" t="s">
        <v>3662</v>
      </c>
      <c r="D372">
        <v>1.7116</v>
      </c>
      <c r="E372">
        <v>19.6935</v>
      </c>
      <c r="F372">
        <v>0.20979999999999999</v>
      </c>
      <c r="G372" s="281">
        <f t="shared" si="41"/>
        <v>19.903300000000002</v>
      </c>
      <c r="H372" s="281">
        <v>19.708400000000001</v>
      </c>
      <c r="I372" s="281">
        <f t="shared" si="45"/>
        <v>0.19490000000000052</v>
      </c>
      <c r="J372" s="280">
        <f t="shared" si="42"/>
        <v>1.4899999999999469E-2</v>
      </c>
      <c r="K372" s="282">
        <f t="shared" si="43"/>
        <v>7.1020019065774402</v>
      </c>
      <c r="L372">
        <v>25</v>
      </c>
      <c r="M372" s="283">
        <v>43361</v>
      </c>
      <c r="N372" s="283">
        <v>43362</v>
      </c>
      <c r="O372" s="280" t="s">
        <v>3707</v>
      </c>
      <c r="R372" s="282"/>
    </row>
    <row r="373" spans="1:19">
      <c r="A373" t="s">
        <v>928</v>
      </c>
      <c r="C373" t="s">
        <v>3725</v>
      </c>
      <c r="D373">
        <v>1.5960000000000001</v>
      </c>
      <c r="E373">
        <v>10.9232</v>
      </c>
      <c r="F373">
        <v>0.23569999999999999</v>
      </c>
      <c r="G373" s="281">
        <f t="shared" si="41"/>
        <v>11.158899999999999</v>
      </c>
      <c r="H373" s="281">
        <v>10.928699999999999</v>
      </c>
      <c r="I373" s="281">
        <f t="shared" si="45"/>
        <v>0.23019999999999996</v>
      </c>
      <c r="J373" s="280">
        <f t="shared" si="42"/>
        <v>5.5000000000000326E-3</v>
      </c>
      <c r="K373" s="282">
        <f t="shared" si="43"/>
        <v>2.3334747560458351</v>
      </c>
      <c r="L373">
        <v>11</v>
      </c>
      <c r="M373" s="283">
        <v>43363</v>
      </c>
      <c r="N373" s="283">
        <v>43364</v>
      </c>
      <c r="O373" s="280" t="s">
        <v>3732</v>
      </c>
      <c r="R373" s="282"/>
    </row>
    <row r="374" spans="1:19">
      <c r="A374" t="s">
        <v>927</v>
      </c>
      <c r="D374">
        <v>1.5364</v>
      </c>
      <c r="E374">
        <v>11.1227</v>
      </c>
      <c r="F374">
        <v>0.21160000000000001</v>
      </c>
      <c r="G374">
        <f t="shared" si="41"/>
        <v>11.334300000000001</v>
      </c>
      <c r="H374">
        <v>11.1427</v>
      </c>
      <c r="I374" s="281">
        <f t="shared" si="45"/>
        <v>0.1916000000000011</v>
      </c>
      <c r="J374" s="280">
        <f t="shared" si="42"/>
        <v>1.9999999999998908E-2</v>
      </c>
      <c r="K374" s="282">
        <f t="shared" si="43"/>
        <v>9.4517958412093144</v>
      </c>
      <c r="L374">
        <v>21</v>
      </c>
      <c r="M374" s="16">
        <v>43399</v>
      </c>
      <c r="N374" s="16">
        <v>43400</v>
      </c>
      <c r="R374" s="282"/>
    </row>
    <row r="375" spans="1:19">
      <c r="A375" t="s">
        <v>920</v>
      </c>
      <c r="C375" t="s">
        <v>3693</v>
      </c>
      <c r="D375">
        <v>1.7484999999999999</v>
      </c>
      <c r="E375">
        <v>11.004799999999999</v>
      </c>
      <c r="F375">
        <v>0.22520000000000001</v>
      </c>
      <c r="G375" s="281">
        <f t="shared" si="41"/>
        <v>11.229999999999999</v>
      </c>
      <c r="H375" s="281">
        <v>11.0107</v>
      </c>
      <c r="I375" s="281">
        <f t="shared" si="45"/>
        <v>0.21929999999999872</v>
      </c>
      <c r="J375" s="280">
        <f t="shared" si="42"/>
        <v>5.9000000000012931E-3</v>
      </c>
      <c r="K375" s="282">
        <f t="shared" si="43"/>
        <v>2.6198934280645174</v>
      </c>
      <c r="L375">
        <v>19</v>
      </c>
      <c r="M375" s="16">
        <v>43381</v>
      </c>
      <c r="N375" s="16">
        <v>43382</v>
      </c>
      <c r="R375" s="282"/>
    </row>
    <row r="376" spans="1:19">
      <c r="A376" t="s">
        <v>918</v>
      </c>
      <c r="C376" t="s">
        <v>3403</v>
      </c>
      <c r="D376">
        <v>1.5963000000000001</v>
      </c>
      <c r="E376">
        <v>9.6798999999999999</v>
      </c>
      <c r="F376">
        <v>0.22339999999999999</v>
      </c>
      <c r="G376" s="281">
        <f t="shared" si="41"/>
        <v>9.9032999999999998</v>
      </c>
      <c r="H376" s="281">
        <v>9.6958000000000002</v>
      </c>
      <c r="I376" s="281">
        <f t="shared" si="45"/>
        <v>0.20749999999999957</v>
      </c>
      <c r="J376" s="280">
        <f t="shared" si="42"/>
        <v>1.5900000000000414E-2</v>
      </c>
      <c r="K376" s="282">
        <f t="shared" si="43"/>
        <v>7.1172784243511256</v>
      </c>
      <c r="L376">
        <v>36</v>
      </c>
      <c r="M376" s="16">
        <v>43399</v>
      </c>
      <c r="N376" s="16">
        <v>43400</v>
      </c>
      <c r="R376" s="282"/>
    </row>
    <row r="377" spans="1:19">
      <c r="A377" t="s">
        <v>917</v>
      </c>
      <c r="B377" t="s">
        <v>3755</v>
      </c>
      <c r="C377" t="s">
        <v>2490</v>
      </c>
      <c r="D377" s="280">
        <v>1.6161000000000001</v>
      </c>
      <c r="E377" s="281">
        <v>9.7223000000000006</v>
      </c>
      <c r="F377" s="281">
        <v>0.21859999999999999</v>
      </c>
      <c r="G377" s="281">
        <f t="shared" si="41"/>
        <v>9.940900000000001</v>
      </c>
      <c r="H377" s="281">
        <v>9.7468000000000004</v>
      </c>
      <c r="I377" s="281">
        <f t="shared" si="45"/>
        <v>0.19410000000000061</v>
      </c>
      <c r="J377" s="280">
        <f t="shared" si="42"/>
        <v>2.4499999999999383E-2</v>
      </c>
      <c r="K377" s="282">
        <f t="shared" si="43"/>
        <v>11.207685269899079</v>
      </c>
      <c r="L377" s="280">
        <v>1</v>
      </c>
      <c r="M377" s="16">
        <v>43388</v>
      </c>
      <c r="N377" s="283">
        <v>43389</v>
      </c>
      <c r="O377" s="283"/>
      <c r="P377" s="280"/>
      <c r="R377" s="282"/>
      <c r="S377" s="280"/>
    </row>
    <row r="378" spans="1:19">
      <c r="A378" t="s">
        <v>916</v>
      </c>
      <c r="C378" t="s">
        <v>3747</v>
      </c>
      <c r="D378">
        <v>1.7956000000000001</v>
      </c>
      <c r="E378">
        <v>10.6366</v>
      </c>
      <c r="F378">
        <v>0.20860000000000001</v>
      </c>
      <c r="G378" s="285">
        <f t="shared" si="41"/>
        <v>10.8452</v>
      </c>
      <c r="H378" s="281">
        <v>10.6418</v>
      </c>
      <c r="I378" s="285">
        <f t="shared" si="45"/>
        <v>0.20340000000000025</v>
      </c>
      <c r="J378" s="280">
        <f t="shared" si="42"/>
        <v>5.1999999999997604E-3</v>
      </c>
      <c r="K378" s="282">
        <f t="shared" si="43"/>
        <v>2.4928092042184851</v>
      </c>
      <c r="L378">
        <v>12</v>
      </c>
      <c r="M378" s="283">
        <v>43379</v>
      </c>
      <c r="N378" s="283">
        <v>43379</v>
      </c>
      <c r="O378" s="280"/>
      <c r="R378" s="282"/>
    </row>
    <row r="379" spans="1:19">
      <c r="A379" t="s">
        <v>914</v>
      </c>
      <c r="C379" t="s">
        <v>3665</v>
      </c>
      <c r="D379">
        <v>1.8835</v>
      </c>
      <c r="E379">
        <v>9.9179999999999993</v>
      </c>
      <c r="F379">
        <v>0.20799999999999999</v>
      </c>
      <c r="G379" s="281">
        <f t="shared" si="41"/>
        <v>10.125999999999999</v>
      </c>
      <c r="H379" s="281">
        <v>9.9258000000000006</v>
      </c>
      <c r="I379" s="281">
        <f t="shared" si="45"/>
        <v>0.20019999999999882</v>
      </c>
      <c r="J379" s="280">
        <f t="shared" si="42"/>
        <v>7.8000000000011671E-3</v>
      </c>
      <c r="K379" s="282">
        <f t="shared" si="43"/>
        <v>3.7500000000005613</v>
      </c>
      <c r="L379">
        <v>25</v>
      </c>
      <c r="M379" s="16">
        <v>43381</v>
      </c>
      <c r="N379" s="16">
        <v>43382</v>
      </c>
      <c r="R379" s="282"/>
    </row>
    <row r="380" spans="1:19">
      <c r="A380" t="s">
        <v>912</v>
      </c>
      <c r="C380" t="s">
        <v>3697</v>
      </c>
      <c r="D380">
        <v>1.4528000000000001</v>
      </c>
      <c r="E380">
        <v>8.0660000000000007</v>
      </c>
      <c r="F380">
        <v>0.22459999999999999</v>
      </c>
      <c r="G380" s="281">
        <f t="shared" si="41"/>
        <v>8.2906000000000013</v>
      </c>
      <c r="H380" s="281">
        <v>8.0808999999999997</v>
      </c>
      <c r="I380" s="281">
        <f t="shared" si="45"/>
        <v>0.20970000000000155</v>
      </c>
      <c r="J380" s="280">
        <f t="shared" si="42"/>
        <v>1.4899999999998442E-2</v>
      </c>
      <c r="K380" s="282">
        <f t="shared" si="43"/>
        <v>6.6340160284944094</v>
      </c>
      <c r="L380">
        <v>17</v>
      </c>
      <c r="M380" s="16">
        <v>43381</v>
      </c>
      <c r="N380" s="16">
        <v>43382</v>
      </c>
      <c r="R380" s="282"/>
    </row>
    <row r="381" spans="1:19">
      <c r="A381" t="s">
        <v>911</v>
      </c>
      <c r="C381" t="s">
        <v>3729</v>
      </c>
      <c r="D381">
        <v>1.9054</v>
      </c>
      <c r="E381">
        <v>9.6798000000000002</v>
      </c>
      <c r="F381">
        <v>0.20649999999999999</v>
      </c>
      <c r="G381" s="281">
        <f t="shared" si="41"/>
        <v>9.8863000000000003</v>
      </c>
      <c r="H381" s="281">
        <v>9.6860999999999997</v>
      </c>
      <c r="I381" s="281">
        <f t="shared" si="45"/>
        <v>0.2002000000000006</v>
      </c>
      <c r="J381" s="280">
        <f t="shared" si="42"/>
        <v>6.2999999999993894E-3</v>
      </c>
      <c r="K381" s="282">
        <f t="shared" si="43"/>
        <v>3.0508474576268232</v>
      </c>
      <c r="L381">
        <v>30</v>
      </c>
      <c r="M381" s="283">
        <v>43362</v>
      </c>
      <c r="N381" s="283">
        <v>43363</v>
      </c>
      <c r="R381" s="282"/>
    </row>
    <row r="382" spans="1:19">
      <c r="A382" t="s">
        <v>910</v>
      </c>
      <c r="C382" t="s">
        <v>3636</v>
      </c>
      <c r="D382">
        <v>1.7262999999999999</v>
      </c>
      <c r="E382">
        <v>10.0556</v>
      </c>
      <c r="F382">
        <v>0.1983</v>
      </c>
      <c r="G382" s="281">
        <f t="shared" si="41"/>
        <v>10.2539</v>
      </c>
      <c r="H382" s="281">
        <v>10.0604</v>
      </c>
      <c r="I382" s="281">
        <f>(G382-H382)</f>
        <v>0.19350000000000023</v>
      </c>
      <c r="J382" s="280">
        <f t="shared" si="42"/>
        <v>4.7999999999997767E-3</v>
      </c>
      <c r="K382" s="282">
        <f t="shared" si="43"/>
        <v>2.4205748865354395</v>
      </c>
      <c r="L382">
        <v>12</v>
      </c>
      <c r="M382" s="283">
        <v>43355.625</v>
      </c>
      <c r="N382" s="283">
        <v>43355.791666666664</v>
      </c>
      <c r="O382" s="280" t="s">
        <v>3637</v>
      </c>
      <c r="R382" s="282"/>
    </row>
    <row r="383" spans="1:19">
      <c r="A383" t="s">
        <v>908</v>
      </c>
      <c r="C383" t="s">
        <v>3645</v>
      </c>
      <c r="D383">
        <v>1.7914000000000001</v>
      </c>
      <c r="E383">
        <v>8.2190999999999992</v>
      </c>
      <c r="F383">
        <v>0.1988</v>
      </c>
      <c r="G383" s="281">
        <f t="shared" si="41"/>
        <v>8.4178999999999995</v>
      </c>
      <c r="H383" s="281">
        <v>8.2235999999999994</v>
      </c>
      <c r="I383" s="281">
        <f>(G383-H383)</f>
        <v>0.19430000000000014</v>
      </c>
      <c r="J383" s="280">
        <f t="shared" si="42"/>
        <v>4.4999999999998652E-3</v>
      </c>
      <c r="K383" s="282">
        <f t="shared" si="43"/>
        <v>2.2635814889335339</v>
      </c>
      <c r="L383">
        <v>14</v>
      </c>
      <c r="M383" s="283">
        <v>43355.625</v>
      </c>
      <c r="N383" s="283">
        <v>43355.791666666664</v>
      </c>
      <c r="O383" s="280" t="s">
        <v>3637</v>
      </c>
      <c r="R383" s="282"/>
    </row>
    <row r="384" spans="1:19">
      <c r="A384" t="s">
        <v>905</v>
      </c>
      <c r="B384">
        <v>199</v>
      </c>
      <c r="C384" t="s">
        <v>2490</v>
      </c>
      <c r="D384">
        <v>1.4412</v>
      </c>
      <c r="E384">
        <v>11.088699999999999</v>
      </c>
      <c r="F384">
        <v>0.21110000000000001</v>
      </c>
      <c r="G384" s="281">
        <f t="shared" si="41"/>
        <v>11.299799999999999</v>
      </c>
      <c r="H384" s="281">
        <v>11.094099999999999</v>
      </c>
      <c r="I384" s="281">
        <f>G384-H384</f>
        <v>0.20570000000000022</v>
      </c>
      <c r="J384" s="280">
        <f t="shared" si="42"/>
        <v>5.3999999999997939E-3</v>
      </c>
      <c r="K384" s="282">
        <f t="shared" si="43"/>
        <v>2.5580293699667425</v>
      </c>
      <c r="L384">
        <v>20</v>
      </c>
      <c r="M384">
        <v>23.101800000000001</v>
      </c>
      <c r="N384" s="16">
        <v>43397</v>
      </c>
      <c r="R384" s="282"/>
    </row>
    <row r="385" spans="1:18">
      <c r="A385" t="s">
        <v>904</v>
      </c>
      <c r="C385" t="s">
        <v>3643</v>
      </c>
      <c r="D385">
        <v>1.8137000000000001</v>
      </c>
      <c r="E385">
        <v>8.7332999999999998</v>
      </c>
      <c r="F385">
        <v>0.20749999999999999</v>
      </c>
      <c r="G385" s="281">
        <f t="shared" si="41"/>
        <v>8.9407999999999994</v>
      </c>
      <c r="H385" s="281">
        <v>8.7379999999999995</v>
      </c>
      <c r="I385" s="281">
        <f>(G385-H385)</f>
        <v>0.20279999999999987</v>
      </c>
      <c r="J385" s="280">
        <f t="shared" si="42"/>
        <v>4.7000000000001207E-3</v>
      </c>
      <c r="K385" s="282">
        <f t="shared" si="43"/>
        <v>2.2650602409639138</v>
      </c>
      <c r="L385">
        <v>10</v>
      </c>
      <c r="M385" s="283">
        <v>43355.625</v>
      </c>
      <c r="N385" s="283">
        <v>43355.791666666664</v>
      </c>
      <c r="O385" s="280" t="s">
        <v>3637</v>
      </c>
      <c r="R385" s="282"/>
    </row>
    <row r="386" spans="1:18">
      <c r="A386" t="s">
        <v>903</v>
      </c>
      <c r="C386" t="s">
        <v>3470</v>
      </c>
      <c r="D386">
        <v>1.6285000000000001</v>
      </c>
      <c r="E386">
        <v>10.698499999999999</v>
      </c>
      <c r="F386">
        <v>0.2147</v>
      </c>
      <c r="G386" s="281">
        <f t="shared" si="41"/>
        <v>10.9132</v>
      </c>
      <c r="H386" s="281">
        <v>10.709</v>
      </c>
      <c r="I386" s="281">
        <f t="shared" ref="I386:I392" si="46">G386-H386</f>
        <v>0.20420000000000016</v>
      </c>
      <c r="J386" s="280">
        <f t="shared" si="42"/>
        <v>1.0499999999999843E-2</v>
      </c>
      <c r="K386" s="282">
        <f t="shared" si="43"/>
        <v>4.8905449464368154</v>
      </c>
      <c r="L386">
        <v>5</v>
      </c>
      <c r="M386" s="283">
        <v>43363</v>
      </c>
      <c r="N386" s="283">
        <v>43364</v>
      </c>
      <c r="O386" s="280"/>
      <c r="R386" s="282"/>
    </row>
    <row r="387" spans="1:18">
      <c r="A387" t="s">
        <v>902</v>
      </c>
      <c r="C387" t="s">
        <v>3751</v>
      </c>
      <c r="D387">
        <v>1.6991000000000001</v>
      </c>
      <c r="E387">
        <v>7.9073000000000002</v>
      </c>
      <c r="F387">
        <v>0.2155</v>
      </c>
      <c r="G387" s="281">
        <f t="shared" si="41"/>
        <v>8.1227999999999998</v>
      </c>
      <c r="H387" s="281">
        <v>7.9135999999999997</v>
      </c>
      <c r="I387" s="281">
        <f t="shared" si="46"/>
        <v>0.20920000000000005</v>
      </c>
      <c r="J387" s="280">
        <f t="shared" si="42"/>
        <v>6.2999999999999445E-3</v>
      </c>
      <c r="K387" s="282">
        <f t="shared" si="43"/>
        <v>2.9234338747099509</v>
      </c>
      <c r="L387">
        <v>8</v>
      </c>
      <c r="M387" s="16">
        <v>43381</v>
      </c>
      <c r="N387" s="16">
        <v>43382</v>
      </c>
      <c r="R387" s="282"/>
    </row>
    <row r="388" spans="1:18">
      <c r="A388" t="s">
        <v>901</v>
      </c>
      <c r="C388" t="s">
        <v>3394</v>
      </c>
      <c r="D388">
        <v>1.5666</v>
      </c>
      <c r="E388">
        <v>8.1202000000000005</v>
      </c>
      <c r="F388">
        <v>0.20530000000000001</v>
      </c>
      <c r="G388" s="281">
        <f t="shared" si="41"/>
        <v>8.3254999999999999</v>
      </c>
      <c r="H388" s="281">
        <v>8.1329999999999991</v>
      </c>
      <c r="I388" s="281">
        <f t="shared" si="46"/>
        <v>0.19250000000000078</v>
      </c>
      <c r="J388" s="280">
        <f t="shared" si="42"/>
        <v>1.2799999999999229E-2</v>
      </c>
      <c r="K388" s="282">
        <f t="shared" si="43"/>
        <v>6.2347783731121424</v>
      </c>
      <c r="L388">
        <v>37</v>
      </c>
      <c r="M388" s="283">
        <v>43363</v>
      </c>
      <c r="N388" s="283">
        <v>43364</v>
      </c>
      <c r="O388" s="280" t="s">
        <v>3732</v>
      </c>
      <c r="R388" s="282"/>
    </row>
    <row r="389" spans="1:18">
      <c r="A389" t="s">
        <v>899</v>
      </c>
      <c r="C389" t="s">
        <v>3658</v>
      </c>
      <c r="D389">
        <v>1.7774000000000001</v>
      </c>
      <c r="E389">
        <v>9.032</v>
      </c>
      <c r="F389">
        <v>0.21099999999999999</v>
      </c>
      <c r="G389" s="281">
        <f t="shared" si="41"/>
        <v>9.2430000000000003</v>
      </c>
      <c r="H389" s="281">
        <v>9.0398999999999994</v>
      </c>
      <c r="I389" s="281">
        <f t="shared" si="46"/>
        <v>0.20310000000000095</v>
      </c>
      <c r="J389" s="280">
        <f t="shared" si="42"/>
        <v>7.8999999999990467E-3</v>
      </c>
      <c r="K389" s="282">
        <f t="shared" si="43"/>
        <v>3.7440758293834344</v>
      </c>
      <c r="L389">
        <v>4</v>
      </c>
      <c r="M389" s="283">
        <v>43361</v>
      </c>
      <c r="N389" s="283">
        <v>43362</v>
      </c>
      <c r="O389" s="280" t="s">
        <v>3707</v>
      </c>
      <c r="R389" s="282"/>
    </row>
    <row r="390" spans="1:18">
      <c r="A390" t="s">
        <v>898</v>
      </c>
      <c r="C390" t="s">
        <v>3468</v>
      </c>
      <c r="D390">
        <v>1.7736000000000001</v>
      </c>
      <c r="E390">
        <v>8.1334</v>
      </c>
      <c r="F390">
        <v>0.2112</v>
      </c>
      <c r="G390" s="281">
        <f t="shared" si="41"/>
        <v>8.3445999999999998</v>
      </c>
      <c r="H390" s="281">
        <v>8.1402999999999999</v>
      </c>
      <c r="I390" s="281">
        <f t="shared" si="46"/>
        <v>0.20429999999999993</v>
      </c>
      <c r="J390" s="280">
        <f t="shared" si="42"/>
        <v>6.9000000000000727E-3</v>
      </c>
      <c r="K390" s="282">
        <f t="shared" si="43"/>
        <v>3.2670454545454892</v>
      </c>
      <c r="L390">
        <v>33</v>
      </c>
      <c r="M390" s="283">
        <v>43363</v>
      </c>
      <c r="N390" s="283">
        <v>43364</v>
      </c>
      <c r="O390" s="280" t="s">
        <v>3732</v>
      </c>
      <c r="R390" s="282"/>
    </row>
    <row r="391" spans="1:18">
      <c r="A391" t="s">
        <v>896</v>
      </c>
      <c r="C391" t="s">
        <v>3737</v>
      </c>
      <c r="D391">
        <v>1.6872</v>
      </c>
      <c r="E391">
        <v>8.1362000000000005</v>
      </c>
      <c r="F391">
        <v>0.21959999999999999</v>
      </c>
      <c r="G391" s="281">
        <f t="shared" si="41"/>
        <v>8.3558000000000003</v>
      </c>
      <c r="H391" s="281">
        <v>8.1433999999999997</v>
      </c>
      <c r="I391" s="281">
        <f t="shared" si="46"/>
        <v>0.21240000000000059</v>
      </c>
      <c r="J391" s="280">
        <f t="shared" si="42"/>
        <v>7.1999999999994013E-3</v>
      </c>
      <c r="K391" s="282">
        <f t="shared" si="43"/>
        <v>3.2786885245898914</v>
      </c>
      <c r="L391">
        <v>33</v>
      </c>
      <c r="M391" s="283">
        <v>43363</v>
      </c>
      <c r="N391" s="283">
        <v>43364</v>
      </c>
      <c r="R391" s="282"/>
    </row>
    <row r="392" spans="1:18">
      <c r="A392" t="s">
        <v>895</v>
      </c>
      <c r="B392">
        <v>219</v>
      </c>
      <c r="C392" t="s">
        <v>2490</v>
      </c>
      <c r="D392">
        <v>1.4515</v>
      </c>
      <c r="E392">
        <v>11.865</v>
      </c>
      <c r="F392">
        <v>0.20930000000000001</v>
      </c>
      <c r="G392" s="281">
        <f t="shared" si="41"/>
        <v>12.074300000000001</v>
      </c>
      <c r="H392" s="281">
        <v>11.880800000000001</v>
      </c>
      <c r="I392" s="281">
        <f t="shared" si="46"/>
        <v>0.19350000000000023</v>
      </c>
      <c r="J392" s="280">
        <f t="shared" si="42"/>
        <v>1.5799999999999786E-2</v>
      </c>
      <c r="K392" s="282">
        <f t="shared" si="43"/>
        <v>7.5489727663639679</v>
      </c>
      <c r="L392">
        <v>22</v>
      </c>
      <c r="M392">
        <v>23.101800000000001</v>
      </c>
      <c r="N392" s="16">
        <v>43397</v>
      </c>
      <c r="R392" s="282"/>
    </row>
    <row r="393" spans="1:18">
      <c r="A393" t="s">
        <v>894</v>
      </c>
      <c r="C393" t="s">
        <v>3694</v>
      </c>
      <c r="D393">
        <v>1.5174000000000001</v>
      </c>
      <c r="E393">
        <v>7.9615</v>
      </c>
      <c r="F393">
        <v>0.22570000000000001</v>
      </c>
      <c r="G393" s="281">
        <f t="shared" si="41"/>
        <v>8.1872000000000007</v>
      </c>
      <c r="H393" s="281">
        <v>7.9802</v>
      </c>
      <c r="I393" s="281">
        <f>(G393-H393)</f>
        <v>0.20700000000000074</v>
      </c>
      <c r="J393" s="280">
        <f t="shared" si="42"/>
        <v>1.8699999999999273E-2</v>
      </c>
      <c r="K393" s="282">
        <f t="shared" si="43"/>
        <v>8.2853345148423898</v>
      </c>
      <c r="L393">
        <v>19</v>
      </c>
      <c r="M393" s="283">
        <v>43360</v>
      </c>
      <c r="N393" s="283">
        <v>43361</v>
      </c>
      <c r="O393" s="280" t="s">
        <v>3684</v>
      </c>
      <c r="R393" s="282"/>
    </row>
    <row r="394" spans="1:18">
      <c r="A394" t="s">
        <v>892</v>
      </c>
      <c r="B394">
        <v>211</v>
      </c>
      <c r="C394" t="s">
        <v>2490</v>
      </c>
      <c r="D394">
        <v>0.36570000000000003</v>
      </c>
      <c r="E394">
        <v>10.1096</v>
      </c>
      <c r="F394">
        <v>0.20730000000000001</v>
      </c>
      <c r="G394" s="281">
        <f t="shared" si="41"/>
        <v>10.3169</v>
      </c>
      <c r="H394" s="281">
        <v>10.182700000000001</v>
      </c>
      <c r="I394" s="281">
        <f t="shared" ref="I394:I403" si="47">G394-H394</f>
        <v>0.13419999999999987</v>
      </c>
      <c r="J394" s="280">
        <f t="shared" si="42"/>
        <v>7.3100000000000137E-2</v>
      </c>
      <c r="K394" s="282">
        <f t="shared" si="43"/>
        <v>35.262904003859205</v>
      </c>
      <c r="L394">
        <v>16</v>
      </c>
      <c r="M394">
        <v>23.101800000000001</v>
      </c>
      <c r="N394" s="16">
        <v>43397</v>
      </c>
      <c r="P394" t="s">
        <v>3763</v>
      </c>
      <c r="R394" s="282"/>
    </row>
    <row r="395" spans="1:18">
      <c r="A395" t="s">
        <v>887</v>
      </c>
      <c r="B395">
        <v>204</v>
      </c>
      <c r="C395" t="s">
        <v>2490</v>
      </c>
      <c r="D395">
        <v>1.6107</v>
      </c>
      <c r="E395">
        <v>7.3552</v>
      </c>
      <c r="F395">
        <v>0.2019</v>
      </c>
      <c r="G395">
        <f t="shared" si="41"/>
        <v>7.5571000000000002</v>
      </c>
      <c r="H395">
        <v>7.3673999999999999</v>
      </c>
      <c r="I395" s="281">
        <f t="shared" si="47"/>
        <v>0.1897000000000002</v>
      </c>
      <c r="J395" s="280">
        <f t="shared" si="42"/>
        <v>1.2199999999999794E-2</v>
      </c>
      <c r="K395" s="282">
        <f t="shared" si="43"/>
        <v>6.0425953442297144</v>
      </c>
      <c r="L395">
        <v>11</v>
      </c>
      <c r="M395" s="16">
        <v>43399</v>
      </c>
      <c r="N395" s="16">
        <v>43400</v>
      </c>
      <c r="R395" s="282"/>
    </row>
    <row r="396" spans="1:18">
      <c r="A396" t="s">
        <v>885</v>
      </c>
      <c r="B396">
        <v>211</v>
      </c>
      <c r="C396" t="s">
        <v>2490</v>
      </c>
      <c r="D396">
        <v>1.3955</v>
      </c>
      <c r="E396">
        <v>11.7478</v>
      </c>
      <c r="F396">
        <v>0.21129999999999999</v>
      </c>
      <c r="G396">
        <f t="shared" si="41"/>
        <v>11.959099999999999</v>
      </c>
      <c r="H396">
        <v>11.764699999999999</v>
      </c>
      <c r="I396" s="281">
        <f t="shared" si="47"/>
        <v>0.19439999999999991</v>
      </c>
      <c r="J396" s="280">
        <f t="shared" si="42"/>
        <v>1.6900000000000082E-2</v>
      </c>
      <c r="K396" s="282">
        <f t="shared" si="43"/>
        <v>7.9981069569333094</v>
      </c>
      <c r="L396">
        <v>8</v>
      </c>
      <c r="M396" s="16">
        <v>43402</v>
      </c>
      <c r="N396" s="16">
        <v>43403</v>
      </c>
      <c r="R396" s="282"/>
    </row>
    <row r="397" spans="1:18">
      <c r="A397" t="s">
        <v>884</v>
      </c>
      <c r="C397" t="s">
        <v>3703</v>
      </c>
      <c r="D397">
        <v>1.7994000000000001</v>
      </c>
      <c r="E397">
        <v>7.7744</v>
      </c>
      <c r="F397">
        <v>0.20300000000000001</v>
      </c>
      <c r="G397" s="281">
        <f t="shared" si="41"/>
        <v>7.9774000000000003</v>
      </c>
      <c r="H397" s="281">
        <v>7.7801999999999998</v>
      </c>
      <c r="I397" s="281">
        <f t="shared" si="47"/>
        <v>0.19720000000000049</v>
      </c>
      <c r="J397" s="280">
        <f t="shared" si="42"/>
        <v>5.7999999999995278E-3</v>
      </c>
      <c r="K397" s="282">
        <f t="shared" si="43"/>
        <v>2.8571428571426241</v>
      </c>
      <c r="L397">
        <v>5</v>
      </c>
      <c r="M397" s="283">
        <v>43374</v>
      </c>
      <c r="N397" s="283">
        <v>43375</v>
      </c>
      <c r="O397" s="280" t="s">
        <v>3707</v>
      </c>
      <c r="R397" s="282"/>
    </row>
    <row r="398" spans="1:18">
      <c r="A398" t="s">
        <v>881</v>
      </c>
      <c r="C398" t="s">
        <v>3695</v>
      </c>
      <c r="D398">
        <v>1.7171000000000001</v>
      </c>
      <c r="E398">
        <v>19.709900000000001</v>
      </c>
      <c r="F398">
        <v>0.24229999999999999</v>
      </c>
      <c r="G398" s="281">
        <f t="shared" si="41"/>
        <v>19.952200000000001</v>
      </c>
      <c r="H398" s="281">
        <v>19.718900000000001</v>
      </c>
      <c r="I398" s="281">
        <f t="shared" si="47"/>
        <v>0.23329999999999984</v>
      </c>
      <c r="J398" s="280">
        <f t="shared" si="42"/>
        <v>9.0000000000001468E-3</v>
      </c>
      <c r="K398" s="282">
        <f t="shared" si="43"/>
        <v>3.7144036318613898</v>
      </c>
      <c r="L398">
        <v>27</v>
      </c>
      <c r="M398" s="283">
        <v>43361</v>
      </c>
      <c r="N398" s="283">
        <v>43362</v>
      </c>
      <c r="O398" s="280" t="s">
        <v>3707</v>
      </c>
      <c r="R398" s="282"/>
    </row>
    <row r="399" spans="1:18">
      <c r="A399" t="s">
        <v>880</v>
      </c>
      <c r="C399" t="s">
        <v>3691</v>
      </c>
      <c r="D399">
        <v>1.8492999999999999</v>
      </c>
      <c r="E399">
        <v>10.743499999999999</v>
      </c>
      <c r="F399">
        <v>0.2029</v>
      </c>
      <c r="G399" s="281">
        <f t="shared" si="41"/>
        <v>10.946399999999999</v>
      </c>
      <c r="H399" s="281">
        <v>10.7515</v>
      </c>
      <c r="I399" s="281">
        <f t="shared" si="47"/>
        <v>0.19489999999999874</v>
      </c>
      <c r="J399" s="280">
        <f t="shared" si="42"/>
        <v>8.0000000000012561E-3</v>
      </c>
      <c r="K399" s="282">
        <f t="shared" si="43"/>
        <v>3.9428289797936209</v>
      </c>
      <c r="L399">
        <v>6</v>
      </c>
      <c r="M399" s="283">
        <v>43361</v>
      </c>
      <c r="N399" s="283">
        <v>43362</v>
      </c>
      <c r="O399" s="280" t="s">
        <v>3707</v>
      </c>
      <c r="R399" s="282"/>
    </row>
    <row r="400" spans="1:18">
      <c r="A400" t="s">
        <v>874</v>
      </c>
      <c r="C400" t="s">
        <v>3438</v>
      </c>
      <c r="D400">
        <v>1.5768</v>
      </c>
      <c r="E400">
        <v>9.1399000000000008</v>
      </c>
      <c r="F400">
        <v>0.20100000000000001</v>
      </c>
      <c r="G400" s="281">
        <f t="shared" si="41"/>
        <v>9.3409000000000013</v>
      </c>
      <c r="H400" s="281">
        <v>9.1579999999999995</v>
      </c>
      <c r="I400" s="281">
        <f t="shared" si="47"/>
        <v>0.18290000000000184</v>
      </c>
      <c r="J400" s="280">
        <f t="shared" si="42"/>
        <v>1.8099999999998173E-2</v>
      </c>
      <c r="K400" s="282">
        <f t="shared" si="43"/>
        <v>9.0049751243772</v>
      </c>
      <c r="L400">
        <v>10</v>
      </c>
      <c r="M400" s="283">
        <v>43374</v>
      </c>
      <c r="N400" s="283">
        <v>43375</v>
      </c>
      <c r="O400" s="280" t="s">
        <v>3707</v>
      </c>
      <c r="R400" s="282"/>
    </row>
    <row r="401" spans="1:25">
      <c r="A401" t="s">
        <v>872</v>
      </c>
      <c r="C401" t="s">
        <v>3457</v>
      </c>
      <c r="D401">
        <v>1.6080000000000001</v>
      </c>
      <c r="E401">
        <v>7.7744</v>
      </c>
      <c r="F401">
        <v>0.216</v>
      </c>
      <c r="G401" s="281">
        <f t="shared" si="41"/>
        <v>7.9904000000000002</v>
      </c>
      <c r="H401" s="281">
        <v>7.7919999999999998</v>
      </c>
      <c r="I401" s="281">
        <f t="shared" si="47"/>
        <v>0.19840000000000035</v>
      </c>
      <c r="J401" s="280">
        <f t="shared" si="42"/>
        <v>1.7599999999999644E-2</v>
      </c>
      <c r="K401" s="282">
        <f t="shared" si="43"/>
        <v>8.1481481481479836</v>
      </c>
      <c r="L401">
        <v>18</v>
      </c>
      <c r="M401" s="283">
        <v>43363</v>
      </c>
      <c r="N401" s="283">
        <v>43364</v>
      </c>
      <c r="R401" s="282"/>
    </row>
    <row r="402" spans="1:25">
      <c r="A402" t="s">
        <v>871</v>
      </c>
      <c r="C402" t="s">
        <v>3666</v>
      </c>
      <c r="D402">
        <v>1.8399000000000001</v>
      </c>
      <c r="E402">
        <v>10.0778</v>
      </c>
      <c r="F402">
        <v>0.21560000000000001</v>
      </c>
      <c r="G402" s="281">
        <f t="shared" si="41"/>
        <v>10.2934</v>
      </c>
      <c r="H402" s="281">
        <v>10.083500000000001</v>
      </c>
      <c r="I402" s="281">
        <f t="shared" si="47"/>
        <v>0.20989999999999931</v>
      </c>
      <c r="J402" s="280">
        <f t="shared" si="42"/>
        <v>5.7000000000007045E-3</v>
      </c>
      <c r="K402" s="282">
        <f t="shared" si="43"/>
        <v>2.6437847866422564</v>
      </c>
      <c r="L402">
        <v>8</v>
      </c>
      <c r="M402" s="16">
        <v>43388</v>
      </c>
      <c r="N402" s="283">
        <v>43389</v>
      </c>
      <c r="O402" s="283"/>
      <c r="P402" s="280"/>
      <c r="R402" s="282"/>
    </row>
    <row r="403" spans="1:25">
      <c r="A403" t="s">
        <v>869</v>
      </c>
      <c r="C403" t="s">
        <v>3706</v>
      </c>
      <c r="D403">
        <v>1.4455</v>
      </c>
      <c r="E403">
        <v>7.4816000000000003</v>
      </c>
      <c r="F403">
        <v>0.20760000000000001</v>
      </c>
      <c r="G403" s="281">
        <f t="shared" ref="G403:G434" si="48">E403+F403</f>
        <v>7.6892000000000005</v>
      </c>
      <c r="H403" s="281">
        <v>7.4984000000000002</v>
      </c>
      <c r="I403" s="281">
        <f t="shared" si="47"/>
        <v>0.1908000000000003</v>
      </c>
      <c r="J403" s="280">
        <f t="shared" si="42"/>
        <v>1.6799999999999704E-2</v>
      </c>
      <c r="K403" s="282">
        <f t="shared" si="43"/>
        <v>8.0924855491328049</v>
      </c>
      <c r="L403">
        <v>29</v>
      </c>
      <c r="M403" s="283">
        <v>43361</v>
      </c>
      <c r="N403" s="283">
        <v>43362</v>
      </c>
      <c r="O403" s="280" t="s">
        <v>3707</v>
      </c>
      <c r="V403" s="281"/>
    </row>
    <row r="404" spans="1:25">
      <c r="A404" t="s">
        <v>866</v>
      </c>
      <c r="C404" t="s">
        <v>3639</v>
      </c>
      <c r="D404">
        <v>1.8433999999999999</v>
      </c>
      <c r="E404">
        <v>11.158899999999999</v>
      </c>
      <c r="F404">
        <v>0.20349999999999999</v>
      </c>
      <c r="G404" s="281">
        <f t="shared" si="48"/>
        <v>11.362399999999999</v>
      </c>
      <c r="H404" s="281">
        <v>11.1637</v>
      </c>
      <c r="I404" s="281">
        <f>(G404-H404)</f>
        <v>0.19869999999999877</v>
      </c>
      <c r="J404" s="280">
        <f t="shared" si="42"/>
        <v>4.80000000000122E-3</v>
      </c>
      <c r="K404" s="282">
        <f t="shared" si="43"/>
        <v>2.3587223587229587</v>
      </c>
      <c r="L404">
        <v>36</v>
      </c>
      <c r="M404" s="16">
        <v>43358</v>
      </c>
      <c r="N404" s="16">
        <v>43358</v>
      </c>
      <c r="R404" s="282"/>
      <c r="W404" s="281"/>
      <c r="X404" s="281"/>
      <c r="Y404" s="280"/>
    </row>
    <row r="405" spans="1:25">
      <c r="A405" t="s">
        <v>865</v>
      </c>
      <c r="C405" t="s">
        <v>3758</v>
      </c>
      <c r="D405">
        <v>1.0982000000000001</v>
      </c>
      <c r="E405">
        <v>8.7744</v>
      </c>
      <c r="F405">
        <v>0.224</v>
      </c>
      <c r="G405" s="281">
        <f t="shared" si="48"/>
        <v>8.9984000000000002</v>
      </c>
      <c r="H405" s="281">
        <v>8.9724000000000004</v>
      </c>
      <c r="I405" s="281">
        <f>G405-H405</f>
        <v>2.5999999999999801E-2</v>
      </c>
      <c r="J405" s="280">
        <f t="shared" si="42"/>
        <v>0.1980000000000002</v>
      </c>
      <c r="K405" s="282">
        <f t="shared" si="43"/>
        <v>88.392857142857224</v>
      </c>
      <c r="L405">
        <v>1</v>
      </c>
      <c r="M405" s="16">
        <v>43399</v>
      </c>
      <c r="N405" s="16">
        <v>43400</v>
      </c>
      <c r="R405" s="282"/>
    </row>
    <row r="406" spans="1:25">
      <c r="A406" t="s">
        <v>864</v>
      </c>
      <c r="C406" t="s">
        <v>3704</v>
      </c>
      <c r="D406">
        <v>1.8165</v>
      </c>
      <c r="E406">
        <v>11.160500000000001</v>
      </c>
      <c r="F406">
        <v>0.21510000000000001</v>
      </c>
      <c r="G406" s="281">
        <f t="shared" si="48"/>
        <v>11.3756</v>
      </c>
      <c r="H406" s="281">
        <v>11.165100000000001</v>
      </c>
      <c r="I406" s="281">
        <f>(G406-H406)</f>
        <v>0.21049999999999969</v>
      </c>
      <c r="J406" s="280">
        <f t="shared" si="42"/>
        <v>4.6000000000003261E-3</v>
      </c>
      <c r="K406" s="282">
        <f t="shared" si="43"/>
        <v>2.1385402138541729</v>
      </c>
      <c r="L406">
        <v>39</v>
      </c>
      <c r="M406" s="283">
        <v>43360</v>
      </c>
      <c r="N406" s="283">
        <v>43361</v>
      </c>
      <c r="O406" s="280" t="s">
        <v>3684</v>
      </c>
      <c r="R406" s="282"/>
    </row>
    <row r="407" spans="1:25">
      <c r="A407" t="s">
        <v>861</v>
      </c>
      <c r="C407" t="s">
        <v>3720</v>
      </c>
      <c r="D407">
        <v>1.7094</v>
      </c>
      <c r="E407">
        <v>10.418200000000001</v>
      </c>
      <c r="F407">
        <v>0.20730000000000001</v>
      </c>
      <c r="G407" s="281">
        <f t="shared" si="48"/>
        <v>10.625500000000001</v>
      </c>
      <c r="H407" s="281">
        <v>10.4237</v>
      </c>
      <c r="I407" s="281">
        <f>G407-H407</f>
        <v>0.20180000000000042</v>
      </c>
      <c r="J407" s="280">
        <f t="shared" si="42"/>
        <v>5.4999999999995886E-3</v>
      </c>
      <c r="K407" s="282">
        <f t="shared" si="43"/>
        <v>2.6531596719727872</v>
      </c>
      <c r="L407">
        <v>25</v>
      </c>
      <c r="M407">
        <v>23.101800000000001</v>
      </c>
      <c r="N407" s="16">
        <v>43397</v>
      </c>
      <c r="R407" s="282"/>
    </row>
    <row r="408" spans="1:25">
      <c r="A408" t="s">
        <v>860</v>
      </c>
      <c r="C408" t="s">
        <v>3679</v>
      </c>
      <c r="D408">
        <v>1.5553999999999999</v>
      </c>
      <c r="E408">
        <v>9.2219999999999995</v>
      </c>
      <c r="F408">
        <v>0.218</v>
      </c>
      <c r="G408" s="281">
        <f t="shared" si="48"/>
        <v>9.44</v>
      </c>
      <c r="H408" s="281">
        <v>9.2325999999999997</v>
      </c>
      <c r="I408" s="281">
        <f>G408-H408</f>
        <v>0.20739999999999981</v>
      </c>
      <c r="J408" s="280">
        <f t="shared" si="42"/>
        <v>1.0600000000000193E-2</v>
      </c>
      <c r="K408" s="282">
        <f t="shared" si="43"/>
        <v>4.862385321101006</v>
      </c>
      <c r="L408">
        <v>3</v>
      </c>
      <c r="M408" s="283">
        <v>43363</v>
      </c>
      <c r="N408" s="283">
        <v>43364</v>
      </c>
      <c r="O408" s="280" t="s">
        <v>3732</v>
      </c>
      <c r="R408" s="282"/>
    </row>
    <row r="409" spans="1:25">
      <c r="A409" t="s">
        <v>858</v>
      </c>
      <c r="C409" t="s">
        <v>3746</v>
      </c>
      <c r="D409">
        <v>1.7549999999999999</v>
      </c>
      <c r="E409">
        <v>9.5569000000000006</v>
      </c>
      <c r="F409">
        <v>0.22589999999999999</v>
      </c>
      <c r="G409" s="285">
        <f t="shared" si="48"/>
        <v>9.7827999999999999</v>
      </c>
      <c r="H409" s="281">
        <v>9.5626999999999995</v>
      </c>
      <c r="I409" s="285">
        <f>G409-H409</f>
        <v>0.22010000000000041</v>
      </c>
      <c r="J409" s="280">
        <f t="shared" si="42"/>
        <v>5.7999999999995833E-3</v>
      </c>
      <c r="K409" s="282">
        <f t="shared" si="43"/>
        <v>2.5675077467904308</v>
      </c>
      <c r="L409">
        <v>14</v>
      </c>
      <c r="M409" s="283">
        <v>43379</v>
      </c>
      <c r="N409" s="283">
        <v>43379</v>
      </c>
      <c r="O409" s="280"/>
      <c r="R409" s="282"/>
    </row>
    <row r="410" spans="1:25">
      <c r="A410" t="s">
        <v>857</v>
      </c>
      <c r="B410">
        <v>206</v>
      </c>
      <c r="C410" t="s">
        <v>2490</v>
      </c>
      <c r="D410">
        <v>1.4330000000000001</v>
      </c>
      <c r="E410">
        <v>8.7696000000000005</v>
      </c>
      <c r="F410">
        <v>0.20619999999999999</v>
      </c>
      <c r="G410">
        <f t="shared" si="48"/>
        <v>8.9758000000000013</v>
      </c>
      <c r="H410">
        <v>8.7903000000000002</v>
      </c>
      <c r="I410" s="281">
        <f>G410-H410</f>
        <v>0.18550000000000111</v>
      </c>
      <c r="J410" s="280">
        <f t="shared" ref="J410:J434" si="49">F410-I410</f>
        <v>2.0699999999998886E-2</v>
      </c>
      <c r="K410" s="282">
        <f t="shared" ref="K410:K434" si="50">(J410/F410)*100</f>
        <v>10.038797284189567</v>
      </c>
      <c r="L410">
        <v>19</v>
      </c>
      <c r="M410" s="16">
        <v>43399</v>
      </c>
      <c r="N410" s="16">
        <v>43400</v>
      </c>
      <c r="R410" s="282"/>
    </row>
    <row r="411" spans="1:25">
      <c r="A411" t="s">
        <v>849</v>
      </c>
      <c r="C411" t="s">
        <v>3673</v>
      </c>
      <c r="D411">
        <v>1.8677999999999999</v>
      </c>
      <c r="E411">
        <v>11.1732</v>
      </c>
      <c r="F411">
        <v>0.21229999999999999</v>
      </c>
      <c r="G411" s="281">
        <f t="shared" si="48"/>
        <v>11.3855</v>
      </c>
      <c r="H411" s="281">
        <v>11.178599999999999</v>
      </c>
      <c r="I411" s="281">
        <f>(G411-H411)</f>
        <v>0.20690000000000097</v>
      </c>
      <c r="J411" s="280">
        <f t="shared" si="49"/>
        <v>5.3999999999990167E-3</v>
      </c>
      <c r="K411" s="282">
        <f t="shared" si="50"/>
        <v>2.5435704192176245</v>
      </c>
      <c r="L411">
        <v>27</v>
      </c>
      <c r="M411" s="283">
        <v>43360</v>
      </c>
      <c r="N411" s="283">
        <v>43361</v>
      </c>
      <c r="O411" s="280" t="s">
        <v>3684</v>
      </c>
      <c r="R411" s="282"/>
    </row>
    <row r="412" spans="1:25">
      <c r="A412" t="s">
        <v>847</v>
      </c>
      <c r="C412" t="s">
        <v>3691</v>
      </c>
      <c r="D412">
        <v>0.28799999999999998</v>
      </c>
      <c r="E412">
        <v>8.7743000000000002</v>
      </c>
      <c r="F412">
        <v>0.20030000000000001</v>
      </c>
      <c r="G412" s="281">
        <f t="shared" si="48"/>
        <v>8.9746000000000006</v>
      </c>
      <c r="H412" s="281">
        <v>8.9074000000000009</v>
      </c>
      <c r="I412" s="281">
        <f>G412-H412</f>
        <v>6.7199999999999704E-2</v>
      </c>
      <c r="J412" s="280">
        <f t="shared" si="49"/>
        <v>0.1331000000000003</v>
      </c>
      <c r="K412" s="282">
        <f t="shared" si="50"/>
        <v>66.450324513230314</v>
      </c>
      <c r="L412">
        <v>21</v>
      </c>
      <c r="M412" s="16">
        <v>43381</v>
      </c>
      <c r="N412" s="16">
        <v>43382</v>
      </c>
      <c r="R412" s="282"/>
    </row>
    <row r="413" spans="1:25">
      <c r="A413" t="s">
        <v>846</v>
      </c>
      <c r="C413" t="s">
        <v>3400</v>
      </c>
      <c r="D413">
        <v>1.5531999999999999</v>
      </c>
      <c r="E413">
        <v>20.894400000000001</v>
      </c>
      <c r="F413">
        <v>0.2336</v>
      </c>
      <c r="G413" s="281">
        <f t="shared" si="48"/>
        <v>21.128</v>
      </c>
      <c r="H413" s="281">
        <v>20.908899999999999</v>
      </c>
      <c r="I413" s="281">
        <f>G413-H413</f>
        <v>0.21910000000000096</v>
      </c>
      <c r="J413" s="280">
        <f t="shared" si="49"/>
        <v>1.4499999999999041E-2</v>
      </c>
      <c r="K413" s="282">
        <f t="shared" si="50"/>
        <v>6.2071917808215078</v>
      </c>
      <c r="L413">
        <v>41</v>
      </c>
      <c r="M413" s="283">
        <v>43363</v>
      </c>
      <c r="N413" s="283">
        <v>43364</v>
      </c>
      <c r="O413" s="280" t="s">
        <v>3732</v>
      </c>
      <c r="R413" s="282"/>
    </row>
    <row r="414" spans="1:25">
      <c r="A414" t="s">
        <v>844</v>
      </c>
      <c r="C414" t="s">
        <v>3689</v>
      </c>
      <c r="D414">
        <v>1.7957000000000001</v>
      </c>
      <c r="E414">
        <v>8.8607999999999993</v>
      </c>
      <c r="F414">
        <v>0.21440000000000001</v>
      </c>
      <c r="G414" s="281">
        <f t="shared" si="48"/>
        <v>9.0751999999999988</v>
      </c>
      <c r="H414" s="281">
        <v>8.8655000000000008</v>
      </c>
      <c r="I414" s="281">
        <f>(G414-H414)</f>
        <v>0.209699999999998</v>
      </c>
      <c r="J414" s="280">
        <f t="shared" si="49"/>
        <v>4.7000000000020081E-3</v>
      </c>
      <c r="K414" s="282">
        <f t="shared" si="50"/>
        <v>2.1921641791054141</v>
      </c>
      <c r="L414">
        <v>9</v>
      </c>
      <c r="M414" s="283">
        <v>43360</v>
      </c>
      <c r="N414" s="283">
        <v>43361</v>
      </c>
      <c r="O414" s="280" t="s">
        <v>3684</v>
      </c>
      <c r="R414" s="282"/>
    </row>
    <row r="415" spans="1:25">
      <c r="A415" t="s">
        <v>843</v>
      </c>
      <c r="C415" t="s">
        <v>3723</v>
      </c>
      <c r="D415">
        <v>1.8102</v>
      </c>
      <c r="E415">
        <v>10.0573</v>
      </c>
      <c r="F415">
        <v>0.21199999999999999</v>
      </c>
      <c r="G415">
        <f t="shared" si="48"/>
        <v>10.269299999999999</v>
      </c>
      <c r="H415">
        <v>10.0618</v>
      </c>
      <c r="I415" s="281">
        <f>G415-H415</f>
        <v>0.20749999999999957</v>
      </c>
      <c r="J415" s="280">
        <f t="shared" si="49"/>
        <v>4.5000000000004203E-3</v>
      </c>
      <c r="K415" s="282">
        <f t="shared" si="50"/>
        <v>2.1226415094341604</v>
      </c>
      <c r="L415">
        <v>11</v>
      </c>
      <c r="M415" s="16">
        <v>43402</v>
      </c>
      <c r="N415" s="16">
        <v>43403</v>
      </c>
      <c r="R415" s="282"/>
    </row>
    <row r="416" spans="1:25">
      <c r="A416" t="s">
        <v>842</v>
      </c>
      <c r="C416" t="s">
        <v>3711</v>
      </c>
      <c r="D416">
        <v>1.6919999999999999</v>
      </c>
      <c r="E416">
        <v>19.645299999999999</v>
      </c>
      <c r="F416">
        <v>0.20419999999999999</v>
      </c>
      <c r="G416" s="281">
        <f t="shared" si="48"/>
        <v>19.849499999999999</v>
      </c>
      <c r="H416" s="281">
        <v>19.658200000000001</v>
      </c>
      <c r="I416" s="281">
        <f>G416-H416</f>
        <v>0.19129999999999825</v>
      </c>
      <c r="J416" s="280">
        <f t="shared" si="49"/>
        <v>1.2900000000001743E-2</v>
      </c>
      <c r="K416" s="282">
        <f t="shared" si="50"/>
        <v>6.3173359451526663</v>
      </c>
      <c r="L416">
        <v>33</v>
      </c>
      <c r="M416" s="283">
        <v>43361</v>
      </c>
      <c r="N416" s="283">
        <v>43362</v>
      </c>
      <c r="O416" s="280" t="s">
        <v>3707</v>
      </c>
      <c r="R416" s="282"/>
    </row>
    <row r="417" spans="1:18">
      <c r="A417" t="s">
        <v>837</v>
      </c>
      <c r="C417" t="s">
        <v>3748</v>
      </c>
      <c r="D417">
        <v>1.736</v>
      </c>
      <c r="E417">
        <v>10.1172</v>
      </c>
      <c r="F417">
        <v>0.217</v>
      </c>
      <c r="G417" s="285">
        <f t="shared" si="48"/>
        <v>10.334200000000001</v>
      </c>
      <c r="H417" s="281">
        <v>10.123799999999999</v>
      </c>
      <c r="I417" s="285">
        <f>G417-H417</f>
        <v>0.2104000000000017</v>
      </c>
      <c r="J417" s="280">
        <f t="shared" si="49"/>
        <v>6.5999999999983017E-3</v>
      </c>
      <c r="K417" s="282">
        <f t="shared" si="50"/>
        <v>3.0414746543770974</v>
      </c>
      <c r="L417">
        <v>23</v>
      </c>
      <c r="M417" s="283">
        <v>43379</v>
      </c>
      <c r="N417" s="283">
        <v>43379</v>
      </c>
      <c r="R417" s="282"/>
    </row>
    <row r="418" spans="1:18">
      <c r="A418" t="s">
        <v>836</v>
      </c>
      <c r="C418" t="s">
        <v>3750</v>
      </c>
      <c r="D418">
        <v>1.9196</v>
      </c>
      <c r="E418">
        <v>9.1574000000000009</v>
      </c>
      <c r="F418">
        <v>0.2288</v>
      </c>
      <c r="G418" s="281">
        <f t="shared" si="48"/>
        <v>9.3862000000000005</v>
      </c>
      <c r="H418" s="281">
        <v>9.1637000000000004</v>
      </c>
      <c r="I418" s="281">
        <f>G418-H418</f>
        <v>0.22250000000000014</v>
      </c>
      <c r="J418" s="280">
        <f t="shared" si="49"/>
        <v>6.2999999999998613E-3</v>
      </c>
      <c r="K418" s="282">
        <f t="shared" si="50"/>
        <v>2.7534965034964429</v>
      </c>
      <c r="L418">
        <v>14</v>
      </c>
      <c r="M418" s="16">
        <v>43381</v>
      </c>
      <c r="N418" s="16">
        <v>43382</v>
      </c>
      <c r="R418" s="282"/>
    </row>
    <row r="419" spans="1:18">
      <c r="A419" t="s">
        <v>835</v>
      </c>
      <c r="C419" t="s">
        <v>3652</v>
      </c>
      <c r="D419">
        <v>1.8827</v>
      </c>
      <c r="E419">
        <v>11.903600000000001</v>
      </c>
      <c r="F419">
        <v>0.2072</v>
      </c>
      <c r="G419" s="281">
        <f t="shared" si="48"/>
        <v>12.110800000000001</v>
      </c>
      <c r="H419" s="281">
        <v>11.910399999999999</v>
      </c>
      <c r="I419" s="281">
        <f>(G419-H419)</f>
        <v>0.20040000000000191</v>
      </c>
      <c r="J419" s="280">
        <f t="shared" si="49"/>
        <v>6.7999999999980854E-3</v>
      </c>
      <c r="K419" s="282">
        <f t="shared" si="50"/>
        <v>3.2818532818523578</v>
      </c>
      <c r="L419">
        <v>34</v>
      </c>
      <c r="M419" s="16">
        <v>43358</v>
      </c>
      <c r="N419" s="16">
        <v>43358</v>
      </c>
      <c r="R419" s="282"/>
    </row>
    <row r="420" spans="1:18">
      <c r="A420" t="s">
        <v>831</v>
      </c>
      <c r="C420" t="s">
        <v>3398</v>
      </c>
      <c r="D420">
        <v>1.5723</v>
      </c>
      <c r="E420">
        <v>7.0766</v>
      </c>
      <c r="F420">
        <v>0.20930000000000001</v>
      </c>
      <c r="G420" s="281">
        <f t="shared" si="48"/>
        <v>7.2858999999999998</v>
      </c>
      <c r="H420" s="281">
        <v>7.0860000000000003</v>
      </c>
      <c r="I420" s="281">
        <f t="shared" ref="I420:I434" si="51">G420-H420</f>
        <v>0.19989999999999952</v>
      </c>
      <c r="J420" s="280">
        <f t="shared" si="49"/>
        <v>9.4000000000004913E-3</v>
      </c>
      <c r="K420" s="282">
        <f t="shared" si="50"/>
        <v>4.4911610129003776</v>
      </c>
      <c r="L420">
        <v>24</v>
      </c>
      <c r="M420" s="16">
        <v>43381</v>
      </c>
      <c r="N420" s="16">
        <v>43382</v>
      </c>
      <c r="R420" s="282"/>
    </row>
    <row r="421" spans="1:18">
      <c r="A421" t="s">
        <v>828</v>
      </c>
      <c r="C421" t="s">
        <v>3740</v>
      </c>
      <c r="D421">
        <v>1.3869</v>
      </c>
      <c r="E421">
        <v>11.1555</v>
      </c>
      <c r="F421">
        <v>0.21</v>
      </c>
      <c r="G421" s="281">
        <f t="shared" si="48"/>
        <v>11.365500000000001</v>
      </c>
      <c r="H421" s="281">
        <v>11.174200000000001</v>
      </c>
      <c r="I421" s="281">
        <f t="shared" si="51"/>
        <v>0.19130000000000003</v>
      </c>
      <c r="J421" s="280">
        <f t="shared" si="49"/>
        <v>1.8699999999999967E-2</v>
      </c>
      <c r="K421" s="282">
        <f t="shared" si="50"/>
        <v>8.9047619047618891</v>
      </c>
      <c r="L421">
        <v>39</v>
      </c>
      <c r="M421" s="16">
        <v>43399</v>
      </c>
      <c r="N421" s="16">
        <v>43400</v>
      </c>
      <c r="R421" s="282"/>
    </row>
    <row r="422" spans="1:18">
      <c r="A422" t="s">
        <v>827</v>
      </c>
      <c r="C422" t="s">
        <v>3402</v>
      </c>
      <c r="D422">
        <v>1.5223</v>
      </c>
      <c r="E422">
        <v>7.8398000000000003</v>
      </c>
      <c r="F422">
        <v>0.2127</v>
      </c>
      <c r="G422">
        <f t="shared" si="48"/>
        <v>8.0525000000000002</v>
      </c>
      <c r="H422">
        <v>7.8501000000000003</v>
      </c>
      <c r="I422" s="281">
        <f t="shared" si="51"/>
        <v>0.20239999999999991</v>
      </c>
      <c r="J422" s="280">
        <f t="shared" si="49"/>
        <v>1.0300000000000087E-2</v>
      </c>
      <c r="K422" s="282">
        <f t="shared" si="50"/>
        <v>4.8425011753644043</v>
      </c>
      <c r="L422">
        <v>21</v>
      </c>
      <c r="M422" s="16">
        <v>43402</v>
      </c>
      <c r="N422" s="16">
        <v>43403</v>
      </c>
      <c r="R422" s="282"/>
    </row>
    <row r="423" spans="1:18">
      <c r="A423" t="s">
        <v>821</v>
      </c>
      <c r="C423" t="s">
        <v>3726</v>
      </c>
      <c r="D423">
        <v>1.7964</v>
      </c>
      <c r="E423">
        <v>8.7039000000000009</v>
      </c>
      <c r="F423">
        <v>0.20499999999999999</v>
      </c>
      <c r="G423" s="281">
        <f t="shared" si="48"/>
        <v>8.9089000000000009</v>
      </c>
      <c r="H423" s="281">
        <v>8.7085000000000008</v>
      </c>
      <c r="I423" s="281">
        <f t="shared" si="51"/>
        <v>0.20040000000000013</v>
      </c>
      <c r="J423" s="280">
        <f t="shared" si="49"/>
        <v>4.5999999999998542E-3</v>
      </c>
      <c r="K423" s="282">
        <f t="shared" si="50"/>
        <v>2.2439024390243194</v>
      </c>
      <c r="L423">
        <v>39</v>
      </c>
      <c r="M423" s="283">
        <v>43362</v>
      </c>
      <c r="N423" s="283">
        <v>43363</v>
      </c>
      <c r="R423" s="282"/>
    </row>
    <row r="424" spans="1:18">
      <c r="A424" t="s">
        <v>820</v>
      </c>
      <c r="B424">
        <v>213</v>
      </c>
      <c r="D424">
        <v>1.5478000000000001</v>
      </c>
      <c r="E424">
        <v>8.1189</v>
      </c>
      <c r="F424">
        <v>0.20280000000000001</v>
      </c>
      <c r="G424" s="281">
        <f t="shared" si="48"/>
        <v>8.3216999999999999</v>
      </c>
      <c r="H424" s="281">
        <v>8.1305999999999994</v>
      </c>
      <c r="I424" s="281">
        <f t="shared" si="51"/>
        <v>0.19110000000000049</v>
      </c>
      <c r="J424" s="280">
        <f t="shared" si="49"/>
        <v>1.1699999999999516E-2</v>
      </c>
      <c r="K424" s="282">
        <f t="shared" si="50"/>
        <v>5.7692307692305311</v>
      </c>
      <c r="L424">
        <v>35</v>
      </c>
      <c r="M424" s="16">
        <v>43388</v>
      </c>
      <c r="N424" s="283">
        <v>43389</v>
      </c>
      <c r="O424" s="16"/>
      <c r="R424" s="282"/>
    </row>
    <row r="425" spans="1:18">
      <c r="A425" t="s">
        <v>816</v>
      </c>
      <c r="C425" t="s">
        <v>3417</v>
      </c>
      <c r="D425">
        <v>1.4810000000000001</v>
      </c>
      <c r="E425">
        <v>11.2599</v>
      </c>
      <c r="F425">
        <v>0.20369999999999999</v>
      </c>
      <c r="G425">
        <f t="shared" si="48"/>
        <v>11.4636</v>
      </c>
      <c r="H425">
        <v>11.273099999999999</v>
      </c>
      <c r="I425" s="281">
        <f t="shared" si="51"/>
        <v>0.19050000000000011</v>
      </c>
      <c r="J425" s="280">
        <f t="shared" si="49"/>
        <v>1.3199999999999878E-2</v>
      </c>
      <c r="K425" s="282">
        <f t="shared" si="50"/>
        <v>6.4801178203239465</v>
      </c>
      <c r="L425">
        <v>16</v>
      </c>
      <c r="M425" s="16">
        <v>43402</v>
      </c>
      <c r="N425" s="16">
        <v>43403</v>
      </c>
      <c r="R425" s="282"/>
    </row>
    <row r="426" spans="1:18">
      <c r="A426" t="s">
        <v>814</v>
      </c>
      <c r="B426">
        <v>199</v>
      </c>
      <c r="C426" t="s">
        <v>2490</v>
      </c>
      <c r="D426">
        <v>1.431</v>
      </c>
      <c r="E426">
        <v>9.9192999999999998</v>
      </c>
      <c r="F426">
        <v>0.22140000000000001</v>
      </c>
      <c r="G426">
        <f t="shared" si="48"/>
        <v>10.140699999999999</v>
      </c>
      <c r="H426">
        <v>9.9268999999999998</v>
      </c>
      <c r="I426" s="281">
        <f t="shared" si="51"/>
        <v>0.2137999999999991</v>
      </c>
      <c r="J426" s="280">
        <f t="shared" si="49"/>
        <v>7.6000000000009116E-3</v>
      </c>
      <c r="K426" s="282">
        <f t="shared" si="50"/>
        <v>3.4327009936770145</v>
      </c>
      <c r="L426">
        <v>10</v>
      </c>
      <c r="M426" s="16">
        <v>43399</v>
      </c>
      <c r="N426" s="16">
        <v>43400</v>
      </c>
      <c r="R426" s="282"/>
    </row>
    <row r="427" spans="1:18">
      <c r="A427" t="s">
        <v>809</v>
      </c>
      <c r="C427" t="s">
        <v>3455</v>
      </c>
      <c r="D427">
        <v>1.6395999999999999</v>
      </c>
      <c r="E427">
        <v>9.8884000000000007</v>
      </c>
      <c r="F427">
        <v>0.20130000000000001</v>
      </c>
      <c r="G427" s="281">
        <f t="shared" si="48"/>
        <v>10.089700000000001</v>
      </c>
      <c r="H427" s="281">
        <v>9.9009999999999998</v>
      </c>
      <c r="I427" s="281">
        <f t="shared" si="51"/>
        <v>0.18870000000000076</v>
      </c>
      <c r="J427" s="280">
        <f t="shared" si="49"/>
        <v>1.2599999999999251E-2</v>
      </c>
      <c r="K427" s="282">
        <f t="shared" si="50"/>
        <v>6.259314456035395</v>
      </c>
      <c r="L427">
        <v>8</v>
      </c>
      <c r="M427" s="283">
        <v>43363</v>
      </c>
      <c r="N427" s="283">
        <v>43364</v>
      </c>
      <c r="O427" s="280" t="s">
        <v>3732</v>
      </c>
      <c r="R427" s="282"/>
    </row>
    <row r="428" spans="1:18">
      <c r="A428" t="s">
        <v>806</v>
      </c>
      <c r="B428">
        <v>210</v>
      </c>
      <c r="D428">
        <v>1.2941</v>
      </c>
      <c r="E428">
        <v>9.5571000000000002</v>
      </c>
      <c r="F428">
        <v>0.2389</v>
      </c>
      <c r="G428" s="281">
        <f t="shared" si="48"/>
        <v>9.7959999999999994</v>
      </c>
      <c r="H428" s="281">
        <v>9.77</v>
      </c>
      <c r="I428" s="281">
        <f t="shared" si="51"/>
        <v>2.5999999999999801E-2</v>
      </c>
      <c r="J428" s="280">
        <f t="shared" si="49"/>
        <v>0.2129000000000002</v>
      </c>
      <c r="K428" s="282">
        <f t="shared" si="50"/>
        <v>89.116785265801681</v>
      </c>
      <c r="L428">
        <v>28</v>
      </c>
      <c r="M428" s="16">
        <v>43388</v>
      </c>
      <c r="N428" s="283">
        <v>43389</v>
      </c>
      <c r="O428" s="16"/>
      <c r="R428" s="282"/>
    </row>
    <row r="429" spans="1:18">
      <c r="A429" t="s">
        <v>804</v>
      </c>
      <c r="C429" t="s">
        <v>3473</v>
      </c>
      <c r="D429">
        <v>1.7206999999999999</v>
      </c>
      <c r="E429">
        <v>8.1676000000000002</v>
      </c>
      <c r="F429">
        <v>0.224</v>
      </c>
      <c r="G429" s="281">
        <f t="shared" si="48"/>
        <v>8.3916000000000004</v>
      </c>
      <c r="H429" s="281">
        <v>8.1792999999999996</v>
      </c>
      <c r="I429" s="281">
        <f t="shared" si="51"/>
        <v>0.21230000000000082</v>
      </c>
      <c r="J429" s="280">
        <f t="shared" si="49"/>
        <v>1.1699999999999183E-2</v>
      </c>
      <c r="K429" s="282">
        <f t="shared" si="50"/>
        <v>5.2232142857139205</v>
      </c>
      <c r="L429">
        <v>17</v>
      </c>
      <c r="M429" s="283">
        <v>43363</v>
      </c>
      <c r="N429" s="283">
        <v>43364</v>
      </c>
      <c r="R429" s="282"/>
    </row>
    <row r="430" spans="1:18">
      <c r="A430" t="s">
        <v>803</v>
      </c>
      <c r="C430" t="s">
        <v>3443</v>
      </c>
      <c r="D430">
        <v>1.6274999999999999</v>
      </c>
      <c r="E430">
        <v>8.8462999999999994</v>
      </c>
      <c r="F430">
        <v>0.20580000000000001</v>
      </c>
      <c r="G430" s="281">
        <f t="shared" si="48"/>
        <v>9.0520999999999994</v>
      </c>
      <c r="H430" s="281">
        <v>8.8643999999999998</v>
      </c>
      <c r="I430" s="281">
        <f t="shared" si="51"/>
        <v>0.18769999999999953</v>
      </c>
      <c r="J430" s="280">
        <f t="shared" si="49"/>
        <v>1.8100000000000477E-2</v>
      </c>
      <c r="K430" s="282">
        <f t="shared" si="50"/>
        <v>8.794946550048822</v>
      </c>
      <c r="L430">
        <v>12</v>
      </c>
      <c r="M430" s="16">
        <v>43381</v>
      </c>
      <c r="N430" s="16">
        <v>43382</v>
      </c>
      <c r="R430" s="282"/>
    </row>
    <row r="431" spans="1:18">
      <c r="A431" t="s">
        <v>796</v>
      </c>
      <c r="C431" t="s">
        <v>3722</v>
      </c>
      <c r="D431">
        <v>1.8805000000000001</v>
      </c>
      <c r="E431">
        <v>10.7454</v>
      </c>
      <c r="F431">
        <v>0.2049</v>
      </c>
      <c r="G431" s="281">
        <f t="shared" si="48"/>
        <v>10.9503</v>
      </c>
      <c r="H431" s="281">
        <v>10.75</v>
      </c>
      <c r="I431" s="281">
        <f t="shared" si="51"/>
        <v>0.20030000000000037</v>
      </c>
      <c r="J431" s="280">
        <f t="shared" si="49"/>
        <v>4.5999999999996322E-3</v>
      </c>
      <c r="K431" s="282">
        <f t="shared" si="50"/>
        <v>2.2449975597850815</v>
      </c>
      <c r="L431">
        <v>30</v>
      </c>
      <c r="M431">
        <v>23.101800000000001</v>
      </c>
      <c r="N431" s="16">
        <v>43397</v>
      </c>
      <c r="R431" s="282"/>
    </row>
    <row r="432" spans="1:18">
      <c r="A432" t="s">
        <v>793</v>
      </c>
      <c r="B432">
        <v>205</v>
      </c>
      <c r="C432" t="s">
        <v>2490</v>
      </c>
      <c r="D432">
        <v>1.5878000000000001</v>
      </c>
      <c r="E432">
        <v>10.155200000000001</v>
      </c>
      <c r="F432">
        <v>0.22040000000000001</v>
      </c>
      <c r="G432" s="281">
        <f t="shared" si="48"/>
        <v>10.3756</v>
      </c>
      <c r="H432" s="281">
        <v>10.1684</v>
      </c>
      <c r="I432" s="281">
        <f t="shared" si="51"/>
        <v>0.20720000000000027</v>
      </c>
      <c r="J432" s="280">
        <f t="shared" si="49"/>
        <v>1.319999999999974E-2</v>
      </c>
      <c r="K432" s="282">
        <f t="shared" si="50"/>
        <v>5.9891107078038743</v>
      </c>
      <c r="L432">
        <v>20</v>
      </c>
      <c r="M432" s="16">
        <v>43399</v>
      </c>
      <c r="N432" s="16">
        <v>43400</v>
      </c>
      <c r="R432" s="282"/>
    </row>
    <row r="433" spans="1:18">
      <c r="A433" t="s">
        <v>791</v>
      </c>
      <c r="C433" t="s">
        <v>3472</v>
      </c>
      <c r="D433">
        <v>1.823</v>
      </c>
      <c r="E433">
        <v>8.9587000000000003</v>
      </c>
      <c r="F433">
        <v>0.20610000000000001</v>
      </c>
      <c r="G433">
        <f t="shared" si="48"/>
        <v>9.1647999999999996</v>
      </c>
      <c r="H433">
        <v>8.9678000000000004</v>
      </c>
      <c r="I433" s="281">
        <f t="shared" si="51"/>
        <v>0.19699999999999918</v>
      </c>
      <c r="J433" s="280">
        <f t="shared" si="49"/>
        <v>9.1000000000008296E-3</v>
      </c>
      <c r="K433" s="282">
        <f t="shared" si="50"/>
        <v>4.4153323629310188</v>
      </c>
      <c r="L433">
        <v>17</v>
      </c>
      <c r="M433" s="16">
        <v>43399</v>
      </c>
      <c r="N433" s="16">
        <v>43400</v>
      </c>
      <c r="R433" s="282"/>
    </row>
    <row r="434" spans="1:18">
      <c r="A434" t="s">
        <v>789</v>
      </c>
      <c r="B434">
        <v>198</v>
      </c>
      <c r="D434">
        <v>1.4137</v>
      </c>
      <c r="E434">
        <v>11.1548</v>
      </c>
      <c r="F434">
        <v>0.2175</v>
      </c>
      <c r="G434" s="281">
        <f t="shared" si="48"/>
        <v>11.372299999999999</v>
      </c>
      <c r="H434" s="281">
        <v>11.165900000000001</v>
      </c>
      <c r="I434" s="281">
        <f t="shared" si="51"/>
        <v>0.20639999999999858</v>
      </c>
      <c r="J434" s="280">
        <f t="shared" si="49"/>
        <v>1.1100000000001414E-2</v>
      </c>
      <c r="K434" s="282">
        <f t="shared" si="50"/>
        <v>5.1034482758627195</v>
      </c>
      <c r="L434">
        <v>1</v>
      </c>
      <c r="M434" s="16">
        <v>43395</v>
      </c>
      <c r="N434" s="16">
        <v>43396</v>
      </c>
      <c r="R434" s="282"/>
    </row>
    <row r="435" spans="1:18">
      <c r="A435" t="s">
        <v>784</v>
      </c>
      <c r="C435" t="s">
        <v>3451</v>
      </c>
      <c r="D435">
        <v>0</v>
      </c>
      <c r="E435">
        <v>0</v>
      </c>
      <c r="F435">
        <v>0</v>
      </c>
      <c r="G435">
        <v>0</v>
      </c>
      <c r="H435">
        <v>0</v>
      </c>
      <c r="I435">
        <v>0</v>
      </c>
      <c r="J435">
        <v>0</v>
      </c>
      <c r="K435">
        <v>0</v>
      </c>
    </row>
    <row r="436" spans="1:18">
      <c r="A436" t="s">
        <v>1105</v>
      </c>
      <c r="B436">
        <v>214</v>
      </c>
      <c r="C436" t="s">
        <v>2490</v>
      </c>
      <c r="D436">
        <v>1.6339999999999999</v>
      </c>
      <c r="E436">
        <v>8.8459000000000003</v>
      </c>
      <c r="F436">
        <v>0.2046</v>
      </c>
      <c r="G436" s="281">
        <f t="shared" ref="G436:G467" si="52">E436+F436</f>
        <v>9.0504999999999995</v>
      </c>
      <c r="H436" s="281">
        <v>8.8665000000000003</v>
      </c>
      <c r="I436" s="281">
        <f>G436-H436</f>
        <v>0.18399999999999928</v>
      </c>
      <c r="J436" s="280">
        <f t="shared" ref="J436:J467" si="53">F436-I436</f>
        <v>2.0600000000000729E-2</v>
      </c>
      <c r="K436" s="282">
        <f t="shared" ref="K436:K467" si="54">(J436/F436)*100</f>
        <v>10.068426197458811</v>
      </c>
      <c r="L436">
        <v>15</v>
      </c>
      <c r="M436">
        <v>23.101800000000001</v>
      </c>
      <c r="N436" s="16">
        <v>43397</v>
      </c>
      <c r="R436" s="282"/>
    </row>
    <row r="437" spans="1:18">
      <c r="A437" t="s">
        <v>780</v>
      </c>
      <c r="C437" t="s">
        <v>3717</v>
      </c>
      <c r="D437">
        <v>1.8967000000000001</v>
      </c>
      <c r="E437">
        <v>8.4458000000000002</v>
      </c>
      <c r="F437">
        <v>0.20280000000000001</v>
      </c>
      <c r="G437" s="281">
        <f t="shared" si="52"/>
        <v>8.6486000000000001</v>
      </c>
      <c r="H437" s="281">
        <v>8.4505999999999997</v>
      </c>
      <c r="I437" s="281">
        <f>G437-H437</f>
        <v>0.1980000000000004</v>
      </c>
      <c r="J437" s="280">
        <f t="shared" si="53"/>
        <v>4.7999999999996101E-3</v>
      </c>
      <c r="K437" s="282">
        <f t="shared" si="54"/>
        <v>2.3668639053252516</v>
      </c>
      <c r="L437">
        <v>36</v>
      </c>
      <c r="M437" s="283">
        <v>43362</v>
      </c>
      <c r="N437" s="283">
        <v>43363</v>
      </c>
      <c r="R437" s="282"/>
    </row>
    <row r="438" spans="1:18">
      <c r="A438" t="s">
        <v>776</v>
      </c>
      <c r="C438" t="s">
        <v>3736</v>
      </c>
      <c r="D438">
        <v>1.7755000000000001</v>
      </c>
      <c r="E438">
        <v>7.9063999999999997</v>
      </c>
      <c r="F438">
        <v>0.21579999999999999</v>
      </c>
      <c r="G438" s="281">
        <f t="shared" si="52"/>
        <v>8.1221999999999994</v>
      </c>
      <c r="H438" s="281">
        <v>7.9141000000000004</v>
      </c>
      <c r="I438" s="281">
        <f>G438-H438</f>
        <v>0.20809999999999906</v>
      </c>
      <c r="J438" s="280">
        <f t="shared" si="53"/>
        <v>7.7000000000009283E-3</v>
      </c>
      <c r="K438" s="282">
        <f t="shared" si="54"/>
        <v>3.5681186283600224</v>
      </c>
      <c r="L438">
        <v>20</v>
      </c>
      <c r="M438" s="283">
        <v>43363</v>
      </c>
      <c r="N438" s="283">
        <v>43364</v>
      </c>
      <c r="R438" s="282"/>
    </row>
    <row r="439" spans="1:18">
      <c r="A439" t="s">
        <v>775</v>
      </c>
      <c r="C439" t="s">
        <v>3754</v>
      </c>
      <c r="D439">
        <v>1.879</v>
      </c>
      <c r="E439">
        <v>8.8628</v>
      </c>
      <c r="F439">
        <v>0.2162</v>
      </c>
      <c r="G439" s="281">
        <f t="shared" si="52"/>
        <v>9.0790000000000006</v>
      </c>
      <c r="H439" s="281">
        <v>8.8699999999999992</v>
      </c>
      <c r="I439" s="281">
        <f>G439-H439</f>
        <v>0.20900000000000141</v>
      </c>
      <c r="J439" s="280">
        <f t="shared" si="53"/>
        <v>7.1999999999985964E-3</v>
      </c>
      <c r="K439" s="282">
        <f t="shared" si="54"/>
        <v>3.3302497687320054</v>
      </c>
      <c r="L439">
        <v>39</v>
      </c>
      <c r="M439" s="16">
        <v>43381</v>
      </c>
      <c r="N439" s="16">
        <v>43382</v>
      </c>
      <c r="R439" s="282"/>
    </row>
    <row r="440" spans="1:18">
      <c r="A440" t="s">
        <v>774</v>
      </c>
      <c r="C440" t="s">
        <v>3683</v>
      </c>
      <c r="D440" s="280">
        <v>1.6820999999999999</v>
      </c>
      <c r="E440" s="281">
        <v>8.2201000000000004</v>
      </c>
      <c r="F440" s="281">
        <v>0.20910000000000001</v>
      </c>
      <c r="G440" s="281">
        <f t="shared" si="52"/>
        <v>8.4291999999999998</v>
      </c>
      <c r="H440" s="281">
        <v>8.2262000000000004</v>
      </c>
      <c r="I440" s="281">
        <f>(G440-H440)</f>
        <v>0.2029999999999994</v>
      </c>
      <c r="J440" s="280">
        <f t="shared" si="53"/>
        <v>6.1000000000006049E-3</v>
      </c>
      <c r="K440" s="282">
        <f t="shared" si="54"/>
        <v>2.917264466762604</v>
      </c>
      <c r="L440" s="280">
        <v>1</v>
      </c>
      <c r="M440" s="283">
        <v>43360</v>
      </c>
      <c r="N440" s="283">
        <v>43361</v>
      </c>
      <c r="O440" s="280" t="s">
        <v>3684</v>
      </c>
      <c r="P440" s="280"/>
      <c r="R440" s="282"/>
    </row>
    <row r="441" spans="1:18">
      <c r="A441" t="s">
        <v>768</v>
      </c>
      <c r="C441" t="s">
        <v>3670</v>
      </c>
      <c r="D441">
        <v>1.3362000000000001</v>
      </c>
      <c r="E441">
        <v>11.2584</v>
      </c>
      <c r="F441">
        <v>0.2084</v>
      </c>
      <c r="G441" s="281">
        <f t="shared" si="52"/>
        <v>11.466799999999999</v>
      </c>
      <c r="H441" s="281">
        <v>11.2715</v>
      </c>
      <c r="I441" s="281">
        <f>(G441-H441)</f>
        <v>0.19529999999999959</v>
      </c>
      <c r="J441" s="280">
        <f t="shared" si="53"/>
        <v>1.3100000000000417E-2</v>
      </c>
      <c r="K441" s="282">
        <f t="shared" si="54"/>
        <v>6.2859884836854203</v>
      </c>
      <c r="L441">
        <v>18</v>
      </c>
      <c r="M441" s="283">
        <v>43360</v>
      </c>
      <c r="N441" s="283">
        <v>43361</v>
      </c>
      <c r="R441" s="282"/>
    </row>
    <row r="442" spans="1:18">
      <c r="A442" t="s">
        <v>764</v>
      </c>
      <c r="C442" t="s">
        <v>3647</v>
      </c>
      <c r="D442">
        <v>1.8328</v>
      </c>
      <c r="E442">
        <v>9.2349999999999994</v>
      </c>
      <c r="F442">
        <v>0.20230000000000001</v>
      </c>
      <c r="G442" s="281">
        <f t="shared" si="52"/>
        <v>9.4372999999999987</v>
      </c>
      <c r="H442" s="281">
        <v>9.2394999999999996</v>
      </c>
      <c r="I442" s="281">
        <f>(G442-H442)</f>
        <v>0.19779999999999909</v>
      </c>
      <c r="J442" s="280">
        <f t="shared" si="53"/>
        <v>4.5000000000009199E-3</v>
      </c>
      <c r="K442" s="282">
        <f t="shared" si="54"/>
        <v>2.2244191794369352</v>
      </c>
      <c r="L442">
        <v>16</v>
      </c>
      <c r="M442" s="16">
        <v>43358</v>
      </c>
      <c r="N442" s="16">
        <v>43358</v>
      </c>
      <c r="R442" s="282"/>
    </row>
    <row r="443" spans="1:18">
      <c r="A443" t="s">
        <v>762</v>
      </c>
      <c r="B443">
        <v>216</v>
      </c>
      <c r="D443">
        <v>1.5742</v>
      </c>
      <c r="E443">
        <v>10.619300000000001</v>
      </c>
      <c r="F443">
        <v>0.21970000000000001</v>
      </c>
      <c r="G443" s="281">
        <f t="shared" si="52"/>
        <v>10.839</v>
      </c>
      <c r="H443" s="281">
        <v>10.629899999999999</v>
      </c>
      <c r="I443" s="281">
        <f t="shared" ref="I443:I448" si="55">G443-H443</f>
        <v>0.20910000000000117</v>
      </c>
      <c r="J443" s="280">
        <f t="shared" si="53"/>
        <v>1.0599999999998833E-2</v>
      </c>
      <c r="K443" s="282">
        <f t="shared" si="54"/>
        <v>4.8247610377782575</v>
      </c>
      <c r="L443">
        <v>38</v>
      </c>
      <c r="M443" s="16">
        <v>43395</v>
      </c>
      <c r="N443" s="16">
        <v>43396</v>
      </c>
      <c r="R443" s="282"/>
    </row>
    <row r="444" spans="1:18">
      <c r="A444" t="s">
        <v>753</v>
      </c>
      <c r="C444" t="s">
        <v>3713</v>
      </c>
      <c r="D444">
        <v>1.2763</v>
      </c>
      <c r="E444">
        <v>19.389800000000001</v>
      </c>
      <c r="F444">
        <v>0.20469999999999999</v>
      </c>
      <c r="G444" s="281">
        <f t="shared" si="52"/>
        <v>19.5945</v>
      </c>
      <c r="H444" s="281">
        <v>19.420300000000001</v>
      </c>
      <c r="I444" s="281">
        <f t="shared" si="55"/>
        <v>0.17419999999999902</v>
      </c>
      <c r="J444" s="280">
        <f t="shared" si="53"/>
        <v>3.0500000000000971E-2</v>
      </c>
      <c r="K444" s="282">
        <f t="shared" si="54"/>
        <v>14.899853444064959</v>
      </c>
      <c r="L444">
        <v>38</v>
      </c>
      <c r="M444" s="283">
        <v>43361</v>
      </c>
      <c r="N444" s="283">
        <v>43362</v>
      </c>
      <c r="O444" s="280" t="s">
        <v>3707</v>
      </c>
      <c r="R444" s="282"/>
    </row>
    <row r="445" spans="1:18">
      <c r="A445" t="s">
        <v>752</v>
      </c>
      <c r="B445">
        <v>195</v>
      </c>
      <c r="D445">
        <v>0.56830000000000003</v>
      </c>
      <c r="E445">
        <v>9.8225999999999996</v>
      </c>
      <c r="F445">
        <v>0.21909999999999999</v>
      </c>
      <c r="G445" s="281">
        <f t="shared" si="52"/>
        <v>10.041699999999999</v>
      </c>
      <c r="H445" s="281">
        <v>9.9848999999999997</v>
      </c>
      <c r="I445" s="281">
        <f t="shared" si="55"/>
        <v>5.6799999999999073E-2</v>
      </c>
      <c r="J445" s="280">
        <f t="shared" si="53"/>
        <v>0.16230000000000092</v>
      </c>
      <c r="K445" s="282">
        <f t="shared" si="54"/>
        <v>74.075764491100372</v>
      </c>
      <c r="L445">
        <v>10</v>
      </c>
      <c r="M445">
        <v>23.101800000000001</v>
      </c>
      <c r="N445" s="16">
        <v>43397</v>
      </c>
      <c r="R445" s="282"/>
    </row>
    <row r="446" spans="1:18">
      <c r="A446" t="s">
        <v>747</v>
      </c>
      <c r="C446" t="s">
        <v>3704</v>
      </c>
      <c r="D446">
        <v>1.8078000000000001</v>
      </c>
      <c r="E446">
        <v>8.0646000000000004</v>
      </c>
      <c r="F446">
        <v>0.20039999999999999</v>
      </c>
      <c r="G446" s="281">
        <f t="shared" si="52"/>
        <v>8.2650000000000006</v>
      </c>
      <c r="H446" s="281">
        <v>8.0709</v>
      </c>
      <c r="I446" s="281">
        <f t="shared" si="55"/>
        <v>0.19410000000000061</v>
      </c>
      <c r="J446" s="280">
        <f t="shared" si="53"/>
        <v>6.2999999999993894E-3</v>
      </c>
      <c r="K446" s="282">
        <f t="shared" si="54"/>
        <v>3.1437125748499946</v>
      </c>
      <c r="L446">
        <v>5</v>
      </c>
      <c r="M446" s="16">
        <v>43388</v>
      </c>
      <c r="N446" s="283">
        <v>43389</v>
      </c>
      <c r="O446" s="283"/>
      <c r="P446" s="280"/>
      <c r="R446" s="282"/>
    </row>
    <row r="447" spans="1:18">
      <c r="A447" t="s">
        <v>744</v>
      </c>
      <c r="C447" t="s">
        <v>3449</v>
      </c>
      <c r="D447">
        <v>1.5781000000000001</v>
      </c>
      <c r="E447">
        <v>10.510899999999999</v>
      </c>
      <c r="F447">
        <v>0.21429999999999999</v>
      </c>
      <c r="G447" s="281">
        <f t="shared" si="52"/>
        <v>10.725199999999999</v>
      </c>
      <c r="H447" s="281">
        <v>10.534599999999999</v>
      </c>
      <c r="I447" s="281">
        <f t="shared" si="55"/>
        <v>0.19059999999999988</v>
      </c>
      <c r="J447" s="280">
        <f t="shared" si="53"/>
        <v>2.370000000000011E-2</v>
      </c>
      <c r="K447" s="282">
        <f t="shared" si="54"/>
        <v>11.059262715818997</v>
      </c>
      <c r="L447">
        <v>9</v>
      </c>
      <c r="M447" s="283">
        <v>43374</v>
      </c>
      <c r="N447" s="283">
        <v>43375</v>
      </c>
      <c r="O447" s="280" t="s">
        <v>3707</v>
      </c>
      <c r="R447" s="282"/>
    </row>
    <row r="448" spans="1:18">
      <c r="A448" t="s">
        <v>740</v>
      </c>
      <c r="C448" t="s">
        <v>3472</v>
      </c>
      <c r="D448">
        <v>1.6440999999999999</v>
      </c>
      <c r="E448">
        <v>11.003</v>
      </c>
      <c r="F448">
        <v>0.20680000000000001</v>
      </c>
      <c r="G448" s="281">
        <f t="shared" si="52"/>
        <v>11.2098</v>
      </c>
      <c r="H448" s="281">
        <v>11.013500000000001</v>
      </c>
      <c r="I448" s="281">
        <f t="shared" si="55"/>
        <v>0.19629999999999903</v>
      </c>
      <c r="J448" s="280">
        <f t="shared" si="53"/>
        <v>1.0500000000000981E-2</v>
      </c>
      <c r="K448" s="282">
        <f t="shared" si="54"/>
        <v>5.077369439072041</v>
      </c>
      <c r="L448">
        <v>9</v>
      </c>
      <c r="M448" s="283">
        <v>43363</v>
      </c>
      <c r="N448" s="283">
        <v>43364</v>
      </c>
      <c r="O448" s="280"/>
      <c r="R448" s="282"/>
    </row>
    <row r="449" spans="1:18">
      <c r="A449" t="s">
        <v>739</v>
      </c>
      <c r="C449" t="s">
        <v>3678</v>
      </c>
      <c r="D449">
        <v>1.7668999999999999</v>
      </c>
      <c r="E449">
        <v>8.0885999999999996</v>
      </c>
      <c r="F449">
        <v>0.215</v>
      </c>
      <c r="G449" s="281">
        <f t="shared" si="52"/>
        <v>8.3035999999999994</v>
      </c>
      <c r="H449" s="281">
        <v>8.0952000000000002</v>
      </c>
      <c r="I449" s="281">
        <f>(G449-H449)</f>
        <v>0.20839999999999925</v>
      </c>
      <c r="J449" s="280">
        <f t="shared" si="53"/>
        <v>6.6000000000007442E-3</v>
      </c>
      <c r="K449" s="282">
        <f t="shared" si="54"/>
        <v>3.0697674418608112</v>
      </c>
      <c r="L449">
        <v>39</v>
      </c>
      <c r="M449" s="283">
        <v>43360</v>
      </c>
      <c r="N449" s="283">
        <v>43361</v>
      </c>
      <c r="R449" s="282"/>
    </row>
    <row r="450" spans="1:18">
      <c r="A450" t="s">
        <v>734</v>
      </c>
      <c r="C450" t="s">
        <v>3727</v>
      </c>
      <c r="D450">
        <v>1.8056000000000001</v>
      </c>
      <c r="E450">
        <v>10.636699999999999</v>
      </c>
      <c r="F450">
        <v>0.23100000000000001</v>
      </c>
      <c r="G450" s="281">
        <f t="shared" si="52"/>
        <v>10.867699999999999</v>
      </c>
      <c r="H450" s="281">
        <v>10.6434</v>
      </c>
      <c r="I450" s="281">
        <f>G450-H450</f>
        <v>0.2242999999999995</v>
      </c>
      <c r="J450" s="280">
        <f t="shared" si="53"/>
        <v>6.7000000000005111E-3</v>
      </c>
      <c r="K450" s="282">
        <f t="shared" si="54"/>
        <v>2.9004329004331213</v>
      </c>
      <c r="L450">
        <v>22</v>
      </c>
      <c r="M450" s="16">
        <v>43395</v>
      </c>
      <c r="N450" s="16">
        <v>43396</v>
      </c>
      <c r="R450" s="282"/>
    </row>
    <row r="451" spans="1:18">
      <c r="A451" t="s">
        <v>725</v>
      </c>
      <c r="C451" t="s">
        <v>3702</v>
      </c>
      <c r="D451">
        <v>1.8526</v>
      </c>
      <c r="E451">
        <v>8.1366999999999994</v>
      </c>
      <c r="F451">
        <v>0.21049999999999999</v>
      </c>
      <c r="G451" s="281">
        <f t="shared" si="52"/>
        <v>8.3471999999999991</v>
      </c>
      <c r="H451" s="281">
        <v>8.1405999999999992</v>
      </c>
      <c r="I451" s="281">
        <f>(G451-H451)</f>
        <v>0.20659999999999989</v>
      </c>
      <c r="J451" s="280">
        <f t="shared" si="53"/>
        <v>3.9000000000000978E-3</v>
      </c>
      <c r="K451" s="282">
        <f t="shared" si="54"/>
        <v>1.8527315914489777</v>
      </c>
      <c r="L451">
        <v>36</v>
      </c>
      <c r="M451" s="283">
        <v>43360</v>
      </c>
      <c r="N451" s="283">
        <v>43361</v>
      </c>
      <c r="O451" s="280" t="s">
        <v>3684</v>
      </c>
      <c r="R451" s="282"/>
    </row>
    <row r="452" spans="1:18">
      <c r="A452" t="s">
        <v>719</v>
      </c>
      <c r="C452" t="s">
        <v>3478</v>
      </c>
      <c r="D452">
        <v>1.8026</v>
      </c>
      <c r="E452">
        <v>10.2728</v>
      </c>
      <c r="F452">
        <v>0.20960000000000001</v>
      </c>
      <c r="G452" s="281">
        <f t="shared" si="52"/>
        <v>10.4824</v>
      </c>
      <c r="H452" s="281">
        <v>10.2812</v>
      </c>
      <c r="I452" s="281">
        <f>G452-H452</f>
        <v>0.20120000000000005</v>
      </c>
      <c r="J452" s="280">
        <f t="shared" si="53"/>
        <v>8.3999999999999631E-3</v>
      </c>
      <c r="K452" s="282">
        <f t="shared" si="54"/>
        <v>4.0076335877862421</v>
      </c>
      <c r="L452">
        <v>8</v>
      </c>
      <c r="M452" s="283">
        <v>43363</v>
      </c>
      <c r="N452" s="283">
        <v>43364</v>
      </c>
      <c r="O452" s="280"/>
      <c r="R452" s="282"/>
    </row>
    <row r="453" spans="1:18">
      <c r="A453" t="s">
        <v>716</v>
      </c>
      <c r="C453" t="s">
        <v>3407</v>
      </c>
      <c r="D453">
        <v>1.667</v>
      </c>
      <c r="E453">
        <v>8.2201000000000004</v>
      </c>
      <c r="F453">
        <v>0.20880000000000001</v>
      </c>
      <c r="G453" s="281">
        <f t="shared" si="52"/>
        <v>8.4289000000000005</v>
      </c>
      <c r="H453" s="281">
        <v>8.2344000000000008</v>
      </c>
      <c r="I453" s="281">
        <f>G453-H453</f>
        <v>0.19449999999999967</v>
      </c>
      <c r="J453" s="280">
        <f t="shared" si="53"/>
        <v>1.430000000000034E-2</v>
      </c>
      <c r="K453" s="282">
        <f t="shared" si="54"/>
        <v>6.8486590038315791</v>
      </c>
      <c r="L453">
        <v>21</v>
      </c>
      <c r="M453">
        <v>23.101800000000001</v>
      </c>
      <c r="N453" s="16">
        <v>43397</v>
      </c>
      <c r="R453" s="282"/>
    </row>
    <row r="454" spans="1:18">
      <c r="A454" t="s">
        <v>1098</v>
      </c>
      <c r="C454" t="s">
        <v>3729</v>
      </c>
      <c r="D454">
        <v>1.8907</v>
      </c>
      <c r="E454">
        <v>10.5229</v>
      </c>
      <c r="F454">
        <v>0.2137</v>
      </c>
      <c r="G454" s="281">
        <f t="shared" si="52"/>
        <v>10.736599999999999</v>
      </c>
      <c r="H454" s="281">
        <v>10.530200000000001</v>
      </c>
      <c r="I454" s="281">
        <f>G454-H454</f>
        <v>0.20639999999999858</v>
      </c>
      <c r="J454" s="280">
        <f t="shared" si="53"/>
        <v>7.3000000000014165E-3</v>
      </c>
      <c r="K454" s="282">
        <f t="shared" si="54"/>
        <v>3.4160037435664092</v>
      </c>
      <c r="L454">
        <v>31</v>
      </c>
      <c r="M454" s="283">
        <v>43362</v>
      </c>
      <c r="N454" s="283">
        <v>43363</v>
      </c>
      <c r="R454" s="282"/>
    </row>
    <row r="455" spans="1:18">
      <c r="A455" t="s">
        <v>698</v>
      </c>
      <c r="C455" t="s">
        <v>3659</v>
      </c>
      <c r="D455">
        <v>1.4162999999999999</v>
      </c>
      <c r="E455">
        <v>10.855600000000001</v>
      </c>
      <c r="F455">
        <v>0.2001</v>
      </c>
      <c r="G455" s="281">
        <f t="shared" si="52"/>
        <v>11.055700000000002</v>
      </c>
      <c r="H455" s="281">
        <v>10.8756</v>
      </c>
      <c r="I455" s="281">
        <f>(G455-H455)</f>
        <v>0.18010000000000126</v>
      </c>
      <c r="J455" s="280">
        <f t="shared" si="53"/>
        <v>1.9999999999998741E-2</v>
      </c>
      <c r="K455" s="282">
        <f t="shared" si="54"/>
        <v>9.9950024987499955</v>
      </c>
      <c r="L455">
        <v>4</v>
      </c>
      <c r="M455" s="283">
        <v>43360</v>
      </c>
      <c r="N455" s="283">
        <v>43361</v>
      </c>
      <c r="O455" s="280"/>
      <c r="R455" s="282"/>
    </row>
    <row r="456" spans="1:18">
      <c r="A456" t="s">
        <v>686</v>
      </c>
      <c r="B456">
        <v>196</v>
      </c>
      <c r="D456">
        <v>0</v>
      </c>
      <c r="E456">
        <v>0</v>
      </c>
      <c r="F456">
        <v>0</v>
      </c>
      <c r="G456" s="281">
        <f t="shared" si="52"/>
        <v>0</v>
      </c>
      <c r="H456" s="281">
        <v>0</v>
      </c>
      <c r="I456" s="281">
        <v>0</v>
      </c>
      <c r="J456" s="280">
        <f t="shared" si="53"/>
        <v>0</v>
      </c>
      <c r="K456" s="282" t="e">
        <f t="shared" si="54"/>
        <v>#DIV/0!</v>
      </c>
      <c r="M456" s="16">
        <v>43395</v>
      </c>
      <c r="N456" s="16">
        <v>43396</v>
      </c>
      <c r="R456" s="282"/>
    </row>
    <row r="457" spans="1:18">
      <c r="A457" t="s">
        <v>650</v>
      </c>
      <c r="C457" t="s">
        <v>3408</v>
      </c>
      <c r="D457">
        <v>1.7578</v>
      </c>
      <c r="E457">
        <v>8.1340000000000003</v>
      </c>
      <c r="F457">
        <v>0.20430000000000001</v>
      </c>
      <c r="G457" s="281">
        <f t="shared" si="52"/>
        <v>8.3383000000000003</v>
      </c>
      <c r="H457" s="281">
        <v>8.1639999999999997</v>
      </c>
      <c r="I457" s="281">
        <f t="shared" ref="I457:I463" si="56">G457-H457</f>
        <v>0.17430000000000057</v>
      </c>
      <c r="J457" s="280">
        <f t="shared" si="53"/>
        <v>2.9999999999999444E-2</v>
      </c>
      <c r="K457" s="282">
        <f t="shared" si="54"/>
        <v>14.684287812040845</v>
      </c>
      <c r="L457">
        <v>26</v>
      </c>
      <c r="M457">
        <v>23.101800000000001</v>
      </c>
      <c r="N457" s="16">
        <v>43397</v>
      </c>
      <c r="R457" s="282"/>
    </row>
    <row r="458" spans="1:18">
      <c r="A458" t="s">
        <v>627</v>
      </c>
      <c r="C458" t="s">
        <v>3418</v>
      </c>
      <c r="D458">
        <v>1.5656000000000001</v>
      </c>
      <c r="E458">
        <v>10.795299999999999</v>
      </c>
      <c r="F458">
        <v>0.20569999999999999</v>
      </c>
      <c r="G458" s="281">
        <f t="shared" si="52"/>
        <v>11.000999999999999</v>
      </c>
      <c r="H458" s="281">
        <v>10.8185</v>
      </c>
      <c r="I458" s="281">
        <f t="shared" si="56"/>
        <v>0.18249999999999922</v>
      </c>
      <c r="J458" s="280">
        <f t="shared" si="53"/>
        <v>2.3200000000000776E-2</v>
      </c>
      <c r="K458" s="282">
        <f t="shared" si="54"/>
        <v>11.27856101118171</v>
      </c>
      <c r="L458">
        <v>4</v>
      </c>
      <c r="M458" s="16">
        <v>43399</v>
      </c>
      <c r="N458" s="16">
        <v>43400</v>
      </c>
      <c r="R458" s="282"/>
    </row>
    <row r="459" spans="1:18">
      <c r="A459" t="s">
        <v>625</v>
      </c>
      <c r="B459">
        <v>208</v>
      </c>
      <c r="D459">
        <v>1.4911000000000001</v>
      </c>
      <c r="E459">
        <v>9.1992999999999991</v>
      </c>
      <c r="F459">
        <v>0.21929999999999999</v>
      </c>
      <c r="G459" s="281">
        <f t="shared" si="52"/>
        <v>9.4185999999999996</v>
      </c>
      <c r="H459" s="281">
        <v>9.3717000000000006</v>
      </c>
      <c r="I459" s="281">
        <f t="shared" si="56"/>
        <v>4.6899999999999054E-2</v>
      </c>
      <c r="J459" s="280">
        <f t="shared" si="53"/>
        <v>0.17240000000000094</v>
      </c>
      <c r="K459" s="282">
        <f t="shared" si="54"/>
        <v>78.613771089831701</v>
      </c>
      <c r="L459">
        <v>36</v>
      </c>
      <c r="M459" s="16">
        <v>43388</v>
      </c>
      <c r="N459" s="283">
        <v>43389</v>
      </c>
      <c r="O459" s="16"/>
      <c r="R459" s="282"/>
    </row>
    <row r="460" spans="1:18">
      <c r="A460" t="s">
        <v>1089</v>
      </c>
      <c r="C460" t="s">
        <v>3455</v>
      </c>
      <c r="D460">
        <v>4.8792999999999997</v>
      </c>
      <c r="E460">
        <v>7.9619999999999997</v>
      </c>
      <c r="F460">
        <v>0.22500000000000001</v>
      </c>
      <c r="G460">
        <f t="shared" si="52"/>
        <v>8.1869999999999994</v>
      </c>
      <c r="H460">
        <v>8.1724999999999994</v>
      </c>
      <c r="I460" s="281">
        <f t="shared" si="56"/>
        <v>1.4499999999999957E-2</v>
      </c>
      <c r="J460" s="280">
        <f t="shared" si="53"/>
        <v>0.21050000000000005</v>
      </c>
      <c r="K460" s="282">
        <f t="shared" si="54"/>
        <v>93.555555555555571</v>
      </c>
      <c r="L460">
        <v>35</v>
      </c>
      <c r="M460" s="16">
        <v>43399</v>
      </c>
      <c r="N460" s="16">
        <v>43400</v>
      </c>
      <c r="P460" t="s">
        <v>3766</v>
      </c>
      <c r="R460" s="282"/>
    </row>
    <row r="461" spans="1:18">
      <c r="A461" t="s">
        <v>590</v>
      </c>
      <c r="B461">
        <v>207</v>
      </c>
      <c r="D461">
        <v>8.0813000000000006</v>
      </c>
      <c r="E461">
        <v>10.7455</v>
      </c>
      <c r="F461">
        <v>0.2243</v>
      </c>
      <c r="G461" s="281">
        <f t="shared" si="52"/>
        <v>10.969799999999999</v>
      </c>
      <c r="H461" s="281">
        <v>10.9605</v>
      </c>
      <c r="I461" s="281">
        <f t="shared" si="56"/>
        <v>9.2999999999996419E-3</v>
      </c>
      <c r="J461" s="280">
        <f t="shared" si="53"/>
        <v>0.21500000000000036</v>
      </c>
      <c r="K461" s="282">
        <f t="shared" si="54"/>
        <v>95.853767275969844</v>
      </c>
      <c r="L461">
        <v>27</v>
      </c>
      <c r="M461" s="16">
        <v>43388</v>
      </c>
      <c r="N461" s="283">
        <v>43389</v>
      </c>
      <c r="O461" s="16"/>
      <c r="P461" t="s">
        <v>3757</v>
      </c>
      <c r="R461" s="282"/>
    </row>
    <row r="462" spans="1:18">
      <c r="A462" t="s">
        <v>555</v>
      </c>
      <c r="C462" t="s">
        <v>3405</v>
      </c>
      <c r="D462">
        <v>1.7028000000000001</v>
      </c>
      <c r="E462">
        <v>7.7161</v>
      </c>
      <c r="F462">
        <v>0.20880000000000001</v>
      </c>
      <c r="G462" s="281">
        <f t="shared" si="52"/>
        <v>7.9249000000000001</v>
      </c>
      <c r="H462" s="281">
        <v>7.8704999999999998</v>
      </c>
      <c r="I462" s="281">
        <f t="shared" si="56"/>
        <v>5.4400000000000226E-2</v>
      </c>
      <c r="J462" s="280">
        <f t="shared" si="53"/>
        <v>0.15439999999999979</v>
      </c>
      <c r="K462" s="282">
        <f t="shared" si="54"/>
        <v>73.946360153256592</v>
      </c>
      <c r="L462">
        <v>42</v>
      </c>
      <c r="M462" s="16">
        <v>43399</v>
      </c>
      <c r="N462" s="16">
        <v>43400</v>
      </c>
      <c r="R462" s="282"/>
    </row>
    <row r="463" spans="1:18">
      <c r="A463" t="s">
        <v>542</v>
      </c>
      <c r="B463">
        <v>210</v>
      </c>
      <c r="D463">
        <v>1.5698000000000001</v>
      </c>
      <c r="E463">
        <v>10.5413</v>
      </c>
      <c r="F463">
        <v>0.2316</v>
      </c>
      <c r="G463" s="281">
        <f t="shared" si="52"/>
        <v>10.7729</v>
      </c>
      <c r="H463" s="281">
        <v>10.5496</v>
      </c>
      <c r="I463" s="281">
        <f t="shared" si="56"/>
        <v>0.22330000000000005</v>
      </c>
      <c r="J463" s="280">
        <f t="shared" si="53"/>
        <v>8.2999999999999463E-3</v>
      </c>
      <c r="K463" s="282">
        <f t="shared" si="54"/>
        <v>3.5837651122624985</v>
      </c>
      <c r="L463">
        <v>12</v>
      </c>
      <c r="M463" s="16">
        <v>43395</v>
      </c>
      <c r="N463" s="16">
        <v>43396</v>
      </c>
      <c r="R463" s="282"/>
    </row>
    <row r="464" spans="1:18">
      <c r="A464" t="s">
        <v>3872</v>
      </c>
      <c r="C464" t="s">
        <v>3700</v>
      </c>
      <c r="D464">
        <v>1.8286</v>
      </c>
      <c r="E464">
        <v>9.68</v>
      </c>
      <c r="F464">
        <v>0.20250000000000001</v>
      </c>
      <c r="G464" s="281">
        <f t="shared" si="52"/>
        <v>9.8825000000000003</v>
      </c>
      <c r="H464" s="281">
        <v>9.6837</v>
      </c>
      <c r="I464" s="281">
        <f>(G464-H464)</f>
        <v>0.19880000000000031</v>
      </c>
      <c r="J464" s="280">
        <f t="shared" si="53"/>
        <v>3.6999999999997035E-3</v>
      </c>
      <c r="K464" s="282">
        <f t="shared" si="54"/>
        <v>1.8271604938270138</v>
      </c>
      <c r="L464">
        <v>33</v>
      </c>
      <c r="M464" s="283">
        <v>43360</v>
      </c>
      <c r="N464" s="283">
        <v>43361</v>
      </c>
      <c r="O464" s="280" t="s">
        <v>3684</v>
      </c>
      <c r="R464" s="282"/>
    </row>
    <row r="465" spans="1:18">
      <c r="A465" t="s">
        <v>537</v>
      </c>
      <c r="C465" t="s">
        <v>3721</v>
      </c>
      <c r="D465">
        <v>1.903</v>
      </c>
      <c r="E465">
        <v>19.691500000000001</v>
      </c>
      <c r="F465">
        <v>0.20649999999999999</v>
      </c>
      <c r="G465" s="281">
        <f t="shared" si="52"/>
        <v>19.898</v>
      </c>
      <c r="H465" s="281">
        <v>19.696200000000001</v>
      </c>
      <c r="I465" s="281">
        <f>G465-H465</f>
        <v>0.20179999999999865</v>
      </c>
      <c r="J465" s="280">
        <f t="shared" si="53"/>
        <v>4.700000000001342E-3</v>
      </c>
      <c r="K465" s="282">
        <f t="shared" si="54"/>
        <v>2.2760290556907226</v>
      </c>
      <c r="L465">
        <v>11</v>
      </c>
      <c r="M465" s="283">
        <v>43362</v>
      </c>
      <c r="N465" s="283">
        <v>43363</v>
      </c>
      <c r="O465" s="280"/>
      <c r="R465" s="282"/>
    </row>
    <row r="466" spans="1:18">
      <c r="A466" t="s">
        <v>536</v>
      </c>
      <c r="C466" t="s">
        <v>3730</v>
      </c>
      <c r="D466">
        <v>1.7423999999999999</v>
      </c>
      <c r="E466">
        <v>10.315099999999999</v>
      </c>
      <c r="F466">
        <v>0.21060000000000001</v>
      </c>
      <c r="G466" s="281">
        <f t="shared" si="52"/>
        <v>10.525699999999999</v>
      </c>
      <c r="H466" s="281">
        <v>10.321999999999999</v>
      </c>
      <c r="I466" s="281">
        <f>G466-H466</f>
        <v>0.20369999999999955</v>
      </c>
      <c r="J466" s="280">
        <f t="shared" si="53"/>
        <v>6.9000000000004613E-3</v>
      </c>
      <c r="K466" s="282">
        <f t="shared" si="54"/>
        <v>3.2763532763534955</v>
      </c>
      <c r="L466">
        <v>34</v>
      </c>
      <c r="M466" s="283">
        <v>43362</v>
      </c>
      <c r="N466" s="283">
        <v>43363</v>
      </c>
      <c r="R466" s="282"/>
    </row>
    <row r="467" spans="1:18">
      <c r="A467" t="s">
        <v>535</v>
      </c>
      <c r="B467">
        <v>207</v>
      </c>
      <c r="D467">
        <v>1.4268000000000001</v>
      </c>
      <c r="E467">
        <v>8.0485000000000007</v>
      </c>
      <c r="F467">
        <v>0.21410000000000001</v>
      </c>
      <c r="G467" s="281">
        <f t="shared" si="52"/>
        <v>8.2626000000000008</v>
      </c>
      <c r="H467" s="281">
        <v>8.0561000000000007</v>
      </c>
      <c r="I467" s="281">
        <f>G467-H467</f>
        <v>0.20650000000000013</v>
      </c>
      <c r="J467" s="280">
        <f t="shared" si="53"/>
        <v>7.5999999999998846E-3</v>
      </c>
      <c r="K467" s="282">
        <f t="shared" si="54"/>
        <v>3.5497431106958826</v>
      </c>
      <c r="L467">
        <v>19</v>
      </c>
      <c r="M467" s="16">
        <v>43395</v>
      </c>
      <c r="N467" s="16">
        <v>43396</v>
      </c>
      <c r="R467" s="282"/>
    </row>
    <row r="468" spans="1:18">
      <c r="A468" t="s">
        <v>534</v>
      </c>
      <c r="C468" t="s">
        <v>3449</v>
      </c>
      <c r="D468">
        <v>1.6539999999999999</v>
      </c>
      <c r="E468">
        <v>9.7266999999999992</v>
      </c>
      <c r="F468">
        <v>0.20380000000000001</v>
      </c>
      <c r="G468" s="281">
        <f t="shared" ref="G468:G499" si="57">E468+F468</f>
        <v>9.9304999999999986</v>
      </c>
      <c r="H468" s="281">
        <v>9.7454999999999998</v>
      </c>
      <c r="I468" s="281">
        <f>G468-H468</f>
        <v>0.18499999999999872</v>
      </c>
      <c r="J468" s="280">
        <f t="shared" ref="J468:J499" si="58">F468-I468</f>
        <v>1.8800000000001288E-2</v>
      </c>
      <c r="K468" s="282">
        <f t="shared" ref="K468:K499" si="59">(J468/F468)*100</f>
        <v>9.224730127576688</v>
      </c>
      <c r="L468">
        <v>12</v>
      </c>
      <c r="M468" s="283">
        <v>43362</v>
      </c>
      <c r="N468" s="283">
        <v>43363</v>
      </c>
      <c r="O468" s="280"/>
      <c r="R468" s="282"/>
    </row>
    <row r="469" spans="1:18">
      <c r="A469" t="s">
        <v>533</v>
      </c>
      <c r="C469" t="s">
        <v>3663</v>
      </c>
      <c r="D469">
        <v>1.8287</v>
      </c>
      <c r="E469">
        <v>10.795</v>
      </c>
      <c r="F469">
        <v>0.20930000000000001</v>
      </c>
      <c r="G469" s="281">
        <f t="shared" si="57"/>
        <v>11.004300000000001</v>
      </c>
      <c r="H469" s="281">
        <v>10.799099999999999</v>
      </c>
      <c r="I469" s="281">
        <f>(G469-H469)</f>
        <v>0.20520000000000138</v>
      </c>
      <c r="J469" s="280">
        <f t="shared" si="58"/>
        <v>4.0999999999986325E-3</v>
      </c>
      <c r="K469" s="282">
        <f t="shared" si="59"/>
        <v>1.9589106545621751</v>
      </c>
      <c r="L469">
        <v>11</v>
      </c>
      <c r="M469" s="283">
        <v>43360</v>
      </c>
      <c r="N469" s="283">
        <v>43361</v>
      </c>
      <c r="O469" s="280" t="s">
        <v>3684</v>
      </c>
      <c r="R469" s="282"/>
    </row>
    <row r="470" spans="1:18">
      <c r="A470" t="s">
        <v>531</v>
      </c>
      <c r="B470">
        <v>217</v>
      </c>
      <c r="C470" t="s">
        <v>2490</v>
      </c>
      <c r="D470">
        <v>1.4722</v>
      </c>
      <c r="E470">
        <v>9.0527999999999995</v>
      </c>
      <c r="F470">
        <v>0.23350000000000001</v>
      </c>
      <c r="G470">
        <f t="shared" si="57"/>
        <v>9.2862999999999989</v>
      </c>
      <c r="H470">
        <v>9.0609000000000002</v>
      </c>
      <c r="I470" s="281">
        <f>G470-H470</f>
        <v>0.22539999999999871</v>
      </c>
      <c r="J470" s="280">
        <f t="shared" si="58"/>
        <v>8.1000000000013006E-3</v>
      </c>
      <c r="K470" s="282">
        <f t="shared" si="59"/>
        <v>3.468950749465225</v>
      </c>
      <c r="L470">
        <v>38</v>
      </c>
      <c r="M470" s="16">
        <v>43399</v>
      </c>
      <c r="N470" s="16">
        <v>43400</v>
      </c>
      <c r="R470" s="282"/>
    </row>
    <row r="471" spans="1:18">
      <c r="A471" t="s">
        <v>530</v>
      </c>
      <c r="C471" t="s">
        <v>3482</v>
      </c>
      <c r="D471" s="280">
        <v>1.8170999999999999</v>
      </c>
      <c r="E471" s="281">
        <v>10.675599999999999</v>
      </c>
      <c r="F471" s="281">
        <v>0.2026</v>
      </c>
      <c r="G471" s="281">
        <f t="shared" si="57"/>
        <v>10.8782</v>
      </c>
      <c r="H471" s="281">
        <v>10.683199999999999</v>
      </c>
      <c r="I471" s="281">
        <f>(G471-H471)</f>
        <v>0.19500000000000028</v>
      </c>
      <c r="J471" s="280">
        <f t="shared" si="58"/>
        <v>7.5999999999997181E-3</v>
      </c>
      <c r="K471" s="282">
        <f t="shared" si="59"/>
        <v>3.7512339585388541</v>
      </c>
      <c r="L471" s="280">
        <v>1</v>
      </c>
      <c r="M471" s="283">
        <v>43360</v>
      </c>
      <c r="N471" s="283">
        <v>43361</v>
      </c>
      <c r="O471" s="280"/>
      <c r="P471" s="280"/>
      <c r="R471" s="282"/>
    </row>
    <row r="472" spans="1:18">
      <c r="A472" t="s">
        <v>1080</v>
      </c>
      <c r="C472" t="s">
        <v>3666</v>
      </c>
      <c r="D472">
        <v>1.8147</v>
      </c>
      <c r="E472">
        <v>11.0875</v>
      </c>
      <c r="F472">
        <v>0.2051</v>
      </c>
      <c r="G472" s="281">
        <f t="shared" si="57"/>
        <v>11.2926</v>
      </c>
      <c r="H472" s="281">
        <v>11.093400000000001</v>
      </c>
      <c r="I472" s="281">
        <f>(G472-H472)</f>
        <v>0.19919999999999938</v>
      </c>
      <c r="J472" s="280">
        <f t="shared" si="58"/>
        <v>5.900000000000627E-3</v>
      </c>
      <c r="K472" s="282">
        <f t="shared" si="59"/>
        <v>2.8766455387618852</v>
      </c>
      <c r="L472">
        <v>12</v>
      </c>
      <c r="M472" s="283">
        <v>43360</v>
      </c>
      <c r="N472" s="283">
        <v>43361</v>
      </c>
      <c r="O472" s="280"/>
      <c r="R472" s="282"/>
    </row>
    <row r="473" spans="1:18">
      <c r="A473" t="s">
        <v>529</v>
      </c>
      <c r="C473" t="s">
        <v>3654</v>
      </c>
      <c r="D473">
        <v>1.7833000000000001</v>
      </c>
      <c r="E473">
        <v>7.7732999999999999</v>
      </c>
      <c r="F473">
        <v>0.20349999999999999</v>
      </c>
      <c r="G473" s="281">
        <f t="shared" si="57"/>
        <v>7.9767999999999999</v>
      </c>
      <c r="H473" s="281">
        <v>7.7792000000000003</v>
      </c>
      <c r="I473" s="281">
        <f>(G473-H473)</f>
        <v>0.19759999999999955</v>
      </c>
      <c r="J473" s="280">
        <f t="shared" si="58"/>
        <v>5.9000000000004327E-3</v>
      </c>
      <c r="K473" s="282">
        <f t="shared" si="59"/>
        <v>2.8992628992631118</v>
      </c>
      <c r="L473">
        <v>31</v>
      </c>
      <c r="M473" s="16">
        <v>43358</v>
      </c>
      <c r="N473" s="16">
        <v>43358</v>
      </c>
      <c r="R473" s="282"/>
    </row>
    <row r="474" spans="1:18">
      <c r="A474" t="s">
        <v>528</v>
      </c>
      <c r="B474">
        <v>194</v>
      </c>
      <c r="D474">
        <v>1.4630000000000001</v>
      </c>
      <c r="E474">
        <v>10.2719</v>
      </c>
      <c r="F474">
        <v>0.2374</v>
      </c>
      <c r="G474" s="281">
        <f t="shared" si="57"/>
        <v>10.5093</v>
      </c>
      <c r="H474" s="281">
        <v>10.2799</v>
      </c>
      <c r="I474" s="281">
        <f>G474-H474</f>
        <v>0.22940000000000005</v>
      </c>
      <c r="J474" s="280">
        <f t="shared" si="58"/>
        <v>7.9999999999999516E-3</v>
      </c>
      <c r="K474" s="282">
        <f t="shared" si="59"/>
        <v>3.3698399326031812</v>
      </c>
      <c r="L474">
        <v>41</v>
      </c>
      <c r="M474" s="16">
        <v>43388</v>
      </c>
      <c r="N474" s="283">
        <v>43389</v>
      </c>
      <c r="O474" s="16"/>
      <c r="R474" s="282"/>
    </row>
    <row r="475" spans="1:18">
      <c r="A475" t="s">
        <v>527</v>
      </c>
      <c r="C475" t="s">
        <v>3446</v>
      </c>
      <c r="D475">
        <v>2.9346999999999999</v>
      </c>
      <c r="E475">
        <v>7.0765000000000002</v>
      </c>
      <c r="F475">
        <v>0.20419999999999999</v>
      </c>
      <c r="G475" s="281">
        <f t="shared" si="57"/>
        <v>7.2807000000000004</v>
      </c>
      <c r="H475" s="281">
        <v>7.2693000000000003</v>
      </c>
      <c r="I475" s="281">
        <f>G475-H475</f>
        <v>1.1400000000000077E-2</v>
      </c>
      <c r="J475" s="280">
        <f t="shared" si="58"/>
        <v>0.19279999999999992</v>
      </c>
      <c r="K475" s="282">
        <f t="shared" si="59"/>
        <v>94.417238001958822</v>
      </c>
      <c r="L475">
        <v>24</v>
      </c>
      <c r="M475" s="283">
        <v>43374</v>
      </c>
      <c r="N475" s="283">
        <v>43375</v>
      </c>
      <c r="O475" s="280" t="s">
        <v>3707</v>
      </c>
      <c r="R475" s="282"/>
    </row>
    <row r="476" spans="1:18">
      <c r="A476" t="s">
        <v>526</v>
      </c>
      <c r="C476" t="s">
        <v>3450</v>
      </c>
      <c r="D476">
        <v>1.5807</v>
      </c>
      <c r="E476">
        <v>9.4860000000000007</v>
      </c>
      <c r="F476">
        <v>0.20150000000000001</v>
      </c>
      <c r="G476" s="281">
        <f t="shared" si="57"/>
        <v>9.6875</v>
      </c>
      <c r="H476" s="281">
        <v>9.5311000000000003</v>
      </c>
      <c r="I476" s="281">
        <f>G476-H476</f>
        <v>0.15639999999999965</v>
      </c>
      <c r="J476" s="280">
        <f t="shared" si="58"/>
        <v>4.5100000000000362E-2</v>
      </c>
      <c r="K476" s="282">
        <f t="shared" si="59"/>
        <v>22.3821339950374</v>
      </c>
      <c r="L476">
        <v>25</v>
      </c>
      <c r="M476" s="283">
        <v>43374</v>
      </c>
      <c r="N476" s="283">
        <v>43375</v>
      </c>
      <c r="O476" s="280" t="s">
        <v>3707</v>
      </c>
      <c r="R476" s="282"/>
    </row>
    <row r="477" spans="1:18">
      <c r="A477" t="s">
        <v>525</v>
      </c>
      <c r="C477" t="s">
        <v>3649</v>
      </c>
      <c r="D477">
        <v>1.7997000000000001</v>
      </c>
      <c r="E477">
        <v>8.7592999999999996</v>
      </c>
      <c r="F477">
        <v>0.2092</v>
      </c>
      <c r="G477" s="281">
        <f t="shared" si="57"/>
        <v>8.9684999999999988</v>
      </c>
      <c r="H477" s="281">
        <v>8.7647999999999993</v>
      </c>
      <c r="I477" s="281">
        <f>(G477-H477)</f>
        <v>0.20369999999999955</v>
      </c>
      <c r="J477" s="280">
        <f t="shared" si="58"/>
        <v>5.500000000000449E-3</v>
      </c>
      <c r="K477" s="282">
        <f t="shared" si="59"/>
        <v>2.629063097514555</v>
      </c>
      <c r="L477">
        <v>11</v>
      </c>
      <c r="M477" s="16">
        <v>43358</v>
      </c>
      <c r="N477" s="16">
        <v>43358</v>
      </c>
      <c r="R477" s="282"/>
    </row>
    <row r="478" spans="1:18">
      <c r="A478" t="s">
        <v>524</v>
      </c>
      <c r="C478" t="s">
        <v>3438</v>
      </c>
      <c r="D478">
        <v>1.2862</v>
      </c>
      <c r="E478">
        <v>9.7268000000000008</v>
      </c>
      <c r="F478">
        <v>0.20030000000000001</v>
      </c>
      <c r="G478" s="285">
        <f t="shared" si="57"/>
        <v>9.9271000000000011</v>
      </c>
      <c r="H478" s="281">
        <v>9.7872000000000003</v>
      </c>
      <c r="I478" s="285">
        <f>G478-H478</f>
        <v>0.1399000000000008</v>
      </c>
      <c r="J478" s="280">
        <f t="shared" si="58"/>
        <v>6.0399999999999204E-2</v>
      </c>
      <c r="K478" s="282">
        <f t="shared" si="59"/>
        <v>30.154767848227259</v>
      </c>
      <c r="L478">
        <v>29</v>
      </c>
      <c r="M478" s="283">
        <v>43379</v>
      </c>
      <c r="N478" s="283">
        <v>43379</v>
      </c>
      <c r="R478" s="282"/>
    </row>
    <row r="479" spans="1:18">
      <c r="A479" t="s">
        <v>523</v>
      </c>
      <c r="C479" t="s">
        <v>3719</v>
      </c>
      <c r="D479">
        <v>1.7892999999999999</v>
      </c>
      <c r="E479">
        <v>7.4820000000000002</v>
      </c>
      <c r="F479">
        <v>0.20480000000000001</v>
      </c>
      <c r="G479" s="281">
        <f t="shared" si="57"/>
        <v>7.6867999999999999</v>
      </c>
      <c r="H479" s="281">
        <v>7.4873000000000003</v>
      </c>
      <c r="I479" s="281">
        <f>G479-H479</f>
        <v>0.19949999999999957</v>
      </c>
      <c r="J479" s="280">
        <f t="shared" si="58"/>
        <v>5.3000000000004432E-3</v>
      </c>
      <c r="K479" s="282">
        <f t="shared" si="59"/>
        <v>2.5878906250002163</v>
      </c>
      <c r="L479">
        <v>32</v>
      </c>
      <c r="M479" s="16">
        <v>43381</v>
      </c>
      <c r="N479" s="16">
        <v>43382</v>
      </c>
      <c r="R479" s="282"/>
    </row>
    <row r="480" spans="1:18">
      <c r="A480" t="s">
        <v>522</v>
      </c>
      <c r="C480" t="s">
        <v>3473</v>
      </c>
      <c r="D480">
        <v>1.7042999999999999</v>
      </c>
      <c r="E480">
        <v>8.8626000000000005</v>
      </c>
      <c r="F480">
        <v>0.2026</v>
      </c>
      <c r="G480" s="281">
        <f t="shared" si="57"/>
        <v>9.0652000000000008</v>
      </c>
      <c r="H480" s="281">
        <v>8.8676999999999992</v>
      </c>
      <c r="I480" s="281">
        <f>G480-H480</f>
        <v>0.19750000000000156</v>
      </c>
      <c r="J480" s="280">
        <f t="shared" si="58"/>
        <v>5.0999999999984391E-3</v>
      </c>
      <c r="K480" s="282">
        <f t="shared" si="59"/>
        <v>2.5172754195451326</v>
      </c>
      <c r="L480">
        <v>10</v>
      </c>
      <c r="M480" s="283">
        <v>43363</v>
      </c>
      <c r="N480" s="283">
        <v>43364</v>
      </c>
      <c r="O480" s="280" t="s">
        <v>3732</v>
      </c>
      <c r="R480" s="282"/>
    </row>
    <row r="481" spans="1:18">
      <c r="A481" t="s">
        <v>521</v>
      </c>
      <c r="C481" t="s">
        <v>3709</v>
      </c>
      <c r="D481" s="280">
        <v>1.786</v>
      </c>
      <c r="E481" s="281">
        <v>8.8610000000000007</v>
      </c>
      <c r="F481" s="281">
        <v>0.21629999999999999</v>
      </c>
      <c r="G481" s="281">
        <f t="shared" si="57"/>
        <v>9.077300000000001</v>
      </c>
      <c r="H481" s="281">
        <v>8.8727</v>
      </c>
      <c r="I481" s="281">
        <f>G481-H481</f>
        <v>0.204600000000001</v>
      </c>
      <c r="J481" s="280">
        <f t="shared" si="58"/>
        <v>1.1699999999998989E-2</v>
      </c>
      <c r="K481" s="282">
        <f t="shared" si="59"/>
        <v>5.4091539528428063</v>
      </c>
      <c r="L481" s="280">
        <v>1</v>
      </c>
      <c r="M481" s="283">
        <v>43363</v>
      </c>
      <c r="N481" s="283">
        <v>43364</v>
      </c>
      <c r="O481" s="280"/>
      <c r="P481" s="280"/>
      <c r="R481" s="282"/>
    </row>
    <row r="482" spans="1:18">
      <c r="A482" t="s">
        <v>520</v>
      </c>
      <c r="C482" t="s">
        <v>3676</v>
      </c>
      <c r="D482">
        <v>1.8220000000000001</v>
      </c>
      <c r="E482">
        <v>10.9032</v>
      </c>
      <c r="F482">
        <v>0.20369999999999999</v>
      </c>
      <c r="G482" s="281">
        <f t="shared" si="57"/>
        <v>11.1069</v>
      </c>
      <c r="H482" s="281">
        <v>10.9102</v>
      </c>
      <c r="I482" s="281">
        <f>G482-H482</f>
        <v>0.19669999999999987</v>
      </c>
      <c r="J482" s="280">
        <f t="shared" si="58"/>
        <v>7.0000000000001172E-3</v>
      </c>
      <c r="K482" s="282">
        <f t="shared" si="59"/>
        <v>3.4364261168385459</v>
      </c>
      <c r="L482">
        <v>5</v>
      </c>
      <c r="M482" s="16">
        <v>43381</v>
      </c>
      <c r="N482" s="16">
        <v>43382</v>
      </c>
      <c r="R482" s="282"/>
    </row>
    <row r="483" spans="1:18">
      <c r="A483" t="s">
        <v>519</v>
      </c>
      <c r="C483" t="s">
        <v>3641</v>
      </c>
      <c r="D483">
        <v>1.8440000000000001</v>
      </c>
      <c r="E483">
        <v>11.105</v>
      </c>
      <c r="F483">
        <v>0.20319999999999999</v>
      </c>
      <c r="G483" s="281">
        <f t="shared" si="57"/>
        <v>11.308200000000001</v>
      </c>
      <c r="H483" s="281">
        <v>11.111700000000001</v>
      </c>
      <c r="I483" s="281">
        <f>(G483-H483)</f>
        <v>0.19650000000000034</v>
      </c>
      <c r="J483" s="280">
        <f t="shared" si="58"/>
        <v>6.6999999999996507E-3</v>
      </c>
      <c r="K483" s="282">
        <f t="shared" si="59"/>
        <v>3.2972440944880175</v>
      </c>
      <c r="L483">
        <v>13</v>
      </c>
      <c r="M483" s="16">
        <v>43358</v>
      </c>
      <c r="N483" s="16">
        <v>43358</v>
      </c>
      <c r="R483" s="282"/>
    </row>
    <row r="484" spans="1:18">
      <c r="A484" t="s">
        <v>518</v>
      </c>
      <c r="B484">
        <v>203</v>
      </c>
      <c r="C484" t="s">
        <v>2490</v>
      </c>
      <c r="D484">
        <v>1.4706999999999999</v>
      </c>
      <c r="E484">
        <v>8.0893999999999995</v>
      </c>
      <c r="F484">
        <v>0.22309999999999999</v>
      </c>
      <c r="G484">
        <f t="shared" si="57"/>
        <v>8.3125</v>
      </c>
      <c r="H484">
        <v>8.0984999999999996</v>
      </c>
      <c r="I484" s="281">
        <f t="shared" ref="I484:I493" si="60">G484-H484</f>
        <v>0.21400000000000041</v>
      </c>
      <c r="J484" s="280">
        <f t="shared" si="58"/>
        <v>9.0999999999995806E-3</v>
      </c>
      <c r="K484" s="282">
        <f t="shared" si="59"/>
        <v>4.0788883908559299</v>
      </c>
      <c r="L484">
        <v>10</v>
      </c>
      <c r="M484" s="16">
        <v>43402</v>
      </c>
      <c r="N484" s="16">
        <v>43403</v>
      </c>
      <c r="R484" s="282"/>
    </row>
    <row r="485" spans="1:18">
      <c r="A485" t="s">
        <v>517</v>
      </c>
      <c r="B485">
        <v>216</v>
      </c>
      <c r="D485">
        <v>1.4694</v>
      </c>
      <c r="E485">
        <v>7.9946000000000002</v>
      </c>
      <c r="F485">
        <v>0.20860000000000001</v>
      </c>
      <c r="G485" s="281">
        <f t="shared" si="57"/>
        <v>8.2032000000000007</v>
      </c>
      <c r="H485" s="281">
        <v>8.0044000000000004</v>
      </c>
      <c r="I485" s="281">
        <f t="shared" si="60"/>
        <v>0.19880000000000031</v>
      </c>
      <c r="J485" s="280">
        <f t="shared" si="58"/>
        <v>9.7999999999996978E-3</v>
      </c>
      <c r="K485" s="282">
        <f t="shared" si="59"/>
        <v>4.6979865771810632</v>
      </c>
      <c r="L485">
        <v>25</v>
      </c>
      <c r="M485" s="16">
        <v>43395</v>
      </c>
      <c r="N485" s="16">
        <v>43396</v>
      </c>
      <c r="R485" s="282"/>
    </row>
    <row r="486" spans="1:18">
      <c r="A486" t="s">
        <v>516</v>
      </c>
      <c r="B486">
        <v>193</v>
      </c>
      <c r="D486">
        <v>1.2164999999999999</v>
      </c>
      <c r="E486">
        <v>7.3555000000000001</v>
      </c>
      <c r="F486">
        <v>0.21340000000000001</v>
      </c>
      <c r="G486" s="281">
        <f t="shared" si="57"/>
        <v>7.5689000000000002</v>
      </c>
      <c r="H486" s="281">
        <v>7.3685</v>
      </c>
      <c r="I486" s="281">
        <f t="shared" si="60"/>
        <v>0.20040000000000013</v>
      </c>
      <c r="J486" s="280">
        <f t="shared" si="58"/>
        <v>1.2999999999999873E-2</v>
      </c>
      <c r="K486" s="282">
        <f t="shared" si="59"/>
        <v>6.0918462980318058</v>
      </c>
      <c r="L486">
        <v>8</v>
      </c>
      <c r="M486" s="16">
        <v>43395</v>
      </c>
      <c r="N486" s="16">
        <v>43396</v>
      </c>
      <c r="R486" s="282"/>
    </row>
    <row r="487" spans="1:18">
      <c r="A487" t="s">
        <v>515</v>
      </c>
      <c r="C487" t="s">
        <v>3737</v>
      </c>
      <c r="D487">
        <v>0.83020000000000005</v>
      </c>
      <c r="E487">
        <v>7.1901999999999999</v>
      </c>
      <c r="F487">
        <v>0.2041</v>
      </c>
      <c r="G487" s="281">
        <f t="shared" si="57"/>
        <v>7.3943000000000003</v>
      </c>
      <c r="H487" s="281">
        <v>7.3662999999999998</v>
      </c>
      <c r="I487" s="281">
        <f t="shared" si="60"/>
        <v>2.8000000000000469E-2</v>
      </c>
      <c r="J487" s="280">
        <f t="shared" si="58"/>
        <v>0.17609999999999953</v>
      </c>
      <c r="K487" s="282">
        <f t="shared" si="59"/>
        <v>86.281234688877774</v>
      </c>
      <c r="L487">
        <v>29</v>
      </c>
      <c r="M487" s="283">
        <v>43363</v>
      </c>
      <c r="N487" s="283">
        <v>43364</v>
      </c>
      <c r="R487" s="282"/>
    </row>
    <row r="488" spans="1:18">
      <c r="A488" t="s">
        <v>514</v>
      </c>
      <c r="B488">
        <v>208</v>
      </c>
      <c r="D488">
        <v>1.5009999999999999</v>
      </c>
      <c r="E488">
        <v>10.315300000000001</v>
      </c>
      <c r="F488">
        <v>0.20960000000000001</v>
      </c>
      <c r="G488" s="281">
        <f t="shared" si="57"/>
        <v>10.524900000000001</v>
      </c>
      <c r="H488" s="281">
        <v>10.331799999999999</v>
      </c>
      <c r="I488" s="281">
        <f t="shared" si="60"/>
        <v>0.19310000000000116</v>
      </c>
      <c r="J488" s="280">
        <f t="shared" si="58"/>
        <v>1.6499999999998849E-2</v>
      </c>
      <c r="K488" s="282">
        <f t="shared" si="59"/>
        <v>7.8721374045796031</v>
      </c>
      <c r="L488">
        <v>39</v>
      </c>
      <c r="M488" s="16">
        <v>43388</v>
      </c>
      <c r="N488" s="283">
        <v>43389</v>
      </c>
      <c r="O488" s="16"/>
      <c r="R488" s="282"/>
    </row>
    <row r="489" spans="1:18">
      <c r="A489" t="s">
        <v>512</v>
      </c>
      <c r="B489">
        <v>211</v>
      </c>
      <c r="C489" t="s">
        <v>2490</v>
      </c>
      <c r="D489">
        <v>1.5597000000000001</v>
      </c>
      <c r="E489">
        <v>10.057</v>
      </c>
      <c r="F489">
        <v>0.2034</v>
      </c>
      <c r="G489" s="281">
        <f t="shared" si="57"/>
        <v>10.260400000000001</v>
      </c>
      <c r="H489" s="281">
        <v>10.0685</v>
      </c>
      <c r="I489" s="281">
        <f t="shared" si="60"/>
        <v>0.1919000000000004</v>
      </c>
      <c r="J489" s="280">
        <f t="shared" si="58"/>
        <v>1.1499999999999594E-2</v>
      </c>
      <c r="K489" s="282">
        <f t="shared" si="59"/>
        <v>5.6538839724678436</v>
      </c>
      <c r="L489">
        <v>14</v>
      </c>
      <c r="M489" s="16">
        <v>43388</v>
      </c>
      <c r="N489" s="283">
        <v>43389</v>
      </c>
      <c r="O489" s="283"/>
      <c r="P489" s="280"/>
      <c r="R489" s="282"/>
    </row>
    <row r="490" spans="1:18">
      <c r="A490" t="s">
        <v>511</v>
      </c>
      <c r="C490" t="s">
        <v>3409</v>
      </c>
      <c r="D490">
        <v>1.5824</v>
      </c>
      <c r="E490">
        <v>10.315300000000001</v>
      </c>
      <c r="F490">
        <v>0.20150000000000001</v>
      </c>
      <c r="G490" s="281">
        <f t="shared" si="57"/>
        <v>10.5168</v>
      </c>
      <c r="H490" s="281">
        <v>10.333500000000001</v>
      </c>
      <c r="I490" s="281">
        <f t="shared" si="60"/>
        <v>0.18329999999999913</v>
      </c>
      <c r="J490" s="280">
        <f t="shared" si="58"/>
        <v>1.8200000000000882E-2</v>
      </c>
      <c r="K490" s="282">
        <f t="shared" si="59"/>
        <v>9.0322580645165651</v>
      </c>
      <c r="L490">
        <v>42</v>
      </c>
      <c r="M490">
        <v>23.101800000000001</v>
      </c>
      <c r="N490" s="16">
        <v>43397</v>
      </c>
      <c r="R490" s="282"/>
    </row>
    <row r="491" spans="1:18">
      <c r="A491" t="s">
        <v>510</v>
      </c>
      <c r="C491" t="s">
        <v>3396</v>
      </c>
      <c r="D491">
        <v>1.6624000000000001</v>
      </c>
      <c r="E491">
        <v>9.1379999999999999</v>
      </c>
      <c r="F491">
        <v>0.20480000000000001</v>
      </c>
      <c r="G491" s="281">
        <f t="shared" si="57"/>
        <v>9.3428000000000004</v>
      </c>
      <c r="H491" s="281">
        <v>9.1547000000000001</v>
      </c>
      <c r="I491" s="281">
        <f t="shared" si="60"/>
        <v>0.18810000000000038</v>
      </c>
      <c r="J491" s="280">
        <f t="shared" si="58"/>
        <v>1.6699999999999632E-2</v>
      </c>
      <c r="K491" s="282">
        <f t="shared" si="59"/>
        <v>8.1542968749998188</v>
      </c>
      <c r="L491">
        <v>9</v>
      </c>
      <c r="M491" s="16">
        <v>43388</v>
      </c>
      <c r="N491" s="283">
        <v>43389</v>
      </c>
      <c r="O491" s="283"/>
      <c r="P491" s="280"/>
      <c r="R491" s="282"/>
    </row>
    <row r="492" spans="1:18">
      <c r="A492" t="s">
        <v>507</v>
      </c>
      <c r="C492" t="s">
        <v>3726</v>
      </c>
      <c r="D492">
        <v>1.8246</v>
      </c>
      <c r="E492">
        <v>10.1165</v>
      </c>
      <c r="F492">
        <v>0.22919999999999999</v>
      </c>
      <c r="G492" s="281">
        <f t="shared" si="57"/>
        <v>10.345700000000001</v>
      </c>
      <c r="H492" s="281">
        <v>10.1234</v>
      </c>
      <c r="I492" s="281">
        <f t="shared" si="60"/>
        <v>0.22230000000000061</v>
      </c>
      <c r="J492" s="280">
        <f t="shared" si="58"/>
        <v>6.8999999999993789E-3</v>
      </c>
      <c r="K492" s="282">
        <f t="shared" si="59"/>
        <v>3.0104712041882107</v>
      </c>
      <c r="L492">
        <v>37</v>
      </c>
      <c r="M492" s="283">
        <v>43362</v>
      </c>
      <c r="N492" s="283">
        <v>43363</v>
      </c>
      <c r="R492" s="282"/>
    </row>
    <row r="493" spans="1:18">
      <c r="A493" t="s">
        <v>506</v>
      </c>
      <c r="C493" t="s">
        <v>3404</v>
      </c>
      <c r="D493">
        <v>1.4185000000000001</v>
      </c>
      <c r="E493">
        <v>9.0531000000000006</v>
      </c>
      <c r="F493">
        <v>0.2029</v>
      </c>
      <c r="G493" s="281">
        <f t="shared" si="57"/>
        <v>9.2560000000000002</v>
      </c>
      <c r="H493" s="281">
        <v>9.0648999999999997</v>
      </c>
      <c r="I493" s="281">
        <f t="shared" si="60"/>
        <v>0.19110000000000049</v>
      </c>
      <c r="J493" s="280">
        <f t="shared" si="58"/>
        <v>1.1799999999999505E-2</v>
      </c>
      <c r="K493" s="282">
        <f t="shared" si="59"/>
        <v>5.8156727451944334</v>
      </c>
      <c r="L493">
        <v>29</v>
      </c>
      <c r="M493">
        <v>23.101800000000001</v>
      </c>
      <c r="N493" s="16">
        <v>43397</v>
      </c>
      <c r="R493" s="282"/>
    </row>
    <row r="494" spans="1:18">
      <c r="A494" t="s">
        <v>505</v>
      </c>
      <c r="C494" t="s">
        <v>3667</v>
      </c>
      <c r="D494">
        <v>1.77</v>
      </c>
      <c r="E494">
        <v>7.1905999999999999</v>
      </c>
      <c r="F494">
        <v>0.23119999999999999</v>
      </c>
      <c r="G494" s="281">
        <f t="shared" si="57"/>
        <v>7.4218000000000002</v>
      </c>
      <c r="H494" s="281">
        <v>7.1957000000000004</v>
      </c>
      <c r="I494" s="281">
        <f>(G494-H494)</f>
        <v>0.22609999999999975</v>
      </c>
      <c r="J494" s="280">
        <f t="shared" si="58"/>
        <v>5.1000000000002432E-3</v>
      </c>
      <c r="K494" s="282">
        <f t="shared" si="59"/>
        <v>2.2058823529412819</v>
      </c>
      <c r="L494">
        <v>15</v>
      </c>
      <c r="M494" s="283">
        <v>43360</v>
      </c>
      <c r="N494" s="283">
        <v>43361</v>
      </c>
      <c r="O494" s="280" t="s">
        <v>3684</v>
      </c>
      <c r="R494" s="282"/>
    </row>
    <row r="495" spans="1:18">
      <c r="A495" t="s">
        <v>504</v>
      </c>
      <c r="C495" t="s">
        <v>3474</v>
      </c>
      <c r="D495">
        <v>1.7962</v>
      </c>
      <c r="E495">
        <v>7.8727</v>
      </c>
      <c r="F495">
        <v>0.2001</v>
      </c>
      <c r="G495" s="281">
        <f t="shared" si="57"/>
        <v>8.0728000000000009</v>
      </c>
      <c r="H495" s="281">
        <v>7.8800999999999997</v>
      </c>
      <c r="I495" s="281">
        <f t="shared" ref="I495:I512" si="61">G495-H495</f>
        <v>0.1927000000000012</v>
      </c>
      <c r="J495" s="280">
        <f t="shared" si="58"/>
        <v>7.3999999999987964E-3</v>
      </c>
      <c r="K495" s="282">
        <f t="shared" si="59"/>
        <v>3.6981509245371296</v>
      </c>
      <c r="L495">
        <v>13</v>
      </c>
      <c r="M495" s="283">
        <v>43363</v>
      </c>
      <c r="N495" s="283">
        <v>43364</v>
      </c>
      <c r="O495" s="280" t="s">
        <v>3732</v>
      </c>
      <c r="R495" s="282"/>
    </row>
    <row r="496" spans="1:18">
      <c r="A496" t="s">
        <v>503</v>
      </c>
      <c r="C496" t="s">
        <v>3761</v>
      </c>
      <c r="D496">
        <v>1.6620999999999999</v>
      </c>
      <c r="E496">
        <v>8.1369000000000007</v>
      </c>
      <c r="F496">
        <v>0.20960000000000001</v>
      </c>
      <c r="G496" s="281">
        <f t="shared" si="57"/>
        <v>8.3465000000000007</v>
      </c>
      <c r="H496" s="281">
        <v>8.1450999999999993</v>
      </c>
      <c r="I496" s="281">
        <f t="shared" si="61"/>
        <v>0.20140000000000136</v>
      </c>
      <c r="J496" s="280">
        <f t="shared" si="58"/>
        <v>8.1999999999986528E-3</v>
      </c>
      <c r="K496" s="282">
        <f t="shared" si="59"/>
        <v>3.9122137404573722</v>
      </c>
      <c r="L496">
        <v>35</v>
      </c>
      <c r="M496" s="16">
        <v>43399</v>
      </c>
      <c r="N496" s="16">
        <v>43400</v>
      </c>
      <c r="R496" s="282"/>
    </row>
    <row r="497" spans="1:18">
      <c r="A497" t="s">
        <v>502</v>
      </c>
      <c r="B497">
        <v>205</v>
      </c>
      <c r="C497" t="s">
        <v>2490</v>
      </c>
      <c r="D497">
        <v>1.4805999999999999</v>
      </c>
      <c r="E497">
        <v>8.8626000000000005</v>
      </c>
      <c r="F497">
        <v>0.2109</v>
      </c>
      <c r="G497" s="281">
        <f t="shared" si="57"/>
        <v>9.073500000000001</v>
      </c>
      <c r="H497" s="281">
        <v>8.8729999999999993</v>
      </c>
      <c r="I497" s="281">
        <f t="shared" si="61"/>
        <v>0.20050000000000168</v>
      </c>
      <c r="J497" s="280">
        <f t="shared" si="58"/>
        <v>1.0399999999998327E-2</v>
      </c>
      <c r="K497" s="282">
        <f t="shared" si="59"/>
        <v>4.9312470365094017</v>
      </c>
      <c r="L497">
        <v>6</v>
      </c>
      <c r="M497">
        <v>23.101800000000001</v>
      </c>
      <c r="N497" s="16">
        <v>43397</v>
      </c>
      <c r="R497" s="282"/>
    </row>
    <row r="498" spans="1:18">
      <c r="A498" t="s">
        <v>501</v>
      </c>
      <c r="C498" t="s">
        <v>3741</v>
      </c>
      <c r="D498">
        <v>1.4117999999999999</v>
      </c>
      <c r="E498">
        <v>19.3901</v>
      </c>
      <c r="F498">
        <v>0.22070000000000001</v>
      </c>
      <c r="G498" s="281">
        <f t="shared" si="57"/>
        <v>19.610800000000001</v>
      </c>
      <c r="H498" s="281">
        <v>19.406400000000001</v>
      </c>
      <c r="I498" s="281">
        <f t="shared" si="61"/>
        <v>0.20439999999999969</v>
      </c>
      <c r="J498" s="280">
        <f t="shared" si="58"/>
        <v>1.6300000000000314E-2</v>
      </c>
      <c r="K498" s="282">
        <f t="shared" si="59"/>
        <v>7.3855913004079357</v>
      </c>
      <c r="L498">
        <v>41</v>
      </c>
      <c r="M498" s="283">
        <v>43363</v>
      </c>
      <c r="N498" s="283">
        <v>43364</v>
      </c>
      <c r="R498" s="282"/>
    </row>
    <row r="499" spans="1:18">
      <c r="A499" t="s">
        <v>500</v>
      </c>
      <c r="B499">
        <v>218</v>
      </c>
      <c r="D499">
        <v>1.4678</v>
      </c>
      <c r="E499">
        <v>7.7157</v>
      </c>
      <c r="F499">
        <v>0.21829999999999999</v>
      </c>
      <c r="G499" s="281">
        <f t="shared" si="57"/>
        <v>7.9340000000000002</v>
      </c>
      <c r="H499" s="281">
        <v>7.7264999999999997</v>
      </c>
      <c r="I499" s="281">
        <f t="shared" si="61"/>
        <v>0.20750000000000046</v>
      </c>
      <c r="J499" s="280">
        <f t="shared" si="58"/>
        <v>1.0799999999999532E-2</v>
      </c>
      <c r="K499" s="282">
        <f t="shared" si="59"/>
        <v>4.9473202015572753</v>
      </c>
      <c r="L499">
        <v>17</v>
      </c>
      <c r="M499" s="16">
        <v>43395</v>
      </c>
      <c r="N499" s="16">
        <v>43396</v>
      </c>
      <c r="R499" s="282"/>
    </row>
    <row r="500" spans="1:18">
      <c r="A500" t="s">
        <v>499</v>
      </c>
      <c r="C500" t="s">
        <v>3408</v>
      </c>
      <c r="D500">
        <v>1.4698</v>
      </c>
      <c r="E500">
        <v>9.3225999999999996</v>
      </c>
      <c r="F500">
        <v>0.2089</v>
      </c>
      <c r="G500" s="285">
        <f t="shared" ref="G500:G531" si="62">E500+F500</f>
        <v>9.5314999999999994</v>
      </c>
      <c r="H500" s="281">
        <v>9.3557000000000006</v>
      </c>
      <c r="I500" s="285">
        <f t="shared" si="61"/>
        <v>0.17579999999999885</v>
      </c>
      <c r="J500" s="280">
        <f t="shared" ref="J500:J531" si="63">F500-I500</f>
        <v>3.3100000000001156E-2</v>
      </c>
      <c r="K500" s="282">
        <f t="shared" ref="K500:K531" si="64">(J500/F500)*100</f>
        <v>15.844901866922525</v>
      </c>
      <c r="L500">
        <v>25</v>
      </c>
      <c r="M500" s="283">
        <v>43379</v>
      </c>
      <c r="N500" s="283">
        <v>43379</v>
      </c>
      <c r="R500" s="282"/>
    </row>
    <row r="501" spans="1:18">
      <c r="A501" t="s">
        <v>498</v>
      </c>
      <c r="C501" t="s">
        <v>3758</v>
      </c>
      <c r="D501">
        <v>1.7523</v>
      </c>
      <c r="E501">
        <v>7.0940000000000003</v>
      </c>
      <c r="F501">
        <v>0.20949999999999999</v>
      </c>
      <c r="G501" s="281">
        <f t="shared" si="62"/>
        <v>7.3035000000000005</v>
      </c>
      <c r="H501" s="281">
        <v>7.1018999999999997</v>
      </c>
      <c r="I501" s="281">
        <f t="shared" si="61"/>
        <v>0.20160000000000089</v>
      </c>
      <c r="J501" s="280">
        <f t="shared" si="63"/>
        <v>7.8999999999991022E-3</v>
      </c>
      <c r="K501" s="282">
        <f t="shared" si="64"/>
        <v>3.7708830548921735</v>
      </c>
      <c r="L501">
        <v>21</v>
      </c>
      <c r="M501" s="16">
        <v>43395</v>
      </c>
      <c r="N501" s="16">
        <v>43396</v>
      </c>
      <c r="R501" s="282"/>
    </row>
    <row r="502" spans="1:18">
      <c r="A502" t="s">
        <v>497</v>
      </c>
      <c r="C502" t="s">
        <v>3721</v>
      </c>
      <c r="D502">
        <v>1.8624000000000001</v>
      </c>
      <c r="E502">
        <v>7.3186999999999998</v>
      </c>
      <c r="F502">
        <v>0.21290000000000001</v>
      </c>
      <c r="G502" s="281">
        <f t="shared" si="62"/>
        <v>7.5316000000000001</v>
      </c>
      <c r="H502" s="281">
        <v>7.3231999999999999</v>
      </c>
      <c r="I502" s="281">
        <f t="shared" si="61"/>
        <v>0.20840000000000014</v>
      </c>
      <c r="J502" s="280">
        <f t="shared" si="63"/>
        <v>4.4999999999998652E-3</v>
      </c>
      <c r="K502" s="282">
        <f t="shared" si="64"/>
        <v>2.1136683889149204</v>
      </c>
      <c r="L502">
        <v>17</v>
      </c>
      <c r="M502" s="283">
        <v>43362</v>
      </c>
      <c r="N502" s="283">
        <v>43363</v>
      </c>
      <c r="R502" s="282"/>
    </row>
    <row r="503" spans="1:18">
      <c r="A503" t="s">
        <v>494</v>
      </c>
      <c r="B503">
        <v>195</v>
      </c>
      <c r="D503">
        <v>1.5925</v>
      </c>
      <c r="E503">
        <v>11.005000000000001</v>
      </c>
      <c r="F503">
        <v>0.21879999999999999</v>
      </c>
      <c r="G503" s="281">
        <f t="shared" si="62"/>
        <v>11.223800000000001</v>
      </c>
      <c r="H503" s="281">
        <v>11.0128</v>
      </c>
      <c r="I503" s="281">
        <f t="shared" si="61"/>
        <v>0.2110000000000003</v>
      </c>
      <c r="J503" s="280">
        <f t="shared" si="63"/>
        <v>7.7999999999996961E-3</v>
      </c>
      <c r="K503" s="282">
        <f t="shared" si="64"/>
        <v>3.5648994515537913</v>
      </c>
      <c r="L503">
        <v>17</v>
      </c>
      <c r="M503">
        <v>23.101800000000001</v>
      </c>
      <c r="N503" s="16">
        <v>43397</v>
      </c>
      <c r="R503" s="282"/>
    </row>
    <row r="504" spans="1:18">
      <c r="A504" t="s">
        <v>493</v>
      </c>
      <c r="C504" t="s">
        <v>3715</v>
      </c>
      <c r="D504">
        <v>1.7402</v>
      </c>
      <c r="E504">
        <v>11.1608</v>
      </c>
      <c r="F504">
        <v>0.20019999999999999</v>
      </c>
      <c r="G504" s="281">
        <f t="shared" si="62"/>
        <v>11.361000000000001</v>
      </c>
      <c r="H504" s="281">
        <v>11.165800000000001</v>
      </c>
      <c r="I504" s="281">
        <f t="shared" si="61"/>
        <v>0.19519999999999982</v>
      </c>
      <c r="J504" s="280">
        <f t="shared" si="63"/>
        <v>5.000000000000171E-3</v>
      </c>
      <c r="K504" s="282">
        <f t="shared" si="64"/>
        <v>2.497502497502583</v>
      </c>
      <c r="L504">
        <v>35</v>
      </c>
      <c r="M504" s="283">
        <v>43362</v>
      </c>
      <c r="N504" s="283">
        <v>43363</v>
      </c>
      <c r="R504" s="282"/>
    </row>
    <row r="505" spans="1:18">
      <c r="A505" t="s">
        <v>492</v>
      </c>
      <c r="B505">
        <v>209</v>
      </c>
      <c r="C505" t="s">
        <v>2490</v>
      </c>
      <c r="D505">
        <v>1.5167999999999999</v>
      </c>
      <c r="E505">
        <v>11.0047</v>
      </c>
      <c r="F505">
        <v>0.23400000000000001</v>
      </c>
      <c r="G505">
        <f t="shared" si="62"/>
        <v>11.2387</v>
      </c>
      <c r="H505">
        <v>11.0138</v>
      </c>
      <c r="I505" s="281">
        <f t="shared" si="61"/>
        <v>0.22489999999999988</v>
      </c>
      <c r="J505" s="280">
        <f t="shared" si="63"/>
        <v>9.1000000000001358E-3</v>
      </c>
      <c r="K505" s="282">
        <f t="shared" si="64"/>
        <v>3.8888888888889466</v>
      </c>
      <c r="L505">
        <v>37</v>
      </c>
      <c r="M505" s="16">
        <v>43399</v>
      </c>
      <c r="N505" s="16">
        <v>43400</v>
      </c>
      <c r="R505" s="282"/>
    </row>
    <row r="506" spans="1:18">
      <c r="A506" t="s">
        <v>491</v>
      </c>
      <c r="C506" t="s">
        <v>3690</v>
      </c>
      <c r="D506">
        <v>1.8442000000000001</v>
      </c>
      <c r="E506">
        <v>11.1546</v>
      </c>
      <c r="F506">
        <v>0.2077</v>
      </c>
      <c r="G506" s="281">
        <f t="shared" si="62"/>
        <v>11.362300000000001</v>
      </c>
      <c r="H506" s="281">
        <v>11.161099999999999</v>
      </c>
      <c r="I506" s="281">
        <f t="shared" si="61"/>
        <v>0.20120000000000182</v>
      </c>
      <c r="J506" s="280">
        <f t="shared" si="63"/>
        <v>6.4999999999981739E-3</v>
      </c>
      <c r="K506" s="282">
        <f t="shared" si="64"/>
        <v>3.1295137217131312</v>
      </c>
      <c r="L506">
        <v>3</v>
      </c>
      <c r="M506" s="283">
        <v>43361</v>
      </c>
      <c r="N506" s="283">
        <v>43362</v>
      </c>
      <c r="O506" s="280" t="s">
        <v>3707</v>
      </c>
      <c r="R506" s="282"/>
    </row>
    <row r="507" spans="1:18">
      <c r="A507" t="s">
        <v>490</v>
      </c>
      <c r="C507" t="s">
        <v>3465</v>
      </c>
      <c r="D507">
        <v>1.5868</v>
      </c>
      <c r="E507">
        <v>8.7338000000000005</v>
      </c>
      <c r="F507">
        <v>0.2099</v>
      </c>
      <c r="G507" s="281">
        <f t="shared" si="62"/>
        <v>8.9436999999999998</v>
      </c>
      <c r="H507" s="281">
        <v>8.7454999999999998</v>
      </c>
      <c r="I507" s="281">
        <f t="shared" si="61"/>
        <v>0.19819999999999993</v>
      </c>
      <c r="J507" s="280">
        <f t="shared" si="63"/>
        <v>1.1700000000000071E-2</v>
      </c>
      <c r="K507" s="282">
        <f t="shared" si="64"/>
        <v>5.5740828966174707</v>
      </c>
      <c r="L507">
        <v>9</v>
      </c>
      <c r="M507" s="283">
        <v>43363</v>
      </c>
      <c r="N507" s="283">
        <v>43364</v>
      </c>
      <c r="O507" s="280" t="s">
        <v>3732</v>
      </c>
      <c r="R507" s="282"/>
    </row>
    <row r="508" spans="1:18">
      <c r="A508" t="s">
        <v>489</v>
      </c>
      <c r="C508" t="s">
        <v>3749</v>
      </c>
      <c r="D508">
        <v>1.8091999999999999</v>
      </c>
      <c r="E508">
        <v>10.5229</v>
      </c>
      <c r="F508">
        <v>0.22919999999999999</v>
      </c>
      <c r="G508" s="285">
        <f t="shared" si="62"/>
        <v>10.7521</v>
      </c>
      <c r="H508" s="281">
        <v>10.530799999999999</v>
      </c>
      <c r="I508" s="285">
        <f t="shared" si="61"/>
        <v>0.22130000000000116</v>
      </c>
      <c r="J508" s="280">
        <f t="shared" si="63"/>
        <v>7.8999999999988246E-3</v>
      </c>
      <c r="K508" s="282">
        <f t="shared" si="64"/>
        <v>3.4467713787080392</v>
      </c>
      <c r="L508">
        <v>24</v>
      </c>
      <c r="M508" s="283">
        <v>43379</v>
      </c>
      <c r="N508" s="283">
        <v>43379</v>
      </c>
      <c r="R508" s="282"/>
    </row>
    <row r="509" spans="1:18">
      <c r="A509" t="s">
        <v>488</v>
      </c>
      <c r="C509" t="s">
        <v>3469</v>
      </c>
      <c r="D509">
        <v>1.8404</v>
      </c>
      <c r="E509">
        <v>7.0755999999999997</v>
      </c>
      <c r="F509">
        <v>0.21390000000000001</v>
      </c>
      <c r="G509" s="281">
        <f t="shared" si="62"/>
        <v>7.2894999999999994</v>
      </c>
      <c r="H509" s="281">
        <v>7.0856000000000003</v>
      </c>
      <c r="I509" s="281">
        <f t="shared" si="61"/>
        <v>0.20389999999999908</v>
      </c>
      <c r="J509" s="280">
        <f t="shared" si="63"/>
        <v>1.0000000000000925E-2</v>
      </c>
      <c r="K509" s="282">
        <f t="shared" si="64"/>
        <v>4.6750818139321764</v>
      </c>
      <c r="L509">
        <v>22</v>
      </c>
      <c r="M509" s="283">
        <v>43363</v>
      </c>
      <c r="N509" s="283">
        <v>43364</v>
      </c>
      <c r="R509" s="282"/>
    </row>
    <row r="510" spans="1:18">
      <c r="A510" t="s">
        <v>487</v>
      </c>
      <c r="C510" t="s">
        <v>3728</v>
      </c>
      <c r="D510">
        <v>1.7336</v>
      </c>
      <c r="E510">
        <v>10.1457</v>
      </c>
      <c r="F510">
        <v>0.22209999999999999</v>
      </c>
      <c r="G510" s="281">
        <f t="shared" si="62"/>
        <v>10.367799999999999</v>
      </c>
      <c r="H510" s="281">
        <v>10.151400000000001</v>
      </c>
      <c r="I510" s="281">
        <f t="shared" si="61"/>
        <v>0.21639999999999837</v>
      </c>
      <c r="J510" s="280">
        <f t="shared" si="63"/>
        <v>5.7000000000016204E-3</v>
      </c>
      <c r="K510" s="282">
        <f t="shared" si="64"/>
        <v>2.5664115263402163</v>
      </c>
      <c r="L510">
        <v>1</v>
      </c>
      <c r="M510" s="16">
        <v>43399</v>
      </c>
      <c r="N510" s="16">
        <v>43400</v>
      </c>
      <c r="R510" s="282"/>
    </row>
    <row r="511" spans="1:18">
      <c r="A511" t="s">
        <v>486</v>
      </c>
      <c r="B511">
        <v>194</v>
      </c>
      <c r="D511">
        <v>1.4758</v>
      </c>
      <c r="E511">
        <v>11.4438</v>
      </c>
      <c r="F511">
        <v>0.2127</v>
      </c>
      <c r="G511" s="281">
        <f t="shared" si="62"/>
        <v>11.656499999999999</v>
      </c>
      <c r="H511" s="281">
        <v>11.457100000000001</v>
      </c>
      <c r="I511" s="281">
        <f t="shared" si="61"/>
        <v>0.19939999999999891</v>
      </c>
      <c r="J511" s="280">
        <f t="shared" si="63"/>
        <v>1.3300000000001089E-2</v>
      </c>
      <c r="K511" s="282">
        <f t="shared" si="64"/>
        <v>6.2529384109078929</v>
      </c>
      <c r="L511">
        <v>5</v>
      </c>
      <c r="M511" s="16">
        <v>43395</v>
      </c>
      <c r="N511" s="16">
        <v>43396</v>
      </c>
      <c r="R511" s="282"/>
    </row>
    <row r="512" spans="1:18">
      <c r="A512" t="s">
        <v>484</v>
      </c>
      <c r="C512" t="s">
        <v>3404</v>
      </c>
      <c r="D512">
        <v>3.468</v>
      </c>
      <c r="E512">
        <v>8.2199000000000009</v>
      </c>
      <c r="F512">
        <v>0.21489999999999831</v>
      </c>
      <c r="G512">
        <f t="shared" si="62"/>
        <v>8.4347999999999992</v>
      </c>
      <c r="H512">
        <v>8.4121000000000006</v>
      </c>
      <c r="I512" s="281">
        <f t="shared" si="61"/>
        <v>2.269999999999861E-2</v>
      </c>
      <c r="J512" s="280">
        <f t="shared" si="63"/>
        <v>0.1921999999999997</v>
      </c>
      <c r="K512" s="282">
        <f t="shared" si="64"/>
        <v>89.436947417404014</v>
      </c>
      <c r="L512">
        <v>41</v>
      </c>
      <c r="M512" s="16">
        <v>43399</v>
      </c>
      <c r="N512" s="16">
        <v>43400</v>
      </c>
      <c r="R512" s="282"/>
    </row>
    <row r="513" spans="1:18">
      <c r="A513" t="s">
        <v>482</v>
      </c>
      <c r="C513" t="s">
        <v>3640</v>
      </c>
      <c r="D513">
        <v>1.8975</v>
      </c>
      <c r="E513">
        <v>8.9573</v>
      </c>
      <c r="F513">
        <v>0.20030000000000001</v>
      </c>
      <c r="G513" s="281">
        <f t="shared" si="62"/>
        <v>9.1576000000000004</v>
      </c>
      <c r="H513" s="281">
        <v>8.9624000000000006</v>
      </c>
      <c r="I513" s="281">
        <f>(G513-H513)</f>
        <v>0.19519999999999982</v>
      </c>
      <c r="J513" s="280">
        <f t="shared" si="63"/>
        <v>5.1000000000001877E-3</v>
      </c>
      <c r="K513" s="282">
        <f t="shared" si="64"/>
        <v>2.5461807289067337</v>
      </c>
      <c r="L513">
        <v>21</v>
      </c>
      <c r="M513" s="16">
        <v>43358</v>
      </c>
      <c r="N513" s="16">
        <v>43358</v>
      </c>
      <c r="R513" s="282"/>
    </row>
    <row r="514" spans="1:18">
      <c r="A514" t="s">
        <v>481</v>
      </c>
      <c r="B514">
        <v>212</v>
      </c>
      <c r="D514">
        <v>1.4732000000000001</v>
      </c>
      <c r="E514">
        <v>9.3447999999999993</v>
      </c>
      <c r="F514">
        <v>0.2127</v>
      </c>
      <c r="G514" s="281">
        <f t="shared" si="62"/>
        <v>9.5574999999999992</v>
      </c>
      <c r="H514" s="281">
        <v>9.3527000000000005</v>
      </c>
      <c r="I514" s="281">
        <f>G514-H514</f>
        <v>0.20479999999999876</v>
      </c>
      <c r="J514" s="280">
        <f t="shared" si="63"/>
        <v>7.9000000000012394E-3</v>
      </c>
      <c r="K514" s="282">
        <f t="shared" si="64"/>
        <v>3.7141513869305309</v>
      </c>
      <c r="L514">
        <v>10</v>
      </c>
      <c r="M514" s="16">
        <v>43395</v>
      </c>
      <c r="N514" s="16">
        <v>43396</v>
      </c>
      <c r="R514" s="282"/>
    </row>
    <row r="515" spans="1:18">
      <c r="A515" t="s">
        <v>480</v>
      </c>
      <c r="C515" t="s">
        <v>3708</v>
      </c>
      <c r="D515">
        <v>1.9067000000000001</v>
      </c>
      <c r="E515">
        <v>20.886199999999999</v>
      </c>
      <c r="F515">
        <v>0.23430000000000001</v>
      </c>
      <c r="G515" s="281">
        <f t="shared" si="62"/>
        <v>21.1205</v>
      </c>
      <c r="H515" s="281">
        <v>20.896000000000001</v>
      </c>
      <c r="I515" s="281">
        <f>G515-H515</f>
        <v>0.22449999999999903</v>
      </c>
      <c r="J515" s="280">
        <f t="shared" si="63"/>
        <v>9.8000000000009746E-3</v>
      </c>
      <c r="K515" s="282">
        <f t="shared" si="64"/>
        <v>4.1826717883060072</v>
      </c>
      <c r="L515">
        <v>26</v>
      </c>
      <c r="M515" s="283">
        <v>43361</v>
      </c>
      <c r="N515" s="283">
        <v>43362</v>
      </c>
      <c r="O515" s="280" t="s">
        <v>3707</v>
      </c>
      <c r="R515" s="282"/>
    </row>
    <row r="516" spans="1:18">
      <c r="A516" t="s">
        <v>1075</v>
      </c>
      <c r="C516" t="s">
        <v>3686</v>
      </c>
      <c r="D516">
        <v>1.6353</v>
      </c>
      <c r="E516">
        <v>7.3182999999999998</v>
      </c>
      <c r="F516">
        <v>0.20880000000000001</v>
      </c>
      <c r="G516" s="281">
        <f t="shared" si="62"/>
        <v>7.5270999999999999</v>
      </c>
      <c r="H516" s="281">
        <v>7.3239000000000001</v>
      </c>
      <c r="I516" s="281">
        <f>(G516-H516)</f>
        <v>0.20319999999999983</v>
      </c>
      <c r="J516" s="280">
        <f t="shared" si="63"/>
        <v>5.6000000000001882E-3</v>
      </c>
      <c r="K516" s="282">
        <f t="shared" si="64"/>
        <v>2.6819923371648411</v>
      </c>
      <c r="L516">
        <v>3</v>
      </c>
      <c r="M516" s="283">
        <v>43360</v>
      </c>
      <c r="N516" s="283">
        <v>43361</v>
      </c>
      <c r="O516" s="280" t="s">
        <v>3684</v>
      </c>
      <c r="R516" s="282"/>
    </row>
    <row r="517" spans="1:18">
      <c r="A517" t="s">
        <v>479</v>
      </c>
      <c r="C517" t="s">
        <v>3731</v>
      </c>
      <c r="D517">
        <v>1.8557999999999999</v>
      </c>
      <c r="E517">
        <v>10.618600000000001</v>
      </c>
      <c r="F517">
        <v>0.20569999999999999</v>
      </c>
      <c r="G517" s="281">
        <f t="shared" si="62"/>
        <v>10.824300000000001</v>
      </c>
      <c r="H517" s="281">
        <v>10.624499999999999</v>
      </c>
      <c r="I517" s="281">
        <f t="shared" ref="I517:I527" si="65">G517-H517</f>
        <v>0.19980000000000153</v>
      </c>
      <c r="J517" s="280">
        <f t="shared" si="63"/>
        <v>5.899999999998462E-3</v>
      </c>
      <c r="K517" s="282">
        <f t="shared" si="64"/>
        <v>2.8682547399117464</v>
      </c>
      <c r="L517">
        <v>37</v>
      </c>
      <c r="M517" s="16">
        <v>43399</v>
      </c>
      <c r="N517" s="16">
        <v>43400</v>
      </c>
      <c r="R517" s="282"/>
    </row>
    <row r="518" spans="1:18">
      <c r="A518" t="s">
        <v>478</v>
      </c>
      <c r="C518" t="s">
        <v>3723</v>
      </c>
      <c r="D518">
        <v>1.7025399999999999</v>
      </c>
      <c r="E518">
        <v>8.0478000000000005</v>
      </c>
      <c r="F518">
        <v>0.21879999999999999</v>
      </c>
      <c r="G518" s="281">
        <f t="shared" si="62"/>
        <v>8.2666000000000004</v>
      </c>
      <c r="H518" s="281">
        <v>8.0533999999999999</v>
      </c>
      <c r="I518" s="281">
        <f t="shared" si="65"/>
        <v>0.2132000000000005</v>
      </c>
      <c r="J518" s="280">
        <f t="shared" si="63"/>
        <v>5.5999999999994943E-3</v>
      </c>
      <c r="K518" s="282">
        <f t="shared" si="64"/>
        <v>2.5594149908590014</v>
      </c>
      <c r="L518">
        <v>27</v>
      </c>
      <c r="M518" s="283">
        <v>43362</v>
      </c>
      <c r="N518" s="283">
        <v>43363</v>
      </c>
      <c r="R518" s="282"/>
    </row>
    <row r="519" spans="1:18">
      <c r="A519" t="s">
        <v>476</v>
      </c>
      <c r="B519">
        <v>214</v>
      </c>
      <c r="D519">
        <v>1.5124</v>
      </c>
      <c r="E519">
        <v>8.9591999999999992</v>
      </c>
      <c r="F519">
        <v>0.21529999999999999</v>
      </c>
      <c r="G519" s="281">
        <f t="shared" si="62"/>
        <v>9.1744999999999983</v>
      </c>
      <c r="H519" s="281">
        <v>8.9663000000000004</v>
      </c>
      <c r="I519" s="281">
        <f t="shared" si="65"/>
        <v>0.20819999999999794</v>
      </c>
      <c r="J519" s="280">
        <f t="shared" si="63"/>
        <v>7.1000000000020491E-3</v>
      </c>
      <c r="K519" s="282">
        <f t="shared" si="64"/>
        <v>3.297724105899698</v>
      </c>
      <c r="L519">
        <v>40</v>
      </c>
      <c r="M519" s="16">
        <v>43395</v>
      </c>
      <c r="N519" s="16">
        <v>43396</v>
      </c>
      <c r="R519" s="282"/>
    </row>
    <row r="520" spans="1:18">
      <c r="A520" t="s">
        <v>475</v>
      </c>
      <c r="C520" t="s">
        <v>3471</v>
      </c>
      <c r="D520">
        <v>1.7451000000000001</v>
      </c>
      <c r="E520">
        <v>7.8613999999999997</v>
      </c>
      <c r="F520">
        <v>0.2233</v>
      </c>
      <c r="G520" s="281">
        <f t="shared" si="62"/>
        <v>8.0846999999999998</v>
      </c>
      <c r="H520" s="281">
        <v>7.8697999999999997</v>
      </c>
      <c r="I520" s="281">
        <f t="shared" si="65"/>
        <v>0.21490000000000009</v>
      </c>
      <c r="J520" s="280">
        <f t="shared" si="63"/>
        <v>8.3999999999999075E-3</v>
      </c>
      <c r="K520" s="282">
        <f t="shared" si="64"/>
        <v>3.7617554858933753</v>
      </c>
      <c r="L520">
        <v>13</v>
      </c>
      <c r="M520">
        <v>23.101800000000001</v>
      </c>
      <c r="N520" s="16">
        <v>43397</v>
      </c>
      <c r="R520" s="282"/>
    </row>
    <row r="521" spans="1:18">
      <c r="A521" t="s">
        <v>474</v>
      </c>
      <c r="B521">
        <v>201</v>
      </c>
      <c r="D521">
        <v>1.5757000000000001</v>
      </c>
      <c r="E521">
        <v>11.0913</v>
      </c>
      <c r="F521">
        <v>0.2019</v>
      </c>
      <c r="G521" s="281">
        <f t="shared" si="62"/>
        <v>11.293200000000001</v>
      </c>
      <c r="H521" s="281">
        <v>11.104100000000001</v>
      </c>
      <c r="I521" s="281">
        <f t="shared" si="65"/>
        <v>0.18909999999999982</v>
      </c>
      <c r="J521" s="280">
        <f t="shared" si="63"/>
        <v>1.2800000000000172E-2</v>
      </c>
      <c r="K521" s="282">
        <f t="shared" si="64"/>
        <v>6.3397721644379263</v>
      </c>
      <c r="L521">
        <v>4</v>
      </c>
      <c r="M521">
        <v>23.101800000000001</v>
      </c>
      <c r="N521" s="16">
        <v>43397</v>
      </c>
      <c r="R521" s="282"/>
    </row>
    <row r="522" spans="1:18">
      <c r="A522" t="s">
        <v>472</v>
      </c>
      <c r="C522" t="s">
        <v>3722</v>
      </c>
      <c r="D522">
        <v>1.8531</v>
      </c>
      <c r="E522">
        <v>8.7042999999999999</v>
      </c>
      <c r="F522">
        <v>0.2114</v>
      </c>
      <c r="G522" s="285">
        <f t="shared" si="62"/>
        <v>8.9156999999999993</v>
      </c>
      <c r="H522" s="281">
        <v>8.7087000000000003</v>
      </c>
      <c r="I522" s="285">
        <f t="shared" si="65"/>
        <v>0.20699999999999896</v>
      </c>
      <c r="J522" s="280">
        <f t="shared" si="63"/>
        <v>4.400000000001042E-3</v>
      </c>
      <c r="K522" s="282">
        <f t="shared" si="64"/>
        <v>2.0813623462635014</v>
      </c>
      <c r="L522">
        <v>4</v>
      </c>
      <c r="M522" s="283">
        <v>43379</v>
      </c>
      <c r="N522" s="283">
        <v>43379</v>
      </c>
      <c r="O522" s="280"/>
      <c r="R522" s="282"/>
    </row>
    <row r="523" spans="1:18">
      <c r="A523" t="s">
        <v>470</v>
      </c>
      <c r="C523" t="s">
        <v>3417</v>
      </c>
      <c r="D523">
        <v>1.4959</v>
      </c>
      <c r="E523">
        <v>8.0965000000000007</v>
      </c>
      <c r="F523">
        <v>0.21079999999999999</v>
      </c>
      <c r="G523" s="285">
        <f t="shared" si="62"/>
        <v>8.3073000000000015</v>
      </c>
      <c r="H523" s="281">
        <v>8.1092999999999993</v>
      </c>
      <c r="I523" s="285">
        <f t="shared" si="65"/>
        <v>0.19800000000000217</v>
      </c>
      <c r="J523" s="280">
        <f t="shared" si="63"/>
        <v>1.2799999999997813E-2</v>
      </c>
      <c r="K523" s="282">
        <f t="shared" si="64"/>
        <v>6.0721062618585453</v>
      </c>
      <c r="L523">
        <v>36</v>
      </c>
      <c r="M523" s="283">
        <v>43379</v>
      </c>
      <c r="N523" s="283">
        <v>43379</v>
      </c>
      <c r="R523" s="282"/>
    </row>
    <row r="524" spans="1:18">
      <c r="A524" t="s">
        <v>469</v>
      </c>
      <c r="B524">
        <v>211</v>
      </c>
      <c r="D524">
        <v>1.3008</v>
      </c>
      <c r="E524">
        <v>10.677099999999999</v>
      </c>
      <c r="F524">
        <v>0.21679999999999999</v>
      </c>
      <c r="G524" s="281">
        <f t="shared" si="62"/>
        <v>10.893899999999999</v>
      </c>
      <c r="H524" s="281">
        <v>10.686199999999999</v>
      </c>
      <c r="I524" s="281">
        <f t="shared" si="65"/>
        <v>0.20769999999999911</v>
      </c>
      <c r="J524" s="280">
        <f t="shared" si="63"/>
        <v>9.1000000000008852E-3</v>
      </c>
      <c r="K524" s="282">
        <f t="shared" si="64"/>
        <v>4.1974169741701504</v>
      </c>
      <c r="L524">
        <v>3</v>
      </c>
      <c r="M524">
        <v>23.101800000000001</v>
      </c>
      <c r="N524" s="16">
        <v>43397</v>
      </c>
      <c r="R524" s="282"/>
    </row>
    <row r="525" spans="1:18">
      <c r="A525" t="s">
        <v>468</v>
      </c>
      <c r="C525" t="s">
        <v>3671</v>
      </c>
      <c r="D525">
        <v>1.3880999999999999</v>
      </c>
      <c r="E525">
        <v>8.2211999999999996</v>
      </c>
      <c r="F525">
        <v>0.20979999999999999</v>
      </c>
      <c r="G525" s="281">
        <f t="shared" si="62"/>
        <v>8.4309999999999992</v>
      </c>
      <c r="H525" s="281">
        <v>8.2405000000000008</v>
      </c>
      <c r="I525" s="281">
        <f t="shared" si="65"/>
        <v>0.19049999999999834</v>
      </c>
      <c r="J525" s="280">
        <f t="shared" si="63"/>
        <v>1.9300000000001649E-2</v>
      </c>
      <c r="K525" s="282">
        <f t="shared" si="64"/>
        <v>9.1992373689235691</v>
      </c>
      <c r="L525">
        <v>18</v>
      </c>
      <c r="M525" s="283">
        <v>43363</v>
      </c>
      <c r="N525" s="283">
        <v>43364</v>
      </c>
      <c r="O525" s="280" t="s">
        <v>3732</v>
      </c>
      <c r="R525" s="282"/>
    </row>
    <row r="526" spans="1:18">
      <c r="A526" t="s">
        <v>466</v>
      </c>
      <c r="C526" t="s">
        <v>3402</v>
      </c>
      <c r="D526">
        <v>0.95330000000000004</v>
      </c>
      <c r="E526">
        <v>21.075600000000001</v>
      </c>
      <c r="F526">
        <v>0.20039999999999999</v>
      </c>
      <c r="G526" s="281">
        <f t="shared" si="62"/>
        <v>21.276</v>
      </c>
      <c r="H526" s="281">
        <v>21.1403</v>
      </c>
      <c r="I526" s="281">
        <f t="shared" si="65"/>
        <v>0.13569999999999993</v>
      </c>
      <c r="J526" s="280">
        <f t="shared" si="63"/>
        <v>6.4700000000000063E-2</v>
      </c>
      <c r="K526" s="282">
        <f t="shared" si="64"/>
        <v>32.285429141716598</v>
      </c>
      <c r="L526">
        <v>42</v>
      </c>
      <c r="M526" s="283">
        <v>43363</v>
      </c>
      <c r="N526" s="283">
        <v>43364</v>
      </c>
      <c r="O526" s="280" t="s">
        <v>3732</v>
      </c>
      <c r="R526" s="282"/>
    </row>
    <row r="527" spans="1:18">
      <c r="A527" t="s">
        <v>465</v>
      </c>
      <c r="C527" t="s">
        <v>3441</v>
      </c>
      <c r="D527">
        <v>1.427</v>
      </c>
      <c r="E527">
        <v>9.0231999999999992</v>
      </c>
      <c r="F527">
        <v>0.2041</v>
      </c>
      <c r="G527" s="281">
        <f t="shared" si="62"/>
        <v>9.2272999999999996</v>
      </c>
      <c r="H527" s="281">
        <v>9.0401000000000007</v>
      </c>
      <c r="I527" s="281">
        <f t="shared" si="65"/>
        <v>0.18719999999999892</v>
      </c>
      <c r="J527" s="280">
        <f t="shared" si="63"/>
        <v>1.6900000000001081E-2</v>
      </c>
      <c r="K527" s="282">
        <f t="shared" si="64"/>
        <v>8.2802547770705939</v>
      </c>
      <c r="L527">
        <v>40</v>
      </c>
      <c r="M527" s="283">
        <v>43362</v>
      </c>
      <c r="N527" s="283">
        <v>43363</v>
      </c>
      <c r="R527" s="282"/>
    </row>
    <row r="528" spans="1:18">
      <c r="A528" t="s">
        <v>464</v>
      </c>
      <c r="C528" t="s">
        <v>3682</v>
      </c>
      <c r="D528">
        <v>1.8621000000000001</v>
      </c>
      <c r="E528">
        <v>7.3545999999999996</v>
      </c>
      <c r="F528">
        <v>0.22309999999999999</v>
      </c>
      <c r="G528" s="281">
        <f t="shared" si="62"/>
        <v>7.5776999999999992</v>
      </c>
      <c r="H528" s="281">
        <v>7.3631000000000002</v>
      </c>
      <c r="I528" s="281">
        <f>(G528-H528)</f>
        <v>0.21459999999999901</v>
      </c>
      <c r="J528" s="280">
        <f t="shared" si="63"/>
        <v>8.500000000000979E-3</v>
      </c>
      <c r="K528" s="282">
        <f t="shared" si="64"/>
        <v>3.8099506947561541</v>
      </c>
      <c r="L528">
        <v>42</v>
      </c>
      <c r="M528" s="283">
        <v>43360</v>
      </c>
      <c r="N528" s="283">
        <v>43361</v>
      </c>
      <c r="R528" s="282"/>
    </row>
    <row r="529" spans="1:18">
      <c r="A529" t="s">
        <v>463</v>
      </c>
      <c r="B529">
        <v>202</v>
      </c>
      <c r="C529" t="s">
        <v>2490</v>
      </c>
      <c r="D529">
        <v>1.4817</v>
      </c>
      <c r="E529">
        <v>8.734</v>
      </c>
      <c r="F529">
        <v>0.20230000000000001</v>
      </c>
      <c r="G529" s="281">
        <f t="shared" si="62"/>
        <v>8.9362999999999992</v>
      </c>
      <c r="H529" s="281">
        <v>8.7569999999999997</v>
      </c>
      <c r="I529" s="281">
        <f>G529-H529</f>
        <v>0.17929999999999957</v>
      </c>
      <c r="J529" s="280">
        <f t="shared" si="63"/>
        <v>2.3000000000000437E-2</v>
      </c>
      <c r="K529" s="282">
        <f t="shared" si="64"/>
        <v>11.369253583786671</v>
      </c>
      <c r="L529">
        <v>33</v>
      </c>
      <c r="M529" s="16">
        <v>43399</v>
      </c>
      <c r="N529" s="16">
        <v>43400</v>
      </c>
      <c r="R529" s="282"/>
    </row>
    <row r="530" spans="1:18">
      <c r="A530" t="s">
        <v>462</v>
      </c>
      <c r="B530">
        <v>214</v>
      </c>
      <c r="D530">
        <v>1.5709</v>
      </c>
      <c r="E530">
        <v>8.7352000000000007</v>
      </c>
      <c r="F530">
        <v>0.2084</v>
      </c>
      <c r="G530" s="281">
        <f t="shared" si="62"/>
        <v>8.9436</v>
      </c>
      <c r="H530" s="281">
        <v>8.7574000000000005</v>
      </c>
      <c r="I530" s="281">
        <f>G530-H530</f>
        <v>0.18619999999999948</v>
      </c>
      <c r="J530" s="280">
        <f t="shared" si="63"/>
        <v>2.2200000000000525E-2</v>
      </c>
      <c r="K530" s="282">
        <f t="shared" si="64"/>
        <v>10.652591170825588</v>
      </c>
      <c r="L530">
        <v>39</v>
      </c>
      <c r="M530" s="16">
        <v>43395</v>
      </c>
      <c r="N530" s="16">
        <v>43396</v>
      </c>
      <c r="R530" s="282"/>
    </row>
    <row r="531" spans="1:18">
      <c r="A531" t="s">
        <v>461</v>
      </c>
      <c r="B531">
        <v>209</v>
      </c>
      <c r="C531" t="s">
        <v>2490</v>
      </c>
      <c r="D531">
        <v>1.4972000000000001</v>
      </c>
      <c r="E531">
        <v>9.2225000000000001</v>
      </c>
      <c r="F531">
        <v>0.21579999999999999</v>
      </c>
      <c r="G531">
        <f t="shared" si="62"/>
        <v>9.4382999999999999</v>
      </c>
      <c r="H531">
        <v>9.2308000000000003</v>
      </c>
      <c r="I531" s="281">
        <f>G531-H531</f>
        <v>0.20749999999999957</v>
      </c>
      <c r="J531" s="280">
        <f t="shared" si="63"/>
        <v>8.3000000000004182E-3</v>
      </c>
      <c r="K531" s="282">
        <f t="shared" si="64"/>
        <v>3.8461538461540399</v>
      </c>
      <c r="L531">
        <v>4</v>
      </c>
      <c r="M531" s="16">
        <v>43402</v>
      </c>
      <c r="N531" s="16">
        <v>43403</v>
      </c>
      <c r="R531" s="282"/>
    </row>
    <row r="532" spans="1:18">
      <c r="A532" t="s">
        <v>460</v>
      </c>
      <c r="C532" t="s">
        <v>3397</v>
      </c>
      <c r="D532">
        <v>1.5135000000000001</v>
      </c>
      <c r="E532">
        <v>20.898</v>
      </c>
      <c r="F532">
        <v>0.2021</v>
      </c>
      <c r="G532" s="281">
        <f t="shared" ref="G532" si="66">E532+F532</f>
        <v>21.100100000000001</v>
      </c>
      <c r="H532" s="281">
        <v>20.921700000000001</v>
      </c>
      <c r="I532" s="281">
        <f>G532-H532</f>
        <v>0.17839999999999989</v>
      </c>
      <c r="J532" s="280">
        <f t="shared" ref="J532" si="67">F532-I532</f>
        <v>2.370000000000011E-2</v>
      </c>
      <c r="K532" s="282">
        <f t="shared" ref="K532" si="68">(J532/F532)*100</f>
        <v>11.726867887184616</v>
      </c>
      <c r="L532">
        <v>38</v>
      </c>
      <c r="M532" s="283">
        <v>43363</v>
      </c>
      <c r="N532" s="283">
        <v>43364</v>
      </c>
      <c r="R532" s="282"/>
    </row>
    <row r="533" spans="1:18">
      <c r="A533" t="s">
        <v>459</v>
      </c>
      <c r="B533">
        <v>218</v>
      </c>
      <c r="D533">
        <v>0</v>
      </c>
      <c r="E533">
        <v>0</v>
      </c>
      <c r="F533">
        <v>0</v>
      </c>
      <c r="G533">
        <v>0</v>
      </c>
      <c r="H533">
        <v>0</v>
      </c>
      <c r="I533">
        <v>0</v>
      </c>
      <c r="J533">
        <v>0</v>
      </c>
      <c r="K533">
        <v>0</v>
      </c>
    </row>
    <row r="534" spans="1:18">
      <c r="A534" t="s">
        <v>458</v>
      </c>
      <c r="C534" t="s">
        <v>3680</v>
      </c>
      <c r="D534">
        <v>1.8384</v>
      </c>
      <c r="E534">
        <v>9.7210999999999999</v>
      </c>
      <c r="F534">
        <v>0.24</v>
      </c>
      <c r="G534" s="281">
        <f t="shared" ref="G534:G565" si="69">E534+F534</f>
        <v>9.9611000000000001</v>
      </c>
      <c r="H534" s="281">
        <v>9.7309999999999999</v>
      </c>
      <c r="I534" s="281">
        <f>(G534-H534)</f>
        <v>0.23010000000000019</v>
      </c>
      <c r="J534" s="280">
        <f t="shared" ref="J534:J565" si="70">F534-I534</f>
        <v>9.8999999999997979E-3</v>
      </c>
      <c r="K534" s="282">
        <f t="shared" ref="K534:K565" si="71">(J534/F534)*100</f>
        <v>4.1249999999999165</v>
      </c>
      <c r="L534">
        <v>37</v>
      </c>
      <c r="M534" s="283">
        <v>43360</v>
      </c>
      <c r="N534" s="283">
        <v>43361</v>
      </c>
      <c r="R534" s="282"/>
    </row>
    <row r="535" spans="1:18">
      <c r="A535" t="s">
        <v>457</v>
      </c>
      <c r="C535" t="s">
        <v>3451</v>
      </c>
      <c r="D535">
        <v>1.5762</v>
      </c>
      <c r="E535">
        <v>7.4819000000000004</v>
      </c>
      <c r="F535">
        <v>0.20100000000000001</v>
      </c>
      <c r="G535" s="281">
        <f t="shared" si="69"/>
        <v>7.6829000000000001</v>
      </c>
      <c r="H535" s="281">
        <v>7.4954999999999998</v>
      </c>
      <c r="I535" s="281">
        <f>G535-H535</f>
        <v>0.18740000000000023</v>
      </c>
      <c r="J535" s="280">
        <f t="shared" si="70"/>
        <v>1.3599999999999779E-2</v>
      </c>
      <c r="K535" s="282">
        <f t="shared" si="71"/>
        <v>6.766169154228745</v>
      </c>
      <c r="L535">
        <v>11</v>
      </c>
      <c r="M535" s="283">
        <v>43374</v>
      </c>
      <c r="N535" s="283">
        <v>43375</v>
      </c>
      <c r="O535" s="280" t="s">
        <v>3707</v>
      </c>
      <c r="R535" s="282"/>
    </row>
    <row r="536" spans="1:18">
      <c r="A536" t="s">
        <v>455</v>
      </c>
      <c r="C536" t="s">
        <v>3448</v>
      </c>
      <c r="D536">
        <v>1.6233</v>
      </c>
      <c r="E536">
        <v>8.7615999999999996</v>
      </c>
      <c r="F536">
        <v>0.20699999999999999</v>
      </c>
      <c r="G536" s="281">
        <f t="shared" si="69"/>
        <v>8.9686000000000003</v>
      </c>
      <c r="H536" s="281">
        <v>8.7857000000000003</v>
      </c>
      <c r="I536" s="281">
        <f>G536-H536</f>
        <v>0.18290000000000006</v>
      </c>
      <c r="J536" s="280">
        <f t="shared" si="70"/>
        <v>2.4099999999999927E-2</v>
      </c>
      <c r="K536" s="282">
        <f t="shared" si="71"/>
        <v>11.642512077294652</v>
      </c>
      <c r="L536">
        <v>25</v>
      </c>
      <c r="M536" s="16">
        <v>43399</v>
      </c>
      <c r="N536" s="16">
        <v>43400</v>
      </c>
      <c r="R536" s="282"/>
    </row>
    <row r="537" spans="1:18">
      <c r="A537" t="s">
        <v>454</v>
      </c>
      <c r="B537">
        <v>203</v>
      </c>
      <c r="C537" t="s">
        <v>2490</v>
      </c>
      <c r="D537">
        <v>1.6259999999999999</v>
      </c>
      <c r="E537">
        <v>8.8458000000000006</v>
      </c>
      <c r="F537">
        <v>0.2016</v>
      </c>
      <c r="G537">
        <f t="shared" si="69"/>
        <v>9.0473999999999997</v>
      </c>
      <c r="H537">
        <v>8.8603000000000005</v>
      </c>
      <c r="I537" s="281">
        <f>G537-H537</f>
        <v>0.18709999999999916</v>
      </c>
      <c r="J537" s="280">
        <f t="shared" si="70"/>
        <v>1.4500000000000846E-2</v>
      </c>
      <c r="K537" s="282">
        <f t="shared" si="71"/>
        <v>7.1924603174607373</v>
      </c>
      <c r="L537">
        <v>27</v>
      </c>
      <c r="M537" s="16">
        <v>43399</v>
      </c>
      <c r="N537" s="16">
        <v>43400</v>
      </c>
      <c r="R537" s="282"/>
    </row>
    <row r="538" spans="1:18">
      <c r="A538" t="s">
        <v>453</v>
      </c>
      <c r="B538">
        <v>206</v>
      </c>
      <c r="C538" t="s">
        <v>2490</v>
      </c>
      <c r="D538">
        <v>3.2006000000000001</v>
      </c>
      <c r="E538">
        <v>7.8619000000000003</v>
      </c>
      <c r="F538">
        <v>0.2109</v>
      </c>
      <c r="G538">
        <f t="shared" si="69"/>
        <v>8.0728000000000009</v>
      </c>
      <c r="H538">
        <v>8.0627999999999993</v>
      </c>
      <c r="I538" s="281">
        <f>G538-H538</f>
        <v>1.0000000000001563E-2</v>
      </c>
      <c r="J538" s="280">
        <f t="shared" si="70"/>
        <v>0.20089999999999844</v>
      </c>
      <c r="K538" s="282">
        <f t="shared" si="71"/>
        <v>95.258416311047142</v>
      </c>
      <c r="L538">
        <v>32</v>
      </c>
      <c r="M538" s="16">
        <v>43399</v>
      </c>
      <c r="N538" s="16">
        <v>43400</v>
      </c>
      <c r="P538" t="s">
        <v>3765</v>
      </c>
      <c r="R538" s="282"/>
    </row>
    <row r="539" spans="1:18">
      <c r="A539" t="s">
        <v>450</v>
      </c>
      <c r="C539" t="s">
        <v>3677</v>
      </c>
      <c r="D539">
        <v>1.7596000000000001</v>
      </c>
      <c r="E539">
        <v>8.1327999999999996</v>
      </c>
      <c r="F539">
        <v>0.2024</v>
      </c>
      <c r="G539" s="281">
        <f t="shared" si="69"/>
        <v>8.3352000000000004</v>
      </c>
      <c r="H539" s="281">
        <v>8.1370000000000005</v>
      </c>
      <c r="I539" s="281">
        <f>(G539-H539)</f>
        <v>0.19819999999999993</v>
      </c>
      <c r="J539" s="280">
        <f t="shared" si="70"/>
        <v>4.2000000000000648E-3</v>
      </c>
      <c r="K539" s="282">
        <f t="shared" si="71"/>
        <v>2.075098814229281</v>
      </c>
      <c r="L539">
        <v>18</v>
      </c>
      <c r="M539" s="283">
        <v>43360</v>
      </c>
      <c r="N539" s="283">
        <v>43361</v>
      </c>
      <c r="O539" s="280" t="s">
        <v>3684</v>
      </c>
      <c r="R539" s="282"/>
    </row>
    <row r="540" spans="1:18">
      <c r="A540" t="s">
        <v>448</v>
      </c>
      <c r="C540" t="s">
        <v>3681</v>
      </c>
      <c r="D540">
        <v>1.8503000000000001</v>
      </c>
      <c r="E540">
        <v>11.161</v>
      </c>
      <c r="F540">
        <v>0.2228</v>
      </c>
      <c r="G540" s="285">
        <f t="shared" si="69"/>
        <v>11.383799999999999</v>
      </c>
      <c r="H540" s="281">
        <v>11.169600000000001</v>
      </c>
      <c r="I540" s="285">
        <f>G540-H540</f>
        <v>0.21419999999999817</v>
      </c>
      <c r="J540" s="280">
        <f t="shared" si="70"/>
        <v>8.6000000000018284E-3</v>
      </c>
      <c r="K540" s="282">
        <f t="shared" si="71"/>
        <v>3.8599640933580917</v>
      </c>
      <c r="L540">
        <v>33</v>
      </c>
      <c r="M540" s="283">
        <v>43379</v>
      </c>
      <c r="N540" s="283">
        <v>43379</v>
      </c>
      <c r="R540" s="282"/>
    </row>
    <row r="541" spans="1:18">
      <c r="A541" t="s">
        <v>447</v>
      </c>
      <c r="B541">
        <v>197</v>
      </c>
      <c r="D541">
        <v>1.4258</v>
      </c>
      <c r="E541">
        <v>11.259</v>
      </c>
      <c r="F541">
        <v>0.22670000000000001</v>
      </c>
      <c r="G541" s="281">
        <f t="shared" si="69"/>
        <v>11.4857</v>
      </c>
      <c r="H541" s="281">
        <v>11.273999999999999</v>
      </c>
      <c r="I541" s="281">
        <f>G541-H541</f>
        <v>0.21170000000000044</v>
      </c>
      <c r="J541" s="280">
        <f t="shared" si="70"/>
        <v>1.4999999999999569E-2</v>
      </c>
      <c r="K541" s="282">
        <f t="shared" si="71"/>
        <v>6.6166740185264974</v>
      </c>
      <c r="L541">
        <v>21</v>
      </c>
      <c r="M541" s="16">
        <v>43388</v>
      </c>
      <c r="N541" s="283">
        <v>43389</v>
      </c>
      <c r="O541" s="16"/>
      <c r="R541" s="282"/>
    </row>
    <row r="542" spans="1:18">
      <c r="A542" t="s">
        <v>446</v>
      </c>
      <c r="C542" t="s">
        <v>3454</v>
      </c>
      <c r="D542">
        <v>1.6752</v>
      </c>
      <c r="E542">
        <v>11.9047</v>
      </c>
      <c r="F542">
        <v>0.21129999999999999</v>
      </c>
      <c r="G542" s="281">
        <f t="shared" si="69"/>
        <v>12.116</v>
      </c>
      <c r="H542" s="281">
        <v>11.92</v>
      </c>
      <c r="I542" s="281">
        <f>G542-H542</f>
        <v>0.19599999999999973</v>
      </c>
      <c r="J542" s="280">
        <f t="shared" si="70"/>
        <v>1.5300000000000258E-2</v>
      </c>
      <c r="K542" s="282">
        <f t="shared" si="71"/>
        <v>7.2408897302414861</v>
      </c>
      <c r="L542">
        <v>3</v>
      </c>
      <c r="M542" s="283">
        <v>43374</v>
      </c>
      <c r="N542" s="283">
        <v>43375</v>
      </c>
      <c r="O542" s="280" t="s">
        <v>3707</v>
      </c>
      <c r="R542" s="282"/>
    </row>
    <row r="543" spans="1:18">
      <c r="A543" t="s">
        <v>445</v>
      </c>
      <c r="C543" t="s">
        <v>3444</v>
      </c>
      <c r="D543">
        <v>1.6236999999999999</v>
      </c>
      <c r="E543">
        <v>8.1190999999999995</v>
      </c>
      <c r="F543">
        <v>0.20100000000000001</v>
      </c>
      <c r="G543" s="285">
        <f t="shared" si="69"/>
        <v>8.3201000000000001</v>
      </c>
      <c r="H543" s="281">
        <v>8.1289999999999996</v>
      </c>
      <c r="I543" s="285">
        <f>G543-H543</f>
        <v>0.19110000000000049</v>
      </c>
      <c r="J543" s="280">
        <f t="shared" si="70"/>
        <v>9.8999999999995203E-3</v>
      </c>
      <c r="K543" s="282">
        <f t="shared" si="71"/>
        <v>4.9253731343281189</v>
      </c>
      <c r="L543">
        <v>7</v>
      </c>
      <c r="M543" s="283">
        <v>43379</v>
      </c>
      <c r="N543" s="283">
        <v>43379</v>
      </c>
      <c r="O543" s="280"/>
      <c r="R543" s="282"/>
    </row>
    <row r="544" spans="1:18">
      <c r="A544" t="s">
        <v>444</v>
      </c>
      <c r="B544">
        <v>193</v>
      </c>
      <c r="D544">
        <v>1.2557</v>
      </c>
      <c r="E544">
        <v>8.0960000000000001</v>
      </c>
      <c r="F544">
        <v>0.23080000000000001</v>
      </c>
      <c r="G544" s="281">
        <f t="shared" si="69"/>
        <v>8.3268000000000004</v>
      </c>
      <c r="H544" s="281">
        <v>8.1158000000000001</v>
      </c>
      <c r="I544" s="281">
        <f>G544-H544</f>
        <v>0.2110000000000003</v>
      </c>
      <c r="J544" s="280">
        <f t="shared" si="70"/>
        <v>1.9799999999999707E-2</v>
      </c>
      <c r="K544" s="282">
        <f t="shared" si="71"/>
        <v>8.5788561525128699</v>
      </c>
      <c r="L544">
        <v>38</v>
      </c>
      <c r="M544" s="16">
        <v>43388</v>
      </c>
      <c r="N544" s="283">
        <v>43389</v>
      </c>
      <c r="O544" s="16"/>
      <c r="R544" s="282"/>
    </row>
    <row r="545" spans="1:18">
      <c r="A545" t="s">
        <v>443</v>
      </c>
      <c r="C545" t="s">
        <v>3647</v>
      </c>
      <c r="D545">
        <v>1.8042</v>
      </c>
      <c r="E545">
        <v>7.3540999999999999</v>
      </c>
      <c r="F545">
        <v>0.20569999999999999</v>
      </c>
      <c r="G545" s="281">
        <f t="shared" si="69"/>
        <v>7.5598000000000001</v>
      </c>
      <c r="H545" s="281">
        <v>7.3587999999999996</v>
      </c>
      <c r="I545" s="281">
        <f>(G545-H545)</f>
        <v>0.20100000000000051</v>
      </c>
      <c r="J545" s="280">
        <f t="shared" si="70"/>
        <v>4.6999999999994824E-3</v>
      </c>
      <c r="K545" s="282">
        <f t="shared" si="71"/>
        <v>2.2848808945063115</v>
      </c>
      <c r="L545">
        <v>22</v>
      </c>
      <c r="M545" s="16">
        <v>43358</v>
      </c>
      <c r="N545" s="16">
        <v>43358</v>
      </c>
      <c r="R545" s="282"/>
    </row>
    <row r="546" spans="1:18">
      <c r="A546" t="s">
        <v>442</v>
      </c>
      <c r="C546" t="s">
        <v>3743</v>
      </c>
      <c r="D546">
        <v>1.6237999999999999</v>
      </c>
      <c r="E546">
        <v>11.1555</v>
      </c>
      <c r="F546">
        <v>0.22109999999999999</v>
      </c>
      <c r="G546" s="281">
        <f t="shared" si="69"/>
        <v>11.3766</v>
      </c>
      <c r="H546" s="281">
        <v>11.1755</v>
      </c>
      <c r="I546" s="281">
        <f>G546-H546</f>
        <v>0.20110000000000028</v>
      </c>
      <c r="J546" s="280">
        <f t="shared" si="70"/>
        <v>1.9999999999999712E-2</v>
      </c>
      <c r="K546" s="282">
        <f t="shared" si="71"/>
        <v>9.0456806874716023</v>
      </c>
      <c r="L546">
        <v>22</v>
      </c>
      <c r="M546" s="283">
        <v>43374</v>
      </c>
      <c r="N546" s="283">
        <v>43375</v>
      </c>
      <c r="O546" s="280" t="s">
        <v>3707</v>
      </c>
      <c r="R546" s="282"/>
    </row>
    <row r="547" spans="1:18">
      <c r="A547" t="s">
        <v>441</v>
      </c>
      <c r="C547" t="s">
        <v>3646</v>
      </c>
      <c r="D547">
        <v>1.8461000000000001</v>
      </c>
      <c r="E547">
        <v>7.0926999999999998</v>
      </c>
      <c r="F547">
        <v>0.19989999999999999</v>
      </c>
      <c r="G547" s="281">
        <f t="shared" si="69"/>
        <v>7.2926000000000002</v>
      </c>
      <c r="H547" s="281">
        <v>7.0994999999999999</v>
      </c>
      <c r="I547" s="281">
        <f>(G547-H547)</f>
        <v>0.19310000000000027</v>
      </c>
      <c r="J547" s="280">
        <f t="shared" si="70"/>
        <v>6.7999999999997229E-3</v>
      </c>
      <c r="K547" s="282">
        <f t="shared" si="71"/>
        <v>3.4017008504250739</v>
      </c>
      <c r="L547">
        <v>7</v>
      </c>
      <c r="M547" s="16">
        <v>43358</v>
      </c>
      <c r="N547" s="16">
        <v>43358</v>
      </c>
      <c r="R547" s="282"/>
    </row>
    <row r="548" spans="1:18">
      <c r="A548" t="s">
        <v>440</v>
      </c>
      <c r="B548">
        <v>213</v>
      </c>
      <c r="D548">
        <v>1.5916999999999999</v>
      </c>
      <c r="E548">
        <v>7.9617000000000004</v>
      </c>
      <c r="F548">
        <v>0.20119999999999999</v>
      </c>
      <c r="G548" s="281">
        <f t="shared" si="69"/>
        <v>8.1629000000000005</v>
      </c>
      <c r="H548" s="281">
        <v>7.9724000000000004</v>
      </c>
      <c r="I548" s="281">
        <f>G548-H548</f>
        <v>0.19050000000000011</v>
      </c>
      <c r="J548" s="280">
        <f t="shared" si="70"/>
        <v>1.0699999999999876E-2</v>
      </c>
      <c r="K548" s="282">
        <f t="shared" si="71"/>
        <v>5.3180914512921857</v>
      </c>
      <c r="L548">
        <v>25</v>
      </c>
      <c r="M548" s="16">
        <v>43388</v>
      </c>
      <c r="N548" s="283">
        <v>43389</v>
      </c>
      <c r="O548" s="16"/>
      <c r="R548" s="282"/>
    </row>
    <row r="549" spans="1:18">
      <c r="A549" t="s">
        <v>438</v>
      </c>
      <c r="C549" t="s">
        <v>3660</v>
      </c>
      <c r="D549">
        <v>1.6721999999999999</v>
      </c>
      <c r="E549">
        <v>10.5037</v>
      </c>
      <c r="F549">
        <v>0.223</v>
      </c>
      <c r="G549" s="281">
        <f t="shared" si="69"/>
        <v>10.726700000000001</v>
      </c>
      <c r="H549" s="281">
        <v>10.5131</v>
      </c>
      <c r="I549" s="281">
        <f>(G549-H549)</f>
        <v>0.21360000000000134</v>
      </c>
      <c r="J549" s="280">
        <f t="shared" si="70"/>
        <v>9.3999999999986594E-3</v>
      </c>
      <c r="K549" s="282">
        <f t="shared" si="71"/>
        <v>4.2152466367706989</v>
      </c>
      <c r="L549">
        <v>5</v>
      </c>
      <c r="M549" s="283">
        <v>43360</v>
      </c>
      <c r="N549" s="283">
        <v>43361</v>
      </c>
      <c r="O549" s="280"/>
      <c r="R549" s="282"/>
    </row>
    <row r="550" spans="1:18">
      <c r="A550" t="s">
        <v>437</v>
      </c>
      <c r="C550" t="s">
        <v>3413</v>
      </c>
      <c r="D550">
        <v>1.5290999999999999</v>
      </c>
      <c r="E550">
        <v>9.8880999999999997</v>
      </c>
      <c r="F550">
        <v>0.20960000000000001</v>
      </c>
      <c r="G550" s="281">
        <f t="shared" si="69"/>
        <v>10.0977</v>
      </c>
      <c r="H550" s="281">
        <v>9.9144000000000005</v>
      </c>
      <c r="I550" s="281">
        <f t="shared" ref="I550:I559" si="72">G550-H550</f>
        <v>0.18329999999999913</v>
      </c>
      <c r="J550" s="280">
        <f t="shared" si="70"/>
        <v>2.6300000000000878E-2</v>
      </c>
      <c r="K550" s="282">
        <f t="shared" si="71"/>
        <v>12.547709923664542</v>
      </c>
      <c r="L550">
        <v>28</v>
      </c>
      <c r="M550">
        <v>23.101800000000001</v>
      </c>
      <c r="N550" s="16">
        <v>43397</v>
      </c>
      <c r="R550" s="282"/>
    </row>
    <row r="551" spans="1:18">
      <c r="A551" t="s">
        <v>436</v>
      </c>
      <c r="C551" t="s">
        <v>3471</v>
      </c>
      <c r="D551">
        <v>1.7666999999999999</v>
      </c>
      <c r="E551">
        <v>9.4878</v>
      </c>
      <c r="F551">
        <v>0.20330000000000001</v>
      </c>
      <c r="G551" s="281">
        <f t="shared" si="69"/>
        <v>9.6911000000000005</v>
      </c>
      <c r="H551" s="281">
        <v>9.4940999999999995</v>
      </c>
      <c r="I551" s="281">
        <f t="shared" si="72"/>
        <v>0.19700000000000095</v>
      </c>
      <c r="J551" s="280">
        <f t="shared" si="70"/>
        <v>6.2999999999990564E-3</v>
      </c>
      <c r="K551" s="282">
        <f t="shared" si="71"/>
        <v>3.0988686669941248</v>
      </c>
      <c r="L551">
        <v>36</v>
      </c>
      <c r="M551" s="283">
        <v>43363</v>
      </c>
      <c r="N551" s="283">
        <v>43364</v>
      </c>
      <c r="O551" s="280" t="s">
        <v>3732</v>
      </c>
      <c r="R551" s="282"/>
    </row>
    <row r="552" spans="1:18">
      <c r="A552" t="s">
        <v>435</v>
      </c>
      <c r="C552" t="s">
        <v>3724</v>
      </c>
      <c r="D552">
        <v>1.7797000000000001</v>
      </c>
      <c r="E552">
        <v>8.1206999999999994</v>
      </c>
      <c r="F552">
        <v>0.21329999999999999</v>
      </c>
      <c r="G552" s="281">
        <f t="shared" si="69"/>
        <v>8.3339999999999996</v>
      </c>
      <c r="H552" s="281">
        <v>8.1259999999999994</v>
      </c>
      <c r="I552" s="281">
        <f t="shared" si="72"/>
        <v>0.20800000000000018</v>
      </c>
      <c r="J552" s="280">
        <f t="shared" si="70"/>
        <v>5.2999999999998049E-3</v>
      </c>
      <c r="K552" s="282">
        <f t="shared" si="71"/>
        <v>2.4847632442568237</v>
      </c>
      <c r="L552">
        <v>27</v>
      </c>
      <c r="M552" s="16">
        <v>43381</v>
      </c>
      <c r="N552" s="16">
        <v>43382</v>
      </c>
      <c r="R552" s="282"/>
    </row>
    <row r="553" spans="1:18">
      <c r="A553" t="s">
        <v>434</v>
      </c>
      <c r="C553" t="s">
        <v>3718</v>
      </c>
      <c r="D553">
        <v>1.9027000000000001</v>
      </c>
      <c r="E553">
        <v>11.257899999999999</v>
      </c>
      <c r="F553">
        <v>0.2127</v>
      </c>
      <c r="G553" s="281">
        <f t="shared" si="69"/>
        <v>11.470599999999999</v>
      </c>
      <c r="H553" s="281">
        <v>11.265599999999999</v>
      </c>
      <c r="I553" s="281">
        <f t="shared" si="72"/>
        <v>0.20500000000000007</v>
      </c>
      <c r="J553" s="280">
        <f t="shared" si="70"/>
        <v>7.6999999999999291E-3</v>
      </c>
      <c r="K553" s="282">
        <f t="shared" si="71"/>
        <v>3.6201222378937139</v>
      </c>
      <c r="L553">
        <v>16</v>
      </c>
      <c r="M553" s="283">
        <v>43362</v>
      </c>
      <c r="N553" s="283">
        <v>43363</v>
      </c>
      <c r="O553" s="280"/>
      <c r="R553" s="282"/>
    </row>
    <row r="554" spans="1:18">
      <c r="A554" t="s">
        <v>433</v>
      </c>
      <c r="C554" t="s">
        <v>3410</v>
      </c>
      <c r="D554">
        <v>1.4073</v>
      </c>
      <c r="E554">
        <v>10.8559</v>
      </c>
      <c r="F554">
        <v>0.20549999999999999</v>
      </c>
      <c r="G554" s="281">
        <f t="shared" si="69"/>
        <v>11.061400000000001</v>
      </c>
      <c r="H554" s="281">
        <v>10.872199999999999</v>
      </c>
      <c r="I554" s="281">
        <f t="shared" si="72"/>
        <v>0.18920000000000137</v>
      </c>
      <c r="J554" s="280">
        <f t="shared" si="70"/>
        <v>1.6299999999998621E-2</v>
      </c>
      <c r="K554" s="282">
        <f t="shared" si="71"/>
        <v>7.9318734793180647</v>
      </c>
      <c r="L554">
        <v>38</v>
      </c>
      <c r="M554" s="283">
        <v>43363</v>
      </c>
      <c r="N554" s="283">
        <v>43364</v>
      </c>
      <c r="O554" s="280" t="s">
        <v>3732</v>
      </c>
      <c r="R554" s="282"/>
    </row>
    <row r="555" spans="1:18">
      <c r="A555" t="s">
        <v>432</v>
      </c>
      <c r="C555" t="s">
        <v>3734</v>
      </c>
      <c r="D555">
        <v>1.6654</v>
      </c>
      <c r="E555">
        <v>8.0650999999999993</v>
      </c>
      <c r="F555">
        <v>0.21160000000000001</v>
      </c>
      <c r="G555" s="281">
        <f t="shared" si="69"/>
        <v>8.2766999999999999</v>
      </c>
      <c r="H555" s="281">
        <v>8.0739999999999998</v>
      </c>
      <c r="I555" s="281">
        <f t="shared" si="72"/>
        <v>0.2027000000000001</v>
      </c>
      <c r="J555" s="280">
        <f t="shared" si="70"/>
        <v>8.899999999999908E-3</v>
      </c>
      <c r="K555" s="282">
        <f t="shared" si="71"/>
        <v>4.2060491493383303</v>
      </c>
      <c r="L555">
        <v>13</v>
      </c>
      <c r="M555" s="283">
        <v>43363</v>
      </c>
      <c r="N555" s="283">
        <v>43364</v>
      </c>
      <c r="O555" s="280"/>
      <c r="R555" s="282"/>
    </row>
    <row r="556" spans="1:18">
      <c r="A556" t="s">
        <v>431</v>
      </c>
      <c r="B556">
        <v>204</v>
      </c>
      <c r="C556" t="s">
        <v>2490</v>
      </c>
      <c r="D556">
        <v>1.5386</v>
      </c>
      <c r="E556">
        <v>10.677</v>
      </c>
      <c r="F556">
        <v>0.23350000000000001</v>
      </c>
      <c r="G556">
        <f t="shared" si="69"/>
        <v>10.910499999999999</v>
      </c>
      <c r="H556">
        <v>10.690899999999999</v>
      </c>
      <c r="I556" s="281">
        <f t="shared" si="72"/>
        <v>0.2195999999999998</v>
      </c>
      <c r="J556" s="280">
        <f t="shared" si="70"/>
        <v>1.3900000000000218E-2</v>
      </c>
      <c r="K556" s="282">
        <f t="shared" si="71"/>
        <v>5.9528907922913135</v>
      </c>
      <c r="L556">
        <v>36</v>
      </c>
      <c r="M556" s="16">
        <v>43399</v>
      </c>
      <c r="N556" s="16">
        <v>43400</v>
      </c>
      <c r="R556" s="282"/>
    </row>
    <row r="557" spans="1:18">
      <c r="A557" t="s">
        <v>430</v>
      </c>
      <c r="B557">
        <v>196</v>
      </c>
      <c r="D557">
        <v>1.7162999999999999</v>
      </c>
      <c r="E557">
        <v>7.0763999999999996</v>
      </c>
      <c r="F557">
        <v>0.2036</v>
      </c>
      <c r="G557" s="281">
        <f t="shared" si="69"/>
        <v>7.2799999999999994</v>
      </c>
      <c r="H557" s="281">
        <v>7.0815999999999999</v>
      </c>
      <c r="I557" s="281">
        <f t="shared" si="72"/>
        <v>0.19839999999999947</v>
      </c>
      <c r="J557" s="280">
        <f t="shared" si="70"/>
        <v>5.2000000000005375E-3</v>
      </c>
      <c r="K557" s="282">
        <f t="shared" si="71"/>
        <v>2.5540275049118555</v>
      </c>
      <c r="L557">
        <v>31</v>
      </c>
      <c r="M557" s="16">
        <v>43388</v>
      </c>
      <c r="N557" s="283">
        <v>43389</v>
      </c>
      <c r="O557" s="16"/>
      <c r="R557" s="282"/>
    </row>
    <row r="558" spans="1:18">
      <c r="A558" t="s">
        <v>429</v>
      </c>
      <c r="C558" t="s">
        <v>3440</v>
      </c>
      <c r="D558">
        <v>1.5687</v>
      </c>
      <c r="E558">
        <v>21.209199999999999</v>
      </c>
      <c r="F558">
        <v>0.20300000000000001</v>
      </c>
      <c r="G558" s="281">
        <f t="shared" si="69"/>
        <v>21.412199999999999</v>
      </c>
      <c r="H558" s="281">
        <v>21.238099999999999</v>
      </c>
      <c r="I558" s="281">
        <f t="shared" si="72"/>
        <v>0.17409999999999926</v>
      </c>
      <c r="J558" s="280">
        <f t="shared" si="70"/>
        <v>2.8900000000000758E-2</v>
      </c>
      <c r="K558" s="282">
        <f t="shared" si="71"/>
        <v>14.236453201970816</v>
      </c>
      <c r="L558">
        <v>5</v>
      </c>
      <c r="M558" s="283">
        <v>43362</v>
      </c>
      <c r="N558" s="283">
        <v>43363</v>
      </c>
      <c r="O558" s="280"/>
      <c r="R558" s="282"/>
    </row>
    <row r="559" spans="1:18">
      <c r="A559" t="s">
        <v>428</v>
      </c>
      <c r="B559">
        <v>198</v>
      </c>
      <c r="D559">
        <v>1.5419</v>
      </c>
      <c r="E559">
        <v>9.0214999999999996</v>
      </c>
      <c r="F559">
        <v>0.2021</v>
      </c>
      <c r="G559" s="281">
        <f t="shared" si="69"/>
        <v>9.2235999999999994</v>
      </c>
      <c r="H559" s="281">
        <v>9.0299999999999994</v>
      </c>
      <c r="I559" s="281">
        <f t="shared" si="72"/>
        <v>0.19359999999999999</v>
      </c>
      <c r="J559" s="280">
        <f t="shared" si="70"/>
        <v>8.5000000000000075E-3</v>
      </c>
      <c r="K559" s="282">
        <f t="shared" si="71"/>
        <v>4.205838693715986</v>
      </c>
      <c r="L559">
        <v>33</v>
      </c>
      <c r="M559" s="16">
        <v>43388</v>
      </c>
      <c r="N559" s="283">
        <v>43389</v>
      </c>
      <c r="O559" s="16"/>
      <c r="R559" s="282"/>
    </row>
    <row r="560" spans="1:18">
      <c r="A560" t="s">
        <v>427</v>
      </c>
      <c r="C560" t="s">
        <v>3655</v>
      </c>
      <c r="D560">
        <v>1.8376999999999999</v>
      </c>
      <c r="E560">
        <v>11.0549</v>
      </c>
      <c r="F560">
        <v>0.20349999999999999</v>
      </c>
      <c r="G560" s="281">
        <f t="shared" si="69"/>
        <v>11.2584</v>
      </c>
      <c r="H560" s="281">
        <v>11.0593</v>
      </c>
      <c r="I560" s="281">
        <f>(G560-H560)</f>
        <v>0.19909999999999961</v>
      </c>
      <c r="J560" s="280">
        <f t="shared" si="70"/>
        <v>4.4000000000003758E-3</v>
      </c>
      <c r="K560" s="282">
        <f t="shared" si="71"/>
        <v>2.162162162162347</v>
      </c>
      <c r="L560">
        <v>32</v>
      </c>
      <c r="M560" s="16">
        <v>43358</v>
      </c>
      <c r="N560" s="16">
        <v>43358</v>
      </c>
      <c r="R560" s="282"/>
    </row>
    <row r="561" spans="1:19">
      <c r="A561" t="s">
        <v>426</v>
      </c>
      <c r="C561" t="s">
        <v>3688</v>
      </c>
      <c r="D561">
        <v>1.8581000000000001</v>
      </c>
      <c r="E561">
        <v>7.0766999999999998</v>
      </c>
      <c r="F561">
        <v>0.20610000000000001</v>
      </c>
      <c r="G561" s="281">
        <f t="shared" si="69"/>
        <v>7.2827999999999999</v>
      </c>
      <c r="H561" s="281">
        <v>7.0818000000000003</v>
      </c>
      <c r="I561" s="281">
        <f>(G561-H561)</f>
        <v>0.20099999999999962</v>
      </c>
      <c r="J561" s="280">
        <f t="shared" si="70"/>
        <v>5.100000000000382E-3</v>
      </c>
      <c r="K561" s="282">
        <f t="shared" si="71"/>
        <v>2.4745269286755853</v>
      </c>
      <c r="L561">
        <v>7</v>
      </c>
      <c r="M561" s="283">
        <v>43360</v>
      </c>
      <c r="N561" s="283">
        <v>43361</v>
      </c>
      <c r="O561" s="280" t="s">
        <v>3684</v>
      </c>
      <c r="R561" s="282"/>
    </row>
    <row r="562" spans="1:19">
      <c r="A562" t="s">
        <v>425</v>
      </c>
      <c r="C562" t="s">
        <v>3657</v>
      </c>
      <c r="D562">
        <v>1.6758</v>
      </c>
      <c r="E562">
        <v>20.044699999999999</v>
      </c>
      <c r="F562">
        <v>0.22570000000000001</v>
      </c>
      <c r="G562" s="281">
        <f t="shared" si="69"/>
        <v>20.270399999999999</v>
      </c>
      <c r="H562" s="281">
        <v>20.054600000000001</v>
      </c>
      <c r="I562" s="281">
        <f>G562-H562</f>
        <v>0.21579999999999799</v>
      </c>
      <c r="J562" s="280">
        <f t="shared" si="70"/>
        <v>9.9000000000020183E-3</v>
      </c>
      <c r="K562" s="282">
        <f t="shared" si="71"/>
        <v>4.3863535666823292</v>
      </c>
      <c r="L562">
        <v>34</v>
      </c>
      <c r="M562" s="283">
        <v>43361</v>
      </c>
      <c r="N562" s="283">
        <v>43362</v>
      </c>
      <c r="O562" s="280" t="s">
        <v>3707</v>
      </c>
      <c r="R562" s="282"/>
    </row>
    <row r="563" spans="1:19">
      <c r="A563" t="s">
        <v>424</v>
      </c>
      <c r="C563" t="s">
        <v>3394</v>
      </c>
      <c r="D563">
        <v>1.696</v>
      </c>
      <c r="E563">
        <v>8.1326999999999998</v>
      </c>
      <c r="F563">
        <v>0.20660000000000001</v>
      </c>
      <c r="G563" s="281">
        <f t="shared" si="69"/>
        <v>8.3392999999999997</v>
      </c>
      <c r="H563" s="281">
        <v>8.1448999999999998</v>
      </c>
      <c r="I563" s="281">
        <f>G563-H563</f>
        <v>0.19439999999999991</v>
      </c>
      <c r="J563" s="280">
        <f t="shared" si="70"/>
        <v>1.22000000000001E-2</v>
      </c>
      <c r="K563" s="282">
        <f t="shared" si="71"/>
        <v>5.9051306873185379</v>
      </c>
      <c r="L563">
        <v>37</v>
      </c>
      <c r="M563" s="283">
        <v>43374</v>
      </c>
      <c r="N563" s="283">
        <v>43375</v>
      </c>
      <c r="O563" s="280" t="s">
        <v>3707</v>
      </c>
      <c r="R563" s="282"/>
    </row>
    <row r="564" spans="1:19">
      <c r="A564" t="s">
        <v>423</v>
      </c>
      <c r="C564" t="s">
        <v>3710</v>
      </c>
      <c r="D564">
        <v>1.8660000000000001</v>
      </c>
      <c r="E564">
        <v>10.417899999999999</v>
      </c>
      <c r="F564">
        <v>0.20100000000000001</v>
      </c>
      <c r="G564" s="281">
        <f t="shared" si="69"/>
        <v>10.6189</v>
      </c>
      <c r="H564" s="281">
        <v>10.4238</v>
      </c>
      <c r="I564" s="281">
        <f>G564-H564</f>
        <v>0.19510000000000005</v>
      </c>
      <c r="J564" s="280">
        <f t="shared" si="70"/>
        <v>5.8999999999999608E-3</v>
      </c>
      <c r="K564" s="282">
        <f t="shared" si="71"/>
        <v>2.9353233830845578</v>
      </c>
      <c r="L564">
        <v>4</v>
      </c>
      <c r="M564" s="283">
        <v>43363</v>
      </c>
      <c r="N564" s="283">
        <v>43364</v>
      </c>
      <c r="O564" s="280" t="s">
        <v>3732</v>
      </c>
      <c r="R564" s="282"/>
    </row>
    <row r="565" spans="1:19">
      <c r="A565" t="s">
        <v>422</v>
      </c>
      <c r="C565" t="s">
        <v>3396</v>
      </c>
      <c r="D565">
        <v>1.5751999999999999</v>
      </c>
      <c r="E565">
        <v>11.089</v>
      </c>
      <c r="F565">
        <v>0.20469999999999999</v>
      </c>
      <c r="G565">
        <f t="shared" si="69"/>
        <v>11.293700000000001</v>
      </c>
      <c r="H565">
        <v>11.153</v>
      </c>
      <c r="I565" s="281">
        <f>G565-H565</f>
        <v>0.14070000000000071</v>
      </c>
      <c r="J565" s="280">
        <f t="shared" si="70"/>
        <v>6.399999999999928E-2</v>
      </c>
      <c r="K565" s="282">
        <f t="shared" si="71"/>
        <v>31.265266243282504</v>
      </c>
      <c r="L565">
        <v>33</v>
      </c>
      <c r="M565" s="16">
        <v>43399</v>
      </c>
      <c r="N565" s="16">
        <v>43400</v>
      </c>
      <c r="R565" s="282"/>
    </row>
    <row r="566" spans="1:19">
      <c r="A566" t="s">
        <v>421</v>
      </c>
      <c r="C566" t="s">
        <v>3446</v>
      </c>
      <c r="D566">
        <v>1.593</v>
      </c>
      <c r="E566">
        <v>9.32</v>
      </c>
      <c r="F566">
        <v>0.2074</v>
      </c>
      <c r="G566">
        <f t="shared" ref="G566:G590" si="73">E566+F566</f>
        <v>9.5274000000000001</v>
      </c>
      <c r="H566">
        <v>9.3346999999999998</v>
      </c>
      <c r="I566" s="281">
        <f>G566-H566</f>
        <v>0.19270000000000032</v>
      </c>
      <c r="J566" s="280">
        <f t="shared" ref="J566:J590" si="74">F566-I566</f>
        <v>1.4699999999999686E-2</v>
      </c>
      <c r="K566" s="282">
        <f t="shared" ref="K566:K590" si="75">(J566/F566)*100</f>
        <v>7.0877531340403506</v>
      </c>
      <c r="L566">
        <v>5</v>
      </c>
      <c r="M566" s="16">
        <v>43402</v>
      </c>
      <c r="N566" s="16">
        <v>43403</v>
      </c>
      <c r="R566" s="282"/>
    </row>
    <row r="567" spans="1:19">
      <c r="A567" t="s">
        <v>419</v>
      </c>
      <c r="C567" t="s">
        <v>3648</v>
      </c>
      <c r="D567">
        <v>1.8747</v>
      </c>
      <c r="E567">
        <v>10.4156</v>
      </c>
      <c r="F567">
        <v>0.2051</v>
      </c>
      <c r="G567" s="281">
        <f t="shared" si="73"/>
        <v>10.620699999999999</v>
      </c>
      <c r="H567" s="281">
        <v>10.4209</v>
      </c>
      <c r="I567" s="281">
        <f>(G567-H567)</f>
        <v>0.19979999999999976</v>
      </c>
      <c r="J567" s="280">
        <f t="shared" si="74"/>
        <v>5.300000000000249E-3</v>
      </c>
      <c r="K567" s="282">
        <f t="shared" si="75"/>
        <v>2.5841053144808623</v>
      </c>
      <c r="L567">
        <v>6</v>
      </c>
      <c r="M567" s="16">
        <v>43358</v>
      </c>
      <c r="N567" s="16">
        <v>43358</v>
      </c>
      <c r="R567" s="282"/>
    </row>
    <row r="568" spans="1:19">
      <c r="A568" t="s">
        <v>418</v>
      </c>
      <c r="C568" t="s">
        <v>3636</v>
      </c>
      <c r="D568" s="280">
        <v>1.7976000000000001</v>
      </c>
      <c r="E568" s="281">
        <v>9.0028000000000006</v>
      </c>
      <c r="F568" s="281">
        <v>0.2084</v>
      </c>
      <c r="G568" s="281">
        <f t="shared" si="73"/>
        <v>9.2111999999999998</v>
      </c>
      <c r="H568" s="281">
        <v>9.0084</v>
      </c>
      <c r="I568" s="281">
        <f>(G568-H568)</f>
        <v>0.20279999999999987</v>
      </c>
      <c r="J568" s="280">
        <f t="shared" si="74"/>
        <v>5.6000000000001326E-3</v>
      </c>
      <c r="K568" s="282">
        <f t="shared" si="75"/>
        <v>2.6871401151632113</v>
      </c>
      <c r="L568" s="280">
        <v>1</v>
      </c>
      <c r="M568" s="283">
        <v>43355.625</v>
      </c>
      <c r="N568" s="283">
        <v>43355.791666666664</v>
      </c>
      <c r="O568" s="280" t="s">
        <v>3637</v>
      </c>
      <c r="P568" s="280"/>
      <c r="R568" s="282"/>
      <c r="S568" s="280"/>
    </row>
    <row r="569" spans="1:19">
      <c r="A569" s="92" t="s">
        <v>417</v>
      </c>
      <c r="B569" s="92"/>
      <c r="C569" s="92" t="s">
        <v>3680</v>
      </c>
      <c r="D569" s="92">
        <v>5.4800000000000001E-2</v>
      </c>
      <c r="E569" s="92">
        <v>18.110299999999999</v>
      </c>
      <c r="F569" s="92">
        <v>5.21E-2</v>
      </c>
      <c r="G569" s="391">
        <f t="shared" si="73"/>
        <v>18.162399999999998</v>
      </c>
      <c r="H569" s="391">
        <v>18.160599999999999</v>
      </c>
      <c r="I569" s="391">
        <f>G569-H569</f>
        <v>1.7999999999993577E-3</v>
      </c>
      <c r="J569" s="392">
        <f t="shared" si="74"/>
        <v>5.0300000000000643E-2</v>
      </c>
      <c r="K569" s="393">
        <f t="shared" si="75"/>
        <v>96.545105566220045</v>
      </c>
      <c r="L569" s="92">
        <v>23</v>
      </c>
      <c r="M569" s="394">
        <v>43361</v>
      </c>
      <c r="N569" s="394">
        <v>43362</v>
      </c>
      <c r="O569" s="392" t="s">
        <v>3707</v>
      </c>
      <c r="P569" s="92" t="s">
        <v>3712</v>
      </c>
      <c r="R569" s="393"/>
    </row>
    <row r="570" spans="1:19">
      <c r="A570" t="s">
        <v>416</v>
      </c>
      <c r="C570" t="s">
        <v>3715</v>
      </c>
      <c r="D570">
        <v>1.7596000000000001</v>
      </c>
      <c r="E570">
        <v>7.5297000000000001</v>
      </c>
      <c r="F570">
        <v>0.23369999999999999</v>
      </c>
      <c r="G570" s="281">
        <f t="shared" si="73"/>
        <v>7.7633999999999999</v>
      </c>
      <c r="H570" s="281">
        <v>7.5378999999999996</v>
      </c>
      <c r="I570" s="281">
        <f>G570-H570</f>
        <v>0.22550000000000026</v>
      </c>
      <c r="J570" s="280">
        <f t="shared" si="74"/>
        <v>8.1999999999997353E-3</v>
      </c>
      <c r="K570" s="282">
        <f t="shared" si="75"/>
        <v>3.508771929824448</v>
      </c>
      <c r="L570">
        <v>34</v>
      </c>
      <c r="M570">
        <v>23.101800000000001</v>
      </c>
      <c r="N570" s="16">
        <v>43397</v>
      </c>
      <c r="R570" s="282"/>
    </row>
    <row r="571" spans="1:19">
      <c r="A571" t="s">
        <v>414</v>
      </c>
      <c r="C571" t="s">
        <v>3677</v>
      </c>
      <c r="D571">
        <f>0.5448+0.685</f>
        <v>1.2298</v>
      </c>
      <c r="E571">
        <v>10.698600000000001</v>
      </c>
      <c r="F571">
        <v>0.22389999999999999</v>
      </c>
      <c r="G571" s="281">
        <f t="shared" si="73"/>
        <v>10.922500000000001</v>
      </c>
      <c r="H571" s="281">
        <v>10.7065</v>
      </c>
      <c r="I571" s="281">
        <f>(G571-H571)</f>
        <v>0.21600000000000108</v>
      </c>
      <c r="J571" s="280">
        <f t="shared" si="74"/>
        <v>7.8999999999989079E-3</v>
      </c>
      <c r="K571" s="282">
        <f t="shared" si="75"/>
        <v>3.528360875390312</v>
      </c>
      <c r="L571">
        <v>32</v>
      </c>
      <c r="M571" s="283">
        <v>43360</v>
      </c>
      <c r="N571" s="283">
        <v>43361</v>
      </c>
      <c r="R571" s="282"/>
    </row>
    <row r="572" spans="1:19">
      <c r="A572" t="s">
        <v>413</v>
      </c>
      <c r="C572" t="s">
        <v>3641</v>
      </c>
      <c r="D572">
        <v>1.7851999999999999</v>
      </c>
      <c r="E572">
        <v>10.854100000000001</v>
      </c>
      <c r="F572">
        <v>0.2094</v>
      </c>
      <c r="G572" s="281">
        <f t="shared" si="73"/>
        <v>11.063500000000001</v>
      </c>
      <c r="H572" s="281">
        <v>10.860099999999999</v>
      </c>
      <c r="I572" s="281">
        <f>(G572-H572)</f>
        <v>0.20340000000000202</v>
      </c>
      <c r="J572" s="280">
        <f t="shared" si="74"/>
        <v>5.9999999999979792E-3</v>
      </c>
      <c r="K572" s="282">
        <f t="shared" si="75"/>
        <v>2.8653295128930178</v>
      </c>
      <c r="L572">
        <v>5</v>
      </c>
      <c r="M572" s="283">
        <v>43355.625</v>
      </c>
      <c r="N572" s="283">
        <v>43355.791666666664</v>
      </c>
      <c r="O572" s="280" t="s">
        <v>3637</v>
      </c>
      <c r="R572" s="282"/>
    </row>
    <row r="573" spans="1:19">
      <c r="A573" t="s">
        <v>412</v>
      </c>
      <c r="C573" t="s">
        <v>3725</v>
      </c>
      <c r="D573">
        <v>2.0343</v>
      </c>
      <c r="E573">
        <v>9.8882999999999992</v>
      </c>
      <c r="F573">
        <v>0.22700000000000001</v>
      </c>
      <c r="G573" s="281">
        <f t="shared" si="73"/>
        <v>10.1153</v>
      </c>
      <c r="H573" s="281">
        <v>10.0966</v>
      </c>
      <c r="I573" s="281">
        <f>G573-H573</f>
        <v>1.8699999999999051E-2</v>
      </c>
      <c r="J573" s="280">
        <f t="shared" si="74"/>
        <v>0.20830000000000096</v>
      </c>
      <c r="K573" s="282">
        <f t="shared" si="75"/>
        <v>91.762114537445356</v>
      </c>
      <c r="L573">
        <v>7</v>
      </c>
      <c r="M573" s="283">
        <v>43374</v>
      </c>
      <c r="N573" s="283">
        <v>43375</v>
      </c>
      <c r="O573" s="280" t="s">
        <v>3707</v>
      </c>
      <c r="P573" t="s">
        <v>3742</v>
      </c>
      <c r="R573" s="282"/>
    </row>
    <row r="574" spans="1:19">
      <c r="A574" t="s">
        <v>411</v>
      </c>
      <c r="C574" t="s">
        <v>3482</v>
      </c>
      <c r="D574">
        <v>1.8024</v>
      </c>
      <c r="E574">
        <v>10.7454</v>
      </c>
      <c r="F574">
        <v>0.2016</v>
      </c>
      <c r="G574" s="281">
        <f t="shared" si="73"/>
        <v>10.946999999999999</v>
      </c>
      <c r="H574" s="281">
        <v>10.751799999999999</v>
      </c>
      <c r="I574" s="281">
        <f>G574-H574</f>
        <v>0.19519999999999982</v>
      </c>
      <c r="J574" s="280">
        <f t="shared" si="74"/>
        <v>6.4000000000001833E-3</v>
      </c>
      <c r="K574" s="282">
        <f t="shared" si="75"/>
        <v>3.1746031746032655</v>
      </c>
      <c r="L574">
        <v>6</v>
      </c>
      <c r="M574" s="283">
        <v>43363</v>
      </c>
      <c r="N574" s="283">
        <v>43364</v>
      </c>
      <c r="O574" s="280" t="s">
        <v>3732</v>
      </c>
      <c r="R574" s="282"/>
    </row>
    <row r="575" spans="1:19">
      <c r="A575" t="s">
        <v>410</v>
      </c>
      <c r="C575" t="s">
        <v>3440</v>
      </c>
      <c r="D575">
        <v>1.5952</v>
      </c>
      <c r="E575">
        <v>7.0944000000000003</v>
      </c>
      <c r="F575">
        <v>0.2034</v>
      </c>
      <c r="G575" s="281">
        <f t="shared" si="73"/>
        <v>7.2978000000000005</v>
      </c>
      <c r="H575" s="281">
        <v>7.1093999999999999</v>
      </c>
      <c r="I575" s="281">
        <f>G575-H575</f>
        <v>0.18840000000000057</v>
      </c>
      <c r="J575" s="280">
        <f t="shared" si="74"/>
        <v>1.499999999999943E-2</v>
      </c>
      <c r="K575" s="282">
        <f t="shared" si="75"/>
        <v>7.374631268436298</v>
      </c>
      <c r="L575">
        <v>3</v>
      </c>
      <c r="M575" s="16">
        <v>43381</v>
      </c>
      <c r="N575" s="16">
        <v>43382</v>
      </c>
      <c r="R575" s="282"/>
    </row>
    <row r="576" spans="1:19">
      <c r="A576" t="s">
        <v>407</v>
      </c>
      <c r="C576" t="s">
        <v>3717</v>
      </c>
      <c r="D576">
        <v>1.8533999999999999</v>
      </c>
      <c r="E576">
        <v>7.9618000000000002</v>
      </c>
      <c r="F576">
        <v>0.20180000000000001</v>
      </c>
      <c r="G576" s="281">
        <f t="shared" si="73"/>
        <v>8.1636000000000006</v>
      </c>
      <c r="H576" s="281">
        <v>7.9668000000000001</v>
      </c>
      <c r="I576" s="281">
        <f>G576-H576</f>
        <v>0.19680000000000053</v>
      </c>
      <c r="J576" s="280">
        <f t="shared" si="74"/>
        <v>4.9999999999994771E-3</v>
      </c>
      <c r="K576" s="282">
        <f t="shared" si="75"/>
        <v>2.4777006937559349</v>
      </c>
      <c r="L576">
        <v>33</v>
      </c>
      <c r="M576" s="283">
        <v>43362</v>
      </c>
      <c r="N576" s="283">
        <v>43363</v>
      </c>
      <c r="R576" s="282"/>
    </row>
    <row r="577" spans="1:18">
      <c r="A577" t="s">
        <v>406</v>
      </c>
      <c r="C577" t="s">
        <v>3688</v>
      </c>
      <c r="D577">
        <v>1.7805</v>
      </c>
      <c r="E577">
        <v>9.3201000000000001</v>
      </c>
      <c r="F577">
        <v>0.23269999999999999</v>
      </c>
      <c r="G577" s="281">
        <f t="shared" si="73"/>
        <v>9.5527999999999995</v>
      </c>
      <c r="H577" s="281">
        <v>9.3248999999999995</v>
      </c>
      <c r="I577" s="281">
        <f>(G577-H577)</f>
        <v>0.22789999999999999</v>
      </c>
      <c r="J577" s="280">
        <f t="shared" si="74"/>
        <v>4.7999999999999987E-3</v>
      </c>
      <c r="K577" s="282">
        <f t="shared" si="75"/>
        <v>2.0627417275461966</v>
      </c>
      <c r="L577">
        <v>20</v>
      </c>
      <c r="M577" s="283">
        <v>43360</v>
      </c>
      <c r="N577" s="283">
        <v>43361</v>
      </c>
      <c r="O577" s="280" t="s">
        <v>3684</v>
      </c>
      <c r="R577" s="282"/>
    </row>
    <row r="578" spans="1:18">
      <c r="A578" t="s">
        <v>405</v>
      </c>
      <c r="C578" t="s">
        <v>3664</v>
      </c>
      <c r="D578">
        <v>1.7475000000000001</v>
      </c>
      <c r="E578">
        <v>8.7026000000000003</v>
      </c>
      <c r="F578">
        <v>0.20119999999999999</v>
      </c>
      <c r="G578" s="281">
        <f t="shared" si="73"/>
        <v>8.9038000000000004</v>
      </c>
      <c r="H578" s="281">
        <v>8.7079000000000004</v>
      </c>
      <c r="I578" s="281">
        <f>(G578-H578)</f>
        <v>0.19589999999999996</v>
      </c>
      <c r="J578" s="280">
        <f t="shared" si="74"/>
        <v>5.3000000000000269E-3</v>
      </c>
      <c r="K578" s="282">
        <f t="shared" si="75"/>
        <v>2.63419483101393</v>
      </c>
      <c r="L578">
        <v>10</v>
      </c>
      <c r="M578" s="283">
        <v>43360</v>
      </c>
      <c r="N578" s="283">
        <v>43361</v>
      </c>
      <c r="O578" s="280"/>
      <c r="R578" s="282"/>
    </row>
    <row r="579" spans="1:18">
      <c r="A579" t="s">
        <v>404</v>
      </c>
      <c r="C579" t="s">
        <v>3469</v>
      </c>
      <c r="D579">
        <v>0.85099999999999998</v>
      </c>
      <c r="E579">
        <v>8.9600000000000009</v>
      </c>
      <c r="F579">
        <v>0.20649999999999999</v>
      </c>
      <c r="G579" s="281">
        <f t="shared" si="73"/>
        <v>9.166500000000001</v>
      </c>
      <c r="H579" s="281">
        <v>9.0650999999999993</v>
      </c>
      <c r="I579" s="281">
        <f>G579-H579</f>
        <v>0.10140000000000171</v>
      </c>
      <c r="J579" s="280">
        <f t="shared" si="74"/>
        <v>0.10509999999999828</v>
      </c>
      <c r="K579" s="282">
        <f t="shared" si="75"/>
        <v>50.895883777238879</v>
      </c>
      <c r="L579">
        <v>24</v>
      </c>
      <c r="M579" s="283">
        <v>43363</v>
      </c>
      <c r="N579" s="283">
        <v>43364</v>
      </c>
      <c r="O579" s="280" t="s">
        <v>3732</v>
      </c>
      <c r="R579" s="282"/>
    </row>
    <row r="580" spans="1:18">
      <c r="A580" t="s">
        <v>403</v>
      </c>
      <c r="C580" t="s">
        <v>3413</v>
      </c>
      <c r="D580">
        <v>1.4211</v>
      </c>
      <c r="E580">
        <v>9.0036000000000005</v>
      </c>
      <c r="F580">
        <v>0.23499999999999999</v>
      </c>
      <c r="G580">
        <f t="shared" si="73"/>
        <v>9.2385999999999999</v>
      </c>
      <c r="H580">
        <v>9.0282999999999998</v>
      </c>
      <c r="I580" s="281">
        <f>G580-H580</f>
        <v>0.21030000000000015</v>
      </c>
      <c r="J580" s="280">
        <f t="shared" si="74"/>
        <v>2.4699999999999833E-2</v>
      </c>
      <c r="K580" s="282">
        <f t="shared" si="75"/>
        <v>10.510638297872269</v>
      </c>
      <c r="L580">
        <v>13</v>
      </c>
      <c r="M580" s="16">
        <v>43399</v>
      </c>
      <c r="N580" s="16">
        <v>43400</v>
      </c>
      <c r="R580" s="282"/>
    </row>
    <row r="581" spans="1:18">
      <c r="A581" t="s">
        <v>402</v>
      </c>
      <c r="C581" t="s">
        <v>3646</v>
      </c>
      <c r="D581">
        <v>1.8143</v>
      </c>
      <c r="E581">
        <v>8.1168999999999993</v>
      </c>
      <c r="F581">
        <v>0.19980000000000001</v>
      </c>
      <c r="G581" s="281">
        <f t="shared" si="73"/>
        <v>8.3166999999999991</v>
      </c>
      <c r="H581" s="281">
        <v>8.1232000000000006</v>
      </c>
      <c r="I581" s="281">
        <f>(G581-H581)</f>
        <v>0.19349999999999845</v>
      </c>
      <c r="J581" s="280">
        <f t="shared" si="74"/>
        <v>6.3000000000015544E-3</v>
      </c>
      <c r="K581" s="282">
        <f t="shared" si="75"/>
        <v>3.1531531531539305</v>
      </c>
      <c r="L581">
        <v>15</v>
      </c>
      <c r="M581" s="283">
        <v>43355.625</v>
      </c>
      <c r="N581" s="283">
        <v>43355.791666666664</v>
      </c>
      <c r="O581" s="280" t="s">
        <v>3637</v>
      </c>
      <c r="R581" s="282"/>
    </row>
    <row r="582" spans="1:18">
      <c r="A582" t="s">
        <v>400</v>
      </c>
      <c r="C582" t="s">
        <v>3754</v>
      </c>
      <c r="D582">
        <v>1.8338000000000001</v>
      </c>
      <c r="E582">
        <v>10.567600000000001</v>
      </c>
      <c r="F582">
        <v>0.20280000000000001</v>
      </c>
      <c r="G582" s="281">
        <f t="shared" si="73"/>
        <v>10.7704</v>
      </c>
      <c r="H582" s="281">
        <v>10.573</v>
      </c>
      <c r="I582" s="281">
        <f>G582-H582</f>
        <v>0.19740000000000002</v>
      </c>
      <c r="J582" s="280">
        <f t="shared" si="74"/>
        <v>5.3999999999999881E-3</v>
      </c>
      <c r="K582" s="282">
        <f t="shared" si="75"/>
        <v>2.6627218934911183</v>
      </c>
      <c r="L582">
        <v>11</v>
      </c>
      <c r="M582" s="16">
        <v>43388</v>
      </c>
      <c r="N582" s="283">
        <v>43389</v>
      </c>
      <c r="O582" s="283"/>
      <c r="P582" s="280"/>
      <c r="R582" s="282"/>
    </row>
    <row r="583" spans="1:18">
      <c r="A583" t="s">
        <v>399</v>
      </c>
      <c r="C583" t="s">
        <v>3679</v>
      </c>
      <c r="D583">
        <v>1.4898</v>
      </c>
      <c r="E583">
        <v>20.760200000000001</v>
      </c>
      <c r="F583">
        <v>0.21190000000000001</v>
      </c>
      <c r="G583" s="281">
        <f t="shared" si="73"/>
        <v>20.972100000000001</v>
      </c>
      <c r="H583" s="281">
        <v>20.782499999999999</v>
      </c>
      <c r="I583" s="281">
        <f>G583-H583</f>
        <v>0.18960000000000221</v>
      </c>
      <c r="J583" s="280">
        <f t="shared" si="74"/>
        <v>2.2299999999997794E-2</v>
      </c>
      <c r="K583" s="282">
        <f t="shared" si="75"/>
        <v>10.523831996223592</v>
      </c>
      <c r="L583">
        <v>39</v>
      </c>
      <c r="M583" s="283">
        <v>43363</v>
      </c>
      <c r="N583" s="283">
        <v>43364</v>
      </c>
      <c r="R583" s="282"/>
    </row>
    <row r="584" spans="1:18">
      <c r="A584" t="s">
        <v>398</v>
      </c>
      <c r="C584" t="s">
        <v>3644</v>
      </c>
      <c r="D584">
        <v>1.8038000000000001</v>
      </c>
      <c r="E584">
        <v>11.7446</v>
      </c>
      <c r="F584">
        <v>0.19980000000000001</v>
      </c>
      <c r="G584" s="281">
        <f t="shared" si="73"/>
        <v>11.9444</v>
      </c>
      <c r="H584" s="281">
        <v>11.7517</v>
      </c>
      <c r="I584" s="281">
        <f>(G584-H584)</f>
        <v>0.19270000000000032</v>
      </c>
      <c r="J584" s="280">
        <f t="shared" si="74"/>
        <v>7.0999999999996899E-3</v>
      </c>
      <c r="K584" s="282">
        <f t="shared" si="75"/>
        <v>3.5535535535533986</v>
      </c>
      <c r="L584">
        <v>1</v>
      </c>
      <c r="M584" s="16">
        <v>43358</v>
      </c>
      <c r="N584" s="16">
        <v>43358</v>
      </c>
      <c r="R584" s="282"/>
    </row>
    <row r="585" spans="1:18">
      <c r="A585" t="s">
        <v>397</v>
      </c>
      <c r="C585" t="s">
        <v>3746</v>
      </c>
      <c r="D585">
        <v>1.7324999999999999</v>
      </c>
      <c r="E585">
        <v>10.856</v>
      </c>
      <c r="F585">
        <v>0.21</v>
      </c>
      <c r="G585" s="285">
        <f t="shared" si="73"/>
        <v>11.066000000000001</v>
      </c>
      <c r="H585" s="281">
        <v>10.861700000000001</v>
      </c>
      <c r="I585" s="285">
        <f t="shared" ref="I585:I590" si="76">G585-H585</f>
        <v>0.20429999999999993</v>
      </c>
      <c r="J585" s="280">
        <f t="shared" si="74"/>
        <v>5.7000000000000661E-3</v>
      </c>
      <c r="K585" s="282">
        <f t="shared" si="75"/>
        <v>2.7142857142857459</v>
      </c>
      <c r="L585">
        <v>37</v>
      </c>
      <c r="M585" s="283">
        <v>43379</v>
      </c>
      <c r="N585" s="283">
        <v>43379</v>
      </c>
      <c r="R585" s="282"/>
    </row>
    <row r="586" spans="1:18">
      <c r="A586" t="s">
        <v>396</v>
      </c>
      <c r="C586" t="s">
        <v>3731</v>
      </c>
      <c r="D586">
        <v>1.8544</v>
      </c>
      <c r="E586">
        <v>7.9950999999999999</v>
      </c>
      <c r="F586">
        <v>0.2021</v>
      </c>
      <c r="G586" s="285">
        <f t="shared" si="73"/>
        <v>8.1972000000000005</v>
      </c>
      <c r="H586" s="281">
        <v>8.0017999999999994</v>
      </c>
      <c r="I586" s="285">
        <f t="shared" si="76"/>
        <v>0.19540000000000113</v>
      </c>
      <c r="J586" s="280">
        <f t="shared" si="74"/>
        <v>6.6999999999988735E-3</v>
      </c>
      <c r="K586" s="282">
        <f t="shared" si="75"/>
        <v>3.3151904997520401</v>
      </c>
      <c r="L586">
        <v>28</v>
      </c>
      <c r="M586" s="283">
        <v>43379</v>
      </c>
      <c r="N586" s="283">
        <v>43379</v>
      </c>
      <c r="R586" s="282"/>
    </row>
    <row r="587" spans="1:18">
      <c r="A587" t="s">
        <v>395</v>
      </c>
      <c r="C587" t="s">
        <v>3736</v>
      </c>
      <c r="D587">
        <v>0.46639999999999998</v>
      </c>
      <c r="E587">
        <v>7.8403999999999998</v>
      </c>
      <c r="F587">
        <v>0.2036</v>
      </c>
      <c r="G587" s="281">
        <f t="shared" si="73"/>
        <v>8.0440000000000005</v>
      </c>
      <c r="H587" s="281">
        <v>8.0124999999999993</v>
      </c>
      <c r="I587" s="281">
        <f t="shared" si="76"/>
        <v>3.1500000000001194E-2</v>
      </c>
      <c r="J587" s="280">
        <f t="shared" si="74"/>
        <v>0.17209999999999881</v>
      </c>
      <c r="K587" s="282">
        <f t="shared" si="75"/>
        <v>84.528487229861895</v>
      </c>
      <c r="L587">
        <v>35</v>
      </c>
      <c r="M587" s="16">
        <v>43381</v>
      </c>
      <c r="N587" s="16">
        <v>43382</v>
      </c>
      <c r="R587" s="282"/>
    </row>
    <row r="588" spans="1:18">
      <c r="A588" t="s">
        <v>393</v>
      </c>
      <c r="C588" t="s">
        <v>3409</v>
      </c>
      <c r="D588">
        <v>4.7215999999999996</v>
      </c>
      <c r="E588">
        <v>7.7751000000000001</v>
      </c>
      <c r="F588">
        <v>0.22</v>
      </c>
      <c r="G588" s="281">
        <f t="shared" si="73"/>
        <v>7.9950999999999999</v>
      </c>
      <c r="H588" s="281">
        <v>7.9756999999999998</v>
      </c>
      <c r="I588" s="281">
        <f t="shared" si="76"/>
        <v>1.9400000000000084E-2</v>
      </c>
      <c r="J588" s="280">
        <f t="shared" si="74"/>
        <v>0.20059999999999992</v>
      </c>
      <c r="K588" s="282">
        <f t="shared" si="75"/>
        <v>91.181818181818144</v>
      </c>
      <c r="L588">
        <v>26</v>
      </c>
      <c r="M588" s="16">
        <v>43399</v>
      </c>
      <c r="N588" s="16">
        <v>43400</v>
      </c>
      <c r="P588" t="s">
        <v>3764</v>
      </c>
      <c r="R588" s="282"/>
    </row>
    <row r="589" spans="1:18">
      <c r="A589" t="s">
        <v>391</v>
      </c>
      <c r="C589" t="s">
        <v>3719</v>
      </c>
      <c r="D589">
        <v>0.61480000000000001</v>
      </c>
      <c r="E589">
        <v>19.644200000000001</v>
      </c>
      <c r="F589">
        <v>0.20799999999999999</v>
      </c>
      <c r="G589" s="281">
        <f t="shared" si="73"/>
        <v>19.8522</v>
      </c>
      <c r="H589" s="281">
        <v>19.831299999999999</v>
      </c>
      <c r="I589" s="281">
        <f t="shared" si="76"/>
        <v>2.0900000000001029E-2</v>
      </c>
      <c r="J589" s="280">
        <f t="shared" si="74"/>
        <v>0.18709999999999896</v>
      </c>
      <c r="K589" s="282">
        <f t="shared" si="75"/>
        <v>89.951923076922583</v>
      </c>
      <c r="L589">
        <v>8</v>
      </c>
      <c r="M589" s="283">
        <v>43362</v>
      </c>
      <c r="N589" s="283">
        <v>43363</v>
      </c>
      <c r="O589" s="280"/>
      <c r="R589" s="282"/>
    </row>
    <row r="590" spans="1:18">
      <c r="A590" t="s">
        <v>390</v>
      </c>
      <c r="C590" t="s">
        <v>3720</v>
      </c>
      <c r="D590">
        <v>1.7874000000000001</v>
      </c>
      <c r="E590">
        <v>7.3555000000000001</v>
      </c>
      <c r="F590">
        <v>0.20649999999999999</v>
      </c>
      <c r="G590" s="285">
        <f t="shared" si="73"/>
        <v>7.5620000000000003</v>
      </c>
      <c r="H590" s="281">
        <v>7.3621999999999996</v>
      </c>
      <c r="I590" s="285">
        <f t="shared" si="76"/>
        <v>0.19980000000000064</v>
      </c>
      <c r="J590" s="280">
        <f t="shared" si="74"/>
        <v>6.6999999999993454E-3</v>
      </c>
      <c r="K590" s="282">
        <f t="shared" si="75"/>
        <v>3.2445520581110632</v>
      </c>
      <c r="L590">
        <v>20</v>
      </c>
      <c r="M590" s="283">
        <v>43379</v>
      </c>
      <c r="N590" s="283">
        <v>43379</v>
      </c>
      <c r="R590" s="282"/>
    </row>
    <row r="591" spans="1:18">
      <c r="A591" t="s">
        <v>1066</v>
      </c>
      <c r="B591">
        <v>200</v>
      </c>
      <c r="C591" t="s">
        <v>2490</v>
      </c>
      <c r="D591">
        <v>0</v>
      </c>
      <c r="E591">
        <v>0</v>
      </c>
      <c r="F591">
        <v>0</v>
      </c>
      <c r="G591">
        <v>0</v>
      </c>
      <c r="H591">
        <v>0</v>
      </c>
      <c r="I591">
        <v>0</v>
      </c>
      <c r="J591">
        <v>0</v>
      </c>
      <c r="K591">
        <v>0</v>
      </c>
    </row>
    <row r="592" spans="1:18">
      <c r="A592" t="s">
        <v>388</v>
      </c>
      <c r="C592" t="s">
        <v>3697</v>
      </c>
      <c r="D592">
        <v>1.4699</v>
      </c>
      <c r="E592">
        <v>9.5189000000000004</v>
      </c>
      <c r="F592">
        <v>0.20399999999999999</v>
      </c>
      <c r="G592" s="281">
        <f t="shared" ref="G592:G614" si="77">E592+F592</f>
        <v>9.722900000000001</v>
      </c>
      <c r="H592" s="281">
        <v>9.5271000000000008</v>
      </c>
      <c r="I592" s="281">
        <f>(G592-H592)</f>
        <v>0.1958000000000002</v>
      </c>
      <c r="J592" s="280">
        <f t="shared" ref="J592:J614" si="78">F592-I592</f>
        <v>8.1999999999997908E-3</v>
      </c>
      <c r="K592" s="282">
        <f t="shared" ref="K592:K614" si="79">(J592/F592)*100</f>
        <v>4.0196078431371527</v>
      </c>
      <c r="L592">
        <v>29</v>
      </c>
      <c r="M592" s="283">
        <v>43360</v>
      </c>
      <c r="N592" s="283">
        <v>43361</v>
      </c>
      <c r="O592" s="280" t="s">
        <v>3684</v>
      </c>
      <c r="R592" s="282"/>
    </row>
    <row r="593" spans="1:18">
      <c r="A593" t="s">
        <v>387</v>
      </c>
      <c r="C593" t="s">
        <v>3457</v>
      </c>
      <c r="D593">
        <v>1.5062</v>
      </c>
      <c r="E593">
        <v>10.057</v>
      </c>
      <c r="F593">
        <v>0.21659999999999999</v>
      </c>
      <c r="G593" s="281">
        <f t="shared" si="77"/>
        <v>10.2736</v>
      </c>
      <c r="H593" s="281">
        <v>10.0754</v>
      </c>
      <c r="I593" s="281">
        <f>G593-H593</f>
        <v>0.19819999999999993</v>
      </c>
      <c r="J593" s="280">
        <f t="shared" si="78"/>
        <v>1.8400000000000055E-2</v>
      </c>
      <c r="K593" s="282">
        <f t="shared" si="79"/>
        <v>8.4949215143121215</v>
      </c>
      <c r="L593">
        <v>38</v>
      </c>
      <c r="M593" s="283">
        <v>43374</v>
      </c>
      <c r="N593" s="283">
        <v>43375</v>
      </c>
      <c r="O593" s="280" t="s">
        <v>3707</v>
      </c>
      <c r="R593" s="282"/>
    </row>
    <row r="594" spans="1:18">
      <c r="A594" t="s">
        <v>383</v>
      </c>
      <c r="C594" t="s">
        <v>3403</v>
      </c>
      <c r="D594">
        <v>1.7665999999999999</v>
      </c>
      <c r="E594">
        <v>7.8396999999999997</v>
      </c>
      <c r="F594">
        <v>0.2021</v>
      </c>
      <c r="G594" s="281">
        <f t="shared" si="77"/>
        <v>8.0418000000000003</v>
      </c>
      <c r="H594" s="281">
        <v>8.0214999999999996</v>
      </c>
      <c r="I594" s="281">
        <f>G594-H594</f>
        <v>2.0300000000000651E-2</v>
      </c>
      <c r="J594" s="280">
        <f t="shared" si="78"/>
        <v>0.18179999999999935</v>
      </c>
      <c r="K594" s="282">
        <f t="shared" si="79"/>
        <v>89.95546759030151</v>
      </c>
      <c r="L594">
        <v>33</v>
      </c>
      <c r="M594" s="283">
        <v>43374</v>
      </c>
      <c r="N594" s="283">
        <v>43375</v>
      </c>
      <c r="O594" s="280" t="s">
        <v>3707</v>
      </c>
      <c r="R594" s="282"/>
    </row>
    <row r="595" spans="1:18">
      <c r="A595" t="s">
        <v>382</v>
      </c>
      <c r="C595" t="s">
        <v>3741</v>
      </c>
      <c r="D595">
        <v>1.5597000000000001</v>
      </c>
      <c r="E595">
        <v>10.6996</v>
      </c>
      <c r="F595">
        <v>0.2155</v>
      </c>
      <c r="G595" s="281">
        <f t="shared" si="77"/>
        <v>10.915100000000001</v>
      </c>
      <c r="H595" s="281">
        <v>10.731199999999999</v>
      </c>
      <c r="I595" s="281">
        <f>G595-H595</f>
        <v>0.18390000000000128</v>
      </c>
      <c r="J595" s="280">
        <f t="shared" si="78"/>
        <v>3.1599999999998712E-2</v>
      </c>
      <c r="K595" s="282">
        <f t="shared" si="79"/>
        <v>14.66357308584627</v>
      </c>
      <c r="L595">
        <v>34</v>
      </c>
      <c r="M595" s="16">
        <v>43399</v>
      </c>
      <c r="N595" s="16">
        <v>43400</v>
      </c>
      <c r="R595" s="282"/>
    </row>
    <row r="596" spans="1:18">
      <c r="A596" t="s">
        <v>381</v>
      </c>
      <c r="C596" t="s">
        <v>3681</v>
      </c>
      <c r="D596">
        <v>1.4066000000000001</v>
      </c>
      <c r="E596">
        <v>7.0933999999999999</v>
      </c>
      <c r="F596">
        <v>0.23180000000000001</v>
      </c>
      <c r="G596" s="281">
        <f t="shared" si="77"/>
        <v>7.3251999999999997</v>
      </c>
      <c r="H596" s="281">
        <v>7.3068</v>
      </c>
      <c r="I596" s="281">
        <f>(G596-H596)</f>
        <v>1.839999999999975E-2</v>
      </c>
      <c r="J596" s="280">
        <f t="shared" si="78"/>
        <v>0.21340000000000026</v>
      </c>
      <c r="K596" s="282">
        <f t="shared" si="79"/>
        <v>92.062122519413393</v>
      </c>
      <c r="L596">
        <v>41</v>
      </c>
      <c r="M596" s="283">
        <v>43360</v>
      </c>
      <c r="N596" s="283">
        <v>43361</v>
      </c>
      <c r="R596" s="282"/>
    </row>
    <row r="597" spans="1:18">
      <c r="A597" t="s">
        <v>380</v>
      </c>
      <c r="C597" t="s">
        <v>3397</v>
      </c>
      <c r="D597">
        <v>1.5463</v>
      </c>
      <c r="E597">
        <v>11.1736</v>
      </c>
      <c r="F597">
        <v>0.2135</v>
      </c>
      <c r="G597" s="281">
        <f t="shared" si="77"/>
        <v>11.3871</v>
      </c>
      <c r="H597" s="281">
        <v>11.1936</v>
      </c>
      <c r="I597" s="281">
        <f>G597-H597</f>
        <v>0.19350000000000023</v>
      </c>
      <c r="J597" s="280">
        <f t="shared" si="78"/>
        <v>1.9999999999999768E-2</v>
      </c>
      <c r="K597" s="282">
        <f t="shared" si="79"/>
        <v>9.3676814988289312</v>
      </c>
      <c r="L597">
        <v>41</v>
      </c>
      <c r="M597">
        <v>23.101800000000001</v>
      </c>
      <c r="N597" s="16">
        <v>43397</v>
      </c>
      <c r="R597" s="282"/>
    </row>
    <row r="598" spans="1:18">
      <c r="A598" t="s">
        <v>379</v>
      </c>
      <c r="C598" t="s">
        <v>3665</v>
      </c>
      <c r="D598">
        <v>1.8381000000000001</v>
      </c>
      <c r="E598">
        <v>11.4543</v>
      </c>
      <c r="F598">
        <v>0.20380000000000001</v>
      </c>
      <c r="G598" s="281">
        <f t="shared" si="77"/>
        <v>11.658099999999999</v>
      </c>
      <c r="H598" s="281">
        <v>11.4602</v>
      </c>
      <c r="I598" s="281">
        <f>(G598-H598)</f>
        <v>0.19789999999999885</v>
      </c>
      <c r="J598" s="280">
        <f t="shared" si="78"/>
        <v>5.9000000000011543E-3</v>
      </c>
      <c r="K598" s="282">
        <f t="shared" si="79"/>
        <v>2.8949950932292219</v>
      </c>
      <c r="L598">
        <v>15</v>
      </c>
      <c r="M598" s="283">
        <v>43360</v>
      </c>
      <c r="N598" s="283">
        <v>43361</v>
      </c>
      <c r="O598" s="280"/>
      <c r="R598" s="282"/>
    </row>
    <row r="599" spans="1:18">
      <c r="A599" t="s">
        <v>378</v>
      </c>
      <c r="C599" t="s">
        <v>3642</v>
      </c>
      <c r="D599">
        <v>1.7369000000000001</v>
      </c>
      <c r="E599">
        <v>10.539199999999999</v>
      </c>
      <c r="F599">
        <v>0.20380000000000001</v>
      </c>
      <c r="G599" s="281">
        <f t="shared" si="77"/>
        <v>10.742999999999999</v>
      </c>
      <c r="H599" s="281">
        <v>10.5444</v>
      </c>
      <c r="I599" s="281">
        <f>(G599-H599)</f>
        <v>0.198599999999999</v>
      </c>
      <c r="J599" s="280">
        <f t="shared" si="78"/>
        <v>5.2000000000010094E-3</v>
      </c>
      <c r="K599" s="282">
        <f t="shared" si="79"/>
        <v>2.5515210991172763</v>
      </c>
      <c r="L599">
        <v>19</v>
      </c>
      <c r="M599" s="16">
        <v>43358</v>
      </c>
      <c r="N599" s="16">
        <v>43358</v>
      </c>
      <c r="R599" s="282"/>
    </row>
    <row r="600" spans="1:18">
      <c r="A600" t="s">
        <v>377</v>
      </c>
      <c r="C600" t="s">
        <v>3716</v>
      </c>
      <c r="D600">
        <v>1.5270999999999999</v>
      </c>
      <c r="E600">
        <v>20.929300000000001</v>
      </c>
      <c r="F600">
        <v>0.224</v>
      </c>
      <c r="G600" s="281">
        <f t="shared" si="77"/>
        <v>21.153300000000002</v>
      </c>
      <c r="H600" s="281">
        <v>20.943300000000001</v>
      </c>
      <c r="I600" s="281">
        <f>G600-H600</f>
        <v>0.21000000000000085</v>
      </c>
      <c r="J600" s="280">
        <f t="shared" si="78"/>
        <v>1.3999999999999152E-2</v>
      </c>
      <c r="K600" s="282">
        <f t="shared" si="79"/>
        <v>6.2499999999996207</v>
      </c>
      <c r="L600">
        <v>41</v>
      </c>
      <c r="M600" s="283">
        <v>43361</v>
      </c>
      <c r="N600" s="283">
        <v>43362</v>
      </c>
      <c r="O600" s="280" t="s">
        <v>3707</v>
      </c>
      <c r="R600" s="282"/>
    </row>
    <row r="601" spans="1:18">
      <c r="A601" t="s">
        <v>376</v>
      </c>
      <c r="C601" t="s">
        <v>3689</v>
      </c>
      <c r="D601">
        <v>1.8338000000000001</v>
      </c>
      <c r="E601">
        <v>9.0223999999999993</v>
      </c>
      <c r="F601">
        <v>0.20130000000000001</v>
      </c>
      <c r="G601" s="281">
        <f t="shared" si="77"/>
        <v>9.2236999999999991</v>
      </c>
      <c r="H601" s="281">
        <v>9.0281000000000002</v>
      </c>
      <c r="I601" s="281">
        <f>G601-H601</f>
        <v>0.19559999999999889</v>
      </c>
      <c r="J601" s="280">
        <f t="shared" si="78"/>
        <v>5.7000000000011208E-3</v>
      </c>
      <c r="K601" s="282">
        <f t="shared" si="79"/>
        <v>2.8315946348738801</v>
      </c>
      <c r="L601">
        <v>11</v>
      </c>
      <c r="M601" s="16">
        <v>43399</v>
      </c>
      <c r="N601" s="16">
        <v>43400</v>
      </c>
      <c r="R601" s="282"/>
    </row>
    <row r="602" spans="1:18">
      <c r="A602" t="s">
        <v>375</v>
      </c>
      <c r="C602" t="s">
        <v>3649</v>
      </c>
      <c r="D602">
        <v>1.827</v>
      </c>
      <c r="E602">
        <v>10.856</v>
      </c>
      <c r="F602">
        <v>0.2077</v>
      </c>
      <c r="G602">
        <f t="shared" si="77"/>
        <v>11.063700000000001</v>
      </c>
      <c r="H602">
        <v>10.860900000000001</v>
      </c>
      <c r="I602">
        <f>(G602-H602)</f>
        <v>0.20279999999999987</v>
      </c>
      <c r="J602" s="280">
        <f t="shared" si="78"/>
        <v>4.9000000000001265E-3</v>
      </c>
      <c r="K602" s="282">
        <f t="shared" si="79"/>
        <v>2.3591718825229306</v>
      </c>
      <c r="M602" s="16">
        <v>43399</v>
      </c>
      <c r="N602" s="16">
        <v>43400</v>
      </c>
      <c r="P602" t="s">
        <v>3685</v>
      </c>
      <c r="R602" s="282"/>
    </row>
    <row r="603" spans="1:18">
      <c r="A603" t="s">
        <v>374</v>
      </c>
      <c r="C603" t="s">
        <v>3643</v>
      </c>
      <c r="D603">
        <v>1.8258000000000001</v>
      </c>
      <c r="E603">
        <v>9.0312999999999999</v>
      </c>
      <c r="F603">
        <v>0.2011</v>
      </c>
      <c r="G603" s="281">
        <f t="shared" si="77"/>
        <v>9.2324000000000002</v>
      </c>
      <c r="H603" s="281">
        <v>9.0358999999999998</v>
      </c>
      <c r="I603" s="281">
        <f>(G603-H603)</f>
        <v>0.19650000000000034</v>
      </c>
      <c r="J603" s="280">
        <f t="shared" si="78"/>
        <v>4.5999999999996599E-3</v>
      </c>
      <c r="K603" s="282">
        <f t="shared" si="79"/>
        <v>2.2874191944304623</v>
      </c>
      <c r="L603">
        <v>10</v>
      </c>
      <c r="M603" s="16">
        <v>43358</v>
      </c>
      <c r="N603" s="16">
        <v>43358</v>
      </c>
      <c r="R603" s="282"/>
    </row>
    <row r="604" spans="1:18">
      <c r="A604" t="s">
        <v>373</v>
      </c>
      <c r="C604" t="s">
        <v>3671</v>
      </c>
      <c r="D604">
        <v>1.4701</v>
      </c>
      <c r="E604">
        <v>11.1556</v>
      </c>
      <c r="F604">
        <v>0.21870000000000001</v>
      </c>
      <c r="G604" s="281">
        <f t="shared" si="77"/>
        <v>11.3743</v>
      </c>
      <c r="H604" s="281">
        <v>11.206</v>
      </c>
      <c r="I604" s="281">
        <f>G604-H604</f>
        <v>0.16830000000000034</v>
      </c>
      <c r="J604" s="280">
        <f t="shared" si="78"/>
        <v>5.0399999999999667E-2</v>
      </c>
      <c r="K604" s="282">
        <f t="shared" si="79"/>
        <v>23.045267489711783</v>
      </c>
      <c r="L604">
        <v>42</v>
      </c>
      <c r="M604" s="16">
        <v>43381</v>
      </c>
      <c r="N604" s="16">
        <v>43382</v>
      </c>
      <c r="R604" s="282"/>
    </row>
    <row r="605" spans="1:18">
      <c r="A605" t="s">
        <v>371</v>
      </c>
      <c r="C605" t="s">
        <v>3406</v>
      </c>
      <c r="D605">
        <v>0.3957</v>
      </c>
      <c r="E605">
        <v>10.6371</v>
      </c>
      <c r="F605">
        <v>0.2109</v>
      </c>
      <c r="G605" s="281">
        <f t="shared" si="77"/>
        <v>10.848000000000001</v>
      </c>
      <c r="H605" s="281">
        <v>10.8222</v>
      </c>
      <c r="I605" s="281">
        <f>G605-H605</f>
        <v>2.5800000000000267E-2</v>
      </c>
      <c r="J605" s="280">
        <f t="shared" si="78"/>
        <v>0.18509999999999974</v>
      </c>
      <c r="K605" s="282">
        <f t="shared" si="79"/>
        <v>87.766714082503427</v>
      </c>
      <c r="L605">
        <v>40</v>
      </c>
      <c r="M605" s="16">
        <v>43399</v>
      </c>
      <c r="N605" s="16">
        <v>43400</v>
      </c>
      <c r="R605" s="282"/>
    </row>
    <row r="606" spans="1:18">
      <c r="A606" t="s">
        <v>370</v>
      </c>
      <c r="C606" t="s">
        <v>3661</v>
      </c>
      <c r="D606">
        <v>1.8451</v>
      </c>
      <c r="E606">
        <v>8.8619000000000003</v>
      </c>
      <c r="F606">
        <v>0.2142</v>
      </c>
      <c r="G606" s="281">
        <f t="shared" si="77"/>
        <v>9.0761000000000003</v>
      </c>
      <c r="H606" s="281">
        <v>8.8678000000000008</v>
      </c>
      <c r="I606" s="281">
        <f>(G606-H606)</f>
        <v>0.20829999999999949</v>
      </c>
      <c r="J606" s="280">
        <f t="shared" si="78"/>
        <v>5.9000000000005159E-3</v>
      </c>
      <c r="K606" s="282">
        <f t="shared" si="79"/>
        <v>2.7544351073765245</v>
      </c>
      <c r="L606">
        <v>19</v>
      </c>
      <c r="M606" s="283">
        <v>43360</v>
      </c>
      <c r="N606" s="283">
        <v>43361</v>
      </c>
      <c r="R606" s="282"/>
    </row>
    <row r="607" spans="1:18">
      <c r="A607" t="s">
        <v>369</v>
      </c>
      <c r="C607" t="s">
        <v>3668</v>
      </c>
      <c r="D607">
        <v>1.7992999999999999</v>
      </c>
      <c r="E607">
        <v>9.3224</v>
      </c>
      <c r="F607">
        <v>0.20669999999999999</v>
      </c>
      <c r="G607" s="281">
        <f t="shared" si="77"/>
        <v>9.5290999999999997</v>
      </c>
      <c r="H607" s="281">
        <v>9.3282000000000007</v>
      </c>
      <c r="I607" s="281">
        <f>(G607-H607)</f>
        <v>0.20089999999999897</v>
      </c>
      <c r="J607" s="280">
        <f t="shared" si="78"/>
        <v>5.8000000000010266E-3</v>
      </c>
      <c r="K607" s="282">
        <f t="shared" si="79"/>
        <v>2.8059990324146233</v>
      </c>
      <c r="L607">
        <v>16</v>
      </c>
      <c r="M607" s="283">
        <v>43360</v>
      </c>
      <c r="N607" s="283">
        <v>43361</v>
      </c>
      <c r="O607" s="280"/>
      <c r="R607" s="282"/>
    </row>
    <row r="608" spans="1:18">
      <c r="A608" t="s">
        <v>368</v>
      </c>
      <c r="B608">
        <v>217</v>
      </c>
      <c r="C608" t="s">
        <v>2490</v>
      </c>
      <c r="D608">
        <v>0.877</v>
      </c>
      <c r="E608">
        <v>10.504200000000001</v>
      </c>
      <c r="F608">
        <v>0.2281</v>
      </c>
      <c r="G608">
        <f t="shared" si="77"/>
        <v>10.7323</v>
      </c>
      <c r="H608">
        <v>10.6996</v>
      </c>
      <c r="I608" s="281">
        <f>G608-H608</f>
        <v>3.2700000000000173E-2</v>
      </c>
      <c r="J608" s="280">
        <f t="shared" si="78"/>
        <v>0.19539999999999982</v>
      </c>
      <c r="K608" s="282">
        <f t="shared" si="79"/>
        <v>85.664182376150734</v>
      </c>
      <c r="L608">
        <v>13</v>
      </c>
      <c r="M608" s="16">
        <v>43402</v>
      </c>
      <c r="N608" s="16">
        <v>43403</v>
      </c>
      <c r="R608" s="282"/>
    </row>
    <row r="609" spans="1:18">
      <c r="A609" t="s">
        <v>367</v>
      </c>
      <c r="C609" t="s">
        <v>3660</v>
      </c>
      <c r="D609">
        <v>1.6498999999999999</v>
      </c>
      <c r="E609">
        <v>10.9034</v>
      </c>
      <c r="F609">
        <v>0.21970000000000001</v>
      </c>
      <c r="G609" s="281">
        <f t="shared" si="77"/>
        <v>11.123099999999999</v>
      </c>
      <c r="H609" s="281">
        <v>11.0779</v>
      </c>
      <c r="I609" s="281">
        <f>(G609-H609)</f>
        <v>4.5199999999999463E-2</v>
      </c>
      <c r="J609" s="280">
        <f t="shared" si="78"/>
        <v>0.17450000000000054</v>
      </c>
      <c r="K609" s="282">
        <f t="shared" si="79"/>
        <v>79.426490669094463</v>
      </c>
      <c r="L609">
        <v>5</v>
      </c>
      <c r="M609" s="283">
        <v>43360</v>
      </c>
      <c r="N609" s="283">
        <v>43361</v>
      </c>
      <c r="O609" s="280" t="s">
        <v>3684</v>
      </c>
      <c r="R609" s="282"/>
    </row>
    <row r="610" spans="1:18">
      <c r="A610" t="s">
        <v>366</v>
      </c>
      <c r="C610" t="s">
        <v>3470</v>
      </c>
      <c r="D610">
        <v>0.76570000000000005</v>
      </c>
      <c r="E610">
        <v>11.2601</v>
      </c>
      <c r="F610">
        <v>0.2034</v>
      </c>
      <c r="G610" s="285">
        <f t="shared" si="77"/>
        <v>11.4635</v>
      </c>
      <c r="H610" s="281">
        <v>11.435499999999999</v>
      </c>
      <c r="I610" s="285">
        <f>G610-H610</f>
        <v>2.8000000000000469E-2</v>
      </c>
      <c r="J610" s="280">
        <f t="shared" si="78"/>
        <v>0.17539999999999953</v>
      </c>
      <c r="K610" s="282">
        <f t="shared" si="79"/>
        <v>86.234021632251483</v>
      </c>
      <c r="L610">
        <v>11</v>
      </c>
      <c r="M610" s="283">
        <v>43379</v>
      </c>
      <c r="N610" s="283">
        <v>43379</v>
      </c>
      <c r="O610" s="280"/>
      <c r="R610" s="282"/>
    </row>
    <row r="611" spans="1:18">
      <c r="A611" t="s">
        <v>365</v>
      </c>
      <c r="C611" t="s">
        <v>3399</v>
      </c>
      <c r="D611">
        <v>1.4045000000000001</v>
      </c>
      <c r="E611">
        <v>9.8879000000000001</v>
      </c>
      <c r="F611">
        <v>0.20319999999999999</v>
      </c>
      <c r="G611" s="281">
        <f t="shared" si="77"/>
        <v>10.091100000000001</v>
      </c>
      <c r="H611" s="281">
        <v>9.8986000000000001</v>
      </c>
      <c r="I611" s="281">
        <f>G611-H611</f>
        <v>0.19250000000000078</v>
      </c>
      <c r="J611" s="280">
        <f t="shared" si="78"/>
        <v>1.069999999999921E-2</v>
      </c>
      <c r="K611" s="282">
        <f t="shared" si="79"/>
        <v>5.2657480314956748</v>
      </c>
      <c r="L611">
        <v>6</v>
      </c>
      <c r="M611" s="16">
        <v>43388</v>
      </c>
      <c r="N611" s="283">
        <v>43389</v>
      </c>
      <c r="O611" s="283"/>
      <c r="P611" s="280"/>
      <c r="R611" s="282"/>
    </row>
    <row r="612" spans="1:18">
      <c r="A612" t="s">
        <v>363</v>
      </c>
      <c r="C612" t="s">
        <v>3651</v>
      </c>
      <c r="D612">
        <v>1.7914000000000001</v>
      </c>
      <c r="E612">
        <v>10.2004</v>
      </c>
      <c r="F612">
        <v>0.1981</v>
      </c>
      <c r="G612" s="281">
        <f t="shared" si="77"/>
        <v>10.3985</v>
      </c>
      <c r="H612" s="281">
        <v>10.207000000000001</v>
      </c>
      <c r="I612" s="281">
        <f>(G612-H612)</f>
        <v>0.19149999999999956</v>
      </c>
      <c r="J612" s="280">
        <f t="shared" si="78"/>
        <v>6.6000000000004388E-3</v>
      </c>
      <c r="K612" s="282">
        <f t="shared" si="79"/>
        <v>3.3316506814742248</v>
      </c>
      <c r="L612">
        <v>27</v>
      </c>
      <c r="M612" s="16">
        <v>43358</v>
      </c>
      <c r="N612" s="16">
        <v>43358</v>
      </c>
      <c r="R612" s="282"/>
    </row>
    <row r="613" spans="1:18">
      <c r="A613" t="s">
        <v>362</v>
      </c>
      <c r="C613" t="s">
        <v>3735</v>
      </c>
      <c r="D613">
        <v>1.6762999999999999</v>
      </c>
      <c r="E613">
        <v>20.9695</v>
      </c>
      <c r="F613">
        <v>0.23699999999999999</v>
      </c>
      <c r="G613" s="281">
        <f t="shared" si="77"/>
        <v>21.206499999999998</v>
      </c>
      <c r="H613" s="281">
        <v>20.980599999999999</v>
      </c>
      <c r="I613" s="281">
        <f>G613-H613</f>
        <v>0.22589999999999932</v>
      </c>
      <c r="J613" s="280">
        <f t="shared" si="78"/>
        <v>1.1100000000000665E-2</v>
      </c>
      <c r="K613" s="282">
        <f t="shared" si="79"/>
        <v>4.6835443037977491</v>
      </c>
      <c r="L613">
        <v>40</v>
      </c>
      <c r="M613" s="283">
        <v>43363</v>
      </c>
      <c r="N613" s="283">
        <v>43364</v>
      </c>
      <c r="R613" s="282"/>
    </row>
    <row r="614" spans="1:18">
      <c r="A614" t="s">
        <v>361</v>
      </c>
      <c r="C614" t="s">
        <v>3648</v>
      </c>
      <c r="D614">
        <v>1.8415999999999999</v>
      </c>
      <c r="E614">
        <v>10.743499999999999</v>
      </c>
      <c r="F614">
        <v>0.20080000000000001</v>
      </c>
      <c r="G614" s="281">
        <f t="shared" si="77"/>
        <v>10.944299999999998</v>
      </c>
      <c r="H614" s="281">
        <v>10.7486</v>
      </c>
      <c r="I614" s="281">
        <f>(G614-H614)</f>
        <v>0.19569999999999865</v>
      </c>
      <c r="J614" s="280">
        <f t="shared" si="78"/>
        <v>5.1000000000013535E-3</v>
      </c>
      <c r="K614" s="282">
        <f t="shared" si="79"/>
        <v>2.5398406374508733</v>
      </c>
      <c r="L614">
        <v>30</v>
      </c>
      <c r="M614" s="16">
        <v>43358</v>
      </c>
      <c r="N614" s="16">
        <v>43358</v>
      </c>
      <c r="R614" s="282"/>
    </row>
    <row r="615" spans="1:18">
      <c r="A615" t="s">
        <v>360</v>
      </c>
      <c r="C615" t="s">
        <v>3400</v>
      </c>
      <c r="D615">
        <v>0</v>
      </c>
      <c r="E615">
        <v>0</v>
      </c>
      <c r="F615">
        <v>0</v>
      </c>
      <c r="G615">
        <v>0</v>
      </c>
      <c r="H615">
        <v>0</v>
      </c>
      <c r="I615">
        <v>0</v>
      </c>
      <c r="J615">
        <v>0</v>
      </c>
      <c r="K615">
        <v>0</v>
      </c>
    </row>
    <row r="616" spans="1:18">
      <c r="A616" t="s">
        <v>359</v>
      </c>
      <c r="C616" t="s">
        <v>3699</v>
      </c>
      <c r="D616">
        <v>1.8035000000000001</v>
      </c>
      <c r="E616">
        <v>9.0223999999999993</v>
      </c>
      <c r="F616">
        <v>0.2195</v>
      </c>
      <c r="G616" s="281">
        <f t="shared" ref="G616:G627" si="80">E616+F616</f>
        <v>9.2418999999999993</v>
      </c>
      <c r="H616" s="281">
        <v>9.0267999999999997</v>
      </c>
      <c r="I616" s="281">
        <f>(G616-H616)</f>
        <v>0.21509999999999962</v>
      </c>
      <c r="J616" s="280">
        <f t="shared" ref="J616:J627" si="81">F616-I616</f>
        <v>4.4000000000003758E-3</v>
      </c>
      <c r="K616" s="282">
        <f t="shared" ref="K616:K627" si="82">(J616/F616)*100</f>
        <v>2.0045558086562076</v>
      </c>
      <c r="L616">
        <v>31</v>
      </c>
      <c r="M616" s="283">
        <v>43360</v>
      </c>
      <c r="N616" s="283">
        <v>43361</v>
      </c>
      <c r="O616" s="280" t="s">
        <v>3684</v>
      </c>
      <c r="R616" s="282"/>
    </row>
    <row r="617" spans="1:18">
      <c r="A617" t="s">
        <v>358</v>
      </c>
      <c r="C617" t="s">
        <v>3657</v>
      </c>
      <c r="D617">
        <v>1.6814</v>
      </c>
      <c r="E617">
        <v>7.4824000000000002</v>
      </c>
      <c r="F617">
        <v>0.21879999999999999</v>
      </c>
      <c r="G617" s="281">
        <f t="shared" si="80"/>
        <v>7.7012</v>
      </c>
      <c r="H617" s="281">
        <v>7.4909999999999997</v>
      </c>
      <c r="I617" s="281">
        <f>G617-H617</f>
        <v>0.21020000000000039</v>
      </c>
      <c r="J617" s="280">
        <f t="shared" si="81"/>
        <v>8.599999999999608E-3</v>
      </c>
      <c r="K617" s="282">
        <f t="shared" si="82"/>
        <v>3.9305301645336419</v>
      </c>
      <c r="L617">
        <v>2</v>
      </c>
      <c r="M617" s="283">
        <v>43363</v>
      </c>
      <c r="N617" s="283">
        <v>43364</v>
      </c>
      <c r="O617" s="280" t="s">
        <v>3732</v>
      </c>
      <c r="R617" s="282"/>
    </row>
    <row r="618" spans="1:18">
      <c r="A618" t="s">
        <v>357</v>
      </c>
      <c r="C618" t="s">
        <v>3678</v>
      </c>
      <c r="D618">
        <v>1.8359000000000001</v>
      </c>
      <c r="E618">
        <v>7.9050000000000002</v>
      </c>
      <c r="F618">
        <v>0.2029</v>
      </c>
      <c r="G618" s="281">
        <f t="shared" si="80"/>
        <v>8.1079000000000008</v>
      </c>
      <c r="H618" s="281">
        <v>7.9122000000000003</v>
      </c>
      <c r="I618" s="281">
        <f>(G618-H618)</f>
        <v>0.19570000000000043</v>
      </c>
      <c r="J618" s="280">
        <f t="shared" si="81"/>
        <v>7.1999999999995679E-3</v>
      </c>
      <c r="K618" s="282">
        <f t="shared" si="82"/>
        <v>3.5485460818134884</v>
      </c>
      <c r="L618">
        <v>33</v>
      </c>
      <c r="M618" s="283">
        <v>43360</v>
      </c>
      <c r="N618" s="283">
        <v>43361</v>
      </c>
      <c r="R618" s="282"/>
    </row>
    <row r="619" spans="1:18">
      <c r="A619" t="s">
        <v>356</v>
      </c>
      <c r="C619" t="s">
        <v>3710</v>
      </c>
      <c r="D619">
        <v>1.8251999999999999</v>
      </c>
      <c r="E619">
        <v>9.2355999999999998</v>
      </c>
      <c r="F619">
        <v>0.21049999999999999</v>
      </c>
      <c r="G619" s="281">
        <f t="shared" si="80"/>
        <v>9.4460999999999995</v>
      </c>
      <c r="H619" s="281">
        <v>9.2432999999999996</v>
      </c>
      <c r="I619" s="281">
        <f t="shared" ref="I619:I627" si="83">G619-H619</f>
        <v>0.20279999999999987</v>
      </c>
      <c r="J619" s="280">
        <f t="shared" si="81"/>
        <v>7.7000000000001234E-3</v>
      </c>
      <c r="K619" s="282">
        <f t="shared" si="82"/>
        <v>3.6579572446556408</v>
      </c>
      <c r="L619">
        <v>16</v>
      </c>
      <c r="M619" s="283">
        <v>43361</v>
      </c>
      <c r="N619" s="283">
        <v>43362</v>
      </c>
      <c r="O619" s="280" t="s">
        <v>3707</v>
      </c>
      <c r="R619" s="282"/>
    </row>
    <row r="620" spans="1:18">
      <c r="A620" t="s">
        <v>355</v>
      </c>
      <c r="C620" t="s">
        <v>3730</v>
      </c>
      <c r="D620">
        <v>2.7707999999999999</v>
      </c>
      <c r="E620">
        <v>8.7347999999999999</v>
      </c>
      <c r="F620">
        <v>0.23699999999999999</v>
      </c>
      <c r="G620" s="281">
        <f t="shared" si="80"/>
        <v>8.9718</v>
      </c>
      <c r="H620" s="281">
        <v>8.9545999999999992</v>
      </c>
      <c r="I620" s="281">
        <f t="shared" si="83"/>
        <v>1.720000000000077E-2</v>
      </c>
      <c r="J620" s="280">
        <f t="shared" si="81"/>
        <v>0.21979999999999922</v>
      </c>
      <c r="K620" s="282">
        <f t="shared" si="82"/>
        <v>92.742616033754956</v>
      </c>
      <c r="L620">
        <v>6</v>
      </c>
      <c r="M620" s="283">
        <v>43374</v>
      </c>
      <c r="N620" s="283">
        <v>43375</v>
      </c>
      <c r="O620" s="280" t="s">
        <v>3707</v>
      </c>
      <c r="R620" s="282"/>
    </row>
    <row r="621" spans="1:18">
      <c r="A621" t="s">
        <v>354</v>
      </c>
      <c r="C621" t="s">
        <v>3724</v>
      </c>
      <c r="D621">
        <v>3.5485000000000002</v>
      </c>
      <c r="E621">
        <v>9.3238000000000003</v>
      </c>
      <c r="F621">
        <v>0.20399999999999999</v>
      </c>
      <c r="G621" s="281">
        <f t="shared" si="80"/>
        <v>9.5278000000000009</v>
      </c>
      <c r="H621" s="281">
        <v>9.5198</v>
      </c>
      <c r="I621" s="281">
        <f t="shared" si="83"/>
        <v>8.0000000000008953E-3</v>
      </c>
      <c r="J621" s="280">
        <f t="shared" si="81"/>
        <v>0.19599999999999909</v>
      </c>
      <c r="K621" s="282">
        <f t="shared" si="82"/>
        <v>96.078431372548579</v>
      </c>
      <c r="L621">
        <v>20</v>
      </c>
      <c r="M621" s="283">
        <v>43362</v>
      </c>
      <c r="N621" s="283">
        <v>43363</v>
      </c>
      <c r="R621" s="282"/>
    </row>
    <row r="622" spans="1:18">
      <c r="A622" t="s">
        <v>353</v>
      </c>
      <c r="C622" t="s">
        <v>3761</v>
      </c>
      <c r="D622">
        <v>1.4107000000000001</v>
      </c>
      <c r="E622">
        <v>11.122</v>
      </c>
      <c r="F622">
        <v>0.22389999999999999</v>
      </c>
      <c r="G622" s="281">
        <f t="shared" si="80"/>
        <v>11.3459</v>
      </c>
      <c r="H622" s="281">
        <v>11.320600000000001</v>
      </c>
      <c r="I622" s="281">
        <f t="shared" si="83"/>
        <v>2.5299999999999656E-2</v>
      </c>
      <c r="J622" s="280">
        <f t="shared" si="81"/>
        <v>0.19860000000000033</v>
      </c>
      <c r="K622" s="282">
        <f t="shared" si="82"/>
        <v>88.700312639571393</v>
      </c>
      <c r="L622">
        <v>37</v>
      </c>
      <c r="M622" s="16">
        <v>43395</v>
      </c>
      <c r="N622" s="16">
        <v>43396</v>
      </c>
      <c r="R622" s="282"/>
    </row>
    <row r="623" spans="1:18">
      <c r="A623" t="s">
        <v>352</v>
      </c>
      <c r="C623" t="s">
        <v>3708</v>
      </c>
      <c r="D623">
        <v>1.7058</v>
      </c>
      <c r="E623">
        <v>9.5202000000000009</v>
      </c>
      <c r="F623">
        <v>0.221</v>
      </c>
      <c r="G623" s="281">
        <f t="shared" si="80"/>
        <v>9.741200000000001</v>
      </c>
      <c r="H623" s="281">
        <v>9.5281000000000002</v>
      </c>
      <c r="I623" s="281">
        <f t="shared" si="83"/>
        <v>0.21310000000000073</v>
      </c>
      <c r="J623" s="280">
        <f t="shared" si="81"/>
        <v>7.8999999999992687E-3</v>
      </c>
      <c r="K623" s="282">
        <f t="shared" si="82"/>
        <v>3.5746606334838318</v>
      </c>
      <c r="L623">
        <v>18</v>
      </c>
      <c r="M623" s="16">
        <v>43381</v>
      </c>
      <c r="N623" s="16">
        <v>43382</v>
      </c>
      <c r="R623" s="282"/>
    </row>
    <row r="624" spans="1:18">
      <c r="A624" t="s">
        <v>351</v>
      </c>
      <c r="C624" t="s">
        <v>3474</v>
      </c>
      <c r="D624">
        <v>0.33750000000000002</v>
      </c>
      <c r="E624">
        <v>9.7756000000000007</v>
      </c>
      <c r="F624">
        <v>0.2142</v>
      </c>
      <c r="G624" s="281">
        <f t="shared" si="80"/>
        <v>9.9898000000000007</v>
      </c>
      <c r="H624" s="281">
        <v>9.9679000000000002</v>
      </c>
      <c r="I624" s="281">
        <f t="shared" si="83"/>
        <v>2.1900000000000475E-2</v>
      </c>
      <c r="J624" s="280">
        <f t="shared" si="81"/>
        <v>0.19229999999999953</v>
      </c>
      <c r="K624" s="282">
        <f t="shared" si="82"/>
        <v>89.775910364145446</v>
      </c>
      <c r="L624">
        <v>28</v>
      </c>
      <c r="M624" s="283">
        <v>43363</v>
      </c>
      <c r="N624" s="283">
        <v>43364</v>
      </c>
      <c r="O624" s="280" t="s">
        <v>3732</v>
      </c>
      <c r="R624" s="282"/>
    </row>
    <row r="625" spans="1:18">
      <c r="A625" t="s">
        <v>350</v>
      </c>
      <c r="C625" t="s">
        <v>3415</v>
      </c>
      <c r="D625">
        <v>1.9995000000000001</v>
      </c>
      <c r="E625">
        <v>11.4442</v>
      </c>
      <c r="F625">
        <v>0.21110000000000001</v>
      </c>
      <c r="G625" s="285">
        <f t="shared" si="80"/>
        <v>11.6553</v>
      </c>
      <c r="H625" s="281">
        <v>11.638</v>
      </c>
      <c r="I625" s="285">
        <f t="shared" si="83"/>
        <v>1.7300000000000537E-2</v>
      </c>
      <c r="J625" s="280">
        <f t="shared" si="81"/>
        <v>0.19379999999999947</v>
      </c>
      <c r="K625" s="282">
        <f t="shared" si="82"/>
        <v>91.804831833254127</v>
      </c>
      <c r="L625">
        <v>21</v>
      </c>
      <c r="M625" s="283">
        <v>43379</v>
      </c>
      <c r="N625" s="283">
        <v>43379</v>
      </c>
      <c r="R625" s="282"/>
    </row>
    <row r="626" spans="1:18">
      <c r="A626" t="s">
        <v>349</v>
      </c>
      <c r="C626" t="s">
        <v>3696</v>
      </c>
      <c r="D626">
        <v>2.0394999999999999</v>
      </c>
      <c r="E626">
        <v>9.8217999999999996</v>
      </c>
      <c r="F626">
        <v>0.20469999999999999</v>
      </c>
      <c r="G626" s="281">
        <f t="shared" si="80"/>
        <v>10.0265</v>
      </c>
      <c r="H626" s="281">
        <v>9.9885999999999999</v>
      </c>
      <c r="I626" s="281">
        <f t="shared" si="83"/>
        <v>3.7900000000000489E-2</v>
      </c>
      <c r="J626" s="280">
        <f t="shared" si="81"/>
        <v>0.1667999999999995</v>
      </c>
      <c r="K626" s="282">
        <f t="shared" si="82"/>
        <v>81.485100146555695</v>
      </c>
      <c r="L626">
        <v>14</v>
      </c>
      <c r="M626" s="283">
        <v>43363</v>
      </c>
      <c r="N626" s="283">
        <v>43364</v>
      </c>
      <c r="O626" s="280"/>
      <c r="R626" s="282"/>
    </row>
    <row r="627" spans="1:18">
      <c r="A627" t="s">
        <v>348</v>
      </c>
      <c r="C627" t="s">
        <v>3739</v>
      </c>
      <c r="D627">
        <v>1.504</v>
      </c>
      <c r="E627">
        <v>10.2035</v>
      </c>
      <c r="F627">
        <v>0.21920000000000001</v>
      </c>
      <c r="G627" s="281">
        <f t="shared" si="80"/>
        <v>10.422700000000001</v>
      </c>
      <c r="H627" s="281">
        <v>10.219099999999999</v>
      </c>
      <c r="I627" s="281">
        <f t="shared" si="83"/>
        <v>0.20360000000000156</v>
      </c>
      <c r="J627" s="280">
        <f t="shared" si="81"/>
        <v>1.5599999999998448E-2</v>
      </c>
      <c r="K627" s="282">
        <f t="shared" si="82"/>
        <v>7.1167883211671752</v>
      </c>
      <c r="L627">
        <v>32</v>
      </c>
      <c r="M627" s="283">
        <v>43374</v>
      </c>
      <c r="N627" s="283">
        <v>43375</v>
      </c>
      <c r="O627" s="280" t="s">
        <v>3707</v>
      </c>
      <c r="R627" s="282"/>
    </row>
    <row r="628" spans="1:18">
      <c r="A628" t="s">
        <v>347</v>
      </c>
      <c r="C628" t="s">
        <v>3713</v>
      </c>
      <c r="D628">
        <v>0</v>
      </c>
      <c r="E628">
        <v>0</v>
      </c>
      <c r="F628">
        <v>0</v>
      </c>
      <c r="G628">
        <v>0</v>
      </c>
      <c r="H628">
        <v>0</v>
      </c>
      <c r="I628">
        <v>0</v>
      </c>
      <c r="J628">
        <v>0</v>
      </c>
      <c r="K628">
        <v>0</v>
      </c>
    </row>
    <row r="629" spans="1:18">
      <c r="A629" t="s">
        <v>346</v>
      </c>
      <c r="C629" t="s">
        <v>3748</v>
      </c>
      <c r="D629">
        <v>0</v>
      </c>
      <c r="E629">
        <v>0</v>
      </c>
      <c r="F629">
        <v>0</v>
      </c>
      <c r="G629">
        <v>0</v>
      </c>
      <c r="H629">
        <v>0</v>
      </c>
      <c r="I629">
        <v>0</v>
      </c>
      <c r="J629">
        <v>0</v>
      </c>
      <c r="K629">
        <v>0</v>
      </c>
    </row>
    <row r="630" spans="1:18">
      <c r="A630" t="s">
        <v>345</v>
      </c>
      <c r="C630" t="s">
        <v>3645</v>
      </c>
      <c r="D630">
        <v>1.7927</v>
      </c>
      <c r="E630">
        <v>10.9215</v>
      </c>
      <c r="F630">
        <v>0.20230000000000001</v>
      </c>
      <c r="G630" s="281">
        <f t="shared" ref="G630:G640" si="84">E630+F630</f>
        <v>11.123799999999999</v>
      </c>
      <c r="H630" s="281">
        <v>10.9269</v>
      </c>
      <c r="I630" s="281">
        <f>(G630-H630)</f>
        <v>0.19689999999999941</v>
      </c>
      <c r="J630" s="280">
        <f t="shared" ref="J630:J640" si="85">F630-I630</f>
        <v>5.4000000000005988E-3</v>
      </c>
      <c r="K630" s="282">
        <f t="shared" ref="K630:K640" si="86">(J630/F630)*100</f>
        <v>2.6693030153240724</v>
      </c>
      <c r="L630">
        <v>2</v>
      </c>
      <c r="M630" s="16">
        <v>43358</v>
      </c>
      <c r="N630" s="16">
        <v>43358</v>
      </c>
      <c r="R630" s="282"/>
    </row>
    <row r="631" spans="1:18">
      <c r="A631" t="s">
        <v>344</v>
      </c>
      <c r="C631" t="s">
        <v>3760</v>
      </c>
      <c r="D631">
        <v>0.55049999999999999</v>
      </c>
      <c r="E631">
        <v>10.699199999999999</v>
      </c>
      <c r="F631">
        <v>0.2</v>
      </c>
      <c r="G631" s="281">
        <f t="shared" si="84"/>
        <v>10.899199999999999</v>
      </c>
      <c r="H631" s="281">
        <v>10.883100000000001</v>
      </c>
      <c r="I631" s="281">
        <f>G631-H631</f>
        <v>1.6099999999998005E-2</v>
      </c>
      <c r="J631" s="280">
        <f t="shared" si="85"/>
        <v>0.18390000000000201</v>
      </c>
      <c r="K631" s="282">
        <f t="shared" si="86"/>
        <v>91.950000000000998</v>
      </c>
      <c r="L631">
        <v>33</v>
      </c>
      <c r="M631" s="16">
        <v>43395</v>
      </c>
      <c r="N631" s="16">
        <v>43396</v>
      </c>
      <c r="R631" s="282"/>
    </row>
    <row r="632" spans="1:18">
      <c r="A632" t="s">
        <v>343</v>
      </c>
      <c r="C632" t="s">
        <v>3695</v>
      </c>
      <c r="D632">
        <v>1.7378</v>
      </c>
      <c r="E632">
        <v>19.390799999999999</v>
      </c>
      <c r="F632">
        <v>0.2079</v>
      </c>
      <c r="G632" s="281">
        <f t="shared" si="84"/>
        <v>19.598699999999997</v>
      </c>
      <c r="H632" s="281">
        <v>19.4008</v>
      </c>
      <c r="I632" s="281">
        <f>G632-H632</f>
        <v>0.19789999999999708</v>
      </c>
      <c r="J632" s="280">
        <f t="shared" si="85"/>
        <v>1.0000000000002923E-2</v>
      </c>
      <c r="K632" s="282">
        <f t="shared" si="86"/>
        <v>4.810004810006216</v>
      </c>
      <c r="L632">
        <v>28</v>
      </c>
      <c r="M632" s="283">
        <v>43361</v>
      </c>
      <c r="N632" s="283">
        <v>43362</v>
      </c>
      <c r="O632" s="280" t="s">
        <v>3707</v>
      </c>
      <c r="R632" s="282"/>
    </row>
    <row r="633" spans="1:18">
      <c r="A633" t="s">
        <v>342</v>
      </c>
      <c r="C633" t="s">
        <v>3659</v>
      </c>
      <c r="D633">
        <v>1.4207000000000001</v>
      </c>
      <c r="E633">
        <v>7.1912000000000003</v>
      </c>
      <c r="F633">
        <v>0.21629999999999999</v>
      </c>
      <c r="G633">
        <f t="shared" si="84"/>
        <v>7.4075000000000006</v>
      </c>
      <c r="H633">
        <v>7.1985999999999999</v>
      </c>
      <c r="I633" s="281">
        <f>G633-H633</f>
        <v>0.20890000000000075</v>
      </c>
      <c r="J633" s="280">
        <f t="shared" si="85"/>
        <v>7.3999999999992405E-3</v>
      </c>
      <c r="K633" s="282">
        <f t="shared" si="86"/>
        <v>3.4211742949603519</v>
      </c>
      <c r="L633">
        <v>25</v>
      </c>
      <c r="M633" s="16">
        <v>43399</v>
      </c>
      <c r="N633" s="16">
        <v>43400</v>
      </c>
      <c r="R633" s="282"/>
    </row>
    <row r="634" spans="1:18">
      <c r="A634" t="s">
        <v>341</v>
      </c>
      <c r="C634" t="s">
        <v>3658</v>
      </c>
      <c r="D634">
        <v>1.7402</v>
      </c>
      <c r="E634">
        <v>10.921900000000001</v>
      </c>
      <c r="F634">
        <v>0.21279999999999999</v>
      </c>
      <c r="G634" s="281">
        <f t="shared" si="84"/>
        <v>11.1347</v>
      </c>
      <c r="H634" s="281">
        <v>10.928699999999999</v>
      </c>
      <c r="I634" s="281">
        <f>(G634-H634)</f>
        <v>0.20600000000000129</v>
      </c>
      <c r="J634" s="280">
        <f t="shared" si="85"/>
        <v>6.799999999998696E-3</v>
      </c>
      <c r="K634" s="282">
        <f t="shared" si="86"/>
        <v>3.1954887218038985</v>
      </c>
      <c r="L634">
        <v>35</v>
      </c>
      <c r="M634" s="283">
        <v>43360</v>
      </c>
      <c r="N634" s="283">
        <v>43361</v>
      </c>
      <c r="R634" s="282"/>
    </row>
    <row r="635" spans="1:18">
      <c r="A635" t="s">
        <v>340</v>
      </c>
      <c r="C635" t="s">
        <v>3692</v>
      </c>
      <c r="D635">
        <v>1.1197999999999999</v>
      </c>
      <c r="E635">
        <v>10.636100000000001</v>
      </c>
      <c r="F635">
        <v>0.21279999999999999</v>
      </c>
      <c r="G635" s="281">
        <f t="shared" si="84"/>
        <v>10.8489</v>
      </c>
      <c r="H635" s="281">
        <v>10.841699999999999</v>
      </c>
      <c r="I635" s="281">
        <f>(G635-H635)</f>
        <v>7.2000000000009834E-3</v>
      </c>
      <c r="J635" s="280">
        <f t="shared" si="85"/>
        <v>0.20559999999999901</v>
      </c>
      <c r="K635" s="282">
        <f t="shared" si="86"/>
        <v>96.616541353382999</v>
      </c>
      <c r="L635">
        <v>14</v>
      </c>
      <c r="M635" s="283">
        <v>43360</v>
      </c>
      <c r="N635" s="283">
        <v>43361</v>
      </c>
      <c r="O635" s="280" t="s">
        <v>3684</v>
      </c>
      <c r="R635" s="282"/>
    </row>
    <row r="636" spans="1:18">
      <c r="A636" t="s">
        <v>1061</v>
      </c>
      <c r="C636" t="s">
        <v>3448</v>
      </c>
      <c r="D636">
        <v>1.6708000000000001</v>
      </c>
      <c r="E636">
        <v>8.3566000000000003</v>
      </c>
      <c r="F636">
        <v>0.21190000000000001</v>
      </c>
      <c r="G636" s="281">
        <f t="shared" si="84"/>
        <v>8.5685000000000002</v>
      </c>
      <c r="H636" s="281">
        <v>8.3829999999999991</v>
      </c>
      <c r="I636" s="281">
        <f>G636-H636</f>
        <v>0.18550000000000111</v>
      </c>
      <c r="J636" s="280">
        <f t="shared" si="85"/>
        <v>2.6399999999998897E-2</v>
      </c>
      <c r="K636" s="282">
        <f t="shared" si="86"/>
        <v>12.458706937234023</v>
      </c>
      <c r="L636">
        <v>22</v>
      </c>
      <c r="M636" s="283">
        <v>43362</v>
      </c>
      <c r="N636" s="283">
        <v>43363</v>
      </c>
      <c r="R636" s="282"/>
    </row>
    <row r="637" spans="1:18">
      <c r="A637" t="s">
        <v>339</v>
      </c>
      <c r="C637" t="s">
        <v>3698</v>
      </c>
      <c r="D637">
        <v>1.7824</v>
      </c>
      <c r="E637">
        <v>9.9177999999999997</v>
      </c>
      <c r="F637">
        <v>0.2228</v>
      </c>
      <c r="G637" s="281">
        <f t="shared" si="84"/>
        <v>10.140599999999999</v>
      </c>
      <c r="H637" s="281">
        <v>9.9242000000000008</v>
      </c>
      <c r="I637" s="281">
        <f>G637-H637</f>
        <v>0.21639999999999837</v>
      </c>
      <c r="J637" s="280">
        <f t="shared" si="85"/>
        <v>6.4000000000016266E-3</v>
      </c>
      <c r="K637" s="282">
        <f t="shared" si="86"/>
        <v>2.8725314183131179</v>
      </c>
      <c r="L637">
        <v>10</v>
      </c>
      <c r="M637" s="283">
        <v>43361</v>
      </c>
      <c r="N637" s="283">
        <v>43362</v>
      </c>
      <c r="O637" s="280" t="s">
        <v>3707</v>
      </c>
      <c r="R637" s="282"/>
    </row>
    <row r="638" spans="1:18">
      <c r="A638" t="s">
        <v>337</v>
      </c>
      <c r="C638" t="s">
        <v>3670</v>
      </c>
      <c r="D638">
        <v>1.5168999999999999</v>
      </c>
      <c r="E638">
        <v>10.510199999999999</v>
      </c>
      <c r="F638">
        <v>0.2107</v>
      </c>
      <c r="G638" s="281">
        <f t="shared" si="84"/>
        <v>10.720899999999999</v>
      </c>
      <c r="H638" s="281">
        <v>10.529299999999999</v>
      </c>
      <c r="I638" s="281">
        <f>G638-H638</f>
        <v>0.19159999999999933</v>
      </c>
      <c r="J638" s="280">
        <f t="shared" si="85"/>
        <v>1.9100000000000672E-2</v>
      </c>
      <c r="K638" s="282">
        <f t="shared" si="86"/>
        <v>9.0650213573804805</v>
      </c>
      <c r="L638">
        <v>9</v>
      </c>
      <c r="M638" s="283">
        <v>43361</v>
      </c>
      <c r="N638" s="283">
        <v>43362</v>
      </c>
      <c r="O638" s="280" t="s">
        <v>3707</v>
      </c>
      <c r="R638" s="282"/>
    </row>
    <row r="639" spans="1:18">
      <c r="A639" t="s">
        <v>336</v>
      </c>
      <c r="B639">
        <v>212</v>
      </c>
      <c r="D639">
        <v>0.6573</v>
      </c>
      <c r="E639">
        <v>9.9193999999999996</v>
      </c>
      <c r="F639">
        <v>0.2041</v>
      </c>
      <c r="G639" s="281">
        <f t="shared" si="84"/>
        <v>10.1235</v>
      </c>
      <c r="H639" s="281">
        <v>9.9436</v>
      </c>
      <c r="I639" s="281">
        <f>G639-H639</f>
        <v>0.17989999999999995</v>
      </c>
      <c r="J639" s="280">
        <f t="shared" si="85"/>
        <v>2.4200000000000055E-2</v>
      </c>
      <c r="K639" s="282">
        <f t="shared" si="86"/>
        <v>11.856932876041183</v>
      </c>
      <c r="L639">
        <v>15</v>
      </c>
      <c r="M639" s="16">
        <v>43395</v>
      </c>
      <c r="N639" s="16">
        <v>43396</v>
      </c>
      <c r="R639" s="282"/>
    </row>
    <row r="640" spans="1:18">
      <c r="A640" t="s">
        <v>335</v>
      </c>
      <c r="C640" t="s">
        <v>3711</v>
      </c>
      <c r="D640">
        <v>1.1969000000000001</v>
      </c>
      <c r="E640">
        <v>9.8870000000000005</v>
      </c>
      <c r="F640">
        <v>0.2019</v>
      </c>
      <c r="G640" s="281">
        <f t="shared" si="84"/>
        <v>10.088900000000001</v>
      </c>
      <c r="H640" s="281">
        <v>10.0314</v>
      </c>
      <c r="I640" s="281">
        <f>G640-H640</f>
        <v>5.7500000000000995E-2</v>
      </c>
      <c r="J640" s="280">
        <f t="shared" si="85"/>
        <v>0.144399999999999</v>
      </c>
      <c r="K640" s="282">
        <f t="shared" si="86"/>
        <v>71.520554730063893</v>
      </c>
      <c r="L640">
        <v>22</v>
      </c>
      <c r="M640" s="283">
        <v>43361</v>
      </c>
      <c r="N640" s="283">
        <v>43362</v>
      </c>
      <c r="O640" s="280" t="s">
        <v>3707</v>
      </c>
      <c r="R640" s="282"/>
    </row>
    <row r="641" spans="1:18">
      <c r="A641" t="s">
        <v>333</v>
      </c>
      <c r="C641" t="s">
        <v>3703</v>
      </c>
      <c r="D641">
        <v>0</v>
      </c>
      <c r="E641">
        <v>0</v>
      </c>
      <c r="F641">
        <v>0</v>
      </c>
      <c r="G641">
        <v>0</v>
      </c>
      <c r="H641">
        <v>0</v>
      </c>
      <c r="I641">
        <v>0</v>
      </c>
      <c r="J641">
        <v>0</v>
      </c>
      <c r="K641">
        <v>0</v>
      </c>
    </row>
    <row r="642" spans="1:18">
      <c r="A642" t="s">
        <v>332</v>
      </c>
      <c r="C642" t="s">
        <v>3740</v>
      </c>
      <c r="D642">
        <v>1.3797999999999999</v>
      </c>
      <c r="E642">
        <v>11.0345</v>
      </c>
      <c r="F642">
        <v>0.20519999999999999</v>
      </c>
      <c r="G642">
        <f>E642+F642</f>
        <v>11.239699999999999</v>
      </c>
      <c r="H642">
        <v>11.053800000000001</v>
      </c>
      <c r="I642" s="281">
        <f>G642-H642</f>
        <v>0.1858999999999984</v>
      </c>
      <c r="J642" s="280">
        <f>F642-I642</f>
        <v>1.9300000000001594E-2</v>
      </c>
      <c r="K642" s="282">
        <f>(J642/F642)*100</f>
        <v>9.4054580896693931</v>
      </c>
      <c r="L642">
        <v>1</v>
      </c>
      <c r="M642" s="16">
        <v>43402</v>
      </c>
      <c r="N642" s="16">
        <v>43403</v>
      </c>
      <c r="R642" s="282"/>
    </row>
    <row r="643" spans="1:18">
      <c r="A643" t="s">
        <v>331</v>
      </c>
      <c r="C643" t="s">
        <v>3734</v>
      </c>
      <c r="D643">
        <v>0</v>
      </c>
      <c r="E643">
        <v>0</v>
      </c>
      <c r="F643">
        <v>0</v>
      </c>
      <c r="G643">
        <v>0</v>
      </c>
      <c r="H643">
        <v>0</v>
      </c>
      <c r="I643">
        <v>0</v>
      </c>
      <c r="J643">
        <v>0</v>
      </c>
      <c r="K643">
        <v>0</v>
      </c>
    </row>
    <row r="644" spans="1:18">
      <c r="A644" t="s">
        <v>329</v>
      </c>
      <c r="C644" t="s">
        <v>3675</v>
      </c>
      <c r="D644">
        <v>1.8092999999999999</v>
      </c>
      <c r="E644">
        <v>9.8216000000000001</v>
      </c>
      <c r="F644">
        <v>0.2099</v>
      </c>
      <c r="G644" s="281">
        <f t="shared" ref="G644:G653" si="87">E644+F644</f>
        <v>10.031499999999999</v>
      </c>
      <c r="H644" s="281">
        <v>9.8270999999999997</v>
      </c>
      <c r="I644" s="281">
        <f>(G644-H644)</f>
        <v>0.20439999999999969</v>
      </c>
      <c r="J644" s="280">
        <f t="shared" ref="J644:J653" si="88">F644-I644</f>
        <v>5.5000000000003102E-3</v>
      </c>
      <c r="K644" s="282">
        <f t="shared" ref="K644:K653" si="89">(J644/F644)*100</f>
        <v>2.6202953787519343</v>
      </c>
      <c r="L644">
        <v>25</v>
      </c>
      <c r="M644" s="283">
        <v>43360</v>
      </c>
      <c r="N644" s="283">
        <v>43361</v>
      </c>
      <c r="O644" s="280" t="s">
        <v>3684</v>
      </c>
      <c r="R644" s="282"/>
    </row>
    <row r="645" spans="1:18">
      <c r="A645" t="s">
        <v>328</v>
      </c>
      <c r="C645" t="s">
        <v>3744</v>
      </c>
      <c r="D645">
        <v>1.7222</v>
      </c>
      <c r="E645">
        <v>9.5569000000000006</v>
      </c>
      <c r="F645">
        <v>0.21920000000000001</v>
      </c>
      <c r="G645" s="281">
        <f t="shared" si="87"/>
        <v>9.7761000000000013</v>
      </c>
      <c r="H645" s="281">
        <v>9.5655000000000001</v>
      </c>
      <c r="I645" s="281">
        <f>G645-H645</f>
        <v>0.21060000000000123</v>
      </c>
      <c r="J645" s="280">
        <f t="shared" si="88"/>
        <v>8.5999999999987753E-3</v>
      </c>
      <c r="K645" s="282">
        <f t="shared" si="89"/>
        <v>3.9233576642330181</v>
      </c>
      <c r="L645">
        <v>19</v>
      </c>
      <c r="M645" s="16">
        <v>43399</v>
      </c>
      <c r="N645" s="16">
        <v>43400</v>
      </c>
      <c r="R645" s="282"/>
    </row>
    <row r="646" spans="1:18">
      <c r="A646" t="s">
        <v>327</v>
      </c>
      <c r="C646" t="s">
        <v>3676</v>
      </c>
      <c r="D646">
        <v>1.7769999999999999</v>
      </c>
      <c r="E646">
        <v>10.1456</v>
      </c>
      <c r="F646">
        <v>0.20050000000000001</v>
      </c>
      <c r="G646" s="281">
        <f t="shared" si="87"/>
        <v>10.3461</v>
      </c>
      <c r="H646" s="281">
        <v>10.1494</v>
      </c>
      <c r="I646" s="281">
        <f>(G646-H646)</f>
        <v>0.19669999999999987</v>
      </c>
      <c r="J646" s="280">
        <f t="shared" si="88"/>
        <v>3.8000000000001366E-3</v>
      </c>
      <c r="K646" s="282">
        <f t="shared" si="89"/>
        <v>1.8952618453866015</v>
      </c>
      <c r="L646">
        <v>24</v>
      </c>
      <c r="M646" s="283">
        <v>43360</v>
      </c>
      <c r="N646" s="283">
        <v>43361</v>
      </c>
      <c r="O646" s="280" t="s">
        <v>3684</v>
      </c>
      <c r="R646" s="282"/>
    </row>
    <row r="647" spans="1:18">
      <c r="A647" t="s">
        <v>326</v>
      </c>
      <c r="C647" t="s">
        <v>3410</v>
      </c>
      <c r="D647">
        <v>1.8137000000000001</v>
      </c>
      <c r="E647">
        <v>8.3558000000000003</v>
      </c>
      <c r="F647">
        <v>0.2049</v>
      </c>
      <c r="G647">
        <f t="shared" si="87"/>
        <v>8.5607000000000006</v>
      </c>
      <c r="H647">
        <v>8.5378000000000007</v>
      </c>
      <c r="I647" s="281">
        <f>G647-H647</f>
        <v>2.289999999999992E-2</v>
      </c>
      <c r="J647" s="280">
        <f t="shared" si="88"/>
        <v>0.18200000000000008</v>
      </c>
      <c r="K647" s="282">
        <f t="shared" si="89"/>
        <v>88.823816495851673</v>
      </c>
      <c r="L647">
        <v>6</v>
      </c>
      <c r="M647" s="16">
        <v>43402</v>
      </c>
      <c r="N647" s="16">
        <v>43403</v>
      </c>
      <c r="R647" s="282"/>
    </row>
    <row r="648" spans="1:18">
      <c r="A648" t="s">
        <v>325</v>
      </c>
      <c r="C648" t="s">
        <v>3407</v>
      </c>
      <c r="D648">
        <v>2.0939999999999999</v>
      </c>
      <c r="E648">
        <v>9.1386000000000003</v>
      </c>
      <c r="F648">
        <v>0.2465</v>
      </c>
      <c r="G648">
        <f t="shared" si="87"/>
        <v>9.3850999999999996</v>
      </c>
      <c r="H648">
        <v>9.3635000000000002</v>
      </c>
      <c r="I648" s="281">
        <f>G648-H648</f>
        <v>2.1599999999999397E-2</v>
      </c>
      <c r="J648" s="280">
        <f t="shared" si="88"/>
        <v>0.2249000000000006</v>
      </c>
      <c r="K648" s="282">
        <f t="shared" si="89"/>
        <v>91.237322515213222</v>
      </c>
      <c r="L648">
        <v>26</v>
      </c>
      <c r="M648" s="16">
        <v>43399</v>
      </c>
      <c r="N648" s="16">
        <v>43400</v>
      </c>
      <c r="R648" s="282"/>
    </row>
    <row r="649" spans="1:18">
      <c r="A649" t="s">
        <v>324</v>
      </c>
      <c r="C649" t="s">
        <v>3669</v>
      </c>
      <c r="D649">
        <v>1.833</v>
      </c>
      <c r="E649">
        <v>10.5105</v>
      </c>
      <c r="F649">
        <v>0.2198</v>
      </c>
      <c r="G649" s="281">
        <f t="shared" si="87"/>
        <v>10.7303</v>
      </c>
      <c r="H649" s="281">
        <v>10.5167</v>
      </c>
      <c r="I649" s="281">
        <f>G649-H649</f>
        <v>0.21359999999999957</v>
      </c>
      <c r="J649" s="280">
        <f t="shared" si="88"/>
        <v>6.2000000000004274E-3</v>
      </c>
      <c r="K649" s="282">
        <f t="shared" si="89"/>
        <v>2.8207461328482384</v>
      </c>
      <c r="L649">
        <v>41</v>
      </c>
      <c r="M649" s="16">
        <v>43381</v>
      </c>
      <c r="N649" s="16">
        <v>43382</v>
      </c>
      <c r="R649" s="282"/>
    </row>
    <row r="650" spans="1:18">
      <c r="A650" t="s">
        <v>323</v>
      </c>
      <c r="C650" t="s">
        <v>3667</v>
      </c>
      <c r="D650">
        <v>1.7952999999999999</v>
      </c>
      <c r="E650">
        <v>11.745900000000001</v>
      </c>
      <c r="F650">
        <v>0.22670000000000001</v>
      </c>
      <c r="G650" s="281">
        <f t="shared" si="87"/>
        <v>11.9726</v>
      </c>
      <c r="H650" s="281">
        <v>11.753500000000001</v>
      </c>
      <c r="I650" s="281">
        <f>(G650-H650)</f>
        <v>0.21909999999999918</v>
      </c>
      <c r="J650" s="280">
        <f t="shared" si="88"/>
        <v>7.6000000000008283E-3</v>
      </c>
      <c r="K650" s="282">
        <f t="shared" si="89"/>
        <v>3.3524481693872197</v>
      </c>
      <c r="L650">
        <v>38</v>
      </c>
      <c r="M650" s="283">
        <v>43360</v>
      </c>
      <c r="N650" s="283">
        <v>43361</v>
      </c>
      <c r="R650" s="282"/>
    </row>
    <row r="651" spans="1:18">
      <c r="A651" t="s">
        <v>321</v>
      </c>
      <c r="C651" t="s">
        <v>3650</v>
      </c>
      <c r="D651">
        <v>1.7662</v>
      </c>
      <c r="E651">
        <v>9.3425999999999991</v>
      </c>
      <c r="F651">
        <v>0.20630000000000001</v>
      </c>
      <c r="G651" s="281">
        <f t="shared" si="87"/>
        <v>9.5488999999999997</v>
      </c>
      <c r="H651" s="281">
        <v>9.3483999999999998</v>
      </c>
      <c r="I651" s="281">
        <f>(G651-H651)</f>
        <v>0.2004999999999999</v>
      </c>
      <c r="J651" s="280">
        <f t="shared" si="88"/>
        <v>5.8000000000001106E-3</v>
      </c>
      <c r="K651" s="282">
        <f t="shared" si="89"/>
        <v>2.8114396509937518</v>
      </c>
      <c r="L651">
        <v>38</v>
      </c>
      <c r="M651" s="16">
        <v>43358</v>
      </c>
      <c r="N651" s="16">
        <v>43358</v>
      </c>
      <c r="R651" s="282"/>
    </row>
    <row r="652" spans="1:18">
      <c r="A652" t="s">
        <v>320</v>
      </c>
      <c r="C652" t="s">
        <v>3706</v>
      </c>
      <c r="D652">
        <v>2.5222000000000002</v>
      </c>
      <c r="E652">
        <v>20.8978</v>
      </c>
      <c r="F652">
        <v>0.21820000000000001</v>
      </c>
      <c r="G652" s="281">
        <f t="shared" si="87"/>
        <v>21.116</v>
      </c>
      <c r="H652" s="281">
        <v>21.087499999999999</v>
      </c>
      <c r="I652" s="281">
        <f>G652-H652</f>
        <v>2.850000000000108E-2</v>
      </c>
      <c r="J652" s="280">
        <f t="shared" si="88"/>
        <v>0.18969999999999893</v>
      </c>
      <c r="K652" s="282">
        <f t="shared" si="89"/>
        <v>86.93858845096193</v>
      </c>
      <c r="L652">
        <v>37</v>
      </c>
      <c r="M652" s="283">
        <v>43361</v>
      </c>
      <c r="N652" s="283">
        <v>43362</v>
      </c>
      <c r="O652" s="280" t="s">
        <v>3707</v>
      </c>
      <c r="R652" s="282"/>
    </row>
    <row r="653" spans="1:18">
      <c r="A653" t="s">
        <v>319</v>
      </c>
      <c r="C653" t="s">
        <v>3690</v>
      </c>
      <c r="D653">
        <v>1.1264000000000001</v>
      </c>
      <c r="E653">
        <v>8.0643999999999991</v>
      </c>
      <c r="F653">
        <v>0.20050000000000001</v>
      </c>
      <c r="G653" s="281">
        <f t="shared" si="87"/>
        <v>8.264899999999999</v>
      </c>
      <c r="H653" s="281">
        <v>8.0708000000000002</v>
      </c>
      <c r="I653" s="281">
        <f>G653-H653</f>
        <v>0.19409999999999883</v>
      </c>
      <c r="J653" s="280">
        <f t="shared" si="88"/>
        <v>6.4000000000011825E-3</v>
      </c>
      <c r="K653" s="282">
        <f t="shared" si="89"/>
        <v>3.1920199501252777</v>
      </c>
      <c r="L653">
        <v>7</v>
      </c>
      <c r="M653" s="283">
        <v>43361</v>
      </c>
      <c r="N653" s="283">
        <v>43362</v>
      </c>
      <c r="O653" s="280" t="s">
        <v>3707</v>
      </c>
      <c r="R653" s="282"/>
    </row>
    <row r="654" spans="1:18">
      <c r="A654" t="s">
        <v>318</v>
      </c>
      <c r="C654" t="s">
        <v>3399</v>
      </c>
      <c r="D654">
        <v>0</v>
      </c>
      <c r="E654">
        <v>0</v>
      </c>
      <c r="F654">
        <v>0</v>
      </c>
      <c r="G654">
        <v>0</v>
      </c>
      <c r="H654">
        <v>0</v>
      </c>
      <c r="I654">
        <v>0</v>
      </c>
      <c r="J654">
        <v>0</v>
      </c>
      <c r="K654">
        <v>0</v>
      </c>
    </row>
    <row r="655" spans="1:18">
      <c r="A655" t="s">
        <v>316</v>
      </c>
      <c r="C655" t="s">
        <v>3478</v>
      </c>
      <c r="D655">
        <v>2.2692000000000001</v>
      </c>
      <c r="E655">
        <v>11.9041</v>
      </c>
      <c r="F655">
        <v>0.21560000000000001</v>
      </c>
      <c r="G655" s="281">
        <f t="shared" ref="G655:G671" si="90">E655+F655</f>
        <v>12.1197</v>
      </c>
      <c r="H655" s="281">
        <v>12.098699999999999</v>
      </c>
      <c r="I655" s="281">
        <f>G655-H655</f>
        <v>2.1000000000000796E-2</v>
      </c>
      <c r="J655" s="280">
        <f t="shared" ref="J655:J671" si="91">F655-I655</f>
        <v>0.19459999999999922</v>
      </c>
      <c r="K655" s="282">
        <f t="shared" ref="K655:K671" si="92">(J655/F655)*100</f>
        <v>90.2597402597399</v>
      </c>
      <c r="L655">
        <v>29</v>
      </c>
      <c r="M655" s="283">
        <v>43363</v>
      </c>
      <c r="N655" s="283">
        <v>43364</v>
      </c>
      <c r="O655" s="280" t="s">
        <v>3732</v>
      </c>
      <c r="R655" s="282"/>
    </row>
    <row r="656" spans="1:18">
      <c r="A656" t="s">
        <v>315</v>
      </c>
      <c r="C656" t="s">
        <v>3662</v>
      </c>
      <c r="D656">
        <v>1.4730000000000001</v>
      </c>
      <c r="E656">
        <v>7.8400999999999996</v>
      </c>
      <c r="F656">
        <v>0.22159999999999999</v>
      </c>
      <c r="G656" s="281">
        <f t="shared" si="90"/>
        <v>8.0617000000000001</v>
      </c>
      <c r="H656" s="281">
        <v>8.0248000000000008</v>
      </c>
      <c r="I656" s="281">
        <f>(G656-H656)</f>
        <v>3.6899999999999267E-2</v>
      </c>
      <c r="J656" s="280">
        <f t="shared" si="91"/>
        <v>0.18470000000000072</v>
      </c>
      <c r="K656" s="282">
        <f t="shared" si="92"/>
        <v>83.348375451263863</v>
      </c>
      <c r="L656">
        <v>8</v>
      </c>
      <c r="M656" s="283">
        <v>43360</v>
      </c>
      <c r="N656" s="283">
        <v>43361</v>
      </c>
      <c r="O656" s="280"/>
      <c r="R656" s="282"/>
    </row>
    <row r="657" spans="1:18">
      <c r="A657" t="s">
        <v>314</v>
      </c>
      <c r="C657" t="s">
        <v>3674</v>
      </c>
      <c r="D657">
        <v>1.7524999999999999</v>
      </c>
      <c r="E657">
        <v>11.443899999999999</v>
      </c>
      <c r="F657">
        <v>0.23069999999999999</v>
      </c>
      <c r="G657" s="281">
        <f t="shared" si="90"/>
        <v>11.6746</v>
      </c>
      <c r="H657" s="281">
        <v>11.4503</v>
      </c>
      <c r="I657" s="281">
        <f>(G657-H657)</f>
        <v>0.2242999999999995</v>
      </c>
      <c r="J657" s="280">
        <f t="shared" si="91"/>
        <v>6.4000000000004886E-3</v>
      </c>
      <c r="K657" s="282">
        <f t="shared" si="92"/>
        <v>2.7741655830084477</v>
      </c>
      <c r="L657">
        <v>23</v>
      </c>
      <c r="M657" s="283">
        <v>43360</v>
      </c>
      <c r="N657" s="283">
        <v>43361</v>
      </c>
      <c r="R657" s="282"/>
    </row>
    <row r="658" spans="1:18">
      <c r="A658" t="s">
        <v>313</v>
      </c>
      <c r="C658" t="s">
        <v>3727</v>
      </c>
      <c r="D658">
        <v>1.7721</v>
      </c>
      <c r="E658">
        <v>10.698700000000001</v>
      </c>
      <c r="F658">
        <v>0.2084</v>
      </c>
      <c r="G658" s="281">
        <f t="shared" si="90"/>
        <v>10.9071</v>
      </c>
      <c r="H658" s="281">
        <v>10.705399999999999</v>
      </c>
      <c r="I658" s="281">
        <f>G658-H658</f>
        <v>0.20170000000000066</v>
      </c>
      <c r="J658" s="280">
        <f t="shared" si="91"/>
        <v>6.6999999999993454E-3</v>
      </c>
      <c r="K658" s="282">
        <f t="shared" si="92"/>
        <v>3.214971209212738</v>
      </c>
      <c r="L658">
        <v>9</v>
      </c>
      <c r="M658" s="16">
        <v>43381</v>
      </c>
      <c r="N658" s="16">
        <v>43382</v>
      </c>
      <c r="R658" s="282"/>
    </row>
    <row r="659" spans="1:18">
      <c r="A659" t="s">
        <v>311</v>
      </c>
      <c r="C659" t="s">
        <v>3693</v>
      </c>
      <c r="D659">
        <v>1.6318999999999999</v>
      </c>
      <c r="E659">
        <v>11.8645</v>
      </c>
      <c r="F659">
        <v>0.20219999999999999</v>
      </c>
      <c r="G659" s="281">
        <f t="shared" si="90"/>
        <v>12.066699999999999</v>
      </c>
      <c r="H659" s="281">
        <v>11.868600000000001</v>
      </c>
      <c r="I659" s="281">
        <f>(G659-H659)</f>
        <v>0.19809999999999839</v>
      </c>
      <c r="J659" s="280">
        <f t="shared" si="91"/>
        <v>4.1000000000016024E-3</v>
      </c>
      <c r="K659" s="282">
        <f t="shared" si="92"/>
        <v>2.0276953511382803</v>
      </c>
      <c r="L659">
        <v>16</v>
      </c>
      <c r="M659" s="283">
        <v>43360</v>
      </c>
      <c r="N659" s="283">
        <v>43361</v>
      </c>
      <c r="O659" s="280" t="s">
        <v>3684</v>
      </c>
      <c r="R659" s="282"/>
    </row>
    <row r="660" spans="1:18">
      <c r="A660" t="s">
        <v>310</v>
      </c>
      <c r="C660" t="s">
        <v>3694</v>
      </c>
      <c r="D660">
        <v>0.75860000000000005</v>
      </c>
      <c r="E660">
        <v>8.9598999999999993</v>
      </c>
      <c r="F660">
        <v>0.2281</v>
      </c>
      <c r="G660" s="281">
        <f t="shared" si="90"/>
        <v>9.1879999999999988</v>
      </c>
      <c r="H660" s="281">
        <v>9.1618999999999993</v>
      </c>
      <c r="I660" s="281">
        <f>G660-H660</f>
        <v>2.6099999999999568E-2</v>
      </c>
      <c r="J660" s="280">
        <f t="shared" si="91"/>
        <v>0.20200000000000043</v>
      </c>
      <c r="K660" s="282">
        <f t="shared" si="92"/>
        <v>88.557650153441656</v>
      </c>
      <c r="L660">
        <v>38</v>
      </c>
      <c r="M660" s="16">
        <v>43381</v>
      </c>
      <c r="N660" s="16">
        <v>43382</v>
      </c>
      <c r="R660" s="282"/>
    </row>
    <row r="661" spans="1:18">
      <c r="A661" t="s">
        <v>309</v>
      </c>
      <c r="C661" t="s">
        <v>3702</v>
      </c>
      <c r="D661">
        <v>1.8205</v>
      </c>
      <c r="E661">
        <v>9.1992999999999991</v>
      </c>
      <c r="F661">
        <v>0.2336</v>
      </c>
      <c r="G661" s="285">
        <f t="shared" si="90"/>
        <v>9.4328999999999983</v>
      </c>
      <c r="H661" s="281">
        <v>9.2043999999999997</v>
      </c>
      <c r="I661" s="285">
        <f>G661-H661</f>
        <v>0.22849999999999859</v>
      </c>
      <c r="J661" s="280">
        <f t="shared" si="91"/>
        <v>5.100000000001409E-3</v>
      </c>
      <c r="K661" s="282">
        <f t="shared" si="92"/>
        <v>2.183219178082795</v>
      </c>
      <c r="L661">
        <v>19</v>
      </c>
      <c r="M661" s="283">
        <v>43379</v>
      </c>
      <c r="N661" s="283">
        <v>43379</v>
      </c>
      <c r="R661" s="282"/>
    </row>
    <row r="662" spans="1:18">
      <c r="A662" t="s">
        <v>308</v>
      </c>
      <c r="C662" t="s">
        <v>3663</v>
      </c>
      <c r="D662">
        <v>1.7716000000000001</v>
      </c>
      <c r="E662">
        <v>11.120900000000001</v>
      </c>
      <c r="F662">
        <v>0.20280000000000001</v>
      </c>
      <c r="G662" s="281">
        <f t="shared" si="90"/>
        <v>11.323700000000001</v>
      </c>
      <c r="H662" s="281">
        <v>11.1302</v>
      </c>
      <c r="I662" s="281">
        <f>(G662-H662)</f>
        <v>0.19350000000000023</v>
      </c>
      <c r="J662" s="280">
        <f t="shared" si="91"/>
        <v>9.2999999999997807E-3</v>
      </c>
      <c r="K662" s="282">
        <f t="shared" si="92"/>
        <v>4.5857988165679391</v>
      </c>
      <c r="L662">
        <v>14</v>
      </c>
      <c r="M662" s="283">
        <v>43360</v>
      </c>
      <c r="N662" s="283">
        <v>43361</v>
      </c>
      <c r="O662" s="280"/>
      <c r="R662" s="282"/>
    </row>
    <row r="663" spans="1:18">
      <c r="A663" t="s">
        <v>307</v>
      </c>
      <c r="C663" t="s">
        <v>3468</v>
      </c>
      <c r="D663">
        <v>1.5866</v>
      </c>
      <c r="E663">
        <v>11.747299999999999</v>
      </c>
      <c r="F663">
        <v>0.21390000000000001</v>
      </c>
      <c r="G663" s="281">
        <f t="shared" si="90"/>
        <v>11.9612</v>
      </c>
      <c r="H663" s="281">
        <v>11.754099999999999</v>
      </c>
      <c r="I663" s="281">
        <f t="shared" ref="I663:I670" si="93">G663-H663</f>
        <v>0.20710000000000051</v>
      </c>
      <c r="J663" s="280">
        <f t="shared" si="91"/>
        <v>6.7999999999995009E-3</v>
      </c>
      <c r="K663" s="282">
        <f t="shared" si="92"/>
        <v>3.1790556334733524</v>
      </c>
      <c r="L663">
        <v>28</v>
      </c>
      <c r="M663" s="283">
        <v>43363</v>
      </c>
      <c r="N663" s="283">
        <v>43364</v>
      </c>
      <c r="R663" s="282"/>
    </row>
    <row r="664" spans="1:18">
      <c r="A664" t="s">
        <v>306</v>
      </c>
      <c r="C664" t="s">
        <v>3709</v>
      </c>
      <c r="D664">
        <v>1.871</v>
      </c>
      <c r="E664">
        <v>7.8597999999999999</v>
      </c>
      <c r="F664">
        <v>0.2097</v>
      </c>
      <c r="G664" s="281">
        <f t="shared" si="90"/>
        <v>8.0694999999999997</v>
      </c>
      <c r="H664" s="281">
        <v>7.8661000000000003</v>
      </c>
      <c r="I664" s="281">
        <f t="shared" si="93"/>
        <v>0.20339999999999936</v>
      </c>
      <c r="J664" s="280">
        <f t="shared" si="91"/>
        <v>6.3000000000006384E-3</v>
      </c>
      <c r="K664" s="282">
        <f t="shared" si="92"/>
        <v>3.0042918454938667</v>
      </c>
      <c r="L664">
        <v>13</v>
      </c>
      <c r="M664" s="283">
        <v>43361</v>
      </c>
      <c r="N664" s="283">
        <v>43362</v>
      </c>
      <c r="O664" s="280" t="s">
        <v>3707</v>
      </c>
      <c r="R664" s="282"/>
    </row>
    <row r="665" spans="1:18">
      <c r="A665" t="s">
        <v>304</v>
      </c>
      <c r="C665" t="s">
        <v>3751</v>
      </c>
      <c r="D665">
        <v>1.5912999999999999</v>
      </c>
      <c r="E665">
        <v>10.2033</v>
      </c>
      <c r="F665">
        <v>0.20910000000000001</v>
      </c>
      <c r="G665" s="281">
        <f t="shared" si="90"/>
        <v>10.4124</v>
      </c>
      <c r="H665" s="281">
        <v>10.2118</v>
      </c>
      <c r="I665" s="281">
        <f t="shared" si="93"/>
        <v>0.20059999999999967</v>
      </c>
      <c r="J665" s="280">
        <f t="shared" si="91"/>
        <v>8.5000000000003406E-3</v>
      </c>
      <c r="K665" s="282">
        <f t="shared" si="92"/>
        <v>4.065040650406667</v>
      </c>
      <c r="L665">
        <v>4</v>
      </c>
      <c r="M665" s="16">
        <v>43388</v>
      </c>
      <c r="N665" s="283">
        <v>43389</v>
      </c>
      <c r="O665" s="283"/>
      <c r="P665" s="280"/>
      <c r="R665" s="282"/>
    </row>
    <row r="666" spans="1:18">
      <c r="A666" t="s">
        <v>303</v>
      </c>
      <c r="C666" t="s">
        <v>3481</v>
      </c>
      <c r="D666">
        <v>0.375</v>
      </c>
      <c r="E666">
        <v>9.5196000000000005</v>
      </c>
      <c r="F666">
        <v>0.2044</v>
      </c>
      <c r="G666" s="281">
        <f t="shared" si="90"/>
        <v>9.7240000000000002</v>
      </c>
      <c r="H666" s="281">
        <v>9.6991999999999994</v>
      </c>
      <c r="I666" s="281">
        <f t="shared" si="93"/>
        <v>2.4800000000000821E-2</v>
      </c>
      <c r="J666" s="280">
        <f t="shared" si="91"/>
        <v>0.17959999999999918</v>
      </c>
      <c r="K666" s="282">
        <f t="shared" si="92"/>
        <v>87.866927592954596</v>
      </c>
      <c r="L666">
        <v>6</v>
      </c>
      <c r="M666" s="283">
        <v>43363</v>
      </c>
      <c r="N666" s="283">
        <v>43364</v>
      </c>
      <c r="O666" s="280"/>
      <c r="R666" s="282"/>
    </row>
    <row r="667" spans="1:18">
      <c r="A667" t="s">
        <v>302</v>
      </c>
      <c r="C667" t="s">
        <v>3465</v>
      </c>
      <c r="D667">
        <v>1.5733999999999999</v>
      </c>
      <c r="E667">
        <v>11.155900000000001</v>
      </c>
      <c r="F667">
        <v>0.22070000000000001</v>
      </c>
      <c r="G667" s="281">
        <f t="shared" si="90"/>
        <v>11.376600000000002</v>
      </c>
      <c r="H667" s="281">
        <v>11.1638</v>
      </c>
      <c r="I667" s="281">
        <f t="shared" si="93"/>
        <v>0.21280000000000143</v>
      </c>
      <c r="J667" s="280">
        <f t="shared" si="91"/>
        <v>7.8999999999985748E-3</v>
      </c>
      <c r="K667" s="282">
        <f t="shared" si="92"/>
        <v>3.5795197100129474</v>
      </c>
      <c r="L667">
        <v>27</v>
      </c>
      <c r="M667" s="283">
        <v>43363</v>
      </c>
      <c r="N667" s="283">
        <v>43364</v>
      </c>
      <c r="O667" s="280" t="s">
        <v>3732</v>
      </c>
      <c r="R667" s="282"/>
    </row>
    <row r="668" spans="1:18">
      <c r="A668" t="s">
        <v>301</v>
      </c>
      <c r="C668" t="s">
        <v>3728</v>
      </c>
      <c r="D668">
        <v>0.86339999999999995</v>
      </c>
      <c r="E668">
        <v>8.8617000000000008</v>
      </c>
      <c r="F668">
        <v>0.21929999999999999</v>
      </c>
      <c r="G668" s="281">
        <f t="shared" si="90"/>
        <v>9.0810000000000013</v>
      </c>
      <c r="H668" s="281">
        <v>9.0742999999999991</v>
      </c>
      <c r="I668" s="281">
        <f t="shared" si="93"/>
        <v>6.7000000000021487E-3</v>
      </c>
      <c r="J668" s="280">
        <f t="shared" si="91"/>
        <v>0.21259999999999785</v>
      </c>
      <c r="K668" s="282">
        <f t="shared" si="92"/>
        <v>96.944824441403483</v>
      </c>
      <c r="L668">
        <v>7</v>
      </c>
      <c r="M668" s="16">
        <v>43388</v>
      </c>
      <c r="N668" s="283">
        <v>43389</v>
      </c>
      <c r="O668" s="283"/>
      <c r="P668" s="280"/>
      <c r="R668" s="282"/>
    </row>
    <row r="669" spans="1:18">
      <c r="A669" t="s">
        <v>300</v>
      </c>
      <c r="C669" t="s">
        <v>3705</v>
      </c>
      <c r="D669" s="280">
        <v>1.8141</v>
      </c>
      <c r="E669" s="281">
        <v>10.109500000000001</v>
      </c>
      <c r="F669" s="281">
        <v>0.2167</v>
      </c>
      <c r="G669" s="281">
        <f t="shared" si="90"/>
        <v>10.3262</v>
      </c>
      <c r="H669" s="281">
        <v>10.115399999999999</v>
      </c>
      <c r="I669" s="281">
        <f t="shared" si="93"/>
        <v>0.21080000000000076</v>
      </c>
      <c r="J669" s="280">
        <f t="shared" si="91"/>
        <v>5.8999999999992392E-3</v>
      </c>
      <c r="K669" s="282">
        <f t="shared" si="92"/>
        <v>2.7226580526069402</v>
      </c>
      <c r="L669" s="280">
        <v>1</v>
      </c>
      <c r="M669" s="16">
        <v>43381</v>
      </c>
      <c r="N669" s="16">
        <v>43382</v>
      </c>
      <c r="R669" s="282"/>
    </row>
    <row r="670" spans="1:18">
      <c r="A670" t="s">
        <v>1057</v>
      </c>
      <c r="C670" t="s">
        <v>3480</v>
      </c>
      <c r="D670">
        <v>1.6523000000000001</v>
      </c>
      <c r="E670">
        <v>8.7696000000000005</v>
      </c>
      <c r="F670">
        <v>0.2402</v>
      </c>
      <c r="G670" s="281">
        <f t="shared" si="90"/>
        <v>9.0098000000000003</v>
      </c>
      <c r="H670" s="281">
        <v>8.7871000000000006</v>
      </c>
      <c r="I670" s="281">
        <f t="shared" si="93"/>
        <v>0.22269999999999968</v>
      </c>
      <c r="J670" s="280">
        <f t="shared" si="91"/>
        <v>1.7500000000000321E-2</v>
      </c>
      <c r="K670" s="282">
        <f t="shared" si="92"/>
        <v>7.2855953372191182</v>
      </c>
      <c r="L670">
        <v>3</v>
      </c>
      <c r="M670" s="283">
        <v>43363</v>
      </c>
      <c r="N670" s="283">
        <v>43364</v>
      </c>
      <c r="O670" s="280"/>
      <c r="R670" s="282"/>
    </row>
    <row r="671" spans="1:18">
      <c r="A671" t="s">
        <v>299</v>
      </c>
      <c r="C671" t="s">
        <v>3640</v>
      </c>
      <c r="D671">
        <v>1.8818999999999999</v>
      </c>
      <c r="E671">
        <v>10.6968</v>
      </c>
      <c r="F671">
        <v>0.2092</v>
      </c>
      <c r="G671" s="281">
        <f t="shared" si="90"/>
        <v>10.905999999999999</v>
      </c>
      <c r="H671" s="281">
        <v>10.7036</v>
      </c>
      <c r="I671" s="281">
        <f>(G671-H671)</f>
        <v>0.20239999999999903</v>
      </c>
      <c r="J671" s="280">
        <f t="shared" si="91"/>
        <v>6.8000000000009719E-3</v>
      </c>
      <c r="K671" s="282">
        <f t="shared" si="92"/>
        <v>3.2504780114727398</v>
      </c>
      <c r="L671">
        <v>8</v>
      </c>
      <c r="M671" s="16">
        <v>43358</v>
      </c>
      <c r="N671" s="16">
        <v>43358</v>
      </c>
      <c r="R671" s="282"/>
    </row>
  </sheetData>
  <sortState ref="A2:AD671">
    <sortCondition ref="A2"/>
  </sortState>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85" zoomScaleNormal="85" workbookViewId="0">
      <pane xSplit="1" ySplit="2" topLeftCell="J207" activePane="bottomRight" state="frozen"/>
      <selection pane="topRight" activeCell="B1" sqref="B1"/>
      <selection pane="bottomLeft" activeCell="A3" sqref="A3"/>
      <selection pane="bottomRight" activeCell="U222" sqref="U222"/>
    </sheetView>
  </sheetViews>
  <sheetFormatPr baseColWidth="10" defaultColWidth="11.44140625" defaultRowHeight="14.4"/>
  <cols>
    <col min="1" max="1" width="4.5546875" style="252" customWidth="1"/>
    <col min="16" max="16" width="25.88671875" customWidth="1"/>
    <col min="23" max="23" width="24" customWidth="1"/>
  </cols>
  <sheetData>
    <row r="1" spans="1:23">
      <c r="A1" s="430" t="s">
        <v>2149</v>
      </c>
      <c r="B1" s="434"/>
      <c r="C1" s="434"/>
      <c r="D1" s="431"/>
      <c r="E1" s="430" t="s">
        <v>2150</v>
      </c>
      <c r="F1" s="431"/>
      <c r="G1" s="430" t="s">
        <v>2151</v>
      </c>
      <c r="H1" s="431"/>
      <c r="I1" s="117" t="s">
        <v>2152</v>
      </c>
      <c r="J1" s="430" t="s">
        <v>2153</v>
      </c>
      <c r="K1" s="434"/>
      <c r="L1" s="434"/>
      <c r="M1" s="431"/>
      <c r="N1" s="430" t="s">
        <v>2453</v>
      </c>
      <c r="O1" s="431"/>
      <c r="P1" s="432" t="s">
        <v>2513</v>
      </c>
      <c r="Q1" s="430" t="s">
        <v>2452</v>
      </c>
      <c r="R1" s="431"/>
      <c r="S1" s="435" t="s">
        <v>3504</v>
      </c>
      <c r="T1" s="436"/>
      <c r="U1" s="436"/>
      <c r="V1" s="437"/>
      <c r="W1" s="432" t="s">
        <v>2514</v>
      </c>
    </row>
    <row r="2" spans="1:23">
      <c r="A2" s="118" t="s">
        <v>2159</v>
      </c>
      <c r="B2" s="119" t="s">
        <v>2160</v>
      </c>
      <c r="C2" s="119" t="s">
        <v>2161</v>
      </c>
      <c r="D2" s="119" t="s">
        <v>2162</v>
      </c>
      <c r="E2" s="117" t="s">
        <v>1141</v>
      </c>
      <c r="F2" s="117" t="s">
        <v>2163</v>
      </c>
      <c r="G2" s="117" t="s">
        <v>1141</v>
      </c>
      <c r="H2" s="117" t="s">
        <v>2163</v>
      </c>
      <c r="I2" s="117" t="s">
        <v>2164</v>
      </c>
      <c r="J2" s="117" t="s">
        <v>1147</v>
      </c>
      <c r="K2" s="117" t="s">
        <v>298</v>
      </c>
      <c r="L2" s="117" t="s">
        <v>2165</v>
      </c>
      <c r="M2" s="117" t="s">
        <v>2166</v>
      </c>
      <c r="N2" s="118" t="s">
        <v>2167</v>
      </c>
      <c r="O2" s="118" t="s">
        <v>2168</v>
      </c>
      <c r="P2" s="433"/>
      <c r="Q2" s="118" t="s">
        <v>2167</v>
      </c>
      <c r="R2" s="118" t="s">
        <v>2168</v>
      </c>
      <c r="S2" s="250" t="s">
        <v>1147</v>
      </c>
      <c r="T2" s="250" t="s">
        <v>298</v>
      </c>
      <c r="U2" s="250" t="s">
        <v>2169</v>
      </c>
      <c r="V2" s="250" t="s">
        <v>2166</v>
      </c>
      <c r="W2" s="433"/>
    </row>
    <row r="3" spans="1:23">
      <c r="A3" s="414">
        <v>1</v>
      </c>
      <c r="B3" s="184" t="s">
        <v>2171</v>
      </c>
      <c r="C3" s="184" t="s">
        <v>2172</v>
      </c>
      <c r="D3" s="122" t="s">
        <v>2173</v>
      </c>
      <c r="E3" s="124">
        <v>42938</v>
      </c>
      <c r="F3" s="125"/>
      <c r="G3" s="124">
        <v>43007</v>
      </c>
      <c r="H3" s="125">
        <v>0.35694444444444445</v>
      </c>
      <c r="I3" s="121">
        <v>1250</v>
      </c>
      <c r="J3" s="123">
        <v>407</v>
      </c>
      <c r="K3" s="123">
        <v>811</v>
      </c>
      <c r="L3" s="123">
        <v>377</v>
      </c>
      <c r="M3" s="123">
        <v>204</v>
      </c>
      <c r="N3" s="123">
        <v>26.4</v>
      </c>
      <c r="O3" s="123">
        <v>4</v>
      </c>
      <c r="P3" s="123" t="s">
        <v>2498</v>
      </c>
      <c r="Q3" s="249">
        <v>27.4</v>
      </c>
      <c r="R3" s="127">
        <v>3.6</v>
      </c>
      <c r="S3" s="127" t="s">
        <v>2174</v>
      </c>
      <c r="T3" s="127" t="s">
        <v>2174</v>
      </c>
      <c r="U3" s="127" t="s">
        <v>2182</v>
      </c>
      <c r="V3" s="127"/>
      <c r="W3" s="123"/>
    </row>
    <row r="4" spans="1:23">
      <c r="A4" s="414">
        <v>2</v>
      </c>
      <c r="B4" s="184" t="s">
        <v>2171</v>
      </c>
      <c r="C4" s="184" t="s">
        <v>2178</v>
      </c>
      <c r="D4" s="122" t="s">
        <v>2173</v>
      </c>
      <c r="E4" s="124"/>
      <c r="F4" s="123"/>
      <c r="G4" s="125"/>
      <c r="H4" s="125"/>
      <c r="I4" s="123">
        <v>855</v>
      </c>
      <c r="J4" s="123"/>
      <c r="K4" s="123"/>
      <c r="L4" s="123"/>
      <c r="M4" s="123"/>
      <c r="N4" s="123"/>
      <c r="O4" s="123"/>
      <c r="P4" s="123"/>
      <c r="Q4" s="123"/>
      <c r="R4" s="123"/>
      <c r="S4" s="123"/>
      <c r="T4" s="123"/>
      <c r="U4" s="123"/>
      <c r="V4" s="123"/>
      <c r="W4" s="123"/>
    </row>
    <row r="5" spans="1:23">
      <c r="A5" s="414">
        <v>3</v>
      </c>
      <c r="B5" s="184" t="s">
        <v>2171</v>
      </c>
      <c r="C5" s="184" t="s">
        <v>2179</v>
      </c>
      <c r="D5" s="122" t="s">
        <v>2173</v>
      </c>
      <c r="E5" s="124">
        <v>42938</v>
      </c>
      <c r="F5" s="125">
        <v>0.3125</v>
      </c>
      <c r="G5" s="124">
        <v>43007</v>
      </c>
      <c r="H5" s="125" t="s">
        <v>3512</v>
      </c>
      <c r="I5" s="132">
        <v>1249</v>
      </c>
      <c r="J5" s="123">
        <v>259</v>
      </c>
      <c r="K5" s="123">
        <v>742</v>
      </c>
      <c r="L5" s="123">
        <v>44</v>
      </c>
      <c r="M5" s="123">
        <v>283</v>
      </c>
      <c r="N5" s="127">
        <v>23.9</v>
      </c>
      <c r="O5" s="123">
        <v>2.9</v>
      </c>
      <c r="P5" s="123" t="s">
        <v>2498</v>
      </c>
      <c r="Q5" s="123">
        <v>26.1</v>
      </c>
      <c r="R5" s="123">
        <v>3.7</v>
      </c>
      <c r="S5" s="123" t="s">
        <v>2190</v>
      </c>
      <c r="T5" s="123" t="s">
        <v>2190</v>
      </c>
      <c r="U5" s="123" t="s">
        <v>2182</v>
      </c>
      <c r="V5" s="123"/>
      <c r="W5" s="123"/>
    </row>
    <row r="6" spans="1:23">
      <c r="A6" s="414">
        <v>4</v>
      </c>
      <c r="B6" s="184" t="s">
        <v>2171</v>
      </c>
      <c r="C6" s="184" t="s">
        <v>2181</v>
      </c>
      <c r="D6" s="122" t="s">
        <v>2173</v>
      </c>
      <c r="E6" s="124">
        <v>42938</v>
      </c>
      <c r="F6" s="125">
        <v>0.30902777777777779</v>
      </c>
      <c r="G6" s="124">
        <v>43007</v>
      </c>
      <c r="H6" s="125">
        <v>0.35138888888888892</v>
      </c>
      <c r="I6" s="123">
        <v>857</v>
      </c>
      <c r="J6" s="123">
        <v>255</v>
      </c>
      <c r="K6" s="123">
        <v>661</v>
      </c>
      <c r="L6" s="123">
        <v>357</v>
      </c>
      <c r="M6" s="123">
        <v>298</v>
      </c>
      <c r="N6" s="127">
        <v>26.8</v>
      </c>
      <c r="O6" s="123">
        <v>1.3</v>
      </c>
      <c r="P6" s="123" t="s">
        <v>2498</v>
      </c>
      <c r="Q6" s="123">
        <v>27.9</v>
      </c>
      <c r="R6" s="123">
        <v>3.2</v>
      </c>
      <c r="S6" s="123"/>
      <c r="T6" s="123" t="s">
        <v>2174</v>
      </c>
      <c r="U6" s="123"/>
      <c r="V6" s="123"/>
      <c r="W6" s="123"/>
    </row>
    <row r="7" spans="1:23">
      <c r="A7" s="414">
        <v>5</v>
      </c>
      <c r="B7" s="184" t="s">
        <v>2171</v>
      </c>
      <c r="C7" s="184" t="s">
        <v>2184</v>
      </c>
      <c r="D7" s="122" t="s">
        <v>2173</v>
      </c>
      <c r="E7" s="124">
        <v>42938</v>
      </c>
      <c r="F7" s="125">
        <v>0.3125</v>
      </c>
      <c r="G7" s="123"/>
      <c r="H7" s="123"/>
      <c r="I7" s="123">
        <v>858</v>
      </c>
      <c r="J7" s="123">
        <v>122</v>
      </c>
      <c r="K7" s="123">
        <v>724</v>
      </c>
      <c r="L7" s="163">
        <v>734</v>
      </c>
      <c r="M7" s="123">
        <v>226</v>
      </c>
      <c r="N7" s="123">
        <v>26.7</v>
      </c>
      <c r="O7" s="127">
        <v>3.2</v>
      </c>
      <c r="P7" s="123" t="s">
        <v>2498</v>
      </c>
      <c r="Q7" s="123"/>
      <c r="R7" s="123"/>
      <c r="S7" s="123"/>
      <c r="T7" s="123"/>
      <c r="U7" s="123"/>
      <c r="V7" s="123"/>
      <c r="W7" s="123" t="s">
        <v>3506</v>
      </c>
    </row>
    <row r="8" spans="1:23">
      <c r="A8" s="414">
        <v>6</v>
      </c>
      <c r="B8" s="184" t="s">
        <v>2171</v>
      </c>
      <c r="C8" s="184" t="s">
        <v>2185</v>
      </c>
      <c r="D8" s="122" t="s">
        <v>2173</v>
      </c>
      <c r="E8" s="124">
        <v>42938</v>
      </c>
      <c r="F8" s="125">
        <v>0.30555555555555552</v>
      </c>
      <c r="G8" s="124">
        <v>43007</v>
      </c>
      <c r="H8" s="125">
        <v>0.34791666666666665</v>
      </c>
      <c r="I8" s="123">
        <v>859</v>
      </c>
      <c r="J8" s="123">
        <v>478</v>
      </c>
      <c r="K8" s="123">
        <v>688</v>
      </c>
      <c r="L8" s="123">
        <v>164</v>
      </c>
      <c r="M8" s="123">
        <v>286</v>
      </c>
      <c r="N8" s="123">
        <v>26.6</v>
      </c>
      <c r="O8" s="123">
        <v>6.5</v>
      </c>
      <c r="P8" s="123" t="s">
        <v>2498</v>
      </c>
      <c r="Q8" s="123">
        <v>26.6</v>
      </c>
      <c r="R8" s="123">
        <v>4.2</v>
      </c>
      <c r="S8" s="123"/>
      <c r="T8" s="123"/>
      <c r="U8" s="123"/>
      <c r="V8" s="123"/>
      <c r="W8" s="123" t="s">
        <v>3507</v>
      </c>
    </row>
    <row r="9" spans="1:23">
      <c r="A9" s="414">
        <v>7</v>
      </c>
      <c r="B9" s="184" t="s">
        <v>2171</v>
      </c>
      <c r="C9" s="184" t="s">
        <v>2186</v>
      </c>
      <c r="D9" s="122" t="s">
        <v>2173</v>
      </c>
      <c r="E9" s="124">
        <v>42938</v>
      </c>
      <c r="F9" s="125">
        <v>0.30208333333333331</v>
      </c>
      <c r="G9" s="124">
        <v>43007</v>
      </c>
      <c r="H9" s="125">
        <v>0.35833333333333334</v>
      </c>
      <c r="I9" s="163">
        <v>860</v>
      </c>
      <c r="J9" s="123">
        <v>106</v>
      </c>
      <c r="K9" s="123">
        <v>762</v>
      </c>
      <c r="L9" s="123">
        <v>776</v>
      </c>
      <c r="M9" s="123">
        <v>210</v>
      </c>
      <c r="N9" s="123">
        <v>23.3</v>
      </c>
      <c r="O9" s="123">
        <v>2.2000000000000002</v>
      </c>
      <c r="P9" s="123" t="s">
        <v>2498</v>
      </c>
      <c r="Q9" s="123">
        <v>26.2</v>
      </c>
      <c r="R9" s="123">
        <v>3.7</v>
      </c>
      <c r="S9" s="191" t="s">
        <v>2174</v>
      </c>
      <c r="T9" s="123" t="s">
        <v>3505</v>
      </c>
      <c r="U9" s="123"/>
      <c r="V9" s="123"/>
      <c r="W9" s="123"/>
    </row>
    <row r="10" spans="1:23">
      <c r="A10" s="414">
        <v>8</v>
      </c>
      <c r="B10" s="184" t="s">
        <v>2171</v>
      </c>
      <c r="C10" s="184" t="s">
        <v>2187</v>
      </c>
      <c r="D10" s="122" t="s">
        <v>2173</v>
      </c>
      <c r="E10" s="124">
        <v>42938</v>
      </c>
      <c r="F10" s="125">
        <v>0.30555555555555552</v>
      </c>
      <c r="G10" s="124">
        <v>43007</v>
      </c>
      <c r="H10" s="125">
        <v>0.36041666666666666</v>
      </c>
      <c r="I10" s="123">
        <v>861</v>
      </c>
      <c r="J10" s="123">
        <v>228</v>
      </c>
      <c r="K10" s="123">
        <v>727</v>
      </c>
      <c r="L10" s="123">
        <v>23</v>
      </c>
      <c r="M10" s="123">
        <v>213</v>
      </c>
      <c r="N10" s="123">
        <v>25.6</v>
      </c>
      <c r="O10" s="123">
        <v>2.4</v>
      </c>
      <c r="P10" s="123" t="s">
        <v>2498</v>
      </c>
      <c r="Q10" s="123">
        <v>26.4</v>
      </c>
      <c r="R10" s="123">
        <v>2.8</v>
      </c>
      <c r="S10" s="123" t="s">
        <v>2182</v>
      </c>
      <c r="T10" s="123"/>
      <c r="U10" s="123" t="s">
        <v>2182</v>
      </c>
      <c r="V10" s="123"/>
      <c r="W10" s="123"/>
    </row>
    <row r="11" spans="1:23">
      <c r="A11" s="414">
        <v>9</v>
      </c>
      <c r="B11" s="184" t="s">
        <v>2171</v>
      </c>
      <c r="C11" s="184" t="s">
        <v>2188</v>
      </c>
      <c r="D11" s="122" t="s">
        <v>2189</v>
      </c>
      <c r="E11" s="124">
        <v>42938</v>
      </c>
      <c r="F11" s="125">
        <v>0.33333333333333331</v>
      </c>
      <c r="G11" s="124">
        <v>43007</v>
      </c>
      <c r="H11" s="125">
        <v>0.37361111111111112</v>
      </c>
      <c r="I11" s="123">
        <v>862</v>
      </c>
      <c r="J11" s="123">
        <v>277</v>
      </c>
      <c r="K11" s="123">
        <v>785</v>
      </c>
      <c r="L11" s="123">
        <v>570</v>
      </c>
      <c r="M11" s="123">
        <v>704</v>
      </c>
      <c r="N11" s="123">
        <v>25.6</v>
      </c>
      <c r="O11" s="123">
        <v>3.5</v>
      </c>
      <c r="P11" s="123" t="s">
        <v>2498</v>
      </c>
      <c r="Q11" s="123">
        <v>26.7</v>
      </c>
      <c r="R11" s="123">
        <v>3.1</v>
      </c>
      <c r="S11" s="123" t="s">
        <v>2190</v>
      </c>
      <c r="T11" s="123" t="s">
        <v>2314</v>
      </c>
      <c r="U11" s="123"/>
      <c r="V11" s="123"/>
      <c r="W11" s="123" t="s">
        <v>3508</v>
      </c>
    </row>
    <row r="12" spans="1:23">
      <c r="A12" s="414">
        <v>10</v>
      </c>
      <c r="B12" s="184" t="s">
        <v>2171</v>
      </c>
      <c r="C12" s="184" t="s">
        <v>2191</v>
      </c>
      <c r="D12" s="122" t="s">
        <v>2189</v>
      </c>
      <c r="E12" s="124">
        <v>42938</v>
      </c>
      <c r="F12" s="125">
        <v>0.3298611111111111</v>
      </c>
      <c r="G12" s="124"/>
      <c r="H12" s="125"/>
      <c r="I12" s="123">
        <v>863</v>
      </c>
      <c r="J12" s="123">
        <v>310</v>
      </c>
      <c r="K12" s="123">
        <v>747</v>
      </c>
      <c r="L12" s="123">
        <v>642</v>
      </c>
      <c r="M12" s="123">
        <v>355</v>
      </c>
      <c r="N12" s="123">
        <v>26.1</v>
      </c>
      <c r="O12" s="123">
        <v>1.5</v>
      </c>
      <c r="P12" s="123" t="s">
        <v>2498</v>
      </c>
      <c r="Q12" s="123"/>
      <c r="R12" s="92"/>
      <c r="S12" s="92"/>
      <c r="T12" s="92"/>
      <c r="U12" s="92"/>
      <c r="V12" s="92"/>
      <c r="W12" s="123" t="s">
        <v>3509</v>
      </c>
    </row>
    <row r="13" spans="1:23">
      <c r="A13" s="414">
        <v>11</v>
      </c>
      <c r="B13" s="184" t="s">
        <v>2171</v>
      </c>
      <c r="C13" s="184" t="s">
        <v>2192</v>
      </c>
      <c r="D13" s="122" t="s">
        <v>2189</v>
      </c>
      <c r="E13" s="124">
        <v>42938</v>
      </c>
      <c r="F13" s="125">
        <v>0.3263888888888889</v>
      </c>
      <c r="G13" s="124">
        <v>43007</v>
      </c>
      <c r="H13" s="125">
        <v>0.36805555555555558</v>
      </c>
      <c r="I13" s="123">
        <v>864</v>
      </c>
      <c r="J13" s="123">
        <v>435</v>
      </c>
      <c r="K13" s="129">
        <v>748</v>
      </c>
      <c r="L13" s="123">
        <v>663</v>
      </c>
      <c r="M13" s="123">
        <v>616</v>
      </c>
      <c r="N13" s="123">
        <v>26.1</v>
      </c>
      <c r="O13" s="123">
        <v>6</v>
      </c>
      <c r="P13" s="123" t="s">
        <v>2498</v>
      </c>
      <c r="Q13" s="123">
        <v>26.8</v>
      </c>
      <c r="R13" s="123">
        <v>4.5999999999999996</v>
      </c>
      <c r="S13" s="123" t="s">
        <v>2190</v>
      </c>
      <c r="T13" s="123" t="s">
        <v>2190</v>
      </c>
      <c r="U13" s="123"/>
      <c r="V13" s="123"/>
      <c r="W13" s="123"/>
    </row>
    <row r="14" spans="1:23">
      <c r="A14" s="414">
        <v>12</v>
      </c>
      <c r="B14" s="184" t="s">
        <v>2171</v>
      </c>
      <c r="C14" s="184" t="s">
        <v>2193</v>
      </c>
      <c r="D14" s="122" t="s">
        <v>2189</v>
      </c>
      <c r="E14" s="124"/>
      <c r="F14" s="123"/>
      <c r="G14" s="124"/>
      <c r="H14" s="125"/>
      <c r="I14" s="185">
        <v>865</v>
      </c>
      <c r="J14" s="123"/>
      <c r="K14" s="123"/>
      <c r="L14" s="123"/>
      <c r="M14" s="123"/>
      <c r="N14" s="123"/>
      <c r="O14" s="123"/>
      <c r="P14" s="123"/>
      <c r="Q14" s="123"/>
      <c r="W14" s="123"/>
    </row>
    <row r="15" spans="1:23">
      <c r="A15" s="414">
        <v>13</v>
      </c>
      <c r="B15" s="184" t="s">
        <v>2171</v>
      </c>
      <c r="C15" s="184" t="s">
        <v>2194</v>
      </c>
      <c r="D15" s="122" t="s">
        <v>2189</v>
      </c>
      <c r="E15" s="124">
        <v>42938</v>
      </c>
      <c r="F15" s="125">
        <v>0.33680555555555558</v>
      </c>
      <c r="G15" s="124">
        <v>43007</v>
      </c>
      <c r="H15" s="125">
        <v>0.3756944444444445</v>
      </c>
      <c r="I15" s="123">
        <v>866</v>
      </c>
      <c r="J15" s="123">
        <v>2</v>
      </c>
      <c r="K15" s="123">
        <v>784</v>
      </c>
      <c r="L15" s="123">
        <v>874</v>
      </c>
      <c r="M15" s="123">
        <v>603</v>
      </c>
      <c r="N15" s="123">
        <v>25.7</v>
      </c>
      <c r="O15" s="123">
        <v>5.8</v>
      </c>
      <c r="P15" s="123" t="s">
        <v>2499</v>
      </c>
      <c r="Q15" s="123">
        <v>26.5</v>
      </c>
      <c r="R15" s="123">
        <v>3.8</v>
      </c>
      <c r="S15" s="123" t="s">
        <v>2314</v>
      </c>
      <c r="T15" s="123" t="s">
        <v>2233</v>
      </c>
      <c r="U15" s="123"/>
      <c r="V15" s="123"/>
      <c r="W15" s="123"/>
    </row>
    <row r="16" spans="1:23">
      <c r="A16" s="414">
        <v>14</v>
      </c>
      <c r="B16" s="184" t="s">
        <v>2171</v>
      </c>
      <c r="C16" s="184" t="s">
        <v>2196</v>
      </c>
      <c r="D16" s="122" t="s">
        <v>2189</v>
      </c>
      <c r="E16" s="124">
        <v>42938</v>
      </c>
      <c r="F16" s="125">
        <v>0.33333333333333331</v>
      </c>
      <c r="G16" s="124">
        <v>43007</v>
      </c>
      <c r="H16" s="125">
        <v>0.37847222222222227</v>
      </c>
      <c r="I16" s="123">
        <v>867</v>
      </c>
      <c r="J16" s="123">
        <v>225</v>
      </c>
      <c r="K16" s="123">
        <v>838</v>
      </c>
      <c r="L16" s="129">
        <v>219</v>
      </c>
      <c r="M16" s="123">
        <v>652</v>
      </c>
      <c r="N16" s="123">
        <v>25.3</v>
      </c>
      <c r="O16" s="123">
        <v>3.9</v>
      </c>
      <c r="P16" s="123" t="s">
        <v>2498</v>
      </c>
      <c r="Q16" s="123">
        <v>25.8</v>
      </c>
      <c r="R16" s="123">
        <v>2.9</v>
      </c>
      <c r="S16" s="123" t="s">
        <v>2174</v>
      </c>
      <c r="T16" s="123" t="s">
        <v>2233</v>
      </c>
      <c r="U16" s="123" t="s">
        <v>2182</v>
      </c>
      <c r="V16" s="123"/>
      <c r="W16" s="123"/>
    </row>
    <row r="17" spans="1:23">
      <c r="A17" s="414">
        <v>15</v>
      </c>
      <c r="B17" s="184" t="s">
        <v>2171</v>
      </c>
      <c r="C17" s="184" t="s">
        <v>2197</v>
      </c>
      <c r="D17" s="122" t="s">
        <v>2189</v>
      </c>
      <c r="E17" s="124">
        <v>42938</v>
      </c>
      <c r="F17" s="125">
        <v>0.3298611111111111</v>
      </c>
      <c r="G17" s="124">
        <v>43007</v>
      </c>
      <c r="H17" s="125">
        <v>0.37083333333333335</v>
      </c>
      <c r="I17" s="123">
        <v>868</v>
      </c>
      <c r="J17" s="123">
        <v>444</v>
      </c>
      <c r="K17" s="123">
        <v>793</v>
      </c>
      <c r="L17" s="123">
        <v>630</v>
      </c>
      <c r="M17" s="123">
        <v>304</v>
      </c>
      <c r="N17" s="123"/>
      <c r="O17" s="123">
        <v>3.3</v>
      </c>
      <c r="P17" s="123" t="s">
        <v>2498</v>
      </c>
      <c r="Q17" s="123">
        <v>28</v>
      </c>
      <c r="R17" s="123">
        <v>2.9</v>
      </c>
      <c r="S17" s="123" t="s">
        <v>2190</v>
      </c>
      <c r="T17" s="123" t="s">
        <v>2190</v>
      </c>
      <c r="U17" s="123"/>
      <c r="V17" s="123"/>
      <c r="W17" s="123"/>
    </row>
    <row r="18" spans="1:23">
      <c r="A18" s="414">
        <v>16</v>
      </c>
      <c r="B18" s="184" t="s">
        <v>2171</v>
      </c>
      <c r="C18" s="184" t="s">
        <v>2200</v>
      </c>
      <c r="D18" s="122" t="s">
        <v>2189</v>
      </c>
      <c r="E18" s="124">
        <v>42938</v>
      </c>
      <c r="F18" s="125">
        <v>0.3263888888888889</v>
      </c>
      <c r="G18" s="124">
        <v>43007</v>
      </c>
      <c r="H18" s="125">
        <v>0.36527777777777781</v>
      </c>
      <c r="I18" s="123">
        <v>869</v>
      </c>
      <c r="J18" s="123">
        <v>376</v>
      </c>
      <c r="K18" s="123">
        <v>755</v>
      </c>
      <c r="L18" s="123">
        <v>662</v>
      </c>
      <c r="M18" s="123">
        <v>687</v>
      </c>
      <c r="N18" s="123">
        <v>26.9</v>
      </c>
      <c r="O18" s="123">
        <v>9.8000000000000007</v>
      </c>
      <c r="P18" s="123" t="s">
        <v>2498</v>
      </c>
      <c r="Q18" s="123">
        <v>27.2</v>
      </c>
      <c r="R18" s="123">
        <v>8.6</v>
      </c>
      <c r="S18" s="123" t="s">
        <v>2190</v>
      </c>
      <c r="T18" s="123" t="s">
        <v>2190</v>
      </c>
      <c r="U18" s="123" t="s">
        <v>2182</v>
      </c>
      <c r="V18" s="123"/>
      <c r="W18" s="123" t="s">
        <v>3510</v>
      </c>
    </row>
    <row r="19" spans="1:23">
      <c r="A19" s="414">
        <v>17</v>
      </c>
      <c r="B19" s="184" t="s">
        <v>2171</v>
      </c>
      <c r="C19" s="184" t="s">
        <v>2202</v>
      </c>
      <c r="D19" s="122" t="s">
        <v>2203</v>
      </c>
      <c r="E19" s="124">
        <v>42936</v>
      </c>
      <c r="F19" s="125">
        <v>0.73611111111111116</v>
      </c>
      <c r="G19" s="124">
        <v>43007</v>
      </c>
      <c r="H19" s="125">
        <v>0.45277777777777778</v>
      </c>
      <c r="I19" s="123">
        <v>870</v>
      </c>
      <c r="J19" s="123">
        <v>209</v>
      </c>
      <c r="K19" s="123">
        <v>826</v>
      </c>
      <c r="L19" s="123">
        <v>349</v>
      </c>
      <c r="M19" s="123">
        <v>407</v>
      </c>
      <c r="N19" s="123">
        <v>25.9</v>
      </c>
      <c r="O19" s="123">
        <v>18.100000000000001</v>
      </c>
      <c r="P19" s="123" t="s">
        <v>2500</v>
      </c>
      <c r="Q19" s="123">
        <v>26.5</v>
      </c>
      <c r="R19" s="123">
        <v>7.7</v>
      </c>
      <c r="S19" s="123"/>
      <c r="T19" s="123"/>
      <c r="U19" s="123"/>
      <c r="V19" s="123"/>
      <c r="W19" s="123"/>
    </row>
    <row r="20" spans="1:23">
      <c r="A20" s="414">
        <v>18</v>
      </c>
      <c r="B20" s="184" t="s">
        <v>2171</v>
      </c>
      <c r="C20" s="184" t="s">
        <v>2205</v>
      </c>
      <c r="D20" s="122" t="s">
        <v>2203</v>
      </c>
      <c r="E20" s="124">
        <v>42936</v>
      </c>
      <c r="F20" s="125">
        <v>0.75</v>
      </c>
      <c r="G20" s="124">
        <v>43007</v>
      </c>
      <c r="H20" s="125">
        <v>0.44791666666666669</v>
      </c>
      <c r="I20" s="123">
        <v>871</v>
      </c>
      <c r="J20" s="123">
        <v>10</v>
      </c>
      <c r="K20" s="123">
        <v>732</v>
      </c>
      <c r="L20" s="123">
        <v>113</v>
      </c>
      <c r="M20" s="123">
        <v>361</v>
      </c>
      <c r="N20" s="123">
        <v>25.7</v>
      </c>
      <c r="O20" s="123">
        <v>11.8</v>
      </c>
      <c r="P20" s="123" t="s">
        <v>2501</v>
      </c>
      <c r="Q20" s="123">
        <v>26.5</v>
      </c>
      <c r="R20" s="123">
        <v>10.5</v>
      </c>
      <c r="S20" s="123"/>
      <c r="T20" s="123" t="s">
        <v>2174</v>
      </c>
      <c r="U20" s="123"/>
      <c r="V20" s="123"/>
      <c r="W20" s="123"/>
    </row>
    <row r="21" spans="1:23">
      <c r="A21" s="414">
        <v>19</v>
      </c>
      <c r="B21" s="184" t="s">
        <v>2171</v>
      </c>
      <c r="C21" s="184" t="s">
        <v>2206</v>
      </c>
      <c r="D21" s="122" t="s">
        <v>2203</v>
      </c>
      <c r="E21" s="124">
        <v>42936</v>
      </c>
      <c r="F21" s="125">
        <v>0.75</v>
      </c>
      <c r="G21" s="124">
        <v>43007</v>
      </c>
      <c r="H21" s="125">
        <v>0.45069444444444445</v>
      </c>
      <c r="I21" s="123">
        <v>872</v>
      </c>
      <c r="J21" s="123">
        <v>190</v>
      </c>
      <c r="K21" s="123">
        <v>749</v>
      </c>
      <c r="L21" s="123">
        <v>394</v>
      </c>
      <c r="M21" s="123">
        <v>280</v>
      </c>
      <c r="N21" s="123">
        <v>25.6</v>
      </c>
      <c r="O21" s="123">
        <v>19.399999999999999</v>
      </c>
      <c r="P21" s="123" t="s">
        <v>2501</v>
      </c>
      <c r="Q21" s="123">
        <v>25.8</v>
      </c>
      <c r="R21" s="123">
        <v>12.1</v>
      </c>
      <c r="S21" s="123" t="s">
        <v>2174</v>
      </c>
      <c r="T21" s="123"/>
      <c r="U21" s="123"/>
      <c r="V21" s="123"/>
      <c r="W21" s="123"/>
    </row>
    <row r="22" spans="1:23">
      <c r="A22" s="414">
        <v>20</v>
      </c>
      <c r="B22" s="184" t="s">
        <v>2171</v>
      </c>
      <c r="C22" s="184" t="s">
        <v>2207</v>
      </c>
      <c r="D22" s="122" t="s">
        <v>2203</v>
      </c>
      <c r="E22" s="124">
        <v>42936</v>
      </c>
      <c r="F22" s="125">
        <v>0.74305555555555547</v>
      </c>
      <c r="G22" s="124">
        <v>43007</v>
      </c>
      <c r="H22" s="125">
        <v>0.44930555555555557</v>
      </c>
      <c r="I22" s="123">
        <v>873</v>
      </c>
      <c r="J22" s="123">
        <v>38</v>
      </c>
      <c r="K22" s="123">
        <v>632</v>
      </c>
      <c r="L22" s="123">
        <v>79</v>
      </c>
      <c r="M22" s="123">
        <v>320</v>
      </c>
      <c r="N22" s="123">
        <v>26</v>
      </c>
      <c r="O22" s="123">
        <v>20.3</v>
      </c>
      <c r="P22" s="123" t="s">
        <v>2501</v>
      </c>
      <c r="Q22" s="123">
        <v>26.6</v>
      </c>
      <c r="R22" s="123">
        <v>11.7</v>
      </c>
      <c r="S22" s="123" t="s">
        <v>2174</v>
      </c>
      <c r="T22" s="123"/>
      <c r="U22" s="123"/>
      <c r="V22" s="123"/>
      <c r="W22" s="123"/>
    </row>
    <row r="23" spans="1:23">
      <c r="A23" s="414">
        <v>21</v>
      </c>
      <c r="B23" s="184" t="s">
        <v>2171</v>
      </c>
      <c r="C23" s="184" t="s">
        <v>2208</v>
      </c>
      <c r="D23" s="122" t="s">
        <v>2203</v>
      </c>
      <c r="E23" s="124">
        <v>42936</v>
      </c>
      <c r="F23" s="125">
        <v>0.74652777777777779</v>
      </c>
      <c r="G23" s="124">
        <v>43007</v>
      </c>
      <c r="H23" s="125">
        <v>0.4458333333333333</v>
      </c>
      <c r="I23" s="123">
        <v>874</v>
      </c>
      <c r="J23" s="123">
        <v>468</v>
      </c>
      <c r="K23" s="123">
        <v>630</v>
      </c>
      <c r="L23" s="123">
        <v>488</v>
      </c>
      <c r="M23" s="123">
        <v>209</v>
      </c>
      <c r="N23" s="123">
        <v>26.2</v>
      </c>
      <c r="O23" s="123">
        <v>15</v>
      </c>
      <c r="P23" s="123" t="s">
        <v>2501</v>
      </c>
      <c r="Q23" s="123">
        <v>26</v>
      </c>
      <c r="R23" s="123">
        <v>11.4</v>
      </c>
      <c r="S23" s="123"/>
      <c r="T23" s="123"/>
      <c r="U23" s="123"/>
      <c r="V23" s="123"/>
      <c r="W23" s="123" t="s">
        <v>3896</v>
      </c>
    </row>
    <row r="24" spans="1:23">
      <c r="A24" s="414">
        <v>22</v>
      </c>
      <c r="B24" s="184" t="s">
        <v>2171</v>
      </c>
      <c r="C24" s="184" t="s">
        <v>2209</v>
      </c>
      <c r="D24" s="122" t="s">
        <v>2203</v>
      </c>
      <c r="E24" s="124">
        <v>42936</v>
      </c>
      <c r="F24" s="125">
        <v>0.72916666666666663</v>
      </c>
      <c r="G24" s="124">
        <v>43007</v>
      </c>
      <c r="H24" s="125">
        <v>0.4548611111111111</v>
      </c>
      <c r="I24" s="123">
        <v>876</v>
      </c>
      <c r="J24" s="123">
        <v>8</v>
      </c>
      <c r="K24" s="123">
        <v>723</v>
      </c>
      <c r="L24" s="123">
        <v>750</v>
      </c>
      <c r="M24" s="123">
        <v>646</v>
      </c>
      <c r="N24" s="123">
        <v>25</v>
      </c>
      <c r="O24" s="123">
        <v>25.2</v>
      </c>
      <c r="P24" s="123" t="s">
        <v>2501</v>
      </c>
      <c r="Q24" s="123">
        <v>26.5</v>
      </c>
      <c r="R24" s="123">
        <v>12.9</v>
      </c>
      <c r="S24" s="123"/>
      <c r="T24" s="123" t="s">
        <v>2174</v>
      </c>
      <c r="U24" s="123"/>
      <c r="V24" s="123"/>
      <c r="W24" s="123"/>
    </row>
    <row r="25" spans="1:23">
      <c r="A25" s="414">
        <v>23</v>
      </c>
      <c r="B25" s="184" t="s">
        <v>2171</v>
      </c>
      <c r="C25" s="184" t="s">
        <v>2210</v>
      </c>
      <c r="D25" s="122" t="s">
        <v>2203</v>
      </c>
      <c r="E25" s="125"/>
      <c r="F25" s="125"/>
      <c r="G25" s="125"/>
      <c r="H25" s="125"/>
      <c r="I25" s="123">
        <v>875</v>
      </c>
      <c r="J25" s="125"/>
      <c r="K25" s="125"/>
      <c r="L25" s="125"/>
      <c r="M25" s="125"/>
      <c r="N25" s="125"/>
      <c r="O25" s="125"/>
      <c r="P25" s="125"/>
      <c r="Q25" s="123"/>
      <c r="R25" s="92"/>
      <c r="S25" s="92"/>
      <c r="T25" s="92"/>
      <c r="U25" s="92"/>
      <c r="V25" s="92"/>
      <c r="W25" s="123"/>
    </row>
    <row r="26" spans="1:23">
      <c r="A26" s="414">
        <v>24</v>
      </c>
      <c r="B26" s="184" t="s">
        <v>2171</v>
      </c>
      <c r="C26" s="184" t="s">
        <v>2211</v>
      </c>
      <c r="D26" s="122" t="s">
        <v>2203</v>
      </c>
      <c r="E26" s="124">
        <v>42936</v>
      </c>
      <c r="F26" s="125">
        <v>0.75347222222222221</v>
      </c>
      <c r="G26" s="124">
        <v>43007</v>
      </c>
      <c r="H26" s="125">
        <v>0.45763888888888887</v>
      </c>
      <c r="I26" s="123">
        <v>877</v>
      </c>
      <c r="J26" s="123">
        <v>320</v>
      </c>
      <c r="K26" s="123">
        <v>225</v>
      </c>
      <c r="L26" s="123">
        <v>562</v>
      </c>
      <c r="M26" s="123">
        <v>650</v>
      </c>
      <c r="N26" s="123">
        <v>25.5</v>
      </c>
      <c r="O26" s="123">
        <v>23.9</v>
      </c>
      <c r="P26" s="123" t="s">
        <v>2501</v>
      </c>
      <c r="Q26" s="123">
        <v>25.5</v>
      </c>
      <c r="R26" s="123">
        <v>7.3</v>
      </c>
      <c r="S26" s="123"/>
      <c r="T26" s="123"/>
      <c r="U26" s="123"/>
      <c r="V26" s="123"/>
      <c r="W26" s="123"/>
    </row>
    <row r="27" spans="1:23">
      <c r="A27" s="414">
        <v>25</v>
      </c>
      <c r="B27" s="184" t="s">
        <v>2171</v>
      </c>
      <c r="C27" s="184" t="s">
        <v>2212</v>
      </c>
      <c r="D27" s="122" t="s">
        <v>2213</v>
      </c>
      <c r="E27" s="124">
        <v>42936</v>
      </c>
      <c r="F27" s="125">
        <v>0.77083333333333337</v>
      </c>
      <c r="G27" s="124">
        <v>43007</v>
      </c>
      <c r="H27" s="125">
        <v>0.47083333333333338</v>
      </c>
      <c r="I27" s="163">
        <v>878</v>
      </c>
      <c r="J27" s="123">
        <v>322</v>
      </c>
      <c r="K27" s="123">
        <v>43</v>
      </c>
      <c r="L27" s="123">
        <v>156</v>
      </c>
      <c r="M27" s="123">
        <v>230</v>
      </c>
      <c r="N27" s="123">
        <v>25.6</v>
      </c>
      <c r="O27" s="123">
        <v>15.8</v>
      </c>
      <c r="P27" s="123" t="s">
        <v>2501</v>
      </c>
      <c r="Q27" s="123">
        <v>25.2</v>
      </c>
      <c r="R27" s="123">
        <v>3.9</v>
      </c>
      <c r="S27" s="123"/>
      <c r="T27" s="123"/>
      <c r="U27" s="123"/>
      <c r="V27" s="123"/>
      <c r="W27" s="123" t="s">
        <v>3511</v>
      </c>
    </row>
    <row r="28" spans="1:23">
      <c r="A28" s="414">
        <v>26</v>
      </c>
      <c r="B28" s="184" t="s">
        <v>2171</v>
      </c>
      <c r="C28" s="184" t="s">
        <v>2214</v>
      </c>
      <c r="D28" s="122" t="s">
        <v>2213</v>
      </c>
      <c r="E28" s="124">
        <v>42936</v>
      </c>
      <c r="F28" s="125">
        <v>0.76388888888888884</v>
      </c>
      <c r="G28" s="124">
        <v>43007</v>
      </c>
      <c r="H28" s="125">
        <v>0.4694444444444445</v>
      </c>
      <c r="I28" s="121">
        <v>1245</v>
      </c>
      <c r="J28" s="123">
        <v>58</v>
      </c>
      <c r="K28" s="123">
        <v>602</v>
      </c>
      <c r="L28" s="123">
        <v>555</v>
      </c>
      <c r="M28" s="123">
        <v>642</v>
      </c>
      <c r="N28" s="123">
        <v>25.5</v>
      </c>
      <c r="O28" s="123">
        <v>10.4</v>
      </c>
      <c r="P28" s="123" t="s">
        <v>2501</v>
      </c>
      <c r="Q28" s="123">
        <v>26.2</v>
      </c>
      <c r="R28" s="123">
        <v>5.8</v>
      </c>
      <c r="S28" s="123"/>
      <c r="T28" s="123"/>
      <c r="U28" s="123"/>
      <c r="V28" s="123"/>
      <c r="W28" s="123"/>
    </row>
    <row r="29" spans="1:23">
      <c r="A29" s="414">
        <v>27</v>
      </c>
      <c r="B29" s="184" t="s">
        <v>2171</v>
      </c>
      <c r="C29" s="184" t="s">
        <v>2215</v>
      </c>
      <c r="D29" s="122" t="s">
        <v>2213</v>
      </c>
      <c r="E29" s="124">
        <v>42936</v>
      </c>
      <c r="F29" s="125">
        <v>0.76736111111111116</v>
      </c>
      <c r="G29" s="124">
        <v>43007</v>
      </c>
      <c r="H29" s="125">
        <v>0.46249999999999997</v>
      </c>
      <c r="I29" s="123">
        <v>879</v>
      </c>
      <c r="J29" s="123">
        <v>340</v>
      </c>
      <c r="K29" s="123">
        <v>666</v>
      </c>
      <c r="L29" s="123">
        <v>378</v>
      </c>
      <c r="M29" s="123">
        <v>199</v>
      </c>
      <c r="N29" s="123">
        <v>25.9</v>
      </c>
      <c r="O29" s="123">
        <v>17.899999999999999</v>
      </c>
      <c r="P29" s="123" t="s">
        <v>2501</v>
      </c>
      <c r="Q29" s="123">
        <v>26.4</v>
      </c>
      <c r="R29" s="123">
        <v>10.3</v>
      </c>
      <c r="S29" s="123"/>
      <c r="T29" s="123"/>
      <c r="U29" s="123"/>
      <c r="V29" s="123"/>
      <c r="W29" s="123" t="s">
        <v>3507</v>
      </c>
    </row>
    <row r="30" spans="1:23">
      <c r="A30" s="414">
        <v>28</v>
      </c>
      <c r="B30" s="184" t="s">
        <v>2171</v>
      </c>
      <c r="C30" s="184" t="s">
        <v>2216</v>
      </c>
      <c r="D30" s="122" t="s">
        <v>2213</v>
      </c>
      <c r="E30" s="124">
        <v>42936</v>
      </c>
      <c r="F30" s="125">
        <v>0.76388888888888884</v>
      </c>
      <c r="G30" s="124">
        <v>43007</v>
      </c>
      <c r="H30" s="125">
        <v>0.46875</v>
      </c>
      <c r="I30" s="123">
        <v>881</v>
      </c>
      <c r="J30" s="123">
        <v>61</v>
      </c>
      <c r="K30" s="123">
        <v>705</v>
      </c>
      <c r="L30" s="123">
        <v>46</v>
      </c>
      <c r="M30" s="123">
        <v>162</v>
      </c>
      <c r="N30" s="123">
        <v>25.1</v>
      </c>
      <c r="O30" s="123">
        <v>11.8</v>
      </c>
      <c r="P30" s="123" t="s">
        <v>2501</v>
      </c>
      <c r="Q30" s="123">
        <v>26.3</v>
      </c>
      <c r="R30" s="123">
        <v>6.4</v>
      </c>
      <c r="S30" s="123"/>
      <c r="T30" s="123"/>
      <c r="U30" s="123"/>
      <c r="V30" s="123"/>
      <c r="W30" s="123"/>
    </row>
    <row r="31" spans="1:23">
      <c r="A31" s="414">
        <v>29</v>
      </c>
      <c r="B31" s="184" t="s">
        <v>2171</v>
      </c>
      <c r="C31" s="184" t="s">
        <v>2217</v>
      </c>
      <c r="D31" s="122" t="s">
        <v>2213</v>
      </c>
      <c r="E31" s="124">
        <v>42936</v>
      </c>
      <c r="F31" s="125">
        <v>0.76041666666666663</v>
      </c>
      <c r="G31" s="124">
        <v>43007</v>
      </c>
      <c r="H31" s="125">
        <v>0.46597222222222223</v>
      </c>
      <c r="I31" s="123">
        <v>882</v>
      </c>
      <c r="J31" s="123">
        <v>319</v>
      </c>
      <c r="K31" s="123">
        <v>305</v>
      </c>
      <c r="L31" s="123">
        <v>397</v>
      </c>
      <c r="M31" s="123">
        <v>163</v>
      </c>
      <c r="N31" s="123">
        <v>25.3</v>
      </c>
      <c r="O31" s="123">
        <v>21</v>
      </c>
      <c r="P31" s="123" t="s">
        <v>2501</v>
      </c>
      <c r="Q31" s="123">
        <v>26</v>
      </c>
      <c r="R31" s="123">
        <v>9.3000000000000007</v>
      </c>
      <c r="S31" s="123"/>
      <c r="T31" s="123"/>
      <c r="U31" s="123"/>
      <c r="V31" s="123"/>
      <c r="W31" s="123"/>
    </row>
    <row r="32" spans="1:23">
      <c r="A32" s="414">
        <v>30</v>
      </c>
      <c r="B32" s="184" t="s">
        <v>2171</v>
      </c>
      <c r="C32" s="184" t="s">
        <v>2218</v>
      </c>
      <c r="D32" s="122" t="s">
        <v>2213</v>
      </c>
      <c r="E32" s="124">
        <v>42936</v>
      </c>
      <c r="F32" s="125">
        <v>0.76041666666666663</v>
      </c>
      <c r="G32" s="124">
        <v>43007</v>
      </c>
      <c r="H32" s="125">
        <v>0.46736111111111112</v>
      </c>
      <c r="I32" s="123">
        <v>883</v>
      </c>
      <c r="J32" s="123">
        <v>273</v>
      </c>
      <c r="K32" s="123">
        <v>667</v>
      </c>
      <c r="L32" s="123">
        <v>166</v>
      </c>
      <c r="M32" s="123">
        <v>345</v>
      </c>
      <c r="N32" s="123">
        <v>24.6</v>
      </c>
      <c r="O32" s="123">
        <v>11.8</v>
      </c>
      <c r="P32" s="123" t="s">
        <v>2501</v>
      </c>
      <c r="Q32" s="123">
        <v>23.4</v>
      </c>
      <c r="R32" s="123">
        <v>6.8</v>
      </c>
      <c r="S32" s="123"/>
      <c r="T32" s="123"/>
      <c r="U32" s="123"/>
      <c r="V32" s="123"/>
      <c r="W32" s="123"/>
    </row>
    <row r="33" spans="1:23">
      <c r="A33" s="414">
        <v>31</v>
      </c>
      <c r="B33" s="184" t="s">
        <v>2171</v>
      </c>
      <c r="C33" s="184" t="s">
        <v>2219</v>
      </c>
      <c r="D33" s="122" t="s">
        <v>2213</v>
      </c>
      <c r="E33" s="125"/>
      <c r="F33" s="125"/>
      <c r="G33" s="125"/>
      <c r="H33" s="125"/>
      <c r="I33" s="123">
        <v>884</v>
      </c>
      <c r="J33" s="125"/>
      <c r="K33" s="125"/>
      <c r="L33" s="125"/>
      <c r="M33" s="125"/>
      <c r="N33" s="125"/>
      <c r="O33" s="125"/>
      <c r="P33" s="125"/>
      <c r="Q33" s="123"/>
      <c r="R33" s="123"/>
      <c r="S33" s="123"/>
      <c r="T33" s="123"/>
      <c r="U33" s="123"/>
      <c r="V33" s="123"/>
      <c r="W33" s="123"/>
    </row>
    <row r="34" spans="1:23">
      <c r="A34" s="414">
        <v>32</v>
      </c>
      <c r="B34" s="184" t="s">
        <v>2171</v>
      </c>
      <c r="C34" s="184" t="s">
        <v>2220</v>
      </c>
      <c r="D34" s="122" t="s">
        <v>2213</v>
      </c>
      <c r="E34" s="124">
        <v>42936</v>
      </c>
      <c r="F34" s="125">
        <v>0.76388888888888884</v>
      </c>
      <c r="G34" s="124">
        <v>43007</v>
      </c>
      <c r="H34" s="125">
        <v>0.47222222222222227</v>
      </c>
      <c r="I34" s="123">
        <v>885</v>
      </c>
      <c r="J34" s="123">
        <v>193</v>
      </c>
      <c r="K34" s="123">
        <v>743</v>
      </c>
      <c r="L34" s="123">
        <v>293</v>
      </c>
      <c r="M34" s="123">
        <v>660</v>
      </c>
      <c r="N34" s="123">
        <v>24.9</v>
      </c>
      <c r="O34" s="123">
        <v>14.9</v>
      </c>
      <c r="P34" s="123" t="s">
        <v>2501</v>
      </c>
      <c r="Q34" s="123">
        <v>26</v>
      </c>
      <c r="R34" s="123">
        <v>8.8000000000000007</v>
      </c>
      <c r="S34" s="123"/>
      <c r="T34" s="123"/>
      <c r="U34" s="123"/>
      <c r="V34" s="123"/>
      <c r="W34" s="123"/>
    </row>
    <row r="35" spans="1:23">
      <c r="A35" s="414">
        <v>33</v>
      </c>
      <c r="B35" s="184" t="s">
        <v>2171</v>
      </c>
      <c r="C35" s="184" t="s">
        <v>2221</v>
      </c>
      <c r="D35" s="122" t="s">
        <v>2222</v>
      </c>
      <c r="E35" s="124">
        <v>42938</v>
      </c>
      <c r="F35" s="125">
        <v>0.37152777777777773</v>
      </c>
      <c r="G35" s="124">
        <v>43005</v>
      </c>
      <c r="H35" s="125">
        <v>0.39583333333333331</v>
      </c>
      <c r="I35" s="163">
        <v>813</v>
      </c>
      <c r="J35" s="123">
        <v>218</v>
      </c>
      <c r="K35" s="123">
        <v>769</v>
      </c>
      <c r="L35" s="123">
        <v>139</v>
      </c>
      <c r="M35" s="123">
        <v>712</v>
      </c>
      <c r="N35" s="123">
        <v>24.6</v>
      </c>
      <c r="O35" s="123">
        <v>1.9</v>
      </c>
      <c r="P35" s="123"/>
      <c r="Q35" s="123">
        <v>27.7</v>
      </c>
      <c r="R35" s="123">
        <v>1.4</v>
      </c>
      <c r="S35" s="123"/>
      <c r="T35" s="123"/>
      <c r="U35" s="123"/>
      <c r="V35" s="123"/>
      <c r="W35" s="123"/>
    </row>
    <row r="36" spans="1:23">
      <c r="A36" s="414">
        <v>34</v>
      </c>
      <c r="B36" s="184" t="s">
        <v>2171</v>
      </c>
      <c r="C36" s="184" t="s">
        <v>2224</v>
      </c>
      <c r="D36" s="122" t="s">
        <v>2222</v>
      </c>
      <c r="E36" s="124">
        <v>42938</v>
      </c>
      <c r="F36" s="125">
        <v>0.37152777777777773</v>
      </c>
      <c r="G36" s="124">
        <v>43005</v>
      </c>
      <c r="H36" s="125">
        <v>0.38750000000000001</v>
      </c>
      <c r="I36" s="123">
        <v>822</v>
      </c>
      <c r="J36" s="123">
        <v>104</v>
      </c>
      <c r="K36" s="123">
        <v>753</v>
      </c>
      <c r="L36" s="123">
        <v>487</v>
      </c>
      <c r="M36" s="123">
        <v>324</v>
      </c>
      <c r="N36" s="123">
        <v>25.7</v>
      </c>
      <c r="O36" s="123">
        <v>4</v>
      </c>
      <c r="P36" s="123"/>
      <c r="Q36" s="123">
        <v>28.1</v>
      </c>
      <c r="R36" s="123">
        <v>2.5</v>
      </c>
      <c r="S36" s="123" t="s">
        <v>2174</v>
      </c>
      <c r="T36" s="123"/>
      <c r="U36" s="123"/>
      <c r="V36" s="123"/>
      <c r="W36" s="123" t="s">
        <v>3514</v>
      </c>
    </row>
    <row r="37" spans="1:23">
      <c r="A37" s="414">
        <v>35</v>
      </c>
      <c r="B37" s="184" t="s">
        <v>2171</v>
      </c>
      <c r="C37" s="184" t="s">
        <v>2227</v>
      </c>
      <c r="D37" s="122" t="s">
        <v>2222</v>
      </c>
      <c r="E37" s="124">
        <v>42938</v>
      </c>
      <c r="F37" s="125">
        <v>0.37152777777777773</v>
      </c>
      <c r="G37" s="124">
        <v>43005</v>
      </c>
      <c r="H37" s="125">
        <v>0.40347222222222223</v>
      </c>
      <c r="I37" s="123">
        <v>823</v>
      </c>
      <c r="J37" s="123">
        <v>188</v>
      </c>
      <c r="K37" s="123">
        <v>776</v>
      </c>
      <c r="L37" s="123">
        <v>717</v>
      </c>
      <c r="M37" s="123">
        <v>108</v>
      </c>
      <c r="N37" s="123">
        <v>25.2</v>
      </c>
      <c r="O37" s="123">
        <v>3.6</v>
      </c>
      <c r="P37" s="123"/>
      <c r="Q37" s="123">
        <v>28.7</v>
      </c>
      <c r="R37" s="123">
        <v>3.1</v>
      </c>
      <c r="S37" s="123"/>
      <c r="T37" s="123"/>
      <c r="U37" s="123"/>
      <c r="V37" s="123"/>
      <c r="W37" s="123"/>
    </row>
    <row r="38" spans="1:23">
      <c r="A38" s="414">
        <v>36</v>
      </c>
      <c r="B38" s="184" t="s">
        <v>2171</v>
      </c>
      <c r="C38" s="184" t="s">
        <v>2228</v>
      </c>
      <c r="D38" s="122" t="s">
        <v>2222</v>
      </c>
      <c r="E38" s="124">
        <v>42938</v>
      </c>
      <c r="F38" s="125">
        <v>0.36805555555555558</v>
      </c>
      <c r="G38" s="124">
        <v>43005</v>
      </c>
      <c r="H38" s="125">
        <v>0.40486111111111112</v>
      </c>
      <c r="I38" s="123">
        <v>824</v>
      </c>
      <c r="J38" s="123">
        <v>379</v>
      </c>
      <c r="K38" s="123">
        <v>799</v>
      </c>
      <c r="L38" s="123">
        <v>767</v>
      </c>
      <c r="M38" s="123">
        <v>152</v>
      </c>
      <c r="N38" s="123">
        <v>23.4</v>
      </c>
      <c r="O38" s="123">
        <v>3.7</v>
      </c>
      <c r="P38" s="123"/>
      <c r="Q38" s="123">
        <v>28.3</v>
      </c>
      <c r="R38" s="123">
        <v>2.2999999999999998</v>
      </c>
      <c r="S38" s="123"/>
      <c r="T38" s="123" t="s">
        <v>2233</v>
      </c>
      <c r="U38" s="123" t="s">
        <v>2182</v>
      </c>
      <c r="V38" s="123"/>
      <c r="W38" s="123" t="s">
        <v>3515</v>
      </c>
    </row>
    <row r="39" spans="1:23">
      <c r="A39" s="414">
        <v>37</v>
      </c>
      <c r="B39" s="184" t="s">
        <v>2171</v>
      </c>
      <c r="C39" s="184" t="s">
        <v>2230</v>
      </c>
      <c r="D39" s="122" t="s">
        <v>2222</v>
      </c>
      <c r="E39" s="124">
        <v>42938</v>
      </c>
      <c r="F39" s="125">
        <v>0.36805555555555558</v>
      </c>
      <c r="G39" s="124">
        <v>43005</v>
      </c>
      <c r="H39" s="125">
        <v>0.40902777777777777</v>
      </c>
      <c r="I39" s="123">
        <v>825</v>
      </c>
      <c r="J39" s="123">
        <v>66</v>
      </c>
      <c r="K39" s="123">
        <v>722</v>
      </c>
      <c r="L39" s="123">
        <v>473</v>
      </c>
      <c r="M39" s="123">
        <v>681</v>
      </c>
      <c r="N39" s="123">
        <v>23.8</v>
      </c>
      <c r="O39" s="123">
        <v>4.4000000000000004</v>
      </c>
      <c r="P39" s="123" t="s">
        <v>2502</v>
      </c>
      <c r="Q39" s="123">
        <v>28.4</v>
      </c>
      <c r="R39" s="123">
        <v>4.0999999999999996</v>
      </c>
      <c r="S39" s="123" t="s">
        <v>2233</v>
      </c>
      <c r="T39" s="123" t="s">
        <v>2233</v>
      </c>
      <c r="U39" s="123"/>
      <c r="V39" s="123"/>
      <c r="W39" s="123" t="s">
        <v>3516</v>
      </c>
    </row>
    <row r="40" spans="1:23">
      <c r="A40" s="414">
        <v>38</v>
      </c>
      <c r="B40" s="184" t="s">
        <v>2171</v>
      </c>
      <c r="C40" s="184" t="s">
        <v>2232</v>
      </c>
      <c r="D40" s="122" t="s">
        <v>2222</v>
      </c>
      <c r="E40" s="124">
        <v>42938</v>
      </c>
      <c r="F40" s="125">
        <v>0.375</v>
      </c>
      <c r="G40" s="124">
        <v>43005</v>
      </c>
      <c r="H40" s="125">
        <v>0.39861111111111108</v>
      </c>
      <c r="I40" s="123">
        <v>826</v>
      </c>
      <c r="J40" s="123">
        <v>625</v>
      </c>
      <c r="K40" s="123">
        <v>796</v>
      </c>
      <c r="L40" s="123">
        <v>111</v>
      </c>
      <c r="M40" s="129">
        <v>260</v>
      </c>
      <c r="N40" s="123">
        <v>24.7</v>
      </c>
      <c r="O40" s="123">
        <v>2.6</v>
      </c>
      <c r="P40" s="123"/>
      <c r="Q40" s="123">
        <v>28.7</v>
      </c>
      <c r="R40" s="123">
        <v>3.1</v>
      </c>
      <c r="S40" s="123" t="s">
        <v>2190</v>
      </c>
      <c r="T40" s="123"/>
      <c r="U40" s="123"/>
      <c r="V40" s="123"/>
      <c r="W40" s="123"/>
    </row>
    <row r="41" spans="1:23">
      <c r="A41" s="414">
        <v>39</v>
      </c>
      <c r="B41" s="184" t="s">
        <v>2171</v>
      </c>
      <c r="C41" s="184" t="s">
        <v>2234</v>
      </c>
      <c r="D41" s="122" t="s">
        <v>2222</v>
      </c>
      <c r="E41" s="124">
        <v>42938</v>
      </c>
      <c r="F41" s="125"/>
      <c r="G41" s="123"/>
      <c r="H41" s="123"/>
      <c r="I41" s="123">
        <v>827</v>
      </c>
      <c r="J41" s="125"/>
      <c r="K41" s="125"/>
      <c r="L41" s="125"/>
      <c r="M41" s="125"/>
      <c r="N41" s="125"/>
      <c r="O41" s="125"/>
      <c r="P41" s="125"/>
      <c r="Q41" s="123"/>
      <c r="R41" s="123"/>
      <c r="S41" s="123"/>
      <c r="T41" s="123"/>
      <c r="U41" s="123"/>
      <c r="V41" s="123"/>
      <c r="W41" s="123" t="s">
        <v>3517</v>
      </c>
    </row>
    <row r="42" spans="1:23">
      <c r="A42" s="414">
        <v>40</v>
      </c>
      <c r="B42" s="184" t="s">
        <v>2171</v>
      </c>
      <c r="C42" s="184" t="s">
        <v>2236</v>
      </c>
      <c r="D42" s="122" t="s">
        <v>2222</v>
      </c>
      <c r="E42" s="124">
        <v>42938</v>
      </c>
      <c r="F42" s="125">
        <v>0.36805555555555558</v>
      </c>
      <c r="G42" s="124">
        <v>43005</v>
      </c>
      <c r="H42" s="125">
        <v>0.40069444444444446</v>
      </c>
      <c r="I42" s="123">
        <v>828</v>
      </c>
      <c r="J42" s="123">
        <v>88</v>
      </c>
      <c r="K42" s="123">
        <v>782</v>
      </c>
      <c r="L42" s="123">
        <v>646</v>
      </c>
      <c r="M42" s="123">
        <v>402</v>
      </c>
      <c r="N42" s="123">
        <v>24.2</v>
      </c>
      <c r="O42" s="123">
        <v>5.4</v>
      </c>
      <c r="P42" s="123"/>
      <c r="Q42" s="123">
        <v>28.2</v>
      </c>
      <c r="R42" s="123">
        <v>3.8</v>
      </c>
      <c r="S42" s="123" t="s">
        <v>2233</v>
      </c>
      <c r="T42" s="123"/>
      <c r="U42" s="123"/>
      <c r="V42" s="123"/>
      <c r="W42" s="123"/>
    </row>
    <row r="43" spans="1:23">
      <c r="A43" s="414">
        <v>41</v>
      </c>
      <c r="B43" s="184" t="s">
        <v>2171</v>
      </c>
      <c r="C43" s="184" t="s">
        <v>2238</v>
      </c>
      <c r="D43" s="122" t="s">
        <v>2239</v>
      </c>
      <c r="E43" s="124">
        <v>42938</v>
      </c>
      <c r="F43" s="125">
        <v>0.43055555555555558</v>
      </c>
      <c r="G43" s="124">
        <v>43005</v>
      </c>
      <c r="H43" s="125">
        <v>0.46388888888888885</v>
      </c>
      <c r="I43" s="123">
        <v>830</v>
      </c>
      <c r="J43" s="123">
        <v>256</v>
      </c>
      <c r="K43" s="123">
        <v>820</v>
      </c>
      <c r="L43" s="123">
        <v>43</v>
      </c>
      <c r="M43" s="123">
        <v>648</v>
      </c>
      <c r="N43" s="123">
        <v>26.5</v>
      </c>
      <c r="O43" s="123">
        <v>5.0999999999999996</v>
      </c>
      <c r="P43" s="123"/>
      <c r="Q43" s="123">
        <v>29.2</v>
      </c>
      <c r="R43" s="123">
        <v>4.2</v>
      </c>
      <c r="S43" s="123" t="s">
        <v>2174</v>
      </c>
      <c r="T43" s="123" t="s">
        <v>2174</v>
      </c>
      <c r="U43" s="123"/>
      <c r="V43" s="123"/>
      <c r="W43" s="123"/>
    </row>
    <row r="44" spans="1:23">
      <c r="A44" s="414">
        <v>42</v>
      </c>
      <c r="B44" s="184" t="s">
        <v>2171</v>
      </c>
      <c r="C44" s="184" t="s">
        <v>2240</v>
      </c>
      <c r="D44" s="122" t="s">
        <v>2239</v>
      </c>
      <c r="E44" s="124">
        <v>42938</v>
      </c>
      <c r="F44" s="125">
        <v>0.42708333333333331</v>
      </c>
      <c r="G44" s="124">
        <v>43005</v>
      </c>
      <c r="H44" s="125">
        <v>0.46597222222222223</v>
      </c>
      <c r="I44" s="123">
        <v>831</v>
      </c>
      <c r="J44" s="123">
        <v>341</v>
      </c>
      <c r="K44" s="123">
        <v>806</v>
      </c>
      <c r="L44" s="123">
        <v>268</v>
      </c>
      <c r="M44" s="123">
        <v>257</v>
      </c>
      <c r="N44" s="123">
        <v>25.9</v>
      </c>
      <c r="O44" s="123">
        <v>5.3</v>
      </c>
      <c r="P44" s="123"/>
      <c r="Q44" s="123">
        <v>28.4</v>
      </c>
      <c r="R44" s="123">
        <v>5.0999999999999996</v>
      </c>
      <c r="S44" s="123" t="s">
        <v>2190</v>
      </c>
      <c r="T44" s="123" t="s">
        <v>2190</v>
      </c>
      <c r="U44" s="123" t="s">
        <v>2182</v>
      </c>
      <c r="V44" s="123"/>
      <c r="W44" s="123"/>
    </row>
    <row r="45" spans="1:23">
      <c r="A45" s="414">
        <v>43</v>
      </c>
      <c r="B45" s="184" t="s">
        <v>2171</v>
      </c>
      <c r="C45" s="184" t="s">
        <v>2242</v>
      </c>
      <c r="D45" s="122" t="s">
        <v>2239</v>
      </c>
      <c r="E45" s="124">
        <v>42938</v>
      </c>
      <c r="F45" s="125">
        <v>0.43055555555555558</v>
      </c>
      <c r="G45" s="124">
        <v>43005</v>
      </c>
      <c r="H45" s="125">
        <v>0.45416666666666666</v>
      </c>
      <c r="I45" s="123">
        <v>832</v>
      </c>
      <c r="J45" s="123">
        <v>246</v>
      </c>
      <c r="K45" s="123">
        <v>758</v>
      </c>
      <c r="L45" s="123">
        <v>300</v>
      </c>
      <c r="M45" s="123">
        <v>691</v>
      </c>
      <c r="N45" s="123">
        <v>23.7</v>
      </c>
      <c r="O45" s="123">
        <v>1.4</v>
      </c>
      <c r="P45" s="123"/>
      <c r="Q45" s="123">
        <v>28.5</v>
      </c>
      <c r="R45" s="123">
        <v>3.5</v>
      </c>
      <c r="S45" s="123" t="s">
        <v>2190</v>
      </c>
      <c r="T45" s="123" t="s">
        <v>2190</v>
      </c>
      <c r="U45" s="123"/>
      <c r="V45" s="123"/>
      <c r="W45" s="123"/>
    </row>
    <row r="46" spans="1:23">
      <c r="A46" s="414">
        <v>44</v>
      </c>
      <c r="B46" s="184" t="s">
        <v>2171</v>
      </c>
      <c r="C46" s="184" t="s">
        <v>2243</v>
      </c>
      <c r="D46" s="122" t="s">
        <v>2239</v>
      </c>
      <c r="E46" s="124">
        <v>42938</v>
      </c>
      <c r="F46" s="125">
        <v>0.4375</v>
      </c>
      <c r="G46" s="124">
        <v>43005</v>
      </c>
      <c r="H46" s="125">
        <v>0.45902777777777781</v>
      </c>
      <c r="I46" s="123">
        <v>1142</v>
      </c>
      <c r="J46" s="123">
        <v>115</v>
      </c>
      <c r="K46" s="123">
        <v>783</v>
      </c>
      <c r="L46" s="123">
        <v>823</v>
      </c>
      <c r="M46" s="123">
        <v>716</v>
      </c>
      <c r="N46" s="123">
        <v>25.3</v>
      </c>
      <c r="O46" s="123">
        <v>2.9</v>
      </c>
      <c r="P46" s="123"/>
      <c r="Q46" s="123">
        <v>27.7</v>
      </c>
      <c r="R46" s="123">
        <v>4.8</v>
      </c>
      <c r="S46" s="123"/>
      <c r="T46" s="123"/>
      <c r="U46" s="123"/>
      <c r="V46" s="123"/>
      <c r="W46" s="123"/>
    </row>
    <row r="47" spans="1:23">
      <c r="A47" s="414">
        <v>45</v>
      </c>
      <c r="B47" s="184" t="s">
        <v>2171</v>
      </c>
      <c r="C47" s="184" t="s">
        <v>2244</v>
      </c>
      <c r="D47" s="122" t="s">
        <v>2239</v>
      </c>
      <c r="E47" s="124">
        <v>42938</v>
      </c>
      <c r="F47" s="125">
        <v>0.4375</v>
      </c>
      <c r="G47" s="124">
        <v>43005</v>
      </c>
      <c r="H47" s="125">
        <v>0.44791666666666669</v>
      </c>
      <c r="I47" s="123">
        <v>1147</v>
      </c>
      <c r="J47" s="123">
        <v>480</v>
      </c>
      <c r="K47" s="123">
        <v>827</v>
      </c>
      <c r="L47" s="123">
        <v>354</v>
      </c>
      <c r="M47" s="123">
        <v>631</v>
      </c>
      <c r="N47" s="123">
        <v>26.8</v>
      </c>
      <c r="O47" s="123">
        <v>5.8</v>
      </c>
      <c r="P47" s="123"/>
      <c r="Q47" s="123">
        <v>27.7</v>
      </c>
      <c r="R47" s="123">
        <v>2.4</v>
      </c>
      <c r="S47" s="123" t="s">
        <v>2233</v>
      </c>
      <c r="T47" s="123" t="s">
        <v>2233</v>
      </c>
      <c r="U47" s="123"/>
      <c r="V47" s="123"/>
      <c r="W47" s="123" t="s">
        <v>3518</v>
      </c>
    </row>
    <row r="48" spans="1:23">
      <c r="A48" s="414">
        <v>46</v>
      </c>
      <c r="B48" s="184" t="s">
        <v>2171</v>
      </c>
      <c r="C48" s="184" t="s">
        <v>2246</v>
      </c>
      <c r="D48" s="122" t="s">
        <v>2239</v>
      </c>
      <c r="E48" s="123"/>
      <c r="F48" s="123"/>
      <c r="G48" s="124"/>
      <c r="H48" s="125"/>
      <c r="I48" s="123">
        <v>835</v>
      </c>
      <c r="J48" s="123"/>
      <c r="K48" s="123"/>
      <c r="L48" s="123"/>
      <c r="M48" s="123"/>
      <c r="N48" s="123"/>
      <c r="O48" s="123"/>
      <c r="P48" s="123"/>
      <c r="Q48" s="123"/>
      <c r="R48" s="123"/>
      <c r="S48" s="123"/>
      <c r="T48" s="123"/>
      <c r="U48" s="123"/>
      <c r="V48" s="123"/>
      <c r="W48" s="123"/>
    </row>
    <row r="49" spans="1:23">
      <c r="A49" s="414">
        <v>47</v>
      </c>
      <c r="B49" s="184" t="s">
        <v>2171</v>
      </c>
      <c r="C49" s="184" t="s">
        <v>2247</v>
      </c>
      <c r="D49" s="122" t="s">
        <v>2239</v>
      </c>
      <c r="E49" s="124">
        <v>42938</v>
      </c>
      <c r="F49" s="125">
        <v>0.44097222222222227</v>
      </c>
      <c r="G49" s="124">
        <v>43005</v>
      </c>
      <c r="H49" s="125">
        <v>0.46180555555555558</v>
      </c>
      <c r="I49" s="123">
        <v>836</v>
      </c>
      <c r="J49" s="123">
        <v>110</v>
      </c>
      <c r="K49" s="123">
        <v>831</v>
      </c>
      <c r="L49" s="123">
        <v>659</v>
      </c>
      <c r="M49" s="123">
        <v>606</v>
      </c>
      <c r="N49" s="123">
        <v>25.1</v>
      </c>
      <c r="O49" s="123">
        <v>6.4</v>
      </c>
      <c r="P49" s="123"/>
      <c r="Q49" s="123">
        <v>27.7</v>
      </c>
      <c r="R49" s="123">
        <v>4.3</v>
      </c>
      <c r="S49" s="123"/>
      <c r="T49" s="123" t="s">
        <v>2174</v>
      </c>
      <c r="U49" s="123"/>
      <c r="V49" s="123"/>
      <c r="W49" s="123"/>
    </row>
    <row r="50" spans="1:23">
      <c r="A50" s="414">
        <v>48</v>
      </c>
      <c r="B50" s="184" t="s">
        <v>2171</v>
      </c>
      <c r="C50" s="184" t="s">
        <v>2249</v>
      </c>
      <c r="D50" s="122" t="s">
        <v>2239</v>
      </c>
      <c r="E50" s="124">
        <v>42938</v>
      </c>
      <c r="F50" s="125">
        <v>0.4375</v>
      </c>
      <c r="G50" s="124">
        <v>43005</v>
      </c>
      <c r="H50" s="125">
        <v>0.45208333333333334</v>
      </c>
      <c r="I50" s="123">
        <v>837</v>
      </c>
      <c r="J50" s="123">
        <v>233</v>
      </c>
      <c r="K50" s="123">
        <v>828</v>
      </c>
      <c r="L50" s="123">
        <v>267</v>
      </c>
      <c r="M50" s="123">
        <v>221</v>
      </c>
      <c r="N50" s="123">
        <v>24.6</v>
      </c>
      <c r="O50" s="123">
        <v>3.6</v>
      </c>
      <c r="P50" s="123"/>
      <c r="Q50" s="123">
        <v>27.3</v>
      </c>
      <c r="R50" s="123">
        <v>4.3</v>
      </c>
      <c r="S50" s="123"/>
      <c r="T50" s="123"/>
      <c r="U50" s="123"/>
      <c r="V50" s="123"/>
      <c r="W50" s="123"/>
    </row>
    <row r="51" spans="1:23">
      <c r="A51" s="414">
        <v>49</v>
      </c>
      <c r="B51" s="184" t="s">
        <v>2171</v>
      </c>
      <c r="C51" s="184" t="s">
        <v>2250</v>
      </c>
      <c r="D51" s="122" t="s">
        <v>2251</v>
      </c>
      <c r="E51" s="124">
        <v>42938</v>
      </c>
      <c r="F51" s="125">
        <v>0.51041666666666663</v>
      </c>
      <c r="G51" s="124">
        <v>43005</v>
      </c>
      <c r="H51" s="125">
        <v>0.6958333333333333</v>
      </c>
      <c r="I51" s="123">
        <v>838</v>
      </c>
      <c r="J51" s="123">
        <v>54</v>
      </c>
      <c r="K51" s="123">
        <v>805</v>
      </c>
      <c r="L51" s="123">
        <v>812</v>
      </c>
      <c r="M51" s="123">
        <v>308</v>
      </c>
      <c r="N51" s="123">
        <v>28.6</v>
      </c>
      <c r="O51" s="123">
        <v>6.3</v>
      </c>
      <c r="P51" s="123"/>
      <c r="Q51" s="123">
        <v>34.4</v>
      </c>
      <c r="R51" s="123">
        <v>7.8</v>
      </c>
      <c r="S51" s="123"/>
      <c r="T51" s="123"/>
      <c r="U51" s="123"/>
      <c r="V51" s="123"/>
      <c r="W51" s="123" t="s">
        <v>3507</v>
      </c>
    </row>
    <row r="52" spans="1:23">
      <c r="A52" s="414">
        <v>50</v>
      </c>
      <c r="B52" s="184" t="s">
        <v>2171</v>
      </c>
      <c r="C52" s="184" t="s">
        <v>2252</v>
      </c>
      <c r="D52" s="122" t="s">
        <v>2251</v>
      </c>
      <c r="E52" s="124">
        <v>42938</v>
      </c>
      <c r="F52" s="125">
        <v>0.51041666666666663</v>
      </c>
      <c r="G52" s="124"/>
      <c r="H52" s="125"/>
      <c r="I52" s="123">
        <v>839</v>
      </c>
      <c r="J52" s="123">
        <v>276</v>
      </c>
      <c r="K52" s="123">
        <v>754</v>
      </c>
      <c r="L52" s="123">
        <v>212</v>
      </c>
      <c r="M52" s="123">
        <v>644</v>
      </c>
      <c r="N52" s="123">
        <v>27.6</v>
      </c>
      <c r="O52" s="123">
        <v>6.4</v>
      </c>
      <c r="P52" s="123" t="s">
        <v>2503</v>
      </c>
      <c r="Q52" s="123"/>
      <c r="R52" s="123"/>
      <c r="S52" s="123"/>
      <c r="T52" s="123"/>
      <c r="U52" s="123"/>
      <c r="V52" s="123"/>
      <c r="W52" s="123" t="s">
        <v>3519</v>
      </c>
    </row>
    <row r="53" spans="1:23">
      <c r="A53" s="414">
        <v>51</v>
      </c>
      <c r="B53" s="184" t="s">
        <v>2171</v>
      </c>
      <c r="C53" s="184" t="s">
        <v>2253</v>
      </c>
      <c r="D53" s="122" t="s">
        <v>2251</v>
      </c>
      <c r="E53" s="124">
        <v>42938</v>
      </c>
      <c r="F53" s="125">
        <v>0.50694444444444442</v>
      </c>
      <c r="G53" s="124">
        <v>43005</v>
      </c>
      <c r="H53" s="125">
        <v>0.70833333333333337</v>
      </c>
      <c r="I53" s="123">
        <v>840</v>
      </c>
      <c r="J53" s="123">
        <v>227</v>
      </c>
      <c r="K53" s="123">
        <v>798</v>
      </c>
      <c r="L53" s="123">
        <v>598</v>
      </c>
      <c r="M53" s="123">
        <v>242</v>
      </c>
      <c r="N53" s="123">
        <v>34</v>
      </c>
      <c r="O53" s="123">
        <v>3.2</v>
      </c>
      <c r="P53" s="123"/>
      <c r="Q53" s="123">
        <v>34.9</v>
      </c>
      <c r="R53" s="123">
        <v>1.7</v>
      </c>
      <c r="S53" s="123"/>
      <c r="T53" s="123"/>
      <c r="U53" s="123"/>
      <c r="V53" s="123"/>
      <c r="W53" s="123"/>
    </row>
    <row r="54" spans="1:23">
      <c r="A54" s="414">
        <v>52</v>
      </c>
      <c r="B54" s="184" t="s">
        <v>2171</v>
      </c>
      <c r="C54" s="184" t="s">
        <v>2254</v>
      </c>
      <c r="D54" s="122" t="s">
        <v>2251</v>
      </c>
      <c r="E54" s="124">
        <v>42938</v>
      </c>
      <c r="F54" s="125">
        <v>0.51388888888888895</v>
      </c>
      <c r="G54" s="124">
        <v>43005</v>
      </c>
      <c r="H54" s="125">
        <v>0.70416666666666661</v>
      </c>
      <c r="I54" s="121">
        <v>1253</v>
      </c>
      <c r="J54" s="123">
        <v>237</v>
      </c>
      <c r="K54" s="123">
        <v>833</v>
      </c>
      <c r="L54" s="123">
        <v>848</v>
      </c>
      <c r="M54" s="123">
        <v>618</v>
      </c>
      <c r="N54" s="123">
        <v>28.2</v>
      </c>
      <c r="O54" s="123">
        <v>8.6</v>
      </c>
      <c r="P54" s="123"/>
      <c r="Q54" s="123">
        <v>33.299999999999997</v>
      </c>
      <c r="R54" s="123">
        <v>2.9</v>
      </c>
      <c r="S54" s="123"/>
      <c r="T54" s="123"/>
      <c r="U54" s="123"/>
      <c r="V54" s="123"/>
      <c r="W54" s="123"/>
    </row>
    <row r="55" spans="1:23">
      <c r="A55" s="414">
        <v>53</v>
      </c>
      <c r="B55" s="184" t="s">
        <v>2171</v>
      </c>
      <c r="C55" s="184" t="s">
        <v>2255</v>
      </c>
      <c r="D55" s="122" t="s">
        <v>2251</v>
      </c>
      <c r="E55" s="124">
        <v>42938</v>
      </c>
      <c r="F55" s="125">
        <v>0.51736111111111105</v>
      </c>
      <c r="G55" s="124">
        <v>43005</v>
      </c>
      <c r="H55" s="125">
        <v>0.70208333333333339</v>
      </c>
      <c r="I55" s="132">
        <v>1252</v>
      </c>
      <c r="J55" s="123">
        <v>172</v>
      </c>
      <c r="K55" s="123">
        <v>734</v>
      </c>
      <c r="L55" s="123">
        <v>759</v>
      </c>
      <c r="M55" s="123">
        <v>140</v>
      </c>
      <c r="N55" s="123">
        <v>27.3</v>
      </c>
      <c r="O55" s="123">
        <v>8.9</v>
      </c>
      <c r="P55" s="123"/>
      <c r="Q55" s="123">
        <v>33.5</v>
      </c>
      <c r="R55" s="123">
        <v>4.0999999999999996</v>
      </c>
      <c r="S55" s="123"/>
      <c r="T55" s="123"/>
      <c r="U55" s="123"/>
      <c r="V55" s="123"/>
      <c r="W55" s="123"/>
    </row>
    <row r="56" spans="1:23">
      <c r="A56" s="414">
        <v>54</v>
      </c>
      <c r="B56" s="184" t="s">
        <v>2171</v>
      </c>
      <c r="C56" s="184" t="s">
        <v>2256</v>
      </c>
      <c r="D56" s="122" t="s">
        <v>2251</v>
      </c>
      <c r="E56" s="123"/>
      <c r="F56" s="123"/>
      <c r="G56" s="123"/>
      <c r="H56" s="123"/>
      <c r="I56" s="185">
        <v>843</v>
      </c>
      <c r="J56" s="123"/>
      <c r="K56" s="123"/>
      <c r="L56" s="123"/>
      <c r="M56" s="123"/>
      <c r="N56" s="123"/>
      <c r="O56" s="123"/>
      <c r="P56" s="123"/>
      <c r="Q56" s="123"/>
      <c r="R56" s="123"/>
      <c r="S56" s="123"/>
      <c r="T56" s="123"/>
      <c r="U56" s="123"/>
      <c r="V56" s="123"/>
      <c r="W56" s="123"/>
    </row>
    <row r="57" spans="1:23">
      <c r="A57" s="414">
        <v>55</v>
      </c>
      <c r="B57" s="184" t="s">
        <v>2171</v>
      </c>
      <c r="C57" s="184" t="s">
        <v>2257</v>
      </c>
      <c r="D57" s="122" t="s">
        <v>2251</v>
      </c>
      <c r="E57" s="124">
        <v>42938</v>
      </c>
      <c r="F57" s="125">
        <v>0.51041666666666663</v>
      </c>
      <c r="G57" s="124">
        <v>43005</v>
      </c>
      <c r="H57" s="125">
        <v>0.69930555555555562</v>
      </c>
      <c r="I57" s="123">
        <v>844</v>
      </c>
      <c r="J57" s="123">
        <v>86</v>
      </c>
      <c r="K57" s="129">
        <v>839</v>
      </c>
      <c r="L57" s="123">
        <v>260</v>
      </c>
      <c r="M57" s="123">
        <v>192</v>
      </c>
      <c r="N57" s="123">
        <v>28.3</v>
      </c>
      <c r="O57" s="123">
        <v>4.5999999999999996</v>
      </c>
      <c r="P57" s="123" t="s">
        <v>2504</v>
      </c>
      <c r="Q57" s="123">
        <v>35.5</v>
      </c>
      <c r="R57" s="123">
        <v>5</v>
      </c>
      <c r="S57" s="123" t="s">
        <v>2233</v>
      </c>
      <c r="T57" s="123" t="s">
        <v>2233</v>
      </c>
      <c r="U57" s="123"/>
      <c r="V57" s="123"/>
      <c r="W57" s="123"/>
    </row>
    <row r="58" spans="1:23">
      <c r="A58" s="414">
        <v>56</v>
      </c>
      <c r="B58" s="184" t="s">
        <v>2171</v>
      </c>
      <c r="C58" s="184" t="s">
        <v>2258</v>
      </c>
      <c r="D58" s="122" t="s">
        <v>2251</v>
      </c>
      <c r="E58" s="124">
        <v>42938</v>
      </c>
      <c r="F58" s="125">
        <v>0.50694444444444442</v>
      </c>
      <c r="G58" s="124">
        <v>43005</v>
      </c>
      <c r="H58" s="125">
        <v>0.70624999999999993</v>
      </c>
      <c r="I58" s="123">
        <v>845</v>
      </c>
      <c r="J58" s="123">
        <v>107</v>
      </c>
      <c r="K58" s="123">
        <v>760</v>
      </c>
      <c r="L58" s="123">
        <v>493</v>
      </c>
      <c r="M58" s="123">
        <v>227</v>
      </c>
      <c r="N58" s="123">
        <v>27.7</v>
      </c>
      <c r="O58" s="123">
        <v>9.1</v>
      </c>
      <c r="P58" s="123"/>
      <c r="Q58" s="123">
        <v>32.4</v>
      </c>
      <c r="R58" s="123">
        <v>7.5</v>
      </c>
      <c r="S58" s="123"/>
      <c r="T58" s="123"/>
      <c r="U58" s="123"/>
      <c r="V58" s="123"/>
      <c r="W58" s="123"/>
    </row>
    <row r="59" spans="1:23">
      <c r="A59" s="414">
        <v>57</v>
      </c>
      <c r="B59" s="184" t="s">
        <v>2171</v>
      </c>
      <c r="C59" s="186" t="s">
        <v>2259</v>
      </c>
      <c r="D59" s="122" t="s">
        <v>2260</v>
      </c>
      <c r="E59" s="124">
        <v>42938</v>
      </c>
      <c r="F59" s="125">
        <v>0.54513888888888895</v>
      </c>
      <c r="G59" s="124">
        <v>43005</v>
      </c>
      <c r="H59" s="125">
        <v>0.66041666666666665</v>
      </c>
      <c r="I59" s="123">
        <v>1150</v>
      </c>
      <c r="J59" s="123">
        <v>41</v>
      </c>
      <c r="K59" s="123">
        <v>830</v>
      </c>
      <c r="L59" s="123">
        <v>342</v>
      </c>
      <c r="M59" s="123">
        <v>416</v>
      </c>
      <c r="N59" s="123">
        <v>32.6</v>
      </c>
      <c r="O59" s="123">
        <v>6.2</v>
      </c>
      <c r="P59" s="123"/>
      <c r="Q59" s="123">
        <v>33.9</v>
      </c>
      <c r="R59" s="123">
        <v>1.7</v>
      </c>
      <c r="S59" s="123"/>
      <c r="T59" s="123"/>
      <c r="U59" s="123"/>
      <c r="V59" s="123"/>
      <c r="W59" s="123"/>
    </row>
    <row r="60" spans="1:23">
      <c r="A60" s="414">
        <v>58</v>
      </c>
      <c r="B60" s="184" t="s">
        <v>2171</v>
      </c>
      <c r="C60" s="186" t="s">
        <v>2262</v>
      </c>
      <c r="D60" s="122" t="s">
        <v>2260</v>
      </c>
      <c r="E60" s="124">
        <v>42938</v>
      </c>
      <c r="F60" s="125">
        <v>0.54861111111111105</v>
      </c>
      <c r="G60" s="124">
        <v>43005</v>
      </c>
      <c r="H60" s="125">
        <v>0.65763888888888888</v>
      </c>
      <c r="I60" s="123">
        <v>1148</v>
      </c>
      <c r="J60" s="123">
        <v>481</v>
      </c>
      <c r="K60" s="123">
        <v>725</v>
      </c>
      <c r="L60" s="123">
        <v>735</v>
      </c>
      <c r="M60" s="123">
        <v>689</v>
      </c>
      <c r="N60" s="123">
        <v>31.1</v>
      </c>
      <c r="O60" s="123">
        <v>9.6</v>
      </c>
      <c r="P60" s="123"/>
      <c r="Q60" s="123">
        <v>33.6</v>
      </c>
      <c r="R60" s="123">
        <v>1.8</v>
      </c>
      <c r="S60" s="123" t="s">
        <v>2174</v>
      </c>
      <c r="T60" s="123" t="s">
        <v>2174</v>
      </c>
      <c r="U60" s="123"/>
      <c r="V60" s="123"/>
      <c r="W60" s="123"/>
    </row>
    <row r="61" spans="1:23">
      <c r="A61" s="414">
        <v>59</v>
      </c>
      <c r="B61" s="184" t="s">
        <v>2171</v>
      </c>
      <c r="C61" s="186" t="s">
        <v>2263</v>
      </c>
      <c r="D61" s="122" t="s">
        <v>2260</v>
      </c>
      <c r="E61" s="124">
        <v>42938</v>
      </c>
      <c r="F61" s="125">
        <v>0.55208333333333337</v>
      </c>
      <c r="G61" s="124">
        <v>43005</v>
      </c>
      <c r="H61" s="125">
        <v>0.66666666666666663</v>
      </c>
      <c r="I61" s="123">
        <v>848</v>
      </c>
      <c r="J61" s="123">
        <v>261</v>
      </c>
      <c r="K61" s="123">
        <v>721</v>
      </c>
      <c r="L61" s="123">
        <v>558</v>
      </c>
      <c r="M61">
        <v>231</v>
      </c>
      <c r="N61" s="123">
        <v>31.6</v>
      </c>
      <c r="O61" s="123">
        <v>7.6</v>
      </c>
      <c r="P61" s="123"/>
      <c r="Q61" s="123">
        <v>32</v>
      </c>
      <c r="R61" s="123">
        <v>7.8</v>
      </c>
      <c r="S61" s="123"/>
      <c r="T61" s="123"/>
      <c r="U61" s="123"/>
      <c r="V61" s="123"/>
      <c r="W61" s="123"/>
    </row>
    <row r="62" spans="1:23">
      <c r="A62" s="414">
        <v>60</v>
      </c>
      <c r="B62" s="184" t="s">
        <v>2171</v>
      </c>
      <c r="C62" s="186" t="s">
        <v>2264</v>
      </c>
      <c r="D62" s="122" t="s">
        <v>2260</v>
      </c>
      <c r="E62" s="124">
        <v>42938</v>
      </c>
      <c r="F62" s="125">
        <v>0.55555555555555558</v>
      </c>
      <c r="G62" s="124">
        <v>43005</v>
      </c>
      <c r="H62" s="125">
        <v>0.66527777777777775</v>
      </c>
      <c r="I62" s="123">
        <v>849</v>
      </c>
      <c r="J62" s="123">
        <v>152</v>
      </c>
      <c r="K62" s="123">
        <v>763</v>
      </c>
      <c r="L62" s="123">
        <v>751</v>
      </c>
      <c r="M62" s="123">
        <v>297</v>
      </c>
      <c r="N62" s="123">
        <v>33.1</v>
      </c>
      <c r="O62" s="123">
        <v>7.4</v>
      </c>
      <c r="P62" s="123"/>
      <c r="Q62" s="123">
        <v>32.200000000000003</v>
      </c>
      <c r="R62" s="123">
        <v>3.9</v>
      </c>
      <c r="S62" s="123"/>
      <c r="T62" s="123"/>
      <c r="U62" s="123"/>
      <c r="V62" s="123"/>
      <c r="W62" s="123" t="s">
        <v>3513</v>
      </c>
    </row>
    <row r="63" spans="1:23">
      <c r="A63" s="414">
        <v>61</v>
      </c>
      <c r="B63" s="184" t="s">
        <v>2171</v>
      </c>
      <c r="C63" s="186" t="s">
        <v>2266</v>
      </c>
      <c r="D63" s="122" t="s">
        <v>2260</v>
      </c>
      <c r="E63" s="124">
        <v>42938</v>
      </c>
      <c r="F63" s="125">
        <v>0.55902777777777779</v>
      </c>
      <c r="G63" s="124">
        <v>43005</v>
      </c>
      <c r="H63" s="125">
        <v>0.65347222222222223</v>
      </c>
      <c r="I63" s="123">
        <v>1149</v>
      </c>
      <c r="J63" s="123">
        <v>191</v>
      </c>
      <c r="K63" s="123">
        <v>775</v>
      </c>
      <c r="L63" s="123">
        <v>748</v>
      </c>
      <c r="M63" s="123">
        <v>200</v>
      </c>
      <c r="N63" s="123">
        <v>33</v>
      </c>
      <c r="O63" s="123">
        <v>4.9000000000000004</v>
      </c>
      <c r="P63" s="123"/>
      <c r="Q63" s="123">
        <v>35</v>
      </c>
      <c r="R63" s="163">
        <v>4.0999999999999996</v>
      </c>
      <c r="S63" s="123"/>
      <c r="T63" s="123"/>
      <c r="U63" s="123"/>
      <c r="V63" s="123"/>
      <c r="W63" s="123" t="s">
        <v>3507</v>
      </c>
    </row>
    <row r="64" spans="1:23">
      <c r="A64" s="414">
        <v>62</v>
      </c>
      <c r="B64" s="184" t="s">
        <v>2171</v>
      </c>
      <c r="C64" s="186" t="s">
        <v>2267</v>
      </c>
      <c r="D64" s="122" t="s">
        <v>2260</v>
      </c>
      <c r="E64" s="125"/>
      <c r="F64" s="125"/>
      <c r="G64" s="124"/>
      <c r="H64" s="125"/>
      <c r="I64" s="123">
        <v>1151</v>
      </c>
      <c r="J64" s="125"/>
      <c r="K64" s="125"/>
      <c r="L64" s="125"/>
      <c r="M64" s="125"/>
      <c r="N64" s="125"/>
      <c r="O64" s="125"/>
      <c r="P64" s="125"/>
      <c r="Q64" s="123"/>
      <c r="R64" s="123"/>
      <c r="S64" s="123"/>
      <c r="T64" s="123"/>
      <c r="U64" s="123"/>
      <c r="V64" s="123"/>
      <c r="W64" s="123"/>
    </row>
    <row r="65" spans="1:23">
      <c r="A65" s="414">
        <v>63</v>
      </c>
      <c r="B65" s="184" t="s">
        <v>2171</v>
      </c>
      <c r="C65" s="186" t="s">
        <v>2269</v>
      </c>
      <c r="D65" s="122" t="s">
        <v>2260</v>
      </c>
      <c r="E65" s="124">
        <v>42938</v>
      </c>
      <c r="F65" s="125">
        <v>0.54861111111111105</v>
      </c>
      <c r="G65" s="124">
        <v>43005</v>
      </c>
      <c r="H65" s="125">
        <v>0.66180555555555554</v>
      </c>
      <c r="I65" s="123">
        <v>852</v>
      </c>
      <c r="J65" s="123">
        <v>49</v>
      </c>
      <c r="K65" s="123">
        <v>733</v>
      </c>
      <c r="L65" s="123">
        <v>629</v>
      </c>
      <c r="M65" s="123">
        <v>713</v>
      </c>
      <c r="N65" s="123">
        <v>30.5</v>
      </c>
      <c r="O65" s="123">
        <v>4.7</v>
      </c>
      <c r="P65" s="123"/>
      <c r="Q65" s="123">
        <v>32.1</v>
      </c>
      <c r="R65" s="123">
        <v>4.8</v>
      </c>
      <c r="S65" s="123"/>
      <c r="T65" s="123"/>
      <c r="U65" s="123"/>
      <c r="V65" s="123"/>
      <c r="W65" s="123"/>
    </row>
    <row r="66" spans="1:23">
      <c r="A66" s="414">
        <v>64</v>
      </c>
      <c r="B66" s="184" t="s">
        <v>2171</v>
      </c>
      <c r="C66" s="186" t="s">
        <v>2270</v>
      </c>
      <c r="D66" s="122" t="s">
        <v>2260</v>
      </c>
      <c r="E66" s="124">
        <v>42938</v>
      </c>
      <c r="F66" s="125">
        <v>0.55555555555555558</v>
      </c>
      <c r="G66" s="124">
        <v>43005</v>
      </c>
      <c r="H66" s="125">
        <v>0.66319444444444442</v>
      </c>
      <c r="I66" s="123">
        <v>853</v>
      </c>
      <c r="J66" s="129">
        <v>347</v>
      </c>
      <c r="K66" s="123">
        <v>765</v>
      </c>
      <c r="L66" s="123">
        <v>84</v>
      </c>
      <c r="M66" s="129">
        <v>237</v>
      </c>
      <c r="N66" s="123">
        <v>30.4</v>
      </c>
      <c r="O66" s="123">
        <v>3.5</v>
      </c>
      <c r="P66" s="123"/>
      <c r="Q66" s="123">
        <v>32.6</v>
      </c>
      <c r="R66" s="123">
        <v>7.6</v>
      </c>
      <c r="S66" s="123"/>
      <c r="T66" s="123"/>
      <c r="U66" s="123"/>
      <c r="V66" s="123"/>
      <c r="W66" s="123"/>
    </row>
    <row r="67" spans="1:23">
      <c r="A67" s="414">
        <v>65</v>
      </c>
      <c r="B67" s="184" t="s">
        <v>2271</v>
      </c>
      <c r="C67" s="184" t="s">
        <v>2272</v>
      </c>
      <c r="D67" s="122" t="s">
        <v>2273</v>
      </c>
      <c r="E67" s="124">
        <v>42937</v>
      </c>
      <c r="F67" s="125">
        <v>0.50347222222222221</v>
      </c>
      <c r="G67" s="124">
        <v>43005</v>
      </c>
      <c r="H67" s="125">
        <v>0.58472222222222225</v>
      </c>
      <c r="I67" s="123">
        <v>906</v>
      </c>
      <c r="J67" s="123">
        <v>495</v>
      </c>
      <c r="K67" s="123">
        <v>731</v>
      </c>
      <c r="L67" s="163">
        <v>586</v>
      </c>
      <c r="M67" s="163">
        <v>654</v>
      </c>
      <c r="N67" s="123">
        <v>27.1</v>
      </c>
      <c r="O67" s="123">
        <v>11.5</v>
      </c>
      <c r="P67" s="123"/>
      <c r="Q67" s="123">
        <v>28.9</v>
      </c>
      <c r="R67" s="123">
        <v>9.8000000000000007</v>
      </c>
      <c r="S67" s="123"/>
      <c r="T67" s="123"/>
      <c r="U67" s="123"/>
      <c r="V67" s="123"/>
      <c r="W67" s="123" t="s">
        <v>3520</v>
      </c>
    </row>
    <row r="68" spans="1:23">
      <c r="A68" s="414">
        <v>66</v>
      </c>
      <c r="B68" s="184" t="s">
        <v>2271</v>
      </c>
      <c r="C68" s="184" t="s">
        <v>2274</v>
      </c>
      <c r="D68" s="122" t="s">
        <v>2273</v>
      </c>
      <c r="E68" s="124">
        <v>42937</v>
      </c>
      <c r="F68" s="125">
        <v>0.49652777777777773</v>
      </c>
      <c r="G68" s="124">
        <v>43005</v>
      </c>
      <c r="H68" s="125">
        <v>0.59722222222222221</v>
      </c>
      <c r="I68" s="123">
        <v>1096</v>
      </c>
      <c r="J68" s="123">
        <v>247</v>
      </c>
      <c r="K68" s="123">
        <v>816</v>
      </c>
      <c r="L68" s="123">
        <v>851</v>
      </c>
      <c r="M68" s="123">
        <v>634</v>
      </c>
      <c r="N68" s="123">
        <v>21.3</v>
      </c>
      <c r="O68" s="123">
        <v>11.3</v>
      </c>
      <c r="P68" s="123"/>
      <c r="Q68" s="123">
        <v>25.9</v>
      </c>
      <c r="R68" s="123">
        <v>8.9</v>
      </c>
      <c r="S68" s="123" t="s">
        <v>2190</v>
      </c>
      <c r="T68" s="123"/>
      <c r="U68" s="123"/>
      <c r="V68" s="123"/>
      <c r="W68" s="123"/>
    </row>
    <row r="69" spans="1:23">
      <c r="A69" s="414">
        <v>67</v>
      </c>
      <c r="B69" s="184" t="s">
        <v>2271</v>
      </c>
      <c r="C69" s="184" t="s">
        <v>2275</v>
      </c>
      <c r="D69" s="122" t="s">
        <v>2273</v>
      </c>
      <c r="E69" s="125"/>
      <c r="F69" s="125"/>
      <c r="G69" s="124"/>
      <c r="H69" s="125"/>
      <c r="I69" s="123">
        <v>908</v>
      </c>
      <c r="J69" s="125"/>
      <c r="K69" s="125"/>
      <c r="L69" s="125"/>
      <c r="M69" s="125"/>
      <c r="N69" s="125"/>
      <c r="O69" s="125"/>
      <c r="P69" s="125"/>
      <c r="Q69" s="123"/>
      <c r="R69" s="123"/>
      <c r="S69" s="123"/>
      <c r="T69" s="123"/>
      <c r="U69" s="123"/>
      <c r="V69" s="123"/>
      <c r="W69" s="123"/>
    </row>
    <row r="70" spans="1:23">
      <c r="A70" s="414">
        <v>68</v>
      </c>
      <c r="B70" s="184" t="s">
        <v>2271</v>
      </c>
      <c r="C70" s="184" t="s">
        <v>2276</v>
      </c>
      <c r="D70" s="122" t="s">
        <v>2273</v>
      </c>
      <c r="E70" s="124">
        <v>42937</v>
      </c>
      <c r="F70" s="125">
        <v>0.49652777777777773</v>
      </c>
      <c r="G70" s="124">
        <v>43005</v>
      </c>
      <c r="H70" s="125">
        <v>0.59513888888888888</v>
      </c>
      <c r="I70" s="123">
        <v>1102</v>
      </c>
      <c r="J70" s="123">
        <v>63</v>
      </c>
      <c r="K70" s="123">
        <v>815</v>
      </c>
      <c r="L70" s="123">
        <v>467</v>
      </c>
      <c r="M70" s="123">
        <v>201</v>
      </c>
      <c r="N70" s="123">
        <v>25.6</v>
      </c>
      <c r="O70" s="123">
        <v>7.9</v>
      </c>
      <c r="P70" s="123"/>
      <c r="Q70" s="123">
        <v>28.1</v>
      </c>
      <c r="R70" s="123">
        <v>7.6</v>
      </c>
      <c r="S70" s="123"/>
      <c r="T70" s="123"/>
      <c r="U70" s="123"/>
      <c r="V70" s="123"/>
      <c r="W70" s="123"/>
    </row>
    <row r="71" spans="1:23">
      <c r="A71" s="414">
        <v>69</v>
      </c>
      <c r="B71" s="184" t="s">
        <v>2271</v>
      </c>
      <c r="C71" s="184" t="s">
        <v>2277</v>
      </c>
      <c r="D71" s="122" t="s">
        <v>2273</v>
      </c>
      <c r="E71" s="124">
        <v>42937</v>
      </c>
      <c r="F71" s="125">
        <v>0.50347222222222221</v>
      </c>
      <c r="G71" s="124">
        <v>43006</v>
      </c>
      <c r="H71" s="125">
        <v>0.58958333333333335</v>
      </c>
      <c r="I71" s="123">
        <v>910</v>
      </c>
      <c r="J71" s="123">
        <v>382</v>
      </c>
      <c r="K71" s="123">
        <v>741</v>
      </c>
      <c r="L71" s="123">
        <v>766</v>
      </c>
      <c r="M71" s="123">
        <v>174</v>
      </c>
      <c r="N71" s="123">
        <v>25</v>
      </c>
      <c r="O71" s="123">
        <v>7.6</v>
      </c>
      <c r="P71" s="92"/>
      <c r="Q71" s="123">
        <v>28.1</v>
      </c>
      <c r="R71" s="123">
        <v>8.3000000000000007</v>
      </c>
      <c r="S71" s="123"/>
      <c r="T71" s="123" t="s">
        <v>2314</v>
      </c>
      <c r="U71" s="123"/>
      <c r="V71" s="123"/>
      <c r="W71" s="123"/>
    </row>
    <row r="72" spans="1:23">
      <c r="A72" s="414">
        <v>70</v>
      </c>
      <c r="B72" s="184" t="s">
        <v>2271</v>
      </c>
      <c r="C72" s="184" t="s">
        <v>2278</v>
      </c>
      <c r="D72" s="122" t="s">
        <v>2273</v>
      </c>
      <c r="E72" s="124">
        <v>42937</v>
      </c>
      <c r="F72" s="125">
        <v>0.5</v>
      </c>
      <c r="G72" s="124">
        <v>43006</v>
      </c>
      <c r="H72" s="125">
        <v>0.58750000000000002</v>
      </c>
      <c r="I72" s="123">
        <v>911</v>
      </c>
      <c r="J72" s="123">
        <v>278</v>
      </c>
      <c r="K72" s="123">
        <v>294</v>
      </c>
      <c r="L72" s="129">
        <v>430</v>
      </c>
      <c r="M72" s="123">
        <v>261</v>
      </c>
      <c r="N72" s="123">
        <v>25.8</v>
      </c>
      <c r="O72" s="123">
        <v>10.199999999999999</v>
      </c>
      <c r="P72" s="123"/>
      <c r="Q72" s="123">
        <v>28.6</v>
      </c>
      <c r="R72" s="123">
        <v>7.4</v>
      </c>
      <c r="S72" s="123"/>
      <c r="T72" s="123" t="s">
        <v>2190</v>
      </c>
      <c r="U72" s="123"/>
      <c r="V72" s="123"/>
      <c r="W72" s="123"/>
    </row>
    <row r="73" spans="1:23">
      <c r="A73" s="414">
        <v>71</v>
      </c>
      <c r="B73" s="184" t="s">
        <v>2271</v>
      </c>
      <c r="C73" s="184" t="s">
        <v>2279</v>
      </c>
      <c r="D73" s="122" t="s">
        <v>2273</v>
      </c>
      <c r="E73" s="124">
        <v>42937</v>
      </c>
      <c r="F73" s="125">
        <v>0.49305555555555558</v>
      </c>
      <c r="G73" s="124">
        <v>43006</v>
      </c>
      <c r="H73" s="125">
        <v>0.59097222222222223</v>
      </c>
      <c r="I73" s="123">
        <v>912</v>
      </c>
      <c r="J73" s="123">
        <v>138</v>
      </c>
      <c r="K73" s="123">
        <v>761</v>
      </c>
      <c r="L73" s="123">
        <v>174</v>
      </c>
      <c r="M73" s="123">
        <v>203</v>
      </c>
      <c r="N73" s="123">
        <v>26.8</v>
      </c>
      <c r="O73" s="123">
        <v>8.8000000000000007</v>
      </c>
      <c r="P73" s="123"/>
      <c r="Q73" s="123">
        <v>28.4</v>
      </c>
      <c r="R73" s="123">
        <v>11.1</v>
      </c>
      <c r="S73" s="123"/>
      <c r="T73" s="123"/>
      <c r="U73" s="123"/>
      <c r="V73" s="123"/>
      <c r="W73" s="123"/>
    </row>
    <row r="74" spans="1:23">
      <c r="A74" s="414">
        <v>72</v>
      </c>
      <c r="B74" s="184" t="s">
        <v>2271</v>
      </c>
      <c r="C74" s="184" t="s">
        <v>2280</v>
      </c>
      <c r="D74" s="122" t="s">
        <v>2273</v>
      </c>
      <c r="E74" s="124">
        <v>42937</v>
      </c>
      <c r="F74" s="125">
        <v>0.49305555555555558</v>
      </c>
      <c r="G74" s="124">
        <v>43006</v>
      </c>
      <c r="H74" s="125">
        <v>0.59305555555555556</v>
      </c>
      <c r="I74" s="123">
        <v>913</v>
      </c>
      <c r="J74" s="123">
        <v>431</v>
      </c>
      <c r="K74" s="123">
        <v>780</v>
      </c>
      <c r="L74" s="123">
        <v>714</v>
      </c>
      <c r="M74" s="123">
        <v>191</v>
      </c>
      <c r="N74" s="123">
        <v>25.6</v>
      </c>
      <c r="O74" s="123">
        <v>9.1999999999999993</v>
      </c>
      <c r="P74" s="123"/>
      <c r="Q74" s="123">
        <v>27.1</v>
      </c>
      <c r="R74" s="123">
        <v>9.8000000000000007</v>
      </c>
      <c r="S74" s="123"/>
      <c r="T74" s="123"/>
      <c r="U74" s="123"/>
      <c r="V74" s="123"/>
      <c r="W74" s="123"/>
    </row>
    <row r="75" spans="1:23">
      <c r="A75" s="414">
        <v>73</v>
      </c>
      <c r="B75" s="184" t="s">
        <v>2271</v>
      </c>
      <c r="C75" s="184" t="s">
        <v>2281</v>
      </c>
      <c r="D75" s="122" t="s">
        <v>2282</v>
      </c>
      <c r="E75" s="124">
        <v>42937</v>
      </c>
      <c r="F75" s="125">
        <v>0.66319444444444442</v>
      </c>
      <c r="G75" s="124">
        <v>43006</v>
      </c>
      <c r="H75" s="125">
        <v>0.65</v>
      </c>
      <c r="I75" s="123">
        <v>1132</v>
      </c>
      <c r="J75" s="123">
        <v>321</v>
      </c>
      <c r="K75" s="123">
        <v>730</v>
      </c>
      <c r="L75" s="123">
        <v>726</v>
      </c>
      <c r="M75" s="123">
        <v>160</v>
      </c>
      <c r="N75" s="123">
        <v>27.8</v>
      </c>
      <c r="O75" s="123">
        <v>10.4</v>
      </c>
      <c r="P75" s="123"/>
      <c r="Q75" s="123">
        <v>28.9</v>
      </c>
      <c r="R75" s="123">
        <v>8.6999999999999993</v>
      </c>
      <c r="S75" s="123"/>
      <c r="T75" s="123"/>
      <c r="U75" s="123"/>
      <c r="V75" s="123"/>
      <c r="W75" s="123" t="s">
        <v>3520</v>
      </c>
    </row>
    <row r="76" spans="1:23">
      <c r="A76" s="414">
        <v>74</v>
      </c>
      <c r="B76" s="184" t="s">
        <v>2271</v>
      </c>
      <c r="C76" s="184" t="s">
        <v>2283</v>
      </c>
      <c r="D76" s="122" t="s">
        <v>2282</v>
      </c>
      <c r="E76" s="124">
        <v>42937</v>
      </c>
      <c r="F76" s="125">
        <v>0.65972222222222221</v>
      </c>
      <c r="G76" s="124">
        <v>43006</v>
      </c>
      <c r="H76" s="125">
        <v>0.6430555555555556</v>
      </c>
      <c r="I76" s="123">
        <v>1129</v>
      </c>
      <c r="J76" s="123">
        <v>329</v>
      </c>
      <c r="K76" s="123">
        <v>825</v>
      </c>
      <c r="L76" s="123">
        <v>866</v>
      </c>
      <c r="M76" s="123">
        <v>275</v>
      </c>
      <c r="N76" s="123">
        <v>27.3</v>
      </c>
      <c r="O76" s="123">
        <v>10.8</v>
      </c>
      <c r="P76" s="123" t="s">
        <v>2506</v>
      </c>
      <c r="Q76" s="123">
        <v>28.9</v>
      </c>
      <c r="R76" s="123">
        <v>10.8</v>
      </c>
      <c r="S76" s="123"/>
      <c r="T76" s="123"/>
      <c r="U76" s="123"/>
      <c r="V76" s="123"/>
      <c r="W76" s="123"/>
    </row>
    <row r="77" spans="1:23">
      <c r="A77" s="414">
        <v>75</v>
      </c>
      <c r="B77" s="184" t="s">
        <v>2271</v>
      </c>
      <c r="C77" s="184" t="s">
        <v>2284</v>
      </c>
      <c r="D77" s="122" t="s">
        <v>2282</v>
      </c>
      <c r="E77" s="124">
        <v>42937</v>
      </c>
      <c r="F77" s="125">
        <v>0.65972222222222221</v>
      </c>
      <c r="G77" s="124">
        <v>43006</v>
      </c>
      <c r="H77" s="125">
        <v>0.65972222222222221</v>
      </c>
      <c r="I77" s="123">
        <v>1133</v>
      </c>
      <c r="J77" s="123">
        <v>215</v>
      </c>
      <c r="K77" s="123">
        <v>840</v>
      </c>
      <c r="L77" s="123">
        <v>705</v>
      </c>
      <c r="M77" s="123">
        <v>657</v>
      </c>
      <c r="N77" s="123">
        <v>25.1</v>
      </c>
      <c r="O77" s="123">
        <v>13</v>
      </c>
      <c r="P77" s="123"/>
      <c r="Q77" s="123">
        <v>29.3</v>
      </c>
      <c r="R77" s="123">
        <v>11.6</v>
      </c>
      <c r="S77" s="123" t="s">
        <v>2174</v>
      </c>
      <c r="T77" s="123"/>
      <c r="U77" s="123"/>
      <c r="V77" s="123"/>
      <c r="W77" s="123"/>
    </row>
    <row r="78" spans="1:23">
      <c r="A78" s="414">
        <v>76</v>
      </c>
      <c r="B78" s="184" t="s">
        <v>2271</v>
      </c>
      <c r="C78" s="184" t="s">
        <v>2285</v>
      </c>
      <c r="D78" s="122" t="s">
        <v>2282</v>
      </c>
      <c r="E78" s="124">
        <v>42937</v>
      </c>
      <c r="F78" s="125">
        <v>0.65625</v>
      </c>
      <c r="G78" s="124">
        <v>43006</v>
      </c>
      <c r="H78" s="125">
        <v>0.66111111111111109</v>
      </c>
      <c r="I78" s="123">
        <v>917</v>
      </c>
      <c r="J78" s="132">
        <v>60</v>
      </c>
      <c r="K78" s="123">
        <v>770</v>
      </c>
      <c r="L78" s="123">
        <v>601</v>
      </c>
      <c r="M78" s="123">
        <v>306</v>
      </c>
      <c r="N78" s="123">
        <v>27.5</v>
      </c>
      <c r="O78" s="123">
        <v>11.2</v>
      </c>
      <c r="P78" s="123"/>
      <c r="Q78" s="123">
        <v>28</v>
      </c>
      <c r="R78" s="123">
        <v>11</v>
      </c>
      <c r="S78" s="123"/>
      <c r="T78" s="123"/>
      <c r="U78" s="123"/>
      <c r="V78" s="123"/>
      <c r="W78" s="123"/>
    </row>
    <row r="79" spans="1:23">
      <c r="A79" s="414">
        <v>77</v>
      </c>
      <c r="B79" s="184" t="s">
        <v>2271</v>
      </c>
      <c r="C79" s="184" t="s">
        <v>2286</v>
      </c>
      <c r="D79" s="122" t="s">
        <v>2282</v>
      </c>
      <c r="E79" s="123"/>
      <c r="F79" s="123"/>
      <c r="G79" s="123"/>
      <c r="H79" s="125"/>
      <c r="I79" s="123">
        <v>1134</v>
      </c>
      <c r="J79" s="123"/>
      <c r="K79" s="123"/>
      <c r="L79" s="123"/>
      <c r="M79" s="123"/>
      <c r="N79" s="123"/>
      <c r="O79" s="123"/>
      <c r="P79" s="123"/>
      <c r="Q79" s="123"/>
      <c r="R79" s="123"/>
      <c r="S79" s="123"/>
      <c r="T79" s="123"/>
      <c r="U79" s="123"/>
      <c r="V79" s="123"/>
      <c r="W79" s="123"/>
    </row>
    <row r="80" spans="1:23">
      <c r="A80" s="414">
        <v>78</v>
      </c>
      <c r="B80" s="184" t="s">
        <v>2271</v>
      </c>
      <c r="C80" s="184" t="s">
        <v>2287</v>
      </c>
      <c r="D80" s="122" t="s">
        <v>2282</v>
      </c>
      <c r="E80" s="124">
        <v>42937</v>
      </c>
      <c r="F80" s="125">
        <v>0.66319444444444442</v>
      </c>
      <c r="G80" s="124">
        <v>43006</v>
      </c>
      <c r="H80" s="125">
        <v>0.65138888888888891</v>
      </c>
      <c r="I80" s="123">
        <v>1135</v>
      </c>
      <c r="J80" s="123">
        <v>97</v>
      </c>
      <c r="K80" s="123">
        <v>696</v>
      </c>
      <c r="L80" s="123">
        <v>157</v>
      </c>
      <c r="M80" s="123">
        <v>377</v>
      </c>
      <c r="N80" s="123">
        <v>27.1</v>
      </c>
      <c r="O80" s="123">
        <v>13.2</v>
      </c>
      <c r="P80" s="123"/>
      <c r="Q80" s="123">
        <v>29.6</v>
      </c>
      <c r="R80" s="123">
        <v>9.1</v>
      </c>
      <c r="S80" s="123" t="s">
        <v>2174</v>
      </c>
      <c r="T80" s="123" t="s">
        <v>2174</v>
      </c>
      <c r="U80" s="123"/>
      <c r="V80" s="123"/>
      <c r="W80" s="123"/>
    </row>
    <row r="81" spans="1:23">
      <c r="A81" s="414">
        <v>79</v>
      </c>
      <c r="B81" s="184" t="s">
        <v>2271</v>
      </c>
      <c r="C81" s="184" t="s">
        <v>2288</v>
      </c>
      <c r="D81" s="122" t="s">
        <v>2282</v>
      </c>
      <c r="E81" s="124">
        <v>42937</v>
      </c>
      <c r="F81" s="125">
        <v>0.66666666666666663</v>
      </c>
      <c r="G81" s="124">
        <v>43006</v>
      </c>
      <c r="H81" s="125">
        <v>0.65486111111111112</v>
      </c>
      <c r="I81" s="123">
        <v>920</v>
      </c>
      <c r="J81" s="123">
        <v>130</v>
      </c>
      <c r="K81" s="123">
        <v>270</v>
      </c>
      <c r="L81" s="123">
        <v>226</v>
      </c>
      <c r="M81" s="123">
        <v>61</v>
      </c>
      <c r="N81" s="123">
        <v>23.8</v>
      </c>
      <c r="O81" s="123">
        <v>7.5</v>
      </c>
      <c r="P81" s="123"/>
      <c r="Q81" s="123">
        <v>28.7</v>
      </c>
      <c r="R81" s="123">
        <v>10.9</v>
      </c>
      <c r="S81" s="123"/>
      <c r="T81" s="123"/>
      <c r="U81" s="123"/>
      <c r="V81" s="123"/>
      <c r="W81" s="123"/>
    </row>
    <row r="82" spans="1:23">
      <c r="A82" s="414">
        <v>80</v>
      </c>
      <c r="B82" s="184" t="s">
        <v>2271</v>
      </c>
      <c r="C82" s="184" t="s">
        <v>2289</v>
      </c>
      <c r="D82" s="122" t="s">
        <v>2282</v>
      </c>
      <c r="E82" s="124">
        <v>42937</v>
      </c>
      <c r="F82" s="125">
        <v>0.65972222222222221</v>
      </c>
      <c r="G82" s="124">
        <v>43006</v>
      </c>
      <c r="H82" s="125">
        <v>0.65763888888888888</v>
      </c>
      <c r="I82" s="123">
        <v>1103</v>
      </c>
      <c r="J82" s="123">
        <v>24</v>
      </c>
      <c r="K82" s="123">
        <v>726</v>
      </c>
      <c r="L82" s="123">
        <v>855</v>
      </c>
      <c r="M82" s="129">
        <v>620</v>
      </c>
      <c r="N82" s="123">
        <v>26.5</v>
      </c>
      <c r="O82" s="123">
        <v>12.4</v>
      </c>
      <c r="P82" s="123"/>
      <c r="Q82" s="123">
        <v>28.9</v>
      </c>
      <c r="R82" s="123">
        <v>11.1</v>
      </c>
      <c r="S82" s="123"/>
      <c r="T82" s="123"/>
      <c r="U82" s="123"/>
      <c r="V82" s="123"/>
      <c r="W82" s="123"/>
    </row>
    <row r="83" spans="1:23">
      <c r="A83" s="414">
        <v>81</v>
      </c>
      <c r="B83" s="184" t="s">
        <v>2271</v>
      </c>
      <c r="C83" s="184" t="s">
        <v>2290</v>
      </c>
      <c r="D83" s="122" t="s">
        <v>2291</v>
      </c>
      <c r="E83" s="124">
        <v>42937</v>
      </c>
      <c r="F83" s="125">
        <v>0.3298611111111111</v>
      </c>
      <c r="G83" s="124">
        <v>43006</v>
      </c>
      <c r="H83" s="125">
        <v>0.49513888888888885</v>
      </c>
      <c r="I83" s="123">
        <v>892</v>
      </c>
      <c r="J83" s="123">
        <v>312</v>
      </c>
      <c r="K83" s="123">
        <v>739</v>
      </c>
      <c r="L83" s="123">
        <v>413</v>
      </c>
      <c r="M83" s="123">
        <v>366</v>
      </c>
      <c r="N83" s="123">
        <v>24.9</v>
      </c>
      <c r="O83" s="123">
        <v>11.3</v>
      </c>
      <c r="P83" s="123"/>
      <c r="Q83" s="123">
        <v>27.8</v>
      </c>
      <c r="R83" s="123">
        <v>12.4</v>
      </c>
      <c r="S83" s="123"/>
      <c r="T83" s="123"/>
      <c r="U83" s="123"/>
      <c r="V83" s="123"/>
      <c r="W83" s="123"/>
    </row>
    <row r="84" spans="1:23">
      <c r="A84" s="414">
        <v>82</v>
      </c>
      <c r="B84" s="184" t="s">
        <v>2271</v>
      </c>
      <c r="C84" s="184" t="s">
        <v>2293</v>
      </c>
      <c r="D84" s="122" t="s">
        <v>2291</v>
      </c>
      <c r="E84" s="124">
        <v>42937</v>
      </c>
      <c r="F84" s="125">
        <v>0.31944444444444448</v>
      </c>
      <c r="G84" s="124">
        <v>43006</v>
      </c>
      <c r="H84" s="125">
        <v>0.49374999999999997</v>
      </c>
      <c r="I84" s="187">
        <v>1128</v>
      </c>
      <c r="J84" s="123">
        <v>356</v>
      </c>
      <c r="K84" s="123">
        <v>800</v>
      </c>
      <c r="L84" s="123">
        <v>370</v>
      </c>
      <c r="M84" s="123">
        <v>610</v>
      </c>
      <c r="N84" s="123">
        <v>24.2</v>
      </c>
      <c r="O84" s="123">
        <v>10.7</v>
      </c>
      <c r="P84" s="123"/>
      <c r="Q84" s="123">
        <v>26.8</v>
      </c>
      <c r="R84" s="123">
        <v>9.1999999999999993</v>
      </c>
      <c r="S84" s="123"/>
      <c r="T84" s="123"/>
      <c r="U84" s="123"/>
      <c r="V84" s="123"/>
      <c r="W84" s="123"/>
    </row>
    <row r="85" spans="1:23">
      <c r="A85" s="414">
        <v>83</v>
      </c>
      <c r="B85" s="184" t="s">
        <v>2271</v>
      </c>
      <c r="C85" s="184" t="s">
        <v>2294</v>
      </c>
      <c r="D85" s="122" t="s">
        <v>2291</v>
      </c>
      <c r="E85" s="124">
        <v>42937</v>
      </c>
      <c r="F85" s="125">
        <v>0.3125</v>
      </c>
      <c r="G85" s="124">
        <v>43006</v>
      </c>
      <c r="H85" s="125">
        <v>0.4909722222222222</v>
      </c>
      <c r="I85" s="123">
        <v>886</v>
      </c>
      <c r="J85" s="123">
        <v>331</v>
      </c>
      <c r="K85" s="123">
        <v>764</v>
      </c>
      <c r="L85" s="123">
        <v>879</v>
      </c>
      <c r="M85" s="123">
        <v>614</v>
      </c>
      <c r="N85" s="123">
        <v>23.8</v>
      </c>
      <c r="O85" s="123">
        <v>11.1</v>
      </c>
      <c r="P85" s="123"/>
      <c r="Q85" s="123">
        <v>28.3</v>
      </c>
      <c r="R85" s="123">
        <v>9</v>
      </c>
      <c r="S85" s="123" t="s">
        <v>2174</v>
      </c>
      <c r="T85" s="123"/>
      <c r="U85" s="123"/>
      <c r="V85" s="123"/>
      <c r="W85" s="123"/>
    </row>
    <row r="86" spans="1:23">
      <c r="A86" s="414">
        <v>84</v>
      </c>
      <c r="B86" s="184" t="s">
        <v>2271</v>
      </c>
      <c r="C86" s="184" t="s">
        <v>2295</v>
      </c>
      <c r="D86" s="122" t="s">
        <v>2291</v>
      </c>
      <c r="E86" s="124">
        <v>42937</v>
      </c>
      <c r="F86" s="125">
        <v>0.31944444444444448</v>
      </c>
      <c r="G86" s="124">
        <v>43006</v>
      </c>
      <c r="H86" s="125">
        <v>0.49236111111111108</v>
      </c>
      <c r="I86" s="123">
        <v>887</v>
      </c>
      <c r="J86" s="129">
        <v>101</v>
      </c>
      <c r="K86" s="123">
        <v>778</v>
      </c>
      <c r="L86" s="123">
        <v>854</v>
      </c>
      <c r="M86" s="123">
        <v>720</v>
      </c>
      <c r="N86" s="123">
        <v>24.9</v>
      </c>
      <c r="O86" s="123">
        <v>8.8000000000000007</v>
      </c>
      <c r="P86" s="123"/>
      <c r="Q86" s="123">
        <v>28.2</v>
      </c>
      <c r="R86" s="123">
        <v>11.5</v>
      </c>
      <c r="S86" s="123" t="s">
        <v>2174</v>
      </c>
      <c r="T86" s="123"/>
      <c r="U86" s="123"/>
      <c r="V86" s="123"/>
      <c r="W86" s="123"/>
    </row>
    <row r="87" spans="1:23">
      <c r="A87" s="414">
        <v>85</v>
      </c>
      <c r="B87" s="184" t="s">
        <v>2271</v>
      </c>
      <c r="C87" s="184" t="s">
        <v>2296</v>
      </c>
      <c r="D87" s="122" t="s">
        <v>2291</v>
      </c>
      <c r="E87" s="123"/>
      <c r="F87" s="123"/>
      <c r="G87" s="123"/>
      <c r="H87" s="123"/>
      <c r="I87" s="123">
        <v>888</v>
      </c>
      <c r="J87" s="123"/>
      <c r="K87" s="123"/>
      <c r="L87" s="123"/>
      <c r="M87" s="123"/>
      <c r="N87" s="123"/>
      <c r="O87" s="123"/>
      <c r="P87" s="123"/>
      <c r="Q87" s="123"/>
      <c r="R87" s="123"/>
      <c r="S87" s="123"/>
      <c r="T87" s="123"/>
      <c r="U87" s="123"/>
      <c r="V87" s="123"/>
      <c r="W87" s="123"/>
    </row>
    <row r="88" spans="1:23">
      <c r="A88" s="414">
        <v>86</v>
      </c>
      <c r="B88" s="184" t="s">
        <v>2271</v>
      </c>
      <c r="C88" s="184" t="s">
        <v>2297</v>
      </c>
      <c r="D88" s="122" t="s">
        <v>2291</v>
      </c>
      <c r="E88" s="124">
        <v>42937</v>
      </c>
      <c r="F88" s="125">
        <v>0.3125</v>
      </c>
      <c r="G88" s="124">
        <v>43006</v>
      </c>
      <c r="H88" s="125">
        <v>0.4861111111111111</v>
      </c>
      <c r="I88" s="123">
        <v>889</v>
      </c>
      <c r="J88" s="123">
        <v>31</v>
      </c>
      <c r="K88" s="123">
        <v>738</v>
      </c>
      <c r="L88" s="123">
        <v>788</v>
      </c>
      <c r="M88" s="123">
        <v>643</v>
      </c>
      <c r="N88" s="123">
        <v>25.8</v>
      </c>
      <c r="O88" s="123">
        <v>13.4</v>
      </c>
      <c r="P88" s="123"/>
      <c r="Q88" s="123">
        <v>28</v>
      </c>
      <c r="R88" s="123">
        <v>10.1</v>
      </c>
      <c r="S88" s="123" t="s">
        <v>2174</v>
      </c>
      <c r="T88" s="123"/>
      <c r="U88" s="123"/>
      <c r="V88" s="123"/>
      <c r="W88" s="123" t="s">
        <v>3520</v>
      </c>
    </row>
    <row r="89" spans="1:23">
      <c r="A89" s="414">
        <v>87</v>
      </c>
      <c r="B89" s="184" t="s">
        <v>2271</v>
      </c>
      <c r="C89" s="184" t="s">
        <v>2298</v>
      </c>
      <c r="D89" s="122" t="s">
        <v>2291</v>
      </c>
      <c r="E89" s="124">
        <v>42937</v>
      </c>
      <c r="F89" s="125">
        <v>0.3263888888888889</v>
      </c>
      <c r="G89" s="124">
        <v>43006</v>
      </c>
      <c r="H89" s="125">
        <v>0.49861111111111112</v>
      </c>
      <c r="I89" s="123">
        <v>890</v>
      </c>
      <c r="J89" s="123">
        <v>220</v>
      </c>
      <c r="K89" s="123">
        <v>394</v>
      </c>
      <c r="L89" s="123">
        <v>91</v>
      </c>
      <c r="M89" s="123">
        <v>277</v>
      </c>
      <c r="N89" s="123">
        <v>21.6</v>
      </c>
      <c r="O89" s="123">
        <v>11.3</v>
      </c>
      <c r="P89" s="123"/>
      <c r="Q89" s="123">
        <v>27</v>
      </c>
      <c r="R89" s="123">
        <v>10</v>
      </c>
      <c r="S89" s="123"/>
      <c r="T89" s="123"/>
      <c r="U89" s="123"/>
      <c r="V89" s="123"/>
      <c r="W89" s="123"/>
    </row>
    <row r="90" spans="1:23">
      <c r="A90" s="414">
        <v>88</v>
      </c>
      <c r="B90" s="184" t="s">
        <v>2271</v>
      </c>
      <c r="C90" s="184" t="s">
        <v>2299</v>
      </c>
      <c r="D90" s="122" t="s">
        <v>2291</v>
      </c>
      <c r="E90" s="124">
        <v>42937</v>
      </c>
      <c r="F90" s="125">
        <v>0.32291666666666669</v>
      </c>
      <c r="G90" s="124">
        <v>43006</v>
      </c>
      <c r="H90" s="125">
        <v>0.49722222222222223</v>
      </c>
      <c r="I90" s="129">
        <v>891</v>
      </c>
      <c r="J90" s="123">
        <v>531</v>
      </c>
      <c r="K90" s="123">
        <v>810</v>
      </c>
      <c r="L90" s="123">
        <v>364</v>
      </c>
      <c r="M90" s="123">
        <v>197</v>
      </c>
      <c r="N90" s="123">
        <v>24.7</v>
      </c>
      <c r="O90" s="123">
        <v>11.1</v>
      </c>
      <c r="P90" s="123"/>
      <c r="Q90" s="123">
        <v>27.4</v>
      </c>
      <c r="R90" s="123">
        <v>12.3</v>
      </c>
      <c r="S90" s="123"/>
      <c r="T90" s="123"/>
      <c r="U90" s="123"/>
      <c r="V90" s="123"/>
      <c r="W90" s="123"/>
    </row>
    <row r="91" spans="1:23">
      <c r="A91" s="414">
        <v>89</v>
      </c>
      <c r="B91" s="184" t="s">
        <v>2271</v>
      </c>
      <c r="C91" s="184" t="s">
        <v>2300</v>
      </c>
      <c r="D91" s="122" t="s">
        <v>2301</v>
      </c>
      <c r="E91" s="124">
        <v>42937</v>
      </c>
      <c r="F91" s="125">
        <v>0.40972222222222227</v>
      </c>
      <c r="G91" s="124">
        <v>43006</v>
      </c>
      <c r="H91" s="125">
        <v>0.42083333333333334</v>
      </c>
      <c r="I91" s="123">
        <v>898</v>
      </c>
      <c r="J91" s="123">
        <v>35</v>
      </c>
      <c r="K91" s="123">
        <v>818</v>
      </c>
      <c r="L91" s="123">
        <v>862</v>
      </c>
      <c r="M91" s="123">
        <v>841</v>
      </c>
      <c r="N91" s="123">
        <v>25.2</v>
      </c>
      <c r="O91" s="123">
        <v>11.6</v>
      </c>
      <c r="P91" s="123"/>
      <c r="Q91" s="123">
        <v>28</v>
      </c>
      <c r="R91" s="123">
        <v>9.4</v>
      </c>
      <c r="S91" s="123"/>
      <c r="T91" s="123"/>
      <c r="U91" s="123"/>
      <c r="V91" s="123"/>
      <c r="W91" s="123"/>
    </row>
    <row r="92" spans="1:23">
      <c r="A92" s="414">
        <v>90</v>
      </c>
      <c r="B92" s="184" t="s">
        <v>2271</v>
      </c>
      <c r="C92" s="184" t="s">
        <v>2302</v>
      </c>
      <c r="D92" s="122" t="s">
        <v>2301</v>
      </c>
      <c r="E92" s="124">
        <v>42937</v>
      </c>
      <c r="F92" s="125">
        <v>0.41666666666666669</v>
      </c>
      <c r="G92" s="124">
        <v>43006</v>
      </c>
      <c r="H92" s="125">
        <v>0.4152777777777778</v>
      </c>
      <c r="I92" s="123">
        <v>899</v>
      </c>
      <c r="J92" s="123">
        <v>264</v>
      </c>
      <c r="K92" s="123">
        <v>767</v>
      </c>
      <c r="L92" s="123">
        <v>330</v>
      </c>
      <c r="M92" s="123">
        <v>220</v>
      </c>
      <c r="N92" s="123">
        <v>24.9</v>
      </c>
      <c r="O92" s="123">
        <v>9.6999999999999993</v>
      </c>
      <c r="P92" s="123"/>
      <c r="Q92" s="123">
        <v>28</v>
      </c>
      <c r="R92" s="123">
        <v>10</v>
      </c>
      <c r="S92" s="123"/>
      <c r="T92" s="123"/>
      <c r="U92" s="123"/>
      <c r="V92" s="123"/>
      <c r="W92" s="123" t="s">
        <v>3520</v>
      </c>
    </row>
    <row r="93" spans="1:23">
      <c r="A93" s="414">
        <v>91</v>
      </c>
      <c r="B93" s="184" t="s">
        <v>2271</v>
      </c>
      <c r="C93" s="184" t="s">
        <v>2303</v>
      </c>
      <c r="D93" s="122" t="s">
        <v>2301</v>
      </c>
      <c r="E93" s="124">
        <v>42937</v>
      </c>
      <c r="F93" s="125">
        <v>0.41319444444444442</v>
      </c>
      <c r="G93" s="124">
        <v>43006</v>
      </c>
      <c r="H93" s="125">
        <v>0.42222222222222222</v>
      </c>
      <c r="I93" s="123">
        <v>900</v>
      </c>
      <c r="J93" s="123">
        <v>13</v>
      </c>
      <c r="K93" s="123">
        <v>787</v>
      </c>
      <c r="L93" s="123">
        <v>596</v>
      </c>
      <c r="M93" s="123">
        <v>659</v>
      </c>
      <c r="N93" s="123">
        <v>24</v>
      </c>
      <c r="O93" s="123">
        <v>11.5</v>
      </c>
      <c r="P93" s="123"/>
      <c r="Q93" s="123">
        <v>27.9</v>
      </c>
      <c r="R93" s="123">
        <v>10.4</v>
      </c>
      <c r="S93" s="123"/>
      <c r="T93" s="123"/>
      <c r="U93" s="123"/>
      <c r="V93" s="123"/>
      <c r="W93" s="123"/>
    </row>
    <row r="94" spans="1:23">
      <c r="A94" s="414">
        <v>92</v>
      </c>
      <c r="B94" s="184" t="s">
        <v>2271</v>
      </c>
      <c r="C94" s="184" t="s">
        <v>2304</v>
      </c>
      <c r="D94" s="122" t="s">
        <v>2301</v>
      </c>
      <c r="E94" s="124">
        <v>42937</v>
      </c>
      <c r="F94" s="125">
        <v>0.41666666666666669</v>
      </c>
      <c r="G94" s="124">
        <v>43006</v>
      </c>
      <c r="H94" s="125">
        <v>0.42291666666666666</v>
      </c>
      <c r="I94" s="123">
        <v>901</v>
      </c>
      <c r="J94" s="123">
        <v>324</v>
      </c>
      <c r="K94" s="123">
        <v>812</v>
      </c>
      <c r="L94" s="123">
        <v>380</v>
      </c>
      <c r="M94" s="129">
        <v>619</v>
      </c>
      <c r="N94" s="123">
        <v>24.4</v>
      </c>
      <c r="O94" s="123">
        <v>7.5</v>
      </c>
      <c r="P94" s="123"/>
      <c r="Q94" s="123">
        <v>27.6</v>
      </c>
      <c r="R94" s="123">
        <v>13</v>
      </c>
      <c r="S94" s="123" t="s">
        <v>2174</v>
      </c>
      <c r="T94" s="123"/>
      <c r="U94" s="123"/>
      <c r="V94" s="123"/>
      <c r="W94" s="123"/>
    </row>
    <row r="95" spans="1:23">
      <c r="A95" s="414">
        <v>93</v>
      </c>
      <c r="B95" s="184" t="s">
        <v>2271</v>
      </c>
      <c r="C95" s="184" t="s">
        <v>2305</v>
      </c>
      <c r="D95" s="122" t="s">
        <v>2301</v>
      </c>
      <c r="E95" s="124">
        <v>42937</v>
      </c>
      <c r="F95" s="125">
        <v>0.4201388888888889</v>
      </c>
      <c r="G95" s="124">
        <v>43006</v>
      </c>
      <c r="H95" s="125">
        <v>0.42499999999999999</v>
      </c>
      <c r="I95" s="123">
        <v>902</v>
      </c>
      <c r="J95" s="123">
        <v>99</v>
      </c>
      <c r="K95" s="123">
        <v>675</v>
      </c>
      <c r="L95" s="123">
        <v>872</v>
      </c>
      <c r="M95" s="123">
        <v>106</v>
      </c>
      <c r="N95" s="123">
        <v>24.8</v>
      </c>
      <c r="O95" s="123">
        <v>10.5</v>
      </c>
      <c r="P95" s="123"/>
      <c r="Q95" s="123">
        <v>28</v>
      </c>
      <c r="R95" s="123">
        <v>10.4</v>
      </c>
      <c r="S95" s="123" t="s">
        <v>2174</v>
      </c>
      <c r="T95" s="123" t="s">
        <v>2174</v>
      </c>
      <c r="U95" s="123"/>
      <c r="V95" s="123"/>
      <c r="W95" s="123"/>
    </row>
    <row r="96" spans="1:23">
      <c r="A96" s="414">
        <v>94</v>
      </c>
      <c r="B96" s="184" t="s">
        <v>2271</v>
      </c>
      <c r="C96" s="184" t="s">
        <v>2306</v>
      </c>
      <c r="D96" s="122" t="s">
        <v>2301</v>
      </c>
      <c r="E96" s="123"/>
      <c r="F96" s="123"/>
      <c r="G96" s="123"/>
      <c r="H96" s="123"/>
      <c r="I96" s="123">
        <v>903</v>
      </c>
      <c r="J96" s="123"/>
      <c r="K96" s="123"/>
      <c r="L96" s="123"/>
      <c r="M96" s="123"/>
      <c r="N96" s="123"/>
      <c r="O96" s="123"/>
      <c r="P96" s="123"/>
      <c r="Q96" s="123"/>
      <c r="R96" s="123"/>
      <c r="S96" s="123"/>
      <c r="T96" s="123"/>
      <c r="U96" s="123"/>
      <c r="V96" s="123"/>
      <c r="W96" s="123"/>
    </row>
    <row r="97" spans="1:23">
      <c r="A97" s="414">
        <v>95</v>
      </c>
      <c r="B97" s="184" t="s">
        <v>2271</v>
      </c>
      <c r="C97" s="184" t="s">
        <v>2307</v>
      </c>
      <c r="D97" s="122" t="s">
        <v>2301</v>
      </c>
      <c r="E97" s="124">
        <v>42937</v>
      </c>
      <c r="F97" s="125">
        <v>0.41666666666666669</v>
      </c>
      <c r="G97" s="124">
        <v>43006</v>
      </c>
      <c r="H97" s="125">
        <v>0.42638888888888887</v>
      </c>
      <c r="I97" s="123">
        <v>904</v>
      </c>
      <c r="J97" s="123">
        <v>126</v>
      </c>
      <c r="K97" s="123">
        <v>794</v>
      </c>
      <c r="L97" s="123">
        <v>844</v>
      </c>
      <c r="M97" s="123">
        <v>233</v>
      </c>
      <c r="N97" s="123">
        <v>25.9</v>
      </c>
      <c r="O97" s="123">
        <v>9.1</v>
      </c>
      <c r="P97" s="123"/>
      <c r="Q97" s="123">
        <v>28.8</v>
      </c>
      <c r="R97" s="123">
        <v>8.4</v>
      </c>
      <c r="S97" s="92"/>
      <c r="T97" s="92"/>
      <c r="U97" s="92"/>
      <c r="V97" s="92"/>
      <c r="W97" s="92"/>
    </row>
    <row r="98" spans="1:23">
      <c r="A98" s="414">
        <v>96</v>
      </c>
      <c r="B98" s="184" t="s">
        <v>2271</v>
      </c>
      <c r="C98" s="184" t="s">
        <v>2308</v>
      </c>
      <c r="D98" s="122" t="s">
        <v>2301</v>
      </c>
      <c r="E98" s="124">
        <v>42937</v>
      </c>
      <c r="F98" s="125">
        <v>0.41666666666666669</v>
      </c>
      <c r="G98" s="124">
        <v>43006</v>
      </c>
      <c r="H98" s="125">
        <v>0.42777777777777781</v>
      </c>
      <c r="I98" s="123">
        <v>905</v>
      </c>
      <c r="J98" s="123">
        <v>244</v>
      </c>
      <c r="K98" s="123">
        <v>737</v>
      </c>
      <c r="L98" s="123">
        <v>372</v>
      </c>
      <c r="M98" s="123">
        <v>698</v>
      </c>
      <c r="N98" s="123">
        <v>23.6</v>
      </c>
      <c r="O98" s="123">
        <v>3.3</v>
      </c>
      <c r="P98" s="123"/>
      <c r="Q98" s="123">
        <v>28.3</v>
      </c>
      <c r="R98" s="123">
        <v>6.9</v>
      </c>
      <c r="S98" s="92"/>
      <c r="T98" s="92"/>
      <c r="U98" s="92"/>
      <c r="V98" s="92"/>
      <c r="W98" s="92"/>
    </row>
    <row r="99" spans="1:23">
      <c r="A99" s="414">
        <v>97</v>
      </c>
      <c r="B99" s="184" t="s">
        <v>2309</v>
      </c>
      <c r="C99" s="184" t="s">
        <v>2310</v>
      </c>
      <c r="D99" s="122" t="s">
        <v>2173</v>
      </c>
      <c r="E99" s="124">
        <v>42939</v>
      </c>
      <c r="F99" s="125">
        <v>0.57291666666666663</v>
      </c>
      <c r="G99" s="124">
        <v>43010</v>
      </c>
      <c r="H99" s="125">
        <v>0.44791666666666669</v>
      </c>
      <c r="I99" s="123">
        <v>718</v>
      </c>
      <c r="J99" s="123">
        <v>432</v>
      </c>
      <c r="K99" s="123">
        <v>801</v>
      </c>
      <c r="L99" s="123">
        <v>3</v>
      </c>
      <c r="M99" s="123">
        <v>47</v>
      </c>
      <c r="N99" s="123">
        <v>29.1</v>
      </c>
      <c r="O99" s="123">
        <v>5.6</v>
      </c>
      <c r="P99" s="123" t="s">
        <v>2507</v>
      </c>
      <c r="Q99" s="123">
        <v>27.9</v>
      </c>
      <c r="R99" s="123">
        <v>7.6</v>
      </c>
      <c r="S99" s="123" t="s">
        <v>2233</v>
      </c>
      <c r="T99" s="123" t="s">
        <v>2233</v>
      </c>
      <c r="U99" s="123"/>
      <c r="V99" s="123"/>
      <c r="W99" s="123" t="s">
        <v>3522</v>
      </c>
    </row>
    <row r="100" spans="1:23">
      <c r="A100" s="414">
        <v>98</v>
      </c>
      <c r="B100" s="184" t="s">
        <v>2309</v>
      </c>
      <c r="C100" s="184" t="s">
        <v>2311</v>
      </c>
      <c r="D100" s="122" t="s">
        <v>2173</v>
      </c>
      <c r="E100" s="124">
        <v>42939</v>
      </c>
      <c r="F100" s="125">
        <v>0.57291666666666663</v>
      </c>
      <c r="G100" s="124">
        <v>43010</v>
      </c>
      <c r="H100" s="125">
        <v>0.4548611111111111</v>
      </c>
      <c r="I100" s="123">
        <v>719</v>
      </c>
      <c r="J100" s="123">
        <v>184</v>
      </c>
      <c r="K100" s="123">
        <v>808</v>
      </c>
      <c r="L100" s="123">
        <v>25</v>
      </c>
      <c r="M100" s="123">
        <v>707</v>
      </c>
      <c r="N100" s="123">
        <v>30.1</v>
      </c>
      <c r="O100" s="123">
        <v>5.4</v>
      </c>
      <c r="P100" s="123" t="s">
        <v>2507</v>
      </c>
      <c r="Q100" s="123">
        <v>28.5</v>
      </c>
      <c r="R100" s="123">
        <v>9.1</v>
      </c>
      <c r="S100" s="123" t="s">
        <v>2233</v>
      </c>
      <c r="T100" s="123" t="s">
        <v>2233</v>
      </c>
      <c r="U100" s="123"/>
      <c r="V100" s="123"/>
      <c r="W100" s="123" t="s">
        <v>3523</v>
      </c>
    </row>
    <row r="101" spans="1:23">
      <c r="A101" s="414">
        <v>99</v>
      </c>
      <c r="B101" s="184" t="s">
        <v>2309</v>
      </c>
      <c r="C101" s="184" t="s">
        <v>2312</v>
      </c>
      <c r="D101" s="122" t="s">
        <v>2173</v>
      </c>
      <c r="E101" s="123"/>
      <c r="F101" s="123"/>
      <c r="G101" s="123"/>
      <c r="H101" s="125"/>
      <c r="I101" s="123">
        <v>720</v>
      </c>
      <c r="J101" s="123"/>
      <c r="K101" s="123"/>
      <c r="L101" s="123"/>
      <c r="M101" s="123"/>
      <c r="N101" s="123"/>
      <c r="O101" s="123"/>
      <c r="P101" s="123"/>
      <c r="Q101" s="123"/>
      <c r="R101" s="123"/>
      <c r="S101" s="123"/>
      <c r="T101" s="123"/>
      <c r="U101" s="123"/>
      <c r="V101" s="123"/>
      <c r="W101" s="123"/>
    </row>
    <row r="102" spans="1:23">
      <c r="A102" s="414">
        <v>100</v>
      </c>
      <c r="B102" s="184" t="s">
        <v>2309</v>
      </c>
      <c r="C102" s="184" t="s">
        <v>2313</v>
      </c>
      <c r="D102" s="122" t="s">
        <v>2173</v>
      </c>
      <c r="E102" s="124">
        <v>42939</v>
      </c>
      <c r="F102" s="125">
        <v>0.57638888888888895</v>
      </c>
      <c r="G102" s="124">
        <v>43010</v>
      </c>
      <c r="H102" s="123" t="s">
        <v>3521</v>
      </c>
      <c r="I102" s="123">
        <v>721</v>
      </c>
      <c r="J102" s="123">
        <v>176</v>
      </c>
      <c r="K102" s="123">
        <v>276</v>
      </c>
      <c r="L102" s="123">
        <v>187</v>
      </c>
      <c r="M102" s="123">
        <v>641</v>
      </c>
      <c r="N102" s="123">
        <v>31.3</v>
      </c>
      <c r="O102" s="123">
        <v>5.5</v>
      </c>
      <c r="P102" s="123" t="s">
        <v>2507</v>
      </c>
      <c r="Q102" s="123">
        <v>26.9</v>
      </c>
      <c r="R102" s="123">
        <v>8</v>
      </c>
      <c r="S102" s="123" t="s">
        <v>2233</v>
      </c>
      <c r="T102" s="123" t="s">
        <v>2233</v>
      </c>
      <c r="U102" s="123"/>
      <c r="V102" s="123"/>
      <c r="W102" s="123"/>
    </row>
    <row r="103" spans="1:23">
      <c r="A103" s="414">
        <v>101</v>
      </c>
      <c r="B103" s="184" t="s">
        <v>2309</v>
      </c>
      <c r="C103" s="184" t="s">
        <v>2315</v>
      </c>
      <c r="D103" s="122" t="s">
        <v>2173</v>
      </c>
      <c r="E103" s="124">
        <v>42939</v>
      </c>
      <c r="F103" s="125">
        <v>0.57638888888888895</v>
      </c>
      <c r="G103" s="124">
        <v>43010</v>
      </c>
      <c r="H103" s="125">
        <v>0.45833333333333331</v>
      </c>
      <c r="I103" s="123">
        <v>722</v>
      </c>
      <c r="J103" s="123">
        <v>11</v>
      </c>
      <c r="K103" s="123">
        <v>624</v>
      </c>
      <c r="L103" s="123">
        <v>398</v>
      </c>
      <c r="M103" s="123">
        <v>245</v>
      </c>
      <c r="N103" s="123">
        <v>31.2</v>
      </c>
      <c r="O103" s="123">
        <v>6</v>
      </c>
      <c r="P103" s="123" t="s">
        <v>2507</v>
      </c>
      <c r="Q103" s="123">
        <v>27.9</v>
      </c>
      <c r="R103" s="123">
        <v>9.5</v>
      </c>
      <c r="S103" s="123" t="s">
        <v>2314</v>
      </c>
      <c r="T103" s="123" t="s">
        <v>2233</v>
      </c>
      <c r="U103" s="123"/>
      <c r="V103" s="123"/>
      <c r="W103" s="123"/>
    </row>
    <row r="104" spans="1:23">
      <c r="A104" s="414">
        <v>102</v>
      </c>
      <c r="B104" s="184" t="s">
        <v>2309</v>
      </c>
      <c r="C104" s="184" t="s">
        <v>2316</v>
      </c>
      <c r="D104" s="122" t="s">
        <v>2173</v>
      </c>
      <c r="E104" s="124">
        <v>42939</v>
      </c>
      <c r="F104" s="125">
        <v>0.56944444444444442</v>
      </c>
      <c r="G104" s="124">
        <v>43010</v>
      </c>
      <c r="H104" s="125">
        <v>0.4604166666666667</v>
      </c>
      <c r="I104" s="123">
        <v>723</v>
      </c>
      <c r="J104" s="123">
        <v>284</v>
      </c>
      <c r="K104" s="123">
        <v>781</v>
      </c>
      <c r="L104" s="123">
        <v>120</v>
      </c>
      <c r="M104" s="123">
        <v>714</v>
      </c>
      <c r="N104" s="123">
        <v>30.1</v>
      </c>
      <c r="O104" s="123">
        <v>5.8</v>
      </c>
      <c r="P104" s="123" t="s">
        <v>2507</v>
      </c>
      <c r="Q104" s="123">
        <v>28</v>
      </c>
      <c r="R104" s="123">
        <v>8.8000000000000007</v>
      </c>
      <c r="S104" s="123" t="s">
        <v>2190</v>
      </c>
      <c r="T104" s="123" t="s">
        <v>2190</v>
      </c>
      <c r="U104" s="123"/>
      <c r="V104" s="123"/>
      <c r="W104" s="123"/>
    </row>
    <row r="105" spans="1:23">
      <c r="A105" s="414">
        <v>103</v>
      </c>
      <c r="B105" s="184" t="s">
        <v>2309</v>
      </c>
      <c r="C105" s="184" t="s">
        <v>2317</v>
      </c>
      <c r="D105" s="122" t="s">
        <v>2173</v>
      </c>
      <c r="E105" s="124">
        <v>42939</v>
      </c>
      <c r="F105" s="125">
        <v>0.56944444444444442</v>
      </c>
      <c r="G105" s="124">
        <v>43010</v>
      </c>
      <c r="H105" s="125">
        <v>0.46249999999999997</v>
      </c>
      <c r="I105" s="123">
        <v>724</v>
      </c>
      <c r="J105" s="123">
        <v>326</v>
      </c>
      <c r="K105" s="123">
        <v>772</v>
      </c>
      <c r="L105" s="123">
        <v>145</v>
      </c>
      <c r="M105" s="123">
        <v>701</v>
      </c>
      <c r="N105" s="123">
        <v>30.2</v>
      </c>
      <c r="O105" s="123">
        <v>52</v>
      </c>
      <c r="P105" s="123" t="s">
        <v>2507</v>
      </c>
      <c r="Q105" s="123">
        <v>27.4</v>
      </c>
      <c r="R105" s="123">
        <v>9.8000000000000007</v>
      </c>
      <c r="S105" s="123" t="s">
        <v>2190</v>
      </c>
      <c r="T105" s="123" t="s">
        <v>2190</v>
      </c>
      <c r="U105" s="123"/>
      <c r="V105" s="123"/>
      <c r="W105" s="123" t="s">
        <v>3524</v>
      </c>
    </row>
    <row r="106" spans="1:23">
      <c r="A106" s="414">
        <v>104</v>
      </c>
      <c r="B106" s="184" t="s">
        <v>2309</v>
      </c>
      <c r="C106" s="184" t="s">
        <v>2318</v>
      </c>
      <c r="D106" s="122" t="s">
        <v>2173</v>
      </c>
      <c r="E106" s="124">
        <v>42939</v>
      </c>
      <c r="F106" s="125">
        <v>0.57638888888888895</v>
      </c>
      <c r="G106" s="124">
        <v>43010</v>
      </c>
      <c r="H106" s="125">
        <v>0.46458333333333335</v>
      </c>
      <c r="I106" s="123">
        <v>725</v>
      </c>
      <c r="J106" s="123">
        <v>162</v>
      </c>
      <c r="K106" s="123">
        <v>744</v>
      </c>
      <c r="L106" s="123">
        <v>76</v>
      </c>
      <c r="M106" s="163">
        <v>365</v>
      </c>
      <c r="N106" s="123">
        <v>28.6</v>
      </c>
      <c r="O106" s="123">
        <v>7.6</v>
      </c>
      <c r="P106" s="123" t="s">
        <v>2507</v>
      </c>
      <c r="Q106" s="123">
        <v>27.5</v>
      </c>
      <c r="R106" s="123">
        <v>11</v>
      </c>
      <c r="S106" s="123" t="s">
        <v>2314</v>
      </c>
      <c r="T106" s="123" t="s">
        <v>2190</v>
      </c>
      <c r="U106" s="123"/>
      <c r="V106" s="123"/>
      <c r="W106" s="123"/>
    </row>
    <row r="107" spans="1:23">
      <c r="A107" s="414">
        <v>105</v>
      </c>
      <c r="B107" s="184" t="s">
        <v>2309</v>
      </c>
      <c r="C107" s="184" t="s">
        <v>2319</v>
      </c>
      <c r="D107" s="122" t="s">
        <v>2189</v>
      </c>
      <c r="E107" s="124">
        <v>42939</v>
      </c>
      <c r="F107" s="125">
        <v>0.58333333333333337</v>
      </c>
      <c r="G107" s="124">
        <v>43010</v>
      </c>
      <c r="H107" s="125">
        <v>0.47847222222222219</v>
      </c>
      <c r="I107" s="123">
        <v>726</v>
      </c>
      <c r="J107" s="123">
        <v>6</v>
      </c>
      <c r="K107" s="123">
        <v>824</v>
      </c>
      <c r="L107" s="123">
        <v>57</v>
      </c>
      <c r="M107" s="123">
        <v>212</v>
      </c>
      <c r="N107" s="123">
        <v>32.799999999999997</v>
      </c>
      <c r="O107" s="123">
        <v>5.7</v>
      </c>
      <c r="P107" s="123" t="s">
        <v>2507</v>
      </c>
      <c r="Q107" s="123">
        <v>28.3</v>
      </c>
      <c r="R107" s="123">
        <v>9.4</v>
      </c>
      <c r="S107" s="123"/>
      <c r="T107" s="123" t="s">
        <v>2190</v>
      </c>
      <c r="U107" s="123"/>
      <c r="V107" s="123"/>
      <c r="W107" s="123"/>
    </row>
    <row r="108" spans="1:23">
      <c r="A108" s="414">
        <v>106</v>
      </c>
      <c r="B108" s="184" t="s">
        <v>2309</v>
      </c>
      <c r="C108" s="184" t="s">
        <v>2320</v>
      </c>
      <c r="D108" s="122" t="s">
        <v>2189</v>
      </c>
      <c r="E108" s="124">
        <v>42939</v>
      </c>
      <c r="F108" s="125">
        <v>0.58333333333333337</v>
      </c>
      <c r="G108" s="124">
        <v>43010</v>
      </c>
      <c r="H108" s="125">
        <v>0.48194444444444445</v>
      </c>
      <c r="I108" s="123">
        <v>727</v>
      </c>
      <c r="J108" s="123">
        <v>20</v>
      </c>
      <c r="K108" s="123">
        <v>790</v>
      </c>
      <c r="L108" s="123">
        <v>167</v>
      </c>
      <c r="M108" s="123">
        <v>66</v>
      </c>
      <c r="N108" s="123">
        <v>31.1</v>
      </c>
      <c r="O108" s="123">
        <v>5.7</v>
      </c>
      <c r="P108" s="123" t="s">
        <v>2507</v>
      </c>
      <c r="Q108" s="123">
        <v>31.5</v>
      </c>
      <c r="R108" s="123">
        <v>6.5</v>
      </c>
      <c r="S108" s="123" t="s">
        <v>2174</v>
      </c>
      <c r="T108" s="123" t="s">
        <v>2190</v>
      </c>
      <c r="U108" s="123"/>
      <c r="V108" s="123"/>
      <c r="W108" s="123"/>
    </row>
    <row r="109" spans="1:23">
      <c r="A109" s="414">
        <v>107</v>
      </c>
      <c r="B109" s="184" t="s">
        <v>2309</v>
      </c>
      <c r="C109" s="184" t="s">
        <v>2321</v>
      </c>
      <c r="D109" s="122" t="s">
        <v>2189</v>
      </c>
      <c r="E109" s="124">
        <v>42939</v>
      </c>
      <c r="F109" s="125">
        <v>0.58333333333333337</v>
      </c>
      <c r="G109" s="124">
        <v>43010</v>
      </c>
      <c r="H109" s="125">
        <v>0.47152777777777777</v>
      </c>
      <c r="I109" s="123">
        <v>728</v>
      </c>
      <c r="J109" s="123">
        <v>129</v>
      </c>
      <c r="K109" s="123">
        <v>809</v>
      </c>
      <c r="L109" s="123">
        <v>208</v>
      </c>
      <c r="M109" s="123">
        <v>347</v>
      </c>
      <c r="N109" s="123">
        <v>31.3</v>
      </c>
      <c r="O109" s="123">
        <v>5.6</v>
      </c>
      <c r="P109" s="123" t="s">
        <v>2507</v>
      </c>
      <c r="Q109" s="123">
        <v>29.1</v>
      </c>
      <c r="R109" s="123">
        <v>5</v>
      </c>
      <c r="S109" s="123" t="s">
        <v>2233</v>
      </c>
      <c r="T109" s="123" t="s">
        <v>2233</v>
      </c>
      <c r="U109" s="123"/>
      <c r="V109" s="123"/>
      <c r="W109" t="s">
        <v>3507</v>
      </c>
    </row>
    <row r="110" spans="1:23">
      <c r="A110" s="414">
        <v>108</v>
      </c>
      <c r="B110" s="184" t="s">
        <v>2309</v>
      </c>
      <c r="C110" s="184" t="s">
        <v>2322</v>
      </c>
      <c r="D110" s="122" t="s">
        <v>2189</v>
      </c>
      <c r="E110" s="124">
        <v>42939</v>
      </c>
      <c r="F110" s="125">
        <v>0.57986111111111105</v>
      </c>
      <c r="G110" s="124">
        <v>43010</v>
      </c>
      <c r="H110" s="125">
        <v>0.47569444444444442</v>
      </c>
      <c r="I110" s="123">
        <v>729</v>
      </c>
      <c r="J110" s="123">
        <v>258</v>
      </c>
      <c r="K110" s="123">
        <v>777</v>
      </c>
      <c r="L110" s="123">
        <v>62</v>
      </c>
      <c r="M110" s="123">
        <v>206</v>
      </c>
      <c r="N110" s="123">
        <v>33.700000000000003</v>
      </c>
      <c r="O110" s="123">
        <v>5.5</v>
      </c>
      <c r="P110" s="123" t="s">
        <v>2507</v>
      </c>
      <c r="Q110" s="123">
        <v>29.9</v>
      </c>
      <c r="R110" s="123">
        <v>9.8000000000000007</v>
      </c>
      <c r="S110" s="123" t="s">
        <v>2314</v>
      </c>
      <c r="T110" s="123"/>
      <c r="U110" s="123"/>
      <c r="V110" s="123"/>
      <c r="W110" s="123"/>
    </row>
    <row r="111" spans="1:23">
      <c r="A111" s="414">
        <v>109</v>
      </c>
      <c r="B111" s="184" t="s">
        <v>2309</v>
      </c>
      <c r="C111" s="184" t="s">
        <v>2324</v>
      </c>
      <c r="D111" s="122" t="s">
        <v>2189</v>
      </c>
      <c r="E111" s="124">
        <v>42939</v>
      </c>
      <c r="F111" s="125">
        <v>0.57986111111111105</v>
      </c>
      <c r="G111" s="124">
        <v>43010</v>
      </c>
      <c r="H111" s="125">
        <v>0.4770833333333333</v>
      </c>
      <c r="I111" s="123">
        <v>730</v>
      </c>
      <c r="J111" s="123">
        <v>294</v>
      </c>
      <c r="K111" s="123">
        <v>804</v>
      </c>
      <c r="L111" s="123">
        <v>102</v>
      </c>
      <c r="M111" s="123">
        <v>299</v>
      </c>
      <c r="N111" s="123">
        <v>32.4</v>
      </c>
      <c r="O111" s="123">
        <v>5.0999999999999996</v>
      </c>
      <c r="P111" s="123" t="s">
        <v>2507</v>
      </c>
      <c r="Q111" s="123">
        <v>28.9</v>
      </c>
      <c r="R111" s="123">
        <v>9.9</v>
      </c>
      <c r="S111" s="123"/>
      <c r="T111" s="123" t="s">
        <v>2190</v>
      </c>
      <c r="U111" s="123"/>
      <c r="V111" s="123"/>
      <c r="W111" s="123" t="s">
        <v>3525</v>
      </c>
    </row>
    <row r="112" spans="1:23">
      <c r="A112" s="414">
        <v>110</v>
      </c>
      <c r="B112" s="184" t="s">
        <v>2309</v>
      </c>
      <c r="C112" s="184" t="s">
        <v>2325</v>
      </c>
      <c r="D112" s="122" t="s">
        <v>2189</v>
      </c>
      <c r="E112" s="124">
        <v>42939</v>
      </c>
      <c r="F112" s="125">
        <v>0.58333333333333337</v>
      </c>
      <c r="G112" s="124">
        <v>43010</v>
      </c>
      <c r="H112" s="125">
        <v>0.47986111111111113</v>
      </c>
      <c r="I112" s="123">
        <v>731</v>
      </c>
      <c r="J112" s="123">
        <v>350</v>
      </c>
      <c r="K112" s="123">
        <v>786</v>
      </c>
      <c r="L112" s="123">
        <v>265</v>
      </c>
      <c r="M112" s="123">
        <v>636</v>
      </c>
      <c r="N112" s="123">
        <v>32.700000000000003</v>
      </c>
      <c r="O112" s="123">
        <v>5.9</v>
      </c>
      <c r="P112" s="123" t="s">
        <v>2507</v>
      </c>
      <c r="Q112" s="123">
        <v>29.6</v>
      </c>
      <c r="R112" s="123">
        <v>8.8000000000000007</v>
      </c>
      <c r="S112" s="123" t="s">
        <v>2233</v>
      </c>
      <c r="T112" s="123" t="s">
        <v>2233</v>
      </c>
      <c r="U112" s="123"/>
      <c r="V112" s="123"/>
      <c r="W112" s="123"/>
    </row>
    <row r="113" spans="1:23">
      <c r="A113" s="414">
        <v>111</v>
      </c>
      <c r="B113" s="184" t="s">
        <v>2309</v>
      </c>
      <c r="C113" s="184" t="s">
        <v>2326</v>
      </c>
      <c r="D113" s="122" t="s">
        <v>2189</v>
      </c>
      <c r="E113" s="124">
        <v>42939</v>
      </c>
      <c r="F113" s="125">
        <v>0.58680555555555558</v>
      </c>
      <c r="G113" s="124">
        <v>43010</v>
      </c>
      <c r="H113" s="125">
        <v>0.48055555555555557</v>
      </c>
      <c r="I113" s="123">
        <v>732</v>
      </c>
      <c r="J113" s="123">
        <v>274</v>
      </c>
      <c r="K113" s="123">
        <v>835</v>
      </c>
      <c r="L113" s="123">
        <v>455</v>
      </c>
      <c r="M113" s="123">
        <v>239</v>
      </c>
      <c r="N113" s="123">
        <v>31.2</v>
      </c>
      <c r="O113" s="123">
        <v>7.1</v>
      </c>
      <c r="P113" s="123" t="s">
        <v>2508</v>
      </c>
      <c r="Q113" s="123">
        <v>27.9</v>
      </c>
      <c r="R113" s="123">
        <v>9.5</v>
      </c>
      <c r="S113" s="123" t="s">
        <v>2314</v>
      </c>
      <c r="T113" s="123"/>
      <c r="U113" s="123"/>
      <c r="V113" s="123"/>
      <c r="W113" s="123"/>
    </row>
    <row r="114" spans="1:23">
      <c r="A114" s="414">
        <v>112</v>
      </c>
      <c r="B114" s="184" t="s">
        <v>2309</v>
      </c>
      <c r="C114" s="184" t="s">
        <v>2327</v>
      </c>
      <c r="D114" s="122" t="s">
        <v>2189</v>
      </c>
      <c r="E114" s="124"/>
      <c r="F114" s="124"/>
      <c r="G114" s="124"/>
      <c r="H114" s="125"/>
      <c r="I114" s="123">
        <v>733</v>
      </c>
      <c r="J114" s="124"/>
      <c r="K114" s="124"/>
      <c r="L114" s="124"/>
      <c r="M114" s="124"/>
      <c r="N114" s="124"/>
      <c r="O114" s="124"/>
      <c r="P114" s="124"/>
      <c r="Q114" s="123"/>
      <c r="R114" s="123"/>
      <c r="S114" s="123"/>
      <c r="T114" s="123"/>
      <c r="U114" s="123"/>
      <c r="V114" s="123"/>
      <c r="W114" s="123"/>
    </row>
    <row r="115" spans="1:23">
      <c r="A115" s="414">
        <v>113</v>
      </c>
      <c r="B115" s="184" t="s">
        <v>2309</v>
      </c>
      <c r="C115" s="184" t="s">
        <v>2328</v>
      </c>
      <c r="D115" s="122" t="s">
        <v>2203</v>
      </c>
      <c r="E115" s="124">
        <v>42939</v>
      </c>
      <c r="F115" s="123"/>
      <c r="G115" s="124">
        <v>43008</v>
      </c>
      <c r="H115" s="125">
        <v>0.56736111111111109</v>
      </c>
      <c r="I115" s="123">
        <v>739</v>
      </c>
      <c r="J115" s="123">
        <v>314</v>
      </c>
      <c r="K115" s="123">
        <v>807</v>
      </c>
      <c r="L115" s="123">
        <v>490</v>
      </c>
      <c r="M115" s="123">
        <v>313</v>
      </c>
      <c r="N115" s="123">
        <v>26.8</v>
      </c>
      <c r="O115" s="123">
        <v>5.8</v>
      </c>
      <c r="P115" s="123" t="s">
        <v>2507</v>
      </c>
      <c r="Q115" s="123">
        <v>31</v>
      </c>
      <c r="R115" s="123">
        <v>6.9</v>
      </c>
      <c r="S115" s="123" t="s">
        <v>2182</v>
      </c>
      <c r="T115" s="123"/>
      <c r="U115" s="123"/>
      <c r="V115" s="123"/>
      <c r="W115" s="123"/>
    </row>
    <row r="116" spans="1:23">
      <c r="A116" s="414">
        <v>114</v>
      </c>
      <c r="B116" s="184" t="s">
        <v>2309</v>
      </c>
      <c r="C116" s="184" t="s">
        <v>2329</v>
      </c>
      <c r="D116" s="122" t="s">
        <v>2203</v>
      </c>
      <c r="E116" s="124">
        <v>42939</v>
      </c>
      <c r="F116" s="123"/>
      <c r="G116" s="124">
        <v>43008</v>
      </c>
      <c r="H116" s="125">
        <v>0.56874999999999998</v>
      </c>
      <c r="I116" s="123">
        <v>740</v>
      </c>
      <c r="J116" s="123">
        <v>263</v>
      </c>
      <c r="K116" s="123">
        <v>829</v>
      </c>
      <c r="L116" s="123">
        <v>650</v>
      </c>
      <c r="M116" s="123">
        <v>247</v>
      </c>
      <c r="N116" s="123">
        <v>26.6</v>
      </c>
      <c r="O116" s="123">
        <v>7.2</v>
      </c>
      <c r="P116" s="123" t="s">
        <v>2507</v>
      </c>
      <c r="Q116" s="123">
        <v>29.6</v>
      </c>
      <c r="R116" s="123">
        <v>17</v>
      </c>
      <c r="S116" s="123"/>
      <c r="T116" s="123" t="s">
        <v>2174</v>
      </c>
      <c r="U116" s="123"/>
      <c r="V116" s="123"/>
      <c r="W116" s="123"/>
    </row>
    <row r="117" spans="1:23">
      <c r="A117" s="414">
        <v>115</v>
      </c>
      <c r="B117" s="184" t="s">
        <v>2309</v>
      </c>
      <c r="C117" s="184" t="s">
        <v>2330</v>
      </c>
      <c r="D117" s="122" t="s">
        <v>2203</v>
      </c>
      <c r="E117" s="124">
        <v>42939</v>
      </c>
      <c r="F117" s="123"/>
      <c r="G117" s="124">
        <v>43008</v>
      </c>
      <c r="H117" s="125">
        <v>0.57013888888888886</v>
      </c>
      <c r="I117" s="123">
        <v>741</v>
      </c>
      <c r="J117" s="123">
        <v>125</v>
      </c>
      <c r="K117" s="123">
        <v>766</v>
      </c>
      <c r="L117" s="123">
        <v>873</v>
      </c>
      <c r="M117" s="123">
        <v>671</v>
      </c>
      <c r="N117" s="123">
        <v>27</v>
      </c>
      <c r="O117" s="123">
        <v>4</v>
      </c>
      <c r="P117" s="123" t="s">
        <v>2507</v>
      </c>
      <c r="Q117" s="123">
        <v>30.9</v>
      </c>
      <c r="R117" s="123">
        <v>9.8000000000000007</v>
      </c>
      <c r="S117" s="123" t="s">
        <v>2182</v>
      </c>
      <c r="T117" s="123" t="s">
        <v>2201</v>
      </c>
      <c r="U117" s="123"/>
      <c r="V117" s="123"/>
      <c r="W117" s="123"/>
    </row>
    <row r="118" spans="1:23">
      <c r="A118" s="414">
        <v>116</v>
      </c>
      <c r="B118" s="184" t="s">
        <v>2309</v>
      </c>
      <c r="C118" s="184" t="s">
        <v>2331</v>
      </c>
      <c r="D118" s="122" t="s">
        <v>2203</v>
      </c>
      <c r="E118" s="124">
        <v>42939</v>
      </c>
      <c r="F118" s="123"/>
      <c r="G118" s="124">
        <v>43008</v>
      </c>
      <c r="H118" s="125">
        <v>0.5625</v>
      </c>
      <c r="I118" s="123">
        <v>742</v>
      </c>
      <c r="J118" s="123">
        <v>189</v>
      </c>
      <c r="K118" s="123">
        <v>757</v>
      </c>
      <c r="L118" s="123">
        <v>206</v>
      </c>
      <c r="M118" s="123">
        <v>638</v>
      </c>
      <c r="N118" s="123">
        <v>28.7</v>
      </c>
      <c r="O118" s="123">
        <v>5.8</v>
      </c>
      <c r="P118" s="123" t="s">
        <v>2507</v>
      </c>
      <c r="Q118" s="123">
        <v>30.9</v>
      </c>
      <c r="R118" s="123">
        <v>11.5</v>
      </c>
      <c r="S118" s="123" t="s">
        <v>2182</v>
      </c>
      <c r="T118" s="123"/>
      <c r="U118" s="123"/>
      <c r="V118" s="123"/>
      <c r="W118" s="123"/>
    </row>
    <row r="119" spans="1:23">
      <c r="A119" s="414">
        <v>117</v>
      </c>
      <c r="B119" s="184" t="s">
        <v>2309</v>
      </c>
      <c r="C119" s="184" t="s">
        <v>2332</v>
      </c>
      <c r="D119" s="122" t="s">
        <v>2203</v>
      </c>
      <c r="E119" s="124">
        <v>42939</v>
      </c>
      <c r="F119" s="123"/>
      <c r="G119" s="124">
        <v>43008</v>
      </c>
      <c r="H119" s="125">
        <v>0.55763888888888891</v>
      </c>
      <c r="I119" s="123">
        <v>743</v>
      </c>
      <c r="J119" s="123">
        <v>533</v>
      </c>
      <c r="K119" s="123">
        <v>745</v>
      </c>
      <c r="L119" s="123">
        <v>163</v>
      </c>
      <c r="M119" s="123">
        <v>719</v>
      </c>
      <c r="N119" s="123">
        <v>27.6</v>
      </c>
      <c r="O119" s="123">
        <v>5.6</v>
      </c>
      <c r="P119" s="123" t="s">
        <v>2507</v>
      </c>
      <c r="Q119" s="123">
        <v>30.5</v>
      </c>
      <c r="R119" s="123">
        <v>14.7</v>
      </c>
      <c r="S119" s="123" t="s">
        <v>2182</v>
      </c>
      <c r="T119" s="123"/>
      <c r="U119" s="123"/>
      <c r="V119" s="123"/>
      <c r="W119" s="123" t="s">
        <v>3520</v>
      </c>
    </row>
    <row r="120" spans="1:23">
      <c r="A120" s="414">
        <v>118</v>
      </c>
      <c r="B120" s="184" t="s">
        <v>2309</v>
      </c>
      <c r="C120" s="184" t="s">
        <v>2333</v>
      </c>
      <c r="D120" s="122" t="s">
        <v>2203</v>
      </c>
      <c r="E120" s="124">
        <v>42939</v>
      </c>
      <c r="F120" s="123"/>
      <c r="G120" s="124">
        <v>43008</v>
      </c>
      <c r="H120" s="125">
        <v>0.56388888888888888</v>
      </c>
      <c r="I120" s="123">
        <v>744</v>
      </c>
      <c r="J120" s="123">
        <v>200</v>
      </c>
      <c r="K120" s="123">
        <v>791</v>
      </c>
      <c r="L120" s="123">
        <v>83</v>
      </c>
      <c r="M120" s="123">
        <v>173</v>
      </c>
      <c r="N120" s="123">
        <v>26.8</v>
      </c>
      <c r="O120" s="123">
        <v>5.3</v>
      </c>
      <c r="P120" s="123" t="s">
        <v>2507</v>
      </c>
      <c r="Q120" s="123">
        <v>29.7</v>
      </c>
      <c r="R120" s="123">
        <v>10.3</v>
      </c>
      <c r="S120" s="123" t="s">
        <v>2201</v>
      </c>
      <c r="T120" s="123"/>
      <c r="U120" s="123" t="s">
        <v>2182</v>
      </c>
      <c r="V120" s="123"/>
      <c r="W120" s="123"/>
    </row>
    <row r="121" spans="1:23">
      <c r="A121" s="414">
        <v>119</v>
      </c>
      <c r="B121" s="184" t="s">
        <v>2309</v>
      </c>
      <c r="C121" s="184" t="s">
        <v>2334</v>
      </c>
      <c r="D121" s="122" t="s">
        <v>2203</v>
      </c>
      <c r="E121" s="124">
        <v>42939</v>
      </c>
      <c r="F121" s="125">
        <v>0.30208333333333331</v>
      </c>
      <c r="G121" s="124">
        <v>43008</v>
      </c>
      <c r="H121" s="125">
        <v>0.56527777777777777</v>
      </c>
      <c r="I121" s="123">
        <v>745</v>
      </c>
      <c r="J121" s="123">
        <v>236</v>
      </c>
      <c r="K121" s="123">
        <v>802</v>
      </c>
      <c r="L121" s="123">
        <v>159</v>
      </c>
      <c r="M121" s="123">
        <v>373</v>
      </c>
      <c r="N121" s="123">
        <v>26.4</v>
      </c>
      <c r="O121" s="123">
        <v>9.1</v>
      </c>
      <c r="P121" s="123" t="s">
        <v>2507</v>
      </c>
      <c r="Q121" s="123">
        <v>29.5</v>
      </c>
      <c r="R121" s="123">
        <v>11</v>
      </c>
      <c r="S121" s="123" t="s">
        <v>2174</v>
      </c>
      <c r="T121" s="123"/>
      <c r="U121" s="123" t="s">
        <v>2182</v>
      </c>
      <c r="V121" s="123"/>
      <c r="W121" s="123"/>
    </row>
    <row r="122" spans="1:23">
      <c r="A122" s="414">
        <v>120</v>
      </c>
      <c r="B122" s="184" t="s">
        <v>2309</v>
      </c>
      <c r="C122" s="184" t="s">
        <v>2335</v>
      </c>
      <c r="D122" s="122" t="s">
        <v>2203</v>
      </c>
      <c r="E122" s="124"/>
      <c r="F122" s="124"/>
      <c r="G122" s="124"/>
      <c r="H122" s="125"/>
      <c r="I122" s="123">
        <v>746</v>
      </c>
      <c r="J122" s="124"/>
      <c r="K122" s="124"/>
      <c r="L122" s="124"/>
      <c r="M122" s="124"/>
      <c r="N122" s="124"/>
      <c r="O122" s="124"/>
      <c r="P122" s="124"/>
      <c r="Q122" s="123"/>
      <c r="R122" s="123"/>
      <c r="S122" s="123"/>
      <c r="T122" s="123"/>
      <c r="U122" s="123"/>
      <c r="V122" s="123"/>
      <c r="W122" s="123"/>
    </row>
    <row r="123" spans="1:23">
      <c r="A123" s="414">
        <v>121</v>
      </c>
      <c r="B123" s="184" t="s">
        <v>2309</v>
      </c>
      <c r="C123" s="184" t="s">
        <v>2336</v>
      </c>
      <c r="D123" s="122" t="s">
        <v>2213</v>
      </c>
      <c r="E123" s="124">
        <v>42939</v>
      </c>
      <c r="F123" s="125">
        <v>0.3263888888888889</v>
      </c>
      <c r="G123" s="124">
        <v>43008</v>
      </c>
      <c r="H123" s="125">
        <v>0.53611111111111109</v>
      </c>
      <c r="I123" s="123">
        <v>748</v>
      </c>
      <c r="J123" s="123">
        <v>280</v>
      </c>
      <c r="K123" s="123">
        <v>822</v>
      </c>
      <c r="L123" s="123">
        <v>16</v>
      </c>
      <c r="M123" s="123">
        <v>374</v>
      </c>
      <c r="N123" s="123">
        <v>26.7</v>
      </c>
      <c r="O123" s="123">
        <v>3.7</v>
      </c>
      <c r="P123" s="123" t="s">
        <v>2507</v>
      </c>
      <c r="Q123" s="123">
        <v>31.5</v>
      </c>
      <c r="R123" s="123">
        <v>7.3</v>
      </c>
      <c r="S123" s="123"/>
      <c r="T123" s="123"/>
      <c r="U123" s="123"/>
      <c r="V123" s="123"/>
      <c r="W123" s="123" t="s">
        <v>3507</v>
      </c>
    </row>
    <row r="124" spans="1:23">
      <c r="A124" s="414">
        <v>122</v>
      </c>
      <c r="B124" s="184" t="s">
        <v>2309</v>
      </c>
      <c r="C124" s="184" t="s">
        <v>2337</v>
      </c>
      <c r="D124" s="122" t="s">
        <v>2213</v>
      </c>
      <c r="E124" s="124">
        <v>42939</v>
      </c>
      <c r="F124" s="123"/>
      <c r="G124" s="124">
        <v>43008</v>
      </c>
      <c r="H124" s="125">
        <v>0.54375000000000007</v>
      </c>
      <c r="I124" s="123">
        <v>749</v>
      </c>
      <c r="J124">
        <v>231</v>
      </c>
      <c r="K124" s="123">
        <v>792</v>
      </c>
      <c r="L124" s="123">
        <v>109</v>
      </c>
      <c r="M124" s="123">
        <v>388</v>
      </c>
      <c r="N124" s="123">
        <v>26.8</v>
      </c>
      <c r="O124" s="123">
        <v>3.8</v>
      </c>
      <c r="P124" s="123" t="s">
        <v>2507</v>
      </c>
      <c r="Q124" s="123">
        <v>30.3</v>
      </c>
      <c r="R124" s="123">
        <v>14.3</v>
      </c>
      <c r="S124" s="123" t="s">
        <v>2174</v>
      </c>
      <c r="T124" s="123" t="s">
        <v>2190</v>
      </c>
      <c r="U124" s="123"/>
      <c r="V124" s="123"/>
      <c r="W124" s="123"/>
    </row>
    <row r="125" spans="1:23">
      <c r="A125" s="414">
        <v>123</v>
      </c>
      <c r="B125" s="184" t="s">
        <v>2309</v>
      </c>
      <c r="C125" s="184" t="s">
        <v>2338</v>
      </c>
      <c r="D125" s="122" t="s">
        <v>2213</v>
      </c>
      <c r="E125" s="124">
        <v>42939</v>
      </c>
      <c r="F125" s="123"/>
      <c r="G125" s="124">
        <v>43008</v>
      </c>
      <c r="H125" s="125">
        <v>0.55138888888888882</v>
      </c>
      <c r="I125" s="123">
        <v>751</v>
      </c>
      <c r="J125" s="123">
        <v>292</v>
      </c>
      <c r="K125" s="129">
        <v>740</v>
      </c>
      <c r="L125" s="123">
        <v>344</v>
      </c>
      <c r="M125" s="123">
        <v>281</v>
      </c>
      <c r="N125" s="123">
        <v>25.9</v>
      </c>
      <c r="O125" s="123">
        <v>7.8</v>
      </c>
      <c r="P125" s="123" t="s">
        <v>2507</v>
      </c>
      <c r="Q125" s="123">
        <v>28.3</v>
      </c>
      <c r="R125" s="123">
        <v>13.6</v>
      </c>
      <c r="S125" s="123" t="s">
        <v>2182</v>
      </c>
      <c r="T125" s="123"/>
      <c r="U125" s="123"/>
      <c r="V125" s="123"/>
      <c r="W125" s="123"/>
    </row>
    <row r="126" spans="1:23">
      <c r="A126" s="414">
        <v>124</v>
      </c>
      <c r="B126" s="184" t="s">
        <v>2309</v>
      </c>
      <c r="C126" s="184" t="s">
        <v>2340</v>
      </c>
      <c r="D126" s="122" t="s">
        <v>2213</v>
      </c>
      <c r="E126" s="124">
        <v>42939</v>
      </c>
      <c r="F126" s="123"/>
      <c r="G126" s="124">
        <v>43008</v>
      </c>
      <c r="H126" s="125">
        <v>0.5493055555555556</v>
      </c>
      <c r="I126" s="123">
        <v>750</v>
      </c>
      <c r="J126" s="123">
        <v>116</v>
      </c>
      <c r="K126" s="123">
        <v>797</v>
      </c>
      <c r="L126" s="123">
        <v>221</v>
      </c>
      <c r="M126" s="123">
        <v>443</v>
      </c>
      <c r="N126" s="123">
        <v>28.1</v>
      </c>
      <c r="O126" s="123">
        <v>6.7</v>
      </c>
      <c r="P126" s="123" t="s">
        <v>2507</v>
      </c>
      <c r="Q126" s="123">
        <v>28</v>
      </c>
      <c r="R126" s="123">
        <v>11.6</v>
      </c>
      <c r="S126" s="123" t="s">
        <v>2201</v>
      </c>
      <c r="T126" s="123" t="s">
        <v>2201</v>
      </c>
      <c r="U126" s="123"/>
      <c r="V126" s="123"/>
      <c r="W126" s="123"/>
    </row>
    <row r="127" spans="1:23">
      <c r="A127" s="414">
        <v>125</v>
      </c>
      <c r="B127" s="184" t="s">
        <v>2309</v>
      </c>
      <c r="C127" s="184" t="s">
        <v>2341</v>
      </c>
      <c r="D127" s="122" t="s">
        <v>2213</v>
      </c>
      <c r="E127" s="124">
        <v>42939</v>
      </c>
      <c r="F127" s="123"/>
      <c r="G127" s="124">
        <v>43008</v>
      </c>
      <c r="H127" s="125">
        <v>0.54791666666666672</v>
      </c>
      <c r="I127" s="123">
        <v>752</v>
      </c>
      <c r="J127" s="123">
        <v>50</v>
      </c>
      <c r="K127" s="123">
        <v>795</v>
      </c>
      <c r="L127" s="123">
        <v>757</v>
      </c>
      <c r="M127" s="123">
        <v>180</v>
      </c>
      <c r="N127" s="123">
        <v>27.5</v>
      </c>
      <c r="O127" s="123">
        <v>4.2</v>
      </c>
      <c r="P127" s="123" t="s">
        <v>2507</v>
      </c>
      <c r="Q127" s="123">
        <v>28.6</v>
      </c>
      <c r="R127" s="123">
        <v>17.5</v>
      </c>
      <c r="S127" s="123"/>
      <c r="T127" s="123" t="s">
        <v>2233</v>
      </c>
      <c r="U127" s="123"/>
      <c r="V127" s="123"/>
      <c r="W127" s="123"/>
    </row>
    <row r="128" spans="1:23">
      <c r="A128" s="414">
        <v>126</v>
      </c>
      <c r="B128" s="184" t="s">
        <v>2309</v>
      </c>
      <c r="C128" s="184" t="s">
        <v>2342</v>
      </c>
      <c r="D128" s="122" t="s">
        <v>2213</v>
      </c>
      <c r="E128" s="124"/>
      <c r="F128" s="124"/>
      <c r="G128" s="124"/>
      <c r="H128" s="125"/>
      <c r="I128" s="123">
        <v>753</v>
      </c>
      <c r="J128" s="124"/>
      <c r="K128" s="124"/>
      <c r="L128" s="124"/>
      <c r="M128" s="124"/>
      <c r="N128" s="124"/>
      <c r="O128" s="124"/>
      <c r="P128" s="124"/>
      <c r="Q128" s="123"/>
      <c r="R128" s="123"/>
      <c r="S128" s="123"/>
      <c r="T128" s="123"/>
      <c r="U128" s="123"/>
      <c r="V128" s="123"/>
      <c r="W128" s="123"/>
    </row>
    <row r="129" spans="1:23">
      <c r="A129" s="414">
        <v>127</v>
      </c>
      <c r="B129" s="184" t="s">
        <v>2309</v>
      </c>
      <c r="C129" s="184" t="s">
        <v>2343</v>
      </c>
      <c r="D129" s="122" t="s">
        <v>2213</v>
      </c>
      <c r="E129" s="124">
        <v>42939</v>
      </c>
      <c r="F129" s="123"/>
      <c r="G129" s="124">
        <v>43008</v>
      </c>
      <c r="H129" s="125">
        <v>0.55277777777777781</v>
      </c>
      <c r="I129" s="123">
        <v>754</v>
      </c>
      <c r="J129" s="123">
        <v>318</v>
      </c>
      <c r="K129" s="123">
        <v>751</v>
      </c>
      <c r="L129" s="123">
        <v>96</v>
      </c>
      <c r="M129" s="123">
        <v>229</v>
      </c>
      <c r="N129" s="123">
        <v>27.5</v>
      </c>
      <c r="O129" s="123">
        <v>5.8</v>
      </c>
      <c r="P129" s="123" t="s">
        <v>2507</v>
      </c>
      <c r="Q129" s="123">
        <v>28.7</v>
      </c>
      <c r="R129" s="123">
        <v>13.6</v>
      </c>
      <c r="S129" s="123" t="s">
        <v>2182</v>
      </c>
      <c r="T129" s="123"/>
      <c r="U129" s="123" t="s">
        <v>2182</v>
      </c>
      <c r="V129" s="123"/>
      <c r="W129" s="123"/>
    </row>
    <row r="130" spans="1:23">
      <c r="A130" s="414">
        <v>128</v>
      </c>
      <c r="B130" s="184" t="s">
        <v>2309</v>
      </c>
      <c r="C130" s="184" t="s">
        <v>2344</v>
      </c>
      <c r="D130" s="122" t="s">
        <v>2213</v>
      </c>
      <c r="E130" s="124">
        <v>42939</v>
      </c>
      <c r="F130" s="123"/>
      <c r="G130" s="124">
        <v>43008</v>
      </c>
      <c r="H130" s="125">
        <v>0.54513888888888895</v>
      </c>
      <c r="I130" s="123">
        <v>755</v>
      </c>
      <c r="J130" s="123">
        <v>34</v>
      </c>
      <c r="K130" s="123">
        <v>819</v>
      </c>
      <c r="L130" s="123">
        <v>134</v>
      </c>
      <c r="M130" s="123">
        <v>272</v>
      </c>
      <c r="N130" s="123">
        <v>26.3</v>
      </c>
      <c r="O130" s="123">
        <v>3</v>
      </c>
      <c r="P130" s="123" t="s">
        <v>2507</v>
      </c>
      <c r="Q130" s="123">
        <v>30.5</v>
      </c>
      <c r="R130" s="123">
        <v>13.9</v>
      </c>
      <c r="S130" s="123"/>
      <c r="T130" s="123" t="s">
        <v>2233</v>
      </c>
      <c r="U130" s="123"/>
      <c r="V130" s="123"/>
      <c r="W130" s="123"/>
    </row>
    <row r="131" spans="1:23">
      <c r="A131" s="414">
        <v>129</v>
      </c>
      <c r="B131" s="184" t="s">
        <v>2309</v>
      </c>
      <c r="C131" s="184" t="s">
        <v>2345</v>
      </c>
      <c r="D131" s="122" t="s">
        <v>2222</v>
      </c>
      <c r="E131" s="124">
        <v>42939</v>
      </c>
      <c r="F131" s="125">
        <v>0.45833333333333331</v>
      </c>
      <c r="G131" s="124">
        <v>43008</v>
      </c>
      <c r="H131" s="125">
        <v>0.43402777777777773</v>
      </c>
      <c r="I131" s="123">
        <v>669</v>
      </c>
      <c r="J131" s="123">
        <v>80</v>
      </c>
      <c r="K131" s="123">
        <v>768</v>
      </c>
      <c r="L131" s="123">
        <v>671</v>
      </c>
      <c r="M131" s="123">
        <v>207</v>
      </c>
      <c r="N131" s="123">
        <v>30.5</v>
      </c>
      <c r="O131" s="123">
        <v>6.1</v>
      </c>
      <c r="P131" s="123" t="s">
        <v>2507</v>
      </c>
      <c r="Q131" s="123">
        <v>27.6</v>
      </c>
      <c r="R131" s="123">
        <v>17.5</v>
      </c>
      <c r="S131" s="123" t="s">
        <v>2190</v>
      </c>
      <c r="T131" s="123" t="s">
        <v>2190</v>
      </c>
      <c r="U131" s="123"/>
      <c r="V131" s="123"/>
      <c r="W131" s="123"/>
    </row>
    <row r="132" spans="1:23">
      <c r="A132" s="414">
        <v>130</v>
      </c>
      <c r="B132" s="184" t="s">
        <v>2309</v>
      </c>
      <c r="C132" s="184" t="s">
        <v>2346</v>
      </c>
      <c r="D132" s="122" t="s">
        <v>2222</v>
      </c>
      <c r="E132" s="124">
        <v>42939</v>
      </c>
      <c r="F132" s="125">
        <v>0.45833333333333331</v>
      </c>
      <c r="G132" s="124">
        <v>43008</v>
      </c>
      <c r="H132" s="125">
        <v>0.43541666666666662</v>
      </c>
      <c r="I132" s="123">
        <v>670</v>
      </c>
      <c r="J132" s="123">
        <v>64</v>
      </c>
      <c r="K132" s="123">
        <v>789</v>
      </c>
      <c r="L132" s="123">
        <v>400</v>
      </c>
      <c r="M132" s="123">
        <v>193</v>
      </c>
      <c r="N132" s="123">
        <v>29.8</v>
      </c>
      <c r="O132" s="123">
        <v>5.5</v>
      </c>
      <c r="P132" s="123" t="s">
        <v>2507</v>
      </c>
      <c r="Q132" s="123">
        <v>27.3</v>
      </c>
      <c r="R132" s="123">
        <v>12.4</v>
      </c>
      <c r="S132" s="123" t="s">
        <v>2314</v>
      </c>
      <c r="T132" s="123" t="s">
        <v>2190</v>
      </c>
      <c r="U132" s="123" t="s">
        <v>2182</v>
      </c>
      <c r="V132" s="123"/>
      <c r="W132" s="123"/>
    </row>
    <row r="133" spans="1:23">
      <c r="A133" s="414">
        <v>131</v>
      </c>
      <c r="B133" s="184" t="s">
        <v>2309</v>
      </c>
      <c r="C133" s="184" t="s">
        <v>2347</v>
      </c>
      <c r="D133" s="122" t="s">
        <v>2222</v>
      </c>
      <c r="E133" s="124">
        <v>42939</v>
      </c>
      <c r="F133" s="125">
        <v>0.46180555555555558</v>
      </c>
      <c r="G133" s="124">
        <v>43008</v>
      </c>
      <c r="H133" s="125">
        <v>0.4375</v>
      </c>
      <c r="I133" s="123">
        <v>672</v>
      </c>
      <c r="J133" s="123">
        <v>118</v>
      </c>
      <c r="K133" s="123">
        <v>586</v>
      </c>
      <c r="L133" s="123">
        <v>48</v>
      </c>
      <c r="M133" s="123">
        <v>188</v>
      </c>
      <c r="N133" s="123">
        <v>29</v>
      </c>
      <c r="O133" s="123">
        <v>5.5</v>
      </c>
      <c r="P133" s="123" t="s">
        <v>2507</v>
      </c>
      <c r="Q133" s="123">
        <v>28.2</v>
      </c>
      <c r="R133" s="123">
        <v>12.4</v>
      </c>
      <c r="S133" s="123" t="s">
        <v>2314</v>
      </c>
      <c r="T133" s="123" t="s">
        <v>2233</v>
      </c>
      <c r="U133" s="123" t="s">
        <v>2182</v>
      </c>
      <c r="V133" s="123" t="s">
        <v>2182</v>
      </c>
      <c r="W133" s="123"/>
    </row>
    <row r="134" spans="1:23">
      <c r="A134" s="414">
        <v>132</v>
      </c>
      <c r="B134" s="184" t="s">
        <v>2309</v>
      </c>
      <c r="C134" s="184" t="s">
        <v>2348</v>
      </c>
      <c r="D134" s="122" t="s">
        <v>2222</v>
      </c>
      <c r="E134" s="124"/>
      <c r="F134" s="124"/>
      <c r="G134" s="124"/>
      <c r="H134" s="125"/>
      <c r="I134" s="123">
        <v>1077</v>
      </c>
      <c r="J134" s="124"/>
      <c r="K134" s="124"/>
      <c r="L134" s="124"/>
      <c r="M134" s="124"/>
      <c r="N134" s="124"/>
      <c r="O134" s="124"/>
      <c r="P134" s="124"/>
      <c r="Q134" s="123"/>
      <c r="R134" s="123"/>
      <c r="S134" s="123"/>
      <c r="T134" s="123"/>
      <c r="U134" s="123"/>
      <c r="V134" s="123"/>
      <c r="W134" s="123"/>
    </row>
    <row r="135" spans="1:23">
      <c r="A135" s="414">
        <v>133</v>
      </c>
      <c r="B135" s="184" t="s">
        <v>2309</v>
      </c>
      <c r="C135" s="184" t="s">
        <v>2349</v>
      </c>
      <c r="D135" s="122" t="s">
        <v>2222</v>
      </c>
      <c r="E135" s="124">
        <v>42939</v>
      </c>
      <c r="F135" s="125">
        <v>0.46527777777777773</v>
      </c>
      <c r="G135" s="124">
        <v>43008</v>
      </c>
      <c r="H135" s="125">
        <v>0.42569444444444443</v>
      </c>
      <c r="I135" s="123">
        <v>674</v>
      </c>
      <c r="J135" s="123">
        <v>270</v>
      </c>
      <c r="K135" s="123">
        <v>817</v>
      </c>
      <c r="L135" s="123">
        <v>210</v>
      </c>
      <c r="M135" s="123">
        <v>683</v>
      </c>
      <c r="N135" s="123">
        <v>33.700000000000003</v>
      </c>
      <c r="O135" s="123">
        <v>5.9</v>
      </c>
      <c r="P135" s="123" t="s">
        <v>2507</v>
      </c>
      <c r="Q135" s="123">
        <v>28.9</v>
      </c>
      <c r="R135" s="123">
        <v>11.6</v>
      </c>
      <c r="S135" s="123" t="s">
        <v>2314</v>
      </c>
      <c r="T135" s="123" t="s">
        <v>2314</v>
      </c>
      <c r="U135" s="123" t="s">
        <v>2182</v>
      </c>
      <c r="V135" s="123"/>
      <c r="W135" s="123" t="s">
        <v>3520</v>
      </c>
    </row>
    <row r="136" spans="1:23">
      <c r="A136" s="414">
        <v>134</v>
      </c>
      <c r="B136" s="184" t="s">
        <v>2309</v>
      </c>
      <c r="C136" s="184" t="s">
        <v>2350</v>
      </c>
      <c r="D136" s="122" t="s">
        <v>2222</v>
      </c>
      <c r="E136" s="124">
        <v>42939</v>
      </c>
      <c r="F136" s="125">
        <v>0.46527777777777773</v>
      </c>
      <c r="G136" s="124">
        <v>43008</v>
      </c>
      <c r="H136" s="125">
        <v>0.4291666666666667</v>
      </c>
      <c r="I136" s="123">
        <v>675</v>
      </c>
      <c r="J136" s="123">
        <v>316</v>
      </c>
      <c r="K136" s="123">
        <v>837</v>
      </c>
      <c r="L136" s="123">
        <v>40</v>
      </c>
      <c r="M136" s="123">
        <v>649</v>
      </c>
      <c r="N136" s="123">
        <v>29.8</v>
      </c>
      <c r="O136" s="123">
        <v>5.5</v>
      </c>
      <c r="P136" s="123" t="s">
        <v>2507</v>
      </c>
      <c r="Q136" s="123">
        <v>28.6</v>
      </c>
      <c r="R136" s="123">
        <v>7.8</v>
      </c>
      <c r="S136" s="123" t="s">
        <v>2182</v>
      </c>
      <c r="T136" s="123" t="s">
        <v>2314</v>
      </c>
      <c r="U136" s="123" t="s">
        <v>2182</v>
      </c>
      <c r="V136" s="123" t="s">
        <v>2182</v>
      </c>
      <c r="W136" s="123"/>
    </row>
    <row r="137" spans="1:23">
      <c r="A137" s="414">
        <v>135</v>
      </c>
      <c r="B137" s="184" t="s">
        <v>2309</v>
      </c>
      <c r="C137" s="184" t="s">
        <v>2351</v>
      </c>
      <c r="D137" s="122" t="s">
        <v>2222</v>
      </c>
      <c r="E137" s="124">
        <v>42939</v>
      </c>
      <c r="F137" s="125">
        <v>0.45833333333333331</v>
      </c>
      <c r="G137" s="124">
        <v>43008</v>
      </c>
      <c r="H137" s="125">
        <v>0.43333333333333335</v>
      </c>
      <c r="I137" s="123">
        <v>677</v>
      </c>
      <c r="J137" s="123">
        <v>77</v>
      </c>
      <c r="K137" s="123">
        <v>756</v>
      </c>
      <c r="L137" s="123">
        <v>517</v>
      </c>
      <c r="M137" s="123">
        <v>223</v>
      </c>
      <c r="N137" s="123">
        <v>34.4</v>
      </c>
      <c r="O137" s="123">
        <v>5.3</v>
      </c>
      <c r="P137" s="123" t="s">
        <v>2507</v>
      </c>
      <c r="Q137" s="123">
        <v>28.3</v>
      </c>
      <c r="R137" s="123">
        <v>11.8</v>
      </c>
      <c r="S137" s="123" t="s">
        <v>2190</v>
      </c>
      <c r="T137" s="123" t="s">
        <v>2190</v>
      </c>
      <c r="U137" s="123"/>
      <c r="V137" s="123"/>
      <c r="W137" s="123"/>
    </row>
    <row r="138" spans="1:23">
      <c r="A138" s="414">
        <v>136</v>
      </c>
      <c r="B138" s="184" t="s">
        <v>2309</v>
      </c>
      <c r="C138" s="184" t="s">
        <v>2352</v>
      </c>
      <c r="D138" s="122" t="s">
        <v>2222</v>
      </c>
      <c r="E138" s="124">
        <v>42939</v>
      </c>
      <c r="F138" s="125">
        <v>0.46527777777777773</v>
      </c>
      <c r="G138" s="124">
        <v>43008</v>
      </c>
      <c r="H138" s="125">
        <v>0.43194444444444446</v>
      </c>
      <c r="I138" s="123">
        <v>678</v>
      </c>
      <c r="J138" s="123">
        <v>332</v>
      </c>
      <c r="K138" s="123">
        <v>184</v>
      </c>
      <c r="L138" s="123">
        <v>67</v>
      </c>
      <c r="M138" s="123">
        <v>214</v>
      </c>
      <c r="N138" s="123">
        <v>30.7</v>
      </c>
      <c r="O138" s="123">
        <v>5.3</v>
      </c>
      <c r="P138" s="123" t="s">
        <v>2507</v>
      </c>
      <c r="Q138" s="123">
        <v>29.1</v>
      </c>
      <c r="R138" s="123">
        <v>6.5</v>
      </c>
      <c r="S138" s="123" t="s">
        <v>2314</v>
      </c>
      <c r="T138" s="123"/>
      <c r="U138" s="123" t="s">
        <v>2182</v>
      </c>
      <c r="V138" s="123"/>
      <c r="W138" s="123"/>
    </row>
    <row r="139" spans="1:23">
      <c r="A139" s="414">
        <v>137</v>
      </c>
      <c r="B139" s="184" t="s">
        <v>2309</v>
      </c>
      <c r="C139" s="184" t="s">
        <v>2353</v>
      </c>
      <c r="D139" s="122" t="s">
        <v>2239</v>
      </c>
      <c r="E139" s="124">
        <v>42939</v>
      </c>
      <c r="F139" s="125">
        <v>0.3611111111111111</v>
      </c>
      <c r="G139" s="124">
        <v>43008</v>
      </c>
      <c r="H139" s="125">
        <v>0.48888888888888887</v>
      </c>
      <c r="I139" s="123">
        <v>681</v>
      </c>
      <c r="J139" s="123">
        <v>30</v>
      </c>
      <c r="K139" s="123">
        <v>746</v>
      </c>
      <c r="L139" s="123">
        <v>335</v>
      </c>
      <c r="M139" s="123">
        <v>628</v>
      </c>
      <c r="N139" s="123">
        <v>26.5</v>
      </c>
      <c r="O139" s="123">
        <v>5.7</v>
      </c>
      <c r="P139" s="123" t="s">
        <v>2507</v>
      </c>
      <c r="Q139" s="123">
        <v>28.6</v>
      </c>
      <c r="R139" s="123">
        <v>12.1</v>
      </c>
      <c r="S139" s="123" t="s">
        <v>2174</v>
      </c>
      <c r="T139" s="123" t="s">
        <v>2190</v>
      </c>
      <c r="U139" s="123"/>
      <c r="V139" s="123"/>
      <c r="W139" s="123"/>
    </row>
    <row r="140" spans="1:23">
      <c r="A140" s="414">
        <v>138</v>
      </c>
      <c r="B140" s="184" t="s">
        <v>2309</v>
      </c>
      <c r="C140" s="184" t="s">
        <v>2354</v>
      </c>
      <c r="D140" s="122" t="s">
        <v>2239</v>
      </c>
      <c r="E140" s="124">
        <v>42939</v>
      </c>
      <c r="F140" s="125">
        <v>0.3611111111111111</v>
      </c>
      <c r="G140" s="124">
        <v>43008</v>
      </c>
      <c r="H140" s="125">
        <v>0.5</v>
      </c>
      <c r="I140" s="123">
        <v>682</v>
      </c>
      <c r="J140" s="123">
        <v>213</v>
      </c>
      <c r="K140" s="123">
        <v>821</v>
      </c>
      <c r="L140" s="123">
        <v>484</v>
      </c>
      <c r="M140" s="123">
        <v>198</v>
      </c>
      <c r="N140" s="123">
        <v>28.7</v>
      </c>
      <c r="O140" s="123">
        <v>5</v>
      </c>
      <c r="P140" s="123" t="s">
        <v>2507</v>
      </c>
      <c r="Q140" s="123">
        <v>28.9</v>
      </c>
      <c r="R140" s="123">
        <v>9.1</v>
      </c>
      <c r="S140" s="123" t="s">
        <v>2190</v>
      </c>
      <c r="T140" s="123" t="s">
        <v>2190</v>
      </c>
      <c r="U140" s="123"/>
      <c r="V140" s="123"/>
      <c r="W140" s="123"/>
    </row>
    <row r="141" spans="1:23">
      <c r="A141" s="414">
        <v>139</v>
      </c>
      <c r="B141" s="184" t="s">
        <v>2309</v>
      </c>
      <c r="C141" s="184" t="s">
        <v>2355</v>
      </c>
      <c r="D141" s="122" t="s">
        <v>2239</v>
      </c>
      <c r="E141" s="124">
        <v>42939</v>
      </c>
      <c r="F141" s="125">
        <v>0.3611111111111111</v>
      </c>
      <c r="G141" s="124">
        <v>43008</v>
      </c>
      <c r="H141" s="125">
        <v>0.50347222222222221</v>
      </c>
      <c r="I141" s="123">
        <v>683</v>
      </c>
      <c r="J141" s="129">
        <v>17</v>
      </c>
      <c r="K141" s="123">
        <v>813</v>
      </c>
      <c r="L141" s="123">
        <v>868</v>
      </c>
      <c r="M141" s="123">
        <v>706</v>
      </c>
      <c r="N141" s="123">
        <v>27.3</v>
      </c>
      <c r="O141" s="123">
        <v>5.3</v>
      </c>
      <c r="P141" s="123" t="s">
        <v>2507</v>
      </c>
      <c r="Q141" s="123">
        <v>29</v>
      </c>
      <c r="R141" s="123">
        <v>17.100000000000001</v>
      </c>
      <c r="S141" s="123" t="s">
        <v>2190</v>
      </c>
      <c r="T141" s="123" t="s">
        <v>2190</v>
      </c>
      <c r="U141" s="123"/>
      <c r="V141" s="123"/>
      <c r="W141" s="123"/>
    </row>
    <row r="142" spans="1:23">
      <c r="A142" s="414">
        <v>140</v>
      </c>
      <c r="B142" s="184" t="s">
        <v>2309</v>
      </c>
      <c r="C142" s="184" t="s">
        <v>2357</v>
      </c>
      <c r="D142" s="122" t="s">
        <v>2239</v>
      </c>
      <c r="E142" s="124">
        <v>42939</v>
      </c>
      <c r="F142" s="125">
        <v>0.36458333333333331</v>
      </c>
      <c r="G142" s="124">
        <v>43008</v>
      </c>
      <c r="H142" s="125">
        <v>0.49305555555555558</v>
      </c>
      <c r="I142" s="123">
        <v>684</v>
      </c>
      <c r="J142" s="123">
        <v>401</v>
      </c>
      <c r="K142" s="123">
        <v>729</v>
      </c>
      <c r="L142" s="123">
        <v>792</v>
      </c>
      <c r="M142" s="123">
        <v>710</v>
      </c>
      <c r="N142" s="123">
        <v>25.4</v>
      </c>
      <c r="O142" s="123">
        <v>5.3</v>
      </c>
      <c r="P142" s="123" t="s">
        <v>2507</v>
      </c>
      <c r="Q142" s="123">
        <v>30.6</v>
      </c>
      <c r="R142" s="123">
        <v>9.3000000000000007</v>
      </c>
      <c r="S142" s="123" t="s">
        <v>2182</v>
      </c>
      <c r="T142" s="123" t="s">
        <v>2190</v>
      </c>
      <c r="U142" s="123"/>
      <c r="V142" s="123"/>
      <c r="W142" s="123" t="s">
        <v>3526</v>
      </c>
    </row>
    <row r="143" spans="1:23">
      <c r="A143" s="414">
        <v>141</v>
      </c>
      <c r="B143" s="184" t="s">
        <v>2309</v>
      </c>
      <c r="C143" s="184" t="s">
        <v>2358</v>
      </c>
      <c r="D143" s="122" t="s">
        <v>2239</v>
      </c>
      <c r="E143" s="124"/>
      <c r="F143" s="124"/>
      <c r="G143" s="124"/>
      <c r="H143" s="125"/>
      <c r="I143" s="123">
        <v>685</v>
      </c>
      <c r="J143" s="124"/>
      <c r="K143" s="124"/>
      <c r="L143" s="124"/>
      <c r="M143" s="124"/>
      <c r="N143" s="124"/>
      <c r="O143" s="124"/>
      <c r="P143" s="124"/>
      <c r="Q143" s="123"/>
      <c r="R143" s="123"/>
      <c r="S143" s="123"/>
      <c r="T143" s="123"/>
      <c r="U143" s="123"/>
      <c r="V143" s="123"/>
      <c r="W143" s="123"/>
    </row>
    <row r="144" spans="1:23">
      <c r="A144" s="414">
        <v>142</v>
      </c>
      <c r="B144" s="184" t="s">
        <v>2309</v>
      </c>
      <c r="C144" s="184" t="s">
        <v>2359</v>
      </c>
      <c r="D144" s="122" t="s">
        <v>2239</v>
      </c>
      <c r="E144" s="124">
        <v>42939</v>
      </c>
      <c r="F144" s="125">
        <v>0.38194444444444442</v>
      </c>
      <c r="G144" s="124">
        <v>43008</v>
      </c>
      <c r="H144" s="125">
        <v>0.48472222222222222</v>
      </c>
      <c r="I144" s="123">
        <v>686</v>
      </c>
      <c r="J144" s="123">
        <v>87</v>
      </c>
      <c r="K144" s="123">
        <v>834</v>
      </c>
      <c r="L144" s="123">
        <v>711</v>
      </c>
      <c r="M144" s="123">
        <v>626</v>
      </c>
      <c r="N144" s="123">
        <v>27</v>
      </c>
      <c r="O144" s="123">
        <v>6.2</v>
      </c>
      <c r="P144" s="123" t="s">
        <v>2507</v>
      </c>
      <c r="Q144" s="123">
        <v>29.8</v>
      </c>
      <c r="R144" s="123">
        <v>10.7</v>
      </c>
      <c r="S144" s="123" t="s">
        <v>3527</v>
      </c>
      <c r="T144" s="123"/>
      <c r="U144" s="123" t="s">
        <v>2182</v>
      </c>
      <c r="V144" s="123"/>
      <c r="W144" s="123" t="s">
        <v>3520</v>
      </c>
    </row>
    <row r="145" spans="1:23">
      <c r="A145" s="414">
        <v>143</v>
      </c>
      <c r="B145" s="184" t="s">
        <v>2309</v>
      </c>
      <c r="C145" s="184" t="s">
        <v>2360</v>
      </c>
      <c r="D145" s="122" t="s">
        <v>2239</v>
      </c>
      <c r="E145" s="124">
        <v>42939</v>
      </c>
      <c r="F145" s="125">
        <v>0.38541666666666669</v>
      </c>
      <c r="G145" s="124">
        <v>43008</v>
      </c>
      <c r="H145" s="125">
        <v>0.49722222222222223</v>
      </c>
      <c r="I145" s="123">
        <v>687</v>
      </c>
      <c r="J145" s="123">
        <v>501</v>
      </c>
      <c r="K145" s="123">
        <v>774</v>
      </c>
      <c r="L145" s="123">
        <v>205</v>
      </c>
      <c r="M145" s="123">
        <v>195</v>
      </c>
      <c r="N145" s="123">
        <v>27.2</v>
      </c>
      <c r="O145" s="123">
        <v>6.3</v>
      </c>
      <c r="P145" s="123" t="s">
        <v>2507</v>
      </c>
      <c r="Q145" s="123">
        <v>28.8</v>
      </c>
      <c r="R145" s="123">
        <v>18.7</v>
      </c>
      <c r="S145" s="123"/>
      <c r="T145" s="123"/>
      <c r="U145" s="123" t="s">
        <v>2182</v>
      </c>
      <c r="V145" s="123"/>
      <c r="W145" s="123"/>
    </row>
    <row r="146" spans="1:23">
      <c r="A146" s="414">
        <v>144</v>
      </c>
      <c r="B146" s="184" t="s">
        <v>2309</v>
      </c>
      <c r="C146" s="184" t="s">
        <v>2361</v>
      </c>
      <c r="D146" s="122" t="s">
        <v>2239</v>
      </c>
      <c r="E146" s="124">
        <v>42939</v>
      </c>
      <c r="F146" s="125">
        <v>0.38541666666666669</v>
      </c>
      <c r="G146" s="124">
        <v>43008</v>
      </c>
      <c r="H146" s="125">
        <v>0.49513888888888885</v>
      </c>
      <c r="I146" s="123">
        <v>688</v>
      </c>
      <c r="J146" s="123">
        <v>141</v>
      </c>
      <c r="K146" s="123">
        <v>779</v>
      </c>
      <c r="L146" s="123">
        <v>384</v>
      </c>
      <c r="M146" s="123">
        <v>295</v>
      </c>
      <c r="N146" s="123">
        <v>27.8</v>
      </c>
      <c r="O146" s="123">
        <v>2.9</v>
      </c>
      <c r="P146" s="123" t="s">
        <v>2507</v>
      </c>
      <c r="Q146" s="123">
        <v>30.5</v>
      </c>
      <c r="R146" s="123">
        <v>16</v>
      </c>
      <c r="S146" s="123" t="s">
        <v>2174</v>
      </c>
      <c r="T146" s="123" t="s">
        <v>2190</v>
      </c>
      <c r="U146" s="123"/>
      <c r="V146" s="123"/>
      <c r="W146" s="123" t="s">
        <v>3529</v>
      </c>
    </row>
    <row r="147" spans="1:23">
      <c r="A147" s="414">
        <v>145</v>
      </c>
      <c r="B147" s="184" t="s">
        <v>2309</v>
      </c>
      <c r="C147" s="184" t="s">
        <v>2362</v>
      </c>
      <c r="D147" s="122" t="s">
        <v>2251</v>
      </c>
      <c r="E147" s="124">
        <v>42939</v>
      </c>
      <c r="F147" s="125">
        <v>0.62847222222222221</v>
      </c>
      <c r="G147" s="124">
        <v>43010</v>
      </c>
      <c r="H147" s="125">
        <v>0.40763888888888888</v>
      </c>
      <c r="I147" s="123">
        <v>698</v>
      </c>
      <c r="J147" s="123">
        <v>131</v>
      </c>
      <c r="K147" s="123">
        <v>728</v>
      </c>
      <c r="L147" s="129">
        <v>72</v>
      </c>
      <c r="M147" s="123">
        <v>609</v>
      </c>
      <c r="N147" s="123">
        <v>31.2</v>
      </c>
      <c r="O147" s="123">
        <v>5.6</v>
      </c>
      <c r="P147" s="123" t="s">
        <v>2507</v>
      </c>
      <c r="Q147" s="123">
        <v>28.8</v>
      </c>
      <c r="R147" s="123">
        <v>7.1</v>
      </c>
      <c r="S147" s="123"/>
      <c r="T147" s="123"/>
      <c r="U147" s="123"/>
      <c r="V147" s="123"/>
      <c r="W147" s="123"/>
    </row>
    <row r="148" spans="1:23">
      <c r="A148" s="414">
        <v>146</v>
      </c>
      <c r="B148" s="184" t="s">
        <v>2309</v>
      </c>
      <c r="C148" s="184" t="s">
        <v>2363</v>
      </c>
      <c r="D148" s="122" t="s">
        <v>2251</v>
      </c>
      <c r="E148" s="124">
        <v>42939</v>
      </c>
      <c r="F148" s="125">
        <v>0.63194444444444442</v>
      </c>
      <c r="G148" s="124">
        <v>43010</v>
      </c>
      <c r="H148" s="125">
        <v>0.40416666666666662</v>
      </c>
      <c r="I148" s="123">
        <v>699</v>
      </c>
      <c r="J148" s="123">
        <v>465</v>
      </c>
      <c r="K148" s="123">
        <v>13</v>
      </c>
      <c r="L148" s="123">
        <v>336</v>
      </c>
      <c r="M148" s="123">
        <v>292</v>
      </c>
      <c r="N148" s="123">
        <v>34.1</v>
      </c>
      <c r="O148" s="123">
        <v>2.6</v>
      </c>
      <c r="P148" s="123" t="s">
        <v>2507</v>
      </c>
      <c r="Q148" s="123">
        <v>27.9</v>
      </c>
      <c r="R148" s="123">
        <v>9.6</v>
      </c>
      <c r="S148" s="123"/>
      <c r="T148" s="123" t="s">
        <v>2174</v>
      </c>
      <c r="U148" s="123"/>
      <c r="V148" s="123"/>
      <c r="W148" s="123" t="s">
        <v>3530</v>
      </c>
    </row>
    <row r="149" spans="1:23">
      <c r="A149" s="414">
        <v>147</v>
      </c>
      <c r="B149" s="184" t="s">
        <v>2309</v>
      </c>
      <c r="C149" s="184" t="s">
        <v>2364</v>
      </c>
      <c r="D149" s="122" t="s">
        <v>2251</v>
      </c>
      <c r="E149" s="124">
        <v>42939</v>
      </c>
      <c r="F149" s="125">
        <v>0.625</v>
      </c>
      <c r="G149" s="124">
        <v>43010</v>
      </c>
      <c r="H149" s="125">
        <v>0.40902777777777777</v>
      </c>
      <c r="I149" s="123">
        <v>700</v>
      </c>
      <c r="J149" s="123">
        <v>15</v>
      </c>
      <c r="K149" s="123">
        <v>832</v>
      </c>
      <c r="L149" s="123">
        <v>303</v>
      </c>
      <c r="M149" s="123">
        <v>243</v>
      </c>
      <c r="N149" s="123">
        <v>32.200000000000003</v>
      </c>
      <c r="O149" s="123">
        <v>5</v>
      </c>
      <c r="P149" s="123" t="s">
        <v>2507</v>
      </c>
      <c r="Q149" s="123">
        <v>27.6</v>
      </c>
      <c r="R149" s="123">
        <v>6.2</v>
      </c>
      <c r="S149" s="123"/>
      <c r="T149" s="123" t="s">
        <v>2174</v>
      </c>
      <c r="U149" s="123"/>
      <c r="V149" s="123"/>
      <c r="W149" s="123"/>
    </row>
    <row r="150" spans="1:23">
      <c r="A150" s="414">
        <v>148</v>
      </c>
      <c r="B150" s="184" t="s">
        <v>2309</v>
      </c>
      <c r="C150" s="184" t="s">
        <v>2365</v>
      </c>
      <c r="D150" s="122" t="s">
        <v>2251</v>
      </c>
      <c r="E150" s="124">
        <v>42939</v>
      </c>
      <c r="F150" s="125">
        <v>0.62847222222222221</v>
      </c>
      <c r="G150" s="124">
        <v>43010</v>
      </c>
      <c r="H150" s="125">
        <v>0.40972222222222227</v>
      </c>
      <c r="I150" s="123">
        <v>701</v>
      </c>
      <c r="J150" s="123">
        <v>290</v>
      </c>
      <c r="K150" s="123">
        <v>823</v>
      </c>
      <c r="L150" s="123">
        <v>161</v>
      </c>
      <c r="M150" s="123">
        <v>422</v>
      </c>
      <c r="N150" s="123">
        <v>34.200000000000003</v>
      </c>
      <c r="O150" s="123">
        <v>4.5999999999999996</v>
      </c>
      <c r="P150" s="123" t="s">
        <v>2507</v>
      </c>
      <c r="Q150" s="123">
        <v>29</v>
      </c>
      <c r="R150" s="123">
        <v>8.4</v>
      </c>
      <c r="S150" s="123"/>
      <c r="T150" s="123" t="s">
        <v>2190</v>
      </c>
      <c r="U150" s="123" t="s">
        <v>2314</v>
      </c>
      <c r="V150" s="123"/>
      <c r="W150" s="123"/>
    </row>
    <row r="151" spans="1:23">
      <c r="A151" s="414">
        <v>149</v>
      </c>
      <c r="B151" s="184" t="s">
        <v>2309</v>
      </c>
      <c r="C151" s="184" t="s">
        <v>2366</v>
      </c>
      <c r="D151" s="122" t="s">
        <v>2251</v>
      </c>
      <c r="E151" s="124">
        <v>42939</v>
      </c>
      <c r="F151" s="125">
        <v>0.62847222222222221</v>
      </c>
      <c r="G151" s="124">
        <v>43010</v>
      </c>
      <c r="H151" s="125">
        <v>0.41111111111111115</v>
      </c>
      <c r="I151" s="123">
        <v>702</v>
      </c>
      <c r="J151" s="129">
        <v>194</v>
      </c>
      <c r="K151" s="123">
        <v>703</v>
      </c>
      <c r="L151" s="123">
        <v>464</v>
      </c>
      <c r="M151" s="123">
        <v>664</v>
      </c>
      <c r="N151" s="123">
        <v>34.299999999999997</v>
      </c>
      <c r="O151" s="123">
        <v>5.2</v>
      </c>
      <c r="P151" s="123" t="s">
        <v>2507</v>
      </c>
      <c r="Q151" s="123">
        <v>27.7</v>
      </c>
      <c r="R151" s="123">
        <v>7.4</v>
      </c>
      <c r="S151" s="123"/>
      <c r="T151" s="123"/>
      <c r="U151" s="123"/>
      <c r="V151" s="123"/>
      <c r="W151" s="123"/>
    </row>
    <row r="152" spans="1:23">
      <c r="A152" s="414">
        <v>150</v>
      </c>
      <c r="B152" s="184" t="s">
        <v>2309</v>
      </c>
      <c r="C152" s="184" t="s">
        <v>2367</v>
      </c>
      <c r="D152" s="122" t="s">
        <v>2251</v>
      </c>
      <c r="E152" s="124">
        <v>42939</v>
      </c>
      <c r="F152" s="125">
        <v>0.63194444444444442</v>
      </c>
      <c r="G152" s="124">
        <v>43010</v>
      </c>
      <c r="H152" s="125">
        <v>0.40208333333333335</v>
      </c>
      <c r="I152" s="123">
        <v>703</v>
      </c>
      <c r="J152" s="123">
        <v>272</v>
      </c>
      <c r="K152" s="123">
        <v>668</v>
      </c>
      <c r="L152" s="123">
        <v>843</v>
      </c>
      <c r="M152" s="123">
        <v>316</v>
      </c>
      <c r="N152" s="123">
        <v>34.1</v>
      </c>
      <c r="O152" s="123">
        <v>4.3</v>
      </c>
      <c r="P152" s="123" t="s">
        <v>2507</v>
      </c>
      <c r="Q152" s="123">
        <v>27.5</v>
      </c>
      <c r="R152" s="123">
        <v>8.1</v>
      </c>
      <c r="S152" s="123" t="s">
        <v>2174</v>
      </c>
      <c r="T152" s="123" t="s">
        <v>2174</v>
      </c>
      <c r="U152" s="123"/>
      <c r="V152" s="123"/>
      <c r="W152" s="123" t="s">
        <v>3520</v>
      </c>
    </row>
    <row r="153" spans="1:23">
      <c r="A153" s="414">
        <v>151</v>
      </c>
      <c r="B153" s="184" t="s">
        <v>2309</v>
      </c>
      <c r="C153" s="184" t="s">
        <v>2368</v>
      </c>
      <c r="D153" s="122" t="s">
        <v>2251</v>
      </c>
      <c r="E153" s="123"/>
      <c r="F153" s="123"/>
      <c r="G153" s="123"/>
      <c r="H153" s="123"/>
      <c r="I153" s="123">
        <v>704</v>
      </c>
      <c r="J153" s="123"/>
      <c r="K153" s="123"/>
      <c r="L153" s="123"/>
      <c r="M153" s="123"/>
      <c r="N153" s="123"/>
      <c r="O153" s="123"/>
      <c r="P153" s="123"/>
      <c r="Q153" s="123"/>
      <c r="R153" s="123"/>
      <c r="S153" s="123"/>
      <c r="T153" s="123"/>
      <c r="U153" s="123"/>
      <c r="V153" s="123"/>
      <c r="W153" s="123"/>
    </row>
    <row r="154" spans="1:23">
      <c r="A154" s="414">
        <v>152</v>
      </c>
      <c r="B154" s="184" t="s">
        <v>2309</v>
      </c>
      <c r="C154" s="184" t="s">
        <v>2369</v>
      </c>
      <c r="D154" s="122" t="s">
        <v>2251</v>
      </c>
      <c r="E154" s="124">
        <v>42939</v>
      </c>
      <c r="F154" s="125">
        <v>0.63194444444444442</v>
      </c>
      <c r="G154" s="124">
        <v>43010</v>
      </c>
      <c r="H154" s="125">
        <v>0.4145833333333333</v>
      </c>
      <c r="I154" s="123">
        <v>705</v>
      </c>
      <c r="J154" s="123">
        <v>198</v>
      </c>
      <c r="K154" s="123">
        <v>788</v>
      </c>
      <c r="L154" s="123">
        <v>617</v>
      </c>
      <c r="M154" s="123">
        <v>635</v>
      </c>
      <c r="N154" s="123">
        <v>30.9</v>
      </c>
      <c r="O154" s="123">
        <v>6.4</v>
      </c>
      <c r="P154" s="123" t="s">
        <v>2507</v>
      </c>
      <c r="Q154" s="123">
        <v>26</v>
      </c>
      <c r="R154" s="123">
        <v>6.4</v>
      </c>
      <c r="S154" s="123" t="s">
        <v>2190</v>
      </c>
      <c r="T154" s="123" t="s">
        <v>2174</v>
      </c>
      <c r="U154" s="123"/>
      <c r="V154" s="123"/>
      <c r="W154" s="123" t="s">
        <v>3531</v>
      </c>
    </row>
    <row r="155" spans="1:23">
      <c r="A155" s="414">
        <v>153</v>
      </c>
      <c r="B155" s="184" t="s">
        <v>2309</v>
      </c>
      <c r="C155" s="184" t="s">
        <v>2371</v>
      </c>
      <c r="D155" s="122" t="s">
        <v>2260</v>
      </c>
      <c r="E155" s="124">
        <v>42939</v>
      </c>
      <c r="F155" s="125">
        <v>0.61111111111111105</v>
      </c>
      <c r="G155" s="124">
        <v>43010</v>
      </c>
      <c r="H155" s="125">
        <v>0.42777777777777781</v>
      </c>
      <c r="I155" s="123">
        <v>710</v>
      </c>
      <c r="J155" s="123">
        <v>197</v>
      </c>
      <c r="K155" s="123">
        <v>735</v>
      </c>
      <c r="L155" s="123">
        <v>19</v>
      </c>
      <c r="M155" s="123">
        <v>651</v>
      </c>
      <c r="N155" s="123">
        <v>35.5</v>
      </c>
      <c r="O155" s="123">
        <v>4.9000000000000004</v>
      </c>
      <c r="P155" s="123" t="s">
        <v>2507</v>
      </c>
      <c r="Q155" s="123">
        <v>27.8</v>
      </c>
      <c r="R155" s="123">
        <v>6.4</v>
      </c>
      <c r="S155" s="123" t="s">
        <v>2190</v>
      </c>
      <c r="T155" s="123" t="s">
        <v>2190</v>
      </c>
      <c r="U155" s="123"/>
      <c r="V155" s="123"/>
      <c r="W155" s="123"/>
    </row>
    <row r="156" spans="1:23">
      <c r="A156" s="414">
        <v>154</v>
      </c>
      <c r="B156" s="184" t="s">
        <v>2309</v>
      </c>
      <c r="C156" s="184" t="s">
        <v>2372</v>
      </c>
      <c r="D156" s="122" t="s">
        <v>2260</v>
      </c>
      <c r="E156" s="124">
        <v>42939</v>
      </c>
      <c r="F156" s="125">
        <v>0.61111111111111105</v>
      </c>
      <c r="G156" s="124">
        <v>43010</v>
      </c>
      <c r="H156" s="125">
        <v>0.42499999999999999</v>
      </c>
      <c r="I156" s="123">
        <v>711</v>
      </c>
      <c r="J156" s="123">
        <v>127</v>
      </c>
      <c r="K156" s="123">
        <v>836</v>
      </c>
      <c r="L156" s="123">
        <v>275</v>
      </c>
      <c r="M156" s="123">
        <v>367</v>
      </c>
      <c r="N156" s="123">
        <v>32.9</v>
      </c>
      <c r="O156" s="123">
        <v>3.8</v>
      </c>
      <c r="P156" s="123" t="s">
        <v>2507</v>
      </c>
      <c r="Q156" s="123">
        <v>28</v>
      </c>
      <c r="R156" s="123">
        <v>4.3</v>
      </c>
      <c r="S156" s="123" t="s">
        <v>2233</v>
      </c>
      <c r="T156" s="123" t="s">
        <v>2174</v>
      </c>
      <c r="U156" s="123"/>
      <c r="V156" s="123"/>
      <c r="W156" s="123"/>
    </row>
    <row r="157" spans="1:23">
      <c r="A157" s="414">
        <v>155</v>
      </c>
      <c r="B157" s="184" t="s">
        <v>2309</v>
      </c>
      <c r="C157" s="184" t="s">
        <v>2373</v>
      </c>
      <c r="D157" s="122" t="s">
        <v>2260</v>
      </c>
      <c r="E157" s="124">
        <v>42939</v>
      </c>
      <c r="F157" s="125">
        <v>0.61111111111111105</v>
      </c>
      <c r="G157" s="124">
        <v>43010</v>
      </c>
      <c r="H157" s="125">
        <v>0.42638888888888887</v>
      </c>
      <c r="I157" s="123">
        <v>712</v>
      </c>
      <c r="J157" s="123">
        <v>253</v>
      </c>
      <c r="K157" s="123">
        <v>337</v>
      </c>
      <c r="L157" s="123">
        <v>289</v>
      </c>
      <c r="M157" s="123">
        <v>617</v>
      </c>
      <c r="N157" s="123">
        <v>31.2</v>
      </c>
      <c r="O157" s="123">
        <v>4.9000000000000004</v>
      </c>
      <c r="P157" s="123" t="s">
        <v>2507</v>
      </c>
      <c r="Q157" s="123">
        <v>27.6</v>
      </c>
      <c r="R157" s="123">
        <v>5.3</v>
      </c>
      <c r="S157" s="123" t="s">
        <v>2174</v>
      </c>
      <c r="T157" s="123" t="s">
        <v>2233</v>
      </c>
      <c r="U157" s="123"/>
      <c r="V157" s="123"/>
      <c r="W157" s="123"/>
    </row>
    <row r="158" spans="1:23">
      <c r="A158" s="414">
        <v>156</v>
      </c>
      <c r="B158" s="184" t="s">
        <v>2309</v>
      </c>
      <c r="C158" s="184" t="s">
        <v>2374</v>
      </c>
      <c r="D158" s="122" t="s">
        <v>2260</v>
      </c>
      <c r="E158" s="124">
        <v>42939</v>
      </c>
      <c r="F158" s="125">
        <v>0.60416666666666663</v>
      </c>
      <c r="G158" s="124">
        <v>43010</v>
      </c>
      <c r="H158" s="125">
        <v>0.43472222222222223</v>
      </c>
      <c r="I158" s="123">
        <v>713</v>
      </c>
      <c r="J158" s="123">
        <v>47</v>
      </c>
      <c r="K158" s="123">
        <v>118</v>
      </c>
      <c r="L158" s="123">
        <v>65</v>
      </c>
      <c r="M158" s="123">
        <v>84</v>
      </c>
      <c r="N158" s="123">
        <v>32.200000000000003</v>
      </c>
      <c r="O158" s="123">
        <v>4.7</v>
      </c>
      <c r="P158" s="123" t="s">
        <v>2507</v>
      </c>
      <c r="Q158" s="123">
        <v>28.5</v>
      </c>
      <c r="R158" s="123">
        <v>4.3</v>
      </c>
      <c r="S158" s="123" t="s">
        <v>2195</v>
      </c>
      <c r="T158" s="123" t="s">
        <v>2190</v>
      </c>
      <c r="U158" s="123"/>
      <c r="V158" s="123"/>
      <c r="W158" s="123" t="s">
        <v>3532</v>
      </c>
    </row>
    <row r="159" spans="1:23">
      <c r="A159" s="414">
        <v>157</v>
      </c>
      <c r="B159" s="184" t="s">
        <v>2309</v>
      </c>
      <c r="C159" s="184" t="s">
        <v>2376</v>
      </c>
      <c r="D159" s="122" t="s">
        <v>2260</v>
      </c>
      <c r="E159" s="124">
        <v>42939</v>
      </c>
      <c r="F159" s="125">
        <v>0.60416666666666663</v>
      </c>
      <c r="G159" s="124">
        <v>43010</v>
      </c>
      <c r="H159" s="125">
        <v>0.42152777777777778</v>
      </c>
      <c r="I159" s="123">
        <v>714</v>
      </c>
      <c r="J159" s="123">
        <v>328</v>
      </c>
      <c r="K159" s="123">
        <v>478</v>
      </c>
      <c r="L159" s="123">
        <v>33</v>
      </c>
      <c r="M159" s="123">
        <v>248</v>
      </c>
      <c r="N159" s="123">
        <v>31.3</v>
      </c>
      <c r="O159" s="123">
        <v>5.6</v>
      </c>
      <c r="P159" s="123" t="s">
        <v>2507</v>
      </c>
      <c r="Q159" s="123">
        <v>28.4</v>
      </c>
      <c r="R159" s="123">
        <v>5.7</v>
      </c>
      <c r="S159" s="123" t="s">
        <v>3528</v>
      </c>
      <c r="T159" s="123" t="s">
        <v>3527</v>
      </c>
      <c r="U159" s="123"/>
      <c r="V159" s="123"/>
      <c r="W159" s="123" t="s">
        <v>3520</v>
      </c>
    </row>
    <row r="160" spans="1:23">
      <c r="A160" s="414">
        <v>158</v>
      </c>
      <c r="B160" s="184" t="s">
        <v>2309</v>
      </c>
      <c r="C160" s="184" t="s">
        <v>2377</v>
      </c>
      <c r="D160" s="122" t="s">
        <v>2260</v>
      </c>
      <c r="E160" s="124">
        <v>42939</v>
      </c>
      <c r="F160" s="125">
        <v>0.60069444444444442</v>
      </c>
      <c r="G160" s="124">
        <v>43010</v>
      </c>
      <c r="H160" s="125">
        <v>0.43194444444444446</v>
      </c>
      <c r="I160" s="123">
        <v>715</v>
      </c>
      <c r="J160" s="123">
        <v>21</v>
      </c>
      <c r="K160" s="123">
        <v>773</v>
      </c>
      <c r="L160" s="123">
        <v>153</v>
      </c>
      <c r="M160" s="123">
        <v>238</v>
      </c>
      <c r="N160" s="123">
        <v>35.700000000000003</v>
      </c>
      <c r="O160" s="123">
        <v>6.9</v>
      </c>
      <c r="P160" s="123" t="s">
        <v>2507</v>
      </c>
      <c r="Q160" s="123">
        <v>27.9</v>
      </c>
      <c r="R160" s="123">
        <v>5</v>
      </c>
      <c r="S160" s="123" t="s">
        <v>2190</v>
      </c>
      <c r="T160" s="123" t="s">
        <v>2233</v>
      </c>
      <c r="U160" s="123"/>
      <c r="V160" s="123"/>
      <c r="W160" s="123" t="s">
        <v>3533</v>
      </c>
    </row>
    <row r="161" spans="1:23">
      <c r="A161" s="414">
        <v>159</v>
      </c>
      <c r="B161" s="184" t="s">
        <v>2309</v>
      </c>
      <c r="C161" s="184" t="s">
        <v>2378</v>
      </c>
      <c r="D161" s="122" t="s">
        <v>2260</v>
      </c>
      <c r="E161" s="123"/>
      <c r="F161" s="123"/>
      <c r="G161" s="123"/>
      <c r="H161" s="125"/>
      <c r="I161" s="123">
        <v>716</v>
      </c>
      <c r="J161" s="123"/>
      <c r="K161" s="123"/>
      <c r="L161" s="123"/>
      <c r="M161" s="123"/>
      <c r="N161" s="123"/>
      <c r="O161" s="123"/>
      <c r="P161" s="123"/>
      <c r="Q161" s="123"/>
      <c r="R161" s="123"/>
      <c r="S161" s="123"/>
      <c r="T161" s="123"/>
      <c r="U161" s="123"/>
      <c r="V161" s="123"/>
      <c r="W161" s="123"/>
    </row>
    <row r="162" spans="1:23">
      <c r="A162" s="414">
        <v>160</v>
      </c>
      <c r="B162" s="184" t="s">
        <v>2309</v>
      </c>
      <c r="C162" s="184" t="s">
        <v>2379</v>
      </c>
      <c r="D162" s="122" t="s">
        <v>2260</v>
      </c>
      <c r="E162" s="124">
        <v>42939</v>
      </c>
      <c r="F162" s="125">
        <v>0.60763888888888895</v>
      </c>
      <c r="G162" s="124">
        <v>43010</v>
      </c>
      <c r="H162" s="125">
        <v>0.43611111111111112</v>
      </c>
      <c r="I162" s="123">
        <v>717</v>
      </c>
      <c r="J162" s="123">
        <v>482</v>
      </c>
      <c r="K162" s="123">
        <v>401</v>
      </c>
      <c r="L162" s="123">
        <v>175</v>
      </c>
      <c r="M162" s="123">
        <v>350</v>
      </c>
      <c r="N162" s="123">
        <v>29.8</v>
      </c>
      <c r="O162" s="123">
        <v>6.1</v>
      </c>
      <c r="P162" s="123" t="s">
        <v>2507</v>
      </c>
      <c r="Q162" s="123">
        <v>28.6</v>
      </c>
      <c r="R162" s="123">
        <v>6.4</v>
      </c>
      <c r="S162" s="123" t="s">
        <v>2190</v>
      </c>
      <c r="T162" s="123" t="s">
        <v>2174</v>
      </c>
      <c r="U162" s="123"/>
      <c r="V162" s="123"/>
      <c r="W162" s="123"/>
    </row>
    <row r="163" spans="1:23">
      <c r="A163" s="414">
        <v>161</v>
      </c>
      <c r="B163" s="184" t="s">
        <v>2380</v>
      </c>
      <c r="C163" s="184" t="s">
        <v>2381</v>
      </c>
      <c r="D163" s="122" t="s">
        <v>2273</v>
      </c>
      <c r="E163" s="124">
        <v>42940</v>
      </c>
      <c r="F163" s="125">
        <v>0.51388888888888895</v>
      </c>
      <c r="G163" s="124">
        <v>43009</v>
      </c>
      <c r="H163" s="125">
        <v>0.4284722222222222</v>
      </c>
      <c r="I163" s="123">
        <v>756</v>
      </c>
      <c r="J163" s="123">
        <v>51</v>
      </c>
      <c r="K163" s="123">
        <v>673</v>
      </c>
      <c r="L163" s="123">
        <v>207</v>
      </c>
      <c r="M163" s="123">
        <v>314</v>
      </c>
      <c r="N163" s="123">
        <v>33.299999999999997</v>
      </c>
      <c r="O163" s="123">
        <v>3.6</v>
      </c>
      <c r="P163" s="123" t="s">
        <v>2509</v>
      </c>
      <c r="Q163" s="123">
        <v>30.1</v>
      </c>
      <c r="R163" s="123">
        <v>7.7</v>
      </c>
      <c r="S163" s="123" t="s">
        <v>2201</v>
      </c>
      <c r="T163" s="123" t="s">
        <v>2174</v>
      </c>
      <c r="U163" s="123"/>
      <c r="V163" s="123"/>
      <c r="W163" s="123"/>
    </row>
    <row r="164" spans="1:23">
      <c r="A164" s="414">
        <v>162</v>
      </c>
      <c r="B164" s="184" t="s">
        <v>2380</v>
      </c>
      <c r="C164" s="184" t="s">
        <v>2382</v>
      </c>
      <c r="D164" s="122" t="s">
        <v>2273</v>
      </c>
      <c r="E164" s="124">
        <v>42940</v>
      </c>
      <c r="F164" s="125">
        <v>0.51388888888888895</v>
      </c>
      <c r="G164" s="124">
        <v>43009</v>
      </c>
      <c r="H164" s="125">
        <v>0.43055555555555558</v>
      </c>
      <c r="I164" s="123">
        <v>757</v>
      </c>
      <c r="J164" s="123">
        <v>238</v>
      </c>
      <c r="K164" s="123">
        <v>814</v>
      </c>
      <c r="L164" s="123">
        <v>580</v>
      </c>
      <c r="M164" s="123">
        <v>425</v>
      </c>
      <c r="N164" s="123">
        <v>33.200000000000003</v>
      </c>
      <c r="O164" s="123">
        <v>4.5999999999999996</v>
      </c>
      <c r="P164" s="123" t="s">
        <v>2509</v>
      </c>
      <c r="Q164" s="123">
        <v>30.1</v>
      </c>
      <c r="R164" s="123">
        <v>4.3</v>
      </c>
      <c r="S164" s="123" t="s">
        <v>2182</v>
      </c>
      <c r="T164" s="123" t="s">
        <v>2190</v>
      </c>
      <c r="U164" s="123"/>
      <c r="V164" s="123"/>
      <c r="W164" s="123"/>
    </row>
    <row r="165" spans="1:23">
      <c r="A165" s="414">
        <v>163</v>
      </c>
      <c r="B165" s="184" t="s">
        <v>2380</v>
      </c>
      <c r="C165" s="184" t="s">
        <v>2383</v>
      </c>
      <c r="D165" s="122" t="s">
        <v>2273</v>
      </c>
      <c r="E165" s="124">
        <v>42940</v>
      </c>
      <c r="F165" s="125">
        <v>0.51388888888888895</v>
      </c>
      <c r="G165" s="124">
        <v>43009</v>
      </c>
      <c r="H165" s="125">
        <v>0.43263888888888885</v>
      </c>
      <c r="I165" s="123">
        <v>758</v>
      </c>
      <c r="J165" s="123">
        <v>59</v>
      </c>
      <c r="K165" s="123">
        <v>615</v>
      </c>
      <c r="L165" s="123">
        <v>722</v>
      </c>
      <c r="M165" s="123">
        <v>267</v>
      </c>
      <c r="N165" s="123">
        <v>35.4</v>
      </c>
      <c r="O165" s="123">
        <v>4</v>
      </c>
      <c r="P165" s="123" t="s">
        <v>2509</v>
      </c>
      <c r="Q165" s="123">
        <v>30.1</v>
      </c>
      <c r="R165" s="123">
        <v>4.9000000000000004</v>
      </c>
      <c r="S165" s="123" t="s">
        <v>2182</v>
      </c>
      <c r="T165" s="123" t="s">
        <v>2174</v>
      </c>
      <c r="U165" s="123"/>
      <c r="V165" s="123"/>
      <c r="W165" s="123"/>
    </row>
    <row r="166" spans="1:23">
      <c r="A166" s="414">
        <v>164</v>
      </c>
      <c r="B166" s="184" t="s">
        <v>2380</v>
      </c>
      <c r="C166" s="184" t="s">
        <v>2384</v>
      </c>
      <c r="D166" s="122" t="s">
        <v>2273</v>
      </c>
      <c r="E166" s="124">
        <v>42940</v>
      </c>
      <c r="F166" s="125">
        <v>0.51736111111111105</v>
      </c>
      <c r="G166" s="124">
        <v>43009</v>
      </c>
      <c r="H166" s="125">
        <v>0.43402777777777773</v>
      </c>
      <c r="I166" s="123">
        <v>759</v>
      </c>
      <c r="J166" s="123">
        <v>7</v>
      </c>
      <c r="K166" s="123">
        <v>514</v>
      </c>
      <c r="L166" s="123">
        <v>239</v>
      </c>
      <c r="M166" s="129">
        <v>211</v>
      </c>
      <c r="N166" s="123">
        <v>33.1</v>
      </c>
      <c r="O166" s="123">
        <v>3.2</v>
      </c>
      <c r="P166" s="123" t="s">
        <v>2509</v>
      </c>
      <c r="Q166" s="123">
        <v>29.5</v>
      </c>
      <c r="R166" s="123">
        <v>6.9</v>
      </c>
      <c r="S166" s="123" t="s">
        <v>2182</v>
      </c>
      <c r="T166" s="123"/>
      <c r="U166" s="123" t="s">
        <v>2182</v>
      </c>
      <c r="V166" s="123" t="s">
        <v>2182</v>
      </c>
      <c r="W166" s="123"/>
    </row>
    <row r="167" spans="1:23">
      <c r="A167" s="414">
        <v>165</v>
      </c>
      <c r="B167" s="184" t="s">
        <v>2380</v>
      </c>
      <c r="C167" s="184" t="s">
        <v>2385</v>
      </c>
      <c r="D167" s="122" t="s">
        <v>2273</v>
      </c>
      <c r="E167" s="124">
        <v>42940</v>
      </c>
      <c r="F167" s="125">
        <v>0.52083333333333337</v>
      </c>
      <c r="G167" s="124">
        <v>43009</v>
      </c>
      <c r="H167" s="125">
        <v>0.44305555555555554</v>
      </c>
      <c r="I167" s="123">
        <v>760</v>
      </c>
      <c r="J167" s="123">
        <v>85</v>
      </c>
      <c r="K167" s="123">
        <v>127</v>
      </c>
      <c r="L167" s="123">
        <v>343</v>
      </c>
      <c r="M167" s="123">
        <v>310</v>
      </c>
      <c r="N167" s="123">
        <v>33.6</v>
      </c>
      <c r="O167" s="123">
        <v>3.7</v>
      </c>
      <c r="P167" s="123" t="s">
        <v>2509</v>
      </c>
      <c r="Q167" s="123">
        <v>30.5</v>
      </c>
      <c r="R167" s="123">
        <v>6.9</v>
      </c>
      <c r="S167" s="123"/>
      <c r="T167" s="123"/>
      <c r="U167" s="123"/>
      <c r="V167" s="123"/>
      <c r="W167" s="123" t="s">
        <v>3534</v>
      </c>
    </row>
    <row r="168" spans="1:23">
      <c r="A168" s="414">
        <v>166</v>
      </c>
      <c r="B168" s="184" t="s">
        <v>2380</v>
      </c>
      <c r="C168" s="184" t="s">
        <v>2386</v>
      </c>
      <c r="D168" s="122" t="s">
        <v>2273</v>
      </c>
      <c r="E168" s="124">
        <v>42940</v>
      </c>
      <c r="F168" s="125">
        <v>0.52430555555555558</v>
      </c>
      <c r="G168" s="124">
        <v>43009</v>
      </c>
      <c r="H168" s="125">
        <v>0.43611111111111112</v>
      </c>
      <c r="I168" s="123">
        <v>761</v>
      </c>
      <c r="J168" s="123">
        <v>1</v>
      </c>
      <c r="K168" s="123">
        <v>752</v>
      </c>
      <c r="L168" s="123">
        <v>409</v>
      </c>
      <c r="M168" s="123">
        <v>269</v>
      </c>
      <c r="N168" s="123">
        <v>38.700000000000003</v>
      </c>
      <c r="O168" s="123">
        <v>5.0999999999999996</v>
      </c>
      <c r="P168" s="123" t="s">
        <v>2509</v>
      </c>
      <c r="Q168" s="123">
        <v>27.8</v>
      </c>
      <c r="R168" s="123">
        <v>5.2</v>
      </c>
      <c r="S168" s="123" t="s">
        <v>2182</v>
      </c>
      <c r="T168" s="123"/>
      <c r="U168" s="123"/>
      <c r="V168" s="123"/>
      <c r="W168" s="123"/>
    </row>
    <row r="169" spans="1:23">
      <c r="A169" s="414">
        <v>167</v>
      </c>
      <c r="B169" s="184" t="s">
        <v>2380</v>
      </c>
      <c r="C169" s="184" t="s">
        <v>2388</v>
      </c>
      <c r="D169" s="122" t="s">
        <v>2273</v>
      </c>
      <c r="E169" s="123"/>
      <c r="F169" s="123"/>
      <c r="G169" s="123"/>
      <c r="H169" s="125"/>
      <c r="I169" s="123">
        <v>762</v>
      </c>
      <c r="J169" s="123"/>
      <c r="K169" s="123"/>
      <c r="L169" s="123"/>
      <c r="M169" s="123"/>
      <c r="N169" s="123"/>
      <c r="O169" s="123"/>
      <c r="P169" s="123"/>
      <c r="Q169" s="123"/>
      <c r="R169" s="123"/>
      <c r="S169" s="123"/>
      <c r="T169" s="123"/>
      <c r="U169" s="123"/>
      <c r="V169" s="123"/>
      <c r="W169" s="123"/>
    </row>
    <row r="170" spans="1:23">
      <c r="A170" s="414">
        <v>168</v>
      </c>
      <c r="B170" s="184" t="s">
        <v>2380</v>
      </c>
      <c r="C170" s="184" t="s">
        <v>2389</v>
      </c>
      <c r="D170" s="122" t="s">
        <v>2273</v>
      </c>
      <c r="E170" s="124">
        <v>42940</v>
      </c>
      <c r="F170" s="125">
        <v>0.52083333333333337</v>
      </c>
      <c r="G170" s="124">
        <v>43009</v>
      </c>
      <c r="H170" s="125">
        <v>0.42222222222222222</v>
      </c>
      <c r="I170" s="123">
        <v>763</v>
      </c>
      <c r="J170" s="123">
        <v>70</v>
      </c>
      <c r="K170" s="123">
        <v>690</v>
      </c>
      <c r="L170" s="123">
        <v>304</v>
      </c>
      <c r="M170" s="123">
        <v>413</v>
      </c>
      <c r="N170" s="123">
        <v>32</v>
      </c>
      <c r="O170" s="123">
        <v>5</v>
      </c>
      <c r="P170" s="123" t="s">
        <v>2509</v>
      </c>
      <c r="Q170" s="123">
        <v>28.3</v>
      </c>
      <c r="R170" s="123">
        <v>3.2</v>
      </c>
      <c r="S170" s="123" t="s">
        <v>2182</v>
      </c>
      <c r="T170" s="123" t="s">
        <v>2174</v>
      </c>
      <c r="U170" s="123"/>
      <c r="V170" s="123" t="s">
        <v>2182</v>
      </c>
      <c r="W170" s="123" t="s">
        <v>3520</v>
      </c>
    </row>
    <row r="171" spans="1:23">
      <c r="A171" s="414">
        <v>169</v>
      </c>
      <c r="B171" s="184" t="s">
        <v>2380</v>
      </c>
      <c r="C171" s="184" t="s">
        <v>2390</v>
      </c>
      <c r="D171" s="122" t="s">
        <v>2282</v>
      </c>
      <c r="E171" s="124">
        <v>42940</v>
      </c>
      <c r="F171" s="125">
        <v>0.57291666666666663</v>
      </c>
      <c r="G171" s="124">
        <v>43009</v>
      </c>
      <c r="H171" s="125">
        <v>0.4993055555555555</v>
      </c>
      <c r="I171" s="123">
        <v>782</v>
      </c>
      <c r="J171" s="123">
        <v>250</v>
      </c>
      <c r="K171" s="123">
        <v>684</v>
      </c>
      <c r="L171" s="123">
        <v>135</v>
      </c>
      <c r="M171" s="123">
        <v>80</v>
      </c>
      <c r="N171" s="123">
        <v>38.6</v>
      </c>
      <c r="O171" s="123">
        <v>5.6</v>
      </c>
      <c r="P171" s="123" t="s">
        <v>2509</v>
      </c>
      <c r="Q171" s="123">
        <v>31.5</v>
      </c>
      <c r="R171" s="123">
        <v>7.7</v>
      </c>
      <c r="S171" s="123" t="s">
        <v>2182</v>
      </c>
      <c r="T171" s="123" t="s">
        <v>2314</v>
      </c>
      <c r="U171" s="123" t="s">
        <v>2182</v>
      </c>
      <c r="V171" s="123" t="s">
        <v>2182</v>
      </c>
      <c r="W171" s="123"/>
    </row>
    <row r="172" spans="1:23">
      <c r="A172" s="414">
        <v>170</v>
      </c>
      <c r="B172" s="184" t="s">
        <v>2380</v>
      </c>
      <c r="C172" s="184" t="s">
        <v>2391</v>
      </c>
      <c r="D172" s="122" t="s">
        <v>2282</v>
      </c>
      <c r="E172" s="124">
        <v>42940</v>
      </c>
      <c r="F172" s="125">
        <v>0.57638888888888895</v>
      </c>
      <c r="G172" s="124">
        <v>43009</v>
      </c>
      <c r="H172" s="125">
        <v>0.49722222222222223</v>
      </c>
      <c r="I172" s="123">
        <v>783</v>
      </c>
      <c r="J172" s="123">
        <v>624</v>
      </c>
      <c r="K172" s="123">
        <v>694</v>
      </c>
      <c r="L172" s="123">
        <v>515</v>
      </c>
      <c r="M172" s="123">
        <v>208</v>
      </c>
      <c r="N172" s="123">
        <v>37</v>
      </c>
      <c r="O172" s="123">
        <v>5</v>
      </c>
      <c r="P172" s="123" t="s">
        <v>2509</v>
      </c>
      <c r="Q172" s="123">
        <v>30.9</v>
      </c>
      <c r="R172" s="123">
        <v>7.2</v>
      </c>
      <c r="S172" s="123" t="s">
        <v>2201</v>
      </c>
      <c r="T172" s="123" t="s">
        <v>2182</v>
      </c>
      <c r="U172" s="123" t="s">
        <v>2182</v>
      </c>
      <c r="V172" s="123"/>
      <c r="W172" s="123"/>
    </row>
    <row r="173" spans="1:23">
      <c r="A173" s="414">
        <v>171</v>
      </c>
      <c r="B173" s="184" t="s">
        <v>2380</v>
      </c>
      <c r="C173" s="184" t="s">
        <v>2392</v>
      </c>
      <c r="D173" s="122" t="s">
        <v>2282</v>
      </c>
      <c r="E173" s="124">
        <v>42940</v>
      </c>
      <c r="F173" s="125">
        <v>0.56597222222222221</v>
      </c>
      <c r="G173" s="124">
        <v>43009</v>
      </c>
      <c r="H173" s="125">
        <v>0.50138888888888888</v>
      </c>
      <c r="I173" s="123">
        <v>784</v>
      </c>
      <c r="J173" s="123">
        <v>149</v>
      </c>
      <c r="K173" s="123">
        <v>655</v>
      </c>
      <c r="L173" s="123">
        <v>348</v>
      </c>
      <c r="M173" s="123">
        <v>633</v>
      </c>
      <c r="N173" s="123">
        <v>35.1</v>
      </c>
      <c r="O173" s="123">
        <v>4.5</v>
      </c>
      <c r="P173" s="123" t="s">
        <v>2509</v>
      </c>
      <c r="Q173" s="123">
        <v>30.9</v>
      </c>
      <c r="R173" s="123">
        <v>6.7</v>
      </c>
      <c r="S173" s="123" t="s">
        <v>2182</v>
      </c>
      <c r="T173" s="123" t="s">
        <v>2201</v>
      </c>
      <c r="U173" s="123" t="s">
        <v>2182</v>
      </c>
      <c r="V173" s="123"/>
      <c r="W173" s="123"/>
    </row>
    <row r="174" spans="1:23">
      <c r="A174" s="414">
        <v>172</v>
      </c>
      <c r="B174" s="184" t="s">
        <v>2380</v>
      </c>
      <c r="C174" s="184" t="s">
        <v>2393</v>
      </c>
      <c r="D174" s="122" t="s">
        <v>2282</v>
      </c>
      <c r="E174" s="124"/>
      <c r="F174" s="124"/>
      <c r="G174" s="124"/>
      <c r="H174" s="123"/>
      <c r="I174" s="123">
        <v>789</v>
      </c>
      <c r="J174" s="124"/>
      <c r="K174" s="124"/>
      <c r="L174" s="124"/>
      <c r="M174" s="124"/>
      <c r="N174" s="124"/>
      <c r="O174" s="124"/>
      <c r="P174" s="124"/>
      <c r="Q174" s="123"/>
      <c r="R174" s="123"/>
      <c r="S174" s="123"/>
      <c r="T174" s="123"/>
      <c r="U174" s="123"/>
      <c r="V174" s="123"/>
      <c r="W174" s="123"/>
    </row>
    <row r="175" spans="1:23">
      <c r="A175" s="414">
        <v>173</v>
      </c>
      <c r="B175" s="184" t="s">
        <v>2380</v>
      </c>
      <c r="C175" s="184" t="s">
        <v>2394</v>
      </c>
      <c r="D175" s="122" t="s">
        <v>2282</v>
      </c>
      <c r="E175" s="124">
        <v>42940</v>
      </c>
      <c r="F175" s="125">
        <v>0.57291666666666663</v>
      </c>
      <c r="G175" s="124">
        <v>43009</v>
      </c>
      <c r="H175" s="125">
        <v>0.49305555555555558</v>
      </c>
      <c r="I175" s="123">
        <v>790</v>
      </c>
      <c r="J175" s="123">
        <v>597</v>
      </c>
      <c r="K175" s="123">
        <v>405</v>
      </c>
      <c r="L175" s="123">
        <v>307</v>
      </c>
      <c r="M175" s="123">
        <v>473</v>
      </c>
      <c r="N175" s="123">
        <v>37.200000000000003</v>
      </c>
      <c r="O175" s="123">
        <v>4.5</v>
      </c>
      <c r="P175" s="123" t="s">
        <v>2509</v>
      </c>
      <c r="Q175" s="123">
        <v>30.9</v>
      </c>
      <c r="R175" s="123">
        <v>8.1</v>
      </c>
      <c r="S175" s="123" t="s">
        <v>2201</v>
      </c>
      <c r="T175" s="123" t="s">
        <v>2195</v>
      </c>
      <c r="U175" s="123"/>
      <c r="V175" s="123"/>
      <c r="W175" s="123" t="s">
        <v>3520</v>
      </c>
    </row>
    <row r="176" spans="1:23">
      <c r="A176" s="414">
        <v>174</v>
      </c>
      <c r="B176" s="184" t="s">
        <v>2380</v>
      </c>
      <c r="C176" s="184" t="s">
        <v>2395</v>
      </c>
      <c r="D176" s="122" t="s">
        <v>2282</v>
      </c>
      <c r="E176" s="124">
        <v>42940</v>
      </c>
      <c r="F176" s="125">
        <v>0.56944444444444442</v>
      </c>
      <c r="G176" s="124">
        <v>43009</v>
      </c>
      <c r="H176" s="125">
        <v>0.51180555555555551</v>
      </c>
      <c r="I176" s="123">
        <v>791</v>
      </c>
      <c r="J176" s="123">
        <v>396</v>
      </c>
      <c r="K176" s="123">
        <v>736</v>
      </c>
      <c r="L176" s="123">
        <v>155</v>
      </c>
      <c r="M176" s="123">
        <v>702</v>
      </c>
      <c r="N176" s="123">
        <v>37</v>
      </c>
      <c r="O176" s="123">
        <v>4.5999999999999996</v>
      </c>
      <c r="P176" s="123" t="s">
        <v>2509</v>
      </c>
      <c r="Q176" s="123">
        <v>29.4</v>
      </c>
      <c r="R176" s="123">
        <v>7.2</v>
      </c>
      <c r="S176" s="123" t="s">
        <v>2201</v>
      </c>
      <c r="T176" s="123" t="s">
        <v>2182</v>
      </c>
      <c r="U176" s="123"/>
      <c r="V176" s="123"/>
      <c r="W176" s="123"/>
    </row>
    <row r="177" spans="1:23">
      <c r="A177" s="414">
        <v>175</v>
      </c>
      <c r="B177" s="184" t="s">
        <v>2380</v>
      </c>
      <c r="C177" s="184" t="s">
        <v>2396</v>
      </c>
      <c r="D177" s="122" t="s">
        <v>2282</v>
      </c>
      <c r="E177" s="124">
        <v>42940</v>
      </c>
      <c r="F177" s="125">
        <v>0.5625</v>
      </c>
      <c r="G177" s="124">
        <v>43009</v>
      </c>
      <c r="H177" s="125">
        <v>0.50486111111111109</v>
      </c>
      <c r="I177" s="123">
        <v>792</v>
      </c>
      <c r="J177" s="123">
        <v>612</v>
      </c>
      <c r="K177" s="123">
        <v>338</v>
      </c>
      <c r="L177" s="123">
        <v>719</v>
      </c>
      <c r="M177" s="123">
        <v>175</v>
      </c>
      <c r="N177" s="123">
        <v>37.1</v>
      </c>
      <c r="O177" s="123">
        <v>4.0999999999999996</v>
      </c>
      <c r="P177" s="123" t="s">
        <v>2509</v>
      </c>
      <c r="Q177" s="123">
        <v>31</v>
      </c>
      <c r="R177" s="123">
        <v>7.8</v>
      </c>
      <c r="S177" s="123" t="s">
        <v>2201</v>
      </c>
      <c r="T177" s="123"/>
      <c r="U177" s="123"/>
      <c r="V177" s="123" t="s">
        <v>2182</v>
      </c>
      <c r="W177" s="123"/>
    </row>
    <row r="178" spans="1:23">
      <c r="A178" s="414">
        <v>176</v>
      </c>
      <c r="B178" s="184" t="s">
        <v>2380</v>
      </c>
      <c r="C178" s="184" t="s">
        <v>2397</v>
      </c>
      <c r="D178" s="122" t="s">
        <v>2282</v>
      </c>
      <c r="E178" s="124">
        <v>42940</v>
      </c>
      <c r="F178" s="125">
        <v>0.5625</v>
      </c>
      <c r="G178" s="124">
        <v>43009</v>
      </c>
      <c r="H178" s="125">
        <v>0.5083333333333333</v>
      </c>
      <c r="I178" s="123">
        <v>793</v>
      </c>
      <c r="J178" s="123">
        <v>183</v>
      </c>
      <c r="K178" s="123">
        <v>52</v>
      </c>
      <c r="L178" s="123">
        <v>323</v>
      </c>
      <c r="M178" s="123">
        <v>332</v>
      </c>
      <c r="N178" s="123">
        <v>37.4</v>
      </c>
      <c r="O178" s="123">
        <v>3.7</v>
      </c>
      <c r="P178" s="123" t="s">
        <v>2509</v>
      </c>
      <c r="Q178" s="123">
        <v>31.6</v>
      </c>
      <c r="R178" s="123">
        <v>5.5</v>
      </c>
      <c r="S178" s="123" t="s">
        <v>2201</v>
      </c>
      <c r="T178" s="123" t="s">
        <v>2201</v>
      </c>
      <c r="U178" s="123" t="s">
        <v>2182</v>
      </c>
      <c r="V178" s="123" t="s">
        <v>2182</v>
      </c>
      <c r="W178" s="123"/>
    </row>
    <row r="179" spans="1:23">
      <c r="A179" s="414">
        <v>177</v>
      </c>
      <c r="B179" s="184" t="s">
        <v>2380</v>
      </c>
      <c r="C179" s="184" t="s">
        <v>2398</v>
      </c>
      <c r="D179" s="122" t="s">
        <v>2291</v>
      </c>
      <c r="E179" s="124">
        <v>42940</v>
      </c>
      <c r="F179" s="125">
        <v>0.64583333333333337</v>
      </c>
      <c r="G179" s="124">
        <v>43009</v>
      </c>
      <c r="H179" s="125">
        <v>0.62986111111111109</v>
      </c>
      <c r="I179" s="123">
        <v>794</v>
      </c>
      <c r="J179" s="123">
        <v>98</v>
      </c>
      <c r="K179" s="123">
        <v>750</v>
      </c>
      <c r="L179" s="123">
        <v>14</v>
      </c>
      <c r="M179" s="123">
        <v>70</v>
      </c>
      <c r="N179" s="123">
        <v>36.1</v>
      </c>
      <c r="O179" s="123">
        <v>3.8</v>
      </c>
      <c r="P179" s="123" t="s">
        <v>2510</v>
      </c>
      <c r="Q179" s="123">
        <v>32.200000000000003</v>
      </c>
      <c r="R179" s="123">
        <v>5.6</v>
      </c>
      <c r="S179" s="123" t="s">
        <v>2195</v>
      </c>
      <c r="T179" s="123" t="s">
        <v>3528</v>
      </c>
      <c r="U179" s="123"/>
      <c r="V179" s="123" t="s">
        <v>2182</v>
      </c>
      <c r="W179" s="123" t="s">
        <v>3520</v>
      </c>
    </row>
    <row r="180" spans="1:23">
      <c r="A180" s="414">
        <v>178</v>
      </c>
      <c r="B180" s="184" t="s">
        <v>2380</v>
      </c>
      <c r="C180" s="184" t="s">
        <v>2399</v>
      </c>
      <c r="D180" s="122" t="s">
        <v>2291</v>
      </c>
      <c r="E180" s="124">
        <v>42940</v>
      </c>
      <c r="F180" s="125">
        <v>0.64236111111111105</v>
      </c>
      <c r="G180" s="124">
        <v>43009</v>
      </c>
      <c r="H180" s="125">
        <v>0.63402777777777775</v>
      </c>
      <c r="I180" s="123">
        <v>795</v>
      </c>
      <c r="J180" s="129">
        <v>353</v>
      </c>
      <c r="K180" s="123">
        <v>612</v>
      </c>
      <c r="L180" s="123">
        <v>410</v>
      </c>
      <c r="M180" s="123">
        <v>718</v>
      </c>
      <c r="N180" s="123">
        <v>37.9</v>
      </c>
      <c r="O180" s="123">
        <v>6.2</v>
      </c>
      <c r="P180" s="123" t="s">
        <v>2510</v>
      </c>
      <c r="Q180" s="123">
        <v>33.700000000000003</v>
      </c>
      <c r="R180" s="123">
        <v>2.8</v>
      </c>
      <c r="S180" s="123" t="s">
        <v>2182</v>
      </c>
      <c r="T180" s="123" t="s">
        <v>2233</v>
      </c>
      <c r="U180" s="123"/>
      <c r="V180" s="123"/>
      <c r="W180" s="123"/>
    </row>
    <row r="181" spans="1:23">
      <c r="A181" s="414">
        <v>179</v>
      </c>
      <c r="B181" s="184" t="s">
        <v>2380</v>
      </c>
      <c r="C181" s="184" t="s">
        <v>2400</v>
      </c>
      <c r="D181" s="122" t="s">
        <v>2291</v>
      </c>
      <c r="E181" s="124">
        <v>42940</v>
      </c>
      <c r="F181" s="125">
        <v>0.64236111111111105</v>
      </c>
      <c r="G181" s="124">
        <v>43009</v>
      </c>
      <c r="H181" s="125">
        <v>0.63541666666666663</v>
      </c>
      <c r="I181" s="123">
        <v>796</v>
      </c>
      <c r="J181" s="123">
        <v>42</v>
      </c>
      <c r="K181" s="123">
        <v>491</v>
      </c>
      <c r="L181" s="123">
        <v>78</v>
      </c>
      <c r="M181" s="123">
        <v>640</v>
      </c>
      <c r="N181" s="123">
        <v>35.9</v>
      </c>
      <c r="O181" s="123">
        <v>8.6</v>
      </c>
      <c r="P181" s="123" t="s">
        <v>2510</v>
      </c>
      <c r="Q181" s="123">
        <v>33.6</v>
      </c>
      <c r="R181" s="123">
        <v>3</v>
      </c>
      <c r="S181" s="123" t="s">
        <v>2182</v>
      </c>
      <c r="T181" s="123" t="s">
        <v>2182</v>
      </c>
      <c r="U181" s="123" t="s">
        <v>2182</v>
      </c>
      <c r="V181" s="123"/>
      <c r="W181" s="123"/>
    </row>
    <row r="182" spans="1:23">
      <c r="A182" s="414">
        <v>180</v>
      </c>
      <c r="B182" s="184" t="s">
        <v>2380</v>
      </c>
      <c r="C182" s="184" t="s">
        <v>2401</v>
      </c>
      <c r="D182" s="122" t="s">
        <v>2291</v>
      </c>
      <c r="E182" s="124">
        <v>42940</v>
      </c>
      <c r="F182" s="125">
        <v>0.63888888888888895</v>
      </c>
      <c r="G182" s="124">
        <v>43009</v>
      </c>
      <c r="H182" s="125">
        <v>0.64444444444444449</v>
      </c>
      <c r="I182" s="163">
        <v>797</v>
      </c>
      <c r="J182" s="123">
        <v>245</v>
      </c>
      <c r="K182" s="123">
        <v>325</v>
      </c>
      <c r="L182" s="123">
        <v>422</v>
      </c>
      <c r="M182" s="123">
        <v>669</v>
      </c>
      <c r="N182" s="123">
        <v>28.4</v>
      </c>
      <c r="O182" s="123">
        <v>2.9</v>
      </c>
      <c r="P182" s="123" t="s">
        <v>2510</v>
      </c>
      <c r="Q182" s="123">
        <v>33.6</v>
      </c>
      <c r="R182" s="123">
        <v>7.7</v>
      </c>
      <c r="S182" s="123" t="s">
        <v>2182</v>
      </c>
      <c r="T182" s="123"/>
      <c r="U182" s="123" t="s">
        <v>2182</v>
      </c>
      <c r="V182" s="123"/>
      <c r="W182" s="123"/>
    </row>
    <row r="183" spans="1:23">
      <c r="A183" s="414">
        <v>181</v>
      </c>
      <c r="B183" s="184" t="s">
        <v>2380</v>
      </c>
      <c r="C183" s="184" t="s">
        <v>2402</v>
      </c>
      <c r="D183" s="122" t="s">
        <v>2291</v>
      </c>
      <c r="E183" s="124">
        <v>42940</v>
      </c>
      <c r="F183" s="125">
        <v>0.64583333333333337</v>
      </c>
      <c r="G183" s="124">
        <v>43009</v>
      </c>
      <c r="H183" s="125">
        <v>0.64166666666666672</v>
      </c>
      <c r="I183" s="123">
        <v>798</v>
      </c>
      <c r="J183" s="123">
        <v>411</v>
      </c>
      <c r="K183" s="123">
        <v>116</v>
      </c>
      <c r="L183" s="123">
        <v>870</v>
      </c>
      <c r="M183" s="123">
        <v>170</v>
      </c>
      <c r="N183" s="123">
        <v>36.799999999999997</v>
      </c>
      <c r="O183" s="123">
        <v>4.2</v>
      </c>
      <c r="P183" s="123" t="s">
        <v>2510</v>
      </c>
      <c r="Q183" s="123">
        <v>33.4</v>
      </c>
      <c r="R183" s="123">
        <v>4.4000000000000004</v>
      </c>
      <c r="S183" s="123" t="s">
        <v>2182</v>
      </c>
      <c r="T183" s="123" t="s">
        <v>2182</v>
      </c>
      <c r="U183" s="123"/>
      <c r="V183" s="123"/>
      <c r="W183" s="123"/>
    </row>
    <row r="184" spans="1:23">
      <c r="A184" s="414">
        <v>182</v>
      </c>
      <c r="B184" s="184" t="s">
        <v>2380</v>
      </c>
      <c r="C184" s="184" t="s">
        <v>2403</v>
      </c>
      <c r="D184" s="122" t="s">
        <v>2291</v>
      </c>
      <c r="E184" s="124">
        <v>42940</v>
      </c>
      <c r="F184" s="125">
        <v>0.64930555555555558</v>
      </c>
      <c r="G184" s="124">
        <v>43009</v>
      </c>
      <c r="H184" s="125">
        <v>0.64236111111111105</v>
      </c>
      <c r="I184" s="123">
        <v>799</v>
      </c>
      <c r="J184" s="123">
        <v>309</v>
      </c>
      <c r="K184" s="123">
        <v>613</v>
      </c>
      <c r="L184" s="123">
        <v>136</v>
      </c>
      <c r="M184" s="123">
        <v>697</v>
      </c>
      <c r="N184" s="123">
        <v>38.1</v>
      </c>
      <c r="O184" s="123">
        <v>5.5</v>
      </c>
      <c r="P184" s="123" t="s">
        <v>2510</v>
      </c>
      <c r="Q184" s="123">
        <v>34.700000000000003</v>
      </c>
      <c r="R184" s="123">
        <v>7.6</v>
      </c>
      <c r="S184" s="123"/>
      <c r="T184" s="123" t="s">
        <v>2198</v>
      </c>
      <c r="U184" s="123" t="s">
        <v>2182</v>
      </c>
      <c r="V184" s="123"/>
      <c r="W184" s="123"/>
    </row>
    <row r="185" spans="1:23">
      <c r="A185" s="414">
        <v>183</v>
      </c>
      <c r="B185" s="184" t="s">
        <v>2380</v>
      </c>
      <c r="C185" s="184" t="s">
        <v>2404</v>
      </c>
      <c r="D185" s="122" t="s">
        <v>2291</v>
      </c>
      <c r="E185" s="124"/>
      <c r="F185" s="124"/>
      <c r="G185" s="124"/>
      <c r="H185" s="123"/>
      <c r="I185" s="123">
        <v>800</v>
      </c>
      <c r="J185" s="124"/>
      <c r="K185" s="124"/>
      <c r="L185" s="124"/>
      <c r="M185" s="124"/>
      <c r="N185" s="124"/>
      <c r="O185" s="124"/>
      <c r="P185" s="123"/>
      <c r="Q185" s="123"/>
      <c r="R185" s="123"/>
      <c r="S185" s="123"/>
      <c r="T185" s="123"/>
      <c r="U185" s="123"/>
      <c r="V185" s="123"/>
      <c r="W185" s="123"/>
    </row>
    <row r="186" spans="1:23">
      <c r="A186" s="414">
        <v>184</v>
      </c>
      <c r="B186" s="184" t="s">
        <v>2380</v>
      </c>
      <c r="C186" s="184" t="s">
        <v>2405</v>
      </c>
      <c r="D186" s="122" t="s">
        <v>2291</v>
      </c>
      <c r="E186" s="124">
        <v>42940</v>
      </c>
      <c r="F186" s="123"/>
      <c r="G186" s="124">
        <v>43009</v>
      </c>
      <c r="H186" s="125">
        <v>0.63958333333333328</v>
      </c>
      <c r="I186" s="123">
        <v>801</v>
      </c>
      <c r="J186" s="123">
        <v>235</v>
      </c>
      <c r="K186" s="129">
        <v>179</v>
      </c>
      <c r="L186" s="123">
        <v>266</v>
      </c>
      <c r="M186" s="123">
        <v>674</v>
      </c>
      <c r="N186" s="123">
        <v>28.3</v>
      </c>
      <c r="O186" s="123">
        <v>4.3</v>
      </c>
      <c r="P186" s="123" t="s">
        <v>2511</v>
      </c>
      <c r="Q186" s="123">
        <v>27.8</v>
      </c>
      <c r="R186" s="123">
        <v>4.3</v>
      </c>
      <c r="S186" s="123" t="s">
        <v>2182</v>
      </c>
      <c r="T186" s="123" t="s">
        <v>2182</v>
      </c>
      <c r="U186" s="123" t="s">
        <v>2182</v>
      </c>
      <c r="V186" s="123"/>
      <c r="W186" s="123"/>
    </row>
    <row r="187" spans="1:23">
      <c r="A187" s="414">
        <v>185</v>
      </c>
      <c r="B187" s="184" t="s">
        <v>2380</v>
      </c>
      <c r="C187" s="184" t="s">
        <v>2407</v>
      </c>
      <c r="D187" s="122" t="s">
        <v>2301</v>
      </c>
      <c r="E187" s="124">
        <v>42940</v>
      </c>
      <c r="F187" s="125">
        <v>0.6875</v>
      </c>
      <c r="G187" s="124">
        <v>43009</v>
      </c>
      <c r="H187" s="125">
        <v>0.68194444444444446</v>
      </c>
      <c r="I187" s="123">
        <v>802</v>
      </c>
      <c r="J187" s="123">
        <v>369</v>
      </c>
      <c r="K187" s="123">
        <v>300</v>
      </c>
      <c r="L187" s="123">
        <v>165</v>
      </c>
      <c r="M187" s="123">
        <v>607</v>
      </c>
      <c r="N187" s="123">
        <v>36</v>
      </c>
      <c r="O187" s="123">
        <v>4.4000000000000004</v>
      </c>
      <c r="P187" s="123" t="s">
        <v>2509</v>
      </c>
      <c r="Q187" s="123">
        <v>34</v>
      </c>
      <c r="R187" s="123">
        <v>5.4</v>
      </c>
      <c r="S187" s="123"/>
      <c r="T187" s="123" t="s">
        <v>2174</v>
      </c>
      <c r="U187" s="123" t="s">
        <v>2182</v>
      </c>
      <c r="V187" s="123"/>
      <c r="W187" s="123" t="s">
        <v>3520</v>
      </c>
    </row>
    <row r="188" spans="1:23">
      <c r="A188" s="414">
        <v>186</v>
      </c>
      <c r="B188" s="184" t="s">
        <v>2380</v>
      </c>
      <c r="C188" s="184" t="s">
        <v>2408</v>
      </c>
      <c r="D188" s="122" t="s">
        <v>2301</v>
      </c>
      <c r="E188" s="124">
        <v>42940</v>
      </c>
      <c r="F188" s="125">
        <v>0.6875</v>
      </c>
      <c r="G188" s="124">
        <v>43009</v>
      </c>
      <c r="H188" s="125">
        <v>0.69444444444444453</v>
      </c>
      <c r="I188" s="123">
        <v>803</v>
      </c>
      <c r="J188" s="123">
        <v>295</v>
      </c>
      <c r="K188" s="123">
        <v>717</v>
      </c>
      <c r="L188" s="123">
        <v>22</v>
      </c>
      <c r="M188" s="123">
        <v>629</v>
      </c>
      <c r="N188" s="123">
        <v>36.9</v>
      </c>
      <c r="O188" s="123">
        <v>4.4000000000000004</v>
      </c>
      <c r="P188" s="123" t="s">
        <v>2509</v>
      </c>
      <c r="Q188" s="123">
        <v>33.700000000000003</v>
      </c>
      <c r="R188" s="123">
        <v>10.7</v>
      </c>
      <c r="S188" s="123" t="s">
        <v>2201</v>
      </c>
      <c r="T188" s="123" t="s">
        <v>2233</v>
      </c>
      <c r="U188" s="123"/>
      <c r="V188" s="123"/>
      <c r="W188" s="123"/>
    </row>
    <row r="189" spans="1:23">
      <c r="A189" s="414">
        <v>187</v>
      </c>
      <c r="B189" s="184" t="s">
        <v>2380</v>
      </c>
      <c r="C189" s="184" t="s">
        <v>2409</v>
      </c>
      <c r="D189" s="122" t="s">
        <v>2301</v>
      </c>
      <c r="E189" s="124">
        <v>42940</v>
      </c>
      <c r="F189" s="125">
        <v>0.70833333333333337</v>
      </c>
      <c r="G189" s="124">
        <v>43009</v>
      </c>
      <c r="H189" s="125">
        <v>0.6958333333333333</v>
      </c>
      <c r="I189" s="123">
        <v>804</v>
      </c>
      <c r="J189" s="123">
        <v>242</v>
      </c>
      <c r="K189" s="123">
        <v>759</v>
      </c>
      <c r="L189" s="123">
        <v>371</v>
      </c>
      <c r="M189" s="123">
        <v>679</v>
      </c>
      <c r="N189" s="123">
        <v>35.1</v>
      </c>
      <c r="O189" s="123">
        <v>3.5</v>
      </c>
      <c r="P189" s="123" t="s">
        <v>2509</v>
      </c>
      <c r="Q189" s="123">
        <v>35.200000000000003</v>
      </c>
      <c r="R189" s="123">
        <v>6.6</v>
      </c>
      <c r="S189" s="123" t="s">
        <v>2182</v>
      </c>
      <c r="T189" s="123"/>
      <c r="U189" s="123"/>
      <c r="V189" s="123"/>
      <c r="W189" s="123"/>
    </row>
    <row r="190" spans="1:23">
      <c r="A190" s="414">
        <v>188</v>
      </c>
      <c r="B190" s="184" t="s">
        <v>2380</v>
      </c>
      <c r="C190" s="184" t="s">
        <v>2410</v>
      </c>
      <c r="D190" s="122" t="s">
        <v>2301</v>
      </c>
      <c r="E190" s="124">
        <v>42940</v>
      </c>
      <c r="F190" s="125">
        <v>0.69444444444444453</v>
      </c>
      <c r="G190" s="124">
        <v>43009</v>
      </c>
      <c r="H190" s="125">
        <v>0.69027777777777777</v>
      </c>
      <c r="I190" s="123">
        <v>805</v>
      </c>
      <c r="J190" s="123">
        <v>146</v>
      </c>
      <c r="K190" s="123">
        <v>357</v>
      </c>
      <c r="L190" s="123">
        <v>185</v>
      </c>
      <c r="M190" s="123">
        <v>682</v>
      </c>
      <c r="N190" s="123">
        <v>35.1</v>
      </c>
      <c r="O190" s="123">
        <v>6.3</v>
      </c>
      <c r="P190" s="123" t="s">
        <v>2509</v>
      </c>
      <c r="Q190" s="123">
        <v>33.200000000000003</v>
      </c>
      <c r="R190" s="123">
        <v>8.4</v>
      </c>
      <c r="S190" s="123" t="s">
        <v>2201</v>
      </c>
      <c r="T190" s="123" t="s">
        <v>2225</v>
      </c>
      <c r="U190" s="123"/>
      <c r="V190" s="123"/>
      <c r="W190" s="123"/>
    </row>
    <row r="191" spans="1:23">
      <c r="A191" s="414">
        <v>189</v>
      </c>
      <c r="B191" s="184" t="s">
        <v>2380</v>
      </c>
      <c r="C191" s="184" t="s">
        <v>2412</v>
      </c>
      <c r="D191" s="122" t="s">
        <v>2301</v>
      </c>
      <c r="E191" s="124">
        <v>42940</v>
      </c>
      <c r="F191" s="125">
        <v>0.70138888888888884</v>
      </c>
      <c r="G191" s="124">
        <v>43009</v>
      </c>
      <c r="H191" s="125">
        <v>0.68888888888888899</v>
      </c>
      <c r="I191" s="123">
        <v>806</v>
      </c>
      <c r="J191" s="129">
        <v>144</v>
      </c>
      <c r="K191" s="123">
        <v>18</v>
      </c>
      <c r="L191" s="123">
        <v>301</v>
      </c>
      <c r="M191" s="123">
        <v>693</v>
      </c>
      <c r="N191" s="123">
        <v>35.1</v>
      </c>
      <c r="O191" s="123">
        <v>5.8</v>
      </c>
      <c r="P191" s="123" t="s">
        <v>2509</v>
      </c>
      <c r="Q191" s="123">
        <v>30.9</v>
      </c>
      <c r="R191" s="123">
        <v>5.2</v>
      </c>
      <c r="S191" s="123" t="s">
        <v>2182</v>
      </c>
      <c r="T191" s="123" t="s">
        <v>2201</v>
      </c>
      <c r="U191" s="123" t="s">
        <v>2182</v>
      </c>
      <c r="V191" s="123"/>
      <c r="W191" s="123"/>
    </row>
    <row r="192" spans="1:23">
      <c r="A192" s="414">
        <v>190</v>
      </c>
      <c r="B192" s="184" t="s">
        <v>2380</v>
      </c>
      <c r="C192" s="184" t="s">
        <v>2413</v>
      </c>
      <c r="D192" s="122" t="s">
        <v>2301</v>
      </c>
      <c r="E192" s="124">
        <v>42940</v>
      </c>
      <c r="F192" s="125">
        <v>0.69791666666666663</v>
      </c>
      <c r="G192" s="124">
        <v>43009</v>
      </c>
      <c r="H192" s="125">
        <v>0.68819444444444444</v>
      </c>
      <c r="I192" s="123">
        <v>807</v>
      </c>
      <c r="J192" s="123">
        <v>171</v>
      </c>
      <c r="K192" s="123">
        <v>397</v>
      </c>
      <c r="L192" s="123">
        <v>466</v>
      </c>
      <c r="M192" s="123">
        <v>605</v>
      </c>
      <c r="N192" s="123">
        <v>35.799999999999997</v>
      </c>
      <c r="O192" s="123">
        <v>5.7</v>
      </c>
      <c r="P192" s="123" t="s">
        <v>2509</v>
      </c>
      <c r="Q192" s="123">
        <v>36.299999999999997</v>
      </c>
      <c r="R192" s="123">
        <v>4.4000000000000004</v>
      </c>
      <c r="S192" s="123"/>
      <c r="T192" s="123"/>
      <c r="U192" s="123"/>
      <c r="V192" s="123"/>
      <c r="W192" s="123"/>
    </row>
    <row r="193" spans="1:23">
      <c r="A193" s="414">
        <v>191</v>
      </c>
      <c r="B193" s="184" t="s">
        <v>2380</v>
      </c>
      <c r="C193" s="184" t="s">
        <v>2414</v>
      </c>
      <c r="D193" s="122" t="s">
        <v>2301</v>
      </c>
      <c r="E193" s="124">
        <v>42940</v>
      </c>
      <c r="F193" s="125">
        <v>0.69097222222222221</v>
      </c>
      <c r="G193" s="124">
        <v>43009</v>
      </c>
      <c r="H193" s="125">
        <v>0.68541666666666667</v>
      </c>
      <c r="I193" s="123">
        <v>808</v>
      </c>
      <c r="J193" s="123">
        <v>232</v>
      </c>
      <c r="K193" s="123">
        <v>715</v>
      </c>
      <c r="L193" s="123">
        <v>32</v>
      </c>
      <c r="M193" s="123">
        <v>240</v>
      </c>
      <c r="N193" s="123">
        <v>36.9</v>
      </c>
      <c r="O193" s="123">
        <v>5.4</v>
      </c>
      <c r="P193" s="123" t="s">
        <v>2509</v>
      </c>
      <c r="Q193" s="123">
        <v>35.799999999999997</v>
      </c>
      <c r="R193" s="123">
        <v>7.5</v>
      </c>
      <c r="S193" s="123"/>
      <c r="T193" s="123"/>
      <c r="U193" s="123"/>
      <c r="V193" s="123"/>
      <c r="W193" s="123"/>
    </row>
    <row r="194" spans="1:23">
      <c r="A194" s="414">
        <v>192</v>
      </c>
      <c r="B194" s="184" t="s">
        <v>2380</v>
      </c>
      <c r="C194" s="184" t="s">
        <v>2415</v>
      </c>
      <c r="D194" s="122" t="s">
        <v>2301</v>
      </c>
      <c r="E194" s="123"/>
      <c r="F194" s="123"/>
      <c r="G194" s="123"/>
      <c r="H194" s="125"/>
      <c r="I194" s="123">
        <v>809</v>
      </c>
      <c r="J194" s="123"/>
      <c r="K194" s="123"/>
      <c r="L194" s="123"/>
      <c r="M194" s="123"/>
      <c r="N194" s="123"/>
      <c r="O194" s="123"/>
      <c r="P194" s="123"/>
      <c r="Q194" s="123"/>
      <c r="R194" s="123"/>
      <c r="S194" s="123"/>
      <c r="T194" s="123"/>
      <c r="U194" s="123"/>
      <c r="V194" s="123"/>
      <c r="W194" s="123"/>
    </row>
    <row r="195" spans="1:23">
      <c r="A195" s="414">
        <v>193</v>
      </c>
      <c r="B195" s="189" t="s">
        <v>2171</v>
      </c>
      <c r="C195" s="189" t="s">
        <v>2440</v>
      </c>
      <c r="D195" s="122">
        <v>3</v>
      </c>
      <c r="E195" s="124">
        <v>42942</v>
      </c>
      <c r="F195" s="125">
        <v>0.64930555555555558</v>
      </c>
      <c r="G195" s="124">
        <v>43004</v>
      </c>
      <c r="H195" s="125">
        <v>0.46249999999999997</v>
      </c>
      <c r="I195" s="123">
        <v>933</v>
      </c>
      <c r="J195" s="123">
        <v>257</v>
      </c>
      <c r="K195" s="123">
        <v>695</v>
      </c>
      <c r="L195" s="123">
        <v>45</v>
      </c>
      <c r="M195" s="123">
        <v>623</v>
      </c>
      <c r="N195" s="123">
        <v>29.2</v>
      </c>
      <c r="O195" s="123">
        <v>4.4000000000000004</v>
      </c>
      <c r="P195" s="153"/>
      <c r="Q195" s="123">
        <v>28.4</v>
      </c>
      <c r="R195" s="123">
        <v>5.8</v>
      </c>
      <c r="S195" s="123" t="s">
        <v>2182</v>
      </c>
      <c r="T195" s="123"/>
      <c r="U195" s="123" t="s">
        <v>2182</v>
      </c>
      <c r="V195" s="123"/>
      <c r="W195" s="123"/>
    </row>
    <row r="196" spans="1:23">
      <c r="A196" s="414">
        <v>194</v>
      </c>
      <c r="B196" s="189" t="s">
        <v>2171</v>
      </c>
      <c r="C196" s="189" t="s">
        <v>2433</v>
      </c>
      <c r="D196" s="133">
        <v>6</v>
      </c>
      <c r="E196" s="124">
        <v>42942</v>
      </c>
      <c r="F196" s="125">
        <v>0.64583333333333337</v>
      </c>
      <c r="G196" s="124">
        <v>43004</v>
      </c>
      <c r="H196" s="125">
        <v>0.45208333333333334</v>
      </c>
      <c r="I196" s="123">
        <v>929</v>
      </c>
      <c r="J196" s="123">
        <v>148</v>
      </c>
      <c r="K196" s="123">
        <v>653</v>
      </c>
      <c r="L196" s="123">
        <v>90</v>
      </c>
      <c r="M196" s="123">
        <v>611</v>
      </c>
      <c r="N196" s="123">
        <v>32.799999999999997</v>
      </c>
      <c r="O196" s="123">
        <v>6</v>
      </c>
      <c r="P196" s="123"/>
      <c r="Q196" s="123">
        <v>28.9</v>
      </c>
      <c r="R196" s="123">
        <v>4.8</v>
      </c>
      <c r="S196" s="123" t="s">
        <v>2195</v>
      </c>
      <c r="T196" s="123" t="s">
        <v>2182</v>
      </c>
      <c r="U196" s="123" t="s">
        <v>2182</v>
      </c>
      <c r="V196" s="123" t="s">
        <v>2182</v>
      </c>
      <c r="W196" s="123"/>
    </row>
    <row r="197" spans="1:23">
      <c r="A197" s="414">
        <v>195</v>
      </c>
      <c r="B197" s="189" t="s">
        <v>2171</v>
      </c>
      <c r="C197" s="189" t="s">
        <v>2425</v>
      </c>
      <c r="D197" s="133">
        <v>4</v>
      </c>
      <c r="E197" s="124">
        <v>42942</v>
      </c>
      <c r="F197" s="125">
        <v>0.63888888888888895</v>
      </c>
      <c r="G197" s="124">
        <v>43004</v>
      </c>
      <c r="H197" s="125">
        <v>0.43194444444444446</v>
      </c>
      <c r="I197" s="123">
        <v>935</v>
      </c>
      <c r="J197" s="123">
        <v>105</v>
      </c>
      <c r="K197" s="123">
        <v>389</v>
      </c>
      <c r="L197" s="123">
        <v>338</v>
      </c>
      <c r="M197" s="123">
        <v>645</v>
      </c>
      <c r="N197" s="123">
        <v>29.1</v>
      </c>
      <c r="O197" s="123">
        <v>9.9</v>
      </c>
      <c r="P197" s="123"/>
      <c r="Q197" s="123">
        <v>27.1</v>
      </c>
      <c r="R197" s="123">
        <v>12.9</v>
      </c>
      <c r="S197" s="123" t="s">
        <v>2201</v>
      </c>
      <c r="T197" s="123" t="s">
        <v>2182</v>
      </c>
      <c r="U197" s="123" t="s">
        <v>2182</v>
      </c>
      <c r="V197" s="123"/>
      <c r="W197" s="123" t="s">
        <v>3535</v>
      </c>
    </row>
    <row r="198" spans="1:23">
      <c r="A198" s="414">
        <v>196</v>
      </c>
      <c r="B198" s="189" t="s">
        <v>2171</v>
      </c>
      <c r="C198" s="184" t="s">
        <v>2416</v>
      </c>
      <c r="D198" s="133">
        <v>4</v>
      </c>
      <c r="E198" s="124">
        <v>42942</v>
      </c>
      <c r="F198" s="125">
        <v>0.63194444444444442</v>
      </c>
      <c r="G198" s="124">
        <v>43004</v>
      </c>
      <c r="H198" s="125">
        <v>0.4145833333333333</v>
      </c>
      <c r="I198" s="123">
        <v>934</v>
      </c>
      <c r="J198" s="123">
        <v>12</v>
      </c>
      <c r="K198" s="123">
        <v>455</v>
      </c>
      <c r="L198" s="123">
        <v>243</v>
      </c>
      <c r="M198" s="123">
        <v>709</v>
      </c>
      <c r="N198" s="123">
        <v>26.2</v>
      </c>
      <c r="O198" s="123">
        <v>9.9</v>
      </c>
      <c r="P198" s="123"/>
      <c r="Q198" s="123">
        <v>27.1</v>
      </c>
      <c r="R198" s="123">
        <v>15</v>
      </c>
      <c r="S198" s="123" t="s">
        <v>2174</v>
      </c>
      <c r="T198" s="123" t="s">
        <v>2174</v>
      </c>
      <c r="U198" s="123" t="s">
        <v>2182</v>
      </c>
      <c r="V198" s="123"/>
      <c r="W198" s="123" t="s">
        <v>3536</v>
      </c>
    </row>
    <row r="199" spans="1:23">
      <c r="A199" s="414">
        <v>197</v>
      </c>
      <c r="B199" s="189" t="s">
        <v>2171</v>
      </c>
      <c r="C199" s="189" t="s">
        <v>2426</v>
      </c>
      <c r="D199" s="133">
        <v>1</v>
      </c>
      <c r="E199" s="124">
        <v>42942</v>
      </c>
      <c r="F199" s="125">
        <v>0.63541666666666663</v>
      </c>
      <c r="G199" s="124">
        <v>43004</v>
      </c>
      <c r="H199" s="125">
        <v>0.42638888888888887</v>
      </c>
      <c r="I199" s="123">
        <v>935</v>
      </c>
      <c r="J199" s="123">
        <v>399</v>
      </c>
      <c r="K199" s="123">
        <v>692</v>
      </c>
      <c r="L199" s="123">
        <v>254</v>
      </c>
      <c r="M199" s="123">
        <v>131</v>
      </c>
      <c r="N199" s="123">
        <v>29.6</v>
      </c>
      <c r="O199" s="123">
        <v>5.7</v>
      </c>
      <c r="P199" s="123"/>
      <c r="Q199" s="123">
        <v>28.5</v>
      </c>
      <c r="R199" s="123">
        <v>6.9</v>
      </c>
      <c r="S199" s="123" t="s">
        <v>2182</v>
      </c>
      <c r="T199" s="123" t="s">
        <v>2182</v>
      </c>
      <c r="U199" s="123" t="s">
        <v>2182</v>
      </c>
      <c r="V199" s="123" t="s">
        <v>2182</v>
      </c>
      <c r="W199" s="123"/>
    </row>
    <row r="200" spans="1:23">
      <c r="A200" s="414">
        <v>198</v>
      </c>
      <c r="B200" s="189" t="s">
        <v>2171</v>
      </c>
      <c r="C200" s="189" t="s">
        <v>2434</v>
      </c>
      <c r="D200" s="133">
        <v>2</v>
      </c>
      <c r="E200" s="124">
        <v>42942</v>
      </c>
      <c r="F200" s="125">
        <v>0.64236111111111105</v>
      </c>
      <c r="G200" s="124">
        <v>43004</v>
      </c>
      <c r="H200" s="125">
        <v>0.44513888888888892</v>
      </c>
      <c r="I200" s="123">
        <v>929</v>
      </c>
      <c r="J200" s="123">
        <v>27</v>
      </c>
      <c r="K200" s="123">
        <v>352</v>
      </c>
      <c r="L200" s="123">
        <v>780</v>
      </c>
      <c r="M200" s="123">
        <v>711</v>
      </c>
      <c r="N200" s="123">
        <v>32.1</v>
      </c>
      <c r="O200" s="123">
        <v>4.3</v>
      </c>
      <c r="P200" s="123"/>
      <c r="Q200" s="123">
        <v>28.4</v>
      </c>
      <c r="R200" s="123">
        <v>5.4</v>
      </c>
      <c r="S200" s="123" t="s">
        <v>2182</v>
      </c>
      <c r="T200" s="123" t="s">
        <v>2201</v>
      </c>
      <c r="U200" s="123" t="s">
        <v>2182</v>
      </c>
      <c r="V200" s="123" t="s">
        <v>2182</v>
      </c>
      <c r="W200" s="123"/>
    </row>
    <row r="201" spans="1:23">
      <c r="A201" s="414">
        <v>199</v>
      </c>
      <c r="B201" s="189" t="s">
        <v>2171</v>
      </c>
      <c r="C201" s="189" t="s">
        <v>2418</v>
      </c>
      <c r="D201" s="190">
        <v>1</v>
      </c>
      <c r="E201" s="124">
        <v>42942</v>
      </c>
      <c r="F201" s="125">
        <v>0.63194444444444442</v>
      </c>
      <c r="G201" s="124">
        <v>43004</v>
      </c>
      <c r="H201" s="125">
        <v>0.4055555555555555</v>
      </c>
      <c r="I201" s="123">
        <v>934</v>
      </c>
      <c r="J201" s="123">
        <v>224</v>
      </c>
      <c r="K201" s="123">
        <v>327</v>
      </c>
      <c r="L201" s="123">
        <v>182</v>
      </c>
      <c r="M201" s="123">
        <v>236</v>
      </c>
      <c r="N201" s="123">
        <v>27.1</v>
      </c>
      <c r="O201" s="123">
        <v>5.6</v>
      </c>
      <c r="P201" s="123"/>
      <c r="Q201" s="123">
        <v>27.3</v>
      </c>
      <c r="R201" s="123">
        <v>6.8</v>
      </c>
      <c r="S201" s="123" t="s">
        <v>2174</v>
      </c>
      <c r="T201" s="123" t="s">
        <v>2174</v>
      </c>
      <c r="U201" s="123" t="s">
        <v>2182</v>
      </c>
      <c r="V201" s="123" t="s">
        <v>2182</v>
      </c>
      <c r="W201" s="123"/>
    </row>
    <row r="202" spans="1:23">
      <c r="A202" s="414">
        <v>200</v>
      </c>
      <c r="B202" s="189" t="s">
        <v>2171</v>
      </c>
      <c r="C202" s="189" t="s">
        <v>2441</v>
      </c>
      <c r="D202" s="133">
        <v>7</v>
      </c>
      <c r="E202" s="124">
        <v>42942</v>
      </c>
      <c r="F202" s="125">
        <v>0.65277777777777779</v>
      </c>
      <c r="G202" s="124">
        <v>43004</v>
      </c>
      <c r="H202" s="125">
        <v>0.4680555555555555</v>
      </c>
      <c r="I202" s="123">
        <v>933</v>
      </c>
      <c r="J202" s="123">
        <v>158</v>
      </c>
      <c r="K202" s="123">
        <v>75</v>
      </c>
      <c r="L202" s="123">
        <v>186</v>
      </c>
      <c r="M202" s="123">
        <v>205</v>
      </c>
      <c r="N202" s="123">
        <v>32.9</v>
      </c>
      <c r="O202" s="123">
        <v>5.5</v>
      </c>
      <c r="P202" s="123"/>
      <c r="Q202" s="123"/>
      <c r="R202" s="123">
        <v>8.5</v>
      </c>
      <c r="S202" s="123" t="s">
        <v>2182</v>
      </c>
      <c r="T202" s="123" t="s">
        <v>2195</v>
      </c>
      <c r="U202" s="123" t="s">
        <v>2182</v>
      </c>
      <c r="V202" s="123" t="s">
        <v>2182</v>
      </c>
      <c r="W202" s="123" t="s">
        <v>3537</v>
      </c>
    </row>
    <row r="203" spans="1:23">
      <c r="A203" s="414">
        <v>201</v>
      </c>
      <c r="B203" s="189" t="s">
        <v>2271</v>
      </c>
      <c r="C203" s="189" t="s">
        <v>2442</v>
      </c>
      <c r="D203" s="133">
        <v>5</v>
      </c>
      <c r="E203" s="124">
        <v>42942</v>
      </c>
      <c r="F203" s="125">
        <v>0.65277777777777779</v>
      </c>
      <c r="G203" s="124">
        <v>43004</v>
      </c>
      <c r="H203" s="125">
        <v>0.46458333333333335</v>
      </c>
      <c r="I203" s="123">
        <v>933</v>
      </c>
      <c r="J203" s="123">
        <v>211</v>
      </c>
      <c r="K203" s="123">
        <v>36</v>
      </c>
      <c r="L203" s="123">
        <v>315</v>
      </c>
      <c r="M203" s="123">
        <v>665</v>
      </c>
      <c r="N203" s="123">
        <v>30.7</v>
      </c>
      <c r="O203" s="123">
        <v>8.3000000000000007</v>
      </c>
      <c r="P203" s="123"/>
      <c r="Q203" s="123">
        <v>27.6</v>
      </c>
      <c r="R203" s="123">
        <v>9.5</v>
      </c>
      <c r="S203" s="123" t="s">
        <v>2195</v>
      </c>
      <c r="T203" s="123" t="s">
        <v>2225</v>
      </c>
      <c r="U203" s="123" t="s">
        <v>2182</v>
      </c>
      <c r="V203" s="123" t="s">
        <v>2182</v>
      </c>
      <c r="W203" s="123" t="s">
        <v>3538</v>
      </c>
    </row>
    <row r="204" spans="1:23">
      <c r="A204" s="414">
        <v>202</v>
      </c>
      <c r="B204" s="189" t="s">
        <v>2271</v>
      </c>
      <c r="C204" s="189" t="s">
        <v>2419</v>
      </c>
      <c r="D204" s="133">
        <v>5</v>
      </c>
      <c r="E204" s="124">
        <v>42942</v>
      </c>
      <c r="F204" s="125">
        <v>0.63194444444444442</v>
      </c>
      <c r="G204" s="124">
        <v>43004</v>
      </c>
      <c r="H204" s="125">
        <v>0.42222222222222222</v>
      </c>
      <c r="I204" s="123">
        <v>934</v>
      </c>
      <c r="J204" s="123">
        <v>181</v>
      </c>
      <c r="K204" s="123">
        <v>676</v>
      </c>
      <c r="L204" s="123">
        <v>147</v>
      </c>
      <c r="M204" s="123">
        <v>224</v>
      </c>
      <c r="N204" s="123">
        <v>30.5</v>
      </c>
      <c r="O204" s="123">
        <v>7.3</v>
      </c>
      <c r="P204" s="123"/>
      <c r="Q204" s="123">
        <v>27.2</v>
      </c>
      <c r="R204" s="123">
        <v>5.3</v>
      </c>
      <c r="S204" s="123" t="s">
        <v>2182</v>
      </c>
      <c r="T204" s="123" t="s">
        <v>2195</v>
      </c>
      <c r="U204" s="123" t="s">
        <v>2182</v>
      </c>
      <c r="V204" s="123" t="s">
        <v>2182</v>
      </c>
      <c r="W204" s="123" t="s">
        <v>3539</v>
      </c>
    </row>
    <row r="205" spans="1:23">
      <c r="A205" s="414">
        <v>203</v>
      </c>
      <c r="B205" s="189" t="s">
        <v>2271</v>
      </c>
      <c r="C205" s="189" t="s">
        <v>2428</v>
      </c>
      <c r="D205" s="133">
        <v>7</v>
      </c>
      <c r="E205" s="124">
        <v>42942</v>
      </c>
      <c r="F205" s="125">
        <v>0.63888888888888895</v>
      </c>
      <c r="G205" s="124">
        <v>43004</v>
      </c>
      <c r="H205" s="125">
        <v>0.43888888888888888</v>
      </c>
      <c r="I205" s="123">
        <v>935</v>
      </c>
      <c r="J205" s="123">
        <v>179</v>
      </c>
      <c r="K205" s="123">
        <v>685</v>
      </c>
      <c r="L205" s="123">
        <v>168</v>
      </c>
      <c r="M205" s="123">
        <v>621</v>
      </c>
      <c r="N205" s="123">
        <v>29.4</v>
      </c>
      <c r="O205" s="123">
        <v>9.3000000000000007</v>
      </c>
      <c r="P205" s="123"/>
      <c r="Q205" s="123">
        <v>27.2</v>
      </c>
      <c r="R205" s="123">
        <v>10.9</v>
      </c>
      <c r="S205" s="123" t="s">
        <v>2195</v>
      </c>
      <c r="T205" s="123" t="s">
        <v>2182</v>
      </c>
      <c r="U205" s="123" t="s">
        <v>2182</v>
      </c>
      <c r="V205" s="123" t="s">
        <v>2182</v>
      </c>
      <c r="W205" s="123" t="s">
        <v>3538</v>
      </c>
    </row>
    <row r="206" spans="1:23">
      <c r="A206" s="414">
        <v>204</v>
      </c>
      <c r="B206" s="189" t="s">
        <v>2271</v>
      </c>
      <c r="C206" s="189" t="s">
        <v>2435</v>
      </c>
      <c r="D206" s="133">
        <v>4</v>
      </c>
      <c r="E206" s="124">
        <v>42942</v>
      </c>
      <c r="F206" s="125">
        <v>0.64236111111111105</v>
      </c>
      <c r="G206" s="124">
        <v>43004</v>
      </c>
      <c r="H206" s="125">
        <v>0.44722222222222219</v>
      </c>
      <c r="I206" s="123">
        <v>929</v>
      </c>
      <c r="J206" s="123">
        <v>248</v>
      </c>
      <c r="K206" s="123">
        <v>254</v>
      </c>
      <c r="L206" s="123">
        <v>672</v>
      </c>
      <c r="M206" s="123">
        <v>708</v>
      </c>
      <c r="N206" s="123">
        <v>26.9</v>
      </c>
      <c r="O206" s="123">
        <v>7.4</v>
      </c>
      <c r="P206" s="123"/>
      <c r="Q206" s="123">
        <v>27.7</v>
      </c>
      <c r="R206" s="123">
        <v>9.3000000000000007</v>
      </c>
      <c r="S206" s="123" t="s">
        <v>2201</v>
      </c>
      <c r="T206" s="123" t="s">
        <v>2201</v>
      </c>
      <c r="U206" s="123"/>
      <c r="V206" s="123"/>
      <c r="W206" s="123"/>
    </row>
    <row r="207" spans="1:23">
      <c r="A207" s="414">
        <v>205</v>
      </c>
      <c r="B207" s="189" t="s">
        <v>2309</v>
      </c>
      <c r="C207" s="189" t="s">
        <v>2429</v>
      </c>
      <c r="D207" s="133">
        <v>6</v>
      </c>
      <c r="E207" s="124">
        <v>42942</v>
      </c>
      <c r="F207" s="125">
        <v>0.63888888888888895</v>
      </c>
      <c r="G207" s="124">
        <v>43004</v>
      </c>
      <c r="H207" s="125">
        <v>0.45</v>
      </c>
      <c r="I207" s="123">
        <v>935</v>
      </c>
      <c r="J207" s="123">
        <v>55</v>
      </c>
      <c r="K207" s="123">
        <v>348</v>
      </c>
      <c r="L207" s="123">
        <v>173</v>
      </c>
      <c r="M207" s="123">
        <v>637</v>
      </c>
      <c r="N207" s="123">
        <v>30.6</v>
      </c>
      <c r="O207" s="123">
        <v>7.8</v>
      </c>
      <c r="P207" s="123"/>
      <c r="Q207" s="123">
        <v>27.5</v>
      </c>
      <c r="R207" s="123">
        <v>8.1</v>
      </c>
      <c r="S207" s="123" t="s">
        <v>2201</v>
      </c>
      <c r="T207" s="123" t="s">
        <v>2201</v>
      </c>
      <c r="U207" s="123" t="s">
        <v>2182</v>
      </c>
      <c r="V207" s="123" t="s">
        <v>2182</v>
      </c>
      <c r="W207" s="123" t="s">
        <v>3540</v>
      </c>
    </row>
    <row r="208" spans="1:23">
      <c r="A208" s="414">
        <v>206</v>
      </c>
      <c r="B208" s="189" t="s">
        <v>2309</v>
      </c>
      <c r="C208" s="189" t="s">
        <v>2420</v>
      </c>
      <c r="D208" s="133">
        <v>3</v>
      </c>
      <c r="E208" s="124">
        <v>42942</v>
      </c>
      <c r="F208" s="125">
        <v>0.63194444444444442</v>
      </c>
      <c r="G208" s="124">
        <v>43004</v>
      </c>
      <c r="H208" s="125">
        <v>0.40833333333333338</v>
      </c>
      <c r="I208" s="123">
        <v>934</v>
      </c>
      <c r="J208" s="123">
        <v>124</v>
      </c>
      <c r="K208" s="123">
        <v>686</v>
      </c>
      <c r="L208" s="123">
        <v>262</v>
      </c>
      <c r="M208" s="123">
        <v>284</v>
      </c>
      <c r="N208" s="123">
        <v>28.9</v>
      </c>
      <c r="O208" s="123">
        <v>6.9</v>
      </c>
      <c r="P208" s="123"/>
      <c r="Q208" s="123">
        <v>26.7</v>
      </c>
      <c r="R208" s="123">
        <v>5.9</v>
      </c>
      <c r="S208" s="123" t="s">
        <v>2182</v>
      </c>
      <c r="T208" s="123" t="s">
        <v>2201</v>
      </c>
      <c r="U208" s="123" t="s">
        <v>2182</v>
      </c>
      <c r="V208" s="123" t="s">
        <v>2182</v>
      </c>
      <c r="W208" s="123" t="s">
        <v>3541</v>
      </c>
    </row>
    <row r="209" spans="1:24">
      <c r="A209" s="414">
        <v>207</v>
      </c>
      <c r="B209" s="189" t="s">
        <v>2309</v>
      </c>
      <c r="C209" s="189" t="s">
        <v>2443</v>
      </c>
      <c r="D209" s="133">
        <v>1</v>
      </c>
      <c r="E209" s="124">
        <v>42942</v>
      </c>
      <c r="F209" s="125">
        <v>0.64583333333333337</v>
      </c>
      <c r="G209" s="124">
        <v>43004</v>
      </c>
      <c r="H209" s="125">
        <v>0.45833333333333331</v>
      </c>
      <c r="I209" s="123">
        <v>933</v>
      </c>
      <c r="J209" s="123">
        <v>234</v>
      </c>
      <c r="K209" s="123">
        <v>551</v>
      </c>
      <c r="L209" s="123">
        <v>230</v>
      </c>
      <c r="M209" s="123">
        <v>604</v>
      </c>
      <c r="N209" s="123">
        <v>31.1</v>
      </c>
      <c r="O209" s="123">
        <v>5</v>
      </c>
      <c r="P209" s="123"/>
      <c r="Q209" s="123">
        <v>28.1</v>
      </c>
      <c r="R209" s="123">
        <v>3.6</v>
      </c>
      <c r="S209" s="123" t="s">
        <v>2182</v>
      </c>
      <c r="T209" s="123" t="s">
        <v>2182</v>
      </c>
      <c r="U209" s="123"/>
      <c r="V209" s="123" t="s">
        <v>2182</v>
      </c>
      <c r="W209" s="123"/>
    </row>
    <row r="210" spans="1:24">
      <c r="A210" s="414">
        <v>208</v>
      </c>
      <c r="B210" s="189" t="s">
        <v>2309</v>
      </c>
      <c r="C210" s="189" t="s">
        <v>2436</v>
      </c>
      <c r="D210" s="133">
        <v>3</v>
      </c>
      <c r="E210" s="124">
        <v>42942</v>
      </c>
      <c r="F210" s="125">
        <v>0.64236111111111105</v>
      </c>
      <c r="G210" s="124">
        <v>43004</v>
      </c>
      <c r="H210" s="125">
        <v>0.4458333333333333</v>
      </c>
      <c r="I210" s="123">
        <v>929</v>
      </c>
      <c r="J210" s="123">
        <v>412</v>
      </c>
      <c r="K210" s="144">
        <v>516</v>
      </c>
      <c r="L210" s="144">
        <v>140</v>
      </c>
      <c r="M210" s="123">
        <v>625</v>
      </c>
      <c r="N210" s="123">
        <v>29.6</v>
      </c>
      <c r="O210" s="123">
        <v>4.7</v>
      </c>
      <c r="P210" s="123"/>
      <c r="Q210" s="123">
        <v>28.6</v>
      </c>
      <c r="R210" s="123">
        <v>7.7</v>
      </c>
      <c r="S210" s="123" t="s">
        <v>2195</v>
      </c>
      <c r="T210" s="123" t="s">
        <v>2314</v>
      </c>
      <c r="U210" s="123" t="s">
        <v>2182</v>
      </c>
      <c r="V210" s="123" t="s">
        <v>2182</v>
      </c>
      <c r="W210" s="123" t="s">
        <v>3542</v>
      </c>
    </row>
    <row r="211" spans="1:24">
      <c r="A211" s="414">
        <v>209</v>
      </c>
      <c r="B211" s="189" t="s">
        <v>2309</v>
      </c>
      <c r="C211" s="189" t="s">
        <v>2430</v>
      </c>
      <c r="D211" s="133">
        <v>3</v>
      </c>
      <c r="E211" s="124">
        <v>42942</v>
      </c>
      <c r="F211" s="125">
        <v>0.63541666666666663</v>
      </c>
      <c r="G211" s="124">
        <v>43004</v>
      </c>
      <c r="H211" s="125">
        <v>0.4284722222222222</v>
      </c>
      <c r="I211" s="123">
        <v>935</v>
      </c>
      <c r="J211" s="123">
        <v>94</v>
      </c>
      <c r="K211" s="123">
        <v>678</v>
      </c>
      <c r="L211" s="123">
        <v>92</v>
      </c>
      <c r="M211" s="123">
        <v>647</v>
      </c>
      <c r="N211" s="123">
        <v>31.1</v>
      </c>
      <c r="O211" s="123">
        <v>8.4</v>
      </c>
      <c r="P211" s="123"/>
      <c r="Q211" s="123">
        <v>28.1</v>
      </c>
      <c r="R211" s="123">
        <v>8.8000000000000007</v>
      </c>
      <c r="S211" s="123" t="s">
        <v>2182</v>
      </c>
      <c r="T211" s="123"/>
      <c r="U211" s="123" t="s">
        <v>2182</v>
      </c>
      <c r="V211" s="123" t="s">
        <v>2182</v>
      </c>
      <c r="W211" s="123"/>
    </row>
    <row r="212" spans="1:24">
      <c r="A212" s="414">
        <v>210</v>
      </c>
      <c r="B212" s="189" t="s">
        <v>2309</v>
      </c>
      <c r="C212" s="189" t="s">
        <v>2444</v>
      </c>
      <c r="D212" s="133">
        <v>2</v>
      </c>
      <c r="E212" s="124">
        <v>42942</v>
      </c>
      <c r="F212" s="125">
        <v>0.64930555555555558</v>
      </c>
      <c r="G212" s="124">
        <v>43004</v>
      </c>
      <c r="H212" s="125">
        <v>0.4597222222222222</v>
      </c>
      <c r="I212" s="123">
        <v>933</v>
      </c>
      <c r="J212" s="123">
        <v>93</v>
      </c>
      <c r="K212" s="123">
        <v>335</v>
      </c>
      <c r="L212" s="123">
        <v>36</v>
      </c>
      <c r="M212" s="123">
        <v>599</v>
      </c>
      <c r="N212" s="123">
        <v>27.1</v>
      </c>
      <c r="O212" s="123">
        <v>5.8</v>
      </c>
      <c r="P212" s="123"/>
      <c r="Q212" s="123">
        <v>27.9</v>
      </c>
      <c r="R212" s="123">
        <v>6.4</v>
      </c>
      <c r="S212" s="123" t="s">
        <v>2229</v>
      </c>
      <c r="T212" s="123" t="s">
        <v>2190</v>
      </c>
      <c r="U212" s="123"/>
      <c r="V212" s="123"/>
      <c r="W212" s="123" t="s">
        <v>3543</v>
      </c>
      <c r="X212" s="163"/>
    </row>
    <row r="213" spans="1:24">
      <c r="A213" s="414">
        <v>211</v>
      </c>
      <c r="B213" s="189" t="s">
        <v>2309</v>
      </c>
      <c r="C213" s="189" t="s">
        <v>2421</v>
      </c>
      <c r="D213" s="133">
        <v>2</v>
      </c>
      <c r="E213" s="124">
        <v>42942</v>
      </c>
      <c r="F213" s="125">
        <v>0.59375</v>
      </c>
      <c r="G213" s="124">
        <v>43004</v>
      </c>
      <c r="H213" s="125">
        <v>0.40763888888888888</v>
      </c>
      <c r="I213" s="123">
        <v>934</v>
      </c>
      <c r="J213" s="123">
        <v>26</v>
      </c>
      <c r="K213" s="123">
        <v>249</v>
      </c>
      <c r="L213" s="123">
        <v>434</v>
      </c>
      <c r="M213" s="123">
        <v>670</v>
      </c>
      <c r="N213" s="123">
        <v>28.3</v>
      </c>
      <c r="O213" s="123">
        <v>7</v>
      </c>
      <c r="P213" s="123"/>
      <c r="Q213" s="123">
        <v>27.7</v>
      </c>
      <c r="R213" s="123">
        <v>8.1</v>
      </c>
      <c r="S213" s="123" t="s">
        <v>2174</v>
      </c>
      <c r="T213" s="123" t="s">
        <v>2231</v>
      </c>
      <c r="U213" s="123" t="s">
        <v>2182</v>
      </c>
      <c r="V213" s="123"/>
      <c r="W213" s="123"/>
    </row>
    <row r="214" spans="1:24">
      <c r="A214" s="414">
        <v>215</v>
      </c>
      <c r="B214" s="189" t="s">
        <v>2309</v>
      </c>
      <c r="C214" s="189" t="s">
        <v>2422</v>
      </c>
      <c r="D214" s="133">
        <v>7</v>
      </c>
      <c r="E214" s="124">
        <v>42942</v>
      </c>
      <c r="F214" s="125">
        <v>0.63194444444444442</v>
      </c>
      <c r="G214" s="124">
        <v>43004</v>
      </c>
      <c r="H214" s="125">
        <v>0.41875000000000001</v>
      </c>
      <c r="I214" s="123">
        <v>934</v>
      </c>
      <c r="J214" s="123">
        <v>169</v>
      </c>
      <c r="K214" s="123">
        <v>627</v>
      </c>
      <c r="L214" s="191">
        <v>56</v>
      </c>
      <c r="M214" s="123">
        <v>256</v>
      </c>
      <c r="N214" s="123">
        <v>30.2</v>
      </c>
      <c r="O214" s="123">
        <v>4.3</v>
      </c>
      <c r="P214" s="123"/>
      <c r="Q214" s="123">
        <v>27.3</v>
      </c>
      <c r="R214" s="123">
        <v>4.3</v>
      </c>
      <c r="S214" s="123"/>
      <c r="T214" s="123" t="s">
        <v>2182</v>
      </c>
      <c r="U214" s="123" t="s">
        <v>2182</v>
      </c>
      <c r="V214" s="123" t="s">
        <v>2182</v>
      </c>
      <c r="W214" s="123"/>
    </row>
    <row r="215" spans="1:24">
      <c r="A215" s="414">
        <v>212</v>
      </c>
      <c r="B215" s="189" t="s">
        <v>2309</v>
      </c>
      <c r="C215" s="189" t="s">
        <v>2437</v>
      </c>
      <c r="D215" s="133">
        <v>5</v>
      </c>
      <c r="E215" s="124">
        <v>42942</v>
      </c>
      <c r="F215" s="125">
        <v>0.64583333333333337</v>
      </c>
      <c r="G215" s="124">
        <v>43004</v>
      </c>
      <c r="H215" s="125">
        <v>0.45</v>
      </c>
      <c r="I215" s="123">
        <v>929</v>
      </c>
      <c r="J215" s="123">
        <v>68</v>
      </c>
      <c r="K215" s="123">
        <v>803</v>
      </c>
      <c r="L215" s="123">
        <v>363</v>
      </c>
      <c r="M215" s="123">
        <v>658</v>
      </c>
      <c r="N215" s="123">
        <v>29</v>
      </c>
      <c r="O215" s="123">
        <v>8.1999999999999993</v>
      </c>
      <c r="P215" s="123"/>
      <c r="Q215" s="123">
        <v>27.5</v>
      </c>
      <c r="R215" s="123">
        <v>8.1</v>
      </c>
      <c r="S215" s="123" t="s">
        <v>2201</v>
      </c>
      <c r="T215" s="123" t="s">
        <v>2201</v>
      </c>
      <c r="U215" s="123" t="s">
        <v>2182</v>
      </c>
      <c r="V215" s="123" t="s">
        <v>2182</v>
      </c>
      <c r="W215" s="123" t="s">
        <v>3544</v>
      </c>
    </row>
    <row r="216" spans="1:24">
      <c r="A216" s="414">
        <v>213</v>
      </c>
      <c r="B216" s="189" t="s">
        <v>2380</v>
      </c>
      <c r="C216" s="189" t="s">
        <v>2445</v>
      </c>
      <c r="D216" s="133">
        <v>6</v>
      </c>
      <c r="E216" s="124">
        <v>42942</v>
      </c>
      <c r="F216" s="125">
        <v>0.65277777777777779</v>
      </c>
      <c r="G216" s="124">
        <v>43004</v>
      </c>
      <c r="H216" s="125">
        <v>0.46736111111111112</v>
      </c>
      <c r="I216" s="123">
        <v>933</v>
      </c>
      <c r="J216" s="123">
        <v>143</v>
      </c>
      <c r="K216" s="123">
        <v>321</v>
      </c>
      <c r="L216" s="123">
        <v>5</v>
      </c>
      <c r="M216" s="123">
        <v>699</v>
      </c>
      <c r="N216" s="123">
        <v>30</v>
      </c>
      <c r="O216" s="123">
        <v>5.0999999999999996</v>
      </c>
      <c r="P216" s="123"/>
      <c r="Q216" s="123">
        <v>28.2</v>
      </c>
      <c r="R216" s="123">
        <v>3.6</v>
      </c>
      <c r="S216" s="123" t="s">
        <v>2182</v>
      </c>
      <c r="T216" s="123" t="s">
        <v>2182</v>
      </c>
      <c r="U216" s="123"/>
      <c r="V216" s="123"/>
      <c r="W216" s="123"/>
    </row>
    <row r="217" spans="1:24">
      <c r="A217" s="414">
        <v>214</v>
      </c>
      <c r="B217" s="189" t="s">
        <v>2380</v>
      </c>
      <c r="C217" s="189" t="s">
        <v>2438</v>
      </c>
      <c r="D217" s="133">
        <v>7</v>
      </c>
      <c r="E217" s="124">
        <v>42942</v>
      </c>
      <c r="F217" s="125">
        <v>0.64583333333333337</v>
      </c>
      <c r="G217" s="124">
        <v>43004</v>
      </c>
      <c r="H217" s="125">
        <v>0.45555555555555555</v>
      </c>
      <c r="I217" s="123">
        <v>929</v>
      </c>
      <c r="J217" s="123">
        <v>128</v>
      </c>
      <c r="K217" s="123">
        <v>677</v>
      </c>
      <c r="L217" s="163">
        <v>771</v>
      </c>
      <c r="M217" s="123">
        <v>663</v>
      </c>
      <c r="N217" s="123">
        <v>31.3</v>
      </c>
      <c r="O217" s="123">
        <v>4.8</v>
      </c>
      <c r="P217" s="123"/>
      <c r="Q217" s="123">
        <v>28.3</v>
      </c>
      <c r="R217" s="123">
        <v>7.8</v>
      </c>
      <c r="S217" s="123" t="s">
        <v>2174</v>
      </c>
      <c r="T217" s="123" t="s">
        <v>2201</v>
      </c>
      <c r="U217" s="123" t="s">
        <v>2182</v>
      </c>
      <c r="V217" s="123"/>
      <c r="W217" s="123"/>
    </row>
    <row r="218" spans="1:24">
      <c r="A218" s="414">
        <v>216</v>
      </c>
      <c r="B218" s="189" t="s">
        <v>2380</v>
      </c>
      <c r="C218" s="189" t="s">
        <v>2431</v>
      </c>
      <c r="D218" s="133">
        <v>2</v>
      </c>
      <c r="E218" s="124">
        <v>42942</v>
      </c>
      <c r="F218" s="125">
        <v>0.63541666666666663</v>
      </c>
      <c r="G218" s="124">
        <v>43004</v>
      </c>
      <c r="H218" s="125">
        <v>0.42777777777777781</v>
      </c>
      <c r="I218" s="123">
        <v>935</v>
      </c>
      <c r="J218" s="123">
        <v>95</v>
      </c>
      <c r="K218" s="123">
        <v>379</v>
      </c>
      <c r="L218" s="123">
        <v>361</v>
      </c>
      <c r="M218" s="123">
        <v>622</v>
      </c>
      <c r="N218" s="123">
        <v>30.5</v>
      </c>
      <c r="O218" s="123">
        <v>6.4</v>
      </c>
      <c r="P218" s="123"/>
      <c r="Q218" s="123">
        <v>29.2</v>
      </c>
      <c r="R218" s="123">
        <v>7.7</v>
      </c>
      <c r="S218" s="123"/>
      <c r="T218" s="123"/>
      <c r="U218" s="123"/>
      <c r="V218" s="123"/>
      <c r="W218" s="123"/>
    </row>
    <row r="219" spans="1:24">
      <c r="A219" s="414">
        <v>217</v>
      </c>
      <c r="B219" s="189" t="s">
        <v>2423</v>
      </c>
      <c r="C219" s="189" t="s">
        <v>2424</v>
      </c>
      <c r="D219" s="133">
        <v>6</v>
      </c>
      <c r="E219" s="124">
        <v>42942</v>
      </c>
      <c r="F219" s="125">
        <v>0.63194444444444442</v>
      </c>
      <c r="G219" s="124">
        <v>43004</v>
      </c>
      <c r="H219" s="125">
        <v>0.41805555555555557</v>
      </c>
      <c r="I219" s="123">
        <v>934</v>
      </c>
      <c r="J219" s="123">
        <v>313</v>
      </c>
      <c r="K219" s="123">
        <v>771</v>
      </c>
      <c r="L219" s="123">
        <v>204</v>
      </c>
      <c r="M219" s="123">
        <v>608</v>
      </c>
      <c r="N219" s="123">
        <v>35.6</v>
      </c>
      <c r="O219" s="123">
        <v>5.7</v>
      </c>
      <c r="P219" s="123"/>
      <c r="Q219" s="123">
        <v>26.9</v>
      </c>
      <c r="R219" s="123">
        <v>8.6999999999999993</v>
      </c>
      <c r="S219" s="123" t="s">
        <v>2201</v>
      </c>
      <c r="T219" s="123" t="s">
        <v>2201</v>
      </c>
      <c r="U219" s="123" t="s">
        <v>2182</v>
      </c>
      <c r="V219" s="123"/>
      <c r="W219" s="123"/>
    </row>
    <row r="220" spans="1:24">
      <c r="A220" s="414">
        <v>218</v>
      </c>
      <c r="B220" s="189" t="s">
        <v>2423</v>
      </c>
      <c r="C220" s="189" t="s">
        <v>2432</v>
      </c>
      <c r="D220" s="133">
        <v>5</v>
      </c>
      <c r="E220" s="124">
        <v>42942</v>
      </c>
      <c r="F220" s="125">
        <v>0.63888888888888895</v>
      </c>
      <c r="G220" s="124">
        <v>43004</v>
      </c>
      <c r="H220" s="125">
        <v>0.43611111111111112</v>
      </c>
      <c r="I220" s="123">
        <v>935</v>
      </c>
      <c r="J220" s="123">
        <v>485</v>
      </c>
      <c r="K220" s="123">
        <v>680</v>
      </c>
      <c r="L220" s="123">
        <v>170</v>
      </c>
      <c r="M220" s="123">
        <v>639</v>
      </c>
      <c r="N220" s="123">
        <v>30</v>
      </c>
      <c r="O220" s="123">
        <v>4.5</v>
      </c>
      <c r="P220" s="123"/>
      <c r="Q220" s="123">
        <v>28.3</v>
      </c>
      <c r="R220" s="123">
        <v>8.4</v>
      </c>
      <c r="S220" s="123" t="s">
        <v>2182</v>
      </c>
      <c r="T220" s="123" t="s">
        <v>2201</v>
      </c>
      <c r="U220" s="123" t="s">
        <v>2182</v>
      </c>
      <c r="V220" s="123" t="s">
        <v>2182</v>
      </c>
      <c r="W220" s="123" t="s">
        <v>3545</v>
      </c>
    </row>
    <row r="221" spans="1:24">
      <c r="A221" s="414">
        <v>219</v>
      </c>
      <c r="B221" s="189" t="s">
        <v>2423</v>
      </c>
      <c r="C221" s="189" t="s">
        <v>2439</v>
      </c>
      <c r="D221" s="133">
        <v>1</v>
      </c>
      <c r="E221" s="124">
        <v>42942</v>
      </c>
      <c r="F221" s="125">
        <v>0.63888888888888895</v>
      </c>
      <c r="G221" s="124">
        <v>43004</v>
      </c>
      <c r="H221" s="125">
        <v>0.44305555555555554</v>
      </c>
      <c r="I221" s="123">
        <v>929</v>
      </c>
      <c r="J221" s="123">
        <v>196</v>
      </c>
      <c r="K221" s="145">
        <v>178</v>
      </c>
      <c r="L221" s="145">
        <v>123</v>
      </c>
      <c r="M221" s="123">
        <v>246</v>
      </c>
      <c r="N221" s="123">
        <v>37.6</v>
      </c>
      <c r="O221" s="123">
        <v>2.9</v>
      </c>
      <c r="P221" s="123"/>
      <c r="Q221" s="123">
        <v>27.9</v>
      </c>
      <c r="R221" s="123">
        <v>8.6</v>
      </c>
      <c r="S221" s="123" t="s">
        <v>2201</v>
      </c>
      <c r="T221" s="123" t="s">
        <v>2182</v>
      </c>
      <c r="U221" s="123" t="s">
        <v>2182</v>
      </c>
      <c r="V221" s="123"/>
      <c r="W221" s="123"/>
    </row>
    <row r="222" spans="1:24">
      <c r="A222" s="414">
        <v>220</v>
      </c>
      <c r="B222" s="189" t="s">
        <v>2423</v>
      </c>
      <c r="C222" s="189" t="s">
        <v>2446</v>
      </c>
      <c r="D222" s="133">
        <v>4</v>
      </c>
      <c r="E222" s="124">
        <v>42942</v>
      </c>
      <c r="F222" s="125">
        <v>0.64930555555555558</v>
      </c>
      <c r="G222" s="124">
        <v>43004</v>
      </c>
      <c r="H222" s="125">
        <v>0.4694444444444445</v>
      </c>
      <c r="I222" s="123">
        <v>933</v>
      </c>
      <c r="J222" s="123">
        <v>39</v>
      </c>
      <c r="K222" s="123">
        <v>194</v>
      </c>
      <c r="L222" s="123">
        <v>53</v>
      </c>
      <c r="M222" s="123">
        <v>672</v>
      </c>
      <c r="N222" s="123">
        <v>39</v>
      </c>
      <c r="O222" s="123">
        <v>4.5999999999999996</v>
      </c>
      <c r="P222" s="123"/>
      <c r="Q222" s="123">
        <v>28.3</v>
      </c>
      <c r="R222" s="123">
        <v>6</v>
      </c>
      <c r="S222" s="123" t="s">
        <v>2182</v>
      </c>
      <c r="T222" s="123" t="s">
        <v>3528</v>
      </c>
      <c r="U222" s="123" t="s">
        <v>2182</v>
      </c>
      <c r="V222" s="123"/>
      <c r="W222" s="123" t="s">
        <v>3520</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2"/>
  <sheetViews>
    <sheetView topLeftCell="A452" zoomScale="115" zoomScaleNormal="115" workbookViewId="0">
      <selection activeCell="A452" sqref="A1:A1048576"/>
    </sheetView>
  </sheetViews>
  <sheetFormatPr baseColWidth="10" defaultColWidth="11.44140625" defaultRowHeight="14.4"/>
  <cols>
    <col min="5" max="5" width="11.44140625" style="221"/>
    <col min="11" max="11" width="11.44140625" style="165"/>
  </cols>
  <sheetData>
    <row r="1" spans="1:6">
      <c r="A1" s="165" t="s">
        <v>1144</v>
      </c>
      <c r="B1" s="165" t="s">
        <v>2159</v>
      </c>
      <c r="C1" s="165"/>
      <c r="D1" s="165" t="s">
        <v>2489</v>
      </c>
      <c r="E1" s="386" t="s">
        <v>2143</v>
      </c>
      <c r="F1" s="165" t="s">
        <v>1141</v>
      </c>
    </row>
    <row r="2" spans="1:6">
      <c r="A2" t="s">
        <v>2049</v>
      </c>
      <c r="B2" t="s">
        <v>3457</v>
      </c>
      <c r="D2">
        <v>0.85040000000000004</v>
      </c>
      <c r="E2" s="251"/>
      <c r="F2" s="245">
        <v>43009</v>
      </c>
    </row>
    <row r="3" spans="1:6">
      <c r="A3" t="s">
        <v>2040</v>
      </c>
      <c r="B3" t="s">
        <v>3428</v>
      </c>
      <c r="D3">
        <v>1.7706999999999999</v>
      </c>
      <c r="E3" s="251"/>
      <c r="F3" s="245">
        <v>43007</v>
      </c>
    </row>
    <row r="4" spans="1:6">
      <c r="A4" t="s">
        <v>1949</v>
      </c>
      <c r="B4" t="s">
        <v>3601</v>
      </c>
      <c r="D4" s="252">
        <v>1.9434</v>
      </c>
      <c r="E4" t="s">
        <v>2115</v>
      </c>
      <c r="F4" s="245">
        <v>43337</v>
      </c>
    </row>
    <row r="5" spans="1:6">
      <c r="A5" t="s">
        <v>1948</v>
      </c>
      <c r="B5" t="s">
        <v>3487</v>
      </c>
      <c r="D5" s="244">
        <v>1.0327999999999999</v>
      </c>
      <c r="E5"/>
      <c r="F5" s="245">
        <v>43010</v>
      </c>
    </row>
    <row r="6" spans="1:6">
      <c r="A6" t="s">
        <v>1945</v>
      </c>
      <c r="B6">
        <v>195</v>
      </c>
      <c r="C6" t="s">
        <v>2490</v>
      </c>
      <c r="D6">
        <v>1.2050000000000001</v>
      </c>
      <c r="E6" s="221" t="s">
        <v>2450</v>
      </c>
      <c r="F6" s="16">
        <v>43208</v>
      </c>
    </row>
    <row r="7" spans="1:6">
      <c r="A7" t="s">
        <v>1944</v>
      </c>
      <c r="B7" t="s">
        <v>3462</v>
      </c>
      <c r="D7">
        <v>2.0188999999999999</v>
      </c>
      <c r="E7" s="251"/>
      <c r="F7" s="245">
        <v>43007</v>
      </c>
    </row>
    <row r="8" spans="1:6">
      <c r="A8" t="s">
        <v>1943</v>
      </c>
      <c r="B8" t="s">
        <v>3574</v>
      </c>
      <c r="D8" s="252">
        <v>2.0276000000000001</v>
      </c>
      <c r="E8"/>
      <c r="F8" s="245">
        <v>43334</v>
      </c>
    </row>
    <row r="9" spans="1:6">
      <c r="A9" t="s">
        <v>1941</v>
      </c>
      <c r="B9" t="s">
        <v>3489</v>
      </c>
      <c r="D9" s="244">
        <v>0.67359999999999998</v>
      </c>
      <c r="E9"/>
      <c r="F9" s="245">
        <v>43008</v>
      </c>
    </row>
    <row r="10" spans="1:6">
      <c r="A10" t="s">
        <v>2039</v>
      </c>
      <c r="B10" t="s">
        <v>3467</v>
      </c>
      <c r="D10">
        <v>1.0169999999999999</v>
      </c>
      <c r="E10" s="251"/>
      <c r="F10" s="245">
        <v>43010</v>
      </c>
    </row>
    <row r="11" spans="1:6">
      <c r="A11" t="s">
        <v>1940</v>
      </c>
      <c r="B11" t="s">
        <v>3568</v>
      </c>
      <c r="D11" s="252">
        <v>1.8372999999999999</v>
      </c>
      <c r="E11" t="s">
        <v>2115</v>
      </c>
      <c r="F11" s="245">
        <v>43334</v>
      </c>
    </row>
    <row r="12" spans="1:6">
      <c r="A12" t="s">
        <v>1939</v>
      </c>
      <c r="B12" t="s">
        <v>3565</v>
      </c>
      <c r="D12" s="252">
        <v>1.8357000000000001</v>
      </c>
      <c r="E12"/>
      <c r="F12" s="245">
        <v>43333</v>
      </c>
    </row>
    <row r="13" spans="1:6">
      <c r="A13" t="s">
        <v>1937</v>
      </c>
      <c r="B13" t="s">
        <v>3428</v>
      </c>
      <c r="D13">
        <v>1.8204</v>
      </c>
      <c r="E13" s="251"/>
      <c r="F13" s="245">
        <v>43007</v>
      </c>
    </row>
    <row r="14" spans="1:6">
      <c r="A14" t="s">
        <v>1935</v>
      </c>
      <c r="B14" t="s">
        <v>3561</v>
      </c>
      <c r="D14" s="252">
        <v>1.7069000000000001</v>
      </c>
      <c r="E14" t="s">
        <v>2115</v>
      </c>
      <c r="F14" s="245">
        <v>43333</v>
      </c>
    </row>
    <row r="15" spans="1:6">
      <c r="A15" t="s">
        <v>1934</v>
      </c>
      <c r="B15" t="s">
        <v>3596</v>
      </c>
      <c r="D15" s="252">
        <v>0.63749999999999996</v>
      </c>
      <c r="E15"/>
      <c r="F15" s="245">
        <v>43334</v>
      </c>
    </row>
    <row r="16" spans="1:6">
      <c r="A16" t="s">
        <v>1932</v>
      </c>
      <c r="B16" t="s">
        <v>3405</v>
      </c>
      <c r="D16">
        <v>0.87509999999999999</v>
      </c>
      <c r="E16" s="251"/>
      <c r="F16" s="245">
        <v>43008</v>
      </c>
    </row>
    <row r="17" spans="1:6">
      <c r="A17" t="s">
        <v>2038</v>
      </c>
      <c r="B17">
        <v>196</v>
      </c>
      <c r="C17" t="s">
        <v>2490</v>
      </c>
      <c r="D17">
        <v>0.748</v>
      </c>
      <c r="E17" s="221" t="s">
        <v>2450</v>
      </c>
      <c r="F17" s="16">
        <v>43208</v>
      </c>
    </row>
    <row r="18" spans="1:6">
      <c r="A18" t="s">
        <v>1930</v>
      </c>
      <c r="B18" t="s">
        <v>3486</v>
      </c>
      <c r="D18" s="246">
        <v>1.0569999999999999</v>
      </c>
      <c r="E18"/>
      <c r="F18" s="245">
        <v>43010</v>
      </c>
    </row>
    <row r="19" spans="1:6">
      <c r="A19" t="s">
        <v>1927</v>
      </c>
      <c r="B19" t="s">
        <v>3392</v>
      </c>
      <c r="D19">
        <v>0.82250000000000001</v>
      </c>
      <c r="E19" s="251"/>
      <c r="F19" s="244"/>
    </row>
    <row r="20" spans="1:6">
      <c r="A20" t="s">
        <v>1926</v>
      </c>
      <c r="B20" t="s">
        <v>3388</v>
      </c>
      <c r="D20">
        <v>0.66969999999999996</v>
      </c>
      <c r="E20" s="251"/>
      <c r="F20" s="244"/>
    </row>
    <row r="21" spans="1:6">
      <c r="A21" t="s">
        <v>1925</v>
      </c>
      <c r="B21" t="s">
        <v>3589</v>
      </c>
      <c r="D21" s="252">
        <v>0.78120000000000001</v>
      </c>
      <c r="E21"/>
      <c r="F21" s="245">
        <v>43334</v>
      </c>
    </row>
    <row r="22" spans="1:6">
      <c r="A22" t="s">
        <v>1924</v>
      </c>
      <c r="B22" t="s">
        <v>3626</v>
      </c>
      <c r="D22" s="252">
        <v>1.8705000000000001</v>
      </c>
      <c r="E22"/>
      <c r="F22" s="245">
        <v>43338</v>
      </c>
    </row>
    <row r="23" spans="1:6">
      <c r="A23" t="s">
        <v>1923</v>
      </c>
      <c r="B23" t="s">
        <v>3481</v>
      </c>
      <c r="D23" s="244">
        <v>1.1896</v>
      </c>
      <c r="E23"/>
      <c r="F23" s="245">
        <v>43010</v>
      </c>
    </row>
    <row r="24" spans="1:6">
      <c r="A24" t="s">
        <v>1922</v>
      </c>
      <c r="B24">
        <v>214</v>
      </c>
      <c r="C24" t="s">
        <v>2490</v>
      </c>
      <c r="D24">
        <v>0.70599999999999996</v>
      </c>
      <c r="E24" s="221" t="s">
        <v>2494</v>
      </c>
      <c r="F24" s="16">
        <v>43208</v>
      </c>
    </row>
    <row r="25" spans="1:6">
      <c r="A25" t="s">
        <v>2037</v>
      </c>
      <c r="B25" t="s">
        <v>3615</v>
      </c>
      <c r="D25" s="252">
        <v>1.9104000000000001</v>
      </c>
      <c r="E25"/>
      <c r="F25" s="245">
        <v>43337</v>
      </c>
    </row>
    <row r="26" spans="1:6">
      <c r="A26" t="s">
        <v>1920</v>
      </c>
      <c r="B26" t="s">
        <v>3572</v>
      </c>
      <c r="D26" s="252">
        <v>1.8545</v>
      </c>
      <c r="E26" t="s">
        <v>3573</v>
      </c>
      <c r="F26" s="245">
        <v>43334</v>
      </c>
    </row>
    <row r="27" spans="1:6">
      <c r="A27" t="s">
        <v>1919</v>
      </c>
      <c r="B27" t="s">
        <v>3482</v>
      </c>
      <c r="D27" s="246">
        <v>1.544</v>
      </c>
      <c r="E27"/>
      <c r="F27" s="245">
        <v>43010</v>
      </c>
    </row>
    <row r="28" spans="1:6">
      <c r="A28" t="s">
        <v>1916</v>
      </c>
      <c r="B28" t="s">
        <v>3491</v>
      </c>
      <c r="D28" s="244">
        <v>0.82289999999999996</v>
      </c>
      <c r="E28"/>
      <c r="F28" s="245">
        <v>43008</v>
      </c>
    </row>
    <row r="29" spans="1:6">
      <c r="A29" t="s">
        <v>1915</v>
      </c>
      <c r="B29" t="s">
        <v>3448</v>
      </c>
      <c r="D29">
        <v>0.78129999999999999</v>
      </c>
      <c r="E29" s="251"/>
      <c r="F29" s="245">
        <v>43009</v>
      </c>
    </row>
    <row r="30" spans="1:6">
      <c r="A30" t="s">
        <v>1914</v>
      </c>
      <c r="B30" t="s">
        <v>3450</v>
      </c>
      <c r="D30">
        <v>0.71589999999999998</v>
      </c>
      <c r="E30" s="251"/>
      <c r="F30" s="245">
        <v>43009</v>
      </c>
    </row>
    <row r="31" spans="1:6">
      <c r="A31" t="s">
        <v>1912</v>
      </c>
      <c r="B31" t="s">
        <v>3627</v>
      </c>
      <c r="D31" s="252">
        <v>1.782</v>
      </c>
      <c r="E31"/>
      <c r="F31" s="245">
        <v>43338</v>
      </c>
    </row>
    <row r="32" spans="1:6">
      <c r="A32" t="s">
        <v>1911</v>
      </c>
      <c r="B32" t="s">
        <v>3608</v>
      </c>
      <c r="D32" s="252">
        <v>1.8048</v>
      </c>
      <c r="E32" t="s">
        <v>2111</v>
      </c>
      <c r="F32" s="245">
        <v>43337</v>
      </c>
    </row>
    <row r="33" spans="1:6">
      <c r="A33" t="s">
        <v>1910</v>
      </c>
      <c r="B33">
        <v>208</v>
      </c>
      <c r="C33" t="s">
        <v>2490</v>
      </c>
      <c r="D33">
        <v>0.74199999999999999</v>
      </c>
      <c r="E33" s="221" t="s">
        <v>2449</v>
      </c>
      <c r="F33" s="16">
        <v>43208</v>
      </c>
    </row>
    <row r="34" spans="1:6">
      <c r="A34" t="s">
        <v>1909</v>
      </c>
      <c r="B34" t="s">
        <v>3400</v>
      </c>
      <c r="D34">
        <v>0.66180000000000005</v>
      </c>
      <c r="E34" s="251"/>
      <c r="F34" s="245">
        <v>43008</v>
      </c>
    </row>
    <row r="35" spans="1:6">
      <c r="A35" t="s">
        <v>1907</v>
      </c>
      <c r="B35">
        <v>213</v>
      </c>
      <c r="C35" t="s">
        <v>2490</v>
      </c>
      <c r="D35">
        <v>0.57899999999999996</v>
      </c>
      <c r="E35" s="221" t="s">
        <v>2491</v>
      </c>
      <c r="F35" s="16">
        <v>43208</v>
      </c>
    </row>
    <row r="36" spans="1:6">
      <c r="A36" t="s">
        <v>1906</v>
      </c>
      <c r="B36" t="s">
        <v>3454</v>
      </c>
      <c r="D36">
        <v>0.68520000000000003</v>
      </c>
      <c r="E36" s="251"/>
      <c r="F36" s="245">
        <v>43009</v>
      </c>
    </row>
    <row r="37" spans="1:6">
      <c r="A37" t="s">
        <v>1905</v>
      </c>
      <c r="B37" t="s">
        <v>3483</v>
      </c>
      <c r="D37" s="244">
        <v>1.0654999999999999</v>
      </c>
      <c r="E37"/>
      <c r="F37" s="245">
        <v>43010</v>
      </c>
    </row>
    <row r="38" spans="1:6">
      <c r="A38" t="s">
        <v>1904</v>
      </c>
      <c r="B38" t="s">
        <v>3451</v>
      </c>
      <c r="D38">
        <v>0.91069999999999995</v>
      </c>
      <c r="E38" s="251" t="s">
        <v>3390</v>
      </c>
      <c r="F38" s="245">
        <v>43009</v>
      </c>
    </row>
    <row r="39" spans="1:6">
      <c r="A39" t="s">
        <v>1903</v>
      </c>
      <c r="B39" t="s">
        <v>3383</v>
      </c>
      <c r="D39">
        <v>0.71709999999999996</v>
      </c>
      <c r="E39" s="251"/>
      <c r="F39" s="244"/>
    </row>
    <row r="40" spans="1:6">
      <c r="A40" t="s">
        <v>1902</v>
      </c>
      <c r="B40">
        <v>194</v>
      </c>
      <c r="C40" t="s">
        <v>2490</v>
      </c>
      <c r="D40">
        <v>0.433</v>
      </c>
      <c r="E40" s="221" t="s">
        <v>2491</v>
      </c>
      <c r="F40" s="16">
        <v>43208</v>
      </c>
    </row>
    <row r="41" spans="1:6">
      <c r="A41" t="s">
        <v>1901</v>
      </c>
      <c r="B41" t="s">
        <v>3404</v>
      </c>
      <c r="D41">
        <v>0.75890000000000002</v>
      </c>
      <c r="E41" s="251"/>
      <c r="F41" s="245">
        <v>43009</v>
      </c>
    </row>
    <row r="42" spans="1:6">
      <c r="A42" t="s">
        <v>2035</v>
      </c>
      <c r="B42" t="s">
        <v>3468</v>
      </c>
      <c r="D42">
        <v>1.6711</v>
      </c>
      <c r="E42" s="251"/>
      <c r="F42" s="245">
        <v>43010</v>
      </c>
    </row>
    <row r="43" spans="1:6">
      <c r="A43" t="s">
        <v>1898</v>
      </c>
      <c r="B43" t="s">
        <v>3564</v>
      </c>
      <c r="D43" s="252">
        <v>1.8697999999999999</v>
      </c>
      <c r="E43"/>
      <c r="F43" s="245">
        <v>43333</v>
      </c>
    </row>
    <row r="44" spans="1:6">
      <c r="A44" t="s">
        <v>1897</v>
      </c>
      <c r="B44" t="s">
        <v>3470</v>
      </c>
      <c r="D44">
        <v>0.87609999999999999</v>
      </c>
      <c r="E44"/>
      <c r="F44" s="245">
        <v>43010</v>
      </c>
    </row>
    <row r="45" spans="1:6">
      <c r="A45" t="s">
        <v>1895</v>
      </c>
      <c r="B45" t="s">
        <v>3413</v>
      </c>
      <c r="D45">
        <v>0.78239999999999998</v>
      </c>
      <c r="E45" s="251"/>
      <c r="F45" s="245">
        <v>43009</v>
      </c>
    </row>
    <row r="46" spans="1:6">
      <c r="A46" t="s">
        <v>1894</v>
      </c>
      <c r="B46" t="s">
        <v>3420</v>
      </c>
      <c r="D46">
        <v>1.8079000000000001</v>
      </c>
      <c r="E46" s="251"/>
      <c r="F46" s="245">
        <v>43007</v>
      </c>
    </row>
    <row r="47" spans="1:6">
      <c r="A47" t="s">
        <v>1893</v>
      </c>
      <c r="B47" t="s">
        <v>3617</v>
      </c>
      <c r="D47" s="252">
        <v>1.8103</v>
      </c>
      <c r="E47"/>
      <c r="F47" s="245">
        <v>43338</v>
      </c>
    </row>
    <row r="48" spans="1:6">
      <c r="A48" t="s">
        <v>1892</v>
      </c>
      <c r="B48" t="s">
        <v>3385</v>
      </c>
      <c r="D48">
        <v>0.71050000000000002</v>
      </c>
      <c r="E48" s="251" t="s">
        <v>2132</v>
      </c>
      <c r="F48" s="244"/>
    </row>
    <row r="49" spans="1:6">
      <c r="A49" t="s">
        <v>1891</v>
      </c>
      <c r="B49" t="s">
        <v>3583</v>
      </c>
      <c r="D49" s="252">
        <v>0.76990000000000003</v>
      </c>
      <c r="E49"/>
      <c r="F49" s="245">
        <v>43334</v>
      </c>
    </row>
    <row r="50" spans="1:6">
      <c r="A50" t="s">
        <v>1889</v>
      </c>
      <c r="B50" t="s">
        <v>3478</v>
      </c>
      <c r="D50" s="244">
        <v>1.7174</v>
      </c>
      <c r="E50"/>
      <c r="F50" s="245">
        <v>43010</v>
      </c>
    </row>
    <row r="51" spans="1:6">
      <c r="A51" t="s">
        <v>1888</v>
      </c>
      <c r="B51" t="s">
        <v>3466</v>
      </c>
      <c r="D51">
        <v>1.4899</v>
      </c>
      <c r="E51" s="251"/>
      <c r="F51" s="245">
        <v>43010</v>
      </c>
    </row>
    <row r="52" spans="1:6">
      <c r="A52" t="s">
        <v>1884</v>
      </c>
      <c r="B52" t="s">
        <v>3433</v>
      </c>
      <c r="D52">
        <v>1.8809</v>
      </c>
      <c r="E52" s="251"/>
      <c r="F52" s="245">
        <v>43007</v>
      </c>
    </row>
    <row r="53" spans="1:6">
      <c r="A53" t="s">
        <v>1883</v>
      </c>
      <c r="B53" t="s">
        <v>3484</v>
      </c>
      <c r="D53" s="244">
        <v>0.98309999999999997</v>
      </c>
      <c r="E53"/>
      <c r="F53" s="245">
        <v>43010</v>
      </c>
    </row>
    <row r="54" spans="1:6">
      <c r="A54" t="s">
        <v>1882</v>
      </c>
      <c r="B54" t="s">
        <v>3374</v>
      </c>
      <c r="D54">
        <v>0.72609999999999997</v>
      </c>
      <c r="E54" s="251"/>
      <c r="F54" s="244"/>
    </row>
    <row r="55" spans="1:6">
      <c r="A55" t="s">
        <v>1881</v>
      </c>
      <c r="B55" t="s">
        <v>3376</v>
      </c>
      <c r="D55">
        <v>0.70899999999999996</v>
      </c>
      <c r="E55" s="251"/>
      <c r="F55" s="244"/>
    </row>
    <row r="56" spans="1:6">
      <c r="A56" t="s">
        <v>2033</v>
      </c>
      <c r="B56" t="s">
        <v>3410</v>
      </c>
      <c r="D56">
        <v>0.73580000000000001</v>
      </c>
      <c r="E56" s="251"/>
      <c r="F56" s="245">
        <v>43008</v>
      </c>
    </row>
    <row r="57" spans="1:6">
      <c r="A57" t="s">
        <v>1880</v>
      </c>
      <c r="B57">
        <v>218</v>
      </c>
      <c r="C57" t="s">
        <v>2490</v>
      </c>
      <c r="D57">
        <v>0.66100000000000003</v>
      </c>
      <c r="E57" s="221" t="s">
        <v>2495</v>
      </c>
      <c r="F57" s="16">
        <v>43208</v>
      </c>
    </row>
    <row r="58" spans="1:6">
      <c r="A58" t="s">
        <v>1879</v>
      </c>
      <c r="B58" t="s">
        <v>3449</v>
      </c>
      <c r="D58">
        <v>0.75309999999999999</v>
      </c>
      <c r="E58" s="251"/>
      <c r="F58" s="245">
        <v>43009</v>
      </c>
    </row>
    <row r="59" spans="1:6">
      <c r="A59" t="s">
        <v>1878</v>
      </c>
      <c r="B59" t="s">
        <v>3602</v>
      </c>
      <c r="D59" s="252">
        <v>1.8197000000000001</v>
      </c>
      <c r="E59"/>
      <c r="F59" s="245">
        <v>43337</v>
      </c>
    </row>
    <row r="60" spans="1:6">
      <c r="A60" t="s">
        <v>1877</v>
      </c>
      <c r="B60" t="s">
        <v>3389</v>
      </c>
      <c r="D60">
        <v>0.79190000000000005</v>
      </c>
      <c r="E60" s="251" t="s">
        <v>2132</v>
      </c>
      <c r="F60" s="244"/>
    </row>
    <row r="61" spans="1:6">
      <c r="A61" t="s">
        <v>1876</v>
      </c>
      <c r="B61" t="s">
        <v>3627</v>
      </c>
      <c r="D61" s="252">
        <v>1.8838999999999999</v>
      </c>
      <c r="E61"/>
      <c r="F61" s="245">
        <v>43338</v>
      </c>
    </row>
    <row r="62" spans="1:6">
      <c r="A62" t="s">
        <v>1875</v>
      </c>
      <c r="B62" t="s">
        <v>3472</v>
      </c>
      <c r="D62" s="244">
        <v>1.2042999999999999</v>
      </c>
      <c r="E62"/>
      <c r="F62" s="245">
        <v>43010</v>
      </c>
    </row>
    <row r="63" spans="1:6">
      <c r="A63" t="s">
        <v>1874</v>
      </c>
      <c r="B63" t="s">
        <v>3593</v>
      </c>
      <c r="D63" s="252">
        <v>1.3146</v>
      </c>
      <c r="E63" t="s">
        <v>3595</v>
      </c>
      <c r="F63" s="245">
        <v>43334</v>
      </c>
    </row>
    <row r="64" spans="1:6">
      <c r="A64" t="s">
        <v>1871</v>
      </c>
      <c r="B64" t="s">
        <v>3374</v>
      </c>
      <c r="D64">
        <v>0.59770000000000001</v>
      </c>
      <c r="E64" s="251"/>
      <c r="F64" s="244"/>
    </row>
    <row r="65" spans="1:6">
      <c r="A65" t="s">
        <v>1869</v>
      </c>
      <c r="B65" t="s">
        <v>3383</v>
      </c>
      <c r="D65">
        <v>0.80740000000000001</v>
      </c>
      <c r="E65" s="251"/>
      <c r="F65" s="244"/>
    </row>
    <row r="66" spans="1:6">
      <c r="A66" t="s">
        <v>1868</v>
      </c>
      <c r="B66" t="s">
        <v>3391</v>
      </c>
      <c r="D66">
        <v>0.62490000000000001</v>
      </c>
      <c r="E66" s="251"/>
      <c r="F66" s="244"/>
    </row>
    <row r="67" spans="1:6">
      <c r="A67" t="s">
        <v>1867</v>
      </c>
      <c r="B67" t="s">
        <v>3455</v>
      </c>
      <c r="D67">
        <v>0.92459999999999998</v>
      </c>
      <c r="E67" s="251"/>
      <c r="F67" s="245">
        <v>43009</v>
      </c>
    </row>
    <row r="68" spans="1:6">
      <c r="A68" t="s">
        <v>1866</v>
      </c>
      <c r="B68" t="s">
        <v>3475</v>
      </c>
      <c r="D68" s="244">
        <v>0.99180000000000001</v>
      </c>
      <c r="E68"/>
      <c r="F68" s="245">
        <v>43010</v>
      </c>
    </row>
    <row r="69" spans="1:6">
      <c r="A69" t="s">
        <v>1865</v>
      </c>
      <c r="B69" t="s">
        <v>3451</v>
      </c>
      <c r="D69">
        <v>0.74670000000000003</v>
      </c>
      <c r="E69" s="251"/>
      <c r="F69" s="245">
        <v>43009</v>
      </c>
    </row>
    <row r="70" spans="1:6">
      <c r="A70" t="s">
        <v>1864</v>
      </c>
      <c r="B70" t="s">
        <v>3385</v>
      </c>
      <c r="D70">
        <v>0.6643</v>
      </c>
      <c r="E70" s="251" t="s">
        <v>2132</v>
      </c>
      <c r="F70" s="244"/>
    </row>
    <row r="71" spans="1:6">
      <c r="A71" t="s">
        <v>1863</v>
      </c>
      <c r="B71" t="s">
        <v>3593</v>
      </c>
      <c r="D71" s="252">
        <v>1.1655</v>
      </c>
      <c r="E71"/>
      <c r="F71" s="245">
        <v>43334</v>
      </c>
    </row>
    <row r="72" spans="1:6">
      <c r="A72" t="s">
        <v>1862</v>
      </c>
      <c r="B72" t="s">
        <v>3604</v>
      </c>
      <c r="D72" s="252">
        <v>1.7849999999999999</v>
      </c>
      <c r="E72"/>
      <c r="F72" s="245">
        <v>43337</v>
      </c>
    </row>
    <row r="73" spans="1:6">
      <c r="A73" t="s">
        <v>1861</v>
      </c>
      <c r="B73" t="s">
        <v>3493</v>
      </c>
      <c r="D73" s="244">
        <v>0.76890000000000003</v>
      </c>
      <c r="E73"/>
      <c r="F73" s="245">
        <v>43008</v>
      </c>
    </row>
    <row r="74" spans="1:6">
      <c r="A74" t="s">
        <v>2031</v>
      </c>
      <c r="B74" t="s">
        <v>3469</v>
      </c>
      <c r="D74">
        <v>1.0404</v>
      </c>
      <c r="E74" s="251"/>
      <c r="F74" s="245">
        <v>43010</v>
      </c>
    </row>
    <row r="75" spans="1:6">
      <c r="A75" t="s">
        <v>1860</v>
      </c>
      <c r="B75" t="s">
        <v>3426</v>
      </c>
      <c r="D75">
        <v>1.7041999999999999</v>
      </c>
      <c r="E75" s="251"/>
      <c r="F75" s="245">
        <v>43007</v>
      </c>
    </row>
    <row r="76" spans="1:6">
      <c r="A76" t="s">
        <v>1857</v>
      </c>
      <c r="B76" t="s">
        <v>3424</v>
      </c>
      <c r="D76">
        <v>1.8848</v>
      </c>
      <c r="E76" s="251"/>
      <c r="F76" s="245">
        <v>43007</v>
      </c>
    </row>
    <row r="77" spans="1:6">
      <c r="A77" t="s">
        <v>1856</v>
      </c>
      <c r="B77" t="s">
        <v>3471</v>
      </c>
      <c r="D77" s="246">
        <v>1.56</v>
      </c>
      <c r="E77"/>
      <c r="F77" s="245">
        <v>43010</v>
      </c>
    </row>
    <row r="78" spans="1:6">
      <c r="A78" t="s">
        <v>1854</v>
      </c>
      <c r="B78" t="s">
        <v>3392</v>
      </c>
      <c r="D78">
        <v>0.5756</v>
      </c>
      <c r="E78" s="251"/>
      <c r="F78" s="244"/>
    </row>
    <row r="79" spans="1:6">
      <c r="A79" t="s">
        <v>1853</v>
      </c>
      <c r="B79" t="s">
        <v>3469</v>
      </c>
      <c r="D79">
        <v>1.2847</v>
      </c>
      <c r="E79" s="251"/>
      <c r="F79" s="245">
        <v>43010</v>
      </c>
    </row>
    <row r="80" spans="1:6">
      <c r="A80" t="s">
        <v>1852</v>
      </c>
      <c r="B80" t="s">
        <v>3474</v>
      </c>
      <c r="D80" s="244">
        <v>1.3654999999999999</v>
      </c>
      <c r="E80"/>
      <c r="F80" s="245">
        <v>43010</v>
      </c>
    </row>
    <row r="81" spans="1:6">
      <c r="A81" t="s">
        <v>2048</v>
      </c>
      <c r="B81" t="s">
        <v>3460</v>
      </c>
      <c r="D81">
        <v>1.7587999999999999</v>
      </c>
      <c r="E81" s="251"/>
      <c r="F81" s="245">
        <v>43007</v>
      </c>
    </row>
    <row r="82" spans="1:6">
      <c r="A82" t="s">
        <v>2030</v>
      </c>
      <c r="B82" t="s">
        <v>3484</v>
      </c>
      <c r="D82" s="244">
        <v>1.0826</v>
      </c>
      <c r="E82"/>
      <c r="F82" s="245">
        <v>43010</v>
      </c>
    </row>
    <row r="83" spans="1:6">
      <c r="A83" t="s">
        <v>1850</v>
      </c>
      <c r="B83" t="s">
        <v>3492</v>
      </c>
      <c r="D83" s="244">
        <v>0.71760000000000002</v>
      </c>
      <c r="E83" t="s">
        <v>3445</v>
      </c>
      <c r="F83" s="245">
        <v>43008</v>
      </c>
    </row>
    <row r="84" spans="1:6">
      <c r="A84" t="s">
        <v>1846</v>
      </c>
      <c r="B84" t="s">
        <v>3384</v>
      </c>
      <c r="D84">
        <v>0.80579999999999996</v>
      </c>
      <c r="E84" s="251"/>
      <c r="F84" s="244"/>
    </row>
    <row r="85" spans="1:6">
      <c r="A85" t="s">
        <v>1845</v>
      </c>
      <c r="B85" t="s">
        <v>3399</v>
      </c>
      <c r="D85">
        <v>0.82040000000000002</v>
      </c>
      <c r="E85" s="251"/>
      <c r="F85" s="245">
        <v>43008</v>
      </c>
    </row>
    <row r="86" spans="1:6">
      <c r="A86" t="s">
        <v>1844</v>
      </c>
      <c r="B86" t="s">
        <v>3493</v>
      </c>
      <c r="D86" s="244">
        <v>0.75260000000000005</v>
      </c>
      <c r="E86"/>
      <c r="F86" s="245">
        <v>43008</v>
      </c>
    </row>
    <row r="87" spans="1:6">
      <c r="A87" t="s">
        <v>1843</v>
      </c>
      <c r="B87" t="s">
        <v>3402</v>
      </c>
      <c r="D87">
        <v>0.76570000000000005</v>
      </c>
      <c r="E87" s="251"/>
      <c r="F87" s="245">
        <v>43008</v>
      </c>
    </row>
    <row r="88" spans="1:6">
      <c r="A88" t="s">
        <v>1841</v>
      </c>
      <c r="B88" t="s">
        <v>3425</v>
      </c>
      <c r="D88">
        <v>1.9087000000000001</v>
      </c>
      <c r="E88" s="251"/>
      <c r="F88" s="245">
        <v>43007</v>
      </c>
    </row>
    <row r="89" spans="1:6">
      <c r="A89" t="s">
        <v>2029</v>
      </c>
      <c r="B89" t="s">
        <v>3470</v>
      </c>
      <c r="E89" t="s">
        <v>3453</v>
      </c>
      <c r="F89" s="245">
        <v>43010</v>
      </c>
    </row>
    <row r="90" spans="1:6">
      <c r="A90" t="s">
        <v>1839</v>
      </c>
      <c r="B90">
        <v>201</v>
      </c>
      <c r="C90" t="s">
        <v>2490</v>
      </c>
      <c r="D90">
        <v>0.67300000000000004</v>
      </c>
      <c r="E90" s="221" t="s">
        <v>2495</v>
      </c>
      <c r="F90" s="16">
        <v>43208</v>
      </c>
    </row>
    <row r="91" spans="1:6">
      <c r="A91" t="s">
        <v>1837</v>
      </c>
      <c r="B91" t="s">
        <v>3399</v>
      </c>
      <c r="D91">
        <v>0.66200000000000003</v>
      </c>
      <c r="E91" s="251"/>
      <c r="F91" s="245">
        <v>43008</v>
      </c>
    </row>
    <row r="92" spans="1:6">
      <c r="A92" t="s">
        <v>1835</v>
      </c>
      <c r="B92" t="s">
        <v>3622</v>
      </c>
      <c r="D92" s="252">
        <v>1.9146000000000001</v>
      </c>
      <c r="E92"/>
      <c r="F92" s="245">
        <v>43338</v>
      </c>
    </row>
    <row r="93" spans="1:6">
      <c r="A93" t="s">
        <v>1832</v>
      </c>
      <c r="B93" t="s">
        <v>3608</v>
      </c>
      <c r="D93" s="252">
        <v>1.7766</v>
      </c>
      <c r="E93"/>
      <c r="F93" s="245">
        <v>43337</v>
      </c>
    </row>
    <row r="94" spans="1:6">
      <c r="A94" t="s">
        <v>1831</v>
      </c>
      <c r="B94" t="s">
        <v>3423</v>
      </c>
      <c r="D94">
        <v>0.76939999999999997</v>
      </c>
      <c r="E94" s="251"/>
      <c r="F94" s="245">
        <v>43007</v>
      </c>
    </row>
    <row r="95" spans="1:6">
      <c r="A95" t="s">
        <v>2028</v>
      </c>
      <c r="B95" t="s">
        <v>3396</v>
      </c>
      <c r="D95">
        <v>0.7238</v>
      </c>
      <c r="E95" s="251"/>
      <c r="F95" s="245">
        <v>43009</v>
      </c>
    </row>
    <row r="96" spans="1:6">
      <c r="A96" t="s">
        <v>1830</v>
      </c>
      <c r="B96" t="s">
        <v>3567</v>
      </c>
      <c r="D96" s="252">
        <v>1.9671000000000001</v>
      </c>
      <c r="E96" t="s">
        <v>2115</v>
      </c>
      <c r="F96" s="245">
        <v>43334</v>
      </c>
    </row>
    <row r="97" spans="1:6">
      <c r="A97" t="s">
        <v>1829</v>
      </c>
      <c r="B97" t="s">
        <v>3596</v>
      </c>
      <c r="D97" s="252">
        <v>0.66700000000000004</v>
      </c>
      <c r="E97" t="s">
        <v>3597</v>
      </c>
      <c r="F97" s="245">
        <v>43334</v>
      </c>
    </row>
    <row r="98" spans="1:6">
      <c r="A98" t="s">
        <v>1826</v>
      </c>
      <c r="B98" t="s">
        <v>3391</v>
      </c>
      <c r="D98">
        <v>0.53049999999999997</v>
      </c>
      <c r="E98" s="251"/>
      <c r="F98" s="244"/>
    </row>
    <row r="99" spans="1:6">
      <c r="A99" t="s">
        <v>1825</v>
      </c>
      <c r="B99" t="s">
        <v>3423</v>
      </c>
      <c r="D99">
        <v>1.25</v>
      </c>
      <c r="E99" s="251" t="s">
        <v>2497</v>
      </c>
      <c r="F99" s="245">
        <v>43007</v>
      </c>
    </row>
    <row r="100" spans="1:6">
      <c r="A100" t="s">
        <v>1824</v>
      </c>
      <c r="B100" t="s">
        <v>3572</v>
      </c>
      <c r="D100" s="252">
        <v>1.7826</v>
      </c>
      <c r="E100"/>
      <c r="F100" s="245">
        <v>43334</v>
      </c>
    </row>
    <row r="101" spans="1:6">
      <c r="A101" t="s">
        <v>1823</v>
      </c>
      <c r="B101" t="s">
        <v>3576</v>
      </c>
      <c r="D101" s="252">
        <v>1.7715000000000001</v>
      </c>
      <c r="E101"/>
      <c r="F101" s="245">
        <v>43334</v>
      </c>
    </row>
    <row r="102" spans="1:6">
      <c r="A102" t="s">
        <v>1822</v>
      </c>
      <c r="B102" t="s">
        <v>3463</v>
      </c>
      <c r="D102">
        <v>0.83330000000000004</v>
      </c>
      <c r="E102" s="251"/>
      <c r="F102" s="245">
        <v>43007</v>
      </c>
    </row>
    <row r="103" spans="1:6">
      <c r="A103" t="s">
        <v>2027</v>
      </c>
      <c r="B103" t="s">
        <v>3463</v>
      </c>
      <c r="D103">
        <v>0.94159999999999999</v>
      </c>
      <c r="E103" s="251"/>
      <c r="F103" s="245">
        <v>43007</v>
      </c>
    </row>
    <row r="104" spans="1:6">
      <c r="A104" t="s">
        <v>1820</v>
      </c>
      <c r="B104">
        <v>207</v>
      </c>
      <c r="C104" t="s">
        <v>2490</v>
      </c>
      <c r="D104">
        <v>0.73299999999999998</v>
      </c>
      <c r="E104" s="221" t="s">
        <v>2447</v>
      </c>
      <c r="F104" s="16">
        <v>43208</v>
      </c>
    </row>
    <row r="105" spans="1:6">
      <c r="A105" t="s">
        <v>1819</v>
      </c>
      <c r="B105" t="s">
        <v>3489</v>
      </c>
      <c r="D105" s="244">
        <v>0.78859999999999997</v>
      </c>
      <c r="E105"/>
      <c r="F105" s="245">
        <v>43008</v>
      </c>
    </row>
    <row r="106" spans="1:6">
      <c r="A106" t="s">
        <v>1818</v>
      </c>
      <c r="B106" t="s">
        <v>3394</v>
      </c>
      <c r="D106">
        <v>0.80369999999999997</v>
      </c>
      <c r="E106" s="251"/>
      <c r="F106" s="245">
        <v>43009</v>
      </c>
    </row>
    <row r="107" spans="1:6">
      <c r="A107" t="s">
        <v>1817</v>
      </c>
      <c r="B107" t="s">
        <v>3616</v>
      </c>
      <c r="D107" s="252">
        <v>1.6727000000000001</v>
      </c>
      <c r="E107" t="s">
        <v>2115</v>
      </c>
      <c r="F107" s="245">
        <v>43337</v>
      </c>
    </row>
    <row r="108" spans="1:6">
      <c r="A108" t="s">
        <v>1816</v>
      </c>
      <c r="B108">
        <v>207</v>
      </c>
      <c r="C108" t="s">
        <v>2490</v>
      </c>
      <c r="D108">
        <v>0.745</v>
      </c>
      <c r="E108" s="221" t="s">
        <v>2447</v>
      </c>
      <c r="F108" s="16">
        <v>43208</v>
      </c>
    </row>
    <row r="109" spans="1:6">
      <c r="A109" t="s">
        <v>1815</v>
      </c>
      <c r="B109" t="s">
        <v>3441</v>
      </c>
      <c r="D109">
        <v>0.66620000000000001</v>
      </c>
      <c r="E109" s="251"/>
      <c r="F109" s="245">
        <v>43009</v>
      </c>
    </row>
    <row r="110" spans="1:6">
      <c r="A110" t="s">
        <v>1814</v>
      </c>
      <c r="B110" t="s">
        <v>3583</v>
      </c>
      <c r="D110" s="252">
        <v>0.81489999999999996</v>
      </c>
      <c r="E110" t="s">
        <v>3573</v>
      </c>
      <c r="F110" s="245">
        <v>43334</v>
      </c>
    </row>
    <row r="111" spans="1:6">
      <c r="A111" t="s">
        <v>1813</v>
      </c>
      <c r="B111" t="s">
        <v>3547</v>
      </c>
      <c r="D111" s="252">
        <v>1.8220000000000001</v>
      </c>
      <c r="E111"/>
      <c r="F111" s="245">
        <v>43333</v>
      </c>
    </row>
    <row r="112" spans="1:6">
      <c r="A112" t="s">
        <v>1812</v>
      </c>
      <c r="B112" t="s">
        <v>3407</v>
      </c>
      <c r="D112">
        <v>0.81089999999999995</v>
      </c>
      <c r="E112" s="251"/>
      <c r="F112" s="245">
        <v>43009</v>
      </c>
    </row>
    <row r="113" spans="1:6">
      <c r="A113" t="s">
        <v>1811</v>
      </c>
      <c r="B113" t="s">
        <v>3418</v>
      </c>
      <c r="D113">
        <v>0.73950000000000005</v>
      </c>
      <c r="E113" s="251"/>
      <c r="F113" s="245">
        <v>43009</v>
      </c>
    </row>
    <row r="114" spans="1:6" ht="15.6" customHeight="1">
      <c r="A114" t="s">
        <v>2026</v>
      </c>
      <c r="B114" t="s">
        <v>3624</v>
      </c>
      <c r="D114" s="252">
        <v>1.9084000000000001</v>
      </c>
      <c r="E114"/>
      <c r="F114" s="245">
        <v>43338</v>
      </c>
    </row>
    <row r="115" spans="1:6" ht="15" customHeight="1">
      <c r="A115" t="s">
        <v>1808</v>
      </c>
      <c r="B115" t="s">
        <v>3397</v>
      </c>
      <c r="D115">
        <v>0.70840000000000003</v>
      </c>
      <c r="E115" s="251"/>
      <c r="F115" s="245">
        <v>43009</v>
      </c>
    </row>
    <row r="116" spans="1:6">
      <c r="A116" t="s">
        <v>1807</v>
      </c>
      <c r="B116">
        <v>196</v>
      </c>
      <c r="C116" t="s">
        <v>2490</v>
      </c>
      <c r="D116">
        <v>1.04</v>
      </c>
      <c r="E116" s="221" t="s">
        <v>2450</v>
      </c>
      <c r="F116" s="16">
        <v>43208</v>
      </c>
    </row>
    <row r="117" spans="1:6">
      <c r="A117" t="s">
        <v>1806</v>
      </c>
      <c r="B117" t="s">
        <v>3619</v>
      </c>
      <c r="D117" s="252">
        <v>1.8649</v>
      </c>
      <c r="E117"/>
      <c r="F117" s="245">
        <v>43338</v>
      </c>
    </row>
    <row r="118" spans="1:6">
      <c r="A118" t="s">
        <v>1805</v>
      </c>
      <c r="B118" t="s">
        <v>3417</v>
      </c>
      <c r="D118">
        <v>0.81240000000000001</v>
      </c>
      <c r="E118" s="251"/>
      <c r="F118" s="245">
        <v>43009</v>
      </c>
    </row>
    <row r="119" spans="1:6">
      <c r="A119" t="s">
        <v>1804</v>
      </c>
      <c r="B119" t="s">
        <v>3548</v>
      </c>
      <c r="D119" s="252">
        <v>1.9577</v>
      </c>
      <c r="E119" t="s">
        <v>3551</v>
      </c>
      <c r="F119" s="245">
        <v>43333</v>
      </c>
    </row>
    <row r="120" spans="1:6" ht="15" customHeight="1">
      <c r="A120" t="s">
        <v>1803</v>
      </c>
      <c r="B120" t="s">
        <v>3575</v>
      </c>
      <c r="D120" s="252">
        <v>1.9853000000000001</v>
      </c>
      <c r="E120"/>
      <c r="F120" s="245">
        <v>43334</v>
      </c>
    </row>
    <row r="121" spans="1:6" ht="15" customHeight="1">
      <c r="A121" t="s">
        <v>1802</v>
      </c>
      <c r="B121" t="s">
        <v>3393</v>
      </c>
      <c r="D121">
        <v>1.7124999999999999</v>
      </c>
      <c r="E121" s="251"/>
      <c r="F121" s="244"/>
    </row>
    <row r="122" spans="1:6">
      <c r="A122" t="s">
        <v>2025</v>
      </c>
      <c r="B122" t="s">
        <v>3475</v>
      </c>
      <c r="D122" s="246">
        <v>0.995</v>
      </c>
      <c r="E122"/>
      <c r="F122" s="245">
        <v>43010</v>
      </c>
    </row>
    <row r="123" spans="1:6">
      <c r="A123" t="s">
        <v>1800</v>
      </c>
      <c r="B123" t="s">
        <v>3448</v>
      </c>
      <c r="D123">
        <v>0.80610000000000004</v>
      </c>
      <c r="E123" s="251"/>
      <c r="F123" s="245">
        <v>43009</v>
      </c>
    </row>
    <row r="124" spans="1:6">
      <c r="A124" t="s">
        <v>1797</v>
      </c>
      <c r="B124" t="s">
        <v>3473</v>
      </c>
      <c r="D124" s="244">
        <v>1.2484</v>
      </c>
      <c r="E124"/>
      <c r="F124" s="245">
        <v>43010</v>
      </c>
    </row>
    <row r="125" spans="1:6">
      <c r="A125" t="s">
        <v>1796</v>
      </c>
      <c r="B125">
        <v>197</v>
      </c>
      <c r="C125" t="s">
        <v>2490</v>
      </c>
      <c r="D125">
        <v>0.82399999999999995</v>
      </c>
      <c r="E125" s="221" t="s">
        <v>2447</v>
      </c>
      <c r="F125" s="16">
        <v>43208</v>
      </c>
    </row>
    <row r="126" spans="1:6">
      <c r="A126" t="s">
        <v>1795</v>
      </c>
      <c r="B126" t="s">
        <v>3429</v>
      </c>
      <c r="D126">
        <v>1.6215999999999999</v>
      </c>
      <c r="E126" s="251"/>
      <c r="F126" s="245">
        <v>43007</v>
      </c>
    </row>
    <row r="127" spans="1:6">
      <c r="A127" t="s">
        <v>1794</v>
      </c>
      <c r="B127" t="s">
        <v>3578</v>
      </c>
      <c r="D127" s="252">
        <v>1.6208</v>
      </c>
      <c r="E127" t="s">
        <v>3579</v>
      </c>
      <c r="F127" s="245">
        <v>43334</v>
      </c>
    </row>
    <row r="128" spans="1:6">
      <c r="A128" t="s">
        <v>1793</v>
      </c>
      <c r="B128">
        <v>193</v>
      </c>
      <c r="C128" t="s">
        <v>2490</v>
      </c>
      <c r="D128">
        <v>0.67</v>
      </c>
      <c r="E128" s="221" t="s">
        <v>2449</v>
      </c>
      <c r="F128" s="16">
        <v>43208</v>
      </c>
    </row>
    <row r="129" spans="1:6">
      <c r="A129" t="s">
        <v>1792</v>
      </c>
      <c r="B129" t="s">
        <v>3477</v>
      </c>
      <c r="D129" s="244">
        <v>0.92730000000000001</v>
      </c>
      <c r="E129" t="s">
        <v>3390</v>
      </c>
      <c r="F129" s="245">
        <v>43010</v>
      </c>
    </row>
    <row r="130" spans="1:6">
      <c r="A130" t="s">
        <v>1791</v>
      </c>
      <c r="B130" t="s">
        <v>3421</v>
      </c>
      <c r="D130">
        <v>1.5964</v>
      </c>
      <c r="E130" s="251"/>
      <c r="F130" s="245">
        <v>43007</v>
      </c>
    </row>
    <row r="131" spans="1:6">
      <c r="A131" t="s">
        <v>2024</v>
      </c>
      <c r="B131">
        <v>211</v>
      </c>
      <c r="C131" t="s">
        <v>2490</v>
      </c>
      <c r="D131">
        <v>0.38400000000000001</v>
      </c>
      <c r="F131" s="16">
        <v>43208</v>
      </c>
    </row>
    <row r="132" spans="1:6">
      <c r="A132" t="s">
        <v>1790</v>
      </c>
      <c r="B132" t="s">
        <v>3562</v>
      </c>
      <c r="D132" s="252">
        <v>1.9074</v>
      </c>
      <c r="E132"/>
      <c r="F132" s="245">
        <v>43333</v>
      </c>
    </row>
    <row r="133" spans="1:6">
      <c r="A133" t="s">
        <v>1789</v>
      </c>
      <c r="B133" t="s">
        <v>3605</v>
      </c>
      <c r="D133" s="252">
        <v>1.8041</v>
      </c>
      <c r="E133"/>
      <c r="F133" s="245">
        <v>43337</v>
      </c>
    </row>
    <row r="134" spans="1:6">
      <c r="A134" t="s">
        <v>1788</v>
      </c>
      <c r="B134" t="s">
        <v>3388</v>
      </c>
      <c r="D134">
        <v>0.59640000000000004</v>
      </c>
      <c r="E134" s="251"/>
      <c r="F134" s="244"/>
    </row>
    <row r="135" spans="1:6">
      <c r="A135" t="s">
        <v>1787</v>
      </c>
      <c r="B135" t="s">
        <v>3591</v>
      </c>
      <c r="D135" s="252">
        <v>0.83330000000000004</v>
      </c>
      <c r="E135" t="s">
        <v>3592</v>
      </c>
      <c r="F135" s="245">
        <v>43334</v>
      </c>
    </row>
    <row r="136" spans="1:6">
      <c r="A136" t="s">
        <v>1785</v>
      </c>
      <c r="B136" t="s">
        <v>3381</v>
      </c>
      <c r="D136">
        <v>0.93579999999999997</v>
      </c>
      <c r="E136" s="251"/>
      <c r="F136" s="245">
        <v>43008</v>
      </c>
    </row>
    <row r="137" spans="1:6">
      <c r="A137" t="s">
        <v>1784</v>
      </c>
      <c r="B137" t="s">
        <v>3441</v>
      </c>
      <c r="D137">
        <v>0.69879999999999998</v>
      </c>
      <c r="E137" s="251"/>
      <c r="F137" s="245">
        <v>43009</v>
      </c>
    </row>
    <row r="138" spans="1:6">
      <c r="A138" t="s">
        <v>1783</v>
      </c>
      <c r="B138" t="s">
        <v>3616</v>
      </c>
      <c r="D138" s="252">
        <v>1.8248</v>
      </c>
      <c r="E138" t="s">
        <v>2115</v>
      </c>
      <c r="F138" s="245">
        <v>43337</v>
      </c>
    </row>
    <row r="139" spans="1:6">
      <c r="A139" t="s">
        <v>1782</v>
      </c>
      <c r="B139" t="s">
        <v>3552</v>
      </c>
      <c r="D139" s="252">
        <v>1.7633000000000001</v>
      </c>
      <c r="E139" t="s">
        <v>2115</v>
      </c>
      <c r="F139" s="245">
        <v>43333</v>
      </c>
    </row>
    <row r="140" spans="1:6">
      <c r="A140" t="s">
        <v>2023</v>
      </c>
      <c r="B140">
        <v>198</v>
      </c>
      <c r="C140" t="s">
        <v>2490</v>
      </c>
      <c r="D140">
        <v>0.73799999999999999</v>
      </c>
      <c r="E140" s="221" t="s">
        <v>2448</v>
      </c>
      <c r="F140" s="16">
        <v>43208</v>
      </c>
    </row>
    <row r="141" spans="1:6">
      <c r="A141" t="s">
        <v>1777</v>
      </c>
      <c r="B141" t="s">
        <v>3433</v>
      </c>
      <c r="D141">
        <v>1.9318</v>
      </c>
      <c r="E141" s="251"/>
      <c r="F141" s="245">
        <v>43007</v>
      </c>
    </row>
    <row r="142" spans="1:6">
      <c r="A142" t="s">
        <v>1776</v>
      </c>
      <c r="B142" t="s">
        <v>3381</v>
      </c>
      <c r="D142">
        <v>1.0779000000000001</v>
      </c>
      <c r="E142" s="251"/>
      <c r="F142" s="245">
        <v>43008</v>
      </c>
    </row>
    <row r="143" spans="1:6">
      <c r="A143" t="s">
        <v>1775</v>
      </c>
      <c r="B143" t="s">
        <v>3481</v>
      </c>
      <c r="D143" s="244">
        <v>1.2171000000000001</v>
      </c>
      <c r="E143"/>
      <c r="F143" s="245">
        <v>43010</v>
      </c>
    </row>
    <row r="144" spans="1:6">
      <c r="A144" t="s">
        <v>1773</v>
      </c>
      <c r="B144" t="s">
        <v>3430</v>
      </c>
      <c r="D144">
        <v>1.9345000000000001</v>
      </c>
      <c r="E144" s="251"/>
      <c r="F144" s="245">
        <v>43007</v>
      </c>
    </row>
    <row r="145" spans="1:6">
      <c r="A145" t="s">
        <v>1772</v>
      </c>
      <c r="B145" t="s">
        <v>3581</v>
      </c>
      <c r="D145" s="252">
        <v>1.8243</v>
      </c>
      <c r="E145"/>
      <c r="F145" s="245">
        <v>43334</v>
      </c>
    </row>
    <row r="146" spans="1:6">
      <c r="A146" t="s">
        <v>1766</v>
      </c>
      <c r="B146" t="s">
        <v>3486</v>
      </c>
      <c r="D146" s="244">
        <v>1.1585000000000001</v>
      </c>
      <c r="E146"/>
      <c r="F146" s="245">
        <v>43010</v>
      </c>
    </row>
    <row r="147" spans="1:6">
      <c r="A147" t="s">
        <v>1761</v>
      </c>
      <c r="B147" t="s">
        <v>3473</v>
      </c>
      <c r="D147" s="244">
        <v>1.2491000000000001</v>
      </c>
      <c r="E147"/>
      <c r="F147" s="245">
        <v>43010</v>
      </c>
    </row>
    <row r="148" spans="1:6">
      <c r="A148" t="s">
        <v>1760</v>
      </c>
      <c r="B148" t="s">
        <v>3478</v>
      </c>
      <c r="D148" s="244">
        <v>1.6564000000000001</v>
      </c>
      <c r="E148"/>
      <c r="F148" s="245">
        <v>43010</v>
      </c>
    </row>
    <row r="149" spans="1:6">
      <c r="A149" t="s">
        <v>1758</v>
      </c>
      <c r="B149" t="s">
        <v>3490</v>
      </c>
      <c r="D149" s="244">
        <v>0.88980000000000004</v>
      </c>
      <c r="E149"/>
      <c r="F149" s="245">
        <v>43008</v>
      </c>
    </row>
    <row r="150" spans="1:6">
      <c r="A150" t="s">
        <v>1757</v>
      </c>
      <c r="B150" t="s">
        <v>3424</v>
      </c>
      <c r="D150">
        <v>1.8129</v>
      </c>
      <c r="E150" s="251"/>
      <c r="F150" s="245">
        <v>43007</v>
      </c>
    </row>
    <row r="151" spans="1:6">
      <c r="A151" t="s">
        <v>1756</v>
      </c>
      <c r="B151" t="s">
        <v>3487</v>
      </c>
      <c r="D151" s="244">
        <v>0.93010000000000004</v>
      </c>
      <c r="E151"/>
      <c r="F151" s="245">
        <v>43010</v>
      </c>
    </row>
    <row r="152" spans="1:6">
      <c r="A152" t="s">
        <v>1755</v>
      </c>
      <c r="B152" t="s">
        <v>3396</v>
      </c>
      <c r="D152">
        <v>0.92659999999999998</v>
      </c>
      <c r="E152" s="251" t="s">
        <v>3390</v>
      </c>
      <c r="F152" s="245">
        <v>43009</v>
      </c>
    </row>
    <row r="153" spans="1:6">
      <c r="A153" t="s">
        <v>2020</v>
      </c>
      <c r="B153" t="s">
        <v>3409</v>
      </c>
      <c r="D153">
        <v>0.80879999999999996</v>
      </c>
      <c r="E153" s="251"/>
      <c r="F153" s="245">
        <v>43008</v>
      </c>
    </row>
    <row r="154" spans="1:6">
      <c r="A154" t="s">
        <v>1750</v>
      </c>
      <c r="B154" t="s">
        <v>3548</v>
      </c>
      <c r="D154" s="252">
        <v>1.8340000000000001</v>
      </c>
      <c r="E154" t="s">
        <v>3375</v>
      </c>
      <c r="F154" s="245">
        <v>43333</v>
      </c>
    </row>
    <row r="155" spans="1:6">
      <c r="A155" t="s">
        <v>1749</v>
      </c>
      <c r="B155" t="s">
        <v>3454</v>
      </c>
      <c r="D155">
        <v>0.66849999999999998</v>
      </c>
      <c r="E155" s="251"/>
      <c r="F155" s="245">
        <v>43009</v>
      </c>
    </row>
    <row r="156" spans="1:6">
      <c r="A156" t="s">
        <v>1747</v>
      </c>
      <c r="B156" t="s">
        <v>3468</v>
      </c>
      <c r="D156">
        <v>1.6654</v>
      </c>
      <c r="E156" s="251"/>
      <c r="F156" s="245">
        <v>43010</v>
      </c>
    </row>
    <row r="157" spans="1:6">
      <c r="A157" t="s">
        <v>1741</v>
      </c>
      <c r="B157" t="s">
        <v>3450</v>
      </c>
      <c r="D157">
        <v>0.88170000000000004</v>
      </c>
      <c r="E157" s="251"/>
      <c r="F157" s="245">
        <v>43009</v>
      </c>
    </row>
    <row r="158" spans="1:6">
      <c r="A158" t="s">
        <v>1738</v>
      </c>
      <c r="B158" t="s">
        <v>3566</v>
      </c>
      <c r="D158" s="252">
        <v>1.7978000000000001</v>
      </c>
      <c r="E158" t="s">
        <v>2115</v>
      </c>
      <c r="F158" s="245">
        <v>43334</v>
      </c>
    </row>
    <row r="159" spans="1:6">
      <c r="A159" t="s">
        <v>1737</v>
      </c>
      <c r="B159" t="s">
        <v>3384</v>
      </c>
      <c r="D159">
        <v>0.74719999999999998</v>
      </c>
      <c r="E159" s="251"/>
      <c r="F159" s="244"/>
    </row>
    <row r="160" spans="1:6">
      <c r="A160" t="s">
        <v>1736</v>
      </c>
      <c r="B160" t="s">
        <v>3395</v>
      </c>
      <c r="D160">
        <v>0.78080000000000005</v>
      </c>
      <c r="E160" s="251"/>
      <c r="F160" s="245">
        <v>43008</v>
      </c>
    </row>
    <row r="161" spans="1:6">
      <c r="A161" t="s">
        <v>1735</v>
      </c>
      <c r="B161">
        <v>201</v>
      </c>
      <c r="C161" t="s">
        <v>2490</v>
      </c>
      <c r="D161">
        <v>0.84</v>
      </c>
      <c r="E161" s="221" t="s">
        <v>2495</v>
      </c>
      <c r="F161" s="16">
        <v>43208</v>
      </c>
    </row>
    <row r="162" spans="1:6">
      <c r="A162" t="s">
        <v>1734</v>
      </c>
      <c r="B162" t="s">
        <v>3465</v>
      </c>
      <c r="D162">
        <v>0.6512</v>
      </c>
      <c r="E162" s="251" t="s">
        <v>3390</v>
      </c>
      <c r="F162" s="245">
        <v>43008</v>
      </c>
    </row>
    <row r="163" spans="1:6">
      <c r="A163" t="s">
        <v>1732</v>
      </c>
      <c r="B163" t="s">
        <v>3584</v>
      </c>
      <c r="D163" s="252">
        <v>0.70609999999999995</v>
      </c>
      <c r="E163" t="s">
        <v>2111</v>
      </c>
      <c r="F163" s="245">
        <v>43334</v>
      </c>
    </row>
    <row r="164" spans="1:6">
      <c r="A164" t="s">
        <v>1731</v>
      </c>
      <c r="B164" t="s">
        <v>3427</v>
      </c>
      <c r="D164">
        <v>1.8162</v>
      </c>
      <c r="E164" s="251"/>
      <c r="F164" s="245">
        <v>43007</v>
      </c>
    </row>
    <row r="165" spans="1:6">
      <c r="A165" t="s">
        <v>2018</v>
      </c>
      <c r="B165" t="s">
        <v>3394</v>
      </c>
      <c r="D165">
        <v>0.77580000000000005</v>
      </c>
      <c r="E165" s="251"/>
      <c r="F165" s="245">
        <v>43009</v>
      </c>
    </row>
    <row r="166" spans="1:6">
      <c r="A166" t="s">
        <v>1730</v>
      </c>
      <c r="B166" t="s">
        <v>3437</v>
      </c>
      <c r="D166">
        <v>1.7525999999999999</v>
      </c>
      <c r="E166" s="251"/>
      <c r="F166" s="245">
        <v>43007</v>
      </c>
    </row>
    <row r="167" spans="1:6">
      <c r="A167" t="s">
        <v>1728</v>
      </c>
      <c r="B167" t="s">
        <v>3420</v>
      </c>
      <c r="D167">
        <v>1.8697999999999999</v>
      </c>
      <c r="E167" s="251"/>
      <c r="F167" s="245">
        <v>43007</v>
      </c>
    </row>
    <row r="168" spans="1:6">
      <c r="A168" t="s">
        <v>1727</v>
      </c>
      <c r="B168" t="s">
        <v>3455</v>
      </c>
      <c r="D168">
        <v>0.74829999999999997</v>
      </c>
      <c r="E168" s="251"/>
      <c r="F168" s="245">
        <v>43009</v>
      </c>
    </row>
    <row r="169" spans="1:6">
      <c r="A169" t="s">
        <v>1726</v>
      </c>
      <c r="B169" t="s">
        <v>3611</v>
      </c>
      <c r="D169" s="252">
        <v>1.6847000000000001</v>
      </c>
      <c r="E169" t="s">
        <v>3599</v>
      </c>
      <c r="F169" s="245">
        <v>43337</v>
      </c>
    </row>
    <row r="170" spans="1:6">
      <c r="A170" t="s">
        <v>1724</v>
      </c>
      <c r="B170" t="s">
        <v>3483</v>
      </c>
      <c r="D170" s="244">
        <v>1.0625</v>
      </c>
      <c r="E170"/>
      <c r="F170" s="245">
        <v>43010</v>
      </c>
    </row>
    <row r="171" spans="1:6">
      <c r="A171" t="s">
        <v>1721</v>
      </c>
      <c r="B171" t="s">
        <v>3623</v>
      </c>
      <c r="D171" s="252">
        <v>1.7850999999999999</v>
      </c>
      <c r="E171"/>
      <c r="F171" s="245">
        <v>43338</v>
      </c>
    </row>
    <row r="172" spans="1:6">
      <c r="A172" t="s">
        <v>1719</v>
      </c>
      <c r="B172" t="s">
        <v>3609</v>
      </c>
      <c r="D172" s="252">
        <v>1.8354999999999999</v>
      </c>
      <c r="E172" t="s">
        <v>2115</v>
      </c>
      <c r="F172" s="245">
        <v>43337</v>
      </c>
    </row>
    <row r="173" spans="1:6">
      <c r="A173" t="s">
        <v>1718</v>
      </c>
      <c r="B173" t="s">
        <v>3412</v>
      </c>
      <c r="D173">
        <v>0.98260000000000003</v>
      </c>
      <c r="E173" s="251"/>
      <c r="F173" s="245">
        <v>43008</v>
      </c>
    </row>
    <row r="174" spans="1:6">
      <c r="A174" t="s">
        <v>1715</v>
      </c>
      <c r="B174" t="s">
        <v>3409</v>
      </c>
      <c r="D174">
        <v>0.85829999999999995</v>
      </c>
      <c r="E174" s="251"/>
      <c r="F174" s="245">
        <v>43008</v>
      </c>
    </row>
    <row r="175" spans="1:6">
      <c r="A175" t="s">
        <v>1714</v>
      </c>
      <c r="B175" t="s">
        <v>3586</v>
      </c>
      <c r="D175" s="252">
        <v>1.6466000000000001</v>
      </c>
      <c r="E175" t="s">
        <v>3588</v>
      </c>
      <c r="F175" s="245">
        <v>43334</v>
      </c>
    </row>
    <row r="176" spans="1:6">
      <c r="A176" t="s">
        <v>1712</v>
      </c>
      <c r="B176">
        <v>195</v>
      </c>
      <c r="C176" t="s">
        <v>2490</v>
      </c>
      <c r="D176">
        <v>0.83299999999999996</v>
      </c>
      <c r="E176" s="221" t="s">
        <v>2450</v>
      </c>
      <c r="F176" s="16">
        <v>43208</v>
      </c>
    </row>
    <row r="177" spans="1:6">
      <c r="A177" t="s">
        <v>2016</v>
      </c>
      <c r="B177" t="s">
        <v>3491</v>
      </c>
      <c r="D177" s="244">
        <v>0.92579999999999996</v>
      </c>
      <c r="E177"/>
      <c r="F177" s="245">
        <v>43008</v>
      </c>
    </row>
    <row r="178" spans="1:6">
      <c r="A178" t="s">
        <v>1709</v>
      </c>
      <c r="B178" t="s">
        <v>3552</v>
      </c>
      <c r="D178" s="252">
        <v>1.7267999999999999</v>
      </c>
      <c r="E178" t="s">
        <v>3554</v>
      </c>
      <c r="F178" s="245">
        <v>43333</v>
      </c>
    </row>
    <row r="179" spans="1:6">
      <c r="A179" t="s">
        <v>1708</v>
      </c>
      <c r="B179" t="s">
        <v>3577</v>
      </c>
      <c r="D179" s="252">
        <v>1.7556</v>
      </c>
      <c r="E179"/>
      <c r="F179" s="245">
        <v>43334</v>
      </c>
    </row>
    <row r="180" spans="1:6">
      <c r="A180" t="s">
        <v>1707</v>
      </c>
      <c r="B180" t="s">
        <v>3398</v>
      </c>
      <c r="D180">
        <v>0.68059999999999998</v>
      </c>
      <c r="E180" s="251"/>
      <c r="F180" s="245">
        <v>43009</v>
      </c>
    </row>
    <row r="181" spans="1:6">
      <c r="A181" t="s">
        <v>1706</v>
      </c>
      <c r="B181" t="s">
        <v>3490</v>
      </c>
      <c r="D181" s="244">
        <v>0.78580000000000005</v>
      </c>
      <c r="E181"/>
      <c r="F181" s="245">
        <v>43008</v>
      </c>
    </row>
    <row r="182" spans="1:6">
      <c r="A182" t="s">
        <v>1703</v>
      </c>
      <c r="B182" t="s">
        <v>3621</v>
      </c>
      <c r="D182" s="252">
        <v>1.6924999999999999</v>
      </c>
      <c r="E182" t="s">
        <v>3607</v>
      </c>
      <c r="F182" s="245">
        <v>43338</v>
      </c>
    </row>
    <row r="183" spans="1:6">
      <c r="A183" t="s">
        <v>1702</v>
      </c>
      <c r="B183" t="s">
        <v>3404</v>
      </c>
      <c r="D183">
        <v>0.69310000000000005</v>
      </c>
      <c r="E183" s="251"/>
      <c r="F183" s="245">
        <v>43009</v>
      </c>
    </row>
    <row r="184" spans="1:6">
      <c r="A184" t="s">
        <v>1701</v>
      </c>
      <c r="B184" t="s">
        <v>3425</v>
      </c>
      <c r="D184">
        <v>1.7968</v>
      </c>
      <c r="E184" s="251"/>
      <c r="F184" s="245">
        <v>43007</v>
      </c>
    </row>
    <row r="185" spans="1:6">
      <c r="A185" t="s">
        <v>2015</v>
      </c>
      <c r="B185" t="s">
        <v>3603</v>
      </c>
      <c r="D185" s="252">
        <v>1.8633999999999999</v>
      </c>
      <c r="E185"/>
      <c r="F185" s="245">
        <v>43337</v>
      </c>
    </row>
    <row r="186" spans="1:6">
      <c r="A186" t="s">
        <v>1700</v>
      </c>
      <c r="B186" t="s">
        <v>3380</v>
      </c>
      <c r="D186">
        <v>0.95640000000000003</v>
      </c>
      <c r="E186" s="251"/>
      <c r="F186" s="245">
        <v>43008</v>
      </c>
    </row>
    <row r="187" spans="1:6">
      <c r="A187" t="s">
        <v>1697</v>
      </c>
      <c r="B187" t="s">
        <v>3446</v>
      </c>
      <c r="D187">
        <v>0.80569999999999997</v>
      </c>
      <c r="E187" s="251"/>
      <c r="F187" s="245">
        <v>43009</v>
      </c>
    </row>
    <row r="188" spans="1:6">
      <c r="A188" t="s">
        <v>1694</v>
      </c>
      <c r="B188" t="s">
        <v>3613</v>
      </c>
      <c r="D188" s="252">
        <v>1.7767999999999999</v>
      </c>
      <c r="E188" t="s">
        <v>2115</v>
      </c>
      <c r="F188" s="245">
        <v>43337</v>
      </c>
    </row>
    <row r="189" spans="1:6">
      <c r="A189" t="s">
        <v>1693</v>
      </c>
      <c r="B189" t="s">
        <v>3429</v>
      </c>
      <c r="D189">
        <v>1.6417999999999999</v>
      </c>
      <c r="E189" s="251"/>
      <c r="F189" s="245">
        <v>43007</v>
      </c>
    </row>
    <row r="190" spans="1:6">
      <c r="A190" t="s">
        <v>2014</v>
      </c>
      <c r="B190">
        <v>210</v>
      </c>
      <c r="C190" t="s">
        <v>2490</v>
      </c>
      <c r="D190">
        <v>0.84599999999999997</v>
      </c>
      <c r="E190" s="221" t="s">
        <v>2448</v>
      </c>
      <c r="F190" s="16">
        <v>43208</v>
      </c>
    </row>
    <row r="191" spans="1:6">
      <c r="A191" t="s">
        <v>1689</v>
      </c>
      <c r="B191">
        <v>216</v>
      </c>
      <c r="C191" t="s">
        <v>2490</v>
      </c>
      <c r="D191">
        <v>0.73499999999999999</v>
      </c>
      <c r="E191" s="221" t="s">
        <v>2448</v>
      </c>
      <c r="F191" s="16">
        <v>43208</v>
      </c>
    </row>
    <row r="192" spans="1:6">
      <c r="A192" t="s">
        <v>1687</v>
      </c>
      <c r="B192">
        <v>212</v>
      </c>
      <c r="C192" t="s">
        <v>2490</v>
      </c>
      <c r="D192">
        <v>0.753</v>
      </c>
      <c r="E192" s="221" t="s">
        <v>2495</v>
      </c>
      <c r="F192" s="16">
        <v>43208</v>
      </c>
    </row>
    <row r="193" spans="1:6">
      <c r="A193" t="s">
        <v>1686</v>
      </c>
      <c r="B193" t="s">
        <v>3612</v>
      </c>
      <c r="D193" s="252">
        <v>1.8589</v>
      </c>
      <c r="E193" t="s">
        <v>2115</v>
      </c>
      <c r="F193" s="245">
        <v>43337</v>
      </c>
    </row>
    <row r="194" spans="1:6">
      <c r="A194" t="s">
        <v>1680</v>
      </c>
      <c r="B194" t="s">
        <v>3613</v>
      </c>
      <c r="D194" s="252">
        <v>1.8433999999999999</v>
      </c>
      <c r="E194" t="s">
        <v>2115</v>
      </c>
      <c r="F194" s="245">
        <v>43337</v>
      </c>
    </row>
    <row r="195" spans="1:6">
      <c r="A195" t="s">
        <v>1679</v>
      </c>
      <c r="B195" t="s">
        <v>3397</v>
      </c>
      <c r="D195">
        <v>0.81369999999999998</v>
      </c>
      <c r="E195" s="251"/>
      <c r="F195" s="245">
        <v>43009</v>
      </c>
    </row>
    <row r="196" spans="1:6">
      <c r="A196" t="s">
        <v>1678</v>
      </c>
      <c r="B196" t="s">
        <v>3619</v>
      </c>
      <c r="D196" s="252">
        <v>1.9605999999999999</v>
      </c>
      <c r="E196"/>
      <c r="F196" s="245">
        <v>43338</v>
      </c>
    </row>
    <row r="197" spans="1:6">
      <c r="A197" t="s">
        <v>1673</v>
      </c>
      <c r="B197" t="s">
        <v>3432</v>
      </c>
      <c r="D197">
        <v>1.3894</v>
      </c>
      <c r="E197" s="251" t="s">
        <v>3390</v>
      </c>
      <c r="F197" s="245">
        <v>43007</v>
      </c>
    </row>
    <row r="198" spans="1:6">
      <c r="A198" t="s">
        <v>1671</v>
      </c>
      <c r="B198" t="s">
        <v>2228</v>
      </c>
      <c r="D198" s="252">
        <v>1.65</v>
      </c>
      <c r="E198"/>
      <c r="F198" s="245">
        <v>43334</v>
      </c>
    </row>
    <row r="199" spans="1:6">
      <c r="A199" t="s">
        <v>2012</v>
      </c>
      <c r="B199" t="s">
        <v>3435</v>
      </c>
      <c r="D199">
        <v>1.6738</v>
      </c>
      <c r="E199" s="251"/>
      <c r="F199" s="245">
        <v>43007</v>
      </c>
    </row>
    <row r="200" spans="1:6">
      <c r="A200" t="s">
        <v>1670</v>
      </c>
      <c r="B200" t="s">
        <v>3611</v>
      </c>
      <c r="D200" s="252">
        <v>1.8685</v>
      </c>
      <c r="E200"/>
      <c r="F200" s="245">
        <v>43337</v>
      </c>
    </row>
    <row r="201" spans="1:6">
      <c r="A201" t="s">
        <v>1668</v>
      </c>
      <c r="B201" t="s">
        <v>3620</v>
      </c>
      <c r="D201" s="252">
        <v>1.8677999999999999</v>
      </c>
      <c r="E201" t="s">
        <v>2111</v>
      </c>
      <c r="F201" s="245">
        <v>43338</v>
      </c>
    </row>
    <row r="202" spans="1:6">
      <c r="A202" t="s">
        <v>1666</v>
      </c>
      <c r="B202" t="s">
        <v>3400</v>
      </c>
      <c r="D202">
        <v>0.73660000000000003</v>
      </c>
      <c r="E202" s="251" t="s">
        <v>3401</v>
      </c>
      <c r="F202" s="245">
        <v>43008</v>
      </c>
    </row>
    <row r="203" spans="1:6">
      <c r="A203" t="s">
        <v>1656</v>
      </c>
      <c r="B203" t="s">
        <v>3426</v>
      </c>
      <c r="D203">
        <v>1.8532999999999999</v>
      </c>
      <c r="E203" s="251"/>
      <c r="F203" s="245">
        <v>43007</v>
      </c>
    </row>
    <row r="204" spans="1:6">
      <c r="A204" t="s">
        <v>1654</v>
      </c>
      <c r="B204" t="s">
        <v>3413</v>
      </c>
      <c r="D204">
        <v>0.80349999999999999</v>
      </c>
      <c r="E204" s="251" t="s">
        <v>3414</v>
      </c>
      <c r="F204" s="245">
        <v>43009</v>
      </c>
    </row>
    <row r="205" spans="1:6">
      <c r="A205" t="s">
        <v>1653</v>
      </c>
      <c r="B205" t="s">
        <v>3427</v>
      </c>
      <c r="D205">
        <v>1.7436</v>
      </c>
      <c r="E205" s="251"/>
      <c r="F205" s="245">
        <v>43007</v>
      </c>
    </row>
    <row r="206" spans="1:6">
      <c r="A206" t="s">
        <v>1652</v>
      </c>
      <c r="B206" t="s">
        <v>3467</v>
      </c>
      <c r="D206">
        <v>1.0217000000000001</v>
      </c>
      <c r="E206" s="251"/>
      <c r="F206" s="245">
        <v>43010</v>
      </c>
    </row>
    <row r="207" spans="1:6">
      <c r="A207" t="s">
        <v>1651</v>
      </c>
      <c r="B207">
        <v>197</v>
      </c>
      <c r="C207" t="s">
        <v>2490</v>
      </c>
      <c r="D207">
        <v>0.69</v>
      </c>
      <c r="E207" s="221" t="s">
        <v>2447</v>
      </c>
      <c r="F207" s="16">
        <v>43208</v>
      </c>
    </row>
    <row r="208" spans="1:6">
      <c r="A208" t="s">
        <v>2010</v>
      </c>
      <c r="B208" t="s">
        <v>3465</v>
      </c>
      <c r="D208">
        <v>0.68400000000000005</v>
      </c>
      <c r="E208" s="251" t="s">
        <v>3390</v>
      </c>
      <c r="F208" s="245">
        <v>43008</v>
      </c>
    </row>
    <row r="209" spans="1:6">
      <c r="A209" t="s">
        <v>1650</v>
      </c>
      <c r="B209" t="s">
        <v>3415</v>
      </c>
      <c r="D209">
        <v>0.86</v>
      </c>
      <c r="E209" s="251" t="s">
        <v>3416</v>
      </c>
      <c r="F209" s="245">
        <v>43008</v>
      </c>
    </row>
    <row r="210" spans="1:6">
      <c r="A210" t="s">
        <v>1649</v>
      </c>
      <c r="B210" t="s">
        <v>3440</v>
      </c>
      <c r="D210">
        <v>0.9304</v>
      </c>
      <c r="E210" s="251"/>
      <c r="F210" s="245">
        <v>43008</v>
      </c>
    </row>
    <row r="211" spans="1:6">
      <c r="A211" t="s">
        <v>1643</v>
      </c>
      <c r="B211" t="s">
        <v>3432</v>
      </c>
      <c r="D211">
        <v>1.278</v>
      </c>
      <c r="E211" s="251"/>
      <c r="F211" s="245">
        <v>43007</v>
      </c>
    </row>
    <row r="212" spans="1:6">
      <c r="A212" t="s">
        <v>1641</v>
      </c>
      <c r="B212" t="s">
        <v>3457</v>
      </c>
      <c r="D212">
        <v>0.77039999999999997</v>
      </c>
      <c r="E212" s="251"/>
      <c r="F212" s="245">
        <v>43009</v>
      </c>
    </row>
    <row r="213" spans="1:6">
      <c r="A213" t="s">
        <v>2009</v>
      </c>
      <c r="B213" t="s">
        <v>3577</v>
      </c>
      <c r="D213" s="252">
        <v>1.7847</v>
      </c>
      <c r="E213" t="s">
        <v>2111</v>
      </c>
      <c r="F213" s="245">
        <v>43334</v>
      </c>
    </row>
    <row r="214" spans="1:6">
      <c r="A214" t="s">
        <v>1640</v>
      </c>
      <c r="B214" t="s">
        <v>3446</v>
      </c>
      <c r="D214">
        <v>0.71050000000000002</v>
      </c>
      <c r="E214" s="251"/>
      <c r="F214" s="245">
        <v>43009</v>
      </c>
    </row>
    <row r="215" spans="1:6">
      <c r="A215" t="s">
        <v>1639</v>
      </c>
      <c r="B215" t="s">
        <v>3458</v>
      </c>
      <c r="D215">
        <v>0.76629999999999998</v>
      </c>
      <c r="E215" s="251"/>
      <c r="F215" s="245">
        <v>43009</v>
      </c>
    </row>
    <row r="216" spans="1:6">
      <c r="A216" t="s">
        <v>1638</v>
      </c>
      <c r="B216">
        <v>208</v>
      </c>
      <c r="C216" t="s">
        <v>2490</v>
      </c>
      <c r="D216">
        <v>0.72499999999999998</v>
      </c>
      <c r="E216" s="221" t="s">
        <v>2449</v>
      </c>
      <c r="F216" s="16">
        <v>43208</v>
      </c>
    </row>
    <row r="217" spans="1:6">
      <c r="A217" t="s">
        <v>1637</v>
      </c>
      <c r="B217" t="s">
        <v>3566</v>
      </c>
      <c r="D217" s="252">
        <v>1.9466000000000001</v>
      </c>
      <c r="E217" t="s">
        <v>2115</v>
      </c>
      <c r="F217" s="245">
        <v>43334</v>
      </c>
    </row>
    <row r="218" spans="1:6">
      <c r="A218" t="s">
        <v>2008</v>
      </c>
      <c r="B218" t="s">
        <v>3408</v>
      </c>
      <c r="D218">
        <v>1.0448</v>
      </c>
      <c r="E218" s="251"/>
      <c r="F218" s="245">
        <v>43009</v>
      </c>
    </row>
    <row r="219" spans="1:6">
      <c r="A219" t="s">
        <v>1628</v>
      </c>
      <c r="B219" t="s">
        <v>3417</v>
      </c>
      <c r="D219">
        <v>0.751</v>
      </c>
      <c r="E219" s="251"/>
      <c r="F219" s="245">
        <v>43009</v>
      </c>
    </row>
    <row r="220" spans="1:6">
      <c r="A220" t="s">
        <v>2007</v>
      </c>
      <c r="B220" t="s">
        <v>3578</v>
      </c>
      <c r="D220" s="252">
        <v>1.7821</v>
      </c>
      <c r="E220" t="s">
        <v>2111</v>
      </c>
      <c r="F220" s="245">
        <v>43334</v>
      </c>
    </row>
    <row r="221" spans="1:6">
      <c r="A221" t="s">
        <v>1620</v>
      </c>
      <c r="B221" t="s">
        <v>3581</v>
      </c>
      <c r="D221" s="252">
        <v>1.8875999999999999</v>
      </c>
      <c r="E221" t="s">
        <v>2111</v>
      </c>
      <c r="F221" s="245">
        <v>43334</v>
      </c>
    </row>
    <row r="222" spans="1:6">
      <c r="A222" t="s">
        <v>1619</v>
      </c>
      <c r="B222" t="s">
        <v>3625</v>
      </c>
      <c r="D222" s="252">
        <v>1.8758999999999999</v>
      </c>
      <c r="E222"/>
      <c r="F222" s="245">
        <v>43338</v>
      </c>
    </row>
    <row r="223" spans="1:6">
      <c r="A223" t="s">
        <v>1616</v>
      </c>
      <c r="B223">
        <v>211</v>
      </c>
      <c r="C223" t="s">
        <v>2490</v>
      </c>
      <c r="D223">
        <v>0.74099999999999999</v>
      </c>
      <c r="F223" s="16">
        <v>43208</v>
      </c>
    </row>
    <row r="224" spans="1:6">
      <c r="A224" t="s">
        <v>1615</v>
      </c>
      <c r="B224" t="s">
        <v>3434</v>
      </c>
      <c r="D224">
        <v>1.7934000000000001</v>
      </c>
      <c r="E224" s="251" t="s">
        <v>2497</v>
      </c>
      <c r="F224" s="245">
        <v>43007</v>
      </c>
    </row>
    <row r="225" spans="1:6">
      <c r="A225" t="s">
        <v>2006</v>
      </c>
      <c r="B225" t="s">
        <v>3421</v>
      </c>
      <c r="D225">
        <v>1.5553999999999999</v>
      </c>
      <c r="E225" s="251" t="s">
        <v>3422</v>
      </c>
      <c r="F225" s="245">
        <v>43007</v>
      </c>
    </row>
    <row r="226" spans="1:6">
      <c r="A226" t="s">
        <v>1606</v>
      </c>
      <c r="B226" t="s">
        <v>3419</v>
      </c>
      <c r="D226">
        <v>1.3574999999999999</v>
      </c>
      <c r="E226" s="251"/>
      <c r="F226" s="245">
        <v>43007</v>
      </c>
    </row>
    <row r="227" spans="1:6">
      <c r="A227" t="s">
        <v>2005</v>
      </c>
      <c r="B227">
        <v>193</v>
      </c>
      <c r="C227" t="s">
        <v>2490</v>
      </c>
      <c r="D227">
        <v>0.82699999999999996</v>
      </c>
      <c r="E227" s="221" t="s">
        <v>2449</v>
      </c>
      <c r="F227" s="16">
        <v>43208</v>
      </c>
    </row>
    <row r="228" spans="1:6">
      <c r="A228" t="s">
        <v>1595</v>
      </c>
      <c r="B228" t="s">
        <v>3380</v>
      </c>
      <c r="D228">
        <v>0.92169999999999996</v>
      </c>
      <c r="E228" s="251"/>
      <c r="F228" s="245">
        <v>43008</v>
      </c>
    </row>
    <row r="229" spans="1:6">
      <c r="A229" t="s">
        <v>2004</v>
      </c>
      <c r="B229" t="s">
        <v>3436</v>
      </c>
      <c r="D229">
        <v>1.5884</v>
      </c>
      <c r="E229" s="251" t="s">
        <v>3390</v>
      </c>
      <c r="F229" s="245">
        <v>43007</v>
      </c>
    </row>
    <row r="230" spans="1:6">
      <c r="A230" t="s">
        <v>1586</v>
      </c>
      <c r="B230" t="s">
        <v>3471</v>
      </c>
      <c r="D230" s="246">
        <v>1.571</v>
      </c>
      <c r="E230"/>
      <c r="F230" s="245">
        <v>43010</v>
      </c>
    </row>
    <row r="231" spans="1:6">
      <c r="A231" t="s">
        <v>1585</v>
      </c>
      <c r="B231" t="s">
        <v>3586</v>
      </c>
      <c r="D231" s="252">
        <v>1.6845000000000001</v>
      </c>
      <c r="E231"/>
      <c r="F231" s="245">
        <v>43334</v>
      </c>
    </row>
    <row r="232" spans="1:6">
      <c r="A232" t="s">
        <v>1584</v>
      </c>
      <c r="B232" t="s">
        <v>3449</v>
      </c>
      <c r="D232">
        <v>0.81599999999999995</v>
      </c>
      <c r="E232" s="251"/>
      <c r="F232" s="245">
        <v>43009</v>
      </c>
    </row>
    <row r="233" spans="1:6">
      <c r="A233" t="s">
        <v>1583</v>
      </c>
      <c r="B233" t="s">
        <v>3614</v>
      </c>
      <c r="D233" s="252">
        <v>1.8359000000000001</v>
      </c>
      <c r="E233"/>
      <c r="F233" s="245">
        <v>43337</v>
      </c>
    </row>
    <row r="234" spans="1:6">
      <c r="A234" t="s">
        <v>2003</v>
      </c>
      <c r="B234" t="s">
        <v>3480</v>
      </c>
      <c r="D234" s="244">
        <v>1.1167</v>
      </c>
      <c r="E234"/>
      <c r="F234" s="245">
        <v>43010</v>
      </c>
    </row>
    <row r="235" spans="1:6">
      <c r="A235" t="s">
        <v>1577</v>
      </c>
      <c r="B235" t="s">
        <v>3558</v>
      </c>
      <c r="D235" s="252">
        <v>1.8992</v>
      </c>
      <c r="E235"/>
      <c r="F235" s="245">
        <v>43333</v>
      </c>
    </row>
    <row r="236" spans="1:6">
      <c r="A236" t="s">
        <v>2002</v>
      </c>
      <c r="B236" t="s">
        <v>3405</v>
      </c>
      <c r="D236">
        <v>0.84750000000000003</v>
      </c>
      <c r="E236" s="251"/>
      <c r="F236" s="245">
        <v>43008</v>
      </c>
    </row>
    <row r="237" spans="1:6">
      <c r="A237" t="s">
        <v>1569</v>
      </c>
      <c r="B237" t="s">
        <v>3557</v>
      </c>
      <c r="D237" s="252">
        <v>1.7612000000000001</v>
      </c>
      <c r="E237"/>
      <c r="F237" s="245">
        <v>43333</v>
      </c>
    </row>
    <row r="238" spans="1:6">
      <c r="A238" t="s">
        <v>1568</v>
      </c>
      <c r="B238" t="s">
        <v>3472</v>
      </c>
      <c r="D238" s="244">
        <v>1.4819</v>
      </c>
      <c r="E238"/>
      <c r="F238" s="245">
        <v>43010</v>
      </c>
    </row>
    <row r="239" spans="1:6">
      <c r="A239" t="s">
        <v>1566</v>
      </c>
      <c r="B239" t="s">
        <v>3399</v>
      </c>
      <c r="D239">
        <v>0.66439999999999999</v>
      </c>
      <c r="E239" s="251"/>
      <c r="F239" s="245">
        <v>43008</v>
      </c>
    </row>
    <row r="240" spans="1:6">
      <c r="A240" t="s">
        <v>1565</v>
      </c>
      <c r="B240">
        <v>218</v>
      </c>
      <c r="C240" t="s">
        <v>2490</v>
      </c>
      <c r="D240">
        <v>0.66900000000000004</v>
      </c>
      <c r="E240" s="221" t="s">
        <v>2495</v>
      </c>
      <c r="F240" s="16">
        <v>43208</v>
      </c>
    </row>
    <row r="241" spans="1:6">
      <c r="A241" t="s">
        <v>2001</v>
      </c>
      <c r="B241" t="s">
        <v>3570</v>
      </c>
      <c r="D241" s="252">
        <v>1.9326000000000001</v>
      </c>
      <c r="E241"/>
      <c r="F241" s="245">
        <v>43334</v>
      </c>
    </row>
    <row r="242" spans="1:6">
      <c r="A242" t="s">
        <v>1560</v>
      </c>
      <c r="B242" t="s">
        <v>3395</v>
      </c>
      <c r="D242">
        <v>0.72760000000000002</v>
      </c>
      <c r="E242" s="251" t="s">
        <v>3377</v>
      </c>
      <c r="F242" s="245">
        <v>43008</v>
      </c>
    </row>
    <row r="243" spans="1:6">
      <c r="A243" t="s">
        <v>1557</v>
      </c>
      <c r="B243" t="s">
        <v>3574</v>
      </c>
      <c r="D243" s="252">
        <v>1.8869</v>
      </c>
      <c r="E243"/>
      <c r="F243" s="245">
        <v>43334</v>
      </c>
    </row>
    <row r="244" spans="1:6">
      <c r="A244" t="s">
        <v>2045</v>
      </c>
      <c r="B244">
        <v>213</v>
      </c>
      <c r="C244" t="s">
        <v>2490</v>
      </c>
      <c r="D244">
        <v>0.67</v>
      </c>
      <c r="E244" s="221" t="s">
        <v>2491</v>
      </c>
      <c r="F244" s="16">
        <v>43208</v>
      </c>
    </row>
    <row r="245" spans="1:6">
      <c r="A245" t="s">
        <v>2000</v>
      </c>
      <c r="B245" t="s">
        <v>3598</v>
      </c>
      <c r="D245" s="252">
        <v>0.8911</v>
      </c>
      <c r="E245" t="s">
        <v>3599</v>
      </c>
      <c r="F245" s="245">
        <v>43334</v>
      </c>
    </row>
    <row r="246" spans="1:6">
      <c r="A246" t="s">
        <v>1549</v>
      </c>
      <c r="B246" t="s">
        <v>3399</v>
      </c>
      <c r="D246">
        <v>0.78680000000000005</v>
      </c>
      <c r="E246" s="251"/>
      <c r="F246" s="245">
        <v>43008</v>
      </c>
    </row>
    <row r="247" spans="1:6">
      <c r="A247" t="s">
        <v>1999</v>
      </c>
      <c r="B247" t="s">
        <v>3402</v>
      </c>
      <c r="D247">
        <v>0.81589999999999996</v>
      </c>
      <c r="E247" s="251"/>
      <c r="F247" s="245">
        <v>43008</v>
      </c>
    </row>
    <row r="248" spans="1:6">
      <c r="A248" t="s">
        <v>1535</v>
      </c>
      <c r="B248" t="s">
        <v>3444</v>
      </c>
      <c r="D248">
        <v>0.77959999999999996</v>
      </c>
      <c r="E248" s="251"/>
      <c r="F248" s="245">
        <v>43009</v>
      </c>
    </row>
    <row r="249" spans="1:6">
      <c r="A249" t="s">
        <v>1533</v>
      </c>
      <c r="B249" t="s">
        <v>3403</v>
      </c>
      <c r="D249">
        <v>0.7097</v>
      </c>
      <c r="E249" s="251" t="s">
        <v>3390</v>
      </c>
      <c r="F249" s="245">
        <v>43008</v>
      </c>
    </row>
    <row r="250" spans="1:6">
      <c r="A250" t="s">
        <v>1519</v>
      </c>
      <c r="B250" t="s">
        <v>3612</v>
      </c>
      <c r="D250" s="252">
        <v>1.8593999999999999</v>
      </c>
      <c r="E250"/>
      <c r="F250" s="245">
        <v>43337</v>
      </c>
    </row>
    <row r="251" spans="1:6">
      <c r="A251" t="s">
        <v>1995</v>
      </c>
      <c r="B251" t="s">
        <v>3389</v>
      </c>
      <c r="D251">
        <v>0.86550000000000005</v>
      </c>
      <c r="E251" s="251"/>
      <c r="F251" s="244"/>
    </row>
    <row r="252" spans="1:6">
      <c r="A252" t="s">
        <v>1495</v>
      </c>
      <c r="B252" t="s">
        <v>3431</v>
      </c>
      <c r="D252">
        <v>2.0030000000000001</v>
      </c>
      <c r="E252" s="251"/>
      <c r="F252" s="245">
        <v>43007</v>
      </c>
    </row>
    <row r="253" spans="1:6">
      <c r="A253" t="s">
        <v>1492</v>
      </c>
      <c r="B253" t="s">
        <v>3605</v>
      </c>
      <c r="D253" s="252">
        <v>1.9415</v>
      </c>
      <c r="E253"/>
      <c r="F253" s="245">
        <v>43337</v>
      </c>
    </row>
    <row r="254" spans="1:6">
      <c r="A254" t="s">
        <v>1994</v>
      </c>
      <c r="B254" t="s">
        <v>3376</v>
      </c>
      <c r="D254">
        <v>0.7238</v>
      </c>
      <c r="E254" s="251"/>
      <c r="F254" s="244"/>
    </row>
    <row r="255" spans="1:6">
      <c r="A255" t="s">
        <v>1488</v>
      </c>
      <c r="B255" t="s">
        <v>3436</v>
      </c>
      <c r="D255">
        <v>1.8862000000000001</v>
      </c>
      <c r="E255" s="251"/>
      <c r="F255" s="245">
        <v>43007</v>
      </c>
    </row>
    <row r="256" spans="1:6">
      <c r="A256" t="s">
        <v>1993</v>
      </c>
      <c r="B256" t="s">
        <v>3488</v>
      </c>
      <c r="D256" s="244">
        <v>1.0114000000000001</v>
      </c>
      <c r="E256"/>
      <c r="F256" s="245">
        <v>43010</v>
      </c>
    </row>
    <row r="257" spans="1:6">
      <c r="A257" t="s">
        <v>1480</v>
      </c>
      <c r="B257" t="s">
        <v>3430</v>
      </c>
      <c r="D257">
        <v>1.9100999999999999</v>
      </c>
      <c r="E257" s="251"/>
      <c r="F257" s="245">
        <v>43007</v>
      </c>
    </row>
    <row r="258" spans="1:6">
      <c r="A258" t="s">
        <v>1992</v>
      </c>
      <c r="B258" t="s">
        <v>3431</v>
      </c>
      <c r="D258">
        <v>1.7357</v>
      </c>
      <c r="E258" s="251"/>
      <c r="F258" s="245">
        <v>43007</v>
      </c>
    </row>
    <row r="259" spans="1:6">
      <c r="A259" t="s">
        <v>1470</v>
      </c>
      <c r="B259" t="s">
        <v>3407</v>
      </c>
      <c r="D259">
        <v>0.84409999999999996</v>
      </c>
      <c r="E259" s="251"/>
      <c r="F259" s="245">
        <v>43009</v>
      </c>
    </row>
    <row r="260" spans="1:6">
      <c r="A260" t="s">
        <v>1991</v>
      </c>
      <c r="B260" t="s">
        <v>3438</v>
      </c>
      <c r="D260">
        <v>0.95679999999999998</v>
      </c>
      <c r="E260" s="251"/>
      <c r="F260" s="245">
        <v>43009</v>
      </c>
    </row>
    <row r="261" spans="1:6">
      <c r="A261" t="s">
        <v>1454</v>
      </c>
      <c r="B261" t="s">
        <v>3615</v>
      </c>
      <c r="D261" s="252">
        <v>1.8642000000000001</v>
      </c>
      <c r="E261"/>
      <c r="F261" s="245">
        <v>43337</v>
      </c>
    </row>
    <row r="262" spans="1:6">
      <c r="A262" t="s">
        <v>1452</v>
      </c>
      <c r="B262" t="s">
        <v>3576</v>
      </c>
      <c r="D262" s="252">
        <v>1.9169</v>
      </c>
      <c r="E262"/>
      <c r="F262" s="245">
        <v>43334</v>
      </c>
    </row>
    <row r="263" spans="1:6">
      <c r="A263" t="s">
        <v>2044</v>
      </c>
      <c r="B263" t="s">
        <v>3488</v>
      </c>
      <c r="D263" s="244">
        <v>1.1637</v>
      </c>
      <c r="E263"/>
      <c r="F263" s="245">
        <v>43010</v>
      </c>
    </row>
    <row r="264" spans="1:6">
      <c r="A264" t="s">
        <v>1990</v>
      </c>
      <c r="B264" t="s">
        <v>3610</v>
      </c>
      <c r="D264" s="252">
        <v>1.9540999999999999</v>
      </c>
      <c r="E264"/>
      <c r="F264" s="245">
        <v>43337</v>
      </c>
    </row>
    <row r="265" spans="1:6">
      <c r="A265" t="s">
        <v>1449</v>
      </c>
      <c r="B265" t="s">
        <v>3610</v>
      </c>
      <c r="D265" s="252">
        <v>1.8379000000000001</v>
      </c>
      <c r="E265"/>
      <c r="F265" s="245">
        <v>43337</v>
      </c>
    </row>
    <row r="266" spans="1:6">
      <c r="A266" t="s">
        <v>1989</v>
      </c>
      <c r="B266" t="s">
        <v>3436</v>
      </c>
      <c r="D266">
        <v>1.4991000000000001</v>
      </c>
      <c r="E266" s="251"/>
      <c r="F266" s="245">
        <v>43007</v>
      </c>
    </row>
    <row r="267" spans="1:6">
      <c r="A267" t="s">
        <v>1438</v>
      </c>
      <c r="B267" t="s">
        <v>3443</v>
      </c>
      <c r="D267">
        <v>0.83</v>
      </c>
      <c r="E267" s="251"/>
      <c r="F267" s="245">
        <v>43009</v>
      </c>
    </row>
    <row r="268" spans="1:6">
      <c r="A268" t="s">
        <v>1433</v>
      </c>
      <c r="B268" t="s">
        <v>3474</v>
      </c>
      <c r="D268" s="244">
        <v>1.3632</v>
      </c>
      <c r="E268"/>
      <c r="F268" s="245">
        <v>43010</v>
      </c>
    </row>
    <row r="269" spans="1:6">
      <c r="A269" t="s">
        <v>1988</v>
      </c>
      <c r="B269" t="s">
        <v>3477</v>
      </c>
      <c r="D269" s="244">
        <v>1.0947</v>
      </c>
      <c r="E269"/>
      <c r="F269" s="245">
        <v>43010</v>
      </c>
    </row>
    <row r="270" spans="1:6">
      <c r="A270" t="s">
        <v>1426</v>
      </c>
      <c r="B270" t="s">
        <v>3444</v>
      </c>
      <c r="D270">
        <v>0.94779999999999998</v>
      </c>
      <c r="E270" s="251"/>
      <c r="F270" s="245">
        <v>43009</v>
      </c>
    </row>
    <row r="271" spans="1:6">
      <c r="A271" t="s">
        <v>1425</v>
      </c>
      <c r="B271" t="s">
        <v>3565</v>
      </c>
      <c r="D271" s="252">
        <v>1.8379000000000001</v>
      </c>
      <c r="E271" t="s">
        <v>3554</v>
      </c>
      <c r="F271" s="245">
        <v>43333</v>
      </c>
    </row>
    <row r="272" spans="1:6">
      <c r="A272" t="s">
        <v>1421</v>
      </c>
      <c r="B272" t="s">
        <v>3570</v>
      </c>
      <c r="D272" s="252">
        <v>1.8411</v>
      </c>
      <c r="E272"/>
      <c r="F272" s="245">
        <v>43334</v>
      </c>
    </row>
    <row r="273" spans="1:6">
      <c r="A273" t="s">
        <v>1987</v>
      </c>
      <c r="B273" t="s">
        <v>3614</v>
      </c>
      <c r="D273" s="252">
        <v>1.8152999999999999</v>
      </c>
      <c r="E273"/>
      <c r="F273" s="245">
        <v>43337</v>
      </c>
    </row>
    <row r="274" spans="1:6">
      <c r="A274" t="s">
        <v>1420</v>
      </c>
      <c r="B274" t="s">
        <v>3419</v>
      </c>
      <c r="D274">
        <v>1.8631</v>
      </c>
      <c r="E274" s="251"/>
      <c r="F274" s="245">
        <v>43007</v>
      </c>
    </row>
    <row r="275" spans="1:6">
      <c r="A275" t="s">
        <v>1986</v>
      </c>
      <c r="B275" t="s">
        <v>3415</v>
      </c>
      <c r="D275">
        <v>0.83650000000000002</v>
      </c>
      <c r="E275" s="251"/>
      <c r="F275" s="245">
        <v>43008</v>
      </c>
    </row>
    <row r="276" spans="1:6">
      <c r="A276" t="s">
        <v>1404</v>
      </c>
      <c r="B276" t="s">
        <v>3555</v>
      </c>
      <c r="D276" s="252">
        <v>1.9007000000000001</v>
      </c>
      <c r="E276" t="s">
        <v>2111</v>
      </c>
      <c r="F276" s="245">
        <v>43333</v>
      </c>
    </row>
    <row r="277" spans="1:6">
      <c r="A277" t="s">
        <v>1985</v>
      </c>
      <c r="B277" t="s">
        <v>3480</v>
      </c>
      <c r="D277" s="244">
        <v>1.0561</v>
      </c>
      <c r="E277"/>
      <c r="F277" s="245">
        <v>43010</v>
      </c>
    </row>
    <row r="278" spans="1:6">
      <c r="A278" t="s">
        <v>1400</v>
      </c>
      <c r="B278" t="s">
        <v>3591</v>
      </c>
      <c r="D278" s="252">
        <v>0.86890000000000001</v>
      </c>
      <c r="E278"/>
      <c r="F278" s="245">
        <v>43334</v>
      </c>
    </row>
    <row r="279" spans="1:6">
      <c r="A279" t="s">
        <v>1391</v>
      </c>
      <c r="B279" t="s">
        <v>3568</v>
      </c>
      <c r="D279" s="252">
        <v>1.8913</v>
      </c>
      <c r="E279" t="s">
        <v>2115</v>
      </c>
      <c r="F279" s="245">
        <v>43334</v>
      </c>
    </row>
    <row r="280" spans="1:6">
      <c r="A280" t="s">
        <v>1984</v>
      </c>
      <c r="B280" t="s">
        <v>3558</v>
      </c>
      <c r="D280" s="252">
        <v>3.3298000000000001</v>
      </c>
      <c r="E280" t="s">
        <v>3560</v>
      </c>
      <c r="F280" s="245">
        <v>43333</v>
      </c>
    </row>
    <row r="281" spans="1:6">
      <c r="A281" t="s">
        <v>1387</v>
      </c>
      <c r="B281" t="s">
        <v>3434</v>
      </c>
      <c r="D281">
        <v>1.6718</v>
      </c>
      <c r="E281" s="251"/>
      <c r="F281" s="245">
        <v>43007</v>
      </c>
    </row>
    <row r="282" spans="1:6">
      <c r="A282" t="s">
        <v>1983</v>
      </c>
      <c r="B282" t="s">
        <v>3412</v>
      </c>
      <c r="D282">
        <v>0.77739999999999998</v>
      </c>
      <c r="E282" s="251"/>
      <c r="F282" s="245">
        <v>43008</v>
      </c>
    </row>
    <row r="283" spans="1:6">
      <c r="A283" t="s">
        <v>1379</v>
      </c>
      <c r="B283" t="s">
        <v>3406</v>
      </c>
      <c r="D283">
        <v>0.68540000000000001</v>
      </c>
      <c r="E283" s="251"/>
      <c r="F283" s="245">
        <v>43008</v>
      </c>
    </row>
    <row r="284" spans="1:6">
      <c r="A284" t="s">
        <v>1378</v>
      </c>
      <c r="B284" t="s">
        <v>3393</v>
      </c>
      <c r="D284">
        <v>0.75690000000000002</v>
      </c>
      <c r="E284" s="251"/>
      <c r="F284" s="244"/>
    </row>
    <row r="285" spans="1:6">
      <c r="A285" t="s">
        <v>1982</v>
      </c>
      <c r="B285">
        <v>212</v>
      </c>
      <c r="C285" t="s">
        <v>2490</v>
      </c>
      <c r="D285">
        <v>0.71</v>
      </c>
      <c r="E285" s="221" t="s">
        <v>2495</v>
      </c>
      <c r="F285" s="16">
        <v>43208</v>
      </c>
    </row>
    <row r="286" spans="1:6">
      <c r="A286" t="s">
        <v>2043</v>
      </c>
      <c r="B286" t="s">
        <v>3418</v>
      </c>
      <c r="D286">
        <v>0.82040000000000002</v>
      </c>
      <c r="E286" s="251"/>
      <c r="F286" s="245">
        <v>43009</v>
      </c>
    </row>
    <row r="287" spans="1:6">
      <c r="A287" t="s">
        <v>1345</v>
      </c>
      <c r="B287" t="s">
        <v>3622</v>
      </c>
      <c r="D287" s="252">
        <v>1.8152999999999999</v>
      </c>
      <c r="E287"/>
      <c r="F287" s="245">
        <v>43338</v>
      </c>
    </row>
    <row r="288" spans="1:6">
      <c r="A288" t="s">
        <v>1336</v>
      </c>
      <c r="B288" t="s">
        <v>3625</v>
      </c>
      <c r="D288" s="252">
        <v>1.8528</v>
      </c>
      <c r="E288"/>
      <c r="F288" s="245">
        <v>43338</v>
      </c>
    </row>
    <row r="289" spans="1:6">
      <c r="A289" t="s">
        <v>1333</v>
      </c>
      <c r="B289" t="s">
        <v>3604</v>
      </c>
      <c r="D289" s="252">
        <v>1.8165</v>
      </c>
      <c r="E289"/>
      <c r="F289" s="245">
        <v>43337</v>
      </c>
    </row>
    <row r="290" spans="1:6">
      <c r="A290" t="s">
        <v>1331</v>
      </c>
      <c r="B290" t="s">
        <v>3443</v>
      </c>
      <c r="D290">
        <v>0.80269999999999997</v>
      </c>
      <c r="E290" s="251"/>
      <c r="F290" s="245">
        <v>43009</v>
      </c>
    </row>
    <row r="291" spans="1:6">
      <c r="A291" t="s">
        <v>1978</v>
      </c>
      <c r="B291" t="s">
        <v>3482</v>
      </c>
      <c r="D291" s="244">
        <v>1.7161999999999999</v>
      </c>
      <c r="E291"/>
      <c r="F291" s="245">
        <v>43010</v>
      </c>
    </row>
    <row r="292" spans="1:6">
      <c r="A292" t="s">
        <v>1328</v>
      </c>
      <c r="B292" t="s">
        <v>3438</v>
      </c>
      <c r="D292">
        <v>0.86109999999999998</v>
      </c>
      <c r="E292" s="251"/>
      <c r="F292" s="245">
        <v>43009</v>
      </c>
    </row>
    <row r="293" spans="1:6">
      <c r="A293" t="s">
        <v>1315</v>
      </c>
      <c r="B293" t="s">
        <v>3557</v>
      </c>
      <c r="D293" s="252">
        <v>1.9036</v>
      </c>
      <c r="E293"/>
      <c r="F293" s="245">
        <v>43333</v>
      </c>
    </row>
    <row r="294" spans="1:6">
      <c r="A294" t="s">
        <v>1300</v>
      </c>
      <c r="B294" t="s">
        <v>3459</v>
      </c>
      <c r="D294">
        <v>1.3833</v>
      </c>
      <c r="E294" s="251"/>
      <c r="F294" s="245">
        <v>43007</v>
      </c>
    </row>
    <row r="295" spans="1:6">
      <c r="A295" t="s">
        <v>1293</v>
      </c>
      <c r="B295" t="s">
        <v>3598</v>
      </c>
      <c r="D295" s="252">
        <v>0.92230000000000001</v>
      </c>
      <c r="E295"/>
      <c r="F295" s="245">
        <v>43334</v>
      </c>
    </row>
    <row r="296" spans="1:6">
      <c r="A296" t="s">
        <v>1291</v>
      </c>
      <c r="B296" t="s">
        <v>3602</v>
      </c>
      <c r="D296" s="252">
        <v>1.8980999999999999</v>
      </c>
      <c r="E296"/>
      <c r="F296" s="245">
        <v>43337</v>
      </c>
    </row>
    <row r="297" spans="1:6">
      <c r="A297" t="s">
        <v>1974</v>
      </c>
      <c r="B297" t="s">
        <v>3466</v>
      </c>
      <c r="D297">
        <v>1.2876000000000001</v>
      </c>
      <c r="E297" s="251"/>
      <c r="F297" s="245">
        <v>43010</v>
      </c>
    </row>
    <row r="298" spans="1:6">
      <c r="A298" t="s">
        <v>1284</v>
      </c>
      <c r="B298" t="s">
        <v>3620</v>
      </c>
      <c r="D298" s="252">
        <v>1.8654999999999999</v>
      </c>
      <c r="E298"/>
      <c r="F298" s="245">
        <v>43338</v>
      </c>
    </row>
    <row r="299" spans="1:6">
      <c r="A299" t="s">
        <v>1283</v>
      </c>
      <c r="B299" t="s">
        <v>2228</v>
      </c>
      <c r="D299" s="252">
        <v>1.4665999999999999</v>
      </c>
      <c r="E299"/>
      <c r="F299" s="245">
        <v>43334</v>
      </c>
    </row>
    <row r="300" spans="1:6">
      <c r="A300" t="s">
        <v>1973</v>
      </c>
      <c r="B300" t="s">
        <v>3403</v>
      </c>
      <c r="D300">
        <v>0.94330000000000003</v>
      </c>
      <c r="E300" s="251"/>
      <c r="F300" s="245">
        <v>43008</v>
      </c>
    </row>
    <row r="301" spans="1:6">
      <c r="A301" t="s">
        <v>1279</v>
      </c>
      <c r="B301">
        <v>214</v>
      </c>
      <c r="C301" t="s">
        <v>2490</v>
      </c>
      <c r="D301">
        <v>0.65300000000000002</v>
      </c>
      <c r="E301" s="221" t="s">
        <v>2494</v>
      </c>
      <c r="F301" s="16">
        <v>43208</v>
      </c>
    </row>
    <row r="302" spans="1:6">
      <c r="A302" t="s">
        <v>1274</v>
      </c>
      <c r="B302" t="s">
        <v>3462</v>
      </c>
      <c r="D302">
        <v>1.8093999999999999</v>
      </c>
      <c r="E302" s="251"/>
      <c r="F302" s="245">
        <v>43007</v>
      </c>
    </row>
    <row r="303" spans="1:6">
      <c r="A303" t="s">
        <v>1972</v>
      </c>
      <c r="B303" t="s">
        <v>3408</v>
      </c>
      <c r="D303">
        <v>0.871</v>
      </c>
      <c r="E303" s="251"/>
      <c r="F303" s="245">
        <v>43009</v>
      </c>
    </row>
    <row r="304" spans="1:6">
      <c r="A304" t="s">
        <v>1270</v>
      </c>
      <c r="B304">
        <v>198</v>
      </c>
      <c r="C304" t="s">
        <v>2490</v>
      </c>
      <c r="D304">
        <v>0.69899999999999995</v>
      </c>
      <c r="E304" s="221" t="s">
        <v>2448</v>
      </c>
      <c r="F304" s="16">
        <v>43208</v>
      </c>
    </row>
    <row r="305" spans="1:6">
      <c r="A305" t="s">
        <v>1971</v>
      </c>
      <c r="B305" t="s">
        <v>3427</v>
      </c>
      <c r="D305">
        <v>1.8559000000000001</v>
      </c>
      <c r="E305" s="251"/>
      <c r="F305" s="245">
        <v>43007</v>
      </c>
    </row>
    <row r="306" spans="1:6">
      <c r="A306" t="s">
        <v>1258</v>
      </c>
      <c r="B306" t="s">
        <v>3440</v>
      </c>
      <c r="D306">
        <v>0.87409999999999999</v>
      </c>
      <c r="E306" s="251"/>
      <c r="F306" s="245">
        <v>43008</v>
      </c>
    </row>
    <row r="307" spans="1:6">
      <c r="A307" t="s">
        <v>2042</v>
      </c>
      <c r="B307" t="s">
        <v>3459</v>
      </c>
      <c r="D307">
        <v>1.4722999999999999</v>
      </c>
      <c r="E307" s="251"/>
      <c r="F307" s="245">
        <v>43007</v>
      </c>
    </row>
    <row r="308" spans="1:6">
      <c r="A308" t="s">
        <v>1970</v>
      </c>
      <c r="B308" t="s">
        <v>3406</v>
      </c>
      <c r="D308">
        <v>0.72970000000000002</v>
      </c>
      <c r="E308" s="251"/>
      <c r="F308" s="245">
        <v>43008</v>
      </c>
    </row>
    <row r="309" spans="1:6">
      <c r="A309" t="s">
        <v>1227</v>
      </c>
      <c r="B309" t="s">
        <v>3561</v>
      </c>
      <c r="D309" s="252">
        <v>1.8245</v>
      </c>
      <c r="E309" t="s">
        <v>2121</v>
      </c>
      <c r="F309" s="245">
        <v>43333</v>
      </c>
    </row>
    <row r="310" spans="1:6">
      <c r="A310" t="s">
        <v>1967</v>
      </c>
      <c r="B310" t="s">
        <v>3492</v>
      </c>
      <c r="D310" s="244">
        <v>0.81779999999999997</v>
      </c>
      <c r="E310"/>
      <c r="F310" s="245">
        <v>43008</v>
      </c>
    </row>
    <row r="311" spans="1:6">
      <c r="A311" t="s">
        <v>1966</v>
      </c>
      <c r="B311" t="s">
        <v>3621</v>
      </c>
      <c r="D311" s="252">
        <v>1.9314</v>
      </c>
      <c r="E311" t="s">
        <v>2111</v>
      </c>
      <c r="F311" s="245">
        <v>43338</v>
      </c>
    </row>
    <row r="312" spans="1:6">
      <c r="A312" t="s">
        <v>1206</v>
      </c>
      <c r="B312" t="s">
        <v>3626</v>
      </c>
      <c r="D312" s="252">
        <v>1.7751999999999999</v>
      </c>
      <c r="E312"/>
      <c r="F312" s="245">
        <v>43338</v>
      </c>
    </row>
    <row r="313" spans="1:6">
      <c r="A313" t="s">
        <v>1202</v>
      </c>
      <c r="B313" t="s">
        <v>3547</v>
      </c>
      <c r="D313" s="252">
        <v>1.8361000000000001</v>
      </c>
      <c r="E313"/>
      <c r="F313" s="245">
        <v>43333</v>
      </c>
    </row>
    <row r="314" spans="1:6">
      <c r="A314" t="s">
        <v>1965</v>
      </c>
      <c r="B314" t="s">
        <v>3398</v>
      </c>
      <c r="D314">
        <v>0.84360000000000002</v>
      </c>
      <c r="E314" s="251"/>
      <c r="F314" s="245">
        <v>43009</v>
      </c>
    </row>
    <row r="315" spans="1:6">
      <c r="A315" t="s">
        <v>1199</v>
      </c>
      <c r="B315" t="s">
        <v>3575</v>
      </c>
      <c r="D315" s="252">
        <v>1.8367</v>
      </c>
      <c r="E315"/>
      <c r="F315" s="245">
        <v>43334</v>
      </c>
    </row>
    <row r="316" spans="1:6">
      <c r="A316" t="s">
        <v>1196</v>
      </c>
      <c r="B316" t="s">
        <v>3601</v>
      </c>
      <c r="D316" s="252">
        <v>1.8062</v>
      </c>
      <c r="E316" t="s">
        <v>2115</v>
      </c>
      <c r="F316" s="245">
        <v>43337</v>
      </c>
    </row>
    <row r="317" spans="1:6">
      <c r="A317" t="s">
        <v>1195</v>
      </c>
      <c r="B317" t="s">
        <v>3624</v>
      </c>
      <c r="D317" s="252">
        <v>1.7664</v>
      </c>
      <c r="E317"/>
      <c r="F317" s="245">
        <v>43338</v>
      </c>
    </row>
    <row r="318" spans="1:6">
      <c r="A318" t="s">
        <v>1964</v>
      </c>
      <c r="B318" t="s">
        <v>3562</v>
      </c>
      <c r="D318" s="252">
        <v>1.8914</v>
      </c>
      <c r="E318" t="s">
        <v>3563</v>
      </c>
      <c r="F318" s="245">
        <v>43333</v>
      </c>
    </row>
    <row r="319" spans="1:6">
      <c r="A319" t="s">
        <v>1188</v>
      </c>
      <c r="B319" t="s">
        <v>3603</v>
      </c>
      <c r="D319" s="252">
        <v>1.8160000000000001</v>
      </c>
      <c r="E319"/>
      <c r="F319" s="245">
        <v>43337</v>
      </c>
    </row>
    <row r="320" spans="1:6">
      <c r="A320" t="s">
        <v>1184</v>
      </c>
      <c r="B320" t="s">
        <v>3623</v>
      </c>
      <c r="D320" s="252">
        <v>1.8541000000000001</v>
      </c>
      <c r="E320"/>
      <c r="F320" s="245">
        <v>43338</v>
      </c>
    </row>
    <row r="321" spans="1:6">
      <c r="A321" t="s">
        <v>1182</v>
      </c>
      <c r="B321" t="s">
        <v>3410</v>
      </c>
      <c r="D321">
        <v>0.71699999999999997</v>
      </c>
      <c r="E321" s="251"/>
      <c r="F321" s="245">
        <v>43008</v>
      </c>
    </row>
    <row r="322" spans="1:6">
      <c r="A322" t="s">
        <v>1180</v>
      </c>
      <c r="B322" t="s">
        <v>3458</v>
      </c>
      <c r="D322">
        <v>0.75219999999999998</v>
      </c>
      <c r="E322" s="251"/>
      <c r="F322" s="245">
        <v>43009</v>
      </c>
    </row>
    <row r="323" spans="1:6">
      <c r="A323" t="s">
        <v>1178</v>
      </c>
      <c r="B323" t="s">
        <v>3606</v>
      </c>
      <c r="D323" s="252">
        <v>1.8389</v>
      </c>
      <c r="E323"/>
      <c r="F323" s="245">
        <v>43337</v>
      </c>
    </row>
    <row r="324" spans="1:6">
      <c r="A324" t="s">
        <v>1177</v>
      </c>
      <c r="B324" t="s">
        <v>3589</v>
      </c>
      <c r="D324" s="252">
        <v>0.68469999999999998</v>
      </c>
      <c r="E324"/>
      <c r="F324" s="245">
        <v>43334</v>
      </c>
    </row>
    <row r="325" spans="1:6">
      <c r="A325" t="s">
        <v>1176</v>
      </c>
      <c r="B325" t="s">
        <v>3460</v>
      </c>
      <c r="D325">
        <v>1.361</v>
      </c>
      <c r="E325" s="251"/>
      <c r="F325" s="245">
        <v>43007</v>
      </c>
    </row>
    <row r="326" spans="1:6">
      <c r="A326" t="s">
        <v>1171</v>
      </c>
      <c r="B326" t="s">
        <v>3609</v>
      </c>
      <c r="D326" s="252">
        <v>1.8814</v>
      </c>
      <c r="E326" t="s">
        <v>2115</v>
      </c>
      <c r="F326" s="245">
        <v>43337</v>
      </c>
    </row>
    <row r="327" spans="1:6">
      <c r="A327" t="s">
        <v>1962</v>
      </c>
      <c r="B327" t="s">
        <v>3555</v>
      </c>
      <c r="D327" s="252">
        <v>1.9495</v>
      </c>
      <c r="E327" t="s">
        <v>3556</v>
      </c>
      <c r="F327" s="245">
        <v>43333</v>
      </c>
    </row>
    <row r="328" spans="1:6">
      <c r="A328" t="s">
        <v>1960</v>
      </c>
      <c r="B328">
        <v>194</v>
      </c>
      <c r="C328" t="s">
        <v>2490</v>
      </c>
      <c r="D328">
        <v>0.74199999999999999</v>
      </c>
      <c r="E328" s="221" t="s">
        <v>2491</v>
      </c>
      <c r="F328" s="16">
        <v>43208</v>
      </c>
    </row>
    <row r="329" spans="1:6">
      <c r="A329" t="s">
        <v>1959</v>
      </c>
      <c r="B329" t="s">
        <v>3567</v>
      </c>
      <c r="D329" s="252">
        <v>1.8609</v>
      </c>
      <c r="E329"/>
      <c r="F329" s="245">
        <v>43334</v>
      </c>
    </row>
    <row r="330" spans="1:6">
      <c r="A330" t="s">
        <v>1958</v>
      </c>
      <c r="B330" t="s">
        <v>3387</v>
      </c>
      <c r="D330">
        <v>0.73619999999999997</v>
      </c>
      <c r="E330" s="251"/>
      <c r="F330" s="244"/>
    </row>
    <row r="331" spans="1:6">
      <c r="A331" t="s">
        <v>1957</v>
      </c>
      <c r="B331">
        <v>210</v>
      </c>
      <c r="C331" t="s">
        <v>2490</v>
      </c>
      <c r="D331">
        <v>0.80600000000000005</v>
      </c>
      <c r="E331" s="221" t="s">
        <v>2448</v>
      </c>
      <c r="F331" s="16">
        <v>43208</v>
      </c>
    </row>
    <row r="332" spans="1:6">
      <c r="A332" t="s">
        <v>1956</v>
      </c>
      <c r="B332" t="s">
        <v>3387</v>
      </c>
      <c r="D332">
        <v>0.76</v>
      </c>
      <c r="E332" s="251" t="s">
        <v>2132</v>
      </c>
      <c r="F332" s="244"/>
    </row>
    <row r="333" spans="1:6">
      <c r="A333" t="s">
        <v>1955</v>
      </c>
      <c r="B333">
        <v>216</v>
      </c>
      <c r="C333" t="s">
        <v>2490</v>
      </c>
      <c r="D333">
        <v>0.80600000000000005</v>
      </c>
      <c r="E333" s="221" t="s">
        <v>2448</v>
      </c>
      <c r="F333" s="16">
        <v>43208</v>
      </c>
    </row>
    <row r="334" spans="1:6">
      <c r="A334" t="s">
        <v>1954</v>
      </c>
      <c r="B334" t="s">
        <v>3584</v>
      </c>
      <c r="D334" s="252">
        <v>0.77790000000000004</v>
      </c>
      <c r="E334"/>
      <c r="F334" s="245">
        <v>43334</v>
      </c>
    </row>
    <row r="335" spans="1:6">
      <c r="A335" t="s">
        <v>1953</v>
      </c>
      <c r="B335" t="s">
        <v>3617</v>
      </c>
      <c r="D335" s="252">
        <v>1.7647999999999999</v>
      </c>
      <c r="E335" t="s">
        <v>3618</v>
      </c>
      <c r="F335" s="245">
        <v>43338</v>
      </c>
    </row>
    <row r="336" spans="1:6">
      <c r="A336" t="s">
        <v>1951</v>
      </c>
      <c r="B336" t="s">
        <v>3606</v>
      </c>
      <c r="D336" s="252">
        <v>1.9186000000000001</v>
      </c>
      <c r="E336" t="s">
        <v>3607</v>
      </c>
      <c r="F336" s="245">
        <v>43337</v>
      </c>
    </row>
    <row r="337" spans="1:6">
      <c r="A337" t="s">
        <v>1035</v>
      </c>
      <c r="B337" t="s">
        <v>3606</v>
      </c>
      <c r="D337" s="252">
        <v>2.0352999999999999</v>
      </c>
      <c r="E337"/>
      <c r="F337" s="245">
        <v>43337</v>
      </c>
    </row>
    <row r="338" spans="1:6">
      <c r="A338" t="s">
        <v>1033</v>
      </c>
      <c r="B338" t="s">
        <v>3604</v>
      </c>
      <c r="D338" s="252">
        <v>1.9638</v>
      </c>
      <c r="E338"/>
      <c r="F338" s="245">
        <v>43337</v>
      </c>
    </row>
    <row r="339" spans="1:6">
      <c r="A339" t="s">
        <v>1025</v>
      </c>
      <c r="B339" t="s">
        <v>3458</v>
      </c>
      <c r="D339">
        <v>2.0322</v>
      </c>
      <c r="E339" s="251"/>
      <c r="F339" s="245">
        <v>43009</v>
      </c>
    </row>
    <row r="340" spans="1:6">
      <c r="A340" t="s">
        <v>1023</v>
      </c>
      <c r="B340" t="s">
        <v>3480</v>
      </c>
      <c r="D340" s="244">
        <v>0.79290000000000005</v>
      </c>
      <c r="E340"/>
      <c r="F340" s="245">
        <v>43010</v>
      </c>
    </row>
    <row r="341" spans="1:6">
      <c r="A341" t="s">
        <v>1014</v>
      </c>
      <c r="B341" t="s">
        <v>3398</v>
      </c>
      <c r="D341">
        <v>1.7946</v>
      </c>
      <c r="E341" s="251"/>
      <c r="F341" s="245">
        <v>43009</v>
      </c>
    </row>
    <row r="342" spans="1:6">
      <c r="A342" t="s">
        <v>1128</v>
      </c>
      <c r="B342" t="s">
        <v>3586</v>
      </c>
      <c r="D342" s="252">
        <v>0.68400000000000005</v>
      </c>
      <c r="E342" t="s">
        <v>3587</v>
      </c>
      <c r="F342" s="245">
        <v>43334</v>
      </c>
    </row>
    <row r="343" spans="1:6">
      <c r="A343" t="s">
        <v>1010</v>
      </c>
      <c r="B343">
        <v>197</v>
      </c>
      <c r="C343" t="s">
        <v>2490</v>
      </c>
      <c r="D343">
        <v>1.577</v>
      </c>
      <c r="E343" s="221" t="s">
        <v>2447</v>
      </c>
      <c r="F343" s="16">
        <v>43208</v>
      </c>
    </row>
    <row r="344" spans="1:6">
      <c r="A344" t="s">
        <v>1001</v>
      </c>
      <c r="B344" t="s">
        <v>3602</v>
      </c>
      <c r="D344" s="252">
        <v>1.9561999999999999</v>
      </c>
      <c r="E344"/>
      <c r="F344" s="245">
        <v>43337</v>
      </c>
    </row>
    <row r="345" spans="1:6">
      <c r="A345" t="s">
        <v>979</v>
      </c>
      <c r="B345" t="s">
        <v>3436</v>
      </c>
      <c r="D345">
        <v>1.964</v>
      </c>
      <c r="E345" s="251"/>
      <c r="F345" s="245">
        <v>43007</v>
      </c>
    </row>
    <row r="346" spans="1:6">
      <c r="A346" t="s">
        <v>978</v>
      </c>
      <c r="B346" t="s">
        <v>3427</v>
      </c>
      <c r="D346">
        <v>1.9955000000000001</v>
      </c>
      <c r="E346" s="251"/>
      <c r="F346" s="245">
        <v>43007</v>
      </c>
    </row>
    <row r="347" spans="1:6">
      <c r="A347" t="s">
        <v>971</v>
      </c>
      <c r="B347" t="s">
        <v>3458</v>
      </c>
      <c r="D347">
        <v>1.7410000000000001</v>
      </c>
      <c r="E347" s="251"/>
      <c r="F347" s="245">
        <v>43009</v>
      </c>
    </row>
    <row r="348" spans="1:6">
      <c r="A348" t="s">
        <v>968</v>
      </c>
      <c r="B348" t="s">
        <v>3492</v>
      </c>
      <c r="D348" s="244">
        <v>1.5261</v>
      </c>
      <c r="E348" t="s">
        <v>3445</v>
      </c>
      <c r="F348" s="245">
        <v>43008</v>
      </c>
    </row>
    <row r="349" spans="1:6">
      <c r="A349" t="s">
        <v>967</v>
      </c>
      <c r="B349" t="s">
        <v>3620</v>
      </c>
      <c r="D349" s="252">
        <v>1.9946999999999999</v>
      </c>
      <c r="E349"/>
      <c r="F349" s="245">
        <v>43338</v>
      </c>
    </row>
    <row r="350" spans="1:6">
      <c r="A350" t="s">
        <v>966</v>
      </c>
      <c r="B350" t="s">
        <v>3443</v>
      </c>
      <c r="D350">
        <v>1.8721000000000001</v>
      </c>
      <c r="E350" s="251"/>
      <c r="F350" s="245">
        <v>43009</v>
      </c>
    </row>
    <row r="351" spans="1:6">
      <c r="A351" t="s">
        <v>963</v>
      </c>
      <c r="B351" t="s">
        <v>3392</v>
      </c>
      <c r="D351">
        <v>1.8229</v>
      </c>
      <c r="E351" s="251"/>
      <c r="F351" s="244"/>
    </row>
    <row r="352" spans="1:6">
      <c r="A352" t="s">
        <v>962</v>
      </c>
      <c r="B352" t="s">
        <v>3441</v>
      </c>
      <c r="D352">
        <v>1.7174</v>
      </c>
      <c r="E352" s="251"/>
      <c r="F352" s="245">
        <v>43009</v>
      </c>
    </row>
    <row r="353" spans="1:6">
      <c r="A353" t="s">
        <v>1123</v>
      </c>
      <c r="B353" t="s">
        <v>3454</v>
      </c>
      <c r="E353" s="251" t="s">
        <v>3447</v>
      </c>
      <c r="F353" s="245">
        <v>43009</v>
      </c>
    </row>
    <row r="354" spans="1:6">
      <c r="A354" t="s">
        <v>961</v>
      </c>
      <c r="B354" t="s">
        <v>3598</v>
      </c>
      <c r="D354" s="252">
        <v>1.595</v>
      </c>
      <c r="E354"/>
      <c r="F354" s="245">
        <v>43334</v>
      </c>
    </row>
    <row r="355" spans="1:6">
      <c r="A355" t="s">
        <v>957</v>
      </c>
      <c r="B355" t="s">
        <v>3412</v>
      </c>
      <c r="D355">
        <v>1.7850999999999999</v>
      </c>
      <c r="E355" s="251"/>
      <c r="F355" s="245">
        <v>43008</v>
      </c>
    </row>
    <row r="356" spans="1:6">
      <c r="A356" t="s">
        <v>953</v>
      </c>
      <c r="B356" t="s">
        <v>3405</v>
      </c>
      <c r="D356">
        <v>1.7876000000000001</v>
      </c>
      <c r="E356" s="251"/>
      <c r="F356" s="245">
        <v>43008</v>
      </c>
    </row>
    <row r="357" spans="1:6">
      <c r="A357" t="s">
        <v>950</v>
      </c>
      <c r="B357" t="s">
        <v>3625</v>
      </c>
      <c r="D357" s="252">
        <v>1.9675</v>
      </c>
      <c r="E357"/>
      <c r="F357" s="245">
        <v>43338</v>
      </c>
    </row>
    <row r="358" spans="1:6">
      <c r="A358" t="s">
        <v>949</v>
      </c>
      <c r="B358" t="s">
        <v>3562</v>
      </c>
      <c r="D358" s="252">
        <v>1.9886999999999999</v>
      </c>
      <c r="E358"/>
      <c r="F358" s="245">
        <v>43333</v>
      </c>
    </row>
    <row r="359" spans="1:6">
      <c r="A359" t="s">
        <v>948</v>
      </c>
      <c r="B359" t="s">
        <v>3415</v>
      </c>
      <c r="D359">
        <v>1.7978000000000001</v>
      </c>
      <c r="E359" s="251"/>
      <c r="F359" s="245">
        <v>43008</v>
      </c>
    </row>
    <row r="360" spans="1:6">
      <c r="A360" t="s">
        <v>946</v>
      </c>
      <c r="B360" t="s">
        <v>3399</v>
      </c>
      <c r="D360">
        <v>1.6592</v>
      </c>
      <c r="E360" s="251"/>
      <c r="F360" s="245">
        <v>43008</v>
      </c>
    </row>
    <row r="361" spans="1:6">
      <c r="A361" t="s">
        <v>944</v>
      </c>
      <c r="B361" t="s">
        <v>3612</v>
      </c>
      <c r="D361" s="252">
        <v>1.9945999999999999</v>
      </c>
      <c r="E361" t="s">
        <v>2115</v>
      </c>
      <c r="F361" s="245">
        <v>43337</v>
      </c>
    </row>
    <row r="362" spans="1:6">
      <c r="A362" t="s">
        <v>943</v>
      </c>
      <c r="B362" t="s">
        <v>3399</v>
      </c>
      <c r="D362">
        <v>1.7765</v>
      </c>
      <c r="E362" s="251"/>
      <c r="F362" s="245">
        <v>43008</v>
      </c>
    </row>
    <row r="363" spans="1:6">
      <c r="A363" t="s">
        <v>940</v>
      </c>
      <c r="B363" t="s">
        <v>3614</v>
      </c>
      <c r="D363" s="252">
        <v>2.0015000000000001</v>
      </c>
      <c r="E363"/>
      <c r="F363" s="245">
        <v>43337</v>
      </c>
    </row>
    <row r="364" spans="1:6">
      <c r="A364" t="s">
        <v>938</v>
      </c>
      <c r="B364" t="s">
        <v>3627</v>
      </c>
      <c r="D364" s="252">
        <v>2.0466000000000002</v>
      </c>
      <c r="E364"/>
      <c r="F364" s="245">
        <v>43338</v>
      </c>
    </row>
    <row r="365" spans="1:6">
      <c r="A365" t="s">
        <v>937</v>
      </c>
      <c r="B365" t="s">
        <v>3432</v>
      </c>
      <c r="D365">
        <v>1.8874</v>
      </c>
      <c r="E365" s="251"/>
      <c r="F365" s="245">
        <v>43007</v>
      </c>
    </row>
    <row r="366" spans="1:6">
      <c r="A366" t="s">
        <v>936</v>
      </c>
      <c r="B366" t="s">
        <v>3385</v>
      </c>
      <c r="D366">
        <v>1.6595</v>
      </c>
      <c r="E366" s="251"/>
      <c r="F366" s="244"/>
    </row>
    <row r="367" spans="1:6">
      <c r="A367" t="s">
        <v>935</v>
      </c>
      <c r="B367" t="s">
        <v>3477</v>
      </c>
      <c r="D367" s="244">
        <v>1.9655</v>
      </c>
      <c r="E367"/>
      <c r="F367" s="245">
        <v>43010</v>
      </c>
    </row>
    <row r="368" spans="1:6">
      <c r="A368" t="s">
        <v>934</v>
      </c>
      <c r="B368" t="s">
        <v>3406</v>
      </c>
      <c r="D368">
        <v>1.6962999999999999</v>
      </c>
      <c r="E368" s="251"/>
      <c r="F368" s="245">
        <v>43008</v>
      </c>
    </row>
    <row r="369" spans="1:6">
      <c r="A369" t="s">
        <v>933</v>
      </c>
      <c r="B369" t="s">
        <v>3444</v>
      </c>
      <c r="D369">
        <v>1.8463000000000001</v>
      </c>
      <c r="E369" s="251"/>
      <c r="F369" s="245">
        <v>43009</v>
      </c>
    </row>
    <row r="370" spans="1:6">
      <c r="A370" t="s">
        <v>931</v>
      </c>
      <c r="B370" t="s">
        <v>3462</v>
      </c>
      <c r="D370">
        <v>2.0261</v>
      </c>
      <c r="E370" s="251"/>
      <c r="F370" s="245">
        <v>43007</v>
      </c>
    </row>
    <row r="371" spans="1:6">
      <c r="A371" t="s">
        <v>930</v>
      </c>
      <c r="B371" t="s">
        <v>3418</v>
      </c>
      <c r="D371">
        <v>1.7732000000000001</v>
      </c>
      <c r="E371" s="251"/>
      <c r="F371" s="245">
        <v>43009</v>
      </c>
    </row>
    <row r="372" spans="1:6">
      <c r="A372" t="s">
        <v>929</v>
      </c>
      <c r="B372" t="s">
        <v>3488</v>
      </c>
      <c r="D372" s="244">
        <v>1.9135</v>
      </c>
      <c r="E372"/>
      <c r="F372" s="245">
        <v>43010</v>
      </c>
    </row>
    <row r="373" spans="1:6">
      <c r="A373" t="s">
        <v>928</v>
      </c>
      <c r="B373" t="s">
        <v>3463</v>
      </c>
      <c r="D373">
        <v>1.7698</v>
      </c>
      <c r="E373" s="251"/>
      <c r="F373" s="245">
        <v>43007</v>
      </c>
    </row>
    <row r="374" spans="1:6">
      <c r="A374" t="s">
        <v>927</v>
      </c>
      <c r="B374" t="s">
        <v>3412</v>
      </c>
      <c r="D374">
        <v>1.7265999999999999</v>
      </c>
      <c r="E374" s="251"/>
      <c r="F374" s="245">
        <v>43008</v>
      </c>
    </row>
    <row r="375" spans="1:6">
      <c r="A375" t="s">
        <v>920</v>
      </c>
      <c r="B375" t="s">
        <v>3616</v>
      </c>
      <c r="D375" s="252">
        <v>1.8791</v>
      </c>
      <c r="E375" t="s">
        <v>2115</v>
      </c>
      <c r="F375" s="245">
        <v>43337</v>
      </c>
    </row>
    <row r="376" spans="1:6">
      <c r="A376" t="s">
        <v>918</v>
      </c>
      <c r="B376" t="s">
        <v>3403</v>
      </c>
      <c r="D376">
        <v>1.7884</v>
      </c>
      <c r="E376" s="251"/>
      <c r="F376" s="245">
        <v>43008</v>
      </c>
    </row>
    <row r="377" spans="1:6">
      <c r="A377" t="s">
        <v>917</v>
      </c>
      <c r="B377" t="s">
        <v>3383</v>
      </c>
      <c r="D377">
        <v>1.8384</v>
      </c>
      <c r="E377" s="251"/>
      <c r="F377" s="245"/>
    </row>
    <row r="378" spans="1:6">
      <c r="A378" t="s">
        <v>916</v>
      </c>
      <c r="B378" t="s">
        <v>3437</v>
      </c>
      <c r="D378">
        <v>1.9572000000000001</v>
      </c>
      <c r="E378" s="251"/>
      <c r="F378" s="245">
        <v>43007</v>
      </c>
    </row>
    <row r="379" spans="1:6">
      <c r="A379" t="s">
        <v>914</v>
      </c>
      <c r="B379" t="s">
        <v>3574</v>
      </c>
      <c r="D379" s="252">
        <v>2.0263</v>
      </c>
      <c r="E379"/>
      <c r="F379" s="245">
        <v>43334</v>
      </c>
    </row>
    <row r="380" spans="1:6">
      <c r="A380" t="s">
        <v>912</v>
      </c>
      <c r="B380" t="s">
        <v>3584</v>
      </c>
      <c r="D380" s="252">
        <v>1.5876999999999999</v>
      </c>
      <c r="E380" t="s">
        <v>2121</v>
      </c>
      <c r="F380" s="245">
        <v>43334</v>
      </c>
    </row>
    <row r="381" spans="1:6">
      <c r="A381" t="s">
        <v>911</v>
      </c>
      <c r="B381" t="s">
        <v>3420</v>
      </c>
      <c r="D381">
        <v>2.0360999999999998</v>
      </c>
      <c r="E381" s="251"/>
      <c r="F381" s="245">
        <v>43007</v>
      </c>
    </row>
    <row r="382" spans="1:6">
      <c r="A382" t="s">
        <v>910</v>
      </c>
      <c r="B382" t="s">
        <v>3605</v>
      </c>
      <c r="D382" s="252">
        <v>1.8747</v>
      </c>
      <c r="E382"/>
      <c r="F382" s="245">
        <v>43337</v>
      </c>
    </row>
    <row r="383" spans="1:6">
      <c r="A383" t="s">
        <v>908</v>
      </c>
      <c r="B383" t="s">
        <v>3626</v>
      </c>
      <c r="D383" s="252">
        <v>1.9479</v>
      </c>
      <c r="E383"/>
      <c r="F383" s="245">
        <v>43338</v>
      </c>
    </row>
    <row r="384" spans="1:6">
      <c r="A384" t="s">
        <v>905</v>
      </c>
      <c r="B384" t="s">
        <v>3391</v>
      </c>
      <c r="D384">
        <v>1.62</v>
      </c>
      <c r="E384" s="251"/>
      <c r="F384" s="244"/>
    </row>
    <row r="385" spans="1:6">
      <c r="A385" t="s">
        <v>904</v>
      </c>
      <c r="B385" t="s">
        <v>3621</v>
      </c>
      <c r="D385" s="252">
        <v>1.9715</v>
      </c>
      <c r="E385"/>
      <c r="F385" s="245">
        <v>43338</v>
      </c>
    </row>
    <row r="386" spans="1:6">
      <c r="A386" t="s">
        <v>903</v>
      </c>
      <c r="B386" t="s">
        <v>3470</v>
      </c>
      <c r="D386">
        <v>1.7898000000000001</v>
      </c>
      <c r="E386" s="251"/>
      <c r="F386" s="245">
        <v>43010</v>
      </c>
    </row>
    <row r="387" spans="1:6">
      <c r="A387" t="s">
        <v>902</v>
      </c>
      <c r="B387" t="s">
        <v>3382</v>
      </c>
      <c r="D387">
        <v>1.8743000000000001</v>
      </c>
      <c r="E387" s="251"/>
      <c r="F387" s="245">
        <v>43008</v>
      </c>
    </row>
    <row r="388" spans="1:6">
      <c r="A388" t="s">
        <v>901</v>
      </c>
      <c r="B388" t="s">
        <v>3394</v>
      </c>
      <c r="D388">
        <v>1.7597</v>
      </c>
      <c r="E388" s="251"/>
      <c r="F388" s="245">
        <v>43009</v>
      </c>
    </row>
    <row r="389" spans="1:6">
      <c r="A389" t="s">
        <v>899</v>
      </c>
      <c r="B389" t="s">
        <v>3576</v>
      </c>
      <c r="D389" s="252">
        <v>1.9262999999999999</v>
      </c>
      <c r="E389"/>
      <c r="F389" s="245">
        <v>43334</v>
      </c>
    </row>
    <row r="390" spans="1:6">
      <c r="A390" t="s">
        <v>898</v>
      </c>
      <c r="B390" t="s">
        <v>3468</v>
      </c>
      <c r="D390">
        <v>1.9182999999999999</v>
      </c>
      <c r="E390" s="251"/>
      <c r="F390" s="245">
        <v>43010</v>
      </c>
    </row>
    <row r="391" spans="1:6">
      <c r="A391" t="s">
        <v>896</v>
      </c>
      <c r="B391" t="s">
        <v>3467</v>
      </c>
      <c r="D391">
        <v>1.8418000000000001</v>
      </c>
      <c r="E391" s="251"/>
      <c r="F391" s="245">
        <v>43010</v>
      </c>
    </row>
    <row r="392" spans="1:6">
      <c r="A392" t="s">
        <v>895</v>
      </c>
      <c r="B392" t="s">
        <v>3392</v>
      </c>
      <c r="D392">
        <v>1.639</v>
      </c>
      <c r="E392" s="251"/>
      <c r="F392" s="244"/>
    </row>
    <row r="393" spans="1:6">
      <c r="A393" t="s">
        <v>894</v>
      </c>
      <c r="B393" t="s">
        <v>3591</v>
      </c>
      <c r="D393" s="252">
        <v>1.7551000000000001</v>
      </c>
      <c r="E393"/>
      <c r="F393" s="245">
        <v>43334</v>
      </c>
    </row>
    <row r="394" spans="1:6">
      <c r="A394" t="s">
        <v>892</v>
      </c>
      <c r="B394">
        <v>211</v>
      </c>
      <c r="C394" t="s">
        <v>2490</v>
      </c>
      <c r="D394">
        <v>1.1160000000000001</v>
      </c>
      <c r="E394" s="221" t="s">
        <v>2493</v>
      </c>
      <c r="F394" s="16">
        <v>43208</v>
      </c>
    </row>
    <row r="395" spans="1:6">
      <c r="A395" t="s">
        <v>887</v>
      </c>
      <c r="B395" t="s">
        <v>3393</v>
      </c>
      <c r="D395">
        <v>1.8010999999999999</v>
      </c>
      <c r="E395" s="251"/>
      <c r="F395" s="244"/>
    </row>
    <row r="396" spans="1:6">
      <c r="A396" t="s">
        <v>885</v>
      </c>
      <c r="B396" t="s">
        <v>3376</v>
      </c>
      <c r="D396">
        <v>1.5882000000000001</v>
      </c>
      <c r="E396" s="251"/>
      <c r="F396" s="244"/>
    </row>
    <row r="397" spans="1:6">
      <c r="A397" t="s">
        <v>884</v>
      </c>
      <c r="B397" t="s">
        <v>3552</v>
      </c>
      <c r="D397" s="252">
        <v>1.956</v>
      </c>
      <c r="E397" t="s">
        <v>2115</v>
      </c>
      <c r="F397" s="245">
        <v>43333</v>
      </c>
    </row>
    <row r="398" spans="1:6">
      <c r="A398" t="s">
        <v>881</v>
      </c>
      <c r="B398" t="s">
        <v>3565</v>
      </c>
      <c r="D398" s="252">
        <v>1.8734</v>
      </c>
      <c r="E398"/>
      <c r="F398" s="245">
        <v>43333</v>
      </c>
    </row>
    <row r="399" spans="1:6">
      <c r="A399" t="s">
        <v>880</v>
      </c>
      <c r="B399" t="s">
        <v>3581</v>
      </c>
      <c r="D399" s="252">
        <v>1.9642999999999999</v>
      </c>
      <c r="E399" t="s">
        <v>2115</v>
      </c>
      <c r="F399" s="245">
        <v>43334</v>
      </c>
    </row>
    <row r="400" spans="1:6">
      <c r="A400" t="s">
        <v>874</v>
      </c>
      <c r="B400" t="s">
        <v>3438</v>
      </c>
      <c r="D400">
        <v>1.7754000000000001</v>
      </c>
      <c r="E400" s="251"/>
      <c r="F400" s="245">
        <v>43009</v>
      </c>
    </row>
    <row r="401" spans="1:6">
      <c r="A401" t="s">
        <v>872</v>
      </c>
      <c r="B401" t="s">
        <v>3457</v>
      </c>
      <c r="D401">
        <v>1.8042</v>
      </c>
      <c r="E401" s="251"/>
      <c r="F401" s="245">
        <v>43009</v>
      </c>
    </row>
    <row r="402" spans="1:6">
      <c r="A402" t="s">
        <v>871</v>
      </c>
      <c r="B402" t="s">
        <v>3572</v>
      </c>
      <c r="D402" s="252">
        <v>1.9970000000000001</v>
      </c>
      <c r="E402"/>
      <c r="F402" s="245">
        <v>43334</v>
      </c>
    </row>
    <row r="403" spans="1:6">
      <c r="A403" t="s">
        <v>869</v>
      </c>
      <c r="B403" t="s">
        <v>3491</v>
      </c>
      <c r="D403" s="244">
        <v>1.6163000000000001</v>
      </c>
      <c r="E403"/>
      <c r="F403" s="245">
        <v>43008</v>
      </c>
    </row>
    <row r="404" spans="1:6">
      <c r="A404" t="s">
        <v>866</v>
      </c>
      <c r="B404" t="s">
        <v>3623</v>
      </c>
      <c r="D404" s="252">
        <v>1.9981</v>
      </c>
      <c r="E404"/>
      <c r="F404" s="245">
        <v>43338</v>
      </c>
    </row>
    <row r="405" spans="1:6">
      <c r="A405" t="s">
        <v>865</v>
      </c>
      <c r="B405" t="s">
        <v>3593</v>
      </c>
      <c r="D405" s="252">
        <v>1.4581</v>
      </c>
      <c r="E405" t="s">
        <v>3594</v>
      </c>
      <c r="F405" s="245">
        <v>43334</v>
      </c>
    </row>
    <row r="406" spans="1:6">
      <c r="A406" t="s">
        <v>864</v>
      </c>
      <c r="B406" t="s">
        <v>3567</v>
      </c>
      <c r="D406" s="252">
        <v>1.9473</v>
      </c>
      <c r="E406" t="s">
        <v>2115</v>
      </c>
      <c r="F406" s="245">
        <v>43334</v>
      </c>
    </row>
    <row r="407" spans="1:6">
      <c r="A407" t="s">
        <v>861</v>
      </c>
      <c r="B407" t="s">
        <v>3426</v>
      </c>
      <c r="D407">
        <v>1.9007000000000001</v>
      </c>
      <c r="E407" s="251"/>
      <c r="F407" s="245">
        <v>43007</v>
      </c>
    </row>
    <row r="408" spans="1:6">
      <c r="A408" t="s">
        <v>860</v>
      </c>
      <c r="B408" t="s">
        <v>3490</v>
      </c>
      <c r="D408" s="244">
        <v>1.7361</v>
      </c>
      <c r="E408"/>
      <c r="F408" s="245">
        <v>43008</v>
      </c>
    </row>
    <row r="409" spans="1:6">
      <c r="A409" t="s">
        <v>858</v>
      </c>
      <c r="B409" t="s">
        <v>3421</v>
      </c>
      <c r="D409">
        <v>1.9180999999999999</v>
      </c>
      <c r="E409" s="251"/>
      <c r="F409" s="245">
        <v>43007</v>
      </c>
    </row>
    <row r="410" spans="1:6">
      <c r="A410" t="s">
        <v>857</v>
      </c>
      <c r="B410" t="s">
        <v>3388</v>
      </c>
      <c r="D410">
        <v>1.6192</v>
      </c>
      <c r="E410" s="251"/>
      <c r="F410" s="244"/>
    </row>
    <row r="411" spans="1:6">
      <c r="A411" t="s">
        <v>849</v>
      </c>
      <c r="B411" t="s">
        <v>3586</v>
      </c>
      <c r="D411" s="252">
        <v>2.0505</v>
      </c>
      <c r="E411"/>
      <c r="F411" s="245">
        <v>43334</v>
      </c>
    </row>
    <row r="412" spans="1:6">
      <c r="A412" t="s">
        <v>847</v>
      </c>
      <c r="B412" t="s">
        <v>3581</v>
      </c>
      <c r="D412" s="252">
        <v>0.51</v>
      </c>
      <c r="E412" t="s">
        <v>3582</v>
      </c>
      <c r="F412" s="245">
        <v>43334</v>
      </c>
    </row>
    <row r="413" spans="1:6">
      <c r="A413" t="s">
        <v>846</v>
      </c>
      <c r="B413" t="s">
        <v>3400</v>
      </c>
      <c r="D413">
        <v>1.7096</v>
      </c>
      <c r="E413" s="251" t="s">
        <v>3390</v>
      </c>
      <c r="F413" s="245">
        <v>43008</v>
      </c>
    </row>
    <row r="414" spans="1:6">
      <c r="A414" t="s">
        <v>844</v>
      </c>
      <c r="B414" t="s">
        <v>3564</v>
      </c>
      <c r="D414" s="252">
        <v>1.9569000000000001</v>
      </c>
      <c r="E414"/>
      <c r="F414" s="245">
        <v>43333</v>
      </c>
    </row>
    <row r="415" spans="1:6">
      <c r="A415" t="s">
        <v>843</v>
      </c>
      <c r="B415" t="s">
        <v>3429</v>
      </c>
      <c r="D415">
        <v>1.9487000000000001</v>
      </c>
      <c r="E415" s="251" t="s">
        <v>3390</v>
      </c>
      <c r="F415" s="245">
        <v>43007</v>
      </c>
    </row>
    <row r="416" spans="1:6">
      <c r="A416" t="s">
        <v>842</v>
      </c>
      <c r="B416" t="s">
        <v>3487</v>
      </c>
      <c r="D416" s="244">
        <v>1.8811</v>
      </c>
      <c r="E416"/>
      <c r="F416" s="245">
        <v>43010</v>
      </c>
    </row>
    <row r="417" spans="1:6">
      <c r="A417" t="s">
        <v>837</v>
      </c>
      <c r="B417" t="s">
        <v>3419</v>
      </c>
      <c r="D417">
        <v>1.8989</v>
      </c>
      <c r="E417" s="251"/>
      <c r="F417" s="245">
        <v>43007</v>
      </c>
    </row>
    <row r="418" spans="1:6">
      <c r="A418" t="s">
        <v>836</v>
      </c>
      <c r="B418" t="s">
        <v>3427</v>
      </c>
      <c r="D418">
        <v>2.0718999999999999</v>
      </c>
      <c r="E418" s="251"/>
      <c r="F418" s="245">
        <v>43007</v>
      </c>
    </row>
    <row r="419" spans="1:6">
      <c r="A419" t="s">
        <v>835</v>
      </c>
      <c r="B419" t="s">
        <v>3610</v>
      </c>
      <c r="D419" s="252">
        <v>2.0337999999999998</v>
      </c>
      <c r="E419"/>
      <c r="F419" s="245">
        <v>43337</v>
      </c>
    </row>
    <row r="420" spans="1:6">
      <c r="A420" t="s">
        <v>831</v>
      </c>
      <c r="B420" t="s">
        <v>3398</v>
      </c>
      <c r="D420">
        <v>1.7559</v>
      </c>
      <c r="E420" s="251"/>
      <c r="F420" s="245">
        <v>43009</v>
      </c>
    </row>
    <row r="421" spans="1:6">
      <c r="A421" t="s">
        <v>828</v>
      </c>
      <c r="B421" t="s">
        <v>3395</v>
      </c>
      <c r="D421">
        <v>1.6048</v>
      </c>
      <c r="E421" s="251"/>
      <c r="F421" s="245">
        <v>43008</v>
      </c>
    </row>
    <row r="422" spans="1:6">
      <c r="A422" t="s">
        <v>827</v>
      </c>
      <c r="B422" t="s">
        <v>3402</v>
      </c>
      <c r="D422">
        <v>1.7397</v>
      </c>
      <c r="E422" s="251"/>
      <c r="F422" s="245">
        <v>43008</v>
      </c>
    </row>
    <row r="423" spans="1:6">
      <c r="A423" t="s">
        <v>821</v>
      </c>
      <c r="B423" t="s">
        <v>3435</v>
      </c>
      <c r="D423">
        <v>1.9332</v>
      </c>
      <c r="E423" s="251"/>
      <c r="F423" s="245">
        <v>43007</v>
      </c>
    </row>
    <row r="424" spans="1:6">
      <c r="A424" t="s">
        <v>820</v>
      </c>
      <c r="B424">
        <v>213</v>
      </c>
      <c r="C424" t="s">
        <v>2490</v>
      </c>
      <c r="D424">
        <v>1.6859999999999999</v>
      </c>
      <c r="E424" s="221" t="s">
        <v>2491</v>
      </c>
      <c r="F424" s="16">
        <v>43208</v>
      </c>
    </row>
    <row r="425" spans="1:6">
      <c r="A425" t="s">
        <v>816</v>
      </c>
      <c r="B425" t="s">
        <v>3417</v>
      </c>
      <c r="D425">
        <v>1.6720999999999999</v>
      </c>
      <c r="E425" s="251"/>
      <c r="F425" s="245">
        <v>43009</v>
      </c>
    </row>
    <row r="426" spans="1:6">
      <c r="A426" t="s">
        <v>814</v>
      </c>
      <c r="B426" t="s">
        <v>3391</v>
      </c>
      <c r="D426">
        <v>1.5642</v>
      </c>
      <c r="E426" s="251"/>
      <c r="F426" s="244"/>
    </row>
    <row r="427" spans="1:6">
      <c r="A427" t="s">
        <v>809</v>
      </c>
      <c r="B427" t="s">
        <v>3455</v>
      </c>
      <c r="D427">
        <v>1.8720000000000001</v>
      </c>
      <c r="E427" s="251"/>
      <c r="F427" s="245">
        <v>43009</v>
      </c>
    </row>
    <row r="428" spans="1:6">
      <c r="A428" t="s">
        <v>806</v>
      </c>
      <c r="B428">
        <v>210</v>
      </c>
      <c r="C428" t="s">
        <v>2490</v>
      </c>
      <c r="D428">
        <v>1.716</v>
      </c>
      <c r="E428" s="221" t="s">
        <v>2448</v>
      </c>
      <c r="F428" s="16">
        <v>43208</v>
      </c>
    </row>
    <row r="429" spans="1:6">
      <c r="A429" t="s">
        <v>804</v>
      </c>
      <c r="B429" t="s">
        <v>3473</v>
      </c>
      <c r="D429" s="244">
        <v>1.8893</v>
      </c>
      <c r="E429"/>
      <c r="F429" s="245">
        <v>43010</v>
      </c>
    </row>
    <row r="430" spans="1:6">
      <c r="A430" t="s">
        <v>803</v>
      </c>
      <c r="B430" t="s">
        <v>3443</v>
      </c>
      <c r="D430">
        <v>1.8117000000000001</v>
      </c>
      <c r="E430" s="251"/>
      <c r="F430" s="245">
        <v>43009</v>
      </c>
    </row>
    <row r="431" spans="1:6">
      <c r="A431" t="s">
        <v>796</v>
      </c>
      <c r="B431" t="s">
        <v>3433</v>
      </c>
      <c r="D431">
        <v>2.0409000000000002</v>
      </c>
      <c r="E431" s="251"/>
      <c r="F431" s="245">
        <v>43007</v>
      </c>
    </row>
    <row r="432" spans="1:6">
      <c r="A432" t="s">
        <v>793</v>
      </c>
      <c r="B432" t="s">
        <v>3389</v>
      </c>
      <c r="D432">
        <v>1.7168000000000001</v>
      </c>
      <c r="E432" s="251" t="s">
        <v>3390</v>
      </c>
      <c r="F432" s="244"/>
    </row>
    <row r="433" spans="1:6">
      <c r="A433" t="s">
        <v>791</v>
      </c>
      <c r="B433" t="s">
        <v>3472</v>
      </c>
      <c r="D433" s="244">
        <v>1.9824999999999999</v>
      </c>
      <c r="E433"/>
      <c r="F433" s="245">
        <v>43010</v>
      </c>
    </row>
    <row r="434" spans="1:6">
      <c r="A434" t="s">
        <v>789</v>
      </c>
      <c r="B434">
        <v>198</v>
      </c>
      <c r="C434" t="s">
        <v>2490</v>
      </c>
      <c r="D434">
        <v>1.615</v>
      </c>
      <c r="E434" s="221" t="s">
        <v>2448</v>
      </c>
      <c r="F434" s="16">
        <v>43208</v>
      </c>
    </row>
    <row r="435" spans="1:6">
      <c r="A435" t="s">
        <v>784</v>
      </c>
      <c r="B435" t="s">
        <v>3451</v>
      </c>
      <c r="E435" s="251" t="s">
        <v>3453</v>
      </c>
      <c r="F435" s="245">
        <v>43009</v>
      </c>
    </row>
    <row r="436" spans="1:6">
      <c r="A436" t="s">
        <v>1105</v>
      </c>
      <c r="B436">
        <v>201</v>
      </c>
      <c r="C436" t="s">
        <v>2490</v>
      </c>
      <c r="D436">
        <v>1.968</v>
      </c>
      <c r="E436" s="221" t="s">
        <v>2495</v>
      </c>
      <c r="F436" s="16">
        <v>43208</v>
      </c>
    </row>
    <row r="437" spans="1:6">
      <c r="A437" t="s">
        <v>780</v>
      </c>
      <c r="B437" t="s">
        <v>3428</v>
      </c>
      <c r="D437">
        <v>2.0156999999999998</v>
      </c>
      <c r="E437" s="251"/>
      <c r="F437" s="245">
        <v>43007</v>
      </c>
    </row>
    <row r="438" spans="1:6">
      <c r="A438" t="s">
        <v>776</v>
      </c>
      <c r="B438" t="s">
        <v>3466</v>
      </c>
      <c r="D438">
        <v>1.9468000000000001</v>
      </c>
      <c r="E438" s="251"/>
      <c r="F438" s="245">
        <v>43010</v>
      </c>
    </row>
    <row r="439" spans="1:6">
      <c r="A439" t="s">
        <v>775</v>
      </c>
      <c r="B439" t="s">
        <v>3566</v>
      </c>
      <c r="D439" s="252">
        <v>1.9832000000000001</v>
      </c>
      <c r="E439" t="s">
        <v>2115</v>
      </c>
      <c r="F439" s="245">
        <v>43334</v>
      </c>
    </row>
    <row r="440" spans="1:6">
      <c r="A440" t="s">
        <v>774</v>
      </c>
      <c r="B440" t="s">
        <v>3481</v>
      </c>
      <c r="D440" s="244">
        <v>1.8496999999999999</v>
      </c>
      <c r="E440"/>
      <c r="F440" s="245">
        <v>43010</v>
      </c>
    </row>
    <row r="441" spans="1:6">
      <c r="A441" t="s">
        <v>768</v>
      </c>
      <c r="B441" t="s">
        <v>3583</v>
      </c>
      <c r="D441" s="252">
        <v>1.5419</v>
      </c>
      <c r="E441"/>
      <c r="F441" s="245">
        <v>43334</v>
      </c>
    </row>
    <row r="442" spans="1:6">
      <c r="A442" t="s">
        <v>764</v>
      </c>
      <c r="B442" t="s">
        <v>3617</v>
      </c>
      <c r="D442" s="252">
        <v>1.9925999999999999</v>
      </c>
      <c r="E442"/>
      <c r="F442" s="245">
        <v>43338</v>
      </c>
    </row>
    <row r="443" spans="1:6">
      <c r="A443" t="s">
        <v>762</v>
      </c>
      <c r="B443">
        <v>216</v>
      </c>
      <c r="C443" t="s">
        <v>2490</v>
      </c>
      <c r="D443">
        <v>1.736</v>
      </c>
      <c r="E443" s="221" t="s">
        <v>2448</v>
      </c>
      <c r="F443" s="16">
        <v>43208</v>
      </c>
    </row>
    <row r="444" spans="1:6">
      <c r="A444" t="s">
        <v>753</v>
      </c>
      <c r="B444" t="s">
        <v>3489</v>
      </c>
      <c r="D444" s="244">
        <v>1.4536</v>
      </c>
      <c r="E444"/>
      <c r="F444" s="245">
        <v>43008</v>
      </c>
    </row>
    <row r="445" spans="1:6">
      <c r="A445" t="s">
        <v>752</v>
      </c>
      <c r="B445">
        <v>195</v>
      </c>
      <c r="C445" t="s">
        <v>2490</v>
      </c>
      <c r="D445">
        <v>0.78200000000000003</v>
      </c>
      <c r="E445" s="221" t="s">
        <v>2450</v>
      </c>
      <c r="F445" s="16">
        <v>43208</v>
      </c>
    </row>
    <row r="446" spans="1:6">
      <c r="A446" t="s">
        <v>747</v>
      </c>
      <c r="B446" t="s">
        <v>3567</v>
      </c>
      <c r="D446" s="252">
        <v>1.9392</v>
      </c>
      <c r="E446" t="s">
        <v>2115</v>
      </c>
      <c r="F446" s="245">
        <v>43334</v>
      </c>
    </row>
    <row r="447" spans="1:6">
      <c r="A447" t="s">
        <v>744</v>
      </c>
      <c r="B447" t="s">
        <v>3449</v>
      </c>
      <c r="D447">
        <v>1.7444999999999999</v>
      </c>
      <c r="E447" s="251" t="s">
        <v>3445</v>
      </c>
      <c r="F447" s="245">
        <v>43009</v>
      </c>
    </row>
    <row r="448" spans="1:6">
      <c r="A448" t="s">
        <v>740</v>
      </c>
      <c r="B448" t="s">
        <v>3472</v>
      </c>
      <c r="D448" s="244">
        <v>1.7884</v>
      </c>
      <c r="E448"/>
      <c r="F448" s="245">
        <v>43010</v>
      </c>
    </row>
    <row r="449" spans="1:6">
      <c r="A449" t="s">
        <v>739</v>
      </c>
      <c r="B449" t="s">
        <v>3555</v>
      </c>
      <c r="D449" s="252">
        <v>1.9192</v>
      </c>
      <c r="E449"/>
      <c r="F449" s="245">
        <v>43333</v>
      </c>
    </row>
    <row r="450" spans="1:6">
      <c r="A450" t="s">
        <v>734</v>
      </c>
      <c r="B450" t="s">
        <v>3425</v>
      </c>
      <c r="D450">
        <v>2.0062000000000002</v>
      </c>
      <c r="E450" s="251"/>
      <c r="F450" s="245">
        <v>43007</v>
      </c>
    </row>
    <row r="451" spans="1:6">
      <c r="A451" t="s">
        <v>725</v>
      </c>
      <c r="B451" t="s">
        <v>3577</v>
      </c>
      <c r="D451" s="252">
        <v>2.0192999999999999</v>
      </c>
      <c r="E451"/>
      <c r="F451" s="245">
        <v>43334</v>
      </c>
    </row>
    <row r="452" spans="1:6">
      <c r="A452" t="s">
        <v>719</v>
      </c>
      <c r="B452" t="s">
        <v>3478</v>
      </c>
      <c r="D452" s="244">
        <v>1.9601999999999999</v>
      </c>
      <c r="E452"/>
      <c r="F452" s="245">
        <v>43010</v>
      </c>
    </row>
    <row r="453" spans="1:6">
      <c r="A453" t="s">
        <v>716</v>
      </c>
      <c r="B453" t="s">
        <v>3407</v>
      </c>
      <c r="D453">
        <v>1.8856999999999999</v>
      </c>
      <c r="E453" s="251"/>
      <c r="F453" s="245">
        <v>43009</v>
      </c>
    </row>
    <row r="454" spans="1:6">
      <c r="A454" t="s">
        <v>1098</v>
      </c>
      <c r="B454" t="s">
        <v>3420</v>
      </c>
      <c r="D454">
        <v>2.0165999999999999</v>
      </c>
      <c r="E454" s="251"/>
      <c r="F454" s="245">
        <v>43007</v>
      </c>
    </row>
    <row r="455" spans="1:6">
      <c r="A455" t="s">
        <v>698</v>
      </c>
      <c r="B455" t="s">
        <v>3596</v>
      </c>
      <c r="D455" s="252">
        <v>1.5766</v>
      </c>
      <c r="E455"/>
      <c r="F455" s="245">
        <v>43334</v>
      </c>
    </row>
    <row r="456" spans="1:6">
      <c r="A456" t="s">
        <v>686</v>
      </c>
      <c r="B456">
        <v>196</v>
      </c>
      <c r="C456" t="s">
        <v>2490</v>
      </c>
      <c r="D456">
        <v>0.19900000000000001</v>
      </c>
      <c r="E456" s="221" t="s">
        <v>2450</v>
      </c>
      <c r="F456" s="16">
        <v>43208</v>
      </c>
    </row>
    <row r="457" spans="1:6">
      <c r="A457" t="s">
        <v>650</v>
      </c>
      <c r="B457" t="s">
        <v>3408</v>
      </c>
      <c r="D457">
        <v>2.0198</v>
      </c>
      <c r="E457" s="251"/>
      <c r="F457" s="245">
        <v>43009</v>
      </c>
    </row>
    <row r="458" spans="1:6">
      <c r="A458" t="s">
        <v>627</v>
      </c>
      <c r="B458" t="s">
        <v>3418</v>
      </c>
      <c r="D458">
        <v>1.8293999999999999</v>
      </c>
      <c r="E458" s="251"/>
      <c r="F458" s="245">
        <v>43009</v>
      </c>
    </row>
    <row r="459" spans="1:6">
      <c r="A459" t="s">
        <v>625</v>
      </c>
      <c r="B459">
        <v>208</v>
      </c>
      <c r="C459" t="s">
        <v>2490</v>
      </c>
      <c r="D459">
        <v>1.7749999999999999</v>
      </c>
      <c r="E459" s="221" t="s">
        <v>2449</v>
      </c>
      <c r="F459" s="16">
        <v>43208</v>
      </c>
    </row>
    <row r="460" spans="1:6">
      <c r="A460" t="s">
        <v>1089</v>
      </c>
      <c r="B460" t="s">
        <v>3455</v>
      </c>
      <c r="E460" s="251" t="s">
        <v>3456</v>
      </c>
      <c r="F460" s="245">
        <v>43009</v>
      </c>
    </row>
    <row r="461" spans="1:6">
      <c r="A461" t="s">
        <v>590</v>
      </c>
      <c r="B461">
        <v>207</v>
      </c>
      <c r="C461" t="s">
        <v>2490</v>
      </c>
      <c r="D461">
        <v>8.3109999999999999</v>
      </c>
      <c r="E461" s="221" t="s">
        <v>2447</v>
      </c>
      <c r="F461" s="16">
        <v>43208</v>
      </c>
    </row>
    <row r="462" spans="1:6">
      <c r="A462" t="s">
        <v>555</v>
      </c>
      <c r="B462" t="s">
        <v>3405</v>
      </c>
      <c r="D462">
        <v>2.2069000000000001</v>
      </c>
      <c r="E462" s="251"/>
      <c r="F462" s="245">
        <v>43008</v>
      </c>
    </row>
    <row r="463" spans="1:6">
      <c r="A463" t="s">
        <v>542</v>
      </c>
      <c r="B463">
        <v>210</v>
      </c>
      <c r="C463" t="s">
        <v>2490</v>
      </c>
      <c r="D463">
        <v>1.742</v>
      </c>
      <c r="E463" s="221" t="s">
        <v>2448</v>
      </c>
      <c r="F463" s="16">
        <v>43208</v>
      </c>
    </row>
    <row r="464" spans="1:6">
      <c r="A464" t="s">
        <v>3872</v>
      </c>
      <c r="B464" t="s">
        <v>3603</v>
      </c>
      <c r="D464" s="252">
        <v>1.9592000000000001</v>
      </c>
      <c r="E464"/>
      <c r="F464" s="245">
        <v>43337</v>
      </c>
    </row>
    <row r="465" spans="1:6">
      <c r="A465" t="s">
        <v>537</v>
      </c>
      <c r="B465" t="s">
        <v>3431</v>
      </c>
      <c r="D465">
        <v>1.9849000000000001</v>
      </c>
      <c r="E465" s="251" t="s">
        <v>3390</v>
      </c>
      <c r="F465" s="245">
        <v>43007</v>
      </c>
    </row>
    <row r="466" spans="1:6">
      <c r="A466" t="s">
        <v>536</v>
      </c>
      <c r="B466" t="s">
        <v>3460</v>
      </c>
      <c r="D466">
        <v>1.9094</v>
      </c>
      <c r="E466" s="251"/>
      <c r="F466" s="245">
        <v>43007</v>
      </c>
    </row>
    <row r="467" spans="1:6">
      <c r="A467" t="s">
        <v>535</v>
      </c>
      <c r="B467">
        <v>207</v>
      </c>
      <c r="C467" t="s">
        <v>2490</v>
      </c>
      <c r="D467">
        <v>1.615</v>
      </c>
      <c r="E467" s="221" t="s">
        <v>2447</v>
      </c>
      <c r="F467" s="16">
        <v>43208</v>
      </c>
    </row>
    <row r="468" spans="1:6">
      <c r="A468" t="s">
        <v>534</v>
      </c>
      <c r="B468" t="s">
        <v>3449</v>
      </c>
      <c r="D468">
        <v>1.8051999999999999</v>
      </c>
      <c r="E468" s="251"/>
      <c r="F468" s="245">
        <v>43009</v>
      </c>
    </row>
    <row r="469" spans="1:6">
      <c r="A469" t="s">
        <v>533</v>
      </c>
      <c r="B469" t="s">
        <v>3568</v>
      </c>
      <c r="D469" s="252">
        <v>1.9615</v>
      </c>
      <c r="E469" t="s">
        <v>2115</v>
      </c>
      <c r="F469" s="245">
        <v>43334</v>
      </c>
    </row>
    <row r="470" spans="1:6">
      <c r="A470" t="s">
        <v>531</v>
      </c>
      <c r="B470" t="s">
        <v>3384</v>
      </c>
      <c r="D470">
        <v>1.6455</v>
      </c>
      <c r="E470" s="251"/>
      <c r="F470" s="244"/>
    </row>
    <row r="471" spans="1:6">
      <c r="A471" t="s">
        <v>530</v>
      </c>
      <c r="B471" t="s">
        <v>3482</v>
      </c>
      <c r="D471" s="244">
        <v>1.9753000000000001</v>
      </c>
      <c r="E471"/>
      <c r="F471" s="245">
        <v>43010</v>
      </c>
    </row>
    <row r="472" spans="1:6">
      <c r="A472" t="s">
        <v>1080</v>
      </c>
      <c r="B472" t="s">
        <v>3572</v>
      </c>
      <c r="D472" s="252">
        <v>1.9782999999999999</v>
      </c>
      <c r="E472"/>
      <c r="F472" s="245">
        <v>43334</v>
      </c>
    </row>
    <row r="473" spans="1:6">
      <c r="A473" t="s">
        <v>529</v>
      </c>
      <c r="B473" t="s">
        <v>3613</v>
      </c>
      <c r="D473" s="252">
        <v>1.9097999999999999</v>
      </c>
      <c r="E473" t="s">
        <v>2115</v>
      </c>
      <c r="F473" s="245">
        <v>43337</v>
      </c>
    </row>
    <row r="474" spans="1:6">
      <c r="A474" t="s">
        <v>528</v>
      </c>
      <c r="B474">
        <v>194</v>
      </c>
      <c r="C474" t="s">
        <v>2490</v>
      </c>
      <c r="D474">
        <v>1.593</v>
      </c>
      <c r="E474" s="221" t="s">
        <v>2491</v>
      </c>
      <c r="F474" s="16">
        <v>43208</v>
      </c>
    </row>
    <row r="475" spans="1:6">
      <c r="A475" t="s">
        <v>527</v>
      </c>
      <c r="B475" t="s">
        <v>3446</v>
      </c>
      <c r="E475" s="251" t="s">
        <v>3447</v>
      </c>
      <c r="F475" s="245">
        <v>43009</v>
      </c>
    </row>
    <row r="476" spans="1:6">
      <c r="A476" t="s">
        <v>526</v>
      </c>
      <c r="B476" t="s">
        <v>3450</v>
      </c>
      <c r="D476">
        <v>1.7827</v>
      </c>
      <c r="E476" s="251"/>
      <c r="F476" s="245">
        <v>43009</v>
      </c>
    </row>
    <row r="477" spans="1:6">
      <c r="A477" t="s">
        <v>525</v>
      </c>
      <c r="B477" t="s">
        <v>3609</v>
      </c>
      <c r="D477" s="252">
        <v>1.9262999999999999</v>
      </c>
      <c r="E477" t="s">
        <v>2115</v>
      </c>
      <c r="F477" s="245">
        <v>43337</v>
      </c>
    </row>
    <row r="478" spans="1:6">
      <c r="A478" t="s">
        <v>524</v>
      </c>
      <c r="B478" t="s">
        <v>3438</v>
      </c>
      <c r="D478">
        <v>1.4872000000000001</v>
      </c>
      <c r="E478" s="251" t="s">
        <v>3439</v>
      </c>
      <c r="F478" s="245">
        <v>43009</v>
      </c>
    </row>
    <row r="479" spans="1:6">
      <c r="A479" t="s">
        <v>523</v>
      </c>
      <c r="B479" t="s">
        <v>3434</v>
      </c>
      <c r="D479">
        <v>1.9423999999999999</v>
      </c>
      <c r="E479" s="251"/>
      <c r="F479" s="245">
        <v>43007</v>
      </c>
    </row>
    <row r="480" spans="1:6">
      <c r="A480" t="s">
        <v>522</v>
      </c>
      <c r="B480" t="s">
        <v>3473</v>
      </c>
      <c r="D480" s="244">
        <v>1.8621000000000001</v>
      </c>
      <c r="E480"/>
      <c r="F480" s="245">
        <v>43010</v>
      </c>
    </row>
    <row r="481" spans="1:6">
      <c r="A481" t="s">
        <v>521</v>
      </c>
      <c r="B481" t="s">
        <v>3547</v>
      </c>
      <c r="D481" s="252">
        <v>1.9595</v>
      </c>
      <c r="E481"/>
      <c r="F481" s="245">
        <v>43333</v>
      </c>
    </row>
    <row r="482" spans="1:6">
      <c r="A482" t="s">
        <v>520</v>
      </c>
      <c r="B482" t="s">
        <v>3611</v>
      </c>
      <c r="D482" s="252">
        <v>1.9713000000000001</v>
      </c>
      <c r="E482"/>
      <c r="F482" s="245">
        <v>43337</v>
      </c>
    </row>
    <row r="483" spans="1:6">
      <c r="A483" t="s">
        <v>519</v>
      </c>
      <c r="B483" t="s">
        <v>3624</v>
      </c>
      <c r="D483" s="252">
        <v>2.0047999999999999</v>
      </c>
      <c r="E483"/>
      <c r="F483" s="245">
        <v>43338</v>
      </c>
    </row>
    <row r="484" spans="1:6">
      <c r="A484" t="s">
        <v>518</v>
      </c>
      <c r="B484" t="s">
        <v>3374</v>
      </c>
      <c r="D484">
        <v>1.6888000000000001</v>
      </c>
      <c r="F484" s="244"/>
    </row>
    <row r="485" spans="1:6">
      <c r="A485" t="s">
        <v>517</v>
      </c>
      <c r="B485">
        <v>216</v>
      </c>
      <c r="C485" t="s">
        <v>2490</v>
      </c>
      <c r="D485">
        <v>1.6419999999999999</v>
      </c>
      <c r="E485" s="221" t="s">
        <v>2491</v>
      </c>
      <c r="F485" s="16">
        <v>43208</v>
      </c>
    </row>
    <row r="486" spans="1:6">
      <c r="A486" t="s">
        <v>516</v>
      </c>
      <c r="B486">
        <v>193</v>
      </c>
      <c r="C486" t="s">
        <v>2490</v>
      </c>
      <c r="D486">
        <v>1.397</v>
      </c>
      <c r="E486" s="221" t="s">
        <v>2449</v>
      </c>
      <c r="F486" s="16">
        <v>43208</v>
      </c>
    </row>
    <row r="487" spans="1:6">
      <c r="A487" t="s">
        <v>515</v>
      </c>
      <c r="B487" t="s">
        <v>3467</v>
      </c>
      <c r="E487" s="251" t="s">
        <v>3461</v>
      </c>
      <c r="F487" s="245">
        <v>43010</v>
      </c>
    </row>
    <row r="488" spans="1:6">
      <c r="A488" t="s">
        <v>514</v>
      </c>
      <c r="B488">
        <v>208</v>
      </c>
      <c r="C488" t="s">
        <v>2490</v>
      </c>
      <c r="D488">
        <v>1.6539999999999999</v>
      </c>
      <c r="E488" s="221" t="s">
        <v>2449</v>
      </c>
      <c r="F488" s="16">
        <v>43208</v>
      </c>
    </row>
    <row r="489" spans="1:6">
      <c r="A489" t="s">
        <v>512</v>
      </c>
      <c r="B489" t="s">
        <v>3376</v>
      </c>
      <c r="D489">
        <v>1.7356</v>
      </c>
      <c r="E489" s="251" t="s">
        <v>3377</v>
      </c>
      <c r="F489" s="244"/>
    </row>
    <row r="490" spans="1:6">
      <c r="A490" t="s">
        <v>511</v>
      </c>
      <c r="B490" t="s">
        <v>3409</v>
      </c>
      <c r="D490">
        <v>1.7652000000000001</v>
      </c>
      <c r="E490" s="251" t="s">
        <v>3377</v>
      </c>
      <c r="F490" s="245">
        <v>43008</v>
      </c>
    </row>
    <row r="491" spans="1:6">
      <c r="A491" t="s">
        <v>510</v>
      </c>
      <c r="B491" t="s">
        <v>3396</v>
      </c>
      <c r="D491">
        <v>1.8498000000000001</v>
      </c>
      <c r="E491" s="251"/>
      <c r="F491" s="245">
        <v>43009</v>
      </c>
    </row>
    <row r="492" spans="1:6">
      <c r="A492" t="s">
        <v>507</v>
      </c>
      <c r="B492" t="s">
        <v>3435</v>
      </c>
      <c r="D492">
        <v>1.9161999999999999</v>
      </c>
      <c r="E492" s="251"/>
      <c r="F492" s="245">
        <v>43007</v>
      </c>
    </row>
    <row r="493" spans="1:6">
      <c r="A493" t="s">
        <v>506</v>
      </c>
      <c r="B493" t="s">
        <v>3404</v>
      </c>
      <c r="D493">
        <v>1.6096999999999999</v>
      </c>
      <c r="E493" s="251"/>
      <c r="F493" s="245">
        <v>43009</v>
      </c>
    </row>
    <row r="494" spans="1:6">
      <c r="A494" t="s">
        <v>505</v>
      </c>
      <c r="B494" t="s">
        <v>3575</v>
      </c>
      <c r="D494" s="252">
        <v>1.9177</v>
      </c>
      <c r="E494"/>
      <c r="F494" s="245">
        <v>43334</v>
      </c>
    </row>
    <row r="495" spans="1:6">
      <c r="A495" t="s">
        <v>504</v>
      </c>
      <c r="B495" t="s">
        <v>3474</v>
      </c>
      <c r="D495" s="244">
        <v>1.9524999999999999</v>
      </c>
      <c r="E495"/>
      <c r="F495" s="245">
        <v>43010</v>
      </c>
    </row>
    <row r="496" spans="1:6">
      <c r="A496" t="s">
        <v>503</v>
      </c>
      <c r="B496" t="s">
        <v>3379</v>
      </c>
      <c r="D496">
        <v>1.8521000000000001</v>
      </c>
      <c r="E496" s="251"/>
      <c r="F496" s="245">
        <v>43008</v>
      </c>
    </row>
    <row r="497" spans="1:6">
      <c r="A497" t="s">
        <v>502</v>
      </c>
      <c r="B497" t="s">
        <v>3389</v>
      </c>
      <c r="D497">
        <v>1.6534</v>
      </c>
      <c r="E497" s="251"/>
      <c r="F497" s="244"/>
    </row>
    <row r="498" spans="1:6">
      <c r="A498" t="s">
        <v>501</v>
      </c>
      <c r="B498" t="s">
        <v>3493</v>
      </c>
      <c r="D498" s="244">
        <v>1.5814999999999999</v>
      </c>
      <c r="E498"/>
      <c r="F498" s="245">
        <v>43008</v>
      </c>
    </row>
    <row r="499" spans="1:6">
      <c r="A499" t="s">
        <v>500</v>
      </c>
      <c r="B499">
        <v>218</v>
      </c>
      <c r="C499" t="s">
        <v>2490</v>
      </c>
      <c r="D499">
        <v>1.6519999999999999</v>
      </c>
      <c r="E499" s="221" t="s">
        <v>2495</v>
      </c>
      <c r="F499" s="16">
        <v>43208</v>
      </c>
    </row>
    <row r="500" spans="1:6">
      <c r="A500" t="s">
        <v>499</v>
      </c>
      <c r="B500" t="s">
        <v>3408</v>
      </c>
      <c r="D500">
        <v>1.6580999999999999</v>
      </c>
      <c r="E500" s="251"/>
      <c r="F500" s="245">
        <v>43009</v>
      </c>
    </row>
    <row r="501" spans="1:6">
      <c r="A501" t="s">
        <v>498</v>
      </c>
      <c r="B501" t="s">
        <v>3593</v>
      </c>
      <c r="D501" s="252">
        <v>1.9777</v>
      </c>
      <c r="E501"/>
      <c r="F501" s="245">
        <v>43334</v>
      </c>
    </row>
    <row r="502" spans="1:6">
      <c r="A502" t="s">
        <v>497</v>
      </c>
      <c r="B502" t="s">
        <v>3431</v>
      </c>
      <c r="D502">
        <v>1.9686999999999999</v>
      </c>
      <c r="E502" s="251"/>
      <c r="F502" s="245">
        <v>43007</v>
      </c>
    </row>
    <row r="503" spans="1:6">
      <c r="A503" t="s">
        <v>494</v>
      </c>
      <c r="B503">
        <v>195</v>
      </c>
      <c r="C503" t="s">
        <v>2490</v>
      </c>
      <c r="D503">
        <v>1.7509999999999999</v>
      </c>
      <c r="E503" s="221" t="s">
        <v>2111</v>
      </c>
      <c r="F503" s="16">
        <v>43208</v>
      </c>
    </row>
    <row r="504" spans="1:6">
      <c r="A504" t="s">
        <v>493</v>
      </c>
      <c r="B504" t="s">
        <v>3459</v>
      </c>
      <c r="D504">
        <v>1.8704000000000001</v>
      </c>
      <c r="E504" s="251"/>
      <c r="F504" s="245">
        <v>43007</v>
      </c>
    </row>
    <row r="505" spans="1:6">
      <c r="A505" t="s">
        <v>492</v>
      </c>
      <c r="B505" t="s">
        <v>3387</v>
      </c>
      <c r="D505">
        <v>1.6881999999999999</v>
      </c>
      <c r="E505" s="251"/>
      <c r="F505" s="244"/>
    </row>
    <row r="506" spans="1:6">
      <c r="A506" t="s">
        <v>491</v>
      </c>
      <c r="B506" t="s">
        <v>3578</v>
      </c>
      <c r="D506" s="252">
        <v>1.9649000000000001</v>
      </c>
      <c r="E506" t="s">
        <v>2115</v>
      </c>
      <c r="F506" s="245">
        <v>43334</v>
      </c>
    </row>
    <row r="507" spans="1:6">
      <c r="A507" t="s">
        <v>490</v>
      </c>
      <c r="B507" t="s">
        <v>3465</v>
      </c>
      <c r="D507">
        <v>1.7554000000000001</v>
      </c>
      <c r="E507" s="251" t="s">
        <v>3390</v>
      </c>
      <c r="F507" s="245">
        <v>43008</v>
      </c>
    </row>
    <row r="508" spans="1:6">
      <c r="A508" t="s">
        <v>489</v>
      </c>
      <c r="B508" t="s">
        <v>3437</v>
      </c>
      <c r="D508">
        <v>1.9756</v>
      </c>
      <c r="E508" s="251"/>
      <c r="F508" s="245">
        <v>43007</v>
      </c>
    </row>
    <row r="509" spans="1:6">
      <c r="A509" t="s">
        <v>488</v>
      </c>
      <c r="B509" t="s">
        <v>3469</v>
      </c>
      <c r="D509">
        <v>2.0049000000000001</v>
      </c>
      <c r="E509" s="251"/>
      <c r="F509" s="245">
        <v>43010</v>
      </c>
    </row>
    <row r="510" spans="1:6">
      <c r="A510" t="s">
        <v>487</v>
      </c>
      <c r="B510" t="s">
        <v>3423</v>
      </c>
      <c r="D510">
        <v>1.9245000000000001</v>
      </c>
      <c r="E510" s="251"/>
      <c r="F510" s="245">
        <v>43007</v>
      </c>
    </row>
    <row r="511" spans="1:6">
      <c r="A511" t="s">
        <v>486</v>
      </c>
      <c r="B511">
        <v>194</v>
      </c>
      <c r="C511" t="s">
        <v>2490</v>
      </c>
      <c r="D511">
        <v>1.613</v>
      </c>
      <c r="E511" s="221" t="s">
        <v>2492</v>
      </c>
      <c r="F511" s="16">
        <v>43208</v>
      </c>
    </row>
    <row r="512" spans="1:6">
      <c r="A512" t="s">
        <v>484</v>
      </c>
      <c r="B512" t="s">
        <v>3404</v>
      </c>
      <c r="D512">
        <v>3.7545000000000002</v>
      </c>
      <c r="E512" s="251" t="s">
        <v>2497</v>
      </c>
      <c r="F512" s="245">
        <v>43009</v>
      </c>
    </row>
    <row r="513" spans="1:6">
      <c r="A513" t="s">
        <v>482</v>
      </c>
      <c r="B513" t="s">
        <v>3622</v>
      </c>
      <c r="D513" s="252">
        <v>2.0581999999999998</v>
      </c>
      <c r="E513"/>
      <c r="F513" s="245">
        <v>43338</v>
      </c>
    </row>
    <row r="514" spans="1:6">
      <c r="A514" t="s">
        <v>481</v>
      </c>
      <c r="B514">
        <v>212</v>
      </c>
      <c r="C514" t="s">
        <v>2490</v>
      </c>
      <c r="D514">
        <v>1.655</v>
      </c>
      <c r="E514" s="221" t="s">
        <v>2495</v>
      </c>
      <c r="F514" s="16">
        <v>43208</v>
      </c>
    </row>
    <row r="515" spans="1:6">
      <c r="A515" t="s">
        <v>480</v>
      </c>
      <c r="B515" t="s">
        <v>3615</v>
      </c>
      <c r="D515" s="252">
        <v>2.0495999999999999</v>
      </c>
      <c r="E515"/>
      <c r="F515" s="245">
        <v>43337</v>
      </c>
    </row>
    <row r="516" spans="1:6">
      <c r="A516" t="s">
        <v>1075</v>
      </c>
      <c r="B516" t="s">
        <v>3484</v>
      </c>
      <c r="D516" s="244">
        <v>1.7972999999999999</v>
      </c>
      <c r="E516"/>
      <c r="F516" s="245">
        <v>43010</v>
      </c>
    </row>
    <row r="517" spans="1:6">
      <c r="A517" t="s">
        <v>479</v>
      </c>
      <c r="B517" t="s">
        <v>3424</v>
      </c>
      <c r="D517">
        <v>2.0331000000000001</v>
      </c>
      <c r="E517" s="251"/>
      <c r="F517" s="245">
        <v>43007</v>
      </c>
    </row>
    <row r="518" spans="1:6">
      <c r="A518" t="s">
        <v>478</v>
      </c>
      <c r="B518" t="s">
        <v>3429</v>
      </c>
      <c r="D518">
        <v>1.837</v>
      </c>
      <c r="E518" s="251" t="s">
        <v>3377</v>
      </c>
      <c r="F518" s="245">
        <v>43007</v>
      </c>
    </row>
    <row r="519" spans="1:6">
      <c r="A519" t="s">
        <v>476</v>
      </c>
      <c r="B519">
        <v>214</v>
      </c>
      <c r="C519" t="s">
        <v>2490</v>
      </c>
      <c r="D519">
        <v>1.6679999999999999</v>
      </c>
      <c r="E519" s="221" t="s">
        <v>2494</v>
      </c>
      <c r="F519" s="16">
        <v>43208</v>
      </c>
    </row>
    <row r="520" spans="1:6">
      <c r="A520" t="s">
        <v>475</v>
      </c>
      <c r="B520" t="s">
        <v>3471</v>
      </c>
      <c r="D520" s="244">
        <v>1.8895999999999999</v>
      </c>
      <c r="E520"/>
      <c r="F520" s="245">
        <v>43010</v>
      </c>
    </row>
    <row r="521" spans="1:6">
      <c r="A521" t="s">
        <v>474</v>
      </c>
      <c r="B521">
        <v>201</v>
      </c>
      <c r="C521" t="s">
        <v>2490</v>
      </c>
      <c r="D521">
        <v>1.7869999999999999</v>
      </c>
      <c r="E521" s="221" t="s">
        <v>2495</v>
      </c>
      <c r="F521" s="16">
        <v>43208</v>
      </c>
    </row>
    <row r="522" spans="1:6">
      <c r="A522" t="s">
        <v>472</v>
      </c>
      <c r="B522" t="s">
        <v>3433</v>
      </c>
      <c r="D522">
        <v>2.0158999999999998</v>
      </c>
      <c r="E522" s="251"/>
      <c r="F522" s="245">
        <v>43007</v>
      </c>
    </row>
    <row r="523" spans="1:6">
      <c r="A523" t="s">
        <v>470</v>
      </c>
      <c r="B523" t="s">
        <v>3417</v>
      </c>
      <c r="D523">
        <v>1.6716</v>
      </c>
      <c r="E523" s="251"/>
      <c r="F523" s="245">
        <v>43009</v>
      </c>
    </row>
    <row r="524" spans="1:6">
      <c r="A524" t="s">
        <v>469</v>
      </c>
      <c r="B524">
        <v>211</v>
      </c>
      <c r="C524" t="s">
        <v>2490</v>
      </c>
      <c r="D524">
        <v>1.4770000000000001</v>
      </c>
      <c r="F524" s="16">
        <v>43208</v>
      </c>
    </row>
    <row r="525" spans="1:6">
      <c r="A525" t="s">
        <v>468</v>
      </c>
      <c r="B525" t="s">
        <v>3589</v>
      </c>
      <c r="D525" s="252">
        <v>1.6099000000000001</v>
      </c>
      <c r="E525"/>
      <c r="F525" s="245">
        <v>43334</v>
      </c>
    </row>
    <row r="526" spans="1:6">
      <c r="A526" t="s">
        <v>466</v>
      </c>
      <c r="B526" t="s">
        <v>3402</v>
      </c>
      <c r="D526">
        <v>1.1623000000000001</v>
      </c>
      <c r="E526" s="251" t="s">
        <v>2497</v>
      </c>
      <c r="F526" s="245">
        <v>43008</v>
      </c>
    </row>
    <row r="527" spans="1:6">
      <c r="A527" t="s">
        <v>465</v>
      </c>
      <c r="B527" t="s">
        <v>3441</v>
      </c>
      <c r="D527">
        <v>1.6498999999999999</v>
      </c>
      <c r="E527" s="251" t="s">
        <v>3442</v>
      </c>
      <c r="F527" s="245">
        <v>43009</v>
      </c>
    </row>
    <row r="528" spans="1:6">
      <c r="A528" t="s">
        <v>464</v>
      </c>
      <c r="B528" t="s">
        <v>3606</v>
      </c>
      <c r="D528" s="252">
        <v>2.0310000000000001</v>
      </c>
      <c r="E528" t="s">
        <v>3411</v>
      </c>
      <c r="F528" s="245">
        <v>43337</v>
      </c>
    </row>
    <row r="529" spans="1:6">
      <c r="A529" t="s">
        <v>463</v>
      </c>
      <c r="B529" t="s">
        <v>3383</v>
      </c>
      <c r="D529">
        <v>1.6712</v>
      </c>
      <c r="E529" s="251"/>
      <c r="F529" s="245"/>
    </row>
    <row r="530" spans="1:6">
      <c r="A530" t="s">
        <v>462</v>
      </c>
      <c r="B530">
        <v>214</v>
      </c>
      <c r="C530" t="s">
        <v>2490</v>
      </c>
      <c r="D530">
        <v>1.7569999999999999</v>
      </c>
      <c r="E530" s="221" t="s">
        <v>2494</v>
      </c>
      <c r="F530" s="16">
        <v>43208</v>
      </c>
    </row>
    <row r="531" spans="1:6">
      <c r="A531" t="s">
        <v>461</v>
      </c>
      <c r="B531" t="s">
        <v>3387</v>
      </c>
      <c r="D531">
        <v>1.6856</v>
      </c>
      <c r="E531" s="251"/>
      <c r="F531" s="244"/>
    </row>
    <row r="532" spans="1:6">
      <c r="A532" t="s">
        <v>460</v>
      </c>
      <c r="B532" t="s">
        <v>3397</v>
      </c>
      <c r="D532">
        <v>1.7021999999999999</v>
      </c>
      <c r="E532" s="251"/>
      <c r="F532" s="245">
        <v>43009</v>
      </c>
    </row>
    <row r="533" spans="1:6">
      <c r="A533" t="s">
        <v>459</v>
      </c>
      <c r="B533">
        <v>218</v>
      </c>
      <c r="C533" t="s">
        <v>2490</v>
      </c>
      <c r="D533">
        <v>0.17100000000000001</v>
      </c>
      <c r="E533" s="221" t="s">
        <v>2495</v>
      </c>
      <c r="F533" s="16">
        <v>43208</v>
      </c>
    </row>
    <row r="534" spans="1:6">
      <c r="A534" t="s">
        <v>458</v>
      </c>
      <c r="B534" t="s">
        <v>3558</v>
      </c>
      <c r="D534" s="252">
        <v>1.9663999999999999</v>
      </c>
      <c r="E534" t="s">
        <v>2111</v>
      </c>
      <c r="F534" s="245">
        <v>43333</v>
      </c>
    </row>
    <row r="535" spans="1:6">
      <c r="A535" t="s">
        <v>457</v>
      </c>
      <c r="B535" t="s">
        <v>3451</v>
      </c>
      <c r="D535">
        <v>1.7353000000000001</v>
      </c>
      <c r="E535" s="251" t="s">
        <v>3452</v>
      </c>
      <c r="F535" s="245">
        <v>43009</v>
      </c>
    </row>
    <row r="536" spans="1:6">
      <c r="A536" t="s">
        <v>455</v>
      </c>
      <c r="B536" t="s">
        <v>3448</v>
      </c>
      <c r="D536">
        <v>1.8154999999999999</v>
      </c>
      <c r="E536" s="251"/>
      <c r="F536" s="245">
        <v>43009</v>
      </c>
    </row>
    <row r="537" spans="1:6">
      <c r="A537" t="s">
        <v>454</v>
      </c>
      <c r="B537" t="s">
        <v>3374</v>
      </c>
      <c r="D537">
        <v>1.7919</v>
      </c>
      <c r="E537" s="221" t="s">
        <v>3375</v>
      </c>
      <c r="F537" s="244"/>
    </row>
    <row r="538" spans="1:6">
      <c r="A538" t="s">
        <v>453</v>
      </c>
      <c r="B538" t="s">
        <v>3388</v>
      </c>
      <c r="D538">
        <v>3.4599000000000002</v>
      </c>
      <c r="E538" s="251" t="s">
        <v>2497</v>
      </c>
      <c r="F538" s="244"/>
    </row>
    <row r="539" spans="1:6">
      <c r="A539" t="s">
        <v>450</v>
      </c>
      <c r="B539" t="s">
        <v>3557</v>
      </c>
      <c r="D539" s="252">
        <v>1.9226000000000001</v>
      </c>
      <c r="E539"/>
      <c r="F539" s="245">
        <v>43333</v>
      </c>
    </row>
    <row r="540" spans="1:6">
      <c r="A540" t="s">
        <v>448</v>
      </c>
      <c r="B540" t="s">
        <v>3548</v>
      </c>
      <c r="D540" s="252">
        <v>1.9609000000000001</v>
      </c>
      <c r="E540" t="s">
        <v>3549</v>
      </c>
      <c r="F540" s="245">
        <v>43333</v>
      </c>
    </row>
    <row r="541" spans="1:6">
      <c r="A541" t="s">
        <v>447</v>
      </c>
      <c r="B541">
        <v>197</v>
      </c>
      <c r="C541" t="s">
        <v>2490</v>
      </c>
      <c r="D541">
        <v>1.6160000000000001</v>
      </c>
      <c r="E541" s="221" t="s">
        <v>2447</v>
      </c>
      <c r="F541" s="16">
        <v>43208</v>
      </c>
    </row>
    <row r="542" spans="1:6">
      <c r="A542" t="s">
        <v>446</v>
      </c>
      <c r="B542" t="s">
        <v>3454</v>
      </c>
      <c r="D542">
        <v>1.919</v>
      </c>
      <c r="E542" s="251"/>
      <c r="F542" s="245">
        <v>43009</v>
      </c>
    </row>
    <row r="543" spans="1:6">
      <c r="A543" t="s">
        <v>445</v>
      </c>
      <c r="B543" t="s">
        <v>3444</v>
      </c>
      <c r="D543">
        <v>1.7605</v>
      </c>
      <c r="E543" s="251" t="s">
        <v>3445</v>
      </c>
      <c r="F543" s="245">
        <v>43009</v>
      </c>
    </row>
    <row r="544" spans="1:6">
      <c r="A544" t="s">
        <v>444</v>
      </c>
      <c r="B544">
        <v>193</v>
      </c>
      <c r="C544" t="s">
        <v>2490</v>
      </c>
      <c r="D544">
        <v>1.42</v>
      </c>
      <c r="E544" s="221" t="s">
        <v>2449</v>
      </c>
      <c r="F544" s="16">
        <v>43208</v>
      </c>
    </row>
    <row r="545" spans="1:6">
      <c r="A545" t="s">
        <v>443</v>
      </c>
      <c r="B545" t="s">
        <v>3617</v>
      </c>
      <c r="D545" s="252">
        <v>1.9605999999999999</v>
      </c>
      <c r="E545"/>
      <c r="F545" s="245">
        <v>43338</v>
      </c>
    </row>
    <row r="546" spans="1:6">
      <c r="A546" t="s">
        <v>442</v>
      </c>
      <c r="B546" t="s">
        <v>3450</v>
      </c>
      <c r="D546">
        <v>1.8089</v>
      </c>
      <c r="E546" s="251"/>
      <c r="F546" s="245">
        <v>43009</v>
      </c>
    </row>
    <row r="547" spans="1:6">
      <c r="A547" t="s">
        <v>441</v>
      </c>
      <c r="B547" t="s">
        <v>3619</v>
      </c>
      <c r="D547" s="252">
        <v>2.0065</v>
      </c>
      <c r="E547"/>
      <c r="F547" s="245">
        <v>43338</v>
      </c>
    </row>
    <row r="548" spans="1:6">
      <c r="A548" t="s">
        <v>440</v>
      </c>
      <c r="B548">
        <v>213</v>
      </c>
      <c r="C548" t="s">
        <v>2490</v>
      </c>
      <c r="D548">
        <v>1.748</v>
      </c>
      <c r="E548" s="221" t="s">
        <v>2491</v>
      </c>
      <c r="F548" s="16">
        <v>43208</v>
      </c>
    </row>
    <row r="549" spans="1:6">
      <c r="A549" t="s">
        <v>438</v>
      </c>
      <c r="B549" t="s">
        <v>3483</v>
      </c>
      <c r="D549" s="244">
        <v>1.8272999999999999</v>
      </c>
      <c r="E549"/>
      <c r="F549" s="245">
        <v>43010</v>
      </c>
    </row>
    <row r="550" spans="1:6">
      <c r="A550" t="s">
        <v>437</v>
      </c>
      <c r="B550" t="s">
        <v>3413</v>
      </c>
      <c r="D550">
        <v>1.7047000000000001</v>
      </c>
      <c r="E550" s="251"/>
      <c r="F550" s="245">
        <v>43009</v>
      </c>
    </row>
    <row r="551" spans="1:6">
      <c r="A551" t="s">
        <v>436</v>
      </c>
      <c r="B551" t="s">
        <v>3471</v>
      </c>
      <c r="D551" s="244">
        <v>1.9032</v>
      </c>
      <c r="E551"/>
      <c r="F551" s="245">
        <v>43010</v>
      </c>
    </row>
    <row r="552" spans="1:6">
      <c r="A552" t="s">
        <v>435</v>
      </c>
      <c r="B552" t="s">
        <v>3430</v>
      </c>
      <c r="D552">
        <v>1.9311</v>
      </c>
      <c r="E552" s="251"/>
      <c r="F552" s="245">
        <v>43007</v>
      </c>
    </row>
    <row r="553" spans="1:6">
      <c r="A553" t="s">
        <v>434</v>
      </c>
      <c r="B553" t="s">
        <v>3436</v>
      </c>
      <c r="D553">
        <v>2.0167999999999999</v>
      </c>
      <c r="E553" s="251"/>
      <c r="F553" s="245">
        <v>43007</v>
      </c>
    </row>
    <row r="554" spans="1:6">
      <c r="A554" t="s">
        <v>433</v>
      </c>
      <c r="B554" t="s">
        <v>3410</v>
      </c>
      <c r="D554">
        <v>1.5846</v>
      </c>
      <c r="E554" s="251"/>
      <c r="F554" s="245">
        <v>43008</v>
      </c>
    </row>
    <row r="555" spans="1:6">
      <c r="A555" t="s">
        <v>432</v>
      </c>
      <c r="B555" t="s">
        <v>3475</v>
      </c>
      <c r="D555" s="244">
        <v>1.8146</v>
      </c>
      <c r="E555"/>
      <c r="F555" s="245">
        <v>43010</v>
      </c>
    </row>
    <row r="556" spans="1:6">
      <c r="A556" t="s">
        <v>431</v>
      </c>
      <c r="B556" t="s">
        <v>3393</v>
      </c>
      <c r="D556">
        <v>1.7259</v>
      </c>
      <c r="E556" s="251"/>
      <c r="F556" s="244"/>
    </row>
    <row r="557" spans="1:6">
      <c r="A557" t="s">
        <v>430</v>
      </c>
      <c r="B557">
        <v>196</v>
      </c>
      <c r="C557" t="s">
        <v>2490</v>
      </c>
      <c r="D557">
        <v>1.863</v>
      </c>
      <c r="E557" s="221" t="s">
        <v>2450</v>
      </c>
      <c r="F557" s="16">
        <v>43208</v>
      </c>
    </row>
    <row r="558" spans="1:6">
      <c r="A558" t="s">
        <v>429</v>
      </c>
      <c r="B558" t="s">
        <v>3440</v>
      </c>
      <c r="D558">
        <v>1.7403999999999999</v>
      </c>
      <c r="E558" s="251"/>
      <c r="F558" s="245">
        <v>43008</v>
      </c>
    </row>
    <row r="559" spans="1:6">
      <c r="A559" t="s">
        <v>428</v>
      </c>
      <c r="B559">
        <v>198</v>
      </c>
      <c r="C559" t="s">
        <v>2490</v>
      </c>
      <c r="D559">
        <v>1.7210000000000001</v>
      </c>
      <c r="E559" s="221" t="s">
        <v>2448</v>
      </c>
      <c r="F559" s="16">
        <v>43208</v>
      </c>
    </row>
    <row r="560" spans="1:6">
      <c r="A560" t="s">
        <v>427</v>
      </c>
      <c r="B560" t="s">
        <v>3608</v>
      </c>
      <c r="D560" s="252">
        <v>1.9524999999999999</v>
      </c>
      <c r="E560" t="s">
        <v>2111</v>
      </c>
      <c r="F560" s="245">
        <v>43337</v>
      </c>
    </row>
    <row r="561" spans="1:11">
      <c r="A561" t="s">
        <v>426</v>
      </c>
      <c r="B561" t="s">
        <v>3570</v>
      </c>
      <c r="D561" s="252">
        <v>1.9921</v>
      </c>
      <c r="E561" t="s">
        <v>3571</v>
      </c>
      <c r="F561" s="245">
        <v>43334</v>
      </c>
    </row>
    <row r="562" spans="1:11">
      <c r="A562" t="s">
        <v>425</v>
      </c>
      <c r="B562" t="s">
        <v>3486</v>
      </c>
      <c r="D562" s="244">
        <v>1.8105</v>
      </c>
      <c r="E562"/>
      <c r="F562" s="245">
        <v>43010</v>
      </c>
    </row>
    <row r="563" spans="1:11">
      <c r="A563" t="s">
        <v>424</v>
      </c>
      <c r="B563" t="s">
        <v>3394</v>
      </c>
      <c r="D563">
        <v>1.9014</v>
      </c>
      <c r="E563" s="251"/>
      <c r="F563" s="245">
        <v>43009</v>
      </c>
    </row>
    <row r="564" spans="1:11">
      <c r="A564" t="s">
        <v>423</v>
      </c>
      <c r="B564" t="s">
        <v>3561</v>
      </c>
      <c r="D564" s="252">
        <v>1.9879</v>
      </c>
      <c r="E564" t="s">
        <v>2115</v>
      </c>
      <c r="F564" s="245">
        <v>43333</v>
      </c>
      <c r="K564" s="253"/>
    </row>
    <row r="565" spans="1:11">
      <c r="A565" t="s">
        <v>422</v>
      </c>
      <c r="B565" t="s">
        <v>3396</v>
      </c>
      <c r="D565">
        <v>1.7592000000000001</v>
      </c>
      <c r="E565" s="251"/>
      <c r="F565" s="245">
        <v>43009</v>
      </c>
    </row>
    <row r="566" spans="1:11">
      <c r="A566" t="s">
        <v>421</v>
      </c>
      <c r="B566" t="s">
        <v>3446</v>
      </c>
      <c r="D566">
        <v>1.8359000000000001</v>
      </c>
      <c r="E566" s="251"/>
      <c r="F566" s="245">
        <v>43009</v>
      </c>
    </row>
    <row r="567" spans="1:11">
      <c r="A567" t="s">
        <v>419</v>
      </c>
      <c r="B567" t="s">
        <v>3601</v>
      </c>
      <c r="D567" s="252">
        <v>1.9978</v>
      </c>
      <c r="E567" t="s">
        <v>2115</v>
      </c>
      <c r="F567" s="245">
        <v>43337</v>
      </c>
      <c r="K567" s="253"/>
    </row>
    <row r="568" spans="1:11">
      <c r="A568" t="s">
        <v>418</v>
      </c>
      <c r="B568" t="s">
        <v>3605</v>
      </c>
      <c r="D568" s="252">
        <v>1.9549000000000001</v>
      </c>
      <c r="E568"/>
      <c r="F568" s="245">
        <v>43337</v>
      </c>
      <c r="K568" s="253"/>
    </row>
    <row r="569" spans="1:11">
      <c r="A569" t="s">
        <v>417</v>
      </c>
      <c r="B569" t="s">
        <v>3558</v>
      </c>
      <c r="D569" s="252">
        <v>0.13320000000000001</v>
      </c>
      <c r="E569" t="s">
        <v>3559</v>
      </c>
      <c r="F569" s="245">
        <v>43333</v>
      </c>
    </row>
    <row r="570" spans="1:11">
      <c r="A570" t="s">
        <v>416</v>
      </c>
      <c r="B570" t="s">
        <v>3459</v>
      </c>
      <c r="D570">
        <v>1.8997999999999999</v>
      </c>
      <c r="E570" s="251"/>
      <c r="F570" s="245">
        <v>43007</v>
      </c>
    </row>
    <row r="571" spans="1:11">
      <c r="A571" t="s">
        <v>414</v>
      </c>
      <c r="B571" t="s">
        <v>3557</v>
      </c>
      <c r="D571" s="252">
        <f>0.7145+0.685</f>
        <v>1.3995000000000002</v>
      </c>
      <c r="E571" t="s">
        <v>3938</v>
      </c>
      <c r="F571" s="245">
        <v>43333</v>
      </c>
    </row>
    <row r="572" spans="1:11">
      <c r="A572" t="s">
        <v>413</v>
      </c>
      <c r="B572" t="s">
        <v>3624</v>
      </c>
      <c r="D572" s="252">
        <v>1.9471000000000001</v>
      </c>
      <c r="E572"/>
      <c r="F572" s="245">
        <v>43338</v>
      </c>
    </row>
    <row r="573" spans="1:11">
      <c r="A573" t="s">
        <v>412</v>
      </c>
      <c r="B573" t="s">
        <v>3463</v>
      </c>
      <c r="E573" s="251" t="s">
        <v>3464</v>
      </c>
      <c r="F573" s="245">
        <v>43007</v>
      </c>
    </row>
    <row r="574" spans="1:11">
      <c r="A574" t="s">
        <v>411</v>
      </c>
      <c r="B574" t="s">
        <v>3482</v>
      </c>
      <c r="D574" s="244">
        <v>1.9579</v>
      </c>
      <c r="E574"/>
      <c r="F574" s="245">
        <v>43010</v>
      </c>
    </row>
    <row r="575" spans="1:11">
      <c r="A575" t="s">
        <v>410</v>
      </c>
      <c r="B575" t="s">
        <v>3440</v>
      </c>
      <c r="D575">
        <v>1.7859</v>
      </c>
      <c r="E575" s="251"/>
      <c r="F575" s="245">
        <v>43008</v>
      </c>
    </row>
    <row r="576" spans="1:11">
      <c r="A576" t="s">
        <v>407</v>
      </c>
      <c r="B576" t="s">
        <v>3428</v>
      </c>
      <c r="D576">
        <v>1.9874000000000001</v>
      </c>
      <c r="E576" s="251"/>
      <c r="F576" s="245">
        <v>43007</v>
      </c>
    </row>
    <row r="577" spans="1:11">
      <c r="A577" t="s">
        <v>406</v>
      </c>
      <c r="B577" t="s">
        <v>3570</v>
      </c>
      <c r="D577" s="252">
        <v>1.9025000000000001</v>
      </c>
      <c r="E577" t="s">
        <v>2111</v>
      </c>
      <c r="F577" s="245">
        <v>43334</v>
      </c>
    </row>
    <row r="578" spans="1:11">
      <c r="A578" t="s">
        <v>405</v>
      </c>
      <c r="B578" t="s">
        <v>3602</v>
      </c>
      <c r="D578" s="252">
        <v>1.8914</v>
      </c>
      <c r="E578"/>
      <c r="F578" s="245">
        <v>43337</v>
      </c>
    </row>
    <row r="579" spans="1:11">
      <c r="A579" t="s">
        <v>404</v>
      </c>
      <c r="B579" t="s">
        <v>3469</v>
      </c>
      <c r="D579">
        <v>1.0566</v>
      </c>
      <c r="E579" s="251"/>
      <c r="F579" s="245">
        <v>43010</v>
      </c>
    </row>
    <row r="580" spans="1:11">
      <c r="A580" t="s">
        <v>403</v>
      </c>
      <c r="B580" t="s">
        <v>3413</v>
      </c>
      <c r="D580">
        <v>1.6238999999999999</v>
      </c>
      <c r="E580" s="251"/>
      <c r="F580" s="245">
        <v>43009</v>
      </c>
    </row>
    <row r="581" spans="1:11">
      <c r="A581" t="s">
        <v>402</v>
      </c>
      <c r="B581" t="s">
        <v>3619</v>
      </c>
      <c r="D581" s="252">
        <v>1.9686999999999999</v>
      </c>
      <c r="E581"/>
      <c r="F581" s="245">
        <v>43338</v>
      </c>
    </row>
    <row r="582" spans="1:11">
      <c r="A582" t="s">
        <v>400</v>
      </c>
      <c r="B582" t="s">
        <v>3566</v>
      </c>
      <c r="D582" s="252">
        <v>1.9457</v>
      </c>
      <c r="E582" t="s">
        <v>2115</v>
      </c>
      <c r="F582" s="245">
        <v>43334</v>
      </c>
    </row>
    <row r="583" spans="1:11">
      <c r="A583" t="s">
        <v>399</v>
      </c>
      <c r="B583" t="s">
        <v>3490</v>
      </c>
      <c r="D583" s="244">
        <v>1.6575</v>
      </c>
      <c r="E583"/>
      <c r="F583" s="245">
        <v>43008</v>
      </c>
    </row>
    <row r="584" spans="1:11">
      <c r="A584" t="s">
        <v>398</v>
      </c>
      <c r="B584" t="s">
        <v>3620</v>
      </c>
      <c r="D584" s="252">
        <v>1.9702999999999999</v>
      </c>
      <c r="E584" t="s">
        <v>3607</v>
      </c>
      <c r="F584" s="245">
        <v>43338</v>
      </c>
    </row>
    <row r="585" spans="1:11">
      <c r="A585" t="s">
        <v>397</v>
      </c>
      <c r="B585" t="s">
        <v>3421</v>
      </c>
      <c r="D585">
        <v>1.8767</v>
      </c>
      <c r="E585" s="251"/>
      <c r="F585" s="245">
        <v>43007</v>
      </c>
    </row>
    <row r="586" spans="1:11">
      <c r="A586" t="s">
        <v>396</v>
      </c>
      <c r="B586" t="s">
        <v>3424</v>
      </c>
      <c r="D586">
        <v>1.9944999999999999</v>
      </c>
      <c r="E586" s="251"/>
      <c r="F586" s="245">
        <v>43007</v>
      </c>
    </row>
    <row r="587" spans="1:11">
      <c r="A587" t="s">
        <v>395</v>
      </c>
      <c r="B587" t="s">
        <v>3466</v>
      </c>
      <c r="E587" s="251" t="s">
        <v>3461</v>
      </c>
      <c r="F587" s="245">
        <v>43010</v>
      </c>
    </row>
    <row r="588" spans="1:11">
      <c r="A588" t="s">
        <v>393</v>
      </c>
      <c r="B588" t="s">
        <v>3409</v>
      </c>
      <c r="D588">
        <v>5.0305999999999997</v>
      </c>
      <c r="E588" s="251"/>
      <c r="F588" s="245">
        <v>43008</v>
      </c>
      <c r="K588" s="253"/>
    </row>
    <row r="589" spans="1:11">
      <c r="A589" t="s">
        <v>391</v>
      </c>
      <c r="B589" t="s">
        <v>3434</v>
      </c>
      <c r="D589">
        <v>0.98360000000000003</v>
      </c>
      <c r="E589" s="251" t="s">
        <v>2497</v>
      </c>
      <c r="F589" s="245">
        <v>43007</v>
      </c>
    </row>
    <row r="590" spans="1:11">
      <c r="A590" t="s">
        <v>390</v>
      </c>
      <c r="B590" t="s">
        <v>3426</v>
      </c>
      <c r="D590">
        <v>1.9492</v>
      </c>
      <c r="E590" s="251"/>
      <c r="F590" s="245">
        <v>43007</v>
      </c>
    </row>
    <row r="591" spans="1:11">
      <c r="A591" t="s">
        <v>1066</v>
      </c>
      <c r="B591" t="s">
        <v>3385</v>
      </c>
      <c r="D591">
        <v>0.1565</v>
      </c>
      <c r="E591" s="251" t="s">
        <v>3386</v>
      </c>
      <c r="F591" s="244"/>
    </row>
    <row r="592" spans="1:11">
      <c r="A592" t="s">
        <v>388</v>
      </c>
      <c r="B592" t="s">
        <v>3584</v>
      </c>
      <c r="D592" s="252">
        <v>1.6394</v>
      </c>
      <c r="E592"/>
      <c r="F592" s="245">
        <v>43334</v>
      </c>
    </row>
    <row r="593" spans="1:6">
      <c r="A593" t="s">
        <v>387</v>
      </c>
      <c r="B593" t="s">
        <v>3457</v>
      </c>
      <c r="D593">
        <v>1.6897</v>
      </c>
      <c r="E593" s="251"/>
      <c r="F593" s="245">
        <v>43009</v>
      </c>
    </row>
    <row r="594" spans="1:6">
      <c r="A594" t="s">
        <v>383</v>
      </c>
      <c r="B594" t="s">
        <v>3403</v>
      </c>
      <c r="D594">
        <v>2.0406</v>
      </c>
      <c r="E594" s="251" t="s">
        <v>2497</v>
      </c>
      <c r="F594" s="245">
        <v>43008</v>
      </c>
    </row>
    <row r="595" spans="1:6">
      <c r="A595" t="s">
        <v>382</v>
      </c>
      <c r="B595" t="s">
        <v>3493</v>
      </c>
      <c r="D595" s="244">
        <v>1.7337</v>
      </c>
      <c r="E595"/>
      <c r="F595" s="245">
        <v>43008</v>
      </c>
    </row>
    <row r="596" spans="1:6">
      <c r="A596" t="s">
        <v>381</v>
      </c>
      <c r="B596" t="s">
        <v>3548</v>
      </c>
      <c r="D596" s="252">
        <v>1.6818</v>
      </c>
      <c r="E596" t="s">
        <v>3550</v>
      </c>
      <c r="F596" s="245">
        <v>43333</v>
      </c>
    </row>
    <row r="597" spans="1:6">
      <c r="A597" t="s">
        <v>380</v>
      </c>
      <c r="B597" t="s">
        <v>3397</v>
      </c>
      <c r="D597">
        <v>1.7075</v>
      </c>
      <c r="E597" s="251"/>
      <c r="F597" s="245">
        <v>43009</v>
      </c>
    </row>
    <row r="598" spans="1:6">
      <c r="A598" t="s">
        <v>379</v>
      </c>
      <c r="B598" t="s">
        <v>3574</v>
      </c>
      <c r="D598" s="252">
        <v>1.9821</v>
      </c>
      <c r="E598"/>
      <c r="F598" s="245">
        <v>43334</v>
      </c>
    </row>
    <row r="599" spans="1:6">
      <c r="A599" t="s">
        <v>378</v>
      </c>
      <c r="B599" t="s">
        <v>3627</v>
      </c>
      <c r="D599" s="252">
        <v>1.9017999999999999</v>
      </c>
      <c r="E599"/>
      <c r="F599" s="245">
        <v>43338</v>
      </c>
    </row>
    <row r="600" spans="1:6">
      <c r="A600" t="s">
        <v>377</v>
      </c>
      <c r="B600" t="s">
        <v>3462</v>
      </c>
      <c r="D600">
        <v>1.7052</v>
      </c>
      <c r="E600" s="251"/>
      <c r="F600" s="245">
        <v>43007</v>
      </c>
    </row>
    <row r="601" spans="1:6">
      <c r="A601" t="s">
        <v>376</v>
      </c>
      <c r="B601" t="s">
        <v>3564</v>
      </c>
      <c r="D601" s="252">
        <v>1.9797</v>
      </c>
      <c r="E601"/>
      <c r="F601" s="245">
        <v>43333</v>
      </c>
    </row>
    <row r="602" spans="1:6">
      <c r="A602" t="s">
        <v>375</v>
      </c>
      <c r="B602" t="s">
        <v>3609</v>
      </c>
      <c r="D602" s="252">
        <v>1.9178999999999999</v>
      </c>
      <c r="E602" t="s">
        <v>2115</v>
      </c>
      <c r="F602" s="245">
        <v>43337</v>
      </c>
    </row>
    <row r="603" spans="1:6">
      <c r="A603" t="s">
        <v>374</v>
      </c>
      <c r="B603" t="s">
        <v>3621</v>
      </c>
      <c r="D603" s="252">
        <v>1.9783999999999999</v>
      </c>
      <c r="E603"/>
      <c r="F603" s="245">
        <v>43338</v>
      </c>
    </row>
    <row r="604" spans="1:6">
      <c r="A604" t="s">
        <v>373</v>
      </c>
      <c r="B604" t="s">
        <v>3589</v>
      </c>
      <c r="D604" s="252">
        <v>1.6694</v>
      </c>
      <c r="E604" t="s">
        <v>3590</v>
      </c>
      <c r="F604" s="245">
        <v>43334</v>
      </c>
    </row>
    <row r="605" spans="1:6">
      <c r="A605" t="s">
        <v>371</v>
      </c>
      <c r="B605" t="s">
        <v>3406</v>
      </c>
      <c r="D605">
        <v>0.67179999999999995</v>
      </c>
      <c r="E605" s="251"/>
      <c r="F605" s="245">
        <v>43008</v>
      </c>
    </row>
    <row r="606" spans="1:6">
      <c r="A606" t="s">
        <v>370</v>
      </c>
      <c r="B606" t="s">
        <v>3608</v>
      </c>
      <c r="D606" s="252">
        <v>1.9911000000000001</v>
      </c>
      <c r="E606"/>
      <c r="F606" s="245">
        <v>43337</v>
      </c>
    </row>
    <row r="607" spans="1:6">
      <c r="A607" t="s">
        <v>369</v>
      </c>
      <c r="B607" t="s">
        <v>3610</v>
      </c>
      <c r="D607" s="252">
        <v>1.9444999999999999</v>
      </c>
      <c r="E607"/>
      <c r="F607" s="245">
        <v>43337</v>
      </c>
    </row>
    <row r="608" spans="1:6">
      <c r="A608" t="s">
        <v>368</v>
      </c>
      <c r="B608" t="s">
        <v>3384</v>
      </c>
      <c r="D608">
        <v>1.0895999999999999</v>
      </c>
      <c r="E608" s="251" t="s">
        <v>3375</v>
      </c>
      <c r="F608" s="244"/>
    </row>
    <row r="609" spans="1:11">
      <c r="A609" t="s">
        <v>367</v>
      </c>
      <c r="B609" t="s">
        <v>3483</v>
      </c>
      <c r="D609" s="244">
        <v>1.5579000000000001</v>
      </c>
      <c r="E609"/>
      <c r="F609" s="245">
        <v>43010</v>
      </c>
    </row>
    <row r="610" spans="1:11">
      <c r="A610" t="s">
        <v>366</v>
      </c>
      <c r="B610" t="s">
        <v>3470</v>
      </c>
      <c r="D610" s="244">
        <v>1.3551</v>
      </c>
      <c r="E610"/>
      <c r="F610" s="245">
        <v>43010</v>
      </c>
    </row>
    <row r="611" spans="1:11">
      <c r="A611" t="s">
        <v>365</v>
      </c>
      <c r="B611" t="s">
        <v>3399</v>
      </c>
      <c r="D611">
        <v>1.5979000000000001</v>
      </c>
      <c r="E611" s="251"/>
      <c r="F611" s="245">
        <v>43008</v>
      </c>
    </row>
    <row r="612" spans="1:11">
      <c r="A612" t="s">
        <v>363</v>
      </c>
      <c r="B612" t="s">
        <v>3604</v>
      </c>
      <c r="D612" s="252">
        <v>1.9447000000000001</v>
      </c>
      <c r="E612"/>
      <c r="F612" s="245">
        <v>43337</v>
      </c>
      <c r="K612" s="253"/>
    </row>
    <row r="613" spans="1:11">
      <c r="A613" t="s">
        <v>362</v>
      </c>
      <c r="B613" t="s">
        <v>3477</v>
      </c>
      <c r="D613" s="246">
        <v>1.8240000000000001</v>
      </c>
      <c r="E613"/>
      <c r="F613" s="245">
        <v>43010</v>
      </c>
    </row>
    <row r="614" spans="1:11">
      <c r="A614" t="s">
        <v>361</v>
      </c>
      <c r="B614" t="s">
        <v>3601</v>
      </c>
      <c r="D614" s="252">
        <v>1.9495</v>
      </c>
      <c r="E614" t="s">
        <v>2111</v>
      </c>
      <c r="F614" s="245">
        <v>43337</v>
      </c>
    </row>
    <row r="615" spans="1:11">
      <c r="A615" t="s">
        <v>360</v>
      </c>
      <c r="B615" t="s">
        <v>3400</v>
      </c>
      <c r="D615">
        <v>0.17680000000000001</v>
      </c>
      <c r="E615" s="251" t="s">
        <v>2141</v>
      </c>
      <c r="F615" s="245">
        <v>43008</v>
      </c>
    </row>
    <row r="616" spans="1:11">
      <c r="A616" t="s">
        <v>359</v>
      </c>
      <c r="B616" t="s">
        <v>3625</v>
      </c>
      <c r="D616" s="252">
        <v>1.9477</v>
      </c>
      <c r="E616"/>
      <c r="F616" s="245">
        <v>43338</v>
      </c>
    </row>
    <row r="617" spans="1:11">
      <c r="A617" t="s">
        <v>358</v>
      </c>
      <c r="B617" t="s">
        <v>3486</v>
      </c>
      <c r="D617" s="244">
        <v>1.8687</v>
      </c>
      <c r="E617"/>
      <c r="F617" s="245">
        <v>43010</v>
      </c>
    </row>
    <row r="618" spans="1:11">
      <c r="A618" t="s">
        <v>357</v>
      </c>
      <c r="B618" t="s">
        <v>3555</v>
      </c>
      <c r="D618" s="252">
        <v>1.992</v>
      </c>
      <c r="E618"/>
      <c r="F618" s="245">
        <v>43333</v>
      </c>
    </row>
    <row r="619" spans="1:11">
      <c r="A619" t="s">
        <v>356</v>
      </c>
      <c r="B619" t="s">
        <v>3561</v>
      </c>
      <c r="D619" s="252">
        <v>1.8973</v>
      </c>
      <c r="E619" t="s">
        <v>2111</v>
      </c>
      <c r="F619" s="245">
        <v>43333</v>
      </c>
    </row>
    <row r="620" spans="1:11">
      <c r="A620" t="s">
        <v>355</v>
      </c>
      <c r="B620" t="s">
        <v>3460</v>
      </c>
      <c r="E620" s="251" t="s">
        <v>3461</v>
      </c>
      <c r="F620" s="245">
        <v>43007</v>
      </c>
    </row>
    <row r="621" spans="1:11">
      <c r="A621" t="s">
        <v>354</v>
      </c>
      <c r="B621" t="s">
        <v>3430</v>
      </c>
      <c r="D621">
        <v>3.7812999999999999</v>
      </c>
      <c r="E621" s="251" t="s">
        <v>2497</v>
      </c>
      <c r="F621" s="245">
        <v>43007</v>
      </c>
    </row>
    <row r="622" spans="1:11">
      <c r="A622" t="s">
        <v>353</v>
      </c>
      <c r="B622" t="s">
        <v>3378</v>
      </c>
      <c r="D622">
        <v>1.7806</v>
      </c>
      <c r="E622" s="251" t="s">
        <v>2497</v>
      </c>
      <c r="F622" s="245">
        <v>43008</v>
      </c>
    </row>
    <row r="623" spans="1:11">
      <c r="A623" t="s">
        <v>352</v>
      </c>
      <c r="B623" t="s">
        <v>3615</v>
      </c>
      <c r="D623" s="252">
        <v>1.8551</v>
      </c>
      <c r="E623"/>
      <c r="F623" s="245">
        <v>43337</v>
      </c>
    </row>
    <row r="624" spans="1:11">
      <c r="A624" t="s">
        <v>351</v>
      </c>
      <c r="B624" t="s">
        <v>3474</v>
      </c>
      <c r="D624" s="244">
        <v>0.43190000000000001</v>
      </c>
      <c r="E624" t="s">
        <v>3461</v>
      </c>
      <c r="F624" s="245">
        <v>43010</v>
      </c>
    </row>
    <row r="625" spans="1:6">
      <c r="A625" t="s">
        <v>350</v>
      </c>
      <c r="B625" t="s">
        <v>3415</v>
      </c>
      <c r="D625">
        <v>2.4607999999999999</v>
      </c>
      <c r="E625" s="251" t="s">
        <v>3411</v>
      </c>
      <c r="F625" s="245">
        <v>43008</v>
      </c>
    </row>
    <row r="626" spans="1:6">
      <c r="A626" t="s">
        <v>349</v>
      </c>
      <c r="B626" t="s">
        <v>3484</v>
      </c>
      <c r="D626" s="244">
        <v>2.2315</v>
      </c>
      <c r="E626" t="s">
        <v>3485</v>
      </c>
      <c r="F626" s="245">
        <v>43010</v>
      </c>
    </row>
    <row r="627" spans="1:6">
      <c r="A627" t="s">
        <v>348</v>
      </c>
      <c r="B627" t="s">
        <v>3492</v>
      </c>
      <c r="D627" s="246">
        <v>1.629</v>
      </c>
      <c r="E627" t="s">
        <v>3445</v>
      </c>
      <c r="F627" s="245">
        <v>43008</v>
      </c>
    </row>
    <row r="628" spans="1:6">
      <c r="A628" t="s">
        <v>347</v>
      </c>
      <c r="B628" t="s">
        <v>3489</v>
      </c>
      <c r="D628" s="244"/>
      <c r="E628" t="s">
        <v>3546</v>
      </c>
      <c r="F628" s="245">
        <v>43008</v>
      </c>
    </row>
    <row r="629" spans="1:6">
      <c r="A629" t="s">
        <v>346</v>
      </c>
      <c r="B629" t="s">
        <v>3419</v>
      </c>
      <c r="D629">
        <v>0.24560000000000001</v>
      </c>
      <c r="E629" s="251" t="s">
        <v>2141</v>
      </c>
      <c r="F629" s="245">
        <v>43007</v>
      </c>
    </row>
    <row r="630" spans="1:6">
      <c r="A630" t="s">
        <v>345</v>
      </c>
      <c r="B630" t="s">
        <v>3626</v>
      </c>
      <c r="D630" s="252">
        <v>1.9469000000000001</v>
      </c>
      <c r="E630"/>
      <c r="F630" s="245">
        <v>43338</v>
      </c>
    </row>
    <row r="631" spans="1:6">
      <c r="A631" t="s">
        <v>344</v>
      </c>
      <c r="B631" t="s">
        <v>3598</v>
      </c>
      <c r="D631" s="252">
        <v>0.83220000000000005</v>
      </c>
      <c r="E631" t="s">
        <v>3600</v>
      </c>
      <c r="F631" s="245">
        <v>43334</v>
      </c>
    </row>
    <row r="632" spans="1:6">
      <c r="A632" t="s">
        <v>343</v>
      </c>
      <c r="B632" t="s">
        <v>3565</v>
      </c>
      <c r="D632" s="252">
        <v>1.9076</v>
      </c>
      <c r="E632"/>
      <c r="F632" s="245">
        <v>43333</v>
      </c>
    </row>
    <row r="633" spans="1:6">
      <c r="A633" t="s">
        <v>342</v>
      </c>
      <c r="B633" t="s">
        <v>3596</v>
      </c>
      <c r="D633" s="252">
        <v>1.5708</v>
      </c>
      <c r="E633"/>
      <c r="F633" s="245">
        <v>43334</v>
      </c>
    </row>
    <row r="634" spans="1:6">
      <c r="A634" t="s">
        <v>341</v>
      </c>
      <c r="B634" t="s">
        <v>3576</v>
      </c>
      <c r="D634" s="252">
        <v>1.8956999999999999</v>
      </c>
      <c r="E634"/>
      <c r="F634" s="245">
        <v>43334</v>
      </c>
    </row>
    <row r="635" spans="1:6">
      <c r="A635" t="s">
        <v>340</v>
      </c>
      <c r="B635" t="s">
        <v>2228</v>
      </c>
      <c r="D635" s="252">
        <v>1.3494999999999999</v>
      </c>
      <c r="E635" t="s">
        <v>3585</v>
      </c>
      <c r="F635" s="245">
        <v>43334</v>
      </c>
    </row>
    <row r="636" spans="1:6">
      <c r="A636" t="s">
        <v>1061</v>
      </c>
      <c r="B636" t="s">
        <v>3448</v>
      </c>
      <c r="D636">
        <v>1.8815999999999999</v>
      </c>
      <c r="E636" s="251"/>
      <c r="F636" s="245">
        <v>43009</v>
      </c>
    </row>
    <row r="637" spans="1:6">
      <c r="A637" t="s">
        <v>339</v>
      </c>
      <c r="B637" t="s">
        <v>3613</v>
      </c>
      <c r="D637" s="252">
        <v>1.8712</v>
      </c>
      <c r="E637" t="s">
        <v>2115</v>
      </c>
      <c r="F637" s="245">
        <v>43337</v>
      </c>
    </row>
    <row r="638" spans="1:6">
      <c r="A638" t="s">
        <v>337</v>
      </c>
      <c r="B638" t="s">
        <v>3583</v>
      </c>
      <c r="D638" s="252">
        <v>1.6778</v>
      </c>
      <c r="E638"/>
      <c r="F638" s="245">
        <v>43334</v>
      </c>
    </row>
    <row r="639" spans="1:6">
      <c r="A639" t="s">
        <v>336</v>
      </c>
      <c r="B639">
        <v>212</v>
      </c>
      <c r="C639" t="s">
        <v>2490</v>
      </c>
      <c r="D639">
        <v>0.78500000000000003</v>
      </c>
      <c r="E639" s="221" t="s">
        <v>2496</v>
      </c>
      <c r="F639" s="16">
        <v>43208</v>
      </c>
    </row>
    <row r="640" spans="1:6">
      <c r="A640" t="s">
        <v>335</v>
      </c>
      <c r="B640" t="s">
        <v>3487</v>
      </c>
      <c r="D640" s="244">
        <v>1.3936999999999999</v>
      </c>
      <c r="E640"/>
      <c r="F640" s="245">
        <v>43010</v>
      </c>
    </row>
    <row r="641" spans="1:11">
      <c r="A641" t="s">
        <v>333</v>
      </c>
      <c r="B641" t="s">
        <v>3552</v>
      </c>
      <c r="D641" s="252">
        <v>0.14760000000000001</v>
      </c>
      <c r="E641" t="s">
        <v>3553</v>
      </c>
      <c r="F641" s="245">
        <v>43333</v>
      </c>
    </row>
    <row r="642" spans="1:11">
      <c r="A642" t="s">
        <v>332</v>
      </c>
      <c r="B642" t="s">
        <v>3395</v>
      </c>
      <c r="D642">
        <v>1.5793999999999999</v>
      </c>
      <c r="E642" s="251" t="s">
        <v>3390</v>
      </c>
      <c r="F642" s="245">
        <v>43008</v>
      </c>
    </row>
    <row r="643" spans="1:11">
      <c r="A643" t="s">
        <v>331</v>
      </c>
      <c r="B643" t="s">
        <v>3475</v>
      </c>
      <c r="D643" s="244">
        <v>0</v>
      </c>
      <c r="E643" t="s">
        <v>3476</v>
      </c>
      <c r="F643" s="245">
        <v>43010</v>
      </c>
    </row>
    <row r="644" spans="1:11">
      <c r="A644" t="s">
        <v>329</v>
      </c>
      <c r="B644" t="s">
        <v>3612</v>
      </c>
      <c r="D644" s="252">
        <v>1.9188000000000001</v>
      </c>
      <c r="E644" t="s">
        <v>2115</v>
      </c>
      <c r="F644" s="245">
        <v>43337</v>
      </c>
      <c r="K644" s="253"/>
    </row>
    <row r="645" spans="1:11">
      <c r="A645" t="s">
        <v>328</v>
      </c>
      <c r="B645" t="s">
        <v>3432</v>
      </c>
      <c r="D645">
        <v>1.8292999999999999</v>
      </c>
      <c r="E645" s="251" t="s">
        <v>3390</v>
      </c>
      <c r="F645" s="245">
        <v>43007</v>
      </c>
    </row>
    <row r="646" spans="1:11">
      <c r="A646" t="s">
        <v>327</v>
      </c>
      <c r="B646" t="s">
        <v>3611</v>
      </c>
      <c r="D646" s="252">
        <v>1.8855</v>
      </c>
      <c r="E646"/>
      <c r="F646" s="245">
        <v>43337</v>
      </c>
    </row>
    <row r="647" spans="1:11">
      <c r="A647" t="s">
        <v>326</v>
      </c>
      <c r="B647" t="s">
        <v>3410</v>
      </c>
      <c r="D647">
        <v>2.1772999999999998</v>
      </c>
      <c r="E647" s="251" t="s">
        <v>3411</v>
      </c>
      <c r="F647" s="245">
        <v>43008</v>
      </c>
    </row>
    <row r="648" spans="1:11">
      <c r="A648" t="s">
        <v>325</v>
      </c>
      <c r="B648" t="s">
        <v>3407</v>
      </c>
      <c r="D648">
        <v>2.4714999999999998</v>
      </c>
      <c r="E648" s="251"/>
      <c r="F648" s="245">
        <v>43009</v>
      </c>
    </row>
    <row r="649" spans="1:11">
      <c r="A649" t="s">
        <v>324</v>
      </c>
      <c r="B649" t="s">
        <v>3614</v>
      </c>
      <c r="D649" s="252">
        <v>1.9467000000000001</v>
      </c>
      <c r="E649"/>
      <c r="F649" s="245">
        <v>43337</v>
      </c>
    </row>
    <row r="650" spans="1:11">
      <c r="A650" t="s">
        <v>323</v>
      </c>
      <c r="B650" t="s">
        <v>3575</v>
      </c>
      <c r="D650" s="252">
        <v>1.9451000000000001</v>
      </c>
      <c r="E650"/>
      <c r="F650" s="245">
        <v>43334</v>
      </c>
    </row>
    <row r="651" spans="1:11">
      <c r="A651" t="s">
        <v>321</v>
      </c>
      <c r="B651" t="s">
        <v>3603</v>
      </c>
      <c r="D651" s="252">
        <v>1.9155</v>
      </c>
      <c r="E651"/>
      <c r="F651" s="245">
        <v>43337</v>
      </c>
    </row>
    <row r="652" spans="1:11">
      <c r="A652" t="s">
        <v>320</v>
      </c>
      <c r="B652" t="s">
        <v>3491</v>
      </c>
      <c r="D652" s="244">
        <v>2.8028</v>
      </c>
      <c r="E652"/>
      <c r="F652" s="245">
        <v>43008</v>
      </c>
    </row>
    <row r="653" spans="1:11">
      <c r="A653" t="s">
        <v>319</v>
      </c>
      <c r="B653" t="s">
        <v>3578</v>
      </c>
      <c r="D653" s="252">
        <v>1.2708999999999999</v>
      </c>
      <c r="E653" t="s">
        <v>3580</v>
      </c>
      <c r="F653" s="245">
        <v>43334</v>
      </c>
    </row>
    <row r="654" spans="1:11">
      <c r="A654" t="s">
        <v>318</v>
      </c>
      <c r="B654" t="s">
        <v>3399</v>
      </c>
      <c r="D654">
        <v>0.2059</v>
      </c>
      <c r="E654" s="251" t="s">
        <v>3390</v>
      </c>
      <c r="F654" s="245">
        <v>43008</v>
      </c>
    </row>
    <row r="655" spans="1:11">
      <c r="A655" t="s">
        <v>316</v>
      </c>
      <c r="B655" t="s">
        <v>3478</v>
      </c>
      <c r="D655" s="244"/>
      <c r="E655" t="s">
        <v>3479</v>
      </c>
      <c r="F655" s="245">
        <v>43010</v>
      </c>
    </row>
    <row r="656" spans="1:11">
      <c r="A656" t="s">
        <v>315</v>
      </c>
      <c r="B656" t="s">
        <v>3488</v>
      </c>
      <c r="D656" s="244">
        <v>1.7653000000000001</v>
      </c>
      <c r="E656"/>
      <c r="F656" s="245">
        <v>43010</v>
      </c>
    </row>
    <row r="657" spans="1:6">
      <c r="A657" t="s">
        <v>314</v>
      </c>
      <c r="B657" t="s">
        <v>3623</v>
      </c>
      <c r="D657" s="252">
        <v>1.8925000000000001</v>
      </c>
      <c r="E657"/>
      <c r="F657" s="245">
        <v>43338</v>
      </c>
    </row>
    <row r="658" spans="1:6">
      <c r="A658" t="s">
        <v>313</v>
      </c>
      <c r="B658" t="s">
        <v>3425</v>
      </c>
      <c r="D658">
        <v>1.9086000000000001</v>
      </c>
      <c r="E658" s="251"/>
      <c r="F658" s="245">
        <v>43007</v>
      </c>
    </row>
    <row r="659" spans="1:6">
      <c r="A659" t="s">
        <v>311</v>
      </c>
      <c r="B659" t="s">
        <v>3616</v>
      </c>
      <c r="D659" s="252">
        <v>1.7596000000000001</v>
      </c>
      <c r="E659" t="s">
        <v>2115</v>
      </c>
      <c r="F659" s="245">
        <v>43337</v>
      </c>
    </row>
    <row r="660" spans="1:6">
      <c r="A660" t="s">
        <v>310</v>
      </c>
      <c r="B660" t="s">
        <v>3591</v>
      </c>
      <c r="D660" s="252">
        <v>1.1127</v>
      </c>
      <c r="E660" t="s">
        <v>3582</v>
      </c>
      <c r="F660" s="245">
        <v>43334</v>
      </c>
    </row>
    <row r="661" spans="1:6">
      <c r="A661" t="s">
        <v>309</v>
      </c>
      <c r="B661" t="s">
        <v>3577</v>
      </c>
      <c r="D661" s="252">
        <v>1.9719</v>
      </c>
      <c r="E661"/>
      <c r="F661" s="245">
        <v>43334</v>
      </c>
    </row>
    <row r="662" spans="1:6">
      <c r="A662" t="s">
        <v>308</v>
      </c>
      <c r="B662" t="s">
        <v>3568</v>
      </c>
      <c r="D662" s="252">
        <v>1.9105000000000001</v>
      </c>
      <c r="E662" t="s">
        <v>3569</v>
      </c>
      <c r="F662" s="245">
        <v>43334</v>
      </c>
    </row>
    <row r="663" spans="1:6">
      <c r="A663" t="s">
        <v>307</v>
      </c>
      <c r="B663" t="s">
        <v>3468</v>
      </c>
      <c r="D663">
        <v>1.7279</v>
      </c>
      <c r="E663" s="251"/>
      <c r="F663" s="245">
        <v>43010</v>
      </c>
    </row>
    <row r="664" spans="1:6">
      <c r="A664" t="s">
        <v>306</v>
      </c>
      <c r="B664" t="s">
        <v>3547</v>
      </c>
      <c r="D664" s="252">
        <v>1.9791000000000001</v>
      </c>
      <c r="E664"/>
      <c r="F664" s="245">
        <v>43333</v>
      </c>
    </row>
    <row r="665" spans="1:6">
      <c r="A665" t="s">
        <v>304</v>
      </c>
      <c r="B665" t="s">
        <v>3379</v>
      </c>
      <c r="D665">
        <v>1.7563</v>
      </c>
      <c r="E665" s="251"/>
      <c r="F665" s="245">
        <v>43008</v>
      </c>
    </row>
    <row r="666" spans="1:6">
      <c r="A666" t="s">
        <v>303</v>
      </c>
      <c r="B666" t="s">
        <v>3481</v>
      </c>
      <c r="D666" s="244">
        <v>0.62509999999999999</v>
      </c>
      <c r="E666"/>
      <c r="F666" s="245">
        <v>43010</v>
      </c>
    </row>
    <row r="667" spans="1:6">
      <c r="A667" t="s">
        <v>302</v>
      </c>
      <c r="B667" t="s">
        <v>3465</v>
      </c>
      <c r="D667">
        <v>1.7436</v>
      </c>
      <c r="E667" s="251"/>
      <c r="F667" s="245">
        <v>43008</v>
      </c>
    </row>
    <row r="668" spans="1:6">
      <c r="A668" t="s">
        <v>301</v>
      </c>
      <c r="B668" t="s">
        <v>3423</v>
      </c>
      <c r="D668">
        <v>1.0848</v>
      </c>
      <c r="E668" s="251" t="s">
        <v>3631</v>
      </c>
      <c r="F668" s="245">
        <v>43007</v>
      </c>
    </row>
    <row r="669" spans="1:6">
      <c r="A669" t="s">
        <v>300</v>
      </c>
      <c r="B669" t="s">
        <v>3562</v>
      </c>
      <c r="D669" s="252">
        <v>1.9775</v>
      </c>
      <c r="E669"/>
      <c r="F669" s="245">
        <v>43333</v>
      </c>
    </row>
    <row r="670" spans="1:6">
      <c r="A670" t="s">
        <v>1057</v>
      </c>
      <c r="B670" t="s">
        <v>3480</v>
      </c>
      <c r="D670" s="244">
        <v>1.8827</v>
      </c>
      <c r="E670"/>
      <c r="F670" s="245">
        <v>43010</v>
      </c>
    </row>
    <row r="671" spans="1:6">
      <c r="A671" t="s">
        <v>299</v>
      </c>
      <c r="B671" t="s">
        <v>3622</v>
      </c>
      <c r="D671" s="252">
        <v>2.0405000000000002</v>
      </c>
      <c r="E671"/>
      <c r="F671" s="245">
        <v>43338</v>
      </c>
    </row>
    <row r="672" spans="1:6">
      <c r="C672" s="252"/>
      <c r="E672"/>
    </row>
  </sheetData>
  <sortState ref="A2:K671">
    <sortCondition ref="A2"/>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G363"/>
  <sheetViews>
    <sheetView zoomScale="85" zoomScaleNormal="85" workbookViewId="0">
      <pane xSplit="3" ySplit="2" topLeftCell="Q3" activePane="bottomRight" state="frozen"/>
      <selection pane="topRight" activeCell="D1" sqref="D1"/>
      <selection pane="bottomLeft" activeCell="A3" sqref="A3"/>
      <selection pane="bottomRight" activeCell="Y20" sqref="Y20"/>
    </sheetView>
  </sheetViews>
  <sheetFormatPr baseColWidth="10" defaultColWidth="11.44140625" defaultRowHeight="14.4"/>
  <cols>
    <col min="3" max="3" width="14.6640625" customWidth="1"/>
    <col min="11" max="11" width="11.44140625" customWidth="1"/>
    <col min="27" max="27" width="24.44140625" customWidth="1"/>
    <col min="30" max="30" width="37.77734375" customWidth="1"/>
  </cols>
  <sheetData>
    <row r="1" spans="1:33">
      <c r="A1" s="118" t="s">
        <v>2159</v>
      </c>
      <c r="B1" s="119" t="s">
        <v>2627</v>
      </c>
      <c r="C1" s="119" t="s">
        <v>2161</v>
      </c>
      <c r="D1" s="119" t="s">
        <v>2625</v>
      </c>
      <c r="E1" s="117" t="s">
        <v>1141</v>
      </c>
      <c r="F1" s="117" t="s">
        <v>2163</v>
      </c>
      <c r="G1" s="117" t="s">
        <v>1141</v>
      </c>
      <c r="H1" s="117" t="s">
        <v>2163</v>
      </c>
      <c r="I1" s="117" t="s">
        <v>2164</v>
      </c>
      <c r="J1" s="117" t="s">
        <v>1147</v>
      </c>
      <c r="K1" s="117"/>
      <c r="L1" s="117" t="s">
        <v>298</v>
      </c>
      <c r="M1" s="117"/>
      <c r="N1" s="117" t="s">
        <v>2165</v>
      </c>
      <c r="O1" s="117"/>
      <c r="P1" s="117" t="s">
        <v>2166</v>
      </c>
      <c r="Q1" s="117"/>
      <c r="R1" s="118" t="s">
        <v>2167</v>
      </c>
      <c r="S1" s="118" t="s">
        <v>2168</v>
      </c>
      <c r="T1" s="118" t="s">
        <v>2167</v>
      </c>
      <c r="U1" s="118" t="s">
        <v>2168</v>
      </c>
      <c r="V1" s="119" t="s">
        <v>1147</v>
      </c>
      <c r="W1" s="119" t="s">
        <v>298</v>
      </c>
      <c r="X1" s="119" t="s">
        <v>2169</v>
      </c>
      <c r="Y1" s="119" t="s">
        <v>2166</v>
      </c>
      <c r="Z1" s="120" t="s">
        <v>2170</v>
      </c>
      <c r="AA1" s="120" t="s">
        <v>3361</v>
      </c>
      <c r="AB1" s="120" t="s">
        <v>2170</v>
      </c>
      <c r="AC1" s="120" t="s">
        <v>3629</v>
      </c>
      <c r="AD1" s="155"/>
      <c r="AE1" s="158"/>
    </row>
    <row r="2" spans="1:33">
      <c r="A2" s="135" t="s">
        <v>2149</v>
      </c>
      <c r="B2" s="135"/>
      <c r="C2" s="135"/>
      <c r="D2" s="135"/>
      <c r="E2" s="135" t="s">
        <v>2150</v>
      </c>
      <c r="F2" s="135"/>
      <c r="G2" s="135" t="s">
        <v>2151</v>
      </c>
      <c r="H2" s="135"/>
      <c r="I2" s="117" t="s">
        <v>2152</v>
      </c>
      <c r="J2" s="135" t="s">
        <v>2153</v>
      </c>
      <c r="K2" s="135"/>
      <c r="L2" s="135" t="s">
        <v>2153</v>
      </c>
      <c r="M2" s="135"/>
      <c r="N2" s="135" t="s">
        <v>2153</v>
      </c>
      <c r="O2" s="135"/>
      <c r="P2" s="135" t="s">
        <v>2153</v>
      </c>
      <c r="Q2" s="135"/>
      <c r="R2" s="135" t="s">
        <v>2453</v>
      </c>
      <c r="S2" s="135"/>
      <c r="T2" s="135" t="s">
        <v>2452</v>
      </c>
      <c r="U2" s="135"/>
      <c r="V2" s="147" t="s">
        <v>2154</v>
      </c>
      <c r="W2" s="147"/>
      <c r="X2" s="147"/>
      <c r="Y2" s="147"/>
      <c r="Z2" s="150" t="s">
        <v>2155</v>
      </c>
      <c r="AA2" s="150"/>
      <c r="AB2" s="150" t="s">
        <v>2156</v>
      </c>
      <c r="AC2" s="150"/>
      <c r="AD2" s="155" t="s">
        <v>2157</v>
      </c>
      <c r="AE2" s="158" t="s">
        <v>2158</v>
      </c>
      <c r="AG2" s="165"/>
    </row>
    <row r="3" spans="1:33">
      <c r="A3" s="134">
        <v>1</v>
      </c>
      <c r="B3" s="136" t="s">
        <v>2171</v>
      </c>
      <c r="C3" s="136" t="s">
        <v>2172</v>
      </c>
      <c r="D3" s="137" t="s">
        <v>2173</v>
      </c>
      <c r="E3" s="140">
        <v>42766</v>
      </c>
      <c r="F3" s="141">
        <v>0.52083333333333337</v>
      </c>
      <c r="G3" s="140">
        <v>42818</v>
      </c>
      <c r="H3" s="141">
        <v>0.37847222222222227</v>
      </c>
      <c r="I3" s="123">
        <v>854</v>
      </c>
      <c r="J3" s="123">
        <v>436</v>
      </c>
      <c r="K3" s="142" t="str">
        <f>_xlfn.TEXTJOIN(,TRUE, "G",J3)</f>
        <v>G436</v>
      </c>
      <c r="L3" s="123">
        <v>17</v>
      </c>
      <c r="M3" s="142" t="str">
        <f>_xlfn.TEXTJOIN(,TRUE, "R",L3)</f>
        <v>R17</v>
      </c>
      <c r="N3" s="123">
        <v>752</v>
      </c>
      <c r="O3" s="142" t="str">
        <f>_xlfn.TEXTJOIN(,TRUE, "G",N3)</f>
        <v>G752</v>
      </c>
      <c r="P3" s="123">
        <v>133</v>
      </c>
      <c r="Q3" s="142" t="str">
        <f>_xlfn.TEXTJOIN(,TRUE, "R",P3)</f>
        <v>R133</v>
      </c>
      <c r="R3" s="123">
        <v>23.4</v>
      </c>
      <c r="S3" s="123">
        <v>17.3</v>
      </c>
      <c r="T3" s="138">
        <v>26</v>
      </c>
      <c r="U3" s="139">
        <v>12.2</v>
      </c>
      <c r="V3" s="160" t="s">
        <v>2174</v>
      </c>
      <c r="W3" s="148" t="s">
        <v>2174</v>
      </c>
      <c r="X3" s="126"/>
      <c r="Y3" s="126"/>
      <c r="Z3" s="146">
        <v>41</v>
      </c>
      <c r="AA3" s="149" t="s">
        <v>2175</v>
      </c>
      <c r="AB3" s="161">
        <v>26.4</v>
      </c>
      <c r="AC3" s="149">
        <v>1</v>
      </c>
      <c r="AD3" s="154" t="s">
        <v>2176</v>
      </c>
      <c r="AE3" s="421" t="s">
        <v>2177</v>
      </c>
    </row>
    <row r="4" spans="1:33">
      <c r="A4" s="121">
        <v>2</v>
      </c>
      <c r="B4" s="122" t="s">
        <v>2171</v>
      </c>
      <c r="C4" s="122" t="s">
        <v>2178</v>
      </c>
      <c r="D4" s="122" t="s">
        <v>2173</v>
      </c>
      <c r="E4" s="140">
        <v>42766</v>
      </c>
      <c r="F4" s="125">
        <v>0.52083333333333337</v>
      </c>
      <c r="G4" s="124">
        <v>42818</v>
      </c>
      <c r="H4" s="125">
        <v>0.38194444444444442</v>
      </c>
      <c r="I4" s="123">
        <v>855</v>
      </c>
      <c r="J4" s="123">
        <v>568</v>
      </c>
      <c r="K4" s="142" t="str">
        <f>_xlfn.TEXTJOIN(,TRUE, "G",J4)</f>
        <v>G568</v>
      </c>
      <c r="L4" s="123">
        <v>121</v>
      </c>
      <c r="M4" s="142" t="str">
        <f t="shared" ref="M4:M67" si="0">_xlfn.TEXTJOIN(,TRUE, "R",L4)</f>
        <v>R121</v>
      </c>
      <c r="N4" s="123">
        <v>737</v>
      </c>
      <c r="O4" s="142" t="str">
        <f t="shared" ref="O4:O67" si="1">_xlfn.TEXTJOIN(,TRUE, "G",N4)</f>
        <v>G737</v>
      </c>
      <c r="P4" s="123">
        <v>527</v>
      </c>
      <c r="Q4" s="142" t="str">
        <f t="shared" ref="Q4:Q67" si="2">_xlfn.TEXTJOIN(,TRUE, "R",P4)</f>
        <v>R527</v>
      </c>
      <c r="R4" s="123">
        <v>23.5</v>
      </c>
      <c r="S4" s="123">
        <v>17.399999999999999</v>
      </c>
      <c r="T4" s="128">
        <v>26.3</v>
      </c>
      <c r="U4" s="123">
        <v>8.8000000000000007</v>
      </c>
      <c r="V4" s="126"/>
      <c r="W4" s="126"/>
      <c r="X4" s="126"/>
      <c r="Y4" s="126"/>
      <c r="Z4" s="123">
        <v>39.799999999999997</v>
      </c>
      <c r="AA4" s="126" t="s">
        <v>2175</v>
      </c>
      <c r="AB4" s="153">
        <v>22.4</v>
      </c>
      <c r="AC4" s="162">
        <v>1</v>
      </c>
      <c r="AD4" s="153"/>
      <c r="AE4" s="156" t="s">
        <v>3360</v>
      </c>
    </row>
    <row r="5" spans="1:33">
      <c r="A5" s="168">
        <v>3</v>
      </c>
      <c r="B5" s="169" t="s">
        <v>2171</v>
      </c>
      <c r="C5" s="169" t="s">
        <v>2179</v>
      </c>
      <c r="D5" s="169" t="s">
        <v>2173</v>
      </c>
      <c r="E5" s="172">
        <v>42766</v>
      </c>
      <c r="F5" s="173">
        <v>0.52430555555555558</v>
      </c>
      <c r="G5" s="124">
        <v>42819</v>
      </c>
      <c r="H5" s="168"/>
      <c r="I5" s="168">
        <v>856</v>
      </c>
      <c r="J5" s="168">
        <v>631</v>
      </c>
      <c r="K5" s="142" t="str">
        <f t="shared" ref="K5:K67" si="3">_xlfn.TEXTJOIN(,TRUE, "G",J5)</f>
        <v>G631</v>
      </c>
      <c r="L5" s="168">
        <v>158</v>
      </c>
      <c r="M5" s="142" t="str">
        <f t="shared" si="0"/>
        <v>R158</v>
      </c>
      <c r="N5" s="168">
        <v>661</v>
      </c>
      <c r="O5" s="142" t="str">
        <f t="shared" si="1"/>
        <v>G661</v>
      </c>
      <c r="P5" s="168">
        <v>498</v>
      </c>
      <c r="Q5" s="142" t="str">
        <f t="shared" si="2"/>
        <v>R498</v>
      </c>
      <c r="R5" s="168">
        <v>24.7</v>
      </c>
      <c r="S5" s="168">
        <v>17.399999999999999</v>
      </c>
      <c r="T5" s="174"/>
      <c r="U5" s="168">
        <v>11.9</v>
      </c>
      <c r="V5" s="171"/>
      <c r="W5" s="171"/>
      <c r="X5" s="171"/>
      <c r="Y5" s="171"/>
      <c r="Z5" s="168"/>
      <c r="AA5" s="171"/>
      <c r="AB5" s="168"/>
      <c r="AC5" s="171"/>
      <c r="AD5" s="168"/>
      <c r="AE5" t="s">
        <v>2180</v>
      </c>
    </row>
    <row r="6" spans="1:33">
      <c r="A6" s="121">
        <v>4</v>
      </c>
      <c r="B6" s="122" t="s">
        <v>2171</v>
      </c>
      <c r="C6" s="122" t="s">
        <v>2181</v>
      </c>
      <c r="D6" s="122" t="s">
        <v>2173</v>
      </c>
      <c r="E6" s="140">
        <v>42766</v>
      </c>
      <c r="F6" s="125">
        <v>0.52777777777777779</v>
      </c>
      <c r="G6" s="124">
        <v>42818</v>
      </c>
      <c r="H6" s="125">
        <v>0.375</v>
      </c>
      <c r="I6" s="123">
        <v>857</v>
      </c>
      <c r="J6" s="123">
        <v>652</v>
      </c>
      <c r="K6" s="142" t="str">
        <f t="shared" si="3"/>
        <v>G652</v>
      </c>
      <c r="L6" s="123">
        <v>115</v>
      </c>
      <c r="M6" s="142" t="str">
        <f t="shared" si="0"/>
        <v>R115</v>
      </c>
      <c r="N6" s="123">
        <v>532</v>
      </c>
      <c r="O6" s="142" t="str">
        <f t="shared" si="1"/>
        <v>G532</v>
      </c>
      <c r="P6" s="123">
        <v>508</v>
      </c>
      <c r="Q6" s="142" t="str">
        <f t="shared" si="2"/>
        <v>R508</v>
      </c>
      <c r="R6" s="123">
        <v>25.4</v>
      </c>
      <c r="S6" s="123">
        <v>17.399999999999999</v>
      </c>
      <c r="T6" s="127">
        <v>25.7</v>
      </c>
      <c r="U6" s="123"/>
      <c r="V6" s="126"/>
      <c r="W6" s="126" t="s">
        <v>2182</v>
      </c>
      <c r="X6" s="126"/>
      <c r="Y6" s="126"/>
      <c r="Z6" s="123"/>
      <c r="AA6" s="151"/>
      <c r="AB6" s="123"/>
      <c r="AC6" s="126"/>
      <c r="AD6" s="123"/>
      <c r="AE6" s="157" t="s">
        <v>2183</v>
      </c>
    </row>
    <row r="7" spans="1:33">
      <c r="A7" s="121">
        <v>5</v>
      </c>
      <c r="B7" s="122" t="s">
        <v>2171</v>
      </c>
      <c r="C7" s="122" t="s">
        <v>2184</v>
      </c>
      <c r="D7" s="122" t="s">
        <v>2173</v>
      </c>
      <c r="E7" s="140">
        <v>42766</v>
      </c>
      <c r="F7" s="125">
        <v>0.53125</v>
      </c>
      <c r="G7" s="124">
        <v>42818</v>
      </c>
      <c r="H7" s="125">
        <v>0.375</v>
      </c>
      <c r="I7" s="123">
        <v>858</v>
      </c>
      <c r="J7" s="123">
        <v>497</v>
      </c>
      <c r="K7" s="142" t="str">
        <f t="shared" si="3"/>
        <v>G497</v>
      </c>
      <c r="L7" s="123">
        <v>502</v>
      </c>
      <c r="M7" s="142" t="str">
        <f t="shared" si="0"/>
        <v>R502</v>
      </c>
      <c r="N7" s="123">
        <v>577</v>
      </c>
      <c r="O7" s="142" t="str">
        <f t="shared" si="1"/>
        <v>G577</v>
      </c>
      <c r="P7" s="123">
        <v>38</v>
      </c>
      <c r="Q7" s="142" t="str">
        <f t="shared" si="2"/>
        <v>R38</v>
      </c>
      <c r="R7" s="123">
        <v>24.3</v>
      </c>
      <c r="S7" s="123">
        <v>13.8</v>
      </c>
      <c r="T7" s="127">
        <v>25.9</v>
      </c>
      <c r="U7" s="123">
        <v>10.4</v>
      </c>
      <c r="V7" s="126"/>
      <c r="W7" s="126"/>
      <c r="X7" s="126"/>
      <c r="Y7" s="126"/>
      <c r="Z7" s="123">
        <v>36.4</v>
      </c>
      <c r="AA7" s="126" t="s">
        <v>2175</v>
      </c>
      <c r="AB7" s="123">
        <v>28.4</v>
      </c>
      <c r="AC7" s="126">
        <v>1</v>
      </c>
      <c r="AD7" s="123"/>
    </row>
    <row r="8" spans="1:33">
      <c r="A8" s="121">
        <v>6</v>
      </c>
      <c r="B8" s="122" t="s">
        <v>2171</v>
      </c>
      <c r="C8" s="122" t="s">
        <v>2185</v>
      </c>
      <c r="D8" s="122" t="s">
        <v>2173</v>
      </c>
      <c r="E8" s="140">
        <v>42766</v>
      </c>
      <c r="F8" s="125">
        <v>0.53125</v>
      </c>
      <c r="G8" s="124">
        <v>42818</v>
      </c>
      <c r="H8" s="125">
        <v>0.38541666666666669</v>
      </c>
      <c r="I8" s="123">
        <v>859</v>
      </c>
      <c r="J8" s="123">
        <v>447</v>
      </c>
      <c r="K8" s="142" t="str">
        <f t="shared" si="3"/>
        <v>G447</v>
      </c>
      <c r="L8" s="123">
        <v>177</v>
      </c>
      <c r="M8" s="142" t="str">
        <f t="shared" si="0"/>
        <v>R177</v>
      </c>
      <c r="N8" s="123">
        <v>634</v>
      </c>
      <c r="O8" s="142" t="str">
        <f t="shared" si="1"/>
        <v>G634</v>
      </c>
      <c r="P8" s="123">
        <v>59</v>
      </c>
      <c r="Q8" s="142" t="str">
        <f t="shared" si="2"/>
        <v>R59</v>
      </c>
      <c r="R8" s="123">
        <v>23.4</v>
      </c>
      <c r="S8" s="123">
        <v>13.8</v>
      </c>
      <c r="T8" s="123">
        <v>26.8</v>
      </c>
      <c r="U8" s="123">
        <v>13.1</v>
      </c>
      <c r="V8" s="126"/>
      <c r="W8" s="126" t="s">
        <v>2182</v>
      </c>
      <c r="X8" s="126" t="s">
        <v>2182</v>
      </c>
      <c r="Y8" s="126" t="s">
        <v>2182</v>
      </c>
      <c r="Z8" s="92">
        <v>31</v>
      </c>
      <c r="AA8" s="152" t="s">
        <v>2175</v>
      </c>
      <c r="AB8" s="123">
        <v>32.4</v>
      </c>
      <c r="AC8" s="126">
        <v>1</v>
      </c>
      <c r="AD8" s="123"/>
      <c r="AE8" s="144"/>
    </row>
    <row r="9" spans="1:33">
      <c r="A9" s="121">
        <v>7</v>
      </c>
      <c r="B9" s="122" t="s">
        <v>2171</v>
      </c>
      <c r="C9" s="122" t="s">
        <v>2186</v>
      </c>
      <c r="D9" s="122" t="s">
        <v>2173</v>
      </c>
      <c r="E9" s="140">
        <v>42766</v>
      </c>
      <c r="F9" s="125">
        <v>0.53125</v>
      </c>
      <c r="G9" s="124">
        <v>42818</v>
      </c>
      <c r="H9" s="125">
        <v>0.3888888888888889</v>
      </c>
      <c r="I9" s="123">
        <v>860</v>
      </c>
      <c r="J9" s="123">
        <v>452</v>
      </c>
      <c r="K9" s="142" t="str">
        <f t="shared" si="3"/>
        <v>G452</v>
      </c>
      <c r="L9" s="123">
        <v>531</v>
      </c>
      <c r="M9" s="142" t="str">
        <f t="shared" si="0"/>
        <v>R531</v>
      </c>
      <c r="N9" s="123">
        <v>665</v>
      </c>
      <c r="O9" s="142" t="str">
        <f t="shared" si="1"/>
        <v>G665</v>
      </c>
      <c r="P9" s="123">
        <v>398</v>
      </c>
      <c r="Q9" s="142" t="str">
        <f t="shared" si="2"/>
        <v>R398</v>
      </c>
      <c r="R9" s="123">
        <v>26.4</v>
      </c>
      <c r="S9" s="123">
        <v>9.8000000000000007</v>
      </c>
      <c r="T9" s="123">
        <v>26</v>
      </c>
      <c r="U9" s="123">
        <v>9.9</v>
      </c>
      <c r="V9" s="126"/>
      <c r="W9" s="126"/>
      <c r="X9" s="126" t="s">
        <v>2182</v>
      </c>
      <c r="Y9" s="126" t="s">
        <v>2182</v>
      </c>
      <c r="Z9" s="123">
        <v>43.4</v>
      </c>
      <c r="AA9" s="126" t="s">
        <v>2175</v>
      </c>
      <c r="AB9" s="123">
        <v>36</v>
      </c>
      <c r="AC9" s="126">
        <v>1</v>
      </c>
      <c r="AD9" s="123"/>
    </row>
    <row r="10" spans="1:33">
      <c r="A10" s="121">
        <v>8</v>
      </c>
      <c r="B10" s="122" t="s">
        <v>2171</v>
      </c>
      <c r="C10" s="122" t="s">
        <v>2187</v>
      </c>
      <c r="D10" s="122" t="s">
        <v>2173</v>
      </c>
      <c r="E10" s="140">
        <v>42766</v>
      </c>
      <c r="F10" s="125">
        <v>0.53472222222222221</v>
      </c>
      <c r="G10" s="124">
        <v>42818</v>
      </c>
      <c r="H10" s="125">
        <v>0.38541666666666669</v>
      </c>
      <c r="I10" s="123">
        <v>861</v>
      </c>
      <c r="J10" s="123">
        <v>389</v>
      </c>
      <c r="K10" s="142" t="str">
        <f t="shared" si="3"/>
        <v>G389</v>
      </c>
      <c r="L10" s="123">
        <v>406</v>
      </c>
      <c r="M10" s="142" t="str">
        <f t="shared" si="0"/>
        <v>R406</v>
      </c>
      <c r="N10" s="123">
        <v>701</v>
      </c>
      <c r="O10" s="142" t="str">
        <f t="shared" si="1"/>
        <v>G701</v>
      </c>
      <c r="P10" s="123">
        <v>512</v>
      </c>
      <c r="Q10" s="142" t="str">
        <f t="shared" si="2"/>
        <v>R512</v>
      </c>
      <c r="R10" s="123">
        <v>24.9</v>
      </c>
      <c r="S10" s="123">
        <v>12.4</v>
      </c>
      <c r="T10" s="123">
        <v>26.1</v>
      </c>
      <c r="U10" s="123">
        <v>8.8000000000000007</v>
      </c>
      <c r="V10" s="126" t="s">
        <v>2174</v>
      </c>
      <c r="W10" s="126" t="s">
        <v>2182</v>
      </c>
      <c r="X10" s="126"/>
      <c r="Y10" s="126"/>
      <c r="Z10" s="123">
        <v>38.4</v>
      </c>
      <c r="AA10" s="126" t="s">
        <v>2175</v>
      </c>
      <c r="AB10" s="123">
        <v>36</v>
      </c>
      <c r="AC10" s="126"/>
      <c r="AD10" s="123"/>
    </row>
    <row r="11" spans="1:33">
      <c r="A11" s="121">
        <v>9</v>
      </c>
      <c r="B11" s="122" t="s">
        <v>2171</v>
      </c>
      <c r="C11" s="122" t="s">
        <v>2188</v>
      </c>
      <c r="D11" s="122" t="s">
        <v>2189</v>
      </c>
      <c r="E11" s="140">
        <v>42766</v>
      </c>
      <c r="F11" s="125">
        <v>0.64027777777777783</v>
      </c>
      <c r="G11" s="124">
        <v>42818</v>
      </c>
      <c r="H11" s="125">
        <v>0.40625</v>
      </c>
      <c r="I11" s="123">
        <v>862</v>
      </c>
      <c r="J11">
        <v>514</v>
      </c>
      <c r="K11" s="142" t="str">
        <f t="shared" si="3"/>
        <v>G514</v>
      </c>
      <c r="L11" s="123">
        <v>169</v>
      </c>
      <c r="M11" s="142" t="str">
        <f t="shared" si="0"/>
        <v>R169</v>
      </c>
      <c r="N11" s="123">
        <v>476</v>
      </c>
      <c r="O11" s="142" t="str">
        <f t="shared" si="1"/>
        <v>G476</v>
      </c>
      <c r="P11" s="123">
        <v>101</v>
      </c>
      <c r="Q11" s="142" t="str">
        <f t="shared" si="2"/>
        <v>R101</v>
      </c>
      <c r="R11" s="123">
        <v>22.6</v>
      </c>
      <c r="S11" s="123">
        <v>19.5</v>
      </c>
      <c r="T11" s="123">
        <v>26.2</v>
      </c>
      <c r="U11" s="123">
        <v>9.5</v>
      </c>
      <c r="V11" s="126" t="s">
        <v>2182</v>
      </c>
      <c r="W11" s="126" t="s">
        <v>2190</v>
      </c>
      <c r="X11" s="126"/>
      <c r="Y11" s="126"/>
      <c r="Z11" s="123">
        <v>28.4</v>
      </c>
      <c r="AA11" s="126" t="s">
        <v>2175</v>
      </c>
      <c r="AB11" s="123">
        <v>10.8</v>
      </c>
      <c r="AC11" s="126">
        <v>0</v>
      </c>
      <c r="AD11" s="123"/>
    </row>
    <row r="12" spans="1:33">
      <c r="A12" s="121">
        <v>10</v>
      </c>
      <c r="B12" s="122" t="s">
        <v>2171</v>
      </c>
      <c r="C12" s="122" t="s">
        <v>2191</v>
      </c>
      <c r="D12" s="122" t="s">
        <v>2189</v>
      </c>
      <c r="E12" s="140">
        <v>42766</v>
      </c>
      <c r="F12" s="125">
        <v>0.64236111111111105</v>
      </c>
      <c r="G12" s="124">
        <v>42818</v>
      </c>
      <c r="H12" s="125">
        <v>0.41666666666666669</v>
      </c>
      <c r="I12" s="123">
        <v>863</v>
      </c>
      <c r="J12" s="123">
        <v>286</v>
      </c>
      <c r="K12" s="142" t="str">
        <f t="shared" si="3"/>
        <v>G286</v>
      </c>
      <c r="L12" s="123">
        <v>91</v>
      </c>
      <c r="M12" s="142" t="str">
        <f t="shared" si="0"/>
        <v>R91</v>
      </c>
      <c r="N12" s="123">
        <v>606</v>
      </c>
      <c r="O12" s="142" t="str">
        <f t="shared" si="1"/>
        <v>G606</v>
      </c>
      <c r="P12" s="123">
        <v>515</v>
      </c>
      <c r="Q12" s="142" t="str">
        <f t="shared" si="2"/>
        <v>R515</v>
      </c>
      <c r="R12" s="123">
        <v>22.2</v>
      </c>
      <c r="S12" s="123">
        <v>20.7</v>
      </c>
      <c r="T12" s="123">
        <v>26.4</v>
      </c>
      <c r="U12" s="123">
        <v>8.6</v>
      </c>
      <c r="V12" s="126"/>
      <c r="W12" s="126"/>
      <c r="X12" s="126"/>
      <c r="Y12" s="126"/>
      <c r="Z12" s="123">
        <v>30</v>
      </c>
      <c r="AA12" s="126" t="s">
        <v>2175</v>
      </c>
      <c r="AB12" s="123">
        <v>16.8</v>
      </c>
      <c r="AC12" s="126">
        <v>0</v>
      </c>
      <c r="AD12" s="123"/>
    </row>
    <row r="13" spans="1:33">
      <c r="A13" s="121">
        <v>11</v>
      </c>
      <c r="B13" s="122" t="s">
        <v>2171</v>
      </c>
      <c r="C13" s="122" t="s">
        <v>2192</v>
      </c>
      <c r="D13" s="122" t="s">
        <v>2189</v>
      </c>
      <c r="E13" s="140">
        <v>42766</v>
      </c>
      <c r="F13" s="125">
        <v>0.64583333333333337</v>
      </c>
      <c r="G13" s="124">
        <v>42818</v>
      </c>
      <c r="H13" s="125">
        <v>0.4236111111111111</v>
      </c>
      <c r="I13" s="123">
        <v>864</v>
      </c>
      <c r="J13" s="123">
        <v>543</v>
      </c>
      <c r="K13" s="142" t="str">
        <f t="shared" si="3"/>
        <v>G543</v>
      </c>
      <c r="L13" s="129">
        <v>446</v>
      </c>
      <c r="M13" s="142" t="str">
        <f t="shared" si="0"/>
        <v>R446</v>
      </c>
      <c r="N13" s="123">
        <v>523</v>
      </c>
      <c r="O13" s="142" t="str">
        <f t="shared" si="1"/>
        <v>G523</v>
      </c>
      <c r="P13" s="123">
        <v>2</v>
      </c>
      <c r="Q13" s="142" t="str">
        <f t="shared" si="2"/>
        <v>R2</v>
      </c>
      <c r="R13" s="123">
        <v>22.3</v>
      </c>
      <c r="S13" s="123">
        <v>31.2</v>
      </c>
      <c r="T13" s="123">
        <v>25.8</v>
      </c>
      <c r="U13" s="123">
        <v>11</v>
      </c>
      <c r="V13" s="126" t="s">
        <v>2182</v>
      </c>
      <c r="W13" s="126"/>
      <c r="X13" s="126"/>
      <c r="Y13" s="126"/>
      <c r="Z13" s="123">
        <v>24.4</v>
      </c>
      <c r="AA13" s="126" t="s">
        <v>2175</v>
      </c>
      <c r="AB13" s="123">
        <v>11.4</v>
      </c>
      <c r="AC13" s="126">
        <v>0</v>
      </c>
      <c r="AD13" s="123"/>
    </row>
    <row r="14" spans="1:33">
      <c r="A14" s="168">
        <v>12</v>
      </c>
      <c r="B14" s="169" t="s">
        <v>2171</v>
      </c>
      <c r="C14" s="169" t="s">
        <v>2193</v>
      </c>
      <c r="D14" s="169" t="s">
        <v>2189</v>
      </c>
      <c r="E14" s="172">
        <v>42766</v>
      </c>
      <c r="F14" s="173">
        <v>0.64930555555555558</v>
      </c>
      <c r="G14" s="124">
        <v>42818</v>
      </c>
      <c r="H14" s="168"/>
      <c r="I14" s="168">
        <v>865</v>
      </c>
      <c r="J14" s="168">
        <v>590</v>
      </c>
      <c r="K14" s="142" t="str">
        <f t="shared" si="3"/>
        <v>G590</v>
      </c>
      <c r="L14" s="168">
        <v>409</v>
      </c>
      <c r="M14" s="142" t="str">
        <f t="shared" si="0"/>
        <v>R409</v>
      </c>
      <c r="N14" s="168">
        <v>510</v>
      </c>
      <c r="O14" s="142" t="str">
        <f t="shared" si="1"/>
        <v>G510</v>
      </c>
      <c r="P14" s="168">
        <v>123</v>
      </c>
      <c r="Q14" s="142" t="str">
        <f t="shared" si="2"/>
        <v>R123</v>
      </c>
      <c r="R14" s="168">
        <v>21.7</v>
      </c>
      <c r="S14" s="168">
        <v>25.8</v>
      </c>
      <c r="T14" s="168"/>
      <c r="U14" s="168"/>
      <c r="V14" s="171"/>
      <c r="W14" s="171"/>
      <c r="X14" s="171"/>
      <c r="Y14" s="171"/>
      <c r="Z14" s="168"/>
      <c r="AA14" s="171"/>
      <c r="AB14" s="168"/>
      <c r="AC14" s="171"/>
      <c r="AD14" s="168"/>
    </row>
    <row r="15" spans="1:33">
      <c r="A15" s="121">
        <v>13</v>
      </c>
      <c r="B15" s="122" t="s">
        <v>2171</v>
      </c>
      <c r="C15" s="122" t="s">
        <v>2194</v>
      </c>
      <c r="D15" s="122" t="s">
        <v>2189</v>
      </c>
      <c r="E15" s="140">
        <v>42766</v>
      </c>
      <c r="F15" s="125">
        <v>0.65277777777777779</v>
      </c>
      <c r="G15" s="124">
        <v>42818</v>
      </c>
      <c r="H15" s="125">
        <v>0.41666666666666669</v>
      </c>
      <c r="I15" s="123">
        <v>866</v>
      </c>
      <c r="J15" s="123">
        <v>595</v>
      </c>
      <c r="K15" s="142" t="str">
        <f t="shared" si="3"/>
        <v>G595</v>
      </c>
      <c r="L15" s="123">
        <v>450</v>
      </c>
      <c r="M15" s="142" t="str">
        <f t="shared" si="0"/>
        <v>R450</v>
      </c>
      <c r="N15" s="123">
        <v>241</v>
      </c>
      <c r="O15" s="142" t="str">
        <f t="shared" si="1"/>
        <v>G241</v>
      </c>
      <c r="P15" s="123">
        <v>3</v>
      </c>
      <c r="Q15" s="142" t="str">
        <f t="shared" si="2"/>
        <v>R3</v>
      </c>
      <c r="R15" s="123">
        <v>22.1</v>
      </c>
      <c r="S15" s="123">
        <v>31.1</v>
      </c>
      <c r="T15" s="123">
        <v>24.7</v>
      </c>
      <c r="U15" s="123">
        <v>10.5</v>
      </c>
      <c r="V15" s="126" t="s">
        <v>2174</v>
      </c>
      <c r="W15" s="126" t="s">
        <v>2195</v>
      </c>
      <c r="X15" s="126"/>
      <c r="Y15" s="126"/>
      <c r="Z15" s="123">
        <v>31</v>
      </c>
      <c r="AA15" s="126" t="s">
        <v>2175</v>
      </c>
      <c r="AB15" s="123">
        <v>11.4</v>
      </c>
      <c r="AC15" s="126">
        <v>0</v>
      </c>
      <c r="AD15" s="123"/>
    </row>
    <row r="16" spans="1:33">
      <c r="A16" s="121">
        <v>14</v>
      </c>
      <c r="B16" s="122" t="s">
        <v>2171</v>
      </c>
      <c r="C16" s="122" t="s">
        <v>2196</v>
      </c>
      <c r="D16" s="122" t="s">
        <v>2189</v>
      </c>
      <c r="E16" s="140">
        <v>42766</v>
      </c>
      <c r="F16" s="125">
        <v>0.65347222222222223</v>
      </c>
      <c r="G16" s="124">
        <v>42818</v>
      </c>
      <c r="H16" s="125">
        <v>0.4201388888888889</v>
      </c>
      <c r="I16" s="123">
        <v>867</v>
      </c>
      <c r="J16" s="123">
        <v>609</v>
      </c>
      <c r="K16" s="142" t="str">
        <f t="shared" si="3"/>
        <v>G609</v>
      </c>
      <c r="L16" s="123">
        <v>382</v>
      </c>
      <c r="M16" s="142" t="str">
        <f t="shared" si="0"/>
        <v>R382</v>
      </c>
      <c r="N16" s="129">
        <v>503</v>
      </c>
      <c r="O16" s="142" t="str">
        <f t="shared" si="1"/>
        <v>G503</v>
      </c>
      <c r="P16" s="123">
        <v>282</v>
      </c>
      <c r="Q16" s="142" t="str">
        <f t="shared" si="2"/>
        <v>R282</v>
      </c>
      <c r="R16" s="123">
        <v>21.7</v>
      </c>
      <c r="S16" s="123">
        <v>22.4</v>
      </c>
      <c r="T16" s="123">
        <v>26.5</v>
      </c>
      <c r="U16" s="123">
        <v>9</v>
      </c>
      <c r="V16" s="126"/>
      <c r="W16" s="126" t="s">
        <v>2195</v>
      </c>
      <c r="X16" s="126"/>
      <c r="Y16" s="126"/>
      <c r="Z16" s="123">
        <v>42.4</v>
      </c>
      <c r="AA16" s="126" t="s">
        <v>2175</v>
      </c>
      <c r="AB16" s="123">
        <v>28.4</v>
      </c>
      <c r="AC16" s="126">
        <v>0</v>
      </c>
      <c r="AD16" s="123"/>
    </row>
    <row r="17" spans="1:31">
      <c r="A17" s="121">
        <v>15</v>
      </c>
      <c r="B17" s="122" t="s">
        <v>2171</v>
      </c>
      <c r="C17" s="122" t="s">
        <v>2197</v>
      </c>
      <c r="D17" s="122" t="s">
        <v>2189</v>
      </c>
      <c r="E17" s="140">
        <v>42766</v>
      </c>
      <c r="F17" s="125">
        <v>0.65972222222222221</v>
      </c>
      <c r="G17" s="124">
        <v>42818</v>
      </c>
      <c r="H17" s="125">
        <v>0.40972222222222227</v>
      </c>
      <c r="I17" s="123">
        <v>868</v>
      </c>
      <c r="J17" s="123">
        <v>222</v>
      </c>
      <c r="K17" s="142" t="str">
        <f t="shared" si="3"/>
        <v>G222</v>
      </c>
      <c r="L17" s="123">
        <v>415</v>
      </c>
      <c r="M17" s="142" t="str">
        <f t="shared" si="0"/>
        <v>R415</v>
      </c>
      <c r="N17" s="123">
        <v>685</v>
      </c>
      <c r="O17" s="142" t="str">
        <f t="shared" si="1"/>
        <v>G685</v>
      </c>
      <c r="P17" s="123">
        <v>99</v>
      </c>
      <c r="Q17" s="142" t="str">
        <f t="shared" si="2"/>
        <v>R99</v>
      </c>
      <c r="R17" s="123">
        <v>21.9</v>
      </c>
      <c r="S17" s="123">
        <v>35.1</v>
      </c>
      <c r="T17" s="123">
        <v>26</v>
      </c>
      <c r="U17" s="123">
        <v>12.7</v>
      </c>
      <c r="V17" s="126"/>
      <c r="W17" s="126" t="s">
        <v>2198</v>
      </c>
      <c r="X17" s="126" t="s">
        <v>2182</v>
      </c>
      <c r="Y17" s="126" t="s">
        <v>2182</v>
      </c>
      <c r="Z17" s="123">
        <v>30.4</v>
      </c>
      <c r="AA17" s="126" t="s">
        <v>2175</v>
      </c>
      <c r="AB17" s="123">
        <v>15.8</v>
      </c>
      <c r="AC17" s="126">
        <v>0</v>
      </c>
      <c r="AD17" s="123" t="s">
        <v>2199</v>
      </c>
      <c r="AE17" s="92"/>
    </row>
    <row r="18" spans="1:31">
      <c r="A18" s="121">
        <v>16</v>
      </c>
      <c r="B18" s="122" t="s">
        <v>2171</v>
      </c>
      <c r="C18" s="122" t="s">
        <v>2200</v>
      </c>
      <c r="D18" s="122" t="s">
        <v>2189</v>
      </c>
      <c r="E18" s="140">
        <v>42766</v>
      </c>
      <c r="F18" s="125">
        <v>0.66319444444444442</v>
      </c>
      <c r="G18" s="124">
        <v>42818</v>
      </c>
      <c r="H18" s="125">
        <v>0.43055555555555558</v>
      </c>
      <c r="I18" s="123">
        <v>869</v>
      </c>
      <c r="J18" s="123">
        <v>405</v>
      </c>
      <c r="K18" s="142" t="str">
        <f t="shared" si="3"/>
        <v>G405</v>
      </c>
      <c r="L18" s="123">
        <v>519</v>
      </c>
      <c r="M18" s="142" t="str">
        <f t="shared" si="0"/>
        <v>R519</v>
      </c>
      <c r="N18" s="123">
        <v>644</v>
      </c>
      <c r="O18" s="142" t="str">
        <f t="shared" si="1"/>
        <v>G644</v>
      </c>
      <c r="P18" s="123">
        <v>154</v>
      </c>
      <c r="Q18" s="142" t="str">
        <f t="shared" si="2"/>
        <v>R154</v>
      </c>
      <c r="R18" s="123">
        <v>22.3</v>
      </c>
      <c r="S18" s="123">
        <v>22.3</v>
      </c>
      <c r="T18" s="123">
        <v>25.8</v>
      </c>
      <c r="U18" s="123">
        <v>12.7</v>
      </c>
      <c r="V18" s="126" t="s">
        <v>2201</v>
      </c>
      <c r="W18" s="126" t="s">
        <v>2201</v>
      </c>
      <c r="X18" s="126" t="s">
        <v>2182</v>
      </c>
      <c r="Y18" s="126" t="s">
        <v>2182</v>
      </c>
      <c r="Z18" s="123">
        <v>12.4</v>
      </c>
      <c r="AA18" s="126" t="s">
        <v>2175</v>
      </c>
      <c r="AB18" s="123">
        <v>8</v>
      </c>
      <c r="AC18" s="126">
        <v>0</v>
      </c>
      <c r="AD18" s="123"/>
    </row>
    <row r="19" spans="1:31">
      <c r="A19" s="121">
        <v>17</v>
      </c>
      <c r="B19" s="122" t="s">
        <v>2171</v>
      </c>
      <c r="C19" s="122" t="s">
        <v>2202</v>
      </c>
      <c r="D19" s="122" t="s">
        <v>2203</v>
      </c>
      <c r="E19" s="124">
        <v>42767</v>
      </c>
      <c r="F19" s="125">
        <v>0.30208333333333331</v>
      </c>
      <c r="G19" s="124">
        <v>42818</v>
      </c>
      <c r="H19" s="125">
        <v>0.34027777777777773</v>
      </c>
      <c r="I19" s="123">
        <v>870</v>
      </c>
      <c r="J19" s="123">
        <v>571</v>
      </c>
      <c r="K19" s="142" t="str">
        <f t="shared" si="3"/>
        <v>G571</v>
      </c>
      <c r="L19" s="123">
        <v>542</v>
      </c>
      <c r="M19" s="142" t="str">
        <f t="shared" si="0"/>
        <v>R542</v>
      </c>
      <c r="N19" s="123">
        <v>648</v>
      </c>
      <c r="O19" s="142" t="str">
        <f t="shared" si="1"/>
        <v>G648</v>
      </c>
      <c r="P19" s="123">
        <v>380</v>
      </c>
      <c r="Q19" s="142" t="str">
        <f t="shared" si="2"/>
        <v>R380</v>
      </c>
      <c r="R19" s="123">
        <v>19.600000000000001</v>
      </c>
      <c r="S19" s="123">
        <v>37.4</v>
      </c>
      <c r="T19" s="123">
        <v>23.1</v>
      </c>
      <c r="U19" s="123">
        <v>34.4</v>
      </c>
      <c r="V19" s="126"/>
      <c r="W19" s="126" t="s">
        <v>2182</v>
      </c>
      <c r="X19" s="126" t="s">
        <v>2182</v>
      </c>
      <c r="Y19" s="126" t="s">
        <v>2182</v>
      </c>
      <c r="Z19" s="123"/>
      <c r="AA19" s="123"/>
      <c r="AB19" s="123"/>
      <c r="AC19" s="123"/>
      <c r="AD19" s="123" t="s">
        <v>2204</v>
      </c>
    </row>
    <row r="20" spans="1:31">
      <c r="A20" s="121">
        <v>18</v>
      </c>
      <c r="B20" s="122" t="s">
        <v>2171</v>
      </c>
      <c r="C20" s="122" t="s">
        <v>2205</v>
      </c>
      <c r="D20" s="122" t="s">
        <v>2203</v>
      </c>
      <c r="E20" s="124">
        <v>42767</v>
      </c>
      <c r="F20" s="125">
        <v>0.30555555555555552</v>
      </c>
      <c r="G20" s="124">
        <v>42818</v>
      </c>
      <c r="H20" s="125">
        <v>0.3576388888888889</v>
      </c>
      <c r="I20" s="123">
        <v>871</v>
      </c>
      <c r="J20" s="123">
        <v>419</v>
      </c>
      <c r="K20" s="142" t="str">
        <f t="shared" si="3"/>
        <v>G419</v>
      </c>
      <c r="L20" s="123">
        <v>128</v>
      </c>
      <c r="M20" s="142" t="str">
        <f t="shared" si="0"/>
        <v>R128</v>
      </c>
      <c r="N20" s="123">
        <v>573</v>
      </c>
      <c r="O20" s="142" t="str">
        <f t="shared" si="1"/>
        <v>G573</v>
      </c>
      <c r="P20" s="123">
        <v>274</v>
      </c>
      <c r="Q20" s="142" t="str">
        <f t="shared" si="2"/>
        <v>R274</v>
      </c>
      <c r="R20" s="123">
        <v>19.399999999999999</v>
      </c>
      <c r="S20" s="123">
        <v>38.4</v>
      </c>
      <c r="T20" s="123">
        <v>23.3</v>
      </c>
      <c r="U20" s="123">
        <v>35.5</v>
      </c>
      <c r="V20" s="126" t="s">
        <v>2182</v>
      </c>
      <c r="W20" s="126"/>
      <c r="X20" s="126" t="s">
        <v>2182</v>
      </c>
      <c r="Y20" s="126" t="s">
        <v>2182</v>
      </c>
      <c r="Z20" s="123"/>
      <c r="AA20" s="123"/>
      <c r="AB20" s="123"/>
      <c r="AC20" s="123"/>
      <c r="AD20" s="123" t="s">
        <v>2204</v>
      </c>
    </row>
    <row r="21" spans="1:31">
      <c r="A21" s="121">
        <v>19</v>
      </c>
      <c r="B21" s="122" t="s">
        <v>2171</v>
      </c>
      <c r="C21" s="122" t="s">
        <v>2206</v>
      </c>
      <c r="D21" s="122" t="s">
        <v>2203</v>
      </c>
      <c r="E21" s="124">
        <v>42767</v>
      </c>
      <c r="F21" s="125">
        <v>0.30555555555555552</v>
      </c>
      <c r="G21" s="124">
        <v>42818</v>
      </c>
      <c r="H21" s="125">
        <v>0.3611111111111111</v>
      </c>
      <c r="I21" s="123">
        <v>872</v>
      </c>
      <c r="J21" s="123">
        <v>240</v>
      </c>
      <c r="K21" s="142" t="str">
        <f t="shared" si="3"/>
        <v>G240</v>
      </c>
      <c r="L21" s="123">
        <v>82</v>
      </c>
      <c r="M21" s="142" t="str">
        <f t="shared" si="0"/>
        <v>R82</v>
      </c>
      <c r="N21" s="123">
        <v>639</v>
      </c>
      <c r="O21" s="142" t="str">
        <f t="shared" si="1"/>
        <v>G639</v>
      </c>
      <c r="P21" s="123">
        <v>566</v>
      </c>
      <c r="Q21" s="142" t="str">
        <f t="shared" si="2"/>
        <v>R566</v>
      </c>
      <c r="R21" s="123">
        <v>18.899999999999999</v>
      </c>
      <c r="S21" s="123">
        <v>41.2</v>
      </c>
      <c r="T21" s="123">
        <v>23.3</v>
      </c>
      <c r="U21" s="123">
        <v>37.4</v>
      </c>
      <c r="V21" s="126"/>
      <c r="W21" s="126"/>
      <c r="X21" s="126"/>
      <c r="Y21" s="126"/>
      <c r="Z21" s="123"/>
      <c r="AA21" s="123"/>
      <c r="AB21" s="123"/>
      <c r="AC21" s="123"/>
      <c r="AD21" s="123" t="s">
        <v>2204</v>
      </c>
    </row>
    <row r="22" spans="1:31">
      <c r="A22" s="121">
        <v>20</v>
      </c>
      <c r="B22" s="122" t="s">
        <v>2171</v>
      </c>
      <c r="C22" s="122" t="s">
        <v>2207</v>
      </c>
      <c r="D22" s="122" t="s">
        <v>2203</v>
      </c>
      <c r="E22" s="124">
        <v>42767</v>
      </c>
      <c r="F22" s="125">
        <v>0.30902777777777779</v>
      </c>
      <c r="G22" s="124">
        <v>42818</v>
      </c>
      <c r="H22" s="125">
        <v>0.36388888888888887</v>
      </c>
      <c r="I22" s="123">
        <v>873</v>
      </c>
      <c r="J22" s="123">
        <v>524</v>
      </c>
      <c r="K22" s="142" t="str">
        <f t="shared" si="3"/>
        <v>G524</v>
      </c>
      <c r="L22" s="123">
        <v>50</v>
      </c>
      <c r="M22" s="142" t="str">
        <f t="shared" si="0"/>
        <v>R50</v>
      </c>
      <c r="N22" s="123">
        <v>505</v>
      </c>
      <c r="O22" s="142" t="str">
        <f t="shared" si="1"/>
        <v>G505</v>
      </c>
      <c r="P22" s="123">
        <v>110</v>
      </c>
      <c r="Q22" s="142" t="str">
        <f t="shared" si="2"/>
        <v>R110</v>
      </c>
      <c r="R22" s="123">
        <v>19</v>
      </c>
      <c r="S22" s="123">
        <v>43.1</v>
      </c>
      <c r="T22" s="123">
        <v>23.7</v>
      </c>
      <c r="U22" s="123">
        <v>37</v>
      </c>
      <c r="V22" s="126"/>
      <c r="W22" s="126"/>
      <c r="X22" s="126"/>
      <c r="Y22" s="126"/>
      <c r="Z22" s="123"/>
      <c r="AA22" s="123"/>
      <c r="AB22" s="123"/>
      <c r="AC22" s="123"/>
      <c r="AD22" s="123" t="s">
        <v>2204</v>
      </c>
    </row>
    <row r="23" spans="1:31" ht="13.95" customHeight="1">
      <c r="A23" s="121">
        <v>21</v>
      </c>
      <c r="B23" s="122" t="s">
        <v>2171</v>
      </c>
      <c r="C23" s="122" t="s">
        <v>2208</v>
      </c>
      <c r="D23" s="122" t="s">
        <v>2203</v>
      </c>
      <c r="E23" s="124">
        <v>42767</v>
      </c>
      <c r="F23" s="125">
        <v>0.3125</v>
      </c>
      <c r="G23" s="124">
        <v>42818</v>
      </c>
      <c r="H23" s="125">
        <v>0.35416666666666669</v>
      </c>
      <c r="I23" s="123">
        <v>874</v>
      </c>
      <c r="J23" s="123">
        <v>699</v>
      </c>
      <c r="K23" s="142" t="str">
        <f t="shared" si="3"/>
        <v>G699</v>
      </c>
      <c r="L23" s="123">
        <v>529</v>
      </c>
      <c r="M23" s="142" t="str">
        <f t="shared" si="0"/>
        <v>R529</v>
      </c>
      <c r="N23" s="123">
        <v>721</v>
      </c>
      <c r="O23" s="142" t="str">
        <f t="shared" si="1"/>
        <v>G721</v>
      </c>
      <c r="P23" s="123">
        <v>79</v>
      </c>
      <c r="Q23" s="142" t="str">
        <f t="shared" si="2"/>
        <v>R79</v>
      </c>
      <c r="R23" s="123">
        <v>19</v>
      </c>
      <c r="S23" s="123">
        <v>33.700000000000003</v>
      </c>
      <c r="T23" s="123">
        <v>22.2</v>
      </c>
      <c r="U23" s="123">
        <v>34.6</v>
      </c>
      <c r="V23" s="126" t="s">
        <v>2182</v>
      </c>
      <c r="W23" s="126" t="s">
        <v>2182</v>
      </c>
      <c r="X23" s="126"/>
      <c r="Y23" s="126"/>
      <c r="Z23" s="123"/>
      <c r="AA23" s="123"/>
      <c r="AB23" s="123"/>
      <c r="AC23" s="123"/>
      <c r="AD23" s="130" t="s">
        <v>2651</v>
      </c>
    </row>
    <row r="24" spans="1:31">
      <c r="A24" s="121">
        <v>22</v>
      </c>
      <c r="B24" s="122" t="s">
        <v>2171</v>
      </c>
      <c r="C24" s="122" t="s">
        <v>2209</v>
      </c>
      <c r="D24" s="122" t="s">
        <v>2203</v>
      </c>
      <c r="E24" s="124">
        <v>42767</v>
      </c>
      <c r="F24" s="125">
        <v>0.31597222222222221</v>
      </c>
      <c r="G24" s="124">
        <v>42818</v>
      </c>
      <c r="H24" s="125">
        <v>0.37152777777777773</v>
      </c>
      <c r="I24" s="123">
        <v>876</v>
      </c>
      <c r="J24" s="123">
        <v>575</v>
      </c>
      <c r="K24" s="142" t="str">
        <f t="shared" si="3"/>
        <v>G575</v>
      </c>
      <c r="L24" s="123">
        <v>363</v>
      </c>
      <c r="M24" s="142" t="str">
        <f t="shared" si="0"/>
        <v>R363</v>
      </c>
      <c r="N24" s="123">
        <v>552</v>
      </c>
      <c r="O24" s="142" t="str">
        <f t="shared" si="1"/>
        <v>G552</v>
      </c>
      <c r="P24" s="123">
        <v>45</v>
      </c>
      <c r="Q24" s="142" t="str">
        <f t="shared" si="2"/>
        <v>R45</v>
      </c>
      <c r="R24" s="123">
        <v>19.100000000000001</v>
      </c>
      <c r="S24" s="123">
        <v>38.1</v>
      </c>
      <c r="T24" s="123">
        <v>23.9</v>
      </c>
      <c r="U24" s="123">
        <v>31</v>
      </c>
      <c r="V24" s="126" t="s">
        <v>2182</v>
      </c>
      <c r="W24" s="126"/>
      <c r="X24" s="126"/>
      <c r="Y24" s="126"/>
      <c r="Z24" s="123"/>
      <c r="AA24" s="123"/>
      <c r="AB24" s="123"/>
      <c r="AC24" s="123"/>
      <c r="AD24" s="123" t="s">
        <v>2204</v>
      </c>
    </row>
    <row r="25" spans="1:31">
      <c r="A25" s="121">
        <v>23</v>
      </c>
      <c r="B25" s="122" t="s">
        <v>2171</v>
      </c>
      <c r="C25" s="122" t="s">
        <v>2210</v>
      </c>
      <c r="D25" s="122" t="s">
        <v>2203</v>
      </c>
      <c r="E25" s="124">
        <v>42767</v>
      </c>
      <c r="F25" s="125">
        <v>0.31597222222222221</v>
      </c>
      <c r="G25" s="124">
        <v>42818</v>
      </c>
      <c r="H25" s="125">
        <v>0.33333333333333331</v>
      </c>
      <c r="I25" s="123">
        <v>875</v>
      </c>
      <c r="J25" s="123">
        <v>492</v>
      </c>
      <c r="K25" s="142" t="str">
        <f t="shared" si="3"/>
        <v>G492</v>
      </c>
      <c r="L25" s="123">
        <v>190</v>
      </c>
      <c r="M25" s="142" t="str">
        <f t="shared" si="0"/>
        <v>R190</v>
      </c>
      <c r="N25" s="123">
        <v>456</v>
      </c>
      <c r="O25" s="142" t="str">
        <f t="shared" si="1"/>
        <v>G456</v>
      </c>
      <c r="P25" s="123">
        <v>132</v>
      </c>
      <c r="Q25" s="142" t="str">
        <f t="shared" si="2"/>
        <v>R132</v>
      </c>
      <c r="R25" s="123">
        <v>19.100000000000001</v>
      </c>
      <c r="S25" s="123">
        <v>37.200000000000003</v>
      </c>
      <c r="T25" s="123">
        <v>22.2</v>
      </c>
      <c r="U25" s="123">
        <v>31.8</v>
      </c>
      <c r="V25" s="126" t="s">
        <v>2182</v>
      </c>
      <c r="W25" s="126"/>
      <c r="X25" s="126"/>
      <c r="Y25" s="126"/>
      <c r="Z25" s="123"/>
      <c r="AA25" s="123"/>
      <c r="AB25" s="123"/>
      <c r="AC25" s="123"/>
      <c r="AD25" s="123" t="s">
        <v>2204</v>
      </c>
    </row>
    <row r="26" spans="1:31">
      <c r="A26" s="121">
        <v>24</v>
      </c>
      <c r="B26" s="122" t="s">
        <v>2171</v>
      </c>
      <c r="C26" s="122" t="s">
        <v>2211</v>
      </c>
      <c r="D26" s="122" t="s">
        <v>2203</v>
      </c>
      <c r="E26" s="124">
        <v>42767</v>
      </c>
      <c r="F26" s="125">
        <v>0.31944444444444448</v>
      </c>
      <c r="G26" s="124">
        <v>42818</v>
      </c>
      <c r="H26" s="125">
        <v>0.34722222222222227</v>
      </c>
      <c r="I26" s="123">
        <v>877</v>
      </c>
      <c r="J26" s="123">
        <v>813</v>
      </c>
      <c r="K26" s="142" t="str">
        <f t="shared" si="3"/>
        <v>G813</v>
      </c>
      <c r="L26" s="123">
        <v>144</v>
      </c>
      <c r="M26" s="142" t="str">
        <f t="shared" si="0"/>
        <v>R144</v>
      </c>
      <c r="N26" s="123">
        <v>421</v>
      </c>
      <c r="O26" s="142" t="str">
        <f t="shared" si="1"/>
        <v>G421</v>
      </c>
      <c r="P26" s="123">
        <v>71</v>
      </c>
      <c r="Q26" s="142" t="str">
        <f t="shared" si="2"/>
        <v>R71</v>
      </c>
      <c r="R26" s="123">
        <v>18.899999999999999</v>
      </c>
      <c r="S26" s="123">
        <v>39.9</v>
      </c>
      <c r="T26" s="123">
        <v>23.3</v>
      </c>
      <c r="U26" s="123">
        <v>34</v>
      </c>
      <c r="V26" s="126" t="s">
        <v>2182</v>
      </c>
      <c r="W26" s="126" t="s">
        <v>2182</v>
      </c>
      <c r="X26" s="126"/>
      <c r="Y26" s="126"/>
      <c r="Z26" s="123"/>
      <c r="AA26" s="123"/>
      <c r="AB26" s="123"/>
      <c r="AC26" s="123"/>
      <c r="AD26" s="123" t="s">
        <v>2204</v>
      </c>
    </row>
    <row r="27" spans="1:31">
      <c r="A27" s="121">
        <v>25</v>
      </c>
      <c r="B27" s="122" t="s">
        <v>2171</v>
      </c>
      <c r="C27" s="122" t="s">
        <v>2212</v>
      </c>
      <c r="D27" s="122" t="s">
        <v>2213</v>
      </c>
      <c r="E27" s="124">
        <v>42767</v>
      </c>
      <c r="F27" s="125">
        <v>0.31944444444444448</v>
      </c>
      <c r="G27" s="124">
        <v>42818</v>
      </c>
      <c r="H27" s="125">
        <v>0.3888888888888889</v>
      </c>
      <c r="I27" s="123">
        <v>878</v>
      </c>
      <c r="J27" s="123">
        <v>406</v>
      </c>
      <c r="K27" s="142" t="str">
        <f t="shared" si="3"/>
        <v>G406</v>
      </c>
      <c r="L27" s="123">
        <v>279</v>
      </c>
      <c r="M27" s="142" t="str">
        <f t="shared" si="0"/>
        <v>R279</v>
      </c>
      <c r="N27" s="123">
        <v>864</v>
      </c>
      <c r="O27" s="142" t="str">
        <f t="shared" si="1"/>
        <v>G864</v>
      </c>
      <c r="P27" s="123">
        <v>104</v>
      </c>
      <c r="Q27" s="142" t="str">
        <f t="shared" si="2"/>
        <v>R104</v>
      </c>
      <c r="R27" s="123">
        <v>19</v>
      </c>
      <c r="S27" s="123">
        <v>39.700000000000003</v>
      </c>
      <c r="T27" s="123">
        <v>23.7</v>
      </c>
      <c r="U27" s="123">
        <v>34</v>
      </c>
      <c r="V27" s="126"/>
      <c r="W27" s="126"/>
      <c r="X27" s="126"/>
      <c r="Y27" s="126"/>
      <c r="Z27" s="123"/>
      <c r="AA27" s="123"/>
      <c r="AB27" s="123"/>
      <c r="AC27" s="123"/>
      <c r="AD27" s="123" t="s">
        <v>2204</v>
      </c>
    </row>
    <row r="28" spans="1:31">
      <c r="A28" s="121">
        <v>26</v>
      </c>
      <c r="B28" s="122" t="s">
        <v>2171</v>
      </c>
      <c r="C28" s="122" t="s">
        <v>2214</v>
      </c>
      <c r="D28" s="122" t="s">
        <v>2213</v>
      </c>
      <c r="E28" s="124">
        <v>42767</v>
      </c>
      <c r="F28" s="125">
        <v>0.32291666666666669</v>
      </c>
      <c r="G28" s="124">
        <v>42818</v>
      </c>
      <c r="H28" s="125">
        <v>0.37847222222222227</v>
      </c>
      <c r="I28" s="123">
        <v>879</v>
      </c>
      <c r="J28" s="123">
        <v>651</v>
      </c>
      <c r="K28" s="142" t="str">
        <f t="shared" si="3"/>
        <v>G651</v>
      </c>
      <c r="L28" s="123">
        <v>148</v>
      </c>
      <c r="M28" s="142" t="str">
        <f t="shared" si="0"/>
        <v>R148</v>
      </c>
      <c r="N28" s="123">
        <v>506</v>
      </c>
      <c r="O28" s="142" t="str">
        <f t="shared" si="1"/>
        <v>G506</v>
      </c>
      <c r="P28" s="123">
        <v>189</v>
      </c>
      <c r="Q28" s="142" t="str">
        <f t="shared" si="2"/>
        <v>R189</v>
      </c>
      <c r="R28" s="123">
        <v>18.7</v>
      </c>
      <c r="S28" s="123">
        <v>38</v>
      </c>
      <c r="T28" s="123">
        <v>22.7</v>
      </c>
      <c r="U28" s="123">
        <v>24.6</v>
      </c>
      <c r="V28" s="126" t="s">
        <v>2182</v>
      </c>
      <c r="W28" s="126"/>
      <c r="X28" s="126"/>
      <c r="Y28" s="126"/>
      <c r="Z28" s="123"/>
      <c r="AA28" s="123"/>
      <c r="AB28" s="123"/>
      <c r="AC28" s="123"/>
      <c r="AD28" s="123" t="s">
        <v>2204</v>
      </c>
    </row>
    <row r="29" spans="1:31">
      <c r="A29" s="121">
        <v>27</v>
      </c>
      <c r="B29" s="122" t="s">
        <v>2171</v>
      </c>
      <c r="C29" s="122" t="s">
        <v>2215</v>
      </c>
      <c r="D29" s="122" t="s">
        <v>2213</v>
      </c>
      <c r="E29" s="124">
        <v>42767</v>
      </c>
      <c r="F29" s="125">
        <v>0.32291666666666669</v>
      </c>
      <c r="G29" s="124">
        <v>42818</v>
      </c>
      <c r="H29" s="125">
        <v>0.38194444444444442</v>
      </c>
      <c r="I29" s="123">
        <v>880</v>
      </c>
      <c r="J29" s="123">
        <v>583</v>
      </c>
      <c r="K29" s="142" t="str">
        <f t="shared" si="3"/>
        <v>G583</v>
      </c>
      <c r="L29" s="123">
        <v>112</v>
      </c>
      <c r="M29" s="142" t="str">
        <f t="shared" si="0"/>
        <v>R112</v>
      </c>
      <c r="N29" s="123">
        <v>449</v>
      </c>
      <c r="O29" s="142" t="str">
        <f t="shared" si="1"/>
        <v>G449</v>
      </c>
      <c r="P29" s="123">
        <v>217</v>
      </c>
      <c r="Q29" s="142" t="str">
        <f t="shared" si="2"/>
        <v>R217</v>
      </c>
      <c r="R29" s="123">
        <v>19</v>
      </c>
      <c r="S29" s="123">
        <v>36.700000000000003</v>
      </c>
      <c r="T29" s="123">
        <v>23.8</v>
      </c>
      <c r="U29" s="123">
        <v>21.1</v>
      </c>
      <c r="V29" s="126"/>
      <c r="W29" s="126"/>
      <c r="X29" s="126"/>
      <c r="Y29" s="126"/>
      <c r="Z29" s="123"/>
      <c r="AA29" s="123"/>
      <c r="AB29" s="123"/>
      <c r="AC29" s="123"/>
      <c r="AD29" s="123" t="s">
        <v>2204</v>
      </c>
    </row>
    <row r="30" spans="1:31">
      <c r="A30" s="121">
        <v>28</v>
      </c>
      <c r="B30" s="122" t="s">
        <v>2171</v>
      </c>
      <c r="C30" s="122" t="s">
        <v>2216</v>
      </c>
      <c r="D30" s="122" t="s">
        <v>2213</v>
      </c>
      <c r="E30" s="124">
        <v>42767</v>
      </c>
      <c r="F30" s="125">
        <v>0.3263888888888889</v>
      </c>
      <c r="G30" s="124">
        <v>42818</v>
      </c>
      <c r="H30" s="125">
        <v>0.38194444444444442</v>
      </c>
      <c r="I30" s="123">
        <v>881</v>
      </c>
      <c r="J30" s="123">
        <v>702</v>
      </c>
      <c r="K30" s="142" t="str">
        <f t="shared" si="3"/>
        <v>G702</v>
      </c>
      <c r="L30" s="123">
        <v>436</v>
      </c>
      <c r="M30" s="142" t="str">
        <f t="shared" si="0"/>
        <v>R436</v>
      </c>
      <c r="N30" s="123">
        <v>502</v>
      </c>
      <c r="O30" s="142" t="str">
        <f t="shared" si="1"/>
        <v>G502</v>
      </c>
      <c r="P30" s="123">
        <v>172</v>
      </c>
      <c r="Q30" s="142" t="str">
        <f t="shared" si="2"/>
        <v>R172</v>
      </c>
      <c r="R30" s="123">
        <v>19.399999999999999</v>
      </c>
      <c r="S30" s="123">
        <v>41.5</v>
      </c>
      <c r="T30" s="123">
        <v>21.8</v>
      </c>
      <c r="U30" s="123">
        <v>25.3</v>
      </c>
      <c r="V30" s="126"/>
      <c r="W30" s="126"/>
      <c r="X30" s="126"/>
      <c r="Y30" s="126"/>
      <c r="Z30" s="123"/>
      <c r="AA30" s="123"/>
      <c r="AB30" s="123"/>
      <c r="AC30" s="123"/>
      <c r="AD30" s="123" t="s">
        <v>2204</v>
      </c>
    </row>
    <row r="31" spans="1:31">
      <c r="A31" s="121">
        <v>29</v>
      </c>
      <c r="B31" s="122" t="s">
        <v>2171</v>
      </c>
      <c r="C31" s="122" t="s">
        <v>2217</v>
      </c>
      <c r="D31" s="122" t="s">
        <v>2213</v>
      </c>
      <c r="E31" s="124">
        <v>42767</v>
      </c>
      <c r="F31" s="125">
        <v>0.3263888888888889</v>
      </c>
      <c r="G31" s="124">
        <v>42818</v>
      </c>
      <c r="H31" s="125">
        <v>0.3923611111111111</v>
      </c>
      <c r="I31" s="123">
        <v>882</v>
      </c>
      <c r="J31" s="123">
        <v>838</v>
      </c>
      <c r="K31" s="142" t="str">
        <f t="shared" si="3"/>
        <v>G838</v>
      </c>
      <c r="L31" s="123">
        <v>386</v>
      </c>
      <c r="M31" s="142" t="str">
        <f t="shared" si="0"/>
        <v>R386</v>
      </c>
      <c r="N31" s="123">
        <v>345</v>
      </c>
      <c r="O31" s="142" t="str">
        <f t="shared" si="1"/>
        <v>G345</v>
      </c>
      <c r="P31" s="123">
        <v>349</v>
      </c>
      <c r="Q31" s="142" t="str">
        <f t="shared" si="2"/>
        <v>R349</v>
      </c>
      <c r="R31" s="123">
        <v>18.899999999999999</v>
      </c>
      <c r="S31" s="123">
        <v>32.5</v>
      </c>
      <c r="T31" s="123">
        <v>23.2</v>
      </c>
      <c r="U31" s="123">
        <v>24.3</v>
      </c>
      <c r="V31" s="126" t="s">
        <v>2182</v>
      </c>
      <c r="W31" s="126" t="s">
        <v>2201</v>
      </c>
      <c r="X31" s="126"/>
      <c r="Y31" s="126"/>
      <c r="Z31" s="123"/>
      <c r="AA31" s="123"/>
      <c r="AB31" s="123"/>
      <c r="AC31" s="123"/>
      <c r="AD31" s="123" t="s">
        <v>2204</v>
      </c>
    </row>
    <row r="32" spans="1:31">
      <c r="A32" s="121">
        <v>30</v>
      </c>
      <c r="B32" s="122" t="s">
        <v>2171</v>
      </c>
      <c r="C32" s="122" t="s">
        <v>2218</v>
      </c>
      <c r="D32" s="122" t="s">
        <v>2213</v>
      </c>
      <c r="E32" s="124">
        <v>42767</v>
      </c>
      <c r="F32" s="125">
        <v>0.3298611111111111</v>
      </c>
      <c r="G32" s="124">
        <v>42818</v>
      </c>
      <c r="H32" s="125">
        <v>0.3923611111111111</v>
      </c>
      <c r="I32" s="123">
        <v>883</v>
      </c>
      <c r="J32" s="123">
        <v>518</v>
      </c>
      <c r="K32" s="142" t="str">
        <f t="shared" si="3"/>
        <v>G518</v>
      </c>
      <c r="L32">
        <v>507</v>
      </c>
      <c r="M32" s="142" t="str">
        <f t="shared" si="0"/>
        <v>R507</v>
      </c>
      <c r="N32" s="123">
        <v>500</v>
      </c>
      <c r="O32" s="142" t="str">
        <f t="shared" si="1"/>
        <v>G500</v>
      </c>
      <c r="P32" s="123">
        <v>296</v>
      </c>
      <c r="Q32" s="142" t="str">
        <f t="shared" si="2"/>
        <v>R296</v>
      </c>
      <c r="R32" s="123">
        <v>18.7</v>
      </c>
      <c r="S32" s="123">
        <v>30.7</v>
      </c>
      <c r="T32" s="123">
        <v>22.7</v>
      </c>
      <c r="U32" s="123">
        <v>23.1</v>
      </c>
      <c r="V32" s="126" t="s">
        <v>2182</v>
      </c>
      <c r="W32" s="126" t="s">
        <v>2182</v>
      </c>
      <c r="X32" s="126"/>
      <c r="Y32" s="126"/>
      <c r="Z32" s="123"/>
      <c r="AA32" s="123"/>
      <c r="AB32" s="123"/>
      <c r="AC32" s="123"/>
      <c r="AD32" s="123" t="s">
        <v>2204</v>
      </c>
    </row>
    <row r="33" spans="1:31">
      <c r="A33" s="121">
        <v>31</v>
      </c>
      <c r="B33" s="122" t="s">
        <v>2171</v>
      </c>
      <c r="C33" s="122" t="s">
        <v>2219</v>
      </c>
      <c r="D33" s="122" t="s">
        <v>2213</v>
      </c>
      <c r="E33" s="124">
        <v>42767</v>
      </c>
      <c r="F33" s="125">
        <v>0.3298611111111111</v>
      </c>
      <c r="G33" s="124">
        <v>42818</v>
      </c>
      <c r="H33" s="125">
        <v>0.39583333333333331</v>
      </c>
      <c r="I33" s="123">
        <v>884</v>
      </c>
      <c r="J33" s="129">
        <v>404</v>
      </c>
      <c r="K33" s="142" t="str">
        <f t="shared" si="3"/>
        <v>G404</v>
      </c>
      <c r="L33" s="123">
        <v>141</v>
      </c>
      <c r="M33" s="142" t="str">
        <f t="shared" si="0"/>
        <v>R141</v>
      </c>
      <c r="N33" s="123">
        <v>521</v>
      </c>
      <c r="O33" s="142" t="str">
        <f t="shared" si="1"/>
        <v>G521</v>
      </c>
      <c r="P33" s="123">
        <v>323</v>
      </c>
      <c r="Q33" s="142" t="str">
        <f t="shared" si="2"/>
        <v>R323</v>
      </c>
      <c r="R33" s="123">
        <v>19.8</v>
      </c>
      <c r="S33" s="123">
        <v>36.6</v>
      </c>
      <c r="T33" s="123">
        <v>22.1</v>
      </c>
      <c r="U33" s="123">
        <v>29.4</v>
      </c>
      <c r="V33" s="126" t="s">
        <v>2182</v>
      </c>
      <c r="W33" s="126" t="s">
        <v>2182</v>
      </c>
      <c r="X33" s="126" t="s">
        <v>2182</v>
      </c>
      <c r="Y33" s="126" t="s">
        <v>2182</v>
      </c>
      <c r="Z33" s="123"/>
      <c r="AA33" s="123"/>
      <c r="AB33" s="123"/>
      <c r="AC33" s="123"/>
      <c r="AD33" s="123" t="s">
        <v>2204</v>
      </c>
    </row>
    <row r="34" spans="1:31">
      <c r="A34" s="121">
        <v>32</v>
      </c>
      <c r="B34" s="122" t="s">
        <v>2171</v>
      </c>
      <c r="C34" s="122" t="s">
        <v>2220</v>
      </c>
      <c r="D34" s="122" t="s">
        <v>2213</v>
      </c>
      <c r="E34" s="124">
        <v>42767</v>
      </c>
      <c r="F34" s="125">
        <v>0.33333333333333331</v>
      </c>
      <c r="G34" s="124">
        <v>42818</v>
      </c>
      <c r="H34" s="125">
        <v>0.38541666666666669</v>
      </c>
      <c r="I34" s="123">
        <v>885</v>
      </c>
      <c r="J34" s="123">
        <v>527</v>
      </c>
      <c r="K34" s="142" t="str">
        <f t="shared" si="3"/>
        <v>G527</v>
      </c>
      <c r="L34" s="123">
        <v>396</v>
      </c>
      <c r="M34" s="142" t="str">
        <f t="shared" si="0"/>
        <v>R396</v>
      </c>
      <c r="N34" s="123">
        <v>201</v>
      </c>
      <c r="O34" s="142" t="str">
        <f t="shared" si="1"/>
        <v>G201</v>
      </c>
      <c r="P34" s="123">
        <v>156</v>
      </c>
      <c r="Q34" s="142" t="str">
        <f t="shared" si="2"/>
        <v>R156</v>
      </c>
      <c r="R34" s="123">
        <v>18.8</v>
      </c>
      <c r="S34" s="123">
        <v>36.299999999999997</v>
      </c>
      <c r="T34" s="123">
        <v>23</v>
      </c>
      <c r="U34" s="123">
        <v>29.4</v>
      </c>
      <c r="V34" s="126" t="s">
        <v>2182</v>
      </c>
      <c r="W34" s="126" t="s">
        <v>2182</v>
      </c>
      <c r="X34" s="126" t="s">
        <v>2182</v>
      </c>
      <c r="Y34" s="126" t="s">
        <v>2182</v>
      </c>
      <c r="Z34" s="123"/>
      <c r="AA34" s="123"/>
      <c r="AB34" s="123"/>
      <c r="AC34" s="123"/>
      <c r="AD34" s="123" t="s">
        <v>2204</v>
      </c>
    </row>
    <row r="35" spans="1:31">
      <c r="A35" s="121">
        <v>33</v>
      </c>
      <c r="B35" s="122" t="s">
        <v>2171</v>
      </c>
      <c r="C35" s="122" t="s">
        <v>2221</v>
      </c>
      <c r="D35" s="122" t="s">
        <v>2222</v>
      </c>
      <c r="E35" s="124">
        <v>42765</v>
      </c>
      <c r="F35" s="125">
        <v>0.67361111111111116</v>
      </c>
      <c r="G35" s="124">
        <v>42820</v>
      </c>
      <c r="H35" s="125">
        <v>0.4548611111111111</v>
      </c>
      <c r="I35" s="123">
        <v>813</v>
      </c>
      <c r="J35" s="123">
        <v>366</v>
      </c>
      <c r="K35" s="142" t="str">
        <f t="shared" si="3"/>
        <v>G366</v>
      </c>
      <c r="L35" s="123">
        <v>109</v>
      </c>
      <c r="M35" s="142" t="str">
        <f t="shared" si="0"/>
        <v>R109</v>
      </c>
      <c r="N35" s="123">
        <v>556</v>
      </c>
      <c r="O35" s="142" t="str">
        <f t="shared" si="1"/>
        <v>G556</v>
      </c>
      <c r="P35" s="123">
        <v>452</v>
      </c>
      <c r="Q35" s="142" t="str">
        <f t="shared" si="2"/>
        <v>R452</v>
      </c>
      <c r="R35" s="123">
        <v>25.1</v>
      </c>
      <c r="S35" s="123">
        <v>30.5</v>
      </c>
      <c r="T35" s="123">
        <v>25.4</v>
      </c>
      <c r="U35" s="123"/>
      <c r="V35" s="126" t="s">
        <v>2182</v>
      </c>
      <c r="W35" s="126" t="s">
        <v>2190</v>
      </c>
      <c r="X35" s="126" t="s">
        <v>2182</v>
      </c>
      <c r="Y35" s="126" t="s">
        <v>2182</v>
      </c>
      <c r="Z35" s="123">
        <v>17.2</v>
      </c>
      <c r="AA35" s="126" t="s">
        <v>2223</v>
      </c>
      <c r="AB35" s="123">
        <v>9.5</v>
      </c>
      <c r="AC35" s="126">
        <v>0</v>
      </c>
      <c r="AD35" s="123"/>
    </row>
    <row r="36" spans="1:31">
      <c r="A36" s="121">
        <v>34</v>
      </c>
      <c r="B36" s="122" t="s">
        <v>2171</v>
      </c>
      <c r="C36" s="122" t="s">
        <v>2224</v>
      </c>
      <c r="D36" s="122" t="s">
        <v>2222</v>
      </c>
      <c r="E36" s="124">
        <v>42765</v>
      </c>
      <c r="F36" s="125">
        <v>0.71875</v>
      </c>
      <c r="G36" s="124">
        <v>42820</v>
      </c>
      <c r="H36" s="125">
        <v>0.4513888888888889</v>
      </c>
      <c r="I36" s="123">
        <v>822</v>
      </c>
      <c r="J36" s="123">
        <v>516</v>
      </c>
      <c r="K36" s="142" t="str">
        <f t="shared" si="3"/>
        <v>G516</v>
      </c>
      <c r="L36" s="123">
        <v>153</v>
      </c>
      <c r="M36" s="142" t="str">
        <f t="shared" si="0"/>
        <v>R153</v>
      </c>
      <c r="N36" s="123">
        <v>649</v>
      </c>
      <c r="O36" s="142" t="str">
        <f t="shared" si="1"/>
        <v>G649</v>
      </c>
      <c r="P36" s="123">
        <v>24</v>
      </c>
      <c r="Q36" s="142" t="str">
        <f t="shared" si="2"/>
        <v>R24</v>
      </c>
      <c r="R36" s="123">
        <v>24.6</v>
      </c>
      <c r="S36" s="123">
        <v>21</v>
      </c>
      <c r="T36" s="123">
        <v>26.5</v>
      </c>
      <c r="U36" s="123"/>
      <c r="V36" s="126" t="s">
        <v>2225</v>
      </c>
      <c r="W36" s="126" t="s">
        <v>2190</v>
      </c>
      <c r="X36" s="126" t="s">
        <v>2182</v>
      </c>
      <c r="Y36" s="126" t="s">
        <v>2182</v>
      </c>
      <c r="Z36" s="123">
        <v>14.2</v>
      </c>
      <c r="AA36" s="126" t="s">
        <v>2223</v>
      </c>
      <c r="AB36" s="123">
        <v>6.5</v>
      </c>
      <c r="AC36" s="126">
        <v>0</v>
      </c>
      <c r="AD36" s="123" t="s">
        <v>2226</v>
      </c>
    </row>
    <row r="37" spans="1:31">
      <c r="A37" s="121">
        <v>35</v>
      </c>
      <c r="B37" s="122" t="s">
        <v>2171</v>
      </c>
      <c r="C37" s="122" t="s">
        <v>2227</v>
      </c>
      <c r="D37" s="122" t="s">
        <v>2222</v>
      </c>
      <c r="E37" s="124">
        <v>42765</v>
      </c>
      <c r="F37" s="125">
        <v>0.71875</v>
      </c>
      <c r="G37" s="124">
        <v>42820</v>
      </c>
      <c r="H37" s="125">
        <v>0.44444444444444442</v>
      </c>
      <c r="I37" s="123">
        <v>823</v>
      </c>
      <c r="J37" s="123">
        <v>670</v>
      </c>
      <c r="K37" s="142" t="str">
        <f t="shared" si="3"/>
        <v>G670</v>
      </c>
      <c r="L37" s="123">
        <v>64</v>
      </c>
      <c r="M37" s="142" t="str">
        <f t="shared" si="0"/>
        <v>R64</v>
      </c>
      <c r="N37" s="123">
        <v>732</v>
      </c>
      <c r="O37" s="142" t="str">
        <f t="shared" si="1"/>
        <v>G732</v>
      </c>
      <c r="P37" s="123">
        <v>69</v>
      </c>
      <c r="Q37" s="142" t="str">
        <f t="shared" si="2"/>
        <v>R69</v>
      </c>
      <c r="R37" s="123">
        <v>24.2</v>
      </c>
      <c r="S37" s="123">
        <v>10.9</v>
      </c>
      <c r="T37" s="123">
        <v>24.7</v>
      </c>
      <c r="U37" s="123"/>
      <c r="V37" s="126"/>
      <c r="W37" s="126"/>
      <c r="X37" s="126" t="s">
        <v>2182</v>
      </c>
      <c r="Y37" s="126" t="s">
        <v>2182</v>
      </c>
      <c r="Z37" s="123">
        <v>10.6</v>
      </c>
      <c r="AA37" s="126" t="s">
        <v>2223</v>
      </c>
      <c r="AB37" s="123">
        <v>0.7</v>
      </c>
      <c r="AC37" s="126">
        <v>0</v>
      </c>
      <c r="AD37" s="123"/>
    </row>
    <row r="38" spans="1:31">
      <c r="A38" s="121">
        <v>36</v>
      </c>
      <c r="B38" s="122" t="s">
        <v>2171</v>
      </c>
      <c r="C38" s="122" t="s">
        <v>2228</v>
      </c>
      <c r="D38" s="122" t="s">
        <v>2222</v>
      </c>
      <c r="E38" s="124">
        <v>42765</v>
      </c>
      <c r="F38" s="125">
        <v>0.74305555555555547</v>
      </c>
      <c r="G38" s="124">
        <v>42820</v>
      </c>
      <c r="H38" s="125">
        <v>0.4375</v>
      </c>
      <c r="I38" s="123">
        <v>824</v>
      </c>
      <c r="J38" s="123">
        <v>507</v>
      </c>
      <c r="K38" s="142" t="str">
        <f t="shared" si="3"/>
        <v>G507</v>
      </c>
      <c r="L38" s="123">
        <v>126</v>
      </c>
      <c r="M38" s="142" t="str">
        <f t="shared" si="0"/>
        <v>R126</v>
      </c>
      <c r="N38" s="123">
        <v>550</v>
      </c>
      <c r="O38" s="142" t="str">
        <f t="shared" si="1"/>
        <v>G550</v>
      </c>
      <c r="P38" s="123">
        <v>97</v>
      </c>
      <c r="Q38" s="142" t="str">
        <f t="shared" si="2"/>
        <v>R97</v>
      </c>
      <c r="R38" s="123">
        <v>24.8</v>
      </c>
      <c r="S38" s="123">
        <v>14.1</v>
      </c>
      <c r="T38" s="123">
        <v>24.7</v>
      </c>
      <c r="U38" s="123"/>
      <c r="V38" s="126" t="s">
        <v>2182</v>
      </c>
      <c r="W38" s="126" t="s">
        <v>2229</v>
      </c>
      <c r="X38" s="126" t="s">
        <v>2182</v>
      </c>
      <c r="Y38" s="126" t="s">
        <v>2182</v>
      </c>
      <c r="Z38" s="123">
        <v>4.9000000000000004</v>
      </c>
      <c r="AA38" s="126" t="s">
        <v>2223</v>
      </c>
      <c r="AB38" s="123">
        <v>3.3</v>
      </c>
      <c r="AC38" s="126">
        <v>1</v>
      </c>
      <c r="AD38" s="123"/>
    </row>
    <row r="39" spans="1:31">
      <c r="A39" s="121">
        <v>37</v>
      </c>
      <c r="B39" s="122" t="s">
        <v>2171</v>
      </c>
      <c r="C39" s="122" t="s">
        <v>2230</v>
      </c>
      <c r="D39" s="122" t="s">
        <v>2222</v>
      </c>
      <c r="E39" s="124">
        <v>42765</v>
      </c>
      <c r="F39" s="125">
        <v>0.74652777777777779</v>
      </c>
      <c r="G39" s="124">
        <v>42820</v>
      </c>
      <c r="H39" s="125">
        <v>0.375</v>
      </c>
      <c r="I39" s="123">
        <v>825</v>
      </c>
      <c r="J39" s="123">
        <v>359</v>
      </c>
      <c r="K39" s="142" t="str">
        <f t="shared" si="3"/>
        <v>G359</v>
      </c>
      <c r="L39" s="123">
        <v>63</v>
      </c>
      <c r="M39" s="142" t="str">
        <f t="shared" si="0"/>
        <v>R63</v>
      </c>
      <c r="N39" s="123">
        <v>528</v>
      </c>
      <c r="O39" s="142" t="str">
        <f t="shared" si="1"/>
        <v>G528</v>
      </c>
      <c r="P39" s="123">
        <v>89</v>
      </c>
      <c r="Q39" s="142" t="str">
        <f t="shared" si="2"/>
        <v>R89</v>
      </c>
      <c r="R39" s="123">
        <v>24.8</v>
      </c>
      <c r="S39" s="123">
        <v>16.2</v>
      </c>
      <c r="T39" s="123">
        <v>24.3</v>
      </c>
      <c r="U39" s="123">
        <v>22.4</v>
      </c>
      <c r="V39" s="126" t="s">
        <v>2190</v>
      </c>
      <c r="W39" s="126" t="s">
        <v>2231</v>
      </c>
      <c r="X39" s="126" t="s">
        <v>2182</v>
      </c>
      <c r="Y39" s="126" t="s">
        <v>2182</v>
      </c>
      <c r="Z39" s="123">
        <v>27.8</v>
      </c>
      <c r="AA39" s="126" t="s">
        <v>2223</v>
      </c>
      <c r="AB39" s="123">
        <v>8.3000000000000007</v>
      </c>
      <c r="AC39" s="123">
        <v>0</v>
      </c>
      <c r="AD39" s="123"/>
    </row>
    <row r="40" spans="1:31">
      <c r="A40" s="121">
        <v>38</v>
      </c>
      <c r="B40" s="122" t="s">
        <v>2171</v>
      </c>
      <c r="C40" s="122" t="s">
        <v>2232</v>
      </c>
      <c r="D40" s="122" t="s">
        <v>2222</v>
      </c>
      <c r="E40" s="124">
        <v>42765</v>
      </c>
      <c r="F40" s="125">
        <v>0.71875</v>
      </c>
      <c r="G40" s="124">
        <v>42820</v>
      </c>
      <c r="H40" s="125">
        <v>0.38194444444444442</v>
      </c>
      <c r="I40" s="123">
        <v>826</v>
      </c>
      <c r="J40" s="123">
        <v>499</v>
      </c>
      <c r="K40" s="142" t="str">
        <f t="shared" si="3"/>
        <v>G499</v>
      </c>
      <c r="L40" s="123">
        <v>87</v>
      </c>
      <c r="M40" s="142" t="str">
        <f t="shared" si="0"/>
        <v>R87</v>
      </c>
      <c r="N40" s="123">
        <v>703</v>
      </c>
      <c r="O40" s="142" t="str">
        <f t="shared" si="1"/>
        <v>G703</v>
      </c>
      <c r="P40" s="129">
        <v>147</v>
      </c>
      <c r="Q40" s="142" t="str">
        <f t="shared" si="2"/>
        <v>R147</v>
      </c>
      <c r="R40" s="129">
        <v>23.2</v>
      </c>
      <c r="S40" s="129">
        <v>20.9</v>
      </c>
      <c r="T40" s="123">
        <v>25</v>
      </c>
      <c r="U40" s="123"/>
      <c r="V40" s="126" t="s">
        <v>2198</v>
      </c>
      <c r="W40" s="126" t="s">
        <v>2233</v>
      </c>
      <c r="X40" s="126" t="s">
        <v>2182</v>
      </c>
      <c r="Y40" s="126"/>
      <c r="Z40" s="123">
        <v>20.399999999999999</v>
      </c>
      <c r="AA40" s="126" t="s">
        <v>2245</v>
      </c>
      <c r="AB40" s="123">
        <v>2</v>
      </c>
      <c r="AC40" s="123">
        <v>0</v>
      </c>
      <c r="AD40" s="123"/>
    </row>
    <row r="41" spans="1:31">
      <c r="A41" s="121">
        <v>39</v>
      </c>
      <c r="B41" s="122" t="s">
        <v>2171</v>
      </c>
      <c r="C41" s="122" t="s">
        <v>2234</v>
      </c>
      <c r="D41" s="122" t="s">
        <v>2222</v>
      </c>
      <c r="E41" s="124">
        <v>42765</v>
      </c>
      <c r="F41" s="125">
        <v>0.75</v>
      </c>
      <c r="G41" s="124">
        <v>42820</v>
      </c>
      <c r="H41" s="125">
        <v>0.39930555555555558</v>
      </c>
      <c r="I41" s="123">
        <v>827</v>
      </c>
      <c r="J41" s="123">
        <v>214</v>
      </c>
      <c r="K41" s="142" t="str">
        <f t="shared" si="3"/>
        <v>G214</v>
      </c>
      <c r="L41" s="123">
        <v>437</v>
      </c>
      <c r="M41" s="142" t="str">
        <f t="shared" si="0"/>
        <v>R437</v>
      </c>
      <c r="N41" s="123">
        <v>566</v>
      </c>
      <c r="O41" s="142" t="str">
        <f t="shared" si="1"/>
        <v>G566</v>
      </c>
      <c r="P41" s="123">
        <v>65</v>
      </c>
      <c r="Q41" s="142" t="str">
        <f t="shared" si="2"/>
        <v>R65</v>
      </c>
      <c r="R41" s="123">
        <v>23.7</v>
      </c>
      <c r="S41" s="123">
        <v>26.9</v>
      </c>
      <c r="T41" s="123">
        <v>22.9</v>
      </c>
      <c r="U41" s="123"/>
      <c r="V41" s="126" t="s">
        <v>2182</v>
      </c>
      <c r="W41" s="126" t="s">
        <v>2182</v>
      </c>
      <c r="X41" s="126" t="s">
        <v>2182</v>
      </c>
      <c r="Y41" s="126" t="s">
        <v>2182</v>
      </c>
      <c r="Z41" s="123">
        <v>18</v>
      </c>
      <c r="AA41" s="126" t="s">
        <v>2223</v>
      </c>
      <c r="AB41" s="123">
        <v>2.4</v>
      </c>
      <c r="AC41" s="123">
        <v>1</v>
      </c>
      <c r="AD41" s="123" t="s">
        <v>2235</v>
      </c>
      <c r="AE41" s="92"/>
    </row>
    <row r="42" spans="1:31">
      <c r="A42" s="121">
        <v>40</v>
      </c>
      <c r="B42" s="122" t="s">
        <v>2171</v>
      </c>
      <c r="C42" s="122" t="s">
        <v>2236</v>
      </c>
      <c r="D42" s="122" t="s">
        <v>2222</v>
      </c>
      <c r="E42" s="124">
        <v>42765</v>
      </c>
      <c r="F42" s="125">
        <v>0.75347222222222221</v>
      </c>
      <c r="G42" s="124">
        <v>42820</v>
      </c>
      <c r="H42" s="125">
        <v>0.40625</v>
      </c>
      <c r="I42" s="123">
        <v>828</v>
      </c>
      <c r="J42" s="123">
        <v>582</v>
      </c>
      <c r="K42" s="142" t="str">
        <f t="shared" si="3"/>
        <v>G582</v>
      </c>
      <c r="L42" s="123">
        <v>114</v>
      </c>
      <c r="M42" s="142" t="str">
        <f t="shared" si="0"/>
        <v>R114</v>
      </c>
      <c r="N42" s="123">
        <v>619</v>
      </c>
      <c r="O42" s="142" t="str">
        <f t="shared" si="1"/>
        <v>G619</v>
      </c>
      <c r="P42" s="123">
        <v>420</v>
      </c>
      <c r="Q42" s="142" t="str">
        <f t="shared" si="2"/>
        <v>R420</v>
      </c>
      <c r="R42" s="123">
        <v>24.3</v>
      </c>
      <c r="S42" s="123">
        <v>31.9</v>
      </c>
      <c r="T42" s="123">
        <v>23.5</v>
      </c>
      <c r="U42" s="123"/>
      <c r="V42" s="126" t="s">
        <v>2174</v>
      </c>
      <c r="W42" s="126" t="s">
        <v>2174</v>
      </c>
      <c r="X42" s="126" t="s">
        <v>2182</v>
      </c>
      <c r="Y42" s="126"/>
      <c r="Z42" s="123">
        <v>19.3</v>
      </c>
      <c r="AA42" s="123" t="s">
        <v>2223</v>
      </c>
      <c r="AB42" s="123">
        <v>8.6999999999999993</v>
      </c>
      <c r="AC42" s="123">
        <v>0</v>
      </c>
      <c r="AD42" s="123" t="s">
        <v>2237</v>
      </c>
    </row>
    <row r="43" spans="1:31">
      <c r="A43" s="121">
        <v>41</v>
      </c>
      <c r="B43" s="122" t="s">
        <v>2171</v>
      </c>
      <c r="C43" s="122" t="s">
        <v>2238</v>
      </c>
      <c r="D43" s="122" t="s">
        <v>2239</v>
      </c>
      <c r="E43" s="124">
        <v>42766</v>
      </c>
      <c r="F43" s="125">
        <v>0.40972222222222227</v>
      </c>
      <c r="G43" s="124">
        <v>42820</v>
      </c>
      <c r="H43" s="125">
        <v>0.52083333333333337</v>
      </c>
      <c r="I43" s="123">
        <v>830</v>
      </c>
      <c r="J43" s="123">
        <v>453</v>
      </c>
      <c r="K43" s="142" t="str">
        <f t="shared" si="3"/>
        <v>G453</v>
      </c>
      <c r="L43" s="123">
        <v>521</v>
      </c>
      <c r="M43" s="142" t="str">
        <f t="shared" si="0"/>
        <v>R521</v>
      </c>
      <c r="N43" s="123">
        <v>626</v>
      </c>
      <c r="O43" s="142" t="str">
        <f t="shared" si="1"/>
        <v>G626</v>
      </c>
      <c r="P43" s="123">
        <v>77</v>
      </c>
      <c r="Q43" s="142" t="str">
        <f t="shared" si="2"/>
        <v>R77</v>
      </c>
      <c r="R43" s="123">
        <v>20.9</v>
      </c>
      <c r="S43" s="123">
        <v>21.9</v>
      </c>
      <c r="T43" s="123">
        <v>28.1</v>
      </c>
      <c r="U43" s="123"/>
      <c r="V43" s="126" t="s">
        <v>2195</v>
      </c>
      <c r="W43" s="126"/>
      <c r="X43" s="126" t="s">
        <v>2182</v>
      </c>
      <c r="Y43" s="126" t="s">
        <v>2182</v>
      </c>
      <c r="Z43" s="123">
        <v>19.100000000000001</v>
      </c>
      <c r="AA43" s="123" t="s">
        <v>2223</v>
      </c>
      <c r="AB43" s="123">
        <v>4</v>
      </c>
      <c r="AC43" s="123">
        <v>0</v>
      </c>
      <c r="AD43" s="123"/>
    </row>
    <row r="44" spans="1:31">
      <c r="A44" s="121">
        <v>42</v>
      </c>
      <c r="B44" s="122" t="s">
        <v>2171</v>
      </c>
      <c r="C44" s="122" t="s">
        <v>2240</v>
      </c>
      <c r="D44" s="122" t="s">
        <v>2239</v>
      </c>
      <c r="E44" s="124">
        <v>42766</v>
      </c>
      <c r="F44" s="125">
        <v>0.41319444444444442</v>
      </c>
      <c r="G44" s="124">
        <v>42820</v>
      </c>
      <c r="H44" s="125">
        <v>0.47222222222222227</v>
      </c>
      <c r="I44" s="123">
        <v>831</v>
      </c>
      <c r="J44" s="123">
        <v>764</v>
      </c>
      <c r="K44" s="142" t="str">
        <f t="shared" si="3"/>
        <v>G764</v>
      </c>
      <c r="L44" s="123">
        <v>371</v>
      </c>
      <c r="M44" s="142" t="str">
        <f t="shared" si="0"/>
        <v>R371</v>
      </c>
      <c r="N44" s="123">
        <v>437</v>
      </c>
      <c r="O44" s="142" t="str">
        <f t="shared" si="1"/>
        <v>G437</v>
      </c>
      <c r="P44" s="123">
        <v>81</v>
      </c>
      <c r="Q44" s="142" t="str">
        <f t="shared" si="2"/>
        <v>R81</v>
      </c>
      <c r="R44" s="123">
        <v>20.3</v>
      </c>
      <c r="S44" s="123">
        <v>19</v>
      </c>
      <c r="T44" s="123">
        <v>25.6</v>
      </c>
      <c r="U44" s="123"/>
      <c r="V44" s="123" t="s">
        <v>2174</v>
      </c>
      <c r="W44" s="126"/>
      <c r="X44" s="126"/>
      <c r="Y44" s="126"/>
      <c r="Z44" s="123">
        <v>12.7</v>
      </c>
      <c r="AA44" s="123" t="s">
        <v>2223</v>
      </c>
      <c r="AB44" s="123">
        <v>5.9</v>
      </c>
      <c r="AC44" s="123">
        <v>0</v>
      </c>
      <c r="AD44" s="123" t="s">
        <v>2241</v>
      </c>
    </row>
    <row r="45" spans="1:31">
      <c r="A45" s="121">
        <v>43</v>
      </c>
      <c r="B45" s="122" t="s">
        <v>2171</v>
      </c>
      <c r="C45" s="122" t="s">
        <v>2242</v>
      </c>
      <c r="D45" s="122" t="s">
        <v>2239</v>
      </c>
      <c r="E45" s="124">
        <v>42766</v>
      </c>
      <c r="F45" s="125">
        <v>0.41666666666666669</v>
      </c>
      <c r="G45" s="124">
        <v>42820</v>
      </c>
      <c r="H45" s="125">
        <v>0.47916666666666669</v>
      </c>
      <c r="I45" s="123">
        <v>832</v>
      </c>
      <c r="J45" s="123">
        <v>690</v>
      </c>
      <c r="K45" s="142" t="str">
        <f t="shared" si="3"/>
        <v>G690</v>
      </c>
      <c r="L45" s="123">
        <v>376</v>
      </c>
      <c r="M45" s="142" t="str">
        <f t="shared" si="0"/>
        <v>R376</v>
      </c>
      <c r="N45" s="123">
        <v>643</v>
      </c>
      <c r="O45" s="142" t="str">
        <f t="shared" si="1"/>
        <v>G643</v>
      </c>
      <c r="P45" s="123">
        <v>117</v>
      </c>
      <c r="Q45" s="142" t="str">
        <f t="shared" si="2"/>
        <v>R117</v>
      </c>
      <c r="R45" s="123">
        <v>20.9</v>
      </c>
      <c r="S45" s="123">
        <v>18.3</v>
      </c>
      <c r="T45" s="123">
        <v>22.7</v>
      </c>
      <c r="U45" s="123"/>
      <c r="V45" s="123" t="s">
        <v>2201</v>
      </c>
      <c r="W45" s="126" t="s">
        <v>2190</v>
      </c>
      <c r="X45" s="126" t="s">
        <v>2182</v>
      </c>
      <c r="Y45" s="126" t="s">
        <v>2182</v>
      </c>
      <c r="Z45" s="123">
        <v>26.3</v>
      </c>
      <c r="AA45" s="123" t="s">
        <v>2223</v>
      </c>
      <c r="AB45" s="123">
        <v>5</v>
      </c>
      <c r="AC45" s="123">
        <v>0</v>
      </c>
      <c r="AD45" s="123"/>
    </row>
    <row r="46" spans="1:31">
      <c r="A46" s="121">
        <v>44</v>
      </c>
      <c r="B46" s="122" t="s">
        <v>2171</v>
      </c>
      <c r="C46" s="122" t="s">
        <v>2243</v>
      </c>
      <c r="D46" s="122" t="s">
        <v>2239</v>
      </c>
      <c r="E46" s="124">
        <v>42766</v>
      </c>
      <c r="F46" s="125">
        <v>0.42708333333333331</v>
      </c>
      <c r="G46" s="124">
        <v>42820</v>
      </c>
      <c r="H46" s="125">
        <v>0.51736111111111105</v>
      </c>
      <c r="I46" s="123">
        <v>1142</v>
      </c>
      <c r="J46" s="123">
        <v>774</v>
      </c>
      <c r="K46" s="142" t="str">
        <f t="shared" si="3"/>
        <v>G774</v>
      </c>
      <c r="L46" s="123">
        <v>166</v>
      </c>
      <c r="M46" s="142" t="str">
        <f t="shared" si="0"/>
        <v>R166</v>
      </c>
      <c r="N46">
        <v>283</v>
      </c>
      <c r="O46" s="142" t="str">
        <f t="shared" si="1"/>
        <v>G283</v>
      </c>
      <c r="P46" s="123">
        <v>6</v>
      </c>
      <c r="Q46" s="142" t="str">
        <f t="shared" si="2"/>
        <v>R6</v>
      </c>
      <c r="R46" s="123">
        <v>20.9</v>
      </c>
      <c r="S46" s="123">
        <v>20.6</v>
      </c>
      <c r="T46" s="123">
        <v>24.4</v>
      </c>
      <c r="U46" s="123"/>
      <c r="V46" s="123" t="s">
        <v>2182</v>
      </c>
      <c r="W46" s="126" t="s">
        <v>2182</v>
      </c>
      <c r="X46" s="126" t="s">
        <v>2182</v>
      </c>
      <c r="Y46" s="126"/>
      <c r="Z46" s="123">
        <v>39.200000000000003</v>
      </c>
      <c r="AA46" s="123" t="s">
        <v>2223</v>
      </c>
      <c r="AB46" s="123">
        <v>2.6</v>
      </c>
      <c r="AC46" s="123">
        <v>0</v>
      </c>
      <c r="AD46" s="123"/>
    </row>
    <row r="47" spans="1:31">
      <c r="A47" s="121">
        <v>45</v>
      </c>
      <c r="B47" s="122" t="s">
        <v>2171</v>
      </c>
      <c r="C47" s="122" t="s">
        <v>2244</v>
      </c>
      <c r="D47" s="122" t="s">
        <v>2239</v>
      </c>
      <c r="E47" s="124">
        <v>42766</v>
      </c>
      <c r="F47" s="125">
        <v>0.43055555555555558</v>
      </c>
      <c r="G47" s="124">
        <v>42820</v>
      </c>
      <c r="H47" s="125">
        <v>0.48958333333333331</v>
      </c>
      <c r="I47" s="123">
        <v>1147</v>
      </c>
      <c r="J47" s="123">
        <v>519</v>
      </c>
      <c r="K47" s="142" t="str">
        <f t="shared" si="3"/>
        <v>G519</v>
      </c>
      <c r="L47" s="123">
        <v>469</v>
      </c>
      <c r="M47" s="142" t="str">
        <f t="shared" si="0"/>
        <v>R469</v>
      </c>
      <c r="N47" s="123">
        <v>602</v>
      </c>
      <c r="O47" s="142" t="str">
        <f t="shared" si="1"/>
        <v>G602</v>
      </c>
      <c r="P47" s="123">
        <v>74</v>
      </c>
      <c r="Q47" s="142" t="str">
        <f t="shared" si="2"/>
        <v>R74</v>
      </c>
      <c r="R47" s="123">
        <v>20.100000000000001</v>
      </c>
      <c r="S47" s="123">
        <v>24.4</v>
      </c>
      <c r="T47" s="123">
        <v>24.2</v>
      </c>
      <c r="U47" s="123"/>
      <c r="V47" s="123" t="s">
        <v>2182</v>
      </c>
      <c r="W47" s="126"/>
      <c r="X47" s="126" t="s">
        <v>2182</v>
      </c>
      <c r="Y47" s="126"/>
      <c r="Z47" s="123">
        <v>9.3000000000000007</v>
      </c>
      <c r="AA47" s="123" t="s">
        <v>2245</v>
      </c>
      <c r="AB47" s="123">
        <v>2.2999999999999998</v>
      </c>
      <c r="AC47" s="123">
        <v>0</v>
      </c>
      <c r="AD47" s="123"/>
    </row>
    <row r="48" spans="1:31">
      <c r="A48" s="168">
        <v>46</v>
      </c>
      <c r="B48" s="169" t="s">
        <v>2171</v>
      </c>
      <c r="C48" s="169" t="s">
        <v>2246</v>
      </c>
      <c r="D48" s="169" t="s">
        <v>2239</v>
      </c>
      <c r="E48" s="170">
        <v>42766</v>
      </c>
      <c r="F48" s="173">
        <v>0.43402777777777773</v>
      </c>
      <c r="G48" s="170">
        <v>42820</v>
      </c>
      <c r="H48" s="168"/>
      <c r="I48" s="168">
        <v>835</v>
      </c>
      <c r="J48" s="168">
        <v>635</v>
      </c>
      <c r="K48" s="142" t="str">
        <f t="shared" si="3"/>
        <v>G635</v>
      </c>
      <c r="L48" s="168">
        <v>86</v>
      </c>
      <c r="M48" s="142" t="str">
        <f t="shared" si="0"/>
        <v>R86</v>
      </c>
      <c r="N48" s="168">
        <v>427</v>
      </c>
      <c r="O48" s="142" t="str">
        <f t="shared" si="1"/>
        <v>G427</v>
      </c>
      <c r="P48" s="168">
        <v>102</v>
      </c>
      <c r="Q48" s="142" t="str">
        <f t="shared" si="2"/>
        <v>R102</v>
      </c>
      <c r="R48" s="168">
        <v>20.100000000000001</v>
      </c>
      <c r="S48" s="168">
        <v>22.5</v>
      </c>
      <c r="T48" s="168"/>
      <c r="U48" s="168"/>
      <c r="V48" s="168"/>
      <c r="W48" s="171"/>
      <c r="X48" s="171"/>
      <c r="Y48" s="171"/>
      <c r="Z48" s="168"/>
      <c r="AA48" s="168"/>
      <c r="AB48" s="168"/>
      <c r="AC48" s="168"/>
      <c r="AD48" s="168"/>
    </row>
    <row r="49" spans="1:30">
      <c r="A49" s="121">
        <v>47</v>
      </c>
      <c r="B49" s="122" t="s">
        <v>2171</v>
      </c>
      <c r="C49" s="122" t="s">
        <v>2247</v>
      </c>
      <c r="D49" s="122" t="s">
        <v>2239</v>
      </c>
      <c r="E49" s="124">
        <v>42766</v>
      </c>
      <c r="F49" s="125">
        <v>0.4375</v>
      </c>
      <c r="G49" s="124">
        <v>42820</v>
      </c>
      <c r="H49" s="125">
        <v>0.50347222222222221</v>
      </c>
      <c r="I49" s="123">
        <v>836</v>
      </c>
      <c r="J49" s="123">
        <v>539</v>
      </c>
      <c r="K49" s="142" t="str">
        <f t="shared" si="3"/>
        <v>G539</v>
      </c>
      <c r="L49" s="123">
        <v>146</v>
      </c>
      <c r="M49" s="142" t="str">
        <f t="shared" si="0"/>
        <v>R146</v>
      </c>
      <c r="N49" s="123">
        <v>512</v>
      </c>
      <c r="O49" s="142" t="str">
        <f t="shared" si="1"/>
        <v>G512</v>
      </c>
      <c r="P49" s="123">
        <v>76</v>
      </c>
      <c r="Q49" s="142" t="str">
        <f t="shared" si="2"/>
        <v>R76</v>
      </c>
      <c r="R49" s="123">
        <v>20.3</v>
      </c>
      <c r="S49" s="123">
        <v>23.7</v>
      </c>
      <c r="T49" s="123">
        <v>24.9</v>
      </c>
      <c r="U49" s="123"/>
      <c r="V49" s="123" t="s">
        <v>2182</v>
      </c>
      <c r="W49" s="126" t="s">
        <v>2201</v>
      </c>
      <c r="X49" s="126" t="s">
        <v>2182</v>
      </c>
      <c r="Y49" s="126"/>
      <c r="Z49" s="123">
        <v>5.2</v>
      </c>
      <c r="AA49" s="123" t="s">
        <v>2223</v>
      </c>
      <c r="AB49" s="123">
        <v>5.2</v>
      </c>
      <c r="AC49" s="123">
        <v>0</v>
      </c>
      <c r="AD49" s="123" t="s">
        <v>2248</v>
      </c>
    </row>
    <row r="50" spans="1:30">
      <c r="A50" s="121">
        <v>48</v>
      </c>
      <c r="B50" s="122" t="s">
        <v>2171</v>
      </c>
      <c r="C50" s="122" t="s">
        <v>2249</v>
      </c>
      <c r="D50" s="122" t="s">
        <v>2239</v>
      </c>
      <c r="E50" s="124">
        <v>42766</v>
      </c>
      <c r="F50" s="125">
        <v>0.44097222222222227</v>
      </c>
      <c r="G50" s="124">
        <v>42820</v>
      </c>
      <c r="H50" s="125">
        <v>0.50694444444444442</v>
      </c>
      <c r="I50" s="123">
        <v>837</v>
      </c>
      <c r="J50" s="123">
        <v>679</v>
      </c>
      <c r="K50" s="142" t="str">
        <f t="shared" si="3"/>
        <v>G679</v>
      </c>
      <c r="L50" s="123">
        <v>72</v>
      </c>
      <c r="M50" s="142" t="str">
        <f t="shared" si="0"/>
        <v>R72</v>
      </c>
      <c r="N50" s="123">
        <v>299</v>
      </c>
      <c r="O50" s="142" t="str">
        <f t="shared" si="1"/>
        <v>G299</v>
      </c>
      <c r="P50" s="123">
        <v>107</v>
      </c>
      <c r="Q50" s="142" t="str">
        <f t="shared" si="2"/>
        <v>R107</v>
      </c>
      <c r="R50" s="123">
        <v>20.5</v>
      </c>
      <c r="S50" s="123">
        <v>21.8</v>
      </c>
      <c r="T50" s="123">
        <v>22.8</v>
      </c>
      <c r="U50" s="123"/>
      <c r="V50" s="123" t="s">
        <v>2182</v>
      </c>
      <c r="W50" s="126" t="s">
        <v>2182</v>
      </c>
      <c r="X50" s="126" t="s">
        <v>2182</v>
      </c>
      <c r="Y50" s="126"/>
      <c r="Z50" s="123">
        <v>27.2</v>
      </c>
      <c r="AA50" s="123" t="s">
        <v>2175</v>
      </c>
      <c r="AB50" s="123">
        <v>7.3</v>
      </c>
      <c r="AC50" s="123">
        <v>0</v>
      </c>
      <c r="AD50" s="123"/>
    </row>
    <row r="51" spans="1:30">
      <c r="A51" s="121">
        <v>49</v>
      </c>
      <c r="B51" s="122" t="s">
        <v>2171</v>
      </c>
      <c r="C51" s="122" t="s">
        <v>2250</v>
      </c>
      <c r="D51" s="122" t="s">
        <v>2251</v>
      </c>
      <c r="E51" s="124">
        <v>42766</v>
      </c>
      <c r="F51" s="125">
        <v>0.4513888888888889</v>
      </c>
      <c r="G51" s="124">
        <v>42820</v>
      </c>
      <c r="H51" s="125">
        <v>0.625</v>
      </c>
      <c r="I51" s="123">
        <v>838</v>
      </c>
      <c r="J51" s="123">
        <v>346</v>
      </c>
      <c r="K51" s="142" t="str">
        <f t="shared" si="3"/>
        <v>G346</v>
      </c>
      <c r="L51" s="123">
        <v>28</v>
      </c>
      <c r="M51" s="142" t="str">
        <f t="shared" si="0"/>
        <v>R28</v>
      </c>
      <c r="N51" s="123">
        <v>739</v>
      </c>
      <c r="O51" s="142" t="str">
        <f t="shared" si="1"/>
        <v>G739</v>
      </c>
      <c r="P51" s="123">
        <v>155</v>
      </c>
      <c r="Q51" s="142" t="str">
        <f t="shared" si="2"/>
        <v>R155</v>
      </c>
      <c r="R51" s="123">
        <v>22</v>
      </c>
      <c r="S51" s="123">
        <v>26.2</v>
      </c>
      <c r="T51" s="123">
        <v>31.1</v>
      </c>
      <c r="U51" s="123"/>
      <c r="V51" s="123" t="s">
        <v>2182</v>
      </c>
      <c r="W51" s="126" t="s">
        <v>2201</v>
      </c>
      <c r="X51" s="126" t="s">
        <v>2182</v>
      </c>
      <c r="Y51" s="126" t="s">
        <v>2182</v>
      </c>
      <c r="Z51" s="123">
        <v>36</v>
      </c>
      <c r="AA51" s="123" t="s">
        <v>2175</v>
      </c>
      <c r="AB51" s="123">
        <v>10.4</v>
      </c>
      <c r="AC51" s="123">
        <v>1</v>
      </c>
      <c r="AD51" s="123" t="s">
        <v>2248</v>
      </c>
    </row>
    <row r="52" spans="1:30">
      <c r="A52" s="121">
        <v>50</v>
      </c>
      <c r="B52" s="122" t="s">
        <v>2171</v>
      </c>
      <c r="C52" s="122" t="s">
        <v>2252</v>
      </c>
      <c r="D52" s="122" t="s">
        <v>2251</v>
      </c>
      <c r="E52" s="124">
        <v>42766</v>
      </c>
      <c r="F52" s="125">
        <v>0.4548611111111111</v>
      </c>
      <c r="G52" s="124">
        <v>42820</v>
      </c>
      <c r="H52" s="123"/>
      <c r="I52" s="123">
        <v>839</v>
      </c>
      <c r="J52" s="123">
        <v>418</v>
      </c>
      <c r="K52" s="142" t="str">
        <f t="shared" si="3"/>
        <v>G418</v>
      </c>
      <c r="L52" s="123">
        <v>5</v>
      </c>
      <c r="M52" s="142" t="str">
        <f t="shared" si="0"/>
        <v>R5</v>
      </c>
      <c r="N52" s="123">
        <v>559</v>
      </c>
      <c r="O52" s="142" t="str">
        <f t="shared" si="1"/>
        <v>G559</v>
      </c>
      <c r="P52" s="123">
        <v>98</v>
      </c>
      <c r="Q52" s="142" t="str">
        <f t="shared" si="2"/>
        <v>R98</v>
      </c>
      <c r="R52" s="123">
        <v>22.4</v>
      </c>
      <c r="S52" s="123">
        <v>31.4</v>
      </c>
      <c r="T52" s="123"/>
      <c r="U52" s="123"/>
      <c r="V52" s="123"/>
      <c r="W52" s="126"/>
      <c r="X52" s="126"/>
      <c r="Y52" s="126"/>
      <c r="Z52" s="123">
        <v>22.5</v>
      </c>
      <c r="AA52" s="123" t="s">
        <v>2175</v>
      </c>
      <c r="AB52" s="123">
        <v>10</v>
      </c>
      <c r="AC52" s="123">
        <v>1</v>
      </c>
      <c r="AD52" s="123"/>
    </row>
    <row r="53" spans="1:30">
      <c r="A53" s="121">
        <v>51</v>
      </c>
      <c r="B53" s="122" t="s">
        <v>2171</v>
      </c>
      <c r="C53" s="122" t="s">
        <v>2253</v>
      </c>
      <c r="D53" s="122" t="s">
        <v>2251</v>
      </c>
      <c r="E53" s="124">
        <v>42766</v>
      </c>
      <c r="F53" s="125">
        <v>0.45833333333333331</v>
      </c>
      <c r="G53" s="124">
        <v>42820</v>
      </c>
      <c r="H53" s="125">
        <v>0.63888888888888895</v>
      </c>
      <c r="I53" s="123">
        <v>840</v>
      </c>
      <c r="J53" s="123">
        <v>548</v>
      </c>
      <c r="K53" s="142" t="str">
        <f t="shared" si="3"/>
        <v>G548</v>
      </c>
      <c r="L53" s="123">
        <v>85</v>
      </c>
      <c r="M53" s="142" t="str">
        <f t="shared" si="0"/>
        <v>R85</v>
      </c>
      <c r="N53" s="123">
        <v>856</v>
      </c>
      <c r="O53" s="142" t="str">
        <f t="shared" si="1"/>
        <v>G856</v>
      </c>
      <c r="P53" s="123">
        <v>29</v>
      </c>
      <c r="Q53" s="142" t="str">
        <f t="shared" si="2"/>
        <v>R29</v>
      </c>
      <c r="R53" s="123">
        <v>22.8</v>
      </c>
      <c r="S53" s="123">
        <v>20.2</v>
      </c>
      <c r="T53" s="123">
        <v>32</v>
      </c>
      <c r="U53" s="123"/>
      <c r="V53" s="123" t="s">
        <v>2182</v>
      </c>
      <c r="W53" s="126" t="s">
        <v>2182</v>
      </c>
      <c r="X53" s="126" t="s">
        <v>2182</v>
      </c>
      <c r="Y53" s="126" t="s">
        <v>2182</v>
      </c>
      <c r="Z53" s="123">
        <v>18</v>
      </c>
      <c r="AA53" s="123" t="s">
        <v>2245</v>
      </c>
      <c r="AB53" s="123">
        <v>3</v>
      </c>
      <c r="AC53" s="123">
        <v>0</v>
      </c>
      <c r="AD53" s="123"/>
    </row>
    <row r="54" spans="1:30">
      <c r="A54" s="121">
        <v>52</v>
      </c>
      <c r="B54" s="122" t="s">
        <v>2171</v>
      </c>
      <c r="C54" s="122" t="s">
        <v>2254</v>
      </c>
      <c r="D54" s="122" t="s">
        <v>2251</v>
      </c>
      <c r="E54" s="124">
        <v>42766</v>
      </c>
      <c r="F54" s="125">
        <v>0.46180555555555558</v>
      </c>
      <c r="G54" s="124">
        <v>42820</v>
      </c>
      <c r="H54" s="125">
        <v>0.64583333333333337</v>
      </c>
      <c r="I54" s="123">
        <v>841</v>
      </c>
      <c r="J54" s="123">
        <v>638</v>
      </c>
      <c r="K54" s="142" t="str">
        <f t="shared" si="3"/>
        <v>G638</v>
      </c>
      <c r="L54" s="123">
        <v>513</v>
      </c>
      <c r="M54" s="142" t="str">
        <f t="shared" si="0"/>
        <v>R513</v>
      </c>
      <c r="N54" s="123">
        <v>599</v>
      </c>
      <c r="O54" s="142" t="str">
        <f t="shared" si="1"/>
        <v>G599</v>
      </c>
      <c r="P54" s="123">
        <v>312</v>
      </c>
      <c r="Q54" s="142" t="str">
        <f t="shared" si="2"/>
        <v>R312</v>
      </c>
      <c r="R54" s="123">
        <v>22.2</v>
      </c>
      <c r="S54" s="123">
        <v>29.8</v>
      </c>
      <c r="T54" s="123">
        <v>29.4</v>
      </c>
      <c r="U54" s="123"/>
      <c r="V54" s="123" t="s">
        <v>2201</v>
      </c>
      <c r="W54" s="126" t="s">
        <v>2174</v>
      </c>
      <c r="X54" s="126" t="s">
        <v>2182</v>
      </c>
      <c r="Y54" s="126" t="s">
        <v>2182</v>
      </c>
      <c r="Z54" s="123">
        <v>67</v>
      </c>
      <c r="AA54" s="123" t="s">
        <v>2175</v>
      </c>
      <c r="AB54" s="123">
        <v>13.4</v>
      </c>
      <c r="AC54" s="123">
        <v>1</v>
      </c>
      <c r="AD54" s="123" t="s">
        <v>2248</v>
      </c>
    </row>
    <row r="55" spans="1:30">
      <c r="A55" s="168">
        <v>53</v>
      </c>
      <c r="B55" s="169" t="s">
        <v>2171</v>
      </c>
      <c r="C55" s="169" t="s">
        <v>2255</v>
      </c>
      <c r="D55" s="169" t="s">
        <v>2251</v>
      </c>
      <c r="E55" s="170">
        <v>42766</v>
      </c>
      <c r="F55" s="173">
        <v>0.46527777777777773</v>
      </c>
      <c r="G55" s="170">
        <v>42820</v>
      </c>
      <c r="H55" s="168"/>
      <c r="I55" s="168">
        <v>842</v>
      </c>
      <c r="J55" s="168">
        <v>426</v>
      </c>
      <c r="K55" s="142" t="str">
        <f t="shared" si="3"/>
        <v>G426</v>
      </c>
      <c r="L55" s="168">
        <v>399</v>
      </c>
      <c r="M55" s="142" t="str">
        <f t="shared" si="0"/>
        <v>R399</v>
      </c>
      <c r="N55" s="168">
        <v>683</v>
      </c>
      <c r="O55" s="142" t="str">
        <f t="shared" si="1"/>
        <v>G683</v>
      </c>
      <c r="P55" s="168">
        <v>113</v>
      </c>
      <c r="Q55" s="142" t="str">
        <f t="shared" si="2"/>
        <v>R113</v>
      </c>
      <c r="R55" s="168">
        <v>22.2</v>
      </c>
      <c r="S55" s="168">
        <v>20.2</v>
      </c>
      <c r="T55" s="168"/>
      <c r="U55" s="168"/>
      <c r="V55" s="168"/>
      <c r="W55" s="171"/>
      <c r="X55" s="171"/>
      <c r="Y55" s="171"/>
      <c r="Z55" s="168"/>
      <c r="AA55" s="168"/>
      <c r="AB55" s="168"/>
      <c r="AC55" s="168"/>
      <c r="AD55" s="168"/>
    </row>
    <row r="56" spans="1:30">
      <c r="A56" s="168">
        <v>54</v>
      </c>
      <c r="B56" s="169" t="s">
        <v>2171</v>
      </c>
      <c r="C56" s="169" t="s">
        <v>2256</v>
      </c>
      <c r="D56" s="169" t="s">
        <v>2251</v>
      </c>
      <c r="E56" s="170">
        <v>42766</v>
      </c>
      <c r="F56" s="173">
        <v>0.46875</v>
      </c>
      <c r="G56" s="170">
        <v>42820</v>
      </c>
      <c r="H56" s="168"/>
      <c r="I56" s="168">
        <v>843</v>
      </c>
      <c r="J56" s="168">
        <v>589</v>
      </c>
      <c r="K56" s="142" t="str">
        <f t="shared" si="3"/>
        <v>G589</v>
      </c>
      <c r="L56" s="168">
        <v>400</v>
      </c>
      <c r="M56" s="142" t="str">
        <f t="shared" si="0"/>
        <v>R400</v>
      </c>
      <c r="N56" s="168">
        <v>288</v>
      </c>
      <c r="O56" s="142" t="str">
        <f t="shared" si="1"/>
        <v>G288</v>
      </c>
      <c r="P56" s="168">
        <v>441</v>
      </c>
      <c r="Q56" s="142" t="str">
        <f t="shared" si="2"/>
        <v>R441</v>
      </c>
      <c r="R56" s="168">
        <v>22.2</v>
      </c>
      <c r="S56" s="168">
        <v>30.1</v>
      </c>
      <c r="T56" s="168"/>
      <c r="U56" s="168"/>
      <c r="V56" s="168"/>
      <c r="W56" s="171"/>
      <c r="X56" s="171"/>
      <c r="Y56" s="171"/>
      <c r="Z56" s="168"/>
      <c r="AA56" s="168"/>
      <c r="AB56" s="168"/>
      <c r="AC56" s="168"/>
      <c r="AD56" s="168"/>
    </row>
    <row r="57" spans="1:30">
      <c r="A57" s="121">
        <v>55</v>
      </c>
      <c r="B57" s="122" t="s">
        <v>2171</v>
      </c>
      <c r="C57" s="122" t="s">
        <v>2257</v>
      </c>
      <c r="D57" s="122" t="s">
        <v>2251</v>
      </c>
      <c r="E57" s="124">
        <v>42766</v>
      </c>
      <c r="F57" s="125">
        <v>0.47222222222222227</v>
      </c>
      <c r="G57" s="124">
        <v>42820</v>
      </c>
      <c r="H57" s="125">
        <v>0.63194444444444442</v>
      </c>
      <c r="I57" s="123">
        <v>844</v>
      </c>
      <c r="J57" s="123">
        <v>622</v>
      </c>
      <c r="K57" s="142" t="str">
        <f t="shared" si="3"/>
        <v>G622</v>
      </c>
      <c r="L57">
        <v>19</v>
      </c>
      <c r="M57" s="142" t="str">
        <f t="shared" si="0"/>
        <v>R19</v>
      </c>
      <c r="N57" s="123">
        <v>616</v>
      </c>
      <c r="O57" s="142" t="str">
        <f t="shared" si="1"/>
        <v>G616</v>
      </c>
      <c r="P57">
        <v>53</v>
      </c>
      <c r="Q57" s="142" t="str">
        <f t="shared" si="2"/>
        <v>R53</v>
      </c>
      <c r="R57" s="123">
        <v>22.1</v>
      </c>
      <c r="S57" s="123">
        <v>33</v>
      </c>
      <c r="T57" s="123">
        <v>29.7</v>
      </c>
      <c r="U57" s="123"/>
      <c r="V57" s="123"/>
      <c r="W57" s="126" t="s">
        <v>2174</v>
      </c>
      <c r="X57" s="126" t="s">
        <v>2182</v>
      </c>
      <c r="Y57" s="126"/>
      <c r="Z57" s="123">
        <v>45</v>
      </c>
      <c r="AA57" s="123" t="s">
        <v>2175</v>
      </c>
      <c r="AB57" s="123">
        <v>15.8</v>
      </c>
      <c r="AC57" s="123">
        <v>1</v>
      </c>
      <c r="AD57" s="123"/>
    </row>
    <row r="58" spans="1:30">
      <c r="A58" s="121">
        <v>56</v>
      </c>
      <c r="B58" s="122" t="s">
        <v>2171</v>
      </c>
      <c r="C58" s="122" t="s">
        <v>2258</v>
      </c>
      <c r="D58" s="122" t="s">
        <v>2251</v>
      </c>
      <c r="E58" s="124">
        <v>42766</v>
      </c>
      <c r="F58" s="125">
        <v>0.47222222222222227</v>
      </c>
      <c r="G58" s="124">
        <v>42820</v>
      </c>
      <c r="H58" s="125">
        <v>0.65625</v>
      </c>
      <c r="I58" s="123">
        <v>845</v>
      </c>
      <c r="J58" s="177">
        <v>538</v>
      </c>
      <c r="K58" s="142" t="str">
        <f t="shared" si="3"/>
        <v>G538</v>
      </c>
      <c r="L58" s="123">
        <v>60</v>
      </c>
      <c r="M58" s="142" t="str">
        <f t="shared" si="0"/>
        <v>R60</v>
      </c>
      <c r="N58" s="123">
        <v>557</v>
      </c>
      <c r="O58" s="142" t="str">
        <f t="shared" si="1"/>
        <v>G557</v>
      </c>
      <c r="P58" s="123">
        <v>58</v>
      </c>
      <c r="Q58" s="142" t="str">
        <f t="shared" si="2"/>
        <v>R58</v>
      </c>
      <c r="R58" s="123">
        <v>22</v>
      </c>
      <c r="S58" s="123">
        <v>29.5</v>
      </c>
      <c r="T58" s="92">
        <v>33.200000000000003</v>
      </c>
      <c r="U58" s="123"/>
      <c r="V58" s="123" t="s">
        <v>2195</v>
      </c>
      <c r="W58" s="126" t="s">
        <v>2190</v>
      </c>
      <c r="X58" s="126" t="s">
        <v>2182</v>
      </c>
      <c r="Y58" s="126"/>
      <c r="Z58" s="123">
        <v>30.8</v>
      </c>
      <c r="AA58" s="123" t="s">
        <v>2175</v>
      </c>
      <c r="AB58" s="123">
        <v>15.4</v>
      </c>
      <c r="AC58" s="123">
        <v>0</v>
      </c>
      <c r="AD58" s="123"/>
    </row>
    <row r="59" spans="1:30">
      <c r="A59" s="121">
        <v>57</v>
      </c>
      <c r="B59" s="122" t="s">
        <v>2171</v>
      </c>
      <c r="C59" s="131" t="s">
        <v>2259</v>
      </c>
      <c r="D59" s="122" t="s">
        <v>2260</v>
      </c>
      <c r="E59" s="124">
        <v>42766</v>
      </c>
      <c r="F59" s="125">
        <v>0.47916666666666669</v>
      </c>
      <c r="G59" s="124">
        <v>42820</v>
      </c>
      <c r="H59" s="125">
        <v>0.59722222222222221</v>
      </c>
      <c r="I59" s="123">
        <v>1150</v>
      </c>
      <c r="J59">
        <v>546</v>
      </c>
      <c r="K59" s="142" t="str">
        <f t="shared" si="3"/>
        <v>G546</v>
      </c>
      <c r="L59" s="123">
        <v>161</v>
      </c>
      <c r="M59" s="142" t="str">
        <f t="shared" si="0"/>
        <v>R161</v>
      </c>
      <c r="N59" s="123">
        <v>618</v>
      </c>
      <c r="O59" s="142" t="str">
        <f t="shared" si="1"/>
        <v>G618</v>
      </c>
      <c r="P59" s="123">
        <v>435</v>
      </c>
      <c r="Q59" s="142" t="str">
        <f t="shared" si="2"/>
        <v>R435</v>
      </c>
      <c r="R59" s="123">
        <v>21.7</v>
      </c>
      <c r="S59" s="123">
        <v>31.6</v>
      </c>
      <c r="T59" s="123">
        <v>32.1</v>
      </c>
      <c r="U59" s="123"/>
      <c r="V59" s="123" t="s">
        <v>2182</v>
      </c>
      <c r="W59" s="126" t="s">
        <v>2201</v>
      </c>
      <c r="X59" s="126" t="s">
        <v>2182</v>
      </c>
      <c r="Y59" s="126" t="s">
        <v>2182</v>
      </c>
      <c r="Z59" s="123">
        <v>28.4</v>
      </c>
      <c r="AA59" s="123" t="s">
        <v>2245</v>
      </c>
      <c r="AB59" s="123">
        <v>3.3</v>
      </c>
      <c r="AC59" s="123">
        <v>1</v>
      </c>
      <c r="AD59" s="123" t="s">
        <v>2261</v>
      </c>
    </row>
    <row r="60" spans="1:30">
      <c r="A60" s="121">
        <v>58</v>
      </c>
      <c r="B60" s="122" t="s">
        <v>2171</v>
      </c>
      <c r="C60" s="131" t="s">
        <v>2262</v>
      </c>
      <c r="D60" s="122" t="s">
        <v>2260</v>
      </c>
      <c r="E60" s="124">
        <v>42766</v>
      </c>
      <c r="F60" s="125">
        <v>0.4826388888888889</v>
      </c>
      <c r="G60" s="124">
        <v>42820</v>
      </c>
      <c r="H60" s="125">
        <v>0.56597222222222221</v>
      </c>
      <c r="I60" s="123">
        <v>1148</v>
      </c>
      <c r="J60" s="123">
        <v>513</v>
      </c>
      <c r="K60" s="142" t="str">
        <f t="shared" si="3"/>
        <v>G513</v>
      </c>
      <c r="L60" s="123">
        <v>48</v>
      </c>
      <c r="M60" s="142" t="str">
        <f t="shared" si="0"/>
        <v>R48</v>
      </c>
      <c r="N60" s="123">
        <v>593</v>
      </c>
      <c r="O60" s="142" t="str">
        <f t="shared" si="1"/>
        <v>G593</v>
      </c>
      <c r="P60" s="123">
        <v>31</v>
      </c>
      <c r="Q60" s="142" t="str">
        <f t="shared" si="2"/>
        <v>R31</v>
      </c>
      <c r="R60" s="123">
        <v>22.6</v>
      </c>
      <c r="S60" s="123">
        <v>31.6</v>
      </c>
      <c r="T60" s="123">
        <v>30.8</v>
      </c>
      <c r="U60" s="123"/>
      <c r="V60" s="123" t="s">
        <v>2195</v>
      </c>
      <c r="W60" s="126" t="s">
        <v>2174</v>
      </c>
      <c r="X60" s="126" t="s">
        <v>2182</v>
      </c>
      <c r="Y60" s="126"/>
      <c r="Z60" s="123">
        <v>54.4</v>
      </c>
      <c r="AA60" s="123" t="s">
        <v>2245</v>
      </c>
      <c r="AB60" s="123">
        <v>1.4</v>
      </c>
      <c r="AC60" s="123">
        <v>0</v>
      </c>
      <c r="AD60" s="123"/>
    </row>
    <row r="61" spans="1:30">
      <c r="A61" s="121">
        <v>59</v>
      </c>
      <c r="B61" s="122" t="s">
        <v>2171</v>
      </c>
      <c r="C61" s="131" t="s">
        <v>2263</v>
      </c>
      <c r="D61" s="122" t="s">
        <v>2260</v>
      </c>
      <c r="E61" s="124">
        <v>42766</v>
      </c>
      <c r="F61" s="125">
        <v>0.4861111111111111</v>
      </c>
      <c r="G61" s="124">
        <v>42820</v>
      </c>
      <c r="H61" s="125">
        <v>0.60416666666666663</v>
      </c>
      <c r="I61" s="123">
        <v>848</v>
      </c>
      <c r="J61" s="123">
        <v>489</v>
      </c>
      <c r="K61" s="142" t="str">
        <f t="shared" si="3"/>
        <v>G489</v>
      </c>
      <c r="L61" s="123">
        <v>23</v>
      </c>
      <c r="M61" s="142" t="str">
        <f t="shared" si="0"/>
        <v>R23</v>
      </c>
      <c r="N61" s="123">
        <v>600</v>
      </c>
      <c r="O61" s="142" t="str">
        <f t="shared" si="1"/>
        <v>G600</v>
      </c>
      <c r="P61" s="123">
        <v>120</v>
      </c>
      <c r="Q61" s="142" t="str">
        <f t="shared" si="2"/>
        <v>R120</v>
      </c>
      <c r="R61" s="123">
        <v>22.4</v>
      </c>
      <c r="S61" s="123">
        <v>27.9</v>
      </c>
      <c r="T61" s="123">
        <v>31.7</v>
      </c>
      <c r="U61" s="123"/>
      <c r="V61" s="123"/>
      <c r="W61" s="126"/>
      <c r="X61" s="126"/>
      <c r="Y61" s="126"/>
      <c r="Z61" s="123">
        <v>46</v>
      </c>
      <c r="AA61" s="123" t="s">
        <v>2245</v>
      </c>
      <c r="AB61" s="123">
        <v>3.3</v>
      </c>
      <c r="AC61" s="123">
        <v>0</v>
      </c>
      <c r="AD61" s="123"/>
    </row>
    <row r="62" spans="1:30">
      <c r="A62" s="121">
        <v>60</v>
      </c>
      <c r="B62" s="122" t="s">
        <v>2171</v>
      </c>
      <c r="C62" s="131" t="s">
        <v>2264</v>
      </c>
      <c r="D62" s="122" t="s">
        <v>2260</v>
      </c>
      <c r="E62" s="124">
        <v>42766</v>
      </c>
      <c r="F62" s="125">
        <v>0.48958333333333331</v>
      </c>
      <c r="G62" s="124">
        <v>42820</v>
      </c>
      <c r="H62" s="125">
        <v>0.57638888888888895</v>
      </c>
      <c r="I62" s="123">
        <v>849</v>
      </c>
      <c r="J62" s="123">
        <v>633</v>
      </c>
      <c r="K62" s="142" t="str">
        <f t="shared" si="3"/>
        <v>G633</v>
      </c>
      <c r="L62" s="123">
        <v>78</v>
      </c>
      <c r="M62" s="142" t="str">
        <f t="shared" si="0"/>
        <v>R78</v>
      </c>
      <c r="N62" s="123">
        <v>535</v>
      </c>
      <c r="O62" s="142" t="str">
        <f t="shared" si="1"/>
        <v>G535</v>
      </c>
      <c r="P62" s="123">
        <v>390</v>
      </c>
      <c r="Q62" s="142" t="str">
        <f t="shared" si="2"/>
        <v>R390</v>
      </c>
      <c r="R62" s="123">
        <v>23.5</v>
      </c>
      <c r="S62" s="123">
        <v>22.5</v>
      </c>
      <c r="T62" s="123">
        <v>33.700000000000003</v>
      </c>
      <c r="U62" s="123"/>
      <c r="V62" s="123" t="s">
        <v>2182</v>
      </c>
      <c r="W62" s="126"/>
      <c r="X62" s="126"/>
      <c r="Y62" s="126" t="s">
        <v>2174</v>
      </c>
      <c r="Z62" s="123">
        <v>10.199999999999999</v>
      </c>
      <c r="AA62" s="123" t="s">
        <v>2245</v>
      </c>
      <c r="AB62" s="123">
        <v>2.4</v>
      </c>
      <c r="AC62" s="123">
        <v>0</v>
      </c>
      <c r="AD62" s="123" t="s">
        <v>2265</v>
      </c>
    </row>
    <row r="63" spans="1:30">
      <c r="A63" s="121">
        <v>61</v>
      </c>
      <c r="B63" s="122" t="s">
        <v>2171</v>
      </c>
      <c r="C63" s="131" t="s">
        <v>2266</v>
      </c>
      <c r="D63" s="122" t="s">
        <v>2260</v>
      </c>
      <c r="E63" s="124">
        <v>42766</v>
      </c>
      <c r="F63" s="125">
        <v>0.49305555555555558</v>
      </c>
      <c r="G63" s="124">
        <v>42820</v>
      </c>
      <c r="H63" s="125">
        <v>0.58333333333333337</v>
      </c>
      <c r="I63" s="123">
        <v>1149</v>
      </c>
      <c r="J63" s="123">
        <v>541</v>
      </c>
      <c r="K63" s="142" t="str">
        <f t="shared" si="3"/>
        <v>G541</v>
      </c>
      <c r="L63" s="123">
        <v>42</v>
      </c>
      <c r="M63" s="142" t="str">
        <f t="shared" si="0"/>
        <v>R42</v>
      </c>
      <c r="N63" s="123">
        <v>391</v>
      </c>
      <c r="O63" s="142" t="str">
        <f t="shared" si="1"/>
        <v>G391</v>
      </c>
      <c r="P63" s="123">
        <v>143</v>
      </c>
      <c r="Q63" s="142" t="str">
        <f t="shared" si="2"/>
        <v>R143</v>
      </c>
      <c r="R63" s="123">
        <v>22.7</v>
      </c>
      <c r="S63" s="123">
        <v>20.399999999999999</v>
      </c>
      <c r="T63" s="123">
        <v>32.200000000000003</v>
      </c>
      <c r="U63" s="123"/>
      <c r="V63" s="123" t="s">
        <v>2190</v>
      </c>
      <c r="W63" s="126" t="s">
        <v>2190</v>
      </c>
      <c r="X63" s="126" t="s">
        <v>2182</v>
      </c>
      <c r="Y63" s="126"/>
      <c r="Z63" s="123">
        <v>34.200000000000003</v>
      </c>
      <c r="AA63" s="123" t="s">
        <v>2245</v>
      </c>
      <c r="AB63" s="123">
        <v>5.6</v>
      </c>
      <c r="AC63" s="123">
        <v>0</v>
      </c>
      <c r="AD63" s="123"/>
    </row>
    <row r="64" spans="1:30">
      <c r="A64" s="121">
        <v>62</v>
      </c>
      <c r="B64" s="122" t="s">
        <v>2171</v>
      </c>
      <c r="C64" s="131" t="s">
        <v>2267</v>
      </c>
      <c r="D64" s="122" t="s">
        <v>2260</v>
      </c>
      <c r="E64" s="124">
        <v>42766</v>
      </c>
      <c r="F64" s="125">
        <v>0.49305555555555558</v>
      </c>
      <c r="G64" s="124">
        <v>42820</v>
      </c>
      <c r="H64" s="125">
        <v>0.58680555555555558</v>
      </c>
      <c r="I64" s="123">
        <v>1151</v>
      </c>
      <c r="J64" s="123">
        <v>565</v>
      </c>
      <c r="K64" s="142" t="str">
        <f t="shared" si="3"/>
        <v>G565</v>
      </c>
      <c r="L64" s="123">
        <v>119</v>
      </c>
      <c r="M64" s="142" t="str">
        <f t="shared" si="0"/>
        <v>R119</v>
      </c>
      <c r="N64" s="123">
        <v>445</v>
      </c>
      <c r="O64" s="142" t="str">
        <f t="shared" si="1"/>
        <v>G445</v>
      </c>
      <c r="P64" s="123">
        <v>448</v>
      </c>
      <c r="Q64" s="142" t="str">
        <f t="shared" si="2"/>
        <v>R448</v>
      </c>
      <c r="R64" s="123">
        <v>22.7</v>
      </c>
      <c r="S64" s="123">
        <v>24.7</v>
      </c>
      <c r="T64" s="123">
        <v>30.9</v>
      </c>
      <c r="U64" s="123"/>
      <c r="V64" s="123" t="s">
        <v>2174</v>
      </c>
      <c r="W64" s="126" t="s">
        <v>2174</v>
      </c>
      <c r="X64" s="126"/>
      <c r="Y64" s="126"/>
      <c r="Z64" s="123">
        <v>40.4</v>
      </c>
      <c r="AA64" s="123" t="s">
        <v>2245</v>
      </c>
      <c r="AB64" s="123">
        <v>4.2</v>
      </c>
      <c r="AC64" s="123">
        <v>0</v>
      </c>
      <c r="AD64" s="123" t="s">
        <v>2268</v>
      </c>
    </row>
    <row r="65" spans="1:30">
      <c r="A65" s="121">
        <v>63</v>
      </c>
      <c r="B65" s="122" t="s">
        <v>2171</v>
      </c>
      <c r="C65" s="131" t="s">
        <v>2269</v>
      </c>
      <c r="D65" s="122" t="s">
        <v>2260</v>
      </c>
      <c r="E65" s="124">
        <v>42766</v>
      </c>
      <c r="F65" s="125">
        <v>0.49652777777777773</v>
      </c>
      <c r="G65" s="124">
        <v>42820</v>
      </c>
      <c r="H65" s="125">
        <v>0.55902777777777779</v>
      </c>
      <c r="I65" s="123">
        <v>852</v>
      </c>
      <c r="J65" s="123">
        <v>387</v>
      </c>
      <c r="K65" s="142" t="str">
        <f t="shared" si="3"/>
        <v>G387</v>
      </c>
      <c r="L65" s="123">
        <v>185</v>
      </c>
      <c r="M65" s="142" t="str">
        <f t="shared" si="0"/>
        <v>R185</v>
      </c>
      <c r="N65" s="123">
        <v>440</v>
      </c>
      <c r="O65" s="142" t="str">
        <f t="shared" si="1"/>
        <v>G440</v>
      </c>
      <c r="P65" s="123">
        <v>423</v>
      </c>
      <c r="Q65" s="142" t="str">
        <f t="shared" si="2"/>
        <v>R423</v>
      </c>
      <c r="R65" s="123">
        <v>25.6</v>
      </c>
      <c r="S65" s="123">
        <v>22.9</v>
      </c>
      <c r="T65" s="123">
        <v>30.9</v>
      </c>
      <c r="U65" s="123"/>
      <c r="V65" s="123" t="s">
        <v>2182</v>
      </c>
      <c r="W65" s="126" t="s">
        <v>2182</v>
      </c>
      <c r="X65" s="126" t="s">
        <v>2182</v>
      </c>
      <c r="Y65" s="126" t="s">
        <v>2182</v>
      </c>
      <c r="Z65" s="123">
        <v>45</v>
      </c>
      <c r="AA65" s="123" t="s">
        <v>2245</v>
      </c>
      <c r="AB65" s="123">
        <v>4.9000000000000004</v>
      </c>
      <c r="AC65" s="123">
        <v>0</v>
      </c>
      <c r="AD65" s="123"/>
    </row>
    <row r="66" spans="1:30">
      <c r="A66" s="121">
        <v>64</v>
      </c>
      <c r="B66" s="122" t="s">
        <v>2171</v>
      </c>
      <c r="C66" s="131" t="s">
        <v>2270</v>
      </c>
      <c r="D66" s="122" t="s">
        <v>2260</v>
      </c>
      <c r="E66" s="124">
        <v>42766</v>
      </c>
      <c r="F66" s="125">
        <v>0.50694444444444442</v>
      </c>
      <c r="G66" s="124">
        <v>42820</v>
      </c>
      <c r="H66" s="125">
        <v>0.60763888888888895</v>
      </c>
      <c r="I66" s="123">
        <v>853</v>
      </c>
      <c r="J66" s="129">
        <v>554</v>
      </c>
      <c r="K66" s="142" t="str">
        <f t="shared" si="3"/>
        <v>G554</v>
      </c>
      <c r="L66" s="123">
        <v>159</v>
      </c>
      <c r="M66" s="142" t="str">
        <f t="shared" si="0"/>
        <v>R159</v>
      </c>
      <c r="N66" s="123">
        <v>673</v>
      </c>
      <c r="O66" s="142" t="str">
        <f t="shared" si="1"/>
        <v>G673</v>
      </c>
      <c r="P66" s="129">
        <v>550</v>
      </c>
      <c r="Q66" s="142" t="str">
        <f t="shared" si="2"/>
        <v>R550</v>
      </c>
      <c r="R66" s="129">
        <v>22.7</v>
      </c>
      <c r="S66" s="129">
        <v>34.6</v>
      </c>
      <c r="T66" s="123"/>
      <c r="U66" s="123"/>
      <c r="V66" s="123" t="s">
        <v>2201</v>
      </c>
      <c r="W66" s="126" t="s">
        <v>2190</v>
      </c>
      <c r="X66" s="126"/>
      <c r="Y66" s="126"/>
      <c r="Z66" s="123">
        <v>22.8</v>
      </c>
      <c r="AA66" s="123" t="s">
        <v>2245</v>
      </c>
      <c r="AB66" s="123">
        <v>3</v>
      </c>
      <c r="AC66" s="123">
        <v>1</v>
      </c>
      <c r="AD66" s="123"/>
    </row>
    <row r="67" spans="1:30">
      <c r="A67" s="121">
        <v>65</v>
      </c>
      <c r="B67" s="122" t="s">
        <v>2271</v>
      </c>
      <c r="C67" s="122" t="s">
        <v>2272</v>
      </c>
      <c r="D67" s="122" t="s">
        <v>2273</v>
      </c>
      <c r="E67" s="124">
        <v>42767</v>
      </c>
      <c r="F67" s="125">
        <v>0.51041666666666663</v>
      </c>
      <c r="G67" s="124">
        <v>42818</v>
      </c>
      <c r="H67" s="125">
        <v>0.4375</v>
      </c>
      <c r="I67" s="123">
        <v>906</v>
      </c>
      <c r="J67" s="123">
        <v>614</v>
      </c>
      <c r="K67" s="142" t="str">
        <f t="shared" si="3"/>
        <v>G614</v>
      </c>
      <c r="L67" s="123">
        <v>525</v>
      </c>
      <c r="M67" s="142" t="str">
        <f t="shared" si="0"/>
        <v>R525</v>
      </c>
      <c r="N67" s="123">
        <v>700</v>
      </c>
      <c r="O67" s="142" t="str">
        <f t="shared" si="1"/>
        <v>G700</v>
      </c>
      <c r="P67" s="123">
        <v>333</v>
      </c>
      <c r="Q67" s="142" t="str">
        <f t="shared" si="2"/>
        <v>R333</v>
      </c>
      <c r="R67" s="123">
        <v>22.5</v>
      </c>
      <c r="S67" s="123">
        <v>35.6</v>
      </c>
      <c r="T67" s="123">
        <v>23</v>
      </c>
      <c r="U67" s="123">
        <v>29</v>
      </c>
      <c r="V67" s="123" t="s">
        <v>2182</v>
      </c>
      <c r="W67" s="126"/>
      <c r="X67" s="126" t="s">
        <v>2182</v>
      </c>
      <c r="Y67" s="126" t="s">
        <v>2182</v>
      </c>
      <c r="Z67" s="123">
        <v>13.8</v>
      </c>
      <c r="AA67" s="123" t="s">
        <v>2245</v>
      </c>
      <c r="AB67" s="123">
        <v>13.8</v>
      </c>
      <c r="AC67" s="123">
        <v>1</v>
      </c>
      <c r="AD67" s="123"/>
    </row>
    <row r="68" spans="1:30">
      <c r="A68" s="121">
        <v>66</v>
      </c>
      <c r="B68" s="122" t="s">
        <v>2271</v>
      </c>
      <c r="C68" s="122" t="s">
        <v>2274</v>
      </c>
      <c r="D68" s="122" t="s">
        <v>2273</v>
      </c>
      <c r="E68" s="124">
        <v>42767</v>
      </c>
      <c r="F68" s="125">
        <v>0.51388888888888895</v>
      </c>
      <c r="G68" s="124">
        <v>42818</v>
      </c>
      <c r="H68" s="125">
        <v>0.51388888888888895</v>
      </c>
      <c r="I68" s="123">
        <v>1096</v>
      </c>
      <c r="J68" s="123">
        <v>282</v>
      </c>
      <c r="K68" s="142" t="str">
        <f t="shared" ref="K68:K131" si="4">_xlfn.TEXTJOIN(,TRUE, "G",J68)</f>
        <v>G282</v>
      </c>
      <c r="L68" s="123">
        <v>150</v>
      </c>
      <c r="M68" s="142" t="str">
        <f t="shared" ref="M68:M131" si="5">_xlfn.TEXTJOIN(,TRUE, "R",L68)</f>
        <v>R150</v>
      </c>
      <c r="N68" s="123">
        <v>760</v>
      </c>
      <c r="O68" s="142" t="str">
        <f t="shared" ref="O68:O131" si="6">_xlfn.TEXTJOIN(,TRUE, "G",N68)</f>
        <v>G760</v>
      </c>
      <c r="P68" s="123">
        <v>252</v>
      </c>
      <c r="Q68" s="142" t="str">
        <f t="shared" ref="Q68:Q131" si="7">_xlfn.TEXTJOIN(,TRUE, "R",P68)</f>
        <v>R252</v>
      </c>
      <c r="R68" s="123">
        <v>22.4</v>
      </c>
      <c r="S68" s="123">
        <v>39.9</v>
      </c>
      <c r="T68" s="123">
        <v>21.5</v>
      </c>
      <c r="U68" s="123">
        <v>21.3</v>
      </c>
      <c r="V68" s="123" t="s">
        <v>2182</v>
      </c>
      <c r="W68" s="126" t="s">
        <v>2174</v>
      </c>
      <c r="X68" s="126" t="s">
        <v>2182</v>
      </c>
      <c r="Y68" s="126"/>
      <c r="Z68" s="123">
        <v>19.8</v>
      </c>
      <c r="AA68" s="123" t="s">
        <v>2245</v>
      </c>
      <c r="AB68" s="123">
        <v>8</v>
      </c>
      <c r="AC68" s="123">
        <v>1</v>
      </c>
      <c r="AD68" s="123"/>
    </row>
    <row r="69" spans="1:30">
      <c r="A69" s="121">
        <v>67</v>
      </c>
      <c r="B69" s="122" t="s">
        <v>2271</v>
      </c>
      <c r="C69" s="122" t="s">
        <v>2275</v>
      </c>
      <c r="D69" s="122" t="s">
        <v>2273</v>
      </c>
      <c r="E69" s="124">
        <v>42767</v>
      </c>
      <c r="F69" s="125">
        <v>0.51736111111111105</v>
      </c>
      <c r="G69" s="124">
        <v>42818</v>
      </c>
      <c r="H69" s="125">
        <v>0.4548611111111111</v>
      </c>
      <c r="I69" s="123">
        <v>908</v>
      </c>
      <c r="J69" s="123">
        <v>450</v>
      </c>
      <c r="K69" s="142" t="str">
        <f t="shared" si="4"/>
        <v>G450</v>
      </c>
      <c r="L69" s="123">
        <v>165</v>
      </c>
      <c r="M69" s="142" t="str">
        <f t="shared" si="5"/>
        <v>R165</v>
      </c>
      <c r="N69" s="123">
        <v>660</v>
      </c>
      <c r="O69" s="142" t="str">
        <f t="shared" si="6"/>
        <v>G660</v>
      </c>
      <c r="P69" s="123">
        <v>44</v>
      </c>
      <c r="Q69" s="142" t="str">
        <f t="shared" si="7"/>
        <v>R44</v>
      </c>
      <c r="R69" s="123">
        <v>19.899999999999999</v>
      </c>
      <c r="S69" s="123">
        <v>36.799999999999997</v>
      </c>
      <c r="T69" s="123">
        <v>21.5</v>
      </c>
      <c r="U69" s="123">
        <v>23</v>
      </c>
      <c r="V69" s="123" t="s">
        <v>2201</v>
      </c>
      <c r="W69" s="126"/>
      <c r="X69" s="126" t="s">
        <v>2182</v>
      </c>
      <c r="Y69" s="126"/>
      <c r="Z69" s="123">
        <v>5.5</v>
      </c>
      <c r="AA69" s="123" t="s">
        <v>2245</v>
      </c>
      <c r="AB69" s="123">
        <v>5.5</v>
      </c>
      <c r="AC69" s="123">
        <v>1</v>
      </c>
      <c r="AD69" s="123"/>
    </row>
    <row r="70" spans="1:30">
      <c r="A70" s="121">
        <v>68</v>
      </c>
      <c r="B70" s="122" t="s">
        <v>2271</v>
      </c>
      <c r="C70" s="122" t="s">
        <v>2276</v>
      </c>
      <c r="D70" s="122" t="s">
        <v>2273</v>
      </c>
      <c r="E70" s="124">
        <v>42767</v>
      </c>
      <c r="F70" s="125">
        <v>0.52083333333333337</v>
      </c>
      <c r="G70" s="124">
        <v>42818</v>
      </c>
      <c r="H70" s="125">
        <v>0.53611111111111109</v>
      </c>
      <c r="I70" s="123">
        <v>1102</v>
      </c>
      <c r="J70" s="123">
        <v>269</v>
      </c>
      <c r="K70" s="142" t="str">
        <f t="shared" si="4"/>
        <v>G269</v>
      </c>
      <c r="L70" s="123">
        <v>129</v>
      </c>
      <c r="M70" s="142" t="str">
        <f t="shared" si="5"/>
        <v>R129</v>
      </c>
      <c r="N70" s="123">
        <v>477</v>
      </c>
      <c r="O70" s="142" t="str">
        <f t="shared" si="6"/>
        <v>G477</v>
      </c>
      <c r="P70" s="123">
        <v>9</v>
      </c>
      <c r="Q70" s="142" t="str">
        <f t="shared" si="7"/>
        <v>R9</v>
      </c>
      <c r="R70" s="123">
        <v>20.5</v>
      </c>
      <c r="S70" s="163">
        <v>37.6</v>
      </c>
      <c r="T70" s="123">
        <v>21.9</v>
      </c>
      <c r="U70" s="123">
        <v>22.1</v>
      </c>
      <c r="V70" s="123" t="s">
        <v>2182</v>
      </c>
      <c r="W70" s="126"/>
      <c r="X70" s="126" t="s">
        <v>2182</v>
      </c>
      <c r="Y70" s="126"/>
      <c r="Z70" s="123">
        <v>23.4</v>
      </c>
      <c r="AA70" s="123" t="s">
        <v>2245</v>
      </c>
      <c r="AB70" s="123">
        <v>9.6999999999999993</v>
      </c>
      <c r="AC70" s="123">
        <v>1</v>
      </c>
      <c r="AD70" s="123"/>
    </row>
    <row r="71" spans="1:30">
      <c r="A71" s="121">
        <v>69</v>
      </c>
      <c r="B71" s="122" t="s">
        <v>2271</v>
      </c>
      <c r="C71" s="122" t="s">
        <v>2277</v>
      </c>
      <c r="D71" s="122" t="s">
        <v>2273</v>
      </c>
      <c r="E71" s="124">
        <v>42767</v>
      </c>
      <c r="F71" s="125">
        <v>0.52430555555555558</v>
      </c>
      <c r="G71" s="124">
        <v>42818</v>
      </c>
      <c r="H71" s="125">
        <v>0.47916666666666669</v>
      </c>
      <c r="I71" s="123">
        <v>910</v>
      </c>
      <c r="J71" s="123">
        <v>448</v>
      </c>
      <c r="K71" s="142" t="str">
        <f t="shared" si="4"/>
        <v>G448</v>
      </c>
      <c r="L71" s="123">
        <v>414</v>
      </c>
      <c r="M71" s="142" t="str">
        <f t="shared" si="5"/>
        <v>R414</v>
      </c>
      <c r="N71" s="123">
        <v>386</v>
      </c>
      <c r="O71" s="142" t="str">
        <f t="shared" si="6"/>
        <v>G386</v>
      </c>
      <c r="P71" s="123">
        <v>251</v>
      </c>
      <c r="Q71" s="142" t="str">
        <f t="shared" si="7"/>
        <v>R251</v>
      </c>
      <c r="R71" s="123">
        <v>23.6</v>
      </c>
      <c r="S71" s="123">
        <v>37.9</v>
      </c>
      <c r="T71" s="123">
        <v>23.3</v>
      </c>
      <c r="U71" s="123">
        <v>24.6</v>
      </c>
      <c r="V71" s="123"/>
      <c r="W71" s="126"/>
      <c r="X71" s="126" t="s">
        <v>2182</v>
      </c>
      <c r="Y71" s="126" t="s">
        <v>2182</v>
      </c>
      <c r="Z71" s="123">
        <v>24.4</v>
      </c>
      <c r="AA71" s="123" t="s">
        <v>2245</v>
      </c>
      <c r="AB71" s="123">
        <v>14.4</v>
      </c>
      <c r="AC71" s="123">
        <v>1</v>
      </c>
      <c r="AD71" s="123"/>
    </row>
    <row r="72" spans="1:30">
      <c r="A72" s="121">
        <v>70</v>
      </c>
      <c r="B72" s="122" t="s">
        <v>2271</v>
      </c>
      <c r="C72" s="122" t="s">
        <v>2278</v>
      </c>
      <c r="D72" s="122" t="s">
        <v>2273</v>
      </c>
      <c r="E72" s="124">
        <v>42767</v>
      </c>
      <c r="F72" s="125">
        <v>0.52777777777777779</v>
      </c>
      <c r="G72" s="124">
        <v>42818</v>
      </c>
      <c r="H72" s="125">
        <v>0.48958333333333331</v>
      </c>
      <c r="I72" s="123">
        <v>911</v>
      </c>
      <c r="J72" s="177">
        <v>358</v>
      </c>
      <c r="K72" s="142" t="str">
        <f t="shared" si="4"/>
        <v>G358</v>
      </c>
      <c r="L72" s="123">
        <v>151</v>
      </c>
      <c r="M72" s="142" t="str">
        <f t="shared" si="5"/>
        <v>R151</v>
      </c>
      <c r="N72" s="129">
        <v>414</v>
      </c>
      <c r="O72" s="142" t="str">
        <f t="shared" si="6"/>
        <v>G414</v>
      </c>
      <c r="P72" s="123">
        <v>266</v>
      </c>
      <c r="Q72" s="142" t="str">
        <f t="shared" si="7"/>
        <v>R266</v>
      </c>
      <c r="R72" s="123">
        <v>22.5</v>
      </c>
      <c r="S72" s="123">
        <v>40.799999999999997</v>
      </c>
      <c r="T72" s="123">
        <v>24.9</v>
      </c>
      <c r="U72" s="123">
        <v>23.5</v>
      </c>
      <c r="V72" s="123" t="s">
        <v>2225</v>
      </c>
      <c r="W72" s="126" t="s">
        <v>2225</v>
      </c>
      <c r="X72" s="126" t="s">
        <v>2182</v>
      </c>
      <c r="Y72" s="126" t="s">
        <v>2182</v>
      </c>
      <c r="Z72" s="123">
        <v>28</v>
      </c>
      <c r="AA72" s="123" t="s">
        <v>2245</v>
      </c>
      <c r="AB72" s="123">
        <v>15</v>
      </c>
      <c r="AC72" s="123">
        <v>0</v>
      </c>
      <c r="AD72" s="123"/>
    </row>
    <row r="73" spans="1:30">
      <c r="A73" s="121">
        <v>71</v>
      </c>
      <c r="B73" s="122" t="s">
        <v>2271</v>
      </c>
      <c r="C73" s="122" t="s">
        <v>2279</v>
      </c>
      <c r="D73" s="122" t="s">
        <v>2273</v>
      </c>
      <c r="E73" s="124">
        <v>42767</v>
      </c>
      <c r="F73" s="125">
        <v>0.52777777777777779</v>
      </c>
      <c r="G73" s="124">
        <v>42818</v>
      </c>
      <c r="H73" s="125">
        <v>0.5</v>
      </c>
      <c r="I73" s="123">
        <v>912</v>
      </c>
      <c r="J73" s="123">
        <v>511</v>
      </c>
      <c r="K73" s="142" t="str">
        <f t="shared" si="4"/>
        <v>G511</v>
      </c>
      <c r="L73" s="123">
        <v>95</v>
      </c>
      <c r="M73" s="142" t="str">
        <f t="shared" si="5"/>
        <v>R95</v>
      </c>
      <c r="N73" s="123">
        <v>459</v>
      </c>
      <c r="O73" s="142" t="str">
        <f t="shared" si="6"/>
        <v>G459</v>
      </c>
      <c r="P73" s="123">
        <v>528</v>
      </c>
      <c r="Q73" s="142" t="str">
        <f t="shared" si="7"/>
        <v>R528</v>
      </c>
      <c r="R73" s="123">
        <v>21</v>
      </c>
      <c r="S73" s="123">
        <v>35.1</v>
      </c>
      <c r="T73" s="123">
        <v>22.9</v>
      </c>
      <c r="U73" s="123">
        <v>23.6</v>
      </c>
      <c r="V73" s="123" t="s">
        <v>2182</v>
      </c>
      <c r="W73" s="126" t="s">
        <v>2182</v>
      </c>
      <c r="X73" s="126" t="s">
        <v>2182</v>
      </c>
      <c r="Y73" s="126"/>
      <c r="Z73" s="123">
        <v>32</v>
      </c>
      <c r="AA73" s="123" t="s">
        <v>2245</v>
      </c>
      <c r="AB73" s="123">
        <v>15.5</v>
      </c>
      <c r="AC73" s="123">
        <v>1</v>
      </c>
      <c r="AD73" s="123"/>
    </row>
    <row r="74" spans="1:30">
      <c r="A74" s="121">
        <v>72</v>
      </c>
      <c r="B74" s="122" t="s">
        <v>2271</v>
      </c>
      <c r="C74" s="122" t="s">
        <v>2280</v>
      </c>
      <c r="D74" s="122" t="s">
        <v>2273</v>
      </c>
      <c r="E74" s="124">
        <v>42767</v>
      </c>
      <c r="F74" s="125">
        <v>0.53125</v>
      </c>
      <c r="G74" s="124">
        <v>42818</v>
      </c>
      <c r="H74" s="125">
        <v>0.50347222222222221</v>
      </c>
      <c r="I74" s="123">
        <v>913</v>
      </c>
      <c r="J74" s="123">
        <v>383</v>
      </c>
      <c r="K74" s="142" t="str">
        <f t="shared" si="4"/>
        <v>G383</v>
      </c>
      <c r="L74" s="123">
        <v>546</v>
      </c>
      <c r="M74" s="142" t="str">
        <f t="shared" si="5"/>
        <v>R546</v>
      </c>
      <c r="N74" s="123">
        <v>627</v>
      </c>
      <c r="O74" s="142" t="str">
        <f t="shared" si="6"/>
        <v>G627</v>
      </c>
      <c r="P74" s="177">
        <v>14</v>
      </c>
      <c r="Q74" s="142" t="str">
        <f t="shared" si="7"/>
        <v>R14</v>
      </c>
      <c r="R74" s="163">
        <v>21.2</v>
      </c>
      <c r="S74" s="163">
        <v>37.799999999999997</v>
      </c>
      <c r="T74" s="123">
        <v>22.6</v>
      </c>
      <c r="U74" s="123">
        <v>26.2</v>
      </c>
      <c r="V74" s="123" t="s">
        <v>2182</v>
      </c>
      <c r="W74" s="126"/>
      <c r="X74" s="126" t="s">
        <v>2182</v>
      </c>
      <c r="Y74" s="126"/>
      <c r="Z74" s="123">
        <v>44</v>
      </c>
      <c r="AA74" s="123" t="s">
        <v>2245</v>
      </c>
      <c r="AB74" s="123">
        <v>2.6</v>
      </c>
      <c r="AC74" s="123">
        <v>1</v>
      </c>
      <c r="AD74" s="123" t="s">
        <v>2248</v>
      </c>
    </row>
    <row r="75" spans="1:30">
      <c r="A75" s="121">
        <v>73</v>
      </c>
      <c r="B75" s="122" t="s">
        <v>2271</v>
      </c>
      <c r="C75" s="122" t="s">
        <v>2281</v>
      </c>
      <c r="D75" s="122" t="s">
        <v>2282</v>
      </c>
      <c r="E75" s="124">
        <v>42767</v>
      </c>
      <c r="F75" s="125">
        <v>0.54166666666666663</v>
      </c>
      <c r="G75" s="124">
        <v>42818</v>
      </c>
      <c r="H75" s="125">
        <v>0.57291666666666663</v>
      </c>
      <c r="I75" s="123">
        <v>1132</v>
      </c>
      <c r="J75" s="123">
        <v>549</v>
      </c>
      <c r="K75" s="142" t="str">
        <f t="shared" si="4"/>
        <v>G549</v>
      </c>
      <c r="L75" s="123">
        <v>438</v>
      </c>
      <c r="M75" s="142" t="str">
        <f t="shared" si="5"/>
        <v>R438</v>
      </c>
      <c r="N75" s="123">
        <v>498</v>
      </c>
      <c r="O75" s="142" t="str">
        <f t="shared" si="6"/>
        <v>G498</v>
      </c>
      <c r="P75" s="123">
        <v>393</v>
      </c>
      <c r="Q75" s="142" t="str">
        <f t="shared" si="7"/>
        <v>R393</v>
      </c>
      <c r="R75" s="123">
        <v>23.1</v>
      </c>
      <c r="S75" s="123">
        <v>35.200000000000003</v>
      </c>
      <c r="T75" s="123">
        <v>29.2</v>
      </c>
      <c r="U75" s="123">
        <v>20.5</v>
      </c>
      <c r="V75" s="123" t="s">
        <v>2201</v>
      </c>
      <c r="W75" s="126" t="s">
        <v>2201</v>
      </c>
      <c r="X75" s="126" t="s">
        <v>2182</v>
      </c>
      <c r="Y75" s="126" t="s">
        <v>2182</v>
      </c>
      <c r="Z75" s="123">
        <v>10</v>
      </c>
      <c r="AA75" s="123" t="s">
        <v>2175</v>
      </c>
      <c r="AB75" s="123">
        <v>9.1</v>
      </c>
      <c r="AC75" s="123">
        <v>1</v>
      </c>
      <c r="AD75" s="123"/>
    </row>
    <row r="76" spans="1:30">
      <c r="A76" s="121">
        <v>74</v>
      </c>
      <c r="B76" s="122" t="s">
        <v>2271</v>
      </c>
      <c r="C76" s="122" t="s">
        <v>2283</v>
      </c>
      <c r="D76" s="122" t="s">
        <v>2282</v>
      </c>
      <c r="E76" s="124">
        <v>42767</v>
      </c>
      <c r="F76" s="125">
        <v>0.54166666666666663</v>
      </c>
      <c r="G76" s="124">
        <v>42818</v>
      </c>
      <c r="H76" s="125">
        <v>0.55555555555555558</v>
      </c>
      <c r="I76" s="123">
        <v>1129</v>
      </c>
      <c r="J76" s="123">
        <v>605</v>
      </c>
      <c r="K76" s="142" t="str">
        <f t="shared" si="4"/>
        <v>G605</v>
      </c>
      <c r="L76" s="123">
        <v>122</v>
      </c>
      <c r="M76" s="142" t="str">
        <f t="shared" si="5"/>
        <v>R122</v>
      </c>
      <c r="N76" s="123">
        <v>579</v>
      </c>
      <c r="O76" s="142" t="str">
        <f t="shared" si="6"/>
        <v>G579</v>
      </c>
      <c r="P76" s="123">
        <v>138</v>
      </c>
      <c r="Q76" s="142" t="str">
        <f t="shared" si="7"/>
        <v>R138</v>
      </c>
      <c r="R76" s="123">
        <v>23</v>
      </c>
      <c r="S76" s="123">
        <v>29</v>
      </c>
      <c r="T76" s="123">
        <v>25.7</v>
      </c>
      <c r="U76" s="123">
        <v>20.3</v>
      </c>
      <c r="V76" s="123" t="s">
        <v>2201</v>
      </c>
      <c r="W76" s="126" t="s">
        <v>2190</v>
      </c>
      <c r="X76" s="126" t="s">
        <v>2182</v>
      </c>
      <c r="Y76" s="126"/>
      <c r="Z76" s="123">
        <v>9.4</v>
      </c>
      <c r="AA76" s="123" t="s">
        <v>2175</v>
      </c>
      <c r="AB76" s="123">
        <v>7.7</v>
      </c>
      <c r="AC76" s="123">
        <v>1</v>
      </c>
      <c r="AD76" s="123"/>
    </row>
    <row r="77" spans="1:30">
      <c r="A77" s="121">
        <v>75</v>
      </c>
      <c r="B77" s="122" t="s">
        <v>2271</v>
      </c>
      <c r="C77" s="122" t="s">
        <v>2284</v>
      </c>
      <c r="D77" s="122" t="s">
        <v>2282</v>
      </c>
      <c r="E77" s="124">
        <v>42767</v>
      </c>
      <c r="F77" s="125">
        <v>0.54513888888888895</v>
      </c>
      <c r="G77" s="124">
        <v>42818</v>
      </c>
      <c r="H77" s="125">
        <v>0.625</v>
      </c>
      <c r="I77" s="123">
        <v>1133</v>
      </c>
      <c r="J77" s="123">
        <v>408</v>
      </c>
      <c r="K77" s="142" t="str">
        <f t="shared" si="4"/>
        <v>G408</v>
      </c>
      <c r="L77" s="123">
        <v>404</v>
      </c>
      <c r="M77" s="142" t="str">
        <f t="shared" si="5"/>
        <v>R404</v>
      </c>
      <c r="N77" s="123">
        <v>373</v>
      </c>
      <c r="O77" s="142" t="str">
        <f t="shared" si="6"/>
        <v>G373</v>
      </c>
      <c r="P77">
        <v>311</v>
      </c>
      <c r="Q77" s="142" t="str">
        <f t="shared" si="7"/>
        <v>R311</v>
      </c>
      <c r="R77" s="123">
        <v>20.8</v>
      </c>
      <c r="S77" s="123">
        <v>34.200000000000003</v>
      </c>
      <c r="T77" s="123">
        <v>30.5</v>
      </c>
      <c r="U77" s="123">
        <v>20.100000000000001</v>
      </c>
      <c r="V77" s="123" t="s">
        <v>2201</v>
      </c>
      <c r="W77" s="126" t="s">
        <v>2195</v>
      </c>
      <c r="X77" s="126" t="s">
        <v>2182</v>
      </c>
      <c r="Y77" s="126"/>
      <c r="Z77" s="123">
        <v>13.8</v>
      </c>
      <c r="AA77" s="123" t="s">
        <v>2245</v>
      </c>
      <c r="AB77" s="123">
        <v>6.1</v>
      </c>
      <c r="AC77" s="123">
        <v>0</v>
      </c>
      <c r="AD77" s="123"/>
    </row>
    <row r="78" spans="1:30">
      <c r="A78" s="121">
        <v>76</v>
      </c>
      <c r="B78" s="122" t="s">
        <v>2271</v>
      </c>
      <c r="C78" s="122" t="s">
        <v>2285</v>
      </c>
      <c r="D78" s="122" t="s">
        <v>2282</v>
      </c>
      <c r="E78" s="124">
        <v>42767</v>
      </c>
      <c r="F78" s="125">
        <v>0.54861111111111105</v>
      </c>
      <c r="G78" s="124">
        <v>42818</v>
      </c>
      <c r="H78" s="125">
        <v>0.58333333333333337</v>
      </c>
      <c r="I78" s="123">
        <v>917</v>
      </c>
      <c r="J78">
        <v>416</v>
      </c>
      <c r="K78" s="142" t="str">
        <f t="shared" si="4"/>
        <v>G416</v>
      </c>
      <c r="L78" s="123">
        <v>501</v>
      </c>
      <c r="M78" s="142" t="str">
        <f t="shared" si="5"/>
        <v>R501</v>
      </c>
      <c r="N78" s="123">
        <v>603</v>
      </c>
      <c r="O78" s="142" t="str">
        <f t="shared" si="6"/>
        <v>G603</v>
      </c>
      <c r="P78" s="123">
        <v>183</v>
      </c>
      <c r="Q78" s="142" t="str">
        <f t="shared" si="7"/>
        <v>R183</v>
      </c>
      <c r="R78" s="123">
        <v>22.4</v>
      </c>
      <c r="S78" s="123">
        <v>34.1</v>
      </c>
      <c r="T78" s="123">
        <v>25</v>
      </c>
      <c r="U78" s="123">
        <v>19.5</v>
      </c>
      <c r="V78" s="123" t="s">
        <v>2174</v>
      </c>
      <c r="W78" s="126" t="s">
        <v>2174</v>
      </c>
      <c r="X78" s="126" t="s">
        <v>2182</v>
      </c>
      <c r="Y78" s="126"/>
      <c r="Z78" s="123">
        <v>19.3</v>
      </c>
      <c r="AA78" s="123" t="s">
        <v>2175</v>
      </c>
      <c r="AB78" s="123">
        <v>6.7</v>
      </c>
      <c r="AC78" s="123">
        <v>1</v>
      </c>
      <c r="AD78" s="123"/>
    </row>
    <row r="79" spans="1:30">
      <c r="A79" s="121">
        <v>77</v>
      </c>
      <c r="B79" s="122" t="s">
        <v>2271</v>
      </c>
      <c r="C79" s="122" t="s">
        <v>2286</v>
      </c>
      <c r="D79" s="122" t="s">
        <v>2282</v>
      </c>
      <c r="E79" s="124">
        <v>42767</v>
      </c>
      <c r="F79" s="125">
        <v>0.55208333333333337</v>
      </c>
      <c r="G79" s="124">
        <v>42818</v>
      </c>
      <c r="H79" s="125">
        <v>0.67708333333333337</v>
      </c>
      <c r="I79" s="123">
        <v>1134</v>
      </c>
      <c r="J79">
        <v>594</v>
      </c>
      <c r="K79" s="142" t="str">
        <f t="shared" si="4"/>
        <v>G594</v>
      </c>
      <c r="L79" s="123">
        <v>137</v>
      </c>
      <c r="M79" s="142" t="str">
        <f t="shared" si="5"/>
        <v>R137</v>
      </c>
      <c r="N79" s="123">
        <v>509</v>
      </c>
      <c r="O79" s="142" t="str">
        <f t="shared" si="6"/>
        <v>G509</v>
      </c>
      <c r="P79" s="123">
        <v>228</v>
      </c>
      <c r="Q79" s="142" t="str">
        <f t="shared" si="7"/>
        <v>R228</v>
      </c>
      <c r="R79" s="123">
        <v>23.6</v>
      </c>
      <c r="S79" s="123">
        <v>27.6</v>
      </c>
      <c r="T79" s="123">
        <v>28.3</v>
      </c>
      <c r="U79" s="123">
        <v>24.3</v>
      </c>
      <c r="V79" s="123" t="s">
        <v>2182</v>
      </c>
      <c r="W79" s="126" t="s">
        <v>2182</v>
      </c>
      <c r="X79" s="126" t="s">
        <v>2182</v>
      </c>
      <c r="Y79" s="126"/>
      <c r="Z79" s="123">
        <v>9.8000000000000007</v>
      </c>
      <c r="AA79" s="123" t="s">
        <v>2245</v>
      </c>
      <c r="AB79" s="123">
        <v>3.1</v>
      </c>
      <c r="AC79" s="123">
        <v>1</v>
      </c>
      <c r="AD79" s="123"/>
    </row>
    <row r="80" spans="1:30">
      <c r="A80" s="121">
        <v>78</v>
      </c>
      <c r="B80" s="122" t="s">
        <v>2271</v>
      </c>
      <c r="C80" s="122" t="s">
        <v>2287</v>
      </c>
      <c r="D80" s="122" t="s">
        <v>2282</v>
      </c>
      <c r="E80" s="124">
        <v>42767</v>
      </c>
      <c r="F80" s="125">
        <v>0.55208333333333337</v>
      </c>
      <c r="G80" s="124">
        <v>42818</v>
      </c>
      <c r="H80" s="125">
        <v>0.66319444444444442</v>
      </c>
      <c r="I80" s="123">
        <v>1135</v>
      </c>
      <c r="J80" s="123">
        <v>460</v>
      </c>
      <c r="K80" s="142" t="str">
        <f t="shared" si="4"/>
        <v>G460</v>
      </c>
      <c r="L80" s="123">
        <v>278</v>
      </c>
      <c r="M80" s="142" t="str">
        <f t="shared" si="5"/>
        <v>R278</v>
      </c>
      <c r="N80" s="123">
        <v>446</v>
      </c>
      <c r="O80" s="142" t="str">
        <f t="shared" si="6"/>
        <v>G446</v>
      </c>
      <c r="P80" s="123">
        <v>100</v>
      </c>
      <c r="Q80" s="142" t="str">
        <f t="shared" si="7"/>
        <v>R100</v>
      </c>
      <c r="R80" s="123">
        <v>23.5</v>
      </c>
      <c r="S80" s="123">
        <v>27.7</v>
      </c>
      <c r="T80" s="123">
        <v>32</v>
      </c>
      <c r="U80" s="123">
        <v>20.6</v>
      </c>
      <c r="V80" s="123" t="s">
        <v>2182</v>
      </c>
      <c r="W80" s="126" t="s">
        <v>2182</v>
      </c>
      <c r="X80" s="126" t="s">
        <v>2182</v>
      </c>
      <c r="Y80" s="126"/>
      <c r="Z80" s="123">
        <v>15.4</v>
      </c>
      <c r="AA80" s="123" t="s">
        <v>2175</v>
      </c>
      <c r="AB80" s="123">
        <v>10.4</v>
      </c>
      <c r="AC80" s="123">
        <v>1</v>
      </c>
      <c r="AD80" s="123"/>
    </row>
    <row r="81" spans="1:30">
      <c r="A81" s="121">
        <v>79</v>
      </c>
      <c r="B81" s="122" t="s">
        <v>2271</v>
      </c>
      <c r="C81" s="122" t="s">
        <v>2288</v>
      </c>
      <c r="D81" s="122" t="s">
        <v>2282</v>
      </c>
      <c r="E81" s="124">
        <v>42767</v>
      </c>
      <c r="F81" s="125">
        <v>0.55555555555555558</v>
      </c>
      <c r="G81" s="124">
        <v>42818</v>
      </c>
      <c r="H81" s="125">
        <v>0.60416666666666663</v>
      </c>
      <c r="I81" s="123">
        <v>920</v>
      </c>
      <c r="J81" s="123">
        <v>217</v>
      </c>
      <c r="K81" s="142" t="str">
        <f t="shared" si="4"/>
        <v>G217</v>
      </c>
      <c r="L81" s="123">
        <v>235</v>
      </c>
      <c r="M81" s="142" t="str">
        <f t="shared" si="5"/>
        <v>R235</v>
      </c>
      <c r="N81" s="123">
        <v>249</v>
      </c>
      <c r="O81" s="142" t="str">
        <f t="shared" si="6"/>
        <v>G249</v>
      </c>
      <c r="P81" s="123">
        <v>56</v>
      </c>
      <c r="Q81" s="142" t="str">
        <f t="shared" si="7"/>
        <v>R56</v>
      </c>
      <c r="R81" s="123">
        <v>21.9</v>
      </c>
      <c r="S81" s="123">
        <v>35.299999999999997</v>
      </c>
      <c r="T81" s="123">
        <v>30.6</v>
      </c>
      <c r="U81" s="123">
        <v>18.5</v>
      </c>
      <c r="V81" s="123" t="s">
        <v>2182</v>
      </c>
      <c r="W81" s="126" t="s">
        <v>2182</v>
      </c>
      <c r="X81" s="126" t="s">
        <v>2182</v>
      </c>
      <c r="Y81" s="126"/>
      <c r="Z81" s="123">
        <v>5</v>
      </c>
      <c r="AA81" s="123" t="s">
        <v>2223</v>
      </c>
      <c r="AB81" s="123">
        <v>3</v>
      </c>
      <c r="AC81" s="123">
        <v>1</v>
      </c>
      <c r="AD81" s="123"/>
    </row>
    <row r="82" spans="1:30">
      <c r="A82" s="121">
        <v>80</v>
      </c>
      <c r="B82" s="122" t="s">
        <v>2271</v>
      </c>
      <c r="C82" s="122" t="s">
        <v>2289</v>
      </c>
      <c r="D82" s="122" t="s">
        <v>2282</v>
      </c>
      <c r="E82" s="124">
        <v>42767</v>
      </c>
      <c r="F82" s="125">
        <v>0.5625</v>
      </c>
      <c r="G82" s="124">
        <v>42818</v>
      </c>
      <c r="H82" s="125">
        <v>0.61458333333333337</v>
      </c>
      <c r="I82" s="123">
        <v>1103</v>
      </c>
      <c r="J82" s="123">
        <v>607</v>
      </c>
      <c r="K82" s="142" t="str">
        <f t="shared" si="4"/>
        <v>G607</v>
      </c>
      <c r="L82" s="123">
        <v>181</v>
      </c>
      <c r="M82" s="142" t="str">
        <f t="shared" si="5"/>
        <v>R181</v>
      </c>
      <c r="N82" s="123">
        <v>474</v>
      </c>
      <c r="O82" s="142" t="str">
        <f t="shared" si="6"/>
        <v>G474</v>
      </c>
      <c r="P82" s="129">
        <v>68</v>
      </c>
      <c r="Q82" s="142" t="str">
        <f t="shared" si="7"/>
        <v>R68</v>
      </c>
      <c r="R82" s="123">
        <v>23.1</v>
      </c>
      <c r="S82" s="123">
        <v>35.200000000000003</v>
      </c>
      <c r="T82" s="123">
        <v>31.8</v>
      </c>
      <c r="U82" s="123">
        <v>21.9</v>
      </c>
      <c r="V82" s="123" t="s">
        <v>2190</v>
      </c>
      <c r="W82" s="126" t="s">
        <v>2174</v>
      </c>
      <c r="X82" s="126" t="s">
        <v>2182</v>
      </c>
      <c r="Y82" s="126"/>
      <c r="Z82" s="123">
        <v>12.4</v>
      </c>
      <c r="AA82" s="123" t="s">
        <v>2245</v>
      </c>
      <c r="AB82" s="123">
        <v>2.7</v>
      </c>
      <c r="AC82" s="123">
        <v>1</v>
      </c>
      <c r="AD82" s="123"/>
    </row>
    <row r="83" spans="1:30">
      <c r="A83" s="121">
        <v>81</v>
      </c>
      <c r="B83" s="122" t="s">
        <v>2271</v>
      </c>
      <c r="C83" s="122" t="s">
        <v>2290</v>
      </c>
      <c r="D83" s="122" t="s">
        <v>2291</v>
      </c>
      <c r="E83" s="124">
        <v>42767</v>
      </c>
      <c r="F83" s="125">
        <v>0.4548611111111111</v>
      </c>
      <c r="G83" s="124">
        <v>42818</v>
      </c>
      <c r="H83" s="125">
        <v>0.69444444444444453</v>
      </c>
      <c r="I83" s="123">
        <v>892</v>
      </c>
      <c r="J83" s="123">
        <v>542</v>
      </c>
      <c r="K83" s="142" t="str">
        <f t="shared" si="4"/>
        <v>G542</v>
      </c>
      <c r="L83" s="123">
        <v>187</v>
      </c>
      <c r="M83" s="142" t="str">
        <f t="shared" si="5"/>
        <v>R187</v>
      </c>
      <c r="N83" s="123">
        <v>475</v>
      </c>
      <c r="O83" s="142" t="str">
        <f t="shared" si="6"/>
        <v>G475</v>
      </c>
      <c r="P83" s="123">
        <v>293</v>
      </c>
      <c r="Q83" s="142" t="str">
        <f t="shared" si="7"/>
        <v>R293</v>
      </c>
      <c r="R83" s="129">
        <v>22.8</v>
      </c>
      <c r="S83" s="129">
        <v>29.4</v>
      </c>
      <c r="T83" s="123">
        <v>30.5</v>
      </c>
      <c r="U83" s="123">
        <v>23.3</v>
      </c>
      <c r="V83" s="123" t="s">
        <v>2195</v>
      </c>
      <c r="W83" s="126"/>
      <c r="X83" s="126" t="s">
        <v>2182</v>
      </c>
      <c r="Y83" s="126" t="s">
        <v>2182</v>
      </c>
      <c r="Z83" s="123">
        <v>13.3</v>
      </c>
      <c r="AA83" s="123" t="s">
        <v>2245</v>
      </c>
      <c r="AB83" s="123">
        <v>6.2</v>
      </c>
      <c r="AC83" s="123">
        <v>0</v>
      </c>
      <c r="AD83" s="123"/>
    </row>
    <row r="84" spans="1:30">
      <c r="A84" s="121">
        <v>82</v>
      </c>
      <c r="B84" s="122" t="s">
        <v>2271</v>
      </c>
      <c r="C84" s="122" t="s">
        <v>2293</v>
      </c>
      <c r="D84" s="122" t="s">
        <v>2291</v>
      </c>
      <c r="E84" s="124">
        <v>42767</v>
      </c>
      <c r="F84" s="125">
        <v>0.45833333333333331</v>
      </c>
      <c r="G84" s="124">
        <v>42819</v>
      </c>
      <c r="H84" s="125">
        <v>0.54861111111111105</v>
      </c>
      <c r="I84" s="123">
        <v>1128</v>
      </c>
      <c r="J84" s="123">
        <v>536</v>
      </c>
      <c r="K84" s="142" t="str">
        <f t="shared" si="4"/>
        <v>G536</v>
      </c>
      <c r="L84" s="123">
        <v>83</v>
      </c>
      <c r="M84" s="142" t="str">
        <f t="shared" si="5"/>
        <v>R83</v>
      </c>
      <c r="N84" s="123">
        <v>840</v>
      </c>
      <c r="O84" s="142" t="str">
        <f t="shared" si="6"/>
        <v>G840</v>
      </c>
      <c r="P84" s="123">
        <v>368</v>
      </c>
      <c r="Q84" s="142" t="str">
        <f t="shared" si="7"/>
        <v>R368</v>
      </c>
      <c r="R84" s="123">
        <v>22.1</v>
      </c>
      <c r="S84" s="123">
        <v>34.6</v>
      </c>
      <c r="T84" s="123">
        <v>24</v>
      </c>
      <c r="U84" s="123">
        <v>18.600000000000001</v>
      </c>
      <c r="V84" s="123" t="s">
        <v>2195</v>
      </c>
      <c r="W84" s="126" t="s">
        <v>2195</v>
      </c>
      <c r="X84" s="126" t="s">
        <v>2182</v>
      </c>
      <c r="Y84" s="126"/>
      <c r="Z84" s="123">
        <v>16.600000000000001</v>
      </c>
      <c r="AA84" s="123" t="s">
        <v>2245</v>
      </c>
      <c r="AB84" s="123">
        <v>2.4</v>
      </c>
      <c r="AC84" s="123"/>
      <c r="AD84" s="123"/>
    </row>
    <row r="85" spans="1:30">
      <c r="A85" s="121">
        <v>83</v>
      </c>
      <c r="B85" s="122" t="s">
        <v>2271</v>
      </c>
      <c r="C85" s="122" t="s">
        <v>2294</v>
      </c>
      <c r="D85" s="122" t="s">
        <v>2291</v>
      </c>
      <c r="E85" s="124">
        <v>42767</v>
      </c>
      <c r="F85" s="125">
        <v>0.43402777777777773</v>
      </c>
      <c r="G85" s="124">
        <v>42819</v>
      </c>
      <c r="H85" s="125">
        <v>0.70833333333333337</v>
      </c>
      <c r="I85" s="123">
        <v>886</v>
      </c>
      <c r="J85" s="123">
        <v>494</v>
      </c>
      <c r="K85" s="142" t="str">
        <f t="shared" si="4"/>
        <v>G494</v>
      </c>
      <c r="L85" s="123">
        <v>134</v>
      </c>
      <c r="M85" s="142" t="str">
        <f t="shared" si="5"/>
        <v>R134</v>
      </c>
      <c r="N85" s="123">
        <v>298</v>
      </c>
      <c r="O85" s="142" t="str">
        <f t="shared" si="6"/>
        <v>G298</v>
      </c>
      <c r="P85" s="123">
        <v>22</v>
      </c>
      <c r="Q85" s="142" t="str">
        <f t="shared" si="7"/>
        <v>R22</v>
      </c>
      <c r="R85" s="123">
        <v>20.5</v>
      </c>
      <c r="S85" s="123">
        <v>37.299999999999997</v>
      </c>
      <c r="T85" s="123">
        <v>29.6</v>
      </c>
      <c r="U85" s="123">
        <v>22.9</v>
      </c>
      <c r="V85" s="123" t="s">
        <v>2182</v>
      </c>
      <c r="W85" s="126" t="s">
        <v>2174</v>
      </c>
      <c r="X85" s="126" t="s">
        <v>2182</v>
      </c>
      <c r="Y85" s="126"/>
      <c r="Z85" s="123">
        <v>42</v>
      </c>
      <c r="AA85" s="123" t="s">
        <v>2175</v>
      </c>
      <c r="AB85" s="123">
        <v>6.4</v>
      </c>
      <c r="AC85" s="123">
        <v>1</v>
      </c>
      <c r="AD85" s="123"/>
    </row>
    <row r="86" spans="1:30">
      <c r="A86" s="121">
        <v>84</v>
      </c>
      <c r="B86" s="122" t="s">
        <v>2271</v>
      </c>
      <c r="C86" s="122" t="s">
        <v>2295</v>
      </c>
      <c r="D86" s="122" t="s">
        <v>2291</v>
      </c>
      <c r="E86" s="124">
        <v>42767</v>
      </c>
      <c r="F86" s="125">
        <v>0.4375</v>
      </c>
      <c r="G86" s="124">
        <v>42819</v>
      </c>
      <c r="H86" s="125">
        <v>0.71527777777777779</v>
      </c>
      <c r="I86" s="123">
        <v>887</v>
      </c>
      <c r="J86" s="132">
        <v>291</v>
      </c>
      <c r="K86" s="142" t="str">
        <f t="shared" si="4"/>
        <v>G291</v>
      </c>
      <c r="L86" s="123">
        <v>49</v>
      </c>
      <c r="M86" s="142" t="str">
        <f t="shared" si="5"/>
        <v>R49</v>
      </c>
      <c r="N86" s="123">
        <v>520</v>
      </c>
      <c r="O86" s="142" t="str">
        <f t="shared" si="6"/>
        <v>G520</v>
      </c>
      <c r="P86" s="123">
        <v>417</v>
      </c>
      <c r="Q86" s="142" t="str">
        <f t="shared" si="7"/>
        <v>R417</v>
      </c>
      <c r="R86" s="123">
        <v>19.8</v>
      </c>
      <c r="S86" s="123">
        <v>33.6</v>
      </c>
      <c r="T86" s="123">
        <v>27.4</v>
      </c>
      <c r="U86" s="123">
        <v>21.9</v>
      </c>
      <c r="V86" s="123" t="s">
        <v>2182</v>
      </c>
      <c r="W86" s="126" t="s">
        <v>2182</v>
      </c>
      <c r="X86" s="126" t="s">
        <v>2182</v>
      </c>
      <c r="Y86" s="126" t="s">
        <v>2182</v>
      </c>
      <c r="Z86" s="123">
        <v>55.8</v>
      </c>
      <c r="AA86" s="123" t="s">
        <v>2175</v>
      </c>
      <c r="AB86" s="123">
        <v>5.5</v>
      </c>
      <c r="AC86" s="123">
        <v>1</v>
      </c>
      <c r="AD86" s="123"/>
    </row>
    <row r="87" spans="1:30">
      <c r="A87" s="121">
        <v>85</v>
      </c>
      <c r="B87" s="122" t="s">
        <v>2271</v>
      </c>
      <c r="C87" s="122" t="s">
        <v>2296</v>
      </c>
      <c r="D87" s="122" t="s">
        <v>2291</v>
      </c>
      <c r="E87" s="124">
        <v>42767</v>
      </c>
      <c r="F87" s="125">
        <v>0.44097222222222227</v>
      </c>
      <c r="G87" s="124">
        <v>42819</v>
      </c>
      <c r="H87" s="125">
        <v>0.71875</v>
      </c>
      <c r="I87" s="123">
        <v>888</v>
      </c>
      <c r="J87" s="123">
        <v>308</v>
      </c>
      <c r="K87" s="142" t="str">
        <f t="shared" si="4"/>
        <v>G308</v>
      </c>
      <c r="L87" s="123">
        <v>315</v>
      </c>
      <c r="M87" s="142" t="str">
        <f t="shared" si="5"/>
        <v>R315</v>
      </c>
      <c r="N87" s="123">
        <v>441</v>
      </c>
      <c r="O87" s="142" t="str">
        <f t="shared" si="6"/>
        <v>G441</v>
      </c>
      <c r="P87" s="123">
        <v>391</v>
      </c>
      <c r="Q87" s="142" t="str">
        <f t="shared" si="7"/>
        <v>R391</v>
      </c>
      <c r="R87" s="123">
        <v>20.2</v>
      </c>
      <c r="S87" s="123">
        <v>33.5</v>
      </c>
      <c r="T87" s="123">
        <v>26.1</v>
      </c>
      <c r="U87" s="123">
        <v>19.600000000000001</v>
      </c>
      <c r="V87" s="123" t="s">
        <v>2201</v>
      </c>
      <c r="W87" s="126" t="s">
        <v>2198</v>
      </c>
      <c r="X87" s="126" t="s">
        <v>2182</v>
      </c>
      <c r="Y87" s="126"/>
      <c r="Z87" s="123">
        <v>3.8</v>
      </c>
      <c r="AA87" s="123" t="s">
        <v>2245</v>
      </c>
      <c r="AB87" s="123">
        <v>8.6</v>
      </c>
      <c r="AC87" s="123">
        <v>0</v>
      </c>
      <c r="AD87" s="123"/>
    </row>
    <row r="88" spans="1:30">
      <c r="A88" s="121">
        <v>86</v>
      </c>
      <c r="B88" s="122" t="s">
        <v>2271</v>
      </c>
      <c r="C88" s="122" t="s">
        <v>2297</v>
      </c>
      <c r="D88" s="122" t="s">
        <v>2291</v>
      </c>
      <c r="E88" s="124">
        <v>42767</v>
      </c>
      <c r="F88" s="125">
        <v>0.44444444444444442</v>
      </c>
      <c r="G88" s="124">
        <v>42819</v>
      </c>
      <c r="H88" s="125">
        <v>0.72916666666666663</v>
      </c>
      <c r="I88" s="123">
        <v>889</v>
      </c>
      <c r="J88" s="123">
        <v>723</v>
      </c>
      <c r="K88" s="142" t="str">
        <f t="shared" si="4"/>
        <v>G723</v>
      </c>
      <c r="L88" s="123">
        <v>1</v>
      </c>
      <c r="M88" s="142" t="str">
        <f t="shared" si="5"/>
        <v>R1</v>
      </c>
      <c r="N88" s="123">
        <v>561</v>
      </c>
      <c r="O88" s="142" t="str">
        <f t="shared" si="6"/>
        <v>G561</v>
      </c>
      <c r="P88" s="123">
        <v>62</v>
      </c>
      <c r="Q88" s="142" t="str">
        <f t="shared" si="7"/>
        <v>R62</v>
      </c>
      <c r="R88" s="123">
        <v>21.2</v>
      </c>
      <c r="S88" s="123">
        <v>29.3</v>
      </c>
      <c r="T88" s="123">
        <v>30.4</v>
      </c>
      <c r="U88" s="123">
        <v>18.8</v>
      </c>
      <c r="V88" s="123" t="s">
        <v>2182</v>
      </c>
      <c r="W88" s="126" t="s">
        <v>2225</v>
      </c>
      <c r="X88" s="126" t="s">
        <v>2182</v>
      </c>
      <c r="Y88" s="126"/>
      <c r="Z88" s="123">
        <v>7.5</v>
      </c>
      <c r="AA88" s="123" t="s">
        <v>2245</v>
      </c>
      <c r="AB88" s="123">
        <v>3.7</v>
      </c>
      <c r="AC88" s="123">
        <v>0</v>
      </c>
      <c r="AD88" s="123"/>
    </row>
    <row r="89" spans="1:30">
      <c r="A89" s="121">
        <v>87</v>
      </c>
      <c r="B89" s="122" t="s">
        <v>2271</v>
      </c>
      <c r="C89" s="122" t="s">
        <v>2298</v>
      </c>
      <c r="D89" s="122" t="s">
        <v>2291</v>
      </c>
      <c r="E89" s="124">
        <v>42767</v>
      </c>
      <c r="F89" s="125">
        <v>0.4513888888888889</v>
      </c>
      <c r="G89" s="124">
        <v>42819</v>
      </c>
      <c r="H89" s="125">
        <v>0.55555555555555558</v>
      </c>
      <c r="I89" s="123">
        <v>890</v>
      </c>
      <c r="J89" s="123">
        <v>628</v>
      </c>
      <c r="K89" s="142" t="str">
        <f t="shared" si="4"/>
        <v>G628</v>
      </c>
      <c r="L89" s="123">
        <v>408</v>
      </c>
      <c r="M89" s="142" t="str">
        <f t="shared" si="5"/>
        <v>R408</v>
      </c>
      <c r="N89" s="123">
        <v>632</v>
      </c>
      <c r="O89" s="142" t="str">
        <f t="shared" si="6"/>
        <v>G632</v>
      </c>
      <c r="P89" s="123">
        <v>329</v>
      </c>
      <c r="Q89" s="142" t="str">
        <f t="shared" si="7"/>
        <v>R329</v>
      </c>
      <c r="R89" s="123">
        <v>20.100000000000001</v>
      </c>
      <c r="S89" s="123">
        <v>29.3</v>
      </c>
      <c r="T89" s="123">
        <v>23</v>
      </c>
      <c r="U89" s="123">
        <v>22.4</v>
      </c>
      <c r="V89" s="123" t="s">
        <v>2198</v>
      </c>
      <c r="W89" s="126" t="s">
        <v>2229</v>
      </c>
      <c r="X89" s="126" t="s">
        <v>2182</v>
      </c>
      <c r="Y89" s="126"/>
      <c r="Z89" s="123">
        <v>12.6</v>
      </c>
      <c r="AA89" s="123" t="s">
        <v>2245</v>
      </c>
      <c r="AB89" s="123">
        <v>7.5</v>
      </c>
      <c r="AC89" s="123">
        <v>1</v>
      </c>
      <c r="AD89" s="123"/>
    </row>
    <row r="90" spans="1:30">
      <c r="A90" s="168">
        <v>88</v>
      </c>
      <c r="B90" s="169" t="s">
        <v>2271</v>
      </c>
      <c r="C90" s="169" t="s">
        <v>2299</v>
      </c>
      <c r="D90" s="169" t="s">
        <v>2291</v>
      </c>
      <c r="E90" s="170">
        <v>42767</v>
      </c>
      <c r="F90" s="173">
        <v>0.4513888888888889</v>
      </c>
      <c r="G90" s="124">
        <v>42819</v>
      </c>
      <c r="H90" s="168"/>
      <c r="I90" s="168">
        <v>891</v>
      </c>
      <c r="J90" s="168">
        <v>569</v>
      </c>
      <c r="K90" s="142" t="str">
        <f t="shared" si="4"/>
        <v>G569</v>
      </c>
      <c r="L90" s="168">
        <v>385</v>
      </c>
      <c r="M90" s="142" t="str">
        <f t="shared" si="5"/>
        <v>R385</v>
      </c>
      <c r="N90" s="168">
        <v>611</v>
      </c>
      <c r="O90" s="142" t="str">
        <f t="shared" si="6"/>
        <v>G611</v>
      </c>
      <c r="P90" s="168">
        <v>288</v>
      </c>
      <c r="Q90" s="142" t="str">
        <f t="shared" si="7"/>
        <v>R288</v>
      </c>
      <c r="R90" s="168">
        <v>21.4</v>
      </c>
      <c r="S90" s="168">
        <v>29.7</v>
      </c>
      <c r="T90" s="168"/>
      <c r="U90" s="168"/>
      <c r="V90" s="168"/>
      <c r="W90" s="171"/>
      <c r="X90" s="171"/>
      <c r="Y90" s="171"/>
      <c r="Z90" s="168"/>
      <c r="AA90" s="168"/>
      <c r="AB90" s="168"/>
      <c r="AC90" s="168"/>
      <c r="AD90" s="168"/>
    </row>
    <row r="91" spans="1:30">
      <c r="A91" s="121">
        <v>89</v>
      </c>
      <c r="B91" s="122" t="s">
        <v>2271</v>
      </c>
      <c r="C91" s="122" t="s">
        <v>2300</v>
      </c>
      <c r="D91" s="122" t="s">
        <v>2301</v>
      </c>
      <c r="E91" s="124">
        <v>42767</v>
      </c>
      <c r="F91" s="125">
        <v>0.4861111111111111</v>
      </c>
      <c r="G91" s="124">
        <v>42819</v>
      </c>
      <c r="H91" s="125">
        <v>0.42708333333333331</v>
      </c>
      <c r="I91" s="123">
        <v>898</v>
      </c>
      <c r="J91" s="123">
        <v>339</v>
      </c>
      <c r="K91" s="142" t="str">
        <f t="shared" si="4"/>
        <v>G339</v>
      </c>
      <c r="L91" s="123">
        <v>196</v>
      </c>
      <c r="M91" s="142" t="str">
        <f t="shared" si="5"/>
        <v>R196</v>
      </c>
      <c r="N91" s="123">
        <v>469</v>
      </c>
      <c r="O91" s="142" t="str">
        <f t="shared" si="6"/>
        <v>G469</v>
      </c>
      <c r="P91" s="123">
        <v>171</v>
      </c>
      <c r="Q91" s="142" t="str">
        <f t="shared" si="7"/>
        <v>R171</v>
      </c>
      <c r="R91" s="123">
        <v>24</v>
      </c>
      <c r="S91" s="123">
        <v>23.2</v>
      </c>
      <c r="T91" s="123">
        <v>24.9</v>
      </c>
      <c r="U91" s="123">
        <v>18.7</v>
      </c>
      <c r="V91" s="123"/>
      <c r="W91" s="126" t="s">
        <v>2195</v>
      </c>
      <c r="X91" s="126" t="s">
        <v>2182</v>
      </c>
      <c r="Y91" s="126"/>
      <c r="Z91" s="123">
        <v>35.799999999999997</v>
      </c>
      <c r="AA91" s="123" t="s">
        <v>2245</v>
      </c>
      <c r="AB91" s="123">
        <v>7.3</v>
      </c>
      <c r="AC91" s="123">
        <v>0</v>
      </c>
      <c r="AD91" s="123"/>
    </row>
    <row r="92" spans="1:30">
      <c r="A92" s="121">
        <v>90</v>
      </c>
      <c r="B92" s="122" t="s">
        <v>2271</v>
      </c>
      <c r="C92" s="122" t="s">
        <v>2302</v>
      </c>
      <c r="D92" s="122" t="s">
        <v>2301</v>
      </c>
      <c r="E92" s="124">
        <v>42767</v>
      </c>
      <c r="F92" s="125">
        <v>0.4861111111111111</v>
      </c>
      <c r="G92" s="124">
        <v>42819</v>
      </c>
      <c r="H92" s="125">
        <v>0.43055555555555558</v>
      </c>
      <c r="I92" s="123">
        <v>899</v>
      </c>
      <c r="J92" s="123">
        <v>592</v>
      </c>
      <c r="K92" s="142" t="str">
        <f t="shared" si="4"/>
        <v>G592</v>
      </c>
      <c r="L92" s="123">
        <v>94</v>
      </c>
      <c r="M92" s="142" t="str">
        <f t="shared" si="5"/>
        <v>R94</v>
      </c>
      <c r="N92" s="123">
        <v>355</v>
      </c>
      <c r="O92" s="142" t="str">
        <f t="shared" si="6"/>
        <v>G355</v>
      </c>
      <c r="P92">
        <v>517</v>
      </c>
      <c r="Q92" s="142" t="str">
        <f t="shared" si="7"/>
        <v>R517</v>
      </c>
      <c r="R92" s="123">
        <v>23.5</v>
      </c>
      <c r="S92" s="123">
        <v>30.4</v>
      </c>
      <c r="T92" s="123">
        <v>24.2</v>
      </c>
      <c r="U92" s="123">
        <v>24.6</v>
      </c>
      <c r="V92" s="123"/>
      <c r="W92" s="126" t="s">
        <v>2182</v>
      </c>
      <c r="X92" s="126"/>
      <c r="Y92" s="126" t="s">
        <v>2182</v>
      </c>
      <c r="Z92" s="123">
        <v>30.4</v>
      </c>
      <c r="AA92" s="123" t="s">
        <v>2245</v>
      </c>
      <c r="AB92" s="123">
        <v>7.7</v>
      </c>
      <c r="AC92" s="123">
        <v>0</v>
      </c>
      <c r="AD92" s="123"/>
    </row>
    <row r="93" spans="1:30">
      <c r="A93" s="121">
        <v>91</v>
      </c>
      <c r="B93" s="122" t="s">
        <v>2271</v>
      </c>
      <c r="C93" s="122" t="s">
        <v>2303</v>
      </c>
      <c r="D93" s="122" t="s">
        <v>2301</v>
      </c>
      <c r="E93" s="124">
        <v>42767</v>
      </c>
      <c r="F93" s="125">
        <v>0.48958333333333331</v>
      </c>
      <c r="G93" s="124">
        <v>42819</v>
      </c>
      <c r="H93" s="125">
        <v>0.45833333333333331</v>
      </c>
      <c r="I93" s="123">
        <v>900</v>
      </c>
      <c r="J93">
        <v>472</v>
      </c>
      <c r="K93" s="142" t="str">
        <f t="shared" si="4"/>
        <v>G472</v>
      </c>
      <c r="L93" s="123">
        <v>343</v>
      </c>
      <c r="M93" s="142" t="str">
        <f t="shared" si="5"/>
        <v>R343</v>
      </c>
      <c r="N93" s="123">
        <v>547</v>
      </c>
      <c r="O93" s="142" t="str">
        <f t="shared" si="6"/>
        <v>G547</v>
      </c>
      <c r="P93" s="123">
        <v>73</v>
      </c>
      <c r="Q93" s="142" t="str">
        <f t="shared" si="7"/>
        <v>R73</v>
      </c>
      <c r="R93" s="123">
        <v>23.9</v>
      </c>
      <c r="S93" s="123">
        <v>30.9</v>
      </c>
      <c r="T93" s="123">
        <v>24.8</v>
      </c>
      <c r="U93" s="123">
        <v>21.9</v>
      </c>
      <c r="V93" s="123" t="s">
        <v>2201</v>
      </c>
      <c r="W93" s="126" t="s">
        <v>2190</v>
      </c>
      <c r="X93" s="126" t="s">
        <v>2182</v>
      </c>
      <c r="Y93" s="126"/>
      <c r="Z93" s="123">
        <v>39.4</v>
      </c>
      <c r="AA93" s="123" t="s">
        <v>2245</v>
      </c>
      <c r="AB93" s="123">
        <v>6.1</v>
      </c>
      <c r="AC93" s="123">
        <v>1</v>
      </c>
      <c r="AD93" s="123"/>
    </row>
    <row r="94" spans="1:30">
      <c r="A94" s="121">
        <v>92</v>
      </c>
      <c r="B94" s="122" t="s">
        <v>2271</v>
      </c>
      <c r="C94" s="122" t="s">
        <v>2304</v>
      </c>
      <c r="D94" s="122" t="s">
        <v>2301</v>
      </c>
      <c r="E94" s="124">
        <v>42767</v>
      </c>
      <c r="F94" s="125">
        <v>0.49305555555555558</v>
      </c>
      <c r="G94" s="124">
        <v>42819</v>
      </c>
      <c r="H94" s="125">
        <v>0.40277777777777773</v>
      </c>
      <c r="I94" s="123">
        <v>901</v>
      </c>
      <c r="J94" s="123">
        <v>529</v>
      </c>
      <c r="K94" s="142" t="str">
        <f t="shared" si="4"/>
        <v>G529</v>
      </c>
      <c r="L94" s="123">
        <v>445</v>
      </c>
      <c r="M94" s="142" t="str">
        <f t="shared" si="5"/>
        <v>R445</v>
      </c>
      <c r="N94" s="123">
        <v>763</v>
      </c>
      <c r="O94" s="142" t="str">
        <f t="shared" si="6"/>
        <v>G763</v>
      </c>
      <c r="P94" s="129">
        <v>4</v>
      </c>
      <c r="Q94" s="142" t="str">
        <f t="shared" si="7"/>
        <v>R4</v>
      </c>
      <c r="R94" s="129">
        <v>22.3</v>
      </c>
      <c r="S94" s="129">
        <v>31.7</v>
      </c>
      <c r="T94" s="123">
        <v>22.9</v>
      </c>
      <c r="U94" s="123">
        <v>21.2</v>
      </c>
      <c r="V94" s="123" t="s">
        <v>2190</v>
      </c>
      <c r="W94" s="126" t="s">
        <v>2190</v>
      </c>
      <c r="X94" s="126" t="s">
        <v>2182</v>
      </c>
      <c r="Y94" s="126" t="s">
        <v>2182</v>
      </c>
      <c r="Z94" s="123">
        <v>24.8</v>
      </c>
      <c r="AA94" s="123" t="s">
        <v>2245</v>
      </c>
      <c r="AB94" s="123">
        <v>7.7</v>
      </c>
      <c r="AC94" s="123">
        <v>1</v>
      </c>
      <c r="AD94" s="123"/>
    </row>
    <row r="95" spans="1:30">
      <c r="A95" s="121">
        <v>93</v>
      </c>
      <c r="B95" s="122" t="s">
        <v>2271</v>
      </c>
      <c r="C95" s="122" t="s">
        <v>2305</v>
      </c>
      <c r="D95" s="122" t="s">
        <v>2301</v>
      </c>
      <c r="E95" s="124">
        <v>42767</v>
      </c>
      <c r="F95" s="125">
        <v>0.49652777777777773</v>
      </c>
      <c r="G95" s="124">
        <v>42819</v>
      </c>
      <c r="H95" s="125">
        <v>0.4375</v>
      </c>
      <c r="I95" s="123">
        <v>902</v>
      </c>
      <c r="J95" s="123">
        <v>636</v>
      </c>
      <c r="K95" s="142" t="str">
        <f t="shared" si="4"/>
        <v>G636</v>
      </c>
      <c r="L95" s="123">
        <v>12</v>
      </c>
      <c r="M95" s="142" t="str">
        <f t="shared" si="5"/>
        <v>R12</v>
      </c>
      <c r="N95" s="123">
        <v>424</v>
      </c>
      <c r="O95" s="142" t="str">
        <f t="shared" si="6"/>
        <v>G424</v>
      </c>
      <c r="P95" s="123">
        <v>136</v>
      </c>
      <c r="Q95" s="142" t="str">
        <f t="shared" si="7"/>
        <v>R136</v>
      </c>
      <c r="R95" s="123">
        <v>22.9</v>
      </c>
      <c r="S95" s="123">
        <v>29.6</v>
      </c>
      <c r="T95" s="123">
        <v>24.1</v>
      </c>
      <c r="U95" s="123">
        <v>20.9</v>
      </c>
      <c r="V95" s="123" t="s">
        <v>2182</v>
      </c>
      <c r="W95" s="126" t="s">
        <v>2174</v>
      </c>
      <c r="X95" s="126" t="s">
        <v>2182</v>
      </c>
      <c r="Y95" s="126" t="s">
        <v>2182</v>
      </c>
      <c r="Z95" s="123">
        <v>40</v>
      </c>
      <c r="AA95" s="123" t="s">
        <v>2245</v>
      </c>
      <c r="AB95" s="123">
        <v>6.6</v>
      </c>
      <c r="AC95" s="123">
        <v>1</v>
      </c>
      <c r="AD95" s="123"/>
    </row>
    <row r="96" spans="1:30">
      <c r="A96" s="168">
        <v>94</v>
      </c>
      <c r="B96" s="169" t="s">
        <v>2271</v>
      </c>
      <c r="C96" s="169" t="s">
        <v>2306</v>
      </c>
      <c r="D96" s="169" t="s">
        <v>2301</v>
      </c>
      <c r="E96" s="170">
        <v>42767</v>
      </c>
      <c r="F96" s="173">
        <v>0.5</v>
      </c>
      <c r="G96" s="124">
        <v>42819</v>
      </c>
      <c r="H96" s="168"/>
      <c r="I96" s="168">
        <v>903</v>
      </c>
      <c r="J96" s="168">
        <v>534</v>
      </c>
      <c r="K96" s="142" t="str">
        <f t="shared" si="4"/>
        <v>G534</v>
      </c>
      <c r="L96" s="168">
        <v>244</v>
      </c>
      <c r="M96" s="142" t="str">
        <f t="shared" si="5"/>
        <v>R244</v>
      </c>
      <c r="N96" s="168">
        <v>588</v>
      </c>
      <c r="O96" s="142" t="str">
        <f t="shared" si="6"/>
        <v>G588</v>
      </c>
      <c r="P96" s="168">
        <v>358</v>
      </c>
      <c r="Q96" s="142" t="str">
        <f t="shared" si="7"/>
        <v>R358</v>
      </c>
      <c r="R96" s="168">
        <v>22</v>
      </c>
      <c r="S96" s="168">
        <v>36.200000000000003</v>
      </c>
      <c r="T96" s="168"/>
      <c r="U96" s="168"/>
      <c r="V96" s="168"/>
      <c r="W96" s="171"/>
      <c r="X96" s="171"/>
      <c r="Y96" s="171"/>
      <c r="Z96" s="168"/>
      <c r="AA96" s="168"/>
      <c r="AB96" s="168"/>
      <c r="AC96" s="168"/>
      <c r="AD96" s="168"/>
    </row>
    <row r="97" spans="1:31">
      <c r="A97" s="121">
        <v>95</v>
      </c>
      <c r="B97" s="122" t="s">
        <v>2271</v>
      </c>
      <c r="C97" s="122" t="s">
        <v>2307</v>
      </c>
      <c r="D97" s="122" t="s">
        <v>2301</v>
      </c>
      <c r="E97" s="124">
        <v>42767</v>
      </c>
      <c r="F97" s="125">
        <v>0.5</v>
      </c>
      <c r="G97" s="124">
        <v>42819</v>
      </c>
      <c r="H97" s="125">
        <v>0.44444444444444442</v>
      </c>
      <c r="I97" s="123">
        <v>904</v>
      </c>
      <c r="J97" s="123">
        <v>641</v>
      </c>
      <c r="K97" s="142" t="str">
        <f t="shared" si="4"/>
        <v>G641</v>
      </c>
      <c r="L97" s="123">
        <v>360</v>
      </c>
      <c r="M97" s="142" t="str">
        <f t="shared" si="5"/>
        <v>R360</v>
      </c>
      <c r="N97" s="123">
        <v>486</v>
      </c>
      <c r="O97" s="142" t="str">
        <f t="shared" si="6"/>
        <v>G486</v>
      </c>
      <c r="P97" s="123">
        <v>547</v>
      </c>
      <c r="Q97" s="142" t="str">
        <f t="shared" si="7"/>
        <v>R547</v>
      </c>
      <c r="R97" s="123">
        <v>23</v>
      </c>
      <c r="S97" s="123">
        <v>37.6</v>
      </c>
      <c r="T97" s="123">
        <v>23.4</v>
      </c>
      <c r="U97" s="123">
        <v>20.100000000000001</v>
      </c>
      <c r="V97" s="123" t="s">
        <v>2225</v>
      </c>
      <c r="W97" s="126" t="s">
        <v>2195</v>
      </c>
      <c r="X97" s="126" t="s">
        <v>2182</v>
      </c>
      <c r="Y97" s="126" t="s">
        <v>2182</v>
      </c>
      <c r="Z97" s="123">
        <v>15.2</v>
      </c>
      <c r="AA97" s="123" t="s">
        <v>2245</v>
      </c>
      <c r="AB97" s="123">
        <v>5.4</v>
      </c>
      <c r="AC97" s="123">
        <v>0</v>
      </c>
      <c r="AD97" s="123"/>
    </row>
    <row r="98" spans="1:31">
      <c r="A98" s="121">
        <v>96</v>
      </c>
      <c r="B98" s="122" t="s">
        <v>2271</v>
      </c>
      <c r="C98" s="122" t="s">
        <v>2308</v>
      </c>
      <c r="D98" s="122" t="s">
        <v>2301</v>
      </c>
      <c r="E98" s="124">
        <v>42767</v>
      </c>
      <c r="F98" s="125">
        <v>0.50347222222222221</v>
      </c>
      <c r="G98" s="124">
        <v>42819</v>
      </c>
      <c r="H98" s="125">
        <v>0.4513888888888889</v>
      </c>
      <c r="I98" s="123">
        <v>905</v>
      </c>
      <c r="J98" s="123">
        <v>479</v>
      </c>
      <c r="K98" s="142" t="str">
        <f t="shared" si="4"/>
        <v>G479</v>
      </c>
      <c r="L98" s="123">
        <v>318</v>
      </c>
      <c r="M98" s="142" t="str">
        <f t="shared" si="5"/>
        <v>R318</v>
      </c>
      <c r="N98" s="123">
        <v>545</v>
      </c>
      <c r="O98" s="142" t="str">
        <f t="shared" si="6"/>
        <v>G545</v>
      </c>
      <c r="P98" s="123">
        <v>588</v>
      </c>
      <c r="Q98" s="142" t="str">
        <f t="shared" si="7"/>
        <v>R588</v>
      </c>
      <c r="R98" s="123">
        <v>24.6</v>
      </c>
      <c r="S98" s="123">
        <v>13.2</v>
      </c>
      <c r="T98" s="123">
        <v>24</v>
      </c>
      <c r="U98" s="123">
        <v>20.399999999999999</v>
      </c>
      <c r="V98" s="123" t="s">
        <v>2182</v>
      </c>
      <c r="W98" s="126" t="s">
        <v>2190</v>
      </c>
      <c r="X98" s="126" t="s">
        <v>2182</v>
      </c>
      <c r="Y98" s="126"/>
      <c r="Z98" s="123">
        <v>34.4</v>
      </c>
      <c r="AA98" s="123" t="s">
        <v>2245</v>
      </c>
      <c r="AB98" s="123">
        <v>4</v>
      </c>
      <c r="AC98" s="123">
        <v>0</v>
      </c>
      <c r="AD98" s="123"/>
    </row>
    <row r="99" spans="1:31">
      <c r="A99" s="121">
        <v>97</v>
      </c>
      <c r="B99" s="122" t="s">
        <v>2650</v>
      </c>
      <c r="C99" s="122" t="s">
        <v>2310</v>
      </c>
      <c r="D99" s="122" t="s">
        <v>2173</v>
      </c>
      <c r="E99" s="124">
        <v>42762</v>
      </c>
      <c r="F99" s="125">
        <v>0.61111111111111105</v>
      </c>
      <c r="G99" s="124">
        <v>42816</v>
      </c>
      <c r="H99" s="125">
        <v>0.53472222222222221</v>
      </c>
      <c r="I99" s="123">
        <v>718</v>
      </c>
      <c r="J99" s="123">
        <v>741</v>
      </c>
      <c r="K99" s="142" t="str">
        <f t="shared" si="4"/>
        <v>G741</v>
      </c>
      <c r="L99" s="123">
        <v>518</v>
      </c>
      <c r="M99" s="142" t="str">
        <f t="shared" si="5"/>
        <v>R518</v>
      </c>
      <c r="N99" s="123">
        <v>847</v>
      </c>
      <c r="O99" s="142" t="str">
        <f t="shared" si="6"/>
        <v>G847</v>
      </c>
      <c r="P99" s="123">
        <v>576</v>
      </c>
      <c r="Q99" s="142" t="str">
        <f t="shared" si="7"/>
        <v>R576</v>
      </c>
      <c r="R99" s="123">
        <v>30.3</v>
      </c>
      <c r="S99" s="123">
        <v>10</v>
      </c>
      <c r="T99" s="123">
        <v>27.2</v>
      </c>
      <c r="U99" s="123">
        <v>28.5</v>
      </c>
      <c r="V99" s="123"/>
      <c r="W99" s="126" t="s">
        <v>2190</v>
      </c>
      <c r="X99" s="126"/>
      <c r="Y99" s="126"/>
      <c r="Z99" s="123">
        <v>8.9</v>
      </c>
      <c r="AA99" s="123" t="s">
        <v>2223</v>
      </c>
      <c r="AB99" s="123">
        <v>2.4</v>
      </c>
      <c r="AC99" s="123">
        <v>1</v>
      </c>
      <c r="AD99" s="123"/>
    </row>
    <row r="100" spans="1:31">
      <c r="A100" s="121">
        <v>98</v>
      </c>
      <c r="B100" s="122" t="s">
        <v>2650</v>
      </c>
      <c r="C100" s="122" t="s">
        <v>2311</v>
      </c>
      <c r="D100" s="122" t="s">
        <v>2173</v>
      </c>
      <c r="E100" s="124">
        <v>42762</v>
      </c>
      <c r="F100" s="125">
        <v>0.61111111111111105</v>
      </c>
      <c r="G100" s="124">
        <v>42816</v>
      </c>
      <c r="H100" s="125">
        <v>0.53819444444444442</v>
      </c>
      <c r="I100" s="123">
        <v>719</v>
      </c>
      <c r="J100" s="123">
        <v>610</v>
      </c>
      <c r="K100" s="142" t="str">
        <f t="shared" si="4"/>
        <v>G610</v>
      </c>
      <c r="L100" s="123">
        <v>489</v>
      </c>
      <c r="M100" s="142" t="str">
        <f t="shared" si="5"/>
        <v>R489</v>
      </c>
      <c r="N100" s="123">
        <v>730</v>
      </c>
      <c r="O100" s="142" t="str">
        <f t="shared" si="6"/>
        <v>G730</v>
      </c>
      <c r="P100" s="123">
        <v>561</v>
      </c>
      <c r="Q100" s="142" t="str">
        <f t="shared" si="7"/>
        <v>R561</v>
      </c>
      <c r="R100" s="123">
        <v>32.6</v>
      </c>
      <c r="S100" s="123">
        <v>9.8000000000000007</v>
      </c>
      <c r="T100" s="123">
        <v>27.1</v>
      </c>
      <c r="U100" s="123">
        <v>34.700000000000003</v>
      </c>
      <c r="V100" s="123"/>
      <c r="W100" s="126"/>
      <c r="X100" s="126"/>
      <c r="Y100" s="126"/>
      <c r="Z100" s="123">
        <v>4.45</v>
      </c>
      <c r="AA100" s="123" t="s">
        <v>2223</v>
      </c>
      <c r="AB100" s="123">
        <v>7.8</v>
      </c>
      <c r="AC100" s="123">
        <v>1</v>
      </c>
      <c r="AD100" s="123"/>
    </row>
    <row r="101" spans="1:31">
      <c r="A101" s="121">
        <v>99</v>
      </c>
      <c r="B101" s="122" t="s">
        <v>2650</v>
      </c>
      <c r="C101" s="122" t="s">
        <v>2312</v>
      </c>
      <c r="D101" s="122" t="s">
        <v>2173</v>
      </c>
      <c r="E101" s="124">
        <v>42762</v>
      </c>
      <c r="F101" s="125">
        <v>0.61458333333333337</v>
      </c>
      <c r="G101" s="124">
        <v>42816</v>
      </c>
      <c r="H101" s="125">
        <v>0.54166666666666663</v>
      </c>
      <c r="I101" s="123">
        <v>720</v>
      </c>
      <c r="J101" s="123">
        <v>765</v>
      </c>
      <c r="K101" s="142" t="str">
        <f t="shared" si="4"/>
        <v>G765</v>
      </c>
      <c r="L101" s="123">
        <v>549</v>
      </c>
      <c r="M101" s="142" t="str">
        <f t="shared" si="5"/>
        <v>R549</v>
      </c>
      <c r="N101" s="123">
        <v>691</v>
      </c>
      <c r="O101" s="142" t="str">
        <f t="shared" si="6"/>
        <v>G691</v>
      </c>
      <c r="P101" s="123">
        <v>496</v>
      </c>
      <c r="Q101" s="142" t="str">
        <f t="shared" si="7"/>
        <v>R496</v>
      </c>
      <c r="R101" s="123">
        <v>35.6</v>
      </c>
      <c r="S101" s="123">
        <v>8.9</v>
      </c>
      <c r="T101" s="123">
        <v>26.1</v>
      </c>
      <c r="U101" s="123">
        <v>27</v>
      </c>
      <c r="V101" s="123" t="s">
        <v>2182</v>
      </c>
      <c r="W101" s="126" t="s">
        <v>2182</v>
      </c>
      <c r="X101" s="126"/>
      <c r="Y101" s="126"/>
      <c r="Z101" s="123">
        <v>2.2999999999999998</v>
      </c>
      <c r="AA101" s="123" t="s">
        <v>2223</v>
      </c>
      <c r="AB101" s="123">
        <v>5.0999999999999996</v>
      </c>
      <c r="AC101" s="123">
        <v>0</v>
      </c>
      <c r="AD101" s="123"/>
    </row>
    <row r="102" spans="1:31">
      <c r="A102" s="121">
        <v>100</v>
      </c>
      <c r="B102" s="122" t="s">
        <v>2650</v>
      </c>
      <c r="C102" s="122" t="s">
        <v>2313</v>
      </c>
      <c r="D102" s="122" t="s">
        <v>2173</v>
      </c>
      <c r="E102" s="124">
        <v>42762</v>
      </c>
      <c r="F102" s="125">
        <v>0.61805555555555558</v>
      </c>
      <c r="G102" s="124">
        <v>42816</v>
      </c>
      <c r="H102" s="125">
        <v>0.54513888888888895</v>
      </c>
      <c r="I102" s="123">
        <v>721</v>
      </c>
      <c r="J102" s="123">
        <v>728</v>
      </c>
      <c r="K102" s="142" t="str">
        <f t="shared" si="4"/>
        <v>G728</v>
      </c>
      <c r="L102" s="123">
        <v>500</v>
      </c>
      <c r="M102" s="142" t="str">
        <f t="shared" si="5"/>
        <v>R500</v>
      </c>
      <c r="N102" s="123">
        <v>828</v>
      </c>
      <c r="O102" s="142" t="str">
        <f t="shared" si="6"/>
        <v>G828</v>
      </c>
      <c r="P102" s="123">
        <v>497</v>
      </c>
      <c r="Q102" s="142" t="str">
        <f t="shared" si="7"/>
        <v>R497</v>
      </c>
      <c r="R102" s="123">
        <v>34.4</v>
      </c>
      <c r="S102" s="123">
        <v>8.9</v>
      </c>
      <c r="T102" s="123">
        <v>25.3</v>
      </c>
      <c r="U102" s="123">
        <v>24.1</v>
      </c>
      <c r="V102" s="123" t="s">
        <v>2314</v>
      </c>
      <c r="W102" s="126" t="s">
        <v>2190</v>
      </c>
      <c r="X102" s="126"/>
      <c r="Y102" s="126"/>
      <c r="Z102" s="123">
        <v>15</v>
      </c>
      <c r="AA102" s="123" t="s">
        <v>2223</v>
      </c>
      <c r="AB102" s="123">
        <v>1.6</v>
      </c>
      <c r="AC102" s="123">
        <v>1</v>
      </c>
      <c r="AD102" s="123"/>
    </row>
    <row r="103" spans="1:31">
      <c r="A103" s="121">
        <v>101</v>
      </c>
      <c r="B103" s="122" t="s">
        <v>2650</v>
      </c>
      <c r="C103" s="122" t="s">
        <v>2315</v>
      </c>
      <c r="D103" s="122" t="s">
        <v>2173</v>
      </c>
      <c r="E103" s="124">
        <v>42762</v>
      </c>
      <c r="F103" s="125">
        <v>0.61805555555555558</v>
      </c>
      <c r="G103" s="124">
        <v>42816</v>
      </c>
      <c r="H103" s="125">
        <v>0.54861111111111105</v>
      </c>
      <c r="I103" s="123">
        <v>722</v>
      </c>
      <c r="J103" s="123">
        <v>808</v>
      </c>
      <c r="K103" s="142" t="str">
        <f t="shared" si="4"/>
        <v>G808</v>
      </c>
      <c r="L103" s="123">
        <v>482</v>
      </c>
      <c r="M103" s="142" t="str">
        <f t="shared" si="5"/>
        <v>R482</v>
      </c>
      <c r="N103" s="123">
        <v>875</v>
      </c>
      <c r="O103" s="142" t="str">
        <f t="shared" si="6"/>
        <v>G875</v>
      </c>
      <c r="P103" s="123">
        <v>10</v>
      </c>
      <c r="Q103" s="142" t="str">
        <f t="shared" si="7"/>
        <v>R10</v>
      </c>
      <c r="R103" s="123">
        <v>34.700000000000003</v>
      </c>
      <c r="S103" s="123">
        <v>11.3</v>
      </c>
      <c r="T103" s="123">
        <v>27.6</v>
      </c>
      <c r="U103" s="123">
        <v>33.799999999999997</v>
      </c>
      <c r="V103" s="123" t="s">
        <v>2174</v>
      </c>
      <c r="W103" s="126"/>
      <c r="X103" s="126"/>
      <c r="Y103" s="126"/>
      <c r="Z103" s="123">
        <v>17</v>
      </c>
      <c r="AA103" s="123" t="s">
        <v>2223</v>
      </c>
      <c r="AB103" s="123">
        <v>4.3499999999999996</v>
      </c>
      <c r="AC103" s="123">
        <v>1</v>
      </c>
      <c r="AD103" s="123"/>
    </row>
    <row r="104" spans="1:31">
      <c r="A104" s="121">
        <v>102</v>
      </c>
      <c r="B104" s="122" t="s">
        <v>2650</v>
      </c>
      <c r="C104" s="122" t="s">
        <v>2316</v>
      </c>
      <c r="D104" s="122" t="s">
        <v>2173</v>
      </c>
      <c r="E104" s="124">
        <v>42762</v>
      </c>
      <c r="F104" s="125">
        <v>0.62152777777777779</v>
      </c>
      <c r="G104" s="124">
        <v>42816</v>
      </c>
      <c r="H104" s="125">
        <v>0.54861111111111105</v>
      </c>
      <c r="I104" s="123">
        <v>723</v>
      </c>
      <c r="J104" s="123">
        <v>892</v>
      </c>
      <c r="K104" s="142" t="str">
        <f t="shared" si="4"/>
        <v>G892</v>
      </c>
      <c r="L104" s="123">
        <v>569</v>
      </c>
      <c r="M104" s="142" t="str">
        <f t="shared" si="5"/>
        <v>R569</v>
      </c>
      <c r="N104" s="123">
        <v>824</v>
      </c>
      <c r="O104" s="142" t="str">
        <f t="shared" si="6"/>
        <v>G824</v>
      </c>
      <c r="P104" s="123">
        <v>26</v>
      </c>
      <c r="Q104" s="142" t="str">
        <f t="shared" si="7"/>
        <v>R26</v>
      </c>
      <c r="R104" s="123">
        <v>36.6</v>
      </c>
      <c r="S104" s="123">
        <v>7.4</v>
      </c>
      <c r="T104" s="123">
        <v>27</v>
      </c>
      <c r="U104" s="123">
        <v>34.799999999999997</v>
      </c>
      <c r="V104" s="123"/>
      <c r="W104" s="126"/>
      <c r="X104" s="126"/>
      <c r="Y104" s="126"/>
      <c r="Z104" s="123">
        <v>21</v>
      </c>
      <c r="AA104" s="123" t="s">
        <v>2223</v>
      </c>
      <c r="AB104" s="123">
        <v>7.7</v>
      </c>
      <c r="AC104" s="123">
        <v>1</v>
      </c>
      <c r="AD104" s="123"/>
    </row>
    <row r="105" spans="1:31">
      <c r="A105" s="121">
        <v>103</v>
      </c>
      <c r="B105" s="122" t="s">
        <v>2650</v>
      </c>
      <c r="C105" s="122" t="s">
        <v>2317</v>
      </c>
      <c r="D105" s="122" t="s">
        <v>2173</v>
      </c>
      <c r="E105" s="124">
        <v>42762</v>
      </c>
      <c r="F105" s="125">
        <v>0.62152777777777779</v>
      </c>
      <c r="G105" s="124">
        <v>42816</v>
      </c>
      <c r="H105" s="125">
        <v>0.54861111111111105</v>
      </c>
      <c r="I105" s="123">
        <v>724</v>
      </c>
      <c r="J105" s="123">
        <v>869</v>
      </c>
      <c r="K105" s="142" t="str">
        <f t="shared" si="4"/>
        <v>G869</v>
      </c>
      <c r="L105" s="123">
        <v>430</v>
      </c>
      <c r="M105" s="142" t="str">
        <f t="shared" si="5"/>
        <v>R430</v>
      </c>
      <c r="N105" s="123">
        <v>692</v>
      </c>
      <c r="O105" s="142" t="str">
        <f t="shared" si="6"/>
        <v>G692</v>
      </c>
      <c r="P105" s="123">
        <v>494</v>
      </c>
      <c r="Q105" s="142" t="str">
        <f t="shared" si="7"/>
        <v>R494</v>
      </c>
      <c r="R105" s="123">
        <v>34.299999999999997</v>
      </c>
      <c r="S105" s="123">
        <v>9.8000000000000007</v>
      </c>
      <c r="T105" s="123">
        <v>26.2</v>
      </c>
      <c r="U105" s="123">
        <v>31.1</v>
      </c>
      <c r="V105" s="123"/>
      <c r="W105" s="126"/>
      <c r="X105" s="126"/>
      <c r="Y105" s="126" t="s">
        <v>2182</v>
      </c>
      <c r="Z105" s="123">
        <v>16</v>
      </c>
      <c r="AA105" s="123" t="s">
        <v>2223</v>
      </c>
      <c r="AB105" s="123">
        <v>3.25</v>
      </c>
      <c r="AC105" s="123">
        <v>1</v>
      </c>
      <c r="AD105" s="123"/>
      <c r="AE105" s="92"/>
    </row>
    <row r="106" spans="1:31">
      <c r="A106" s="121">
        <v>104</v>
      </c>
      <c r="B106" s="122" t="s">
        <v>2650</v>
      </c>
      <c r="C106" s="122" t="s">
        <v>2318</v>
      </c>
      <c r="D106" s="122" t="s">
        <v>2173</v>
      </c>
      <c r="E106" s="124">
        <v>42762</v>
      </c>
      <c r="F106" s="125">
        <v>0.625</v>
      </c>
      <c r="G106" s="124">
        <v>42816</v>
      </c>
      <c r="H106" s="125">
        <v>0.54861111111111105</v>
      </c>
      <c r="I106" s="123">
        <v>725</v>
      </c>
      <c r="J106" s="123">
        <v>881</v>
      </c>
      <c r="K106" s="142" t="str">
        <f t="shared" si="4"/>
        <v>G881</v>
      </c>
      <c r="L106" s="123">
        <v>577</v>
      </c>
      <c r="M106" s="142" t="str">
        <f t="shared" si="5"/>
        <v>R577</v>
      </c>
      <c r="N106" s="123">
        <v>806</v>
      </c>
      <c r="O106" s="142" t="str">
        <f t="shared" si="6"/>
        <v>G806</v>
      </c>
      <c r="P106" s="123">
        <v>475</v>
      </c>
      <c r="Q106" s="142" t="str">
        <f t="shared" si="7"/>
        <v>R475</v>
      </c>
      <c r="R106" s="123">
        <v>32.5</v>
      </c>
      <c r="S106" s="123">
        <v>10</v>
      </c>
      <c r="T106" s="123">
        <v>26.1</v>
      </c>
      <c r="U106" s="123">
        <v>33.200000000000003</v>
      </c>
      <c r="V106" s="123"/>
      <c r="W106" s="126"/>
      <c r="X106" s="126"/>
      <c r="Y106" s="126"/>
      <c r="Z106" s="123">
        <v>17</v>
      </c>
      <c r="AA106" s="123" t="s">
        <v>2223</v>
      </c>
      <c r="AB106" s="123">
        <v>10.5</v>
      </c>
      <c r="AC106" s="123">
        <v>1</v>
      </c>
      <c r="AD106" s="123"/>
    </row>
    <row r="107" spans="1:31">
      <c r="A107" s="121">
        <v>105</v>
      </c>
      <c r="B107" s="122" t="s">
        <v>2650</v>
      </c>
      <c r="C107" s="122" t="s">
        <v>2319</v>
      </c>
      <c r="D107" s="122" t="s">
        <v>2189</v>
      </c>
      <c r="E107" s="124">
        <v>42762</v>
      </c>
      <c r="F107" s="125">
        <v>0.63194444444444442</v>
      </c>
      <c r="G107" s="124">
        <v>42816</v>
      </c>
      <c r="H107" s="125">
        <v>0.52083333333333337</v>
      </c>
      <c r="I107" s="123">
        <v>726</v>
      </c>
      <c r="J107" s="123">
        <v>729</v>
      </c>
      <c r="K107" s="142" t="str">
        <f t="shared" si="4"/>
        <v>G729</v>
      </c>
      <c r="L107" s="123">
        <v>548</v>
      </c>
      <c r="M107" s="142" t="str">
        <f t="shared" si="5"/>
        <v>R548</v>
      </c>
      <c r="N107" s="123">
        <v>861</v>
      </c>
      <c r="O107" s="142" t="str">
        <f t="shared" si="6"/>
        <v>G861</v>
      </c>
      <c r="P107">
        <v>540</v>
      </c>
      <c r="Q107" s="142" t="str">
        <f t="shared" si="7"/>
        <v>R540</v>
      </c>
      <c r="R107" s="123">
        <v>36.200000000000003</v>
      </c>
      <c r="S107" s="123">
        <v>4.5999999999999996</v>
      </c>
      <c r="T107" s="123">
        <v>28.1</v>
      </c>
      <c r="U107" s="123">
        <v>18.100000000000001</v>
      </c>
      <c r="V107" s="123"/>
      <c r="W107" s="126" t="s">
        <v>2182</v>
      </c>
      <c r="X107" s="126"/>
      <c r="Y107" s="126" t="s">
        <v>2182</v>
      </c>
      <c r="Z107" s="123">
        <v>23.5</v>
      </c>
      <c r="AA107" s="123" t="s">
        <v>2175</v>
      </c>
      <c r="AB107" s="123">
        <v>5.5</v>
      </c>
      <c r="AC107" s="123">
        <v>0</v>
      </c>
      <c r="AD107" s="123"/>
    </row>
    <row r="108" spans="1:31">
      <c r="A108" s="121">
        <v>106</v>
      </c>
      <c r="B108" s="122" t="s">
        <v>2650</v>
      </c>
      <c r="C108" s="122" t="s">
        <v>2320</v>
      </c>
      <c r="D108" s="122" t="s">
        <v>2189</v>
      </c>
      <c r="E108" s="124">
        <v>42762</v>
      </c>
      <c r="F108" s="125">
        <v>0.63194444444444442</v>
      </c>
      <c r="G108" s="124">
        <v>42816</v>
      </c>
      <c r="H108" s="125">
        <v>0.51736111111111105</v>
      </c>
      <c r="I108" s="123">
        <v>727</v>
      </c>
      <c r="J108" s="123">
        <v>837</v>
      </c>
      <c r="K108" s="142" t="str">
        <f t="shared" si="4"/>
        <v>G837</v>
      </c>
      <c r="L108" s="123">
        <v>590</v>
      </c>
      <c r="M108" s="142" t="str">
        <f t="shared" si="5"/>
        <v>R590</v>
      </c>
      <c r="N108" s="123">
        <v>738</v>
      </c>
      <c r="O108" s="142" t="str">
        <f t="shared" si="6"/>
        <v>G738</v>
      </c>
      <c r="P108" s="123">
        <v>593</v>
      </c>
      <c r="Q108" s="142" t="str">
        <f t="shared" si="7"/>
        <v>R593</v>
      </c>
      <c r="R108" s="123">
        <v>37.1</v>
      </c>
      <c r="S108" s="123">
        <v>8.3000000000000007</v>
      </c>
      <c r="T108" s="123">
        <v>28.8</v>
      </c>
      <c r="U108" s="123">
        <v>16.5</v>
      </c>
      <c r="V108" s="123" t="s">
        <v>2182</v>
      </c>
      <c r="W108" s="126" t="s">
        <v>2182</v>
      </c>
      <c r="X108" s="126" t="s">
        <v>2182</v>
      </c>
      <c r="Y108" s="126" t="s">
        <v>2182</v>
      </c>
      <c r="Z108" s="123">
        <v>17</v>
      </c>
      <c r="AA108" s="123" t="s">
        <v>2175</v>
      </c>
      <c r="AB108" s="123">
        <v>8.6</v>
      </c>
      <c r="AC108" s="123">
        <v>0</v>
      </c>
      <c r="AD108" s="123"/>
    </row>
    <row r="109" spans="1:31">
      <c r="A109" s="121">
        <v>107</v>
      </c>
      <c r="B109" s="122" t="s">
        <v>2650</v>
      </c>
      <c r="C109" s="122" t="s">
        <v>2321</v>
      </c>
      <c r="D109" s="122" t="s">
        <v>2189</v>
      </c>
      <c r="E109" s="124">
        <v>42762</v>
      </c>
      <c r="F109" s="125">
        <v>0.63541666666666663</v>
      </c>
      <c r="G109" s="124">
        <v>42816</v>
      </c>
      <c r="H109" s="125">
        <v>0.52430555555555558</v>
      </c>
      <c r="I109" s="123">
        <v>728</v>
      </c>
      <c r="J109" s="123">
        <v>688</v>
      </c>
      <c r="K109" s="142" t="str">
        <f t="shared" si="4"/>
        <v>G688</v>
      </c>
      <c r="L109" s="123">
        <v>574</v>
      </c>
      <c r="M109" s="142" t="str">
        <f t="shared" si="5"/>
        <v>R574</v>
      </c>
      <c r="N109" s="123">
        <v>676</v>
      </c>
      <c r="O109" s="142" t="str">
        <f t="shared" si="6"/>
        <v>G676</v>
      </c>
      <c r="P109" s="123">
        <v>510</v>
      </c>
      <c r="Q109" s="142" t="str">
        <f t="shared" si="7"/>
        <v>R510</v>
      </c>
      <c r="R109" s="123">
        <v>35.299999999999997</v>
      </c>
      <c r="S109" s="123">
        <v>4.7</v>
      </c>
      <c r="T109" s="123">
        <v>29.6</v>
      </c>
      <c r="U109" s="123">
        <v>17.899999999999999</v>
      </c>
      <c r="V109" s="123" t="s">
        <v>2182</v>
      </c>
      <c r="W109" s="126"/>
      <c r="X109" s="126" t="s">
        <v>2182</v>
      </c>
      <c r="Y109" s="126"/>
      <c r="Z109" s="123">
        <v>15.5</v>
      </c>
      <c r="AA109" s="123" t="s">
        <v>2175</v>
      </c>
      <c r="AB109" s="123">
        <v>3.85</v>
      </c>
      <c r="AC109" s="123">
        <v>0</v>
      </c>
      <c r="AD109" s="123"/>
    </row>
    <row r="110" spans="1:31">
      <c r="A110" s="121">
        <v>108</v>
      </c>
      <c r="B110" s="122" t="s">
        <v>2650</v>
      </c>
      <c r="C110" s="122" t="s">
        <v>2322</v>
      </c>
      <c r="D110" s="122" t="s">
        <v>2189</v>
      </c>
      <c r="E110" s="124">
        <v>42762</v>
      </c>
      <c r="F110" s="125">
        <v>0.63541666666666663</v>
      </c>
      <c r="G110" s="124">
        <v>42816</v>
      </c>
      <c r="H110" s="125">
        <v>0.52430555555555558</v>
      </c>
      <c r="I110" s="123">
        <v>729</v>
      </c>
      <c r="J110" s="123">
        <v>883</v>
      </c>
      <c r="K110" s="142" t="str">
        <f t="shared" si="4"/>
        <v>G883</v>
      </c>
      <c r="L110" s="123">
        <v>8</v>
      </c>
      <c r="M110" s="142" t="str">
        <f t="shared" si="5"/>
        <v>R8</v>
      </c>
      <c r="N110" s="123">
        <v>845</v>
      </c>
      <c r="O110" s="142" t="str">
        <f t="shared" si="6"/>
        <v>G845</v>
      </c>
      <c r="P110" s="123">
        <v>509</v>
      </c>
      <c r="Q110" s="142" t="str">
        <f t="shared" si="7"/>
        <v>R509</v>
      </c>
      <c r="R110" s="123">
        <v>35.1</v>
      </c>
      <c r="S110" s="123">
        <v>5.5</v>
      </c>
      <c r="T110" s="123">
        <v>28</v>
      </c>
      <c r="U110" s="123">
        <v>24.7</v>
      </c>
      <c r="V110" s="123" t="s">
        <v>2182</v>
      </c>
      <c r="W110" s="126" t="s">
        <v>2174</v>
      </c>
      <c r="X110" s="126" t="s">
        <v>2182</v>
      </c>
      <c r="Y110" s="126" t="s">
        <v>2182</v>
      </c>
      <c r="Z110" s="123">
        <v>22.5</v>
      </c>
      <c r="AA110" s="123" t="s">
        <v>2175</v>
      </c>
      <c r="AB110" s="123">
        <v>9.6999999999999993</v>
      </c>
      <c r="AC110" s="123">
        <v>0</v>
      </c>
      <c r="AD110" s="123" t="s">
        <v>2323</v>
      </c>
    </row>
    <row r="111" spans="1:31">
      <c r="A111" s="121">
        <v>109</v>
      </c>
      <c r="B111" s="122" t="s">
        <v>2650</v>
      </c>
      <c r="C111" s="122" t="s">
        <v>2324</v>
      </c>
      <c r="D111" s="122" t="s">
        <v>2189</v>
      </c>
      <c r="E111" s="124">
        <v>42762</v>
      </c>
      <c r="F111" s="125">
        <v>0.63888888888888895</v>
      </c>
      <c r="G111" s="124">
        <v>42816</v>
      </c>
      <c r="H111" s="125">
        <v>0.52847222222222223</v>
      </c>
      <c r="I111" s="123">
        <v>730</v>
      </c>
      <c r="J111" s="123">
        <v>704</v>
      </c>
      <c r="K111" s="142" t="str">
        <f t="shared" si="4"/>
        <v>G704</v>
      </c>
      <c r="L111" s="123">
        <v>552</v>
      </c>
      <c r="M111" s="142" t="str">
        <f t="shared" si="5"/>
        <v>R552</v>
      </c>
      <c r="N111" s="123">
        <v>887</v>
      </c>
      <c r="O111" s="142" t="str">
        <f t="shared" si="6"/>
        <v>G887</v>
      </c>
      <c r="P111" s="123">
        <v>33</v>
      </c>
      <c r="Q111" s="142" t="str">
        <f t="shared" si="7"/>
        <v>R33</v>
      </c>
      <c r="R111" s="123">
        <v>38.200000000000003</v>
      </c>
      <c r="S111" s="123">
        <v>8.3000000000000007</v>
      </c>
      <c r="T111" s="123">
        <v>28.8</v>
      </c>
      <c r="U111" s="123">
        <v>9.6999999999999993</v>
      </c>
      <c r="V111" s="123" t="s">
        <v>2174</v>
      </c>
      <c r="W111" s="126"/>
      <c r="X111" s="126"/>
      <c r="Y111" s="126"/>
      <c r="Z111" s="123">
        <v>22.5</v>
      </c>
      <c r="AA111" s="123" t="s">
        <v>2175</v>
      </c>
      <c r="AB111" s="123">
        <v>10.5</v>
      </c>
      <c r="AC111" s="123">
        <v>0</v>
      </c>
      <c r="AD111" s="123"/>
    </row>
    <row r="112" spans="1:31">
      <c r="A112" s="121">
        <v>110</v>
      </c>
      <c r="B112" s="122" t="s">
        <v>2650</v>
      </c>
      <c r="C112" s="122" t="s">
        <v>2325</v>
      </c>
      <c r="D112" s="122" t="s">
        <v>2189</v>
      </c>
      <c r="E112" s="124">
        <v>42762</v>
      </c>
      <c r="F112" s="125">
        <v>0.64236111111111105</v>
      </c>
      <c r="G112" s="124">
        <v>42816</v>
      </c>
      <c r="H112" s="125">
        <v>0.51388888888888895</v>
      </c>
      <c r="I112" s="123">
        <v>731</v>
      </c>
      <c r="J112" s="123">
        <v>742</v>
      </c>
      <c r="K112" s="142" t="str">
        <f t="shared" si="4"/>
        <v>G742</v>
      </c>
      <c r="L112" s="123">
        <v>462</v>
      </c>
      <c r="M112" s="142" t="str">
        <f t="shared" si="5"/>
        <v>R462</v>
      </c>
      <c r="N112" s="177">
        <v>882</v>
      </c>
      <c r="O112" s="142" t="str">
        <f t="shared" si="6"/>
        <v>G882</v>
      </c>
      <c r="P112">
        <v>54</v>
      </c>
      <c r="Q112" s="142" t="str">
        <f t="shared" si="7"/>
        <v>R54</v>
      </c>
      <c r="R112" s="123">
        <v>33.6</v>
      </c>
      <c r="S112" s="123">
        <v>9.3000000000000007</v>
      </c>
      <c r="T112" s="123">
        <v>27.4</v>
      </c>
      <c r="U112" s="123">
        <v>24.6</v>
      </c>
      <c r="V112" s="123"/>
      <c r="W112" s="126"/>
      <c r="X112" s="126"/>
      <c r="Y112" s="126" t="s">
        <v>2182</v>
      </c>
      <c r="Z112" s="123">
        <v>22.5</v>
      </c>
      <c r="AA112" s="123" t="s">
        <v>2175</v>
      </c>
      <c r="AB112" s="123">
        <v>5.75</v>
      </c>
      <c r="AC112" s="123">
        <v>0</v>
      </c>
      <c r="AD112" s="123"/>
    </row>
    <row r="113" spans="1:30">
      <c r="A113" s="121">
        <v>111</v>
      </c>
      <c r="B113" s="122" t="s">
        <v>2650</v>
      </c>
      <c r="C113" s="122" t="s">
        <v>2326</v>
      </c>
      <c r="D113" s="122" t="s">
        <v>2189</v>
      </c>
      <c r="E113" s="124">
        <v>42762</v>
      </c>
      <c r="F113" s="125">
        <v>0.64236111111111105</v>
      </c>
      <c r="G113" s="124">
        <v>42816</v>
      </c>
      <c r="H113" s="125">
        <v>0.53125</v>
      </c>
      <c r="I113" s="123">
        <v>732</v>
      </c>
      <c r="J113" s="123">
        <v>831</v>
      </c>
      <c r="K113" s="142" t="str">
        <f t="shared" si="4"/>
        <v>G831</v>
      </c>
      <c r="L113" s="123">
        <v>505</v>
      </c>
      <c r="M113" s="142" t="str">
        <f t="shared" si="5"/>
        <v>R505</v>
      </c>
      <c r="N113" s="123">
        <v>695</v>
      </c>
      <c r="O113" s="142" t="str">
        <f t="shared" si="6"/>
        <v>G695</v>
      </c>
      <c r="P113" s="123">
        <v>487</v>
      </c>
      <c r="Q113" s="142" t="str">
        <f t="shared" si="7"/>
        <v>R487</v>
      </c>
      <c r="R113" s="123">
        <v>35.9</v>
      </c>
      <c r="S113" s="123">
        <v>9.5</v>
      </c>
      <c r="T113" s="123">
        <v>29.4</v>
      </c>
      <c r="U113" s="123">
        <v>12.7</v>
      </c>
      <c r="V113" s="123"/>
      <c r="W113" s="126"/>
      <c r="X113" s="126" t="s">
        <v>2182</v>
      </c>
      <c r="Y113" s="126"/>
      <c r="Z113" s="123">
        <v>26</v>
      </c>
      <c r="AA113" s="123" t="s">
        <v>2175</v>
      </c>
      <c r="AB113" s="123">
        <v>6.1</v>
      </c>
      <c r="AC113" s="123">
        <v>0</v>
      </c>
      <c r="AD113" s="123"/>
    </row>
    <row r="114" spans="1:30">
      <c r="A114" s="121">
        <v>112</v>
      </c>
      <c r="B114" s="122" t="s">
        <v>2650</v>
      </c>
      <c r="C114" s="122" t="s">
        <v>2327</v>
      </c>
      <c r="D114" s="122" t="s">
        <v>2189</v>
      </c>
      <c r="E114" s="124">
        <v>42762</v>
      </c>
      <c r="F114" s="125">
        <v>0.64583333333333337</v>
      </c>
      <c r="G114" s="124">
        <v>42816</v>
      </c>
      <c r="H114" s="125">
        <v>0.53472222222222221</v>
      </c>
      <c r="I114" s="123">
        <v>733</v>
      </c>
      <c r="J114" s="123">
        <v>899</v>
      </c>
      <c r="K114" s="142" t="str">
        <f t="shared" si="4"/>
        <v>G899</v>
      </c>
      <c r="L114" s="123">
        <v>41</v>
      </c>
      <c r="M114" s="142" t="str">
        <f t="shared" si="5"/>
        <v>R41</v>
      </c>
      <c r="N114" s="123">
        <v>852</v>
      </c>
      <c r="O114" s="142" t="str">
        <f t="shared" si="6"/>
        <v>G852</v>
      </c>
      <c r="P114" s="123">
        <v>530</v>
      </c>
      <c r="Q114" s="142" t="str">
        <f t="shared" si="7"/>
        <v>R530</v>
      </c>
      <c r="R114" s="123">
        <v>34.200000000000003</v>
      </c>
      <c r="S114" s="123">
        <v>8.6999999999999993</v>
      </c>
      <c r="T114" s="123">
        <v>28.7</v>
      </c>
      <c r="U114" s="123">
        <v>21.7</v>
      </c>
      <c r="V114" s="123" t="s">
        <v>2174</v>
      </c>
      <c r="W114" s="126" t="s">
        <v>2182</v>
      </c>
      <c r="X114" s="126"/>
      <c r="Y114" s="126"/>
      <c r="Z114" s="123">
        <v>15</v>
      </c>
      <c r="AA114" s="123" t="s">
        <v>2175</v>
      </c>
      <c r="AB114" s="123">
        <v>11.5</v>
      </c>
      <c r="AC114" s="123">
        <v>0</v>
      </c>
      <c r="AD114" s="123"/>
    </row>
    <row r="115" spans="1:30">
      <c r="A115" s="121">
        <v>113</v>
      </c>
      <c r="B115" s="122" t="s">
        <v>2650</v>
      </c>
      <c r="C115" s="122" t="s">
        <v>2328</v>
      </c>
      <c r="D115" s="122" t="s">
        <v>2203</v>
      </c>
      <c r="E115" s="124">
        <v>42762</v>
      </c>
      <c r="F115" s="125">
        <v>0.67708333333333337</v>
      </c>
      <c r="G115" s="124">
        <v>42816</v>
      </c>
      <c r="H115" s="124"/>
      <c r="I115" s="123">
        <v>739</v>
      </c>
      <c r="J115" s="123">
        <v>724</v>
      </c>
      <c r="K115" s="142" t="str">
        <f t="shared" si="4"/>
        <v>G724</v>
      </c>
      <c r="L115" s="123">
        <v>428</v>
      </c>
      <c r="M115" s="142" t="str">
        <f t="shared" si="5"/>
        <v>R428</v>
      </c>
      <c r="N115" s="123">
        <v>769</v>
      </c>
      <c r="O115" s="142" t="str">
        <f t="shared" si="6"/>
        <v>G769</v>
      </c>
      <c r="P115" s="123">
        <v>578</v>
      </c>
      <c r="Q115" s="142" t="str">
        <f t="shared" si="7"/>
        <v>R578</v>
      </c>
      <c r="R115" s="123">
        <v>32.299999999999997</v>
      </c>
      <c r="S115" s="123">
        <v>7.7</v>
      </c>
      <c r="T115" s="123">
        <v>32.5</v>
      </c>
      <c r="U115" s="123">
        <v>9.6999999999999993</v>
      </c>
      <c r="V115" s="123" t="s">
        <v>2229</v>
      </c>
      <c r="W115" s="126" t="s">
        <v>2195</v>
      </c>
      <c r="X115" s="126" t="s">
        <v>2182</v>
      </c>
      <c r="Y115" s="126" t="s">
        <v>2182</v>
      </c>
      <c r="Z115" s="123">
        <v>88.5</v>
      </c>
      <c r="AA115" s="123" t="s">
        <v>2223</v>
      </c>
      <c r="AB115" s="123">
        <v>26</v>
      </c>
      <c r="AC115" s="123">
        <v>0</v>
      </c>
      <c r="AD115" s="123"/>
    </row>
    <row r="116" spans="1:30">
      <c r="A116" s="121">
        <v>114</v>
      </c>
      <c r="B116" s="122" t="s">
        <v>2650</v>
      </c>
      <c r="C116" s="122" t="s">
        <v>2329</v>
      </c>
      <c r="D116" s="122" t="s">
        <v>2203</v>
      </c>
      <c r="E116" s="124">
        <v>42762</v>
      </c>
      <c r="F116" s="125">
        <v>0.67708333333333337</v>
      </c>
      <c r="G116" s="124">
        <v>42816</v>
      </c>
      <c r="H116" s="125">
        <v>0.72916666666666663</v>
      </c>
      <c r="I116" s="123">
        <v>740</v>
      </c>
      <c r="J116" s="123">
        <v>803</v>
      </c>
      <c r="K116" s="142" t="str">
        <f t="shared" si="4"/>
        <v>G803</v>
      </c>
      <c r="L116" s="123">
        <v>601</v>
      </c>
      <c r="M116" s="142" t="str">
        <f t="shared" si="5"/>
        <v>R601</v>
      </c>
      <c r="N116" s="123">
        <v>889</v>
      </c>
      <c r="O116" s="142" t="str">
        <f t="shared" si="6"/>
        <v>G889</v>
      </c>
      <c r="P116" s="123">
        <v>37</v>
      </c>
      <c r="Q116" s="142" t="str">
        <f t="shared" si="7"/>
        <v>R37</v>
      </c>
      <c r="R116" s="123">
        <v>30.6</v>
      </c>
      <c r="S116" s="123">
        <v>8.1</v>
      </c>
      <c r="T116" s="123">
        <v>30.3</v>
      </c>
      <c r="U116" s="145">
        <v>17.7</v>
      </c>
      <c r="V116" s="126" t="s">
        <v>2195</v>
      </c>
      <c r="W116" s="126" t="s">
        <v>2195</v>
      </c>
      <c r="X116" s="126" t="s">
        <v>2182</v>
      </c>
      <c r="Y116" s="123"/>
      <c r="Z116" s="123">
        <v>87.5</v>
      </c>
      <c r="AA116" s="123" t="s">
        <v>2223</v>
      </c>
      <c r="AB116" s="123">
        <v>16.5</v>
      </c>
      <c r="AC116" s="123">
        <v>0</v>
      </c>
      <c r="AD116" s="123"/>
    </row>
    <row r="117" spans="1:30">
      <c r="A117" s="121">
        <v>115</v>
      </c>
      <c r="B117" s="122" t="s">
        <v>2650</v>
      </c>
      <c r="C117" s="122" t="s">
        <v>2330</v>
      </c>
      <c r="D117" s="122" t="s">
        <v>2203</v>
      </c>
      <c r="E117" s="124">
        <v>42762</v>
      </c>
      <c r="F117" s="125">
        <v>0.6875</v>
      </c>
      <c r="G117" s="124">
        <v>42816</v>
      </c>
      <c r="H117" s="125">
        <v>0.72916666666666663</v>
      </c>
      <c r="I117" s="123">
        <v>741</v>
      </c>
      <c r="J117" s="123">
        <v>693</v>
      </c>
      <c r="K117" s="142" t="str">
        <f t="shared" si="4"/>
        <v>G693</v>
      </c>
      <c r="L117" s="123">
        <v>553</v>
      </c>
      <c r="M117" s="142" t="str">
        <f t="shared" si="5"/>
        <v>R553</v>
      </c>
      <c r="N117" s="123">
        <v>778</v>
      </c>
      <c r="O117" s="142" t="str">
        <f t="shared" si="6"/>
        <v>G778</v>
      </c>
      <c r="P117" s="123">
        <v>522</v>
      </c>
      <c r="Q117" s="142" t="str">
        <f t="shared" si="7"/>
        <v>R522</v>
      </c>
      <c r="R117" s="123">
        <v>32.9</v>
      </c>
      <c r="S117" s="123">
        <v>8.6999999999999993</v>
      </c>
      <c r="T117" s="123">
        <v>30.5</v>
      </c>
      <c r="U117" s="123">
        <v>11.2</v>
      </c>
      <c r="V117" s="126" t="s">
        <v>2182</v>
      </c>
      <c r="W117" s="126" t="s">
        <v>2195</v>
      </c>
      <c r="X117" s="126" t="s">
        <v>2182</v>
      </c>
      <c r="Y117" s="123" t="s">
        <v>2182</v>
      </c>
      <c r="Z117" s="123">
        <v>79.5</v>
      </c>
      <c r="AA117" s="123" t="s">
        <v>2223</v>
      </c>
      <c r="AB117" s="123">
        <v>19</v>
      </c>
      <c r="AC117" s="123">
        <v>1</v>
      </c>
      <c r="AD117" s="123"/>
    </row>
    <row r="118" spans="1:30">
      <c r="A118" s="121">
        <v>116</v>
      </c>
      <c r="B118" s="122" t="s">
        <v>2650</v>
      </c>
      <c r="C118" s="122" t="s">
        <v>2331</v>
      </c>
      <c r="D118" s="122" t="s">
        <v>2203</v>
      </c>
      <c r="E118" s="124">
        <v>42762</v>
      </c>
      <c r="F118" s="125">
        <v>0.6875</v>
      </c>
      <c r="G118" s="124">
        <v>42816</v>
      </c>
      <c r="H118" s="125">
        <v>0.72569444444444453</v>
      </c>
      <c r="I118" s="123">
        <v>742</v>
      </c>
      <c r="J118" s="123">
        <v>897</v>
      </c>
      <c r="K118" s="142" t="str">
        <f t="shared" si="4"/>
        <v>G897</v>
      </c>
      <c r="L118" s="123">
        <v>459</v>
      </c>
      <c r="M118" s="142" t="str">
        <f t="shared" si="5"/>
        <v>R459</v>
      </c>
      <c r="N118" s="123">
        <v>563</v>
      </c>
      <c r="O118" s="142" t="str">
        <f t="shared" si="6"/>
        <v>G563</v>
      </c>
      <c r="P118" s="123">
        <v>480</v>
      </c>
      <c r="Q118" s="142" t="str">
        <f t="shared" si="7"/>
        <v>R480</v>
      </c>
      <c r="R118" s="123">
        <v>20.8</v>
      </c>
      <c r="S118" s="123">
        <v>7.4</v>
      </c>
      <c r="T118" s="123">
        <v>30.4</v>
      </c>
      <c r="U118" s="144">
        <v>10.1</v>
      </c>
      <c r="V118" s="126"/>
      <c r="W118" s="126" t="s">
        <v>2195</v>
      </c>
      <c r="X118" s="126" t="s">
        <v>2182</v>
      </c>
      <c r="Y118" s="123" t="s">
        <v>2182</v>
      </c>
      <c r="Z118" s="123">
        <v>76</v>
      </c>
      <c r="AA118" s="123" t="s">
        <v>2223</v>
      </c>
      <c r="AB118" s="123">
        <v>22.5</v>
      </c>
      <c r="AC118" s="123">
        <v>1</v>
      </c>
      <c r="AD118" s="123"/>
    </row>
    <row r="119" spans="1:30">
      <c r="A119" s="121">
        <v>117</v>
      </c>
      <c r="B119" s="122" t="s">
        <v>2650</v>
      </c>
      <c r="C119" s="122" t="s">
        <v>2332</v>
      </c>
      <c r="D119" s="122" t="s">
        <v>2203</v>
      </c>
      <c r="E119" s="124">
        <v>42762</v>
      </c>
      <c r="F119" s="125">
        <v>0.70833333333333337</v>
      </c>
      <c r="G119" s="124">
        <v>42816</v>
      </c>
      <c r="H119" s="125">
        <v>0.72222222222222221</v>
      </c>
      <c r="I119" s="123">
        <v>743</v>
      </c>
      <c r="J119" s="123">
        <v>789</v>
      </c>
      <c r="K119" s="142" t="str">
        <f t="shared" si="4"/>
        <v>G789</v>
      </c>
      <c r="L119" s="123">
        <v>511</v>
      </c>
      <c r="M119" s="142" t="str">
        <f t="shared" si="5"/>
        <v>R511</v>
      </c>
      <c r="N119" s="123">
        <v>901</v>
      </c>
      <c r="O119" s="142" t="str">
        <f t="shared" si="6"/>
        <v>G901</v>
      </c>
      <c r="P119" s="123">
        <v>565</v>
      </c>
      <c r="Q119" s="142" t="str">
        <f t="shared" si="7"/>
        <v>R565</v>
      </c>
      <c r="R119" s="123">
        <v>31.6</v>
      </c>
      <c r="S119" s="123">
        <v>5.6</v>
      </c>
      <c r="T119" s="123">
        <v>31.9</v>
      </c>
      <c r="U119" s="123">
        <v>5.8</v>
      </c>
      <c r="V119" s="126" t="s">
        <v>2201</v>
      </c>
      <c r="W119" s="126" t="s">
        <v>2201</v>
      </c>
      <c r="X119" s="126" t="s">
        <v>2182</v>
      </c>
      <c r="Y119" s="123"/>
      <c r="Z119" s="123">
        <v>76</v>
      </c>
      <c r="AA119" s="123" t="s">
        <v>2223</v>
      </c>
      <c r="AB119" s="123">
        <v>23.5</v>
      </c>
      <c r="AC119" s="123">
        <v>1</v>
      </c>
      <c r="AD119" s="123"/>
    </row>
    <row r="120" spans="1:30">
      <c r="A120" s="121">
        <v>118</v>
      </c>
      <c r="B120" s="122" t="s">
        <v>2650</v>
      </c>
      <c r="C120" s="122" t="s">
        <v>2333</v>
      </c>
      <c r="D120" s="122" t="s">
        <v>2203</v>
      </c>
      <c r="E120" s="124">
        <v>42762</v>
      </c>
      <c r="F120" s="125">
        <v>0.70833333333333337</v>
      </c>
      <c r="G120" s="124">
        <v>42816</v>
      </c>
      <c r="H120" s="125">
        <v>0.71875</v>
      </c>
      <c r="I120" s="123">
        <v>744</v>
      </c>
      <c r="J120" s="123">
        <v>681</v>
      </c>
      <c r="K120" s="142" t="str">
        <f t="shared" si="4"/>
        <v>G681</v>
      </c>
      <c r="L120" s="123">
        <v>495</v>
      </c>
      <c r="M120" s="142" t="str">
        <f t="shared" si="5"/>
        <v>R495</v>
      </c>
      <c r="N120" s="123">
        <v>791</v>
      </c>
      <c r="O120" s="142" t="str">
        <f t="shared" si="6"/>
        <v>G791</v>
      </c>
      <c r="P120" s="123">
        <v>544</v>
      </c>
      <c r="Q120" s="142" t="str">
        <f t="shared" si="7"/>
        <v>R544</v>
      </c>
      <c r="R120" s="123">
        <v>32</v>
      </c>
      <c r="S120" s="123">
        <v>6.7</v>
      </c>
      <c r="T120" s="123">
        <v>29.7</v>
      </c>
      <c r="U120" s="123">
        <v>14.7</v>
      </c>
      <c r="V120" s="126" t="s">
        <v>2225</v>
      </c>
      <c r="W120" s="126" t="s">
        <v>2174</v>
      </c>
      <c r="X120" s="126" t="s">
        <v>2182</v>
      </c>
      <c r="Y120" s="123"/>
      <c r="Z120" s="123">
        <v>70.5</v>
      </c>
      <c r="AA120" s="123" t="s">
        <v>2223</v>
      </c>
      <c r="AB120" s="123">
        <v>17.5</v>
      </c>
      <c r="AC120" s="123">
        <v>1</v>
      </c>
      <c r="AD120" s="123"/>
    </row>
    <row r="121" spans="1:30">
      <c r="A121" s="121">
        <v>119</v>
      </c>
      <c r="B121" s="122" t="s">
        <v>2650</v>
      </c>
      <c r="C121" s="122" t="s">
        <v>2334</v>
      </c>
      <c r="D121" s="122" t="s">
        <v>2203</v>
      </c>
      <c r="E121" s="124">
        <v>42762</v>
      </c>
      <c r="F121" s="125">
        <v>0.70833333333333337</v>
      </c>
      <c r="G121" s="124">
        <v>42816</v>
      </c>
      <c r="H121" s="125">
        <v>0.71875</v>
      </c>
      <c r="I121" s="123">
        <v>745</v>
      </c>
      <c r="J121" s="123">
        <v>657</v>
      </c>
      <c r="K121" s="142" t="str">
        <f t="shared" si="4"/>
        <v>G657</v>
      </c>
      <c r="L121" s="123">
        <v>584</v>
      </c>
      <c r="M121" s="142" t="str">
        <f t="shared" si="5"/>
        <v>R584</v>
      </c>
      <c r="N121" s="123">
        <v>802</v>
      </c>
      <c r="O121" s="142" t="str">
        <f t="shared" si="6"/>
        <v>G802</v>
      </c>
      <c r="P121" s="123">
        <v>526</v>
      </c>
      <c r="Q121" s="142" t="str">
        <f t="shared" si="7"/>
        <v>R526</v>
      </c>
      <c r="R121" s="123">
        <v>29.8</v>
      </c>
      <c r="S121" s="123">
        <v>8</v>
      </c>
      <c r="T121" s="123">
        <v>31.1</v>
      </c>
      <c r="U121" s="123">
        <v>14.1</v>
      </c>
      <c r="V121" s="126" t="s">
        <v>2182</v>
      </c>
      <c r="W121" s="126" t="s">
        <v>2174</v>
      </c>
      <c r="X121" s="126" t="s">
        <v>2182</v>
      </c>
      <c r="Y121" s="123" t="s">
        <v>2182</v>
      </c>
      <c r="Z121" s="123">
        <v>74.5</v>
      </c>
      <c r="AA121" s="123" t="s">
        <v>2223</v>
      </c>
      <c r="AB121" s="123">
        <v>18.5</v>
      </c>
      <c r="AC121" s="123">
        <v>1</v>
      </c>
      <c r="AD121" s="123"/>
    </row>
    <row r="122" spans="1:30">
      <c r="A122" s="121">
        <v>120</v>
      </c>
      <c r="B122" s="122" t="s">
        <v>2650</v>
      </c>
      <c r="C122" s="122" t="s">
        <v>2335</v>
      </c>
      <c r="D122" s="122" t="s">
        <v>2203</v>
      </c>
      <c r="E122" s="124">
        <v>42762</v>
      </c>
      <c r="F122" s="125">
        <v>0.70833333333333337</v>
      </c>
      <c r="G122" s="124">
        <v>42816</v>
      </c>
      <c r="H122" s="125">
        <v>0.73263888888888884</v>
      </c>
      <c r="I122" s="123">
        <v>746</v>
      </c>
      <c r="J122" s="123">
        <v>758</v>
      </c>
      <c r="K122" s="142" t="str">
        <f t="shared" si="4"/>
        <v>G758</v>
      </c>
      <c r="L122" s="123">
        <v>454</v>
      </c>
      <c r="M122" s="142" t="str">
        <f t="shared" si="5"/>
        <v>R454</v>
      </c>
      <c r="N122" s="123">
        <v>698</v>
      </c>
      <c r="O122" s="142" t="str">
        <f t="shared" si="6"/>
        <v>G698</v>
      </c>
      <c r="P122" s="123">
        <v>594</v>
      </c>
      <c r="Q122" s="142" t="str">
        <f t="shared" si="7"/>
        <v>R594</v>
      </c>
      <c r="R122" s="123">
        <v>30.2</v>
      </c>
      <c r="S122" s="123">
        <v>9.4</v>
      </c>
      <c r="T122" s="123">
        <v>30.4</v>
      </c>
      <c r="U122" s="123">
        <v>20.5</v>
      </c>
      <c r="V122" s="126" t="s">
        <v>2174</v>
      </c>
      <c r="W122" s="126" t="s">
        <v>2174</v>
      </c>
      <c r="X122" s="126"/>
      <c r="Y122" s="123" t="s">
        <v>2182</v>
      </c>
      <c r="Z122" s="123">
        <v>98.5</v>
      </c>
      <c r="AA122" s="123" t="s">
        <v>2223</v>
      </c>
      <c r="AB122" s="123">
        <v>19</v>
      </c>
      <c r="AC122" s="123">
        <v>0</v>
      </c>
      <c r="AD122" s="123"/>
    </row>
    <row r="123" spans="1:30">
      <c r="A123" s="121">
        <v>121</v>
      </c>
      <c r="B123" s="122" t="s">
        <v>2650</v>
      </c>
      <c r="C123" s="122" t="s">
        <v>2336</v>
      </c>
      <c r="D123" s="122" t="s">
        <v>2213</v>
      </c>
      <c r="E123" s="124">
        <v>42762</v>
      </c>
      <c r="F123" s="125">
        <v>0.71527777777777779</v>
      </c>
      <c r="G123" s="124">
        <v>42816</v>
      </c>
      <c r="H123" s="125">
        <v>0.73611111111111116</v>
      </c>
      <c r="I123" s="123">
        <v>748</v>
      </c>
      <c r="J123" s="123">
        <v>666</v>
      </c>
      <c r="K123" s="142" t="str">
        <f t="shared" si="4"/>
        <v>G666</v>
      </c>
      <c r="L123" s="123">
        <v>532</v>
      </c>
      <c r="M123" s="142" t="str">
        <f t="shared" si="5"/>
        <v>R532</v>
      </c>
      <c r="N123" s="123">
        <v>825</v>
      </c>
      <c r="O123" s="142" t="str">
        <f t="shared" si="6"/>
        <v>G825</v>
      </c>
      <c r="P123" s="123">
        <v>564</v>
      </c>
      <c r="Q123" s="142" t="str">
        <f t="shared" si="7"/>
        <v>R564</v>
      </c>
      <c r="R123" s="123">
        <v>32.4</v>
      </c>
      <c r="S123" s="123">
        <v>6.6</v>
      </c>
      <c r="T123" s="123">
        <v>29.1</v>
      </c>
      <c r="U123" s="123">
        <v>12.5</v>
      </c>
      <c r="V123" s="126" t="s">
        <v>2182</v>
      </c>
      <c r="W123" s="126" t="s">
        <v>2229</v>
      </c>
      <c r="X123" s="126" t="s">
        <v>2182</v>
      </c>
      <c r="Y123" s="123" t="s">
        <v>2182</v>
      </c>
      <c r="Z123" s="123">
        <v>63</v>
      </c>
      <c r="AA123" s="123" t="s">
        <v>2223</v>
      </c>
      <c r="AB123" s="123">
        <v>9.65</v>
      </c>
      <c r="AC123" s="123">
        <v>0</v>
      </c>
      <c r="AD123" s="123"/>
    </row>
    <row r="124" spans="1:30">
      <c r="A124" s="121">
        <v>122</v>
      </c>
      <c r="B124" s="122" t="s">
        <v>2650</v>
      </c>
      <c r="C124" s="122" t="s">
        <v>2337</v>
      </c>
      <c r="D124" s="122" t="s">
        <v>2213</v>
      </c>
      <c r="E124" s="124">
        <v>42762</v>
      </c>
      <c r="F124" s="125">
        <v>0.71875</v>
      </c>
      <c r="G124" s="124">
        <v>42816</v>
      </c>
      <c r="H124" s="125">
        <v>0.73958333333333337</v>
      </c>
      <c r="I124" s="123">
        <v>749</v>
      </c>
      <c r="J124" s="123">
        <v>860</v>
      </c>
      <c r="K124" s="142" t="str">
        <f t="shared" si="4"/>
        <v>G860</v>
      </c>
      <c r="L124" s="123">
        <v>11</v>
      </c>
      <c r="M124" s="142" t="str">
        <f t="shared" si="5"/>
        <v>R11</v>
      </c>
      <c r="N124" s="123">
        <v>839</v>
      </c>
      <c r="O124" s="142" t="str">
        <f t="shared" si="6"/>
        <v>G839</v>
      </c>
      <c r="P124" s="123">
        <v>429</v>
      </c>
      <c r="Q124" s="142" t="str">
        <f t="shared" si="7"/>
        <v>R429</v>
      </c>
      <c r="R124" s="123">
        <v>33.700000000000003</v>
      </c>
      <c r="S124" s="123">
        <v>8.5</v>
      </c>
      <c r="T124" s="123">
        <v>27.6</v>
      </c>
      <c r="U124" s="123">
        <v>15.1</v>
      </c>
      <c r="V124" s="126" t="s">
        <v>2201</v>
      </c>
      <c r="W124" s="126" t="s">
        <v>2182</v>
      </c>
      <c r="X124" s="126" t="s">
        <v>2182</v>
      </c>
      <c r="Y124" s="123" t="s">
        <v>2182</v>
      </c>
      <c r="Z124" s="123">
        <v>53</v>
      </c>
      <c r="AA124" s="123" t="s">
        <v>2223</v>
      </c>
      <c r="AB124" s="123">
        <v>3.1</v>
      </c>
      <c r="AC124" s="123">
        <v>0</v>
      </c>
      <c r="AD124" s="123"/>
    </row>
    <row r="125" spans="1:30">
      <c r="A125" s="121">
        <v>123</v>
      </c>
      <c r="B125" s="122" t="s">
        <v>2650</v>
      </c>
      <c r="C125" s="122" t="s">
        <v>2338</v>
      </c>
      <c r="D125" s="122" t="s">
        <v>2213</v>
      </c>
      <c r="E125" s="124">
        <v>42762</v>
      </c>
      <c r="F125" s="125">
        <v>0.72569444444444453</v>
      </c>
      <c r="G125" s="124">
        <v>42816</v>
      </c>
      <c r="H125" s="125">
        <v>0.75</v>
      </c>
      <c r="I125" s="123">
        <v>751</v>
      </c>
      <c r="J125" s="123">
        <v>694</v>
      </c>
      <c r="K125" s="142" t="str">
        <f t="shared" si="4"/>
        <v>G694</v>
      </c>
      <c r="L125" s="129">
        <v>575</v>
      </c>
      <c r="M125" s="142" t="str">
        <f t="shared" si="5"/>
        <v>R575</v>
      </c>
      <c r="N125" s="123">
        <v>895</v>
      </c>
      <c r="O125" s="142" t="str">
        <f t="shared" si="6"/>
        <v>G895</v>
      </c>
      <c r="P125" s="123">
        <v>466</v>
      </c>
      <c r="Q125" s="142" t="str">
        <f t="shared" si="7"/>
        <v>R466</v>
      </c>
      <c r="R125" s="123">
        <v>33.200000000000003</v>
      </c>
      <c r="S125" s="123">
        <v>11.4</v>
      </c>
      <c r="T125" s="123">
        <v>30.5</v>
      </c>
      <c r="U125" s="123">
        <v>15</v>
      </c>
      <c r="V125" s="126" t="s">
        <v>2182</v>
      </c>
      <c r="W125" s="126" t="s">
        <v>2190</v>
      </c>
      <c r="X125" s="126"/>
      <c r="Y125" s="123"/>
      <c r="Z125" s="123">
        <v>51</v>
      </c>
      <c r="AA125" s="123" t="s">
        <v>2223</v>
      </c>
      <c r="AB125" s="123">
        <v>3.9</v>
      </c>
      <c r="AC125" s="123">
        <v>1</v>
      </c>
      <c r="AD125" s="123" t="s">
        <v>2339</v>
      </c>
    </row>
    <row r="126" spans="1:30">
      <c r="A126" s="121">
        <v>124</v>
      </c>
      <c r="B126" s="122" t="s">
        <v>2650</v>
      </c>
      <c r="C126" s="122" t="s">
        <v>2340</v>
      </c>
      <c r="D126" s="122" t="s">
        <v>2213</v>
      </c>
      <c r="E126" s="124">
        <v>42762</v>
      </c>
      <c r="F126" s="125">
        <v>0.72569444444444453</v>
      </c>
      <c r="G126" s="124">
        <v>42816</v>
      </c>
      <c r="H126" s="125">
        <v>0.75</v>
      </c>
      <c r="I126" s="123">
        <v>750</v>
      </c>
      <c r="J126" s="123">
        <v>867</v>
      </c>
      <c r="K126" s="142" t="str">
        <f t="shared" si="4"/>
        <v>G867</v>
      </c>
      <c r="L126" s="123">
        <v>39</v>
      </c>
      <c r="M126" s="142" t="str">
        <f t="shared" si="5"/>
        <v>R39</v>
      </c>
      <c r="N126" s="123">
        <v>682</v>
      </c>
      <c r="O126" s="142" t="str">
        <f t="shared" si="6"/>
        <v>G682</v>
      </c>
      <c r="P126" s="123">
        <v>471</v>
      </c>
      <c r="Q126" s="142" t="str">
        <f t="shared" si="7"/>
        <v>R471</v>
      </c>
      <c r="R126" s="123">
        <v>31.4</v>
      </c>
      <c r="S126" s="123">
        <v>11.1</v>
      </c>
      <c r="T126" s="123">
        <v>30.8</v>
      </c>
      <c r="U126" s="123">
        <v>25.3</v>
      </c>
      <c r="V126" s="126" t="s">
        <v>2195</v>
      </c>
      <c r="W126" s="126" t="s">
        <v>2182</v>
      </c>
      <c r="X126" s="126"/>
      <c r="Y126" s="123"/>
      <c r="Z126" s="123">
        <v>47</v>
      </c>
      <c r="AA126" s="123" t="s">
        <v>2223</v>
      </c>
      <c r="AB126" s="123">
        <v>5.45</v>
      </c>
      <c r="AC126" s="123">
        <v>1</v>
      </c>
      <c r="AD126" s="123"/>
    </row>
    <row r="127" spans="1:30">
      <c r="A127" s="121">
        <v>125</v>
      </c>
      <c r="B127" s="122" t="s">
        <v>2650</v>
      </c>
      <c r="C127" s="122" t="s">
        <v>2341</v>
      </c>
      <c r="D127" s="122" t="s">
        <v>2213</v>
      </c>
      <c r="E127" s="124">
        <v>42762</v>
      </c>
      <c r="F127" s="125">
        <v>0.72569444444444453</v>
      </c>
      <c r="G127" s="124">
        <v>42816</v>
      </c>
      <c r="H127" s="125">
        <v>0.74305555555555547</v>
      </c>
      <c r="I127" s="123">
        <v>752</v>
      </c>
      <c r="J127" s="123">
        <v>793</v>
      </c>
      <c r="K127" s="142" t="str">
        <f t="shared" si="4"/>
        <v>G793</v>
      </c>
      <c r="L127" s="123">
        <v>560</v>
      </c>
      <c r="M127" s="142" t="str">
        <f t="shared" si="5"/>
        <v>R560</v>
      </c>
      <c r="N127" s="123">
        <v>740</v>
      </c>
      <c r="O127" s="142" t="str">
        <f t="shared" si="6"/>
        <v>G740</v>
      </c>
      <c r="P127" s="123">
        <v>486</v>
      </c>
      <c r="Q127" s="142" t="str">
        <f t="shared" si="7"/>
        <v>R486</v>
      </c>
      <c r="R127" s="123">
        <v>31.8</v>
      </c>
      <c r="S127" s="123">
        <v>12.3</v>
      </c>
      <c r="T127" s="123">
        <v>32.299999999999997</v>
      </c>
      <c r="U127" s="123">
        <v>26.2</v>
      </c>
      <c r="V127" s="126" t="s">
        <v>2195</v>
      </c>
      <c r="W127" s="126" t="s">
        <v>2195</v>
      </c>
      <c r="X127" s="126" t="s">
        <v>2182</v>
      </c>
      <c r="Y127" s="123" t="s">
        <v>2182</v>
      </c>
      <c r="Z127" s="123">
        <v>43</v>
      </c>
      <c r="AA127" s="123" t="s">
        <v>2223</v>
      </c>
      <c r="AB127" s="123">
        <v>9.3000000000000007</v>
      </c>
      <c r="AC127" s="123">
        <v>1</v>
      </c>
      <c r="AD127" s="123"/>
    </row>
    <row r="128" spans="1:30">
      <c r="A128" s="121">
        <v>126</v>
      </c>
      <c r="B128" s="122" t="s">
        <v>2650</v>
      </c>
      <c r="C128" s="122" t="s">
        <v>2342</v>
      </c>
      <c r="D128" s="122" t="s">
        <v>2213</v>
      </c>
      <c r="E128" s="124">
        <v>42762</v>
      </c>
      <c r="F128" s="125">
        <v>0.72916666666666663</v>
      </c>
      <c r="G128" s="124">
        <v>42816</v>
      </c>
      <c r="H128" s="125">
        <v>0.74652777777777779</v>
      </c>
      <c r="I128" s="123">
        <v>753</v>
      </c>
      <c r="J128" s="123">
        <v>749</v>
      </c>
      <c r="K128" s="142" t="str">
        <f t="shared" si="4"/>
        <v>G749</v>
      </c>
      <c r="L128" s="123">
        <v>562</v>
      </c>
      <c r="M128" s="142" t="str">
        <f t="shared" si="5"/>
        <v>R562</v>
      </c>
      <c r="N128" s="123">
        <v>841</v>
      </c>
      <c r="O128" s="142" t="str">
        <f t="shared" si="6"/>
        <v>G841</v>
      </c>
      <c r="P128" s="129">
        <v>55</v>
      </c>
      <c r="Q128" s="142" t="str">
        <f t="shared" si="7"/>
        <v>R55</v>
      </c>
      <c r="R128" s="129">
        <v>31.5</v>
      </c>
      <c r="S128" s="129">
        <v>10.5</v>
      </c>
      <c r="T128" s="123">
        <v>32.5</v>
      </c>
      <c r="U128" s="123">
        <v>22.8</v>
      </c>
      <c r="V128" s="126" t="s">
        <v>2195</v>
      </c>
      <c r="W128" s="126"/>
      <c r="X128" s="126" t="s">
        <v>2182</v>
      </c>
      <c r="Y128" s="123" t="s">
        <v>2182</v>
      </c>
      <c r="Z128" s="123">
        <v>40</v>
      </c>
      <c r="AA128" s="123" t="s">
        <v>2223</v>
      </c>
      <c r="AB128" s="123">
        <v>10.85</v>
      </c>
      <c r="AC128" s="123">
        <v>1</v>
      </c>
      <c r="AD128" s="123"/>
    </row>
    <row r="129" spans="1:30">
      <c r="A129" s="121">
        <v>127</v>
      </c>
      <c r="B129" s="122" t="s">
        <v>2650</v>
      </c>
      <c r="C129" s="122" t="s">
        <v>2343</v>
      </c>
      <c r="D129" s="122" t="s">
        <v>2213</v>
      </c>
      <c r="E129" s="124">
        <v>42762</v>
      </c>
      <c r="F129" s="125">
        <v>0.73263888888888884</v>
      </c>
      <c r="G129" s="124">
        <v>42816</v>
      </c>
      <c r="H129" s="125">
        <v>0.75347222222222221</v>
      </c>
      <c r="I129" s="123">
        <v>754</v>
      </c>
      <c r="J129" s="123">
        <v>898</v>
      </c>
      <c r="K129" s="142" t="str">
        <f t="shared" si="4"/>
        <v>G898</v>
      </c>
      <c r="L129" s="123">
        <v>506</v>
      </c>
      <c r="M129" s="142" t="str">
        <f t="shared" si="5"/>
        <v>R506</v>
      </c>
      <c r="N129" s="123">
        <v>687</v>
      </c>
      <c r="O129" s="142" t="str">
        <f t="shared" si="6"/>
        <v>G687</v>
      </c>
      <c r="P129" s="123">
        <v>424</v>
      </c>
      <c r="Q129" s="142" t="str">
        <f t="shared" si="7"/>
        <v>R424</v>
      </c>
      <c r="R129" s="123">
        <v>31.3</v>
      </c>
      <c r="S129" s="123">
        <v>10.5</v>
      </c>
      <c r="T129" s="123">
        <v>31.8</v>
      </c>
      <c r="U129" s="123">
        <v>21.1</v>
      </c>
      <c r="V129" s="126" t="s">
        <v>2195</v>
      </c>
      <c r="W129" s="126"/>
      <c r="X129" s="126" t="s">
        <v>2182</v>
      </c>
      <c r="Y129" s="123" t="s">
        <v>2182</v>
      </c>
      <c r="Z129" s="123">
        <v>58</v>
      </c>
      <c r="AA129" s="123" t="s">
        <v>2223</v>
      </c>
      <c r="AB129" s="123">
        <v>5.35</v>
      </c>
      <c r="AC129" s="123">
        <v>1</v>
      </c>
      <c r="AD129" s="123"/>
    </row>
    <row r="130" spans="1:30">
      <c r="A130" s="121">
        <v>128</v>
      </c>
      <c r="B130" s="122" t="s">
        <v>2650</v>
      </c>
      <c r="C130" s="122" t="s">
        <v>2344</v>
      </c>
      <c r="D130" s="122" t="s">
        <v>2213</v>
      </c>
      <c r="E130" s="124">
        <v>42762</v>
      </c>
      <c r="F130" s="125">
        <v>0.73263888888888884</v>
      </c>
      <c r="G130" s="124">
        <v>42816</v>
      </c>
      <c r="H130" s="123"/>
      <c r="I130" s="123">
        <v>755</v>
      </c>
      <c r="J130" s="123">
        <v>834</v>
      </c>
      <c r="K130" s="142" t="str">
        <f t="shared" si="4"/>
        <v>G834</v>
      </c>
      <c r="L130" s="123">
        <v>554</v>
      </c>
      <c r="M130" s="142" t="str">
        <f t="shared" si="5"/>
        <v>R554</v>
      </c>
      <c r="N130" s="123">
        <v>833</v>
      </c>
      <c r="O130" s="142" t="str">
        <f t="shared" si="6"/>
        <v>G833</v>
      </c>
      <c r="P130" s="123">
        <v>418</v>
      </c>
      <c r="Q130" s="142" t="str">
        <f t="shared" si="7"/>
        <v>R418</v>
      </c>
      <c r="R130" s="123">
        <v>32.700000000000003</v>
      </c>
      <c r="S130" s="123">
        <v>8.9</v>
      </c>
      <c r="T130" s="123">
        <v>30.6</v>
      </c>
      <c r="U130" s="123">
        <v>7.4</v>
      </c>
      <c r="V130" s="126" t="s">
        <v>2182</v>
      </c>
      <c r="W130" s="126" t="s">
        <v>2198</v>
      </c>
      <c r="X130" s="126" t="s">
        <v>2182</v>
      </c>
      <c r="Y130" s="123" t="s">
        <v>2182</v>
      </c>
      <c r="Z130" s="123">
        <v>44</v>
      </c>
      <c r="AA130" s="123" t="s">
        <v>2223</v>
      </c>
      <c r="AB130" s="123">
        <v>10.9</v>
      </c>
      <c r="AC130" s="123">
        <v>0</v>
      </c>
      <c r="AD130" s="123"/>
    </row>
    <row r="131" spans="1:30">
      <c r="A131" s="121">
        <v>129</v>
      </c>
      <c r="B131" s="122" t="s">
        <v>2650</v>
      </c>
      <c r="C131" s="122" t="s">
        <v>2345</v>
      </c>
      <c r="D131" s="122" t="s">
        <v>2222</v>
      </c>
      <c r="E131" s="124">
        <v>42762</v>
      </c>
      <c r="F131" s="125">
        <v>0.36805555555555558</v>
      </c>
      <c r="G131" s="124">
        <v>42816</v>
      </c>
      <c r="H131" s="125">
        <v>0.59375</v>
      </c>
      <c r="I131" s="123">
        <v>669</v>
      </c>
      <c r="J131" s="123">
        <v>819</v>
      </c>
      <c r="K131" s="142" t="str">
        <f t="shared" si="4"/>
        <v>G819</v>
      </c>
      <c r="L131" s="123">
        <v>46</v>
      </c>
      <c r="M131" s="142" t="str">
        <f t="shared" si="5"/>
        <v>R46</v>
      </c>
      <c r="N131" s="123">
        <v>888</v>
      </c>
      <c r="O131" s="142" t="str">
        <f t="shared" si="6"/>
        <v>G888</v>
      </c>
      <c r="P131" s="123">
        <v>520</v>
      </c>
      <c r="Q131" s="142" t="str">
        <f t="shared" si="7"/>
        <v>R520</v>
      </c>
      <c r="R131" s="123">
        <v>25</v>
      </c>
      <c r="S131" s="123">
        <v>7.1</v>
      </c>
      <c r="T131" s="123">
        <v>31</v>
      </c>
      <c r="U131" s="123">
        <v>23</v>
      </c>
      <c r="V131" s="126"/>
      <c r="W131" s="126" t="s">
        <v>2174</v>
      </c>
      <c r="X131" s="126" t="s">
        <v>2182</v>
      </c>
      <c r="Y131" s="123"/>
      <c r="Z131" s="123">
        <v>2.4</v>
      </c>
      <c r="AA131" s="123" t="s">
        <v>2245</v>
      </c>
      <c r="AB131" s="123">
        <v>2.4</v>
      </c>
      <c r="AC131" s="123">
        <v>1</v>
      </c>
      <c r="AD131" s="123"/>
    </row>
    <row r="132" spans="1:30">
      <c r="A132" s="121">
        <v>130</v>
      </c>
      <c r="B132" s="122" t="s">
        <v>2650</v>
      </c>
      <c r="C132" s="122" t="s">
        <v>2346</v>
      </c>
      <c r="D132" s="122" t="s">
        <v>2222</v>
      </c>
      <c r="E132" s="124">
        <v>42762</v>
      </c>
      <c r="F132" s="125">
        <v>0.36805555555555558</v>
      </c>
      <c r="G132" s="124">
        <v>42816</v>
      </c>
      <c r="H132" s="125">
        <v>0.60069444444444442</v>
      </c>
      <c r="I132" s="123">
        <v>670</v>
      </c>
      <c r="J132" s="123">
        <v>830</v>
      </c>
      <c r="K132" s="142" t="str">
        <f t="shared" ref="K132:K195" si="8">_xlfn.TEXTJOIN(,TRUE, "G",J132)</f>
        <v>G830</v>
      </c>
      <c r="L132" s="123">
        <v>585</v>
      </c>
      <c r="M132" s="142" t="str">
        <f t="shared" ref="M132:M195" si="9">_xlfn.TEXTJOIN(,TRUE, "R",L132)</f>
        <v>R585</v>
      </c>
      <c r="N132" s="123">
        <v>708</v>
      </c>
      <c r="O132" s="142" t="str">
        <f t="shared" ref="O132:O195" si="10">_xlfn.TEXTJOIN(,TRUE, "G",N132)</f>
        <v>G708</v>
      </c>
      <c r="P132" s="123">
        <v>433</v>
      </c>
      <c r="Q132" s="142" t="str">
        <f t="shared" ref="Q132:Q195" si="11">_xlfn.TEXTJOIN(,TRUE, "R",P132)</f>
        <v>R433</v>
      </c>
      <c r="R132" s="123">
        <v>25</v>
      </c>
      <c r="S132" s="123">
        <v>6.4</v>
      </c>
      <c r="T132" s="123">
        <v>32</v>
      </c>
      <c r="U132" s="123">
        <v>26.2</v>
      </c>
      <c r="V132" s="126" t="s">
        <v>2182</v>
      </c>
      <c r="W132" s="126"/>
      <c r="X132" s="126"/>
      <c r="Y132" s="123"/>
      <c r="Z132" s="123">
        <v>3.5</v>
      </c>
      <c r="AA132" s="123" t="s">
        <v>2245</v>
      </c>
      <c r="AB132" s="123">
        <v>2.1</v>
      </c>
      <c r="AC132" s="123">
        <v>0</v>
      </c>
      <c r="AD132" s="123"/>
    </row>
    <row r="133" spans="1:30">
      <c r="A133" s="121">
        <v>131</v>
      </c>
      <c r="B133" s="122" t="s">
        <v>2650</v>
      </c>
      <c r="C133" s="122" t="s">
        <v>2347</v>
      </c>
      <c r="D133" s="122" t="s">
        <v>2222</v>
      </c>
      <c r="E133" s="124">
        <v>42762</v>
      </c>
      <c r="F133" s="125">
        <v>0.37152777777777773</v>
      </c>
      <c r="G133" s="124">
        <v>42816</v>
      </c>
      <c r="H133" s="125">
        <v>0.60416666666666663</v>
      </c>
      <c r="I133" s="123">
        <v>672</v>
      </c>
      <c r="J133" s="123">
        <v>746</v>
      </c>
      <c r="K133" s="142" t="str">
        <f t="shared" si="8"/>
        <v>G746</v>
      </c>
      <c r="L133" s="123">
        <v>476</v>
      </c>
      <c r="M133" s="142" t="str">
        <f t="shared" si="9"/>
        <v>R476</v>
      </c>
      <c r="N133" s="123">
        <v>768</v>
      </c>
      <c r="O133" s="142" t="str">
        <f t="shared" si="10"/>
        <v>G768</v>
      </c>
      <c r="P133" s="123">
        <v>592</v>
      </c>
      <c r="Q133" s="142" t="str">
        <f t="shared" si="11"/>
        <v>R592</v>
      </c>
      <c r="R133" s="123">
        <v>24.7</v>
      </c>
      <c r="S133" s="123">
        <v>2.5</v>
      </c>
      <c r="T133" s="123">
        <v>33.200000000000003</v>
      </c>
      <c r="U133" s="123">
        <v>16.100000000000001</v>
      </c>
      <c r="V133" s="126" t="s">
        <v>2174</v>
      </c>
      <c r="W133" s="126" t="s">
        <v>2190</v>
      </c>
      <c r="X133" s="126"/>
      <c r="Y133" s="123"/>
      <c r="Z133" s="123">
        <v>7.5</v>
      </c>
      <c r="AA133" s="123" t="s">
        <v>2245</v>
      </c>
      <c r="AB133" s="123">
        <v>4.5</v>
      </c>
      <c r="AC133" s="123">
        <v>0</v>
      </c>
      <c r="AD133" s="123"/>
    </row>
    <row r="134" spans="1:30">
      <c r="A134" s="121">
        <v>132</v>
      </c>
      <c r="B134" s="122" t="s">
        <v>2650</v>
      </c>
      <c r="C134" s="122" t="s">
        <v>2348</v>
      </c>
      <c r="D134" s="122" t="s">
        <v>2222</v>
      </c>
      <c r="E134" s="124">
        <v>42762</v>
      </c>
      <c r="F134" s="125">
        <v>0.37847222222222227</v>
      </c>
      <c r="G134" s="124">
        <v>42816</v>
      </c>
      <c r="H134" s="125">
        <v>0.64583333333333337</v>
      </c>
      <c r="I134" s="123">
        <v>1077</v>
      </c>
      <c r="J134" s="123">
        <v>725</v>
      </c>
      <c r="K134" s="142" t="str">
        <f t="shared" si="8"/>
        <v>G725</v>
      </c>
      <c r="L134" s="123">
        <v>536</v>
      </c>
      <c r="M134" s="142" t="str">
        <f t="shared" si="9"/>
        <v>R536</v>
      </c>
      <c r="N134" s="123">
        <v>779</v>
      </c>
      <c r="O134" s="142" t="str">
        <f t="shared" si="10"/>
        <v>G779</v>
      </c>
      <c r="P134" s="123">
        <v>477</v>
      </c>
      <c r="Q134" s="142" t="str">
        <f t="shared" si="11"/>
        <v>R477</v>
      </c>
      <c r="R134" s="123">
        <v>24.5</v>
      </c>
      <c r="S134" s="123">
        <v>7.6</v>
      </c>
      <c r="T134" s="123">
        <v>33.4</v>
      </c>
      <c r="U134" s="123">
        <v>29.5</v>
      </c>
      <c r="V134" s="126"/>
      <c r="W134" s="126" t="s">
        <v>2190</v>
      </c>
      <c r="X134" s="126"/>
      <c r="Y134" s="123"/>
      <c r="Z134" s="123">
        <v>9.8000000000000007</v>
      </c>
      <c r="AA134" s="123" t="s">
        <v>2223</v>
      </c>
      <c r="AB134" s="123">
        <v>0.7</v>
      </c>
      <c r="AC134" s="123">
        <v>1</v>
      </c>
      <c r="AD134" s="123"/>
    </row>
    <row r="135" spans="1:30">
      <c r="A135" s="121">
        <v>133</v>
      </c>
      <c r="B135" s="122" t="s">
        <v>2650</v>
      </c>
      <c r="C135" s="122" t="s">
        <v>2349</v>
      </c>
      <c r="D135" s="122" t="s">
        <v>2222</v>
      </c>
      <c r="E135" s="124">
        <v>42762</v>
      </c>
      <c r="F135" s="125">
        <v>0.3888888888888889</v>
      </c>
      <c r="G135" s="124">
        <v>42816</v>
      </c>
      <c r="H135" s="125">
        <v>0.625</v>
      </c>
      <c r="I135" s="123">
        <v>674</v>
      </c>
      <c r="J135" s="123">
        <v>846</v>
      </c>
      <c r="K135" s="142" t="str">
        <f t="shared" si="8"/>
        <v>G846</v>
      </c>
      <c r="L135" s="123">
        <v>524</v>
      </c>
      <c r="M135" s="142" t="str">
        <f t="shared" si="9"/>
        <v>R524</v>
      </c>
      <c r="N135" s="123">
        <v>799</v>
      </c>
      <c r="O135" s="142" t="str">
        <f t="shared" si="10"/>
        <v>G799</v>
      </c>
      <c r="P135" s="123">
        <v>597</v>
      </c>
      <c r="Q135" s="142" t="str">
        <f t="shared" si="11"/>
        <v>R597</v>
      </c>
      <c r="R135" s="123">
        <v>23.9</v>
      </c>
      <c r="S135" s="123">
        <v>6.1</v>
      </c>
      <c r="T135" s="123">
        <v>38.799999999999997</v>
      </c>
      <c r="U135" s="123">
        <v>20.7</v>
      </c>
      <c r="V135" s="126"/>
      <c r="W135" s="126"/>
      <c r="X135" s="126"/>
      <c r="Y135" s="123"/>
      <c r="Z135" s="123">
        <v>10</v>
      </c>
      <c r="AA135" s="123" t="s">
        <v>2245</v>
      </c>
      <c r="AB135" s="123">
        <v>2.2000000000000002</v>
      </c>
      <c r="AC135" s="123">
        <v>1</v>
      </c>
      <c r="AD135" s="123"/>
    </row>
    <row r="136" spans="1:30">
      <c r="A136" s="121">
        <v>134</v>
      </c>
      <c r="B136" s="122" t="s">
        <v>2650</v>
      </c>
      <c r="C136" s="122" t="s">
        <v>2350</v>
      </c>
      <c r="D136" s="122" t="s">
        <v>2222</v>
      </c>
      <c r="E136" s="124">
        <v>42762</v>
      </c>
      <c r="F136" s="125">
        <v>0.3888888888888889</v>
      </c>
      <c r="G136" s="124">
        <v>42816</v>
      </c>
      <c r="H136" s="125">
        <v>0.63194444444444442</v>
      </c>
      <c r="I136" s="123">
        <v>675</v>
      </c>
      <c r="J136" s="123">
        <v>756</v>
      </c>
      <c r="K136" s="142" t="str">
        <f t="shared" si="8"/>
        <v>G756</v>
      </c>
      <c r="L136" s="123">
        <v>600</v>
      </c>
      <c r="M136" s="142" t="str">
        <f t="shared" si="9"/>
        <v>R600</v>
      </c>
      <c r="N136" s="123">
        <v>820</v>
      </c>
      <c r="O136" s="142" t="str">
        <f t="shared" si="10"/>
        <v>G820</v>
      </c>
      <c r="P136" s="123">
        <v>467</v>
      </c>
      <c r="Q136" s="142" t="str">
        <f t="shared" si="11"/>
        <v>R467</v>
      </c>
      <c r="R136" s="123">
        <v>23.7</v>
      </c>
      <c r="S136" s="123">
        <v>4.0999999999999996</v>
      </c>
      <c r="T136" s="123">
        <v>36.6</v>
      </c>
      <c r="U136" s="123">
        <v>21.3</v>
      </c>
      <c r="V136" s="126" t="s">
        <v>2182</v>
      </c>
      <c r="W136" s="126"/>
      <c r="X136" s="126"/>
      <c r="Y136" s="123"/>
      <c r="Z136" s="123">
        <v>15.4</v>
      </c>
      <c r="AA136" s="123" t="s">
        <v>2245</v>
      </c>
      <c r="AB136" s="123">
        <v>1.1000000000000001</v>
      </c>
      <c r="AC136" s="123">
        <v>1</v>
      </c>
      <c r="AD136" s="123"/>
    </row>
    <row r="137" spans="1:30">
      <c r="A137" s="121">
        <v>135</v>
      </c>
      <c r="B137" s="122" t="s">
        <v>2650</v>
      </c>
      <c r="C137" s="122" t="s">
        <v>2351</v>
      </c>
      <c r="D137" s="122" t="s">
        <v>2222</v>
      </c>
      <c r="E137" s="124">
        <v>42762</v>
      </c>
      <c r="F137" s="125">
        <v>0.3888888888888889</v>
      </c>
      <c r="G137" s="124">
        <v>42816</v>
      </c>
      <c r="H137" s="125">
        <v>0.63888888888888895</v>
      </c>
      <c r="I137" s="123">
        <v>677</v>
      </c>
      <c r="J137" s="123">
        <v>745</v>
      </c>
      <c r="K137" s="142" t="str">
        <f t="shared" si="8"/>
        <v>G745</v>
      </c>
      <c r="L137" s="123">
        <v>432</v>
      </c>
      <c r="M137" s="142" t="str">
        <f t="shared" si="9"/>
        <v>R432</v>
      </c>
      <c r="N137" s="123">
        <v>842</v>
      </c>
      <c r="O137" s="142" t="str">
        <f t="shared" si="10"/>
        <v>G842</v>
      </c>
      <c r="P137" s="123">
        <v>596</v>
      </c>
      <c r="Q137" s="142" t="str">
        <f t="shared" si="11"/>
        <v>R596</v>
      </c>
      <c r="R137" s="123">
        <v>25.2</v>
      </c>
      <c r="S137" s="123">
        <v>4.0999999999999996</v>
      </c>
      <c r="T137" s="123">
        <v>34.1</v>
      </c>
      <c r="U137" s="123">
        <v>24.9</v>
      </c>
      <c r="V137" s="126" t="s">
        <v>2182</v>
      </c>
      <c r="W137" s="126" t="s">
        <v>2182</v>
      </c>
      <c r="X137" s="126"/>
      <c r="Y137" s="123"/>
      <c r="Z137" s="123">
        <v>5.6</v>
      </c>
      <c r="AA137" s="123" t="s">
        <v>2245</v>
      </c>
      <c r="AB137" s="123">
        <v>2.1</v>
      </c>
      <c r="AC137" s="123">
        <v>1</v>
      </c>
      <c r="AD137" s="123"/>
    </row>
    <row r="138" spans="1:30">
      <c r="A138" s="121">
        <v>136</v>
      </c>
      <c r="B138" s="122" t="s">
        <v>2650</v>
      </c>
      <c r="C138" s="122" t="s">
        <v>2352</v>
      </c>
      <c r="D138" s="122" t="s">
        <v>2222</v>
      </c>
      <c r="E138" s="124">
        <v>42762</v>
      </c>
      <c r="F138" s="125">
        <v>0.39583333333333331</v>
      </c>
      <c r="G138" s="124">
        <v>42816</v>
      </c>
      <c r="H138" s="125">
        <v>0.63888888888888895</v>
      </c>
      <c r="I138" s="123">
        <v>678</v>
      </c>
      <c r="J138" s="123">
        <v>832</v>
      </c>
      <c r="K138" s="142" t="str">
        <f t="shared" si="8"/>
        <v>G832</v>
      </c>
      <c r="L138" s="123">
        <v>474</v>
      </c>
      <c r="M138" s="142" t="str">
        <f t="shared" si="9"/>
        <v>R474</v>
      </c>
      <c r="N138" s="123">
        <v>747</v>
      </c>
      <c r="O138" s="142" t="str">
        <f t="shared" si="10"/>
        <v>G747</v>
      </c>
      <c r="P138" s="123">
        <v>543</v>
      </c>
      <c r="Q138" s="142" t="str">
        <f t="shared" si="11"/>
        <v>R543</v>
      </c>
      <c r="R138" s="123">
        <v>25.2</v>
      </c>
      <c r="S138" s="123">
        <v>8.6999999999999993</v>
      </c>
      <c r="T138" s="123">
        <v>36</v>
      </c>
      <c r="U138" s="123">
        <v>20.6</v>
      </c>
      <c r="V138" s="126" t="s">
        <v>2182</v>
      </c>
      <c r="W138" s="126" t="s">
        <v>2182</v>
      </c>
      <c r="X138" s="126" t="s">
        <v>2182</v>
      </c>
      <c r="Y138" s="123" t="s">
        <v>2182</v>
      </c>
      <c r="Z138" s="123">
        <v>16.3</v>
      </c>
      <c r="AA138" s="123" t="s">
        <v>2223</v>
      </c>
      <c r="AB138" s="123">
        <v>2.2999999999999998</v>
      </c>
      <c r="AC138" s="123">
        <v>1</v>
      </c>
      <c r="AD138" s="123"/>
    </row>
    <row r="139" spans="1:30">
      <c r="A139" s="121">
        <v>137</v>
      </c>
      <c r="B139" s="122" t="s">
        <v>2650</v>
      </c>
      <c r="C139" s="122" t="s">
        <v>2353</v>
      </c>
      <c r="D139" s="122" t="s">
        <v>2239</v>
      </c>
      <c r="E139" s="124">
        <v>42762</v>
      </c>
      <c r="F139" s="125">
        <v>0.41666666666666669</v>
      </c>
      <c r="G139" s="124">
        <v>42816</v>
      </c>
      <c r="H139" s="125">
        <v>0.67361111111111116</v>
      </c>
      <c r="I139" s="123">
        <v>681</v>
      </c>
      <c r="J139" s="123">
        <v>805</v>
      </c>
      <c r="K139" s="142" t="str">
        <f t="shared" si="8"/>
        <v>G805</v>
      </c>
      <c r="L139" s="123">
        <v>34</v>
      </c>
      <c r="M139" s="142" t="str">
        <f t="shared" si="9"/>
        <v>R34</v>
      </c>
      <c r="N139" s="123">
        <v>857</v>
      </c>
      <c r="O139" s="142" t="str">
        <f t="shared" si="10"/>
        <v>G857</v>
      </c>
      <c r="P139" s="123">
        <v>483</v>
      </c>
      <c r="Q139" s="142" t="str">
        <f t="shared" si="11"/>
        <v>R483</v>
      </c>
      <c r="R139" s="123">
        <v>26.3</v>
      </c>
      <c r="S139" s="123">
        <v>1.5</v>
      </c>
      <c r="T139" s="123">
        <v>30.7</v>
      </c>
      <c r="U139" s="123">
        <v>29.5</v>
      </c>
      <c r="V139" s="126" t="s">
        <v>2182</v>
      </c>
      <c r="W139" s="126" t="s">
        <v>2314</v>
      </c>
      <c r="X139" s="126"/>
      <c r="Y139" s="123"/>
      <c r="Z139" s="123">
        <v>32.4</v>
      </c>
      <c r="AA139" s="123" t="s">
        <v>2223</v>
      </c>
      <c r="AB139" s="123">
        <v>1.2</v>
      </c>
      <c r="AC139" s="123">
        <v>1</v>
      </c>
      <c r="AD139" s="123"/>
    </row>
    <row r="140" spans="1:30">
      <c r="A140" s="121">
        <v>138</v>
      </c>
      <c r="B140" s="122" t="s">
        <v>2650</v>
      </c>
      <c r="C140" s="122" t="s">
        <v>2354</v>
      </c>
      <c r="D140" s="122" t="s">
        <v>2239</v>
      </c>
      <c r="E140" s="124">
        <v>42762</v>
      </c>
      <c r="F140" s="125">
        <v>0.4201388888888889</v>
      </c>
      <c r="G140" s="124">
        <v>42816</v>
      </c>
      <c r="H140" s="125">
        <v>0.67708333333333337</v>
      </c>
      <c r="I140" s="123">
        <v>682</v>
      </c>
      <c r="J140" s="123">
        <v>815</v>
      </c>
      <c r="K140" s="142" t="str">
        <f t="shared" si="8"/>
        <v>G815</v>
      </c>
      <c r="L140" s="123">
        <v>426</v>
      </c>
      <c r="M140" s="142" t="str">
        <f t="shared" si="9"/>
        <v>R426</v>
      </c>
      <c r="N140" s="123">
        <v>623</v>
      </c>
      <c r="O140" s="142" t="str">
        <f t="shared" si="10"/>
        <v>G623</v>
      </c>
      <c r="P140" s="123">
        <v>21</v>
      </c>
      <c r="Q140" s="142" t="str">
        <f t="shared" si="11"/>
        <v>R21</v>
      </c>
      <c r="R140" s="123">
        <v>24.8</v>
      </c>
      <c r="S140" s="123">
        <v>6.9</v>
      </c>
      <c r="T140" s="123">
        <v>33.9</v>
      </c>
      <c r="U140" s="123">
        <v>24.1</v>
      </c>
      <c r="V140" s="126" t="s">
        <v>2182</v>
      </c>
      <c r="W140" s="126"/>
      <c r="X140" s="126" t="s">
        <v>2182</v>
      </c>
      <c r="Y140" s="123"/>
      <c r="Z140" s="123">
        <v>26.4</v>
      </c>
      <c r="AA140" s="123" t="s">
        <v>2223</v>
      </c>
      <c r="AB140" s="123">
        <v>2.8</v>
      </c>
      <c r="AC140" s="123">
        <v>1</v>
      </c>
      <c r="AD140" s="123"/>
    </row>
    <row r="141" spans="1:30">
      <c r="A141" s="121">
        <v>139</v>
      </c>
      <c r="B141" s="122" t="s">
        <v>2650</v>
      </c>
      <c r="C141" s="122" t="s">
        <v>2355</v>
      </c>
      <c r="D141" s="122" t="s">
        <v>2239</v>
      </c>
      <c r="E141" s="124">
        <v>42762</v>
      </c>
      <c r="F141" s="125">
        <v>0.4236111111111111</v>
      </c>
      <c r="G141" s="124">
        <v>42816</v>
      </c>
      <c r="H141" s="125">
        <v>0.68055555555555547</v>
      </c>
      <c r="I141" s="123">
        <v>683</v>
      </c>
      <c r="J141" s="129">
        <v>798</v>
      </c>
      <c r="K141" s="142" t="str">
        <f t="shared" si="8"/>
        <v>G798</v>
      </c>
      <c r="L141" s="123">
        <v>563</v>
      </c>
      <c r="M141" s="142" t="str">
        <f t="shared" si="9"/>
        <v>R563</v>
      </c>
      <c r="N141" s="123">
        <v>880</v>
      </c>
      <c r="O141" s="142" t="str">
        <f t="shared" si="10"/>
        <v>G880</v>
      </c>
      <c r="P141" s="123">
        <v>538</v>
      </c>
      <c r="Q141" s="142" t="str">
        <f t="shared" si="11"/>
        <v>R538</v>
      </c>
      <c r="R141" s="123">
        <v>26.7</v>
      </c>
      <c r="S141" s="123">
        <v>4.9000000000000004</v>
      </c>
      <c r="T141" s="123">
        <v>30.6</v>
      </c>
      <c r="U141" s="123">
        <v>28.8</v>
      </c>
      <c r="V141" s="126"/>
      <c r="W141" s="126" t="s">
        <v>2356</v>
      </c>
      <c r="X141" s="126" t="s">
        <v>2182</v>
      </c>
      <c r="Y141" s="123"/>
      <c r="Z141" s="123">
        <v>19.399999999999999</v>
      </c>
      <c r="AA141" s="123" t="s">
        <v>2223</v>
      </c>
      <c r="AB141" s="123">
        <v>5.7</v>
      </c>
      <c r="AC141" s="123">
        <v>1</v>
      </c>
      <c r="AD141" s="123"/>
    </row>
    <row r="142" spans="1:30">
      <c r="A142" s="121">
        <v>140</v>
      </c>
      <c r="B142" s="122" t="s">
        <v>2650</v>
      </c>
      <c r="C142" s="122" t="s">
        <v>2357</v>
      </c>
      <c r="D142" s="122" t="s">
        <v>2239</v>
      </c>
      <c r="E142" s="124">
        <v>42762</v>
      </c>
      <c r="F142" s="125">
        <v>0.43055555555555558</v>
      </c>
      <c r="G142" s="124">
        <v>42816</v>
      </c>
      <c r="H142" s="125">
        <v>0.68402777777777779</v>
      </c>
      <c r="I142" s="123">
        <v>684</v>
      </c>
      <c r="J142" s="123">
        <v>787</v>
      </c>
      <c r="K142" s="142" t="str">
        <f t="shared" si="8"/>
        <v>G787</v>
      </c>
      <c r="L142" s="123">
        <v>535</v>
      </c>
      <c r="M142" s="142" t="str">
        <f t="shared" si="9"/>
        <v>R535</v>
      </c>
      <c r="N142" s="123">
        <v>706</v>
      </c>
      <c r="O142" s="142" t="str">
        <f t="shared" si="10"/>
        <v>G706</v>
      </c>
      <c r="P142" s="123">
        <v>559</v>
      </c>
      <c r="Q142" s="142" t="str">
        <f t="shared" si="11"/>
        <v>R559</v>
      </c>
      <c r="R142" s="123">
        <v>27.6</v>
      </c>
      <c r="S142" s="123">
        <v>3.1</v>
      </c>
      <c r="T142" s="123">
        <v>34.1</v>
      </c>
      <c r="U142" s="123">
        <v>20</v>
      </c>
      <c r="V142" s="126"/>
      <c r="W142" s="126" t="s">
        <v>2182</v>
      </c>
      <c r="X142" s="126"/>
      <c r="Y142" s="123"/>
      <c r="Z142" s="123">
        <v>33.4</v>
      </c>
      <c r="AA142" s="123" t="s">
        <v>2223</v>
      </c>
      <c r="AB142" s="123">
        <v>1.4</v>
      </c>
      <c r="AC142" s="123">
        <v>1</v>
      </c>
      <c r="AD142" s="123"/>
    </row>
    <row r="143" spans="1:30">
      <c r="A143" s="121">
        <v>141</v>
      </c>
      <c r="B143" s="122" t="s">
        <v>2650</v>
      </c>
      <c r="C143" s="122" t="s">
        <v>2358</v>
      </c>
      <c r="D143" s="122" t="s">
        <v>2239</v>
      </c>
      <c r="E143" s="124">
        <v>42762</v>
      </c>
      <c r="F143" s="125">
        <v>0.43402777777777773</v>
      </c>
      <c r="G143" s="124">
        <v>42816</v>
      </c>
      <c r="H143" s="125">
        <v>0.6875</v>
      </c>
      <c r="I143" s="123">
        <v>685</v>
      </c>
      <c r="J143" s="123">
        <v>900</v>
      </c>
      <c r="K143" s="142" t="str">
        <f t="shared" si="8"/>
        <v>G900</v>
      </c>
      <c r="L143" s="123">
        <v>581</v>
      </c>
      <c r="M143" s="142" t="str">
        <f t="shared" si="9"/>
        <v>R581</v>
      </c>
      <c r="N143" s="123">
        <v>775</v>
      </c>
      <c r="O143" s="142" t="str">
        <f t="shared" si="10"/>
        <v>G775</v>
      </c>
      <c r="P143" s="123">
        <v>465</v>
      </c>
      <c r="Q143" s="142" t="str">
        <f t="shared" si="11"/>
        <v>R465</v>
      </c>
      <c r="R143" s="123">
        <v>26.1</v>
      </c>
      <c r="S143" s="123">
        <v>5.3</v>
      </c>
      <c r="T143" s="123">
        <v>35.4</v>
      </c>
      <c r="U143" s="123">
        <v>14.1</v>
      </c>
      <c r="V143" s="126" t="s">
        <v>2201</v>
      </c>
      <c r="W143" s="126" t="s">
        <v>2198</v>
      </c>
      <c r="X143" s="126"/>
      <c r="Y143" s="123"/>
      <c r="Z143" s="123">
        <v>28.4</v>
      </c>
      <c r="AA143" s="123" t="s">
        <v>2223</v>
      </c>
      <c r="AB143" s="123">
        <v>1.4</v>
      </c>
      <c r="AC143" s="123">
        <v>1</v>
      </c>
      <c r="AD143" s="123"/>
    </row>
    <row r="144" spans="1:30">
      <c r="A144" s="121">
        <v>142</v>
      </c>
      <c r="B144" s="122" t="s">
        <v>2650</v>
      </c>
      <c r="C144" s="122" t="s">
        <v>2359</v>
      </c>
      <c r="D144" s="122" t="s">
        <v>2239</v>
      </c>
      <c r="E144" s="124">
        <v>42762</v>
      </c>
      <c r="F144" s="125">
        <v>0.44097222222222227</v>
      </c>
      <c r="G144" s="124">
        <v>42816</v>
      </c>
      <c r="H144" s="125">
        <v>0.69444444444444453</v>
      </c>
      <c r="I144" s="123">
        <v>686</v>
      </c>
      <c r="J144" s="123">
        <v>817</v>
      </c>
      <c r="K144" s="142" t="str">
        <f t="shared" si="8"/>
        <v>G817</v>
      </c>
      <c r="L144" s="123">
        <v>460</v>
      </c>
      <c r="M144" s="142" t="str">
        <f t="shared" si="9"/>
        <v>R460</v>
      </c>
      <c r="N144" s="123">
        <v>850</v>
      </c>
      <c r="O144" s="142" t="str">
        <f t="shared" si="10"/>
        <v>G850</v>
      </c>
      <c r="P144" s="123">
        <v>503</v>
      </c>
      <c r="Q144" s="142" t="str">
        <f t="shared" si="11"/>
        <v>R503</v>
      </c>
      <c r="R144" s="123">
        <v>28.5</v>
      </c>
      <c r="S144" s="123">
        <v>7.4</v>
      </c>
      <c r="T144" s="123">
        <v>29</v>
      </c>
      <c r="U144" s="123">
        <v>23.6</v>
      </c>
      <c r="V144" s="126" t="s">
        <v>2174</v>
      </c>
      <c r="W144" s="126" t="s">
        <v>2174</v>
      </c>
      <c r="X144" s="126"/>
      <c r="Y144" s="123" t="s">
        <v>2182</v>
      </c>
      <c r="Z144" s="123">
        <v>33.799999999999997</v>
      </c>
      <c r="AA144" s="123" t="s">
        <v>2223</v>
      </c>
      <c r="AB144" s="123">
        <v>1.7</v>
      </c>
      <c r="AC144" s="123">
        <v>1</v>
      </c>
      <c r="AD144" s="123"/>
    </row>
    <row r="145" spans="1:30">
      <c r="A145" s="121">
        <v>143</v>
      </c>
      <c r="B145" s="122" t="s">
        <v>2650</v>
      </c>
      <c r="C145" s="122" t="s">
        <v>2360</v>
      </c>
      <c r="D145" s="122" t="s">
        <v>2239</v>
      </c>
      <c r="E145" s="124">
        <v>42762</v>
      </c>
      <c r="F145" s="125">
        <v>0.44444444444444442</v>
      </c>
      <c r="G145" s="124">
        <v>42816</v>
      </c>
      <c r="H145" s="125">
        <v>0.69791666666666663</v>
      </c>
      <c r="I145" s="123">
        <v>687</v>
      </c>
      <c r="J145" s="123">
        <v>836</v>
      </c>
      <c r="K145" s="142" t="str">
        <f t="shared" si="8"/>
        <v>G836</v>
      </c>
      <c r="L145" s="123">
        <v>456</v>
      </c>
      <c r="M145" s="142" t="str">
        <f t="shared" si="9"/>
        <v>R456</v>
      </c>
      <c r="N145" s="123">
        <v>697</v>
      </c>
      <c r="O145" s="142" t="str">
        <f t="shared" si="10"/>
        <v>G697</v>
      </c>
      <c r="P145" s="123">
        <v>567</v>
      </c>
      <c r="Q145" s="142" t="str">
        <f t="shared" si="11"/>
        <v>R567</v>
      </c>
      <c r="R145" s="123">
        <v>29</v>
      </c>
      <c r="S145" s="123">
        <v>5.6</v>
      </c>
      <c r="T145" s="123">
        <v>32.799999999999997</v>
      </c>
      <c r="U145" s="123">
        <v>23.4</v>
      </c>
      <c r="V145" s="126" t="s">
        <v>2182</v>
      </c>
      <c r="W145" s="126"/>
      <c r="X145" s="126" t="s">
        <v>2182</v>
      </c>
      <c r="Y145" s="123"/>
      <c r="Z145" s="123">
        <v>23.4</v>
      </c>
      <c r="AA145" s="123" t="s">
        <v>2223</v>
      </c>
      <c r="AB145" s="123">
        <v>2</v>
      </c>
      <c r="AC145" s="123">
        <v>1</v>
      </c>
      <c r="AD145" s="123"/>
    </row>
    <row r="146" spans="1:30">
      <c r="A146" s="121">
        <v>144</v>
      </c>
      <c r="B146" s="122" t="s">
        <v>2650</v>
      </c>
      <c r="C146" s="122" t="s">
        <v>2361</v>
      </c>
      <c r="D146" s="122" t="s">
        <v>2239</v>
      </c>
      <c r="E146" s="124">
        <v>42762</v>
      </c>
      <c r="F146" s="125">
        <v>0.44791666666666669</v>
      </c>
      <c r="G146" s="124">
        <v>42816</v>
      </c>
      <c r="H146" s="125">
        <v>0.70138888888888884</v>
      </c>
      <c r="I146" s="123">
        <v>688</v>
      </c>
      <c r="J146" s="123">
        <v>784</v>
      </c>
      <c r="K146" s="142" t="str">
        <f t="shared" si="8"/>
        <v>G784</v>
      </c>
      <c r="L146" s="123">
        <v>571</v>
      </c>
      <c r="M146" s="142" t="str">
        <f t="shared" si="9"/>
        <v>R571</v>
      </c>
      <c r="N146" s="123">
        <v>894</v>
      </c>
      <c r="O146" s="142" t="str">
        <f t="shared" si="10"/>
        <v>G894</v>
      </c>
      <c r="P146" s="123">
        <v>15</v>
      </c>
      <c r="Q146" s="142" t="str">
        <f t="shared" si="11"/>
        <v>R15</v>
      </c>
      <c r="R146" s="123">
        <v>28.3</v>
      </c>
      <c r="S146" s="123">
        <v>6.5</v>
      </c>
      <c r="T146" s="123">
        <v>34.5</v>
      </c>
      <c r="U146" s="123">
        <v>27.8</v>
      </c>
      <c r="V146" s="126" t="s">
        <v>2182</v>
      </c>
      <c r="W146" s="126" t="s">
        <v>2174</v>
      </c>
      <c r="X146" s="126" t="s">
        <v>2182</v>
      </c>
      <c r="Y146" s="123"/>
      <c r="Z146" s="123">
        <v>19.8</v>
      </c>
      <c r="AA146" s="123" t="s">
        <v>2223</v>
      </c>
      <c r="AB146" s="123">
        <v>2.5</v>
      </c>
      <c r="AC146" s="123">
        <v>1</v>
      </c>
      <c r="AD146" s="123"/>
    </row>
    <row r="147" spans="1:30">
      <c r="A147" s="121">
        <v>145</v>
      </c>
      <c r="B147" s="122" t="s">
        <v>2650</v>
      </c>
      <c r="C147" s="122" t="s">
        <v>2362</v>
      </c>
      <c r="D147" s="122" t="s">
        <v>2251</v>
      </c>
      <c r="E147" s="124">
        <v>42762</v>
      </c>
      <c r="F147" s="125">
        <v>0.4548611111111111</v>
      </c>
      <c r="G147" s="124">
        <v>42815</v>
      </c>
      <c r="H147" s="125">
        <v>0.69097222222222221</v>
      </c>
      <c r="I147" s="123">
        <v>698</v>
      </c>
      <c r="J147" s="123">
        <v>902</v>
      </c>
      <c r="K147" s="142" t="str">
        <f t="shared" si="8"/>
        <v>G902</v>
      </c>
      <c r="L147" s="123">
        <v>27</v>
      </c>
      <c r="M147" s="142" t="str">
        <f t="shared" si="9"/>
        <v>R27</v>
      </c>
      <c r="N147" s="129">
        <v>653</v>
      </c>
      <c r="O147" s="142" t="str">
        <f t="shared" si="10"/>
        <v>G653</v>
      </c>
      <c r="P147" s="123">
        <v>40</v>
      </c>
      <c r="Q147" s="142" t="str">
        <f t="shared" si="11"/>
        <v>R40</v>
      </c>
      <c r="R147" s="123">
        <v>27.4</v>
      </c>
      <c r="S147" s="123">
        <v>16.8</v>
      </c>
      <c r="T147" s="123">
        <v>34.4</v>
      </c>
      <c r="U147" s="123">
        <v>37.6</v>
      </c>
      <c r="V147" s="123" t="s">
        <v>2182</v>
      </c>
      <c r="W147" s="126"/>
      <c r="X147" s="126"/>
      <c r="Y147" s="126"/>
      <c r="Z147" s="123">
        <v>13</v>
      </c>
      <c r="AA147" s="123" t="s">
        <v>2245</v>
      </c>
      <c r="AB147" s="123">
        <v>3.95</v>
      </c>
      <c r="AC147" s="123">
        <v>0</v>
      </c>
      <c r="AD147" s="123"/>
    </row>
    <row r="148" spans="1:30">
      <c r="A148" s="121">
        <v>146</v>
      </c>
      <c r="B148" s="122" t="s">
        <v>2650</v>
      </c>
      <c r="C148" s="122" t="s">
        <v>2363</v>
      </c>
      <c r="D148" s="122" t="s">
        <v>2251</v>
      </c>
      <c r="E148" s="124">
        <v>42762</v>
      </c>
      <c r="F148" s="125">
        <v>0.5</v>
      </c>
      <c r="G148" s="124">
        <v>42815</v>
      </c>
      <c r="H148" s="125">
        <v>0.69444444444444453</v>
      </c>
      <c r="I148" s="123">
        <v>699</v>
      </c>
      <c r="J148" s="123">
        <v>689</v>
      </c>
      <c r="K148" s="142" t="str">
        <f t="shared" si="8"/>
        <v>G689</v>
      </c>
      <c r="L148" s="123">
        <v>492</v>
      </c>
      <c r="M148" s="142" t="str">
        <f t="shared" si="9"/>
        <v>R492</v>
      </c>
      <c r="N148" s="123">
        <v>762</v>
      </c>
      <c r="O148" s="142" t="str">
        <f t="shared" si="10"/>
        <v>G762</v>
      </c>
      <c r="P148" s="123">
        <v>468</v>
      </c>
      <c r="Q148" s="142" t="str">
        <f t="shared" si="11"/>
        <v>R468</v>
      </c>
      <c r="R148" s="123">
        <v>27.2</v>
      </c>
      <c r="S148" s="123">
        <v>15.7</v>
      </c>
      <c r="T148" s="123">
        <v>33.9</v>
      </c>
      <c r="U148" s="123">
        <v>29.6</v>
      </c>
      <c r="V148" s="123" t="s">
        <v>2201</v>
      </c>
      <c r="W148" s="126"/>
      <c r="X148" s="126" t="s">
        <v>2182</v>
      </c>
      <c r="Y148" s="126"/>
      <c r="Z148" s="123">
        <v>17.7</v>
      </c>
      <c r="AA148" s="123" t="s">
        <v>2245</v>
      </c>
      <c r="AB148" s="123">
        <v>2.75</v>
      </c>
      <c r="AC148" s="123">
        <v>1</v>
      </c>
      <c r="AD148" s="123"/>
    </row>
    <row r="149" spans="1:30">
      <c r="A149" s="121">
        <v>147</v>
      </c>
      <c r="B149" s="122" t="s">
        <v>2650</v>
      </c>
      <c r="C149" s="122" t="s">
        <v>2364</v>
      </c>
      <c r="D149" s="122" t="s">
        <v>2251</v>
      </c>
      <c r="E149" s="124">
        <v>42762</v>
      </c>
      <c r="F149" s="125">
        <v>0.50347222222222221</v>
      </c>
      <c r="G149" s="124">
        <v>42816</v>
      </c>
      <c r="H149" s="125">
        <v>0.70138888888888884</v>
      </c>
      <c r="I149" s="123">
        <v>700</v>
      </c>
      <c r="J149" s="123">
        <v>678</v>
      </c>
      <c r="K149" s="142" t="str">
        <f t="shared" si="8"/>
        <v>G678</v>
      </c>
      <c r="L149" s="123">
        <v>573</v>
      </c>
      <c r="M149" s="142" t="str">
        <f t="shared" si="9"/>
        <v>R573</v>
      </c>
      <c r="N149" s="123">
        <v>878</v>
      </c>
      <c r="O149" s="142" t="str">
        <f t="shared" si="10"/>
        <v>G878</v>
      </c>
      <c r="P149" s="123">
        <v>582</v>
      </c>
      <c r="Q149" s="142" t="str">
        <f t="shared" si="11"/>
        <v>R582</v>
      </c>
      <c r="R149" s="123">
        <v>27.3</v>
      </c>
      <c r="S149" s="123">
        <v>9.6</v>
      </c>
      <c r="T149" s="123">
        <v>32.5</v>
      </c>
      <c r="U149" s="123">
        <v>37.1</v>
      </c>
      <c r="V149" s="123"/>
      <c r="W149" s="126"/>
      <c r="X149" s="126"/>
      <c r="Y149" s="126"/>
      <c r="Z149" s="123">
        <v>19</v>
      </c>
      <c r="AA149" s="123" t="s">
        <v>2175</v>
      </c>
      <c r="AB149" s="123">
        <v>3.6</v>
      </c>
      <c r="AC149" s="123">
        <v>1</v>
      </c>
      <c r="AD149" s="123"/>
    </row>
    <row r="150" spans="1:30">
      <c r="A150" s="121">
        <v>148</v>
      </c>
      <c r="B150" s="122" t="s">
        <v>2650</v>
      </c>
      <c r="C150" s="122" t="s">
        <v>2365</v>
      </c>
      <c r="D150" s="122" t="s">
        <v>2251</v>
      </c>
      <c r="E150" s="124">
        <v>42762</v>
      </c>
      <c r="F150" s="125">
        <v>0.50694444444444442</v>
      </c>
      <c r="G150" s="124">
        <v>42816</v>
      </c>
      <c r="H150" s="125">
        <v>0.37847222222222227</v>
      </c>
      <c r="I150" s="123">
        <v>701</v>
      </c>
      <c r="J150" s="123">
        <v>835</v>
      </c>
      <c r="K150" s="142" t="str">
        <f t="shared" si="8"/>
        <v>G835</v>
      </c>
      <c r="L150" s="123">
        <v>472</v>
      </c>
      <c r="M150" s="142" t="str">
        <f t="shared" si="9"/>
        <v>R472</v>
      </c>
      <c r="N150" s="123">
        <v>807</v>
      </c>
      <c r="O150" s="142" t="str">
        <f t="shared" si="10"/>
        <v>G807</v>
      </c>
      <c r="P150" s="123">
        <v>20</v>
      </c>
      <c r="Q150" s="142" t="str">
        <f t="shared" si="11"/>
        <v>R20</v>
      </c>
      <c r="R150" s="123">
        <v>27.4</v>
      </c>
      <c r="S150" s="123">
        <v>18.100000000000001</v>
      </c>
      <c r="T150" s="123">
        <v>23.2</v>
      </c>
      <c r="U150" s="123">
        <v>38.299999999999997</v>
      </c>
      <c r="V150" s="123" t="s">
        <v>2174</v>
      </c>
      <c r="W150" s="126" t="s">
        <v>2174</v>
      </c>
      <c r="X150" s="126" t="s">
        <v>2182</v>
      </c>
      <c r="Y150" s="126"/>
      <c r="Z150" s="123">
        <v>17.489999999999998</v>
      </c>
      <c r="AA150" s="123" t="s">
        <v>2175</v>
      </c>
      <c r="AB150" s="123">
        <v>4.9000000000000004</v>
      </c>
      <c r="AC150" s="123">
        <v>1</v>
      </c>
      <c r="AD150" s="123"/>
    </row>
    <row r="151" spans="1:30">
      <c r="A151" s="121">
        <v>149</v>
      </c>
      <c r="B151" s="122" t="s">
        <v>2650</v>
      </c>
      <c r="C151" s="122" t="s">
        <v>2366</v>
      </c>
      <c r="D151" s="122" t="s">
        <v>2251</v>
      </c>
      <c r="E151" s="124">
        <v>42762</v>
      </c>
      <c r="F151" s="125">
        <v>0.51041666666666663</v>
      </c>
      <c r="G151" s="124">
        <v>42816</v>
      </c>
      <c r="H151" s="125">
        <v>0.38541666666666669</v>
      </c>
      <c r="I151" s="123">
        <v>702</v>
      </c>
      <c r="J151" s="129">
        <v>733</v>
      </c>
      <c r="K151" s="142" t="str">
        <f t="shared" si="8"/>
        <v>G733</v>
      </c>
      <c r="L151" s="123">
        <v>545</v>
      </c>
      <c r="M151" s="142" t="str">
        <f t="shared" si="9"/>
        <v>R545</v>
      </c>
      <c r="N151" s="123">
        <v>696</v>
      </c>
      <c r="O151" s="142" t="str">
        <f t="shared" si="10"/>
        <v>G696</v>
      </c>
      <c r="P151" s="123">
        <v>533</v>
      </c>
      <c r="Q151" s="142" t="str">
        <f t="shared" si="11"/>
        <v>R533</v>
      </c>
      <c r="R151" s="123">
        <v>29.7</v>
      </c>
      <c r="S151" s="123">
        <v>11.7</v>
      </c>
      <c r="T151" s="123">
        <v>24.1</v>
      </c>
      <c r="U151" s="123">
        <v>39.1</v>
      </c>
      <c r="V151" s="123"/>
      <c r="W151" s="126"/>
      <c r="X151" s="126"/>
      <c r="Y151" s="126"/>
      <c r="Z151" s="123">
        <v>13</v>
      </c>
      <c r="AA151" s="123" t="s">
        <v>2175</v>
      </c>
      <c r="AB151" s="123">
        <v>2.8</v>
      </c>
      <c r="AC151" s="123">
        <v>1</v>
      </c>
      <c r="AD151" s="123"/>
    </row>
    <row r="152" spans="1:30">
      <c r="A152" s="121">
        <v>150</v>
      </c>
      <c r="B152" s="122" t="s">
        <v>2650</v>
      </c>
      <c r="C152" s="122" t="s">
        <v>2367</v>
      </c>
      <c r="D152" s="122" t="s">
        <v>2251</v>
      </c>
      <c r="E152" s="124">
        <v>42762</v>
      </c>
      <c r="F152" s="125">
        <v>0.51388888888888895</v>
      </c>
      <c r="G152" s="124">
        <v>42816</v>
      </c>
      <c r="H152" s="125">
        <v>0.3923611111111111</v>
      </c>
      <c r="I152" s="123">
        <v>703</v>
      </c>
      <c r="J152" s="123">
        <v>658</v>
      </c>
      <c r="K152" s="142" t="str">
        <f t="shared" si="8"/>
        <v>G658</v>
      </c>
      <c r="L152" s="123">
        <v>7</v>
      </c>
      <c r="M152" s="142" t="str">
        <f t="shared" si="9"/>
        <v>R7</v>
      </c>
      <c r="N152" s="123">
        <v>801</v>
      </c>
      <c r="O152" s="142" t="str">
        <f t="shared" si="10"/>
        <v>G801</v>
      </c>
      <c r="P152" s="123">
        <v>572</v>
      </c>
      <c r="Q152" s="142" t="str">
        <f t="shared" si="11"/>
        <v>R572</v>
      </c>
      <c r="R152" s="123">
        <v>26.5</v>
      </c>
      <c r="S152" s="123">
        <v>9.1</v>
      </c>
      <c r="T152" s="123">
        <v>23</v>
      </c>
      <c r="U152" s="123">
        <v>36</v>
      </c>
      <c r="V152" s="123"/>
      <c r="W152" s="126"/>
      <c r="X152" s="126"/>
      <c r="Y152" s="126"/>
      <c r="Z152" s="123">
        <v>19</v>
      </c>
      <c r="AA152" s="123" t="s">
        <v>2245</v>
      </c>
      <c r="AB152" s="123">
        <v>2.75</v>
      </c>
      <c r="AC152" s="123">
        <v>0</v>
      </c>
      <c r="AD152" s="123"/>
    </row>
    <row r="153" spans="1:30">
      <c r="A153" s="121">
        <v>151</v>
      </c>
      <c r="B153" s="122" t="s">
        <v>2650</v>
      </c>
      <c r="C153" s="122" t="s">
        <v>2368</v>
      </c>
      <c r="D153" s="122" t="s">
        <v>2251</v>
      </c>
      <c r="E153" s="124">
        <v>42762</v>
      </c>
      <c r="F153" s="125">
        <v>0.52083333333333337</v>
      </c>
      <c r="G153" s="124">
        <v>42816</v>
      </c>
      <c r="H153" s="125">
        <v>0.39930555555555558</v>
      </c>
      <c r="I153" s="123">
        <v>704</v>
      </c>
      <c r="J153" s="123">
        <v>567</v>
      </c>
      <c r="K153" s="142" t="str">
        <f t="shared" si="8"/>
        <v>G567</v>
      </c>
      <c r="L153" s="123">
        <v>447</v>
      </c>
      <c r="M153" s="142" t="str">
        <f t="shared" si="9"/>
        <v>R447</v>
      </c>
      <c r="N153" s="123">
        <v>647</v>
      </c>
      <c r="O153" s="142" t="str">
        <f t="shared" si="10"/>
        <v>G647</v>
      </c>
      <c r="P153" s="123">
        <v>504</v>
      </c>
      <c r="Q153" s="142" t="str">
        <f t="shared" si="11"/>
        <v>R504</v>
      </c>
      <c r="R153" s="123">
        <v>29</v>
      </c>
      <c r="S153" s="123">
        <v>17.3</v>
      </c>
      <c r="T153" s="123">
        <v>24</v>
      </c>
      <c r="U153" s="123">
        <v>34.799999999999997</v>
      </c>
      <c r="V153" s="123" t="s">
        <v>2182</v>
      </c>
      <c r="W153" s="126"/>
      <c r="X153" s="126" t="s">
        <v>2182</v>
      </c>
      <c r="Y153" s="126"/>
      <c r="Z153" s="123">
        <v>7.9</v>
      </c>
      <c r="AA153" s="123" t="s">
        <v>2245</v>
      </c>
      <c r="AB153" s="123">
        <v>1.4</v>
      </c>
      <c r="AC153" s="123">
        <v>1</v>
      </c>
      <c r="AD153" s="123"/>
    </row>
    <row r="154" spans="1:30">
      <c r="A154" s="121">
        <v>152</v>
      </c>
      <c r="B154" s="122" t="s">
        <v>2650</v>
      </c>
      <c r="C154" s="122" t="s">
        <v>2369</v>
      </c>
      <c r="D154" s="122" t="s">
        <v>2251</v>
      </c>
      <c r="E154" s="124">
        <v>42762</v>
      </c>
      <c r="F154" s="125">
        <v>0.52430555555555558</v>
      </c>
      <c r="G154" s="124">
        <v>42816</v>
      </c>
      <c r="H154" s="125">
        <v>0.40625</v>
      </c>
      <c r="I154" s="123">
        <v>705</v>
      </c>
      <c r="J154" s="123">
        <v>853</v>
      </c>
      <c r="K154" s="142" t="str">
        <f t="shared" si="8"/>
        <v>G853</v>
      </c>
      <c r="L154" s="123">
        <v>591</v>
      </c>
      <c r="M154" s="142" t="str">
        <f t="shared" si="9"/>
        <v>R591</v>
      </c>
      <c r="N154" s="123">
        <v>744</v>
      </c>
      <c r="O154" s="142" t="str">
        <f t="shared" si="10"/>
        <v>G744</v>
      </c>
      <c r="P154" s="123">
        <v>579</v>
      </c>
      <c r="Q154" s="142" t="str">
        <f t="shared" si="11"/>
        <v>R579</v>
      </c>
      <c r="R154" s="123">
        <v>24.9</v>
      </c>
      <c r="S154" s="123">
        <v>10</v>
      </c>
      <c r="T154" s="123">
        <v>22.5</v>
      </c>
      <c r="U154" s="123">
        <v>27.6</v>
      </c>
      <c r="V154" s="123"/>
      <c r="W154" s="126" t="s">
        <v>2182</v>
      </c>
      <c r="X154" s="126" t="s">
        <v>2182</v>
      </c>
      <c r="Y154" s="126"/>
      <c r="Z154" s="123">
        <v>15</v>
      </c>
      <c r="AA154" s="123" t="s">
        <v>2175</v>
      </c>
      <c r="AB154" s="123">
        <v>2.2000000000000002</v>
      </c>
      <c r="AC154" s="123">
        <v>0</v>
      </c>
      <c r="AD154" s="123" t="s">
        <v>2370</v>
      </c>
    </row>
    <row r="155" spans="1:30">
      <c r="A155" s="121">
        <v>153</v>
      </c>
      <c r="B155" s="122" t="s">
        <v>2650</v>
      </c>
      <c r="C155" s="122" t="s">
        <v>2371</v>
      </c>
      <c r="D155" s="122" t="s">
        <v>2260</v>
      </c>
      <c r="E155" s="124">
        <v>42762</v>
      </c>
      <c r="F155" s="125">
        <v>0.53125</v>
      </c>
      <c r="G155" s="124">
        <v>42816</v>
      </c>
      <c r="H155" s="125">
        <v>0.41666666666666669</v>
      </c>
      <c r="I155" s="123">
        <v>710</v>
      </c>
      <c r="J155" s="123">
        <v>800</v>
      </c>
      <c r="K155" s="142" t="str">
        <f t="shared" si="8"/>
        <v>G800</v>
      </c>
      <c r="L155" s="123">
        <v>479</v>
      </c>
      <c r="M155" s="142" t="str">
        <f t="shared" si="9"/>
        <v>R479</v>
      </c>
      <c r="N155" s="123">
        <v>885</v>
      </c>
      <c r="O155" s="142" t="str">
        <f t="shared" si="10"/>
        <v>G885</v>
      </c>
      <c r="P155" s="123">
        <v>440</v>
      </c>
      <c r="Q155" s="142" t="str">
        <f t="shared" si="11"/>
        <v>R440</v>
      </c>
      <c r="R155" s="123">
        <v>28.6</v>
      </c>
      <c r="S155" s="123">
        <v>11.4</v>
      </c>
      <c r="T155" s="123">
        <v>24.8</v>
      </c>
      <c r="U155" s="123">
        <v>31.3</v>
      </c>
      <c r="V155" s="123" t="s">
        <v>2182</v>
      </c>
      <c r="W155" s="126" t="s">
        <v>2195</v>
      </c>
      <c r="X155" s="126" t="s">
        <v>2182</v>
      </c>
      <c r="Y155" s="126"/>
      <c r="Z155" s="123">
        <v>16.399999999999999</v>
      </c>
      <c r="AA155" s="123" t="s">
        <v>2223</v>
      </c>
      <c r="AB155" s="123">
        <v>2.1</v>
      </c>
      <c r="AC155" s="123">
        <v>0</v>
      </c>
      <c r="AD155" s="123"/>
    </row>
    <row r="156" spans="1:30">
      <c r="A156" s="121">
        <v>154</v>
      </c>
      <c r="B156" s="122" t="s">
        <v>2650</v>
      </c>
      <c r="C156" s="122" t="s">
        <v>2372</v>
      </c>
      <c r="D156" s="122" t="s">
        <v>2260</v>
      </c>
      <c r="E156" s="124">
        <v>42762</v>
      </c>
      <c r="F156" s="125">
        <v>0.53819444444444442</v>
      </c>
      <c r="G156" s="124">
        <v>42816</v>
      </c>
      <c r="H156" s="125">
        <v>0.4236111111111111</v>
      </c>
      <c r="I156" s="123">
        <v>711</v>
      </c>
      <c r="J156" s="123">
        <v>675</v>
      </c>
      <c r="K156" s="142" t="str">
        <f t="shared" si="8"/>
        <v>G675</v>
      </c>
      <c r="L156" s="123">
        <v>493</v>
      </c>
      <c r="M156" s="142" t="str">
        <f t="shared" si="9"/>
        <v>R493</v>
      </c>
      <c r="N156" s="123">
        <v>684</v>
      </c>
      <c r="O156" s="142" t="str">
        <f t="shared" si="10"/>
        <v>G684</v>
      </c>
      <c r="P156" s="123">
        <v>485</v>
      </c>
      <c r="Q156" s="142" t="str">
        <f t="shared" si="11"/>
        <v>R485</v>
      </c>
      <c r="R156" s="123">
        <v>28.5</v>
      </c>
      <c r="S156" s="123">
        <v>7.8</v>
      </c>
      <c r="T156" s="123">
        <v>22.9</v>
      </c>
      <c r="U156" s="123">
        <v>39.200000000000003</v>
      </c>
      <c r="V156" s="123" t="s">
        <v>2190</v>
      </c>
      <c r="W156" s="126" t="s">
        <v>2190</v>
      </c>
      <c r="X156" s="126" t="s">
        <v>2182</v>
      </c>
      <c r="Y156" s="126"/>
      <c r="Z156" s="123">
        <v>9</v>
      </c>
      <c r="AA156" s="123" t="s">
        <v>2223</v>
      </c>
      <c r="AB156" s="123">
        <v>2.15</v>
      </c>
      <c r="AC156" s="123">
        <v>0</v>
      </c>
      <c r="AD156" s="123"/>
    </row>
    <row r="157" spans="1:30">
      <c r="A157" s="121">
        <v>155</v>
      </c>
      <c r="B157" s="122" t="s">
        <v>2650</v>
      </c>
      <c r="C157" s="122" t="s">
        <v>2373</v>
      </c>
      <c r="D157" s="122" t="s">
        <v>2260</v>
      </c>
      <c r="E157" s="124">
        <v>42762</v>
      </c>
      <c r="F157" s="125">
        <v>0.54166666666666663</v>
      </c>
      <c r="G157" s="124">
        <v>42816</v>
      </c>
      <c r="H157" s="125">
        <v>0.43055555555555558</v>
      </c>
      <c r="I157" s="123">
        <v>712</v>
      </c>
      <c r="J157" s="123">
        <v>859</v>
      </c>
      <c r="K157" s="142" t="str">
        <f t="shared" si="8"/>
        <v>G859</v>
      </c>
      <c r="L157" s="123">
        <v>484</v>
      </c>
      <c r="M157" s="142" t="str">
        <f t="shared" si="9"/>
        <v>R484</v>
      </c>
      <c r="N157" s="123">
        <v>827</v>
      </c>
      <c r="O157" s="142" t="str">
        <f t="shared" si="10"/>
        <v>G827</v>
      </c>
      <c r="P157" s="123">
        <v>556</v>
      </c>
      <c r="Q157" s="142" t="str">
        <f t="shared" si="11"/>
        <v>R556</v>
      </c>
      <c r="R157" s="123">
        <v>30.4</v>
      </c>
      <c r="S157" s="123">
        <v>14.8</v>
      </c>
      <c r="T157" s="123">
        <v>23.2</v>
      </c>
      <c r="U157" s="123">
        <v>32.700000000000003</v>
      </c>
      <c r="V157" s="123" t="s">
        <v>2182</v>
      </c>
      <c r="W157" s="126" t="s">
        <v>2182</v>
      </c>
      <c r="X157" s="126"/>
      <c r="Y157" s="126"/>
      <c r="Z157" s="123">
        <v>11</v>
      </c>
      <c r="AA157" s="123" t="s">
        <v>2223</v>
      </c>
      <c r="AB157" s="123">
        <v>1.2</v>
      </c>
      <c r="AC157" s="123">
        <v>0</v>
      </c>
      <c r="AD157" s="123"/>
    </row>
    <row r="158" spans="1:30">
      <c r="A158" s="121">
        <v>156</v>
      </c>
      <c r="B158" s="122" t="s">
        <v>2650</v>
      </c>
      <c r="C158" s="122" t="s">
        <v>2374</v>
      </c>
      <c r="D158" s="122" t="s">
        <v>2260</v>
      </c>
      <c r="E158" s="124">
        <v>42762</v>
      </c>
      <c r="F158" s="125">
        <v>0.54513888888888895</v>
      </c>
      <c r="G158" s="124">
        <v>42816</v>
      </c>
      <c r="H158" s="125">
        <v>0.4375</v>
      </c>
      <c r="I158" s="123">
        <v>713</v>
      </c>
      <c r="J158" s="123">
        <v>654</v>
      </c>
      <c r="K158" s="142" t="str">
        <f t="shared" si="8"/>
        <v>G654</v>
      </c>
      <c r="L158" s="123">
        <v>598</v>
      </c>
      <c r="M158" s="142" t="str">
        <f t="shared" si="9"/>
        <v>R598</v>
      </c>
      <c r="N158" s="123">
        <v>667</v>
      </c>
      <c r="O158" s="142" t="str">
        <f t="shared" si="10"/>
        <v>G667</v>
      </c>
      <c r="P158" s="123">
        <v>464</v>
      </c>
      <c r="Q158" s="142" t="str">
        <f t="shared" si="11"/>
        <v>R464</v>
      </c>
      <c r="R158" s="123">
        <v>29.5</v>
      </c>
      <c r="S158" s="123">
        <v>10.8</v>
      </c>
      <c r="T158" s="123">
        <v>24.4</v>
      </c>
      <c r="U158" s="123">
        <v>32.6</v>
      </c>
      <c r="V158" s="123" t="s">
        <v>2174</v>
      </c>
      <c r="W158" s="126" t="s">
        <v>2182</v>
      </c>
      <c r="X158" s="126" t="s">
        <v>2182</v>
      </c>
      <c r="Y158" s="126" t="s">
        <v>2182</v>
      </c>
      <c r="Z158" s="123">
        <v>9.1</v>
      </c>
      <c r="AA158" s="123" t="s">
        <v>2245</v>
      </c>
      <c r="AB158" s="123">
        <v>1.55</v>
      </c>
      <c r="AC158" s="123">
        <v>0</v>
      </c>
      <c r="AD158" s="123" t="s">
        <v>2375</v>
      </c>
    </row>
    <row r="159" spans="1:30">
      <c r="A159" s="121">
        <v>157</v>
      </c>
      <c r="B159" s="122" t="s">
        <v>2650</v>
      </c>
      <c r="C159" s="122" t="s">
        <v>2376</v>
      </c>
      <c r="D159" s="122" t="s">
        <v>2260</v>
      </c>
      <c r="E159" s="124">
        <v>42762</v>
      </c>
      <c r="F159" s="125">
        <v>0.54513888888888895</v>
      </c>
      <c r="G159" s="124">
        <v>42816</v>
      </c>
      <c r="H159" s="125">
        <v>0.44097222222222227</v>
      </c>
      <c r="I159" s="123">
        <v>714</v>
      </c>
      <c r="J159" s="123">
        <v>890</v>
      </c>
      <c r="K159" s="142" t="str">
        <f t="shared" si="8"/>
        <v>G890</v>
      </c>
      <c r="L159" s="123">
        <v>30</v>
      </c>
      <c r="M159" s="142" t="str">
        <f t="shared" si="9"/>
        <v>R30</v>
      </c>
      <c r="N159" s="123">
        <v>777</v>
      </c>
      <c r="O159" s="142" t="str">
        <f t="shared" si="10"/>
        <v>G777</v>
      </c>
      <c r="P159" s="123">
        <v>35</v>
      </c>
      <c r="Q159" s="142" t="str">
        <f t="shared" si="11"/>
        <v>R35</v>
      </c>
      <c r="R159" s="123">
        <v>32</v>
      </c>
      <c r="S159" s="123">
        <v>10.199999999999999</v>
      </c>
      <c r="T159" s="123">
        <v>26.4</v>
      </c>
      <c r="U159" s="123">
        <v>35</v>
      </c>
      <c r="V159" s="123" t="s">
        <v>2182</v>
      </c>
      <c r="W159" s="126" t="s">
        <v>2229</v>
      </c>
      <c r="X159" s="126" t="s">
        <v>2182</v>
      </c>
      <c r="Y159" s="126"/>
      <c r="Z159" s="123">
        <v>7.7</v>
      </c>
      <c r="AA159" s="123" t="s">
        <v>2245</v>
      </c>
      <c r="AB159" s="123">
        <v>2.2999999999999998</v>
      </c>
      <c r="AC159" s="123">
        <v>0</v>
      </c>
      <c r="AD159" s="123"/>
    </row>
    <row r="160" spans="1:30">
      <c r="A160" s="121">
        <v>158</v>
      </c>
      <c r="B160" s="122" t="s">
        <v>2650</v>
      </c>
      <c r="C160" s="122" t="s">
        <v>2377</v>
      </c>
      <c r="D160" s="122" t="s">
        <v>2260</v>
      </c>
      <c r="E160" s="124">
        <v>42762</v>
      </c>
      <c r="F160" s="125">
        <v>0.55208333333333337</v>
      </c>
      <c r="G160" s="124">
        <v>42816</v>
      </c>
      <c r="H160" s="125">
        <v>0.44791666666666669</v>
      </c>
      <c r="I160" s="123">
        <v>715</v>
      </c>
      <c r="J160" s="123">
        <v>576</v>
      </c>
      <c r="K160" s="142" t="str">
        <f t="shared" si="8"/>
        <v>G576</v>
      </c>
      <c r="L160" s="123">
        <v>16</v>
      </c>
      <c r="M160" s="142" t="str">
        <f t="shared" si="9"/>
        <v>R16</v>
      </c>
      <c r="N160" s="123">
        <v>884</v>
      </c>
      <c r="O160" s="142" t="str">
        <f t="shared" si="10"/>
        <v>G884</v>
      </c>
      <c r="P160" s="123">
        <v>570</v>
      </c>
      <c r="Q160" s="142" t="str">
        <f t="shared" si="11"/>
        <v>R570</v>
      </c>
      <c r="R160" s="123">
        <v>27.4</v>
      </c>
      <c r="S160" s="123">
        <v>12.4</v>
      </c>
      <c r="T160" s="123">
        <v>25.3</v>
      </c>
      <c r="U160" s="123">
        <v>32.5</v>
      </c>
      <c r="V160" s="123" t="s">
        <v>2201</v>
      </c>
      <c r="W160" s="126" t="s">
        <v>2182</v>
      </c>
      <c r="X160" s="126" t="s">
        <v>2182</v>
      </c>
      <c r="Y160" s="126"/>
      <c r="Z160" s="123">
        <v>4.3</v>
      </c>
      <c r="AA160" s="123" t="s">
        <v>2245</v>
      </c>
      <c r="AB160" s="123">
        <v>1.9</v>
      </c>
      <c r="AC160" s="123">
        <v>0</v>
      </c>
      <c r="AD160" s="123"/>
    </row>
    <row r="161" spans="1:31">
      <c r="A161" s="168">
        <v>159</v>
      </c>
      <c r="B161" s="169" t="s">
        <v>2650</v>
      </c>
      <c r="C161" s="169" t="s">
        <v>2378</v>
      </c>
      <c r="D161" s="169" t="s">
        <v>2260</v>
      </c>
      <c r="E161" s="170">
        <v>42762</v>
      </c>
      <c r="F161" s="173">
        <v>0.55555555555555558</v>
      </c>
      <c r="G161" s="170">
        <v>42816</v>
      </c>
      <c r="H161" s="168"/>
      <c r="I161" s="168">
        <v>716</v>
      </c>
      <c r="J161" s="168">
        <v>829</v>
      </c>
      <c r="K161" s="142" t="str">
        <f t="shared" si="8"/>
        <v>G829</v>
      </c>
      <c r="L161" s="168">
        <v>499</v>
      </c>
      <c r="M161" s="142" t="str">
        <f t="shared" si="9"/>
        <v>R499</v>
      </c>
      <c r="N161" s="168">
        <v>731</v>
      </c>
      <c r="O161" s="142" t="str">
        <f t="shared" si="10"/>
        <v>G731</v>
      </c>
      <c r="P161" s="168">
        <v>439</v>
      </c>
      <c r="Q161" s="142" t="str">
        <f t="shared" si="11"/>
        <v>R439</v>
      </c>
      <c r="R161" s="168">
        <v>28</v>
      </c>
      <c r="S161" s="168">
        <v>14.4</v>
      </c>
      <c r="T161" s="168"/>
      <c r="U161" s="168"/>
      <c r="V161" s="168"/>
      <c r="W161" s="168"/>
      <c r="X161" s="168"/>
      <c r="Y161" s="168"/>
      <c r="Z161" s="168">
        <v>0</v>
      </c>
      <c r="AA161" s="168" t="s">
        <v>2223</v>
      </c>
      <c r="AB161" s="168">
        <v>2.65</v>
      </c>
      <c r="AC161" s="168">
        <v>1</v>
      </c>
      <c r="AD161" s="168"/>
    </row>
    <row r="162" spans="1:31">
      <c r="A162" s="121">
        <v>160</v>
      </c>
      <c r="B162" s="122" t="s">
        <v>2650</v>
      </c>
      <c r="C162" s="122" t="s">
        <v>2379</v>
      </c>
      <c r="D162" s="122" t="s">
        <v>2260</v>
      </c>
      <c r="E162" s="124">
        <v>42762</v>
      </c>
      <c r="F162" s="125">
        <v>0.55555555555555558</v>
      </c>
      <c r="G162" s="124">
        <v>42816</v>
      </c>
      <c r="H162" s="125">
        <v>0.46875</v>
      </c>
      <c r="I162" s="123">
        <v>717</v>
      </c>
      <c r="J162" s="123">
        <v>809</v>
      </c>
      <c r="K162" s="142" t="str">
        <f t="shared" si="8"/>
        <v>G809</v>
      </c>
      <c r="L162" s="123">
        <v>421</v>
      </c>
      <c r="M162" s="142" t="str">
        <f t="shared" si="9"/>
        <v>R421</v>
      </c>
      <c r="N162" s="123">
        <v>876</v>
      </c>
      <c r="O162" s="142" t="str">
        <f t="shared" si="10"/>
        <v>G876</v>
      </c>
      <c r="P162" s="123">
        <v>461</v>
      </c>
      <c r="Q162" s="142" t="str">
        <f t="shared" si="11"/>
        <v>R461</v>
      </c>
      <c r="R162" s="123">
        <v>28.7</v>
      </c>
      <c r="S162" s="123">
        <v>12.1</v>
      </c>
      <c r="T162" s="123">
        <v>25.6</v>
      </c>
      <c r="U162" s="123">
        <v>20.9</v>
      </c>
      <c r="V162" s="123" t="s">
        <v>2182</v>
      </c>
      <c r="W162" s="126" t="s">
        <v>2182</v>
      </c>
      <c r="X162" s="126" t="s">
        <v>2182</v>
      </c>
      <c r="Y162" s="126"/>
      <c r="Z162" s="123">
        <v>10.8</v>
      </c>
      <c r="AA162" s="123" t="s">
        <v>2245</v>
      </c>
      <c r="AB162" s="123">
        <v>0.8</v>
      </c>
      <c r="AC162" s="123">
        <v>0</v>
      </c>
      <c r="AD162" s="123"/>
    </row>
    <row r="163" spans="1:31">
      <c r="A163" s="121">
        <v>161</v>
      </c>
      <c r="B163" s="122" t="s">
        <v>2380</v>
      </c>
      <c r="C163" s="122" t="s">
        <v>2381</v>
      </c>
      <c r="D163" s="122" t="s">
        <v>2273</v>
      </c>
      <c r="E163" s="124">
        <v>42763</v>
      </c>
      <c r="F163" s="125">
        <v>0.44097222222222227</v>
      </c>
      <c r="G163" s="124">
        <v>42814</v>
      </c>
      <c r="H163" s="125">
        <v>0.55902777777777779</v>
      </c>
      <c r="I163" s="123">
        <v>756</v>
      </c>
      <c r="J163" s="123">
        <v>352</v>
      </c>
      <c r="K163" s="142" t="str">
        <f>_xlfn.TEXTJOIN(,TRUE, "G",J163)</f>
        <v>G352</v>
      </c>
      <c r="L163" s="123">
        <v>124</v>
      </c>
      <c r="M163" s="142" t="str">
        <f t="shared" si="9"/>
        <v>R124</v>
      </c>
      <c r="N163" s="123">
        <v>351</v>
      </c>
      <c r="O163" s="142" t="str">
        <f t="shared" si="10"/>
        <v>G351</v>
      </c>
      <c r="P163" s="123">
        <v>253</v>
      </c>
      <c r="Q163" s="142" t="str">
        <f t="shared" si="11"/>
        <v>R253</v>
      </c>
      <c r="R163" s="123">
        <v>26</v>
      </c>
      <c r="S163" s="123">
        <v>18.600000000000001</v>
      </c>
      <c r="T163" s="123">
        <v>41.2</v>
      </c>
      <c r="U163" s="123">
        <v>3.6</v>
      </c>
      <c r="V163" s="123"/>
      <c r="W163" s="126"/>
      <c r="X163" s="126"/>
      <c r="Y163" s="126"/>
      <c r="Z163" s="123">
        <v>35.799999999999997</v>
      </c>
      <c r="AA163" s="123" t="s">
        <v>2175</v>
      </c>
      <c r="AB163" s="123">
        <v>7.6</v>
      </c>
      <c r="AC163" s="123">
        <v>0</v>
      </c>
      <c r="AD163" s="123"/>
    </row>
    <row r="164" spans="1:31">
      <c r="A164" s="121">
        <v>162</v>
      </c>
      <c r="B164" s="122" t="s">
        <v>2380</v>
      </c>
      <c r="C164" s="122" t="s">
        <v>2382</v>
      </c>
      <c r="D164" s="122" t="s">
        <v>2273</v>
      </c>
      <c r="E164" s="124">
        <v>42763</v>
      </c>
      <c r="F164" s="125">
        <v>0.44791666666666669</v>
      </c>
      <c r="G164" s="124">
        <v>42814</v>
      </c>
      <c r="H164" s="125">
        <v>0.56458333333333333</v>
      </c>
      <c r="I164" s="123">
        <v>757</v>
      </c>
      <c r="J164" s="123">
        <v>385</v>
      </c>
      <c r="K164" s="142" t="str">
        <f t="shared" si="8"/>
        <v>G385</v>
      </c>
      <c r="L164" s="123">
        <v>202</v>
      </c>
      <c r="M164" s="142" t="str">
        <f t="shared" si="9"/>
        <v>R202</v>
      </c>
      <c r="N164" s="123">
        <v>442</v>
      </c>
      <c r="O164" s="142" t="str">
        <f t="shared" si="10"/>
        <v>G442</v>
      </c>
      <c r="P164" s="123">
        <v>285</v>
      </c>
      <c r="Q164" s="142" t="str">
        <f t="shared" si="11"/>
        <v>R285</v>
      </c>
      <c r="R164" s="123">
        <v>27.2</v>
      </c>
      <c r="S164" s="123">
        <v>14.6</v>
      </c>
      <c r="T164" s="123">
        <v>41.7</v>
      </c>
      <c r="U164" s="123">
        <v>4.0999999999999996</v>
      </c>
      <c r="V164" s="123"/>
      <c r="W164" s="126" t="s">
        <v>2174</v>
      </c>
      <c r="X164" s="126"/>
      <c r="Y164" s="126" t="s">
        <v>2182</v>
      </c>
      <c r="Z164" s="123">
        <v>31.4</v>
      </c>
      <c r="AA164" s="123" t="s">
        <v>2175</v>
      </c>
      <c r="AB164" s="123">
        <v>4.0999999999999996</v>
      </c>
      <c r="AC164" s="123">
        <v>0</v>
      </c>
      <c r="AD164" s="123"/>
    </row>
    <row r="165" spans="1:31">
      <c r="A165" s="121">
        <v>163</v>
      </c>
      <c r="B165" s="122" t="s">
        <v>2380</v>
      </c>
      <c r="C165" s="122" t="s">
        <v>2383</v>
      </c>
      <c r="D165" s="122" t="s">
        <v>2273</v>
      </c>
      <c r="E165" s="124">
        <v>42763</v>
      </c>
      <c r="F165" s="125">
        <v>0.45833333333333331</v>
      </c>
      <c r="G165" s="124">
        <v>42814</v>
      </c>
      <c r="H165" s="125">
        <v>0.57291666666666663</v>
      </c>
      <c r="I165" s="123">
        <v>758</v>
      </c>
      <c r="J165" s="123">
        <v>202</v>
      </c>
      <c r="K165" s="142" t="str">
        <f t="shared" si="8"/>
        <v>G202</v>
      </c>
      <c r="L165" s="123">
        <v>96</v>
      </c>
      <c r="M165" s="142" t="str">
        <f t="shared" si="9"/>
        <v>R96</v>
      </c>
      <c r="N165" s="123">
        <v>743</v>
      </c>
      <c r="O165" s="142" t="str">
        <f t="shared" si="10"/>
        <v>G743</v>
      </c>
      <c r="P165" s="123">
        <v>341</v>
      </c>
      <c r="Q165" s="142" t="str">
        <f t="shared" si="11"/>
        <v>R341</v>
      </c>
      <c r="R165" s="123">
        <v>27.4</v>
      </c>
      <c r="S165" s="163">
        <v>14.2</v>
      </c>
      <c r="T165" s="123">
        <v>39.6</v>
      </c>
      <c r="U165" s="123">
        <v>4.4000000000000004</v>
      </c>
      <c r="V165" s="123" t="s">
        <v>2174</v>
      </c>
      <c r="W165" s="126"/>
      <c r="X165" s="126"/>
      <c r="Y165" s="126"/>
      <c r="Z165" s="123">
        <v>28.8</v>
      </c>
      <c r="AA165" s="123" t="s">
        <v>2175</v>
      </c>
      <c r="AB165" s="123">
        <v>7.8</v>
      </c>
      <c r="AC165" s="123">
        <v>0</v>
      </c>
      <c r="AD165" s="123"/>
      <c r="AE165" s="92"/>
    </row>
    <row r="166" spans="1:31">
      <c r="A166" s="121">
        <v>164</v>
      </c>
      <c r="B166" s="122" t="s">
        <v>2380</v>
      </c>
      <c r="C166" s="122" t="s">
        <v>2384</v>
      </c>
      <c r="D166" s="122" t="s">
        <v>2273</v>
      </c>
      <c r="E166" s="124">
        <v>42763</v>
      </c>
      <c r="F166" s="125">
        <v>0.46180555555555558</v>
      </c>
      <c r="G166" s="124">
        <v>42814</v>
      </c>
      <c r="H166" s="125">
        <v>0.57986111111111105</v>
      </c>
      <c r="I166" s="123">
        <v>759</v>
      </c>
      <c r="J166" s="123">
        <v>686</v>
      </c>
      <c r="K166" s="142" t="str">
        <f t="shared" si="8"/>
        <v>G686</v>
      </c>
      <c r="L166" s="123">
        <v>317</v>
      </c>
      <c r="M166" s="142" t="str">
        <f t="shared" si="9"/>
        <v>R317</v>
      </c>
      <c r="N166" s="123">
        <v>390</v>
      </c>
      <c r="O166" s="142" t="str">
        <f t="shared" si="10"/>
        <v>G390</v>
      </c>
      <c r="P166" s="129">
        <v>264</v>
      </c>
      <c r="Q166" s="142" t="str">
        <f t="shared" si="11"/>
        <v>R264</v>
      </c>
      <c r="R166" s="123">
        <v>27.4</v>
      </c>
      <c r="S166" s="123">
        <v>15.2</v>
      </c>
      <c r="T166" s="163">
        <v>40.200000000000003</v>
      </c>
      <c r="U166" s="123">
        <v>3.3</v>
      </c>
      <c r="V166" s="123"/>
      <c r="W166" s="126"/>
      <c r="X166" s="126"/>
      <c r="Y166" s="126"/>
      <c r="Z166" s="123">
        <v>20.8</v>
      </c>
      <c r="AA166" s="123" t="s">
        <v>2175</v>
      </c>
      <c r="AB166" s="123">
        <v>9.5</v>
      </c>
      <c r="AC166" s="123">
        <v>0</v>
      </c>
      <c r="AD166" s="123"/>
    </row>
    <row r="167" spans="1:31">
      <c r="A167" s="121">
        <v>165</v>
      </c>
      <c r="B167" s="122" t="s">
        <v>2380</v>
      </c>
      <c r="C167" s="122" t="s">
        <v>2385</v>
      </c>
      <c r="D167" s="122" t="s">
        <v>2273</v>
      </c>
      <c r="E167" s="124">
        <v>42763</v>
      </c>
      <c r="F167" s="125">
        <v>0.46527777777777773</v>
      </c>
      <c r="G167" s="124">
        <v>42814</v>
      </c>
      <c r="H167" s="125">
        <v>0.59027777777777779</v>
      </c>
      <c r="I167" s="123">
        <v>760</v>
      </c>
      <c r="J167" s="123">
        <v>368</v>
      </c>
      <c r="K167" s="142" t="str">
        <f t="shared" si="8"/>
        <v>G368</v>
      </c>
      <c r="L167" s="123">
        <v>331</v>
      </c>
      <c r="M167" s="142" t="str">
        <f t="shared" si="9"/>
        <v>R331</v>
      </c>
      <c r="N167" s="123">
        <v>810</v>
      </c>
      <c r="O167" s="142" t="str">
        <f t="shared" si="10"/>
        <v>G810</v>
      </c>
      <c r="P167" s="123">
        <v>411</v>
      </c>
      <c r="Q167" s="142" t="str">
        <f t="shared" si="11"/>
        <v>R411</v>
      </c>
      <c r="R167" s="123">
        <v>24.7</v>
      </c>
      <c r="S167" s="123">
        <v>19.2</v>
      </c>
      <c r="T167" s="123">
        <v>38.299999999999997</v>
      </c>
      <c r="U167" s="123">
        <v>4.8</v>
      </c>
      <c r="V167" s="123"/>
      <c r="W167" s="126" t="s">
        <v>2174</v>
      </c>
      <c r="X167" s="126"/>
      <c r="Y167" s="126"/>
      <c r="Z167" s="123">
        <v>13.8</v>
      </c>
      <c r="AA167" s="123" t="s">
        <v>2175</v>
      </c>
      <c r="AB167" s="123">
        <v>10.4</v>
      </c>
      <c r="AC167" s="123">
        <v>0</v>
      </c>
      <c r="AD167" s="123"/>
    </row>
    <row r="168" spans="1:31">
      <c r="A168" s="121">
        <v>166</v>
      </c>
      <c r="B168" s="122" t="s">
        <v>2380</v>
      </c>
      <c r="C168" s="122" t="s">
        <v>2386</v>
      </c>
      <c r="D168" s="122" t="s">
        <v>2273</v>
      </c>
      <c r="E168" s="124">
        <v>42763</v>
      </c>
      <c r="F168" s="125">
        <v>0.46875</v>
      </c>
      <c r="G168" s="124">
        <v>42814</v>
      </c>
      <c r="H168" s="125">
        <v>0.59722222222222221</v>
      </c>
      <c r="I168" s="123">
        <v>761</v>
      </c>
      <c r="J168" s="123">
        <v>334</v>
      </c>
      <c r="K168" s="142" t="str">
        <f t="shared" si="8"/>
        <v>G334</v>
      </c>
      <c r="L168" s="123">
        <v>287</v>
      </c>
      <c r="M168" s="142" t="str">
        <f t="shared" si="9"/>
        <v>R287</v>
      </c>
      <c r="N168" s="123">
        <v>287</v>
      </c>
      <c r="O168" s="142" t="str">
        <f t="shared" si="10"/>
        <v>G287</v>
      </c>
      <c r="P168" s="123">
        <v>259</v>
      </c>
      <c r="Q168" s="142" t="str">
        <f t="shared" si="11"/>
        <v>R259</v>
      </c>
      <c r="R168" s="123">
        <v>25.6</v>
      </c>
      <c r="S168" s="123">
        <v>18.3</v>
      </c>
      <c r="T168" s="123">
        <v>37.4</v>
      </c>
      <c r="U168" s="123">
        <v>3.7</v>
      </c>
      <c r="V168" s="123"/>
      <c r="W168" s="126"/>
      <c r="X168" s="126"/>
      <c r="Y168" s="126"/>
      <c r="Z168" s="123">
        <v>4.7</v>
      </c>
      <c r="AA168" s="123" t="s">
        <v>2175</v>
      </c>
      <c r="AB168" s="123">
        <v>2.1</v>
      </c>
      <c r="AC168" s="123">
        <v>0</v>
      </c>
      <c r="AD168" s="123" t="s">
        <v>2387</v>
      </c>
    </row>
    <row r="169" spans="1:31">
      <c r="A169" s="121">
        <v>167</v>
      </c>
      <c r="B169" s="122" t="s">
        <v>2380</v>
      </c>
      <c r="C169" s="122" t="s">
        <v>2388</v>
      </c>
      <c r="D169" s="122" t="s">
        <v>2273</v>
      </c>
      <c r="E169" s="124">
        <v>42763</v>
      </c>
      <c r="F169" s="125">
        <v>0.47569444444444442</v>
      </c>
      <c r="G169" s="124">
        <v>42814</v>
      </c>
      <c r="H169" s="125">
        <v>0.60416666666666663</v>
      </c>
      <c r="I169" s="123">
        <v>762</v>
      </c>
      <c r="J169" s="123">
        <v>429</v>
      </c>
      <c r="K169" s="142" t="str">
        <f t="shared" si="8"/>
        <v>G429</v>
      </c>
      <c r="L169" s="123">
        <v>255</v>
      </c>
      <c r="M169" s="142" t="str">
        <f t="shared" si="9"/>
        <v>R255</v>
      </c>
      <c r="N169" s="123">
        <v>443</v>
      </c>
      <c r="O169" s="142" t="str">
        <f t="shared" si="10"/>
        <v>G443</v>
      </c>
      <c r="P169" s="123">
        <v>215</v>
      </c>
      <c r="Q169" s="142" t="str">
        <f t="shared" si="11"/>
        <v>R215</v>
      </c>
      <c r="R169" s="123">
        <v>26.7</v>
      </c>
      <c r="S169" s="123">
        <v>16</v>
      </c>
      <c r="T169" s="123">
        <v>35.299999999999997</v>
      </c>
      <c r="U169" s="123">
        <v>4.9000000000000004</v>
      </c>
      <c r="V169" s="123"/>
      <c r="W169" s="126"/>
      <c r="X169" s="126"/>
      <c r="Y169" s="126"/>
      <c r="Z169" s="123">
        <v>4.2</v>
      </c>
      <c r="AA169" s="123" t="s">
        <v>2175</v>
      </c>
      <c r="AB169" s="123">
        <v>5.6</v>
      </c>
      <c r="AC169" s="123">
        <v>1</v>
      </c>
      <c r="AD169" s="123"/>
    </row>
    <row r="170" spans="1:31">
      <c r="A170" s="121">
        <v>168</v>
      </c>
      <c r="B170" s="122" t="s">
        <v>2380</v>
      </c>
      <c r="C170" s="122" t="s">
        <v>2389</v>
      </c>
      <c r="D170" s="122" t="s">
        <v>2273</v>
      </c>
      <c r="E170" s="124">
        <v>42763</v>
      </c>
      <c r="F170" s="125">
        <v>0.47916666666666669</v>
      </c>
      <c r="G170" s="124">
        <v>42814</v>
      </c>
      <c r="H170" s="125">
        <v>0.61111111111111105</v>
      </c>
      <c r="I170" s="123">
        <v>763</v>
      </c>
      <c r="J170" s="123">
        <v>461</v>
      </c>
      <c r="K170" s="142" t="str">
        <f t="shared" si="8"/>
        <v>G461</v>
      </c>
      <c r="L170" s="123">
        <v>534</v>
      </c>
      <c r="M170" s="142" t="str">
        <f t="shared" si="9"/>
        <v>R534</v>
      </c>
      <c r="N170" s="123">
        <v>680</v>
      </c>
      <c r="O170" s="142" t="str">
        <f t="shared" si="10"/>
        <v>G680</v>
      </c>
      <c r="P170" s="123">
        <v>322</v>
      </c>
      <c r="Q170" s="142" t="str">
        <f t="shared" si="11"/>
        <v>R322</v>
      </c>
      <c r="R170" s="123">
        <v>27.7</v>
      </c>
      <c r="S170" s="123">
        <v>17.399999999999999</v>
      </c>
      <c r="T170" s="123">
        <v>38.9</v>
      </c>
      <c r="U170" s="123">
        <v>5.0999999999999996</v>
      </c>
      <c r="V170" s="123" t="s">
        <v>2190</v>
      </c>
      <c r="W170" s="126"/>
      <c r="X170" s="126"/>
      <c r="Y170" s="126"/>
      <c r="Z170" s="123">
        <v>46</v>
      </c>
      <c r="AA170" s="123" t="s">
        <v>2175</v>
      </c>
      <c r="AB170" s="123">
        <v>2.4</v>
      </c>
      <c r="AC170" s="123">
        <v>0</v>
      </c>
      <c r="AD170" s="123"/>
    </row>
    <row r="171" spans="1:31">
      <c r="A171" s="121">
        <v>169</v>
      </c>
      <c r="B171" s="122" t="s">
        <v>2380</v>
      </c>
      <c r="C171" s="122" t="s">
        <v>2390</v>
      </c>
      <c r="D171" s="122" t="s">
        <v>2282</v>
      </c>
      <c r="E171" s="124">
        <v>42763</v>
      </c>
      <c r="F171" s="125">
        <v>0.50694444444444442</v>
      </c>
      <c r="G171" s="124">
        <v>42814</v>
      </c>
      <c r="H171" s="125">
        <v>0.63888888888888895</v>
      </c>
      <c r="I171" s="123">
        <v>782</v>
      </c>
      <c r="J171" s="123">
        <v>425</v>
      </c>
      <c r="K171" s="142" t="str">
        <f t="shared" si="8"/>
        <v>G425</v>
      </c>
      <c r="L171" s="123">
        <v>453</v>
      </c>
      <c r="M171" s="142" t="str">
        <f t="shared" si="9"/>
        <v>R453</v>
      </c>
      <c r="N171" s="123">
        <v>496</v>
      </c>
      <c r="O171" s="142" t="str">
        <f t="shared" si="10"/>
        <v>G496</v>
      </c>
      <c r="P171" s="123">
        <v>403</v>
      </c>
      <c r="Q171" s="142" t="str">
        <f t="shared" si="11"/>
        <v>R403</v>
      </c>
      <c r="R171" s="123">
        <v>30.2</v>
      </c>
      <c r="S171" s="123">
        <v>14.5</v>
      </c>
      <c r="T171" s="123">
        <v>42.2</v>
      </c>
      <c r="U171" s="123">
        <v>4.8</v>
      </c>
      <c r="V171" s="123"/>
      <c r="W171" s="126" t="s">
        <v>2190</v>
      </c>
      <c r="X171" s="126"/>
      <c r="Y171" s="126"/>
      <c r="Z171" s="123">
        <v>11.4</v>
      </c>
      <c r="AA171" s="123" t="s">
        <v>2245</v>
      </c>
      <c r="AB171" s="123">
        <v>8.1999999999999993</v>
      </c>
      <c r="AC171" s="123">
        <v>1</v>
      </c>
      <c r="AD171" s="123" t="s">
        <v>3141</v>
      </c>
    </row>
    <row r="172" spans="1:31">
      <c r="A172" s="121">
        <v>170</v>
      </c>
      <c r="B172" s="122" t="s">
        <v>2380</v>
      </c>
      <c r="C172" s="122" t="s">
        <v>2391</v>
      </c>
      <c r="D172" s="122" t="s">
        <v>2282</v>
      </c>
      <c r="E172" s="124">
        <v>42763</v>
      </c>
      <c r="F172" s="125">
        <v>0.51388888888888895</v>
      </c>
      <c r="G172" s="124">
        <v>42814</v>
      </c>
      <c r="H172" s="125">
        <v>0.64930555555555558</v>
      </c>
      <c r="I172" s="123">
        <v>783</v>
      </c>
      <c r="J172" s="123">
        <v>433</v>
      </c>
      <c r="K172" s="142" t="str">
        <f t="shared" si="8"/>
        <v>G433</v>
      </c>
      <c r="L172" s="123">
        <v>330</v>
      </c>
      <c r="M172" s="142" t="str">
        <f t="shared" si="9"/>
        <v>R330</v>
      </c>
      <c r="N172" s="123">
        <v>674</v>
      </c>
      <c r="O172" s="142" t="str">
        <f t="shared" si="10"/>
        <v>G674</v>
      </c>
      <c r="P172" s="123">
        <v>583</v>
      </c>
      <c r="Q172" s="142" t="str">
        <f t="shared" si="11"/>
        <v>R583</v>
      </c>
      <c r="R172" s="123">
        <v>27.9</v>
      </c>
      <c r="S172" s="123">
        <v>7.7</v>
      </c>
      <c r="T172" s="123">
        <v>39.299999999999997</v>
      </c>
      <c r="U172" s="123">
        <v>8.5</v>
      </c>
      <c r="V172" s="123"/>
      <c r="W172" s="126"/>
      <c r="X172" s="126"/>
      <c r="Y172" s="126"/>
      <c r="Z172" s="123">
        <v>15.8</v>
      </c>
      <c r="AA172" s="123" t="s">
        <v>2245</v>
      </c>
      <c r="AB172" s="123">
        <v>7.7</v>
      </c>
      <c r="AC172" s="123">
        <v>1</v>
      </c>
      <c r="AD172" s="123"/>
    </row>
    <row r="173" spans="1:31">
      <c r="A173" s="121">
        <v>171</v>
      </c>
      <c r="B173" s="122" t="s">
        <v>2380</v>
      </c>
      <c r="C173" s="122" t="s">
        <v>2392</v>
      </c>
      <c r="D173" s="122" t="s">
        <v>2282</v>
      </c>
      <c r="E173" s="124">
        <v>42763</v>
      </c>
      <c r="F173" s="125">
        <v>0.52083333333333337</v>
      </c>
      <c r="G173" s="124">
        <v>42814</v>
      </c>
      <c r="H173" s="125">
        <v>0.65277777777777779</v>
      </c>
      <c r="I173" s="123">
        <v>784</v>
      </c>
      <c r="J173" s="123">
        <v>656</v>
      </c>
      <c r="K173" s="142" t="str">
        <f t="shared" si="8"/>
        <v>G656</v>
      </c>
      <c r="L173" s="123">
        <v>558</v>
      </c>
      <c r="M173" s="142" t="str">
        <f t="shared" si="9"/>
        <v>R558</v>
      </c>
      <c r="N173" s="123">
        <v>504</v>
      </c>
      <c r="O173" s="142" t="str">
        <f t="shared" si="10"/>
        <v>G504</v>
      </c>
      <c r="P173" s="123">
        <v>451</v>
      </c>
      <c r="Q173" s="142" t="str">
        <f t="shared" si="11"/>
        <v>R451</v>
      </c>
      <c r="R173" s="123">
        <v>28.9</v>
      </c>
      <c r="S173" s="123">
        <v>15.1</v>
      </c>
      <c r="T173" s="123">
        <v>39.4</v>
      </c>
      <c r="U173" s="123">
        <v>5.9</v>
      </c>
      <c r="V173" s="123" t="s">
        <v>2182</v>
      </c>
      <c r="W173" s="126"/>
      <c r="X173" s="126"/>
      <c r="Y173" s="126"/>
      <c r="Z173" s="123">
        <v>7.6</v>
      </c>
      <c r="AA173" s="123" t="s">
        <v>2245</v>
      </c>
      <c r="AB173" s="123">
        <v>13.4</v>
      </c>
      <c r="AC173" s="123">
        <v>1</v>
      </c>
      <c r="AD173" s="123"/>
    </row>
    <row r="174" spans="1:31">
      <c r="A174" s="121">
        <v>172</v>
      </c>
      <c r="B174" s="122" t="s">
        <v>2380</v>
      </c>
      <c r="C174" s="122" t="s">
        <v>2393</v>
      </c>
      <c r="D174" s="122" t="s">
        <v>2282</v>
      </c>
      <c r="E174" s="124">
        <v>42763</v>
      </c>
      <c r="F174" s="125">
        <v>0.53125</v>
      </c>
      <c r="G174" s="124">
        <v>42814</v>
      </c>
      <c r="H174" s="125">
        <v>0.65972222222222221</v>
      </c>
      <c r="I174" s="123">
        <v>789</v>
      </c>
      <c r="J174" s="123">
        <v>281</v>
      </c>
      <c r="K174" s="142" t="str">
        <f t="shared" si="8"/>
        <v>G281</v>
      </c>
      <c r="L174" s="123">
        <v>157</v>
      </c>
      <c r="M174" s="142" t="str">
        <f t="shared" si="9"/>
        <v>R157</v>
      </c>
      <c r="N174" s="123">
        <v>439</v>
      </c>
      <c r="O174" s="142" t="str">
        <f t="shared" si="10"/>
        <v>G439</v>
      </c>
      <c r="P174" s="123">
        <v>353</v>
      </c>
      <c r="Q174" s="142" t="str">
        <f t="shared" si="11"/>
        <v>R353</v>
      </c>
      <c r="R174" s="123">
        <v>29.8</v>
      </c>
      <c r="S174" s="123">
        <v>14.2</v>
      </c>
      <c r="T174" s="123">
        <v>40.4</v>
      </c>
      <c r="U174" s="123">
        <v>5.0999999999999996</v>
      </c>
      <c r="V174" s="123" t="s">
        <v>2182</v>
      </c>
      <c r="W174" s="126" t="s">
        <v>2182</v>
      </c>
      <c r="X174" s="126"/>
      <c r="Y174" s="126"/>
      <c r="Z174" s="123">
        <v>28.4</v>
      </c>
      <c r="AA174" s="123" t="s">
        <v>2223</v>
      </c>
      <c r="AB174" s="123">
        <v>3.3</v>
      </c>
      <c r="AC174" s="123">
        <v>1</v>
      </c>
      <c r="AD174" s="123"/>
    </row>
    <row r="175" spans="1:31">
      <c r="A175" s="121">
        <v>173</v>
      </c>
      <c r="B175" s="122" t="s">
        <v>2380</v>
      </c>
      <c r="C175" s="122" t="s">
        <v>2394</v>
      </c>
      <c r="D175" s="122" t="s">
        <v>2282</v>
      </c>
      <c r="E175" s="124">
        <v>42763</v>
      </c>
      <c r="F175" s="125">
        <v>0.54166666666666663</v>
      </c>
      <c r="G175" s="124">
        <v>42814</v>
      </c>
      <c r="H175" s="125">
        <v>0.66666666666666663</v>
      </c>
      <c r="I175" s="123">
        <v>790</v>
      </c>
      <c r="J175" s="123">
        <v>216</v>
      </c>
      <c r="K175" s="142" t="str">
        <f t="shared" si="8"/>
        <v>G216</v>
      </c>
      <c r="L175" s="123">
        <v>57</v>
      </c>
      <c r="M175" s="142" t="str">
        <f t="shared" si="9"/>
        <v>R57</v>
      </c>
      <c r="N175" s="123">
        <v>865</v>
      </c>
      <c r="O175" s="142" t="str">
        <f t="shared" si="10"/>
        <v>G865</v>
      </c>
      <c r="P175" s="123">
        <v>105</v>
      </c>
      <c r="Q175" s="142" t="str">
        <f t="shared" si="11"/>
        <v>R105</v>
      </c>
      <c r="R175" s="123">
        <v>30.9</v>
      </c>
      <c r="S175" s="123">
        <v>17.600000000000001</v>
      </c>
      <c r="T175" s="123">
        <v>41.8</v>
      </c>
      <c r="U175" s="123">
        <v>3.3</v>
      </c>
      <c r="V175" s="123" t="s">
        <v>2182</v>
      </c>
      <c r="W175" s="126" t="s">
        <v>2190</v>
      </c>
      <c r="X175" s="126"/>
      <c r="Y175" s="126"/>
      <c r="Z175" s="123">
        <v>12.4</v>
      </c>
      <c r="AA175" s="123" t="s">
        <v>2245</v>
      </c>
      <c r="AB175" s="123">
        <v>15.4</v>
      </c>
      <c r="AC175" s="123">
        <v>0</v>
      </c>
      <c r="AD175" s="123" t="s">
        <v>3141</v>
      </c>
    </row>
    <row r="176" spans="1:31">
      <c r="A176" s="121">
        <v>174</v>
      </c>
      <c r="B176" s="122" t="s">
        <v>2380</v>
      </c>
      <c r="C176" s="122" t="s">
        <v>2395</v>
      </c>
      <c r="D176" s="122" t="s">
        <v>2282</v>
      </c>
      <c r="E176" s="124">
        <v>42763</v>
      </c>
      <c r="F176" s="125">
        <v>0.54166666666666663</v>
      </c>
      <c r="G176" s="124">
        <v>42814</v>
      </c>
      <c r="H176" s="125">
        <v>0.67361111111111116</v>
      </c>
      <c r="I176" s="123">
        <v>791</v>
      </c>
      <c r="J176" s="123">
        <v>655</v>
      </c>
      <c r="K176" s="142" t="str">
        <f t="shared" si="8"/>
        <v>G655</v>
      </c>
      <c r="L176" s="123">
        <v>307</v>
      </c>
      <c r="M176" s="142" t="str">
        <f t="shared" si="9"/>
        <v>R307</v>
      </c>
      <c r="N176" s="123">
        <v>736</v>
      </c>
      <c r="O176" s="142" t="str">
        <f t="shared" si="10"/>
        <v>G736</v>
      </c>
      <c r="P176" s="123">
        <v>384</v>
      </c>
      <c r="Q176" s="142" t="str">
        <f t="shared" si="11"/>
        <v>R384</v>
      </c>
      <c r="R176" s="123">
        <v>30.8</v>
      </c>
      <c r="S176" s="123">
        <v>22</v>
      </c>
      <c r="T176" s="123">
        <v>38.9</v>
      </c>
      <c r="U176" s="123">
        <v>13.5</v>
      </c>
      <c r="V176" s="123" t="s">
        <v>2182</v>
      </c>
      <c r="W176" s="126" t="s">
        <v>2182</v>
      </c>
      <c r="X176" s="126"/>
      <c r="Y176" s="126"/>
      <c r="Z176" s="123">
        <v>7.4</v>
      </c>
      <c r="AA176" s="123" t="s">
        <v>2245</v>
      </c>
      <c r="AB176" s="123">
        <v>7.4</v>
      </c>
      <c r="AC176" s="123">
        <v>0</v>
      </c>
      <c r="AD176" s="123"/>
    </row>
    <row r="177" spans="1:30">
      <c r="A177" s="121">
        <v>175</v>
      </c>
      <c r="B177" s="122" t="s">
        <v>2380</v>
      </c>
      <c r="C177" s="122" t="s">
        <v>2396</v>
      </c>
      <c r="D177" s="122" t="s">
        <v>2282</v>
      </c>
      <c r="E177" s="124">
        <v>42763</v>
      </c>
      <c r="F177" s="125">
        <v>0.54166666666666663</v>
      </c>
      <c r="G177" s="124">
        <v>42814</v>
      </c>
      <c r="H177" s="125">
        <v>0.67708333333333337</v>
      </c>
      <c r="I177" s="123">
        <v>792</v>
      </c>
      <c r="J177" s="123">
        <v>457</v>
      </c>
      <c r="K177" s="142" t="str">
        <f t="shared" si="8"/>
        <v>G457</v>
      </c>
      <c r="L177" s="123">
        <v>458</v>
      </c>
      <c r="M177" s="142" t="str">
        <f t="shared" si="9"/>
        <v>R458</v>
      </c>
      <c r="N177" s="123">
        <v>772</v>
      </c>
      <c r="O177" s="142" t="str">
        <f t="shared" si="10"/>
        <v>G772</v>
      </c>
      <c r="P177" s="123">
        <v>481</v>
      </c>
      <c r="Q177" s="142" t="str">
        <f t="shared" si="11"/>
        <v>R481</v>
      </c>
      <c r="R177" s="123">
        <v>31.1</v>
      </c>
      <c r="S177" s="123">
        <v>17.8</v>
      </c>
      <c r="T177" s="123">
        <v>41.4</v>
      </c>
      <c r="U177" s="123">
        <v>5.3</v>
      </c>
      <c r="V177" s="123"/>
      <c r="W177" s="126" t="s">
        <v>2190</v>
      </c>
      <c r="X177" s="126"/>
      <c r="Y177" s="126"/>
      <c r="Z177" s="123">
        <v>9.8000000000000007</v>
      </c>
      <c r="AA177" s="123" t="s">
        <v>2245</v>
      </c>
      <c r="AB177" s="123">
        <v>15.4</v>
      </c>
      <c r="AC177" s="123">
        <v>1</v>
      </c>
      <c r="AD177" s="123"/>
    </row>
    <row r="178" spans="1:30">
      <c r="A178" s="121">
        <v>176</v>
      </c>
      <c r="B178" s="122" t="s">
        <v>2380</v>
      </c>
      <c r="C178" s="122" t="s">
        <v>2397</v>
      </c>
      <c r="D178" s="122" t="s">
        <v>2282</v>
      </c>
      <c r="E178" s="124">
        <v>42763</v>
      </c>
      <c r="F178" s="125">
        <v>0.54513888888888895</v>
      </c>
      <c r="G178" s="124">
        <v>42814</v>
      </c>
      <c r="H178" s="125">
        <v>0.68402777777777779</v>
      </c>
      <c r="I178" s="123">
        <v>793</v>
      </c>
      <c r="J178" s="123">
        <v>454</v>
      </c>
      <c r="K178" s="142" t="str">
        <f t="shared" si="8"/>
        <v>G454</v>
      </c>
      <c r="L178" s="123">
        <v>326</v>
      </c>
      <c r="M178" s="142" t="str">
        <f t="shared" si="9"/>
        <v>R326</v>
      </c>
      <c r="N178" s="123">
        <v>470</v>
      </c>
      <c r="O178" s="142" t="str">
        <f t="shared" si="10"/>
        <v>G470</v>
      </c>
      <c r="P178" s="123">
        <v>490</v>
      </c>
      <c r="Q178" s="142" t="str">
        <f t="shared" si="11"/>
        <v>R490</v>
      </c>
      <c r="R178" s="123">
        <v>29.9</v>
      </c>
      <c r="S178" s="123">
        <v>16.5</v>
      </c>
      <c r="T178" s="123">
        <v>38.4</v>
      </c>
      <c r="U178" s="123">
        <v>6.3</v>
      </c>
      <c r="V178" s="123"/>
      <c r="W178" s="126"/>
      <c r="X178" s="126"/>
      <c r="Y178" s="126"/>
      <c r="Z178" s="123">
        <v>6.9</v>
      </c>
      <c r="AA178" s="123" t="s">
        <v>2245</v>
      </c>
      <c r="AB178" s="123">
        <v>6.8</v>
      </c>
      <c r="AC178" s="123">
        <v>0</v>
      </c>
      <c r="AD178" s="123"/>
    </row>
    <row r="179" spans="1:30">
      <c r="A179" s="121">
        <v>177</v>
      </c>
      <c r="B179" s="122" t="s">
        <v>2380</v>
      </c>
      <c r="C179" s="122" t="s">
        <v>2398</v>
      </c>
      <c r="D179" s="122" t="s">
        <v>2291</v>
      </c>
      <c r="E179" s="124">
        <v>42763</v>
      </c>
      <c r="F179" s="125">
        <v>0.57986111111111105</v>
      </c>
      <c r="G179" s="124">
        <v>42815</v>
      </c>
      <c r="H179" s="125">
        <v>0.45833333333333331</v>
      </c>
      <c r="I179" s="123">
        <v>794</v>
      </c>
      <c r="J179" s="123">
        <v>362</v>
      </c>
      <c r="K179" s="142" t="str">
        <f t="shared" si="8"/>
        <v>G362</v>
      </c>
      <c r="L179" s="123">
        <v>262</v>
      </c>
      <c r="M179" s="142" t="str">
        <f t="shared" si="9"/>
        <v>R262</v>
      </c>
      <c r="N179" s="123">
        <v>483</v>
      </c>
      <c r="O179" s="142" t="str">
        <f t="shared" si="10"/>
        <v>G483</v>
      </c>
      <c r="P179" s="123">
        <v>470</v>
      </c>
      <c r="Q179" s="142" t="str">
        <f t="shared" si="11"/>
        <v>R470</v>
      </c>
      <c r="R179" s="123">
        <v>31.8</v>
      </c>
      <c r="S179" s="123">
        <v>25.1</v>
      </c>
      <c r="T179" s="123">
        <v>32.4</v>
      </c>
      <c r="U179" s="123">
        <v>13.3</v>
      </c>
      <c r="V179" s="123"/>
      <c r="W179" s="126" t="s">
        <v>2229</v>
      </c>
      <c r="X179" s="126"/>
      <c r="Y179" s="126"/>
      <c r="Z179" s="123">
        <v>25.8</v>
      </c>
      <c r="AA179" s="123" t="s">
        <v>2245</v>
      </c>
      <c r="AB179" s="123">
        <v>17.8</v>
      </c>
      <c r="AC179" s="123">
        <v>0</v>
      </c>
      <c r="AD179" s="123"/>
    </row>
    <row r="180" spans="1:30">
      <c r="A180" s="121">
        <v>178</v>
      </c>
      <c r="B180" s="122" t="s">
        <v>2380</v>
      </c>
      <c r="C180" s="122" t="s">
        <v>2399</v>
      </c>
      <c r="D180" s="122" t="s">
        <v>2291</v>
      </c>
      <c r="E180" s="124">
        <v>42763</v>
      </c>
      <c r="F180" s="125">
        <v>0.59027777777777779</v>
      </c>
      <c r="G180" s="124">
        <v>42815</v>
      </c>
      <c r="H180" s="125">
        <v>0.46527777777777773</v>
      </c>
      <c r="I180" s="123">
        <v>795</v>
      </c>
      <c r="J180" s="129">
        <v>781</v>
      </c>
      <c r="K180" s="142" t="str">
        <f t="shared" si="8"/>
        <v>G781</v>
      </c>
      <c r="L180" s="123">
        <v>309</v>
      </c>
      <c r="M180" s="142" t="str">
        <f t="shared" si="9"/>
        <v>R309</v>
      </c>
      <c r="N180" s="123">
        <v>893</v>
      </c>
      <c r="O180" s="142" t="str">
        <f t="shared" si="10"/>
        <v>G893</v>
      </c>
      <c r="P180" s="123">
        <v>488</v>
      </c>
      <c r="Q180" s="142" t="str">
        <f t="shared" si="11"/>
        <v>R488</v>
      </c>
      <c r="R180" s="123">
        <v>31.1</v>
      </c>
      <c r="S180" s="123">
        <v>26.2</v>
      </c>
      <c r="T180" s="123">
        <v>34.799999999999997</v>
      </c>
      <c r="U180" s="123">
        <v>8.1</v>
      </c>
      <c r="V180" s="123" t="s">
        <v>2190</v>
      </c>
      <c r="W180" s="126"/>
      <c r="X180" s="126" t="s">
        <v>2182</v>
      </c>
      <c r="Y180" s="126"/>
      <c r="Z180" s="123">
        <v>18.8</v>
      </c>
      <c r="AA180" s="123" t="s">
        <v>2245</v>
      </c>
      <c r="AB180" s="123">
        <v>15.4</v>
      </c>
      <c r="AC180" s="123">
        <v>1</v>
      </c>
      <c r="AD180" s="123"/>
    </row>
    <row r="181" spans="1:30">
      <c r="A181" s="121">
        <v>179</v>
      </c>
      <c r="B181" s="122" t="s">
        <v>2380</v>
      </c>
      <c r="C181" s="122" t="s">
        <v>2400</v>
      </c>
      <c r="D181" s="122" t="s">
        <v>2291</v>
      </c>
      <c r="E181" s="124">
        <v>42763</v>
      </c>
      <c r="F181" s="125">
        <v>0.59027777777777779</v>
      </c>
      <c r="G181" s="124">
        <v>42815</v>
      </c>
      <c r="H181" s="125">
        <v>0.46875</v>
      </c>
      <c r="I181" s="123">
        <v>796</v>
      </c>
      <c r="J181" s="123">
        <v>451</v>
      </c>
      <c r="K181" s="142" t="str">
        <f t="shared" si="8"/>
        <v>G451</v>
      </c>
      <c r="L181" s="123">
        <v>32</v>
      </c>
      <c r="M181" s="142" t="str">
        <f t="shared" si="9"/>
        <v>R32</v>
      </c>
      <c r="N181" s="123">
        <v>826</v>
      </c>
      <c r="O181" s="142" t="str">
        <f t="shared" si="10"/>
        <v>G826</v>
      </c>
      <c r="P181" s="123">
        <v>273</v>
      </c>
      <c r="Q181" s="142" t="str">
        <f t="shared" si="11"/>
        <v>R273</v>
      </c>
      <c r="R181" s="123">
        <v>31.1</v>
      </c>
      <c r="S181" s="123">
        <v>22.5</v>
      </c>
      <c r="T181" s="123">
        <v>33.200000000000003</v>
      </c>
      <c r="U181" s="123">
        <v>7.1</v>
      </c>
      <c r="V181" s="123" t="s">
        <v>2182</v>
      </c>
      <c r="W181" s="126" t="s">
        <v>2182</v>
      </c>
      <c r="X181" s="126"/>
      <c r="Y181" s="126"/>
      <c r="Z181" s="123">
        <v>15.4</v>
      </c>
      <c r="AA181" s="123" t="s">
        <v>2245</v>
      </c>
      <c r="AB181" s="123">
        <v>11.8</v>
      </c>
      <c r="AC181" s="123">
        <v>1</v>
      </c>
      <c r="AD181" s="123"/>
    </row>
    <row r="182" spans="1:30">
      <c r="A182" s="121">
        <v>180</v>
      </c>
      <c r="B182" s="122" t="s">
        <v>2380</v>
      </c>
      <c r="C182" s="122" t="s">
        <v>2401</v>
      </c>
      <c r="D182" s="122" t="s">
        <v>2291</v>
      </c>
      <c r="E182" s="124">
        <v>42763</v>
      </c>
      <c r="F182" s="125">
        <v>0.59375</v>
      </c>
      <c r="G182" s="124">
        <v>42815</v>
      </c>
      <c r="H182" s="125">
        <v>0.47916666666666669</v>
      </c>
      <c r="I182" s="123">
        <v>797</v>
      </c>
      <c r="J182" s="123">
        <v>360</v>
      </c>
      <c r="K182" s="142" t="str">
        <f t="shared" si="8"/>
        <v>G360</v>
      </c>
      <c r="L182" s="123">
        <v>268</v>
      </c>
      <c r="M182" s="142" t="str">
        <f t="shared" si="9"/>
        <v>R268</v>
      </c>
      <c r="N182" s="123">
        <v>783</v>
      </c>
      <c r="O182" s="142" t="str">
        <f t="shared" si="10"/>
        <v>G783</v>
      </c>
      <c r="P182" s="123">
        <v>301</v>
      </c>
      <c r="Q182" s="142" t="str">
        <f t="shared" si="11"/>
        <v>R301</v>
      </c>
      <c r="R182" s="123">
        <v>31.3</v>
      </c>
      <c r="S182" s="123">
        <v>20.399999999999999</v>
      </c>
      <c r="T182" s="123">
        <v>33.6</v>
      </c>
      <c r="U182" s="123">
        <v>5.3</v>
      </c>
      <c r="V182" s="123"/>
      <c r="W182" s="126"/>
      <c r="X182" s="126"/>
      <c r="Y182" s="126" t="s">
        <v>2182</v>
      </c>
      <c r="Z182" s="123">
        <v>35</v>
      </c>
      <c r="AA182" s="123" t="s">
        <v>2245</v>
      </c>
      <c r="AB182" s="123">
        <v>8.3000000000000007</v>
      </c>
      <c r="AC182" s="123">
        <v>0</v>
      </c>
      <c r="AD182" s="123"/>
    </row>
    <row r="183" spans="1:30">
      <c r="A183" s="121">
        <v>181</v>
      </c>
      <c r="B183" s="122" t="s">
        <v>2380</v>
      </c>
      <c r="C183" s="122" t="s">
        <v>2402</v>
      </c>
      <c r="D183" s="122" t="s">
        <v>2291</v>
      </c>
      <c r="E183" s="124">
        <v>42763</v>
      </c>
      <c r="F183" s="125">
        <v>0.59722222222222221</v>
      </c>
      <c r="G183" s="124">
        <v>42815</v>
      </c>
      <c r="H183" s="125">
        <v>0.4826388888888889</v>
      </c>
      <c r="I183" s="123">
        <v>798</v>
      </c>
      <c r="J183" s="123">
        <v>458</v>
      </c>
      <c r="K183" s="142" t="str">
        <f t="shared" si="8"/>
        <v>G458</v>
      </c>
      <c r="L183" s="123">
        <v>587</v>
      </c>
      <c r="M183" s="142" t="str">
        <f t="shared" si="9"/>
        <v>R587</v>
      </c>
      <c r="N183" s="123">
        <v>551</v>
      </c>
      <c r="O183" s="142" t="str">
        <f t="shared" si="10"/>
        <v>G551</v>
      </c>
      <c r="P183" s="123">
        <v>291</v>
      </c>
      <c r="Q183" s="142" t="str">
        <f t="shared" si="11"/>
        <v>R291</v>
      </c>
      <c r="R183" s="123">
        <v>32.200000000000003</v>
      </c>
      <c r="S183" s="123">
        <v>19.8</v>
      </c>
      <c r="T183" s="123">
        <v>33.1</v>
      </c>
      <c r="U183" s="123">
        <v>7.7</v>
      </c>
      <c r="V183" s="123"/>
      <c r="W183" s="126"/>
      <c r="X183" s="126"/>
      <c r="Y183" s="126"/>
      <c r="Z183" s="123">
        <v>15.8</v>
      </c>
      <c r="AA183" s="123" t="s">
        <v>2245</v>
      </c>
      <c r="AB183" s="123">
        <v>11.4</v>
      </c>
      <c r="AC183" s="123">
        <v>1</v>
      </c>
      <c r="AD183" s="123"/>
    </row>
    <row r="184" spans="1:30">
      <c r="A184" s="121">
        <v>182</v>
      </c>
      <c r="B184" s="122" t="s">
        <v>2380</v>
      </c>
      <c r="C184" s="122" t="s">
        <v>2403</v>
      </c>
      <c r="D184" s="122" t="s">
        <v>2291</v>
      </c>
      <c r="E184" s="124">
        <v>42763</v>
      </c>
      <c r="F184" s="125">
        <v>0.60069444444444442</v>
      </c>
      <c r="G184" s="124">
        <v>42815</v>
      </c>
      <c r="H184" s="125">
        <v>0.4861111111111111</v>
      </c>
      <c r="I184" s="123">
        <v>799</v>
      </c>
      <c r="J184" s="123">
        <v>403</v>
      </c>
      <c r="K184" s="142" t="str">
        <f t="shared" si="8"/>
        <v>G403</v>
      </c>
      <c r="L184" s="123">
        <v>444</v>
      </c>
      <c r="M184" s="142" t="str">
        <f t="shared" si="9"/>
        <v>R444</v>
      </c>
      <c r="N184" s="123">
        <v>818</v>
      </c>
      <c r="O184" s="142" t="str">
        <f t="shared" si="10"/>
        <v>G818</v>
      </c>
      <c r="P184" s="123">
        <v>537</v>
      </c>
      <c r="Q184" s="142" t="str">
        <f t="shared" si="11"/>
        <v>R537</v>
      </c>
      <c r="R184" s="123">
        <v>33.4</v>
      </c>
      <c r="S184" s="123">
        <v>16</v>
      </c>
      <c r="T184" s="123">
        <v>33.200000000000003</v>
      </c>
      <c r="U184" s="123">
        <v>7.1</v>
      </c>
      <c r="V184" s="123" t="s">
        <v>2201</v>
      </c>
      <c r="W184" s="126"/>
      <c r="X184" s="126"/>
      <c r="Y184" s="126"/>
      <c r="Z184" s="123">
        <v>15.8</v>
      </c>
      <c r="AA184" s="123" t="s">
        <v>2245</v>
      </c>
      <c r="AB184" s="123">
        <v>8.8000000000000007</v>
      </c>
      <c r="AC184" s="123">
        <v>1</v>
      </c>
      <c r="AD184" s="123"/>
    </row>
    <row r="185" spans="1:30">
      <c r="A185" s="121">
        <v>183</v>
      </c>
      <c r="B185" s="122" t="s">
        <v>2380</v>
      </c>
      <c r="C185" s="122" t="s">
        <v>2404</v>
      </c>
      <c r="D185" s="122" t="s">
        <v>2291</v>
      </c>
      <c r="E185" s="124">
        <v>42763</v>
      </c>
      <c r="F185" s="125">
        <v>0.60416666666666663</v>
      </c>
      <c r="G185" s="124">
        <v>42815</v>
      </c>
      <c r="H185" s="125">
        <v>0.49305555555555558</v>
      </c>
      <c r="I185" s="123">
        <v>800</v>
      </c>
      <c r="J185" s="123">
        <v>585</v>
      </c>
      <c r="K185" s="142" t="str">
        <f t="shared" si="8"/>
        <v>G585</v>
      </c>
      <c r="L185" s="123">
        <v>568</v>
      </c>
      <c r="M185" s="142" t="str">
        <f t="shared" si="9"/>
        <v>R568</v>
      </c>
      <c r="N185" s="123">
        <v>896</v>
      </c>
      <c r="O185" s="142" t="str">
        <f t="shared" si="10"/>
        <v>G896</v>
      </c>
      <c r="P185" s="123">
        <v>290</v>
      </c>
      <c r="Q185" s="142" t="str">
        <f t="shared" si="11"/>
        <v>R290</v>
      </c>
      <c r="R185" s="123">
        <v>32.799999999999997</v>
      </c>
      <c r="S185" s="123">
        <v>21.1</v>
      </c>
      <c r="T185" s="123">
        <v>34.200000000000003</v>
      </c>
      <c r="U185" s="123">
        <v>5.7</v>
      </c>
      <c r="V185" s="123" t="s">
        <v>2314</v>
      </c>
      <c r="W185" s="126" t="s">
        <v>2233</v>
      </c>
      <c r="X185" s="126"/>
      <c r="Y185" s="126"/>
      <c r="Z185" s="123">
        <v>35.799999999999997</v>
      </c>
      <c r="AA185" s="123" t="s">
        <v>2223</v>
      </c>
      <c r="AB185" s="123">
        <v>11.4</v>
      </c>
      <c r="AC185" s="123">
        <v>1</v>
      </c>
      <c r="AD185" s="123"/>
    </row>
    <row r="186" spans="1:30">
      <c r="A186" s="121">
        <v>184</v>
      </c>
      <c r="B186" s="122" t="s">
        <v>2380</v>
      </c>
      <c r="C186" s="122" t="s">
        <v>2405</v>
      </c>
      <c r="D186" s="122" t="s">
        <v>2291</v>
      </c>
      <c r="E186" s="124">
        <v>42763</v>
      </c>
      <c r="F186" s="125">
        <v>0.61111111111111105</v>
      </c>
      <c r="G186" s="124">
        <v>42815</v>
      </c>
      <c r="H186" s="125">
        <v>0.5</v>
      </c>
      <c r="I186" s="123">
        <v>801</v>
      </c>
      <c r="J186" s="123">
        <v>669</v>
      </c>
      <c r="K186" s="142" t="str">
        <f t="shared" si="8"/>
        <v>G669</v>
      </c>
      <c r="L186" s="129">
        <v>541</v>
      </c>
      <c r="M186" s="142" t="str">
        <f t="shared" si="9"/>
        <v>R541</v>
      </c>
      <c r="N186" s="123">
        <v>337</v>
      </c>
      <c r="O186" s="142" t="str">
        <f t="shared" si="10"/>
        <v>G337</v>
      </c>
      <c r="P186" s="123">
        <v>555</v>
      </c>
      <c r="Q186" s="142" t="str">
        <f t="shared" si="11"/>
        <v>R555</v>
      </c>
      <c r="R186" s="123">
        <v>27.3</v>
      </c>
      <c r="S186" s="123">
        <v>19</v>
      </c>
      <c r="T186" s="123">
        <v>32.6</v>
      </c>
      <c r="U186" s="123">
        <v>7.6</v>
      </c>
      <c r="V186" s="123" t="s">
        <v>2182</v>
      </c>
      <c r="W186" s="126"/>
      <c r="X186" s="126" t="s">
        <v>2174</v>
      </c>
      <c r="Y186" s="126"/>
      <c r="Z186" s="123">
        <v>16.399999999999999</v>
      </c>
      <c r="AA186" s="123" t="s">
        <v>2245</v>
      </c>
      <c r="AB186" s="123">
        <v>3.7</v>
      </c>
      <c r="AC186" s="123">
        <v>0</v>
      </c>
      <c r="AD186" s="123" t="s">
        <v>2406</v>
      </c>
    </row>
    <row r="187" spans="1:30">
      <c r="A187" s="121">
        <v>185</v>
      </c>
      <c r="B187" s="122" t="s">
        <v>2380</v>
      </c>
      <c r="C187" s="122" t="s">
        <v>2407</v>
      </c>
      <c r="D187" s="122" t="s">
        <v>2301</v>
      </c>
      <c r="E187" s="124">
        <v>42763</v>
      </c>
      <c r="F187" s="125">
        <v>0.61805555555555558</v>
      </c>
      <c r="G187" s="124">
        <v>42815</v>
      </c>
      <c r="H187" s="125">
        <v>0.55555555555555558</v>
      </c>
      <c r="I187" s="123">
        <v>802</v>
      </c>
      <c r="J187" s="123">
        <v>423</v>
      </c>
      <c r="K187" s="142" t="str">
        <f t="shared" si="8"/>
        <v>G423</v>
      </c>
      <c r="L187" s="123">
        <v>51</v>
      </c>
      <c r="M187" s="142" t="str">
        <f t="shared" si="9"/>
        <v>R51</v>
      </c>
      <c r="N187" s="123">
        <v>564</v>
      </c>
      <c r="O187" s="142" t="str">
        <f t="shared" si="10"/>
        <v>G564</v>
      </c>
      <c r="P187" s="123">
        <v>539</v>
      </c>
      <c r="Q187" s="142" t="str">
        <f t="shared" si="11"/>
        <v>R539</v>
      </c>
      <c r="R187" s="123">
        <v>32.1</v>
      </c>
      <c r="S187" s="123">
        <v>26.1</v>
      </c>
      <c r="T187" s="123">
        <v>38.700000000000003</v>
      </c>
      <c r="U187" s="123">
        <v>9.6</v>
      </c>
      <c r="V187" s="123"/>
      <c r="W187" s="126" t="s">
        <v>2190</v>
      </c>
      <c r="X187" s="126"/>
      <c r="Y187" s="126"/>
      <c r="Z187" s="123">
        <v>29.4</v>
      </c>
      <c r="AA187" s="123" t="s">
        <v>2245</v>
      </c>
      <c r="AB187" s="123">
        <v>9.8000000000000007</v>
      </c>
      <c r="AC187" s="123">
        <v>0</v>
      </c>
      <c r="AD187" s="123"/>
    </row>
    <row r="188" spans="1:30">
      <c r="A188" s="121">
        <v>186</v>
      </c>
      <c r="B188" s="122" t="s">
        <v>2380</v>
      </c>
      <c r="C188" s="122" t="s">
        <v>2408</v>
      </c>
      <c r="D188" s="122" t="s">
        <v>2301</v>
      </c>
      <c r="E188" s="124">
        <v>42763</v>
      </c>
      <c r="F188" s="125">
        <v>0.625</v>
      </c>
      <c r="G188" s="124">
        <v>42815</v>
      </c>
      <c r="H188" s="125">
        <v>0.5625</v>
      </c>
      <c r="I188" s="123">
        <v>803</v>
      </c>
      <c r="J188" s="123">
        <v>544</v>
      </c>
      <c r="K188" s="142" t="str">
        <f t="shared" si="8"/>
        <v>G544</v>
      </c>
      <c r="L188" s="123">
        <v>557</v>
      </c>
      <c r="M188" s="142" t="str">
        <f t="shared" si="9"/>
        <v>R557</v>
      </c>
      <c r="N188" s="123">
        <v>608</v>
      </c>
      <c r="O188" s="142" t="str">
        <f t="shared" si="10"/>
        <v>G608</v>
      </c>
      <c r="P188" s="123">
        <v>186</v>
      </c>
      <c r="Q188" s="142" t="str">
        <f t="shared" si="11"/>
        <v>R186</v>
      </c>
      <c r="R188" s="123">
        <v>31.3</v>
      </c>
      <c r="S188" s="123">
        <v>26.8</v>
      </c>
      <c r="T188" s="123">
        <v>36.5</v>
      </c>
      <c r="U188" s="123">
        <v>7</v>
      </c>
      <c r="V188" s="123" t="s">
        <v>2182</v>
      </c>
      <c r="W188" s="126" t="s">
        <v>2174</v>
      </c>
      <c r="X188" s="126"/>
      <c r="Y188" s="126"/>
      <c r="Z188" s="123">
        <v>45.4</v>
      </c>
      <c r="AA188" s="123" t="s">
        <v>2245</v>
      </c>
      <c r="AB188" s="123">
        <v>11.4</v>
      </c>
      <c r="AC188" s="123">
        <v>0</v>
      </c>
      <c r="AD188" s="123"/>
    </row>
    <row r="189" spans="1:30">
      <c r="A189" s="121">
        <v>187</v>
      </c>
      <c r="B189" s="122" t="s">
        <v>2380</v>
      </c>
      <c r="C189" s="122" t="s">
        <v>2409</v>
      </c>
      <c r="D189" s="122" t="s">
        <v>2301</v>
      </c>
      <c r="E189" s="124">
        <v>42763</v>
      </c>
      <c r="F189" s="125">
        <v>0.62847222222222221</v>
      </c>
      <c r="G189" s="124">
        <v>42815</v>
      </c>
      <c r="H189" s="125">
        <v>0.56944444444444442</v>
      </c>
      <c r="I189" s="123">
        <v>804</v>
      </c>
      <c r="J189" s="123">
        <v>620</v>
      </c>
      <c r="K189" s="142" t="str">
        <f t="shared" si="8"/>
        <v>G620</v>
      </c>
      <c r="L189" s="123">
        <v>427</v>
      </c>
      <c r="M189" s="142" t="str">
        <f t="shared" si="9"/>
        <v>R427</v>
      </c>
      <c r="N189" s="123">
        <v>365</v>
      </c>
      <c r="O189" s="142" t="str">
        <f t="shared" si="10"/>
        <v>G365</v>
      </c>
      <c r="P189" s="182">
        <v>580</v>
      </c>
      <c r="Q189" s="142" t="str">
        <f t="shared" si="11"/>
        <v>R580</v>
      </c>
      <c r="R189" s="238">
        <v>31.3</v>
      </c>
      <c r="S189" s="238">
        <v>18.2</v>
      </c>
      <c r="T189" s="123">
        <v>34.700000000000003</v>
      </c>
      <c r="U189" s="123">
        <v>10.199999999999999</v>
      </c>
      <c r="V189" s="123"/>
      <c r="W189" s="126"/>
      <c r="X189" s="126"/>
      <c r="Y189" s="126"/>
      <c r="Z189" s="123">
        <v>39.4</v>
      </c>
      <c r="AA189" s="123" t="s">
        <v>2245</v>
      </c>
      <c r="AB189" s="123">
        <v>0.6</v>
      </c>
      <c r="AC189" s="123">
        <v>1</v>
      </c>
      <c r="AD189" s="123"/>
    </row>
    <row r="190" spans="1:30">
      <c r="A190" s="121">
        <v>188</v>
      </c>
      <c r="B190" s="122" t="s">
        <v>2380</v>
      </c>
      <c r="C190" s="122" t="s">
        <v>2410</v>
      </c>
      <c r="D190" s="122" t="s">
        <v>2301</v>
      </c>
      <c r="E190" s="124">
        <v>42763</v>
      </c>
      <c r="F190" s="125">
        <v>0.63888888888888895</v>
      </c>
      <c r="G190" s="124">
        <v>42815</v>
      </c>
      <c r="H190" s="125">
        <v>0.57291666666666663</v>
      </c>
      <c r="I190" s="123">
        <v>805</v>
      </c>
      <c r="J190" s="123">
        <v>420</v>
      </c>
      <c r="K190" s="142" t="str">
        <f t="shared" si="8"/>
        <v>G420</v>
      </c>
      <c r="L190" s="123">
        <v>523</v>
      </c>
      <c r="M190" s="142" t="str">
        <f t="shared" si="9"/>
        <v>R523</v>
      </c>
      <c r="N190" s="123">
        <v>375</v>
      </c>
      <c r="O190" s="142" t="str">
        <f t="shared" si="10"/>
        <v>G375</v>
      </c>
      <c r="P190" s="123">
        <v>222</v>
      </c>
      <c r="Q190" s="142" t="str">
        <f t="shared" si="11"/>
        <v>R222</v>
      </c>
      <c r="R190" s="123">
        <v>31.8</v>
      </c>
      <c r="S190" s="123">
        <v>10.6</v>
      </c>
      <c r="T190" s="123">
        <v>36.5</v>
      </c>
      <c r="U190" s="123">
        <v>10.3</v>
      </c>
      <c r="V190" s="123" t="s">
        <v>2174</v>
      </c>
      <c r="W190" s="126" t="s">
        <v>2198</v>
      </c>
      <c r="X190" s="126"/>
      <c r="Y190" s="126"/>
      <c r="Z190" s="123">
        <v>14.4</v>
      </c>
      <c r="AA190" s="123" t="s">
        <v>2245</v>
      </c>
      <c r="AB190" s="123">
        <v>2.2999999999999998</v>
      </c>
      <c r="AC190" s="123">
        <v>0</v>
      </c>
      <c r="AD190" s="123" t="s">
        <v>2411</v>
      </c>
    </row>
    <row r="191" spans="1:30">
      <c r="A191" s="121">
        <v>189</v>
      </c>
      <c r="B191" s="122" t="s">
        <v>2380</v>
      </c>
      <c r="C191" s="122" t="s">
        <v>2412</v>
      </c>
      <c r="D191" s="122" t="s">
        <v>2301</v>
      </c>
      <c r="E191" s="124">
        <v>42763</v>
      </c>
      <c r="F191" s="125">
        <v>0.64583333333333337</v>
      </c>
      <c r="G191" s="124">
        <v>42815</v>
      </c>
      <c r="H191" s="125">
        <v>0.57986111111111105</v>
      </c>
      <c r="I191" s="123">
        <v>806</v>
      </c>
      <c r="J191" s="129">
        <v>367</v>
      </c>
      <c r="K191" s="142" t="str">
        <f t="shared" si="8"/>
        <v>G367</v>
      </c>
      <c r="L191" s="123">
        <v>354</v>
      </c>
      <c r="M191" s="142" t="str">
        <f t="shared" si="9"/>
        <v>R354</v>
      </c>
      <c r="N191" s="123">
        <v>537</v>
      </c>
      <c r="O191" s="142" t="str">
        <f t="shared" si="10"/>
        <v>G537</v>
      </c>
      <c r="P191" s="123">
        <v>216</v>
      </c>
      <c r="Q191" s="142" t="str">
        <f t="shared" si="11"/>
        <v>R216</v>
      </c>
      <c r="R191" s="123">
        <v>27.3</v>
      </c>
      <c r="S191" s="123">
        <v>19.7</v>
      </c>
      <c r="T191" s="123">
        <v>33.9</v>
      </c>
      <c r="U191" s="123">
        <v>7.5</v>
      </c>
      <c r="V191" s="123" t="s">
        <v>2229</v>
      </c>
      <c r="W191" s="126" t="s">
        <v>2182</v>
      </c>
      <c r="X191" s="126"/>
      <c r="Y191" s="126" t="s">
        <v>2182</v>
      </c>
      <c r="Z191" s="123">
        <v>7</v>
      </c>
      <c r="AA191" s="123" t="s">
        <v>2245</v>
      </c>
      <c r="AB191" s="123">
        <v>0.6</v>
      </c>
      <c r="AC191" s="123">
        <v>1</v>
      </c>
      <c r="AD191" s="123"/>
    </row>
    <row r="192" spans="1:30">
      <c r="A192" s="121">
        <v>190</v>
      </c>
      <c r="B192" s="122" t="s">
        <v>2380</v>
      </c>
      <c r="C192" s="122" t="s">
        <v>2413</v>
      </c>
      <c r="D192" s="122" t="s">
        <v>2301</v>
      </c>
      <c r="E192" s="124">
        <v>42763</v>
      </c>
      <c r="F192" s="125">
        <v>0.64583333333333337</v>
      </c>
      <c r="G192" s="124">
        <v>42815</v>
      </c>
      <c r="H192" s="125">
        <v>0.58680555555555558</v>
      </c>
      <c r="I192" s="123">
        <v>807</v>
      </c>
      <c r="J192" s="123">
        <v>526</v>
      </c>
      <c r="K192" s="142" t="str">
        <f t="shared" si="8"/>
        <v>G526</v>
      </c>
      <c r="L192" s="123">
        <v>164</v>
      </c>
      <c r="M192" s="142" t="str">
        <f t="shared" si="9"/>
        <v>R164</v>
      </c>
      <c r="N192" s="123">
        <v>393</v>
      </c>
      <c r="O192" s="142" t="str">
        <f t="shared" si="10"/>
        <v>G393</v>
      </c>
      <c r="P192" s="123">
        <v>232</v>
      </c>
      <c r="Q192" s="142" t="str">
        <f t="shared" si="11"/>
        <v>R232</v>
      </c>
      <c r="R192" s="123">
        <v>31.4</v>
      </c>
      <c r="S192" s="123">
        <v>15.3</v>
      </c>
      <c r="T192" s="123">
        <v>36.700000000000003</v>
      </c>
      <c r="U192" s="123">
        <v>11.8</v>
      </c>
      <c r="V192" s="123"/>
      <c r="W192" s="126" t="s">
        <v>2190</v>
      </c>
      <c r="X192" s="126"/>
      <c r="Y192" s="126"/>
      <c r="Z192" s="123">
        <v>17.399999999999999</v>
      </c>
      <c r="AA192" s="123" t="s">
        <v>2245</v>
      </c>
      <c r="AB192" s="123">
        <v>9.5</v>
      </c>
      <c r="AC192" s="123">
        <v>0</v>
      </c>
      <c r="AD192" s="123"/>
    </row>
    <row r="193" spans="1:31">
      <c r="A193" s="121">
        <v>191</v>
      </c>
      <c r="B193" s="122" t="s">
        <v>2380</v>
      </c>
      <c r="C193" s="122" t="s">
        <v>2414</v>
      </c>
      <c r="D193" s="122" t="s">
        <v>2301</v>
      </c>
      <c r="E193" s="124">
        <v>42763</v>
      </c>
      <c r="F193" s="125">
        <v>0.66319444444444442</v>
      </c>
      <c r="G193" s="124">
        <v>42815</v>
      </c>
      <c r="H193" s="125">
        <v>0.59027777777777779</v>
      </c>
      <c r="I193" s="123">
        <v>808</v>
      </c>
      <c r="J193" s="123">
        <v>522</v>
      </c>
      <c r="K193" s="142" t="str">
        <f t="shared" si="8"/>
        <v>G522</v>
      </c>
      <c r="L193" s="123">
        <v>336</v>
      </c>
      <c r="M193" s="142" t="str">
        <f t="shared" si="9"/>
        <v>R336</v>
      </c>
      <c r="N193" s="123">
        <v>417</v>
      </c>
      <c r="O193" s="142" t="str">
        <f t="shared" si="10"/>
        <v>G417</v>
      </c>
      <c r="P193" s="123">
        <v>387</v>
      </c>
      <c r="Q193" s="142" t="str">
        <f t="shared" si="11"/>
        <v>R387</v>
      </c>
      <c r="R193" s="123">
        <v>31.5</v>
      </c>
      <c r="S193" s="123">
        <v>15.4</v>
      </c>
      <c r="T193" s="123">
        <v>38.5</v>
      </c>
      <c r="U193" s="123">
        <v>9.3000000000000007</v>
      </c>
      <c r="V193" s="123"/>
      <c r="W193" s="126" t="s">
        <v>2190</v>
      </c>
      <c r="X193" s="126"/>
      <c r="Y193" s="126"/>
      <c r="Z193" s="123">
        <v>29.8</v>
      </c>
      <c r="AA193" s="123" t="s">
        <v>2245</v>
      </c>
      <c r="AB193" s="123">
        <v>12.4</v>
      </c>
      <c r="AC193" s="123">
        <v>0</v>
      </c>
      <c r="AD193" s="123"/>
    </row>
    <row r="194" spans="1:31">
      <c r="A194" s="121">
        <v>192</v>
      </c>
      <c r="B194" s="122" t="s">
        <v>2380</v>
      </c>
      <c r="C194" s="122" t="s">
        <v>2415</v>
      </c>
      <c r="D194" s="122" t="s">
        <v>2301</v>
      </c>
      <c r="E194" s="124">
        <v>42763</v>
      </c>
      <c r="F194" s="125">
        <v>0.64930555555555558</v>
      </c>
      <c r="G194" s="124">
        <v>42815</v>
      </c>
      <c r="H194" s="125">
        <v>0.59722222222222221</v>
      </c>
      <c r="I194" s="123">
        <v>809</v>
      </c>
      <c r="J194" s="123">
        <v>591</v>
      </c>
      <c r="K194" s="142" t="str">
        <f t="shared" si="8"/>
        <v>G591</v>
      </c>
      <c r="L194" s="123">
        <v>263</v>
      </c>
      <c r="M194" s="142" t="str">
        <f t="shared" si="9"/>
        <v>R263</v>
      </c>
      <c r="N194" s="129">
        <v>297</v>
      </c>
      <c r="O194" s="142" t="str">
        <f t="shared" si="10"/>
        <v>G297</v>
      </c>
      <c r="P194" s="123">
        <v>346</v>
      </c>
      <c r="Q194" s="142" t="str">
        <f t="shared" si="11"/>
        <v>R346</v>
      </c>
      <c r="R194" s="123">
        <v>33.1</v>
      </c>
      <c r="S194" s="123">
        <v>8.6999999999999993</v>
      </c>
      <c r="T194" s="123">
        <v>33.5</v>
      </c>
      <c r="U194" s="123">
        <v>9.8000000000000007</v>
      </c>
      <c r="V194" s="123"/>
      <c r="W194" s="126" t="s">
        <v>2190</v>
      </c>
      <c r="X194" s="126"/>
      <c r="Y194" s="126"/>
      <c r="Z194" s="123">
        <v>37.799999999999997</v>
      </c>
      <c r="AA194" s="123" t="s">
        <v>2245</v>
      </c>
      <c r="AB194" s="123">
        <v>3.6</v>
      </c>
      <c r="AC194" s="123">
        <v>0</v>
      </c>
      <c r="AD194" s="123"/>
    </row>
    <row r="195" spans="1:31">
      <c r="A195" s="121">
        <v>193</v>
      </c>
      <c r="B195" s="133" t="s">
        <v>2171</v>
      </c>
      <c r="C195" s="133" t="s">
        <v>2440</v>
      </c>
      <c r="D195" s="122" t="s">
        <v>2450</v>
      </c>
      <c r="E195" s="124">
        <v>42769</v>
      </c>
      <c r="F195" s="125">
        <v>0.4375</v>
      </c>
      <c r="G195" s="124">
        <v>42813</v>
      </c>
      <c r="H195" s="125">
        <v>0.68055555555555547</v>
      </c>
      <c r="I195" s="123">
        <v>933</v>
      </c>
      <c r="J195" s="123">
        <v>863</v>
      </c>
      <c r="K195" s="142" t="str">
        <f t="shared" si="8"/>
        <v>G863</v>
      </c>
      <c r="L195" s="123">
        <v>125</v>
      </c>
      <c r="M195" s="142" t="str">
        <f t="shared" si="9"/>
        <v>R125</v>
      </c>
      <c r="N195" s="123">
        <v>584</v>
      </c>
      <c r="O195" s="142" t="str">
        <f t="shared" si="10"/>
        <v>G584</v>
      </c>
      <c r="P195" s="123">
        <v>364</v>
      </c>
      <c r="Q195" s="142" t="str">
        <f t="shared" si="11"/>
        <v>R364</v>
      </c>
      <c r="R195" s="123">
        <v>23.9</v>
      </c>
      <c r="S195" s="123">
        <v>28</v>
      </c>
      <c r="T195" s="123">
        <v>34</v>
      </c>
      <c r="U195" s="123">
        <v>16.8</v>
      </c>
      <c r="V195" s="123" t="s">
        <v>2182</v>
      </c>
      <c r="W195" s="126"/>
      <c r="X195" s="126" t="s">
        <v>2182</v>
      </c>
      <c r="Y195" s="126"/>
      <c r="Z195" s="123">
        <v>12.2</v>
      </c>
      <c r="AA195" s="123" t="s">
        <v>2245</v>
      </c>
      <c r="AB195" s="123">
        <v>15.2</v>
      </c>
      <c r="AC195" s="123">
        <v>1</v>
      </c>
      <c r="AD195" s="123"/>
    </row>
    <row r="196" spans="1:31">
      <c r="A196" s="121">
        <v>194</v>
      </c>
      <c r="B196" s="133" t="s">
        <v>2171</v>
      </c>
      <c r="C196" s="133" t="s">
        <v>2433</v>
      </c>
      <c r="D196" s="133" t="s">
        <v>2449</v>
      </c>
      <c r="E196" s="124">
        <v>42769</v>
      </c>
      <c r="F196" s="125">
        <v>0.41319444444444442</v>
      </c>
      <c r="G196" s="124">
        <v>42813</v>
      </c>
      <c r="H196" s="125">
        <v>0.71875</v>
      </c>
      <c r="I196" s="123">
        <v>929</v>
      </c>
      <c r="J196" s="123">
        <v>615</v>
      </c>
      <c r="K196" s="142" t="str">
        <f t="shared" ref="K196:K222" si="12">_xlfn.TEXTJOIN(,TRUE, "G",J196)</f>
        <v>G615</v>
      </c>
      <c r="L196" s="123">
        <v>289</v>
      </c>
      <c r="M196" s="142" t="str">
        <f t="shared" ref="M196:M222" si="13">_xlfn.TEXTJOIN(,TRUE, "R",L196)</f>
        <v>R289</v>
      </c>
      <c r="N196" s="123">
        <v>713</v>
      </c>
      <c r="O196" s="142" t="str">
        <f t="shared" ref="O196:O222" si="14">_xlfn.TEXTJOIN(,TRUE, "G",N196)</f>
        <v>G713</v>
      </c>
      <c r="P196" s="123">
        <v>167</v>
      </c>
      <c r="Q196" s="142" t="str">
        <f t="shared" ref="Q196:Q222" si="15">_xlfn.TEXTJOIN(,TRUE, "R",P196)</f>
        <v>R167</v>
      </c>
      <c r="R196" s="123">
        <v>23.9</v>
      </c>
      <c r="S196" s="123">
        <v>25.1</v>
      </c>
      <c r="T196" s="123">
        <v>34.700000000000003</v>
      </c>
      <c r="U196" s="123">
        <v>14.1</v>
      </c>
      <c r="V196" s="123" t="s">
        <v>2182</v>
      </c>
      <c r="W196" s="126" t="s">
        <v>2182</v>
      </c>
      <c r="X196" s="126" t="s">
        <v>2182</v>
      </c>
      <c r="Y196" s="126" t="s">
        <v>2182</v>
      </c>
      <c r="Z196" s="123">
        <v>7.9</v>
      </c>
      <c r="AA196" s="123" t="s">
        <v>2245</v>
      </c>
      <c r="AB196" s="123">
        <v>7.9</v>
      </c>
      <c r="AC196" s="123">
        <v>1</v>
      </c>
      <c r="AD196" s="123"/>
    </row>
    <row r="197" spans="1:31">
      <c r="A197" s="121">
        <v>195</v>
      </c>
      <c r="B197" s="133" t="s">
        <v>2171</v>
      </c>
      <c r="C197" s="133" t="s">
        <v>2425</v>
      </c>
      <c r="D197" s="133" t="s">
        <v>2448</v>
      </c>
      <c r="E197" s="124">
        <v>42769</v>
      </c>
      <c r="F197" s="125">
        <v>0.46180555555555558</v>
      </c>
      <c r="G197" s="124">
        <v>42814</v>
      </c>
      <c r="H197" s="125">
        <v>0.42708333333333331</v>
      </c>
      <c r="I197" s="123">
        <v>935</v>
      </c>
      <c r="J197" s="123">
        <v>821</v>
      </c>
      <c r="K197" s="142" t="str">
        <f t="shared" si="12"/>
        <v>G821</v>
      </c>
      <c r="L197" s="123">
        <v>378</v>
      </c>
      <c r="M197" s="142" t="str">
        <f t="shared" si="13"/>
        <v>R378</v>
      </c>
      <c r="N197" s="123">
        <v>525</v>
      </c>
      <c r="O197" s="142" t="str">
        <f t="shared" si="14"/>
        <v>G525</v>
      </c>
      <c r="P197" s="123">
        <v>25</v>
      </c>
      <c r="Q197" s="142" t="str">
        <f t="shared" si="15"/>
        <v>R25</v>
      </c>
      <c r="R197" s="123">
        <v>25.3</v>
      </c>
      <c r="S197" s="123">
        <v>26.7</v>
      </c>
      <c r="T197" s="129">
        <v>23.4</v>
      </c>
      <c r="U197" s="129">
        <v>32.700000000000003</v>
      </c>
      <c r="V197" s="123" t="s">
        <v>2182</v>
      </c>
      <c r="W197" s="126" t="s">
        <v>2229</v>
      </c>
      <c r="X197" s="126" t="s">
        <v>2182</v>
      </c>
      <c r="Y197" s="126"/>
      <c r="Z197" s="123">
        <v>5.13</v>
      </c>
      <c r="AA197" s="123" t="s">
        <v>2245</v>
      </c>
      <c r="AB197" s="123">
        <v>5.13</v>
      </c>
      <c r="AC197" s="123">
        <v>1</v>
      </c>
      <c r="AD197" s="123"/>
    </row>
    <row r="198" spans="1:31">
      <c r="A198" s="121">
        <v>196</v>
      </c>
      <c r="B198" s="133" t="s">
        <v>2171</v>
      </c>
      <c r="C198" s="122" t="s">
        <v>2416</v>
      </c>
      <c r="D198" s="133" t="s">
        <v>2447</v>
      </c>
      <c r="E198" s="124">
        <v>42769</v>
      </c>
      <c r="F198" s="125">
        <v>0.44791666666666669</v>
      </c>
      <c r="G198" s="124">
        <v>42814</v>
      </c>
      <c r="H198" s="125">
        <v>0.39583333333333331</v>
      </c>
      <c r="I198" s="123">
        <v>934</v>
      </c>
      <c r="J198" s="123">
        <v>754</v>
      </c>
      <c r="K198" s="142" t="str">
        <f t="shared" si="12"/>
        <v>G754</v>
      </c>
      <c r="L198" s="123">
        <v>375</v>
      </c>
      <c r="M198" s="142" t="str">
        <f t="shared" si="13"/>
        <v>R375</v>
      </c>
      <c r="N198" s="123">
        <v>886</v>
      </c>
      <c r="O198" s="142" t="str">
        <f t="shared" si="14"/>
        <v>G886</v>
      </c>
      <c r="P198" s="123">
        <v>362</v>
      </c>
      <c r="Q198" s="142" t="str">
        <f t="shared" si="15"/>
        <v>R362</v>
      </c>
      <c r="R198" s="123">
        <v>26.9</v>
      </c>
      <c r="S198" s="123">
        <v>20.100000000000001</v>
      </c>
      <c r="T198" s="123">
        <v>23.6</v>
      </c>
      <c r="U198" s="123">
        <v>27.4</v>
      </c>
      <c r="V198" s="123" t="s">
        <v>2182</v>
      </c>
      <c r="W198" s="126"/>
      <c r="X198" s="126"/>
      <c r="Y198" s="126"/>
      <c r="Z198" s="123">
        <v>17.399999999999999</v>
      </c>
      <c r="AA198" s="123" t="s">
        <v>2245</v>
      </c>
      <c r="AB198" s="123">
        <v>13.8</v>
      </c>
      <c r="AC198" s="123">
        <v>1</v>
      </c>
      <c r="AD198" s="123" t="s">
        <v>2417</v>
      </c>
    </row>
    <row r="199" spans="1:31">
      <c r="A199" s="121">
        <v>197</v>
      </c>
      <c r="B199" s="133" t="s">
        <v>2171</v>
      </c>
      <c r="C199" s="133" t="s">
        <v>2426</v>
      </c>
      <c r="D199" s="133" t="s">
        <v>2448</v>
      </c>
      <c r="E199" s="124">
        <v>42769</v>
      </c>
      <c r="F199" s="125">
        <v>0.45833333333333331</v>
      </c>
      <c r="G199" s="124">
        <v>42814</v>
      </c>
      <c r="H199" s="125">
        <v>0.42708333333333331</v>
      </c>
      <c r="I199" s="123">
        <v>935</v>
      </c>
      <c r="J199" s="123">
        <v>715</v>
      </c>
      <c r="K199" s="142" t="str">
        <f t="shared" si="12"/>
        <v>G715</v>
      </c>
      <c r="L199" s="123">
        <v>219</v>
      </c>
      <c r="M199" s="142" t="str">
        <f t="shared" si="13"/>
        <v>R219</v>
      </c>
      <c r="N199" s="123">
        <v>388</v>
      </c>
      <c r="O199" s="142" t="str">
        <f t="shared" si="14"/>
        <v>G388</v>
      </c>
      <c r="P199" s="123">
        <v>370</v>
      </c>
      <c r="Q199" s="142" t="str">
        <f t="shared" si="15"/>
        <v>R370</v>
      </c>
      <c r="R199" s="123">
        <v>24.5</v>
      </c>
      <c r="S199" s="123">
        <v>26.6</v>
      </c>
      <c r="T199" s="143">
        <v>24.3</v>
      </c>
      <c r="U199" s="129">
        <v>19.100000000000001</v>
      </c>
      <c r="V199" s="123" t="s">
        <v>2182</v>
      </c>
      <c r="W199" s="126" t="s">
        <v>2225</v>
      </c>
      <c r="X199" s="126" t="s">
        <v>2182</v>
      </c>
      <c r="Y199" s="126" t="s">
        <v>2182</v>
      </c>
      <c r="Z199" s="123">
        <v>5.13</v>
      </c>
      <c r="AA199" s="123" t="s">
        <v>2245</v>
      </c>
      <c r="AB199" s="123">
        <v>5.13</v>
      </c>
      <c r="AC199" s="123">
        <v>1</v>
      </c>
      <c r="AD199" s="123"/>
    </row>
    <row r="200" spans="1:31">
      <c r="A200" s="121">
        <v>198</v>
      </c>
      <c r="B200" s="133" t="s">
        <v>2171</v>
      </c>
      <c r="C200" s="133" t="s">
        <v>2434</v>
      </c>
      <c r="D200" s="133" t="s">
        <v>2449</v>
      </c>
      <c r="E200" s="124">
        <v>42769</v>
      </c>
      <c r="F200" s="125">
        <v>0.40625</v>
      </c>
      <c r="G200" s="124">
        <v>42813</v>
      </c>
      <c r="H200" s="125">
        <v>0.71875</v>
      </c>
      <c r="I200" s="123">
        <v>929</v>
      </c>
      <c r="J200" s="123">
        <v>785</v>
      </c>
      <c r="K200" s="142" t="str">
        <f t="shared" si="12"/>
        <v>G785</v>
      </c>
      <c r="L200" s="123">
        <v>463</v>
      </c>
      <c r="M200" s="142" t="str">
        <f t="shared" si="13"/>
        <v>R463</v>
      </c>
      <c r="N200" s="123">
        <v>462</v>
      </c>
      <c r="O200" s="142" t="str">
        <f t="shared" si="14"/>
        <v>G462</v>
      </c>
      <c r="P200" s="123">
        <v>168</v>
      </c>
      <c r="Q200" s="142" t="str">
        <f t="shared" si="15"/>
        <v>R168</v>
      </c>
      <c r="R200" s="123">
        <v>22.9</v>
      </c>
      <c r="S200" s="123">
        <v>26.9</v>
      </c>
      <c r="T200" s="123">
        <v>32</v>
      </c>
      <c r="U200" s="123">
        <v>14.9</v>
      </c>
      <c r="V200" s="123" t="s">
        <v>2182</v>
      </c>
      <c r="W200" s="126"/>
      <c r="X200" s="126" t="s">
        <v>2182</v>
      </c>
      <c r="Y200" s="126" t="s">
        <v>2182</v>
      </c>
      <c r="Z200" s="123">
        <v>7.9</v>
      </c>
      <c r="AA200" s="123" t="s">
        <v>2245</v>
      </c>
      <c r="AB200" s="123">
        <v>7.9</v>
      </c>
      <c r="AC200" s="123">
        <v>1</v>
      </c>
      <c r="AD200" s="123"/>
    </row>
    <row r="201" spans="1:31">
      <c r="A201" s="121">
        <v>199</v>
      </c>
      <c r="B201" s="133" t="s">
        <v>2171</v>
      </c>
      <c r="C201" s="133" t="s">
        <v>2418</v>
      </c>
      <c r="D201" s="133" t="s">
        <v>2447</v>
      </c>
      <c r="E201" s="124">
        <v>42769</v>
      </c>
      <c r="F201" s="125">
        <v>0.44444444444444442</v>
      </c>
      <c r="G201" s="124">
        <v>42814</v>
      </c>
      <c r="H201" s="125">
        <v>0.39583333333333331</v>
      </c>
      <c r="I201" s="123">
        <v>934</v>
      </c>
      <c r="J201" s="123">
        <v>877</v>
      </c>
      <c r="K201" s="142" t="str">
        <f t="shared" si="12"/>
        <v>G877</v>
      </c>
      <c r="L201" s="123">
        <v>339</v>
      </c>
      <c r="M201" s="142" t="str">
        <f t="shared" si="13"/>
        <v>R339</v>
      </c>
      <c r="N201" s="123">
        <v>712</v>
      </c>
      <c r="O201" s="142" t="str">
        <f t="shared" si="14"/>
        <v>G712</v>
      </c>
      <c r="P201" s="123">
        <v>369</v>
      </c>
      <c r="Q201" s="142" t="str">
        <f t="shared" si="15"/>
        <v>R369</v>
      </c>
      <c r="R201" s="123">
        <v>25.4</v>
      </c>
      <c r="S201" s="123">
        <v>26.6</v>
      </c>
      <c r="T201" s="123">
        <v>23.7</v>
      </c>
      <c r="U201" s="123">
        <v>9.6999999999999993</v>
      </c>
      <c r="V201" s="123" t="s">
        <v>2182</v>
      </c>
      <c r="W201" s="126" t="s">
        <v>2182</v>
      </c>
      <c r="X201" s="126"/>
      <c r="Y201" s="126" t="s">
        <v>2182</v>
      </c>
      <c r="Z201" s="123">
        <v>17.399999999999999</v>
      </c>
      <c r="AA201" s="123" t="s">
        <v>2245</v>
      </c>
      <c r="AB201" s="123">
        <v>13.8</v>
      </c>
      <c r="AC201" s="123">
        <v>1</v>
      </c>
      <c r="AD201" s="123"/>
    </row>
    <row r="202" spans="1:31">
      <c r="A202" s="121">
        <v>200</v>
      </c>
      <c r="B202" s="133" t="s">
        <v>2171</v>
      </c>
      <c r="C202" s="133" t="s">
        <v>2441</v>
      </c>
      <c r="D202" s="122" t="s">
        <v>2450</v>
      </c>
      <c r="E202" s="124">
        <v>42769</v>
      </c>
      <c r="F202" s="125">
        <v>0.44097222222222227</v>
      </c>
      <c r="G202" s="124">
        <v>42813</v>
      </c>
      <c r="H202" s="125">
        <v>0.68055555555555547</v>
      </c>
      <c r="I202" s="123">
        <v>933</v>
      </c>
      <c r="J202" s="123">
        <v>816</v>
      </c>
      <c r="K202" s="142" t="str">
        <f t="shared" si="12"/>
        <v>G816</v>
      </c>
      <c r="L202" s="123">
        <v>303</v>
      </c>
      <c r="M202" s="142" t="str">
        <f t="shared" si="13"/>
        <v>R303</v>
      </c>
      <c r="N202" s="123">
        <v>709</v>
      </c>
      <c r="O202" s="142" t="str">
        <f t="shared" si="14"/>
        <v>G709</v>
      </c>
      <c r="P202" s="123">
        <v>359</v>
      </c>
      <c r="Q202" s="142" t="str">
        <f t="shared" si="15"/>
        <v>R359</v>
      </c>
      <c r="R202" s="123">
        <v>25.7</v>
      </c>
      <c r="S202" s="123">
        <v>27.2</v>
      </c>
      <c r="T202" s="123">
        <v>30.1</v>
      </c>
      <c r="U202" s="123">
        <v>18.399999999999999</v>
      </c>
      <c r="V202" s="123" t="s">
        <v>2182</v>
      </c>
      <c r="W202" s="126" t="s">
        <v>2182</v>
      </c>
      <c r="X202" s="126" t="s">
        <v>2182</v>
      </c>
      <c r="Y202" s="126" t="s">
        <v>2182</v>
      </c>
      <c r="Z202" s="123">
        <v>12.2</v>
      </c>
      <c r="AA202" s="123" t="s">
        <v>2245</v>
      </c>
      <c r="AB202" s="123">
        <v>15.2</v>
      </c>
      <c r="AC202" s="123">
        <v>1</v>
      </c>
      <c r="AD202" s="123"/>
    </row>
    <row r="203" spans="1:31">
      <c r="A203" s="121">
        <v>201</v>
      </c>
      <c r="B203" s="133" t="s">
        <v>2271</v>
      </c>
      <c r="C203" s="133" t="s">
        <v>2442</v>
      </c>
      <c r="D203" s="122" t="s">
        <v>2450</v>
      </c>
      <c r="E203" s="124">
        <v>42769</v>
      </c>
      <c r="F203" s="125">
        <v>0.47916666666666669</v>
      </c>
      <c r="G203" s="124">
        <v>42813</v>
      </c>
      <c r="H203" s="125">
        <v>0.68055555555555547</v>
      </c>
      <c r="I203" s="123">
        <v>933</v>
      </c>
      <c r="J203" s="123">
        <v>811</v>
      </c>
      <c r="K203" s="142" t="str">
        <f t="shared" si="12"/>
        <v>G811</v>
      </c>
      <c r="L203" s="123">
        <v>218</v>
      </c>
      <c r="M203" s="142" t="str">
        <f t="shared" si="13"/>
        <v>R218</v>
      </c>
      <c r="N203" s="123">
        <v>707</v>
      </c>
      <c r="O203" s="142" t="str">
        <f t="shared" si="14"/>
        <v>G707</v>
      </c>
      <c r="P203" s="123">
        <v>395</v>
      </c>
      <c r="Q203" s="142" t="str">
        <f t="shared" si="15"/>
        <v>R395</v>
      </c>
      <c r="R203" s="123">
        <v>25.6</v>
      </c>
      <c r="S203" s="123">
        <v>25.1</v>
      </c>
      <c r="T203" s="123">
        <v>30.4</v>
      </c>
      <c r="U203" s="123">
        <v>18.899999999999999</v>
      </c>
      <c r="V203" s="123" t="s">
        <v>2182</v>
      </c>
      <c r="W203" s="126" t="s">
        <v>2182</v>
      </c>
      <c r="X203" s="126" t="s">
        <v>2182</v>
      </c>
      <c r="Y203" s="126"/>
      <c r="Z203" s="123">
        <v>12.2</v>
      </c>
      <c r="AA203" s="123" t="s">
        <v>2245</v>
      </c>
      <c r="AB203" s="123">
        <v>15.2</v>
      </c>
      <c r="AC203" s="123">
        <v>1</v>
      </c>
      <c r="AD203" s="123"/>
    </row>
    <row r="204" spans="1:31">
      <c r="A204" s="121">
        <v>202</v>
      </c>
      <c r="B204" s="133" t="s">
        <v>2271</v>
      </c>
      <c r="C204" s="133" t="s">
        <v>2419</v>
      </c>
      <c r="D204" s="133" t="s">
        <v>2447</v>
      </c>
      <c r="E204" s="124">
        <v>42769</v>
      </c>
      <c r="F204" s="125">
        <v>0.44791666666666669</v>
      </c>
      <c r="G204" s="124">
        <v>42814</v>
      </c>
      <c r="H204" s="125">
        <v>0.39583333333333331</v>
      </c>
      <c r="I204" s="123">
        <v>934</v>
      </c>
      <c r="J204" s="123">
        <v>773</v>
      </c>
      <c r="K204" s="142" t="str">
        <f t="shared" si="12"/>
        <v>G773</v>
      </c>
      <c r="L204" s="123">
        <v>135</v>
      </c>
      <c r="M204" s="142" t="str">
        <f t="shared" si="13"/>
        <v>R135</v>
      </c>
      <c r="N204" s="123">
        <v>770</v>
      </c>
      <c r="O204" s="142" t="str">
        <f t="shared" si="14"/>
        <v>G770</v>
      </c>
      <c r="P204" s="123">
        <v>182</v>
      </c>
      <c r="Q204" s="142" t="str">
        <f t="shared" si="15"/>
        <v>R182</v>
      </c>
      <c r="R204" s="123">
        <v>24.9</v>
      </c>
      <c r="S204" s="123">
        <v>24.9</v>
      </c>
      <c r="T204" s="123">
        <v>23.3</v>
      </c>
      <c r="U204" s="123">
        <v>16.399999999999999</v>
      </c>
      <c r="V204" s="123" t="s">
        <v>2182</v>
      </c>
      <c r="W204" s="126" t="s">
        <v>2182</v>
      </c>
      <c r="X204" s="126" t="s">
        <v>2182</v>
      </c>
      <c r="Y204" s="126"/>
      <c r="Z204" s="123">
        <v>17.399999999999999</v>
      </c>
      <c r="AA204" s="123" t="s">
        <v>2245</v>
      </c>
      <c r="AB204" s="123">
        <v>13.8</v>
      </c>
      <c r="AC204" s="123">
        <v>1</v>
      </c>
      <c r="AD204" s="123"/>
    </row>
    <row r="205" spans="1:31">
      <c r="A205" s="121">
        <v>203</v>
      </c>
      <c r="B205" s="133" t="s">
        <v>2271</v>
      </c>
      <c r="C205" s="133" t="s">
        <v>2428</v>
      </c>
      <c r="D205" s="133" t="s">
        <v>2448</v>
      </c>
      <c r="E205" s="124">
        <v>42769</v>
      </c>
      <c r="F205" s="125">
        <v>0.47222222222222227</v>
      </c>
      <c r="G205" s="124">
        <v>42814</v>
      </c>
      <c r="H205" s="125">
        <v>0.42708333333333331</v>
      </c>
      <c r="I205" s="123">
        <v>935</v>
      </c>
      <c r="J205" s="123">
        <v>645</v>
      </c>
      <c r="K205" s="142" t="str">
        <f t="shared" si="12"/>
        <v>G645</v>
      </c>
      <c r="L205" s="123">
        <v>372</v>
      </c>
      <c r="M205" s="142" t="str">
        <f t="shared" si="13"/>
        <v>R372</v>
      </c>
      <c r="N205" s="123">
        <v>753</v>
      </c>
      <c r="O205" s="142" t="str">
        <f t="shared" si="14"/>
        <v>G753</v>
      </c>
      <c r="P205" s="123">
        <v>342</v>
      </c>
      <c r="Q205" s="142" t="str">
        <f t="shared" si="15"/>
        <v>R342</v>
      </c>
      <c r="R205" s="144">
        <v>25.7</v>
      </c>
      <c r="S205" s="144">
        <v>30.7</v>
      </c>
      <c r="T205" s="159">
        <v>31.1</v>
      </c>
      <c r="U205" s="129">
        <v>23.3</v>
      </c>
      <c r="V205" s="123" t="s">
        <v>2182</v>
      </c>
      <c r="W205" s="126" t="s">
        <v>2174</v>
      </c>
      <c r="X205" s="126" t="s">
        <v>2182</v>
      </c>
      <c r="Y205" s="126"/>
      <c r="Z205" s="123">
        <v>5.13</v>
      </c>
      <c r="AA205" s="123" t="s">
        <v>2245</v>
      </c>
      <c r="AB205" s="123">
        <v>5.13</v>
      </c>
      <c r="AC205" s="123">
        <v>1</v>
      </c>
      <c r="AD205" s="123"/>
    </row>
    <row r="206" spans="1:31">
      <c r="A206" s="121">
        <v>204</v>
      </c>
      <c r="B206" s="133" t="s">
        <v>2271</v>
      </c>
      <c r="C206" s="133" t="s">
        <v>2435</v>
      </c>
      <c r="D206" s="133" t="s">
        <v>2449</v>
      </c>
      <c r="E206" s="124">
        <v>42769</v>
      </c>
      <c r="F206" s="125">
        <v>0.46875</v>
      </c>
      <c r="G206" s="124">
        <v>42813</v>
      </c>
      <c r="H206" s="125">
        <v>0.71875</v>
      </c>
      <c r="I206" s="123">
        <v>935</v>
      </c>
      <c r="J206" s="123">
        <v>814</v>
      </c>
      <c r="K206" s="123" t="str">
        <f t="shared" si="12"/>
        <v>G814</v>
      </c>
      <c r="L206" s="123">
        <v>334</v>
      </c>
      <c r="M206" s="123" t="str">
        <f t="shared" si="13"/>
        <v>R334</v>
      </c>
      <c r="N206" s="123">
        <v>640</v>
      </c>
      <c r="O206" s="123" t="str">
        <f t="shared" si="14"/>
        <v>G640</v>
      </c>
      <c r="P206" s="123">
        <v>139</v>
      </c>
      <c r="Q206" s="123" t="str">
        <f t="shared" si="15"/>
        <v>R139</v>
      </c>
      <c r="R206" s="123">
        <v>29.2</v>
      </c>
      <c r="S206" s="123">
        <v>26.8</v>
      </c>
      <c r="T206" s="123">
        <v>32.700000000000003</v>
      </c>
      <c r="U206" s="123">
        <v>16.399999999999999</v>
      </c>
      <c r="V206" s="123" t="s">
        <v>2182</v>
      </c>
      <c r="W206" s="126" t="s">
        <v>2182</v>
      </c>
      <c r="X206" s="126" t="s">
        <v>2182</v>
      </c>
      <c r="Y206" s="126"/>
      <c r="Z206" s="123">
        <v>7.9</v>
      </c>
      <c r="AA206" s="123" t="s">
        <v>2245</v>
      </c>
      <c r="AB206" s="123">
        <v>7.9</v>
      </c>
      <c r="AC206" s="123">
        <v>1</v>
      </c>
      <c r="AD206" s="123"/>
    </row>
    <row r="207" spans="1:31">
      <c r="A207" s="121">
        <v>205</v>
      </c>
      <c r="B207" s="133" t="s">
        <v>2650</v>
      </c>
      <c r="C207" s="133" t="s">
        <v>2429</v>
      </c>
      <c r="D207" s="133" t="s">
        <v>2448</v>
      </c>
      <c r="E207" s="124">
        <v>42769</v>
      </c>
      <c r="F207" s="125">
        <v>0.46180555555555558</v>
      </c>
      <c r="G207" s="124">
        <v>42814</v>
      </c>
      <c r="H207" s="125">
        <v>0.42708333333333331</v>
      </c>
      <c r="I207" s="123">
        <v>935</v>
      </c>
      <c r="J207" s="123">
        <v>621</v>
      </c>
      <c r="K207" s="142" t="str">
        <f t="shared" si="12"/>
        <v>G621</v>
      </c>
      <c r="L207" s="123">
        <v>265</v>
      </c>
      <c r="M207" s="142" t="str">
        <f t="shared" si="13"/>
        <v>R265</v>
      </c>
      <c r="N207" s="123">
        <v>668</v>
      </c>
      <c r="O207" s="142" t="str">
        <f t="shared" si="14"/>
        <v>G668</v>
      </c>
      <c r="P207" s="123">
        <v>92</v>
      </c>
      <c r="Q207" s="142" t="str">
        <f t="shared" si="15"/>
        <v>R92</v>
      </c>
      <c r="R207" s="123">
        <v>29.4</v>
      </c>
      <c r="S207" s="123">
        <v>25.5</v>
      </c>
      <c r="T207" s="129">
        <v>23.2</v>
      </c>
      <c r="U207" s="129">
        <v>23.4</v>
      </c>
      <c r="V207" s="123" t="s">
        <v>2195</v>
      </c>
      <c r="W207" s="126" t="s">
        <v>2182</v>
      </c>
      <c r="X207" s="126" t="s">
        <v>2182</v>
      </c>
      <c r="Y207" s="126"/>
      <c r="Z207" s="123">
        <v>5.13</v>
      </c>
      <c r="AA207" s="123" t="s">
        <v>2245</v>
      </c>
      <c r="AB207" s="123">
        <v>5.13</v>
      </c>
      <c r="AC207" s="123">
        <v>1</v>
      </c>
      <c r="AD207" s="123"/>
      <c r="AE207" s="163" t="s">
        <v>2427</v>
      </c>
    </row>
    <row r="208" spans="1:31">
      <c r="A208" s="121">
        <v>206</v>
      </c>
      <c r="B208" s="133" t="s">
        <v>2650</v>
      </c>
      <c r="C208" s="133" t="s">
        <v>2420</v>
      </c>
      <c r="D208" s="133" t="s">
        <v>2447</v>
      </c>
      <c r="E208" s="124">
        <v>42769</v>
      </c>
      <c r="F208" s="125">
        <v>0.44791666666666669</v>
      </c>
      <c r="G208" s="124">
        <v>42814</v>
      </c>
      <c r="H208" s="125">
        <v>0.39583333333333331</v>
      </c>
      <c r="I208" s="123">
        <v>934</v>
      </c>
      <c r="J208" s="123">
        <v>677</v>
      </c>
      <c r="K208" s="142" t="str">
        <f t="shared" si="12"/>
        <v>G677</v>
      </c>
      <c r="L208" s="123">
        <v>234</v>
      </c>
      <c r="M208" s="142" t="str">
        <f t="shared" si="13"/>
        <v>R234</v>
      </c>
      <c r="N208" s="123">
        <v>891</v>
      </c>
      <c r="O208" s="142" t="str">
        <f t="shared" si="14"/>
        <v>G891</v>
      </c>
      <c r="P208" s="123">
        <v>328</v>
      </c>
      <c r="Q208" s="142" t="str">
        <f t="shared" si="15"/>
        <v>R328</v>
      </c>
      <c r="R208" s="123">
        <v>24.2</v>
      </c>
      <c r="S208" s="123">
        <v>25.7</v>
      </c>
      <c r="T208" s="123">
        <v>24.1</v>
      </c>
      <c r="U208" s="123">
        <v>12.4</v>
      </c>
      <c r="V208" s="123" t="s">
        <v>2182</v>
      </c>
      <c r="W208" s="126"/>
      <c r="X208" s="126" t="s">
        <v>2182</v>
      </c>
      <c r="Y208" s="126" t="s">
        <v>2182</v>
      </c>
      <c r="Z208" s="123">
        <v>17.399999999999999</v>
      </c>
      <c r="AA208" s="123" t="s">
        <v>2245</v>
      </c>
      <c r="AB208" s="123">
        <v>13.8</v>
      </c>
      <c r="AC208" s="123">
        <v>1</v>
      </c>
      <c r="AD208" s="123"/>
    </row>
    <row r="209" spans="1:31">
      <c r="A209" s="121">
        <v>207</v>
      </c>
      <c r="B209" s="133" t="s">
        <v>2650</v>
      </c>
      <c r="C209" s="133" t="s">
        <v>2443</v>
      </c>
      <c r="D209" s="122" t="s">
        <v>2450</v>
      </c>
      <c r="E209" s="124">
        <v>42769</v>
      </c>
      <c r="F209" s="125">
        <v>0.43055555555555558</v>
      </c>
      <c r="G209" s="124">
        <v>42813</v>
      </c>
      <c r="H209" s="125">
        <v>0.68055555555555547</v>
      </c>
      <c r="I209" s="123">
        <v>933</v>
      </c>
      <c r="J209" s="123">
        <v>574</v>
      </c>
      <c r="K209" s="142" t="str">
        <f t="shared" si="12"/>
        <v>G574</v>
      </c>
      <c r="L209" s="123">
        <v>258</v>
      </c>
      <c r="M209" s="142" t="str">
        <f t="shared" si="13"/>
        <v>R258</v>
      </c>
      <c r="N209" s="123">
        <v>540</v>
      </c>
      <c r="O209" s="142" t="str">
        <f t="shared" si="14"/>
        <v>G540</v>
      </c>
      <c r="P209" s="123">
        <v>149</v>
      </c>
      <c r="Q209" s="142" t="str">
        <f t="shared" si="15"/>
        <v>R149</v>
      </c>
      <c r="R209" s="123">
        <v>25</v>
      </c>
      <c r="S209" s="123">
        <v>23.3</v>
      </c>
      <c r="T209" s="123">
        <v>33.1</v>
      </c>
      <c r="U209" s="123">
        <v>16.3</v>
      </c>
      <c r="V209" s="123" t="s">
        <v>2182</v>
      </c>
      <c r="W209" s="126" t="s">
        <v>2190</v>
      </c>
      <c r="X209" s="126" t="s">
        <v>2182</v>
      </c>
      <c r="Y209" s="126"/>
      <c r="Z209" s="123">
        <v>12.2</v>
      </c>
      <c r="AA209" s="123" t="s">
        <v>2245</v>
      </c>
      <c r="AB209" s="123">
        <v>15.2</v>
      </c>
      <c r="AC209" s="123">
        <v>1</v>
      </c>
      <c r="AD209" s="123"/>
    </row>
    <row r="210" spans="1:31">
      <c r="A210" s="121">
        <v>208</v>
      </c>
      <c r="B210" s="133" t="s">
        <v>2650</v>
      </c>
      <c r="C210" s="133" t="s">
        <v>2436</v>
      </c>
      <c r="D210" s="133" t="s">
        <v>2449</v>
      </c>
      <c r="E210" s="124">
        <v>42769</v>
      </c>
      <c r="F210" s="125">
        <v>0.40972222222222227</v>
      </c>
      <c r="G210" s="124">
        <v>42813</v>
      </c>
      <c r="H210" s="125">
        <v>0.71875</v>
      </c>
      <c r="I210" s="123">
        <v>929</v>
      </c>
      <c r="J210" s="123">
        <v>710</v>
      </c>
      <c r="K210" s="142" t="str">
        <f t="shared" si="12"/>
        <v>G710</v>
      </c>
      <c r="L210" s="123">
        <v>344</v>
      </c>
      <c r="M210" s="142" t="str">
        <f t="shared" si="13"/>
        <v>R344</v>
      </c>
      <c r="N210" s="123">
        <v>508</v>
      </c>
      <c r="O210" s="142" t="str">
        <f t="shared" si="14"/>
        <v>G508</v>
      </c>
      <c r="P210" s="123">
        <v>449</v>
      </c>
      <c r="Q210" s="142" t="str">
        <f t="shared" si="15"/>
        <v>R449</v>
      </c>
      <c r="R210" s="123">
        <v>23</v>
      </c>
      <c r="S210" s="123">
        <v>28.1</v>
      </c>
      <c r="T210" s="123">
        <v>31.9</v>
      </c>
      <c r="U210" s="123">
        <v>16.3</v>
      </c>
      <c r="V210" s="123" t="s">
        <v>2182</v>
      </c>
      <c r="W210" s="126" t="s">
        <v>2182</v>
      </c>
      <c r="X210" s="126" t="s">
        <v>2182</v>
      </c>
      <c r="Y210" s="126" t="s">
        <v>2182</v>
      </c>
      <c r="Z210" s="123">
        <v>7.9</v>
      </c>
      <c r="AA210" s="123" t="s">
        <v>2245</v>
      </c>
      <c r="AB210" s="123">
        <v>7.9</v>
      </c>
      <c r="AC210" s="123">
        <v>1</v>
      </c>
      <c r="AD210" s="123"/>
    </row>
    <row r="211" spans="1:31">
      <c r="A211" s="121">
        <v>209</v>
      </c>
      <c r="B211" s="133" t="s">
        <v>2650</v>
      </c>
      <c r="C211" s="133" t="s">
        <v>2430</v>
      </c>
      <c r="D211" s="133" t="s">
        <v>2448</v>
      </c>
      <c r="E211" s="124">
        <v>42769</v>
      </c>
      <c r="F211" s="125">
        <v>0.45833333333333331</v>
      </c>
      <c r="G211" s="124">
        <v>42814</v>
      </c>
      <c r="H211" s="125">
        <v>0.42708333333333331</v>
      </c>
      <c r="I211" s="123">
        <v>935</v>
      </c>
      <c r="J211" s="123">
        <v>604</v>
      </c>
      <c r="K211" s="142" t="str">
        <f t="shared" si="12"/>
        <v>G604</v>
      </c>
      <c r="L211" s="123">
        <v>271</v>
      </c>
      <c r="M211" s="142" t="str">
        <f t="shared" si="13"/>
        <v>R271</v>
      </c>
      <c r="N211" s="123">
        <v>637</v>
      </c>
      <c r="O211" s="142" t="str">
        <f t="shared" si="14"/>
        <v>G637</v>
      </c>
      <c r="P211" s="123">
        <v>142</v>
      </c>
      <c r="Q211" s="142" t="str">
        <f t="shared" si="15"/>
        <v>R142</v>
      </c>
      <c r="R211" s="123">
        <v>25.8</v>
      </c>
      <c r="S211" s="123">
        <v>29.9</v>
      </c>
      <c r="T211" s="129">
        <v>23</v>
      </c>
      <c r="U211" s="129">
        <v>19.100000000000001</v>
      </c>
      <c r="V211" s="123" t="s">
        <v>2182</v>
      </c>
      <c r="W211" s="126" t="s">
        <v>2182</v>
      </c>
      <c r="X211" s="126" t="s">
        <v>2229</v>
      </c>
      <c r="Y211" s="126" t="s">
        <v>2182</v>
      </c>
      <c r="Z211" s="123">
        <v>5.13</v>
      </c>
      <c r="AA211" s="123" t="s">
        <v>2245</v>
      </c>
      <c r="AB211" s="123">
        <v>5.13</v>
      </c>
      <c r="AC211" s="123">
        <v>1</v>
      </c>
      <c r="AD211" s="123"/>
    </row>
    <row r="212" spans="1:31">
      <c r="A212" s="121">
        <v>210</v>
      </c>
      <c r="B212" s="133" t="s">
        <v>2650</v>
      </c>
      <c r="C212" s="133" t="s">
        <v>2444</v>
      </c>
      <c r="D212" s="122" t="s">
        <v>2450</v>
      </c>
      <c r="E212" s="124">
        <v>42769</v>
      </c>
      <c r="F212" s="125">
        <v>0.43055555555555558</v>
      </c>
      <c r="G212" s="124">
        <v>42813</v>
      </c>
      <c r="H212" s="125">
        <v>0.68055555555555547</v>
      </c>
      <c r="I212" s="123">
        <v>933</v>
      </c>
      <c r="J212" s="123">
        <v>871</v>
      </c>
      <c r="K212" s="142" t="str">
        <f t="shared" si="12"/>
        <v>G871</v>
      </c>
      <c r="L212" s="123">
        <v>340</v>
      </c>
      <c r="M212" s="142" t="str">
        <f t="shared" si="13"/>
        <v>R340</v>
      </c>
      <c r="N212" s="123">
        <v>720</v>
      </c>
      <c r="O212" s="142" t="str">
        <f t="shared" si="14"/>
        <v>G720</v>
      </c>
      <c r="P212" s="123">
        <v>392</v>
      </c>
      <c r="Q212" s="142" t="str">
        <f t="shared" si="15"/>
        <v>R392</v>
      </c>
      <c r="R212" s="123">
        <v>24.6</v>
      </c>
      <c r="S212" s="123">
        <v>26.3</v>
      </c>
      <c r="T212" s="123">
        <v>32.200000000000003</v>
      </c>
      <c r="U212" s="123">
        <v>18.5</v>
      </c>
      <c r="V212" s="123" t="s">
        <v>2182</v>
      </c>
      <c r="W212" s="126" t="s">
        <v>2182</v>
      </c>
      <c r="X212" s="126" t="s">
        <v>2182</v>
      </c>
      <c r="Y212" s="126"/>
      <c r="Z212" s="123">
        <v>12.2</v>
      </c>
      <c r="AA212" s="123" t="s">
        <v>2245</v>
      </c>
      <c r="AB212" s="123">
        <v>15.2</v>
      </c>
      <c r="AC212" s="123">
        <v>1</v>
      </c>
      <c r="AD212" s="123"/>
    </row>
    <row r="213" spans="1:31">
      <c r="A213" s="121">
        <v>211</v>
      </c>
      <c r="B213" s="133" t="s">
        <v>2650</v>
      </c>
      <c r="C213" s="133" t="s">
        <v>2421</v>
      </c>
      <c r="D213" s="133" t="s">
        <v>2447</v>
      </c>
      <c r="E213" s="124">
        <v>42769</v>
      </c>
      <c r="F213" s="125">
        <v>0.44444444444444442</v>
      </c>
      <c r="G213" s="124">
        <v>42814</v>
      </c>
      <c r="H213" s="125">
        <v>0.39583333333333331</v>
      </c>
      <c r="I213" s="123">
        <v>934</v>
      </c>
      <c r="J213" s="123">
        <v>822</v>
      </c>
      <c r="K213" s="142" t="str">
        <f t="shared" si="12"/>
        <v>G822</v>
      </c>
      <c r="L213" s="123">
        <v>381</v>
      </c>
      <c r="M213" s="142" t="str">
        <f t="shared" si="13"/>
        <v>R381</v>
      </c>
      <c r="N213" s="123">
        <v>796</v>
      </c>
      <c r="O213" s="142" t="str">
        <f t="shared" si="14"/>
        <v>G796</v>
      </c>
      <c r="P213" s="123">
        <v>589</v>
      </c>
      <c r="Q213" s="142" t="str">
        <f t="shared" si="15"/>
        <v>R589</v>
      </c>
      <c r="R213" s="123">
        <v>24.4</v>
      </c>
      <c r="S213" s="123">
        <v>23.1</v>
      </c>
      <c r="T213" s="123">
        <v>23.5</v>
      </c>
      <c r="U213" s="123">
        <v>10.6</v>
      </c>
      <c r="V213" s="123" t="s">
        <v>2182</v>
      </c>
      <c r="W213" s="126" t="s">
        <v>2182</v>
      </c>
      <c r="X213" s="126" t="s">
        <v>2182</v>
      </c>
      <c r="Y213" s="126" t="s">
        <v>2182</v>
      </c>
      <c r="Z213" s="123">
        <v>17.399999999999999</v>
      </c>
      <c r="AA213" s="123" t="s">
        <v>2245</v>
      </c>
      <c r="AB213" s="123">
        <v>13.8</v>
      </c>
      <c r="AC213" s="123">
        <v>1</v>
      </c>
      <c r="AD213" s="123"/>
    </row>
    <row r="214" spans="1:31">
      <c r="A214" s="121">
        <v>212</v>
      </c>
      <c r="B214" s="133" t="s">
        <v>2650</v>
      </c>
      <c r="C214" s="133" t="s">
        <v>2437</v>
      </c>
      <c r="D214" s="133" t="s">
        <v>2449</v>
      </c>
      <c r="E214" s="124">
        <v>42769</v>
      </c>
      <c r="F214" s="125">
        <v>0.39930555555555558</v>
      </c>
      <c r="G214" s="124">
        <v>42813</v>
      </c>
      <c r="H214" s="125">
        <v>0.71875</v>
      </c>
      <c r="I214" s="123">
        <v>929</v>
      </c>
      <c r="J214" s="123">
        <v>786</v>
      </c>
      <c r="K214" s="142" t="str">
        <f t="shared" si="12"/>
        <v>G786</v>
      </c>
      <c r="L214" s="123">
        <v>93</v>
      </c>
      <c r="M214" s="142" t="str">
        <f t="shared" si="13"/>
        <v>R93</v>
      </c>
      <c r="N214" s="123">
        <v>560</v>
      </c>
      <c r="O214" s="142" t="str">
        <f t="shared" si="14"/>
        <v>G560</v>
      </c>
      <c r="P214" s="123">
        <v>130</v>
      </c>
      <c r="Q214" s="142" t="str">
        <f t="shared" si="15"/>
        <v>R130</v>
      </c>
      <c r="R214" s="123">
        <v>23.3</v>
      </c>
      <c r="S214" s="123">
        <v>28.5</v>
      </c>
      <c r="T214" s="123">
        <v>31.6</v>
      </c>
      <c r="U214" s="123">
        <v>16.399999999999999</v>
      </c>
      <c r="V214" s="123"/>
      <c r="W214" s="126" t="s">
        <v>2229</v>
      </c>
      <c r="X214" s="126" t="s">
        <v>2182</v>
      </c>
      <c r="Y214" s="126" t="s">
        <v>2182</v>
      </c>
      <c r="Z214" s="123">
        <v>7.9</v>
      </c>
      <c r="AA214" s="123" t="s">
        <v>2245</v>
      </c>
      <c r="AB214" s="123">
        <v>7.9</v>
      </c>
      <c r="AC214" s="123">
        <v>1</v>
      </c>
      <c r="AD214" s="123"/>
    </row>
    <row r="215" spans="1:31">
      <c r="A215" s="121">
        <v>213</v>
      </c>
      <c r="B215" s="133" t="s">
        <v>2380</v>
      </c>
      <c r="C215" s="133" t="s">
        <v>2445</v>
      </c>
      <c r="D215" s="122" t="s">
        <v>2450</v>
      </c>
      <c r="E215" s="124">
        <v>42769</v>
      </c>
      <c r="F215" s="125">
        <v>0.4375</v>
      </c>
      <c r="G215" s="124">
        <v>42813</v>
      </c>
      <c r="H215" s="125">
        <v>0.68055555555555547</v>
      </c>
      <c r="I215" s="123">
        <v>933</v>
      </c>
      <c r="J215" s="123">
        <v>572</v>
      </c>
      <c r="K215" s="142" t="str">
        <f t="shared" si="12"/>
        <v>G572</v>
      </c>
      <c r="L215" s="123">
        <v>88</v>
      </c>
      <c r="M215" s="142" t="str">
        <f t="shared" si="13"/>
        <v>R88</v>
      </c>
      <c r="N215" s="123">
        <v>716</v>
      </c>
      <c r="O215" s="142" t="str">
        <f t="shared" si="14"/>
        <v>G716</v>
      </c>
      <c r="P215" s="123">
        <v>111</v>
      </c>
      <c r="Q215" s="142" t="str">
        <f t="shared" si="15"/>
        <v>R111</v>
      </c>
      <c r="R215" s="123">
        <v>25</v>
      </c>
      <c r="S215" s="123">
        <v>24</v>
      </c>
      <c r="T215" s="123">
        <v>31.3</v>
      </c>
      <c r="U215" s="123">
        <v>15.5</v>
      </c>
      <c r="V215" s="123" t="s">
        <v>2182</v>
      </c>
      <c r="W215" s="126" t="s">
        <v>2182</v>
      </c>
      <c r="X215" s="126" t="s">
        <v>2182</v>
      </c>
      <c r="Y215" s="126"/>
      <c r="Z215" s="123">
        <v>12.2</v>
      </c>
      <c r="AA215" s="123" t="s">
        <v>2245</v>
      </c>
      <c r="AB215" s="123">
        <v>15.2</v>
      </c>
      <c r="AC215" s="123">
        <v>1</v>
      </c>
      <c r="AD215" s="123"/>
    </row>
    <row r="216" spans="1:31">
      <c r="A216" s="121">
        <v>214</v>
      </c>
      <c r="B216" s="133" t="s">
        <v>2380</v>
      </c>
      <c r="C216" s="133" t="s">
        <v>2438</v>
      </c>
      <c r="D216" s="133" t="s">
        <v>2449</v>
      </c>
      <c r="E216" s="124">
        <v>42769</v>
      </c>
      <c r="F216" s="125">
        <v>0.41319444444444442</v>
      </c>
      <c r="G216" s="124">
        <v>42813</v>
      </c>
      <c r="H216" s="125">
        <v>0.71875</v>
      </c>
      <c r="I216" s="123">
        <v>929</v>
      </c>
      <c r="J216" s="123">
        <v>761</v>
      </c>
      <c r="K216" s="142" t="str">
        <f t="shared" si="12"/>
        <v>G761</v>
      </c>
      <c r="L216" s="123">
        <v>383</v>
      </c>
      <c r="M216" s="142" t="str">
        <f t="shared" si="13"/>
        <v>R383</v>
      </c>
      <c r="N216" s="123">
        <v>581</v>
      </c>
      <c r="O216" s="142" t="str">
        <f t="shared" si="14"/>
        <v>G581</v>
      </c>
      <c r="P216" s="123">
        <v>412</v>
      </c>
      <c r="Q216" s="142" t="str">
        <f t="shared" si="15"/>
        <v>R412</v>
      </c>
      <c r="R216" s="123">
        <v>24.2</v>
      </c>
      <c r="S216" s="123">
        <v>26.9</v>
      </c>
      <c r="T216" s="123">
        <v>34.200000000000003</v>
      </c>
      <c r="U216" s="123">
        <v>12</v>
      </c>
      <c r="V216" s="123" t="s">
        <v>2182</v>
      </c>
      <c r="W216" s="126" t="s">
        <v>2182</v>
      </c>
      <c r="X216" s="126" t="s">
        <v>2182</v>
      </c>
      <c r="Y216" s="126" t="s">
        <v>2182</v>
      </c>
      <c r="Z216" s="123">
        <v>7.9</v>
      </c>
      <c r="AA216" s="123" t="s">
        <v>2245</v>
      </c>
      <c r="AB216" s="123">
        <v>7.9</v>
      </c>
      <c r="AC216" s="123">
        <v>1</v>
      </c>
      <c r="AD216" s="123"/>
    </row>
    <row r="217" spans="1:31">
      <c r="A217" s="121">
        <v>215</v>
      </c>
      <c r="B217" s="133" t="s">
        <v>2380</v>
      </c>
      <c r="C217" s="133" t="s">
        <v>2422</v>
      </c>
      <c r="D217" s="133" t="s">
        <v>2447</v>
      </c>
      <c r="E217" s="124">
        <v>42769</v>
      </c>
      <c r="F217" s="125">
        <v>0.47916666666666669</v>
      </c>
      <c r="G217" s="124">
        <v>42814</v>
      </c>
      <c r="H217" s="125">
        <v>0.39583333333333331</v>
      </c>
      <c r="I217" s="123">
        <v>934</v>
      </c>
      <c r="J217" s="123">
        <v>858</v>
      </c>
      <c r="K217" s="142" t="str">
        <f t="shared" si="12"/>
        <v>G858</v>
      </c>
      <c r="L217" s="123">
        <v>145</v>
      </c>
      <c r="M217" s="142" t="str">
        <f t="shared" si="13"/>
        <v>R145</v>
      </c>
      <c r="N217" s="123">
        <v>718</v>
      </c>
      <c r="O217" s="142" t="str">
        <f t="shared" si="14"/>
        <v>G718</v>
      </c>
      <c r="P217" s="123">
        <v>434</v>
      </c>
      <c r="Q217" s="142" t="str">
        <f t="shared" si="15"/>
        <v>R434</v>
      </c>
      <c r="R217" s="123">
        <v>27.6</v>
      </c>
      <c r="S217" s="123">
        <v>27.2</v>
      </c>
      <c r="T217" s="123">
        <v>24.9</v>
      </c>
      <c r="U217" s="123">
        <v>13.4</v>
      </c>
      <c r="V217" s="123" t="s">
        <v>2182</v>
      </c>
      <c r="W217" s="126"/>
      <c r="X217" s="126" t="s">
        <v>2182</v>
      </c>
      <c r="Y217" s="126" t="s">
        <v>2182</v>
      </c>
      <c r="Z217" s="123">
        <v>17.399999999999999</v>
      </c>
      <c r="AA217" s="123" t="s">
        <v>2245</v>
      </c>
      <c r="AB217" s="123">
        <v>13.8</v>
      </c>
      <c r="AC217" s="123">
        <v>1</v>
      </c>
      <c r="AD217" s="123"/>
    </row>
    <row r="218" spans="1:31">
      <c r="A218" s="121">
        <v>216</v>
      </c>
      <c r="B218" s="133" t="s">
        <v>2380</v>
      </c>
      <c r="C218" s="133" t="s">
        <v>2431</v>
      </c>
      <c r="D218" s="133" t="s">
        <v>2448</v>
      </c>
      <c r="E218" s="124">
        <v>42769</v>
      </c>
      <c r="F218" s="125">
        <v>0.46180555555555558</v>
      </c>
      <c r="G218" s="124">
        <v>42814</v>
      </c>
      <c r="H218" s="125">
        <v>0.42708333333333331</v>
      </c>
      <c r="I218" s="123">
        <v>935</v>
      </c>
      <c r="J218" s="123">
        <v>755</v>
      </c>
      <c r="K218" s="142" t="str">
        <f t="shared" si="12"/>
        <v>G755</v>
      </c>
      <c r="L218" s="123">
        <v>241</v>
      </c>
      <c r="M218" s="142" t="str">
        <f t="shared" si="13"/>
        <v>R241</v>
      </c>
      <c r="N218" s="123">
        <v>613</v>
      </c>
      <c r="O218" s="142" t="str">
        <f t="shared" si="14"/>
        <v>G613</v>
      </c>
      <c r="P218" s="123">
        <v>457</v>
      </c>
      <c r="Q218" s="142" t="str">
        <f t="shared" si="15"/>
        <v>R457</v>
      </c>
      <c r="R218" s="123">
        <v>25.6</v>
      </c>
      <c r="S218" s="123">
        <v>25.3</v>
      </c>
      <c r="T218" s="129">
        <v>24.5</v>
      </c>
      <c r="U218" s="129">
        <v>16</v>
      </c>
      <c r="V218" s="123" t="s">
        <v>2225</v>
      </c>
      <c r="W218" s="126" t="s">
        <v>2174</v>
      </c>
      <c r="X218" s="126" t="s">
        <v>2182</v>
      </c>
      <c r="Y218" s="126" t="s">
        <v>2182</v>
      </c>
      <c r="Z218" s="123">
        <v>5.13</v>
      </c>
      <c r="AA218" s="123" t="s">
        <v>2245</v>
      </c>
      <c r="AB218" s="123">
        <v>5.13</v>
      </c>
      <c r="AC218" s="123">
        <v>1</v>
      </c>
      <c r="AD218" s="123"/>
    </row>
    <row r="219" spans="1:31">
      <c r="A219" s="121">
        <v>217</v>
      </c>
      <c r="B219" s="133" t="s">
        <v>2423</v>
      </c>
      <c r="C219" s="133" t="s">
        <v>2424</v>
      </c>
      <c r="D219" s="133" t="s">
        <v>2447</v>
      </c>
      <c r="E219" s="124">
        <v>42769</v>
      </c>
      <c r="F219" s="125">
        <v>0.4513888888888889</v>
      </c>
      <c r="G219" s="124">
        <v>42814</v>
      </c>
      <c r="H219" s="125">
        <v>0.39583333333333331</v>
      </c>
      <c r="I219" s="123">
        <v>934</v>
      </c>
      <c r="J219" s="123">
        <v>795</v>
      </c>
      <c r="K219" s="142" t="str">
        <f t="shared" si="12"/>
        <v>G795</v>
      </c>
      <c r="L219" s="123">
        <v>302</v>
      </c>
      <c r="M219" s="142" t="str">
        <f t="shared" si="13"/>
        <v>R302</v>
      </c>
      <c r="N219" s="123">
        <v>804</v>
      </c>
      <c r="O219" s="142" t="str">
        <f t="shared" si="14"/>
        <v>G804</v>
      </c>
      <c r="P219" s="123">
        <v>410</v>
      </c>
      <c r="Q219" s="142" t="str">
        <f t="shared" si="15"/>
        <v>R410</v>
      </c>
      <c r="R219" s="123">
        <v>26.7</v>
      </c>
      <c r="S219" s="123">
        <v>24.4</v>
      </c>
      <c r="T219" s="123">
        <v>24.3</v>
      </c>
      <c r="U219" s="123">
        <v>15.7</v>
      </c>
      <c r="V219" s="123" t="s">
        <v>2182</v>
      </c>
      <c r="W219" s="126" t="s">
        <v>2182</v>
      </c>
      <c r="X219" s="126" t="s">
        <v>2182</v>
      </c>
      <c r="Y219" s="126"/>
      <c r="Z219" s="123">
        <v>17.399999999999999</v>
      </c>
      <c r="AA219" s="123" t="s">
        <v>2245</v>
      </c>
      <c r="AB219" s="123">
        <v>13.8</v>
      </c>
      <c r="AC219" s="123">
        <v>1</v>
      </c>
      <c r="AD219" s="123"/>
    </row>
    <row r="220" spans="1:31">
      <c r="A220" s="121">
        <v>218</v>
      </c>
      <c r="B220" s="133" t="s">
        <v>2423</v>
      </c>
      <c r="C220" s="133" t="s">
        <v>2432</v>
      </c>
      <c r="D220" s="133" t="s">
        <v>2448</v>
      </c>
      <c r="E220" s="124">
        <v>42769</v>
      </c>
      <c r="F220" s="125">
        <v>0.47222222222222227</v>
      </c>
      <c r="G220" s="124">
        <v>42814</v>
      </c>
      <c r="H220" s="125">
        <v>0.42708333333333331</v>
      </c>
      <c r="I220" s="123">
        <v>935</v>
      </c>
      <c r="J220" s="123">
        <v>251</v>
      </c>
      <c r="K220" s="142" t="str">
        <f t="shared" si="12"/>
        <v>G251</v>
      </c>
      <c r="L220" s="123">
        <v>442</v>
      </c>
      <c r="M220" s="142" t="str">
        <f t="shared" si="13"/>
        <v>R442</v>
      </c>
      <c r="N220" s="123">
        <v>587</v>
      </c>
      <c r="O220" s="142" t="str">
        <f t="shared" si="14"/>
        <v>G587</v>
      </c>
      <c r="P220" s="123">
        <v>103</v>
      </c>
      <c r="Q220" s="142" t="str">
        <f t="shared" si="15"/>
        <v>R103</v>
      </c>
      <c r="R220" s="123">
        <v>25.5</v>
      </c>
      <c r="S220" s="123">
        <v>24.7</v>
      </c>
      <c r="T220" s="129">
        <v>23.5</v>
      </c>
      <c r="U220" s="129">
        <v>19.5</v>
      </c>
      <c r="V220" s="123" t="s">
        <v>2182</v>
      </c>
      <c r="W220" s="126" t="s">
        <v>2182</v>
      </c>
      <c r="X220" s="126" t="s">
        <v>2182</v>
      </c>
      <c r="Y220" s="126" t="s">
        <v>2182</v>
      </c>
      <c r="Z220" s="123">
        <v>5.13</v>
      </c>
      <c r="AA220" s="123" t="s">
        <v>2245</v>
      </c>
      <c r="AB220" s="123">
        <v>5.13</v>
      </c>
      <c r="AC220" s="123">
        <v>1</v>
      </c>
      <c r="AD220" s="123"/>
    </row>
    <row r="221" spans="1:31">
      <c r="A221" s="121">
        <v>219</v>
      </c>
      <c r="B221" s="133" t="s">
        <v>2423</v>
      </c>
      <c r="C221" s="133" t="s">
        <v>2439</v>
      </c>
      <c r="D221" s="133" t="s">
        <v>2449</v>
      </c>
      <c r="E221" s="124">
        <v>42769</v>
      </c>
      <c r="F221" s="125">
        <v>0.40972222222222227</v>
      </c>
      <c r="G221" s="124">
        <v>42813</v>
      </c>
      <c r="H221" s="125">
        <v>0.71875</v>
      </c>
      <c r="I221" s="123">
        <v>929</v>
      </c>
      <c r="J221" s="163">
        <v>727</v>
      </c>
      <c r="K221" s="142" t="str">
        <f t="shared" si="12"/>
        <v>G727</v>
      </c>
      <c r="L221" s="163">
        <v>176</v>
      </c>
      <c r="M221" s="142" t="str">
        <f t="shared" si="13"/>
        <v>R176</v>
      </c>
      <c r="N221" s="163">
        <v>491</v>
      </c>
      <c r="O221" s="142" t="str">
        <f t="shared" si="14"/>
        <v>G491</v>
      </c>
      <c r="P221" s="163">
        <v>356</v>
      </c>
      <c r="Q221" s="142" t="str">
        <f t="shared" si="15"/>
        <v>R356</v>
      </c>
      <c r="R221" s="123">
        <v>23.3</v>
      </c>
      <c r="S221" s="123">
        <v>29.5</v>
      </c>
      <c r="T221" s="123">
        <v>31.8</v>
      </c>
      <c r="U221" s="123">
        <v>14</v>
      </c>
      <c r="V221" s="123" t="s">
        <v>2195</v>
      </c>
      <c r="W221" s="126" t="s">
        <v>2182</v>
      </c>
      <c r="X221" s="126" t="s">
        <v>2182</v>
      </c>
      <c r="Y221" s="126"/>
      <c r="Z221" s="123">
        <v>7.9</v>
      </c>
      <c r="AA221" s="123" t="s">
        <v>2245</v>
      </c>
      <c r="AB221" s="123">
        <v>7.9</v>
      </c>
      <c r="AC221" s="123">
        <v>1</v>
      </c>
      <c r="AD221" s="123"/>
    </row>
    <row r="222" spans="1:31">
      <c r="A222" s="121">
        <v>220</v>
      </c>
      <c r="B222" s="133" t="s">
        <v>2423</v>
      </c>
      <c r="C222" s="133" t="s">
        <v>2446</v>
      </c>
      <c r="D222" s="122" t="s">
        <v>2450</v>
      </c>
      <c r="E222" s="124">
        <v>42769</v>
      </c>
      <c r="F222" s="125">
        <v>0.4375</v>
      </c>
      <c r="G222" s="124">
        <v>42813</v>
      </c>
      <c r="H222" s="125">
        <v>0.68055555555555547</v>
      </c>
      <c r="I222" s="123">
        <v>933</v>
      </c>
      <c r="J222" s="123">
        <v>782</v>
      </c>
      <c r="K222" s="142" t="str">
        <f t="shared" si="12"/>
        <v>G782</v>
      </c>
      <c r="L222" s="123">
        <v>250</v>
      </c>
      <c r="M222" s="142" t="str">
        <f t="shared" si="13"/>
        <v>R250</v>
      </c>
      <c r="N222" s="123">
        <v>849</v>
      </c>
      <c r="O222" s="142" t="str">
        <f t="shared" si="14"/>
        <v>G849</v>
      </c>
      <c r="P222" s="123">
        <v>319</v>
      </c>
      <c r="Q222" s="142" t="str">
        <f t="shared" si="15"/>
        <v>R319</v>
      </c>
      <c r="R222" s="123">
        <v>23.8</v>
      </c>
      <c r="S222" s="123">
        <v>25.9</v>
      </c>
      <c r="T222" s="123">
        <v>32.1</v>
      </c>
      <c r="U222" s="123">
        <v>15.8</v>
      </c>
      <c r="V222" s="123" t="s">
        <v>2182</v>
      </c>
      <c r="W222" s="126" t="s">
        <v>2174</v>
      </c>
      <c r="X222" s="126" t="s">
        <v>2182</v>
      </c>
      <c r="Y222" s="126"/>
      <c r="Z222" s="123">
        <v>12.2</v>
      </c>
      <c r="AA222" s="123" t="s">
        <v>2245</v>
      </c>
      <c r="AB222" s="123">
        <v>15.2</v>
      </c>
      <c r="AC222" s="123">
        <v>1</v>
      </c>
      <c r="AD222" s="123"/>
    </row>
    <row r="223" spans="1:31">
      <c r="A223" s="118" t="s">
        <v>2159</v>
      </c>
      <c r="B223" s="119" t="s">
        <v>2160</v>
      </c>
      <c r="C223" s="119" t="s">
        <v>2161</v>
      </c>
      <c r="D223" s="119" t="s">
        <v>2162</v>
      </c>
      <c r="E223" s="117" t="s">
        <v>1141</v>
      </c>
      <c r="F223" s="117" t="s">
        <v>2163</v>
      </c>
      <c r="G223" s="117" t="s">
        <v>1141</v>
      </c>
      <c r="H223" s="117" t="s">
        <v>2163</v>
      </c>
      <c r="I223" s="117" t="s">
        <v>2164</v>
      </c>
      <c r="J223" s="117" t="s">
        <v>1147</v>
      </c>
      <c r="K223" s="117"/>
      <c r="L223" s="117" t="s">
        <v>298</v>
      </c>
      <c r="M223" s="117"/>
      <c r="N223" s="117" t="s">
        <v>2165</v>
      </c>
      <c r="O223" s="117"/>
      <c r="P223" s="117" t="s">
        <v>2166</v>
      </c>
      <c r="Q223" s="117"/>
      <c r="R223" s="118" t="s">
        <v>2167</v>
      </c>
      <c r="S223" s="118" t="s">
        <v>2168</v>
      </c>
      <c r="T223" s="118" t="s">
        <v>2167</v>
      </c>
      <c r="U223" s="118" t="s">
        <v>2168</v>
      </c>
      <c r="V223" s="119" t="s">
        <v>1147</v>
      </c>
      <c r="W223" s="119" t="s">
        <v>298</v>
      </c>
      <c r="X223" s="119" t="s">
        <v>2169</v>
      </c>
      <c r="Y223" s="119" t="s">
        <v>2166</v>
      </c>
      <c r="Z223" s="120" t="s">
        <v>2170</v>
      </c>
      <c r="AA223" s="120" t="s">
        <v>3142</v>
      </c>
      <c r="AB223" s="120" t="s">
        <v>2170</v>
      </c>
      <c r="AC223" s="120" t="s">
        <v>3140</v>
      </c>
      <c r="AD223" s="155"/>
      <c r="AE223" s="158"/>
    </row>
    <row r="224" spans="1:31">
      <c r="A224" s="135" t="s">
        <v>2149</v>
      </c>
      <c r="B224" s="135"/>
      <c r="C224" s="135"/>
      <c r="D224" s="135"/>
      <c r="E224" s="135" t="s">
        <v>2150</v>
      </c>
      <c r="F224" s="135"/>
      <c r="G224" s="135" t="s">
        <v>2151</v>
      </c>
      <c r="H224" s="135"/>
      <c r="I224" s="117" t="s">
        <v>2152</v>
      </c>
      <c r="J224" s="135" t="s">
        <v>2153</v>
      </c>
      <c r="K224" s="135"/>
      <c r="L224" s="135"/>
      <c r="M224" s="135"/>
      <c r="N224" s="135"/>
      <c r="O224" s="135"/>
      <c r="P224" s="135"/>
      <c r="Q224" s="135"/>
      <c r="R224" s="135" t="s">
        <v>2453</v>
      </c>
      <c r="S224" s="135"/>
      <c r="T224" s="135" t="s">
        <v>2452</v>
      </c>
      <c r="U224" s="135"/>
      <c r="V224" s="147" t="s">
        <v>2154</v>
      </c>
      <c r="W224" s="147"/>
      <c r="X224" s="147"/>
      <c r="Y224" s="147"/>
      <c r="Z224" s="150" t="s">
        <v>2155</v>
      </c>
      <c r="AA224" s="150"/>
      <c r="AB224" s="150" t="s">
        <v>2156</v>
      </c>
      <c r="AC224" s="150"/>
      <c r="AD224" s="155" t="s">
        <v>2157</v>
      </c>
      <c r="AE224" s="158" t="s">
        <v>2158</v>
      </c>
    </row>
    <row r="226" spans="1:1">
      <c r="A226" t="s">
        <v>2464</v>
      </c>
    </row>
    <row r="255" spans="2:7">
      <c r="B255" s="92"/>
      <c r="C255" s="92"/>
      <c r="D255" s="92"/>
      <c r="E255" s="92"/>
      <c r="F255" s="92"/>
      <c r="G255" s="92"/>
    </row>
    <row r="335" spans="4:30">
      <c r="D335" t="s">
        <v>3628</v>
      </c>
    </row>
    <row r="336" spans="4:30">
      <c r="D336" s="122" t="s">
        <v>2450</v>
      </c>
      <c r="E336" s="124">
        <v>42769</v>
      </c>
      <c r="F336" s="123"/>
      <c r="G336" s="124">
        <v>42844</v>
      </c>
      <c r="H336" s="124"/>
      <c r="I336" s="125">
        <v>0.68055555555555547</v>
      </c>
      <c r="J336" s="125"/>
      <c r="K336" s="123">
        <v>933</v>
      </c>
      <c r="L336" s="123"/>
      <c r="M336" s="123">
        <v>863</v>
      </c>
      <c r="N336" s="123"/>
      <c r="O336" s="123">
        <v>125</v>
      </c>
      <c r="P336" s="123">
        <v>584</v>
      </c>
      <c r="Q336" s="123">
        <v>364</v>
      </c>
      <c r="R336" s="123"/>
      <c r="S336" s="123"/>
      <c r="T336" s="123">
        <v>34</v>
      </c>
      <c r="U336" s="123">
        <v>16.8</v>
      </c>
      <c r="V336" s="123" t="s">
        <v>2182</v>
      </c>
      <c r="W336" s="126"/>
      <c r="X336" s="126" t="s">
        <v>2182</v>
      </c>
      <c r="Y336" s="126"/>
      <c r="Z336" s="123">
        <v>12.2</v>
      </c>
      <c r="AA336" s="123" t="s">
        <v>2245</v>
      </c>
      <c r="AB336" s="123">
        <v>15.2</v>
      </c>
      <c r="AC336" s="123">
        <v>1</v>
      </c>
      <c r="AD336" s="123"/>
    </row>
    <row r="337" spans="4:30">
      <c r="D337" s="133" t="s">
        <v>2449</v>
      </c>
      <c r="E337" s="124">
        <v>42769</v>
      </c>
      <c r="F337" s="123"/>
      <c r="G337" s="124">
        <v>42844</v>
      </c>
      <c r="H337" s="124"/>
      <c r="I337" s="125">
        <v>0.71875</v>
      </c>
      <c r="J337" s="125"/>
      <c r="K337" s="123">
        <v>929</v>
      </c>
      <c r="L337" s="123"/>
      <c r="M337" s="123">
        <v>615</v>
      </c>
      <c r="N337" s="123"/>
      <c r="O337" s="123">
        <v>289</v>
      </c>
      <c r="P337" s="123">
        <v>713</v>
      </c>
      <c r="Q337" s="123">
        <v>167</v>
      </c>
      <c r="R337" s="123"/>
      <c r="S337" s="123"/>
      <c r="T337" s="123">
        <v>34.700000000000003</v>
      </c>
      <c r="U337" s="123">
        <v>14.1</v>
      </c>
      <c r="V337" s="123" t="s">
        <v>2182</v>
      </c>
      <c r="W337" s="126" t="s">
        <v>2182</v>
      </c>
      <c r="X337" s="126" t="s">
        <v>2182</v>
      </c>
      <c r="Y337" s="126" t="s">
        <v>2182</v>
      </c>
      <c r="Z337" s="123">
        <v>7.9</v>
      </c>
      <c r="AA337" s="123" t="s">
        <v>2245</v>
      </c>
      <c r="AB337" s="123">
        <v>7.9</v>
      </c>
      <c r="AC337" s="123">
        <v>1</v>
      </c>
      <c r="AD337" s="123"/>
    </row>
    <row r="338" spans="4:30">
      <c r="D338" s="133" t="s">
        <v>2448</v>
      </c>
      <c r="E338" s="124">
        <v>42769</v>
      </c>
      <c r="F338" s="123"/>
      <c r="G338" s="124">
        <v>42845</v>
      </c>
      <c r="H338" s="124"/>
      <c r="I338" s="125">
        <v>0.42708333333333331</v>
      </c>
      <c r="J338" s="125"/>
      <c r="K338" s="123">
        <v>935</v>
      </c>
      <c r="L338" s="123"/>
      <c r="M338" s="123">
        <v>821</v>
      </c>
      <c r="N338" s="123"/>
      <c r="O338" s="123">
        <v>378</v>
      </c>
      <c r="P338" s="123">
        <v>525</v>
      </c>
      <c r="Q338" s="123">
        <v>25</v>
      </c>
      <c r="R338" s="123"/>
      <c r="S338" s="123"/>
      <c r="T338" s="129">
        <v>23.4</v>
      </c>
      <c r="U338" s="129">
        <v>32.700000000000003</v>
      </c>
      <c r="V338" s="123" t="s">
        <v>2182</v>
      </c>
      <c r="W338" s="126" t="s">
        <v>2229</v>
      </c>
      <c r="X338" s="126" t="s">
        <v>2182</v>
      </c>
      <c r="Y338" s="126"/>
      <c r="Z338" s="123">
        <v>5.13</v>
      </c>
      <c r="AA338" s="123" t="s">
        <v>2245</v>
      </c>
      <c r="AB338" s="123">
        <v>5.13</v>
      </c>
      <c r="AC338" s="123">
        <v>1</v>
      </c>
      <c r="AD338" s="123"/>
    </row>
    <row r="339" spans="4:30">
      <c r="D339" s="133" t="s">
        <v>2447</v>
      </c>
      <c r="E339" s="124">
        <v>42769</v>
      </c>
      <c r="F339" s="123"/>
      <c r="G339" s="124">
        <v>42845</v>
      </c>
      <c r="H339" s="124"/>
      <c r="I339" s="125">
        <v>0.39583333333333331</v>
      </c>
      <c r="J339" s="125"/>
      <c r="K339" s="123">
        <v>934</v>
      </c>
      <c r="L339" s="123"/>
      <c r="M339" s="123">
        <v>754</v>
      </c>
      <c r="N339" s="123"/>
      <c r="O339" s="123">
        <v>375</v>
      </c>
      <c r="P339" s="123">
        <v>886</v>
      </c>
      <c r="Q339" s="123">
        <v>362</v>
      </c>
      <c r="R339" s="123"/>
      <c r="S339" s="123"/>
      <c r="T339" s="123">
        <v>23.6</v>
      </c>
      <c r="U339" s="123">
        <v>27.4</v>
      </c>
      <c r="V339" s="123" t="s">
        <v>2182</v>
      </c>
      <c r="W339" s="126"/>
      <c r="X339" s="126"/>
      <c r="Y339" s="126"/>
      <c r="Z339" s="123">
        <v>17.399999999999999</v>
      </c>
      <c r="AA339" s="123" t="s">
        <v>2245</v>
      </c>
      <c r="AB339" s="123">
        <v>13.8</v>
      </c>
      <c r="AC339" s="123">
        <v>1</v>
      </c>
      <c r="AD339" s="123" t="s">
        <v>2417</v>
      </c>
    </row>
    <row r="340" spans="4:30">
      <c r="D340" s="133" t="s">
        <v>2448</v>
      </c>
      <c r="E340" s="124">
        <v>42769</v>
      </c>
      <c r="F340" s="123"/>
      <c r="G340" s="124">
        <v>42845</v>
      </c>
      <c r="H340" s="124"/>
      <c r="I340" s="125">
        <v>0.42708333333333331</v>
      </c>
      <c r="J340" s="125"/>
      <c r="K340" s="123">
        <v>935</v>
      </c>
      <c r="L340" s="123"/>
      <c r="M340" s="123">
        <v>715</v>
      </c>
      <c r="N340" s="123"/>
      <c r="O340" s="123">
        <v>219</v>
      </c>
      <c r="P340" s="123">
        <v>388</v>
      </c>
      <c r="Q340" s="123">
        <v>370</v>
      </c>
      <c r="R340" s="123"/>
      <c r="S340" s="123"/>
      <c r="T340" s="143">
        <v>24.3</v>
      </c>
      <c r="U340" s="129">
        <v>19.100000000000001</v>
      </c>
      <c r="V340" s="123" t="s">
        <v>2182</v>
      </c>
      <c r="W340" s="126" t="s">
        <v>2225</v>
      </c>
      <c r="X340" s="126" t="s">
        <v>2182</v>
      </c>
      <c r="Y340" s="126" t="s">
        <v>2182</v>
      </c>
      <c r="Z340" s="123">
        <v>5.13</v>
      </c>
      <c r="AA340" s="123" t="s">
        <v>2245</v>
      </c>
      <c r="AB340" s="123">
        <v>5.13</v>
      </c>
      <c r="AC340" s="123">
        <v>1</v>
      </c>
      <c r="AD340" s="123"/>
    </row>
    <row r="341" spans="4:30">
      <c r="D341" s="133" t="s">
        <v>2449</v>
      </c>
      <c r="E341" s="124">
        <v>42769</v>
      </c>
      <c r="F341" s="123"/>
      <c r="G341" s="124">
        <v>42844</v>
      </c>
      <c r="H341" s="124"/>
      <c r="I341" s="125">
        <v>0.71875</v>
      </c>
      <c r="J341" s="125"/>
      <c r="K341" s="123">
        <v>929</v>
      </c>
      <c r="L341" s="123"/>
      <c r="M341" s="123">
        <v>785</v>
      </c>
      <c r="N341" s="123"/>
      <c r="O341" s="123">
        <v>463</v>
      </c>
      <c r="P341" s="123">
        <v>462</v>
      </c>
      <c r="Q341" s="123">
        <v>168</v>
      </c>
      <c r="R341" s="123"/>
      <c r="S341" s="123"/>
      <c r="T341" s="123">
        <v>32</v>
      </c>
      <c r="U341" s="123">
        <v>14.9</v>
      </c>
      <c r="V341" s="123" t="s">
        <v>2182</v>
      </c>
      <c r="W341" s="126"/>
      <c r="X341" s="126" t="s">
        <v>2182</v>
      </c>
      <c r="Y341" s="126" t="s">
        <v>2182</v>
      </c>
      <c r="Z341" s="123">
        <v>7.9</v>
      </c>
      <c r="AA341" s="123" t="s">
        <v>2245</v>
      </c>
      <c r="AB341" s="123">
        <v>7.9</v>
      </c>
      <c r="AC341" s="123">
        <v>1</v>
      </c>
      <c r="AD341" s="123"/>
    </row>
    <row r="342" spans="4:30">
      <c r="D342" s="133" t="s">
        <v>2447</v>
      </c>
      <c r="E342" s="124">
        <v>42769</v>
      </c>
      <c r="F342" s="123"/>
      <c r="G342" s="124">
        <v>42845</v>
      </c>
      <c r="H342" s="124"/>
      <c r="I342" s="125">
        <v>0.39583333333333331</v>
      </c>
      <c r="J342" s="125"/>
      <c r="K342" s="123">
        <v>934</v>
      </c>
      <c r="L342" s="123"/>
      <c r="M342" s="123">
        <v>877</v>
      </c>
      <c r="N342" s="123"/>
      <c r="O342" s="123">
        <v>339</v>
      </c>
      <c r="P342" s="123">
        <v>712</v>
      </c>
      <c r="Q342" s="123">
        <v>269</v>
      </c>
      <c r="R342" s="123"/>
      <c r="S342" s="123"/>
      <c r="T342" s="123">
        <v>23.7</v>
      </c>
      <c r="U342" s="123">
        <v>9.6999999999999993</v>
      </c>
      <c r="V342" s="123" t="s">
        <v>2182</v>
      </c>
      <c r="W342" s="126" t="s">
        <v>2182</v>
      </c>
      <c r="X342" s="126"/>
      <c r="Y342" s="126" t="s">
        <v>2182</v>
      </c>
      <c r="Z342" s="123">
        <v>17.399999999999999</v>
      </c>
      <c r="AA342" s="123" t="s">
        <v>2245</v>
      </c>
      <c r="AB342" s="123">
        <v>13.8</v>
      </c>
      <c r="AC342" s="123">
        <v>1</v>
      </c>
      <c r="AD342" s="123"/>
    </row>
    <row r="343" spans="4:30">
      <c r="D343" s="122" t="s">
        <v>2450</v>
      </c>
      <c r="E343" s="124">
        <v>42769</v>
      </c>
      <c r="F343" s="123"/>
      <c r="G343" s="124">
        <v>42844</v>
      </c>
      <c r="H343" s="124"/>
      <c r="I343" s="125">
        <v>0.68055555555555547</v>
      </c>
      <c r="J343" s="125"/>
      <c r="K343" s="123">
        <v>933</v>
      </c>
      <c r="L343" s="123"/>
      <c r="M343" s="123">
        <v>816</v>
      </c>
      <c r="N343" s="123"/>
      <c r="O343" s="123">
        <v>303</v>
      </c>
      <c r="P343" s="123">
        <v>709</v>
      </c>
      <c r="Q343" s="123">
        <v>359</v>
      </c>
      <c r="R343" s="123"/>
      <c r="S343" s="123"/>
      <c r="T343" s="123">
        <v>30.1</v>
      </c>
      <c r="U343" s="123">
        <v>18.399999999999999</v>
      </c>
      <c r="V343" s="123" t="s">
        <v>2182</v>
      </c>
      <c r="W343" s="126" t="s">
        <v>2182</v>
      </c>
      <c r="X343" s="126" t="s">
        <v>2182</v>
      </c>
      <c r="Y343" s="126" t="s">
        <v>2182</v>
      </c>
      <c r="Z343" s="123">
        <v>12.2</v>
      </c>
      <c r="AA343" s="123" t="s">
        <v>2245</v>
      </c>
      <c r="AB343" s="123">
        <v>15.2</v>
      </c>
      <c r="AC343" s="123">
        <v>1</v>
      </c>
      <c r="AD343" s="123"/>
    </row>
    <row r="344" spans="4:30">
      <c r="D344" s="122" t="s">
        <v>2450</v>
      </c>
      <c r="E344" s="124">
        <v>42769</v>
      </c>
      <c r="F344" s="123"/>
      <c r="G344" s="124">
        <v>42844</v>
      </c>
      <c r="H344" s="124"/>
      <c r="I344" s="125">
        <v>0.68055555555555547</v>
      </c>
      <c r="J344" s="125"/>
      <c r="K344" s="123">
        <v>933</v>
      </c>
      <c r="L344" s="123"/>
      <c r="M344" s="123">
        <v>811</v>
      </c>
      <c r="N344" s="123"/>
      <c r="O344" s="123">
        <v>218</v>
      </c>
      <c r="P344" s="123">
        <v>707</v>
      </c>
      <c r="Q344" s="123">
        <v>395</v>
      </c>
      <c r="R344" s="123"/>
      <c r="S344" s="123"/>
      <c r="T344" s="123">
        <v>30.4</v>
      </c>
      <c r="U344" s="123">
        <v>18.899999999999999</v>
      </c>
      <c r="V344" s="123" t="s">
        <v>2182</v>
      </c>
      <c r="W344" s="126" t="s">
        <v>2182</v>
      </c>
      <c r="X344" s="126" t="s">
        <v>2182</v>
      </c>
      <c r="Y344" s="126"/>
      <c r="Z344" s="123">
        <v>12.2</v>
      </c>
      <c r="AA344" s="123" t="s">
        <v>2245</v>
      </c>
      <c r="AB344" s="123">
        <v>15.2</v>
      </c>
      <c r="AC344" s="123">
        <v>1</v>
      </c>
      <c r="AD344" s="123"/>
    </row>
    <row r="345" spans="4:30">
      <c r="D345" s="133" t="s">
        <v>2447</v>
      </c>
      <c r="E345" s="124">
        <v>42769</v>
      </c>
      <c r="F345" s="123"/>
      <c r="G345" s="124">
        <v>42845</v>
      </c>
      <c r="H345" s="124"/>
      <c r="I345" s="125">
        <v>0.39583333333333331</v>
      </c>
      <c r="J345" s="125"/>
      <c r="K345" s="123">
        <v>934</v>
      </c>
      <c r="L345" s="123"/>
      <c r="M345" s="123">
        <v>773</v>
      </c>
      <c r="N345" s="123"/>
      <c r="O345" s="123">
        <v>135</v>
      </c>
      <c r="P345" s="123">
        <v>770</v>
      </c>
      <c r="Q345" s="123">
        <v>182</v>
      </c>
      <c r="R345" s="123"/>
      <c r="S345" s="123"/>
      <c r="T345" s="123">
        <v>23.3</v>
      </c>
      <c r="U345" s="123">
        <v>16.399999999999999</v>
      </c>
      <c r="V345" s="123" t="s">
        <v>2182</v>
      </c>
      <c r="W345" s="126" t="s">
        <v>2182</v>
      </c>
      <c r="X345" s="126" t="s">
        <v>2182</v>
      </c>
      <c r="Y345" s="126"/>
      <c r="Z345" s="123">
        <v>17.399999999999999</v>
      </c>
      <c r="AA345" s="123" t="s">
        <v>2245</v>
      </c>
      <c r="AB345" s="123">
        <v>13.8</v>
      </c>
      <c r="AC345" s="123">
        <v>1</v>
      </c>
      <c r="AD345" s="123"/>
    </row>
    <row r="346" spans="4:30">
      <c r="D346" s="133" t="s">
        <v>2448</v>
      </c>
      <c r="E346" s="124">
        <v>42769</v>
      </c>
      <c r="F346" s="123"/>
      <c r="G346" s="124">
        <v>42845</v>
      </c>
      <c r="H346" s="124"/>
      <c r="I346" s="125">
        <v>0.42708333333333331</v>
      </c>
      <c r="J346" s="125"/>
      <c r="K346" s="123">
        <v>935</v>
      </c>
      <c r="L346" s="123"/>
      <c r="M346" s="123">
        <v>645</v>
      </c>
      <c r="N346" s="123"/>
      <c r="O346" s="123">
        <v>372</v>
      </c>
      <c r="P346" s="123">
        <v>753</v>
      </c>
      <c r="Q346" s="123">
        <v>342</v>
      </c>
      <c r="R346" s="144"/>
      <c r="S346" s="144"/>
      <c r="T346" s="159">
        <v>31.1</v>
      </c>
      <c r="U346" s="129">
        <v>23.3</v>
      </c>
      <c r="V346" s="123" t="s">
        <v>2182</v>
      </c>
      <c r="W346" s="126" t="s">
        <v>2174</v>
      </c>
      <c r="X346" s="126" t="s">
        <v>2182</v>
      </c>
      <c r="Y346" s="126"/>
      <c r="Z346" s="123">
        <v>5.13</v>
      </c>
      <c r="AA346" s="123" t="s">
        <v>2245</v>
      </c>
      <c r="AB346" s="123">
        <v>5.13</v>
      </c>
      <c r="AC346" s="123">
        <v>1</v>
      </c>
      <c r="AD346" s="123"/>
    </row>
    <row r="347" spans="4:30">
      <c r="D347" s="133" t="s">
        <v>2449</v>
      </c>
      <c r="E347" s="124">
        <v>42769</v>
      </c>
      <c r="F347" s="123"/>
      <c r="G347" s="124">
        <v>42844</v>
      </c>
      <c r="H347" s="124"/>
      <c r="I347" s="125">
        <v>0.71875</v>
      </c>
      <c r="J347" s="125"/>
      <c r="K347" s="123">
        <v>929</v>
      </c>
      <c r="L347" s="123"/>
      <c r="M347" s="164">
        <v>814</v>
      </c>
      <c r="N347" s="164"/>
      <c r="O347" s="164">
        <v>334</v>
      </c>
      <c r="P347" s="164">
        <v>640</v>
      </c>
      <c r="Q347" s="164">
        <v>139</v>
      </c>
      <c r="R347" s="123"/>
      <c r="S347" s="123"/>
      <c r="T347" s="123">
        <v>32.700000000000003</v>
      </c>
      <c r="U347" s="123">
        <v>16.399999999999999</v>
      </c>
      <c r="V347" s="123" t="s">
        <v>2182</v>
      </c>
      <c r="W347" s="126" t="s">
        <v>2182</v>
      </c>
      <c r="X347" s="126" t="s">
        <v>2182</v>
      </c>
      <c r="Y347" s="126"/>
      <c r="Z347" s="123">
        <v>7.9</v>
      </c>
      <c r="AA347" s="123" t="s">
        <v>2245</v>
      </c>
      <c r="AB347" s="123">
        <v>7.9</v>
      </c>
      <c r="AC347" s="123">
        <v>1</v>
      </c>
      <c r="AD347" s="123"/>
    </row>
    <row r="348" spans="4:30">
      <c r="D348" s="133" t="s">
        <v>2448</v>
      </c>
      <c r="E348" s="124">
        <v>42769</v>
      </c>
      <c r="F348" s="123"/>
      <c r="G348" s="124">
        <v>42845</v>
      </c>
      <c r="H348" s="124"/>
      <c r="I348" s="125">
        <v>0.42708333333333331</v>
      </c>
      <c r="J348" s="125"/>
      <c r="K348" s="123">
        <v>935</v>
      </c>
      <c r="L348" s="123"/>
      <c r="M348" s="164">
        <v>814</v>
      </c>
      <c r="N348" s="164"/>
      <c r="O348" s="164">
        <v>334</v>
      </c>
      <c r="P348" s="164">
        <v>640</v>
      </c>
      <c r="Q348" s="164">
        <v>139</v>
      </c>
      <c r="R348" s="123"/>
      <c r="S348" s="123"/>
      <c r="T348" s="129">
        <v>23.2</v>
      </c>
      <c r="U348" s="129">
        <v>23.4</v>
      </c>
      <c r="V348" s="123" t="s">
        <v>2195</v>
      </c>
      <c r="W348" s="126" t="s">
        <v>2182</v>
      </c>
      <c r="X348" s="126" t="s">
        <v>2182</v>
      </c>
      <c r="Y348" s="126"/>
      <c r="Z348" s="123">
        <v>5.13</v>
      </c>
      <c r="AA348" s="123" t="s">
        <v>2245</v>
      </c>
      <c r="AB348" s="123">
        <v>5.13</v>
      </c>
      <c r="AC348" s="123">
        <v>1</v>
      </c>
      <c r="AD348" s="123"/>
    </row>
    <row r="349" spans="4:30">
      <c r="D349" s="133" t="s">
        <v>2447</v>
      </c>
      <c r="E349" s="124">
        <v>42769</v>
      </c>
      <c r="F349" s="123"/>
      <c r="G349" s="124">
        <v>42845</v>
      </c>
      <c r="H349" s="124"/>
      <c r="I349" s="125">
        <v>0.39583333333333331</v>
      </c>
      <c r="J349" s="125"/>
      <c r="K349" s="123">
        <v>934</v>
      </c>
      <c r="L349" s="123"/>
      <c r="M349" s="123">
        <v>621</v>
      </c>
      <c r="N349" s="123"/>
      <c r="O349" s="123">
        <v>265</v>
      </c>
      <c r="P349" s="123">
        <v>668</v>
      </c>
      <c r="Q349" s="123">
        <v>92</v>
      </c>
      <c r="R349" s="123"/>
      <c r="S349" s="123"/>
      <c r="T349" s="123">
        <v>24.1</v>
      </c>
      <c r="U349" s="123">
        <v>12.4</v>
      </c>
      <c r="V349" s="123" t="s">
        <v>2182</v>
      </c>
      <c r="W349" s="126"/>
      <c r="X349" s="126" t="s">
        <v>2182</v>
      </c>
      <c r="Y349" s="126" t="s">
        <v>2182</v>
      </c>
      <c r="Z349" s="123">
        <v>17.399999999999999</v>
      </c>
      <c r="AA349" s="123" t="s">
        <v>2245</v>
      </c>
      <c r="AB349" s="123">
        <v>13.8</v>
      </c>
      <c r="AC349" s="123">
        <v>1</v>
      </c>
      <c r="AD349" s="123"/>
    </row>
    <row r="350" spans="4:30">
      <c r="D350" s="122" t="s">
        <v>2450</v>
      </c>
      <c r="E350" s="124">
        <v>42769</v>
      </c>
      <c r="F350" s="123"/>
      <c r="G350" s="124">
        <v>42844</v>
      </c>
      <c r="H350" s="124"/>
      <c r="I350" s="125">
        <v>0.68055555555555547</v>
      </c>
      <c r="J350" s="125"/>
      <c r="K350" s="123">
        <v>933</v>
      </c>
      <c r="L350" s="123"/>
      <c r="M350" s="123">
        <v>677</v>
      </c>
      <c r="N350" s="123"/>
      <c r="O350" s="123">
        <v>234</v>
      </c>
      <c r="P350" s="123">
        <v>891</v>
      </c>
      <c r="Q350" s="123">
        <v>328</v>
      </c>
      <c r="R350" s="123"/>
      <c r="S350" s="123"/>
      <c r="T350" s="123">
        <v>33.1</v>
      </c>
      <c r="U350" s="123">
        <v>16.3</v>
      </c>
      <c r="V350" s="123" t="s">
        <v>2182</v>
      </c>
      <c r="W350" s="126" t="s">
        <v>2190</v>
      </c>
      <c r="X350" s="126" t="s">
        <v>2182</v>
      </c>
      <c r="Y350" s="126"/>
      <c r="Z350" s="123">
        <v>12.2</v>
      </c>
      <c r="AA350" s="123" t="s">
        <v>2245</v>
      </c>
      <c r="AB350" s="123">
        <v>15.2</v>
      </c>
      <c r="AC350" s="123">
        <v>1</v>
      </c>
      <c r="AD350" s="123"/>
    </row>
    <row r="351" spans="4:30">
      <c r="D351" s="133" t="s">
        <v>2449</v>
      </c>
      <c r="E351" s="124">
        <v>42769</v>
      </c>
      <c r="F351" s="123"/>
      <c r="G351" s="124">
        <v>42844</v>
      </c>
      <c r="H351" s="124"/>
      <c r="I351" s="125">
        <v>0.71875</v>
      </c>
      <c r="J351" s="125"/>
      <c r="K351" s="123">
        <v>929</v>
      </c>
      <c r="L351" s="123"/>
      <c r="M351" s="123">
        <v>574</v>
      </c>
      <c r="N351" s="123"/>
      <c r="O351" s="123">
        <v>258</v>
      </c>
      <c r="P351" s="164">
        <v>540</v>
      </c>
      <c r="Q351" s="123">
        <v>149</v>
      </c>
      <c r="R351" s="123"/>
      <c r="S351" s="123"/>
      <c r="T351" s="123">
        <v>31.9</v>
      </c>
      <c r="U351" s="123">
        <v>16.3</v>
      </c>
      <c r="V351" s="123" t="s">
        <v>2182</v>
      </c>
      <c r="W351" s="126" t="s">
        <v>2182</v>
      </c>
      <c r="X351" s="126" t="s">
        <v>2182</v>
      </c>
      <c r="Y351" s="126" t="s">
        <v>2182</v>
      </c>
      <c r="Z351" s="123">
        <v>7.9</v>
      </c>
      <c r="AA351" s="123" t="s">
        <v>2245</v>
      </c>
      <c r="AB351" s="123">
        <v>7.9</v>
      </c>
      <c r="AC351" s="123">
        <v>1</v>
      </c>
      <c r="AD351" s="123"/>
    </row>
    <row r="352" spans="4:30">
      <c r="D352" s="133" t="s">
        <v>2448</v>
      </c>
      <c r="E352" s="124">
        <v>42769</v>
      </c>
      <c r="F352" s="123"/>
      <c r="G352" s="124">
        <v>42845</v>
      </c>
      <c r="H352" s="124"/>
      <c r="I352" s="125">
        <v>0.42708333333333331</v>
      </c>
      <c r="J352" s="125"/>
      <c r="K352" s="123">
        <v>935</v>
      </c>
      <c r="L352" s="123"/>
      <c r="M352" s="123">
        <v>710</v>
      </c>
      <c r="N352" s="123"/>
      <c r="O352" s="123">
        <v>344</v>
      </c>
      <c r="P352" s="123">
        <v>508</v>
      </c>
      <c r="Q352" s="123">
        <v>449</v>
      </c>
      <c r="R352" s="123"/>
      <c r="S352" s="123"/>
      <c r="T352" s="129">
        <v>23</v>
      </c>
      <c r="U352" s="129">
        <v>19.100000000000001</v>
      </c>
      <c r="V352" s="123" t="s">
        <v>2182</v>
      </c>
      <c r="W352" s="126" t="s">
        <v>2182</v>
      </c>
      <c r="X352" s="126" t="s">
        <v>2229</v>
      </c>
      <c r="Y352" s="126" t="s">
        <v>2182</v>
      </c>
      <c r="Z352" s="123">
        <v>5.13</v>
      </c>
      <c r="AA352" s="123" t="s">
        <v>2245</v>
      </c>
      <c r="AB352" s="123">
        <v>5.13</v>
      </c>
      <c r="AC352" s="123">
        <v>1</v>
      </c>
      <c r="AD352" s="123"/>
    </row>
    <row r="353" spans="4:30">
      <c r="D353" s="122" t="s">
        <v>2450</v>
      </c>
      <c r="E353" s="124">
        <v>42769</v>
      </c>
      <c r="F353" s="123"/>
      <c r="G353" s="124">
        <v>42844</v>
      </c>
      <c r="H353" s="124"/>
      <c r="I353" s="125">
        <v>0.68055555555555547</v>
      </c>
      <c r="J353" s="125"/>
      <c r="K353" s="123">
        <v>933</v>
      </c>
      <c r="L353" s="123"/>
      <c r="M353" s="123">
        <v>604</v>
      </c>
      <c r="N353" s="123"/>
      <c r="O353" s="123">
        <v>271</v>
      </c>
      <c r="P353" s="123">
        <v>637</v>
      </c>
      <c r="Q353" s="123">
        <v>142</v>
      </c>
      <c r="R353" s="123"/>
      <c r="S353" s="123"/>
      <c r="T353" s="123">
        <v>32.200000000000003</v>
      </c>
      <c r="U353" s="123">
        <v>18.5</v>
      </c>
      <c r="V353" s="123" t="s">
        <v>2182</v>
      </c>
      <c r="W353" s="126" t="s">
        <v>2182</v>
      </c>
      <c r="X353" s="126" t="s">
        <v>2182</v>
      </c>
      <c r="Y353" s="126"/>
      <c r="Z353" s="123">
        <v>12.2</v>
      </c>
      <c r="AA353" s="123" t="s">
        <v>2245</v>
      </c>
      <c r="AB353" s="123">
        <v>15.2</v>
      </c>
      <c r="AC353" s="123">
        <v>1</v>
      </c>
      <c r="AD353" s="123"/>
    </row>
    <row r="354" spans="4:30">
      <c r="D354" s="133" t="s">
        <v>2447</v>
      </c>
      <c r="E354" s="124">
        <v>42769</v>
      </c>
      <c r="F354" s="123"/>
      <c r="G354" s="124">
        <v>42845</v>
      </c>
      <c r="H354" s="124"/>
      <c r="I354" s="125">
        <v>0.39583333333333331</v>
      </c>
      <c r="J354" s="125"/>
      <c r="K354" s="123">
        <v>934</v>
      </c>
      <c r="L354" s="123"/>
      <c r="M354" s="123">
        <v>871</v>
      </c>
      <c r="N354" s="123"/>
      <c r="O354" s="123">
        <v>340</v>
      </c>
      <c r="P354" s="123">
        <v>720</v>
      </c>
      <c r="Q354" s="123">
        <v>392</v>
      </c>
      <c r="R354" s="123"/>
      <c r="S354" s="123"/>
      <c r="T354" s="123">
        <v>23.5</v>
      </c>
      <c r="U354" s="123">
        <v>10.6</v>
      </c>
      <c r="V354" s="123" t="s">
        <v>2182</v>
      </c>
      <c r="W354" s="126" t="s">
        <v>2182</v>
      </c>
      <c r="X354" s="126" t="s">
        <v>2182</v>
      </c>
      <c r="Y354" s="126" t="s">
        <v>2182</v>
      </c>
      <c r="Z354" s="123">
        <v>17.399999999999999</v>
      </c>
      <c r="AA354" s="123" t="s">
        <v>2245</v>
      </c>
      <c r="AB354" s="123">
        <v>13.8</v>
      </c>
      <c r="AC354" s="123">
        <v>1</v>
      </c>
      <c r="AD354" s="123"/>
    </row>
    <row r="355" spans="4:30">
      <c r="D355" s="133" t="s">
        <v>2449</v>
      </c>
      <c r="E355" s="124">
        <v>42769</v>
      </c>
      <c r="F355" s="123"/>
      <c r="G355" s="124">
        <v>42844</v>
      </c>
      <c r="H355" s="124"/>
      <c r="I355" s="125">
        <v>0.71875</v>
      </c>
      <c r="J355" s="125"/>
      <c r="K355" s="123">
        <v>929</v>
      </c>
      <c r="L355" s="123"/>
      <c r="M355" s="123">
        <v>822</v>
      </c>
      <c r="N355" s="123"/>
      <c r="O355" s="123">
        <v>381</v>
      </c>
      <c r="P355" s="123">
        <v>796</v>
      </c>
      <c r="Q355">
        <v>589</v>
      </c>
      <c r="R355" s="123"/>
      <c r="S355" s="123"/>
      <c r="T355" s="123">
        <v>31.6</v>
      </c>
      <c r="U355" s="123">
        <v>16.399999999999999</v>
      </c>
      <c r="V355" s="123"/>
      <c r="W355" s="126" t="s">
        <v>2229</v>
      </c>
      <c r="X355" s="126" t="s">
        <v>2182</v>
      </c>
      <c r="Y355" s="126" t="s">
        <v>2182</v>
      </c>
      <c r="Z355" s="123">
        <v>7.9</v>
      </c>
      <c r="AA355" s="123" t="s">
        <v>2245</v>
      </c>
      <c r="AB355" s="123">
        <v>7.9</v>
      </c>
      <c r="AC355" s="123">
        <v>1</v>
      </c>
      <c r="AD355" s="123"/>
    </row>
    <row r="356" spans="4:30">
      <c r="D356" s="122" t="s">
        <v>2450</v>
      </c>
      <c r="E356" s="124">
        <v>42769</v>
      </c>
      <c r="F356" s="123"/>
      <c r="G356" s="124">
        <v>42844</v>
      </c>
      <c r="H356" s="124"/>
      <c r="I356" s="125">
        <v>0.68055555555555547</v>
      </c>
      <c r="J356" s="125"/>
      <c r="K356" s="123">
        <v>933</v>
      </c>
      <c r="L356" s="123"/>
      <c r="M356" s="123">
        <v>786</v>
      </c>
      <c r="N356" s="92"/>
      <c r="O356">
        <v>93</v>
      </c>
      <c r="P356" s="123">
        <v>560</v>
      </c>
      <c r="Q356" s="123">
        <v>130</v>
      </c>
      <c r="R356" s="123"/>
      <c r="S356" s="123"/>
      <c r="T356" s="123">
        <v>31.3</v>
      </c>
      <c r="U356" s="123">
        <v>15.5</v>
      </c>
      <c r="V356" s="123" t="s">
        <v>2182</v>
      </c>
      <c r="W356" s="126" t="s">
        <v>2182</v>
      </c>
      <c r="X356" s="126" t="s">
        <v>2182</v>
      </c>
      <c r="Y356" s="126"/>
      <c r="Z356" s="123">
        <v>12.2</v>
      </c>
      <c r="AA356" s="123" t="s">
        <v>2245</v>
      </c>
      <c r="AB356" s="123">
        <v>15.2</v>
      </c>
      <c r="AC356" s="123">
        <v>1</v>
      </c>
      <c r="AD356" s="123"/>
    </row>
    <row r="357" spans="4:30">
      <c r="D357" s="133" t="s">
        <v>2449</v>
      </c>
      <c r="E357" s="124">
        <v>42769</v>
      </c>
      <c r="F357" s="123"/>
      <c r="G357" s="124">
        <v>42844</v>
      </c>
      <c r="H357" s="124"/>
      <c r="I357" s="125">
        <v>0.71875</v>
      </c>
      <c r="J357" s="125"/>
      <c r="K357" s="123">
        <v>929</v>
      </c>
      <c r="L357" s="123"/>
      <c r="M357" s="123">
        <v>572</v>
      </c>
      <c r="N357" s="123"/>
      <c r="O357" s="123">
        <v>88</v>
      </c>
      <c r="P357" s="123">
        <v>716</v>
      </c>
      <c r="Q357" s="123">
        <v>111</v>
      </c>
      <c r="R357" s="123"/>
      <c r="S357" s="123"/>
      <c r="T357" s="123">
        <v>34.200000000000003</v>
      </c>
      <c r="U357" s="123">
        <v>12</v>
      </c>
      <c r="V357" s="123" t="s">
        <v>2182</v>
      </c>
      <c r="W357" s="126" t="s">
        <v>2182</v>
      </c>
      <c r="X357" s="126" t="s">
        <v>2182</v>
      </c>
      <c r="Y357" s="126" t="s">
        <v>2182</v>
      </c>
      <c r="Z357" s="123">
        <v>7.9</v>
      </c>
      <c r="AA357" s="123" t="s">
        <v>2245</v>
      </c>
      <c r="AB357" s="123">
        <v>7.9</v>
      </c>
      <c r="AC357" s="123">
        <v>1</v>
      </c>
      <c r="AD357" s="123"/>
    </row>
    <row r="358" spans="4:30">
      <c r="D358" s="133" t="s">
        <v>2447</v>
      </c>
      <c r="E358" s="124">
        <v>42769</v>
      </c>
      <c r="F358" s="123"/>
      <c r="G358" s="124">
        <v>42845</v>
      </c>
      <c r="H358" s="124"/>
      <c r="I358" s="125">
        <v>0.39583333333333331</v>
      </c>
      <c r="J358" s="125"/>
      <c r="K358" s="123">
        <v>934</v>
      </c>
      <c r="L358" s="123"/>
      <c r="M358" s="123">
        <v>761</v>
      </c>
      <c r="N358" s="123"/>
      <c r="O358" s="123">
        <v>383</v>
      </c>
      <c r="P358" s="123">
        <v>581</v>
      </c>
      <c r="Q358" s="123">
        <v>412</v>
      </c>
      <c r="R358" s="123"/>
      <c r="S358" s="123"/>
      <c r="T358" s="123">
        <v>24.9</v>
      </c>
      <c r="U358" s="123">
        <v>13.4</v>
      </c>
      <c r="V358" s="123" t="s">
        <v>2182</v>
      </c>
      <c r="W358" s="126"/>
      <c r="X358" s="126" t="s">
        <v>2182</v>
      </c>
      <c r="Y358" s="126" t="s">
        <v>2182</v>
      </c>
      <c r="Z358" s="123">
        <v>17.399999999999999</v>
      </c>
      <c r="AA358" s="123" t="s">
        <v>2245</v>
      </c>
      <c r="AB358" s="123">
        <v>13.8</v>
      </c>
      <c r="AC358" s="123">
        <v>1</v>
      </c>
      <c r="AD358" s="123"/>
    </row>
    <row r="359" spans="4:30">
      <c r="D359" s="133" t="s">
        <v>2448</v>
      </c>
      <c r="E359" s="124">
        <v>42769</v>
      </c>
      <c r="F359" s="123"/>
      <c r="G359" s="124">
        <v>42845</v>
      </c>
      <c r="H359" s="124"/>
      <c r="I359" s="125">
        <v>0.42708333333333331</v>
      </c>
      <c r="J359" s="125"/>
      <c r="K359" s="123">
        <v>935</v>
      </c>
      <c r="L359" s="123"/>
      <c r="M359" s="123">
        <v>858</v>
      </c>
      <c r="N359" s="123"/>
      <c r="O359" s="123">
        <v>145</v>
      </c>
      <c r="P359" s="123">
        <v>718</v>
      </c>
      <c r="Q359" s="123">
        <v>434</v>
      </c>
      <c r="R359" s="123"/>
      <c r="S359" s="123"/>
      <c r="T359" s="129">
        <v>24.5</v>
      </c>
      <c r="U359" s="129">
        <v>16</v>
      </c>
      <c r="V359" s="123" t="s">
        <v>2225</v>
      </c>
      <c r="W359" s="126" t="s">
        <v>2174</v>
      </c>
      <c r="X359" s="126" t="s">
        <v>2182</v>
      </c>
      <c r="Y359" s="126" t="s">
        <v>2182</v>
      </c>
      <c r="Z359" s="123">
        <v>5.13</v>
      </c>
      <c r="AA359" s="123" t="s">
        <v>2245</v>
      </c>
      <c r="AB359" s="123">
        <v>5.13</v>
      </c>
      <c r="AC359" s="123">
        <v>1</v>
      </c>
      <c r="AD359" s="123"/>
    </row>
    <row r="360" spans="4:30">
      <c r="D360" s="133" t="s">
        <v>2447</v>
      </c>
      <c r="E360" s="124">
        <v>42769</v>
      </c>
      <c r="F360" s="123"/>
      <c r="G360" s="124">
        <v>42845</v>
      </c>
      <c r="H360" s="124"/>
      <c r="I360" s="125">
        <v>0.39583333333333331</v>
      </c>
      <c r="J360" s="125"/>
      <c r="K360" s="123">
        <v>934</v>
      </c>
      <c r="L360" s="123"/>
      <c r="M360" s="123">
        <v>755</v>
      </c>
      <c r="N360" s="123"/>
      <c r="O360" s="123">
        <v>241</v>
      </c>
      <c r="P360" s="123">
        <v>613</v>
      </c>
      <c r="Q360" s="123">
        <v>457</v>
      </c>
      <c r="R360" s="123"/>
      <c r="S360" s="123"/>
      <c r="T360" s="123">
        <v>24.3</v>
      </c>
      <c r="U360" s="123">
        <v>15.7</v>
      </c>
      <c r="V360" s="123" t="s">
        <v>2182</v>
      </c>
      <c r="W360" s="126" t="s">
        <v>2182</v>
      </c>
      <c r="X360" s="126" t="s">
        <v>2182</v>
      </c>
      <c r="Y360" s="126"/>
      <c r="Z360" s="123">
        <v>17.399999999999999</v>
      </c>
      <c r="AA360" s="123" t="s">
        <v>2245</v>
      </c>
      <c r="AB360" s="123">
        <v>13.8</v>
      </c>
      <c r="AC360" s="123">
        <v>1</v>
      </c>
      <c r="AD360" s="123"/>
    </row>
    <row r="361" spans="4:30">
      <c r="D361" s="133" t="s">
        <v>2448</v>
      </c>
      <c r="E361" s="124">
        <v>42769</v>
      </c>
      <c r="F361" s="123"/>
      <c r="G361" s="124">
        <v>42845</v>
      </c>
      <c r="H361" s="124"/>
      <c r="I361" s="125">
        <v>0.42708333333333331</v>
      </c>
      <c r="J361" s="125"/>
      <c r="K361" s="123">
        <v>935</v>
      </c>
      <c r="L361" s="123"/>
      <c r="M361" s="123">
        <v>795</v>
      </c>
      <c r="N361" s="123"/>
      <c r="O361" s="123">
        <v>302</v>
      </c>
      <c r="P361" s="123">
        <v>804</v>
      </c>
      <c r="Q361" s="123">
        <v>410</v>
      </c>
      <c r="R361" s="123"/>
      <c r="S361" s="123"/>
      <c r="T361" s="129">
        <v>23.5</v>
      </c>
      <c r="U361" s="129">
        <v>19.5</v>
      </c>
      <c r="V361" s="123" t="s">
        <v>2182</v>
      </c>
      <c r="W361" s="126" t="s">
        <v>2182</v>
      </c>
      <c r="X361" s="126" t="s">
        <v>2182</v>
      </c>
      <c r="Y361" s="126" t="s">
        <v>2182</v>
      </c>
      <c r="Z361" s="123">
        <v>5.13</v>
      </c>
      <c r="AA361" s="123" t="s">
        <v>2245</v>
      </c>
      <c r="AB361" s="123">
        <v>5.13</v>
      </c>
      <c r="AC361" s="123">
        <v>1</v>
      </c>
      <c r="AD361" s="123"/>
    </row>
    <row r="362" spans="4:30">
      <c r="D362" s="133" t="s">
        <v>2449</v>
      </c>
      <c r="E362" s="124">
        <v>42769</v>
      </c>
      <c r="F362" s="123"/>
      <c r="G362" s="124">
        <v>42844</v>
      </c>
      <c r="H362" s="124"/>
      <c r="I362" s="125">
        <v>0.71875</v>
      </c>
      <c r="J362" s="125"/>
      <c r="K362" s="123">
        <v>929</v>
      </c>
      <c r="L362" s="123"/>
      <c r="M362" s="123">
        <v>251</v>
      </c>
      <c r="N362" s="123"/>
      <c r="O362" s="123">
        <v>442</v>
      </c>
      <c r="P362" s="123">
        <v>587</v>
      </c>
      <c r="Q362" s="123">
        <v>103</v>
      </c>
      <c r="R362" s="123"/>
      <c r="S362" s="123"/>
      <c r="T362" s="123">
        <v>31.8</v>
      </c>
      <c r="U362" s="123">
        <v>14</v>
      </c>
      <c r="V362" s="123" t="s">
        <v>2195</v>
      </c>
      <c r="W362" s="126" t="s">
        <v>2182</v>
      </c>
      <c r="X362" s="126" t="s">
        <v>2182</v>
      </c>
      <c r="Y362" s="126"/>
      <c r="Z362" s="123">
        <v>7.9</v>
      </c>
      <c r="AA362" s="123" t="s">
        <v>2245</v>
      </c>
      <c r="AB362" s="123">
        <v>7.9</v>
      </c>
      <c r="AC362" s="123">
        <v>1</v>
      </c>
      <c r="AD362" s="123"/>
    </row>
    <row r="363" spans="4:30">
      <c r="D363" s="122" t="s">
        <v>2450</v>
      </c>
      <c r="E363" s="124">
        <v>42769</v>
      </c>
      <c r="F363" s="123"/>
      <c r="G363" s="124">
        <v>42844</v>
      </c>
      <c r="H363" s="124"/>
      <c r="I363" s="125">
        <v>0.68055555555555547</v>
      </c>
      <c r="J363" s="125"/>
      <c r="K363" s="123">
        <v>933</v>
      </c>
      <c r="L363" s="123"/>
      <c r="M363" s="123">
        <v>782</v>
      </c>
      <c r="N363" s="123"/>
      <c r="O363" s="123">
        <v>250</v>
      </c>
      <c r="P363" s="123">
        <v>849</v>
      </c>
      <c r="Q363" s="123">
        <v>319</v>
      </c>
      <c r="R363" s="123"/>
      <c r="S363" s="123"/>
      <c r="T363" s="123">
        <v>32.1</v>
      </c>
      <c r="U363" s="123">
        <v>15.8</v>
      </c>
      <c r="V363" s="123" t="s">
        <v>2182</v>
      </c>
      <c r="W363" s="126" t="s">
        <v>2174</v>
      </c>
      <c r="X363" s="126" t="s">
        <v>2182</v>
      </c>
      <c r="Y363" s="126"/>
      <c r="Z363" s="123">
        <v>12.2</v>
      </c>
      <c r="AA363" s="123" t="s">
        <v>2245</v>
      </c>
      <c r="AB363" s="123">
        <v>15.2</v>
      </c>
      <c r="AC363" s="123">
        <v>1</v>
      </c>
      <c r="AD363" s="123"/>
    </row>
  </sheetData>
  <sortState ref="A260:AD287">
    <sortCondition ref="A3:A224"/>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AX845"/>
  <sheetViews>
    <sheetView topLeftCell="A335" zoomScale="85" zoomScaleNormal="85" workbookViewId="0">
      <selection activeCell="D352" sqref="D352"/>
    </sheetView>
  </sheetViews>
  <sheetFormatPr baseColWidth="10" defaultColWidth="11.44140625" defaultRowHeight="14.4"/>
  <cols>
    <col min="1" max="1" width="11.44140625" style="196" customWidth="1"/>
    <col min="3" max="3" width="21.109375" style="196" customWidth="1"/>
    <col min="4" max="5" width="11.44140625" style="196"/>
    <col min="6" max="6" width="17" style="196" customWidth="1"/>
    <col min="7" max="9" width="11.44140625" style="196"/>
    <col min="10" max="10" width="19.33203125" style="196" customWidth="1"/>
    <col min="11" max="12" width="11.44140625" style="196"/>
    <col min="13" max="13" width="15.6640625" style="196" customWidth="1"/>
    <col min="14" max="14" width="21.88671875" style="196" customWidth="1"/>
    <col min="15" max="15" width="11.44140625" style="196"/>
    <col min="16" max="16" width="22.44140625" style="196" bestFit="1" customWidth="1"/>
    <col min="17" max="16384" width="11.44140625" style="196"/>
  </cols>
  <sheetData>
    <row r="1" spans="1:50"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c r="AA1" s="398"/>
      <c r="AB1" s="397"/>
      <c r="AC1" s="397"/>
      <c r="AD1" s="397"/>
      <c r="AE1" s="397"/>
    </row>
    <row r="2" spans="1:50">
      <c r="A2" s="403" t="s">
        <v>1849</v>
      </c>
      <c r="C2" s="404">
        <v>32</v>
      </c>
      <c r="D2" s="403">
        <v>0.48409999999999997</v>
      </c>
      <c r="E2" s="405">
        <v>7.4744999999999999</v>
      </c>
      <c r="F2" s="405">
        <v>0.20019999999999999</v>
      </c>
      <c r="G2" s="406">
        <f t="shared" ref="G2:G33" si="0">E2+F2</f>
        <v>7.6746999999999996</v>
      </c>
      <c r="H2" s="406">
        <v>7.4890999999999996</v>
      </c>
      <c r="I2" s="406">
        <f t="shared" ref="I2:I33" si="1">(G2-H2)</f>
        <v>0.18559999999999999</v>
      </c>
      <c r="J2" s="406">
        <f t="shared" ref="J2:J33" si="2">F2-I2</f>
        <v>1.4600000000000002E-2</v>
      </c>
      <c r="K2" s="407">
        <f t="shared" ref="K2:K33" si="3">(J2/F2)*100</f>
        <v>7.292707292707294</v>
      </c>
      <c r="L2" s="406">
        <v>26</v>
      </c>
      <c r="M2" s="408">
        <v>43221</v>
      </c>
      <c r="N2" s="408">
        <v>43221</v>
      </c>
      <c r="O2" s="403"/>
      <c r="P2" s="403"/>
      <c r="AA2" s="92"/>
      <c r="AB2" s="110"/>
      <c r="AC2" s="110"/>
      <c r="AD2" s="110"/>
      <c r="AE2" s="110"/>
    </row>
    <row r="3" spans="1:50">
      <c r="A3" s="200" t="s">
        <v>1848</v>
      </c>
      <c r="C3" s="200">
        <v>163</v>
      </c>
      <c r="D3" s="200">
        <v>0.45610000000000001</v>
      </c>
      <c r="E3" s="201">
        <v>10.503399999999999</v>
      </c>
      <c r="F3" s="201">
        <v>0.20180000000000001</v>
      </c>
      <c r="G3" s="200">
        <f t="shared" si="0"/>
        <v>10.7052</v>
      </c>
      <c r="H3" s="200">
        <v>10.522399999999999</v>
      </c>
      <c r="I3" s="200">
        <f t="shared" si="1"/>
        <v>0.1828000000000003</v>
      </c>
      <c r="J3" s="200">
        <f t="shared" si="2"/>
        <v>1.8999999999999712E-2</v>
      </c>
      <c r="K3" s="277">
        <f t="shared" si="3"/>
        <v>9.4152626362733951</v>
      </c>
      <c r="L3" s="200">
        <v>31</v>
      </c>
      <c r="M3" s="206">
        <v>43186.458333333336</v>
      </c>
      <c r="N3" s="206">
        <v>43186.625</v>
      </c>
      <c r="O3" s="196" t="s">
        <v>2534</v>
      </c>
      <c r="P3" s="200"/>
      <c r="AB3" s="110"/>
      <c r="AC3" s="110"/>
      <c r="AD3" s="110"/>
      <c r="AE3" s="110"/>
    </row>
    <row r="4" spans="1:50">
      <c r="A4" s="196" t="s">
        <v>1836</v>
      </c>
      <c r="C4" s="196">
        <v>39</v>
      </c>
      <c r="D4" s="196">
        <v>0.60909999999999997</v>
      </c>
      <c r="E4" s="196">
        <v>8.4418000000000006</v>
      </c>
      <c r="F4" s="196">
        <v>0.2041</v>
      </c>
      <c r="G4" s="196">
        <f t="shared" si="0"/>
        <v>8.645900000000001</v>
      </c>
      <c r="H4" s="196">
        <v>8.4620999999999995</v>
      </c>
      <c r="I4" s="196">
        <f t="shared" si="1"/>
        <v>0.18380000000000152</v>
      </c>
      <c r="J4" s="200">
        <f t="shared" si="2"/>
        <v>2.0299999999998486E-2</v>
      </c>
      <c r="K4" s="277">
        <f t="shared" si="3"/>
        <v>9.9461048505627083</v>
      </c>
      <c r="L4" s="196">
        <v>26</v>
      </c>
      <c r="M4" s="196" t="s">
        <v>2570</v>
      </c>
      <c r="N4" s="196" t="s">
        <v>2569</v>
      </c>
      <c r="O4" s="196" t="s">
        <v>2534</v>
      </c>
      <c r="AB4" s="110"/>
      <c r="AC4" s="110"/>
      <c r="AD4" s="110"/>
      <c r="AE4" s="110"/>
      <c r="AX4" s="196" t="str">
        <f>IFERROR(INDEX('Ashed teabags wet'!A2:$A$499,MATCH(A398,'WetLitterbags placem_collection'!$K$4:$K$500,0)),"")</f>
        <v/>
      </c>
    </row>
    <row r="5" spans="1:50">
      <c r="A5" s="200" t="s">
        <v>1834</v>
      </c>
      <c r="C5" s="200">
        <v>173</v>
      </c>
      <c r="D5" s="201">
        <v>0.39800000000000002</v>
      </c>
      <c r="E5" s="201">
        <v>7.7735000000000003</v>
      </c>
      <c r="F5" s="201">
        <v>0.20319999999999999</v>
      </c>
      <c r="G5" s="200">
        <f t="shared" si="0"/>
        <v>7.9767000000000001</v>
      </c>
      <c r="H5" s="200">
        <v>7.7927999999999997</v>
      </c>
      <c r="I5" s="200">
        <f t="shared" si="1"/>
        <v>0.1839000000000004</v>
      </c>
      <c r="J5" s="200">
        <f t="shared" si="2"/>
        <v>1.9299999999999595E-2</v>
      </c>
      <c r="K5" s="277">
        <f t="shared" si="3"/>
        <v>9.4980314960627936</v>
      </c>
      <c r="L5" s="200">
        <v>24</v>
      </c>
      <c r="M5" s="202">
        <v>43181.645833333336</v>
      </c>
      <c r="N5" s="202">
        <v>43181.833333333336</v>
      </c>
      <c r="O5" s="200" t="s">
        <v>2540</v>
      </c>
      <c r="P5" s="207" t="s">
        <v>2544</v>
      </c>
      <c r="AB5" s="110"/>
      <c r="AC5" s="110"/>
      <c r="AD5" s="110"/>
      <c r="AE5" s="110"/>
    </row>
    <row r="6" spans="1:50">
      <c r="A6" s="196" t="s">
        <v>1833</v>
      </c>
      <c r="C6" s="196">
        <v>79</v>
      </c>
      <c r="D6" s="196">
        <v>0.63249999999999995</v>
      </c>
      <c r="E6" s="196">
        <v>19.399899999999999</v>
      </c>
      <c r="F6" s="196">
        <v>0.2059</v>
      </c>
      <c r="G6" s="196">
        <f t="shared" si="0"/>
        <v>19.605799999999999</v>
      </c>
      <c r="H6" s="196">
        <v>19.431000000000001</v>
      </c>
      <c r="I6" s="196">
        <f t="shared" si="1"/>
        <v>0.17479999999999762</v>
      </c>
      <c r="J6" s="200">
        <f t="shared" si="2"/>
        <v>3.1100000000002376E-2</v>
      </c>
      <c r="K6" s="277">
        <f t="shared" si="3"/>
        <v>15.104419621176483</v>
      </c>
      <c r="L6" s="196">
        <v>1</v>
      </c>
      <c r="M6" s="196" t="s">
        <v>2560</v>
      </c>
      <c r="N6" s="196">
        <v>43153.729166666664</v>
      </c>
      <c r="O6" s="196" t="s">
        <v>2534</v>
      </c>
      <c r="P6" s="196" t="s">
        <v>2558</v>
      </c>
      <c r="AB6" s="110"/>
      <c r="AC6" s="110"/>
      <c r="AD6" s="110"/>
      <c r="AE6" s="110"/>
    </row>
    <row r="7" spans="1:50">
      <c r="A7" s="200" t="s">
        <v>1828</v>
      </c>
      <c r="C7" s="200">
        <v>15</v>
      </c>
      <c r="D7" s="200">
        <v>0.48280000000000001</v>
      </c>
      <c r="E7" s="201">
        <v>9.0032999999999994</v>
      </c>
      <c r="F7" s="201">
        <v>0.20119999999999999</v>
      </c>
      <c r="G7" s="200">
        <f t="shared" si="0"/>
        <v>9.2044999999999995</v>
      </c>
      <c r="H7" s="200">
        <v>9.0350999999999999</v>
      </c>
      <c r="I7" s="200">
        <f t="shared" si="1"/>
        <v>0.16939999999999955</v>
      </c>
      <c r="J7" s="200">
        <f t="shared" si="2"/>
        <v>3.1800000000000439E-2</v>
      </c>
      <c r="K7" s="277">
        <f t="shared" si="3"/>
        <v>15.805168986083718</v>
      </c>
      <c r="L7" s="200">
        <v>33</v>
      </c>
      <c r="M7" s="206">
        <v>43185.385416666664</v>
      </c>
      <c r="N7" s="200"/>
      <c r="O7" s="200" t="s">
        <v>2540</v>
      </c>
      <c r="P7" s="200"/>
      <c r="AB7" s="110"/>
      <c r="AC7" s="110"/>
      <c r="AD7" s="110"/>
      <c r="AE7" s="110"/>
    </row>
    <row r="8" spans="1:50">
      <c r="A8" s="196" t="s">
        <v>1810</v>
      </c>
      <c r="C8" s="197">
        <v>19</v>
      </c>
      <c r="D8" s="196">
        <v>0.65710000000000002</v>
      </c>
      <c r="E8" s="201">
        <v>8.1326000000000001</v>
      </c>
      <c r="F8" s="201">
        <v>0.20399999999999999</v>
      </c>
      <c r="G8" s="200">
        <f t="shared" si="0"/>
        <v>8.3366000000000007</v>
      </c>
      <c r="H8" s="200">
        <v>8.1702999999999992</v>
      </c>
      <c r="I8" s="200">
        <f t="shared" si="1"/>
        <v>0.16630000000000145</v>
      </c>
      <c r="J8" s="200">
        <f t="shared" si="2"/>
        <v>3.769999999999854E-2</v>
      </c>
      <c r="K8" s="277">
        <f t="shared" si="3"/>
        <v>18.480392156862031</v>
      </c>
      <c r="L8" s="200">
        <v>5</v>
      </c>
      <c r="M8" s="203">
        <v>43221</v>
      </c>
      <c r="N8" s="203">
        <v>43221</v>
      </c>
      <c r="AB8" s="110"/>
      <c r="AC8" s="110"/>
      <c r="AD8" s="110"/>
      <c r="AE8" s="110"/>
    </row>
    <row r="9" spans="1:50">
      <c r="A9" s="196" t="s">
        <v>1809</v>
      </c>
      <c r="C9" s="197">
        <v>13</v>
      </c>
      <c r="D9" s="196">
        <v>0.33510000000000001</v>
      </c>
      <c r="E9" s="201">
        <v>7.9612999999999996</v>
      </c>
      <c r="F9" s="201">
        <v>0.2031</v>
      </c>
      <c r="G9" s="200">
        <f t="shared" si="0"/>
        <v>8.1643999999999988</v>
      </c>
      <c r="H9" s="200">
        <v>7.9976000000000003</v>
      </c>
      <c r="I9" s="200">
        <f t="shared" si="1"/>
        <v>0.16679999999999851</v>
      </c>
      <c r="J9" s="200">
        <f t="shared" si="2"/>
        <v>3.6300000000001498E-2</v>
      </c>
      <c r="K9" s="277">
        <f t="shared" si="3"/>
        <v>17.872968980798372</v>
      </c>
      <c r="L9" s="200">
        <v>36</v>
      </c>
      <c r="M9" s="203">
        <v>43221</v>
      </c>
      <c r="N9" s="203">
        <v>43221</v>
      </c>
      <c r="AB9" s="110"/>
      <c r="AC9" s="110"/>
      <c r="AD9" s="110"/>
      <c r="AE9" s="110"/>
    </row>
    <row r="10" spans="1:50">
      <c r="A10" s="196" t="s">
        <v>1801</v>
      </c>
      <c r="C10" s="196">
        <v>79</v>
      </c>
      <c r="D10" s="196">
        <v>0.74250000000000005</v>
      </c>
      <c r="E10" s="196">
        <v>20.931899999999999</v>
      </c>
      <c r="F10" s="196">
        <v>0.19889999999999999</v>
      </c>
      <c r="G10" s="196">
        <f t="shared" si="0"/>
        <v>21.130799999999997</v>
      </c>
      <c r="H10" s="196">
        <v>20.969100000000001</v>
      </c>
      <c r="I10" s="196">
        <f t="shared" si="1"/>
        <v>0.16169999999999618</v>
      </c>
      <c r="J10" s="200">
        <f t="shared" si="2"/>
        <v>3.7200000000003813E-2</v>
      </c>
      <c r="K10" s="277">
        <f t="shared" si="3"/>
        <v>18.702865761691211</v>
      </c>
      <c r="L10" s="196">
        <v>23</v>
      </c>
      <c r="M10" s="196" t="s">
        <v>2564</v>
      </c>
      <c r="N10" s="196" t="s">
        <v>2563</v>
      </c>
      <c r="O10" s="196" t="s">
        <v>2540</v>
      </c>
      <c r="AB10" s="110"/>
      <c r="AC10" s="110"/>
      <c r="AD10" s="110"/>
      <c r="AE10" s="110"/>
    </row>
    <row r="11" spans="1:50">
      <c r="A11" s="196" t="s">
        <v>1799</v>
      </c>
      <c r="C11" s="197">
        <v>218</v>
      </c>
      <c r="D11" s="196">
        <v>0.56159999999999999</v>
      </c>
      <c r="E11" s="201">
        <v>11.032400000000001</v>
      </c>
      <c r="F11" s="201">
        <v>0.20150000000000001</v>
      </c>
      <c r="G11" s="200">
        <f t="shared" si="0"/>
        <v>11.2339</v>
      </c>
      <c r="H11" s="200">
        <v>11.058299999999999</v>
      </c>
      <c r="I11" s="200">
        <f t="shared" si="1"/>
        <v>0.17560000000000109</v>
      </c>
      <c r="J11" s="200">
        <f t="shared" si="2"/>
        <v>2.5899999999998924E-2</v>
      </c>
      <c r="K11" s="277">
        <f t="shared" si="3"/>
        <v>12.853598014887801</v>
      </c>
      <c r="L11" s="200">
        <v>5</v>
      </c>
      <c r="AB11" s="110"/>
      <c r="AC11" s="110"/>
      <c r="AD11" s="110"/>
      <c r="AE11" s="110"/>
    </row>
    <row r="12" spans="1:50">
      <c r="A12" s="205" t="s">
        <v>1781</v>
      </c>
      <c r="C12" s="200">
        <v>68</v>
      </c>
      <c r="D12" s="200">
        <v>0.74239999999999995</v>
      </c>
      <c r="E12" s="201">
        <v>11.4541</v>
      </c>
      <c r="F12" s="201">
        <v>0.20430000000000001</v>
      </c>
      <c r="G12" s="200">
        <f t="shared" si="0"/>
        <v>11.6584</v>
      </c>
      <c r="H12" s="200">
        <v>11.493</v>
      </c>
      <c r="I12" s="200">
        <f t="shared" si="1"/>
        <v>0.16539999999999999</v>
      </c>
      <c r="J12" s="200">
        <f t="shared" si="2"/>
        <v>3.8900000000000018E-2</v>
      </c>
      <c r="K12" s="277">
        <f t="shared" si="3"/>
        <v>19.040626529613323</v>
      </c>
      <c r="L12" s="200">
        <v>19</v>
      </c>
      <c r="M12" s="204">
        <v>43199</v>
      </c>
      <c r="N12" s="204">
        <v>43199</v>
      </c>
      <c r="O12" s="200"/>
      <c r="P12" s="200"/>
      <c r="AB12" s="110"/>
      <c r="AC12" s="110"/>
      <c r="AD12" s="110"/>
      <c r="AE12" s="110"/>
    </row>
    <row r="13" spans="1:50">
      <c r="A13" s="200" t="s">
        <v>1769</v>
      </c>
      <c r="C13" s="200">
        <v>172</v>
      </c>
      <c r="D13" s="200">
        <f>0.2997+F13</f>
        <v>0.50160000000000005</v>
      </c>
      <c r="E13" s="201">
        <v>10.1441</v>
      </c>
      <c r="F13" s="201">
        <v>0.2019</v>
      </c>
      <c r="G13" s="200">
        <f t="shared" si="0"/>
        <v>10.346</v>
      </c>
      <c r="H13" s="200">
        <v>10.1615</v>
      </c>
      <c r="I13" s="200">
        <f t="shared" si="1"/>
        <v>0.18449999999999989</v>
      </c>
      <c r="J13" s="200">
        <f t="shared" si="2"/>
        <v>1.740000000000011E-2</v>
      </c>
      <c r="K13" s="277">
        <f t="shared" si="3"/>
        <v>8.6181277860327441</v>
      </c>
      <c r="L13" s="200">
        <v>21</v>
      </c>
      <c r="M13" s="204">
        <v>43174</v>
      </c>
      <c r="N13" s="204">
        <v>43174</v>
      </c>
      <c r="O13" s="200" t="s">
        <v>2540</v>
      </c>
      <c r="P13" s="200" t="s">
        <v>2535</v>
      </c>
      <c r="AB13" s="110"/>
      <c r="AC13" s="110"/>
      <c r="AD13" s="110"/>
      <c r="AE13" s="110"/>
    </row>
    <row r="14" spans="1:50">
      <c r="A14" s="196" t="s">
        <v>1768</v>
      </c>
      <c r="C14" s="196">
        <v>66</v>
      </c>
      <c r="D14" s="196">
        <v>0.92320000000000002</v>
      </c>
      <c r="E14" s="201">
        <v>9.8215000000000003</v>
      </c>
      <c r="F14" s="201">
        <v>0.2084</v>
      </c>
      <c r="G14" s="200">
        <f t="shared" si="0"/>
        <v>10.0299</v>
      </c>
      <c r="H14" s="200">
        <v>9.8864999999999998</v>
      </c>
      <c r="I14" s="200">
        <f t="shared" si="1"/>
        <v>0.14339999999999975</v>
      </c>
      <c r="J14" s="200">
        <f t="shared" si="2"/>
        <v>6.5000000000000252E-2</v>
      </c>
      <c r="K14" s="277">
        <f t="shared" si="3"/>
        <v>31.190019193858088</v>
      </c>
      <c r="L14" s="200">
        <v>14</v>
      </c>
      <c r="AB14" s="110"/>
      <c r="AC14" s="110"/>
      <c r="AD14" s="110"/>
      <c r="AE14" s="110"/>
    </row>
    <row r="15" spans="1:50">
      <c r="A15" s="196" t="s">
        <v>1767</v>
      </c>
      <c r="C15" s="196">
        <v>44</v>
      </c>
      <c r="D15" s="196">
        <v>0.60719999999999996</v>
      </c>
      <c r="E15" s="196">
        <v>8.0626999999999995</v>
      </c>
      <c r="F15" s="196">
        <v>0.20580000000000001</v>
      </c>
      <c r="G15" s="196">
        <f t="shared" si="0"/>
        <v>8.2684999999999995</v>
      </c>
      <c r="H15" s="196">
        <v>8.0844000000000005</v>
      </c>
      <c r="I15" s="196">
        <f t="shared" si="1"/>
        <v>0.18409999999999904</v>
      </c>
      <c r="J15" s="200">
        <f t="shared" si="2"/>
        <v>2.1700000000000969E-2</v>
      </c>
      <c r="K15" s="277">
        <f t="shared" si="3"/>
        <v>10.544217687075299</v>
      </c>
      <c r="L15" s="196">
        <v>30</v>
      </c>
      <c r="M15" s="196" t="s">
        <v>2570</v>
      </c>
      <c r="N15" s="196" t="s">
        <v>2569</v>
      </c>
      <c r="O15" s="196" t="s">
        <v>2534</v>
      </c>
      <c r="AB15" s="110"/>
      <c r="AC15" s="110"/>
      <c r="AD15" s="110"/>
      <c r="AE15" s="110"/>
    </row>
    <row r="16" spans="1:50">
      <c r="A16" s="196" t="s">
        <v>1764</v>
      </c>
      <c r="C16" s="197">
        <v>10</v>
      </c>
      <c r="D16" s="196">
        <v>0.59770000000000001</v>
      </c>
      <c r="E16" s="200">
        <v>8.8447999999999993</v>
      </c>
      <c r="F16" s="201">
        <v>0.2011</v>
      </c>
      <c r="G16" s="200">
        <f t="shared" si="0"/>
        <v>9.0458999999999996</v>
      </c>
      <c r="H16" s="200">
        <v>8.8735999999999997</v>
      </c>
      <c r="I16" s="200">
        <f t="shared" si="1"/>
        <v>0.1722999999999999</v>
      </c>
      <c r="J16" s="200">
        <f t="shared" si="2"/>
        <v>2.8800000000000103E-2</v>
      </c>
      <c r="K16" s="277">
        <f t="shared" si="3"/>
        <v>14.321233217304874</v>
      </c>
      <c r="L16" s="200">
        <v>1</v>
      </c>
      <c r="M16" s="203">
        <v>43213</v>
      </c>
      <c r="N16" s="203">
        <v>43213</v>
      </c>
      <c r="AB16" s="110"/>
      <c r="AC16" s="110"/>
      <c r="AD16" s="110"/>
      <c r="AE16" s="110"/>
    </row>
    <row r="17" spans="1:31">
      <c r="A17" s="196" t="s">
        <v>1763</v>
      </c>
      <c r="C17" s="197">
        <v>166</v>
      </c>
      <c r="D17" s="196">
        <v>0.53959999999999997</v>
      </c>
      <c r="E17" s="200">
        <v>8.0640000000000001</v>
      </c>
      <c r="F17" s="201">
        <v>0.20080000000000001</v>
      </c>
      <c r="G17" s="200">
        <f t="shared" si="0"/>
        <v>8.2647999999999993</v>
      </c>
      <c r="H17" s="200">
        <v>8.0802999999999994</v>
      </c>
      <c r="I17" s="200">
        <f t="shared" si="1"/>
        <v>0.18449999999999989</v>
      </c>
      <c r="J17" s="200">
        <f t="shared" si="2"/>
        <v>1.630000000000012E-2</v>
      </c>
      <c r="K17" s="277">
        <f t="shared" si="3"/>
        <v>8.1175298804781466</v>
      </c>
      <c r="L17" s="200">
        <v>7</v>
      </c>
      <c r="M17" s="203">
        <v>43212</v>
      </c>
      <c r="AB17" s="110"/>
      <c r="AC17" s="110"/>
      <c r="AD17" s="110"/>
      <c r="AE17" s="110"/>
    </row>
    <row r="18" spans="1:31">
      <c r="A18" s="205" t="s">
        <v>1759</v>
      </c>
      <c r="C18" s="200">
        <v>84</v>
      </c>
      <c r="D18" s="200">
        <v>0.67900000000000005</v>
      </c>
      <c r="E18" s="201">
        <v>7.5281000000000002</v>
      </c>
      <c r="F18" s="201">
        <v>0.20130000000000001</v>
      </c>
      <c r="G18" s="200">
        <f t="shared" si="0"/>
        <v>7.7294</v>
      </c>
      <c r="H18" s="200">
        <v>7.5521000000000003</v>
      </c>
      <c r="I18" s="200">
        <f t="shared" si="1"/>
        <v>0.17729999999999979</v>
      </c>
      <c r="J18" s="200">
        <f t="shared" si="2"/>
        <v>2.4000000000000216E-2</v>
      </c>
      <c r="K18" s="277">
        <f t="shared" si="3"/>
        <v>11.922503725782521</v>
      </c>
      <c r="L18" s="200">
        <v>6</v>
      </c>
      <c r="M18" s="206">
        <v>43186.458333333336</v>
      </c>
      <c r="N18" s="206">
        <v>43186.625</v>
      </c>
      <c r="O18" s="196" t="s">
        <v>2534</v>
      </c>
      <c r="P18" s="200"/>
      <c r="AB18" s="110"/>
      <c r="AC18" s="110"/>
      <c r="AD18" s="110"/>
      <c r="AE18" s="110"/>
    </row>
    <row r="19" spans="1:31">
      <c r="A19" s="205" t="s">
        <v>1753</v>
      </c>
      <c r="C19" s="200">
        <v>192</v>
      </c>
      <c r="D19" s="200">
        <v>0.42030000000000001</v>
      </c>
      <c r="E19" s="201">
        <v>9.5191999999999997</v>
      </c>
      <c r="F19" s="201">
        <v>0.20019999999999999</v>
      </c>
      <c r="G19" s="200">
        <f t="shared" si="0"/>
        <v>9.7194000000000003</v>
      </c>
      <c r="H19" s="200">
        <v>9.5379000000000005</v>
      </c>
      <c r="I19" s="200">
        <f t="shared" si="1"/>
        <v>0.18149999999999977</v>
      </c>
      <c r="J19" s="200">
        <f t="shared" si="2"/>
        <v>1.8700000000000216E-2</v>
      </c>
      <c r="K19" s="277">
        <f t="shared" si="3"/>
        <v>9.3406593406594496</v>
      </c>
      <c r="L19" s="200">
        <v>16</v>
      </c>
      <c r="M19" s="206">
        <v>43185.385416666664</v>
      </c>
      <c r="N19" s="200"/>
      <c r="O19" s="200" t="s">
        <v>2540</v>
      </c>
      <c r="P19" s="200"/>
      <c r="AB19" s="110"/>
      <c r="AC19" s="110"/>
      <c r="AD19" s="110"/>
      <c r="AE19" s="110"/>
    </row>
    <row r="20" spans="1:31">
      <c r="A20" s="200" t="s">
        <v>1752</v>
      </c>
      <c r="C20" s="200">
        <v>83</v>
      </c>
      <c r="D20" s="201">
        <v>0.66410000000000002</v>
      </c>
      <c r="E20" s="200">
        <v>9.4853000000000005</v>
      </c>
      <c r="F20" s="201">
        <v>0.2054</v>
      </c>
      <c r="G20" s="200">
        <f t="shared" si="0"/>
        <v>9.6906999999999996</v>
      </c>
      <c r="H20" s="200">
        <v>9.5158000000000005</v>
      </c>
      <c r="I20" s="200">
        <f t="shared" si="1"/>
        <v>0.17489999999999917</v>
      </c>
      <c r="J20" s="200">
        <f t="shared" si="2"/>
        <v>3.0500000000000832E-2</v>
      </c>
      <c r="K20" s="277">
        <f t="shared" si="3"/>
        <v>14.849074975657658</v>
      </c>
      <c r="L20" s="200">
        <v>3</v>
      </c>
      <c r="M20" s="204">
        <v>43206</v>
      </c>
      <c r="N20" s="204">
        <v>43206</v>
      </c>
      <c r="O20" s="200"/>
      <c r="P20" s="200"/>
      <c r="AB20" s="110"/>
      <c r="AC20" s="110"/>
      <c r="AD20" s="110"/>
      <c r="AE20" s="110"/>
    </row>
    <row r="21" spans="1:31">
      <c r="A21" s="205" t="s">
        <v>1751</v>
      </c>
      <c r="C21" s="200">
        <v>48</v>
      </c>
      <c r="D21" s="200">
        <v>0.66920000000000002</v>
      </c>
      <c r="E21" s="200">
        <v>7.5284000000000004</v>
      </c>
      <c r="F21" s="201">
        <v>0.2036</v>
      </c>
      <c r="G21" s="200">
        <f t="shared" si="0"/>
        <v>7.7320000000000002</v>
      </c>
      <c r="H21" s="200">
        <v>7.5435999999999996</v>
      </c>
      <c r="I21" s="200">
        <f t="shared" si="1"/>
        <v>0.18840000000000057</v>
      </c>
      <c r="J21" s="200">
        <f t="shared" si="2"/>
        <v>1.5199999999999436E-2</v>
      </c>
      <c r="K21" s="277">
        <f t="shared" si="3"/>
        <v>7.4656188605105287</v>
      </c>
      <c r="L21" s="200">
        <v>13</v>
      </c>
      <c r="M21" s="204">
        <v>43211</v>
      </c>
      <c r="R21" s="196">
        <v>1</v>
      </c>
      <c r="S21" s="196">
        <v>0.65400000000000003</v>
      </c>
      <c r="T21" s="196">
        <f>AVERAGE(S21:S30)</f>
        <v>0.65125</v>
      </c>
      <c r="U21" s="201" t="s">
        <v>1593</v>
      </c>
      <c r="V21" s="196">
        <v>0.91849999999999998</v>
      </c>
      <c r="W21" s="196">
        <f>(V21-$T$175+F19)</f>
        <v>1.1187</v>
      </c>
      <c r="AB21" s="110"/>
      <c r="AC21" s="110"/>
      <c r="AD21" s="110"/>
      <c r="AE21" s="110"/>
    </row>
    <row r="22" spans="1:31">
      <c r="A22" s="200" t="s">
        <v>1742</v>
      </c>
      <c r="C22" s="200">
        <v>85</v>
      </c>
      <c r="D22" s="200">
        <v>0.98040000000000005</v>
      </c>
      <c r="E22" s="201">
        <v>8.1328999999999994</v>
      </c>
      <c r="F22" s="201">
        <v>0.20200000000000001</v>
      </c>
      <c r="G22" s="200">
        <f t="shared" si="0"/>
        <v>8.3348999999999993</v>
      </c>
      <c r="H22" s="200">
        <v>8.2133000000000003</v>
      </c>
      <c r="I22" s="200">
        <f t="shared" si="1"/>
        <v>0.12159999999999904</v>
      </c>
      <c r="J22" s="200">
        <f t="shared" si="2"/>
        <v>8.0400000000000971E-2</v>
      </c>
      <c r="K22" s="277">
        <f t="shared" si="3"/>
        <v>39.801980198020281</v>
      </c>
      <c r="L22" s="200">
        <v>43</v>
      </c>
      <c r="M22" s="206">
        <v>43186.458333333336</v>
      </c>
      <c r="N22" s="206">
        <v>43186.625</v>
      </c>
      <c r="O22" s="196" t="s">
        <v>2534</v>
      </c>
      <c r="P22" s="200"/>
      <c r="AB22" s="110"/>
      <c r="AC22" s="110"/>
      <c r="AD22" s="110"/>
      <c r="AE22" s="110"/>
    </row>
    <row r="23" spans="1:31">
      <c r="A23" s="196" t="s">
        <v>1716</v>
      </c>
      <c r="C23" s="197">
        <v>166</v>
      </c>
      <c r="D23" s="196">
        <v>0.60729999999999995</v>
      </c>
      <c r="E23" s="196">
        <v>8.0645000000000007</v>
      </c>
      <c r="F23" s="201">
        <v>0.20250000000000001</v>
      </c>
      <c r="G23" s="200">
        <f t="shared" si="0"/>
        <v>8.2670000000000012</v>
      </c>
      <c r="H23" s="200">
        <v>8.0913000000000004</v>
      </c>
      <c r="I23" s="200">
        <f t="shared" si="1"/>
        <v>0.17570000000000086</v>
      </c>
      <c r="J23" s="200">
        <f t="shared" si="2"/>
        <v>2.6799999999999158E-2</v>
      </c>
      <c r="K23" s="277">
        <f t="shared" si="3"/>
        <v>13.234567901234151</v>
      </c>
      <c r="L23" s="200">
        <v>3</v>
      </c>
      <c r="AB23" s="110"/>
      <c r="AC23" s="110"/>
      <c r="AD23" s="110"/>
      <c r="AE23" s="110"/>
    </row>
    <row r="24" spans="1:31">
      <c r="A24" s="196" t="s">
        <v>1713</v>
      </c>
      <c r="C24" s="197">
        <v>184</v>
      </c>
      <c r="D24" s="196">
        <v>0.46029999999999999</v>
      </c>
      <c r="E24" s="196">
        <v>8.1677999999999997</v>
      </c>
      <c r="F24" s="201">
        <v>0.2014</v>
      </c>
      <c r="G24" s="200">
        <f t="shared" si="0"/>
        <v>8.3691999999999993</v>
      </c>
      <c r="H24" s="200">
        <v>8.1896000000000004</v>
      </c>
      <c r="I24" s="200">
        <f t="shared" si="1"/>
        <v>0.17959999999999887</v>
      </c>
      <c r="J24" s="200">
        <f t="shared" si="2"/>
        <v>2.1800000000001124E-2</v>
      </c>
      <c r="K24" s="277">
        <f t="shared" si="3"/>
        <v>10.824230387289536</v>
      </c>
      <c r="L24" s="200">
        <v>20</v>
      </c>
      <c r="AB24" s="110"/>
      <c r="AC24" s="110"/>
      <c r="AD24" s="110"/>
      <c r="AE24" s="110"/>
    </row>
    <row r="25" spans="1:31">
      <c r="A25" s="196" t="s">
        <v>1705</v>
      </c>
      <c r="C25" s="197">
        <v>29</v>
      </c>
      <c r="D25" s="196">
        <v>0.45800000000000002</v>
      </c>
      <c r="E25" s="200">
        <v>11.154400000000001</v>
      </c>
      <c r="F25" s="201">
        <v>0.20430000000000001</v>
      </c>
      <c r="G25" s="200">
        <f t="shared" si="0"/>
        <v>11.358700000000001</v>
      </c>
      <c r="H25" s="200">
        <v>11.173999999999999</v>
      </c>
      <c r="I25" s="200">
        <f t="shared" si="1"/>
        <v>0.1847000000000012</v>
      </c>
      <c r="J25" s="200">
        <f t="shared" si="2"/>
        <v>1.9599999999998813E-2</v>
      </c>
      <c r="K25" s="277">
        <f t="shared" si="3"/>
        <v>9.5937347038662821</v>
      </c>
      <c r="L25" s="200">
        <v>8</v>
      </c>
      <c r="M25" s="203">
        <v>43212</v>
      </c>
      <c r="AB25" s="110"/>
      <c r="AC25" s="110"/>
      <c r="AD25" s="110"/>
      <c r="AE25" s="110"/>
    </row>
    <row r="26" spans="1:31">
      <c r="A26" s="196" t="s">
        <v>1704</v>
      </c>
      <c r="C26" s="200">
        <v>49</v>
      </c>
      <c r="D26" s="196">
        <v>0.75149999999999995</v>
      </c>
      <c r="E26" s="200">
        <v>10.634499999999999</v>
      </c>
      <c r="F26" s="201">
        <v>0.20230000000000001</v>
      </c>
      <c r="G26" s="200">
        <f t="shared" si="0"/>
        <v>10.836799999999998</v>
      </c>
      <c r="H26" s="200">
        <v>10.6754</v>
      </c>
      <c r="I26" s="200">
        <f t="shared" si="1"/>
        <v>0.16139999999999866</v>
      </c>
      <c r="J26" s="200">
        <f t="shared" si="2"/>
        <v>4.0900000000001352E-2</v>
      </c>
      <c r="K26" s="277">
        <f t="shared" si="3"/>
        <v>20.217498764212234</v>
      </c>
      <c r="L26" s="200">
        <v>34</v>
      </c>
      <c r="M26" s="204">
        <v>43211</v>
      </c>
      <c r="R26" s="196">
        <v>3</v>
      </c>
      <c r="S26" s="196">
        <v>0.64849999999999997</v>
      </c>
      <c r="U26" s="201" t="s">
        <v>1278</v>
      </c>
      <c r="V26" s="196">
        <v>0.83420000000000005</v>
      </c>
      <c r="W26" s="196">
        <f>(V26-$T$175+F24)</f>
        <v>1.0356000000000001</v>
      </c>
      <c r="AB26" s="110"/>
      <c r="AC26" s="110"/>
      <c r="AD26" s="110"/>
      <c r="AE26" s="110"/>
    </row>
    <row r="27" spans="1:31">
      <c r="A27" s="196" t="s">
        <v>1699</v>
      </c>
      <c r="C27" s="200">
        <v>161</v>
      </c>
      <c r="D27" s="196">
        <v>0.3921</v>
      </c>
      <c r="E27" s="196">
        <v>8.8637999999999995</v>
      </c>
      <c r="F27" s="196">
        <v>0.20130000000000001</v>
      </c>
      <c r="G27" s="196">
        <f t="shared" si="0"/>
        <v>9.0650999999999993</v>
      </c>
      <c r="H27" s="196">
        <v>8.8859999999999992</v>
      </c>
      <c r="I27" s="196">
        <f t="shared" si="1"/>
        <v>0.17910000000000004</v>
      </c>
      <c r="J27" s="200">
        <f t="shared" si="2"/>
        <v>2.219999999999997E-2</v>
      </c>
      <c r="K27" s="277">
        <f t="shared" si="3"/>
        <v>11.028315946348718</v>
      </c>
      <c r="L27" s="196">
        <v>3</v>
      </c>
      <c r="M27" s="206">
        <v>43160.520833333336</v>
      </c>
      <c r="N27" s="206">
        <v>43160.6875</v>
      </c>
      <c r="O27" s="196" t="s">
        <v>2534</v>
      </c>
      <c r="AB27" s="110"/>
      <c r="AC27" s="110"/>
      <c r="AD27" s="110"/>
      <c r="AE27" s="110"/>
    </row>
    <row r="28" spans="1:31">
      <c r="A28" s="196" t="s">
        <v>1698</v>
      </c>
      <c r="C28" s="200">
        <v>161</v>
      </c>
      <c r="D28" s="196">
        <v>0.39190000000000003</v>
      </c>
      <c r="E28" s="196">
        <v>8.1366999999999994</v>
      </c>
      <c r="F28" s="196">
        <v>0.20119999999999999</v>
      </c>
      <c r="G28" s="196">
        <f t="shared" si="0"/>
        <v>8.3378999999999994</v>
      </c>
      <c r="H28" s="196">
        <v>8.1506000000000007</v>
      </c>
      <c r="I28" s="196">
        <f t="shared" si="1"/>
        <v>0.18729999999999869</v>
      </c>
      <c r="J28" s="200">
        <f t="shared" si="2"/>
        <v>1.39000000000013E-2</v>
      </c>
      <c r="K28" s="277">
        <f t="shared" si="3"/>
        <v>6.9085487077541252</v>
      </c>
      <c r="L28" s="196">
        <v>4</v>
      </c>
      <c r="M28" s="206">
        <v>43160.520833333336</v>
      </c>
      <c r="N28" s="206">
        <v>43160.6875</v>
      </c>
      <c r="O28" s="196" t="s">
        <v>2534</v>
      </c>
      <c r="AB28" s="110"/>
      <c r="AC28" s="110"/>
      <c r="AD28" s="110"/>
      <c r="AE28" s="110"/>
    </row>
    <row r="29" spans="1:31">
      <c r="A29" s="196" t="s">
        <v>1695</v>
      </c>
      <c r="C29" s="196">
        <v>90</v>
      </c>
      <c r="D29" s="196">
        <v>0.54079999999999995</v>
      </c>
      <c r="E29" s="196">
        <v>20.934799999999999</v>
      </c>
      <c r="F29" s="196">
        <v>0.1933</v>
      </c>
      <c r="G29" s="196">
        <f t="shared" si="0"/>
        <v>21.1281</v>
      </c>
      <c r="H29" s="196">
        <v>20.947700000000001</v>
      </c>
      <c r="I29" s="196">
        <f t="shared" si="1"/>
        <v>0.18039999999999878</v>
      </c>
      <c r="J29" s="200">
        <f t="shared" si="2"/>
        <v>1.2900000000001216E-2</v>
      </c>
      <c r="K29" s="277">
        <f t="shared" si="3"/>
        <v>6.6735644076571221</v>
      </c>
      <c r="L29" s="196">
        <v>19</v>
      </c>
      <c r="M29" s="196" t="s">
        <v>2564</v>
      </c>
      <c r="N29" s="196" t="s">
        <v>2563</v>
      </c>
      <c r="O29" s="196" t="s">
        <v>2540</v>
      </c>
      <c r="AB29" s="110"/>
      <c r="AC29" s="110"/>
      <c r="AD29" s="110"/>
      <c r="AE29" s="110"/>
    </row>
    <row r="30" spans="1:31">
      <c r="A30" s="205" t="s">
        <v>1692</v>
      </c>
      <c r="C30" s="200">
        <v>70</v>
      </c>
      <c r="D30" s="200">
        <v>0.621</v>
      </c>
      <c r="E30" s="201">
        <v>8.7317999999999998</v>
      </c>
      <c r="F30" s="201">
        <v>0.20780000000000001</v>
      </c>
      <c r="G30" s="200">
        <f t="shared" si="0"/>
        <v>8.9396000000000004</v>
      </c>
      <c r="H30" s="200">
        <v>8.76</v>
      </c>
      <c r="I30" s="200">
        <f t="shared" si="1"/>
        <v>0.17960000000000065</v>
      </c>
      <c r="J30" s="200">
        <f t="shared" si="2"/>
        <v>2.8199999999999364E-2</v>
      </c>
      <c r="K30" s="277">
        <f t="shared" si="3"/>
        <v>13.570741097208547</v>
      </c>
      <c r="L30" s="200">
        <v>12</v>
      </c>
      <c r="M30" s="202">
        <v>43181.645833333336</v>
      </c>
      <c r="N30" s="202">
        <v>43181.833333333336</v>
      </c>
      <c r="O30" s="200" t="s">
        <v>2540</v>
      </c>
      <c r="P30" s="200" t="s">
        <v>2556</v>
      </c>
      <c r="AB30" s="110"/>
      <c r="AC30" s="110"/>
      <c r="AD30" s="110"/>
      <c r="AE30" s="110"/>
    </row>
    <row r="31" spans="1:31">
      <c r="A31" s="200" t="s">
        <v>1691</v>
      </c>
      <c r="C31" s="200">
        <v>37</v>
      </c>
      <c r="D31" s="200">
        <v>0.66649999999999998</v>
      </c>
      <c r="E31" s="200">
        <v>11.0029</v>
      </c>
      <c r="F31" s="200">
        <v>0.2034</v>
      </c>
      <c r="G31" s="200">
        <f t="shared" si="0"/>
        <v>11.206300000000001</v>
      </c>
      <c r="H31" s="200">
        <v>11.0541</v>
      </c>
      <c r="I31" s="200">
        <f t="shared" si="1"/>
        <v>0.15220000000000056</v>
      </c>
      <c r="J31" s="200">
        <f t="shared" si="2"/>
        <v>5.119999999999944E-2</v>
      </c>
      <c r="K31" s="277">
        <f t="shared" si="3"/>
        <v>25.172074729596577</v>
      </c>
      <c r="L31" s="200">
        <v>24</v>
      </c>
      <c r="M31" s="204">
        <v>43188</v>
      </c>
      <c r="N31" s="204">
        <v>43188</v>
      </c>
      <c r="O31" s="200"/>
      <c r="P31" s="200"/>
      <c r="AB31" s="110"/>
      <c r="AC31" s="110"/>
      <c r="AD31" s="110"/>
      <c r="AE31" s="110"/>
    </row>
    <row r="32" spans="1:31">
      <c r="A32" s="196" t="s">
        <v>1690</v>
      </c>
      <c r="C32" s="200">
        <v>180</v>
      </c>
      <c r="D32" s="196">
        <v>0.43020000000000003</v>
      </c>
      <c r="E32" s="200">
        <v>11.4535</v>
      </c>
      <c r="F32" s="201">
        <v>0.20649999999999999</v>
      </c>
      <c r="G32" s="200">
        <f t="shared" si="0"/>
        <v>11.66</v>
      </c>
      <c r="H32" s="200">
        <v>11.4724</v>
      </c>
      <c r="I32" s="200">
        <f t="shared" si="1"/>
        <v>0.18759999999999977</v>
      </c>
      <c r="J32" s="200">
        <f t="shared" si="2"/>
        <v>1.8900000000000222E-2</v>
      </c>
      <c r="K32" s="277">
        <f t="shared" si="3"/>
        <v>9.1525423728814648</v>
      </c>
      <c r="L32" s="200">
        <v>38</v>
      </c>
      <c r="M32" s="204">
        <v>43211</v>
      </c>
      <c r="AB32" s="110"/>
      <c r="AC32" s="110"/>
      <c r="AD32" s="110"/>
      <c r="AE32" s="110"/>
    </row>
    <row r="33" spans="1:31">
      <c r="A33" s="200" t="s">
        <v>1688</v>
      </c>
      <c r="C33" s="200">
        <v>177</v>
      </c>
      <c r="D33" s="200">
        <v>0.42699999999999999</v>
      </c>
      <c r="E33" s="200">
        <v>9.0031999999999996</v>
      </c>
      <c r="F33" s="201">
        <v>0.20569999999999999</v>
      </c>
      <c r="G33" s="200">
        <f t="shared" si="0"/>
        <v>9.2088999999999999</v>
      </c>
      <c r="H33" s="200">
        <v>9.0220000000000002</v>
      </c>
      <c r="I33" s="200">
        <f t="shared" si="1"/>
        <v>0.18689999999999962</v>
      </c>
      <c r="J33" s="200">
        <f t="shared" si="2"/>
        <v>1.8800000000000372E-2</v>
      </c>
      <c r="K33" s="277">
        <f t="shared" si="3"/>
        <v>9.1395235780264326</v>
      </c>
      <c r="L33" s="200">
        <v>39</v>
      </c>
      <c r="M33" s="204">
        <v>43187</v>
      </c>
      <c r="N33" s="204">
        <v>43187</v>
      </c>
      <c r="O33" s="200"/>
      <c r="P33" s="200"/>
      <c r="AB33" s="110"/>
      <c r="AC33" s="110"/>
      <c r="AD33" s="110"/>
      <c r="AE33" s="110"/>
    </row>
    <row r="34" spans="1:31">
      <c r="A34" s="196" t="s">
        <v>1685</v>
      </c>
      <c r="C34" s="196">
        <v>187</v>
      </c>
      <c r="D34" s="196">
        <v>0.46639999999999998</v>
      </c>
      <c r="E34" s="200">
        <v>11.1212</v>
      </c>
      <c r="F34" s="201">
        <v>0.2019</v>
      </c>
      <c r="G34" s="200">
        <f t="shared" ref="G34:G65" si="4">E34+F34</f>
        <v>11.3231</v>
      </c>
      <c r="H34" s="200">
        <v>11.138999999999999</v>
      </c>
      <c r="I34" s="200">
        <f t="shared" ref="I34:I65" si="5">(G34-H34)</f>
        <v>0.18410000000000082</v>
      </c>
      <c r="J34" s="200">
        <f t="shared" ref="J34:J65" si="6">F34-I34</f>
        <v>1.7799999999999178E-2</v>
      </c>
      <c r="K34" s="277">
        <f t="shared" ref="K34:K65" si="7">(J34/F34)*100</f>
        <v>8.8162456661709641</v>
      </c>
      <c r="L34" s="200">
        <v>37</v>
      </c>
      <c r="M34" s="203">
        <v>43212</v>
      </c>
      <c r="AB34" s="110"/>
      <c r="AC34" s="110"/>
      <c r="AD34" s="110"/>
      <c r="AE34" s="110"/>
    </row>
    <row r="35" spans="1:31">
      <c r="A35" s="200" t="s">
        <v>1684</v>
      </c>
      <c r="C35" s="196">
        <v>33</v>
      </c>
      <c r="D35" s="200">
        <v>0.54310000000000003</v>
      </c>
      <c r="E35" s="201">
        <v>9.2353000000000005</v>
      </c>
      <c r="F35" s="201">
        <v>0.20069999999999999</v>
      </c>
      <c r="G35" s="200">
        <f t="shared" si="4"/>
        <v>9.4359999999999999</v>
      </c>
      <c r="H35" s="200">
        <v>9.2540999999999993</v>
      </c>
      <c r="I35" s="200">
        <f t="shared" si="5"/>
        <v>0.18190000000000062</v>
      </c>
      <c r="J35" s="200">
        <f t="shared" si="6"/>
        <v>1.8799999999999373E-2</v>
      </c>
      <c r="K35" s="277">
        <f t="shared" si="7"/>
        <v>9.3672147483803556</v>
      </c>
      <c r="L35" s="200">
        <v>19</v>
      </c>
      <c r="M35" s="206">
        <v>43186.458333333336</v>
      </c>
      <c r="N35" s="206">
        <v>43186.625</v>
      </c>
      <c r="O35" s="196" t="s">
        <v>2534</v>
      </c>
      <c r="P35" s="200"/>
      <c r="AB35" s="110"/>
      <c r="AC35" s="110"/>
      <c r="AD35" s="110"/>
      <c r="AE35" s="110"/>
    </row>
    <row r="36" spans="1:31">
      <c r="A36" s="200" t="s">
        <v>1683</v>
      </c>
      <c r="C36" s="200">
        <v>189</v>
      </c>
      <c r="D36" s="201">
        <v>0.60070000000000001</v>
      </c>
      <c r="E36" s="201">
        <v>11.7463</v>
      </c>
      <c r="F36" s="201">
        <v>0.2014</v>
      </c>
      <c r="G36" s="200">
        <f t="shared" si="4"/>
        <v>11.947699999999999</v>
      </c>
      <c r="H36" s="200">
        <v>11.7652</v>
      </c>
      <c r="I36" s="200">
        <f t="shared" si="5"/>
        <v>0.18249999999999922</v>
      </c>
      <c r="J36" s="200">
        <f t="shared" si="6"/>
        <v>1.8900000000000777E-2</v>
      </c>
      <c r="K36" s="277">
        <f t="shared" si="7"/>
        <v>9.3843098311821134</v>
      </c>
      <c r="L36" s="200">
        <v>16</v>
      </c>
      <c r="M36" s="200"/>
      <c r="N36" s="200"/>
      <c r="O36" s="200"/>
      <c r="P36" s="200"/>
      <c r="AB36" s="110"/>
      <c r="AC36" s="110"/>
      <c r="AD36" s="110"/>
      <c r="AE36" s="110"/>
    </row>
    <row r="37" spans="1:31">
      <c r="A37" s="200" t="s">
        <v>1682</v>
      </c>
      <c r="C37" s="200">
        <v>165</v>
      </c>
      <c r="D37" s="200">
        <v>0.53839999999999999</v>
      </c>
      <c r="E37" s="200">
        <v>8.0638000000000005</v>
      </c>
      <c r="F37" s="200">
        <v>0.20449999999999999</v>
      </c>
      <c r="G37" s="200">
        <f t="shared" si="4"/>
        <v>8.2683</v>
      </c>
      <c r="H37" s="200">
        <v>8.0785999999999998</v>
      </c>
      <c r="I37" s="200">
        <f t="shared" si="5"/>
        <v>0.1897000000000002</v>
      </c>
      <c r="J37" s="200">
        <f t="shared" si="6"/>
        <v>1.4799999999999786E-2</v>
      </c>
      <c r="K37" s="277">
        <f t="shared" si="7"/>
        <v>7.2371638141808248</v>
      </c>
      <c r="L37" s="200">
        <v>20</v>
      </c>
      <c r="M37" s="202">
        <v>43164.628472222219</v>
      </c>
      <c r="N37" s="202">
        <v>43164.795138888891</v>
      </c>
      <c r="O37" s="196" t="s">
        <v>2534</v>
      </c>
      <c r="P37" s="200"/>
      <c r="AB37" s="110"/>
      <c r="AC37" s="110"/>
      <c r="AD37" s="110"/>
      <c r="AE37" s="110"/>
    </row>
    <row r="38" spans="1:31">
      <c r="A38" s="196" t="s">
        <v>1677</v>
      </c>
      <c r="C38" s="197">
        <v>75</v>
      </c>
      <c r="D38" s="196">
        <v>0.71379999999999999</v>
      </c>
      <c r="E38" s="200">
        <v>9.3428000000000004</v>
      </c>
      <c r="F38" s="201">
        <v>0.20100000000000001</v>
      </c>
      <c r="G38" s="200">
        <f t="shared" si="4"/>
        <v>9.5438000000000009</v>
      </c>
      <c r="H38" s="200">
        <v>9.3640000000000008</v>
      </c>
      <c r="I38" s="200">
        <f t="shared" si="5"/>
        <v>0.17980000000000018</v>
      </c>
      <c r="J38" s="200">
        <f t="shared" si="6"/>
        <v>2.119999999999983E-2</v>
      </c>
      <c r="K38" s="277">
        <f t="shared" si="7"/>
        <v>10.547263681591955</v>
      </c>
      <c r="L38" s="200">
        <v>19</v>
      </c>
      <c r="M38" s="203">
        <v>43213</v>
      </c>
      <c r="N38" s="203">
        <v>43213</v>
      </c>
      <c r="AB38" s="110"/>
      <c r="AC38" s="110"/>
      <c r="AD38" s="110"/>
      <c r="AE38" s="110"/>
    </row>
    <row r="39" spans="1:31">
      <c r="A39" s="196" t="s">
        <v>1675</v>
      </c>
      <c r="C39" s="197">
        <v>188</v>
      </c>
      <c r="D39" s="196">
        <v>0.37780000000000002</v>
      </c>
      <c r="E39" s="201">
        <v>7.0929000000000002</v>
      </c>
      <c r="F39" s="201">
        <v>0.20569999999999999</v>
      </c>
      <c r="G39" s="200">
        <f t="shared" si="4"/>
        <v>7.2986000000000004</v>
      </c>
      <c r="H39" s="200">
        <v>7.11</v>
      </c>
      <c r="I39" s="200">
        <f t="shared" si="5"/>
        <v>0.1886000000000001</v>
      </c>
      <c r="J39" s="200">
        <f t="shared" si="6"/>
        <v>1.7099999999999893E-2</v>
      </c>
      <c r="K39" s="277">
        <f t="shared" si="7"/>
        <v>8.3130772970344644</v>
      </c>
      <c r="L39" s="200">
        <v>33</v>
      </c>
      <c r="AB39" s="110"/>
      <c r="AC39" s="110"/>
      <c r="AD39" s="110"/>
      <c r="AE39" s="110"/>
    </row>
    <row r="40" spans="1:31">
      <c r="A40" s="196" t="s">
        <v>1667</v>
      </c>
      <c r="C40" s="197">
        <v>72</v>
      </c>
      <c r="D40" s="196">
        <v>0.65190000000000003</v>
      </c>
      <c r="E40" s="200">
        <v>10.675000000000001</v>
      </c>
      <c r="F40" s="201">
        <v>0.20200000000000001</v>
      </c>
      <c r="G40" s="200">
        <f t="shared" si="4"/>
        <v>10.877000000000001</v>
      </c>
      <c r="H40" s="200">
        <v>10.693099999999999</v>
      </c>
      <c r="I40" s="200">
        <f t="shared" si="5"/>
        <v>0.18390000000000128</v>
      </c>
      <c r="J40" s="200">
        <f t="shared" si="6"/>
        <v>1.8099999999998728E-2</v>
      </c>
      <c r="K40" s="277">
        <f t="shared" si="7"/>
        <v>8.9603960396033298</v>
      </c>
      <c r="L40" s="200">
        <v>2</v>
      </c>
      <c r="M40" s="203">
        <v>43213</v>
      </c>
      <c r="N40" s="203">
        <v>43213</v>
      </c>
      <c r="AB40" s="110"/>
      <c r="AC40" s="110"/>
      <c r="AD40" s="110"/>
      <c r="AE40" s="110"/>
    </row>
    <row r="41" spans="1:31">
      <c r="A41" s="196" t="s">
        <v>1665</v>
      </c>
      <c r="C41" s="197">
        <v>162</v>
      </c>
      <c r="D41" s="196">
        <v>0.44819999999999999</v>
      </c>
      <c r="E41" s="201">
        <v>10.635</v>
      </c>
      <c r="F41" s="201">
        <v>0.2034</v>
      </c>
      <c r="G41" s="200">
        <f t="shared" si="4"/>
        <v>10.8384</v>
      </c>
      <c r="H41" s="200">
        <v>10.6524</v>
      </c>
      <c r="I41" s="200">
        <f t="shared" si="5"/>
        <v>0.18599999999999994</v>
      </c>
      <c r="J41" s="200">
        <f t="shared" si="6"/>
        <v>1.7400000000000054E-2</v>
      </c>
      <c r="K41" s="277">
        <f t="shared" si="7"/>
        <v>8.5545722713864567</v>
      </c>
      <c r="L41" s="200">
        <v>28</v>
      </c>
      <c r="M41" s="203">
        <v>43221</v>
      </c>
      <c r="N41" s="203">
        <v>43221</v>
      </c>
      <c r="AB41" s="110"/>
      <c r="AC41" s="110"/>
      <c r="AD41" s="110"/>
      <c r="AE41" s="110"/>
    </row>
    <row r="42" spans="1:31">
      <c r="A42" s="200" t="s">
        <v>1664</v>
      </c>
      <c r="C42" s="200">
        <v>69</v>
      </c>
      <c r="D42" s="201">
        <v>0.74609999999999999</v>
      </c>
      <c r="E42" s="201">
        <v>8.9581</v>
      </c>
      <c r="F42" s="201">
        <v>0.2014</v>
      </c>
      <c r="G42" s="200">
        <f t="shared" si="4"/>
        <v>9.1594999999999995</v>
      </c>
      <c r="H42" s="200">
        <v>9.0158000000000005</v>
      </c>
      <c r="I42" s="200">
        <f t="shared" si="5"/>
        <v>0.14369999999999905</v>
      </c>
      <c r="J42" s="200">
        <f t="shared" si="6"/>
        <v>5.7700000000000945E-2</v>
      </c>
      <c r="K42" s="277">
        <f t="shared" si="7"/>
        <v>28.64945382323781</v>
      </c>
      <c r="L42" s="200">
        <v>19</v>
      </c>
      <c r="M42" s="202">
        <v>43181.645833333336</v>
      </c>
      <c r="N42" s="202">
        <v>43181.833333333336</v>
      </c>
      <c r="O42" s="200" t="s">
        <v>2540</v>
      </c>
      <c r="P42" s="200" t="s">
        <v>2553</v>
      </c>
      <c r="AB42" s="110"/>
      <c r="AC42" s="110"/>
      <c r="AD42" s="110"/>
      <c r="AE42" s="110"/>
    </row>
    <row r="43" spans="1:31">
      <c r="A43" s="196" t="s">
        <v>1663</v>
      </c>
      <c r="C43" s="200">
        <v>63</v>
      </c>
      <c r="D43" s="201">
        <v>0.8407</v>
      </c>
      <c r="E43" s="201">
        <v>11.106</v>
      </c>
      <c r="F43" s="201">
        <v>0.20569999999999999</v>
      </c>
      <c r="G43" s="200">
        <f t="shared" si="4"/>
        <v>11.3117</v>
      </c>
      <c r="H43" s="200">
        <v>11.148199999999999</v>
      </c>
      <c r="I43" s="200">
        <f t="shared" si="5"/>
        <v>0.16350000000000087</v>
      </c>
      <c r="J43" s="200">
        <f t="shared" si="6"/>
        <v>4.2199999999999127E-2</v>
      </c>
      <c r="K43" s="277">
        <f t="shared" si="7"/>
        <v>20.515313563441481</v>
      </c>
      <c r="L43" s="200">
        <v>8</v>
      </c>
      <c r="M43" s="200"/>
      <c r="N43" s="200"/>
      <c r="O43" s="200"/>
      <c r="P43" s="200"/>
      <c r="AB43" s="110"/>
      <c r="AC43" s="110"/>
      <c r="AD43" s="110"/>
      <c r="AE43" s="110"/>
    </row>
    <row r="44" spans="1:31">
      <c r="A44" s="196" t="s">
        <v>1662</v>
      </c>
      <c r="C44" s="197">
        <v>197</v>
      </c>
      <c r="D44" s="196">
        <v>0.50419999999999998</v>
      </c>
      <c r="E44" s="200">
        <v>8.9580000000000002</v>
      </c>
      <c r="F44" s="201">
        <v>0.20349999999999999</v>
      </c>
      <c r="G44" s="200">
        <f t="shared" si="4"/>
        <v>9.1615000000000002</v>
      </c>
      <c r="H44" s="200">
        <v>8.9794999999999998</v>
      </c>
      <c r="I44" s="200">
        <f t="shared" si="5"/>
        <v>0.18200000000000038</v>
      </c>
      <c r="J44" s="200">
        <f t="shared" si="6"/>
        <v>2.1499999999999603E-2</v>
      </c>
      <c r="K44" s="277">
        <f t="shared" si="7"/>
        <v>10.565110565110372</v>
      </c>
      <c r="L44" s="200">
        <v>3</v>
      </c>
      <c r="M44" s="203">
        <v>43213</v>
      </c>
      <c r="N44" s="203">
        <v>43213</v>
      </c>
      <c r="AB44" s="110"/>
      <c r="AC44" s="110"/>
      <c r="AD44" s="110"/>
      <c r="AE44" s="110"/>
    </row>
    <row r="45" spans="1:31">
      <c r="A45" s="196" t="s">
        <v>1661</v>
      </c>
      <c r="C45" s="196">
        <v>8</v>
      </c>
      <c r="D45" s="196">
        <v>0.42562</v>
      </c>
      <c r="E45" s="196">
        <v>8.1182999999999996</v>
      </c>
      <c r="F45" s="196">
        <v>0.2006</v>
      </c>
      <c r="G45" s="196">
        <f t="shared" si="4"/>
        <v>8.3188999999999993</v>
      </c>
      <c r="H45" s="196">
        <v>8.1379000000000001</v>
      </c>
      <c r="I45" s="196">
        <f t="shared" si="5"/>
        <v>0.18099999999999916</v>
      </c>
      <c r="J45" s="200">
        <f t="shared" si="6"/>
        <v>1.9600000000000839E-2</v>
      </c>
      <c r="K45" s="277">
        <f t="shared" si="7"/>
        <v>9.7706879361918428</v>
      </c>
      <c r="L45" s="196">
        <v>4</v>
      </c>
      <c r="M45" s="196" t="s">
        <v>2570</v>
      </c>
      <c r="N45" s="196" t="s">
        <v>2569</v>
      </c>
      <c r="O45" s="196" t="s">
        <v>2534</v>
      </c>
      <c r="AB45" s="110"/>
      <c r="AC45" s="110"/>
      <c r="AD45" s="110"/>
      <c r="AE45" s="110"/>
    </row>
    <row r="46" spans="1:31">
      <c r="A46" s="205" t="s">
        <v>1660</v>
      </c>
      <c r="C46" s="200">
        <v>164</v>
      </c>
      <c r="D46" s="200">
        <v>0.45400000000000001</v>
      </c>
      <c r="E46" s="200">
        <v>10.312900000000001</v>
      </c>
      <c r="F46" s="201">
        <v>0.20069999999999999</v>
      </c>
      <c r="G46" s="200">
        <f t="shared" si="4"/>
        <v>10.5136</v>
      </c>
      <c r="H46" s="200">
        <v>10.331200000000001</v>
      </c>
      <c r="I46" s="200">
        <f t="shared" si="5"/>
        <v>0.18239999999999945</v>
      </c>
      <c r="J46" s="200">
        <f t="shared" si="6"/>
        <v>1.8300000000000538E-2</v>
      </c>
      <c r="K46" s="277">
        <f t="shared" si="7"/>
        <v>9.1180866965623011</v>
      </c>
      <c r="L46" s="200">
        <v>26</v>
      </c>
      <c r="M46" s="204">
        <v>43187</v>
      </c>
      <c r="N46" s="204">
        <v>43187</v>
      </c>
      <c r="O46" s="200"/>
      <c r="P46" s="200"/>
      <c r="AB46" s="110"/>
      <c r="AC46" s="110"/>
      <c r="AD46" s="110"/>
      <c r="AE46" s="110"/>
    </row>
    <row r="47" spans="1:31">
      <c r="A47" s="196" t="s">
        <v>1659</v>
      </c>
      <c r="C47" s="196">
        <v>61</v>
      </c>
      <c r="D47" s="196">
        <v>0.43340000000000001</v>
      </c>
      <c r="E47" s="196">
        <v>7.8392999999999997</v>
      </c>
      <c r="F47" s="196">
        <v>0.2024</v>
      </c>
      <c r="G47" s="196">
        <f t="shared" si="4"/>
        <v>8.0417000000000005</v>
      </c>
      <c r="H47" s="196">
        <v>7.8555999999999999</v>
      </c>
      <c r="I47" s="196">
        <f t="shared" si="5"/>
        <v>0.1861000000000006</v>
      </c>
      <c r="J47" s="200">
        <f t="shared" si="6"/>
        <v>1.6299999999999398E-2</v>
      </c>
      <c r="K47" s="277">
        <f t="shared" si="7"/>
        <v>8.0533596837941683</v>
      </c>
      <c r="L47" s="196">
        <v>41</v>
      </c>
      <c r="M47" s="196" t="s">
        <v>2570</v>
      </c>
      <c r="N47" s="196" t="s">
        <v>2569</v>
      </c>
      <c r="O47" s="196" t="s">
        <v>2534</v>
      </c>
      <c r="AB47" s="110"/>
      <c r="AC47" s="110"/>
      <c r="AD47" s="110"/>
      <c r="AE47" s="110"/>
    </row>
    <row r="48" spans="1:31" s="200" customFormat="1">
      <c r="A48" s="196" t="s">
        <v>1657</v>
      </c>
      <c r="B48"/>
      <c r="C48" s="197">
        <v>190</v>
      </c>
      <c r="D48" s="196">
        <v>0.4425</v>
      </c>
      <c r="E48" s="201">
        <v>8.1195000000000004</v>
      </c>
      <c r="F48" s="201">
        <v>0.2021</v>
      </c>
      <c r="G48" s="200">
        <f t="shared" si="4"/>
        <v>8.3216000000000001</v>
      </c>
      <c r="H48" s="200">
        <v>8.1387999999999998</v>
      </c>
      <c r="I48" s="200">
        <f t="shared" si="5"/>
        <v>0.1828000000000003</v>
      </c>
      <c r="J48" s="200">
        <f t="shared" si="6"/>
        <v>1.9299999999999706E-2</v>
      </c>
      <c r="K48" s="277">
        <f t="shared" si="7"/>
        <v>9.5497278574961424</v>
      </c>
      <c r="L48" s="200">
        <v>39</v>
      </c>
      <c r="M48" s="203">
        <v>43221</v>
      </c>
      <c r="N48" s="203">
        <v>43221</v>
      </c>
      <c r="O48" s="196"/>
      <c r="P48" s="196"/>
      <c r="Q48" s="196"/>
      <c r="R48" s="196"/>
      <c r="S48" s="196"/>
      <c r="T48" s="196"/>
      <c r="U48" s="196"/>
      <c r="V48" s="196"/>
      <c r="W48" s="196"/>
      <c r="AB48" s="110"/>
      <c r="AC48" s="110"/>
      <c r="AD48" s="110"/>
      <c r="AE48" s="110"/>
    </row>
    <row r="49" spans="1:31" s="200" customFormat="1">
      <c r="A49" s="196" t="s">
        <v>1647</v>
      </c>
      <c r="B49"/>
      <c r="C49" s="197">
        <v>182</v>
      </c>
      <c r="D49" s="196">
        <v>0.50329999999999997</v>
      </c>
      <c r="E49" s="201">
        <v>9.8215000000000003</v>
      </c>
      <c r="F49" s="201">
        <v>0.2026</v>
      </c>
      <c r="G49" s="200">
        <f t="shared" si="4"/>
        <v>10.024100000000001</v>
      </c>
      <c r="H49" s="200">
        <v>9.8394999999999992</v>
      </c>
      <c r="I49" s="200">
        <f t="shared" si="5"/>
        <v>0.18460000000000143</v>
      </c>
      <c r="J49" s="200">
        <f t="shared" si="6"/>
        <v>1.7999999999998573E-2</v>
      </c>
      <c r="K49" s="277">
        <f t="shared" si="7"/>
        <v>8.8845014807495417</v>
      </c>
      <c r="L49" s="200">
        <v>16</v>
      </c>
      <c r="M49" s="203">
        <v>43221</v>
      </c>
      <c r="N49" s="203">
        <v>43221</v>
      </c>
      <c r="O49" s="196"/>
      <c r="P49" s="196"/>
      <c r="Q49" s="196"/>
      <c r="R49" s="196"/>
      <c r="S49" s="196"/>
      <c r="T49" s="196"/>
      <c r="U49" s="196"/>
      <c r="V49" s="196"/>
      <c r="W49" s="196"/>
      <c r="AB49" s="110"/>
      <c r="AC49" s="110"/>
      <c r="AD49" s="110"/>
      <c r="AE49" s="110"/>
    </row>
    <row r="50" spans="1:31">
      <c r="A50" s="205" t="s">
        <v>1646</v>
      </c>
      <c r="C50" s="200">
        <v>31</v>
      </c>
      <c r="D50" s="200">
        <v>0.56530000000000002</v>
      </c>
      <c r="E50" s="200">
        <v>9.8215000000000003</v>
      </c>
      <c r="F50" s="201">
        <v>0.2089</v>
      </c>
      <c r="G50" s="200">
        <f t="shared" si="4"/>
        <v>10.0304</v>
      </c>
      <c r="H50" s="200">
        <v>9.8506</v>
      </c>
      <c r="I50" s="200">
        <f t="shared" si="5"/>
        <v>0.17980000000000018</v>
      </c>
      <c r="J50" s="200">
        <f t="shared" si="6"/>
        <v>2.909999999999982E-2</v>
      </c>
      <c r="K50" s="277">
        <f t="shared" si="7"/>
        <v>13.930110100526482</v>
      </c>
      <c r="L50" s="200">
        <v>33</v>
      </c>
      <c r="M50" s="204">
        <v>43211</v>
      </c>
      <c r="AB50" s="110"/>
      <c r="AC50" s="110"/>
      <c r="AD50" s="110"/>
      <c r="AE50" s="110"/>
    </row>
    <row r="51" spans="1:31">
      <c r="A51" s="196" t="s">
        <v>1645</v>
      </c>
      <c r="C51" s="197">
        <v>16</v>
      </c>
      <c r="D51" s="196">
        <v>0.49869999999999998</v>
      </c>
      <c r="E51" s="196">
        <v>9.1374999999999993</v>
      </c>
      <c r="F51" s="201">
        <v>0.2054</v>
      </c>
      <c r="G51" s="200">
        <f t="shared" si="4"/>
        <v>9.3428999999999984</v>
      </c>
      <c r="H51" s="200">
        <v>9.1698000000000004</v>
      </c>
      <c r="I51" s="200">
        <f t="shared" si="5"/>
        <v>0.17309999999999803</v>
      </c>
      <c r="J51" s="200">
        <f t="shared" si="6"/>
        <v>3.2300000000001966E-2</v>
      </c>
      <c r="K51" s="277">
        <f t="shared" si="7"/>
        <v>15.725413826680606</v>
      </c>
      <c r="L51" s="200">
        <v>19</v>
      </c>
      <c r="AB51" s="110"/>
      <c r="AC51" s="110"/>
      <c r="AD51" s="110"/>
      <c r="AE51" s="110"/>
    </row>
    <row r="52" spans="1:31">
      <c r="A52" s="196" t="s">
        <v>1644</v>
      </c>
      <c r="C52" s="197">
        <v>25</v>
      </c>
      <c r="D52" s="196">
        <v>0.47620000000000001</v>
      </c>
      <c r="E52" s="200">
        <v>10.855700000000001</v>
      </c>
      <c r="F52" s="201">
        <v>0.20100000000000001</v>
      </c>
      <c r="G52" s="200">
        <f t="shared" si="4"/>
        <v>11.056700000000001</v>
      </c>
      <c r="H52" s="200">
        <v>10.8809</v>
      </c>
      <c r="I52" s="200">
        <f t="shared" si="5"/>
        <v>0.17580000000000062</v>
      </c>
      <c r="J52" s="200">
        <f t="shared" si="6"/>
        <v>2.519999999999939E-2</v>
      </c>
      <c r="K52" s="277">
        <f t="shared" si="7"/>
        <v>12.537313432835518</v>
      </c>
      <c r="L52" s="200">
        <v>33</v>
      </c>
      <c r="M52" s="203">
        <v>43212</v>
      </c>
      <c r="AB52" s="110"/>
      <c r="AC52" s="110"/>
      <c r="AD52" s="110"/>
      <c r="AE52" s="110"/>
    </row>
    <row r="53" spans="1:31">
      <c r="A53" s="196" t="s">
        <v>1642</v>
      </c>
      <c r="C53" s="196">
        <v>75</v>
      </c>
      <c r="D53" s="196">
        <v>0.64600000000000002</v>
      </c>
      <c r="E53" s="196">
        <v>7.9611000000000001</v>
      </c>
      <c r="F53" s="201">
        <v>0.20069999999999999</v>
      </c>
      <c r="G53" s="200">
        <f t="shared" si="4"/>
        <v>8.1617999999999995</v>
      </c>
      <c r="H53" s="200">
        <v>7.9828000000000001</v>
      </c>
      <c r="I53" s="200">
        <f t="shared" si="5"/>
        <v>0.17899999999999938</v>
      </c>
      <c r="J53" s="200">
        <f t="shared" si="6"/>
        <v>2.1700000000000608E-2</v>
      </c>
      <c r="K53" s="277">
        <f t="shared" si="7"/>
        <v>10.812157448929053</v>
      </c>
      <c r="L53" s="200">
        <v>8</v>
      </c>
      <c r="P53" s="196" t="s">
        <v>2566</v>
      </c>
      <c r="AB53" s="110"/>
      <c r="AC53" s="110"/>
      <c r="AD53" s="110"/>
      <c r="AE53" s="110"/>
    </row>
    <row r="54" spans="1:31">
      <c r="A54" s="205" t="s">
        <v>1636</v>
      </c>
      <c r="C54" s="200">
        <v>70</v>
      </c>
      <c r="D54" s="200">
        <v>0.63049999999999995</v>
      </c>
      <c r="E54" s="201">
        <v>8.0645000000000007</v>
      </c>
      <c r="F54" s="201">
        <v>0.20230000000000001</v>
      </c>
      <c r="G54" s="200">
        <f t="shared" si="4"/>
        <v>8.2667999999999999</v>
      </c>
      <c r="H54" s="200">
        <v>8.0822000000000003</v>
      </c>
      <c r="I54" s="200">
        <f t="shared" si="5"/>
        <v>0.18459999999999965</v>
      </c>
      <c r="J54" s="200">
        <f t="shared" si="6"/>
        <v>1.7700000000000354E-2</v>
      </c>
      <c r="K54" s="277">
        <f t="shared" si="7"/>
        <v>8.7493821057836652</v>
      </c>
      <c r="L54" s="200">
        <v>11</v>
      </c>
      <c r="M54" s="202">
        <v>43181.645833333336</v>
      </c>
      <c r="N54" s="202">
        <v>43181.833333333336</v>
      </c>
      <c r="O54" s="200" t="s">
        <v>2540</v>
      </c>
      <c r="P54" s="200"/>
      <c r="AB54" s="110"/>
      <c r="AC54" s="110"/>
      <c r="AD54" s="110"/>
      <c r="AE54" s="110"/>
    </row>
    <row r="55" spans="1:31">
      <c r="A55" s="201" t="s">
        <v>1634</v>
      </c>
      <c r="C55" s="200">
        <v>75</v>
      </c>
      <c r="D55" s="200">
        <v>0.69669999999999987</v>
      </c>
      <c r="E55" s="200">
        <v>9.3219999999999992</v>
      </c>
      <c r="F55" s="200">
        <v>0.20119999999999999</v>
      </c>
      <c r="G55" s="200">
        <f t="shared" si="4"/>
        <v>9.5231999999999992</v>
      </c>
      <c r="H55" s="200">
        <v>9.3515999999999995</v>
      </c>
      <c r="I55" s="200">
        <f t="shared" si="5"/>
        <v>0.17159999999999975</v>
      </c>
      <c r="J55" s="200">
        <f t="shared" si="6"/>
        <v>2.9600000000000237E-2</v>
      </c>
      <c r="K55" s="277">
        <f t="shared" si="7"/>
        <v>14.711729622266519</v>
      </c>
      <c r="L55" s="200">
        <v>12</v>
      </c>
      <c r="M55" s="204">
        <v>43173</v>
      </c>
      <c r="N55" s="204">
        <v>43173</v>
      </c>
      <c r="O55" s="200" t="s">
        <v>2540</v>
      </c>
      <c r="P55" s="200" t="s">
        <v>2539</v>
      </c>
      <c r="AB55" s="110"/>
      <c r="AC55" s="110"/>
      <c r="AD55" s="110"/>
      <c r="AE55" s="110"/>
    </row>
    <row r="56" spans="1:31">
      <c r="A56" s="196" t="s">
        <v>1633</v>
      </c>
      <c r="C56" s="200">
        <v>191</v>
      </c>
      <c r="D56" s="196">
        <v>0.44040000000000001</v>
      </c>
      <c r="E56" s="200">
        <v>9.5192999999999994</v>
      </c>
      <c r="F56" s="201">
        <v>0.20100000000000001</v>
      </c>
      <c r="G56" s="200">
        <f t="shared" si="4"/>
        <v>9.7202999999999999</v>
      </c>
      <c r="H56" s="200">
        <v>9.5374999999999996</v>
      </c>
      <c r="I56" s="200">
        <f t="shared" si="5"/>
        <v>0.1828000000000003</v>
      </c>
      <c r="J56" s="200">
        <f t="shared" si="6"/>
        <v>1.8199999999999716E-2</v>
      </c>
      <c r="K56" s="277">
        <f t="shared" si="7"/>
        <v>9.0547263681590628</v>
      </c>
      <c r="L56" s="200">
        <v>35</v>
      </c>
      <c r="M56" s="204">
        <v>43211</v>
      </c>
      <c r="AB56" s="110"/>
      <c r="AC56" s="110"/>
      <c r="AD56" s="110"/>
      <c r="AE56" s="110"/>
    </row>
    <row r="57" spans="1:31">
      <c r="A57" s="205" t="s">
        <v>1631</v>
      </c>
      <c r="C57" s="200">
        <v>18</v>
      </c>
      <c r="D57" s="200">
        <v>0.55220000000000002</v>
      </c>
      <c r="E57" s="200">
        <v>7.3170000000000002</v>
      </c>
      <c r="F57" s="201">
        <v>0.2044</v>
      </c>
      <c r="G57" s="200">
        <f t="shared" si="4"/>
        <v>7.5213999999999999</v>
      </c>
      <c r="H57" s="200">
        <v>7.3479999999999999</v>
      </c>
      <c r="I57" s="200">
        <f t="shared" si="5"/>
        <v>0.1734</v>
      </c>
      <c r="J57" s="200">
        <f t="shared" si="6"/>
        <v>3.1E-2</v>
      </c>
      <c r="K57" s="277">
        <f t="shared" si="7"/>
        <v>15.166340508806261</v>
      </c>
      <c r="L57" s="200">
        <v>10</v>
      </c>
      <c r="M57" s="204">
        <v>43187</v>
      </c>
      <c r="N57" s="204">
        <v>43187</v>
      </c>
      <c r="O57" s="200"/>
      <c r="P57" s="200"/>
      <c r="AB57" s="110"/>
      <c r="AC57" s="110"/>
      <c r="AD57" s="110"/>
      <c r="AE57" s="110"/>
    </row>
    <row r="58" spans="1:31">
      <c r="A58" s="196" t="s">
        <v>1630</v>
      </c>
      <c r="C58" s="197">
        <v>188</v>
      </c>
      <c r="D58" s="196">
        <v>0.18920000000000001</v>
      </c>
      <c r="E58" s="196">
        <v>10.1435</v>
      </c>
      <c r="F58" s="201">
        <v>0.17380000000000001</v>
      </c>
      <c r="G58" s="200">
        <f t="shared" si="4"/>
        <v>10.317299999999999</v>
      </c>
      <c r="H58" s="200">
        <v>10.164899999999999</v>
      </c>
      <c r="I58" s="200">
        <f t="shared" si="5"/>
        <v>0.15240000000000009</v>
      </c>
      <c r="J58" s="200">
        <f t="shared" si="6"/>
        <v>2.1399999999999919E-2</v>
      </c>
      <c r="K58" s="277">
        <f t="shared" si="7"/>
        <v>12.313003452243912</v>
      </c>
      <c r="L58" s="200">
        <v>5</v>
      </c>
      <c r="P58" s="196" t="s">
        <v>2543</v>
      </c>
      <c r="AB58" s="110"/>
      <c r="AC58" s="110"/>
      <c r="AD58" s="110"/>
      <c r="AE58" s="110"/>
    </row>
    <row r="59" spans="1:31">
      <c r="A59" s="196" t="s">
        <v>1629</v>
      </c>
      <c r="C59" s="200">
        <v>24</v>
      </c>
      <c r="D59" s="196">
        <v>0.46389999999999998</v>
      </c>
      <c r="E59" s="200">
        <v>9.0213000000000001</v>
      </c>
      <c r="F59" s="201">
        <v>0.2026</v>
      </c>
      <c r="G59" s="200">
        <f t="shared" si="4"/>
        <v>9.2239000000000004</v>
      </c>
      <c r="H59" s="200">
        <v>9.0434999999999999</v>
      </c>
      <c r="I59" s="200">
        <f t="shared" si="5"/>
        <v>0.18040000000000056</v>
      </c>
      <c r="J59" s="200">
        <f t="shared" si="6"/>
        <v>2.2199999999999442E-2</v>
      </c>
      <c r="K59" s="277">
        <f t="shared" si="7"/>
        <v>10.957551826258362</v>
      </c>
      <c r="L59" s="200">
        <v>39</v>
      </c>
      <c r="M59" s="204">
        <v>43211</v>
      </c>
      <c r="AB59" s="110"/>
      <c r="AC59" s="110"/>
      <c r="AD59" s="110"/>
      <c r="AE59" s="110"/>
    </row>
    <row r="60" spans="1:31">
      <c r="A60" s="205" t="s">
        <v>1627</v>
      </c>
      <c r="C60" s="200">
        <v>185</v>
      </c>
      <c r="D60" s="200">
        <v>0.44009999999999999</v>
      </c>
      <c r="E60" s="200">
        <v>10.1159</v>
      </c>
      <c r="F60" s="201">
        <v>0.2036</v>
      </c>
      <c r="G60" s="200">
        <f t="shared" si="4"/>
        <v>10.3195</v>
      </c>
      <c r="H60" s="200">
        <v>10.135199999999999</v>
      </c>
      <c r="I60" s="200">
        <f t="shared" si="5"/>
        <v>0.18430000000000035</v>
      </c>
      <c r="J60" s="200">
        <f t="shared" si="6"/>
        <v>1.9299999999999651E-2</v>
      </c>
      <c r="K60" s="277">
        <f t="shared" si="7"/>
        <v>9.4793713163063114</v>
      </c>
      <c r="L60" s="200">
        <v>28</v>
      </c>
      <c r="M60" s="204">
        <v>43211</v>
      </c>
      <c r="AB60" s="110"/>
      <c r="AC60" s="110"/>
      <c r="AD60" s="110"/>
      <c r="AE60" s="110"/>
    </row>
    <row r="61" spans="1:31">
      <c r="A61" s="196" t="s">
        <v>1626</v>
      </c>
      <c r="C61" s="197">
        <v>93</v>
      </c>
      <c r="D61" s="196">
        <v>0.47660000000000002</v>
      </c>
      <c r="E61" s="200">
        <v>10.313599999999999</v>
      </c>
      <c r="F61" s="201">
        <v>0.20069999999999999</v>
      </c>
      <c r="G61" s="200">
        <f t="shared" si="4"/>
        <v>10.514299999999999</v>
      </c>
      <c r="H61" s="200">
        <v>10.332700000000001</v>
      </c>
      <c r="I61" s="200">
        <f t="shared" si="5"/>
        <v>0.18159999999999776</v>
      </c>
      <c r="J61" s="200">
        <f t="shared" si="6"/>
        <v>1.9100000000002226E-2</v>
      </c>
      <c r="K61" s="277">
        <f t="shared" si="7"/>
        <v>9.5166915794729583</v>
      </c>
      <c r="L61" s="200">
        <v>15</v>
      </c>
      <c r="M61" s="203">
        <v>43213</v>
      </c>
      <c r="N61" s="203">
        <v>43213</v>
      </c>
      <c r="AB61" s="110"/>
      <c r="AC61" s="110"/>
      <c r="AD61" s="110"/>
      <c r="AE61" s="110"/>
    </row>
    <row r="62" spans="1:31">
      <c r="A62" s="200" t="s">
        <v>1625</v>
      </c>
      <c r="C62" s="200">
        <v>169</v>
      </c>
      <c r="D62" s="200">
        <v>0.4572</v>
      </c>
      <c r="E62" s="200">
        <v>9.3218999999999994</v>
      </c>
      <c r="F62" s="201">
        <v>0.20080000000000001</v>
      </c>
      <c r="G62" s="200">
        <f t="shared" si="4"/>
        <v>9.5226999999999986</v>
      </c>
      <c r="H62" s="200">
        <v>9.3447999999999993</v>
      </c>
      <c r="I62" s="196">
        <f t="shared" si="5"/>
        <v>0.17789999999999928</v>
      </c>
      <c r="J62" s="200">
        <f t="shared" si="6"/>
        <v>2.2900000000000725E-2</v>
      </c>
      <c r="K62" s="277">
        <f t="shared" si="7"/>
        <v>11.404382470119883</v>
      </c>
      <c r="L62" s="200">
        <v>23</v>
      </c>
      <c r="M62" s="204">
        <v>43187</v>
      </c>
      <c r="N62" s="204">
        <v>43187</v>
      </c>
      <c r="O62" s="200"/>
      <c r="P62" s="200"/>
      <c r="AB62" s="110"/>
      <c r="AC62" s="110"/>
      <c r="AD62" s="110"/>
      <c r="AE62" s="110"/>
    </row>
    <row r="63" spans="1:31">
      <c r="A63" s="196" t="s">
        <v>1621</v>
      </c>
      <c r="C63" s="196">
        <v>167</v>
      </c>
      <c r="D63" s="196">
        <v>0.48499999999999999</v>
      </c>
      <c r="E63" s="201">
        <v>10.202</v>
      </c>
      <c r="F63" s="201">
        <v>0.2014</v>
      </c>
      <c r="G63" s="200">
        <f t="shared" si="4"/>
        <v>10.4034</v>
      </c>
      <c r="H63" s="200">
        <v>10.218999999999999</v>
      </c>
      <c r="I63" s="200">
        <f t="shared" si="5"/>
        <v>0.18440000000000012</v>
      </c>
      <c r="J63" s="200">
        <f t="shared" si="6"/>
        <v>1.6999999999999876E-2</v>
      </c>
      <c r="K63" s="277">
        <f t="shared" si="7"/>
        <v>8.4409136047665729</v>
      </c>
      <c r="L63" s="200">
        <v>36</v>
      </c>
      <c r="AB63" s="110"/>
      <c r="AC63" s="110"/>
      <c r="AD63" s="110"/>
      <c r="AE63" s="110"/>
    </row>
    <row r="64" spans="1:31">
      <c r="A64" s="200" t="s">
        <v>1617</v>
      </c>
      <c r="C64" s="200">
        <v>170</v>
      </c>
      <c r="D64" s="200">
        <v>0.44679999999999997</v>
      </c>
      <c r="E64" s="200">
        <v>8.8449000000000009</v>
      </c>
      <c r="F64" s="201">
        <v>0.2014</v>
      </c>
      <c r="G64" s="200">
        <f t="shared" si="4"/>
        <v>9.0463000000000005</v>
      </c>
      <c r="H64" s="200">
        <v>8.8640000000000008</v>
      </c>
      <c r="I64" s="200">
        <f t="shared" si="5"/>
        <v>0.18229999999999968</v>
      </c>
      <c r="J64" s="200">
        <f t="shared" si="6"/>
        <v>1.9100000000000311E-2</v>
      </c>
      <c r="K64" s="277">
        <f t="shared" si="7"/>
        <v>9.4836146971203146</v>
      </c>
      <c r="L64" s="200">
        <v>4</v>
      </c>
      <c r="M64" s="204">
        <v>43187</v>
      </c>
      <c r="N64" s="204">
        <v>43187</v>
      </c>
      <c r="O64" s="200"/>
      <c r="P64" s="200"/>
      <c r="AB64" s="110"/>
      <c r="AC64" s="110"/>
      <c r="AD64" s="110"/>
      <c r="AE64" s="110"/>
    </row>
    <row r="65" spans="1:31">
      <c r="A65" s="196" t="s">
        <v>1614</v>
      </c>
      <c r="C65" s="196">
        <v>1</v>
      </c>
      <c r="D65" s="196">
        <v>0.28660000000000002</v>
      </c>
      <c r="E65" s="196">
        <v>9.9175000000000004</v>
      </c>
      <c r="F65" s="201">
        <v>0.20119999999999999</v>
      </c>
      <c r="G65" s="200">
        <f t="shared" si="4"/>
        <v>10.1187</v>
      </c>
      <c r="H65" s="200">
        <v>9.9732000000000003</v>
      </c>
      <c r="I65" s="200">
        <f t="shared" si="5"/>
        <v>0.14550000000000018</v>
      </c>
      <c r="J65" s="200">
        <f t="shared" si="6"/>
        <v>5.5699999999999805E-2</v>
      </c>
      <c r="K65" s="277">
        <f t="shared" si="7"/>
        <v>27.683896620278237</v>
      </c>
      <c r="L65" s="200">
        <v>11</v>
      </c>
      <c r="T65" s="203"/>
      <c r="U65" s="203"/>
      <c r="AB65" s="110"/>
      <c r="AC65" s="110"/>
      <c r="AD65" s="110"/>
      <c r="AE65" s="110"/>
    </row>
    <row r="66" spans="1:31">
      <c r="A66" s="205" t="s">
        <v>1613</v>
      </c>
      <c r="C66" s="200">
        <v>42</v>
      </c>
      <c r="D66" s="201">
        <v>0.42959999999999998</v>
      </c>
      <c r="E66" s="200">
        <v>8.0954999999999995</v>
      </c>
      <c r="F66" s="201">
        <v>0.2039</v>
      </c>
      <c r="G66" s="200">
        <f t="shared" ref="G66:G97" si="8">E66+F66</f>
        <v>8.2994000000000003</v>
      </c>
      <c r="H66" s="200">
        <v>8.1128999999999998</v>
      </c>
      <c r="I66" s="200">
        <f t="shared" ref="I66:I97" si="9">(G66-H66)</f>
        <v>0.18650000000000055</v>
      </c>
      <c r="J66" s="200">
        <f t="shared" ref="J66:J97" si="10">F66-I66</f>
        <v>1.7399999999999444E-2</v>
      </c>
      <c r="K66" s="277">
        <f t="shared" ref="K66:K97" si="11">(J66/F66)*100</f>
        <v>8.5335948994602457</v>
      </c>
      <c r="L66" s="200">
        <v>11</v>
      </c>
      <c r="M66" s="204">
        <v>43206</v>
      </c>
      <c r="N66" s="204">
        <v>43206</v>
      </c>
      <c r="O66" s="200"/>
      <c r="P66" s="200"/>
      <c r="AB66" s="110"/>
      <c r="AC66" s="110"/>
      <c r="AD66" s="110"/>
      <c r="AE66" s="110"/>
    </row>
    <row r="67" spans="1:31">
      <c r="A67" s="200" t="s">
        <v>1611</v>
      </c>
      <c r="C67" s="200">
        <v>172</v>
      </c>
      <c r="D67" s="200">
        <f>0.203+F67</f>
        <v>0.41049999999999998</v>
      </c>
      <c r="E67" s="201">
        <v>9.343</v>
      </c>
      <c r="F67" s="201">
        <v>0.20749999999999999</v>
      </c>
      <c r="G67" s="200">
        <f t="shared" si="8"/>
        <v>9.5504999999999995</v>
      </c>
      <c r="H67" s="200">
        <v>9.3618000000000006</v>
      </c>
      <c r="I67" s="200">
        <f t="shared" si="9"/>
        <v>0.18869999999999898</v>
      </c>
      <c r="J67" s="200">
        <f t="shared" si="10"/>
        <v>1.880000000000101E-2</v>
      </c>
      <c r="K67" s="277">
        <f t="shared" si="11"/>
        <v>9.0602409638559092</v>
      </c>
      <c r="L67" s="200">
        <v>19</v>
      </c>
      <c r="M67" s="204">
        <v>43174</v>
      </c>
      <c r="N67" s="204">
        <v>43174</v>
      </c>
      <c r="O67" s="200" t="s">
        <v>2540</v>
      </c>
      <c r="P67" s="200" t="s">
        <v>2535</v>
      </c>
      <c r="AB67" s="110"/>
      <c r="AC67" s="110"/>
      <c r="AD67" s="110"/>
      <c r="AE67" s="110"/>
    </row>
    <row r="68" spans="1:31">
      <c r="A68" s="196" t="s">
        <v>1610</v>
      </c>
      <c r="C68" s="200">
        <v>63</v>
      </c>
      <c r="D68" s="201">
        <v>0.72370000000000001</v>
      </c>
      <c r="E68" s="201">
        <v>10.0556</v>
      </c>
      <c r="F68" s="201">
        <v>0.20449999999999999</v>
      </c>
      <c r="G68" s="200">
        <f t="shared" si="8"/>
        <v>10.2601</v>
      </c>
      <c r="H68" s="200">
        <v>10.0848</v>
      </c>
      <c r="I68" s="200">
        <f t="shared" si="9"/>
        <v>0.17530000000000001</v>
      </c>
      <c r="J68" s="200">
        <f t="shared" si="10"/>
        <v>2.9199999999999976E-2</v>
      </c>
      <c r="K68" s="277">
        <f t="shared" si="11"/>
        <v>14.278728606356959</v>
      </c>
      <c r="L68" s="200">
        <v>7</v>
      </c>
      <c r="M68" s="200"/>
      <c r="N68" s="200"/>
      <c r="O68" s="200"/>
      <c r="P68" s="200"/>
      <c r="AB68" s="110"/>
      <c r="AC68" s="110"/>
      <c r="AD68" s="110"/>
      <c r="AE68" s="110"/>
    </row>
    <row r="69" spans="1:31">
      <c r="A69" s="200" t="s">
        <v>1609</v>
      </c>
      <c r="C69" s="200">
        <v>85</v>
      </c>
      <c r="D69" s="200">
        <v>0.73919999999999997</v>
      </c>
      <c r="E69" s="201">
        <v>9.0315999999999992</v>
      </c>
      <c r="F69" s="201">
        <v>0.20180000000000001</v>
      </c>
      <c r="G69" s="200">
        <f t="shared" si="8"/>
        <v>9.2333999999999996</v>
      </c>
      <c r="H69" s="200">
        <v>9.0549999999999997</v>
      </c>
      <c r="I69" s="200">
        <f t="shared" si="9"/>
        <v>0.17839999999999989</v>
      </c>
      <c r="J69" s="200">
        <f t="shared" si="10"/>
        <v>2.3400000000000115E-2</v>
      </c>
      <c r="K69" s="277">
        <f t="shared" si="11"/>
        <v>11.595639246779045</v>
      </c>
      <c r="L69" s="200">
        <v>42</v>
      </c>
      <c r="M69" s="206">
        <v>43186.458333333336</v>
      </c>
      <c r="N69" s="206">
        <v>43186.625</v>
      </c>
      <c r="O69" s="196" t="s">
        <v>2534</v>
      </c>
      <c r="P69" s="200"/>
      <c r="AB69" s="110"/>
      <c r="AC69" s="110"/>
      <c r="AD69" s="110"/>
      <c r="AE69" s="110"/>
    </row>
    <row r="70" spans="1:31">
      <c r="A70" s="196" t="s">
        <v>1608</v>
      </c>
      <c r="C70" s="196">
        <v>162</v>
      </c>
      <c r="D70" s="196">
        <v>0.47949999999999998</v>
      </c>
      <c r="E70" s="200">
        <v>9.6789000000000005</v>
      </c>
      <c r="F70" s="201">
        <v>0.2021</v>
      </c>
      <c r="G70" s="200">
        <f t="shared" si="8"/>
        <v>9.8810000000000002</v>
      </c>
      <c r="H70" s="200">
        <v>9.6943000000000001</v>
      </c>
      <c r="I70" s="200">
        <f t="shared" si="9"/>
        <v>0.18670000000000009</v>
      </c>
      <c r="J70" s="200">
        <f t="shared" si="10"/>
        <v>1.5399999999999914E-2</v>
      </c>
      <c r="K70" s="277">
        <f t="shared" si="11"/>
        <v>7.6199901039089131</v>
      </c>
      <c r="L70" s="200">
        <v>10</v>
      </c>
      <c r="M70" s="203">
        <v>43212</v>
      </c>
      <c r="AB70" s="110"/>
      <c r="AC70" s="110"/>
      <c r="AD70" s="110"/>
      <c r="AE70" s="110"/>
    </row>
    <row r="71" spans="1:31">
      <c r="A71" s="205" t="s">
        <v>1607</v>
      </c>
      <c r="C71" s="200">
        <v>167</v>
      </c>
      <c r="D71" s="200">
        <v>0.51249999999999996</v>
      </c>
      <c r="E71" s="200">
        <v>10.1244</v>
      </c>
      <c r="F71" s="201">
        <v>0.20119999999999999</v>
      </c>
      <c r="G71" s="200">
        <f t="shared" si="8"/>
        <v>10.3256</v>
      </c>
      <c r="H71" s="200">
        <v>10.1416</v>
      </c>
      <c r="I71" s="200">
        <f t="shared" si="9"/>
        <v>0.18399999999999928</v>
      </c>
      <c r="J71" s="200">
        <f t="shared" si="10"/>
        <v>1.7200000000000715E-2</v>
      </c>
      <c r="K71" s="277">
        <f t="shared" si="11"/>
        <v>8.5487077534794818</v>
      </c>
      <c r="L71" s="200">
        <v>31</v>
      </c>
      <c r="M71" s="204">
        <v>43211</v>
      </c>
      <c r="AB71" s="110"/>
      <c r="AC71" s="110"/>
      <c r="AD71" s="110"/>
      <c r="AE71" s="110"/>
    </row>
    <row r="72" spans="1:31">
      <c r="A72" s="196" t="s">
        <v>1605</v>
      </c>
      <c r="C72" s="196">
        <v>62</v>
      </c>
      <c r="D72" s="196">
        <v>0.59640000000000004</v>
      </c>
      <c r="E72" s="196">
        <v>7.9943999999999997</v>
      </c>
      <c r="F72" s="196">
        <v>0.1978</v>
      </c>
      <c r="G72" s="196">
        <f t="shared" si="8"/>
        <v>8.1921999999999997</v>
      </c>
      <c r="H72" s="196">
        <v>8.0189000000000004</v>
      </c>
      <c r="I72" s="196">
        <f t="shared" si="9"/>
        <v>0.17329999999999934</v>
      </c>
      <c r="J72" s="200">
        <f t="shared" si="10"/>
        <v>2.450000000000066E-2</v>
      </c>
      <c r="K72" s="277">
        <f t="shared" si="11"/>
        <v>12.3862487360974</v>
      </c>
      <c r="L72" s="196">
        <v>46</v>
      </c>
      <c r="M72" s="196" t="s">
        <v>2570</v>
      </c>
      <c r="N72" s="196" t="s">
        <v>2569</v>
      </c>
      <c r="O72" s="196" t="s">
        <v>2534</v>
      </c>
      <c r="AB72" s="110"/>
      <c r="AC72" s="110"/>
      <c r="AD72" s="110"/>
      <c r="AE72" s="110"/>
    </row>
    <row r="73" spans="1:31">
      <c r="A73" s="196" t="s">
        <v>1604</v>
      </c>
      <c r="C73" s="197">
        <v>78</v>
      </c>
      <c r="D73" s="196">
        <v>0.58260000000000001</v>
      </c>
      <c r="E73" s="201">
        <v>10.1439</v>
      </c>
      <c r="F73" s="201">
        <v>0.2001</v>
      </c>
      <c r="G73" s="200">
        <f t="shared" si="8"/>
        <v>10.344000000000001</v>
      </c>
      <c r="H73" s="200">
        <v>10.1632</v>
      </c>
      <c r="I73" s="200">
        <f t="shared" si="9"/>
        <v>0.1808000000000014</v>
      </c>
      <c r="J73" s="200">
        <f t="shared" si="10"/>
        <v>1.9299999999998596E-2</v>
      </c>
      <c r="K73" s="277">
        <f t="shared" si="11"/>
        <v>9.6451774112936519</v>
      </c>
      <c r="L73" s="200">
        <v>33</v>
      </c>
      <c r="M73" s="203">
        <v>43221</v>
      </c>
      <c r="N73" s="203">
        <v>43221</v>
      </c>
      <c r="AB73" s="110"/>
      <c r="AC73" s="110"/>
      <c r="AD73" s="110"/>
      <c r="AE73" s="110"/>
    </row>
    <row r="74" spans="1:31">
      <c r="A74" s="196" t="s">
        <v>1603</v>
      </c>
      <c r="C74" s="197">
        <v>6</v>
      </c>
      <c r="D74" s="196">
        <v>0.48459999999999998</v>
      </c>
      <c r="E74" s="201">
        <v>7.8593999999999999</v>
      </c>
      <c r="F74" s="201">
        <v>0.1996</v>
      </c>
      <c r="G74" s="200">
        <f t="shared" si="8"/>
        <v>8.0589999999999993</v>
      </c>
      <c r="H74" s="200">
        <v>7.8822999999999999</v>
      </c>
      <c r="I74" s="200">
        <f t="shared" si="9"/>
        <v>0.17669999999999941</v>
      </c>
      <c r="J74" s="200">
        <f t="shared" si="10"/>
        <v>2.2900000000000587E-2</v>
      </c>
      <c r="K74" s="277">
        <f t="shared" si="11"/>
        <v>11.472945891783862</v>
      </c>
      <c r="L74" s="200">
        <v>17</v>
      </c>
      <c r="AB74" s="110"/>
      <c r="AC74" s="110"/>
      <c r="AD74" s="110"/>
      <c r="AE74" s="110"/>
    </row>
    <row r="75" spans="1:31">
      <c r="A75" s="196" t="s">
        <v>1601</v>
      </c>
      <c r="C75" s="197">
        <v>27</v>
      </c>
      <c r="D75" s="196">
        <v>0.5333</v>
      </c>
      <c r="E75" s="201">
        <v>7.7735000000000003</v>
      </c>
      <c r="F75" s="201">
        <v>0.2001</v>
      </c>
      <c r="G75" s="200">
        <f t="shared" si="8"/>
        <v>7.9736000000000002</v>
      </c>
      <c r="H75" s="200">
        <v>7.7944000000000004</v>
      </c>
      <c r="I75" s="200">
        <f t="shared" si="9"/>
        <v>0.1791999999999998</v>
      </c>
      <c r="J75" s="200">
        <f t="shared" si="10"/>
        <v>2.0900000000000196E-2</v>
      </c>
      <c r="K75" s="277">
        <f t="shared" si="11"/>
        <v>10.444777611194501</v>
      </c>
      <c r="L75" s="200">
        <v>34</v>
      </c>
      <c r="M75" s="203">
        <v>43221</v>
      </c>
      <c r="N75" s="203">
        <v>43221</v>
      </c>
      <c r="AB75" s="110"/>
      <c r="AC75" s="110"/>
      <c r="AD75" s="110"/>
      <c r="AE75" s="110"/>
    </row>
    <row r="76" spans="1:31">
      <c r="A76" s="196" t="s">
        <v>1600</v>
      </c>
      <c r="C76" s="196">
        <v>67</v>
      </c>
      <c r="D76" s="196">
        <v>0.65029999999999999</v>
      </c>
      <c r="E76" s="196">
        <v>9.3425999999999991</v>
      </c>
      <c r="F76" s="196">
        <v>0.2049</v>
      </c>
      <c r="G76" s="196">
        <f t="shared" si="8"/>
        <v>9.5474999999999994</v>
      </c>
      <c r="H76" s="196">
        <v>9.3710000000000004</v>
      </c>
      <c r="I76" s="196">
        <f t="shared" si="9"/>
        <v>0.17649999999999899</v>
      </c>
      <c r="J76" s="200">
        <f t="shared" si="10"/>
        <v>2.8400000000001008E-2</v>
      </c>
      <c r="K76" s="277">
        <f t="shared" si="11"/>
        <v>13.860419716935581</v>
      </c>
      <c r="L76" s="196">
        <v>3</v>
      </c>
      <c r="M76" s="196" t="s">
        <v>2564</v>
      </c>
      <c r="N76" s="196" t="s">
        <v>2563</v>
      </c>
      <c r="O76" s="196" t="s">
        <v>2540</v>
      </c>
      <c r="AB76" s="110"/>
      <c r="AC76" s="110"/>
      <c r="AD76" s="110"/>
      <c r="AE76" s="110"/>
    </row>
    <row r="77" spans="1:31">
      <c r="A77" s="196" t="s">
        <v>1599</v>
      </c>
      <c r="C77" s="196">
        <v>179</v>
      </c>
      <c r="D77" s="196">
        <v>0.43290000000000001</v>
      </c>
      <c r="E77" s="201">
        <v>9.0517000000000003</v>
      </c>
      <c r="F77" s="201">
        <v>0.2079</v>
      </c>
      <c r="G77" s="200">
        <f t="shared" si="8"/>
        <v>9.2596000000000007</v>
      </c>
      <c r="H77" s="200">
        <v>9.0702999999999996</v>
      </c>
      <c r="I77" s="200">
        <f t="shared" si="9"/>
        <v>0.18930000000000113</v>
      </c>
      <c r="J77" s="200">
        <f t="shared" si="10"/>
        <v>1.8599999999998867E-2</v>
      </c>
      <c r="K77" s="277">
        <f t="shared" si="11"/>
        <v>8.9466089466084018</v>
      </c>
      <c r="L77" s="200">
        <v>18</v>
      </c>
      <c r="AB77" s="110"/>
      <c r="AC77" s="110"/>
      <c r="AD77" s="110"/>
      <c r="AE77" s="110"/>
    </row>
    <row r="78" spans="1:31">
      <c r="A78" s="200" t="s">
        <v>1598</v>
      </c>
      <c r="C78" s="200">
        <v>7</v>
      </c>
      <c r="D78" s="200">
        <v>0.46970000000000001</v>
      </c>
      <c r="E78" s="201">
        <v>11.0025</v>
      </c>
      <c r="F78" s="201">
        <v>0.19969999999999999</v>
      </c>
      <c r="G78" s="200">
        <f t="shared" si="8"/>
        <v>11.202199999999999</v>
      </c>
      <c r="H78" s="200">
        <v>11.0252</v>
      </c>
      <c r="I78" s="200">
        <f t="shared" si="9"/>
        <v>0.1769999999999996</v>
      </c>
      <c r="J78" s="200">
        <f t="shared" si="10"/>
        <v>2.2700000000000387E-2</v>
      </c>
      <c r="K78" s="277">
        <f t="shared" si="11"/>
        <v>11.36705057586399</v>
      </c>
      <c r="L78" s="200">
        <v>5</v>
      </c>
      <c r="M78" s="206">
        <v>43185.385416666664</v>
      </c>
      <c r="N78" s="200"/>
      <c r="O78" s="200" t="s">
        <v>2540</v>
      </c>
      <c r="P78" s="200"/>
      <c r="AB78" s="110"/>
      <c r="AC78" s="110"/>
      <c r="AD78" s="110"/>
      <c r="AE78" s="110"/>
    </row>
    <row r="79" spans="1:31">
      <c r="A79" s="200" t="s">
        <v>1597</v>
      </c>
      <c r="C79" s="200">
        <v>41</v>
      </c>
      <c r="D79" s="201">
        <v>0.82640000000000002</v>
      </c>
      <c r="E79" s="200">
        <v>8.1179000000000006</v>
      </c>
      <c r="F79" s="201">
        <v>0.20219999999999999</v>
      </c>
      <c r="G79" s="200">
        <f t="shared" si="8"/>
        <v>8.3201000000000001</v>
      </c>
      <c r="H79" s="200">
        <v>8.1584000000000003</v>
      </c>
      <c r="I79" s="200">
        <f t="shared" si="9"/>
        <v>0.16169999999999973</v>
      </c>
      <c r="J79" s="200">
        <f t="shared" si="10"/>
        <v>4.0500000000000258E-2</v>
      </c>
      <c r="K79" s="277">
        <f t="shared" si="11"/>
        <v>20.029673590504579</v>
      </c>
      <c r="L79" s="200">
        <v>32</v>
      </c>
      <c r="M79" s="200"/>
      <c r="N79" s="200"/>
      <c r="O79" s="200"/>
      <c r="P79" s="200"/>
      <c r="AB79" s="110"/>
      <c r="AC79" s="110"/>
      <c r="AD79" s="110"/>
      <c r="AE79" s="110"/>
    </row>
    <row r="80" spans="1:31">
      <c r="A80" s="201" t="s">
        <v>1596</v>
      </c>
      <c r="C80" s="200">
        <v>176</v>
      </c>
      <c r="D80" s="200">
        <v>0.46539999999999981</v>
      </c>
      <c r="E80" s="200">
        <v>9.1382999999999992</v>
      </c>
      <c r="F80" s="200">
        <v>0.20399999999999999</v>
      </c>
      <c r="G80" s="200">
        <f t="shared" si="8"/>
        <v>9.3422999999999998</v>
      </c>
      <c r="H80" s="200">
        <v>9.1598000000000006</v>
      </c>
      <c r="I80" s="200">
        <f t="shared" si="9"/>
        <v>0.18249999999999922</v>
      </c>
      <c r="J80" s="200">
        <f t="shared" si="10"/>
        <v>2.1500000000000768E-2</v>
      </c>
      <c r="K80" s="277">
        <f t="shared" si="11"/>
        <v>10.539215686274888</v>
      </c>
      <c r="L80" s="200">
        <v>19</v>
      </c>
      <c r="M80" s="204">
        <v>43173</v>
      </c>
      <c r="N80" s="204">
        <v>43173</v>
      </c>
      <c r="O80" s="200" t="s">
        <v>2540</v>
      </c>
      <c r="P80" s="200" t="s">
        <v>2539</v>
      </c>
      <c r="AB80" s="110"/>
      <c r="AC80" s="110"/>
      <c r="AD80" s="110"/>
      <c r="AE80" s="110"/>
    </row>
    <row r="81" spans="1:31">
      <c r="A81" s="196" t="s">
        <v>1594</v>
      </c>
      <c r="C81" s="196">
        <v>23</v>
      </c>
      <c r="D81" s="196">
        <v>0.51790000000000003</v>
      </c>
      <c r="E81" s="196">
        <v>8.7737999999999996</v>
      </c>
      <c r="F81" s="196">
        <v>0.1953</v>
      </c>
      <c r="G81" s="196">
        <f t="shared" si="8"/>
        <v>8.9690999999999992</v>
      </c>
      <c r="H81" s="196">
        <v>8.7844999999999995</v>
      </c>
      <c r="I81" s="196">
        <f t="shared" si="9"/>
        <v>0.18459999999999965</v>
      </c>
      <c r="J81" s="200">
        <f t="shared" si="10"/>
        <v>1.0700000000000348E-2</v>
      </c>
      <c r="K81" s="277">
        <f t="shared" si="11"/>
        <v>5.4787506400411408</v>
      </c>
      <c r="L81" s="196">
        <v>22</v>
      </c>
      <c r="M81" s="196" t="s">
        <v>2570</v>
      </c>
      <c r="N81" s="196" t="s">
        <v>2569</v>
      </c>
      <c r="O81" s="196" t="s">
        <v>2534</v>
      </c>
      <c r="AB81" s="110"/>
      <c r="AC81" s="110"/>
      <c r="AD81" s="110"/>
      <c r="AE81" s="110"/>
    </row>
    <row r="82" spans="1:31">
      <c r="A82" s="201" t="s">
        <v>1593</v>
      </c>
      <c r="C82" s="200">
        <v>175</v>
      </c>
      <c r="D82" s="200">
        <v>0.49159999999999987</v>
      </c>
      <c r="E82" s="200">
        <v>7.8007</v>
      </c>
      <c r="F82" s="200">
        <v>0.20119999999999999</v>
      </c>
      <c r="G82" s="200">
        <f t="shared" si="8"/>
        <v>8.0018999999999991</v>
      </c>
      <c r="H82" s="200">
        <v>7.8201999999999998</v>
      </c>
      <c r="I82" s="200">
        <f t="shared" si="9"/>
        <v>0.18169999999999931</v>
      </c>
      <c r="J82" s="200">
        <f t="shared" si="10"/>
        <v>1.9500000000000683E-2</v>
      </c>
      <c r="K82" s="277">
        <f t="shared" si="11"/>
        <v>9.6918489065609759</v>
      </c>
      <c r="L82" s="200">
        <v>1</v>
      </c>
      <c r="M82" s="204">
        <v>43173</v>
      </c>
      <c r="N82" s="204">
        <v>43173</v>
      </c>
      <c r="O82" s="200" t="s">
        <v>2540</v>
      </c>
      <c r="P82" s="200"/>
      <c r="AB82" s="110"/>
      <c r="AC82" s="110"/>
      <c r="AD82" s="110"/>
      <c r="AE82" s="110"/>
    </row>
    <row r="83" spans="1:31">
      <c r="A83" s="196" t="s">
        <v>1592</v>
      </c>
      <c r="C83" s="197">
        <v>181</v>
      </c>
      <c r="D83" s="196">
        <v>0.4042</v>
      </c>
      <c r="E83" s="196">
        <v>10.6159</v>
      </c>
      <c r="F83" s="201">
        <v>0.20250000000000001</v>
      </c>
      <c r="G83" s="200">
        <f t="shared" si="8"/>
        <v>10.8184</v>
      </c>
      <c r="H83" s="200">
        <v>10.634399999999999</v>
      </c>
      <c r="I83" s="200">
        <f t="shared" si="9"/>
        <v>0.18400000000000105</v>
      </c>
      <c r="J83" s="200">
        <f t="shared" si="10"/>
        <v>1.8499999999998962E-2</v>
      </c>
      <c r="K83" s="277">
        <f t="shared" si="11"/>
        <v>9.1358024691352888</v>
      </c>
      <c r="L83" s="200">
        <v>9</v>
      </c>
      <c r="AB83" s="110"/>
      <c r="AC83" s="110"/>
      <c r="AD83" s="110"/>
      <c r="AE83" s="110"/>
    </row>
    <row r="84" spans="1:31">
      <c r="A84" s="196" t="s">
        <v>1591</v>
      </c>
      <c r="C84" s="197">
        <v>71</v>
      </c>
      <c r="D84" s="196">
        <v>0.68149999999999999</v>
      </c>
      <c r="E84" s="200">
        <v>11.0892</v>
      </c>
      <c r="F84" s="201">
        <v>0.2064</v>
      </c>
      <c r="G84" s="200">
        <f t="shared" si="8"/>
        <v>11.2956</v>
      </c>
      <c r="H84" s="200">
        <v>11.1052</v>
      </c>
      <c r="I84" s="200">
        <f t="shared" si="9"/>
        <v>0.19040000000000035</v>
      </c>
      <c r="J84" s="200">
        <f t="shared" si="10"/>
        <v>1.5999999999999653E-2</v>
      </c>
      <c r="K84" s="277">
        <f t="shared" si="11"/>
        <v>7.7519379844959557</v>
      </c>
      <c r="L84" s="200">
        <v>9</v>
      </c>
      <c r="M84" s="203">
        <v>43213</v>
      </c>
      <c r="N84" s="203">
        <v>43213</v>
      </c>
      <c r="AB84" s="110"/>
      <c r="AC84" s="110"/>
      <c r="AD84" s="110"/>
      <c r="AE84" s="110"/>
    </row>
    <row r="85" spans="1:31">
      <c r="A85" s="196" t="s">
        <v>1590</v>
      </c>
      <c r="C85" s="197">
        <v>78</v>
      </c>
      <c r="D85" s="196">
        <v>0.69499999999999995</v>
      </c>
      <c r="E85" s="200">
        <v>10.9214</v>
      </c>
      <c r="F85" s="201">
        <v>0.2006</v>
      </c>
      <c r="G85" s="200">
        <f t="shared" si="8"/>
        <v>11.122</v>
      </c>
      <c r="H85" s="200">
        <v>10.941599999999999</v>
      </c>
      <c r="I85" s="200">
        <f t="shared" si="9"/>
        <v>0.18040000000000056</v>
      </c>
      <c r="J85" s="200">
        <f t="shared" si="10"/>
        <v>2.0199999999999441E-2</v>
      </c>
      <c r="K85" s="277">
        <f t="shared" si="11"/>
        <v>10.069790628115374</v>
      </c>
      <c r="L85" s="200">
        <v>7</v>
      </c>
      <c r="M85" s="203">
        <v>43213</v>
      </c>
      <c r="N85" s="203">
        <v>43213</v>
      </c>
      <c r="AB85" s="110"/>
      <c r="AC85" s="110"/>
      <c r="AD85" s="110"/>
      <c r="AE85" s="110"/>
    </row>
    <row r="86" spans="1:31">
      <c r="A86" s="205" t="s">
        <v>1589</v>
      </c>
      <c r="C86" s="200">
        <v>168</v>
      </c>
      <c r="D86" s="200">
        <v>0.5857</v>
      </c>
      <c r="E86" s="201">
        <v>9.8872999999999998</v>
      </c>
      <c r="F86" s="201">
        <v>0.20119999999999999</v>
      </c>
      <c r="G86" s="200">
        <f t="shared" si="8"/>
        <v>10.0885</v>
      </c>
      <c r="H86" s="200">
        <v>9.9053000000000004</v>
      </c>
      <c r="I86" s="200">
        <f t="shared" si="9"/>
        <v>0.18319999999999936</v>
      </c>
      <c r="J86" s="200">
        <f t="shared" si="10"/>
        <v>1.8000000000000627E-2</v>
      </c>
      <c r="K86" s="277">
        <f t="shared" si="11"/>
        <v>8.9463220675947444</v>
      </c>
      <c r="L86" s="200">
        <v>13</v>
      </c>
      <c r="M86" s="206">
        <v>43185.385416666664</v>
      </c>
      <c r="N86" s="200"/>
      <c r="O86" s="200" t="s">
        <v>2540</v>
      </c>
      <c r="P86" s="200"/>
      <c r="AB86" s="110"/>
      <c r="AC86" s="110"/>
      <c r="AD86" s="110"/>
      <c r="AE86" s="110"/>
    </row>
    <row r="87" spans="1:31">
      <c r="A87" s="205" t="s">
        <v>1588</v>
      </c>
      <c r="C87" s="200">
        <v>198</v>
      </c>
      <c r="D87" s="200">
        <v>0.52729999999999999</v>
      </c>
      <c r="E87" s="200">
        <v>7.8711000000000002</v>
      </c>
      <c r="F87" s="200">
        <v>0.20219999999999999</v>
      </c>
      <c r="G87" s="200">
        <f t="shared" si="8"/>
        <v>8.0732999999999997</v>
      </c>
      <c r="H87" s="200">
        <v>7.8887999999999998</v>
      </c>
      <c r="I87" s="200">
        <f t="shared" si="9"/>
        <v>0.18449999999999989</v>
      </c>
      <c r="J87" s="200">
        <f t="shared" si="10"/>
        <v>1.7700000000000105E-2</v>
      </c>
      <c r="K87" s="277">
        <f t="shared" si="11"/>
        <v>8.7537091988131088</v>
      </c>
      <c r="L87" s="200">
        <v>23</v>
      </c>
      <c r="M87" s="202">
        <v>43164.628472222219</v>
      </c>
      <c r="N87" s="202">
        <v>43164.795138888891</v>
      </c>
      <c r="O87" s="196" t="s">
        <v>2534</v>
      </c>
      <c r="P87" s="200"/>
      <c r="AB87" s="110"/>
      <c r="AC87" s="110"/>
      <c r="AD87" s="110"/>
      <c r="AE87" s="110"/>
    </row>
    <row r="88" spans="1:31">
      <c r="A88" s="200" t="s">
        <v>1581</v>
      </c>
      <c r="C88" s="200">
        <v>89</v>
      </c>
      <c r="D88" s="200">
        <v>1.1642999999999999</v>
      </c>
      <c r="E88" s="200">
        <v>8.1176999999999992</v>
      </c>
      <c r="F88" s="201">
        <v>0.2046</v>
      </c>
      <c r="G88" s="200">
        <f t="shared" si="8"/>
        <v>8.3222999999999985</v>
      </c>
      <c r="H88" s="200">
        <v>8.2159999999999993</v>
      </c>
      <c r="I88" s="200">
        <f t="shared" si="9"/>
        <v>0.10629999999999917</v>
      </c>
      <c r="J88" s="200">
        <f t="shared" si="10"/>
        <v>9.8300000000000831E-2</v>
      </c>
      <c r="K88" s="277">
        <f t="shared" si="11"/>
        <v>48.044965786901678</v>
      </c>
      <c r="L88" s="200">
        <v>6</v>
      </c>
      <c r="M88" s="204">
        <v>43187</v>
      </c>
      <c r="N88" s="204">
        <v>43187</v>
      </c>
      <c r="O88" s="200"/>
      <c r="P88" s="200"/>
      <c r="AB88" s="110"/>
      <c r="AC88" s="110"/>
      <c r="AD88" s="110"/>
      <c r="AE88" s="110"/>
    </row>
    <row r="89" spans="1:31">
      <c r="A89" s="201" t="s">
        <v>1580</v>
      </c>
      <c r="C89" s="200">
        <v>176</v>
      </c>
      <c r="D89" s="200">
        <v>0.42199999999999993</v>
      </c>
      <c r="E89" s="200">
        <v>8.1182999999999996</v>
      </c>
      <c r="F89" s="200">
        <v>0.1956</v>
      </c>
      <c r="G89" s="200">
        <f t="shared" si="8"/>
        <v>8.3139000000000003</v>
      </c>
      <c r="H89" s="200">
        <v>8.1365999999999996</v>
      </c>
      <c r="I89" s="200">
        <f t="shared" si="9"/>
        <v>0.17730000000000068</v>
      </c>
      <c r="J89" s="200">
        <f t="shared" si="10"/>
        <v>1.8299999999999317E-2</v>
      </c>
      <c r="K89" s="277">
        <f t="shared" si="11"/>
        <v>9.3558282208585464</v>
      </c>
      <c r="L89" s="200">
        <v>18</v>
      </c>
      <c r="M89" s="204">
        <v>43173</v>
      </c>
      <c r="N89" s="204">
        <v>43173</v>
      </c>
      <c r="O89" s="200" t="s">
        <v>2540</v>
      </c>
      <c r="P89" s="200" t="s">
        <v>2539</v>
      </c>
      <c r="AB89" s="110"/>
      <c r="AC89" s="110"/>
      <c r="AD89" s="110"/>
      <c r="AE89" s="110"/>
    </row>
    <row r="90" spans="1:31">
      <c r="A90" s="201" t="s">
        <v>1578</v>
      </c>
      <c r="C90" s="200">
        <v>91</v>
      </c>
      <c r="D90" s="200">
        <v>0.51639999999999986</v>
      </c>
      <c r="E90" s="200">
        <v>8.0459999999999994</v>
      </c>
      <c r="F90" s="200">
        <v>0.19969999999999999</v>
      </c>
      <c r="G90" s="200">
        <f t="shared" si="8"/>
        <v>8.2456999999999994</v>
      </c>
      <c r="H90" s="200">
        <v>8.0721000000000007</v>
      </c>
      <c r="I90" s="200">
        <f t="shared" si="9"/>
        <v>0.17359999999999864</v>
      </c>
      <c r="J90" s="200">
        <f t="shared" si="10"/>
        <v>2.6100000000001344E-2</v>
      </c>
      <c r="K90" s="277">
        <f t="shared" si="11"/>
        <v>13.069604406610589</v>
      </c>
      <c r="L90" s="200">
        <v>5</v>
      </c>
      <c r="M90" s="204">
        <v>43173</v>
      </c>
      <c r="N90" s="204">
        <v>43173</v>
      </c>
      <c r="O90" s="200" t="s">
        <v>2540</v>
      </c>
      <c r="P90" s="200" t="s">
        <v>2539</v>
      </c>
      <c r="AB90" s="110"/>
      <c r="AC90" s="110"/>
      <c r="AD90" s="110"/>
      <c r="AE90" s="110"/>
    </row>
    <row r="91" spans="1:31">
      <c r="A91" s="196" t="s">
        <v>1576</v>
      </c>
      <c r="C91" s="196">
        <v>80</v>
      </c>
      <c r="D91" s="196">
        <v>0.7772</v>
      </c>
      <c r="E91" s="196">
        <v>7.8582000000000001</v>
      </c>
      <c r="F91" s="196">
        <v>0.20050000000000001</v>
      </c>
      <c r="G91" s="196">
        <f t="shared" si="8"/>
        <v>8.0587</v>
      </c>
      <c r="H91" s="196">
        <v>7.8699000000000003</v>
      </c>
      <c r="I91" s="196">
        <f t="shared" si="9"/>
        <v>0.18879999999999963</v>
      </c>
      <c r="J91" s="200">
        <f t="shared" si="10"/>
        <v>1.1700000000000377E-2</v>
      </c>
      <c r="K91" s="277">
        <f t="shared" si="11"/>
        <v>5.8354114713218834</v>
      </c>
      <c r="L91" s="196">
        <v>9</v>
      </c>
      <c r="M91" s="196" t="s">
        <v>2564</v>
      </c>
      <c r="N91" s="196" t="s">
        <v>2563</v>
      </c>
      <c r="O91" s="196" t="s">
        <v>2540</v>
      </c>
      <c r="AB91" s="110"/>
      <c r="AC91" s="110"/>
      <c r="AD91" s="110"/>
      <c r="AE91" s="110"/>
    </row>
    <row r="92" spans="1:31">
      <c r="A92" s="200" t="s">
        <v>1575</v>
      </c>
      <c r="C92" s="200">
        <v>81</v>
      </c>
      <c r="D92" s="201">
        <v>0.45200000000000001</v>
      </c>
      <c r="E92" s="201">
        <v>10.739000000000001</v>
      </c>
      <c r="F92" s="201">
        <v>0.20030000000000001</v>
      </c>
      <c r="G92" s="200">
        <f t="shared" si="8"/>
        <v>10.939300000000001</v>
      </c>
      <c r="H92" s="200">
        <v>10.7622</v>
      </c>
      <c r="I92" s="200">
        <f t="shared" si="9"/>
        <v>0.17710000000000115</v>
      </c>
      <c r="J92" s="200">
        <f t="shared" si="10"/>
        <v>2.319999999999886E-2</v>
      </c>
      <c r="K92" s="277">
        <f t="shared" si="11"/>
        <v>11.582626060908067</v>
      </c>
      <c r="L92" s="200">
        <v>31</v>
      </c>
      <c r="M92" s="202">
        <v>43181.645833333336</v>
      </c>
      <c r="N92" s="202">
        <v>43181.833333333336</v>
      </c>
      <c r="O92" s="200" t="s">
        <v>2540</v>
      </c>
      <c r="P92" s="200"/>
      <c r="AB92" s="110"/>
      <c r="AC92" s="110"/>
      <c r="AD92" s="110"/>
      <c r="AE92" s="110"/>
    </row>
    <row r="93" spans="1:31">
      <c r="A93" s="196" t="s">
        <v>1574</v>
      </c>
      <c r="C93" s="197">
        <v>9</v>
      </c>
      <c r="D93" s="196">
        <v>0.46850000000000003</v>
      </c>
      <c r="E93" s="201">
        <v>10.519600000000001</v>
      </c>
      <c r="F93" s="201">
        <v>0.2016</v>
      </c>
      <c r="G93" s="200">
        <f t="shared" si="8"/>
        <v>10.7212</v>
      </c>
      <c r="H93" s="200">
        <v>10.555999999999999</v>
      </c>
      <c r="I93" s="200">
        <f t="shared" si="9"/>
        <v>0.16520000000000046</v>
      </c>
      <c r="J93" s="200">
        <f t="shared" si="10"/>
        <v>3.6399999999999544E-2</v>
      </c>
      <c r="K93" s="277">
        <f t="shared" si="11"/>
        <v>18.05555555555533</v>
      </c>
      <c r="L93" s="200">
        <v>9</v>
      </c>
      <c r="M93" s="203">
        <v>43221</v>
      </c>
      <c r="N93" s="203">
        <v>43221</v>
      </c>
      <c r="AB93" s="110"/>
      <c r="AC93" s="110"/>
      <c r="AD93" s="110"/>
      <c r="AE93" s="110"/>
    </row>
    <row r="94" spans="1:31">
      <c r="A94" s="205" t="s">
        <v>1573</v>
      </c>
      <c r="C94" s="200">
        <v>68</v>
      </c>
      <c r="D94" s="200">
        <v>0.7016</v>
      </c>
      <c r="E94" s="201">
        <v>8.8606999999999996</v>
      </c>
      <c r="F94" s="201">
        <v>0.20250000000000001</v>
      </c>
      <c r="G94" s="200">
        <f t="shared" si="8"/>
        <v>9.0632000000000001</v>
      </c>
      <c r="H94" s="200">
        <v>8.8945000000000007</v>
      </c>
      <c r="I94" s="200">
        <f t="shared" si="9"/>
        <v>0.16869999999999941</v>
      </c>
      <c r="J94" s="200">
        <f t="shared" si="10"/>
        <v>3.3800000000000607E-2</v>
      </c>
      <c r="K94" s="277">
        <f t="shared" si="11"/>
        <v>16.691358024691656</v>
      </c>
      <c r="L94" s="200">
        <v>18</v>
      </c>
      <c r="M94" s="204">
        <v>43199</v>
      </c>
      <c r="N94" s="204">
        <v>43199</v>
      </c>
      <c r="O94" s="200"/>
      <c r="P94" s="200"/>
      <c r="AB94" s="110"/>
      <c r="AC94" s="110"/>
      <c r="AD94" s="110"/>
      <c r="AE94" s="110"/>
    </row>
    <row r="95" spans="1:31">
      <c r="A95" s="196" t="s">
        <v>1571</v>
      </c>
      <c r="C95" s="197">
        <v>96</v>
      </c>
      <c r="D95" s="196">
        <v>0.73119999999999996</v>
      </c>
      <c r="E95" s="201">
        <v>8.8449000000000009</v>
      </c>
      <c r="F95" s="201">
        <v>0.20250000000000001</v>
      </c>
      <c r="G95" s="200">
        <f t="shared" si="8"/>
        <v>9.0474000000000014</v>
      </c>
      <c r="H95" s="200">
        <v>8.8789999999999996</v>
      </c>
      <c r="I95" s="200">
        <f t="shared" si="9"/>
        <v>0.16840000000000188</v>
      </c>
      <c r="J95" s="200">
        <f t="shared" si="10"/>
        <v>3.4099999999998132E-2</v>
      </c>
      <c r="K95" s="277">
        <f t="shared" si="11"/>
        <v>16.839506172838583</v>
      </c>
      <c r="L95" s="200">
        <v>38</v>
      </c>
      <c r="AB95" s="110"/>
      <c r="AC95" s="110"/>
      <c r="AD95" s="110"/>
      <c r="AE95" s="110"/>
    </row>
    <row r="96" spans="1:31">
      <c r="A96" s="200" t="s">
        <v>1567</v>
      </c>
      <c r="C96" s="200">
        <v>177</v>
      </c>
      <c r="D96" s="200">
        <v>0.39500000000000002</v>
      </c>
      <c r="E96" s="200">
        <v>7.7146999999999997</v>
      </c>
      <c r="F96" s="201">
        <v>0.1996</v>
      </c>
      <c r="G96" s="200">
        <f t="shared" si="8"/>
        <v>7.9142999999999999</v>
      </c>
      <c r="H96" s="200">
        <v>7.7317</v>
      </c>
      <c r="I96" s="200">
        <f t="shared" si="9"/>
        <v>0.18259999999999987</v>
      </c>
      <c r="J96" s="200">
        <f t="shared" si="10"/>
        <v>1.7000000000000126E-2</v>
      </c>
      <c r="K96" s="277">
        <f t="shared" si="11"/>
        <v>8.5170340681363346</v>
      </c>
      <c r="L96" s="200">
        <v>38</v>
      </c>
      <c r="M96" s="204">
        <v>43187</v>
      </c>
      <c r="N96" s="204">
        <v>43187</v>
      </c>
      <c r="O96" s="200"/>
      <c r="P96" s="200"/>
      <c r="AB96" s="110"/>
      <c r="AC96" s="110"/>
      <c r="AD96" s="110"/>
      <c r="AE96" s="110"/>
    </row>
    <row r="97" spans="1:31">
      <c r="A97" s="200" t="s">
        <v>1564</v>
      </c>
      <c r="C97" s="200">
        <v>95</v>
      </c>
      <c r="D97" s="200">
        <f>0.4463+F97</f>
        <v>0.65189999999999992</v>
      </c>
      <c r="E97" s="201">
        <v>7.7142999999999997</v>
      </c>
      <c r="F97" s="201">
        <v>0.2056</v>
      </c>
      <c r="G97" s="200">
        <f t="shared" si="8"/>
        <v>7.9199000000000002</v>
      </c>
      <c r="H97" s="200">
        <v>7.7495000000000003</v>
      </c>
      <c r="I97" s="200">
        <f t="shared" si="9"/>
        <v>0.17039999999999988</v>
      </c>
      <c r="J97" s="200">
        <f t="shared" si="10"/>
        <v>3.520000000000012E-2</v>
      </c>
      <c r="K97" s="277">
        <f t="shared" si="11"/>
        <v>17.120622568093445</v>
      </c>
      <c r="L97" s="200">
        <v>17</v>
      </c>
      <c r="M97" s="204">
        <v>43174</v>
      </c>
      <c r="N97" s="204">
        <v>43174</v>
      </c>
      <c r="O97" s="200" t="s">
        <v>2540</v>
      </c>
      <c r="P97" s="200" t="s">
        <v>2535</v>
      </c>
      <c r="AB97" s="110"/>
      <c r="AC97" s="110"/>
      <c r="AD97" s="110"/>
      <c r="AE97" s="110"/>
    </row>
    <row r="98" spans="1:31">
      <c r="A98" s="200" t="s">
        <v>1561</v>
      </c>
      <c r="C98" s="200">
        <v>59</v>
      </c>
      <c r="D98" s="200">
        <v>0.69230000000000003</v>
      </c>
      <c r="E98" s="200">
        <v>9.8870000000000005</v>
      </c>
      <c r="F98" s="200">
        <v>0.20100000000000001</v>
      </c>
      <c r="G98" s="200">
        <f t="shared" ref="G98:G113" si="12">E98+F98</f>
        <v>10.088000000000001</v>
      </c>
      <c r="H98" s="200">
        <v>9.9093999999999998</v>
      </c>
      <c r="I98" s="200">
        <f t="shared" ref="I98:I113" si="13">(G98-H98)</f>
        <v>0.1786000000000012</v>
      </c>
      <c r="J98" s="200">
        <f t="shared" ref="J98:J113" si="14">F98-I98</f>
        <v>2.239999999999881E-2</v>
      </c>
      <c r="K98" s="277">
        <f t="shared" ref="K98:K113" si="15">(J98/F98)*100</f>
        <v>11.144278606964582</v>
      </c>
      <c r="L98" s="200">
        <v>4</v>
      </c>
      <c r="M98" s="204">
        <v>43188</v>
      </c>
      <c r="N98" s="204">
        <v>43188</v>
      </c>
      <c r="O98" s="200"/>
      <c r="P98" s="200"/>
      <c r="U98" s="201" t="s">
        <v>630</v>
      </c>
      <c r="V98" s="196">
        <v>0.72919999999999996</v>
      </c>
      <c r="W98" s="196">
        <f>(V98-$T$175+F96)</f>
        <v>0.92879999999999996</v>
      </c>
      <c r="AB98" s="110"/>
      <c r="AC98" s="110"/>
      <c r="AD98" s="110"/>
      <c r="AE98" s="110"/>
    </row>
    <row r="99" spans="1:31">
      <c r="A99" s="196" t="s">
        <v>1559</v>
      </c>
      <c r="C99" s="200">
        <v>219</v>
      </c>
      <c r="D99" s="200">
        <v>0.4577</v>
      </c>
      <c r="E99" s="200">
        <v>7.8586999999999998</v>
      </c>
      <c r="F99" s="200">
        <v>0.2044</v>
      </c>
      <c r="G99" s="200">
        <f t="shared" si="12"/>
        <v>8.0631000000000004</v>
      </c>
      <c r="H99" s="200">
        <v>7.8825000000000003</v>
      </c>
      <c r="I99" s="200">
        <f t="shared" si="13"/>
        <v>0.18060000000000009</v>
      </c>
      <c r="J99" s="200">
        <f t="shared" si="14"/>
        <v>2.3799999999999905E-2</v>
      </c>
      <c r="K99" s="277">
        <f t="shared" si="15"/>
        <v>11.643835616438309</v>
      </c>
      <c r="L99" s="200">
        <v>11</v>
      </c>
      <c r="M99" s="202">
        <v>43164.628472222219</v>
      </c>
      <c r="N99" s="202">
        <v>43164.795138888891</v>
      </c>
      <c r="O99" s="196" t="s">
        <v>2534</v>
      </c>
      <c r="P99" s="200"/>
      <c r="AB99" s="110"/>
      <c r="AC99" s="110"/>
      <c r="AD99" s="110"/>
      <c r="AE99" s="110"/>
    </row>
    <row r="100" spans="1:31">
      <c r="A100" s="196" t="s">
        <v>1558</v>
      </c>
      <c r="C100" s="196">
        <v>23</v>
      </c>
      <c r="D100" s="196">
        <v>0.55379999999999996</v>
      </c>
      <c r="E100" s="196">
        <v>8.2187999999999999</v>
      </c>
      <c r="F100" s="196">
        <v>0.19950000000000001</v>
      </c>
      <c r="G100" s="196">
        <f t="shared" si="12"/>
        <v>8.4183000000000003</v>
      </c>
      <c r="H100" s="196">
        <v>8.2416999999999998</v>
      </c>
      <c r="I100" s="196">
        <f t="shared" si="13"/>
        <v>0.17660000000000053</v>
      </c>
      <c r="J100" s="200">
        <f t="shared" si="14"/>
        <v>2.2899999999999476E-2</v>
      </c>
      <c r="K100" s="277">
        <f t="shared" si="15"/>
        <v>11.478696741854373</v>
      </c>
      <c r="L100" s="196">
        <v>23</v>
      </c>
      <c r="M100" s="196" t="s">
        <v>2570</v>
      </c>
      <c r="N100" s="196" t="s">
        <v>2569</v>
      </c>
      <c r="O100" s="196" t="s">
        <v>2534</v>
      </c>
      <c r="AB100" s="110"/>
      <c r="AC100" s="110"/>
      <c r="AD100" s="110"/>
      <c r="AE100" s="110"/>
    </row>
    <row r="101" spans="1:31">
      <c r="A101" s="200" t="s">
        <v>1556</v>
      </c>
      <c r="C101" s="200">
        <v>83</v>
      </c>
      <c r="D101" s="201">
        <v>0.66449999999999998</v>
      </c>
      <c r="E101" s="200">
        <v>9.3219999999999992</v>
      </c>
      <c r="F101" s="201">
        <v>0.20349999999999999</v>
      </c>
      <c r="G101" s="200">
        <f t="shared" si="12"/>
        <v>9.5254999999999992</v>
      </c>
      <c r="H101" s="200">
        <v>9.3597000000000001</v>
      </c>
      <c r="I101" s="200">
        <f t="shared" si="13"/>
        <v>0.16579999999999906</v>
      </c>
      <c r="J101" s="200">
        <f t="shared" si="14"/>
        <v>3.7700000000000927E-2</v>
      </c>
      <c r="K101" s="277">
        <f t="shared" si="15"/>
        <v>18.525798525798983</v>
      </c>
      <c r="L101" s="200">
        <v>4</v>
      </c>
      <c r="M101" s="204">
        <v>43206</v>
      </c>
      <c r="N101" s="204">
        <v>43206</v>
      </c>
      <c r="O101" s="200"/>
      <c r="P101" s="200"/>
      <c r="AB101" s="110"/>
      <c r="AC101" s="110"/>
      <c r="AD101" s="110"/>
      <c r="AE101" s="110"/>
    </row>
    <row r="102" spans="1:31">
      <c r="A102" s="200" t="s">
        <v>1554</v>
      </c>
      <c r="C102" s="200">
        <v>169</v>
      </c>
      <c r="D102" s="200">
        <v>0.37340000000000001</v>
      </c>
      <c r="E102" s="200">
        <v>11.0869</v>
      </c>
      <c r="F102" s="201">
        <v>0.20369999999999999</v>
      </c>
      <c r="G102" s="200">
        <f t="shared" si="12"/>
        <v>11.2906</v>
      </c>
      <c r="H102" s="200">
        <v>11.1061</v>
      </c>
      <c r="I102" s="196">
        <f t="shared" si="13"/>
        <v>0.18449999999999989</v>
      </c>
      <c r="J102" s="200">
        <f t="shared" si="14"/>
        <v>1.9200000000000106E-2</v>
      </c>
      <c r="K102" s="277">
        <f t="shared" si="15"/>
        <v>9.4256259204713331</v>
      </c>
      <c r="L102" s="200">
        <v>22</v>
      </c>
      <c r="M102" s="204">
        <v>43187</v>
      </c>
      <c r="N102" s="204">
        <v>43187</v>
      </c>
      <c r="O102" s="200"/>
      <c r="P102" s="200"/>
      <c r="AB102" s="110"/>
      <c r="AC102" s="110"/>
      <c r="AD102" s="110"/>
      <c r="AE102" s="110"/>
    </row>
    <row r="103" spans="1:31">
      <c r="A103" s="196" t="s">
        <v>1553</v>
      </c>
      <c r="C103" s="196">
        <v>5</v>
      </c>
      <c r="D103" s="196">
        <v>0.27200000000000002</v>
      </c>
      <c r="E103" s="201">
        <v>8.7027000000000001</v>
      </c>
      <c r="F103" s="201">
        <v>0.20880000000000001</v>
      </c>
      <c r="G103" s="200">
        <f t="shared" si="12"/>
        <v>8.9115000000000002</v>
      </c>
      <c r="H103" s="200">
        <v>8.7432999999999996</v>
      </c>
      <c r="I103" s="200">
        <f t="shared" si="13"/>
        <v>0.16820000000000057</v>
      </c>
      <c r="J103" s="200">
        <f t="shared" si="14"/>
        <v>4.0599999999999442E-2</v>
      </c>
      <c r="K103" s="277">
        <f t="shared" si="15"/>
        <v>19.444444444444176</v>
      </c>
      <c r="L103" s="200">
        <v>12</v>
      </c>
      <c r="M103" s="203">
        <v>43221</v>
      </c>
      <c r="N103" s="203">
        <v>43221</v>
      </c>
      <c r="AB103" s="110"/>
      <c r="AC103" s="110"/>
      <c r="AD103" s="110"/>
      <c r="AE103" s="110"/>
    </row>
    <row r="104" spans="1:31">
      <c r="A104" s="196" t="s">
        <v>1552</v>
      </c>
      <c r="C104" s="197">
        <v>73</v>
      </c>
      <c r="D104" s="196">
        <v>0.52549999999999997</v>
      </c>
      <c r="E104" s="200">
        <v>11.033200000000001</v>
      </c>
      <c r="F104" s="201">
        <v>0.19969999999999999</v>
      </c>
      <c r="G104" s="200">
        <f t="shared" si="12"/>
        <v>11.232900000000001</v>
      </c>
      <c r="H104" s="200">
        <v>11.0496</v>
      </c>
      <c r="I104" s="200">
        <f t="shared" si="13"/>
        <v>0.18330000000000091</v>
      </c>
      <c r="J104" s="200">
        <f t="shared" si="14"/>
        <v>1.6399999999999082E-2</v>
      </c>
      <c r="K104" s="277">
        <f t="shared" si="15"/>
        <v>8.2123184777161153</v>
      </c>
      <c r="L104" s="200">
        <v>6</v>
      </c>
      <c r="M104" s="203">
        <v>43213</v>
      </c>
      <c r="N104" s="203">
        <v>43213</v>
      </c>
      <c r="AB104" s="110"/>
      <c r="AC104" s="110"/>
      <c r="AD104" s="110"/>
      <c r="AE104" s="110"/>
    </row>
    <row r="105" spans="1:31">
      <c r="A105" s="205" t="s">
        <v>1551</v>
      </c>
      <c r="C105" s="200">
        <v>38</v>
      </c>
      <c r="D105" s="200">
        <v>0.53339999999999999</v>
      </c>
      <c r="E105" s="201">
        <v>7.0739999999999998</v>
      </c>
      <c r="F105" s="201">
        <v>0.20050000000000001</v>
      </c>
      <c r="G105" s="200">
        <f t="shared" si="12"/>
        <v>7.2744999999999997</v>
      </c>
      <c r="H105" s="200">
        <v>7.1116999999999999</v>
      </c>
      <c r="I105" s="200">
        <f t="shared" si="13"/>
        <v>0.16279999999999983</v>
      </c>
      <c r="J105" s="200">
        <f t="shared" si="14"/>
        <v>3.7700000000000178E-2</v>
      </c>
      <c r="K105" s="277">
        <f t="shared" si="15"/>
        <v>18.802992518703331</v>
      </c>
      <c r="L105" s="200">
        <v>29</v>
      </c>
      <c r="M105" s="204">
        <v>43188</v>
      </c>
      <c r="N105" s="204">
        <v>43188</v>
      </c>
      <c r="O105" s="200"/>
      <c r="P105" s="200"/>
      <c r="AB105" s="110"/>
      <c r="AC105" s="110"/>
      <c r="AD105" s="110"/>
      <c r="AE105" s="110"/>
    </row>
    <row r="106" spans="1:31">
      <c r="A106" s="196" t="s">
        <v>1550</v>
      </c>
      <c r="C106" s="196">
        <v>30</v>
      </c>
      <c r="D106" s="196">
        <v>0.42280000000000001</v>
      </c>
      <c r="E106" s="201">
        <v>7.8388999999999998</v>
      </c>
      <c r="F106" s="201">
        <v>0.2036</v>
      </c>
      <c r="G106" s="200">
        <f t="shared" si="12"/>
        <v>8.0425000000000004</v>
      </c>
      <c r="H106" s="200">
        <v>7.8612000000000002</v>
      </c>
      <c r="I106" s="200">
        <f t="shared" si="13"/>
        <v>0.18130000000000024</v>
      </c>
      <c r="J106" s="200">
        <f t="shared" si="14"/>
        <v>2.2299999999999764E-2</v>
      </c>
      <c r="K106" s="277">
        <f t="shared" si="15"/>
        <v>10.952848722986133</v>
      </c>
      <c r="L106" s="200">
        <v>2</v>
      </c>
      <c r="AB106" s="110"/>
      <c r="AC106" s="110"/>
      <c r="AD106" s="110"/>
      <c r="AE106" s="110"/>
    </row>
    <row r="107" spans="1:31">
      <c r="A107" s="196" t="s">
        <v>1548</v>
      </c>
      <c r="C107" s="197">
        <v>28</v>
      </c>
      <c r="D107" s="196">
        <v>0.41510000000000002</v>
      </c>
      <c r="E107" s="201">
        <v>7.19</v>
      </c>
      <c r="F107" s="201">
        <v>0.20469999999999999</v>
      </c>
      <c r="G107" s="200">
        <f t="shared" si="12"/>
        <v>7.3947000000000003</v>
      </c>
      <c r="H107" s="200">
        <v>7.2107999999999999</v>
      </c>
      <c r="I107" s="200">
        <f t="shared" si="13"/>
        <v>0.1839000000000004</v>
      </c>
      <c r="J107" s="200">
        <f t="shared" si="14"/>
        <v>2.0799999999999597E-2</v>
      </c>
      <c r="K107" s="277">
        <f t="shared" si="15"/>
        <v>10.16121152906673</v>
      </c>
      <c r="L107" s="200">
        <v>1</v>
      </c>
      <c r="M107" s="203">
        <v>43221</v>
      </c>
      <c r="N107" s="203">
        <v>43221</v>
      </c>
      <c r="AB107" s="110"/>
      <c r="AC107" s="110"/>
      <c r="AD107" s="110"/>
      <c r="AE107" s="110"/>
    </row>
    <row r="108" spans="1:31">
      <c r="A108" s="205" t="s">
        <v>1547</v>
      </c>
      <c r="C108" s="196">
        <v>14</v>
      </c>
      <c r="D108" s="201">
        <v>0.31840000000000002</v>
      </c>
      <c r="E108" s="201">
        <v>9.2353000000000005</v>
      </c>
      <c r="F108" s="201">
        <v>0.20200000000000001</v>
      </c>
      <c r="G108" s="200">
        <f t="shared" si="12"/>
        <v>9.4373000000000005</v>
      </c>
      <c r="H108" s="200">
        <v>9.2614999999999998</v>
      </c>
      <c r="I108" s="200">
        <f t="shared" si="13"/>
        <v>0.17580000000000062</v>
      </c>
      <c r="J108" s="200">
        <f t="shared" si="14"/>
        <v>2.619999999999939E-2</v>
      </c>
      <c r="K108" s="277">
        <f t="shared" si="15"/>
        <v>12.970297029702667</v>
      </c>
      <c r="L108" s="200">
        <v>26</v>
      </c>
      <c r="M108" s="204">
        <v>43199</v>
      </c>
      <c r="N108" s="204">
        <v>43199</v>
      </c>
      <c r="O108" s="200"/>
      <c r="P108" s="200"/>
      <c r="AB108" s="110"/>
      <c r="AC108" s="110"/>
      <c r="AD108" s="110"/>
      <c r="AE108" s="110"/>
    </row>
    <row r="109" spans="1:31">
      <c r="A109" s="200" t="s">
        <v>1546</v>
      </c>
      <c r="C109" s="200">
        <v>171</v>
      </c>
      <c r="D109" s="200">
        <v>0.36259999999999998</v>
      </c>
      <c r="E109" s="201">
        <v>8.8628999999999998</v>
      </c>
      <c r="F109" s="201">
        <v>0.20030000000000001</v>
      </c>
      <c r="G109" s="200">
        <f t="shared" si="12"/>
        <v>9.0632000000000001</v>
      </c>
      <c r="H109" s="200">
        <v>8.8802000000000003</v>
      </c>
      <c r="I109" s="200">
        <f t="shared" si="13"/>
        <v>0.18299999999999983</v>
      </c>
      <c r="J109" s="200">
        <f t="shared" si="14"/>
        <v>1.7300000000000176E-2</v>
      </c>
      <c r="K109" s="277">
        <f t="shared" si="15"/>
        <v>8.6370444333500629</v>
      </c>
      <c r="L109" s="200">
        <v>10</v>
      </c>
      <c r="M109" s="204">
        <v>43174</v>
      </c>
      <c r="N109" s="204">
        <v>43174</v>
      </c>
      <c r="O109" s="200" t="s">
        <v>2540</v>
      </c>
      <c r="P109" s="200" t="s">
        <v>2535</v>
      </c>
      <c r="AB109" s="110"/>
      <c r="AC109" s="110"/>
      <c r="AD109" s="110"/>
      <c r="AE109" s="110"/>
    </row>
    <row r="110" spans="1:31">
      <c r="A110" s="196" t="s">
        <v>1545</v>
      </c>
      <c r="C110" s="196">
        <v>20</v>
      </c>
      <c r="D110" s="196">
        <v>0.4824</v>
      </c>
      <c r="E110" s="196">
        <v>7.7733999999999996</v>
      </c>
      <c r="F110" s="196">
        <v>0.20100000000000001</v>
      </c>
      <c r="G110" s="196">
        <f t="shared" si="12"/>
        <v>7.9743999999999993</v>
      </c>
      <c r="H110" s="196">
        <v>7.7953999999999999</v>
      </c>
      <c r="I110" s="196">
        <f t="shared" si="13"/>
        <v>0.17899999999999938</v>
      </c>
      <c r="J110" s="200">
        <f t="shared" si="14"/>
        <v>2.200000000000063E-2</v>
      </c>
      <c r="K110" s="277">
        <f t="shared" si="15"/>
        <v>10.945273631841108</v>
      </c>
      <c r="L110" s="196">
        <v>8</v>
      </c>
      <c r="M110" s="196" t="s">
        <v>2570</v>
      </c>
      <c r="N110" s="196" t="s">
        <v>2569</v>
      </c>
      <c r="O110" s="196" t="s">
        <v>2534</v>
      </c>
      <c r="AB110" s="110"/>
      <c r="AC110" s="110"/>
      <c r="AD110" s="110"/>
      <c r="AE110" s="110"/>
    </row>
    <row r="111" spans="1:31">
      <c r="A111" s="196" t="s">
        <v>1544</v>
      </c>
      <c r="C111" s="197">
        <v>26</v>
      </c>
      <c r="D111" s="196">
        <v>0.47610000000000002</v>
      </c>
      <c r="E111" s="201">
        <v>10.617699999999999</v>
      </c>
      <c r="F111" s="201">
        <v>0.2009</v>
      </c>
      <c r="G111" s="200">
        <f t="shared" si="12"/>
        <v>10.8186</v>
      </c>
      <c r="H111" s="200">
        <v>10.6349</v>
      </c>
      <c r="I111" s="200">
        <f t="shared" si="13"/>
        <v>0.18369999999999997</v>
      </c>
      <c r="J111" s="200">
        <f t="shared" si="14"/>
        <v>1.7200000000000021E-2</v>
      </c>
      <c r="K111" s="277">
        <f t="shared" si="15"/>
        <v>8.561473369835749</v>
      </c>
      <c r="L111" s="200">
        <v>31</v>
      </c>
      <c r="M111" s="203">
        <v>43221</v>
      </c>
      <c r="N111" s="203">
        <v>43221</v>
      </c>
      <c r="AB111" s="110"/>
      <c r="AC111" s="110"/>
      <c r="AD111" s="110"/>
      <c r="AE111" s="110"/>
    </row>
    <row r="112" spans="1:31">
      <c r="A112" s="205" t="s">
        <v>1543</v>
      </c>
      <c r="C112" s="200">
        <v>36</v>
      </c>
      <c r="D112" s="201">
        <v>0.48480000000000001</v>
      </c>
      <c r="E112" s="201">
        <v>10.521000000000001</v>
      </c>
      <c r="F112" s="201">
        <v>0.20599999999999999</v>
      </c>
      <c r="G112" s="200">
        <f t="shared" si="12"/>
        <v>10.727</v>
      </c>
      <c r="H112" s="200">
        <v>10.5381</v>
      </c>
      <c r="I112" s="200">
        <f t="shared" si="13"/>
        <v>0.18890000000000029</v>
      </c>
      <c r="J112" s="200">
        <f t="shared" si="14"/>
        <v>1.7099999999999699E-2</v>
      </c>
      <c r="K112" s="277">
        <f t="shared" si="15"/>
        <v>8.3009708737862624</v>
      </c>
      <c r="L112" s="200">
        <v>23</v>
      </c>
      <c r="M112" s="204">
        <v>43199</v>
      </c>
      <c r="N112" s="204">
        <v>43199</v>
      </c>
      <c r="O112" s="200"/>
      <c r="P112" s="205" t="s">
        <v>2579</v>
      </c>
      <c r="AB112" s="110"/>
      <c r="AC112" s="110"/>
      <c r="AD112" s="110"/>
      <c r="AE112" s="110"/>
    </row>
    <row r="113" spans="1:31">
      <c r="A113" s="205" t="s">
        <v>1542</v>
      </c>
      <c r="C113" s="200">
        <v>208</v>
      </c>
      <c r="D113" s="200">
        <v>0.60719999999999996</v>
      </c>
      <c r="E113" s="200">
        <v>7.0932000000000004</v>
      </c>
      <c r="F113" s="200">
        <v>0.20119999999999999</v>
      </c>
      <c r="G113" s="200">
        <f t="shared" si="12"/>
        <v>7.2944000000000004</v>
      </c>
      <c r="H113" s="200">
        <v>7.1178999999999997</v>
      </c>
      <c r="I113" s="200">
        <f t="shared" si="13"/>
        <v>0.17650000000000077</v>
      </c>
      <c r="J113" s="200">
        <f t="shared" si="14"/>
        <v>2.4699999999999223E-2</v>
      </c>
      <c r="K113" s="277">
        <f t="shared" si="15"/>
        <v>12.276341948309753</v>
      </c>
      <c r="L113" s="200">
        <v>7</v>
      </c>
      <c r="M113" s="202">
        <v>43171.520833333336</v>
      </c>
      <c r="N113" s="202">
        <v>43171.6875</v>
      </c>
      <c r="O113" s="196" t="s">
        <v>2534</v>
      </c>
      <c r="P113" s="200"/>
      <c r="AB113" s="110"/>
      <c r="AC113" s="110"/>
      <c r="AD113" s="110"/>
      <c r="AE113" s="110"/>
    </row>
    <row r="114" spans="1:31">
      <c r="A114" t="s">
        <v>1541</v>
      </c>
      <c r="C114">
        <v>77</v>
      </c>
      <c r="D114">
        <v>0.77639999999999998</v>
      </c>
      <c r="E114">
        <v>11.032999999999999</v>
      </c>
      <c r="F114">
        <v>0.20580000000000001</v>
      </c>
      <c r="G114">
        <v>9.0523000000000007</v>
      </c>
      <c r="H114">
        <v>0.21</v>
      </c>
      <c r="I114">
        <f>G114+H114</f>
        <v>9.2623000000000015</v>
      </c>
      <c r="J114">
        <v>9.0776000000000003</v>
      </c>
      <c r="K114">
        <f>I114-J114</f>
        <v>0.1847000000000012</v>
      </c>
      <c r="L114">
        <v>34</v>
      </c>
      <c r="M114">
        <v>43187</v>
      </c>
      <c r="N114">
        <v>43187</v>
      </c>
      <c r="O114"/>
      <c r="P114"/>
      <c r="Q114"/>
      <c r="R114"/>
      <c r="AB114" s="110"/>
      <c r="AC114" s="110"/>
      <c r="AD114" s="110"/>
      <c r="AE114" s="110"/>
    </row>
    <row r="115" spans="1:31">
      <c r="A115" s="196" t="s">
        <v>1539</v>
      </c>
      <c r="C115" s="196">
        <v>71</v>
      </c>
      <c r="D115" s="196">
        <v>0.65559999999999996</v>
      </c>
      <c r="E115" s="201">
        <v>8.1356999999999999</v>
      </c>
      <c r="F115" s="201">
        <v>0.20030000000000001</v>
      </c>
      <c r="G115" s="200">
        <f t="shared" ref="G115:G146" si="16">E115+F115</f>
        <v>8.3360000000000003</v>
      </c>
      <c r="H115" s="200">
        <v>8.1544000000000008</v>
      </c>
      <c r="I115" s="200">
        <f t="shared" ref="I115:I161" si="17">(G115-H115)</f>
        <v>0.18159999999999954</v>
      </c>
      <c r="J115" s="200">
        <f t="shared" ref="J115:J146" si="18">F115-I115</f>
        <v>1.8700000000000466E-2</v>
      </c>
      <c r="K115" s="277">
        <f t="shared" ref="K115:K146" si="19">(J115/F115)*100</f>
        <v>9.3359960059912463</v>
      </c>
      <c r="L115" s="200">
        <v>18</v>
      </c>
      <c r="AB115" s="110"/>
      <c r="AC115" s="110"/>
      <c r="AD115" s="110"/>
      <c r="AE115" s="110"/>
    </row>
    <row r="116" spans="1:31">
      <c r="A116" s="196" t="s">
        <v>1538</v>
      </c>
      <c r="C116" s="200">
        <v>47</v>
      </c>
      <c r="D116" s="200">
        <v>0.56459999999999999</v>
      </c>
      <c r="E116" s="200">
        <v>8.7022999999999993</v>
      </c>
      <c r="F116" s="201">
        <v>0.19969999999999999</v>
      </c>
      <c r="G116" s="200">
        <f t="shared" si="16"/>
        <v>8.9019999999999992</v>
      </c>
      <c r="H116" s="200">
        <v>8.7187000000000001</v>
      </c>
      <c r="I116" s="200">
        <f t="shared" si="17"/>
        <v>0.18329999999999913</v>
      </c>
      <c r="J116" s="200">
        <f t="shared" si="18"/>
        <v>1.6400000000000858E-2</v>
      </c>
      <c r="K116" s="277">
        <f t="shared" si="19"/>
        <v>8.2123184777170053</v>
      </c>
      <c r="L116" s="200">
        <v>20</v>
      </c>
      <c r="M116" s="204">
        <v>43211</v>
      </c>
      <c r="AB116" s="110"/>
      <c r="AC116" s="110"/>
      <c r="AD116" s="110"/>
      <c r="AE116" s="110"/>
    </row>
    <row r="117" spans="1:31">
      <c r="A117" s="196" t="s">
        <v>1537</v>
      </c>
      <c r="C117" s="196">
        <v>58</v>
      </c>
      <c r="D117" s="196">
        <v>0.69220000000000004</v>
      </c>
      <c r="E117" s="196">
        <v>7.0768000000000004</v>
      </c>
      <c r="F117" s="196">
        <v>0.2016</v>
      </c>
      <c r="G117" s="196">
        <f t="shared" si="16"/>
        <v>7.2784000000000004</v>
      </c>
      <c r="H117" s="196">
        <v>7.1125999999999996</v>
      </c>
      <c r="I117" s="196">
        <f t="shared" si="17"/>
        <v>0.16580000000000084</v>
      </c>
      <c r="J117" s="200">
        <f t="shared" si="18"/>
        <v>3.5799999999999166E-2</v>
      </c>
      <c r="K117" s="277">
        <f t="shared" si="19"/>
        <v>17.757936507936094</v>
      </c>
      <c r="L117" s="196">
        <v>38</v>
      </c>
      <c r="M117" s="196" t="s">
        <v>2570</v>
      </c>
      <c r="N117" s="196" t="s">
        <v>2569</v>
      </c>
      <c r="O117" s="196" t="s">
        <v>2534</v>
      </c>
      <c r="U117" s="201" t="s">
        <v>1101</v>
      </c>
      <c r="V117" s="196">
        <v>1.7727999999999999</v>
      </c>
      <c r="W117" s="196">
        <f>(V117-$T$175+F115)</f>
        <v>1.9730999999999999</v>
      </c>
      <c r="AB117" s="110"/>
      <c r="AC117" s="110"/>
      <c r="AD117" s="110"/>
      <c r="AE117" s="110"/>
    </row>
    <row r="118" spans="1:31">
      <c r="A118" s="196" t="s">
        <v>1536</v>
      </c>
      <c r="C118" s="197">
        <v>9</v>
      </c>
      <c r="D118" s="196">
        <v>0.43419999999999997</v>
      </c>
      <c r="E118" s="201">
        <v>9.7262000000000004</v>
      </c>
      <c r="F118" s="201">
        <v>0.20660000000000001</v>
      </c>
      <c r="G118" s="200">
        <f t="shared" si="16"/>
        <v>9.9328000000000003</v>
      </c>
      <c r="H118" s="200">
        <v>9.7454000000000001</v>
      </c>
      <c r="I118" s="200">
        <f t="shared" si="17"/>
        <v>0.18740000000000023</v>
      </c>
      <c r="J118" s="200">
        <f t="shared" si="18"/>
        <v>1.9199999999999773E-2</v>
      </c>
      <c r="K118" s="277">
        <f t="shared" si="19"/>
        <v>9.2933204259437421</v>
      </c>
      <c r="L118" s="200">
        <v>14</v>
      </c>
      <c r="M118" s="203">
        <v>43221</v>
      </c>
      <c r="N118" s="203">
        <v>43221</v>
      </c>
      <c r="AB118" s="110"/>
      <c r="AC118" s="110"/>
      <c r="AD118" s="110"/>
      <c r="AE118" s="110"/>
    </row>
    <row r="119" spans="1:31">
      <c r="A119" s="196" t="s">
        <v>1534</v>
      </c>
      <c r="C119" s="196">
        <v>34</v>
      </c>
      <c r="D119" s="196">
        <v>0.70489999999999997</v>
      </c>
      <c r="E119" s="196">
        <v>8.8455999999999992</v>
      </c>
      <c r="F119" s="196">
        <v>0.20119999999999999</v>
      </c>
      <c r="G119" s="196">
        <f t="shared" si="16"/>
        <v>9.0467999999999993</v>
      </c>
      <c r="H119" s="196">
        <v>8.9246999999999996</v>
      </c>
      <c r="I119" s="196">
        <f t="shared" si="17"/>
        <v>0.12209999999999965</v>
      </c>
      <c r="J119" s="200">
        <f t="shared" si="18"/>
        <v>7.9100000000000337E-2</v>
      </c>
      <c r="K119" s="277">
        <f t="shared" si="19"/>
        <v>39.314115308151266</v>
      </c>
      <c r="L119" s="196">
        <v>11</v>
      </c>
      <c r="M119" s="196" t="s">
        <v>2570</v>
      </c>
      <c r="N119" s="196" t="s">
        <v>2569</v>
      </c>
      <c r="O119" s="196" t="s">
        <v>2534</v>
      </c>
      <c r="AB119" s="110"/>
      <c r="AC119" s="110"/>
      <c r="AD119" s="110"/>
      <c r="AE119" s="110"/>
    </row>
    <row r="120" spans="1:31">
      <c r="A120" s="196" t="s">
        <v>1532</v>
      </c>
      <c r="C120" s="196">
        <v>30</v>
      </c>
      <c r="D120" s="196">
        <v>0.4824</v>
      </c>
      <c r="E120" s="201">
        <v>11.003</v>
      </c>
      <c r="F120" s="201">
        <v>0.20799999999999999</v>
      </c>
      <c r="G120" s="200">
        <f t="shared" si="16"/>
        <v>11.211</v>
      </c>
      <c r="H120" s="200">
        <v>11.0259</v>
      </c>
      <c r="I120" s="200">
        <f t="shared" si="17"/>
        <v>0.18510000000000026</v>
      </c>
      <c r="J120" s="200">
        <f t="shared" si="18"/>
        <v>2.2899999999999726E-2</v>
      </c>
      <c r="K120" s="277">
        <f t="shared" si="19"/>
        <v>11.009615384615254</v>
      </c>
      <c r="L120" s="200">
        <v>7</v>
      </c>
      <c r="M120" s="203">
        <v>43221</v>
      </c>
      <c r="N120" s="203">
        <v>43221</v>
      </c>
      <c r="AB120" s="110"/>
      <c r="AC120" s="110"/>
      <c r="AD120" s="110"/>
      <c r="AE120" s="110"/>
    </row>
    <row r="121" spans="1:31">
      <c r="A121" s="196" t="s">
        <v>1531</v>
      </c>
      <c r="C121" s="196">
        <v>45</v>
      </c>
      <c r="D121" s="196">
        <v>0.56710000000000005</v>
      </c>
      <c r="E121" s="196">
        <v>9.0525000000000002</v>
      </c>
      <c r="F121" s="196">
        <v>0.20050000000000001</v>
      </c>
      <c r="G121" s="196">
        <f t="shared" si="16"/>
        <v>9.2530000000000001</v>
      </c>
      <c r="H121" s="196">
        <v>9.0713000000000008</v>
      </c>
      <c r="I121" s="196">
        <f t="shared" si="17"/>
        <v>0.18169999999999931</v>
      </c>
      <c r="J121" s="200">
        <f t="shared" si="18"/>
        <v>1.8800000000000705E-2</v>
      </c>
      <c r="K121" s="277">
        <f t="shared" si="19"/>
        <v>9.376558603491624</v>
      </c>
      <c r="L121" s="196">
        <v>19</v>
      </c>
      <c r="M121" s="196" t="s">
        <v>2570</v>
      </c>
      <c r="N121" s="196" t="s">
        <v>2569</v>
      </c>
      <c r="O121" s="196" t="s">
        <v>2534</v>
      </c>
      <c r="AB121" s="110"/>
      <c r="AC121" s="110"/>
      <c r="AD121" s="110"/>
      <c r="AE121" s="110"/>
    </row>
    <row r="122" spans="1:31">
      <c r="A122" s="205" t="s">
        <v>1530</v>
      </c>
      <c r="C122" s="200">
        <v>84</v>
      </c>
      <c r="D122" s="200">
        <v>0.59250000000000003</v>
      </c>
      <c r="E122" s="201">
        <v>10.702500000000001</v>
      </c>
      <c r="F122" s="201">
        <v>0.20050000000000001</v>
      </c>
      <c r="G122" s="200">
        <f t="shared" si="16"/>
        <v>10.903</v>
      </c>
      <c r="H122" s="200">
        <v>10.724</v>
      </c>
      <c r="I122" s="200">
        <f t="shared" si="17"/>
        <v>0.17900000000000027</v>
      </c>
      <c r="J122" s="200">
        <f t="shared" si="18"/>
        <v>2.1499999999999742E-2</v>
      </c>
      <c r="K122" s="277">
        <f t="shared" si="19"/>
        <v>10.723192019949995</v>
      </c>
      <c r="L122" s="200">
        <v>5</v>
      </c>
      <c r="M122" s="206">
        <v>43186.458333333336</v>
      </c>
      <c r="N122" s="206">
        <v>43186.625</v>
      </c>
      <c r="O122" s="196" t="s">
        <v>2534</v>
      </c>
      <c r="P122" s="200"/>
      <c r="AB122" s="110"/>
      <c r="AC122" s="110"/>
      <c r="AD122" s="110"/>
      <c r="AE122" s="110"/>
    </row>
    <row r="123" spans="1:31">
      <c r="A123" s="196" t="s">
        <v>1529</v>
      </c>
      <c r="C123" s="197">
        <v>31</v>
      </c>
      <c r="D123" s="196">
        <v>0.50560000000000005</v>
      </c>
      <c r="E123" s="200">
        <v>10.201499999999999</v>
      </c>
      <c r="F123" s="201">
        <v>0.20619999999999999</v>
      </c>
      <c r="G123" s="200">
        <f t="shared" si="16"/>
        <v>10.4077</v>
      </c>
      <c r="H123" s="200">
        <v>10.230700000000001</v>
      </c>
      <c r="I123" s="200">
        <f t="shared" si="17"/>
        <v>0.1769999999999996</v>
      </c>
      <c r="J123" s="200">
        <f t="shared" si="18"/>
        <v>2.9200000000000392E-2</v>
      </c>
      <c r="K123" s="277">
        <f t="shared" si="19"/>
        <v>14.161008729389133</v>
      </c>
      <c r="L123" s="200">
        <v>11</v>
      </c>
      <c r="M123" s="203">
        <v>43213</v>
      </c>
      <c r="N123" s="203">
        <v>43213</v>
      </c>
      <c r="AB123" s="110"/>
      <c r="AC123" s="110"/>
      <c r="AD123" s="110"/>
      <c r="AE123" s="110"/>
    </row>
    <row r="124" spans="1:31">
      <c r="A124" s="196" t="s">
        <v>1528</v>
      </c>
      <c r="C124" s="197">
        <v>191</v>
      </c>
      <c r="D124" s="196">
        <v>0.43</v>
      </c>
      <c r="E124" s="200">
        <v>9.7736000000000001</v>
      </c>
      <c r="F124" s="201">
        <v>0.20030000000000001</v>
      </c>
      <c r="G124" s="200">
        <f t="shared" si="16"/>
        <v>9.9739000000000004</v>
      </c>
      <c r="H124" s="200">
        <v>9.7920999999999996</v>
      </c>
      <c r="I124" s="200">
        <f t="shared" si="17"/>
        <v>0.18180000000000085</v>
      </c>
      <c r="J124" s="200">
        <f t="shared" si="18"/>
        <v>1.8499999999999156E-2</v>
      </c>
      <c r="K124" s="277">
        <f t="shared" si="19"/>
        <v>9.2361457813275862</v>
      </c>
      <c r="L124" s="200">
        <v>36</v>
      </c>
      <c r="M124" s="203">
        <v>43212</v>
      </c>
      <c r="AB124" s="110"/>
      <c r="AC124" s="110"/>
      <c r="AD124" s="110"/>
      <c r="AE124" s="110"/>
    </row>
    <row r="125" spans="1:31">
      <c r="A125" s="196" t="s">
        <v>1527</v>
      </c>
      <c r="C125" s="196">
        <v>11</v>
      </c>
      <c r="D125" s="196">
        <v>0.4375</v>
      </c>
      <c r="E125" s="201">
        <v>7.9939999999999998</v>
      </c>
      <c r="F125" s="201">
        <v>0.2016</v>
      </c>
      <c r="G125" s="200">
        <f t="shared" si="16"/>
        <v>8.1955999999999989</v>
      </c>
      <c r="H125" s="200">
        <v>8.0132999999999992</v>
      </c>
      <c r="I125" s="200">
        <f t="shared" si="17"/>
        <v>0.18229999999999968</v>
      </c>
      <c r="J125" s="200">
        <f t="shared" si="18"/>
        <v>1.9300000000000317E-2</v>
      </c>
      <c r="K125" s="277">
        <f t="shared" si="19"/>
        <v>9.5734126984128558</v>
      </c>
      <c r="L125" s="200">
        <v>31</v>
      </c>
      <c r="M125" s="203">
        <v>43213</v>
      </c>
      <c r="N125" s="203">
        <v>43213</v>
      </c>
      <c r="AB125" s="110"/>
      <c r="AC125" s="110"/>
      <c r="AD125" s="110"/>
      <c r="AE125" s="110"/>
    </row>
    <row r="126" spans="1:31">
      <c r="A126" s="196" t="s">
        <v>1526</v>
      </c>
      <c r="C126" s="196">
        <v>20</v>
      </c>
      <c r="D126" s="196">
        <v>0.49459999999999998</v>
      </c>
      <c r="E126" s="196">
        <v>7.5282</v>
      </c>
      <c r="F126" s="196">
        <v>0.2056</v>
      </c>
      <c r="G126" s="196">
        <f t="shared" si="16"/>
        <v>7.7338000000000005</v>
      </c>
      <c r="H126" s="196">
        <v>7.5548999999999999</v>
      </c>
      <c r="I126" s="196">
        <f t="shared" si="17"/>
        <v>0.1789000000000005</v>
      </c>
      <c r="J126" s="200">
        <f t="shared" si="18"/>
        <v>2.6699999999999502E-2</v>
      </c>
      <c r="K126" s="277">
        <f t="shared" si="19"/>
        <v>12.986381322956955</v>
      </c>
      <c r="L126" s="196">
        <v>7</v>
      </c>
      <c r="M126" s="196" t="s">
        <v>2570</v>
      </c>
      <c r="N126" s="196" t="s">
        <v>2569</v>
      </c>
      <c r="O126" s="196" t="s">
        <v>2534</v>
      </c>
      <c r="AB126" s="110"/>
      <c r="AC126" s="110"/>
      <c r="AD126" s="110"/>
      <c r="AE126" s="110"/>
    </row>
    <row r="127" spans="1:31">
      <c r="A127" s="200" t="s">
        <v>1525</v>
      </c>
      <c r="C127" s="200">
        <v>195</v>
      </c>
      <c r="D127" s="200">
        <v>0.4844</v>
      </c>
      <c r="E127" s="200">
        <v>9.2359000000000009</v>
      </c>
      <c r="F127" s="200">
        <v>0.2001</v>
      </c>
      <c r="G127" s="200">
        <f t="shared" si="16"/>
        <v>9.4360000000000017</v>
      </c>
      <c r="H127" s="200">
        <v>9.2614999999999998</v>
      </c>
      <c r="I127" s="200">
        <f t="shared" si="17"/>
        <v>0.17450000000000188</v>
      </c>
      <c r="J127" s="200">
        <f t="shared" si="18"/>
        <v>2.5599999999998124E-2</v>
      </c>
      <c r="K127" s="277">
        <f t="shared" si="19"/>
        <v>12.793603198399861</v>
      </c>
      <c r="L127" s="200">
        <v>15</v>
      </c>
      <c r="M127" s="202">
        <v>43164.628472222219</v>
      </c>
      <c r="N127" s="202">
        <v>43164.795138888891</v>
      </c>
      <c r="O127" s="196" t="s">
        <v>2534</v>
      </c>
      <c r="P127" s="200"/>
      <c r="AB127" s="110"/>
      <c r="AC127" s="110"/>
      <c r="AD127" s="110"/>
      <c r="AE127" s="110"/>
    </row>
    <row r="128" spans="1:31">
      <c r="A128" s="196" t="s">
        <v>1524</v>
      </c>
      <c r="C128" s="197">
        <v>190</v>
      </c>
      <c r="D128" s="196">
        <v>0.43909999999999999</v>
      </c>
      <c r="E128" s="201">
        <v>9.2203999999999997</v>
      </c>
      <c r="F128" s="201">
        <v>0.20039999999999999</v>
      </c>
      <c r="G128" s="200">
        <f t="shared" si="16"/>
        <v>9.4207999999999998</v>
      </c>
      <c r="H128" s="200">
        <v>9.24</v>
      </c>
      <c r="I128" s="200">
        <f t="shared" si="17"/>
        <v>0.18079999999999963</v>
      </c>
      <c r="J128" s="200">
        <f t="shared" si="18"/>
        <v>1.9600000000000367E-2</v>
      </c>
      <c r="K128" s="277">
        <f t="shared" si="19"/>
        <v>9.78043912175667</v>
      </c>
      <c r="L128" s="200">
        <v>14</v>
      </c>
      <c r="AB128" s="110"/>
      <c r="AC128" s="110"/>
      <c r="AD128" s="110"/>
      <c r="AE128" s="110"/>
    </row>
    <row r="129" spans="1:31">
      <c r="A129" s="196" t="s">
        <v>1523</v>
      </c>
      <c r="C129" s="196">
        <v>32</v>
      </c>
      <c r="D129" s="196">
        <v>0.47810000000000002</v>
      </c>
      <c r="E129" s="201">
        <v>10.3132</v>
      </c>
      <c r="F129" s="201">
        <v>0.20019999999999999</v>
      </c>
      <c r="G129" s="200">
        <f t="shared" si="16"/>
        <v>10.513400000000001</v>
      </c>
      <c r="H129" s="200">
        <v>10.3302</v>
      </c>
      <c r="I129" s="200">
        <f t="shared" si="17"/>
        <v>0.18320000000000114</v>
      </c>
      <c r="J129" s="200">
        <f t="shared" si="18"/>
        <v>1.6999999999998849E-2</v>
      </c>
      <c r="K129" s="277">
        <f t="shared" si="19"/>
        <v>8.4915084915079166</v>
      </c>
      <c r="L129" s="200">
        <v>1</v>
      </c>
      <c r="AB129" s="110"/>
      <c r="AC129" s="110"/>
      <c r="AD129" s="110"/>
      <c r="AE129" s="110"/>
    </row>
    <row r="130" spans="1:31">
      <c r="A130" s="200" t="s">
        <v>1522</v>
      </c>
      <c r="C130" s="200">
        <v>37</v>
      </c>
      <c r="D130" s="200">
        <v>0.66790000000000005</v>
      </c>
      <c r="E130" s="200">
        <v>10.7432</v>
      </c>
      <c r="F130" s="200">
        <v>0.2009</v>
      </c>
      <c r="G130" s="200">
        <f t="shared" si="16"/>
        <v>10.944100000000001</v>
      </c>
      <c r="H130" s="200">
        <v>10.773400000000001</v>
      </c>
      <c r="I130" s="200">
        <f t="shared" si="17"/>
        <v>0.17070000000000007</v>
      </c>
      <c r="J130" s="200">
        <f t="shared" si="18"/>
        <v>3.0199999999999921E-2</v>
      </c>
      <c r="K130" s="277">
        <f t="shared" si="19"/>
        <v>15.032354405176665</v>
      </c>
      <c r="L130" s="200">
        <v>23</v>
      </c>
      <c r="M130" s="204">
        <v>43188</v>
      </c>
      <c r="N130" s="204">
        <v>43188</v>
      </c>
      <c r="O130" s="200"/>
      <c r="P130" s="200"/>
      <c r="AB130" s="110"/>
      <c r="AC130" s="110"/>
      <c r="AD130" s="110"/>
      <c r="AE130" s="110"/>
    </row>
    <row r="131" spans="1:31">
      <c r="A131" s="205" t="s">
        <v>1521</v>
      </c>
      <c r="C131" s="196">
        <v>92</v>
      </c>
      <c r="D131" s="200">
        <v>0.55920000000000003</v>
      </c>
      <c r="E131" s="201">
        <v>7.8711000000000002</v>
      </c>
      <c r="F131" s="201">
        <v>0.20979999999999999</v>
      </c>
      <c r="G131" s="200">
        <f t="shared" si="16"/>
        <v>8.0808999999999997</v>
      </c>
      <c r="H131" s="200">
        <v>7.8959999999999999</v>
      </c>
      <c r="I131" s="200">
        <f t="shared" si="17"/>
        <v>0.18489999999999984</v>
      </c>
      <c r="J131" s="200">
        <f t="shared" si="18"/>
        <v>2.4900000000000144E-2</v>
      </c>
      <c r="K131" s="277">
        <f t="shared" si="19"/>
        <v>11.868446139180241</v>
      </c>
      <c r="L131" s="200">
        <v>16</v>
      </c>
      <c r="M131" s="206">
        <v>43186.458333333336</v>
      </c>
      <c r="N131" s="206">
        <v>43186.625</v>
      </c>
      <c r="O131" s="196" t="s">
        <v>2534</v>
      </c>
      <c r="P131" s="200"/>
      <c r="AB131" s="110"/>
      <c r="AC131" s="110"/>
      <c r="AD131" s="110"/>
      <c r="AE131" s="110"/>
    </row>
    <row r="132" spans="1:31">
      <c r="A132" s="196" t="s">
        <v>1518</v>
      </c>
      <c r="C132" s="197">
        <v>4</v>
      </c>
      <c r="D132" s="196">
        <v>0.37980000000000003</v>
      </c>
      <c r="E132" s="200">
        <v>9.2204999999999995</v>
      </c>
      <c r="F132" s="201">
        <v>0.20780000000000001</v>
      </c>
      <c r="G132" s="200">
        <f t="shared" si="16"/>
        <v>9.4283000000000001</v>
      </c>
      <c r="H132" s="200">
        <v>9.2402999999999995</v>
      </c>
      <c r="I132" s="200">
        <f t="shared" si="17"/>
        <v>0.18800000000000061</v>
      </c>
      <c r="J132" s="200">
        <f t="shared" si="18"/>
        <v>1.9799999999999401E-2</v>
      </c>
      <c r="K132" s="277">
        <f t="shared" si="19"/>
        <v>9.5283926852740137</v>
      </c>
      <c r="L132" s="200">
        <v>3</v>
      </c>
      <c r="M132" s="203">
        <v>43212</v>
      </c>
      <c r="AB132" s="110"/>
      <c r="AC132" s="110"/>
      <c r="AD132" s="110"/>
      <c r="AE132" s="110"/>
    </row>
    <row r="133" spans="1:31">
      <c r="A133" s="196" t="s">
        <v>1515</v>
      </c>
      <c r="C133" s="200">
        <v>60</v>
      </c>
      <c r="D133" s="200">
        <v>0.56169999999999987</v>
      </c>
      <c r="E133" s="200">
        <v>8.1683000000000003</v>
      </c>
      <c r="F133" s="200">
        <v>0.20200000000000001</v>
      </c>
      <c r="G133" s="200">
        <f t="shared" si="16"/>
        <v>8.3703000000000003</v>
      </c>
      <c r="H133" s="200">
        <v>8.1887000000000008</v>
      </c>
      <c r="I133" s="200">
        <f t="shared" si="17"/>
        <v>0.18159999999999954</v>
      </c>
      <c r="J133" s="200">
        <f t="shared" si="18"/>
        <v>2.0400000000000473E-2</v>
      </c>
      <c r="K133" s="277">
        <f t="shared" si="19"/>
        <v>10.099009900990334</v>
      </c>
      <c r="L133" s="200">
        <v>21</v>
      </c>
      <c r="M133" s="204">
        <v>43173</v>
      </c>
      <c r="N133" s="204">
        <v>43173</v>
      </c>
      <c r="O133" s="200" t="s">
        <v>2540</v>
      </c>
      <c r="P133" s="200" t="s">
        <v>2539</v>
      </c>
      <c r="U133" s="201" t="s">
        <v>1261</v>
      </c>
      <c r="V133" s="196">
        <v>1.1045</v>
      </c>
      <c r="W133" s="196">
        <f>(V133-$T$175+F131)</f>
        <v>1.3143</v>
      </c>
      <c r="AB133" s="110"/>
      <c r="AC133" s="110"/>
      <c r="AD133" s="110"/>
      <c r="AE133" s="110"/>
    </row>
    <row r="134" spans="1:31">
      <c r="A134" s="205" t="s">
        <v>1514</v>
      </c>
      <c r="C134" s="200">
        <v>82</v>
      </c>
      <c r="D134" s="200">
        <v>0.57340000000000002</v>
      </c>
      <c r="E134" s="201">
        <v>9.0313999999999997</v>
      </c>
      <c r="F134" s="201">
        <v>0.20449999999999999</v>
      </c>
      <c r="G134" s="200">
        <f t="shared" si="16"/>
        <v>9.2358999999999991</v>
      </c>
      <c r="H134" s="200">
        <v>9.0525000000000002</v>
      </c>
      <c r="I134" s="200">
        <f t="shared" si="17"/>
        <v>0.1833999999999989</v>
      </c>
      <c r="J134" s="200">
        <f t="shared" si="18"/>
        <v>2.110000000000109E-2</v>
      </c>
      <c r="K134" s="277">
        <f t="shared" si="19"/>
        <v>10.317848410758481</v>
      </c>
      <c r="L134" s="200">
        <v>20</v>
      </c>
      <c r="M134" s="204">
        <v>43197</v>
      </c>
      <c r="N134" s="204">
        <v>43197</v>
      </c>
      <c r="O134" s="200"/>
      <c r="P134" s="200"/>
      <c r="AB134" s="110"/>
      <c r="AC134" s="110"/>
      <c r="AD134" s="110"/>
      <c r="AE134" s="110"/>
    </row>
    <row r="135" spans="1:31">
      <c r="A135" s="200" t="s">
        <v>1513</v>
      </c>
      <c r="C135" s="200">
        <v>189</v>
      </c>
      <c r="D135" s="201">
        <v>0.50870000000000004</v>
      </c>
      <c r="E135" s="201">
        <v>10.201499999999999</v>
      </c>
      <c r="F135" s="201">
        <v>0.20849999999999999</v>
      </c>
      <c r="G135" s="200">
        <f t="shared" si="16"/>
        <v>10.41</v>
      </c>
      <c r="H135" s="200">
        <v>10.2203</v>
      </c>
      <c r="I135" s="200">
        <f t="shared" si="17"/>
        <v>0.1897000000000002</v>
      </c>
      <c r="J135" s="200">
        <f t="shared" si="18"/>
        <v>1.8799999999999789E-2</v>
      </c>
      <c r="K135" s="277">
        <f t="shared" si="19"/>
        <v>9.0167865707433048</v>
      </c>
      <c r="L135" s="200">
        <v>15</v>
      </c>
      <c r="M135" s="200"/>
      <c r="N135" s="200"/>
      <c r="O135" s="200"/>
      <c r="P135" s="200"/>
      <c r="AB135" s="110"/>
      <c r="AC135" s="110"/>
      <c r="AD135" s="110"/>
      <c r="AE135" s="110"/>
    </row>
    <row r="136" spans="1:31">
      <c r="A136" s="205" t="s">
        <v>1512</v>
      </c>
      <c r="C136" s="200">
        <v>56</v>
      </c>
      <c r="D136" s="201">
        <v>0.65329999999999999</v>
      </c>
      <c r="E136" s="201">
        <v>10.1075</v>
      </c>
      <c r="F136" s="201">
        <v>0.20730000000000001</v>
      </c>
      <c r="G136" s="200">
        <f t="shared" si="16"/>
        <v>10.3148</v>
      </c>
      <c r="H136" s="200">
        <v>10.152799999999999</v>
      </c>
      <c r="I136" s="200">
        <f t="shared" si="17"/>
        <v>0.16200000000000081</v>
      </c>
      <c r="J136" s="200">
        <f t="shared" si="18"/>
        <v>4.5299999999999202E-2</v>
      </c>
      <c r="K136" s="277">
        <f t="shared" si="19"/>
        <v>21.852387843704392</v>
      </c>
      <c r="L136" s="200">
        <v>12</v>
      </c>
      <c r="M136" s="200"/>
      <c r="N136" s="200"/>
      <c r="O136" s="200"/>
      <c r="P136" s="200"/>
      <c r="U136" s="201" t="s">
        <v>815</v>
      </c>
      <c r="V136" s="196">
        <v>1.8678999999999999</v>
      </c>
      <c r="W136" s="196">
        <f>(V136-$T$175+F134)</f>
        <v>2.0724</v>
      </c>
      <c r="AB136" s="110"/>
      <c r="AC136" s="110"/>
      <c r="AD136" s="110"/>
      <c r="AE136" s="110"/>
    </row>
    <row r="137" spans="1:31">
      <c r="A137" s="196" t="s">
        <v>1511</v>
      </c>
      <c r="C137" s="200">
        <v>47</v>
      </c>
      <c r="D137" s="200">
        <v>0.58679999999999999</v>
      </c>
      <c r="E137" s="200">
        <v>9.9176000000000002</v>
      </c>
      <c r="F137" s="201">
        <v>0.20810000000000001</v>
      </c>
      <c r="G137" s="200">
        <f t="shared" si="16"/>
        <v>10.1257</v>
      </c>
      <c r="H137" s="200">
        <v>9.9423999999999992</v>
      </c>
      <c r="I137" s="200">
        <f t="shared" si="17"/>
        <v>0.18330000000000091</v>
      </c>
      <c r="J137" s="200">
        <f t="shared" si="18"/>
        <v>2.4799999999999101E-2</v>
      </c>
      <c r="K137" s="277">
        <f t="shared" si="19"/>
        <v>11.917347429120182</v>
      </c>
      <c r="L137" s="200">
        <v>21</v>
      </c>
      <c r="M137" s="204">
        <v>43211</v>
      </c>
      <c r="AB137" s="110"/>
      <c r="AC137" s="110"/>
      <c r="AD137" s="110"/>
      <c r="AE137" s="110"/>
    </row>
    <row r="138" spans="1:31">
      <c r="A138" s="200" t="s">
        <v>1510</v>
      </c>
      <c r="C138" s="200">
        <v>207</v>
      </c>
      <c r="D138" s="200">
        <v>0.51390000000000002</v>
      </c>
      <c r="E138" s="201">
        <v>9.0518999999999998</v>
      </c>
      <c r="F138" s="201">
        <v>0.2</v>
      </c>
      <c r="G138" s="200">
        <f t="shared" si="16"/>
        <v>9.2518999999999991</v>
      </c>
      <c r="H138" s="200">
        <v>9.0950000000000006</v>
      </c>
      <c r="I138" s="200">
        <f t="shared" si="17"/>
        <v>0.15689999999999849</v>
      </c>
      <c r="J138" s="200">
        <f t="shared" si="18"/>
        <v>4.3100000000001526E-2</v>
      </c>
      <c r="K138" s="277">
        <f t="shared" si="19"/>
        <v>21.550000000000765</v>
      </c>
      <c r="L138" s="200">
        <v>7</v>
      </c>
      <c r="M138" s="204">
        <v>43197</v>
      </c>
      <c r="N138" s="204">
        <v>43197</v>
      </c>
      <c r="O138" s="200"/>
      <c r="P138" s="200"/>
      <c r="AB138" s="110"/>
      <c r="AC138" s="110"/>
      <c r="AD138" s="110"/>
      <c r="AE138" s="110"/>
    </row>
    <row r="139" spans="1:31">
      <c r="A139" s="196" t="s">
        <v>1509</v>
      </c>
      <c r="C139" s="196">
        <v>61</v>
      </c>
      <c r="D139" s="196">
        <v>0.57769999999999999</v>
      </c>
      <c r="E139" s="196">
        <v>9.1861999999999995</v>
      </c>
      <c r="F139" s="196">
        <v>0.19719999999999999</v>
      </c>
      <c r="G139" s="196">
        <f t="shared" si="16"/>
        <v>9.3834</v>
      </c>
      <c r="H139" s="196">
        <v>9.2112999999999996</v>
      </c>
      <c r="I139" s="196">
        <f t="shared" si="17"/>
        <v>0.17210000000000036</v>
      </c>
      <c r="J139" s="200">
        <f t="shared" si="18"/>
        <v>2.5099999999999623E-2</v>
      </c>
      <c r="K139" s="277">
        <f t="shared" si="19"/>
        <v>12.728194726166139</v>
      </c>
      <c r="L139" s="196">
        <v>42</v>
      </c>
      <c r="M139" s="196" t="s">
        <v>2570</v>
      </c>
      <c r="N139" s="196" t="s">
        <v>2569</v>
      </c>
      <c r="O139" s="196" t="s">
        <v>2534</v>
      </c>
      <c r="AB139" s="110"/>
      <c r="AC139" s="110"/>
      <c r="AD139" s="110"/>
      <c r="AE139" s="110"/>
    </row>
    <row r="140" spans="1:31">
      <c r="A140" s="200" t="s">
        <v>1508</v>
      </c>
      <c r="C140" s="200">
        <v>81</v>
      </c>
      <c r="D140" s="201">
        <v>0.62009999999999998</v>
      </c>
      <c r="E140" s="201">
        <v>11.087400000000001</v>
      </c>
      <c r="F140" s="201">
        <v>0.20119999999999999</v>
      </c>
      <c r="G140" s="200">
        <f t="shared" si="16"/>
        <v>11.288600000000001</v>
      </c>
      <c r="H140" s="200">
        <v>11.117599999999999</v>
      </c>
      <c r="I140" s="200">
        <f t="shared" si="17"/>
        <v>0.17100000000000115</v>
      </c>
      <c r="J140" s="200">
        <f t="shared" si="18"/>
        <v>3.0199999999998839E-2</v>
      </c>
      <c r="K140" s="277">
        <f t="shared" si="19"/>
        <v>15.009940357852306</v>
      </c>
      <c r="L140" s="200">
        <v>32</v>
      </c>
      <c r="M140" s="202">
        <v>43181.645833333336</v>
      </c>
      <c r="N140" s="202">
        <v>43181.833333333336</v>
      </c>
      <c r="O140" s="200" t="s">
        <v>2540</v>
      </c>
      <c r="P140" s="200"/>
      <c r="AB140" s="110"/>
      <c r="AC140" s="110"/>
      <c r="AD140" s="110"/>
      <c r="AE140" s="110"/>
    </row>
    <row r="141" spans="1:31">
      <c r="A141" s="196" t="s">
        <v>1507</v>
      </c>
      <c r="C141" s="197">
        <v>11</v>
      </c>
      <c r="D141" s="196">
        <v>0.51180000000000003</v>
      </c>
      <c r="E141" s="201">
        <v>8.8618000000000006</v>
      </c>
      <c r="F141" s="201">
        <v>0.19919999999999999</v>
      </c>
      <c r="G141" s="200">
        <f t="shared" si="16"/>
        <v>9.0609999999999999</v>
      </c>
      <c r="H141" s="200">
        <v>8.8857999999999997</v>
      </c>
      <c r="I141" s="200">
        <f t="shared" si="17"/>
        <v>0.17520000000000024</v>
      </c>
      <c r="J141" s="200">
        <f t="shared" si="18"/>
        <v>2.3999999999999744E-2</v>
      </c>
      <c r="K141" s="277">
        <f t="shared" si="19"/>
        <v>12.04819277108421</v>
      </c>
      <c r="L141" s="200">
        <v>2</v>
      </c>
      <c r="M141" s="203">
        <v>43221</v>
      </c>
      <c r="N141" s="203">
        <v>43221</v>
      </c>
      <c r="AB141" s="110"/>
      <c r="AC141" s="110"/>
      <c r="AD141" s="110"/>
      <c r="AE141" s="110"/>
    </row>
    <row r="142" spans="1:31">
      <c r="A142" s="205" t="s">
        <v>1506</v>
      </c>
      <c r="C142" s="200">
        <v>186</v>
      </c>
      <c r="D142" s="200">
        <v>0.48909999999999998</v>
      </c>
      <c r="E142" s="200">
        <v>11.171799999999999</v>
      </c>
      <c r="F142" s="201">
        <v>0.2044</v>
      </c>
      <c r="G142" s="200">
        <f t="shared" si="16"/>
        <v>11.376199999999999</v>
      </c>
      <c r="H142" s="200">
        <v>11.1913</v>
      </c>
      <c r="I142" s="200">
        <f t="shared" si="17"/>
        <v>0.18489999999999895</v>
      </c>
      <c r="J142" s="200">
        <f t="shared" si="18"/>
        <v>1.9500000000001044E-2</v>
      </c>
      <c r="K142" s="277">
        <f t="shared" si="19"/>
        <v>9.5401174168302578</v>
      </c>
      <c r="L142" s="200">
        <v>31</v>
      </c>
      <c r="M142" s="204">
        <v>43187</v>
      </c>
      <c r="N142" s="204">
        <v>43187</v>
      </c>
      <c r="O142" s="200"/>
      <c r="P142" s="200"/>
      <c r="AB142" s="110"/>
      <c r="AC142" s="110"/>
      <c r="AD142" s="110"/>
      <c r="AE142" s="110"/>
    </row>
    <row r="143" spans="1:31">
      <c r="A143" s="196" t="s">
        <v>1505</v>
      </c>
      <c r="C143" s="197">
        <v>96</v>
      </c>
      <c r="D143" s="196">
        <v>0.57850000000000001</v>
      </c>
      <c r="E143" s="196">
        <v>8.4441000000000006</v>
      </c>
      <c r="F143" s="201">
        <v>0.2011</v>
      </c>
      <c r="G143" s="200">
        <f t="shared" si="16"/>
        <v>8.6452000000000009</v>
      </c>
      <c r="H143" s="200">
        <v>8.4710999999999999</v>
      </c>
      <c r="I143" s="200">
        <f t="shared" si="17"/>
        <v>0.17410000000000103</v>
      </c>
      <c r="J143" s="200">
        <f t="shared" si="18"/>
        <v>2.6999999999998969E-2</v>
      </c>
      <c r="K143" s="277">
        <f t="shared" si="19"/>
        <v>13.426156141222759</v>
      </c>
      <c r="L143" s="200">
        <v>22</v>
      </c>
      <c r="AB143" s="110"/>
      <c r="AC143" s="110"/>
      <c r="AD143" s="110"/>
      <c r="AE143" s="110"/>
    </row>
    <row r="144" spans="1:31">
      <c r="A144" t="s">
        <v>1504</v>
      </c>
      <c r="C144" s="197"/>
      <c r="D144" s="196">
        <v>0.67520000000000002</v>
      </c>
      <c r="E144" s="201">
        <v>9.3188999999999993</v>
      </c>
      <c r="F144" s="201">
        <v>0.20599999999999999</v>
      </c>
      <c r="G144" s="200">
        <f t="shared" si="16"/>
        <v>9.5248999999999988</v>
      </c>
      <c r="H144" s="200">
        <v>9.3529999999999998</v>
      </c>
      <c r="I144" s="200">
        <f t="shared" si="17"/>
        <v>0.17189999999999905</v>
      </c>
      <c r="J144" s="200">
        <f t="shared" si="18"/>
        <v>3.4100000000000935E-2</v>
      </c>
      <c r="K144" s="277">
        <f t="shared" si="19"/>
        <v>16.553398058252881</v>
      </c>
      <c r="L144" s="200">
        <v>10</v>
      </c>
      <c r="AB144" s="110"/>
      <c r="AC144" s="110"/>
      <c r="AD144" s="110"/>
      <c r="AE144" s="110"/>
    </row>
    <row r="145" spans="1:31">
      <c r="A145" s="201" t="s">
        <v>1503</v>
      </c>
      <c r="C145" s="200">
        <v>91</v>
      </c>
      <c r="D145" s="200">
        <v>0.81999999999999984</v>
      </c>
      <c r="E145" s="200">
        <v>7.9055</v>
      </c>
      <c r="F145" s="200">
        <v>0.20949999999999999</v>
      </c>
      <c r="G145" s="200">
        <f t="shared" si="16"/>
        <v>8.1150000000000002</v>
      </c>
      <c r="H145" s="200">
        <v>7.9607000000000001</v>
      </c>
      <c r="I145" s="200">
        <f t="shared" si="17"/>
        <v>0.1543000000000001</v>
      </c>
      <c r="J145" s="200">
        <f t="shared" si="18"/>
        <v>5.5199999999999888E-2</v>
      </c>
      <c r="K145" s="277">
        <f t="shared" si="19"/>
        <v>26.348448687350785</v>
      </c>
      <c r="L145" s="200">
        <v>7</v>
      </c>
      <c r="M145" s="204">
        <v>43173</v>
      </c>
      <c r="N145" s="204">
        <v>43173</v>
      </c>
      <c r="O145" s="200" t="s">
        <v>2540</v>
      </c>
      <c r="P145" s="200" t="s">
        <v>2539</v>
      </c>
      <c r="AB145" s="110"/>
      <c r="AC145" s="110"/>
      <c r="AD145" s="110"/>
      <c r="AE145" s="110"/>
    </row>
    <row r="146" spans="1:31">
      <c r="A146" s="200" t="s">
        <v>1502</v>
      </c>
      <c r="C146" s="200">
        <v>51</v>
      </c>
      <c r="D146" s="201">
        <v>0.63549999999999995</v>
      </c>
      <c r="E146" s="200">
        <v>8.2193000000000005</v>
      </c>
      <c r="F146" s="201">
        <v>0.2001</v>
      </c>
      <c r="G146" s="200">
        <f t="shared" si="16"/>
        <v>8.4194000000000013</v>
      </c>
      <c r="H146" s="200">
        <v>8.2372999999999994</v>
      </c>
      <c r="I146" s="200">
        <f t="shared" si="17"/>
        <v>0.18210000000000193</v>
      </c>
      <c r="J146" s="200">
        <f t="shared" si="18"/>
        <v>1.7999999999998073E-2</v>
      </c>
      <c r="K146" s="277">
        <f t="shared" si="19"/>
        <v>8.9955022488745993</v>
      </c>
      <c r="L146" s="200">
        <v>24</v>
      </c>
      <c r="M146" s="200"/>
      <c r="N146" s="200"/>
      <c r="O146" s="200"/>
      <c r="P146" s="200"/>
      <c r="R146" s="196">
        <v>10</v>
      </c>
      <c r="S146" s="196">
        <v>0.62980000000000003</v>
      </c>
      <c r="U146" s="201" t="s">
        <v>958</v>
      </c>
      <c r="V146" s="196">
        <v>1.9059999999999999</v>
      </c>
      <c r="W146" s="196">
        <f>(V146-$T$175+F144)</f>
        <v>2.1120000000000001</v>
      </c>
      <c r="AB146" s="110"/>
      <c r="AC146" s="110"/>
      <c r="AD146" s="110"/>
      <c r="AE146" s="110"/>
    </row>
    <row r="147" spans="1:31">
      <c r="A147" s="196" t="s">
        <v>1501</v>
      </c>
      <c r="C147" s="197">
        <v>73</v>
      </c>
      <c r="D147" s="196">
        <v>0.58309999999999995</v>
      </c>
      <c r="E147" s="196">
        <v>8.8618000000000006</v>
      </c>
      <c r="F147" s="201">
        <v>0.20399999999999999</v>
      </c>
      <c r="G147" s="200">
        <f t="shared" ref="G147:G167" si="20">E147+F147</f>
        <v>9.0658000000000012</v>
      </c>
      <c r="H147" s="200">
        <v>8.8841999999999999</v>
      </c>
      <c r="I147" s="200">
        <f t="shared" si="17"/>
        <v>0.18160000000000132</v>
      </c>
      <c r="J147" s="200">
        <f t="shared" ref="J147:J167" si="21">F147-I147</f>
        <v>2.2399999999998671E-2</v>
      </c>
      <c r="K147" s="277">
        <f t="shared" ref="K147:K167" si="22">(J147/F147)*100</f>
        <v>10.980392156862093</v>
      </c>
      <c r="L147" s="200">
        <v>14</v>
      </c>
      <c r="P147" s="196" t="s">
        <v>2567</v>
      </c>
      <c r="AB147" s="110"/>
      <c r="AC147" s="110"/>
      <c r="AD147" s="110"/>
      <c r="AE147" s="110"/>
    </row>
    <row r="148" spans="1:31">
      <c r="A148" s="205" t="s">
        <v>1500</v>
      </c>
      <c r="C148" s="200">
        <v>36</v>
      </c>
      <c r="D148" s="201">
        <v>0.51780000000000004</v>
      </c>
      <c r="E148" s="201">
        <v>10.1157</v>
      </c>
      <c r="F148" s="201">
        <v>0.20710000000000001</v>
      </c>
      <c r="G148" s="200">
        <f t="shared" si="20"/>
        <v>10.322800000000001</v>
      </c>
      <c r="H148" s="200">
        <v>10.1289</v>
      </c>
      <c r="I148" s="200">
        <f t="shared" si="17"/>
        <v>0.19390000000000107</v>
      </c>
      <c r="J148" s="200">
        <f t="shared" si="21"/>
        <v>1.3199999999998935E-2</v>
      </c>
      <c r="K148" s="277">
        <f t="shared" si="22"/>
        <v>6.3737324963780466</v>
      </c>
      <c r="L148" s="200">
        <v>22</v>
      </c>
      <c r="M148" s="204">
        <v>43199</v>
      </c>
      <c r="N148" s="204">
        <v>43199</v>
      </c>
      <c r="O148" s="200"/>
      <c r="P148" s="200"/>
      <c r="AB148" s="110"/>
      <c r="AC148" s="110"/>
      <c r="AD148" s="110"/>
      <c r="AE148" s="110"/>
    </row>
    <row r="149" spans="1:31">
      <c r="A149" s="196" t="s">
        <v>1499</v>
      </c>
      <c r="C149" s="197">
        <v>181</v>
      </c>
      <c r="D149" s="196">
        <v>0.42820000000000003</v>
      </c>
      <c r="E149" s="200">
        <v>7.9611000000000001</v>
      </c>
      <c r="F149" s="201">
        <v>0.2046</v>
      </c>
      <c r="G149" s="200">
        <f t="shared" si="20"/>
        <v>8.1656999999999993</v>
      </c>
      <c r="H149" s="200">
        <v>7.9786000000000001</v>
      </c>
      <c r="I149" s="200">
        <f t="shared" si="17"/>
        <v>0.18709999999999916</v>
      </c>
      <c r="J149" s="200">
        <f t="shared" si="21"/>
        <v>1.7500000000000848E-2</v>
      </c>
      <c r="K149" s="277">
        <f t="shared" si="22"/>
        <v>8.5532746823073538</v>
      </c>
      <c r="L149" s="200">
        <v>39</v>
      </c>
      <c r="M149" s="203">
        <v>43212</v>
      </c>
      <c r="AB149" s="110"/>
      <c r="AC149" s="110"/>
      <c r="AD149" s="110"/>
      <c r="AE149" s="110"/>
    </row>
    <row r="150" spans="1:31">
      <c r="A150" s="196" t="s">
        <v>1498</v>
      </c>
      <c r="C150" s="197">
        <v>22</v>
      </c>
      <c r="D150" s="196">
        <v>0.54759999999999998</v>
      </c>
      <c r="E150" s="201">
        <v>10.4162</v>
      </c>
      <c r="F150" s="201">
        <v>0.20300000000000001</v>
      </c>
      <c r="G150" s="200">
        <f t="shared" si="20"/>
        <v>10.619199999999999</v>
      </c>
      <c r="H150" s="200">
        <v>10.4407</v>
      </c>
      <c r="I150" s="200">
        <f t="shared" si="17"/>
        <v>0.17849999999999966</v>
      </c>
      <c r="J150" s="200">
        <f t="shared" si="21"/>
        <v>2.4500000000000355E-2</v>
      </c>
      <c r="K150" s="277">
        <f t="shared" si="22"/>
        <v>12.068965517241553</v>
      </c>
      <c r="L150" s="200">
        <v>39</v>
      </c>
      <c r="AB150" s="110"/>
      <c r="AC150" s="110"/>
      <c r="AD150" s="110"/>
      <c r="AE150" s="110"/>
    </row>
    <row r="151" spans="1:31">
      <c r="A151" s="205" t="s">
        <v>1496</v>
      </c>
      <c r="C151" s="200">
        <v>64</v>
      </c>
      <c r="D151" s="201">
        <v>1.0066999999999999</v>
      </c>
      <c r="E151" s="200">
        <v>10.675000000000001</v>
      </c>
      <c r="F151" s="201">
        <v>0.20100000000000001</v>
      </c>
      <c r="G151" s="200">
        <f t="shared" si="20"/>
        <v>10.876000000000001</v>
      </c>
      <c r="H151" s="200">
        <v>10.749000000000001</v>
      </c>
      <c r="I151" s="200">
        <f t="shared" si="17"/>
        <v>0.12700000000000067</v>
      </c>
      <c r="J151" s="200">
        <f t="shared" si="21"/>
        <v>7.3999999999999344E-2</v>
      </c>
      <c r="K151" s="277">
        <f t="shared" si="22"/>
        <v>36.815920398009624</v>
      </c>
      <c r="L151" s="200">
        <v>20</v>
      </c>
      <c r="M151" s="204">
        <v>43206</v>
      </c>
      <c r="N151" s="204">
        <v>43206</v>
      </c>
      <c r="O151" s="200"/>
      <c r="P151" s="200"/>
      <c r="AB151" s="110"/>
      <c r="AC151" s="110"/>
      <c r="AD151" s="110"/>
      <c r="AE151" s="110"/>
    </row>
    <row r="152" spans="1:31">
      <c r="A152" s="200" t="s">
        <v>1494</v>
      </c>
      <c r="C152" s="196">
        <v>33</v>
      </c>
      <c r="D152" s="200">
        <v>0.43240000000000001</v>
      </c>
      <c r="E152" s="201">
        <v>8.8607999999999993</v>
      </c>
      <c r="F152" s="201">
        <v>0.20230000000000001</v>
      </c>
      <c r="G152" s="200">
        <f t="shared" si="20"/>
        <v>9.0630999999999986</v>
      </c>
      <c r="H152" s="200">
        <v>8.8826000000000001</v>
      </c>
      <c r="I152" s="200">
        <f t="shared" si="17"/>
        <v>0.18049999999999855</v>
      </c>
      <c r="J152" s="200">
        <f t="shared" si="21"/>
        <v>2.1800000000001457E-2</v>
      </c>
      <c r="K152" s="277">
        <f t="shared" si="22"/>
        <v>10.776075135937448</v>
      </c>
      <c r="L152" s="200">
        <v>18</v>
      </c>
      <c r="M152" s="206">
        <v>43186.458333333336</v>
      </c>
      <c r="N152" s="206">
        <v>43186.625</v>
      </c>
      <c r="O152" s="196" t="s">
        <v>2534</v>
      </c>
      <c r="P152" s="200"/>
      <c r="AB152" s="110"/>
      <c r="AC152" s="110"/>
      <c r="AD152" s="110"/>
      <c r="AE152" s="110"/>
    </row>
    <row r="153" spans="1:31">
      <c r="A153" s="205" t="s">
        <v>1493</v>
      </c>
      <c r="C153" s="200">
        <v>56</v>
      </c>
      <c r="D153" s="201">
        <v>0.53510000000000002</v>
      </c>
      <c r="E153" s="201">
        <v>10.503500000000001</v>
      </c>
      <c r="F153" s="201">
        <v>0.2056</v>
      </c>
      <c r="G153" s="200">
        <f t="shared" si="20"/>
        <v>10.709100000000001</v>
      </c>
      <c r="H153" s="200">
        <v>10.5266</v>
      </c>
      <c r="I153" s="200">
        <f t="shared" si="17"/>
        <v>0.18250000000000099</v>
      </c>
      <c r="J153" s="200">
        <f t="shared" si="21"/>
        <v>2.309999999999901E-2</v>
      </c>
      <c r="K153" s="277">
        <f t="shared" si="22"/>
        <v>11.235408560310804</v>
      </c>
      <c r="L153" s="200">
        <v>11</v>
      </c>
      <c r="M153" s="200"/>
      <c r="N153" s="200"/>
      <c r="O153" s="200"/>
      <c r="P153" s="200"/>
      <c r="U153" s="201" t="s">
        <v>1596</v>
      </c>
      <c r="V153" s="196">
        <v>0.88949999999999996</v>
      </c>
      <c r="W153" s="196">
        <f>(V153-$T$175+F151)</f>
        <v>1.0905</v>
      </c>
      <c r="AB153" s="110"/>
      <c r="AC153" s="110"/>
      <c r="AD153" s="110"/>
      <c r="AE153" s="110"/>
    </row>
    <row r="154" spans="1:31">
      <c r="A154" s="205" t="s">
        <v>1490</v>
      </c>
      <c r="C154" s="200">
        <v>212</v>
      </c>
      <c r="D154" s="200">
        <v>1.1640999999999999</v>
      </c>
      <c r="E154" s="200">
        <v>8.1172000000000004</v>
      </c>
      <c r="F154" s="200">
        <v>0.20930000000000001</v>
      </c>
      <c r="G154" s="200">
        <f t="shared" si="20"/>
        <v>8.3265000000000011</v>
      </c>
      <c r="H154" s="200">
        <v>8.1989999999999998</v>
      </c>
      <c r="I154" s="200">
        <f t="shared" si="17"/>
        <v>0.12750000000000128</v>
      </c>
      <c r="J154" s="200">
        <f t="shared" si="21"/>
        <v>8.1799999999998735E-2</v>
      </c>
      <c r="K154" s="277">
        <f t="shared" si="22"/>
        <v>39.082656473960213</v>
      </c>
      <c r="L154" s="200">
        <v>3</v>
      </c>
      <c r="M154" s="202">
        <v>43171.520833333336</v>
      </c>
      <c r="N154" s="202">
        <v>43171.6875</v>
      </c>
      <c r="O154" s="196" t="s">
        <v>2534</v>
      </c>
      <c r="P154" s="200"/>
      <c r="AB154" s="110"/>
      <c r="AC154" s="110"/>
      <c r="AD154" s="110"/>
      <c r="AE154" s="110"/>
    </row>
    <row r="155" spans="1:31">
      <c r="A155" s="196" t="s">
        <v>1489</v>
      </c>
      <c r="C155" s="196">
        <v>86</v>
      </c>
      <c r="D155" s="196">
        <v>0.55600000000000005</v>
      </c>
      <c r="E155" s="196">
        <v>19.649999999999999</v>
      </c>
      <c r="F155" s="196">
        <v>0.20119999999999999</v>
      </c>
      <c r="G155" s="196">
        <f t="shared" si="20"/>
        <v>19.851199999999999</v>
      </c>
      <c r="H155" s="196">
        <v>19.6675</v>
      </c>
      <c r="I155" s="196">
        <f t="shared" si="17"/>
        <v>0.1836999999999982</v>
      </c>
      <c r="J155" s="200">
        <f t="shared" si="21"/>
        <v>1.7500000000001792E-2</v>
      </c>
      <c r="K155" s="277">
        <f t="shared" si="22"/>
        <v>8.6978131212732563</v>
      </c>
      <c r="L155" s="196">
        <v>12</v>
      </c>
      <c r="M155" s="196" t="s">
        <v>2564</v>
      </c>
      <c r="N155" s="196" t="s">
        <v>2563</v>
      </c>
      <c r="O155" s="196" t="s">
        <v>2540</v>
      </c>
      <c r="AB155" s="110"/>
      <c r="AC155" s="110"/>
      <c r="AD155" s="110"/>
      <c r="AE155" s="110"/>
    </row>
    <row r="156" spans="1:31">
      <c r="A156" s="205" t="s">
        <v>1487</v>
      </c>
      <c r="C156" s="200">
        <v>116</v>
      </c>
      <c r="D156" s="201">
        <v>0.43070000000000003</v>
      </c>
      <c r="E156" s="201">
        <v>7.1894999999999998</v>
      </c>
      <c r="F156" s="201">
        <v>0.20100000000000001</v>
      </c>
      <c r="G156" s="200">
        <f t="shared" si="20"/>
        <v>7.3904999999999994</v>
      </c>
      <c r="H156" s="200">
        <v>7.2225999999999999</v>
      </c>
      <c r="I156" s="200">
        <f t="shared" si="17"/>
        <v>0.16789999999999949</v>
      </c>
      <c r="J156" s="200">
        <f t="shared" si="21"/>
        <v>3.3100000000000518E-2</v>
      </c>
      <c r="K156" s="277">
        <f t="shared" si="22"/>
        <v>16.467661691542546</v>
      </c>
      <c r="L156" s="200">
        <v>15</v>
      </c>
      <c r="M156" s="202">
        <v>43181.645833333336</v>
      </c>
      <c r="N156" s="202">
        <v>43181.833333333336</v>
      </c>
      <c r="O156" s="200" t="s">
        <v>2540</v>
      </c>
      <c r="P156" s="200"/>
      <c r="AB156" s="110"/>
      <c r="AC156" s="110"/>
      <c r="AD156" s="110"/>
      <c r="AE156" s="110"/>
    </row>
    <row r="157" spans="1:31">
      <c r="A157" s="196" t="s">
        <v>1486</v>
      </c>
      <c r="C157" s="197">
        <v>185</v>
      </c>
      <c r="D157" s="196">
        <v>0.44240000000000002</v>
      </c>
      <c r="E157" s="201">
        <v>10.0556</v>
      </c>
      <c r="F157" s="201">
        <v>0.2016</v>
      </c>
      <c r="G157" s="200">
        <f t="shared" si="20"/>
        <v>10.257200000000001</v>
      </c>
      <c r="H157" s="200">
        <v>10.0726</v>
      </c>
      <c r="I157" s="200">
        <f t="shared" si="17"/>
        <v>0.18460000000000143</v>
      </c>
      <c r="J157" s="200">
        <f t="shared" si="21"/>
        <v>1.6999999999998572E-2</v>
      </c>
      <c r="K157" s="277">
        <f t="shared" si="22"/>
        <v>8.4325396825389731</v>
      </c>
      <c r="L157" s="200">
        <v>3</v>
      </c>
      <c r="AB157" s="110"/>
      <c r="AC157" s="110"/>
      <c r="AD157" s="110"/>
      <c r="AE157" s="110"/>
    </row>
    <row r="158" spans="1:31">
      <c r="A158" s="196" t="s">
        <v>1485</v>
      </c>
      <c r="C158" s="196">
        <v>62</v>
      </c>
      <c r="D158" s="196">
        <v>0.68069999999999997</v>
      </c>
      <c r="E158" s="196">
        <v>11.747999999999999</v>
      </c>
      <c r="F158" s="196">
        <v>0.20549999999999999</v>
      </c>
      <c r="G158" s="196">
        <f t="shared" si="20"/>
        <v>11.9535</v>
      </c>
      <c r="H158" s="196">
        <v>11.7906</v>
      </c>
      <c r="I158" s="196">
        <f t="shared" si="17"/>
        <v>0.16290000000000049</v>
      </c>
      <c r="J158" s="200">
        <f t="shared" si="21"/>
        <v>4.2599999999999499E-2</v>
      </c>
      <c r="K158" s="277">
        <f t="shared" si="22"/>
        <v>20.729927007299029</v>
      </c>
      <c r="L158" s="196">
        <v>45</v>
      </c>
      <c r="M158" s="196" t="s">
        <v>2570</v>
      </c>
      <c r="N158" s="196" t="s">
        <v>2569</v>
      </c>
      <c r="O158" s="196" t="s">
        <v>2534</v>
      </c>
      <c r="AB158" s="110"/>
      <c r="AC158" s="110"/>
      <c r="AD158" s="110"/>
      <c r="AE158" s="110"/>
    </row>
    <row r="159" spans="1:31">
      <c r="A159" s="196" t="s">
        <v>1484</v>
      </c>
      <c r="C159" s="196">
        <v>39</v>
      </c>
      <c r="D159" s="196">
        <v>0.57299999999999995</v>
      </c>
      <c r="E159" s="196">
        <v>7.8696000000000002</v>
      </c>
      <c r="F159" s="196">
        <v>0.20100000000000001</v>
      </c>
      <c r="G159" s="196">
        <f t="shared" si="20"/>
        <v>8.0706000000000007</v>
      </c>
      <c r="H159" s="196">
        <v>7.8784999999999998</v>
      </c>
      <c r="I159" s="196">
        <f t="shared" si="17"/>
        <v>0.19210000000000083</v>
      </c>
      <c r="J159" s="200">
        <f t="shared" si="21"/>
        <v>8.8999999999991863E-3</v>
      </c>
      <c r="K159" s="277">
        <f t="shared" si="22"/>
        <v>4.4278606965170084</v>
      </c>
      <c r="L159" s="196">
        <v>27</v>
      </c>
      <c r="M159" s="196" t="s">
        <v>2570</v>
      </c>
      <c r="N159" s="196" t="s">
        <v>2569</v>
      </c>
      <c r="O159" s="196" t="s">
        <v>2534</v>
      </c>
      <c r="AB159" s="110"/>
      <c r="AC159" s="110"/>
      <c r="AD159" s="110"/>
      <c r="AE159" s="110"/>
    </row>
    <row r="160" spans="1:31">
      <c r="A160" s="200" t="s">
        <v>1483</v>
      </c>
      <c r="C160" s="200">
        <v>151</v>
      </c>
      <c r="D160" s="196">
        <v>0.56779999999999997</v>
      </c>
      <c r="E160" s="196">
        <v>9.0214999999999996</v>
      </c>
      <c r="F160" s="196">
        <v>0.2077</v>
      </c>
      <c r="G160" s="196">
        <f t="shared" si="20"/>
        <v>9.2291999999999987</v>
      </c>
      <c r="H160" s="196">
        <v>9.0632000000000001</v>
      </c>
      <c r="I160" s="196">
        <f t="shared" si="17"/>
        <v>0.16599999999999859</v>
      </c>
      <c r="J160" s="200">
        <f t="shared" si="21"/>
        <v>4.1700000000001403E-2</v>
      </c>
      <c r="K160" s="277">
        <f t="shared" si="22"/>
        <v>20.077034183919789</v>
      </c>
      <c r="L160" s="196">
        <v>13</v>
      </c>
      <c r="M160" s="206">
        <v>43160.520833333336</v>
      </c>
      <c r="N160" s="206">
        <v>43160.6875</v>
      </c>
      <c r="O160" s="196" t="s">
        <v>2534</v>
      </c>
      <c r="AB160" s="110"/>
      <c r="AC160" s="110"/>
      <c r="AD160" s="110"/>
      <c r="AE160" s="110"/>
    </row>
    <row r="161" spans="1:50">
      <c r="A161" s="196" t="s">
        <v>1482</v>
      </c>
      <c r="C161" s="197">
        <v>2</v>
      </c>
      <c r="D161" s="196">
        <v>0.44080000000000003</v>
      </c>
      <c r="E161" s="201">
        <v>10.1248</v>
      </c>
      <c r="F161" s="201">
        <v>0.2011</v>
      </c>
      <c r="G161" s="200">
        <f t="shared" si="20"/>
        <v>10.325900000000001</v>
      </c>
      <c r="H161" s="200">
        <v>10.1419</v>
      </c>
      <c r="I161" s="200">
        <f t="shared" si="17"/>
        <v>0.18400000000000105</v>
      </c>
      <c r="J161" s="200">
        <f t="shared" si="21"/>
        <v>1.7099999999998949E-2</v>
      </c>
      <c r="K161" s="277">
        <f t="shared" si="22"/>
        <v>8.5032322227742174</v>
      </c>
      <c r="L161" s="200">
        <v>8</v>
      </c>
      <c r="M161" s="203">
        <v>43221</v>
      </c>
      <c r="N161" s="203">
        <v>43221</v>
      </c>
      <c r="T161" s="203"/>
      <c r="U161" s="203"/>
      <c r="AB161" s="110"/>
      <c r="AC161" s="110"/>
      <c r="AD161" s="110"/>
      <c r="AE161" s="110"/>
    </row>
    <row r="162" spans="1:50">
      <c r="A162" t="s">
        <v>1481</v>
      </c>
      <c r="C162"/>
      <c r="D162">
        <v>0.61140000000000005</v>
      </c>
      <c r="E162">
        <v>11.108000000000001</v>
      </c>
      <c r="F162">
        <v>0.22140000000000001</v>
      </c>
      <c r="G162" s="285">
        <f t="shared" si="20"/>
        <v>11.3294</v>
      </c>
      <c r="H162" s="281">
        <v>11.140599999999999</v>
      </c>
      <c r="I162" s="285">
        <f>G162-H162</f>
        <v>0.18880000000000052</v>
      </c>
      <c r="J162" s="280">
        <f t="shared" si="21"/>
        <v>3.259999999999949E-2</v>
      </c>
      <c r="K162" s="282">
        <f t="shared" si="22"/>
        <v>14.724480578138884</v>
      </c>
      <c r="L162">
        <v>15</v>
      </c>
      <c r="M162" s="283">
        <v>43379</v>
      </c>
      <c r="N162" s="283">
        <v>43379</v>
      </c>
      <c r="O162" s="280"/>
      <c r="P162" t="s">
        <v>3933</v>
      </c>
      <c r="Q162"/>
      <c r="R162" s="28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1:50">
      <c r="A163" s="196" t="s">
        <v>1479</v>
      </c>
      <c r="C163" s="196">
        <v>17</v>
      </c>
      <c r="D163" s="196">
        <v>0.50049999999999994</v>
      </c>
      <c r="E163" s="200">
        <v>11.171799999999999</v>
      </c>
      <c r="F163" s="201">
        <v>0.20369999999999999</v>
      </c>
      <c r="G163" s="200">
        <f t="shared" si="20"/>
        <v>11.375499999999999</v>
      </c>
      <c r="H163" s="200">
        <v>11.1915</v>
      </c>
      <c r="I163" s="200">
        <f>(G163-H163)</f>
        <v>0.18399999999999928</v>
      </c>
      <c r="J163" s="200">
        <f t="shared" si="21"/>
        <v>1.9700000000000717E-2</v>
      </c>
      <c r="K163" s="277">
        <f t="shared" si="22"/>
        <v>9.6710849288172405</v>
      </c>
      <c r="L163" s="200">
        <v>18</v>
      </c>
      <c r="M163" s="203">
        <v>43213</v>
      </c>
      <c r="N163" s="203">
        <v>43213</v>
      </c>
      <c r="AB163" s="110"/>
      <c r="AC163" s="110"/>
      <c r="AD163" s="110"/>
      <c r="AE163" s="110"/>
    </row>
    <row r="164" spans="1:50">
      <c r="A164" s="200" t="s">
        <v>1478</v>
      </c>
      <c r="C164" s="200">
        <v>213</v>
      </c>
      <c r="D164" s="200">
        <v>0.49080000000000001</v>
      </c>
      <c r="E164" s="200">
        <v>9.8213000000000008</v>
      </c>
      <c r="F164" s="200">
        <v>0.2019</v>
      </c>
      <c r="G164" s="200">
        <f t="shared" si="20"/>
        <v>10.023200000000001</v>
      </c>
      <c r="H164" s="200">
        <v>9.8420000000000005</v>
      </c>
      <c r="I164" s="200">
        <f>(G164-H164)</f>
        <v>0.18120000000000047</v>
      </c>
      <c r="J164" s="200">
        <f t="shared" si="21"/>
        <v>2.0699999999999524E-2</v>
      </c>
      <c r="K164" s="277">
        <f t="shared" si="22"/>
        <v>10.252600297176585</v>
      </c>
      <c r="L164" s="200">
        <v>8</v>
      </c>
      <c r="M164" s="204">
        <v>43188</v>
      </c>
      <c r="N164" s="204">
        <v>43188</v>
      </c>
      <c r="O164" s="200"/>
      <c r="P164" s="200"/>
      <c r="AB164" s="110"/>
      <c r="AC164" s="110"/>
      <c r="AD164" s="110"/>
      <c r="AE164" s="110"/>
    </row>
    <row r="165" spans="1:50">
      <c r="A165" s="205" t="s">
        <v>1477</v>
      </c>
      <c r="C165" s="200">
        <v>18</v>
      </c>
      <c r="D165" s="200">
        <v>0.4874</v>
      </c>
      <c r="E165" s="200">
        <v>7.9055</v>
      </c>
      <c r="F165" s="201">
        <v>0.20780000000000001</v>
      </c>
      <c r="G165" s="200">
        <f t="shared" si="20"/>
        <v>8.1133000000000006</v>
      </c>
      <c r="H165" s="200">
        <v>7.9348000000000001</v>
      </c>
      <c r="I165" s="200">
        <f>(G165-H165)</f>
        <v>0.17850000000000055</v>
      </c>
      <c r="J165" s="200">
        <f t="shared" si="21"/>
        <v>2.9299999999999465E-2</v>
      </c>
      <c r="K165" s="277">
        <f t="shared" si="22"/>
        <v>14.100096246390503</v>
      </c>
      <c r="L165" s="200">
        <v>9</v>
      </c>
      <c r="M165" s="204">
        <v>43187</v>
      </c>
      <c r="N165" s="204">
        <v>43187</v>
      </c>
      <c r="O165" s="200"/>
      <c r="P165" s="200" t="s">
        <v>2476</v>
      </c>
      <c r="AB165" s="110"/>
      <c r="AC165" s="110"/>
      <c r="AD165" s="110"/>
      <c r="AE165" s="110"/>
    </row>
    <row r="166" spans="1:50">
      <c r="A166" s="200" t="s">
        <v>1476</v>
      </c>
      <c r="C166" s="200">
        <v>207</v>
      </c>
      <c r="D166" s="200">
        <v>0.54110000000000003</v>
      </c>
      <c r="E166" s="201">
        <v>10.6175</v>
      </c>
      <c r="F166" s="201">
        <v>0.2</v>
      </c>
      <c r="G166" s="200">
        <f t="shared" si="20"/>
        <v>10.817499999999999</v>
      </c>
      <c r="H166" s="200">
        <v>10.6647</v>
      </c>
      <c r="I166" s="200">
        <f>(G166-H166)</f>
        <v>0.15279999999999916</v>
      </c>
      <c r="J166" s="200">
        <f t="shared" si="21"/>
        <v>4.7200000000000852E-2</v>
      </c>
      <c r="K166" s="277">
        <f t="shared" si="22"/>
        <v>23.600000000000428</v>
      </c>
      <c r="L166" s="200">
        <v>8</v>
      </c>
      <c r="M166" s="204">
        <v>43197</v>
      </c>
      <c r="N166" s="204">
        <v>43197</v>
      </c>
      <c r="O166" s="200"/>
      <c r="P166" s="200"/>
      <c r="AB166" s="110"/>
      <c r="AC166" s="110"/>
      <c r="AD166" s="110"/>
      <c r="AE166" s="110"/>
    </row>
    <row r="167" spans="1:50">
      <c r="A167" s="196" t="s">
        <v>1475</v>
      </c>
      <c r="C167" s="197">
        <v>22</v>
      </c>
      <c r="D167" s="196">
        <v>0.53739999999999999</v>
      </c>
      <c r="E167" s="201">
        <v>9.7211999999999996</v>
      </c>
      <c r="F167" s="201">
        <v>0.20150000000000001</v>
      </c>
      <c r="G167" s="200">
        <f t="shared" si="20"/>
        <v>9.922699999999999</v>
      </c>
      <c r="H167" s="200">
        <v>9.7409999999999997</v>
      </c>
      <c r="I167" s="200">
        <f>(G167-H167)</f>
        <v>0.18169999999999931</v>
      </c>
      <c r="J167" s="200">
        <f t="shared" si="21"/>
        <v>1.9800000000000706E-2</v>
      </c>
      <c r="K167" s="277">
        <f t="shared" si="22"/>
        <v>9.8263027295288854</v>
      </c>
      <c r="L167" s="200">
        <v>8</v>
      </c>
      <c r="AB167" s="110"/>
      <c r="AC167" s="110"/>
      <c r="AD167" s="110"/>
      <c r="AE167" s="110"/>
    </row>
    <row r="168" spans="1:50">
      <c r="A168" s="196" t="s">
        <v>1474</v>
      </c>
      <c r="P168" s="196" t="s">
        <v>3914</v>
      </c>
    </row>
    <row r="169" spans="1:50">
      <c r="A169" s="196" t="s">
        <v>1473</v>
      </c>
      <c r="C169" s="197">
        <v>5</v>
      </c>
      <c r="D169" s="196">
        <v>0.2429</v>
      </c>
      <c r="E169" s="201">
        <v>10.540100000000001</v>
      </c>
      <c r="F169" s="201">
        <v>0.20069999999999999</v>
      </c>
      <c r="G169" s="200">
        <f t="shared" ref="G169:G200" si="23">E169+F169</f>
        <v>10.7408</v>
      </c>
      <c r="H169" s="200">
        <v>10.568899999999999</v>
      </c>
      <c r="I169" s="200">
        <f t="shared" ref="I169:I192" si="24">(G169-H169)</f>
        <v>0.17190000000000083</v>
      </c>
      <c r="J169" s="200">
        <f t="shared" ref="J169:J200" si="25">F169-I169</f>
        <v>2.879999999999916E-2</v>
      </c>
      <c r="K169" s="277">
        <f t="shared" ref="K169:K200" si="26">(J169/F169)*100</f>
        <v>14.349775784752945</v>
      </c>
      <c r="L169" s="200">
        <v>22</v>
      </c>
      <c r="AB169" s="110"/>
      <c r="AC169" s="110"/>
      <c r="AD169" s="110"/>
      <c r="AE169" s="110"/>
    </row>
    <row r="170" spans="1:50">
      <c r="A170" s="196" t="s">
        <v>1471</v>
      </c>
      <c r="C170" s="196">
        <v>74</v>
      </c>
      <c r="D170" s="196">
        <v>0.52349999999999997</v>
      </c>
      <c r="E170" s="196">
        <v>7.9614000000000003</v>
      </c>
      <c r="F170" s="196">
        <v>0.1993</v>
      </c>
      <c r="G170" s="196">
        <f t="shared" si="23"/>
        <v>8.1607000000000003</v>
      </c>
      <c r="H170" s="196">
        <v>7.9794999999999998</v>
      </c>
      <c r="I170" s="196">
        <f t="shared" si="24"/>
        <v>0.18120000000000047</v>
      </c>
      <c r="J170" s="200">
        <f t="shared" si="25"/>
        <v>1.8099999999999533E-2</v>
      </c>
      <c r="K170" s="277">
        <f t="shared" si="26"/>
        <v>9.0817862518813506</v>
      </c>
      <c r="L170" s="196">
        <v>6</v>
      </c>
      <c r="M170" s="196" t="s">
        <v>2564</v>
      </c>
      <c r="N170" s="196" t="s">
        <v>2563</v>
      </c>
      <c r="O170" s="196" t="s">
        <v>2540</v>
      </c>
      <c r="AB170" s="110"/>
      <c r="AC170" s="110"/>
      <c r="AD170" s="110"/>
      <c r="AE170" s="110"/>
    </row>
    <row r="171" spans="1:50">
      <c r="A171" s="205" t="s">
        <v>1469</v>
      </c>
      <c r="C171" s="200">
        <v>214</v>
      </c>
      <c r="D171" s="200">
        <v>0.44280000000000003</v>
      </c>
      <c r="E171" s="200">
        <v>8.8611000000000004</v>
      </c>
      <c r="F171" s="200">
        <v>0.20580000000000001</v>
      </c>
      <c r="G171" s="200">
        <f t="shared" si="23"/>
        <v>9.0669000000000004</v>
      </c>
      <c r="H171" s="200">
        <v>8.8782999999999994</v>
      </c>
      <c r="I171" s="200">
        <f t="shared" si="24"/>
        <v>0.18860000000000099</v>
      </c>
      <c r="J171" s="200">
        <f t="shared" si="25"/>
        <v>1.7199999999999022E-2</v>
      </c>
      <c r="K171" s="277">
        <f t="shared" si="26"/>
        <v>8.3576287657915547</v>
      </c>
      <c r="L171" s="200">
        <v>7</v>
      </c>
      <c r="M171" s="202">
        <v>43164.628472222219</v>
      </c>
      <c r="N171" s="202">
        <v>43164.795138888891</v>
      </c>
      <c r="O171" s="196" t="s">
        <v>2534</v>
      </c>
      <c r="P171" s="200"/>
      <c r="AB171" s="110"/>
      <c r="AC171" s="110"/>
      <c r="AD171" s="110"/>
      <c r="AE171" s="110"/>
    </row>
    <row r="172" spans="1:50">
      <c r="A172" s="205" t="s">
        <v>1468</v>
      </c>
      <c r="C172" s="200">
        <v>40</v>
      </c>
      <c r="D172" s="200">
        <v>0.65359999999999996</v>
      </c>
      <c r="E172" s="200">
        <v>9.3191000000000006</v>
      </c>
      <c r="F172" s="201">
        <v>0.1993</v>
      </c>
      <c r="G172" s="200">
        <f t="shared" si="23"/>
        <v>9.5183999999999997</v>
      </c>
      <c r="H172" s="200">
        <v>9.3520000000000003</v>
      </c>
      <c r="I172" s="200">
        <f t="shared" si="24"/>
        <v>0.16639999999999944</v>
      </c>
      <c r="J172" s="200">
        <f t="shared" si="25"/>
        <v>3.2900000000000568E-2</v>
      </c>
      <c r="K172" s="277">
        <f t="shared" si="26"/>
        <v>16.507777220271233</v>
      </c>
      <c r="L172" s="200">
        <v>10</v>
      </c>
      <c r="M172" s="204">
        <v>43211</v>
      </c>
      <c r="P172" s="200"/>
      <c r="AB172" s="110"/>
      <c r="AC172" s="110"/>
      <c r="AD172" s="110"/>
      <c r="AE172" s="110"/>
    </row>
    <row r="173" spans="1:50">
      <c r="A173" s="196" t="s">
        <v>1467</v>
      </c>
      <c r="C173" s="196">
        <v>27</v>
      </c>
      <c r="D173" s="196">
        <v>0.45469999999999999</v>
      </c>
      <c r="E173" s="201">
        <v>7.9934000000000003</v>
      </c>
      <c r="F173" s="201">
        <v>0.2046</v>
      </c>
      <c r="G173" s="200">
        <f t="shared" si="23"/>
        <v>8.1980000000000004</v>
      </c>
      <c r="H173" s="200">
        <v>8.0195000000000007</v>
      </c>
      <c r="I173" s="200">
        <f t="shared" si="24"/>
        <v>0.17849999999999966</v>
      </c>
      <c r="J173" s="200">
        <f t="shared" si="25"/>
        <v>2.6100000000000345E-2</v>
      </c>
      <c r="K173" s="277">
        <f t="shared" si="26"/>
        <v>12.756598240469378</v>
      </c>
      <c r="L173" s="200">
        <v>10</v>
      </c>
      <c r="AB173" s="110"/>
      <c r="AC173" s="110"/>
      <c r="AD173" s="110"/>
      <c r="AE173" s="110"/>
    </row>
    <row r="174" spans="1:50">
      <c r="A174" s="196" t="s">
        <v>1466</v>
      </c>
      <c r="C174" s="197">
        <v>193</v>
      </c>
      <c r="D174" s="196">
        <v>0.45090000000000002</v>
      </c>
      <c r="E174" s="201">
        <v>11.023</v>
      </c>
      <c r="F174" s="201">
        <v>0.20319999999999999</v>
      </c>
      <c r="G174" s="200">
        <f t="shared" si="23"/>
        <v>11.2262</v>
      </c>
      <c r="H174" s="200">
        <v>11.039099999999999</v>
      </c>
      <c r="I174" s="200">
        <f t="shared" si="24"/>
        <v>0.18710000000000093</v>
      </c>
      <c r="J174" s="200">
        <f t="shared" si="25"/>
        <v>1.609999999999906E-2</v>
      </c>
      <c r="K174" s="277">
        <f t="shared" si="26"/>
        <v>7.9232283464562308</v>
      </c>
      <c r="L174" s="200">
        <v>19</v>
      </c>
      <c r="AB174" s="110"/>
      <c r="AC174" s="110"/>
      <c r="AD174" s="110"/>
      <c r="AE174" s="110"/>
    </row>
    <row r="175" spans="1:50">
      <c r="A175" s="200" t="s">
        <v>1465</v>
      </c>
      <c r="C175" s="196">
        <v>183</v>
      </c>
      <c r="D175" s="200">
        <v>0.51190000000000002</v>
      </c>
      <c r="E175" s="201">
        <v>10.1073</v>
      </c>
      <c r="F175" s="201">
        <v>0.20580000000000001</v>
      </c>
      <c r="G175" s="200">
        <f t="shared" si="23"/>
        <v>10.3131</v>
      </c>
      <c r="H175" s="200">
        <v>10.1282</v>
      </c>
      <c r="I175" s="200">
        <f t="shared" si="24"/>
        <v>0.18490000000000073</v>
      </c>
      <c r="J175" s="200">
        <f t="shared" si="25"/>
        <v>2.089999999999928E-2</v>
      </c>
      <c r="K175" s="277">
        <f t="shared" si="26"/>
        <v>10.155490767735316</v>
      </c>
      <c r="L175" s="200">
        <v>13</v>
      </c>
      <c r="M175" s="206">
        <v>43186.458333333336</v>
      </c>
      <c r="N175" s="206">
        <v>43186.625</v>
      </c>
      <c r="O175" s="196" t="s">
        <v>2534</v>
      </c>
      <c r="P175" s="200"/>
      <c r="AB175" s="110"/>
      <c r="AC175" s="110"/>
      <c r="AD175" s="110"/>
      <c r="AE175" s="110"/>
    </row>
    <row r="176" spans="1:50">
      <c r="A176" s="196" t="s">
        <v>1463</v>
      </c>
      <c r="C176" s="197">
        <v>218</v>
      </c>
      <c r="D176" s="196">
        <v>0.53339999999999999</v>
      </c>
      <c r="E176" s="201">
        <v>11.903499999999999</v>
      </c>
      <c r="F176" s="201">
        <v>0.20280000000000001</v>
      </c>
      <c r="G176" s="200">
        <f t="shared" si="23"/>
        <v>12.106299999999999</v>
      </c>
      <c r="H176" s="200">
        <v>11.93</v>
      </c>
      <c r="I176" s="200">
        <f t="shared" si="24"/>
        <v>0.17629999999999946</v>
      </c>
      <c r="J176" s="200">
        <f t="shared" si="25"/>
        <v>2.6500000000000551E-2</v>
      </c>
      <c r="K176" s="277">
        <f t="shared" si="26"/>
        <v>13.067061143984493</v>
      </c>
      <c r="L176" s="200">
        <v>16</v>
      </c>
      <c r="AB176" s="110"/>
      <c r="AC176" s="110"/>
      <c r="AD176" s="110"/>
      <c r="AE176" s="110"/>
    </row>
    <row r="177" spans="1:31">
      <c r="A177" s="205" t="s">
        <v>1459</v>
      </c>
      <c r="C177" s="200">
        <v>192</v>
      </c>
      <c r="D177" s="200">
        <v>0.45319999999999999</v>
      </c>
      <c r="E177" s="201">
        <v>10.115600000000001</v>
      </c>
      <c r="F177" s="201">
        <v>0.20150000000000001</v>
      </c>
      <c r="G177" s="200">
        <f t="shared" si="23"/>
        <v>10.3171</v>
      </c>
      <c r="H177" s="200">
        <v>10.1364</v>
      </c>
      <c r="I177" s="200">
        <f t="shared" si="24"/>
        <v>0.18069999999999986</v>
      </c>
      <c r="J177" s="200">
        <f t="shared" si="25"/>
        <v>2.0800000000000152E-2</v>
      </c>
      <c r="K177" s="277">
        <f t="shared" si="26"/>
        <v>10.322580645161365</v>
      </c>
      <c r="L177" s="200">
        <v>17</v>
      </c>
      <c r="M177" s="206">
        <v>43185.385416666664</v>
      </c>
      <c r="N177" s="200"/>
      <c r="O177" s="200" t="s">
        <v>2540</v>
      </c>
      <c r="P177" s="200"/>
      <c r="AB177" s="110"/>
      <c r="AC177" s="110"/>
      <c r="AD177" s="110"/>
      <c r="AE177" s="110"/>
    </row>
    <row r="178" spans="1:31">
      <c r="A178" s="196" t="s">
        <v>1458</v>
      </c>
      <c r="C178" s="196">
        <v>90</v>
      </c>
      <c r="D178" s="196">
        <v>0.80169999999999997</v>
      </c>
      <c r="E178" s="196">
        <v>20.895399999999999</v>
      </c>
      <c r="F178" s="196">
        <v>0.19989999999999999</v>
      </c>
      <c r="G178" s="196">
        <f t="shared" si="23"/>
        <v>21.095299999999998</v>
      </c>
      <c r="H178" s="196">
        <v>20.9617</v>
      </c>
      <c r="I178" s="196">
        <f t="shared" si="24"/>
        <v>0.13359999999999772</v>
      </c>
      <c r="J178" s="200">
        <f t="shared" si="25"/>
        <v>6.6300000000002274E-2</v>
      </c>
      <c r="K178" s="277">
        <f t="shared" si="26"/>
        <v>33.166583291646958</v>
      </c>
      <c r="L178" s="196">
        <v>20</v>
      </c>
      <c r="M178" s="196" t="s">
        <v>2564</v>
      </c>
      <c r="N178" s="196" t="s">
        <v>2563</v>
      </c>
      <c r="O178" s="196" t="s">
        <v>2540</v>
      </c>
      <c r="AB178" s="110"/>
      <c r="AC178" s="110"/>
      <c r="AD178" s="110"/>
      <c r="AE178" s="110"/>
    </row>
    <row r="179" spans="1:31">
      <c r="A179" s="196" t="s">
        <v>1457</v>
      </c>
      <c r="C179" s="196">
        <v>58</v>
      </c>
      <c r="D179" s="196">
        <v>0.74560000000000004</v>
      </c>
      <c r="E179" s="196">
        <v>7.1924000000000001</v>
      </c>
      <c r="F179" s="196">
        <v>0.2006</v>
      </c>
      <c r="G179" s="196">
        <f t="shared" si="23"/>
        <v>7.3929999999999998</v>
      </c>
      <c r="H179" s="196">
        <v>7.2172999999999998</v>
      </c>
      <c r="I179" s="196">
        <f t="shared" si="24"/>
        <v>0.17569999999999997</v>
      </c>
      <c r="J179" s="200">
        <f t="shared" si="25"/>
        <v>2.4900000000000033E-2</v>
      </c>
      <c r="K179" s="277">
        <f t="shared" si="26"/>
        <v>12.412761714855449</v>
      </c>
      <c r="L179" s="196">
        <v>39</v>
      </c>
      <c r="M179" s="196" t="s">
        <v>2570</v>
      </c>
      <c r="N179" s="196" t="s">
        <v>2569</v>
      </c>
      <c r="O179" s="196" t="s">
        <v>2534</v>
      </c>
      <c r="U179" s="201" t="s">
        <v>1114</v>
      </c>
      <c r="V179" s="196">
        <v>1.8498000000000001</v>
      </c>
      <c r="W179" s="196">
        <f>(V179-$T$175+F177)</f>
        <v>2.0513000000000003</v>
      </c>
      <c r="AB179" s="110"/>
      <c r="AC179" s="110"/>
      <c r="AD179" s="110"/>
      <c r="AE179" s="110"/>
    </row>
    <row r="180" spans="1:31">
      <c r="A180" s="200" t="s">
        <v>1456</v>
      </c>
      <c r="C180" s="200">
        <v>77</v>
      </c>
      <c r="D180" s="200">
        <v>0.72550000000000003</v>
      </c>
      <c r="E180" s="200">
        <v>10.143700000000001</v>
      </c>
      <c r="F180" s="201">
        <v>0.20519999999999999</v>
      </c>
      <c r="G180" s="200">
        <f t="shared" si="23"/>
        <v>10.3489</v>
      </c>
      <c r="H180" s="200">
        <v>10.1693</v>
      </c>
      <c r="I180" s="200">
        <f t="shared" si="24"/>
        <v>0.17960000000000065</v>
      </c>
      <c r="J180" s="200">
        <f t="shared" si="25"/>
        <v>2.5599999999999346E-2</v>
      </c>
      <c r="K180" s="277">
        <f t="shared" si="26"/>
        <v>12.475633528264789</v>
      </c>
      <c r="L180" s="200">
        <v>35</v>
      </c>
      <c r="M180" s="204">
        <v>43187</v>
      </c>
      <c r="N180" s="204">
        <v>43187</v>
      </c>
      <c r="O180" s="200"/>
      <c r="P180" s="200"/>
      <c r="AB180" s="110"/>
      <c r="AC180" s="110"/>
      <c r="AD180" s="110"/>
      <c r="AE180" s="110"/>
    </row>
    <row r="181" spans="1:31">
      <c r="A181" s="196" t="s">
        <v>1455</v>
      </c>
      <c r="C181" s="197">
        <v>13</v>
      </c>
      <c r="D181" s="196">
        <v>0.46210000000000001</v>
      </c>
      <c r="E181" s="196">
        <v>8.1326000000000001</v>
      </c>
      <c r="F181" s="201">
        <v>0.2009</v>
      </c>
      <c r="G181" s="200">
        <f t="shared" si="23"/>
        <v>8.3335000000000008</v>
      </c>
      <c r="H181" s="200">
        <v>8.1912000000000003</v>
      </c>
      <c r="I181" s="200">
        <f t="shared" si="24"/>
        <v>0.14230000000000054</v>
      </c>
      <c r="J181" s="200">
        <f t="shared" si="25"/>
        <v>5.8599999999999458E-2</v>
      </c>
      <c r="K181" s="277">
        <f t="shared" si="26"/>
        <v>29.168740666998239</v>
      </c>
      <c r="L181" s="200">
        <v>17</v>
      </c>
      <c r="AB181" s="110"/>
      <c r="AC181" s="110"/>
      <c r="AD181" s="110"/>
      <c r="AE181" s="110"/>
    </row>
    <row r="182" spans="1:31">
      <c r="A182" s="196" t="s">
        <v>1451</v>
      </c>
      <c r="C182" s="196">
        <v>52</v>
      </c>
      <c r="D182" s="196">
        <v>0.64810000000000001</v>
      </c>
      <c r="E182" s="196">
        <v>7.4747000000000003</v>
      </c>
      <c r="F182" s="196">
        <v>0.2009</v>
      </c>
      <c r="G182" s="196">
        <f t="shared" si="23"/>
        <v>7.6756000000000002</v>
      </c>
      <c r="H182" s="196">
        <v>7.5034000000000001</v>
      </c>
      <c r="I182" s="196">
        <f t="shared" si="24"/>
        <v>0.17220000000000013</v>
      </c>
      <c r="J182" s="200">
        <f t="shared" si="25"/>
        <v>2.8699999999999865E-2</v>
      </c>
      <c r="K182" s="277">
        <f t="shared" si="26"/>
        <v>14.285714285714219</v>
      </c>
      <c r="L182" s="196">
        <v>34</v>
      </c>
      <c r="M182" s="196" t="s">
        <v>2570</v>
      </c>
      <c r="N182" s="196" t="s">
        <v>2569</v>
      </c>
      <c r="O182" s="196" t="s">
        <v>2534</v>
      </c>
      <c r="U182" s="201" t="s">
        <v>760</v>
      </c>
      <c r="V182" s="196">
        <v>1.6607000000000001</v>
      </c>
      <c r="W182" s="196">
        <f>(V182-$T$175+F180)</f>
        <v>1.8659000000000001</v>
      </c>
      <c r="AB182" s="110"/>
      <c r="AC182" s="110"/>
      <c r="AD182" s="110"/>
      <c r="AE182" s="110"/>
    </row>
    <row r="183" spans="1:31">
      <c r="A183" s="200" t="s">
        <v>1450</v>
      </c>
      <c r="C183" s="200">
        <v>59</v>
      </c>
      <c r="D183" s="200">
        <v>0.66210000000000002</v>
      </c>
      <c r="E183" s="200">
        <v>10.634600000000001</v>
      </c>
      <c r="F183" s="200">
        <v>0.20369999999999999</v>
      </c>
      <c r="G183" s="200">
        <f t="shared" si="23"/>
        <v>10.8383</v>
      </c>
      <c r="H183" s="200">
        <v>10.663</v>
      </c>
      <c r="I183" s="200">
        <f t="shared" si="24"/>
        <v>0.17530000000000001</v>
      </c>
      <c r="J183" s="200">
        <f t="shared" si="25"/>
        <v>2.8399999999999981E-2</v>
      </c>
      <c r="K183" s="277">
        <f t="shared" si="26"/>
        <v>13.942071674030428</v>
      </c>
      <c r="L183" s="200">
        <v>3</v>
      </c>
      <c r="M183" s="204">
        <v>43188</v>
      </c>
      <c r="N183" s="204">
        <v>43188</v>
      </c>
      <c r="O183" s="200"/>
      <c r="P183" s="200"/>
      <c r="U183" s="201" t="s">
        <v>1485</v>
      </c>
      <c r="V183" s="196">
        <v>1.5843</v>
      </c>
      <c r="W183" s="196">
        <f>(V183-$T$175+F181)</f>
        <v>1.7852000000000001</v>
      </c>
      <c r="AB183" s="110"/>
      <c r="AC183" s="110"/>
      <c r="AD183" s="110"/>
      <c r="AE183" s="110"/>
    </row>
    <row r="184" spans="1:31">
      <c r="A184" s="196" t="s">
        <v>1448</v>
      </c>
      <c r="C184" s="196">
        <v>45</v>
      </c>
      <c r="D184" s="196">
        <v>0.56820000000000004</v>
      </c>
      <c r="E184" s="196">
        <v>8.9586000000000006</v>
      </c>
      <c r="F184" s="196">
        <v>0.2024</v>
      </c>
      <c r="G184" s="196">
        <f t="shared" si="23"/>
        <v>9.1610000000000014</v>
      </c>
      <c r="H184" s="196">
        <v>8.9705999999999992</v>
      </c>
      <c r="I184" s="196">
        <f t="shared" si="24"/>
        <v>0.19040000000000212</v>
      </c>
      <c r="J184" s="200">
        <f t="shared" si="25"/>
        <v>1.1999999999997873E-2</v>
      </c>
      <c r="K184" s="277">
        <f t="shared" si="26"/>
        <v>5.9288537549396603</v>
      </c>
      <c r="L184" s="196">
        <v>18</v>
      </c>
      <c r="M184" s="196" t="s">
        <v>2570</v>
      </c>
      <c r="N184" s="196" t="s">
        <v>2569</v>
      </c>
      <c r="O184" s="196" t="s">
        <v>2534</v>
      </c>
      <c r="AB184" s="110"/>
      <c r="AC184" s="110"/>
      <c r="AD184" s="110"/>
      <c r="AE184" s="110"/>
    </row>
    <row r="185" spans="1:31">
      <c r="A185" s="201" t="s">
        <v>1447</v>
      </c>
      <c r="C185" s="200">
        <v>75</v>
      </c>
      <c r="D185" s="200">
        <v>0.59799999999999986</v>
      </c>
      <c r="E185" s="200">
        <v>8.1327999999999996</v>
      </c>
      <c r="F185" s="200">
        <v>0.20150000000000001</v>
      </c>
      <c r="G185" s="200">
        <f t="shared" si="23"/>
        <v>8.3342999999999989</v>
      </c>
      <c r="H185" s="200">
        <v>8.1508000000000003</v>
      </c>
      <c r="I185" s="200">
        <f t="shared" si="24"/>
        <v>0.18349999999999866</v>
      </c>
      <c r="J185" s="200">
        <f t="shared" si="25"/>
        <v>1.8000000000001348E-2</v>
      </c>
      <c r="K185" s="277">
        <f t="shared" si="26"/>
        <v>8.9330024813902469</v>
      </c>
      <c r="L185" s="200">
        <v>11</v>
      </c>
      <c r="M185" s="204">
        <v>43173</v>
      </c>
      <c r="N185" s="204">
        <v>43173</v>
      </c>
      <c r="O185" s="200" t="s">
        <v>2540</v>
      </c>
      <c r="P185" s="200" t="s">
        <v>2539</v>
      </c>
      <c r="AB185" s="110"/>
      <c r="AC185" s="110"/>
      <c r="AD185" s="110"/>
      <c r="AE185" s="110"/>
    </row>
    <row r="186" spans="1:31">
      <c r="A186" s="200" t="s">
        <v>1446</v>
      </c>
      <c r="C186" s="200">
        <v>209</v>
      </c>
      <c r="D186" s="200">
        <v>0.55049999999999999</v>
      </c>
      <c r="E186" s="200">
        <v>8.7682000000000002</v>
      </c>
      <c r="F186" s="200">
        <v>0.20119999999999999</v>
      </c>
      <c r="G186" s="200">
        <f t="shared" si="23"/>
        <v>8.9694000000000003</v>
      </c>
      <c r="H186" s="200">
        <v>8.8010999999999999</v>
      </c>
      <c r="I186" s="200">
        <f t="shared" si="24"/>
        <v>0.16830000000000034</v>
      </c>
      <c r="J186" s="200">
        <f t="shared" si="25"/>
        <v>3.2899999999999652E-2</v>
      </c>
      <c r="K186" s="277">
        <f t="shared" si="26"/>
        <v>16.351888667991876</v>
      </c>
      <c r="L186" s="200">
        <v>4</v>
      </c>
      <c r="M186" s="204">
        <v>43174</v>
      </c>
      <c r="N186" s="204">
        <v>43174</v>
      </c>
      <c r="O186" s="200" t="s">
        <v>2540</v>
      </c>
      <c r="P186" s="200" t="s">
        <v>2535</v>
      </c>
      <c r="AB186" s="110"/>
      <c r="AC186" s="110"/>
      <c r="AD186" s="110"/>
      <c r="AE186" s="110"/>
    </row>
    <row r="187" spans="1:31">
      <c r="A187" s="196" t="s">
        <v>1445</v>
      </c>
      <c r="C187" s="196">
        <v>74</v>
      </c>
      <c r="D187" s="196">
        <v>0.7823</v>
      </c>
      <c r="E187" s="196">
        <v>8.7669999999999995</v>
      </c>
      <c r="F187" s="196">
        <v>0.20300000000000001</v>
      </c>
      <c r="G187" s="196">
        <f t="shared" si="23"/>
        <v>8.9699999999999989</v>
      </c>
      <c r="H187" s="196">
        <v>8.8939000000000004</v>
      </c>
      <c r="I187" s="196">
        <f t="shared" si="24"/>
        <v>7.6099999999998502E-2</v>
      </c>
      <c r="J187" s="200">
        <f t="shared" si="25"/>
        <v>0.12690000000000151</v>
      </c>
      <c r="K187" s="277">
        <f t="shared" si="26"/>
        <v>62.512315270936703</v>
      </c>
      <c r="L187" s="196">
        <v>7</v>
      </c>
      <c r="M187" s="196" t="s">
        <v>2564</v>
      </c>
      <c r="N187" s="196" t="s">
        <v>2563</v>
      </c>
      <c r="O187" s="196" t="s">
        <v>2540</v>
      </c>
      <c r="AB187" s="110"/>
      <c r="AC187" s="110"/>
      <c r="AD187" s="110"/>
      <c r="AE187" s="110"/>
    </row>
    <row r="188" spans="1:31">
      <c r="A188" s="196" t="s">
        <v>1444</v>
      </c>
      <c r="C188" s="197">
        <v>10</v>
      </c>
      <c r="D188" s="196">
        <v>0.44159999999999999</v>
      </c>
      <c r="E188" s="201">
        <v>9.3192000000000004</v>
      </c>
      <c r="F188" s="201">
        <v>0.2064</v>
      </c>
      <c r="G188" s="200">
        <f t="shared" si="23"/>
        <v>9.5256000000000007</v>
      </c>
      <c r="H188" s="200">
        <v>9.3407</v>
      </c>
      <c r="I188" s="200">
        <f t="shared" si="24"/>
        <v>0.18490000000000073</v>
      </c>
      <c r="J188" s="200">
        <f t="shared" si="25"/>
        <v>2.149999999999927E-2</v>
      </c>
      <c r="K188" s="277">
        <f t="shared" si="26"/>
        <v>10.416666666666313</v>
      </c>
      <c r="L188" s="200">
        <v>32</v>
      </c>
      <c r="M188" s="203">
        <v>43213</v>
      </c>
      <c r="N188" s="203">
        <v>43213</v>
      </c>
      <c r="AB188" s="110"/>
      <c r="AC188" s="110"/>
      <c r="AD188" s="110"/>
      <c r="AE188" s="110"/>
    </row>
    <row r="189" spans="1:31">
      <c r="A189" s="196" t="s">
        <v>1443</v>
      </c>
      <c r="C189" s="196">
        <v>80</v>
      </c>
      <c r="D189" s="196">
        <v>0.70750000000000002</v>
      </c>
      <c r="E189" s="196">
        <v>7.7138</v>
      </c>
      <c r="F189" s="196">
        <v>0.19089999999999999</v>
      </c>
      <c r="G189" s="196">
        <f t="shared" si="23"/>
        <v>7.9047000000000001</v>
      </c>
      <c r="H189" s="196">
        <v>7.7397999999999998</v>
      </c>
      <c r="I189" s="196">
        <f t="shared" si="24"/>
        <v>0.16490000000000027</v>
      </c>
      <c r="J189" s="200">
        <f t="shared" si="25"/>
        <v>2.5999999999999718E-2</v>
      </c>
      <c r="K189" s="277">
        <f t="shared" si="26"/>
        <v>13.619696176008233</v>
      </c>
      <c r="L189" s="196">
        <v>10</v>
      </c>
      <c r="M189" s="196" t="s">
        <v>2564</v>
      </c>
      <c r="N189" s="196" t="s">
        <v>2563</v>
      </c>
      <c r="O189" s="196" t="s">
        <v>2540</v>
      </c>
      <c r="AB189" s="110"/>
      <c r="AC189" s="110"/>
      <c r="AD189" s="110"/>
      <c r="AE189" s="110"/>
    </row>
    <row r="190" spans="1:31">
      <c r="A190" s="205" t="s">
        <v>1442</v>
      </c>
      <c r="C190" s="200">
        <v>186</v>
      </c>
      <c r="D190" s="200">
        <v>0.4279</v>
      </c>
      <c r="E190" s="200">
        <v>10.6746</v>
      </c>
      <c r="F190" s="201">
        <v>0.20050000000000001</v>
      </c>
      <c r="G190" s="200">
        <f t="shared" si="23"/>
        <v>10.8751</v>
      </c>
      <c r="H190" s="200">
        <v>10.6927</v>
      </c>
      <c r="I190" s="200">
        <f t="shared" si="24"/>
        <v>0.18239999999999945</v>
      </c>
      <c r="J190" s="200">
        <f t="shared" si="25"/>
        <v>1.810000000000056E-2</v>
      </c>
      <c r="K190" s="277">
        <f t="shared" si="26"/>
        <v>9.0274314214466642</v>
      </c>
      <c r="L190" s="200">
        <v>30</v>
      </c>
      <c r="M190" s="204">
        <v>43187</v>
      </c>
      <c r="N190" s="204">
        <v>43187</v>
      </c>
      <c r="O190" s="200"/>
      <c r="P190" s="200"/>
      <c r="AB190" s="110"/>
      <c r="AC190" s="110"/>
      <c r="AD190" s="110"/>
      <c r="AE190" s="110"/>
    </row>
    <row r="191" spans="1:31">
      <c r="A191" s="205" t="s">
        <v>1441</v>
      </c>
      <c r="C191" s="196">
        <v>14</v>
      </c>
      <c r="D191" s="201">
        <v>0.309</v>
      </c>
      <c r="E191" s="201">
        <v>11.023</v>
      </c>
      <c r="F191" s="201">
        <v>0.20019999999999999</v>
      </c>
      <c r="G191" s="200">
        <f t="shared" si="23"/>
        <v>11.2232</v>
      </c>
      <c r="H191" s="200">
        <v>11.055099999999999</v>
      </c>
      <c r="I191" s="200">
        <f t="shared" si="24"/>
        <v>0.1681000000000008</v>
      </c>
      <c r="J191" s="200">
        <f t="shared" si="25"/>
        <v>3.2099999999999185E-2</v>
      </c>
      <c r="K191" s="277">
        <f t="shared" si="26"/>
        <v>16.033966033965626</v>
      </c>
      <c r="L191" s="200">
        <v>27</v>
      </c>
      <c r="M191" s="204">
        <v>43199</v>
      </c>
      <c r="N191" s="204">
        <v>43199</v>
      </c>
      <c r="O191" s="200"/>
      <c r="P191" s="200"/>
      <c r="AB191" s="110"/>
      <c r="AC191" s="110"/>
      <c r="AD191" s="110"/>
      <c r="AE191" s="110"/>
    </row>
    <row r="192" spans="1:31">
      <c r="A192" s="205" t="s">
        <v>1440</v>
      </c>
      <c r="C192" s="200">
        <v>98</v>
      </c>
      <c r="D192" s="200">
        <v>0.37019999999999997</v>
      </c>
      <c r="E192" s="201">
        <v>9.2207000000000008</v>
      </c>
      <c r="F192" s="201">
        <v>0.2016</v>
      </c>
      <c r="G192" s="200">
        <f t="shared" si="23"/>
        <v>9.4222999999999999</v>
      </c>
      <c r="H192" s="200">
        <v>9.2502999999999993</v>
      </c>
      <c r="I192" s="200">
        <f t="shared" si="24"/>
        <v>0.1720000000000006</v>
      </c>
      <c r="J192" s="200">
        <f t="shared" si="25"/>
        <v>2.9599999999999405E-2</v>
      </c>
      <c r="K192" s="277">
        <f t="shared" si="26"/>
        <v>14.682539682539385</v>
      </c>
      <c r="L192" s="200">
        <v>25</v>
      </c>
      <c r="M192" s="206">
        <v>43185.385416666664</v>
      </c>
      <c r="N192" s="200"/>
      <c r="O192" s="200" t="s">
        <v>2540</v>
      </c>
      <c r="P192" s="200"/>
      <c r="AB192" s="110"/>
      <c r="AC192" s="110"/>
      <c r="AD192" s="110"/>
      <c r="AE192" s="110"/>
    </row>
    <row r="193" spans="1:50">
      <c r="A193" t="s">
        <v>1439</v>
      </c>
      <c r="C193"/>
      <c r="D193">
        <v>0.72619999999999996</v>
      </c>
      <c r="E193">
        <v>9.8224</v>
      </c>
      <c r="F193">
        <v>0.2034</v>
      </c>
      <c r="G193">
        <f t="shared" si="23"/>
        <v>10.0258</v>
      </c>
      <c r="H193">
        <v>9.8557000000000006</v>
      </c>
      <c r="I193" s="281">
        <f>G193-H193</f>
        <v>0.1700999999999997</v>
      </c>
      <c r="J193" s="280">
        <f t="shared" si="25"/>
        <v>3.3300000000000302E-2</v>
      </c>
      <c r="K193" s="282">
        <f t="shared" si="26"/>
        <v>16.371681415929352</v>
      </c>
      <c r="L193">
        <v>22</v>
      </c>
      <c r="M193" s="16">
        <v>43399</v>
      </c>
      <c r="N193" s="16">
        <v>43400</v>
      </c>
      <c r="O193"/>
      <c r="P193" t="s">
        <v>3933</v>
      </c>
      <c r="Q193"/>
      <c r="R193" s="282"/>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1:50">
      <c r="A194" s="205" t="s">
        <v>1437</v>
      </c>
      <c r="C194" s="200">
        <v>216</v>
      </c>
      <c r="D194" s="200">
        <v>0.61939999999999995</v>
      </c>
      <c r="E194" s="200">
        <v>9.2355</v>
      </c>
      <c r="F194" s="201">
        <v>0.20699999999999999</v>
      </c>
      <c r="G194" s="200">
        <f t="shared" si="23"/>
        <v>9.4425000000000008</v>
      </c>
      <c r="H194" s="200">
        <v>9.2507000000000001</v>
      </c>
      <c r="I194" s="200">
        <f t="shared" ref="I194:I225" si="27">(G194-H194)</f>
        <v>0.19180000000000064</v>
      </c>
      <c r="J194" s="200">
        <f t="shared" si="25"/>
        <v>1.5199999999999353E-2</v>
      </c>
      <c r="K194" s="277">
        <f t="shared" si="26"/>
        <v>7.3429951690818136</v>
      </c>
      <c r="L194" s="200">
        <v>24</v>
      </c>
      <c r="M194" s="204">
        <v>43211</v>
      </c>
      <c r="AB194" s="110"/>
      <c r="AC194" s="110"/>
      <c r="AD194" s="110"/>
      <c r="AE194" s="110"/>
    </row>
    <row r="195" spans="1:50">
      <c r="A195" s="200" t="s">
        <v>1436</v>
      </c>
      <c r="C195" s="200">
        <v>65</v>
      </c>
      <c r="D195" s="200">
        <v>0.72089999999999999</v>
      </c>
      <c r="E195" s="201">
        <v>10.6349</v>
      </c>
      <c r="F195" s="201">
        <v>0.2016</v>
      </c>
      <c r="G195" s="200">
        <f t="shared" si="23"/>
        <v>10.836500000000001</v>
      </c>
      <c r="H195" s="200">
        <v>10.666499999999999</v>
      </c>
      <c r="I195" s="200">
        <f t="shared" si="27"/>
        <v>0.17000000000000171</v>
      </c>
      <c r="J195" s="200">
        <f t="shared" si="25"/>
        <v>3.1599999999998296E-2</v>
      </c>
      <c r="K195" s="277">
        <f t="shared" si="26"/>
        <v>15.67460317460233</v>
      </c>
      <c r="L195" s="200">
        <v>4</v>
      </c>
      <c r="M195" s="204">
        <v>43199</v>
      </c>
      <c r="N195" s="204">
        <v>43199</v>
      </c>
      <c r="O195" s="200"/>
      <c r="P195" s="200"/>
      <c r="AB195" s="110"/>
      <c r="AC195" s="110"/>
      <c r="AD195" s="110"/>
      <c r="AE195" s="110"/>
    </row>
    <row r="196" spans="1:50">
      <c r="A196" s="205" t="s">
        <v>1435</v>
      </c>
      <c r="C196" s="196">
        <v>194</v>
      </c>
      <c r="D196" s="200">
        <v>0.42880000000000001</v>
      </c>
      <c r="E196" s="201">
        <v>9.0518999999999998</v>
      </c>
      <c r="F196" s="201">
        <v>0.2029</v>
      </c>
      <c r="G196" s="200">
        <f t="shared" si="23"/>
        <v>9.2547999999999995</v>
      </c>
      <c r="H196" s="200">
        <v>9.0746000000000002</v>
      </c>
      <c r="I196" s="200">
        <f t="shared" si="27"/>
        <v>0.18019999999999925</v>
      </c>
      <c r="J196" s="200">
        <f t="shared" si="25"/>
        <v>2.2700000000000747E-2</v>
      </c>
      <c r="K196" s="277">
        <f t="shared" si="26"/>
        <v>11.187777230163009</v>
      </c>
      <c r="L196" s="200">
        <v>23</v>
      </c>
      <c r="M196" s="206">
        <v>43186.458333333336</v>
      </c>
      <c r="N196" s="206">
        <v>43186.625</v>
      </c>
      <c r="O196" s="196" t="s">
        <v>2534</v>
      </c>
      <c r="P196" s="200"/>
      <c r="AB196" s="110"/>
      <c r="AC196" s="110"/>
      <c r="AD196" s="110"/>
      <c r="AE196" s="110"/>
    </row>
    <row r="197" spans="1:50">
      <c r="A197" s="200" t="s">
        <v>1434</v>
      </c>
      <c r="C197" s="200">
        <v>55</v>
      </c>
      <c r="D197" s="200">
        <v>0.68020000000000003</v>
      </c>
      <c r="E197" s="200">
        <v>8.0879999999999992</v>
      </c>
      <c r="F197" s="201">
        <v>0.20480000000000001</v>
      </c>
      <c r="G197" s="200">
        <f t="shared" si="23"/>
        <v>8.2927999999999997</v>
      </c>
      <c r="H197" s="200">
        <v>8.1410999999999998</v>
      </c>
      <c r="I197" s="200">
        <f t="shared" si="27"/>
        <v>0.15169999999999995</v>
      </c>
      <c r="J197" s="200">
        <f t="shared" si="25"/>
        <v>5.3100000000000064E-2</v>
      </c>
      <c r="K197" s="277">
        <f t="shared" si="26"/>
        <v>25.927734375000028</v>
      </c>
      <c r="L197" s="200">
        <v>16</v>
      </c>
      <c r="M197" s="204">
        <v>43187</v>
      </c>
      <c r="N197" s="204">
        <v>43187</v>
      </c>
      <c r="O197" s="200"/>
      <c r="P197" s="200"/>
      <c r="U197" s="201" t="s">
        <v>552</v>
      </c>
      <c r="V197" s="196">
        <v>1.7441</v>
      </c>
      <c r="W197" s="196">
        <f>(V197-$T$175+F195)</f>
        <v>1.9457</v>
      </c>
      <c r="AB197" s="110"/>
      <c r="AC197" s="110"/>
      <c r="AD197" s="110"/>
      <c r="AE197" s="110"/>
    </row>
    <row r="198" spans="1:50">
      <c r="A198" s="196" t="s">
        <v>1432</v>
      </c>
      <c r="C198" s="197">
        <v>57</v>
      </c>
      <c r="D198" s="196">
        <v>0.70320000000000005</v>
      </c>
      <c r="E198" s="201">
        <v>10.115500000000001</v>
      </c>
      <c r="F198" s="201">
        <v>0.20200000000000001</v>
      </c>
      <c r="G198" s="200">
        <f t="shared" si="23"/>
        <v>10.317500000000001</v>
      </c>
      <c r="H198" s="200">
        <v>10.1388</v>
      </c>
      <c r="I198" s="200">
        <f t="shared" si="27"/>
        <v>0.17870000000000097</v>
      </c>
      <c r="J198" s="200">
        <f t="shared" si="25"/>
        <v>2.3299999999999044E-2</v>
      </c>
      <c r="K198" s="277">
        <f t="shared" si="26"/>
        <v>11.534653465346061</v>
      </c>
      <c r="L198" s="200">
        <v>1</v>
      </c>
      <c r="U198" s="113" t="s">
        <v>2571</v>
      </c>
      <c r="V198" s="196">
        <v>1.7248000000000001</v>
      </c>
      <c r="W198" s="196">
        <f>(V198-$T$175+F196)</f>
        <v>1.9277000000000002</v>
      </c>
      <c r="AB198" s="110"/>
      <c r="AC198" s="110"/>
      <c r="AD198" s="110"/>
      <c r="AE198" s="110"/>
    </row>
    <row r="199" spans="1:50">
      <c r="A199" s="205" t="s">
        <v>1431</v>
      </c>
      <c r="C199" s="200">
        <v>40</v>
      </c>
      <c r="D199" s="200">
        <v>0.50349999999999995</v>
      </c>
      <c r="E199" s="200">
        <v>7.774</v>
      </c>
      <c r="F199" s="201">
        <v>0.20580000000000001</v>
      </c>
      <c r="G199" s="200">
        <f t="shared" si="23"/>
        <v>7.9798</v>
      </c>
      <c r="H199" s="200">
        <v>7.7916999999999996</v>
      </c>
      <c r="I199" s="200">
        <f t="shared" si="27"/>
        <v>0.18810000000000038</v>
      </c>
      <c r="J199" s="200">
        <f t="shared" si="25"/>
        <v>1.7699999999999633E-2</v>
      </c>
      <c r="K199" s="277">
        <f t="shared" si="26"/>
        <v>8.6005830903788301</v>
      </c>
      <c r="L199" s="200">
        <v>9</v>
      </c>
      <c r="M199" s="204">
        <v>43211</v>
      </c>
      <c r="P199" s="200"/>
      <c r="AB199" s="110"/>
      <c r="AC199" s="110"/>
      <c r="AD199" s="110"/>
      <c r="AE199" s="110"/>
    </row>
    <row r="200" spans="1:50">
      <c r="A200" s="196" t="s">
        <v>1430</v>
      </c>
      <c r="C200" s="197">
        <v>187</v>
      </c>
      <c r="D200" s="196">
        <v>0.40920000000000001</v>
      </c>
      <c r="E200" s="201">
        <v>8.7684999999999995</v>
      </c>
      <c r="F200" s="201">
        <v>0.20630000000000001</v>
      </c>
      <c r="G200" s="200">
        <f t="shared" si="23"/>
        <v>8.9748000000000001</v>
      </c>
      <c r="H200" s="200">
        <v>8.7864000000000004</v>
      </c>
      <c r="I200" s="200">
        <f t="shared" si="27"/>
        <v>0.18839999999999968</v>
      </c>
      <c r="J200" s="200">
        <f t="shared" si="25"/>
        <v>1.7900000000000332E-2</v>
      </c>
      <c r="K200" s="277">
        <f t="shared" si="26"/>
        <v>8.6766844401358867</v>
      </c>
      <c r="L200" s="200">
        <v>22</v>
      </c>
      <c r="M200" s="203">
        <v>43221</v>
      </c>
      <c r="N200" s="203">
        <v>43221</v>
      </c>
      <c r="AB200" s="110"/>
      <c r="AC200" s="110"/>
      <c r="AD200" s="110"/>
      <c r="AE200" s="110"/>
    </row>
    <row r="201" spans="1:50">
      <c r="A201" s="200" t="s">
        <v>1429</v>
      </c>
      <c r="C201" s="200">
        <v>205</v>
      </c>
      <c r="D201" s="196">
        <v>0.52459999999999996</v>
      </c>
      <c r="E201" s="196">
        <v>11.0524</v>
      </c>
      <c r="F201" s="196">
        <v>0.20369999999999999</v>
      </c>
      <c r="G201" s="196">
        <f t="shared" ref="G201:G232" si="28">E201+F201</f>
        <v>11.2561</v>
      </c>
      <c r="H201" s="196">
        <v>11.097300000000001</v>
      </c>
      <c r="I201" s="196">
        <f t="shared" si="27"/>
        <v>0.15879999999999939</v>
      </c>
      <c r="J201" s="200">
        <f t="shared" ref="J201:J232" si="29">F201-I201</f>
        <v>4.4900000000000606E-2</v>
      </c>
      <c r="K201" s="277">
        <f t="shared" ref="K201:K232" si="30">(J201/F201)*100</f>
        <v>22.042218949435743</v>
      </c>
      <c r="L201" s="196">
        <v>8</v>
      </c>
      <c r="M201" s="206">
        <v>43160.520833333336</v>
      </c>
      <c r="N201" s="206">
        <v>43160.6875</v>
      </c>
      <c r="O201" s="196" t="s">
        <v>2534</v>
      </c>
      <c r="AB201" s="110"/>
      <c r="AC201" s="110"/>
      <c r="AD201" s="110"/>
      <c r="AE201" s="110"/>
    </row>
    <row r="202" spans="1:50">
      <c r="A202" s="205" t="s">
        <v>1427</v>
      </c>
      <c r="C202" s="200">
        <v>138</v>
      </c>
      <c r="D202" s="200">
        <v>0.45350000000000001</v>
      </c>
      <c r="E202" s="201">
        <v>10.6175</v>
      </c>
      <c r="F202" s="201">
        <v>0.2009</v>
      </c>
      <c r="G202" s="200">
        <f t="shared" si="28"/>
        <v>10.8184</v>
      </c>
      <c r="H202" s="200">
        <v>10.6435</v>
      </c>
      <c r="I202" s="200">
        <f t="shared" si="27"/>
        <v>0.17490000000000094</v>
      </c>
      <c r="J202" s="200">
        <f t="shared" si="29"/>
        <v>2.5999999999999052E-2</v>
      </c>
      <c r="K202" s="277">
        <f t="shared" si="30"/>
        <v>12.94176207068146</v>
      </c>
      <c r="L202" s="200">
        <v>34</v>
      </c>
      <c r="M202" s="206">
        <v>43186.458333333336</v>
      </c>
      <c r="N202" s="206">
        <v>43186.625</v>
      </c>
      <c r="O202" s="196" t="s">
        <v>2534</v>
      </c>
      <c r="P202" s="200"/>
      <c r="AB202" s="110"/>
      <c r="AC202" s="110"/>
      <c r="AD202" s="110"/>
      <c r="AE202" s="110"/>
    </row>
    <row r="203" spans="1:50">
      <c r="A203" s="200" t="s">
        <v>1424</v>
      </c>
      <c r="C203" s="200">
        <v>41</v>
      </c>
      <c r="D203" s="201">
        <v>0.62419999999999998</v>
      </c>
      <c r="E203" s="200">
        <v>10.3134</v>
      </c>
      <c r="F203" s="201">
        <v>0.2079</v>
      </c>
      <c r="G203" s="200">
        <f t="shared" si="28"/>
        <v>10.5213</v>
      </c>
      <c r="H203" s="200">
        <v>10.3363</v>
      </c>
      <c r="I203" s="200">
        <f t="shared" si="27"/>
        <v>0.1850000000000005</v>
      </c>
      <c r="J203" s="200">
        <f t="shared" si="29"/>
        <v>2.2899999999999504E-2</v>
      </c>
      <c r="K203" s="277">
        <f t="shared" si="30"/>
        <v>11.014911014910776</v>
      </c>
      <c r="L203" s="200">
        <v>31</v>
      </c>
      <c r="M203" s="200"/>
      <c r="N203" s="200"/>
      <c r="O203" s="200"/>
      <c r="P203" s="200"/>
      <c r="AB203" s="110"/>
      <c r="AC203" s="110"/>
      <c r="AD203" s="110"/>
      <c r="AE203" s="110"/>
    </row>
    <row r="204" spans="1:50">
      <c r="A204" s="196" t="s">
        <v>1423</v>
      </c>
      <c r="C204" s="197">
        <v>72</v>
      </c>
      <c r="D204" s="196">
        <v>0.66139999999999999</v>
      </c>
      <c r="E204" s="201">
        <v>8.9581</v>
      </c>
      <c r="F204" s="201">
        <v>0.2089</v>
      </c>
      <c r="G204" s="200">
        <f t="shared" si="28"/>
        <v>9.1669999999999998</v>
      </c>
      <c r="H204" s="200">
        <v>8.9749999999999996</v>
      </c>
      <c r="I204" s="200">
        <f t="shared" si="27"/>
        <v>0.19200000000000017</v>
      </c>
      <c r="J204" s="200">
        <f t="shared" si="29"/>
        <v>1.6899999999999832E-2</v>
      </c>
      <c r="K204" s="277">
        <f t="shared" si="30"/>
        <v>8.0899952130205044</v>
      </c>
      <c r="L204" s="200">
        <v>40</v>
      </c>
      <c r="AB204" s="110"/>
      <c r="AC204" s="110"/>
      <c r="AD204" s="110"/>
      <c r="AE204" s="110"/>
    </row>
    <row r="205" spans="1:50">
      <c r="A205" s="196" t="s">
        <v>1422</v>
      </c>
      <c r="C205" s="196">
        <v>87</v>
      </c>
      <c r="D205" s="196">
        <v>0.62929999999999997</v>
      </c>
      <c r="E205" s="196">
        <v>19.727699999999999</v>
      </c>
      <c r="F205" s="196">
        <v>0.20799999999999999</v>
      </c>
      <c r="G205" s="196">
        <f t="shared" si="28"/>
        <v>19.935699999999997</v>
      </c>
      <c r="H205" s="196">
        <v>19.754200000000001</v>
      </c>
      <c r="I205" s="196">
        <f t="shared" si="27"/>
        <v>0.18149999999999622</v>
      </c>
      <c r="J205" s="200">
        <f t="shared" si="29"/>
        <v>2.6500000000003771E-2</v>
      </c>
      <c r="K205" s="277">
        <f t="shared" si="30"/>
        <v>12.74038461538643</v>
      </c>
      <c r="L205" s="196">
        <v>15</v>
      </c>
      <c r="M205" s="196" t="s">
        <v>2564</v>
      </c>
      <c r="N205" s="196" t="s">
        <v>2563</v>
      </c>
      <c r="O205" s="196" t="s">
        <v>2540</v>
      </c>
      <c r="AB205" s="110"/>
      <c r="AC205" s="110"/>
      <c r="AD205" s="110"/>
      <c r="AE205" s="110"/>
    </row>
    <row r="206" spans="1:50">
      <c r="A206" s="196" t="s">
        <v>1418</v>
      </c>
      <c r="C206" s="196">
        <v>87</v>
      </c>
      <c r="D206" s="196">
        <v>0.59950000000000003</v>
      </c>
      <c r="E206" s="196">
        <v>20.7624</v>
      </c>
      <c r="F206" s="196">
        <v>0.21010000000000001</v>
      </c>
      <c r="G206" s="196">
        <f t="shared" si="28"/>
        <v>20.9725</v>
      </c>
      <c r="H206" s="196">
        <v>20.792999999999999</v>
      </c>
      <c r="I206" s="196">
        <f t="shared" si="27"/>
        <v>0.17950000000000088</v>
      </c>
      <c r="J206" s="200">
        <f t="shared" si="29"/>
        <v>3.0599999999999128E-2</v>
      </c>
      <c r="K206" s="277">
        <f t="shared" si="30"/>
        <v>14.564493098524098</v>
      </c>
      <c r="L206" s="196">
        <v>16</v>
      </c>
      <c r="M206" s="196" t="s">
        <v>2564</v>
      </c>
      <c r="N206" s="196" t="s">
        <v>2563</v>
      </c>
      <c r="O206" s="196" t="s">
        <v>2540</v>
      </c>
      <c r="AB206" s="110"/>
      <c r="AC206" s="110"/>
      <c r="AD206" s="110"/>
      <c r="AE206" s="110"/>
    </row>
    <row r="207" spans="1:50">
      <c r="A207" s="201" t="s">
        <v>1417</v>
      </c>
      <c r="C207" s="200">
        <v>60</v>
      </c>
      <c r="D207" s="200">
        <v>0.6016999999999999</v>
      </c>
      <c r="E207" s="200">
        <v>7.4808000000000003</v>
      </c>
      <c r="F207" s="200">
        <v>0.20580000000000001</v>
      </c>
      <c r="G207" s="200">
        <f t="shared" si="28"/>
        <v>7.6866000000000003</v>
      </c>
      <c r="H207" s="200">
        <v>7.5072000000000001</v>
      </c>
      <c r="I207" s="200">
        <f t="shared" si="27"/>
        <v>0.17940000000000023</v>
      </c>
      <c r="J207" s="200">
        <f t="shared" si="29"/>
        <v>2.6399999999999785E-2</v>
      </c>
      <c r="K207" s="277">
        <f t="shared" si="30"/>
        <v>12.827988338192315</v>
      </c>
      <c r="L207" s="200">
        <v>24</v>
      </c>
      <c r="M207" s="204">
        <v>43173</v>
      </c>
      <c r="N207" s="204">
        <v>43173</v>
      </c>
      <c r="O207" s="200" t="s">
        <v>2540</v>
      </c>
      <c r="P207" s="200" t="s">
        <v>2539</v>
      </c>
      <c r="AB207" s="110"/>
      <c r="AC207" s="110"/>
      <c r="AD207" s="110"/>
      <c r="AE207" s="110"/>
    </row>
    <row r="208" spans="1:50">
      <c r="A208" s="196" t="s">
        <v>1416</v>
      </c>
      <c r="C208" s="197">
        <v>6</v>
      </c>
      <c r="D208" s="196">
        <v>0.41160000000000002</v>
      </c>
      <c r="E208" s="201">
        <v>7.3536999999999999</v>
      </c>
      <c r="F208" s="201">
        <v>0.20180000000000001</v>
      </c>
      <c r="G208" s="200">
        <f t="shared" si="28"/>
        <v>7.5555000000000003</v>
      </c>
      <c r="H208" s="200">
        <v>7.3731999999999998</v>
      </c>
      <c r="I208" s="200">
        <f t="shared" si="27"/>
        <v>0.18230000000000057</v>
      </c>
      <c r="J208" s="200">
        <f t="shared" si="29"/>
        <v>1.9499999999999434E-2</v>
      </c>
      <c r="K208" s="277">
        <f t="shared" si="30"/>
        <v>9.6630327056488774</v>
      </c>
      <c r="L208" s="200">
        <v>13</v>
      </c>
      <c r="AB208" s="110"/>
      <c r="AC208" s="110"/>
      <c r="AD208" s="110"/>
      <c r="AE208" s="110"/>
    </row>
    <row r="209" spans="1:31">
      <c r="A209" s="196" t="s">
        <v>1414</v>
      </c>
      <c r="C209" s="197">
        <v>93</v>
      </c>
      <c r="D209" s="196">
        <v>0.5998</v>
      </c>
      <c r="E209" s="200">
        <v>11.8621</v>
      </c>
      <c r="F209" s="201">
        <v>0.20330000000000001</v>
      </c>
      <c r="G209" s="200">
        <f t="shared" si="28"/>
        <v>12.0654</v>
      </c>
      <c r="H209" s="200">
        <v>11.8895</v>
      </c>
      <c r="I209" s="200">
        <f t="shared" si="27"/>
        <v>0.17590000000000039</v>
      </c>
      <c r="J209" s="200">
        <f t="shared" si="29"/>
        <v>2.7399999999999619E-2</v>
      </c>
      <c r="K209" s="277">
        <f t="shared" si="30"/>
        <v>13.477619281849297</v>
      </c>
      <c r="L209" s="200">
        <v>25</v>
      </c>
      <c r="M209" s="203">
        <v>43212</v>
      </c>
      <c r="AB209" s="110"/>
      <c r="AC209" s="110"/>
      <c r="AD209" s="110"/>
      <c r="AE209" s="110"/>
    </row>
    <row r="210" spans="1:31">
      <c r="A210" s="200" t="s">
        <v>1413</v>
      </c>
      <c r="C210" s="200">
        <v>209</v>
      </c>
      <c r="D210" s="200">
        <v>0.6653</v>
      </c>
      <c r="E210" s="200">
        <v>7.0747</v>
      </c>
      <c r="F210" s="200">
        <v>0.2049</v>
      </c>
      <c r="G210" s="200">
        <f t="shared" si="28"/>
        <v>7.2796000000000003</v>
      </c>
      <c r="H210" s="200">
        <v>7.1105</v>
      </c>
      <c r="I210" s="200">
        <f t="shared" si="27"/>
        <v>0.16910000000000025</v>
      </c>
      <c r="J210" s="200">
        <f t="shared" si="29"/>
        <v>3.5799999999999749E-2</v>
      </c>
      <c r="K210" s="277">
        <f t="shared" si="30"/>
        <v>17.471937530502561</v>
      </c>
      <c r="L210" s="200">
        <v>3</v>
      </c>
      <c r="M210" s="204">
        <v>43174</v>
      </c>
      <c r="N210" s="204">
        <v>43174</v>
      </c>
      <c r="O210" s="200" t="s">
        <v>2540</v>
      </c>
      <c r="P210" s="200" t="s">
        <v>2535</v>
      </c>
      <c r="AB210" s="110"/>
      <c r="AC210" s="110"/>
      <c r="AD210" s="110"/>
      <c r="AE210" s="110"/>
    </row>
    <row r="211" spans="1:31">
      <c r="A211" s="196" t="s">
        <v>1412</v>
      </c>
      <c r="C211" s="196">
        <v>52</v>
      </c>
      <c r="D211" s="196">
        <v>0.76990000000000003</v>
      </c>
      <c r="E211" s="196">
        <v>7.9055</v>
      </c>
      <c r="F211" s="196">
        <v>0.2016</v>
      </c>
      <c r="G211" s="196">
        <f t="shared" si="28"/>
        <v>8.1070999999999991</v>
      </c>
      <c r="H211" s="196">
        <v>7.9672999999999998</v>
      </c>
      <c r="I211" s="196">
        <f t="shared" si="27"/>
        <v>0.13979999999999926</v>
      </c>
      <c r="J211" s="200">
        <f t="shared" si="29"/>
        <v>6.1800000000000743E-2</v>
      </c>
      <c r="K211" s="277">
        <f t="shared" si="30"/>
        <v>30.654761904762275</v>
      </c>
      <c r="L211" s="196">
        <v>35</v>
      </c>
      <c r="M211" s="196" t="s">
        <v>2570</v>
      </c>
      <c r="N211" s="196" t="s">
        <v>2569</v>
      </c>
      <c r="O211" s="196" t="s">
        <v>2534</v>
      </c>
      <c r="U211" s="201" t="s">
        <v>1228</v>
      </c>
      <c r="V211" s="196">
        <v>1.05</v>
      </c>
      <c r="W211" s="196">
        <f>(V211-$T$175+F209)</f>
        <v>1.2533000000000001</v>
      </c>
      <c r="AB211" s="110"/>
      <c r="AC211" s="110"/>
      <c r="AD211" s="110"/>
      <c r="AE211" s="110"/>
    </row>
    <row r="212" spans="1:31">
      <c r="A212" s="196" t="s">
        <v>1411</v>
      </c>
      <c r="C212" s="197">
        <v>19</v>
      </c>
      <c r="D212" s="196">
        <v>0.6804</v>
      </c>
      <c r="E212" s="201">
        <v>10.565799999999999</v>
      </c>
      <c r="F212" s="201">
        <v>0.19980000000000001</v>
      </c>
      <c r="G212" s="200">
        <f t="shared" si="28"/>
        <v>10.765599999999999</v>
      </c>
      <c r="H212" s="200">
        <v>10.599</v>
      </c>
      <c r="I212" s="200">
        <f t="shared" si="27"/>
        <v>0.16659999999999897</v>
      </c>
      <c r="J212" s="200">
        <f t="shared" si="29"/>
        <v>3.3200000000001034E-2</v>
      </c>
      <c r="K212" s="277">
        <f t="shared" si="30"/>
        <v>16.616616616617133</v>
      </c>
      <c r="L212" s="200">
        <v>30</v>
      </c>
      <c r="AB212" s="110"/>
      <c r="AC212" s="110"/>
      <c r="AD212" s="110"/>
      <c r="AE212" s="110"/>
    </row>
    <row r="213" spans="1:31">
      <c r="A213" s="196" t="s">
        <v>1410</v>
      </c>
      <c r="C213" s="197">
        <v>204</v>
      </c>
      <c r="D213" s="196">
        <v>0.52149999999999996</v>
      </c>
      <c r="E213" s="200">
        <v>9.0312999999999999</v>
      </c>
      <c r="F213" s="201">
        <v>0.20649999999999999</v>
      </c>
      <c r="G213" s="200">
        <f t="shared" si="28"/>
        <v>9.2378</v>
      </c>
      <c r="H213" s="200">
        <v>9.0551999999999992</v>
      </c>
      <c r="I213" s="200">
        <f t="shared" si="27"/>
        <v>0.18260000000000076</v>
      </c>
      <c r="J213" s="200">
        <f t="shared" si="29"/>
        <v>2.3899999999999227E-2</v>
      </c>
      <c r="K213" s="277">
        <f t="shared" si="30"/>
        <v>11.573849878934253</v>
      </c>
      <c r="L213" s="200">
        <v>17</v>
      </c>
      <c r="M213" s="203">
        <v>43212</v>
      </c>
      <c r="AB213" s="110"/>
      <c r="AC213" s="110"/>
      <c r="AD213" s="110"/>
      <c r="AE213" s="110"/>
    </row>
    <row r="214" spans="1:31">
      <c r="A214" s="200" t="s">
        <v>1409</v>
      </c>
      <c r="C214" s="200">
        <v>95</v>
      </c>
      <c r="D214" s="200">
        <f>0.7539+F214</f>
        <v>0.95789999999999997</v>
      </c>
      <c r="E214" s="201">
        <v>7.8712</v>
      </c>
      <c r="F214" s="201">
        <v>0.20399999999999999</v>
      </c>
      <c r="G214" s="200">
        <f t="shared" si="28"/>
        <v>8.0752000000000006</v>
      </c>
      <c r="H214" s="200">
        <v>7.9390000000000001</v>
      </c>
      <c r="I214" s="200">
        <f t="shared" si="27"/>
        <v>0.13620000000000054</v>
      </c>
      <c r="J214" s="200">
        <f t="shared" si="29"/>
        <v>6.7799999999999444E-2</v>
      </c>
      <c r="K214" s="277">
        <f t="shared" si="30"/>
        <v>33.235294117646788</v>
      </c>
      <c r="L214" s="200">
        <v>18</v>
      </c>
      <c r="M214" s="204">
        <v>43174</v>
      </c>
      <c r="N214" s="204">
        <v>43174</v>
      </c>
      <c r="O214" s="200" t="s">
        <v>2540</v>
      </c>
      <c r="P214" s="200" t="s">
        <v>2535</v>
      </c>
      <c r="AB214" s="110"/>
      <c r="AC214" s="110"/>
      <c r="AD214" s="110"/>
      <c r="AE214" s="110"/>
    </row>
    <row r="215" spans="1:31">
      <c r="A215" s="196" t="s">
        <v>1407</v>
      </c>
      <c r="C215" s="196">
        <v>43</v>
      </c>
      <c r="D215" s="196">
        <v>0.54469999999999996</v>
      </c>
      <c r="E215" s="196">
        <v>8.8613999999999997</v>
      </c>
      <c r="F215" s="196">
        <v>0.20349999999999999</v>
      </c>
      <c r="G215" s="196">
        <f t="shared" si="28"/>
        <v>9.0648999999999997</v>
      </c>
      <c r="H215" s="196">
        <v>8.8770000000000007</v>
      </c>
      <c r="I215" s="196">
        <f t="shared" si="27"/>
        <v>0.18789999999999907</v>
      </c>
      <c r="J215" s="200">
        <f t="shared" si="29"/>
        <v>1.5600000000000919E-2</v>
      </c>
      <c r="K215" s="277">
        <f t="shared" si="30"/>
        <v>7.6658476658481174</v>
      </c>
      <c r="L215" s="196">
        <v>14</v>
      </c>
      <c r="M215" s="196" t="s">
        <v>2570</v>
      </c>
      <c r="N215" s="196" t="s">
        <v>2569</v>
      </c>
      <c r="O215" s="196" t="s">
        <v>2534</v>
      </c>
      <c r="AB215" s="110"/>
      <c r="AC215" s="110"/>
      <c r="AD215" s="110"/>
      <c r="AE215" s="110"/>
    </row>
    <row r="216" spans="1:31">
      <c r="A216" s="196" t="s">
        <v>1406</v>
      </c>
      <c r="C216" s="197">
        <v>16</v>
      </c>
      <c r="D216" s="196">
        <v>0.40689999999999998</v>
      </c>
      <c r="E216" s="201">
        <v>11.1591</v>
      </c>
      <c r="F216" s="201">
        <v>0.2044</v>
      </c>
      <c r="G216" s="200">
        <f t="shared" si="28"/>
        <v>11.3635</v>
      </c>
      <c r="H216" s="200">
        <v>11.177199999999999</v>
      </c>
      <c r="I216" s="200">
        <f t="shared" si="27"/>
        <v>0.18630000000000102</v>
      </c>
      <c r="J216" s="200">
        <f t="shared" si="29"/>
        <v>1.8099999999998978E-2</v>
      </c>
      <c r="K216" s="277">
        <f t="shared" si="30"/>
        <v>8.8551859099799302</v>
      </c>
      <c r="L216" s="200">
        <v>8</v>
      </c>
      <c r="AB216" s="110"/>
      <c r="AC216" s="110"/>
      <c r="AD216" s="110"/>
      <c r="AE216" s="110"/>
    </row>
    <row r="217" spans="1:31">
      <c r="A217" s="196" t="s">
        <v>1405</v>
      </c>
      <c r="C217" s="197">
        <v>203</v>
      </c>
      <c r="D217" s="196">
        <v>0.60440000000000005</v>
      </c>
      <c r="E217" s="200">
        <v>10.271599999999999</v>
      </c>
      <c r="F217" s="201">
        <v>0.20330000000000001</v>
      </c>
      <c r="G217" s="200">
        <f t="shared" si="28"/>
        <v>10.4749</v>
      </c>
      <c r="H217" s="200">
        <v>10.2941</v>
      </c>
      <c r="I217" s="200">
        <f t="shared" si="27"/>
        <v>0.18079999999999963</v>
      </c>
      <c r="J217" s="200">
        <f t="shared" si="29"/>
        <v>2.2500000000000381E-2</v>
      </c>
      <c r="K217" s="277">
        <f t="shared" si="30"/>
        <v>11.067388096409434</v>
      </c>
      <c r="L217" s="200">
        <v>14</v>
      </c>
      <c r="M217" s="203">
        <v>43212</v>
      </c>
      <c r="AB217" s="110"/>
      <c r="AC217" s="110"/>
      <c r="AD217" s="110"/>
      <c r="AE217" s="110"/>
    </row>
    <row r="218" spans="1:31">
      <c r="A218" s="200" t="s">
        <v>1403</v>
      </c>
      <c r="C218" s="200">
        <v>151</v>
      </c>
      <c r="D218" s="196">
        <v>0.54200000000000004</v>
      </c>
      <c r="E218" s="196">
        <v>8.7667999999999999</v>
      </c>
      <c r="F218" s="196">
        <v>0.20930000000000001</v>
      </c>
      <c r="G218" s="196">
        <f t="shared" si="28"/>
        <v>8.9761000000000006</v>
      </c>
      <c r="H218" s="196">
        <v>8.8093000000000004</v>
      </c>
      <c r="I218" s="196">
        <f t="shared" si="27"/>
        <v>0.16680000000000028</v>
      </c>
      <c r="J218" s="200">
        <f t="shared" si="29"/>
        <v>4.2499999999999732E-2</v>
      </c>
      <c r="K218" s="277">
        <f t="shared" si="30"/>
        <v>20.305781175346262</v>
      </c>
      <c r="L218" s="196">
        <v>12</v>
      </c>
      <c r="M218" s="206">
        <v>43160.520833333336</v>
      </c>
      <c r="N218" s="206">
        <v>43160.6875</v>
      </c>
      <c r="O218" s="196" t="s">
        <v>2534</v>
      </c>
      <c r="AB218" s="110"/>
      <c r="AC218" s="110"/>
      <c r="AD218" s="110"/>
      <c r="AE218" s="110"/>
    </row>
    <row r="219" spans="1:31">
      <c r="A219" s="196" t="s">
        <v>1402</v>
      </c>
      <c r="C219" s="197">
        <v>17</v>
      </c>
      <c r="D219" s="196">
        <v>0.495</v>
      </c>
      <c r="E219" s="201">
        <v>9.3422000000000001</v>
      </c>
      <c r="F219" s="201">
        <v>0.20319999999999999</v>
      </c>
      <c r="G219" s="200">
        <f t="shared" si="28"/>
        <v>9.5454000000000008</v>
      </c>
      <c r="H219" s="200">
        <v>9.3627000000000002</v>
      </c>
      <c r="I219" s="200">
        <f t="shared" si="27"/>
        <v>0.18270000000000053</v>
      </c>
      <c r="J219" s="200">
        <f t="shared" si="29"/>
        <v>2.0499999999999463E-2</v>
      </c>
      <c r="K219" s="277">
        <f t="shared" si="30"/>
        <v>10.088582677165091</v>
      </c>
      <c r="L219" s="200">
        <v>1</v>
      </c>
      <c r="AB219" s="110"/>
      <c r="AC219" s="110"/>
      <c r="AD219" s="110"/>
      <c r="AE219" s="110"/>
    </row>
    <row r="220" spans="1:31">
      <c r="A220" s="196" t="s">
        <v>1401</v>
      </c>
      <c r="C220" s="196">
        <v>34</v>
      </c>
      <c r="D220" s="196">
        <v>0.58889999999999998</v>
      </c>
      <c r="E220" s="196">
        <v>9.2355</v>
      </c>
      <c r="F220" s="196">
        <v>0.20250000000000001</v>
      </c>
      <c r="G220" s="196">
        <f t="shared" si="28"/>
        <v>9.4380000000000006</v>
      </c>
      <c r="H220" s="196">
        <v>9.2577999999999996</v>
      </c>
      <c r="I220" s="196">
        <f t="shared" si="27"/>
        <v>0.18020000000000103</v>
      </c>
      <c r="J220" s="200">
        <f t="shared" si="29"/>
        <v>2.2299999999998987E-2</v>
      </c>
      <c r="K220" s="277">
        <f t="shared" si="30"/>
        <v>11.012345679011846</v>
      </c>
      <c r="L220" s="196">
        <v>10</v>
      </c>
      <c r="M220" s="196" t="s">
        <v>2570</v>
      </c>
      <c r="N220" s="196" t="s">
        <v>2569</v>
      </c>
      <c r="O220" s="196" t="s">
        <v>2534</v>
      </c>
      <c r="AB220" s="110"/>
      <c r="AC220" s="110"/>
      <c r="AD220" s="110"/>
      <c r="AE220" s="110"/>
    </row>
    <row r="221" spans="1:31">
      <c r="A221" s="196" t="s">
        <v>1399</v>
      </c>
      <c r="C221" s="197">
        <v>26</v>
      </c>
      <c r="D221" s="196">
        <v>0.57050000000000001</v>
      </c>
      <c r="E221" s="201">
        <v>8.2188999999999997</v>
      </c>
      <c r="F221" s="201">
        <v>0.2046</v>
      </c>
      <c r="G221" s="200">
        <f t="shared" si="28"/>
        <v>8.4234999999999989</v>
      </c>
      <c r="H221" s="200">
        <v>8.2445000000000004</v>
      </c>
      <c r="I221" s="200">
        <f t="shared" si="27"/>
        <v>0.17899999999999849</v>
      </c>
      <c r="J221" s="200">
        <f t="shared" si="29"/>
        <v>2.560000000000151E-2</v>
      </c>
      <c r="K221" s="277">
        <f t="shared" si="30"/>
        <v>12.512218963832606</v>
      </c>
      <c r="L221" s="200">
        <v>24</v>
      </c>
      <c r="AB221" s="110"/>
      <c r="AC221" s="110"/>
      <c r="AD221" s="110"/>
      <c r="AE221" s="110"/>
    </row>
    <row r="222" spans="1:31">
      <c r="A222" s="201" t="s">
        <v>1397</v>
      </c>
      <c r="C222" s="200">
        <v>145</v>
      </c>
      <c r="D222" s="200">
        <v>0.49199999999999988</v>
      </c>
      <c r="E222" s="200">
        <v>7.7736999999999998</v>
      </c>
      <c r="F222" s="200">
        <v>0.20580000000000001</v>
      </c>
      <c r="G222" s="200">
        <f t="shared" si="28"/>
        <v>7.9794999999999998</v>
      </c>
      <c r="H222" s="200">
        <v>7.8140999999999998</v>
      </c>
      <c r="I222" s="200">
        <f t="shared" si="27"/>
        <v>0.16539999999999999</v>
      </c>
      <c r="J222" s="200">
        <f t="shared" si="29"/>
        <v>4.0400000000000019E-2</v>
      </c>
      <c r="K222" s="277">
        <f t="shared" si="30"/>
        <v>19.630709426627803</v>
      </c>
      <c r="L222" s="200">
        <v>28</v>
      </c>
      <c r="M222" s="204">
        <v>43173</v>
      </c>
      <c r="N222" s="204">
        <v>43173</v>
      </c>
      <c r="O222" s="200" t="s">
        <v>2540</v>
      </c>
      <c r="P222" s="200" t="s">
        <v>2539</v>
      </c>
      <c r="AB222" s="110"/>
      <c r="AC222" s="110"/>
      <c r="AD222" s="110"/>
      <c r="AE222" s="110"/>
    </row>
    <row r="223" spans="1:31">
      <c r="A223" s="205" t="s">
        <v>1396</v>
      </c>
      <c r="C223" s="200">
        <v>156</v>
      </c>
      <c r="D223" s="200">
        <v>0.51719999999999999</v>
      </c>
      <c r="E223" s="200">
        <v>8.1660000000000004</v>
      </c>
      <c r="F223" s="200">
        <v>0.2077</v>
      </c>
      <c r="G223" s="200">
        <f t="shared" si="28"/>
        <v>8.3736999999999995</v>
      </c>
      <c r="H223" s="200">
        <v>8.218</v>
      </c>
      <c r="I223" s="200">
        <f t="shared" si="27"/>
        <v>0.15569999999999951</v>
      </c>
      <c r="J223" s="200">
        <f t="shared" si="29"/>
        <v>5.200000000000049E-2</v>
      </c>
      <c r="K223" s="277">
        <f t="shared" si="30"/>
        <v>25.036109773712322</v>
      </c>
      <c r="L223" s="200">
        <v>16</v>
      </c>
      <c r="M223" s="202">
        <v>43171.520833333336</v>
      </c>
      <c r="N223" s="202">
        <v>43171.6875</v>
      </c>
      <c r="O223" s="196" t="s">
        <v>2534</v>
      </c>
      <c r="P223" s="200"/>
      <c r="AB223" s="110"/>
      <c r="AC223" s="110"/>
      <c r="AD223" s="110"/>
      <c r="AE223" s="110"/>
    </row>
    <row r="224" spans="1:31">
      <c r="A224" s="205" t="s">
        <v>1395</v>
      </c>
      <c r="C224" s="200">
        <v>174</v>
      </c>
      <c r="D224" s="200">
        <v>0.48580000000000001</v>
      </c>
      <c r="E224" s="201">
        <v>8.1355000000000004</v>
      </c>
      <c r="F224" s="201">
        <v>0.20269999999999999</v>
      </c>
      <c r="G224" s="200">
        <f t="shared" si="28"/>
        <v>8.3382000000000005</v>
      </c>
      <c r="H224" s="200">
        <v>8.1510999999999996</v>
      </c>
      <c r="I224" s="200">
        <f t="shared" si="27"/>
        <v>0.18710000000000093</v>
      </c>
      <c r="J224" s="200">
        <f t="shared" si="29"/>
        <v>1.5599999999999059E-2</v>
      </c>
      <c r="K224" s="277">
        <f t="shared" si="30"/>
        <v>7.6961026147010658</v>
      </c>
      <c r="L224" s="200">
        <v>10</v>
      </c>
      <c r="M224" s="206">
        <v>43186.458333333336</v>
      </c>
      <c r="N224" s="206">
        <v>43186.625</v>
      </c>
      <c r="O224" s="196" t="s">
        <v>2534</v>
      </c>
      <c r="P224" s="200"/>
      <c r="AB224" s="110"/>
      <c r="AC224" s="110"/>
      <c r="AD224" s="110"/>
      <c r="AE224" s="110"/>
    </row>
    <row r="225" spans="1:31">
      <c r="A225" s="200" t="s">
        <v>1394</v>
      </c>
      <c r="C225" s="200">
        <v>171</v>
      </c>
      <c r="D225" s="200">
        <v>0.46429999999999999</v>
      </c>
      <c r="E225" s="201">
        <v>7.4753999999999996</v>
      </c>
      <c r="F225" s="201">
        <v>0.2019</v>
      </c>
      <c r="G225" s="200">
        <f t="shared" si="28"/>
        <v>7.6772999999999998</v>
      </c>
      <c r="H225" s="200">
        <v>7.5002000000000004</v>
      </c>
      <c r="I225" s="200">
        <f t="shared" si="27"/>
        <v>0.17709999999999937</v>
      </c>
      <c r="J225" s="200">
        <f t="shared" si="29"/>
        <v>2.4800000000000627E-2</v>
      </c>
      <c r="K225" s="277">
        <f t="shared" si="30"/>
        <v>12.283308568598626</v>
      </c>
      <c r="L225" s="200">
        <v>11</v>
      </c>
      <c r="M225" s="204">
        <v>43174</v>
      </c>
      <c r="N225" s="204">
        <v>43174</v>
      </c>
      <c r="O225" s="200" t="s">
        <v>2540</v>
      </c>
      <c r="P225" s="200" t="s">
        <v>2535</v>
      </c>
      <c r="AB225" s="110"/>
      <c r="AC225" s="110"/>
      <c r="AD225" s="110"/>
      <c r="AE225" s="110"/>
    </row>
    <row r="226" spans="1:31">
      <c r="A226" s="200" t="s">
        <v>1393</v>
      </c>
      <c r="C226" s="200">
        <v>119</v>
      </c>
      <c r="D226" s="200">
        <v>0.46510000000000001</v>
      </c>
      <c r="E226" s="201">
        <v>9.6732999999999993</v>
      </c>
      <c r="F226" s="201">
        <v>0.2094</v>
      </c>
      <c r="G226" s="200">
        <f t="shared" si="28"/>
        <v>9.8826999999999998</v>
      </c>
      <c r="H226" s="200">
        <v>9.7062000000000008</v>
      </c>
      <c r="I226" s="200">
        <f t="shared" ref="I226:I257" si="31">(G226-H226)</f>
        <v>0.17649999999999899</v>
      </c>
      <c r="J226" s="200">
        <f t="shared" si="29"/>
        <v>3.2900000000001012E-2</v>
      </c>
      <c r="K226" s="277">
        <f t="shared" si="30"/>
        <v>15.711556829035821</v>
      </c>
      <c r="L226" s="200">
        <v>27</v>
      </c>
      <c r="M226" s="204">
        <v>43197</v>
      </c>
      <c r="N226" s="204">
        <v>43197</v>
      </c>
      <c r="O226" s="200"/>
      <c r="P226" s="200"/>
      <c r="AB226" s="110"/>
      <c r="AC226" s="110"/>
      <c r="AD226" s="110"/>
      <c r="AE226" s="110"/>
    </row>
    <row r="227" spans="1:31">
      <c r="A227" s="205" t="s">
        <v>1392</v>
      </c>
      <c r="C227" s="200">
        <v>150</v>
      </c>
      <c r="D227" s="200">
        <v>0.48359999999999997</v>
      </c>
      <c r="E227" s="201">
        <v>10.539899999999999</v>
      </c>
      <c r="F227" s="201">
        <v>0.20069999999999999</v>
      </c>
      <c r="G227" s="200">
        <f t="shared" si="28"/>
        <v>10.740599999999999</v>
      </c>
      <c r="H227" s="200">
        <v>10.5875</v>
      </c>
      <c r="I227" s="200">
        <f t="shared" si="31"/>
        <v>0.15309999999999846</v>
      </c>
      <c r="J227" s="200">
        <f t="shared" si="29"/>
        <v>4.760000000000153E-2</v>
      </c>
      <c r="K227" s="277">
        <f t="shared" si="30"/>
        <v>23.716990533134794</v>
      </c>
      <c r="L227" s="200">
        <v>12</v>
      </c>
      <c r="M227" s="204">
        <v>43199</v>
      </c>
      <c r="N227" s="204">
        <v>43199</v>
      </c>
      <c r="O227" s="200"/>
      <c r="P227" s="200"/>
      <c r="AB227" s="110"/>
      <c r="AC227" s="110"/>
      <c r="AD227" s="110"/>
      <c r="AE227" s="110"/>
    </row>
    <row r="228" spans="1:31">
      <c r="A228" s="196" t="s">
        <v>1390</v>
      </c>
      <c r="C228" s="196">
        <v>67</v>
      </c>
      <c r="D228" s="196">
        <v>0.68069999999999997</v>
      </c>
      <c r="E228" s="196">
        <v>8.1334</v>
      </c>
      <c r="F228" s="196">
        <v>0.20860000000000001</v>
      </c>
      <c r="G228" s="196">
        <f t="shared" si="28"/>
        <v>8.3420000000000005</v>
      </c>
      <c r="H228" s="196">
        <v>8.1550999999999991</v>
      </c>
      <c r="I228" s="196">
        <f t="shared" si="31"/>
        <v>0.1869000000000014</v>
      </c>
      <c r="J228" s="200">
        <f t="shared" si="29"/>
        <v>2.1699999999998609E-2</v>
      </c>
      <c r="K228" s="277">
        <f t="shared" si="30"/>
        <v>10.402684563757722</v>
      </c>
      <c r="L228" s="196">
        <v>4</v>
      </c>
      <c r="M228" s="196" t="s">
        <v>2564</v>
      </c>
      <c r="N228" s="196" t="s">
        <v>2563</v>
      </c>
      <c r="O228" s="196" t="s">
        <v>2540</v>
      </c>
      <c r="AB228" s="110"/>
      <c r="AC228" s="110"/>
      <c r="AD228" s="110"/>
      <c r="AE228" s="110"/>
    </row>
    <row r="229" spans="1:31">
      <c r="A229" s="200" t="s">
        <v>1385</v>
      </c>
      <c r="C229" s="200">
        <v>7</v>
      </c>
      <c r="D229" s="200">
        <v>0.37419999999999998</v>
      </c>
      <c r="E229" s="201">
        <v>9.7736000000000001</v>
      </c>
      <c r="F229" s="201">
        <v>0.2029</v>
      </c>
      <c r="G229" s="200">
        <f t="shared" si="28"/>
        <v>9.9764999999999997</v>
      </c>
      <c r="H229" s="200">
        <v>9.7952999999999992</v>
      </c>
      <c r="I229" s="200">
        <f t="shared" si="31"/>
        <v>0.18120000000000047</v>
      </c>
      <c r="J229" s="200">
        <f t="shared" si="29"/>
        <v>2.1699999999999525E-2</v>
      </c>
      <c r="K229" s="277">
        <f t="shared" si="30"/>
        <v>10.694923607688283</v>
      </c>
      <c r="L229" s="200">
        <v>4</v>
      </c>
      <c r="M229" s="206">
        <v>43185.385416666664</v>
      </c>
      <c r="N229" s="200"/>
      <c r="O229" s="200" t="s">
        <v>2540</v>
      </c>
      <c r="P229" s="196" t="s">
        <v>2584</v>
      </c>
      <c r="AB229" s="110"/>
      <c r="AC229" s="110"/>
      <c r="AD229" s="110"/>
      <c r="AE229" s="110"/>
    </row>
    <row r="230" spans="1:31">
      <c r="A230" s="200" t="s">
        <v>1384</v>
      </c>
      <c r="C230" s="200">
        <v>121</v>
      </c>
      <c r="D230" s="200">
        <v>0.438</v>
      </c>
      <c r="E230" s="200">
        <v>11.453799999999999</v>
      </c>
      <c r="F230" s="200">
        <v>0.20799999999999999</v>
      </c>
      <c r="G230" s="200">
        <f t="shared" si="28"/>
        <v>11.661799999999999</v>
      </c>
      <c r="H230" s="200">
        <v>11.4787</v>
      </c>
      <c r="I230" s="200">
        <f t="shared" si="31"/>
        <v>0.1830999999999996</v>
      </c>
      <c r="J230" s="200">
        <f t="shared" si="29"/>
        <v>2.4900000000000394E-2</v>
      </c>
      <c r="K230" s="277">
        <f t="shared" si="30"/>
        <v>11.971153846154037</v>
      </c>
      <c r="L230" s="200">
        <v>12</v>
      </c>
      <c r="M230" s="204">
        <v>43188</v>
      </c>
      <c r="N230" s="204">
        <v>43188</v>
      </c>
      <c r="O230" s="200"/>
      <c r="P230" s="200"/>
      <c r="AB230" s="110"/>
      <c r="AC230" s="110"/>
      <c r="AD230" s="110"/>
      <c r="AE230" s="110"/>
    </row>
    <row r="231" spans="1:31">
      <c r="A231" s="200" t="s">
        <v>1383</v>
      </c>
      <c r="C231" s="200">
        <v>156</v>
      </c>
      <c r="D231" s="200">
        <v>0.43380000000000002</v>
      </c>
      <c r="E231" s="200">
        <v>8.7672000000000008</v>
      </c>
      <c r="F231" s="201">
        <v>0.16839999999999999</v>
      </c>
      <c r="G231" s="200">
        <f t="shared" si="28"/>
        <v>8.9356000000000009</v>
      </c>
      <c r="H231" s="200">
        <v>8.8134999999999994</v>
      </c>
      <c r="I231" s="200">
        <f t="shared" si="31"/>
        <v>0.12210000000000143</v>
      </c>
      <c r="J231" s="200">
        <f t="shared" si="29"/>
        <v>4.6299999999998565E-2</v>
      </c>
      <c r="K231" s="277">
        <f t="shared" si="30"/>
        <v>27.494061757718864</v>
      </c>
      <c r="L231" s="200">
        <v>2</v>
      </c>
      <c r="M231" s="204">
        <v>43211</v>
      </c>
      <c r="N231" s="200"/>
      <c r="O231" s="200"/>
      <c r="P231" s="200"/>
      <c r="AB231" s="110"/>
      <c r="AC231" s="110"/>
      <c r="AD231" s="110"/>
      <c r="AE231" s="110"/>
    </row>
    <row r="232" spans="1:31">
      <c r="A232" s="200" t="s">
        <v>1382</v>
      </c>
      <c r="C232" s="200">
        <v>205</v>
      </c>
      <c r="D232" s="196">
        <v>0.4955</v>
      </c>
      <c r="E232" s="196">
        <v>8.1356999999999999</v>
      </c>
      <c r="F232" s="196">
        <v>0.2049</v>
      </c>
      <c r="G232" s="196">
        <f t="shared" si="28"/>
        <v>8.3406000000000002</v>
      </c>
      <c r="H232" s="196">
        <v>8.1722000000000001</v>
      </c>
      <c r="I232" s="196">
        <f t="shared" si="31"/>
        <v>0.16840000000000011</v>
      </c>
      <c r="J232" s="200">
        <f t="shared" si="29"/>
        <v>3.6499999999999894E-2</v>
      </c>
      <c r="K232" s="277">
        <f t="shared" si="30"/>
        <v>17.813567593948214</v>
      </c>
      <c r="L232" s="196">
        <v>7</v>
      </c>
      <c r="M232" s="206">
        <v>43160.520833333336</v>
      </c>
      <c r="N232" s="206">
        <v>43160.6875</v>
      </c>
      <c r="O232" s="196" t="s">
        <v>2534</v>
      </c>
      <c r="AB232" s="110"/>
      <c r="AC232" s="110"/>
      <c r="AD232" s="110"/>
      <c r="AE232" s="110"/>
    </row>
    <row r="233" spans="1:31">
      <c r="A233" s="196" t="s">
        <v>1381</v>
      </c>
      <c r="C233" s="197">
        <v>184</v>
      </c>
      <c r="D233" s="196">
        <v>0.5524</v>
      </c>
      <c r="E233" s="200">
        <v>10.540100000000001</v>
      </c>
      <c r="F233" s="201">
        <v>0.2019</v>
      </c>
      <c r="G233" s="200">
        <f t="shared" ref="G233:G264" si="32">E233+F233</f>
        <v>10.742000000000001</v>
      </c>
      <c r="H233" s="200">
        <v>10.557700000000001</v>
      </c>
      <c r="I233" s="200">
        <f t="shared" si="31"/>
        <v>0.18430000000000035</v>
      </c>
      <c r="J233" s="200">
        <f t="shared" ref="J233:J264" si="33">F233-I233</f>
        <v>1.7599999999999644E-2</v>
      </c>
      <c r="K233" s="277">
        <f t="shared" ref="K233:K264" si="34">(J233/F233)*100</f>
        <v>8.7171867261018541</v>
      </c>
      <c r="L233" s="200">
        <v>2</v>
      </c>
      <c r="M233" s="203">
        <v>43212</v>
      </c>
      <c r="AB233" s="110"/>
      <c r="AC233" s="110"/>
      <c r="AD233" s="110"/>
      <c r="AE233" s="110"/>
    </row>
    <row r="234" spans="1:31">
      <c r="A234" s="200" t="s">
        <v>1380</v>
      </c>
      <c r="C234" s="200">
        <v>35</v>
      </c>
      <c r="D234" s="201">
        <v>0.61919999999999997</v>
      </c>
      <c r="E234" s="200">
        <v>8.1677999999999997</v>
      </c>
      <c r="F234" s="201">
        <v>0.20930000000000001</v>
      </c>
      <c r="G234" s="200">
        <f t="shared" si="32"/>
        <v>8.3771000000000004</v>
      </c>
      <c r="H234" s="200">
        <v>8.2066999999999997</v>
      </c>
      <c r="I234" s="200">
        <f t="shared" si="31"/>
        <v>0.17040000000000077</v>
      </c>
      <c r="J234" s="200">
        <f t="shared" si="33"/>
        <v>3.8899999999999241E-2</v>
      </c>
      <c r="K234" s="277">
        <f t="shared" si="34"/>
        <v>18.585762064022571</v>
      </c>
      <c r="L234" s="200">
        <v>16</v>
      </c>
      <c r="M234" s="204">
        <v>43206</v>
      </c>
      <c r="N234" s="204">
        <v>43206</v>
      </c>
      <c r="O234" s="200"/>
      <c r="P234" s="200"/>
      <c r="AB234" s="110"/>
      <c r="AC234" s="110"/>
      <c r="AD234" s="110"/>
      <c r="AE234" s="110"/>
    </row>
    <row r="235" spans="1:31">
      <c r="A235" s="205" t="s">
        <v>1377</v>
      </c>
      <c r="C235" s="200">
        <v>64</v>
      </c>
      <c r="D235" s="201">
        <v>0.78049999999999997</v>
      </c>
      <c r="E235" s="200">
        <v>8.7334999999999994</v>
      </c>
      <c r="F235" s="201">
        <v>0.20580000000000001</v>
      </c>
      <c r="G235" s="200">
        <f t="shared" si="32"/>
        <v>8.9392999999999994</v>
      </c>
      <c r="H235" s="200">
        <v>8.7824000000000009</v>
      </c>
      <c r="I235" s="200">
        <f t="shared" si="31"/>
        <v>0.15689999999999849</v>
      </c>
      <c r="J235" s="200">
        <f t="shared" si="33"/>
        <v>4.8900000000001526E-2</v>
      </c>
      <c r="K235" s="277">
        <f t="shared" si="34"/>
        <v>23.760932944607156</v>
      </c>
      <c r="L235" s="200">
        <v>19</v>
      </c>
      <c r="M235" s="204">
        <v>43206</v>
      </c>
      <c r="N235" s="204">
        <v>43206</v>
      </c>
      <c r="O235" s="200"/>
      <c r="P235" s="200"/>
      <c r="AB235" s="110"/>
      <c r="AC235" s="110"/>
      <c r="AD235" s="110"/>
      <c r="AE235" s="110"/>
    </row>
    <row r="236" spans="1:31">
      <c r="A236" s="200" t="s">
        <v>1376</v>
      </c>
      <c r="C236" s="200">
        <v>170</v>
      </c>
      <c r="D236" s="200">
        <v>0.42299999999999999</v>
      </c>
      <c r="E236" s="200">
        <v>10.739000000000001</v>
      </c>
      <c r="F236" s="201">
        <v>0.2026</v>
      </c>
      <c r="G236" s="200">
        <f t="shared" si="32"/>
        <v>10.941600000000001</v>
      </c>
      <c r="H236" s="200">
        <v>10.7568</v>
      </c>
      <c r="I236" s="200">
        <f t="shared" si="31"/>
        <v>0.18480000000000096</v>
      </c>
      <c r="J236" s="200">
        <f t="shared" si="33"/>
        <v>1.7799999999999039E-2</v>
      </c>
      <c r="K236" s="277">
        <f t="shared" si="34"/>
        <v>8.7857847976303241</v>
      </c>
      <c r="L236" s="200">
        <v>3</v>
      </c>
      <c r="M236" s="204">
        <v>43187</v>
      </c>
      <c r="N236" s="204">
        <v>43187</v>
      </c>
      <c r="O236" s="200"/>
      <c r="P236" s="200"/>
      <c r="AB236" s="110"/>
      <c r="AC236" s="110"/>
      <c r="AD236" s="110"/>
      <c r="AE236" s="110"/>
    </row>
    <row r="237" spans="1:31">
      <c r="A237" s="205" t="s">
        <v>1375</v>
      </c>
      <c r="C237" s="200">
        <v>154</v>
      </c>
      <c r="D237" s="200">
        <v>0.37</v>
      </c>
      <c r="E237" s="201">
        <v>7.4812000000000003</v>
      </c>
      <c r="F237" s="201">
        <v>0.20849999999999999</v>
      </c>
      <c r="G237" s="200">
        <f t="shared" si="32"/>
        <v>7.6897000000000002</v>
      </c>
      <c r="H237" s="200">
        <v>7.5187999999999997</v>
      </c>
      <c r="I237" s="200">
        <f t="shared" si="31"/>
        <v>0.1709000000000005</v>
      </c>
      <c r="J237" s="200">
        <f t="shared" si="33"/>
        <v>3.7599999999999495E-2</v>
      </c>
      <c r="K237" s="277">
        <f t="shared" si="34"/>
        <v>18.033573141486571</v>
      </c>
      <c r="L237" s="200">
        <v>26</v>
      </c>
      <c r="M237" s="206">
        <v>43186.458333333336</v>
      </c>
      <c r="N237" s="206">
        <v>43186.625</v>
      </c>
      <c r="O237" s="196" t="s">
        <v>2534</v>
      </c>
      <c r="P237" s="200"/>
      <c r="AB237" s="110"/>
      <c r="AC237" s="110"/>
      <c r="AD237" s="110"/>
      <c r="AE237" s="110"/>
    </row>
    <row r="238" spans="1:31">
      <c r="A238" s="200" t="s">
        <v>1374</v>
      </c>
      <c r="C238" s="200">
        <v>107</v>
      </c>
      <c r="D238" s="200">
        <v>0.45179999999999998</v>
      </c>
      <c r="E238" s="201">
        <v>11.1061</v>
      </c>
      <c r="F238" s="201">
        <v>0.20130000000000001</v>
      </c>
      <c r="G238" s="200">
        <f t="shared" si="32"/>
        <v>11.307399999999999</v>
      </c>
      <c r="H238" s="200">
        <v>11.139099999999999</v>
      </c>
      <c r="I238" s="200">
        <f t="shared" si="31"/>
        <v>0.16830000000000034</v>
      </c>
      <c r="J238" s="200">
        <f t="shared" si="33"/>
        <v>3.2999999999999668E-2</v>
      </c>
      <c r="K238" s="277">
        <f t="shared" si="34"/>
        <v>16.393442622950655</v>
      </c>
      <c r="L238" s="200">
        <v>4</v>
      </c>
      <c r="M238" s="202">
        <v>43178.395833333336</v>
      </c>
      <c r="N238" s="202">
        <v>43178.5625</v>
      </c>
      <c r="O238" s="196" t="s">
        <v>2534</v>
      </c>
      <c r="P238" s="200"/>
      <c r="AB238" s="110"/>
      <c r="AC238" s="110"/>
      <c r="AD238" s="110"/>
      <c r="AE238" s="110"/>
    </row>
    <row r="239" spans="1:31">
      <c r="A239" s="205" t="s">
        <v>1373</v>
      </c>
      <c r="C239" s="200">
        <v>206</v>
      </c>
      <c r="D239" s="200">
        <v>0.61060000000000003</v>
      </c>
      <c r="E239" s="200">
        <v>9.4850999999999992</v>
      </c>
      <c r="F239" s="201">
        <v>0.2019</v>
      </c>
      <c r="G239" s="200">
        <f t="shared" si="32"/>
        <v>9.6869999999999994</v>
      </c>
      <c r="H239" s="200">
        <v>9.5200999999999993</v>
      </c>
      <c r="I239" s="200">
        <f t="shared" si="31"/>
        <v>0.16690000000000005</v>
      </c>
      <c r="J239" s="200">
        <f t="shared" si="33"/>
        <v>3.4999999999999948E-2</v>
      </c>
      <c r="K239" s="277">
        <f t="shared" si="34"/>
        <v>17.335314512134694</v>
      </c>
      <c r="L239" s="200">
        <v>14</v>
      </c>
      <c r="M239" s="204">
        <v>43187</v>
      </c>
      <c r="N239" s="204">
        <v>43187</v>
      </c>
      <c r="O239" s="200"/>
      <c r="P239" s="200"/>
      <c r="AB239" s="110"/>
      <c r="AC239" s="110"/>
      <c r="AD239" s="110"/>
      <c r="AE239" s="110"/>
    </row>
    <row r="240" spans="1:31">
      <c r="A240" s="200" t="s">
        <v>1372</v>
      </c>
      <c r="C240" s="200">
        <v>147</v>
      </c>
      <c r="D240" s="200">
        <v>0.49569999999999997</v>
      </c>
      <c r="E240" s="201">
        <v>8.4428999999999998</v>
      </c>
      <c r="F240" s="201">
        <v>0.20019999999999999</v>
      </c>
      <c r="G240" s="200">
        <f t="shared" si="32"/>
        <v>8.6431000000000004</v>
      </c>
      <c r="H240" s="200">
        <v>8.4756</v>
      </c>
      <c r="I240" s="200">
        <f t="shared" si="31"/>
        <v>0.16750000000000043</v>
      </c>
      <c r="J240" s="200">
        <f t="shared" si="33"/>
        <v>3.2699999999999563E-2</v>
      </c>
      <c r="K240" s="277">
        <f t="shared" si="34"/>
        <v>16.333666333666116</v>
      </c>
      <c r="L240" s="200">
        <v>24</v>
      </c>
      <c r="M240" s="204">
        <v>43197</v>
      </c>
      <c r="N240" s="204">
        <v>43197</v>
      </c>
      <c r="O240" s="200"/>
      <c r="P240" s="200"/>
      <c r="AB240" s="110"/>
      <c r="AC240" s="110"/>
      <c r="AD240" s="110"/>
      <c r="AE240" s="110"/>
    </row>
    <row r="241" spans="1:31">
      <c r="A241" s="205" t="s">
        <v>1371</v>
      </c>
      <c r="C241" s="200">
        <v>48</v>
      </c>
      <c r="D241" s="200">
        <v>0.6129</v>
      </c>
      <c r="E241" s="200">
        <v>11.904299999999999</v>
      </c>
      <c r="F241" s="201">
        <v>0.20449999999999999</v>
      </c>
      <c r="G241" s="200">
        <f t="shared" si="32"/>
        <v>12.108799999999999</v>
      </c>
      <c r="H241" s="200">
        <v>11.9199</v>
      </c>
      <c r="I241" s="200">
        <f t="shared" si="31"/>
        <v>0.18889999999999851</v>
      </c>
      <c r="J241" s="200">
        <f t="shared" si="33"/>
        <v>1.5600000000001474E-2</v>
      </c>
      <c r="K241" s="277">
        <f t="shared" si="34"/>
        <v>7.6283618581914308</v>
      </c>
      <c r="L241" s="200">
        <v>14</v>
      </c>
      <c r="M241" s="204">
        <v>43211</v>
      </c>
      <c r="R241" s="196">
        <v>2</v>
      </c>
      <c r="S241" s="196">
        <v>0.61550000000000005</v>
      </c>
      <c r="U241" s="201" t="s">
        <v>660</v>
      </c>
      <c r="V241" s="196">
        <v>1.8808</v>
      </c>
      <c r="W241" s="196">
        <f>(V241-$T$175+F239)</f>
        <v>2.0827</v>
      </c>
      <c r="AB241" s="110"/>
      <c r="AC241" s="110"/>
      <c r="AD241" s="110"/>
      <c r="AE241" s="110"/>
    </row>
    <row r="242" spans="1:31">
      <c r="A242" s="205" t="s">
        <v>1370</v>
      </c>
      <c r="C242" s="200">
        <v>168</v>
      </c>
      <c r="D242" s="200">
        <v>0.76470000000000005</v>
      </c>
      <c r="E242" s="201">
        <v>10.2715</v>
      </c>
      <c r="F242" s="201">
        <v>0.2087</v>
      </c>
      <c r="G242" s="200">
        <f t="shared" si="32"/>
        <v>10.4802</v>
      </c>
      <c r="H242" s="200">
        <v>10.2873</v>
      </c>
      <c r="I242" s="200">
        <f t="shared" si="31"/>
        <v>0.19289999999999985</v>
      </c>
      <c r="J242" s="200">
        <f t="shared" si="33"/>
        <v>1.5800000000000147E-2</v>
      </c>
      <c r="K242" s="277">
        <f t="shared" si="34"/>
        <v>7.5706756109248428</v>
      </c>
      <c r="L242" s="200">
        <v>12</v>
      </c>
      <c r="M242" s="206">
        <v>43185.385416666664</v>
      </c>
      <c r="N242" s="200"/>
      <c r="O242" s="200" t="s">
        <v>2540</v>
      </c>
      <c r="P242" s="200"/>
      <c r="AB242" s="110"/>
      <c r="AC242" s="110"/>
      <c r="AD242" s="110"/>
      <c r="AE242" s="110"/>
    </row>
    <row r="243" spans="1:31">
      <c r="A243" s="205" t="s">
        <v>1369</v>
      </c>
      <c r="C243" s="200">
        <v>118</v>
      </c>
      <c r="D243" s="201">
        <v>0.379</v>
      </c>
      <c r="E243" s="200">
        <v>8.0647000000000002</v>
      </c>
      <c r="F243" s="201">
        <v>0.20280000000000001</v>
      </c>
      <c r="G243" s="200">
        <f t="shared" si="32"/>
        <v>8.2675000000000001</v>
      </c>
      <c r="H243" s="200">
        <v>8.0952000000000002</v>
      </c>
      <c r="I243" s="200">
        <f t="shared" si="31"/>
        <v>0.1722999999999999</v>
      </c>
      <c r="J243" s="200">
        <f t="shared" si="33"/>
        <v>3.050000000000011E-2</v>
      </c>
      <c r="K243" s="277">
        <f t="shared" si="34"/>
        <v>15.039447731755478</v>
      </c>
      <c r="L243" s="200">
        <v>20</v>
      </c>
      <c r="M243" s="200"/>
      <c r="N243" s="200"/>
      <c r="O243" s="200"/>
      <c r="P243" s="200"/>
      <c r="AB243" s="110"/>
      <c r="AC243" s="110"/>
      <c r="AD243" s="110"/>
      <c r="AE243" s="110"/>
    </row>
    <row r="244" spans="1:31">
      <c r="A244" s="205" t="s">
        <v>1368</v>
      </c>
      <c r="C244" s="200">
        <v>124</v>
      </c>
      <c r="D244" s="200">
        <v>0.40920000000000001</v>
      </c>
      <c r="E244" s="201">
        <v>10.0756</v>
      </c>
      <c r="F244" s="201">
        <v>0.20080000000000001</v>
      </c>
      <c r="G244" s="200">
        <f t="shared" si="32"/>
        <v>10.276399999999999</v>
      </c>
      <c r="H244" s="200">
        <v>10.100300000000001</v>
      </c>
      <c r="I244" s="200">
        <f t="shared" si="31"/>
        <v>0.17609999999999815</v>
      </c>
      <c r="J244" s="200">
        <f t="shared" si="33"/>
        <v>2.4700000000001859E-2</v>
      </c>
      <c r="K244" s="277">
        <f t="shared" si="34"/>
        <v>12.30079681274993</v>
      </c>
      <c r="L244" s="200">
        <v>8</v>
      </c>
      <c r="M244" s="206">
        <v>43185.385416666664</v>
      </c>
      <c r="N244" s="200"/>
      <c r="O244" s="200" t="s">
        <v>2540</v>
      </c>
      <c r="P244" s="200"/>
      <c r="AB244" s="110"/>
      <c r="AC244" s="110"/>
      <c r="AD244" s="110"/>
      <c r="AE244" s="110"/>
    </row>
    <row r="245" spans="1:31">
      <c r="A245" s="205" t="s">
        <v>1366</v>
      </c>
      <c r="C245" s="200">
        <v>154</v>
      </c>
      <c r="D245" s="200">
        <v>0.37980000000000003</v>
      </c>
      <c r="E245" s="201">
        <v>11.105499999999999</v>
      </c>
      <c r="F245" s="201">
        <v>0.19839999999999999</v>
      </c>
      <c r="G245" s="200">
        <f t="shared" si="32"/>
        <v>11.303899999999999</v>
      </c>
      <c r="H245" s="200">
        <v>11.1403</v>
      </c>
      <c r="I245" s="200">
        <f t="shared" si="31"/>
        <v>0.16359999999999886</v>
      </c>
      <c r="J245" s="200">
        <f t="shared" si="33"/>
        <v>3.4800000000001136E-2</v>
      </c>
      <c r="K245" s="277">
        <f t="shared" si="34"/>
        <v>17.540322580645736</v>
      </c>
      <c r="L245" s="200">
        <v>25</v>
      </c>
      <c r="M245" s="206">
        <v>43186.458333333336</v>
      </c>
      <c r="N245" s="206">
        <v>43186.625</v>
      </c>
      <c r="O245" s="196" t="s">
        <v>2534</v>
      </c>
      <c r="P245" s="200"/>
      <c r="AB245" s="110"/>
      <c r="AC245" s="110"/>
      <c r="AD245" s="110"/>
      <c r="AE245" s="110"/>
    </row>
    <row r="246" spans="1:31">
      <c r="A246" s="200" t="s">
        <v>1365</v>
      </c>
      <c r="C246" s="200">
        <v>15</v>
      </c>
      <c r="D246" s="200">
        <v>0.5202</v>
      </c>
      <c r="E246" s="201">
        <v>10.144500000000001</v>
      </c>
      <c r="F246" s="201">
        <v>0.20250000000000001</v>
      </c>
      <c r="G246" s="200">
        <f t="shared" si="32"/>
        <v>10.347000000000001</v>
      </c>
      <c r="H246" s="200">
        <v>10.1905</v>
      </c>
      <c r="I246" s="200">
        <f t="shared" si="31"/>
        <v>0.15650000000000119</v>
      </c>
      <c r="J246" s="200">
        <f t="shared" si="33"/>
        <v>4.599999999999882E-2</v>
      </c>
      <c r="K246" s="277">
        <f t="shared" si="34"/>
        <v>22.716049382715465</v>
      </c>
      <c r="L246" s="200">
        <v>32</v>
      </c>
      <c r="M246" s="206">
        <v>43185.385416666664</v>
      </c>
      <c r="N246" s="200"/>
      <c r="O246" s="200" t="s">
        <v>2540</v>
      </c>
      <c r="P246" s="200"/>
      <c r="AB246" s="110"/>
      <c r="AC246" s="110"/>
      <c r="AD246" s="110"/>
      <c r="AE246" s="110"/>
    </row>
    <row r="247" spans="1:31">
      <c r="A247" s="205" t="s">
        <v>1364</v>
      </c>
      <c r="C247" s="200">
        <v>164</v>
      </c>
      <c r="D247" s="200">
        <v>0.44059999999999999</v>
      </c>
      <c r="E247" s="200">
        <v>10.855700000000001</v>
      </c>
      <c r="F247" s="201">
        <v>0.2087</v>
      </c>
      <c r="G247" s="200">
        <f t="shared" si="32"/>
        <v>11.064400000000001</v>
      </c>
      <c r="H247" s="200">
        <v>10.875999999999999</v>
      </c>
      <c r="I247" s="200">
        <f t="shared" si="31"/>
        <v>0.18840000000000146</v>
      </c>
      <c r="J247" s="200">
        <f t="shared" si="33"/>
        <v>2.0299999999998541E-2</v>
      </c>
      <c r="K247" s="277">
        <f t="shared" si="34"/>
        <v>9.7268806899849256</v>
      </c>
      <c r="L247" s="200">
        <v>27</v>
      </c>
      <c r="M247" s="204">
        <v>43187</v>
      </c>
      <c r="N247" s="204">
        <v>43187</v>
      </c>
      <c r="O247" s="200"/>
      <c r="P247" s="200"/>
      <c r="AB247" s="110"/>
      <c r="AC247" s="110"/>
      <c r="AD247" s="110"/>
      <c r="AE247" s="110"/>
    </row>
    <row r="248" spans="1:31">
      <c r="A248" s="200" t="s">
        <v>1363</v>
      </c>
      <c r="C248" s="200">
        <v>127</v>
      </c>
      <c r="D248" s="201">
        <v>0.39150000000000001</v>
      </c>
      <c r="E248" s="200">
        <v>11.863099999999999</v>
      </c>
      <c r="F248" s="201">
        <v>0.20269999999999999</v>
      </c>
      <c r="G248" s="200">
        <f t="shared" si="32"/>
        <v>12.065799999999999</v>
      </c>
      <c r="H248" s="200">
        <v>11.8986</v>
      </c>
      <c r="I248" s="200">
        <f t="shared" si="31"/>
        <v>0.16719999999999935</v>
      </c>
      <c r="J248" s="200">
        <f t="shared" si="33"/>
        <v>3.5500000000000642E-2</v>
      </c>
      <c r="K248" s="277">
        <f t="shared" si="34"/>
        <v>17.513566847558284</v>
      </c>
      <c r="L248" s="200">
        <v>7</v>
      </c>
      <c r="M248" s="204">
        <v>43206</v>
      </c>
      <c r="N248" s="204">
        <v>43206</v>
      </c>
      <c r="O248" s="200"/>
      <c r="P248" s="200"/>
      <c r="AB248" s="110"/>
      <c r="AC248" s="110"/>
      <c r="AD248" s="110"/>
      <c r="AE248" s="110"/>
    </row>
    <row r="249" spans="1:31">
      <c r="A249" s="200" t="s">
        <v>1362</v>
      </c>
      <c r="C249" s="200">
        <v>107</v>
      </c>
      <c r="D249" s="200">
        <v>0.40689999999999998</v>
      </c>
      <c r="E249" s="201">
        <v>11.119</v>
      </c>
      <c r="F249" s="201">
        <v>0.20200000000000001</v>
      </c>
      <c r="G249" s="200">
        <f t="shared" si="32"/>
        <v>11.321</v>
      </c>
      <c r="H249" s="200">
        <v>11.148300000000001</v>
      </c>
      <c r="I249" s="200">
        <f t="shared" si="31"/>
        <v>0.17269999999999897</v>
      </c>
      <c r="J249" s="200">
        <f t="shared" si="33"/>
        <v>2.9300000000001047E-2</v>
      </c>
      <c r="K249" s="277">
        <f t="shared" si="34"/>
        <v>14.504950495050023</v>
      </c>
      <c r="L249" s="200">
        <v>5</v>
      </c>
      <c r="M249" s="202">
        <v>43178.395833333336</v>
      </c>
      <c r="N249" s="202">
        <v>43178.5625</v>
      </c>
      <c r="O249" s="196" t="s">
        <v>2534</v>
      </c>
      <c r="P249" s="200"/>
      <c r="AB249" s="110"/>
      <c r="AC249" s="110"/>
      <c r="AD249" s="110"/>
      <c r="AE249" s="110"/>
    </row>
    <row r="250" spans="1:31">
      <c r="A250" s="196" t="s">
        <v>1361</v>
      </c>
      <c r="C250" s="196">
        <v>146</v>
      </c>
      <c r="D250" s="196">
        <v>0.35870000000000002</v>
      </c>
      <c r="E250" s="196">
        <v>8.7056000000000004</v>
      </c>
      <c r="F250" s="196">
        <v>0.20649999999999999</v>
      </c>
      <c r="G250" s="196">
        <f t="shared" si="32"/>
        <v>8.9121000000000006</v>
      </c>
      <c r="H250" s="196">
        <v>8.7347000000000001</v>
      </c>
      <c r="I250" s="196">
        <f t="shared" si="31"/>
        <v>0.17740000000000045</v>
      </c>
      <c r="J250" s="200">
        <f t="shared" si="33"/>
        <v>2.9099999999999543E-2</v>
      </c>
      <c r="K250" s="277">
        <f t="shared" si="34"/>
        <v>14.092009685229803</v>
      </c>
      <c r="L250" s="196">
        <v>15</v>
      </c>
      <c r="M250" s="196">
        <v>43157.527777777781</v>
      </c>
      <c r="N250" s="196">
        <v>43157.694444444445</v>
      </c>
      <c r="O250" s="196" t="s">
        <v>2540</v>
      </c>
      <c r="AB250" s="110"/>
      <c r="AC250" s="110"/>
      <c r="AD250" s="110"/>
      <c r="AE250" s="110"/>
    </row>
    <row r="251" spans="1:31">
      <c r="A251" s="196" t="s">
        <v>1360</v>
      </c>
      <c r="C251" s="196">
        <v>43</v>
      </c>
      <c r="D251" s="196">
        <v>0.49249999999999999</v>
      </c>
      <c r="E251" s="196">
        <v>8.1356000000000002</v>
      </c>
      <c r="F251" s="196">
        <v>0.20649999999999999</v>
      </c>
      <c r="G251" s="196">
        <f t="shared" si="32"/>
        <v>8.3421000000000003</v>
      </c>
      <c r="H251" s="196">
        <v>8.1575000000000006</v>
      </c>
      <c r="I251" s="196">
        <f t="shared" si="31"/>
        <v>0.18459999999999965</v>
      </c>
      <c r="J251" s="200">
        <f t="shared" si="33"/>
        <v>2.1900000000000336E-2</v>
      </c>
      <c r="K251" s="277">
        <f t="shared" si="34"/>
        <v>10.60532687651348</v>
      </c>
      <c r="L251" s="196">
        <v>15</v>
      </c>
      <c r="M251" s="196" t="s">
        <v>2570</v>
      </c>
      <c r="N251" s="196" t="s">
        <v>2569</v>
      </c>
      <c r="O251" s="196" t="s">
        <v>2534</v>
      </c>
      <c r="AB251" s="110"/>
      <c r="AC251" s="110"/>
      <c r="AD251" s="110"/>
      <c r="AE251" s="110"/>
    </row>
    <row r="252" spans="1:31">
      <c r="A252" s="196" t="s">
        <v>1359</v>
      </c>
      <c r="C252" s="196">
        <v>99</v>
      </c>
      <c r="D252" s="196">
        <v>0.34420000000000001</v>
      </c>
      <c r="E252" s="196">
        <v>19.667300000000001</v>
      </c>
      <c r="F252" s="196">
        <v>9.3799999999999994E-2</v>
      </c>
      <c r="G252" s="196">
        <f t="shared" si="32"/>
        <v>19.761100000000003</v>
      </c>
      <c r="H252" s="196">
        <v>19.677199999999999</v>
      </c>
      <c r="I252" s="196">
        <f t="shared" si="31"/>
        <v>8.3900000000003416E-2</v>
      </c>
      <c r="J252" s="200">
        <f t="shared" si="33"/>
        <v>9.8999999999965782E-3</v>
      </c>
      <c r="K252" s="277">
        <f t="shared" si="34"/>
        <v>10.554371002128548</v>
      </c>
      <c r="L252" s="196">
        <v>4</v>
      </c>
      <c r="M252" s="196" t="s">
        <v>2560</v>
      </c>
      <c r="N252" s="196">
        <v>43153.729166666664</v>
      </c>
      <c r="O252" s="196" t="s">
        <v>2534</v>
      </c>
      <c r="P252" s="196" t="s">
        <v>2559</v>
      </c>
      <c r="AB252" s="110"/>
      <c r="AC252" s="110"/>
      <c r="AD252" s="110"/>
      <c r="AE252" s="110"/>
    </row>
    <row r="253" spans="1:31">
      <c r="A253" s="200" t="s">
        <v>1358</v>
      </c>
      <c r="C253" s="200">
        <v>103</v>
      </c>
      <c r="D253" s="201">
        <v>0.38019999999999998</v>
      </c>
      <c r="E253" s="200">
        <v>7.9055</v>
      </c>
      <c r="F253" s="201">
        <v>0.2001</v>
      </c>
      <c r="G253" s="200">
        <f t="shared" si="32"/>
        <v>8.1056000000000008</v>
      </c>
      <c r="H253" s="200">
        <v>7.9330999999999996</v>
      </c>
      <c r="I253" s="200">
        <f t="shared" si="31"/>
        <v>0.17250000000000121</v>
      </c>
      <c r="J253" s="200">
        <f t="shared" si="33"/>
        <v>2.7599999999998792E-2</v>
      </c>
      <c r="K253" s="277">
        <f t="shared" si="34"/>
        <v>13.793103448275259</v>
      </c>
      <c r="L253" s="200">
        <v>27</v>
      </c>
      <c r="M253" s="200"/>
      <c r="N253" s="200"/>
      <c r="O253" s="200"/>
      <c r="P253" s="200"/>
      <c r="AB253" s="110"/>
      <c r="AC253" s="110"/>
      <c r="AD253" s="110"/>
      <c r="AE253" s="110"/>
    </row>
    <row r="254" spans="1:31">
      <c r="A254" s="196" t="s">
        <v>1357</v>
      </c>
      <c r="C254" s="196">
        <v>115</v>
      </c>
      <c r="D254" s="196">
        <v>0.4234</v>
      </c>
      <c r="E254" s="196">
        <v>11.861499999999999</v>
      </c>
      <c r="F254" s="196">
        <v>0.18770000000000001</v>
      </c>
      <c r="G254" s="196">
        <f t="shared" si="32"/>
        <v>12.049199999999999</v>
      </c>
      <c r="H254" s="196">
        <v>11.8926</v>
      </c>
      <c r="I254" s="196">
        <f t="shared" si="31"/>
        <v>0.15659999999999918</v>
      </c>
      <c r="J254" s="200">
        <f t="shared" si="33"/>
        <v>3.1100000000000821E-2</v>
      </c>
      <c r="K254" s="277">
        <f t="shared" si="34"/>
        <v>16.568993074054781</v>
      </c>
      <c r="L254" s="196">
        <v>1</v>
      </c>
      <c r="M254" s="196">
        <v>43157.395833333336</v>
      </c>
      <c r="N254" s="196">
        <v>43157.569444444445</v>
      </c>
      <c r="O254" s="196" t="s">
        <v>2534</v>
      </c>
      <c r="P254" s="196" t="s">
        <v>2559</v>
      </c>
      <c r="AB254" s="110"/>
      <c r="AC254" s="110"/>
      <c r="AD254" s="110"/>
      <c r="AE254" s="110"/>
    </row>
    <row r="255" spans="1:31">
      <c r="A255" s="200" t="s">
        <v>1356</v>
      </c>
      <c r="C255" s="200">
        <v>123</v>
      </c>
      <c r="D255" s="200">
        <v>0.40899999999999997</v>
      </c>
      <c r="E255" s="201">
        <v>9.2202000000000002</v>
      </c>
      <c r="F255" s="201">
        <v>0.2029</v>
      </c>
      <c r="G255" s="200">
        <f t="shared" si="32"/>
        <v>9.4230999999999998</v>
      </c>
      <c r="H255" s="200">
        <v>9.2517999999999994</v>
      </c>
      <c r="I255" s="200">
        <f t="shared" si="31"/>
        <v>0.17130000000000045</v>
      </c>
      <c r="J255" s="200">
        <f t="shared" si="33"/>
        <v>3.1599999999999545E-2</v>
      </c>
      <c r="K255" s="277">
        <f t="shared" si="34"/>
        <v>15.574174470182131</v>
      </c>
      <c r="L255" s="200">
        <v>15</v>
      </c>
      <c r="M255" s="204">
        <v>43199</v>
      </c>
      <c r="N255" s="204">
        <v>43199</v>
      </c>
      <c r="O255" s="200"/>
      <c r="P255" s="200"/>
      <c r="AB255" s="110"/>
      <c r="AC255" s="110"/>
      <c r="AD255" s="110"/>
      <c r="AE255" s="110"/>
    </row>
    <row r="256" spans="1:31">
      <c r="A256" s="200" t="s">
        <v>1355</v>
      </c>
      <c r="C256" s="200">
        <v>111</v>
      </c>
      <c r="D256" s="200">
        <v>0.41639999999999999</v>
      </c>
      <c r="E256" s="201">
        <v>10.055400000000001</v>
      </c>
      <c r="F256" s="201">
        <v>0.20250000000000001</v>
      </c>
      <c r="G256" s="200">
        <f t="shared" si="32"/>
        <v>10.257900000000001</v>
      </c>
      <c r="H256" s="200">
        <v>10.082100000000001</v>
      </c>
      <c r="I256" s="200">
        <f t="shared" si="31"/>
        <v>0.17580000000000062</v>
      </c>
      <c r="J256" s="200">
        <f t="shared" si="33"/>
        <v>2.6699999999999391E-2</v>
      </c>
      <c r="K256" s="277">
        <f t="shared" si="34"/>
        <v>13.185185185184883</v>
      </c>
      <c r="L256" s="200">
        <v>46</v>
      </c>
      <c r="M256" s="206">
        <v>43186.458333333336</v>
      </c>
      <c r="N256" s="206">
        <v>43186.625</v>
      </c>
      <c r="O256" s="196" t="s">
        <v>2534</v>
      </c>
      <c r="P256" s="200"/>
      <c r="AB256" s="110"/>
      <c r="AC256" s="110"/>
      <c r="AD256" s="110"/>
      <c r="AE256" s="110"/>
    </row>
    <row r="257" spans="1:31">
      <c r="A257" s="196" t="s">
        <v>1354</v>
      </c>
      <c r="C257" s="197">
        <v>149</v>
      </c>
      <c r="D257" s="196">
        <v>0.63670000000000004</v>
      </c>
      <c r="E257" s="201">
        <v>11.158799999999999</v>
      </c>
      <c r="F257" s="201">
        <v>0.20519999999999999</v>
      </c>
      <c r="G257" s="200">
        <f t="shared" si="32"/>
        <v>11.363999999999999</v>
      </c>
      <c r="H257" s="200">
        <v>11.222899999999999</v>
      </c>
      <c r="I257" s="200">
        <f t="shared" si="31"/>
        <v>0.14109999999999978</v>
      </c>
      <c r="J257" s="200">
        <f t="shared" si="33"/>
        <v>6.4100000000000212E-2</v>
      </c>
      <c r="K257" s="277">
        <f t="shared" si="34"/>
        <v>31.23781676413266</v>
      </c>
      <c r="L257" s="200">
        <v>23</v>
      </c>
      <c r="M257" s="203">
        <v>43221</v>
      </c>
      <c r="N257" s="203">
        <v>43221</v>
      </c>
      <c r="AB257" s="110"/>
      <c r="AC257" s="110"/>
      <c r="AD257" s="110"/>
      <c r="AE257" s="110"/>
    </row>
    <row r="258" spans="1:31">
      <c r="A258" s="200" t="s">
        <v>1353</v>
      </c>
      <c r="C258" s="200">
        <v>143</v>
      </c>
      <c r="D258" s="200">
        <v>0.48530000000000001</v>
      </c>
      <c r="E258" s="200">
        <v>8.8457000000000008</v>
      </c>
      <c r="F258" s="200">
        <v>0.20080000000000001</v>
      </c>
      <c r="G258" s="200">
        <f t="shared" si="32"/>
        <v>9.0465</v>
      </c>
      <c r="H258" s="200">
        <v>8.8809000000000005</v>
      </c>
      <c r="I258" s="200">
        <f t="shared" ref="I258:I289" si="35">(G258-H258)</f>
        <v>0.16559999999999953</v>
      </c>
      <c r="J258" s="200">
        <f t="shared" si="33"/>
        <v>3.5200000000000481E-2</v>
      </c>
      <c r="K258" s="277">
        <f t="shared" si="34"/>
        <v>17.52988047808789</v>
      </c>
      <c r="L258" s="200">
        <v>11</v>
      </c>
      <c r="M258" s="202">
        <v>43171.520833333336</v>
      </c>
      <c r="N258" s="202">
        <v>43171.6875</v>
      </c>
      <c r="O258" s="196" t="s">
        <v>2534</v>
      </c>
      <c r="P258" s="200"/>
      <c r="AB258" s="110"/>
      <c r="AC258" s="110"/>
      <c r="AD258" s="110"/>
      <c r="AE258" s="110"/>
    </row>
    <row r="259" spans="1:31">
      <c r="A259" s="205" t="s">
        <v>1352</v>
      </c>
      <c r="C259" s="200">
        <v>120</v>
      </c>
      <c r="D259" s="200">
        <v>0.36299999999999999</v>
      </c>
      <c r="E259" s="200">
        <v>9.1562000000000001</v>
      </c>
      <c r="F259" s="200">
        <v>0.20130000000000001</v>
      </c>
      <c r="G259" s="200">
        <f t="shared" si="32"/>
        <v>9.3574999999999999</v>
      </c>
      <c r="H259" s="200">
        <v>9.1860999999999997</v>
      </c>
      <c r="I259" s="200">
        <f t="shared" si="35"/>
        <v>0.17140000000000022</v>
      </c>
      <c r="J259" s="200">
        <f t="shared" si="33"/>
        <v>2.9899999999999788E-2</v>
      </c>
      <c r="K259" s="277">
        <f t="shared" si="34"/>
        <v>14.853452558370487</v>
      </c>
      <c r="L259" s="200">
        <v>6</v>
      </c>
      <c r="M259" s="204">
        <v>43174</v>
      </c>
      <c r="N259" s="204">
        <v>43174</v>
      </c>
      <c r="O259" s="200" t="s">
        <v>2540</v>
      </c>
      <c r="P259" s="200" t="s">
        <v>2535</v>
      </c>
      <c r="AB259" s="110"/>
      <c r="AC259" s="110"/>
      <c r="AD259" s="110"/>
      <c r="AE259" s="110"/>
    </row>
    <row r="260" spans="1:31">
      <c r="A260" s="196" t="s">
        <v>1351</v>
      </c>
      <c r="C260" s="197">
        <v>21</v>
      </c>
      <c r="D260" s="196">
        <v>0.53790000000000004</v>
      </c>
      <c r="E260" s="201">
        <v>10.075900000000001</v>
      </c>
      <c r="F260" s="201">
        <v>0.20200000000000001</v>
      </c>
      <c r="G260" s="200">
        <f t="shared" si="32"/>
        <v>10.277900000000001</v>
      </c>
      <c r="H260" s="200">
        <v>10.096299999999999</v>
      </c>
      <c r="I260" s="200">
        <f t="shared" si="35"/>
        <v>0.18160000000000132</v>
      </c>
      <c r="J260" s="200">
        <f t="shared" si="33"/>
        <v>2.0399999999998697E-2</v>
      </c>
      <c r="K260" s="277">
        <f t="shared" si="34"/>
        <v>10.099009900989453</v>
      </c>
      <c r="L260" s="200">
        <v>4</v>
      </c>
      <c r="AB260" s="110"/>
      <c r="AC260" s="110"/>
      <c r="AD260" s="110"/>
      <c r="AE260" s="110"/>
    </row>
    <row r="261" spans="1:31">
      <c r="A261" s="200" t="s">
        <v>1350</v>
      </c>
      <c r="C261" s="200">
        <v>65</v>
      </c>
      <c r="D261" s="200">
        <v>0.58609999999999995</v>
      </c>
      <c r="E261" s="201">
        <v>7.0753000000000004</v>
      </c>
      <c r="F261" s="201">
        <v>0.20030000000000001</v>
      </c>
      <c r="G261" s="200">
        <f t="shared" si="32"/>
        <v>7.2756000000000007</v>
      </c>
      <c r="H261" s="200">
        <v>7.1066000000000003</v>
      </c>
      <c r="I261" s="200">
        <f t="shared" si="35"/>
        <v>0.16900000000000048</v>
      </c>
      <c r="J261" s="200">
        <f t="shared" si="33"/>
        <v>3.1299999999999523E-2</v>
      </c>
      <c r="K261" s="277">
        <f t="shared" si="34"/>
        <v>15.626560159760119</v>
      </c>
      <c r="L261" s="200">
        <v>3</v>
      </c>
      <c r="M261" s="204">
        <v>43199</v>
      </c>
      <c r="N261" s="204">
        <v>43199</v>
      </c>
      <c r="O261" s="200"/>
      <c r="P261" s="200"/>
      <c r="AB261" s="110"/>
      <c r="AC261" s="110"/>
      <c r="AD261" s="110"/>
      <c r="AE261" s="110"/>
    </row>
    <row r="262" spans="1:31">
      <c r="A262" s="196" t="s">
        <v>1349</v>
      </c>
      <c r="C262" s="196">
        <v>8</v>
      </c>
      <c r="D262" s="196">
        <v>0.40389999999999998</v>
      </c>
      <c r="E262" s="196">
        <v>7.3167999999999997</v>
      </c>
      <c r="F262" s="196">
        <v>0.20530000000000001</v>
      </c>
      <c r="G262" s="196">
        <f t="shared" si="32"/>
        <v>7.5221</v>
      </c>
      <c r="H262" s="196">
        <v>7.3349000000000002</v>
      </c>
      <c r="I262" s="196">
        <f t="shared" si="35"/>
        <v>0.18719999999999981</v>
      </c>
      <c r="J262" s="200">
        <f t="shared" si="33"/>
        <v>1.8100000000000199E-2</v>
      </c>
      <c r="K262" s="277">
        <f t="shared" si="34"/>
        <v>8.8163662932295175</v>
      </c>
      <c r="L262" s="196">
        <v>3</v>
      </c>
      <c r="M262" s="196" t="s">
        <v>2570</v>
      </c>
      <c r="N262" s="196" t="s">
        <v>2569</v>
      </c>
      <c r="O262" s="196" t="s">
        <v>2534</v>
      </c>
      <c r="AB262" s="110"/>
      <c r="AC262" s="110"/>
      <c r="AD262" s="110"/>
      <c r="AE262" s="110"/>
    </row>
    <row r="263" spans="1:31">
      <c r="A263" s="196" t="s">
        <v>1348</v>
      </c>
      <c r="C263" s="196">
        <v>28</v>
      </c>
      <c r="D263" s="196">
        <v>0.52159999999999995</v>
      </c>
      <c r="E263" s="201">
        <v>10.9023</v>
      </c>
      <c r="F263" s="201">
        <v>0.2026</v>
      </c>
      <c r="G263" s="200">
        <f t="shared" si="32"/>
        <v>11.104900000000001</v>
      </c>
      <c r="H263" s="200">
        <v>10.923999999999999</v>
      </c>
      <c r="I263" s="200">
        <f t="shared" si="35"/>
        <v>0.18090000000000117</v>
      </c>
      <c r="J263" s="200">
        <f t="shared" si="33"/>
        <v>2.1699999999998831E-2</v>
      </c>
      <c r="K263" s="277">
        <f t="shared" si="34"/>
        <v>10.710760118459444</v>
      </c>
      <c r="L263" s="200">
        <v>15</v>
      </c>
      <c r="AB263" s="110"/>
      <c r="AC263" s="110"/>
      <c r="AD263" s="110"/>
      <c r="AE263" s="110"/>
    </row>
    <row r="264" spans="1:31">
      <c r="A264" s="205" t="s">
        <v>1347</v>
      </c>
      <c r="C264" s="200">
        <v>38</v>
      </c>
      <c r="D264" s="200">
        <v>0.59689999999999999</v>
      </c>
      <c r="E264" s="201">
        <v>7.4748000000000001</v>
      </c>
      <c r="F264" s="201">
        <v>0.20180000000000001</v>
      </c>
      <c r="G264" s="200">
        <f t="shared" si="32"/>
        <v>7.6766000000000005</v>
      </c>
      <c r="H264" s="200">
        <v>7.5014000000000003</v>
      </c>
      <c r="I264" s="200">
        <f t="shared" si="35"/>
        <v>0.17520000000000024</v>
      </c>
      <c r="J264" s="200">
        <f t="shared" si="33"/>
        <v>2.6599999999999763E-2</v>
      </c>
      <c r="K264" s="277">
        <f t="shared" si="34"/>
        <v>13.181367690782835</v>
      </c>
      <c r="L264" s="200">
        <v>28</v>
      </c>
      <c r="M264" s="204">
        <v>43188</v>
      </c>
      <c r="N264" s="204">
        <v>43188</v>
      </c>
      <c r="O264" s="200"/>
      <c r="P264" s="200"/>
      <c r="AB264" s="110"/>
      <c r="AC264" s="110"/>
      <c r="AD264" s="110"/>
      <c r="AE264" s="110"/>
    </row>
    <row r="265" spans="1:31">
      <c r="A265" s="196" t="s">
        <v>1346</v>
      </c>
      <c r="C265" s="196">
        <v>106</v>
      </c>
      <c r="D265" s="196">
        <v>0.41220000000000001</v>
      </c>
      <c r="E265" s="196">
        <v>9.3457000000000008</v>
      </c>
      <c r="F265" s="196">
        <v>0.20300000000000001</v>
      </c>
      <c r="G265" s="196">
        <f t="shared" ref="G265:G296" si="36">E265+F265</f>
        <v>9.5487000000000002</v>
      </c>
      <c r="H265" s="196">
        <v>9.3613999999999997</v>
      </c>
      <c r="I265" s="196">
        <f t="shared" si="35"/>
        <v>0.18730000000000047</v>
      </c>
      <c r="J265" s="200">
        <f t="shared" ref="J265:J296" si="37">F265-I265</f>
        <v>1.5699999999999548E-2</v>
      </c>
      <c r="K265" s="277">
        <f t="shared" ref="K265:K296" si="38">(J265/F265)*100</f>
        <v>7.733990147783028</v>
      </c>
      <c r="L265" s="196">
        <v>5</v>
      </c>
      <c r="M265" s="196">
        <v>43157.395833333336</v>
      </c>
      <c r="N265" s="196">
        <v>43157.569444444445</v>
      </c>
      <c r="O265" s="196" t="s">
        <v>2534</v>
      </c>
      <c r="AB265" s="110"/>
      <c r="AC265" s="110"/>
      <c r="AD265" s="110"/>
      <c r="AE265" s="110"/>
    </row>
    <row r="266" spans="1:31">
      <c r="A266" s="205" t="s">
        <v>1344</v>
      </c>
      <c r="C266" s="200">
        <v>140</v>
      </c>
      <c r="D266" s="200">
        <v>0.41689999999999999</v>
      </c>
      <c r="E266" s="200">
        <v>7.7732000000000001</v>
      </c>
      <c r="F266" s="200">
        <v>0.20130000000000001</v>
      </c>
      <c r="G266" s="200">
        <f t="shared" si="36"/>
        <v>7.9744999999999999</v>
      </c>
      <c r="H266" s="200">
        <v>7.8083999999999998</v>
      </c>
      <c r="I266" s="200">
        <f t="shared" si="35"/>
        <v>0.16610000000000014</v>
      </c>
      <c r="J266" s="200">
        <f t="shared" si="37"/>
        <v>3.519999999999987E-2</v>
      </c>
      <c r="K266" s="277">
        <f t="shared" si="38"/>
        <v>17.486338797814145</v>
      </c>
      <c r="L266" s="200">
        <v>3</v>
      </c>
      <c r="M266" s="202">
        <v>43164.628472222219</v>
      </c>
      <c r="N266" s="202">
        <v>43164.795138888891</v>
      </c>
      <c r="O266" s="196" t="s">
        <v>2534</v>
      </c>
      <c r="P266" s="200"/>
      <c r="AB266" s="110"/>
      <c r="AC266" s="110"/>
      <c r="AD266" s="110"/>
      <c r="AE266" s="110"/>
    </row>
    <row r="267" spans="1:31">
      <c r="A267" s="196" t="s">
        <v>1343</v>
      </c>
      <c r="C267" s="197">
        <v>201</v>
      </c>
      <c r="D267" s="196">
        <v>0.45</v>
      </c>
      <c r="E267" s="200">
        <v>8.7733000000000008</v>
      </c>
      <c r="F267" s="201">
        <v>0.20749999999999999</v>
      </c>
      <c r="G267" s="200">
        <f t="shared" si="36"/>
        <v>8.9808000000000003</v>
      </c>
      <c r="H267" s="200">
        <v>8.7985000000000007</v>
      </c>
      <c r="I267" s="200">
        <f t="shared" si="35"/>
        <v>0.18229999999999968</v>
      </c>
      <c r="J267" s="200">
        <f t="shared" si="37"/>
        <v>2.5200000000000305E-2</v>
      </c>
      <c r="K267" s="277">
        <f t="shared" si="38"/>
        <v>12.14457831325316</v>
      </c>
      <c r="L267" s="200">
        <v>20</v>
      </c>
      <c r="M267" s="203">
        <v>43213</v>
      </c>
      <c r="N267" s="203">
        <v>43213</v>
      </c>
      <c r="AB267" s="110"/>
      <c r="AC267" s="110"/>
      <c r="AD267" s="110"/>
      <c r="AE267" s="110"/>
    </row>
    <row r="268" spans="1:31">
      <c r="A268" s="205" t="s">
        <v>1342</v>
      </c>
      <c r="C268" s="200">
        <v>130</v>
      </c>
      <c r="D268" s="201">
        <v>0.3836</v>
      </c>
      <c r="E268" s="201">
        <v>9.7257999999999996</v>
      </c>
      <c r="F268" s="201">
        <v>0.20069999999999999</v>
      </c>
      <c r="G268" s="200">
        <f t="shared" si="36"/>
        <v>9.926499999999999</v>
      </c>
      <c r="H268" s="200">
        <v>9.7614000000000001</v>
      </c>
      <c r="I268" s="200">
        <f t="shared" si="35"/>
        <v>0.16509999999999891</v>
      </c>
      <c r="J268" s="200">
        <f t="shared" si="37"/>
        <v>3.5600000000001075E-2</v>
      </c>
      <c r="K268" s="277">
        <f t="shared" si="38"/>
        <v>17.737917289487331</v>
      </c>
      <c r="L268" s="200">
        <v>35</v>
      </c>
      <c r="M268" s="202">
        <v>43181.645833333336</v>
      </c>
      <c r="N268" s="202">
        <v>43181.833333333336</v>
      </c>
      <c r="O268" s="200" t="s">
        <v>2540</v>
      </c>
      <c r="P268" s="200"/>
      <c r="AB268" s="110"/>
      <c r="AC268" s="110"/>
      <c r="AD268" s="110"/>
      <c r="AE268" s="110"/>
    </row>
    <row r="269" spans="1:31">
      <c r="A269" s="196" t="s">
        <v>1341</v>
      </c>
      <c r="C269" s="197">
        <v>200</v>
      </c>
      <c r="D269" s="196">
        <v>0.41339999999999999</v>
      </c>
      <c r="E269" s="201">
        <v>9.3222000000000005</v>
      </c>
      <c r="F269" s="201">
        <v>0.20119999999999999</v>
      </c>
      <c r="G269" s="200">
        <f t="shared" si="36"/>
        <v>9.5234000000000005</v>
      </c>
      <c r="H269" s="200">
        <v>9.3420000000000005</v>
      </c>
      <c r="I269" s="200">
        <f t="shared" si="35"/>
        <v>0.18140000000000001</v>
      </c>
      <c r="J269" s="200">
        <f t="shared" si="37"/>
        <v>1.9799999999999984E-2</v>
      </c>
      <c r="K269" s="277">
        <f t="shared" si="38"/>
        <v>9.8409542743538694</v>
      </c>
      <c r="L269" s="200">
        <v>16</v>
      </c>
      <c r="AB269" s="110"/>
      <c r="AC269" s="110"/>
      <c r="AD269" s="110"/>
      <c r="AE269" s="110"/>
    </row>
    <row r="270" spans="1:31">
      <c r="A270" s="205" t="s">
        <v>1340</v>
      </c>
      <c r="C270" s="200">
        <v>208</v>
      </c>
      <c r="D270" s="200">
        <v>0.63100000000000001</v>
      </c>
      <c r="E270" s="200">
        <v>8.1204000000000001</v>
      </c>
      <c r="F270" s="200">
        <v>0.20069999999999999</v>
      </c>
      <c r="G270" s="200">
        <f t="shared" si="36"/>
        <v>8.3210999999999995</v>
      </c>
      <c r="H270" s="200">
        <v>8.1574000000000009</v>
      </c>
      <c r="I270" s="200">
        <f t="shared" si="35"/>
        <v>0.16369999999999862</v>
      </c>
      <c r="J270" s="200">
        <f t="shared" si="37"/>
        <v>3.7000000000001365E-2</v>
      </c>
      <c r="K270" s="277">
        <f t="shared" si="38"/>
        <v>18.435475834579655</v>
      </c>
      <c r="L270" s="200">
        <v>8</v>
      </c>
      <c r="M270" s="202">
        <v>43171.520833333336</v>
      </c>
      <c r="N270" s="202">
        <v>43171.6875</v>
      </c>
      <c r="O270" s="196" t="s">
        <v>2534</v>
      </c>
      <c r="P270" s="200"/>
      <c r="AB270" s="110"/>
      <c r="AC270" s="110"/>
      <c r="AD270" s="110"/>
      <c r="AE270" s="110"/>
    </row>
    <row r="271" spans="1:31">
      <c r="A271" s="196" t="s">
        <v>1338</v>
      </c>
      <c r="C271" s="200">
        <v>199</v>
      </c>
      <c r="D271" s="201">
        <v>0.46410000000000001</v>
      </c>
      <c r="E271" s="201">
        <v>8.1358999999999995</v>
      </c>
      <c r="F271" s="201">
        <v>0.2074</v>
      </c>
      <c r="G271" s="200">
        <f t="shared" si="36"/>
        <v>8.3432999999999993</v>
      </c>
      <c r="H271" s="200">
        <v>8.1542999999999992</v>
      </c>
      <c r="I271" s="200">
        <f t="shared" si="35"/>
        <v>0.18900000000000006</v>
      </c>
      <c r="J271" s="200">
        <f t="shared" si="37"/>
        <v>1.8399999999999944E-2</v>
      </c>
      <c r="K271" s="277">
        <f t="shared" si="38"/>
        <v>8.8717454194792413</v>
      </c>
      <c r="L271" s="200">
        <v>3</v>
      </c>
      <c r="M271" s="200"/>
      <c r="N271" s="200"/>
      <c r="O271" s="200"/>
      <c r="P271" s="200"/>
      <c r="AB271" s="110"/>
      <c r="AC271" s="110"/>
      <c r="AD271" s="110"/>
      <c r="AE271" s="110"/>
    </row>
    <row r="272" spans="1:31">
      <c r="A272" s="205" t="s">
        <v>1337</v>
      </c>
      <c r="C272" s="196">
        <v>194</v>
      </c>
      <c r="D272" s="200">
        <v>0.42909999999999998</v>
      </c>
      <c r="E272" s="201">
        <v>11.258699999999999</v>
      </c>
      <c r="F272" s="201">
        <v>0.20100000000000001</v>
      </c>
      <c r="G272" s="200">
        <f t="shared" si="36"/>
        <v>11.4597</v>
      </c>
      <c r="H272" s="200">
        <v>11.2761</v>
      </c>
      <c r="I272" s="200">
        <f t="shared" si="35"/>
        <v>0.18360000000000021</v>
      </c>
      <c r="J272" s="200">
        <f t="shared" si="37"/>
        <v>1.7399999999999805E-2</v>
      </c>
      <c r="K272" s="277">
        <f t="shared" si="38"/>
        <v>8.6567164179103493</v>
      </c>
      <c r="L272" s="200">
        <v>22</v>
      </c>
      <c r="M272" s="206">
        <v>43186.458333333336</v>
      </c>
      <c r="N272" s="206">
        <v>43186.625</v>
      </c>
      <c r="O272" s="196" t="s">
        <v>2534</v>
      </c>
      <c r="P272" s="200"/>
      <c r="AB272" s="110"/>
      <c r="AC272" s="110"/>
      <c r="AD272" s="110"/>
      <c r="AE272" s="110"/>
    </row>
    <row r="273" spans="1:31">
      <c r="A273" s="196" t="s">
        <v>1335</v>
      </c>
      <c r="C273" s="197">
        <v>197</v>
      </c>
      <c r="D273" s="196">
        <v>0.49</v>
      </c>
      <c r="E273" s="201">
        <v>11.2583</v>
      </c>
      <c r="F273" s="201">
        <v>0.20200000000000001</v>
      </c>
      <c r="G273" s="200">
        <f t="shared" si="36"/>
        <v>11.4603</v>
      </c>
      <c r="H273" s="200">
        <v>11.283200000000001</v>
      </c>
      <c r="I273" s="200">
        <f t="shared" si="35"/>
        <v>0.17709999999999937</v>
      </c>
      <c r="J273" s="200">
        <f t="shared" si="37"/>
        <v>2.4900000000000644E-2</v>
      </c>
      <c r="K273" s="277">
        <f t="shared" si="38"/>
        <v>12.326732673267644</v>
      </c>
      <c r="L273" s="200">
        <v>10</v>
      </c>
      <c r="AB273" s="110"/>
      <c r="AC273" s="110"/>
      <c r="AD273" s="110"/>
      <c r="AE273" s="110"/>
    </row>
    <row r="274" spans="1:31">
      <c r="A274" s="200" t="s">
        <v>1334</v>
      </c>
      <c r="C274" s="200">
        <v>213</v>
      </c>
      <c r="D274" s="200">
        <v>0.6149</v>
      </c>
      <c r="E274" s="200">
        <v>10.1242</v>
      </c>
      <c r="F274" s="200">
        <v>0.2026</v>
      </c>
      <c r="G274" s="200">
        <f t="shared" si="36"/>
        <v>10.3268</v>
      </c>
      <c r="H274" s="200">
        <v>10.141</v>
      </c>
      <c r="I274" s="200">
        <f t="shared" si="35"/>
        <v>0.18580000000000041</v>
      </c>
      <c r="J274" s="200">
        <f t="shared" si="37"/>
        <v>1.6799999999999593E-2</v>
      </c>
      <c r="K274" s="277">
        <f t="shared" si="38"/>
        <v>8.2922013820333618</v>
      </c>
      <c r="L274" s="200">
        <v>7</v>
      </c>
      <c r="M274" s="204">
        <v>43188</v>
      </c>
      <c r="N274" s="204">
        <v>43188</v>
      </c>
      <c r="O274" s="200"/>
      <c r="P274" s="200"/>
      <c r="AB274" s="110"/>
      <c r="AC274" s="110"/>
      <c r="AD274" s="110"/>
      <c r="AE274" s="110"/>
    </row>
    <row r="275" spans="1:31">
      <c r="A275" s="196" t="s">
        <v>1332</v>
      </c>
      <c r="C275" s="196">
        <v>215</v>
      </c>
      <c r="D275" s="196">
        <v>0.4864</v>
      </c>
      <c r="E275" s="201">
        <v>11.4543</v>
      </c>
      <c r="F275" s="201">
        <v>0.2029</v>
      </c>
      <c r="G275" s="200">
        <f t="shared" si="36"/>
        <v>11.6572</v>
      </c>
      <c r="H275" s="200">
        <v>11.469099999999999</v>
      </c>
      <c r="I275" s="200">
        <f t="shared" si="35"/>
        <v>0.18810000000000038</v>
      </c>
      <c r="J275" s="200">
        <f t="shared" si="37"/>
        <v>1.4799999999999619E-2</v>
      </c>
      <c r="K275" s="277">
        <f t="shared" si="38"/>
        <v>7.2942336126168659</v>
      </c>
      <c r="L275" s="200">
        <v>4</v>
      </c>
      <c r="M275" s="203">
        <v>43221</v>
      </c>
      <c r="N275" s="203">
        <v>43221</v>
      </c>
      <c r="AB275" s="110"/>
      <c r="AC275" s="110"/>
      <c r="AD275" s="110"/>
      <c r="AE275" s="110"/>
    </row>
    <row r="276" spans="1:31">
      <c r="A276" s="196" t="s">
        <v>1330</v>
      </c>
      <c r="C276" s="197">
        <v>210</v>
      </c>
      <c r="D276" s="196">
        <v>0.5302</v>
      </c>
      <c r="E276" s="201">
        <v>8.8605</v>
      </c>
      <c r="F276" s="201">
        <v>0.20799999999999999</v>
      </c>
      <c r="G276" s="200">
        <f t="shared" si="36"/>
        <v>9.0685000000000002</v>
      </c>
      <c r="H276" s="200">
        <v>8.8939000000000004</v>
      </c>
      <c r="I276" s="200">
        <f t="shared" si="35"/>
        <v>0.17459999999999987</v>
      </c>
      <c r="J276" s="200">
        <f t="shared" si="37"/>
        <v>3.3400000000000124E-2</v>
      </c>
      <c r="K276" s="277">
        <f t="shared" si="38"/>
        <v>16.057692307692367</v>
      </c>
      <c r="L276" s="200">
        <v>11</v>
      </c>
      <c r="M276" s="203">
        <v>43221</v>
      </c>
      <c r="N276" s="203">
        <v>43221</v>
      </c>
      <c r="AB276" s="110"/>
      <c r="AC276" s="110"/>
      <c r="AD276" s="110"/>
      <c r="AE276" s="110"/>
    </row>
    <row r="277" spans="1:31">
      <c r="A277" s="196" t="s">
        <v>1329</v>
      </c>
      <c r="C277" s="196">
        <v>21</v>
      </c>
      <c r="D277" s="196">
        <v>0.46500000000000002</v>
      </c>
      <c r="E277" s="201">
        <v>11.1058</v>
      </c>
      <c r="F277" s="201">
        <v>0.19969999999999999</v>
      </c>
      <c r="G277" s="200">
        <f t="shared" si="36"/>
        <v>11.3055</v>
      </c>
      <c r="H277" s="200">
        <v>11.1266</v>
      </c>
      <c r="I277" s="200">
        <f t="shared" si="35"/>
        <v>0.1789000000000005</v>
      </c>
      <c r="J277" s="200">
        <f t="shared" si="37"/>
        <v>2.0799999999999486E-2</v>
      </c>
      <c r="K277" s="277">
        <f t="shared" si="38"/>
        <v>10.415623435152472</v>
      </c>
      <c r="L277" s="200">
        <v>31</v>
      </c>
      <c r="AB277" s="110"/>
      <c r="AC277" s="110"/>
      <c r="AD277" s="110"/>
      <c r="AE277" s="110"/>
    </row>
    <row r="278" spans="1:31">
      <c r="A278" s="196" t="s">
        <v>1327</v>
      </c>
      <c r="C278" s="196">
        <v>86</v>
      </c>
      <c r="D278" s="196">
        <v>0.57269999999999999</v>
      </c>
      <c r="E278" s="196">
        <v>18.046900000000001</v>
      </c>
      <c r="F278" s="196">
        <v>0.19550000000000001</v>
      </c>
      <c r="G278" s="196">
        <f t="shared" si="36"/>
        <v>18.2424</v>
      </c>
      <c r="H278" s="196">
        <v>18.061499999999999</v>
      </c>
      <c r="I278" s="196">
        <f t="shared" si="35"/>
        <v>0.18090000000000117</v>
      </c>
      <c r="J278" s="200">
        <f t="shared" si="37"/>
        <v>1.4599999999998836E-2</v>
      </c>
      <c r="K278" s="277">
        <f t="shared" si="38"/>
        <v>7.4680306905364882</v>
      </c>
      <c r="L278" s="196">
        <v>13</v>
      </c>
      <c r="M278" s="196" t="s">
        <v>2564</v>
      </c>
      <c r="N278" s="196" t="s">
        <v>2563</v>
      </c>
      <c r="O278" s="196" t="s">
        <v>2540</v>
      </c>
      <c r="AB278" s="110"/>
      <c r="AC278" s="110"/>
      <c r="AD278" s="110"/>
      <c r="AE278" s="110"/>
    </row>
    <row r="279" spans="1:31">
      <c r="A279" s="200" t="s">
        <v>1326</v>
      </c>
      <c r="C279" s="200">
        <v>113</v>
      </c>
      <c r="D279" s="196">
        <v>0.41270000000000001</v>
      </c>
      <c r="E279" s="200">
        <v>7.8388</v>
      </c>
      <c r="F279" s="201">
        <v>0.2089</v>
      </c>
      <c r="G279" s="200">
        <f t="shared" si="36"/>
        <v>8.0477000000000007</v>
      </c>
      <c r="H279" s="196">
        <v>7.8710000000000004</v>
      </c>
      <c r="I279" s="196">
        <f t="shared" si="35"/>
        <v>0.1767000000000003</v>
      </c>
      <c r="J279" s="200">
        <f t="shared" si="37"/>
        <v>3.2199999999999701E-2</v>
      </c>
      <c r="K279" s="277">
        <f t="shared" si="38"/>
        <v>15.414073719482863</v>
      </c>
      <c r="L279" s="200">
        <v>20</v>
      </c>
      <c r="M279" s="204">
        <v>43187</v>
      </c>
      <c r="N279" s="204">
        <v>43187</v>
      </c>
      <c r="O279" s="200"/>
      <c r="P279" s="200"/>
      <c r="AB279" s="110"/>
      <c r="AC279" s="110"/>
      <c r="AD279" s="110"/>
      <c r="AE279" s="110"/>
    </row>
    <row r="280" spans="1:31">
      <c r="A280" s="205" t="s">
        <v>1325</v>
      </c>
      <c r="C280" s="200">
        <v>132</v>
      </c>
      <c r="D280" s="200">
        <v>0.39979999999999999</v>
      </c>
      <c r="E280" s="200">
        <v>11.023</v>
      </c>
      <c r="F280" s="200">
        <v>0.2034</v>
      </c>
      <c r="G280" s="200">
        <f t="shared" si="36"/>
        <v>11.2264</v>
      </c>
      <c r="H280" s="200">
        <v>11.052199999999999</v>
      </c>
      <c r="I280" s="200">
        <f t="shared" si="35"/>
        <v>0.1742000000000008</v>
      </c>
      <c r="J280" s="200">
        <f t="shared" si="37"/>
        <v>2.9199999999999199E-2</v>
      </c>
      <c r="K280" s="277">
        <f t="shared" si="38"/>
        <v>14.355948869222813</v>
      </c>
      <c r="L280" s="200">
        <v>16</v>
      </c>
      <c r="M280" s="204">
        <v>43188</v>
      </c>
      <c r="N280" s="204">
        <v>43188</v>
      </c>
      <c r="O280" s="200"/>
      <c r="P280" s="200"/>
      <c r="AB280" s="110"/>
      <c r="AC280" s="110"/>
      <c r="AD280" s="110"/>
      <c r="AE280" s="110"/>
    </row>
    <row r="281" spans="1:31">
      <c r="A281" s="200" t="s">
        <v>1323</v>
      </c>
      <c r="C281" s="200">
        <v>219</v>
      </c>
      <c r="D281" s="200">
        <v>0.50029999999999997</v>
      </c>
      <c r="E281" s="200">
        <v>7.3544</v>
      </c>
      <c r="F281" s="200">
        <v>0.19819999999999999</v>
      </c>
      <c r="G281" s="200">
        <f t="shared" si="36"/>
        <v>7.5526</v>
      </c>
      <c r="H281" s="200">
        <v>7.3773999999999997</v>
      </c>
      <c r="I281" s="200">
        <f t="shared" si="35"/>
        <v>0.17520000000000024</v>
      </c>
      <c r="J281" s="200">
        <f t="shared" si="37"/>
        <v>2.2999999999999743E-2</v>
      </c>
      <c r="K281" s="277">
        <f t="shared" si="38"/>
        <v>11.604439959636602</v>
      </c>
      <c r="L281" s="200">
        <v>12</v>
      </c>
      <c r="M281" s="202">
        <v>43164.628472222219</v>
      </c>
      <c r="N281" s="202">
        <v>43164.795138888891</v>
      </c>
      <c r="O281" s="196" t="s">
        <v>2534</v>
      </c>
      <c r="P281" s="200"/>
      <c r="AB281" s="110"/>
      <c r="AC281" s="110"/>
      <c r="AD281" s="110"/>
      <c r="AE281" s="110"/>
    </row>
    <row r="282" spans="1:31">
      <c r="A282" s="205" t="s">
        <v>1322</v>
      </c>
      <c r="C282" s="200">
        <v>100</v>
      </c>
      <c r="D282" s="200">
        <v>0.38440000000000002</v>
      </c>
      <c r="E282" s="200">
        <v>7.4805999999999999</v>
      </c>
      <c r="F282" s="200">
        <v>0.20399999999999999</v>
      </c>
      <c r="G282" s="200">
        <f t="shared" si="36"/>
        <v>7.6845999999999997</v>
      </c>
      <c r="H282" s="200">
        <v>7.5067000000000004</v>
      </c>
      <c r="I282" s="200">
        <f t="shared" si="35"/>
        <v>0.17789999999999928</v>
      </c>
      <c r="J282" s="200">
        <f t="shared" si="37"/>
        <v>2.6100000000000706E-2</v>
      </c>
      <c r="K282" s="277">
        <f t="shared" si="38"/>
        <v>12.794117647059169</v>
      </c>
      <c r="L282" s="200">
        <v>20</v>
      </c>
      <c r="M282" s="204">
        <v>43188</v>
      </c>
      <c r="N282" s="204">
        <v>43188</v>
      </c>
      <c r="O282" s="200"/>
      <c r="P282" s="200"/>
      <c r="AB282" s="110"/>
      <c r="AC282" s="110"/>
      <c r="AD282" s="110"/>
      <c r="AE282" s="110"/>
    </row>
    <row r="283" spans="1:31">
      <c r="A283" s="196" t="s">
        <v>1321</v>
      </c>
      <c r="C283" s="196">
        <v>105</v>
      </c>
      <c r="D283" s="196">
        <v>0.43609999999999999</v>
      </c>
      <c r="E283" s="196">
        <v>19.694500000000001</v>
      </c>
      <c r="F283" s="196">
        <v>0.19270000000000001</v>
      </c>
      <c r="G283" s="196">
        <f t="shared" si="36"/>
        <v>19.8872</v>
      </c>
      <c r="H283" s="196">
        <v>19.732500000000002</v>
      </c>
      <c r="I283" s="196">
        <f t="shared" si="35"/>
        <v>0.15469999999999828</v>
      </c>
      <c r="J283" s="200">
        <f t="shared" si="37"/>
        <v>3.8000000000001727E-2</v>
      </c>
      <c r="K283" s="277">
        <f t="shared" si="38"/>
        <v>19.719771665802661</v>
      </c>
      <c r="L283" s="196">
        <v>8</v>
      </c>
      <c r="M283" s="196" t="s">
        <v>2560</v>
      </c>
      <c r="N283" s="196">
        <v>43153.729166666664</v>
      </c>
      <c r="O283" s="196" t="s">
        <v>2534</v>
      </c>
      <c r="P283" s="196" t="s">
        <v>2558</v>
      </c>
      <c r="AB283" s="110"/>
      <c r="AC283" s="110"/>
      <c r="AD283" s="110"/>
      <c r="AE283" s="110"/>
    </row>
    <row r="284" spans="1:31">
      <c r="A284" s="205" t="s">
        <v>1320</v>
      </c>
      <c r="C284" s="200">
        <v>98</v>
      </c>
      <c r="D284" s="200">
        <v>0.4178</v>
      </c>
      <c r="E284" s="201">
        <v>11.1591</v>
      </c>
      <c r="F284" s="201">
        <v>0.20319999999999999</v>
      </c>
      <c r="G284" s="200">
        <f t="shared" si="36"/>
        <v>11.362300000000001</v>
      </c>
      <c r="H284" s="200">
        <v>11.19</v>
      </c>
      <c r="I284" s="200">
        <f t="shared" si="35"/>
        <v>0.17230000000000167</v>
      </c>
      <c r="J284" s="200">
        <f t="shared" si="37"/>
        <v>3.0899999999998318E-2</v>
      </c>
      <c r="K284" s="277">
        <f t="shared" si="38"/>
        <v>15.206692913385</v>
      </c>
      <c r="L284" s="200">
        <v>24</v>
      </c>
      <c r="M284" s="206">
        <v>43185.385416666664</v>
      </c>
      <c r="N284" s="200"/>
      <c r="O284" s="200" t="s">
        <v>2540</v>
      </c>
      <c r="P284" s="200"/>
      <c r="AB284" s="110"/>
      <c r="AC284" s="110"/>
      <c r="AD284" s="110"/>
      <c r="AE284" s="110"/>
    </row>
    <row r="285" spans="1:31">
      <c r="A285" s="200" t="s">
        <v>1318</v>
      </c>
      <c r="C285" s="200">
        <v>35</v>
      </c>
      <c r="D285" s="201">
        <v>0.52159999999999995</v>
      </c>
      <c r="E285" s="200">
        <v>7.3171999999999997</v>
      </c>
      <c r="F285" s="201">
        <v>0.20230000000000001</v>
      </c>
      <c r="G285" s="200">
        <f t="shared" si="36"/>
        <v>7.5194999999999999</v>
      </c>
      <c r="H285" s="200">
        <v>7.3377999999999997</v>
      </c>
      <c r="I285" s="200">
        <f t="shared" si="35"/>
        <v>0.18170000000000019</v>
      </c>
      <c r="J285" s="200">
        <f t="shared" si="37"/>
        <v>2.0599999999999813E-2</v>
      </c>
      <c r="K285" s="277">
        <f t="shared" si="38"/>
        <v>10.182896688086906</v>
      </c>
      <c r="L285" s="200">
        <v>15</v>
      </c>
      <c r="M285" s="204">
        <v>43206</v>
      </c>
      <c r="N285" s="204">
        <v>43206</v>
      </c>
      <c r="O285" s="200"/>
      <c r="P285" s="200"/>
      <c r="Q285" s="180" t="s">
        <v>2580</v>
      </c>
      <c r="AB285" s="110"/>
      <c r="AC285" s="110"/>
      <c r="AD285" s="110"/>
      <c r="AE285" s="110"/>
    </row>
    <row r="286" spans="1:31">
      <c r="A286" s="196" t="s">
        <v>1317</v>
      </c>
      <c r="C286" s="197">
        <v>149</v>
      </c>
      <c r="D286" s="200">
        <v>0.56620000000000004</v>
      </c>
      <c r="E286" s="201">
        <v>9.1377000000000006</v>
      </c>
      <c r="F286" s="201">
        <v>0.2019</v>
      </c>
      <c r="G286" s="200">
        <f t="shared" si="36"/>
        <v>9.3396000000000008</v>
      </c>
      <c r="H286" s="200">
        <v>9.1988000000000003</v>
      </c>
      <c r="I286" s="200">
        <f t="shared" si="35"/>
        <v>0.14080000000000048</v>
      </c>
      <c r="J286" s="200">
        <f t="shared" si="37"/>
        <v>6.1099999999999516E-2</v>
      </c>
      <c r="K286" s="277">
        <f t="shared" si="38"/>
        <v>30.262506191183512</v>
      </c>
      <c r="L286" s="200">
        <v>21</v>
      </c>
      <c r="M286" s="203">
        <v>43213</v>
      </c>
      <c r="N286" s="203">
        <v>43213</v>
      </c>
      <c r="AB286" s="110"/>
      <c r="AC286" s="110"/>
      <c r="AD286" s="110"/>
      <c r="AE286" s="110"/>
    </row>
    <row r="287" spans="1:31">
      <c r="A287" s="205" t="s">
        <v>1314</v>
      </c>
      <c r="C287" s="200">
        <v>174</v>
      </c>
      <c r="D287" s="200">
        <v>0.42899999999999999</v>
      </c>
      <c r="E287" s="201">
        <v>7.0749000000000004</v>
      </c>
      <c r="F287" s="201">
        <v>0.2029</v>
      </c>
      <c r="G287" s="200">
        <f t="shared" si="36"/>
        <v>7.2778</v>
      </c>
      <c r="H287" s="200">
        <v>7.0926999999999998</v>
      </c>
      <c r="I287" s="200">
        <f t="shared" si="35"/>
        <v>0.18510000000000026</v>
      </c>
      <c r="J287" s="200">
        <f t="shared" si="37"/>
        <v>1.7799999999999733E-2</v>
      </c>
      <c r="K287" s="277">
        <f t="shared" si="38"/>
        <v>8.7727944800392965</v>
      </c>
      <c r="L287" s="200">
        <v>9</v>
      </c>
      <c r="M287" s="206">
        <v>43186.458333333336</v>
      </c>
      <c r="N287" s="206">
        <v>43186.625</v>
      </c>
      <c r="O287" s="196" t="s">
        <v>2534</v>
      </c>
      <c r="P287" s="200"/>
      <c r="AB287" s="110"/>
      <c r="AC287" s="110"/>
      <c r="AD287" s="110"/>
      <c r="AE287" s="110"/>
    </row>
    <row r="288" spans="1:31">
      <c r="A288" s="196" t="s">
        <v>1313</v>
      </c>
      <c r="C288" s="197">
        <v>2</v>
      </c>
      <c r="D288" s="196">
        <v>0.38719999999999999</v>
      </c>
      <c r="E288" s="201">
        <v>11.258100000000001</v>
      </c>
      <c r="F288" s="201">
        <v>0.20039999999999999</v>
      </c>
      <c r="G288" s="200">
        <f t="shared" si="36"/>
        <v>11.458500000000001</v>
      </c>
      <c r="H288" s="200">
        <v>11.2744</v>
      </c>
      <c r="I288" s="200">
        <f t="shared" si="35"/>
        <v>0.18410000000000082</v>
      </c>
      <c r="J288" s="200">
        <f t="shared" si="37"/>
        <v>1.6299999999999176E-2</v>
      </c>
      <c r="K288" s="277">
        <f t="shared" si="38"/>
        <v>8.1337325349297291</v>
      </c>
      <c r="L288" s="200">
        <v>17</v>
      </c>
      <c r="M288" s="203">
        <v>43221</v>
      </c>
      <c r="N288" s="203">
        <v>43221</v>
      </c>
      <c r="T288" s="203"/>
      <c r="U288" s="203"/>
      <c r="AB288" s="110"/>
      <c r="AC288" s="110"/>
      <c r="AD288" s="110"/>
      <c r="AE288" s="110"/>
    </row>
    <row r="289" spans="1:31">
      <c r="A289" s="205" t="s">
        <v>1312</v>
      </c>
      <c r="C289" s="200">
        <v>106</v>
      </c>
      <c r="D289" s="201">
        <v>0.40279999999999999</v>
      </c>
      <c r="E289" s="201">
        <v>9.7216000000000005</v>
      </c>
      <c r="F289" s="201">
        <v>0.20039999999999999</v>
      </c>
      <c r="G289" s="200">
        <f t="shared" si="36"/>
        <v>9.9220000000000006</v>
      </c>
      <c r="H289" s="200">
        <v>9.7525999999999993</v>
      </c>
      <c r="I289" s="200">
        <f t="shared" si="35"/>
        <v>0.16940000000000133</v>
      </c>
      <c r="J289" s="200">
        <f t="shared" si="37"/>
        <v>3.0999999999998668E-2</v>
      </c>
      <c r="K289" s="277">
        <f t="shared" si="38"/>
        <v>15.46906187624684</v>
      </c>
      <c r="L289" s="200">
        <v>39</v>
      </c>
      <c r="M289" s="202">
        <v>43181.645833333336</v>
      </c>
      <c r="N289" s="202">
        <v>43181.833333333336</v>
      </c>
      <c r="O289" s="200" t="s">
        <v>2540</v>
      </c>
      <c r="P289" s="200"/>
      <c r="AB289" s="110"/>
      <c r="AC289" s="110"/>
      <c r="AD289" s="110"/>
      <c r="AE289" s="110"/>
    </row>
    <row r="290" spans="1:31">
      <c r="A290" s="196" t="s">
        <v>1311</v>
      </c>
      <c r="C290" s="197">
        <v>49</v>
      </c>
      <c r="D290" s="200">
        <v>0.65700000000000003</v>
      </c>
      <c r="E290" s="201">
        <v>7.4809999999999999</v>
      </c>
      <c r="F290" s="201">
        <v>0.20380000000000001</v>
      </c>
      <c r="G290" s="200">
        <f t="shared" si="36"/>
        <v>7.6848000000000001</v>
      </c>
      <c r="H290" s="200">
        <v>7.5145999999999997</v>
      </c>
      <c r="I290" s="200">
        <f t="shared" ref="I290:I321" si="39">(G290-H290)</f>
        <v>0.17020000000000035</v>
      </c>
      <c r="J290" s="200">
        <f t="shared" si="37"/>
        <v>3.3599999999999658E-2</v>
      </c>
      <c r="K290" s="277">
        <f t="shared" si="38"/>
        <v>16.486751717369803</v>
      </c>
      <c r="L290" s="200">
        <v>28</v>
      </c>
      <c r="M290" s="203">
        <v>43213</v>
      </c>
      <c r="N290" s="203">
        <v>43213</v>
      </c>
      <c r="R290" s="196">
        <v>5</v>
      </c>
      <c r="S290" s="196">
        <v>0.61660000000000004</v>
      </c>
      <c r="U290" s="201" t="s">
        <v>1578</v>
      </c>
      <c r="V290" s="196">
        <v>0.94479999999999997</v>
      </c>
      <c r="W290" s="196">
        <f>(V290-$T$175+F288)</f>
        <v>1.1452</v>
      </c>
      <c r="AB290" s="110"/>
      <c r="AC290" s="110"/>
      <c r="AD290" s="110"/>
      <c r="AE290" s="110"/>
    </row>
    <row r="291" spans="1:31">
      <c r="A291" s="200" t="s">
        <v>1310</v>
      </c>
      <c r="C291" s="200">
        <v>125</v>
      </c>
      <c r="D291" s="200">
        <v>0.40610000000000002</v>
      </c>
      <c r="E291" s="201">
        <v>7.9610000000000003</v>
      </c>
      <c r="F291" s="201">
        <v>0.2039</v>
      </c>
      <c r="G291" s="200">
        <f t="shared" si="36"/>
        <v>8.1649000000000012</v>
      </c>
      <c r="H291" s="200">
        <v>7.99</v>
      </c>
      <c r="I291" s="200">
        <f t="shared" si="39"/>
        <v>0.17490000000000094</v>
      </c>
      <c r="J291" s="200">
        <f t="shared" si="37"/>
        <v>2.8999999999999054E-2</v>
      </c>
      <c r="K291" s="277">
        <f t="shared" si="38"/>
        <v>14.222658165767069</v>
      </c>
      <c r="L291" s="200">
        <v>15</v>
      </c>
      <c r="M291" s="204">
        <v>43197</v>
      </c>
      <c r="N291" s="204">
        <v>43197</v>
      </c>
      <c r="O291" s="200"/>
      <c r="P291" s="200"/>
      <c r="AB291" s="110"/>
      <c r="AC291" s="110"/>
      <c r="AD291" s="110"/>
      <c r="AE291" s="110"/>
    </row>
    <row r="292" spans="1:31">
      <c r="A292" s="196" t="s">
        <v>1309</v>
      </c>
      <c r="C292" s="197">
        <v>97</v>
      </c>
      <c r="D292" s="196">
        <v>0.42520000000000002</v>
      </c>
      <c r="E292" s="200">
        <v>10.4161</v>
      </c>
      <c r="F292" s="201">
        <v>0.20080000000000001</v>
      </c>
      <c r="G292" s="200">
        <f t="shared" si="36"/>
        <v>10.616899999999999</v>
      </c>
      <c r="H292" s="200">
        <v>10.4573</v>
      </c>
      <c r="I292" s="200">
        <f t="shared" si="39"/>
        <v>0.1595999999999993</v>
      </c>
      <c r="J292" s="200">
        <f t="shared" si="37"/>
        <v>4.1200000000000708E-2</v>
      </c>
      <c r="K292" s="277">
        <f t="shared" si="38"/>
        <v>20.517928286852939</v>
      </c>
      <c r="L292" s="200">
        <v>4</v>
      </c>
      <c r="M292" s="203">
        <v>43213</v>
      </c>
      <c r="N292" s="203">
        <v>43213</v>
      </c>
      <c r="AB292" s="110"/>
      <c r="AC292" s="110"/>
      <c r="AD292" s="110"/>
      <c r="AE292" s="110"/>
    </row>
    <row r="293" spans="1:31">
      <c r="A293" s="196" t="s">
        <v>1308</v>
      </c>
      <c r="C293" s="197">
        <v>110</v>
      </c>
      <c r="D293" s="196">
        <v>0.42480000000000001</v>
      </c>
      <c r="E293" s="201">
        <v>10.5655</v>
      </c>
      <c r="F293" s="201">
        <v>0.20069999999999999</v>
      </c>
      <c r="G293" s="200">
        <f t="shared" si="36"/>
        <v>10.7662</v>
      </c>
      <c r="H293" s="200">
        <v>10.5921</v>
      </c>
      <c r="I293" s="200">
        <f t="shared" si="39"/>
        <v>0.17409999999999926</v>
      </c>
      <c r="J293" s="200">
        <f t="shared" si="37"/>
        <v>2.6600000000000734E-2</v>
      </c>
      <c r="K293" s="277">
        <f t="shared" si="38"/>
        <v>13.253612356751738</v>
      </c>
      <c r="L293" s="200">
        <v>30</v>
      </c>
      <c r="M293" s="203">
        <v>43213</v>
      </c>
      <c r="N293" s="203">
        <v>43213</v>
      </c>
      <c r="AB293" s="110"/>
      <c r="AC293" s="110"/>
      <c r="AD293" s="110"/>
      <c r="AE293" s="110"/>
    </row>
    <row r="294" spans="1:31">
      <c r="A294" s="200" t="s">
        <v>1307</v>
      </c>
      <c r="C294" s="200">
        <v>163</v>
      </c>
      <c r="D294" s="200">
        <v>0.49299999999999999</v>
      </c>
      <c r="E294" s="201">
        <v>11.120900000000001</v>
      </c>
      <c r="F294" s="201">
        <v>0.20039999999999999</v>
      </c>
      <c r="G294" s="200">
        <f t="shared" si="36"/>
        <v>11.321300000000001</v>
      </c>
      <c r="H294" s="200">
        <v>11.1366</v>
      </c>
      <c r="I294" s="200">
        <f t="shared" si="39"/>
        <v>0.1847000000000012</v>
      </c>
      <c r="J294" s="200">
        <f t="shared" si="37"/>
        <v>1.5699999999998798E-2</v>
      </c>
      <c r="K294" s="277">
        <f t="shared" si="38"/>
        <v>7.8343313373247501</v>
      </c>
      <c r="L294" s="200">
        <v>30</v>
      </c>
      <c r="M294" s="206">
        <v>43186.458333333336</v>
      </c>
      <c r="N294" s="206">
        <v>43186.625</v>
      </c>
      <c r="O294" s="196" t="s">
        <v>2534</v>
      </c>
      <c r="P294" s="200"/>
      <c r="AB294" s="110"/>
      <c r="AC294" s="110"/>
      <c r="AD294" s="110"/>
      <c r="AE294" s="110"/>
    </row>
    <row r="295" spans="1:31">
      <c r="A295" s="196" t="s">
        <v>1306</v>
      </c>
      <c r="C295" s="197">
        <v>152</v>
      </c>
      <c r="D295" s="196">
        <v>0.44969999999999999</v>
      </c>
      <c r="E295" s="200">
        <v>8.7333999999999996</v>
      </c>
      <c r="F295" s="201">
        <v>0.20399999999999999</v>
      </c>
      <c r="G295" s="200">
        <f t="shared" si="36"/>
        <v>8.9374000000000002</v>
      </c>
      <c r="H295" s="200">
        <v>8.7609999999999992</v>
      </c>
      <c r="I295" s="200">
        <f t="shared" si="39"/>
        <v>0.176400000000001</v>
      </c>
      <c r="J295" s="200">
        <f t="shared" si="37"/>
        <v>2.7599999999998986E-2</v>
      </c>
      <c r="K295" s="277">
        <f t="shared" si="38"/>
        <v>13.529411764705387</v>
      </c>
      <c r="L295" s="200">
        <v>26</v>
      </c>
      <c r="M295" s="203">
        <v>43212</v>
      </c>
      <c r="AB295" s="110"/>
      <c r="AC295" s="110"/>
      <c r="AD295" s="110"/>
      <c r="AE295" s="110"/>
    </row>
    <row r="296" spans="1:31">
      <c r="A296" s="200" t="s">
        <v>1305</v>
      </c>
      <c r="C296" s="200">
        <v>135</v>
      </c>
      <c r="D296" s="200">
        <f>0.2029+F296</f>
        <v>0.4073</v>
      </c>
      <c r="E296" s="201">
        <v>8.1356999999999999</v>
      </c>
      <c r="F296" s="201">
        <v>0.2044</v>
      </c>
      <c r="G296" s="200">
        <f t="shared" si="36"/>
        <v>8.3400999999999996</v>
      </c>
      <c r="H296" s="200">
        <v>8.1649999999999991</v>
      </c>
      <c r="I296" s="200">
        <f t="shared" si="39"/>
        <v>0.17510000000000048</v>
      </c>
      <c r="J296" s="200">
        <f t="shared" si="37"/>
        <v>2.9299999999999521E-2</v>
      </c>
      <c r="K296" s="277">
        <f t="shared" si="38"/>
        <v>14.334637964774716</v>
      </c>
      <c r="L296" s="200">
        <v>26</v>
      </c>
      <c r="M296" s="204">
        <v>43174</v>
      </c>
      <c r="N296" s="204">
        <v>43174</v>
      </c>
      <c r="O296" s="200" t="s">
        <v>2540</v>
      </c>
      <c r="P296" s="200" t="s">
        <v>2535</v>
      </c>
      <c r="AB296" s="110"/>
      <c r="AC296" s="110"/>
      <c r="AD296" s="110"/>
      <c r="AE296" s="110"/>
    </row>
    <row r="297" spans="1:31">
      <c r="A297" s="196" t="s">
        <v>1304</v>
      </c>
      <c r="C297" s="196">
        <v>131</v>
      </c>
      <c r="D297" s="196">
        <v>0.43230000000000002</v>
      </c>
      <c r="E297" s="196">
        <v>7.5270000000000001</v>
      </c>
      <c r="F297" s="196">
        <v>0.20150000000000001</v>
      </c>
      <c r="G297" s="196">
        <f t="shared" ref="G297:G328" si="40">E297+F297</f>
        <v>7.7285000000000004</v>
      </c>
      <c r="H297" s="196">
        <v>7.5606999999999998</v>
      </c>
      <c r="I297" s="196">
        <f t="shared" si="39"/>
        <v>0.16780000000000062</v>
      </c>
      <c r="J297" s="200">
        <f t="shared" ref="J297:J328" si="41">F297-I297</f>
        <v>3.3699999999999397E-2</v>
      </c>
      <c r="K297" s="277">
        <f t="shared" ref="K297:K328" si="42">(J297/F297)*100</f>
        <v>16.72456575682352</v>
      </c>
      <c r="L297" s="196">
        <v>12</v>
      </c>
      <c r="M297" s="196">
        <v>43157.395833333336</v>
      </c>
      <c r="N297" s="196">
        <v>43157.569444444445</v>
      </c>
      <c r="O297" s="196" t="s">
        <v>2534</v>
      </c>
      <c r="AB297" s="110"/>
      <c r="AC297" s="110"/>
      <c r="AD297" s="110"/>
      <c r="AE297" s="110"/>
    </row>
    <row r="298" spans="1:31">
      <c r="A298" s="196" t="s">
        <v>1303</v>
      </c>
      <c r="C298" s="196">
        <v>136</v>
      </c>
      <c r="D298" s="196">
        <v>0.40770000000000001</v>
      </c>
      <c r="E298" s="196">
        <v>9.1958000000000002</v>
      </c>
      <c r="F298" s="196">
        <v>0.2059</v>
      </c>
      <c r="G298" s="196">
        <f t="shared" si="40"/>
        <v>9.4016999999999999</v>
      </c>
      <c r="H298" s="196">
        <v>9.2218999999999998</v>
      </c>
      <c r="I298" s="196">
        <f t="shared" si="39"/>
        <v>0.17980000000000018</v>
      </c>
      <c r="J298" s="200">
        <f t="shared" si="41"/>
        <v>2.6099999999999818E-2</v>
      </c>
      <c r="K298" s="277">
        <f t="shared" si="42"/>
        <v>12.676056338028079</v>
      </c>
      <c r="L298" s="196">
        <v>6</v>
      </c>
      <c r="M298" s="196">
        <v>43157.527777777781</v>
      </c>
      <c r="N298" s="196">
        <v>43157.694444444445</v>
      </c>
      <c r="O298" s="196" t="s">
        <v>2540</v>
      </c>
      <c r="AB298" s="110"/>
      <c r="AC298" s="110"/>
      <c r="AD298" s="110"/>
      <c r="AE298" s="110"/>
    </row>
    <row r="299" spans="1:31">
      <c r="A299" s="196" t="s">
        <v>1301</v>
      </c>
      <c r="C299" s="196">
        <v>126</v>
      </c>
      <c r="D299" s="196">
        <v>0.46610000000000001</v>
      </c>
      <c r="E299" s="196">
        <v>8.8634000000000004</v>
      </c>
      <c r="F299" s="196">
        <v>0.2009</v>
      </c>
      <c r="G299" s="196">
        <f t="shared" si="40"/>
        <v>9.0643000000000011</v>
      </c>
      <c r="H299" s="196">
        <v>8.8925000000000001</v>
      </c>
      <c r="I299" s="196">
        <f t="shared" si="39"/>
        <v>0.17180000000000106</v>
      </c>
      <c r="J299" s="200">
        <f t="shared" si="41"/>
        <v>2.9099999999998932E-2</v>
      </c>
      <c r="K299" s="277">
        <f t="shared" si="42"/>
        <v>14.484818317570399</v>
      </c>
      <c r="L299" s="196">
        <v>3</v>
      </c>
      <c r="M299" s="196">
        <v>43157.527777777781</v>
      </c>
      <c r="N299" s="196">
        <v>43157.694444444445</v>
      </c>
      <c r="O299" s="196" t="s">
        <v>2540</v>
      </c>
      <c r="AB299" s="110"/>
      <c r="AC299" s="110"/>
      <c r="AD299" s="110"/>
      <c r="AE299" s="110"/>
    </row>
    <row r="300" spans="1:31">
      <c r="A300" s="196" t="s">
        <v>1298</v>
      </c>
      <c r="C300" s="197">
        <v>1</v>
      </c>
      <c r="D300" s="196">
        <v>0.29089999999999999</v>
      </c>
      <c r="E300" s="201">
        <v>8.1681000000000008</v>
      </c>
      <c r="F300" s="201">
        <v>0.20300000000000001</v>
      </c>
      <c r="G300" s="200">
        <f t="shared" si="40"/>
        <v>8.3711000000000002</v>
      </c>
      <c r="H300" s="200">
        <v>8.1989999999999998</v>
      </c>
      <c r="I300" s="200">
        <f t="shared" si="39"/>
        <v>0.17210000000000036</v>
      </c>
      <c r="J300" s="200">
        <f t="shared" si="41"/>
        <v>3.089999999999965E-2</v>
      </c>
      <c r="K300" s="277">
        <f t="shared" si="42"/>
        <v>15.221674876847116</v>
      </c>
      <c r="L300" s="200">
        <v>16</v>
      </c>
      <c r="T300" s="203"/>
      <c r="U300" s="203"/>
      <c r="AB300" s="110"/>
      <c r="AC300" s="110"/>
      <c r="AD300" s="110"/>
      <c r="AE300" s="110"/>
    </row>
    <row r="301" spans="1:31">
      <c r="A301" s="196" t="s">
        <v>1297</v>
      </c>
      <c r="C301" s="197">
        <v>203</v>
      </c>
      <c r="D301" s="196">
        <v>0.57879999999999998</v>
      </c>
      <c r="E301" s="200">
        <v>10.1075</v>
      </c>
      <c r="F301" s="201">
        <v>0.1993</v>
      </c>
      <c r="G301" s="200">
        <f t="shared" si="40"/>
        <v>10.306799999999999</v>
      </c>
      <c r="H301" s="200">
        <v>10.126300000000001</v>
      </c>
      <c r="I301" s="200">
        <f t="shared" si="39"/>
        <v>0.18049999999999855</v>
      </c>
      <c r="J301" s="200">
        <f t="shared" si="41"/>
        <v>1.8800000000001454E-2</v>
      </c>
      <c r="K301" s="277">
        <f t="shared" si="42"/>
        <v>9.4330155544412708</v>
      </c>
      <c r="L301" s="200">
        <v>12</v>
      </c>
      <c r="M301" s="203">
        <v>43212</v>
      </c>
      <c r="AB301" s="110"/>
      <c r="AC301" s="110"/>
      <c r="AD301" s="110"/>
      <c r="AE301" s="110"/>
    </row>
    <row r="302" spans="1:31">
      <c r="A302" s="196" t="s">
        <v>1296</v>
      </c>
      <c r="C302" s="197">
        <v>196</v>
      </c>
      <c r="D302" s="196">
        <v>0.48659999999999998</v>
      </c>
      <c r="E302" s="200">
        <v>11.106199999999999</v>
      </c>
      <c r="F302" s="201">
        <v>0.20669999999999999</v>
      </c>
      <c r="G302" s="200">
        <f t="shared" si="40"/>
        <v>11.312899999999999</v>
      </c>
      <c r="H302" s="200">
        <v>11.1279</v>
      </c>
      <c r="I302" s="200">
        <f t="shared" si="39"/>
        <v>0.18499999999999872</v>
      </c>
      <c r="J302" s="200">
        <f t="shared" si="41"/>
        <v>2.1700000000001274E-2</v>
      </c>
      <c r="K302" s="277">
        <f t="shared" si="42"/>
        <v>10.498306724722434</v>
      </c>
      <c r="L302" s="200">
        <v>41</v>
      </c>
      <c r="M302" s="203">
        <v>43212</v>
      </c>
      <c r="AB302" s="110"/>
      <c r="AC302" s="110"/>
      <c r="AD302" s="110"/>
      <c r="AE302" s="110"/>
    </row>
    <row r="303" spans="1:31">
      <c r="A303" s="205" t="s">
        <v>1295</v>
      </c>
      <c r="C303" s="200">
        <v>216</v>
      </c>
      <c r="D303" s="200">
        <v>0.66800000000000004</v>
      </c>
      <c r="E303" s="200">
        <v>11.023300000000001</v>
      </c>
      <c r="F303" s="201">
        <v>0.2036</v>
      </c>
      <c r="G303" s="200">
        <f t="shared" si="40"/>
        <v>11.226900000000001</v>
      </c>
      <c r="H303" s="200">
        <v>11.0402</v>
      </c>
      <c r="I303" s="200">
        <f t="shared" si="39"/>
        <v>0.18670000000000009</v>
      </c>
      <c r="J303" s="200">
        <f t="shared" si="41"/>
        <v>1.6899999999999915E-2</v>
      </c>
      <c r="K303" s="277">
        <f t="shared" si="42"/>
        <v>8.3005893909626298</v>
      </c>
      <c r="L303" s="200">
        <v>25</v>
      </c>
      <c r="M303" s="204">
        <v>43211</v>
      </c>
      <c r="AB303" s="110"/>
      <c r="AC303" s="110"/>
      <c r="AD303" s="110"/>
      <c r="AE303" s="110"/>
    </row>
    <row r="304" spans="1:31">
      <c r="A304" s="205" t="s">
        <v>1294</v>
      </c>
      <c r="C304" s="200">
        <v>134</v>
      </c>
      <c r="D304" s="200">
        <v>0.47770000000000001</v>
      </c>
      <c r="E304" s="201">
        <v>11.258599999999999</v>
      </c>
      <c r="F304" s="201">
        <v>0.20100000000000001</v>
      </c>
      <c r="G304" s="200">
        <f t="shared" si="40"/>
        <v>11.4596</v>
      </c>
      <c r="H304" s="200">
        <v>11.293200000000001</v>
      </c>
      <c r="I304" s="200">
        <f t="shared" si="39"/>
        <v>0.16639999999999944</v>
      </c>
      <c r="J304" s="200">
        <f t="shared" si="41"/>
        <v>3.4600000000000575E-2</v>
      </c>
      <c r="K304" s="277">
        <f t="shared" si="42"/>
        <v>17.213930348258991</v>
      </c>
      <c r="L304" s="200">
        <v>12</v>
      </c>
      <c r="M304" s="204">
        <v>43197</v>
      </c>
      <c r="N304" s="204">
        <v>43197</v>
      </c>
      <c r="O304" s="200"/>
      <c r="P304" s="200"/>
      <c r="AB304" s="110"/>
      <c r="AC304" s="110"/>
      <c r="AD304" s="110"/>
      <c r="AE304" s="110"/>
    </row>
    <row r="305" spans="1:31">
      <c r="A305" s="205" t="s">
        <v>1292</v>
      </c>
      <c r="C305" s="200">
        <v>120</v>
      </c>
      <c r="D305" s="200">
        <v>0.44650000000000001</v>
      </c>
      <c r="E305" s="200">
        <v>8.4435000000000002</v>
      </c>
      <c r="F305" s="200">
        <v>0.21010000000000001</v>
      </c>
      <c r="G305" s="200">
        <f t="shared" si="40"/>
        <v>8.6536000000000008</v>
      </c>
      <c r="H305" s="200">
        <v>8.4864999999999995</v>
      </c>
      <c r="I305" s="200">
        <f t="shared" si="39"/>
        <v>0.16710000000000136</v>
      </c>
      <c r="J305" s="200">
        <f t="shared" si="41"/>
        <v>4.299999999999865E-2</v>
      </c>
      <c r="K305" s="277">
        <f t="shared" si="42"/>
        <v>20.466444550213541</v>
      </c>
      <c r="L305" s="200">
        <v>7</v>
      </c>
      <c r="M305" s="204">
        <v>43174</v>
      </c>
      <c r="N305" s="204">
        <v>43174</v>
      </c>
      <c r="O305" s="200" t="s">
        <v>2540</v>
      </c>
      <c r="P305" s="200" t="s">
        <v>2535</v>
      </c>
      <c r="AB305" s="110"/>
      <c r="AC305" s="110"/>
      <c r="AD305" s="110"/>
      <c r="AE305" s="110"/>
    </row>
    <row r="306" spans="1:31">
      <c r="A306" s="196" t="s">
        <v>1290</v>
      </c>
      <c r="C306" s="197">
        <v>66</v>
      </c>
      <c r="D306" s="196">
        <v>0.73129999999999995</v>
      </c>
      <c r="E306" s="201">
        <v>11.087400000000001</v>
      </c>
      <c r="F306" s="201">
        <v>0.2051</v>
      </c>
      <c r="G306" s="200">
        <f t="shared" si="40"/>
        <v>11.2925</v>
      </c>
      <c r="H306" s="200">
        <v>11.1129</v>
      </c>
      <c r="I306" s="200">
        <f t="shared" si="39"/>
        <v>0.17960000000000065</v>
      </c>
      <c r="J306" s="200">
        <f t="shared" si="41"/>
        <v>2.5499999999999357E-2</v>
      </c>
      <c r="K306" s="277">
        <f t="shared" si="42"/>
        <v>12.432959531935326</v>
      </c>
      <c r="L306" s="200">
        <v>15</v>
      </c>
      <c r="AB306" s="110"/>
      <c r="AC306" s="110"/>
      <c r="AD306" s="110"/>
      <c r="AE306" s="110"/>
    </row>
    <row r="307" spans="1:31">
      <c r="A307" s="205" t="s">
        <v>1289</v>
      </c>
      <c r="C307" s="200">
        <v>214</v>
      </c>
      <c r="D307" s="200">
        <v>0.52159999999999995</v>
      </c>
      <c r="E307" s="200">
        <v>9.0526</v>
      </c>
      <c r="F307" s="200">
        <v>0.20019999999999999</v>
      </c>
      <c r="G307" s="200">
        <f t="shared" si="40"/>
        <v>9.2528000000000006</v>
      </c>
      <c r="H307" s="200">
        <v>9.0746000000000002</v>
      </c>
      <c r="I307" s="200">
        <f t="shared" si="39"/>
        <v>0.17820000000000036</v>
      </c>
      <c r="J307" s="200">
        <f t="shared" si="41"/>
        <v>2.1999999999999631E-2</v>
      </c>
      <c r="K307" s="277">
        <f t="shared" si="42"/>
        <v>10.989010989010806</v>
      </c>
      <c r="L307" s="200">
        <v>8</v>
      </c>
      <c r="M307" s="202">
        <v>43164.628472222219</v>
      </c>
      <c r="N307" s="202">
        <v>43164.795138888891</v>
      </c>
      <c r="O307" s="196" t="s">
        <v>2534</v>
      </c>
      <c r="P307" s="200"/>
      <c r="AB307" s="110"/>
      <c r="AC307" s="110"/>
      <c r="AD307" s="110"/>
      <c r="AE307" s="110"/>
    </row>
    <row r="308" spans="1:31">
      <c r="A308" s="196" t="s">
        <v>1288</v>
      </c>
      <c r="C308" s="196">
        <v>146</v>
      </c>
      <c r="D308" s="196">
        <v>0.41170000000000001</v>
      </c>
      <c r="E308" s="196">
        <v>9.0025999999999993</v>
      </c>
      <c r="F308" s="196">
        <v>0.20610000000000001</v>
      </c>
      <c r="G308" s="196">
        <f t="shared" si="40"/>
        <v>9.2086999999999986</v>
      </c>
      <c r="H308" s="196">
        <v>9.0376999999999992</v>
      </c>
      <c r="I308" s="196">
        <f t="shared" si="39"/>
        <v>0.17099999999999937</v>
      </c>
      <c r="J308" s="200">
        <f t="shared" si="41"/>
        <v>3.5100000000000631E-2</v>
      </c>
      <c r="K308" s="277">
        <f t="shared" si="42"/>
        <v>17.030567685589826</v>
      </c>
      <c r="L308" s="196">
        <v>14</v>
      </c>
      <c r="M308" s="196">
        <v>43157.527777777781</v>
      </c>
      <c r="N308" s="196">
        <v>43157.694444444445</v>
      </c>
      <c r="O308" s="196" t="s">
        <v>2540</v>
      </c>
      <c r="AB308" s="110"/>
      <c r="AC308" s="110"/>
      <c r="AD308" s="110"/>
      <c r="AE308" s="110"/>
    </row>
    <row r="309" spans="1:31">
      <c r="A309" s="205" t="s">
        <v>1287</v>
      </c>
      <c r="C309" s="196">
        <v>92</v>
      </c>
      <c r="D309" s="200">
        <v>1.1095999999999999</v>
      </c>
      <c r="E309" s="201">
        <v>11.4429</v>
      </c>
      <c r="F309" s="201">
        <v>0.20319999999999999</v>
      </c>
      <c r="G309" s="200">
        <f t="shared" si="40"/>
        <v>11.646100000000001</v>
      </c>
      <c r="H309" s="200">
        <v>11.523099999999999</v>
      </c>
      <c r="I309" s="200">
        <f t="shared" si="39"/>
        <v>0.12300000000000111</v>
      </c>
      <c r="J309" s="200">
        <f t="shared" si="41"/>
        <v>8.0199999999998883E-2</v>
      </c>
      <c r="K309" s="277">
        <f t="shared" si="42"/>
        <v>39.468503937007327</v>
      </c>
      <c r="L309" s="200">
        <v>15</v>
      </c>
      <c r="M309" s="206">
        <v>43186.458333333336</v>
      </c>
      <c r="N309" s="206">
        <v>43186.625</v>
      </c>
      <c r="O309" s="196" t="s">
        <v>2534</v>
      </c>
      <c r="P309" s="200"/>
      <c r="AB309" s="110"/>
      <c r="AC309" s="110"/>
      <c r="AD309" s="110"/>
      <c r="AE309" s="110"/>
    </row>
    <row r="310" spans="1:31">
      <c r="A310" s="205" t="s">
        <v>1286</v>
      </c>
      <c r="C310" s="200">
        <v>42</v>
      </c>
      <c r="D310" s="201">
        <v>0.52049999999999996</v>
      </c>
      <c r="E310" s="200">
        <v>8.1195000000000004</v>
      </c>
      <c r="F310" s="201">
        <v>0.2044</v>
      </c>
      <c r="G310" s="200">
        <f t="shared" si="40"/>
        <v>8.3239000000000001</v>
      </c>
      <c r="H310" s="200">
        <v>8.1486000000000001</v>
      </c>
      <c r="I310" s="200">
        <f t="shared" si="39"/>
        <v>0.17530000000000001</v>
      </c>
      <c r="J310" s="200">
        <f t="shared" si="41"/>
        <v>2.9099999999999987E-2</v>
      </c>
      <c r="K310" s="277">
        <f t="shared" si="42"/>
        <v>14.236790606653615</v>
      </c>
      <c r="L310" s="200">
        <v>12</v>
      </c>
      <c r="M310" s="204">
        <v>43206</v>
      </c>
      <c r="N310" s="204">
        <v>43206</v>
      </c>
      <c r="O310" s="200"/>
      <c r="P310" s="200"/>
      <c r="AB310" s="110"/>
      <c r="AC310" s="110"/>
      <c r="AD310" s="110"/>
      <c r="AE310" s="110"/>
    </row>
    <row r="311" spans="1:31">
      <c r="A311" s="196" t="s">
        <v>1285</v>
      </c>
      <c r="C311" s="196">
        <v>99</v>
      </c>
      <c r="D311" s="196">
        <v>0.43369999999999997</v>
      </c>
      <c r="E311" s="196">
        <v>19.387699999999999</v>
      </c>
      <c r="F311" s="196">
        <v>0.17510000000000001</v>
      </c>
      <c r="G311" s="196">
        <f t="shared" si="40"/>
        <v>19.562799999999999</v>
      </c>
      <c r="H311" s="196">
        <v>19.417000000000002</v>
      </c>
      <c r="I311" s="196">
        <f t="shared" si="39"/>
        <v>0.14579999999999771</v>
      </c>
      <c r="J311" s="200">
        <f t="shared" si="41"/>
        <v>2.9300000000002296E-2</v>
      </c>
      <c r="K311" s="277">
        <f t="shared" si="42"/>
        <v>16.733295259852824</v>
      </c>
      <c r="L311" s="196">
        <v>5</v>
      </c>
      <c r="M311" s="196" t="s">
        <v>2560</v>
      </c>
      <c r="N311" s="196">
        <v>43153.729166666664</v>
      </c>
      <c r="O311" s="196" t="s">
        <v>2534</v>
      </c>
      <c r="P311" s="196" t="s">
        <v>2559</v>
      </c>
      <c r="AB311" s="110"/>
      <c r="AC311" s="110"/>
      <c r="AD311" s="110"/>
      <c r="AE311" s="110"/>
    </row>
    <row r="312" spans="1:31">
      <c r="A312" s="196" t="s">
        <v>1282</v>
      </c>
      <c r="C312" s="196">
        <v>131</v>
      </c>
      <c r="D312" s="196">
        <v>0.42449999999999999</v>
      </c>
      <c r="E312" s="196">
        <v>7.7755999999999998</v>
      </c>
      <c r="F312" s="196">
        <v>0.20480000000000001</v>
      </c>
      <c r="G312" s="196">
        <f t="shared" si="40"/>
        <v>7.9803999999999995</v>
      </c>
      <c r="H312" s="196">
        <v>7.8036000000000003</v>
      </c>
      <c r="I312" s="196">
        <f t="shared" si="39"/>
        <v>0.17679999999999918</v>
      </c>
      <c r="J312" s="200">
        <f t="shared" si="41"/>
        <v>2.800000000000083E-2</v>
      </c>
      <c r="K312" s="277">
        <f t="shared" si="42"/>
        <v>13.671875000000405</v>
      </c>
      <c r="L312" s="196">
        <v>13</v>
      </c>
      <c r="M312" s="196">
        <v>43157.395833333336</v>
      </c>
      <c r="N312" s="196">
        <v>43157.569444444445</v>
      </c>
      <c r="O312" s="196" t="s">
        <v>2534</v>
      </c>
      <c r="AB312" s="110"/>
      <c r="AC312" s="110"/>
      <c r="AD312" s="110"/>
      <c r="AE312" s="110"/>
    </row>
    <row r="313" spans="1:31">
      <c r="A313" s="200" t="s">
        <v>1281</v>
      </c>
      <c r="C313" s="200">
        <v>113</v>
      </c>
      <c r="D313" s="200">
        <v>0.50229999999999997</v>
      </c>
      <c r="E313" s="200">
        <v>10.2014</v>
      </c>
      <c r="F313" s="201">
        <v>0.2077</v>
      </c>
      <c r="G313" s="200">
        <f t="shared" si="40"/>
        <v>10.409099999999999</v>
      </c>
      <c r="H313" s="196">
        <v>10.243</v>
      </c>
      <c r="I313" s="196">
        <f t="shared" si="39"/>
        <v>0.16609999999999836</v>
      </c>
      <c r="J313" s="200">
        <f t="shared" si="41"/>
        <v>4.1600000000001636E-2</v>
      </c>
      <c r="K313" s="277">
        <f t="shared" si="42"/>
        <v>20.028887818970457</v>
      </c>
      <c r="L313" s="200">
        <v>19</v>
      </c>
      <c r="M313" s="204">
        <v>43187</v>
      </c>
      <c r="N313" s="204">
        <v>43187</v>
      </c>
      <c r="O313" s="200"/>
      <c r="P313" s="200" t="s">
        <v>2487</v>
      </c>
      <c r="AB313" s="110"/>
      <c r="AC313" s="110"/>
      <c r="AD313" s="110"/>
      <c r="AE313" s="110"/>
    </row>
    <row r="314" spans="1:31">
      <c r="A314" s="205" t="s">
        <v>1280</v>
      </c>
      <c r="C314" s="200">
        <v>202</v>
      </c>
      <c r="D314" s="200">
        <v>0.76239999999999997</v>
      </c>
      <c r="E314" s="201">
        <v>10.675000000000001</v>
      </c>
      <c r="F314" s="201">
        <v>0.20960000000000001</v>
      </c>
      <c r="G314" s="200">
        <f t="shared" si="40"/>
        <v>10.884600000000001</v>
      </c>
      <c r="H314" s="200">
        <v>10.742000000000001</v>
      </c>
      <c r="I314" s="200">
        <f t="shared" si="39"/>
        <v>0.14259999999999984</v>
      </c>
      <c r="J314" s="200">
        <f t="shared" si="41"/>
        <v>6.7000000000000171E-2</v>
      </c>
      <c r="K314" s="277">
        <f t="shared" si="42"/>
        <v>31.965648854961913</v>
      </c>
      <c r="L314" s="200">
        <v>20</v>
      </c>
      <c r="M314" s="206">
        <v>43185.385416666664</v>
      </c>
      <c r="N314" s="200"/>
      <c r="O314" s="200" t="s">
        <v>2540</v>
      </c>
      <c r="P314" s="200"/>
      <c r="AB314" s="110"/>
      <c r="AC314" s="110"/>
      <c r="AD314" s="110"/>
      <c r="AE314" s="110"/>
    </row>
    <row r="315" spans="1:31">
      <c r="A315" s="201" t="s">
        <v>1278</v>
      </c>
      <c r="C315" s="200">
        <v>175</v>
      </c>
      <c r="D315" s="196">
        <v>0.40219999999999995</v>
      </c>
      <c r="E315" s="200">
        <v>8.3539999999999992</v>
      </c>
      <c r="F315" s="200">
        <v>0.1961</v>
      </c>
      <c r="G315" s="200">
        <f t="shared" si="40"/>
        <v>8.5500999999999987</v>
      </c>
      <c r="H315" s="200">
        <v>8.3718000000000004</v>
      </c>
      <c r="I315" s="200">
        <f t="shared" si="39"/>
        <v>0.17829999999999835</v>
      </c>
      <c r="J315" s="200">
        <f t="shared" si="41"/>
        <v>1.7800000000001648E-2</v>
      </c>
      <c r="K315" s="277">
        <f t="shared" si="42"/>
        <v>9.0770015298325593</v>
      </c>
      <c r="L315" s="200">
        <v>3</v>
      </c>
      <c r="M315" s="204">
        <v>43173</v>
      </c>
      <c r="N315" s="204">
        <v>43173</v>
      </c>
      <c r="O315" s="200" t="s">
        <v>2540</v>
      </c>
      <c r="P315" s="200" t="s">
        <v>2539</v>
      </c>
      <c r="AB315" s="110"/>
      <c r="AC315" s="110"/>
      <c r="AD315" s="110"/>
      <c r="AE315" s="110"/>
    </row>
    <row r="316" spans="1:31">
      <c r="A316" s="205" t="s">
        <v>1277</v>
      </c>
      <c r="C316" s="200">
        <v>202</v>
      </c>
      <c r="D316" s="200">
        <v>0.61229999999999996</v>
      </c>
      <c r="E316" s="201">
        <v>11.172000000000001</v>
      </c>
      <c r="F316" s="201">
        <v>0.2</v>
      </c>
      <c r="G316" s="200">
        <f t="shared" si="40"/>
        <v>11.372</v>
      </c>
      <c r="H316" s="200">
        <v>11.196400000000001</v>
      </c>
      <c r="I316" s="200">
        <f t="shared" si="39"/>
        <v>0.17559999999999931</v>
      </c>
      <c r="J316" s="200">
        <f t="shared" si="41"/>
        <v>2.4400000000000699E-2</v>
      </c>
      <c r="K316" s="277">
        <f t="shared" si="42"/>
        <v>12.200000000000349</v>
      </c>
      <c r="L316" s="200">
        <v>21</v>
      </c>
      <c r="M316" s="206">
        <v>43185.385416666664</v>
      </c>
      <c r="N316" s="200"/>
      <c r="O316" s="200" t="s">
        <v>2540</v>
      </c>
      <c r="P316" s="200"/>
      <c r="AB316" s="110"/>
      <c r="AC316" s="110"/>
      <c r="AD316" s="110"/>
      <c r="AE316" s="110"/>
    </row>
    <row r="317" spans="1:31">
      <c r="A317" s="196" t="s">
        <v>1276</v>
      </c>
      <c r="C317" s="196">
        <v>44</v>
      </c>
      <c r="D317" s="196">
        <v>0.6744</v>
      </c>
      <c r="E317" s="196">
        <v>8.7050000000000001</v>
      </c>
      <c r="F317" s="196">
        <v>0.19289999999999999</v>
      </c>
      <c r="G317" s="196">
        <f t="shared" si="40"/>
        <v>8.8978999999999999</v>
      </c>
      <c r="H317" s="196">
        <v>8.7210999999999999</v>
      </c>
      <c r="I317" s="196">
        <f t="shared" si="39"/>
        <v>0.17680000000000007</v>
      </c>
      <c r="J317" s="200">
        <f t="shared" si="41"/>
        <v>1.609999999999992E-2</v>
      </c>
      <c r="K317" s="277">
        <f t="shared" si="42"/>
        <v>8.346293416277824</v>
      </c>
      <c r="L317" s="196">
        <v>31</v>
      </c>
      <c r="M317" s="196" t="s">
        <v>2570</v>
      </c>
      <c r="N317" s="196" t="s">
        <v>2569</v>
      </c>
      <c r="O317" s="196" t="s">
        <v>2534</v>
      </c>
      <c r="AB317" s="110"/>
      <c r="AC317" s="110"/>
      <c r="AD317" s="110"/>
      <c r="AE317" s="110"/>
    </row>
    <row r="318" spans="1:31">
      <c r="A318" s="196" t="s">
        <v>1275</v>
      </c>
      <c r="C318" s="196">
        <v>141</v>
      </c>
      <c r="D318" s="196">
        <v>0.50260000000000005</v>
      </c>
      <c r="E318" s="196">
        <v>7.4752999999999998</v>
      </c>
      <c r="F318" s="196">
        <v>0.20319999999999999</v>
      </c>
      <c r="G318" s="196">
        <f t="shared" si="40"/>
        <v>7.6784999999999997</v>
      </c>
      <c r="H318" s="196">
        <v>7.5221</v>
      </c>
      <c r="I318" s="196">
        <f t="shared" si="39"/>
        <v>0.15639999999999965</v>
      </c>
      <c r="J318" s="200">
        <f t="shared" si="41"/>
        <v>4.6800000000000341E-2</v>
      </c>
      <c r="K318" s="277">
        <f t="shared" si="42"/>
        <v>23.031496062992296</v>
      </c>
      <c r="L318" s="196">
        <v>10</v>
      </c>
      <c r="M318" s="196">
        <v>43157.527777777781</v>
      </c>
      <c r="N318" s="196">
        <v>43157.694444444445</v>
      </c>
      <c r="O318" s="196" t="s">
        <v>2540</v>
      </c>
      <c r="AB318" s="110"/>
      <c r="AC318" s="110"/>
      <c r="AD318" s="110"/>
      <c r="AE318" s="110"/>
    </row>
    <row r="319" spans="1:31">
      <c r="A319" s="200" t="s">
        <v>1273</v>
      </c>
      <c r="C319" s="200">
        <v>157</v>
      </c>
      <c r="D319" s="200">
        <v>0.51759999999999995</v>
      </c>
      <c r="E319" s="201">
        <v>11.0229</v>
      </c>
      <c r="F319" s="201">
        <v>0.20050000000000001</v>
      </c>
      <c r="G319" s="200">
        <f t="shared" si="40"/>
        <v>11.2234</v>
      </c>
      <c r="H319" s="200">
        <v>11.0542</v>
      </c>
      <c r="I319" s="200">
        <f t="shared" si="39"/>
        <v>0.16920000000000002</v>
      </c>
      <c r="J319" s="200">
        <f t="shared" si="41"/>
        <v>3.1299999999999994E-2</v>
      </c>
      <c r="K319" s="277">
        <f t="shared" si="42"/>
        <v>15.610972568578548</v>
      </c>
      <c r="L319" s="200">
        <v>28</v>
      </c>
      <c r="M319" s="206">
        <v>43185.385416666664</v>
      </c>
      <c r="N319" s="200"/>
      <c r="O319" s="200" t="s">
        <v>2540</v>
      </c>
      <c r="P319" s="200"/>
      <c r="AB319" s="110"/>
      <c r="AC319" s="110"/>
      <c r="AD319" s="110"/>
      <c r="AE319" s="110"/>
    </row>
    <row r="320" spans="1:31">
      <c r="A320" s="196" t="s">
        <v>1272</v>
      </c>
      <c r="C320" s="196">
        <v>115</v>
      </c>
      <c r="D320" s="196">
        <v>0.48849999999999999</v>
      </c>
      <c r="E320" s="196">
        <v>11.055099999999999</v>
      </c>
      <c r="F320" s="196">
        <v>0.20469999999999999</v>
      </c>
      <c r="G320" s="196">
        <f t="shared" si="40"/>
        <v>11.2598</v>
      </c>
      <c r="H320" s="196">
        <v>11.109500000000001</v>
      </c>
      <c r="I320" s="196">
        <f t="shared" si="39"/>
        <v>0.15029999999999966</v>
      </c>
      <c r="J320" s="200">
        <f t="shared" si="41"/>
        <v>5.4400000000000337E-2</v>
      </c>
      <c r="K320" s="277">
        <f t="shared" si="42"/>
        <v>26.575476306790591</v>
      </c>
      <c r="L320" s="196">
        <v>2</v>
      </c>
      <c r="M320" s="196">
        <v>43157.395833333336</v>
      </c>
      <c r="N320" s="196">
        <v>43157.569444444445</v>
      </c>
      <c r="O320" s="196" t="s">
        <v>2534</v>
      </c>
      <c r="P320" s="196" t="s">
        <v>2558</v>
      </c>
      <c r="AB320" s="110"/>
      <c r="AC320" s="110"/>
      <c r="AD320" s="110"/>
      <c r="AE320" s="110"/>
    </row>
    <row r="321" spans="1:31">
      <c r="A321" s="205" t="s">
        <v>1271</v>
      </c>
      <c r="C321" s="200">
        <v>132</v>
      </c>
      <c r="D321" s="200">
        <v>0.42670000000000002</v>
      </c>
      <c r="E321" s="200">
        <v>9.0214999999999996</v>
      </c>
      <c r="F321" s="200">
        <v>0.2014</v>
      </c>
      <c r="G321" s="200">
        <f t="shared" si="40"/>
        <v>9.2228999999999992</v>
      </c>
      <c r="H321" s="200">
        <v>9.0494000000000003</v>
      </c>
      <c r="I321" s="200">
        <f t="shared" si="39"/>
        <v>0.17349999999999888</v>
      </c>
      <c r="J321" s="200">
        <f t="shared" si="41"/>
        <v>2.7900000000001118E-2</v>
      </c>
      <c r="K321" s="277">
        <f t="shared" si="42"/>
        <v>13.853028798411678</v>
      </c>
      <c r="L321" s="200">
        <v>15</v>
      </c>
      <c r="M321" s="204">
        <v>43188</v>
      </c>
      <c r="N321" s="204">
        <v>43188</v>
      </c>
      <c r="O321" s="200"/>
      <c r="P321" s="200"/>
      <c r="AB321" s="110"/>
      <c r="AC321" s="110"/>
      <c r="AD321" s="110"/>
      <c r="AE321" s="110"/>
    </row>
    <row r="322" spans="1:31">
      <c r="A322" s="200" t="s">
        <v>1269</v>
      </c>
      <c r="C322" s="200">
        <v>178</v>
      </c>
      <c r="D322" s="200">
        <v>0.43630000000000002</v>
      </c>
      <c r="E322" s="200">
        <v>9.2057000000000002</v>
      </c>
      <c r="F322" s="200">
        <v>0.20749999999999999</v>
      </c>
      <c r="G322" s="200">
        <f t="shared" si="40"/>
        <v>9.4131999999999998</v>
      </c>
      <c r="H322" s="196">
        <v>9.2203999999999997</v>
      </c>
      <c r="I322" s="196">
        <f t="shared" ref="I322:I353" si="43">(G322-H322)</f>
        <v>0.19280000000000008</v>
      </c>
      <c r="J322" s="200">
        <f t="shared" si="41"/>
        <v>1.4699999999999908E-2</v>
      </c>
      <c r="K322" s="277">
        <f t="shared" si="42"/>
        <v>7.0843373493975461</v>
      </c>
      <c r="L322" s="200">
        <v>16</v>
      </c>
      <c r="M322" s="206">
        <v>43160.520833333336</v>
      </c>
      <c r="N322" s="206">
        <v>43160.6875</v>
      </c>
      <c r="O322" s="196" t="s">
        <v>2534</v>
      </c>
      <c r="AB322" s="110"/>
      <c r="AC322" s="110"/>
      <c r="AD322" s="110"/>
      <c r="AE322" s="110"/>
    </row>
    <row r="323" spans="1:31">
      <c r="A323" s="196" t="s">
        <v>1268</v>
      </c>
      <c r="C323" s="197">
        <v>220</v>
      </c>
      <c r="D323" s="196">
        <v>0.46260000000000001</v>
      </c>
      <c r="E323" s="201">
        <v>8.8605999999999998</v>
      </c>
      <c r="F323" s="201">
        <v>0.20369999999999999</v>
      </c>
      <c r="G323" s="200">
        <f t="shared" si="40"/>
        <v>9.0642999999999994</v>
      </c>
      <c r="H323" s="200">
        <v>8.8831000000000007</v>
      </c>
      <c r="I323" s="200">
        <f t="shared" si="43"/>
        <v>0.1811999999999987</v>
      </c>
      <c r="J323" s="200">
        <f t="shared" si="41"/>
        <v>2.2500000000001297E-2</v>
      </c>
      <c r="K323" s="277">
        <f t="shared" si="42"/>
        <v>11.045655375552919</v>
      </c>
      <c r="L323" s="200">
        <v>2</v>
      </c>
      <c r="AB323" s="110"/>
      <c r="AC323" s="110"/>
      <c r="AD323" s="110"/>
      <c r="AE323" s="110"/>
    </row>
    <row r="324" spans="1:31">
      <c r="A324" s="196" t="s">
        <v>1267</v>
      </c>
      <c r="C324" s="197">
        <v>180</v>
      </c>
      <c r="D324" s="200">
        <v>0.4501</v>
      </c>
      <c r="E324" s="201">
        <v>8.0470000000000006</v>
      </c>
      <c r="F324" s="201">
        <v>0.19950000000000001</v>
      </c>
      <c r="G324" s="200">
        <f t="shared" si="40"/>
        <v>8.2465000000000011</v>
      </c>
      <c r="H324" s="200">
        <v>8.0645000000000007</v>
      </c>
      <c r="I324" s="200">
        <f t="shared" si="43"/>
        <v>0.18200000000000038</v>
      </c>
      <c r="J324" s="200">
        <f t="shared" si="41"/>
        <v>1.7499999999999627E-2</v>
      </c>
      <c r="K324" s="277">
        <f t="shared" si="42"/>
        <v>8.7719298245612158</v>
      </c>
      <c r="L324" s="200">
        <v>24</v>
      </c>
      <c r="M324" s="203">
        <v>43213</v>
      </c>
      <c r="N324" s="203">
        <v>43213</v>
      </c>
      <c r="AB324" s="110"/>
      <c r="AC324" s="110"/>
      <c r="AD324" s="110"/>
      <c r="AE324" s="110"/>
    </row>
    <row r="325" spans="1:31">
      <c r="A325" s="205" t="s">
        <v>1266</v>
      </c>
      <c r="C325" s="200">
        <v>144</v>
      </c>
      <c r="D325" s="200">
        <v>0.53890000000000005</v>
      </c>
      <c r="E325" s="201">
        <v>9.3190000000000008</v>
      </c>
      <c r="F325" s="201">
        <v>0.2011</v>
      </c>
      <c r="G325" s="200">
        <f t="shared" si="40"/>
        <v>9.5201000000000011</v>
      </c>
      <c r="H325" s="200">
        <v>9.3720999999999997</v>
      </c>
      <c r="I325" s="200">
        <f t="shared" si="43"/>
        <v>0.14800000000000146</v>
      </c>
      <c r="J325" s="200">
        <f t="shared" si="41"/>
        <v>5.3099999999998537E-2</v>
      </c>
      <c r="K325" s="277">
        <f t="shared" si="42"/>
        <v>26.404773744405041</v>
      </c>
      <c r="L325" s="200">
        <v>4</v>
      </c>
      <c r="M325" s="204">
        <v>43197</v>
      </c>
      <c r="N325" s="204">
        <v>43197</v>
      </c>
      <c r="O325" s="200"/>
      <c r="P325" s="200"/>
      <c r="AB325" s="110"/>
      <c r="AC325" s="110"/>
      <c r="AD325" s="110"/>
      <c r="AE325" s="110"/>
    </row>
    <row r="326" spans="1:31">
      <c r="A326" s="205" t="s">
        <v>1265</v>
      </c>
      <c r="C326" s="200">
        <v>198</v>
      </c>
      <c r="D326" s="200">
        <v>0.46010000000000001</v>
      </c>
      <c r="E326" s="200">
        <v>8.2189999999999994</v>
      </c>
      <c r="F326" s="200">
        <v>0.2006</v>
      </c>
      <c r="G326" s="200">
        <f t="shared" si="40"/>
        <v>8.4195999999999991</v>
      </c>
      <c r="H326" s="200">
        <v>8.2378</v>
      </c>
      <c r="I326" s="200">
        <f t="shared" si="43"/>
        <v>0.18179999999999907</v>
      </c>
      <c r="J326" s="200">
        <f t="shared" si="41"/>
        <v>1.8800000000000927E-2</v>
      </c>
      <c r="K326" s="277">
        <f t="shared" si="42"/>
        <v>9.3718843469595843</v>
      </c>
      <c r="L326" s="200">
        <v>24</v>
      </c>
      <c r="M326" s="202">
        <v>43164.628472222219</v>
      </c>
      <c r="N326" s="202">
        <v>43164.795138888891</v>
      </c>
      <c r="O326" s="196" t="s">
        <v>2534</v>
      </c>
      <c r="P326" s="200"/>
      <c r="AB326" s="110"/>
      <c r="AC326" s="110"/>
      <c r="AD326" s="110"/>
      <c r="AE326" s="110"/>
    </row>
    <row r="327" spans="1:31">
      <c r="A327" s="205" t="s">
        <v>1264</v>
      </c>
      <c r="C327" s="200">
        <v>212</v>
      </c>
      <c r="D327" s="200">
        <v>0.64780000000000004</v>
      </c>
      <c r="E327" s="200">
        <v>7.1905999999999999</v>
      </c>
      <c r="F327" s="200">
        <v>0.19969999999999999</v>
      </c>
      <c r="G327" s="200">
        <f t="shared" si="40"/>
        <v>7.3902999999999999</v>
      </c>
      <c r="H327" s="200">
        <v>7.2156000000000002</v>
      </c>
      <c r="I327" s="200">
        <f t="shared" si="43"/>
        <v>0.17469999999999963</v>
      </c>
      <c r="J327" s="200">
        <f t="shared" si="41"/>
        <v>2.5000000000000355E-2</v>
      </c>
      <c r="K327" s="277">
        <f t="shared" si="42"/>
        <v>12.518778167251055</v>
      </c>
      <c r="L327" s="200">
        <v>4</v>
      </c>
      <c r="M327" s="202">
        <v>43171.520833333336</v>
      </c>
      <c r="N327" s="202">
        <v>43171.6875</v>
      </c>
      <c r="O327" s="196" t="s">
        <v>2534</v>
      </c>
      <c r="P327" s="200"/>
      <c r="AB327" s="110"/>
      <c r="AC327" s="110"/>
      <c r="AD327" s="110"/>
      <c r="AE327" s="110"/>
    </row>
    <row r="328" spans="1:31">
      <c r="A328" s="205" t="s">
        <v>1263</v>
      </c>
      <c r="C328" s="200">
        <v>140</v>
      </c>
      <c r="D328" s="200">
        <v>0.47910000000000003</v>
      </c>
      <c r="E328" s="200">
        <v>8.7053999999999991</v>
      </c>
      <c r="F328" s="200">
        <v>0.19919999999999999</v>
      </c>
      <c r="G328" s="200">
        <f t="shared" si="40"/>
        <v>8.9045999999999985</v>
      </c>
      <c r="H328" s="200">
        <v>8.7354000000000003</v>
      </c>
      <c r="I328" s="200">
        <f t="shared" si="43"/>
        <v>0.16919999999999824</v>
      </c>
      <c r="J328" s="200">
        <f t="shared" si="41"/>
        <v>3.0000000000001747E-2</v>
      </c>
      <c r="K328" s="277">
        <f t="shared" si="42"/>
        <v>15.0602409638563</v>
      </c>
      <c r="L328" s="200">
        <v>4</v>
      </c>
      <c r="M328" s="202">
        <v>43164.628472222219</v>
      </c>
      <c r="N328" s="202">
        <v>43164.795138888891</v>
      </c>
      <c r="O328" s="196" t="s">
        <v>2534</v>
      </c>
      <c r="P328" s="200"/>
      <c r="AB328" s="110"/>
      <c r="AC328" s="110"/>
      <c r="AD328" s="110"/>
      <c r="AE328" s="110"/>
    </row>
    <row r="329" spans="1:31">
      <c r="A329" s="201" t="s">
        <v>1261</v>
      </c>
      <c r="C329" s="200">
        <v>117</v>
      </c>
      <c r="D329" s="200">
        <v>0.67699999999999994</v>
      </c>
      <c r="E329" s="200">
        <v>8.0625999999999998</v>
      </c>
      <c r="F329" s="200">
        <v>0.2006</v>
      </c>
      <c r="G329" s="200">
        <f t="shared" ref="G329:G360" si="44">E329+F329</f>
        <v>8.2631999999999994</v>
      </c>
      <c r="H329" s="200">
        <v>8.1191999999999993</v>
      </c>
      <c r="I329" s="200">
        <f t="shared" si="43"/>
        <v>0.14400000000000013</v>
      </c>
      <c r="J329" s="200">
        <f t="shared" ref="J329:J360" si="45">F329-I329</f>
        <v>5.6599999999999873E-2</v>
      </c>
      <c r="K329" s="277">
        <f t="shared" ref="K329:K360" si="46">(J329/F329)*100</f>
        <v>28.215353938185377</v>
      </c>
      <c r="L329" s="200">
        <v>32</v>
      </c>
      <c r="M329" s="204">
        <v>43173</v>
      </c>
      <c r="N329" s="204">
        <v>43173</v>
      </c>
      <c r="O329" s="200" t="s">
        <v>2540</v>
      </c>
      <c r="P329" s="200" t="s">
        <v>2539</v>
      </c>
      <c r="AB329" s="110"/>
      <c r="AC329" s="110"/>
      <c r="AD329" s="110"/>
      <c r="AE329" s="110"/>
    </row>
    <row r="330" spans="1:31">
      <c r="A330" s="205" t="s">
        <v>1259</v>
      </c>
      <c r="C330" s="200">
        <v>118</v>
      </c>
      <c r="D330" s="201">
        <v>0.46929999999999999</v>
      </c>
      <c r="E330" s="201">
        <v>7.7736999999999998</v>
      </c>
      <c r="F330" s="201">
        <v>0.20050000000000001</v>
      </c>
      <c r="G330" s="200">
        <f t="shared" si="44"/>
        <v>7.9741999999999997</v>
      </c>
      <c r="H330" s="200">
        <v>7.7986000000000004</v>
      </c>
      <c r="I330" s="200">
        <f t="shared" si="43"/>
        <v>0.17559999999999931</v>
      </c>
      <c r="J330" s="200">
        <f t="shared" si="45"/>
        <v>2.4900000000000699E-2</v>
      </c>
      <c r="K330" s="277">
        <f t="shared" si="46"/>
        <v>12.418952618454213</v>
      </c>
      <c r="L330" s="200">
        <v>19</v>
      </c>
      <c r="N330" s="200"/>
      <c r="O330" s="200"/>
      <c r="P330" s="200"/>
      <c r="AB330" s="110"/>
      <c r="AC330" s="110"/>
      <c r="AD330" s="110"/>
      <c r="AE330" s="110"/>
    </row>
    <row r="331" spans="1:31">
      <c r="A331" s="200" t="s">
        <v>1257</v>
      </c>
      <c r="C331" s="200">
        <v>125</v>
      </c>
      <c r="D331" s="200">
        <v>0.58720000000000006</v>
      </c>
      <c r="E331" s="201">
        <v>7.0933000000000002</v>
      </c>
      <c r="F331" s="201">
        <v>0.20130000000000001</v>
      </c>
      <c r="G331" s="200">
        <f t="shared" si="44"/>
        <v>7.2946</v>
      </c>
      <c r="H331" s="200">
        <v>7.1494999999999997</v>
      </c>
      <c r="I331" s="200">
        <f t="shared" si="43"/>
        <v>0.14510000000000023</v>
      </c>
      <c r="J331" s="200">
        <f t="shared" si="45"/>
        <v>5.6199999999999778E-2</v>
      </c>
      <c r="K331" s="277">
        <f t="shared" si="46"/>
        <v>27.918529557873711</v>
      </c>
      <c r="L331" s="200">
        <v>16</v>
      </c>
      <c r="M331" s="204">
        <v>43197</v>
      </c>
      <c r="N331" s="204">
        <v>43197</v>
      </c>
      <c r="O331" s="200"/>
      <c r="P331" s="200"/>
      <c r="AB331" s="110"/>
      <c r="AC331" s="110"/>
      <c r="AD331" s="110"/>
      <c r="AE331" s="110"/>
    </row>
    <row r="332" spans="1:31">
      <c r="A332" s="200" t="s">
        <v>1255</v>
      </c>
      <c r="C332" s="200">
        <v>217</v>
      </c>
      <c r="D332" s="200">
        <v>0.57120000000000004</v>
      </c>
      <c r="E332" s="200">
        <v>7.9939999999999998</v>
      </c>
      <c r="F332" s="201">
        <v>0.2056</v>
      </c>
      <c r="G332" s="200">
        <f t="shared" si="44"/>
        <v>8.1996000000000002</v>
      </c>
      <c r="H332" s="200">
        <v>8.0124999999999993</v>
      </c>
      <c r="I332" s="200">
        <f t="shared" si="43"/>
        <v>0.18710000000000093</v>
      </c>
      <c r="J332" s="200">
        <f t="shared" si="45"/>
        <v>1.8499999999999073E-2</v>
      </c>
      <c r="K332" s="277">
        <f t="shared" si="46"/>
        <v>8.99805447470772</v>
      </c>
      <c r="L332" s="200">
        <v>6</v>
      </c>
      <c r="M332" s="204">
        <v>43211</v>
      </c>
      <c r="N332" s="200"/>
      <c r="O332" s="200"/>
      <c r="P332" s="200"/>
      <c r="AB332" s="110"/>
      <c r="AC332" s="110"/>
      <c r="AD332" s="110"/>
      <c r="AE332" s="110"/>
    </row>
    <row r="333" spans="1:31">
      <c r="A333" s="201" t="s">
        <v>1254</v>
      </c>
      <c r="C333" s="200">
        <v>211</v>
      </c>
      <c r="D333" s="200">
        <v>0.66139999999999988</v>
      </c>
      <c r="E333" s="200">
        <v>8.7333999999999996</v>
      </c>
      <c r="F333" s="200">
        <v>0.2026</v>
      </c>
      <c r="G333" s="200">
        <f t="shared" si="44"/>
        <v>8.9359999999999999</v>
      </c>
      <c r="H333" s="200">
        <v>8.8157999999999994</v>
      </c>
      <c r="I333" s="200">
        <f t="shared" si="43"/>
        <v>0.12020000000000053</v>
      </c>
      <c r="J333" s="200">
        <f t="shared" si="45"/>
        <v>8.2399999999999474E-2</v>
      </c>
      <c r="K333" s="277">
        <f t="shared" si="46"/>
        <v>40.67127344521198</v>
      </c>
      <c r="L333" s="200">
        <v>15</v>
      </c>
      <c r="M333" s="204">
        <v>43173</v>
      </c>
      <c r="N333" s="204">
        <v>43173</v>
      </c>
      <c r="O333" s="200" t="s">
        <v>2540</v>
      </c>
      <c r="P333" s="200" t="s">
        <v>2539</v>
      </c>
      <c r="AB333" s="110"/>
      <c r="AC333" s="110"/>
      <c r="AD333" s="110"/>
      <c r="AE333" s="110"/>
    </row>
    <row r="334" spans="1:31">
      <c r="A334" s="200" t="s">
        <v>1252</v>
      </c>
      <c r="C334" s="200">
        <v>139</v>
      </c>
      <c r="D334" s="200">
        <v>0.4768</v>
      </c>
      <c r="E334" s="201">
        <v>7.4809999999999999</v>
      </c>
      <c r="F334" s="201">
        <v>0.20300000000000001</v>
      </c>
      <c r="G334" s="200">
        <f t="shared" si="44"/>
        <v>7.6840000000000002</v>
      </c>
      <c r="H334" s="200">
        <v>7.5209999999999999</v>
      </c>
      <c r="I334" s="200">
        <f t="shared" si="43"/>
        <v>0.16300000000000026</v>
      </c>
      <c r="J334" s="200">
        <f t="shared" si="45"/>
        <v>3.9999999999999758E-2</v>
      </c>
      <c r="K334" s="277">
        <f t="shared" si="46"/>
        <v>19.704433497536826</v>
      </c>
      <c r="L334" s="200">
        <v>8</v>
      </c>
      <c r="M334" s="204">
        <v>43199</v>
      </c>
      <c r="N334" s="204">
        <v>43199</v>
      </c>
      <c r="O334" s="200"/>
      <c r="P334" s="200" t="s">
        <v>2555</v>
      </c>
      <c r="AB334" s="110"/>
      <c r="AC334" s="110"/>
      <c r="AD334" s="110"/>
      <c r="AE334" s="110"/>
    </row>
    <row r="335" spans="1:31">
      <c r="A335" s="196" t="s">
        <v>1251</v>
      </c>
      <c r="C335" s="196">
        <v>133</v>
      </c>
      <c r="D335" s="196">
        <v>0.43490000000000001</v>
      </c>
      <c r="E335" s="196">
        <v>8.1328999999999994</v>
      </c>
      <c r="F335" s="196">
        <v>0.20250000000000001</v>
      </c>
      <c r="G335" s="196">
        <f t="shared" si="44"/>
        <v>8.3353999999999999</v>
      </c>
      <c r="H335" s="196">
        <v>8.1613000000000007</v>
      </c>
      <c r="I335" s="196">
        <f t="shared" si="43"/>
        <v>0.17409999999999926</v>
      </c>
      <c r="J335" s="200">
        <f t="shared" si="45"/>
        <v>2.8400000000000758E-2</v>
      </c>
      <c r="K335" s="277">
        <f t="shared" si="46"/>
        <v>14.024691358025066</v>
      </c>
      <c r="L335" s="196">
        <v>16</v>
      </c>
      <c r="M335" s="196">
        <v>43157.395833333336</v>
      </c>
      <c r="N335" s="196">
        <v>43157.569444444445</v>
      </c>
      <c r="O335" s="196" t="s">
        <v>2534</v>
      </c>
      <c r="AB335" s="110"/>
      <c r="AC335" s="110"/>
      <c r="AD335" s="110"/>
      <c r="AE335" s="110"/>
    </row>
    <row r="336" spans="1:31">
      <c r="A336" s="196" t="s">
        <v>1250</v>
      </c>
      <c r="C336" s="197">
        <v>153</v>
      </c>
      <c r="D336" s="196">
        <v>0.3836</v>
      </c>
      <c r="E336" s="200">
        <v>10.1531</v>
      </c>
      <c r="F336" s="201">
        <v>0.20330000000000001</v>
      </c>
      <c r="G336" s="200">
        <f t="shared" si="44"/>
        <v>10.356400000000001</v>
      </c>
      <c r="H336" s="200">
        <v>10.1874</v>
      </c>
      <c r="I336" s="200">
        <f t="shared" si="43"/>
        <v>0.16900000000000048</v>
      </c>
      <c r="J336" s="200">
        <f t="shared" si="45"/>
        <v>3.4299999999999525E-2</v>
      </c>
      <c r="K336" s="277">
        <f t="shared" si="46"/>
        <v>16.871618298081419</v>
      </c>
      <c r="L336" s="200">
        <v>13</v>
      </c>
      <c r="M336" s="203">
        <v>43212</v>
      </c>
      <c r="AB336" s="110"/>
      <c r="AC336" s="110"/>
      <c r="AD336" s="110"/>
      <c r="AE336" s="110"/>
    </row>
    <row r="337" spans="1:31">
      <c r="A337" s="205" t="s">
        <v>1249</v>
      </c>
      <c r="C337" s="200">
        <v>150</v>
      </c>
      <c r="D337" s="200">
        <v>0.40389999999999998</v>
      </c>
      <c r="E337" s="201">
        <v>9.8871000000000002</v>
      </c>
      <c r="F337" s="201">
        <v>0.2031</v>
      </c>
      <c r="G337" s="200">
        <f t="shared" si="44"/>
        <v>10.090199999999999</v>
      </c>
      <c r="H337" s="200">
        <v>9.9278999999999993</v>
      </c>
      <c r="I337" s="200">
        <f t="shared" si="43"/>
        <v>0.16230000000000011</v>
      </c>
      <c r="J337" s="200">
        <f t="shared" si="45"/>
        <v>4.0799999999999892E-2</v>
      </c>
      <c r="K337" s="277">
        <f t="shared" si="46"/>
        <v>20.08862629246671</v>
      </c>
      <c r="L337" s="200">
        <v>11</v>
      </c>
      <c r="M337" s="204">
        <v>43199</v>
      </c>
      <c r="N337" s="204">
        <v>43199</v>
      </c>
      <c r="O337" s="200"/>
      <c r="P337" s="200"/>
      <c r="AB337" s="110"/>
      <c r="AC337" s="110"/>
      <c r="AD337" s="110"/>
      <c r="AE337" s="110"/>
    </row>
    <row r="338" spans="1:31">
      <c r="A338" s="200" t="s">
        <v>1248</v>
      </c>
      <c r="C338" s="200">
        <v>119</v>
      </c>
      <c r="D338" s="200">
        <v>0.43930000000000002</v>
      </c>
      <c r="E338" s="201">
        <v>11.091799999999999</v>
      </c>
      <c r="F338" s="201">
        <v>0.20100000000000001</v>
      </c>
      <c r="G338" s="200">
        <f t="shared" si="44"/>
        <v>11.2928</v>
      </c>
      <c r="H338" s="200">
        <v>11.1129</v>
      </c>
      <c r="I338" s="200">
        <f t="shared" si="43"/>
        <v>0.17989999999999995</v>
      </c>
      <c r="J338" s="200">
        <f t="shared" si="45"/>
        <v>2.1100000000000063E-2</v>
      </c>
      <c r="K338" s="277">
        <f t="shared" si="46"/>
        <v>10.497512437810975</v>
      </c>
      <c r="L338" s="200">
        <v>26</v>
      </c>
      <c r="M338" s="204">
        <v>43197</v>
      </c>
      <c r="N338" s="204">
        <v>43197</v>
      </c>
      <c r="O338" s="200"/>
      <c r="P338" s="200"/>
      <c r="AB338" s="110"/>
      <c r="AC338" s="110"/>
      <c r="AD338" s="110"/>
      <c r="AE338" s="110"/>
    </row>
    <row r="339" spans="1:31">
      <c r="A339" s="205" t="s">
        <v>1247</v>
      </c>
      <c r="C339" s="200">
        <v>114</v>
      </c>
      <c r="D339" s="201">
        <v>0.44309999999999999</v>
      </c>
      <c r="E339" s="201">
        <v>9.3219999999999992</v>
      </c>
      <c r="F339" s="201">
        <v>0.20019999999999999</v>
      </c>
      <c r="G339" s="200">
        <f t="shared" si="44"/>
        <v>9.5221999999999998</v>
      </c>
      <c r="H339" s="200">
        <v>9.3641000000000005</v>
      </c>
      <c r="I339" s="200">
        <f t="shared" si="43"/>
        <v>0.15809999999999924</v>
      </c>
      <c r="J339" s="200">
        <f t="shared" si="45"/>
        <v>4.2100000000000748E-2</v>
      </c>
      <c r="K339" s="277">
        <f t="shared" si="46"/>
        <v>21.028971028971405</v>
      </c>
      <c r="L339" s="200">
        <v>28</v>
      </c>
      <c r="M339" s="202">
        <v>43181.645833333336</v>
      </c>
      <c r="N339" s="202">
        <v>43181.833333333336</v>
      </c>
      <c r="O339" s="200" t="s">
        <v>2540</v>
      </c>
      <c r="AB339" s="110"/>
      <c r="AC339" s="110"/>
      <c r="AD339" s="110"/>
      <c r="AE339" s="110"/>
    </row>
    <row r="340" spans="1:31">
      <c r="A340" s="200" t="s">
        <v>1246</v>
      </c>
      <c r="C340" s="200">
        <v>217</v>
      </c>
      <c r="D340" s="200">
        <v>0.4556</v>
      </c>
      <c r="E340" s="200">
        <v>10.617900000000001</v>
      </c>
      <c r="F340" s="201">
        <v>0.20169999999999999</v>
      </c>
      <c r="G340" s="200">
        <f t="shared" si="44"/>
        <v>10.819600000000001</v>
      </c>
      <c r="H340" s="200">
        <v>10.635199999999999</v>
      </c>
      <c r="I340" s="200">
        <f t="shared" si="43"/>
        <v>0.1844000000000019</v>
      </c>
      <c r="J340" s="200">
        <f t="shared" si="45"/>
        <v>1.7299999999998095E-2</v>
      </c>
      <c r="K340" s="277">
        <f t="shared" si="46"/>
        <v>8.5770946950907749</v>
      </c>
      <c r="L340" s="200">
        <v>5</v>
      </c>
      <c r="M340" s="204">
        <v>43211</v>
      </c>
      <c r="N340" s="200"/>
      <c r="O340" s="200"/>
      <c r="P340" s="200" t="s">
        <v>2536</v>
      </c>
      <c r="AB340" s="110"/>
      <c r="AC340" s="110"/>
      <c r="AD340" s="110"/>
      <c r="AE340" s="110"/>
    </row>
    <row r="341" spans="1:31">
      <c r="A341" s="200" t="s">
        <v>1245</v>
      </c>
      <c r="C341" s="200">
        <v>137</v>
      </c>
      <c r="D341" s="201">
        <v>0.41139999999999999</v>
      </c>
      <c r="E341" s="200">
        <v>9.6789000000000005</v>
      </c>
      <c r="F341" s="201">
        <v>0.20749999999999999</v>
      </c>
      <c r="G341" s="200">
        <f t="shared" si="44"/>
        <v>9.8864000000000001</v>
      </c>
      <c r="H341" s="200">
        <v>9.7113999999999994</v>
      </c>
      <c r="I341" s="200">
        <f t="shared" si="43"/>
        <v>0.17500000000000071</v>
      </c>
      <c r="J341" s="200">
        <f t="shared" si="45"/>
        <v>3.2499999999999279E-2</v>
      </c>
      <c r="K341" s="277">
        <f t="shared" si="46"/>
        <v>15.662650602409292</v>
      </c>
      <c r="L341" s="200">
        <v>28</v>
      </c>
      <c r="M341" s="204">
        <v>43206</v>
      </c>
      <c r="N341" s="204">
        <v>43206</v>
      </c>
      <c r="O341" s="200"/>
      <c r="P341" s="200"/>
      <c r="AB341" s="110"/>
      <c r="AC341" s="110"/>
      <c r="AD341" s="110"/>
      <c r="AE341" s="110"/>
    </row>
    <row r="342" spans="1:31">
      <c r="A342" s="200" t="s">
        <v>1244</v>
      </c>
      <c r="C342" s="200">
        <v>104</v>
      </c>
      <c r="D342" s="200">
        <f>0.322+F342</f>
        <v>0.52729999999999999</v>
      </c>
      <c r="E342" s="201">
        <v>11.023</v>
      </c>
      <c r="F342" s="201">
        <v>0.20530000000000001</v>
      </c>
      <c r="G342" s="200">
        <f t="shared" si="44"/>
        <v>11.228299999999999</v>
      </c>
      <c r="H342" s="200">
        <v>11.057600000000001</v>
      </c>
      <c r="I342" s="200">
        <f t="shared" si="43"/>
        <v>0.1706999999999983</v>
      </c>
      <c r="J342" s="200">
        <f t="shared" si="45"/>
        <v>3.4600000000001713E-2</v>
      </c>
      <c r="K342" s="277">
        <f t="shared" si="46"/>
        <v>16.853385289820611</v>
      </c>
      <c r="L342" s="200">
        <v>31</v>
      </c>
      <c r="M342" s="204">
        <v>43174</v>
      </c>
      <c r="N342" s="204">
        <v>43174</v>
      </c>
      <c r="O342" s="200" t="s">
        <v>2540</v>
      </c>
      <c r="P342" s="200" t="s">
        <v>2535</v>
      </c>
      <c r="AB342" s="110"/>
      <c r="AC342" s="110"/>
      <c r="AD342" s="110"/>
      <c r="AE342" s="110"/>
    </row>
    <row r="343" spans="1:31">
      <c r="A343" s="205" t="s">
        <v>1243</v>
      </c>
      <c r="C343" s="200">
        <v>148</v>
      </c>
      <c r="D343" s="201">
        <v>0.52270000000000005</v>
      </c>
      <c r="E343" s="201">
        <v>11.7468</v>
      </c>
      <c r="F343" s="201">
        <v>0.20830000000000001</v>
      </c>
      <c r="G343" s="200">
        <f t="shared" si="44"/>
        <v>11.9551</v>
      </c>
      <c r="H343" s="200">
        <v>11.786799999999999</v>
      </c>
      <c r="I343" s="200">
        <f t="shared" si="43"/>
        <v>0.16830000000000034</v>
      </c>
      <c r="J343" s="200">
        <f t="shared" si="45"/>
        <v>3.9999999999999675E-2</v>
      </c>
      <c r="K343" s="277">
        <f t="shared" si="46"/>
        <v>19.203072491598501</v>
      </c>
      <c r="L343" s="200">
        <v>21</v>
      </c>
      <c r="M343" s="202">
        <v>43181.645833333336</v>
      </c>
      <c r="N343" s="202">
        <v>43181.833333333336</v>
      </c>
      <c r="O343" s="200" t="s">
        <v>2540</v>
      </c>
      <c r="P343" s="200" t="s">
        <v>2553</v>
      </c>
      <c r="AB343" s="110"/>
      <c r="AC343" s="110"/>
      <c r="AD343" s="110"/>
      <c r="AE343" s="110"/>
    </row>
    <row r="344" spans="1:31">
      <c r="A344" s="196" t="s">
        <v>1242</v>
      </c>
      <c r="C344" s="197">
        <v>101</v>
      </c>
      <c r="D344" s="196">
        <v>0.37919999999999998</v>
      </c>
      <c r="E344" s="196">
        <v>10.6348</v>
      </c>
      <c r="F344" s="201">
        <v>0.2016</v>
      </c>
      <c r="G344" s="200">
        <f t="shared" si="44"/>
        <v>10.836400000000001</v>
      </c>
      <c r="H344" s="200">
        <v>10.668699999999999</v>
      </c>
      <c r="I344" s="200">
        <f t="shared" si="43"/>
        <v>0.16770000000000174</v>
      </c>
      <c r="J344" s="200">
        <f t="shared" si="45"/>
        <v>3.3899999999998265E-2</v>
      </c>
      <c r="K344" s="277">
        <f t="shared" si="46"/>
        <v>16.81547619047533</v>
      </c>
      <c r="L344" s="200">
        <v>6</v>
      </c>
      <c r="AB344" s="110"/>
      <c r="AC344" s="110"/>
      <c r="AD344" s="110"/>
      <c r="AE344" s="110"/>
    </row>
    <row r="345" spans="1:31">
      <c r="A345" s="205" t="s">
        <v>1241</v>
      </c>
      <c r="C345" s="200">
        <v>160</v>
      </c>
      <c r="D345" s="200">
        <v>0.502</v>
      </c>
      <c r="E345" s="200">
        <v>8.1328999999999994</v>
      </c>
      <c r="F345" s="201">
        <v>0.20799999999999999</v>
      </c>
      <c r="G345" s="200">
        <f t="shared" si="44"/>
        <v>8.3408999999999995</v>
      </c>
      <c r="H345" s="200">
        <v>8.1625999999999994</v>
      </c>
      <c r="I345" s="200">
        <f t="shared" si="43"/>
        <v>0.17830000000000013</v>
      </c>
      <c r="J345" s="200">
        <f t="shared" si="45"/>
        <v>2.9699999999999865E-2</v>
      </c>
      <c r="K345" s="277">
        <f t="shared" si="46"/>
        <v>14.278846153846089</v>
      </c>
      <c r="L345" s="200">
        <v>18</v>
      </c>
      <c r="M345" s="204">
        <v>43211</v>
      </c>
      <c r="AB345" s="110"/>
      <c r="AC345" s="110"/>
      <c r="AD345" s="110"/>
      <c r="AE345" s="110"/>
    </row>
    <row r="346" spans="1:31">
      <c r="A346" s="200" t="s">
        <v>1240</v>
      </c>
      <c r="C346" s="200">
        <v>165</v>
      </c>
      <c r="D346" s="200">
        <v>0.4632</v>
      </c>
      <c r="E346" s="200">
        <v>7.7762000000000002</v>
      </c>
      <c r="F346" s="200">
        <v>0.20080000000000001</v>
      </c>
      <c r="G346" s="200">
        <f t="shared" si="44"/>
        <v>7.9770000000000003</v>
      </c>
      <c r="H346" s="200">
        <v>7.7915999999999999</v>
      </c>
      <c r="I346" s="200">
        <f t="shared" si="43"/>
        <v>0.18540000000000045</v>
      </c>
      <c r="J346" s="200">
        <f t="shared" si="45"/>
        <v>1.5399999999999553E-2</v>
      </c>
      <c r="K346" s="277">
        <f t="shared" si="46"/>
        <v>7.6693227091631231</v>
      </c>
      <c r="L346" s="200">
        <v>19</v>
      </c>
      <c r="M346" s="202">
        <v>43164.628472222219</v>
      </c>
      <c r="N346" s="202">
        <v>43164.795138888891</v>
      </c>
      <c r="O346" s="196" t="s">
        <v>2534</v>
      </c>
      <c r="P346" s="200"/>
      <c r="AB346" s="110"/>
      <c r="AC346" s="110"/>
      <c r="AD346" s="110"/>
      <c r="AE346" s="110"/>
    </row>
    <row r="347" spans="1:31">
      <c r="A347" s="196" t="s">
        <v>1239</v>
      </c>
      <c r="C347" s="196">
        <v>201</v>
      </c>
      <c r="D347" s="196">
        <v>0.41320000000000001</v>
      </c>
      <c r="E347" s="201">
        <v>9.7257999999999996</v>
      </c>
      <c r="F347" s="201">
        <v>0.20150000000000001</v>
      </c>
      <c r="G347" s="200">
        <f t="shared" si="44"/>
        <v>9.9272999999999989</v>
      </c>
      <c r="H347" s="200">
        <v>9.7493999999999996</v>
      </c>
      <c r="I347" s="200">
        <f t="shared" si="43"/>
        <v>0.17789999999999928</v>
      </c>
      <c r="J347" s="200">
        <f t="shared" si="45"/>
        <v>2.3600000000000732E-2</v>
      </c>
      <c r="K347" s="277">
        <f t="shared" si="46"/>
        <v>11.712158808933365</v>
      </c>
      <c r="L347" s="200">
        <v>21</v>
      </c>
      <c r="AB347" s="110"/>
      <c r="AC347" s="110"/>
      <c r="AD347" s="110"/>
      <c r="AE347" s="110"/>
    </row>
    <row r="348" spans="1:31">
      <c r="A348" s="196" t="s">
        <v>1237</v>
      </c>
      <c r="C348" s="196">
        <v>24</v>
      </c>
      <c r="D348" s="196">
        <v>0.54449999999999998</v>
      </c>
      <c r="E348" s="201">
        <v>10.1074</v>
      </c>
      <c r="F348" s="201">
        <v>0.20200000000000001</v>
      </c>
      <c r="G348" s="200">
        <f t="shared" si="44"/>
        <v>10.3094</v>
      </c>
      <c r="H348" s="200">
        <v>10.130800000000001</v>
      </c>
      <c r="I348" s="200">
        <f t="shared" si="43"/>
        <v>0.17859999999999943</v>
      </c>
      <c r="J348" s="200">
        <f t="shared" si="45"/>
        <v>2.3400000000000587E-2</v>
      </c>
      <c r="K348" s="277">
        <f t="shared" si="46"/>
        <v>11.584158415841873</v>
      </c>
      <c r="L348" s="200">
        <v>23</v>
      </c>
      <c r="AB348" s="110"/>
      <c r="AC348" s="110"/>
      <c r="AD348" s="110"/>
      <c r="AE348" s="110"/>
    </row>
    <row r="349" spans="1:31">
      <c r="A349" s="196" t="s">
        <v>1236</v>
      </c>
      <c r="C349" s="197">
        <v>204</v>
      </c>
      <c r="D349" s="196">
        <v>0.49020000000000002</v>
      </c>
      <c r="E349" s="201">
        <v>8.0884</v>
      </c>
      <c r="F349" s="201">
        <v>0.2</v>
      </c>
      <c r="G349" s="200">
        <f t="shared" si="44"/>
        <v>8.2883999999999993</v>
      </c>
      <c r="H349" s="200">
        <v>8.1113999999999997</v>
      </c>
      <c r="I349" s="200">
        <f t="shared" si="43"/>
        <v>0.1769999999999996</v>
      </c>
      <c r="J349" s="200">
        <f t="shared" si="45"/>
        <v>2.3000000000000409E-2</v>
      </c>
      <c r="K349" s="277">
        <f t="shared" si="46"/>
        <v>11.500000000000204</v>
      </c>
      <c r="L349" s="200">
        <v>2</v>
      </c>
      <c r="AB349" s="110"/>
      <c r="AC349" s="110"/>
      <c r="AD349" s="110"/>
      <c r="AE349" s="110"/>
    </row>
    <row r="350" spans="1:31">
      <c r="A350" s="205" t="s">
        <v>1235</v>
      </c>
      <c r="C350" s="200">
        <v>138</v>
      </c>
      <c r="D350" s="200">
        <v>0.44069999999999998</v>
      </c>
      <c r="E350" s="201">
        <v>10.565799999999999</v>
      </c>
      <c r="F350" s="201">
        <v>0.20150000000000001</v>
      </c>
      <c r="G350" s="200">
        <f t="shared" si="44"/>
        <v>10.767299999999999</v>
      </c>
      <c r="H350" s="200">
        <v>10.594799999999999</v>
      </c>
      <c r="I350" s="200">
        <f t="shared" si="43"/>
        <v>0.17249999999999943</v>
      </c>
      <c r="J350" s="200">
        <f t="shared" si="45"/>
        <v>2.9000000000000581E-2</v>
      </c>
      <c r="K350" s="277">
        <f t="shared" si="46"/>
        <v>14.392059553350164</v>
      </c>
      <c r="L350" s="200">
        <v>35</v>
      </c>
      <c r="M350" s="206">
        <v>43186.458333333336</v>
      </c>
      <c r="N350" s="206">
        <v>43186.625</v>
      </c>
      <c r="O350" s="196" t="s">
        <v>2534</v>
      </c>
      <c r="P350" s="200"/>
      <c r="AB350" s="110"/>
      <c r="AC350" s="110"/>
      <c r="AD350" s="110"/>
      <c r="AE350" s="110"/>
    </row>
    <row r="351" spans="1:31">
      <c r="A351" s="196" t="s">
        <v>1234</v>
      </c>
      <c r="C351" s="196">
        <v>200</v>
      </c>
      <c r="D351" s="196">
        <v>0.49859999999999999</v>
      </c>
      <c r="E351" s="201">
        <v>11.1541</v>
      </c>
      <c r="F351" s="201">
        <v>0.2029</v>
      </c>
      <c r="G351" s="200">
        <f t="shared" si="44"/>
        <v>11.356999999999999</v>
      </c>
      <c r="H351" s="200">
        <v>11.176600000000001</v>
      </c>
      <c r="I351" s="200">
        <f t="shared" si="43"/>
        <v>0.18039999999999878</v>
      </c>
      <c r="J351" s="200">
        <f t="shared" si="45"/>
        <v>2.2500000000001213E-2</v>
      </c>
      <c r="K351" s="277">
        <f t="shared" si="46"/>
        <v>11.089206505668416</v>
      </c>
      <c r="L351" s="200">
        <v>26</v>
      </c>
      <c r="AB351" s="110"/>
      <c r="AC351" s="110"/>
      <c r="AD351" s="110"/>
      <c r="AE351" s="110"/>
    </row>
    <row r="352" spans="1:31">
      <c r="A352" s="205" t="s">
        <v>1233</v>
      </c>
      <c r="C352" s="200">
        <v>142</v>
      </c>
      <c r="D352" s="200">
        <v>0.84009999999999996</v>
      </c>
      <c r="E352" s="201">
        <v>9.3429000000000002</v>
      </c>
      <c r="F352" s="201">
        <v>0.2031</v>
      </c>
      <c r="G352" s="200">
        <f t="shared" si="44"/>
        <v>9.5459999999999994</v>
      </c>
      <c r="H352" s="200">
        <v>9.4362999999999992</v>
      </c>
      <c r="I352" s="200">
        <f t="shared" si="43"/>
        <v>0.10970000000000013</v>
      </c>
      <c r="J352" s="200">
        <f t="shared" si="45"/>
        <v>9.3399999999999872E-2</v>
      </c>
      <c r="K352" s="277">
        <f t="shared" si="46"/>
        <v>45.987198424421408</v>
      </c>
      <c r="L352" s="200">
        <v>1</v>
      </c>
      <c r="M352" s="206">
        <v>43186.458333333336</v>
      </c>
      <c r="N352" s="206">
        <v>43186.625</v>
      </c>
      <c r="O352" s="196" t="s">
        <v>2534</v>
      </c>
      <c r="P352" s="200" t="s">
        <v>2554</v>
      </c>
      <c r="AB352" s="110"/>
      <c r="AC352" s="110"/>
      <c r="AD352" s="110"/>
      <c r="AE352" s="110"/>
    </row>
    <row r="353" spans="1:31">
      <c r="A353" s="196" t="s">
        <v>1232</v>
      </c>
      <c r="C353" s="197">
        <v>182</v>
      </c>
      <c r="D353" s="196">
        <v>0.42420000000000002</v>
      </c>
      <c r="E353" s="200">
        <v>8.0953999999999997</v>
      </c>
      <c r="F353" s="201">
        <v>0.2084</v>
      </c>
      <c r="G353" s="200">
        <f t="shared" si="44"/>
        <v>8.303799999999999</v>
      </c>
      <c r="H353" s="200">
        <v>8.1163000000000007</v>
      </c>
      <c r="I353" s="200">
        <f t="shared" si="43"/>
        <v>0.18749999999999822</v>
      </c>
      <c r="J353" s="200">
        <f t="shared" si="45"/>
        <v>2.0900000000001778E-2</v>
      </c>
      <c r="K353" s="277">
        <f t="shared" si="46"/>
        <v>10.028790786949029</v>
      </c>
      <c r="L353" s="200">
        <v>44</v>
      </c>
      <c r="M353" s="203">
        <v>43212</v>
      </c>
      <c r="AB353" s="110"/>
      <c r="AC353" s="110"/>
      <c r="AD353" s="110"/>
      <c r="AE353" s="110"/>
    </row>
    <row r="354" spans="1:31">
      <c r="A354" s="200" t="s">
        <v>1231</v>
      </c>
      <c r="C354" s="200">
        <v>129</v>
      </c>
      <c r="D354" s="200">
        <v>0.39679999999999999</v>
      </c>
      <c r="E354" s="201">
        <v>9.0033999999999992</v>
      </c>
      <c r="F354" s="201">
        <v>0.2019</v>
      </c>
      <c r="G354" s="200">
        <f t="shared" si="44"/>
        <v>9.2052999999999994</v>
      </c>
      <c r="H354" s="200">
        <v>9.0358000000000001</v>
      </c>
      <c r="I354" s="200">
        <f t="shared" ref="I354:I367" si="47">(G354-H354)</f>
        <v>0.16949999999999932</v>
      </c>
      <c r="J354" s="200">
        <f t="shared" si="45"/>
        <v>3.2400000000000678E-2</v>
      </c>
      <c r="K354" s="277">
        <f t="shared" si="46"/>
        <v>16.047548291233621</v>
      </c>
      <c r="L354" s="200">
        <v>14</v>
      </c>
      <c r="M354" s="204">
        <v>43174</v>
      </c>
      <c r="N354" s="204">
        <v>43174</v>
      </c>
      <c r="O354" s="200" t="s">
        <v>2540</v>
      </c>
      <c r="P354" s="200" t="s">
        <v>2535</v>
      </c>
      <c r="AB354" s="110"/>
      <c r="AC354" s="110"/>
      <c r="AD354" s="110"/>
      <c r="AE354" s="110"/>
    </row>
    <row r="355" spans="1:31">
      <c r="A355" s="205" t="s">
        <v>1230</v>
      </c>
      <c r="C355" s="200">
        <v>134</v>
      </c>
      <c r="D355" s="200">
        <v>0.35370000000000001</v>
      </c>
      <c r="E355" s="201">
        <v>8.1324000000000005</v>
      </c>
      <c r="F355" s="201">
        <v>0.19989999999999999</v>
      </c>
      <c r="G355" s="200">
        <f t="shared" si="44"/>
        <v>8.3323</v>
      </c>
      <c r="H355" s="200">
        <v>8.1576000000000004</v>
      </c>
      <c r="I355" s="200">
        <f t="shared" si="47"/>
        <v>0.17469999999999963</v>
      </c>
      <c r="J355" s="200">
        <f t="shared" si="45"/>
        <v>2.5200000000000361E-2</v>
      </c>
      <c r="K355" s="277">
        <f t="shared" si="46"/>
        <v>12.606303151575968</v>
      </c>
      <c r="L355" s="200">
        <v>11</v>
      </c>
      <c r="M355" s="204">
        <v>43197</v>
      </c>
      <c r="N355" s="204">
        <v>43197</v>
      </c>
      <c r="O355" s="200"/>
      <c r="P355" s="200"/>
      <c r="AB355" s="110"/>
      <c r="AC355" s="110"/>
      <c r="AD355" s="110"/>
      <c r="AE355" s="110"/>
    </row>
    <row r="356" spans="1:31">
      <c r="A356" s="200" t="s">
        <v>1229</v>
      </c>
      <c r="C356" s="200">
        <v>195</v>
      </c>
      <c r="D356" s="200">
        <v>0.54490000000000005</v>
      </c>
      <c r="E356" s="200">
        <v>11.905200000000001</v>
      </c>
      <c r="F356" s="200">
        <v>0.20069999999999999</v>
      </c>
      <c r="G356" s="200">
        <f t="shared" si="44"/>
        <v>12.1059</v>
      </c>
      <c r="H356" s="200">
        <v>11.935499999999999</v>
      </c>
      <c r="I356" s="200">
        <f t="shared" si="47"/>
        <v>0.17040000000000077</v>
      </c>
      <c r="J356" s="200">
        <f t="shared" si="45"/>
        <v>3.0299999999999216E-2</v>
      </c>
      <c r="K356" s="277">
        <f t="shared" si="46"/>
        <v>15.097159940208879</v>
      </c>
      <c r="L356" s="200">
        <v>16</v>
      </c>
      <c r="M356" s="202">
        <v>43164.628472222219</v>
      </c>
      <c r="N356" s="202">
        <v>43164.795138888891</v>
      </c>
      <c r="O356" s="196" t="s">
        <v>2534</v>
      </c>
      <c r="P356" s="200"/>
      <c r="AB356" s="110"/>
      <c r="AC356" s="110"/>
      <c r="AD356" s="110"/>
      <c r="AE356" s="110"/>
    </row>
    <row r="357" spans="1:31">
      <c r="A357" s="201" t="s">
        <v>1228</v>
      </c>
      <c r="C357" s="200">
        <v>211</v>
      </c>
      <c r="D357" s="200">
        <v>0.62309999999999999</v>
      </c>
      <c r="E357" s="200">
        <v>9.0317000000000007</v>
      </c>
      <c r="F357" s="200">
        <v>0.20119999999999999</v>
      </c>
      <c r="G357" s="200">
        <f t="shared" si="44"/>
        <v>9.2329000000000008</v>
      </c>
      <c r="H357" s="200">
        <v>9.0663999999999998</v>
      </c>
      <c r="I357" s="200">
        <f t="shared" si="47"/>
        <v>0.16650000000000098</v>
      </c>
      <c r="J357" s="200">
        <f t="shared" si="45"/>
        <v>3.4699999999999009E-2</v>
      </c>
      <c r="K357" s="277">
        <f t="shared" si="46"/>
        <v>17.246520874750999</v>
      </c>
      <c r="L357" s="200">
        <v>14</v>
      </c>
      <c r="M357" s="204">
        <v>43173</v>
      </c>
      <c r="N357" s="204">
        <v>43173</v>
      </c>
      <c r="O357" s="200" t="s">
        <v>2540</v>
      </c>
      <c r="P357" s="200" t="s">
        <v>2539</v>
      </c>
      <c r="AB357" s="110"/>
      <c r="AC357" s="110"/>
      <c r="AD357" s="110"/>
      <c r="AE357" s="110"/>
    </row>
    <row r="358" spans="1:31">
      <c r="A358" s="205" t="s">
        <v>1226</v>
      </c>
      <c r="C358" s="200">
        <v>102</v>
      </c>
      <c r="D358" s="200">
        <v>0.3619</v>
      </c>
      <c r="E358" s="201">
        <v>8.8450000000000006</v>
      </c>
      <c r="F358" s="201">
        <v>0.20219999999999999</v>
      </c>
      <c r="G358" s="200">
        <f t="shared" si="44"/>
        <v>9.0472000000000001</v>
      </c>
      <c r="H358" s="200">
        <v>8.8706999999999994</v>
      </c>
      <c r="I358" s="200">
        <f t="shared" si="47"/>
        <v>0.17650000000000077</v>
      </c>
      <c r="J358" s="200">
        <f t="shared" si="45"/>
        <v>2.5699999999999223E-2</v>
      </c>
      <c r="K358" s="277">
        <f t="shared" si="46"/>
        <v>12.710187932739478</v>
      </c>
      <c r="L358" s="200">
        <v>3</v>
      </c>
      <c r="M358" s="202">
        <v>43181.645833333336</v>
      </c>
      <c r="N358" s="202">
        <v>43181.833333333336</v>
      </c>
      <c r="O358" s="200" t="s">
        <v>2540</v>
      </c>
      <c r="P358" s="200"/>
      <c r="AB358" s="110"/>
      <c r="AC358" s="110"/>
      <c r="AD358" s="110"/>
      <c r="AE358" s="110"/>
    </row>
    <row r="359" spans="1:31">
      <c r="A359" s="200" t="s">
        <v>1225</v>
      </c>
      <c r="C359" s="200">
        <v>121</v>
      </c>
      <c r="D359" s="200">
        <v>0.42509999999999998</v>
      </c>
      <c r="E359" s="200">
        <v>11.153499999999999</v>
      </c>
      <c r="F359" s="200">
        <v>0.20530000000000001</v>
      </c>
      <c r="G359" s="200">
        <f t="shared" si="44"/>
        <v>11.358799999999999</v>
      </c>
      <c r="H359" s="200">
        <v>11.174300000000001</v>
      </c>
      <c r="I359" s="200">
        <f t="shared" si="47"/>
        <v>0.18449999999999811</v>
      </c>
      <c r="J359" s="200">
        <f t="shared" si="45"/>
        <v>2.08000000000019E-2</v>
      </c>
      <c r="K359" s="277">
        <f t="shared" si="46"/>
        <v>10.131514856308767</v>
      </c>
      <c r="L359" s="200">
        <v>11</v>
      </c>
      <c r="M359" s="204">
        <v>43188</v>
      </c>
      <c r="N359" s="204">
        <v>43188</v>
      </c>
      <c r="O359" s="200"/>
      <c r="P359" s="200"/>
      <c r="AB359" s="110"/>
      <c r="AC359" s="110"/>
      <c r="AD359" s="110"/>
      <c r="AE359" s="110"/>
    </row>
    <row r="360" spans="1:31">
      <c r="A360" s="196" t="s">
        <v>1224</v>
      </c>
      <c r="C360" s="196">
        <v>179</v>
      </c>
      <c r="D360" s="196">
        <v>0.4194</v>
      </c>
      <c r="E360" s="200">
        <v>10.0555</v>
      </c>
      <c r="F360" s="201">
        <v>0.20530000000000001</v>
      </c>
      <c r="G360" s="200">
        <f t="shared" si="44"/>
        <v>10.2608</v>
      </c>
      <c r="H360" s="200">
        <v>10.073499999999999</v>
      </c>
      <c r="I360" s="200">
        <f t="shared" si="47"/>
        <v>0.18730000000000047</v>
      </c>
      <c r="J360" s="200">
        <f t="shared" si="45"/>
        <v>1.7999999999999544E-2</v>
      </c>
      <c r="K360" s="277">
        <f t="shared" si="46"/>
        <v>8.7676570871892565</v>
      </c>
      <c r="L360" s="200">
        <v>29</v>
      </c>
      <c r="M360" s="203">
        <v>43212</v>
      </c>
      <c r="AB360" s="110"/>
      <c r="AC360" s="110"/>
      <c r="AD360" s="110"/>
      <c r="AE360" s="110"/>
    </row>
    <row r="361" spans="1:31">
      <c r="A361" s="200" t="s">
        <v>1223</v>
      </c>
      <c r="C361" s="200">
        <v>155</v>
      </c>
      <c r="D361" s="201">
        <v>0.40339999999999998</v>
      </c>
      <c r="E361" s="200">
        <v>9.3427000000000007</v>
      </c>
      <c r="F361" s="201">
        <v>0.19980000000000001</v>
      </c>
      <c r="G361" s="200">
        <f t="shared" ref="G361:G367" si="48">E361+F361</f>
        <v>9.5425000000000004</v>
      </c>
      <c r="H361" s="200">
        <v>9.3811</v>
      </c>
      <c r="I361" s="200">
        <f t="shared" si="47"/>
        <v>0.16140000000000043</v>
      </c>
      <c r="J361" s="200">
        <f t="shared" ref="J361:J367" si="49">F361-I361</f>
        <v>3.8399999999999573E-2</v>
      </c>
      <c r="K361" s="277">
        <f t="shared" ref="K361:K367" si="50">(J361/F361)*100</f>
        <v>19.219219219219006</v>
      </c>
      <c r="L361" s="200">
        <v>23</v>
      </c>
      <c r="M361" s="204">
        <v>43206</v>
      </c>
      <c r="N361" s="204">
        <v>43206</v>
      </c>
      <c r="O361" s="200"/>
      <c r="P361" s="200"/>
      <c r="AB361" s="110"/>
      <c r="AC361" s="110"/>
      <c r="AD361" s="110"/>
      <c r="AE361" s="110"/>
    </row>
    <row r="362" spans="1:31">
      <c r="A362" s="205" t="s">
        <v>1222</v>
      </c>
      <c r="C362" s="200">
        <v>100</v>
      </c>
      <c r="D362" s="200">
        <v>0.36840000000000001</v>
      </c>
      <c r="E362" s="200">
        <v>7.1896000000000004</v>
      </c>
      <c r="F362" s="200">
        <v>0.19839999999999999</v>
      </c>
      <c r="G362" s="200">
        <f t="shared" si="48"/>
        <v>7.3880000000000008</v>
      </c>
      <c r="H362" s="200">
        <v>7.2173999999999996</v>
      </c>
      <c r="I362" s="200">
        <f t="shared" si="47"/>
        <v>0.1706000000000012</v>
      </c>
      <c r="J362" s="200">
        <f t="shared" si="49"/>
        <v>2.7799999999998798E-2</v>
      </c>
      <c r="K362" s="277">
        <f t="shared" si="50"/>
        <v>14.012096774192942</v>
      </c>
      <c r="L362" s="200">
        <v>19</v>
      </c>
      <c r="M362" s="204">
        <v>43188</v>
      </c>
      <c r="N362" s="204">
        <v>43188</v>
      </c>
      <c r="O362" s="200"/>
      <c r="P362" s="200"/>
      <c r="AB362" s="110"/>
      <c r="AC362" s="110"/>
      <c r="AD362" s="110"/>
      <c r="AE362" s="110"/>
    </row>
    <row r="363" spans="1:31">
      <c r="A363" s="205" t="s">
        <v>1220</v>
      </c>
      <c r="C363" s="200">
        <v>130</v>
      </c>
      <c r="D363" s="201">
        <v>0.35759999999999997</v>
      </c>
      <c r="E363" s="201">
        <v>10.0557</v>
      </c>
      <c r="F363" s="201">
        <v>0.20030000000000001</v>
      </c>
      <c r="G363" s="200">
        <f t="shared" si="48"/>
        <v>10.256</v>
      </c>
      <c r="H363" s="200">
        <v>10.081099999999999</v>
      </c>
      <c r="I363" s="200">
        <f t="shared" si="47"/>
        <v>0.17490000000000094</v>
      </c>
      <c r="J363" s="200">
        <f t="shared" si="49"/>
        <v>2.5399999999999062E-2</v>
      </c>
      <c r="K363" s="277">
        <f t="shared" si="50"/>
        <v>12.680978532201229</v>
      </c>
      <c r="L363" s="200">
        <v>36</v>
      </c>
      <c r="M363" s="202">
        <v>43181.645833333336</v>
      </c>
      <c r="N363" s="202">
        <v>43181.833333333336</v>
      </c>
      <c r="O363" s="200" t="s">
        <v>2540</v>
      </c>
      <c r="P363" s="200"/>
      <c r="AB363" s="110"/>
      <c r="AC363" s="110"/>
      <c r="AD363" s="110"/>
      <c r="AE363" s="110"/>
    </row>
    <row r="364" spans="1:31">
      <c r="A364" s="200" t="s">
        <v>1219</v>
      </c>
      <c r="C364" s="200">
        <v>111</v>
      </c>
      <c r="D364" s="200">
        <v>0.49049999999999999</v>
      </c>
      <c r="E364" s="201">
        <v>8.7337000000000007</v>
      </c>
      <c r="F364" s="201">
        <v>0.2054</v>
      </c>
      <c r="G364" s="200">
        <f t="shared" si="48"/>
        <v>8.9390999999999998</v>
      </c>
      <c r="H364" s="200">
        <v>8.7631999999999994</v>
      </c>
      <c r="I364" s="200">
        <f t="shared" si="47"/>
        <v>0.17590000000000039</v>
      </c>
      <c r="J364" s="200">
        <f t="shared" si="49"/>
        <v>2.949999999999961E-2</v>
      </c>
      <c r="K364" s="277">
        <f t="shared" si="50"/>
        <v>14.3622200584224</v>
      </c>
      <c r="L364" s="200">
        <v>47</v>
      </c>
      <c r="M364" s="206">
        <v>43186.458333333336</v>
      </c>
      <c r="N364" s="206">
        <v>43186.625</v>
      </c>
      <c r="O364" s="196" t="s">
        <v>2534</v>
      </c>
      <c r="P364" s="200"/>
      <c r="AB364" s="110"/>
      <c r="AC364" s="110"/>
      <c r="AD364" s="110"/>
      <c r="AE364" s="110"/>
    </row>
    <row r="365" spans="1:31">
      <c r="A365" s="196" t="s">
        <v>1218</v>
      </c>
      <c r="C365" s="196">
        <v>136</v>
      </c>
      <c r="D365" s="196">
        <v>0.38069999999999998</v>
      </c>
      <c r="E365" s="196">
        <v>7.0791000000000004</v>
      </c>
      <c r="F365" s="196">
        <v>0.2029</v>
      </c>
      <c r="G365" s="196">
        <f t="shared" si="48"/>
        <v>7.282</v>
      </c>
      <c r="H365" s="196">
        <v>7.1097000000000001</v>
      </c>
      <c r="I365" s="196">
        <f t="shared" si="47"/>
        <v>0.1722999999999999</v>
      </c>
      <c r="J365" s="200">
        <f t="shared" si="49"/>
        <v>3.0600000000000099E-2</v>
      </c>
      <c r="K365" s="277">
        <f t="shared" si="50"/>
        <v>15.08132084770828</v>
      </c>
      <c r="L365" s="196">
        <v>7</v>
      </c>
      <c r="M365" s="196">
        <v>43157.527777777781</v>
      </c>
      <c r="N365" s="196">
        <v>43157.694444444445</v>
      </c>
      <c r="O365" s="196" t="s">
        <v>2540</v>
      </c>
      <c r="AB365" s="110"/>
      <c r="AC365" s="110"/>
      <c r="AD365" s="110"/>
      <c r="AE365" s="110"/>
    </row>
    <row r="366" spans="1:31">
      <c r="A366" s="196" t="s">
        <v>1217</v>
      </c>
      <c r="C366" s="196">
        <v>128</v>
      </c>
      <c r="D366" s="196">
        <v>0.37309999999999999</v>
      </c>
      <c r="E366" s="196">
        <v>8.4431999999999992</v>
      </c>
      <c r="F366" s="196">
        <v>0.1978</v>
      </c>
      <c r="G366" s="196">
        <f t="shared" si="48"/>
        <v>8.641</v>
      </c>
      <c r="H366" s="196">
        <v>8.4629999999999992</v>
      </c>
      <c r="I366" s="196">
        <f t="shared" si="47"/>
        <v>0.17800000000000082</v>
      </c>
      <c r="J366" s="200">
        <f t="shared" si="49"/>
        <v>1.9799999999999179E-2</v>
      </c>
      <c r="K366" s="277">
        <f t="shared" si="50"/>
        <v>10.010111223457624</v>
      </c>
      <c r="L366" s="196">
        <v>10</v>
      </c>
      <c r="M366" s="196">
        <v>43157.395833333336</v>
      </c>
      <c r="N366" s="196">
        <v>43157.569444444445</v>
      </c>
      <c r="O366" s="196" t="s">
        <v>2534</v>
      </c>
      <c r="AB366" s="110"/>
      <c r="AC366" s="110"/>
      <c r="AD366" s="110"/>
      <c r="AE366" s="110"/>
    </row>
    <row r="367" spans="1:31">
      <c r="A367" s="196" t="s">
        <v>1216</v>
      </c>
      <c r="C367" s="196">
        <v>128</v>
      </c>
      <c r="D367" s="196">
        <v>0.35189999999999999</v>
      </c>
      <c r="E367" s="196">
        <v>8.7677999999999994</v>
      </c>
      <c r="F367" s="196">
        <v>0.20730000000000001</v>
      </c>
      <c r="G367" s="196">
        <f t="shared" si="48"/>
        <v>8.9750999999999994</v>
      </c>
      <c r="H367" s="196">
        <v>8.7946000000000009</v>
      </c>
      <c r="I367" s="196">
        <f t="shared" si="47"/>
        <v>0.18049999999999855</v>
      </c>
      <c r="J367" s="200">
        <f t="shared" si="49"/>
        <v>2.6800000000001462E-2</v>
      </c>
      <c r="K367" s="277">
        <f t="shared" si="50"/>
        <v>12.928123492523619</v>
      </c>
      <c r="L367" s="196">
        <v>9</v>
      </c>
      <c r="M367" s="196">
        <v>43157.395833333336</v>
      </c>
      <c r="N367" s="196">
        <v>43157.569444444445</v>
      </c>
      <c r="O367" s="196" t="s">
        <v>2534</v>
      </c>
      <c r="AB367" s="110"/>
      <c r="AC367" s="110"/>
      <c r="AD367" s="110"/>
      <c r="AE367" s="110"/>
    </row>
    <row r="368" spans="1:31">
      <c r="A368" s="196" t="s">
        <v>1215</v>
      </c>
      <c r="C368" s="196">
        <v>148</v>
      </c>
      <c r="P368" s="196" t="s">
        <v>3914</v>
      </c>
      <c r="AB368" s="110"/>
      <c r="AC368" s="110"/>
      <c r="AD368" s="110"/>
      <c r="AE368" s="110"/>
    </row>
    <row r="369" spans="1:31">
      <c r="A369" s="200" t="s">
        <v>1214</v>
      </c>
      <c r="C369" s="200">
        <v>143</v>
      </c>
      <c r="D369" s="200">
        <v>0.42659999999999998</v>
      </c>
      <c r="E369" s="200">
        <v>9.0321999999999996</v>
      </c>
      <c r="F369" s="200">
        <v>0.20749999999999999</v>
      </c>
      <c r="G369" s="200">
        <f t="shared" ref="G369:G400" si="51">E369+F369</f>
        <v>9.2396999999999991</v>
      </c>
      <c r="H369" s="200">
        <v>9.0593000000000004</v>
      </c>
      <c r="I369" s="200">
        <f t="shared" ref="I369:I400" si="52">(G369-H369)</f>
        <v>0.18039999999999878</v>
      </c>
      <c r="J369" s="200">
        <f t="shared" ref="J369:J400" si="53">F369-I369</f>
        <v>2.7100000000001206E-2</v>
      </c>
      <c r="K369" s="277">
        <f t="shared" ref="K369:K400" si="54">(J369/F369)*100</f>
        <v>13.060240963856003</v>
      </c>
      <c r="L369" s="200">
        <v>12</v>
      </c>
      <c r="M369" s="202">
        <v>43171.520833333336</v>
      </c>
      <c r="N369" s="202">
        <v>43171.6875</v>
      </c>
      <c r="O369" s="196" t="s">
        <v>2534</v>
      </c>
      <c r="P369" s="200"/>
      <c r="AB369" s="110"/>
      <c r="AC369" s="110"/>
      <c r="AD369" s="110"/>
      <c r="AE369" s="110"/>
    </row>
    <row r="370" spans="1:31">
      <c r="A370" s="205" t="s">
        <v>1213</v>
      </c>
      <c r="C370" s="200">
        <v>106</v>
      </c>
      <c r="D370" s="201">
        <v>0.39040000000000002</v>
      </c>
      <c r="E370" s="201">
        <v>10.7933</v>
      </c>
      <c r="F370" s="201">
        <v>0.20569999999999999</v>
      </c>
      <c r="G370" s="200">
        <f t="shared" si="51"/>
        <v>10.999000000000001</v>
      </c>
      <c r="H370" s="200">
        <v>10.821999999999999</v>
      </c>
      <c r="I370" s="200">
        <f t="shared" si="52"/>
        <v>0.17700000000000138</v>
      </c>
      <c r="J370" s="200">
        <f t="shared" si="53"/>
        <v>2.8699999999998616E-2</v>
      </c>
      <c r="K370" s="277">
        <f t="shared" si="54"/>
        <v>13.95235780262451</v>
      </c>
      <c r="L370" s="200">
        <v>40</v>
      </c>
      <c r="M370" s="202">
        <v>43181.645833333336</v>
      </c>
      <c r="N370" s="202">
        <v>43181.833333333336</v>
      </c>
      <c r="O370" s="200" t="s">
        <v>2540</v>
      </c>
      <c r="P370" s="200"/>
      <c r="AB370" s="110"/>
      <c r="AC370" s="110"/>
      <c r="AD370" s="110"/>
      <c r="AE370" s="110"/>
    </row>
    <row r="371" spans="1:31">
      <c r="A371" s="196" t="s">
        <v>1212</v>
      </c>
      <c r="C371" s="197">
        <v>29</v>
      </c>
      <c r="D371" s="196">
        <v>0.51539999999999997</v>
      </c>
      <c r="E371" s="200">
        <v>8.1179000000000006</v>
      </c>
      <c r="F371" s="201">
        <v>0.20630000000000001</v>
      </c>
      <c r="G371" s="200">
        <f t="shared" si="51"/>
        <v>8.3242000000000012</v>
      </c>
      <c r="H371" s="200">
        <v>8.1349</v>
      </c>
      <c r="I371" s="200">
        <f t="shared" si="52"/>
        <v>0.18930000000000113</v>
      </c>
      <c r="J371" s="200">
        <f t="shared" si="53"/>
        <v>1.6999999999998877E-2</v>
      </c>
      <c r="K371" s="277">
        <f t="shared" si="54"/>
        <v>8.2404265632568467</v>
      </c>
      <c r="L371" s="200">
        <v>8</v>
      </c>
      <c r="M371" s="203">
        <v>43213</v>
      </c>
      <c r="N371" s="203">
        <v>43213</v>
      </c>
      <c r="AB371" s="110"/>
      <c r="AC371" s="110"/>
      <c r="AD371" s="110"/>
      <c r="AE371" s="110"/>
    </row>
    <row r="372" spans="1:31">
      <c r="A372" s="205" t="s">
        <v>1211</v>
      </c>
      <c r="C372" s="200">
        <v>122</v>
      </c>
      <c r="D372" s="200">
        <v>0.41839999999999999</v>
      </c>
      <c r="E372" s="201">
        <v>8.2185000000000006</v>
      </c>
      <c r="F372" s="201">
        <v>0.20039999999999999</v>
      </c>
      <c r="G372" s="200">
        <f t="shared" si="51"/>
        <v>8.4189000000000007</v>
      </c>
      <c r="H372" s="200">
        <v>8.2510999999999992</v>
      </c>
      <c r="I372" s="200">
        <f t="shared" si="52"/>
        <v>0.1678000000000015</v>
      </c>
      <c r="J372" s="200">
        <f t="shared" si="53"/>
        <v>3.2599999999998491E-2</v>
      </c>
      <c r="K372" s="277">
        <f t="shared" si="54"/>
        <v>16.267465069859526</v>
      </c>
      <c r="L372" s="200">
        <v>7</v>
      </c>
      <c r="M372" s="202">
        <v>43181.645833333336</v>
      </c>
      <c r="N372" s="202">
        <v>43181.833333333336</v>
      </c>
      <c r="O372" s="200" t="s">
        <v>2540</v>
      </c>
      <c r="P372" s="200"/>
      <c r="AB372" s="110"/>
      <c r="AC372" s="110"/>
      <c r="AD372" s="110"/>
      <c r="AE372" s="110"/>
    </row>
    <row r="373" spans="1:31">
      <c r="A373" s="205" t="s">
        <v>1210</v>
      </c>
      <c r="C373" s="200">
        <v>82</v>
      </c>
      <c r="D373" s="200">
        <v>0.53169999999999995</v>
      </c>
      <c r="E373" s="201">
        <v>9.7276000000000007</v>
      </c>
      <c r="F373" s="201">
        <v>0.2026</v>
      </c>
      <c r="G373" s="200">
        <f t="shared" si="51"/>
        <v>9.930200000000001</v>
      </c>
      <c r="H373" s="200">
        <v>9.7446000000000002</v>
      </c>
      <c r="I373" s="200">
        <f t="shared" si="52"/>
        <v>0.18560000000000088</v>
      </c>
      <c r="J373" s="200">
        <f t="shared" si="53"/>
        <v>1.6999999999999127E-2</v>
      </c>
      <c r="K373" s="277">
        <f t="shared" si="54"/>
        <v>8.3909180651525794</v>
      </c>
      <c r="L373" s="200">
        <v>19</v>
      </c>
      <c r="M373" s="204">
        <v>43197</v>
      </c>
      <c r="N373" s="204">
        <v>43197</v>
      </c>
      <c r="O373" s="200"/>
      <c r="P373" s="200"/>
      <c r="AB373" s="110"/>
      <c r="AC373" s="110"/>
      <c r="AD373" s="110"/>
      <c r="AE373" s="110"/>
    </row>
    <row r="374" spans="1:31">
      <c r="A374" s="196" t="s">
        <v>1209</v>
      </c>
      <c r="C374" s="196">
        <v>126</v>
      </c>
      <c r="D374" s="196">
        <v>0.3841</v>
      </c>
      <c r="E374" s="196">
        <v>7.3541999999999996</v>
      </c>
      <c r="F374" s="196">
        <v>0.19570000000000001</v>
      </c>
      <c r="G374" s="196">
        <f t="shared" si="51"/>
        <v>7.5499000000000001</v>
      </c>
      <c r="H374" s="196">
        <v>7.3788</v>
      </c>
      <c r="I374" s="196">
        <f t="shared" si="52"/>
        <v>0.17110000000000003</v>
      </c>
      <c r="J374" s="200">
        <f t="shared" si="53"/>
        <v>2.4599999999999983E-2</v>
      </c>
      <c r="K374" s="277">
        <f t="shared" si="54"/>
        <v>12.570260602963709</v>
      </c>
      <c r="L374" s="196">
        <v>2</v>
      </c>
      <c r="M374" s="196">
        <v>43157.527777777781</v>
      </c>
      <c r="N374" s="196">
        <v>43157.694444444445</v>
      </c>
      <c r="O374" s="196" t="s">
        <v>2540</v>
      </c>
      <c r="AB374" s="110"/>
      <c r="AC374" s="110"/>
      <c r="AD374" s="110"/>
      <c r="AE374" s="110"/>
    </row>
    <row r="375" spans="1:31">
      <c r="A375" s="200" t="s">
        <v>1208</v>
      </c>
      <c r="C375" s="200">
        <v>135</v>
      </c>
      <c r="D375" s="200">
        <f>0.17+F375</f>
        <v>0.37019999999999997</v>
      </c>
      <c r="E375" s="201">
        <v>10.107200000000001</v>
      </c>
      <c r="F375" s="201">
        <v>0.20019999999999999</v>
      </c>
      <c r="G375" s="200">
        <f t="shared" si="51"/>
        <v>10.307400000000001</v>
      </c>
      <c r="H375" s="200">
        <v>10.135999999999999</v>
      </c>
      <c r="I375" s="200">
        <f t="shared" si="52"/>
        <v>0.171400000000002</v>
      </c>
      <c r="J375" s="200">
        <f t="shared" si="53"/>
        <v>2.8799999999997994E-2</v>
      </c>
      <c r="K375" s="277">
        <f t="shared" si="54"/>
        <v>14.385614385613385</v>
      </c>
      <c r="L375" s="200">
        <v>27</v>
      </c>
      <c r="M375" s="204">
        <v>43174</v>
      </c>
      <c r="N375" s="204">
        <v>43174</v>
      </c>
      <c r="O375" s="200" t="s">
        <v>2540</v>
      </c>
      <c r="P375" s="200" t="s">
        <v>2535</v>
      </c>
      <c r="AB375" s="110"/>
      <c r="AC375" s="110"/>
      <c r="AD375" s="110"/>
      <c r="AE375" s="110"/>
    </row>
    <row r="376" spans="1:31">
      <c r="A376" s="205" t="s">
        <v>1205</v>
      </c>
      <c r="C376" s="200">
        <v>108</v>
      </c>
      <c r="D376" s="200">
        <v>0.3609</v>
      </c>
      <c r="E376" s="201">
        <v>7.7736000000000001</v>
      </c>
      <c r="F376" s="201">
        <v>0.2011</v>
      </c>
      <c r="G376" s="200">
        <f t="shared" si="51"/>
        <v>7.9747000000000003</v>
      </c>
      <c r="H376" s="200">
        <v>7.7999000000000001</v>
      </c>
      <c r="I376" s="200">
        <f t="shared" si="52"/>
        <v>0.17480000000000029</v>
      </c>
      <c r="J376" s="200">
        <f t="shared" si="53"/>
        <v>2.6299999999999712E-2</v>
      </c>
      <c r="K376" s="277">
        <f t="shared" si="54"/>
        <v>13.078070611635859</v>
      </c>
      <c r="L376" s="200">
        <v>38</v>
      </c>
      <c r="M376" s="206">
        <v>43186.458333333336</v>
      </c>
      <c r="N376" s="206">
        <v>43186.625</v>
      </c>
      <c r="O376" s="196" t="s">
        <v>2534</v>
      </c>
      <c r="P376" s="200"/>
      <c r="AB376" s="110"/>
      <c r="AC376" s="110"/>
      <c r="AD376" s="110"/>
      <c r="AE376" s="110"/>
    </row>
    <row r="377" spans="1:31">
      <c r="A377" s="196" t="s">
        <v>1204</v>
      </c>
      <c r="C377" s="196">
        <v>133</v>
      </c>
      <c r="D377" s="196">
        <v>0.38790000000000002</v>
      </c>
      <c r="E377" s="196">
        <v>9.0521999999999991</v>
      </c>
      <c r="F377" s="196">
        <v>0.20130000000000001</v>
      </c>
      <c r="G377" s="196">
        <f t="shared" si="51"/>
        <v>9.2534999999999989</v>
      </c>
      <c r="H377" s="196">
        <v>9.0749999999999993</v>
      </c>
      <c r="I377" s="196">
        <f t="shared" si="52"/>
        <v>0.17849999999999966</v>
      </c>
      <c r="J377" s="200">
        <f t="shared" si="53"/>
        <v>2.2800000000000348E-2</v>
      </c>
      <c r="K377" s="277">
        <f t="shared" si="54"/>
        <v>11.326378539493467</v>
      </c>
      <c r="L377" s="196">
        <v>17</v>
      </c>
      <c r="M377" s="196">
        <v>43157.395833333336</v>
      </c>
      <c r="N377" s="196">
        <v>43157.569444444445</v>
      </c>
      <c r="O377" s="196" t="s">
        <v>2534</v>
      </c>
      <c r="AB377" s="110"/>
      <c r="AC377" s="110"/>
      <c r="AD377" s="110"/>
      <c r="AE377" s="110"/>
    </row>
    <row r="378" spans="1:31">
      <c r="A378" s="196" t="s">
        <v>1203</v>
      </c>
      <c r="C378" s="197">
        <v>97</v>
      </c>
      <c r="D378" s="196">
        <v>0.42770000000000002</v>
      </c>
      <c r="E378" s="201">
        <v>10.921200000000001</v>
      </c>
      <c r="F378" s="201">
        <v>0.20860000000000001</v>
      </c>
      <c r="G378" s="200">
        <f t="shared" si="51"/>
        <v>11.129800000000001</v>
      </c>
      <c r="H378" s="200">
        <v>10.9663</v>
      </c>
      <c r="I378" s="200">
        <f t="shared" si="52"/>
        <v>0.16350000000000087</v>
      </c>
      <c r="J378" s="200">
        <f t="shared" si="53"/>
        <v>4.5099999999999141E-2</v>
      </c>
      <c r="K378" s="277">
        <f t="shared" si="54"/>
        <v>21.620325982741679</v>
      </c>
      <c r="L378" s="200">
        <v>11</v>
      </c>
      <c r="AB378" s="110"/>
      <c r="AC378" s="110"/>
      <c r="AD378" s="110"/>
      <c r="AE378" s="110"/>
    </row>
    <row r="379" spans="1:31">
      <c r="A379" s="196" t="s">
        <v>1201</v>
      </c>
      <c r="C379" s="196">
        <v>220</v>
      </c>
      <c r="D379" s="196">
        <v>0.46010000000000001</v>
      </c>
      <c r="E379" s="201">
        <v>7.9047999999999998</v>
      </c>
      <c r="F379" s="201">
        <v>0.20230000000000001</v>
      </c>
      <c r="G379" s="200">
        <f t="shared" si="51"/>
        <v>8.1070999999999991</v>
      </c>
      <c r="H379" s="200">
        <v>7.9282000000000004</v>
      </c>
      <c r="I379" s="200">
        <f t="shared" si="52"/>
        <v>0.17889999999999873</v>
      </c>
      <c r="J379" s="200">
        <f t="shared" si="53"/>
        <v>2.3400000000001281E-2</v>
      </c>
      <c r="K379" s="277">
        <f t="shared" si="54"/>
        <v>11.566979733070331</v>
      </c>
      <c r="L379" s="200">
        <v>17</v>
      </c>
      <c r="AB379" s="110"/>
      <c r="AC379" s="110"/>
      <c r="AD379" s="110"/>
      <c r="AE379" s="110"/>
    </row>
    <row r="380" spans="1:31">
      <c r="A380" s="205" t="s">
        <v>1200</v>
      </c>
      <c r="C380" s="200">
        <v>142</v>
      </c>
      <c r="D380" s="200">
        <v>0.5554</v>
      </c>
      <c r="E380" s="201">
        <v>8.7684999999999995</v>
      </c>
      <c r="F380" s="201">
        <v>0.20230000000000001</v>
      </c>
      <c r="G380" s="200">
        <f t="shared" si="51"/>
        <v>8.9707999999999988</v>
      </c>
      <c r="H380" s="200">
        <v>8.7984000000000009</v>
      </c>
      <c r="I380" s="200">
        <f t="shared" si="52"/>
        <v>0.17239999999999789</v>
      </c>
      <c r="J380" s="200">
        <f t="shared" si="53"/>
        <v>2.9900000000002119E-2</v>
      </c>
      <c r="K380" s="277">
        <f t="shared" si="54"/>
        <v>14.780029658923441</v>
      </c>
      <c r="L380" s="200">
        <v>2</v>
      </c>
      <c r="M380" s="206">
        <v>43186.458333333336</v>
      </c>
      <c r="N380" s="206">
        <v>43186.625</v>
      </c>
      <c r="O380" s="196" t="s">
        <v>2534</v>
      </c>
      <c r="P380" s="200"/>
      <c r="AB380" s="110"/>
      <c r="AC380" s="110"/>
      <c r="AD380" s="110"/>
      <c r="AE380" s="110"/>
    </row>
    <row r="381" spans="1:31">
      <c r="A381" s="196" t="s">
        <v>1198</v>
      </c>
      <c r="C381" s="196">
        <v>112</v>
      </c>
      <c r="D381" s="196">
        <v>0.48280000000000001</v>
      </c>
      <c r="E381" s="196">
        <v>20.991</v>
      </c>
      <c r="F381" s="196">
        <v>0.20369999999999999</v>
      </c>
      <c r="G381" s="196">
        <f t="shared" si="51"/>
        <v>21.194700000000001</v>
      </c>
      <c r="H381" s="196">
        <v>21.018999999999998</v>
      </c>
      <c r="I381" s="196">
        <f t="shared" si="52"/>
        <v>0.17570000000000263</v>
      </c>
      <c r="J381" s="200">
        <f t="shared" si="53"/>
        <v>2.799999999999736E-2</v>
      </c>
      <c r="K381" s="277">
        <f t="shared" si="54"/>
        <v>13.745704467352656</v>
      </c>
      <c r="L381" s="196">
        <v>12</v>
      </c>
      <c r="M381" s="196" t="s">
        <v>2560</v>
      </c>
      <c r="N381" s="196">
        <v>43153.729166666664</v>
      </c>
      <c r="O381" s="196" t="s">
        <v>2534</v>
      </c>
      <c r="P381" s="196" t="s">
        <v>2558</v>
      </c>
      <c r="AB381" s="110"/>
      <c r="AC381" s="110"/>
      <c r="AD381" s="110"/>
      <c r="AE381" s="110"/>
    </row>
    <row r="382" spans="1:31">
      <c r="A382" s="196" t="s">
        <v>1197</v>
      </c>
      <c r="C382" s="197">
        <v>152</v>
      </c>
      <c r="D382" s="196">
        <v>0.38779999999999998</v>
      </c>
      <c r="E382" s="201">
        <v>10.794</v>
      </c>
      <c r="F382" s="201">
        <v>0.2019</v>
      </c>
      <c r="G382" s="200">
        <f t="shared" si="51"/>
        <v>10.995900000000001</v>
      </c>
      <c r="H382" s="200">
        <v>10.836</v>
      </c>
      <c r="I382" s="200">
        <f t="shared" si="52"/>
        <v>0.15990000000000038</v>
      </c>
      <c r="J382" s="200">
        <f t="shared" si="53"/>
        <v>4.1999999999999621E-2</v>
      </c>
      <c r="K382" s="277">
        <f t="shared" si="54"/>
        <v>20.802377414561477</v>
      </c>
      <c r="L382" s="200">
        <v>35</v>
      </c>
      <c r="M382" s="203">
        <v>43221</v>
      </c>
      <c r="N382" s="203">
        <v>43221</v>
      </c>
      <c r="AB382" s="110"/>
      <c r="AC382" s="110"/>
      <c r="AD382" s="110"/>
      <c r="AE382" s="110"/>
    </row>
    <row r="383" spans="1:31">
      <c r="A383" s="200" t="s">
        <v>1194</v>
      </c>
      <c r="C383" s="200">
        <v>51</v>
      </c>
      <c r="D383" s="201">
        <v>0.56730000000000003</v>
      </c>
      <c r="E383" s="200">
        <v>10.153600000000001</v>
      </c>
      <c r="F383" s="201">
        <v>0.20530000000000001</v>
      </c>
      <c r="G383" s="200">
        <f t="shared" si="51"/>
        <v>10.3589</v>
      </c>
      <c r="H383" s="200">
        <v>10.173299999999999</v>
      </c>
      <c r="I383" s="200">
        <f t="shared" si="52"/>
        <v>0.18560000000000088</v>
      </c>
      <c r="J383" s="200">
        <f t="shared" si="53"/>
        <v>1.9699999999999135E-2</v>
      </c>
      <c r="K383" s="277">
        <f t="shared" si="54"/>
        <v>9.5957135898680637</v>
      </c>
      <c r="L383" s="200">
        <v>23</v>
      </c>
      <c r="M383" s="200"/>
      <c r="N383" s="200"/>
      <c r="O383" s="200"/>
      <c r="P383" s="200"/>
      <c r="R383" s="196">
        <v>9</v>
      </c>
      <c r="S383" s="196">
        <v>0.63880000000000003</v>
      </c>
      <c r="U383" s="201" t="s">
        <v>640</v>
      </c>
      <c r="V383" s="196">
        <v>0.68730000000000002</v>
      </c>
      <c r="W383" s="196">
        <f>(V383-$T$175+F381)</f>
        <v>0.89100000000000001</v>
      </c>
      <c r="AB383" s="110"/>
      <c r="AC383" s="110"/>
      <c r="AD383" s="110"/>
      <c r="AE383" s="110"/>
    </row>
    <row r="384" spans="1:31">
      <c r="A384" s="200" t="s">
        <v>1193</v>
      </c>
      <c r="C384" s="200">
        <v>137</v>
      </c>
      <c r="D384" s="201">
        <v>0.41739999999999999</v>
      </c>
      <c r="E384" s="200">
        <v>9.0518999999999998</v>
      </c>
      <c r="F384" s="201">
        <v>0.20660000000000001</v>
      </c>
      <c r="G384" s="200">
        <f t="shared" si="51"/>
        <v>9.2584999999999997</v>
      </c>
      <c r="H384" s="200">
        <v>9.0825999999999993</v>
      </c>
      <c r="I384" s="200">
        <f t="shared" si="52"/>
        <v>0.17590000000000039</v>
      </c>
      <c r="J384" s="200">
        <f t="shared" si="53"/>
        <v>3.0699999999999616E-2</v>
      </c>
      <c r="K384" s="277">
        <f t="shared" si="54"/>
        <v>14.85963213939962</v>
      </c>
      <c r="L384" s="200">
        <v>27</v>
      </c>
      <c r="M384" s="204">
        <v>43206</v>
      </c>
      <c r="N384" s="204">
        <v>43206</v>
      </c>
      <c r="O384" s="200"/>
      <c r="P384" s="200"/>
      <c r="AB384" s="110"/>
      <c r="AC384" s="110"/>
      <c r="AD384" s="110"/>
      <c r="AE384" s="110"/>
    </row>
    <row r="385" spans="1:31">
      <c r="A385" s="196" t="s">
        <v>1192</v>
      </c>
      <c r="C385" s="196">
        <v>215</v>
      </c>
      <c r="D385" s="196">
        <v>0.50380000000000003</v>
      </c>
      <c r="E385" s="201">
        <v>9.8874999999999993</v>
      </c>
      <c r="F385" s="201">
        <v>0.20039999999999999</v>
      </c>
      <c r="G385" s="200">
        <f t="shared" si="51"/>
        <v>10.087899999999999</v>
      </c>
      <c r="H385" s="200">
        <v>9.9017999999999997</v>
      </c>
      <c r="I385" s="200">
        <f t="shared" si="52"/>
        <v>0.18609999999999971</v>
      </c>
      <c r="J385" s="200">
        <f t="shared" si="53"/>
        <v>1.4300000000000285E-2</v>
      </c>
      <c r="K385" s="277">
        <f t="shared" si="54"/>
        <v>7.1357285429143147</v>
      </c>
      <c r="L385" s="200">
        <v>24</v>
      </c>
      <c r="M385" s="203">
        <v>43221</v>
      </c>
      <c r="N385" s="203">
        <v>43221</v>
      </c>
      <c r="AB385" s="110"/>
      <c r="AC385" s="110"/>
      <c r="AD385" s="110"/>
      <c r="AE385" s="110"/>
    </row>
    <row r="386" spans="1:31">
      <c r="A386" s="200" t="s">
        <v>1191</v>
      </c>
      <c r="C386" s="200">
        <v>155</v>
      </c>
      <c r="D386" s="201">
        <v>0.46060000000000001</v>
      </c>
      <c r="E386" s="200">
        <v>9.0318000000000005</v>
      </c>
      <c r="F386" s="201">
        <v>0.2041</v>
      </c>
      <c r="G386" s="200">
        <f t="shared" si="51"/>
        <v>9.2359000000000009</v>
      </c>
      <c r="H386" s="200">
        <v>9.0668000000000006</v>
      </c>
      <c r="I386" s="200">
        <f t="shared" si="52"/>
        <v>0.16910000000000025</v>
      </c>
      <c r="J386" s="200">
        <f t="shared" si="53"/>
        <v>3.4999999999999754E-2</v>
      </c>
      <c r="K386" s="277">
        <f t="shared" si="54"/>
        <v>17.148456638902378</v>
      </c>
      <c r="L386" s="200">
        <v>24</v>
      </c>
      <c r="M386" s="204">
        <v>43206</v>
      </c>
      <c r="N386" s="204">
        <v>43206</v>
      </c>
      <c r="O386" s="200"/>
      <c r="P386" s="200"/>
      <c r="AB386" s="110"/>
      <c r="AC386" s="110"/>
      <c r="AD386" s="110"/>
      <c r="AE386" s="110"/>
    </row>
    <row r="387" spans="1:31">
      <c r="A387" s="205" t="s">
        <v>1190</v>
      </c>
      <c r="C387" s="200">
        <v>122</v>
      </c>
      <c r="D387" s="200">
        <v>0.55149999999999999</v>
      </c>
      <c r="E387" s="201">
        <v>8.1179000000000006</v>
      </c>
      <c r="F387" s="201">
        <v>0.20180000000000001</v>
      </c>
      <c r="G387" s="200">
        <f t="shared" si="51"/>
        <v>8.319700000000001</v>
      </c>
      <c r="H387" s="200">
        <v>8.1837</v>
      </c>
      <c r="I387" s="200">
        <f t="shared" si="52"/>
        <v>0.13600000000000101</v>
      </c>
      <c r="J387" s="200">
        <f t="shared" si="53"/>
        <v>6.5799999999998998E-2</v>
      </c>
      <c r="K387" s="277">
        <f t="shared" si="54"/>
        <v>32.606541129831015</v>
      </c>
      <c r="L387" s="200">
        <v>8</v>
      </c>
      <c r="M387" s="202">
        <v>43181.645833333336</v>
      </c>
      <c r="N387" s="202">
        <v>43181.833333333336</v>
      </c>
      <c r="O387" s="200" t="s">
        <v>2540</v>
      </c>
      <c r="P387" s="200"/>
      <c r="AB387" s="110"/>
      <c r="AC387" s="110"/>
      <c r="AD387" s="110"/>
      <c r="AE387" s="110"/>
    </row>
    <row r="388" spans="1:31">
      <c r="A388" s="196" t="s">
        <v>1189</v>
      </c>
      <c r="C388" s="196">
        <v>105</v>
      </c>
      <c r="D388" s="196">
        <v>0.39269999999999999</v>
      </c>
      <c r="E388" s="196">
        <v>20.041599999999999</v>
      </c>
      <c r="F388" s="196">
        <v>0.11600000000000001</v>
      </c>
      <c r="G388" s="196">
        <f t="shared" si="51"/>
        <v>20.157599999999999</v>
      </c>
      <c r="H388" s="196">
        <v>20.065300000000001</v>
      </c>
      <c r="I388" s="196">
        <f t="shared" si="52"/>
        <v>9.229999999999805E-2</v>
      </c>
      <c r="J388" s="200">
        <f t="shared" si="53"/>
        <v>2.3700000000001956E-2</v>
      </c>
      <c r="K388" s="277">
        <f t="shared" si="54"/>
        <v>20.431034482760303</v>
      </c>
      <c r="L388" s="196">
        <v>9</v>
      </c>
      <c r="M388" s="196" t="s">
        <v>2560</v>
      </c>
      <c r="N388" s="196">
        <v>43153.729166666664</v>
      </c>
      <c r="O388" s="196" t="s">
        <v>2534</v>
      </c>
      <c r="P388" s="196" t="s">
        <v>2559</v>
      </c>
      <c r="AB388" s="110"/>
      <c r="AC388" s="110"/>
      <c r="AD388" s="110"/>
      <c r="AE388" s="110"/>
    </row>
    <row r="389" spans="1:31">
      <c r="A389" s="196" t="s">
        <v>1187</v>
      </c>
      <c r="C389" s="197">
        <v>193</v>
      </c>
      <c r="D389" s="196">
        <v>0.46110000000000001</v>
      </c>
      <c r="E389" s="201">
        <v>10.116099999999999</v>
      </c>
      <c r="F389" s="201">
        <v>0.20549999999999999</v>
      </c>
      <c r="G389" s="200">
        <f t="shared" si="51"/>
        <v>10.3216</v>
      </c>
      <c r="H389" s="200">
        <v>10.132999999999999</v>
      </c>
      <c r="I389" s="200">
        <f t="shared" si="52"/>
        <v>0.18860000000000099</v>
      </c>
      <c r="J389" s="200">
        <f t="shared" si="53"/>
        <v>1.6899999999998999E-2</v>
      </c>
      <c r="K389" s="277">
        <f t="shared" si="54"/>
        <v>8.2238442822379554</v>
      </c>
      <c r="L389" s="200">
        <v>27</v>
      </c>
      <c r="M389" s="203">
        <v>43221</v>
      </c>
      <c r="N389" s="203">
        <v>43221</v>
      </c>
      <c r="AB389" s="110"/>
      <c r="AC389" s="110"/>
      <c r="AD389" s="110"/>
      <c r="AE389" s="110"/>
    </row>
    <row r="390" spans="1:31">
      <c r="A390" s="196" t="s">
        <v>1186</v>
      </c>
      <c r="C390" s="197">
        <v>25</v>
      </c>
      <c r="D390" s="196">
        <v>0.46579999999999999</v>
      </c>
      <c r="E390" s="200">
        <v>8.2188999999999997</v>
      </c>
      <c r="F390" s="201">
        <v>0.20449999999999999</v>
      </c>
      <c r="G390" s="200">
        <f t="shared" si="51"/>
        <v>8.4233999999999991</v>
      </c>
      <c r="H390" s="200">
        <v>8.2508999999999997</v>
      </c>
      <c r="I390" s="200">
        <f t="shared" si="52"/>
        <v>0.17249999999999943</v>
      </c>
      <c r="J390" s="200">
        <f t="shared" si="53"/>
        <v>3.2000000000000556E-2</v>
      </c>
      <c r="K390" s="277">
        <f t="shared" si="54"/>
        <v>15.647921760391469</v>
      </c>
      <c r="L390" s="200">
        <v>20</v>
      </c>
      <c r="M390" s="203">
        <v>43212</v>
      </c>
      <c r="AB390" s="110"/>
      <c r="AC390" s="110"/>
      <c r="AD390" s="110"/>
      <c r="AE390" s="110"/>
    </row>
    <row r="391" spans="1:31">
      <c r="A391" s="200" t="s">
        <v>1185</v>
      </c>
      <c r="C391" s="200">
        <v>173</v>
      </c>
      <c r="D391" s="201">
        <v>0.45369999999999999</v>
      </c>
      <c r="E391" s="201">
        <v>9.0315999999999992</v>
      </c>
      <c r="F391" s="201">
        <v>0.20019999999999999</v>
      </c>
      <c r="G391" s="200">
        <f t="shared" si="51"/>
        <v>9.2317999999999998</v>
      </c>
      <c r="H391" s="200">
        <v>9.0498999999999992</v>
      </c>
      <c r="I391" s="200">
        <f t="shared" si="52"/>
        <v>0.18190000000000062</v>
      </c>
      <c r="J391" s="200">
        <f t="shared" si="53"/>
        <v>1.8299999999999372E-2</v>
      </c>
      <c r="K391" s="277">
        <f t="shared" si="54"/>
        <v>9.1408591408588276</v>
      </c>
      <c r="L391" s="200">
        <v>23</v>
      </c>
      <c r="M391" s="202">
        <v>43181.645833333336</v>
      </c>
      <c r="N391" s="202">
        <v>43181.833333333336</v>
      </c>
      <c r="O391" s="200" t="s">
        <v>2540</v>
      </c>
      <c r="P391" s="205" t="s">
        <v>2545</v>
      </c>
      <c r="AB391" s="110"/>
      <c r="AC391" s="110"/>
      <c r="AD391" s="110"/>
      <c r="AE391" s="110"/>
    </row>
    <row r="392" spans="1:31">
      <c r="A392" s="205" t="s">
        <v>1183</v>
      </c>
      <c r="C392" s="200">
        <v>124</v>
      </c>
      <c r="D392" s="200">
        <v>0.56330000000000002</v>
      </c>
      <c r="E392" s="201">
        <v>9.8217999999999996</v>
      </c>
      <c r="F392" s="201">
        <v>0.20699999999999999</v>
      </c>
      <c r="G392" s="200">
        <f t="shared" si="51"/>
        <v>10.0288</v>
      </c>
      <c r="H392" s="200">
        <v>9.8872</v>
      </c>
      <c r="I392" s="200">
        <f t="shared" si="52"/>
        <v>0.14160000000000039</v>
      </c>
      <c r="J392" s="200">
        <f t="shared" si="53"/>
        <v>6.5399999999999597E-2</v>
      </c>
      <c r="K392" s="277">
        <f t="shared" si="54"/>
        <v>31.594202898550535</v>
      </c>
      <c r="L392" s="200">
        <v>9</v>
      </c>
      <c r="M392" s="206">
        <v>43185.385416666664</v>
      </c>
      <c r="N392" s="200"/>
      <c r="O392" s="200" t="s">
        <v>2540</v>
      </c>
      <c r="P392" s="200"/>
      <c r="AB392" s="110"/>
      <c r="AC392" s="110"/>
      <c r="AD392" s="110"/>
      <c r="AE392" s="110"/>
    </row>
    <row r="393" spans="1:31">
      <c r="A393" s="200" t="s">
        <v>1181</v>
      </c>
      <c r="C393" s="200">
        <v>103</v>
      </c>
      <c r="D393" s="201">
        <v>0.40189999999999998</v>
      </c>
      <c r="E393" s="200">
        <v>10.9217</v>
      </c>
      <c r="F393" s="201">
        <v>0.20250000000000001</v>
      </c>
      <c r="G393" s="200">
        <f t="shared" si="51"/>
        <v>11.1242</v>
      </c>
      <c r="H393" s="200">
        <v>10.9499</v>
      </c>
      <c r="I393" s="200">
        <f t="shared" si="52"/>
        <v>0.17430000000000057</v>
      </c>
      <c r="J393" s="200">
        <f t="shared" si="53"/>
        <v>2.8199999999999448E-2</v>
      </c>
      <c r="K393" s="277">
        <f t="shared" si="54"/>
        <v>13.925925925925654</v>
      </c>
      <c r="L393" s="200">
        <v>28</v>
      </c>
      <c r="M393" s="200"/>
      <c r="N393" s="200"/>
      <c r="O393" s="200"/>
      <c r="P393" s="200"/>
      <c r="AB393" s="110"/>
      <c r="AC393" s="110"/>
      <c r="AD393" s="110"/>
      <c r="AE393" s="110"/>
    </row>
    <row r="394" spans="1:31">
      <c r="A394" s="196" t="s">
        <v>1179</v>
      </c>
      <c r="C394" s="197">
        <v>210</v>
      </c>
      <c r="D394" s="196">
        <v>0.60350000000000004</v>
      </c>
      <c r="E394" s="201">
        <v>10.697900000000001</v>
      </c>
      <c r="F394" s="201">
        <v>0.2016</v>
      </c>
      <c r="G394" s="200">
        <f t="shared" si="51"/>
        <v>10.8995</v>
      </c>
      <c r="H394" s="200">
        <v>10.7323</v>
      </c>
      <c r="I394" s="200">
        <f t="shared" si="52"/>
        <v>0.16719999999999935</v>
      </c>
      <c r="J394" s="200">
        <f t="shared" si="53"/>
        <v>3.4400000000000652E-2</v>
      </c>
      <c r="K394" s="277">
        <f t="shared" si="54"/>
        <v>17.063492063492387</v>
      </c>
      <c r="L394" s="200">
        <v>21</v>
      </c>
      <c r="AB394" s="110"/>
      <c r="AC394" s="110"/>
      <c r="AD394" s="110"/>
      <c r="AE394" s="110"/>
    </row>
    <row r="395" spans="1:31">
      <c r="A395" s="196" t="s">
        <v>1175</v>
      </c>
      <c r="C395" s="197">
        <v>101</v>
      </c>
      <c r="D395" s="196">
        <v>0.43169999999999997</v>
      </c>
      <c r="E395" s="201">
        <v>9.7734000000000005</v>
      </c>
      <c r="F395" s="201">
        <v>0.20599999999999999</v>
      </c>
      <c r="G395" s="200">
        <f t="shared" si="51"/>
        <v>9.9794</v>
      </c>
      <c r="H395" s="200">
        <v>9.8017000000000003</v>
      </c>
      <c r="I395" s="200">
        <f t="shared" si="52"/>
        <v>0.17769999999999975</v>
      </c>
      <c r="J395" s="200">
        <f t="shared" si="53"/>
        <v>2.8300000000000242E-2</v>
      </c>
      <c r="K395" s="277">
        <f t="shared" si="54"/>
        <v>13.73786407767002</v>
      </c>
      <c r="L395" s="200">
        <v>6</v>
      </c>
      <c r="AB395" s="110"/>
      <c r="AC395" s="110"/>
      <c r="AD395" s="110"/>
      <c r="AE395" s="110"/>
    </row>
    <row r="396" spans="1:31">
      <c r="A396" s="205" t="s">
        <v>1174</v>
      </c>
      <c r="C396" s="200">
        <v>160</v>
      </c>
      <c r="D396" s="200">
        <v>0.47570000000000001</v>
      </c>
      <c r="E396" s="200">
        <v>8.3545999999999996</v>
      </c>
      <c r="F396" s="201">
        <v>0.20019999999999999</v>
      </c>
      <c r="G396" s="200">
        <f t="shared" si="51"/>
        <v>8.5548000000000002</v>
      </c>
      <c r="H396" s="200">
        <v>8.3789999999999996</v>
      </c>
      <c r="I396" s="200">
        <f t="shared" si="52"/>
        <v>0.17580000000000062</v>
      </c>
      <c r="J396" s="200">
        <f t="shared" si="53"/>
        <v>2.4399999999999367E-2</v>
      </c>
      <c r="K396" s="277">
        <f t="shared" si="54"/>
        <v>12.187812187811872</v>
      </c>
      <c r="L396" s="200">
        <v>17</v>
      </c>
      <c r="M396" s="204">
        <v>43211</v>
      </c>
      <c r="AB396" s="110"/>
      <c r="AC396" s="110"/>
      <c r="AD396" s="110"/>
      <c r="AE396" s="110"/>
    </row>
    <row r="397" spans="1:31">
      <c r="A397" s="200" t="s">
        <v>1173</v>
      </c>
      <c r="C397" s="200">
        <v>199</v>
      </c>
      <c r="D397" s="201">
        <v>0.4622</v>
      </c>
      <c r="E397" s="201">
        <v>11.1212</v>
      </c>
      <c r="F397" s="201">
        <v>0.2011</v>
      </c>
      <c r="G397" s="200">
        <f t="shared" si="51"/>
        <v>11.3223</v>
      </c>
      <c r="H397" s="200">
        <v>11.144600000000001</v>
      </c>
      <c r="I397" s="200">
        <f t="shared" si="52"/>
        <v>0.17769999999999975</v>
      </c>
      <c r="J397" s="200">
        <f t="shared" si="53"/>
        <v>2.3400000000000254E-2</v>
      </c>
      <c r="K397" s="277">
        <f t="shared" si="54"/>
        <v>11.636001989060295</v>
      </c>
      <c r="L397" s="200">
        <v>4</v>
      </c>
      <c r="M397" s="200"/>
      <c r="N397" s="200"/>
      <c r="O397" s="200"/>
      <c r="P397" s="200"/>
      <c r="AB397" s="110"/>
      <c r="AC397" s="110"/>
      <c r="AD397" s="110"/>
      <c r="AE397" s="110"/>
    </row>
    <row r="398" spans="1:31">
      <c r="A398" s="200" t="s">
        <v>1172</v>
      </c>
      <c r="C398" s="200">
        <v>147</v>
      </c>
      <c r="D398" s="200">
        <v>0.42459999999999998</v>
      </c>
      <c r="E398" s="201">
        <v>7.9916999999999998</v>
      </c>
      <c r="F398" s="201">
        <v>0.2036</v>
      </c>
      <c r="G398" s="200">
        <f t="shared" si="51"/>
        <v>8.1952999999999996</v>
      </c>
      <c r="H398" s="200">
        <v>8.0297000000000001</v>
      </c>
      <c r="I398" s="200">
        <f t="shared" si="52"/>
        <v>0.16559999999999953</v>
      </c>
      <c r="J398" s="200">
        <f t="shared" si="53"/>
        <v>3.8000000000000478E-2</v>
      </c>
      <c r="K398" s="277">
        <f t="shared" si="54"/>
        <v>18.664047151277249</v>
      </c>
      <c r="L398" s="200">
        <v>23</v>
      </c>
      <c r="M398" s="204">
        <v>43197</v>
      </c>
      <c r="N398" s="204">
        <v>43197</v>
      </c>
      <c r="O398" s="200"/>
      <c r="P398" s="200"/>
      <c r="AB398" s="110"/>
      <c r="AC398" s="110"/>
      <c r="AD398" s="110"/>
      <c r="AE398" s="110"/>
    </row>
    <row r="399" spans="1:31">
      <c r="A399" s="200" t="s">
        <v>1170</v>
      </c>
      <c r="C399" s="200">
        <v>139</v>
      </c>
      <c r="D399" s="200">
        <v>0.51780000000000004</v>
      </c>
      <c r="E399" s="201">
        <v>11.443300000000001</v>
      </c>
      <c r="F399" s="201">
        <v>0.20019999999999999</v>
      </c>
      <c r="G399" s="200">
        <f t="shared" si="51"/>
        <v>11.643500000000001</v>
      </c>
      <c r="H399" s="200">
        <v>11.4955</v>
      </c>
      <c r="I399" s="200">
        <f t="shared" si="52"/>
        <v>0.14800000000000146</v>
      </c>
      <c r="J399" s="200">
        <f t="shared" si="53"/>
        <v>5.2199999999998525E-2</v>
      </c>
      <c r="K399" s="277">
        <f t="shared" si="54"/>
        <v>26.073926073925342</v>
      </c>
      <c r="L399" s="200">
        <v>7</v>
      </c>
      <c r="M399" s="204">
        <v>43199</v>
      </c>
      <c r="N399" s="204">
        <v>43199</v>
      </c>
      <c r="O399" s="200"/>
      <c r="P399" s="200"/>
      <c r="AB399" s="110"/>
      <c r="AC399" s="110"/>
      <c r="AD399" s="110"/>
      <c r="AE399" s="110"/>
    </row>
    <row r="400" spans="1:31">
      <c r="A400" s="200" t="s">
        <v>1169</v>
      </c>
      <c r="C400" s="200">
        <v>104</v>
      </c>
      <c r="D400" s="200">
        <f>0.2214+F400</f>
        <v>0.42859999999999998</v>
      </c>
      <c r="E400" s="201">
        <v>11.4434</v>
      </c>
      <c r="F400" s="201">
        <v>0.2072</v>
      </c>
      <c r="G400" s="200">
        <f t="shared" si="51"/>
        <v>11.650600000000001</v>
      </c>
      <c r="H400" s="200">
        <v>11.471299999999999</v>
      </c>
      <c r="I400" s="200">
        <f t="shared" si="52"/>
        <v>0.17930000000000135</v>
      </c>
      <c r="J400" s="200">
        <f t="shared" si="53"/>
        <v>2.7899999999998648E-2</v>
      </c>
      <c r="K400" s="277">
        <f t="shared" si="54"/>
        <v>13.465250965250315</v>
      </c>
      <c r="L400" s="200">
        <v>28</v>
      </c>
      <c r="M400" s="204">
        <v>43174</v>
      </c>
      <c r="N400" s="204">
        <v>43174</v>
      </c>
      <c r="O400" s="200" t="s">
        <v>2540</v>
      </c>
      <c r="P400" s="200" t="s">
        <v>2535</v>
      </c>
      <c r="AB400" s="110"/>
      <c r="AC400" s="110"/>
      <c r="AD400" s="110"/>
      <c r="AE400" s="110"/>
    </row>
    <row r="401" spans="1:31">
      <c r="A401" s="196" t="s">
        <v>1168</v>
      </c>
      <c r="C401" s="197">
        <v>110</v>
      </c>
      <c r="D401" s="196">
        <v>0.41610000000000003</v>
      </c>
      <c r="E401" s="201">
        <v>10.793100000000001</v>
      </c>
      <c r="F401" s="201">
        <v>0.20150000000000001</v>
      </c>
      <c r="G401" s="200">
        <f t="shared" ref="G401:G421" si="55">E401+F401</f>
        <v>10.9946</v>
      </c>
      <c r="H401" s="200">
        <v>10.819900000000001</v>
      </c>
      <c r="I401" s="200">
        <f t="shared" ref="I401:I421" si="56">(G401-H401)</f>
        <v>0.17469999999999963</v>
      </c>
      <c r="J401" s="200">
        <f t="shared" ref="J401:J421" si="57">F401-I401</f>
        <v>2.6800000000000379E-2</v>
      </c>
      <c r="K401" s="277">
        <f t="shared" ref="K401:K421" si="58">(J401/F401)*100</f>
        <v>13.300248138958004</v>
      </c>
      <c r="L401" s="200">
        <v>5</v>
      </c>
      <c r="AB401" s="110"/>
      <c r="AC401" s="110"/>
      <c r="AD401" s="110"/>
      <c r="AE401" s="110"/>
    </row>
    <row r="402" spans="1:31">
      <c r="A402" s="205" t="s">
        <v>1167</v>
      </c>
      <c r="C402" s="200">
        <v>108</v>
      </c>
      <c r="D402" s="200">
        <v>0.43359999999999999</v>
      </c>
      <c r="E402" s="201">
        <v>8.0639000000000003</v>
      </c>
      <c r="F402" s="201">
        <v>0.20230000000000001</v>
      </c>
      <c r="G402" s="200">
        <f t="shared" si="55"/>
        <v>8.2661999999999995</v>
      </c>
      <c r="H402" s="200">
        <v>8.0939999999999994</v>
      </c>
      <c r="I402" s="200">
        <f t="shared" si="56"/>
        <v>0.17220000000000013</v>
      </c>
      <c r="J402" s="200">
        <f t="shared" si="57"/>
        <v>3.0099999999999877E-2</v>
      </c>
      <c r="K402" s="277">
        <f t="shared" si="58"/>
        <v>14.878892733563953</v>
      </c>
      <c r="L402" s="200">
        <v>39</v>
      </c>
      <c r="M402" s="206">
        <v>43186.458333333336</v>
      </c>
      <c r="N402" s="206">
        <v>43186.625</v>
      </c>
      <c r="O402" s="196" t="s">
        <v>2534</v>
      </c>
      <c r="P402" s="200"/>
      <c r="AB402" s="110"/>
      <c r="AC402" s="110"/>
      <c r="AD402" s="110"/>
      <c r="AE402" s="110"/>
    </row>
    <row r="403" spans="1:31">
      <c r="A403" s="205" t="s">
        <v>1166</v>
      </c>
      <c r="C403" s="200">
        <v>158</v>
      </c>
      <c r="D403" s="201">
        <v>0.41439999999999999</v>
      </c>
      <c r="E403" s="201">
        <v>7.19</v>
      </c>
      <c r="F403" s="201">
        <v>0.20330000000000001</v>
      </c>
      <c r="G403" s="200">
        <f t="shared" si="55"/>
        <v>7.3933</v>
      </c>
      <c r="H403" s="200">
        <v>7.2130000000000001</v>
      </c>
      <c r="I403" s="200">
        <f t="shared" si="56"/>
        <v>0.1802999999999999</v>
      </c>
      <c r="J403" s="200">
        <f t="shared" si="57"/>
        <v>2.3000000000000104E-2</v>
      </c>
      <c r="K403" s="277">
        <f t="shared" si="58"/>
        <v>11.313330054107281</v>
      </c>
      <c r="L403" s="200">
        <v>22</v>
      </c>
      <c r="M403" s="204">
        <v>43199</v>
      </c>
      <c r="N403" s="204">
        <v>43199</v>
      </c>
      <c r="O403" s="200"/>
      <c r="P403" s="200"/>
      <c r="AB403" s="110"/>
      <c r="AC403" s="110"/>
      <c r="AD403" s="110"/>
      <c r="AE403" s="110"/>
    </row>
    <row r="404" spans="1:31">
      <c r="A404" s="196" t="s">
        <v>1165</v>
      </c>
      <c r="C404" s="197">
        <v>153</v>
      </c>
      <c r="D404" s="196">
        <v>0.39190000000000003</v>
      </c>
      <c r="E404" s="201">
        <v>9.5187000000000008</v>
      </c>
      <c r="F404" s="201">
        <v>0.20050000000000001</v>
      </c>
      <c r="G404" s="200">
        <f t="shared" si="55"/>
        <v>9.7192000000000007</v>
      </c>
      <c r="H404" s="200">
        <v>9.5429999999999993</v>
      </c>
      <c r="I404" s="200">
        <f t="shared" si="56"/>
        <v>0.17620000000000147</v>
      </c>
      <c r="J404" s="200">
        <f t="shared" si="57"/>
        <v>2.4299999999998545E-2</v>
      </c>
      <c r="K404" s="277">
        <f t="shared" si="58"/>
        <v>12.119700748128949</v>
      </c>
      <c r="L404" s="200">
        <v>13</v>
      </c>
      <c r="AB404" s="110"/>
      <c r="AC404" s="110"/>
      <c r="AD404" s="110"/>
      <c r="AE404" s="110"/>
    </row>
    <row r="405" spans="1:31">
      <c r="A405" s="196" t="s">
        <v>1164</v>
      </c>
      <c r="C405" s="196">
        <v>196</v>
      </c>
      <c r="D405" s="196">
        <v>0.39300000000000002</v>
      </c>
      <c r="E405" s="200">
        <v>9.7210999999999999</v>
      </c>
      <c r="F405" s="201">
        <v>0.20330000000000001</v>
      </c>
      <c r="G405" s="200">
        <f t="shared" si="55"/>
        <v>9.9244000000000003</v>
      </c>
      <c r="H405" s="200">
        <v>9.7446999999999999</v>
      </c>
      <c r="I405" s="200">
        <f t="shared" si="56"/>
        <v>0.17970000000000041</v>
      </c>
      <c r="J405" s="200">
        <f t="shared" si="57"/>
        <v>2.3599999999999594E-2</v>
      </c>
      <c r="K405" s="277">
        <f t="shared" si="58"/>
        <v>11.60846040334461</v>
      </c>
      <c r="L405" s="200">
        <v>10</v>
      </c>
      <c r="M405" s="203">
        <v>43213</v>
      </c>
      <c r="N405" s="203">
        <v>43213</v>
      </c>
      <c r="AB405" s="110"/>
      <c r="AC405" s="110"/>
      <c r="AD405" s="110"/>
      <c r="AE405" s="110"/>
    </row>
    <row r="406" spans="1:31">
      <c r="A406" s="196" t="s">
        <v>1163</v>
      </c>
      <c r="C406" s="196">
        <v>106</v>
      </c>
      <c r="D406" s="196">
        <v>0.4148</v>
      </c>
      <c r="E406" s="196">
        <v>7.8631000000000002</v>
      </c>
      <c r="F406" s="196">
        <v>0.2064</v>
      </c>
      <c r="G406" s="196">
        <f t="shared" si="55"/>
        <v>8.0694999999999997</v>
      </c>
      <c r="H406" s="196">
        <v>7.8890000000000002</v>
      </c>
      <c r="I406" s="196">
        <f t="shared" si="56"/>
        <v>0.18049999999999944</v>
      </c>
      <c r="J406" s="200">
        <f t="shared" si="57"/>
        <v>2.5900000000000561E-2</v>
      </c>
      <c r="K406" s="277">
        <f t="shared" si="58"/>
        <v>12.548449612403372</v>
      </c>
      <c r="L406" s="196">
        <v>6</v>
      </c>
      <c r="M406" s="196">
        <v>43157.395833333336</v>
      </c>
      <c r="N406" s="196">
        <v>43157.569444444445</v>
      </c>
      <c r="O406" s="196" t="s">
        <v>2534</v>
      </c>
      <c r="AB406" s="110"/>
      <c r="AC406" s="110"/>
      <c r="AD406" s="110"/>
      <c r="AE406" s="110"/>
    </row>
    <row r="407" spans="1:31">
      <c r="A407" s="200" t="s">
        <v>1162</v>
      </c>
      <c r="C407" s="200">
        <v>129</v>
      </c>
      <c r="D407" s="200">
        <v>0.39729999999999999</v>
      </c>
      <c r="E407" s="201">
        <v>11.2585</v>
      </c>
      <c r="F407" s="201">
        <v>0.20150000000000001</v>
      </c>
      <c r="G407" s="200">
        <f t="shared" si="55"/>
        <v>11.459999999999999</v>
      </c>
      <c r="H407" s="200">
        <v>11.289099999999999</v>
      </c>
      <c r="I407" s="200">
        <f t="shared" si="56"/>
        <v>0.17089999999999961</v>
      </c>
      <c r="J407" s="200">
        <f t="shared" si="57"/>
        <v>3.0600000000000405E-2</v>
      </c>
      <c r="K407" s="277">
        <f t="shared" si="58"/>
        <v>15.186104218362484</v>
      </c>
      <c r="L407" s="200">
        <v>13</v>
      </c>
      <c r="M407" s="204">
        <v>43174</v>
      </c>
      <c r="N407" s="204">
        <v>43174</v>
      </c>
      <c r="O407" s="200" t="s">
        <v>2540</v>
      </c>
      <c r="P407" s="200" t="s">
        <v>2535</v>
      </c>
      <c r="AB407" s="110"/>
      <c r="AC407" s="110"/>
      <c r="AD407" s="110"/>
      <c r="AE407" s="110"/>
    </row>
    <row r="408" spans="1:31">
      <c r="A408" s="205" t="s">
        <v>1161</v>
      </c>
      <c r="C408" s="200">
        <v>114</v>
      </c>
      <c r="D408" s="201">
        <v>0.4541</v>
      </c>
      <c r="E408" s="201">
        <v>7.3170000000000002</v>
      </c>
      <c r="F408" s="201">
        <v>0.20749999999999999</v>
      </c>
      <c r="G408" s="200">
        <f t="shared" si="55"/>
        <v>7.5244999999999997</v>
      </c>
      <c r="H408" s="200">
        <v>7.3593999999999999</v>
      </c>
      <c r="I408" s="200">
        <f t="shared" si="56"/>
        <v>0.1650999999999998</v>
      </c>
      <c r="J408" s="200">
        <f t="shared" si="57"/>
        <v>4.2400000000000188E-2</v>
      </c>
      <c r="K408" s="277">
        <f t="shared" si="58"/>
        <v>20.433734939759127</v>
      </c>
      <c r="L408" s="200">
        <v>27</v>
      </c>
      <c r="M408" s="202">
        <v>43181.645833333336</v>
      </c>
      <c r="N408" s="202">
        <v>43181.833333333336</v>
      </c>
      <c r="O408" s="200" t="s">
        <v>2540</v>
      </c>
      <c r="P408" s="200"/>
      <c r="AB408" s="110"/>
      <c r="AC408" s="110"/>
      <c r="AD408" s="110"/>
      <c r="AE408" s="110"/>
    </row>
    <row r="409" spans="1:31">
      <c r="A409" s="200" t="s">
        <v>1160</v>
      </c>
      <c r="C409" s="200">
        <v>157</v>
      </c>
      <c r="D409" s="200">
        <v>0.51929999999999998</v>
      </c>
      <c r="E409" s="201">
        <v>11.055300000000001</v>
      </c>
      <c r="F409" s="201">
        <v>0.2019</v>
      </c>
      <c r="G409" s="200">
        <f t="shared" si="55"/>
        <v>11.257200000000001</v>
      </c>
      <c r="H409" s="200">
        <v>11.0831</v>
      </c>
      <c r="I409" s="200">
        <f t="shared" si="56"/>
        <v>0.17410000000000103</v>
      </c>
      <c r="J409" s="200">
        <f t="shared" si="57"/>
        <v>2.7799999999998964E-2</v>
      </c>
      <c r="K409" s="277">
        <f t="shared" si="58"/>
        <v>13.769192669637922</v>
      </c>
      <c r="L409" s="200">
        <v>29</v>
      </c>
      <c r="M409" s="206">
        <v>43185.385416666664</v>
      </c>
      <c r="N409" s="200"/>
      <c r="O409" s="200" t="s">
        <v>2540</v>
      </c>
      <c r="P409" s="200"/>
      <c r="AB409" s="110"/>
      <c r="AC409" s="110"/>
      <c r="AD409" s="110"/>
      <c r="AE409" s="110"/>
    </row>
    <row r="410" spans="1:31">
      <c r="A410" s="205" t="s">
        <v>1159</v>
      </c>
      <c r="C410" s="200">
        <v>206</v>
      </c>
      <c r="D410" s="200">
        <v>0.49709999999999999</v>
      </c>
      <c r="E410" s="200">
        <v>11.7463</v>
      </c>
      <c r="F410" s="201">
        <v>0.20200000000000001</v>
      </c>
      <c r="G410" s="200">
        <f t="shared" si="55"/>
        <v>11.9483</v>
      </c>
      <c r="H410" s="200">
        <v>11.773400000000001</v>
      </c>
      <c r="I410" s="200">
        <f t="shared" si="56"/>
        <v>0.17489999999999917</v>
      </c>
      <c r="J410" s="200">
        <f t="shared" si="57"/>
        <v>2.7100000000000846E-2</v>
      </c>
      <c r="K410" s="277">
        <f t="shared" si="58"/>
        <v>13.415841584158834</v>
      </c>
      <c r="L410" s="200">
        <v>13</v>
      </c>
      <c r="M410" s="204">
        <v>43187</v>
      </c>
      <c r="N410" s="204">
        <v>43187</v>
      </c>
      <c r="O410" s="200"/>
      <c r="P410" s="200"/>
      <c r="AB410" s="110"/>
      <c r="AC410" s="110"/>
      <c r="AD410" s="110"/>
      <c r="AE410" s="110"/>
    </row>
    <row r="411" spans="1:31">
      <c r="A411" s="205" t="s">
        <v>1158</v>
      </c>
      <c r="C411" s="200">
        <v>102</v>
      </c>
      <c r="D411" s="200">
        <v>0.45950000000000002</v>
      </c>
      <c r="E411" s="201">
        <v>9.1373999999999995</v>
      </c>
      <c r="F411" s="201">
        <v>0.20230000000000001</v>
      </c>
      <c r="G411" s="200">
        <f t="shared" si="55"/>
        <v>9.3396999999999988</v>
      </c>
      <c r="H411" s="200">
        <v>9.1631</v>
      </c>
      <c r="I411" s="200">
        <f t="shared" si="56"/>
        <v>0.17659999999999876</v>
      </c>
      <c r="J411" s="200">
        <f t="shared" si="57"/>
        <v>2.570000000000125E-2</v>
      </c>
      <c r="K411" s="277">
        <f t="shared" si="58"/>
        <v>12.703905091448961</v>
      </c>
      <c r="L411" s="200">
        <v>4</v>
      </c>
      <c r="M411" s="202">
        <v>43181.645833333336</v>
      </c>
      <c r="N411" s="202">
        <v>43181.833333333336</v>
      </c>
      <c r="O411" s="200" t="s">
        <v>2540</v>
      </c>
      <c r="P411" s="200"/>
      <c r="AB411" s="110"/>
      <c r="AC411" s="110"/>
      <c r="AD411" s="110"/>
      <c r="AE411" s="110"/>
    </row>
    <row r="412" spans="1:31">
      <c r="A412" s="200" t="s">
        <v>1157</v>
      </c>
      <c r="C412" s="200">
        <v>178</v>
      </c>
      <c r="D412" s="200">
        <v>0.3957</v>
      </c>
      <c r="E412" s="200">
        <v>7.4756</v>
      </c>
      <c r="F412" s="200">
        <v>0.20549999999999999</v>
      </c>
      <c r="G412" s="200">
        <f t="shared" si="55"/>
        <v>7.6810999999999998</v>
      </c>
      <c r="H412" s="196">
        <v>7.4923000000000002</v>
      </c>
      <c r="I412" s="196">
        <f t="shared" si="56"/>
        <v>0.18879999999999963</v>
      </c>
      <c r="J412" s="200">
        <f t="shared" si="57"/>
        <v>1.6700000000000353E-2</v>
      </c>
      <c r="K412" s="277">
        <f t="shared" si="58"/>
        <v>8.1265206812653794</v>
      </c>
      <c r="L412" s="200">
        <v>17</v>
      </c>
      <c r="M412" s="206">
        <v>43160.520833333336</v>
      </c>
      <c r="N412" s="206">
        <v>43160.6875</v>
      </c>
      <c r="O412" s="196" t="s">
        <v>2534</v>
      </c>
      <c r="P412" s="200"/>
      <c r="AB412" s="110"/>
      <c r="AC412" s="110"/>
      <c r="AD412" s="110"/>
      <c r="AE412" s="110"/>
    </row>
    <row r="413" spans="1:31">
      <c r="A413" s="205" t="s">
        <v>1156</v>
      </c>
      <c r="C413" s="200">
        <v>144</v>
      </c>
      <c r="D413" s="200">
        <v>0.4632</v>
      </c>
      <c r="E413" s="201">
        <v>11.9041</v>
      </c>
      <c r="F413" s="201">
        <v>0.20180000000000001</v>
      </c>
      <c r="G413" s="200">
        <f t="shared" si="55"/>
        <v>12.1059</v>
      </c>
      <c r="H413" s="200">
        <v>11.9465</v>
      </c>
      <c r="I413" s="200">
        <f t="shared" si="56"/>
        <v>0.15939999999999976</v>
      </c>
      <c r="J413" s="200">
        <f t="shared" si="57"/>
        <v>4.2400000000000243E-2</v>
      </c>
      <c r="K413" s="277">
        <f t="shared" si="58"/>
        <v>21.010901883052647</v>
      </c>
      <c r="L413" s="200">
        <v>3</v>
      </c>
      <c r="M413" s="204">
        <v>43197</v>
      </c>
      <c r="N413" s="204">
        <v>43197</v>
      </c>
      <c r="O413" s="200"/>
      <c r="P413" s="200"/>
      <c r="AB413" s="110"/>
      <c r="AC413" s="110"/>
      <c r="AD413" s="110"/>
      <c r="AE413" s="110"/>
    </row>
    <row r="414" spans="1:31">
      <c r="A414" s="200" t="s">
        <v>1155</v>
      </c>
      <c r="C414" s="200">
        <v>123</v>
      </c>
      <c r="D414" s="200">
        <v>0.63339999999999996</v>
      </c>
      <c r="E414" s="201">
        <v>11.1539</v>
      </c>
      <c r="F414" s="201">
        <v>0.20730000000000001</v>
      </c>
      <c r="G414" s="200">
        <f t="shared" si="55"/>
        <v>11.3612</v>
      </c>
      <c r="H414" s="200">
        <v>11.182</v>
      </c>
      <c r="I414" s="200">
        <f t="shared" si="56"/>
        <v>0.1791999999999998</v>
      </c>
      <c r="J414" s="200">
        <f t="shared" si="57"/>
        <v>2.8100000000000208E-2</v>
      </c>
      <c r="K414" s="277">
        <f t="shared" si="58"/>
        <v>13.555233960443902</v>
      </c>
      <c r="L414" s="200">
        <v>14</v>
      </c>
      <c r="M414" s="204">
        <v>43199</v>
      </c>
      <c r="N414" s="204">
        <v>43199</v>
      </c>
      <c r="O414" s="200"/>
      <c r="P414" s="200"/>
      <c r="AB414" s="110"/>
      <c r="AC414" s="110"/>
      <c r="AD414" s="110"/>
      <c r="AE414" s="110"/>
    </row>
    <row r="415" spans="1:31">
      <c r="A415" s="200" t="s">
        <v>1154</v>
      </c>
      <c r="C415" s="196">
        <v>183</v>
      </c>
      <c r="D415" s="200">
        <v>0.4118</v>
      </c>
      <c r="E415" s="201">
        <v>8.7599</v>
      </c>
      <c r="F415" s="201">
        <v>0.20250000000000001</v>
      </c>
      <c r="G415" s="200">
        <f t="shared" si="55"/>
        <v>8.9624000000000006</v>
      </c>
      <c r="H415" s="200">
        <v>8.7789000000000001</v>
      </c>
      <c r="I415" s="200">
        <f t="shared" si="56"/>
        <v>0.18350000000000044</v>
      </c>
      <c r="J415" s="200">
        <f t="shared" si="57"/>
        <v>1.8999999999999573E-2</v>
      </c>
      <c r="K415" s="277">
        <f t="shared" si="58"/>
        <v>9.3827160493825037</v>
      </c>
      <c r="L415" s="200">
        <v>12</v>
      </c>
      <c r="M415" s="206">
        <v>43186.458333333336</v>
      </c>
      <c r="N415" s="206">
        <v>43186.625</v>
      </c>
      <c r="O415" s="196" t="s">
        <v>2534</v>
      </c>
      <c r="P415" s="200"/>
      <c r="AB415" s="110"/>
      <c r="AC415" s="110"/>
      <c r="AD415" s="110"/>
      <c r="AE415" s="110"/>
    </row>
    <row r="416" spans="1:31">
      <c r="A416" s="205" t="s">
        <v>1153</v>
      </c>
      <c r="C416" s="200">
        <v>116</v>
      </c>
      <c r="D416" s="201">
        <v>0.4783</v>
      </c>
      <c r="E416" s="201">
        <v>7.9057000000000004</v>
      </c>
      <c r="F416" s="201">
        <v>0.19919999999999999</v>
      </c>
      <c r="G416" s="200">
        <f t="shared" si="55"/>
        <v>8.1049000000000007</v>
      </c>
      <c r="H416" s="200">
        <v>7.9379</v>
      </c>
      <c r="I416" s="200">
        <f t="shared" si="56"/>
        <v>0.1670000000000007</v>
      </c>
      <c r="J416" s="200">
        <f t="shared" si="57"/>
        <v>3.2199999999999285E-2</v>
      </c>
      <c r="K416" s="277">
        <f t="shared" si="58"/>
        <v>16.164658634537794</v>
      </c>
      <c r="L416" s="200">
        <v>16</v>
      </c>
      <c r="M416" s="202">
        <v>43181.645833333336</v>
      </c>
      <c r="N416" s="202">
        <v>43181.833333333336</v>
      </c>
      <c r="O416" s="200" t="s">
        <v>2540</v>
      </c>
      <c r="P416" s="200" t="s">
        <v>2556</v>
      </c>
      <c r="AB416" s="110"/>
      <c r="AC416" s="110"/>
      <c r="AD416" s="110"/>
      <c r="AE416" s="110"/>
    </row>
    <row r="417" spans="1:31">
      <c r="A417" s="200" t="s">
        <v>1152</v>
      </c>
      <c r="C417" s="200">
        <v>127</v>
      </c>
      <c r="D417" s="201">
        <v>0.39700000000000002</v>
      </c>
      <c r="E417" s="200">
        <v>10.7934</v>
      </c>
      <c r="F417" s="201">
        <v>0.19889999999999999</v>
      </c>
      <c r="G417" s="200">
        <f t="shared" si="55"/>
        <v>10.9923</v>
      </c>
      <c r="H417" s="200">
        <v>10.829700000000001</v>
      </c>
      <c r="I417" s="200">
        <f t="shared" si="56"/>
        <v>0.16259999999999941</v>
      </c>
      <c r="J417" s="200">
        <f t="shared" si="57"/>
        <v>3.6300000000000582E-2</v>
      </c>
      <c r="K417" s="277">
        <f t="shared" si="58"/>
        <v>18.25037707390678</v>
      </c>
      <c r="L417" s="200">
        <v>8</v>
      </c>
      <c r="M417" s="204">
        <v>43206</v>
      </c>
      <c r="N417" s="204">
        <v>43206</v>
      </c>
      <c r="O417" s="200"/>
      <c r="P417" s="200"/>
      <c r="AB417" s="110"/>
      <c r="AC417" s="110"/>
      <c r="AD417" s="110"/>
      <c r="AE417" s="110"/>
    </row>
    <row r="418" spans="1:31">
      <c r="A418" s="196" t="s">
        <v>1151</v>
      </c>
      <c r="C418" s="196">
        <v>112</v>
      </c>
      <c r="D418" s="196">
        <v>0.48120000000000002</v>
      </c>
      <c r="E418" s="196">
        <v>20.965499999999999</v>
      </c>
      <c r="F418" s="196">
        <v>0.2064</v>
      </c>
      <c r="G418" s="196">
        <f t="shared" si="55"/>
        <v>21.171899999999997</v>
      </c>
      <c r="H418" s="196">
        <v>21.018699999999999</v>
      </c>
      <c r="I418" s="196">
        <f t="shared" si="56"/>
        <v>0.15319999999999823</v>
      </c>
      <c r="J418" s="200">
        <f t="shared" si="57"/>
        <v>5.3200000000001774E-2</v>
      </c>
      <c r="K418" s="277">
        <f t="shared" si="58"/>
        <v>25.775193798450474</v>
      </c>
      <c r="L418" s="196">
        <v>13</v>
      </c>
      <c r="M418" s="196" t="s">
        <v>2560</v>
      </c>
      <c r="N418" s="196">
        <v>43153.729166666664</v>
      </c>
      <c r="O418" s="196" t="s">
        <v>2534</v>
      </c>
      <c r="P418" s="196" t="s">
        <v>2558</v>
      </c>
      <c r="AB418" s="110"/>
      <c r="AC418" s="110"/>
      <c r="AD418" s="110"/>
      <c r="AE418" s="110"/>
    </row>
    <row r="419" spans="1:31">
      <c r="A419" s="196" t="s">
        <v>1150</v>
      </c>
      <c r="C419" s="196">
        <v>141</v>
      </c>
      <c r="D419" s="196">
        <v>0.55530000000000002</v>
      </c>
      <c r="E419" s="196">
        <v>9.2356999999999996</v>
      </c>
      <c r="F419" s="196">
        <v>0.2072</v>
      </c>
      <c r="G419" s="196">
        <f t="shared" si="55"/>
        <v>9.4428999999999998</v>
      </c>
      <c r="H419" s="196">
        <v>9.3074999999999992</v>
      </c>
      <c r="I419" s="196">
        <f t="shared" si="56"/>
        <v>0.13540000000000063</v>
      </c>
      <c r="J419" s="200">
        <f t="shared" si="57"/>
        <v>7.1799999999999364E-2</v>
      </c>
      <c r="K419" s="277">
        <f t="shared" si="58"/>
        <v>34.652509652509345</v>
      </c>
      <c r="L419" s="196">
        <v>11</v>
      </c>
      <c r="M419" s="196">
        <v>43157.527777777781</v>
      </c>
      <c r="N419" s="196">
        <v>43157.694444444445</v>
      </c>
      <c r="O419" s="196" t="s">
        <v>2540</v>
      </c>
      <c r="AB419" s="110"/>
      <c r="AC419" s="110"/>
      <c r="AD419" s="110"/>
      <c r="AE419" s="110"/>
    </row>
    <row r="420" spans="1:31">
      <c r="A420" s="201" t="s">
        <v>1149</v>
      </c>
      <c r="C420" s="200">
        <v>117</v>
      </c>
      <c r="D420" s="200">
        <v>0.42089999999999994</v>
      </c>
      <c r="E420" s="200">
        <v>7.7733999999999996</v>
      </c>
      <c r="F420" s="200">
        <v>0.2016</v>
      </c>
      <c r="G420" s="200">
        <f t="shared" si="55"/>
        <v>7.9749999999999996</v>
      </c>
      <c r="H420" s="200">
        <v>7.8000999999999996</v>
      </c>
      <c r="I420" s="200">
        <f t="shared" si="56"/>
        <v>0.17490000000000006</v>
      </c>
      <c r="J420" s="200">
        <f t="shared" si="57"/>
        <v>2.6699999999999946E-2</v>
      </c>
      <c r="K420" s="277">
        <f t="shared" si="58"/>
        <v>13.244047619047592</v>
      </c>
      <c r="L420" s="200">
        <v>29</v>
      </c>
      <c r="M420" s="204">
        <v>43173</v>
      </c>
      <c r="N420" s="204">
        <v>43173</v>
      </c>
      <c r="O420" s="200" t="s">
        <v>2540</v>
      </c>
      <c r="P420" s="200" t="s">
        <v>2539</v>
      </c>
      <c r="AB420" s="110"/>
      <c r="AC420" s="110"/>
      <c r="AD420" s="110"/>
      <c r="AE420" s="110"/>
    </row>
    <row r="421" spans="1:31">
      <c r="A421" s="201" t="s">
        <v>1148</v>
      </c>
      <c r="C421" s="200">
        <v>145</v>
      </c>
      <c r="D421" s="200">
        <v>0.59219999999999995</v>
      </c>
      <c r="E421" s="200">
        <v>7.9939999999999998</v>
      </c>
      <c r="F421" s="200">
        <v>0.2024</v>
      </c>
      <c r="G421" s="200">
        <f t="shared" si="55"/>
        <v>8.1964000000000006</v>
      </c>
      <c r="H421" s="200">
        <v>8.0348000000000006</v>
      </c>
      <c r="I421" s="200">
        <f t="shared" si="56"/>
        <v>0.16159999999999997</v>
      </c>
      <c r="J421" s="200">
        <f t="shared" si="57"/>
        <v>4.0800000000000031E-2</v>
      </c>
      <c r="K421" s="277">
        <f t="shared" si="58"/>
        <v>20.158102766798436</v>
      </c>
      <c r="L421" s="200">
        <v>25</v>
      </c>
      <c r="M421" s="204">
        <v>43173</v>
      </c>
      <c r="N421" s="204">
        <v>43173</v>
      </c>
      <c r="O421" s="200" t="s">
        <v>2540</v>
      </c>
      <c r="P421" s="200" t="s">
        <v>2539</v>
      </c>
      <c r="AB421" s="110"/>
      <c r="AC421" s="110"/>
      <c r="AD421" s="110"/>
      <c r="AE421" s="110"/>
    </row>
    <row r="422" spans="1:31">
      <c r="A422" s="196" t="s">
        <v>1140</v>
      </c>
      <c r="P422" s="196" t="s">
        <v>3914</v>
      </c>
      <c r="AB422" s="110"/>
      <c r="AC422" s="110"/>
      <c r="AD422" s="110"/>
      <c r="AE422" s="110"/>
    </row>
    <row r="423" spans="1:31">
      <c r="A423" s="196" t="s">
        <v>1131</v>
      </c>
      <c r="C423" s="197">
        <v>101</v>
      </c>
      <c r="D423" s="196">
        <v>1.3405</v>
      </c>
      <c r="E423" s="201">
        <v>11.1214</v>
      </c>
      <c r="F423" s="201">
        <v>0.20519999999999999</v>
      </c>
      <c r="G423" s="200">
        <f t="shared" ref="G423:G429" si="59">E423+F423</f>
        <v>11.326599999999999</v>
      </c>
      <c r="H423" s="200">
        <v>11.136799999999999</v>
      </c>
      <c r="I423" s="200">
        <f t="shared" ref="I423:I429" si="60">(G423-H423)</f>
        <v>0.18979999999999997</v>
      </c>
      <c r="J423" s="200">
        <f t="shared" ref="J423:J429" si="61">F423-I423</f>
        <v>1.5400000000000025E-2</v>
      </c>
      <c r="K423" s="277">
        <f t="shared" ref="K423:K429" si="62">(J423/F423)*100</f>
        <v>7.5048732943469902</v>
      </c>
      <c r="L423" s="200">
        <v>35</v>
      </c>
      <c r="AB423" s="110"/>
      <c r="AC423" s="110"/>
      <c r="AD423" s="110"/>
      <c r="AE423" s="110"/>
    </row>
    <row r="424" spans="1:31">
      <c r="A424" s="196" t="s">
        <v>1041</v>
      </c>
      <c r="C424" s="197">
        <v>78</v>
      </c>
      <c r="D424" s="200">
        <v>1.4992000000000001</v>
      </c>
      <c r="E424" s="201">
        <v>9.2354000000000003</v>
      </c>
      <c r="F424" s="201">
        <v>0.20449999999999999</v>
      </c>
      <c r="G424" s="200">
        <f t="shared" si="59"/>
        <v>9.4398999999999997</v>
      </c>
      <c r="H424" s="200">
        <v>9.2411999999999992</v>
      </c>
      <c r="I424" s="200">
        <f t="shared" si="60"/>
        <v>0.19870000000000054</v>
      </c>
      <c r="J424" s="200">
        <f t="shared" si="61"/>
        <v>5.7999999999994445E-3</v>
      </c>
      <c r="K424" s="277">
        <f t="shared" si="62"/>
        <v>2.8361858190706335</v>
      </c>
      <c r="L424" s="200">
        <v>27</v>
      </c>
      <c r="M424" s="203">
        <v>43213</v>
      </c>
      <c r="N424" s="203">
        <v>43213</v>
      </c>
      <c r="AB424" s="110"/>
      <c r="AC424" s="110"/>
      <c r="AD424" s="110"/>
      <c r="AE424" s="110"/>
    </row>
    <row r="425" spans="1:31">
      <c r="A425" s="196" t="s">
        <v>1040</v>
      </c>
      <c r="C425" s="197">
        <v>9</v>
      </c>
      <c r="D425" s="196">
        <v>1.3147</v>
      </c>
      <c r="E425" s="201">
        <v>10.702500000000001</v>
      </c>
      <c r="F425" s="201">
        <v>0.20180000000000001</v>
      </c>
      <c r="G425" s="200">
        <f t="shared" si="59"/>
        <v>10.904300000000001</v>
      </c>
      <c r="H425" s="200">
        <v>10.7149</v>
      </c>
      <c r="I425" s="200">
        <f t="shared" si="60"/>
        <v>0.1894000000000009</v>
      </c>
      <c r="J425" s="200">
        <f t="shared" si="61"/>
        <v>1.2399999999999106E-2</v>
      </c>
      <c r="K425" s="277">
        <f t="shared" si="62"/>
        <v>6.1446977205149187</v>
      </c>
      <c r="L425" s="200">
        <v>3</v>
      </c>
      <c r="AB425" s="110"/>
      <c r="AC425" s="110"/>
      <c r="AD425" s="110"/>
      <c r="AE425" s="110"/>
    </row>
    <row r="426" spans="1:31">
      <c r="A426" s="196" t="s">
        <v>1038</v>
      </c>
      <c r="C426" s="197">
        <v>218</v>
      </c>
      <c r="D426" s="196">
        <v>1.2075</v>
      </c>
      <c r="E426" s="200">
        <v>10.698</v>
      </c>
      <c r="F426" s="201">
        <v>0.20280000000000001</v>
      </c>
      <c r="G426" s="200">
        <f t="shared" si="59"/>
        <v>10.9008</v>
      </c>
      <c r="H426" s="200">
        <v>10.7095</v>
      </c>
      <c r="I426" s="200">
        <f t="shared" si="60"/>
        <v>0.19130000000000003</v>
      </c>
      <c r="J426" s="200">
        <f t="shared" si="61"/>
        <v>1.1499999999999982E-2</v>
      </c>
      <c r="K426" s="277">
        <f t="shared" si="62"/>
        <v>5.6706114398422001</v>
      </c>
      <c r="L426" s="200">
        <v>19</v>
      </c>
      <c r="M426" s="203">
        <v>43212</v>
      </c>
      <c r="AB426" s="110"/>
      <c r="AC426" s="110"/>
      <c r="AD426" s="110"/>
      <c r="AE426" s="110"/>
    </row>
    <row r="427" spans="1:31">
      <c r="A427" s="196" t="s">
        <v>1037</v>
      </c>
      <c r="C427" s="197">
        <v>25</v>
      </c>
      <c r="D427" s="196">
        <v>1.1997</v>
      </c>
      <c r="E427" s="200">
        <v>7.8597999999999999</v>
      </c>
      <c r="F427" s="201">
        <v>0.2016</v>
      </c>
      <c r="G427" s="200">
        <f t="shared" si="59"/>
        <v>8.061399999999999</v>
      </c>
      <c r="H427" s="200">
        <v>7.8674999999999997</v>
      </c>
      <c r="I427" s="200">
        <f t="shared" si="60"/>
        <v>0.1938999999999993</v>
      </c>
      <c r="J427" s="200">
        <f t="shared" si="61"/>
        <v>7.7000000000007063E-3</v>
      </c>
      <c r="K427" s="277">
        <f t="shared" si="62"/>
        <v>3.8194444444447946</v>
      </c>
      <c r="L427" s="200">
        <v>43</v>
      </c>
      <c r="M427" s="203">
        <v>43212</v>
      </c>
      <c r="AB427" s="110"/>
      <c r="AC427" s="110"/>
      <c r="AD427" s="110"/>
      <c r="AE427" s="110"/>
    </row>
    <row r="428" spans="1:31">
      <c r="A428" s="200" t="s">
        <v>1036</v>
      </c>
      <c r="C428" s="200">
        <v>173</v>
      </c>
      <c r="D428" s="201">
        <v>1.4504999999999999</v>
      </c>
      <c r="E428" s="201">
        <v>8.0630000000000006</v>
      </c>
      <c r="F428" s="201">
        <v>0.20680000000000001</v>
      </c>
      <c r="G428" s="200">
        <f t="shared" si="59"/>
        <v>8.2698</v>
      </c>
      <c r="H428" s="200">
        <v>8.0683000000000007</v>
      </c>
      <c r="I428" s="200">
        <f t="shared" si="60"/>
        <v>0.20149999999999935</v>
      </c>
      <c r="J428" s="200">
        <f t="shared" si="61"/>
        <v>5.3000000000006653E-3</v>
      </c>
      <c r="K428" s="277">
        <f t="shared" si="62"/>
        <v>2.5628626692459697</v>
      </c>
      <c r="L428" s="200">
        <v>22</v>
      </c>
      <c r="M428" s="202">
        <v>43181.645833333336</v>
      </c>
      <c r="N428" s="202">
        <v>43181.833333333336</v>
      </c>
      <c r="O428" s="200" t="s">
        <v>2540</v>
      </c>
      <c r="P428" s="205" t="s">
        <v>2545</v>
      </c>
      <c r="AB428" s="110"/>
      <c r="AC428" s="110"/>
      <c r="AD428" s="110"/>
      <c r="AE428" s="110"/>
    </row>
    <row r="429" spans="1:31">
      <c r="A429" s="205" t="s">
        <v>1034</v>
      </c>
      <c r="C429" s="180">
        <v>48</v>
      </c>
      <c r="D429" s="200">
        <v>1.2957000000000001</v>
      </c>
      <c r="E429" s="200">
        <v>8.4438999999999993</v>
      </c>
      <c r="F429" s="201">
        <v>0.20039999999999999</v>
      </c>
      <c r="G429" s="200">
        <f t="shared" si="59"/>
        <v>8.6442999999999994</v>
      </c>
      <c r="H429" s="200">
        <v>8.4507999999999992</v>
      </c>
      <c r="I429" s="200">
        <f t="shared" si="60"/>
        <v>0.19350000000000023</v>
      </c>
      <c r="J429" s="200">
        <f t="shared" si="61"/>
        <v>6.8999999999997674E-3</v>
      </c>
      <c r="K429" s="277">
        <f t="shared" si="62"/>
        <v>3.4431137724549741</v>
      </c>
      <c r="L429" s="200">
        <v>11</v>
      </c>
      <c r="M429" s="204">
        <v>43211</v>
      </c>
      <c r="S429" s="196" t="s">
        <v>2578</v>
      </c>
      <c r="AB429" s="110"/>
      <c r="AC429" s="110"/>
      <c r="AD429" s="110"/>
      <c r="AE429" s="110"/>
    </row>
    <row r="430" spans="1:31">
      <c r="A430" s="196" t="s">
        <v>1032</v>
      </c>
      <c r="P430" s="196" t="s">
        <v>3914</v>
      </c>
      <c r="AB430" s="110"/>
      <c r="AC430" s="110"/>
      <c r="AD430" s="110"/>
      <c r="AE430" s="110"/>
    </row>
    <row r="431" spans="1:31">
      <c r="A431" s="205" t="s">
        <v>1130</v>
      </c>
      <c r="C431" s="200">
        <v>122</v>
      </c>
      <c r="D431" s="200">
        <v>0.99909999999999999</v>
      </c>
      <c r="E431" s="201">
        <v>8.0879999999999992</v>
      </c>
      <c r="F431" s="201">
        <v>0.1983</v>
      </c>
      <c r="G431" s="200">
        <f t="shared" ref="G431:G438" si="63">E431+F431</f>
        <v>8.2862999999999989</v>
      </c>
      <c r="H431" s="200">
        <v>8.1047999999999991</v>
      </c>
      <c r="I431" s="200">
        <f t="shared" ref="I431:I438" si="64">(G431-H431)</f>
        <v>0.18149999999999977</v>
      </c>
      <c r="J431" s="200">
        <f t="shared" ref="J431:J438" si="65">F431-I431</f>
        <v>1.6800000000000231E-2</v>
      </c>
      <c r="K431" s="277">
        <f t="shared" ref="K431:K438" si="66">(J431/F431)*100</f>
        <v>8.4720121028745492</v>
      </c>
      <c r="L431" s="200">
        <v>6</v>
      </c>
      <c r="M431" s="202">
        <v>43181.645833333336</v>
      </c>
      <c r="N431" s="202">
        <v>43181.833333333336</v>
      </c>
      <c r="O431" s="200" t="s">
        <v>2540</v>
      </c>
      <c r="P431" s="200"/>
      <c r="AB431" s="110"/>
      <c r="AC431" s="110"/>
      <c r="AD431" s="110"/>
      <c r="AE431" s="110"/>
    </row>
    <row r="432" spans="1:31">
      <c r="A432" s="196" t="s">
        <v>1031</v>
      </c>
      <c r="C432" s="196">
        <v>20</v>
      </c>
      <c r="D432" s="196">
        <v>1.4414</v>
      </c>
      <c r="E432" s="196">
        <v>7.3536000000000001</v>
      </c>
      <c r="F432" s="196">
        <v>0.20780000000000001</v>
      </c>
      <c r="G432" s="196">
        <f t="shared" si="63"/>
        <v>7.5613999999999999</v>
      </c>
      <c r="H432" s="196">
        <v>7.3670999999999998</v>
      </c>
      <c r="I432" s="196">
        <f t="shared" si="64"/>
        <v>0.19430000000000014</v>
      </c>
      <c r="J432" s="200">
        <f t="shared" si="65"/>
        <v>1.3499999999999873E-2</v>
      </c>
      <c r="K432" s="277">
        <f t="shared" si="66"/>
        <v>6.496631376323327</v>
      </c>
      <c r="L432" s="196">
        <v>6</v>
      </c>
      <c r="M432" s="196" t="s">
        <v>2570</v>
      </c>
      <c r="N432" s="196" t="s">
        <v>2569</v>
      </c>
      <c r="O432" s="196" t="s">
        <v>2534</v>
      </c>
      <c r="AB432" s="110"/>
      <c r="AC432" s="110"/>
      <c r="AD432" s="110"/>
      <c r="AE432" s="110"/>
    </row>
    <row r="433" spans="1:31">
      <c r="A433" s="200" t="s">
        <v>1030</v>
      </c>
      <c r="C433" s="200">
        <v>213</v>
      </c>
      <c r="D433" s="200">
        <v>1.3273999999999999</v>
      </c>
      <c r="E433" s="200">
        <v>9.5183999999999997</v>
      </c>
      <c r="F433" s="200">
        <v>0.20580000000000001</v>
      </c>
      <c r="G433" s="200">
        <f t="shared" si="63"/>
        <v>9.7241999999999997</v>
      </c>
      <c r="H433" s="200">
        <v>9.5253999999999994</v>
      </c>
      <c r="I433" s="200">
        <f t="shared" si="64"/>
        <v>0.19880000000000031</v>
      </c>
      <c r="J433" s="200">
        <f t="shared" si="65"/>
        <v>6.9999999999997009E-3</v>
      </c>
      <c r="K433" s="277">
        <f t="shared" si="66"/>
        <v>3.4013605442175416</v>
      </c>
      <c r="L433" s="200">
        <v>5</v>
      </c>
      <c r="M433" s="204">
        <v>43188</v>
      </c>
      <c r="N433" s="204">
        <v>43188</v>
      </c>
      <c r="O433" s="200"/>
      <c r="P433" s="200"/>
      <c r="AB433" s="110"/>
      <c r="AC433" s="110"/>
      <c r="AD433" s="110"/>
      <c r="AE433" s="110"/>
    </row>
    <row r="434" spans="1:31">
      <c r="A434" s="196" t="s">
        <v>1029</v>
      </c>
      <c r="C434" s="197">
        <v>27</v>
      </c>
      <c r="D434" s="196">
        <v>1.1268</v>
      </c>
      <c r="E434" s="200">
        <v>8.1679999999999993</v>
      </c>
      <c r="F434" s="201">
        <v>0.20619999999999999</v>
      </c>
      <c r="G434" s="200">
        <f t="shared" si="63"/>
        <v>8.3742000000000001</v>
      </c>
      <c r="H434" s="200">
        <v>8.1806000000000001</v>
      </c>
      <c r="I434" s="200">
        <f t="shared" si="64"/>
        <v>0.19359999999999999</v>
      </c>
      <c r="J434" s="200">
        <f t="shared" si="65"/>
        <v>1.26E-2</v>
      </c>
      <c r="K434" s="277">
        <f t="shared" si="66"/>
        <v>6.1105722599418044</v>
      </c>
      <c r="L434" s="200">
        <v>35</v>
      </c>
      <c r="M434" s="203">
        <v>43212</v>
      </c>
      <c r="AB434" s="110"/>
      <c r="AC434" s="110"/>
      <c r="AD434" s="110"/>
      <c r="AE434" s="110"/>
    </row>
    <row r="435" spans="1:31">
      <c r="A435" s="205" t="s">
        <v>1027</v>
      </c>
      <c r="C435" s="200">
        <v>40</v>
      </c>
      <c r="D435" s="200">
        <v>1.9709000000000001</v>
      </c>
      <c r="E435" s="200">
        <v>7.8711000000000002</v>
      </c>
      <c r="F435" s="201">
        <v>0.20180000000000001</v>
      </c>
      <c r="G435" s="200">
        <f t="shared" si="63"/>
        <v>8.0729000000000006</v>
      </c>
      <c r="H435" s="200">
        <v>7.9211999999999998</v>
      </c>
      <c r="I435" s="200">
        <f t="shared" si="64"/>
        <v>0.15170000000000083</v>
      </c>
      <c r="J435" s="200">
        <f t="shared" si="65"/>
        <v>5.0099999999999173E-2</v>
      </c>
      <c r="K435" s="277">
        <f t="shared" si="66"/>
        <v>24.826560951436655</v>
      </c>
      <c r="L435" s="200">
        <v>8</v>
      </c>
      <c r="M435" s="204">
        <v>43211</v>
      </c>
      <c r="P435" s="200"/>
      <c r="AB435" s="110"/>
      <c r="AC435" s="110"/>
      <c r="AD435" s="110"/>
      <c r="AE435" s="110"/>
    </row>
    <row r="436" spans="1:31">
      <c r="A436" s="196" t="s">
        <v>1026</v>
      </c>
      <c r="C436" s="196">
        <v>4</v>
      </c>
      <c r="D436" s="196">
        <v>1.171</v>
      </c>
      <c r="E436" s="201">
        <v>8.1178000000000008</v>
      </c>
      <c r="F436" s="201">
        <v>0.20030000000000001</v>
      </c>
      <c r="G436" s="200">
        <f t="shared" si="63"/>
        <v>8.3181000000000012</v>
      </c>
      <c r="H436" s="200">
        <v>8.1286000000000005</v>
      </c>
      <c r="I436" s="200">
        <f t="shared" si="64"/>
        <v>0.18950000000000067</v>
      </c>
      <c r="J436" s="200">
        <f t="shared" si="65"/>
        <v>1.0799999999999338E-2</v>
      </c>
      <c r="K436" s="277">
        <f t="shared" si="66"/>
        <v>5.3919121318019663</v>
      </c>
      <c r="L436" s="200">
        <v>9</v>
      </c>
      <c r="AB436" s="110"/>
      <c r="AC436" s="110"/>
      <c r="AD436" s="110"/>
      <c r="AE436" s="110"/>
    </row>
    <row r="437" spans="1:31">
      <c r="A437" s="196" t="s">
        <v>1024</v>
      </c>
      <c r="C437" s="196">
        <v>43</v>
      </c>
      <c r="D437" s="196">
        <v>1.3892</v>
      </c>
      <c r="E437" s="196">
        <v>7.4809000000000001</v>
      </c>
      <c r="F437" s="196">
        <v>0.20069999999999999</v>
      </c>
      <c r="G437" s="196">
        <f t="shared" si="63"/>
        <v>7.6816000000000004</v>
      </c>
      <c r="H437" s="196">
        <v>7.4846000000000004</v>
      </c>
      <c r="I437" s="196">
        <f t="shared" si="64"/>
        <v>0.19700000000000006</v>
      </c>
      <c r="J437" s="200">
        <f t="shared" si="65"/>
        <v>3.6999999999999256E-3</v>
      </c>
      <c r="K437" s="277">
        <f t="shared" si="66"/>
        <v>1.8435475834578603</v>
      </c>
      <c r="L437" s="196">
        <v>12</v>
      </c>
      <c r="M437" s="196" t="s">
        <v>2570</v>
      </c>
      <c r="N437" s="196" t="s">
        <v>2569</v>
      </c>
      <c r="O437" s="196" t="s">
        <v>2534</v>
      </c>
      <c r="AB437" s="110"/>
      <c r="AC437" s="110"/>
      <c r="AD437" s="110"/>
      <c r="AE437" s="110"/>
    </row>
    <row r="438" spans="1:31">
      <c r="A438" s="196" t="s">
        <v>1022</v>
      </c>
      <c r="C438" s="196">
        <v>62</v>
      </c>
      <c r="D438" s="196">
        <v>1.3992</v>
      </c>
      <c r="E438" s="196">
        <v>8.1684000000000001</v>
      </c>
      <c r="F438" s="196">
        <v>0.19800000000000001</v>
      </c>
      <c r="G438" s="196">
        <f t="shared" si="63"/>
        <v>8.3664000000000005</v>
      </c>
      <c r="H438" s="196">
        <v>8.1851000000000003</v>
      </c>
      <c r="I438" s="196">
        <f t="shared" si="64"/>
        <v>0.18130000000000024</v>
      </c>
      <c r="J438" s="200">
        <f t="shared" si="65"/>
        <v>1.6699999999999771E-2</v>
      </c>
      <c r="K438" s="277">
        <f t="shared" si="66"/>
        <v>8.4343434343433188</v>
      </c>
      <c r="L438" s="196">
        <v>44</v>
      </c>
      <c r="M438" s="196" t="s">
        <v>2570</v>
      </c>
      <c r="N438" s="196" t="s">
        <v>2569</v>
      </c>
      <c r="O438" s="196" t="s">
        <v>2534</v>
      </c>
      <c r="AB438" s="110"/>
      <c r="AC438" s="110"/>
      <c r="AD438" s="110"/>
      <c r="AE438" s="110"/>
    </row>
    <row r="439" spans="1:31">
      <c r="A439" s="196" t="s">
        <v>1129</v>
      </c>
      <c r="P439" s="196" t="s">
        <v>3914</v>
      </c>
      <c r="AB439" s="110"/>
      <c r="AC439" s="110"/>
      <c r="AD439" s="110"/>
      <c r="AE439" s="110"/>
    </row>
    <row r="440" spans="1:31">
      <c r="A440" s="200" t="s">
        <v>1021</v>
      </c>
      <c r="C440" s="200">
        <v>59</v>
      </c>
      <c r="D440" s="200">
        <v>1.2487999999999999</v>
      </c>
      <c r="E440" s="200">
        <v>10.539099999999999</v>
      </c>
      <c r="F440" s="201">
        <v>0.20069999999999999</v>
      </c>
      <c r="G440" s="200">
        <f>E440+F440</f>
        <v>10.739799999999999</v>
      </c>
      <c r="H440" s="200">
        <v>10.546799999999999</v>
      </c>
      <c r="I440" s="200">
        <f>(G440-H440)</f>
        <v>0.19299999999999962</v>
      </c>
      <c r="J440" s="200">
        <f>F440-I440</f>
        <v>7.7000000000003732E-3</v>
      </c>
      <c r="K440" s="277">
        <f>(J440/F440)*100</f>
        <v>3.836571998007162</v>
      </c>
      <c r="L440" s="200">
        <v>1</v>
      </c>
      <c r="M440" s="204">
        <v>43188</v>
      </c>
      <c r="N440" s="204">
        <v>43188</v>
      </c>
      <c r="O440" s="200"/>
      <c r="P440" s="200"/>
      <c r="U440" s="201" t="s">
        <v>1397</v>
      </c>
      <c r="V440" s="196">
        <v>0.9143</v>
      </c>
      <c r="W440" s="196">
        <f>(V440-$T$175+F438)</f>
        <v>1.1123000000000001</v>
      </c>
      <c r="AB440" s="110"/>
      <c r="AC440" s="110"/>
      <c r="AD440" s="110"/>
      <c r="AE440" s="110"/>
    </row>
    <row r="441" spans="1:31">
      <c r="A441" s="196" t="s">
        <v>1020</v>
      </c>
      <c r="C441" s="197">
        <v>2</v>
      </c>
      <c r="D441" s="196">
        <v>1.0841000000000001</v>
      </c>
      <c r="E441" s="201">
        <v>7.8714000000000004</v>
      </c>
      <c r="F441" s="201">
        <v>0.20100000000000001</v>
      </c>
      <c r="G441" s="200">
        <f>E441+F441</f>
        <v>8.0724</v>
      </c>
      <c r="H441" s="200">
        <v>7.8826999999999998</v>
      </c>
      <c r="I441" s="200">
        <f>(G441-H441)</f>
        <v>0.1897000000000002</v>
      </c>
      <c r="J441" s="200">
        <f>F441-I441</f>
        <v>1.129999999999981E-2</v>
      </c>
      <c r="K441" s="277">
        <f>(J441/F441)*100</f>
        <v>5.6218905472635869</v>
      </c>
      <c r="L441" s="200">
        <v>29</v>
      </c>
      <c r="M441" s="203">
        <v>43213</v>
      </c>
      <c r="N441" s="203">
        <v>43213</v>
      </c>
      <c r="T441" s="203"/>
      <c r="U441" s="203"/>
      <c r="AB441" s="110"/>
      <c r="AC441" s="110"/>
      <c r="AD441" s="110"/>
      <c r="AE441" s="110"/>
    </row>
    <row r="442" spans="1:31">
      <c r="A442" s="196" t="s">
        <v>1019</v>
      </c>
      <c r="P442" s="196" t="s">
        <v>3914</v>
      </c>
    </row>
    <row r="443" spans="1:31">
      <c r="A443" s="196" t="s">
        <v>1017</v>
      </c>
      <c r="C443" s="196">
        <v>161</v>
      </c>
      <c r="D443" s="196">
        <v>1.4500999999999999</v>
      </c>
      <c r="E443" s="196">
        <v>8.7805999999999997</v>
      </c>
      <c r="F443" s="196">
        <v>0.20710000000000001</v>
      </c>
      <c r="G443" s="196">
        <f t="shared" ref="G443:G469" si="67">E443+F443</f>
        <v>8.9877000000000002</v>
      </c>
      <c r="H443" s="196">
        <v>8.7827000000000002</v>
      </c>
      <c r="I443" s="196">
        <f t="shared" ref="I443:I467" si="68">(G443-H443)</f>
        <v>0.20500000000000007</v>
      </c>
      <c r="J443" s="200">
        <f t="shared" ref="J443:J469" si="69">F443-I443</f>
        <v>2.0999999999999353E-3</v>
      </c>
      <c r="K443" s="277">
        <f t="shared" ref="K443:K469" si="70">(J443/F443)*100</f>
        <v>1.0140028971511033</v>
      </c>
      <c r="L443" s="196">
        <v>2</v>
      </c>
      <c r="M443" s="196">
        <v>43160.520833333336</v>
      </c>
      <c r="N443" s="196">
        <v>43160.6875</v>
      </c>
      <c r="O443" s="196" t="s">
        <v>2534</v>
      </c>
      <c r="AB443" s="110"/>
      <c r="AC443" s="110"/>
      <c r="AD443" s="110"/>
      <c r="AE443" s="110"/>
    </row>
    <row r="444" spans="1:31">
      <c r="A444" s="196" t="s">
        <v>1016</v>
      </c>
      <c r="C444" s="197">
        <v>193</v>
      </c>
      <c r="D444" s="196">
        <v>1.0089999999999999</v>
      </c>
      <c r="E444" s="200">
        <v>9.4854000000000003</v>
      </c>
      <c r="F444" s="201">
        <v>0.20050000000000001</v>
      </c>
      <c r="G444" s="200">
        <f t="shared" si="67"/>
        <v>9.6859000000000002</v>
      </c>
      <c r="H444" s="200">
        <v>9.4951000000000008</v>
      </c>
      <c r="I444" s="200">
        <f t="shared" si="68"/>
        <v>0.19079999999999941</v>
      </c>
      <c r="J444" s="200">
        <f t="shared" si="69"/>
        <v>9.700000000000597E-3</v>
      </c>
      <c r="K444" s="277">
        <f t="shared" si="70"/>
        <v>4.8379052369080275</v>
      </c>
      <c r="L444" s="200">
        <v>22</v>
      </c>
      <c r="M444" s="203">
        <v>43212</v>
      </c>
      <c r="AB444" s="110"/>
      <c r="AC444" s="110"/>
      <c r="AD444" s="110"/>
      <c r="AE444" s="110"/>
    </row>
    <row r="445" spans="1:31">
      <c r="A445" s="205" t="s">
        <v>1015</v>
      </c>
      <c r="C445" s="200">
        <v>36</v>
      </c>
      <c r="D445" s="200">
        <v>1.3523000000000001</v>
      </c>
      <c r="E445" s="200">
        <v>10.114000000000001</v>
      </c>
      <c r="F445" s="200">
        <v>0.20669999999999999</v>
      </c>
      <c r="G445" s="200">
        <f t="shared" si="67"/>
        <v>10.3207</v>
      </c>
      <c r="H445" s="200">
        <v>10.120799999999999</v>
      </c>
      <c r="I445" s="200">
        <f t="shared" si="68"/>
        <v>0.1999000000000013</v>
      </c>
      <c r="J445" s="200">
        <f t="shared" si="69"/>
        <v>6.799999999998696E-3</v>
      </c>
      <c r="K445" s="277">
        <f t="shared" si="70"/>
        <v>3.2897919690366213</v>
      </c>
      <c r="L445" s="200">
        <v>25</v>
      </c>
      <c r="M445" s="204">
        <v>43188</v>
      </c>
      <c r="N445" s="204">
        <v>43188</v>
      </c>
      <c r="O445" s="200"/>
      <c r="P445" s="200"/>
      <c r="AB445" s="110"/>
      <c r="AC445" s="110"/>
      <c r="AD445" s="110"/>
      <c r="AE445" s="110"/>
    </row>
    <row r="446" spans="1:31">
      <c r="A446" s="205" t="s">
        <v>1013</v>
      </c>
      <c r="C446" s="200">
        <v>18</v>
      </c>
      <c r="D446" s="200">
        <v>1.5038</v>
      </c>
      <c r="E446" s="200">
        <v>8.7735000000000003</v>
      </c>
      <c r="F446" s="201">
        <v>0.2024</v>
      </c>
      <c r="G446" s="200">
        <f t="shared" si="67"/>
        <v>8.9759000000000011</v>
      </c>
      <c r="H446" s="200">
        <v>8.7866</v>
      </c>
      <c r="I446" s="200">
        <f t="shared" si="68"/>
        <v>0.18930000000000113</v>
      </c>
      <c r="J446" s="200">
        <f t="shared" si="69"/>
        <v>1.3099999999998863E-2</v>
      </c>
      <c r="K446" s="277">
        <f t="shared" si="70"/>
        <v>6.4723320158097151</v>
      </c>
      <c r="L446" s="200">
        <v>8</v>
      </c>
      <c r="M446" s="204">
        <v>43187</v>
      </c>
      <c r="N446" s="204">
        <v>43187</v>
      </c>
      <c r="O446" s="200"/>
      <c r="P446" s="200" t="s">
        <v>2582</v>
      </c>
      <c r="AB446" s="110"/>
      <c r="AC446" s="110"/>
      <c r="AD446" s="110"/>
      <c r="AE446" s="110"/>
    </row>
    <row r="447" spans="1:31">
      <c r="A447" s="205" t="s">
        <v>1012</v>
      </c>
      <c r="C447" s="200">
        <v>68</v>
      </c>
      <c r="D447" s="200">
        <v>1.5619000000000001</v>
      </c>
      <c r="E447" s="201">
        <v>7.3540999999999999</v>
      </c>
      <c r="F447" s="201">
        <v>0.2029</v>
      </c>
      <c r="G447" s="200">
        <f t="shared" si="67"/>
        <v>7.5569999999999995</v>
      </c>
      <c r="H447" s="200">
        <v>7.3837999999999999</v>
      </c>
      <c r="I447" s="200">
        <f t="shared" si="68"/>
        <v>0.17319999999999958</v>
      </c>
      <c r="J447" s="200">
        <f t="shared" si="69"/>
        <v>2.9700000000000421E-2</v>
      </c>
      <c r="K447" s="277">
        <f t="shared" si="70"/>
        <v>14.637752587481726</v>
      </c>
      <c r="L447" s="200">
        <v>16</v>
      </c>
      <c r="M447" s="204">
        <v>43199</v>
      </c>
      <c r="N447" s="204">
        <v>43199</v>
      </c>
      <c r="O447" s="200"/>
      <c r="P447" s="200"/>
      <c r="AB447" s="110"/>
      <c r="AC447" s="110"/>
      <c r="AD447" s="110"/>
      <c r="AE447" s="110"/>
    </row>
    <row r="448" spans="1:31">
      <c r="A448" s="205" t="s">
        <v>1011</v>
      </c>
      <c r="C448" s="200">
        <v>212</v>
      </c>
      <c r="D448" s="200">
        <v>1.45</v>
      </c>
      <c r="E448" s="200">
        <v>8.0891000000000002</v>
      </c>
      <c r="F448" s="200">
        <v>0.20219999999999999</v>
      </c>
      <c r="G448" s="200">
        <f t="shared" si="67"/>
        <v>8.2912999999999997</v>
      </c>
      <c r="H448" s="200">
        <v>8.1037999999999997</v>
      </c>
      <c r="I448" s="200">
        <f t="shared" si="68"/>
        <v>0.1875</v>
      </c>
      <c r="J448" s="200">
        <f t="shared" si="69"/>
        <v>1.4699999999999991E-2</v>
      </c>
      <c r="K448" s="277">
        <f t="shared" si="70"/>
        <v>7.2700296735904999</v>
      </c>
      <c r="L448" s="200">
        <v>1</v>
      </c>
      <c r="M448" s="202">
        <v>43171.520833333336</v>
      </c>
      <c r="N448" s="202">
        <v>43171.6875</v>
      </c>
      <c r="O448" s="196" t="s">
        <v>2534</v>
      </c>
      <c r="P448" s="200"/>
      <c r="AB448" s="110"/>
      <c r="AC448" s="110"/>
      <c r="AD448" s="110"/>
      <c r="AE448" s="110"/>
    </row>
    <row r="449" spans="1:31">
      <c r="A449" s="196" t="s">
        <v>1009</v>
      </c>
      <c r="C449" s="196">
        <v>23</v>
      </c>
      <c r="D449" s="196">
        <v>1.3028999999999999</v>
      </c>
      <c r="E449" s="196">
        <v>9.032</v>
      </c>
      <c r="F449" s="196">
        <v>0.20019999999999999</v>
      </c>
      <c r="G449" s="196">
        <f t="shared" si="67"/>
        <v>9.2322000000000006</v>
      </c>
      <c r="H449" s="196">
        <v>9.0356000000000005</v>
      </c>
      <c r="I449" s="196">
        <f t="shared" si="68"/>
        <v>0.19660000000000011</v>
      </c>
      <c r="J449" s="200">
        <f t="shared" si="69"/>
        <v>3.5999999999998811E-3</v>
      </c>
      <c r="K449" s="277">
        <f t="shared" si="70"/>
        <v>1.7982017982017391</v>
      </c>
      <c r="L449" s="196">
        <v>21</v>
      </c>
      <c r="M449" s="196" t="s">
        <v>2570</v>
      </c>
      <c r="N449" s="196" t="s">
        <v>2569</v>
      </c>
      <c r="O449" s="196" t="s">
        <v>2534</v>
      </c>
      <c r="AB449" s="110"/>
      <c r="AC449" s="110"/>
      <c r="AD449" s="110"/>
      <c r="AE449" s="110"/>
    </row>
    <row r="450" spans="1:31">
      <c r="A450" t="s">
        <v>1008</v>
      </c>
      <c r="C450" s="197"/>
      <c r="D450" s="196">
        <v>1.2074</v>
      </c>
      <c r="E450" s="196">
        <v>9.0214999999999996</v>
      </c>
      <c r="F450" s="201">
        <v>0.2011</v>
      </c>
      <c r="G450" s="200">
        <f t="shared" si="67"/>
        <v>9.2225999999999999</v>
      </c>
      <c r="H450" s="200">
        <v>9.0272000000000006</v>
      </c>
      <c r="I450" s="200">
        <f t="shared" si="68"/>
        <v>0.19539999999999935</v>
      </c>
      <c r="J450" s="200">
        <f t="shared" si="69"/>
        <v>5.700000000000649E-3</v>
      </c>
      <c r="K450" s="277">
        <f t="shared" si="70"/>
        <v>2.8344107409252359</v>
      </c>
      <c r="L450" s="200">
        <v>24</v>
      </c>
    </row>
    <row r="451" spans="1:31">
      <c r="A451" s="200" t="s">
        <v>1007</v>
      </c>
      <c r="C451" s="200">
        <v>83</v>
      </c>
      <c r="D451" s="201">
        <v>0.71630000000000005</v>
      </c>
      <c r="E451" s="200">
        <v>8.7734000000000005</v>
      </c>
      <c r="F451" s="201">
        <v>0.20419999999999999</v>
      </c>
      <c r="G451" s="200">
        <f t="shared" si="67"/>
        <v>8.9776000000000007</v>
      </c>
      <c r="H451" s="200">
        <v>8.9</v>
      </c>
      <c r="I451" s="200">
        <f t="shared" si="68"/>
        <v>7.7600000000000335E-2</v>
      </c>
      <c r="J451" s="200">
        <f t="shared" si="69"/>
        <v>0.12659999999999966</v>
      </c>
      <c r="K451" s="277">
        <f t="shared" si="70"/>
        <v>61.99804113614087</v>
      </c>
      <c r="L451" s="200">
        <v>2</v>
      </c>
      <c r="M451" s="204">
        <v>43206</v>
      </c>
      <c r="N451" s="204">
        <v>43206</v>
      </c>
      <c r="O451" s="200"/>
      <c r="P451" s="200"/>
      <c r="AB451" s="110"/>
      <c r="AC451" s="110"/>
      <c r="AD451" s="110"/>
      <c r="AE451" s="110"/>
    </row>
    <row r="452" spans="1:31">
      <c r="A452" s="205" t="s">
        <v>1006</v>
      </c>
      <c r="C452" s="200">
        <v>202</v>
      </c>
      <c r="D452" s="200">
        <v>1.3778999999999999</v>
      </c>
      <c r="E452" s="201">
        <v>10.6349</v>
      </c>
      <c r="F452" s="201">
        <v>0.2041</v>
      </c>
      <c r="G452" s="200">
        <f t="shared" si="67"/>
        <v>10.839</v>
      </c>
      <c r="H452" s="200">
        <v>10.642899999999999</v>
      </c>
      <c r="I452" s="200">
        <f t="shared" si="68"/>
        <v>0.19610000000000127</v>
      </c>
      <c r="J452" s="200">
        <f t="shared" si="69"/>
        <v>7.9999999999987303E-3</v>
      </c>
      <c r="K452" s="277">
        <f t="shared" si="70"/>
        <v>3.9196472317485203</v>
      </c>
      <c r="L452" s="200">
        <v>19</v>
      </c>
      <c r="M452" s="206">
        <v>43185.385416666664</v>
      </c>
      <c r="N452" s="200"/>
      <c r="O452" s="200" t="s">
        <v>2540</v>
      </c>
      <c r="P452" s="200"/>
      <c r="AB452" s="110"/>
      <c r="AC452" s="110"/>
      <c r="AD452" s="110"/>
      <c r="AE452" s="110"/>
    </row>
    <row r="453" spans="1:31">
      <c r="A453" s="196" t="s">
        <v>1005</v>
      </c>
      <c r="C453" s="197">
        <v>93</v>
      </c>
      <c r="D453" s="196">
        <v>1.4095</v>
      </c>
      <c r="E453" s="200">
        <v>8.1356000000000002</v>
      </c>
      <c r="F453" s="201">
        <v>0.2069</v>
      </c>
      <c r="G453" s="200">
        <f t="shared" si="67"/>
        <v>8.3424999999999994</v>
      </c>
      <c r="H453" s="200">
        <v>8.1402000000000001</v>
      </c>
      <c r="I453" s="200">
        <f t="shared" si="68"/>
        <v>0.20229999999999926</v>
      </c>
      <c r="J453" s="200">
        <f t="shared" si="69"/>
        <v>4.6000000000007424E-3</v>
      </c>
      <c r="K453" s="277">
        <f t="shared" si="70"/>
        <v>2.2232962783957189</v>
      </c>
      <c r="L453" s="200">
        <v>30</v>
      </c>
      <c r="M453" s="203">
        <v>43212</v>
      </c>
      <c r="AB453" s="110"/>
      <c r="AC453" s="110"/>
      <c r="AD453" s="110"/>
      <c r="AE453" s="110"/>
    </row>
    <row r="454" spans="1:31">
      <c r="A454" s="200" t="s">
        <v>1004</v>
      </c>
      <c r="C454" s="200">
        <v>77</v>
      </c>
      <c r="D454" s="200">
        <v>1.4125000000000001</v>
      </c>
      <c r="E454" s="200">
        <v>10.5098</v>
      </c>
      <c r="F454" s="201">
        <v>0.2024</v>
      </c>
      <c r="G454" s="200">
        <f t="shared" si="67"/>
        <v>10.712200000000001</v>
      </c>
      <c r="H454" s="200">
        <v>10.5337</v>
      </c>
      <c r="I454" s="200">
        <f t="shared" si="68"/>
        <v>0.17850000000000144</v>
      </c>
      <c r="J454" s="200">
        <f t="shared" si="69"/>
        <v>2.3899999999998561E-2</v>
      </c>
      <c r="K454" s="277">
        <f t="shared" si="70"/>
        <v>11.808300395256206</v>
      </c>
      <c r="L454" s="200">
        <v>33</v>
      </c>
      <c r="M454" s="204">
        <v>43187</v>
      </c>
      <c r="N454" s="204">
        <v>43187</v>
      </c>
      <c r="O454" s="200"/>
      <c r="P454" s="200"/>
      <c r="AB454" s="110"/>
      <c r="AC454" s="110"/>
      <c r="AD454" s="110"/>
      <c r="AE454" s="110"/>
    </row>
    <row r="455" spans="1:31">
      <c r="A455" s="196" t="s">
        <v>1003</v>
      </c>
      <c r="C455" s="196">
        <v>74</v>
      </c>
      <c r="D455" s="196">
        <v>1.4245000000000001</v>
      </c>
      <c r="E455" s="196">
        <v>8.7596000000000007</v>
      </c>
      <c r="F455" s="196">
        <v>0.2034</v>
      </c>
      <c r="G455" s="196">
        <f t="shared" si="67"/>
        <v>8.963000000000001</v>
      </c>
      <c r="H455" s="196">
        <v>8.7670999999999992</v>
      </c>
      <c r="I455" s="196">
        <f t="shared" si="68"/>
        <v>0.19590000000000174</v>
      </c>
      <c r="J455" s="200">
        <f t="shared" si="69"/>
        <v>7.4999999999982581E-3</v>
      </c>
      <c r="K455" s="277">
        <f t="shared" si="70"/>
        <v>3.6873156342174327</v>
      </c>
      <c r="L455" s="196">
        <v>5</v>
      </c>
      <c r="M455" s="196" t="s">
        <v>2564</v>
      </c>
      <c r="N455" s="196" t="s">
        <v>2563</v>
      </c>
      <c r="O455" s="196" t="s">
        <v>2540</v>
      </c>
      <c r="AB455" s="110"/>
      <c r="AC455" s="110"/>
      <c r="AD455" s="110"/>
      <c r="AE455" s="110"/>
    </row>
    <row r="456" spans="1:31">
      <c r="A456" s="196" t="s">
        <v>1002</v>
      </c>
      <c r="C456" s="197">
        <v>204</v>
      </c>
      <c r="D456" s="196">
        <v>1.4052</v>
      </c>
      <c r="E456" s="200">
        <v>8.0645000000000007</v>
      </c>
      <c r="F456" s="201">
        <v>0.20349999999999999</v>
      </c>
      <c r="G456" s="200">
        <f t="shared" si="67"/>
        <v>8.2680000000000007</v>
      </c>
      <c r="H456" s="200">
        <v>8.0704999999999991</v>
      </c>
      <c r="I456" s="200">
        <f t="shared" si="68"/>
        <v>0.19750000000000156</v>
      </c>
      <c r="J456" s="200">
        <f t="shared" si="69"/>
        <v>5.9999999999984233E-3</v>
      </c>
      <c r="K456" s="277">
        <f t="shared" si="70"/>
        <v>2.9484029484021739</v>
      </c>
      <c r="L456" s="200">
        <v>34</v>
      </c>
      <c r="M456" s="203">
        <v>43212</v>
      </c>
      <c r="AB456" s="110"/>
      <c r="AC456" s="110"/>
      <c r="AD456" s="110"/>
      <c r="AE456" s="110"/>
    </row>
    <row r="457" spans="1:31">
      <c r="A457" s="196" t="s">
        <v>1127</v>
      </c>
      <c r="C457" s="197">
        <v>72</v>
      </c>
      <c r="D457" s="196">
        <v>1.3372999999999999</v>
      </c>
      <c r="E457" s="200">
        <v>10.901899999999999</v>
      </c>
      <c r="F457" s="201">
        <v>0.20280000000000001</v>
      </c>
      <c r="G457" s="200">
        <f t="shared" si="67"/>
        <v>11.104699999999999</v>
      </c>
      <c r="H457" s="200">
        <v>10.908099999999999</v>
      </c>
      <c r="I457" s="200">
        <f t="shared" si="68"/>
        <v>0.19660000000000011</v>
      </c>
      <c r="J457" s="200">
        <f t="shared" si="69"/>
        <v>6.1999999999999E-3</v>
      </c>
      <c r="K457" s="277">
        <f t="shared" si="70"/>
        <v>3.0571992110453157</v>
      </c>
      <c r="L457" s="200">
        <v>31</v>
      </c>
      <c r="M457" s="203">
        <v>43212</v>
      </c>
      <c r="AB457" s="110"/>
      <c r="AC457" s="110"/>
      <c r="AD457" s="110"/>
      <c r="AE457" s="110"/>
    </row>
    <row r="458" spans="1:31">
      <c r="A458" s="196" t="s">
        <v>1000</v>
      </c>
      <c r="C458" s="197">
        <v>31</v>
      </c>
      <c r="D458" s="196">
        <v>1.0949</v>
      </c>
      <c r="E458" s="201">
        <v>9.6783999999999999</v>
      </c>
      <c r="F458" s="201">
        <v>0.2054</v>
      </c>
      <c r="G458" s="200">
        <f t="shared" si="67"/>
        <v>9.883799999999999</v>
      </c>
      <c r="H458" s="200">
        <v>9.6898</v>
      </c>
      <c r="I458" s="200">
        <f t="shared" si="68"/>
        <v>0.19399999999999906</v>
      </c>
      <c r="J458" s="200">
        <f t="shared" si="69"/>
        <v>1.1400000000000937E-2</v>
      </c>
      <c r="K458" s="277">
        <f t="shared" si="70"/>
        <v>5.5501460564756266</v>
      </c>
      <c r="L458" s="200">
        <v>7</v>
      </c>
      <c r="AB458" s="110"/>
      <c r="AC458" s="110"/>
      <c r="AD458" s="110"/>
      <c r="AE458" s="110"/>
    </row>
    <row r="459" spans="1:31">
      <c r="A459" s="200" t="s">
        <v>999</v>
      </c>
      <c r="C459" s="200">
        <v>209</v>
      </c>
      <c r="D459" s="200">
        <v>1.3449</v>
      </c>
      <c r="E459" s="200">
        <v>11.0547</v>
      </c>
      <c r="F459" s="200">
        <v>0.20760000000000001</v>
      </c>
      <c r="G459" s="200">
        <f t="shared" si="67"/>
        <v>11.2623</v>
      </c>
      <c r="H459" s="200">
        <v>11.0677</v>
      </c>
      <c r="I459" s="200">
        <f t="shared" si="68"/>
        <v>0.19459999999999944</v>
      </c>
      <c r="J459" s="200">
        <f t="shared" si="69"/>
        <v>1.3000000000000567E-2</v>
      </c>
      <c r="K459" s="277">
        <f t="shared" si="70"/>
        <v>6.2620423892102917</v>
      </c>
      <c r="L459" s="200">
        <v>1</v>
      </c>
      <c r="M459" s="204">
        <v>43174</v>
      </c>
      <c r="N459" s="204">
        <v>43174</v>
      </c>
      <c r="O459" s="200" t="s">
        <v>2540</v>
      </c>
      <c r="P459" s="200" t="s">
        <v>2539</v>
      </c>
      <c r="AB459" s="110"/>
      <c r="AC459" s="110"/>
      <c r="AD459" s="110"/>
      <c r="AE459" s="110"/>
    </row>
    <row r="460" spans="1:31">
      <c r="A460" s="196" t="s">
        <v>998</v>
      </c>
      <c r="C460" s="196">
        <v>61</v>
      </c>
      <c r="D460" s="196">
        <v>1.3476999999999999</v>
      </c>
      <c r="E460" s="196">
        <v>9.1336999999999993</v>
      </c>
      <c r="F460" s="196">
        <v>0.2026</v>
      </c>
      <c r="G460" s="196">
        <f t="shared" si="67"/>
        <v>9.3362999999999996</v>
      </c>
      <c r="H460" s="196">
        <v>9.1452000000000009</v>
      </c>
      <c r="I460" s="196">
        <f t="shared" si="68"/>
        <v>0.19109999999999872</v>
      </c>
      <c r="J460" s="200">
        <f t="shared" si="69"/>
        <v>1.1500000000001287E-2</v>
      </c>
      <c r="K460" s="277">
        <f t="shared" si="70"/>
        <v>5.6762092793688481</v>
      </c>
      <c r="L460" s="196">
        <v>40</v>
      </c>
      <c r="M460" s="196" t="s">
        <v>2570</v>
      </c>
      <c r="N460" s="196" t="s">
        <v>2569</v>
      </c>
      <c r="O460" s="196" t="s">
        <v>2534</v>
      </c>
      <c r="AB460" s="110"/>
      <c r="AC460" s="110"/>
      <c r="AD460" s="110"/>
      <c r="AE460" s="110"/>
    </row>
    <row r="461" spans="1:31">
      <c r="A461" s="196" t="s">
        <v>997</v>
      </c>
      <c r="C461" s="197">
        <v>24</v>
      </c>
      <c r="D461" s="200">
        <v>1.3768</v>
      </c>
      <c r="E461" s="201">
        <v>7.0932000000000004</v>
      </c>
      <c r="F461" s="201">
        <v>0.2034</v>
      </c>
      <c r="G461" s="200">
        <f t="shared" si="67"/>
        <v>7.2966000000000006</v>
      </c>
      <c r="H461" s="200">
        <v>7.1032999999999999</v>
      </c>
      <c r="I461" s="200">
        <f t="shared" si="68"/>
        <v>0.19330000000000069</v>
      </c>
      <c r="J461" s="200">
        <f t="shared" si="69"/>
        <v>1.0099999999999304E-2</v>
      </c>
      <c r="K461" s="277">
        <f t="shared" si="70"/>
        <v>4.9655850540802868</v>
      </c>
      <c r="L461" s="200">
        <v>22</v>
      </c>
      <c r="M461" s="203">
        <v>43213</v>
      </c>
      <c r="N461" s="203">
        <v>43213</v>
      </c>
      <c r="Q461" s="196" t="s">
        <v>2555</v>
      </c>
      <c r="R461" s="208"/>
      <c r="AB461" s="110"/>
      <c r="AC461" s="110"/>
      <c r="AD461" s="110"/>
      <c r="AE461" s="110"/>
    </row>
    <row r="462" spans="1:31">
      <c r="A462" s="196" t="s">
        <v>996</v>
      </c>
      <c r="C462" s="196">
        <v>215</v>
      </c>
      <c r="D462" s="196">
        <v>1.3466</v>
      </c>
      <c r="E462" s="201">
        <v>7.7739000000000003</v>
      </c>
      <c r="F462" s="201">
        <v>0.20599999999999999</v>
      </c>
      <c r="G462" s="200">
        <f t="shared" si="67"/>
        <v>7.9799000000000007</v>
      </c>
      <c r="H462" s="200">
        <v>7.7789000000000001</v>
      </c>
      <c r="I462" s="200">
        <f t="shared" si="68"/>
        <v>0.20100000000000051</v>
      </c>
      <c r="J462" s="200">
        <f t="shared" si="69"/>
        <v>4.9999999999994771E-3</v>
      </c>
      <c r="K462" s="277">
        <f t="shared" si="70"/>
        <v>2.4271844660191637</v>
      </c>
      <c r="L462" s="200">
        <v>11</v>
      </c>
      <c r="AB462" s="110"/>
      <c r="AC462" s="110"/>
      <c r="AD462" s="110"/>
      <c r="AE462" s="110"/>
    </row>
    <row r="463" spans="1:31">
      <c r="A463" s="205" t="s">
        <v>995</v>
      </c>
      <c r="C463" s="200">
        <v>47</v>
      </c>
      <c r="D463" s="200">
        <v>1.4187000000000001</v>
      </c>
      <c r="E463" s="201">
        <v>9.5541</v>
      </c>
      <c r="F463" s="201">
        <v>0.2079</v>
      </c>
      <c r="G463" s="200">
        <f t="shared" si="67"/>
        <v>9.7620000000000005</v>
      </c>
      <c r="H463" s="200">
        <v>9.5693999999999999</v>
      </c>
      <c r="I463" s="200">
        <f t="shared" si="68"/>
        <v>0.19260000000000055</v>
      </c>
      <c r="J463" s="200">
        <f t="shared" si="69"/>
        <v>1.5299999999999453E-2</v>
      </c>
      <c r="K463" s="277">
        <f t="shared" si="70"/>
        <v>7.3593073593070963</v>
      </c>
      <c r="L463" s="200">
        <v>30</v>
      </c>
      <c r="M463" s="204">
        <v>43188</v>
      </c>
      <c r="N463" s="204">
        <v>43188</v>
      </c>
      <c r="O463" s="200"/>
      <c r="P463" s="200"/>
      <c r="AB463" s="110"/>
      <c r="AC463" s="110"/>
      <c r="AD463" s="110"/>
      <c r="AE463" s="110"/>
    </row>
    <row r="464" spans="1:31">
      <c r="A464" s="205" t="s">
        <v>994</v>
      </c>
      <c r="C464" s="200">
        <v>38</v>
      </c>
      <c r="D464" s="200">
        <v>1.1283000000000001</v>
      </c>
      <c r="E464" s="200">
        <v>8.8604000000000003</v>
      </c>
      <c r="F464" s="200">
        <v>0.2074</v>
      </c>
      <c r="G464" s="200">
        <f t="shared" si="67"/>
        <v>9.0678000000000001</v>
      </c>
      <c r="H464" s="200">
        <v>8.8747000000000007</v>
      </c>
      <c r="I464" s="200">
        <f t="shared" si="68"/>
        <v>0.19309999999999938</v>
      </c>
      <c r="J464" s="200">
        <f t="shared" si="69"/>
        <v>1.4300000000000618E-2</v>
      </c>
      <c r="K464" s="277">
        <f t="shared" si="70"/>
        <v>6.8948891031825541</v>
      </c>
      <c r="L464" s="200">
        <v>26</v>
      </c>
      <c r="M464" s="204">
        <v>43188</v>
      </c>
      <c r="N464" s="204">
        <v>43188</v>
      </c>
      <c r="O464" s="200"/>
      <c r="P464" s="200"/>
      <c r="AB464" s="110"/>
      <c r="AC464" s="110"/>
      <c r="AD464" s="110"/>
      <c r="AE464" s="110"/>
    </row>
    <row r="465" spans="1:31">
      <c r="A465" s="196" t="s">
        <v>993</v>
      </c>
      <c r="C465" s="197">
        <v>26</v>
      </c>
      <c r="D465" s="196">
        <v>1.3535999999999999</v>
      </c>
      <c r="E465" s="201">
        <v>10.2719</v>
      </c>
      <c r="F465" s="201">
        <v>0.20019999999999999</v>
      </c>
      <c r="G465" s="200">
        <f t="shared" si="67"/>
        <v>10.472100000000001</v>
      </c>
      <c r="H465" s="200">
        <v>10.278600000000001</v>
      </c>
      <c r="I465" s="200">
        <f t="shared" si="68"/>
        <v>0.19350000000000023</v>
      </c>
      <c r="J465" s="200">
        <f t="shared" si="69"/>
        <v>6.6999999999997617E-3</v>
      </c>
      <c r="K465" s="277">
        <f t="shared" si="70"/>
        <v>3.3466533466532278</v>
      </c>
      <c r="L465" s="200">
        <v>27</v>
      </c>
      <c r="AB465" s="110"/>
      <c r="AC465" s="110"/>
      <c r="AD465" s="110"/>
      <c r="AE465" s="110"/>
    </row>
    <row r="466" spans="1:31">
      <c r="A466" s="200" t="s">
        <v>992</v>
      </c>
      <c r="C466" s="200">
        <v>207</v>
      </c>
      <c r="D466" s="200">
        <v>1.1487000000000001</v>
      </c>
      <c r="E466" s="201">
        <v>10.565200000000001</v>
      </c>
      <c r="F466" s="201">
        <v>0.20499999999999999</v>
      </c>
      <c r="G466" s="200">
        <f t="shared" si="67"/>
        <v>10.770200000000001</v>
      </c>
      <c r="H466" s="200">
        <v>10.5845</v>
      </c>
      <c r="I466" s="200">
        <f t="shared" si="68"/>
        <v>0.18570000000000064</v>
      </c>
      <c r="J466" s="200">
        <f t="shared" si="69"/>
        <v>1.9299999999999345E-2</v>
      </c>
      <c r="K466" s="277">
        <f t="shared" si="70"/>
        <v>9.4146341463411449</v>
      </c>
      <c r="L466" s="200">
        <v>5</v>
      </c>
      <c r="M466" s="204">
        <v>43197</v>
      </c>
      <c r="N466" s="204">
        <v>43197</v>
      </c>
      <c r="O466" s="200"/>
      <c r="P466" s="200"/>
      <c r="AB466" s="110"/>
      <c r="AC466" s="110"/>
      <c r="AD466" s="110"/>
      <c r="AE466" s="110"/>
    </row>
    <row r="467" spans="1:31">
      <c r="A467" s="205" t="s">
        <v>1126</v>
      </c>
      <c r="C467" s="200">
        <v>144</v>
      </c>
      <c r="D467" s="200">
        <v>1.3636999999999999</v>
      </c>
      <c r="E467" s="201">
        <v>7.8712</v>
      </c>
      <c r="F467" s="201">
        <v>0.20200000000000001</v>
      </c>
      <c r="G467" s="200">
        <f t="shared" si="67"/>
        <v>8.0731999999999999</v>
      </c>
      <c r="H467" s="200">
        <v>7.8936999999999999</v>
      </c>
      <c r="I467" s="200">
        <f t="shared" si="68"/>
        <v>0.17949999999999999</v>
      </c>
      <c r="J467" s="200">
        <f t="shared" si="69"/>
        <v>2.250000000000002E-2</v>
      </c>
      <c r="K467" s="277">
        <f t="shared" si="70"/>
        <v>11.138613861386148</v>
      </c>
      <c r="L467" s="200">
        <v>1</v>
      </c>
      <c r="M467" s="204">
        <v>43197</v>
      </c>
      <c r="N467" s="204">
        <v>43197</v>
      </c>
      <c r="O467" s="200"/>
      <c r="P467" s="200"/>
      <c r="AB467" s="110"/>
      <c r="AC467" s="110"/>
      <c r="AD467" s="110"/>
      <c r="AE467" s="110"/>
    </row>
    <row r="468" spans="1:31">
      <c r="A468" s="196" t="s">
        <v>991</v>
      </c>
      <c r="C468" s="196">
        <v>66</v>
      </c>
      <c r="D468" s="196">
        <v>0</v>
      </c>
      <c r="E468" s="201">
        <v>0</v>
      </c>
      <c r="F468" s="201">
        <v>0</v>
      </c>
      <c r="G468" s="200">
        <f t="shared" si="67"/>
        <v>0</v>
      </c>
      <c r="J468" s="200">
        <f t="shared" si="69"/>
        <v>0</v>
      </c>
      <c r="K468" s="277" t="e">
        <f t="shared" si="70"/>
        <v>#DIV/0!</v>
      </c>
      <c r="L468" s="200">
        <v>0</v>
      </c>
      <c r="AB468" s="110"/>
      <c r="AC468" s="110"/>
      <c r="AD468" s="110"/>
      <c r="AE468" s="110"/>
    </row>
    <row r="469" spans="1:31">
      <c r="A469" s="205" t="s">
        <v>990</v>
      </c>
      <c r="C469" s="200">
        <v>70</v>
      </c>
      <c r="D469" s="200">
        <v>1.1900999999999999</v>
      </c>
      <c r="E469" s="201">
        <v>7.8391000000000002</v>
      </c>
      <c r="F469" s="201">
        <v>0.20180000000000001</v>
      </c>
      <c r="G469" s="200">
        <f t="shared" si="67"/>
        <v>8.0409000000000006</v>
      </c>
      <c r="H469" s="200">
        <v>8.0188000000000006</v>
      </c>
      <c r="I469" s="200">
        <f>(G469-H469)</f>
        <v>2.2100000000000009E-2</v>
      </c>
      <c r="J469" s="200">
        <f t="shared" si="69"/>
        <v>0.1797</v>
      </c>
      <c r="K469" s="277">
        <f t="shared" si="70"/>
        <v>89.048562933597623</v>
      </c>
      <c r="L469" s="200">
        <v>10</v>
      </c>
      <c r="M469" s="202">
        <v>43181.645833333336</v>
      </c>
      <c r="N469" s="202">
        <v>43181.833333333336</v>
      </c>
      <c r="O469" s="200" t="s">
        <v>2540</v>
      </c>
      <c r="P469" s="200"/>
      <c r="AB469" s="110"/>
      <c r="AC469" s="110"/>
      <c r="AD469" s="110"/>
      <c r="AE469" s="110"/>
    </row>
    <row r="470" spans="1:31">
      <c r="A470" s="196" t="s">
        <v>988</v>
      </c>
      <c r="P470" s="196" t="s">
        <v>3914</v>
      </c>
      <c r="AB470" s="110"/>
      <c r="AC470" s="110"/>
      <c r="AD470" s="110"/>
      <c r="AE470" s="110"/>
    </row>
    <row r="471" spans="1:31">
      <c r="A471" s="196" t="s">
        <v>987</v>
      </c>
      <c r="C471" s="197">
        <v>16</v>
      </c>
      <c r="D471" s="196">
        <v>1.2141</v>
      </c>
      <c r="E471" s="201">
        <v>7.8715999999999999</v>
      </c>
      <c r="F471" s="201">
        <v>0.20699999999999999</v>
      </c>
      <c r="G471" s="200">
        <f t="shared" ref="G471:G488" si="71">E471+F471</f>
        <v>8.0785999999999998</v>
      </c>
      <c r="H471" s="200">
        <v>7.88</v>
      </c>
      <c r="I471" s="200">
        <f t="shared" ref="I471:I488" si="72">(G471-H471)</f>
        <v>0.19859999999999989</v>
      </c>
      <c r="J471" s="200">
        <f t="shared" ref="J471:J488" si="73">F471-I471</f>
        <v>8.4000000000001018E-3</v>
      </c>
      <c r="K471" s="277">
        <f t="shared" ref="K471:K488" si="74">(J471/F471)*100</f>
        <v>4.0579710144928036</v>
      </c>
      <c r="L471" s="200">
        <v>20</v>
      </c>
      <c r="AB471" s="110"/>
      <c r="AC471" s="110"/>
      <c r="AD471" s="110"/>
      <c r="AE471" s="110"/>
    </row>
    <row r="472" spans="1:31">
      <c r="A472" s="196" t="s">
        <v>986</v>
      </c>
      <c r="C472" s="197">
        <v>49</v>
      </c>
      <c r="D472" s="196">
        <v>1.3464</v>
      </c>
      <c r="E472" s="200">
        <v>10.7395</v>
      </c>
      <c r="F472" s="201">
        <v>0.19989999999999999</v>
      </c>
      <c r="G472" s="200">
        <f t="shared" si="71"/>
        <v>10.939399999999999</v>
      </c>
      <c r="H472" s="200">
        <v>10.760899999999999</v>
      </c>
      <c r="I472" s="200">
        <f t="shared" si="72"/>
        <v>0.17849999999999966</v>
      </c>
      <c r="J472" s="200">
        <f t="shared" si="73"/>
        <v>2.1400000000000335E-2</v>
      </c>
      <c r="K472" s="277">
        <f t="shared" si="74"/>
        <v>10.705352676338336</v>
      </c>
      <c r="L472" s="200">
        <v>28</v>
      </c>
      <c r="M472" s="203">
        <v>43212</v>
      </c>
      <c r="R472" s="196">
        <v>4</v>
      </c>
      <c r="S472" s="196">
        <v>0.63580000000000003</v>
      </c>
      <c r="U472" s="201" t="s">
        <v>683</v>
      </c>
      <c r="V472" s="196">
        <v>0.87729999999999997</v>
      </c>
      <c r="W472" s="196">
        <f>(V472-$T$175+F470)</f>
        <v>0.87729999999999997</v>
      </c>
      <c r="AB472" s="110"/>
      <c r="AC472" s="110"/>
      <c r="AD472" s="110"/>
      <c r="AE472" s="110"/>
    </row>
    <row r="473" spans="1:31">
      <c r="A473" s="196" t="s">
        <v>985</v>
      </c>
      <c r="C473" s="197">
        <v>32</v>
      </c>
      <c r="D473" s="196">
        <v>1.0456000000000001</v>
      </c>
      <c r="E473" s="201">
        <v>10.153499999999999</v>
      </c>
      <c r="F473" s="201">
        <v>0.20519999999999999</v>
      </c>
      <c r="G473" s="200">
        <f t="shared" si="71"/>
        <v>10.358699999999999</v>
      </c>
      <c r="H473" s="200">
        <v>10.164899999999999</v>
      </c>
      <c r="I473" s="200">
        <f t="shared" si="72"/>
        <v>0.19379999999999953</v>
      </c>
      <c r="J473" s="200">
        <f t="shared" si="73"/>
        <v>1.1400000000000465E-2</v>
      </c>
      <c r="K473" s="277">
        <f t="shared" si="74"/>
        <v>5.5555555555557818</v>
      </c>
      <c r="L473" s="200">
        <v>25</v>
      </c>
      <c r="AB473" s="110"/>
      <c r="AC473" s="110"/>
      <c r="AD473" s="110"/>
      <c r="AE473" s="110"/>
    </row>
    <row r="474" spans="1:31">
      <c r="A474" s="200" t="s">
        <v>984</v>
      </c>
      <c r="C474" s="200">
        <v>172</v>
      </c>
      <c r="D474" s="200">
        <f>1.2551+F474</f>
        <v>1.4623000000000002</v>
      </c>
      <c r="E474" s="201">
        <v>9.0211000000000006</v>
      </c>
      <c r="F474" s="201">
        <v>0.2072</v>
      </c>
      <c r="G474" s="200">
        <f t="shared" si="71"/>
        <v>9.2283000000000008</v>
      </c>
      <c r="H474" s="200">
        <v>9.0306999999999995</v>
      </c>
      <c r="I474" s="200">
        <f t="shared" si="72"/>
        <v>0.19760000000000133</v>
      </c>
      <c r="J474" s="200">
        <f t="shared" si="73"/>
        <v>9.5999999999986652E-3</v>
      </c>
      <c r="K474" s="277">
        <f t="shared" si="74"/>
        <v>4.6332046332039889</v>
      </c>
      <c r="L474" s="200">
        <v>22</v>
      </c>
      <c r="M474" s="204">
        <v>43174</v>
      </c>
      <c r="N474" s="204">
        <v>43174</v>
      </c>
      <c r="O474" s="200" t="s">
        <v>2540</v>
      </c>
      <c r="P474" s="200" t="s">
        <v>2535</v>
      </c>
      <c r="AB474" s="110"/>
      <c r="AC474" s="110"/>
      <c r="AD474" s="110"/>
      <c r="AE474" s="110"/>
    </row>
    <row r="475" spans="1:31">
      <c r="A475" s="205" t="s">
        <v>982</v>
      </c>
      <c r="C475" s="200">
        <v>64</v>
      </c>
      <c r="D475" s="201">
        <v>0.96220000000000006</v>
      </c>
      <c r="E475" s="200">
        <v>8.0883000000000003</v>
      </c>
      <c r="F475" s="201">
        <v>0.2029</v>
      </c>
      <c r="G475" s="200">
        <f t="shared" si="71"/>
        <v>8.2911999999999999</v>
      </c>
      <c r="H475" s="200">
        <v>8.2555999999999994</v>
      </c>
      <c r="I475" s="200">
        <f t="shared" si="72"/>
        <v>3.560000000000052E-2</v>
      </c>
      <c r="J475" s="200">
        <f t="shared" si="73"/>
        <v>0.16729999999999948</v>
      </c>
      <c r="K475" s="277">
        <f t="shared" si="74"/>
        <v>82.454411039920885</v>
      </c>
      <c r="L475" s="200">
        <v>18</v>
      </c>
      <c r="M475" s="204">
        <v>43206</v>
      </c>
      <c r="N475" s="204">
        <v>43206</v>
      </c>
      <c r="O475" s="200"/>
      <c r="P475" s="200"/>
      <c r="AB475" s="110"/>
      <c r="AC475" s="110"/>
      <c r="AD475" s="110"/>
      <c r="AE475" s="110"/>
    </row>
    <row r="476" spans="1:31">
      <c r="A476" s="205" t="s">
        <v>1125</v>
      </c>
      <c r="C476" s="200">
        <v>158</v>
      </c>
      <c r="D476" s="201">
        <v>1.5450999999999999</v>
      </c>
      <c r="E476" s="201">
        <v>11.1591</v>
      </c>
      <c r="F476" s="201">
        <v>0.2041</v>
      </c>
      <c r="G476" s="200">
        <f t="shared" si="71"/>
        <v>11.363200000000001</v>
      </c>
      <c r="H476" s="200">
        <v>11.169</v>
      </c>
      <c r="I476" s="200">
        <f t="shared" si="72"/>
        <v>0.19420000000000037</v>
      </c>
      <c r="J476" s="200">
        <f t="shared" si="73"/>
        <v>9.8999999999996313E-3</v>
      </c>
      <c r="K476" s="277">
        <f t="shared" si="74"/>
        <v>4.8505634492893828</v>
      </c>
      <c r="L476" s="200">
        <v>21</v>
      </c>
      <c r="M476" s="204">
        <v>43199</v>
      </c>
      <c r="N476" s="204">
        <v>43199</v>
      </c>
      <c r="O476" s="200"/>
      <c r="P476" s="200"/>
      <c r="AB476" s="110"/>
      <c r="AC476" s="110"/>
      <c r="AD476" s="110"/>
      <c r="AE476" s="110"/>
    </row>
    <row r="477" spans="1:31">
      <c r="A477" s="196" t="s">
        <v>980</v>
      </c>
      <c r="C477" s="197">
        <v>57</v>
      </c>
      <c r="D477" s="196">
        <v>1.1411</v>
      </c>
      <c r="E477" s="196">
        <v>7.4744999999999999</v>
      </c>
      <c r="F477" s="201">
        <v>0.20649999999999999</v>
      </c>
      <c r="G477" s="200">
        <f t="shared" si="71"/>
        <v>7.681</v>
      </c>
      <c r="H477" s="200">
        <v>7.4943999999999997</v>
      </c>
      <c r="I477" s="200">
        <f t="shared" si="72"/>
        <v>0.18660000000000032</v>
      </c>
      <c r="J477" s="200">
        <f t="shared" si="73"/>
        <v>1.9899999999999668E-2</v>
      </c>
      <c r="K477" s="277">
        <f t="shared" si="74"/>
        <v>9.63680387409185</v>
      </c>
      <c r="L477" s="200">
        <v>10</v>
      </c>
      <c r="U477" s="201" t="s">
        <v>1063</v>
      </c>
      <c r="V477" s="196">
        <v>1.8218000000000001</v>
      </c>
      <c r="W477" s="196">
        <f>(V477-$T$175+F475)</f>
        <v>2.0247000000000002</v>
      </c>
      <c r="AB477" s="110"/>
      <c r="AC477" s="110"/>
      <c r="AD477" s="110"/>
      <c r="AE477" s="110"/>
    </row>
    <row r="478" spans="1:31">
      <c r="A478" s="196" t="s">
        <v>977</v>
      </c>
      <c r="C478" s="196">
        <v>190</v>
      </c>
      <c r="D478" s="196">
        <v>1.4583999999999999</v>
      </c>
      <c r="E478" s="201">
        <v>7.7739000000000003</v>
      </c>
      <c r="F478" s="201">
        <v>0.20449999999999999</v>
      </c>
      <c r="G478" s="200">
        <f t="shared" si="71"/>
        <v>7.9784000000000006</v>
      </c>
      <c r="H478" s="200">
        <v>7.7792000000000003</v>
      </c>
      <c r="I478" s="200">
        <f t="shared" si="72"/>
        <v>0.19920000000000027</v>
      </c>
      <c r="J478" s="200">
        <f t="shared" si="73"/>
        <v>5.2999999999997216E-3</v>
      </c>
      <c r="K478" s="277">
        <f t="shared" si="74"/>
        <v>2.591687041564656</v>
      </c>
      <c r="L478" s="200">
        <v>23</v>
      </c>
      <c r="AB478" s="110"/>
      <c r="AC478" s="110"/>
      <c r="AD478" s="110"/>
      <c r="AE478" s="110"/>
    </row>
    <row r="479" spans="1:31">
      <c r="A479" s="196" t="s">
        <v>976</v>
      </c>
      <c r="C479" s="196">
        <v>67</v>
      </c>
      <c r="D479" s="196">
        <v>1.2485999999999999</v>
      </c>
      <c r="E479" s="196">
        <v>8.0462000000000007</v>
      </c>
      <c r="F479" s="196">
        <v>0.2016</v>
      </c>
      <c r="G479" s="196">
        <f t="shared" si="71"/>
        <v>8.2478000000000016</v>
      </c>
      <c r="H479" s="196">
        <v>8.0561000000000007</v>
      </c>
      <c r="I479" s="196">
        <f t="shared" si="72"/>
        <v>0.19170000000000087</v>
      </c>
      <c r="J479" s="200">
        <f t="shared" si="73"/>
        <v>9.8999999999991317E-3</v>
      </c>
      <c r="K479" s="277">
        <f t="shared" si="74"/>
        <v>4.9107142857138548</v>
      </c>
      <c r="L479" s="196">
        <v>2</v>
      </c>
      <c r="M479" s="196" t="s">
        <v>2564</v>
      </c>
      <c r="N479" s="196" t="s">
        <v>2563</v>
      </c>
      <c r="O479" s="196" t="s">
        <v>2540</v>
      </c>
      <c r="AB479" s="110"/>
      <c r="AC479" s="110"/>
      <c r="AD479" s="110"/>
      <c r="AE479" s="110"/>
    </row>
    <row r="480" spans="1:31">
      <c r="A480" s="196" t="s">
        <v>975</v>
      </c>
      <c r="C480" s="196">
        <v>44</v>
      </c>
      <c r="D480" s="196">
        <v>1.3684000000000001</v>
      </c>
      <c r="E480" s="196">
        <v>8.0656999999999996</v>
      </c>
      <c r="F480" s="196">
        <v>0.20130000000000001</v>
      </c>
      <c r="G480" s="196">
        <f t="shared" si="71"/>
        <v>8.2669999999999995</v>
      </c>
      <c r="H480" s="196">
        <v>8.0754999999999999</v>
      </c>
      <c r="I480" s="196">
        <f t="shared" si="72"/>
        <v>0.19149999999999956</v>
      </c>
      <c r="J480" s="200">
        <f t="shared" si="73"/>
        <v>9.8000000000004472E-3</v>
      </c>
      <c r="K480" s="277">
        <f t="shared" si="74"/>
        <v>4.868355688028041</v>
      </c>
      <c r="L480" s="196">
        <v>29</v>
      </c>
      <c r="M480" s="196" t="s">
        <v>2570</v>
      </c>
      <c r="N480" s="196" t="s">
        <v>2569</v>
      </c>
      <c r="O480" s="196" t="s">
        <v>2534</v>
      </c>
      <c r="AB480" s="110"/>
      <c r="AC480" s="110"/>
      <c r="AD480" s="110"/>
      <c r="AE480" s="110"/>
    </row>
    <row r="481" spans="1:31">
      <c r="A481" s="205" t="s">
        <v>974</v>
      </c>
      <c r="C481" s="196">
        <v>194</v>
      </c>
      <c r="D481" s="200">
        <v>1.2291000000000001</v>
      </c>
      <c r="E481" s="201">
        <v>8.0465</v>
      </c>
      <c r="F481" s="201">
        <v>0.20039999999999999</v>
      </c>
      <c r="G481" s="200">
        <f t="shared" si="71"/>
        <v>8.2469000000000001</v>
      </c>
      <c r="H481" s="200">
        <v>8.0530000000000008</v>
      </c>
      <c r="I481" s="200">
        <f t="shared" si="72"/>
        <v>0.1938999999999993</v>
      </c>
      <c r="J481" s="200">
        <f t="shared" si="73"/>
        <v>6.5000000000006997E-3</v>
      </c>
      <c r="K481" s="277">
        <f t="shared" si="74"/>
        <v>3.2435129740522455</v>
      </c>
      <c r="L481" s="200">
        <v>20</v>
      </c>
      <c r="M481" s="206">
        <v>43186.458333333336</v>
      </c>
      <c r="N481" s="206">
        <v>43186.625</v>
      </c>
      <c r="O481" s="196" t="s">
        <v>2534</v>
      </c>
      <c r="P481" s="200" t="s">
        <v>2542</v>
      </c>
      <c r="AB481" s="110"/>
      <c r="AC481" s="110"/>
      <c r="AD481" s="110"/>
      <c r="AE481" s="110"/>
    </row>
    <row r="482" spans="1:31">
      <c r="A482" s="196" t="s">
        <v>973</v>
      </c>
      <c r="C482" s="200">
        <v>198</v>
      </c>
      <c r="D482" s="200">
        <v>1.3452999999999999</v>
      </c>
      <c r="E482" s="200">
        <v>8.0958000000000006</v>
      </c>
      <c r="F482" s="200">
        <v>0.20519999999999999</v>
      </c>
      <c r="G482" s="200">
        <f t="shared" si="71"/>
        <v>8.3010000000000002</v>
      </c>
      <c r="H482" s="200">
        <v>8.1021999999999998</v>
      </c>
      <c r="I482" s="200">
        <f t="shared" si="72"/>
        <v>0.19880000000000031</v>
      </c>
      <c r="J482" s="200">
        <f t="shared" si="73"/>
        <v>6.3999999999996837E-3</v>
      </c>
      <c r="K482" s="277">
        <f t="shared" si="74"/>
        <v>3.118908382066123</v>
      </c>
      <c r="L482" s="200">
        <v>21</v>
      </c>
      <c r="M482" s="202">
        <v>43164.628472222219</v>
      </c>
      <c r="N482" s="202">
        <v>43164.795138888891</v>
      </c>
      <c r="O482" s="196" t="s">
        <v>2534</v>
      </c>
      <c r="P482" s="200"/>
      <c r="AB482" s="110"/>
      <c r="AC482" s="110"/>
      <c r="AD482" s="110"/>
      <c r="AE482" s="110"/>
    </row>
    <row r="483" spans="1:31">
      <c r="A483" s="196" t="s">
        <v>972</v>
      </c>
      <c r="C483" s="196">
        <v>9</v>
      </c>
      <c r="D483" s="196">
        <v>2.444</v>
      </c>
      <c r="E483" s="196">
        <v>11.4542</v>
      </c>
      <c r="F483" s="201">
        <v>0.20580000000000001</v>
      </c>
      <c r="G483" s="200">
        <f t="shared" si="71"/>
        <v>11.66</v>
      </c>
      <c r="H483" s="200">
        <v>11.6503</v>
      </c>
      <c r="I483" s="200">
        <f t="shared" si="72"/>
        <v>9.700000000000486E-3</v>
      </c>
      <c r="J483" s="200">
        <f t="shared" si="73"/>
        <v>0.19609999999999952</v>
      </c>
      <c r="K483" s="277">
        <f t="shared" si="74"/>
        <v>95.2866861030124</v>
      </c>
      <c r="L483" s="200">
        <v>15</v>
      </c>
      <c r="AB483" s="110"/>
      <c r="AC483" s="110"/>
      <c r="AD483" s="110"/>
      <c r="AE483" s="110"/>
    </row>
    <row r="484" spans="1:31">
      <c r="A484" s="196" t="s">
        <v>1124</v>
      </c>
      <c r="C484" s="197">
        <v>1</v>
      </c>
      <c r="D484" s="196">
        <v>0.83950000000000002</v>
      </c>
      <c r="E484" s="196">
        <v>9.4854000000000003</v>
      </c>
      <c r="F484" s="201">
        <v>0.20369999999999999</v>
      </c>
      <c r="G484" s="200">
        <f t="shared" si="71"/>
        <v>9.6890999999999998</v>
      </c>
      <c r="H484" s="200">
        <v>9.5219000000000005</v>
      </c>
      <c r="I484" s="200">
        <f t="shared" si="72"/>
        <v>0.16719999999999935</v>
      </c>
      <c r="J484" s="200">
        <f t="shared" si="73"/>
        <v>3.6500000000000643E-2</v>
      </c>
      <c r="K484" s="277">
        <f t="shared" si="74"/>
        <v>17.918507609229575</v>
      </c>
      <c r="L484" s="200">
        <v>7</v>
      </c>
      <c r="T484" s="203"/>
      <c r="U484" s="203"/>
      <c r="AB484" s="110"/>
      <c r="AC484" s="110"/>
      <c r="AD484" s="110"/>
      <c r="AE484" s="110"/>
    </row>
    <row r="485" spans="1:31">
      <c r="A485" s="200" t="s">
        <v>970</v>
      </c>
      <c r="C485" s="200">
        <v>89</v>
      </c>
      <c r="D485" s="200">
        <v>1.734</v>
      </c>
      <c r="E485" s="200">
        <v>8.1188000000000002</v>
      </c>
      <c r="F485" s="201">
        <v>0.2016</v>
      </c>
      <c r="G485" s="200">
        <f t="shared" si="71"/>
        <v>8.3203999999999994</v>
      </c>
      <c r="H485" s="200">
        <v>8.1588999999999992</v>
      </c>
      <c r="I485" s="200">
        <f t="shared" si="72"/>
        <v>0.1615000000000002</v>
      </c>
      <c r="J485" s="200">
        <f t="shared" si="73"/>
        <v>4.0099999999999802E-2</v>
      </c>
      <c r="K485" s="277">
        <f t="shared" si="74"/>
        <v>19.890873015872916</v>
      </c>
      <c r="L485" s="200">
        <v>5</v>
      </c>
      <c r="M485" s="204">
        <v>43187</v>
      </c>
      <c r="N485" s="204">
        <v>43187</v>
      </c>
      <c r="O485" s="200"/>
      <c r="P485" s="200"/>
      <c r="AB485" s="110"/>
      <c r="AC485" s="110"/>
      <c r="AD485" s="110"/>
      <c r="AE485" s="110"/>
    </row>
    <row r="486" spans="1:31">
      <c r="A486" s="196" t="s">
        <v>969</v>
      </c>
      <c r="C486" s="197">
        <v>28</v>
      </c>
      <c r="D486" s="196">
        <v>1.2393000000000001</v>
      </c>
      <c r="E486" s="201">
        <v>10.6747</v>
      </c>
      <c r="F486" s="201">
        <v>0.19969999999999999</v>
      </c>
      <c r="G486" s="200">
        <f t="shared" si="71"/>
        <v>10.8744</v>
      </c>
      <c r="H486" s="200">
        <v>10.683999999999999</v>
      </c>
      <c r="I486" s="200">
        <f t="shared" si="72"/>
        <v>0.19040000000000035</v>
      </c>
      <c r="J486" s="200">
        <f t="shared" si="73"/>
        <v>9.2999999999996419E-3</v>
      </c>
      <c r="K486" s="277">
        <f t="shared" si="74"/>
        <v>4.6569854782171465</v>
      </c>
      <c r="L486" s="200">
        <v>37</v>
      </c>
      <c r="AB486" s="110"/>
      <c r="AC486" s="110"/>
      <c r="AD486" s="110"/>
      <c r="AE486" s="110"/>
    </row>
    <row r="487" spans="1:31">
      <c r="A487" s="200" t="s">
        <v>965</v>
      </c>
      <c r="C487" s="200">
        <v>219</v>
      </c>
      <c r="D487" s="200">
        <v>1.1993</v>
      </c>
      <c r="E487" s="200">
        <v>7.7163000000000004</v>
      </c>
      <c r="F487" s="200">
        <v>0.20380000000000001</v>
      </c>
      <c r="G487" s="200">
        <f t="shared" si="71"/>
        <v>7.9201000000000006</v>
      </c>
      <c r="H487" s="200">
        <v>7.7293000000000003</v>
      </c>
      <c r="I487" s="200">
        <f t="shared" si="72"/>
        <v>0.1908000000000003</v>
      </c>
      <c r="J487" s="200">
        <f t="shared" si="73"/>
        <v>1.2999999999999706E-2</v>
      </c>
      <c r="K487" s="277">
        <f t="shared" si="74"/>
        <v>6.3788027477918092</v>
      </c>
      <c r="L487" s="200">
        <v>10</v>
      </c>
      <c r="M487" s="202">
        <v>43164.628472222219</v>
      </c>
      <c r="N487" s="202">
        <v>43164.795138888891</v>
      </c>
      <c r="O487" s="196" t="s">
        <v>2534</v>
      </c>
      <c r="P487" s="200"/>
      <c r="AB487" s="110"/>
      <c r="AC487" s="110"/>
      <c r="AD487" s="110"/>
      <c r="AE487" s="110"/>
    </row>
    <row r="488" spans="1:31">
      <c r="A488" s="196" t="s">
        <v>964</v>
      </c>
      <c r="C488" s="196">
        <v>6</v>
      </c>
      <c r="D488" s="196">
        <v>1.1964999999999999</v>
      </c>
      <c r="E488" s="201">
        <v>7.3169000000000004</v>
      </c>
      <c r="F488" s="201">
        <v>0.19980000000000001</v>
      </c>
      <c r="G488" s="200">
        <f t="shared" si="71"/>
        <v>7.5167000000000002</v>
      </c>
      <c r="H488" s="200">
        <v>7.3457999999999997</v>
      </c>
      <c r="I488" s="200">
        <f t="shared" si="72"/>
        <v>0.1709000000000005</v>
      </c>
      <c r="J488" s="200">
        <f t="shared" si="73"/>
        <v>2.8899999999999509E-2</v>
      </c>
      <c r="K488" s="277">
        <f t="shared" si="74"/>
        <v>14.46446446446422</v>
      </c>
      <c r="L488" s="200">
        <v>14</v>
      </c>
      <c r="AB488" s="110"/>
      <c r="AC488" s="110"/>
      <c r="AD488" s="110"/>
      <c r="AE488" s="110"/>
    </row>
    <row r="489" spans="1:31">
      <c r="A489" s="196" t="s">
        <v>960</v>
      </c>
      <c r="P489" s="196" t="s">
        <v>3914</v>
      </c>
      <c r="AB489" s="110"/>
      <c r="AC489" s="110"/>
      <c r="AD489" s="110"/>
      <c r="AE489" s="110"/>
    </row>
    <row r="490" spans="1:31">
      <c r="A490" s="205" t="s">
        <v>959</v>
      </c>
      <c r="C490" s="200">
        <v>202</v>
      </c>
      <c r="D490" s="200">
        <v>1.417</v>
      </c>
      <c r="E490" s="201">
        <v>11.153</v>
      </c>
      <c r="F490" s="201">
        <v>0.2039</v>
      </c>
      <c r="G490" s="200">
        <f t="shared" ref="G490:G495" si="75">E490+F490</f>
        <v>11.356900000000001</v>
      </c>
      <c r="H490" s="200">
        <v>11.161</v>
      </c>
      <c r="I490" s="200">
        <f t="shared" ref="I490:I495" si="76">(G490-H490)</f>
        <v>0.19590000000000174</v>
      </c>
      <c r="J490" s="200">
        <f t="shared" ref="J490:J495" si="77">F490-I490</f>
        <v>7.9999999999982585E-3</v>
      </c>
      <c r="K490" s="277">
        <f t="shared" ref="K490:K495" si="78">(J490/F490)*100</f>
        <v>3.9234919077970858</v>
      </c>
      <c r="L490" s="200">
        <v>18</v>
      </c>
      <c r="M490" s="206">
        <v>43185.385416666664</v>
      </c>
      <c r="N490" s="200"/>
      <c r="O490" s="200" t="s">
        <v>2540</v>
      </c>
      <c r="P490" s="200"/>
      <c r="AB490" s="110"/>
      <c r="AC490" s="110"/>
      <c r="AD490" s="110"/>
      <c r="AE490" s="110"/>
    </row>
    <row r="491" spans="1:31">
      <c r="A491" s="201" t="s">
        <v>958</v>
      </c>
      <c r="C491" s="200">
        <v>75</v>
      </c>
      <c r="D491" s="200">
        <v>1.4855999999999998</v>
      </c>
      <c r="E491" s="200">
        <v>9.1966999999999999</v>
      </c>
      <c r="F491" s="200">
        <v>0.2077</v>
      </c>
      <c r="G491" s="200">
        <f t="shared" si="75"/>
        <v>9.404399999999999</v>
      </c>
      <c r="H491" s="200">
        <v>9.2013999999999996</v>
      </c>
      <c r="I491" s="200">
        <f t="shared" si="76"/>
        <v>0.2029999999999994</v>
      </c>
      <c r="J491" s="200">
        <f t="shared" si="77"/>
        <v>4.7000000000005926E-3</v>
      </c>
      <c r="K491" s="277">
        <f t="shared" si="78"/>
        <v>2.262879152624262</v>
      </c>
      <c r="L491" s="200">
        <v>10</v>
      </c>
      <c r="M491" s="204">
        <v>43173</v>
      </c>
      <c r="N491" s="204">
        <v>43173</v>
      </c>
      <c r="O491" s="200" t="s">
        <v>2540</v>
      </c>
      <c r="P491" s="200" t="s">
        <v>2539</v>
      </c>
      <c r="AB491" s="110"/>
      <c r="AC491" s="110"/>
      <c r="AD491" s="110"/>
      <c r="AE491" s="110"/>
    </row>
    <row r="492" spans="1:31">
      <c r="A492" s="196" t="s">
        <v>956</v>
      </c>
      <c r="C492" s="200">
        <v>63</v>
      </c>
      <c r="D492" s="201">
        <v>1.4281999999999999</v>
      </c>
      <c r="E492" s="201">
        <v>8.0640999999999998</v>
      </c>
      <c r="F492" s="201">
        <v>0.20319999999999999</v>
      </c>
      <c r="G492" s="200">
        <f t="shared" si="75"/>
        <v>8.2673000000000005</v>
      </c>
      <c r="H492" s="200">
        <v>8.0815999999999999</v>
      </c>
      <c r="I492" s="200">
        <f t="shared" si="76"/>
        <v>0.18570000000000064</v>
      </c>
      <c r="J492" s="200">
        <f t="shared" si="77"/>
        <v>1.7499999999999349E-2</v>
      </c>
      <c r="K492" s="277">
        <f t="shared" si="78"/>
        <v>8.6122047244091302</v>
      </c>
      <c r="L492" s="200">
        <v>6</v>
      </c>
      <c r="M492" s="200"/>
      <c r="N492" s="200"/>
      <c r="O492" s="200"/>
      <c r="P492" s="200"/>
      <c r="AB492" s="110"/>
      <c r="AC492" s="110"/>
      <c r="AD492" s="110"/>
      <c r="AE492" s="110"/>
    </row>
    <row r="493" spans="1:31">
      <c r="A493" s="205" t="s">
        <v>955</v>
      </c>
      <c r="C493" s="200">
        <v>186</v>
      </c>
      <c r="D493" s="200">
        <v>1.5461</v>
      </c>
      <c r="E493" s="200">
        <v>10.270899999999999</v>
      </c>
      <c r="F493" s="201">
        <v>0.2019</v>
      </c>
      <c r="G493" s="200">
        <f t="shared" si="75"/>
        <v>10.472799999999999</v>
      </c>
      <c r="H493" s="200">
        <v>10.275499999999999</v>
      </c>
      <c r="I493" s="200">
        <f t="shared" si="76"/>
        <v>0.19730000000000025</v>
      </c>
      <c r="J493" s="200">
        <f t="shared" si="77"/>
        <v>4.5999999999997432E-3</v>
      </c>
      <c r="K493" s="277">
        <f t="shared" si="78"/>
        <v>2.2783556215947218</v>
      </c>
      <c r="L493" s="200">
        <v>28</v>
      </c>
      <c r="M493" s="204">
        <v>43187</v>
      </c>
      <c r="N493" s="204">
        <v>43187</v>
      </c>
      <c r="O493" s="200"/>
      <c r="P493" s="200"/>
      <c r="AB493" s="110"/>
      <c r="AC493" s="110"/>
      <c r="AD493" s="110"/>
      <c r="AE493" s="110"/>
    </row>
    <row r="494" spans="1:31">
      <c r="A494" s="200" t="s">
        <v>954</v>
      </c>
      <c r="C494" s="200">
        <v>81</v>
      </c>
      <c r="D494" s="201">
        <v>1.5605</v>
      </c>
      <c r="E494" s="201">
        <v>10.201700000000001</v>
      </c>
      <c r="F494" s="201">
        <v>0.20169999999999999</v>
      </c>
      <c r="G494" s="200">
        <f t="shared" si="75"/>
        <v>10.403400000000001</v>
      </c>
      <c r="H494" s="200">
        <v>10.2102</v>
      </c>
      <c r="I494" s="200">
        <f t="shared" si="76"/>
        <v>0.19320000000000093</v>
      </c>
      <c r="J494" s="200">
        <f t="shared" si="77"/>
        <v>8.4999999999990639E-3</v>
      </c>
      <c r="K494" s="277">
        <f t="shared" si="78"/>
        <v>4.2141794744665662</v>
      </c>
      <c r="L494" s="200">
        <v>30</v>
      </c>
      <c r="M494" s="202">
        <v>43181.645833333336</v>
      </c>
      <c r="N494" s="202">
        <v>43181.833333333336</v>
      </c>
      <c r="O494" s="200" t="s">
        <v>2540</v>
      </c>
      <c r="P494" s="200"/>
      <c r="AB494" s="110"/>
      <c r="AC494" s="110"/>
      <c r="AD494" s="110"/>
      <c r="AE494" s="110"/>
    </row>
    <row r="495" spans="1:31">
      <c r="A495" s="196" t="s">
        <v>952</v>
      </c>
      <c r="C495" s="196">
        <v>26</v>
      </c>
      <c r="D495" s="196">
        <v>1.25</v>
      </c>
      <c r="E495" s="201">
        <v>9.0510000000000002</v>
      </c>
      <c r="F495" s="201">
        <v>0.20860000000000001</v>
      </c>
      <c r="G495" s="200">
        <f t="shared" si="75"/>
        <v>9.2596000000000007</v>
      </c>
      <c r="H495" s="200">
        <v>9.0571999999999999</v>
      </c>
      <c r="I495" s="200">
        <f t="shared" si="76"/>
        <v>0.2024000000000008</v>
      </c>
      <c r="J495" s="200">
        <f t="shared" si="77"/>
        <v>6.1999999999992061E-3</v>
      </c>
      <c r="K495" s="277">
        <f t="shared" si="78"/>
        <v>2.9721955896448731</v>
      </c>
      <c r="L495" s="200">
        <v>29</v>
      </c>
      <c r="M495" s="203">
        <v>43221</v>
      </c>
      <c r="N495" s="203">
        <v>43221</v>
      </c>
      <c r="AB495" s="110"/>
      <c r="AC495" s="110"/>
      <c r="AD495" s="110"/>
      <c r="AE495" s="110"/>
    </row>
    <row r="496" spans="1:31">
      <c r="A496" s="196" t="s">
        <v>1122</v>
      </c>
      <c r="P496" s="196" t="s">
        <v>3914</v>
      </c>
      <c r="AB496" s="110"/>
      <c r="AC496" s="110"/>
      <c r="AD496" s="110"/>
      <c r="AE496" s="110"/>
    </row>
    <row r="497" spans="1:31">
      <c r="A497" s="196" t="s">
        <v>951</v>
      </c>
      <c r="C497" s="196">
        <v>23</v>
      </c>
      <c r="D497" s="196">
        <v>1.2595000000000001</v>
      </c>
      <c r="E497" s="196">
        <v>11.262700000000001</v>
      </c>
      <c r="F497" s="196">
        <v>0.20730000000000001</v>
      </c>
      <c r="G497" s="196">
        <f>E497+F497</f>
        <v>11.47</v>
      </c>
      <c r="H497" s="196">
        <v>11.269</v>
      </c>
      <c r="I497" s="196">
        <f>(G497-H497)</f>
        <v>0.20100000000000051</v>
      </c>
      <c r="J497" s="200">
        <f>F497-I497</f>
        <v>6.2999999999995004E-3</v>
      </c>
      <c r="K497" s="277">
        <f>(J497/F497)*100</f>
        <v>3.0390738060779063</v>
      </c>
      <c r="L497" s="196">
        <v>20</v>
      </c>
      <c r="M497" s="196" t="s">
        <v>2570</v>
      </c>
      <c r="N497" s="196" t="s">
        <v>2569</v>
      </c>
      <c r="O497" s="196" t="s">
        <v>2534</v>
      </c>
      <c r="AB497" s="110"/>
      <c r="AC497" s="110"/>
      <c r="AD497" s="110"/>
      <c r="AE497" s="110"/>
    </row>
    <row r="498" spans="1:31">
      <c r="A498" s="196" t="s">
        <v>945</v>
      </c>
      <c r="P498" s="196" t="s">
        <v>3914</v>
      </c>
      <c r="AB498" s="110"/>
      <c r="AC498" s="110"/>
      <c r="AD498" s="110"/>
      <c r="AE498" s="110"/>
    </row>
    <row r="499" spans="1:31">
      <c r="A499" s="196" t="s">
        <v>1139</v>
      </c>
      <c r="C499" s="197">
        <v>11</v>
      </c>
      <c r="D499" s="196">
        <v>1.2079</v>
      </c>
      <c r="E499" s="200">
        <v>9.3221000000000007</v>
      </c>
      <c r="F499" s="201">
        <v>0.20830000000000001</v>
      </c>
      <c r="G499" s="200">
        <f t="shared" ref="G499:G535" si="79">E499+F499</f>
        <v>9.5304000000000002</v>
      </c>
      <c r="H499" s="200">
        <v>9.3316999999999997</v>
      </c>
      <c r="I499" s="200">
        <f t="shared" ref="I499:I535" si="80">(G499-H499)</f>
        <v>0.19870000000000054</v>
      </c>
      <c r="J499" s="200">
        <f t="shared" ref="J499:J535" si="81">F499-I499</f>
        <v>9.5999999999994701E-3</v>
      </c>
      <c r="K499" s="277">
        <f t="shared" ref="K499:K535" si="82">(J499/F499)*100</f>
        <v>4.6087373979834227</v>
      </c>
      <c r="L499" s="200">
        <v>14</v>
      </c>
      <c r="M499" s="203">
        <v>43213</v>
      </c>
      <c r="N499" s="203">
        <v>43213</v>
      </c>
      <c r="AB499" s="110"/>
      <c r="AC499" s="110"/>
      <c r="AD499" s="110"/>
      <c r="AE499" s="110"/>
    </row>
    <row r="500" spans="1:31">
      <c r="A500" s="205" t="s">
        <v>1121</v>
      </c>
      <c r="C500" s="200">
        <v>148</v>
      </c>
      <c r="D500" s="201">
        <v>1.3778999999999999</v>
      </c>
      <c r="E500" s="201">
        <v>10.855600000000001</v>
      </c>
      <c r="F500" s="201">
        <v>2.1999999999999999E-2</v>
      </c>
      <c r="G500" s="200">
        <f t="shared" si="79"/>
        <v>10.877600000000001</v>
      </c>
      <c r="H500" s="200">
        <v>10.8681</v>
      </c>
      <c r="I500" s="200">
        <f t="shared" si="80"/>
        <v>9.5000000000009521E-3</v>
      </c>
      <c r="J500" s="200">
        <f t="shared" si="81"/>
        <v>1.2499999999999047E-2</v>
      </c>
      <c r="K500" s="277">
        <f t="shared" si="82"/>
        <v>56.818181818177493</v>
      </c>
      <c r="L500" s="200">
        <v>20</v>
      </c>
      <c r="M500" s="202">
        <v>43181.645833333336</v>
      </c>
      <c r="N500" s="202">
        <v>43181.833333333336</v>
      </c>
      <c r="O500" s="200" t="s">
        <v>2540</v>
      </c>
      <c r="P500" s="200" t="s">
        <v>2553</v>
      </c>
      <c r="AB500" s="110"/>
      <c r="AC500" s="110"/>
      <c r="AD500" s="110"/>
      <c r="AE500" s="110"/>
    </row>
    <row r="501" spans="1:31">
      <c r="A501" s="205" t="s">
        <v>939</v>
      </c>
      <c r="C501" s="200">
        <v>162</v>
      </c>
      <c r="D501" s="200">
        <v>0.29349999999999998</v>
      </c>
      <c r="E501" s="201">
        <v>9.1972000000000005</v>
      </c>
      <c r="F501" s="201">
        <v>0.2001</v>
      </c>
      <c r="G501" s="200">
        <f t="shared" si="79"/>
        <v>9.3973000000000013</v>
      </c>
      <c r="H501" s="200">
        <v>9.3561999999999994</v>
      </c>
      <c r="I501" s="200">
        <f t="shared" si="80"/>
        <v>4.1100000000001913E-2</v>
      </c>
      <c r="J501" s="200">
        <f t="shared" si="81"/>
        <v>0.15899999999999809</v>
      </c>
      <c r="K501" s="277">
        <f t="shared" si="82"/>
        <v>79.460269865066508</v>
      </c>
      <c r="L501" s="200">
        <v>27</v>
      </c>
      <c r="M501" s="206">
        <v>43186.458333333336</v>
      </c>
      <c r="N501" s="206">
        <v>43186.625</v>
      </c>
      <c r="O501" s="196" t="s">
        <v>2534</v>
      </c>
      <c r="P501" s="200" t="s">
        <v>2547</v>
      </c>
      <c r="AB501" s="110"/>
      <c r="AC501" s="110"/>
      <c r="AD501" s="110"/>
      <c r="AE501" s="110"/>
    </row>
    <row r="502" spans="1:31">
      <c r="A502" s="205" t="s">
        <v>1120</v>
      </c>
      <c r="C502" s="200">
        <v>138</v>
      </c>
      <c r="D502" s="200">
        <v>1.2708999999999999</v>
      </c>
      <c r="E502" s="201">
        <v>7.3539000000000003</v>
      </c>
      <c r="F502" s="201">
        <v>0.2044</v>
      </c>
      <c r="G502" s="200">
        <f t="shared" si="79"/>
        <v>7.5583</v>
      </c>
      <c r="H502" s="200">
        <v>7.3643999999999998</v>
      </c>
      <c r="I502" s="200">
        <f t="shared" si="80"/>
        <v>0.19390000000000018</v>
      </c>
      <c r="J502" s="200">
        <f t="shared" si="81"/>
        <v>1.0499999999999815E-2</v>
      </c>
      <c r="K502" s="277">
        <f t="shared" si="82"/>
        <v>5.1369863013697721</v>
      </c>
      <c r="L502" s="200">
        <v>32</v>
      </c>
      <c r="M502" s="206">
        <v>43186.458333333336</v>
      </c>
      <c r="N502" s="206">
        <v>43186.625</v>
      </c>
      <c r="O502" s="196" t="s">
        <v>2534</v>
      </c>
      <c r="P502" s="200"/>
      <c r="AB502" s="110"/>
      <c r="AC502" s="110"/>
      <c r="AD502" s="110"/>
      <c r="AE502" s="110"/>
    </row>
    <row r="503" spans="1:31">
      <c r="A503" s="196" t="s">
        <v>926</v>
      </c>
      <c r="C503" s="197">
        <v>167</v>
      </c>
      <c r="D503" s="196">
        <v>1.5136000000000001</v>
      </c>
      <c r="E503" s="200">
        <v>9.0513999999999992</v>
      </c>
      <c r="F503" s="201">
        <v>0.20619999999999999</v>
      </c>
      <c r="G503" s="200">
        <f t="shared" si="79"/>
        <v>9.2576000000000001</v>
      </c>
      <c r="H503" s="200">
        <v>9.0551999999999992</v>
      </c>
      <c r="I503" s="200">
        <f t="shared" si="80"/>
        <v>0.2024000000000008</v>
      </c>
      <c r="J503" s="200">
        <f t="shared" si="81"/>
        <v>3.7999999999991929E-3</v>
      </c>
      <c r="K503" s="277">
        <f t="shared" si="82"/>
        <v>1.8428709990296765</v>
      </c>
      <c r="L503" s="200">
        <v>38</v>
      </c>
      <c r="M503" s="203">
        <v>43212</v>
      </c>
      <c r="AB503" s="110"/>
      <c r="AC503" s="110"/>
      <c r="AD503" s="110"/>
      <c r="AE503" s="110"/>
    </row>
    <row r="504" spans="1:31">
      <c r="A504" s="200" t="s">
        <v>925</v>
      </c>
      <c r="C504" s="200">
        <v>189</v>
      </c>
      <c r="D504" s="201">
        <v>1.4669000000000001</v>
      </c>
      <c r="E504" s="201">
        <v>10.901400000000001</v>
      </c>
      <c r="F504" s="201">
        <v>0.20180000000000001</v>
      </c>
      <c r="G504" s="200">
        <f t="shared" si="79"/>
        <v>11.103200000000001</v>
      </c>
      <c r="H504" s="200">
        <v>10.9069</v>
      </c>
      <c r="I504" s="200">
        <f t="shared" si="80"/>
        <v>0.19630000000000081</v>
      </c>
      <c r="J504" s="200">
        <f t="shared" si="81"/>
        <v>5.4999999999992E-3</v>
      </c>
      <c r="K504" s="277">
        <f t="shared" si="82"/>
        <v>2.7254707631314172</v>
      </c>
      <c r="L504" s="200">
        <v>13</v>
      </c>
      <c r="M504" s="200"/>
      <c r="N504" s="200"/>
      <c r="O504" s="200"/>
      <c r="P504" s="200" t="s">
        <v>2541</v>
      </c>
      <c r="AB504" s="110"/>
      <c r="AC504" s="110"/>
      <c r="AD504" s="110"/>
      <c r="AE504" s="110"/>
    </row>
    <row r="505" spans="1:31">
      <c r="A505" s="196" t="s">
        <v>924</v>
      </c>
      <c r="C505" s="196">
        <v>27</v>
      </c>
      <c r="D505" s="196">
        <v>1.3244</v>
      </c>
      <c r="E505" s="200">
        <v>8.7601999999999993</v>
      </c>
      <c r="F505" s="201">
        <v>0.20480000000000001</v>
      </c>
      <c r="G505" s="200">
        <f t="shared" si="79"/>
        <v>8.9649999999999999</v>
      </c>
      <c r="H505" s="200">
        <v>8.7674000000000003</v>
      </c>
      <c r="I505" s="200">
        <f t="shared" si="80"/>
        <v>0.19759999999999955</v>
      </c>
      <c r="J505" s="200">
        <f t="shared" si="81"/>
        <v>7.200000000000456E-3</v>
      </c>
      <c r="K505" s="277">
        <f t="shared" si="82"/>
        <v>3.5156250000002229</v>
      </c>
      <c r="L505" s="200">
        <v>45</v>
      </c>
      <c r="M505" s="203">
        <v>43212</v>
      </c>
      <c r="AB505" s="110"/>
      <c r="AC505" s="110"/>
      <c r="AD505" s="110"/>
      <c r="AE505" s="110"/>
    </row>
    <row r="506" spans="1:31">
      <c r="A506" s="196" t="s">
        <v>923</v>
      </c>
      <c r="C506" s="200">
        <v>201</v>
      </c>
      <c r="D506" s="196">
        <v>1.4213</v>
      </c>
      <c r="E506" s="200">
        <v>9.8872</v>
      </c>
      <c r="F506" s="201">
        <v>0.20599999999999999</v>
      </c>
      <c r="G506" s="200">
        <f t="shared" si="79"/>
        <v>10.0932</v>
      </c>
      <c r="H506" s="200">
        <v>9.8940000000000001</v>
      </c>
      <c r="I506" s="200">
        <f t="shared" si="80"/>
        <v>0.19919999999999938</v>
      </c>
      <c r="J506" s="200">
        <f t="shared" si="81"/>
        <v>6.8000000000006111E-3</v>
      </c>
      <c r="K506" s="277">
        <f t="shared" si="82"/>
        <v>3.3009708737867043</v>
      </c>
      <c r="L506" s="200">
        <v>37</v>
      </c>
      <c r="M506" s="204">
        <v>43211</v>
      </c>
      <c r="AB506" s="110"/>
      <c r="AC506" s="110"/>
      <c r="AD506" s="110"/>
      <c r="AE506" s="110"/>
    </row>
    <row r="507" spans="1:31">
      <c r="A507" s="196" t="s">
        <v>922</v>
      </c>
      <c r="C507" s="197">
        <v>197</v>
      </c>
      <c r="D507" s="196">
        <v>1.3661000000000001</v>
      </c>
      <c r="E507" s="196">
        <v>10.510300000000001</v>
      </c>
      <c r="F507" s="201">
        <v>0.20469999999999999</v>
      </c>
      <c r="G507" s="200">
        <f t="shared" si="79"/>
        <v>10.715000000000002</v>
      </c>
      <c r="H507" s="200">
        <v>10.533799999999999</v>
      </c>
      <c r="I507" s="200">
        <f t="shared" si="80"/>
        <v>0.18120000000000225</v>
      </c>
      <c r="J507" s="200">
        <f t="shared" si="81"/>
        <v>2.3499999999997745E-2</v>
      </c>
      <c r="K507" s="277">
        <f t="shared" si="82"/>
        <v>11.480214948704322</v>
      </c>
      <c r="L507" s="200">
        <v>12</v>
      </c>
      <c r="AB507" s="110"/>
      <c r="AC507" s="110"/>
      <c r="AD507" s="110"/>
      <c r="AE507" s="110"/>
    </row>
    <row r="508" spans="1:31">
      <c r="A508" s="200" t="s">
        <v>1119</v>
      </c>
      <c r="C508" s="200">
        <v>83</v>
      </c>
      <c r="D508" s="201">
        <v>1.367</v>
      </c>
      <c r="E508" s="200">
        <v>10.1439</v>
      </c>
      <c r="F508" s="201">
        <v>0.20180000000000001</v>
      </c>
      <c r="G508" s="200">
        <f t="shared" si="79"/>
        <v>10.345700000000001</v>
      </c>
      <c r="H508" s="200">
        <v>10.1587</v>
      </c>
      <c r="I508" s="200">
        <f t="shared" si="80"/>
        <v>0.18700000000000117</v>
      </c>
      <c r="J508" s="200">
        <f t="shared" si="81"/>
        <v>1.4799999999998842E-2</v>
      </c>
      <c r="K508" s="277">
        <f t="shared" si="82"/>
        <v>7.3339940535177606</v>
      </c>
      <c r="L508" s="200">
        <v>1</v>
      </c>
      <c r="M508" s="204">
        <v>43206</v>
      </c>
      <c r="N508" s="204">
        <v>43206</v>
      </c>
      <c r="O508" s="200"/>
      <c r="P508" s="200"/>
      <c r="AB508" s="110"/>
      <c r="AC508" s="110"/>
      <c r="AD508" s="110"/>
      <c r="AE508" s="110"/>
    </row>
    <row r="509" spans="1:31">
      <c r="A509" s="196" t="s">
        <v>919</v>
      </c>
      <c r="C509" s="197">
        <v>188</v>
      </c>
      <c r="D509" s="196">
        <v>1.397</v>
      </c>
      <c r="E509" s="201">
        <v>8.7731999999999992</v>
      </c>
      <c r="F509" s="201">
        <v>0.20899999999999999</v>
      </c>
      <c r="G509" s="200">
        <f t="shared" si="79"/>
        <v>8.9821999999999989</v>
      </c>
      <c r="H509" s="200">
        <v>8.7799999999999994</v>
      </c>
      <c r="I509" s="200">
        <f t="shared" si="80"/>
        <v>0.20219999999999949</v>
      </c>
      <c r="J509" s="200">
        <f t="shared" si="81"/>
        <v>6.8000000000005001E-3</v>
      </c>
      <c r="K509" s="277">
        <f t="shared" si="82"/>
        <v>3.2535885167466505</v>
      </c>
      <c r="L509" s="200">
        <v>11</v>
      </c>
      <c r="AB509" s="110"/>
      <c r="AC509" s="110"/>
      <c r="AD509" s="110"/>
      <c r="AE509" s="110"/>
    </row>
    <row r="510" spans="1:31">
      <c r="A510" s="200" t="s">
        <v>913</v>
      </c>
      <c r="C510" s="200">
        <v>77</v>
      </c>
      <c r="D510" s="200">
        <v>1.891</v>
      </c>
      <c r="E510" s="200">
        <v>10.921099999999999</v>
      </c>
      <c r="F510" s="201">
        <v>0.2026</v>
      </c>
      <c r="G510" s="200">
        <f t="shared" si="79"/>
        <v>11.123699999999999</v>
      </c>
      <c r="H510" s="200">
        <v>10.9733</v>
      </c>
      <c r="I510" s="200">
        <f t="shared" si="80"/>
        <v>0.15039999999999942</v>
      </c>
      <c r="J510" s="200">
        <f t="shared" si="81"/>
        <v>5.2200000000000579E-2</v>
      </c>
      <c r="K510" s="277">
        <f t="shared" si="82"/>
        <v>25.765054294176</v>
      </c>
      <c r="L510" s="200">
        <v>32</v>
      </c>
      <c r="M510" s="204">
        <v>43187</v>
      </c>
      <c r="N510" s="204">
        <v>43187</v>
      </c>
      <c r="O510" s="200"/>
      <c r="P510" s="200"/>
      <c r="AB510" s="110"/>
      <c r="AC510" s="110"/>
      <c r="AD510" s="110"/>
      <c r="AE510" s="110"/>
    </row>
    <row r="511" spans="1:31">
      <c r="A511" s="200" t="s">
        <v>1118</v>
      </c>
      <c r="C511" s="200">
        <v>59</v>
      </c>
      <c r="D511" s="200">
        <v>1.1779999999999999</v>
      </c>
      <c r="E511" s="200">
        <v>11.1587</v>
      </c>
      <c r="F511" s="200">
        <v>0.19759999999999955</v>
      </c>
      <c r="G511" s="200">
        <f t="shared" si="79"/>
        <v>11.356299999999999</v>
      </c>
      <c r="H511" s="200">
        <v>11.171099999999999</v>
      </c>
      <c r="I511" s="200">
        <f t="shared" si="80"/>
        <v>0.18520000000000003</v>
      </c>
      <c r="J511" s="200">
        <f t="shared" si="81"/>
        <v>1.2399999999999523E-2</v>
      </c>
      <c r="K511" s="277">
        <f t="shared" si="82"/>
        <v>6.2753036437244685</v>
      </c>
      <c r="L511" s="200">
        <v>2</v>
      </c>
      <c r="M511" s="204">
        <v>43188</v>
      </c>
      <c r="N511" s="204">
        <v>43188</v>
      </c>
      <c r="O511" s="200"/>
      <c r="P511" s="200"/>
      <c r="U511" s="201" t="s">
        <v>1149</v>
      </c>
      <c r="V511" s="196">
        <v>0.84740000000000004</v>
      </c>
      <c r="W511" s="196">
        <f>(V511-$T$175+F509)</f>
        <v>1.0564</v>
      </c>
      <c r="AB511" s="110"/>
      <c r="AC511" s="110"/>
      <c r="AD511" s="110"/>
      <c r="AE511" s="110"/>
    </row>
    <row r="512" spans="1:31">
      <c r="A512" s="205" t="s">
        <v>909</v>
      </c>
      <c r="C512" s="200">
        <v>190</v>
      </c>
      <c r="D512" s="200">
        <v>1.5285</v>
      </c>
      <c r="E512" s="200">
        <v>7.1898999999999997</v>
      </c>
      <c r="F512" s="201">
        <v>0.20300000000000001</v>
      </c>
      <c r="G512" s="200">
        <f t="shared" si="79"/>
        <v>7.3929</v>
      </c>
      <c r="H512" s="200">
        <v>7.1943999999999999</v>
      </c>
      <c r="I512" s="200">
        <f t="shared" si="80"/>
        <v>0.19850000000000012</v>
      </c>
      <c r="J512" s="200">
        <f t="shared" si="81"/>
        <v>4.499999999999893E-3</v>
      </c>
      <c r="K512" s="277">
        <f t="shared" si="82"/>
        <v>2.2167487684728533</v>
      </c>
      <c r="L512" s="200">
        <v>32</v>
      </c>
      <c r="M512" s="204">
        <v>43211</v>
      </c>
      <c r="AB512" s="110"/>
      <c r="AC512" s="110"/>
      <c r="AD512" s="110"/>
      <c r="AE512" s="110"/>
    </row>
    <row r="513" spans="1:31">
      <c r="A513" s="205" t="s">
        <v>907</v>
      </c>
      <c r="C513" s="200">
        <v>206</v>
      </c>
      <c r="D513" s="200">
        <v>1.468</v>
      </c>
      <c r="E513" s="200">
        <v>8.9577000000000009</v>
      </c>
      <c r="F513" s="201">
        <v>0.20619999999999999</v>
      </c>
      <c r="G513" s="200">
        <f t="shared" si="79"/>
        <v>9.1639000000000017</v>
      </c>
      <c r="H513" s="200">
        <v>8.9783000000000008</v>
      </c>
      <c r="I513" s="200">
        <f t="shared" si="80"/>
        <v>0.18560000000000088</v>
      </c>
      <c r="J513" s="200">
        <f t="shared" si="81"/>
        <v>2.0599999999999119E-2</v>
      </c>
      <c r="K513" s="277">
        <f t="shared" si="82"/>
        <v>9.9903006789520461</v>
      </c>
      <c r="L513" s="200">
        <v>12</v>
      </c>
      <c r="M513" s="204">
        <v>43187</v>
      </c>
      <c r="N513" s="204">
        <v>43187</v>
      </c>
      <c r="O513" s="200"/>
      <c r="P513" s="200"/>
      <c r="AB513" s="110"/>
      <c r="AC513" s="110"/>
      <c r="AD513" s="110"/>
      <c r="AE513" s="110"/>
    </row>
    <row r="514" spans="1:31">
      <c r="A514" s="196" t="s">
        <v>906</v>
      </c>
      <c r="C514" s="196">
        <v>79</v>
      </c>
      <c r="D514" s="196">
        <v>1.3266</v>
      </c>
      <c r="E514" s="196">
        <v>19.690200000000001</v>
      </c>
      <c r="F514" s="196">
        <v>0.2044</v>
      </c>
      <c r="G514" s="196">
        <f t="shared" si="79"/>
        <v>19.894600000000001</v>
      </c>
      <c r="H514" s="196">
        <v>19.707999999999998</v>
      </c>
      <c r="I514" s="196">
        <f t="shared" si="80"/>
        <v>0.1866000000000021</v>
      </c>
      <c r="J514" s="200">
        <f t="shared" si="81"/>
        <v>1.7799999999997901E-2</v>
      </c>
      <c r="K514" s="277">
        <f t="shared" si="82"/>
        <v>8.7084148727974071</v>
      </c>
      <c r="L514" s="196">
        <v>22</v>
      </c>
      <c r="M514" s="196" t="s">
        <v>2564</v>
      </c>
      <c r="N514" s="196" t="s">
        <v>2563</v>
      </c>
      <c r="O514" s="196" t="s">
        <v>2540</v>
      </c>
      <c r="AB514" s="110"/>
      <c r="AC514" s="110"/>
      <c r="AD514" s="110"/>
      <c r="AE514" s="110"/>
    </row>
    <row r="515" spans="1:31">
      <c r="A515" s="196" t="s">
        <v>1117</v>
      </c>
      <c r="C515" s="196">
        <v>34</v>
      </c>
      <c r="D515" s="196">
        <v>1.2261</v>
      </c>
      <c r="E515" s="196">
        <v>8.1184999999999992</v>
      </c>
      <c r="F515" s="196">
        <v>0.2031</v>
      </c>
      <c r="G515" s="196">
        <f t="shared" si="79"/>
        <v>8.3215999999999983</v>
      </c>
      <c r="H515" s="196">
        <v>8.1336999999999993</v>
      </c>
      <c r="I515" s="196">
        <f t="shared" si="80"/>
        <v>0.18789999999999907</v>
      </c>
      <c r="J515" s="200">
        <f t="shared" si="81"/>
        <v>1.5200000000000935E-2</v>
      </c>
      <c r="K515" s="277">
        <f t="shared" si="82"/>
        <v>7.4839980305272942</v>
      </c>
      <c r="L515" s="196">
        <v>9</v>
      </c>
      <c r="M515" s="196" t="s">
        <v>2570</v>
      </c>
      <c r="N515" s="196" t="s">
        <v>2569</v>
      </c>
      <c r="O515" s="196" t="s">
        <v>2534</v>
      </c>
      <c r="AB515" s="110"/>
      <c r="AC515" s="110"/>
      <c r="AD515" s="110"/>
      <c r="AE515" s="110"/>
    </row>
    <row r="516" spans="1:31">
      <c r="A516" s="205" t="s">
        <v>900</v>
      </c>
      <c r="C516" s="200">
        <v>216</v>
      </c>
      <c r="D516" s="200">
        <v>1.2964</v>
      </c>
      <c r="E516" s="200">
        <v>9.1974999999999998</v>
      </c>
      <c r="F516" s="201">
        <v>0.2026</v>
      </c>
      <c r="G516" s="200">
        <f t="shared" si="79"/>
        <v>9.4001000000000001</v>
      </c>
      <c r="H516" s="200">
        <v>9.2410999999999994</v>
      </c>
      <c r="I516" s="200">
        <f t="shared" si="80"/>
        <v>0.1590000000000007</v>
      </c>
      <c r="J516" s="200">
        <f t="shared" si="81"/>
        <v>4.3599999999999306E-2</v>
      </c>
      <c r="K516" s="277">
        <f t="shared" si="82"/>
        <v>21.520236920039142</v>
      </c>
      <c r="L516" s="200">
        <v>23</v>
      </c>
      <c r="M516" s="204">
        <v>43211</v>
      </c>
      <c r="AB516" s="110"/>
      <c r="AC516" s="110"/>
      <c r="AD516" s="110"/>
      <c r="AE516" s="110"/>
    </row>
    <row r="517" spans="1:31">
      <c r="A517" s="200" t="s">
        <v>1116</v>
      </c>
      <c r="C517" s="200">
        <v>195</v>
      </c>
      <c r="D517" s="200">
        <v>1.1187</v>
      </c>
      <c r="E517" s="200">
        <v>10.8569</v>
      </c>
      <c r="F517" s="200">
        <v>0.20469999999999999</v>
      </c>
      <c r="G517" s="200">
        <f t="shared" si="79"/>
        <v>11.0616</v>
      </c>
      <c r="H517" s="200">
        <v>10.866300000000001</v>
      </c>
      <c r="I517" s="200">
        <f t="shared" si="80"/>
        <v>0.19529999999999959</v>
      </c>
      <c r="J517" s="200">
        <f t="shared" si="81"/>
        <v>9.400000000000408E-3</v>
      </c>
      <c r="K517" s="277">
        <f t="shared" si="82"/>
        <v>4.592085979482369</v>
      </c>
      <c r="L517" s="200">
        <v>13</v>
      </c>
      <c r="M517" s="202">
        <v>43164.628472222219</v>
      </c>
      <c r="N517" s="202">
        <v>43164.795138888891</v>
      </c>
      <c r="O517" s="196" t="s">
        <v>2534</v>
      </c>
      <c r="P517" s="200"/>
      <c r="AB517" s="110"/>
      <c r="AC517" s="110"/>
      <c r="AD517" s="110"/>
      <c r="AE517" s="110"/>
    </row>
    <row r="518" spans="1:31">
      <c r="A518" s="196" t="s">
        <v>891</v>
      </c>
      <c r="C518" s="197">
        <v>220</v>
      </c>
      <c r="D518" s="196">
        <v>1.3202</v>
      </c>
      <c r="E518" s="201">
        <v>8.7681000000000004</v>
      </c>
      <c r="F518" s="201">
        <v>0.20599999999999999</v>
      </c>
      <c r="G518" s="200">
        <f t="shared" si="79"/>
        <v>8.9741</v>
      </c>
      <c r="H518" s="200">
        <v>8.7797000000000001</v>
      </c>
      <c r="I518" s="200">
        <f t="shared" si="80"/>
        <v>0.19439999999999991</v>
      </c>
      <c r="J518" s="200">
        <f t="shared" si="81"/>
        <v>1.1600000000000082E-2</v>
      </c>
      <c r="K518" s="277">
        <f t="shared" si="82"/>
        <v>5.6310679611650896</v>
      </c>
      <c r="L518" s="200">
        <v>6</v>
      </c>
      <c r="AB518" s="110"/>
      <c r="AC518" s="110"/>
      <c r="AD518" s="110"/>
      <c r="AE518" s="110"/>
    </row>
    <row r="519" spans="1:31">
      <c r="A519" s="200" t="s">
        <v>890</v>
      </c>
      <c r="C519" s="200">
        <v>69</v>
      </c>
      <c r="D519" s="201">
        <v>1.5922000000000001</v>
      </c>
      <c r="E519" s="201">
        <v>7.8013000000000003</v>
      </c>
      <c r="F519" s="201">
        <v>0.2039</v>
      </c>
      <c r="G519" s="200">
        <f t="shared" si="79"/>
        <v>8.0052000000000003</v>
      </c>
      <c r="H519" s="200">
        <v>7.8299000000000003</v>
      </c>
      <c r="I519" s="200">
        <f t="shared" si="80"/>
        <v>0.17530000000000001</v>
      </c>
      <c r="J519" s="200">
        <f t="shared" si="81"/>
        <v>2.8599999999999987E-2</v>
      </c>
      <c r="K519" s="277">
        <f t="shared" si="82"/>
        <v>14.026483570377628</v>
      </c>
      <c r="L519" s="200">
        <v>17</v>
      </c>
      <c r="M519" s="202">
        <v>43181.645833333336</v>
      </c>
      <c r="N519" s="202">
        <v>43181.833333333336</v>
      </c>
      <c r="O519" s="200" t="s">
        <v>2540</v>
      </c>
      <c r="P519" s="200"/>
      <c r="AB519" s="110"/>
      <c r="AC519" s="110"/>
      <c r="AD519" s="110"/>
      <c r="AE519" s="110"/>
    </row>
    <row r="520" spans="1:31">
      <c r="A520" t="s">
        <v>889</v>
      </c>
      <c r="C520" s="196">
        <v>66</v>
      </c>
      <c r="D520" s="196">
        <v>1.4236</v>
      </c>
      <c r="E520" s="200">
        <v>11.1591</v>
      </c>
      <c r="F520" s="201">
        <v>0.2039</v>
      </c>
      <c r="G520" s="200">
        <f t="shared" si="79"/>
        <v>11.363000000000001</v>
      </c>
      <c r="H520" s="200">
        <v>11.1755</v>
      </c>
      <c r="I520" s="200">
        <f t="shared" si="80"/>
        <v>0.18750000000000178</v>
      </c>
      <c r="J520" s="200">
        <f t="shared" si="81"/>
        <v>1.6399999999998222E-2</v>
      </c>
      <c r="K520" s="277">
        <f t="shared" si="82"/>
        <v>8.0431584109849048</v>
      </c>
      <c r="L520" s="200">
        <v>40</v>
      </c>
      <c r="M520" s="204">
        <v>43211</v>
      </c>
      <c r="AB520" s="110"/>
      <c r="AC520" s="110"/>
      <c r="AD520" s="110"/>
      <c r="AE520" s="110"/>
    </row>
    <row r="521" spans="1:31">
      <c r="A521" s="196" t="s">
        <v>888</v>
      </c>
      <c r="C521" s="196">
        <v>161</v>
      </c>
      <c r="D521" s="196">
        <v>1.4676</v>
      </c>
      <c r="E521" s="196">
        <v>9.1572999999999993</v>
      </c>
      <c r="F521" s="196">
        <v>0.2084</v>
      </c>
      <c r="G521" s="196">
        <f t="shared" si="79"/>
        <v>9.3656999999999986</v>
      </c>
      <c r="H521" s="196">
        <v>9.1624999999999996</v>
      </c>
      <c r="I521" s="196">
        <f t="shared" si="80"/>
        <v>0.20319999999999894</v>
      </c>
      <c r="J521" s="200">
        <f t="shared" si="81"/>
        <v>5.2000000000010649E-3</v>
      </c>
      <c r="K521" s="277">
        <f t="shared" si="82"/>
        <v>2.4952015355091484</v>
      </c>
      <c r="L521" s="196">
        <v>1</v>
      </c>
      <c r="M521" s="196">
        <v>43160.520833333336</v>
      </c>
      <c r="N521" s="196">
        <v>43160.6875</v>
      </c>
      <c r="O521" s="196" t="s">
        <v>2534</v>
      </c>
      <c r="AB521" s="110"/>
      <c r="AC521" s="110"/>
      <c r="AD521" s="110"/>
      <c r="AE521" s="110"/>
    </row>
    <row r="522" spans="1:31">
      <c r="A522" s="196" t="s">
        <v>886</v>
      </c>
      <c r="C522" s="197">
        <v>167</v>
      </c>
      <c r="D522" s="196">
        <v>1.5271999999999999</v>
      </c>
      <c r="E522" s="201">
        <v>8.0466999999999995</v>
      </c>
      <c r="F522" s="201">
        <v>0.20660000000000001</v>
      </c>
      <c r="G522" s="200">
        <f t="shared" si="79"/>
        <v>8.2532999999999994</v>
      </c>
      <c r="H522" s="200">
        <v>8.0503</v>
      </c>
      <c r="I522" s="200">
        <f t="shared" si="80"/>
        <v>0.2029999999999994</v>
      </c>
      <c r="J522" s="200">
        <f t="shared" si="81"/>
        <v>3.6000000000006027E-3</v>
      </c>
      <c r="K522" s="277">
        <f t="shared" si="82"/>
        <v>1.7424975798647639</v>
      </c>
      <c r="L522" s="200">
        <v>34</v>
      </c>
      <c r="AB522" s="110"/>
      <c r="AC522" s="110"/>
      <c r="AD522" s="110"/>
      <c r="AE522" s="110"/>
    </row>
    <row r="523" spans="1:31">
      <c r="A523" s="200" t="s">
        <v>883</v>
      </c>
      <c r="C523" s="200">
        <v>207</v>
      </c>
      <c r="D523" s="200">
        <v>1.3046</v>
      </c>
      <c r="E523" s="201">
        <v>9.1372999999999998</v>
      </c>
      <c r="F523" s="201">
        <v>0.20169999999999999</v>
      </c>
      <c r="G523" s="200">
        <f t="shared" si="79"/>
        <v>9.3390000000000004</v>
      </c>
      <c r="H523" s="200">
        <v>9.1700999999999997</v>
      </c>
      <c r="I523" s="200">
        <f t="shared" si="80"/>
        <v>0.16890000000000072</v>
      </c>
      <c r="J523" s="200">
        <f t="shared" si="81"/>
        <v>3.2799999999999274E-2</v>
      </c>
      <c r="K523" s="277">
        <f t="shared" si="82"/>
        <v>16.261774913237122</v>
      </c>
      <c r="L523" s="200">
        <v>6</v>
      </c>
      <c r="M523" s="204">
        <v>43197</v>
      </c>
      <c r="N523" s="204">
        <v>43197</v>
      </c>
      <c r="O523" s="200"/>
      <c r="P523" s="200"/>
      <c r="AB523" s="110"/>
      <c r="AC523" s="110"/>
      <c r="AD523" s="110"/>
      <c r="AE523" s="110"/>
    </row>
    <row r="524" spans="1:31">
      <c r="A524" s="196" t="s">
        <v>882</v>
      </c>
      <c r="C524" s="197">
        <v>166</v>
      </c>
      <c r="D524" s="196">
        <v>1.5031000000000001</v>
      </c>
      <c r="E524" s="201">
        <v>9.1373999999999995</v>
      </c>
      <c r="F524" s="201">
        <v>0.20180000000000001</v>
      </c>
      <c r="G524" s="200">
        <f t="shared" si="79"/>
        <v>9.3391999999999999</v>
      </c>
      <c r="H524" s="200">
        <v>9.1412999999999993</v>
      </c>
      <c r="I524" s="200">
        <f t="shared" si="80"/>
        <v>0.19790000000000063</v>
      </c>
      <c r="J524" s="200">
        <f t="shared" si="81"/>
        <v>3.8999999999993762E-3</v>
      </c>
      <c r="K524" s="277">
        <f t="shared" si="82"/>
        <v>1.9326065411295223</v>
      </c>
      <c r="L524" s="200">
        <v>15</v>
      </c>
      <c r="AB524" s="110"/>
      <c r="AC524" s="110"/>
      <c r="AD524" s="110"/>
      <c r="AE524" s="110"/>
    </row>
    <row r="525" spans="1:31">
      <c r="A525" s="205" t="s">
        <v>1115</v>
      </c>
      <c r="C525" s="200">
        <v>102</v>
      </c>
      <c r="D525" s="200">
        <v>1.357</v>
      </c>
      <c r="E525" s="201">
        <v>8.1191999999999993</v>
      </c>
      <c r="F525" s="201">
        <v>0.20119999999999999</v>
      </c>
      <c r="G525" s="200">
        <f t="shared" si="79"/>
        <v>8.3203999999999994</v>
      </c>
      <c r="H525" s="200">
        <v>8.1302000000000003</v>
      </c>
      <c r="I525" s="200">
        <f t="shared" si="80"/>
        <v>0.19019999999999904</v>
      </c>
      <c r="J525" s="200">
        <f t="shared" si="81"/>
        <v>1.1000000000000953E-2</v>
      </c>
      <c r="K525" s="277">
        <f t="shared" si="82"/>
        <v>5.4671968190859612</v>
      </c>
      <c r="L525" s="200">
        <v>1</v>
      </c>
      <c r="M525" s="202">
        <v>43181.645833333336</v>
      </c>
      <c r="N525" s="202">
        <v>43181.833333333336</v>
      </c>
      <c r="O525" s="200" t="s">
        <v>2540</v>
      </c>
      <c r="P525" s="200"/>
      <c r="AB525" s="110"/>
      <c r="AC525" s="110"/>
      <c r="AD525" s="110"/>
      <c r="AE525" s="110"/>
    </row>
    <row r="526" spans="1:31">
      <c r="A526" s="200" t="s">
        <v>879</v>
      </c>
      <c r="C526" s="200">
        <v>177</v>
      </c>
      <c r="D526" s="200">
        <v>1.4048</v>
      </c>
      <c r="E526" s="200">
        <v>9.7731999999999992</v>
      </c>
      <c r="F526" s="201">
        <v>0.20100000000000001</v>
      </c>
      <c r="G526" s="200">
        <f t="shared" si="79"/>
        <v>9.9741999999999997</v>
      </c>
      <c r="H526" s="200">
        <v>9.7787000000000006</v>
      </c>
      <c r="I526" s="200">
        <f t="shared" si="80"/>
        <v>0.19549999999999912</v>
      </c>
      <c r="J526" s="200">
        <f t="shared" si="81"/>
        <v>5.5000000000008931E-3</v>
      </c>
      <c r="K526" s="277">
        <f t="shared" si="82"/>
        <v>2.7363184079606433</v>
      </c>
      <c r="L526" s="200">
        <v>37</v>
      </c>
      <c r="M526" s="204">
        <v>43187</v>
      </c>
      <c r="N526" s="204">
        <v>43187</v>
      </c>
      <c r="O526" s="200"/>
      <c r="P526" s="200"/>
      <c r="AB526" s="110"/>
      <c r="AC526" s="110"/>
      <c r="AD526" s="110"/>
      <c r="AE526" s="110"/>
    </row>
    <row r="527" spans="1:31">
      <c r="A527" s="205" t="s">
        <v>878</v>
      </c>
      <c r="C527" s="200">
        <v>192</v>
      </c>
      <c r="D527" s="200">
        <v>0.82550000000000001</v>
      </c>
      <c r="E527" s="201">
        <v>11.0334</v>
      </c>
      <c r="F527" s="201">
        <v>0.20669999999999999</v>
      </c>
      <c r="G527" s="200">
        <f t="shared" si="79"/>
        <v>11.2401</v>
      </c>
      <c r="H527" s="200">
        <v>11.125299999999999</v>
      </c>
      <c r="I527" s="200">
        <f t="shared" si="80"/>
        <v>0.11480000000000068</v>
      </c>
      <c r="J527" s="200">
        <f t="shared" si="81"/>
        <v>9.1899999999999316E-2</v>
      </c>
      <c r="K527" s="277">
        <f t="shared" si="82"/>
        <v>44.460570875664885</v>
      </c>
      <c r="L527" s="200">
        <v>15</v>
      </c>
      <c r="M527" s="206">
        <v>43185.385416666664</v>
      </c>
      <c r="N527" s="200"/>
      <c r="O527" s="200" t="s">
        <v>2540</v>
      </c>
      <c r="P527" s="200"/>
      <c r="AB527" s="110"/>
      <c r="AC527" s="110"/>
      <c r="AD527" s="110"/>
      <c r="AE527" s="110"/>
    </row>
    <row r="528" spans="1:31">
      <c r="A528" s="205" t="s">
        <v>877</v>
      </c>
      <c r="C528" s="200">
        <v>164</v>
      </c>
      <c r="D528" s="200">
        <v>1.4674</v>
      </c>
      <c r="E528" s="200">
        <v>8.2187000000000001</v>
      </c>
      <c r="F528" s="201">
        <v>0.20730000000000001</v>
      </c>
      <c r="G528" s="200">
        <f t="shared" si="79"/>
        <v>8.4260000000000002</v>
      </c>
      <c r="H528" s="200">
        <v>8.2226999999999997</v>
      </c>
      <c r="I528" s="196">
        <f t="shared" si="80"/>
        <v>0.20330000000000048</v>
      </c>
      <c r="J528" s="200">
        <f t="shared" si="81"/>
        <v>3.9999999999995317E-3</v>
      </c>
      <c r="K528" s="277">
        <f t="shared" si="82"/>
        <v>1.9295706705255817</v>
      </c>
      <c r="L528" s="200">
        <v>24</v>
      </c>
      <c r="M528" s="204">
        <v>43187</v>
      </c>
      <c r="N528" s="204">
        <v>43187</v>
      </c>
      <c r="O528" s="200"/>
      <c r="P528" s="200" t="s">
        <v>2546</v>
      </c>
      <c r="AB528" s="110"/>
      <c r="AC528" s="110"/>
      <c r="AD528" s="110"/>
      <c r="AE528" s="110"/>
    </row>
    <row r="529" spans="1:31">
      <c r="A529" s="200" t="s">
        <v>876</v>
      </c>
      <c r="C529" s="200">
        <v>205</v>
      </c>
      <c r="D529" s="196">
        <v>1.4040999999999999</v>
      </c>
      <c r="E529" s="196">
        <v>7.9531999999999998</v>
      </c>
      <c r="F529" s="196">
        <v>0.20480000000000001</v>
      </c>
      <c r="G529" s="196">
        <f t="shared" si="79"/>
        <v>8.1579999999999995</v>
      </c>
      <c r="H529" s="196">
        <v>7.9816000000000003</v>
      </c>
      <c r="I529" s="196">
        <f t="shared" si="80"/>
        <v>0.17639999999999922</v>
      </c>
      <c r="J529" s="200">
        <f t="shared" si="81"/>
        <v>2.8400000000000786E-2</v>
      </c>
      <c r="K529" s="277">
        <f t="shared" si="82"/>
        <v>13.867187500000384</v>
      </c>
      <c r="L529" s="196">
        <v>6</v>
      </c>
      <c r="M529" s="206">
        <v>43160.520833333336</v>
      </c>
      <c r="N529" s="206">
        <v>43160.6875</v>
      </c>
      <c r="O529" s="196" t="s">
        <v>2534</v>
      </c>
      <c r="AB529" s="110"/>
      <c r="AC529" s="110"/>
      <c r="AD529" s="110"/>
      <c r="AE529" s="110"/>
    </row>
    <row r="530" spans="1:31">
      <c r="A530" s="205" t="s">
        <v>875</v>
      </c>
      <c r="C530" s="200">
        <v>70</v>
      </c>
      <c r="D530" s="200">
        <v>1.3751</v>
      </c>
      <c r="E530" s="201">
        <v>8.1325000000000003</v>
      </c>
      <c r="F530" s="201">
        <v>0.20069999999999999</v>
      </c>
      <c r="G530" s="200">
        <f t="shared" si="79"/>
        <v>8.3331999999999997</v>
      </c>
      <c r="H530" s="200">
        <v>8.1384000000000007</v>
      </c>
      <c r="I530" s="200">
        <f t="shared" si="80"/>
        <v>0.19479999999999897</v>
      </c>
      <c r="J530" s="200">
        <f t="shared" si="81"/>
        <v>5.9000000000010155E-3</v>
      </c>
      <c r="K530" s="277">
        <f t="shared" si="82"/>
        <v>2.9397110114603966</v>
      </c>
      <c r="L530" s="200">
        <v>9</v>
      </c>
      <c r="M530" s="202">
        <v>43181.645833333336</v>
      </c>
      <c r="N530" s="202">
        <v>43181.833333333336</v>
      </c>
      <c r="O530" s="200" t="s">
        <v>2540</v>
      </c>
      <c r="P530" s="200"/>
      <c r="AB530" s="110"/>
      <c r="AC530" s="110"/>
      <c r="AD530" s="110"/>
      <c r="AE530" s="110"/>
    </row>
    <row r="531" spans="1:31">
      <c r="A531" s="196" t="s">
        <v>873</v>
      </c>
      <c r="C531" s="196">
        <v>180</v>
      </c>
      <c r="D531" s="200">
        <v>1.4306000000000001</v>
      </c>
      <c r="E531" s="201">
        <v>11.0229</v>
      </c>
      <c r="F531" s="201">
        <v>0.20399999999999999</v>
      </c>
      <c r="G531" s="200">
        <f t="shared" si="79"/>
        <v>11.226900000000001</v>
      </c>
      <c r="H531" s="200">
        <v>11.027100000000001</v>
      </c>
      <c r="I531" s="200">
        <f t="shared" si="80"/>
        <v>0.19979999999999976</v>
      </c>
      <c r="J531" s="200">
        <f t="shared" si="81"/>
        <v>4.2000000000002313E-3</v>
      </c>
      <c r="K531" s="277">
        <f t="shared" si="82"/>
        <v>2.0588235294118782</v>
      </c>
      <c r="L531" s="200">
        <v>26</v>
      </c>
      <c r="M531" s="203">
        <v>43213</v>
      </c>
      <c r="N531" s="203">
        <v>43213</v>
      </c>
      <c r="AB531" s="110"/>
      <c r="AC531" s="110"/>
      <c r="AD531" s="110"/>
      <c r="AE531" s="110"/>
    </row>
    <row r="532" spans="1:31">
      <c r="A532" s="201" t="s">
        <v>1114</v>
      </c>
      <c r="C532" s="200">
        <v>145</v>
      </c>
      <c r="D532" s="200">
        <v>1.4273</v>
      </c>
      <c r="E532" s="200">
        <v>8.0883000000000003</v>
      </c>
      <c r="F532" s="200">
        <v>0.2056</v>
      </c>
      <c r="G532" s="200">
        <f t="shared" si="79"/>
        <v>8.2939000000000007</v>
      </c>
      <c r="H532" s="200">
        <v>8.1059000000000001</v>
      </c>
      <c r="I532" s="200">
        <f t="shared" si="80"/>
        <v>0.18800000000000061</v>
      </c>
      <c r="J532" s="200">
        <f t="shared" si="81"/>
        <v>1.7599999999999394E-2</v>
      </c>
      <c r="K532" s="277">
        <f t="shared" si="82"/>
        <v>8.5603112840463975</v>
      </c>
      <c r="L532" s="200">
        <v>27</v>
      </c>
      <c r="M532" s="204">
        <v>43173</v>
      </c>
      <c r="N532" s="204">
        <v>43173</v>
      </c>
      <c r="O532" s="200" t="s">
        <v>2540</v>
      </c>
      <c r="P532" s="200" t="s">
        <v>2539</v>
      </c>
      <c r="AB532" s="110"/>
      <c r="AC532" s="110"/>
      <c r="AD532" s="110"/>
      <c r="AE532" s="110"/>
    </row>
    <row r="533" spans="1:31">
      <c r="A533" s="200" t="s">
        <v>870</v>
      </c>
      <c r="C533" s="200">
        <v>209</v>
      </c>
      <c r="D533" s="200">
        <v>1.4764999999999999</v>
      </c>
      <c r="E533" s="200">
        <v>11.862399999999999</v>
      </c>
      <c r="F533" s="200">
        <v>0.20419999999999999</v>
      </c>
      <c r="G533" s="200">
        <f t="shared" si="79"/>
        <v>12.066599999999999</v>
      </c>
      <c r="H533" s="200">
        <v>11.8809</v>
      </c>
      <c r="I533" s="200">
        <f t="shared" si="80"/>
        <v>0.18569999999999887</v>
      </c>
      <c r="J533" s="200">
        <f t="shared" si="81"/>
        <v>1.8500000000001127E-2</v>
      </c>
      <c r="K533" s="277">
        <f t="shared" si="82"/>
        <v>9.0597453476988878</v>
      </c>
      <c r="L533" s="200">
        <v>2</v>
      </c>
      <c r="M533" s="204">
        <v>43174</v>
      </c>
      <c r="N533" s="204">
        <v>43174</v>
      </c>
      <c r="O533" s="200" t="s">
        <v>2540</v>
      </c>
      <c r="P533" s="200" t="s">
        <v>2539</v>
      </c>
      <c r="AB533" s="110"/>
      <c r="AC533" s="110"/>
      <c r="AD533" s="110"/>
      <c r="AE533" s="110"/>
    </row>
    <row r="534" spans="1:31">
      <c r="A534" s="196" t="s">
        <v>868</v>
      </c>
      <c r="C534" s="197">
        <v>179</v>
      </c>
      <c r="D534" s="196">
        <v>1.4451000000000001</v>
      </c>
      <c r="E534" s="201">
        <v>8.3543000000000003</v>
      </c>
      <c r="F534" s="201">
        <v>0.2059</v>
      </c>
      <c r="G534" s="200">
        <f t="shared" si="79"/>
        <v>8.5602</v>
      </c>
      <c r="H534" s="200">
        <v>8.3583999999999996</v>
      </c>
      <c r="I534" s="200">
        <f t="shared" si="80"/>
        <v>0.20180000000000042</v>
      </c>
      <c r="J534" s="200">
        <f t="shared" si="81"/>
        <v>4.0999999999995762E-3</v>
      </c>
      <c r="K534" s="277">
        <f t="shared" si="82"/>
        <v>1.9912578921804642</v>
      </c>
      <c r="L534" s="200">
        <v>25</v>
      </c>
      <c r="M534" s="203">
        <v>43221</v>
      </c>
      <c r="N534" s="203">
        <v>43221</v>
      </c>
      <c r="AB534" s="110"/>
      <c r="AC534" s="110"/>
      <c r="AD534" s="110"/>
      <c r="AE534" s="110"/>
    </row>
    <row r="535" spans="1:31">
      <c r="A535" s="205" t="s">
        <v>867</v>
      </c>
      <c r="C535" s="200">
        <v>18</v>
      </c>
      <c r="D535" s="200">
        <v>1.3428</v>
      </c>
      <c r="E535" s="200">
        <v>8.0643999999999991</v>
      </c>
      <c r="F535" s="201">
        <v>0.20930000000000001</v>
      </c>
      <c r="G535" s="200">
        <f t="shared" si="79"/>
        <v>8.2736999999999998</v>
      </c>
      <c r="H535" s="200">
        <v>8.0740999999999996</v>
      </c>
      <c r="I535" s="200">
        <f t="shared" si="80"/>
        <v>0.19960000000000022</v>
      </c>
      <c r="J535" s="200">
        <f t="shared" si="81"/>
        <v>9.6999999999997921E-3</v>
      </c>
      <c r="K535" s="277">
        <f t="shared" si="82"/>
        <v>4.6344959388436653</v>
      </c>
      <c r="L535" s="200">
        <v>7</v>
      </c>
      <c r="M535" s="204">
        <v>43187</v>
      </c>
      <c r="N535" s="204">
        <v>43187</v>
      </c>
      <c r="O535" s="200"/>
      <c r="P535" s="200"/>
      <c r="AB535" s="110"/>
      <c r="AC535" s="110"/>
      <c r="AD535" s="110"/>
      <c r="AE535" s="110"/>
    </row>
    <row r="536" spans="1:31">
      <c r="A536" s="196" t="s">
        <v>863</v>
      </c>
      <c r="P536" s="196" t="s">
        <v>3914</v>
      </c>
    </row>
    <row r="537" spans="1:31">
      <c r="A537" s="196" t="s">
        <v>862</v>
      </c>
      <c r="C537" s="197">
        <v>25</v>
      </c>
      <c r="D537" s="196">
        <v>1.4685999999999999</v>
      </c>
      <c r="E537" s="201">
        <v>8.76</v>
      </c>
      <c r="F537" s="201">
        <v>0.20710000000000001</v>
      </c>
      <c r="G537" s="200">
        <f t="shared" ref="G537:G568" si="83">E537+F537</f>
        <v>8.9671000000000003</v>
      </c>
      <c r="H537" s="200">
        <v>8.7655999999999992</v>
      </c>
      <c r="I537" s="200">
        <f>(G537-H537)</f>
        <v>0.20150000000000112</v>
      </c>
      <c r="J537" s="200">
        <f t="shared" ref="J537:J568" si="84">F537-I537</f>
        <v>5.5999999999988836E-3</v>
      </c>
      <c r="K537" s="277">
        <f t="shared" ref="K537:K568" si="85">(J537/F537)*100</f>
        <v>2.7040077257358202</v>
      </c>
      <c r="L537" s="200">
        <v>19</v>
      </c>
      <c r="AB537" s="110"/>
      <c r="AC537" s="110"/>
      <c r="AD537" s="110"/>
      <c r="AE537" s="110"/>
    </row>
    <row r="538" spans="1:31">
      <c r="A538" s="196" t="s">
        <v>1113</v>
      </c>
      <c r="C538" s="196">
        <v>49</v>
      </c>
      <c r="D538" s="196">
        <v>1.3523000000000001</v>
      </c>
      <c r="E538" s="196">
        <v>10.5213</v>
      </c>
      <c r="F538" s="201">
        <v>0.20150000000000001</v>
      </c>
      <c r="G538" s="200">
        <f t="shared" si="83"/>
        <v>10.722799999999999</v>
      </c>
      <c r="H538" s="200">
        <v>10.544600000000001</v>
      </c>
      <c r="I538" s="200">
        <f>(G538-H538)</f>
        <v>0.17819999999999858</v>
      </c>
      <c r="J538" s="200">
        <f t="shared" si="84"/>
        <v>2.3300000000001431E-2</v>
      </c>
      <c r="K538" s="277">
        <f t="shared" si="85"/>
        <v>11.563275434243886</v>
      </c>
      <c r="L538" s="200">
        <v>4</v>
      </c>
      <c r="R538" s="196">
        <v>6</v>
      </c>
      <c r="S538" s="196">
        <v>0.6008</v>
      </c>
      <c r="U538" s="201" t="s">
        <v>1068</v>
      </c>
      <c r="V538" s="196">
        <v>1.8647</v>
      </c>
      <c r="W538" s="196">
        <f>(V538-$T$175+F536)</f>
        <v>1.8647</v>
      </c>
      <c r="AB538" s="110"/>
      <c r="AC538" s="110"/>
      <c r="AD538" s="110"/>
      <c r="AE538" s="110"/>
    </row>
    <row r="539" spans="1:31">
      <c r="A539" s="205" t="s">
        <v>859</v>
      </c>
      <c r="C539" s="196">
        <v>14</v>
      </c>
      <c r="D539" s="201">
        <v>1.3209</v>
      </c>
      <c r="E539" s="201">
        <v>9.5193999999999992</v>
      </c>
      <c r="F539" s="201">
        <v>0.20319999999999999</v>
      </c>
      <c r="G539" s="200">
        <f t="shared" si="83"/>
        <v>9.7225999999999999</v>
      </c>
      <c r="H539" s="200">
        <v>9.5252999999999997</v>
      </c>
      <c r="I539" s="200">
        <f>(G539-H539)</f>
        <v>0.19730000000000025</v>
      </c>
      <c r="J539" s="200">
        <f t="shared" si="84"/>
        <v>5.8999999999997388E-3</v>
      </c>
      <c r="K539" s="277">
        <f t="shared" si="85"/>
        <v>2.903543307086486</v>
      </c>
      <c r="L539" s="200">
        <v>24</v>
      </c>
      <c r="M539" s="204">
        <v>43199</v>
      </c>
      <c r="N539" s="204">
        <v>43199</v>
      </c>
      <c r="O539" s="200"/>
      <c r="P539" s="200"/>
      <c r="AB539" s="110"/>
      <c r="AC539" s="110"/>
      <c r="AD539" s="110"/>
      <c r="AE539" s="110"/>
    </row>
    <row r="540" spans="1:31">
      <c r="A540" s="196" t="s">
        <v>856</v>
      </c>
      <c r="C540" s="197">
        <v>162</v>
      </c>
      <c r="D540" s="196">
        <v>1.4475</v>
      </c>
      <c r="E540" s="200">
        <v>9.1560000000000006</v>
      </c>
      <c r="F540" s="201">
        <v>0.20630000000000001</v>
      </c>
      <c r="G540" s="200">
        <f t="shared" si="83"/>
        <v>9.3623000000000012</v>
      </c>
      <c r="H540" s="200">
        <v>9.1598000000000006</v>
      </c>
      <c r="I540" s="200">
        <f>(G540-H540)</f>
        <v>0.20250000000000057</v>
      </c>
      <c r="J540" s="200">
        <f t="shared" si="84"/>
        <v>3.7999999999994427E-3</v>
      </c>
      <c r="K540" s="277">
        <f t="shared" si="85"/>
        <v>1.8419777023749115</v>
      </c>
      <c r="L540" s="200">
        <v>16</v>
      </c>
      <c r="M540" s="203">
        <v>43212</v>
      </c>
      <c r="AB540" s="110"/>
      <c r="AC540" s="110"/>
      <c r="AD540" s="110"/>
      <c r="AE540" s="110"/>
    </row>
    <row r="541" spans="1:31">
      <c r="A541" s="196" t="s">
        <v>854</v>
      </c>
      <c r="C541" s="197">
        <v>166</v>
      </c>
      <c r="D541" s="196">
        <v>1.4665999999999999</v>
      </c>
      <c r="E541" s="201">
        <v>9.2353000000000005</v>
      </c>
      <c r="F541" s="201">
        <v>0.20380000000000001</v>
      </c>
      <c r="G541" s="200">
        <f t="shared" si="83"/>
        <v>9.4390999999999998</v>
      </c>
      <c r="H541" s="200">
        <v>9.2392000000000003</v>
      </c>
      <c r="I541" s="200">
        <f>(G541-H541)</f>
        <v>0.19989999999999952</v>
      </c>
      <c r="J541" s="200">
        <f t="shared" si="84"/>
        <v>3.9000000000004864E-3</v>
      </c>
      <c r="K541" s="277">
        <f t="shared" si="85"/>
        <v>1.9136408243378245</v>
      </c>
      <c r="L541" s="200">
        <v>8</v>
      </c>
      <c r="AB541" s="110"/>
      <c r="AC541" s="110"/>
      <c r="AD541" s="110"/>
      <c r="AE541" s="110"/>
    </row>
    <row r="542" spans="1:31">
      <c r="A542" t="s">
        <v>853</v>
      </c>
      <c r="C542"/>
      <c r="D542">
        <v>1.3492999999999999</v>
      </c>
      <c r="E542">
        <v>9.7273999999999994</v>
      </c>
      <c r="F542">
        <v>0.2094</v>
      </c>
      <c r="G542">
        <f t="shared" si="83"/>
        <v>9.9367999999999999</v>
      </c>
      <c r="H542">
        <v>9.7360000000000007</v>
      </c>
      <c r="I542" s="281">
        <f>G542-H542</f>
        <v>0.2007999999999992</v>
      </c>
      <c r="J542" s="280">
        <f t="shared" si="84"/>
        <v>8.6000000000008014E-3</v>
      </c>
      <c r="K542" s="282">
        <f t="shared" si="85"/>
        <v>4.106972301815091</v>
      </c>
      <c r="L542">
        <v>18</v>
      </c>
      <c r="M542" s="16">
        <v>43399</v>
      </c>
      <c r="N542" s="16">
        <v>43400</v>
      </c>
      <c r="O542"/>
      <c r="P542" t="s">
        <v>3933</v>
      </c>
    </row>
    <row r="543" spans="1:31">
      <c r="A543" s="205" t="s">
        <v>852</v>
      </c>
      <c r="C543" s="196">
        <v>194</v>
      </c>
      <c r="D543" s="200">
        <v>1.2582</v>
      </c>
      <c r="E543" s="201">
        <v>9.5543999999999993</v>
      </c>
      <c r="F543" s="201">
        <v>0.20749999999999999</v>
      </c>
      <c r="G543" s="200">
        <f t="shared" si="83"/>
        <v>9.7618999999999989</v>
      </c>
      <c r="H543" s="200">
        <v>9.5617000000000001</v>
      </c>
      <c r="I543" s="200">
        <f t="shared" ref="I543:I574" si="86">(G543-H543)</f>
        <v>0.20019999999999882</v>
      </c>
      <c r="J543" s="200">
        <f t="shared" si="84"/>
        <v>7.3000000000011667E-3</v>
      </c>
      <c r="K543" s="277">
        <f t="shared" si="85"/>
        <v>3.5180722891571889</v>
      </c>
      <c r="L543" s="200">
        <v>21</v>
      </c>
      <c r="M543" s="206">
        <v>43186.458333333336</v>
      </c>
      <c r="N543" s="206">
        <v>43186.625</v>
      </c>
      <c r="O543" s="196" t="s">
        <v>2534</v>
      </c>
      <c r="P543" s="200"/>
      <c r="AB543" s="110"/>
      <c r="AC543" s="110"/>
      <c r="AD543" s="110"/>
      <c r="AE543" s="110"/>
    </row>
    <row r="544" spans="1:31">
      <c r="A544" s="200" t="s">
        <v>1112</v>
      </c>
      <c r="C544" s="200">
        <v>51</v>
      </c>
      <c r="D544" s="201">
        <v>1.2412000000000001</v>
      </c>
      <c r="E544" s="200">
        <v>10.509600000000001</v>
      </c>
      <c r="F544" s="201">
        <v>0.2009</v>
      </c>
      <c r="G544" s="200">
        <f t="shared" si="83"/>
        <v>10.710500000000001</v>
      </c>
      <c r="H544" s="200">
        <v>10.517300000000001</v>
      </c>
      <c r="I544" s="200">
        <f t="shared" si="86"/>
        <v>0.19320000000000093</v>
      </c>
      <c r="J544" s="200">
        <f t="shared" si="84"/>
        <v>7.6999999999990687E-3</v>
      </c>
      <c r="K544" s="277">
        <f t="shared" si="85"/>
        <v>3.8327526132399545</v>
      </c>
      <c r="L544" s="200">
        <v>21</v>
      </c>
      <c r="M544" s="200"/>
      <c r="N544" s="200"/>
      <c r="O544" s="200"/>
      <c r="P544" s="200" t="s">
        <v>2541</v>
      </c>
      <c r="R544" s="196">
        <v>7</v>
      </c>
      <c r="S544" s="196">
        <v>0.61399999999999999</v>
      </c>
      <c r="U544" s="201" t="s">
        <v>1503</v>
      </c>
      <c r="V544" s="196">
        <v>1.2385999999999999</v>
      </c>
      <c r="W544" s="196">
        <f>(V544-$T$175+F542)</f>
        <v>1.448</v>
      </c>
      <c r="AB544" s="110"/>
      <c r="AC544" s="110"/>
      <c r="AD544" s="110"/>
      <c r="AE544" s="110"/>
    </row>
    <row r="545" spans="1:31">
      <c r="A545" s="200" t="s">
        <v>851</v>
      </c>
      <c r="C545" s="196">
        <v>183</v>
      </c>
      <c r="D545" s="200">
        <v>1.4666999999999999</v>
      </c>
      <c r="E545" s="201">
        <v>9.0211000000000006</v>
      </c>
      <c r="F545" s="201">
        <v>0.20080000000000001</v>
      </c>
      <c r="G545" s="200">
        <f t="shared" si="83"/>
        <v>9.2218999999999998</v>
      </c>
      <c r="H545" s="200">
        <v>9.0264000000000006</v>
      </c>
      <c r="I545" s="200">
        <f t="shared" si="86"/>
        <v>0.19549999999999912</v>
      </c>
      <c r="J545" s="200">
        <f t="shared" si="84"/>
        <v>5.3000000000008873E-3</v>
      </c>
      <c r="K545" s="277">
        <f t="shared" si="85"/>
        <v>2.639442231076139</v>
      </c>
      <c r="L545" s="200">
        <v>11</v>
      </c>
      <c r="M545" s="206">
        <v>43186.458333333336</v>
      </c>
      <c r="N545" s="206">
        <v>43186.625</v>
      </c>
      <c r="O545" s="196" t="s">
        <v>2534</v>
      </c>
      <c r="P545" s="200"/>
      <c r="AB545" s="110"/>
      <c r="AC545" s="110"/>
      <c r="AD545" s="110"/>
      <c r="AE545" s="110"/>
    </row>
    <row r="546" spans="1:31">
      <c r="A546" s="196" t="s">
        <v>850</v>
      </c>
      <c r="C546" s="196">
        <v>181</v>
      </c>
      <c r="D546" s="196">
        <v>1.4736</v>
      </c>
      <c r="E546" s="200">
        <v>7.8385999999999996</v>
      </c>
      <c r="F546" s="201">
        <v>0.20610000000000001</v>
      </c>
      <c r="G546" s="200">
        <f t="shared" si="83"/>
        <v>8.0446999999999989</v>
      </c>
      <c r="H546" s="200">
        <v>7.843</v>
      </c>
      <c r="I546" s="200">
        <f t="shared" si="86"/>
        <v>0.20169999999999888</v>
      </c>
      <c r="J546" s="200">
        <f t="shared" si="84"/>
        <v>4.4000000000011252E-3</v>
      </c>
      <c r="K546" s="277">
        <f t="shared" si="85"/>
        <v>2.1348859776812832</v>
      </c>
      <c r="L546" s="200">
        <v>5</v>
      </c>
      <c r="M546" s="203">
        <v>43212</v>
      </c>
      <c r="AB546" s="110"/>
      <c r="AC546" s="110"/>
      <c r="AD546" s="110"/>
      <c r="AE546" s="110"/>
    </row>
    <row r="547" spans="1:31">
      <c r="A547" s="200" t="s">
        <v>848</v>
      </c>
      <c r="C547" s="200">
        <v>81</v>
      </c>
      <c r="D547" s="201">
        <v>1.4906999999999999</v>
      </c>
      <c r="E547" s="201">
        <v>10.155799999999999</v>
      </c>
      <c r="F547" s="201">
        <v>0.2044</v>
      </c>
      <c r="G547" s="200">
        <f t="shared" si="83"/>
        <v>10.360199999999999</v>
      </c>
      <c r="H547" s="200">
        <v>10.1601</v>
      </c>
      <c r="I547" s="200">
        <f t="shared" si="86"/>
        <v>0.20009999999999906</v>
      </c>
      <c r="J547" s="200">
        <f t="shared" si="84"/>
        <v>4.300000000000942E-3</v>
      </c>
      <c r="K547" s="277">
        <f t="shared" si="85"/>
        <v>2.1037181996090717</v>
      </c>
      <c r="L547" s="200">
        <v>29</v>
      </c>
      <c r="M547" s="202">
        <v>43181.645833333336</v>
      </c>
      <c r="N547" s="202">
        <v>43181.833333333336</v>
      </c>
      <c r="O547" s="200" t="s">
        <v>2540</v>
      </c>
      <c r="AB547" s="110"/>
      <c r="AC547" s="110"/>
      <c r="AD547" s="110"/>
      <c r="AE547" s="110"/>
    </row>
    <row r="548" spans="1:31">
      <c r="A548" s="196" t="s">
        <v>845</v>
      </c>
      <c r="C548" s="197">
        <v>30</v>
      </c>
      <c r="D548" s="196">
        <v>1.1567000000000001</v>
      </c>
      <c r="E548" s="200">
        <v>8.0884</v>
      </c>
      <c r="F548" s="201">
        <v>0.20610000000000001</v>
      </c>
      <c r="G548" s="200">
        <f t="shared" si="83"/>
        <v>8.2944999999999993</v>
      </c>
      <c r="H548" s="200">
        <v>8.0965000000000007</v>
      </c>
      <c r="I548" s="200">
        <f t="shared" si="86"/>
        <v>0.19799999999999862</v>
      </c>
      <c r="J548" s="200">
        <f t="shared" si="84"/>
        <v>8.1000000000013839E-3</v>
      </c>
      <c r="K548" s="277">
        <f t="shared" si="85"/>
        <v>3.9301310043674835</v>
      </c>
      <c r="L548" s="200">
        <v>16</v>
      </c>
      <c r="M548" s="203">
        <v>43213</v>
      </c>
      <c r="N548" s="203">
        <v>43213</v>
      </c>
      <c r="AB548" s="110"/>
      <c r="AC548" s="110"/>
      <c r="AD548" s="110"/>
      <c r="AE548" s="110"/>
    </row>
    <row r="549" spans="1:31">
      <c r="A549" s="196" t="s">
        <v>1138</v>
      </c>
      <c r="C549" s="196">
        <v>13</v>
      </c>
      <c r="D549" s="200">
        <v>1.2828999999999999</v>
      </c>
      <c r="E549" s="201">
        <v>7.3541999999999996</v>
      </c>
      <c r="F549" s="201">
        <v>0.20280000000000001</v>
      </c>
      <c r="G549" s="200">
        <f t="shared" si="83"/>
        <v>7.5569999999999995</v>
      </c>
      <c r="H549" s="200">
        <v>7.3602999999999996</v>
      </c>
      <c r="I549" s="200">
        <f t="shared" si="86"/>
        <v>0.19669999999999987</v>
      </c>
      <c r="J549" s="200">
        <f t="shared" si="84"/>
        <v>6.1000000000001331E-3</v>
      </c>
      <c r="K549" s="277">
        <f t="shared" si="85"/>
        <v>3.0078895463511506</v>
      </c>
      <c r="L549" s="200">
        <v>23</v>
      </c>
      <c r="M549" s="203">
        <v>43213</v>
      </c>
      <c r="N549" s="203">
        <v>43213</v>
      </c>
      <c r="AB549" s="110"/>
      <c r="AC549" s="110"/>
      <c r="AD549" s="110"/>
      <c r="AE549" s="110"/>
    </row>
    <row r="550" spans="1:31">
      <c r="A550" s="200" t="s">
        <v>1111</v>
      </c>
      <c r="C550" s="200">
        <v>157</v>
      </c>
      <c r="D550" s="200">
        <v>1.5705</v>
      </c>
      <c r="E550" s="201">
        <v>7.4748000000000001</v>
      </c>
      <c r="F550" s="201">
        <v>0.20549999999999999</v>
      </c>
      <c r="G550" s="200">
        <f t="shared" si="83"/>
        <v>7.6802999999999999</v>
      </c>
      <c r="H550" s="200">
        <v>7.4926000000000004</v>
      </c>
      <c r="I550" s="200">
        <f t="shared" si="86"/>
        <v>0.18769999999999953</v>
      </c>
      <c r="J550" s="200">
        <f t="shared" si="84"/>
        <v>1.7800000000000454E-2</v>
      </c>
      <c r="K550" s="277">
        <f t="shared" si="85"/>
        <v>8.6618004866182261</v>
      </c>
      <c r="L550" s="200">
        <v>27</v>
      </c>
      <c r="M550" s="206">
        <v>43185.385416666664</v>
      </c>
      <c r="N550" s="200"/>
      <c r="O550" s="200" t="s">
        <v>2540</v>
      </c>
      <c r="P550" s="200"/>
      <c r="AB550" s="110"/>
      <c r="AC550" s="110"/>
      <c r="AD550" s="110"/>
      <c r="AE550" s="110"/>
    </row>
    <row r="551" spans="1:31">
      <c r="A551" s="196" t="s">
        <v>840</v>
      </c>
      <c r="C551" s="197">
        <v>180</v>
      </c>
      <c r="D551" s="196">
        <v>1.4709000000000001</v>
      </c>
      <c r="E551" s="201">
        <v>10.510300000000001</v>
      </c>
      <c r="F551" s="201">
        <v>0.1996</v>
      </c>
      <c r="G551" s="200">
        <f t="shared" si="83"/>
        <v>10.709900000000001</v>
      </c>
      <c r="H551" s="200">
        <v>10.514099999999999</v>
      </c>
      <c r="I551" s="200">
        <f t="shared" si="86"/>
        <v>0.19580000000000197</v>
      </c>
      <c r="J551" s="200">
        <f t="shared" si="84"/>
        <v>3.7999999999980272E-3</v>
      </c>
      <c r="K551" s="277">
        <f t="shared" si="85"/>
        <v>1.9038076152294727</v>
      </c>
      <c r="L551" s="200">
        <v>40</v>
      </c>
      <c r="M551" s="203">
        <v>43221</v>
      </c>
      <c r="N551" s="203">
        <v>43221</v>
      </c>
      <c r="AB551" s="110"/>
      <c r="AC551" s="110"/>
      <c r="AD551" s="110"/>
      <c r="AE551" s="110"/>
    </row>
    <row r="552" spans="1:31">
      <c r="A552" s="200" t="s">
        <v>839</v>
      </c>
      <c r="C552" s="200">
        <v>217</v>
      </c>
      <c r="D552" s="200">
        <v>1.1337999999999999</v>
      </c>
      <c r="E552" s="200">
        <v>9.7261000000000006</v>
      </c>
      <c r="F552" s="201">
        <v>0.2029</v>
      </c>
      <c r="G552" s="200">
        <f t="shared" si="83"/>
        <v>9.9290000000000003</v>
      </c>
      <c r="H552" s="200">
        <v>9.7372999999999994</v>
      </c>
      <c r="I552" s="200">
        <f t="shared" si="86"/>
        <v>0.19170000000000087</v>
      </c>
      <c r="J552" s="200">
        <f t="shared" si="84"/>
        <v>1.1199999999999127E-2</v>
      </c>
      <c r="K552" s="277">
        <f t="shared" si="85"/>
        <v>5.5199605717097722</v>
      </c>
      <c r="L552" s="200">
        <v>4</v>
      </c>
      <c r="M552" s="204">
        <v>43211</v>
      </c>
      <c r="N552" s="200"/>
      <c r="O552" s="200"/>
      <c r="P552" s="200" t="s">
        <v>2537</v>
      </c>
      <c r="AB552" s="110"/>
      <c r="AC552" s="110"/>
      <c r="AD552" s="110"/>
      <c r="AE552" s="110"/>
    </row>
    <row r="553" spans="1:31">
      <c r="A553" s="196" t="s">
        <v>838</v>
      </c>
      <c r="C553" s="197">
        <v>200</v>
      </c>
      <c r="D553" s="196">
        <v>1.363</v>
      </c>
      <c r="E553" s="201">
        <v>11.7463</v>
      </c>
      <c r="F553" s="201">
        <v>0.20039999999999999</v>
      </c>
      <c r="G553" s="200">
        <f t="shared" si="83"/>
        <v>11.9467</v>
      </c>
      <c r="H553" s="200">
        <v>11.7552</v>
      </c>
      <c r="I553" s="200">
        <f t="shared" si="86"/>
        <v>0.19149999999999956</v>
      </c>
      <c r="J553" s="200">
        <f t="shared" si="84"/>
        <v>8.9000000000004353E-3</v>
      </c>
      <c r="K553" s="277">
        <f t="shared" si="85"/>
        <v>4.4411177644712749</v>
      </c>
      <c r="L553" s="200">
        <v>26</v>
      </c>
      <c r="AB553" s="110"/>
      <c r="AC553" s="110"/>
      <c r="AD553" s="110"/>
      <c r="AE553" s="110"/>
    </row>
    <row r="554" spans="1:31">
      <c r="A554" s="205" t="s">
        <v>834</v>
      </c>
      <c r="C554" s="200">
        <v>174</v>
      </c>
      <c r="D554" s="200">
        <v>1.4733000000000001</v>
      </c>
      <c r="E554" s="201">
        <v>7.9611000000000001</v>
      </c>
      <c r="F554" s="201">
        <v>0.20150000000000001</v>
      </c>
      <c r="G554" s="200">
        <f t="shared" si="83"/>
        <v>8.1625999999999994</v>
      </c>
      <c r="H554" s="200">
        <v>7.9642999999999997</v>
      </c>
      <c r="I554" s="200">
        <f t="shared" si="86"/>
        <v>0.1982999999999997</v>
      </c>
      <c r="J554" s="200">
        <f t="shared" si="84"/>
        <v>3.2000000000003137E-3</v>
      </c>
      <c r="K554" s="277">
        <f t="shared" si="85"/>
        <v>1.5880893300249692</v>
      </c>
      <c r="L554" s="200">
        <v>8</v>
      </c>
      <c r="M554" s="206">
        <v>43186.458333333336</v>
      </c>
      <c r="N554" s="206">
        <v>43186.625</v>
      </c>
      <c r="O554" s="196" t="s">
        <v>2534</v>
      </c>
      <c r="P554" s="200"/>
      <c r="AB554" s="110"/>
      <c r="AC554" s="110"/>
      <c r="AD554" s="110"/>
      <c r="AE554" s="110"/>
    </row>
    <row r="555" spans="1:31">
      <c r="A555" s="200" t="s">
        <v>832</v>
      </c>
      <c r="C555" s="200">
        <v>178</v>
      </c>
      <c r="D555" s="196">
        <v>1.4516</v>
      </c>
      <c r="E555" s="196">
        <v>8.7627000000000006</v>
      </c>
      <c r="F555" s="196">
        <v>0.2054</v>
      </c>
      <c r="G555" s="196">
        <f t="shared" si="83"/>
        <v>8.9680999999999997</v>
      </c>
      <c r="H555" s="196">
        <v>8.7645</v>
      </c>
      <c r="I555" s="196">
        <f t="shared" si="86"/>
        <v>0.20359999999999978</v>
      </c>
      <c r="J555" s="200">
        <f t="shared" si="84"/>
        <v>1.8000000000002181E-3</v>
      </c>
      <c r="K555" s="277">
        <f t="shared" si="85"/>
        <v>0.87633885102250153</v>
      </c>
      <c r="L555" s="196">
        <v>15</v>
      </c>
      <c r="M555" s="206">
        <v>43160.520833333336</v>
      </c>
      <c r="N555" s="206">
        <v>43160.6875</v>
      </c>
      <c r="O555" s="196" t="s">
        <v>2534</v>
      </c>
      <c r="AB555" s="110"/>
      <c r="AC555" s="110"/>
      <c r="AD555" s="110"/>
      <c r="AE555" s="110"/>
    </row>
    <row r="556" spans="1:31">
      <c r="A556" s="196" t="s">
        <v>1110</v>
      </c>
      <c r="C556" s="196">
        <v>58</v>
      </c>
      <c r="D556" s="196">
        <v>0.96730000000000005</v>
      </c>
      <c r="E556" s="196">
        <v>9.3140999999999998</v>
      </c>
      <c r="F556" s="196">
        <v>0.19950000000000001</v>
      </c>
      <c r="G556" s="196">
        <f t="shared" si="83"/>
        <v>9.5136000000000003</v>
      </c>
      <c r="H556" s="196">
        <v>9.3429000000000002</v>
      </c>
      <c r="I556" s="196">
        <f t="shared" si="86"/>
        <v>0.17070000000000007</v>
      </c>
      <c r="J556" s="200">
        <f t="shared" si="84"/>
        <v>2.8799999999999937E-2</v>
      </c>
      <c r="K556" s="277">
        <f t="shared" si="85"/>
        <v>14.436090225563877</v>
      </c>
      <c r="L556" s="196">
        <v>37</v>
      </c>
      <c r="M556" s="196" t="s">
        <v>2570</v>
      </c>
      <c r="N556" s="196" t="s">
        <v>2569</v>
      </c>
      <c r="O556" s="196" t="s">
        <v>2534</v>
      </c>
      <c r="U556" s="201" t="s">
        <v>1148</v>
      </c>
      <c r="V556" s="196">
        <v>1.0179</v>
      </c>
      <c r="W556" s="196">
        <f>(V556-$T$175+F554)</f>
        <v>1.2194</v>
      </c>
      <c r="AB556" s="110"/>
      <c r="AC556" s="110"/>
      <c r="AD556" s="110"/>
      <c r="AE556" s="110"/>
    </row>
    <row r="557" spans="1:31">
      <c r="A557" s="196" t="s">
        <v>830</v>
      </c>
      <c r="C557" s="196">
        <v>75</v>
      </c>
      <c r="D557" s="196">
        <v>1.4560999999999999</v>
      </c>
      <c r="E557" s="201">
        <v>11.904</v>
      </c>
      <c r="F557" s="201">
        <v>0.2036</v>
      </c>
      <c r="G557" s="200">
        <f t="shared" si="83"/>
        <v>12.1076</v>
      </c>
      <c r="H557" s="200">
        <v>11.911199999999999</v>
      </c>
      <c r="I557" s="200">
        <f t="shared" si="86"/>
        <v>0.19640000000000057</v>
      </c>
      <c r="J557" s="200">
        <f t="shared" si="84"/>
        <v>7.1999999999994291E-3</v>
      </c>
      <c r="K557" s="277">
        <f t="shared" si="85"/>
        <v>3.5363457760311539</v>
      </c>
      <c r="L557" s="200">
        <v>19</v>
      </c>
      <c r="M557" s="203">
        <v>43221</v>
      </c>
      <c r="N557" s="203">
        <v>43221</v>
      </c>
      <c r="P557" s="196" t="s">
        <v>2141</v>
      </c>
      <c r="AB557" s="110"/>
      <c r="AC557" s="110"/>
      <c r="AD557" s="110"/>
      <c r="AE557" s="110"/>
    </row>
    <row r="558" spans="1:31">
      <c r="A558" s="196" t="s">
        <v>829</v>
      </c>
      <c r="C558" s="196">
        <v>52</v>
      </c>
      <c r="D558" s="196">
        <v>1.2791999999999999</v>
      </c>
      <c r="E558" s="196">
        <v>10.855700000000001</v>
      </c>
      <c r="F558" s="196">
        <v>0.2097</v>
      </c>
      <c r="G558" s="196">
        <f t="shared" si="83"/>
        <v>11.0654</v>
      </c>
      <c r="H558" s="196">
        <v>10.876300000000001</v>
      </c>
      <c r="I558" s="196">
        <f t="shared" si="86"/>
        <v>0.18909999999999982</v>
      </c>
      <c r="J558" s="200">
        <f t="shared" si="84"/>
        <v>2.0600000000000174E-2</v>
      </c>
      <c r="K558" s="277">
        <f t="shared" si="85"/>
        <v>9.8235574630425244</v>
      </c>
      <c r="L558" s="196">
        <v>32</v>
      </c>
      <c r="M558" s="196" t="s">
        <v>2570</v>
      </c>
      <c r="N558" s="196" t="s">
        <v>2569</v>
      </c>
      <c r="O558" s="196" t="s">
        <v>2534</v>
      </c>
      <c r="U558" s="201" t="s">
        <v>1447</v>
      </c>
      <c r="V558" s="196">
        <v>1.0246</v>
      </c>
      <c r="W558" s="196">
        <f>(V558-$T$175+F556)</f>
        <v>1.2241</v>
      </c>
      <c r="AB558" s="110"/>
      <c r="AC558" s="110"/>
      <c r="AD558" s="110"/>
      <c r="AE558" s="110"/>
    </row>
    <row r="559" spans="1:31">
      <c r="A559" s="200" t="s">
        <v>826</v>
      </c>
      <c r="C559" s="200">
        <v>85</v>
      </c>
      <c r="D559" s="200">
        <v>1.2338</v>
      </c>
      <c r="E559" s="201">
        <v>9.7210999999999999</v>
      </c>
      <c r="F559" s="201">
        <v>0.20349999999999999</v>
      </c>
      <c r="G559" s="200">
        <f t="shared" si="83"/>
        <v>9.9245999999999999</v>
      </c>
      <c r="H559" s="200">
        <v>9.7422000000000004</v>
      </c>
      <c r="I559" s="200">
        <f t="shared" si="86"/>
        <v>0.18239999999999945</v>
      </c>
      <c r="J559" s="200">
        <f t="shared" si="84"/>
        <v>2.1100000000000535E-2</v>
      </c>
      <c r="K559" s="277">
        <f t="shared" si="85"/>
        <v>10.368550368550631</v>
      </c>
      <c r="L559" s="200">
        <v>41</v>
      </c>
      <c r="M559" s="206">
        <v>43186.458333333336</v>
      </c>
      <c r="N559" s="206">
        <v>43186.625</v>
      </c>
      <c r="O559" s="196" t="s">
        <v>2534</v>
      </c>
      <c r="P559" s="200"/>
      <c r="AB559" s="110"/>
      <c r="AC559" s="110"/>
      <c r="AD559" s="110"/>
      <c r="AE559" s="110"/>
    </row>
    <row r="560" spans="1:31">
      <c r="A560" s="205" t="s">
        <v>824</v>
      </c>
      <c r="C560" s="200">
        <v>164</v>
      </c>
      <c r="D560" s="200">
        <v>1.4870000000000001</v>
      </c>
      <c r="E560" s="200">
        <v>7.8597999999999999</v>
      </c>
      <c r="F560" s="201">
        <v>0.2006</v>
      </c>
      <c r="G560" s="200">
        <f t="shared" si="83"/>
        <v>8.0603999999999996</v>
      </c>
      <c r="H560" s="200">
        <v>7.8639999999999999</v>
      </c>
      <c r="I560" s="200">
        <f t="shared" si="86"/>
        <v>0.19639999999999969</v>
      </c>
      <c r="J560" s="200">
        <f t="shared" si="84"/>
        <v>4.2000000000003146E-3</v>
      </c>
      <c r="K560" s="277">
        <f t="shared" si="85"/>
        <v>2.0937188434697482</v>
      </c>
      <c r="L560" s="200">
        <v>25</v>
      </c>
      <c r="M560" s="204">
        <v>43187</v>
      </c>
      <c r="N560" s="204">
        <v>43187</v>
      </c>
      <c r="O560" s="200"/>
      <c r="P560" s="200"/>
      <c r="AB560" s="110"/>
      <c r="AC560" s="110"/>
      <c r="AD560" s="110"/>
      <c r="AE560" s="110"/>
    </row>
    <row r="561" spans="1:31">
      <c r="A561" s="196" t="s">
        <v>823</v>
      </c>
      <c r="C561" s="197">
        <v>96</v>
      </c>
      <c r="D561" s="196">
        <v>1.5516000000000001</v>
      </c>
      <c r="E561" s="196">
        <v>7.7140000000000004</v>
      </c>
      <c r="F561" s="201">
        <v>0.20130000000000001</v>
      </c>
      <c r="G561" s="200">
        <f t="shared" si="83"/>
        <v>7.9153000000000002</v>
      </c>
      <c r="H561" s="200">
        <v>7.7363999999999997</v>
      </c>
      <c r="I561" s="200">
        <f t="shared" si="86"/>
        <v>0.1789000000000005</v>
      </c>
      <c r="J561" s="200">
        <f t="shared" si="84"/>
        <v>2.2399999999999504E-2</v>
      </c>
      <c r="K561" s="277">
        <f t="shared" si="85"/>
        <v>11.127670144063339</v>
      </c>
      <c r="L561" s="200">
        <v>13</v>
      </c>
      <c r="AB561" s="110"/>
      <c r="AC561" s="110"/>
      <c r="AD561" s="110"/>
      <c r="AE561" s="110"/>
    </row>
    <row r="562" spans="1:31">
      <c r="A562" s="196" t="s">
        <v>822</v>
      </c>
      <c r="C562" s="197">
        <v>220</v>
      </c>
      <c r="D562" s="196">
        <v>1.3140000000000001</v>
      </c>
      <c r="E562" s="201">
        <v>9.0319000000000003</v>
      </c>
      <c r="F562" s="201">
        <v>0.2011</v>
      </c>
      <c r="G562" s="200">
        <f t="shared" si="83"/>
        <v>9.2330000000000005</v>
      </c>
      <c r="H562" s="200">
        <v>9.0419999999999998</v>
      </c>
      <c r="I562" s="200">
        <f t="shared" si="86"/>
        <v>0.19100000000000072</v>
      </c>
      <c r="J562" s="200">
        <f t="shared" si="84"/>
        <v>1.0099999999999276E-2</v>
      </c>
      <c r="K562" s="277">
        <f t="shared" si="85"/>
        <v>5.0223769269016794</v>
      </c>
      <c r="L562" s="200">
        <v>20</v>
      </c>
      <c r="AB562" s="110"/>
      <c r="AC562" s="110"/>
      <c r="AD562" s="110"/>
      <c r="AE562" s="110"/>
    </row>
    <row r="563" spans="1:31">
      <c r="A563" s="196" t="s">
        <v>1109</v>
      </c>
      <c r="C563" s="197">
        <v>179</v>
      </c>
      <c r="D563" s="196">
        <v>1.4331</v>
      </c>
      <c r="E563" s="201">
        <v>11.1722</v>
      </c>
      <c r="F563" s="201">
        <v>0.2056</v>
      </c>
      <c r="G563" s="200">
        <f t="shared" si="83"/>
        <v>11.377800000000001</v>
      </c>
      <c r="H563" s="200">
        <v>11.176</v>
      </c>
      <c r="I563" s="200">
        <f t="shared" si="86"/>
        <v>0.20180000000000042</v>
      </c>
      <c r="J563" s="200">
        <f t="shared" si="84"/>
        <v>3.7999999999995815E-3</v>
      </c>
      <c r="K563" s="277">
        <f t="shared" si="85"/>
        <v>1.8482490272371503</v>
      </c>
      <c r="L563" s="200">
        <v>7</v>
      </c>
      <c r="AB563" s="110"/>
      <c r="AC563" s="110"/>
      <c r="AD563" s="110"/>
      <c r="AE563" s="110"/>
    </row>
    <row r="564" spans="1:31">
      <c r="A564" s="205" t="s">
        <v>819</v>
      </c>
      <c r="C564" s="200">
        <v>168</v>
      </c>
      <c r="D564" s="200">
        <v>1.4461999999999999</v>
      </c>
      <c r="E564" s="201">
        <v>10.520200000000001</v>
      </c>
      <c r="F564" s="201">
        <v>0.20119999999999999</v>
      </c>
      <c r="G564" s="200">
        <f t="shared" si="83"/>
        <v>10.721400000000001</v>
      </c>
      <c r="H564" s="200">
        <v>10.5245</v>
      </c>
      <c r="I564" s="200">
        <f t="shared" si="86"/>
        <v>0.19690000000000119</v>
      </c>
      <c r="J564" s="200">
        <f t="shared" si="84"/>
        <v>4.2999999999988048E-3</v>
      </c>
      <c r="K564" s="277">
        <f t="shared" si="85"/>
        <v>2.1371769383691874</v>
      </c>
      <c r="L564" s="200">
        <v>10</v>
      </c>
      <c r="M564" s="206">
        <v>43185.385416666664</v>
      </c>
      <c r="N564" s="200"/>
      <c r="O564" s="200" t="s">
        <v>2540</v>
      </c>
      <c r="P564" s="200"/>
      <c r="AB564" s="110"/>
      <c r="AC564" s="110"/>
      <c r="AD564" s="110"/>
      <c r="AE564" s="110"/>
    </row>
    <row r="565" spans="1:31">
      <c r="A565" s="196" t="s">
        <v>818</v>
      </c>
      <c r="C565" s="197">
        <v>31</v>
      </c>
      <c r="D565" s="196">
        <v>1.2133</v>
      </c>
      <c r="E565" s="196">
        <v>11.443899999999999</v>
      </c>
      <c r="F565" s="201">
        <v>0.2064</v>
      </c>
      <c r="G565" s="200">
        <f t="shared" si="83"/>
        <v>11.6503</v>
      </c>
      <c r="H565" s="200">
        <v>11.485300000000001</v>
      </c>
      <c r="I565" s="200">
        <f t="shared" si="86"/>
        <v>0.16499999999999915</v>
      </c>
      <c r="J565" s="200">
        <f t="shared" si="84"/>
        <v>4.1400000000000853E-2</v>
      </c>
      <c r="K565" s="277">
        <f t="shared" si="85"/>
        <v>20.058139534884134</v>
      </c>
      <c r="L565" s="200">
        <v>23</v>
      </c>
      <c r="AB565" s="110"/>
      <c r="AC565" s="110"/>
      <c r="AD565" s="110"/>
      <c r="AE565" s="110"/>
    </row>
    <row r="566" spans="1:31">
      <c r="A566" s="201" t="s">
        <v>815</v>
      </c>
      <c r="C566" s="200">
        <v>176</v>
      </c>
      <c r="D566" s="200">
        <v>1.4487999999999999</v>
      </c>
      <c r="E566" s="200">
        <v>8.1203000000000003</v>
      </c>
      <c r="F566" s="200">
        <v>0.20899999999999999</v>
      </c>
      <c r="G566" s="200">
        <f t="shared" si="83"/>
        <v>8.3292999999999999</v>
      </c>
      <c r="H566" s="200">
        <v>8.1327999999999996</v>
      </c>
      <c r="I566" s="200">
        <f t="shared" si="86"/>
        <v>0.19650000000000034</v>
      </c>
      <c r="J566" s="200">
        <f t="shared" si="84"/>
        <v>1.249999999999965E-2</v>
      </c>
      <c r="K566" s="277">
        <f t="shared" si="85"/>
        <v>5.9808612440189712</v>
      </c>
      <c r="L566" s="200">
        <v>20</v>
      </c>
      <c r="M566" s="204">
        <v>43173</v>
      </c>
      <c r="N566" s="204">
        <v>43173</v>
      </c>
      <c r="O566" s="200" t="s">
        <v>2540</v>
      </c>
      <c r="P566" s="200" t="s">
        <v>2539</v>
      </c>
      <c r="AB566" s="110"/>
      <c r="AC566" s="110"/>
      <c r="AD566" s="110"/>
      <c r="AE566" s="110"/>
    </row>
    <row r="567" spans="1:31">
      <c r="A567" s="205" t="s">
        <v>813</v>
      </c>
      <c r="C567" s="200">
        <v>206</v>
      </c>
      <c r="D567" s="200">
        <v>1.3629</v>
      </c>
      <c r="E567" s="200">
        <v>8.0951000000000004</v>
      </c>
      <c r="F567" s="201">
        <v>0.2041</v>
      </c>
      <c r="G567" s="200">
        <f t="shared" si="83"/>
        <v>8.2992000000000008</v>
      </c>
      <c r="H567" s="200">
        <v>8.1071000000000009</v>
      </c>
      <c r="I567" s="200">
        <f t="shared" si="86"/>
        <v>0.19209999999999994</v>
      </c>
      <c r="J567" s="200">
        <f t="shared" si="84"/>
        <v>1.2000000000000066E-2</v>
      </c>
      <c r="K567" s="277">
        <f t="shared" si="85"/>
        <v>5.8794708476237458</v>
      </c>
      <c r="L567" s="200">
        <v>11</v>
      </c>
      <c r="M567" s="204">
        <v>43187</v>
      </c>
      <c r="N567" s="204">
        <v>43187</v>
      </c>
      <c r="O567" s="200"/>
      <c r="P567" s="200"/>
      <c r="AB567" s="110"/>
      <c r="AC567" s="110"/>
      <c r="AD567" s="110"/>
      <c r="AE567" s="110"/>
    </row>
    <row r="568" spans="1:31">
      <c r="A568" s="196" t="s">
        <v>812</v>
      </c>
      <c r="C568" s="196">
        <v>87</v>
      </c>
      <c r="D568" s="196">
        <v>1.4715</v>
      </c>
      <c r="E568" s="196">
        <v>21.069500000000001</v>
      </c>
      <c r="F568" s="196">
        <v>0.2029</v>
      </c>
      <c r="G568" s="196">
        <f t="shared" si="83"/>
        <v>21.272400000000001</v>
      </c>
      <c r="H568" s="196">
        <v>21.081199999999999</v>
      </c>
      <c r="I568" s="196">
        <f t="shared" si="86"/>
        <v>0.19120000000000203</v>
      </c>
      <c r="J568" s="200">
        <f t="shared" si="84"/>
        <v>1.1699999999997962E-2</v>
      </c>
      <c r="K568" s="277">
        <f t="shared" si="85"/>
        <v>5.7663873829462604</v>
      </c>
      <c r="L568" s="196">
        <v>14</v>
      </c>
      <c r="M568" s="196" t="s">
        <v>2564</v>
      </c>
      <c r="N568" s="196" t="s">
        <v>2563</v>
      </c>
      <c r="O568" s="196" t="s">
        <v>2540</v>
      </c>
      <c r="AB568" s="110"/>
      <c r="AC568" s="110"/>
      <c r="AD568" s="110"/>
      <c r="AE568" s="110"/>
    </row>
    <row r="569" spans="1:31">
      <c r="A569" s="196" t="s">
        <v>1108</v>
      </c>
      <c r="C569" s="196">
        <v>106</v>
      </c>
      <c r="D569" s="196">
        <v>1.3362000000000001</v>
      </c>
      <c r="E569" s="196">
        <v>7.7127999999999997</v>
      </c>
      <c r="F569" s="196">
        <v>0.2044</v>
      </c>
      <c r="G569" s="196">
        <f t="shared" ref="G569:G600" si="87">E569+F569</f>
        <v>7.9171999999999993</v>
      </c>
      <c r="H569" s="196">
        <v>7.7276999999999996</v>
      </c>
      <c r="I569" s="196">
        <f t="shared" si="86"/>
        <v>0.18949999999999978</v>
      </c>
      <c r="J569" s="200">
        <f t="shared" ref="J569:J600" si="88">F569-I569</f>
        <v>1.4900000000000219E-2</v>
      </c>
      <c r="K569" s="277">
        <f t="shared" ref="K569:K600" si="89">(J569/F569)*100</f>
        <v>7.2896281800392453</v>
      </c>
      <c r="L569" s="196">
        <v>3</v>
      </c>
      <c r="M569" s="196">
        <v>43157.395833333336</v>
      </c>
      <c r="N569" s="196">
        <v>43157.569444444445</v>
      </c>
      <c r="O569" s="196" t="s">
        <v>2534</v>
      </c>
      <c r="AB569" s="110"/>
      <c r="AC569" s="110"/>
      <c r="AD569" s="110"/>
      <c r="AE569" s="110"/>
    </row>
    <row r="570" spans="1:31">
      <c r="A570" s="200" t="s">
        <v>811</v>
      </c>
      <c r="C570" s="200">
        <v>170</v>
      </c>
      <c r="D570" s="200">
        <v>1.5392999999999999</v>
      </c>
      <c r="E570" s="200">
        <v>10.1532</v>
      </c>
      <c r="F570" s="201">
        <v>0.20330000000000001</v>
      </c>
      <c r="G570" s="200">
        <f t="shared" si="87"/>
        <v>10.3565</v>
      </c>
      <c r="H570" s="200">
        <v>10.1576</v>
      </c>
      <c r="I570" s="200">
        <f t="shared" si="86"/>
        <v>0.19890000000000008</v>
      </c>
      <c r="J570" s="200">
        <f t="shared" si="88"/>
        <v>4.3999999999999317E-3</v>
      </c>
      <c r="K570" s="277">
        <f t="shared" si="89"/>
        <v>2.1642892277422194</v>
      </c>
      <c r="L570" s="200">
        <v>2</v>
      </c>
      <c r="M570" s="204">
        <v>43187</v>
      </c>
      <c r="N570" s="204">
        <v>43187</v>
      </c>
      <c r="O570" s="200"/>
      <c r="P570" s="200"/>
      <c r="AB570" s="110"/>
      <c r="AC570" s="110"/>
      <c r="AD570" s="110"/>
      <c r="AE570" s="110"/>
    </row>
    <row r="571" spans="1:31">
      <c r="A571" s="196" t="s">
        <v>810</v>
      </c>
      <c r="C571" s="200">
        <v>165</v>
      </c>
      <c r="D571" s="200">
        <v>1.4888999999999999</v>
      </c>
      <c r="E571" s="200">
        <v>10.677</v>
      </c>
      <c r="F571" s="200">
        <v>0.2185</v>
      </c>
      <c r="G571" s="200">
        <f t="shared" si="87"/>
        <v>10.8955</v>
      </c>
      <c r="H571" s="200">
        <v>10.682600000000001</v>
      </c>
      <c r="I571" s="200">
        <f t="shared" si="86"/>
        <v>0.21289999999999942</v>
      </c>
      <c r="J571" s="200">
        <f t="shared" si="88"/>
        <v>5.6000000000005767E-3</v>
      </c>
      <c r="K571" s="277">
        <f t="shared" si="89"/>
        <v>2.562929061785161</v>
      </c>
      <c r="L571" s="200">
        <v>18</v>
      </c>
      <c r="M571" s="202">
        <v>43164.628472222219</v>
      </c>
      <c r="N571" s="202">
        <v>43164.795138888891</v>
      </c>
      <c r="O571" s="196" t="s">
        <v>2534</v>
      </c>
      <c r="P571"/>
      <c r="Q571"/>
      <c r="AB571" s="110"/>
      <c r="AC571" s="110"/>
      <c r="AD571" s="110"/>
      <c r="AE571" s="110"/>
    </row>
    <row r="572" spans="1:31">
      <c r="A572" s="196" t="s">
        <v>808</v>
      </c>
      <c r="C572" s="200">
        <v>65</v>
      </c>
      <c r="D572" s="200">
        <v>1.3767</v>
      </c>
      <c r="E572" s="201">
        <v>9.8209999999999997</v>
      </c>
      <c r="F572" s="201">
        <v>0.20030000000000001</v>
      </c>
      <c r="G572" s="200">
        <f t="shared" si="87"/>
        <v>10.0213</v>
      </c>
      <c r="H572" s="200">
        <v>9.8289000000000009</v>
      </c>
      <c r="I572" s="200">
        <f t="shared" si="86"/>
        <v>0.19239999999999924</v>
      </c>
      <c r="J572" s="200">
        <f t="shared" si="88"/>
        <v>7.9000000000007675E-3</v>
      </c>
      <c r="K572" s="277">
        <f t="shared" si="89"/>
        <v>3.9440838741890998</v>
      </c>
      <c r="L572" s="200">
        <v>1</v>
      </c>
      <c r="M572" s="204">
        <v>43199</v>
      </c>
      <c r="N572" s="204">
        <v>43199</v>
      </c>
      <c r="O572" s="200"/>
      <c r="P572" s="200" t="s">
        <v>2568</v>
      </c>
      <c r="AB572" s="110"/>
      <c r="AC572" s="110"/>
      <c r="AD572" s="110"/>
      <c r="AE572" s="110"/>
    </row>
    <row r="573" spans="1:31">
      <c r="A573" s="200" t="s">
        <v>807</v>
      </c>
      <c r="C573" s="180">
        <v>204</v>
      </c>
      <c r="D573" s="196">
        <v>1.3375999999999999</v>
      </c>
      <c r="E573" s="196">
        <v>7.0744999999999996</v>
      </c>
      <c r="F573" s="196">
        <v>0.20680000000000001</v>
      </c>
      <c r="G573" s="196">
        <f t="shared" si="87"/>
        <v>7.2812999999999999</v>
      </c>
      <c r="H573" s="196">
        <v>7.0857999999999999</v>
      </c>
      <c r="I573" s="196">
        <f t="shared" si="86"/>
        <v>0.19550000000000001</v>
      </c>
      <c r="J573" s="200">
        <f t="shared" si="88"/>
        <v>1.1300000000000004E-2</v>
      </c>
      <c r="K573" s="277">
        <f t="shared" si="89"/>
        <v>5.4642166344294019</v>
      </c>
      <c r="L573" s="196">
        <v>9</v>
      </c>
      <c r="M573" s="206">
        <v>43160.520833333336</v>
      </c>
      <c r="N573" s="206">
        <v>43160.6875</v>
      </c>
      <c r="O573" s="196" t="s">
        <v>2534</v>
      </c>
      <c r="AB573" s="110"/>
      <c r="AC573" s="110"/>
      <c r="AD573" s="110"/>
      <c r="AE573" s="110"/>
    </row>
    <row r="574" spans="1:31">
      <c r="A574" s="196" t="s">
        <v>805</v>
      </c>
      <c r="C574" s="197">
        <v>191</v>
      </c>
      <c r="D574" s="196">
        <v>1.4473</v>
      </c>
      <c r="E574" s="201">
        <v>9.1560000000000006</v>
      </c>
      <c r="F574" s="201">
        <v>0.20430000000000001</v>
      </c>
      <c r="G574" s="200">
        <f t="shared" si="87"/>
        <v>9.3603000000000005</v>
      </c>
      <c r="H574" s="200">
        <v>9.1599000000000004</v>
      </c>
      <c r="I574" s="200">
        <f t="shared" si="86"/>
        <v>0.20040000000000013</v>
      </c>
      <c r="J574" s="200">
        <f t="shared" si="88"/>
        <v>3.8999999999998758E-3</v>
      </c>
      <c r="K574" s="277">
        <f t="shared" si="89"/>
        <v>1.9089574155652842</v>
      </c>
      <c r="L574" s="200">
        <v>21</v>
      </c>
      <c r="AB574" s="110"/>
      <c r="AC574" s="110"/>
      <c r="AD574" s="110"/>
      <c r="AE574" s="110"/>
    </row>
    <row r="575" spans="1:31">
      <c r="A575" s="196" t="s">
        <v>802</v>
      </c>
      <c r="C575" s="200">
        <v>199</v>
      </c>
      <c r="D575" s="201">
        <v>1.3551</v>
      </c>
      <c r="E575" s="201">
        <v>10.743499999999999</v>
      </c>
      <c r="F575" s="200">
        <v>0.20610000000000001</v>
      </c>
      <c r="G575" s="200">
        <f t="shared" si="87"/>
        <v>10.949599999999998</v>
      </c>
      <c r="H575" s="200">
        <v>10.750999999999999</v>
      </c>
      <c r="I575" s="200">
        <f t="shared" ref="I575:I605" si="90">(G575-H575)</f>
        <v>0.198599999999999</v>
      </c>
      <c r="J575" s="200">
        <f t="shared" si="88"/>
        <v>7.5000000000010059E-3</v>
      </c>
      <c r="K575" s="277">
        <f t="shared" si="89"/>
        <v>3.6390101892290181</v>
      </c>
      <c r="L575" s="200">
        <v>2</v>
      </c>
      <c r="M575" s="200"/>
      <c r="N575" s="200"/>
      <c r="O575" s="200"/>
      <c r="P575" s="200"/>
      <c r="AB575" s="110"/>
      <c r="AC575" s="110"/>
      <c r="AD575" s="110"/>
      <c r="AE575" s="110"/>
    </row>
    <row r="576" spans="1:31">
      <c r="A576" s="200" t="s">
        <v>1107</v>
      </c>
      <c r="C576" s="200">
        <v>137</v>
      </c>
      <c r="D576" s="201">
        <v>1.3187</v>
      </c>
      <c r="E576" s="200">
        <v>8.0467999999999993</v>
      </c>
      <c r="F576" s="201">
        <v>0.2026</v>
      </c>
      <c r="G576" s="200">
        <f t="shared" si="87"/>
        <v>8.2493999999999996</v>
      </c>
      <c r="H576" s="200">
        <v>8.0627999999999993</v>
      </c>
      <c r="I576" s="200">
        <f t="shared" si="90"/>
        <v>0.18660000000000032</v>
      </c>
      <c r="J576" s="200">
        <f t="shared" si="88"/>
        <v>1.5999999999999681E-2</v>
      </c>
      <c r="K576" s="277">
        <f t="shared" si="89"/>
        <v>7.897334649555618</v>
      </c>
      <c r="L576" s="200">
        <v>26</v>
      </c>
      <c r="M576" s="204">
        <v>43206</v>
      </c>
      <c r="N576" s="204">
        <v>43206</v>
      </c>
      <c r="O576" s="200"/>
      <c r="P576" s="200"/>
      <c r="AB576" s="110"/>
      <c r="AC576" s="110"/>
      <c r="AD576" s="110"/>
      <c r="AE576" s="110"/>
    </row>
    <row r="577" spans="1:31">
      <c r="A577" s="196" t="s">
        <v>801</v>
      </c>
      <c r="C577" s="196">
        <v>210</v>
      </c>
      <c r="D577" s="196">
        <v>1.3895</v>
      </c>
      <c r="E577" s="200">
        <v>8.1191999999999993</v>
      </c>
      <c r="F577" s="201">
        <v>0.20680000000000001</v>
      </c>
      <c r="G577" s="200">
        <f t="shared" si="87"/>
        <v>8.3259999999999987</v>
      </c>
      <c r="H577" s="200">
        <v>8.141</v>
      </c>
      <c r="I577" s="200">
        <f t="shared" si="90"/>
        <v>0.18499999999999872</v>
      </c>
      <c r="J577" s="200">
        <f t="shared" si="88"/>
        <v>2.1800000000001291E-2</v>
      </c>
      <c r="K577" s="277">
        <f t="shared" si="89"/>
        <v>10.541586073501591</v>
      </c>
      <c r="L577" s="200">
        <v>42</v>
      </c>
      <c r="M577" s="203">
        <v>43212</v>
      </c>
      <c r="AB577" s="110"/>
      <c r="AC577" s="110"/>
      <c r="AD577" s="110"/>
      <c r="AE577" s="110"/>
    </row>
    <row r="578" spans="1:31">
      <c r="A578" s="200" t="s">
        <v>800</v>
      </c>
      <c r="C578" s="200">
        <v>163</v>
      </c>
      <c r="D578" s="200">
        <v>1.4843</v>
      </c>
      <c r="E578" s="201">
        <v>9.6784999999999997</v>
      </c>
      <c r="F578" s="201">
        <v>0.20050000000000001</v>
      </c>
      <c r="G578" s="200">
        <f t="shared" si="87"/>
        <v>9.8789999999999996</v>
      </c>
      <c r="H578" s="200">
        <v>9.6830999999999996</v>
      </c>
      <c r="I578" s="200">
        <f t="shared" si="90"/>
        <v>0.19589999999999996</v>
      </c>
      <c r="J578" s="200">
        <f t="shared" si="88"/>
        <v>4.6000000000000485E-3</v>
      </c>
      <c r="K578" s="277">
        <f t="shared" si="89"/>
        <v>2.2942643391521438</v>
      </c>
      <c r="L578" s="200">
        <v>28</v>
      </c>
      <c r="M578" s="206">
        <v>43186.458333333336</v>
      </c>
      <c r="N578" s="206">
        <v>43186.625</v>
      </c>
      <c r="O578" s="196" t="s">
        <v>2534</v>
      </c>
      <c r="P578" s="200"/>
      <c r="AB578" s="110"/>
      <c r="AC578" s="110"/>
      <c r="AD578" s="110"/>
      <c r="AE578" s="110"/>
    </row>
    <row r="579" spans="1:31">
      <c r="A579" s="196" t="s">
        <v>799</v>
      </c>
      <c r="C579" s="197">
        <v>203</v>
      </c>
      <c r="D579" s="200">
        <v>1.3754999999999999</v>
      </c>
      <c r="E579" s="201">
        <v>7.7732999999999999</v>
      </c>
      <c r="F579" s="201">
        <v>0.20039999999999999</v>
      </c>
      <c r="G579" s="200">
        <f t="shared" si="87"/>
        <v>7.9737</v>
      </c>
      <c r="H579" s="200">
        <v>7.7805999999999997</v>
      </c>
      <c r="I579" s="200">
        <f t="shared" si="90"/>
        <v>0.19310000000000027</v>
      </c>
      <c r="J579" s="200">
        <f t="shared" si="88"/>
        <v>7.2999999999997234E-3</v>
      </c>
      <c r="K579" s="277">
        <f t="shared" si="89"/>
        <v>3.642714570858145</v>
      </c>
      <c r="L579" s="200">
        <v>25</v>
      </c>
      <c r="M579" s="203">
        <v>43213</v>
      </c>
      <c r="N579" s="203">
        <v>43213</v>
      </c>
      <c r="AB579" s="110"/>
      <c r="AC579" s="110"/>
      <c r="AD579" s="110"/>
      <c r="AE579" s="110"/>
    </row>
    <row r="580" spans="1:31">
      <c r="A580" s="201" t="s">
        <v>798</v>
      </c>
      <c r="C580" s="200">
        <v>91</v>
      </c>
      <c r="D580" s="200">
        <v>0.48569999999999985</v>
      </c>
      <c r="E580" s="200">
        <v>7.1898</v>
      </c>
      <c r="F580" s="200">
        <v>0.2072</v>
      </c>
      <c r="G580" s="200">
        <f t="shared" si="87"/>
        <v>7.3970000000000002</v>
      </c>
      <c r="H580" s="200">
        <v>7.3638000000000003</v>
      </c>
      <c r="I580" s="200">
        <f t="shared" si="90"/>
        <v>3.3199999999999896E-2</v>
      </c>
      <c r="J580" s="200">
        <f t="shared" si="88"/>
        <v>0.1740000000000001</v>
      </c>
      <c r="K580" s="277">
        <f t="shared" si="89"/>
        <v>83.97683397683403</v>
      </c>
      <c r="L580" s="200">
        <v>8</v>
      </c>
      <c r="M580" s="204">
        <v>43173</v>
      </c>
      <c r="N580" s="204">
        <v>43173</v>
      </c>
      <c r="O580" s="200" t="s">
        <v>2540</v>
      </c>
      <c r="P580" s="200" t="s">
        <v>2539</v>
      </c>
      <c r="AB580" s="110"/>
      <c r="AC580" s="110"/>
      <c r="AD580" s="110"/>
      <c r="AE580" s="110"/>
    </row>
    <row r="581" spans="1:31">
      <c r="A581" s="205" t="s">
        <v>797</v>
      </c>
      <c r="C581" s="200">
        <v>208</v>
      </c>
      <c r="D581" s="200">
        <v>1.2427999999999999</v>
      </c>
      <c r="E581" s="200">
        <v>7.4835000000000003</v>
      </c>
      <c r="F581" s="200">
        <v>0.20280000000000001</v>
      </c>
      <c r="G581" s="200">
        <f t="shared" si="87"/>
        <v>7.6863000000000001</v>
      </c>
      <c r="H581" s="200">
        <v>7.5007999999999999</v>
      </c>
      <c r="I581" s="200">
        <f t="shared" si="90"/>
        <v>0.18550000000000022</v>
      </c>
      <c r="J581" s="200">
        <f t="shared" si="88"/>
        <v>1.7299999999999788E-2</v>
      </c>
      <c r="K581" s="277">
        <f t="shared" si="89"/>
        <v>8.5305719921103496</v>
      </c>
      <c r="L581" s="200">
        <v>6</v>
      </c>
      <c r="M581" s="202">
        <v>43171.520833333336</v>
      </c>
      <c r="N581" s="202">
        <v>43171.6875</v>
      </c>
      <c r="O581" s="196" t="s">
        <v>2534</v>
      </c>
      <c r="P581" s="200"/>
      <c r="AB581" s="110"/>
      <c r="AC581" s="110"/>
      <c r="AD581" s="110"/>
      <c r="AE581" s="110"/>
    </row>
    <row r="582" spans="1:31">
      <c r="A582" s="205" t="s">
        <v>795</v>
      </c>
      <c r="C582" s="200">
        <v>192</v>
      </c>
      <c r="D582" s="200">
        <v>1.4165000000000001</v>
      </c>
      <c r="E582" s="201">
        <v>10.697800000000001</v>
      </c>
      <c r="F582" s="201">
        <v>0.20599999999999999</v>
      </c>
      <c r="G582" s="200">
        <f t="shared" si="87"/>
        <v>10.9038</v>
      </c>
      <c r="H582" s="200">
        <v>10.7037</v>
      </c>
      <c r="I582" s="200">
        <f t="shared" si="90"/>
        <v>0.20010000000000083</v>
      </c>
      <c r="J582" s="200">
        <f t="shared" si="88"/>
        <v>5.8999999999991559E-3</v>
      </c>
      <c r="K582" s="277">
        <f t="shared" si="89"/>
        <v>2.8640776699025032</v>
      </c>
      <c r="L582" s="200">
        <v>14</v>
      </c>
      <c r="M582" s="206">
        <v>43185.385416666664</v>
      </c>
      <c r="N582" s="200"/>
      <c r="O582" s="200" t="s">
        <v>2540</v>
      </c>
      <c r="P582" s="200"/>
      <c r="AB582" s="110"/>
      <c r="AC582" s="110"/>
      <c r="AD582" s="110"/>
      <c r="AE582" s="110"/>
    </row>
    <row r="583" spans="1:31">
      <c r="A583" s="196" t="s">
        <v>792</v>
      </c>
      <c r="C583" s="197">
        <v>29</v>
      </c>
      <c r="D583" s="196">
        <v>1.2602</v>
      </c>
      <c r="E583" s="200">
        <v>7.7144000000000004</v>
      </c>
      <c r="F583" s="201">
        <v>0.2044</v>
      </c>
      <c r="G583" s="200">
        <f t="shared" si="87"/>
        <v>7.9188000000000001</v>
      </c>
      <c r="H583" s="200">
        <v>7.7206999999999999</v>
      </c>
      <c r="I583" s="200">
        <f t="shared" si="90"/>
        <v>0.19810000000000016</v>
      </c>
      <c r="J583" s="200">
        <f t="shared" si="88"/>
        <v>6.2999999999998335E-3</v>
      </c>
      <c r="K583" s="277">
        <f t="shared" si="89"/>
        <v>3.0821917808218364</v>
      </c>
      <c r="L583" s="200">
        <v>17</v>
      </c>
      <c r="M583" s="203">
        <v>43213</v>
      </c>
      <c r="N583" s="203">
        <v>43213</v>
      </c>
      <c r="AB583" s="110"/>
      <c r="AC583" s="110"/>
      <c r="AD583" s="110"/>
      <c r="AE583" s="110"/>
    </row>
    <row r="584" spans="1:31">
      <c r="A584" s="200" t="s">
        <v>1106</v>
      </c>
      <c r="C584" s="200">
        <v>157</v>
      </c>
      <c r="D584" s="200">
        <v>1.6922999999999999</v>
      </c>
      <c r="E584" s="201">
        <v>7.8589000000000002</v>
      </c>
      <c r="F584" s="201">
        <v>0.2026</v>
      </c>
      <c r="G584" s="200">
        <f t="shared" si="87"/>
        <v>8.0615000000000006</v>
      </c>
      <c r="H584" s="200">
        <v>7.8792</v>
      </c>
      <c r="I584" s="200">
        <f t="shared" si="90"/>
        <v>0.18230000000000057</v>
      </c>
      <c r="J584" s="200">
        <f t="shared" si="88"/>
        <v>2.029999999999943E-2</v>
      </c>
      <c r="K584" s="277">
        <f t="shared" si="89"/>
        <v>10.019743336623607</v>
      </c>
      <c r="L584" s="200">
        <v>26</v>
      </c>
      <c r="M584" s="206">
        <v>43185.385416666664</v>
      </c>
      <c r="N584" s="200"/>
      <c r="O584" s="200" t="s">
        <v>2540</v>
      </c>
      <c r="P584" s="200"/>
      <c r="AB584" s="110"/>
      <c r="AC584" s="110"/>
      <c r="AD584" s="110"/>
      <c r="AE584" s="110"/>
    </row>
    <row r="585" spans="1:31">
      <c r="A585" s="200" t="s">
        <v>788</v>
      </c>
      <c r="C585" s="200">
        <v>172</v>
      </c>
      <c r="D585" s="200">
        <f>1.3431+F585</f>
        <v>1.5443</v>
      </c>
      <c r="E585" s="201">
        <v>9.2363999999999997</v>
      </c>
      <c r="F585" s="201">
        <v>0.20119999999999999</v>
      </c>
      <c r="G585" s="200">
        <f t="shared" si="87"/>
        <v>9.4375999999999998</v>
      </c>
      <c r="H585" s="200">
        <v>9.2407000000000004</v>
      </c>
      <c r="I585" s="200">
        <f t="shared" si="90"/>
        <v>0.19689999999999941</v>
      </c>
      <c r="J585" s="200">
        <f t="shared" si="88"/>
        <v>4.3000000000005811E-3</v>
      </c>
      <c r="K585" s="277">
        <f t="shared" si="89"/>
        <v>2.1371769383700703</v>
      </c>
      <c r="L585" s="200">
        <v>20</v>
      </c>
      <c r="M585" s="204">
        <v>43174</v>
      </c>
      <c r="N585" s="204">
        <v>43174</v>
      </c>
      <c r="O585" s="200" t="s">
        <v>2540</v>
      </c>
      <c r="P585" s="200" t="s">
        <v>2535</v>
      </c>
      <c r="AB585" s="110"/>
      <c r="AC585" s="110"/>
      <c r="AD585" s="110"/>
      <c r="AE585" s="110"/>
    </row>
    <row r="586" spans="1:31">
      <c r="A586" s="200" t="s">
        <v>787</v>
      </c>
      <c r="C586" s="200">
        <v>189</v>
      </c>
      <c r="D586" s="201">
        <v>1.5351999999999999</v>
      </c>
      <c r="E586" s="201">
        <v>9.7731999999999992</v>
      </c>
      <c r="F586" s="201">
        <v>0.20169999999999999</v>
      </c>
      <c r="G586" s="200">
        <f t="shared" si="87"/>
        <v>9.9748999999999999</v>
      </c>
      <c r="H586" s="200">
        <v>9.7782</v>
      </c>
      <c r="I586" s="200">
        <f t="shared" si="90"/>
        <v>0.19669999999999987</v>
      </c>
      <c r="J586" s="200">
        <f t="shared" si="88"/>
        <v>5.0000000000001155E-3</v>
      </c>
      <c r="K586" s="277">
        <f t="shared" si="89"/>
        <v>2.4789291026277223</v>
      </c>
      <c r="L586" s="200">
        <v>14</v>
      </c>
      <c r="M586" s="200"/>
      <c r="N586" s="200"/>
      <c r="O586" s="200"/>
      <c r="P586" s="200"/>
      <c r="AB586" s="110"/>
      <c r="AC586" s="110"/>
      <c r="AD586" s="110"/>
      <c r="AE586" s="110"/>
    </row>
    <row r="587" spans="1:31">
      <c r="A587" s="200" t="s">
        <v>785</v>
      </c>
      <c r="C587" s="200">
        <v>219</v>
      </c>
      <c r="D587" s="200">
        <v>1.2475000000000001</v>
      </c>
      <c r="E587" s="200">
        <v>9.3215000000000003</v>
      </c>
      <c r="F587" s="200">
        <v>0.2087</v>
      </c>
      <c r="G587" s="200">
        <f t="shared" si="87"/>
        <v>9.5302000000000007</v>
      </c>
      <c r="H587" s="200">
        <v>9.3369999999999997</v>
      </c>
      <c r="I587" s="200">
        <f t="shared" si="90"/>
        <v>0.19320000000000093</v>
      </c>
      <c r="J587" s="200">
        <f t="shared" si="88"/>
        <v>1.549999999999907E-2</v>
      </c>
      <c r="K587" s="277">
        <f t="shared" si="89"/>
        <v>7.426928605653603</v>
      </c>
      <c r="L587" s="200">
        <v>9</v>
      </c>
      <c r="M587" s="202">
        <v>43164.628472222219</v>
      </c>
      <c r="N587" s="202">
        <v>43164.795138888891</v>
      </c>
      <c r="O587" s="196" t="s">
        <v>2534</v>
      </c>
      <c r="P587" s="200"/>
      <c r="AB587" s="110"/>
      <c r="AC587" s="110"/>
      <c r="AD587" s="110"/>
      <c r="AE587" s="110"/>
    </row>
    <row r="588" spans="1:31">
      <c r="A588" s="196" t="s">
        <v>782</v>
      </c>
      <c r="C588" s="197">
        <v>200</v>
      </c>
      <c r="D588" s="196">
        <v>1.3246</v>
      </c>
      <c r="E588" s="201">
        <v>11.055</v>
      </c>
      <c r="F588" s="201">
        <v>0.20599999999999999</v>
      </c>
      <c r="G588" s="200">
        <f t="shared" si="87"/>
        <v>11.260999999999999</v>
      </c>
      <c r="H588" s="200">
        <v>11.0633</v>
      </c>
      <c r="I588" s="200">
        <f t="shared" si="90"/>
        <v>0.19769999999999932</v>
      </c>
      <c r="J588" s="200">
        <f t="shared" si="88"/>
        <v>8.300000000000668E-3</v>
      </c>
      <c r="K588" s="277">
        <f t="shared" si="89"/>
        <v>4.0291262135925576</v>
      </c>
      <c r="L588" s="200">
        <v>19</v>
      </c>
      <c r="AB588" s="110"/>
      <c r="AC588" s="110"/>
      <c r="AD588" s="110"/>
      <c r="AE588" s="110"/>
    </row>
    <row r="589" spans="1:31">
      <c r="A589" s="200" t="s">
        <v>781</v>
      </c>
      <c r="C589" s="200">
        <v>95</v>
      </c>
      <c r="D589" s="200">
        <f>0.3847+F589</f>
        <v>0.51400000000000001</v>
      </c>
      <c r="E589" s="201">
        <v>7.8590999999999998</v>
      </c>
      <c r="F589" s="201">
        <v>0.1293</v>
      </c>
      <c r="G589" s="200">
        <f t="shared" si="87"/>
        <v>7.9883999999999995</v>
      </c>
      <c r="H589" s="200">
        <v>7.9745999999999997</v>
      </c>
      <c r="I589" s="200">
        <f t="shared" si="90"/>
        <v>1.3799999999999812E-2</v>
      </c>
      <c r="J589" s="200">
        <f t="shared" si="88"/>
        <v>0.11550000000000019</v>
      </c>
      <c r="K589" s="277">
        <f t="shared" si="89"/>
        <v>89.327146171693883</v>
      </c>
      <c r="L589" s="200">
        <v>15</v>
      </c>
      <c r="M589" s="204">
        <v>43174</v>
      </c>
      <c r="N589" s="204">
        <v>43174</v>
      </c>
      <c r="O589" s="200" t="s">
        <v>2540</v>
      </c>
      <c r="P589" s="200" t="s">
        <v>2535</v>
      </c>
      <c r="AB589" s="110"/>
      <c r="AC589" s="110"/>
      <c r="AD589" s="110"/>
      <c r="AE589" s="110"/>
    </row>
    <row r="590" spans="1:31">
      <c r="A590" s="196" t="s">
        <v>779</v>
      </c>
      <c r="C590" s="197">
        <v>196</v>
      </c>
      <c r="D590" s="196">
        <v>1.2983</v>
      </c>
      <c r="E590" s="201">
        <v>9.9158000000000008</v>
      </c>
      <c r="F590" s="201">
        <v>0.20319999999999999</v>
      </c>
      <c r="G590" s="200">
        <f t="shared" si="87"/>
        <v>10.119000000000002</v>
      </c>
      <c r="H590" s="200">
        <v>9.9232999999999993</v>
      </c>
      <c r="I590" s="200">
        <f t="shared" si="90"/>
        <v>0.19570000000000221</v>
      </c>
      <c r="J590" s="200">
        <f t="shared" si="88"/>
        <v>7.4999999999977862E-3</v>
      </c>
      <c r="K590" s="277">
        <f t="shared" si="89"/>
        <v>3.690944881888675</v>
      </c>
      <c r="L590" s="200">
        <v>13</v>
      </c>
      <c r="M590" s="203">
        <v>43221</v>
      </c>
      <c r="N590" s="203">
        <v>43221</v>
      </c>
      <c r="AB590" s="110"/>
      <c r="AC590" s="110"/>
      <c r="AD590" s="110"/>
      <c r="AE590" s="110"/>
    </row>
    <row r="591" spans="1:31">
      <c r="A591" s="196" t="s">
        <v>778</v>
      </c>
      <c r="C591" s="196">
        <v>22</v>
      </c>
      <c r="D591" s="196">
        <v>1.2951999999999999</v>
      </c>
      <c r="E591" s="201">
        <v>8.0641999999999996</v>
      </c>
      <c r="F591" s="201">
        <v>0.2024</v>
      </c>
      <c r="G591" s="200">
        <f t="shared" si="87"/>
        <v>8.2666000000000004</v>
      </c>
      <c r="H591" s="200">
        <v>8.0713000000000008</v>
      </c>
      <c r="I591" s="200">
        <f t="shared" si="90"/>
        <v>0.19529999999999959</v>
      </c>
      <c r="J591" s="200">
        <f t="shared" si="88"/>
        <v>7.1000000000004115E-3</v>
      </c>
      <c r="K591" s="277">
        <f t="shared" si="89"/>
        <v>3.5079051383401243</v>
      </c>
      <c r="L591" s="200">
        <v>37</v>
      </c>
      <c r="M591" s="203">
        <v>43221</v>
      </c>
      <c r="N591" s="203">
        <v>43221</v>
      </c>
      <c r="AB591" s="110"/>
      <c r="AC591" s="110"/>
      <c r="AD591" s="110"/>
      <c r="AE591" s="110"/>
    </row>
    <row r="592" spans="1:31">
      <c r="A592" s="196" t="s">
        <v>777</v>
      </c>
      <c r="C592" s="196">
        <v>193</v>
      </c>
      <c r="D592" s="196">
        <v>1.1823999999999999</v>
      </c>
      <c r="E592" s="201">
        <v>8.7326999999999995</v>
      </c>
      <c r="F592" s="201">
        <v>0.2051</v>
      </c>
      <c r="G592" s="200">
        <f t="shared" si="87"/>
        <v>8.9377999999999993</v>
      </c>
      <c r="H592" s="200">
        <v>8.7398000000000007</v>
      </c>
      <c r="I592" s="200">
        <f t="shared" si="90"/>
        <v>0.19799999999999862</v>
      </c>
      <c r="J592" s="200">
        <f t="shared" si="88"/>
        <v>7.100000000001383E-3</v>
      </c>
      <c r="K592" s="277">
        <f t="shared" si="89"/>
        <v>3.461725987323931</v>
      </c>
      <c r="L592" s="200">
        <v>5</v>
      </c>
      <c r="AB592" s="110"/>
      <c r="AC592" s="110"/>
      <c r="AD592" s="110"/>
      <c r="AE592" s="110"/>
    </row>
    <row r="593" spans="1:31">
      <c r="A593" s="205" t="s">
        <v>773</v>
      </c>
      <c r="C593" s="200">
        <v>82</v>
      </c>
      <c r="D593" s="200">
        <v>1.448</v>
      </c>
      <c r="E593" s="201">
        <v>8.0456000000000003</v>
      </c>
      <c r="F593" s="201">
        <v>0.20610000000000001</v>
      </c>
      <c r="G593" s="200">
        <f t="shared" si="87"/>
        <v>8.2516999999999996</v>
      </c>
      <c r="H593" s="200">
        <v>8.0540000000000003</v>
      </c>
      <c r="I593" s="200">
        <f t="shared" si="90"/>
        <v>0.19769999999999932</v>
      </c>
      <c r="J593" s="200">
        <f t="shared" si="88"/>
        <v>8.4000000000006847E-3</v>
      </c>
      <c r="K593" s="277">
        <f t="shared" si="89"/>
        <v>4.0756914119362859</v>
      </c>
      <c r="L593" s="200">
        <v>17</v>
      </c>
      <c r="M593" s="204">
        <v>43197</v>
      </c>
      <c r="N593" s="204">
        <v>43197</v>
      </c>
      <c r="O593" s="200"/>
      <c r="P593" s="200" t="s">
        <v>2565</v>
      </c>
      <c r="AB593" s="110"/>
      <c r="AC593" s="110"/>
      <c r="AD593" s="110"/>
      <c r="AE593" s="110"/>
    </row>
    <row r="594" spans="1:31">
      <c r="A594" s="196" t="s">
        <v>772</v>
      </c>
      <c r="C594" s="200">
        <v>199</v>
      </c>
      <c r="D594" s="201">
        <v>1.4128000000000001</v>
      </c>
      <c r="E594" s="201">
        <v>10.702299999999999</v>
      </c>
      <c r="F594" s="201">
        <v>0.20180000000000001</v>
      </c>
      <c r="G594" s="200">
        <f t="shared" si="87"/>
        <v>10.9041</v>
      </c>
      <c r="H594" s="200">
        <v>10.708</v>
      </c>
      <c r="I594" s="200">
        <f t="shared" si="90"/>
        <v>0.1960999999999995</v>
      </c>
      <c r="J594" s="200">
        <f t="shared" si="88"/>
        <v>5.7000000000005102E-3</v>
      </c>
      <c r="K594" s="277">
        <f t="shared" si="89"/>
        <v>2.8245787908823141</v>
      </c>
      <c r="L594" s="200">
        <v>1</v>
      </c>
      <c r="O594" s="200"/>
      <c r="P594" s="200" t="s">
        <v>2541</v>
      </c>
      <c r="AB594" s="110"/>
      <c r="AC594" s="110"/>
      <c r="AD594" s="110"/>
      <c r="AE594" s="110"/>
    </row>
    <row r="595" spans="1:31">
      <c r="A595" s="205" t="s">
        <v>1104</v>
      </c>
      <c r="C595" s="200">
        <v>114</v>
      </c>
      <c r="D595" s="201">
        <v>1.2744</v>
      </c>
      <c r="E595" s="201">
        <v>7.9939</v>
      </c>
      <c r="F595" s="201">
        <v>0.19969999999999999</v>
      </c>
      <c r="G595" s="200">
        <f t="shared" si="87"/>
        <v>8.1936</v>
      </c>
      <c r="H595" s="200">
        <v>8.0173000000000005</v>
      </c>
      <c r="I595" s="200">
        <f t="shared" si="90"/>
        <v>0.17629999999999946</v>
      </c>
      <c r="J595" s="200">
        <f t="shared" si="88"/>
        <v>2.3400000000000531E-2</v>
      </c>
      <c r="K595" s="277">
        <f t="shared" si="89"/>
        <v>11.717576364547087</v>
      </c>
      <c r="L595" s="200">
        <v>25</v>
      </c>
      <c r="M595" s="202">
        <v>43181.645833333336</v>
      </c>
      <c r="N595" s="202">
        <v>43181.833333333336</v>
      </c>
      <c r="O595" s="200" t="s">
        <v>2540</v>
      </c>
      <c r="P595" s="205"/>
      <c r="AB595" s="110"/>
      <c r="AC595" s="110"/>
      <c r="AD595" s="110"/>
      <c r="AE595" s="110"/>
    </row>
    <row r="596" spans="1:31">
      <c r="A596" s="196" t="s">
        <v>771</v>
      </c>
      <c r="C596" s="197">
        <v>197</v>
      </c>
      <c r="D596" s="196">
        <v>1.2739</v>
      </c>
      <c r="E596" s="201">
        <v>8.0947999999999993</v>
      </c>
      <c r="F596" s="201">
        <v>0.20519999999999999</v>
      </c>
      <c r="G596" s="200">
        <f t="shared" si="87"/>
        <v>8.2999999999999989</v>
      </c>
      <c r="H596" s="200">
        <v>8.1052</v>
      </c>
      <c r="I596" s="200">
        <f t="shared" si="90"/>
        <v>0.19479999999999897</v>
      </c>
      <c r="J596" s="200">
        <f t="shared" si="88"/>
        <v>1.040000000000102E-2</v>
      </c>
      <c r="K596" s="277">
        <f t="shared" si="89"/>
        <v>5.0682261208581973</v>
      </c>
      <c r="L596" s="200">
        <v>22</v>
      </c>
      <c r="AB596" s="110"/>
      <c r="AC596" s="110"/>
      <c r="AD596" s="110"/>
      <c r="AE596" s="110"/>
    </row>
    <row r="597" spans="1:31">
      <c r="A597" s="205" t="s">
        <v>770</v>
      </c>
      <c r="C597" s="200">
        <v>42</v>
      </c>
      <c r="D597" s="201">
        <v>1.3915999999999999</v>
      </c>
      <c r="E597" s="200">
        <v>7.8391000000000002</v>
      </c>
      <c r="F597" s="201">
        <v>0.20280000000000001</v>
      </c>
      <c r="G597" s="200">
        <f t="shared" si="87"/>
        <v>8.0419</v>
      </c>
      <c r="H597" s="200">
        <v>7.8445</v>
      </c>
      <c r="I597" s="200">
        <f t="shared" si="90"/>
        <v>0.19740000000000002</v>
      </c>
      <c r="J597" s="200">
        <f t="shared" si="88"/>
        <v>5.3999999999999881E-3</v>
      </c>
      <c r="K597" s="277">
        <f t="shared" si="89"/>
        <v>2.6627218934911183</v>
      </c>
      <c r="L597" s="200">
        <v>10</v>
      </c>
      <c r="M597" s="204">
        <v>43206</v>
      </c>
      <c r="N597" s="204">
        <v>43206</v>
      </c>
      <c r="O597" s="200"/>
      <c r="P597" s="200"/>
      <c r="AB597" s="110"/>
      <c r="AC597" s="110"/>
      <c r="AD597" s="110"/>
      <c r="AE597" s="110"/>
    </row>
    <row r="598" spans="1:31">
      <c r="A598" s="196" t="s">
        <v>769</v>
      </c>
      <c r="C598" s="197">
        <v>203</v>
      </c>
      <c r="D598" s="196">
        <v>1.3894</v>
      </c>
      <c r="E598" s="201">
        <v>9.1971000000000007</v>
      </c>
      <c r="F598" s="201">
        <v>0.20019999999999999</v>
      </c>
      <c r="G598" s="200">
        <f t="shared" si="87"/>
        <v>9.3973000000000013</v>
      </c>
      <c r="H598" s="200">
        <v>9.2055000000000007</v>
      </c>
      <c r="I598" s="200">
        <f t="shared" si="90"/>
        <v>0.19180000000000064</v>
      </c>
      <c r="J598" s="200">
        <f t="shared" si="88"/>
        <v>8.3999999999993524E-3</v>
      </c>
      <c r="K598" s="277">
        <f t="shared" si="89"/>
        <v>4.1958041958038725</v>
      </c>
      <c r="L598" s="200">
        <v>18</v>
      </c>
      <c r="M598" s="203">
        <v>43221</v>
      </c>
      <c r="N598" s="203">
        <v>43221</v>
      </c>
      <c r="AB598" s="110"/>
      <c r="AC598" s="110"/>
      <c r="AD598" s="110"/>
      <c r="AE598" s="110"/>
    </row>
    <row r="599" spans="1:31">
      <c r="A599" s="196" t="s">
        <v>766</v>
      </c>
      <c r="C599" s="197">
        <v>196</v>
      </c>
      <c r="D599" s="196">
        <v>1.1523000000000001</v>
      </c>
      <c r="E599" s="200">
        <v>10.0762</v>
      </c>
      <c r="F599" s="201">
        <v>0.20669999999999999</v>
      </c>
      <c r="G599" s="200">
        <f t="shared" si="87"/>
        <v>10.2829</v>
      </c>
      <c r="H599" s="200">
        <v>10.086600000000001</v>
      </c>
      <c r="I599" s="200">
        <f t="shared" si="90"/>
        <v>0.19629999999999903</v>
      </c>
      <c r="J599" s="200">
        <f t="shared" si="88"/>
        <v>1.0400000000000964E-2</v>
      </c>
      <c r="K599" s="277">
        <f t="shared" si="89"/>
        <v>5.0314465408809701</v>
      </c>
      <c r="L599" s="200">
        <v>4</v>
      </c>
      <c r="M599" s="203">
        <v>43212</v>
      </c>
      <c r="AB599" s="110"/>
      <c r="AC599" s="110"/>
      <c r="AD599" s="110"/>
      <c r="AE599" s="110"/>
    </row>
    <row r="600" spans="1:31">
      <c r="A600" s="196" t="s">
        <v>765</v>
      </c>
      <c r="C600" s="196">
        <v>43</v>
      </c>
      <c r="D600" s="196">
        <v>1.1131</v>
      </c>
      <c r="E600" s="196">
        <v>8.8632000000000009</v>
      </c>
      <c r="F600" s="196">
        <v>0.20799999999999999</v>
      </c>
      <c r="G600" s="196">
        <f t="shared" si="87"/>
        <v>9.071200000000001</v>
      </c>
      <c r="H600" s="196">
        <v>8.8773</v>
      </c>
      <c r="I600" s="196">
        <f t="shared" si="90"/>
        <v>0.19390000000000107</v>
      </c>
      <c r="J600" s="200">
        <f t="shared" si="88"/>
        <v>1.4099999999998919E-2</v>
      </c>
      <c r="K600" s="277">
        <f t="shared" si="89"/>
        <v>6.7788461538456346</v>
      </c>
      <c r="L600" s="196">
        <v>13</v>
      </c>
      <c r="M600" s="196" t="s">
        <v>2570</v>
      </c>
      <c r="N600" s="196" t="s">
        <v>2569</v>
      </c>
      <c r="O600" s="196" t="s">
        <v>2534</v>
      </c>
      <c r="AB600" s="110"/>
      <c r="AC600" s="110"/>
      <c r="AD600" s="110"/>
      <c r="AE600" s="110"/>
    </row>
    <row r="601" spans="1:31">
      <c r="A601" s="200" t="s">
        <v>763</v>
      </c>
      <c r="C601" s="200">
        <v>195</v>
      </c>
      <c r="D601" s="200">
        <v>1.2686999999999999</v>
      </c>
      <c r="E601" s="200">
        <v>8.7335999999999991</v>
      </c>
      <c r="F601" s="200">
        <v>0.2026</v>
      </c>
      <c r="G601" s="200">
        <f t="shared" ref="G601:G620" si="91">E601+F601</f>
        <v>8.9361999999999995</v>
      </c>
      <c r="H601" s="200">
        <v>8.7361000000000004</v>
      </c>
      <c r="I601" s="200">
        <f t="shared" si="90"/>
        <v>0.20009999999999906</v>
      </c>
      <c r="J601" s="200">
        <f t="shared" ref="J601:J620" si="92">F601-I601</f>
        <v>2.5000000000009459E-3</v>
      </c>
      <c r="K601" s="277">
        <f t="shared" ref="K601:K620" si="93">(J601/F601)*100</f>
        <v>1.2339585389935566</v>
      </c>
      <c r="L601" s="200">
        <v>14</v>
      </c>
      <c r="M601" s="202">
        <v>43164.628472222219</v>
      </c>
      <c r="N601" s="202">
        <v>43164.795138888891</v>
      </c>
      <c r="O601" s="196" t="s">
        <v>2534</v>
      </c>
      <c r="P601" s="200"/>
      <c r="AB601" s="110"/>
      <c r="AC601" s="110"/>
      <c r="AD601" s="110"/>
      <c r="AE601" s="110"/>
    </row>
    <row r="602" spans="1:31">
      <c r="A602" s="196" t="s">
        <v>1103</v>
      </c>
      <c r="C602" s="197">
        <v>5</v>
      </c>
      <c r="D602" s="196">
        <v>1.0426</v>
      </c>
      <c r="E602" s="201">
        <v>9.4855999999999998</v>
      </c>
      <c r="F602" s="201">
        <v>0.20319999999999999</v>
      </c>
      <c r="G602" s="200">
        <f t="shared" si="91"/>
        <v>9.6888000000000005</v>
      </c>
      <c r="H602" s="200">
        <v>9.4974000000000007</v>
      </c>
      <c r="I602" s="200">
        <f t="shared" si="90"/>
        <v>0.19139999999999979</v>
      </c>
      <c r="J602" s="200">
        <f t="shared" si="92"/>
        <v>1.1800000000000199E-2</v>
      </c>
      <c r="K602" s="277">
        <f t="shared" si="93"/>
        <v>5.8070866141733264</v>
      </c>
      <c r="L602" s="200">
        <v>38</v>
      </c>
      <c r="M602" s="203">
        <v>43221</v>
      </c>
      <c r="N602" s="203">
        <v>43221</v>
      </c>
      <c r="AB602" s="110"/>
      <c r="AC602" s="110"/>
      <c r="AD602" s="110"/>
      <c r="AE602" s="110"/>
    </row>
    <row r="603" spans="1:31">
      <c r="A603" s="205" t="s">
        <v>761</v>
      </c>
      <c r="C603" s="200">
        <v>17</v>
      </c>
      <c r="D603" s="200">
        <v>1.4234</v>
      </c>
      <c r="E603" s="200">
        <v>7.4806999999999997</v>
      </c>
      <c r="F603" s="201">
        <v>0.19939999999999999</v>
      </c>
      <c r="G603" s="200">
        <f t="shared" si="91"/>
        <v>7.6800999999999995</v>
      </c>
      <c r="H603" s="200">
        <v>7.4874000000000001</v>
      </c>
      <c r="I603" s="200">
        <f t="shared" si="90"/>
        <v>0.19269999999999943</v>
      </c>
      <c r="J603" s="200">
        <f t="shared" si="92"/>
        <v>6.7000000000005666E-3</v>
      </c>
      <c r="K603" s="277">
        <f t="shared" si="93"/>
        <v>3.3600802407224508</v>
      </c>
      <c r="L603" s="200">
        <v>26</v>
      </c>
      <c r="M603" s="204">
        <v>43211</v>
      </c>
      <c r="AB603" s="110"/>
      <c r="AC603" s="110"/>
      <c r="AD603" s="110"/>
      <c r="AE603" s="110"/>
    </row>
    <row r="604" spans="1:31">
      <c r="A604" s="201" t="s">
        <v>760</v>
      </c>
      <c r="C604" s="200">
        <v>211</v>
      </c>
      <c r="D604" s="200">
        <v>1.2363</v>
      </c>
      <c r="E604" s="200">
        <v>8.0954999999999995</v>
      </c>
      <c r="F604" s="200">
        <v>0.20369999999999999</v>
      </c>
      <c r="G604" s="200">
        <f t="shared" si="91"/>
        <v>8.299199999999999</v>
      </c>
      <c r="H604" s="200">
        <v>8.1160999999999994</v>
      </c>
      <c r="I604" s="200">
        <f t="shared" si="90"/>
        <v>0.1830999999999996</v>
      </c>
      <c r="J604" s="200">
        <f t="shared" si="92"/>
        <v>2.0600000000000396E-2</v>
      </c>
      <c r="K604" s="277">
        <f t="shared" si="93"/>
        <v>10.112911143839174</v>
      </c>
      <c r="L604" s="200">
        <v>13</v>
      </c>
      <c r="M604" s="204">
        <v>43173</v>
      </c>
      <c r="N604" s="204">
        <v>43173</v>
      </c>
      <c r="O604" s="200" t="s">
        <v>2540</v>
      </c>
      <c r="P604" s="200" t="s">
        <v>2539</v>
      </c>
      <c r="AB604" s="110"/>
      <c r="AC604" s="110"/>
      <c r="AD604" s="110"/>
      <c r="AE604" s="110"/>
    </row>
    <row r="605" spans="1:31">
      <c r="A605" s="205" t="s">
        <v>759</v>
      </c>
      <c r="C605" s="196">
        <v>14</v>
      </c>
      <c r="D605" s="201">
        <v>1.4352</v>
      </c>
      <c r="E605" s="201">
        <v>9.0213000000000001</v>
      </c>
      <c r="F605" s="201">
        <v>0.20810000000000001</v>
      </c>
      <c r="G605" s="200">
        <f t="shared" si="91"/>
        <v>9.2294</v>
      </c>
      <c r="H605" s="200">
        <v>9.2042000000000002</v>
      </c>
      <c r="I605" s="200">
        <f t="shared" si="90"/>
        <v>2.5199999999999889E-2</v>
      </c>
      <c r="J605" s="200">
        <f t="shared" si="92"/>
        <v>0.18290000000000012</v>
      </c>
      <c r="K605" s="277">
        <f t="shared" si="93"/>
        <v>87.890437289764591</v>
      </c>
      <c r="L605" s="200">
        <v>25</v>
      </c>
      <c r="M605" s="204">
        <v>43199</v>
      </c>
      <c r="N605" s="204">
        <v>43199</v>
      </c>
      <c r="O605" s="200"/>
      <c r="P605" s="200"/>
      <c r="AB605" s="110"/>
      <c r="AC605" s="110"/>
      <c r="AD605" s="110"/>
      <c r="AE605" s="110"/>
    </row>
    <row r="606" spans="1:31">
      <c r="A606" t="s">
        <v>758</v>
      </c>
      <c r="C606">
        <v>214</v>
      </c>
      <c r="D606">
        <v>1.3544</v>
      </c>
      <c r="E606">
        <v>7.8731</v>
      </c>
      <c r="F606">
        <v>0.21</v>
      </c>
      <c r="G606">
        <f t="shared" si="91"/>
        <v>8.0831</v>
      </c>
      <c r="H606">
        <v>7.883</v>
      </c>
      <c r="I606">
        <f>G606-H606</f>
        <v>0.20009999999999994</v>
      </c>
      <c r="J606">
        <f t="shared" si="92"/>
        <v>9.9000000000000477E-3</v>
      </c>
      <c r="K606" s="277">
        <f t="shared" si="93"/>
        <v>4.7142857142857366</v>
      </c>
      <c r="L606" s="200">
        <v>6</v>
      </c>
      <c r="M606" s="202">
        <v>43164.628472222219</v>
      </c>
      <c r="N606" s="202">
        <v>43164.795138888891</v>
      </c>
      <c r="O606" s="196" t="s">
        <v>2534</v>
      </c>
      <c r="P606"/>
      <c r="AB606" s="110"/>
      <c r="AC606" s="110"/>
      <c r="AD606" s="110"/>
      <c r="AE606" s="110"/>
    </row>
    <row r="607" spans="1:31">
      <c r="A607" s="205" t="s">
        <v>757</v>
      </c>
      <c r="C607" s="200">
        <v>174</v>
      </c>
      <c r="D607" s="200">
        <v>1.5111000000000001</v>
      </c>
      <c r="E607" s="201">
        <v>8.4430999999999994</v>
      </c>
      <c r="F607" s="201">
        <v>0.2092</v>
      </c>
      <c r="G607" s="200">
        <f t="shared" si="91"/>
        <v>8.6522999999999985</v>
      </c>
      <c r="H607" s="200">
        <v>8.4474999999999998</v>
      </c>
      <c r="I607" s="200">
        <f t="shared" ref="I607:I620" si="94">(G607-H607)</f>
        <v>0.20479999999999876</v>
      </c>
      <c r="J607" s="200">
        <f t="shared" si="92"/>
        <v>4.4000000000012363E-3</v>
      </c>
      <c r="K607" s="277">
        <f t="shared" si="93"/>
        <v>2.1032504780120633</v>
      </c>
      <c r="L607" s="200">
        <v>7</v>
      </c>
      <c r="M607" s="206">
        <v>43186.458333333336</v>
      </c>
      <c r="N607" s="206">
        <v>43186.625</v>
      </c>
      <c r="O607" s="196" t="s">
        <v>2534</v>
      </c>
      <c r="P607" s="200"/>
      <c r="AB607" s="110"/>
      <c r="AC607" s="110"/>
      <c r="AD607" s="110"/>
      <c r="AE607" s="110"/>
    </row>
    <row r="608" spans="1:31">
      <c r="A608" s="196" t="s">
        <v>755</v>
      </c>
      <c r="C608" s="197">
        <v>29</v>
      </c>
      <c r="D608" s="196">
        <v>1.3573</v>
      </c>
      <c r="E608" s="196">
        <v>9.3175000000000008</v>
      </c>
      <c r="F608" s="201">
        <v>0.20549999999999999</v>
      </c>
      <c r="G608" s="200">
        <f t="shared" si="91"/>
        <v>9.5230000000000015</v>
      </c>
      <c r="H608" s="200">
        <v>9.3400999999999996</v>
      </c>
      <c r="I608" s="200">
        <f t="shared" si="94"/>
        <v>0.18290000000000184</v>
      </c>
      <c r="J608" s="200">
        <f t="shared" si="92"/>
        <v>2.2599999999998149E-2</v>
      </c>
      <c r="K608" s="277">
        <f t="shared" si="93"/>
        <v>10.99756690997477</v>
      </c>
      <c r="L608" s="200">
        <v>2</v>
      </c>
      <c r="AB608" s="110"/>
      <c r="AC608" s="110"/>
      <c r="AD608" s="110"/>
      <c r="AE608" s="110"/>
    </row>
    <row r="609" spans="1:31">
      <c r="A609" s="196" t="s">
        <v>754</v>
      </c>
      <c r="C609" s="197">
        <v>191</v>
      </c>
      <c r="D609" s="196">
        <v>1.4354</v>
      </c>
      <c r="E609" s="201">
        <v>7.0750999999999999</v>
      </c>
      <c r="F609" s="201">
        <v>0.20080000000000001</v>
      </c>
      <c r="G609" s="200">
        <f t="shared" si="91"/>
        <v>7.2759</v>
      </c>
      <c r="H609" s="200">
        <v>7.0793999999999997</v>
      </c>
      <c r="I609" s="200">
        <f t="shared" si="94"/>
        <v>0.19650000000000034</v>
      </c>
      <c r="J609" s="200">
        <f t="shared" si="92"/>
        <v>4.2999999999996652E-3</v>
      </c>
      <c r="K609" s="277">
        <f t="shared" si="93"/>
        <v>2.1414342629480405</v>
      </c>
      <c r="L609" s="200">
        <v>13</v>
      </c>
      <c r="AB609" s="110"/>
      <c r="AC609" s="110"/>
      <c r="AD609" s="110"/>
      <c r="AE609" s="110"/>
    </row>
    <row r="610" spans="1:31">
      <c r="A610" s="205" t="s">
        <v>1102</v>
      </c>
      <c r="C610" s="200">
        <v>124</v>
      </c>
      <c r="D610" s="200">
        <v>1.2157</v>
      </c>
      <c r="E610" s="201">
        <v>11.4542</v>
      </c>
      <c r="F610" s="201">
        <v>0.20200000000000001</v>
      </c>
      <c r="G610" s="200">
        <f t="shared" si="91"/>
        <v>11.6562</v>
      </c>
      <c r="H610" s="200">
        <v>11.4687</v>
      </c>
      <c r="I610" s="200">
        <f t="shared" si="94"/>
        <v>0.1875</v>
      </c>
      <c r="J610" s="200">
        <f t="shared" si="92"/>
        <v>1.4500000000000013E-2</v>
      </c>
      <c r="K610" s="277">
        <f t="shared" si="93"/>
        <v>7.1782178217821846</v>
      </c>
      <c r="L610" s="200">
        <v>7</v>
      </c>
      <c r="M610" s="206">
        <v>43185.385416666664</v>
      </c>
      <c r="N610" s="200"/>
      <c r="O610" s="200" t="s">
        <v>2540</v>
      </c>
      <c r="P610" s="200"/>
      <c r="AB610" s="110"/>
      <c r="AC610" s="110"/>
      <c r="AD610" s="110"/>
      <c r="AE610" s="110"/>
    </row>
    <row r="611" spans="1:31">
      <c r="A611" s="196" t="s">
        <v>751</v>
      </c>
      <c r="C611" s="200">
        <v>60</v>
      </c>
      <c r="D611" s="200">
        <v>1.3048</v>
      </c>
      <c r="E611" s="200">
        <v>8.8451000000000004</v>
      </c>
      <c r="F611" s="200">
        <v>0.20810000000000001</v>
      </c>
      <c r="G611" s="200">
        <f t="shared" si="91"/>
        <v>9.0532000000000004</v>
      </c>
      <c r="H611" s="200">
        <v>8.8652999999999995</v>
      </c>
      <c r="I611" s="200">
        <f t="shared" si="94"/>
        <v>0.18790000000000084</v>
      </c>
      <c r="J611" s="200">
        <f t="shared" si="92"/>
        <v>2.0199999999999163E-2</v>
      </c>
      <c r="K611" s="277">
        <f t="shared" si="93"/>
        <v>9.7068716962994532</v>
      </c>
      <c r="L611" s="200">
        <v>22</v>
      </c>
      <c r="M611" s="204">
        <v>43173</v>
      </c>
      <c r="N611" s="204">
        <v>43173</v>
      </c>
      <c r="O611" s="200" t="s">
        <v>2540</v>
      </c>
      <c r="P611" s="200" t="s">
        <v>2539</v>
      </c>
      <c r="AB611" s="110"/>
      <c r="AC611" s="110"/>
      <c r="AD611" s="110"/>
      <c r="AE611" s="110"/>
    </row>
    <row r="612" spans="1:31">
      <c r="A612" s="200" t="s">
        <v>750</v>
      </c>
      <c r="C612" s="200">
        <v>85</v>
      </c>
      <c r="D612" s="200">
        <v>1.3975</v>
      </c>
      <c r="E612" s="201">
        <v>7.1887999999999996</v>
      </c>
      <c r="F612" s="201">
        <v>0.20019999999999999</v>
      </c>
      <c r="G612" s="200">
        <f t="shared" si="91"/>
        <v>7.3889999999999993</v>
      </c>
      <c r="H612" s="200">
        <v>7.1961000000000004</v>
      </c>
      <c r="I612" s="200">
        <f t="shared" si="94"/>
        <v>0.19289999999999896</v>
      </c>
      <c r="J612" s="200">
        <f t="shared" si="92"/>
        <v>7.3000000000010279E-3</v>
      </c>
      <c r="K612" s="277">
        <f t="shared" si="93"/>
        <v>3.6463536463541599</v>
      </c>
      <c r="L612" s="200">
        <v>40</v>
      </c>
      <c r="M612" s="206">
        <v>43186.458333333336</v>
      </c>
      <c r="N612" s="206">
        <v>43186.625</v>
      </c>
      <c r="O612" s="196" t="s">
        <v>2534</v>
      </c>
      <c r="P612" s="200"/>
      <c r="AB612" s="110"/>
      <c r="AC612" s="110"/>
      <c r="AD612" s="110"/>
      <c r="AE612" s="110"/>
    </row>
    <row r="613" spans="1:31">
      <c r="A613" s="196" t="s">
        <v>749</v>
      </c>
      <c r="C613" s="197">
        <v>210</v>
      </c>
      <c r="D613" s="196">
        <v>1.4152</v>
      </c>
      <c r="E613" s="201">
        <v>8.1193000000000008</v>
      </c>
      <c r="F613" s="201">
        <v>0.2087</v>
      </c>
      <c r="G613" s="200">
        <f t="shared" si="91"/>
        <v>8.3280000000000012</v>
      </c>
      <c r="H613" s="200">
        <v>8.1370000000000005</v>
      </c>
      <c r="I613" s="200">
        <f t="shared" si="94"/>
        <v>0.19100000000000072</v>
      </c>
      <c r="J613" s="200">
        <f t="shared" si="92"/>
        <v>1.7699999999999272E-2</v>
      </c>
      <c r="K613" s="277">
        <f t="shared" si="93"/>
        <v>8.4810733109723397</v>
      </c>
      <c r="L613" s="200">
        <v>3</v>
      </c>
      <c r="AB613" s="110"/>
      <c r="AC613" s="110"/>
      <c r="AD613" s="110"/>
      <c r="AE613" s="110"/>
    </row>
    <row r="614" spans="1:31">
      <c r="A614" s="196" t="s">
        <v>748</v>
      </c>
      <c r="C614" s="197">
        <v>73</v>
      </c>
      <c r="D614" s="196">
        <v>1.4407000000000001</v>
      </c>
      <c r="E614" s="200">
        <v>11.746499999999999</v>
      </c>
      <c r="F614" s="201">
        <v>0.2059</v>
      </c>
      <c r="G614" s="200">
        <f t="shared" si="91"/>
        <v>11.952399999999999</v>
      </c>
      <c r="H614" s="200">
        <v>11.7516</v>
      </c>
      <c r="I614" s="200">
        <f t="shared" si="94"/>
        <v>0.2007999999999992</v>
      </c>
      <c r="J614" s="200">
        <f t="shared" si="92"/>
        <v>5.1000000000007983E-3</v>
      </c>
      <c r="K614" s="277">
        <f t="shared" si="93"/>
        <v>2.4769305488104898</v>
      </c>
      <c r="L614" s="200">
        <v>6</v>
      </c>
      <c r="M614" s="203">
        <v>43212</v>
      </c>
      <c r="AB614" s="110"/>
      <c r="AC614" s="110"/>
      <c r="AD614" s="110"/>
      <c r="AE614" s="110"/>
    </row>
    <row r="615" spans="1:31">
      <c r="A615" s="196" t="s">
        <v>746</v>
      </c>
      <c r="C615" s="197">
        <v>201</v>
      </c>
      <c r="D615" s="196">
        <v>1.3948</v>
      </c>
      <c r="E615" s="200">
        <v>10.5029</v>
      </c>
      <c r="F615" s="201">
        <v>0.20250000000000001</v>
      </c>
      <c r="G615" s="200">
        <f t="shared" si="91"/>
        <v>10.705400000000001</v>
      </c>
      <c r="H615" s="200">
        <v>10.509</v>
      </c>
      <c r="I615" s="200">
        <f t="shared" si="94"/>
        <v>0.19640000000000057</v>
      </c>
      <c r="J615" s="200">
        <f t="shared" si="92"/>
        <v>6.0999999999994392E-3</v>
      </c>
      <c r="K615" s="277">
        <f t="shared" si="93"/>
        <v>3.0123456790120686</v>
      </c>
      <c r="L615" s="200">
        <v>9</v>
      </c>
      <c r="M615" s="203">
        <v>43212</v>
      </c>
      <c r="AB615" s="110"/>
      <c r="AC615" s="110"/>
      <c r="AD615" s="110"/>
      <c r="AE615" s="110"/>
    </row>
    <row r="616" spans="1:31">
      <c r="A616" s="196" t="s">
        <v>745</v>
      </c>
      <c r="C616" s="197">
        <v>32</v>
      </c>
      <c r="D616" s="196">
        <v>1.0985</v>
      </c>
      <c r="E616" s="201">
        <v>10.8552</v>
      </c>
      <c r="F616" s="201">
        <v>0.2059</v>
      </c>
      <c r="G616" s="200">
        <f t="shared" si="91"/>
        <v>11.0611</v>
      </c>
      <c r="H616" s="200">
        <v>10.870799999999999</v>
      </c>
      <c r="I616" s="200">
        <f t="shared" si="94"/>
        <v>0.19030000000000058</v>
      </c>
      <c r="J616" s="200">
        <f t="shared" si="92"/>
        <v>1.559999999999942E-2</v>
      </c>
      <c r="K616" s="277">
        <f t="shared" si="93"/>
        <v>7.5764934434188538</v>
      </c>
      <c r="L616" s="200">
        <v>25</v>
      </c>
      <c r="AB616" s="110"/>
      <c r="AC616" s="110"/>
      <c r="AD616" s="110"/>
      <c r="AE616" s="110"/>
    </row>
    <row r="617" spans="1:31">
      <c r="A617" s="200" t="s">
        <v>743</v>
      </c>
      <c r="C617" s="200">
        <v>7</v>
      </c>
      <c r="D617" s="196">
        <v>1.2833000000000001</v>
      </c>
      <c r="E617" s="201">
        <v>10.7433</v>
      </c>
      <c r="F617" s="201">
        <v>0.19950000000000001</v>
      </c>
      <c r="G617" s="200">
        <f t="shared" si="91"/>
        <v>10.9428</v>
      </c>
      <c r="H617" s="200">
        <v>10.7507</v>
      </c>
      <c r="I617" s="200">
        <f t="shared" si="94"/>
        <v>0.19209999999999994</v>
      </c>
      <c r="J617" s="200">
        <f t="shared" si="92"/>
        <v>7.4000000000000732E-3</v>
      </c>
      <c r="K617" s="277">
        <f t="shared" si="93"/>
        <v>3.7092731829574301</v>
      </c>
      <c r="L617" s="200">
        <v>2</v>
      </c>
      <c r="M617" s="206">
        <v>43185.385416666664</v>
      </c>
      <c r="N617" s="200"/>
      <c r="O617" s="200" t="s">
        <v>2540</v>
      </c>
      <c r="P617" s="200"/>
      <c r="AB617" s="110"/>
      <c r="AC617" s="110"/>
      <c r="AD617" s="110"/>
      <c r="AE617" s="110"/>
    </row>
    <row r="618" spans="1:31">
      <c r="A618" s="205" t="s">
        <v>1137</v>
      </c>
      <c r="C618" s="196">
        <v>92</v>
      </c>
      <c r="D618" s="200">
        <v>1.4371</v>
      </c>
      <c r="E618" s="201">
        <v>11.903600000000001</v>
      </c>
      <c r="F618" s="201">
        <v>0.2074</v>
      </c>
      <c r="G618" s="200">
        <f t="shared" si="91"/>
        <v>12.111000000000001</v>
      </c>
      <c r="H618" s="200">
        <v>11.9087</v>
      </c>
      <c r="I618" s="200">
        <f t="shared" si="94"/>
        <v>0.20230000000000103</v>
      </c>
      <c r="J618" s="200">
        <f t="shared" si="92"/>
        <v>5.0999999999989665E-3</v>
      </c>
      <c r="K618" s="277">
        <f t="shared" si="93"/>
        <v>2.4590163934421247</v>
      </c>
      <c r="L618" s="200">
        <v>14</v>
      </c>
      <c r="M618" s="206">
        <v>43186.458333333336</v>
      </c>
      <c r="N618" s="206">
        <v>43186.625</v>
      </c>
      <c r="O618" s="196" t="s">
        <v>2534</v>
      </c>
      <c r="P618" s="200" t="s">
        <v>2562</v>
      </c>
      <c r="AB618" s="110"/>
      <c r="AC618" s="110"/>
      <c r="AD618" s="110"/>
      <c r="AE618" s="110"/>
    </row>
    <row r="619" spans="1:31">
      <c r="A619" s="201" t="s">
        <v>1101</v>
      </c>
      <c r="C619" s="200">
        <v>145</v>
      </c>
      <c r="D619" s="200">
        <v>1.3506999999999998</v>
      </c>
      <c r="E619" s="200">
        <v>8.2186000000000003</v>
      </c>
      <c r="F619" s="200">
        <v>0.20599999999999999</v>
      </c>
      <c r="G619" s="200">
        <f t="shared" si="91"/>
        <v>8.4245999999999999</v>
      </c>
      <c r="H619" s="200">
        <v>8.2359000000000009</v>
      </c>
      <c r="I619" s="200">
        <f t="shared" si="94"/>
        <v>0.18869999999999898</v>
      </c>
      <c r="J619" s="200">
        <f t="shared" si="92"/>
        <v>1.7300000000001009E-2</v>
      </c>
      <c r="K619" s="277">
        <f t="shared" si="93"/>
        <v>8.3980582524276741</v>
      </c>
      <c r="L619" s="200">
        <v>26</v>
      </c>
      <c r="M619" s="204">
        <v>43173</v>
      </c>
      <c r="N619" s="204">
        <v>43173</v>
      </c>
      <c r="O619" s="200" t="s">
        <v>2540</v>
      </c>
      <c r="P619" s="200" t="s">
        <v>2539</v>
      </c>
      <c r="AB619" s="110"/>
      <c r="AC619" s="110"/>
      <c r="AD619" s="110"/>
      <c r="AE619" s="110"/>
    </row>
    <row r="620" spans="1:31">
      <c r="A620" s="200" t="s">
        <v>738</v>
      </c>
      <c r="C620" s="200">
        <v>169</v>
      </c>
      <c r="D620" s="200">
        <v>1.4878</v>
      </c>
      <c r="E620" s="200">
        <v>7.7732000000000001</v>
      </c>
      <c r="F620" s="201">
        <v>0.20669999999999999</v>
      </c>
      <c r="G620" s="200">
        <f t="shared" si="91"/>
        <v>7.9798999999999998</v>
      </c>
      <c r="H620" s="196">
        <v>7.7808000000000002</v>
      </c>
      <c r="I620" s="196">
        <f t="shared" si="94"/>
        <v>0.19909999999999961</v>
      </c>
      <c r="J620" s="200">
        <f t="shared" si="92"/>
        <v>7.6000000000003842E-3</v>
      </c>
      <c r="K620" s="277">
        <f t="shared" si="93"/>
        <v>3.6768263183359386</v>
      </c>
      <c r="L620" s="200">
        <v>21</v>
      </c>
      <c r="M620" s="204">
        <v>43187</v>
      </c>
      <c r="N620" s="204">
        <v>43187</v>
      </c>
      <c r="O620" s="200"/>
      <c r="P620" s="200"/>
      <c r="AB620" s="110"/>
      <c r="AC620" s="110"/>
      <c r="AD620" s="110"/>
      <c r="AE620" s="110"/>
    </row>
    <row r="621" spans="1:31">
      <c r="A621" s="196" t="s">
        <v>737</v>
      </c>
      <c r="P621" s="196" t="s">
        <v>3914</v>
      </c>
      <c r="AB621" s="110"/>
      <c r="AC621" s="110"/>
      <c r="AD621" s="110"/>
      <c r="AE621" s="110"/>
    </row>
    <row r="622" spans="1:31">
      <c r="A622" s="196" t="s">
        <v>735</v>
      </c>
      <c r="C622" s="196">
        <v>8</v>
      </c>
      <c r="D622" s="196">
        <v>1.2090000000000001</v>
      </c>
      <c r="E622" s="196">
        <v>7.0926999999999998</v>
      </c>
      <c r="F622" s="196">
        <v>0.2056</v>
      </c>
      <c r="G622" s="196">
        <f>E622+F622</f>
        <v>7.2982999999999993</v>
      </c>
      <c r="H622" s="196">
        <v>7.0979000000000001</v>
      </c>
      <c r="I622" s="196">
        <f>(G622-H622)</f>
        <v>0.20039999999999925</v>
      </c>
      <c r="J622" s="200">
        <f>F622-I622</f>
        <v>5.2000000000007596E-3</v>
      </c>
      <c r="K622" s="277">
        <f>(J622/F622)*100</f>
        <v>2.5291828793778013</v>
      </c>
      <c r="L622" s="196">
        <v>2</v>
      </c>
      <c r="M622" s="196" t="s">
        <v>2570</v>
      </c>
      <c r="N622" s="196" t="s">
        <v>2569</v>
      </c>
      <c r="O622" s="196" t="s">
        <v>2534</v>
      </c>
      <c r="AB622" s="110"/>
      <c r="AC622" s="110"/>
      <c r="AD622" s="110"/>
      <c r="AE622" s="110"/>
    </row>
    <row r="623" spans="1:31">
      <c r="A623" s="196" t="s">
        <v>733</v>
      </c>
      <c r="P623" s="196" t="s">
        <v>3914</v>
      </c>
      <c r="AB623" s="110"/>
      <c r="AC623" s="110"/>
      <c r="AD623" s="110"/>
      <c r="AE623" s="110"/>
    </row>
    <row r="624" spans="1:31">
      <c r="A624" s="196" t="s">
        <v>1100</v>
      </c>
      <c r="C624" s="196">
        <v>112</v>
      </c>
      <c r="D624" s="196">
        <v>1.4342999999999999</v>
      </c>
      <c r="E624" s="196">
        <v>19.091799999999999</v>
      </c>
      <c r="F624" s="196">
        <v>0.20430000000000001</v>
      </c>
      <c r="G624" s="196">
        <f t="shared" ref="G624:G631" si="95">E624+F624</f>
        <v>19.296099999999999</v>
      </c>
      <c r="H624" s="196">
        <v>19.106100000000001</v>
      </c>
      <c r="I624" s="196">
        <f t="shared" ref="I624:I631" si="96">(G624-H624)</f>
        <v>0.18999999999999773</v>
      </c>
      <c r="J624" s="200">
        <f t="shared" ref="J624:J631" si="97">F624-I624</f>
        <v>1.4300000000002283E-2</v>
      </c>
      <c r="K624" s="277">
        <f t="shared" ref="K624:K631" si="98">(J624/F624)*100</f>
        <v>6.9995105237407165</v>
      </c>
      <c r="L624" s="196">
        <v>10</v>
      </c>
      <c r="M624" s="196" t="s">
        <v>2560</v>
      </c>
      <c r="N624" s="196">
        <v>43153.729166666664</v>
      </c>
      <c r="O624" s="196" t="s">
        <v>2534</v>
      </c>
      <c r="P624" s="196" t="s">
        <v>2558</v>
      </c>
      <c r="AB624" s="110"/>
      <c r="AC624" s="110"/>
      <c r="AD624" s="110"/>
      <c r="AE624" s="110"/>
    </row>
    <row r="625" spans="1:31">
      <c r="A625" s="200" t="s">
        <v>731</v>
      </c>
      <c r="C625" s="200">
        <v>217</v>
      </c>
      <c r="D625" s="200">
        <v>1.2276</v>
      </c>
      <c r="E625" s="200">
        <v>9.1377000000000006</v>
      </c>
      <c r="F625" s="201">
        <v>0.2034</v>
      </c>
      <c r="G625" s="200">
        <f t="shared" si="95"/>
        <v>9.3411000000000008</v>
      </c>
      <c r="H625" s="200">
        <v>9.1463999999999999</v>
      </c>
      <c r="I625" s="200">
        <f t="shared" si="96"/>
        <v>0.19470000000000098</v>
      </c>
      <c r="J625" s="200">
        <f t="shared" si="97"/>
        <v>8.6999999999990141E-3</v>
      </c>
      <c r="K625" s="277">
        <f t="shared" si="98"/>
        <v>4.277286135692731</v>
      </c>
      <c r="L625" s="200">
        <v>3</v>
      </c>
      <c r="M625" s="204">
        <v>43211</v>
      </c>
      <c r="N625" s="200"/>
      <c r="O625" s="200"/>
      <c r="P625" s="200"/>
      <c r="AB625" s="110"/>
      <c r="AC625" s="110"/>
      <c r="AD625" s="110"/>
      <c r="AE625" s="110"/>
    </row>
    <row r="626" spans="1:31">
      <c r="A626" s="196" t="s">
        <v>730</v>
      </c>
      <c r="C626" s="200">
        <v>165</v>
      </c>
      <c r="D626" s="200">
        <v>1.4901</v>
      </c>
      <c r="E626" s="200">
        <v>8.0657999999999994</v>
      </c>
      <c r="F626" s="200">
        <v>0.2082</v>
      </c>
      <c r="G626" s="200">
        <f t="shared" si="95"/>
        <v>8.2739999999999991</v>
      </c>
      <c r="H626" s="200">
        <v>8.0698000000000008</v>
      </c>
      <c r="I626" s="200">
        <f t="shared" si="96"/>
        <v>0.20419999999999838</v>
      </c>
      <c r="J626" s="200">
        <f t="shared" si="97"/>
        <v>4.0000000000016134E-3</v>
      </c>
      <c r="K626" s="277">
        <f t="shared" si="98"/>
        <v>1.9212295869364138</v>
      </c>
      <c r="L626" s="200">
        <v>17</v>
      </c>
      <c r="M626" s="202">
        <v>43164.628472222219</v>
      </c>
      <c r="N626" s="202">
        <v>43164.795138888891</v>
      </c>
      <c r="O626" s="196" t="s">
        <v>2534</v>
      </c>
      <c r="P626" s="200"/>
      <c r="AB626" s="110"/>
      <c r="AC626" s="110"/>
      <c r="AD626" s="110"/>
      <c r="AE626" s="110"/>
    </row>
    <row r="627" spans="1:31">
      <c r="A627" s="205" t="s">
        <v>729</v>
      </c>
      <c r="C627" s="200">
        <v>214</v>
      </c>
      <c r="D627" s="200">
        <v>1.2703</v>
      </c>
      <c r="E627" s="200">
        <v>8.9997000000000007</v>
      </c>
      <c r="F627" s="200">
        <v>0.2001</v>
      </c>
      <c r="G627" s="200">
        <f t="shared" si="95"/>
        <v>9.1998000000000015</v>
      </c>
      <c r="H627" s="200">
        <v>9.0108999999999995</v>
      </c>
      <c r="I627" s="200">
        <f t="shared" si="96"/>
        <v>0.18890000000000207</v>
      </c>
      <c r="J627" s="200">
        <f t="shared" si="97"/>
        <v>1.1199999999997934E-2</v>
      </c>
      <c r="K627" s="277">
        <f t="shared" si="98"/>
        <v>5.5972013992993173</v>
      </c>
      <c r="L627" s="200">
        <v>5</v>
      </c>
      <c r="M627" s="202">
        <v>43164.628472222219</v>
      </c>
      <c r="N627" s="202">
        <v>43164.795138888891</v>
      </c>
      <c r="O627" s="196" t="s">
        <v>2534</v>
      </c>
      <c r="P627" s="200"/>
      <c r="AB627" s="110"/>
      <c r="AC627" s="110"/>
      <c r="AD627" s="110"/>
      <c r="AE627" s="110"/>
    </row>
    <row r="628" spans="1:31">
      <c r="A628" s="200" t="s">
        <v>727</v>
      </c>
      <c r="C628" s="200">
        <v>69</v>
      </c>
      <c r="D628" s="201">
        <v>2.0773000000000001</v>
      </c>
      <c r="E628" s="201">
        <v>8.0951000000000004</v>
      </c>
      <c r="F628" s="201">
        <v>0.20949999999999999</v>
      </c>
      <c r="G628" s="200">
        <f t="shared" si="95"/>
        <v>8.3046000000000006</v>
      </c>
      <c r="H628" s="200">
        <v>8.1296999999999997</v>
      </c>
      <c r="I628" s="200">
        <f t="shared" si="96"/>
        <v>0.17490000000000094</v>
      </c>
      <c r="J628" s="200">
        <f t="shared" si="97"/>
        <v>3.4599999999999048E-2</v>
      </c>
      <c r="K628" s="277">
        <f t="shared" si="98"/>
        <v>16.515513126491193</v>
      </c>
      <c r="L628" s="200">
        <v>18</v>
      </c>
      <c r="M628" s="202">
        <v>43181.645833333336</v>
      </c>
      <c r="N628" s="202">
        <v>43181.833333333336</v>
      </c>
      <c r="O628" s="200" t="s">
        <v>2540</v>
      </c>
      <c r="P628" s="200"/>
      <c r="AB628" s="110"/>
      <c r="AC628" s="110"/>
      <c r="AD628" s="110"/>
      <c r="AE628" s="110"/>
    </row>
    <row r="629" spans="1:31">
      <c r="A629" s="200" t="s">
        <v>726</v>
      </c>
      <c r="B629" s="200"/>
      <c r="C629" s="200">
        <v>15</v>
      </c>
      <c r="D629" s="200">
        <v>2.4432999999999998</v>
      </c>
      <c r="E629" s="201">
        <v>7.7142999999999997</v>
      </c>
      <c r="F629" s="201">
        <v>0.20319999999999999</v>
      </c>
      <c r="G629" s="200">
        <f t="shared" si="95"/>
        <v>7.9174999999999995</v>
      </c>
      <c r="H629" s="200">
        <v>7.8741000000000003</v>
      </c>
      <c r="I629" s="200">
        <f t="shared" si="96"/>
        <v>4.3399999999999217E-2</v>
      </c>
      <c r="J629" s="200">
        <f t="shared" si="97"/>
        <v>0.15980000000000077</v>
      </c>
      <c r="K629" s="277">
        <f t="shared" si="98"/>
        <v>78.641732283464947</v>
      </c>
      <c r="L629" s="200">
        <v>31</v>
      </c>
      <c r="M629" s="206">
        <v>43185.385416666664</v>
      </c>
      <c r="N629" s="200"/>
      <c r="O629" s="200" t="s">
        <v>2540</v>
      </c>
      <c r="P629" s="200"/>
      <c r="Q629" s="200"/>
      <c r="R629" s="200"/>
      <c r="S629" s="200"/>
      <c r="T629" s="200"/>
      <c r="U629" s="200"/>
      <c r="V629" s="200"/>
      <c r="W629" s="200"/>
      <c r="AB629" s="110"/>
      <c r="AC629" s="110"/>
      <c r="AD629" s="110"/>
      <c r="AE629" s="110"/>
    </row>
    <row r="630" spans="1:31">
      <c r="A630" s="205" t="s">
        <v>724</v>
      </c>
      <c r="C630" s="200">
        <v>84</v>
      </c>
      <c r="D630" s="200">
        <v>1.3305</v>
      </c>
      <c r="E630" s="201">
        <v>9.1560000000000006</v>
      </c>
      <c r="F630" s="201">
        <v>0.2016</v>
      </c>
      <c r="G630" s="200">
        <f t="shared" si="95"/>
        <v>9.3576000000000015</v>
      </c>
      <c r="H630" s="200">
        <v>9.1707999999999998</v>
      </c>
      <c r="I630" s="200">
        <f t="shared" si="96"/>
        <v>0.18680000000000163</v>
      </c>
      <c r="J630" s="200">
        <f t="shared" si="97"/>
        <v>1.479999999999837E-2</v>
      </c>
      <c r="K630" s="277">
        <f t="shared" si="98"/>
        <v>7.3412698412690327</v>
      </c>
      <c r="L630" s="200">
        <v>3</v>
      </c>
      <c r="M630" s="206">
        <v>43186.458333333336</v>
      </c>
      <c r="N630" s="206">
        <v>43186.625</v>
      </c>
      <c r="O630" s="196" t="s">
        <v>2534</v>
      </c>
      <c r="P630" s="200"/>
      <c r="AB630" s="110"/>
      <c r="AC630" s="110"/>
      <c r="AD630" s="110"/>
      <c r="AE630" s="110"/>
    </row>
    <row r="631" spans="1:31">
      <c r="A631" s="196" t="s">
        <v>723</v>
      </c>
      <c r="C631" s="196">
        <v>128</v>
      </c>
      <c r="D631" s="196">
        <v>1.1819999999999999</v>
      </c>
      <c r="E631" s="196">
        <v>8.7603000000000009</v>
      </c>
      <c r="F631" s="196">
        <v>0.20549999999999999</v>
      </c>
      <c r="G631" s="196">
        <f t="shared" si="95"/>
        <v>8.9658000000000015</v>
      </c>
      <c r="H631" s="196">
        <v>8.7693999999999992</v>
      </c>
      <c r="I631" s="196">
        <f t="shared" si="96"/>
        <v>0.19640000000000235</v>
      </c>
      <c r="J631" s="200">
        <f t="shared" si="97"/>
        <v>9.0999999999976378E-3</v>
      </c>
      <c r="K631" s="277">
        <f t="shared" si="98"/>
        <v>4.4282238442810895</v>
      </c>
      <c r="L631" s="196">
        <v>7</v>
      </c>
      <c r="M631" s="196">
        <v>43157.395833333336</v>
      </c>
      <c r="N631" s="196">
        <v>43157.569444444445</v>
      </c>
      <c r="O631" s="196" t="s">
        <v>2534</v>
      </c>
      <c r="AB631" s="110"/>
      <c r="AC631" s="110"/>
      <c r="AD631" s="110"/>
      <c r="AE631" s="110"/>
    </row>
    <row r="632" spans="1:31">
      <c r="A632" s="196" t="s">
        <v>1099</v>
      </c>
      <c r="P632" s="196" t="s">
        <v>3914</v>
      </c>
      <c r="AB632" s="110"/>
      <c r="AC632" s="110"/>
      <c r="AD632" s="110"/>
      <c r="AE632" s="110"/>
    </row>
    <row r="633" spans="1:31">
      <c r="A633" s="205" t="s">
        <v>721</v>
      </c>
      <c r="C633" s="200">
        <v>40</v>
      </c>
      <c r="D633" s="200">
        <v>1.4009</v>
      </c>
      <c r="E633" s="200">
        <v>11.2585</v>
      </c>
      <c r="F633" s="201">
        <v>0.2006</v>
      </c>
      <c r="G633" s="200">
        <f t="shared" ref="G633:G647" si="99">E633+F633</f>
        <v>11.459099999999999</v>
      </c>
      <c r="H633" s="200">
        <v>11.2681</v>
      </c>
      <c r="I633" s="200">
        <f t="shared" ref="I633:I647" si="100">(G633-H633)</f>
        <v>0.19099999999999895</v>
      </c>
      <c r="J633" s="200">
        <f t="shared" ref="J633:J647" si="101">F633-I633</f>
        <v>9.6000000000010521E-3</v>
      </c>
      <c r="K633" s="277">
        <f t="shared" ref="K633:K647" si="102">(J633/F633)*100</f>
        <v>4.7856430707881614</v>
      </c>
      <c r="L633" s="200">
        <v>7</v>
      </c>
      <c r="M633" s="204">
        <v>43211</v>
      </c>
      <c r="N633" s="200"/>
      <c r="O633" s="200"/>
      <c r="P633" s="200"/>
      <c r="AB633" s="110"/>
      <c r="AC633" s="110"/>
      <c r="AD633" s="110"/>
      <c r="AE633" s="110"/>
    </row>
    <row r="634" spans="1:31">
      <c r="A634" s="205" t="s">
        <v>720</v>
      </c>
      <c r="C634" s="200">
        <v>160</v>
      </c>
      <c r="D634" s="200">
        <v>1.4998</v>
      </c>
      <c r="E634" s="200">
        <v>7.0930999999999997</v>
      </c>
      <c r="F634" s="201">
        <v>0.20030000000000001</v>
      </c>
      <c r="G634" s="200">
        <f t="shared" si="99"/>
        <v>7.2934000000000001</v>
      </c>
      <c r="H634" s="200">
        <v>7.1029</v>
      </c>
      <c r="I634" s="200">
        <f t="shared" si="100"/>
        <v>0.19050000000000011</v>
      </c>
      <c r="J634" s="200">
        <f t="shared" si="101"/>
        <v>9.7999999999998921E-3</v>
      </c>
      <c r="K634" s="277">
        <f t="shared" si="102"/>
        <v>4.8926610084872157</v>
      </c>
      <c r="L634" s="200">
        <v>16</v>
      </c>
      <c r="M634" s="204">
        <v>43211</v>
      </c>
      <c r="AB634" s="110"/>
      <c r="AC634" s="110"/>
      <c r="AD634" s="110"/>
      <c r="AE634" s="110"/>
    </row>
    <row r="635" spans="1:31">
      <c r="A635" s="196" t="s">
        <v>718</v>
      </c>
      <c r="C635" s="200">
        <v>63</v>
      </c>
      <c r="D635" s="201">
        <v>1.3973</v>
      </c>
      <c r="E635" s="201">
        <v>10.415800000000001</v>
      </c>
      <c r="F635" s="201">
        <v>0.2077</v>
      </c>
      <c r="G635" s="200">
        <f t="shared" si="99"/>
        <v>10.6235</v>
      </c>
      <c r="H635" s="200">
        <v>10.432499999999999</v>
      </c>
      <c r="I635" s="200">
        <f t="shared" si="100"/>
        <v>0.19100000000000072</v>
      </c>
      <c r="J635" s="200">
        <f t="shared" si="101"/>
        <v>1.6699999999999271E-2</v>
      </c>
      <c r="K635" s="277">
        <f t="shared" si="102"/>
        <v>8.0404429465571852</v>
      </c>
      <c r="L635" s="200">
        <v>5</v>
      </c>
      <c r="M635" s="200"/>
      <c r="N635" s="200"/>
      <c r="O635" s="200"/>
      <c r="P635" s="200"/>
      <c r="AB635" s="110"/>
      <c r="AC635" s="110"/>
      <c r="AD635" s="110"/>
      <c r="AE635" s="110"/>
    </row>
    <row r="636" spans="1:31">
      <c r="A636" s="200" t="s">
        <v>717</v>
      </c>
      <c r="C636" s="200">
        <v>127</v>
      </c>
      <c r="D636" s="201">
        <v>1.2995000000000001</v>
      </c>
      <c r="E636" s="200">
        <v>8.9579000000000004</v>
      </c>
      <c r="F636" s="201">
        <v>0.20699999999999999</v>
      </c>
      <c r="G636" s="200">
        <f t="shared" si="99"/>
        <v>9.1649000000000012</v>
      </c>
      <c r="H636" s="200">
        <v>8.9731000000000005</v>
      </c>
      <c r="I636" s="200">
        <f t="shared" si="100"/>
        <v>0.19180000000000064</v>
      </c>
      <c r="J636" s="200">
        <f t="shared" si="101"/>
        <v>1.5199999999999353E-2</v>
      </c>
      <c r="K636" s="277">
        <f t="shared" si="102"/>
        <v>7.3429951690818136</v>
      </c>
      <c r="L636" s="200">
        <v>5</v>
      </c>
      <c r="M636" s="204">
        <v>43206</v>
      </c>
      <c r="N636" s="204">
        <v>43206</v>
      </c>
      <c r="O636" s="200"/>
      <c r="P636" s="200"/>
      <c r="AB636" s="110"/>
      <c r="AC636" s="110"/>
      <c r="AD636" s="110"/>
      <c r="AE636" s="110"/>
    </row>
    <row r="637" spans="1:31">
      <c r="A637" s="205" t="s">
        <v>715</v>
      </c>
      <c r="C637" s="200">
        <v>138</v>
      </c>
      <c r="D637" s="200">
        <v>1.3494999999999999</v>
      </c>
      <c r="E637" s="201">
        <v>11.089</v>
      </c>
      <c r="F637" s="201">
        <v>0.2021</v>
      </c>
      <c r="G637" s="200">
        <f t="shared" si="99"/>
        <v>11.2911</v>
      </c>
      <c r="H637" s="200">
        <v>11.098699999999999</v>
      </c>
      <c r="I637" s="200">
        <f t="shared" si="100"/>
        <v>0.19240000000000101</v>
      </c>
      <c r="J637" s="200">
        <f t="shared" si="101"/>
        <v>9.6999999999989872E-3</v>
      </c>
      <c r="K637" s="277">
        <f t="shared" si="102"/>
        <v>4.7996041563577378</v>
      </c>
      <c r="L637" s="200">
        <v>33</v>
      </c>
      <c r="M637" s="206">
        <v>43186.458333333336</v>
      </c>
      <c r="N637" s="206">
        <v>43186.625</v>
      </c>
      <c r="O637" s="196" t="s">
        <v>2534</v>
      </c>
      <c r="P637" s="200"/>
      <c r="AB637" s="110"/>
      <c r="AC637" s="110"/>
      <c r="AD637" s="110"/>
      <c r="AE637" s="110"/>
    </row>
    <row r="638" spans="1:31">
      <c r="A638" s="196" t="s">
        <v>714</v>
      </c>
      <c r="C638" s="197">
        <v>187</v>
      </c>
      <c r="D638" s="196">
        <v>1.4764999999999999</v>
      </c>
      <c r="E638" s="201">
        <v>10.7433</v>
      </c>
      <c r="F638" s="201">
        <v>0.2056</v>
      </c>
      <c r="G638" s="200">
        <f t="shared" si="99"/>
        <v>10.9489</v>
      </c>
      <c r="H638" s="200">
        <v>10.747299999999999</v>
      </c>
      <c r="I638" s="200">
        <f t="shared" si="100"/>
        <v>0.20160000000000089</v>
      </c>
      <c r="J638" s="200">
        <f t="shared" si="101"/>
        <v>3.9999999999991154E-3</v>
      </c>
      <c r="K638" s="277">
        <f t="shared" si="102"/>
        <v>1.9455252918283636</v>
      </c>
      <c r="L638" s="200">
        <v>18</v>
      </c>
      <c r="AB638" s="110"/>
      <c r="AC638" s="110"/>
      <c r="AD638" s="110"/>
      <c r="AE638" s="110"/>
    </row>
    <row r="639" spans="1:31">
      <c r="A639" s="200" t="s">
        <v>713</v>
      </c>
      <c r="C639" s="200">
        <v>113</v>
      </c>
      <c r="D639" s="200">
        <v>1.3206</v>
      </c>
      <c r="E639" s="200">
        <v>8.1677</v>
      </c>
      <c r="F639" s="201">
        <v>0.20169999999999999</v>
      </c>
      <c r="G639" s="200">
        <f t="shared" si="99"/>
        <v>8.3694000000000006</v>
      </c>
      <c r="H639" s="196">
        <v>8.3503000000000007</v>
      </c>
      <c r="I639" s="196">
        <f t="shared" si="100"/>
        <v>1.9099999999999895E-2</v>
      </c>
      <c r="J639" s="200">
        <f t="shared" si="101"/>
        <v>0.1826000000000001</v>
      </c>
      <c r="K639" s="277">
        <f t="shared" si="102"/>
        <v>90.530490827962367</v>
      </c>
      <c r="L639" s="200">
        <v>18</v>
      </c>
      <c r="M639" s="204">
        <v>43187</v>
      </c>
      <c r="N639" s="204">
        <v>43187</v>
      </c>
      <c r="O639" s="200"/>
      <c r="P639" s="200" t="s">
        <v>2561</v>
      </c>
      <c r="AB639" s="110"/>
      <c r="AC639" s="110"/>
      <c r="AD639" s="110"/>
      <c r="AE639" s="110"/>
    </row>
    <row r="640" spans="1:31">
      <c r="A640" s="205" t="s">
        <v>712</v>
      </c>
      <c r="C640" s="200">
        <v>122</v>
      </c>
      <c r="D640" s="200">
        <v>0.999</v>
      </c>
      <c r="E640" s="201">
        <v>8.3536999999999999</v>
      </c>
      <c r="F640" s="201">
        <v>0.20200000000000001</v>
      </c>
      <c r="G640" s="200">
        <f t="shared" si="99"/>
        <v>8.5556999999999999</v>
      </c>
      <c r="H640" s="200">
        <v>8.3711000000000002</v>
      </c>
      <c r="I640" s="200">
        <f t="shared" si="100"/>
        <v>0.18459999999999965</v>
      </c>
      <c r="J640" s="200">
        <f t="shared" si="101"/>
        <v>1.740000000000036E-2</v>
      </c>
      <c r="K640" s="277">
        <f t="shared" si="102"/>
        <v>8.6138613861387903</v>
      </c>
      <c r="L640" s="200">
        <v>5</v>
      </c>
      <c r="M640" s="202">
        <v>43181.645833333336</v>
      </c>
      <c r="N640" s="202">
        <v>43181.833333333336</v>
      </c>
      <c r="O640" s="200" t="s">
        <v>2540</v>
      </c>
      <c r="P640" s="200"/>
      <c r="AB640" s="110"/>
      <c r="AC640" s="110"/>
      <c r="AD640" s="110"/>
      <c r="AE640" s="110"/>
    </row>
    <row r="641" spans="1:31">
      <c r="A641" s="200" t="s">
        <v>711</v>
      </c>
      <c r="C641" s="200">
        <v>103</v>
      </c>
      <c r="D641" s="201">
        <v>1.373</v>
      </c>
      <c r="E641" s="200">
        <v>11.033200000000001</v>
      </c>
      <c r="F641" s="201">
        <v>0.2046</v>
      </c>
      <c r="G641" s="200">
        <f t="shared" si="99"/>
        <v>11.2378</v>
      </c>
      <c r="H641" s="200">
        <v>11.042899999999999</v>
      </c>
      <c r="I641" s="200">
        <f t="shared" si="100"/>
        <v>0.19490000000000052</v>
      </c>
      <c r="J641" s="200">
        <f t="shared" si="101"/>
        <v>9.6999999999994868E-3</v>
      </c>
      <c r="K641" s="277">
        <f t="shared" si="102"/>
        <v>4.7409579667641673</v>
      </c>
      <c r="L641" s="200">
        <v>26</v>
      </c>
      <c r="N641" s="200"/>
      <c r="O641" s="200"/>
      <c r="P641" s="200"/>
      <c r="AB641" s="110"/>
      <c r="AC641" s="110"/>
      <c r="AD641" s="110"/>
      <c r="AE641" s="110"/>
    </row>
    <row r="642" spans="1:31">
      <c r="A642" s="200" t="s">
        <v>709</v>
      </c>
      <c r="C642" s="200">
        <v>135</v>
      </c>
      <c r="D642" s="200">
        <f>1.1861+F642</f>
        <v>1.3946999999999998</v>
      </c>
      <c r="E642" s="201">
        <v>10.51</v>
      </c>
      <c r="F642" s="201">
        <v>0.20860000000000001</v>
      </c>
      <c r="G642" s="200">
        <f t="shared" si="99"/>
        <v>10.7186</v>
      </c>
      <c r="H642" s="200">
        <v>10.5381</v>
      </c>
      <c r="I642" s="200">
        <f t="shared" si="100"/>
        <v>0.18050000000000033</v>
      </c>
      <c r="J642" s="200">
        <f t="shared" si="101"/>
        <v>2.8099999999999681E-2</v>
      </c>
      <c r="K642" s="277">
        <f t="shared" si="102"/>
        <v>13.470757430488819</v>
      </c>
      <c r="L642" s="200">
        <v>25</v>
      </c>
      <c r="M642" s="204">
        <v>43174</v>
      </c>
      <c r="N642" s="204">
        <v>43174</v>
      </c>
      <c r="O642" s="200" t="s">
        <v>2540</v>
      </c>
      <c r="P642" s="200" t="s">
        <v>2535</v>
      </c>
      <c r="AB642" s="110"/>
      <c r="AC642" s="110"/>
      <c r="AD642" s="110"/>
      <c r="AE642" s="110"/>
    </row>
    <row r="643" spans="1:31">
      <c r="A643" s="205" t="s">
        <v>708</v>
      </c>
      <c r="C643" s="200">
        <v>130</v>
      </c>
      <c r="D643" s="201">
        <v>1.2664</v>
      </c>
      <c r="E643" s="201">
        <v>9.4850999999999992</v>
      </c>
      <c r="F643" s="201">
        <v>0.20419999999999999</v>
      </c>
      <c r="G643" s="200">
        <f t="shared" si="99"/>
        <v>9.6892999999999994</v>
      </c>
      <c r="H643" s="200">
        <v>9.4955999999999996</v>
      </c>
      <c r="I643" s="200">
        <f t="shared" si="100"/>
        <v>0.19369999999999976</v>
      </c>
      <c r="J643" s="200">
        <f t="shared" si="101"/>
        <v>1.0500000000000231E-2</v>
      </c>
      <c r="K643" s="277">
        <f t="shared" si="102"/>
        <v>5.1420176297748439</v>
      </c>
      <c r="L643" s="200">
        <v>33</v>
      </c>
      <c r="M643" s="202">
        <v>43181.645833333336</v>
      </c>
      <c r="N643" s="202">
        <v>43181.833333333336</v>
      </c>
      <c r="O643" s="200" t="s">
        <v>2540</v>
      </c>
      <c r="P643" s="200"/>
      <c r="AB643" s="110"/>
      <c r="AC643" s="110"/>
      <c r="AD643" s="110"/>
      <c r="AE643" s="110"/>
    </row>
    <row r="644" spans="1:31">
      <c r="A644" s="196" t="s">
        <v>707</v>
      </c>
      <c r="C644" s="197">
        <v>215</v>
      </c>
      <c r="D644" s="196">
        <v>1.3608</v>
      </c>
      <c r="E644" s="201">
        <v>11.003299999999999</v>
      </c>
      <c r="F644" s="201">
        <v>0.20480000000000001</v>
      </c>
      <c r="G644" s="200">
        <f t="shared" si="99"/>
        <v>11.2081</v>
      </c>
      <c r="H644" s="200">
        <v>11.0077</v>
      </c>
      <c r="I644" s="200">
        <f t="shared" si="100"/>
        <v>0.20040000000000013</v>
      </c>
      <c r="J644" s="200">
        <f t="shared" si="101"/>
        <v>4.3999999999998762E-3</v>
      </c>
      <c r="K644" s="277">
        <f t="shared" si="102"/>
        <v>2.1484374999999396</v>
      </c>
      <c r="L644" s="200">
        <v>20</v>
      </c>
      <c r="AB644" s="110"/>
      <c r="AC644" s="110"/>
      <c r="AD644" s="110"/>
      <c r="AE644" s="110"/>
    </row>
    <row r="645" spans="1:31">
      <c r="A645" s="196" t="s">
        <v>706</v>
      </c>
      <c r="C645" s="196">
        <v>57</v>
      </c>
      <c r="D645" s="196">
        <v>1.2402</v>
      </c>
      <c r="E645" s="200">
        <v>7.7739000000000003</v>
      </c>
      <c r="F645" s="201">
        <v>0.2036</v>
      </c>
      <c r="G645" s="200">
        <f t="shared" si="99"/>
        <v>7.9775</v>
      </c>
      <c r="H645" s="200">
        <v>7.7888999999999999</v>
      </c>
      <c r="I645" s="200">
        <f t="shared" si="100"/>
        <v>0.1886000000000001</v>
      </c>
      <c r="J645" s="200">
        <f t="shared" si="101"/>
        <v>1.4999999999999902E-2</v>
      </c>
      <c r="K645" s="277">
        <f t="shared" si="102"/>
        <v>7.3673870333987725</v>
      </c>
      <c r="L645" s="200">
        <v>23</v>
      </c>
      <c r="M645" s="203">
        <v>43212</v>
      </c>
      <c r="U645" s="113" t="s">
        <v>2572</v>
      </c>
      <c r="V645" s="196">
        <v>0.98780000000000001</v>
      </c>
      <c r="W645" s="196">
        <f>(V645-$T$175+F643)</f>
        <v>1.1919999999999999</v>
      </c>
      <c r="AB645" s="110"/>
      <c r="AC645" s="110"/>
      <c r="AD645" s="110"/>
      <c r="AE645" s="110"/>
    </row>
    <row r="646" spans="1:31">
      <c r="A646" s="196" t="s">
        <v>705</v>
      </c>
      <c r="C646" s="197">
        <v>28</v>
      </c>
      <c r="D646" s="196">
        <v>1.2867</v>
      </c>
      <c r="E646" s="201">
        <v>11.862</v>
      </c>
      <c r="F646" s="201">
        <v>0.20119999999999999</v>
      </c>
      <c r="G646" s="200">
        <f t="shared" si="99"/>
        <v>12.0632</v>
      </c>
      <c r="H646" s="200">
        <v>11.8704</v>
      </c>
      <c r="I646" s="200">
        <f t="shared" si="100"/>
        <v>0.19280000000000008</v>
      </c>
      <c r="J646" s="200">
        <f t="shared" si="101"/>
        <v>8.3999999999999075E-3</v>
      </c>
      <c r="K646" s="277">
        <f t="shared" si="102"/>
        <v>4.1749502982106899</v>
      </c>
      <c r="L646" s="200">
        <v>29</v>
      </c>
      <c r="AB646" s="110"/>
      <c r="AC646" s="110"/>
      <c r="AD646" s="110"/>
      <c r="AE646" s="110"/>
    </row>
    <row r="647" spans="1:31">
      <c r="A647" s="196" t="s">
        <v>704</v>
      </c>
      <c r="C647" s="196">
        <v>39</v>
      </c>
      <c r="D647" s="196">
        <v>1.2641</v>
      </c>
      <c r="E647" s="196">
        <v>9.1565999999999992</v>
      </c>
      <c r="F647" s="196">
        <v>0.20469999999999999</v>
      </c>
      <c r="G647" s="196">
        <f t="shared" si="99"/>
        <v>9.3613</v>
      </c>
      <c r="H647" s="196">
        <v>9.1640999999999995</v>
      </c>
      <c r="I647" s="196">
        <f t="shared" si="100"/>
        <v>0.19720000000000049</v>
      </c>
      <c r="J647" s="200">
        <f t="shared" si="101"/>
        <v>7.4999999999995071E-3</v>
      </c>
      <c r="K647" s="277">
        <f t="shared" si="102"/>
        <v>3.6638983878844686</v>
      </c>
      <c r="L647" s="196">
        <v>25</v>
      </c>
      <c r="M647" s="196" t="s">
        <v>2570</v>
      </c>
      <c r="N647" s="196" t="s">
        <v>2569</v>
      </c>
      <c r="O647" s="196" t="s">
        <v>2534</v>
      </c>
      <c r="AB647" s="110"/>
      <c r="AC647" s="110"/>
      <c r="AD647" s="110"/>
      <c r="AE647" s="110"/>
    </row>
    <row r="648" spans="1:31">
      <c r="A648" s="196" t="s">
        <v>703</v>
      </c>
      <c r="P648" s="196" t="s">
        <v>3914</v>
      </c>
      <c r="AB648" s="110"/>
      <c r="AC648" s="110"/>
      <c r="AD648" s="110"/>
      <c r="AE648" s="110"/>
    </row>
    <row r="649" spans="1:31">
      <c r="A649" s="196" t="s">
        <v>1097</v>
      </c>
      <c r="C649" s="196">
        <v>67</v>
      </c>
      <c r="D649" s="196">
        <v>1.3154999999999999</v>
      </c>
      <c r="E649" s="196">
        <v>11.055400000000001</v>
      </c>
      <c r="F649" s="196">
        <v>0.20250000000000001</v>
      </c>
      <c r="G649" s="196">
        <f>E649+F649</f>
        <v>11.257900000000001</v>
      </c>
      <c r="H649" s="196">
        <v>11.0619</v>
      </c>
      <c r="I649" s="196">
        <f>(G649-H649)</f>
        <v>0.19600000000000151</v>
      </c>
      <c r="J649" s="200">
        <f>F649-I649</f>
        <v>6.499999999998507E-3</v>
      </c>
      <c r="K649" s="277">
        <f>(J649/F649)*100</f>
        <v>3.2098765432091394</v>
      </c>
      <c r="L649" s="196">
        <v>1</v>
      </c>
      <c r="M649" s="196" t="s">
        <v>2564</v>
      </c>
      <c r="N649" s="196" t="s">
        <v>2563</v>
      </c>
      <c r="O649" s="196" t="s">
        <v>2540</v>
      </c>
      <c r="AB649" s="110"/>
      <c r="AC649" s="110"/>
      <c r="AD649" s="110"/>
      <c r="AE649" s="110"/>
    </row>
    <row r="650" spans="1:31">
      <c r="A650" s="196" t="s">
        <v>701</v>
      </c>
      <c r="C650" s="197">
        <v>153</v>
      </c>
      <c r="D650" s="196">
        <v>1.4160999999999999</v>
      </c>
      <c r="E650" s="201">
        <v>7.5282</v>
      </c>
      <c r="F650" s="201">
        <v>0.2014</v>
      </c>
      <c r="G650" s="200">
        <f>E650+F650</f>
        <v>7.7295999999999996</v>
      </c>
      <c r="H650" s="200">
        <v>7.5362999999999998</v>
      </c>
      <c r="I650" s="200">
        <f>(G650-H650)</f>
        <v>0.19329999999999981</v>
      </c>
      <c r="J650" s="200">
        <f>F650-I650</f>
        <v>8.1000000000001904E-3</v>
      </c>
      <c r="K650" s="277">
        <f>(J650/F650)*100</f>
        <v>4.0218470705065492</v>
      </c>
      <c r="L650" s="200">
        <v>15</v>
      </c>
      <c r="M650" s="203">
        <v>43221</v>
      </c>
      <c r="N650" s="203">
        <v>43221</v>
      </c>
      <c r="P650" s="196" t="s">
        <v>2550</v>
      </c>
      <c r="AB650" s="110"/>
      <c r="AC650" s="110"/>
      <c r="AD650" s="110"/>
      <c r="AE650" s="110"/>
    </row>
    <row r="651" spans="1:31">
      <c r="A651" s="196" t="s">
        <v>699</v>
      </c>
      <c r="C651" s="196">
        <v>218</v>
      </c>
      <c r="D651" s="196">
        <v>1.1541999999999999</v>
      </c>
      <c r="E651" s="200">
        <v>10.743499999999999</v>
      </c>
      <c r="F651" s="201">
        <v>0.2031</v>
      </c>
      <c r="G651" s="200">
        <f>E651+F651</f>
        <v>10.946599999999998</v>
      </c>
      <c r="H651" s="200">
        <v>10.757199999999999</v>
      </c>
      <c r="I651" s="200">
        <f>(G651-H651)</f>
        <v>0.18939999999999912</v>
      </c>
      <c r="J651" s="200">
        <f>F651-I651</f>
        <v>1.3700000000000878E-2</v>
      </c>
      <c r="K651" s="277">
        <f>(J651/F651)*100</f>
        <v>6.7454455933042237</v>
      </c>
      <c r="L651" s="200">
        <v>15</v>
      </c>
      <c r="M651" s="203">
        <v>43212</v>
      </c>
      <c r="AB651" s="110"/>
      <c r="AC651" s="110"/>
      <c r="AD651" s="110"/>
      <c r="AE651" s="110"/>
    </row>
    <row r="652" spans="1:31">
      <c r="A652" s="196" t="s">
        <v>697</v>
      </c>
      <c r="C652" s="197">
        <v>182</v>
      </c>
      <c r="D652" s="196">
        <v>1.5347999999999999</v>
      </c>
      <c r="E652" s="200">
        <v>9.0031999999999996</v>
      </c>
      <c r="F652" s="201">
        <v>0.20280000000000001</v>
      </c>
      <c r="G652" s="200">
        <f>E652+F652</f>
        <v>9.2059999999999995</v>
      </c>
      <c r="H652" s="200">
        <v>9.0077999999999996</v>
      </c>
      <c r="I652" s="200">
        <f>(G652-H652)</f>
        <v>0.19819999999999993</v>
      </c>
      <c r="J652" s="200">
        <f>F652-I652</f>
        <v>4.6000000000000763E-3</v>
      </c>
      <c r="K652" s="277">
        <f>(J652/F652)*100</f>
        <v>2.2682445759369214</v>
      </c>
      <c r="L652" s="200">
        <v>11</v>
      </c>
      <c r="M652" s="203">
        <v>43212</v>
      </c>
      <c r="AB652" s="110"/>
      <c r="AC652" s="110"/>
      <c r="AD652" s="110"/>
      <c r="AE652" s="110"/>
    </row>
    <row r="653" spans="1:31">
      <c r="A653" s="196" t="s">
        <v>696</v>
      </c>
      <c r="P653" s="196" t="s">
        <v>3914</v>
      </c>
    </row>
    <row r="654" spans="1:31">
      <c r="A654" s="196" t="s">
        <v>695</v>
      </c>
      <c r="C654" s="196">
        <v>11</v>
      </c>
      <c r="D654" s="196">
        <v>1.1929000000000001</v>
      </c>
      <c r="E654" s="201">
        <v>7.5284000000000004</v>
      </c>
      <c r="F654" s="201">
        <v>0.20280000000000001</v>
      </c>
      <c r="G654" s="200">
        <f t="shared" ref="G654:G661" si="103">E654+F654</f>
        <v>7.7312000000000003</v>
      </c>
      <c r="H654" s="200">
        <v>7.5388999999999999</v>
      </c>
      <c r="I654" s="200">
        <f t="shared" ref="I654:I661" si="104">(G654-H654)</f>
        <v>0.19230000000000036</v>
      </c>
      <c r="J654" s="200">
        <f t="shared" ref="J654:J661" si="105">F654-I654</f>
        <v>1.0499999999999649E-2</v>
      </c>
      <c r="K654" s="277">
        <f t="shared" ref="K654:K661" si="106">(J654/F654)*100</f>
        <v>5.1775147928992347</v>
      </c>
      <c r="L654" s="200">
        <v>7</v>
      </c>
      <c r="AB654" s="110"/>
      <c r="AC654" s="110"/>
      <c r="AD654" s="110"/>
      <c r="AE654" s="110"/>
    </row>
    <row r="655" spans="1:31">
      <c r="A655" s="200" t="s">
        <v>694</v>
      </c>
      <c r="C655" s="200">
        <v>151</v>
      </c>
      <c r="D655" s="196">
        <v>1.4498</v>
      </c>
      <c r="E655" s="196">
        <v>11.8634</v>
      </c>
      <c r="F655" s="196">
        <v>0.20419999999999999</v>
      </c>
      <c r="G655" s="196">
        <f t="shared" si="103"/>
        <v>12.067600000000001</v>
      </c>
      <c r="H655" s="196">
        <v>11.8766</v>
      </c>
      <c r="I655" s="196">
        <f t="shared" si="104"/>
        <v>0.19100000000000072</v>
      </c>
      <c r="J655" s="200">
        <f t="shared" si="105"/>
        <v>1.3199999999999268E-2</v>
      </c>
      <c r="K655" s="277">
        <f t="shared" si="106"/>
        <v>6.4642507345735885</v>
      </c>
      <c r="L655" s="196">
        <v>11</v>
      </c>
      <c r="M655" s="206">
        <v>43160.520833333336</v>
      </c>
      <c r="N655" s="206">
        <v>43160.6875</v>
      </c>
      <c r="O655" s="196" t="s">
        <v>2534</v>
      </c>
      <c r="AB655" s="110"/>
      <c r="AC655" s="110"/>
      <c r="AD655" s="110"/>
      <c r="AE655" s="110"/>
    </row>
    <row r="656" spans="1:31">
      <c r="A656" s="196" t="s">
        <v>693</v>
      </c>
      <c r="C656" s="196">
        <v>62</v>
      </c>
      <c r="D656" s="196">
        <v>1.2890999999999999</v>
      </c>
      <c r="E656" s="196">
        <v>9.0016999999999996</v>
      </c>
      <c r="F656" s="196">
        <v>0.2016</v>
      </c>
      <c r="G656" s="196">
        <f t="shared" si="103"/>
        <v>9.2032999999999987</v>
      </c>
      <c r="H656" s="196">
        <v>9.0152999999999999</v>
      </c>
      <c r="I656" s="196">
        <f t="shared" si="104"/>
        <v>0.18799999999999883</v>
      </c>
      <c r="J656" s="200">
        <f t="shared" si="105"/>
        <v>1.3600000000001167E-2</v>
      </c>
      <c r="K656" s="277">
        <f t="shared" si="106"/>
        <v>6.7460317460323242</v>
      </c>
      <c r="L656" s="196">
        <v>43</v>
      </c>
      <c r="M656" s="196" t="s">
        <v>2570</v>
      </c>
      <c r="N656" s="196" t="s">
        <v>2569</v>
      </c>
      <c r="O656" s="196" t="s">
        <v>2534</v>
      </c>
      <c r="AB656" s="110"/>
      <c r="AC656" s="110"/>
      <c r="AD656" s="110"/>
      <c r="AE656" s="110"/>
    </row>
    <row r="657" spans="1:31">
      <c r="A657" s="205" t="s">
        <v>692</v>
      </c>
      <c r="C657" s="200">
        <v>208</v>
      </c>
      <c r="D657" s="200">
        <v>1.3623000000000001</v>
      </c>
      <c r="E657" s="200">
        <v>8.9587000000000003</v>
      </c>
      <c r="F657" s="200">
        <v>0.20549999999999999</v>
      </c>
      <c r="G657" s="200">
        <f t="shared" si="103"/>
        <v>9.164200000000001</v>
      </c>
      <c r="H657" s="200">
        <v>8.9741999999999997</v>
      </c>
      <c r="I657" s="200">
        <f t="shared" si="104"/>
        <v>0.19000000000000128</v>
      </c>
      <c r="J657" s="200">
        <f t="shared" si="105"/>
        <v>1.5499999999998709E-2</v>
      </c>
      <c r="K657" s="277">
        <f t="shared" si="106"/>
        <v>7.5425790754251629</v>
      </c>
      <c r="L657" s="200">
        <v>5</v>
      </c>
      <c r="M657" s="202">
        <v>43171.520833333336</v>
      </c>
      <c r="N657" s="202">
        <v>43171.6875</v>
      </c>
      <c r="O657" s="196" t="s">
        <v>2534</v>
      </c>
      <c r="P657" s="200"/>
      <c r="AB657" s="110"/>
      <c r="AC657" s="110"/>
      <c r="AD657" s="110"/>
      <c r="AE657" s="110"/>
    </row>
    <row r="658" spans="1:31">
      <c r="A658" s="196" t="s">
        <v>1096</v>
      </c>
      <c r="C658" s="197">
        <v>22</v>
      </c>
      <c r="D658" s="196">
        <v>1.2706999999999999</v>
      </c>
      <c r="E658" s="201">
        <v>9.0211000000000006</v>
      </c>
      <c r="F658" s="201">
        <v>0.20119999999999999</v>
      </c>
      <c r="G658" s="200">
        <f t="shared" si="103"/>
        <v>9.2223000000000006</v>
      </c>
      <c r="H658" s="200">
        <v>9.0279000000000007</v>
      </c>
      <c r="I658" s="200">
        <f t="shared" si="104"/>
        <v>0.19439999999999991</v>
      </c>
      <c r="J658" s="200">
        <f t="shared" si="105"/>
        <v>6.8000000000000838E-3</v>
      </c>
      <c r="K658" s="277">
        <f t="shared" si="106"/>
        <v>3.3797216699801611</v>
      </c>
      <c r="L658" s="200">
        <v>21</v>
      </c>
      <c r="M658" s="203">
        <v>43221</v>
      </c>
      <c r="N658" s="203">
        <v>43221</v>
      </c>
      <c r="AB658" s="110"/>
      <c r="AC658" s="110"/>
      <c r="AD658" s="110"/>
      <c r="AE658" s="110"/>
    </row>
    <row r="659" spans="1:31">
      <c r="A659" s="196" t="s">
        <v>691</v>
      </c>
      <c r="C659" s="197">
        <v>13</v>
      </c>
      <c r="D659" s="196">
        <v>0.71840000000000004</v>
      </c>
      <c r="E659" s="196">
        <v>7.1901999999999999</v>
      </c>
      <c r="F659" s="201">
        <v>0.2009</v>
      </c>
      <c r="G659" s="200">
        <f t="shared" si="103"/>
        <v>7.3910999999999998</v>
      </c>
      <c r="H659" s="200">
        <v>7.2729999999999997</v>
      </c>
      <c r="I659" s="200">
        <f t="shared" si="104"/>
        <v>0.11810000000000009</v>
      </c>
      <c r="J659" s="200">
        <f t="shared" si="105"/>
        <v>8.2799999999999901E-2</v>
      </c>
      <c r="K659" s="277">
        <f t="shared" si="106"/>
        <v>41.214534594325485</v>
      </c>
      <c r="L659" s="200">
        <v>16</v>
      </c>
      <c r="AB659" s="110"/>
      <c r="AC659" s="110"/>
      <c r="AD659" s="110"/>
      <c r="AE659" s="110"/>
    </row>
    <row r="660" spans="1:31">
      <c r="A660" s="200" t="s">
        <v>690</v>
      </c>
      <c r="C660" s="200">
        <v>171</v>
      </c>
      <c r="D660" s="200">
        <v>1.3996</v>
      </c>
      <c r="E660" s="200">
        <v>7.5286</v>
      </c>
      <c r="F660" s="200">
        <v>0.20319999999999999</v>
      </c>
      <c r="G660" s="200">
        <f t="shared" si="103"/>
        <v>7.7317999999999998</v>
      </c>
      <c r="H660" s="200">
        <v>7.5320999999999998</v>
      </c>
      <c r="I660" s="200">
        <f t="shared" si="104"/>
        <v>0.19969999999999999</v>
      </c>
      <c r="J660" s="200">
        <f t="shared" si="105"/>
        <v>3.5000000000000031E-3</v>
      </c>
      <c r="K660" s="277">
        <f t="shared" si="106"/>
        <v>1.7224409448818911</v>
      </c>
      <c r="L660" s="200">
        <v>8</v>
      </c>
      <c r="M660" s="204">
        <v>43174</v>
      </c>
      <c r="N660" s="204">
        <v>43174</v>
      </c>
      <c r="O660" s="200" t="s">
        <v>2540</v>
      </c>
      <c r="P660" s="200" t="s">
        <v>2535</v>
      </c>
      <c r="AB660" s="110"/>
      <c r="AC660" s="110"/>
      <c r="AD660" s="110"/>
      <c r="AE660" s="110"/>
    </row>
    <row r="661" spans="1:31">
      <c r="A661" s="200" t="s">
        <v>689</v>
      </c>
      <c r="C661" s="196">
        <v>33</v>
      </c>
      <c r="D661" s="200">
        <v>1.3465</v>
      </c>
      <c r="E661" s="201">
        <v>10.415800000000001</v>
      </c>
      <c r="F661" s="201">
        <v>0.20080000000000001</v>
      </c>
      <c r="G661" s="200">
        <f t="shared" si="103"/>
        <v>10.6166</v>
      </c>
      <c r="H661" s="200">
        <v>10.424899999999999</v>
      </c>
      <c r="I661" s="200">
        <f t="shared" si="104"/>
        <v>0.19170000000000087</v>
      </c>
      <c r="J661" s="200">
        <f t="shared" si="105"/>
        <v>9.0999999999991366E-3</v>
      </c>
      <c r="K661" s="277">
        <f t="shared" si="106"/>
        <v>4.5318725099597295</v>
      </c>
      <c r="L661" s="200">
        <v>17</v>
      </c>
      <c r="M661" s="206">
        <v>43186.458333333336</v>
      </c>
      <c r="N661" s="206">
        <v>43186.625</v>
      </c>
      <c r="O661" s="196" t="s">
        <v>2534</v>
      </c>
      <c r="P661" s="200" t="s">
        <v>2581</v>
      </c>
      <c r="AB661" s="110"/>
      <c r="AC661" s="110"/>
      <c r="AD661" s="110"/>
      <c r="AE661" s="110"/>
    </row>
    <row r="662" spans="1:31">
      <c r="A662" s="196" t="s">
        <v>688</v>
      </c>
      <c r="P662" s="196" t="s">
        <v>3914</v>
      </c>
      <c r="AB662" s="110"/>
      <c r="AC662" s="110"/>
      <c r="AD662" s="110"/>
      <c r="AE662" s="110"/>
    </row>
    <row r="663" spans="1:31">
      <c r="A663" s="196" t="s">
        <v>687</v>
      </c>
      <c r="P663" s="196" t="s">
        <v>3914</v>
      </c>
      <c r="AB663" s="110"/>
      <c r="AC663" s="110"/>
      <c r="AD663" s="110"/>
      <c r="AE663" s="110"/>
    </row>
    <row r="664" spans="1:31">
      <c r="A664" s="200" t="s">
        <v>685</v>
      </c>
      <c r="C664" s="200">
        <v>143</v>
      </c>
      <c r="D664" s="200">
        <v>1.3918999999999999</v>
      </c>
      <c r="E664" s="200">
        <v>7.8449999999999998</v>
      </c>
      <c r="F664" s="200">
        <v>0.2056</v>
      </c>
      <c r="G664" s="200">
        <f>E664+F664</f>
        <v>8.0505999999999993</v>
      </c>
      <c r="H664" s="200">
        <v>7.8487</v>
      </c>
      <c r="I664" s="200">
        <f>(G664-H664)</f>
        <v>0.2018999999999993</v>
      </c>
      <c r="J664" s="200">
        <f>F664-I664</f>
        <v>3.7000000000007027E-3</v>
      </c>
      <c r="K664" s="277">
        <f>(J664/F664)*100</f>
        <v>1.7996108949419758</v>
      </c>
      <c r="L664" s="200">
        <v>10</v>
      </c>
      <c r="M664" s="202">
        <v>43171.520833333336</v>
      </c>
      <c r="N664" s="202">
        <v>43171.6875</v>
      </c>
      <c r="O664" s="196" t="s">
        <v>2534</v>
      </c>
      <c r="P664" s="200"/>
      <c r="AB664" s="110"/>
      <c r="AC664" s="110"/>
      <c r="AD664" s="110"/>
      <c r="AE664" s="110"/>
    </row>
    <row r="665" spans="1:31">
      <c r="A665" s="205" t="s">
        <v>684</v>
      </c>
      <c r="C665" s="200">
        <v>216</v>
      </c>
      <c r="D665" s="200">
        <v>1.3617999999999999</v>
      </c>
      <c r="E665" s="200">
        <v>9.5545000000000009</v>
      </c>
      <c r="F665" s="201">
        <v>0.2094</v>
      </c>
      <c r="G665" s="200">
        <f>E665+F665</f>
        <v>9.7639000000000014</v>
      </c>
      <c r="H665" s="200">
        <v>9.5614000000000008</v>
      </c>
      <c r="I665" s="200">
        <f>(G665-H665)</f>
        <v>0.20250000000000057</v>
      </c>
      <c r="J665" s="200">
        <f>F665-I665</f>
        <v>6.8999999999994344E-3</v>
      </c>
      <c r="K665" s="277">
        <f>(J665/F665)*100</f>
        <v>3.2951289398278099</v>
      </c>
      <c r="L665" s="200">
        <v>22</v>
      </c>
      <c r="M665" s="204">
        <v>43211</v>
      </c>
      <c r="P665" s="196" t="s">
        <v>2538</v>
      </c>
      <c r="AB665" s="110"/>
      <c r="AC665" s="110"/>
      <c r="AD665" s="110"/>
      <c r="AE665" s="110"/>
    </row>
    <row r="666" spans="1:31">
      <c r="A666" s="201" t="s">
        <v>683</v>
      </c>
      <c r="C666" s="200">
        <v>175</v>
      </c>
      <c r="D666" s="200">
        <v>0.44899999999999984</v>
      </c>
      <c r="E666" s="200">
        <v>7.3536999999999999</v>
      </c>
      <c r="F666" s="200">
        <v>0.19980000000000001</v>
      </c>
      <c r="G666" s="200">
        <f>E666+F666</f>
        <v>7.5534999999999997</v>
      </c>
      <c r="H666" s="200">
        <v>7.4848999999999997</v>
      </c>
      <c r="I666" s="200">
        <f>(G666-H666)</f>
        <v>6.8599999999999994E-2</v>
      </c>
      <c r="J666" s="200">
        <f>F666-I666</f>
        <v>0.13120000000000001</v>
      </c>
      <c r="K666" s="277">
        <f>(J666/F666)*100</f>
        <v>65.665665665665671</v>
      </c>
      <c r="L666" s="200">
        <v>4</v>
      </c>
      <c r="M666" s="204">
        <v>43173</v>
      </c>
      <c r="N666" s="204">
        <v>43173</v>
      </c>
      <c r="O666" s="200" t="s">
        <v>2540</v>
      </c>
      <c r="P666" s="200" t="s">
        <v>2539</v>
      </c>
      <c r="AB666" s="110"/>
      <c r="AC666" s="110"/>
      <c r="AD666" s="110"/>
      <c r="AE666" s="110"/>
    </row>
    <row r="667" spans="1:31">
      <c r="A667" s="205" t="s">
        <v>682</v>
      </c>
      <c r="C667" s="200">
        <v>116</v>
      </c>
      <c r="D667" s="201">
        <v>0.47</v>
      </c>
      <c r="E667" s="201">
        <v>8.7736999999999998</v>
      </c>
      <c r="F667" s="201">
        <v>0.2011</v>
      </c>
      <c r="G667" s="200">
        <f>E667+F667</f>
        <v>8.9748000000000001</v>
      </c>
      <c r="H667" s="200">
        <v>8.9442000000000004</v>
      </c>
      <c r="I667" s="200">
        <f>(G667-H667)</f>
        <v>3.0599999999999739E-2</v>
      </c>
      <c r="J667" s="200">
        <f>F667-I667</f>
        <v>0.17050000000000026</v>
      </c>
      <c r="K667" s="277">
        <f>(J667/F667)*100</f>
        <v>84.783689706613757</v>
      </c>
      <c r="L667" s="200">
        <v>14</v>
      </c>
      <c r="M667" s="202">
        <v>43181.645833333336</v>
      </c>
      <c r="N667" s="202">
        <v>43181.833333333336</v>
      </c>
      <c r="O667" s="200" t="s">
        <v>2540</v>
      </c>
      <c r="P667" s="200" t="s">
        <v>2557</v>
      </c>
      <c r="AB667" s="110"/>
      <c r="AC667" s="110"/>
      <c r="AD667" s="110"/>
      <c r="AE667" s="110"/>
    </row>
    <row r="668" spans="1:31">
      <c r="A668" s="196" t="s">
        <v>1095</v>
      </c>
      <c r="P668" s="196" t="s">
        <v>3914</v>
      </c>
    </row>
    <row r="669" spans="1:31">
      <c r="A669" s="196" t="s">
        <v>681</v>
      </c>
      <c r="P669" s="196" t="s">
        <v>3914</v>
      </c>
      <c r="AB669" s="110"/>
      <c r="AC669" s="110"/>
      <c r="AD669" s="110"/>
      <c r="AE669" s="110"/>
    </row>
    <row r="670" spans="1:31">
      <c r="A670" s="205" t="s">
        <v>680</v>
      </c>
      <c r="C670" s="200">
        <v>160</v>
      </c>
      <c r="D670" s="200">
        <v>1.5044999999999999</v>
      </c>
      <c r="E670" s="200">
        <v>7.3540000000000001</v>
      </c>
      <c r="F670" s="201">
        <v>0.2009</v>
      </c>
      <c r="G670" s="200">
        <f t="shared" ref="G670:G680" si="107">E670+F670</f>
        <v>7.5548999999999999</v>
      </c>
      <c r="H670" s="200">
        <v>7.3624000000000001</v>
      </c>
      <c r="I670" s="200">
        <f t="shared" ref="I670:I680" si="108">(G670-H670)</f>
        <v>0.19249999999999989</v>
      </c>
      <c r="J670" s="200">
        <f t="shared" ref="J670:J680" si="109">F670-I670</f>
        <v>8.4000000000001018E-3</v>
      </c>
      <c r="K670" s="277">
        <f t="shared" ref="K670:K680" si="110">(J670/F670)*100</f>
        <v>4.181184668989598</v>
      </c>
      <c r="L670" s="200">
        <v>15</v>
      </c>
      <c r="M670" s="204">
        <v>43211</v>
      </c>
      <c r="AB670" s="110"/>
      <c r="AC670" s="110"/>
      <c r="AD670" s="110"/>
      <c r="AE670" s="110"/>
    </row>
    <row r="671" spans="1:31">
      <c r="A671" s="196" t="s">
        <v>679</v>
      </c>
      <c r="C671" s="197">
        <v>110</v>
      </c>
      <c r="D671" s="196">
        <v>1.347</v>
      </c>
      <c r="E671" s="201">
        <v>7.4805999999999999</v>
      </c>
      <c r="F671" s="201">
        <v>0.2064</v>
      </c>
      <c r="G671" s="200">
        <f t="shared" si="107"/>
        <v>7.6870000000000003</v>
      </c>
      <c r="H671" s="200">
        <v>7.4957000000000003</v>
      </c>
      <c r="I671" s="200">
        <f t="shared" si="108"/>
        <v>0.19130000000000003</v>
      </c>
      <c r="J671" s="200">
        <f t="shared" si="109"/>
        <v>1.5099999999999975E-2</v>
      </c>
      <c r="K671" s="277">
        <f t="shared" si="110"/>
        <v>7.3158914728682047</v>
      </c>
      <c r="L671" s="200">
        <v>32</v>
      </c>
      <c r="AB671" s="110"/>
      <c r="AC671" s="110"/>
      <c r="AD671" s="110"/>
      <c r="AE671" s="110"/>
    </row>
    <row r="672" spans="1:31">
      <c r="A672" s="200" t="s">
        <v>678</v>
      </c>
      <c r="C672" s="200">
        <v>198</v>
      </c>
      <c r="D672" s="200">
        <v>1.319</v>
      </c>
      <c r="E672" s="200">
        <v>7.8014000000000001</v>
      </c>
      <c r="F672" s="200">
        <v>0.20369999999999999</v>
      </c>
      <c r="G672" s="200">
        <f t="shared" si="107"/>
        <v>8.0051000000000005</v>
      </c>
      <c r="H672" s="200">
        <v>7.8170999999999999</v>
      </c>
      <c r="I672" s="200">
        <f t="shared" si="108"/>
        <v>0.18800000000000061</v>
      </c>
      <c r="J672" s="200">
        <f t="shared" si="109"/>
        <v>1.5699999999999381E-2</v>
      </c>
      <c r="K672" s="277">
        <f t="shared" si="110"/>
        <v>7.7074128620517337</v>
      </c>
      <c r="L672" s="200">
        <v>22</v>
      </c>
      <c r="M672" s="202">
        <v>43164.628472222219</v>
      </c>
      <c r="N672" s="202">
        <v>43164.795138888891</v>
      </c>
      <c r="O672" s="196" t="s">
        <v>2534</v>
      </c>
      <c r="P672" s="200"/>
      <c r="AB672" s="110"/>
      <c r="AC672" s="110"/>
      <c r="AD672" s="110"/>
      <c r="AE672" s="110"/>
    </row>
    <row r="673" spans="1:31">
      <c r="A673" s="205" t="s">
        <v>677</v>
      </c>
      <c r="C673" s="200">
        <v>156</v>
      </c>
      <c r="D673" s="200">
        <v>1.5392999999999999</v>
      </c>
      <c r="E673" s="200">
        <v>19.650400000000001</v>
      </c>
      <c r="F673" s="200">
        <v>0.2051</v>
      </c>
      <c r="G673" s="200">
        <f t="shared" si="107"/>
        <v>19.855500000000003</v>
      </c>
      <c r="H673" s="200">
        <v>19.668600000000001</v>
      </c>
      <c r="I673" s="200">
        <f t="shared" si="108"/>
        <v>0.1869000000000014</v>
      </c>
      <c r="J673" s="200">
        <f t="shared" si="109"/>
        <v>1.8199999999998606E-2</v>
      </c>
      <c r="K673" s="277">
        <f t="shared" si="110"/>
        <v>8.8737201365180916</v>
      </c>
      <c r="L673" s="200">
        <v>13</v>
      </c>
      <c r="M673" s="202">
        <v>43171.520833333336</v>
      </c>
      <c r="N673" s="202">
        <v>43171.6875</v>
      </c>
      <c r="O673" s="196" t="s">
        <v>2534</v>
      </c>
      <c r="P673" s="200"/>
      <c r="AB673" s="110"/>
      <c r="AC673" s="110"/>
      <c r="AD673" s="110"/>
      <c r="AE673" s="110"/>
    </row>
    <row r="674" spans="1:31">
      <c r="A674" s="196" t="s">
        <v>676</v>
      </c>
      <c r="C674" s="196">
        <v>141</v>
      </c>
      <c r="D674" s="196">
        <v>1.4510000000000001</v>
      </c>
      <c r="E674" s="196">
        <v>11.263299999999999</v>
      </c>
      <c r="F674" s="196">
        <v>0.20349999999999999</v>
      </c>
      <c r="G674" s="196">
        <f t="shared" si="107"/>
        <v>11.466799999999999</v>
      </c>
      <c r="H674" s="196">
        <v>11.267899999999999</v>
      </c>
      <c r="I674" s="196">
        <f t="shared" si="108"/>
        <v>0.19890000000000008</v>
      </c>
      <c r="J674" s="200">
        <f t="shared" si="109"/>
        <v>4.5999999999999097E-3</v>
      </c>
      <c r="K674" s="277">
        <f t="shared" si="110"/>
        <v>2.2604422604422161</v>
      </c>
      <c r="L674" s="196">
        <v>9</v>
      </c>
      <c r="M674" s="196">
        <v>43157.527777777781</v>
      </c>
      <c r="N674" s="196">
        <v>43157.694444444445</v>
      </c>
      <c r="O674" s="196" t="s">
        <v>2540</v>
      </c>
      <c r="AB674" s="110"/>
      <c r="AC674" s="110"/>
      <c r="AD674" s="110"/>
      <c r="AE674" s="110"/>
    </row>
    <row r="675" spans="1:31">
      <c r="A675" s="200" t="s">
        <v>675</v>
      </c>
      <c r="C675" s="200">
        <v>123</v>
      </c>
      <c r="D675" s="200">
        <v>1.3335999999999999</v>
      </c>
      <c r="E675" s="201">
        <v>11.054</v>
      </c>
      <c r="F675" s="201">
        <v>0.20019999999999999</v>
      </c>
      <c r="G675" s="200">
        <f t="shared" si="107"/>
        <v>11.254200000000001</v>
      </c>
      <c r="H675" s="200">
        <v>11.0619</v>
      </c>
      <c r="I675" s="200">
        <f t="shared" si="108"/>
        <v>0.19230000000000125</v>
      </c>
      <c r="J675" s="200">
        <f t="shared" si="109"/>
        <v>7.8999999999987414E-3</v>
      </c>
      <c r="K675" s="277">
        <f t="shared" si="110"/>
        <v>3.9460539460533175</v>
      </c>
      <c r="L675" s="200">
        <v>13</v>
      </c>
      <c r="M675" s="204">
        <v>43199</v>
      </c>
      <c r="N675" s="204">
        <v>43199</v>
      </c>
      <c r="O675" s="200"/>
      <c r="P675" s="200"/>
      <c r="AB675" s="110"/>
      <c r="AC675" s="110"/>
      <c r="AD675" s="110"/>
      <c r="AE675" s="110"/>
    </row>
    <row r="676" spans="1:31">
      <c r="A676" s="205" t="s">
        <v>674</v>
      </c>
      <c r="C676" s="200">
        <v>134</v>
      </c>
      <c r="D676" s="200">
        <v>1.3554999999999999</v>
      </c>
      <c r="E676" s="201">
        <v>9.3423999999999996</v>
      </c>
      <c r="F676" s="201">
        <v>0.20219999999999999</v>
      </c>
      <c r="G676" s="200">
        <f t="shared" si="107"/>
        <v>9.5445999999999991</v>
      </c>
      <c r="H676" s="200">
        <v>9.3493999999999993</v>
      </c>
      <c r="I676" s="200">
        <f t="shared" si="108"/>
        <v>0.19519999999999982</v>
      </c>
      <c r="J676" s="200">
        <f t="shared" si="109"/>
        <v>7.0000000000001728E-3</v>
      </c>
      <c r="K676" s="277">
        <f t="shared" si="110"/>
        <v>3.4619188921860404</v>
      </c>
      <c r="L676" s="200">
        <v>9</v>
      </c>
      <c r="M676" s="204">
        <v>43197</v>
      </c>
      <c r="N676" s="204">
        <v>43197</v>
      </c>
      <c r="O676" s="200"/>
      <c r="P676" s="200"/>
      <c r="AB676" s="110"/>
      <c r="AC676" s="110"/>
      <c r="AD676" s="110"/>
      <c r="AE676" s="110"/>
    </row>
    <row r="677" spans="1:31">
      <c r="A677" s="200" t="s">
        <v>673</v>
      </c>
      <c r="C677" s="200">
        <v>146</v>
      </c>
      <c r="D677" s="196">
        <v>1.4504999999999999</v>
      </c>
      <c r="E677" s="200">
        <v>8.8605999999999998</v>
      </c>
      <c r="F677" s="201">
        <v>0.19750000000000001</v>
      </c>
      <c r="G677" s="200">
        <f t="shared" si="107"/>
        <v>9.0580999999999996</v>
      </c>
      <c r="H677" s="200">
        <v>8.8713999999999995</v>
      </c>
      <c r="I677" s="200">
        <f t="shared" si="108"/>
        <v>0.18670000000000009</v>
      </c>
      <c r="J677" s="200">
        <f t="shared" si="109"/>
        <v>1.0799999999999921E-2</v>
      </c>
      <c r="K677" s="277">
        <f t="shared" si="110"/>
        <v>5.4683544303797067</v>
      </c>
      <c r="L677" s="200">
        <v>1</v>
      </c>
      <c r="M677" s="204">
        <v>43211</v>
      </c>
      <c r="N677" s="200"/>
      <c r="O677" s="200"/>
      <c r="P677" s="200"/>
      <c r="AB677" s="110"/>
      <c r="AC677" s="110"/>
      <c r="AD677" s="110"/>
      <c r="AE677" s="110"/>
    </row>
    <row r="678" spans="1:31">
      <c r="A678" s="196" t="s">
        <v>672</v>
      </c>
      <c r="C678" s="196">
        <v>45</v>
      </c>
      <c r="D678" s="196">
        <v>1.3515999999999999</v>
      </c>
      <c r="E678" s="196">
        <v>8.7325999999999997</v>
      </c>
      <c r="F678" s="196">
        <v>0.20710000000000001</v>
      </c>
      <c r="G678" s="196">
        <f t="shared" si="107"/>
        <v>8.9397000000000002</v>
      </c>
      <c r="H678" s="196">
        <v>8.7399000000000004</v>
      </c>
      <c r="I678" s="196">
        <f t="shared" si="108"/>
        <v>0.19979999999999976</v>
      </c>
      <c r="J678" s="200">
        <f t="shared" si="109"/>
        <v>7.3000000000002507E-3</v>
      </c>
      <c r="K678" s="277">
        <f t="shared" si="110"/>
        <v>3.5248672139064463</v>
      </c>
      <c r="L678" s="196">
        <v>16</v>
      </c>
      <c r="M678" s="196" t="s">
        <v>2570</v>
      </c>
      <c r="N678" s="196" t="s">
        <v>2569</v>
      </c>
      <c r="O678" s="196" t="s">
        <v>2534</v>
      </c>
      <c r="AB678" s="110"/>
      <c r="AC678" s="110"/>
      <c r="AD678" s="110"/>
      <c r="AE678" s="110"/>
    </row>
    <row r="679" spans="1:31">
      <c r="A679" s="200" t="s">
        <v>671</v>
      </c>
      <c r="C679" s="200">
        <v>177</v>
      </c>
      <c r="D679" s="200">
        <v>1.419</v>
      </c>
      <c r="E679" s="200">
        <v>11.8626</v>
      </c>
      <c r="F679" s="201">
        <v>0.20669999999999999</v>
      </c>
      <c r="G679" s="200">
        <f t="shared" si="107"/>
        <v>12.0693</v>
      </c>
      <c r="H679" s="200">
        <v>11.8675</v>
      </c>
      <c r="I679" s="200">
        <f t="shared" si="108"/>
        <v>0.20180000000000042</v>
      </c>
      <c r="J679" s="200">
        <f t="shared" si="109"/>
        <v>4.8999999999995714E-3</v>
      </c>
      <c r="K679" s="277">
        <f t="shared" si="110"/>
        <v>2.3705853894531068</v>
      </c>
      <c r="L679" s="200">
        <v>36</v>
      </c>
      <c r="M679" s="204">
        <v>43187</v>
      </c>
      <c r="N679" s="204">
        <v>43187</v>
      </c>
      <c r="O679" s="200"/>
      <c r="P679" s="200"/>
      <c r="AB679" s="110"/>
      <c r="AC679" s="110"/>
      <c r="AD679" s="110"/>
      <c r="AE679" s="110"/>
    </row>
    <row r="680" spans="1:31">
      <c r="A680" s="205" t="s">
        <v>670</v>
      </c>
      <c r="C680" s="200">
        <v>124</v>
      </c>
      <c r="D680" s="200">
        <v>1.2547999999999999</v>
      </c>
      <c r="E680" s="201">
        <v>9.9168000000000003</v>
      </c>
      <c r="F680" s="201">
        <v>0.20200000000000001</v>
      </c>
      <c r="G680" s="200">
        <f t="shared" si="107"/>
        <v>10.1188</v>
      </c>
      <c r="H680" s="200">
        <v>9.9244000000000003</v>
      </c>
      <c r="I680" s="200">
        <f t="shared" si="108"/>
        <v>0.19439999999999991</v>
      </c>
      <c r="J680" s="200">
        <f t="shared" si="109"/>
        <v>7.6000000000001067E-3</v>
      </c>
      <c r="K680" s="277">
        <f t="shared" si="110"/>
        <v>3.762376237623815</v>
      </c>
      <c r="L680" s="200">
        <v>6</v>
      </c>
      <c r="M680" s="206">
        <v>43185.385416666664</v>
      </c>
      <c r="N680" s="200"/>
      <c r="O680" s="200" t="s">
        <v>2540</v>
      </c>
      <c r="P680" s="200"/>
      <c r="AB680" s="110"/>
      <c r="AC680" s="110"/>
      <c r="AD680" s="110"/>
      <c r="AE680" s="110"/>
    </row>
    <row r="681" spans="1:31">
      <c r="A681" s="196" t="s">
        <v>669</v>
      </c>
      <c r="P681" s="196" t="s">
        <v>3914</v>
      </c>
      <c r="AB681" s="110"/>
      <c r="AC681" s="110"/>
      <c r="AD681" s="110"/>
      <c r="AE681" s="110"/>
    </row>
    <row r="682" spans="1:31">
      <c r="A682" s="196" t="s">
        <v>667</v>
      </c>
      <c r="C682" s="196">
        <v>136</v>
      </c>
      <c r="D682" s="196">
        <v>1.3257000000000001</v>
      </c>
      <c r="E682" s="196">
        <v>8.7744</v>
      </c>
      <c r="F682" s="196">
        <v>0.2024</v>
      </c>
      <c r="G682" s="196">
        <f>E682+F682</f>
        <v>8.9768000000000008</v>
      </c>
      <c r="H682" s="196">
        <v>8.7845999999999993</v>
      </c>
      <c r="I682" s="196">
        <f>(G682-H682)</f>
        <v>0.19220000000000148</v>
      </c>
      <c r="J682" s="200">
        <f>F682-I682</f>
        <v>1.0199999999998516E-2</v>
      </c>
      <c r="K682" s="277">
        <f>(J682/F682)*100</f>
        <v>5.0395256916988718</v>
      </c>
      <c r="L682" s="196">
        <v>4</v>
      </c>
      <c r="M682" s="196">
        <v>43157.527777777781</v>
      </c>
      <c r="N682" s="196">
        <v>43157.694444444445</v>
      </c>
      <c r="O682" s="196" t="s">
        <v>2540</v>
      </c>
      <c r="AB682" s="110"/>
      <c r="AC682" s="110"/>
      <c r="AD682" s="110"/>
      <c r="AE682" s="110"/>
    </row>
    <row r="683" spans="1:31">
      <c r="A683" s="200" t="s">
        <v>666</v>
      </c>
      <c r="C683" s="200">
        <v>104</v>
      </c>
      <c r="D683" s="200">
        <f>1.0694+F683</f>
        <v>1.2726999999999999</v>
      </c>
      <c r="E683" s="201">
        <v>8.7025000000000006</v>
      </c>
      <c r="F683" s="201">
        <v>0.20330000000000001</v>
      </c>
      <c r="G683" s="200">
        <f>E683+F683</f>
        <v>8.905800000000001</v>
      </c>
      <c r="H683" s="200">
        <v>8.7212999999999994</v>
      </c>
      <c r="I683" s="200">
        <f>(G683-H683)</f>
        <v>0.18450000000000166</v>
      </c>
      <c r="J683" s="200">
        <f>F683-I683</f>
        <v>1.8799999999998346E-2</v>
      </c>
      <c r="K683" s="277">
        <f>(J683/F683)*100</f>
        <v>9.2474176094433584</v>
      </c>
      <c r="L683" s="200">
        <v>29</v>
      </c>
      <c r="M683" s="204">
        <v>43174</v>
      </c>
      <c r="N683" s="204">
        <v>43174</v>
      </c>
      <c r="O683" s="200" t="s">
        <v>2540</v>
      </c>
      <c r="P683" s="200" t="s">
        <v>2535</v>
      </c>
      <c r="AB683" s="110"/>
      <c r="AC683" s="110"/>
      <c r="AD683" s="110"/>
      <c r="AE683" s="110"/>
    </row>
    <row r="684" spans="1:31">
      <c r="A684" s="196" t="s">
        <v>665</v>
      </c>
      <c r="P684" s="196" t="s">
        <v>3914</v>
      </c>
      <c r="AB684" s="110"/>
      <c r="AC684" s="110"/>
      <c r="AD684" s="110"/>
      <c r="AE684" s="110"/>
    </row>
    <row r="685" spans="1:31">
      <c r="A685" s="205" t="s">
        <v>664</v>
      </c>
      <c r="C685" s="200">
        <v>132</v>
      </c>
      <c r="D685" s="200">
        <v>1.3210999999999999</v>
      </c>
      <c r="E685" s="200">
        <v>7.3539000000000003</v>
      </c>
      <c r="F685" s="200">
        <v>0.20399999999999999</v>
      </c>
      <c r="G685" s="200">
        <f t="shared" ref="G685:G700" si="111">E685+F685</f>
        <v>7.5579000000000001</v>
      </c>
      <c r="H685" s="200">
        <v>7.3631000000000002</v>
      </c>
      <c r="I685" s="200">
        <f t="shared" ref="I685:I700" si="112">(G685-H685)</f>
        <v>0.19479999999999986</v>
      </c>
      <c r="J685" s="200">
        <f t="shared" ref="J685:J700" si="113">F685-I685</f>
        <v>9.2000000000001247E-3</v>
      </c>
      <c r="K685" s="277">
        <f t="shared" ref="K685:K700" si="114">(J685/F685)*100</f>
        <v>4.5098039215686896</v>
      </c>
      <c r="L685" s="200">
        <v>13</v>
      </c>
      <c r="M685" s="204">
        <v>43188</v>
      </c>
      <c r="N685" s="204">
        <v>43188</v>
      </c>
      <c r="O685" s="200"/>
      <c r="P685" s="200"/>
      <c r="AB685" s="110"/>
      <c r="AC685" s="110"/>
      <c r="AD685" s="110"/>
      <c r="AE685" s="110"/>
    </row>
    <row r="686" spans="1:31">
      <c r="A686" s="196" t="s">
        <v>662</v>
      </c>
      <c r="C686" s="197">
        <v>153</v>
      </c>
      <c r="D686" s="196">
        <v>1.0609</v>
      </c>
      <c r="E686" s="196">
        <v>11.171900000000001</v>
      </c>
      <c r="F686" s="196">
        <v>0.20050000000000001</v>
      </c>
      <c r="G686" s="200">
        <f t="shared" si="111"/>
        <v>11.372400000000001</v>
      </c>
      <c r="H686" s="200">
        <v>11.3263</v>
      </c>
      <c r="I686" s="200">
        <f t="shared" si="112"/>
        <v>4.6100000000000918E-2</v>
      </c>
      <c r="J686" s="200">
        <f t="shared" si="113"/>
        <v>0.15439999999999909</v>
      </c>
      <c r="K686" s="277">
        <f t="shared" si="114"/>
        <v>77.007481296757646</v>
      </c>
      <c r="L686" s="200">
        <v>21</v>
      </c>
      <c r="P686" s="196" t="s">
        <v>2549</v>
      </c>
      <c r="AB686" s="110"/>
      <c r="AC686" s="110"/>
      <c r="AD686" s="110"/>
      <c r="AE686" s="110"/>
    </row>
    <row r="687" spans="1:31">
      <c r="A687" s="196" t="s">
        <v>1093</v>
      </c>
      <c r="C687" s="196">
        <v>58</v>
      </c>
      <c r="D687" s="196">
        <v>0.42230000000000001</v>
      </c>
      <c r="E687" s="196">
        <v>7.8784999999999998</v>
      </c>
      <c r="F687" s="196">
        <v>0.1961</v>
      </c>
      <c r="G687" s="196">
        <f t="shared" si="111"/>
        <v>8.0746000000000002</v>
      </c>
      <c r="H687" s="196">
        <v>7.9294000000000002</v>
      </c>
      <c r="I687" s="196">
        <f t="shared" si="112"/>
        <v>0.1452</v>
      </c>
      <c r="J687" s="200">
        <f t="shared" si="113"/>
        <v>5.0900000000000001E-2</v>
      </c>
      <c r="K687" s="277">
        <f t="shared" si="114"/>
        <v>25.956144824069355</v>
      </c>
      <c r="L687" s="196">
        <v>36</v>
      </c>
      <c r="M687" s="196" t="s">
        <v>2570</v>
      </c>
      <c r="N687" s="196" t="s">
        <v>2569</v>
      </c>
      <c r="O687" s="196" t="s">
        <v>2534</v>
      </c>
      <c r="U687" s="201" t="s">
        <v>1417</v>
      </c>
      <c r="V687" s="196">
        <v>1.024</v>
      </c>
      <c r="W687" s="196">
        <f>(V687-$T$175+F685)</f>
        <v>1.228</v>
      </c>
      <c r="AB687" s="110"/>
      <c r="AC687" s="110"/>
      <c r="AD687" s="110"/>
      <c r="AE687" s="110"/>
    </row>
    <row r="688" spans="1:31">
      <c r="A688" s="205" t="s">
        <v>661</v>
      </c>
      <c r="C688" s="200">
        <v>116</v>
      </c>
      <c r="D688" s="205">
        <v>1.2506999999999999</v>
      </c>
      <c r="E688" s="201">
        <v>7.7732000000000001</v>
      </c>
      <c r="F688" s="201">
        <v>0.20030000000000001</v>
      </c>
      <c r="G688" s="200">
        <f t="shared" si="111"/>
        <v>7.9735000000000005</v>
      </c>
      <c r="H688" s="200">
        <v>7.7914000000000003</v>
      </c>
      <c r="I688" s="200">
        <f t="shared" si="112"/>
        <v>0.18210000000000015</v>
      </c>
      <c r="J688" s="200">
        <f t="shared" si="113"/>
        <v>1.8199999999999855E-2</v>
      </c>
      <c r="K688" s="277">
        <f t="shared" si="114"/>
        <v>9.0863704443334274</v>
      </c>
      <c r="L688" s="200">
        <v>13</v>
      </c>
      <c r="M688" s="202">
        <v>43181.645833333336</v>
      </c>
      <c r="N688" s="202">
        <v>43181.833333333336</v>
      </c>
      <c r="O688" s="200" t="s">
        <v>2540</v>
      </c>
      <c r="P688" s="200"/>
      <c r="AB688" s="110"/>
      <c r="AC688" s="110"/>
      <c r="AD688" s="110"/>
      <c r="AE688" s="110"/>
    </row>
    <row r="689" spans="1:31">
      <c r="A689" s="201" t="s">
        <v>660</v>
      </c>
      <c r="C689" s="200">
        <v>175</v>
      </c>
      <c r="D689" s="200">
        <v>1.4577</v>
      </c>
      <c r="E689" s="200">
        <v>8.7330000000000005</v>
      </c>
      <c r="F689" s="200">
        <v>0.20499999999999999</v>
      </c>
      <c r="G689" s="200">
        <f t="shared" si="111"/>
        <v>8.9380000000000006</v>
      </c>
      <c r="H689" s="200">
        <v>8.7789000000000001</v>
      </c>
      <c r="I689" s="200">
        <f t="shared" si="112"/>
        <v>0.15910000000000046</v>
      </c>
      <c r="J689" s="200">
        <f t="shared" si="113"/>
        <v>4.5899999999999525E-2</v>
      </c>
      <c r="K689" s="277">
        <f t="shared" si="114"/>
        <v>22.390243902438794</v>
      </c>
      <c r="L689" s="200">
        <v>2</v>
      </c>
      <c r="M689" s="204">
        <v>43173</v>
      </c>
      <c r="N689" s="204">
        <v>43173</v>
      </c>
      <c r="O689" s="200" t="s">
        <v>2540</v>
      </c>
      <c r="P689" s="200"/>
      <c r="AB689" s="110"/>
      <c r="AC689" s="110"/>
      <c r="AD689" s="110"/>
      <c r="AE689" s="110"/>
    </row>
    <row r="690" spans="1:31">
      <c r="A690" s="196" t="s">
        <v>659</v>
      </c>
      <c r="C690" s="197">
        <v>101</v>
      </c>
      <c r="D690" s="196">
        <v>1.4098999999999999</v>
      </c>
      <c r="E690" s="201">
        <v>11.0875</v>
      </c>
      <c r="F690" s="201">
        <v>0.20599999999999999</v>
      </c>
      <c r="G690" s="200">
        <f t="shared" si="111"/>
        <v>11.2935</v>
      </c>
      <c r="H690" s="200">
        <v>11.106</v>
      </c>
      <c r="I690" s="200">
        <f t="shared" si="112"/>
        <v>0.1875</v>
      </c>
      <c r="J690" s="200">
        <f t="shared" si="113"/>
        <v>1.8499999999999989E-2</v>
      </c>
      <c r="K690" s="277">
        <f t="shared" si="114"/>
        <v>8.9805825242718385</v>
      </c>
      <c r="L690" s="200">
        <v>30</v>
      </c>
      <c r="M690" s="203">
        <v>43221</v>
      </c>
      <c r="N690" s="203">
        <v>43221</v>
      </c>
      <c r="AB690" s="110"/>
      <c r="AC690" s="110"/>
      <c r="AD690" s="110"/>
      <c r="AE690" s="110"/>
    </row>
    <row r="691" spans="1:31">
      <c r="A691" s="200" t="s">
        <v>658</v>
      </c>
      <c r="C691" s="200">
        <v>137</v>
      </c>
      <c r="D691" s="201">
        <v>1.4925999999999999</v>
      </c>
      <c r="E691" s="200">
        <v>7.9610000000000003</v>
      </c>
      <c r="F691" s="201">
        <v>0.2049</v>
      </c>
      <c r="G691" s="200">
        <f t="shared" si="111"/>
        <v>8.1659000000000006</v>
      </c>
      <c r="H691" s="200">
        <v>7.9843000000000002</v>
      </c>
      <c r="I691" s="200">
        <f t="shared" si="112"/>
        <v>0.18160000000000043</v>
      </c>
      <c r="J691" s="200">
        <f t="shared" si="113"/>
        <v>2.3299999999999571E-2</v>
      </c>
      <c r="K691" s="277">
        <f t="shared" si="114"/>
        <v>11.371400683259917</v>
      </c>
      <c r="L691" s="200">
        <v>25</v>
      </c>
      <c r="M691" s="204">
        <v>43206</v>
      </c>
      <c r="N691" s="204">
        <v>43206</v>
      </c>
      <c r="O691" s="200"/>
      <c r="P691" s="200"/>
      <c r="AB691" s="110"/>
      <c r="AC691" s="110"/>
      <c r="AD691" s="110"/>
      <c r="AE691" s="110"/>
    </row>
    <row r="692" spans="1:31">
      <c r="A692" s="200" t="s">
        <v>657</v>
      </c>
      <c r="C692" s="200">
        <v>155</v>
      </c>
      <c r="D692" s="201">
        <v>1.4883</v>
      </c>
      <c r="E692" s="200">
        <v>11.0893</v>
      </c>
      <c r="F692" s="201">
        <v>0.2026</v>
      </c>
      <c r="G692" s="200">
        <f t="shared" si="111"/>
        <v>11.2919</v>
      </c>
      <c r="H692" s="200">
        <v>11.1092</v>
      </c>
      <c r="I692" s="200">
        <f t="shared" si="112"/>
        <v>0.18270000000000053</v>
      </c>
      <c r="J692" s="200">
        <f t="shared" si="113"/>
        <v>1.9899999999999474E-2</v>
      </c>
      <c r="K692" s="277">
        <f t="shared" si="114"/>
        <v>9.822309970384735</v>
      </c>
      <c r="L692" s="200">
        <v>22</v>
      </c>
      <c r="M692" s="204">
        <v>43206</v>
      </c>
      <c r="N692" s="204">
        <v>43206</v>
      </c>
      <c r="O692" s="200"/>
      <c r="P692" s="200"/>
      <c r="AB692" s="110"/>
      <c r="AC692" s="110"/>
      <c r="AD692" s="110"/>
      <c r="AE692" s="110"/>
    </row>
    <row r="693" spans="1:31">
      <c r="A693" s="205" t="s">
        <v>656</v>
      </c>
      <c r="C693" s="200">
        <v>154</v>
      </c>
      <c r="D693" s="200">
        <v>1.516</v>
      </c>
      <c r="E693" s="201">
        <v>7.0930999999999997</v>
      </c>
      <c r="F693" s="201">
        <v>0.20630000000000001</v>
      </c>
      <c r="G693" s="200">
        <f t="shared" si="111"/>
        <v>7.2993999999999994</v>
      </c>
      <c r="H693" s="200">
        <v>7.1177000000000001</v>
      </c>
      <c r="I693" s="200">
        <f t="shared" si="112"/>
        <v>0.18169999999999931</v>
      </c>
      <c r="J693" s="200">
        <f t="shared" si="113"/>
        <v>2.4600000000000705E-2</v>
      </c>
      <c r="K693" s="277">
        <f t="shared" si="114"/>
        <v>11.924381968008097</v>
      </c>
      <c r="L693" s="200">
        <v>24</v>
      </c>
      <c r="M693" s="206">
        <v>43186.458333333336</v>
      </c>
      <c r="N693" s="206">
        <v>43186.625</v>
      </c>
      <c r="O693" s="196" t="s">
        <v>2534</v>
      </c>
      <c r="P693" s="200"/>
      <c r="AB693" s="110"/>
      <c r="AC693" s="110"/>
      <c r="AD693" s="110"/>
      <c r="AE693" s="110"/>
    </row>
    <row r="694" spans="1:31">
      <c r="A694" s="200" t="s">
        <v>655</v>
      </c>
      <c r="C694" s="200">
        <v>125</v>
      </c>
      <c r="D694" s="200">
        <v>1.1584000000000001</v>
      </c>
      <c r="E694" s="201">
        <v>8.7596000000000007</v>
      </c>
      <c r="F694" s="201">
        <v>0.2006</v>
      </c>
      <c r="G694" s="200">
        <f t="shared" si="111"/>
        <v>8.9602000000000004</v>
      </c>
      <c r="H694" s="200">
        <v>8.7681000000000004</v>
      </c>
      <c r="I694" s="200">
        <f t="shared" si="112"/>
        <v>0.19209999999999994</v>
      </c>
      <c r="J694" s="200">
        <f t="shared" si="113"/>
        <v>8.5000000000000631E-3</v>
      </c>
      <c r="K694" s="277">
        <f t="shared" si="114"/>
        <v>4.2372881355932517</v>
      </c>
      <c r="L694" s="200">
        <v>13</v>
      </c>
      <c r="M694" s="204">
        <v>43197</v>
      </c>
      <c r="N694" s="204">
        <v>43197</v>
      </c>
      <c r="O694" s="200"/>
      <c r="P694" s="200"/>
      <c r="AB694" s="110"/>
      <c r="AC694" s="110"/>
      <c r="AD694" s="110"/>
      <c r="AE694" s="110"/>
    </row>
    <row r="695" spans="1:31">
      <c r="A695" s="200" t="s">
        <v>654</v>
      </c>
      <c r="C695" s="200">
        <v>111</v>
      </c>
      <c r="D695" s="196">
        <v>1.3611</v>
      </c>
      <c r="E695" s="201">
        <v>7.9935999999999998</v>
      </c>
      <c r="F695" s="201">
        <v>0.20330000000000001</v>
      </c>
      <c r="G695" s="200">
        <f t="shared" si="111"/>
        <v>8.1968999999999994</v>
      </c>
      <c r="H695" s="200">
        <v>8.0063999999999993</v>
      </c>
      <c r="I695" s="200">
        <f t="shared" si="112"/>
        <v>0.19050000000000011</v>
      </c>
      <c r="J695" s="200">
        <f t="shared" si="113"/>
        <v>1.2799999999999895E-2</v>
      </c>
      <c r="K695" s="277">
        <f t="shared" si="114"/>
        <v>6.2961141170683206</v>
      </c>
      <c r="L695" s="200">
        <v>44</v>
      </c>
      <c r="M695" s="206">
        <v>43186.458333333336</v>
      </c>
      <c r="N695" s="206">
        <v>43186.625</v>
      </c>
      <c r="O695" s="196" t="s">
        <v>2534</v>
      </c>
      <c r="P695" s="200"/>
      <c r="AB695" s="110"/>
      <c r="AC695" s="110"/>
      <c r="AD695" s="110"/>
      <c r="AE695" s="110"/>
    </row>
    <row r="696" spans="1:31">
      <c r="A696" s="200" t="s">
        <v>653</v>
      </c>
      <c r="C696" s="200">
        <v>178</v>
      </c>
      <c r="D696" s="196">
        <v>1.4132</v>
      </c>
      <c r="E696" s="196">
        <v>7.9055999999999997</v>
      </c>
      <c r="F696" s="196">
        <v>0.2019</v>
      </c>
      <c r="G696" s="196">
        <f t="shared" si="111"/>
        <v>8.1074999999999999</v>
      </c>
      <c r="H696" s="196">
        <v>7.9097999999999997</v>
      </c>
      <c r="I696" s="196">
        <f t="shared" si="112"/>
        <v>0.19770000000000021</v>
      </c>
      <c r="J696" s="200">
        <f t="shared" si="113"/>
        <v>4.1999999999997872E-3</v>
      </c>
      <c r="K696" s="277">
        <f t="shared" si="114"/>
        <v>2.0802377414560613</v>
      </c>
      <c r="L696" s="196">
        <v>14</v>
      </c>
      <c r="M696" s="206">
        <v>43160.520833333336</v>
      </c>
      <c r="N696" s="206">
        <v>43160.6875</v>
      </c>
      <c r="O696" s="196" t="s">
        <v>2534</v>
      </c>
      <c r="AB696" s="110"/>
      <c r="AC696" s="110"/>
      <c r="AD696" s="110"/>
      <c r="AE696" s="110"/>
    </row>
    <row r="697" spans="1:31">
      <c r="A697" s="205" t="s">
        <v>652</v>
      </c>
      <c r="C697" s="200">
        <v>98</v>
      </c>
      <c r="D697" s="200">
        <v>1.3002</v>
      </c>
      <c r="E697" s="201">
        <v>10.500999999999999</v>
      </c>
      <c r="F697" s="201">
        <v>0.2019</v>
      </c>
      <c r="G697" s="200">
        <f t="shared" si="111"/>
        <v>10.7029</v>
      </c>
      <c r="H697" s="200">
        <v>10.5266</v>
      </c>
      <c r="I697" s="200">
        <f t="shared" si="112"/>
        <v>0.17629999999999946</v>
      </c>
      <c r="J697" s="200">
        <f t="shared" si="113"/>
        <v>2.5600000000000539E-2</v>
      </c>
      <c r="K697" s="277">
        <f t="shared" si="114"/>
        <v>12.679544328875947</v>
      </c>
      <c r="L697" s="200">
        <v>23</v>
      </c>
      <c r="M697" s="206">
        <v>43185.385416666664</v>
      </c>
      <c r="N697" s="200"/>
      <c r="O697" s="200" t="s">
        <v>2540</v>
      </c>
      <c r="P697" s="200"/>
      <c r="AB697" s="110"/>
      <c r="AC697" s="110"/>
      <c r="AD697" s="110"/>
      <c r="AE697" s="110"/>
    </row>
    <row r="698" spans="1:31">
      <c r="A698" s="205" t="s">
        <v>1092</v>
      </c>
      <c r="C698" s="200">
        <v>84</v>
      </c>
      <c r="D698" s="200">
        <v>1.3726</v>
      </c>
      <c r="E698" s="201">
        <v>8.8621999999999996</v>
      </c>
      <c r="F698" s="201">
        <v>0.2051</v>
      </c>
      <c r="G698" s="200">
        <f t="shared" si="111"/>
        <v>9.0672999999999995</v>
      </c>
      <c r="H698" s="200">
        <v>8.8803000000000001</v>
      </c>
      <c r="I698" s="200">
        <f t="shared" si="112"/>
        <v>0.18699999999999939</v>
      </c>
      <c r="J698" s="200">
        <f t="shared" si="113"/>
        <v>1.8100000000000616E-2</v>
      </c>
      <c r="K698" s="277">
        <f t="shared" si="114"/>
        <v>8.8249634324722646</v>
      </c>
      <c r="L698" s="200">
        <v>4</v>
      </c>
      <c r="M698" s="206">
        <v>43186.458333333336</v>
      </c>
      <c r="N698" s="206">
        <v>43186.625</v>
      </c>
      <c r="O698" s="196" t="s">
        <v>2534</v>
      </c>
      <c r="P698" s="200"/>
      <c r="AB698" s="110"/>
      <c r="AC698" s="110"/>
      <c r="AD698" s="110"/>
      <c r="AE698" s="110"/>
    </row>
    <row r="699" spans="1:31">
      <c r="A699" s="201" t="s">
        <v>651</v>
      </c>
      <c r="C699" s="200">
        <v>176</v>
      </c>
      <c r="D699" s="200">
        <v>1.4691999999999998</v>
      </c>
      <c r="E699" s="200">
        <v>8.9580000000000002</v>
      </c>
      <c r="F699" s="200">
        <v>0.20050000000000001</v>
      </c>
      <c r="G699" s="200">
        <f t="shared" si="111"/>
        <v>9.1585000000000001</v>
      </c>
      <c r="H699" s="200">
        <v>8.9633000000000003</v>
      </c>
      <c r="I699" s="200">
        <f t="shared" si="112"/>
        <v>0.19519999999999982</v>
      </c>
      <c r="J699" s="200">
        <f t="shared" si="113"/>
        <v>5.3000000000001934E-3</v>
      </c>
      <c r="K699" s="277">
        <f t="shared" si="114"/>
        <v>2.6433915211971035</v>
      </c>
      <c r="L699" s="200">
        <v>17</v>
      </c>
      <c r="M699" s="204">
        <v>43173</v>
      </c>
      <c r="N699" s="204">
        <v>43173</v>
      </c>
      <c r="O699" s="200" t="s">
        <v>2540</v>
      </c>
      <c r="P699" s="200" t="s">
        <v>2539</v>
      </c>
      <c r="AB699" s="110"/>
      <c r="AC699" s="110"/>
      <c r="AD699" s="110"/>
      <c r="AE699" s="110"/>
    </row>
    <row r="700" spans="1:31">
      <c r="A700" s="196" t="s">
        <v>649</v>
      </c>
      <c r="C700" s="196">
        <v>146</v>
      </c>
      <c r="D700" s="196">
        <v>1.4488000000000001</v>
      </c>
      <c r="E700" s="196">
        <v>9.3224</v>
      </c>
      <c r="F700" s="196">
        <v>0.2069</v>
      </c>
      <c r="G700" s="196">
        <f t="shared" si="111"/>
        <v>9.5292999999999992</v>
      </c>
      <c r="H700" s="196">
        <v>9.3308</v>
      </c>
      <c r="I700" s="196">
        <f t="shared" si="112"/>
        <v>0.19849999999999923</v>
      </c>
      <c r="J700" s="200">
        <f t="shared" si="113"/>
        <v>8.400000000000768E-3</v>
      </c>
      <c r="K700" s="277">
        <f t="shared" si="114"/>
        <v>4.0599323344614637</v>
      </c>
      <c r="L700" s="196">
        <v>13</v>
      </c>
      <c r="M700" s="196">
        <v>43157.527777777781</v>
      </c>
      <c r="N700" s="196">
        <v>43157.694444444445</v>
      </c>
      <c r="O700" s="196" t="s">
        <v>2540</v>
      </c>
      <c r="AB700" s="110"/>
      <c r="AC700" s="110"/>
      <c r="AD700" s="110"/>
      <c r="AE700" s="110"/>
    </row>
    <row r="701" spans="1:31">
      <c r="A701" s="196" t="s">
        <v>648</v>
      </c>
      <c r="P701" s="196" t="s">
        <v>3914</v>
      </c>
    </row>
    <row r="702" spans="1:31">
      <c r="A702" s="200" t="s">
        <v>647</v>
      </c>
      <c r="C702" s="200">
        <v>103</v>
      </c>
      <c r="D702" s="201">
        <v>1.4354</v>
      </c>
      <c r="E702" s="200">
        <v>7.7148000000000003</v>
      </c>
      <c r="F702" s="201">
        <v>0.2031</v>
      </c>
      <c r="G702" s="200">
        <f>E702+F702</f>
        <v>7.9179000000000004</v>
      </c>
      <c r="H702" s="200">
        <v>7.7256</v>
      </c>
      <c r="I702" s="200">
        <f>(G702-H702)</f>
        <v>0.19230000000000036</v>
      </c>
      <c r="J702" s="200">
        <f>F702-I702</f>
        <v>1.0799999999999643E-2</v>
      </c>
      <c r="K702" s="277">
        <f>(J702/F702)*100</f>
        <v>5.3175775480057332</v>
      </c>
      <c r="L702" s="200">
        <v>25</v>
      </c>
      <c r="M702" s="200"/>
      <c r="N702" s="200"/>
      <c r="O702" s="200"/>
      <c r="P702" s="200"/>
      <c r="AB702" s="110"/>
      <c r="AC702" s="110"/>
      <c r="AD702" s="110"/>
      <c r="AE702" s="110"/>
    </row>
    <row r="703" spans="1:31">
      <c r="A703" s="205" t="s">
        <v>646</v>
      </c>
      <c r="C703" s="200">
        <v>118</v>
      </c>
      <c r="D703" s="201">
        <v>1.0033000000000001</v>
      </c>
      <c r="E703" s="201">
        <v>9.0030999999999999</v>
      </c>
      <c r="F703" s="201">
        <v>0.20230000000000001</v>
      </c>
      <c r="G703" s="200">
        <f>E703+F703</f>
        <v>9.2053999999999991</v>
      </c>
      <c r="H703" s="200">
        <v>9.1862999999999992</v>
      </c>
      <c r="I703" s="200">
        <f>(G703-H703)</f>
        <v>1.9099999999999895E-2</v>
      </c>
      <c r="J703" s="200">
        <f>F703-I703</f>
        <v>0.18320000000000011</v>
      </c>
      <c r="K703" s="277">
        <f>(J703/F703)*100</f>
        <v>90.558576371725209</v>
      </c>
      <c r="L703" s="200">
        <v>18</v>
      </c>
      <c r="M703" s="200"/>
      <c r="N703" s="200"/>
      <c r="O703" s="200"/>
      <c r="P703" s="200"/>
      <c r="AB703" s="110"/>
      <c r="AC703" s="110"/>
      <c r="AD703" s="110"/>
      <c r="AE703" s="110"/>
    </row>
    <row r="704" spans="1:31">
      <c r="A704" s="196" t="s">
        <v>645</v>
      </c>
      <c r="C704" s="196">
        <v>99</v>
      </c>
      <c r="D704" s="196">
        <v>1.2661</v>
      </c>
      <c r="E704" s="196">
        <v>20.849900000000002</v>
      </c>
      <c r="F704" s="196">
        <v>0.2036</v>
      </c>
      <c r="G704" s="196">
        <f>E704+F704</f>
        <v>21.053500000000003</v>
      </c>
      <c r="H704" s="196">
        <v>20.864799999999999</v>
      </c>
      <c r="I704" s="196">
        <f>(G704-H704)</f>
        <v>0.18870000000000431</v>
      </c>
      <c r="J704" s="200">
        <f>F704-I704</f>
        <v>1.4899999999995694E-2</v>
      </c>
      <c r="K704" s="277">
        <f>(J704/F704)*100</f>
        <v>7.3182711198407153</v>
      </c>
      <c r="L704" s="196">
        <v>2</v>
      </c>
      <c r="M704" s="196" t="s">
        <v>2560</v>
      </c>
      <c r="N704" s="196">
        <v>43153.729166666664</v>
      </c>
      <c r="O704" s="196" t="s">
        <v>2534</v>
      </c>
      <c r="P704" s="196" t="s">
        <v>2558</v>
      </c>
      <c r="AB704" s="110"/>
      <c r="AC704" s="110"/>
      <c r="AD704" s="110"/>
      <c r="AE704" s="110"/>
    </row>
    <row r="705" spans="1:31">
      <c r="A705" s="205" t="s">
        <v>644</v>
      </c>
      <c r="C705" s="200">
        <v>100</v>
      </c>
      <c r="D705" s="200">
        <v>1.3843000000000001</v>
      </c>
      <c r="E705" s="200">
        <v>10.5207</v>
      </c>
      <c r="F705" s="200">
        <v>0.20019999999999999</v>
      </c>
      <c r="G705" s="200">
        <f>E705+F705</f>
        <v>10.7209</v>
      </c>
      <c r="H705" s="200">
        <v>10.535399999999999</v>
      </c>
      <c r="I705" s="200">
        <f>(G705-H705)</f>
        <v>0.18550000000000111</v>
      </c>
      <c r="J705" s="200">
        <f>F705-I705</f>
        <v>1.4699999999998881E-2</v>
      </c>
      <c r="K705" s="277">
        <f>(J705/F705)*100</f>
        <v>7.3426573426567847</v>
      </c>
      <c r="L705" s="200">
        <v>17</v>
      </c>
      <c r="M705" s="204">
        <v>43188</v>
      </c>
      <c r="N705" s="204">
        <v>43188</v>
      </c>
      <c r="O705" s="200"/>
      <c r="P705" s="200" t="s">
        <v>2555</v>
      </c>
      <c r="AB705" s="110"/>
      <c r="AC705" s="110"/>
      <c r="AD705" s="110"/>
      <c r="AE705" s="110"/>
    </row>
    <row r="706" spans="1:31">
      <c r="A706" t="s">
        <v>1136</v>
      </c>
      <c r="C706"/>
      <c r="D706"/>
      <c r="E706"/>
      <c r="F706"/>
      <c r="G706" s="285"/>
      <c r="H706" s="281"/>
      <c r="I706" s="285"/>
      <c r="J706" s="280"/>
      <c r="K706" s="282"/>
      <c r="L706"/>
      <c r="M706" s="283">
        <v>43379</v>
      </c>
      <c r="N706" s="283">
        <v>43379</v>
      </c>
      <c r="O706"/>
      <c r="P706" t="s">
        <v>3934</v>
      </c>
      <c r="Q706"/>
      <c r="R706" s="282"/>
    </row>
    <row r="707" spans="1:31">
      <c r="A707" s="196" t="s">
        <v>1091</v>
      </c>
      <c r="C707" s="196">
        <v>20</v>
      </c>
      <c r="D707" s="196">
        <v>1.2549999999999999</v>
      </c>
      <c r="E707" s="196">
        <v>7.8014000000000001</v>
      </c>
      <c r="F707" s="196">
        <v>0.19969999999999999</v>
      </c>
      <c r="G707" s="196">
        <f>E707+F707</f>
        <v>8.001100000000001</v>
      </c>
      <c r="H707" s="196">
        <v>7.8182</v>
      </c>
      <c r="I707" s="196">
        <f>(G707-H707)</f>
        <v>0.18290000000000095</v>
      </c>
      <c r="J707" s="200">
        <f>F707-I707</f>
        <v>1.6799999999999038E-2</v>
      </c>
      <c r="K707" s="277">
        <f>(J707/F707)*100</f>
        <v>8.4126189283921065</v>
      </c>
      <c r="L707" s="196">
        <v>5</v>
      </c>
      <c r="M707" s="196" t="s">
        <v>2570</v>
      </c>
      <c r="N707" s="196" t="s">
        <v>2569</v>
      </c>
      <c r="O707" s="196" t="s">
        <v>2534</v>
      </c>
      <c r="AB707" s="110"/>
      <c r="AC707" s="110"/>
      <c r="AD707" s="110"/>
      <c r="AE707" s="110"/>
    </row>
    <row r="708" spans="1:31">
      <c r="A708" s="205" t="s">
        <v>641</v>
      </c>
      <c r="C708" s="200">
        <v>100</v>
      </c>
      <c r="D708" s="200">
        <v>1.4661999999999999</v>
      </c>
      <c r="E708" s="200">
        <v>11.443099999999999</v>
      </c>
      <c r="F708" s="200">
        <v>0.20030000000000001</v>
      </c>
      <c r="G708" s="200">
        <f>E708+F708</f>
        <v>11.6434</v>
      </c>
      <c r="H708" s="200">
        <v>11.4878</v>
      </c>
      <c r="I708" s="200">
        <f>(G708-H708)</f>
        <v>0.15559999999999974</v>
      </c>
      <c r="J708" s="200">
        <f>F708-I708</f>
        <v>4.4700000000000267E-2</v>
      </c>
      <c r="K708" s="277">
        <f>(J708/F708)*100</f>
        <v>22.316525212181858</v>
      </c>
      <c r="L708" s="200">
        <v>18</v>
      </c>
      <c r="M708" s="204">
        <v>43188</v>
      </c>
      <c r="N708" s="204">
        <v>43188</v>
      </c>
      <c r="O708" s="200"/>
      <c r="P708" s="200"/>
      <c r="AB708" s="110"/>
      <c r="AC708" s="110"/>
      <c r="AD708" s="110"/>
      <c r="AE708" s="110"/>
    </row>
    <row r="709" spans="1:31">
      <c r="A709" s="201" t="s">
        <v>640</v>
      </c>
      <c r="C709" s="200">
        <v>75</v>
      </c>
      <c r="D709" s="200">
        <v>0.14589999999999992</v>
      </c>
      <c r="E709" s="200">
        <v>7.0928000000000004</v>
      </c>
      <c r="F709" s="200">
        <v>8.6699999999999999E-2</v>
      </c>
      <c r="G709" s="200">
        <f>E709+F709</f>
        <v>7.1795000000000009</v>
      </c>
      <c r="H709" s="200">
        <v>7.1658999999999997</v>
      </c>
      <c r="I709" s="200">
        <f>(G709-H709)</f>
        <v>1.3600000000001167E-2</v>
      </c>
      <c r="J709" s="200">
        <f>F709-I709</f>
        <v>7.3099999999998833E-2</v>
      </c>
      <c r="K709" s="277">
        <f>(J709/F709)*100</f>
        <v>84.313725490194741</v>
      </c>
      <c r="L709" s="200">
        <v>9</v>
      </c>
      <c r="M709" s="204">
        <v>43173</v>
      </c>
      <c r="N709" s="204">
        <v>43173</v>
      </c>
      <c r="O709" s="200" t="s">
        <v>2540</v>
      </c>
      <c r="P709" s="200" t="s">
        <v>2539</v>
      </c>
      <c r="AB709" s="110"/>
      <c r="AC709" s="110"/>
      <c r="AD709" s="110"/>
      <c r="AE709" s="110"/>
    </row>
    <row r="710" spans="1:31">
      <c r="A710" s="196" t="s">
        <v>639</v>
      </c>
      <c r="C710" s="197">
        <v>5</v>
      </c>
      <c r="D710" s="196">
        <v>1.161</v>
      </c>
      <c r="E710" s="201">
        <v>8.0639000000000003</v>
      </c>
      <c r="F710" s="201">
        <v>0.2034</v>
      </c>
      <c r="G710" s="200">
        <f>E710+F710</f>
        <v>8.2673000000000005</v>
      </c>
      <c r="H710" s="200">
        <v>8.0732999999999997</v>
      </c>
      <c r="I710" s="200">
        <f>(G710-H710)</f>
        <v>0.19400000000000084</v>
      </c>
      <c r="J710" s="200">
        <f>F710-I710</f>
        <v>9.399999999999159E-3</v>
      </c>
      <c r="K710" s="277">
        <f>(J710/F710)*100</f>
        <v>4.6214355948865089</v>
      </c>
      <c r="L710" s="200">
        <v>12</v>
      </c>
      <c r="AB710" s="110"/>
      <c r="AC710" s="110"/>
      <c r="AD710" s="110"/>
      <c r="AE710" s="110"/>
    </row>
    <row r="711" spans="1:31">
      <c r="A711" s="196" t="s">
        <v>638</v>
      </c>
      <c r="P711" s="196" t="s">
        <v>3914</v>
      </c>
      <c r="AB711" s="110"/>
      <c r="AC711" s="110"/>
      <c r="AD711" s="110"/>
      <c r="AE711" s="110"/>
    </row>
    <row r="712" spans="1:31">
      <c r="A712" s="200" t="s">
        <v>637</v>
      </c>
      <c r="C712" s="200">
        <v>151</v>
      </c>
      <c r="D712" s="196">
        <v>1.5096000000000001</v>
      </c>
      <c r="E712" s="196">
        <v>8.0462000000000007</v>
      </c>
      <c r="F712" s="196">
        <v>0.20319999999999999</v>
      </c>
      <c r="G712" s="196">
        <f t="shared" ref="G712:G724" si="115">E712+F712</f>
        <v>8.2494000000000014</v>
      </c>
      <c r="H712" s="196">
        <v>8.0591000000000008</v>
      </c>
      <c r="I712" s="196">
        <f t="shared" ref="I712:I724" si="116">(G712-H712)</f>
        <v>0.19030000000000058</v>
      </c>
      <c r="J712" s="200">
        <f t="shared" ref="J712:J724" si="117">F712-I712</f>
        <v>1.2899999999999412E-2</v>
      </c>
      <c r="K712" s="277">
        <f t="shared" ref="K712:K724" si="118">(J712/F712)*100</f>
        <v>6.3484251968501049</v>
      </c>
      <c r="L712" s="196">
        <v>10</v>
      </c>
      <c r="M712" s="206">
        <v>43160.520833333336</v>
      </c>
      <c r="N712" s="206">
        <v>43160.6875</v>
      </c>
      <c r="O712" s="196" t="s">
        <v>2534</v>
      </c>
      <c r="P712" s="196" t="s">
        <v>2551</v>
      </c>
      <c r="AB712" s="110"/>
      <c r="AC712" s="110"/>
      <c r="AD712" s="110"/>
      <c r="AE712" s="110"/>
    </row>
    <row r="713" spans="1:31">
      <c r="A713" s="200" t="s">
        <v>636</v>
      </c>
      <c r="C713" s="200">
        <v>111</v>
      </c>
      <c r="D713" s="200">
        <v>1.4012</v>
      </c>
      <c r="E713" s="201">
        <v>9.1372999999999998</v>
      </c>
      <c r="F713" s="201">
        <v>0.20200000000000001</v>
      </c>
      <c r="G713" s="200">
        <f t="shared" si="115"/>
        <v>9.3392999999999997</v>
      </c>
      <c r="H713" s="200">
        <v>9.1549999999999994</v>
      </c>
      <c r="I713" s="200">
        <f t="shared" si="116"/>
        <v>0.18430000000000035</v>
      </c>
      <c r="J713" s="200">
        <f t="shared" si="117"/>
        <v>1.769999999999966E-2</v>
      </c>
      <c r="K713" s="277">
        <f t="shared" si="118"/>
        <v>8.7623762376235934</v>
      </c>
      <c r="L713" s="200">
        <v>45</v>
      </c>
      <c r="M713" s="206">
        <v>43186.458333333336</v>
      </c>
      <c r="N713" s="206">
        <v>43186.625</v>
      </c>
      <c r="O713" s="196" t="s">
        <v>2534</v>
      </c>
      <c r="P713" s="200"/>
      <c r="AB713" s="110"/>
      <c r="AC713" s="110"/>
      <c r="AD713" s="110"/>
      <c r="AE713" s="110"/>
    </row>
    <row r="714" spans="1:31">
      <c r="A714" s="200" t="s">
        <v>635</v>
      </c>
      <c r="C714" s="200">
        <v>127</v>
      </c>
      <c r="D714" s="201">
        <v>1.2198</v>
      </c>
      <c r="E714" s="200">
        <v>7.8014000000000001</v>
      </c>
      <c r="F714" s="201">
        <v>0.20469999999999999</v>
      </c>
      <c r="G714" s="200">
        <f t="shared" si="115"/>
        <v>8.0061</v>
      </c>
      <c r="H714" s="200">
        <v>7.8133999999999997</v>
      </c>
      <c r="I714" s="200">
        <f t="shared" si="116"/>
        <v>0.19270000000000032</v>
      </c>
      <c r="J714" s="200">
        <f t="shared" si="117"/>
        <v>1.1999999999999678E-2</v>
      </c>
      <c r="K714" s="277">
        <f t="shared" si="118"/>
        <v>5.8622374206153776</v>
      </c>
      <c r="L714" s="200">
        <v>6</v>
      </c>
      <c r="M714" s="204">
        <v>43206</v>
      </c>
      <c r="N714" s="204">
        <v>43206</v>
      </c>
      <c r="O714" s="200"/>
      <c r="P714" s="200"/>
      <c r="AB714" s="110"/>
      <c r="AC714" s="110"/>
      <c r="AD714" s="110"/>
      <c r="AE714" s="110"/>
    </row>
    <row r="715" spans="1:31">
      <c r="A715" s="196" t="s">
        <v>634</v>
      </c>
      <c r="C715" s="197">
        <v>30</v>
      </c>
      <c r="D715" s="196">
        <v>1.1287</v>
      </c>
      <c r="E715" s="201">
        <v>9.5541999999999998</v>
      </c>
      <c r="F715" s="201">
        <v>0.20119999999999999</v>
      </c>
      <c r="G715" s="200">
        <f t="shared" si="115"/>
        <v>9.7553999999999998</v>
      </c>
      <c r="H715" s="200">
        <v>9.5639000000000003</v>
      </c>
      <c r="I715" s="200">
        <f t="shared" si="116"/>
        <v>0.19149999999999956</v>
      </c>
      <c r="J715" s="200">
        <f t="shared" si="117"/>
        <v>9.7000000000004305E-3</v>
      </c>
      <c r="K715" s="277">
        <f t="shared" si="118"/>
        <v>4.821073558648326</v>
      </c>
      <c r="L715" s="200">
        <v>9</v>
      </c>
      <c r="AB715" s="110"/>
      <c r="AC715" s="110"/>
      <c r="AD715" s="110"/>
      <c r="AE715" s="110"/>
    </row>
    <row r="716" spans="1:31">
      <c r="A716" s="196" t="s">
        <v>633</v>
      </c>
      <c r="C716" s="197">
        <v>4</v>
      </c>
      <c r="D716" s="196">
        <v>1.1405000000000001</v>
      </c>
      <c r="E716" s="200">
        <v>7.0750999999999999</v>
      </c>
      <c r="F716" s="201">
        <v>0.20169999999999999</v>
      </c>
      <c r="G716" s="200">
        <f t="shared" si="115"/>
        <v>7.2767999999999997</v>
      </c>
      <c r="H716" s="200">
        <v>7.0850999999999997</v>
      </c>
      <c r="I716" s="200">
        <f t="shared" si="116"/>
        <v>0.19169999999999998</v>
      </c>
      <c r="J716" s="200">
        <f t="shared" si="117"/>
        <v>1.0000000000000009E-2</v>
      </c>
      <c r="K716" s="277">
        <f t="shared" si="118"/>
        <v>4.9578582052553344</v>
      </c>
      <c r="L716" s="200">
        <v>1</v>
      </c>
      <c r="M716" s="203">
        <v>43212</v>
      </c>
      <c r="N716" s="203">
        <v>43212</v>
      </c>
      <c r="AB716" s="110"/>
      <c r="AC716" s="110"/>
      <c r="AD716" s="110"/>
      <c r="AE716" s="110"/>
    </row>
    <row r="717" spans="1:31">
      <c r="A717" s="205" t="s">
        <v>632</v>
      </c>
      <c r="C717" s="200">
        <v>108</v>
      </c>
      <c r="D717" s="200">
        <v>1.3947000000000001</v>
      </c>
      <c r="E717" s="201">
        <v>8.3542000000000005</v>
      </c>
      <c r="F717" s="201">
        <v>0.20860000000000001</v>
      </c>
      <c r="G717" s="200">
        <f t="shared" si="115"/>
        <v>8.5628000000000011</v>
      </c>
      <c r="H717" s="200">
        <v>8.3659999999999997</v>
      </c>
      <c r="I717" s="200">
        <f t="shared" si="116"/>
        <v>0.19680000000000142</v>
      </c>
      <c r="J717" s="200">
        <f t="shared" si="117"/>
        <v>1.1799999999998589E-2</v>
      </c>
      <c r="K717" s="277">
        <f t="shared" si="118"/>
        <v>5.6567593480338392</v>
      </c>
      <c r="L717" s="200">
        <v>36</v>
      </c>
      <c r="M717" s="206">
        <v>43186.458333333336</v>
      </c>
      <c r="N717" s="206">
        <v>43186.625</v>
      </c>
      <c r="O717" s="196" t="s">
        <v>2534</v>
      </c>
      <c r="P717" s="200"/>
      <c r="AB717" s="110"/>
      <c r="AC717" s="110"/>
      <c r="AD717" s="110"/>
      <c r="AE717" s="110"/>
    </row>
    <row r="718" spans="1:31">
      <c r="A718" s="205" t="s">
        <v>1090</v>
      </c>
      <c r="C718" s="200">
        <v>185</v>
      </c>
      <c r="D718" s="200">
        <v>1.5618000000000001</v>
      </c>
      <c r="E718" s="200">
        <v>11.055300000000001</v>
      </c>
      <c r="F718" s="201">
        <v>0.20119999999999999</v>
      </c>
      <c r="G718" s="200">
        <f t="shared" si="115"/>
        <v>11.256500000000001</v>
      </c>
      <c r="H718" s="200">
        <v>11.0595</v>
      </c>
      <c r="I718" s="200">
        <f t="shared" si="116"/>
        <v>0.19700000000000095</v>
      </c>
      <c r="J718" s="200">
        <f t="shared" si="117"/>
        <v>4.1999999999990378E-3</v>
      </c>
      <c r="K718" s="277">
        <f t="shared" si="118"/>
        <v>2.0874751491048897</v>
      </c>
      <c r="L718" s="200">
        <v>29</v>
      </c>
      <c r="M718" s="204">
        <v>43211</v>
      </c>
      <c r="AB718" s="110"/>
      <c r="AC718" s="110"/>
      <c r="AD718" s="110"/>
      <c r="AE718" s="110"/>
    </row>
    <row r="719" spans="1:31">
      <c r="A719" s="200" t="s">
        <v>631</v>
      </c>
      <c r="C719" s="200">
        <v>107</v>
      </c>
      <c r="D719" s="200">
        <v>1.3418000000000001</v>
      </c>
      <c r="E719" s="201">
        <v>9.3185000000000002</v>
      </c>
      <c r="F719" s="200">
        <v>0.1996</v>
      </c>
      <c r="G719" s="200">
        <f t="shared" si="115"/>
        <v>9.5181000000000004</v>
      </c>
      <c r="H719" s="200">
        <v>9.3290000000000006</v>
      </c>
      <c r="I719" s="200">
        <f t="shared" si="116"/>
        <v>0.18909999999999982</v>
      </c>
      <c r="J719" s="200">
        <f t="shared" si="117"/>
        <v>1.0500000000000176E-2</v>
      </c>
      <c r="K719" s="277">
        <f t="shared" si="118"/>
        <v>5.2605210420842559</v>
      </c>
      <c r="L719" s="200">
        <v>2</v>
      </c>
      <c r="M719" s="202">
        <v>43178.395833333336</v>
      </c>
      <c r="N719" s="202">
        <v>43178.5625</v>
      </c>
      <c r="O719" s="196" t="s">
        <v>2534</v>
      </c>
      <c r="P719" s="200" t="s">
        <v>2535</v>
      </c>
      <c r="AB719" s="110"/>
      <c r="AC719" s="110"/>
      <c r="AD719" s="110"/>
      <c r="AE719" s="110"/>
    </row>
    <row r="720" spans="1:31">
      <c r="A720" s="201" t="s">
        <v>630</v>
      </c>
      <c r="C720" s="200">
        <v>117</v>
      </c>
      <c r="D720" s="200">
        <v>0.30729999999999985</v>
      </c>
      <c r="E720" s="200">
        <v>7.3170000000000002</v>
      </c>
      <c r="F720" s="200">
        <v>0.20619999999999999</v>
      </c>
      <c r="G720" s="200">
        <f t="shared" si="115"/>
        <v>7.5232000000000001</v>
      </c>
      <c r="H720" s="200">
        <v>7.5031999999999996</v>
      </c>
      <c r="I720" s="200">
        <f t="shared" si="116"/>
        <v>2.0000000000000462E-2</v>
      </c>
      <c r="J720" s="200">
        <f t="shared" si="117"/>
        <v>0.18619999999999953</v>
      </c>
      <c r="K720" s="277">
        <f t="shared" si="118"/>
        <v>90.300678952473106</v>
      </c>
      <c r="L720" s="200">
        <v>31</v>
      </c>
      <c r="M720" s="204">
        <v>43173</v>
      </c>
      <c r="N720" s="204">
        <v>43173</v>
      </c>
      <c r="O720" s="200" t="s">
        <v>2540</v>
      </c>
      <c r="P720" s="200" t="s">
        <v>2539</v>
      </c>
      <c r="AB720" s="110"/>
      <c r="AC720" s="110"/>
      <c r="AD720" s="110"/>
      <c r="AE720" s="110"/>
    </row>
    <row r="721" spans="1:31">
      <c r="A721" s="196" t="s">
        <v>629</v>
      </c>
      <c r="C721" s="196">
        <v>8</v>
      </c>
      <c r="D721" s="196">
        <v>1.252</v>
      </c>
      <c r="E721" s="196">
        <v>9.0211000000000006</v>
      </c>
      <c r="F721" s="196">
        <v>0.20599999999999999</v>
      </c>
      <c r="G721" s="196">
        <f t="shared" si="115"/>
        <v>9.2271000000000001</v>
      </c>
      <c r="H721" s="196">
        <v>9.0273000000000003</v>
      </c>
      <c r="I721" s="196">
        <f t="shared" si="116"/>
        <v>0.19979999999999976</v>
      </c>
      <c r="J721" s="200">
        <f t="shared" si="117"/>
        <v>6.2000000000002331E-3</v>
      </c>
      <c r="K721" s="277">
        <f t="shared" si="118"/>
        <v>3.0097087378641909</v>
      </c>
      <c r="L721" s="196">
        <v>1</v>
      </c>
      <c r="M721" s="196" t="s">
        <v>2570</v>
      </c>
      <c r="N721" s="196" t="s">
        <v>2569</v>
      </c>
      <c r="O721" s="196" t="s">
        <v>2534</v>
      </c>
      <c r="P721" s="196" t="s">
        <v>2583</v>
      </c>
      <c r="AB721" s="110"/>
      <c r="AC721" s="110"/>
      <c r="AD721" s="110"/>
      <c r="AE721" s="110"/>
    </row>
    <row r="722" spans="1:31">
      <c r="A722" s="196" t="s">
        <v>628</v>
      </c>
      <c r="C722" s="196">
        <v>52</v>
      </c>
      <c r="D722" s="196">
        <v>1.3608</v>
      </c>
      <c r="E722" s="196">
        <v>8.0957000000000008</v>
      </c>
      <c r="F722" s="196">
        <v>0.20680000000000001</v>
      </c>
      <c r="G722" s="196">
        <f t="shared" si="115"/>
        <v>8.3025000000000002</v>
      </c>
      <c r="H722" s="196">
        <v>8.1186000000000007</v>
      </c>
      <c r="I722" s="196">
        <f t="shared" si="116"/>
        <v>0.18389999999999951</v>
      </c>
      <c r="J722" s="200">
        <f t="shared" si="117"/>
        <v>2.2900000000000503E-2</v>
      </c>
      <c r="K722" s="277">
        <f t="shared" si="118"/>
        <v>11.073500967118232</v>
      </c>
      <c r="L722" s="196">
        <v>33</v>
      </c>
      <c r="M722" s="196" t="s">
        <v>2570</v>
      </c>
      <c r="N722" s="196" t="s">
        <v>2569</v>
      </c>
      <c r="O722" s="196" t="s">
        <v>2534</v>
      </c>
      <c r="U722" s="201" t="s">
        <v>1634</v>
      </c>
      <c r="V722" s="196">
        <v>1.1235999999999999</v>
      </c>
      <c r="W722" s="196">
        <f>(V722-$T$175+F720)</f>
        <v>1.3297999999999999</v>
      </c>
      <c r="AB722" s="110"/>
      <c r="AC722" s="110"/>
      <c r="AD722" s="110"/>
      <c r="AE722" s="110"/>
    </row>
    <row r="723" spans="1:31">
      <c r="A723" s="196" t="s">
        <v>626</v>
      </c>
      <c r="C723" s="197">
        <v>10</v>
      </c>
      <c r="D723" s="196">
        <v>1.1661999999999999</v>
      </c>
      <c r="E723" s="201">
        <v>8.4440000000000008</v>
      </c>
      <c r="F723" s="201">
        <v>0.20230000000000001</v>
      </c>
      <c r="G723" s="200">
        <f t="shared" si="115"/>
        <v>8.6463000000000001</v>
      </c>
      <c r="H723" s="200">
        <v>8.4525000000000006</v>
      </c>
      <c r="I723" s="200">
        <f t="shared" si="116"/>
        <v>0.19379999999999953</v>
      </c>
      <c r="J723" s="200">
        <f t="shared" si="117"/>
        <v>8.5000000000004794E-3</v>
      </c>
      <c r="K723" s="277">
        <f t="shared" si="118"/>
        <v>4.2016806722691449</v>
      </c>
      <c r="L723" s="200">
        <v>20</v>
      </c>
      <c r="M723" s="203">
        <v>43221</v>
      </c>
      <c r="N723" s="203">
        <v>43221</v>
      </c>
      <c r="AB723" s="110"/>
      <c r="AC723" s="110"/>
      <c r="AD723" s="110"/>
      <c r="AE723" s="110"/>
    </row>
    <row r="724" spans="1:31">
      <c r="A724" s="196" t="s">
        <v>624</v>
      </c>
      <c r="C724" s="196">
        <v>90</v>
      </c>
      <c r="D724" s="196">
        <v>1.8949</v>
      </c>
      <c r="E724" s="196">
        <v>21.210999999999999</v>
      </c>
      <c r="F724" s="196">
        <v>0.20669999999999999</v>
      </c>
      <c r="G724" s="196">
        <f t="shared" si="115"/>
        <v>21.4177</v>
      </c>
      <c r="H724" s="196">
        <v>21.2576</v>
      </c>
      <c r="I724" s="196">
        <f t="shared" si="116"/>
        <v>0.16009999999999991</v>
      </c>
      <c r="J724" s="200">
        <f t="shared" si="117"/>
        <v>4.6600000000000086E-2</v>
      </c>
      <c r="K724" s="277">
        <f t="shared" si="118"/>
        <v>22.544750846637683</v>
      </c>
      <c r="L724" s="196">
        <v>18</v>
      </c>
      <c r="M724" s="196" t="s">
        <v>2564</v>
      </c>
      <c r="N724" s="196" t="s">
        <v>2563</v>
      </c>
      <c r="O724" s="196" t="s">
        <v>2540</v>
      </c>
      <c r="AB724" s="110"/>
      <c r="AC724" s="110"/>
      <c r="AD724" s="110"/>
      <c r="AE724" s="110"/>
    </row>
    <row r="725" spans="1:31">
      <c r="A725" s="196" t="s">
        <v>623</v>
      </c>
      <c r="P725" s="196" t="s">
        <v>3914</v>
      </c>
      <c r="AB725" s="110"/>
      <c r="AC725" s="110"/>
      <c r="AD725" s="110"/>
      <c r="AE725" s="110"/>
    </row>
    <row r="726" spans="1:31">
      <c r="A726" s="196" t="s">
        <v>622</v>
      </c>
      <c r="C726" s="196">
        <v>16</v>
      </c>
      <c r="D726" s="196">
        <v>1.2048000000000001</v>
      </c>
      <c r="E726" s="201">
        <v>11.4437</v>
      </c>
      <c r="F726" s="201">
        <v>0.20610000000000001</v>
      </c>
      <c r="G726" s="200">
        <f t="shared" ref="G726:G771" si="119">E726+F726</f>
        <v>11.649799999999999</v>
      </c>
      <c r="H726" s="200">
        <v>11.4558</v>
      </c>
      <c r="I726" s="200">
        <f t="shared" ref="I726:I736" si="120">(G726-H726)</f>
        <v>0.19399999999999906</v>
      </c>
      <c r="J726" s="200">
        <f t="shared" ref="J726:J771" si="121">F726-I726</f>
        <v>1.2100000000000943E-2</v>
      </c>
      <c r="K726" s="277">
        <f t="shared" ref="K726:K771" si="122">(J726/F726)*100</f>
        <v>5.8709364386224854</v>
      </c>
      <c r="L726" s="200">
        <v>32</v>
      </c>
      <c r="M726" s="203">
        <v>43221</v>
      </c>
      <c r="N726" s="203">
        <v>43221</v>
      </c>
      <c r="AB726" s="110"/>
      <c r="AC726" s="110"/>
      <c r="AD726" s="110"/>
      <c r="AE726" s="110"/>
    </row>
    <row r="727" spans="1:31">
      <c r="A727" s="200" t="s">
        <v>621</v>
      </c>
      <c r="C727" s="200">
        <v>129</v>
      </c>
      <c r="D727" s="200">
        <v>1.3351999999999999</v>
      </c>
      <c r="E727" s="201">
        <v>8.8605</v>
      </c>
      <c r="F727" s="201">
        <v>0.20200000000000001</v>
      </c>
      <c r="G727" s="200">
        <f t="shared" si="119"/>
        <v>9.0625</v>
      </c>
      <c r="H727" s="200">
        <v>8.8718000000000004</v>
      </c>
      <c r="I727" s="200">
        <f t="shared" si="120"/>
        <v>0.19069999999999965</v>
      </c>
      <c r="J727" s="200">
        <f t="shared" si="121"/>
        <v>1.1300000000000365E-2</v>
      </c>
      <c r="K727" s="277">
        <f t="shared" si="122"/>
        <v>5.5940594059407749</v>
      </c>
      <c r="L727" s="200">
        <v>12</v>
      </c>
      <c r="M727" s="204">
        <v>43174</v>
      </c>
      <c r="N727" s="204">
        <v>43174</v>
      </c>
      <c r="O727" s="200" t="s">
        <v>2540</v>
      </c>
      <c r="P727" s="200" t="s">
        <v>2535</v>
      </c>
      <c r="AB727" s="110"/>
      <c r="AC727" s="110"/>
      <c r="AD727" s="110"/>
      <c r="AE727" s="110"/>
    </row>
    <row r="728" spans="1:31">
      <c r="A728" s="200" t="s">
        <v>620</v>
      </c>
      <c r="C728" s="200">
        <v>41</v>
      </c>
      <c r="D728" s="201">
        <v>1.2992999999999999</v>
      </c>
      <c r="E728" s="200">
        <v>10.271699999999999</v>
      </c>
      <c r="F728" s="201">
        <v>0.20369999999999999</v>
      </c>
      <c r="G728" s="200">
        <f t="shared" si="119"/>
        <v>10.475399999999999</v>
      </c>
      <c r="H728" s="200">
        <v>10.2857</v>
      </c>
      <c r="I728" s="200">
        <f t="shared" si="120"/>
        <v>0.18969999999999843</v>
      </c>
      <c r="J728" s="200">
        <f t="shared" si="121"/>
        <v>1.4000000000001567E-2</v>
      </c>
      <c r="K728" s="277">
        <f t="shared" si="122"/>
        <v>6.8728522336777456</v>
      </c>
      <c r="L728" s="200">
        <v>30</v>
      </c>
      <c r="M728" s="200"/>
      <c r="N728" s="200"/>
      <c r="O728" s="200"/>
      <c r="P728" s="200"/>
      <c r="AB728" s="110"/>
      <c r="AC728" s="110"/>
      <c r="AD728" s="110"/>
      <c r="AE728" s="110"/>
    </row>
    <row r="729" spans="1:31">
      <c r="A729" s="196" t="s">
        <v>619</v>
      </c>
      <c r="C729" s="196">
        <v>115</v>
      </c>
      <c r="D729" s="196">
        <v>1.1588000000000001</v>
      </c>
      <c r="E729" s="196">
        <v>18.116499999999998</v>
      </c>
      <c r="F729" s="196">
        <v>0.2036</v>
      </c>
      <c r="G729" s="196">
        <f t="shared" si="119"/>
        <v>18.3201</v>
      </c>
      <c r="H729" s="196">
        <v>18.124500000000001</v>
      </c>
      <c r="I729" s="196">
        <f t="shared" si="120"/>
        <v>0.19559999999999889</v>
      </c>
      <c r="J729" s="200">
        <f t="shared" si="121"/>
        <v>8.0000000000011173E-3</v>
      </c>
      <c r="K729" s="277">
        <f t="shared" si="122"/>
        <v>3.9292730844799202</v>
      </c>
      <c r="L729" s="196">
        <v>15</v>
      </c>
      <c r="M729" s="196" t="s">
        <v>2560</v>
      </c>
      <c r="N729" s="196">
        <v>43153.729166666664</v>
      </c>
      <c r="O729" s="196" t="s">
        <v>2534</v>
      </c>
      <c r="P729" s="196" t="s">
        <v>2558</v>
      </c>
      <c r="AB729" s="110"/>
      <c r="AC729" s="110"/>
      <c r="AD729" s="110"/>
      <c r="AE729" s="110"/>
    </row>
    <row r="730" spans="1:31">
      <c r="A730" t="s">
        <v>618</v>
      </c>
      <c r="D730" s="196">
        <v>1.3698999999999999</v>
      </c>
      <c r="E730" s="201">
        <v>11.089399999999999</v>
      </c>
      <c r="F730" s="201">
        <v>0.2064</v>
      </c>
      <c r="G730" s="200">
        <f t="shared" si="119"/>
        <v>11.2958</v>
      </c>
      <c r="H730" s="200">
        <v>11.0945</v>
      </c>
      <c r="I730" s="200">
        <f t="shared" si="120"/>
        <v>0.20129999999999981</v>
      </c>
      <c r="J730" s="200">
        <f t="shared" si="121"/>
        <v>5.1000000000001877E-3</v>
      </c>
      <c r="K730" s="277">
        <f t="shared" si="122"/>
        <v>2.4709302325582305</v>
      </c>
      <c r="L730" s="200">
        <v>4</v>
      </c>
      <c r="AB730" s="110"/>
      <c r="AC730" s="110"/>
      <c r="AD730" s="110"/>
      <c r="AE730" s="110"/>
    </row>
    <row r="731" spans="1:31">
      <c r="A731" s="196" t="s">
        <v>617</v>
      </c>
      <c r="C731" s="196">
        <v>133</v>
      </c>
      <c r="D731" s="196">
        <v>1.3261000000000001</v>
      </c>
      <c r="E731" s="196">
        <v>8.8665000000000003</v>
      </c>
      <c r="F731" s="196">
        <v>0.1983</v>
      </c>
      <c r="G731" s="196">
        <f t="shared" si="119"/>
        <v>9.0648</v>
      </c>
      <c r="H731" s="196">
        <v>8.8714999999999993</v>
      </c>
      <c r="I731" s="196">
        <f t="shared" si="120"/>
        <v>0.19330000000000069</v>
      </c>
      <c r="J731" s="200">
        <f t="shared" si="121"/>
        <v>4.9999999999993106E-3</v>
      </c>
      <c r="K731" s="277">
        <f t="shared" si="122"/>
        <v>2.521432173474186</v>
      </c>
      <c r="L731" s="196">
        <v>14</v>
      </c>
      <c r="M731" s="196">
        <v>43157.395833333336</v>
      </c>
      <c r="N731" s="196">
        <v>43157.569444444445</v>
      </c>
      <c r="O731" s="196" t="s">
        <v>2534</v>
      </c>
      <c r="AB731" s="110"/>
      <c r="AC731" s="110"/>
      <c r="AD731" s="110"/>
      <c r="AE731" s="110"/>
    </row>
    <row r="732" spans="1:31">
      <c r="A732" s="200" t="s">
        <v>616</v>
      </c>
      <c r="C732" s="200">
        <v>65</v>
      </c>
      <c r="D732" s="200">
        <v>1.4464999999999999</v>
      </c>
      <c r="E732" s="201">
        <v>11.002800000000001</v>
      </c>
      <c r="F732" s="201">
        <v>0.20530000000000001</v>
      </c>
      <c r="G732" s="200">
        <f t="shared" si="119"/>
        <v>11.2081</v>
      </c>
      <c r="H732" s="200">
        <v>11.010999999999999</v>
      </c>
      <c r="I732" s="200">
        <f t="shared" si="120"/>
        <v>0.19710000000000072</v>
      </c>
      <c r="J732" s="200">
        <f t="shared" si="121"/>
        <v>8.1999999999992912E-3</v>
      </c>
      <c r="K732" s="277">
        <f t="shared" si="122"/>
        <v>3.9941548952748618</v>
      </c>
      <c r="L732" s="200">
        <v>2</v>
      </c>
      <c r="M732" s="204">
        <v>43199</v>
      </c>
      <c r="N732" s="204">
        <v>43199</v>
      </c>
      <c r="O732" s="200"/>
      <c r="P732" s="200"/>
      <c r="AB732" s="110"/>
      <c r="AC732" s="110"/>
      <c r="AD732" s="110"/>
      <c r="AE732" s="110"/>
    </row>
    <row r="733" spans="1:31">
      <c r="A733" s="200" t="s">
        <v>615</v>
      </c>
      <c r="C733" s="200">
        <v>119</v>
      </c>
      <c r="D733" s="200">
        <v>1.0528</v>
      </c>
      <c r="E733" s="201">
        <v>8.7311999999999994</v>
      </c>
      <c r="F733" s="201">
        <v>0.2072</v>
      </c>
      <c r="G733" s="200">
        <f t="shared" si="119"/>
        <v>8.9383999999999997</v>
      </c>
      <c r="H733" s="200">
        <v>8.7446000000000002</v>
      </c>
      <c r="I733" s="200">
        <f t="shared" si="120"/>
        <v>0.19379999999999953</v>
      </c>
      <c r="J733" s="200">
        <f t="shared" si="121"/>
        <v>1.3400000000000467E-2</v>
      </c>
      <c r="K733" s="277">
        <f t="shared" si="122"/>
        <v>6.4671814671816925</v>
      </c>
      <c r="L733" s="200">
        <v>25</v>
      </c>
      <c r="M733" s="204">
        <v>43197</v>
      </c>
      <c r="N733" s="204">
        <v>43197</v>
      </c>
      <c r="O733" s="200"/>
      <c r="P733" s="200"/>
      <c r="AB733" s="110"/>
      <c r="AC733" s="110"/>
      <c r="AD733" s="110"/>
      <c r="AE733" s="110"/>
    </row>
    <row r="734" spans="1:31">
      <c r="A734" s="196" t="s">
        <v>614</v>
      </c>
      <c r="C734" s="197">
        <v>2</v>
      </c>
      <c r="D734" s="196">
        <v>1.1162000000000001</v>
      </c>
      <c r="E734" s="201">
        <v>9.0031999999999996</v>
      </c>
      <c r="F734" s="201">
        <v>0.20030000000000001</v>
      </c>
      <c r="G734" s="200">
        <f t="shared" si="119"/>
        <v>9.2035</v>
      </c>
      <c r="H734" s="200">
        <v>9.0121000000000002</v>
      </c>
      <c r="I734" s="200">
        <f t="shared" si="120"/>
        <v>0.19139999999999979</v>
      </c>
      <c r="J734" s="200">
        <f t="shared" si="121"/>
        <v>8.9000000000002133E-3</v>
      </c>
      <c r="K734" s="277">
        <f t="shared" si="122"/>
        <v>4.4433349975038503</v>
      </c>
      <c r="L734" s="200">
        <v>24</v>
      </c>
      <c r="T734" s="203"/>
      <c r="U734" s="203"/>
      <c r="AB734" s="110"/>
      <c r="AC734" s="110"/>
      <c r="AD734" s="110"/>
      <c r="AE734" s="110"/>
    </row>
    <row r="735" spans="1:31">
      <c r="A735" s="196" t="s">
        <v>613</v>
      </c>
      <c r="C735" s="196">
        <v>71</v>
      </c>
      <c r="D735" s="196">
        <v>1.3772</v>
      </c>
      <c r="E735" s="201">
        <v>9.1972000000000005</v>
      </c>
      <c r="F735" s="201">
        <v>0.20080000000000001</v>
      </c>
      <c r="G735" s="200">
        <f t="shared" si="119"/>
        <v>9.3979999999999997</v>
      </c>
      <c r="H735" s="200">
        <v>9.2026000000000003</v>
      </c>
      <c r="I735" s="200">
        <f t="shared" si="120"/>
        <v>0.19539999999999935</v>
      </c>
      <c r="J735" s="200">
        <f t="shared" si="121"/>
        <v>5.4000000000006543E-3</v>
      </c>
      <c r="K735" s="277">
        <f t="shared" si="122"/>
        <v>2.689243027888772</v>
      </c>
      <c r="L735" s="200">
        <v>4</v>
      </c>
      <c r="AB735" s="110"/>
      <c r="AC735" s="110"/>
      <c r="AD735" s="110"/>
      <c r="AE735" s="110"/>
    </row>
    <row r="736" spans="1:31">
      <c r="A736" s="196" t="s">
        <v>612</v>
      </c>
      <c r="C736" s="197">
        <v>21</v>
      </c>
      <c r="D736" s="196">
        <v>1.2070000000000001</v>
      </c>
      <c r="E736" s="201">
        <v>7.8015999999999996</v>
      </c>
      <c r="F736" s="201">
        <v>0.20019999999999999</v>
      </c>
      <c r="G736" s="200">
        <f t="shared" si="119"/>
        <v>8.0017999999999994</v>
      </c>
      <c r="H736" s="200">
        <v>7.8155999999999999</v>
      </c>
      <c r="I736" s="200">
        <f t="shared" si="120"/>
        <v>0.18619999999999948</v>
      </c>
      <c r="J736" s="200">
        <f t="shared" si="121"/>
        <v>1.4000000000000512E-2</v>
      </c>
      <c r="K736" s="277">
        <f t="shared" si="122"/>
        <v>6.9930069930072492</v>
      </c>
      <c r="L736" s="200">
        <v>6</v>
      </c>
      <c r="AB736" s="110"/>
      <c r="AC736" s="110"/>
      <c r="AD736" s="110"/>
      <c r="AE736" s="110"/>
    </row>
    <row r="737" spans="1:31">
      <c r="A737" t="s">
        <v>611</v>
      </c>
      <c r="C737">
        <v>112</v>
      </c>
      <c r="D737">
        <v>1.3818999999999999</v>
      </c>
      <c r="E737">
        <v>8.7741000000000007</v>
      </c>
      <c r="F737">
        <v>0.2107</v>
      </c>
      <c r="G737">
        <f t="shared" si="119"/>
        <v>8.9847999999999999</v>
      </c>
      <c r="H737">
        <v>8.7838999999999992</v>
      </c>
      <c r="I737">
        <f>G737-H737</f>
        <v>0.20090000000000074</v>
      </c>
      <c r="J737">
        <f t="shared" si="121"/>
        <v>9.7999999999992538E-3</v>
      </c>
      <c r="K737" s="277">
        <f t="shared" si="122"/>
        <v>4.6511627906973203</v>
      </c>
      <c r="L737">
        <v>11</v>
      </c>
      <c r="M737" t="s">
        <v>2560</v>
      </c>
      <c r="N737">
        <v>43153.729166666664</v>
      </c>
      <c r="O737" t="s">
        <v>2534</v>
      </c>
      <c r="P737" t="s">
        <v>2558</v>
      </c>
      <c r="Q737"/>
      <c r="AB737" s="110"/>
      <c r="AC737" s="110"/>
      <c r="AD737" s="110"/>
      <c r="AE737" s="110"/>
    </row>
    <row r="738" spans="1:31">
      <c r="A738" s="200" t="s">
        <v>610</v>
      </c>
      <c r="C738" s="200">
        <v>7</v>
      </c>
      <c r="D738" s="200">
        <v>1.2060999999999999</v>
      </c>
      <c r="E738" s="201">
        <v>10.9216</v>
      </c>
      <c r="F738" s="201">
        <v>0.20549999999999999</v>
      </c>
      <c r="G738" s="200">
        <f t="shared" si="119"/>
        <v>11.1271</v>
      </c>
      <c r="H738" s="200">
        <v>10.928100000000001</v>
      </c>
      <c r="I738" s="200">
        <f t="shared" ref="I738:I771" si="123">(G738-H738)</f>
        <v>0.19899999999999984</v>
      </c>
      <c r="J738" s="200">
        <f t="shared" si="121"/>
        <v>6.5000000000001446E-3</v>
      </c>
      <c r="K738" s="277">
        <f t="shared" si="122"/>
        <v>3.1630170316302406</v>
      </c>
      <c r="L738" s="200">
        <v>3</v>
      </c>
      <c r="M738" s="206">
        <v>43185.385416666664</v>
      </c>
      <c r="N738" s="200"/>
      <c r="O738" s="200" t="s">
        <v>2540</v>
      </c>
      <c r="P738" s="200"/>
      <c r="AB738" s="110"/>
      <c r="AC738" s="110"/>
      <c r="AD738" s="110"/>
      <c r="AE738" s="110"/>
    </row>
    <row r="739" spans="1:31">
      <c r="A739" s="200" t="s">
        <v>609</v>
      </c>
      <c r="C739" s="200">
        <v>121</v>
      </c>
      <c r="D739" s="200">
        <v>1.419</v>
      </c>
      <c r="E739" s="200">
        <v>10.0755</v>
      </c>
      <c r="F739" s="200">
        <v>0.2034</v>
      </c>
      <c r="G739" s="200">
        <f t="shared" si="119"/>
        <v>10.2789</v>
      </c>
      <c r="H739" s="200">
        <v>10.0906</v>
      </c>
      <c r="I739" s="200">
        <f t="shared" si="123"/>
        <v>0.18829999999999991</v>
      </c>
      <c r="J739" s="200">
        <f t="shared" si="121"/>
        <v>1.5100000000000086E-2</v>
      </c>
      <c r="K739" s="277">
        <f t="shared" si="122"/>
        <v>7.423795476892864</v>
      </c>
      <c r="L739" s="200">
        <v>10</v>
      </c>
      <c r="M739" s="204">
        <v>43188</v>
      </c>
      <c r="N739" s="204">
        <v>43188</v>
      </c>
      <c r="O739" s="200"/>
      <c r="P739" s="200"/>
      <c r="AB739" s="110"/>
      <c r="AC739" s="110"/>
      <c r="AD739" s="110"/>
      <c r="AE739" s="110"/>
    </row>
    <row r="740" spans="1:31">
      <c r="A740" s="196" t="s">
        <v>608</v>
      </c>
      <c r="C740" s="197">
        <v>149</v>
      </c>
      <c r="D740" s="196">
        <v>1.5586</v>
      </c>
      <c r="E740" s="200">
        <v>11.0868</v>
      </c>
      <c r="F740" s="201">
        <v>0.20100000000000001</v>
      </c>
      <c r="G740" s="200">
        <f t="shared" si="119"/>
        <v>11.287800000000001</v>
      </c>
      <c r="H740" s="200">
        <v>11.11</v>
      </c>
      <c r="I740" s="200">
        <f t="shared" si="123"/>
        <v>0.17780000000000129</v>
      </c>
      <c r="J740" s="200">
        <f t="shared" si="121"/>
        <v>2.3199999999998722E-2</v>
      </c>
      <c r="K740" s="277">
        <f t="shared" si="122"/>
        <v>11.542288557213293</v>
      </c>
      <c r="L740" s="200">
        <v>21</v>
      </c>
      <c r="M740" s="203">
        <v>43212</v>
      </c>
      <c r="AB740" s="110"/>
      <c r="AC740" s="110"/>
      <c r="AD740" s="110"/>
      <c r="AE740" s="110"/>
    </row>
    <row r="741" spans="1:31">
      <c r="A741" s="205" t="s">
        <v>607</v>
      </c>
      <c r="C741" s="200">
        <v>168</v>
      </c>
      <c r="D741" s="200">
        <v>1.4766999999999999</v>
      </c>
      <c r="E741" s="201">
        <v>10.539199999999999</v>
      </c>
      <c r="F741" s="201">
        <v>0.20269999999999999</v>
      </c>
      <c r="G741" s="200">
        <f t="shared" si="119"/>
        <v>10.741899999999999</v>
      </c>
      <c r="H741" s="200">
        <v>10.543200000000001</v>
      </c>
      <c r="I741" s="200">
        <f t="shared" si="123"/>
        <v>0.19869999999999877</v>
      </c>
      <c r="J741" s="200">
        <f t="shared" si="121"/>
        <v>4.0000000000012248E-3</v>
      </c>
      <c r="K741" s="277">
        <f t="shared" si="122"/>
        <v>1.9733596447958683</v>
      </c>
      <c r="L741" s="200">
        <v>11</v>
      </c>
      <c r="M741" s="206">
        <v>43185.385416666664</v>
      </c>
      <c r="N741" s="200"/>
      <c r="O741" s="200" t="s">
        <v>2540</v>
      </c>
      <c r="P741" s="200"/>
      <c r="AB741" s="110"/>
      <c r="AC741" s="110"/>
      <c r="AD741" s="110"/>
      <c r="AE741" s="110"/>
    </row>
    <row r="742" spans="1:31">
      <c r="A742" s="205" t="s">
        <v>606</v>
      </c>
      <c r="C742" s="200">
        <v>140</v>
      </c>
      <c r="D742" s="200">
        <v>1.3013999999999999</v>
      </c>
      <c r="E742" s="200">
        <v>9.3427000000000007</v>
      </c>
      <c r="F742" s="200">
        <v>0.2026</v>
      </c>
      <c r="G742" s="200">
        <f t="shared" si="119"/>
        <v>9.545300000000001</v>
      </c>
      <c r="H742" s="200">
        <v>9.3559999999999999</v>
      </c>
      <c r="I742" s="200">
        <f t="shared" si="123"/>
        <v>0.18930000000000113</v>
      </c>
      <c r="J742" s="200">
        <f t="shared" si="121"/>
        <v>1.3299999999998868E-2</v>
      </c>
      <c r="K742" s="277">
        <f t="shared" si="122"/>
        <v>6.5646594274426793</v>
      </c>
      <c r="L742" s="200">
        <v>2</v>
      </c>
      <c r="M742" s="202">
        <v>43164.628472222219</v>
      </c>
      <c r="N742" s="202">
        <v>43164.795138888891</v>
      </c>
      <c r="O742" s="196" t="s">
        <v>2534</v>
      </c>
      <c r="P742" s="200"/>
      <c r="AB742" s="110"/>
      <c r="AC742" s="110"/>
      <c r="AD742" s="110"/>
      <c r="AE742" s="110"/>
    </row>
    <row r="743" spans="1:31">
      <c r="A743" s="205" t="s">
        <v>605</v>
      </c>
      <c r="C743" s="200">
        <v>132</v>
      </c>
      <c r="D743" s="200">
        <v>1.2561</v>
      </c>
      <c r="E743" s="200">
        <v>9.2353000000000005</v>
      </c>
      <c r="F743" s="200">
        <v>0.20530000000000001</v>
      </c>
      <c r="G743" s="200">
        <f t="shared" si="119"/>
        <v>9.4405999999999999</v>
      </c>
      <c r="H743" s="200">
        <v>9.4237000000000002</v>
      </c>
      <c r="I743" s="200">
        <f t="shared" si="123"/>
        <v>1.6899999999999693E-2</v>
      </c>
      <c r="J743" s="200">
        <f t="shared" si="121"/>
        <v>0.18840000000000032</v>
      </c>
      <c r="K743" s="277">
        <f t="shared" si="122"/>
        <v>91.768144179250029</v>
      </c>
      <c r="L743" s="200">
        <v>14</v>
      </c>
      <c r="M743" s="204">
        <v>43188</v>
      </c>
      <c r="N743" s="204">
        <v>43188</v>
      </c>
      <c r="O743" s="200"/>
      <c r="P743" s="200"/>
      <c r="AB743" s="110"/>
      <c r="AC743" s="110"/>
      <c r="AD743" s="110"/>
      <c r="AE743" s="110"/>
    </row>
    <row r="744" spans="1:31">
      <c r="A744" s="196" t="s">
        <v>604</v>
      </c>
      <c r="C744" s="197">
        <v>182</v>
      </c>
      <c r="D744" s="196">
        <v>1.5063</v>
      </c>
      <c r="E744" s="201">
        <v>7.7148000000000003</v>
      </c>
      <c r="F744" s="201">
        <v>0.20039999999999999</v>
      </c>
      <c r="G744" s="200">
        <f t="shared" si="119"/>
        <v>7.9152000000000005</v>
      </c>
      <c r="H744" s="200">
        <v>7.7190000000000003</v>
      </c>
      <c r="I744" s="200">
        <f t="shared" si="123"/>
        <v>0.19620000000000015</v>
      </c>
      <c r="J744" s="200">
        <f t="shared" si="121"/>
        <v>4.1999999999998427E-3</v>
      </c>
      <c r="K744" s="277">
        <f t="shared" si="122"/>
        <v>2.0958083832334542</v>
      </c>
      <c r="L744" s="200">
        <v>12</v>
      </c>
      <c r="AB744" s="110"/>
      <c r="AC744" s="110"/>
      <c r="AD744" s="110"/>
      <c r="AE744" s="110"/>
    </row>
    <row r="745" spans="1:31">
      <c r="A745" s="200" t="s">
        <v>603</v>
      </c>
      <c r="C745" s="200">
        <v>139</v>
      </c>
      <c r="D745" s="200">
        <v>1.1411</v>
      </c>
      <c r="E745" s="201">
        <v>9.5542999999999996</v>
      </c>
      <c r="F745" s="201">
        <v>0.20119999999999999</v>
      </c>
      <c r="G745" s="200">
        <f t="shared" si="119"/>
        <v>9.7554999999999996</v>
      </c>
      <c r="H745" s="200">
        <v>9.5751000000000008</v>
      </c>
      <c r="I745" s="200">
        <f t="shared" si="123"/>
        <v>0.18039999999999878</v>
      </c>
      <c r="J745" s="200">
        <f t="shared" si="121"/>
        <v>2.0800000000001206E-2</v>
      </c>
      <c r="K745" s="277">
        <f t="shared" si="122"/>
        <v>10.337972166998611</v>
      </c>
      <c r="L745" s="200">
        <v>6</v>
      </c>
      <c r="M745" s="204">
        <v>43199</v>
      </c>
      <c r="N745" s="204">
        <v>43199</v>
      </c>
      <c r="O745" s="200"/>
      <c r="P745" s="200"/>
      <c r="AB745" s="110"/>
      <c r="AC745" s="110"/>
      <c r="AD745" s="110"/>
      <c r="AE745" s="110"/>
    </row>
    <row r="746" spans="1:31">
      <c r="A746" s="196" t="s">
        <v>602</v>
      </c>
      <c r="C746" s="196">
        <v>185</v>
      </c>
      <c r="D746" s="196">
        <v>1.538</v>
      </c>
      <c r="E746" s="200">
        <v>10.7933</v>
      </c>
      <c r="F746" s="201">
        <v>0.20069999999999999</v>
      </c>
      <c r="G746" s="200">
        <f t="shared" si="119"/>
        <v>10.994</v>
      </c>
      <c r="H746" s="200">
        <v>10.7965</v>
      </c>
      <c r="I746" s="200">
        <f t="shared" si="123"/>
        <v>0.19749999999999979</v>
      </c>
      <c r="J746" s="200">
        <f t="shared" si="121"/>
        <v>3.2000000000002027E-3</v>
      </c>
      <c r="K746" s="277">
        <f t="shared" si="122"/>
        <v>1.5944195316393635</v>
      </c>
      <c r="L746" s="200">
        <v>32</v>
      </c>
      <c r="M746" s="203">
        <v>43212</v>
      </c>
      <c r="AB746" s="110"/>
      <c r="AC746" s="110"/>
      <c r="AD746" s="110"/>
      <c r="AE746" s="110"/>
    </row>
    <row r="747" spans="1:31">
      <c r="A747" s="196" t="s">
        <v>601</v>
      </c>
      <c r="C747" s="196">
        <v>105</v>
      </c>
      <c r="D747" s="196">
        <v>1.5065999999999999</v>
      </c>
      <c r="E747" s="196">
        <v>20.017700000000001</v>
      </c>
      <c r="F747" s="196">
        <v>0.20130000000000001</v>
      </c>
      <c r="G747" s="196">
        <f t="shared" si="119"/>
        <v>20.219000000000001</v>
      </c>
      <c r="H747" s="196">
        <v>20.029299999999999</v>
      </c>
      <c r="I747" s="196">
        <f t="shared" si="123"/>
        <v>0.18970000000000198</v>
      </c>
      <c r="J747" s="200">
        <f t="shared" si="121"/>
        <v>1.1599999999998029E-2</v>
      </c>
      <c r="K747" s="277">
        <f t="shared" si="122"/>
        <v>5.7625434674605209</v>
      </c>
      <c r="L747" s="196">
        <v>6</v>
      </c>
      <c r="M747" s="196" t="s">
        <v>2560</v>
      </c>
      <c r="N747" s="196">
        <v>43153.729166666664</v>
      </c>
      <c r="O747" s="196" t="s">
        <v>2534</v>
      </c>
      <c r="P747" s="196" t="s">
        <v>2558</v>
      </c>
      <c r="AB747" s="110"/>
      <c r="AC747" s="110"/>
      <c r="AD747" s="110"/>
      <c r="AE747" s="110"/>
    </row>
    <row r="748" spans="1:31">
      <c r="A748" s="196" t="s">
        <v>600</v>
      </c>
      <c r="C748" s="200">
        <v>184</v>
      </c>
      <c r="D748" s="196">
        <v>1.5148999999999999</v>
      </c>
      <c r="E748" s="200">
        <v>11.4434</v>
      </c>
      <c r="F748" s="201">
        <v>0.20369999999999999</v>
      </c>
      <c r="G748" s="200">
        <f t="shared" si="119"/>
        <v>11.6471</v>
      </c>
      <c r="H748" s="200">
        <v>11.448700000000001</v>
      </c>
      <c r="I748" s="200">
        <f t="shared" si="123"/>
        <v>0.19839999999999947</v>
      </c>
      <c r="J748" s="200">
        <f t="shared" si="121"/>
        <v>5.3000000000005265E-3</v>
      </c>
      <c r="K748" s="277">
        <f t="shared" si="122"/>
        <v>2.6018654884636851</v>
      </c>
      <c r="L748" s="200">
        <v>36</v>
      </c>
      <c r="M748" s="204">
        <v>43211</v>
      </c>
      <c r="AB748" s="110"/>
      <c r="AC748" s="110"/>
      <c r="AD748" s="110"/>
      <c r="AE748" s="110"/>
    </row>
    <row r="749" spans="1:31">
      <c r="A749" s="196" t="s">
        <v>599</v>
      </c>
      <c r="C749" s="196">
        <v>17</v>
      </c>
      <c r="D749" s="196">
        <v>1.3929</v>
      </c>
      <c r="E749" s="200">
        <v>7.3167999999999997</v>
      </c>
      <c r="F749" s="201">
        <v>0.2092</v>
      </c>
      <c r="G749" s="200">
        <f t="shared" si="119"/>
        <v>7.5259999999999998</v>
      </c>
      <c r="H749" s="200">
        <v>7.3322000000000003</v>
      </c>
      <c r="I749" s="200">
        <f t="shared" si="123"/>
        <v>0.19379999999999953</v>
      </c>
      <c r="J749" s="200">
        <f t="shared" si="121"/>
        <v>1.5400000000000469E-2</v>
      </c>
      <c r="K749" s="277">
        <f t="shared" si="122"/>
        <v>7.361376673040378</v>
      </c>
      <c r="L749" s="200">
        <v>13</v>
      </c>
      <c r="M749" s="203">
        <v>43213</v>
      </c>
      <c r="N749" s="203">
        <v>43213</v>
      </c>
      <c r="AB749" s="110"/>
      <c r="AC749" s="110"/>
      <c r="AD749" s="110"/>
      <c r="AE749" s="110"/>
    </row>
    <row r="750" spans="1:31">
      <c r="A750" s="196" t="s">
        <v>598</v>
      </c>
      <c r="C750" s="196">
        <v>136</v>
      </c>
      <c r="D750" s="196">
        <v>1.3183</v>
      </c>
      <c r="E750" s="196">
        <v>8.7314000000000007</v>
      </c>
      <c r="F750" s="196">
        <v>0.20480000000000001</v>
      </c>
      <c r="G750" s="196">
        <f t="shared" si="119"/>
        <v>8.9362000000000013</v>
      </c>
      <c r="H750" s="196">
        <v>8.7448999999999995</v>
      </c>
      <c r="I750" s="196">
        <f t="shared" si="123"/>
        <v>0.1913000000000018</v>
      </c>
      <c r="J750" s="200">
        <f t="shared" si="121"/>
        <v>1.3499999999998208E-2</v>
      </c>
      <c r="K750" s="277">
        <f t="shared" si="122"/>
        <v>6.5917968749991243</v>
      </c>
      <c r="L750" s="196">
        <v>5</v>
      </c>
      <c r="M750" s="196">
        <v>43157.527777777781</v>
      </c>
      <c r="N750" s="196">
        <v>43157.694444444445</v>
      </c>
      <c r="O750" s="196" t="s">
        <v>2540</v>
      </c>
      <c r="AB750" s="110"/>
      <c r="AC750" s="110"/>
      <c r="AD750" s="110"/>
      <c r="AE750" s="110"/>
    </row>
    <row r="751" spans="1:31">
      <c r="A751" s="205" t="s">
        <v>597</v>
      </c>
      <c r="C751" s="200">
        <v>118</v>
      </c>
      <c r="D751" s="201">
        <v>1.3688</v>
      </c>
      <c r="E751" s="201">
        <v>7.8598999999999997</v>
      </c>
      <c r="F751" s="201">
        <v>0.19980000000000001</v>
      </c>
      <c r="G751" s="200">
        <f t="shared" si="119"/>
        <v>8.0596999999999994</v>
      </c>
      <c r="H751" s="200">
        <v>7.8691000000000004</v>
      </c>
      <c r="I751" s="200">
        <f t="shared" si="123"/>
        <v>0.19059999999999899</v>
      </c>
      <c r="J751" s="200">
        <f t="shared" si="121"/>
        <v>9.2000000000010129E-3</v>
      </c>
      <c r="K751" s="277">
        <f t="shared" si="122"/>
        <v>4.604604604605111</v>
      </c>
      <c r="L751" s="200">
        <v>17</v>
      </c>
      <c r="M751" s="200"/>
      <c r="N751" s="200"/>
      <c r="O751" s="200"/>
      <c r="P751" s="200"/>
      <c r="AB751" s="110"/>
      <c r="AC751" s="110"/>
      <c r="AD751" s="110"/>
      <c r="AE751" s="110"/>
    </row>
    <row r="752" spans="1:31">
      <c r="A752" s="196" t="s">
        <v>596</v>
      </c>
      <c r="C752" s="197">
        <v>149</v>
      </c>
      <c r="D752" s="196">
        <v>1.4964999999999999</v>
      </c>
      <c r="E752" s="200">
        <v>7.9055</v>
      </c>
      <c r="F752" s="201">
        <v>0.20230000000000001</v>
      </c>
      <c r="G752" s="200">
        <f t="shared" si="119"/>
        <v>8.1077999999999992</v>
      </c>
      <c r="H752" s="200">
        <v>7.9234999999999998</v>
      </c>
      <c r="I752" s="200">
        <f t="shared" si="123"/>
        <v>0.18429999999999946</v>
      </c>
      <c r="J752" s="200">
        <f t="shared" si="121"/>
        <v>1.8000000000000543E-2</v>
      </c>
      <c r="K752" s="277">
        <f t="shared" si="122"/>
        <v>8.8976767177461902</v>
      </c>
      <c r="L752" s="200">
        <v>40</v>
      </c>
      <c r="M752" s="203">
        <v>43212</v>
      </c>
      <c r="P752" s="196" t="s">
        <v>2552</v>
      </c>
      <c r="AB752" s="110"/>
      <c r="AC752" s="110"/>
      <c r="AD752" s="110"/>
      <c r="AE752" s="110"/>
    </row>
    <row r="753" spans="1:31">
      <c r="A753" s="196" t="s">
        <v>595</v>
      </c>
      <c r="C753" s="196">
        <v>72</v>
      </c>
      <c r="D753" s="196">
        <v>1.3431999999999999</v>
      </c>
      <c r="E753" s="196">
        <v>11.1196</v>
      </c>
      <c r="F753" s="201">
        <v>0.20330000000000001</v>
      </c>
      <c r="G753" s="200">
        <f t="shared" si="119"/>
        <v>11.322900000000001</v>
      </c>
      <c r="H753" s="200">
        <v>11.1311</v>
      </c>
      <c r="I753" s="200">
        <f t="shared" si="123"/>
        <v>0.19180000000000064</v>
      </c>
      <c r="J753" s="200">
        <f t="shared" si="121"/>
        <v>1.1499999999999372E-2</v>
      </c>
      <c r="K753" s="277">
        <f t="shared" si="122"/>
        <v>5.6566650270533065</v>
      </c>
      <c r="L753" s="200">
        <v>18</v>
      </c>
      <c r="P753" s="196" t="s">
        <v>2541</v>
      </c>
      <c r="AB753" s="110"/>
      <c r="AC753" s="110"/>
      <c r="AD753" s="110"/>
      <c r="AE753" s="110"/>
    </row>
    <row r="754" spans="1:31">
      <c r="A754" s="200" t="s">
        <v>594</v>
      </c>
      <c r="C754" s="200">
        <v>95</v>
      </c>
      <c r="D754" s="196">
        <v>2.7208999999999999</v>
      </c>
      <c r="E754" s="201">
        <v>11.9041</v>
      </c>
      <c r="F754" s="201">
        <v>0.2029</v>
      </c>
      <c r="G754" s="200">
        <f t="shared" si="119"/>
        <v>12.106999999999999</v>
      </c>
      <c r="H754" s="200">
        <v>11.9305</v>
      </c>
      <c r="I754" s="200">
        <f t="shared" si="123"/>
        <v>0.17649999999999899</v>
      </c>
      <c r="J754" s="200">
        <f t="shared" si="121"/>
        <v>2.6400000000001006E-2</v>
      </c>
      <c r="K754" s="277">
        <f t="shared" si="122"/>
        <v>13.011335633317401</v>
      </c>
      <c r="L754" s="200">
        <v>16</v>
      </c>
      <c r="M754" s="204">
        <v>43174</v>
      </c>
      <c r="N754" s="204">
        <v>43174</v>
      </c>
      <c r="O754" s="200" t="s">
        <v>2540</v>
      </c>
      <c r="P754" s="200" t="s">
        <v>2535</v>
      </c>
      <c r="AB754" s="110"/>
      <c r="AC754" s="110"/>
      <c r="AD754" s="110"/>
      <c r="AE754" s="110"/>
    </row>
    <row r="755" spans="1:31">
      <c r="A755" s="196" t="s">
        <v>593</v>
      </c>
      <c r="C755" s="196">
        <v>105</v>
      </c>
      <c r="D755" s="196">
        <v>1.5258</v>
      </c>
      <c r="E755" s="196">
        <v>20.898399999999999</v>
      </c>
      <c r="F755" s="196">
        <v>0.2021</v>
      </c>
      <c r="G755" s="196">
        <f t="shared" si="119"/>
        <v>21.1005</v>
      </c>
      <c r="H755" s="196">
        <v>20.931699999999999</v>
      </c>
      <c r="I755" s="196">
        <f t="shared" si="123"/>
        <v>0.16880000000000095</v>
      </c>
      <c r="J755" s="200">
        <f t="shared" si="121"/>
        <v>3.3299999999999053E-2</v>
      </c>
      <c r="K755" s="277">
        <f t="shared" si="122"/>
        <v>16.476991588322143</v>
      </c>
      <c r="L755" s="196">
        <v>7</v>
      </c>
      <c r="M755" s="196" t="s">
        <v>2560</v>
      </c>
      <c r="N755" s="196">
        <v>43153.729166666664</v>
      </c>
      <c r="O755" s="196" t="s">
        <v>2534</v>
      </c>
      <c r="P755" s="196" t="s">
        <v>2558</v>
      </c>
      <c r="AB755" s="110"/>
      <c r="AC755" s="110"/>
      <c r="AD755" s="110"/>
      <c r="AE755" s="110"/>
    </row>
    <row r="756" spans="1:31">
      <c r="A756" s="196" t="s">
        <v>592</v>
      </c>
      <c r="C756" s="196">
        <v>99</v>
      </c>
      <c r="D756" s="196">
        <v>1.3541000000000001</v>
      </c>
      <c r="E756" s="196">
        <v>20.781099999999999</v>
      </c>
      <c r="F756" s="196">
        <v>0.20880000000000001</v>
      </c>
      <c r="G756" s="196">
        <f t="shared" si="119"/>
        <v>20.989899999999999</v>
      </c>
      <c r="H756" s="196">
        <v>20.7882</v>
      </c>
      <c r="I756" s="196">
        <f t="shared" si="123"/>
        <v>0.20169999999999888</v>
      </c>
      <c r="J756" s="200">
        <f t="shared" si="121"/>
        <v>7.1000000000011332E-3</v>
      </c>
      <c r="K756" s="277">
        <f t="shared" si="122"/>
        <v>3.4003831417629944</v>
      </c>
      <c r="L756" s="196">
        <v>3</v>
      </c>
      <c r="M756" s="196" t="s">
        <v>2560</v>
      </c>
      <c r="N756" s="196">
        <v>43153.729166666664</v>
      </c>
      <c r="O756" s="196" t="s">
        <v>2534</v>
      </c>
      <c r="P756" s="196" t="s">
        <v>2558</v>
      </c>
      <c r="AB756" s="110"/>
      <c r="AC756" s="110"/>
      <c r="AD756" s="110"/>
      <c r="AE756" s="110"/>
    </row>
    <row r="757" spans="1:31">
      <c r="A757" s="205" t="s">
        <v>1087</v>
      </c>
      <c r="C757" s="200">
        <v>110</v>
      </c>
      <c r="D757" s="200">
        <v>1.2992999999999999</v>
      </c>
      <c r="E757" s="200">
        <v>10.5213</v>
      </c>
      <c r="F757" s="201">
        <v>0.2064</v>
      </c>
      <c r="G757" s="200">
        <f t="shared" si="119"/>
        <v>10.7277</v>
      </c>
      <c r="H757" s="200">
        <v>10.5314</v>
      </c>
      <c r="I757" s="200">
        <f t="shared" si="123"/>
        <v>0.19630000000000081</v>
      </c>
      <c r="J757" s="200">
        <f t="shared" si="121"/>
        <v>1.0099999999999193E-2</v>
      </c>
      <c r="K757" s="277">
        <f t="shared" si="122"/>
        <v>4.8934108527127869</v>
      </c>
      <c r="L757" s="200">
        <v>27</v>
      </c>
      <c r="M757" s="204">
        <v>43211</v>
      </c>
      <c r="AB757" s="110"/>
      <c r="AC757" s="110"/>
      <c r="AD757" s="110"/>
      <c r="AE757" s="110"/>
    </row>
    <row r="758" spans="1:31">
      <c r="A758" s="200" t="s">
        <v>1088</v>
      </c>
      <c r="C758" s="200">
        <v>55</v>
      </c>
      <c r="D758" s="200">
        <v>1.2990999999999999</v>
      </c>
      <c r="E758" s="200">
        <v>10.901400000000001</v>
      </c>
      <c r="F758" s="201">
        <v>0.20949999999999999</v>
      </c>
      <c r="G758" s="200">
        <f t="shared" si="119"/>
        <v>11.110900000000001</v>
      </c>
      <c r="H758" s="200">
        <v>10.9238</v>
      </c>
      <c r="I758" s="200">
        <f t="shared" si="123"/>
        <v>0.18710000000000093</v>
      </c>
      <c r="J758" s="200">
        <f t="shared" si="121"/>
        <v>2.239999999999906E-2</v>
      </c>
      <c r="K758" s="277">
        <f t="shared" si="122"/>
        <v>10.692124105011484</v>
      </c>
      <c r="L758" s="200">
        <v>15</v>
      </c>
      <c r="M758" s="204">
        <v>43187</v>
      </c>
      <c r="N758" s="204">
        <v>43187</v>
      </c>
      <c r="O758" s="200"/>
      <c r="P758" s="200"/>
      <c r="U758" s="201" t="s">
        <v>1254</v>
      </c>
      <c r="V758" s="196">
        <v>1.0869</v>
      </c>
      <c r="W758" s="196">
        <f>(V758-$T$175+F756)</f>
        <v>1.2957000000000001</v>
      </c>
      <c r="AB758" s="110"/>
      <c r="AC758" s="110"/>
      <c r="AD758" s="110"/>
      <c r="AE758" s="110"/>
    </row>
    <row r="759" spans="1:31">
      <c r="A759" s="196" t="s">
        <v>1086</v>
      </c>
      <c r="C759" s="196">
        <v>126</v>
      </c>
      <c r="D759" s="196">
        <v>1.2043999999999999</v>
      </c>
      <c r="E759" s="196">
        <v>10.855700000000001</v>
      </c>
      <c r="F759" s="196">
        <v>0.20710000000000001</v>
      </c>
      <c r="G759" s="196">
        <f t="shared" si="119"/>
        <v>11.062800000000001</v>
      </c>
      <c r="H759" s="196">
        <v>10.863799999999999</v>
      </c>
      <c r="I759" s="196">
        <f t="shared" si="123"/>
        <v>0.19900000000000162</v>
      </c>
      <c r="J759" s="200">
        <f t="shared" si="121"/>
        <v>8.0999999999983863E-3</v>
      </c>
      <c r="K759" s="277">
        <f t="shared" si="122"/>
        <v>3.9111540318678832</v>
      </c>
      <c r="L759" s="196">
        <v>1</v>
      </c>
      <c r="M759" s="196">
        <v>43157.527777777781</v>
      </c>
      <c r="N759" s="196">
        <v>43157.694444444445</v>
      </c>
      <c r="O759" s="196" t="s">
        <v>2540</v>
      </c>
      <c r="AB759" s="110"/>
      <c r="AC759" s="110"/>
      <c r="AD759" s="110"/>
      <c r="AE759" s="110"/>
    </row>
    <row r="760" spans="1:31">
      <c r="A760" s="205" t="s">
        <v>591</v>
      </c>
      <c r="C760" s="200">
        <v>64</v>
      </c>
      <c r="D760" s="201">
        <v>1.4125000000000001</v>
      </c>
      <c r="E760" s="200">
        <v>9.7211999999999996</v>
      </c>
      <c r="F760" s="201">
        <v>0.2026</v>
      </c>
      <c r="G760" s="200">
        <f t="shared" si="119"/>
        <v>9.9238</v>
      </c>
      <c r="H760" s="200">
        <v>9.7532999999999994</v>
      </c>
      <c r="I760" s="200">
        <f t="shared" si="123"/>
        <v>0.17050000000000054</v>
      </c>
      <c r="J760" s="200">
        <f t="shared" si="121"/>
        <v>3.2099999999999462E-2</v>
      </c>
      <c r="K760" s="277">
        <f t="shared" si="122"/>
        <v>15.844027640671007</v>
      </c>
      <c r="L760" s="200">
        <v>17</v>
      </c>
      <c r="M760" s="204">
        <v>43206</v>
      </c>
      <c r="N760" s="204">
        <v>43206</v>
      </c>
      <c r="O760" s="200"/>
      <c r="P760" s="200"/>
      <c r="AB760" s="110"/>
      <c r="AC760" s="110"/>
      <c r="AD760" s="110"/>
      <c r="AE760" s="110"/>
    </row>
    <row r="761" spans="1:31">
      <c r="A761" s="196" t="s">
        <v>589</v>
      </c>
      <c r="C761" s="196">
        <v>106</v>
      </c>
      <c r="D761" s="196">
        <v>1.4557</v>
      </c>
      <c r="E761" s="196">
        <v>8.0465</v>
      </c>
      <c r="F761" s="196">
        <v>0.19600000000000001</v>
      </c>
      <c r="G761" s="196">
        <f t="shared" si="119"/>
        <v>8.2424999999999997</v>
      </c>
      <c r="H761" s="196">
        <v>8.0646000000000004</v>
      </c>
      <c r="I761" s="196">
        <f t="shared" si="123"/>
        <v>0.17789999999999928</v>
      </c>
      <c r="J761" s="200">
        <f t="shared" si="121"/>
        <v>1.8100000000000727E-2</v>
      </c>
      <c r="K761" s="277">
        <f t="shared" si="122"/>
        <v>9.2346938775513898</v>
      </c>
      <c r="L761" s="196">
        <v>4</v>
      </c>
      <c r="M761" s="196">
        <v>43157.395833333336</v>
      </c>
      <c r="N761" s="196">
        <v>43157.569444444445</v>
      </c>
      <c r="O761" s="196" t="s">
        <v>2534</v>
      </c>
      <c r="AB761" s="110"/>
      <c r="AC761" s="110"/>
      <c r="AD761" s="110"/>
      <c r="AE761" s="110"/>
    </row>
    <row r="762" spans="1:31">
      <c r="A762" s="196" t="s">
        <v>588</v>
      </c>
      <c r="C762" s="196">
        <v>115</v>
      </c>
      <c r="D762" s="196">
        <v>0.5464</v>
      </c>
      <c r="E762" s="196">
        <v>19.7163</v>
      </c>
      <c r="F762" s="196">
        <v>0.19450000000000001</v>
      </c>
      <c r="G762" s="196">
        <f t="shared" si="119"/>
        <v>19.910800000000002</v>
      </c>
      <c r="H762" s="196">
        <v>19.8947</v>
      </c>
      <c r="I762" s="196">
        <f t="shared" si="123"/>
        <v>1.6100000000001558E-2</v>
      </c>
      <c r="J762" s="200">
        <f t="shared" si="121"/>
        <v>0.17839999999999845</v>
      </c>
      <c r="K762" s="277">
        <f t="shared" si="122"/>
        <v>91.722365038559602</v>
      </c>
      <c r="L762" s="196">
        <v>14</v>
      </c>
      <c r="M762" s="196" t="s">
        <v>2560</v>
      </c>
      <c r="N762" s="196">
        <v>43153.729166666664</v>
      </c>
      <c r="O762" s="196" t="s">
        <v>2534</v>
      </c>
      <c r="P762" s="196" t="s">
        <v>2558</v>
      </c>
      <c r="AB762" s="110"/>
      <c r="AC762" s="110"/>
      <c r="AD762" s="110"/>
      <c r="AE762" s="110"/>
    </row>
    <row r="763" spans="1:31">
      <c r="A763" s="196" t="s">
        <v>587</v>
      </c>
      <c r="C763" s="196">
        <v>128</v>
      </c>
      <c r="D763" s="196">
        <v>1.8813</v>
      </c>
      <c r="E763" s="196">
        <v>8.1418999999999997</v>
      </c>
      <c r="F763" s="196">
        <v>0.20810000000000001</v>
      </c>
      <c r="G763" s="196">
        <f t="shared" si="119"/>
        <v>8.35</v>
      </c>
      <c r="H763" s="196">
        <v>8.2802000000000007</v>
      </c>
      <c r="I763" s="196">
        <f t="shared" si="123"/>
        <v>6.9799999999998974E-2</v>
      </c>
      <c r="J763" s="200">
        <f t="shared" si="121"/>
        <v>0.13830000000000103</v>
      </c>
      <c r="K763" s="277">
        <f t="shared" si="122"/>
        <v>66.458433445459406</v>
      </c>
      <c r="L763" s="196">
        <v>8</v>
      </c>
      <c r="M763" s="196">
        <v>43157.395833333336</v>
      </c>
      <c r="N763" s="196">
        <v>43157.569444444445</v>
      </c>
      <c r="O763" s="196" t="s">
        <v>2534</v>
      </c>
      <c r="AB763" s="110"/>
      <c r="AC763" s="110"/>
      <c r="AD763" s="110"/>
      <c r="AE763" s="110"/>
    </row>
    <row r="764" spans="1:31">
      <c r="A764" s="196" t="s">
        <v>586</v>
      </c>
      <c r="C764" s="197">
        <v>184</v>
      </c>
      <c r="D764" s="196">
        <v>1.5008999999999999</v>
      </c>
      <c r="E764" s="201">
        <v>11.055300000000001</v>
      </c>
      <c r="F764" s="201">
        <v>0.2036</v>
      </c>
      <c r="G764" s="200">
        <f t="shared" si="119"/>
        <v>11.258900000000001</v>
      </c>
      <c r="H764" s="200">
        <v>11.0609</v>
      </c>
      <c r="I764" s="200">
        <f t="shared" si="123"/>
        <v>0.1980000000000004</v>
      </c>
      <c r="J764" s="200">
        <f t="shared" si="121"/>
        <v>5.5999999999996053E-3</v>
      </c>
      <c r="K764" s="277">
        <f t="shared" si="122"/>
        <v>2.750491159135366</v>
      </c>
      <c r="L764" s="200">
        <v>3</v>
      </c>
      <c r="M764" s="203">
        <v>43221</v>
      </c>
      <c r="N764" s="203">
        <v>43221</v>
      </c>
      <c r="AB764" s="110"/>
      <c r="AC764" s="110"/>
      <c r="AD764" s="110"/>
      <c r="AE764" s="110"/>
    </row>
    <row r="765" spans="1:31">
      <c r="A765" s="200" t="s">
        <v>585</v>
      </c>
      <c r="C765" s="200">
        <v>155</v>
      </c>
      <c r="D765" s="201">
        <v>1.3769</v>
      </c>
      <c r="E765" s="200">
        <v>8.7598000000000003</v>
      </c>
      <c r="F765" s="201">
        <v>0.20030000000000001</v>
      </c>
      <c r="G765" s="200">
        <f t="shared" si="119"/>
        <v>8.9601000000000006</v>
      </c>
      <c r="H765" s="200">
        <v>8.7750000000000004</v>
      </c>
      <c r="I765" s="200">
        <f t="shared" si="123"/>
        <v>0.18510000000000026</v>
      </c>
      <c r="J765" s="200">
        <f t="shared" si="121"/>
        <v>1.5199999999999741E-2</v>
      </c>
      <c r="K765" s="277">
        <f t="shared" si="122"/>
        <v>7.5886170743882877</v>
      </c>
      <c r="L765" s="200">
        <v>21</v>
      </c>
      <c r="M765" s="204">
        <v>43206</v>
      </c>
      <c r="N765" s="204">
        <v>43206</v>
      </c>
      <c r="O765" s="200"/>
      <c r="P765" s="200" t="s">
        <v>2548</v>
      </c>
      <c r="AB765" s="110"/>
      <c r="AC765" s="110"/>
      <c r="AD765" s="110"/>
      <c r="AE765" s="110"/>
    </row>
    <row r="766" spans="1:31">
      <c r="A766" s="205" t="s">
        <v>584</v>
      </c>
      <c r="C766" s="200">
        <v>186</v>
      </c>
      <c r="D766" s="200">
        <v>1.514</v>
      </c>
      <c r="E766" s="200">
        <v>10.697900000000001</v>
      </c>
      <c r="F766" s="201">
        <v>0.20419999999999999</v>
      </c>
      <c r="G766" s="200">
        <f t="shared" si="119"/>
        <v>10.902100000000001</v>
      </c>
      <c r="H766" s="200">
        <v>10.702299999999999</v>
      </c>
      <c r="I766" s="200">
        <f t="shared" si="123"/>
        <v>0.19980000000000153</v>
      </c>
      <c r="J766" s="200">
        <f t="shared" si="121"/>
        <v>4.3999999999984607E-3</v>
      </c>
      <c r="K766" s="277">
        <f t="shared" si="122"/>
        <v>2.1547502448572287</v>
      </c>
      <c r="L766" s="200">
        <v>29</v>
      </c>
      <c r="M766" s="204">
        <v>43187</v>
      </c>
      <c r="N766" s="204">
        <v>43187</v>
      </c>
      <c r="O766" s="200"/>
      <c r="P766" s="200"/>
      <c r="AB766" s="110"/>
      <c r="AC766" s="110"/>
      <c r="AD766" s="110"/>
      <c r="AE766" s="110"/>
    </row>
    <row r="767" spans="1:31">
      <c r="A767" s="200" t="s">
        <v>583</v>
      </c>
      <c r="C767" s="200">
        <v>171</v>
      </c>
      <c r="D767" s="200">
        <v>1.3822000000000001</v>
      </c>
      <c r="E767" s="201">
        <v>8.7588000000000008</v>
      </c>
      <c r="F767" s="201">
        <v>0.20580000000000001</v>
      </c>
      <c r="G767" s="200">
        <f t="shared" si="119"/>
        <v>8.9646000000000008</v>
      </c>
      <c r="H767" s="200">
        <v>8.7649000000000008</v>
      </c>
      <c r="I767" s="200">
        <f t="shared" si="123"/>
        <v>0.19969999999999999</v>
      </c>
      <c r="J767" s="200">
        <f t="shared" si="121"/>
        <v>6.1000000000000221E-3</v>
      </c>
      <c r="K767" s="277">
        <f t="shared" si="122"/>
        <v>2.9640427599611376</v>
      </c>
      <c r="L767" s="200">
        <v>9</v>
      </c>
      <c r="M767" s="204">
        <v>43174</v>
      </c>
      <c r="N767" s="204">
        <v>43174</v>
      </c>
      <c r="O767" s="200" t="s">
        <v>2540</v>
      </c>
      <c r="P767" s="200" t="s">
        <v>2535</v>
      </c>
      <c r="AB767" s="110"/>
      <c r="AC767" s="110"/>
      <c r="AD767" s="110"/>
      <c r="AE767" s="110"/>
    </row>
    <row r="768" spans="1:31">
      <c r="A768" s="205" t="s">
        <v>582</v>
      </c>
      <c r="C768" s="200">
        <v>140</v>
      </c>
      <c r="D768" s="200">
        <v>1.4224000000000001</v>
      </c>
      <c r="E768" s="200">
        <v>8.4426000000000005</v>
      </c>
      <c r="F768" s="200">
        <v>0.2099</v>
      </c>
      <c r="G768" s="200">
        <f t="shared" si="119"/>
        <v>8.6524999999999999</v>
      </c>
      <c r="H768" s="200">
        <v>8.4672999999999998</v>
      </c>
      <c r="I768" s="200">
        <f t="shared" si="123"/>
        <v>0.18520000000000003</v>
      </c>
      <c r="J768" s="200">
        <f t="shared" si="121"/>
        <v>2.4699999999999972E-2</v>
      </c>
      <c r="K768" s="277">
        <f t="shared" si="122"/>
        <v>11.767508337303465</v>
      </c>
      <c r="L768" s="200">
        <v>1</v>
      </c>
      <c r="M768" s="202">
        <v>43164.628472222219</v>
      </c>
      <c r="N768" s="202">
        <v>43164.795138888891</v>
      </c>
      <c r="O768" s="196" t="s">
        <v>2534</v>
      </c>
      <c r="P768" s="200"/>
      <c r="AB768" s="110"/>
      <c r="AC768" s="110"/>
      <c r="AD768" s="110"/>
      <c r="AE768" s="110"/>
    </row>
    <row r="769" spans="1:31">
      <c r="A769" s="196" t="s">
        <v>1085</v>
      </c>
      <c r="C769" s="196">
        <v>79</v>
      </c>
      <c r="D769" s="196">
        <v>1.4087000000000001</v>
      </c>
      <c r="E769" s="196">
        <v>19.805900000000001</v>
      </c>
      <c r="F769" s="196">
        <v>0.19109999999999999</v>
      </c>
      <c r="G769" s="196">
        <f t="shared" si="119"/>
        <v>19.997</v>
      </c>
      <c r="H769" s="196">
        <v>19.8095</v>
      </c>
      <c r="I769" s="196">
        <f t="shared" si="123"/>
        <v>0.1875</v>
      </c>
      <c r="J769" s="200">
        <f t="shared" si="121"/>
        <v>3.5999999999999921E-3</v>
      </c>
      <c r="K769" s="277">
        <f t="shared" si="122"/>
        <v>1.8838304552590228</v>
      </c>
      <c r="L769" s="196">
        <v>21</v>
      </c>
      <c r="M769" s="196" t="s">
        <v>2564</v>
      </c>
      <c r="N769" s="196" t="s">
        <v>2563</v>
      </c>
      <c r="O769" s="196" t="s">
        <v>2540</v>
      </c>
      <c r="AB769" s="110"/>
      <c r="AC769" s="110"/>
      <c r="AD769" s="110"/>
      <c r="AE769" s="110"/>
    </row>
    <row r="770" spans="1:31">
      <c r="A770" s="200" t="s">
        <v>581</v>
      </c>
      <c r="C770" s="200">
        <v>125</v>
      </c>
      <c r="D770" s="200">
        <v>0.8</v>
      </c>
      <c r="E770" s="201">
        <v>8.7681000000000004</v>
      </c>
      <c r="F770" s="201">
        <v>0.2019</v>
      </c>
      <c r="G770" s="200">
        <f t="shared" si="119"/>
        <v>8.9700000000000006</v>
      </c>
      <c r="H770" s="200">
        <v>8.9550000000000001</v>
      </c>
      <c r="I770" s="200">
        <f t="shared" si="123"/>
        <v>1.5000000000000568E-2</v>
      </c>
      <c r="J770" s="200">
        <f t="shared" si="121"/>
        <v>0.18689999999999943</v>
      </c>
      <c r="K770" s="277">
        <f t="shared" si="122"/>
        <v>92.570579494799119</v>
      </c>
      <c r="L770" s="200">
        <v>14</v>
      </c>
      <c r="M770" s="204">
        <v>43197</v>
      </c>
      <c r="N770" s="204">
        <v>43197</v>
      </c>
      <c r="O770" s="200"/>
      <c r="P770" s="200"/>
      <c r="AB770" s="110"/>
      <c r="AC770" s="110"/>
      <c r="AD770" s="110"/>
      <c r="AE770" s="110"/>
    </row>
    <row r="771" spans="1:31">
      <c r="A771" s="205" t="s">
        <v>580</v>
      </c>
      <c r="C771" s="200">
        <v>98</v>
      </c>
      <c r="D771" s="200">
        <v>1.3828</v>
      </c>
      <c r="E771" s="201">
        <v>11.8628</v>
      </c>
      <c r="F771" s="201">
        <v>0.2011</v>
      </c>
      <c r="G771" s="200">
        <f t="shared" si="119"/>
        <v>12.0639</v>
      </c>
      <c r="H771" s="200">
        <v>11.887499999999999</v>
      </c>
      <c r="I771" s="200">
        <f t="shared" si="123"/>
        <v>0.176400000000001</v>
      </c>
      <c r="J771" s="200">
        <f t="shared" si="121"/>
        <v>2.4699999999999001E-2</v>
      </c>
      <c r="K771" s="277">
        <f t="shared" si="122"/>
        <v>12.28244654400746</v>
      </c>
      <c r="L771" s="200">
        <v>22</v>
      </c>
      <c r="M771" s="206">
        <v>43185.385416666664</v>
      </c>
      <c r="N771" s="200"/>
      <c r="O771" s="200" t="s">
        <v>2540</v>
      </c>
      <c r="P771" s="200"/>
      <c r="AB771" s="110"/>
      <c r="AC771" s="110"/>
      <c r="AD771" s="110"/>
      <c r="AE771" s="110"/>
    </row>
    <row r="772" spans="1:31">
      <c r="A772" s="196" t="s">
        <v>579</v>
      </c>
      <c r="P772" s="196" t="s">
        <v>3914</v>
      </c>
      <c r="AB772" s="110"/>
      <c r="AC772" s="110"/>
      <c r="AD772" s="110"/>
      <c r="AE772" s="110"/>
    </row>
    <row r="773" spans="1:31">
      <c r="A773" s="200" t="s">
        <v>578</v>
      </c>
      <c r="C773" s="200">
        <v>139</v>
      </c>
      <c r="D773" s="200">
        <v>1.9558</v>
      </c>
      <c r="E773" s="201">
        <v>8.7025000000000006</v>
      </c>
      <c r="F773" s="201">
        <v>0.2029</v>
      </c>
      <c r="G773" s="200">
        <f>E773+F773</f>
        <v>8.9054000000000002</v>
      </c>
      <c r="H773" s="200">
        <v>8.8855000000000004</v>
      </c>
      <c r="I773" s="200">
        <f>(G773-H773)</f>
        <v>1.9899999999999807E-2</v>
      </c>
      <c r="J773" s="200">
        <f>F773-I773</f>
        <v>0.18300000000000019</v>
      </c>
      <c r="K773" s="277">
        <f>(J773/F773)*100</f>
        <v>90.192212912765001</v>
      </c>
      <c r="L773" s="200">
        <v>5</v>
      </c>
      <c r="M773" s="204">
        <v>43199</v>
      </c>
      <c r="N773" s="204">
        <v>43199</v>
      </c>
      <c r="O773" s="200"/>
      <c r="P773" s="200"/>
      <c r="AB773" s="110"/>
      <c r="AC773" s="110"/>
      <c r="AD773" s="110"/>
      <c r="AE773" s="110"/>
    </row>
    <row r="774" spans="1:31">
      <c r="A774" s="200" t="s">
        <v>577</v>
      </c>
      <c r="C774" s="200">
        <v>121</v>
      </c>
      <c r="D774" s="200">
        <v>1.2749999999999999</v>
      </c>
      <c r="E774" s="200">
        <v>9.2199000000000009</v>
      </c>
      <c r="F774" s="200">
        <v>0.2009</v>
      </c>
      <c r="G774" s="200">
        <f>E774+F774</f>
        <v>9.4208000000000016</v>
      </c>
      <c r="H774" s="200">
        <v>9.2349999999999994</v>
      </c>
      <c r="I774" s="200">
        <f>(G774-H774)</f>
        <v>0.18580000000000219</v>
      </c>
      <c r="J774" s="200">
        <f>F774-I774</f>
        <v>1.509999999999781E-2</v>
      </c>
      <c r="K774" s="277">
        <f>(J774/F774)*100</f>
        <v>7.5161772025872624</v>
      </c>
      <c r="L774" s="200">
        <v>9</v>
      </c>
      <c r="M774" s="204">
        <v>43188</v>
      </c>
      <c r="N774" s="204">
        <v>43188</v>
      </c>
      <c r="O774" s="200"/>
      <c r="P774" s="200"/>
      <c r="AB774" s="110"/>
      <c r="AC774" s="110"/>
      <c r="AD774" s="110"/>
      <c r="AE774" s="110"/>
    </row>
    <row r="775" spans="1:31">
      <c r="A775" s="201" t="s">
        <v>576</v>
      </c>
      <c r="C775" s="200">
        <v>117</v>
      </c>
      <c r="D775" s="200">
        <v>1.1574</v>
      </c>
      <c r="E775" s="200">
        <v>8.0631000000000004</v>
      </c>
      <c r="F775" s="200">
        <v>0.20119999999999999</v>
      </c>
      <c r="G775" s="200">
        <f>E775+F775</f>
        <v>8.2643000000000004</v>
      </c>
      <c r="H775" s="200">
        <v>8.0713000000000008</v>
      </c>
      <c r="I775" s="200">
        <f>(G775-H775)</f>
        <v>0.19299999999999962</v>
      </c>
      <c r="J775" s="200">
        <f>F775-I775</f>
        <v>8.2000000000003737E-3</v>
      </c>
      <c r="K775" s="277">
        <f>(J775/F775)*100</f>
        <v>4.0755467196820945</v>
      </c>
      <c r="L775" s="200">
        <v>30</v>
      </c>
      <c r="M775" s="204">
        <v>43173</v>
      </c>
      <c r="N775" s="204">
        <v>43173</v>
      </c>
      <c r="O775" s="200" t="s">
        <v>2540</v>
      </c>
      <c r="P775" s="200" t="s">
        <v>2539</v>
      </c>
      <c r="AB775" s="110"/>
      <c r="AC775" s="110"/>
      <c r="AD775" s="110"/>
      <c r="AE775" s="110"/>
    </row>
    <row r="776" spans="1:31">
      <c r="A776" s="205" t="s">
        <v>575</v>
      </c>
      <c r="C776" s="200">
        <v>19</v>
      </c>
      <c r="D776" s="200">
        <v>1.2431000000000001</v>
      </c>
      <c r="E776" s="200">
        <v>11.0016</v>
      </c>
      <c r="F776" s="201">
        <v>0.20380000000000001</v>
      </c>
      <c r="G776" s="200">
        <f>E776+F776</f>
        <v>11.205399999999999</v>
      </c>
      <c r="H776" s="200">
        <v>11.018800000000001</v>
      </c>
      <c r="I776" s="200">
        <f>(G776-H776)</f>
        <v>0.18659999999999854</v>
      </c>
      <c r="J776" s="200">
        <f>F776-I776</f>
        <v>1.7200000000001464E-2</v>
      </c>
      <c r="K776" s="277">
        <f>(J776/F776)*100</f>
        <v>8.439646712463917</v>
      </c>
      <c r="L776" s="200">
        <v>30</v>
      </c>
      <c r="M776" s="204">
        <v>43211</v>
      </c>
      <c r="AB776" s="110"/>
      <c r="AC776" s="110"/>
      <c r="AD776" s="110"/>
      <c r="AE776" s="110"/>
    </row>
    <row r="777" spans="1:31">
      <c r="A777" s="200" t="s">
        <v>574</v>
      </c>
      <c r="C777" s="200">
        <v>143</v>
      </c>
      <c r="D777" s="200">
        <v>1.3491</v>
      </c>
      <c r="E777" s="200">
        <v>8.3584999999999994</v>
      </c>
      <c r="F777" s="200">
        <v>0.2049</v>
      </c>
      <c r="G777" s="200">
        <f>E777+F777</f>
        <v>8.5633999999999997</v>
      </c>
      <c r="H777" s="200">
        <v>8.3665000000000003</v>
      </c>
      <c r="I777" s="200">
        <f>(G777-H777)</f>
        <v>0.19689999999999941</v>
      </c>
      <c r="J777" s="200">
        <f>F777-I777</f>
        <v>8.00000000000059E-3</v>
      </c>
      <c r="K777" s="277">
        <f>(J777/F777)*100</f>
        <v>3.9043435822355246</v>
      </c>
      <c r="L777" s="200">
        <v>9</v>
      </c>
      <c r="M777" s="202">
        <v>43171.520833333336</v>
      </c>
      <c r="N777" s="202">
        <v>43171.6875</v>
      </c>
      <c r="O777" s="196" t="s">
        <v>2534</v>
      </c>
      <c r="P777" s="200"/>
      <c r="AB777" s="110"/>
      <c r="AC777" s="110"/>
      <c r="AD777" s="110"/>
      <c r="AE777" s="110"/>
    </row>
    <row r="778" spans="1:31">
      <c r="A778" s="196" t="s">
        <v>573</v>
      </c>
      <c r="P778" s="196" t="s">
        <v>3914</v>
      </c>
      <c r="AB778" s="110"/>
      <c r="AC778" s="110"/>
      <c r="AD778" s="110"/>
      <c r="AE778" s="110"/>
    </row>
    <row r="779" spans="1:31">
      <c r="A779" s="205" t="s">
        <v>572</v>
      </c>
      <c r="C779" s="200">
        <v>102</v>
      </c>
      <c r="D779" s="200">
        <v>1.405</v>
      </c>
      <c r="E779" s="201">
        <v>8.1679999999999993</v>
      </c>
      <c r="F779" s="201">
        <v>0.2009</v>
      </c>
      <c r="G779" s="200">
        <f>E779+F779</f>
        <v>8.3689</v>
      </c>
      <c r="H779" s="200">
        <v>8.1808999999999994</v>
      </c>
      <c r="I779" s="200">
        <f>(G779-H779)</f>
        <v>0.18800000000000061</v>
      </c>
      <c r="J779" s="200">
        <f>F779-I779</f>
        <v>1.2899999999999384E-2</v>
      </c>
      <c r="K779" s="277">
        <f>(J779/F779)*100</f>
        <v>6.4211050273764974</v>
      </c>
      <c r="L779" s="200">
        <v>2</v>
      </c>
      <c r="M779" s="202">
        <v>43181.645833333336</v>
      </c>
      <c r="N779" s="202">
        <v>43181.833333333336</v>
      </c>
      <c r="O779" s="200" t="s">
        <v>2540</v>
      </c>
      <c r="P779" s="200"/>
      <c r="AB779" s="110"/>
      <c r="AC779" s="110"/>
      <c r="AD779" s="110"/>
      <c r="AE779" s="110"/>
    </row>
    <row r="780" spans="1:31">
      <c r="A780" s="196" t="s">
        <v>1084</v>
      </c>
      <c r="P780" s="196" t="s">
        <v>3914</v>
      </c>
      <c r="AB780" s="110"/>
      <c r="AC780" s="110"/>
      <c r="AD780" s="110"/>
      <c r="AE780" s="110"/>
    </row>
    <row r="781" spans="1:31">
      <c r="A781" s="205" t="s">
        <v>571</v>
      </c>
      <c r="C781" s="200">
        <v>158</v>
      </c>
      <c r="D781" s="201">
        <v>1.4619</v>
      </c>
      <c r="E781" s="201">
        <v>10.124499999999999</v>
      </c>
      <c r="F781" s="201">
        <v>0.1996</v>
      </c>
      <c r="G781" s="200">
        <f t="shared" ref="G781:G795" si="124">E781+F781</f>
        <v>10.3241</v>
      </c>
      <c r="H781" s="200">
        <v>10.1335</v>
      </c>
      <c r="I781" s="200">
        <f t="shared" ref="I781:I795" si="125">(G781-H781)</f>
        <v>0.19059999999999988</v>
      </c>
      <c r="J781" s="200">
        <f t="shared" ref="J781:J795" si="126">F781-I781</f>
        <v>9.000000000000119E-3</v>
      </c>
      <c r="K781" s="277">
        <f t="shared" ref="K781:K795" si="127">(J781/F781)*100</f>
        <v>4.5090180360722032</v>
      </c>
      <c r="L781" s="200">
        <v>20</v>
      </c>
      <c r="M781" s="204">
        <v>43199</v>
      </c>
      <c r="N781" s="204">
        <v>43199</v>
      </c>
      <c r="O781" s="200"/>
      <c r="P781" s="200"/>
      <c r="AB781" s="110"/>
      <c r="AC781" s="110"/>
      <c r="AD781" s="110"/>
      <c r="AE781" s="110"/>
    </row>
    <row r="782" spans="1:31">
      <c r="A782" s="205" t="s">
        <v>570</v>
      </c>
      <c r="C782" s="200">
        <v>144</v>
      </c>
      <c r="D782" s="200">
        <v>1.0775999999999999</v>
      </c>
      <c r="E782" s="201">
        <v>7.7736000000000001</v>
      </c>
      <c r="F782" s="201">
        <v>0.20749999999999999</v>
      </c>
      <c r="G782" s="200">
        <f t="shared" si="124"/>
        <v>7.9810999999999996</v>
      </c>
      <c r="H782" s="200">
        <v>7.9349999999999996</v>
      </c>
      <c r="I782" s="200">
        <f t="shared" si="125"/>
        <v>4.610000000000003E-2</v>
      </c>
      <c r="J782" s="200">
        <f t="shared" si="126"/>
        <v>0.16139999999999996</v>
      </c>
      <c r="K782" s="277">
        <f t="shared" si="127"/>
        <v>77.783132530120469</v>
      </c>
      <c r="L782" s="200">
        <v>2</v>
      </c>
      <c r="M782" s="204">
        <v>43197</v>
      </c>
      <c r="N782" s="204">
        <v>43197</v>
      </c>
      <c r="O782" s="200"/>
      <c r="P782" s="200"/>
      <c r="AB782" s="110"/>
      <c r="AC782" s="110"/>
      <c r="AD782" s="110"/>
      <c r="AE782" s="110"/>
    </row>
    <row r="783" spans="1:31">
      <c r="A783" s="205" t="s">
        <v>569</v>
      </c>
      <c r="C783" s="200">
        <v>150</v>
      </c>
      <c r="D783" s="200">
        <v>1.2972999999999999</v>
      </c>
      <c r="E783" s="201">
        <v>9.1969999999999992</v>
      </c>
      <c r="F783" s="201">
        <v>0.20180000000000001</v>
      </c>
      <c r="G783" s="200">
        <f t="shared" si="124"/>
        <v>9.3987999999999996</v>
      </c>
      <c r="H783" s="200">
        <v>9.2114999999999991</v>
      </c>
      <c r="I783" s="200">
        <f t="shared" si="125"/>
        <v>0.18730000000000047</v>
      </c>
      <c r="J783" s="200">
        <f t="shared" si="126"/>
        <v>1.4499999999999541E-2</v>
      </c>
      <c r="K783" s="277">
        <f t="shared" si="127"/>
        <v>7.1853320118927355</v>
      </c>
      <c r="L783" s="200">
        <v>9</v>
      </c>
      <c r="M783" s="204">
        <v>43199</v>
      </c>
      <c r="N783" s="204">
        <v>43199</v>
      </c>
      <c r="O783" s="200"/>
      <c r="P783" s="200"/>
      <c r="AB783" s="110"/>
      <c r="AC783" s="110"/>
      <c r="AD783" s="110"/>
      <c r="AE783" s="110"/>
    </row>
    <row r="784" spans="1:31">
      <c r="A784" s="200" t="s">
        <v>568</v>
      </c>
      <c r="C784" s="200">
        <v>147</v>
      </c>
      <c r="D784" s="200">
        <v>1.5023</v>
      </c>
      <c r="E784" s="201">
        <v>9.7204999999999995</v>
      </c>
      <c r="F784" s="201">
        <v>0.20680000000000001</v>
      </c>
      <c r="G784" s="200">
        <f t="shared" si="124"/>
        <v>9.9272999999999989</v>
      </c>
      <c r="H784" s="200">
        <v>9.7386999999999997</v>
      </c>
      <c r="I784" s="200">
        <f t="shared" si="125"/>
        <v>0.18859999999999921</v>
      </c>
      <c r="J784" s="200">
        <f t="shared" si="126"/>
        <v>1.8200000000000799E-2</v>
      </c>
      <c r="K784" s="277">
        <f t="shared" si="127"/>
        <v>8.8007736943911006</v>
      </c>
      <c r="L784" s="200">
        <v>22</v>
      </c>
      <c r="M784" s="204">
        <v>43197</v>
      </c>
      <c r="N784" s="204">
        <v>43197</v>
      </c>
      <c r="O784" s="200"/>
      <c r="P784" s="200"/>
      <c r="AB784" s="110"/>
      <c r="AC784" s="110"/>
      <c r="AD784" s="110"/>
      <c r="AE784" s="110"/>
    </row>
    <row r="785" spans="1:31">
      <c r="A785" s="200" t="s">
        <v>567</v>
      </c>
      <c r="C785" s="200">
        <v>107</v>
      </c>
      <c r="D785" s="200">
        <v>1.4400999999999999</v>
      </c>
      <c r="E785" s="201">
        <v>9.5545000000000009</v>
      </c>
      <c r="F785" s="201">
        <v>0.20649999999999999</v>
      </c>
      <c r="G785" s="200">
        <f t="shared" si="124"/>
        <v>9.761000000000001</v>
      </c>
      <c r="H785" s="200">
        <v>9.5670000000000002</v>
      </c>
      <c r="I785" s="200">
        <f t="shared" si="125"/>
        <v>0.19400000000000084</v>
      </c>
      <c r="J785" s="200">
        <f t="shared" si="126"/>
        <v>1.2499999999999151E-2</v>
      </c>
      <c r="K785" s="277">
        <f t="shared" si="127"/>
        <v>6.0532687651327608</v>
      </c>
      <c r="L785" s="200">
        <v>3</v>
      </c>
      <c r="M785" s="202">
        <v>43178.395833333336</v>
      </c>
      <c r="N785" s="202">
        <v>43178.5625</v>
      </c>
      <c r="O785" s="196" t="s">
        <v>2534</v>
      </c>
      <c r="P785" s="200"/>
      <c r="AB785" s="110"/>
      <c r="AC785" s="110"/>
      <c r="AD785" s="110"/>
      <c r="AE785" s="110"/>
    </row>
    <row r="786" spans="1:31">
      <c r="A786" s="200" t="s">
        <v>566</v>
      </c>
      <c r="C786" s="200">
        <v>123</v>
      </c>
      <c r="D786" s="200">
        <f>1.2391+F786</f>
        <v>1.4423000000000001</v>
      </c>
      <c r="E786" s="201">
        <v>9.0521999999999991</v>
      </c>
      <c r="F786" s="201">
        <v>0.20319999999999999</v>
      </c>
      <c r="G786" s="200">
        <f t="shared" si="124"/>
        <v>9.2553999999999998</v>
      </c>
      <c r="H786" s="200">
        <v>9.1052</v>
      </c>
      <c r="I786" s="200">
        <f t="shared" si="125"/>
        <v>0.15019999999999989</v>
      </c>
      <c r="J786" s="200">
        <f t="shared" si="126"/>
        <v>5.3000000000000103E-2</v>
      </c>
      <c r="K786" s="277">
        <f t="shared" si="127"/>
        <v>26.082677165354383</v>
      </c>
      <c r="L786" s="200">
        <v>23</v>
      </c>
      <c r="M786" s="204">
        <v>43174</v>
      </c>
      <c r="N786" s="204">
        <v>43174</v>
      </c>
      <c r="O786" s="200" t="s">
        <v>2540</v>
      </c>
      <c r="P786" s="200" t="s">
        <v>2535</v>
      </c>
      <c r="AB786" s="110"/>
      <c r="AC786" s="110"/>
      <c r="AD786" s="110"/>
      <c r="AE786" s="110"/>
    </row>
    <row r="787" spans="1:31">
      <c r="A787" s="196" t="s">
        <v>565</v>
      </c>
      <c r="C787" s="197">
        <v>97</v>
      </c>
      <c r="D787" s="196">
        <v>1.4582999999999999</v>
      </c>
      <c r="E787" s="201">
        <v>9.5541</v>
      </c>
      <c r="F787" s="201">
        <v>0.2014</v>
      </c>
      <c r="G787" s="200">
        <f t="shared" si="124"/>
        <v>9.7554999999999996</v>
      </c>
      <c r="H787" s="200">
        <v>9.5710999999999995</v>
      </c>
      <c r="I787" s="200">
        <f t="shared" si="125"/>
        <v>0.18440000000000012</v>
      </c>
      <c r="J787" s="200">
        <f t="shared" si="126"/>
        <v>1.6999999999999876E-2</v>
      </c>
      <c r="K787" s="277">
        <f t="shared" si="127"/>
        <v>8.4409136047665729</v>
      </c>
      <c r="L787" s="200">
        <v>10</v>
      </c>
      <c r="M787" s="203">
        <v>43221</v>
      </c>
      <c r="N787" s="203">
        <v>43221</v>
      </c>
      <c r="AB787" s="110"/>
      <c r="AC787" s="110"/>
      <c r="AD787" s="110"/>
      <c r="AE787" s="110"/>
    </row>
    <row r="788" spans="1:31">
      <c r="A788" s="200" t="s">
        <v>564</v>
      </c>
      <c r="C788" s="200">
        <v>104</v>
      </c>
      <c r="D788" s="200">
        <f>1.0315+F788</f>
        <v>1.2391000000000001</v>
      </c>
      <c r="E788" s="201">
        <v>10.702400000000001</v>
      </c>
      <c r="F788" s="201">
        <v>0.20760000000000001</v>
      </c>
      <c r="G788" s="200">
        <f t="shared" si="124"/>
        <v>10.91</v>
      </c>
      <c r="H788" s="200">
        <v>10.7156</v>
      </c>
      <c r="I788" s="200">
        <f t="shared" si="125"/>
        <v>0.19439999999999991</v>
      </c>
      <c r="J788" s="200">
        <f t="shared" si="126"/>
        <v>1.3200000000000101E-2</v>
      </c>
      <c r="K788" s="277">
        <f t="shared" si="127"/>
        <v>6.3583815028902215</v>
      </c>
      <c r="L788" s="200">
        <v>30</v>
      </c>
      <c r="M788" s="204">
        <v>43174</v>
      </c>
      <c r="N788" s="204">
        <v>43174</v>
      </c>
      <c r="O788" s="200" t="s">
        <v>2540</v>
      </c>
      <c r="P788" s="200" t="s">
        <v>2535</v>
      </c>
      <c r="AB788" s="110"/>
      <c r="AC788" s="110"/>
      <c r="AD788" s="110"/>
      <c r="AE788" s="110"/>
    </row>
    <row r="789" spans="1:31">
      <c r="A789" s="200" t="s">
        <v>563</v>
      </c>
      <c r="C789" s="200">
        <v>113</v>
      </c>
      <c r="D789" s="200">
        <v>1.1912</v>
      </c>
      <c r="E789" s="200">
        <v>10.7927</v>
      </c>
      <c r="F789" s="201">
        <v>0.20369999999999999</v>
      </c>
      <c r="G789" s="200">
        <f t="shared" si="124"/>
        <v>10.9964</v>
      </c>
      <c r="H789" s="200">
        <v>10.8179</v>
      </c>
      <c r="I789" s="200">
        <f t="shared" si="125"/>
        <v>0.17849999999999966</v>
      </c>
      <c r="J789" s="200">
        <f t="shared" si="126"/>
        <v>2.5200000000000333E-2</v>
      </c>
      <c r="K789" s="277">
        <f t="shared" si="127"/>
        <v>12.371134020618721</v>
      </c>
      <c r="L789" s="200">
        <v>17</v>
      </c>
      <c r="M789" s="204">
        <v>43187</v>
      </c>
      <c r="N789" s="204">
        <v>43187</v>
      </c>
      <c r="O789" s="200"/>
      <c r="P789" s="200"/>
      <c r="AB789" s="110"/>
      <c r="AC789" s="110"/>
      <c r="AD789" s="110"/>
      <c r="AE789" s="110"/>
    </row>
    <row r="790" spans="1:31">
      <c r="A790" s="196" t="s">
        <v>562</v>
      </c>
      <c r="C790" s="196">
        <v>152</v>
      </c>
      <c r="D790" s="196">
        <v>1.2967</v>
      </c>
      <c r="E790" s="200">
        <v>7.8011999999999997</v>
      </c>
      <c r="F790" s="201">
        <v>0.19989999999999999</v>
      </c>
      <c r="G790" s="200">
        <f t="shared" si="124"/>
        <v>8.0010999999999992</v>
      </c>
      <c r="H790" s="200">
        <v>7.8114999999999997</v>
      </c>
      <c r="I790" s="200">
        <f t="shared" si="125"/>
        <v>0.18959999999999955</v>
      </c>
      <c r="J790" s="200">
        <f t="shared" si="126"/>
        <v>1.0300000000000448E-2</v>
      </c>
      <c r="K790" s="277">
        <f t="shared" si="127"/>
        <v>5.1525762881442967</v>
      </c>
      <c r="L790" s="200">
        <v>5</v>
      </c>
      <c r="M790" s="203">
        <v>43213</v>
      </c>
      <c r="N790" s="203">
        <v>43213</v>
      </c>
      <c r="AB790" s="110"/>
      <c r="AC790" s="110"/>
      <c r="AD790" s="110"/>
      <c r="AE790" s="110"/>
    </row>
    <row r="791" spans="1:31">
      <c r="A791" s="205" t="s">
        <v>1083</v>
      </c>
      <c r="C791" s="200">
        <v>56</v>
      </c>
      <c r="D791" s="201">
        <v>1.3449</v>
      </c>
      <c r="E791" s="201">
        <v>10.855499999999999</v>
      </c>
      <c r="F791" s="201">
        <v>0.20399999999999999</v>
      </c>
      <c r="G791" s="200">
        <f t="shared" si="124"/>
        <v>11.0595</v>
      </c>
      <c r="H791" s="200">
        <v>10.8619</v>
      </c>
      <c r="I791" s="200">
        <f t="shared" si="125"/>
        <v>0.19759999999999955</v>
      </c>
      <c r="J791" s="200">
        <f t="shared" si="126"/>
        <v>6.4000000000004331E-3</v>
      </c>
      <c r="K791" s="277">
        <f t="shared" si="127"/>
        <v>3.1372549019609965</v>
      </c>
      <c r="L791" s="200">
        <v>9</v>
      </c>
      <c r="M791" s="200"/>
      <c r="N791" s="200"/>
      <c r="O791" s="200"/>
      <c r="P791" s="200"/>
      <c r="U791" s="201" t="s">
        <v>651</v>
      </c>
      <c r="V791" s="196">
        <v>1.8968</v>
      </c>
      <c r="W791" s="196">
        <f>(V791-$T$175+F789)</f>
        <v>2.1005000000000003</v>
      </c>
      <c r="AB791" s="110"/>
      <c r="AC791" s="110"/>
      <c r="AD791" s="110"/>
      <c r="AE791" s="110"/>
    </row>
    <row r="792" spans="1:31">
      <c r="A792" s="196" t="s">
        <v>561</v>
      </c>
      <c r="C792" s="197">
        <v>187</v>
      </c>
      <c r="D792" s="196">
        <v>1.4157999999999999</v>
      </c>
      <c r="E792" s="201">
        <v>8.7024000000000008</v>
      </c>
      <c r="F792" s="201">
        <v>0.2056</v>
      </c>
      <c r="G792" s="200">
        <f t="shared" si="124"/>
        <v>8.9080000000000013</v>
      </c>
      <c r="H792" s="200">
        <v>8.7066999999999997</v>
      </c>
      <c r="I792" s="200">
        <f t="shared" si="125"/>
        <v>0.20130000000000159</v>
      </c>
      <c r="J792" s="200">
        <f t="shared" si="126"/>
        <v>4.2999999999984162E-3</v>
      </c>
      <c r="K792" s="277">
        <f t="shared" si="127"/>
        <v>2.0914396887151829</v>
      </c>
      <c r="L792" s="200">
        <v>12</v>
      </c>
      <c r="AB792" s="110"/>
      <c r="AC792" s="110"/>
      <c r="AD792" s="110"/>
      <c r="AE792" s="110"/>
    </row>
    <row r="793" spans="1:31">
      <c r="A793" s="196" t="s">
        <v>560</v>
      </c>
      <c r="C793" s="196">
        <v>141</v>
      </c>
      <c r="D793" s="196">
        <v>0.91259999999999997</v>
      </c>
      <c r="E793" s="196">
        <v>7.9127000000000001</v>
      </c>
      <c r="F793" s="196">
        <v>0.20449999999999999</v>
      </c>
      <c r="G793" s="196">
        <f t="shared" si="124"/>
        <v>8.1172000000000004</v>
      </c>
      <c r="H793" s="196">
        <v>8.0922999999999998</v>
      </c>
      <c r="I793" s="196">
        <f t="shared" si="125"/>
        <v>2.4900000000000588E-2</v>
      </c>
      <c r="J793" s="200">
        <f t="shared" si="126"/>
        <v>0.1795999999999994</v>
      </c>
      <c r="K793" s="277">
        <f t="shared" si="127"/>
        <v>87.823960880195301</v>
      </c>
      <c r="L793" s="196">
        <v>8</v>
      </c>
      <c r="M793" s="196">
        <v>43157.527777777781</v>
      </c>
      <c r="N793" s="196">
        <v>43157.694444444445</v>
      </c>
      <c r="O793" s="196" t="s">
        <v>2540</v>
      </c>
      <c r="AB793" s="110"/>
      <c r="AC793" s="110"/>
      <c r="AD793" s="110"/>
      <c r="AE793" s="110"/>
    </row>
    <row r="794" spans="1:31">
      <c r="A794" s="200" t="s">
        <v>559</v>
      </c>
      <c r="C794" s="200">
        <v>147</v>
      </c>
      <c r="D794" s="200">
        <v>1.4904999999999999</v>
      </c>
      <c r="E794" s="201">
        <v>8.3656000000000006</v>
      </c>
      <c r="F794" s="200">
        <v>0.20660000000000001</v>
      </c>
      <c r="G794" s="200">
        <f t="shared" si="124"/>
        <v>8.5722000000000005</v>
      </c>
      <c r="H794" s="200">
        <v>8.3682999999999996</v>
      </c>
      <c r="I794" s="200">
        <f t="shared" si="125"/>
        <v>0.20390000000000086</v>
      </c>
      <c r="J794" s="200">
        <f t="shared" si="126"/>
        <v>2.6999999999991475E-3</v>
      </c>
      <c r="K794" s="277">
        <f t="shared" si="127"/>
        <v>1.3068731848979416</v>
      </c>
      <c r="L794" s="200">
        <v>21</v>
      </c>
      <c r="M794" s="204">
        <v>43197</v>
      </c>
      <c r="N794" s="204">
        <v>43197</v>
      </c>
      <c r="O794" s="200"/>
      <c r="P794" s="200"/>
      <c r="AB794" s="110"/>
      <c r="AC794" s="110"/>
      <c r="AD794" s="110"/>
      <c r="AE794" s="110"/>
    </row>
    <row r="795" spans="1:31">
      <c r="A795" s="200" t="s">
        <v>558</v>
      </c>
      <c r="C795" s="200">
        <v>170</v>
      </c>
      <c r="D795" s="200">
        <v>1.4823</v>
      </c>
      <c r="E795" s="200">
        <v>7.8014000000000001</v>
      </c>
      <c r="F795" s="201">
        <v>0.2001</v>
      </c>
      <c r="G795" s="200">
        <f t="shared" si="124"/>
        <v>8.0015000000000001</v>
      </c>
      <c r="H795" s="200">
        <v>7.8061999999999996</v>
      </c>
      <c r="I795" s="200">
        <f t="shared" si="125"/>
        <v>0.19530000000000047</v>
      </c>
      <c r="J795" s="200">
        <f t="shared" si="126"/>
        <v>4.7999999999995269E-3</v>
      </c>
      <c r="K795" s="277">
        <f t="shared" si="127"/>
        <v>2.3988005996999138</v>
      </c>
      <c r="L795" s="200">
        <v>1</v>
      </c>
      <c r="M795" s="204">
        <v>43187</v>
      </c>
      <c r="N795" s="204">
        <v>43187</v>
      </c>
      <c r="O795" s="200"/>
      <c r="P795" s="200"/>
      <c r="AB795" s="110"/>
      <c r="AC795" s="110"/>
      <c r="AD795" s="110"/>
      <c r="AE795" s="110"/>
    </row>
    <row r="796" spans="1:31">
      <c r="A796" s="196" t="s">
        <v>557</v>
      </c>
      <c r="P796" s="196" t="s">
        <v>3914</v>
      </c>
    </row>
    <row r="797" spans="1:31">
      <c r="A797" s="205" t="s">
        <v>556</v>
      </c>
      <c r="C797" s="200">
        <v>130</v>
      </c>
      <c r="D797" s="201">
        <v>1.3573</v>
      </c>
      <c r="E797" s="201">
        <v>11.0893</v>
      </c>
      <c r="F797" s="201">
        <v>0.2024</v>
      </c>
      <c r="G797" s="200">
        <f t="shared" ref="G797:G828" si="128">E797+F797</f>
        <v>11.291700000000001</v>
      </c>
      <c r="H797" s="200">
        <v>11.0992</v>
      </c>
      <c r="I797" s="200">
        <f t="shared" ref="I797:I828" si="129">(G797-H797)</f>
        <v>0.19250000000000078</v>
      </c>
      <c r="J797" s="200">
        <f t="shared" ref="J797:J828" si="130">F797-I797</f>
        <v>9.899999999999215E-3</v>
      </c>
      <c r="K797" s="277">
        <f t="shared" ref="K797:K828" si="131">(J797/F797)*100</f>
        <v>4.8913043478256997</v>
      </c>
      <c r="L797" s="200">
        <v>34</v>
      </c>
      <c r="M797" s="202">
        <v>43181.645833333336</v>
      </c>
      <c r="N797" s="202">
        <v>43181.833333333336</v>
      </c>
      <c r="O797" s="200" t="s">
        <v>2540</v>
      </c>
      <c r="P797" s="200"/>
      <c r="AB797" s="110"/>
      <c r="AC797" s="110"/>
      <c r="AD797" s="110"/>
      <c r="AE797" s="110"/>
    </row>
    <row r="798" spans="1:31">
      <c r="A798" s="196" t="s">
        <v>554</v>
      </c>
      <c r="C798" s="197">
        <v>181</v>
      </c>
      <c r="D798" s="196">
        <v>1.2970999999999999</v>
      </c>
      <c r="E798" s="201">
        <v>9.5193999999999992</v>
      </c>
      <c r="F798" s="201">
        <v>0.2026</v>
      </c>
      <c r="G798" s="200">
        <f t="shared" si="128"/>
        <v>9.7219999999999995</v>
      </c>
      <c r="H798" s="200">
        <v>9.5234000000000005</v>
      </c>
      <c r="I798" s="200">
        <f t="shared" si="129"/>
        <v>0.198599999999999</v>
      </c>
      <c r="J798" s="200">
        <f t="shared" si="130"/>
        <v>4.0000000000010028E-3</v>
      </c>
      <c r="K798" s="277">
        <f t="shared" si="131"/>
        <v>1.9743336623894387</v>
      </c>
      <c r="L798" s="200">
        <v>6</v>
      </c>
      <c r="M798" s="203">
        <v>43221</v>
      </c>
      <c r="N798" s="203">
        <v>43221</v>
      </c>
      <c r="AB798" s="110"/>
      <c r="AC798" s="110"/>
      <c r="AD798" s="110"/>
      <c r="AE798" s="110"/>
    </row>
    <row r="799" spans="1:31">
      <c r="A799" s="196" t="s">
        <v>553</v>
      </c>
      <c r="C799" s="196">
        <v>96</v>
      </c>
      <c r="D799" s="196">
        <v>0.6855</v>
      </c>
      <c r="E799" s="200">
        <v>7.4751000000000003</v>
      </c>
      <c r="F799" s="201">
        <v>0.2011</v>
      </c>
      <c r="G799" s="200">
        <f t="shared" si="128"/>
        <v>7.6762000000000006</v>
      </c>
      <c r="H799" s="200">
        <v>7.4874999999999998</v>
      </c>
      <c r="I799" s="200">
        <f t="shared" si="129"/>
        <v>0.18870000000000076</v>
      </c>
      <c r="J799" s="200">
        <f t="shared" si="130"/>
        <v>1.2399999999999245E-2</v>
      </c>
      <c r="K799" s="277">
        <f t="shared" si="131"/>
        <v>6.1660865241169791</v>
      </c>
      <c r="L799" s="200">
        <v>41</v>
      </c>
      <c r="M799" s="204">
        <v>43211</v>
      </c>
      <c r="AB799" s="110"/>
      <c r="AC799" s="110"/>
      <c r="AD799" s="110"/>
      <c r="AE799" s="110"/>
    </row>
    <row r="800" spans="1:31">
      <c r="A800" s="201" t="s">
        <v>552</v>
      </c>
      <c r="C800" s="200">
        <v>211</v>
      </c>
      <c r="D800" s="200">
        <v>1.3182999999999998</v>
      </c>
      <c r="E800" s="200">
        <v>7.8391999999999999</v>
      </c>
      <c r="F800" s="200">
        <v>0.20230000000000001</v>
      </c>
      <c r="G800" s="200">
        <f t="shared" si="128"/>
        <v>8.0414999999999992</v>
      </c>
      <c r="H800" s="200">
        <v>7.8541999999999996</v>
      </c>
      <c r="I800" s="200">
        <f t="shared" si="129"/>
        <v>0.18729999999999958</v>
      </c>
      <c r="J800" s="200">
        <f t="shared" si="130"/>
        <v>1.500000000000043E-2</v>
      </c>
      <c r="K800" s="277">
        <f t="shared" si="131"/>
        <v>7.414730598121813</v>
      </c>
      <c r="L800" s="200">
        <v>16</v>
      </c>
      <c r="M800" s="204">
        <v>43173</v>
      </c>
      <c r="N800" s="204">
        <v>43173</v>
      </c>
      <c r="O800" s="200" t="s">
        <v>2540</v>
      </c>
      <c r="P800" s="200" t="s">
        <v>2539</v>
      </c>
      <c r="AB800" s="110"/>
      <c r="AC800" s="110"/>
      <c r="AD800" s="110"/>
      <c r="AE800" s="110"/>
    </row>
    <row r="801" spans="1:31">
      <c r="A801" s="196" t="s">
        <v>1082</v>
      </c>
      <c r="C801" s="197">
        <v>6</v>
      </c>
      <c r="D801" s="196">
        <v>1.2786</v>
      </c>
      <c r="E801" s="201">
        <v>9.8865999999999996</v>
      </c>
      <c r="F801" s="201">
        <v>0.20319999999999999</v>
      </c>
      <c r="G801" s="200">
        <f t="shared" si="128"/>
        <v>10.0898</v>
      </c>
      <c r="H801" s="200">
        <v>9.8975000000000009</v>
      </c>
      <c r="I801" s="200">
        <f t="shared" si="129"/>
        <v>0.19229999999999947</v>
      </c>
      <c r="J801" s="200">
        <f t="shared" si="130"/>
        <v>1.090000000000052E-2</v>
      </c>
      <c r="K801" s="277">
        <f t="shared" si="131"/>
        <v>5.3641732283467132</v>
      </c>
      <c r="L801" s="200">
        <v>17</v>
      </c>
      <c r="AB801" s="110"/>
      <c r="AC801" s="110"/>
      <c r="AD801" s="110"/>
      <c r="AE801" s="110"/>
    </row>
    <row r="802" spans="1:31">
      <c r="A802" s="205" t="s">
        <v>551</v>
      </c>
      <c r="C802" s="200">
        <v>106</v>
      </c>
      <c r="D802" s="201">
        <v>1.4161999999999999</v>
      </c>
      <c r="E802" s="201">
        <v>10.617699999999999</v>
      </c>
      <c r="F802" s="201">
        <v>0.2074</v>
      </c>
      <c r="G802" s="200">
        <f t="shared" si="128"/>
        <v>10.825099999999999</v>
      </c>
      <c r="H802" s="200">
        <v>10.6386</v>
      </c>
      <c r="I802" s="200">
        <f t="shared" si="129"/>
        <v>0.18649999999999878</v>
      </c>
      <c r="J802" s="200">
        <f t="shared" si="130"/>
        <v>2.0900000000001223E-2</v>
      </c>
      <c r="K802" s="277">
        <f t="shared" si="131"/>
        <v>10.077145612343887</v>
      </c>
      <c r="L802" s="200">
        <v>38</v>
      </c>
      <c r="M802" s="202">
        <v>43181.645833333336</v>
      </c>
      <c r="N802" s="202">
        <v>43181.833333333336</v>
      </c>
      <c r="O802" s="200" t="s">
        <v>2540</v>
      </c>
      <c r="P802" s="200"/>
      <c r="AB802" s="110"/>
      <c r="AC802" s="110"/>
      <c r="AD802" s="110"/>
      <c r="AE802" s="110"/>
    </row>
    <row r="803" spans="1:31">
      <c r="A803" s="196" t="s">
        <v>550</v>
      </c>
      <c r="C803" s="196">
        <v>152</v>
      </c>
      <c r="D803" s="196">
        <v>1.4439</v>
      </c>
      <c r="E803" s="200">
        <v>10.510199999999999</v>
      </c>
      <c r="F803" s="201">
        <v>0.20830000000000001</v>
      </c>
      <c r="G803" s="200">
        <f t="shared" si="128"/>
        <v>10.718499999999999</v>
      </c>
      <c r="H803" s="200">
        <v>10.5229</v>
      </c>
      <c r="I803" s="200">
        <f t="shared" si="129"/>
        <v>0.19559999999999889</v>
      </c>
      <c r="J803" s="200">
        <f t="shared" si="130"/>
        <v>1.2700000000001127E-2</v>
      </c>
      <c r="K803" s="277">
        <f t="shared" si="131"/>
        <v>6.0969755160831145</v>
      </c>
      <c r="L803" s="200">
        <v>18</v>
      </c>
      <c r="M803" s="203">
        <v>43212</v>
      </c>
      <c r="AB803" s="110"/>
      <c r="AC803" s="110"/>
      <c r="AD803" s="110"/>
      <c r="AE803" s="110"/>
    </row>
    <row r="804" spans="1:31">
      <c r="A804" s="196" t="s">
        <v>549</v>
      </c>
      <c r="C804" s="196">
        <v>131</v>
      </c>
      <c r="D804" s="196">
        <v>1.3476999999999999</v>
      </c>
      <c r="E804" s="196">
        <v>7.9635999999999996</v>
      </c>
      <c r="F804" s="196">
        <v>0.21010000000000001</v>
      </c>
      <c r="G804" s="196">
        <f t="shared" si="128"/>
        <v>8.1737000000000002</v>
      </c>
      <c r="H804" s="196">
        <v>7.9714999999999998</v>
      </c>
      <c r="I804" s="196">
        <f t="shared" si="129"/>
        <v>0.20220000000000038</v>
      </c>
      <c r="J804" s="200">
        <f t="shared" si="130"/>
        <v>7.8999999999996295E-3</v>
      </c>
      <c r="K804" s="277">
        <f t="shared" si="131"/>
        <v>3.7601142313182434</v>
      </c>
      <c r="L804" s="196">
        <v>11</v>
      </c>
      <c r="M804" s="196">
        <v>43157.395833333336</v>
      </c>
      <c r="N804" s="196">
        <v>43157.569444444445</v>
      </c>
      <c r="O804" s="196" t="s">
        <v>2534</v>
      </c>
      <c r="AB804" s="110"/>
      <c r="AC804" s="110"/>
      <c r="AD804" s="110"/>
      <c r="AE804" s="110"/>
    </row>
    <row r="805" spans="1:31">
      <c r="A805" s="205" t="s">
        <v>548</v>
      </c>
      <c r="C805" s="200">
        <v>106</v>
      </c>
      <c r="D805" s="201">
        <v>1.4716</v>
      </c>
      <c r="E805" s="201">
        <v>10.313599999999999</v>
      </c>
      <c r="F805" s="201">
        <v>0.20150000000000001</v>
      </c>
      <c r="G805" s="200">
        <f t="shared" si="128"/>
        <v>10.515099999999999</v>
      </c>
      <c r="H805" s="200">
        <v>10.3238</v>
      </c>
      <c r="I805" s="200">
        <f t="shared" si="129"/>
        <v>0.19129999999999825</v>
      </c>
      <c r="J805" s="200">
        <f t="shared" si="130"/>
        <v>1.0200000000001763E-2</v>
      </c>
      <c r="K805" s="277">
        <f t="shared" si="131"/>
        <v>5.062034739454969</v>
      </c>
      <c r="L805" s="200">
        <v>37</v>
      </c>
      <c r="M805" s="202">
        <v>43181.645833333336</v>
      </c>
      <c r="N805" s="202">
        <v>43181.833333333336</v>
      </c>
      <c r="O805" s="200" t="s">
        <v>2540</v>
      </c>
      <c r="P805" s="200"/>
      <c r="AB805" s="110"/>
      <c r="AC805" s="110"/>
      <c r="AD805" s="110"/>
      <c r="AE805" s="110"/>
    </row>
    <row r="806" spans="1:31">
      <c r="A806" s="205" t="s">
        <v>547</v>
      </c>
      <c r="C806" s="200">
        <v>120</v>
      </c>
      <c r="D806" s="200">
        <v>1.1739999999999999</v>
      </c>
      <c r="E806" s="200">
        <v>7.9604999999999997</v>
      </c>
      <c r="F806" s="200">
        <v>0.20899999999999999</v>
      </c>
      <c r="G806" s="200">
        <f t="shared" si="128"/>
        <v>8.1694999999999993</v>
      </c>
      <c r="H806" s="200">
        <v>7.9695999999999998</v>
      </c>
      <c r="I806" s="200">
        <f t="shared" si="129"/>
        <v>0.19989999999999952</v>
      </c>
      <c r="J806" s="200">
        <f t="shared" si="130"/>
        <v>9.1000000000004688E-3</v>
      </c>
      <c r="K806" s="277">
        <f t="shared" si="131"/>
        <v>4.3540669856461571</v>
      </c>
      <c r="L806" s="200">
        <v>5</v>
      </c>
      <c r="M806" s="204">
        <v>43174</v>
      </c>
      <c r="N806" s="204">
        <v>43174</v>
      </c>
      <c r="O806" s="200" t="s">
        <v>2540</v>
      </c>
      <c r="P806" s="200" t="s">
        <v>2535</v>
      </c>
      <c r="AB806" s="110"/>
      <c r="AC806" s="110"/>
      <c r="AD806" s="110"/>
      <c r="AE806" s="110"/>
    </row>
    <row r="807" spans="1:31">
      <c r="A807" s="200" t="s">
        <v>545</v>
      </c>
      <c r="C807" s="200">
        <v>135</v>
      </c>
      <c r="D807" s="200">
        <f>1.0489+F807</f>
        <v>1.2515999999999998</v>
      </c>
      <c r="E807" s="201">
        <v>10.415699999999999</v>
      </c>
      <c r="F807" s="201">
        <v>0.20269999999999999</v>
      </c>
      <c r="G807" s="200">
        <f t="shared" si="128"/>
        <v>10.618399999999999</v>
      </c>
      <c r="H807" s="200">
        <v>10.4298</v>
      </c>
      <c r="I807" s="200">
        <f t="shared" si="129"/>
        <v>0.18859999999999921</v>
      </c>
      <c r="J807" s="200">
        <f t="shared" si="130"/>
        <v>1.4100000000000779E-2</v>
      </c>
      <c r="K807" s="277">
        <f t="shared" si="131"/>
        <v>6.95609274790369</v>
      </c>
      <c r="L807" s="200">
        <v>24</v>
      </c>
      <c r="M807" s="204">
        <v>43174</v>
      </c>
      <c r="N807" s="204">
        <v>43174</v>
      </c>
      <c r="O807" s="200" t="s">
        <v>2540</v>
      </c>
      <c r="P807" s="200" t="s">
        <v>2535</v>
      </c>
      <c r="AB807" s="110"/>
      <c r="AC807" s="110"/>
      <c r="AD807" s="110"/>
      <c r="AE807" s="110"/>
    </row>
    <row r="808" spans="1:31">
      <c r="A808" s="196" t="s">
        <v>544</v>
      </c>
      <c r="C808" s="196">
        <v>133</v>
      </c>
      <c r="D808" s="196">
        <v>1.3281000000000001</v>
      </c>
      <c r="E808" s="196">
        <v>9.1540999999999997</v>
      </c>
      <c r="F808" s="196">
        <v>0.2009</v>
      </c>
      <c r="G808" s="196">
        <f t="shared" si="128"/>
        <v>9.3550000000000004</v>
      </c>
      <c r="H808" s="196">
        <v>9.1696000000000009</v>
      </c>
      <c r="I808" s="196">
        <f t="shared" si="129"/>
        <v>0.18539999999999957</v>
      </c>
      <c r="J808" s="200">
        <f t="shared" si="130"/>
        <v>1.550000000000043E-2</v>
      </c>
      <c r="K808" s="277">
        <f t="shared" si="131"/>
        <v>7.7152812344452117</v>
      </c>
      <c r="L808" s="196">
        <v>15</v>
      </c>
      <c r="M808" s="196">
        <v>43157.395833333336</v>
      </c>
      <c r="N808" s="196">
        <v>43157.569444444445</v>
      </c>
      <c r="O808" s="196" t="s">
        <v>2534</v>
      </c>
      <c r="AB808" s="110"/>
      <c r="AC808" s="110"/>
      <c r="AD808" s="110"/>
      <c r="AE808" s="110"/>
    </row>
    <row r="809" spans="1:31">
      <c r="A809" s="205" t="s">
        <v>543</v>
      </c>
      <c r="C809" s="200">
        <v>156</v>
      </c>
      <c r="D809" s="200">
        <v>1.5407</v>
      </c>
      <c r="E809" s="200">
        <v>7.9958</v>
      </c>
      <c r="F809" s="200">
        <v>0.2024</v>
      </c>
      <c r="G809" s="200">
        <f t="shared" si="128"/>
        <v>8.1981999999999999</v>
      </c>
      <c r="H809" s="200">
        <v>8.0113000000000003</v>
      </c>
      <c r="I809" s="200">
        <f t="shared" si="129"/>
        <v>0.18689999999999962</v>
      </c>
      <c r="J809" s="200">
        <f t="shared" si="130"/>
        <v>1.5500000000000375E-2</v>
      </c>
      <c r="K809" s="277">
        <f t="shared" si="131"/>
        <v>7.6581027667986037</v>
      </c>
      <c r="L809" s="200">
        <v>14</v>
      </c>
      <c r="M809" s="202">
        <v>43171.520833333336</v>
      </c>
      <c r="N809" s="202">
        <v>43171.6875</v>
      </c>
      <c r="O809" s="196" t="s">
        <v>2534</v>
      </c>
      <c r="P809" s="200"/>
      <c r="AB809" s="110"/>
      <c r="AC809" s="110"/>
      <c r="AD809" s="110"/>
      <c r="AE809" s="110"/>
    </row>
    <row r="810" spans="1:31">
      <c r="A810" s="196" t="s">
        <v>1135</v>
      </c>
      <c r="C810" s="196">
        <v>44</v>
      </c>
      <c r="D810" s="196">
        <v>1.2974000000000001</v>
      </c>
      <c r="E810" s="196">
        <v>8.0890000000000004</v>
      </c>
      <c r="F810" s="196">
        <v>0.20369999999999999</v>
      </c>
      <c r="G810" s="196">
        <f t="shared" si="128"/>
        <v>8.2927</v>
      </c>
      <c r="H810" s="196">
        <v>8.0968999999999998</v>
      </c>
      <c r="I810" s="196">
        <f t="shared" si="129"/>
        <v>0.1958000000000002</v>
      </c>
      <c r="J810" s="200">
        <f t="shared" si="130"/>
        <v>7.8999999999997961E-3</v>
      </c>
      <c r="K810" s="277">
        <f t="shared" si="131"/>
        <v>3.8782523318604794</v>
      </c>
      <c r="L810" s="196">
        <v>28</v>
      </c>
      <c r="M810" s="196" t="s">
        <v>2570</v>
      </c>
      <c r="N810" s="196" t="s">
        <v>2569</v>
      </c>
      <c r="O810" s="196" t="s">
        <v>2534</v>
      </c>
      <c r="AB810" s="110"/>
      <c r="AC810" s="110"/>
      <c r="AD810" s="110"/>
      <c r="AE810" s="110"/>
    </row>
    <row r="811" spans="1:31">
      <c r="A811" s="205" t="s">
        <v>1081</v>
      </c>
      <c r="C811" s="200">
        <v>56</v>
      </c>
      <c r="D811" s="201">
        <v>1.1222000000000001</v>
      </c>
      <c r="E811" s="201">
        <v>9.1564999999999994</v>
      </c>
      <c r="F811" s="201">
        <v>0.20069999999999999</v>
      </c>
      <c r="G811" s="200">
        <f t="shared" si="128"/>
        <v>9.3571999999999989</v>
      </c>
      <c r="H811" s="200">
        <v>9.3376999999999999</v>
      </c>
      <c r="I811" s="200">
        <f t="shared" si="129"/>
        <v>1.9499999999998963E-2</v>
      </c>
      <c r="J811" s="200">
        <f t="shared" si="130"/>
        <v>0.18120000000000103</v>
      </c>
      <c r="K811" s="277">
        <f t="shared" si="131"/>
        <v>90.284005979073754</v>
      </c>
      <c r="L811" s="200">
        <v>10</v>
      </c>
      <c r="M811" s="200"/>
      <c r="N811" s="200"/>
      <c r="O811" s="200"/>
      <c r="P811" s="200"/>
      <c r="U811" s="201" t="s">
        <v>1580</v>
      </c>
      <c r="V811" s="196">
        <v>0.85450000000000004</v>
      </c>
      <c r="W811" s="196">
        <f>(V811-$T$175+F809)</f>
        <v>1.0569</v>
      </c>
      <c r="AB811" s="110"/>
      <c r="AC811" s="110"/>
      <c r="AD811" s="110"/>
      <c r="AE811" s="110"/>
    </row>
    <row r="812" spans="1:31">
      <c r="A812" s="205" t="s">
        <v>541</v>
      </c>
      <c r="C812" s="200">
        <v>134</v>
      </c>
      <c r="D812" s="200">
        <v>1.1697</v>
      </c>
      <c r="E812" s="201">
        <v>8.8617000000000008</v>
      </c>
      <c r="F812" s="201">
        <v>0.20449999999999999</v>
      </c>
      <c r="G812" s="200">
        <f t="shared" si="128"/>
        <v>9.0662000000000003</v>
      </c>
      <c r="H812" s="200">
        <v>8.8765999999999998</v>
      </c>
      <c r="I812" s="200">
        <f t="shared" si="129"/>
        <v>0.18960000000000043</v>
      </c>
      <c r="J812" s="200">
        <f t="shared" si="130"/>
        <v>1.4899999999999552E-2</v>
      </c>
      <c r="K812" s="277">
        <f t="shared" si="131"/>
        <v>7.2860635696819331</v>
      </c>
      <c r="L812" s="200">
        <v>10</v>
      </c>
      <c r="M812" s="204">
        <v>43197</v>
      </c>
      <c r="N812" s="204">
        <v>43197</v>
      </c>
      <c r="O812" s="200"/>
      <c r="P812" s="200"/>
      <c r="AB812" s="110"/>
      <c r="AC812" s="110"/>
      <c r="AD812" s="110"/>
      <c r="AE812" s="110"/>
    </row>
    <row r="813" spans="1:31">
      <c r="A813" s="196" t="s">
        <v>539</v>
      </c>
      <c r="C813" s="196">
        <v>114</v>
      </c>
      <c r="D813" s="196">
        <v>2.7837999999999998</v>
      </c>
      <c r="E813" s="201">
        <v>10.1225</v>
      </c>
      <c r="F813" s="201">
        <v>0.20619999999999999</v>
      </c>
      <c r="G813" s="196">
        <f t="shared" si="128"/>
        <v>10.328700000000001</v>
      </c>
      <c r="H813" s="200">
        <v>10.3186</v>
      </c>
      <c r="I813" s="200">
        <f t="shared" si="129"/>
        <v>1.010000000000133E-2</v>
      </c>
      <c r="J813" s="200">
        <f t="shared" si="130"/>
        <v>0.19609999999999866</v>
      </c>
      <c r="K813" s="277">
        <f t="shared" si="131"/>
        <v>95.101842870998382</v>
      </c>
      <c r="L813" s="196">
        <v>1</v>
      </c>
      <c r="M813" s="206">
        <v>43185.385416666664</v>
      </c>
      <c r="O813" s="200" t="s">
        <v>2540</v>
      </c>
      <c r="P813" s="200"/>
      <c r="AB813" s="110"/>
      <c r="AC813" s="110"/>
      <c r="AD813" s="110"/>
      <c r="AE813" s="110"/>
    </row>
    <row r="814" spans="1:31">
      <c r="A814" s="196" t="s">
        <v>1079</v>
      </c>
      <c r="C814" s="196">
        <v>86</v>
      </c>
      <c r="D814" s="196">
        <v>1.4595</v>
      </c>
      <c r="E814" s="196">
        <v>21.2059</v>
      </c>
      <c r="F814" s="196">
        <v>0.20219999999999999</v>
      </c>
      <c r="G814" s="196">
        <f t="shared" si="128"/>
        <v>21.408100000000001</v>
      </c>
      <c r="H814" s="196">
        <v>21.263200000000001</v>
      </c>
      <c r="I814" s="196">
        <f t="shared" si="129"/>
        <v>0.14489999999999981</v>
      </c>
      <c r="J814" s="200">
        <f t="shared" si="130"/>
        <v>5.7300000000000184E-2</v>
      </c>
      <c r="K814" s="277">
        <f t="shared" si="131"/>
        <v>28.338278931750832</v>
      </c>
      <c r="L814" s="196">
        <v>11</v>
      </c>
      <c r="M814" s="196" t="s">
        <v>2564</v>
      </c>
      <c r="N814" s="196" t="s">
        <v>2563</v>
      </c>
      <c r="O814" s="196" t="s">
        <v>2540</v>
      </c>
      <c r="AB814" s="110"/>
      <c r="AC814" s="110"/>
      <c r="AD814" s="110"/>
      <c r="AE814" s="110"/>
    </row>
    <row r="815" spans="1:31">
      <c r="A815" s="200" t="s">
        <v>1078</v>
      </c>
      <c r="C815" s="200">
        <v>37</v>
      </c>
      <c r="D815" s="200">
        <v>0.86729999999999996</v>
      </c>
      <c r="E815" s="200">
        <v>9.9171999999999993</v>
      </c>
      <c r="F815" s="200">
        <v>0.20399999999999999</v>
      </c>
      <c r="G815" s="200">
        <f t="shared" si="128"/>
        <v>10.1212</v>
      </c>
      <c r="H815" s="200">
        <v>10.0619</v>
      </c>
      <c r="I815" s="200">
        <f t="shared" si="129"/>
        <v>5.9300000000000352E-2</v>
      </c>
      <c r="J815" s="200">
        <f t="shared" si="130"/>
        <v>0.14469999999999963</v>
      </c>
      <c r="K815" s="277">
        <f t="shared" si="131"/>
        <v>70.931372549019429</v>
      </c>
      <c r="L815" s="200">
        <v>22</v>
      </c>
      <c r="M815" s="204">
        <v>43188</v>
      </c>
      <c r="N815" s="204">
        <v>43188</v>
      </c>
      <c r="O815" s="200"/>
      <c r="P815" s="200"/>
      <c r="AB815" s="110"/>
      <c r="AC815" s="110"/>
      <c r="AD815" s="110"/>
      <c r="AE815" s="110"/>
    </row>
    <row r="816" spans="1:31">
      <c r="A816" s="200" t="s">
        <v>1077</v>
      </c>
      <c r="C816" s="200">
        <v>35</v>
      </c>
      <c r="D816" s="201">
        <v>1.3553999999999999</v>
      </c>
      <c r="E816" s="200">
        <v>11.0875</v>
      </c>
      <c r="F816" s="201">
        <v>0.2036</v>
      </c>
      <c r="G816" s="200">
        <f t="shared" si="128"/>
        <v>11.2911</v>
      </c>
      <c r="H816" s="200">
        <v>11.0983</v>
      </c>
      <c r="I816" s="200">
        <f t="shared" si="129"/>
        <v>0.19280000000000008</v>
      </c>
      <c r="J816" s="200">
        <f t="shared" si="130"/>
        <v>1.0799999999999921E-2</v>
      </c>
      <c r="K816" s="277">
        <f t="shared" si="131"/>
        <v>5.3045186640471123</v>
      </c>
      <c r="L816" s="200">
        <v>14</v>
      </c>
      <c r="M816" s="204">
        <v>43206</v>
      </c>
      <c r="N816" s="204">
        <v>43206</v>
      </c>
      <c r="O816" s="200"/>
      <c r="P816" s="200"/>
      <c r="AB816" s="110"/>
      <c r="AC816" s="110"/>
      <c r="AD816" s="110"/>
      <c r="AE816" s="110"/>
    </row>
    <row r="817" spans="1:31">
      <c r="A817" s="196" t="s">
        <v>1076</v>
      </c>
      <c r="C817" s="196">
        <v>39</v>
      </c>
      <c r="D817" s="196">
        <v>1.2951999999999999</v>
      </c>
      <c r="E817" s="196">
        <v>8.3538999999999994</v>
      </c>
      <c r="F817" s="196">
        <v>0.2019</v>
      </c>
      <c r="G817" s="196">
        <f t="shared" si="128"/>
        <v>8.5557999999999996</v>
      </c>
      <c r="H817" s="196">
        <v>8.3606999999999996</v>
      </c>
      <c r="I817" s="196">
        <f t="shared" si="129"/>
        <v>0.19510000000000005</v>
      </c>
      <c r="J817" s="200">
        <f t="shared" si="130"/>
        <v>6.799999999999945E-3</v>
      </c>
      <c r="K817" s="277">
        <f t="shared" si="131"/>
        <v>3.3680039623575757</v>
      </c>
      <c r="L817" s="196">
        <v>24</v>
      </c>
      <c r="M817" s="196" t="s">
        <v>2570</v>
      </c>
      <c r="N817" s="196" t="s">
        <v>2569</v>
      </c>
      <c r="O817" s="196" t="s">
        <v>2534</v>
      </c>
      <c r="AB817" s="110"/>
      <c r="AC817" s="110"/>
      <c r="AD817" s="110"/>
      <c r="AE817" s="110"/>
    </row>
    <row r="818" spans="1:31">
      <c r="A818" s="196" t="s">
        <v>1073</v>
      </c>
      <c r="C818" s="196">
        <v>80</v>
      </c>
      <c r="D818" s="196">
        <v>1.389</v>
      </c>
      <c r="E818" s="196">
        <v>11.8589</v>
      </c>
      <c r="F818" s="196">
        <v>0.2056</v>
      </c>
      <c r="G818" s="196">
        <f t="shared" si="128"/>
        <v>12.064500000000001</v>
      </c>
      <c r="H818" s="196">
        <v>11.8802</v>
      </c>
      <c r="I818" s="196">
        <f t="shared" si="129"/>
        <v>0.18430000000000035</v>
      </c>
      <c r="J818" s="200">
        <f t="shared" si="130"/>
        <v>2.1299999999999653E-2</v>
      </c>
      <c r="K818" s="277">
        <f t="shared" si="131"/>
        <v>10.359922178988159</v>
      </c>
      <c r="L818" s="196">
        <v>8</v>
      </c>
      <c r="M818" s="196" t="s">
        <v>2564</v>
      </c>
      <c r="N818" s="196" t="s">
        <v>2563</v>
      </c>
      <c r="O818" s="196" t="s">
        <v>2540</v>
      </c>
      <c r="AB818" s="110"/>
      <c r="AC818" s="110"/>
      <c r="AD818" s="110"/>
      <c r="AE818" s="110"/>
    </row>
    <row r="819" spans="1:31">
      <c r="A819" s="200" t="s">
        <v>1072</v>
      </c>
      <c r="C819" s="200">
        <v>35</v>
      </c>
      <c r="D819" s="201">
        <v>1.2358</v>
      </c>
      <c r="E819" s="200">
        <v>10.739100000000001</v>
      </c>
      <c r="F819" s="201">
        <v>0.2031</v>
      </c>
      <c r="G819" s="200">
        <f t="shared" si="128"/>
        <v>10.9422</v>
      </c>
      <c r="H819" s="200">
        <v>10.754</v>
      </c>
      <c r="I819" s="200">
        <f t="shared" si="129"/>
        <v>0.18820000000000014</v>
      </c>
      <c r="J819" s="200">
        <f t="shared" si="130"/>
        <v>1.4899999999999858E-2</v>
      </c>
      <c r="K819" s="277">
        <f t="shared" si="131"/>
        <v>7.3362875430821557</v>
      </c>
      <c r="L819" s="200">
        <v>13</v>
      </c>
      <c r="M819" s="204">
        <v>43206</v>
      </c>
      <c r="N819" s="204">
        <v>43206</v>
      </c>
      <c r="O819" s="200"/>
      <c r="P819" s="200"/>
      <c r="AB819" s="110"/>
      <c r="AC819" s="110"/>
      <c r="AD819" s="110"/>
      <c r="AE819" s="110"/>
    </row>
    <row r="820" spans="1:31">
      <c r="A820" s="205" t="s">
        <v>1134</v>
      </c>
      <c r="C820" s="200">
        <v>150</v>
      </c>
      <c r="D820" s="200">
        <v>1.4441999999999999</v>
      </c>
      <c r="E820" s="201">
        <v>7.4745999999999997</v>
      </c>
      <c r="F820" s="201">
        <v>0.2051</v>
      </c>
      <c r="G820" s="200">
        <f t="shared" si="128"/>
        <v>7.6796999999999995</v>
      </c>
      <c r="H820" s="200">
        <v>7.4954999999999998</v>
      </c>
      <c r="I820" s="200">
        <f t="shared" si="129"/>
        <v>0.1841999999999997</v>
      </c>
      <c r="J820" s="200">
        <f t="shared" si="130"/>
        <v>2.0900000000000307E-2</v>
      </c>
      <c r="K820" s="277">
        <f t="shared" si="131"/>
        <v>10.190151145782695</v>
      </c>
      <c r="L820" s="200">
        <v>10</v>
      </c>
      <c r="M820" s="204">
        <v>43199</v>
      </c>
      <c r="N820" s="204">
        <v>43199</v>
      </c>
      <c r="O820" s="200"/>
      <c r="P820" s="200"/>
      <c r="AB820" s="110"/>
      <c r="AC820" s="110"/>
      <c r="AD820" s="110"/>
      <c r="AE820" s="110"/>
    </row>
    <row r="821" spans="1:31">
      <c r="A821" s="196" t="s">
        <v>1070</v>
      </c>
      <c r="C821" s="196">
        <v>24</v>
      </c>
      <c r="D821" s="196">
        <v>1.0868</v>
      </c>
      <c r="E821" s="196">
        <v>10.1241</v>
      </c>
      <c r="F821" s="201">
        <v>0.20150000000000001</v>
      </c>
      <c r="G821" s="200">
        <f t="shared" si="128"/>
        <v>10.3256</v>
      </c>
      <c r="H821" s="200">
        <v>10.1355</v>
      </c>
      <c r="I821" s="200">
        <f t="shared" si="129"/>
        <v>0.19009999999999927</v>
      </c>
      <c r="J821" s="200">
        <f t="shared" si="130"/>
        <v>1.1400000000000743E-2</v>
      </c>
      <c r="K821" s="277">
        <f t="shared" si="131"/>
        <v>5.6575682382137682</v>
      </c>
      <c r="L821" s="200">
        <v>1</v>
      </c>
      <c r="AB821" s="110"/>
      <c r="AC821" s="110"/>
      <c r="AD821" s="110"/>
      <c r="AE821" s="110"/>
    </row>
    <row r="822" spans="1:31">
      <c r="A822" s="205" t="s">
        <v>1069</v>
      </c>
      <c r="C822" s="200">
        <v>48</v>
      </c>
      <c r="D822" s="200">
        <v>1.3627</v>
      </c>
      <c r="E822" s="200">
        <v>10.5657</v>
      </c>
      <c r="F822" s="201">
        <v>0.20580000000000001</v>
      </c>
      <c r="G822" s="200">
        <f t="shared" si="128"/>
        <v>10.7715</v>
      </c>
      <c r="H822" s="200">
        <v>10.5753</v>
      </c>
      <c r="I822" s="200">
        <f t="shared" si="129"/>
        <v>0.19619999999999926</v>
      </c>
      <c r="J822" s="200">
        <f t="shared" si="130"/>
        <v>9.6000000000007468E-3</v>
      </c>
      <c r="K822" s="277">
        <f t="shared" si="131"/>
        <v>4.6647230320703335</v>
      </c>
      <c r="L822" s="200">
        <v>12</v>
      </c>
      <c r="M822" s="204">
        <v>43211</v>
      </c>
      <c r="S822" s="196" t="s">
        <v>2577</v>
      </c>
      <c r="T822" s="196" t="s">
        <v>2576</v>
      </c>
      <c r="U822" s="196" t="s">
        <v>2575</v>
      </c>
      <c r="V822" s="196" t="s">
        <v>2574</v>
      </c>
      <c r="W822" s="196" t="s">
        <v>2573</v>
      </c>
      <c r="AB822" s="110"/>
      <c r="AC822" s="110"/>
      <c r="AD822" s="110"/>
      <c r="AE822" s="110"/>
    </row>
    <row r="823" spans="1:31">
      <c r="A823" s="201" t="s">
        <v>1068</v>
      </c>
      <c r="C823" s="200">
        <v>91</v>
      </c>
      <c r="D823" s="200">
        <v>1.4371999999999998</v>
      </c>
      <c r="E823" s="200">
        <v>11.7471</v>
      </c>
      <c r="F823" s="200">
        <v>0.2006</v>
      </c>
      <c r="G823" s="200">
        <f t="shared" si="128"/>
        <v>11.947699999999999</v>
      </c>
      <c r="H823" s="200">
        <v>11.7536</v>
      </c>
      <c r="I823" s="200">
        <f t="shared" si="129"/>
        <v>0.19409999999999883</v>
      </c>
      <c r="J823" s="200">
        <f t="shared" si="130"/>
        <v>6.5000000000011715E-3</v>
      </c>
      <c r="K823" s="277">
        <f t="shared" si="131"/>
        <v>3.2402791625130467</v>
      </c>
      <c r="L823" s="200">
        <v>6</v>
      </c>
      <c r="M823" s="204">
        <v>43173</v>
      </c>
      <c r="N823" s="204">
        <v>43173</v>
      </c>
      <c r="O823" s="200" t="s">
        <v>2540</v>
      </c>
      <c r="P823" s="200" t="s">
        <v>2539</v>
      </c>
      <c r="AB823" s="110"/>
      <c r="AC823" s="110"/>
      <c r="AD823" s="110"/>
      <c r="AE823" s="110"/>
    </row>
    <row r="824" spans="1:31">
      <c r="A824" s="196" t="s">
        <v>1067</v>
      </c>
      <c r="C824" s="196">
        <v>45</v>
      </c>
      <c r="D824" s="196">
        <v>1.3643000000000001</v>
      </c>
      <c r="E824" s="196">
        <v>11.904500000000001</v>
      </c>
      <c r="F824" s="196">
        <v>0.2029</v>
      </c>
      <c r="G824" s="196">
        <f t="shared" si="128"/>
        <v>12.1074</v>
      </c>
      <c r="H824" s="196">
        <v>11.9108</v>
      </c>
      <c r="I824" s="196">
        <f t="shared" si="129"/>
        <v>0.19660000000000011</v>
      </c>
      <c r="J824" s="200">
        <f t="shared" si="130"/>
        <v>6.299999999999889E-3</v>
      </c>
      <c r="K824" s="277">
        <f t="shared" si="131"/>
        <v>3.1049778215869339</v>
      </c>
      <c r="L824" s="196">
        <v>17</v>
      </c>
      <c r="M824" s="196" t="s">
        <v>2570</v>
      </c>
      <c r="N824" s="196" t="s">
        <v>2569</v>
      </c>
      <c r="O824" s="196" t="s">
        <v>2534</v>
      </c>
      <c r="AB824" s="110"/>
      <c r="AC824" s="110"/>
      <c r="AD824" s="110"/>
      <c r="AE824" s="110"/>
    </row>
    <row r="825" spans="1:31">
      <c r="A825" s="196" t="s">
        <v>1065</v>
      </c>
      <c r="C825" s="200">
        <v>47</v>
      </c>
      <c r="D825" s="200">
        <v>1.4326000000000001</v>
      </c>
      <c r="E825" s="200">
        <v>8.8602000000000007</v>
      </c>
      <c r="F825" s="201">
        <v>0.20269999999999999</v>
      </c>
      <c r="G825" s="200">
        <f t="shared" si="128"/>
        <v>9.0629000000000008</v>
      </c>
      <c r="H825" s="200">
        <v>8.8664000000000005</v>
      </c>
      <c r="I825" s="200">
        <f t="shared" si="129"/>
        <v>0.19650000000000034</v>
      </c>
      <c r="J825" s="200">
        <f t="shared" si="130"/>
        <v>6.1999999999996502E-3</v>
      </c>
      <c r="K825" s="277">
        <f t="shared" si="131"/>
        <v>3.0587074494324868</v>
      </c>
      <c r="L825" s="200">
        <v>19</v>
      </c>
      <c r="M825" s="204">
        <v>43211</v>
      </c>
      <c r="AB825" s="110"/>
      <c r="AC825" s="110"/>
      <c r="AD825" s="110"/>
      <c r="AE825" s="110"/>
    </row>
    <row r="826" spans="1:31">
      <c r="A826" s="200" t="s">
        <v>1064</v>
      </c>
      <c r="C826" s="200">
        <v>41</v>
      </c>
      <c r="D826" s="201">
        <v>1.3088</v>
      </c>
      <c r="E826" s="200">
        <v>10.698399999999999</v>
      </c>
      <c r="F826" s="201">
        <v>0.19989999999999999</v>
      </c>
      <c r="G826" s="200">
        <f t="shared" si="128"/>
        <v>10.898299999999999</v>
      </c>
      <c r="H826" s="200">
        <v>10.7105</v>
      </c>
      <c r="I826" s="200">
        <f t="shared" si="129"/>
        <v>0.1877999999999993</v>
      </c>
      <c r="J826" s="200">
        <f t="shared" si="130"/>
        <v>1.2100000000000694E-2</v>
      </c>
      <c r="K826" s="277">
        <f t="shared" si="131"/>
        <v>6.0530265132569756</v>
      </c>
      <c r="L826" s="200">
        <v>29</v>
      </c>
      <c r="M826" s="200"/>
      <c r="N826" s="200"/>
      <c r="O826" s="200"/>
      <c r="P826" s="200"/>
      <c r="AB826" s="110"/>
      <c r="AC826" s="110"/>
      <c r="AD826" s="110"/>
      <c r="AE826" s="110"/>
    </row>
    <row r="827" spans="1:31">
      <c r="A827" s="201" t="s">
        <v>1063</v>
      </c>
      <c r="C827" s="200">
        <v>60</v>
      </c>
      <c r="D827" s="200">
        <v>1.3980999999999999</v>
      </c>
      <c r="E827" s="200">
        <v>10.856299999999999</v>
      </c>
      <c r="F827" s="200">
        <v>0.2044</v>
      </c>
      <c r="G827" s="200">
        <f t="shared" si="128"/>
        <v>11.060699999999999</v>
      </c>
      <c r="H827" s="200">
        <v>10.8682</v>
      </c>
      <c r="I827" s="200">
        <f t="shared" si="129"/>
        <v>0.19249999999999901</v>
      </c>
      <c r="J827" s="200">
        <f t="shared" si="130"/>
        <v>1.1900000000000993E-2</v>
      </c>
      <c r="K827" s="277">
        <f t="shared" si="131"/>
        <v>5.8219178082196645</v>
      </c>
      <c r="L827" s="200">
        <v>23</v>
      </c>
      <c r="M827" s="204">
        <v>43173</v>
      </c>
      <c r="N827" s="204">
        <v>43173</v>
      </c>
      <c r="O827" s="200" t="s">
        <v>2540</v>
      </c>
      <c r="P827" s="200" t="s">
        <v>2539</v>
      </c>
      <c r="AB827" s="110"/>
      <c r="AC827" s="110"/>
      <c r="AD827" s="110"/>
      <c r="AE827" s="110"/>
    </row>
    <row r="828" spans="1:31">
      <c r="A828" t="s">
        <v>1062</v>
      </c>
      <c r="C828" s="197"/>
      <c r="D828" s="196">
        <v>1.1731</v>
      </c>
      <c r="E828" s="201">
        <v>10.738300000000001</v>
      </c>
      <c r="F828" s="201">
        <v>0.20169999999999999</v>
      </c>
      <c r="G828" s="200">
        <f t="shared" si="128"/>
        <v>10.940000000000001</v>
      </c>
      <c r="H828" s="200">
        <v>10.751899999999999</v>
      </c>
      <c r="I828" s="200">
        <f t="shared" si="129"/>
        <v>0.18810000000000215</v>
      </c>
      <c r="J828" s="200">
        <f t="shared" si="130"/>
        <v>1.3599999999997836E-2</v>
      </c>
      <c r="K828" s="277">
        <f t="shared" si="131"/>
        <v>6.7426871591461754</v>
      </c>
      <c r="L828" s="200">
        <v>9</v>
      </c>
      <c r="AB828" s="110"/>
      <c r="AC828" s="110"/>
      <c r="AD828" s="110"/>
      <c r="AE828" s="110"/>
    </row>
    <row r="829" spans="1:31">
      <c r="A829" s="205" t="s">
        <v>1133</v>
      </c>
      <c r="C829" s="200">
        <v>108</v>
      </c>
      <c r="D829" s="200">
        <v>1.2354000000000001</v>
      </c>
      <c r="E829" s="201">
        <v>9.7255000000000003</v>
      </c>
      <c r="F829" s="201">
        <v>0.20080000000000001</v>
      </c>
      <c r="G829" s="200">
        <f t="shared" ref="G829:G845" si="132">E829+F829</f>
        <v>9.9262999999999995</v>
      </c>
      <c r="H829" s="200">
        <v>9.7420000000000009</v>
      </c>
      <c r="I829" s="200">
        <f t="shared" ref="I829:I845" si="133">(G829-H829)</f>
        <v>0.18429999999999858</v>
      </c>
      <c r="J829" s="200">
        <f t="shared" ref="J829:J845" si="134">F829-I829</f>
        <v>1.650000000000143E-2</v>
      </c>
      <c r="K829" s="277">
        <f t="shared" ref="K829:K845" si="135">(J829/F829)*100</f>
        <v>8.2171314741042973</v>
      </c>
      <c r="L829" s="200">
        <v>37</v>
      </c>
      <c r="M829" s="206">
        <v>43186.458333333336</v>
      </c>
      <c r="N829" s="206">
        <v>43186.625</v>
      </c>
      <c r="O829" s="196" t="s">
        <v>2534</v>
      </c>
      <c r="P829" s="200"/>
      <c r="AB829" s="110"/>
      <c r="AC829" s="110"/>
      <c r="AD829" s="110"/>
      <c r="AE829" s="110"/>
    </row>
    <row r="830" spans="1:31">
      <c r="A830" s="205" t="s">
        <v>1060</v>
      </c>
      <c r="C830" s="200">
        <v>42</v>
      </c>
      <c r="D830" s="201">
        <v>1.2764</v>
      </c>
      <c r="E830" s="200">
        <v>8.8452000000000002</v>
      </c>
      <c r="F830" s="201">
        <v>0.2077</v>
      </c>
      <c r="G830" s="200">
        <f t="shared" si="132"/>
        <v>9.0529000000000011</v>
      </c>
      <c r="H830" s="200">
        <v>8.8504000000000005</v>
      </c>
      <c r="I830" s="200">
        <f t="shared" si="133"/>
        <v>0.20250000000000057</v>
      </c>
      <c r="J830" s="200">
        <f t="shared" si="134"/>
        <v>5.1999999999994273E-3</v>
      </c>
      <c r="K830" s="277">
        <f t="shared" si="135"/>
        <v>2.5036109773709327</v>
      </c>
      <c r="L830" s="200">
        <v>9</v>
      </c>
      <c r="M830" s="204">
        <v>43206</v>
      </c>
      <c r="N830" s="204">
        <v>43206</v>
      </c>
      <c r="O830" s="200"/>
      <c r="P830" s="200"/>
      <c r="AB830" s="110"/>
      <c r="AC830" s="110"/>
      <c r="AD830" s="110"/>
      <c r="AE830" s="110"/>
    </row>
    <row r="831" spans="1:31">
      <c r="A831" s="196" t="s">
        <v>1059</v>
      </c>
      <c r="C831" s="197">
        <v>19</v>
      </c>
      <c r="D831" s="196">
        <v>1.2534000000000001</v>
      </c>
      <c r="E831" s="200">
        <v>10.7026</v>
      </c>
      <c r="F831" s="201">
        <v>0.20430000000000001</v>
      </c>
      <c r="G831" s="200">
        <f t="shared" si="132"/>
        <v>10.9069</v>
      </c>
      <c r="H831" s="200">
        <v>10.725099999999999</v>
      </c>
      <c r="I831" s="200">
        <f t="shared" si="133"/>
        <v>0.18180000000000085</v>
      </c>
      <c r="J831" s="200">
        <f t="shared" si="134"/>
        <v>2.249999999999916E-2</v>
      </c>
      <c r="K831" s="277">
        <f t="shared" si="135"/>
        <v>11.013215859030426</v>
      </c>
      <c r="L831" s="200">
        <v>12</v>
      </c>
      <c r="M831" s="203">
        <v>43213</v>
      </c>
      <c r="N831" s="203">
        <v>43213</v>
      </c>
      <c r="AB831" s="110"/>
      <c r="AC831" s="110"/>
      <c r="AD831" s="110"/>
      <c r="AE831" s="110"/>
    </row>
    <row r="832" spans="1:31">
      <c r="A832" s="205" t="s">
        <v>1058</v>
      </c>
      <c r="C832" s="200">
        <v>82</v>
      </c>
      <c r="D832" s="200">
        <v>1.3147</v>
      </c>
      <c r="E832" s="201">
        <v>7.5293999999999999</v>
      </c>
      <c r="F832" s="201">
        <v>0.19600000000000001</v>
      </c>
      <c r="G832" s="200">
        <f t="shared" si="132"/>
        <v>7.7253999999999996</v>
      </c>
      <c r="H832" s="200">
        <v>7.5391000000000004</v>
      </c>
      <c r="I832" s="200">
        <f t="shared" si="133"/>
        <v>0.18629999999999924</v>
      </c>
      <c r="J832" s="200">
        <f t="shared" si="134"/>
        <v>9.7000000000007636E-3</v>
      </c>
      <c r="K832" s="277">
        <f t="shared" si="135"/>
        <v>4.9489795918371247</v>
      </c>
      <c r="L832" s="200">
        <v>18</v>
      </c>
      <c r="M832" s="204">
        <v>43197</v>
      </c>
      <c r="N832" s="204">
        <v>43197</v>
      </c>
      <c r="O832" s="200"/>
      <c r="P832" s="200"/>
    </row>
    <row r="833" spans="1:50">
      <c r="A833" s="200" t="s">
        <v>1056</v>
      </c>
      <c r="C833" s="200">
        <v>51</v>
      </c>
      <c r="D833" s="201">
        <v>1.3381000000000001</v>
      </c>
      <c r="E833" s="200">
        <v>11.171900000000001</v>
      </c>
      <c r="F833" s="201">
        <v>0.20830000000000001</v>
      </c>
      <c r="G833" s="200">
        <f t="shared" si="132"/>
        <v>11.3802</v>
      </c>
      <c r="H833" s="200">
        <v>11.1844</v>
      </c>
      <c r="I833" s="200">
        <f t="shared" si="133"/>
        <v>0.1958000000000002</v>
      </c>
      <c r="J833" s="200">
        <f t="shared" si="134"/>
        <v>1.2499999999999817E-2</v>
      </c>
      <c r="K833" s="277">
        <f t="shared" si="135"/>
        <v>6.0009601536244919</v>
      </c>
      <c r="L833" s="200">
        <v>22</v>
      </c>
      <c r="M833" s="200"/>
      <c r="N833" s="200"/>
      <c r="O833" s="200"/>
      <c r="P833" s="200"/>
      <c r="R833" s="196">
        <v>8</v>
      </c>
      <c r="S833" s="196">
        <v>0.62719999999999998</v>
      </c>
      <c r="U833" s="201" t="s">
        <v>798</v>
      </c>
      <c r="V833" s="196">
        <v>0.90659999999999996</v>
      </c>
      <c r="W833" s="196">
        <f>(V833-$T$175+F831)</f>
        <v>1.1109</v>
      </c>
    </row>
    <row r="834" spans="1:50">
      <c r="A834" s="205" t="s">
        <v>1054</v>
      </c>
      <c r="C834" s="200">
        <v>38</v>
      </c>
      <c r="D834" s="200">
        <v>0.86399999999999999</v>
      </c>
      <c r="E834" s="200">
        <v>9.1971000000000007</v>
      </c>
      <c r="F834" s="200">
        <v>0.2087</v>
      </c>
      <c r="G834" s="200">
        <f t="shared" si="132"/>
        <v>9.405800000000001</v>
      </c>
      <c r="H834" s="200">
        <v>9.2425999999999995</v>
      </c>
      <c r="I834" s="200">
        <f t="shared" si="133"/>
        <v>0.16320000000000157</v>
      </c>
      <c r="J834" s="200">
        <f t="shared" si="134"/>
        <v>4.5499999999998431E-2</v>
      </c>
      <c r="K834" s="277">
        <f t="shared" si="135"/>
        <v>21.801629132725651</v>
      </c>
      <c r="L834" s="200">
        <v>27</v>
      </c>
      <c r="M834" s="204">
        <v>43188</v>
      </c>
      <c r="N834" s="204">
        <v>43188</v>
      </c>
      <c r="O834" s="200"/>
      <c r="P834" s="200"/>
    </row>
    <row r="835" spans="1:50">
      <c r="A835" s="200" t="s">
        <v>1053</v>
      </c>
      <c r="C835" s="200">
        <v>213</v>
      </c>
      <c r="D835" s="200">
        <v>1.2839</v>
      </c>
      <c r="E835" s="200">
        <v>11.054600000000001</v>
      </c>
      <c r="F835" s="200">
        <v>0.20619999999999999</v>
      </c>
      <c r="G835" s="200">
        <f t="shared" si="132"/>
        <v>11.260800000000001</v>
      </c>
      <c r="H835" s="200">
        <v>11.0619</v>
      </c>
      <c r="I835" s="200">
        <f t="shared" si="133"/>
        <v>0.19890000000000185</v>
      </c>
      <c r="J835" s="200">
        <f t="shared" si="134"/>
        <v>7.2999999999981413E-3</v>
      </c>
      <c r="K835" s="277">
        <f t="shared" si="135"/>
        <v>3.5402521823463347</v>
      </c>
      <c r="L835" s="200">
        <v>6</v>
      </c>
      <c r="M835" s="204">
        <v>43188</v>
      </c>
      <c r="N835" s="204">
        <v>43188</v>
      </c>
      <c r="O835" s="200"/>
      <c r="P835" s="200"/>
    </row>
    <row r="836" spans="1:50">
      <c r="A836" s="200" t="s">
        <v>1052</v>
      </c>
      <c r="C836" s="200">
        <v>37</v>
      </c>
      <c r="D836" s="200">
        <v>1.1639999999999999</v>
      </c>
      <c r="E836" s="200">
        <v>8.7021999999999995</v>
      </c>
      <c r="F836" s="200">
        <v>0.20430000000000001</v>
      </c>
      <c r="G836" s="200">
        <f t="shared" si="132"/>
        <v>8.9064999999999994</v>
      </c>
      <c r="H836" s="200">
        <v>8.7190999999999992</v>
      </c>
      <c r="I836" s="200">
        <f t="shared" si="133"/>
        <v>0.18740000000000023</v>
      </c>
      <c r="J836" s="200">
        <f t="shared" si="134"/>
        <v>1.6899999999999776E-2</v>
      </c>
      <c r="K836" s="277">
        <f t="shared" si="135"/>
        <v>8.2721488007830519</v>
      </c>
      <c r="L836" s="200">
        <v>21</v>
      </c>
      <c r="M836" s="204">
        <v>43188</v>
      </c>
      <c r="N836" s="204">
        <v>43188</v>
      </c>
      <c r="O836" s="200"/>
      <c r="P836" s="200"/>
    </row>
    <row r="837" spans="1:50">
      <c r="A837" s="205" t="s">
        <v>1132</v>
      </c>
      <c r="C837" s="200">
        <v>68</v>
      </c>
      <c r="D837" s="200">
        <v>1.4452</v>
      </c>
      <c r="E837" s="201">
        <v>9.9170999999999996</v>
      </c>
      <c r="F837" s="201">
        <v>0.20019999999999999</v>
      </c>
      <c r="G837" s="200">
        <f t="shared" si="132"/>
        <v>10.1173</v>
      </c>
      <c r="H837" s="200">
        <v>9.9295000000000009</v>
      </c>
      <c r="I837" s="200">
        <f t="shared" si="133"/>
        <v>0.1877999999999993</v>
      </c>
      <c r="J837" s="200">
        <f t="shared" si="134"/>
        <v>1.2400000000000688E-2</v>
      </c>
      <c r="K837" s="277">
        <f t="shared" si="135"/>
        <v>6.1938061938065374</v>
      </c>
      <c r="L837" s="200">
        <v>17</v>
      </c>
      <c r="M837" s="204">
        <v>43199</v>
      </c>
      <c r="N837" s="204">
        <v>43199</v>
      </c>
      <c r="O837" s="200"/>
      <c r="P837" s="200"/>
    </row>
    <row r="838" spans="1:50">
      <c r="A838" s="196" t="s">
        <v>1050</v>
      </c>
      <c r="C838" s="196">
        <v>10</v>
      </c>
      <c r="D838" s="196">
        <v>1.1454</v>
      </c>
      <c r="E838" s="201">
        <v>10.503299999999999</v>
      </c>
      <c r="F838" s="201">
        <v>0.20660000000000001</v>
      </c>
      <c r="G838" s="200">
        <f t="shared" si="132"/>
        <v>10.709899999999999</v>
      </c>
      <c r="H838" s="200">
        <v>10.5123</v>
      </c>
      <c r="I838" s="200">
        <f t="shared" si="133"/>
        <v>0.19759999999999955</v>
      </c>
      <c r="J838" s="200">
        <f t="shared" si="134"/>
        <v>9.0000000000004521E-3</v>
      </c>
      <c r="K838" s="277">
        <f t="shared" si="135"/>
        <v>4.3562439496613994</v>
      </c>
      <c r="L838" s="200">
        <v>28</v>
      </c>
    </row>
    <row r="839" spans="1:50">
      <c r="A839" s="200" t="s">
        <v>1049</v>
      </c>
      <c r="C839" s="200">
        <v>205</v>
      </c>
      <c r="D839" s="196">
        <v>1.4713000000000001</v>
      </c>
      <c r="E839" s="196">
        <v>11.2583</v>
      </c>
      <c r="F839" s="196">
        <v>0.2029</v>
      </c>
      <c r="G839" s="196">
        <f t="shared" si="132"/>
        <v>11.4612</v>
      </c>
      <c r="H839" s="196">
        <v>11.267799999999999</v>
      </c>
      <c r="I839" s="196">
        <f t="shared" si="133"/>
        <v>0.19340000000000046</v>
      </c>
      <c r="J839" s="200">
        <f t="shared" si="134"/>
        <v>9.4999999999995366E-3</v>
      </c>
      <c r="K839" s="277">
        <f t="shared" si="135"/>
        <v>4.6821094135039614</v>
      </c>
      <c r="L839" s="196">
        <v>5</v>
      </c>
      <c r="M839" s="206">
        <v>43160.520833333336</v>
      </c>
      <c r="N839" s="206">
        <v>43160.6875</v>
      </c>
      <c r="O839" s="196" t="s">
        <v>2534</v>
      </c>
    </row>
    <row r="840" spans="1:50">
      <c r="A840" s="205" t="s">
        <v>1048</v>
      </c>
      <c r="C840" s="200">
        <v>212</v>
      </c>
      <c r="D840" s="200">
        <v>1.35</v>
      </c>
      <c r="E840" s="200">
        <v>9.1357999999999997</v>
      </c>
      <c r="F840" s="200">
        <v>0.2059</v>
      </c>
      <c r="G840" s="200">
        <f t="shared" si="132"/>
        <v>9.3416999999999994</v>
      </c>
      <c r="H840" s="200">
        <v>9.1507000000000005</v>
      </c>
      <c r="I840" s="200">
        <f t="shared" si="133"/>
        <v>0.19099999999999895</v>
      </c>
      <c r="J840" s="200">
        <f t="shared" si="134"/>
        <v>1.4900000000001051E-2</v>
      </c>
      <c r="K840" s="277">
        <f t="shared" si="135"/>
        <v>7.2365225837790437</v>
      </c>
      <c r="L840" s="200">
        <v>2</v>
      </c>
      <c r="M840" s="202">
        <v>43171.520833333336</v>
      </c>
      <c r="N840" s="202">
        <v>43171.6875</v>
      </c>
      <c r="O840" s="196" t="s">
        <v>2534</v>
      </c>
      <c r="P840" s="200"/>
    </row>
    <row r="841" spans="1:50">
      <c r="A841" s="196" t="s">
        <v>1047</v>
      </c>
      <c r="C841" s="196">
        <v>90</v>
      </c>
      <c r="D841" s="196">
        <v>1.4928999999999999</v>
      </c>
      <c r="E841" s="196">
        <v>19.389199999999999</v>
      </c>
      <c r="F841" s="196">
        <v>0.20150000000000001</v>
      </c>
      <c r="G841" s="196">
        <f t="shared" si="132"/>
        <v>19.590699999999998</v>
      </c>
      <c r="H841" s="196">
        <v>19.397400000000001</v>
      </c>
      <c r="I841" s="196">
        <f t="shared" si="133"/>
        <v>0.19329999999999714</v>
      </c>
      <c r="J841" s="200">
        <f t="shared" si="134"/>
        <v>8.2000000000028717E-3</v>
      </c>
      <c r="K841" s="277">
        <f t="shared" si="135"/>
        <v>4.0694789081900105</v>
      </c>
      <c r="L841" s="196">
        <v>17</v>
      </c>
      <c r="M841" s="196" t="s">
        <v>2564</v>
      </c>
      <c r="N841" s="196" t="s">
        <v>2563</v>
      </c>
      <c r="O841" s="196" t="s">
        <v>2540</v>
      </c>
    </row>
    <row r="842" spans="1:50">
      <c r="A842" s="196" t="s">
        <v>1046</v>
      </c>
      <c r="C842" s="197">
        <v>71</v>
      </c>
      <c r="D842" s="196">
        <v>1.4065000000000001</v>
      </c>
      <c r="E842" s="200">
        <v>10.144600000000001</v>
      </c>
      <c r="F842" s="201">
        <v>0.20150000000000001</v>
      </c>
      <c r="G842" s="200">
        <f t="shared" si="132"/>
        <v>10.3461</v>
      </c>
      <c r="H842" s="200">
        <v>10.151199999999999</v>
      </c>
      <c r="I842" s="200">
        <f t="shared" si="133"/>
        <v>0.19490000000000052</v>
      </c>
      <c r="J842" s="200">
        <f t="shared" si="134"/>
        <v>6.5999999999994952E-3</v>
      </c>
      <c r="K842" s="277">
        <f t="shared" si="135"/>
        <v>3.275434243175928</v>
      </c>
      <c r="L842" s="200">
        <v>24</v>
      </c>
      <c r="M842" s="203">
        <v>43212</v>
      </c>
    </row>
    <row r="843" spans="1:50">
      <c r="A843" s="200" t="s">
        <v>1045</v>
      </c>
      <c r="C843" s="200">
        <v>163</v>
      </c>
      <c r="D843" s="200">
        <v>1.4429000000000001</v>
      </c>
      <c r="E843" s="201">
        <v>9.3186999999999998</v>
      </c>
      <c r="F843" s="201">
        <v>0.2014</v>
      </c>
      <c r="G843" s="200">
        <f t="shared" si="132"/>
        <v>9.5200999999999993</v>
      </c>
      <c r="H843" s="200">
        <v>9.3233999999999995</v>
      </c>
      <c r="I843" s="200">
        <f t="shared" si="133"/>
        <v>0.19669999999999987</v>
      </c>
      <c r="J843" s="200">
        <f t="shared" si="134"/>
        <v>4.7000000000001207E-3</v>
      </c>
      <c r="K843" s="277">
        <f t="shared" si="135"/>
        <v>2.3336643495531879</v>
      </c>
      <c r="L843" s="200">
        <v>29</v>
      </c>
      <c r="M843" s="206">
        <v>43186.458333333336</v>
      </c>
      <c r="N843" s="206">
        <v>43186.625</v>
      </c>
      <c r="O843" s="196" t="s">
        <v>2534</v>
      </c>
      <c r="P843" s="200"/>
    </row>
    <row r="844" spans="1:50" customFormat="1">
      <c r="A844" s="205" t="s">
        <v>1044</v>
      </c>
      <c r="C844" s="200">
        <v>36</v>
      </c>
      <c r="D844" s="201">
        <v>1.4216</v>
      </c>
      <c r="E844" s="201">
        <v>10.076000000000001</v>
      </c>
      <c r="F844" s="201">
        <v>0.20599999999999999</v>
      </c>
      <c r="G844" s="200">
        <f t="shared" si="132"/>
        <v>10.282</v>
      </c>
      <c r="H844" s="200">
        <v>10.080299999999999</v>
      </c>
      <c r="I844" s="200">
        <f t="shared" si="133"/>
        <v>0.20170000000000066</v>
      </c>
      <c r="J844" s="200">
        <f t="shared" si="134"/>
        <v>4.2999999999993321E-3</v>
      </c>
      <c r="K844" s="277">
        <f t="shared" si="135"/>
        <v>2.0873786407763748</v>
      </c>
      <c r="L844" s="200">
        <v>21</v>
      </c>
      <c r="M844" s="204">
        <v>43199</v>
      </c>
      <c r="N844" s="204">
        <v>43199</v>
      </c>
      <c r="O844" s="200"/>
      <c r="P844" s="200"/>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c r="AO844" s="196"/>
      <c r="AP844" s="196"/>
      <c r="AQ844" s="196"/>
      <c r="AR844" s="196"/>
      <c r="AS844" s="196"/>
      <c r="AT844" s="196"/>
      <c r="AU844" s="196"/>
      <c r="AV844" s="196"/>
      <c r="AW844" s="196"/>
      <c r="AX844" s="196"/>
    </row>
    <row r="845" spans="1:50" customFormat="1">
      <c r="A845" s="200" t="s">
        <v>1042</v>
      </c>
      <c r="B845" s="200"/>
      <c r="C845" s="200">
        <v>15</v>
      </c>
      <c r="D845" s="200">
        <v>1.1295999999999999</v>
      </c>
      <c r="E845" s="201">
        <v>8.7022999999999993</v>
      </c>
      <c r="F845" s="201">
        <v>0.20130000000000001</v>
      </c>
      <c r="G845" s="200">
        <f t="shared" si="132"/>
        <v>8.9035999999999991</v>
      </c>
      <c r="H845" s="200">
        <v>8.7178000000000004</v>
      </c>
      <c r="I845" s="200">
        <f t="shared" si="133"/>
        <v>0.18579999999999863</v>
      </c>
      <c r="J845" s="200">
        <f t="shared" si="134"/>
        <v>1.5500000000001374E-2</v>
      </c>
      <c r="K845" s="277">
        <f t="shared" si="135"/>
        <v>7.6999503229018247</v>
      </c>
      <c r="L845" s="200">
        <v>30</v>
      </c>
      <c r="M845" s="206">
        <v>43185.385416666664</v>
      </c>
      <c r="N845" s="200"/>
      <c r="O845" s="200" t="s">
        <v>2540</v>
      </c>
      <c r="P845" s="200"/>
      <c r="Q845" s="200"/>
      <c r="R845" s="200"/>
      <c r="S845" s="200"/>
      <c r="T845" s="200"/>
      <c r="U845" s="200"/>
      <c r="V845" s="200"/>
      <c r="W845" s="200"/>
      <c r="X845" s="196"/>
      <c r="Y845" s="196"/>
      <c r="Z845" s="196"/>
      <c r="AA845" s="196"/>
      <c r="AB845" s="196"/>
      <c r="AC845" s="196"/>
      <c r="AD845" s="196"/>
      <c r="AE845" s="196"/>
      <c r="AF845" s="196"/>
      <c r="AG845" s="196"/>
      <c r="AH845" s="196"/>
      <c r="AI845" s="196"/>
      <c r="AJ845" s="196"/>
      <c r="AK845" s="196"/>
      <c r="AL845" s="196"/>
      <c r="AM845" s="196"/>
      <c r="AN845" s="196"/>
      <c r="AO845" s="196"/>
      <c r="AP845" s="196"/>
      <c r="AQ845" s="196"/>
      <c r="AR845" s="196"/>
      <c r="AS845" s="196"/>
      <c r="AT845" s="196"/>
      <c r="AU845" s="196"/>
      <c r="AV845" s="196"/>
      <c r="AW845" s="196"/>
      <c r="AX845" s="196"/>
    </row>
  </sheetData>
  <sortState ref="A2:AX845">
    <sortCondition ref="A2"/>
  </sortState>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E845"/>
  <sheetViews>
    <sheetView topLeftCell="A6" zoomScaleNormal="100" workbookViewId="0">
      <selection activeCell="H20" sqref="H20"/>
    </sheetView>
  </sheetViews>
  <sheetFormatPr baseColWidth="10" defaultColWidth="11.5546875" defaultRowHeight="13.95" customHeight="1"/>
  <cols>
    <col min="1" max="1" width="11.109375" style="110" customWidth="1"/>
    <col min="2" max="2" width="13.88671875" style="110" customWidth="1"/>
    <col min="3" max="3" width="23.88671875" style="110" customWidth="1"/>
    <col min="4" max="4" width="26.6640625" style="110" customWidth="1"/>
    <col min="5" max="16384" width="11.5546875" style="110"/>
  </cols>
  <sheetData>
    <row r="1" spans="1:31" ht="13.95" customHeight="1">
      <c r="A1" s="111" t="s">
        <v>1144</v>
      </c>
      <c r="B1" s="111" t="s">
        <v>2145</v>
      </c>
      <c r="C1" s="111" t="s">
        <v>2144</v>
      </c>
      <c r="D1" s="111" t="s">
        <v>2143</v>
      </c>
      <c r="E1" s="111" t="s">
        <v>1141</v>
      </c>
      <c r="F1" s="111" t="s">
        <v>2161</v>
      </c>
      <c r="H1" s="111"/>
      <c r="I1" s="111"/>
      <c r="N1" s="111"/>
      <c r="T1" s="388"/>
      <c r="U1" s="389"/>
      <c r="V1" s="389"/>
      <c r="W1" s="389"/>
      <c r="X1" s="389"/>
      <c r="Y1" s="389"/>
      <c r="Z1" s="389"/>
      <c r="AA1" s="389"/>
      <c r="AB1" s="110" t="s">
        <v>2148</v>
      </c>
      <c r="AC1" s="110" t="s">
        <v>2147</v>
      </c>
      <c r="AE1" s="110" t="s">
        <v>2146</v>
      </c>
    </row>
    <row r="2" spans="1:31" ht="13.95" customHeight="1">
      <c r="A2" s="110" t="s">
        <v>1849</v>
      </c>
      <c r="B2" s="110" t="s">
        <v>2073</v>
      </c>
      <c r="C2" s="110">
        <v>0.67359999999999998</v>
      </c>
      <c r="E2" s="112">
        <v>43122</v>
      </c>
    </row>
    <row r="3" spans="1:31" ht="13.95" customHeight="1">
      <c r="A3" s="110" t="s">
        <v>1848</v>
      </c>
      <c r="B3" s="110">
        <v>163</v>
      </c>
      <c r="C3" s="110">
        <v>0.64500000000000002</v>
      </c>
      <c r="E3" s="112">
        <v>42881</v>
      </c>
    </row>
    <row r="4" spans="1:31" ht="13.95" customHeight="1">
      <c r="A4" s="110" t="s">
        <v>1836</v>
      </c>
      <c r="B4" s="110">
        <v>39</v>
      </c>
      <c r="C4" s="110">
        <v>0.8327</v>
      </c>
      <c r="E4" s="112">
        <v>43123</v>
      </c>
      <c r="G4"/>
      <c r="H4"/>
      <c r="I4"/>
      <c r="J4"/>
    </row>
    <row r="5" spans="1:31" ht="13.95" customHeight="1">
      <c r="A5" s="110" t="s">
        <v>1834</v>
      </c>
      <c r="B5" s="110">
        <v>173</v>
      </c>
      <c r="C5" s="110">
        <v>0.57999999999999996</v>
      </c>
      <c r="E5" s="112">
        <v>42879</v>
      </c>
      <c r="G5"/>
      <c r="H5"/>
      <c r="I5"/>
      <c r="J5"/>
    </row>
    <row r="6" spans="1:31" ht="13.95" customHeight="1">
      <c r="A6" s="110" t="s">
        <v>1833</v>
      </c>
      <c r="B6" s="110">
        <v>79</v>
      </c>
      <c r="C6" s="110">
        <v>0.85370000000000001</v>
      </c>
      <c r="E6" s="112">
        <v>43125</v>
      </c>
      <c r="G6"/>
      <c r="H6"/>
      <c r="I6"/>
      <c r="J6"/>
    </row>
    <row r="7" spans="1:31" ht="13.95" customHeight="1">
      <c r="A7" s="110" t="s">
        <v>1828</v>
      </c>
      <c r="B7" s="110">
        <v>15</v>
      </c>
      <c r="C7" s="110">
        <v>0.67100000000000004</v>
      </c>
      <c r="E7" s="112">
        <v>42879</v>
      </c>
      <c r="G7"/>
      <c r="H7"/>
      <c r="I7"/>
      <c r="J7"/>
    </row>
    <row r="8" spans="1:31" ht="13.95" customHeight="1">
      <c r="A8" s="110" t="s">
        <v>1810</v>
      </c>
      <c r="B8" s="110" t="s">
        <v>2073</v>
      </c>
      <c r="C8" s="110">
        <v>0.88690000000000002</v>
      </c>
      <c r="E8" s="112">
        <v>43122</v>
      </c>
      <c r="G8"/>
      <c r="H8"/>
      <c r="I8"/>
      <c r="J8"/>
    </row>
    <row r="9" spans="1:31" ht="13.95" customHeight="1">
      <c r="A9" s="110" t="s">
        <v>1809</v>
      </c>
      <c r="B9" s="110" t="s">
        <v>2073</v>
      </c>
      <c r="C9" s="110">
        <v>0.52059999999999995</v>
      </c>
      <c r="E9" s="112">
        <v>43122</v>
      </c>
      <c r="G9"/>
      <c r="H9"/>
      <c r="I9"/>
      <c r="J9"/>
    </row>
    <row r="10" spans="1:31" ht="13.95" customHeight="1">
      <c r="A10" s="110" t="s">
        <v>1801</v>
      </c>
      <c r="B10" s="110">
        <v>79</v>
      </c>
      <c r="C10" s="110">
        <v>0.97550000000000003</v>
      </c>
      <c r="D10" s="110" t="s">
        <v>2075</v>
      </c>
      <c r="E10" s="112">
        <v>43125</v>
      </c>
    </row>
    <row r="11" spans="1:31" ht="13.95" customHeight="1">
      <c r="A11" s="110" t="s">
        <v>1799</v>
      </c>
      <c r="B11" s="110" t="s">
        <v>2073</v>
      </c>
      <c r="C11" s="110">
        <v>0.75700000000000001</v>
      </c>
      <c r="E11" s="112">
        <v>43119</v>
      </c>
    </row>
    <row r="12" spans="1:31" ht="13.95" customHeight="1">
      <c r="A12" s="178" t="s">
        <v>1781</v>
      </c>
      <c r="B12" s="110">
        <v>68</v>
      </c>
      <c r="C12" s="110">
        <v>1.018</v>
      </c>
      <c r="E12" s="112">
        <v>42879</v>
      </c>
    </row>
    <row r="13" spans="1:31" ht="13.95" customHeight="1">
      <c r="A13" s="110" t="s">
        <v>1769</v>
      </c>
      <c r="B13" s="110">
        <v>172</v>
      </c>
      <c r="C13" s="110">
        <v>0.69520000000000004</v>
      </c>
      <c r="E13" s="112">
        <v>43123</v>
      </c>
    </row>
    <row r="14" spans="1:31" ht="13.95" customHeight="1">
      <c r="A14" s="110" t="s">
        <v>1768</v>
      </c>
      <c r="B14" s="110">
        <v>66</v>
      </c>
      <c r="C14" s="110">
        <v>1.1456</v>
      </c>
      <c r="E14" s="112">
        <v>43119</v>
      </c>
    </row>
    <row r="15" spans="1:31" ht="13.95" customHeight="1">
      <c r="A15" s="110" t="s">
        <v>1767</v>
      </c>
      <c r="B15" s="110">
        <v>44</v>
      </c>
      <c r="C15" s="110">
        <v>0.80830000000000002</v>
      </c>
      <c r="D15" s="110" t="s">
        <v>2075</v>
      </c>
      <c r="E15" s="112">
        <v>43125</v>
      </c>
    </row>
    <row r="16" spans="1:31" ht="13.95" customHeight="1">
      <c r="A16" s="110" t="s">
        <v>1764</v>
      </c>
      <c r="B16" s="110" t="s">
        <v>2073</v>
      </c>
      <c r="C16" s="110">
        <v>0.80200000000000005</v>
      </c>
      <c r="E16" s="112">
        <v>43119</v>
      </c>
    </row>
    <row r="17" spans="1:8" ht="13.95" customHeight="1">
      <c r="A17" s="110" t="s">
        <v>1763</v>
      </c>
      <c r="B17" s="110" t="s">
        <v>2073</v>
      </c>
      <c r="C17" s="110">
        <v>0.72240000000000004</v>
      </c>
      <c r="E17" s="112">
        <v>43119</v>
      </c>
    </row>
    <row r="18" spans="1:8" ht="13.95" customHeight="1">
      <c r="A18" s="110" t="s">
        <v>1759</v>
      </c>
      <c r="B18" s="110">
        <v>84</v>
      </c>
      <c r="C18" s="110">
        <v>0.90300000000000002</v>
      </c>
      <c r="E18" s="112">
        <v>42881</v>
      </c>
    </row>
    <row r="19" spans="1:8" ht="13.95" customHeight="1">
      <c r="A19" s="110" t="s">
        <v>1753</v>
      </c>
      <c r="B19" s="110">
        <v>192</v>
      </c>
      <c r="C19" s="110">
        <v>0.60899999999999999</v>
      </c>
      <c r="E19" s="112">
        <v>42881</v>
      </c>
    </row>
    <row r="20" spans="1:8" ht="13.95" customHeight="1">
      <c r="A20" s="178" t="s">
        <v>1752</v>
      </c>
      <c r="B20" s="110">
        <v>83</v>
      </c>
      <c r="C20" s="110">
        <v>0.88800000000000001</v>
      </c>
      <c r="E20" s="112">
        <v>42881</v>
      </c>
    </row>
    <row r="21" spans="1:8" ht="13.95" customHeight="1">
      <c r="A21" s="110" t="s">
        <v>1751</v>
      </c>
      <c r="B21" s="110">
        <v>46</v>
      </c>
      <c r="C21" s="110">
        <v>0.88100000000000001</v>
      </c>
      <c r="E21" s="112">
        <v>42881</v>
      </c>
    </row>
    <row r="22" spans="1:8" ht="13.95" customHeight="1">
      <c r="A22" s="396" t="s">
        <v>1742</v>
      </c>
      <c r="B22" s="110">
        <v>85</v>
      </c>
      <c r="C22" s="110">
        <v>1.256</v>
      </c>
      <c r="E22" s="112">
        <v>42878</v>
      </c>
    </row>
    <row r="23" spans="1:8" ht="13.95" customHeight="1">
      <c r="A23" s="110" t="s">
        <v>1716</v>
      </c>
      <c r="B23" s="110" t="s">
        <v>2079</v>
      </c>
      <c r="C23" s="110">
        <v>0.80800000000000005</v>
      </c>
      <c r="D23" s="110" t="s">
        <v>2098</v>
      </c>
      <c r="E23" s="112">
        <v>43125</v>
      </c>
    </row>
    <row r="24" spans="1:8" ht="13.95" customHeight="1">
      <c r="A24" s="110" t="s">
        <v>1713</v>
      </c>
      <c r="B24" s="110" t="s">
        <v>2079</v>
      </c>
      <c r="C24" s="110">
        <v>0.63060000000000005</v>
      </c>
      <c r="D24" s="166" t="s">
        <v>2460</v>
      </c>
      <c r="E24" s="112">
        <v>43125</v>
      </c>
    </row>
    <row r="25" spans="1:8" ht="13.95" customHeight="1">
      <c r="A25" s="110" t="s">
        <v>1705</v>
      </c>
      <c r="B25" s="110" t="s">
        <v>2073</v>
      </c>
      <c r="C25" s="110">
        <v>0.64829999999999999</v>
      </c>
      <c r="E25" s="112">
        <v>43119</v>
      </c>
    </row>
    <row r="26" spans="1:8" ht="13.95" customHeight="1">
      <c r="A26" s="110" t="s">
        <v>1704</v>
      </c>
      <c r="B26" s="110" t="s">
        <v>2073</v>
      </c>
      <c r="C26" s="110">
        <v>1.0001</v>
      </c>
      <c r="E26" s="112">
        <v>43116</v>
      </c>
      <c r="H26" s="111"/>
    </row>
    <row r="27" spans="1:8" ht="13.95" customHeight="1">
      <c r="A27" s="110" t="s">
        <v>1699</v>
      </c>
      <c r="B27" s="110">
        <v>161</v>
      </c>
      <c r="C27" s="110">
        <v>0.58709999999999996</v>
      </c>
      <c r="E27" s="112">
        <v>43125</v>
      </c>
    </row>
    <row r="28" spans="1:8" ht="13.95" customHeight="1">
      <c r="A28" s="110" t="s">
        <v>1698</v>
      </c>
      <c r="B28" s="110">
        <v>161</v>
      </c>
      <c r="C28" s="110">
        <v>0.57509999999999994</v>
      </c>
      <c r="E28" s="112">
        <v>43125</v>
      </c>
    </row>
    <row r="29" spans="1:8" ht="13.95" customHeight="1">
      <c r="A29" s="110" t="s">
        <v>1695</v>
      </c>
      <c r="B29" s="110">
        <v>90</v>
      </c>
      <c r="C29" s="110">
        <v>0.78380000000000005</v>
      </c>
      <c r="E29" s="112">
        <v>43125</v>
      </c>
    </row>
    <row r="30" spans="1:8" ht="13.95" customHeight="1">
      <c r="A30" s="178" t="s">
        <v>1692</v>
      </c>
      <c r="B30">
        <v>70</v>
      </c>
      <c r="C30" s="110">
        <v>0.84299999999999997</v>
      </c>
      <c r="E30" s="112">
        <v>42878</v>
      </c>
    </row>
    <row r="31" spans="1:8" ht="13.95" customHeight="1">
      <c r="A31" s="110" t="s">
        <v>1691</v>
      </c>
      <c r="B31" s="110">
        <v>37</v>
      </c>
      <c r="C31" s="110">
        <v>0.94699999999999995</v>
      </c>
      <c r="E31" s="112">
        <v>42881</v>
      </c>
    </row>
    <row r="32" spans="1:8" ht="13.95" customHeight="1">
      <c r="A32" s="110" t="s">
        <v>1690</v>
      </c>
      <c r="B32" s="110">
        <v>180</v>
      </c>
      <c r="C32" s="110">
        <v>0.62219999999999998</v>
      </c>
      <c r="E32" s="112">
        <v>43116</v>
      </c>
    </row>
    <row r="33" spans="1:5" ht="13.95" customHeight="1">
      <c r="A33" s="396" t="s">
        <v>1688</v>
      </c>
      <c r="B33" s="110">
        <v>177</v>
      </c>
      <c r="C33" s="110">
        <v>0.61299999999999999</v>
      </c>
      <c r="E33" s="112">
        <v>42881</v>
      </c>
    </row>
    <row r="34" spans="1:5" ht="13.95" customHeight="1">
      <c r="A34" s="110" t="s">
        <v>1685</v>
      </c>
      <c r="B34" s="110" t="s">
        <v>2073</v>
      </c>
      <c r="C34" s="110">
        <v>0.6714</v>
      </c>
      <c r="E34" s="112">
        <v>43116</v>
      </c>
    </row>
    <row r="35" spans="1:5" ht="13.95" customHeight="1">
      <c r="A35" s="110" t="s">
        <v>1684</v>
      </c>
      <c r="B35" s="110">
        <v>33</v>
      </c>
      <c r="C35" s="110">
        <v>0.76700000000000002</v>
      </c>
      <c r="E35" s="112">
        <v>42881</v>
      </c>
    </row>
    <row r="36" spans="1:5" ht="13.95" customHeight="1">
      <c r="A36" s="110" t="s">
        <v>1683</v>
      </c>
      <c r="B36" s="110">
        <v>189</v>
      </c>
      <c r="C36" s="110">
        <v>0.80840000000000001</v>
      </c>
      <c r="E36" s="112">
        <v>43125</v>
      </c>
    </row>
    <row r="37" spans="1:5" ht="13.95" customHeight="1">
      <c r="A37" s="110" t="s">
        <v>1682</v>
      </c>
      <c r="B37" s="110">
        <v>165</v>
      </c>
      <c r="C37" s="110">
        <v>0.72699999999999998</v>
      </c>
      <c r="E37" s="112">
        <v>42878</v>
      </c>
    </row>
    <row r="38" spans="1:5" ht="13.95" customHeight="1">
      <c r="A38" s="110" t="s">
        <v>1677</v>
      </c>
      <c r="B38" s="110" t="s">
        <v>2073</v>
      </c>
      <c r="C38" s="110">
        <v>0.93330000000000002</v>
      </c>
      <c r="E38" s="112">
        <v>43122</v>
      </c>
    </row>
    <row r="39" spans="1:5" ht="13.95" customHeight="1">
      <c r="A39" s="110" t="s">
        <v>1675</v>
      </c>
      <c r="B39" s="110" t="s">
        <v>2073</v>
      </c>
      <c r="C39" s="110">
        <v>0.55700000000000005</v>
      </c>
      <c r="E39" s="112">
        <v>43122</v>
      </c>
    </row>
    <row r="40" spans="1:5" ht="13.95" customHeight="1">
      <c r="A40" s="110" t="s">
        <v>1667</v>
      </c>
      <c r="B40" s="110">
        <v>72</v>
      </c>
      <c r="C40" s="110">
        <v>0.82550000000000001</v>
      </c>
      <c r="D40" s="110" t="s">
        <v>2111</v>
      </c>
      <c r="E40" s="112">
        <v>43119</v>
      </c>
    </row>
    <row r="41" spans="1:5" ht="13.95" customHeight="1">
      <c r="A41" s="110" t="s">
        <v>1665</v>
      </c>
      <c r="B41" s="110" t="s">
        <v>2073</v>
      </c>
      <c r="C41" s="110">
        <v>0.62280000000000002</v>
      </c>
      <c r="E41" s="112">
        <v>43122</v>
      </c>
    </row>
    <row r="42" spans="1:5" ht="13.95" customHeight="1">
      <c r="A42" s="110" t="s">
        <v>1664</v>
      </c>
      <c r="B42" s="110">
        <v>69</v>
      </c>
      <c r="C42" s="110">
        <v>0.98899999999999999</v>
      </c>
      <c r="E42" s="112">
        <v>42881</v>
      </c>
    </row>
    <row r="43" spans="1:5" ht="13.95" customHeight="1">
      <c r="A43" s="110" t="s">
        <v>1663</v>
      </c>
      <c r="B43" s="110">
        <v>63</v>
      </c>
      <c r="C43" s="110">
        <v>1.083</v>
      </c>
      <c r="E43" s="112">
        <v>42879</v>
      </c>
    </row>
    <row r="44" spans="1:5" ht="13.95" customHeight="1">
      <c r="A44" s="110" t="s">
        <v>1662</v>
      </c>
      <c r="B44" s="110" t="s">
        <v>2073</v>
      </c>
      <c r="C44" s="110">
        <v>0.7046</v>
      </c>
      <c r="E44" s="112">
        <v>43122</v>
      </c>
    </row>
    <row r="45" spans="1:5" ht="13.95" customHeight="1">
      <c r="A45" s="110" t="s">
        <v>1661</v>
      </c>
      <c r="B45" s="110" t="s">
        <v>2073</v>
      </c>
      <c r="C45" s="110">
        <v>0.61950000000000005</v>
      </c>
      <c r="E45" s="112">
        <v>43123</v>
      </c>
    </row>
    <row r="46" spans="1:5" ht="13.95" customHeight="1">
      <c r="A46" s="110" t="s">
        <v>1660</v>
      </c>
      <c r="B46" s="110">
        <v>64</v>
      </c>
      <c r="C46" s="110">
        <v>0.63800000000000001</v>
      </c>
      <c r="E46" s="112">
        <v>42879</v>
      </c>
    </row>
    <row r="47" spans="1:5" ht="13.95" customHeight="1">
      <c r="A47" s="110" t="s">
        <v>1659</v>
      </c>
      <c r="B47" s="110">
        <v>61</v>
      </c>
      <c r="C47" s="110">
        <v>0.628</v>
      </c>
      <c r="E47" s="112">
        <v>42878</v>
      </c>
    </row>
    <row r="48" spans="1:5" ht="13.95" customHeight="1">
      <c r="A48" s="110" t="s">
        <v>1657</v>
      </c>
      <c r="B48" s="110" t="s">
        <v>2073</v>
      </c>
      <c r="C48" s="110">
        <v>0.62090000000000001</v>
      </c>
      <c r="E48" s="112">
        <v>43119</v>
      </c>
    </row>
    <row r="49" spans="1:5" ht="13.95" customHeight="1">
      <c r="A49" s="110" t="s">
        <v>1647</v>
      </c>
      <c r="B49" s="110" t="s">
        <v>2073</v>
      </c>
      <c r="C49" s="110">
        <v>0.69440000000000002</v>
      </c>
      <c r="E49" s="112">
        <v>43116</v>
      </c>
    </row>
    <row r="50" spans="1:5" ht="13.95" customHeight="1">
      <c r="A50" s="110" t="s">
        <v>1646</v>
      </c>
      <c r="B50" s="110" t="s">
        <v>2073</v>
      </c>
      <c r="C50" s="110">
        <v>0.75349999999999995</v>
      </c>
      <c r="E50" s="112">
        <v>43119</v>
      </c>
    </row>
    <row r="51" spans="1:5" ht="13.95" customHeight="1">
      <c r="A51" s="110" t="s">
        <v>1645</v>
      </c>
      <c r="B51" s="110" t="s">
        <v>2079</v>
      </c>
      <c r="C51" s="110">
        <v>0.70150000000000001</v>
      </c>
      <c r="D51" s="110" t="s">
        <v>2067</v>
      </c>
      <c r="E51" s="112">
        <v>43125</v>
      </c>
    </row>
    <row r="52" spans="1:5" ht="13.95" customHeight="1">
      <c r="A52" s="110" t="s">
        <v>1644</v>
      </c>
      <c r="B52" s="110">
        <v>25</v>
      </c>
      <c r="C52" s="110">
        <v>0.68400000000000005</v>
      </c>
      <c r="E52" s="112">
        <v>43122</v>
      </c>
    </row>
    <row r="53" spans="1:5" ht="13.95" customHeight="1">
      <c r="A53" s="110" t="s">
        <v>1642</v>
      </c>
      <c r="B53" s="110" t="s">
        <v>2079</v>
      </c>
      <c r="C53" s="110">
        <v>0.85780000000000001</v>
      </c>
      <c r="D53" s="110" t="s">
        <v>2095</v>
      </c>
      <c r="E53" s="112">
        <v>43125</v>
      </c>
    </row>
    <row r="54" spans="1:5" ht="13.95" customHeight="1">
      <c r="A54" s="178" t="s">
        <v>1636</v>
      </c>
      <c r="B54">
        <v>70</v>
      </c>
      <c r="C54" s="110">
        <v>0.84099999999999997</v>
      </c>
      <c r="E54" s="112">
        <v>42878</v>
      </c>
    </row>
    <row r="55" spans="1:5" ht="13.95" customHeight="1">
      <c r="A55" s="110" t="s">
        <v>1634</v>
      </c>
      <c r="B55" s="110">
        <v>76</v>
      </c>
      <c r="C55" s="110">
        <v>0.94399999999999995</v>
      </c>
      <c r="D55" s="110" t="s">
        <v>2056</v>
      </c>
      <c r="E55" s="112">
        <v>42881</v>
      </c>
    </row>
    <row r="56" spans="1:5" ht="13.95" customHeight="1">
      <c r="A56" s="110" t="s">
        <v>1633</v>
      </c>
      <c r="B56" s="110" t="s">
        <v>2073</v>
      </c>
      <c r="C56" s="110">
        <v>0.62309999999999999</v>
      </c>
      <c r="E56" s="112">
        <v>43119</v>
      </c>
    </row>
    <row r="57" spans="1:5" ht="13.95" customHeight="1">
      <c r="A57" s="110" t="s">
        <v>1631</v>
      </c>
      <c r="B57" s="110">
        <v>18</v>
      </c>
      <c r="C57" s="110">
        <v>0.79100000000000004</v>
      </c>
      <c r="E57" s="112">
        <v>42879</v>
      </c>
    </row>
    <row r="58" spans="1:5" ht="13.95" customHeight="1">
      <c r="A58" s="110" t="s">
        <v>1630</v>
      </c>
      <c r="B58" s="110" t="s">
        <v>2079</v>
      </c>
      <c r="C58" s="110">
        <v>0.29980000000000001</v>
      </c>
      <c r="D58" s="166" t="s">
        <v>2461</v>
      </c>
      <c r="E58" s="112">
        <v>43125</v>
      </c>
    </row>
    <row r="59" spans="1:5" ht="13.95" customHeight="1">
      <c r="A59" s="110" t="s">
        <v>1629</v>
      </c>
      <c r="B59" s="110">
        <v>24</v>
      </c>
      <c r="C59" s="110">
        <v>0.67</v>
      </c>
      <c r="E59" s="112">
        <v>43119</v>
      </c>
    </row>
    <row r="60" spans="1:5" ht="13.95" customHeight="1">
      <c r="A60" s="110" t="s">
        <v>1627</v>
      </c>
      <c r="B60" s="110" t="s">
        <v>2073</v>
      </c>
      <c r="C60" s="110">
        <v>0.62319999999999998</v>
      </c>
      <c r="E60" s="112">
        <v>43116</v>
      </c>
    </row>
    <row r="61" spans="1:5" ht="13.95" customHeight="1">
      <c r="A61" s="110" t="s">
        <v>1626</v>
      </c>
      <c r="B61" s="110" t="s">
        <v>2073</v>
      </c>
      <c r="C61" s="110">
        <v>0.66039999999999999</v>
      </c>
      <c r="E61" s="112">
        <v>43119</v>
      </c>
    </row>
    <row r="62" spans="1:5" ht="13.95" customHeight="1">
      <c r="A62" s="110" t="s">
        <v>1625</v>
      </c>
      <c r="B62" s="110">
        <v>169</v>
      </c>
      <c r="C62" s="110">
        <v>0.65800000000000003</v>
      </c>
      <c r="E62" s="112">
        <v>42879</v>
      </c>
    </row>
    <row r="63" spans="1:5" ht="13.95" customHeight="1">
      <c r="A63" s="110" t="s">
        <v>1621</v>
      </c>
      <c r="B63" s="110">
        <v>167</v>
      </c>
      <c r="C63" s="110">
        <v>0.64529999999999998</v>
      </c>
      <c r="D63" s="110" t="s">
        <v>2111</v>
      </c>
      <c r="E63" s="112">
        <v>43122</v>
      </c>
    </row>
    <row r="64" spans="1:5" ht="13.95" customHeight="1">
      <c r="A64" t="s">
        <v>1617</v>
      </c>
      <c r="B64" s="110">
        <v>170</v>
      </c>
      <c r="C64" s="110">
        <v>0.64800000000000002</v>
      </c>
      <c r="E64" s="112">
        <v>42878</v>
      </c>
    </row>
    <row r="65" spans="1:12" ht="13.95" customHeight="1">
      <c r="A65" s="110" t="s">
        <v>1614</v>
      </c>
      <c r="B65" s="110">
        <v>1</v>
      </c>
      <c r="C65" s="110">
        <v>0.43290000000000001</v>
      </c>
      <c r="D65" s="110" t="s">
        <v>2097</v>
      </c>
      <c r="E65" s="112">
        <v>43125</v>
      </c>
    </row>
    <row r="66" spans="1:12" ht="13.95" customHeight="1">
      <c r="A66" s="110" t="s">
        <v>1613</v>
      </c>
      <c r="B66" s="110">
        <v>42</v>
      </c>
      <c r="C66" s="110">
        <v>0.64</v>
      </c>
      <c r="E66" s="112">
        <v>42881</v>
      </c>
    </row>
    <row r="67" spans="1:12" ht="13.95" customHeight="1">
      <c r="A67" s="110" t="s">
        <v>1611</v>
      </c>
      <c r="B67" s="110">
        <v>172</v>
      </c>
      <c r="C67" s="110">
        <v>0.59599999999999997</v>
      </c>
      <c r="E67" s="112">
        <v>43123</v>
      </c>
    </row>
    <row r="68" spans="1:12" ht="13.95" customHeight="1">
      <c r="A68" s="110" t="s">
        <v>1610</v>
      </c>
      <c r="B68" s="110">
        <v>63</v>
      </c>
      <c r="C68" s="110">
        <v>0.94199999999999995</v>
      </c>
      <c r="E68" s="112">
        <v>42879</v>
      </c>
    </row>
    <row r="69" spans="1:12" ht="13.95" customHeight="1">
      <c r="A69" s="110" t="s">
        <v>1609</v>
      </c>
      <c r="B69" s="110">
        <v>85</v>
      </c>
      <c r="C69" s="110">
        <v>0.96599999999999997</v>
      </c>
      <c r="E69" s="112">
        <v>42878</v>
      </c>
    </row>
    <row r="70" spans="1:12" ht="13.95" customHeight="1">
      <c r="A70" s="110" t="s">
        <v>1608</v>
      </c>
      <c r="B70" s="110" t="s">
        <v>2073</v>
      </c>
      <c r="C70" s="110">
        <v>0.66290000000000004</v>
      </c>
      <c r="E70" s="112">
        <v>43116</v>
      </c>
    </row>
    <row r="71" spans="1:12" ht="13.95" customHeight="1">
      <c r="A71" s="110" t="s">
        <v>1607</v>
      </c>
      <c r="B71" s="110" t="s">
        <v>2073</v>
      </c>
      <c r="C71" s="110">
        <v>0.69789999999999996</v>
      </c>
      <c r="E71" s="112">
        <v>43116</v>
      </c>
    </row>
    <row r="72" spans="1:12" ht="13.95" customHeight="1">
      <c r="A72" s="110" t="s">
        <v>1605</v>
      </c>
      <c r="B72" s="110">
        <v>62</v>
      </c>
      <c r="C72" s="110">
        <v>0.80569999999999997</v>
      </c>
      <c r="E72" s="112">
        <v>43125</v>
      </c>
    </row>
    <row r="73" spans="1:12" ht="13.95" customHeight="1">
      <c r="A73" s="110" t="s">
        <v>1604</v>
      </c>
      <c r="B73" s="110">
        <v>78</v>
      </c>
      <c r="C73" s="110">
        <v>0.77859999999999996</v>
      </c>
      <c r="E73" s="112">
        <v>43122</v>
      </c>
    </row>
    <row r="74" spans="1:12" ht="13.95" customHeight="1">
      <c r="A74" s="110" t="s">
        <v>1603</v>
      </c>
      <c r="B74" s="110" t="s">
        <v>2073</v>
      </c>
      <c r="C74" s="110">
        <v>0.67749999999999999</v>
      </c>
      <c r="E74" s="112">
        <v>43116</v>
      </c>
    </row>
    <row r="75" spans="1:12" ht="13.95" customHeight="1">
      <c r="A75" s="110" t="s">
        <v>1601</v>
      </c>
      <c r="B75" s="110">
        <v>27</v>
      </c>
      <c r="C75" s="110">
        <v>0.73760000000000003</v>
      </c>
      <c r="E75" s="112">
        <v>43122</v>
      </c>
    </row>
    <row r="76" spans="1:12" ht="13.95" customHeight="1">
      <c r="A76" s="110" t="s">
        <v>1600</v>
      </c>
      <c r="B76" s="110">
        <v>67</v>
      </c>
      <c r="C76" s="110">
        <v>0.89059999999999995</v>
      </c>
      <c r="E76" s="112">
        <v>43125</v>
      </c>
    </row>
    <row r="77" spans="1:12" ht="13.95" customHeight="1">
      <c r="A77" s="110" t="s">
        <v>1599</v>
      </c>
      <c r="B77" s="110" t="s">
        <v>2073</v>
      </c>
      <c r="C77" s="110">
        <v>0.60329999999999995</v>
      </c>
      <c r="E77" s="112">
        <v>43122</v>
      </c>
      <c r="J77" s="111"/>
      <c r="K77" s="111" t="s">
        <v>2463</v>
      </c>
      <c r="L77" s="110" t="s">
        <v>2463</v>
      </c>
    </row>
    <row r="78" spans="1:12" ht="13.95" customHeight="1">
      <c r="A78" s="110" t="s">
        <v>1598</v>
      </c>
      <c r="B78" s="110">
        <v>7</v>
      </c>
      <c r="C78" s="110">
        <v>0.67900000000000005</v>
      </c>
      <c r="E78" s="112">
        <v>42879</v>
      </c>
    </row>
    <row r="79" spans="1:12" ht="13.95" customHeight="1">
      <c r="A79" s="110" t="s">
        <v>1597</v>
      </c>
      <c r="B79" s="110">
        <v>41</v>
      </c>
      <c r="C79" s="110">
        <v>1.0509999999999999</v>
      </c>
      <c r="E79" s="112">
        <v>42879</v>
      </c>
    </row>
    <row r="80" spans="1:12" ht="13.95" customHeight="1">
      <c r="A80" s="110" t="s">
        <v>1596</v>
      </c>
      <c r="B80" s="110">
        <v>176</v>
      </c>
      <c r="C80" s="110">
        <v>0.63900000000000001</v>
      </c>
      <c r="E80" s="112">
        <v>42879</v>
      </c>
    </row>
    <row r="81" spans="1:5" ht="13.95" customHeight="1">
      <c r="A81" s="110" t="s">
        <v>1594</v>
      </c>
      <c r="B81" s="110">
        <v>23</v>
      </c>
      <c r="C81" s="110">
        <v>0.72629999999999995</v>
      </c>
      <c r="E81" s="112">
        <v>43123</v>
      </c>
    </row>
    <row r="82" spans="1:5" ht="13.95" customHeight="1">
      <c r="A82" s="110" t="s">
        <v>1593</v>
      </c>
      <c r="B82" s="110">
        <v>175</v>
      </c>
      <c r="C82" s="110">
        <v>0.68200000000000005</v>
      </c>
      <c r="E82" s="112">
        <v>42879</v>
      </c>
    </row>
    <row r="83" spans="1:5" ht="13.95" customHeight="1">
      <c r="A83" s="110" t="s">
        <v>1592</v>
      </c>
      <c r="B83" s="110" t="s">
        <v>2079</v>
      </c>
      <c r="C83" s="110">
        <v>0.57499999999999996</v>
      </c>
      <c r="E83" s="112">
        <v>43125</v>
      </c>
    </row>
    <row r="84" spans="1:5" ht="13.95" customHeight="1">
      <c r="A84" s="110" t="s">
        <v>1591</v>
      </c>
      <c r="B84" s="110" t="s">
        <v>2073</v>
      </c>
      <c r="C84" s="110">
        <v>0.89149999999999996</v>
      </c>
      <c r="E84" s="112">
        <v>43116</v>
      </c>
    </row>
    <row r="85" spans="1:5" ht="13.95" customHeight="1">
      <c r="A85" s="110" t="s">
        <v>1590</v>
      </c>
      <c r="B85" s="110">
        <v>78</v>
      </c>
      <c r="C85" s="110">
        <v>0.90669999999999995</v>
      </c>
      <c r="E85" s="112">
        <v>43116</v>
      </c>
    </row>
    <row r="86" spans="1:5" ht="13.95" customHeight="1">
      <c r="A86" s="110" t="s">
        <v>1589</v>
      </c>
      <c r="B86" s="110">
        <v>168</v>
      </c>
      <c r="C86" s="110">
        <v>0.79400000000000004</v>
      </c>
      <c r="E86" s="112">
        <v>42881</v>
      </c>
    </row>
    <row r="87" spans="1:5" ht="13.95" customHeight="1">
      <c r="A87" s="110" t="s">
        <v>1588</v>
      </c>
      <c r="B87" s="110">
        <v>198</v>
      </c>
      <c r="C87" s="110">
        <v>0.71250000000000002</v>
      </c>
      <c r="E87" s="112">
        <v>43125</v>
      </c>
    </row>
    <row r="88" spans="1:5" ht="13.95" customHeight="1">
      <c r="A88" s="181" t="s">
        <v>1581</v>
      </c>
      <c r="B88" s="110">
        <v>89</v>
      </c>
      <c r="C88" s="110">
        <v>1.5169999999999999</v>
      </c>
      <c r="E88" s="112">
        <v>42879</v>
      </c>
    </row>
    <row r="89" spans="1:5" ht="13.95" customHeight="1">
      <c r="A89" s="110" t="s">
        <v>1580</v>
      </c>
      <c r="B89" s="110">
        <v>176</v>
      </c>
      <c r="C89" s="110">
        <v>0.60299999999999998</v>
      </c>
      <c r="E89" s="112">
        <v>42879</v>
      </c>
    </row>
    <row r="90" spans="1:5" ht="13.95" customHeight="1">
      <c r="A90" s="110" t="s">
        <v>1578</v>
      </c>
      <c r="B90" s="110">
        <v>91</v>
      </c>
      <c r="C90" s="110">
        <v>0.76100000000000001</v>
      </c>
      <c r="E90" s="112">
        <v>42878</v>
      </c>
    </row>
    <row r="91" spans="1:5" ht="13.95" customHeight="1">
      <c r="A91" t="s">
        <v>1576</v>
      </c>
      <c r="B91">
        <v>80</v>
      </c>
      <c r="C91">
        <v>1.0009999999999999</v>
      </c>
      <c r="D91" t="s">
        <v>2140</v>
      </c>
      <c r="E91" s="112">
        <v>42878</v>
      </c>
    </row>
    <row r="92" spans="1:5" ht="13.95" customHeight="1">
      <c r="A92" s="110" t="s">
        <v>1575</v>
      </c>
      <c r="B92" s="110">
        <v>81</v>
      </c>
      <c r="C92" s="110">
        <v>0.65200000000000002</v>
      </c>
      <c r="E92" s="112">
        <v>42881</v>
      </c>
    </row>
    <row r="93" spans="1:5" ht="13.95" customHeight="1">
      <c r="A93" s="110" t="s">
        <v>1574</v>
      </c>
      <c r="B93" s="110" t="s">
        <v>2073</v>
      </c>
      <c r="C93" s="110">
        <v>0.66479999999999995</v>
      </c>
      <c r="E93" s="112">
        <v>43116</v>
      </c>
    </row>
    <row r="94" spans="1:5" ht="13.95" customHeight="1">
      <c r="A94" s="178" t="s">
        <v>1573</v>
      </c>
      <c r="B94" s="110">
        <v>68</v>
      </c>
      <c r="C94" s="110">
        <v>0.90500000000000003</v>
      </c>
      <c r="E94" s="112">
        <v>42879</v>
      </c>
    </row>
    <row r="95" spans="1:5" ht="13.95" customHeight="1">
      <c r="A95" s="110" t="s">
        <v>1571</v>
      </c>
      <c r="B95" s="110" t="s">
        <v>2073</v>
      </c>
      <c r="C95" s="110">
        <v>0.90410000000000001</v>
      </c>
      <c r="D95" s="110" t="s">
        <v>2116</v>
      </c>
      <c r="E95" s="112">
        <v>43122</v>
      </c>
    </row>
    <row r="96" spans="1:5" ht="13.95" customHeight="1">
      <c r="A96" s="110" t="s">
        <v>1567</v>
      </c>
      <c r="B96" s="110">
        <v>177</v>
      </c>
      <c r="C96" s="110">
        <v>0.58399999999999996</v>
      </c>
      <c r="E96" s="112">
        <v>42881</v>
      </c>
    </row>
    <row r="97" spans="1:5" ht="13.95" customHeight="1">
      <c r="A97" s="396" t="s">
        <v>1564</v>
      </c>
      <c r="B97" s="110">
        <v>95</v>
      </c>
      <c r="C97" s="110">
        <v>0.90400000000000003</v>
      </c>
      <c r="E97" s="112">
        <v>42879</v>
      </c>
    </row>
    <row r="98" spans="1:5" ht="13.95" customHeight="1">
      <c r="A98" s="181" t="s">
        <v>1561</v>
      </c>
      <c r="B98">
        <v>59</v>
      </c>
      <c r="C98" s="110">
        <v>0.88400000000000001</v>
      </c>
      <c r="D98"/>
      <c r="E98" s="112">
        <v>42878</v>
      </c>
    </row>
    <row r="99" spans="1:5" ht="13.95" customHeight="1">
      <c r="A99" s="110" t="s">
        <v>1559</v>
      </c>
      <c r="B99" s="110">
        <v>219</v>
      </c>
      <c r="C99" s="110">
        <v>0.65569999999999995</v>
      </c>
      <c r="E99" s="112">
        <v>43125</v>
      </c>
    </row>
    <row r="100" spans="1:5" ht="13.95" customHeight="1">
      <c r="A100" s="181" t="s">
        <v>1558</v>
      </c>
      <c r="B100" s="110">
        <v>23</v>
      </c>
      <c r="C100" s="110">
        <v>0.76959999999999995</v>
      </c>
      <c r="E100" s="112">
        <v>43123</v>
      </c>
    </row>
    <row r="101" spans="1:5" ht="13.95" customHeight="1">
      <c r="A101" s="110" t="s">
        <v>1556</v>
      </c>
      <c r="B101" s="110">
        <v>83</v>
      </c>
      <c r="C101" s="110">
        <v>0.90200000000000002</v>
      </c>
      <c r="E101" s="112">
        <v>42881</v>
      </c>
    </row>
    <row r="102" spans="1:5" ht="13.95" customHeight="1">
      <c r="A102" s="110" t="s">
        <v>1554</v>
      </c>
      <c r="B102" s="110">
        <v>169</v>
      </c>
      <c r="C102" s="110">
        <v>0.57199999999999995</v>
      </c>
      <c r="E102" s="112">
        <v>42879</v>
      </c>
    </row>
    <row r="103" spans="1:5" ht="13.95" customHeight="1">
      <c r="A103" s="110" t="s">
        <v>1553</v>
      </c>
      <c r="B103" s="110" t="s">
        <v>2073</v>
      </c>
      <c r="C103" s="110">
        <v>0.46</v>
      </c>
      <c r="E103" s="112">
        <v>43122</v>
      </c>
    </row>
    <row r="104" spans="1:5" ht="13.95" customHeight="1">
      <c r="A104" s="110" t="s">
        <v>1552</v>
      </c>
      <c r="B104" s="110" t="s">
        <v>2073</v>
      </c>
      <c r="C104" s="110">
        <v>0.73209999999999997</v>
      </c>
      <c r="E104" s="112">
        <v>43119</v>
      </c>
    </row>
    <row r="105" spans="1:5" ht="13.95" customHeight="1">
      <c r="A105" s="396" t="s">
        <v>1551</v>
      </c>
      <c r="B105" s="110">
        <v>38</v>
      </c>
      <c r="C105" s="110">
        <v>1.4741</v>
      </c>
      <c r="E105" s="112">
        <v>43122</v>
      </c>
    </row>
    <row r="106" spans="1:5" ht="13.95" customHeight="1">
      <c r="A106" s="110" t="s">
        <v>1550</v>
      </c>
      <c r="B106" s="110" t="s">
        <v>2073</v>
      </c>
      <c r="C106" s="110">
        <v>0.61909999999999998</v>
      </c>
      <c r="D106" s="110" t="s">
        <v>2122</v>
      </c>
      <c r="E106" s="112">
        <v>43122</v>
      </c>
    </row>
    <row r="107" spans="1:5" ht="13.95" customHeight="1">
      <c r="A107" s="110" t="s">
        <v>1548</v>
      </c>
      <c r="B107" s="110" t="s">
        <v>2073</v>
      </c>
      <c r="C107" s="110">
        <v>0.60960000000000003</v>
      </c>
      <c r="E107" s="112">
        <v>43122</v>
      </c>
    </row>
    <row r="108" spans="1:5" ht="13.95" customHeight="1">
      <c r="A108" s="110" t="s">
        <v>1547</v>
      </c>
      <c r="B108" s="110">
        <v>14</v>
      </c>
      <c r="C108" s="110">
        <v>0.501</v>
      </c>
      <c r="E108" s="112">
        <v>42881</v>
      </c>
    </row>
    <row r="109" spans="1:5" ht="13.95" customHeight="1">
      <c r="A109" s="110" t="s">
        <v>1546</v>
      </c>
      <c r="B109" s="110">
        <v>171</v>
      </c>
      <c r="C109" s="110">
        <v>0.53500000000000003</v>
      </c>
      <c r="E109" s="112">
        <v>42878</v>
      </c>
    </row>
    <row r="110" spans="1:5" ht="13.95" customHeight="1">
      <c r="A110" s="110" t="s">
        <v>1545</v>
      </c>
      <c r="B110" s="110">
        <v>20</v>
      </c>
      <c r="C110" s="110">
        <v>0.70330000000000004</v>
      </c>
      <c r="E110" s="112">
        <v>43125</v>
      </c>
    </row>
    <row r="111" spans="1:5" ht="13.95" customHeight="1">
      <c r="A111" s="110" t="s">
        <v>1544</v>
      </c>
      <c r="B111" s="110" t="s">
        <v>2073</v>
      </c>
      <c r="C111" s="110">
        <v>0.67589999999999995</v>
      </c>
      <c r="D111" s="110" t="s">
        <v>2125</v>
      </c>
      <c r="E111" s="112">
        <v>43122</v>
      </c>
    </row>
    <row r="112" spans="1:5" ht="13.95" customHeight="1">
      <c r="A112" s="110" t="s">
        <v>1543</v>
      </c>
      <c r="B112">
        <v>36</v>
      </c>
      <c r="C112" s="110">
        <v>0.68100000000000005</v>
      </c>
      <c r="E112" s="112">
        <v>42881</v>
      </c>
    </row>
    <row r="113" spans="1:5" ht="13.95" customHeight="1">
      <c r="A113" s="110" t="s">
        <v>1542</v>
      </c>
      <c r="B113" s="110">
        <v>208</v>
      </c>
      <c r="C113" s="110">
        <v>0.84599999999999997</v>
      </c>
      <c r="E113" s="112">
        <v>42879</v>
      </c>
    </row>
    <row r="114" spans="1:5" ht="13.95" customHeight="1">
      <c r="A114" s="397" t="s">
        <v>1541</v>
      </c>
      <c r="B114" s="110">
        <v>77</v>
      </c>
      <c r="C114" s="110">
        <v>1.012</v>
      </c>
      <c r="E114" s="112">
        <v>42879</v>
      </c>
    </row>
    <row r="115" spans="1:5" ht="13.95" customHeight="1">
      <c r="A115" s="110" t="s">
        <v>1539</v>
      </c>
      <c r="B115" s="110" t="s">
        <v>2073</v>
      </c>
      <c r="C115" s="110">
        <v>0.83740000000000003</v>
      </c>
      <c r="D115" s="110" t="s">
        <v>2111</v>
      </c>
      <c r="E115" s="112">
        <v>43119</v>
      </c>
    </row>
    <row r="116" spans="1:5" ht="13.95" customHeight="1">
      <c r="A116" s="110" t="s">
        <v>1538</v>
      </c>
      <c r="B116">
        <v>47</v>
      </c>
      <c r="C116" s="110">
        <v>0.77500000000000002</v>
      </c>
      <c r="E116" s="112">
        <v>42879</v>
      </c>
    </row>
    <row r="117" spans="1:5" ht="13.95" customHeight="1">
      <c r="A117" s="110" t="s">
        <v>1537</v>
      </c>
      <c r="B117" s="110">
        <v>58</v>
      </c>
      <c r="C117" s="110">
        <v>0.93279999999999996</v>
      </c>
      <c r="D117" s="110" t="s">
        <v>2110</v>
      </c>
      <c r="E117" s="112">
        <v>43123</v>
      </c>
    </row>
    <row r="118" spans="1:5" ht="13.95" customHeight="1">
      <c r="A118" s="409" t="s">
        <v>1536</v>
      </c>
      <c r="B118" s="110" t="s">
        <v>2073</v>
      </c>
      <c r="C118" s="110">
        <v>0.59470000000000001</v>
      </c>
      <c r="D118" s="110" t="s">
        <v>2111</v>
      </c>
      <c r="E118" s="112">
        <v>43119</v>
      </c>
    </row>
    <row r="119" spans="1:5" ht="13.95" customHeight="1">
      <c r="A119" s="110" t="s">
        <v>1534</v>
      </c>
      <c r="B119" s="110">
        <v>34</v>
      </c>
      <c r="C119" s="110">
        <v>0.87270000000000003</v>
      </c>
      <c r="D119" s="110" t="s">
        <v>2082</v>
      </c>
      <c r="E119" s="112">
        <v>43125</v>
      </c>
    </row>
    <row r="120" spans="1:5" ht="13.95" customHeight="1">
      <c r="A120" s="110" t="s">
        <v>1532</v>
      </c>
      <c r="B120" s="110" t="s">
        <v>2073</v>
      </c>
      <c r="C120" s="110">
        <v>0.68200000000000005</v>
      </c>
      <c r="E120" s="112">
        <v>43122</v>
      </c>
    </row>
    <row r="121" spans="1:5" ht="13.95" customHeight="1">
      <c r="A121" s="110" t="s">
        <v>1531</v>
      </c>
      <c r="B121" s="110">
        <v>45</v>
      </c>
      <c r="C121" s="110">
        <v>0.77569999999999995</v>
      </c>
      <c r="D121" s="110" t="s">
        <v>2108</v>
      </c>
      <c r="E121" s="112">
        <v>43123</v>
      </c>
    </row>
    <row r="122" spans="1:5" ht="13.95" customHeight="1">
      <c r="A122" s="110" t="s">
        <v>1530</v>
      </c>
      <c r="B122" s="110">
        <v>84</v>
      </c>
      <c r="C122" s="110">
        <v>0.81299999999999994</v>
      </c>
      <c r="E122" s="112">
        <v>42881</v>
      </c>
    </row>
    <row r="123" spans="1:5" ht="13.95" customHeight="1">
      <c r="A123" s="110" t="s">
        <v>1529</v>
      </c>
      <c r="B123" s="110" t="s">
        <v>2073</v>
      </c>
      <c r="C123" s="110">
        <v>0.71479999999999999</v>
      </c>
      <c r="E123" s="112">
        <v>43119</v>
      </c>
    </row>
    <row r="124" spans="1:5" ht="13.95" customHeight="1">
      <c r="A124" s="110" t="s">
        <v>1528</v>
      </c>
      <c r="B124" s="110" t="s">
        <v>2073</v>
      </c>
      <c r="C124" s="110">
        <v>0.628</v>
      </c>
      <c r="E124" s="112">
        <v>43119</v>
      </c>
    </row>
    <row r="125" spans="1:5" ht="13.95" customHeight="1">
      <c r="A125" s="110" t="s">
        <v>1527</v>
      </c>
      <c r="B125" s="110" t="s">
        <v>2073</v>
      </c>
      <c r="C125" s="110">
        <v>0.63119999999999998</v>
      </c>
      <c r="E125" s="112">
        <v>43122</v>
      </c>
    </row>
    <row r="126" spans="1:5" ht="13.95" customHeight="1">
      <c r="A126" s="110" t="s">
        <v>1526</v>
      </c>
      <c r="B126" s="110">
        <v>20</v>
      </c>
      <c r="C126" s="110">
        <v>0.71609999999999996</v>
      </c>
      <c r="E126" s="112">
        <v>43125</v>
      </c>
    </row>
    <row r="127" spans="1:5" ht="13.95" customHeight="1">
      <c r="A127" s="110" t="s">
        <v>1525</v>
      </c>
      <c r="B127" s="110">
        <v>195</v>
      </c>
      <c r="C127" s="110">
        <v>0.67859999999999998</v>
      </c>
      <c r="E127" s="112">
        <v>43125</v>
      </c>
    </row>
    <row r="128" spans="1:5" ht="13.95" customHeight="1">
      <c r="A128" s="110" t="s">
        <v>1524</v>
      </c>
      <c r="B128" s="110" t="s">
        <v>2073</v>
      </c>
      <c r="C128" s="110">
        <v>0.61960000000000004</v>
      </c>
      <c r="E128" s="112">
        <v>43122</v>
      </c>
    </row>
    <row r="129" spans="1:5" ht="13.95" customHeight="1">
      <c r="A129" s="110" t="s">
        <v>1523</v>
      </c>
      <c r="B129" s="110" t="s">
        <v>2073</v>
      </c>
      <c r="C129" s="110">
        <v>0.66439999999999999</v>
      </c>
      <c r="E129" s="112">
        <v>43122</v>
      </c>
    </row>
    <row r="130" spans="1:5" ht="13.95" customHeight="1">
      <c r="A130" s="110" t="s">
        <v>1522</v>
      </c>
      <c r="B130" s="110">
        <v>37</v>
      </c>
      <c r="C130" s="110">
        <v>0.89600000000000002</v>
      </c>
      <c r="E130" s="112">
        <v>42881</v>
      </c>
    </row>
    <row r="131" spans="1:5" ht="13.95" customHeight="1">
      <c r="A131" s="110" t="s">
        <v>1521</v>
      </c>
      <c r="B131" s="110">
        <v>92</v>
      </c>
      <c r="C131" s="110">
        <v>0.76500000000000001</v>
      </c>
      <c r="E131" s="112">
        <v>42879</v>
      </c>
    </row>
    <row r="132" spans="1:5" ht="13.95" customHeight="1">
      <c r="A132" s="110" t="s">
        <v>1518</v>
      </c>
      <c r="B132" s="110">
        <v>4</v>
      </c>
      <c r="C132" s="110">
        <v>0.55969999999999998</v>
      </c>
      <c r="E132" s="112">
        <v>43122</v>
      </c>
    </row>
    <row r="133" spans="1:5" ht="13.95" customHeight="1">
      <c r="A133" t="s">
        <v>1515</v>
      </c>
      <c r="B133">
        <v>60</v>
      </c>
      <c r="C133">
        <v>0.78</v>
      </c>
      <c r="D133" t="s">
        <v>2068</v>
      </c>
      <c r="E133" s="112">
        <v>42879</v>
      </c>
    </row>
    <row r="134" spans="1:5" ht="13.95" customHeight="1">
      <c r="A134" s="110" t="s">
        <v>1514</v>
      </c>
      <c r="B134" s="110">
        <v>82</v>
      </c>
      <c r="C134" s="110">
        <v>0.748</v>
      </c>
      <c r="D134" s="110" t="s">
        <v>2066</v>
      </c>
      <c r="E134" s="112">
        <v>42879</v>
      </c>
    </row>
    <row r="135" spans="1:5" ht="13.95" customHeight="1">
      <c r="A135" s="110" t="s">
        <v>1513</v>
      </c>
      <c r="B135" s="110">
        <v>189</v>
      </c>
      <c r="C135" s="110">
        <v>0.72030000000000005</v>
      </c>
      <c r="E135" s="112">
        <v>43125</v>
      </c>
    </row>
    <row r="136" spans="1:5" ht="13.95" customHeight="1">
      <c r="A136" s="110" t="s">
        <v>1512</v>
      </c>
      <c r="B136" s="110">
        <v>56</v>
      </c>
      <c r="C136" s="110">
        <v>0.81</v>
      </c>
      <c r="E136" s="112">
        <v>42881</v>
      </c>
    </row>
    <row r="137" spans="1:5" ht="13.95" customHeight="1">
      <c r="A137" s="110" t="s">
        <v>1511</v>
      </c>
      <c r="B137">
        <v>47</v>
      </c>
      <c r="C137" s="110">
        <v>0.80700000000000005</v>
      </c>
      <c r="E137" s="112">
        <v>42879</v>
      </c>
    </row>
    <row r="138" spans="1:5" ht="13.95" customHeight="1">
      <c r="A138" s="110" t="s">
        <v>1510</v>
      </c>
      <c r="B138" s="113">
        <v>206</v>
      </c>
      <c r="C138" s="110">
        <v>0.73299999999999998</v>
      </c>
      <c r="E138" s="112">
        <v>42879</v>
      </c>
    </row>
    <row r="139" spans="1:5" ht="13.95" customHeight="1">
      <c r="A139" s="178" t="s">
        <v>1509</v>
      </c>
      <c r="B139" s="110">
        <v>61</v>
      </c>
      <c r="C139">
        <v>0.78600000000000003</v>
      </c>
      <c r="D139"/>
      <c r="E139" s="112">
        <v>42878</v>
      </c>
    </row>
    <row r="140" spans="1:5" ht="13.95" customHeight="1">
      <c r="A140" s="110" t="s">
        <v>1508</v>
      </c>
      <c r="B140" s="110">
        <v>81</v>
      </c>
      <c r="C140" s="110">
        <v>0.85099999999999998</v>
      </c>
      <c r="E140" s="112">
        <v>42881</v>
      </c>
    </row>
    <row r="141" spans="1:5" ht="13.95" customHeight="1">
      <c r="A141" s="110" t="s">
        <v>1507</v>
      </c>
      <c r="B141" s="110" t="s">
        <v>2073</v>
      </c>
      <c r="C141" s="110">
        <v>0.71650000000000003</v>
      </c>
      <c r="E141" s="112">
        <v>43119</v>
      </c>
    </row>
    <row r="142" spans="1:5" ht="13.95" customHeight="1">
      <c r="A142" s="110" t="s">
        <v>1506</v>
      </c>
      <c r="B142" s="180">
        <v>186</v>
      </c>
      <c r="C142" s="110">
        <v>0.69</v>
      </c>
      <c r="E142" s="112">
        <v>42878</v>
      </c>
    </row>
    <row r="143" spans="1:5" ht="13.95" customHeight="1">
      <c r="A143" s="110" t="s">
        <v>1505</v>
      </c>
      <c r="B143" s="110" t="s">
        <v>2073</v>
      </c>
      <c r="C143" s="110">
        <v>0.73950000000000005</v>
      </c>
      <c r="D143" s="110" t="s">
        <v>2111</v>
      </c>
      <c r="E143" s="112">
        <v>43122</v>
      </c>
    </row>
    <row r="144" spans="1:5" ht="13.95" customHeight="1">
      <c r="A144" s="110" t="s">
        <v>1504</v>
      </c>
      <c r="B144" s="110">
        <v>57</v>
      </c>
      <c r="C144" s="110">
        <v>0.88660000000000005</v>
      </c>
      <c r="E144" s="112">
        <v>43122</v>
      </c>
    </row>
    <row r="145" spans="1:5" ht="13.95" customHeight="1">
      <c r="A145" s="110" t="s">
        <v>1503</v>
      </c>
      <c r="B145" s="110">
        <v>91</v>
      </c>
      <c r="C145" s="110">
        <v>1.069</v>
      </c>
      <c r="E145" s="112">
        <v>42878</v>
      </c>
    </row>
    <row r="146" spans="1:5" ht="13.95" customHeight="1">
      <c r="A146" s="110" t="s">
        <v>1502</v>
      </c>
      <c r="B146" s="110">
        <v>51</v>
      </c>
      <c r="C146" s="110">
        <v>0.86399999999999999</v>
      </c>
      <c r="E146" s="112">
        <v>42881</v>
      </c>
    </row>
    <row r="147" spans="1:5" ht="13.95" customHeight="1">
      <c r="A147" s="110" t="s">
        <v>1501</v>
      </c>
      <c r="B147" s="110" t="s">
        <v>2079</v>
      </c>
      <c r="C147" s="110">
        <v>0.74199999999999999</v>
      </c>
      <c r="D147" s="110" t="s">
        <v>2091</v>
      </c>
      <c r="E147" s="112">
        <v>43125</v>
      </c>
    </row>
    <row r="148" spans="1:5" ht="13.95" customHeight="1">
      <c r="A148" s="110" t="s">
        <v>1500</v>
      </c>
      <c r="B148">
        <v>36</v>
      </c>
      <c r="C148" s="110">
        <v>0.72199999999999998</v>
      </c>
      <c r="E148" s="112">
        <v>42881</v>
      </c>
    </row>
    <row r="149" spans="1:5" ht="13.95" customHeight="1">
      <c r="A149" s="110" t="s">
        <v>1499</v>
      </c>
      <c r="B149" s="110" t="s">
        <v>2073</v>
      </c>
      <c r="C149" s="110">
        <v>0.61199999999999999</v>
      </c>
      <c r="E149" s="112">
        <v>43122</v>
      </c>
    </row>
    <row r="150" spans="1:5" ht="13.95" customHeight="1">
      <c r="A150" s="110" t="s">
        <v>1498</v>
      </c>
      <c r="B150" s="110" t="s">
        <v>2073</v>
      </c>
      <c r="C150" s="110">
        <v>0.75929999999999997</v>
      </c>
      <c r="D150" s="110" t="s">
        <v>2124</v>
      </c>
      <c r="E150" s="112">
        <v>43122</v>
      </c>
    </row>
    <row r="151" spans="1:5" ht="13.95" customHeight="1">
      <c r="A151" t="s">
        <v>1496</v>
      </c>
      <c r="B151">
        <v>64</v>
      </c>
      <c r="C151">
        <v>1.29</v>
      </c>
      <c r="D151" t="s">
        <v>2135</v>
      </c>
      <c r="E151" s="112">
        <v>42878</v>
      </c>
    </row>
    <row r="152" spans="1:5" ht="13.95" customHeight="1">
      <c r="A152" s="397" t="s">
        <v>1494</v>
      </c>
      <c r="B152" s="110">
        <v>33</v>
      </c>
      <c r="C152" s="110">
        <v>0.64400000000000002</v>
      </c>
      <c r="E152" s="112">
        <v>42881</v>
      </c>
    </row>
    <row r="153" spans="1:5" ht="13.95" customHeight="1">
      <c r="A153" s="178" t="s">
        <v>1493</v>
      </c>
      <c r="B153" s="110">
        <v>56</v>
      </c>
      <c r="C153" s="110">
        <v>0.74399999999999999</v>
      </c>
      <c r="E153" s="112">
        <v>42881</v>
      </c>
    </row>
    <row r="154" spans="1:5" ht="13.95" customHeight="1">
      <c r="A154" s="110" t="s">
        <v>1490</v>
      </c>
      <c r="B154" s="110">
        <v>212</v>
      </c>
      <c r="C154" s="110">
        <v>1.4097999999999999</v>
      </c>
      <c r="E154" s="112">
        <v>43123</v>
      </c>
    </row>
    <row r="155" spans="1:5" ht="13.95" customHeight="1">
      <c r="A155" s="110" t="s">
        <v>1489</v>
      </c>
      <c r="B155" s="110">
        <v>86</v>
      </c>
      <c r="C155" s="110">
        <v>0.74650000000000005</v>
      </c>
      <c r="E155" s="112">
        <v>43123</v>
      </c>
    </row>
    <row r="156" spans="1:5" ht="13.95" customHeight="1">
      <c r="A156" s="110" t="s">
        <v>1487</v>
      </c>
      <c r="B156" s="110">
        <v>116</v>
      </c>
      <c r="C156" s="110">
        <v>0.61660000000000004</v>
      </c>
      <c r="E156" s="112">
        <v>43125</v>
      </c>
    </row>
    <row r="157" spans="1:5" ht="13.95" customHeight="1">
      <c r="A157" s="110" t="s">
        <v>1486</v>
      </c>
      <c r="B157" s="110" t="s">
        <v>2073</v>
      </c>
      <c r="C157" s="110">
        <v>0.626</v>
      </c>
      <c r="E157" s="112">
        <v>43122</v>
      </c>
    </row>
    <row r="158" spans="1:5" ht="13.95" customHeight="1">
      <c r="A158" s="110" t="s">
        <v>1485</v>
      </c>
      <c r="B158" s="110">
        <v>62</v>
      </c>
      <c r="C158" s="110">
        <v>0.9224</v>
      </c>
      <c r="D158" s="110" t="s">
        <v>2106</v>
      </c>
      <c r="E158" s="112">
        <v>43125</v>
      </c>
    </row>
    <row r="159" spans="1:5" ht="13.95" customHeight="1">
      <c r="A159" t="s">
        <v>1484</v>
      </c>
      <c r="B159" s="110">
        <v>39</v>
      </c>
      <c r="C159" s="110">
        <v>0.78520000000000001</v>
      </c>
      <c r="E159" s="112">
        <v>43123</v>
      </c>
    </row>
    <row r="160" spans="1:5" ht="13.95" customHeight="1">
      <c r="A160" s="110" t="s">
        <v>1483</v>
      </c>
      <c r="B160" s="110">
        <v>151</v>
      </c>
      <c r="C160" s="110">
        <v>0.86499999999999999</v>
      </c>
      <c r="E160" s="112">
        <v>42879</v>
      </c>
    </row>
    <row r="161" spans="1:31" ht="13.95" customHeight="1">
      <c r="A161" s="110" t="s">
        <v>1482</v>
      </c>
      <c r="B161" s="110" t="s">
        <v>2073</v>
      </c>
      <c r="C161" s="110">
        <v>0.629</v>
      </c>
      <c r="E161" s="112">
        <v>43122</v>
      </c>
    </row>
    <row r="162" spans="1:31" ht="13.95" customHeight="1">
      <c r="A162" t="s">
        <v>1481</v>
      </c>
      <c r="B162"/>
      <c r="C162">
        <v>0.75700000000000001</v>
      </c>
      <c r="E162" s="244" t="s">
        <v>3935</v>
      </c>
      <c r="F162" s="244"/>
      <c r="G162"/>
      <c r="H162"/>
      <c r="I162"/>
      <c r="J162"/>
      <c r="K162" s="165"/>
      <c r="L162"/>
      <c r="M162"/>
      <c r="N162"/>
      <c r="O162"/>
      <c r="P162"/>
      <c r="Q162"/>
      <c r="R162"/>
      <c r="S162"/>
      <c r="T162"/>
      <c r="U162"/>
      <c r="V162"/>
      <c r="W162"/>
      <c r="X162"/>
      <c r="Y162"/>
      <c r="Z162"/>
      <c r="AA162"/>
      <c r="AB162"/>
      <c r="AC162"/>
      <c r="AD162"/>
      <c r="AE162"/>
    </row>
    <row r="163" spans="1:31" ht="13.95" customHeight="1">
      <c r="A163" s="110" t="s">
        <v>1479</v>
      </c>
      <c r="B163" s="110" t="s">
        <v>2073</v>
      </c>
      <c r="C163" s="110">
        <v>0.67520000000000002</v>
      </c>
      <c r="E163" s="112">
        <v>43119</v>
      </c>
    </row>
    <row r="164" spans="1:31" ht="13.95" customHeight="1">
      <c r="A164" s="110" t="s">
        <v>1478</v>
      </c>
      <c r="B164" s="110">
        <v>213</v>
      </c>
      <c r="C164" s="110">
        <v>0.71399999999999997</v>
      </c>
      <c r="E164" s="112">
        <v>42881</v>
      </c>
    </row>
    <row r="165" spans="1:31" ht="13.95" customHeight="1">
      <c r="A165" s="110" t="s">
        <v>1477</v>
      </c>
      <c r="B165" s="110">
        <v>18</v>
      </c>
      <c r="C165" s="110">
        <v>0.72099999999999997</v>
      </c>
      <c r="E165" s="112">
        <v>42879</v>
      </c>
    </row>
    <row r="166" spans="1:31" ht="13.95" customHeight="1">
      <c r="A166" s="110" t="s">
        <v>1476</v>
      </c>
      <c r="B166" s="113">
        <v>206</v>
      </c>
      <c r="C166" s="110">
        <v>0.77700000000000002</v>
      </c>
      <c r="E166" s="112">
        <v>42879</v>
      </c>
    </row>
    <row r="167" spans="1:31" ht="13.95" customHeight="1">
      <c r="A167" s="110" t="s">
        <v>1475</v>
      </c>
      <c r="B167" s="110" t="s">
        <v>2073</v>
      </c>
      <c r="C167" s="110">
        <v>0.74019999999999997</v>
      </c>
      <c r="E167" s="112">
        <v>43122</v>
      </c>
    </row>
    <row r="168" spans="1:31" ht="13.95" customHeight="1">
      <c r="A168" t="s">
        <v>1474</v>
      </c>
      <c r="B168" s="110">
        <v>158</v>
      </c>
      <c r="C168" s="110">
        <v>0.26600000000000001</v>
      </c>
      <c r="D168" s="110" t="s">
        <v>2064</v>
      </c>
      <c r="E168" s="112">
        <v>42879</v>
      </c>
    </row>
    <row r="169" spans="1:31" ht="13.95" customHeight="1">
      <c r="A169" s="110" t="s">
        <v>1473</v>
      </c>
      <c r="B169" s="110" t="s">
        <v>2073</v>
      </c>
      <c r="C169" s="110">
        <v>0.41870000000000002</v>
      </c>
      <c r="E169" s="112">
        <v>43122</v>
      </c>
    </row>
    <row r="170" spans="1:31" ht="13.95" customHeight="1">
      <c r="A170" t="s">
        <v>1471</v>
      </c>
      <c r="B170" s="110">
        <v>74</v>
      </c>
      <c r="C170" s="110">
        <v>0.74199999999999999</v>
      </c>
      <c r="E170" s="112">
        <v>42879</v>
      </c>
    </row>
    <row r="171" spans="1:31" ht="13.95" customHeight="1">
      <c r="A171" s="110" t="s">
        <v>1469</v>
      </c>
      <c r="B171" s="110">
        <v>214</v>
      </c>
      <c r="C171" s="110">
        <v>0.63400000000000001</v>
      </c>
      <c r="E171" s="112">
        <v>42878</v>
      </c>
    </row>
    <row r="172" spans="1:31" ht="13.95" customHeight="1">
      <c r="A172" s="110" t="s">
        <v>1468</v>
      </c>
      <c r="B172" s="110">
        <v>40</v>
      </c>
      <c r="C172" s="110">
        <v>0.89800000000000002</v>
      </c>
      <c r="E172" s="112">
        <v>42881</v>
      </c>
    </row>
    <row r="173" spans="1:31" ht="13.95" customHeight="1">
      <c r="A173" s="110" t="s">
        <v>1467</v>
      </c>
      <c r="B173" s="110" t="s">
        <v>2073</v>
      </c>
      <c r="C173" s="110">
        <v>0.66169999999999995</v>
      </c>
      <c r="E173" s="112">
        <v>43122</v>
      </c>
    </row>
    <row r="174" spans="1:31" ht="13.95" customHeight="1">
      <c r="A174" s="110" t="s">
        <v>1466</v>
      </c>
      <c r="B174" s="110" t="s">
        <v>2073</v>
      </c>
      <c r="C174" s="110">
        <v>0.63959999999999995</v>
      </c>
      <c r="E174" s="112">
        <v>43122</v>
      </c>
    </row>
    <row r="175" spans="1:31" ht="13.95" customHeight="1">
      <c r="A175" s="110" t="s">
        <v>1465</v>
      </c>
      <c r="B175" s="110">
        <v>183</v>
      </c>
      <c r="C175" s="110">
        <v>0.71799999999999997</v>
      </c>
      <c r="E175" s="112">
        <v>42881</v>
      </c>
    </row>
    <row r="176" spans="1:31" ht="13.95" customHeight="1">
      <c r="A176" s="110" t="s">
        <v>1463</v>
      </c>
      <c r="B176" s="110" t="s">
        <v>2073</v>
      </c>
      <c r="C176" s="110">
        <v>0.7167</v>
      </c>
      <c r="E176" s="112">
        <v>43122</v>
      </c>
    </row>
    <row r="177" spans="1:9" ht="13.95" customHeight="1">
      <c r="A177" s="110" t="s">
        <v>1459</v>
      </c>
      <c r="B177" s="110">
        <v>192</v>
      </c>
      <c r="C177" s="110">
        <v>0.66100000000000003</v>
      </c>
      <c r="E177" s="112">
        <v>42881</v>
      </c>
    </row>
    <row r="178" spans="1:9" ht="13.95" customHeight="1">
      <c r="A178" s="110" t="s">
        <v>1458</v>
      </c>
      <c r="B178" s="110">
        <v>90</v>
      </c>
      <c r="C178" s="110">
        <v>1.0779000000000001</v>
      </c>
      <c r="D178" s="166" t="s">
        <v>2462</v>
      </c>
      <c r="E178" s="112">
        <v>43125</v>
      </c>
    </row>
    <row r="179" spans="1:9" ht="13.95" customHeight="1">
      <c r="A179" s="110" t="s">
        <v>1457</v>
      </c>
      <c r="B179" s="110">
        <v>58</v>
      </c>
      <c r="C179" s="110">
        <v>0.97009999999999996</v>
      </c>
      <c r="E179" s="112">
        <v>43123</v>
      </c>
    </row>
    <row r="180" spans="1:9" ht="13.95" customHeight="1">
      <c r="A180" s="110" t="s">
        <v>1456</v>
      </c>
      <c r="B180" s="110">
        <v>77</v>
      </c>
      <c r="C180" s="110">
        <v>0.94699999999999995</v>
      </c>
      <c r="E180" s="112">
        <v>42879</v>
      </c>
    </row>
    <row r="181" spans="1:9" ht="13.95" customHeight="1">
      <c r="A181" s="110" t="s">
        <v>1455</v>
      </c>
      <c r="B181" s="110" t="s">
        <v>2079</v>
      </c>
      <c r="C181" s="110">
        <v>0.62809999999999999</v>
      </c>
      <c r="D181" s="110" t="s">
        <v>2087</v>
      </c>
      <c r="E181" s="112">
        <v>43125</v>
      </c>
      <c r="G181"/>
    </row>
    <row r="182" spans="1:9" ht="13.95" customHeight="1">
      <c r="A182" s="110" t="s">
        <v>1451</v>
      </c>
      <c r="B182" s="110">
        <v>52</v>
      </c>
      <c r="C182" s="110">
        <v>0.88200000000000001</v>
      </c>
      <c r="E182" s="112">
        <v>42878</v>
      </c>
      <c r="G182"/>
    </row>
    <row r="183" spans="1:9" ht="13.95" customHeight="1">
      <c r="A183" s="110" t="s">
        <v>1450</v>
      </c>
      <c r="B183">
        <v>59</v>
      </c>
      <c r="C183" s="110">
        <v>0.90200000000000002</v>
      </c>
      <c r="E183" s="112">
        <v>42878</v>
      </c>
      <c r="G183"/>
    </row>
    <row r="184" spans="1:9" ht="13.95" customHeight="1">
      <c r="A184" s="110" t="s">
        <v>1448</v>
      </c>
      <c r="B184" s="110">
        <v>45</v>
      </c>
      <c r="C184" s="110">
        <v>0.77400000000000002</v>
      </c>
      <c r="E184" s="112">
        <v>43123</v>
      </c>
      <c r="G184"/>
    </row>
    <row r="185" spans="1:9" ht="13.95" customHeight="1">
      <c r="A185" s="110" t="s">
        <v>1447</v>
      </c>
      <c r="B185" s="110">
        <v>76</v>
      </c>
      <c r="C185" s="110">
        <v>0.82299999999999995</v>
      </c>
      <c r="E185" s="112">
        <v>42881</v>
      </c>
      <c r="G185" s="179" t="s">
        <v>2062</v>
      </c>
    </row>
    <row r="186" spans="1:9" ht="13.95" customHeight="1">
      <c r="A186" s="110" t="s">
        <v>1446</v>
      </c>
      <c r="B186" s="110">
        <v>209</v>
      </c>
      <c r="C186" s="110">
        <v>0.748</v>
      </c>
      <c r="E186" s="112">
        <v>42878</v>
      </c>
      <c r="G186"/>
    </row>
    <row r="187" spans="1:9" ht="13.95" customHeight="1">
      <c r="A187" s="110" t="s">
        <v>1445</v>
      </c>
      <c r="B187" s="110">
        <v>74</v>
      </c>
      <c r="C187" s="110">
        <v>1.1950000000000001</v>
      </c>
      <c r="D187" s="110" t="s">
        <v>2069</v>
      </c>
      <c r="E187" s="112">
        <v>42879</v>
      </c>
      <c r="G187"/>
      <c r="H187"/>
      <c r="I187"/>
    </row>
    <row r="188" spans="1:9" ht="13.95" customHeight="1">
      <c r="A188" s="110" t="s">
        <v>1444</v>
      </c>
      <c r="B188" s="110" t="s">
        <v>2073</v>
      </c>
      <c r="C188" s="110">
        <v>0.63539999999999996</v>
      </c>
      <c r="E188" s="112">
        <v>43122</v>
      </c>
    </row>
    <row r="189" spans="1:9" ht="13.95" customHeight="1">
      <c r="A189" s="113" t="s">
        <v>1443</v>
      </c>
      <c r="B189" s="113">
        <v>80</v>
      </c>
      <c r="C189" s="113">
        <v>0.92400000000000004</v>
      </c>
      <c r="D189" s="113" t="s">
        <v>2139</v>
      </c>
      <c r="E189" s="112">
        <v>42878</v>
      </c>
    </row>
    <row r="190" spans="1:9" ht="13.95" customHeight="1">
      <c r="A190" s="409" t="s">
        <v>1442</v>
      </c>
      <c r="B190" s="180">
        <v>186</v>
      </c>
      <c r="C190" s="110">
        <v>0.61599999999999999</v>
      </c>
      <c r="E190" s="112">
        <v>42878</v>
      </c>
    </row>
    <row r="191" spans="1:9" ht="13.95" customHeight="1">
      <c r="A191" s="110" t="s">
        <v>1441</v>
      </c>
      <c r="B191" s="110">
        <v>14</v>
      </c>
      <c r="C191" s="110">
        <v>0.498</v>
      </c>
      <c r="E191" s="112">
        <v>42881</v>
      </c>
    </row>
    <row r="192" spans="1:9" ht="13.95" customHeight="1">
      <c r="A192" s="110" t="s">
        <v>1440</v>
      </c>
      <c r="B192" s="110">
        <v>98</v>
      </c>
      <c r="C192" s="110">
        <v>0.56599999999999995</v>
      </c>
      <c r="E192" s="112">
        <v>42881</v>
      </c>
    </row>
    <row r="193" spans="1:31" ht="13.95" customHeight="1">
      <c r="A193" t="s">
        <v>1439</v>
      </c>
      <c r="B193"/>
      <c r="C193">
        <v>0.89510000000000001</v>
      </c>
      <c r="E193" s="244" t="s">
        <v>3935</v>
      </c>
      <c r="F193" s="244"/>
      <c r="G193"/>
      <c r="H193"/>
      <c r="I193"/>
      <c r="J193"/>
      <c r="K193" s="165"/>
      <c r="L193"/>
      <c r="M193"/>
      <c r="N193"/>
      <c r="O193"/>
      <c r="P193"/>
      <c r="Q193"/>
      <c r="R193"/>
      <c r="S193"/>
      <c r="T193"/>
      <c r="U193"/>
      <c r="V193"/>
      <c r="W193"/>
      <c r="X193"/>
      <c r="Y193"/>
      <c r="Z193"/>
      <c r="AA193"/>
      <c r="AB193"/>
      <c r="AC193"/>
      <c r="AD193"/>
      <c r="AE193"/>
    </row>
    <row r="194" spans="1:31" ht="13.95" customHeight="1">
      <c r="A194" s="110" t="s">
        <v>1437</v>
      </c>
      <c r="B194" s="110">
        <v>216</v>
      </c>
      <c r="C194" s="110">
        <v>0.82499999999999996</v>
      </c>
      <c r="E194" s="112">
        <v>42879</v>
      </c>
    </row>
    <row r="195" spans="1:31" ht="13.95" customHeight="1">
      <c r="A195" s="110" t="s">
        <v>1436</v>
      </c>
      <c r="B195" s="110">
        <v>65</v>
      </c>
      <c r="C195" s="110">
        <v>0.96099999999999997</v>
      </c>
      <c r="E195" s="112">
        <v>42879</v>
      </c>
    </row>
    <row r="196" spans="1:31" ht="13.95" customHeight="1">
      <c r="A196" s="409" t="s">
        <v>1435</v>
      </c>
      <c r="B196" s="110">
        <v>194</v>
      </c>
      <c r="C196" s="110">
        <v>0.64100000000000001</v>
      </c>
      <c r="E196" s="112">
        <v>42881</v>
      </c>
    </row>
    <row r="197" spans="1:31" ht="13.95" customHeight="1">
      <c r="A197" s="178" t="s">
        <v>1434</v>
      </c>
      <c r="B197" s="110">
        <v>55</v>
      </c>
      <c r="C197" s="110">
        <v>0.93200000000000005</v>
      </c>
      <c r="D197" s="110" t="s">
        <v>2128</v>
      </c>
      <c r="E197" s="112">
        <v>42878</v>
      </c>
    </row>
    <row r="198" spans="1:31" ht="13.95" customHeight="1">
      <c r="A198" s="110" t="s">
        <v>1432</v>
      </c>
      <c r="B198" s="110">
        <v>57</v>
      </c>
      <c r="C198" s="110">
        <v>0.88129999999999997</v>
      </c>
      <c r="E198" s="112">
        <v>43119</v>
      </c>
    </row>
    <row r="199" spans="1:31" ht="13.95" customHeight="1">
      <c r="A199" s="110" t="s">
        <v>1431</v>
      </c>
      <c r="B199" s="110">
        <v>40</v>
      </c>
      <c r="C199" s="110">
        <v>0.70599999999999996</v>
      </c>
      <c r="E199" s="112">
        <v>42881</v>
      </c>
    </row>
    <row r="200" spans="1:31" ht="13.95" customHeight="1">
      <c r="A200" s="110" t="s">
        <v>1430</v>
      </c>
      <c r="B200" s="110" t="s">
        <v>2073</v>
      </c>
      <c r="C200" s="110">
        <v>0.59950000000000003</v>
      </c>
      <c r="E200" s="112">
        <v>43116</v>
      </c>
    </row>
    <row r="201" spans="1:31" ht="13.95" customHeight="1">
      <c r="A201" s="110" t="s">
        <v>1429</v>
      </c>
      <c r="B201" s="110">
        <v>205</v>
      </c>
      <c r="C201" s="110">
        <v>0.74099999999999999</v>
      </c>
      <c r="D201" s="110" t="s">
        <v>2113</v>
      </c>
      <c r="E201" s="112">
        <v>43123</v>
      </c>
    </row>
    <row r="202" spans="1:31" ht="13.95" customHeight="1">
      <c r="A202" s="110" t="s">
        <v>1427</v>
      </c>
      <c r="B202" s="110">
        <v>138</v>
      </c>
      <c r="C202" s="110">
        <v>0.64800000000000002</v>
      </c>
      <c r="E202" s="112">
        <v>42879</v>
      </c>
    </row>
    <row r="203" spans="1:31" ht="13.95" customHeight="1">
      <c r="A203" s="409" t="s">
        <v>1424</v>
      </c>
      <c r="B203" s="110">
        <v>41</v>
      </c>
      <c r="C203" s="110">
        <v>0.82899999999999996</v>
      </c>
      <c r="E203" s="112">
        <v>42879</v>
      </c>
    </row>
    <row r="204" spans="1:31" ht="13.95" customHeight="1">
      <c r="A204" s="110" t="s">
        <v>1423</v>
      </c>
      <c r="B204" s="110">
        <v>72</v>
      </c>
      <c r="C204" s="110">
        <v>0.86350000000000005</v>
      </c>
      <c r="E204" s="112">
        <v>43122</v>
      </c>
    </row>
    <row r="205" spans="1:31" ht="13.95" customHeight="1">
      <c r="A205" s="110" t="s">
        <v>1422</v>
      </c>
      <c r="B205" s="110">
        <v>87</v>
      </c>
      <c r="C205" s="110">
        <v>0.8639</v>
      </c>
      <c r="E205" s="112">
        <v>43125</v>
      </c>
    </row>
    <row r="206" spans="1:31" ht="13.95" customHeight="1">
      <c r="A206" s="110" t="s">
        <v>1418</v>
      </c>
      <c r="B206" s="110">
        <v>87</v>
      </c>
      <c r="C206" s="110">
        <v>0.81640000000000001</v>
      </c>
      <c r="E206" s="112">
        <v>43125</v>
      </c>
    </row>
    <row r="207" spans="1:31" ht="13.95" customHeight="1">
      <c r="A207" s="110" t="s">
        <v>1417</v>
      </c>
      <c r="B207" s="110">
        <v>60</v>
      </c>
      <c r="C207" s="110">
        <v>0.874</v>
      </c>
      <c r="E207" s="112">
        <v>42879</v>
      </c>
    </row>
    <row r="208" spans="1:31" ht="13.95" customHeight="1">
      <c r="A208" s="110" t="s">
        <v>1416</v>
      </c>
      <c r="B208" s="110" t="s">
        <v>2073</v>
      </c>
      <c r="C208" s="110">
        <v>0.60129999999999995</v>
      </c>
      <c r="E208" s="112">
        <v>43122</v>
      </c>
    </row>
    <row r="209" spans="1:5" ht="13.95" customHeight="1">
      <c r="A209" s="110" t="s">
        <v>1414</v>
      </c>
      <c r="B209" s="110" t="s">
        <v>2073</v>
      </c>
      <c r="C209" s="110">
        <v>0.79630000000000001</v>
      </c>
      <c r="E209" s="112">
        <v>43119</v>
      </c>
    </row>
    <row r="210" spans="1:5" ht="13.95" customHeight="1">
      <c r="A210" s="178" t="s">
        <v>1413</v>
      </c>
      <c r="B210" s="110">
        <v>209</v>
      </c>
      <c r="C210" s="110">
        <v>0.86399999999999999</v>
      </c>
      <c r="E210" s="112">
        <v>42878</v>
      </c>
    </row>
    <row r="211" spans="1:5" ht="13.95" customHeight="1">
      <c r="A211" s="110" t="s">
        <v>1412</v>
      </c>
      <c r="B211" s="110">
        <v>52</v>
      </c>
      <c r="C211" s="110">
        <v>1.075</v>
      </c>
      <c r="E211" s="112">
        <v>42878</v>
      </c>
    </row>
    <row r="212" spans="1:5" ht="13.95" customHeight="1">
      <c r="A212" s="110" t="s">
        <v>1411</v>
      </c>
      <c r="B212" s="110" t="s">
        <v>2073</v>
      </c>
      <c r="C212" s="110">
        <v>0.89200000000000002</v>
      </c>
      <c r="E212" s="112">
        <v>43122</v>
      </c>
    </row>
    <row r="213" spans="1:5" ht="13.95" customHeight="1">
      <c r="A213" s="110" t="s">
        <v>1410</v>
      </c>
      <c r="B213" s="110" t="s">
        <v>2073</v>
      </c>
      <c r="C213" s="110">
        <v>0.72450000000000003</v>
      </c>
      <c r="E213" s="112">
        <v>43119</v>
      </c>
    </row>
    <row r="214" spans="1:5" ht="13.95" customHeight="1">
      <c r="A214" s="110" t="s">
        <v>1409</v>
      </c>
      <c r="B214" s="110">
        <v>95</v>
      </c>
      <c r="C214" s="110">
        <v>1.254</v>
      </c>
      <c r="E214" s="112">
        <v>42879</v>
      </c>
    </row>
    <row r="215" spans="1:5" ht="13.95" customHeight="1">
      <c r="A215" s="110" t="s">
        <v>1407</v>
      </c>
      <c r="B215" s="110">
        <v>43</v>
      </c>
      <c r="C215" s="110">
        <v>0.74509999999999998</v>
      </c>
      <c r="E215" s="112">
        <v>43123</v>
      </c>
    </row>
    <row r="216" spans="1:5" ht="13.95" customHeight="1">
      <c r="A216" s="110" t="s">
        <v>1406</v>
      </c>
      <c r="B216" s="110" t="s">
        <v>2073</v>
      </c>
      <c r="C216" s="110">
        <v>0.65410000000000001</v>
      </c>
      <c r="D216" s="110" t="s">
        <v>2116</v>
      </c>
      <c r="E216" s="112">
        <v>43122</v>
      </c>
    </row>
    <row r="217" spans="1:5" ht="13.95" customHeight="1">
      <c r="A217" s="110" t="s">
        <v>1405</v>
      </c>
      <c r="B217" s="110" t="s">
        <v>2073</v>
      </c>
      <c r="C217" s="110">
        <v>0.80930000000000002</v>
      </c>
      <c r="E217" s="112">
        <v>43116</v>
      </c>
    </row>
    <row r="218" spans="1:5" ht="13.95" customHeight="1">
      <c r="A218" s="110" t="s">
        <v>1403</v>
      </c>
      <c r="B218" s="110">
        <v>151</v>
      </c>
      <c r="C218" s="110">
        <v>0.78700000000000003</v>
      </c>
      <c r="E218" s="112">
        <v>42879</v>
      </c>
    </row>
    <row r="219" spans="1:5" ht="13.95" customHeight="1">
      <c r="A219" s="110" t="s">
        <v>1402</v>
      </c>
      <c r="B219" s="110" t="s">
        <v>2073</v>
      </c>
      <c r="C219" s="110">
        <v>0.6905</v>
      </c>
      <c r="E219" s="112">
        <v>43122</v>
      </c>
    </row>
    <row r="220" spans="1:5" ht="13.95" customHeight="1">
      <c r="A220" s="110" t="s">
        <v>1401</v>
      </c>
      <c r="B220" s="110">
        <v>34</v>
      </c>
      <c r="C220" s="110">
        <v>0.80259999999999998</v>
      </c>
      <c r="D220" s="110" t="s">
        <v>2081</v>
      </c>
      <c r="E220" s="112">
        <v>43125</v>
      </c>
    </row>
    <row r="221" spans="1:5" ht="13.95" customHeight="1">
      <c r="A221" s="110" t="s">
        <v>1399</v>
      </c>
      <c r="B221" s="110" t="s">
        <v>2073</v>
      </c>
      <c r="C221" s="110">
        <v>0.77580000000000005</v>
      </c>
      <c r="E221" s="112">
        <v>43116</v>
      </c>
    </row>
    <row r="222" spans="1:5" ht="13.95" customHeight="1">
      <c r="A222" s="110" t="s">
        <v>1397</v>
      </c>
      <c r="B222" s="110">
        <v>145</v>
      </c>
      <c r="C222" s="110">
        <v>0.69799999999999995</v>
      </c>
      <c r="E222" s="112">
        <v>42878</v>
      </c>
    </row>
    <row r="223" spans="1:5" ht="13.95" customHeight="1">
      <c r="A223" s="110" t="s">
        <v>1396</v>
      </c>
      <c r="B223" s="110">
        <v>156</v>
      </c>
      <c r="C223" s="110">
        <v>0.73799999999999999</v>
      </c>
      <c r="E223" s="112">
        <v>42879</v>
      </c>
    </row>
    <row r="224" spans="1:5" ht="13.95" customHeight="1">
      <c r="A224" s="181" t="s">
        <v>1395</v>
      </c>
      <c r="B224" s="110">
        <v>174</v>
      </c>
      <c r="C224" s="110">
        <v>0.68300000000000005</v>
      </c>
      <c r="E224" s="112">
        <v>42881</v>
      </c>
    </row>
    <row r="225" spans="1:5" ht="13.95" customHeight="1">
      <c r="A225" s="110" t="s">
        <v>1394</v>
      </c>
      <c r="B225" s="110">
        <v>171</v>
      </c>
      <c r="C225" s="110">
        <v>0.63100000000000001</v>
      </c>
      <c r="E225" s="112">
        <v>42878</v>
      </c>
    </row>
    <row r="226" spans="1:5" ht="13.95" customHeight="1">
      <c r="A226" s="110" t="s">
        <v>1393</v>
      </c>
      <c r="B226" s="110">
        <v>119</v>
      </c>
      <c r="C226" s="110">
        <v>0.70099999999999996</v>
      </c>
      <c r="D226"/>
      <c r="E226" s="112">
        <v>42881</v>
      </c>
    </row>
    <row r="227" spans="1:5" ht="13.95" customHeight="1">
      <c r="A227" s="110" t="s">
        <v>1392</v>
      </c>
      <c r="B227" s="110">
        <v>150</v>
      </c>
      <c r="C227" s="110">
        <v>0.71799999999999997</v>
      </c>
      <c r="E227" s="112">
        <v>42879</v>
      </c>
    </row>
    <row r="228" spans="1:5" ht="13.95" customHeight="1">
      <c r="A228" s="110" t="s">
        <v>1390</v>
      </c>
      <c r="B228" s="110">
        <v>67</v>
      </c>
      <c r="C228" s="110">
        <v>0.92510000000000003</v>
      </c>
      <c r="E228" s="112">
        <v>43125</v>
      </c>
    </row>
    <row r="229" spans="1:5" ht="13.95" customHeight="1">
      <c r="A229" s="110" t="s">
        <v>1385</v>
      </c>
      <c r="B229" s="110">
        <v>7</v>
      </c>
      <c r="C229" s="110">
        <v>0.56399999999999995</v>
      </c>
      <c r="E229" s="112">
        <v>42879</v>
      </c>
    </row>
    <row r="230" spans="1:5" ht="13.95" customHeight="1">
      <c r="A230" s="110" t="s">
        <v>1384</v>
      </c>
      <c r="B230" s="110">
        <v>121</v>
      </c>
      <c r="C230" s="110">
        <v>0.63500000000000001</v>
      </c>
      <c r="E230" s="112">
        <v>42879</v>
      </c>
    </row>
    <row r="231" spans="1:5" ht="13.95" customHeight="1">
      <c r="A231" s="110" t="s">
        <v>1383</v>
      </c>
      <c r="B231" s="110">
        <v>156</v>
      </c>
      <c r="C231" s="110">
        <v>0.65800000000000003</v>
      </c>
      <c r="E231" s="112">
        <v>42879</v>
      </c>
    </row>
    <row r="232" spans="1:5" ht="13.95" customHeight="1">
      <c r="A232" s="110" t="s">
        <v>1382</v>
      </c>
      <c r="B232" s="110">
        <v>205</v>
      </c>
      <c r="C232" s="110">
        <v>0.71</v>
      </c>
      <c r="E232" s="112">
        <v>43123</v>
      </c>
    </row>
    <row r="233" spans="1:5" ht="13.95" customHeight="1">
      <c r="A233" s="110" t="s">
        <v>1381</v>
      </c>
      <c r="B233" s="110" t="s">
        <v>2073</v>
      </c>
      <c r="C233" s="110">
        <v>0.7097</v>
      </c>
      <c r="D233" s="110" t="s">
        <v>2111</v>
      </c>
      <c r="E233" s="112">
        <v>43116</v>
      </c>
    </row>
    <row r="234" spans="1:5" ht="13.95" customHeight="1">
      <c r="A234" s="110" t="s">
        <v>1380</v>
      </c>
      <c r="B234" s="110">
        <v>35</v>
      </c>
      <c r="C234" s="110">
        <v>0.81699999999999995</v>
      </c>
      <c r="D234" s="110" t="s">
        <v>2051</v>
      </c>
      <c r="E234" s="112">
        <v>42879</v>
      </c>
    </row>
    <row r="235" spans="1:5" ht="13.95" customHeight="1">
      <c r="A235" s="110" t="s">
        <v>1377</v>
      </c>
      <c r="B235" s="110">
        <v>64</v>
      </c>
      <c r="C235" s="110">
        <v>1.0449999999999999</v>
      </c>
      <c r="E235" s="112">
        <v>42878</v>
      </c>
    </row>
    <row r="236" spans="1:5" ht="13.95" customHeight="1">
      <c r="A236" t="s">
        <v>1376</v>
      </c>
      <c r="B236" s="110">
        <v>170</v>
      </c>
      <c r="C236" s="110">
        <v>0.61299999999999999</v>
      </c>
      <c r="E236" s="112">
        <v>42878</v>
      </c>
    </row>
    <row r="237" spans="1:5" ht="13.95" customHeight="1">
      <c r="A237" s="110" t="s">
        <v>1375</v>
      </c>
      <c r="B237" s="110">
        <v>154</v>
      </c>
      <c r="C237" s="110">
        <v>0.61299999999999999</v>
      </c>
      <c r="D237" s="110" t="s">
        <v>2056</v>
      </c>
      <c r="E237" s="112">
        <v>42881</v>
      </c>
    </row>
    <row r="238" spans="1:5" ht="13.95" customHeight="1">
      <c r="A238" s="110" t="s">
        <v>1374</v>
      </c>
      <c r="B238" s="110">
        <v>107</v>
      </c>
      <c r="C238" s="110">
        <v>0.67630000000000001</v>
      </c>
      <c r="E238" s="112">
        <v>43125</v>
      </c>
    </row>
    <row r="239" spans="1:5" ht="13.95" customHeight="1">
      <c r="A239" s="110" t="s">
        <v>1373</v>
      </c>
      <c r="B239" s="110">
        <v>207</v>
      </c>
      <c r="C239" s="110">
        <v>0.85699999999999998</v>
      </c>
      <c r="E239" s="112">
        <v>42879</v>
      </c>
    </row>
    <row r="240" spans="1:5" ht="13.95" customHeight="1">
      <c r="A240" s="110" t="s">
        <v>1372</v>
      </c>
      <c r="B240" s="110">
        <v>147</v>
      </c>
      <c r="C240" s="110">
        <v>0.70199999999999996</v>
      </c>
      <c r="D240" s="110" t="s">
        <v>2115</v>
      </c>
      <c r="E240" s="112">
        <v>42878</v>
      </c>
    </row>
    <row r="241" spans="1:5" ht="13.95" customHeight="1">
      <c r="A241" s="110" t="s">
        <v>1371</v>
      </c>
      <c r="B241" s="110">
        <v>46</v>
      </c>
      <c r="C241" s="110">
        <v>0.83199999999999996</v>
      </c>
      <c r="E241" s="112">
        <v>42881</v>
      </c>
    </row>
    <row r="242" spans="1:5" ht="13.95" customHeight="1">
      <c r="A242" s="110" t="s">
        <v>1370</v>
      </c>
      <c r="B242" s="110">
        <v>168</v>
      </c>
      <c r="C242" s="110">
        <v>0.998</v>
      </c>
      <c r="E242" s="112">
        <v>42881</v>
      </c>
    </row>
    <row r="243" spans="1:5" ht="13.95" customHeight="1">
      <c r="A243" s="110" t="s">
        <v>1369</v>
      </c>
      <c r="B243" s="110">
        <v>118</v>
      </c>
      <c r="C243" s="110">
        <v>0.56799999999999995</v>
      </c>
      <c r="E243" s="112">
        <v>42879</v>
      </c>
    </row>
    <row r="244" spans="1:5" ht="13.95" customHeight="1">
      <c r="A244" s="110" t="s">
        <v>1368</v>
      </c>
      <c r="B244" s="110">
        <v>124</v>
      </c>
      <c r="C244" s="110">
        <v>0.61199999999999999</v>
      </c>
      <c r="E244" s="112">
        <v>42881</v>
      </c>
    </row>
    <row r="245" spans="1:5" ht="13.95" customHeight="1">
      <c r="A245" s="110" t="s">
        <v>1366</v>
      </c>
      <c r="B245" s="110">
        <v>154</v>
      </c>
      <c r="C245" s="110">
        <v>0.60499999999999998</v>
      </c>
      <c r="E245" s="112">
        <v>42881</v>
      </c>
    </row>
    <row r="246" spans="1:5" ht="13.95" customHeight="1">
      <c r="A246" s="110" t="s">
        <v>1365</v>
      </c>
      <c r="B246" s="110">
        <v>15</v>
      </c>
      <c r="C246" s="110">
        <v>0.72199999999999998</v>
      </c>
      <c r="E246" s="112">
        <v>42879</v>
      </c>
    </row>
    <row r="247" spans="1:5" ht="13.95" customHeight="1">
      <c r="A247" s="110" t="s">
        <v>1364</v>
      </c>
      <c r="B247" s="110">
        <v>64</v>
      </c>
      <c r="C247" s="110">
        <v>0.628</v>
      </c>
      <c r="E247" s="112">
        <v>42879</v>
      </c>
    </row>
    <row r="248" spans="1:5" ht="13.95" customHeight="1">
      <c r="A248" s="110" t="s">
        <v>1363</v>
      </c>
      <c r="B248" s="110">
        <v>127</v>
      </c>
      <c r="C248" s="110">
        <v>0.57699999999999996</v>
      </c>
      <c r="E248" s="112">
        <v>42879</v>
      </c>
    </row>
    <row r="249" spans="1:5" ht="13.95" customHeight="1">
      <c r="A249" s="110" t="s">
        <v>1362</v>
      </c>
      <c r="B249" s="110">
        <v>107</v>
      </c>
      <c r="C249" s="110">
        <v>0.60899999999999999</v>
      </c>
      <c r="E249" s="112">
        <v>43125</v>
      </c>
    </row>
    <row r="250" spans="1:5" ht="13.95" customHeight="1">
      <c r="A250" s="110" t="s">
        <v>1361</v>
      </c>
      <c r="B250" s="110">
        <v>146</v>
      </c>
      <c r="C250" s="110">
        <v>0.52200000000000002</v>
      </c>
      <c r="D250" s="110" t="s">
        <v>2111</v>
      </c>
      <c r="E250" s="112">
        <v>42878</v>
      </c>
    </row>
    <row r="251" spans="1:5" ht="13.95" customHeight="1">
      <c r="A251" s="110" t="s">
        <v>1360</v>
      </c>
      <c r="B251" s="110">
        <v>43</v>
      </c>
      <c r="C251" s="110">
        <v>0.71519999999999995</v>
      </c>
      <c r="D251" s="110" t="s">
        <v>2114</v>
      </c>
      <c r="E251" s="112">
        <v>43123</v>
      </c>
    </row>
    <row r="252" spans="1:5" ht="13.95" customHeight="1">
      <c r="A252" s="110" t="s">
        <v>1359</v>
      </c>
      <c r="B252" s="110">
        <v>99</v>
      </c>
      <c r="C252" s="110">
        <v>0.52829999999999999</v>
      </c>
      <c r="D252" s="110" t="s">
        <v>2115</v>
      </c>
      <c r="E252" s="112">
        <v>43123</v>
      </c>
    </row>
    <row r="253" spans="1:5" ht="13.95" customHeight="1">
      <c r="A253" s="110" t="s">
        <v>1358</v>
      </c>
      <c r="B253" s="110">
        <v>103</v>
      </c>
      <c r="C253" s="110">
        <v>0.58699999999999997</v>
      </c>
      <c r="E253" s="112">
        <v>42881</v>
      </c>
    </row>
    <row r="254" spans="1:5" ht="13.95" customHeight="1">
      <c r="A254" s="110" t="s">
        <v>1357</v>
      </c>
      <c r="B254" s="110">
        <v>115</v>
      </c>
      <c r="C254" s="110">
        <v>0.63400000000000001</v>
      </c>
      <c r="E254" s="112">
        <v>43125</v>
      </c>
    </row>
    <row r="255" spans="1:5" ht="13.95" customHeight="1">
      <c r="A255" s="110" t="s">
        <v>1356</v>
      </c>
      <c r="B255">
        <v>123</v>
      </c>
      <c r="C255" s="110">
        <v>0.622</v>
      </c>
      <c r="E255" s="112">
        <v>42879</v>
      </c>
    </row>
    <row r="256" spans="1:5" ht="13.95" customHeight="1">
      <c r="A256" s="110" t="s">
        <v>1355</v>
      </c>
      <c r="B256" s="110">
        <v>111</v>
      </c>
      <c r="C256" s="110">
        <v>0.621</v>
      </c>
      <c r="E256" s="112">
        <v>42879</v>
      </c>
    </row>
    <row r="257" spans="1:5" ht="13.95" customHeight="1">
      <c r="A257" s="110" t="s">
        <v>1354</v>
      </c>
      <c r="B257" s="110" t="s">
        <v>2073</v>
      </c>
      <c r="C257" s="110">
        <v>0.82469999999999999</v>
      </c>
      <c r="E257" s="112">
        <v>43119</v>
      </c>
    </row>
    <row r="258" spans="1:5" ht="13.95" customHeight="1">
      <c r="A258" s="110" t="s">
        <v>1353</v>
      </c>
      <c r="B258" s="110">
        <v>143</v>
      </c>
      <c r="C258" s="110">
        <v>0.67500000000000004</v>
      </c>
      <c r="E258" s="112">
        <v>43125</v>
      </c>
    </row>
    <row r="259" spans="1:5" ht="13.95" customHeight="1">
      <c r="A259" s="110" t="s">
        <v>1352</v>
      </c>
      <c r="B259" s="110">
        <v>120</v>
      </c>
      <c r="C259" s="110">
        <v>0.55310000000000004</v>
      </c>
      <c r="E259" s="112">
        <v>43125</v>
      </c>
    </row>
    <row r="260" spans="1:5" ht="13.95" customHeight="1">
      <c r="A260" s="110" t="s">
        <v>1351</v>
      </c>
      <c r="B260" s="110">
        <v>21</v>
      </c>
      <c r="C260" s="110">
        <v>0.7389</v>
      </c>
      <c r="E260" s="112">
        <v>43122</v>
      </c>
    </row>
    <row r="261" spans="1:5" ht="13.95" customHeight="1">
      <c r="A261" s="110" t="s">
        <v>1350</v>
      </c>
      <c r="B261" s="110">
        <v>65</v>
      </c>
      <c r="C261" s="110">
        <v>0.82299999999999995</v>
      </c>
      <c r="E261" s="112">
        <v>42879</v>
      </c>
    </row>
    <row r="262" spans="1:5" ht="13.95" customHeight="1">
      <c r="A262" s="110" t="s">
        <v>1349</v>
      </c>
      <c r="B262" s="110" t="s">
        <v>2073</v>
      </c>
      <c r="C262" s="110">
        <v>0.59260000000000002</v>
      </c>
      <c r="E262" s="112">
        <v>43123</v>
      </c>
    </row>
    <row r="263" spans="1:5" ht="13.95" customHeight="1">
      <c r="A263" s="110" t="s">
        <v>1348</v>
      </c>
      <c r="B263" s="110" t="s">
        <v>2073</v>
      </c>
      <c r="C263" s="110">
        <v>0.73699999999999999</v>
      </c>
      <c r="E263" s="112">
        <v>43122</v>
      </c>
    </row>
    <row r="264" spans="1:5" ht="13.95" customHeight="1">
      <c r="A264" s="110" t="s">
        <v>1347</v>
      </c>
      <c r="B264" s="110">
        <v>38</v>
      </c>
      <c r="C264" s="110">
        <v>0.81899999999999995</v>
      </c>
      <c r="E264" s="112">
        <v>42881</v>
      </c>
    </row>
    <row r="265" spans="1:5" ht="13.95" customHeight="1">
      <c r="A265" s="110" t="s">
        <v>1346</v>
      </c>
      <c r="B265" s="110">
        <v>109</v>
      </c>
      <c r="C265" s="110">
        <v>0.63019999999999998</v>
      </c>
      <c r="E265" s="112">
        <v>43125</v>
      </c>
    </row>
    <row r="266" spans="1:5" ht="13.95" customHeight="1">
      <c r="A266" s="110" t="s">
        <v>1344</v>
      </c>
      <c r="B266" s="110">
        <v>140</v>
      </c>
      <c r="C266" s="110">
        <v>0.60780000000000001</v>
      </c>
      <c r="E266" s="112">
        <v>43125</v>
      </c>
    </row>
    <row r="267" spans="1:5" ht="13.95" customHeight="1">
      <c r="A267" s="110" t="s">
        <v>1343</v>
      </c>
      <c r="B267" s="110">
        <v>201</v>
      </c>
      <c r="C267" s="110">
        <v>0.63959999999999995</v>
      </c>
      <c r="D267" s="110" t="s">
        <v>2120</v>
      </c>
      <c r="E267" s="112">
        <v>43122</v>
      </c>
    </row>
    <row r="268" spans="1:5" ht="13.95" customHeight="1">
      <c r="A268" s="181" t="s">
        <v>1342</v>
      </c>
      <c r="B268" s="110">
        <v>130</v>
      </c>
      <c r="C268" s="110">
        <v>0.56599999999999995</v>
      </c>
      <c r="E268" s="112">
        <v>42879</v>
      </c>
    </row>
    <row r="269" spans="1:5" ht="13.95" customHeight="1">
      <c r="A269" s="110" t="s">
        <v>1341</v>
      </c>
      <c r="B269" s="110" t="s">
        <v>2073</v>
      </c>
      <c r="C269" s="110">
        <v>0.56469999999999998</v>
      </c>
      <c r="D269" s="110" t="s">
        <v>2111</v>
      </c>
      <c r="E269" s="112">
        <v>43122</v>
      </c>
    </row>
    <row r="270" spans="1:5" ht="13.95" customHeight="1">
      <c r="A270" s="110" t="s">
        <v>1340</v>
      </c>
      <c r="B270" s="110">
        <v>208</v>
      </c>
      <c r="C270" s="110">
        <v>0.91</v>
      </c>
      <c r="E270" s="112">
        <v>42879</v>
      </c>
    </row>
    <row r="271" spans="1:5" ht="13.95" customHeight="1">
      <c r="A271" s="110" t="s">
        <v>1338</v>
      </c>
      <c r="B271" s="110">
        <v>199</v>
      </c>
      <c r="C271" s="110">
        <v>0.65500000000000003</v>
      </c>
      <c r="E271" s="112">
        <v>42881</v>
      </c>
    </row>
    <row r="272" spans="1:5" ht="13.95" customHeight="1">
      <c r="A272" s="110" t="s">
        <v>1337</v>
      </c>
      <c r="B272" s="110">
        <v>194</v>
      </c>
      <c r="C272" s="110">
        <v>0.63500000000000001</v>
      </c>
      <c r="E272" s="112">
        <v>42881</v>
      </c>
    </row>
    <row r="273" spans="1:5" ht="13.95" customHeight="1">
      <c r="A273" s="110" t="s">
        <v>1335</v>
      </c>
      <c r="B273" s="110" t="s">
        <v>2073</v>
      </c>
      <c r="C273" s="110">
        <v>0.69089999999999996</v>
      </c>
      <c r="D273" s="110" t="s">
        <v>2120</v>
      </c>
      <c r="E273" s="112">
        <v>43122</v>
      </c>
    </row>
    <row r="274" spans="1:5" ht="13.95" customHeight="1">
      <c r="A274" s="110" t="s">
        <v>1334</v>
      </c>
      <c r="B274" s="110">
        <v>213</v>
      </c>
      <c r="C274" s="110">
        <v>0.83</v>
      </c>
      <c r="E274" s="112">
        <v>42881</v>
      </c>
    </row>
    <row r="275" spans="1:5" ht="13.95" customHeight="1">
      <c r="A275" s="110" t="s">
        <v>1332</v>
      </c>
      <c r="B275" s="110" t="s">
        <v>2073</v>
      </c>
      <c r="C275" s="110">
        <v>0.67769999999999997</v>
      </c>
      <c r="E275" s="112">
        <v>43122</v>
      </c>
    </row>
    <row r="276" spans="1:5" ht="13.95" customHeight="1">
      <c r="A276" s="110" t="s">
        <v>1330</v>
      </c>
      <c r="B276" s="110" t="s">
        <v>2073</v>
      </c>
      <c r="C276" s="110">
        <v>0.72160000000000002</v>
      </c>
      <c r="D276" s="110" t="s">
        <v>2125</v>
      </c>
      <c r="E276" s="112">
        <v>43122</v>
      </c>
    </row>
    <row r="277" spans="1:5" ht="13.95" customHeight="1">
      <c r="A277" s="110" t="s">
        <v>1329</v>
      </c>
      <c r="B277" s="110">
        <v>21</v>
      </c>
      <c r="C277" s="110">
        <v>0.66739999999999999</v>
      </c>
      <c r="E277" s="112">
        <v>43122</v>
      </c>
    </row>
    <row r="278" spans="1:5" ht="13.95" customHeight="1">
      <c r="A278" s="110" t="s">
        <v>1327</v>
      </c>
      <c r="B278" s="110">
        <v>86</v>
      </c>
      <c r="C278" s="110">
        <v>0.78249999999999997</v>
      </c>
      <c r="E278" s="112">
        <v>43123</v>
      </c>
    </row>
    <row r="279" spans="1:5" ht="13.95" customHeight="1">
      <c r="A279" t="s">
        <v>1326</v>
      </c>
      <c r="B279" s="110">
        <v>113</v>
      </c>
      <c r="C279" s="110">
        <v>0.61099999999999999</v>
      </c>
      <c r="E279" s="112">
        <v>42878</v>
      </c>
    </row>
    <row r="280" spans="1:5" ht="13.95" customHeight="1">
      <c r="A280" s="110" t="s">
        <v>1325</v>
      </c>
      <c r="B280" s="110">
        <v>132</v>
      </c>
      <c r="C280" s="110">
        <v>0.56820000000000004</v>
      </c>
      <c r="D280" s="110" t="s">
        <v>2102</v>
      </c>
      <c r="E280" s="112">
        <v>43125</v>
      </c>
    </row>
    <row r="281" spans="1:5" ht="13.95" customHeight="1">
      <c r="A281" s="110" t="s">
        <v>1323</v>
      </c>
      <c r="B281" s="110">
        <v>219</v>
      </c>
      <c r="C281" s="110">
        <v>0.70650000000000002</v>
      </c>
      <c r="D281" s="110" t="s">
        <v>2078</v>
      </c>
      <c r="E281" s="112">
        <v>43125</v>
      </c>
    </row>
    <row r="282" spans="1:5" ht="13.95" customHeight="1">
      <c r="A282" s="110" t="s">
        <v>1322</v>
      </c>
      <c r="B282" s="110">
        <v>100</v>
      </c>
      <c r="C282" s="110">
        <v>0.59699999999999998</v>
      </c>
      <c r="E282" s="112">
        <v>42881</v>
      </c>
    </row>
    <row r="283" spans="1:5" ht="13.95" customHeight="1">
      <c r="A283" s="110" t="s">
        <v>1321</v>
      </c>
      <c r="B283" s="110">
        <v>105</v>
      </c>
      <c r="C283" s="110">
        <v>0.72399999999999998</v>
      </c>
      <c r="E283" s="112">
        <v>42879</v>
      </c>
    </row>
    <row r="284" spans="1:5" ht="13.95" customHeight="1">
      <c r="A284" s="110" t="s">
        <v>1320</v>
      </c>
      <c r="B284" s="110">
        <v>98</v>
      </c>
      <c r="C284" s="110">
        <v>0.629</v>
      </c>
      <c r="E284" s="112">
        <v>42881</v>
      </c>
    </row>
    <row r="285" spans="1:5" ht="13.95" customHeight="1">
      <c r="A285" t="s">
        <v>1318</v>
      </c>
      <c r="B285" s="110">
        <v>35</v>
      </c>
      <c r="C285" s="110">
        <v>0.71699999999999997</v>
      </c>
      <c r="D285" s="110" t="s">
        <v>2061</v>
      </c>
      <c r="E285" s="112">
        <v>42879</v>
      </c>
    </row>
    <row r="286" spans="1:5" ht="13.95" customHeight="1">
      <c r="A286" s="110" t="s">
        <v>1317</v>
      </c>
      <c r="B286" s="110" t="s">
        <v>2073</v>
      </c>
      <c r="C286" s="110">
        <v>0.73760000000000003</v>
      </c>
      <c r="D286" s="110" t="s">
        <v>2121</v>
      </c>
      <c r="E286" s="112">
        <v>43122</v>
      </c>
    </row>
    <row r="287" spans="1:5" ht="13.95" customHeight="1">
      <c r="A287" s="110" t="s">
        <v>1314</v>
      </c>
      <c r="B287" s="110">
        <v>174</v>
      </c>
      <c r="C287" s="110">
        <v>0.63500000000000001</v>
      </c>
      <c r="E287" s="112">
        <v>42881</v>
      </c>
    </row>
    <row r="288" spans="1:5" ht="13.95" customHeight="1">
      <c r="A288" s="110" t="s">
        <v>1313</v>
      </c>
      <c r="B288" s="110" t="s">
        <v>2073</v>
      </c>
      <c r="C288" s="110">
        <v>0.57869999999999999</v>
      </c>
      <c r="E288" s="112">
        <v>43122</v>
      </c>
    </row>
    <row r="289" spans="1:5" ht="13.95" customHeight="1">
      <c r="A289" s="110" t="s">
        <v>1312</v>
      </c>
      <c r="B289" s="110" t="s">
        <v>2055</v>
      </c>
      <c r="C289" s="110">
        <v>0.626</v>
      </c>
      <c r="E289" s="112">
        <v>42881</v>
      </c>
    </row>
    <row r="290" spans="1:5" ht="13.95" customHeight="1">
      <c r="A290" s="110" t="s">
        <v>1311</v>
      </c>
      <c r="B290" s="110" t="s">
        <v>2073</v>
      </c>
      <c r="C290" s="110">
        <v>0.87490000000000001</v>
      </c>
      <c r="E290" s="112">
        <v>43119</v>
      </c>
    </row>
    <row r="291" spans="1:5" ht="13.95" customHeight="1">
      <c r="A291" s="110" t="s">
        <v>1310</v>
      </c>
      <c r="B291" s="110">
        <v>125</v>
      </c>
      <c r="C291" s="110">
        <v>0.60099999999999998</v>
      </c>
      <c r="E291" s="112">
        <v>42881</v>
      </c>
    </row>
    <row r="292" spans="1:5" ht="13.95" customHeight="1">
      <c r="A292" s="110" t="s">
        <v>1309</v>
      </c>
      <c r="B292" s="110" t="s">
        <v>2073</v>
      </c>
      <c r="C292" s="110">
        <v>0.60680000000000001</v>
      </c>
      <c r="E292" s="112">
        <v>43122</v>
      </c>
    </row>
    <row r="293" spans="1:5" ht="13.95" customHeight="1">
      <c r="A293" s="110" t="s">
        <v>1308</v>
      </c>
      <c r="B293" s="110" t="s">
        <v>2073</v>
      </c>
      <c r="C293" s="110">
        <v>0.57879999999999998</v>
      </c>
      <c r="D293" s="110" t="s">
        <v>2111</v>
      </c>
      <c r="E293" s="112">
        <v>43119</v>
      </c>
    </row>
    <row r="294" spans="1:5" ht="13.95" customHeight="1">
      <c r="A294" s="110" t="s">
        <v>1307</v>
      </c>
      <c r="B294" s="110">
        <v>163</v>
      </c>
      <c r="C294" s="110">
        <v>0.68700000000000006</v>
      </c>
      <c r="E294" s="112">
        <v>42881</v>
      </c>
    </row>
    <row r="295" spans="1:5" ht="13.95" customHeight="1">
      <c r="A295" s="110" t="s">
        <v>1306</v>
      </c>
      <c r="B295" s="110" t="s">
        <v>2073</v>
      </c>
      <c r="C295" s="110">
        <v>0.62919999999999998</v>
      </c>
      <c r="E295" s="112">
        <v>43119</v>
      </c>
    </row>
    <row r="296" spans="1:5" ht="13.95" customHeight="1">
      <c r="A296" s="110" t="s">
        <v>1305</v>
      </c>
      <c r="B296" s="110">
        <v>135</v>
      </c>
      <c r="C296" s="110">
        <v>0.61099999999999999</v>
      </c>
      <c r="E296" s="112">
        <v>42881</v>
      </c>
    </row>
    <row r="297" spans="1:5" ht="13.95" customHeight="1">
      <c r="A297" s="110" t="s">
        <v>1304</v>
      </c>
      <c r="B297" s="110">
        <v>131</v>
      </c>
      <c r="C297" s="110">
        <v>0.6613</v>
      </c>
      <c r="D297" s="110" t="s">
        <v>2100</v>
      </c>
      <c r="E297" s="112">
        <v>43125</v>
      </c>
    </row>
    <row r="298" spans="1:5" ht="13.95" customHeight="1">
      <c r="A298" s="110" t="s">
        <v>1303</v>
      </c>
      <c r="B298" s="110">
        <v>136</v>
      </c>
      <c r="C298" s="110">
        <v>0.59630000000000005</v>
      </c>
      <c r="E298" s="112">
        <v>43125</v>
      </c>
    </row>
    <row r="299" spans="1:5" ht="13.95" customHeight="1">
      <c r="A299" s="110" t="s">
        <v>1301</v>
      </c>
      <c r="B299" s="110">
        <v>126</v>
      </c>
      <c r="C299" s="110">
        <v>0.67800000000000005</v>
      </c>
      <c r="D299" s="110" t="s">
        <v>2138</v>
      </c>
      <c r="E299" s="112">
        <v>42878</v>
      </c>
    </row>
    <row r="300" spans="1:5" ht="13.95" customHeight="1">
      <c r="A300" s="110" t="s">
        <v>1298</v>
      </c>
      <c r="B300" s="110">
        <v>1</v>
      </c>
      <c r="C300" s="110">
        <v>0.47</v>
      </c>
      <c r="E300" s="112">
        <v>43122</v>
      </c>
    </row>
    <row r="301" spans="1:5" ht="13.95" customHeight="1">
      <c r="A301" s="110" t="s">
        <v>1297</v>
      </c>
      <c r="B301" s="110" t="s">
        <v>2073</v>
      </c>
      <c r="C301" s="110">
        <v>0.7681</v>
      </c>
      <c r="E301" s="112">
        <v>43119</v>
      </c>
    </row>
    <row r="302" spans="1:5" ht="13.95" customHeight="1">
      <c r="A302" s="110" t="s">
        <v>1296</v>
      </c>
      <c r="B302" s="110" t="s">
        <v>2073</v>
      </c>
      <c r="C302" s="110">
        <v>0.6452</v>
      </c>
      <c r="D302" s="110" t="s">
        <v>2111</v>
      </c>
      <c r="E302" s="112">
        <v>43119</v>
      </c>
    </row>
    <row r="303" spans="1:5" ht="13.95" customHeight="1">
      <c r="A303" s="110" t="s">
        <v>1295</v>
      </c>
      <c r="B303" s="110">
        <v>216</v>
      </c>
      <c r="C303" s="110">
        <v>0.88700000000000001</v>
      </c>
      <c r="E303" s="112">
        <v>42879</v>
      </c>
    </row>
    <row r="304" spans="1:5" ht="13.95" customHeight="1">
      <c r="A304" s="110" t="s">
        <v>1294</v>
      </c>
      <c r="B304" s="110">
        <v>134</v>
      </c>
      <c r="C304" s="110">
        <v>0.69399999999999995</v>
      </c>
      <c r="E304" s="112">
        <v>42881</v>
      </c>
    </row>
    <row r="305" spans="1:5" ht="13.95" customHeight="1">
      <c r="A305" s="110" t="s">
        <v>1292</v>
      </c>
      <c r="B305" s="110">
        <v>120</v>
      </c>
      <c r="C305" s="110">
        <v>0.67110000000000003</v>
      </c>
      <c r="D305" s="110" t="s">
        <v>2105</v>
      </c>
      <c r="E305" s="112">
        <v>43125</v>
      </c>
    </row>
    <row r="306" spans="1:5" ht="13.95" customHeight="1">
      <c r="A306" s="110" t="s">
        <v>1290</v>
      </c>
      <c r="B306" s="110">
        <v>66</v>
      </c>
      <c r="C306" s="110">
        <v>0.93500000000000005</v>
      </c>
      <c r="E306" s="112">
        <v>43122</v>
      </c>
    </row>
    <row r="307" spans="1:5" ht="13.95" customHeight="1">
      <c r="A307" s="110" t="s">
        <v>1289</v>
      </c>
      <c r="B307" s="110">
        <v>214</v>
      </c>
      <c r="C307" s="110">
        <v>0.71299999999999997</v>
      </c>
      <c r="E307" s="112">
        <v>42878</v>
      </c>
    </row>
    <row r="308" spans="1:5" ht="13.95" customHeight="1">
      <c r="A308" s="110" t="s">
        <v>1288</v>
      </c>
      <c r="B308" s="110">
        <v>146</v>
      </c>
      <c r="C308" s="110">
        <v>0.59199999999999997</v>
      </c>
      <c r="D308" s="110" t="s">
        <v>2121</v>
      </c>
      <c r="E308" s="112">
        <v>42878</v>
      </c>
    </row>
    <row r="309" spans="1:5" ht="13.95" customHeight="1">
      <c r="A309" s="409" t="s">
        <v>1287</v>
      </c>
      <c r="B309" s="110">
        <v>92</v>
      </c>
      <c r="C309" s="110">
        <v>1.448</v>
      </c>
      <c r="E309" s="112">
        <v>42879</v>
      </c>
    </row>
    <row r="310" spans="1:5" ht="13.95" customHeight="1">
      <c r="A310" s="110" t="s">
        <v>1286</v>
      </c>
      <c r="B310" s="110">
        <v>42</v>
      </c>
      <c r="C310" s="110">
        <v>0.72199999999999998</v>
      </c>
      <c r="E310" s="112">
        <v>42881</v>
      </c>
    </row>
    <row r="311" spans="1:5" ht="13.95" customHeight="1">
      <c r="A311" s="110" t="s">
        <v>1285</v>
      </c>
      <c r="B311" s="110">
        <v>99</v>
      </c>
      <c r="C311" s="110">
        <v>0.65149999999999997</v>
      </c>
      <c r="E311" s="112">
        <v>43123</v>
      </c>
    </row>
    <row r="312" spans="1:5" ht="13.95" customHeight="1">
      <c r="A312" s="110" t="s">
        <v>1282</v>
      </c>
      <c r="B312" s="110">
        <v>131</v>
      </c>
      <c r="C312" s="110">
        <v>0.62819999999999998</v>
      </c>
      <c r="E312" s="112">
        <v>43125</v>
      </c>
    </row>
    <row r="313" spans="1:5" ht="13.95" customHeight="1">
      <c r="A313" s="110" t="s">
        <v>1281</v>
      </c>
      <c r="B313" s="110">
        <v>113</v>
      </c>
      <c r="C313" s="110">
        <v>0.70799999999999996</v>
      </c>
      <c r="E313" s="112">
        <v>42878</v>
      </c>
    </row>
    <row r="314" spans="1:5" ht="13.95" customHeight="1">
      <c r="A314" s="110" t="s">
        <v>1280</v>
      </c>
      <c r="B314" s="110">
        <v>202</v>
      </c>
      <c r="C314" s="110">
        <v>0.98199999999999998</v>
      </c>
      <c r="D314" s="110" t="s">
        <v>2050</v>
      </c>
      <c r="E314" s="112">
        <v>42881</v>
      </c>
    </row>
    <row r="315" spans="1:5" ht="13.95" customHeight="1">
      <c r="A315" s="110" t="s">
        <v>1278</v>
      </c>
      <c r="B315" s="110">
        <v>175</v>
      </c>
      <c r="C315" s="110">
        <v>0.58099999999999996</v>
      </c>
      <c r="E315" s="112">
        <v>42879</v>
      </c>
    </row>
    <row r="316" spans="1:5" ht="13.95" customHeight="1">
      <c r="A316" s="110" t="s">
        <v>1277</v>
      </c>
      <c r="B316" s="110">
        <v>202</v>
      </c>
      <c r="C316" s="110">
        <v>0.84</v>
      </c>
      <c r="E316" s="112">
        <v>42881</v>
      </c>
    </row>
    <row r="317" spans="1:5" ht="13.95" customHeight="1">
      <c r="A317" s="110" t="s">
        <v>1276</v>
      </c>
      <c r="B317" s="110">
        <v>44</v>
      </c>
      <c r="C317" s="110">
        <v>0.89559999999999995</v>
      </c>
      <c r="D317" s="110" t="s">
        <v>2075</v>
      </c>
      <c r="E317" s="112">
        <v>43125</v>
      </c>
    </row>
    <row r="318" spans="1:5" ht="13.95" customHeight="1">
      <c r="A318" t="s">
        <v>1275</v>
      </c>
      <c r="B318" s="110">
        <v>141</v>
      </c>
      <c r="C318" s="110">
        <v>0.69099999999999995</v>
      </c>
      <c r="E318" s="112">
        <v>42878</v>
      </c>
    </row>
    <row r="319" spans="1:5" ht="13.95" customHeight="1">
      <c r="A319" s="110" t="s">
        <v>1273</v>
      </c>
      <c r="B319" s="110">
        <v>157</v>
      </c>
      <c r="C319" s="110">
        <v>0.70499999999999996</v>
      </c>
      <c r="D319" s="110" t="s">
        <v>2050</v>
      </c>
      <c r="E319" s="112">
        <v>42879</v>
      </c>
    </row>
    <row r="320" spans="1:5" ht="13.95" customHeight="1">
      <c r="A320" s="110" t="s">
        <v>1272</v>
      </c>
      <c r="B320" s="110">
        <v>115</v>
      </c>
      <c r="C320" s="110">
        <v>0.73709999999999998</v>
      </c>
      <c r="E320" s="112">
        <v>43125</v>
      </c>
    </row>
    <row r="321" spans="1:5" ht="13.95" customHeight="1">
      <c r="A321" s="110" t="s">
        <v>1271</v>
      </c>
      <c r="B321" s="110">
        <v>132</v>
      </c>
      <c r="C321" s="110">
        <v>0.63490000000000002</v>
      </c>
      <c r="E321" s="112">
        <v>43125</v>
      </c>
    </row>
    <row r="322" spans="1:5" ht="13.95" customHeight="1">
      <c r="A322" s="110" t="s">
        <v>1269</v>
      </c>
      <c r="B322" s="110">
        <v>178</v>
      </c>
      <c r="C322" s="110">
        <v>0.62549999999999994</v>
      </c>
      <c r="D322" s="110" t="s">
        <v>2086</v>
      </c>
      <c r="E322" s="112">
        <v>43125</v>
      </c>
    </row>
    <row r="323" spans="1:5" ht="13.95" customHeight="1">
      <c r="A323" s="110" t="s">
        <v>1268</v>
      </c>
      <c r="B323" s="110" t="s">
        <v>2073</v>
      </c>
      <c r="C323" s="110">
        <v>0.6169</v>
      </c>
      <c r="D323" s="110" t="s">
        <v>2120</v>
      </c>
      <c r="E323" s="112">
        <v>43122</v>
      </c>
    </row>
    <row r="324" spans="1:5" ht="13.95" customHeight="1">
      <c r="A324" s="110" t="s">
        <v>1267</v>
      </c>
      <c r="B324" s="110">
        <v>180</v>
      </c>
      <c r="C324" s="110">
        <v>0.627</v>
      </c>
      <c r="E324" s="112">
        <v>43119</v>
      </c>
    </row>
    <row r="325" spans="1:5" ht="13.95" customHeight="1">
      <c r="A325" s="110" t="s">
        <v>1266</v>
      </c>
      <c r="B325" s="110">
        <v>144</v>
      </c>
      <c r="C325" s="110">
        <v>0.78500000000000003</v>
      </c>
      <c r="E325" s="112">
        <v>42881</v>
      </c>
    </row>
    <row r="326" spans="1:5" ht="13.95" customHeight="1">
      <c r="A326" s="110" t="s">
        <v>1265</v>
      </c>
      <c r="B326" s="110">
        <v>198</v>
      </c>
      <c r="C326" s="110">
        <v>0.64690000000000003</v>
      </c>
      <c r="E326" s="112">
        <v>43125</v>
      </c>
    </row>
    <row r="327" spans="1:5" ht="13.95" customHeight="1">
      <c r="A327" s="110" t="s">
        <v>1264</v>
      </c>
      <c r="B327" s="110">
        <v>212</v>
      </c>
      <c r="C327" s="110">
        <v>0.86439999999999995</v>
      </c>
      <c r="E327" s="112">
        <v>43123</v>
      </c>
    </row>
    <row r="328" spans="1:5" ht="13.95" customHeight="1">
      <c r="A328" s="110" t="s">
        <v>1263</v>
      </c>
      <c r="B328" s="110">
        <v>140</v>
      </c>
      <c r="C328" s="110">
        <v>0.67869999999999997</v>
      </c>
      <c r="E328" s="112">
        <v>43125</v>
      </c>
    </row>
    <row r="329" spans="1:5" ht="13.95" customHeight="1">
      <c r="A329" s="178" t="s">
        <v>1261</v>
      </c>
      <c r="B329" s="110">
        <v>117</v>
      </c>
      <c r="C329" s="110">
        <v>0.79800000000000004</v>
      </c>
      <c r="D329" s="110" t="s">
        <v>2067</v>
      </c>
      <c r="E329" s="112">
        <v>42878</v>
      </c>
    </row>
    <row r="330" spans="1:5" ht="13.95" customHeight="1">
      <c r="A330" s="272" t="s">
        <v>1259</v>
      </c>
      <c r="B330" s="110">
        <v>118</v>
      </c>
      <c r="C330" s="110">
        <v>0.64600000000000002</v>
      </c>
      <c r="E330" s="112">
        <v>42879</v>
      </c>
    </row>
    <row r="331" spans="1:5" ht="13.95" customHeight="1">
      <c r="A331" s="110" t="s">
        <v>1257</v>
      </c>
      <c r="B331" s="110">
        <v>125</v>
      </c>
      <c r="C331" s="110">
        <v>0.77200000000000002</v>
      </c>
      <c r="E331" s="112">
        <v>42881</v>
      </c>
    </row>
    <row r="332" spans="1:5" ht="13.95" customHeight="1">
      <c r="A332" s="110" t="s">
        <v>1255</v>
      </c>
      <c r="B332" s="110">
        <v>217</v>
      </c>
      <c r="C332" s="110">
        <v>0.78100000000000003</v>
      </c>
      <c r="E332" s="112">
        <v>42881</v>
      </c>
    </row>
    <row r="333" spans="1:5" ht="13.95" customHeight="1">
      <c r="A333" s="110" t="s">
        <v>1254</v>
      </c>
      <c r="B333" s="110">
        <v>221</v>
      </c>
      <c r="C333" s="110">
        <v>0.67200000000000004</v>
      </c>
      <c r="E333" s="112">
        <v>42878</v>
      </c>
    </row>
    <row r="334" spans="1:5" ht="13.95" customHeight="1">
      <c r="A334" s="178" t="s">
        <v>1252</v>
      </c>
      <c r="B334" s="110">
        <v>139</v>
      </c>
      <c r="C334" s="110">
        <v>0.73499999999999999</v>
      </c>
      <c r="E334" s="112">
        <v>42878</v>
      </c>
    </row>
    <row r="335" spans="1:5" ht="13.95" customHeight="1">
      <c r="A335" s="110" t="s">
        <v>1251</v>
      </c>
      <c r="B335" s="110" t="s">
        <v>2073</v>
      </c>
      <c r="C335" s="110">
        <v>0.63380000000000003</v>
      </c>
      <c r="E335" s="112">
        <v>43123</v>
      </c>
    </row>
    <row r="336" spans="1:5" ht="13.95" customHeight="1">
      <c r="A336" s="110" t="s">
        <v>1250</v>
      </c>
      <c r="B336" s="110" t="s">
        <v>2073</v>
      </c>
      <c r="C336" s="110">
        <v>0.58630000000000004</v>
      </c>
      <c r="E336" s="112">
        <v>43116</v>
      </c>
    </row>
    <row r="337" spans="1:9" ht="13.95" customHeight="1">
      <c r="A337" s="110" t="s">
        <v>1249</v>
      </c>
      <c r="B337" s="110">
        <v>150</v>
      </c>
      <c r="C337" s="110">
        <v>0.60099999999999998</v>
      </c>
      <c r="E337" s="112">
        <v>42879</v>
      </c>
    </row>
    <row r="338" spans="1:9" ht="13.95" customHeight="1">
      <c r="A338" s="110" t="s">
        <v>1248</v>
      </c>
      <c r="B338" s="110">
        <v>119</v>
      </c>
      <c r="C338" s="110">
        <v>0.65200000000000002</v>
      </c>
      <c r="D338"/>
      <c r="E338" s="112">
        <v>42881</v>
      </c>
    </row>
    <row r="339" spans="1:9" ht="13.95" customHeight="1">
      <c r="A339" s="178" t="s">
        <v>1247</v>
      </c>
      <c r="B339" s="110">
        <v>114</v>
      </c>
      <c r="C339" s="110">
        <v>0.64300000000000002</v>
      </c>
      <c r="E339" s="112">
        <v>42878</v>
      </c>
    </row>
    <row r="340" spans="1:9" ht="13.95" customHeight="1">
      <c r="A340" s="110" t="s">
        <v>1246</v>
      </c>
      <c r="B340" s="110">
        <v>217</v>
      </c>
      <c r="C340" s="110">
        <v>0.66200000000000003</v>
      </c>
      <c r="E340" s="112">
        <v>42881</v>
      </c>
    </row>
    <row r="341" spans="1:9" ht="13.95" customHeight="1">
      <c r="A341" s="110" t="s">
        <v>1245</v>
      </c>
      <c r="B341" s="110">
        <v>137</v>
      </c>
      <c r="C341" s="110">
        <v>1.5740000000000001</v>
      </c>
      <c r="D341" s="110" t="s">
        <v>2051</v>
      </c>
      <c r="E341" s="112">
        <v>42879</v>
      </c>
    </row>
    <row r="342" spans="1:9" ht="13.95" customHeight="1">
      <c r="A342" s="110" t="s">
        <v>1244</v>
      </c>
      <c r="B342" s="110">
        <v>104</v>
      </c>
      <c r="C342" s="110">
        <v>0.72499999999999998</v>
      </c>
      <c r="E342" s="112">
        <v>42878</v>
      </c>
    </row>
    <row r="343" spans="1:9" ht="13.95" customHeight="1">
      <c r="A343" s="110" t="s">
        <v>1243</v>
      </c>
      <c r="B343" s="110">
        <v>148</v>
      </c>
      <c r="C343" s="110">
        <v>0.74309999999999998</v>
      </c>
      <c r="E343" s="112">
        <v>43125</v>
      </c>
    </row>
    <row r="344" spans="1:9" ht="13.95" customHeight="1">
      <c r="A344" s="110" t="s">
        <v>1242</v>
      </c>
      <c r="B344" s="110" t="s">
        <v>2079</v>
      </c>
      <c r="C344" s="110">
        <v>0.54810000000000003</v>
      </c>
      <c r="E344" s="112">
        <v>43125</v>
      </c>
    </row>
    <row r="345" spans="1:9" ht="13.95" customHeight="1">
      <c r="A345" s="181" t="s">
        <v>1241</v>
      </c>
      <c r="B345" s="110">
        <v>160</v>
      </c>
      <c r="C345" s="110">
        <v>0.72</v>
      </c>
      <c r="E345" s="112">
        <v>42879</v>
      </c>
    </row>
    <row r="346" spans="1:9" ht="13.95" customHeight="1">
      <c r="A346" s="110" t="s">
        <v>1240</v>
      </c>
      <c r="B346" s="110">
        <v>165</v>
      </c>
      <c r="C346" s="110">
        <v>0.64800000000000002</v>
      </c>
      <c r="E346" s="112">
        <v>42878</v>
      </c>
    </row>
    <row r="347" spans="1:9" ht="13.95" customHeight="1">
      <c r="A347" t="s">
        <v>1239</v>
      </c>
      <c r="B347">
        <v>201</v>
      </c>
      <c r="C347">
        <v>0.56630000000000003</v>
      </c>
      <c r="D347" t="s">
        <v>2117</v>
      </c>
      <c r="E347" s="112">
        <v>43122</v>
      </c>
    </row>
    <row r="348" spans="1:9" ht="13.95" customHeight="1">
      <c r="A348" s="110" t="s">
        <v>1237</v>
      </c>
      <c r="B348" s="110">
        <v>24</v>
      </c>
      <c r="C348" s="110">
        <v>0.74790000000000001</v>
      </c>
      <c r="E348" s="112">
        <v>43122</v>
      </c>
    </row>
    <row r="349" spans="1:9" ht="13.95" customHeight="1">
      <c r="A349" s="110" t="s">
        <v>1236</v>
      </c>
      <c r="B349" s="110" t="s">
        <v>2073</v>
      </c>
      <c r="C349" s="110">
        <v>0.68300000000000005</v>
      </c>
      <c r="E349" s="112">
        <v>43122</v>
      </c>
    </row>
    <row r="350" spans="1:9" ht="13.95" customHeight="1">
      <c r="A350" s="110" t="s">
        <v>1235</v>
      </c>
      <c r="B350" s="110">
        <v>138</v>
      </c>
      <c r="C350" s="110">
        <v>0.64300000000000002</v>
      </c>
      <c r="E350" s="112">
        <v>42879</v>
      </c>
    </row>
    <row r="351" spans="1:9" ht="13.95" customHeight="1">
      <c r="A351" s="110" t="s">
        <v>1234</v>
      </c>
      <c r="B351" s="110" t="s">
        <v>2073</v>
      </c>
      <c r="C351" s="110">
        <v>0.67120000000000002</v>
      </c>
      <c r="D351" s="110" t="s">
        <v>2120</v>
      </c>
      <c r="E351" s="112">
        <v>43122</v>
      </c>
    </row>
    <row r="352" spans="1:9" ht="13.95" customHeight="1">
      <c r="A352" s="473" t="s">
        <v>1233</v>
      </c>
      <c r="B352" s="473">
        <v>142</v>
      </c>
      <c r="C352" s="474">
        <f>0.8401+F352</f>
        <v>0.99069999999999991</v>
      </c>
      <c r="D352" s="475" t="s">
        <v>3924</v>
      </c>
      <c r="E352" s="476">
        <v>42881</v>
      </c>
      <c r="F352" s="475">
        <f>0.1218+0.0288</f>
        <v>0.15060000000000001</v>
      </c>
      <c r="H352" s="412"/>
      <c r="I352" s="180"/>
    </row>
    <row r="353" spans="1:5" ht="13.95" customHeight="1">
      <c r="A353" s="110" t="s">
        <v>1232</v>
      </c>
      <c r="B353" s="110" t="s">
        <v>2073</v>
      </c>
      <c r="C353" s="110">
        <v>0.60450000000000004</v>
      </c>
      <c r="E353" s="112">
        <v>43119</v>
      </c>
    </row>
    <row r="354" spans="1:5" ht="13.95" customHeight="1">
      <c r="A354" s="110" t="s">
        <v>1231</v>
      </c>
      <c r="B354" s="110">
        <v>129</v>
      </c>
      <c r="C354" s="110">
        <v>0.59719999999999995</v>
      </c>
      <c r="E354" s="112">
        <v>43125</v>
      </c>
    </row>
    <row r="355" spans="1:5" ht="13.95" customHeight="1">
      <c r="A355" s="110" t="s">
        <v>1230</v>
      </c>
      <c r="B355" s="110">
        <v>134</v>
      </c>
      <c r="C355" s="110">
        <v>0.53400000000000003</v>
      </c>
      <c r="D355" s="110" t="s">
        <v>2050</v>
      </c>
      <c r="E355" s="112">
        <v>42881</v>
      </c>
    </row>
    <row r="356" spans="1:5" ht="13.95" customHeight="1">
      <c r="A356" s="110" t="s">
        <v>1229</v>
      </c>
      <c r="B356" s="110">
        <v>195</v>
      </c>
      <c r="C356" s="110">
        <v>0.7641</v>
      </c>
      <c r="D356" s="110" t="s">
        <v>2081</v>
      </c>
      <c r="E356" s="112">
        <v>43125</v>
      </c>
    </row>
    <row r="357" spans="1:5" ht="13.95" customHeight="1">
      <c r="A357" s="110" t="s">
        <v>1228</v>
      </c>
      <c r="B357" s="110">
        <v>221</v>
      </c>
      <c r="C357" s="110">
        <v>0.85699999999999998</v>
      </c>
      <c r="D357" s="110" t="s">
        <v>2132</v>
      </c>
      <c r="E357" s="112">
        <v>42878</v>
      </c>
    </row>
    <row r="358" spans="1:5" ht="13.95" customHeight="1">
      <c r="A358" s="409" t="s">
        <v>1226</v>
      </c>
      <c r="B358" s="110">
        <v>102</v>
      </c>
      <c r="C358" s="110">
        <v>0.56499999999999995</v>
      </c>
      <c r="E358" s="112">
        <v>42881</v>
      </c>
    </row>
    <row r="359" spans="1:5" ht="13.95" customHeight="1">
      <c r="A359" s="110" t="s">
        <v>1225</v>
      </c>
      <c r="B359" s="110">
        <v>121</v>
      </c>
      <c r="C359" s="110">
        <v>0.61199999999999999</v>
      </c>
      <c r="E359" s="112">
        <v>42879</v>
      </c>
    </row>
    <row r="360" spans="1:5" ht="13.95" customHeight="1">
      <c r="A360" s="110" t="s">
        <v>1224</v>
      </c>
      <c r="B360" s="110" t="s">
        <v>2073</v>
      </c>
      <c r="C360" s="110">
        <v>0.60060000000000002</v>
      </c>
      <c r="E360" s="112">
        <v>43119</v>
      </c>
    </row>
    <row r="361" spans="1:5" ht="13.95" customHeight="1">
      <c r="A361" s="409" t="s">
        <v>1223</v>
      </c>
      <c r="B361" s="110">
        <v>155</v>
      </c>
      <c r="C361" s="110">
        <v>0.63800000000000001</v>
      </c>
      <c r="E361" s="112">
        <v>42879</v>
      </c>
    </row>
    <row r="362" spans="1:5" ht="13.95" customHeight="1">
      <c r="A362" s="181" t="s">
        <v>1222</v>
      </c>
      <c r="B362" s="110">
        <v>100</v>
      </c>
      <c r="C362" s="110">
        <v>0.57399999999999995</v>
      </c>
      <c r="E362" s="112">
        <v>42881</v>
      </c>
    </row>
    <row r="363" spans="1:5" ht="13.95" customHeight="1">
      <c r="A363" s="110" t="s">
        <v>1220</v>
      </c>
      <c r="B363" s="110">
        <v>130</v>
      </c>
      <c r="C363" s="110">
        <v>0.54</v>
      </c>
      <c r="E363" s="112">
        <v>42879</v>
      </c>
    </row>
    <row r="364" spans="1:5" ht="13.95" customHeight="1">
      <c r="A364" s="397" t="s">
        <v>1219</v>
      </c>
      <c r="B364" s="110">
        <v>111</v>
      </c>
      <c r="C364" s="110">
        <v>0.66200000000000003</v>
      </c>
      <c r="D364" s="110" t="s">
        <v>2051</v>
      </c>
      <c r="E364" s="112">
        <v>42879</v>
      </c>
    </row>
    <row r="365" spans="1:5" ht="13.95" customHeight="1">
      <c r="A365" s="110" t="s">
        <v>1218</v>
      </c>
      <c r="B365" s="110">
        <v>136</v>
      </c>
      <c r="C365" s="110">
        <v>0.5796</v>
      </c>
      <c r="E365" s="112">
        <v>43125</v>
      </c>
    </row>
    <row r="366" spans="1:5" ht="13.95" customHeight="1">
      <c r="A366" s="181" t="s">
        <v>1217</v>
      </c>
      <c r="B366" s="110">
        <v>128</v>
      </c>
      <c r="C366" s="110">
        <v>0.57199999999999995</v>
      </c>
      <c r="E366" s="112">
        <v>42879</v>
      </c>
    </row>
    <row r="367" spans="1:5" ht="13.95" customHeight="1">
      <c r="A367" s="110" t="s">
        <v>1216</v>
      </c>
      <c r="B367" s="110">
        <v>128</v>
      </c>
      <c r="C367" s="110">
        <v>0.54500000000000004</v>
      </c>
      <c r="E367" s="112">
        <v>42879</v>
      </c>
    </row>
    <row r="368" spans="1:5" ht="13.95" customHeight="1">
      <c r="A368" s="181" t="s">
        <v>1215</v>
      </c>
      <c r="B368" s="110">
        <v>148</v>
      </c>
      <c r="C368" s="110">
        <v>0.24560000000000001</v>
      </c>
      <c r="D368" s="110" t="s">
        <v>2072</v>
      </c>
      <c r="E368" s="112">
        <v>43125</v>
      </c>
    </row>
    <row r="369" spans="1:5" ht="13.95" customHeight="1">
      <c r="A369" s="110" t="s">
        <v>1214</v>
      </c>
      <c r="B369" s="110">
        <v>143</v>
      </c>
      <c r="C369" s="110">
        <v>0.60970000000000002</v>
      </c>
      <c r="E369" s="112">
        <v>43125</v>
      </c>
    </row>
    <row r="370" spans="1:5" ht="13.95" customHeight="1">
      <c r="A370" t="s">
        <v>1213</v>
      </c>
      <c r="B370" s="110" t="s">
        <v>2055</v>
      </c>
      <c r="C370" s="110">
        <v>0.62</v>
      </c>
      <c r="E370" s="112">
        <v>42881</v>
      </c>
    </row>
    <row r="371" spans="1:5" ht="13.95" customHeight="1">
      <c r="A371" s="110" t="s">
        <v>1212</v>
      </c>
      <c r="B371" s="110" t="s">
        <v>2073</v>
      </c>
      <c r="C371" s="110">
        <v>0.70830000000000004</v>
      </c>
      <c r="E371" s="112">
        <v>43116</v>
      </c>
    </row>
    <row r="372" spans="1:5" ht="13.95" customHeight="1">
      <c r="A372" s="110" t="s">
        <v>1211</v>
      </c>
      <c r="B372" s="110">
        <v>122</v>
      </c>
      <c r="C372" s="110">
        <v>0.64200000000000002</v>
      </c>
      <c r="E372" s="112">
        <v>42878</v>
      </c>
    </row>
    <row r="373" spans="1:5" ht="13.95" customHeight="1">
      <c r="A373" s="110" t="s">
        <v>1210</v>
      </c>
      <c r="B373" s="110">
        <v>82</v>
      </c>
      <c r="C373" s="110">
        <v>0.74299999999999999</v>
      </c>
      <c r="E373" s="112">
        <v>42879</v>
      </c>
    </row>
    <row r="374" spans="1:5" ht="13.95" customHeight="1">
      <c r="A374" s="110" t="s">
        <v>1209</v>
      </c>
      <c r="B374" s="110">
        <v>126</v>
      </c>
      <c r="C374" s="110">
        <v>0.58499999999999996</v>
      </c>
      <c r="E374" s="112">
        <v>42878</v>
      </c>
    </row>
    <row r="375" spans="1:5" ht="13.95" customHeight="1">
      <c r="A375" s="397" t="s">
        <v>1208</v>
      </c>
      <c r="B375" s="110">
        <v>135</v>
      </c>
      <c r="C375" s="110">
        <v>0.56399999999999995</v>
      </c>
      <c r="E375" s="112">
        <v>42881</v>
      </c>
    </row>
    <row r="376" spans="1:5" ht="13.95" customHeight="1">
      <c r="A376" s="181" t="s">
        <v>1205</v>
      </c>
      <c r="B376" s="110">
        <v>108</v>
      </c>
      <c r="C376" s="110">
        <v>0.57699999999999996</v>
      </c>
      <c r="E376" s="112">
        <v>42881</v>
      </c>
    </row>
    <row r="377" spans="1:5" ht="13.95" customHeight="1">
      <c r="A377" s="110" t="s">
        <v>1204</v>
      </c>
      <c r="B377" s="110" t="s">
        <v>2073</v>
      </c>
      <c r="C377" s="110">
        <v>0.59309999999999996</v>
      </c>
      <c r="E377" s="112">
        <v>43123</v>
      </c>
    </row>
    <row r="378" spans="1:5" ht="13.95" customHeight="1">
      <c r="A378" s="110" t="s">
        <v>1203</v>
      </c>
      <c r="B378" s="110" t="s">
        <v>2073</v>
      </c>
      <c r="C378" s="110">
        <v>0.61809999999999998</v>
      </c>
      <c r="E378" s="112">
        <v>43122</v>
      </c>
    </row>
    <row r="379" spans="1:5" ht="13.95" customHeight="1">
      <c r="A379" s="110" t="s">
        <v>1201</v>
      </c>
      <c r="B379" s="110" t="s">
        <v>2073</v>
      </c>
      <c r="C379" s="110">
        <v>0.65239999999999998</v>
      </c>
      <c r="E379" s="112">
        <v>43122</v>
      </c>
    </row>
    <row r="380" spans="1:5" ht="13.95" customHeight="1">
      <c r="A380" s="397" t="s">
        <v>1200</v>
      </c>
      <c r="B380" s="110">
        <v>142</v>
      </c>
      <c r="C380" s="110">
        <v>0.78500000000000003</v>
      </c>
      <c r="E380" s="112">
        <v>42881</v>
      </c>
    </row>
    <row r="381" spans="1:5" ht="13.95" customHeight="1">
      <c r="A381" t="s">
        <v>1198</v>
      </c>
      <c r="B381" s="110">
        <v>112</v>
      </c>
      <c r="C381" s="110">
        <v>0.69799999999999995</v>
      </c>
      <c r="E381" s="112">
        <v>42878</v>
      </c>
    </row>
    <row r="382" spans="1:5" ht="13.95" customHeight="1">
      <c r="A382" s="110" t="s">
        <v>1197</v>
      </c>
      <c r="B382" s="110" t="s">
        <v>2073</v>
      </c>
      <c r="C382" s="110">
        <v>0.58509999999999995</v>
      </c>
      <c r="E382" s="112">
        <v>43119</v>
      </c>
    </row>
    <row r="383" spans="1:5" ht="13.95" customHeight="1">
      <c r="A383" s="110" t="s">
        <v>1194</v>
      </c>
      <c r="B383" s="110">
        <v>51</v>
      </c>
      <c r="C383" s="110">
        <v>0.77600000000000002</v>
      </c>
      <c r="E383" s="112">
        <v>42881</v>
      </c>
    </row>
    <row r="384" spans="1:5" ht="13.95" customHeight="1">
      <c r="A384" s="110" t="s">
        <v>1193</v>
      </c>
      <c r="B384" s="110">
        <v>137</v>
      </c>
      <c r="C384" s="110">
        <v>0.6</v>
      </c>
      <c r="E384" s="112">
        <v>42879</v>
      </c>
    </row>
    <row r="385" spans="1:5" ht="13.95" customHeight="1">
      <c r="A385" s="110" t="s">
        <v>1192</v>
      </c>
      <c r="B385" s="110" t="s">
        <v>2073</v>
      </c>
      <c r="C385" s="110">
        <v>0.69730000000000003</v>
      </c>
      <c r="E385" s="112">
        <v>43116</v>
      </c>
    </row>
    <row r="386" spans="1:5" ht="13.95" customHeight="1">
      <c r="A386" s="110" t="s">
        <v>1191</v>
      </c>
      <c r="B386" s="110">
        <v>155</v>
      </c>
      <c r="C386" s="110">
        <v>0.71599999999999997</v>
      </c>
      <c r="E386" s="112">
        <v>42879</v>
      </c>
    </row>
    <row r="387" spans="1:5" ht="13.95" customHeight="1">
      <c r="A387" s="110" t="s">
        <v>1190</v>
      </c>
      <c r="B387" s="110">
        <v>122</v>
      </c>
      <c r="C387" s="110">
        <v>0.76800000000000002</v>
      </c>
      <c r="D387" s="110" t="s">
        <v>2067</v>
      </c>
      <c r="E387" s="112">
        <v>42878</v>
      </c>
    </row>
    <row r="388" spans="1:5" ht="13.95" customHeight="1">
      <c r="A388" s="110" t="s">
        <v>1189</v>
      </c>
      <c r="B388" s="110">
        <v>105</v>
      </c>
      <c r="C388" s="110">
        <v>0.626</v>
      </c>
      <c r="E388" s="112">
        <v>42879</v>
      </c>
    </row>
    <row r="389" spans="1:5" ht="13.95" customHeight="1">
      <c r="A389" s="110" t="s">
        <v>1187</v>
      </c>
      <c r="B389" s="110" t="s">
        <v>2073</v>
      </c>
      <c r="C389" s="110">
        <v>0.64890000000000003</v>
      </c>
      <c r="E389" s="112">
        <v>43122</v>
      </c>
    </row>
    <row r="390" spans="1:5" ht="13.95" customHeight="1">
      <c r="A390" s="110" t="s">
        <v>1186</v>
      </c>
      <c r="B390" s="110">
        <v>25</v>
      </c>
      <c r="C390" s="116">
        <v>0.65839999999999999</v>
      </c>
      <c r="E390" s="112">
        <v>43116</v>
      </c>
    </row>
    <row r="391" spans="1:5" ht="13.95" customHeight="1">
      <c r="A391" s="110" t="s">
        <v>1185</v>
      </c>
      <c r="B391" s="110">
        <v>173</v>
      </c>
      <c r="C391" s="110">
        <v>0.65549999999999997</v>
      </c>
      <c r="E391" s="112">
        <v>42879</v>
      </c>
    </row>
    <row r="392" spans="1:5" ht="13.95" customHeight="1">
      <c r="A392" s="409" t="s">
        <v>1183</v>
      </c>
      <c r="B392" s="110">
        <v>124</v>
      </c>
      <c r="C392" s="110">
        <v>0.84799999999999998</v>
      </c>
      <c r="E392" s="112">
        <v>42881</v>
      </c>
    </row>
    <row r="393" spans="1:5" ht="13.95" customHeight="1">
      <c r="A393" s="110" t="s">
        <v>1181</v>
      </c>
      <c r="B393" s="110">
        <v>103</v>
      </c>
      <c r="C393" s="110">
        <v>0.55800000000000005</v>
      </c>
      <c r="E393" s="112">
        <v>42881</v>
      </c>
    </row>
    <row r="394" spans="1:5" ht="13.95" customHeight="1">
      <c r="A394" s="110" t="s">
        <v>1179</v>
      </c>
      <c r="B394" s="110" t="s">
        <v>2073</v>
      </c>
      <c r="C394" s="110">
        <v>0.83130000000000004</v>
      </c>
      <c r="D394" s="110" t="s">
        <v>2070</v>
      </c>
      <c r="E394" s="112">
        <v>43122</v>
      </c>
    </row>
    <row r="395" spans="1:5" ht="13.95" customHeight="1">
      <c r="A395" s="110" t="s">
        <v>1175</v>
      </c>
      <c r="B395" s="110" t="s">
        <v>2073</v>
      </c>
      <c r="C395" s="110">
        <v>0.62450000000000006</v>
      </c>
      <c r="E395" s="112">
        <v>43122</v>
      </c>
    </row>
    <row r="396" spans="1:5" ht="13.95" customHeight="1">
      <c r="A396" s="110" t="s">
        <v>1174</v>
      </c>
      <c r="B396" s="110">
        <v>160</v>
      </c>
      <c r="C396" s="110">
        <v>0.68100000000000005</v>
      </c>
      <c r="E396" s="112">
        <v>42879</v>
      </c>
    </row>
    <row r="397" spans="1:5" ht="13.95" customHeight="1">
      <c r="A397" s="110" t="s">
        <v>1173</v>
      </c>
      <c r="B397" s="110">
        <v>199</v>
      </c>
      <c r="C397" s="110">
        <v>0.67900000000000005</v>
      </c>
      <c r="E397" s="112">
        <v>42881</v>
      </c>
    </row>
    <row r="398" spans="1:5" ht="13.95" customHeight="1">
      <c r="A398" s="110" t="s">
        <v>1172</v>
      </c>
      <c r="B398" s="110">
        <v>147</v>
      </c>
      <c r="C398" s="110">
        <v>0.628</v>
      </c>
      <c r="D398" s="110" t="s">
        <v>2133</v>
      </c>
      <c r="E398" s="112">
        <v>42878</v>
      </c>
    </row>
    <row r="399" spans="1:5" ht="13.95" customHeight="1">
      <c r="A399" s="110" t="s">
        <v>1170</v>
      </c>
      <c r="B399" s="110">
        <v>139</v>
      </c>
      <c r="C399" s="110">
        <v>0.73599999999999999</v>
      </c>
      <c r="E399" s="112">
        <v>42878</v>
      </c>
    </row>
    <row r="400" spans="1:5" ht="13.95" customHeight="1">
      <c r="A400" s="110" t="s">
        <v>1169</v>
      </c>
      <c r="B400" s="110">
        <v>104</v>
      </c>
      <c r="C400" s="110">
        <v>0.61</v>
      </c>
      <c r="E400" s="112">
        <v>42878</v>
      </c>
    </row>
    <row r="401" spans="1:5" ht="13.95" customHeight="1">
      <c r="A401" s="178" t="s">
        <v>1168</v>
      </c>
      <c r="B401" s="110" t="s">
        <v>2073</v>
      </c>
      <c r="C401" s="110">
        <v>0.56669999999999998</v>
      </c>
      <c r="D401" s="110" t="s">
        <v>2111</v>
      </c>
      <c r="E401" s="112">
        <v>43119</v>
      </c>
    </row>
    <row r="402" spans="1:5" ht="13.95" customHeight="1">
      <c r="A402" s="110" t="s">
        <v>1167</v>
      </c>
      <c r="B402" s="110">
        <v>108</v>
      </c>
      <c r="C402" s="110">
        <v>0.67200000000000004</v>
      </c>
      <c r="E402" s="112">
        <v>42881</v>
      </c>
    </row>
    <row r="403" spans="1:5" ht="13.95" customHeight="1">
      <c r="A403" s="110" t="s">
        <v>1166</v>
      </c>
      <c r="B403" s="110">
        <v>158</v>
      </c>
      <c r="C403" s="110">
        <v>0.629</v>
      </c>
      <c r="D403" s="110" t="s">
        <v>2050</v>
      </c>
      <c r="E403" s="112">
        <v>42879</v>
      </c>
    </row>
    <row r="404" spans="1:5" ht="13.95" customHeight="1">
      <c r="A404" s="110" t="s">
        <v>1165</v>
      </c>
      <c r="B404" s="110" t="s">
        <v>2073</v>
      </c>
      <c r="C404" s="110">
        <v>0.5756</v>
      </c>
      <c r="E404" s="112">
        <v>43122</v>
      </c>
    </row>
    <row r="405" spans="1:5" ht="13.95" customHeight="1">
      <c r="A405" s="110" t="s">
        <v>1164</v>
      </c>
      <c r="B405" s="110" t="s">
        <v>2073</v>
      </c>
      <c r="C405" s="110">
        <v>0.58389999999999997</v>
      </c>
      <c r="E405" s="112">
        <v>43119</v>
      </c>
    </row>
    <row r="406" spans="1:5" ht="13.95" customHeight="1">
      <c r="A406" s="110" t="s">
        <v>1163</v>
      </c>
      <c r="B406" s="110">
        <v>109</v>
      </c>
      <c r="C406" s="110">
        <v>0.64870000000000005</v>
      </c>
      <c r="E406" s="112">
        <v>43125</v>
      </c>
    </row>
    <row r="407" spans="1:5" ht="13.95" customHeight="1">
      <c r="A407" s="110" t="s">
        <v>1162</v>
      </c>
      <c r="B407" s="110">
        <v>129</v>
      </c>
      <c r="C407" s="110">
        <v>0.59440000000000004</v>
      </c>
      <c r="E407" s="112">
        <v>43125</v>
      </c>
    </row>
    <row r="408" spans="1:5" ht="13.95" customHeight="1">
      <c r="A408" s="110" t="s">
        <v>1161</v>
      </c>
      <c r="B408" s="110">
        <v>114</v>
      </c>
      <c r="C408" s="110">
        <v>0.65700000000000003</v>
      </c>
      <c r="E408" s="112">
        <v>42878</v>
      </c>
    </row>
    <row r="409" spans="1:5" ht="13.95" customHeight="1">
      <c r="A409" s="110" t="s">
        <v>1160</v>
      </c>
      <c r="B409" s="110">
        <v>157</v>
      </c>
      <c r="C409" s="110">
        <v>0.74099999999999999</v>
      </c>
      <c r="E409" s="112">
        <v>42879</v>
      </c>
    </row>
    <row r="410" spans="1:5" ht="13.95" customHeight="1">
      <c r="A410" s="110" t="s">
        <v>1159</v>
      </c>
      <c r="B410" s="110">
        <v>207</v>
      </c>
      <c r="C410" s="110">
        <v>0.70199999999999996</v>
      </c>
      <c r="E410" s="112">
        <v>42879</v>
      </c>
    </row>
    <row r="411" spans="1:5" ht="13.95" customHeight="1">
      <c r="A411" s="110" t="s">
        <v>1158</v>
      </c>
      <c r="B411" s="110">
        <v>102</v>
      </c>
      <c r="C411" s="110">
        <v>0.63100000000000001</v>
      </c>
      <c r="E411" s="112">
        <v>42881</v>
      </c>
    </row>
    <row r="412" spans="1:5" ht="13.95" customHeight="1">
      <c r="A412" s="110" t="s">
        <v>1157</v>
      </c>
      <c r="B412" s="110">
        <v>178</v>
      </c>
      <c r="C412" s="110">
        <v>0.60699999999999998</v>
      </c>
      <c r="D412" s="110" t="s">
        <v>2085</v>
      </c>
      <c r="E412" s="112">
        <v>43125</v>
      </c>
    </row>
    <row r="413" spans="1:5" ht="13.95" customHeight="1">
      <c r="A413" s="110" t="s">
        <v>1156</v>
      </c>
      <c r="B413" s="110">
        <v>144</v>
      </c>
      <c r="C413" s="110">
        <v>0.68200000000000005</v>
      </c>
      <c r="E413" s="112">
        <v>42881</v>
      </c>
    </row>
    <row r="414" spans="1:5" ht="13.95" customHeight="1">
      <c r="A414" s="110" t="s">
        <v>1155</v>
      </c>
      <c r="B414">
        <v>123</v>
      </c>
      <c r="C414" s="110">
        <v>0.878</v>
      </c>
      <c r="E414" s="112">
        <v>42879</v>
      </c>
    </row>
    <row r="415" spans="1:5" ht="13.95" customHeight="1">
      <c r="A415" s="110" t="s">
        <v>1154</v>
      </c>
      <c r="B415" s="110">
        <v>183</v>
      </c>
      <c r="C415" s="110">
        <v>0.61</v>
      </c>
      <c r="E415" s="112">
        <v>42881</v>
      </c>
    </row>
    <row r="416" spans="1:5" ht="13.95" customHeight="1">
      <c r="A416" s="110" t="s">
        <v>1153</v>
      </c>
      <c r="B416" s="110">
        <v>116</v>
      </c>
      <c r="C416" s="110">
        <v>0.67869999999999997</v>
      </c>
      <c r="E416" s="112">
        <v>43125</v>
      </c>
    </row>
    <row r="417" spans="1:5" ht="13.95" customHeight="1">
      <c r="A417" s="110" t="s">
        <v>1152</v>
      </c>
      <c r="B417" s="110">
        <v>127</v>
      </c>
      <c r="C417" s="110">
        <v>0.59099999999999997</v>
      </c>
      <c r="E417" s="112">
        <v>42879</v>
      </c>
    </row>
    <row r="418" spans="1:5" ht="13.95" customHeight="1">
      <c r="A418" s="110" t="s">
        <v>1151</v>
      </c>
      <c r="B418" s="110">
        <v>112</v>
      </c>
      <c r="C418" s="110">
        <v>0.71899999999999997</v>
      </c>
      <c r="D418" s="110" t="s">
        <v>2067</v>
      </c>
      <c r="E418" s="112">
        <v>42878</v>
      </c>
    </row>
    <row r="419" spans="1:5" ht="13.95" customHeight="1">
      <c r="A419" s="178" t="s">
        <v>1150</v>
      </c>
      <c r="B419" s="110">
        <v>141</v>
      </c>
      <c r="C419">
        <v>1.5369999999999999</v>
      </c>
      <c r="E419" s="112">
        <v>42878</v>
      </c>
    </row>
    <row r="420" spans="1:5" ht="13.95" customHeight="1">
      <c r="A420" s="110" t="s">
        <v>1149</v>
      </c>
      <c r="B420" s="110">
        <v>117</v>
      </c>
      <c r="C420" s="110">
        <v>0.621</v>
      </c>
      <c r="E420" s="112">
        <v>42878</v>
      </c>
    </row>
    <row r="421" spans="1:5" ht="13.95" customHeight="1">
      <c r="A421" s="183" t="s">
        <v>1148</v>
      </c>
      <c r="B421" s="110">
        <v>145</v>
      </c>
      <c r="C421" s="110">
        <v>0.79200000000000004</v>
      </c>
      <c r="E421" s="112">
        <v>42878</v>
      </c>
    </row>
    <row r="422" spans="1:5" ht="13.95" customHeight="1">
      <c r="A422" s="110" t="s">
        <v>1140</v>
      </c>
      <c r="B422" s="110">
        <v>86</v>
      </c>
      <c r="C422" s="110">
        <v>0.38169999999999998</v>
      </c>
      <c r="D422" s="110" t="s">
        <v>2109</v>
      </c>
      <c r="E422" s="112">
        <v>43123</v>
      </c>
    </row>
    <row r="423" spans="1:5" ht="13.95" customHeight="1">
      <c r="A423" s="110" t="s">
        <v>1131</v>
      </c>
      <c r="B423" s="110" t="s">
        <v>2073</v>
      </c>
      <c r="C423" s="110">
        <f>1.5348+0.0339</f>
        <v>1.5687</v>
      </c>
      <c r="D423" s="110" t="s">
        <v>2118</v>
      </c>
      <c r="E423" s="112">
        <v>43122</v>
      </c>
    </row>
    <row r="424" spans="1:5" ht="13.95" customHeight="1">
      <c r="A424" s="110" t="s">
        <v>1041</v>
      </c>
      <c r="B424" s="110">
        <v>78</v>
      </c>
      <c r="C424" s="110">
        <v>1.7222999999999999</v>
      </c>
      <c r="E424" s="112">
        <v>43119</v>
      </c>
    </row>
    <row r="425" spans="1:5" ht="13.95" customHeight="1">
      <c r="A425" s="110" t="s">
        <v>1040</v>
      </c>
      <c r="B425" s="110" t="s">
        <v>2073</v>
      </c>
      <c r="C425" s="110">
        <v>1.5383</v>
      </c>
      <c r="E425" s="112">
        <v>43122</v>
      </c>
    </row>
    <row r="426" spans="1:5" ht="13.95" customHeight="1">
      <c r="A426" s="110" t="s">
        <v>1038</v>
      </c>
      <c r="B426" s="110" t="s">
        <v>2073</v>
      </c>
      <c r="C426" s="110">
        <v>1.4296</v>
      </c>
      <c r="E426" s="112">
        <v>43116</v>
      </c>
    </row>
    <row r="427" spans="1:5" ht="13.95" customHeight="1">
      <c r="A427" s="110" t="s">
        <v>1037</v>
      </c>
      <c r="B427" s="110">
        <v>25</v>
      </c>
      <c r="C427" s="110">
        <v>1.4184000000000001</v>
      </c>
      <c r="E427" s="112">
        <v>43119</v>
      </c>
    </row>
    <row r="428" spans="1:5" ht="13.95" customHeight="1">
      <c r="A428" s="110" t="s">
        <v>1036</v>
      </c>
      <c r="B428" s="110">
        <v>173</v>
      </c>
      <c r="C428" s="110">
        <v>1.6919999999999999</v>
      </c>
      <c r="E428" s="112">
        <v>42879</v>
      </c>
    </row>
    <row r="429" spans="1:5" ht="13.95" customHeight="1">
      <c r="A429" s="110" t="s">
        <v>1034</v>
      </c>
      <c r="B429" s="110">
        <v>46</v>
      </c>
      <c r="C429" s="110">
        <v>1.5349999999999999</v>
      </c>
      <c r="E429" s="112">
        <v>42881</v>
      </c>
    </row>
    <row r="430" spans="1:5" ht="13.95" customHeight="1">
      <c r="A430" s="166" t="s">
        <v>1032</v>
      </c>
      <c r="B430" s="110">
        <v>33</v>
      </c>
      <c r="C430" s="110">
        <v>0.41499999999999998</v>
      </c>
      <c r="D430" s="110" t="s">
        <v>2052</v>
      </c>
      <c r="E430" s="112">
        <v>42881</v>
      </c>
    </row>
    <row r="431" spans="1:5" ht="13.95" customHeight="1">
      <c r="A431" s="110" t="s">
        <v>1130</v>
      </c>
      <c r="B431" s="110">
        <v>122</v>
      </c>
      <c r="C431" s="110">
        <v>1.25</v>
      </c>
      <c r="E431" s="112">
        <v>42878</v>
      </c>
    </row>
    <row r="432" spans="1:5" ht="13.95" customHeight="1">
      <c r="A432" s="110" t="s">
        <v>1031</v>
      </c>
      <c r="B432" s="110">
        <v>20</v>
      </c>
      <c r="C432" s="110">
        <v>1.6778999999999999</v>
      </c>
      <c r="E432" s="112">
        <v>43125</v>
      </c>
    </row>
    <row r="433" spans="1:5" ht="13.95" customHeight="1">
      <c r="A433" s="110" t="s">
        <v>1030</v>
      </c>
      <c r="B433" s="110">
        <v>213</v>
      </c>
      <c r="C433" s="110">
        <v>1.587</v>
      </c>
      <c r="E433" s="112">
        <v>42881</v>
      </c>
    </row>
    <row r="434" spans="1:5" ht="13.95" customHeight="1">
      <c r="A434" s="110" t="s">
        <v>1029</v>
      </c>
      <c r="B434" s="110" t="s">
        <v>2073</v>
      </c>
      <c r="C434" s="110">
        <v>1.3584000000000001</v>
      </c>
      <c r="E434" s="112">
        <v>43122</v>
      </c>
    </row>
    <row r="435" spans="1:5" ht="13.95" customHeight="1">
      <c r="A435" s="110" t="s">
        <v>1027</v>
      </c>
      <c r="B435" s="110">
        <v>40</v>
      </c>
      <c r="C435" s="110">
        <v>2.2269999999999999</v>
      </c>
      <c r="E435" s="112">
        <v>42881</v>
      </c>
    </row>
    <row r="436" spans="1:5" ht="13.95" customHeight="1">
      <c r="A436" s="110" t="s">
        <v>1026</v>
      </c>
      <c r="B436" s="110">
        <v>4</v>
      </c>
      <c r="C436" s="110">
        <v>1.4075</v>
      </c>
      <c r="D436" s="110" t="s">
        <v>2123</v>
      </c>
      <c r="E436" s="112">
        <v>43122</v>
      </c>
    </row>
    <row r="437" spans="1:5" ht="13.95" customHeight="1">
      <c r="A437" s="110" t="s">
        <v>1024</v>
      </c>
      <c r="B437" s="110">
        <v>43</v>
      </c>
      <c r="C437" s="110">
        <v>1.6155999999999999</v>
      </c>
      <c r="E437" s="112">
        <v>43123</v>
      </c>
    </row>
    <row r="438" spans="1:5" ht="13.95" customHeight="1">
      <c r="A438" s="110" t="s">
        <v>1022</v>
      </c>
      <c r="B438" s="110">
        <v>62</v>
      </c>
      <c r="C438" s="110">
        <f>3.3076-1.6702</f>
        <v>1.6374</v>
      </c>
      <c r="D438" s="166" t="s">
        <v>2457</v>
      </c>
      <c r="E438" s="112">
        <v>43125</v>
      </c>
    </row>
    <row r="439" spans="1:5" ht="13.95" customHeight="1">
      <c r="A439" s="110" t="s">
        <v>1129</v>
      </c>
      <c r="B439" s="110" t="s">
        <v>2073</v>
      </c>
      <c r="C439" s="110">
        <v>0.17</v>
      </c>
      <c r="D439" s="110" t="s">
        <v>2141</v>
      </c>
      <c r="E439" s="112">
        <v>43119</v>
      </c>
    </row>
    <row r="440" spans="1:5" ht="13.95" customHeight="1">
      <c r="A440" s="110" t="s">
        <v>1021</v>
      </c>
      <c r="B440">
        <v>59</v>
      </c>
      <c r="C440" s="110">
        <v>1.4690000000000001</v>
      </c>
      <c r="D440" s="110" t="s">
        <v>2128</v>
      </c>
      <c r="E440" s="112">
        <v>42878</v>
      </c>
    </row>
    <row r="441" spans="1:5" ht="13.95" customHeight="1">
      <c r="A441" s="110" t="s">
        <v>1020</v>
      </c>
      <c r="B441" s="110" t="s">
        <v>2073</v>
      </c>
      <c r="C441" s="110">
        <v>1.3073999999999999</v>
      </c>
      <c r="E441" s="112">
        <v>43122</v>
      </c>
    </row>
    <row r="442" spans="1:5" ht="13.95" customHeight="1">
      <c r="A442" t="s">
        <v>1019</v>
      </c>
      <c r="B442" s="110">
        <v>74</v>
      </c>
      <c r="C442" s="110">
        <v>0.35499999999999998</v>
      </c>
      <c r="D442" s="110" t="s">
        <v>2071</v>
      </c>
      <c r="E442" s="112">
        <v>42879</v>
      </c>
    </row>
    <row r="443" spans="1:5" ht="13.95" customHeight="1">
      <c r="A443" s="110" t="s">
        <v>1017</v>
      </c>
      <c r="B443" s="110">
        <v>161</v>
      </c>
      <c r="C443" s="110">
        <v>1.6863999999999999</v>
      </c>
      <c r="E443" s="112">
        <v>43125</v>
      </c>
    </row>
    <row r="444" spans="1:5" ht="13.95" customHeight="1">
      <c r="A444" s="110" t="s">
        <v>1016</v>
      </c>
      <c r="B444" s="110" t="s">
        <v>2073</v>
      </c>
      <c r="C444" s="110">
        <v>1.2266999999999999</v>
      </c>
      <c r="E444" s="112">
        <v>43116</v>
      </c>
    </row>
    <row r="445" spans="1:5" ht="13.95" customHeight="1">
      <c r="A445" s="110" t="s">
        <v>1015</v>
      </c>
      <c r="B445" s="110" t="s">
        <v>2055</v>
      </c>
      <c r="C445" s="110">
        <v>1.6180000000000001</v>
      </c>
      <c r="E445" s="112">
        <v>42881</v>
      </c>
    </row>
    <row r="446" spans="1:5" ht="13.95" customHeight="1">
      <c r="A446" s="166" t="s">
        <v>1013</v>
      </c>
      <c r="B446" s="110">
        <v>18</v>
      </c>
      <c r="C446" s="110">
        <v>1.79</v>
      </c>
      <c r="E446" s="112">
        <v>42879</v>
      </c>
    </row>
    <row r="447" spans="1:5" ht="13.95" customHeight="1">
      <c r="A447" t="s">
        <v>1012</v>
      </c>
      <c r="B447" s="110">
        <v>68</v>
      </c>
      <c r="C447" s="110">
        <v>1.885</v>
      </c>
      <c r="E447" s="112">
        <v>42879</v>
      </c>
    </row>
    <row r="448" spans="1:5" ht="13.95" customHeight="1">
      <c r="A448" s="110" t="s">
        <v>1011</v>
      </c>
      <c r="B448" s="110">
        <v>212</v>
      </c>
      <c r="C448" s="110">
        <v>1.6712</v>
      </c>
      <c r="E448" s="112">
        <v>43123</v>
      </c>
    </row>
    <row r="449" spans="1:5" ht="13.95" customHeight="1">
      <c r="A449" s="110" t="s">
        <v>1009</v>
      </c>
      <c r="B449" s="110">
        <v>23</v>
      </c>
      <c r="C449" s="110">
        <v>1.5238</v>
      </c>
      <c r="E449" s="112">
        <v>43123</v>
      </c>
    </row>
    <row r="450" spans="1:5" ht="13.95" customHeight="1">
      <c r="A450" s="110" t="s">
        <v>1008</v>
      </c>
      <c r="B450" s="110">
        <v>1</v>
      </c>
      <c r="C450" s="110">
        <v>1.4104000000000001</v>
      </c>
      <c r="E450" s="112">
        <v>43122</v>
      </c>
    </row>
    <row r="451" spans="1:5" ht="13.95" customHeight="1">
      <c r="A451" s="110" t="s">
        <v>1007</v>
      </c>
      <c r="B451" s="110">
        <v>83</v>
      </c>
      <c r="C451" s="110">
        <v>0.98799999999999999</v>
      </c>
      <c r="D451" s="110" t="s">
        <v>2056</v>
      </c>
      <c r="E451" s="112">
        <v>42881</v>
      </c>
    </row>
    <row r="452" spans="1:5" ht="13.95" customHeight="1">
      <c r="A452" s="110" t="s">
        <v>1006</v>
      </c>
      <c r="B452" s="110">
        <v>202</v>
      </c>
      <c r="C452" s="110">
        <v>1.6419999999999999</v>
      </c>
      <c r="E452" s="112">
        <v>42881</v>
      </c>
    </row>
    <row r="453" spans="1:5" ht="13.95" customHeight="1">
      <c r="A453" s="110" t="s">
        <v>1005</v>
      </c>
      <c r="B453" s="110" t="s">
        <v>2073</v>
      </c>
      <c r="C453" s="110">
        <v>1.6368</v>
      </c>
      <c r="E453" s="112">
        <v>43116</v>
      </c>
    </row>
    <row r="454" spans="1:5" ht="13.95" customHeight="1">
      <c r="A454" s="110" t="s">
        <v>1004</v>
      </c>
      <c r="B454" s="110">
        <v>77</v>
      </c>
      <c r="C454" s="110">
        <v>1.698</v>
      </c>
      <c r="E454" s="112">
        <v>42879</v>
      </c>
    </row>
    <row r="455" spans="1:5" ht="13.95" customHeight="1">
      <c r="A455" t="s">
        <v>1003</v>
      </c>
      <c r="B455" s="110">
        <v>74</v>
      </c>
      <c r="C455" s="110">
        <v>1.6850000000000001</v>
      </c>
      <c r="D455" s="110" t="s">
        <v>2070</v>
      </c>
      <c r="E455" s="112">
        <v>42879</v>
      </c>
    </row>
    <row r="456" spans="1:5" ht="13.95" customHeight="1">
      <c r="A456" s="110" t="s">
        <v>1002</v>
      </c>
      <c r="B456" s="110" t="s">
        <v>2073</v>
      </c>
      <c r="C456" s="110">
        <v>1.6255999999999999</v>
      </c>
      <c r="E456" s="112">
        <v>43116</v>
      </c>
    </row>
    <row r="457" spans="1:5" ht="13.95" customHeight="1">
      <c r="A457" s="110" t="s">
        <v>1127</v>
      </c>
      <c r="B457" s="110">
        <v>72</v>
      </c>
      <c r="C457" s="110">
        <v>1.5603</v>
      </c>
      <c r="E457" s="112">
        <v>43116</v>
      </c>
    </row>
    <row r="458" spans="1:5" ht="13.95" customHeight="1">
      <c r="A458" s="110" t="s">
        <v>1000</v>
      </c>
      <c r="B458" s="110" t="s">
        <v>2073</v>
      </c>
      <c r="C458" s="110">
        <v>1.3197000000000001</v>
      </c>
      <c r="E458" s="112">
        <v>43122</v>
      </c>
    </row>
    <row r="459" spans="1:5" ht="13.95" customHeight="1">
      <c r="A459" s="167" t="s">
        <v>999</v>
      </c>
      <c r="B459" s="110">
        <v>209</v>
      </c>
      <c r="C459" s="110">
        <v>1.5780000000000001</v>
      </c>
      <c r="E459" s="112">
        <v>42878</v>
      </c>
    </row>
    <row r="460" spans="1:5" ht="13.95" customHeight="1">
      <c r="A460" s="110" t="s">
        <v>998</v>
      </c>
      <c r="B460" s="110">
        <v>61</v>
      </c>
      <c r="C460" s="110">
        <v>1.581</v>
      </c>
      <c r="E460" s="112">
        <v>42878</v>
      </c>
    </row>
    <row r="461" spans="1:5" ht="13.95" customHeight="1">
      <c r="A461" s="110" t="s">
        <v>997</v>
      </c>
      <c r="B461" s="110">
        <v>24</v>
      </c>
      <c r="C461" s="110">
        <v>1.6077999999999999</v>
      </c>
      <c r="E461" s="112">
        <v>43116</v>
      </c>
    </row>
    <row r="462" spans="1:5" ht="13.95" customHeight="1">
      <c r="A462" s="110" t="s">
        <v>996</v>
      </c>
      <c r="B462" s="110" t="s">
        <v>2073</v>
      </c>
      <c r="C462" s="110">
        <v>1.5481</v>
      </c>
      <c r="E462" s="112">
        <v>43122</v>
      </c>
    </row>
    <row r="463" spans="1:5" ht="13.95" customHeight="1">
      <c r="A463" s="110" t="s">
        <v>995</v>
      </c>
      <c r="B463" s="110" t="s">
        <v>2055</v>
      </c>
      <c r="C463" s="110">
        <v>1.651</v>
      </c>
      <c r="E463" s="112">
        <v>42881</v>
      </c>
    </row>
    <row r="464" spans="1:5" ht="13.95" customHeight="1">
      <c r="A464" s="110" t="s">
        <v>994</v>
      </c>
      <c r="B464" s="110">
        <v>38</v>
      </c>
      <c r="C464" s="110">
        <v>1.381</v>
      </c>
      <c r="E464" s="112">
        <v>42881</v>
      </c>
    </row>
    <row r="465" spans="1:5" ht="13.95" customHeight="1">
      <c r="A465" s="110" t="s">
        <v>993</v>
      </c>
      <c r="B465" s="110" t="s">
        <v>2073</v>
      </c>
      <c r="C465" s="110">
        <v>1.5741000000000001</v>
      </c>
      <c r="E465" s="112">
        <v>43122</v>
      </c>
    </row>
    <row r="466" spans="1:5" ht="13.95" customHeight="1">
      <c r="A466" s="110" t="s">
        <v>992</v>
      </c>
      <c r="B466" s="113">
        <v>206</v>
      </c>
      <c r="C466" s="110">
        <v>1.401</v>
      </c>
      <c r="E466" s="112">
        <v>42879</v>
      </c>
    </row>
    <row r="467" spans="1:5" ht="13.95" customHeight="1">
      <c r="A467" s="110" t="s">
        <v>1126</v>
      </c>
      <c r="B467" s="110">
        <v>144</v>
      </c>
      <c r="C467" s="110">
        <v>1.7290000000000001</v>
      </c>
      <c r="E467" s="112">
        <v>42881</v>
      </c>
    </row>
    <row r="468" spans="1:5" ht="13.95" customHeight="1">
      <c r="A468" s="110" t="s">
        <v>991</v>
      </c>
      <c r="B468" s="110">
        <v>66</v>
      </c>
      <c r="C468" s="110">
        <v>0.21360000000000001</v>
      </c>
      <c r="D468" s="110" t="s">
        <v>2109</v>
      </c>
      <c r="E468" s="112">
        <v>43122</v>
      </c>
    </row>
    <row r="469" spans="1:5" ht="13.95" customHeight="1">
      <c r="A469" s="110" t="s">
        <v>990</v>
      </c>
      <c r="B469">
        <v>70</v>
      </c>
      <c r="C469" s="110">
        <v>1.536</v>
      </c>
      <c r="E469" s="112">
        <v>42878</v>
      </c>
    </row>
    <row r="470" spans="1:5" ht="13.95" customHeight="1">
      <c r="A470" s="110" t="s">
        <v>988</v>
      </c>
      <c r="B470" s="110">
        <v>34</v>
      </c>
      <c r="C470" s="110">
        <v>0.34520000000000001</v>
      </c>
      <c r="D470" s="110" t="s">
        <v>2080</v>
      </c>
      <c r="E470" s="112">
        <v>43125</v>
      </c>
    </row>
    <row r="471" spans="1:5" ht="13.95" customHeight="1">
      <c r="A471" s="110" t="s">
        <v>987</v>
      </c>
      <c r="B471" s="110" t="s">
        <v>2073</v>
      </c>
      <c r="C471" s="110">
        <v>1.421</v>
      </c>
      <c r="E471" s="112">
        <v>43122</v>
      </c>
    </row>
    <row r="472" spans="1:5" ht="13.95" customHeight="1">
      <c r="A472" s="110" t="s">
        <v>986</v>
      </c>
      <c r="B472" s="110" t="s">
        <v>2073</v>
      </c>
      <c r="C472" s="110">
        <v>1.5909</v>
      </c>
      <c r="E472" s="112">
        <v>43119</v>
      </c>
    </row>
    <row r="473" spans="1:5" ht="13.95" customHeight="1">
      <c r="A473" s="110" t="s">
        <v>985</v>
      </c>
      <c r="B473" s="110" t="s">
        <v>2073</v>
      </c>
      <c r="C473" s="110">
        <v>1.2625999999999999</v>
      </c>
      <c r="E473" s="112">
        <v>43122</v>
      </c>
    </row>
    <row r="474" spans="1:5" ht="13.95" customHeight="1">
      <c r="A474" s="110" t="s">
        <v>984</v>
      </c>
      <c r="B474" s="110">
        <v>172</v>
      </c>
      <c r="C474" s="110">
        <f>1.6466+0.0316</f>
        <v>1.6782000000000001</v>
      </c>
      <c r="E474" s="112">
        <v>43123</v>
      </c>
    </row>
    <row r="475" spans="1:5" ht="13.95" customHeight="1">
      <c r="A475" s="110" t="s">
        <v>982</v>
      </c>
      <c r="B475" s="110">
        <v>64</v>
      </c>
      <c r="C475" s="110">
        <v>1.3160000000000001</v>
      </c>
      <c r="D475" s="110" t="s">
        <v>2136</v>
      </c>
      <c r="E475" s="112">
        <v>42878</v>
      </c>
    </row>
    <row r="476" spans="1:5" ht="13.95" customHeight="1">
      <c r="A476" s="110" t="s">
        <v>1125</v>
      </c>
      <c r="B476" s="110">
        <v>158</v>
      </c>
      <c r="C476" s="110">
        <v>1.786</v>
      </c>
      <c r="D476" s="110" t="s">
        <v>2051</v>
      </c>
      <c r="E476" s="112">
        <v>42879</v>
      </c>
    </row>
    <row r="477" spans="1:5" ht="13.95" customHeight="1">
      <c r="A477" s="110" t="s">
        <v>980</v>
      </c>
      <c r="B477" s="110">
        <v>57</v>
      </c>
      <c r="C477" s="110">
        <v>1.266</v>
      </c>
      <c r="D477" s="110" t="s">
        <v>2088</v>
      </c>
      <c r="E477" s="112">
        <v>43125</v>
      </c>
    </row>
    <row r="478" spans="1:5" ht="13.95" customHeight="1">
      <c r="A478" s="110" t="s">
        <v>977</v>
      </c>
      <c r="B478" s="110" t="s">
        <v>2073</v>
      </c>
      <c r="C478" s="110">
        <v>1.6649</v>
      </c>
      <c r="E478" s="112">
        <v>43122</v>
      </c>
    </row>
    <row r="479" spans="1:5" ht="13.95" customHeight="1">
      <c r="A479" s="110" t="s">
        <v>976</v>
      </c>
      <c r="B479" s="110">
        <v>67</v>
      </c>
      <c r="C479" s="110">
        <v>1.4942</v>
      </c>
      <c r="E479" s="112">
        <v>43125</v>
      </c>
    </row>
    <row r="480" spans="1:5" ht="13.95" customHeight="1">
      <c r="A480" s="110" t="s">
        <v>975</v>
      </c>
      <c r="B480" s="110">
        <v>44</v>
      </c>
      <c r="C480" s="110">
        <v>1.6101000000000001</v>
      </c>
      <c r="E480" s="112">
        <v>43125</v>
      </c>
    </row>
    <row r="481" spans="1:5" ht="13.95" customHeight="1">
      <c r="A481" s="110" t="s">
        <v>974</v>
      </c>
      <c r="B481" s="110">
        <v>194</v>
      </c>
      <c r="C481" s="110">
        <v>1.4750000000000001</v>
      </c>
      <c r="E481" s="112">
        <v>42881</v>
      </c>
    </row>
    <row r="482" spans="1:5" ht="13.95" customHeight="1">
      <c r="A482" s="110" t="s">
        <v>973</v>
      </c>
      <c r="B482" s="110">
        <v>198</v>
      </c>
      <c r="C482" s="110">
        <v>1.5734999999999999</v>
      </c>
      <c r="E482" s="112">
        <v>43125</v>
      </c>
    </row>
    <row r="483" spans="1:5" ht="13.95" customHeight="1">
      <c r="A483" s="110" t="s">
        <v>972</v>
      </c>
      <c r="B483" s="110" t="s">
        <v>2079</v>
      </c>
      <c r="C483" s="110">
        <v>2.8336999999999999</v>
      </c>
      <c r="D483" s="110" t="s">
        <v>2096</v>
      </c>
      <c r="E483" s="112">
        <v>43125</v>
      </c>
    </row>
    <row r="484" spans="1:5" ht="13.95" customHeight="1">
      <c r="A484" s="110" t="s">
        <v>1124</v>
      </c>
      <c r="B484" s="110">
        <v>1</v>
      </c>
      <c r="C484" s="110">
        <v>1.0208999999999999</v>
      </c>
      <c r="D484" s="166" t="s">
        <v>2458</v>
      </c>
      <c r="E484" s="112">
        <v>43125</v>
      </c>
    </row>
    <row r="485" spans="1:5" ht="13.95" customHeight="1">
      <c r="A485" s="110" t="s">
        <v>970</v>
      </c>
      <c r="B485" s="110">
        <v>89</v>
      </c>
      <c r="C485" s="110">
        <v>2.0529999999999999</v>
      </c>
      <c r="E485" s="112">
        <v>42879</v>
      </c>
    </row>
    <row r="486" spans="1:5" ht="13.95" customHeight="1">
      <c r="A486" s="110" t="s">
        <v>969</v>
      </c>
      <c r="B486" s="110" t="s">
        <v>2073</v>
      </c>
      <c r="C486" s="110">
        <v>1.4665999999999999</v>
      </c>
      <c r="E486" s="112">
        <v>43122</v>
      </c>
    </row>
    <row r="487" spans="1:5" ht="13.95" customHeight="1">
      <c r="A487" s="110" t="s">
        <v>965</v>
      </c>
      <c r="B487" s="110">
        <v>219</v>
      </c>
      <c r="C487" s="110">
        <v>1.4293</v>
      </c>
      <c r="E487" s="112">
        <v>43125</v>
      </c>
    </row>
    <row r="488" spans="1:5" ht="13.95" customHeight="1">
      <c r="A488" s="110" t="s">
        <v>964</v>
      </c>
      <c r="B488" s="110" t="s">
        <v>2073</v>
      </c>
      <c r="C488" s="110">
        <v>1.4271</v>
      </c>
      <c r="E488" s="112">
        <v>43122</v>
      </c>
    </row>
    <row r="489" spans="1:5" ht="13.95" customHeight="1">
      <c r="A489" s="110" t="s">
        <v>960</v>
      </c>
      <c r="B489" s="110">
        <v>80</v>
      </c>
      <c r="C489" s="110">
        <v>0.23799999999999999</v>
      </c>
      <c r="D489" s="110" t="s">
        <v>2141</v>
      </c>
      <c r="E489" s="112">
        <v>42878</v>
      </c>
    </row>
    <row r="490" spans="1:5" ht="13.95" customHeight="1">
      <c r="A490" s="110" t="s">
        <v>959</v>
      </c>
      <c r="B490" s="110">
        <v>202</v>
      </c>
      <c r="C490" s="110">
        <v>1.679</v>
      </c>
      <c r="E490" s="112">
        <v>42881</v>
      </c>
    </row>
    <row r="491" spans="1:5" ht="13.95" customHeight="1">
      <c r="A491" s="110" t="s">
        <v>958</v>
      </c>
      <c r="B491" s="110">
        <v>76</v>
      </c>
      <c r="C491" s="110">
        <v>1.7490000000000001</v>
      </c>
      <c r="E491" s="112">
        <v>42881</v>
      </c>
    </row>
    <row r="492" spans="1:5" ht="13.95" customHeight="1">
      <c r="A492" s="110" t="s">
        <v>956</v>
      </c>
      <c r="B492" s="110">
        <v>63</v>
      </c>
      <c r="C492" s="110">
        <v>1.6850000000000001</v>
      </c>
      <c r="E492" s="112">
        <v>42879</v>
      </c>
    </row>
    <row r="493" spans="1:5" ht="13.95" customHeight="1">
      <c r="A493" s="110" t="s">
        <v>955</v>
      </c>
      <c r="B493" s="180">
        <v>186</v>
      </c>
      <c r="C493" s="110">
        <v>1.7809999999999999</v>
      </c>
      <c r="E493" s="112">
        <v>42878</v>
      </c>
    </row>
    <row r="494" spans="1:5" ht="13.95" customHeight="1">
      <c r="A494" s="110" t="s">
        <v>954</v>
      </c>
      <c r="B494" s="110">
        <v>81</v>
      </c>
      <c r="C494" s="110">
        <v>1.8420000000000001</v>
      </c>
      <c r="E494" s="112">
        <v>42881</v>
      </c>
    </row>
    <row r="495" spans="1:5" ht="13.95" customHeight="1">
      <c r="A495" s="110" t="s">
        <v>952</v>
      </c>
      <c r="B495" s="110" t="s">
        <v>2073</v>
      </c>
      <c r="C495" s="110">
        <v>1.464</v>
      </c>
      <c r="E495" s="112">
        <v>43116</v>
      </c>
    </row>
    <row r="496" spans="1:5" ht="13.95" customHeight="1">
      <c r="A496" s="178" t="s">
        <v>1122</v>
      </c>
      <c r="B496" s="110">
        <v>55</v>
      </c>
      <c r="C496" s="110">
        <v>0.22600000000000001</v>
      </c>
      <c r="D496" s="110" t="s">
        <v>2129</v>
      </c>
      <c r="E496" s="112">
        <v>42878</v>
      </c>
    </row>
    <row r="497" spans="1:5" ht="13.95" customHeight="1">
      <c r="A497" s="110" t="s">
        <v>951</v>
      </c>
      <c r="B497" s="110">
        <v>23</v>
      </c>
      <c r="C497" s="110">
        <v>1.5019</v>
      </c>
      <c r="E497" s="112">
        <v>43123</v>
      </c>
    </row>
    <row r="498" spans="1:5" ht="13.95" customHeight="1">
      <c r="A498" s="110" t="s">
        <v>945</v>
      </c>
      <c r="B498" s="110">
        <v>89</v>
      </c>
      <c r="C498" s="110">
        <v>0.17399999999999999</v>
      </c>
      <c r="D498" s="110" t="s">
        <v>2063</v>
      </c>
      <c r="E498" s="112">
        <v>42879</v>
      </c>
    </row>
    <row r="499" spans="1:5" ht="13.95" customHeight="1">
      <c r="A499" s="110" t="s">
        <v>1139</v>
      </c>
      <c r="B499" s="110" t="s">
        <v>2073</v>
      </c>
      <c r="C499" s="110">
        <v>1.43</v>
      </c>
      <c r="E499" s="112">
        <v>43119</v>
      </c>
    </row>
    <row r="500" spans="1:5" ht="13.95" customHeight="1">
      <c r="A500" s="110" t="s">
        <v>1121</v>
      </c>
      <c r="B500" s="110">
        <v>148</v>
      </c>
      <c r="C500" s="110">
        <v>1.6375999999999999</v>
      </c>
      <c r="E500" s="112">
        <v>43125</v>
      </c>
    </row>
    <row r="501" spans="1:5" ht="13.95" customHeight="1">
      <c r="A501" s="110" t="s">
        <v>939</v>
      </c>
      <c r="B501" s="110" t="s">
        <v>2079</v>
      </c>
      <c r="C501" s="110">
        <v>0.52</v>
      </c>
      <c r="D501" s="110" t="s">
        <v>2137</v>
      </c>
      <c r="E501" s="112">
        <v>42878</v>
      </c>
    </row>
    <row r="502" spans="1:5" ht="13.95" customHeight="1">
      <c r="A502" s="110" t="s">
        <v>1120</v>
      </c>
      <c r="B502" s="110">
        <v>138</v>
      </c>
      <c r="C502" s="110">
        <v>1.522</v>
      </c>
      <c r="E502" s="112">
        <v>42879</v>
      </c>
    </row>
    <row r="503" spans="1:5" ht="13.95" customHeight="1">
      <c r="A503" s="110" t="s">
        <v>926</v>
      </c>
      <c r="B503" s="110" t="s">
        <v>2073</v>
      </c>
      <c r="C503" s="110">
        <v>1.7432000000000001</v>
      </c>
      <c r="E503" s="112">
        <v>43116</v>
      </c>
    </row>
    <row r="504" spans="1:5" ht="13.95" customHeight="1">
      <c r="A504" s="110" t="s">
        <v>925</v>
      </c>
      <c r="B504" s="110">
        <v>189</v>
      </c>
      <c r="C504" s="110">
        <v>1.6973</v>
      </c>
      <c r="E504" s="112">
        <v>43125</v>
      </c>
    </row>
    <row r="505" spans="1:5" ht="13.95" customHeight="1">
      <c r="A505" s="110" t="s">
        <v>924</v>
      </c>
      <c r="B505" s="110" t="s">
        <v>2073</v>
      </c>
      <c r="C505" s="110">
        <v>1.5392999999999999</v>
      </c>
      <c r="E505" s="112">
        <v>43119</v>
      </c>
    </row>
    <row r="506" spans="1:5" ht="13.95" customHeight="1">
      <c r="A506" s="110" t="s">
        <v>923</v>
      </c>
      <c r="B506" s="110">
        <v>201</v>
      </c>
      <c r="C506" s="110">
        <v>1.5928</v>
      </c>
      <c r="D506" s="110" t="s">
        <v>2111</v>
      </c>
      <c r="E506" s="112">
        <v>43116</v>
      </c>
    </row>
    <row r="507" spans="1:5" ht="13.95" customHeight="1">
      <c r="A507" s="110" t="s">
        <v>922</v>
      </c>
      <c r="B507" s="110" t="s">
        <v>2079</v>
      </c>
      <c r="C507" s="110">
        <v>1.5786</v>
      </c>
      <c r="D507" s="110" t="s">
        <v>2092</v>
      </c>
      <c r="E507" s="112">
        <v>43125</v>
      </c>
    </row>
    <row r="508" spans="1:5" ht="13.95" customHeight="1">
      <c r="A508" s="110" t="s">
        <v>1119</v>
      </c>
      <c r="B508" s="110">
        <v>83</v>
      </c>
      <c r="C508" s="110">
        <v>1.637</v>
      </c>
      <c r="E508" s="112">
        <v>42881</v>
      </c>
    </row>
    <row r="509" spans="1:5" ht="13.95" customHeight="1">
      <c r="A509" s="110" t="s">
        <v>919</v>
      </c>
      <c r="B509" s="110" t="s">
        <v>2073</v>
      </c>
      <c r="C509" s="110">
        <v>1.5732999999999999</v>
      </c>
      <c r="D509" s="110" t="s">
        <v>2121</v>
      </c>
      <c r="E509" s="112">
        <v>43122</v>
      </c>
    </row>
    <row r="510" spans="1:5" ht="13.95" customHeight="1">
      <c r="A510" s="181" t="s">
        <v>913</v>
      </c>
      <c r="B510" s="110">
        <v>77</v>
      </c>
      <c r="C510" s="110">
        <v>2.2429999999999999</v>
      </c>
      <c r="E510" s="112">
        <v>42879</v>
      </c>
    </row>
    <row r="511" spans="1:5" ht="13.95" customHeight="1">
      <c r="A511" s="110" t="s">
        <v>1118</v>
      </c>
      <c r="B511">
        <v>59</v>
      </c>
      <c r="C511" s="110">
        <v>1.38</v>
      </c>
      <c r="D511" s="110" t="s">
        <v>2130</v>
      </c>
      <c r="E511" s="112">
        <v>42878</v>
      </c>
    </row>
    <row r="512" spans="1:5" ht="13.95" customHeight="1">
      <c r="A512" s="110" t="s">
        <v>909</v>
      </c>
      <c r="B512" s="110" t="s">
        <v>2073</v>
      </c>
      <c r="C512" s="110">
        <v>1.7355</v>
      </c>
      <c r="E512" s="112">
        <v>43119</v>
      </c>
    </row>
    <row r="513" spans="1:5" ht="13.95" customHeight="1">
      <c r="A513" s="110" t="s">
        <v>907</v>
      </c>
      <c r="B513" s="110">
        <v>207</v>
      </c>
      <c r="C513" s="110">
        <v>1.7410000000000001</v>
      </c>
      <c r="E513" s="112">
        <v>42879</v>
      </c>
    </row>
    <row r="514" spans="1:5" ht="13.95" customHeight="1">
      <c r="A514" s="110" t="s">
        <v>906</v>
      </c>
      <c r="B514" s="110">
        <v>79</v>
      </c>
      <c r="C514" s="110">
        <v>1.5528</v>
      </c>
      <c r="E514" s="112">
        <v>43125</v>
      </c>
    </row>
    <row r="515" spans="1:5" ht="13.95" customHeight="1">
      <c r="A515" s="110" t="s">
        <v>1117</v>
      </c>
      <c r="B515" s="110">
        <v>34</v>
      </c>
      <c r="C515" s="110">
        <v>1.4662999999999999</v>
      </c>
      <c r="E515" s="112">
        <v>43125</v>
      </c>
    </row>
    <row r="516" spans="1:5" ht="13.95" customHeight="1">
      <c r="A516" s="110" t="s">
        <v>900</v>
      </c>
      <c r="B516" s="110">
        <v>216</v>
      </c>
      <c r="C516" s="110">
        <v>1.5349999999999999</v>
      </c>
      <c r="E516" s="112">
        <v>42879</v>
      </c>
    </row>
    <row r="517" spans="1:5" ht="13.95" customHeight="1">
      <c r="A517" s="110" t="s">
        <v>1116</v>
      </c>
      <c r="B517" s="110">
        <v>195</v>
      </c>
      <c r="C517" s="110">
        <v>1.3527</v>
      </c>
      <c r="E517" s="112">
        <v>43125</v>
      </c>
    </row>
    <row r="518" spans="1:5" ht="13.95" customHeight="1">
      <c r="A518" s="110" t="s">
        <v>891</v>
      </c>
      <c r="B518" s="110" t="s">
        <v>2073</v>
      </c>
      <c r="C518" s="110">
        <v>1.5303</v>
      </c>
      <c r="E518" s="112">
        <v>43122</v>
      </c>
    </row>
    <row r="519" spans="1:5" ht="13.95" customHeight="1">
      <c r="A519" s="110" t="s">
        <v>890</v>
      </c>
      <c r="B519" s="110">
        <v>69</v>
      </c>
      <c r="C519" s="110">
        <v>1.8979999999999999</v>
      </c>
      <c r="E519" s="112">
        <v>42881</v>
      </c>
    </row>
    <row r="520" spans="1:5" ht="13.95" customHeight="1">
      <c r="A520" s="110" t="s">
        <v>889</v>
      </c>
      <c r="B520" s="110">
        <v>66</v>
      </c>
      <c r="C520" s="110">
        <v>1.6584000000000001</v>
      </c>
      <c r="E520" s="112">
        <v>43116</v>
      </c>
    </row>
    <row r="521" spans="1:5" ht="13.95" customHeight="1">
      <c r="A521" s="110" t="s">
        <v>888</v>
      </c>
      <c r="B521" s="110">
        <v>161</v>
      </c>
      <c r="C521" s="110">
        <v>1.7033</v>
      </c>
      <c r="E521" s="112">
        <v>43125</v>
      </c>
    </row>
    <row r="522" spans="1:5" ht="13.95" customHeight="1">
      <c r="A522" s="110" t="s">
        <v>886</v>
      </c>
      <c r="B522" s="110" t="s">
        <v>2073</v>
      </c>
      <c r="C522" s="110">
        <v>1.7073</v>
      </c>
      <c r="D522" s="110" t="s">
        <v>2116</v>
      </c>
      <c r="E522" s="112">
        <v>43122</v>
      </c>
    </row>
    <row r="523" spans="1:5" ht="13.95" customHeight="1">
      <c r="A523" s="110" t="s">
        <v>883</v>
      </c>
      <c r="B523" s="113">
        <v>206</v>
      </c>
      <c r="C523" s="110">
        <v>1.5820000000000001</v>
      </c>
      <c r="E523" s="112">
        <v>42879</v>
      </c>
    </row>
    <row r="524" spans="1:5" ht="13.95" customHeight="1">
      <c r="A524" s="110" t="s">
        <v>882</v>
      </c>
      <c r="B524" s="110" t="s">
        <v>2073</v>
      </c>
      <c r="C524" s="110">
        <v>1.7169000000000001</v>
      </c>
      <c r="E524" s="112">
        <v>43122</v>
      </c>
    </row>
    <row r="525" spans="1:5" ht="13.95" customHeight="1">
      <c r="A525" s="110" t="s">
        <v>1115</v>
      </c>
      <c r="B525" s="110">
        <v>102</v>
      </c>
      <c r="C525" s="110">
        <v>1.6240000000000001</v>
      </c>
      <c r="E525" s="112">
        <v>42881</v>
      </c>
    </row>
    <row r="526" spans="1:5" ht="13.95" customHeight="1">
      <c r="A526" s="110" t="s">
        <v>879</v>
      </c>
      <c r="B526" s="110">
        <v>177</v>
      </c>
      <c r="C526" s="110">
        <v>1.671</v>
      </c>
      <c r="E526" s="112">
        <v>42881</v>
      </c>
    </row>
    <row r="527" spans="1:5" ht="13.95" customHeight="1">
      <c r="A527" s="110" t="s">
        <v>878</v>
      </c>
      <c r="B527" s="110">
        <v>192</v>
      </c>
      <c r="C527" s="110">
        <v>1.0369999999999999</v>
      </c>
      <c r="E527" s="112">
        <v>42881</v>
      </c>
    </row>
    <row r="528" spans="1:5" ht="13.95" customHeight="1">
      <c r="A528" s="110" t="s">
        <v>877</v>
      </c>
      <c r="B528" s="110">
        <v>64</v>
      </c>
      <c r="C528" s="110">
        <v>1.7050000000000001</v>
      </c>
      <c r="E528" s="112">
        <v>42879</v>
      </c>
    </row>
    <row r="529" spans="1:7" ht="13.95" customHeight="1">
      <c r="A529" s="110" t="s">
        <v>876</v>
      </c>
      <c r="B529" s="110">
        <v>205</v>
      </c>
      <c r="C529" s="110">
        <v>1.6680999999999999</v>
      </c>
      <c r="D529" s="110" t="s">
        <v>2075</v>
      </c>
      <c r="E529" s="112">
        <v>43123</v>
      </c>
    </row>
    <row r="530" spans="1:7" ht="13.95" customHeight="1">
      <c r="A530" s="110" t="s">
        <v>875</v>
      </c>
      <c r="B530">
        <v>70</v>
      </c>
      <c r="C530" s="110">
        <v>1.599</v>
      </c>
      <c r="E530" s="112">
        <v>42878</v>
      </c>
    </row>
    <row r="531" spans="1:7" ht="13.95" customHeight="1">
      <c r="A531" s="110" t="s">
        <v>873</v>
      </c>
      <c r="B531" s="110">
        <v>180</v>
      </c>
      <c r="C531" s="110">
        <v>1.6403000000000001</v>
      </c>
      <c r="E531" s="112">
        <v>43119</v>
      </c>
    </row>
    <row r="532" spans="1:7" ht="13.95" customHeight="1">
      <c r="A532" s="110" t="s">
        <v>1114</v>
      </c>
      <c r="B532" s="110">
        <v>145</v>
      </c>
      <c r="C532" s="110">
        <v>1.6830000000000001</v>
      </c>
      <c r="E532" s="112">
        <v>42878</v>
      </c>
    </row>
    <row r="533" spans="1:7" ht="13.95" customHeight="1">
      <c r="A533" s="110" t="s">
        <v>870</v>
      </c>
      <c r="B533" s="110">
        <v>209</v>
      </c>
      <c r="C533" s="110">
        <v>1.754</v>
      </c>
      <c r="E533" s="112">
        <v>42878</v>
      </c>
    </row>
    <row r="534" spans="1:7" ht="13.95" customHeight="1">
      <c r="A534" s="110" t="s">
        <v>868</v>
      </c>
      <c r="B534" s="110" t="s">
        <v>2073</v>
      </c>
      <c r="C534" s="110">
        <v>1.655</v>
      </c>
      <c r="E534" s="112">
        <v>43122</v>
      </c>
    </row>
    <row r="535" spans="1:7" ht="13.95" customHeight="1">
      <c r="A535" s="110" t="s">
        <v>867</v>
      </c>
      <c r="B535" s="110">
        <v>18</v>
      </c>
      <c r="C535" s="110">
        <v>1.6060000000000001</v>
      </c>
      <c r="E535" s="112">
        <v>42879</v>
      </c>
    </row>
    <row r="536" spans="1:7" ht="13.95" customHeight="1">
      <c r="A536" s="110" t="s">
        <v>863</v>
      </c>
      <c r="B536" s="110">
        <v>78</v>
      </c>
      <c r="C536" s="110">
        <v>1.6845000000000001</v>
      </c>
      <c r="E536" s="112">
        <v>43122</v>
      </c>
      <c r="G536" s="110" t="s">
        <v>2062</v>
      </c>
    </row>
    <row r="537" spans="1:7" ht="13.95" customHeight="1">
      <c r="A537" s="180" t="s">
        <v>862</v>
      </c>
      <c r="B537" s="180">
        <v>25</v>
      </c>
      <c r="C537" s="180">
        <f>D537+1.4686</f>
        <v>1.6192</v>
      </c>
      <c r="D537" s="180">
        <f>0.1218+0.0288</f>
        <v>0.15060000000000001</v>
      </c>
      <c r="E537" s="412">
        <v>43441</v>
      </c>
      <c r="F537" s="180" t="s">
        <v>3924</v>
      </c>
    </row>
    <row r="538" spans="1:7" ht="13.95" customHeight="1">
      <c r="A538" s="110" t="s">
        <v>1113</v>
      </c>
      <c r="B538" s="110" t="s">
        <v>2079</v>
      </c>
      <c r="C538" s="110">
        <v>1.5992999999999999</v>
      </c>
      <c r="D538" s="110" t="s">
        <v>2078</v>
      </c>
      <c r="E538" s="112">
        <v>43125</v>
      </c>
      <c r="G538" s="110" t="s">
        <v>2062</v>
      </c>
    </row>
    <row r="539" spans="1:7" ht="13.95" customHeight="1">
      <c r="A539" s="110" t="s">
        <v>859</v>
      </c>
      <c r="B539" s="110">
        <v>14</v>
      </c>
      <c r="C539" s="110">
        <v>1.5669999999999999</v>
      </c>
      <c r="E539" s="112">
        <v>42881</v>
      </c>
      <c r="G539" s="110" t="s">
        <v>2062</v>
      </c>
    </row>
    <row r="540" spans="1:7" ht="13.95" customHeight="1">
      <c r="A540" s="110" t="s">
        <v>856</v>
      </c>
      <c r="B540" s="110" t="s">
        <v>2073</v>
      </c>
      <c r="C540" s="110">
        <v>1.6621999999999999</v>
      </c>
      <c r="E540" s="112">
        <v>43116</v>
      </c>
      <c r="G540" s="110" t="s">
        <v>2062</v>
      </c>
    </row>
    <row r="541" spans="1:7" ht="13.95" customHeight="1">
      <c r="A541" s="110" t="s">
        <v>854</v>
      </c>
      <c r="B541" s="110" t="s">
        <v>2073</v>
      </c>
      <c r="C541" s="110">
        <v>1.6496999999999999</v>
      </c>
      <c r="D541" s="110" t="s">
        <v>2111</v>
      </c>
      <c r="E541" s="112">
        <v>43119</v>
      </c>
      <c r="G541" s="110" t="s">
        <v>2062</v>
      </c>
    </row>
    <row r="542" spans="1:7" ht="13.95" customHeight="1">
      <c r="A542" t="s">
        <v>853</v>
      </c>
      <c r="B542"/>
      <c r="C542">
        <v>1.514</v>
      </c>
      <c r="E542" s="244" t="s">
        <v>3935</v>
      </c>
      <c r="F542" s="244"/>
      <c r="G542"/>
    </row>
    <row r="543" spans="1:7" ht="13.95" customHeight="1">
      <c r="A543" s="110" t="s">
        <v>852</v>
      </c>
      <c r="B543" s="110">
        <v>194</v>
      </c>
      <c r="C543" s="110">
        <v>1.512</v>
      </c>
      <c r="E543" s="112">
        <v>42881</v>
      </c>
      <c r="G543" s="110" t="s">
        <v>2062</v>
      </c>
    </row>
    <row r="544" spans="1:7" ht="13.95" customHeight="1">
      <c r="A544" s="110" t="s">
        <v>1112</v>
      </c>
      <c r="B544" s="110">
        <v>51</v>
      </c>
      <c r="C544" s="110">
        <v>1.4950000000000001</v>
      </c>
      <c r="E544" s="112">
        <v>42881</v>
      </c>
    </row>
    <row r="545" spans="1:5" ht="13.95" customHeight="1">
      <c r="A545" s="110" t="s">
        <v>851</v>
      </c>
      <c r="B545" s="110">
        <v>183</v>
      </c>
      <c r="C545" s="110">
        <v>1.7310000000000001</v>
      </c>
      <c r="E545" s="112">
        <v>42881</v>
      </c>
    </row>
    <row r="546" spans="1:5" ht="13.95" customHeight="1">
      <c r="A546" s="110" t="s">
        <v>850</v>
      </c>
      <c r="B546" s="110" t="s">
        <v>2073</v>
      </c>
      <c r="C546" s="110">
        <v>1.6970000000000001</v>
      </c>
      <c r="E546" s="112">
        <v>43116</v>
      </c>
    </row>
    <row r="547" spans="1:5" ht="13.95" customHeight="1">
      <c r="A547" s="110" t="s">
        <v>848</v>
      </c>
      <c r="B547" s="110">
        <v>81</v>
      </c>
      <c r="C547" s="110">
        <v>1.736</v>
      </c>
      <c r="D547" s="110" t="s">
        <v>2050</v>
      </c>
      <c r="E547" s="112">
        <v>42881</v>
      </c>
    </row>
    <row r="548" spans="1:5" ht="13.95" customHeight="1">
      <c r="A548" s="110" t="s">
        <v>845</v>
      </c>
      <c r="B548" s="110" t="s">
        <v>2073</v>
      </c>
      <c r="C548" s="110">
        <v>1.3653</v>
      </c>
      <c r="E548" s="112">
        <v>43119</v>
      </c>
    </row>
    <row r="549" spans="1:5" ht="13.95" customHeight="1">
      <c r="A549" s="110" t="s">
        <v>1138</v>
      </c>
      <c r="B549" s="110" t="s">
        <v>2073</v>
      </c>
      <c r="C549" s="110">
        <v>1.4899</v>
      </c>
      <c r="E549" s="112">
        <v>43122</v>
      </c>
    </row>
    <row r="550" spans="1:5" ht="13.95" customHeight="1">
      <c r="A550" s="110" t="s">
        <v>1111</v>
      </c>
      <c r="B550" s="110">
        <v>157</v>
      </c>
      <c r="C550" s="110">
        <v>1.825</v>
      </c>
      <c r="E550" s="112">
        <v>42879</v>
      </c>
    </row>
    <row r="551" spans="1:5" ht="13.95" customHeight="1">
      <c r="A551" s="110" t="s">
        <v>840</v>
      </c>
      <c r="B551" s="110">
        <v>180</v>
      </c>
      <c r="C551" s="110">
        <v>1.6709000000000001</v>
      </c>
      <c r="D551" s="110" t="s">
        <v>2115</v>
      </c>
      <c r="E551" s="112">
        <v>43119</v>
      </c>
    </row>
    <row r="552" spans="1:5" ht="13.95" customHeight="1">
      <c r="A552" s="110" t="s">
        <v>839</v>
      </c>
      <c r="B552" s="110">
        <v>217</v>
      </c>
      <c r="C552" s="110">
        <v>1.38</v>
      </c>
      <c r="E552" s="112">
        <v>42881</v>
      </c>
    </row>
    <row r="553" spans="1:5" ht="13.95" customHeight="1">
      <c r="A553" s="110" t="s">
        <v>838</v>
      </c>
      <c r="B553" s="110" t="s">
        <v>2073</v>
      </c>
      <c r="C553" s="110">
        <v>1.5651999999999999</v>
      </c>
      <c r="D553" s="110" t="s">
        <v>2111</v>
      </c>
      <c r="E553" s="112">
        <v>43116</v>
      </c>
    </row>
    <row r="554" spans="1:5" ht="13.95" customHeight="1">
      <c r="A554" s="110" t="s">
        <v>834</v>
      </c>
      <c r="B554" s="110">
        <v>174</v>
      </c>
      <c r="C554" s="110">
        <v>1.724</v>
      </c>
      <c r="E554" s="112">
        <v>42881</v>
      </c>
    </row>
    <row r="555" spans="1:5" ht="13.95" customHeight="1">
      <c r="A555" s="110" t="s">
        <v>832</v>
      </c>
      <c r="B555" s="110">
        <v>178</v>
      </c>
      <c r="C555" s="110">
        <v>1.6866000000000001</v>
      </c>
      <c r="D555" s="110" t="s">
        <v>2085</v>
      </c>
      <c r="E555" s="112">
        <v>43125</v>
      </c>
    </row>
    <row r="556" spans="1:5" ht="13.95" customHeight="1">
      <c r="A556" s="110" t="s">
        <v>1110</v>
      </c>
      <c r="B556" s="110">
        <v>58</v>
      </c>
      <c r="C556" s="110">
        <v>1.1857</v>
      </c>
      <c r="E556" s="112">
        <v>43123</v>
      </c>
    </row>
    <row r="557" spans="1:5" ht="13.95" customHeight="1">
      <c r="A557" s="110" t="s">
        <v>830</v>
      </c>
      <c r="B557" s="110" t="s">
        <v>2073</v>
      </c>
      <c r="C557" s="110">
        <v>1.6715</v>
      </c>
      <c r="E557" s="112">
        <v>43116</v>
      </c>
    </row>
    <row r="558" spans="1:5" ht="13.95" customHeight="1">
      <c r="A558" s="110" t="s">
        <v>829</v>
      </c>
      <c r="B558" s="110">
        <v>52</v>
      </c>
      <c r="C558" s="110">
        <v>1.546</v>
      </c>
      <c r="E558" s="112">
        <v>42878</v>
      </c>
    </row>
    <row r="559" spans="1:5" ht="13.95" customHeight="1">
      <c r="A559" s="110" t="s">
        <v>826</v>
      </c>
      <c r="B559" s="110">
        <v>85</v>
      </c>
      <c r="C559" s="110">
        <v>1.4850000000000001</v>
      </c>
      <c r="E559" s="112">
        <v>42878</v>
      </c>
    </row>
    <row r="560" spans="1:5" ht="13.95" customHeight="1">
      <c r="A560" s="110" t="s">
        <v>824</v>
      </c>
      <c r="B560" s="110">
        <v>64</v>
      </c>
      <c r="C560" s="110">
        <v>1.7210000000000001</v>
      </c>
      <c r="E560" s="112">
        <v>42879</v>
      </c>
    </row>
    <row r="561" spans="1:5" ht="13.95" customHeight="1">
      <c r="A561" s="110" t="s">
        <v>823</v>
      </c>
      <c r="B561" s="110" t="s">
        <v>2079</v>
      </c>
      <c r="C561" s="110">
        <v>1.748</v>
      </c>
      <c r="D561" s="110" t="s">
        <v>2090</v>
      </c>
      <c r="E561" s="112">
        <v>43125</v>
      </c>
    </row>
    <row r="562" spans="1:5" ht="13.95" customHeight="1">
      <c r="A562" s="110" t="s">
        <v>822</v>
      </c>
      <c r="B562" s="110" t="s">
        <v>2073</v>
      </c>
      <c r="C562" s="110">
        <v>1.5328999999999999</v>
      </c>
      <c r="E562" s="112">
        <v>43122</v>
      </c>
    </row>
    <row r="563" spans="1:5" ht="13.95" customHeight="1">
      <c r="A563" s="110" t="s">
        <v>1109</v>
      </c>
      <c r="B563" s="110" t="s">
        <v>2073</v>
      </c>
      <c r="C563" s="110">
        <v>1.6146</v>
      </c>
      <c r="D563" s="110" t="s">
        <v>2121</v>
      </c>
      <c r="E563" s="112">
        <v>43122</v>
      </c>
    </row>
    <row r="564" spans="1:5" ht="13.95" customHeight="1">
      <c r="A564" s="110" t="s">
        <v>819</v>
      </c>
      <c r="B564" s="110">
        <v>168</v>
      </c>
      <c r="C564" s="110">
        <v>1.6950000000000001</v>
      </c>
      <c r="E564" s="112">
        <v>42881</v>
      </c>
    </row>
    <row r="565" spans="1:5" ht="13.95" customHeight="1">
      <c r="A565" s="110" t="s">
        <v>818</v>
      </c>
      <c r="B565" s="110" t="s">
        <v>2073</v>
      </c>
      <c r="C565" s="110">
        <v>1.425</v>
      </c>
      <c r="D565" s="110" t="s">
        <v>2119</v>
      </c>
      <c r="E565" s="112">
        <v>43122</v>
      </c>
    </row>
    <row r="566" spans="1:5" ht="13.95" customHeight="1">
      <c r="A566" s="110" t="s">
        <v>815</v>
      </c>
      <c r="B566" s="110">
        <v>176</v>
      </c>
      <c r="C566" s="110">
        <v>1.694</v>
      </c>
      <c r="E566" s="112">
        <v>42879</v>
      </c>
    </row>
    <row r="567" spans="1:5" ht="13.95" customHeight="1">
      <c r="A567" s="110" t="s">
        <v>813</v>
      </c>
      <c r="B567" s="110">
        <v>207</v>
      </c>
      <c r="C567" s="110">
        <v>1.609</v>
      </c>
      <c r="E567" s="112">
        <v>42879</v>
      </c>
    </row>
    <row r="568" spans="1:5" ht="13.95" customHeight="1">
      <c r="A568" s="110" t="s">
        <v>812</v>
      </c>
      <c r="B568" s="110">
        <v>87</v>
      </c>
      <c r="C568" s="110">
        <v>1.7085999999999999</v>
      </c>
      <c r="E568" s="112">
        <v>43125</v>
      </c>
    </row>
    <row r="569" spans="1:5" ht="13.95" customHeight="1">
      <c r="A569" s="110" t="s">
        <v>1108</v>
      </c>
      <c r="B569" s="110">
        <v>109</v>
      </c>
      <c r="C569" s="110">
        <v>1.5922000000000001</v>
      </c>
      <c r="E569" s="112">
        <v>43125</v>
      </c>
    </row>
    <row r="570" spans="1:5" ht="13.95" customHeight="1">
      <c r="A570" s="110" t="s">
        <v>811</v>
      </c>
      <c r="B570" s="110">
        <v>170</v>
      </c>
      <c r="C570" s="110">
        <v>1.7769999999999999</v>
      </c>
      <c r="E570" s="112">
        <v>42878</v>
      </c>
    </row>
    <row r="571" spans="1:5" ht="13.95" customHeight="1">
      <c r="A571" s="110" t="s">
        <v>810</v>
      </c>
      <c r="B571" s="110">
        <v>165</v>
      </c>
      <c r="C571" s="110">
        <v>1.724</v>
      </c>
      <c r="E571" s="112">
        <v>42878</v>
      </c>
    </row>
    <row r="572" spans="1:5" ht="13.95" customHeight="1">
      <c r="A572" s="110" t="s">
        <v>808</v>
      </c>
      <c r="B572" s="110">
        <v>65</v>
      </c>
      <c r="C572" s="110">
        <v>1.6319999999999999</v>
      </c>
      <c r="E572" s="112">
        <v>42879</v>
      </c>
    </row>
    <row r="573" spans="1:5" ht="13.95" customHeight="1">
      <c r="A573" s="110" t="s">
        <v>807</v>
      </c>
      <c r="B573" s="110" t="s">
        <v>2059</v>
      </c>
      <c r="C573" s="110">
        <v>1.544</v>
      </c>
      <c r="E573" s="112">
        <v>42879</v>
      </c>
    </row>
    <row r="574" spans="1:5" ht="13.95" customHeight="1">
      <c r="A574" s="110" t="s">
        <v>805</v>
      </c>
      <c r="B574" s="110" t="s">
        <v>2073</v>
      </c>
      <c r="C574" s="110">
        <v>1.671</v>
      </c>
      <c r="E574" s="112">
        <v>43122</v>
      </c>
    </row>
    <row r="575" spans="1:5" ht="13.95" customHeight="1">
      <c r="A575" s="110" t="s">
        <v>802</v>
      </c>
      <c r="B575" s="110">
        <v>199</v>
      </c>
      <c r="C575" s="110">
        <v>1.6160000000000001</v>
      </c>
      <c r="E575" s="112">
        <v>42881</v>
      </c>
    </row>
    <row r="576" spans="1:5" ht="13.95" customHeight="1">
      <c r="A576" s="110" t="s">
        <v>1107</v>
      </c>
      <c r="B576" s="110">
        <v>137</v>
      </c>
      <c r="C576" s="110">
        <v>1.571</v>
      </c>
      <c r="E576" s="112">
        <v>42879</v>
      </c>
    </row>
    <row r="577" spans="1:6" ht="13.95" customHeight="1">
      <c r="A577" s="110" t="s">
        <v>801</v>
      </c>
      <c r="B577" s="110" t="s">
        <v>2073</v>
      </c>
      <c r="C577" s="110">
        <v>1.6197999999999999</v>
      </c>
      <c r="E577" s="112">
        <v>43119</v>
      </c>
    </row>
    <row r="578" spans="1:6" ht="13.95" customHeight="1">
      <c r="A578" s="110" t="s">
        <v>800</v>
      </c>
      <c r="B578" s="110">
        <v>163</v>
      </c>
      <c r="C578" s="110">
        <v>1.738</v>
      </c>
      <c r="E578" s="112">
        <v>42881</v>
      </c>
    </row>
    <row r="579" spans="1:6" ht="13.95" customHeight="1">
      <c r="A579" s="110" t="s">
        <v>799</v>
      </c>
      <c r="B579" s="110" t="s">
        <v>2073</v>
      </c>
      <c r="C579" s="110">
        <v>1.5906</v>
      </c>
      <c r="E579" s="112">
        <v>43119</v>
      </c>
    </row>
    <row r="580" spans="1:6" ht="13.95" customHeight="1">
      <c r="A580" s="110" t="s">
        <v>798</v>
      </c>
      <c r="B580" s="110">
        <v>91</v>
      </c>
      <c r="C580" s="110">
        <v>0.16200000000000001</v>
      </c>
      <c r="D580" s="110" t="s">
        <v>2131</v>
      </c>
      <c r="E580" s="112">
        <v>42878</v>
      </c>
    </row>
    <row r="581" spans="1:6" ht="13.95" customHeight="1">
      <c r="A581" s="110" t="s">
        <v>797</v>
      </c>
      <c r="B581" s="110">
        <v>208</v>
      </c>
      <c r="C581" s="110">
        <v>1.476</v>
      </c>
      <c r="E581" s="112">
        <v>42879</v>
      </c>
    </row>
    <row r="582" spans="1:6" ht="13.95" customHeight="1">
      <c r="A582" s="110" t="s">
        <v>795</v>
      </c>
      <c r="B582" s="110">
        <v>192</v>
      </c>
      <c r="C582" s="110">
        <v>1.6679999999999999</v>
      </c>
      <c r="E582" s="112">
        <v>42881</v>
      </c>
    </row>
    <row r="583" spans="1:6" ht="13.95" customHeight="1">
      <c r="A583" s="180" t="s">
        <v>792</v>
      </c>
      <c r="B583" s="180">
        <v>29</v>
      </c>
      <c r="C583" s="180">
        <f>D583+1.2602</f>
        <v>1.4108000000000001</v>
      </c>
      <c r="D583" s="180">
        <f>0.1218+0.0288</f>
        <v>0.15060000000000001</v>
      </c>
      <c r="E583" s="412">
        <v>43441</v>
      </c>
      <c r="F583" s="180" t="s">
        <v>3924</v>
      </c>
    </row>
    <row r="584" spans="1:6" ht="13.95" customHeight="1">
      <c r="A584" s="110" t="s">
        <v>1106</v>
      </c>
      <c r="B584" s="110">
        <v>157</v>
      </c>
      <c r="C584" s="110">
        <v>1.994</v>
      </c>
      <c r="E584" s="112">
        <v>42879</v>
      </c>
    </row>
    <row r="585" spans="1:6" ht="13.95" customHeight="1">
      <c r="A585" s="110" t="s">
        <v>788</v>
      </c>
      <c r="B585" s="110">
        <v>172</v>
      </c>
      <c r="C585" s="110">
        <v>1.7694000000000001</v>
      </c>
      <c r="E585" s="112">
        <v>43123</v>
      </c>
    </row>
    <row r="586" spans="1:6" ht="13.95" customHeight="1">
      <c r="A586" s="110" t="s">
        <v>787</v>
      </c>
      <c r="B586" s="110">
        <v>189</v>
      </c>
      <c r="C586" s="110">
        <v>1.7630999999999999</v>
      </c>
      <c r="E586" s="112">
        <v>43125</v>
      </c>
    </row>
    <row r="587" spans="1:6" ht="13.95" customHeight="1">
      <c r="A587" s="110" t="s">
        <v>785</v>
      </c>
      <c r="B587" s="110">
        <v>219</v>
      </c>
      <c r="C587" s="110">
        <v>1.4823</v>
      </c>
      <c r="E587" s="112">
        <v>43125</v>
      </c>
    </row>
    <row r="588" spans="1:6" ht="13.95" customHeight="1">
      <c r="A588" s="110" t="s">
        <v>782</v>
      </c>
      <c r="B588" s="110" t="s">
        <v>2073</v>
      </c>
      <c r="C588" s="110">
        <v>1.4882</v>
      </c>
      <c r="D588" s="110" t="s">
        <v>2121</v>
      </c>
      <c r="E588" s="112">
        <v>43122</v>
      </c>
    </row>
    <row r="589" spans="1:6" ht="13.95" customHeight="1">
      <c r="A589" s="110" t="s">
        <v>781</v>
      </c>
      <c r="B589" s="110">
        <v>95</v>
      </c>
      <c r="C589" s="110">
        <v>0.45800000000000002</v>
      </c>
      <c r="D589" s="110" t="s">
        <v>2054</v>
      </c>
      <c r="E589" s="112">
        <v>42879</v>
      </c>
    </row>
    <row r="590" spans="1:6" ht="13.95" customHeight="1">
      <c r="A590" s="110" t="s">
        <v>779</v>
      </c>
      <c r="B590" s="110" t="s">
        <v>2073</v>
      </c>
      <c r="C590" s="110">
        <v>1.5253000000000001</v>
      </c>
      <c r="E590" s="112">
        <v>43122</v>
      </c>
    </row>
    <row r="591" spans="1:6" ht="13.95" customHeight="1">
      <c r="A591" s="110" t="s">
        <v>778</v>
      </c>
      <c r="B591" s="110" t="s">
        <v>2073</v>
      </c>
      <c r="C591" s="110">
        <v>1.5164</v>
      </c>
      <c r="E591" s="112">
        <v>43122</v>
      </c>
    </row>
    <row r="592" spans="1:6" ht="13.95" customHeight="1">
      <c r="A592" s="110" t="s">
        <v>777</v>
      </c>
      <c r="B592" s="110" t="s">
        <v>2073</v>
      </c>
      <c r="C592" s="110">
        <v>1.3913</v>
      </c>
      <c r="E592" s="112">
        <v>43122</v>
      </c>
    </row>
    <row r="593" spans="1:12" ht="13.95" customHeight="1">
      <c r="A593" s="110" t="s">
        <v>773</v>
      </c>
      <c r="B593" s="110">
        <v>82</v>
      </c>
      <c r="C593" s="110">
        <v>1.704</v>
      </c>
      <c r="E593" s="112">
        <v>42879</v>
      </c>
    </row>
    <row r="594" spans="1:12" ht="13.95" customHeight="1">
      <c r="A594" t="s">
        <v>772</v>
      </c>
      <c r="B594" s="110">
        <v>199</v>
      </c>
      <c r="C594" s="110">
        <v>1.667</v>
      </c>
      <c r="E594" s="112">
        <v>42881</v>
      </c>
    </row>
    <row r="595" spans="1:12" ht="13.95" customHeight="1">
      <c r="A595" s="110" t="s">
        <v>1104</v>
      </c>
      <c r="B595" s="110">
        <v>114</v>
      </c>
      <c r="C595" s="110">
        <v>1.504</v>
      </c>
      <c r="E595" s="112">
        <v>42878</v>
      </c>
    </row>
    <row r="596" spans="1:12" ht="13.95" customHeight="1">
      <c r="A596" s="110" t="s">
        <v>771</v>
      </c>
      <c r="B596" s="110" t="s">
        <v>2073</v>
      </c>
      <c r="C596" s="110">
        <v>1.488</v>
      </c>
      <c r="E596" s="112">
        <v>43122</v>
      </c>
    </row>
    <row r="597" spans="1:12" ht="13.95" customHeight="1">
      <c r="A597" s="110" t="s">
        <v>770</v>
      </c>
      <c r="B597" s="110">
        <v>42</v>
      </c>
      <c r="C597" s="110">
        <v>1.649</v>
      </c>
      <c r="E597" s="112">
        <v>42881</v>
      </c>
    </row>
    <row r="598" spans="1:12" ht="13.95" customHeight="1">
      <c r="A598" s="110" t="s">
        <v>769</v>
      </c>
      <c r="B598" s="110" t="s">
        <v>2073</v>
      </c>
      <c r="C598" s="110">
        <v>1.6213</v>
      </c>
      <c r="E598" s="112">
        <v>43119</v>
      </c>
    </row>
    <row r="599" spans="1:12" ht="13.95" customHeight="1">
      <c r="A599" s="110" t="s">
        <v>766</v>
      </c>
      <c r="B599" s="110" t="s">
        <v>2073</v>
      </c>
      <c r="C599" s="110">
        <v>1.3742000000000001</v>
      </c>
      <c r="E599" s="112">
        <v>43116</v>
      </c>
    </row>
    <row r="600" spans="1:12" ht="13.95" customHeight="1">
      <c r="A600" s="167" t="s">
        <v>765</v>
      </c>
      <c r="B600" s="110">
        <v>43</v>
      </c>
      <c r="C600" s="110">
        <v>1.3532999999999999</v>
      </c>
      <c r="D600" s="166" t="s">
        <v>2455</v>
      </c>
      <c r="E600" s="112">
        <v>43123</v>
      </c>
    </row>
    <row r="601" spans="1:12" ht="13.95" customHeight="1">
      <c r="A601" s="110" t="s">
        <v>763</v>
      </c>
      <c r="B601" s="110">
        <v>195</v>
      </c>
      <c r="C601" s="110">
        <v>1.5296000000000001</v>
      </c>
      <c r="D601" s="110" t="s">
        <v>2083</v>
      </c>
      <c r="E601" s="112">
        <v>43125</v>
      </c>
    </row>
    <row r="602" spans="1:12" ht="13.95" customHeight="1">
      <c r="A602" s="110" t="s">
        <v>1103</v>
      </c>
      <c r="B602" s="110" t="s">
        <v>2073</v>
      </c>
      <c r="C602" s="110">
        <v>1.2627999999999999</v>
      </c>
      <c r="E602" s="112">
        <v>43122</v>
      </c>
    </row>
    <row r="603" spans="1:12" ht="13.95" customHeight="1">
      <c r="A603" s="110" t="s">
        <v>761</v>
      </c>
      <c r="B603" s="110" t="s">
        <v>2073</v>
      </c>
      <c r="C603" s="110">
        <v>1.6271</v>
      </c>
      <c r="D603" s="110" t="s">
        <v>2115</v>
      </c>
      <c r="E603" s="112">
        <v>43116</v>
      </c>
    </row>
    <row r="604" spans="1:12" ht="13.95" customHeight="1">
      <c r="A604" s="110" t="s">
        <v>760</v>
      </c>
      <c r="B604" s="110">
        <v>221</v>
      </c>
      <c r="C604" s="110">
        <v>1.528</v>
      </c>
      <c r="E604" s="112">
        <v>42878</v>
      </c>
      <c r="J604" s="113"/>
      <c r="L604" s="113"/>
    </row>
    <row r="605" spans="1:12" ht="13.95" customHeight="1">
      <c r="A605" s="110" t="s">
        <v>759</v>
      </c>
      <c r="B605" s="110">
        <v>14</v>
      </c>
      <c r="C605" s="110">
        <v>1.794</v>
      </c>
      <c r="E605" s="112">
        <v>42881</v>
      </c>
    </row>
    <row r="606" spans="1:12" ht="13.95" customHeight="1">
      <c r="A606" s="110" t="s">
        <v>758</v>
      </c>
      <c r="B606" s="110">
        <v>214</v>
      </c>
      <c r="C606" s="110">
        <v>1.587</v>
      </c>
      <c r="E606" s="112">
        <v>42878</v>
      </c>
      <c r="G606" s="113" t="s">
        <v>2062</v>
      </c>
    </row>
    <row r="607" spans="1:12" ht="13.95" customHeight="1">
      <c r="A607" s="110" t="s">
        <v>757</v>
      </c>
      <c r="B607" s="110">
        <v>174</v>
      </c>
      <c r="C607" s="110">
        <v>1.772</v>
      </c>
      <c r="E607" s="112">
        <v>42881</v>
      </c>
      <c r="G607" s="113" t="s">
        <v>2062</v>
      </c>
    </row>
    <row r="608" spans="1:12" ht="13.95" customHeight="1">
      <c r="A608" s="110" t="s">
        <v>755</v>
      </c>
      <c r="B608" s="110" t="s">
        <v>2079</v>
      </c>
      <c r="C608" s="110">
        <v>1.5941000000000001</v>
      </c>
      <c r="D608" s="166" t="s">
        <v>2459</v>
      </c>
      <c r="E608" s="112">
        <v>43125</v>
      </c>
      <c r="G608" s="113" t="s">
        <v>2062</v>
      </c>
    </row>
    <row r="609" spans="1:5" ht="13.95" customHeight="1">
      <c r="A609" s="110" t="s">
        <v>754</v>
      </c>
      <c r="B609" s="110" t="s">
        <v>2073</v>
      </c>
      <c r="C609" s="110">
        <v>1.6520999999999999</v>
      </c>
      <c r="E609" s="112">
        <v>43122</v>
      </c>
    </row>
    <row r="610" spans="1:5" ht="13.95" customHeight="1">
      <c r="A610" s="110" t="s">
        <v>1102</v>
      </c>
      <c r="B610" s="110">
        <v>124</v>
      </c>
      <c r="C610" s="110">
        <v>1.4910000000000001</v>
      </c>
      <c r="E610" s="112">
        <v>42881</v>
      </c>
    </row>
    <row r="611" spans="1:5" ht="13.95" customHeight="1">
      <c r="A611" t="s">
        <v>751</v>
      </c>
      <c r="B611" s="110">
        <v>60</v>
      </c>
      <c r="C611" s="110">
        <v>1.5309999999999999</v>
      </c>
      <c r="D611" s="110" t="s">
        <v>2067</v>
      </c>
      <c r="E611" s="112">
        <v>42879</v>
      </c>
    </row>
    <row r="612" spans="1:5" ht="13.95" customHeight="1">
      <c r="A612" s="110" t="s">
        <v>750</v>
      </c>
      <c r="B612" s="110">
        <v>85</v>
      </c>
      <c r="C612" s="110">
        <v>1.6220000000000001</v>
      </c>
      <c r="E612" s="112">
        <v>42878</v>
      </c>
    </row>
    <row r="613" spans="1:5" ht="13.95" customHeight="1">
      <c r="A613" s="110" t="s">
        <v>749</v>
      </c>
      <c r="B613" s="110" t="s">
        <v>2073</v>
      </c>
      <c r="C613" s="110">
        <v>1.6165</v>
      </c>
      <c r="E613" s="112">
        <v>43122</v>
      </c>
    </row>
    <row r="614" spans="1:5" ht="13.95" customHeight="1">
      <c r="A614" s="110" t="s">
        <v>748</v>
      </c>
      <c r="B614" s="110" t="s">
        <v>2073</v>
      </c>
      <c r="C614" s="110">
        <v>1.6598999999999999</v>
      </c>
      <c r="E614" s="112">
        <v>43116</v>
      </c>
    </row>
    <row r="615" spans="1:5" ht="13.95" customHeight="1">
      <c r="A615" s="110" t="s">
        <v>746</v>
      </c>
      <c r="B615" s="110">
        <v>201</v>
      </c>
      <c r="C615" s="110">
        <v>1.5786</v>
      </c>
      <c r="D615" s="110" t="s">
        <v>2111</v>
      </c>
      <c r="E615" s="112">
        <v>43116</v>
      </c>
    </row>
    <row r="616" spans="1:5" ht="13.95" customHeight="1">
      <c r="A616" s="110" t="s">
        <v>745</v>
      </c>
      <c r="B616" s="110" t="s">
        <v>2073</v>
      </c>
      <c r="C616" s="110">
        <v>1.3464</v>
      </c>
      <c r="E616" s="112">
        <v>43122</v>
      </c>
    </row>
    <row r="617" spans="1:5" ht="13.95" customHeight="1">
      <c r="A617" s="110" t="s">
        <v>743</v>
      </c>
      <c r="B617" s="110">
        <v>7</v>
      </c>
      <c r="C617" s="110">
        <v>1.518</v>
      </c>
      <c r="E617" s="112">
        <v>42879</v>
      </c>
    </row>
    <row r="618" spans="1:5" ht="13.95" customHeight="1">
      <c r="A618" s="110" t="s">
        <v>1137</v>
      </c>
      <c r="B618" s="110">
        <v>92</v>
      </c>
      <c r="C618" s="110">
        <v>1.6779999999999999</v>
      </c>
      <c r="E618" s="112">
        <v>42879</v>
      </c>
    </row>
    <row r="619" spans="1:5" ht="13.95" customHeight="1">
      <c r="A619" s="110" t="s">
        <v>1101</v>
      </c>
      <c r="B619" s="110">
        <v>145</v>
      </c>
      <c r="C619" s="110">
        <v>1.589</v>
      </c>
      <c r="E619" s="112">
        <v>42878</v>
      </c>
    </row>
    <row r="620" spans="1:5" ht="13.95" customHeight="1">
      <c r="A620" s="110" t="s">
        <v>738</v>
      </c>
      <c r="B620" s="110">
        <v>169</v>
      </c>
      <c r="C620" s="110">
        <v>1.736</v>
      </c>
      <c r="E620" s="112">
        <v>42879</v>
      </c>
    </row>
    <row r="621" spans="1:5" ht="13.95" customHeight="1">
      <c r="A621" s="110" t="s">
        <v>737</v>
      </c>
      <c r="B621" s="110" t="s">
        <v>2073</v>
      </c>
      <c r="C621" s="110">
        <v>0.15579999999999999</v>
      </c>
      <c r="D621" s="110" t="s">
        <v>2141</v>
      </c>
      <c r="E621" s="112">
        <v>43116</v>
      </c>
    </row>
    <row r="622" spans="1:5" ht="13.95" customHeight="1">
      <c r="A622" s="110" t="s">
        <v>735</v>
      </c>
      <c r="B622" s="110" t="s">
        <v>2073</v>
      </c>
      <c r="C622" s="110">
        <v>1.4278999999999999</v>
      </c>
      <c r="E622" s="112">
        <v>43123</v>
      </c>
    </row>
    <row r="623" spans="1:5" ht="13.95" customHeight="1">
      <c r="A623" s="110" t="s">
        <v>733</v>
      </c>
      <c r="B623" s="110">
        <v>87</v>
      </c>
      <c r="C623" s="110">
        <v>0.3599</v>
      </c>
      <c r="D623" s="110" t="s">
        <v>2101</v>
      </c>
      <c r="E623" s="112">
        <v>43125</v>
      </c>
    </row>
    <row r="624" spans="1:5" ht="13.95" customHeight="1">
      <c r="A624" s="110" t="s">
        <v>1100</v>
      </c>
      <c r="B624" s="110">
        <v>112</v>
      </c>
      <c r="C624" s="110">
        <v>1.6910000000000001</v>
      </c>
      <c r="E624" s="112">
        <v>42878</v>
      </c>
    </row>
    <row r="625" spans="1:5" ht="13.95" customHeight="1">
      <c r="A625" s="110" t="s">
        <v>731</v>
      </c>
      <c r="B625" s="110">
        <v>217</v>
      </c>
      <c r="C625" s="110">
        <v>1.488</v>
      </c>
      <c r="E625" s="112">
        <v>42881</v>
      </c>
    </row>
    <row r="626" spans="1:5" ht="13.95" customHeight="1">
      <c r="A626" s="110" t="s">
        <v>730</v>
      </c>
      <c r="B626" s="110">
        <v>165</v>
      </c>
      <c r="C626" s="110">
        <v>1.728</v>
      </c>
      <c r="E626" s="112">
        <v>42878</v>
      </c>
    </row>
    <row r="627" spans="1:5" ht="13.95" customHeight="1">
      <c r="A627" s="110" t="s">
        <v>729</v>
      </c>
      <c r="B627" s="110">
        <v>214</v>
      </c>
      <c r="C627" s="110">
        <v>1.4850000000000001</v>
      </c>
      <c r="E627" s="112">
        <v>42878</v>
      </c>
    </row>
    <row r="628" spans="1:5" ht="13.95" customHeight="1">
      <c r="A628" s="110" t="s">
        <v>727</v>
      </c>
      <c r="B628" s="110">
        <v>69</v>
      </c>
      <c r="C628" s="110">
        <v>2.403</v>
      </c>
      <c r="E628" s="112">
        <v>42881</v>
      </c>
    </row>
    <row r="629" spans="1:5" ht="13.95" customHeight="1">
      <c r="A629" s="110" t="s">
        <v>726</v>
      </c>
      <c r="B629" s="110">
        <v>15</v>
      </c>
      <c r="C629" s="110">
        <v>2.96</v>
      </c>
      <c r="D629" s="110" t="s">
        <v>2065</v>
      </c>
      <c r="E629" s="112">
        <v>42879</v>
      </c>
    </row>
    <row r="630" spans="1:5" ht="13.95" customHeight="1">
      <c r="A630" s="110" t="s">
        <v>724</v>
      </c>
      <c r="B630" s="110">
        <v>84</v>
      </c>
      <c r="C630" s="110">
        <v>1.5820000000000001</v>
      </c>
      <c r="E630" s="112">
        <v>42881</v>
      </c>
    </row>
    <row r="631" spans="1:5" ht="13.95" customHeight="1">
      <c r="A631" s="110" t="s">
        <v>723</v>
      </c>
      <c r="B631" s="110">
        <v>128</v>
      </c>
      <c r="C631" s="110">
        <v>1.4119999999999999</v>
      </c>
      <c r="E631" s="112">
        <v>42879</v>
      </c>
    </row>
    <row r="632" spans="1:5" ht="13.95" customHeight="1">
      <c r="A632" s="110" t="s">
        <v>1099</v>
      </c>
      <c r="B632" s="110">
        <v>61</v>
      </c>
      <c r="C632" s="110">
        <v>0.182</v>
      </c>
      <c r="D632" s="110" t="s">
        <v>2080</v>
      </c>
      <c r="E632" s="112">
        <v>42878</v>
      </c>
    </row>
    <row r="633" spans="1:5" ht="13.95" customHeight="1">
      <c r="A633" s="110" t="s">
        <v>721</v>
      </c>
      <c r="B633" s="110">
        <v>40</v>
      </c>
      <c r="C633" s="110">
        <v>1.66</v>
      </c>
      <c r="E633" s="112">
        <v>42881</v>
      </c>
    </row>
    <row r="634" spans="1:5" ht="13.95" customHeight="1">
      <c r="A634" s="110" t="s">
        <v>720</v>
      </c>
      <c r="B634" s="110">
        <v>160</v>
      </c>
      <c r="C634" s="110">
        <v>1.744</v>
      </c>
      <c r="E634" s="112">
        <v>42879</v>
      </c>
    </row>
    <row r="635" spans="1:5" ht="13.95" customHeight="1">
      <c r="A635" s="110" t="s">
        <v>718</v>
      </c>
      <c r="B635" s="110">
        <v>63</v>
      </c>
      <c r="C635" s="110">
        <v>1.6359999999999999</v>
      </c>
      <c r="E635" s="112">
        <v>42879</v>
      </c>
    </row>
    <row r="636" spans="1:5" ht="13.95" customHeight="1">
      <c r="A636" s="110" t="s">
        <v>717</v>
      </c>
      <c r="B636" s="110">
        <v>127</v>
      </c>
      <c r="C636" s="110">
        <v>1.552</v>
      </c>
      <c r="E636" s="112">
        <v>42879</v>
      </c>
    </row>
    <row r="637" spans="1:5" ht="13.95" customHeight="1">
      <c r="A637" s="110" t="s">
        <v>715</v>
      </c>
      <c r="B637" s="110">
        <v>138</v>
      </c>
      <c r="C637" s="110">
        <v>1.613</v>
      </c>
      <c r="E637" s="112">
        <v>42879</v>
      </c>
    </row>
    <row r="638" spans="1:5" ht="13.95" customHeight="1">
      <c r="A638" s="110" t="s">
        <v>714</v>
      </c>
      <c r="B638" s="110" t="s">
        <v>2073</v>
      </c>
      <c r="C638" s="110">
        <v>1.6979</v>
      </c>
      <c r="E638" s="112">
        <v>43119</v>
      </c>
    </row>
    <row r="639" spans="1:5" ht="13.95" customHeight="1">
      <c r="A639" s="110" t="s">
        <v>713</v>
      </c>
      <c r="B639" s="110">
        <v>113</v>
      </c>
      <c r="C639" s="110">
        <v>1.768</v>
      </c>
      <c r="E639" s="112">
        <v>42878</v>
      </c>
    </row>
    <row r="640" spans="1:5" ht="13.95" customHeight="1">
      <c r="A640" s="110" t="s">
        <v>712</v>
      </c>
      <c r="B640" s="110">
        <v>122</v>
      </c>
      <c r="C640" s="110">
        <v>1.2190000000000001</v>
      </c>
      <c r="E640" s="112">
        <v>42878</v>
      </c>
    </row>
    <row r="641" spans="1:5" ht="13.95" customHeight="1">
      <c r="A641" s="110" t="s">
        <v>711</v>
      </c>
      <c r="B641" s="110">
        <v>103</v>
      </c>
      <c r="C641" s="110">
        <v>1.629</v>
      </c>
      <c r="E641" s="112">
        <v>42881</v>
      </c>
    </row>
    <row r="642" spans="1:5" ht="13.95" customHeight="1">
      <c r="A642" s="110" t="s">
        <v>709</v>
      </c>
      <c r="B642" s="110">
        <v>135</v>
      </c>
      <c r="C642" s="110">
        <v>1.6830000000000001</v>
      </c>
      <c r="E642" s="112">
        <v>42881</v>
      </c>
    </row>
    <row r="643" spans="1:5" ht="13.95" customHeight="1">
      <c r="A643" s="110" t="s">
        <v>708</v>
      </c>
      <c r="B643" s="110">
        <v>130</v>
      </c>
      <c r="C643" s="110">
        <v>1.5069999999999999</v>
      </c>
      <c r="E643" s="112">
        <v>42879</v>
      </c>
    </row>
    <row r="644" spans="1:5" ht="13.95" customHeight="1">
      <c r="A644" s="110" t="s">
        <v>707</v>
      </c>
      <c r="B644" s="110" t="s">
        <v>2073</v>
      </c>
      <c r="C644" s="110">
        <v>1.5467</v>
      </c>
      <c r="E644" s="112">
        <v>43122</v>
      </c>
    </row>
    <row r="645" spans="1:5" ht="13.95" customHeight="1">
      <c r="A645" s="110" t="s">
        <v>706</v>
      </c>
      <c r="B645" s="110">
        <v>57</v>
      </c>
      <c r="C645" s="116">
        <v>1.4594</v>
      </c>
      <c r="E645" s="112">
        <v>43116</v>
      </c>
    </row>
    <row r="646" spans="1:5" ht="13.95" customHeight="1">
      <c r="A646" s="110" t="s">
        <v>705</v>
      </c>
      <c r="B646" s="110" t="s">
        <v>2073</v>
      </c>
      <c r="C646" s="110">
        <v>1.5295000000000001</v>
      </c>
      <c r="E646" s="112">
        <v>43122</v>
      </c>
    </row>
    <row r="647" spans="1:5" ht="13.95" customHeight="1">
      <c r="A647" s="110" t="s">
        <v>704</v>
      </c>
      <c r="B647" s="110">
        <v>39</v>
      </c>
      <c r="C647" s="110">
        <v>1.4531000000000001</v>
      </c>
      <c r="D647" s="110" t="s">
        <v>2111</v>
      </c>
      <c r="E647" s="112">
        <v>43123</v>
      </c>
    </row>
    <row r="648" spans="1:5" ht="13.95" customHeight="1">
      <c r="A648" s="110" t="s">
        <v>703</v>
      </c>
      <c r="B648" s="110" t="s">
        <v>2073</v>
      </c>
      <c r="C648" s="110">
        <v>0.17480000000000001</v>
      </c>
      <c r="D648" s="110" t="s">
        <v>2141</v>
      </c>
      <c r="E648" s="112">
        <v>43116</v>
      </c>
    </row>
    <row r="649" spans="1:5" ht="13.95" customHeight="1">
      <c r="A649" s="110" t="s">
        <v>1097</v>
      </c>
      <c r="B649" s="110">
        <v>67</v>
      </c>
      <c r="C649" s="110">
        <v>1.5427999999999999</v>
      </c>
      <c r="E649" s="112">
        <v>43125</v>
      </c>
    </row>
    <row r="650" spans="1:5" ht="13.95" customHeight="1">
      <c r="A650" s="110" t="s">
        <v>701</v>
      </c>
      <c r="B650" s="110" t="s">
        <v>2073</v>
      </c>
      <c r="C650" s="110">
        <v>1.6322000000000001</v>
      </c>
      <c r="E650" s="112">
        <v>43116</v>
      </c>
    </row>
    <row r="651" spans="1:5" ht="13.95" customHeight="1">
      <c r="A651" s="110" t="s">
        <v>699</v>
      </c>
      <c r="B651" s="110" t="s">
        <v>2073</v>
      </c>
      <c r="C651" s="110">
        <v>1.3831</v>
      </c>
      <c r="E651" s="112">
        <v>43116</v>
      </c>
    </row>
    <row r="652" spans="1:5" ht="13.95" customHeight="1">
      <c r="A652" s="110" t="s">
        <v>697</v>
      </c>
      <c r="B652" s="110" t="s">
        <v>2073</v>
      </c>
      <c r="C652" s="110">
        <v>1.7522</v>
      </c>
      <c r="E652" s="112">
        <v>43116</v>
      </c>
    </row>
    <row r="653" spans="1:5" ht="13.95" customHeight="1">
      <c r="A653" s="110" t="s">
        <v>696</v>
      </c>
      <c r="B653" s="110">
        <v>92</v>
      </c>
      <c r="C653" s="110">
        <v>0.31</v>
      </c>
      <c r="E653" s="112">
        <v>42879</v>
      </c>
    </row>
    <row r="654" spans="1:5" ht="13.95" customHeight="1">
      <c r="A654" s="110" t="s">
        <v>695</v>
      </c>
      <c r="B654" s="110" t="s">
        <v>2073</v>
      </c>
      <c r="C654" s="110">
        <v>1.4224000000000001</v>
      </c>
      <c r="E654" s="112">
        <v>43122</v>
      </c>
    </row>
    <row r="655" spans="1:5" ht="13.95" customHeight="1">
      <c r="A655" s="110" t="s">
        <v>694</v>
      </c>
      <c r="B655" s="110">
        <v>151</v>
      </c>
      <c r="C655" s="110">
        <v>1.782</v>
      </c>
      <c r="E655" s="112">
        <v>42879</v>
      </c>
    </row>
    <row r="656" spans="1:5" ht="13.95" customHeight="1">
      <c r="A656" s="110" t="s">
        <v>693</v>
      </c>
      <c r="B656" s="110">
        <v>62</v>
      </c>
      <c r="C656" s="110">
        <v>1.5379</v>
      </c>
      <c r="E656" s="112">
        <v>43125</v>
      </c>
    </row>
    <row r="657" spans="1:5" ht="13.95" customHeight="1">
      <c r="A657" s="110" t="s">
        <v>692</v>
      </c>
      <c r="B657" s="110">
        <v>208</v>
      </c>
      <c r="C657" s="110">
        <v>1.611</v>
      </c>
      <c r="E657" s="112">
        <v>42879</v>
      </c>
    </row>
    <row r="658" spans="1:5" ht="13.95" customHeight="1">
      <c r="A658" s="110" t="s">
        <v>1096</v>
      </c>
      <c r="B658" s="110" t="s">
        <v>2073</v>
      </c>
      <c r="C658" s="110">
        <v>1.4908999999999999</v>
      </c>
      <c r="E658" s="112">
        <v>43119</v>
      </c>
    </row>
    <row r="659" spans="1:5" ht="13.95" customHeight="1">
      <c r="A659" s="110" t="s">
        <v>691</v>
      </c>
      <c r="B659" s="110" t="s">
        <v>2079</v>
      </c>
      <c r="C659" s="110">
        <v>0.91920000000000002</v>
      </c>
      <c r="D659" s="110" t="s">
        <v>2093</v>
      </c>
      <c r="E659" s="112">
        <v>43125</v>
      </c>
    </row>
    <row r="660" spans="1:5" ht="13.95" customHeight="1">
      <c r="A660" s="110" t="s">
        <v>690</v>
      </c>
      <c r="B660" s="110">
        <v>171</v>
      </c>
      <c r="C660" s="110">
        <v>1.629</v>
      </c>
      <c r="E660" s="112">
        <v>42878</v>
      </c>
    </row>
    <row r="661" spans="1:5" ht="13.95" customHeight="1">
      <c r="A661" s="110" t="s">
        <v>689</v>
      </c>
      <c r="B661" s="110">
        <v>33</v>
      </c>
      <c r="C661" s="110">
        <v>1.6020000000000001</v>
      </c>
      <c r="E661" s="112">
        <v>42881</v>
      </c>
    </row>
    <row r="662" spans="1:5" ht="13.95" customHeight="1">
      <c r="A662" s="110" t="s">
        <v>688</v>
      </c>
      <c r="B662" s="110">
        <v>169</v>
      </c>
      <c r="C662" s="110">
        <v>0.14299999999999999</v>
      </c>
      <c r="D662" s="110" t="s">
        <v>2054</v>
      </c>
      <c r="E662" s="112">
        <v>42879</v>
      </c>
    </row>
    <row r="663" spans="1:5" ht="13.95" customHeight="1">
      <c r="A663" s="110" t="s">
        <v>687</v>
      </c>
      <c r="B663" s="110">
        <v>120</v>
      </c>
      <c r="C663" s="110">
        <v>0.3876</v>
      </c>
      <c r="D663" s="110" t="s">
        <v>2104</v>
      </c>
      <c r="E663" s="112">
        <v>43125</v>
      </c>
    </row>
    <row r="664" spans="1:5" ht="13.95" customHeight="1">
      <c r="A664" s="110" t="s">
        <v>685</v>
      </c>
      <c r="B664" s="110">
        <v>143</v>
      </c>
      <c r="C664" s="110">
        <v>1.6178999999999999</v>
      </c>
      <c r="E664" s="112">
        <v>43125</v>
      </c>
    </row>
    <row r="665" spans="1:5" ht="13.95" customHeight="1">
      <c r="A665" s="181" t="s">
        <v>684</v>
      </c>
      <c r="B665" s="110">
        <v>216</v>
      </c>
      <c r="C665" s="110">
        <v>1.5940000000000001</v>
      </c>
      <c r="E665" s="112">
        <v>42879</v>
      </c>
    </row>
    <row r="666" spans="1:5" ht="13.95" customHeight="1">
      <c r="A666" s="110" t="s">
        <v>683</v>
      </c>
      <c r="B666" s="110">
        <v>175</v>
      </c>
      <c r="C666" s="110">
        <v>0.61699999999999999</v>
      </c>
      <c r="E666" s="112">
        <v>42879</v>
      </c>
    </row>
    <row r="667" spans="1:5" ht="13.95" customHeight="1">
      <c r="A667" s="110" t="s">
        <v>682</v>
      </c>
      <c r="B667" s="110">
        <v>116</v>
      </c>
      <c r="C667" s="110">
        <v>0.68710000000000004</v>
      </c>
      <c r="D667" s="110" t="s">
        <v>2076</v>
      </c>
      <c r="E667" s="112">
        <v>43125</v>
      </c>
    </row>
    <row r="668" spans="1:5" ht="13.95" customHeight="1">
      <c r="A668" s="110" t="s">
        <v>1095</v>
      </c>
      <c r="B668" s="110">
        <v>129</v>
      </c>
      <c r="C668" s="110">
        <v>0.48970000000000002</v>
      </c>
      <c r="D668" s="110" t="s">
        <v>2077</v>
      </c>
      <c r="E668" s="112">
        <v>43125</v>
      </c>
    </row>
    <row r="669" spans="1:5" ht="13.95" customHeight="1">
      <c r="A669" s="181" t="s">
        <v>681</v>
      </c>
      <c r="B669" s="110">
        <v>142</v>
      </c>
      <c r="C669" s="110">
        <v>0.14299999999999999</v>
      </c>
      <c r="D669" s="110" t="s">
        <v>2054</v>
      </c>
      <c r="E669" s="112">
        <v>42881</v>
      </c>
    </row>
    <row r="670" spans="1:5" ht="13.95" customHeight="1">
      <c r="A670" s="110" t="s">
        <v>680</v>
      </c>
      <c r="B670" s="110">
        <v>160</v>
      </c>
      <c r="C670" s="110">
        <v>1.744</v>
      </c>
      <c r="E670" s="112">
        <v>42879</v>
      </c>
    </row>
    <row r="671" spans="1:5" ht="13.95" customHeight="1">
      <c r="A671" s="110" t="s">
        <v>679</v>
      </c>
      <c r="B671" s="110" t="s">
        <v>2073</v>
      </c>
      <c r="C671" s="110">
        <v>1.5465</v>
      </c>
      <c r="D671" s="110" t="s">
        <v>2116</v>
      </c>
      <c r="E671" s="112">
        <v>43122</v>
      </c>
    </row>
    <row r="672" spans="1:5" ht="13.95" customHeight="1">
      <c r="A672" s="110" t="s">
        <v>678</v>
      </c>
      <c r="B672" s="110">
        <v>198</v>
      </c>
      <c r="C672" s="110">
        <v>1.5485</v>
      </c>
      <c r="E672" s="112">
        <v>43125</v>
      </c>
    </row>
    <row r="673" spans="1:5" ht="13.95" customHeight="1">
      <c r="A673" s="110" t="s">
        <v>677</v>
      </c>
      <c r="B673" s="110">
        <v>156</v>
      </c>
      <c r="C673" s="110">
        <v>1.802</v>
      </c>
      <c r="E673" s="112">
        <v>42879</v>
      </c>
    </row>
    <row r="674" spans="1:5" ht="13.95" customHeight="1">
      <c r="A674" s="110" t="s">
        <v>676</v>
      </c>
      <c r="B674" s="110">
        <v>141</v>
      </c>
      <c r="C674" s="110">
        <v>1.6759999999999999</v>
      </c>
      <c r="E674" s="112">
        <v>42878</v>
      </c>
    </row>
    <row r="675" spans="1:5" ht="13.95" customHeight="1">
      <c r="A675" s="110" t="s">
        <v>675</v>
      </c>
      <c r="B675">
        <v>123</v>
      </c>
      <c r="C675" s="110">
        <v>1.5760000000000001</v>
      </c>
      <c r="E675" s="112">
        <v>42879</v>
      </c>
    </row>
    <row r="676" spans="1:5" ht="13.95" customHeight="1">
      <c r="A676" s="110" t="s">
        <v>674</v>
      </c>
      <c r="B676" s="110">
        <v>134</v>
      </c>
      <c r="C676" s="110">
        <v>1.591</v>
      </c>
      <c r="E676" s="112">
        <v>42881</v>
      </c>
    </row>
    <row r="677" spans="1:5" ht="13.95" customHeight="1">
      <c r="A677" s="110" t="s">
        <v>673</v>
      </c>
      <c r="B677" s="110">
        <v>146</v>
      </c>
      <c r="C677" s="110">
        <v>1.657</v>
      </c>
      <c r="E677" s="112">
        <v>42878</v>
      </c>
    </row>
    <row r="678" spans="1:5" ht="13.95" customHeight="1">
      <c r="A678" s="110" t="s">
        <v>672</v>
      </c>
      <c r="B678" s="110">
        <v>45</v>
      </c>
      <c r="C678" s="110">
        <v>1.5804</v>
      </c>
      <c r="E678" s="112">
        <v>43123</v>
      </c>
    </row>
    <row r="679" spans="1:5" ht="13.95" customHeight="1">
      <c r="A679" s="110" t="s">
        <v>671</v>
      </c>
      <c r="B679" s="110">
        <v>177</v>
      </c>
      <c r="C679" s="110">
        <v>1.677</v>
      </c>
      <c r="E679" s="112">
        <v>42881</v>
      </c>
    </row>
    <row r="680" spans="1:5" ht="13.95" customHeight="1">
      <c r="A680" s="110" t="s">
        <v>670</v>
      </c>
      <c r="B680" s="110">
        <v>124</v>
      </c>
      <c r="C680" s="110">
        <v>1.518</v>
      </c>
      <c r="E680" s="112">
        <v>42881</v>
      </c>
    </row>
    <row r="681" spans="1:5" ht="13.95" customHeight="1">
      <c r="A681" s="110" t="s">
        <v>669</v>
      </c>
      <c r="B681" s="110">
        <v>148</v>
      </c>
      <c r="C681" s="110">
        <v>0.37559999999999999</v>
      </c>
      <c r="D681" s="110" t="s">
        <v>2074</v>
      </c>
      <c r="E681" s="112">
        <v>43125</v>
      </c>
    </row>
    <row r="682" spans="1:5" ht="13.95" customHeight="1">
      <c r="A682" s="110" t="s">
        <v>667</v>
      </c>
      <c r="B682" s="110">
        <v>136</v>
      </c>
      <c r="C682" s="110">
        <v>1.5827</v>
      </c>
      <c r="E682" s="112">
        <v>43125</v>
      </c>
    </row>
    <row r="683" spans="1:5" ht="13.95" customHeight="1">
      <c r="A683" s="110" t="s">
        <v>666</v>
      </c>
      <c r="B683" s="110">
        <v>104</v>
      </c>
      <c r="C683" s="110">
        <v>1.4970000000000001</v>
      </c>
      <c r="E683" s="112">
        <v>42878</v>
      </c>
    </row>
    <row r="684" spans="1:5" ht="13.95" customHeight="1">
      <c r="A684" s="110" t="s">
        <v>665</v>
      </c>
      <c r="B684" s="110">
        <v>131</v>
      </c>
      <c r="C684" s="110">
        <v>0.64019999999999999</v>
      </c>
      <c r="D684" s="110" t="s">
        <v>2099</v>
      </c>
      <c r="E684" s="112">
        <v>43125</v>
      </c>
    </row>
    <row r="685" spans="1:5" ht="13.95" customHeight="1">
      <c r="A685" s="110" t="s">
        <v>664</v>
      </c>
      <c r="B685" s="110">
        <v>132</v>
      </c>
      <c r="C685" s="110">
        <v>1.573</v>
      </c>
      <c r="E685" s="112">
        <v>43125</v>
      </c>
    </row>
    <row r="686" spans="1:5" ht="13.95" customHeight="1">
      <c r="A686" t="s">
        <v>662</v>
      </c>
      <c r="B686" s="110" t="s">
        <v>2079</v>
      </c>
      <c r="C686" s="110">
        <v>1.2541</v>
      </c>
      <c r="D686" s="110" t="s">
        <v>2067</v>
      </c>
      <c r="E686" s="112">
        <v>43125</v>
      </c>
    </row>
    <row r="687" spans="1:5" ht="13.95" customHeight="1">
      <c r="A687" s="183" t="s">
        <v>1093</v>
      </c>
      <c r="B687" s="110">
        <v>58</v>
      </c>
      <c r="C687" s="110">
        <v>0.74880000000000002</v>
      </c>
      <c r="D687" s="166" t="s">
        <v>2456</v>
      </c>
      <c r="E687" s="112">
        <v>43123</v>
      </c>
    </row>
    <row r="688" spans="1:5" ht="13.95" customHeight="1">
      <c r="A688" s="409" t="s">
        <v>661</v>
      </c>
      <c r="B688" s="110">
        <v>116</v>
      </c>
      <c r="C688" s="110">
        <v>1.4859</v>
      </c>
      <c r="E688" s="112">
        <v>43125</v>
      </c>
    </row>
    <row r="689" spans="1:5" ht="13.95" customHeight="1">
      <c r="A689" s="110" t="s">
        <v>660</v>
      </c>
      <c r="B689" s="110">
        <v>175</v>
      </c>
      <c r="C689" s="110">
        <v>1.681</v>
      </c>
      <c r="E689" s="112">
        <v>42879</v>
      </c>
    </row>
    <row r="690" spans="1:5" ht="13.95" customHeight="1">
      <c r="A690" s="110" t="s">
        <v>659</v>
      </c>
      <c r="B690" s="110" t="s">
        <v>2073</v>
      </c>
      <c r="C690" s="110">
        <v>1.6348</v>
      </c>
      <c r="E690" s="112">
        <v>43122</v>
      </c>
    </row>
    <row r="691" spans="1:5" ht="13.95" customHeight="1">
      <c r="A691" s="110" t="s">
        <v>658</v>
      </c>
      <c r="B691" s="110">
        <v>137</v>
      </c>
      <c r="C691" s="110">
        <v>1.778</v>
      </c>
      <c r="E691" s="112">
        <v>42879</v>
      </c>
    </row>
    <row r="692" spans="1:5" ht="13.95" customHeight="1">
      <c r="A692" s="110" t="s">
        <v>657</v>
      </c>
      <c r="B692" s="110">
        <v>155</v>
      </c>
      <c r="C692" s="110">
        <v>1.7509999999999999</v>
      </c>
      <c r="E692" s="112">
        <v>42879</v>
      </c>
    </row>
    <row r="693" spans="1:5" ht="13.95" customHeight="1">
      <c r="A693" s="110" t="s">
        <v>656</v>
      </c>
      <c r="B693" s="110">
        <v>154</v>
      </c>
      <c r="C693" s="110">
        <v>1.839</v>
      </c>
      <c r="E693" s="112">
        <v>42881</v>
      </c>
    </row>
    <row r="694" spans="1:5" ht="13.95" customHeight="1">
      <c r="A694" s="409" t="s">
        <v>655</v>
      </c>
      <c r="B694" s="110">
        <v>125</v>
      </c>
      <c r="C694" s="110">
        <v>1.389</v>
      </c>
      <c r="E694" s="112">
        <v>42881</v>
      </c>
    </row>
    <row r="695" spans="1:5" ht="13.95" customHeight="1">
      <c r="A695" s="110" t="s">
        <v>654</v>
      </c>
      <c r="B695" s="110">
        <v>111</v>
      </c>
      <c r="C695" s="110">
        <v>1.609</v>
      </c>
      <c r="E695" s="112">
        <v>42879</v>
      </c>
    </row>
    <row r="696" spans="1:5" ht="13.95" customHeight="1">
      <c r="A696" s="110" t="s">
        <v>653</v>
      </c>
      <c r="B696" s="110">
        <v>178</v>
      </c>
      <c r="C696" s="110">
        <v>1.6446000000000001</v>
      </c>
      <c r="E696" s="112">
        <v>43125</v>
      </c>
    </row>
    <row r="697" spans="1:5" ht="13.95" customHeight="1">
      <c r="A697" s="110" t="s">
        <v>652</v>
      </c>
      <c r="B697" s="110">
        <v>98</v>
      </c>
      <c r="C697" s="110">
        <v>1.5389999999999999</v>
      </c>
      <c r="E697" s="112">
        <v>42881</v>
      </c>
    </row>
    <row r="698" spans="1:5" ht="13.95" customHeight="1">
      <c r="A698" s="110" t="s">
        <v>1092</v>
      </c>
      <c r="B698" s="110">
        <v>84</v>
      </c>
      <c r="C698" s="110">
        <v>1.6379999999999999</v>
      </c>
      <c r="D698" s="110" t="s">
        <v>2050</v>
      </c>
      <c r="E698" s="112">
        <v>42881</v>
      </c>
    </row>
    <row r="699" spans="1:5" ht="13.95" customHeight="1">
      <c r="A699" s="110" t="s">
        <v>651</v>
      </c>
      <c r="B699" s="110">
        <v>176</v>
      </c>
      <c r="C699" s="110">
        <v>1.7070000000000001</v>
      </c>
      <c r="E699" s="112">
        <v>42879</v>
      </c>
    </row>
    <row r="700" spans="1:5" ht="13.95" customHeight="1">
      <c r="A700" s="110" t="s">
        <v>649</v>
      </c>
      <c r="B700" s="110">
        <v>146</v>
      </c>
      <c r="C700" s="110">
        <v>1.6579999999999999</v>
      </c>
      <c r="D700" s="110" t="s">
        <v>2121</v>
      </c>
      <c r="E700" s="112">
        <v>42878</v>
      </c>
    </row>
    <row r="701" spans="1:5" ht="13.95" customHeight="1">
      <c r="A701" s="110" t="s">
        <v>648</v>
      </c>
      <c r="B701" s="110">
        <v>154</v>
      </c>
      <c r="C701" s="110">
        <v>0.69099999999999995</v>
      </c>
      <c r="D701" s="110" t="s">
        <v>2057</v>
      </c>
      <c r="E701" s="112">
        <v>42881</v>
      </c>
    </row>
    <row r="702" spans="1:5" ht="13.95" customHeight="1">
      <c r="A702" s="110" t="s">
        <v>647</v>
      </c>
      <c r="B702" s="110">
        <v>103</v>
      </c>
      <c r="C702" s="110">
        <v>1.6919999999999999</v>
      </c>
      <c r="E702" s="112">
        <v>42881</v>
      </c>
    </row>
    <row r="703" spans="1:5" ht="13.95" customHeight="1">
      <c r="A703" s="110" t="s">
        <v>646</v>
      </c>
      <c r="B703" s="110">
        <v>118</v>
      </c>
      <c r="C703" s="110">
        <v>1.468</v>
      </c>
      <c r="E703" s="112">
        <v>42879</v>
      </c>
    </row>
    <row r="704" spans="1:5" ht="13.95" customHeight="1">
      <c r="A704" s="110" t="s">
        <v>645</v>
      </c>
      <c r="B704" s="110">
        <v>99</v>
      </c>
      <c r="C704" s="110">
        <v>1.5016</v>
      </c>
      <c r="E704" s="112">
        <v>43123</v>
      </c>
    </row>
    <row r="705" spans="1:12" ht="13.95" customHeight="1">
      <c r="A705" s="110" t="s">
        <v>644</v>
      </c>
      <c r="B705" s="110">
        <v>100</v>
      </c>
      <c r="C705" s="110">
        <v>1.66</v>
      </c>
      <c r="E705" s="112">
        <v>42881</v>
      </c>
    </row>
    <row r="706" spans="1:12" ht="13.95" customHeight="1">
      <c r="A706" t="s">
        <v>1136</v>
      </c>
      <c r="B706"/>
      <c r="C706">
        <v>0.32769999999999999</v>
      </c>
      <c r="E706" s="244" t="s">
        <v>3935</v>
      </c>
      <c r="F706" s="244"/>
      <c r="G706"/>
    </row>
    <row r="707" spans="1:12" ht="13.95" customHeight="1">
      <c r="A707" s="110" t="s">
        <v>1091</v>
      </c>
      <c r="B707" s="110">
        <v>20</v>
      </c>
      <c r="C707" s="110">
        <v>1.51</v>
      </c>
      <c r="E707" s="112">
        <v>43125</v>
      </c>
    </row>
    <row r="708" spans="1:12" ht="13.95" customHeight="1">
      <c r="A708" s="110" t="s">
        <v>641</v>
      </c>
      <c r="B708" s="110">
        <v>100</v>
      </c>
      <c r="C708" s="110">
        <v>1.764</v>
      </c>
      <c r="D708" s="110" t="s">
        <v>2050</v>
      </c>
      <c r="E708" s="112">
        <v>42881</v>
      </c>
    </row>
    <row r="709" spans="1:12" ht="13.95" customHeight="1">
      <c r="A709" s="181" t="s">
        <v>640</v>
      </c>
      <c r="B709" s="110">
        <v>76</v>
      </c>
      <c r="C709" s="110">
        <v>0.29499999999999998</v>
      </c>
      <c r="D709" s="110" t="s">
        <v>2054</v>
      </c>
      <c r="E709" s="112">
        <v>42881</v>
      </c>
    </row>
    <row r="710" spans="1:12" ht="13.95" customHeight="1">
      <c r="A710" s="110" t="s">
        <v>639</v>
      </c>
      <c r="B710" s="110" t="s">
        <v>2073</v>
      </c>
      <c r="C710" s="110">
        <v>1.3823000000000001</v>
      </c>
      <c r="E710" s="112">
        <v>43122</v>
      </c>
    </row>
    <row r="711" spans="1:12" ht="13.95" customHeight="1">
      <c r="A711" t="s">
        <v>638</v>
      </c>
      <c r="B711">
        <v>142</v>
      </c>
      <c r="C711">
        <v>1.0640000000000001</v>
      </c>
      <c r="D711" t="s">
        <v>2053</v>
      </c>
      <c r="E711" s="112">
        <v>42881</v>
      </c>
      <c r="J711" s="113"/>
      <c r="L711" s="113"/>
    </row>
    <row r="712" spans="1:12" ht="13.95" customHeight="1">
      <c r="A712" s="110" t="s">
        <v>637</v>
      </c>
      <c r="B712" s="110">
        <v>151</v>
      </c>
      <c r="C712" s="110">
        <v>1.798</v>
      </c>
      <c r="E712" s="112">
        <v>42879</v>
      </c>
    </row>
    <row r="713" spans="1:12" ht="13.95" customHeight="1">
      <c r="A713" s="110" t="s">
        <v>636</v>
      </c>
      <c r="B713" s="110">
        <v>111</v>
      </c>
      <c r="C713" s="110">
        <v>1.673</v>
      </c>
      <c r="E713" s="112">
        <v>42879</v>
      </c>
    </row>
    <row r="714" spans="1:12" ht="13.95" customHeight="1">
      <c r="A714" s="181" t="s">
        <v>635</v>
      </c>
      <c r="B714" s="110">
        <v>127</v>
      </c>
      <c r="C714" s="110">
        <v>1.4710000000000001</v>
      </c>
      <c r="E714" s="112">
        <v>42879</v>
      </c>
    </row>
    <row r="715" spans="1:12" ht="13.95" customHeight="1">
      <c r="A715" s="110" t="s">
        <v>634</v>
      </c>
      <c r="B715" s="110" t="s">
        <v>2073</v>
      </c>
      <c r="C715" s="110">
        <v>1.3523000000000001</v>
      </c>
      <c r="E715" s="112">
        <v>43122</v>
      </c>
    </row>
    <row r="716" spans="1:12" ht="13.95" customHeight="1">
      <c r="A716" s="110" t="s">
        <v>633</v>
      </c>
      <c r="B716" s="110" t="s">
        <v>2073</v>
      </c>
      <c r="C716" s="110">
        <v>1.3392999999999999</v>
      </c>
      <c r="D716" s="110" t="s">
        <v>2115</v>
      </c>
      <c r="E716" s="112">
        <v>43116</v>
      </c>
    </row>
    <row r="717" spans="1:12" ht="13.95" customHeight="1">
      <c r="A717" s="110" t="s">
        <v>632</v>
      </c>
      <c r="B717" s="110">
        <v>108</v>
      </c>
      <c r="C717" s="110">
        <v>1.6739999999999999</v>
      </c>
      <c r="E717" s="112">
        <v>42881</v>
      </c>
    </row>
    <row r="718" spans="1:12" ht="13.95" customHeight="1">
      <c r="A718" s="110" t="s">
        <v>1090</v>
      </c>
      <c r="B718" s="110" t="s">
        <v>2073</v>
      </c>
      <c r="C718" s="110">
        <v>1.7762</v>
      </c>
      <c r="E718" s="112">
        <v>43116</v>
      </c>
    </row>
    <row r="719" spans="1:12" ht="13.95" customHeight="1">
      <c r="A719" s="110" t="s">
        <v>631</v>
      </c>
      <c r="B719" s="110">
        <v>107</v>
      </c>
      <c r="C719" s="110">
        <v>1.5944</v>
      </c>
      <c r="D719" s="110" t="s">
        <v>2084</v>
      </c>
      <c r="E719" s="112">
        <v>43125</v>
      </c>
    </row>
    <row r="720" spans="1:12" ht="13.95" customHeight="1">
      <c r="A720" s="110" t="s">
        <v>630</v>
      </c>
      <c r="B720" s="110">
        <v>117</v>
      </c>
      <c r="C720" s="110">
        <v>0.39700000000000002</v>
      </c>
      <c r="D720" s="110" t="s">
        <v>2080</v>
      </c>
      <c r="E720" s="112">
        <v>42878</v>
      </c>
    </row>
    <row r="721" spans="1:5" ht="13.95" customHeight="1">
      <c r="A721" s="110" t="s">
        <v>629</v>
      </c>
      <c r="B721" s="110" t="s">
        <v>2073</v>
      </c>
      <c r="C721" s="110">
        <v>1.4733000000000001</v>
      </c>
      <c r="E721" s="112">
        <v>43123</v>
      </c>
    </row>
    <row r="722" spans="1:5" ht="13.95" customHeight="1">
      <c r="A722" s="110" t="s">
        <v>628</v>
      </c>
      <c r="B722" s="110">
        <v>52</v>
      </c>
      <c r="C722" s="110">
        <v>1.6279999999999999</v>
      </c>
      <c r="E722" s="112">
        <v>42878</v>
      </c>
    </row>
    <row r="723" spans="1:5" ht="13.95" customHeight="1">
      <c r="A723" s="110" t="s">
        <v>626</v>
      </c>
      <c r="B723" s="110" t="s">
        <v>2073</v>
      </c>
      <c r="C723" s="110">
        <v>1.3853</v>
      </c>
      <c r="E723" s="112">
        <v>43119</v>
      </c>
    </row>
    <row r="724" spans="1:5" ht="13.95" customHeight="1">
      <c r="A724" s="110" t="s">
        <v>624</v>
      </c>
      <c r="B724" s="110">
        <v>90</v>
      </c>
      <c r="C724" s="110">
        <v>2.2749000000000001</v>
      </c>
      <c r="D724" s="166" t="s">
        <v>2462</v>
      </c>
      <c r="E724" s="112">
        <v>43125</v>
      </c>
    </row>
    <row r="725" spans="1:5" ht="13.95" customHeight="1">
      <c r="A725" s="110" t="s">
        <v>623</v>
      </c>
      <c r="B725" s="110" t="s">
        <v>2073</v>
      </c>
      <c r="C725" s="110">
        <v>0</v>
      </c>
      <c r="D725" s="110" t="s">
        <v>2142</v>
      </c>
      <c r="E725" s="112">
        <v>43116</v>
      </c>
    </row>
    <row r="726" spans="1:5" ht="13.95" customHeight="1">
      <c r="A726" s="110" t="s">
        <v>622</v>
      </c>
      <c r="B726" s="110" t="s">
        <v>2073</v>
      </c>
      <c r="C726" s="110">
        <v>1.4281999999999999</v>
      </c>
      <c r="E726" s="112">
        <v>43122</v>
      </c>
    </row>
    <row r="727" spans="1:5" ht="13.95" customHeight="1">
      <c r="A727" s="110" t="s">
        <v>621</v>
      </c>
      <c r="B727" s="110">
        <v>129</v>
      </c>
      <c r="C727" s="110">
        <v>1.5878000000000001</v>
      </c>
      <c r="E727" s="112">
        <v>43125</v>
      </c>
    </row>
    <row r="728" spans="1:5" ht="13.95" customHeight="1">
      <c r="A728" s="110" t="s">
        <v>620</v>
      </c>
      <c r="B728" s="110">
        <v>41</v>
      </c>
      <c r="C728" s="110">
        <v>1.512</v>
      </c>
      <c r="D728" s="110" t="s">
        <v>2066</v>
      </c>
      <c r="E728" s="112">
        <v>42879</v>
      </c>
    </row>
    <row r="729" spans="1:5" ht="13.95" customHeight="1">
      <c r="A729" s="110" t="s">
        <v>619</v>
      </c>
      <c r="B729" s="110">
        <v>115</v>
      </c>
      <c r="C729" s="110">
        <v>1.401</v>
      </c>
      <c r="E729" s="112">
        <v>43125</v>
      </c>
    </row>
    <row r="730" spans="1:5" ht="13.95" customHeight="1">
      <c r="A730" s="110" t="s">
        <v>618</v>
      </c>
      <c r="B730" s="110" t="s">
        <v>2073</v>
      </c>
      <c r="C730" s="110">
        <v>1.54</v>
      </c>
      <c r="D730" s="110" t="s">
        <v>2116</v>
      </c>
      <c r="E730" s="112">
        <v>43122</v>
      </c>
    </row>
    <row r="731" spans="1:5" ht="13.95" customHeight="1">
      <c r="A731" s="110" t="s">
        <v>617</v>
      </c>
      <c r="B731" s="110" t="s">
        <v>2073</v>
      </c>
      <c r="C731" s="110">
        <v>1.5687</v>
      </c>
      <c r="E731" s="112">
        <v>43123</v>
      </c>
    </row>
    <row r="732" spans="1:5" ht="13.95" customHeight="1">
      <c r="A732" s="110" t="s">
        <v>616</v>
      </c>
      <c r="B732" s="110">
        <v>65</v>
      </c>
      <c r="C732" s="110">
        <v>1.704</v>
      </c>
      <c r="E732" s="112">
        <v>42879</v>
      </c>
    </row>
    <row r="733" spans="1:5" ht="13.95" customHeight="1">
      <c r="A733" s="110" t="s">
        <v>615</v>
      </c>
      <c r="B733" s="110">
        <v>119</v>
      </c>
      <c r="C733" s="110">
        <v>1.3</v>
      </c>
      <c r="D733"/>
      <c r="E733" s="112">
        <v>42881</v>
      </c>
    </row>
    <row r="734" spans="1:5" ht="13.95" customHeight="1">
      <c r="A734" s="110" t="s">
        <v>614</v>
      </c>
      <c r="B734" s="110" t="s">
        <v>2073</v>
      </c>
      <c r="C734" s="110">
        <v>1.3275999999999999</v>
      </c>
      <c r="E734" s="112">
        <v>43122</v>
      </c>
    </row>
    <row r="735" spans="1:5" ht="13.95" customHeight="1">
      <c r="A735" s="110" t="s">
        <v>613</v>
      </c>
      <c r="B735" s="110" t="s">
        <v>2073</v>
      </c>
      <c r="C735" s="110">
        <v>1.5779000000000001</v>
      </c>
      <c r="E735" s="112">
        <v>43122</v>
      </c>
    </row>
    <row r="736" spans="1:5" ht="13.95" customHeight="1">
      <c r="A736" s="110" t="s">
        <v>612</v>
      </c>
      <c r="B736" s="110">
        <v>21</v>
      </c>
      <c r="C736" s="110">
        <v>1.4387000000000001</v>
      </c>
      <c r="E736" s="112">
        <v>43122</v>
      </c>
    </row>
    <row r="737" spans="1:5" ht="13.95" customHeight="1">
      <c r="A737" s="110" t="s">
        <v>611</v>
      </c>
      <c r="B737" s="110">
        <v>112</v>
      </c>
      <c r="C737" s="110">
        <v>1.627</v>
      </c>
      <c r="E737" s="112">
        <v>42878</v>
      </c>
    </row>
    <row r="738" spans="1:5" ht="13.95" customHeight="1">
      <c r="A738" s="110" t="s">
        <v>610</v>
      </c>
      <c r="B738" s="110">
        <v>7</v>
      </c>
      <c r="C738" s="110">
        <v>1.4430000000000001</v>
      </c>
      <c r="E738" s="112">
        <v>42879</v>
      </c>
    </row>
    <row r="739" spans="1:5" ht="13.95" customHeight="1">
      <c r="A739" s="110" t="s">
        <v>609</v>
      </c>
      <c r="B739" s="110">
        <v>121</v>
      </c>
      <c r="C739" s="110">
        <v>1.7050000000000001</v>
      </c>
      <c r="E739" s="112">
        <v>42879</v>
      </c>
    </row>
    <row r="740" spans="1:5" ht="13.95" customHeight="1">
      <c r="A740" s="110" t="s">
        <v>608</v>
      </c>
      <c r="B740" s="110" t="s">
        <v>2073</v>
      </c>
      <c r="C740" s="110">
        <v>1.7899</v>
      </c>
      <c r="D740" s="110" t="s">
        <v>2111</v>
      </c>
      <c r="E740" s="112">
        <v>43116</v>
      </c>
    </row>
    <row r="741" spans="1:5" ht="13.95" customHeight="1">
      <c r="A741" s="110" t="s">
        <v>607</v>
      </c>
      <c r="B741" s="110">
        <v>168</v>
      </c>
      <c r="C741" s="110">
        <v>1.722</v>
      </c>
      <c r="E741" s="112">
        <v>42881</v>
      </c>
    </row>
    <row r="742" spans="1:5" ht="13.95" customHeight="1">
      <c r="A742" s="110" t="s">
        <v>606</v>
      </c>
      <c r="B742" s="110">
        <v>140</v>
      </c>
      <c r="C742" s="110">
        <v>1.5517000000000001</v>
      </c>
      <c r="E742" s="112">
        <v>43125</v>
      </c>
    </row>
    <row r="743" spans="1:5" ht="13.95" customHeight="1">
      <c r="A743" s="110" t="s">
        <v>605</v>
      </c>
      <c r="B743" s="110">
        <v>132</v>
      </c>
      <c r="C743" s="110">
        <v>1.593</v>
      </c>
      <c r="D743" s="110" t="s">
        <v>2103</v>
      </c>
      <c r="E743" s="112">
        <v>43125</v>
      </c>
    </row>
    <row r="744" spans="1:5" ht="13.95" customHeight="1">
      <c r="A744" s="110" t="s">
        <v>604</v>
      </c>
      <c r="B744" s="110" t="s">
        <v>2073</v>
      </c>
      <c r="C744" s="110">
        <v>1.7152000000000001</v>
      </c>
      <c r="E744" s="112">
        <v>43119</v>
      </c>
    </row>
    <row r="745" spans="1:5" ht="13.95" customHeight="1">
      <c r="A745" s="110" t="s">
        <v>603</v>
      </c>
      <c r="B745" s="110">
        <v>139</v>
      </c>
      <c r="C745" s="110">
        <v>1.415</v>
      </c>
      <c r="E745" s="112">
        <v>42878</v>
      </c>
    </row>
    <row r="746" spans="1:5" ht="13.95" customHeight="1">
      <c r="A746" s="110" t="s">
        <v>602</v>
      </c>
      <c r="B746" s="110" t="s">
        <v>2073</v>
      </c>
      <c r="C746" s="110">
        <v>1.7513000000000001</v>
      </c>
      <c r="E746" s="112">
        <v>43116</v>
      </c>
    </row>
    <row r="747" spans="1:5" ht="13.95" customHeight="1">
      <c r="A747" s="110" t="s">
        <v>601</v>
      </c>
      <c r="B747" s="110">
        <v>105</v>
      </c>
      <c r="C747" s="110">
        <v>1.8080000000000001</v>
      </c>
      <c r="E747" s="112">
        <v>42879</v>
      </c>
    </row>
    <row r="748" spans="1:5" ht="13.95" customHeight="1">
      <c r="A748" s="110" t="s">
        <v>600</v>
      </c>
      <c r="B748" s="110" t="s">
        <v>2073</v>
      </c>
      <c r="C748" s="110">
        <v>1.7278</v>
      </c>
      <c r="E748" s="112">
        <v>43116</v>
      </c>
    </row>
    <row r="749" spans="1:5" ht="13.95" customHeight="1">
      <c r="A749" s="110" t="s">
        <v>599</v>
      </c>
      <c r="B749" s="110" t="s">
        <v>2073</v>
      </c>
      <c r="C749" s="110">
        <v>1.6227</v>
      </c>
      <c r="E749" s="112">
        <v>43119</v>
      </c>
    </row>
    <row r="750" spans="1:5" ht="13.95" customHeight="1">
      <c r="A750" s="110" t="s">
        <v>598</v>
      </c>
      <c r="B750" s="110">
        <v>136</v>
      </c>
      <c r="C750" s="110">
        <v>1.5604</v>
      </c>
      <c r="E750" s="112">
        <v>43125</v>
      </c>
    </row>
    <row r="751" spans="1:5" ht="13.95" customHeight="1">
      <c r="A751" s="110" t="s">
        <v>597</v>
      </c>
      <c r="B751" s="110">
        <v>118</v>
      </c>
      <c r="C751" s="110">
        <v>1.599</v>
      </c>
      <c r="E751" s="112">
        <v>42879</v>
      </c>
    </row>
    <row r="752" spans="1:5" ht="13.95" customHeight="1">
      <c r="A752" s="110" t="s">
        <v>596</v>
      </c>
      <c r="B752" s="110" t="s">
        <v>2073</v>
      </c>
      <c r="C752" s="110">
        <v>1.7096</v>
      </c>
      <c r="D752" s="110" t="s">
        <v>2111</v>
      </c>
      <c r="E752" s="112">
        <v>43119</v>
      </c>
    </row>
    <row r="753" spans="1:6" ht="13.95" customHeight="1">
      <c r="A753" s="409" t="s">
        <v>595</v>
      </c>
      <c r="B753" s="110">
        <v>72</v>
      </c>
      <c r="C753" s="110">
        <v>1.5403</v>
      </c>
      <c r="D753" s="110" t="s">
        <v>2089</v>
      </c>
      <c r="E753" s="112">
        <v>43125</v>
      </c>
    </row>
    <row r="754" spans="1:6" ht="13.95" customHeight="1">
      <c r="A754" s="110" t="s">
        <v>594</v>
      </c>
      <c r="B754" s="110">
        <v>95</v>
      </c>
      <c r="C754" s="110">
        <v>1.5620000000000001</v>
      </c>
      <c r="E754" s="112">
        <v>42879</v>
      </c>
    </row>
    <row r="755" spans="1:6" ht="13.95" customHeight="1">
      <c r="A755" s="110" t="s">
        <v>593</v>
      </c>
      <c r="B755" s="110">
        <v>105</v>
      </c>
      <c r="C755" s="110">
        <v>1.859</v>
      </c>
      <c r="E755" s="112">
        <v>42879</v>
      </c>
    </row>
    <row r="756" spans="1:6" ht="13.95" customHeight="1">
      <c r="A756" s="110" t="s">
        <v>592</v>
      </c>
      <c r="B756" s="110">
        <v>99</v>
      </c>
      <c r="C756" s="110">
        <v>1.5992</v>
      </c>
      <c r="E756" s="112">
        <v>43123</v>
      </c>
    </row>
    <row r="757" spans="1:6" ht="13.95" customHeight="1">
      <c r="A757" s="422" t="s">
        <v>1087</v>
      </c>
      <c r="B757" s="422">
        <v>110</v>
      </c>
      <c r="C757" s="422">
        <v>1.4870000000000001</v>
      </c>
      <c r="D757" s="422" t="s">
        <v>2111</v>
      </c>
      <c r="E757" s="423">
        <v>43116</v>
      </c>
      <c r="F757" s="422"/>
    </row>
    <row r="758" spans="1:6" ht="13.95" customHeight="1">
      <c r="A758" s="422" t="s">
        <v>1088</v>
      </c>
      <c r="B758" s="422">
        <v>55</v>
      </c>
      <c r="C758" s="422">
        <v>1.5207999999999999</v>
      </c>
      <c r="D758" s="422"/>
      <c r="E758" s="423">
        <v>42878</v>
      </c>
      <c r="F758" s="422"/>
    </row>
    <row r="759" spans="1:6" ht="13.95" customHeight="1">
      <c r="A759" s="110" t="s">
        <v>1086</v>
      </c>
      <c r="B759" s="110">
        <v>126</v>
      </c>
      <c r="C759" s="110">
        <v>1.4419999999999999</v>
      </c>
      <c r="E759" s="112">
        <v>42878</v>
      </c>
    </row>
    <row r="760" spans="1:6" ht="13.95" customHeight="1">
      <c r="A760" s="110" t="s">
        <v>591</v>
      </c>
      <c r="B760" s="110">
        <v>64</v>
      </c>
      <c r="C760" s="110">
        <v>1.6930000000000001</v>
      </c>
      <c r="E760" s="112">
        <v>42878</v>
      </c>
    </row>
    <row r="761" spans="1:6" ht="13.95" customHeight="1">
      <c r="A761" s="110" t="s">
        <v>589</v>
      </c>
      <c r="B761" s="110">
        <v>109</v>
      </c>
      <c r="C761" s="110">
        <v>1.7532000000000001</v>
      </c>
      <c r="E761" s="112">
        <v>43125</v>
      </c>
    </row>
    <row r="762" spans="1:6" ht="13.95" customHeight="1">
      <c r="A762" s="110" t="s">
        <v>588</v>
      </c>
      <c r="B762" s="110">
        <v>115</v>
      </c>
      <c r="C762" s="110">
        <v>0.99990000000000001</v>
      </c>
      <c r="D762" s="115" t="s">
        <v>2107</v>
      </c>
      <c r="E762" s="112">
        <v>43125</v>
      </c>
    </row>
    <row r="763" spans="1:6" ht="13.95" customHeight="1">
      <c r="A763" s="110" t="s">
        <v>587</v>
      </c>
      <c r="B763" s="110">
        <v>128</v>
      </c>
      <c r="C763" s="110">
        <v>2.5259999999999998</v>
      </c>
      <c r="D763" s="110" t="s">
        <v>2067</v>
      </c>
      <c r="E763" s="112">
        <v>42879</v>
      </c>
    </row>
    <row r="764" spans="1:6" ht="13.95" customHeight="1">
      <c r="A764" s="110" t="s">
        <v>586</v>
      </c>
      <c r="B764" s="110" t="s">
        <v>2073</v>
      </c>
      <c r="C764" s="110">
        <v>1.7096</v>
      </c>
      <c r="E764" s="112">
        <v>43119</v>
      </c>
    </row>
    <row r="765" spans="1:6" ht="13.95" customHeight="1">
      <c r="A765" s="110" t="s">
        <v>585</v>
      </c>
      <c r="B765" s="110">
        <v>155</v>
      </c>
      <c r="C765" s="110">
        <v>1.643</v>
      </c>
      <c r="E765" s="112">
        <v>42879</v>
      </c>
    </row>
    <row r="766" spans="1:6" ht="13.95" customHeight="1">
      <c r="A766" s="110" t="s">
        <v>584</v>
      </c>
      <c r="B766" s="180">
        <v>186</v>
      </c>
      <c r="C766" s="110">
        <v>1.7509999999999999</v>
      </c>
      <c r="E766" s="112">
        <v>42878</v>
      </c>
    </row>
    <row r="767" spans="1:6" ht="13.95" customHeight="1">
      <c r="A767" s="110" t="s">
        <v>583</v>
      </c>
      <c r="B767" s="110">
        <v>171</v>
      </c>
      <c r="C767" s="110">
        <v>1.61</v>
      </c>
      <c r="E767" s="112">
        <v>42878</v>
      </c>
    </row>
    <row r="768" spans="1:6" ht="13.95" customHeight="1">
      <c r="A768" s="110" t="s">
        <v>582</v>
      </c>
      <c r="B768" s="110">
        <v>140</v>
      </c>
      <c r="C768" s="110">
        <v>1.6634</v>
      </c>
      <c r="E768" s="112">
        <v>43125</v>
      </c>
    </row>
    <row r="769" spans="1:5" ht="13.95" customHeight="1">
      <c r="A769" s="110" t="s">
        <v>1085</v>
      </c>
      <c r="B769" s="110">
        <v>79</v>
      </c>
      <c r="C769" s="110">
        <v>1.6438999999999999</v>
      </c>
      <c r="E769" s="112">
        <v>43125</v>
      </c>
    </row>
    <row r="770" spans="1:5" ht="13.95" customHeight="1">
      <c r="A770" s="110" t="s">
        <v>581</v>
      </c>
      <c r="B770" s="110">
        <v>125</v>
      </c>
      <c r="C770" s="110">
        <v>1.254</v>
      </c>
      <c r="D770" s="110" t="s">
        <v>2056</v>
      </c>
      <c r="E770" s="112">
        <v>42881</v>
      </c>
    </row>
    <row r="771" spans="1:5" ht="13.95" customHeight="1">
      <c r="A771" s="110" t="s">
        <v>580</v>
      </c>
      <c r="B771" s="110">
        <v>98</v>
      </c>
      <c r="C771" s="110">
        <v>1.661</v>
      </c>
      <c r="E771" s="112">
        <v>42881</v>
      </c>
    </row>
    <row r="772" spans="1:5" ht="13.95" customHeight="1">
      <c r="A772" s="110" t="s">
        <v>579</v>
      </c>
      <c r="B772" s="110">
        <v>126</v>
      </c>
      <c r="C772" s="110">
        <v>0.17599999999999999</v>
      </c>
      <c r="D772" s="110" t="s">
        <v>2080</v>
      </c>
      <c r="E772" s="112">
        <v>42878</v>
      </c>
    </row>
    <row r="773" spans="1:5" ht="13.95" customHeight="1">
      <c r="A773" s="110" t="s">
        <v>578</v>
      </c>
      <c r="B773" s="110">
        <v>139</v>
      </c>
      <c r="C773" s="110">
        <v>2.5009999999999999</v>
      </c>
      <c r="D773" s="110" t="s">
        <v>2127</v>
      </c>
      <c r="E773" s="112">
        <v>42878</v>
      </c>
    </row>
    <row r="774" spans="1:5" ht="13.95" customHeight="1">
      <c r="A774" s="181" t="s">
        <v>577</v>
      </c>
      <c r="B774" s="110">
        <v>121</v>
      </c>
      <c r="C774" s="110">
        <v>1.53</v>
      </c>
      <c r="E774" s="112">
        <v>42879</v>
      </c>
    </row>
    <row r="775" spans="1:5" ht="13.95" customHeight="1">
      <c r="A775" s="110" t="s">
        <v>576</v>
      </c>
      <c r="B775" s="110">
        <v>117</v>
      </c>
      <c r="C775" s="110">
        <v>1.343</v>
      </c>
      <c r="E775" s="112">
        <v>42878</v>
      </c>
    </row>
    <row r="776" spans="1:5" ht="13.95" customHeight="1">
      <c r="A776" s="110" t="s">
        <v>575</v>
      </c>
      <c r="B776" s="110" t="s">
        <v>2073</v>
      </c>
      <c r="C776" s="110">
        <v>1.4496</v>
      </c>
      <c r="E776" s="112">
        <v>43116</v>
      </c>
    </row>
    <row r="777" spans="1:5" ht="13.95" customHeight="1">
      <c r="A777" s="110" t="s">
        <v>574</v>
      </c>
      <c r="B777" s="110">
        <v>143</v>
      </c>
      <c r="C777" s="110">
        <v>1.5908</v>
      </c>
      <c r="E777" s="112">
        <v>43125</v>
      </c>
    </row>
    <row r="778" spans="1:5" ht="13.95" customHeight="1">
      <c r="A778" s="110" t="s">
        <v>573</v>
      </c>
      <c r="B778" s="110">
        <v>183</v>
      </c>
      <c r="C778" s="110">
        <v>0.30299999999999999</v>
      </c>
      <c r="D778" s="110" t="s">
        <v>2054</v>
      </c>
      <c r="E778" s="112">
        <v>42881</v>
      </c>
    </row>
    <row r="779" spans="1:5" ht="13.95" customHeight="1">
      <c r="A779" s="110" t="s">
        <v>572</v>
      </c>
      <c r="B779" s="110">
        <v>102</v>
      </c>
      <c r="C779" s="110">
        <v>1.655</v>
      </c>
      <c r="D779" s="110" t="s">
        <v>2051</v>
      </c>
      <c r="E779" s="112">
        <v>42881</v>
      </c>
    </row>
    <row r="780" spans="1:5" ht="13.95" customHeight="1">
      <c r="A780" s="402" t="s">
        <v>1084</v>
      </c>
      <c r="B780" s="110">
        <v>173</v>
      </c>
      <c r="C780" s="110">
        <v>7.1999999999999995E-2</v>
      </c>
      <c r="D780" s="110" t="s">
        <v>2058</v>
      </c>
      <c r="E780" s="112">
        <v>42879</v>
      </c>
    </row>
    <row r="781" spans="1:5" ht="13.95" customHeight="1">
      <c r="A781" s="178" t="s">
        <v>571</v>
      </c>
      <c r="B781" s="110">
        <v>158</v>
      </c>
      <c r="C781" s="110">
        <v>1.718</v>
      </c>
      <c r="E781" s="112">
        <v>42879</v>
      </c>
    </row>
    <row r="782" spans="1:5" ht="13.95" customHeight="1">
      <c r="A782" s="181" t="s">
        <v>570</v>
      </c>
      <c r="B782" s="110">
        <v>144</v>
      </c>
      <c r="C782" s="110">
        <v>1.365</v>
      </c>
      <c r="E782" s="112">
        <v>42881</v>
      </c>
    </row>
    <row r="783" spans="1:5" ht="13.95" customHeight="1">
      <c r="A783" s="110" t="s">
        <v>569</v>
      </c>
      <c r="B783" s="110">
        <v>150</v>
      </c>
      <c r="C783" s="110">
        <v>1.5680000000000001</v>
      </c>
      <c r="E783" s="112">
        <v>42879</v>
      </c>
    </row>
    <row r="784" spans="1:5" ht="13.95" customHeight="1">
      <c r="A784" s="178" t="s">
        <v>568</v>
      </c>
      <c r="B784" s="110">
        <v>147</v>
      </c>
      <c r="C784" s="110">
        <v>1.746</v>
      </c>
      <c r="D784" s="110" t="s">
        <v>2134</v>
      </c>
      <c r="E784" s="112">
        <v>42878</v>
      </c>
    </row>
    <row r="785" spans="1:5" ht="13.95" customHeight="1">
      <c r="A785" s="110" t="s">
        <v>567</v>
      </c>
      <c r="B785" s="110">
        <v>107</v>
      </c>
      <c r="C785" s="110">
        <v>1.706</v>
      </c>
      <c r="E785" s="112">
        <v>43125</v>
      </c>
    </row>
    <row r="786" spans="1:5" ht="13.95" customHeight="1">
      <c r="A786" s="110" t="s">
        <v>566</v>
      </c>
      <c r="B786" s="110" t="s">
        <v>2073</v>
      </c>
      <c r="C786" s="110">
        <v>1.6872</v>
      </c>
      <c r="D786" s="110" t="s">
        <v>2112</v>
      </c>
      <c r="E786" s="112">
        <v>43123</v>
      </c>
    </row>
    <row r="787" spans="1:5" ht="13.95" customHeight="1">
      <c r="A787" t="s">
        <v>565</v>
      </c>
      <c r="B787" s="110">
        <v>97</v>
      </c>
      <c r="C787" s="110">
        <v>1.6898</v>
      </c>
      <c r="E787" s="112">
        <v>43122</v>
      </c>
    </row>
    <row r="788" spans="1:5" ht="13.95" customHeight="1">
      <c r="A788" s="110" t="s">
        <v>564</v>
      </c>
      <c r="B788" s="110">
        <v>104</v>
      </c>
      <c r="C788" s="110">
        <v>1.4470000000000001</v>
      </c>
      <c r="D788" s="110" t="s">
        <v>2111</v>
      </c>
      <c r="E788" s="112">
        <v>42878</v>
      </c>
    </row>
    <row r="789" spans="1:5" ht="13.95" customHeight="1">
      <c r="A789" t="s">
        <v>563</v>
      </c>
      <c r="B789" s="110">
        <v>113</v>
      </c>
      <c r="C789" s="110">
        <v>1.421</v>
      </c>
      <c r="E789" s="112">
        <v>42878</v>
      </c>
    </row>
    <row r="790" spans="1:5" ht="13.95" customHeight="1">
      <c r="A790" s="110" t="s">
        <v>562</v>
      </c>
      <c r="B790" s="110" t="s">
        <v>2073</v>
      </c>
      <c r="C790" s="110">
        <v>1.5234000000000001</v>
      </c>
      <c r="E790" s="112">
        <v>43116</v>
      </c>
    </row>
    <row r="791" spans="1:5" ht="13.95" customHeight="1">
      <c r="A791" s="110" t="s">
        <v>1083</v>
      </c>
      <c r="B791" s="110">
        <v>56</v>
      </c>
      <c r="C791" s="110">
        <v>1.5980000000000001</v>
      </c>
      <c r="E791" s="112">
        <v>42881</v>
      </c>
    </row>
    <row r="792" spans="1:5" ht="13.95" customHeight="1">
      <c r="A792" s="110" t="s">
        <v>561</v>
      </c>
      <c r="B792" s="110" t="s">
        <v>2073</v>
      </c>
      <c r="C792" s="110">
        <v>1.6225000000000001</v>
      </c>
      <c r="E792" s="112">
        <v>43119</v>
      </c>
    </row>
    <row r="793" spans="1:5" ht="13.95" customHeight="1">
      <c r="A793" s="110" t="s">
        <v>560</v>
      </c>
      <c r="B793" s="110">
        <v>141</v>
      </c>
      <c r="C793" s="110">
        <v>1.2849999999999999</v>
      </c>
      <c r="D793" s="110" t="s">
        <v>2126</v>
      </c>
      <c r="E793" s="112">
        <v>42878</v>
      </c>
    </row>
    <row r="794" spans="1:5" ht="13.95" customHeight="1">
      <c r="A794" s="110" t="s">
        <v>559</v>
      </c>
      <c r="B794" s="110">
        <v>147</v>
      </c>
      <c r="C794" s="110">
        <v>1.742</v>
      </c>
      <c r="D794" s="110" t="s">
        <v>2070</v>
      </c>
      <c r="E794" s="112">
        <v>42878</v>
      </c>
    </row>
    <row r="795" spans="1:5" ht="13.95" customHeight="1">
      <c r="A795" s="110" t="s">
        <v>558</v>
      </c>
      <c r="B795" s="110">
        <v>170</v>
      </c>
      <c r="C795" s="110">
        <v>1.71</v>
      </c>
      <c r="E795" s="112">
        <v>42878</v>
      </c>
    </row>
    <row r="796" spans="1:5" ht="13.95" customHeight="1">
      <c r="A796" s="178" t="s">
        <v>557</v>
      </c>
      <c r="B796" s="110">
        <v>119</v>
      </c>
      <c r="C796" s="110">
        <v>0.435</v>
      </c>
      <c r="D796"/>
      <c r="E796" s="112">
        <v>42881</v>
      </c>
    </row>
    <row r="797" spans="1:5" ht="13.95" customHeight="1">
      <c r="A797" s="110" t="s">
        <v>556</v>
      </c>
      <c r="B797" s="110">
        <v>130</v>
      </c>
      <c r="C797" s="110">
        <v>1.6379999999999999</v>
      </c>
      <c r="E797" s="112">
        <v>42879</v>
      </c>
    </row>
    <row r="798" spans="1:5" ht="13.95" customHeight="1">
      <c r="A798" s="110" t="s">
        <v>554</v>
      </c>
      <c r="B798" s="110" t="s">
        <v>2073</v>
      </c>
      <c r="C798" s="110">
        <v>1.5119</v>
      </c>
      <c r="E798" s="112">
        <v>43122</v>
      </c>
    </row>
    <row r="799" spans="1:5" ht="13.95" customHeight="1">
      <c r="A799" s="110" t="s">
        <v>553</v>
      </c>
      <c r="B799" s="110" t="s">
        <v>2073</v>
      </c>
      <c r="C799" s="110">
        <v>0.87350000000000005</v>
      </c>
      <c r="E799" s="112">
        <v>43116</v>
      </c>
    </row>
    <row r="800" spans="1:5" ht="13.95" customHeight="1">
      <c r="A800" s="110" t="s">
        <v>552</v>
      </c>
      <c r="B800" s="110">
        <v>221</v>
      </c>
      <c r="C800" s="110">
        <v>1.5489999999999999</v>
      </c>
      <c r="E800" s="112">
        <v>42878</v>
      </c>
    </row>
    <row r="801" spans="1:5" ht="13.95" customHeight="1">
      <c r="A801" s="110" t="s">
        <v>1082</v>
      </c>
      <c r="B801" s="110" t="s">
        <v>2073</v>
      </c>
      <c r="C801" s="110">
        <v>1.4990000000000001</v>
      </c>
      <c r="E801" s="112">
        <v>43122</v>
      </c>
    </row>
    <row r="802" spans="1:5" ht="13.95" customHeight="1">
      <c r="A802" s="110" t="s">
        <v>551</v>
      </c>
      <c r="B802" s="110" t="s">
        <v>2055</v>
      </c>
      <c r="C802" s="110">
        <v>1.7769999999999999</v>
      </c>
      <c r="E802" s="112">
        <v>42881</v>
      </c>
    </row>
    <row r="803" spans="1:5" ht="13.95" customHeight="1">
      <c r="A803" s="110" t="s">
        <v>550</v>
      </c>
      <c r="B803" s="110" t="s">
        <v>2073</v>
      </c>
      <c r="C803" s="110">
        <v>1.6958</v>
      </c>
      <c r="E803" s="112">
        <v>43116</v>
      </c>
    </row>
    <row r="804" spans="1:5" ht="13.95" customHeight="1">
      <c r="A804" s="110" t="s">
        <v>549</v>
      </c>
      <c r="B804" s="110">
        <v>131</v>
      </c>
      <c r="C804" s="110">
        <v>1.6073999999999999</v>
      </c>
      <c r="E804" s="112">
        <v>43125</v>
      </c>
    </row>
    <row r="805" spans="1:5" ht="13.95" customHeight="1">
      <c r="A805" s="110" t="s">
        <v>548</v>
      </c>
      <c r="B805" s="110" t="s">
        <v>2055</v>
      </c>
      <c r="C805" s="110">
        <v>1.7729999999999999</v>
      </c>
      <c r="E805" s="112">
        <v>42881</v>
      </c>
    </row>
    <row r="806" spans="1:5" ht="13.95" customHeight="1">
      <c r="A806" s="110" t="s">
        <v>547</v>
      </c>
      <c r="B806" s="110">
        <v>120</v>
      </c>
      <c r="C806" s="110">
        <v>1.4142999999999999</v>
      </c>
      <c r="E806" s="112">
        <v>43125</v>
      </c>
    </row>
    <row r="807" spans="1:5" ht="13.95" customHeight="1">
      <c r="A807" s="110" t="s">
        <v>545</v>
      </c>
      <c r="B807" s="110">
        <v>135</v>
      </c>
      <c r="C807" s="110">
        <v>1.512</v>
      </c>
      <c r="E807" s="112">
        <v>42881</v>
      </c>
    </row>
    <row r="808" spans="1:5" ht="13.95" customHeight="1">
      <c r="A808" s="110" t="s">
        <v>544</v>
      </c>
      <c r="B808" s="110" t="s">
        <v>2073</v>
      </c>
      <c r="C808" s="110">
        <v>1.5714999999999999</v>
      </c>
      <c r="E808" s="112">
        <v>43123</v>
      </c>
    </row>
    <row r="809" spans="1:5" ht="13.95" customHeight="1">
      <c r="A809" s="110" t="s">
        <v>543</v>
      </c>
      <c r="B809" s="110">
        <v>156</v>
      </c>
      <c r="C809" s="110">
        <v>1.8080000000000001</v>
      </c>
      <c r="E809" s="112">
        <v>42879</v>
      </c>
    </row>
    <row r="810" spans="1:5" ht="13.95" customHeight="1">
      <c r="A810" s="110" t="s">
        <v>1135</v>
      </c>
      <c r="B810" s="110">
        <v>44</v>
      </c>
      <c r="C810" s="110">
        <v>1.5294000000000001</v>
      </c>
      <c r="E810" s="112">
        <v>43125</v>
      </c>
    </row>
    <row r="811" spans="1:5" ht="13.95" customHeight="1">
      <c r="A811" s="178" t="s">
        <v>1081</v>
      </c>
      <c r="B811" s="110">
        <v>56</v>
      </c>
      <c r="C811" s="110">
        <v>2.2909999999999999</v>
      </c>
      <c r="D811" s="110" t="s">
        <v>2056</v>
      </c>
      <c r="E811" s="112">
        <v>42881</v>
      </c>
    </row>
    <row r="812" spans="1:5" ht="13.95" customHeight="1">
      <c r="A812" s="110" t="s">
        <v>541</v>
      </c>
      <c r="B812" s="110">
        <v>134</v>
      </c>
      <c r="C812" s="110">
        <v>1.4419999999999999</v>
      </c>
      <c r="E812" s="112">
        <v>42881</v>
      </c>
    </row>
    <row r="813" spans="1:5" ht="13.95" customHeight="1">
      <c r="A813" s="110" t="s">
        <v>539</v>
      </c>
      <c r="B813" s="110">
        <v>114</v>
      </c>
      <c r="C813" s="110">
        <v>2.7930000000000001</v>
      </c>
      <c r="D813" s="110" t="s">
        <v>2067</v>
      </c>
      <c r="E813" s="112">
        <v>42878</v>
      </c>
    </row>
    <row r="814" spans="1:5" ht="13.95" customHeight="1">
      <c r="A814" s="110" t="s">
        <v>1079</v>
      </c>
      <c r="B814" s="110">
        <v>86</v>
      </c>
      <c r="C814" s="110">
        <v>1.6786000000000001</v>
      </c>
      <c r="E814" s="112">
        <v>43123</v>
      </c>
    </row>
    <row r="815" spans="1:5" ht="13.95" customHeight="1">
      <c r="A815" s="110" t="s">
        <v>1078</v>
      </c>
      <c r="B815" s="110">
        <v>37</v>
      </c>
      <c r="C815" s="110">
        <v>1.3620000000000001</v>
      </c>
      <c r="D815" s="110" t="s">
        <v>2056</v>
      </c>
      <c r="E815" s="112">
        <v>42881</v>
      </c>
    </row>
    <row r="816" spans="1:5" ht="13.95" customHeight="1">
      <c r="A816" s="110" t="s">
        <v>1077</v>
      </c>
      <c r="B816" s="110">
        <v>35</v>
      </c>
      <c r="C816" s="110">
        <v>1.615</v>
      </c>
      <c r="E816" s="112">
        <v>42879</v>
      </c>
    </row>
    <row r="817" spans="1:5" ht="13.95" customHeight="1">
      <c r="A817" s="110" t="s">
        <v>1076</v>
      </c>
      <c r="B817" s="110">
        <v>39</v>
      </c>
      <c r="C817" s="110">
        <v>1.5185</v>
      </c>
      <c r="E817" s="112">
        <v>43123</v>
      </c>
    </row>
    <row r="818" spans="1:5" ht="13.95" customHeight="1">
      <c r="A818" s="110" t="s">
        <v>1073</v>
      </c>
      <c r="B818" s="110">
        <v>80</v>
      </c>
      <c r="C818" s="110">
        <v>1.639</v>
      </c>
      <c r="E818" s="112">
        <v>42878</v>
      </c>
    </row>
    <row r="819" spans="1:5" ht="13.95" customHeight="1">
      <c r="A819" s="110" t="s">
        <v>1072</v>
      </c>
      <c r="B819" s="110">
        <v>35</v>
      </c>
      <c r="C819" s="110">
        <v>1.498</v>
      </c>
      <c r="E819" s="112">
        <v>42879</v>
      </c>
    </row>
    <row r="820" spans="1:5" ht="13.95" customHeight="1">
      <c r="A820" s="110" t="s">
        <v>1134</v>
      </c>
      <c r="B820" s="110">
        <v>150</v>
      </c>
      <c r="C820" s="110">
        <v>1.718</v>
      </c>
      <c r="D820" s="110" t="s">
        <v>2060</v>
      </c>
      <c r="E820" s="112">
        <v>42879</v>
      </c>
    </row>
    <row r="821" spans="1:5" ht="13.95" customHeight="1">
      <c r="A821" s="110" t="s">
        <v>1070</v>
      </c>
      <c r="B821" s="110">
        <v>24</v>
      </c>
      <c r="C821" s="110">
        <v>1.3083</v>
      </c>
      <c r="D821" s="110" t="s">
        <v>2094</v>
      </c>
      <c r="E821" s="112">
        <v>43125</v>
      </c>
    </row>
    <row r="822" spans="1:5" ht="13.95" customHeight="1">
      <c r="A822" s="110" t="s">
        <v>1069</v>
      </c>
      <c r="B822" s="110">
        <v>46</v>
      </c>
      <c r="C822" s="110">
        <v>1.6359999999999999</v>
      </c>
      <c r="E822" s="112">
        <v>42881</v>
      </c>
    </row>
    <row r="823" spans="1:5" ht="13.95" customHeight="1">
      <c r="A823" s="110" t="s">
        <v>1068</v>
      </c>
      <c r="B823" s="110">
        <v>91</v>
      </c>
      <c r="C823" s="110">
        <v>1.663</v>
      </c>
      <c r="E823" s="112">
        <v>42878</v>
      </c>
    </row>
    <row r="824" spans="1:5" ht="13.95" customHeight="1">
      <c r="A824" s="110" t="s">
        <v>1067</v>
      </c>
      <c r="B824" s="110">
        <v>45</v>
      </c>
      <c r="C824" s="110">
        <v>1.5923</v>
      </c>
      <c r="E824" s="112">
        <v>43123</v>
      </c>
    </row>
    <row r="825" spans="1:5" ht="13.95" customHeight="1">
      <c r="A825" s="110" t="s">
        <v>1065</v>
      </c>
      <c r="B825">
        <v>47</v>
      </c>
      <c r="C825" s="110">
        <v>1.665</v>
      </c>
      <c r="E825" s="112">
        <v>42879</v>
      </c>
    </row>
    <row r="826" spans="1:5" ht="13.95" customHeight="1">
      <c r="A826" s="110" t="s">
        <v>1064</v>
      </c>
      <c r="B826" s="110">
        <v>41</v>
      </c>
      <c r="C826" s="110">
        <v>1.5429999999999999</v>
      </c>
      <c r="E826" s="112">
        <v>42879</v>
      </c>
    </row>
    <row r="827" spans="1:5" ht="13.95" customHeight="1">
      <c r="A827" s="110" t="s">
        <v>1063</v>
      </c>
      <c r="B827" s="110">
        <v>60</v>
      </c>
      <c r="C827" s="110">
        <v>1.665</v>
      </c>
      <c r="E827" s="112">
        <v>42879</v>
      </c>
    </row>
    <row r="828" spans="1:5" ht="13.95" customHeight="1">
      <c r="A828" s="110" t="s">
        <v>1062</v>
      </c>
      <c r="B828" s="110">
        <v>21</v>
      </c>
      <c r="C828" s="110">
        <v>1.4087000000000001</v>
      </c>
      <c r="E828" s="112">
        <v>43116</v>
      </c>
    </row>
    <row r="829" spans="1:5" ht="13.95" customHeight="1">
      <c r="A829" s="110" t="s">
        <v>1133</v>
      </c>
      <c r="B829" s="110">
        <v>108</v>
      </c>
      <c r="C829" s="110">
        <v>1.536</v>
      </c>
      <c r="E829" s="112">
        <v>42881</v>
      </c>
    </row>
    <row r="830" spans="1:5" ht="13.95" customHeight="1">
      <c r="A830" s="110" t="s">
        <v>1060</v>
      </c>
      <c r="B830" s="110">
        <v>42</v>
      </c>
      <c r="C830" s="110">
        <v>1.528</v>
      </c>
      <c r="E830" s="112">
        <v>42881</v>
      </c>
    </row>
    <row r="831" spans="1:5" ht="13.95" customHeight="1">
      <c r="A831" s="110" t="s">
        <v>1059</v>
      </c>
      <c r="B831" s="110" t="s">
        <v>2073</v>
      </c>
      <c r="C831" s="110">
        <v>1.514</v>
      </c>
      <c r="E831" s="112">
        <v>43122</v>
      </c>
    </row>
    <row r="832" spans="1:5" ht="13.95" customHeight="1">
      <c r="A832" s="110" t="s">
        <v>1058</v>
      </c>
      <c r="B832" s="110">
        <v>82</v>
      </c>
      <c r="C832" s="110">
        <v>1.5940000000000001</v>
      </c>
      <c r="E832" s="112">
        <v>42879</v>
      </c>
    </row>
    <row r="833" spans="1:31" ht="13.95" customHeight="1">
      <c r="A833" s="110" t="s">
        <v>1056</v>
      </c>
      <c r="B833" s="110">
        <v>51</v>
      </c>
      <c r="C833" s="110">
        <v>1.599</v>
      </c>
      <c r="E833" s="112">
        <v>42881</v>
      </c>
    </row>
    <row r="834" spans="1:31" ht="13.95" customHeight="1">
      <c r="A834" s="110" t="s">
        <v>1054</v>
      </c>
      <c r="B834" s="110">
        <v>38</v>
      </c>
      <c r="C834" s="110">
        <v>1.1399999999999999</v>
      </c>
      <c r="E834" s="112">
        <v>42881</v>
      </c>
    </row>
    <row r="835" spans="1:31" ht="13.95" customHeight="1">
      <c r="A835" s="110" t="s">
        <v>1053</v>
      </c>
      <c r="B835" s="110">
        <v>213</v>
      </c>
      <c r="C835" s="110">
        <v>1.542</v>
      </c>
      <c r="E835" s="112">
        <v>42881</v>
      </c>
    </row>
    <row r="836" spans="1:31" ht="13.95" customHeight="1">
      <c r="A836" s="110" t="s">
        <v>1052</v>
      </c>
      <c r="B836" s="110">
        <v>37</v>
      </c>
      <c r="C836" s="110">
        <v>1.425</v>
      </c>
      <c r="E836" s="112">
        <v>42881</v>
      </c>
    </row>
    <row r="837" spans="1:31" ht="13.95" customHeight="1">
      <c r="A837" s="110" t="s">
        <v>1132</v>
      </c>
      <c r="B837" s="110">
        <v>68</v>
      </c>
      <c r="C837" s="110">
        <v>1.7050000000000001</v>
      </c>
      <c r="E837" s="112">
        <v>42879</v>
      </c>
    </row>
    <row r="838" spans="1:31" ht="13.95" customHeight="1">
      <c r="A838" s="110" t="s">
        <v>1050</v>
      </c>
      <c r="B838" s="110" t="s">
        <v>2073</v>
      </c>
      <c r="C838" s="110">
        <v>1.3628</v>
      </c>
      <c r="E838" s="112">
        <v>43122</v>
      </c>
    </row>
    <row r="839" spans="1:31" ht="13.95" customHeight="1">
      <c r="A839" s="110" t="s">
        <v>1049</v>
      </c>
      <c r="B839" s="110">
        <v>205</v>
      </c>
      <c r="C839" s="110">
        <v>1.7204999999999999</v>
      </c>
      <c r="E839" s="112">
        <v>43123</v>
      </c>
    </row>
    <row r="840" spans="1:31" ht="13.95" customHeight="1">
      <c r="A840" s="110" t="s">
        <v>1048</v>
      </c>
      <c r="B840" s="110">
        <v>212</v>
      </c>
      <c r="C840" s="110">
        <v>1.5831999999999999</v>
      </c>
      <c r="E840" s="112">
        <v>43123</v>
      </c>
    </row>
    <row r="841" spans="1:31" ht="13.95" customHeight="1">
      <c r="A841" s="110" t="s">
        <v>1047</v>
      </c>
      <c r="B841" s="110">
        <v>90</v>
      </c>
      <c r="C841" s="110">
        <v>1.7455000000000001</v>
      </c>
      <c r="E841" s="112">
        <v>43125</v>
      </c>
    </row>
    <row r="842" spans="1:31" ht="13.95" customHeight="1">
      <c r="A842" s="110" t="s">
        <v>1046</v>
      </c>
      <c r="B842" s="110" t="s">
        <v>2073</v>
      </c>
      <c r="C842" s="110">
        <v>1.6388</v>
      </c>
      <c r="E842" s="112">
        <v>43116</v>
      </c>
    </row>
    <row r="843" spans="1:31" ht="13.95" customHeight="1">
      <c r="A843" s="110" t="s">
        <v>1045</v>
      </c>
      <c r="B843" s="110">
        <v>163</v>
      </c>
      <c r="C843" s="110">
        <v>1.696</v>
      </c>
      <c r="E843" s="112">
        <v>42881</v>
      </c>
    </row>
    <row r="844" spans="1:31" customFormat="1" ht="14.4">
      <c r="A844" s="110" t="s">
        <v>1044</v>
      </c>
      <c r="B844">
        <v>36</v>
      </c>
      <c r="C844" s="110">
        <v>1.671</v>
      </c>
      <c r="D844" s="110"/>
      <c r="E844" s="112">
        <v>42881</v>
      </c>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c r="AC844" s="110"/>
      <c r="AD844" s="110"/>
      <c r="AE844" s="110"/>
    </row>
    <row r="845" spans="1:31" customFormat="1" ht="14.4">
      <c r="A845" s="110" t="s">
        <v>1042</v>
      </c>
      <c r="B845" s="110">
        <v>15</v>
      </c>
      <c r="C845" s="110">
        <v>1.355</v>
      </c>
      <c r="D845" s="110"/>
      <c r="E845" s="112">
        <v>42879</v>
      </c>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c r="AC845" s="110"/>
      <c r="AD845" s="110"/>
      <c r="AE845" s="110"/>
    </row>
  </sheetData>
  <sortState ref="A2:AE845">
    <sortCondition ref="A2"/>
  </sortState>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196" customWidth="1"/>
    <col min="2" max="16384" width="11.44140625" style="196"/>
  </cols>
  <sheetData>
    <row r="1" spans="1:9" ht="36.6">
      <c r="A1" s="220" t="s">
        <v>2624</v>
      </c>
    </row>
    <row r="2" spans="1:9">
      <c r="A2" s="218" t="s">
        <v>2623</v>
      </c>
    </row>
    <row r="3" spans="1:9">
      <c r="A3" s="218" t="s">
        <v>2622</v>
      </c>
    </row>
    <row r="4" spans="1:9">
      <c r="A4" s="218" t="s">
        <v>2621</v>
      </c>
    </row>
    <row r="5" spans="1:9">
      <c r="A5" s="218" t="s">
        <v>2620</v>
      </c>
    </row>
    <row r="6" spans="1:9">
      <c r="A6" s="218" t="s">
        <v>2619</v>
      </c>
    </row>
    <row r="7" spans="1:9">
      <c r="A7" s="218" t="s">
        <v>2618</v>
      </c>
    </row>
    <row r="8" spans="1:9">
      <c r="A8" s="218" t="s">
        <v>2617</v>
      </c>
    </row>
    <row r="9" spans="1:9">
      <c r="A9" s="218" t="s">
        <v>2616</v>
      </c>
    </row>
    <row r="10" spans="1:9">
      <c r="A10" s="218" t="s">
        <v>2615</v>
      </c>
    </row>
    <row r="11" spans="1:9">
      <c r="A11" s="218" t="s">
        <v>2614</v>
      </c>
    </row>
    <row r="12" spans="1:9">
      <c r="A12" s="219"/>
    </row>
    <row r="13" spans="1:9" ht="15" thickBot="1">
      <c r="A13" s="218" t="s">
        <v>2613</v>
      </c>
    </row>
    <row r="14" spans="1:9" ht="43.8" thickBot="1">
      <c r="A14" s="217" t="s">
        <v>1144</v>
      </c>
      <c r="B14" s="216" t="s">
        <v>1141</v>
      </c>
      <c r="C14" s="216" t="s">
        <v>2612</v>
      </c>
      <c r="D14" s="216" t="s">
        <v>2611</v>
      </c>
      <c r="E14" s="216" t="s">
        <v>2610</v>
      </c>
    </row>
    <row r="15" spans="1:9" ht="15" thickBot="1">
      <c r="A15" s="215" t="s">
        <v>1742</v>
      </c>
      <c r="B15" s="214">
        <v>43150</v>
      </c>
      <c r="C15" s="213" t="s">
        <v>2609</v>
      </c>
      <c r="D15" s="213" t="s">
        <v>2608</v>
      </c>
      <c r="E15" s="213" t="s">
        <v>2607</v>
      </c>
    </row>
    <row r="16" spans="1:9">
      <c r="A16" s="273" t="s">
        <v>3633</v>
      </c>
      <c r="B16" s="212">
        <v>20</v>
      </c>
      <c r="H16" s="196" t="s">
        <v>2606</v>
      </c>
      <c r="I16" s="196">
        <v>800</v>
      </c>
    </row>
    <row r="17" spans="1:13">
      <c r="B17" s="196" t="s">
        <v>2605</v>
      </c>
      <c r="C17" s="196" t="s">
        <v>2604</v>
      </c>
      <c r="D17" s="196" t="s">
        <v>2603</v>
      </c>
      <c r="F17" s="211" t="s">
        <v>3634</v>
      </c>
      <c r="H17" s="196" t="s">
        <v>2602</v>
      </c>
      <c r="I17" s="196">
        <v>0</v>
      </c>
    </row>
    <row r="18" spans="1:13">
      <c r="A18" s="196" t="s">
        <v>2601</v>
      </c>
      <c r="B18" s="196">
        <f>(5*B16)/60</f>
        <v>1.6666666666666667</v>
      </c>
      <c r="C18" s="196">
        <v>4</v>
      </c>
      <c r="D18" s="196">
        <v>1</v>
      </c>
      <c r="E18" s="196">
        <v>1</v>
      </c>
      <c r="F18" s="211">
        <f>B18+C18+D18+E18</f>
        <v>7.666666666666667</v>
      </c>
      <c r="H18" s="196" t="s">
        <v>2600</v>
      </c>
      <c r="I18" s="196">
        <f>I16-I17</f>
        <v>800</v>
      </c>
      <c r="J18" s="196" t="s">
        <v>2599</v>
      </c>
      <c r="K18" s="196">
        <f>I18/B16</f>
        <v>40</v>
      </c>
      <c r="L18" s="196">
        <v>1</v>
      </c>
      <c r="M18" s="196" t="s">
        <v>2598</v>
      </c>
    </row>
    <row r="19" spans="1:13">
      <c r="H19" s="196" t="s">
        <v>2597</v>
      </c>
      <c r="I19" s="196">
        <f>F18*K18</f>
        <v>306.66666666666669</v>
      </c>
      <c r="J19" s="196" t="s">
        <v>2596</v>
      </c>
    </row>
    <row r="20" spans="1:13">
      <c r="K20" s="211">
        <f>K18</f>
        <v>40</v>
      </c>
      <c r="L20" s="211" t="s">
        <v>2595</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M1" sqref="M1"/>
    </sheetView>
  </sheetViews>
  <sheetFormatPr baseColWidth="10" defaultColWidth="8.88671875" defaultRowHeight="14.4"/>
  <cols>
    <col min="12" max="12" width="8.88671875" style="237"/>
  </cols>
  <sheetData>
    <row r="1" spans="1:15">
      <c r="A1" t="s">
        <v>2666</v>
      </c>
      <c r="B1" t="s">
        <v>2667</v>
      </c>
      <c r="C1" t="s">
        <v>2668</v>
      </c>
      <c r="D1" t="s">
        <v>2669</v>
      </c>
      <c r="E1" t="s">
        <v>2670</v>
      </c>
      <c r="F1" t="s">
        <v>2671</v>
      </c>
      <c r="G1" t="s">
        <v>2672</v>
      </c>
      <c r="H1" t="s">
        <v>2673</v>
      </c>
      <c r="I1" t="s">
        <v>2674</v>
      </c>
      <c r="J1" t="s">
        <v>2675</v>
      </c>
      <c r="K1" t="s">
        <v>2676</v>
      </c>
      <c r="L1" s="237" t="s">
        <v>2677</v>
      </c>
      <c r="M1" t="s">
        <v>2678</v>
      </c>
      <c r="N1" t="s">
        <v>2679</v>
      </c>
      <c r="O1" t="s">
        <v>2665</v>
      </c>
    </row>
    <row r="2" spans="1:15">
      <c r="A2">
        <v>1</v>
      </c>
      <c r="B2" t="s">
        <v>2171</v>
      </c>
      <c r="C2" t="s">
        <v>2172</v>
      </c>
      <c r="D2" t="s">
        <v>2643</v>
      </c>
      <c r="E2" t="s">
        <v>2643</v>
      </c>
      <c r="F2" t="s">
        <v>2173</v>
      </c>
      <c r="G2" t="s">
        <v>2932</v>
      </c>
      <c r="H2" t="s">
        <v>2933</v>
      </c>
      <c r="I2">
        <v>107</v>
      </c>
      <c r="J2">
        <v>811</v>
      </c>
      <c r="K2">
        <v>377</v>
      </c>
      <c r="L2" s="237" t="s">
        <v>2934</v>
      </c>
      <c r="M2">
        <v>69</v>
      </c>
      <c r="N2" t="s">
        <v>2683</v>
      </c>
      <c r="O2">
        <v>6.900000125</v>
      </c>
    </row>
    <row r="3" spans="1:15">
      <c r="A3">
        <v>3</v>
      </c>
      <c r="B3" t="s">
        <v>2171</v>
      </c>
      <c r="C3" t="s">
        <v>2179</v>
      </c>
      <c r="D3" t="s">
        <v>2643</v>
      </c>
      <c r="E3" t="s">
        <v>2643</v>
      </c>
      <c r="F3" t="s">
        <v>2173</v>
      </c>
      <c r="G3" t="s">
        <v>2932</v>
      </c>
      <c r="H3" t="s">
        <v>2933</v>
      </c>
      <c r="I3">
        <v>259</v>
      </c>
      <c r="J3">
        <v>742</v>
      </c>
      <c r="K3">
        <v>44</v>
      </c>
      <c r="L3" s="237" t="s">
        <v>2935</v>
      </c>
      <c r="M3">
        <v>69</v>
      </c>
      <c r="N3" t="s">
        <v>2683</v>
      </c>
      <c r="O3">
        <v>6.900000125</v>
      </c>
    </row>
    <row r="4" spans="1:15">
      <c r="A4">
        <v>4</v>
      </c>
      <c r="B4" t="s">
        <v>2171</v>
      </c>
      <c r="C4" t="s">
        <v>2181</v>
      </c>
      <c r="D4" t="s">
        <v>2643</v>
      </c>
      <c r="E4" t="s">
        <v>2643</v>
      </c>
      <c r="F4" t="s">
        <v>2173</v>
      </c>
      <c r="G4" t="s">
        <v>2932</v>
      </c>
      <c r="H4" t="s">
        <v>2933</v>
      </c>
      <c r="I4">
        <v>255</v>
      </c>
      <c r="J4">
        <v>661</v>
      </c>
      <c r="K4">
        <v>357</v>
      </c>
      <c r="L4" s="237" t="s">
        <v>2936</v>
      </c>
      <c r="M4">
        <v>69</v>
      </c>
      <c r="N4" t="s">
        <v>2683</v>
      </c>
      <c r="O4">
        <v>6.900000125</v>
      </c>
    </row>
    <row r="5" spans="1:15">
      <c r="A5">
        <v>6</v>
      </c>
      <c r="B5" t="s">
        <v>2171</v>
      </c>
      <c r="C5" t="s">
        <v>2185</v>
      </c>
      <c r="D5" t="s">
        <v>2643</v>
      </c>
      <c r="E5" t="s">
        <v>2643</v>
      </c>
      <c r="F5" t="s">
        <v>2173</v>
      </c>
      <c r="G5" t="s">
        <v>2932</v>
      </c>
      <c r="H5" t="s">
        <v>2933</v>
      </c>
      <c r="I5">
        <v>478</v>
      </c>
      <c r="J5">
        <v>688</v>
      </c>
      <c r="K5">
        <v>164</v>
      </c>
      <c r="L5" s="237" t="s">
        <v>2937</v>
      </c>
      <c r="M5">
        <v>69</v>
      </c>
      <c r="N5" t="s">
        <v>2683</v>
      </c>
      <c r="O5">
        <v>6.900000125</v>
      </c>
    </row>
    <row r="6" spans="1:15">
      <c r="A6">
        <v>7</v>
      </c>
      <c r="B6" t="s">
        <v>2171</v>
      </c>
      <c r="C6" t="s">
        <v>2186</v>
      </c>
      <c r="D6" t="s">
        <v>2643</v>
      </c>
      <c r="E6" t="s">
        <v>2643</v>
      </c>
      <c r="F6" t="s">
        <v>2173</v>
      </c>
      <c r="G6" t="s">
        <v>2932</v>
      </c>
      <c r="H6" t="s">
        <v>2933</v>
      </c>
      <c r="I6">
        <v>106</v>
      </c>
      <c r="J6">
        <v>762</v>
      </c>
      <c r="K6">
        <v>776</v>
      </c>
      <c r="L6" s="237" t="s">
        <v>2938</v>
      </c>
      <c r="M6">
        <v>69</v>
      </c>
      <c r="N6" t="s">
        <v>2683</v>
      </c>
      <c r="O6">
        <v>6.900000125</v>
      </c>
    </row>
    <row r="7" spans="1:15">
      <c r="A7">
        <v>8</v>
      </c>
      <c r="B7" t="s">
        <v>2171</v>
      </c>
      <c r="C7" t="s">
        <v>2187</v>
      </c>
      <c r="D7" t="s">
        <v>2643</v>
      </c>
      <c r="E7" t="s">
        <v>2643</v>
      </c>
      <c r="F7" t="s">
        <v>2173</v>
      </c>
      <c r="G7" t="s">
        <v>2932</v>
      </c>
      <c r="H7" t="s">
        <v>2933</v>
      </c>
      <c r="I7">
        <v>228</v>
      </c>
      <c r="J7">
        <v>727</v>
      </c>
      <c r="K7">
        <v>23</v>
      </c>
      <c r="L7" s="237" t="s">
        <v>2939</v>
      </c>
      <c r="M7">
        <v>69</v>
      </c>
      <c r="N7" t="s">
        <v>2683</v>
      </c>
      <c r="O7">
        <v>6.900000125</v>
      </c>
    </row>
    <row r="8" spans="1:15">
      <c r="A8">
        <v>9</v>
      </c>
      <c r="B8" t="s">
        <v>2171</v>
      </c>
      <c r="C8" t="s">
        <v>2188</v>
      </c>
      <c r="D8" t="s">
        <v>2643</v>
      </c>
      <c r="E8" t="s">
        <v>2643</v>
      </c>
      <c r="F8" t="s">
        <v>2189</v>
      </c>
      <c r="G8" t="s">
        <v>2932</v>
      </c>
      <c r="H8" t="s">
        <v>2933</v>
      </c>
      <c r="I8">
        <v>277</v>
      </c>
      <c r="J8">
        <v>785</v>
      </c>
      <c r="K8">
        <v>570</v>
      </c>
      <c r="L8" s="237" t="s">
        <v>2940</v>
      </c>
      <c r="M8">
        <v>69</v>
      </c>
      <c r="N8" t="s">
        <v>2691</v>
      </c>
      <c r="O8">
        <v>6.900000125</v>
      </c>
    </row>
    <row r="9" spans="1:15">
      <c r="A9">
        <v>11</v>
      </c>
      <c r="B9" t="s">
        <v>2171</v>
      </c>
      <c r="C9" t="s">
        <v>2192</v>
      </c>
      <c r="D9" t="s">
        <v>2643</v>
      </c>
      <c r="E9" t="s">
        <v>2643</v>
      </c>
      <c r="F9" t="s">
        <v>2189</v>
      </c>
      <c r="G9" t="s">
        <v>2932</v>
      </c>
      <c r="H9" t="s">
        <v>2933</v>
      </c>
      <c r="I9">
        <v>435</v>
      </c>
      <c r="J9">
        <v>748</v>
      </c>
      <c r="K9">
        <v>663</v>
      </c>
      <c r="L9" s="237" t="s">
        <v>2941</v>
      </c>
      <c r="M9">
        <v>69</v>
      </c>
      <c r="N9" t="s">
        <v>2691</v>
      </c>
      <c r="O9">
        <v>6.900000125</v>
      </c>
    </row>
    <row r="10" spans="1:15">
      <c r="A10">
        <v>13</v>
      </c>
      <c r="B10" t="s">
        <v>2171</v>
      </c>
      <c r="C10" t="s">
        <v>2194</v>
      </c>
      <c r="D10" t="s">
        <v>2643</v>
      </c>
      <c r="E10" t="s">
        <v>2643</v>
      </c>
      <c r="F10" t="s">
        <v>2189</v>
      </c>
      <c r="G10" t="s">
        <v>2932</v>
      </c>
      <c r="H10" t="s">
        <v>2933</v>
      </c>
      <c r="I10">
        <v>2</v>
      </c>
      <c r="J10">
        <v>784</v>
      </c>
      <c r="K10">
        <v>874</v>
      </c>
      <c r="L10" s="237" t="s">
        <v>2942</v>
      </c>
      <c r="M10">
        <v>69</v>
      </c>
      <c r="N10" t="s">
        <v>2691</v>
      </c>
      <c r="O10">
        <v>6.900000125</v>
      </c>
    </row>
    <row r="11" spans="1:15">
      <c r="A11">
        <v>14</v>
      </c>
      <c r="B11" t="s">
        <v>2171</v>
      </c>
      <c r="C11" t="s">
        <v>2196</v>
      </c>
      <c r="D11" t="s">
        <v>2643</v>
      </c>
      <c r="E11" t="s">
        <v>2643</v>
      </c>
      <c r="F11" t="s">
        <v>2189</v>
      </c>
      <c r="G11" t="s">
        <v>2932</v>
      </c>
      <c r="H11" t="s">
        <v>2933</v>
      </c>
      <c r="I11">
        <v>225</v>
      </c>
      <c r="J11">
        <v>838</v>
      </c>
      <c r="K11">
        <v>219</v>
      </c>
      <c r="L11" s="237" t="s">
        <v>2943</v>
      </c>
      <c r="M11">
        <v>69</v>
      </c>
      <c r="N11" t="s">
        <v>2691</v>
      </c>
      <c r="O11">
        <v>6.900000125</v>
      </c>
    </row>
    <row r="12" spans="1:15">
      <c r="A12">
        <v>15</v>
      </c>
      <c r="B12" t="s">
        <v>2171</v>
      </c>
      <c r="C12" t="s">
        <v>2197</v>
      </c>
      <c r="D12" t="s">
        <v>2643</v>
      </c>
      <c r="E12" t="s">
        <v>2643</v>
      </c>
      <c r="F12" t="s">
        <v>2189</v>
      </c>
      <c r="G12" t="s">
        <v>2932</v>
      </c>
      <c r="H12" t="s">
        <v>2933</v>
      </c>
      <c r="I12">
        <v>444</v>
      </c>
      <c r="J12">
        <v>793</v>
      </c>
      <c r="K12">
        <v>630</v>
      </c>
      <c r="L12" s="237" t="s">
        <v>2944</v>
      </c>
      <c r="M12">
        <v>69</v>
      </c>
      <c r="N12" t="s">
        <v>2691</v>
      </c>
      <c r="O12">
        <v>6.900000125</v>
      </c>
    </row>
    <row r="13" spans="1:15">
      <c r="A13">
        <v>16</v>
      </c>
      <c r="B13" t="s">
        <v>2171</v>
      </c>
      <c r="C13" t="s">
        <v>2200</v>
      </c>
      <c r="D13" t="s">
        <v>2643</v>
      </c>
      <c r="E13" t="s">
        <v>2643</v>
      </c>
      <c r="F13" t="s">
        <v>2189</v>
      </c>
      <c r="G13" t="s">
        <v>2932</v>
      </c>
      <c r="H13" t="s">
        <v>2933</v>
      </c>
      <c r="I13">
        <v>376</v>
      </c>
      <c r="J13">
        <v>755</v>
      </c>
      <c r="K13">
        <v>662</v>
      </c>
      <c r="L13" s="237" t="s">
        <v>2945</v>
      </c>
      <c r="M13">
        <v>69</v>
      </c>
      <c r="N13" t="s">
        <v>2691</v>
      </c>
      <c r="O13">
        <v>6.900000125</v>
      </c>
    </row>
    <row r="14" spans="1:15">
      <c r="A14">
        <v>17</v>
      </c>
      <c r="B14" t="s">
        <v>2171</v>
      </c>
      <c r="C14" t="s">
        <v>2202</v>
      </c>
      <c r="D14" t="s">
        <v>2643</v>
      </c>
      <c r="E14" t="s">
        <v>2643</v>
      </c>
      <c r="F14" t="s">
        <v>2203</v>
      </c>
      <c r="G14" t="s">
        <v>2946</v>
      </c>
      <c r="H14" t="s">
        <v>2933</v>
      </c>
      <c r="I14">
        <v>209</v>
      </c>
      <c r="J14">
        <v>826</v>
      </c>
      <c r="K14">
        <v>349</v>
      </c>
      <c r="L14" s="237" t="s">
        <v>2947</v>
      </c>
      <c r="M14">
        <v>71</v>
      </c>
      <c r="N14" t="s">
        <v>2700</v>
      </c>
      <c r="O14">
        <v>6.900000125</v>
      </c>
    </row>
    <row r="15" spans="1:15">
      <c r="A15">
        <v>18</v>
      </c>
      <c r="B15" t="s">
        <v>2171</v>
      </c>
      <c r="C15" t="s">
        <v>2205</v>
      </c>
      <c r="D15" t="s">
        <v>2643</v>
      </c>
      <c r="E15" t="s">
        <v>2643</v>
      </c>
      <c r="F15" t="s">
        <v>2203</v>
      </c>
      <c r="G15" t="s">
        <v>2946</v>
      </c>
      <c r="H15" t="s">
        <v>2933</v>
      </c>
      <c r="I15">
        <v>10</v>
      </c>
      <c r="J15">
        <v>732</v>
      </c>
      <c r="K15">
        <v>113</v>
      </c>
      <c r="L15" s="237" t="s">
        <v>2948</v>
      </c>
      <c r="M15">
        <v>71</v>
      </c>
      <c r="N15" t="s">
        <v>2700</v>
      </c>
      <c r="O15">
        <v>6.900000125</v>
      </c>
    </row>
    <row r="16" spans="1:15">
      <c r="A16">
        <v>19</v>
      </c>
      <c r="B16" t="s">
        <v>2171</v>
      </c>
      <c r="C16" t="s">
        <v>2206</v>
      </c>
      <c r="D16" t="s">
        <v>2643</v>
      </c>
      <c r="E16" t="s">
        <v>2643</v>
      </c>
      <c r="F16" t="s">
        <v>2203</v>
      </c>
      <c r="G16" t="s">
        <v>2946</v>
      </c>
      <c r="H16" t="s">
        <v>2933</v>
      </c>
      <c r="I16">
        <v>190</v>
      </c>
      <c r="J16">
        <v>749</v>
      </c>
      <c r="K16">
        <v>394</v>
      </c>
      <c r="L16" s="237" t="s">
        <v>2949</v>
      </c>
      <c r="M16">
        <v>71</v>
      </c>
      <c r="N16" t="s">
        <v>2700</v>
      </c>
      <c r="O16">
        <v>6.900000125</v>
      </c>
    </row>
    <row r="17" spans="1:15">
      <c r="A17">
        <v>20</v>
      </c>
      <c r="B17" t="s">
        <v>2171</v>
      </c>
      <c r="C17" t="s">
        <v>2207</v>
      </c>
      <c r="D17" t="s">
        <v>2643</v>
      </c>
      <c r="E17" t="s">
        <v>2643</v>
      </c>
      <c r="F17" t="s">
        <v>2203</v>
      </c>
      <c r="G17" t="s">
        <v>2946</v>
      </c>
      <c r="H17" t="s">
        <v>2933</v>
      </c>
      <c r="I17">
        <v>38</v>
      </c>
      <c r="J17">
        <v>632</v>
      </c>
      <c r="K17">
        <v>79</v>
      </c>
      <c r="L17" s="237" t="s">
        <v>2950</v>
      </c>
      <c r="M17">
        <v>71</v>
      </c>
      <c r="N17" t="s">
        <v>2700</v>
      </c>
      <c r="O17">
        <v>6.900000125</v>
      </c>
    </row>
    <row r="18" spans="1:15">
      <c r="A18">
        <v>21</v>
      </c>
      <c r="B18" t="s">
        <v>2171</v>
      </c>
      <c r="C18" t="s">
        <v>2208</v>
      </c>
      <c r="D18" t="s">
        <v>2643</v>
      </c>
      <c r="E18" t="s">
        <v>2643</v>
      </c>
      <c r="F18" t="s">
        <v>2203</v>
      </c>
      <c r="G18" t="s">
        <v>2946</v>
      </c>
      <c r="H18" t="s">
        <v>2933</v>
      </c>
      <c r="I18">
        <v>468</v>
      </c>
      <c r="J18">
        <v>630</v>
      </c>
      <c r="K18">
        <v>488</v>
      </c>
      <c r="L18" s="237" t="s">
        <v>2951</v>
      </c>
      <c r="M18">
        <v>71</v>
      </c>
      <c r="N18" t="s">
        <v>2700</v>
      </c>
      <c r="O18">
        <v>6.900000125</v>
      </c>
    </row>
    <row r="19" spans="1:15">
      <c r="A19">
        <v>22</v>
      </c>
      <c r="B19" t="s">
        <v>2171</v>
      </c>
      <c r="C19" t="s">
        <v>2209</v>
      </c>
      <c r="D19" t="s">
        <v>2643</v>
      </c>
      <c r="E19" t="s">
        <v>2643</v>
      </c>
      <c r="F19" t="s">
        <v>2203</v>
      </c>
      <c r="G19" t="s">
        <v>2946</v>
      </c>
      <c r="H19" t="s">
        <v>2933</v>
      </c>
      <c r="I19">
        <v>8</v>
      </c>
      <c r="J19">
        <v>723</v>
      </c>
      <c r="K19">
        <v>750</v>
      </c>
      <c r="L19" s="237" t="s">
        <v>2952</v>
      </c>
      <c r="M19">
        <v>71</v>
      </c>
      <c r="N19" t="s">
        <v>2700</v>
      </c>
      <c r="O19">
        <v>6.900000125</v>
      </c>
    </row>
    <row r="20" spans="1:15">
      <c r="A20">
        <v>24</v>
      </c>
      <c r="B20" t="s">
        <v>2171</v>
      </c>
      <c r="C20" t="s">
        <v>2211</v>
      </c>
      <c r="D20" t="s">
        <v>2643</v>
      </c>
      <c r="E20" t="s">
        <v>2643</v>
      </c>
      <c r="F20" t="s">
        <v>2203</v>
      </c>
      <c r="G20" t="s">
        <v>2946</v>
      </c>
      <c r="H20" t="s">
        <v>2933</v>
      </c>
      <c r="I20">
        <v>320</v>
      </c>
      <c r="J20">
        <v>225</v>
      </c>
      <c r="K20">
        <v>562</v>
      </c>
      <c r="L20" s="237" t="s">
        <v>2953</v>
      </c>
      <c r="M20">
        <v>71</v>
      </c>
      <c r="N20" t="s">
        <v>2700</v>
      </c>
      <c r="O20">
        <v>6.900000125</v>
      </c>
    </row>
    <row r="21" spans="1:15">
      <c r="A21">
        <v>25</v>
      </c>
      <c r="B21" t="s">
        <v>2171</v>
      </c>
      <c r="C21" t="s">
        <v>2212</v>
      </c>
      <c r="D21" t="s">
        <v>2643</v>
      </c>
      <c r="E21" t="s">
        <v>2643</v>
      </c>
      <c r="F21" t="s">
        <v>2213</v>
      </c>
      <c r="G21" t="s">
        <v>2946</v>
      </c>
      <c r="H21" t="s">
        <v>2933</v>
      </c>
      <c r="I21">
        <v>32</v>
      </c>
      <c r="J21">
        <v>43</v>
      </c>
      <c r="K21">
        <v>156</v>
      </c>
      <c r="L21" s="237" t="s">
        <v>2954</v>
      </c>
      <c r="M21">
        <v>71</v>
      </c>
      <c r="N21" t="s">
        <v>2708</v>
      </c>
      <c r="O21">
        <v>6.900000125</v>
      </c>
    </row>
    <row r="22" spans="1:15">
      <c r="A22">
        <v>26</v>
      </c>
      <c r="B22" t="s">
        <v>2171</v>
      </c>
      <c r="C22" t="s">
        <v>2214</v>
      </c>
      <c r="D22" t="s">
        <v>2643</v>
      </c>
      <c r="E22" t="s">
        <v>2643</v>
      </c>
      <c r="F22" t="s">
        <v>2213</v>
      </c>
      <c r="G22" t="s">
        <v>2946</v>
      </c>
      <c r="H22" t="s">
        <v>2933</v>
      </c>
      <c r="I22">
        <v>58</v>
      </c>
      <c r="J22">
        <v>602</v>
      </c>
      <c r="K22">
        <v>555</v>
      </c>
      <c r="L22" s="237" t="s">
        <v>2955</v>
      </c>
      <c r="M22">
        <v>71</v>
      </c>
      <c r="N22" t="s">
        <v>2708</v>
      </c>
      <c r="O22">
        <v>6.900000125</v>
      </c>
    </row>
    <row r="23" spans="1:15">
      <c r="A23">
        <v>27</v>
      </c>
      <c r="B23" t="s">
        <v>2171</v>
      </c>
      <c r="C23" t="s">
        <v>2215</v>
      </c>
      <c r="D23" t="s">
        <v>2643</v>
      </c>
      <c r="E23" t="s">
        <v>2643</v>
      </c>
      <c r="F23" t="s">
        <v>2213</v>
      </c>
      <c r="G23" t="s">
        <v>2946</v>
      </c>
      <c r="H23" t="s">
        <v>2933</v>
      </c>
      <c r="I23">
        <v>340</v>
      </c>
      <c r="J23">
        <v>666</v>
      </c>
      <c r="K23">
        <v>378</v>
      </c>
      <c r="L23" s="237" t="s">
        <v>2956</v>
      </c>
      <c r="M23">
        <v>71</v>
      </c>
      <c r="N23" t="s">
        <v>2708</v>
      </c>
      <c r="O23">
        <v>6.900000125</v>
      </c>
    </row>
    <row r="24" spans="1:15">
      <c r="A24">
        <v>28</v>
      </c>
      <c r="B24" t="s">
        <v>2171</v>
      </c>
      <c r="C24" t="s">
        <v>2216</v>
      </c>
      <c r="D24" t="s">
        <v>2643</v>
      </c>
      <c r="E24" t="s">
        <v>2643</v>
      </c>
      <c r="F24" t="s">
        <v>2213</v>
      </c>
      <c r="G24" t="s">
        <v>2946</v>
      </c>
      <c r="H24" t="s">
        <v>2933</v>
      </c>
      <c r="I24">
        <v>61</v>
      </c>
      <c r="J24">
        <v>705</v>
      </c>
      <c r="K24">
        <v>46</v>
      </c>
      <c r="L24" s="237" t="s">
        <v>2957</v>
      </c>
      <c r="M24">
        <v>71</v>
      </c>
      <c r="N24" t="s">
        <v>2708</v>
      </c>
      <c r="O24">
        <v>6.900000125</v>
      </c>
    </row>
    <row r="25" spans="1:15">
      <c r="A25">
        <v>29</v>
      </c>
      <c r="B25" t="s">
        <v>2171</v>
      </c>
      <c r="C25" t="s">
        <v>2217</v>
      </c>
      <c r="D25" t="s">
        <v>2643</v>
      </c>
      <c r="E25" t="s">
        <v>2643</v>
      </c>
      <c r="F25" t="s">
        <v>2213</v>
      </c>
      <c r="G25" t="s">
        <v>2946</v>
      </c>
      <c r="H25" t="s">
        <v>2933</v>
      </c>
      <c r="I25">
        <v>319</v>
      </c>
      <c r="J25">
        <v>305</v>
      </c>
      <c r="K25">
        <v>397</v>
      </c>
      <c r="L25" s="237" t="s">
        <v>2958</v>
      </c>
      <c r="M25">
        <v>71</v>
      </c>
      <c r="N25" t="s">
        <v>2708</v>
      </c>
      <c r="O25">
        <v>6.900000125</v>
      </c>
    </row>
    <row r="26" spans="1:15">
      <c r="A26">
        <v>30</v>
      </c>
      <c r="B26" t="s">
        <v>2171</v>
      </c>
      <c r="C26" t="s">
        <v>2218</v>
      </c>
      <c r="D26" t="s">
        <v>2643</v>
      </c>
      <c r="E26" t="s">
        <v>2643</v>
      </c>
      <c r="F26" t="s">
        <v>2213</v>
      </c>
      <c r="G26" t="s">
        <v>2946</v>
      </c>
      <c r="H26" t="s">
        <v>2933</v>
      </c>
      <c r="I26">
        <v>273</v>
      </c>
      <c r="J26">
        <v>667</v>
      </c>
      <c r="K26">
        <v>166</v>
      </c>
      <c r="L26" s="237" t="s">
        <v>2959</v>
      </c>
      <c r="M26">
        <v>71</v>
      </c>
      <c r="N26" t="s">
        <v>2708</v>
      </c>
      <c r="O26">
        <v>6.900000125</v>
      </c>
    </row>
    <row r="27" spans="1:15">
      <c r="A27">
        <v>32</v>
      </c>
      <c r="B27" t="s">
        <v>2171</v>
      </c>
      <c r="C27" t="s">
        <v>2220</v>
      </c>
      <c r="D27" t="s">
        <v>2643</v>
      </c>
      <c r="E27" t="s">
        <v>2643</v>
      </c>
      <c r="F27" t="s">
        <v>2213</v>
      </c>
      <c r="G27" t="s">
        <v>2946</v>
      </c>
      <c r="H27" t="s">
        <v>2933</v>
      </c>
      <c r="I27">
        <v>193</v>
      </c>
      <c r="J27">
        <v>743</v>
      </c>
      <c r="K27">
        <v>293</v>
      </c>
      <c r="L27" s="237" t="s">
        <v>2960</v>
      </c>
      <c r="M27">
        <v>71</v>
      </c>
      <c r="N27" t="s">
        <v>2708</v>
      </c>
      <c r="O27">
        <v>6.900000125</v>
      </c>
    </row>
    <row r="28" spans="1:15">
      <c r="A28">
        <v>33</v>
      </c>
      <c r="B28" t="s">
        <v>2171</v>
      </c>
      <c r="C28" t="s">
        <v>2221</v>
      </c>
      <c r="D28" t="s">
        <v>2643</v>
      </c>
      <c r="E28" t="s">
        <v>2643</v>
      </c>
      <c r="F28" t="s">
        <v>2222</v>
      </c>
      <c r="G28" t="s">
        <v>2932</v>
      </c>
      <c r="H28" t="s">
        <v>2961</v>
      </c>
      <c r="I28">
        <v>218</v>
      </c>
      <c r="J28">
        <v>769</v>
      </c>
      <c r="K28">
        <v>139</v>
      </c>
      <c r="L28" s="237" t="s">
        <v>2962</v>
      </c>
      <c r="M28">
        <v>67</v>
      </c>
      <c r="N28" t="s">
        <v>2719</v>
      </c>
      <c r="O28">
        <v>6.5250000359999998</v>
      </c>
    </row>
    <row r="29" spans="1:15">
      <c r="A29">
        <v>34</v>
      </c>
      <c r="B29" t="s">
        <v>2171</v>
      </c>
      <c r="C29" t="s">
        <v>2224</v>
      </c>
      <c r="D29" t="s">
        <v>2643</v>
      </c>
      <c r="E29" t="s">
        <v>2643</v>
      </c>
      <c r="F29" t="s">
        <v>2222</v>
      </c>
      <c r="G29" t="s">
        <v>2932</v>
      </c>
      <c r="H29" t="s">
        <v>2961</v>
      </c>
      <c r="I29">
        <v>104</v>
      </c>
      <c r="J29">
        <v>753</v>
      </c>
      <c r="K29">
        <v>487</v>
      </c>
      <c r="L29" s="237" t="s">
        <v>2963</v>
      </c>
      <c r="M29">
        <v>67</v>
      </c>
      <c r="N29" t="s">
        <v>2719</v>
      </c>
      <c r="O29">
        <v>6.5250000359999998</v>
      </c>
    </row>
    <row r="30" spans="1:15">
      <c r="A30">
        <v>35</v>
      </c>
      <c r="B30" t="s">
        <v>2171</v>
      </c>
      <c r="C30" t="s">
        <v>2227</v>
      </c>
      <c r="D30" t="s">
        <v>2643</v>
      </c>
      <c r="E30" t="s">
        <v>2643</v>
      </c>
      <c r="F30" t="s">
        <v>2222</v>
      </c>
      <c r="G30" t="s">
        <v>2932</v>
      </c>
      <c r="H30" t="s">
        <v>2961</v>
      </c>
      <c r="I30">
        <v>188</v>
      </c>
      <c r="J30">
        <v>776</v>
      </c>
      <c r="K30">
        <v>717</v>
      </c>
      <c r="L30" s="237" t="s">
        <v>2964</v>
      </c>
      <c r="M30">
        <v>67</v>
      </c>
      <c r="N30" t="s">
        <v>2719</v>
      </c>
      <c r="O30">
        <v>6.5250000359999998</v>
      </c>
    </row>
    <row r="31" spans="1:15">
      <c r="A31">
        <v>36</v>
      </c>
      <c r="B31" t="s">
        <v>2171</v>
      </c>
      <c r="C31" t="s">
        <v>2228</v>
      </c>
      <c r="D31" t="s">
        <v>2643</v>
      </c>
      <c r="E31" t="s">
        <v>2643</v>
      </c>
      <c r="F31" t="s">
        <v>2222</v>
      </c>
      <c r="G31" t="s">
        <v>2932</v>
      </c>
      <c r="H31" t="s">
        <v>2961</v>
      </c>
      <c r="I31">
        <v>379</v>
      </c>
      <c r="J31">
        <v>799</v>
      </c>
      <c r="K31">
        <v>767</v>
      </c>
      <c r="L31" s="237" t="s">
        <v>2965</v>
      </c>
      <c r="M31">
        <v>67</v>
      </c>
      <c r="N31" t="s">
        <v>2719</v>
      </c>
      <c r="O31">
        <v>6.5250000359999998</v>
      </c>
    </row>
    <row r="32" spans="1:15">
      <c r="A32">
        <v>37</v>
      </c>
      <c r="B32" t="s">
        <v>2171</v>
      </c>
      <c r="C32" t="s">
        <v>2230</v>
      </c>
      <c r="D32" t="s">
        <v>2643</v>
      </c>
      <c r="E32" t="s">
        <v>2643</v>
      </c>
      <c r="F32" t="s">
        <v>2222</v>
      </c>
      <c r="G32" t="s">
        <v>2932</v>
      </c>
      <c r="H32" t="s">
        <v>2961</v>
      </c>
      <c r="I32">
        <v>66</v>
      </c>
      <c r="J32">
        <v>722</v>
      </c>
      <c r="K32">
        <v>473</v>
      </c>
      <c r="L32" s="237" t="s">
        <v>2966</v>
      </c>
      <c r="M32">
        <v>67</v>
      </c>
      <c r="N32" t="s">
        <v>2719</v>
      </c>
      <c r="O32">
        <v>6.5250000359999998</v>
      </c>
    </row>
    <row r="33" spans="1:15">
      <c r="A33">
        <v>38</v>
      </c>
      <c r="B33" t="s">
        <v>2171</v>
      </c>
      <c r="C33" t="s">
        <v>2232</v>
      </c>
      <c r="D33" t="s">
        <v>2643</v>
      </c>
      <c r="E33" t="s">
        <v>2643</v>
      </c>
      <c r="F33" t="s">
        <v>2222</v>
      </c>
      <c r="G33" t="s">
        <v>2932</v>
      </c>
      <c r="H33" t="s">
        <v>2961</v>
      </c>
      <c r="I33">
        <v>625</v>
      </c>
      <c r="J33">
        <v>796</v>
      </c>
      <c r="K33">
        <v>111</v>
      </c>
      <c r="L33" s="237" t="s">
        <v>2967</v>
      </c>
      <c r="M33">
        <v>67</v>
      </c>
      <c r="N33" t="s">
        <v>2719</v>
      </c>
      <c r="O33">
        <v>6.5250000359999998</v>
      </c>
    </row>
    <row r="34" spans="1:15">
      <c r="A34">
        <v>40</v>
      </c>
      <c r="B34" t="s">
        <v>2171</v>
      </c>
      <c r="C34" t="s">
        <v>2236</v>
      </c>
      <c r="D34" t="s">
        <v>2643</v>
      </c>
      <c r="E34" t="s">
        <v>2643</v>
      </c>
      <c r="F34" t="s">
        <v>2222</v>
      </c>
      <c r="G34" t="s">
        <v>2932</v>
      </c>
      <c r="H34" t="s">
        <v>2961</v>
      </c>
      <c r="I34">
        <v>88</v>
      </c>
      <c r="J34">
        <v>782</v>
      </c>
      <c r="K34">
        <v>646</v>
      </c>
      <c r="L34" s="237" t="s">
        <v>2968</v>
      </c>
      <c r="M34">
        <v>67</v>
      </c>
      <c r="N34" t="s">
        <v>2719</v>
      </c>
      <c r="O34">
        <v>6.5250000359999998</v>
      </c>
    </row>
    <row r="35" spans="1:15">
      <c r="A35">
        <v>41</v>
      </c>
      <c r="B35" t="s">
        <v>2171</v>
      </c>
      <c r="C35" t="s">
        <v>2238</v>
      </c>
      <c r="D35" t="s">
        <v>2643</v>
      </c>
      <c r="E35" t="s">
        <v>2643</v>
      </c>
      <c r="F35" t="s">
        <v>2239</v>
      </c>
      <c r="G35" t="s">
        <v>2932</v>
      </c>
      <c r="H35" t="s">
        <v>2961</v>
      </c>
      <c r="I35">
        <v>256</v>
      </c>
      <c r="J35">
        <v>820</v>
      </c>
      <c r="K35">
        <v>43</v>
      </c>
      <c r="L35" s="237" t="s">
        <v>2969</v>
      </c>
      <c r="M35">
        <v>67</v>
      </c>
      <c r="N35" t="s">
        <v>2728</v>
      </c>
      <c r="O35">
        <v>6.5250000359999998</v>
      </c>
    </row>
    <row r="36" spans="1:15">
      <c r="A36">
        <v>42</v>
      </c>
      <c r="B36" t="s">
        <v>2171</v>
      </c>
      <c r="C36" t="s">
        <v>2240</v>
      </c>
      <c r="D36" t="s">
        <v>2643</v>
      </c>
      <c r="E36" t="s">
        <v>2643</v>
      </c>
      <c r="F36" t="s">
        <v>2239</v>
      </c>
      <c r="G36" t="s">
        <v>2932</v>
      </c>
      <c r="H36" t="s">
        <v>2961</v>
      </c>
      <c r="I36">
        <v>341</v>
      </c>
      <c r="J36">
        <v>806</v>
      </c>
      <c r="K36">
        <v>268</v>
      </c>
      <c r="L36" s="237" t="s">
        <v>2970</v>
      </c>
      <c r="M36">
        <v>67</v>
      </c>
      <c r="N36" t="s">
        <v>2728</v>
      </c>
      <c r="O36">
        <v>6.5250000359999998</v>
      </c>
    </row>
    <row r="37" spans="1:15">
      <c r="A37">
        <v>43</v>
      </c>
      <c r="B37" t="s">
        <v>2171</v>
      </c>
      <c r="C37" t="s">
        <v>2242</v>
      </c>
      <c r="D37" t="s">
        <v>2643</v>
      </c>
      <c r="E37" t="s">
        <v>2643</v>
      </c>
      <c r="F37" t="s">
        <v>2239</v>
      </c>
      <c r="G37" t="s">
        <v>2932</v>
      </c>
      <c r="H37" t="s">
        <v>2961</v>
      </c>
      <c r="I37">
        <v>246</v>
      </c>
      <c r="J37">
        <v>758</v>
      </c>
      <c r="K37">
        <v>300</v>
      </c>
      <c r="L37" s="237" t="s">
        <v>2971</v>
      </c>
      <c r="M37">
        <v>67</v>
      </c>
      <c r="N37" t="s">
        <v>2728</v>
      </c>
      <c r="O37">
        <v>6.5250000359999998</v>
      </c>
    </row>
    <row r="38" spans="1:15">
      <c r="A38">
        <v>44</v>
      </c>
      <c r="B38" t="s">
        <v>2171</v>
      </c>
      <c r="C38" t="s">
        <v>2243</v>
      </c>
      <c r="D38" t="s">
        <v>2643</v>
      </c>
      <c r="E38" t="s">
        <v>2643</v>
      </c>
      <c r="F38" t="s">
        <v>2239</v>
      </c>
      <c r="G38" t="s">
        <v>2932</v>
      </c>
      <c r="H38" t="s">
        <v>2961</v>
      </c>
      <c r="I38">
        <v>115</v>
      </c>
      <c r="J38">
        <v>783</v>
      </c>
      <c r="K38">
        <v>823</v>
      </c>
      <c r="L38" s="237" t="s">
        <v>2972</v>
      </c>
      <c r="M38">
        <v>67</v>
      </c>
      <c r="N38" t="s">
        <v>2728</v>
      </c>
      <c r="O38">
        <v>6.5250000359999998</v>
      </c>
    </row>
    <row r="39" spans="1:15">
      <c r="A39">
        <v>45</v>
      </c>
      <c r="B39" t="s">
        <v>2171</v>
      </c>
      <c r="C39" t="s">
        <v>2244</v>
      </c>
      <c r="D39" t="s">
        <v>2643</v>
      </c>
      <c r="E39" t="s">
        <v>2643</v>
      </c>
      <c r="F39" t="s">
        <v>2239</v>
      </c>
      <c r="G39" t="s">
        <v>2932</v>
      </c>
      <c r="H39" t="s">
        <v>2961</v>
      </c>
      <c r="I39">
        <v>480</v>
      </c>
      <c r="J39">
        <v>827</v>
      </c>
      <c r="K39">
        <v>354</v>
      </c>
      <c r="L39" s="237" t="s">
        <v>2973</v>
      </c>
      <c r="M39">
        <v>67</v>
      </c>
      <c r="N39" t="s">
        <v>2728</v>
      </c>
      <c r="O39">
        <v>6.5250000359999998</v>
      </c>
    </row>
    <row r="40" spans="1:15">
      <c r="A40">
        <v>47</v>
      </c>
      <c r="B40" t="s">
        <v>2171</v>
      </c>
      <c r="C40" t="s">
        <v>2247</v>
      </c>
      <c r="D40" t="s">
        <v>2643</v>
      </c>
      <c r="E40" t="s">
        <v>2643</v>
      </c>
      <c r="F40" t="s">
        <v>2239</v>
      </c>
      <c r="G40" t="s">
        <v>2932</v>
      </c>
      <c r="H40" t="s">
        <v>2961</v>
      </c>
      <c r="I40">
        <v>110</v>
      </c>
      <c r="J40">
        <v>831</v>
      </c>
      <c r="K40">
        <v>659</v>
      </c>
      <c r="L40" s="237" t="s">
        <v>2974</v>
      </c>
      <c r="M40">
        <v>67</v>
      </c>
      <c r="N40" t="s">
        <v>2728</v>
      </c>
      <c r="O40">
        <v>6.5250000359999998</v>
      </c>
    </row>
    <row r="41" spans="1:15">
      <c r="A41">
        <v>48</v>
      </c>
      <c r="B41" t="s">
        <v>2171</v>
      </c>
      <c r="C41" t="s">
        <v>2249</v>
      </c>
      <c r="D41" t="s">
        <v>2643</v>
      </c>
      <c r="E41" t="s">
        <v>2643</v>
      </c>
      <c r="F41" t="s">
        <v>2239</v>
      </c>
      <c r="G41" t="s">
        <v>2932</v>
      </c>
      <c r="H41" t="s">
        <v>2961</v>
      </c>
      <c r="I41">
        <v>233</v>
      </c>
      <c r="J41">
        <v>828</v>
      </c>
      <c r="K41">
        <v>267</v>
      </c>
      <c r="L41" s="237" t="s">
        <v>2975</v>
      </c>
      <c r="M41">
        <v>67</v>
      </c>
      <c r="N41" t="s">
        <v>2728</v>
      </c>
      <c r="O41">
        <v>6.5250000359999998</v>
      </c>
    </row>
    <row r="42" spans="1:15">
      <c r="A42">
        <v>49</v>
      </c>
      <c r="B42" t="s">
        <v>2171</v>
      </c>
      <c r="C42" t="s">
        <v>2250</v>
      </c>
      <c r="D42" t="s">
        <v>2643</v>
      </c>
      <c r="E42" t="s">
        <v>2643</v>
      </c>
      <c r="F42" t="s">
        <v>2251</v>
      </c>
      <c r="G42" t="s">
        <v>2932</v>
      </c>
      <c r="H42" t="s">
        <v>2961</v>
      </c>
      <c r="I42">
        <v>54</v>
      </c>
      <c r="J42">
        <v>805</v>
      </c>
      <c r="K42">
        <v>812</v>
      </c>
      <c r="L42" s="237" t="s">
        <v>2976</v>
      </c>
      <c r="M42">
        <v>67</v>
      </c>
      <c r="N42" t="s">
        <v>2737</v>
      </c>
      <c r="O42">
        <v>6.5250000359999998</v>
      </c>
    </row>
    <row r="43" spans="1:15">
      <c r="A43">
        <v>51</v>
      </c>
      <c r="B43" t="s">
        <v>2171</v>
      </c>
      <c r="C43" t="s">
        <v>2253</v>
      </c>
      <c r="D43" t="s">
        <v>2643</v>
      </c>
      <c r="E43" t="s">
        <v>2643</v>
      </c>
      <c r="F43" t="s">
        <v>2251</v>
      </c>
      <c r="G43" t="s">
        <v>2932</v>
      </c>
      <c r="H43" t="s">
        <v>2961</v>
      </c>
      <c r="I43">
        <v>227</v>
      </c>
      <c r="J43">
        <v>798</v>
      </c>
      <c r="K43">
        <v>598</v>
      </c>
      <c r="L43" s="237" t="s">
        <v>2977</v>
      </c>
      <c r="M43">
        <v>67</v>
      </c>
      <c r="N43" t="s">
        <v>2737</v>
      </c>
      <c r="O43">
        <v>6.5250000359999998</v>
      </c>
    </row>
    <row r="44" spans="1:15">
      <c r="A44">
        <v>52</v>
      </c>
      <c r="B44" t="s">
        <v>2171</v>
      </c>
      <c r="C44" t="s">
        <v>2254</v>
      </c>
      <c r="D44" t="s">
        <v>2643</v>
      </c>
      <c r="E44" t="s">
        <v>2643</v>
      </c>
      <c r="F44" t="s">
        <v>2251</v>
      </c>
      <c r="G44" t="s">
        <v>2932</v>
      </c>
      <c r="H44" t="s">
        <v>2961</v>
      </c>
      <c r="I44">
        <v>237</v>
      </c>
      <c r="J44">
        <v>833</v>
      </c>
      <c r="K44">
        <v>818</v>
      </c>
      <c r="L44" s="237" t="s">
        <v>2978</v>
      </c>
      <c r="M44">
        <v>67</v>
      </c>
      <c r="N44" t="s">
        <v>2737</v>
      </c>
      <c r="O44">
        <v>6.5250000359999998</v>
      </c>
    </row>
    <row r="45" spans="1:15">
      <c r="A45">
        <v>53</v>
      </c>
      <c r="B45" t="s">
        <v>2171</v>
      </c>
      <c r="C45" t="s">
        <v>2255</v>
      </c>
      <c r="D45" t="s">
        <v>2643</v>
      </c>
      <c r="E45" t="s">
        <v>2643</v>
      </c>
      <c r="F45" t="s">
        <v>2251</v>
      </c>
      <c r="G45" t="s">
        <v>2932</v>
      </c>
      <c r="H45" t="s">
        <v>2961</v>
      </c>
      <c r="I45">
        <v>172</v>
      </c>
      <c r="J45">
        <v>734</v>
      </c>
      <c r="K45">
        <v>759</v>
      </c>
      <c r="L45" s="237" t="s">
        <v>2979</v>
      </c>
      <c r="M45">
        <v>67</v>
      </c>
      <c r="N45" t="s">
        <v>2737</v>
      </c>
      <c r="O45">
        <v>6.5250000359999998</v>
      </c>
    </row>
    <row r="46" spans="1:15">
      <c r="A46">
        <v>55</v>
      </c>
      <c r="B46" t="s">
        <v>2171</v>
      </c>
      <c r="C46" t="s">
        <v>2257</v>
      </c>
      <c r="D46" t="s">
        <v>2643</v>
      </c>
      <c r="E46" t="s">
        <v>2643</v>
      </c>
      <c r="F46" t="s">
        <v>2251</v>
      </c>
      <c r="G46" t="s">
        <v>2932</v>
      </c>
      <c r="H46" t="s">
        <v>2961</v>
      </c>
      <c r="I46">
        <v>86</v>
      </c>
      <c r="J46">
        <v>839</v>
      </c>
      <c r="K46">
        <v>260</v>
      </c>
      <c r="L46" s="237" t="s">
        <v>2980</v>
      </c>
      <c r="M46">
        <v>67</v>
      </c>
      <c r="N46" t="s">
        <v>2737</v>
      </c>
      <c r="O46">
        <v>6.5250000359999998</v>
      </c>
    </row>
    <row r="47" spans="1:15">
      <c r="A47">
        <v>56</v>
      </c>
      <c r="B47" t="s">
        <v>2171</v>
      </c>
      <c r="C47" t="s">
        <v>2258</v>
      </c>
      <c r="D47" t="s">
        <v>2643</v>
      </c>
      <c r="E47" t="s">
        <v>2643</v>
      </c>
      <c r="F47" t="s">
        <v>2251</v>
      </c>
      <c r="G47" t="s">
        <v>2932</v>
      </c>
      <c r="H47" t="s">
        <v>2961</v>
      </c>
      <c r="I47">
        <v>107</v>
      </c>
      <c r="J47">
        <v>760</v>
      </c>
      <c r="K47">
        <v>493</v>
      </c>
      <c r="L47" s="237" t="s">
        <v>2981</v>
      </c>
      <c r="M47">
        <v>67</v>
      </c>
      <c r="N47" t="s">
        <v>2737</v>
      </c>
      <c r="O47">
        <v>6.5250000359999998</v>
      </c>
    </row>
    <row r="48" spans="1:15">
      <c r="A48">
        <v>57</v>
      </c>
      <c r="B48" t="s">
        <v>2171</v>
      </c>
      <c r="C48" t="s">
        <v>2259</v>
      </c>
      <c r="D48" t="s">
        <v>2643</v>
      </c>
      <c r="E48" t="s">
        <v>2643</v>
      </c>
      <c r="F48" t="s">
        <v>2260</v>
      </c>
      <c r="G48" t="s">
        <v>2932</v>
      </c>
      <c r="H48" t="s">
        <v>2961</v>
      </c>
      <c r="I48">
        <v>41</v>
      </c>
      <c r="J48">
        <v>830</v>
      </c>
      <c r="K48">
        <v>347</v>
      </c>
      <c r="L48" s="237" t="s">
        <v>2982</v>
      </c>
      <c r="M48">
        <v>67</v>
      </c>
      <c r="N48" t="s">
        <v>2745</v>
      </c>
      <c r="O48">
        <v>6.5250000359999998</v>
      </c>
    </row>
    <row r="49" spans="1:15">
      <c r="A49">
        <v>58</v>
      </c>
      <c r="B49" t="s">
        <v>2171</v>
      </c>
      <c r="C49" t="s">
        <v>2262</v>
      </c>
      <c r="D49" t="s">
        <v>2643</v>
      </c>
      <c r="E49" t="s">
        <v>2643</v>
      </c>
      <c r="F49" t="s">
        <v>2260</v>
      </c>
      <c r="G49" t="s">
        <v>2932</v>
      </c>
      <c r="H49" t="s">
        <v>2961</v>
      </c>
      <c r="I49">
        <v>481</v>
      </c>
      <c r="J49">
        <v>725</v>
      </c>
      <c r="K49">
        <v>735</v>
      </c>
      <c r="L49" s="237" t="s">
        <v>2983</v>
      </c>
      <c r="M49">
        <v>67</v>
      </c>
      <c r="N49" t="s">
        <v>2745</v>
      </c>
      <c r="O49">
        <v>6.5250000359999998</v>
      </c>
    </row>
    <row r="50" spans="1:15">
      <c r="A50">
        <v>59</v>
      </c>
      <c r="B50" t="s">
        <v>2171</v>
      </c>
      <c r="C50" t="s">
        <v>2263</v>
      </c>
      <c r="D50" t="s">
        <v>2643</v>
      </c>
      <c r="E50" t="s">
        <v>2643</v>
      </c>
      <c r="F50" t="s">
        <v>2260</v>
      </c>
      <c r="G50" t="s">
        <v>2932</v>
      </c>
      <c r="H50" t="s">
        <v>2961</v>
      </c>
      <c r="I50">
        <v>261</v>
      </c>
      <c r="J50">
        <v>721</v>
      </c>
      <c r="K50">
        <v>558</v>
      </c>
      <c r="L50" s="237" t="s">
        <v>2984</v>
      </c>
      <c r="M50">
        <v>67</v>
      </c>
      <c r="N50" t="s">
        <v>2745</v>
      </c>
      <c r="O50">
        <v>6.5250000359999998</v>
      </c>
    </row>
    <row r="51" spans="1:15">
      <c r="A51">
        <v>60</v>
      </c>
      <c r="B51" t="s">
        <v>2171</v>
      </c>
      <c r="C51" t="s">
        <v>2264</v>
      </c>
      <c r="D51" t="s">
        <v>2643</v>
      </c>
      <c r="E51" t="s">
        <v>2643</v>
      </c>
      <c r="F51" t="s">
        <v>2260</v>
      </c>
      <c r="G51" t="s">
        <v>2932</v>
      </c>
      <c r="H51" t="s">
        <v>2961</v>
      </c>
      <c r="I51">
        <v>152</v>
      </c>
      <c r="J51">
        <v>763</v>
      </c>
      <c r="K51">
        <v>751</v>
      </c>
      <c r="L51" s="237" t="s">
        <v>2985</v>
      </c>
      <c r="M51">
        <v>67</v>
      </c>
      <c r="N51" t="s">
        <v>2745</v>
      </c>
      <c r="O51">
        <v>6.5250000359999998</v>
      </c>
    </row>
    <row r="52" spans="1:15">
      <c r="A52">
        <v>61</v>
      </c>
      <c r="B52" t="s">
        <v>2171</v>
      </c>
      <c r="C52" t="s">
        <v>2266</v>
      </c>
      <c r="D52" t="s">
        <v>2643</v>
      </c>
      <c r="E52" t="s">
        <v>2643</v>
      </c>
      <c r="F52" t="s">
        <v>2260</v>
      </c>
      <c r="G52" t="s">
        <v>2932</v>
      </c>
      <c r="H52" t="s">
        <v>2961</v>
      </c>
      <c r="I52">
        <v>191</v>
      </c>
      <c r="J52">
        <v>775</v>
      </c>
      <c r="K52">
        <v>748</v>
      </c>
      <c r="L52" s="237" t="s">
        <v>2986</v>
      </c>
      <c r="M52">
        <v>67</v>
      </c>
      <c r="N52" t="s">
        <v>2745</v>
      </c>
      <c r="O52">
        <v>6.5250000359999998</v>
      </c>
    </row>
    <row r="53" spans="1:15">
      <c r="A53">
        <v>63</v>
      </c>
      <c r="B53" t="s">
        <v>2171</v>
      </c>
      <c r="C53" t="s">
        <v>2269</v>
      </c>
      <c r="D53" t="s">
        <v>2643</v>
      </c>
      <c r="E53" t="s">
        <v>2643</v>
      </c>
      <c r="F53" t="s">
        <v>2260</v>
      </c>
      <c r="G53" t="s">
        <v>2932</v>
      </c>
      <c r="H53" t="s">
        <v>2961</v>
      </c>
      <c r="I53">
        <v>49</v>
      </c>
      <c r="J53">
        <v>733</v>
      </c>
      <c r="K53">
        <v>629</v>
      </c>
      <c r="L53" s="237" t="s">
        <v>2987</v>
      </c>
      <c r="M53">
        <v>67</v>
      </c>
      <c r="N53" t="s">
        <v>2745</v>
      </c>
      <c r="O53">
        <v>6.5250000359999998</v>
      </c>
    </row>
    <row r="54" spans="1:15">
      <c r="A54">
        <v>64</v>
      </c>
      <c r="B54" t="s">
        <v>2171</v>
      </c>
      <c r="C54" t="s">
        <v>2270</v>
      </c>
      <c r="D54" t="s">
        <v>2643</v>
      </c>
      <c r="E54" t="s">
        <v>2643</v>
      </c>
      <c r="F54" t="s">
        <v>2260</v>
      </c>
      <c r="G54" t="s">
        <v>2932</v>
      </c>
      <c r="H54" t="s">
        <v>2961</v>
      </c>
      <c r="I54">
        <v>347</v>
      </c>
      <c r="J54">
        <v>765</v>
      </c>
      <c r="K54">
        <v>84</v>
      </c>
      <c r="L54" s="237" t="s">
        <v>2988</v>
      </c>
      <c r="M54">
        <v>67</v>
      </c>
      <c r="N54" t="s">
        <v>2745</v>
      </c>
      <c r="O54">
        <v>6.5250000359999998</v>
      </c>
    </row>
    <row r="55" spans="1:15">
      <c r="A55">
        <v>65</v>
      </c>
      <c r="B55" t="s">
        <v>2271</v>
      </c>
      <c r="C55" t="s">
        <v>2272</v>
      </c>
      <c r="D55" t="s">
        <v>2643</v>
      </c>
      <c r="E55" t="s">
        <v>2643</v>
      </c>
      <c r="F55" t="s">
        <v>2273</v>
      </c>
      <c r="G55" t="s">
        <v>2989</v>
      </c>
      <c r="H55" t="s">
        <v>2961</v>
      </c>
      <c r="I55">
        <v>495</v>
      </c>
      <c r="J55">
        <v>731</v>
      </c>
      <c r="K55">
        <v>586</v>
      </c>
      <c r="L55" s="237" t="s">
        <v>2990</v>
      </c>
      <c r="M55">
        <v>68</v>
      </c>
      <c r="N55" t="s">
        <v>2754</v>
      </c>
      <c r="O55">
        <v>6.900000125</v>
      </c>
    </row>
    <row r="56" spans="1:15">
      <c r="A56">
        <v>66</v>
      </c>
      <c r="B56" t="s">
        <v>2271</v>
      </c>
      <c r="C56" t="s">
        <v>2274</v>
      </c>
      <c r="D56" t="s">
        <v>2643</v>
      </c>
      <c r="E56" t="s">
        <v>2643</v>
      </c>
      <c r="F56" t="s">
        <v>2273</v>
      </c>
      <c r="G56" t="s">
        <v>2989</v>
      </c>
      <c r="H56" t="s">
        <v>2961</v>
      </c>
      <c r="I56">
        <v>247</v>
      </c>
      <c r="J56">
        <v>816</v>
      </c>
      <c r="K56">
        <v>851</v>
      </c>
      <c r="L56" s="237" t="s">
        <v>2991</v>
      </c>
      <c r="M56">
        <v>68</v>
      </c>
      <c r="N56" t="s">
        <v>2754</v>
      </c>
      <c r="O56">
        <v>6.900000125</v>
      </c>
    </row>
    <row r="57" spans="1:15">
      <c r="A57">
        <v>68</v>
      </c>
      <c r="B57" t="s">
        <v>2271</v>
      </c>
      <c r="C57" t="s">
        <v>2276</v>
      </c>
      <c r="D57" t="s">
        <v>2643</v>
      </c>
      <c r="E57" t="s">
        <v>2643</v>
      </c>
      <c r="F57" t="s">
        <v>2273</v>
      </c>
      <c r="G57" t="s">
        <v>2989</v>
      </c>
      <c r="H57" t="s">
        <v>2961</v>
      </c>
      <c r="I57">
        <v>63</v>
      </c>
      <c r="J57">
        <v>815</v>
      </c>
      <c r="K57">
        <v>467</v>
      </c>
      <c r="L57" s="237" t="s">
        <v>2992</v>
      </c>
      <c r="M57">
        <v>68</v>
      </c>
      <c r="N57" t="s">
        <v>2754</v>
      </c>
      <c r="O57">
        <v>6.900000125</v>
      </c>
    </row>
    <row r="58" spans="1:15">
      <c r="A58">
        <v>69</v>
      </c>
      <c r="B58" t="s">
        <v>2271</v>
      </c>
      <c r="C58" t="s">
        <v>2277</v>
      </c>
      <c r="D58" t="s">
        <v>2643</v>
      </c>
      <c r="E58" t="s">
        <v>2643</v>
      </c>
      <c r="F58" t="s">
        <v>2273</v>
      </c>
      <c r="G58" t="s">
        <v>2989</v>
      </c>
      <c r="H58" t="s">
        <v>2993</v>
      </c>
      <c r="I58">
        <v>382</v>
      </c>
      <c r="J58">
        <v>741</v>
      </c>
      <c r="K58">
        <v>766</v>
      </c>
      <c r="L58" s="237" t="s">
        <v>2994</v>
      </c>
      <c r="M58">
        <v>69</v>
      </c>
      <c r="N58" t="s">
        <v>2754</v>
      </c>
      <c r="O58">
        <v>6.900000125</v>
      </c>
    </row>
    <row r="59" spans="1:15">
      <c r="A59">
        <v>70</v>
      </c>
      <c r="B59" t="s">
        <v>2271</v>
      </c>
      <c r="C59" t="s">
        <v>2278</v>
      </c>
      <c r="D59" t="s">
        <v>2643</v>
      </c>
      <c r="E59" t="s">
        <v>2643</v>
      </c>
      <c r="F59" t="s">
        <v>2273</v>
      </c>
      <c r="G59" t="s">
        <v>2989</v>
      </c>
      <c r="H59" t="s">
        <v>2993</v>
      </c>
      <c r="I59">
        <v>278</v>
      </c>
      <c r="J59">
        <v>294</v>
      </c>
      <c r="K59">
        <v>430</v>
      </c>
      <c r="L59" s="237" t="s">
        <v>2995</v>
      </c>
      <c r="M59">
        <v>69</v>
      </c>
      <c r="N59" t="s">
        <v>2754</v>
      </c>
      <c r="O59">
        <v>6.900000125</v>
      </c>
    </row>
    <row r="60" spans="1:15">
      <c r="A60">
        <v>71</v>
      </c>
      <c r="B60" t="s">
        <v>2271</v>
      </c>
      <c r="C60" t="s">
        <v>2279</v>
      </c>
      <c r="D60" t="s">
        <v>2643</v>
      </c>
      <c r="E60" t="s">
        <v>2643</v>
      </c>
      <c r="F60" t="s">
        <v>2273</v>
      </c>
      <c r="G60" t="s">
        <v>2989</v>
      </c>
      <c r="H60" t="s">
        <v>2993</v>
      </c>
      <c r="I60">
        <v>138</v>
      </c>
      <c r="J60">
        <v>761</v>
      </c>
      <c r="K60">
        <v>174</v>
      </c>
      <c r="L60" s="237" t="s">
        <v>2996</v>
      </c>
      <c r="M60">
        <v>69</v>
      </c>
      <c r="N60" t="s">
        <v>2754</v>
      </c>
      <c r="O60">
        <v>6.900000125</v>
      </c>
    </row>
    <row r="61" spans="1:15">
      <c r="A61">
        <v>72</v>
      </c>
      <c r="B61" t="s">
        <v>2271</v>
      </c>
      <c r="C61" t="s">
        <v>2280</v>
      </c>
      <c r="D61" t="s">
        <v>2643</v>
      </c>
      <c r="E61" t="s">
        <v>2643</v>
      </c>
      <c r="F61" t="s">
        <v>2273</v>
      </c>
      <c r="G61" t="s">
        <v>2989</v>
      </c>
      <c r="H61" t="s">
        <v>2993</v>
      </c>
      <c r="I61">
        <v>431</v>
      </c>
      <c r="J61">
        <v>780</v>
      </c>
      <c r="K61">
        <v>714</v>
      </c>
      <c r="L61" s="237" t="s">
        <v>2997</v>
      </c>
      <c r="M61">
        <v>69</v>
      </c>
      <c r="N61" t="s">
        <v>2754</v>
      </c>
      <c r="O61">
        <v>6.900000125</v>
      </c>
    </row>
    <row r="62" spans="1:15">
      <c r="A62">
        <v>73</v>
      </c>
      <c r="B62" t="s">
        <v>2271</v>
      </c>
      <c r="C62" t="s">
        <v>2281</v>
      </c>
      <c r="D62" t="s">
        <v>2643</v>
      </c>
      <c r="E62" t="s">
        <v>2643</v>
      </c>
      <c r="F62" t="s">
        <v>2282</v>
      </c>
      <c r="G62" t="s">
        <v>2989</v>
      </c>
      <c r="H62" t="s">
        <v>2993</v>
      </c>
      <c r="I62">
        <v>321</v>
      </c>
      <c r="J62">
        <v>730</v>
      </c>
      <c r="K62">
        <v>726</v>
      </c>
      <c r="L62" s="237" t="s">
        <v>2998</v>
      </c>
      <c r="M62">
        <v>69</v>
      </c>
      <c r="N62" t="s">
        <v>2763</v>
      </c>
      <c r="O62">
        <v>6.900000125</v>
      </c>
    </row>
    <row r="63" spans="1:15">
      <c r="A63">
        <v>74</v>
      </c>
      <c r="B63" t="s">
        <v>2271</v>
      </c>
      <c r="C63" t="s">
        <v>2283</v>
      </c>
      <c r="D63" t="s">
        <v>2643</v>
      </c>
      <c r="E63" t="s">
        <v>2643</v>
      </c>
      <c r="F63" t="s">
        <v>2282</v>
      </c>
      <c r="G63" t="s">
        <v>2989</v>
      </c>
      <c r="H63" t="s">
        <v>2993</v>
      </c>
      <c r="I63">
        <v>329</v>
      </c>
      <c r="J63">
        <v>825</v>
      </c>
      <c r="K63">
        <v>866</v>
      </c>
      <c r="L63" s="237" t="s">
        <v>2999</v>
      </c>
      <c r="M63">
        <v>69</v>
      </c>
      <c r="N63" t="s">
        <v>2763</v>
      </c>
      <c r="O63">
        <v>6.900000125</v>
      </c>
    </row>
    <row r="64" spans="1:15">
      <c r="A64">
        <v>75</v>
      </c>
      <c r="B64" t="s">
        <v>2271</v>
      </c>
      <c r="C64" t="s">
        <v>2284</v>
      </c>
      <c r="D64" t="s">
        <v>2643</v>
      </c>
      <c r="E64" t="s">
        <v>2643</v>
      </c>
      <c r="F64" t="s">
        <v>2282</v>
      </c>
      <c r="G64" t="s">
        <v>2989</v>
      </c>
      <c r="H64" t="s">
        <v>2993</v>
      </c>
      <c r="I64">
        <v>215</v>
      </c>
      <c r="J64">
        <v>840</v>
      </c>
      <c r="K64">
        <v>705</v>
      </c>
      <c r="L64" s="237" t="s">
        <v>3000</v>
      </c>
      <c r="M64">
        <v>69</v>
      </c>
      <c r="N64" t="s">
        <v>2763</v>
      </c>
      <c r="O64">
        <v>6.900000125</v>
      </c>
    </row>
    <row r="65" spans="1:15">
      <c r="A65">
        <v>76</v>
      </c>
      <c r="B65" t="s">
        <v>2271</v>
      </c>
      <c r="C65" t="s">
        <v>2285</v>
      </c>
      <c r="D65" t="s">
        <v>2643</v>
      </c>
      <c r="E65" t="s">
        <v>2643</v>
      </c>
      <c r="F65" t="s">
        <v>2282</v>
      </c>
      <c r="G65" t="s">
        <v>2989</v>
      </c>
      <c r="H65" t="s">
        <v>2993</v>
      </c>
      <c r="I65">
        <v>60</v>
      </c>
      <c r="J65">
        <v>770</v>
      </c>
      <c r="K65">
        <v>601</v>
      </c>
      <c r="L65" s="237" t="s">
        <v>3001</v>
      </c>
      <c r="M65">
        <v>69</v>
      </c>
      <c r="N65" t="s">
        <v>2763</v>
      </c>
      <c r="O65">
        <v>6.900000125</v>
      </c>
    </row>
    <row r="66" spans="1:15">
      <c r="A66">
        <v>78</v>
      </c>
      <c r="B66" t="s">
        <v>2271</v>
      </c>
      <c r="C66" t="s">
        <v>2287</v>
      </c>
      <c r="D66" t="s">
        <v>2643</v>
      </c>
      <c r="E66" t="s">
        <v>2643</v>
      </c>
      <c r="F66" t="s">
        <v>2282</v>
      </c>
      <c r="G66" t="s">
        <v>2989</v>
      </c>
      <c r="H66" t="s">
        <v>2993</v>
      </c>
      <c r="I66">
        <v>97</v>
      </c>
      <c r="J66">
        <v>696</v>
      </c>
      <c r="K66">
        <v>157</v>
      </c>
      <c r="L66" s="237" t="s">
        <v>3002</v>
      </c>
      <c r="M66">
        <v>69</v>
      </c>
      <c r="N66" t="s">
        <v>2763</v>
      </c>
      <c r="O66">
        <v>6.900000125</v>
      </c>
    </row>
    <row r="67" spans="1:15">
      <c r="A67">
        <v>79</v>
      </c>
      <c r="B67" t="s">
        <v>2271</v>
      </c>
      <c r="C67" t="s">
        <v>2288</v>
      </c>
      <c r="D67" t="s">
        <v>2643</v>
      </c>
      <c r="E67" t="s">
        <v>2643</v>
      </c>
      <c r="F67" t="s">
        <v>2282</v>
      </c>
      <c r="G67" t="s">
        <v>2989</v>
      </c>
      <c r="H67" t="s">
        <v>2993</v>
      </c>
      <c r="I67">
        <v>120</v>
      </c>
      <c r="J67">
        <v>270</v>
      </c>
      <c r="K67">
        <v>226</v>
      </c>
      <c r="L67" s="237" t="s">
        <v>3003</v>
      </c>
      <c r="M67">
        <v>69</v>
      </c>
      <c r="N67" t="s">
        <v>2763</v>
      </c>
      <c r="O67">
        <v>6.900000125</v>
      </c>
    </row>
    <row r="68" spans="1:15">
      <c r="A68">
        <v>80</v>
      </c>
      <c r="B68" t="s">
        <v>2271</v>
      </c>
      <c r="C68" t="s">
        <v>2289</v>
      </c>
      <c r="D68" t="s">
        <v>2643</v>
      </c>
      <c r="E68" t="s">
        <v>2643</v>
      </c>
      <c r="F68" t="s">
        <v>2282</v>
      </c>
      <c r="G68" t="s">
        <v>2989</v>
      </c>
      <c r="H68" t="s">
        <v>2993</v>
      </c>
      <c r="I68">
        <v>24</v>
      </c>
      <c r="J68">
        <v>726</v>
      </c>
      <c r="K68">
        <v>855</v>
      </c>
      <c r="L68" s="237" t="s">
        <v>3004</v>
      </c>
      <c r="M68">
        <v>69</v>
      </c>
      <c r="N68" t="s">
        <v>2763</v>
      </c>
      <c r="O68">
        <v>6.900000125</v>
      </c>
    </row>
    <row r="69" spans="1:15">
      <c r="A69">
        <v>81</v>
      </c>
      <c r="B69" t="s">
        <v>2271</v>
      </c>
      <c r="C69" t="s">
        <v>2290</v>
      </c>
      <c r="D69" t="s">
        <v>2643</v>
      </c>
      <c r="E69" t="s">
        <v>2643</v>
      </c>
      <c r="F69" t="s">
        <v>2291</v>
      </c>
      <c r="G69" t="s">
        <v>2989</v>
      </c>
      <c r="H69" t="s">
        <v>2993</v>
      </c>
      <c r="I69">
        <v>312</v>
      </c>
      <c r="J69">
        <v>739</v>
      </c>
      <c r="K69">
        <v>413</v>
      </c>
      <c r="L69" s="237" t="s">
        <v>3005</v>
      </c>
      <c r="M69">
        <v>69</v>
      </c>
      <c r="N69" t="s">
        <v>2772</v>
      </c>
      <c r="O69">
        <v>12.563016860999999</v>
      </c>
    </row>
    <row r="70" spans="1:15">
      <c r="A70">
        <v>82</v>
      </c>
      <c r="B70" t="s">
        <v>2271</v>
      </c>
      <c r="C70" t="s">
        <v>2293</v>
      </c>
      <c r="D70" t="s">
        <v>2643</v>
      </c>
      <c r="E70" t="s">
        <v>2643</v>
      </c>
      <c r="F70" t="s">
        <v>2291</v>
      </c>
      <c r="G70" t="s">
        <v>2989</v>
      </c>
      <c r="H70" t="s">
        <v>2993</v>
      </c>
      <c r="I70">
        <v>356</v>
      </c>
      <c r="J70">
        <v>800</v>
      </c>
      <c r="K70">
        <v>370</v>
      </c>
      <c r="L70" s="237" t="s">
        <v>3006</v>
      </c>
      <c r="M70">
        <v>69</v>
      </c>
      <c r="N70" t="s">
        <v>2772</v>
      </c>
      <c r="O70">
        <v>12.563016860999999</v>
      </c>
    </row>
    <row r="71" spans="1:15">
      <c r="A71">
        <v>83</v>
      </c>
      <c r="B71" t="s">
        <v>2271</v>
      </c>
      <c r="C71" t="s">
        <v>2294</v>
      </c>
      <c r="D71" t="s">
        <v>2643</v>
      </c>
      <c r="E71" t="s">
        <v>2643</v>
      </c>
      <c r="F71" t="s">
        <v>2291</v>
      </c>
      <c r="G71" t="s">
        <v>2989</v>
      </c>
      <c r="H71" t="s">
        <v>2993</v>
      </c>
      <c r="I71">
        <v>331</v>
      </c>
      <c r="J71">
        <v>764</v>
      </c>
      <c r="K71">
        <v>879</v>
      </c>
      <c r="L71" s="237" t="s">
        <v>3007</v>
      </c>
      <c r="M71">
        <v>69</v>
      </c>
      <c r="N71" t="s">
        <v>2772</v>
      </c>
      <c r="O71">
        <v>12.563016860999999</v>
      </c>
    </row>
    <row r="72" spans="1:15">
      <c r="A72">
        <v>84</v>
      </c>
      <c r="B72" t="s">
        <v>2271</v>
      </c>
      <c r="C72" t="s">
        <v>2295</v>
      </c>
      <c r="D72" t="s">
        <v>2643</v>
      </c>
      <c r="E72" t="s">
        <v>2643</v>
      </c>
      <c r="F72" t="s">
        <v>2291</v>
      </c>
      <c r="G72" t="s">
        <v>2989</v>
      </c>
      <c r="H72" t="s">
        <v>2993</v>
      </c>
      <c r="I72">
        <v>101</v>
      </c>
      <c r="J72">
        <v>778</v>
      </c>
      <c r="K72">
        <v>854</v>
      </c>
      <c r="L72" s="237" t="s">
        <v>3008</v>
      </c>
      <c r="M72">
        <v>69</v>
      </c>
      <c r="N72" t="s">
        <v>2772</v>
      </c>
      <c r="O72">
        <v>12.563016860999999</v>
      </c>
    </row>
    <row r="73" spans="1:15">
      <c r="A73">
        <v>86</v>
      </c>
      <c r="B73" t="s">
        <v>2271</v>
      </c>
      <c r="C73" t="s">
        <v>2297</v>
      </c>
      <c r="D73" t="s">
        <v>2643</v>
      </c>
      <c r="E73" t="s">
        <v>2643</v>
      </c>
      <c r="F73" t="s">
        <v>2291</v>
      </c>
      <c r="G73" t="s">
        <v>2989</v>
      </c>
      <c r="H73" t="s">
        <v>2993</v>
      </c>
      <c r="I73">
        <v>31</v>
      </c>
      <c r="J73">
        <v>738</v>
      </c>
      <c r="K73">
        <v>788</v>
      </c>
      <c r="L73" s="237" t="s">
        <v>3009</v>
      </c>
      <c r="M73">
        <v>69</v>
      </c>
      <c r="N73" t="s">
        <v>2772</v>
      </c>
      <c r="O73">
        <v>12.563016860999999</v>
      </c>
    </row>
    <row r="74" spans="1:15">
      <c r="A74">
        <v>87</v>
      </c>
      <c r="B74" t="s">
        <v>2271</v>
      </c>
      <c r="C74" t="s">
        <v>2298</v>
      </c>
      <c r="D74" t="s">
        <v>2643</v>
      </c>
      <c r="E74" t="s">
        <v>2643</v>
      </c>
      <c r="F74" t="s">
        <v>2291</v>
      </c>
      <c r="G74" t="s">
        <v>2989</v>
      </c>
      <c r="H74" t="s">
        <v>2993</v>
      </c>
      <c r="I74">
        <v>220</v>
      </c>
      <c r="J74">
        <v>394</v>
      </c>
      <c r="K74">
        <v>91</v>
      </c>
      <c r="L74" s="237" t="s">
        <v>3010</v>
      </c>
      <c r="M74">
        <v>69</v>
      </c>
      <c r="N74" t="s">
        <v>2772</v>
      </c>
      <c r="O74">
        <v>12.563016860999999</v>
      </c>
    </row>
    <row r="75" spans="1:15">
      <c r="A75">
        <v>88</v>
      </c>
      <c r="B75" t="s">
        <v>2271</v>
      </c>
      <c r="C75" t="s">
        <v>2299</v>
      </c>
      <c r="D75" t="s">
        <v>2643</v>
      </c>
      <c r="E75" t="s">
        <v>2643</v>
      </c>
      <c r="F75" t="s">
        <v>2291</v>
      </c>
      <c r="G75" t="s">
        <v>2989</v>
      </c>
      <c r="H75" t="s">
        <v>2993</v>
      </c>
      <c r="I75">
        <v>531</v>
      </c>
      <c r="J75">
        <v>819</v>
      </c>
      <c r="K75">
        <v>364</v>
      </c>
      <c r="L75" s="237" t="s">
        <v>3011</v>
      </c>
      <c r="M75">
        <v>69</v>
      </c>
      <c r="N75" t="s">
        <v>2772</v>
      </c>
      <c r="O75">
        <v>12.563016860999999</v>
      </c>
    </row>
    <row r="76" spans="1:15">
      <c r="A76">
        <v>89</v>
      </c>
      <c r="B76" t="s">
        <v>2271</v>
      </c>
      <c r="C76" t="s">
        <v>2300</v>
      </c>
      <c r="D76" t="s">
        <v>2643</v>
      </c>
      <c r="E76" t="s">
        <v>2643</v>
      </c>
      <c r="F76" t="s">
        <v>2301</v>
      </c>
      <c r="G76" t="s">
        <v>2989</v>
      </c>
      <c r="H76" t="s">
        <v>2993</v>
      </c>
      <c r="I76">
        <v>35</v>
      </c>
      <c r="J76">
        <v>818</v>
      </c>
      <c r="K76">
        <v>862</v>
      </c>
      <c r="L76" s="237" t="s">
        <v>3012</v>
      </c>
      <c r="M76">
        <v>69</v>
      </c>
      <c r="N76" t="s">
        <v>2781</v>
      </c>
      <c r="O76">
        <v>12.563016860999999</v>
      </c>
    </row>
    <row r="77" spans="1:15">
      <c r="A77">
        <v>90</v>
      </c>
      <c r="B77" t="s">
        <v>2271</v>
      </c>
      <c r="C77" t="s">
        <v>2302</v>
      </c>
      <c r="D77" t="s">
        <v>2643</v>
      </c>
      <c r="E77" t="s">
        <v>2643</v>
      </c>
      <c r="F77" t="s">
        <v>2301</v>
      </c>
      <c r="G77" t="s">
        <v>2989</v>
      </c>
      <c r="H77" t="s">
        <v>2993</v>
      </c>
      <c r="I77">
        <v>264</v>
      </c>
      <c r="J77">
        <v>767</v>
      </c>
      <c r="K77">
        <v>330</v>
      </c>
      <c r="L77" s="237" t="s">
        <v>3013</v>
      </c>
      <c r="M77">
        <v>69</v>
      </c>
      <c r="N77" t="s">
        <v>2781</v>
      </c>
      <c r="O77">
        <v>12.563016860999999</v>
      </c>
    </row>
    <row r="78" spans="1:15">
      <c r="A78">
        <v>91</v>
      </c>
      <c r="B78" t="s">
        <v>2271</v>
      </c>
      <c r="C78" t="s">
        <v>2303</v>
      </c>
      <c r="D78" t="s">
        <v>2643</v>
      </c>
      <c r="E78" t="s">
        <v>2643</v>
      </c>
      <c r="F78" t="s">
        <v>2301</v>
      </c>
      <c r="G78" t="s">
        <v>2989</v>
      </c>
      <c r="H78" t="s">
        <v>2993</v>
      </c>
      <c r="I78">
        <v>13</v>
      </c>
      <c r="J78">
        <v>787</v>
      </c>
      <c r="K78">
        <v>596</v>
      </c>
      <c r="L78" s="237" t="s">
        <v>3014</v>
      </c>
      <c r="M78">
        <v>69</v>
      </c>
      <c r="N78" t="s">
        <v>2781</v>
      </c>
      <c r="O78">
        <v>12.563016860999999</v>
      </c>
    </row>
    <row r="79" spans="1:15">
      <c r="A79">
        <v>92</v>
      </c>
      <c r="B79" t="s">
        <v>2271</v>
      </c>
      <c r="C79" t="s">
        <v>2304</v>
      </c>
      <c r="D79" t="s">
        <v>2643</v>
      </c>
      <c r="E79" t="s">
        <v>2643</v>
      </c>
      <c r="F79" t="s">
        <v>2301</v>
      </c>
      <c r="G79" t="s">
        <v>2989</v>
      </c>
      <c r="H79" t="s">
        <v>2993</v>
      </c>
      <c r="I79">
        <v>324</v>
      </c>
      <c r="J79">
        <v>812</v>
      </c>
      <c r="K79">
        <v>380</v>
      </c>
      <c r="L79" s="237" t="s">
        <v>3015</v>
      </c>
      <c r="M79">
        <v>69</v>
      </c>
      <c r="N79" t="s">
        <v>2781</v>
      </c>
      <c r="O79">
        <v>12.563016860999999</v>
      </c>
    </row>
    <row r="80" spans="1:15">
      <c r="A80">
        <v>93</v>
      </c>
      <c r="B80" t="s">
        <v>2271</v>
      </c>
      <c r="C80" t="s">
        <v>2305</v>
      </c>
      <c r="D80" t="s">
        <v>2643</v>
      </c>
      <c r="E80" t="s">
        <v>2643</v>
      </c>
      <c r="F80" t="s">
        <v>2301</v>
      </c>
      <c r="G80" t="s">
        <v>2989</v>
      </c>
      <c r="H80" t="s">
        <v>2993</v>
      </c>
      <c r="I80">
        <v>99</v>
      </c>
      <c r="J80">
        <v>675</v>
      </c>
      <c r="K80">
        <v>872</v>
      </c>
      <c r="L80" s="237" t="s">
        <v>3016</v>
      </c>
      <c r="M80">
        <v>69</v>
      </c>
      <c r="N80" t="s">
        <v>2781</v>
      </c>
      <c r="O80">
        <v>12.563016860999999</v>
      </c>
    </row>
    <row r="81" spans="1:15">
      <c r="A81">
        <v>95</v>
      </c>
      <c r="B81" t="s">
        <v>2271</v>
      </c>
      <c r="C81" t="s">
        <v>2307</v>
      </c>
      <c r="D81" t="s">
        <v>2643</v>
      </c>
      <c r="E81" t="s">
        <v>2643</v>
      </c>
      <c r="F81" t="s">
        <v>2301</v>
      </c>
      <c r="G81" t="s">
        <v>2989</v>
      </c>
      <c r="H81" t="s">
        <v>2993</v>
      </c>
      <c r="I81">
        <v>126</v>
      </c>
      <c r="J81">
        <v>794</v>
      </c>
      <c r="K81">
        <v>844</v>
      </c>
      <c r="L81" s="237" t="s">
        <v>3017</v>
      </c>
      <c r="M81">
        <v>69</v>
      </c>
      <c r="N81" t="s">
        <v>2781</v>
      </c>
      <c r="O81">
        <v>12.563016860999999</v>
      </c>
    </row>
    <row r="82" spans="1:15">
      <c r="A82">
        <v>96</v>
      </c>
      <c r="B82" t="s">
        <v>2271</v>
      </c>
      <c r="C82" t="s">
        <v>2308</v>
      </c>
      <c r="D82" t="s">
        <v>2643</v>
      </c>
      <c r="E82" t="s">
        <v>2643</v>
      </c>
      <c r="F82" t="s">
        <v>2301</v>
      </c>
      <c r="G82" t="s">
        <v>2989</v>
      </c>
      <c r="H82" t="s">
        <v>2993</v>
      </c>
      <c r="I82">
        <v>244</v>
      </c>
      <c r="J82">
        <v>737</v>
      </c>
      <c r="K82">
        <v>372</v>
      </c>
      <c r="L82" s="237" t="s">
        <v>3018</v>
      </c>
      <c r="M82">
        <v>69</v>
      </c>
      <c r="N82" t="s">
        <v>2781</v>
      </c>
      <c r="O82">
        <v>12.563016860999999</v>
      </c>
    </row>
    <row r="83" spans="1:15">
      <c r="A83">
        <v>97</v>
      </c>
      <c r="B83" t="s">
        <v>2650</v>
      </c>
      <c r="C83" t="s">
        <v>2310</v>
      </c>
      <c r="D83" t="s">
        <v>2454</v>
      </c>
      <c r="E83" t="s">
        <v>2643</v>
      </c>
      <c r="F83" t="s">
        <v>2173</v>
      </c>
      <c r="G83" t="s">
        <v>3019</v>
      </c>
      <c r="H83" t="s">
        <v>3020</v>
      </c>
      <c r="I83">
        <v>432</v>
      </c>
      <c r="J83">
        <v>801</v>
      </c>
      <c r="K83">
        <v>3</v>
      </c>
      <c r="L83" s="237" t="s">
        <v>3021</v>
      </c>
      <c r="M83">
        <v>71</v>
      </c>
      <c r="N83" t="s">
        <v>2791</v>
      </c>
      <c r="O83">
        <v>137.19979645800001</v>
      </c>
    </row>
    <row r="84" spans="1:15">
      <c r="A84">
        <v>98</v>
      </c>
      <c r="B84" t="s">
        <v>2650</v>
      </c>
      <c r="C84" t="s">
        <v>2311</v>
      </c>
      <c r="D84" t="s">
        <v>2454</v>
      </c>
      <c r="E84" t="s">
        <v>2643</v>
      </c>
      <c r="F84" t="s">
        <v>2173</v>
      </c>
      <c r="G84" t="s">
        <v>3019</v>
      </c>
      <c r="H84" t="s">
        <v>3020</v>
      </c>
      <c r="I84">
        <v>184</v>
      </c>
      <c r="J84">
        <v>808</v>
      </c>
      <c r="K84">
        <v>25</v>
      </c>
      <c r="L84" s="237" t="s">
        <v>3022</v>
      </c>
      <c r="M84">
        <v>71</v>
      </c>
      <c r="N84" t="s">
        <v>2791</v>
      </c>
      <c r="O84">
        <v>137.19979645800001</v>
      </c>
    </row>
    <row r="85" spans="1:15">
      <c r="A85">
        <v>100</v>
      </c>
      <c r="B85" t="s">
        <v>2650</v>
      </c>
      <c r="C85" t="s">
        <v>2313</v>
      </c>
      <c r="D85" t="s">
        <v>2454</v>
      </c>
      <c r="E85" t="s">
        <v>2643</v>
      </c>
      <c r="F85" t="s">
        <v>2173</v>
      </c>
      <c r="G85" t="s">
        <v>3019</v>
      </c>
      <c r="H85" t="s">
        <v>3020</v>
      </c>
      <c r="I85">
        <v>176</v>
      </c>
      <c r="J85">
        <v>276</v>
      </c>
      <c r="K85">
        <v>187</v>
      </c>
      <c r="L85" s="237" t="s">
        <v>3023</v>
      </c>
      <c r="M85">
        <v>71</v>
      </c>
      <c r="N85" t="s">
        <v>2791</v>
      </c>
      <c r="O85">
        <v>137.19979645800001</v>
      </c>
    </row>
    <row r="86" spans="1:15">
      <c r="A86">
        <v>101</v>
      </c>
      <c r="B86" t="s">
        <v>2650</v>
      </c>
      <c r="C86" t="s">
        <v>2315</v>
      </c>
      <c r="D86" t="s">
        <v>2454</v>
      </c>
      <c r="E86" t="s">
        <v>2643</v>
      </c>
      <c r="F86" t="s">
        <v>2173</v>
      </c>
      <c r="G86" t="s">
        <v>3019</v>
      </c>
      <c r="H86" t="s">
        <v>3020</v>
      </c>
      <c r="I86">
        <v>11</v>
      </c>
      <c r="J86">
        <v>624</v>
      </c>
      <c r="K86">
        <v>398</v>
      </c>
      <c r="L86" s="237" t="s">
        <v>3024</v>
      </c>
      <c r="M86">
        <v>71</v>
      </c>
      <c r="N86" t="s">
        <v>2791</v>
      </c>
      <c r="O86">
        <v>137.19979645800001</v>
      </c>
    </row>
    <row r="87" spans="1:15">
      <c r="A87">
        <v>102</v>
      </c>
      <c r="B87" t="s">
        <v>2650</v>
      </c>
      <c r="C87" t="s">
        <v>2316</v>
      </c>
      <c r="D87" t="s">
        <v>2454</v>
      </c>
      <c r="E87" t="s">
        <v>2643</v>
      </c>
      <c r="F87" t="s">
        <v>2173</v>
      </c>
      <c r="G87" t="s">
        <v>3019</v>
      </c>
      <c r="H87" t="s">
        <v>3020</v>
      </c>
      <c r="I87">
        <v>284</v>
      </c>
      <c r="J87">
        <v>781</v>
      </c>
      <c r="K87">
        <v>120</v>
      </c>
      <c r="L87" s="237" t="s">
        <v>3025</v>
      </c>
      <c r="M87">
        <v>71</v>
      </c>
      <c r="N87" t="s">
        <v>2791</v>
      </c>
      <c r="O87">
        <v>137.19979645800001</v>
      </c>
    </row>
    <row r="88" spans="1:15">
      <c r="A88">
        <v>103</v>
      </c>
      <c r="B88" t="s">
        <v>2650</v>
      </c>
      <c r="C88" t="s">
        <v>2317</v>
      </c>
      <c r="D88" t="s">
        <v>2454</v>
      </c>
      <c r="E88" t="s">
        <v>2643</v>
      </c>
      <c r="F88" t="s">
        <v>2173</v>
      </c>
      <c r="G88" t="s">
        <v>3019</v>
      </c>
      <c r="H88" t="s">
        <v>3020</v>
      </c>
      <c r="I88">
        <v>326</v>
      </c>
      <c r="J88">
        <v>772</v>
      </c>
      <c r="K88">
        <v>145</v>
      </c>
      <c r="L88" s="237" t="s">
        <v>3026</v>
      </c>
      <c r="M88">
        <v>71</v>
      </c>
      <c r="N88" t="s">
        <v>2791</v>
      </c>
      <c r="O88">
        <v>137.19979645800001</v>
      </c>
    </row>
    <row r="89" spans="1:15">
      <c r="A89">
        <v>104</v>
      </c>
      <c r="B89" t="s">
        <v>2650</v>
      </c>
      <c r="C89" t="s">
        <v>2318</v>
      </c>
      <c r="D89" t="s">
        <v>2454</v>
      </c>
      <c r="E89" t="s">
        <v>2643</v>
      </c>
      <c r="F89" t="s">
        <v>2173</v>
      </c>
      <c r="G89" t="s">
        <v>3019</v>
      </c>
      <c r="H89" t="s">
        <v>3020</v>
      </c>
      <c r="I89">
        <v>162</v>
      </c>
      <c r="J89">
        <v>744</v>
      </c>
      <c r="K89">
        <v>76</v>
      </c>
      <c r="L89" s="237" t="s">
        <v>3027</v>
      </c>
      <c r="M89">
        <v>71</v>
      </c>
      <c r="N89" t="s">
        <v>2791</v>
      </c>
      <c r="O89">
        <v>137.19979645800001</v>
      </c>
    </row>
    <row r="90" spans="1:15">
      <c r="A90">
        <v>105</v>
      </c>
      <c r="B90" t="s">
        <v>2650</v>
      </c>
      <c r="C90" t="s">
        <v>2319</v>
      </c>
      <c r="D90" t="s">
        <v>2454</v>
      </c>
      <c r="E90" t="s">
        <v>2643</v>
      </c>
      <c r="F90" t="s">
        <v>2189</v>
      </c>
      <c r="G90" t="s">
        <v>3019</v>
      </c>
      <c r="H90" t="s">
        <v>3020</v>
      </c>
      <c r="I90">
        <v>6</v>
      </c>
      <c r="J90">
        <v>824</v>
      </c>
      <c r="K90">
        <v>57</v>
      </c>
      <c r="L90" s="237" t="s">
        <v>3028</v>
      </c>
      <c r="M90">
        <v>71</v>
      </c>
      <c r="N90" t="s">
        <v>2800</v>
      </c>
      <c r="O90">
        <v>137.19979645800001</v>
      </c>
    </row>
    <row r="91" spans="1:15">
      <c r="A91">
        <v>106</v>
      </c>
      <c r="B91" t="s">
        <v>2650</v>
      </c>
      <c r="C91" t="s">
        <v>2320</v>
      </c>
      <c r="D91" t="s">
        <v>2454</v>
      </c>
      <c r="E91" t="s">
        <v>2643</v>
      </c>
      <c r="F91" t="s">
        <v>2189</v>
      </c>
      <c r="G91" t="s">
        <v>3019</v>
      </c>
      <c r="H91" t="s">
        <v>3020</v>
      </c>
      <c r="I91">
        <v>20</v>
      </c>
      <c r="J91">
        <v>790</v>
      </c>
      <c r="K91">
        <v>167</v>
      </c>
      <c r="L91" s="237" t="s">
        <v>3029</v>
      </c>
      <c r="M91">
        <v>71</v>
      </c>
      <c r="N91" t="s">
        <v>2800</v>
      </c>
      <c r="O91">
        <v>137.19979645800001</v>
      </c>
    </row>
    <row r="92" spans="1:15">
      <c r="A92">
        <v>107</v>
      </c>
      <c r="B92" t="s">
        <v>2650</v>
      </c>
      <c r="C92" t="s">
        <v>2321</v>
      </c>
      <c r="D92" t="s">
        <v>2454</v>
      </c>
      <c r="E92" t="s">
        <v>2643</v>
      </c>
      <c r="F92" t="s">
        <v>2189</v>
      </c>
      <c r="G92" t="s">
        <v>3019</v>
      </c>
      <c r="H92" t="s">
        <v>3020</v>
      </c>
      <c r="I92">
        <v>129</v>
      </c>
      <c r="J92">
        <v>809</v>
      </c>
      <c r="K92">
        <v>208</v>
      </c>
      <c r="L92" s="237" t="s">
        <v>3030</v>
      </c>
      <c r="M92">
        <v>71</v>
      </c>
      <c r="N92" t="s">
        <v>2800</v>
      </c>
      <c r="O92">
        <v>137.19979645800001</v>
      </c>
    </row>
    <row r="93" spans="1:15">
      <c r="A93">
        <v>108</v>
      </c>
      <c r="B93" t="s">
        <v>2650</v>
      </c>
      <c r="C93" t="s">
        <v>2322</v>
      </c>
      <c r="D93" t="s">
        <v>2454</v>
      </c>
      <c r="E93" t="s">
        <v>2643</v>
      </c>
      <c r="F93" t="s">
        <v>2189</v>
      </c>
      <c r="G93" t="s">
        <v>3019</v>
      </c>
      <c r="H93" t="s">
        <v>3020</v>
      </c>
      <c r="I93">
        <v>258</v>
      </c>
      <c r="J93">
        <v>777</v>
      </c>
      <c r="K93">
        <v>62</v>
      </c>
      <c r="L93" s="237" t="s">
        <v>3031</v>
      </c>
      <c r="M93">
        <v>71</v>
      </c>
      <c r="N93" t="s">
        <v>2800</v>
      </c>
      <c r="O93">
        <v>137.19979645800001</v>
      </c>
    </row>
    <row r="94" spans="1:15">
      <c r="A94">
        <v>109</v>
      </c>
      <c r="B94" t="s">
        <v>2650</v>
      </c>
      <c r="C94" t="s">
        <v>2324</v>
      </c>
      <c r="D94" t="s">
        <v>2454</v>
      </c>
      <c r="E94" t="s">
        <v>2643</v>
      </c>
      <c r="F94" t="s">
        <v>2189</v>
      </c>
      <c r="G94" t="s">
        <v>3019</v>
      </c>
      <c r="H94" t="s">
        <v>3020</v>
      </c>
      <c r="I94">
        <v>294</v>
      </c>
      <c r="J94">
        <v>804</v>
      </c>
      <c r="K94">
        <v>102</v>
      </c>
      <c r="L94" s="237" t="s">
        <v>3032</v>
      </c>
      <c r="M94">
        <v>71</v>
      </c>
      <c r="N94" t="s">
        <v>2800</v>
      </c>
      <c r="O94">
        <v>137.19979645800001</v>
      </c>
    </row>
    <row r="95" spans="1:15">
      <c r="A95">
        <v>110</v>
      </c>
      <c r="B95" t="s">
        <v>2650</v>
      </c>
      <c r="C95" t="s">
        <v>2325</v>
      </c>
      <c r="D95" t="s">
        <v>2454</v>
      </c>
      <c r="E95" t="s">
        <v>2643</v>
      </c>
      <c r="F95" t="s">
        <v>2189</v>
      </c>
      <c r="G95" t="s">
        <v>3019</v>
      </c>
      <c r="H95" t="s">
        <v>3020</v>
      </c>
      <c r="I95">
        <v>350</v>
      </c>
      <c r="J95">
        <v>786</v>
      </c>
      <c r="K95">
        <v>265</v>
      </c>
      <c r="L95" s="237" t="s">
        <v>3033</v>
      </c>
      <c r="M95">
        <v>71</v>
      </c>
      <c r="N95" t="s">
        <v>2800</v>
      </c>
      <c r="O95">
        <v>137.19979645800001</v>
      </c>
    </row>
    <row r="96" spans="1:15">
      <c r="A96">
        <v>111</v>
      </c>
      <c r="B96" t="s">
        <v>2650</v>
      </c>
      <c r="C96" t="s">
        <v>2326</v>
      </c>
      <c r="D96" t="s">
        <v>2454</v>
      </c>
      <c r="E96" t="s">
        <v>2643</v>
      </c>
      <c r="F96" t="s">
        <v>2189</v>
      </c>
      <c r="G96" t="s">
        <v>3019</v>
      </c>
      <c r="H96" t="s">
        <v>3020</v>
      </c>
      <c r="I96">
        <v>274</v>
      </c>
      <c r="J96">
        <v>835</v>
      </c>
      <c r="K96">
        <v>455</v>
      </c>
      <c r="L96" s="237" t="s">
        <v>3034</v>
      </c>
      <c r="M96">
        <v>71</v>
      </c>
      <c r="N96" t="s">
        <v>2800</v>
      </c>
      <c r="O96">
        <v>137.19979645800001</v>
      </c>
    </row>
    <row r="97" spans="1:15">
      <c r="A97">
        <v>113</v>
      </c>
      <c r="B97" t="s">
        <v>2650</v>
      </c>
      <c r="C97" t="s">
        <v>2328</v>
      </c>
      <c r="D97" t="s">
        <v>2454</v>
      </c>
      <c r="E97" t="s">
        <v>2643</v>
      </c>
      <c r="F97" t="s">
        <v>2203</v>
      </c>
      <c r="G97" t="s">
        <v>3019</v>
      </c>
      <c r="H97" t="s">
        <v>3035</v>
      </c>
      <c r="I97">
        <v>314</v>
      </c>
      <c r="J97">
        <v>807</v>
      </c>
      <c r="K97">
        <v>490</v>
      </c>
      <c r="L97" s="237" t="s">
        <v>3036</v>
      </c>
      <c r="M97">
        <v>69</v>
      </c>
      <c r="N97" t="s">
        <v>2808</v>
      </c>
      <c r="O97">
        <v>136.27214243</v>
      </c>
    </row>
    <row r="98" spans="1:15">
      <c r="A98">
        <v>114</v>
      </c>
      <c r="B98" t="s">
        <v>2650</v>
      </c>
      <c r="C98" t="s">
        <v>2329</v>
      </c>
      <c r="D98" t="s">
        <v>2454</v>
      </c>
      <c r="E98" t="s">
        <v>2643</v>
      </c>
      <c r="F98" t="s">
        <v>2203</v>
      </c>
      <c r="G98" t="s">
        <v>3019</v>
      </c>
      <c r="H98" t="s">
        <v>3035</v>
      </c>
      <c r="I98">
        <v>263</v>
      </c>
      <c r="J98">
        <v>829</v>
      </c>
      <c r="K98">
        <v>650</v>
      </c>
      <c r="L98" s="237" t="s">
        <v>3037</v>
      </c>
      <c r="M98">
        <v>69</v>
      </c>
      <c r="N98" t="s">
        <v>2808</v>
      </c>
      <c r="O98">
        <v>136.27214243</v>
      </c>
    </row>
    <row r="99" spans="1:15">
      <c r="A99">
        <v>115</v>
      </c>
      <c r="B99" t="s">
        <v>2650</v>
      </c>
      <c r="C99" t="s">
        <v>2330</v>
      </c>
      <c r="D99" t="s">
        <v>2454</v>
      </c>
      <c r="E99" t="s">
        <v>2643</v>
      </c>
      <c r="F99" t="s">
        <v>2203</v>
      </c>
      <c r="G99" t="s">
        <v>3019</v>
      </c>
      <c r="H99" t="s">
        <v>3035</v>
      </c>
      <c r="I99">
        <v>125</v>
      </c>
      <c r="J99">
        <v>766</v>
      </c>
      <c r="K99">
        <v>873</v>
      </c>
      <c r="L99" s="237" t="s">
        <v>3038</v>
      </c>
      <c r="M99">
        <v>69</v>
      </c>
      <c r="N99" t="s">
        <v>2808</v>
      </c>
      <c r="O99">
        <v>136.27214243</v>
      </c>
    </row>
    <row r="100" spans="1:15">
      <c r="A100">
        <v>116</v>
      </c>
      <c r="B100" t="s">
        <v>2650</v>
      </c>
      <c r="C100" t="s">
        <v>2331</v>
      </c>
      <c r="D100" t="s">
        <v>2454</v>
      </c>
      <c r="E100" t="s">
        <v>2643</v>
      </c>
      <c r="F100" t="s">
        <v>2203</v>
      </c>
      <c r="G100" t="s">
        <v>3019</v>
      </c>
      <c r="H100" t="s">
        <v>3035</v>
      </c>
      <c r="I100">
        <v>189</v>
      </c>
      <c r="J100">
        <v>757</v>
      </c>
      <c r="K100">
        <v>206</v>
      </c>
      <c r="L100" s="237" t="s">
        <v>3039</v>
      </c>
      <c r="M100">
        <v>69</v>
      </c>
      <c r="N100" t="s">
        <v>2808</v>
      </c>
      <c r="O100">
        <v>136.27214243</v>
      </c>
    </row>
    <row r="101" spans="1:15">
      <c r="A101">
        <v>117</v>
      </c>
      <c r="B101" t="s">
        <v>2650</v>
      </c>
      <c r="C101" t="s">
        <v>2332</v>
      </c>
      <c r="D101" t="s">
        <v>2454</v>
      </c>
      <c r="E101" t="s">
        <v>2643</v>
      </c>
      <c r="F101" t="s">
        <v>2203</v>
      </c>
      <c r="G101" t="s">
        <v>3019</v>
      </c>
      <c r="H101" t="s">
        <v>3035</v>
      </c>
      <c r="I101">
        <v>533</v>
      </c>
      <c r="J101">
        <v>745</v>
      </c>
      <c r="K101">
        <v>163</v>
      </c>
      <c r="L101" s="237" t="s">
        <v>3040</v>
      </c>
      <c r="M101">
        <v>69</v>
      </c>
      <c r="N101" t="s">
        <v>2808</v>
      </c>
      <c r="O101">
        <v>136.27214243</v>
      </c>
    </row>
    <row r="102" spans="1:15">
      <c r="A102">
        <v>118</v>
      </c>
      <c r="B102" t="s">
        <v>2650</v>
      </c>
      <c r="C102" t="s">
        <v>2333</v>
      </c>
      <c r="D102" t="s">
        <v>2454</v>
      </c>
      <c r="E102" t="s">
        <v>2643</v>
      </c>
      <c r="F102" t="s">
        <v>2203</v>
      </c>
      <c r="G102" t="s">
        <v>3019</v>
      </c>
      <c r="H102" t="s">
        <v>3035</v>
      </c>
      <c r="I102">
        <v>200</v>
      </c>
      <c r="J102">
        <v>791</v>
      </c>
      <c r="K102">
        <v>83</v>
      </c>
      <c r="L102" s="237" t="s">
        <v>3041</v>
      </c>
      <c r="M102">
        <v>69</v>
      </c>
      <c r="N102" t="s">
        <v>2808</v>
      </c>
      <c r="O102">
        <v>136.27214243</v>
      </c>
    </row>
    <row r="103" spans="1:15">
      <c r="A103">
        <v>119</v>
      </c>
      <c r="B103" t="s">
        <v>2650</v>
      </c>
      <c r="C103" t="s">
        <v>2334</v>
      </c>
      <c r="D103" t="s">
        <v>2454</v>
      </c>
      <c r="E103" t="s">
        <v>2643</v>
      </c>
      <c r="F103" t="s">
        <v>2203</v>
      </c>
      <c r="G103" t="s">
        <v>3019</v>
      </c>
      <c r="H103" t="s">
        <v>3035</v>
      </c>
      <c r="I103">
        <v>236</v>
      </c>
      <c r="J103">
        <v>802</v>
      </c>
      <c r="K103">
        <v>159</v>
      </c>
      <c r="L103" s="237" t="s">
        <v>3042</v>
      </c>
      <c r="M103">
        <v>69</v>
      </c>
      <c r="N103" t="s">
        <v>2808</v>
      </c>
      <c r="O103">
        <v>136.27214243</v>
      </c>
    </row>
    <row r="104" spans="1:15">
      <c r="A104">
        <v>121</v>
      </c>
      <c r="B104" t="s">
        <v>2650</v>
      </c>
      <c r="C104" t="s">
        <v>2336</v>
      </c>
      <c r="D104" t="s">
        <v>2454</v>
      </c>
      <c r="E104" t="s">
        <v>2643</v>
      </c>
      <c r="F104" t="s">
        <v>2213</v>
      </c>
      <c r="G104" t="s">
        <v>3019</v>
      </c>
      <c r="H104" t="s">
        <v>3035</v>
      </c>
      <c r="I104">
        <v>280</v>
      </c>
      <c r="J104">
        <v>822</v>
      </c>
      <c r="K104">
        <v>16</v>
      </c>
      <c r="L104" s="237" t="s">
        <v>3043</v>
      </c>
      <c r="M104">
        <v>69</v>
      </c>
      <c r="N104" t="s">
        <v>2817</v>
      </c>
      <c r="O104">
        <v>136.27214243</v>
      </c>
    </row>
    <row r="105" spans="1:15">
      <c r="A105">
        <v>122</v>
      </c>
      <c r="B105" t="s">
        <v>2650</v>
      </c>
      <c r="C105" t="s">
        <v>2337</v>
      </c>
      <c r="D105" t="s">
        <v>2454</v>
      </c>
      <c r="E105" t="s">
        <v>2643</v>
      </c>
      <c r="F105" t="s">
        <v>2213</v>
      </c>
      <c r="G105" t="s">
        <v>3019</v>
      </c>
      <c r="H105" t="s">
        <v>3035</v>
      </c>
      <c r="I105">
        <v>231</v>
      </c>
      <c r="J105">
        <v>792</v>
      </c>
      <c r="K105">
        <v>109</v>
      </c>
      <c r="L105" s="237" t="s">
        <v>3044</v>
      </c>
      <c r="M105">
        <v>69</v>
      </c>
      <c r="N105" t="s">
        <v>2817</v>
      </c>
      <c r="O105">
        <v>136.27214243</v>
      </c>
    </row>
    <row r="106" spans="1:15">
      <c r="A106">
        <v>123</v>
      </c>
      <c r="B106" t="s">
        <v>2650</v>
      </c>
      <c r="C106" t="s">
        <v>2338</v>
      </c>
      <c r="D106" t="s">
        <v>2454</v>
      </c>
      <c r="E106" t="s">
        <v>2643</v>
      </c>
      <c r="F106" t="s">
        <v>2213</v>
      </c>
      <c r="G106" t="s">
        <v>3019</v>
      </c>
      <c r="H106" t="s">
        <v>3035</v>
      </c>
      <c r="I106">
        <v>292</v>
      </c>
      <c r="J106">
        <v>740</v>
      </c>
      <c r="K106">
        <v>344</v>
      </c>
      <c r="L106" s="237" t="s">
        <v>3045</v>
      </c>
      <c r="M106">
        <v>69</v>
      </c>
      <c r="N106" t="s">
        <v>2817</v>
      </c>
      <c r="O106">
        <v>136.27214243</v>
      </c>
    </row>
    <row r="107" spans="1:15">
      <c r="A107">
        <v>124</v>
      </c>
      <c r="B107" t="s">
        <v>2650</v>
      </c>
      <c r="C107" t="s">
        <v>2340</v>
      </c>
      <c r="D107" t="s">
        <v>2454</v>
      </c>
      <c r="E107" t="s">
        <v>2643</v>
      </c>
      <c r="F107" t="s">
        <v>2213</v>
      </c>
      <c r="G107" t="s">
        <v>3019</v>
      </c>
      <c r="H107" t="s">
        <v>3035</v>
      </c>
      <c r="I107">
        <v>116</v>
      </c>
      <c r="J107">
        <v>797</v>
      </c>
      <c r="K107">
        <v>221</v>
      </c>
      <c r="L107" s="237" t="s">
        <v>3046</v>
      </c>
      <c r="M107">
        <v>69</v>
      </c>
      <c r="N107" t="s">
        <v>2817</v>
      </c>
      <c r="O107">
        <v>136.27214243</v>
      </c>
    </row>
    <row r="108" spans="1:15">
      <c r="A108">
        <v>125</v>
      </c>
      <c r="B108" t="s">
        <v>2650</v>
      </c>
      <c r="C108" t="s">
        <v>2341</v>
      </c>
      <c r="D108" t="s">
        <v>2454</v>
      </c>
      <c r="E108" t="s">
        <v>2643</v>
      </c>
      <c r="F108" t="s">
        <v>2213</v>
      </c>
      <c r="G108" t="s">
        <v>3019</v>
      </c>
      <c r="H108" t="s">
        <v>3035</v>
      </c>
      <c r="I108">
        <v>50</v>
      </c>
      <c r="J108">
        <v>795</v>
      </c>
      <c r="K108">
        <v>757</v>
      </c>
      <c r="L108" s="237" t="s">
        <v>2893</v>
      </c>
      <c r="M108">
        <v>69</v>
      </c>
      <c r="N108" t="s">
        <v>2817</v>
      </c>
      <c r="O108">
        <v>136.27214243</v>
      </c>
    </row>
    <row r="109" spans="1:15">
      <c r="A109">
        <v>127</v>
      </c>
      <c r="B109" t="s">
        <v>2650</v>
      </c>
      <c r="C109" t="s">
        <v>2343</v>
      </c>
      <c r="D109" t="s">
        <v>2454</v>
      </c>
      <c r="E109" t="s">
        <v>2643</v>
      </c>
      <c r="F109" t="s">
        <v>2213</v>
      </c>
      <c r="G109" t="s">
        <v>3019</v>
      </c>
      <c r="H109" t="s">
        <v>3035</v>
      </c>
      <c r="I109">
        <v>318</v>
      </c>
      <c r="J109">
        <v>751</v>
      </c>
      <c r="K109">
        <v>96</v>
      </c>
      <c r="L109" s="237" t="s">
        <v>3047</v>
      </c>
      <c r="M109">
        <v>69</v>
      </c>
      <c r="N109" t="s">
        <v>2817</v>
      </c>
      <c r="O109">
        <v>136.27214243</v>
      </c>
    </row>
    <row r="110" spans="1:15">
      <c r="A110">
        <v>128</v>
      </c>
      <c r="B110" t="s">
        <v>2650</v>
      </c>
      <c r="C110" t="s">
        <v>2344</v>
      </c>
      <c r="D110" t="s">
        <v>2454</v>
      </c>
      <c r="E110" t="s">
        <v>2643</v>
      </c>
      <c r="F110" t="s">
        <v>2213</v>
      </c>
      <c r="G110" t="s">
        <v>3019</v>
      </c>
      <c r="H110" t="s">
        <v>3035</v>
      </c>
      <c r="I110">
        <v>34</v>
      </c>
      <c r="J110">
        <v>819</v>
      </c>
      <c r="K110">
        <v>134</v>
      </c>
      <c r="L110" s="237" t="s">
        <v>3048</v>
      </c>
      <c r="M110">
        <v>69</v>
      </c>
      <c r="N110" t="s">
        <v>2817</v>
      </c>
      <c r="O110">
        <v>136.27214243</v>
      </c>
    </row>
    <row r="111" spans="1:15">
      <c r="A111">
        <v>129</v>
      </c>
      <c r="B111" t="s">
        <v>2650</v>
      </c>
      <c r="C111" t="s">
        <v>2345</v>
      </c>
      <c r="D111" t="s">
        <v>2454</v>
      </c>
      <c r="E111" t="s">
        <v>2643</v>
      </c>
      <c r="F111" t="s">
        <v>2222</v>
      </c>
      <c r="G111" t="s">
        <v>3019</v>
      </c>
      <c r="H111" t="s">
        <v>3035</v>
      </c>
      <c r="I111">
        <v>80</v>
      </c>
      <c r="J111">
        <v>768</v>
      </c>
      <c r="K111">
        <v>671</v>
      </c>
      <c r="L111" s="237" t="s">
        <v>3049</v>
      </c>
      <c r="M111">
        <v>69</v>
      </c>
      <c r="N111" t="s">
        <v>2826</v>
      </c>
      <c r="O111">
        <v>136.27214243</v>
      </c>
    </row>
    <row r="112" spans="1:15">
      <c r="A112">
        <v>130</v>
      </c>
      <c r="B112" t="s">
        <v>2650</v>
      </c>
      <c r="C112" t="s">
        <v>2346</v>
      </c>
      <c r="D112" t="s">
        <v>2454</v>
      </c>
      <c r="E112" t="s">
        <v>2643</v>
      </c>
      <c r="F112" t="s">
        <v>2222</v>
      </c>
      <c r="G112" t="s">
        <v>3019</v>
      </c>
      <c r="H112" t="s">
        <v>3035</v>
      </c>
      <c r="I112">
        <v>64</v>
      </c>
      <c r="J112">
        <v>789</v>
      </c>
      <c r="K112">
        <v>400</v>
      </c>
      <c r="L112" s="237" t="s">
        <v>3050</v>
      </c>
      <c r="M112">
        <v>69</v>
      </c>
      <c r="N112" t="s">
        <v>2826</v>
      </c>
      <c r="O112">
        <v>136.27214243</v>
      </c>
    </row>
    <row r="113" spans="1:15">
      <c r="A113">
        <v>131</v>
      </c>
      <c r="B113" t="s">
        <v>2650</v>
      </c>
      <c r="C113" t="s">
        <v>2347</v>
      </c>
      <c r="D113" t="s">
        <v>2454</v>
      </c>
      <c r="E113" t="s">
        <v>2643</v>
      </c>
      <c r="F113" t="s">
        <v>2222</v>
      </c>
      <c r="G113" t="s">
        <v>3019</v>
      </c>
      <c r="H113" t="s">
        <v>3035</v>
      </c>
      <c r="I113">
        <v>118</v>
      </c>
      <c r="J113">
        <v>586</v>
      </c>
      <c r="K113">
        <v>48</v>
      </c>
      <c r="L113" s="237" t="s">
        <v>3051</v>
      </c>
      <c r="M113">
        <v>69</v>
      </c>
      <c r="N113" t="s">
        <v>2826</v>
      </c>
      <c r="O113">
        <v>136.27214243</v>
      </c>
    </row>
    <row r="114" spans="1:15">
      <c r="A114">
        <v>133</v>
      </c>
      <c r="B114" t="s">
        <v>2650</v>
      </c>
      <c r="C114" t="s">
        <v>2349</v>
      </c>
      <c r="D114" t="s">
        <v>2454</v>
      </c>
      <c r="E114" t="s">
        <v>2643</v>
      </c>
      <c r="F114" t="s">
        <v>2222</v>
      </c>
      <c r="G114" t="s">
        <v>3019</v>
      </c>
      <c r="H114" t="s">
        <v>3035</v>
      </c>
      <c r="I114">
        <v>270</v>
      </c>
      <c r="J114">
        <v>817</v>
      </c>
      <c r="K114">
        <v>210</v>
      </c>
      <c r="L114" s="237" t="s">
        <v>3052</v>
      </c>
      <c r="M114">
        <v>69</v>
      </c>
      <c r="N114" t="s">
        <v>2826</v>
      </c>
      <c r="O114">
        <v>136.27214243</v>
      </c>
    </row>
    <row r="115" spans="1:15">
      <c r="A115">
        <v>134</v>
      </c>
      <c r="B115" t="s">
        <v>2650</v>
      </c>
      <c r="C115" t="s">
        <v>2350</v>
      </c>
      <c r="D115" t="s">
        <v>2454</v>
      </c>
      <c r="E115" t="s">
        <v>2643</v>
      </c>
      <c r="F115" t="s">
        <v>2222</v>
      </c>
      <c r="G115" t="s">
        <v>3019</v>
      </c>
      <c r="H115" t="s">
        <v>3035</v>
      </c>
      <c r="I115">
        <v>316</v>
      </c>
      <c r="J115">
        <v>837</v>
      </c>
      <c r="K115">
        <v>40</v>
      </c>
      <c r="L115" s="237" t="s">
        <v>3053</v>
      </c>
      <c r="M115">
        <v>69</v>
      </c>
      <c r="N115" t="s">
        <v>2826</v>
      </c>
      <c r="O115">
        <v>136.27214243</v>
      </c>
    </row>
    <row r="116" spans="1:15">
      <c r="A116">
        <v>135</v>
      </c>
      <c r="B116" t="s">
        <v>2650</v>
      </c>
      <c r="C116" t="s">
        <v>2351</v>
      </c>
      <c r="D116" t="s">
        <v>2454</v>
      </c>
      <c r="E116" t="s">
        <v>2643</v>
      </c>
      <c r="F116" t="s">
        <v>2222</v>
      </c>
      <c r="G116" t="s">
        <v>3019</v>
      </c>
      <c r="H116" t="s">
        <v>3035</v>
      </c>
      <c r="I116">
        <v>77</v>
      </c>
      <c r="J116">
        <v>756</v>
      </c>
      <c r="K116">
        <v>517</v>
      </c>
      <c r="L116" s="237" t="s">
        <v>2895</v>
      </c>
      <c r="M116">
        <v>69</v>
      </c>
      <c r="N116" t="s">
        <v>2826</v>
      </c>
      <c r="O116">
        <v>136.27214243</v>
      </c>
    </row>
    <row r="117" spans="1:15">
      <c r="A117">
        <v>136</v>
      </c>
      <c r="B117" t="s">
        <v>2650</v>
      </c>
      <c r="C117" t="s">
        <v>2352</v>
      </c>
      <c r="D117" t="s">
        <v>2454</v>
      </c>
      <c r="E117" t="s">
        <v>2643</v>
      </c>
      <c r="F117" t="s">
        <v>2222</v>
      </c>
      <c r="G117" t="s">
        <v>3019</v>
      </c>
      <c r="H117" t="s">
        <v>3035</v>
      </c>
      <c r="I117">
        <v>332</v>
      </c>
      <c r="J117">
        <v>184</v>
      </c>
      <c r="K117">
        <v>67</v>
      </c>
      <c r="L117" s="237" t="s">
        <v>3054</v>
      </c>
      <c r="M117">
        <v>69</v>
      </c>
      <c r="N117" t="s">
        <v>2826</v>
      </c>
      <c r="O117">
        <v>136.27214243</v>
      </c>
    </row>
    <row r="118" spans="1:15">
      <c r="A118">
        <v>137</v>
      </c>
      <c r="B118" t="s">
        <v>2650</v>
      </c>
      <c r="C118" t="s">
        <v>2353</v>
      </c>
      <c r="D118" t="s">
        <v>2454</v>
      </c>
      <c r="E118" t="s">
        <v>2643</v>
      </c>
      <c r="F118" t="s">
        <v>2239</v>
      </c>
      <c r="G118" t="s">
        <v>3019</v>
      </c>
      <c r="H118" t="s">
        <v>3035</v>
      </c>
      <c r="I118">
        <v>30</v>
      </c>
      <c r="J118">
        <v>746</v>
      </c>
      <c r="K118">
        <v>335</v>
      </c>
      <c r="L118" s="237" t="s">
        <v>3055</v>
      </c>
      <c r="M118">
        <v>69</v>
      </c>
      <c r="N118" t="s">
        <v>2835</v>
      </c>
      <c r="O118">
        <v>136.27214243</v>
      </c>
    </row>
    <row r="119" spans="1:15">
      <c r="A119">
        <v>138</v>
      </c>
      <c r="B119" t="s">
        <v>2650</v>
      </c>
      <c r="C119" t="s">
        <v>2354</v>
      </c>
      <c r="D119" t="s">
        <v>2454</v>
      </c>
      <c r="E119" t="s">
        <v>2643</v>
      </c>
      <c r="F119" t="s">
        <v>2239</v>
      </c>
      <c r="G119" t="s">
        <v>3019</v>
      </c>
      <c r="H119" t="s">
        <v>3035</v>
      </c>
      <c r="I119">
        <v>213</v>
      </c>
      <c r="J119">
        <v>821</v>
      </c>
      <c r="K119">
        <v>484</v>
      </c>
      <c r="L119" s="237" t="s">
        <v>3056</v>
      </c>
      <c r="M119">
        <v>69</v>
      </c>
      <c r="N119" t="s">
        <v>2835</v>
      </c>
      <c r="O119">
        <v>136.27214243</v>
      </c>
    </row>
    <row r="120" spans="1:15">
      <c r="A120">
        <v>139</v>
      </c>
      <c r="B120" t="s">
        <v>2650</v>
      </c>
      <c r="C120" t="s">
        <v>2355</v>
      </c>
      <c r="D120" t="s">
        <v>2454</v>
      </c>
      <c r="E120" t="s">
        <v>2643</v>
      </c>
      <c r="F120" t="s">
        <v>2239</v>
      </c>
      <c r="G120" t="s">
        <v>3019</v>
      </c>
      <c r="H120" t="s">
        <v>3035</v>
      </c>
      <c r="I120">
        <v>250</v>
      </c>
      <c r="J120">
        <v>813</v>
      </c>
      <c r="K120">
        <v>868</v>
      </c>
      <c r="L120" s="237" t="s">
        <v>3057</v>
      </c>
      <c r="M120">
        <v>69</v>
      </c>
      <c r="N120" t="s">
        <v>2835</v>
      </c>
      <c r="O120">
        <v>136.27214243</v>
      </c>
    </row>
    <row r="121" spans="1:15">
      <c r="A121">
        <v>140</v>
      </c>
      <c r="B121" t="s">
        <v>2650</v>
      </c>
      <c r="C121" t="s">
        <v>2357</v>
      </c>
      <c r="D121" t="s">
        <v>2454</v>
      </c>
      <c r="E121" t="s">
        <v>2643</v>
      </c>
      <c r="F121" t="s">
        <v>2239</v>
      </c>
      <c r="G121" t="s">
        <v>3019</v>
      </c>
      <c r="H121" t="s">
        <v>3035</v>
      </c>
      <c r="I121">
        <v>401</v>
      </c>
      <c r="J121">
        <v>729</v>
      </c>
      <c r="K121">
        <v>792</v>
      </c>
      <c r="L121" s="237" t="s">
        <v>3058</v>
      </c>
      <c r="M121">
        <v>69</v>
      </c>
      <c r="N121" t="s">
        <v>2835</v>
      </c>
      <c r="O121">
        <v>136.27214243</v>
      </c>
    </row>
    <row r="122" spans="1:15">
      <c r="A122">
        <v>142</v>
      </c>
      <c r="B122" t="s">
        <v>2650</v>
      </c>
      <c r="C122" t="s">
        <v>2359</v>
      </c>
      <c r="D122" t="s">
        <v>2454</v>
      </c>
      <c r="E122" t="s">
        <v>2643</v>
      </c>
      <c r="F122" t="s">
        <v>2239</v>
      </c>
      <c r="G122" t="s">
        <v>3019</v>
      </c>
      <c r="H122" t="s">
        <v>3035</v>
      </c>
      <c r="I122">
        <v>87</v>
      </c>
      <c r="J122">
        <v>834</v>
      </c>
      <c r="K122">
        <v>711</v>
      </c>
      <c r="L122" s="237" t="s">
        <v>3059</v>
      </c>
      <c r="M122">
        <v>69</v>
      </c>
      <c r="N122" t="s">
        <v>2835</v>
      </c>
      <c r="O122">
        <v>136.27214243</v>
      </c>
    </row>
    <row r="123" spans="1:15">
      <c r="A123">
        <v>143</v>
      </c>
      <c r="B123" t="s">
        <v>2650</v>
      </c>
      <c r="C123" t="s">
        <v>2360</v>
      </c>
      <c r="D123" t="s">
        <v>2454</v>
      </c>
      <c r="E123" t="s">
        <v>2643</v>
      </c>
      <c r="F123" t="s">
        <v>2239</v>
      </c>
      <c r="G123" t="s">
        <v>3019</v>
      </c>
      <c r="H123" t="s">
        <v>3035</v>
      </c>
      <c r="I123">
        <v>501</v>
      </c>
      <c r="J123">
        <v>774</v>
      </c>
      <c r="K123">
        <v>205</v>
      </c>
      <c r="L123" s="237" t="s">
        <v>3060</v>
      </c>
      <c r="M123">
        <v>69</v>
      </c>
      <c r="N123" t="s">
        <v>2835</v>
      </c>
      <c r="O123">
        <v>136.27214243</v>
      </c>
    </row>
    <row r="124" spans="1:15">
      <c r="A124">
        <v>144</v>
      </c>
      <c r="B124" t="s">
        <v>2650</v>
      </c>
      <c r="C124" t="s">
        <v>2361</v>
      </c>
      <c r="D124" t="s">
        <v>2454</v>
      </c>
      <c r="E124" t="s">
        <v>2643</v>
      </c>
      <c r="F124" t="s">
        <v>2239</v>
      </c>
      <c r="G124" t="s">
        <v>3019</v>
      </c>
      <c r="H124" t="s">
        <v>3035</v>
      </c>
      <c r="I124">
        <v>141</v>
      </c>
      <c r="J124">
        <v>779</v>
      </c>
      <c r="K124">
        <v>384</v>
      </c>
      <c r="L124" s="237" t="s">
        <v>3061</v>
      </c>
      <c r="M124">
        <v>69</v>
      </c>
      <c r="N124" t="s">
        <v>2835</v>
      </c>
      <c r="O124">
        <v>136.27214243</v>
      </c>
    </row>
    <row r="125" spans="1:15">
      <c r="A125">
        <v>145</v>
      </c>
      <c r="B125" t="s">
        <v>2650</v>
      </c>
      <c r="C125" t="s">
        <v>2362</v>
      </c>
      <c r="D125" t="s">
        <v>2454</v>
      </c>
      <c r="E125" t="s">
        <v>2643</v>
      </c>
      <c r="F125" t="s">
        <v>2251</v>
      </c>
      <c r="G125" t="s">
        <v>3019</v>
      </c>
      <c r="H125" t="s">
        <v>3020</v>
      </c>
      <c r="I125">
        <v>131</v>
      </c>
      <c r="J125">
        <v>728</v>
      </c>
      <c r="K125">
        <v>72</v>
      </c>
      <c r="L125" s="237" t="s">
        <v>3062</v>
      </c>
      <c r="M125">
        <v>71</v>
      </c>
      <c r="N125" t="s">
        <v>2845</v>
      </c>
      <c r="O125">
        <v>137.19979645800001</v>
      </c>
    </row>
    <row r="126" spans="1:15">
      <c r="A126">
        <v>146</v>
      </c>
      <c r="B126" t="s">
        <v>2650</v>
      </c>
      <c r="C126" t="s">
        <v>2363</v>
      </c>
      <c r="D126" t="s">
        <v>2454</v>
      </c>
      <c r="E126" t="s">
        <v>2643</v>
      </c>
      <c r="F126" t="s">
        <v>2251</v>
      </c>
      <c r="G126" t="s">
        <v>3019</v>
      </c>
      <c r="H126" t="s">
        <v>3020</v>
      </c>
      <c r="I126">
        <v>465</v>
      </c>
      <c r="J126">
        <v>13</v>
      </c>
      <c r="K126">
        <v>336</v>
      </c>
      <c r="L126" s="237" t="s">
        <v>3063</v>
      </c>
      <c r="M126">
        <v>71</v>
      </c>
      <c r="N126" t="s">
        <v>2845</v>
      </c>
      <c r="O126">
        <v>137.19979645800001</v>
      </c>
    </row>
    <row r="127" spans="1:15">
      <c r="A127">
        <v>147</v>
      </c>
      <c r="B127" t="s">
        <v>2650</v>
      </c>
      <c r="C127" t="s">
        <v>2364</v>
      </c>
      <c r="D127" t="s">
        <v>2454</v>
      </c>
      <c r="E127" t="s">
        <v>2643</v>
      </c>
      <c r="F127" t="s">
        <v>2251</v>
      </c>
      <c r="G127" t="s">
        <v>3019</v>
      </c>
      <c r="H127" t="s">
        <v>3020</v>
      </c>
      <c r="I127">
        <v>15</v>
      </c>
      <c r="J127">
        <v>832</v>
      </c>
      <c r="K127">
        <v>303</v>
      </c>
      <c r="L127" s="237" t="s">
        <v>3064</v>
      </c>
      <c r="M127">
        <v>71</v>
      </c>
      <c r="N127" t="s">
        <v>2845</v>
      </c>
      <c r="O127">
        <v>137.19979645800001</v>
      </c>
    </row>
    <row r="128" spans="1:15">
      <c r="A128">
        <v>148</v>
      </c>
      <c r="B128" t="s">
        <v>2650</v>
      </c>
      <c r="C128" t="s">
        <v>2365</v>
      </c>
      <c r="D128" t="s">
        <v>2454</v>
      </c>
      <c r="E128" t="s">
        <v>2643</v>
      </c>
      <c r="F128" t="s">
        <v>2251</v>
      </c>
      <c r="G128" t="s">
        <v>3019</v>
      </c>
      <c r="H128" t="s">
        <v>3020</v>
      </c>
      <c r="I128">
        <v>290</v>
      </c>
      <c r="J128">
        <v>823</v>
      </c>
      <c r="K128">
        <v>161</v>
      </c>
      <c r="L128" s="237" t="s">
        <v>3065</v>
      </c>
      <c r="M128">
        <v>71</v>
      </c>
      <c r="N128" t="s">
        <v>2845</v>
      </c>
      <c r="O128">
        <v>137.19979645800001</v>
      </c>
    </row>
    <row r="129" spans="1:15">
      <c r="A129">
        <v>149</v>
      </c>
      <c r="B129" t="s">
        <v>2650</v>
      </c>
      <c r="C129" t="s">
        <v>2366</v>
      </c>
      <c r="D129" t="s">
        <v>2454</v>
      </c>
      <c r="E129" t="s">
        <v>2643</v>
      </c>
      <c r="F129" t="s">
        <v>2251</v>
      </c>
      <c r="G129" t="s">
        <v>3019</v>
      </c>
      <c r="H129" t="s">
        <v>3020</v>
      </c>
      <c r="I129">
        <v>194</v>
      </c>
      <c r="J129">
        <v>703</v>
      </c>
      <c r="K129">
        <v>464</v>
      </c>
      <c r="L129" s="237" t="s">
        <v>3066</v>
      </c>
      <c r="M129">
        <v>71</v>
      </c>
      <c r="N129" t="s">
        <v>2845</v>
      </c>
      <c r="O129">
        <v>137.19979645800001</v>
      </c>
    </row>
    <row r="130" spans="1:15">
      <c r="A130">
        <v>150</v>
      </c>
      <c r="B130" t="s">
        <v>2650</v>
      </c>
      <c r="C130" t="s">
        <v>2367</v>
      </c>
      <c r="D130" t="s">
        <v>2454</v>
      </c>
      <c r="E130" t="s">
        <v>2643</v>
      </c>
      <c r="F130" t="s">
        <v>2251</v>
      </c>
      <c r="G130" t="s">
        <v>3019</v>
      </c>
      <c r="H130" t="s">
        <v>3020</v>
      </c>
      <c r="I130">
        <v>272</v>
      </c>
      <c r="J130">
        <v>668</v>
      </c>
      <c r="K130">
        <v>843</v>
      </c>
      <c r="L130" s="237" t="s">
        <v>3067</v>
      </c>
      <c r="M130">
        <v>71</v>
      </c>
      <c r="N130" t="s">
        <v>2845</v>
      </c>
      <c r="O130">
        <v>137.19979645800001</v>
      </c>
    </row>
    <row r="131" spans="1:15">
      <c r="A131">
        <v>152</v>
      </c>
      <c r="B131" t="s">
        <v>2650</v>
      </c>
      <c r="C131" t="s">
        <v>2369</v>
      </c>
      <c r="D131" t="s">
        <v>2454</v>
      </c>
      <c r="E131" t="s">
        <v>2643</v>
      </c>
      <c r="F131" t="s">
        <v>2251</v>
      </c>
      <c r="G131" t="s">
        <v>3019</v>
      </c>
      <c r="H131" t="s">
        <v>3020</v>
      </c>
      <c r="I131">
        <v>198</v>
      </c>
      <c r="J131">
        <v>788</v>
      </c>
      <c r="K131">
        <v>617</v>
      </c>
      <c r="L131" s="237" t="s">
        <v>3068</v>
      </c>
      <c r="M131">
        <v>71</v>
      </c>
      <c r="N131" t="s">
        <v>2845</v>
      </c>
      <c r="O131">
        <v>137.19979645800001</v>
      </c>
    </row>
    <row r="132" spans="1:15">
      <c r="A132">
        <v>153</v>
      </c>
      <c r="B132" t="s">
        <v>2650</v>
      </c>
      <c r="C132" t="s">
        <v>2371</v>
      </c>
      <c r="D132" t="s">
        <v>2454</v>
      </c>
      <c r="E132" t="s">
        <v>2643</v>
      </c>
      <c r="F132" t="s">
        <v>2260</v>
      </c>
      <c r="G132" t="s">
        <v>3019</v>
      </c>
      <c r="H132" t="s">
        <v>3020</v>
      </c>
      <c r="I132">
        <v>197</v>
      </c>
      <c r="J132">
        <v>735</v>
      </c>
      <c r="K132">
        <v>19</v>
      </c>
      <c r="L132" s="237" t="s">
        <v>3069</v>
      </c>
      <c r="M132">
        <v>71</v>
      </c>
      <c r="N132" t="s">
        <v>2854</v>
      </c>
      <c r="O132">
        <v>137.19979645800001</v>
      </c>
    </row>
    <row r="133" spans="1:15">
      <c r="A133">
        <v>154</v>
      </c>
      <c r="B133" t="s">
        <v>2650</v>
      </c>
      <c r="C133" t="s">
        <v>2372</v>
      </c>
      <c r="D133" t="s">
        <v>2454</v>
      </c>
      <c r="E133" t="s">
        <v>2643</v>
      </c>
      <c r="F133" t="s">
        <v>2260</v>
      </c>
      <c r="G133" t="s">
        <v>3019</v>
      </c>
      <c r="H133" t="s">
        <v>3020</v>
      </c>
      <c r="I133">
        <v>127</v>
      </c>
      <c r="J133">
        <v>836</v>
      </c>
      <c r="K133">
        <v>275</v>
      </c>
      <c r="L133" s="237" t="s">
        <v>3070</v>
      </c>
      <c r="M133">
        <v>71</v>
      </c>
      <c r="N133" t="s">
        <v>2854</v>
      </c>
      <c r="O133">
        <v>137.19979645800001</v>
      </c>
    </row>
    <row r="134" spans="1:15">
      <c r="A134">
        <v>155</v>
      </c>
      <c r="B134" t="s">
        <v>2650</v>
      </c>
      <c r="C134" t="s">
        <v>2373</v>
      </c>
      <c r="D134" t="s">
        <v>2454</v>
      </c>
      <c r="E134" t="s">
        <v>2643</v>
      </c>
      <c r="F134" t="s">
        <v>2260</v>
      </c>
      <c r="G134" t="s">
        <v>3019</v>
      </c>
      <c r="H134" t="s">
        <v>3020</v>
      </c>
      <c r="I134">
        <v>253</v>
      </c>
      <c r="J134">
        <v>337</v>
      </c>
      <c r="K134">
        <v>289</v>
      </c>
      <c r="L134" s="237" t="s">
        <v>3071</v>
      </c>
      <c r="M134">
        <v>71</v>
      </c>
      <c r="N134" t="s">
        <v>2854</v>
      </c>
      <c r="O134">
        <v>137.19979645800001</v>
      </c>
    </row>
    <row r="135" spans="1:15">
      <c r="A135">
        <v>156</v>
      </c>
      <c r="B135" t="s">
        <v>2650</v>
      </c>
      <c r="C135" t="s">
        <v>2374</v>
      </c>
      <c r="D135" t="s">
        <v>2454</v>
      </c>
      <c r="E135" t="s">
        <v>2643</v>
      </c>
      <c r="F135" t="s">
        <v>2260</v>
      </c>
      <c r="G135" t="s">
        <v>3019</v>
      </c>
      <c r="H135" t="s">
        <v>3020</v>
      </c>
      <c r="I135">
        <v>47</v>
      </c>
      <c r="J135">
        <v>118</v>
      </c>
      <c r="K135">
        <v>65</v>
      </c>
      <c r="L135" s="237" t="s">
        <v>3072</v>
      </c>
      <c r="M135">
        <v>71</v>
      </c>
      <c r="N135" t="s">
        <v>2854</v>
      </c>
      <c r="O135">
        <v>137.19979645800001</v>
      </c>
    </row>
    <row r="136" spans="1:15">
      <c r="A136">
        <v>157</v>
      </c>
      <c r="B136" t="s">
        <v>2650</v>
      </c>
      <c r="C136" t="s">
        <v>2376</v>
      </c>
      <c r="D136" t="s">
        <v>2454</v>
      </c>
      <c r="E136" t="s">
        <v>2643</v>
      </c>
      <c r="F136" t="s">
        <v>2260</v>
      </c>
      <c r="G136" t="s">
        <v>3019</v>
      </c>
      <c r="H136" t="s">
        <v>3020</v>
      </c>
      <c r="I136">
        <v>328</v>
      </c>
      <c r="J136">
        <v>478</v>
      </c>
      <c r="K136">
        <v>33</v>
      </c>
      <c r="L136" s="237" t="s">
        <v>3073</v>
      </c>
      <c r="M136">
        <v>71</v>
      </c>
      <c r="N136" t="s">
        <v>2854</v>
      </c>
      <c r="O136">
        <v>137.19979645800001</v>
      </c>
    </row>
    <row r="137" spans="1:15">
      <c r="A137">
        <v>158</v>
      </c>
      <c r="B137" t="s">
        <v>2650</v>
      </c>
      <c r="C137" t="s">
        <v>2377</v>
      </c>
      <c r="D137" t="s">
        <v>2454</v>
      </c>
      <c r="E137" t="s">
        <v>2643</v>
      </c>
      <c r="F137" t="s">
        <v>2260</v>
      </c>
      <c r="G137" t="s">
        <v>3019</v>
      </c>
      <c r="H137" t="s">
        <v>3020</v>
      </c>
      <c r="I137">
        <v>21</v>
      </c>
      <c r="J137">
        <v>773</v>
      </c>
      <c r="K137">
        <v>153</v>
      </c>
      <c r="L137" s="237" t="s">
        <v>3074</v>
      </c>
      <c r="M137">
        <v>71</v>
      </c>
      <c r="N137" t="s">
        <v>2854</v>
      </c>
      <c r="O137">
        <v>137.19979645800001</v>
      </c>
    </row>
    <row r="138" spans="1:15">
      <c r="A138">
        <v>160</v>
      </c>
      <c r="B138" t="s">
        <v>2650</v>
      </c>
      <c r="C138" t="s">
        <v>2379</v>
      </c>
      <c r="D138" t="s">
        <v>2454</v>
      </c>
      <c r="E138" t="s">
        <v>2643</v>
      </c>
      <c r="F138" t="s">
        <v>2260</v>
      </c>
      <c r="G138" t="s">
        <v>3019</v>
      </c>
      <c r="H138" t="s">
        <v>3020</v>
      </c>
      <c r="I138">
        <v>482</v>
      </c>
      <c r="J138">
        <v>401</v>
      </c>
      <c r="K138">
        <v>175</v>
      </c>
      <c r="L138" s="237" t="s">
        <v>3075</v>
      </c>
      <c r="M138">
        <v>71</v>
      </c>
      <c r="N138" t="s">
        <v>2854</v>
      </c>
      <c r="O138">
        <v>137.19979645800001</v>
      </c>
    </row>
    <row r="139" spans="1:15">
      <c r="A139">
        <v>161</v>
      </c>
      <c r="B139" t="s">
        <v>2380</v>
      </c>
      <c r="C139" t="s">
        <v>2381</v>
      </c>
      <c r="D139" t="s">
        <v>2454</v>
      </c>
      <c r="E139" t="s">
        <v>2643</v>
      </c>
      <c r="F139" t="s">
        <v>2273</v>
      </c>
      <c r="G139" t="s">
        <v>3076</v>
      </c>
      <c r="H139" t="s">
        <v>3077</v>
      </c>
      <c r="I139">
        <v>51</v>
      </c>
      <c r="J139">
        <v>673</v>
      </c>
      <c r="K139">
        <v>207</v>
      </c>
      <c r="L139" s="237" t="s">
        <v>3078</v>
      </c>
      <c r="M139">
        <v>69</v>
      </c>
      <c r="N139" t="s">
        <v>2865</v>
      </c>
      <c r="O139">
        <v>162.634207253</v>
      </c>
    </row>
    <row r="140" spans="1:15">
      <c r="A140">
        <v>162</v>
      </c>
      <c r="B140" t="s">
        <v>2380</v>
      </c>
      <c r="C140" t="s">
        <v>2382</v>
      </c>
      <c r="D140" t="s">
        <v>2454</v>
      </c>
      <c r="E140" t="s">
        <v>2643</v>
      </c>
      <c r="F140" t="s">
        <v>2273</v>
      </c>
      <c r="G140" t="s">
        <v>3076</v>
      </c>
      <c r="H140" t="s">
        <v>3077</v>
      </c>
      <c r="I140">
        <v>238</v>
      </c>
      <c r="J140">
        <v>814</v>
      </c>
      <c r="K140">
        <v>580</v>
      </c>
      <c r="L140" s="237" t="s">
        <v>3079</v>
      </c>
      <c r="M140">
        <v>69</v>
      </c>
      <c r="N140" t="s">
        <v>2865</v>
      </c>
      <c r="O140">
        <v>162.634207253</v>
      </c>
    </row>
    <row r="141" spans="1:15">
      <c r="A141">
        <v>163</v>
      </c>
      <c r="B141" t="s">
        <v>2380</v>
      </c>
      <c r="C141" t="s">
        <v>2383</v>
      </c>
      <c r="D141" t="s">
        <v>2454</v>
      </c>
      <c r="E141" t="s">
        <v>2643</v>
      </c>
      <c r="F141" t="s">
        <v>2273</v>
      </c>
      <c r="G141" t="s">
        <v>3076</v>
      </c>
      <c r="H141" t="s">
        <v>3077</v>
      </c>
      <c r="I141">
        <v>59</v>
      </c>
      <c r="J141">
        <v>615</v>
      </c>
      <c r="K141">
        <v>722</v>
      </c>
      <c r="L141" s="237" t="s">
        <v>3080</v>
      </c>
      <c r="M141">
        <v>69</v>
      </c>
      <c r="N141" t="s">
        <v>2865</v>
      </c>
      <c r="O141">
        <v>162.634207253</v>
      </c>
    </row>
    <row r="142" spans="1:15">
      <c r="A142">
        <v>164</v>
      </c>
      <c r="B142" t="s">
        <v>2380</v>
      </c>
      <c r="C142" t="s">
        <v>2384</v>
      </c>
      <c r="D142" t="s">
        <v>2454</v>
      </c>
      <c r="E142" t="s">
        <v>2643</v>
      </c>
      <c r="F142" t="s">
        <v>2273</v>
      </c>
      <c r="G142" t="s">
        <v>3076</v>
      </c>
      <c r="H142" t="s">
        <v>3077</v>
      </c>
      <c r="I142">
        <v>7</v>
      </c>
      <c r="J142">
        <v>514</v>
      </c>
      <c r="K142">
        <v>239</v>
      </c>
      <c r="L142" s="237" t="s">
        <v>3081</v>
      </c>
      <c r="M142">
        <v>69</v>
      </c>
      <c r="N142" t="s">
        <v>2865</v>
      </c>
      <c r="O142">
        <v>162.634207253</v>
      </c>
    </row>
    <row r="143" spans="1:15">
      <c r="A143">
        <v>165</v>
      </c>
      <c r="B143" t="s">
        <v>2380</v>
      </c>
      <c r="C143" t="s">
        <v>2385</v>
      </c>
      <c r="D143" t="s">
        <v>2454</v>
      </c>
      <c r="E143" t="s">
        <v>2643</v>
      </c>
      <c r="F143" t="s">
        <v>2273</v>
      </c>
      <c r="G143" t="s">
        <v>3076</v>
      </c>
      <c r="H143" t="s">
        <v>3077</v>
      </c>
      <c r="I143">
        <v>85</v>
      </c>
      <c r="J143">
        <v>127</v>
      </c>
      <c r="K143">
        <v>343</v>
      </c>
      <c r="L143" s="237" t="s">
        <v>3082</v>
      </c>
      <c r="M143">
        <v>69</v>
      </c>
      <c r="N143" t="s">
        <v>2865</v>
      </c>
      <c r="O143">
        <v>162.634207253</v>
      </c>
    </row>
    <row r="144" spans="1:15">
      <c r="A144">
        <v>166</v>
      </c>
      <c r="B144" t="s">
        <v>2380</v>
      </c>
      <c r="C144" t="s">
        <v>2386</v>
      </c>
      <c r="D144" t="s">
        <v>2454</v>
      </c>
      <c r="E144" t="s">
        <v>2643</v>
      </c>
      <c r="F144" t="s">
        <v>2273</v>
      </c>
      <c r="G144" t="s">
        <v>3076</v>
      </c>
      <c r="H144" t="s">
        <v>3077</v>
      </c>
      <c r="I144">
        <v>1</v>
      </c>
      <c r="J144">
        <v>752</v>
      </c>
      <c r="K144">
        <v>409</v>
      </c>
      <c r="L144" s="237" t="s">
        <v>2909</v>
      </c>
      <c r="M144">
        <v>69</v>
      </c>
      <c r="N144" t="s">
        <v>2865</v>
      </c>
      <c r="O144">
        <v>162.634207253</v>
      </c>
    </row>
    <row r="145" spans="1:15">
      <c r="A145">
        <v>168</v>
      </c>
      <c r="B145" t="s">
        <v>2380</v>
      </c>
      <c r="C145" t="s">
        <v>2389</v>
      </c>
      <c r="D145" t="s">
        <v>2454</v>
      </c>
      <c r="E145" t="s">
        <v>2643</v>
      </c>
      <c r="F145" t="s">
        <v>2273</v>
      </c>
      <c r="G145" t="s">
        <v>3076</v>
      </c>
      <c r="H145" t="s">
        <v>3077</v>
      </c>
      <c r="I145">
        <v>70</v>
      </c>
      <c r="J145">
        <v>690</v>
      </c>
      <c r="K145">
        <v>304</v>
      </c>
      <c r="L145" s="237" t="s">
        <v>3083</v>
      </c>
      <c r="M145">
        <v>69</v>
      </c>
      <c r="N145" t="s">
        <v>2865</v>
      </c>
      <c r="O145">
        <v>162.634207253</v>
      </c>
    </row>
    <row r="146" spans="1:15">
      <c r="A146">
        <v>169</v>
      </c>
      <c r="B146" t="s">
        <v>2380</v>
      </c>
      <c r="C146" t="s">
        <v>2390</v>
      </c>
      <c r="D146" t="s">
        <v>2454</v>
      </c>
      <c r="E146" t="s">
        <v>2643</v>
      </c>
      <c r="F146" t="s">
        <v>2282</v>
      </c>
      <c r="G146" t="s">
        <v>3076</v>
      </c>
      <c r="H146" t="s">
        <v>3077</v>
      </c>
      <c r="I146">
        <v>250</v>
      </c>
      <c r="J146">
        <v>684</v>
      </c>
      <c r="K146">
        <v>135</v>
      </c>
      <c r="L146" s="237" t="s">
        <v>3084</v>
      </c>
      <c r="M146">
        <v>69</v>
      </c>
      <c r="N146" t="s">
        <v>2874</v>
      </c>
      <c r="O146">
        <v>162.634207253</v>
      </c>
    </row>
    <row r="147" spans="1:15">
      <c r="A147">
        <v>170</v>
      </c>
      <c r="B147" t="s">
        <v>2380</v>
      </c>
      <c r="C147" t="s">
        <v>2391</v>
      </c>
      <c r="D147" t="s">
        <v>2454</v>
      </c>
      <c r="E147" t="s">
        <v>2643</v>
      </c>
      <c r="F147" t="s">
        <v>2282</v>
      </c>
      <c r="G147" t="s">
        <v>3076</v>
      </c>
      <c r="H147" t="s">
        <v>3077</v>
      </c>
      <c r="I147">
        <v>624</v>
      </c>
      <c r="J147">
        <v>694</v>
      </c>
      <c r="K147">
        <v>515</v>
      </c>
      <c r="L147" s="237" t="s">
        <v>3085</v>
      </c>
      <c r="M147">
        <v>69</v>
      </c>
      <c r="N147" t="s">
        <v>2874</v>
      </c>
      <c r="O147">
        <v>162.634207253</v>
      </c>
    </row>
    <row r="148" spans="1:15">
      <c r="A148">
        <v>171</v>
      </c>
      <c r="B148" t="s">
        <v>2380</v>
      </c>
      <c r="C148" t="s">
        <v>2392</v>
      </c>
      <c r="D148" t="s">
        <v>2454</v>
      </c>
      <c r="E148" t="s">
        <v>2643</v>
      </c>
      <c r="F148" t="s">
        <v>2282</v>
      </c>
      <c r="G148" t="s">
        <v>3076</v>
      </c>
      <c r="H148" t="s">
        <v>3077</v>
      </c>
      <c r="I148">
        <v>149</v>
      </c>
      <c r="J148">
        <v>655</v>
      </c>
      <c r="K148">
        <v>348</v>
      </c>
      <c r="L148" s="237" t="s">
        <v>3086</v>
      </c>
      <c r="M148">
        <v>69</v>
      </c>
      <c r="N148" t="s">
        <v>2874</v>
      </c>
      <c r="O148">
        <v>162.634207253</v>
      </c>
    </row>
    <row r="149" spans="1:15">
      <c r="A149">
        <v>173</v>
      </c>
      <c r="B149" t="s">
        <v>2380</v>
      </c>
      <c r="C149" t="s">
        <v>2394</v>
      </c>
      <c r="D149" t="s">
        <v>2454</v>
      </c>
      <c r="E149" t="s">
        <v>2643</v>
      </c>
      <c r="F149" t="s">
        <v>2282</v>
      </c>
      <c r="G149" t="s">
        <v>3076</v>
      </c>
      <c r="H149" t="s">
        <v>3077</v>
      </c>
      <c r="I149">
        <v>597</v>
      </c>
      <c r="J149">
        <v>405</v>
      </c>
      <c r="K149">
        <v>307</v>
      </c>
      <c r="L149" s="237" t="s">
        <v>3087</v>
      </c>
      <c r="M149">
        <v>69</v>
      </c>
      <c r="N149" t="s">
        <v>2874</v>
      </c>
      <c r="O149">
        <v>162.634207253</v>
      </c>
    </row>
    <row r="150" spans="1:15">
      <c r="A150">
        <v>174</v>
      </c>
      <c r="B150" t="s">
        <v>2380</v>
      </c>
      <c r="C150" t="s">
        <v>2395</v>
      </c>
      <c r="D150" t="s">
        <v>2454</v>
      </c>
      <c r="E150" t="s">
        <v>2643</v>
      </c>
      <c r="F150" t="s">
        <v>2282</v>
      </c>
      <c r="G150" t="s">
        <v>3076</v>
      </c>
      <c r="H150" t="s">
        <v>3077</v>
      </c>
      <c r="I150">
        <v>396</v>
      </c>
      <c r="J150">
        <v>736</v>
      </c>
      <c r="K150">
        <v>155</v>
      </c>
      <c r="L150" s="237" t="s">
        <v>3088</v>
      </c>
      <c r="M150">
        <v>69</v>
      </c>
      <c r="N150" t="s">
        <v>2874</v>
      </c>
      <c r="O150">
        <v>162.634207253</v>
      </c>
    </row>
    <row r="151" spans="1:15">
      <c r="A151">
        <v>175</v>
      </c>
      <c r="B151" t="s">
        <v>2380</v>
      </c>
      <c r="C151" t="s">
        <v>2396</v>
      </c>
      <c r="D151" t="s">
        <v>2454</v>
      </c>
      <c r="E151" t="s">
        <v>2643</v>
      </c>
      <c r="F151" t="s">
        <v>2282</v>
      </c>
      <c r="G151" t="s">
        <v>3076</v>
      </c>
      <c r="H151" t="s">
        <v>3077</v>
      </c>
      <c r="I151">
        <v>612</v>
      </c>
      <c r="J151">
        <v>338</v>
      </c>
      <c r="K151">
        <v>719</v>
      </c>
      <c r="L151" s="237" t="s">
        <v>3089</v>
      </c>
      <c r="M151">
        <v>69</v>
      </c>
      <c r="N151" t="s">
        <v>2874</v>
      </c>
      <c r="O151">
        <v>162.634207253</v>
      </c>
    </row>
    <row r="152" spans="1:15">
      <c r="A152">
        <v>176</v>
      </c>
      <c r="B152" t="s">
        <v>2380</v>
      </c>
      <c r="C152" t="s">
        <v>2397</v>
      </c>
      <c r="D152" t="s">
        <v>2454</v>
      </c>
      <c r="E152" t="s">
        <v>2643</v>
      </c>
      <c r="F152" t="s">
        <v>2282</v>
      </c>
      <c r="G152" t="s">
        <v>3076</v>
      </c>
      <c r="H152" t="s">
        <v>3077</v>
      </c>
      <c r="I152">
        <v>183</v>
      </c>
      <c r="J152">
        <v>52</v>
      </c>
      <c r="K152">
        <v>323</v>
      </c>
      <c r="L152" s="237" t="s">
        <v>3090</v>
      </c>
      <c r="M152">
        <v>69</v>
      </c>
      <c r="N152" t="s">
        <v>2874</v>
      </c>
      <c r="O152">
        <v>162.634207253</v>
      </c>
    </row>
    <row r="153" spans="1:15">
      <c r="A153">
        <v>177</v>
      </c>
      <c r="B153" t="s">
        <v>2380</v>
      </c>
      <c r="C153" t="s">
        <v>2398</v>
      </c>
      <c r="D153" t="s">
        <v>2454</v>
      </c>
      <c r="E153" t="s">
        <v>2643</v>
      </c>
      <c r="F153" t="s">
        <v>2291</v>
      </c>
      <c r="G153" t="s">
        <v>3076</v>
      </c>
      <c r="H153" t="s">
        <v>3077</v>
      </c>
      <c r="I153">
        <v>98</v>
      </c>
      <c r="J153">
        <v>750</v>
      </c>
      <c r="K153">
        <v>14</v>
      </c>
      <c r="L153" s="237" t="s">
        <v>3091</v>
      </c>
      <c r="M153">
        <v>69</v>
      </c>
      <c r="N153" t="s">
        <v>2883</v>
      </c>
      <c r="O153">
        <v>162.634207253</v>
      </c>
    </row>
    <row r="154" spans="1:15">
      <c r="A154">
        <v>178</v>
      </c>
      <c r="B154" t="s">
        <v>2380</v>
      </c>
      <c r="C154" t="s">
        <v>2399</v>
      </c>
      <c r="D154" t="s">
        <v>2454</v>
      </c>
      <c r="E154" t="s">
        <v>2643</v>
      </c>
      <c r="F154" t="s">
        <v>2291</v>
      </c>
      <c r="G154" t="s">
        <v>3076</v>
      </c>
      <c r="H154" t="s">
        <v>3077</v>
      </c>
      <c r="I154">
        <v>353</v>
      </c>
      <c r="J154">
        <v>612</v>
      </c>
      <c r="K154">
        <v>410</v>
      </c>
      <c r="L154" s="237" t="s">
        <v>3092</v>
      </c>
      <c r="M154">
        <v>69</v>
      </c>
      <c r="N154" t="s">
        <v>2883</v>
      </c>
      <c r="O154">
        <v>162.634207253</v>
      </c>
    </row>
    <row r="155" spans="1:15">
      <c r="A155">
        <v>179</v>
      </c>
      <c r="B155" t="s">
        <v>2380</v>
      </c>
      <c r="C155" t="s">
        <v>2400</v>
      </c>
      <c r="D155" t="s">
        <v>2454</v>
      </c>
      <c r="E155" t="s">
        <v>2643</v>
      </c>
      <c r="F155" t="s">
        <v>2291</v>
      </c>
      <c r="G155" t="s">
        <v>3076</v>
      </c>
      <c r="H155" t="s">
        <v>3077</v>
      </c>
      <c r="I155">
        <v>42</v>
      </c>
      <c r="J155">
        <v>491</v>
      </c>
      <c r="K155">
        <v>78</v>
      </c>
      <c r="L155" s="237" t="s">
        <v>3093</v>
      </c>
      <c r="M155">
        <v>69</v>
      </c>
      <c r="N155" t="s">
        <v>2883</v>
      </c>
      <c r="O155">
        <v>162.634207253</v>
      </c>
    </row>
    <row r="156" spans="1:15">
      <c r="A156">
        <v>180</v>
      </c>
      <c r="B156" t="s">
        <v>2380</v>
      </c>
      <c r="C156" t="s">
        <v>2401</v>
      </c>
      <c r="D156" t="s">
        <v>2454</v>
      </c>
      <c r="E156" t="s">
        <v>2643</v>
      </c>
      <c r="F156" t="s">
        <v>2291</v>
      </c>
      <c r="G156" t="s">
        <v>3076</v>
      </c>
      <c r="H156" t="s">
        <v>3077</v>
      </c>
      <c r="I156">
        <v>245</v>
      </c>
      <c r="J156">
        <v>325</v>
      </c>
      <c r="K156">
        <v>422</v>
      </c>
      <c r="L156" s="237" t="s">
        <v>3094</v>
      </c>
      <c r="M156">
        <v>69</v>
      </c>
      <c r="N156" t="s">
        <v>2883</v>
      </c>
      <c r="O156">
        <v>162.634207253</v>
      </c>
    </row>
    <row r="157" spans="1:15">
      <c r="A157">
        <v>181</v>
      </c>
      <c r="B157" t="s">
        <v>2380</v>
      </c>
      <c r="C157" t="s">
        <v>2402</v>
      </c>
      <c r="D157" t="s">
        <v>2454</v>
      </c>
      <c r="E157" t="s">
        <v>2643</v>
      </c>
      <c r="F157" t="s">
        <v>2291</v>
      </c>
      <c r="G157" t="s">
        <v>3076</v>
      </c>
      <c r="H157" t="s">
        <v>3077</v>
      </c>
      <c r="I157">
        <v>411</v>
      </c>
      <c r="J157">
        <v>116</v>
      </c>
      <c r="K157">
        <v>870</v>
      </c>
      <c r="L157" s="237" t="s">
        <v>3095</v>
      </c>
      <c r="M157">
        <v>69</v>
      </c>
      <c r="N157" t="s">
        <v>2883</v>
      </c>
      <c r="O157">
        <v>162.634207253</v>
      </c>
    </row>
    <row r="158" spans="1:15">
      <c r="A158">
        <v>182</v>
      </c>
      <c r="B158" t="s">
        <v>2380</v>
      </c>
      <c r="C158" t="s">
        <v>2403</v>
      </c>
      <c r="D158" t="s">
        <v>2454</v>
      </c>
      <c r="E158" t="s">
        <v>2643</v>
      </c>
      <c r="F158" t="s">
        <v>2291</v>
      </c>
      <c r="G158" t="s">
        <v>3076</v>
      </c>
      <c r="H158" t="s">
        <v>3077</v>
      </c>
      <c r="I158">
        <v>309</v>
      </c>
      <c r="J158">
        <v>613</v>
      </c>
      <c r="K158">
        <v>136</v>
      </c>
      <c r="L158" s="237" t="s">
        <v>3096</v>
      </c>
      <c r="M158">
        <v>69</v>
      </c>
      <c r="N158" t="s">
        <v>2883</v>
      </c>
      <c r="O158">
        <v>162.634207253</v>
      </c>
    </row>
    <row r="159" spans="1:15">
      <c r="A159">
        <v>184</v>
      </c>
      <c r="B159" t="s">
        <v>2380</v>
      </c>
      <c r="C159" t="s">
        <v>2405</v>
      </c>
      <c r="D159" t="s">
        <v>2454</v>
      </c>
      <c r="E159" t="s">
        <v>2643</v>
      </c>
      <c r="F159" t="s">
        <v>2291</v>
      </c>
      <c r="G159" t="s">
        <v>3076</v>
      </c>
      <c r="H159" t="s">
        <v>3077</v>
      </c>
      <c r="I159">
        <v>235</v>
      </c>
      <c r="J159">
        <v>179</v>
      </c>
      <c r="K159">
        <v>266</v>
      </c>
      <c r="L159" s="237" t="s">
        <v>3097</v>
      </c>
      <c r="M159">
        <v>69</v>
      </c>
      <c r="N159" t="s">
        <v>2883</v>
      </c>
      <c r="O159">
        <v>162.634207253</v>
      </c>
    </row>
    <row r="160" spans="1:15">
      <c r="A160">
        <v>185</v>
      </c>
      <c r="B160" t="s">
        <v>2380</v>
      </c>
      <c r="C160" t="s">
        <v>2407</v>
      </c>
      <c r="D160" t="s">
        <v>2454</v>
      </c>
      <c r="E160" t="s">
        <v>2643</v>
      </c>
      <c r="F160" t="s">
        <v>2301</v>
      </c>
      <c r="G160" t="s">
        <v>3076</v>
      </c>
      <c r="H160" t="s">
        <v>3077</v>
      </c>
      <c r="I160">
        <v>369</v>
      </c>
      <c r="J160">
        <v>300</v>
      </c>
      <c r="K160">
        <v>165</v>
      </c>
      <c r="L160" s="237" t="s">
        <v>3098</v>
      </c>
      <c r="M160">
        <v>69</v>
      </c>
      <c r="N160" t="s">
        <v>2892</v>
      </c>
      <c r="O160">
        <v>162.634207253</v>
      </c>
    </row>
    <row r="161" spans="1:15">
      <c r="A161">
        <v>186</v>
      </c>
      <c r="B161" t="s">
        <v>2380</v>
      </c>
      <c r="C161" t="s">
        <v>2408</v>
      </c>
      <c r="D161" t="s">
        <v>2454</v>
      </c>
      <c r="E161" t="s">
        <v>2643</v>
      </c>
      <c r="F161" t="s">
        <v>2301</v>
      </c>
      <c r="G161" t="s">
        <v>3076</v>
      </c>
      <c r="H161" t="s">
        <v>3077</v>
      </c>
      <c r="I161">
        <v>295</v>
      </c>
      <c r="J161">
        <v>717</v>
      </c>
      <c r="K161">
        <v>22</v>
      </c>
      <c r="L161" s="237" t="s">
        <v>3099</v>
      </c>
      <c r="M161">
        <v>69</v>
      </c>
      <c r="N161" t="s">
        <v>2892</v>
      </c>
      <c r="O161">
        <v>162.634207253</v>
      </c>
    </row>
    <row r="162" spans="1:15">
      <c r="A162">
        <v>187</v>
      </c>
      <c r="B162" t="s">
        <v>2380</v>
      </c>
      <c r="C162" t="s">
        <v>2409</v>
      </c>
      <c r="D162" t="s">
        <v>2454</v>
      </c>
      <c r="E162" t="s">
        <v>2643</v>
      </c>
      <c r="F162" t="s">
        <v>2301</v>
      </c>
      <c r="G162" t="s">
        <v>3076</v>
      </c>
      <c r="H162" t="s">
        <v>3077</v>
      </c>
      <c r="I162">
        <v>242</v>
      </c>
      <c r="J162">
        <v>759</v>
      </c>
      <c r="K162">
        <v>371</v>
      </c>
      <c r="L162" s="237" t="s">
        <v>3100</v>
      </c>
      <c r="M162">
        <v>69</v>
      </c>
      <c r="N162" t="s">
        <v>2892</v>
      </c>
      <c r="O162">
        <v>162.634207253</v>
      </c>
    </row>
    <row r="163" spans="1:15">
      <c r="A163">
        <v>188</v>
      </c>
      <c r="B163" t="s">
        <v>2380</v>
      </c>
      <c r="C163" t="s">
        <v>2410</v>
      </c>
      <c r="D163" t="s">
        <v>2454</v>
      </c>
      <c r="E163" t="s">
        <v>2643</v>
      </c>
      <c r="F163" t="s">
        <v>2301</v>
      </c>
      <c r="G163" t="s">
        <v>3076</v>
      </c>
      <c r="H163" t="s">
        <v>3077</v>
      </c>
      <c r="I163">
        <v>146</v>
      </c>
      <c r="J163">
        <v>357</v>
      </c>
      <c r="K163">
        <v>185</v>
      </c>
      <c r="L163" s="237" t="s">
        <v>3101</v>
      </c>
      <c r="M163">
        <v>69</v>
      </c>
      <c r="N163" t="s">
        <v>2892</v>
      </c>
      <c r="O163">
        <v>162.634207253</v>
      </c>
    </row>
    <row r="164" spans="1:15">
      <c r="A164">
        <v>189</v>
      </c>
      <c r="B164" t="s">
        <v>2380</v>
      </c>
      <c r="C164" t="s">
        <v>2412</v>
      </c>
      <c r="D164" t="s">
        <v>2454</v>
      </c>
      <c r="E164" t="s">
        <v>2643</v>
      </c>
      <c r="F164" t="s">
        <v>2301</v>
      </c>
      <c r="G164" t="s">
        <v>3076</v>
      </c>
      <c r="H164" t="s">
        <v>3077</v>
      </c>
      <c r="I164">
        <v>144</v>
      </c>
      <c r="J164">
        <v>18</v>
      </c>
      <c r="K164">
        <v>301</v>
      </c>
      <c r="L164" s="237" t="s">
        <v>3102</v>
      </c>
      <c r="M164">
        <v>69</v>
      </c>
      <c r="N164" t="s">
        <v>2892</v>
      </c>
      <c r="O164">
        <v>162.634207253</v>
      </c>
    </row>
    <row r="165" spans="1:15">
      <c r="A165">
        <v>190</v>
      </c>
      <c r="B165" t="s">
        <v>2380</v>
      </c>
      <c r="C165" t="s">
        <v>2413</v>
      </c>
      <c r="D165" t="s">
        <v>2454</v>
      </c>
      <c r="E165" t="s">
        <v>2643</v>
      </c>
      <c r="F165" t="s">
        <v>2301</v>
      </c>
      <c r="G165" t="s">
        <v>3076</v>
      </c>
      <c r="H165" t="s">
        <v>3077</v>
      </c>
      <c r="I165">
        <v>171</v>
      </c>
      <c r="J165">
        <v>397</v>
      </c>
      <c r="K165">
        <v>466</v>
      </c>
      <c r="L165" s="237" t="s">
        <v>3103</v>
      </c>
      <c r="M165">
        <v>69</v>
      </c>
      <c r="N165" t="s">
        <v>2892</v>
      </c>
      <c r="O165">
        <v>162.634207253</v>
      </c>
    </row>
    <row r="166" spans="1:15">
      <c r="A166">
        <v>191</v>
      </c>
      <c r="B166" t="s">
        <v>2380</v>
      </c>
      <c r="C166" t="s">
        <v>2414</v>
      </c>
      <c r="D166" t="s">
        <v>2454</v>
      </c>
      <c r="E166" t="s">
        <v>2643</v>
      </c>
      <c r="F166" t="s">
        <v>2301</v>
      </c>
      <c r="G166" t="s">
        <v>3076</v>
      </c>
      <c r="H166" t="s">
        <v>3077</v>
      </c>
      <c r="I166">
        <v>232</v>
      </c>
      <c r="J166">
        <v>715</v>
      </c>
      <c r="K166">
        <v>32</v>
      </c>
      <c r="L166" s="237" t="s">
        <v>3104</v>
      </c>
      <c r="M166">
        <v>69</v>
      </c>
      <c r="N166" t="s">
        <v>2892</v>
      </c>
      <c r="O166">
        <v>162.634207253</v>
      </c>
    </row>
    <row r="167" spans="1:15">
      <c r="A167">
        <v>193</v>
      </c>
      <c r="B167" t="s">
        <v>2423</v>
      </c>
      <c r="C167" t="s">
        <v>2440</v>
      </c>
      <c r="D167" t="s">
        <v>2643</v>
      </c>
      <c r="E167" t="s">
        <v>2643</v>
      </c>
      <c r="F167" t="s">
        <v>2490</v>
      </c>
      <c r="G167" t="s">
        <v>3105</v>
      </c>
      <c r="H167" t="s">
        <v>3106</v>
      </c>
      <c r="I167">
        <v>257</v>
      </c>
      <c r="J167">
        <v>695</v>
      </c>
      <c r="K167">
        <v>45</v>
      </c>
      <c r="L167" s="237" t="s">
        <v>3107</v>
      </c>
      <c r="M167">
        <v>62</v>
      </c>
      <c r="N167" t="s">
        <v>2903</v>
      </c>
      <c r="O167">
        <v>171.84818423999999</v>
      </c>
    </row>
    <row r="168" spans="1:15">
      <c r="A168">
        <v>194</v>
      </c>
      <c r="B168" t="s">
        <v>2423</v>
      </c>
      <c r="C168" t="s">
        <v>2433</v>
      </c>
      <c r="D168" t="s">
        <v>2643</v>
      </c>
      <c r="E168" t="s">
        <v>2643</v>
      </c>
      <c r="F168" t="s">
        <v>2490</v>
      </c>
      <c r="G168" t="s">
        <v>3105</v>
      </c>
      <c r="H168" t="s">
        <v>3106</v>
      </c>
      <c r="I168">
        <v>148</v>
      </c>
      <c r="J168">
        <v>653</v>
      </c>
      <c r="K168">
        <v>90</v>
      </c>
      <c r="L168" s="237" t="s">
        <v>3108</v>
      </c>
      <c r="M168">
        <v>62</v>
      </c>
      <c r="N168" t="s">
        <v>2903</v>
      </c>
      <c r="O168">
        <v>171.84818423999999</v>
      </c>
    </row>
    <row r="169" spans="1:15">
      <c r="A169">
        <v>195</v>
      </c>
      <c r="B169" t="s">
        <v>2423</v>
      </c>
      <c r="C169" t="s">
        <v>2425</v>
      </c>
      <c r="D169" t="s">
        <v>2643</v>
      </c>
      <c r="E169" t="s">
        <v>2643</v>
      </c>
      <c r="F169" t="s">
        <v>2490</v>
      </c>
      <c r="G169" t="s">
        <v>3105</v>
      </c>
      <c r="H169" t="s">
        <v>3106</v>
      </c>
      <c r="I169">
        <v>105</v>
      </c>
      <c r="J169">
        <v>389</v>
      </c>
      <c r="K169">
        <v>338</v>
      </c>
      <c r="L169" s="237" t="s">
        <v>3109</v>
      </c>
      <c r="M169">
        <v>62</v>
      </c>
      <c r="N169" t="s">
        <v>2903</v>
      </c>
      <c r="O169">
        <v>171.84818423999999</v>
      </c>
    </row>
    <row r="170" spans="1:15">
      <c r="A170">
        <v>196</v>
      </c>
      <c r="B170" t="s">
        <v>2423</v>
      </c>
      <c r="C170" t="s">
        <v>2416</v>
      </c>
      <c r="D170" t="s">
        <v>2643</v>
      </c>
      <c r="E170" t="s">
        <v>2643</v>
      </c>
      <c r="F170" t="s">
        <v>2490</v>
      </c>
      <c r="G170" t="s">
        <v>3105</v>
      </c>
      <c r="H170" t="s">
        <v>3106</v>
      </c>
      <c r="I170">
        <v>12</v>
      </c>
      <c r="J170">
        <v>455</v>
      </c>
      <c r="K170">
        <v>243</v>
      </c>
      <c r="L170" s="237" t="s">
        <v>3110</v>
      </c>
      <c r="M170">
        <v>62</v>
      </c>
      <c r="N170" t="s">
        <v>2903</v>
      </c>
      <c r="O170">
        <v>171.84818423999999</v>
      </c>
    </row>
    <row r="171" spans="1:15">
      <c r="A171">
        <v>197</v>
      </c>
      <c r="B171" t="s">
        <v>2423</v>
      </c>
      <c r="C171" t="s">
        <v>2426</v>
      </c>
      <c r="D171" t="s">
        <v>2643</v>
      </c>
      <c r="E171" t="s">
        <v>2643</v>
      </c>
      <c r="F171" t="s">
        <v>2490</v>
      </c>
      <c r="G171" t="s">
        <v>3105</v>
      </c>
      <c r="H171" t="s">
        <v>3106</v>
      </c>
      <c r="I171">
        <v>399</v>
      </c>
      <c r="J171">
        <v>692</v>
      </c>
      <c r="K171">
        <v>254</v>
      </c>
      <c r="L171" s="237" t="s">
        <v>3111</v>
      </c>
      <c r="M171">
        <v>62</v>
      </c>
      <c r="N171" t="s">
        <v>2903</v>
      </c>
      <c r="O171">
        <v>171.84818423999999</v>
      </c>
    </row>
    <row r="172" spans="1:15">
      <c r="A172">
        <v>198</v>
      </c>
      <c r="B172" t="s">
        <v>2423</v>
      </c>
      <c r="C172" t="s">
        <v>2434</v>
      </c>
      <c r="D172" t="s">
        <v>2643</v>
      </c>
      <c r="E172" t="s">
        <v>2643</v>
      </c>
      <c r="F172" t="s">
        <v>2490</v>
      </c>
      <c r="G172" t="s">
        <v>3105</v>
      </c>
      <c r="H172" t="s">
        <v>3106</v>
      </c>
      <c r="I172">
        <v>27</v>
      </c>
      <c r="J172">
        <v>352</v>
      </c>
      <c r="K172">
        <v>780</v>
      </c>
      <c r="L172" s="237" t="s">
        <v>3112</v>
      </c>
      <c r="M172">
        <v>62</v>
      </c>
      <c r="N172" t="s">
        <v>2903</v>
      </c>
      <c r="O172">
        <v>171.84818423999999</v>
      </c>
    </row>
    <row r="173" spans="1:15">
      <c r="A173">
        <v>199</v>
      </c>
      <c r="B173" t="s">
        <v>2423</v>
      </c>
      <c r="C173" t="s">
        <v>2418</v>
      </c>
      <c r="D173" t="s">
        <v>2643</v>
      </c>
      <c r="E173" t="s">
        <v>2643</v>
      </c>
      <c r="F173" t="s">
        <v>2490</v>
      </c>
      <c r="G173" t="s">
        <v>3105</v>
      </c>
      <c r="H173" t="s">
        <v>3106</v>
      </c>
      <c r="I173">
        <v>224</v>
      </c>
      <c r="J173">
        <v>327</v>
      </c>
      <c r="K173">
        <v>182</v>
      </c>
      <c r="L173" s="237" t="s">
        <v>3113</v>
      </c>
      <c r="M173">
        <v>62</v>
      </c>
      <c r="N173" t="s">
        <v>2903</v>
      </c>
      <c r="O173">
        <v>171.84818423999999</v>
      </c>
    </row>
    <row r="174" spans="1:15">
      <c r="A174">
        <v>200</v>
      </c>
      <c r="B174" t="s">
        <v>2423</v>
      </c>
      <c r="C174" t="s">
        <v>2441</v>
      </c>
      <c r="D174" t="s">
        <v>2643</v>
      </c>
      <c r="E174" t="s">
        <v>2643</v>
      </c>
      <c r="F174" t="s">
        <v>2490</v>
      </c>
      <c r="G174" t="s">
        <v>3105</v>
      </c>
      <c r="H174" t="s">
        <v>3106</v>
      </c>
      <c r="I174">
        <v>158</v>
      </c>
      <c r="J174">
        <v>75</v>
      </c>
      <c r="K174">
        <v>186</v>
      </c>
      <c r="L174" s="237" t="s">
        <v>3114</v>
      </c>
      <c r="M174">
        <v>62</v>
      </c>
      <c r="N174" t="s">
        <v>2903</v>
      </c>
      <c r="O174">
        <v>171.84818423999999</v>
      </c>
    </row>
    <row r="175" spans="1:15">
      <c r="A175">
        <v>201</v>
      </c>
      <c r="B175" t="s">
        <v>2423</v>
      </c>
      <c r="C175" t="s">
        <v>2442</v>
      </c>
      <c r="D175" t="s">
        <v>2643</v>
      </c>
      <c r="E175" t="s">
        <v>2643</v>
      </c>
      <c r="F175" t="s">
        <v>2490</v>
      </c>
      <c r="G175" t="s">
        <v>3105</v>
      </c>
      <c r="H175" t="s">
        <v>3106</v>
      </c>
      <c r="I175">
        <v>211</v>
      </c>
      <c r="J175">
        <v>36</v>
      </c>
      <c r="K175">
        <v>315</v>
      </c>
      <c r="L175" s="237" t="s">
        <v>3115</v>
      </c>
      <c r="M175">
        <v>62</v>
      </c>
      <c r="N175" t="s">
        <v>2903</v>
      </c>
      <c r="O175">
        <v>171.84818423999999</v>
      </c>
    </row>
    <row r="176" spans="1:15">
      <c r="A176">
        <v>202</v>
      </c>
      <c r="B176" t="s">
        <v>2423</v>
      </c>
      <c r="C176" t="s">
        <v>2419</v>
      </c>
      <c r="D176" t="s">
        <v>2643</v>
      </c>
      <c r="E176" t="s">
        <v>2643</v>
      </c>
      <c r="F176" t="s">
        <v>2490</v>
      </c>
      <c r="G176" t="s">
        <v>3105</v>
      </c>
      <c r="H176" t="s">
        <v>3106</v>
      </c>
      <c r="I176">
        <v>181</v>
      </c>
      <c r="J176">
        <v>676</v>
      </c>
      <c r="K176">
        <v>147</v>
      </c>
      <c r="L176" s="237" t="s">
        <v>3116</v>
      </c>
      <c r="M176">
        <v>62</v>
      </c>
      <c r="N176" t="s">
        <v>2903</v>
      </c>
      <c r="O176">
        <v>171.84818423999999</v>
      </c>
    </row>
    <row r="177" spans="1:15">
      <c r="A177">
        <v>203</v>
      </c>
      <c r="B177" t="s">
        <v>2423</v>
      </c>
      <c r="C177" t="s">
        <v>2428</v>
      </c>
      <c r="D177" t="s">
        <v>2643</v>
      </c>
      <c r="E177" t="s">
        <v>2643</v>
      </c>
      <c r="F177" t="s">
        <v>2490</v>
      </c>
      <c r="G177" t="s">
        <v>3105</v>
      </c>
      <c r="H177" t="s">
        <v>3106</v>
      </c>
      <c r="I177">
        <v>179</v>
      </c>
      <c r="J177">
        <v>685</v>
      </c>
      <c r="K177">
        <v>168</v>
      </c>
      <c r="L177" s="237" t="s">
        <v>3117</v>
      </c>
      <c r="M177">
        <v>62</v>
      </c>
      <c r="N177" t="s">
        <v>2903</v>
      </c>
      <c r="O177">
        <v>171.84818423999999</v>
      </c>
    </row>
    <row r="178" spans="1:15">
      <c r="A178">
        <v>204</v>
      </c>
      <c r="B178" t="s">
        <v>2423</v>
      </c>
      <c r="C178" t="s">
        <v>2435</v>
      </c>
      <c r="D178" t="s">
        <v>2643</v>
      </c>
      <c r="E178" t="s">
        <v>2643</v>
      </c>
      <c r="F178" t="s">
        <v>2490</v>
      </c>
      <c r="G178" t="s">
        <v>3105</v>
      </c>
      <c r="H178" t="s">
        <v>3106</v>
      </c>
      <c r="I178">
        <v>248</v>
      </c>
      <c r="J178">
        <v>254</v>
      </c>
      <c r="K178">
        <v>672</v>
      </c>
      <c r="L178" s="237" t="s">
        <v>3085</v>
      </c>
      <c r="M178">
        <v>62</v>
      </c>
      <c r="N178" t="s">
        <v>2903</v>
      </c>
      <c r="O178">
        <v>171.84818423999999</v>
      </c>
    </row>
    <row r="179" spans="1:15">
      <c r="A179">
        <v>205</v>
      </c>
      <c r="B179" t="s">
        <v>2423</v>
      </c>
      <c r="C179" t="s">
        <v>2429</v>
      </c>
      <c r="D179" t="s">
        <v>2454</v>
      </c>
      <c r="E179" t="s">
        <v>2643</v>
      </c>
      <c r="F179" t="s">
        <v>2490</v>
      </c>
      <c r="G179" t="s">
        <v>3105</v>
      </c>
      <c r="H179" t="s">
        <v>3106</v>
      </c>
      <c r="I179">
        <v>55</v>
      </c>
      <c r="J179">
        <v>348</v>
      </c>
      <c r="K179">
        <v>173</v>
      </c>
      <c r="L179" s="237" t="s">
        <v>3118</v>
      </c>
      <c r="M179">
        <v>62</v>
      </c>
      <c r="N179" t="s">
        <v>2903</v>
      </c>
      <c r="O179">
        <v>171.84818423999999</v>
      </c>
    </row>
    <row r="180" spans="1:15">
      <c r="A180">
        <v>206</v>
      </c>
      <c r="B180" t="s">
        <v>2423</v>
      </c>
      <c r="C180" t="s">
        <v>2420</v>
      </c>
      <c r="D180" t="s">
        <v>2454</v>
      </c>
      <c r="E180" t="s">
        <v>2643</v>
      </c>
      <c r="F180" t="s">
        <v>2490</v>
      </c>
      <c r="G180" t="s">
        <v>3105</v>
      </c>
      <c r="H180" t="s">
        <v>3106</v>
      </c>
      <c r="I180">
        <v>124</v>
      </c>
      <c r="J180">
        <v>686</v>
      </c>
      <c r="K180">
        <v>262</v>
      </c>
      <c r="L180" s="237" t="s">
        <v>3119</v>
      </c>
      <c r="M180">
        <v>62</v>
      </c>
      <c r="N180" t="s">
        <v>2903</v>
      </c>
      <c r="O180">
        <v>171.84818423999999</v>
      </c>
    </row>
    <row r="181" spans="1:15">
      <c r="A181">
        <v>207</v>
      </c>
      <c r="B181" t="s">
        <v>2423</v>
      </c>
      <c r="C181" t="s">
        <v>2443</v>
      </c>
      <c r="D181" t="s">
        <v>2454</v>
      </c>
      <c r="E181" t="s">
        <v>2643</v>
      </c>
      <c r="F181" t="s">
        <v>2490</v>
      </c>
      <c r="G181" t="s">
        <v>3105</v>
      </c>
      <c r="H181" t="s">
        <v>3106</v>
      </c>
      <c r="I181">
        <v>234</v>
      </c>
      <c r="J181">
        <v>551</v>
      </c>
      <c r="K181">
        <v>230</v>
      </c>
      <c r="L181" s="237" t="s">
        <v>3120</v>
      </c>
      <c r="M181">
        <v>62</v>
      </c>
      <c r="N181" t="s">
        <v>2903</v>
      </c>
      <c r="O181">
        <v>171.84818423999999</v>
      </c>
    </row>
    <row r="182" spans="1:15">
      <c r="A182">
        <v>208</v>
      </c>
      <c r="B182" t="s">
        <v>2423</v>
      </c>
      <c r="C182" t="s">
        <v>2436</v>
      </c>
      <c r="D182" t="s">
        <v>2454</v>
      </c>
      <c r="E182" t="s">
        <v>2643</v>
      </c>
      <c r="F182" t="s">
        <v>2490</v>
      </c>
      <c r="G182" t="s">
        <v>3105</v>
      </c>
      <c r="H182" t="s">
        <v>3106</v>
      </c>
      <c r="I182">
        <v>412</v>
      </c>
      <c r="J182">
        <v>516</v>
      </c>
      <c r="K182">
        <v>140</v>
      </c>
      <c r="L182" s="237" t="s">
        <v>3121</v>
      </c>
      <c r="M182">
        <v>62</v>
      </c>
      <c r="N182" t="s">
        <v>2903</v>
      </c>
      <c r="O182">
        <v>171.84818423999999</v>
      </c>
    </row>
    <row r="183" spans="1:15">
      <c r="A183">
        <v>209</v>
      </c>
      <c r="B183" t="s">
        <v>2423</v>
      </c>
      <c r="C183" t="s">
        <v>2430</v>
      </c>
      <c r="D183" t="s">
        <v>2454</v>
      </c>
      <c r="E183" t="s">
        <v>2643</v>
      </c>
      <c r="F183" t="s">
        <v>2490</v>
      </c>
      <c r="G183" t="s">
        <v>3105</v>
      </c>
      <c r="H183" t="s">
        <v>3106</v>
      </c>
      <c r="I183">
        <v>94</v>
      </c>
      <c r="J183">
        <v>678</v>
      </c>
      <c r="K183">
        <v>92</v>
      </c>
      <c r="L183" s="237" t="s">
        <v>3122</v>
      </c>
      <c r="M183">
        <v>62</v>
      </c>
      <c r="N183" t="s">
        <v>2903</v>
      </c>
      <c r="O183">
        <v>171.84818423999999</v>
      </c>
    </row>
    <row r="184" spans="1:15">
      <c r="A184">
        <v>210</v>
      </c>
      <c r="B184" t="s">
        <v>2423</v>
      </c>
      <c r="C184" t="s">
        <v>2444</v>
      </c>
      <c r="D184" t="s">
        <v>2454</v>
      </c>
      <c r="E184" t="s">
        <v>2643</v>
      </c>
      <c r="F184" t="s">
        <v>2490</v>
      </c>
      <c r="G184" t="s">
        <v>3105</v>
      </c>
      <c r="H184" t="s">
        <v>3106</v>
      </c>
      <c r="I184">
        <v>93</v>
      </c>
      <c r="J184">
        <v>335</v>
      </c>
      <c r="K184">
        <v>36</v>
      </c>
      <c r="L184" s="237" t="s">
        <v>3123</v>
      </c>
      <c r="M184">
        <v>62</v>
      </c>
      <c r="N184" t="s">
        <v>2903</v>
      </c>
      <c r="O184">
        <v>171.84818423999999</v>
      </c>
    </row>
    <row r="185" spans="1:15">
      <c r="A185">
        <v>211</v>
      </c>
      <c r="B185" t="s">
        <v>2423</v>
      </c>
      <c r="C185" t="s">
        <v>2421</v>
      </c>
      <c r="D185" t="s">
        <v>2454</v>
      </c>
      <c r="E185" t="s">
        <v>2643</v>
      </c>
      <c r="F185" t="s">
        <v>2490</v>
      </c>
      <c r="G185" t="s">
        <v>3105</v>
      </c>
      <c r="H185" t="s">
        <v>3106</v>
      </c>
      <c r="I185">
        <v>26</v>
      </c>
      <c r="J185">
        <v>249</v>
      </c>
      <c r="K185">
        <v>434</v>
      </c>
      <c r="L185" s="237" t="s">
        <v>3124</v>
      </c>
      <c r="M185">
        <v>62</v>
      </c>
      <c r="N185" t="s">
        <v>2903</v>
      </c>
      <c r="O185">
        <v>171.84818423999999</v>
      </c>
    </row>
    <row r="186" spans="1:15">
      <c r="A186">
        <v>211</v>
      </c>
      <c r="B186" t="s">
        <v>2423</v>
      </c>
      <c r="C186" t="s">
        <v>2421</v>
      </c>
      <c r="D186" t="s">
        <v>2454</v>
      </c>
      <c r="E186" t="s">
        <v>2643</v>
      </c>
      <c r="F186" t="s">
        <v>2490</v>
      </c>
      <c r="G186" t="s">
        <v>3105</v>
      </c>
      <c r="H186" t="s">
        <v>3106</v>
      </c>
      <c r="I186">
        <v>169</v>
      </c>
      <c r="J186">
        <v>627</v>
      </c>
      <c r="K186">
        <v>56</v>
      </c>
      <c r="L186" s="237" t="s">
        <v>3125</v>
      </c>
      <c r="M186">
        <v>62</v>
      </c>
      <c r="N186" t="s">
        <v>2903</v>
      </c>
      <c r="O186">
        <v>171.84818423999999</v>
      </c>
    </row>
    <row r="187" spans="1:15">
      <c r="A187">
        <v>212</v>
      </c>
      <c r="B187" t="s">
        <v>2423</v>
      </c>
      <c r="C187" t="s">
        <v>2437</v>
      </c>
      <c r="D187" t="s">
        <v>2454</v>
      </c>
      <c r="E187" t="s">
        <v>2643</v>
      </c>
      <c r="F187" t="s">
        <v>2490</v>
      </c>
      <c r="G187" t="s">
        <v>3105</v>
      </c>
      <c r="H187" t="s">
        <v>3106</v>
      </c>
      <c r="I187">
        <v>68</v>
      </c>
      <c r="J187">
        <v>803</v>
      </c>
      <c r="K187">
        <v>365</v>
      </c>
      <c r="L187" s="237" t="s">
        <v>3126</v>
      </c>
      <c r="M187">
        <v>62</v>
      </c>
      <c r="N187" t="s">
        <v>2903</v>
      </c>
      <c r="O187">
        <v>171.84818423999999</v>
      </c>
    </row>
    <row r="188" spans="1:15">
      <c r="A188">
        <v>213</v>
      </c>
      <c r="B188" t="s">
        <v>2423</v>
      </c>
      <c r="C188" t="s">
        <v>2445</v>
      </c>
      <c r="D188" t="s">
        <v>2454</v>
      </c>
      <c r="E188" t="s">
        <v>2643</v>
      </c>
      <c r="F188" t="s">
        <v>2490</v>
      </c>
      <c r="G188" t="s">
        <v>3105</v>
      </c>
      <c r="H188" t="s">
        <v>3106</v>
      </c>
      <c r="I188">
        <v>143</v>
      </c>
      <c r="J188">
        <v>321</v>
      </c>
      <c r="K188">
        <v>5</v>
      </c>
      <c r="L188" s="237" t="s">
        <v>3127</v>
      </c>
      <c r="M188">
        <v>62</v>
      </c>
      <c r="N188" t="s">
        <v>2903</v>
      </c>
      <c r="O188">
        <v>171.84818423999999</v>
      </c>
    </row>
    <row r="189" spans="1:15">
      <c r="A189">
        <v>214</v>
      </c>
      <c r="B189" t="s">
        <v>2423</v>
      </c>
      <c r="C189" t="s">
        <v>2438</v>
      </c>
      <c r="D189" t="s">
        <v>2454</v>
      </c>
      <c r="E189" t="s">
        <v>2643</v>
      </c>
      <c r="F189" t="s">
        <v>2490</v>
      </c>
      <c r="G189" t="s">
        <v>3105</v>
      </c>
      <c r="H189" t="s">
        <v>3106</v>
      </c>
      <c r="I189">
        <v>128</v>
      </c>
      <c r="J189">
        <v>771</v>
      </c>
      <c r="K189">
        <v>677</v>
      </c>
      <c r="L189" s="237" t="s">
        <v>3128</v>
      </c>
      <c r="M189">
        <v>62</v>
      </c>
      <c r="N189" t="s">
        <v>2903</v>
      </c>
      <c r="O189">
        <v>171.84818423999999</v>
      </c>
    </row>
    <row r="190" spans="1:15">
      <c r="A190">
        <v>216</v>
      </c>
      <c r="B190" t="s">
        <v>2423</v>
      </c>
      <c r="C190" t="s">
        <v>2431</v>
      </c>
      <c r="D190" t="s">
        <v>2454</v>
      </c>
      <c r="E190" t="s">
        <v>2643</v>
      </c>
      <c r="F190" t="s">
        <v>2490</v>
      </c>
      <c r="G190" t="s">
        <v>3105</v>
      </c>
      <c r="H190" t="s">
        <v>3106</v>
      </c>
      <c r="I190">
        <v>95</v>
      </c>
      <c r="J190">
        <v>379</v>
      </c>
      <c r="K190">
        <v>361</v>
      </c>
      <c r="L190" s="237" t="s">
        <v>3129</v>
      </c>
      <c r="M190">
        <v>62</v>
      </c>
      <c r="N190" t="s">
        <v>2903</v>
      </c>
      <c r="O190">
        <v>171.84818423999999</v>
      </c>
    </row>
    <row r="191" spans="1:15">
      <c r="A191">
        <v>217</v>
      </c>
      <c r="B191" t="s">
        <v>2423</v>
      </c>
      <c r="C191" t="s">
        <v>2424</v>
      </c>
      <c r="D191" t="s">
        <v>2927</v>
      </c>
      <c r="E191" t="s">
        <v>2643</v>
      </c>
      <c r="F191" t="s">
        <v>2490</v>
      </c>
      <c r="G191" t="s">
        <v>3105</v>
      </c>
      <c r="H191" t="s">
        <v>3106</v>
      </c>
      <c r="I191">
        <v>313</v>
      </c>
      <c r="J191">
        <v>771</v>
      </c>
      <c r="K191">
        <v>204</v>
      </c>
      <c r="L191" s="237" t="s">
        <v>3130</v>
      </c>
      <c r="M191">
        <v>62</v>
      </c>
      <c r="N191" t="s">
        <v>2903</v>
      </c>
      <c r="O191">
        <v>171.84818423999999</v>
      </c>
    </row>
    <row r="192" spans="1:15">
      <c r="A192">
        <v>218</v>
      </c>
      <c r="B192" t="s">
        <v>2423</v>
      </c>
      <c r="C192" t="s">
        <v>2432</v>
      </c>
      <c r="D192" t="s">
        <v>2927</v>
      </c>
      <c r="E192" t="s">
        <v>2643</v>
      </c>
      <c r="F192" t="s">
        <v>2490</v>
      </c>
      <c r="G192" t="s">
        <v>3105</v>
      </c>
      <c r="H192" t="s">
        <v>3106</v>
      </c>
      <c r="I192">
        <v>485</v>
      </c>
      <c r="J192">
        <v>680</v>
      </c>
      <c r="K192">
        <v>170</v>
      </c>
      <c r="L192" s="237" t="s">
        <v>3131</v>
      </c>
      <c r="M192">
        <v>62</v>
      </c>
      <c r="N192" t="s">
        <v>2903</v>
      </c>
      <c r="O192">
        <v>171.84818423999999</v>
      </c>
    </row>
    <row r="193" spans="1:15">
      <c r="A193">
        <v>219</v>
      </c>
      <c r="B193" t="s">
        <v>2423</v>
      </c>
      <c r="C193" t="s">
        <v>2439</v>
      </c>
      <c r="D193" t="s">
        <v>2927</v>
      </c>
      <c r="E193" t="s">
        <v>2643</v>
      </c>
      <c r="F193" t="s">
        <v>2490</v>
      </c>
      <c r="G193" t="s">
        <v>3105</v>
      </c>
      <c r="H193" t="s">
        <v>3106</v>
      </c>
      <c r="I193">
        <v>196</v>
      </c>
      <c r="J193">
        <v>178</v>
      </c>
      <c r="K193">
        <v>123</v>
      </c>
      <c r="L193" s="237" t="s">
        <v>3132</v>
      </c>
      <c r="M193">
        <v>62</v>
      </c>
      <c r="N193" t="s">
        <v>2903</v>
      </c>
      <c r="O193">
        <v>171.84818423999999</v>
      </c>
    </row>
    <row r="194" spans="1:15">
      <c r="A194">
        <v>220</v>
      </c>
      <c r="B194" t="s">
        <v>2423</v>
      </c>
      <c r="C194" t="s">
        <v>2446</v>
      </c>
      <c r="D194" t="s">
        <v>2927</v>
      </c>
      <c r="E194" t="s">
        <v>2643</v>
      </c>
      <c r="F194" t="s">
        <v>2490</v>
      </c>
      <c r="G194" t="s">
        <v>3105</v>
      </c>
      <c r="H194" t="s">
        <v>3106</v>
      </c>
      <c r="I194">
        <v>39</v>
      </c>
      <c r="J194">
        <v>194</v>
      </c>
      <c r="K194">
        <v>53</v>
      </c>
      <c r="L194" s="237" t="s">
        <v>3133</v>
      </c>
      <c r="M194">
        <v>62</v>
      </c>
      <c r="N194" t="s">
        <v>2903</v>
      </c>
      <c r="O194">
        <v>171.84818423999999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407" zoomScale="115" zoomScaleNormal="115" workbookViewId="0">
      <selection activeCell="A419" sqref="A1:A1048576"/>
    </sheetView>
  </sheetViews>
  <sheetFormatPr baseColWidth="10" defaultColWidth="11.5546875" defaultRowHeight="14.4"/>
  <cols>
    <col min="1" max="16384" width="11.5546875" style="110"/>
  </cols>
  <sheetData>
    <row r="1" spans="1:20">
      <c r="A1" s="438" t="s">
        <v>1146</v>
      </c>
      <c r="B1" s="438"/>
      <c r="C1" s="438"/>
      <c r="D1" s="438"/>
      <c r="E1" s="438"/>
      <c r="F1" s="438"/>
      <c r="G1" s="438"/>
      <c r="H1" s="438"/>
      <c r="I1" s="110" t="s">
        <v>1145</v>
      </c>
      <c r="M1" s="438"/>
      <c r="N1" s="438"/>
      <c r="O1" s="438"/>
      <c r="P1" s="438"/>
      <c r="Q1" s="438"/>
      <c r="R1" s="438"/>
      <c r="S1" s="438"/>
      <c r="T1" s="438"/>
    </row>
    <row r="2" spans="1:20">
      <c r="A2" s="438"/>
      <c r="B2" s="438"/>
      <c r="C2" s="438"/>
      <c r="D2" s="438"/>
      <c r="E2" s="438"/>
      <c r="F2" s="438"/>
      <c r="G2" s="438"/>
      <c r="H2" s="438"/>
      <c r="M2" s="438"/>
      <c r="N2" s="438"/>
      <c r="O2" s="438"/>
      <c r="P2" s="438"/>
      <c r="Q2" s="438"/>
      <c r="R2" s="438"/>
      <c r="S2" s="438"/>
      <c r="T2" s="438"/>
    </row>
    <row r="3" spans="1:20">
      <c r="A3" s="438"/>
      <c r="B3" s="438"/>
      <c r="C3" s="438"/>
      <c r="D3" s="438"/>
      <c r="E3" s="438"/>
      <c r="F3" s="438"/>
      <c r="G3" s="438"/>
      <c r="H3" s="438"/>
      <c r="M3" s="438"/>
      <c r="N3" s="438"/>
      <c r="O3" s="438"/>
      <c r="P3" s="438"/>
      <c r="Q3" s="438"/>
      <c r="R3" s="438"/>
      <c r="S3" s="438"/>
      <c r="T3" s="438"/>
    </row>
    <row r="4" spans="1:20">
      <c r="A4" s="111" t="s">
        <v>1144</v>
      </c>
      <c r="B4" s="111" t="s">
        <v>1143</v>
      </c>
      <c r="C4" s="111" t="s">
        <v>1142</v>
      </c>
      <c r="D4" s="111" t="s">
        <v>1141</v>
      </c>
      <c r="G4" s="166"/>
      <c r="M4" s="111"/>
      <c r="N4" s="111"/>
      <c r="O4" s="111"/>
      <c r="P4" s="111"/>
    </row>
    <row r="5" spans="1:20">
      <c r="A5" s="110" t="s">
        <v>2049</v>
      </c>
      <c r="B5" s="110" t="s">
        <v>1147</v>
      </c>
      <c r="C5" s="110">
        <v>1.9870000000000001</v>
      </c>
      <c r="D5" s="112">
        <v>42749</v>
      </c>
    </row>
    <row r="6" spans="1:20">
      <c r="A6" s="110" t="s">
        <v>2048</v>
      </c>
      <c r="B6" s="110" t="s">
        <v>1147</v>
      </c>
      <c r="C6" s="110">
        <v>2</v>
      </c>
      <c r="D6" s="112">
        <v>42749</v>
      </c>
    </row>
    <row r="7" spans="1:20">
      <c r="A7" s="110" t="s">
        <v>2047</v>
      </c>
      <c r="B7" s="110" t="s">
        <v>1147</v>
      </c>
      <c r="C7" s="110">
        <v>2.0470000000000002</v>
      </c>
      <c r="D7" s="112">
        <v>42749</v>
      </c>
    </row>
    <row r="8" spans="1:20">
      <c r="A8" s="110" t="s">
        <v>2046</v>
      </c>
      <c r="B8" s="110" t="s">
        <v>1147</v>
      </c>
      <c r="C8" s="110">
        <v>1.998</v>
      </c>
      <c r="D8" s="112">
        <v>42749</v>
      </c>
    </row>
    <row r="9" spans="1:20">
      <c r="A9" s="110" t="s">
        <v>2045</v>
      </c>
      <c r="B9" s="110" t="s">
        <v>1147</v>
      </c>
      <c r="C9" s="110">
        <v>2.0139999999999998</v>
      </c>
      <c r="D9" s="112">
        <v>42749</v>
      </c>
    </row>
    <row r="10" spans="1:20">
      <c r="A10" s="110" t="s">
        <v>2044</v>
      </c>
      <c r="B10" s="110" t="s">
        <v>1147</v>
      </c>
      <c r="C10" s="110">
        <v>2.016</v>
      </c>
      <c r="D10" s="112">
        <v>42749</v>
      </c>
    </row>
    <row r="11" spans="1:20">
      <c r="A11" s="110" t="s">
        <v>2043</v>
      </c>
      <c r="B11" s="110" t="s">
        <v>1147</v>
      </c>
      <c r="C11" s="110">
        <v>1.974</v>
      </c>
      <c r="D11" s="112">
        <v>42749</v>
      </c>
    </row>
    <row r="12" spans="1:20">
      <c r="A12" s="110" t="s">
        <v>2042</v>
      </c>
      <c r="B12" s="110" t="s">
        <v>1147</v>
      </c>
      <c r="C12" s="110">
        <v>2.0209999999999999</v>
      </c>
      <c r="D12" s="112">
        <v>42749</v>
      </c>
    </row>
    <row r="13" spans="1:20">
      <c r="A13" s="110" t="s">
        <v>2041</v>
      </c>
      <c r="B13" s="110" t="s">
        <v>1147</v>
      </c>
      <c r="C13" s="110">
        <v>2.0409999999999999</v>
      </c>
      <c r="D13" s="112">
        <v>42749</v>
      </c>
    </row>
    <row r="14" spans="1:20">
      <c r="A14" s="110" t="s">
        <v>2040</v>
      </c>
      <c r="B14" s="110" t="s">
        <v>1147</v>
      </c>
      <c r="C14" s="110">
        <v>1.9710000000000001</v>
      </c>
      <c r="D14" s="112">
        <v>42749</v>
      </c>
    </row>
    <row r="15" spans="1:20">
      <c r="A15" s="110" t="s">
        <v>2039</v>
      </c>
      <c r="B15" s="110" t="s">
        <v>1147</v>
      </c>
      <c r="C15" s="110">
        <v>1.839</v>
      </c>
      <c r="D15" s="112">
        <v>42749</v>
      </c>
    </row>
    <row r="16" spans="1:20">
      <c r="A16" s="110" t="s">
        <v>2038</v>
      </c>
      <c r="B16" s="110" t="s">
        <v>1147</v>
      </c>
      <c r="C16" s="110">
        <v>1.9870000000000001</v>
      </c>
      <c r="D16" s="112">
        <v>42749</v>
      </c>
    </row>
    <row r="17" spans="1:4">
      <c r="A17" s="110" t="s">
        <v>2037</v>
      </c>
      <c r="B17" s="110" t="s">
        <v>1147</v>
      </c>
      <c r="C17" s="110">
        <v>2.085</v>
      </c>
      <c r="D17" s="112">
        <v>42749</v>
      </c>
    </row>
    <row r="18" spans="1:4">
      <c r="A18" s="110" t="s">
        <v>2036</v>
      </c>
      <c r="B18" s="110" t="s">
        <v>1147</v>
      </c>
      <c r="C18" s="110">
        <v>2.0750000000000002</v>
      </c>
      <c r="D18" s="112">
        <v>42749</v>
      </c>
    </row>
    <row r="19" spans="1:4">
      <c r="A19" s="110" t="s">
        <v>2035</v>
      </c>
      <c r="B19" s="110" t="s">
        <v>1147</v>
      </c>
      <c r="C19" s="110">
        <v>2.0510000000000002</v>
      </c>
      <c r="D19" s="112">
        <v>42749</v>
      </c>
    </row>
    <row r="20" spans="1:4">
      <c r="A20" s="110" t="s">
        <v>2034</v>
      </c>
      <c r="B20" s="110" t="s">
        <v>1147</v>
      </c>
      <c r="C20" s="110">
        <v>1.9410000000000001</v>
      </c>
      <c r="D20" s="112">
        <v>42749</v>
      </c>
    </row>
    <row r="21" spans="1:4">
      <c r="A21" s="110" t="s">
        <v>2033</v>
      </c>
      <c r="B21" s="110" t="s">
        <v>1147</v>
      </c>
      <c r="C21" s="110">
        <v>1.9870000000000001</v>
      </c>
      <c r="D21" s="112">
        <v>42749</v>
      </c>
    </row>
    <row r="22" spans="1:4">
      <c r="A22" s="110" t="s">
        <v>2032</v>
      </c>
      <c r="B22" s="110" t="s">
        <v>1147</v>
      </c>
      <c r="C22" s="110">
        <v>2.0230000000000001</v>
      </c>
      <c r="D22" s="112">
        <v>42749</v>
      </c>
    </row>
    <row r="23" spans="1:4">
      <c r="A23" s="110" t="s">
        <v>2031</v>
      </c>
      <c r="B23" s="110" t="s">
        <v>1147</v>
      </c>
      <c r="C23" s="110">
        <v>2.0659999999999998</v>
      </c>
      <c r="D23" s="112">
        <v>42749</v>
      </c>
    </row>
    <row r="24" spans="1:4">
      <c r="A24" s="110" t="s">
        <v>2030</v>
      </c>
      <c r="B24" s="110" t="s">
        <v>1147</v>
      </c>
      <c r="C24" s="110">
        <v>2.032</v>
      </c>
      <c r="D24" s="112">
        <v>42749</v>
      </c>
    </row>
    <row r="25" spans="1:4">
      <c r="A25" s="110" t="s">
        <v>2029</v>
      </c>
      <c r="B25" s="110" t="s">
        <v>1147</v>
      </c>
      <c r="C25" s="110">
        <v>2.04</v>
      </c>
      <c r="D25" s="112">
        <v>42749</v>
      </c>
    </row>
    <row r="26" spans="1:4">
      <c r="A26" s="110" t="s">
        <v>2028</v>
      </c>
      <c r="B26" s="110" t="s">
        <v>1147</v>
      </c>
      <c r="C26" s="110">
        <v>2.1</v>
      </c>
      <c r="D26" s="112">
        <v>42749</v>
      </c>
    </row>
    <row r="27" spans="1:4">
      <c r="A27" s="110" t="s">
        <v>2027</v>
      </c>
      <c r="B27" s="110" t="s">
        <v>1147</v>
      </c>
      <c r="C27" s="110">
        <v>2.0750000000000002</v>
      </c>
      <c r="D27" s="112">
        <v>42749</v>
      </c>
    </row>
    <row r="28" spans="1:4">
      <c r="A28" s="110" t="s">
        <v>2026</v>
      </c>
      <c r="B28" s="110" t="s">
        <v>1147</v>
      </c>
      <c r="C28" s="110">
        <v>2.09</v>
      </c>
      <c r="D28" s="112">
        <v>42749</v>
      </c>
    </row>
    <row r="29" spans="1:4">
      <c r="A29" s="110" t="s">
        <v>2025</v>
      </c>
      <c r="B29" s="110" t="s">
        <v>1147</v>
      </c>
      <c r="C29" s="110">
        <v>2.0230000000000001</v>
      </c>
      <c r="D29" s="112">
        <v>42749</v>
      </c>
    </row>
    <row r="30" spans="1:4">
      <c r="A30" s="110" t="s">
        <v>2024</v>
      </c>
      <c r="B30" s="110" t="s">
        <v>1147</v>
      </c>
      <c r="C30" s="110">
        <v>2.1059999999999999</v>
      </c>
      <c r="D30" s="112">
        <v>42749</v>
      </c>
    </row>
    <row r="31" spans="1:4">
      <c r="A31" s="110" t="s">
        <v>2023</v>
      </c>
      <c r="B31" s="110" t="s">
        <v>1147</v>
      </c>
      <c r="C31" s="110">
        <v>1.966</v>
      </c>
      <c r="D31" s="112">
        <v>42749</v>
      </c>
    </row>
    <row r="32" spans="1:4">
      <c r="A32" s="110" t="s">
        <v>2022</v>
      </c>
      <c r="B32" s="110" t="s">
        <v>1147</v>
      </c>
      <c r="C32" s="110">
        <v>2.0499999999999998</v>
      </c>
      <c r="D32" s="112">
        <v>42749</v>
      </c>
    </row>
    <row r="33" spans="1:4">
      <c r="A33" s="110" t="s">
        <v>2021</v>
      </c>
      <c r="B33" s="110" t="s">
        <v>1147</v>
      </c>
      <c r="C33" s="110">
        <v>2.1179999999999999</v>
      </c>
      <c r="D33" s="112">
        <v>42749</v>
      </c>
    </row>
    <row r="34" spans="1:4">
      <c r="A34" s="110" t="s">
        <v>2020</v>
      </c>
      <c r="B34" s="110" t="s">
        <v>1147</v>
      </c>
      <c r="C34" s="110">
        <v>2.0680000000000001</v>
      </c>
      <c r="D34" s="112">
        <v>42749</v>
      </c>
    </row>
    <row r="35" spans="1:4">
      <c r="A35" s="110" t="s">
        <v>2019</v>
      </c>
      <c r="B35" s="110" t="s">
        <v>1147</v>
      </c>
      <c r="C35" s="110">
        <v>1.9390000000000001</v>
      </c>
      <c r="D35" s="112">
        <v>42749</v>
      </c>
    </row>
    <row r="36" spans="1:4">
      <c r="A36" s="110" t="s">
        <v>2018</v>
      </c>
      <c r="B36" s="110" t="s">
        <v>1147</v>
      </c>
      <c r="C36" s="110">
        <v>2.0510000000000002</v>
      </c>
      <c r="D36" s="112">
        <v>42749</v>
      </c>
    </row>
    <row r="37" spans="1:4">
      <c r="A37" s="110" t="s">
        <v>2017</v>
      </c>
      <c r="B37" s="110" t="s">
        <v>1147</v>
      </c>
      <c r="C37" s="110">
        <v>2.0579999999999998</v>
      </c>
      <c r="D37" s="112">
        <v>42749</v>
      </c>
    </row>
    <row r="38" spans="1:4">
      <c r="A38" s="110" t="s">
        <v>2016</v>
      </c>
      <c r="B38" s="110" t="s">
        <v>1147</v>
      </c>
      <c r="C38" s="110">
        <v>2.133</v>
      </c>
      <c r="D38" s="112">
        <v>42749</v>
      </c>
    </row>
    <row r="39" spans="1:4">
      <c r="A39" s="110" t="s">
        <v>2015</v>
      </c>
      <c r="B39" s="110" t="s">
        <v>1147</v>
      </c>
      <c r="C39" s="110">
        <v>2.0299999999999998</v>
      </c>
      <c r="D39" s="112">
        <v>42749</v>
      </c>
    </row>
    <row r="40" spans="1:4">
      <c r="A40" s="110" t="s">
        <v>2014</v>
      </c>
      <c r="B40" s="110" t="s">
        <v>1147</v>
      </c>
      <c r="C40" s="110">
        <v>2.1429999999999998</v>
      </c>
      <c r="D40" s="112">
        <v>42749</v>
      </c>
    </row>
    <row r="41" spans="1:4">
      <c r="A41" s="110" t="s">
        <v>2013</v>
      </c>
      <c r="B41" s="110" t="s">
        <v>1147</v>
      </c>
      <c r="C41" s="110">
        <v>2.077</v>
      </c>
      <c r="D41" s="112">
        <v>42749</v>
      </c>
    </row>
    <row r="42" spans="1:4">
      <c r="A42" s="110" t="s">
        <v>2012</v>
      </c>
      <c r="B42" s="110" t="s">
        <v>1147</v>
      </c>
      <c r="C42" s="110">
        <v>1.93</v>
      </c>
      <c r="D42" s="112">
        <v>42749</v>
      </c>
    </row>
    <row r="43" spans="1:4">
      <c r="A43" s="110" t="s">
        <v>2011</v>
      </c>
      <c r="B43" s="110" t="s">
        <v>1147</v>
      </c>
      <c r="C43" s="110">
        <v>2.0670000000000002</v>
      </c>
      <c r="D43" s="112">
        <v>42749</v>
      </c>
    </row>
    <row r="44" spans="1:4">
      <c r="A44" s="110" t="s">
        <v>2010</v>
      </c>
      <c r="B44" s="110" t="s">
        <v>1147</v>
      </c>
      <c r="C44" s="110">
        <v>2.0369999999999999</v>
      </c>
      <c r="D44" s="112">
        <v>42749</v>
      </c>
    </row>
    <row r="45" spans="1:4">
      <c r="A45" s="110" t="s">
        <v>2009</v>
      </c>
      <c r="B45" s="110" t="s">
        <v>1147</v>
      </c>
      <c r="C45" s="110">
        <v>1.9850000000000001</v>
      </c>
      <c r="D45" s="112">
        <v>42749</v>
      </c>
    </row>
    <row r="46" spans="1:4">
      <c r="A46" s="110" t="s">
        <v>2008</v>
      </c>
      <c r="B46" s="110" t="s">
        <v>1147</v>
      </c>
      <c r="C46" s="110">
        <v>1.9530000000000001</v>
      </c>
      <c r="D46" s="112">
        <v>42749</v>
      </c>
    </row>
    <row r="47" spans="1:4">
      <c r="A47" s="110" t="s">
        <v>2007</v>
      </c>
      <c r="B47" s="110" t="s">
        <v>1147</v>
      </c>
      <c r="C47" s="110">
        <v>1.9650000000000001</v>
      </c>
      <c r="D47" s="112">
        <v>42749</v>
      </c>
    </row>
    <row r="48" spans="1:4">
      <c r="A48" s="110" t="s">
        <v>2006</v>
      </c>
      <c r="B48" s="110" t="s">
        <v>1147</v>
      </c>
      <c r="C48" s="110">
        <v>2.0680000000000001</v>
      </c>
      <c r="D48" s="112">
        <v>42749</v>
      </c>
    </row>
    <row r="49" spans="1:4">
      <c r="A49" s="110" t="s">
        <v>2005</v>
      </c>
      <c r="B49" s="110" t="s">
        <v>1147</v>
      </c>
      <c r="C49" s="110">
        <v>2.0779999999999998</v>
      </c>
      <c r="D49" s="112">
        <v>42749</v>
      </c>
    </row>
    <row r="50" spans="1:4">
      <c r="A50" s="110" t="s">
        <v>2004</v>
      </c>
      <c r="B50" s="110" t="s">
        <v>1147</v>
      </c>
      <c r="C50" s="110">
        <v>1.895</v>
      </c>
      <c r="D50" s="112">
        <v>42749</v>
      </c>
    </row>
    <row r="51" spans="1:4">
      <c r="A51" s="110" t="s">
        <v>2003</v>
      </c>
      <c r="B51" s="110" t="s">
        <v>1147</v>
      </c>
      <c r="C51" s="110">
        <v>2.0840000000000001</v>
      </c>
      <c r="D51" s="112">
        <v>42749</v>
      </c>
    </row>
    <row r="52" spans="1:4">
      <c r="A52" s="110" t="s">
        <v>2002</v>
      </c>
      <c r="B52" s="110" t="s">
        <v>1147</v>
      </c>
      <c r="C52" s="110">
        <v>2.0590000000000002</v>
      </c>
      <c r="D52" s="112">
        <v>42749</v>
      </c>
    </row>
    <row r="53" spans="1:4">
      <c r="A53" s="110" t="s">
        <v>2001</v>
      </c>
      <c r="B53" s="110" t="s">
        <v>1147</v>
      </c>
      <c r="C53" s="110">
        <v>2.0859999999999999</v>
      </c>
      <c r="D53" s="112">
        <v>42749</v>
      </c>
    </row>
    <row r="54" spans="1:4">
      <c r="A54" s="110" t="s">
        <v>2000</v>
      </c>
      <c r="B54" s="110" t="s">
        <v>1147</v>
      </c>
      <c r="C54" s="110">
        <v>1.954</v>
      </c>
      <c r="D54" s="112">
        <v>42749</v>
      </c>
    </row>
    <row r="55" spans="1:4">
      <c r="A55" s="110" t="s">
        <v>1999</v>
      </c>
      <c r="B55" s="110" t="s">
        <v>1147</v>
      </c>
      <c r="C55" s="110">
        <v>2.0259999999999998</v>
      </c>
      <c r="D55" s="112">
        <v>42749</v>
      </c>
    </row>
    <row r="56" spans="1:4">
      <c r="A56" s="110" t="s">
        <v>1998</v>
      </c>
      <c r="B56" s="110" t="s">
        <v>1147</v>
      </c>
      <c r="C56" s="110">
        <v>2.0920000000000001</v>
      </c>
      <c r="D56" s="112">
        <v>42749</v>
      </c>
    </row>
    <row r="57" spans="1:4">
      <c r="A57" s="110" t="s">
        <v>1997</v>
      </c>
      <c r="B57" s="110" t="s">
        <v>1147</v>
      </c>
      <c r="C57" s="110">
        <v>1.907</v>
      </c>
      <c r="D57" s="112">
        <v>42749</v>
      </c>
    </row>
    <row r="58" spans="1:4">
      <c r="A58" s="110" t="s">
        <v>1996</v>
      </c>
      <c r="B58" s="110" t="s">
        <v>1147</v>
      </c>
      <c r="C58" s="110">
        <v>2.0539999999999998</v>
      </c>
      <c r="D58" s="112">
        <v>42749</v>
      </c>
    </row>
    <row r="59" spans="1:4">
      <c r="A59" s="110" t="s">
        <v>1995</v>
      </c>
      <c r="B59" s="110" t="s">
        <v>1147</v>
      </c>
      <c r="C59" s="110">
        <v>2.024</v>
      </c>
      <c r="D59" s="112">
        <v>42749</v>
      </c>
    </row>
    <row r="60" spans="1:4">
      <c r="A60" s="110" t="s">
        <v>1994</v>
      </c>
      <c r="B60" s="110" t="s">
        <v>1147</v>
      </c>
      <c r="C60" s="110">
        <v>2.02</v>
      </c>
      <c r="D60" s="112">
        <v>42749</v>
      </c>
    </row>
    <row r="61" spans="1:4">
      <c r="A61" s="110" t="s">
        <v>1993</v>
      </c>
      <c r="B61" s="110" t="s">
        <v>1147</v>
      </c>
      <c r="C61" s="110">
        <v>2.077</v>
      </c>
      <c r="D61" s="112">
        <v>42749</v>
      </c>
    </row>
    <row r="62" spans="1:4">
      <c r="A62" s="110" t="s">
        <v>1992</v>
      </c>
      <c r="B62" s="110" t="s">
        <v>1147</v>
      </c>
      <c r="C62" s="110">
        <v>1.9370000000000001</v>
      </c>
      <c r="D62" s="112">
        <v>42749</v>
      </c>
    </row>
    <row r="63" spans="1:4">
      <c r="A63" s="110" t="s">
        <v>1991</v>
      </c>
      <c r="B63" s="110" t="s">
        <v>1147</v>
      </c>
      <c r="C63" s="110">
        <v>1.929</v>
      </c>
      <c r="D63" s="112">
        <v>42749</v>
      </c>
    </row>
    <row r="64" spans="1:4">
      <c r="A64" s="110" t="s">
        <v>1990</v>
      </c>
      <c r="B64" s="110" t="s">
        <v>1147</v>
      </c>
      <c r="C64" s="110">
        <v>2.1230000000000002</v>
      </c>
      <c r="D64" s="112">
        <v>42749</v>
      </c>
    </row>
    <row r="65" spans="1:5">
      <c r="A65" s="110" t="s">
        <v>1989</v>
      </c>
      <c r="B65" s="110" t="s">
        <v>1147</v>
      </c>
      <c r="C65" s="110">
        <v>1.88</v>
      </c>
      <c r="D65" s="112">
        <v>42749</v>
      </c>
    </row>
    <row r="66" spans="1:5">
      <c r="A66" s="110" t="s">
        <v>1988</v>
      </c>
      <c r="B66" s="110" t="s">
        <v>1147</v>
      </c>
      <c r="C66" s="110">
        <v>2.0819999999999999</v>
      </c>
      <c r="D66" s="112">
        <v>42749</v>
      </c>
    </row>
    <row r="67" spans="1:5">
      <c r="A67" s="110" t="s">
        <v>1987</v>
      </c>
      <c r="B67" s="110" t="s">
        <v>1147</v>
      </c>
      <c r="C67" s="110">
        <v>2</v>
      </c>
      <c r="D67" s="112">
        <v>42749</v>
      </c>
    </row>
    <row r="68" spans="1:5">
      <c r="A68" s="110" t="s">
        <v>1986</v>
      </c>
      <c r="B68" s="110" t="s">
        <v>1147</v>
      </c>
      <c r="C68" s="110">
        <v>2.0840000000000001</v>
      </c>
      <c r="D68" s="112">
        <v>42749</v>
      </c>
    </row>
    <row r="69" spans="1:5">
      <c r="A69" s="110" t="s">
        <v>1985</v>
      </c>
      <c r="B69" s="110" t="s">
        <v>1147</v>
      </c>
      <c r="C69" s="110">
        <v>2.0750000000000002</v>
      </c>
      <c r="D69" s="112">
        <v>42749</v>
      </c>
    </row>
    <row r="70" spans="1:5">
      <c r="A70" s="110" t="s">
        <v>1984</v>
      </c>
      <c r="B70" s="110" t="s">
        <v>1147</v>
      </c>
      <c r="C70" s="110">
        <v>1.9490000000000001</v>
      </c>
      <c r="D70" s="112">
        <v>42749</v>
      </c>
    </row>
    <row r="71" spans="1:5">
      <c r="A71" s="110" t="s">
        <v>1983</v>
      </c>
      <c r="B71" s="110" t="s">
        <v>1147</v>
      </c>
      <c r="C71" s="110">
        <v>1.984</v>
      </c>
      <c r="D71" s="112">
        <v>42749</v>
      </c>
    </row>
    <row r="72" spans="1:5">
      <c r="A72" s="110" t="s">
        <v>1982</v>
      </c>
      <c r="B72" s="110" t="s">
        <v>1147</v>
      </c>
      <c r="C72" s="110">
        <v>1.921</v>
      </c>
      <c r="D72" s="112">
        <v>42749</v>
      </c>
    </row>
    <row r="73" spans="1:5">
      <c r="A73" s="110" t="s">
        <v>1981</v>
      </c>
      <c r="B73" s="110" t="s">
        <v>1147</v>
      </c>
      <c r="C73" s="110">
        <v>2.0670000000000002</v>
      </c>
      <c r="D73" s="112">
        <v>42749</v>
      </c>
    </row>
    <row r="74" spans="1:5">
      <c r="A74" s="110" t="s">
        <v>1980</v>
      </c>
      <c r="B74" s="110" t="s">
        <v>1147</v>
      </c>
      <c r="C74" s="110">
        <v>2.0939999999999999</v>
      </c>
      <c r="D74" s="112">
        <v>42749</v>
      </c>
    </row>
    <row r="75" spans="1:5">
      <c r="A75" s="110" t="s">
        <v>1979</v>
      </c>
      <c r="B75" s="110" t="s">
        <v>1147</v>
      </c>
      <c r="C75" s="110">
        <v>2.0409999999999999</v>
      </c>
      <c r="D75" s="112">
        <v>42749</v>
      </c>
    </row>
    <row r="76" spans="1:5">
      <c r="A76" s="110" t="s">
        <v>1978</v>
      </c>
      <c r="B76" s="110" t="s">
        <v>1147</v>
      </c>
      <c r="C76" s="110">
        <v>2.0190000000000001</v>
      </c>
      <c r="D76" s="112">
        <v>42749</v>
      </c>
    </row>
    <row r="77" spans="1:5">
      <c r="A77" s="175" t="s">
        <v>1977</v>
      </c>
      <c r="B77" s="175" t="s">
        <v>1147</v>
      </c>
      <c r="C77" s="175">
        <v>2.1190000000000002</v>
      </c>
      <c r="D77" s="176">
        <v>42749</v>
      </c>
      <c r="E77" s="175" t="s">
        <v>2465</v>
      </c>
    </row>
    <row r="78" spans="1:5">
      <c r="A78" s="110" t="s">
        <v>1976</v>
      </c>
      <c r="B78" s="110" t="s">
        <v>1147</v>
      </c>
      <c r="C78" s="110">
        <v>2.0049999999999999</v>
      </c>
      <c r="D78" s="112">
        <v>42749</v>
      </c>
    </row>
    <row r="79" spans="1:5">
      <c r="A79" s="110" t="s">
        <v>1975</v>
      </c>
      <c r="B79" s="110" t="s">
        <v>1147</v>
      </c>
      <c r="C79" s="110">
        <v>2.028</v>
      </c>
      <c r="D79" s="112">
        <v>42749</v>
      </c>
    </row>
    <row r="80" spans="1:5">
      <c r="A80" s="110" t="s">
        <v>1974</v>
      </c>
      <c r="B80" s="110" t="s">
        <v>1147</v>
      </c>
      <c r="C80" s="110">
        <v>2.0129999999999999</v>
      </c>
      <c r="D80" s="112">
        <v>42749</v>
      </c>
    </row>
    <row r="81" spans="1:5">
      <c r="A81" s="110" t="s">
        <v>1973</v>
      </c>
      <c r="B81" s="110" t="s">
        <v>1147</v>
      </c>
      <c r="C81" s="110">
        <v>2.0190000000000001</v>
      </c>
      <c r="D81" s="112">
        <v>42749</v>
      </c>
    </row>
    <row r="82" spans="1:5">
      <c r="A82" s="110" t="s">
        <v>1972</v>
      </c>
      <c r="B82" s="110" t="s">
        <v>1147</v>
      </c>
      <c r="C82" s="110">
        <v>2.0379999999999998</v>
      </c>
      <c r="D82" s="112">
        <v>42749</v>
      </c>
    </row>
    <row r="83" spans="1:5">
      <c r="A83" s="110" t="s">
        <v>1971</v>
      </c>
      <c r="B83" s="110" t="s">
        <v>1147</v>
      </c>
      <c r="C83" s="110">
        <v>2.1120000000000001</v>
      </c>
      <c r="D83" s="112">
        <v>42749</v>
      </c>
    </row>
    <row r="84" spans="1:5">
      <c r="A84" s="110" t="s">
        <v>1970</v>
      </c>
      <c r="B84" s="110" t="s">
        <v>1147</v>
      </c>
      <c r="C84" s="110">
        <v>2.0259999999999998</v>
      </c>
      <c r="D84" s="112">
        <v>42749</v>
      </c>
    </row>
    <row r="85" spans="1:5">
      <c r="A85" s="175" t="s">
        <v>1969</v>
      </c>
      <c r="B85" s="175" t="s">
        <v>1147</v>
      </c>
      <c r="C85" s="175">
        <v>2.097</v>
      </c>
      <c r="D85" s="176">
        <v>42750</v>
      </c>
      <c r="E85" s="175" t="s">
        <v>2465</v>
      </c>
    </row>
    <row r="86" spans="1:5">
      <c r="A86" s="110" t="s">
        <v>1968</v>
      </c>
      <c r="B86" s="110" t="s">
        <v>1147</v>
      </c>
      <c r="C86" s="110">
        <v>2.0270000000000001</v>
      </c>
      <c r="D86" s="112">
        <v>42750</v>
      </c>
    </row>
    <row r="87" spans="1:5">
      <c r="A87" s="110" t="s">
        <v>1967</v>
      </c>
      <c r="B87" s="110" t="s">
        <v>1147</v>
      </c>
      <c r="C87" s="110">
        <v>2.0209999999999999</v>
      </c>
      <c r="D87" s="112">
        <v>42750</v>
      </c>
    </row>
    <row r="88" spans="1:5">
      <c r="A88" s="110" t="s">
        <v>1966</v>
      </c>
      <c r="B88" s="110" t="s">
        <v>1147</v>
      </c>
      <c r="C88" s="110">
        <v>2.1259999999999999</v>
      </c>
      <c r="D88" s="112">
        <v>42750</v>
      </c>
    </row>
    <row r="89" spans="1:5">
      <c r="A89" s="110" t="s">
        <v>1965</v>
      </c>
      <c r="B89" s="110" t="s">
        <v>1147</v>
      </c>
      <c r="C89" s="110">
        <v>2.1360000000000001</v>
      </c>
      <c r="D89" s="112">
        <v>42750</v>
      </c>
    </row>
    <row r="90" spans="1:5">
      <c r="A90" s="110" t="s">
        <v>1964</v>
      </c>
      <c r="B90" s="110" t="s">
        <v>1147</v>
      </c>
      <c r="C90" s="110">
        <v>2.1030000000000002</v>
      </c>
      <c r="D90" s="112">
        <v>42750</v>
      </c>
    </row>
    <row r="91" spans="1:5">
      <c r="A91" s="110" t="s">
        <v>1963</v>
      </c>
      <c r="B91" s="110" t="s">
        <v>1147</v>
      </c>
      <c r="C91" s="110">
        <v>1.9870000000000001</v>
      </c>
      <c r="D91" s="112">
        <v>42750</v>
      </c>
    </row>
    <row r="92" spans="1:5">
      <c r="A92" s="110" t="s">
        <v>1962</v>
      </c>
      <c r="B92" s="110" t="s">
        <v>1147</v>
      </c>
      <c r="C92" s="110">
        <v>2.1549999999999998</v>
      </c>
      <c r="D92" s="112">
        <v>42750</v>
      </c>
    </row>
    <row r="93" spans="1:5">
      <c r="A93" s="110" t="s">
        <v>1961</v>
      </c>
      <c r="B93" s="110" t="s">
        <v>1147</v>
      </c>
      <c r="C93" s="110">
        <v>1.9590000000000001</v>
      </c>
      <c r="D93" s="112">
        <v>42750</v>
      </c>
    </row>
    <row r="94" spans="1:5">
      <c r="A94" s="110" t="s">
        <v>1960</v>
      </c>
      <c r="B94" s="110" t="s">
        <v>1147</v>
      </c>
      <c r="C94" s="110">
        <v>2.0409999999999999</v>
      </c>
      <c r="D94" s="112">
        <v>42750</v>
      </c>
    </row>
    <row r="95" spans="1:5">
      <c r="A95" s="110" t="s">
        <v>1959</v>
      </c>
      <c r="B95" s="110" t="s">
        <v>1147</v>
      </c>
      <c r="C95" s="110">
        <v>2.044</v>
      </c>
      <c r="D95" s="112">
        <v>42750</v>
      </c>
    </row>
    <row r="96" spans="1:5">
      <c r="A96" s="110" t="s">
        <v>1958</v>
      </c>
      <c r="B96" s="110" t="s">
        <v>1147</v>
      </c>
      <c r="C96" s="110">
        <v>2.1930000000000001</v>
      </c>
      <c r="D96" s="112">
        <v>42750</v>
      </c>
    </row>
    <row r="97" spans="1:4">
      <c r="A97" s="110" t="s">
        <v>1957</v>
      </c>
      <c r="B97" s="110" t="s">
        <v>1147</v>
      </c>
      <c r="C97" s="110">
        <v>2.1230000000000002</v>
      </c>
      <c r="D97" s="112">
        <v>42750</v>
      </c>
    </row>
    <row r="98" spans="1:4">
      <c r="A98" s="110" t="s">
        <v>1956</v>
      </c>
      <c r="B98" s="110" t="s">
        <v>1147</v>
      </c>
      <c r="C98" s="110">
        <v>2.0630000000000002</v>
      </c>
      <c r="D98" s="112">
        <v>42750</v>
      </c>
    </row>
    <row r="99" spans="1:4">
      <c r="A99" s="110" t="s">
        <v>1955</v>
      </c>
      <c r="B99" s="110" t="s">
        <v>1147</v>
      </c>
      <c r="C99" s="110">
        <v>2.1110000000000002</v>
      </c>
      <c r="D99" s="112">
        <v>42750</v>
      </c>
    </row>
    <row r="100" spans="1:4">
      <c r="A100" s="110" t="s">
        <v>1954</v>
      </c>
      <c r="B100" s="110" t="s">
        <v>1147</v>
      </c>
      <c r="C100" s="110">
        <v>2.2349999999999999</v>
      </c>
      <c r="D100" s="112">
        <v>42750</v>
      </c>
    </row>
    <row r="101" spans="1:4">
      <c r="A101" s="110" t="s">
        <v>1953</v>
      </c>
      <c r="B101" s="110" t="s">
        <v>1147</v>
      </c>
      <c r="C101" s="110">
        <v>2.0960000000000001</v>
      </c>
      <c r="D101" s="112">
        <v>42750</v>
      </c>
    </row>
    <row r="102" spans="1:4">
      <c r="A102" s="110" t="s">
        <v>1952</v>
      </c>
      <c r="B102" s="110" t="s">
        <v>1147</v>
      </c>
      <c r="C102" s="110">
        <v>2.0979999999999999</v>
      </c>
      <c r="D102" s="112">
        <v>42750</v>
      </c>
    </row>
    <row r="103" spans="1:4">
      <c r="A103" s="110" t="s">
        <v>1951</v>
      </c>
      <c r="B103" s="110" t="s">
        <v>1147</v>
      </c>
      <c r="C103" s="110">
        <v>2.097</v>
      </c>
      <c r="D103" s="112">
        <v>42750</v>
      </c>
    </row>
    <row r="104" spans="1:4">
      <c r="A104" s="110" t="s">
        <v>1950</v>
      </c>
      <c r="B104" s="110" t="s">
        <v>1147</v>
      </c>
      <c r="C104" s="110">
        <v>2.0840000000000001</v>
      </c>
      <c r="D104" s="112">
        <v>42750</v>
      </c>
    </row>
    <row r="105" spans="1:4">
      <c r="A105" s="110" t="s">
        <v>1949</v>
      </c>
      <c r="B105" s="110" t="s">
        <v>1147</v>
      </c>
      <c r="C105" s="110">
        <v>2.173</v>
      </c>
      <c r="D105" s="112">
        <v>42750</v>
      </c>
    </row>
    <row r="106" spans="1:4">
      <c r="A106" s="110" t="s">
        <v>1948</v>
      </c>
      <c r="B106" s="110" t="s">
        <v>1147</v>
      </c>
      <c r="C106" s="110">
        <v>2.0920000000000001</v>
      </c>
      <c r="D106" s="112">
        <v>42750</v>
      </c>
    </row>
    <row r="107" spans="1:4">
      <c r="A107" s="110" t="s">
        <v>1947</v>
      </c>
      <c r="B107" s="110" t="s">
        <v>1147</v>
      </c>
      <c r="C107" s="110">
        <v>2.06</v>
      </c>
      <c r="D107" s="112">
        <v>42750</v>
      </c>
    </row>
    <row r="108" spans="1:4">
      <c r="A108" s="110" t="s">
        <v>1946</v>
      </c>
      <c r="B108" s="110" t="s">
        <v>1147</v>
      </c>
      <c r="C108" s="110">
        <v>2.0259999999999998</v>
      </c>
      <c r="D108" s="112">
        <v>42750</v>
      </c>
    </row>
    <row r="109" spans="1:4">
      <c r="A109" s="110" t="s">
        <v>1945</v>
      </c>
      <c r="B109" s="110" t="s">
        <v>1147</v>
      </c>
      <c r="C109" s="110">
        <v>2.1440000000000001</v>
      </c>
      <c r="D109" s="112">
        <v>42750</v>
      </c>
    </row>
    <row r="110" spans="1:4">
      <c r="A110" s="110" t="s">
        <v>1944</v>
      </c>
      <c r="B110" s="110" t="s">
        <v>1147</v>
      </c>
      <c r="C110" s="110">
        <v>2.1230000000000002</v>
      </c>
      <c r="D110" s="112">
        <v>42750</v>
      </c>
    </row>
    <row r="111" spans="1:4">
      <c r="A111" s="110" t="s">
        <v>1943</v>
      </c>
      <c r="B111" s="110" t="s">
        <v>1147</v>
      </c>
      <c r="C111" s="110">
        <v>2.1749999999999998</v>
      </c>
      <c r="D111" s="112">
        <v>42750</v>
      </c>
    </row>
    <row r="112" spans="1:4">
      <c r="A112" s="110" t="s">
        <v>1942</v>
      </c>
      <c r="B112" s="110" t="s">
        <v>1147</v>
      </c>
      <c r="C112" s="110">
        <v>2.032</v>
      </c>
      <c r="D112" s="112">
        <v>42750</v>
      </c>
    </row>
    <row r="113" spans="1:5">
      <c r="A113" s="110" t="s">
        <v>1941</v>
      </c>
      <c r="B113" s="110" t="s">
        <v>1147</v>
      </c>
      <c r="C113" s="110">
        <v>1.992</v>
      </c>
      <c r="D113" s="112">
        <v>42750</v>
      </c>
    </row>
    <row r="114" spans="1:5">
      <c r="A114" s="110" t="s">
        <v>1940</v>
      </c>
      <c r="B114" s="110" t="s">
        <v>1147</v>
      </c>
      <c r="C114" s="110">
        <v>2.093</v>
      </c>
      <c r="D114" s="112">
        <v>42750</v>
      </c>
    </row>
    <row r="115" spans="1:5">
      <c r="A115" s="110" t="s">
        <v>1939</v>
      </c>
      <c r="B115" s="110" t="s">
        <v>1147</v>
      </c>
      <c r="C115" s="110">
        <v>2.0750000000000002</v>
      </c>
      <c r="D115" s="112">
        <v>42750</v>
      </c>
    </row>
    <row r="116" spans="1:5">
      <c r="A116" s="175" t="s">
        <v>1938</v>
      </c>
      <c r="B116" s="175" t="s">
        <v>1147</v>
      </c>
      <c r="C116" s="175">
        <v>2.0859999999999999</v>
      </c>
      <c r="D116" s="176">
        <v>42750</v>
      </c>
      <c r="E116" s="175" t="s">
        <v>2465</v>
      </c>
    </row>
    <row r="117" spans="1:5">
      <c r="A117" s="110" t="s">
        <v>1937</v>
      </c>
      <c r="B117" s="110" t="s">
        <v>1147</v>
      </c>
      <c r="C117" s="110">
        <v>2.0539999999999998</v>
      </c>
      <c r="D117" s="112">
        <v>42750</v>
      </c>
    </row>
    <row r="118" spans="1:5">
      <c r="A118" s="110" t="s">
        <v>1936</v>
      </c>
      <c r="B118" s="110" t="s">
        <v>1147</v>
      </c>
      <c r="C118" s="110">
        <v>2.0249999999999999</v>
      </c>
      <c r="D118" s="112">
        <v>42750</v>
      </c>
    </row>
    <row r="119" spans="1:5">
      <c r="A119" s="110" t="s">
        <v>1935</v>
      </c>
      <c r="B119" s="110" t="s">
        <v>1147</v>
      </c>
      <c r="C119" s="110">
        <v>2.048</v>
      </c>
      <c r="D119" s="112">
        <v>42750</v>
      </c>
    </row>
    <row r="120" spans="1:5">
      <c r="A120" s="110" t="s">
        <v>1934</v>
      </c>
      <c r="B120" s="110" t="s">
        <v>1147</v>
      </c>
      <c r="C120" s="110">
        <v>1.925</v>
      </c>
      <c r="D120" s="112">
        <v>42750</v>
      </c>
    </row>
    <row r="121" spans="1:5">
      <c r="A121" s="110" t="s">
        <v>1933</v>
      </c>
      <c r="B121" s="110" t="s">
        <v>1147</v>
      </c>
      <c r="C121" s="110">
        <v>2.0990000000000002</v>
      </c>
      <c r="D121" s="112">
        <v>42750</v>
      </c>
    </row>
    <row r="122" spans="1:5">
      <c r="A122" s="110" t="s">
        <v>1932</v>
      </c>
      <c r="B122" s="110" t="s">
        <v>1147</v>
      </c>
      <c r="C122" s="110">
        <v>2.0870000000000002</v>
      </c>
      <c r="D122" s="112">
        <v>42750</v>
      </c>
    </row>
    <row r="123" spans="1:5">
      <c r="A123" s="110" t="s">
        <v>1931</v>
      </c>
      <c r="B123" s="110" t="s">
        <v>1147</v>
      </c>
      <c r="C123" s="110">
        <v>2.032</v>
      </c>
      <c r="D123" s="112">
        <v>42750</v>
      </c>
    </row>
    <row r="124" spans="1:5">
      <c r="A124" s="110" t="s">
        <v>1930</v>
      </c>
      <c r="B124" s="110" t="s">
        <v>1147</v>
      </c>
      <c r="C124" s="110">
        <v>2.0449999999999999</v>
      </c>
      <c r="D124" s="112">
        <v>42750</v>
      </c>
    </row>
    <row r="125" spans="1:5">
      <c r="A125" s="110" t="s">
        <v>1929</v>
      </c>
      <c r="B125" s="110" t="s">
        <v>1147</v>
      </c>
      <c r="C125" s="110">
        <v>2.024</v>
      </c>
      <c r="D125" s="112">
        <v>42750</v>
      </c>
    </row>
    <row r="126" spans="1:5">
      <c r="A126" s="110" t="s">
        <v>1928</v>
      </c>
      <c r="B126" s="110" t="s">
        <v>1147</v>
      </c>
      <c r="C126" s="110">
        <v>1.95</v>
      </c>
      <c r="D126" s="112">
        <v>42750</v>
      </c>
    </row>
    <row r="127" spans="1:5">
      <c r="A127" s="110" t="s">
        <v>1927</v>
      </c>
      <c r="B127" s="110" t="s">
        <v>1147</v>
      </c>
      <c r="C127" s="110">
        <v>2.133</v>
      </c>
      <c r="D127" s="112">
        <v>42750</v>
      </c>
    </row>
    <row r="128" spans="1:5">
      <c r="A128" s="110" t="s">
        <v>1926</v>
      </c>
      <c r="B128" s="110" t="s">
        <v>1147</v>
      </c>
      <c r="C128" s="110">
        <v>1.9390000000000001</v>
      </c>
      <c r="D128" s="112">
        <v>42750</v>
      </c>
    </row>
    <row r="129" spans="1:4">
      <c r="A129" s="110" t="s">
        <v>1925</v>
      </c>
      <c r="B129" s="110" t="s">
        <v>1147</v>
      </c>
      <c r="C129" s="110">
        <v>2.0979999999999999</v>
      </c>
      <c r="D129" s="112">
        <v>42750</v>
      </c>
    </row>
    <row r="130" spans="1:4">
      <c r="A130" s="110" t="s">
        <v>1924</v>
      </c>
      <c r="B130" s="110" t="s">
        <v>1147</v>
      </c>
      <c r="C130" s="110">
        <v>2.093</v>
      </c>
      <c r="D130" s="112">
        <v>42750</v>
      </c>
    </row>
    <row r="131" spans="1:4">
      <c r="A131" s="110" t="s">
        <v>1923</v>
      </c>
      <c r="B131" s="110" t="s">
        <v>1147</v>
      </c>
      <c r="C131" s="110">
        <v>1.9490000000000001</v>
      </c>
      <c r="D131" s="112">
        <v>42750</v>
      </c>
    </row>
    <row r="132" spans="1:4">
      <c r="A132" s="110" t="s">
        <v>1922</v>
      </c>
      <c r="B132" s="110" t="s">
        <v>1147</v>
      </c>
      <c r="C132" s="110">
        <v>2.0219999999999998</v>
      </c>
      <c r="D132" s="112">
        <v>42750</v>
      </c>
    </row>
    <row r="133" spans="1:4">
      <c r="A133" s="110" t="s">
        <v>1921</v>
      </c>
      <c r="B133" s="110" t="s">
        <v>1147</v>
      </c>
      <c r="C133" s="110">
        <v>1.9630000000000001</v>
      </c>
      <c r="D133" s="112">
        <v>42750</v>
      </c>
    </row>
    <row r="134" spans="1:4">
      <c r="A134" s="110" t="s">
        <v>1920</v>
      </c>
      <c r="B134" s="110" t="s">
        <v>1147</v>
      </c>
      <c r="C134" s="110">
        <v>1.976</v>
      </c>
      <c r="D134" s="112">
        <v>42750</v>
      </c>
    </row>
    <row r="135" spans="1:4">
      <c r="A135" s="110" t="s">
        <v>1919</v>
      </c>
      <c r="B135" s="110" t="s">
        <v>1147</v>
      </c>
      <c r="C135" s="110">
        <v>1.9670000000000001</v>
      </c>
      <c r="D135" s="112">
        <v>42750</v>
      </c>
    </row>
    <row r="136" spans="1:4">
      <c r="A136" s="110" t="s">
        <v>1918</v>
      </c>
      <c r="B136" s="110" t="s">
        <v>1147</v>
      </c>
      <c r="C136" s="110">
        <v>2.0590000000000002</v>
      </c>
      <c r="D136" s="112">
        <v>42750</v>
      </c>
    </row>
    <row r="137" spans="1:4">
      <c r="A137" s="110" t="s">
        <v>1917</v>
      </c>
      <c r="B137" s="110" t="s">
        <v>1147</v>
      </c>
      <c r="C137" s="110">
        <v>1.8580000000000001</v>
      </c>
      <c r="D137" s="112">
        <v>42750</v>
      </c>
    </row>
    <row r="138" spans="1:4">
      <c r="A138" s="110" t="s">
        <v>1916</v>
      </c>
      <c r="B138" s="110" t="s">
        <v>1147</v>
      </c>
      <c r="C138" s="110">
        <v>2.0089999999999999</v>
      </c>
      <c r="D138" s="112">
        <v>42750</v>
      </c>
    </row>
    <row r="139" spans="1:4">
      <c r="A139" s="110" t="s">
        <v>1915</v>
      </c>
      <c r="B139" s="110" t="s">
        <v>1147</v>
      </c>
      <c r="C139" s="110">
        <v>2.0049999999999999</v>
      </c>
      <c r="D139" s="112">
        <v>42750</v>
      </c>
    </row>
    <row r="140" spans="1:4">
      <c r="A140" s="110" t="s">
        <v>1914</v>
      </c>
      <c r="B140" s="110" t="s">
        <v>1147</v>
      </c>
      <c r="C140" s="110">
        <v>1.9430000000000001</v>
      </c>
      <c r="D140" s="112">
        <v>42750</v>
      </c>
    </row>
    <row r="141" spans="1:4">
      <c r="A141" s="110" t="s">
        <v>1913</v>
      </c>
      <c r="B141" s="110" t="s">
        <v>1147</v>
      </c>
      <c r="C141" s="110">
        <v>1.9690000000000001</v>
      </c>
      <c r="D141" s="112">
        <v>42750</v>
      </c>
    </row>
    <row r="142" spans="1:4">
      <c r="A142" s="110" t="s">
        <v>1912</v>
      </c>
      <c r="B142" s="110" t="s">
        <v>1147</v>
      </c>
      <c r="C142" s="110">
        <v>1.956</v>
      </c>
      <c r="D142" s="112">
        <v>42750</v>
      </c>
    </row>
    <row r="143" spans="1:4">
      <c r="A143" s="110" t="s">
        <v>1911</v>
      </c>
      <c r="B143" s="110" t="s">
        <v>1147</v>
      </c>
      <c r="C143" s="110">
        <v>2.0059999999999998</v>
      </c>
      <c r="D143" s="112">
        <v>42750</v>
      </c>
    </row>
    <row r="144" spans="1:4">
      <c r="A144" s="110" t="s">
        <v>1910</v>
      </c>
      <c r="B144" s="110" t="s">
        <v>1147</v>
      </c>
      <c r="C144" s="110">
        <v>2.0590000000000002</v>
      </c>
      <c r="D144" s="112">
        <v>42750</v>
      </c>
    </row>
    <row r="145" spans="1:4">
      <c r="A145" s="110" t="s">
        <v>1909</v>
      </c>
      <c r="B145" s="110" t="s">
        <v>1147</v>
      </c>
      <c r="C145" s="110">
        <v>2.0310000000000001</v>
      </c>
      <c r="D145" s="112">
        <v>42750</v>
      </c>
    </row>
    <row r="146" spans="1:4">
      <c r="A146" s="110" t="s">
        <v>1908</v>
      </c>
      <c r="B146" s="110" t="s">
        <v>1147</v>
      </c>
      <c r="C146" s="110">
        <v>2.0590000000000002</v>
      </c>
      <c r="D146" s="112">
        <v>42750</v>
      </c>
    </row>
    <row r="147" spans="1:4">
      <c r="A147" s="110" t="s">
        <v>1907</v>
      </c>
      <c r="B147" s="110" t="s">
        <v>1147</v>
      </c>
      <c r="C147" s="110">
        <v>1.9450000000000001</v>
      </c>
      <c r="D147" s="112">
        <v>42750</v>
      </c>
    </row>
    <row r="148" spans="1:4">
      <c r="A148" s="110" t="s">
        <v>1906</v>
      </c>
      <c r="B148" s="110" t="s">
        <v>1147</v>
      </c>
      <c r="C148" s="110">
        <v>2.0230000000000001</v>
      </c>
      <c r="D148" s="112">
        <v>42750</v>
      </c>
    </row>
    <row r="149" spans="1:4">
      <c r="A149" s="110" t="s">
        <v>1905</v>
      </c>
      <c r="B149" s="110" t="s">
        <v>1147</v>
      </c>
      <c r="C149" s="110">
        <v>2.044</v>
      </c>
      <c r="D149" s="112">
        <v>42750</v>
      </c>
    </row>
    <row r="150" spans="1:4">
      <c r="A150" s="110" t="s">
        <v>1904</v>
      </c>
      <c r="B150" s="110" t="s">
        <v>1147</v>
      </c>
      <c r="C150" s="110">
        <v>2.0529999999999999</v>
      </c>
      <c r="D150" s="112">
        <v>42750</v>
      </c>
    </row>
    <row r="151" spans="1:4">
      <c r="A151" s="110" t="s">
        <v>1903</v>
      </c>
      <c r="B151" s="110" t="s">
        <v>1147</v>
      </c>
      <c r="C151" s="110">
        <v>2.0369999999999999</v>
      </c>
      <c r="D151" s="112">
        <v>42750</v>
      </c>
    </row>
    <row r="152" spans="1:4">
      <c r="A152" s="110" t="s">
        <v>1902</v>
      </c>
      <c r="B152" s="110" t="s">
        <v>1147</v>
      </c>
      <c r="C152" s="110">
        <v>2.0710000000000002</v>
      </c>
      <c r="D152" s="112">
        <v>42750</v>
      </c>
    </row>
    <row r="153" spans="1:4">
      <c r="A153" s="110" t="s">
        <v>1901</v>
      </c>
      <c r="B153" s="110" t="s">
        <v>1147</v>
      </c>
      <c r="C153" s="110">
        <v>2.1789999999999998</v>
      </c>
      <c r="D153" s="112">
        <v>42750</v>
      </c>
    </row>
    <row r="154" spans="1:4">
      <c r="A154" s="110" t="s">
        <v>1900</v>
      </c>
      <c r="B154" s="110" t="s">
        <v>1147</v>
      </c>
      <c r="C154" s="110">
        <v>2.0009999999999999</v>
      </c>
      <c r="D154" s="112">
        <v>42750</v>
      </c>
    </row>
    <row r="155" spans="1:4">
      <c r="A155" s="110" t="s">
        <v>1899</v>
      </c>
      <c r="B155" s="110" t="s">
        <v>1147</v>
      </c>
      <c r="C155" s="110">
        <v>1.9159999999999999</v>
      </c>
      <c r="D155" s="112">
        <v>42750</v>
      </c>
    </row>
    <row r="156" spans="1:4">
      <c r="A156" s="110" t="s">
        <v>1898</v>
      </c>
      <c r="B156" s="110" t="s">
        <v>1147</v>
      </c>
      <c r="C156" s="110">
        <v>2.0489999999999999</v>
      </c>
      <c r="D156" s="112">
        <v>42750</v>
      </c>
    </row>
    <row r="157" spans="1:4">
      <c r="A157" s="110" t="s">
        <v>1897</v>
      </c>
      <c r="B157" s="110" t="s">
        <v>1147</v>
      </c>
      <c r="C157" s="110">
        <v>2.0529999999999999</v>
      </c>
      <c r="D157" s="112">
        <v>42750</v>
      </c>
    </row>
    <row r="158" spans="1:4">
      <c r="A158" s="110" t="s">
        <v>1896</v>
      </c>
      <c r="B158" s="110" t="s">
        <v>1147</v>
      </c>
      <c r="C158" s="110">
        <v>1.9970000000000001</v>
      </c>
      <c r="D158" s="112">
        <v>42750</v>
      </c>
    </row>
    <row r="159" spans="1:4">
      <c r="A159" s="110" t="s">
        <v>1895</v>
      </c>
      <c r="B159" s="110" t="s">
        <v>1147</v>
      </c>
      <c r="C159" s="110">
        <v>2.0379999999999998</v>
      </c>
      <c r="D159" s="112">
        <v>42750</v>
      </c>
    </row>
    <row r="160" spans="1:4">
      <c r="A160" s="110" t="s">
        <v>1894</v>
      </c>
      <c r="B160" s="110" t="s">
        <v>1147</v>
      </c>
      <c r="C160" s="110">
        <v>1.944</v>
      </c>
      <c r="D160" s="112">
        <v>42750</v>
      </c>
    </row>
    <row r="161" spans="1:4">
      <c r="A161" s="110" t="s">
        <v>1893</v>
      </c>
      <c r="B161" s="110" t="s">
        <v>1147</v>
      </c>
      <c r="C161" s="110">
        <v>1.994</v>
      </c>
      <c r="D161" s="112">
        <v>42750</v>
      </c>
    </row>
    <row r="162" spans="1:4">
      <c r="A162" s="110" t="s">
        <v>1892</v>
      </c>
      <c r="B162" s="110" t="s">
        <v>1147</v>
      </c>
      <c r="C162" s="110">
        <v>2.0609999999999999</v>
      </c>
      <c r="D162" s="112">
        <v>42750</v>
      </c>
    </row>
    <row r="163" spans="1:4">
      <c r="A163" s="110" t="s">
        <v>1891</v>
      </c>
      <c r="B163" s="110" t="s">
        <v>1147</v>
      </c>
      <c r="C163" s="110">
        <v>2.1419999999999999</v>
      </c>
      <c r="D163" s="112">
        <v>42750</v>
      </c>
    </row>
    <row r="164" spans="1:4">
      <c r="A164" s="110" t="s">
        <v>1890</v>
      </c>
      <c r="B164" s="110" t="s">
        <v>1147</v>
      </c>
      <c r="C164" s="110">
        <v>2.081</v>
      </c>
      <c r="D164" s="112">
        <v>42750</v>
      </c>
    </row>
    <row r="165" spans="1:4">
      <c r="A165" s="110" t="s">
        <v>1889</v>
      </c>
      <c r="B165" s="110" t="s">
        <v>1147</v>
      </c>
      <c r="C165" s="110">
        <v>2.0979999999999999</v>
      </c>
      <c r="D165" s="112">
        <v>42750</v>
      </c>
    </row>
    <row r="166" spans="1:4">
      <c r="A166" s="110" t="s">
        <v>1888</v>
      </c>
      <c r="B166" s="110" t="s">
        <v>1147</v>
      </c>
      <c r="C166" s="110">
        <v>2.0390000000000001</v>
      </c>
      <c r="D166" s="112">
        <v>42750</v>
      </c>
    </row>
    <row r="167" spans="1:4">
      <c r="A167" s="110" t="s">
        <v>1887</v>
      </c>
      <c r="B167" s="110" t="s">
        <v>1147</v>
      </c>
      <c r="C167" s="110">
        <v>2.04</v>
      </c>
      <c r="D167" s="112">
        <v>42750</v>
      </c>
    </row>
    <row r="168" spans="1:4">
      <c r="A168" s="110" t="s">
        <v>1886</v>
      </c>
      <c r="B168" s="110" t="s">
        <v>1147</v>
      </c>
      <c r="C168" s="110">
        <v>1.994</v>
      </c>
      <c r="D168" s="112">
        <v>42750</v>
      </c>
    </row>
    <row r="169" spans="1:4">
      <c r="A169" s="110" t="s">
        <v>1885</v>
      </c>
      <c r="B169" s="110" t="s">
        <v>1147</v>
      </c>
      <c r="C169" s="110">
        <v>2.0089999999999999</v>
      </c>
      <c r="D169" s="112">
        <v>42750</v>
      </c>
    </row>
    <row r="170" spans="1:4">
      <c r="A170" s="110" t="s">
        <v>1884</v>
      </c>
      <c r="B170" s="110" t="s">
        <v>1147</v>
      </c>
      <c r="C170" s="110">
        <v>2.032</v>
      </c>
      <c r="D170" s="112">
        <v>42750</v>
      </c>
    </row>
    <row r="171" spans="1:4">
      <c r="A171" s="110" t="s">
        <v>1883</v>
      </c>
      <c r="B171" s="110" t="s">
        <v>1147</v>
      </c>
      <c r="C171" s="110">
        <v>1.996</v>
      </c>
      <c r="D171" s="112">
        <v>42750</v>
      </c>
    </row>
    <row r="172" spans="1:4">
      <c r="A172" s="110" t="s">
        <v>1882</v>
      </c>
      <c r="B172" s="110" t="s">
        <v>1147</v>
      </c>
      <c r="C172" s="110">
        <v>2.0499999999999998</v>
      </c>
      <c r="D172" s="112">
        <v>42750</v>
      </c>
    </row>
    <row r="173" spans="1:4">
      <c r="A173" s="110" t="s">
        <v>1881</v>
      </c>
      <c r="B173" s="110" t="s">
        <v>1147</v>
      </c>
      <c r="C173" s="110">
        <v>2.0649999999999999</v>
      </c>
      <c r="D173" s="112">
        <v>42750</v>
      </c>
    </row>
    <row r="174" spans="1:4">
      <c r="A174" s="110" t="s">
        <v>1880</v>
      </c>
      <c r="B174" s="110" t="s">
        <v>1147</v>
      </c>
      <c r="C174" s="110">
        <v>2.0390000000000001</v>
      </c>
      <c r="D174" s="112">
        <v>42750</v>
      </c>
    </row>
    <row r="175" spans="1:4">
      <c r="A175" s="110" t="s">
        <v>1879</v>
      </c>
      <c r="B175" s="110" t="s">
        <v>1147</v>
      </c>
      <c r="C175" s="110">
        <v>1.9239999999999999</v>
      </c>
      <c r="D175" s="112">
        <v>42750</v>
      </c>
    </row>
    <row r="176" spans="1:4">
      <c r="A176" s="110" t="s">
        <v>1878</v>
      </c>
      <c r="B176" s="110" t="s">
        <v>1147</v>
      </c>
      <c r="C176" s="110">
        <v>1.9870000000000001</v>
      </c>
      <c r="D176" s="112">
        <v>42750</v>
      </c>
    </row>
    <row r="177" spans="1:4">
      <c r="A177" s="110" t="s">
        <v>1877</v>
      </c>
      <c r="B177" s="110" t="s">
        <v>1147</v>
      </c>
      <c r="C177" s="110">
        <v>2.1419999999999999</v>
      </c>
      <c r="D177" s="112">
        <v>42750</v>
      </c>
    </row>
    <row r="178" spans="1:4">
      <c r="A178" s="110" t="s">
        <v>1876</v>
      </c>
      <c r="B178" s="110" t="s">
        <v>1147</v>
      </c>
      <c r="C178" s="110">
        <v>2.0649999999999999</v>
      </c>
      <c r="D178" s="112">
        <v>42750</v>
      </c>
    </row>
    <row r="179" spans="1:4">
      <c r="A179" s="110" t="s">
        <v>1875</v>
      </c>
      <c r="B179" s="110" t="s">
        <v>1147</v>
      </c>
      <c r="C179" s="110">
        <v>1.9930000000000001</v>
      </c>
      <c r="D179" s="112">
        <v>42750</v>
      </c>
    </row>
    <row r="180" spans="1:4">
      <c r="A180" s="110" t="s">
        <v>1874</v>
      </c>
      <c r="B180" s="110" t="s">
        <v>1147</v>
      </c>
      <c r="C180" s="110">
        <v>2.0590000000000002</v>
      </c>
      <c r="D180" s="112">
        <v>42750</v>
      </c>
    </row>
    <row r="181" spans="1:4">
      <c r="A181" s="110" t="s">
        <v>1873</v>
      </c>
      <c r="B181" s="110" t="s">
        <v>1147</v>
      </c>
      <c r="C181" s="110">
        <v>2.0190000000000001</v>
      </c>
      <c r="D181" s="112">
        <v>42750</v>
      </c>
    </row>
    <row r="182" spans="1:4">
      <c r="A182" s="110" t="s">
        <v>1872</v>
      </c>
      <c r="B182" s="110" t="s">
        <v>1147</v>
      </c>
      <c r="C182" s="110">
        <v>2.1360000000000001</v>
      </c>
      <c r="D182" s="112">
        <v>42750</v>
      </c>
    </row>
    <row r="183" spans="1:4">
      <c r="A183" s="110" t="s">
        <v>1871</v>
      </c>
      <c r="B183" s="110" t="s">
        <v>1147</v>
      </c>
      <c r="C183" s="110">
        <v>1.9750000000000001</v>
      </c>
      <c r="D183" s="112">
        <v>42750</v>
      </c>
    </row>
    <row r="184" spans="1:4">
      <c r="A184" s="110" t="s">
        <v>1870</v>
      </c>
      <c r="B184" s="110" t="s">
        <v>1147</v>
      </c>
      <c r="C184" s="110">
        <v>1.9810000000000001</v>
      </c>
      <c r="D184" s="112">
        <v>42750</v>
      </c>
    </row>
    <row r="185" spans="1:4">
      <c r="A185" s="110" t="s">
        <v>1869</v>
      </c>
      <c r="B185" s="110" t="s">
        <v>1147</v>
      </c>
      <c r="C185" s="110">
        <v>1.7629999999999999</v>
      </c>
      <c r="D185" s="112">
        <v>42750</v>
      </c>
    </row>
    <row r="186" spans="1:4">
      <c r="A186" s="110" t="s">
        <v>1868</v>
      </c>
      <c r="B186" s="110" t="s">
        <v>1147</v>
      </c>
      <c r="C186" s="110">
        <v>1.8919999999999999</v>
      </c>
      <c r="D186" s="112">
        <v>42750</v>
      </c>
    </row>
    <row r="187" spans="1:4">
      <c r="A187" s="110" t="s">
        <v>1867</v>
      </c>
      <c r="B187" s="110" t="s">
        <v>1147</v>
      </c>
      <c r="C187" s="110">
        <v>1.897</v>
      </c>
      <c r="D187" s="112">
        <v>42750</v>
      </c>
    </row>
    <row r="188" spans="1:4">
      <c r="A188" s="110" t="s">
        <v>1866</v>
      </c>
      <c r="B188" s="110" t="s">
        <v>1147</v>
      </c>
      <c r="C188" s="110">
        <v>1.925</v>
      </c>
      <c r="D188" s="112">
        <v>42750</v>
      </c>
    </row>
    <row r="189" spans="1:4">
      <c r="A189" s="110" t="s">
        <v>1865</v>
      </c>
      <c r="B189" s="110" t="s">
        <v>1147</v>
      </c>
      <c r="C189" s="110">
        <v>2.13</v>
      </c>
      <c r="D189" s="112">
        <v>42750</v>
      </c>
    </row>
    <row r="190" spans="1:4">
      <c r="A190" s="110" t="s">
        <v>1864</v>
      </c>
      <c r="B190" s="110" t="s">
        <v>1147</v>
      </c>
      <c r="C190" s="110">
        <v>2.0419999999999998</v>
      </c>
      <c r="D190" s="112">
        <v>42750</v>
      </c>
    </row>
    <row r="191" spans="1:4">
      <c r="A191" s="110" t="s">
        <v>1863</v>
      </c>
      <c r="B191" s="110" t="s">
        <v>1147</v>
      </c>
      <c r="C191" s="110">
        <v>1.996</v>
      </c>
      <c r="D191" s="112">
        <v>42750</v>
      </c>
    </row>
    <row r="192" spans="1:4">
      <c r="A192" s="110" t="s">
        <v>1862</v>
      </c>
      <c r="B192" s="110" t="s">
        <v>1147</v>
      </c>
      <c r="C192" s="110">
        <v>1.952</v>
      </c>
      <c r="D192" s="112">
        <v>42750</v>
      </c>
    </row>
    <row r="193" spans="1:4">
      <c r="A193" s="110" t="s">
        <v>1861</v>
      </c>
      <c r="B193" s="110" t="s">
        <v>1147</v>
      </c>
      <c r="C193" s="110">
        <v>2.0059999999999998</v>
      </c>
      <c r="D193" s="112">
        <v>42750</v>
      </c>
    </row>
    <row r="194" spans="1:4">
      <c r="A194" s="110" t="s">
        <v>1860</v>
      </c>
      <c r="B194" s="110" t="s">
        <v>1147</v>
      </c>
      <c r="C194" s="110">
        <v>1.909</v>
      </c>
      <c r="D194" s="112">
        <v>42750</v>
      </c>
    </row>
    <row r="195" spans="1:4">
      <c r="A195" s="110" t="s">
        <v>1859</v>
      </c>
      <c r="B195" s="110" t="s">
        <v>1147</v>
      </c>
      <c r="C195" s="110">
        <v>2.0590000000000002</v>
      </c>
      <c r="D195" s="112">
        <v>42750</v>
      </c>
    </row>
    <row r="196" spans="1:4">
      <c r="A196" s="110" t="s">
        <v>1858</v>
      </c>
      <c r="B196" s="110" t="s">
        <v>1147</v>
      </c>
      <c r="C196" s="110">
        <v>2.008</v>
      </c>
      <c r="D196" s="112">
        <v>42750</v>
      </c>
    </row>
    <row r="197" spans="1:4">
      <c r="A197" s="110" t="s">
        <v>1857</v>
      </c>
      <c r="B197" s="110" t="s">
        <v>1147</v>
      </c>
      <c r="C197" s="110">
        <v>2.177</v>
      </c>
      <c r="D197" s="112">
        <v>42750</v>
      </c>
    </row>
    <row r="198" spans="1:4">
      <c r="A198" s="110" t="s">
        <v>1856</v>
      </c>
      <c r="B198" s="110" t="s">
        <v>1147</v>
      </c>
      <c r="C198" s="110">
        <v>2.032</v>
      </c>
      <c r="D198" s="112">
        <v>42750</v>
      </c>
    </row>
    <row r="199" spans="1:4">
      <c r="A199" s="110" t="s">
        <v>1855</v>
      </c>
      <c r="B199" s="110" t="s">
        <v>1147</v>
      </c>
      <c r="C199" s="110">
        <v>2.0619999999999998</v>
      </c>
      <c r="D199" s="112">
        <v>42750</v>
      </c>
    </row>
    <row r="200" spans="1:4">
      <c r="A200" s="110" t="s">
        <v>1854</v>
      </c>
      <c r="B200" s="110" t="s">
        <v>1147</v>
      </c>
      <c r="C200" s="110">
        <v>2.028</v>
      </c>
      <c r="D200" s="112">
        <v>42750</v>
      </c>
    </row>
    <row r="201" spans="1:4">
      <c r="A201" s="110" t="s">
        <v>1853</v>
      </c>
      <c r="B201" s="110" t="s">
        <v>1147</v>
      </c>
      <c r="C201" s="110">
        <v>2.1120000000000001</v>
      </c>
      <c r="D201" s="112">
        <v>42750</v>
      </c>
    </row>
    <row r="202" spans="1:4">
      <c r="A202" s="110" t="s">
        <v>1852</v>
      </c>
      <c r="B202" s="110" t="s">
        <v>1147</v>
      </c>
      <c r="C202" s="110">
        <v>1.931</v>
      </c>
      <c r="D202" s="112">
        <v>42750</v>
      </c>
    </row>
    <row r="203" spans="1:4">
      <c r="A203" s="110" t="s">
        <v>1851</v>
      </c>
      <c r="B203" s="110" t="s">
        <v>1147</v>
      </c>
      <c r="C203" s="110">
        <v>1.9930000000000001</v>
      </c>
      <c r="D203" s="112">
        <v>42750</v>
      </c>
    </row>
    <row r="204" spans="1:4">
      <c r="A204" s="110" t="s">
        <v>1850</v>
      </c>
      <c r="B204" s="110" t="s">
        <v>1147</v>
      </c>
      <c r="C204" s="110">
        <v>2.0150000000000001</v>
      </c>
      <c r="D204" s="112">
        <v>42750</v>
      </c>
    </row>
    <row r="205" spans="1:4">
      <c r="A205" s="110" t="s">
        <v>1849</v>
      </c>
      <c r="B205" s="110" t="s">
        <v>1147</v>
      </c>
      <c r="C205" s="110">
        <v>2.2370000000000001</v>
      </c>
      <c r="D205" s="112">
        <v>42750</v>
      </c>
    </row>
    <row r="206" spans="1:4">
      <c r="A206" s="110" t="s">
        <v>1848</v>
      </c>
      <c r="B206" s="110" t="s">
        <v>1147</v>
      </c>
      <c r="C206" s="110">
        <v>1.986</v>
      </c>
      <c r="D206" s="112">
        <v>42750</v>
      </c>
    </row>
    <row r="207" spans="1:4">
      <c r="A207" s="110" t="s">
        <v>1847</v>
      </c>
      <c r="B207" s="110" t="s">
        <v>1147</v>
      </c>
      <c r="C207" s="110">
        <v>2.9689999999999999</v>
      </c>
      <c r="D207" s="112">
        <v>42750</v>
      </c>
    </row>
    <row r="208" spans="1:4">
      <c r="A208" s="110" t="s">
        <v>1846</v>
      </c>
      <c r="B208" s="110" t="s">
        <v>1147</v>
      </c>
      <c r="C208" s="110">
        <v>2.1970000000000001</v>
      </c>
      <c r="D208" s="112">
        <v>42750</v>
      </c>
    </row>
    <row r="209" spans="1:4">
      <c r="A209" s="110" t="s">
        <v>1845</v>
      </c>
      <c r="B209" s="110" t="s">
        <v>1147</v>
      </c>
      <c r="C209" s="110">
        <v>2.1240000000000001</v>
      </c>
      <c r="D209" s="112">
        <v>42750</v>
      </c>
    </row>
    <row r="210" spans="1:4">
      <c r="A210" s="110" t="s">
        <v>1844</v>
      </c>
      <c r="B210" s="110" t="s">
        <v>1147</v>
      </c>
      <c r="C210" s="110">
        <v>2.0249999999999999</v>
      </c>
      <c r="D210" s="112">
        <v>42750</v>
      </c>
    </row>
    <row r="211" spans="1:4">
      <c r="A211" s="110" t="s">
        <v>1843</v>
      </c>
      <c r="B211" s="110" t="s">
        <v>1147</v>
      </c>
      <c r="C211" s="110">
        <v>2.1539999999999999</v>
      </c>
      <c r="D211" s="112">
        <v>42750</v>
      </c>
    </row>
    <row r="212" spans="1:4">
      <c r="A212" s="110" t="s">
        <v>1842</v>
      </c>
      <c r="B212" s="110" t="s">
        <v>1147</v>
      </c>
      <c r="C212" s="110">
        <v>2.0019999999999998</v>
      </c>
      <c r="D212" s="112">
        <v>42750</v>
      </c>
    </row>
    <row r="213" spans="1:4">
      <c r="A213" s="110" t="s">
        <v>1841</v>
      </c>
      <c r="B213" s="110" t="s">
        <v>1147</v>
      </c>
      <c r="C213" s="110">
        <v>2.1160000000000001</v>
      </c>
      <c r="D213" s="112">
        <v>42750</v>
      </c>
    </row>
    <row r="214" spans="1:4">
      <c r="A214" s="110" t="s">
        <v>1840</v>
      </c>
      <c r="B214" s="110" t="s">
        <v>1147</v>
      </c>
      <c r="C214" s="110">
        <v>1.923</v>
      </c>
      <c r="D214" s="112">
        <v>42750</v>
      </c>
    </row>
    <row r="215" spans="1:4">
      <c r="A215" s="110" t="s">
        <v>1839</v>
      </c>
      <c r="B215" s="110" t="s">
        <v>1147</v>
      </c>
      <c r="C215" s="110">
        <v>2.06</v>
      </c>
      <c r="D215" s="112">
        <v>42750</v>
      </c>
    </row>
    <row r="216" spans="1:4">
      <c r="A216" s="110" t="s">
        <v>1838</v>
      </c>
      <c r="B216" s="110" t="s">
        <v>1147</v>
      </c>
      <c r="C216" s="110">
        <v>1.9570000000000001</v>
      </c>
      <c r="D216" s="112">
        <v>42750</v>
      </c>
    </row>
    <row r="217" spans="1:4">
      <c r="A217" s="110" t="s">
        <v>1837</v>
      </c>
      <c r="B217" s="110" t="s">
        <v>1147</v>
      </c>
      <c r="C217" s="110">
        <v>2.0670000000000002</v>
      </c>
      <c r="D217" s="112">
        <v>42750</v>
      </c>
    </row>
    <row r="218" spans="1:4">
      <c r="A218" s="110" t="s">
        <v>1836</v>
      </c>
      <c r="B218" s="110" t="s">
        <v>1147</v>
      </c>
      <c r="C218" s="110">
        <v>1.9850000000000001</v>
      </c>
      <c r="D218" s="112">
        <v>42750</v>
      </c>
    </row>
    <row r="219" spans="1:4">
      <c r="A219" s="110" t="s">
        <v>1835</v>
      </c>
      <c r="B219" s="110" t="s">
        <v>1147</v>
      </c>
      <c r="C219" s="110">
        <v>2.0579999999999998</v>
      </c>
      <c r="D219" s="112">
        <v>42750</v>
      </c>
    </row>
    <row r="220" spans="1:4">
      <c r="A220" s="110" t="s">
        <v>1834</v>
      </c>
      <c r="B220" s="110" t="s">
        <v>1147</v>
      </c>
      <c r="C220" s="110">
        <v>2.1150000000000002</v>
      </c>
      <c r="D220" s="112">
        <v>42750</v>
      </c>
    </row>
    <row r="221" spans="1:4">
      <c r="A221" s="110" t="s">
        <v>1833</v>
      </c>
      <c r="B221" s="110" t="s">
        <v>1147</v>
      </c>
      <c r="C221" s="110">
        <v>1.944</v>
      </c>
      <c r="D221" s="112">
        <v>42750</v>
      </c>
    </row>
    <row r="222" spans="1:4">
      <c r="A222" s="110" t="s">
        <v>1832</v>
      </c>
      <c r="B222" s="110" t="s">
        <v>1147</v>
      </c>
      <c r="C222" s="110">
        <v>1.96</v>
      </c>
      <c r="D222" s="112">
        <v>42750</v>
      </c>
    </row>
    <row r="223" spans="1:4">
      <c r="A223" s="110" t="s">
        <v>1831</v>
      </c>
      <c r="B223" s="110" t="s">
        <v>1147</v>
      </c>
      <c r="C223" s="110">
        <v>2.0110000000000001</v>
      </c>
      <c r="D223" s="112">
        <v>42750</v>
      </c>
    </row>
    <row r="224" spans="1:4">
      <c r="A224" s="110" t="s">
        <v>1830</v>
      </c>
      <c r="B224" s="110" t="s">
        <v>1147</v>
      </c>
      <c r="C224" s="110">
        <v>2.1179999999999999</v>
      </c>
      <c r="D224" s="112">
        <v>42750</v>
      </c>
    </row>
    <row r="225" spans="1:4">
      <c r="A225" s="110" t="s">
        <v>1829</v>
      </c>
      <c r="B225" s="110" t="s">
        <v>1147</v>
      </c>
      <c r="C225" s="110">
        <v>2.004</v>
      </c>
      <c r="D225" s="112">
        <v>42750</v>
      </c>
    </row>
    <row r="226" spans="1:4">
      <c r="A226" s="110" t="s">
        <v>1828</v>
      </c>
      <c r="B226" s="110" t="s">
        <v>1147</v>
      </c>
      <c r="C226" s="110">
        <v>1.889</v>
      </c>
      <c r="D226" s="112">
        <v>42750</v>
      </c>
    </row>
    <row r="227" spans="1:4">
      <c r="A227" s="110" t="s">
        <v>1827</v>
      </c>
      <c r="B227" s="110" t="s">
        <v>1147</v>
      </c>
      <c r="C227" s="110">
        <v>1.9630000000000001</v>
      </c>
      <c r="D227" s="112">
        <v>42750</v>
      </c>
    </row>
    <row r="228" spans="1:4">
      <c r="A228" s="110" t="s">
        <v>1826</v>
      </c>
      <c r="B228" s="110" t="s">
        <v>1147</v>
      </c>
      <c r="C228" s="110">
        <v>2.0259999999999998</v>
      </c>
      <c r="D228" s="112">
        <v>42750</v>
      </c>
    </row>
    <row r="229" spans="1:4">
      <c r="A229" s="110" t="s">
        <v>1825</v>
      </c>
      <c r="B229" s="110" t="s">
        <v>1147</v>
      </c>
      <c r="C229" s="110">
        <v>2.117</v>
      </c>
      <c r="D229" s="112">
        <v>42750</v>
      </c>
    </row>
    <row r="230" spans="1:4">
      <c r="A230" s="110" t="s">
        <v>1824</v>
      </c>
      <c r="B230" s="110" t="s">
        <v>1147</v>
      </c>
      <c r="C230" s="110">
        <v>1.929</v>
      </c>
      <c r="D230" s="112">
        <v>42750</v>
      </c>
    </row>
    <row r="231" spans="1:4">
      <c r="A231" s="110" t="s">
        <v>1823</v>
      </c>
      <c r="B231" s="110" t="s">
        <v>1147</v>
      </c>
      <c r="C231" s="110">
        <v>1.986</v>
      </c>
      <c r="D231" s="112">
        <v>42750</v>
      </c>
    </row>
    <row r="232" spans="1:4">
      <c r="A232" s="110" t="s">
        <v>1822</v>
      </c>
      <c r="B232" s="110" t="s">
        <v>1147</v>
      </c>
      <c r="C232" s="110">
        <v>1.976</v>
      </c>
      <c r="D232" s="112">
        <v>42750</v>
      </c>
    </row>
    <row r="233" spans="1:4">
      <c r="A233" s="110" t="s">
        <v>1821</v>
      </c>
      <c r="B233" s="110" t="s">
        <v>1147</v>
      </c>
      <c r="C233" s="110">
        <v>2.0699999999999998</v>
      </c>
      <c r="D233" s="112">
        <v>42750</v>
      </c>
    </row>
    <row r="234" spans="1:4">
      <c r="A234" s="110" t="s">
        <v>1820</v>
      </c>
      <c r="B234" s="110" t="s">
        <v>1147</v>
      </c>
      <c r="C234" s="110">
        <v>2.0030000000000001</v>
      </c>
      <c r="D234" s="112">
        <v>42750</v>
      </c>
    </row>
    <row r="235" spans="1:4">
      <c r="A235" s="110" t="s">
        <v>1819</v>
      </c>
      <c r="B235" s="110" t="s">
        <v>1147</v>
      </c>
      <c r="C235" s="110">
        <v>2.085</v>
      </c>
      <c r="D235" s="112">
        <v>42750</v>
      </c>
    </row>
    <row r="236" spans="1:4">
      <c r="A236" s="110" t="s">
        <v>1818</v>
      </c>
      <c r="B236" s="110" t="s">
        <v>1147</v>
      </c>
      <c r="C236" s="110">
        <v>2.04</v>
      </c>
      <c r="D236" s="112">
        <v>42750</v>
      </c>
    </row>
    <row r="237" spans="1:4">
      <c r="A237" s="110" t="s">
        <v>1817</v>
      </c>
      <c r="B237" s="110" t="s">
        <v>1147</v>
      </c>
      <c r="C237" s="110">
        <v>1.9490000000000001</v>
      </c>
      <c r="D237" s="112">
        <v>42750</v>
      </c>
    </row>
    <row r="238" spans="1:4">
      <c r="A238" s="110" t="s">
        <v>1816</v>
      </c>
      <c r="B238" s="110" t="s">
        <v>1147</v>
      </c>
      <c r="C238" s="110">
        <v>2.13</v>
      </c>
      <c r="D238" s="112">
        <v>42750</v>
      </c>
    </row>
    <row r="239" spans="1:4">
      <c r="A239" s="110" t="s">
        <v>1815</v>
      </c>
      <c r="B239" s="110" t="s">
        <v>1147</v>
      </c>
      <c r="C239" s="110">
        <v>1.9259999999999999</v>
      </c>
      <c r="D239" s="112">
        <v>42750</v>
      </c>
    </row>
    <row r="240" spans="1:4">
      <c r="A240" s="110" t="s">
        <v>1814</v>
      </c>
      <c r="B240" s="110" t="s">
        <v>1147</v>
      </c>
      <c r="C240" s="110">
        <v>2.0529999999999999</v>
      </c>
      <c r="D240" s="112">
        <v>42750</v>
      </c>
    </row>
    <row r="241" spans="1:4">
      <c r="A241" s="110" t="s">
        <v>1813</v>
      </c>
      <c r="B241" s="110" t="s">
        <v>1147</v>
      </c>
      <c r="C241" s="110">
        <v>1.988</v>
      </c>
      <c r="D241" s="112">
        <v>42750</v>
      </c>
    </row>
    <row r="242" spans="1:4">
      <c r="A242" s="110" t="s">
        <v>1812</v>
      </c>
      <c r="B242" s="110" t="s">
        <v>1147</v>
      </c>
      <c r="C242" s="110">
        <v>2.1160000000000001</v>
      </c>
      <c r="D242" s="112">
        <v>42750</v>
      </c>
    </row>
    <row r="243" spans="1:4">
      <c r="A243" s="110" t="s">
        <v>1811</v>
      </c>
      <c r="B243" s="110" t="s">
        <v>1147</v>
      </c>
      <c r="C243" s="110">
        <v>2.1019999999999999</v>
      </c>
      <c r="D243" s="112">
        <v>42750</v>
      </c>
    </row>
    <row r="244" spans="1:4">
      <c r="A244" s="110" t="s">
        <v>1810</v>
      </c>
      <c r="B244" s="110" t="s">
        <v>1147</v>
      </c>
      <c r="C244" s="110">
        <v>2.117</v>
      </c>
      <c r="D244" s="112">
        <v>42750</v>
      </c>
    </row>
    <row r="245" spans="1:4">
      <c r="A245" s="110" t="s">
        <v>1809</v>
      </c>
      <c r="B245" s="110" t="s">
        <v>1147</v>
      </c>
      <c r="C245" s="110">
        <v>2.0179999999999998</v>
      </c>
      <c r="D245" s="112">
        <v>42751</v>
      </c>
    </row>
    <row r="246" spans="1:4">
      <c r="A246" s="110" t="s">
        <v>1808</v>
      </c>
      <c r="B246" s="110" t="s">
        <v>1147</v>
      </c>
      <c r="C246" s="110">
        <v>1.9470000000000001</v>
      </c>
      <c r="D246" s="112">
        <v>42751</v>
      </c>
    </row>
    <row r="247" spans="1:4">
      <c r="A247" s="110" t="s">
        <v>1807</v>
      </c>
      <c r="B247" s="110" t="s">
        <v>1147</v>
      </c>
      <c r="C247" s="110">
        <v>2.13</v>
      </c>
      <c r="D247" s="112">
        <v>42751</v>
      </c>
    </row>
    <row r="248" spans="1:4">
      <c r="A248" s="110" t="s">
        <v>1806</v>
      </c>
      <c r="B248" s="110" t="s">
        <v>1147</v>
      </c>
      <c r="C248" s="110">
        <v>2.04</v>
      </c>
      <c r="D248" s="112">
        <v>42751</v>
      </c>
    </row>
    <row r="249" spans="1:4">
      <c r="A249" s="110" t="s">
        <v>1805</v>
      </c>
      <c r="B249" s="110" t="s">
        <v>1147</v>
      </c>
      <c r="C249" s="110">
        <v>2.0150000000000001</v>
      </c>
      <c r="D249" s="112">
        <v>42751</v>
      </c>
    </row>
    <row r="250" spans="1:4">
      <c r="A250" s="110" t="s">
        <v>1804</v>
      </c>
      <c r="B250" s="110" t="s">
        <v>1147</v>
      </c>
      <c r="C250" s="110">
        <v>2.1829999999999998</v>
      </c>
      <c r="D250" s="112">
        <v>42751</v>
      </c>
    </row>
    <row r="251" spans="1:4">
      <c r="A251" s="110" t="s">
        <v>1803</v>
      </c>
      <c r="B251" s="110" t="s">
        <v>1147</v>
      </c>
      <c r="C251" s="110">
        <v>2.13</v>
      </c>
      <c r="D251" s="112">
        <v>42751</v>
      </c>
    </row>
    <row r="252" spans="1:4">
      <c r="A252" s="110" t="s">
        <v>1802</v>
      </c>
      <c r="B252" s="110" t="s">
        <v>1147</v>
      </c>
      <c r="C252" s="110">
        <v>1.9950000000000001</v>
      </c>
      <c r="D252" s="112">
        <v>42751</v>
      </c>
    </row>
    <row r="253" spans="1:4">
      <c r="A253" s="110" t="s">
        <v>1801</v>
      </c>
      <c r="B253" s="110" t="s">
        <v>1147</v>
      </c>
      <c r="C253" s="110">
        <v>2.0219999999999998</v>
      </c>
      <c r="D253" s="112">
        <v>42751</v>
      </c>
    </row>
    <row r="254" spans="1:4">
      <c r="A254" s="110" t="s">
        <v>1800</v>
      </c>
      <c r="B254" s="110" t="s">
        <v>1147</v>
      </c>
      <c r="C254" s="110">
        <v>2.0139999999999998</v>
      </c>
      <c r="D254" s="112">
        <v>42751</v>
      </c>
    </row>
    <row r="255" spans="1:4">
      <c r="A255" s="110" t="s">
        <v>1799</v>
      </c>
      <c r="B255" s="110" t="s">
        <v>1147</v>
      </c>
      <c r="C255" s="110">
        <v>2.0539999999999998</v>
      </c>
      <c r="D255" s="112">
        <v>42751</v>
      </c>
    </row>
    <row r="256" spans="1:4">
      <c r="A256" s="110" t="s">
        <v>1798</v>
      </c>
      <c r="B256" s="110" t="s">
        <v>1147</v>
      </c>
      <c r="C256" s="110">
        <v>2.0190000000000001</v>
      </c>
      <c r="D256" s="112">
        <v>42751</v>
      </c>
    </row>
    <row r="257" spans="1:4">
      <c r="A257" s="110" t="s">
        <v>1797</v>
      </c>
      <c r="B257" s="110" t="s">
        <v>1147</v>
      </c>
      <c r="C257" s="110">
        <v>2.0169999999999999</v>
      </c>
      <c r="D257" s="112">
        <v>42751</v>
      </c>
    </row>
    <row r="258" spans="1:4">
      <c r="A258" s="110" t="s">
        <v>1796</v>
      </c>
      <c r="B258" s="110" t="s">
        <v>1147</v>
      </c>
      <c r="C258" s="110">
        <v>1.917</v>
      </c>
      <c r="D258" s="112">
        <v>42751</v>
      </c>
    </row>
    <row r="259" spans="1:4">
      <c r="A259" s="110" t="s">
        <v>1795</v>
      </c>
      <c r="B259" s="110" t="s">
        <v>1147</v>
      </c>
      <c r="C259" s="110">
        <v>2.0310000000000001</v>
      </c>
      <c r="D259" s="112">
        <v>42751</v>
      </c>
    </row>
    <row r="260" spans="1:4">
      <c r="A260" s="110" t="s">
        <v>1794</v>
      </c>
      <c r="B260" s="110" t="s">
        <v>1147</v>
      </c>
      <c r="C260" s="110">
        <v>2.11</v>
      </c>
      <c r="D260" s="112">
        <v>42751</v>
      </c>
    </row>
    <row r="261" spans="1:4">
      <c r="A261" s="110" t="s">
        <v>1793</v>
      </c>
      <c r="B261" s="110" t="s">
        <v>1147</v>
      </c>
      <c r="C261" s="110">
        <v>1.9319999999999999</v>
      </c>
      <c r="D261" s="112">
        <v>42751</v>
      </c>
    </row>
    <row r="262" spans="1:4">
      <c r="A262" s="110" t="s">
        <v>1792</v>
      </c>
      <c r="B262" s="110" t="s">
        <v>1147</v>
      </c>
      <c r="C262" s="110">
        <v>2.1280000000000001</v>
      </c>
      <c r="D262" s="112">
        <v>42751</v>
      </c>
    </row>
    <row r="263" spans="1:4">
      <c r="A263" s="110" t="s">
        <v>1791</v>
      </c>
      <c r="B263" s="110" t="s">
        <v>1147</v>
      </c>
      <c r="C263" s="110">
        <v>1.913</v>
      </c>
      <c r="D263" s="112">
        <v>42751</v>
      </c>
    </row>
    <row r="264" spans="1:4">
      <c r="A264" s="110" t="s">
        <v>1790</v>
      </c>
      <c r="B264" s="110" t="s">
        <v>1147</v>
      </c>
      <c r="C264" s="110">
        <v>2.1560000000000001</v>
      </c>
      <c r="D264" s="112">
        <v>42751</v>
      </c>
    </row>
    <row r="265" spans="1:4">
      <c r="A265" s="110" t="s">
        <v>1789</v>
      </c>
      <c r="B265" s="110" t="s">
        <v>1147</v>
      </c>
      <c r="C265" s="110">
        <v>1.9850000000000001</v>
      </c>
      <c r="D265" s="112">
        <v>42751</v>
      </c>
    </row>
    <row r="266" spans="1:4">
      <c r="A266" s="110" t="s">
        <v>1788</v>
      </c>
      <c r="B266" s="110" t="s">
        <v>1147</v>
      </c>
      <c r="C266" s="110">
        <v>2.012</v>
      </c>
      <c r="D266" s="112">
        <v>42751</v>
      </c>
    </row>
    <row r="267" spans="1:4">
      <c r="A267" s="110" t="s">
        <v>1787</v>
      </c>
      <c r="B267" s="110" t="s">
        <v>1147</v>
      </c>
      <c r="C267" s="110">
        <v>2.0960000000000001</v>
      </c>
      <c r="D267" s="112">
        <v>42751</v>
      </c>
    </row>
    <row r="268" spans="1:4">
      <c r="A268" s="110" t="s">
        <v>1786</v>
      </c>
      <c r="B268" s="110" t="s">
        <v>1147</v>
      </c>
      <c r="C268" s="110">
        <v>2.1070000000000002</v>
      </c>
      <c r="D268" s="112">
        <v>42751</v>
      </c>
    </row>
    <row r="269" spans="1:4">
      <c r="A269" s="110" t="s">
        <v>1785</v>
      </c>
      <c r="B269" s="110" t="s">
        <v>1147</v>
      </c>
      <c r="C269" s="110">
        <v>1.9790000000000001</v>
      </c>
      <c r="D269" s="112">
        <v>42751</v>
      </c>
    </row>
    <row r="270" spans="1:4">
      <c r="A270" s="110" t="s">
        <v>1784</v>
      </c>
      <c r="B270" s="110" t="s">
        <v>1147</v>
      </c>
      <c r="C270" s="110">
        <v>1.9570000000000001</v>
      </c>
      <c r="D270" s="112">
        <v>42751</v>
      </c>
    </row>
    <row r="271" spans="1:4">
      <c r="A271" s="110" t="s">
        <v>1783</v>
      </c>
      <c r="B271" s="110" t="s">
        <v>1147</v>
      </c>
      <c r="C271" s="110">
        <v>2.069</v>
      </c>
      <c r="D271" s="112">
        <v>42751</v>
      </c>
    </row>
    <row r="272" spans="1:4">
      <c r="A272" s="110" t="s">
        <v>1782</v>
      </c>
      <c r="B272" s="110" t="s">
        <v>1147</v>
      </c>
      <c r="C272" s="110">
        <v>2.1389999999999998</v>
      </c>
      <c r="D272" s="112">
        <v>42751</v>
      </c>
    </row>
    <row r="273" spans="1:4">
      <c r="A273" s="110" t="s">
        <v>1781</v>
      </c>
      <c r="B273" s="110" t="s">
        <v>1147</v>
      </c>
      <c r="C273" s="110">
        <v>2.0419999999999998</v>
      </c>
      <c r="D273" s="112">
        <v>42751</v>
      </c>
    </row>
    <row r="274" spans="1:4">
      <c r="A274" s="110" t="s">
        <v>1780</v>
      </c>
      <c r="B274" s="110" t="s">
        <v>1147</v>
      </c>
      <c r="C274" s="110">
        <v>2.0139999999999998</v>
      </c>
      <c r="D274" s="112">
        <v>42751</v>
      </c>
    </row>
    <row r="275" spans="1:4">
      <c r="A275" s="110" t="s">
        <v>1779</v>
      </c>
      <c r="B275" s="110" t="s">
        <v>1147</v>
      </c>
      <c r="C275" s="110">
        <v>2.0950000000000002</v>
      </c>
      <c r="D275" s="112">
        <v>42751</v>
      </c>
    </row>
    <row r="276" spans="1:4">
      <c r="A276" s="110" t="s">
        <v>1778</v>
      </c>
      <c r="B276" s="110" t="s">
        <v>1147</v>
      </c>
      <c r="C276" s="110">
        <v>2.0649999999999999</v>
      </c>
      <c r="D276" s="112">
        <v>42751</v>
      </c>
    </row>
    <row r="277" spans="1:4">
      <c r="A277" s="110" t="s">
        <v>1777</v>
      </c>
      <c r="B277" s="110" t="s">
        <v>1147</v>
      </c>
      <c r="C277" s="110">
        <v>2.073</v>
      </c>
      <c r="D277" s="112">
        <v>42751</v>
      </c>
    </row>
    <row r="278" spans="1:4">
      <c r="A278" s="110" t="s">
        <v>1776</v>
      </c>
      <c r="B278" s="110" t="s">
        <v>1147</v>
      </c>
      <c r="C278" s="110">
        <v>2.12</v>
      </c>
      <c r="D278" s="112">
        <v>42751</v>
      </c>
    </row>
    <row r="279" spans="1:4">
      <c r="A279" s="110" t="s">
        <v>1775</v>
      </c>
      <c r="B279" s="110" t="s">
        <v>1147</v>
      </c>
      <c r="C279" s="110">
        <v>2.097</v>
      </c>
      <c r="D279" s="112">
        <v>42751</v>
      </c>
    </row>
    <row r="280" spans="1:4">
      <c r="A280" s="110" t="s">
        <v>1774</v>
      </c>
      <c r="B280" s="110" t="s">
        <v>1147</v>
      </c>
      <c r="C280" s="110">
        <v>1.966</v>
      </c>
      <c r="D280" s="112">
        <v>42751</v>
      </c>
    </row>
    <row r="281" spans="1:4">
      <c r="A281" s="110" t="s">
        <v>1773</v>
      </c>
      <c r="B281" s="110" t="s">
        <v>1147</v>
      </c>
      <c r="C281" s="110">
        <v>1.93</v>
      </c>
      <c r="D281" s="112">
        <v>42751</v>
      </c>
    </row>
    <row r="282" spans="1:4">
      <c r="A282" s="110" t="s">
        <v>1772</v>
      </c>
      <c r="B282" s="110" t="s">
        <v>1147</v>
      </c>
      <c r="C282" s="110">
        <v>2.0049999999999999</v>
      </c>
      <c r="D282" s="112">
        <v>42751</v>
      </c>
    </row>
    <row r="283" spans="1:4">
      <c r="A283" s="110" t="s">
        <v>1771</v>
      </c>
      <c r="B283" s="110" t="s">
        <v>1147</v>
      </c>
      <c r="C283" s="110">
        <v>2.0369999999999999</v>
      </c>
      <c r="D283" s="112">
        <v>42751</v>
      </c>
    </row>
    <row r="284" spans="1:4">
      <c r="A284" s="110" t="s">
        <v>1770</v>
      </c>
      <c r="B284" s="110" t="s">
        <v>1147</v>
      </c>
      <c r="C284" s="110">
        <v>1.9450000000000001</v>
      </c>
      <c r="D284" s="112">
        <v>42751</v>
      </c>
    </row>
    <row r="285" spans="1:4">
      <c r="A285" s="110" t="s">
        <v>1769</v>
      </c>
      <c r="B285" s="110" t="s">
        <v>1147</v>
      </c>
      <c r="C285" s="110">
        <v>2.0419999999999998</v>
      </c>
      <c r="D285" s="112">
        <v>42751</v>
      </c>
    </row>
    <row r="286" spans="1:4">
      <c r="A286" s="110" t="s">
        <v>1768</v>
      </c>
      <c r="B286" s="110" t="s">
        <v>1147</v>
      </c>
      <c r="C286" s="110">
        <v>1.9730000000000001</v>
      </c>
      <c r="D286" s="112">
        <v>42751</v>
      </c>
    </row>
    <row r="287" spans="1:4">
      <c r="A287" s="110" t="s">
        <v>1767</v>
      </c>
      <c r="B287" s="110" t="s">
        <v>1147</v>
      </c>
      <c r="C287" s="110">
        <v>1.8660000000000001</v>
      </c>
      <c r="D287" s="112">
        <v>42751</v>
      </c>
    </row>
    <row r="288" spans="1:4">
      <c r="A288" s="110" t="s">
        <v>1766</v>
      </c>
      <c r="B288" s="110" t="s">
        <v>1147</v>
      </c>
      <c r="C288" s="110">
        <v>2.0760000000000001</v>
      </c>
      <c r="D288" s="112">
        <v>42751</v>
      </c>
    </row>
    <row r="289" spans="1:4">
      <c r="A289" s="110" t="s">
        <v>1765</v>
      </c>
      <c r="B289" s="110" t="s">
        <v>1147</v>
      </c>
      <c r="C289" s="110">
        <v>2.1240000000000001</v>
      </c>
      <c r="D289" s="112">
        <v>42751</v>
      </c>
    </row>
    <row r="290" spans="1:4">
      <c r="A290" s="110" t="s">
        <v>1764</v>
      </c>
      <c r="B290" s="110" t="s">
        <v>1147</v>
      </c>
      <c r="C290" s="110">
        <v>2.0710000000000002</v>
      </c>
      <c r="D290" s="112">
        <v>42751</v>
      </c>
    </row>
    <row r="291" spans="1:4">
      <c r="A291" s="110" t="s">
        <v>1763</v>
      </c>
      <c r="B291" s="110" t="s">
        <v>1147</v>
      </c>
      <c r="C291" s="110">
        <v>1.9970000000000001</v>
      </c>
      <c r="D291" s="112">
        <v>42751</v>
      </c>
    </row>
    <row r="292" spans="1:4">
      <c r="A292" s="110" t="s">
        <v>1762</v>
      </c>
      <c r="B292" s="110" t="s">
        <v>1147</v>
      </c>
      <c r="C292" s="110">
        <v>1.9830000000000001</v>
      </c>
      <c r="D292" s="112">
        <v>42751</v>
      </c>
    </row>
    <row r="293" spans="1:4">
      <c r="A293" s="110" t="s">
        <v>1761</v>
      </c>
      <c r="B293" s="110" t="s">
        <v>1147</v>
      </c>
      <c r="C293" s="110">
        <v>2.093</v>
      </c>
      <c r="D293" s="112">
        <v>42751</v>
      </c>
    </row>
    <row r="294" spans="1:4">
      <c r="A294" s="110" t="s">
        <v>1760</v>
      </c>
      <c r="B294" s="110" t="s">
        <v>1147</v>
      </c>
      <c r="C294" s="110">
        <v>2.0539999999999998</v>
      </c>
      <c r="D294" s="112">
        <v>42751</v>
      </c>
    </row>
    <row r="295" spans="1:4">
      <c r="A295" s="110" t="s">
        <v>1759</v>
      </c>
      <c r="B295" s="110" t="s">
        <v>1147</v>
      </c>
      <c r="C295" s="110">
        <v>2.0880000000000001</v>
      </c>
      <c r="D295" s="112">
        <v>42751</v>
      </c>
    </row>
    <row r="296" spans="1:4">
      <c r="A296" s="110" t="s">
        <v>1758</v>
      </c>
      <c r="B296" s="110" t="s">
        <v>1147</v>
      </c>
      <c r="C296" s="110">
        <v>2.0289999999999999</v>
      </c>
      <c r="D296" s="112">
        <v>42751</v>
      </c>
    </row>
    <row r="297" spans="1:4">
      <c r="A297" s="110" t="s">
        <v>1757</v>
      </c>
      <c r="B297" s="110" t="s">
        <v>1147</v>
      </c>
      <c r="C297" s="110">
        <v>2.0699999999999998</v>
      </c>
      <c r="D297" s="112">
        <v>42751</v>
      </c>
    </row>
    <row r="298" spans="1:4">
      <c r="A298" s="110" t="s">
        <v>1756</v>
      </c>
      <c r="B298" s="110" t="s">
        <v>1147</v>
      </c>
      <c r="C298" s="110">
        <v>1.994</v>
      </c>
      <c r="D298" s="112">
        <v>42751</v>
      </c>
    </row>
    <row r="299" spans="1:4">
      <c r="A299" s="110" t="s">
        <v>1755</v>
      </c>
      <c r="B299" s="110" t="s">
        <v>1147</v>
      </c>
      <c r="C299" s="110">
        <v>2.0379999999999998</v>
      </c>
      <c r="D299" s="112">
        <v>42751</v>
      </c>
    </row>
    <row r="300" spans="1:4">
      <c r="A300" s="110" t="s">
        <v>1754</v>
      </c>
      <c r="B300" s="110" t="s">
        <v>1147</v>
      </c>
      <c r="C300" s="110">
        <v>2.0539999999999998</v>
      </c>
      <c r="D300" s="112">
        <v>42751</v>
      </c>
    </row>
    <row r="301" spans="1:4">
      <c r="A301" s="110" t="s">
        <v>1753</v>
      </c>
      <c r="B301" s="110" t="s">
        <v>1147</v>
      </c>
      <c r="C301" s="110">
        <v>1.9419999999999999</v>
      </c>
      <c r="D301" s="112">
        <v>42751</v>
      </c>
    </row>
    <row r="302" spans="1:4">
      <c r="A302" s="110" t="s">
        <v>1752</v>
      </c>
      <c r="B302" s="110" t="s">
        <v>1147</v>
      </c>
      <c r="C302" s="110">
        <v>2.0550000000000002</v>
      </c>
      <c r="D302" s="112">
        <v>42751</v>
      </c>
    </row>
    <row r="303" spans="1:4">
      <c r="A303" s="110" t="s">
        <v>1751</v>
      </c>
      <c r="B303" s="110" t="s">
        <v>1147</v>
      </c>
      <c r="C303" s="110">
        <v>2.0110000000000001</v>
      </c>
      <c r="D303" s="112">
        <v>42751</v>
      </c>
    </row>
    <row r="304" spans="1:4">
      <c r="A304" s="110" t="s">
        <v>1750</v>
      </c>
      <c r="B304" s="110" t="s">
        <v>1147</v>
      </c>
      <c r="C304" s="110">
        <v>2.052</v>
      </c>
      <c r="D304" s="112">
        <v>42751</v>
      </c>
    </row>
    <row r="305" spans="1:4">
      <c r="A305" s="110" t="s">
        <v>1749</v>
      </c>
      <c r="B305" s="110" t="s">
        <v>1147</v>
      </c>
      <c r="C305" s="110">
        <v>1.9379999999999999</v>
      </c>
      <c r="D305" s="112">
        <v>42751</v>
      </c>
    </row>
    <row r="306" spans="1:4">
      <c r="A306" s="110" t="s">
        <v>1748</v>
      </c>
      <c r="B306" s="110" t="s">
        <v>1147</v>
      </c>
      <c r="C306" s="110">
        <v>0.93100000000000005</v>
      </c>
      <c r="D306" s="112">
        <v>42751</v>
      </c>
    </row>
    <row r="307" spans="1:4">
      <c r="A307" s="110" t="s">
        <v>1747</v>
      </c>
      <c r="B307" s="110" t="s">
        <v>1147</v>
      </c>
      <c r="C307" s="110">
        <v>1.9850000000000001</v>
      </c>
      <c r="D307" s="112">
        <v>42751</v>
      </c>
    </row>
    <row r="308" spans="1:4">
      <c r="A308" s="110" t="s">
        <v>1746</v>
      </c>
      <c r="B308" s="110" t="s">
        <v>1147</v>
      </c>
      <c r="C308" s="110">
        <v>1.9490000000000001</v>
      </c>
      <c r="D308" s="112">
        <v>42751</v>
      </c>
    </row>
    <row r="309" spans="1:4">
      <c r="A309" s="110" t="s">
        <v>1745</v>
      </c>
      <c r="B309" s="110" t="s">
        <v>1147</v>
      </c>
      <c r="C309" s="110">
        <v>2.0960000000000001</v>
      </c>
      <c r="D309" s="112">
        <v>42751</v>
      </c>
    </row>
    <row r="310" spans="1:4">
      <c r="A310" s="110" t="s">
        <v>1744</v>
      </c>
      <c r="B310" s="110" t="s">
        <v>1147</v>
      </c>
      <c r="C310" s="110">
        <v>2.048</v>
      </c>
      <c r="D310" s="112">
        <v>42751</v>
      </c>
    </row>
    <row r="311" spans="1:4">
      <c r="A311" s="110" t="s">
        <v>1743</v>
      </c>
      <c r="B311" s="110" t="s">
        <v>1147</v>
      </c>
      <c r="C311" s="110">
        <v>1.9810000000000001</v>
      </c>
      <c r="D311" s="112">
        <v>42751</v>
      </c>
    </row>
    <row r="312" spans="1:4">
      <c r="A312" s="110" t="s">
        <v>1742</v>
      </c>
      <c r="B312" s="110" t="s">
        <v>1147</v>
      </c>
      <c r="C312" s="110">
        <v>1.982</v>
      </c>
      <c r="D312" s="112">
        <v>42751</v>
      </c>
    </row>
    <row r="313" spans="1:4">
      <c r="A313" s="110" t="s">
        <v>1741</v>
      </c>
      <c r="B313" s="110" t="s">
        <v>1147</v>
      </c>
      <c r="C313" s="110">
        <v>2.0579999999999998</v>
      </c>
      <c r="D313" s="112">
        <v>42751</v>
      </c>
    </row>
    <row r="314" spans="1:4">
      <c r="A314" s="110" t="s">
        <v>1740</v>
      </c>
      <c r="B314" s="110" t="s">
        <v>1147</v>
      </c>
      <c r="C314" s="110">
        <v>2.0459999999999998</v>
      </c>
      <c r="D314" s="112">
        <v>42751</v>
      </c>
    </row>
    <row r="315" spans="1:4">
      <c r="A315" s="110" t="s">
        <v>1739</v>
      </c>
      <c r="B315" s="110" t="s">
        <v>1147</v>
      </c>
      <c r="C315" s="110">
        <v>1.98</v>
      </c>
      <c r="D315" s="112">
        <v>42751</v>
      </c>
    </row>
    <row r="316" spans="1:4">
      <c r="A316" s="110" t="s">
        <v>1738</v>
      </c>
      <c r="B316" s="110" t="s">
        <v>1147</v>
      </c>
      <c r="C316" s="110">
        <v>2.0179999999999998</v>
      </c>
      <c r="D316" s="112">
        <v>42751</v>
      </c>
    </row>
    <row r="317" spans="1:4">
      <c r="A317" s="110" t="s">
        <v>1737</v>
      </c>
      <c r="B317" s="110" t="s">
        <v>1147</v>
      </c>
      <c r="C317" s="110">
        <v>1.923</v>
      </c>
      <c r="D317" s="112">
        <v>42751</v>
      </c>
    </row>
    <row r="318" spans="1:4">
      <c r="A318" s="110" t="s">
        <v>1736</v>
      </c>
      <c r="B318" s="110" t="s">
        <v>1147</v>
      </c>
      <c r="C318" s="110">
        <v>2.0430000000000001</v>
      </c>
      <c r="D318" s="112">
        <v>42751</v>
      </c>
    </row>
    <row r="319" spans="1:4">
      <c r="A319" s="110" t="s">
        <v>1735</v>
      </c>
      <c r="B319" s="110" t="s">
        <v>1147</v>
      </c>
      <c r="C319" s="110">
        <v>2.0960000000000001</v>
      </c>
      <c r="D319" s="112">
        <v>42751</v>
      </c>
    </row>
    <row r="320" spans="1:4">
      <c r="A320" s="110" t="s">
        <v>1734</v>
      </c>
      <c r="B320" s="110" t="s">
        <v>1147</v>
      </c>
      <c r="C320" s="110">
        <v>2.0579999999999998</v>
      </c>
      <c r="D320" s="112">
        <v>42751</v>
      </c>
    </row>
    <row r="321" spans="1:4">
      <c r="A321" s="110" t="s">
        <v>1733</v>
      </c>
      <c r="B321" s="110" t="s">
        <v>1147</v>
      </c>
      <c r="C321" s="110">
        <v>2.073</v>
      </c>
      <c r="D321" s="112">
        <v>42751</v>
      </c>
    </row>
    <row r="322" spans="1:4">
      <c r="A322" s="110" t="s">
        <v>1732</v>
      </c>
      <c r="B322" s="110" t="s">
        <v>1147</v>
      </c>
      <c r="C322" s="110">
        <v>1.929</v>
      </c>
      <c r="D322" s="112">
        <v>42751</v>
      </c>
    </row>
    <row r="323" spans="1:4">
      <c r="A323" s="110" t="s">
        <v>1731</v>
      </c>
      <c r="B323" s="110" t="s">
        <v>1147</v>
      </c>
      <c r="C323" s="110">
        <v>2.012</v>
      </c>
      <c r="D323" s="112">
        <v>42751</v>
      </c>
    </row>
    <row r="324" spans="1:4">
      <c r="A324" s="110" t="s">
        <v>1730</v>
      </c>
      <c r="B324" s="110" t="s">
        <v>1147</v>
      </c>
      <c r="C324" s="110">
        <v>2.044</v>
      </c>
      <c r="D324" s="112">
        <v>42751</v>
      </c>
    </row>
    <row r="325" spans="1:4">
      <c r="A325" s="110" t="s">
        <v>1729</v>
      </c>
      <c r="B325" s="110" t="s">
        <v>1147</v>
      </c>
      <c r="C325" s="110">
        <v>1.9179999999999999</v>
      </c>
      <c r="D325" s="112">
        <v>42751</v>
      </c>
    </row>
    <row r="326" spans="1:4">
      <c r="A326" s="110" t="s">
        <v>1728</v>
      </c>
      <c r="B326" s="110" t="s">
        <v>1147</v>
      </c>
      <c r="C326" s="110">
        <v>2.0169999999999999</v>
      </c>
      <c r="D326" s="112">
        <v>42751</v>
      </c>
    </row>
    <row r="327" spans="1:4">
      <c r="A327" s="110" t="s">
        <v>1727</v>
      </c>
      <c r="B327" s="110" t="s">
        <v>1147</v>
      </c>
      <c r="C327" s="110">
        <v>1.97</v>
      </c>
      <c r="D327" s="112">
        <v>42751</v>
      </c>
    </row>
    <row r="328" spans="1:4">
      <c r="A328" s="110" t="s">
        <v>1726</v>
      </c>
      <c r="B328" s="110" t="s">
        <v>1147</v>
      </c>
      <c r="C328" s="110">
        <v>2.0430000000000001</v>
      </c>
      <c r="D328" s="112">
        <v>42751</v>
      </c>
    </row>
    <row r="329" spans="1:4">
      <c r="A329" s="110" t="s">
        <v>1725</v>
      </c>
      <c r="B329" s="110" t="s">
        <v>1147</v>
      </c>
      <c r="C329" s="110">
        <v>1.8959999999999999</v>
      </c>
      <c r="D329" s="112">
        <v>42751</v>
      </c>
    </row>
    <row r="330" spans="1:4">
      <c r="A330" s="110" t="s">
        <v>1724</v>
      </c>
      <c r="B330" s="110" t="s">
        <v>1147</v>
      </c>
      <c r="C330" s="110">
        <v>2.04</v>
      </c>
      <c r="D330" s="112">
        <v>42751</v>
      </c>
    </row>
    <row r="331" spans="1:4">
      <c r="A331" s="110" t="s">
        <v>1723</v>
      </c>
      <c r="B331" s="110" t="s">
        <v>1147</v>
      </c>
      <c r="C331" s="110">
        <v>2.105</v>
      </c>
      <c r="D331" s="112">
        <v>42751</v>
      </c>
    </row>
    <row r="332" spans="1:4">
      <c r="A332" s="110" t="s">
        <v>1722</v>
      </c>
      <c r="B332" s="110" t="s">
        <v>1147</v>
      </c>
      <c r="C332" s="110">
        <v>2.1309999999999998</v>
      </c>
      <c r="D332" s="112">
        <v>42751</v>
      </c>
    </row>
    <row r="333" spans="1:4">
      <c r="A333" s="110" t="s">
        <v>1721</v>
      </c>
      <c r="B333" s="110" t="s">
        <v>1147</v>
      </c>
      <c r="C333" s="110">
        <v>1.9550000000000001</v>
      </c>
      <c r="D333" s="112">
        <v>42751</v>
      </c>
    </row>
    <row r="334" spans="1:4">
      <c r="A334" s="110" t="s">
        <v>1720</v>
      </c>
      <c r="B334" s="110" t="s">
        <v>1147</v>
      </c>
      <c r="C334" s="110">
        <v>2.1379999999999999</v>
      </c>
      <c r="D334" s="112">
        <v>42751</v>
      </c>
    </row>
    <row r="335" spans="1:4">
      <c r="A335" s="110" t="s">
        <v>1719</v>
      </c>
      <c r="B335" s="110" t="s">
        <v>1147</v>
      </c>
      <c r="C335" s="110">
        <v>2.0550000000000002</v>
      </c>
      <c r="D335" s="112">
        <v>42751</v>
      </c>
    </row>
    <row r="336" spans="1:4">
      <c r="A336" s="110" t="s">
        <v>1718</v>
      </c>
      <c r="B336" s="110" t="s">
        <v>1147</v>
      </c>
      <c r="C336" s="110">
        <v>2.121</v>
      </c>
      <c r="D336" s="112">
        <v>42751</v>
      </c>
    </row>
    <row r="337" spans="1:4">
      <c r="A337" s="110" t="s">
        <v>1717</v>
      </c>
      <c r="B337" s="110" t="s">
        <v>1147</v>
      </c>
      <c r="C337" s="110">
        <v>2.0990000000000002</v>
      </c>
      <c r="D337" s="112">
        <v>42751</v>
      </c>
    </row>
    <row r="338" spans="1:4">
      <c r="A338" s="110" t="s">
        <v>1716</v>
      </c>
      <c r="B338" s="110" t="s">
        <v>1147</v>
      </c>
      <c r="C338" s="110">
        <v>2.0710000000000002</v>
      </c>
      <c r="D338" s="112">
        <v>42751</v>
      </c>
    </row>
    <row r="339" spans="1:4">
      <c r="A339" s="110" t="s">
        <v>1715</v>
      </c>
      <c r="B339" s="110" t="s">
        <v>1147</v>
      </c>
      <c r="C339" s="110">
        <v>1.956</v>
      </c>
      <c r="D339" s="112">
        <v>42751</v>
      </c>
    </row>
    <row r="340" spans="1:4">
      <c r="A340" s="110" t="s">
        <v>1714</v>
      </c>
      <c r="B340" s="110" t="s">
        <v>1147</v>
      </c>
      <c r="C340" s="110">
        <v>1.9950000000000001</v>
      </c>
      <c r="D340" s="112">
        <v>42751</v>
      </c>
    </row>
    <row r="341" spans="1:4">
      <c r="A341" s="110" t="s">
        <v>1713</v>
      </c>
      <c r="B341" s="110" t="s">
        <v>1147</v>
      </c>
      <c r="C341" s="110">
        <v>1.8680000000000001</v>
      </c>
      <c r="D341" s="112">
        <v>42751</v>
      </c>
    </row>
    <row r="342" spans="1:4">
      <c r="A342" s="110" t="s">
        <v>1712</v>
      </c>
      <c r="B342" s="110" t="s">
        <v>1147</v>
      </c>
      <c r="C342" s="110">
        <v>1.946</v>
      </c>
      <c r="D342" s="112">
        <v>42751</v>
      </c>
    </row>
    <row r="343" spans="1:4">
      <c r="A343" s="110" t="s">
        <v>1711</v>
      </c>
      <c r="B343" s="110" t="s">
        <v>1147</v>
      </c>
      <c r="C343" s="110">
        <v>2.0219999999999998</v>
      </c>
      <c r="D343" s="112">
        <v>42751</v>
      </c>
    </row>
    <row r="344" spans="1:4">
      <c r="A344" s="110" t="s">
        <v>1710</v>
      </c>
      <c r="B344" s="110" t="s">
        <v>1147</v>
      </c>
      <c r="C344" s="110">
        <v>2.0150000000000001</v>
      </c>
      <c r="D344" s="112">
        <v>42751</v>
      </c>
    </row>
    <row r="345" spans="1:4">
      <c r="A345" s="110" t="s">
        <v>1709</v>
      </c>
      <c r="B345" s="110" t="s">
        <v>1147</v>
      </c>
      <c r="C345" s="110">
        <v>1.954</v>
      </c>
      <c r="D345" s="112">
        <v>42751</v>
      </c>
    </row>
    <row r="346" spans="1:4">
      <c r="A346" s="110" t="s">
        <v>1708</v>
      </c>
      <c r="B346" s="110" t="s">
        <v>1147</v>
      </c>
      <c r="C346" s="110">
        <v>1.9039999999999999</v>
      </c>
      <c r="D346" s="112">
        <v>42751</v>
      </c>
    </row>
    <row r="347" spans="1:4">
      <c r="A347" s="110" t="s">
        <v>1707</v>
      </c>
      <c r="B347" s="110" t="s">
        <v>1147</v>
      </c>
      <c r="C347" s="110">
        <v>1.8340000000000001</v>
      </c>
      <c r="D347" s="112">
        <v>42751</v>
      </c>
    </row>
    <row r="348" spans="1:4">
      <c r="A348" s="110" t="s">
        <v>1706</v>
      </c>
      <c r="B348" s="110" t="s">
        <v>1147</v>
      </c>
      <c r="C348" s="110">
        <v>1.93</v>
      </c>
      <c r="D348" s="112">
        <v>42751</v>
      </c>
    </row>
    <row r="349" spans="1:4">
      <c r="A349" s="110" t="s">
        <v>1705</v>
      </c>
      <c r="B349" s="110" t="s">
        <v>1147</v>
      </c>
      <c r="C349" s="110">
        <v>2.012</v>
      </c>
      <c r="D349" s="112">
        <v>42751</v>
      </c>
    </row>
    <row r="350" spans="1:4">
      <c r="A350" s="110" t="s">
        <v>1704</v>
      </c>
      <c r="B350" s="110" t="s">
        <v>1147</v>
      </c>
      <c r="C350" s="110">
        <v>2.012</v>
      </c>
      <c r="D350" s="112">
        <v>42751</v>
      </c>
    </row>
    <row r="351" spans="1:4">
      <c r="A351" s="110" t="s">
        <v>1703</v>
      </c>
      <c r="B351" s="110" t="s">
        <v>1147</v>
      </c>
      <c r="C351" s="110">
        <v>1.8919999999999999</v>
      </c>
      <c r="D351" s="112">
        <v>42751</v>
      </c>
    </row>
    <row r="352" spans="1:4">
      <c r="A352" s="110" t="s">
        <v>1702</v>
      </c>
      <c r="B352" s="110" t="s">
        <v>1147</v>
      </c>
      <c r="C352" s="110">
        <v>2.0139999999999998</v>
      </c>
      <c r="D352" s="112">
        <v>42751</v>
      </c>
    </row>
    <row r="353" spans="1:4">
      <c r="A353" s="110" t="s">
        <v>1701</v>
      </c>
      <c r="B353" s="110" t="s">
        <v>1147</v>
      </c>
      <c r="C353" s="110">
        <v>1.9450000000000001</v>
      </c>
      <c r="D353" s="112">
        <v>42751</v>
      </c>
    </row>
    <row r="354" spans="1:4">
      <c r="A354" s="110" t="s">
        <v>1700</v>
      </c>
      <c r="B354" s="110" t="s">
        <v>1147</v>
      </c>
      <c r="C354" s="110">
        <v>2.0640000000000001</v>
      </c>
      <c r="D354" s="112">
        <v>42751</v>
      </c>
    </row>
    <row r="355" spans="1:4">
      <c r="A355" s="110" t="s">
        <v>1699</v>
      </c>
      <c r="B355" s="110" t="s">
        <v>1147</v>
      </c>
      <c r="C355" s="110">
        <v>1.909</v>
      </c>
      <c r="D355" s="112">
        <v>42751</v>
      </c>
    </row>
    <row r="356" spans="1:4">
      <c r="A356" s="110" t="s">
        <v>1698</v>
      </c>
      <c r="B356" s="110" t="s">
        <v>1147</v>
      </c>
      <c r="C356" s="110">
        <v>1.9490000000000001</v>
      </c>
      <c r="D356" s="112">
        <v>42751</v>
      </c>
    </row>
    <row r="357" spans="1:4">
      <c r="A357" s="110" t="s">
        <v>1697</v>
      </c>
      <c r="B357" s="110" t="s">
        <v>1147</v>
      </c>
      <c r="C357" s="110">
        <v>1.988</v>
      </c>
      <c r="D357" s="112">
        <v>42751</v>
      </c>
    </row>
    <row r="358" spans="1:4">
      <c r="A358" s="110" t="s">
        <v>1696</v>
      </c>
      <c r="B358" s="110" t="s">
        <v>1147</v>
      </c>
      <c r="C358" s="110">
        <v>1.835</v>
      </c>
      <c r="D358" s="112">
        <v>42751</v>
      </c>
    </row>
    <row r="359" spans="1:4">
      <c r="A359" s="110" t="s">
        <v>1695</v>
      </c>
      <c r="B359" s="110" t="s">
        <v>1147</v>
      </c>
      <c r="C359" s="110">
        <v>2.0489999999999999</v>
      </c>
      <c r="D359" s="112">
        <v>42751</v>
      </c>
    </row>
    <row r="360" spans="1:4">
      <c r="A360" s="110" t="s">
        <v>1694</v>
      </c>
      <c r="B360" s="110" t="s">
        <v>1147</v>
      </c>
      <c r="C360" s="110">
        <v>1.9870000000000001</v>
      </c>
      <c r="D360" s="112">
        <v>42751</v>
      </c>
    </row>
    <row r="361" spans="1:4">
      <c r="A361" s="110" t="s">
        <v>1693</v>
      </c>
      <c r="B361" s="110" t="s">
        <v>1147</v>
      </c>
      <c r="C361" s="110">
        <v>1.996</v>
      </c>
      <c r="D361" s="112">
        <v>42751</v>
      </c>
    </row>
    <row r="362" spans="1:4">
      <c r="A362" s="110" t="s">
        <v>1692</v>
      </c>
      <c r="B362" s="110" t="s">
        <v>1147</v>
      </c>
      <c r="C362" s="110">
        <v>2.016</v>
      </c>
      <c r="D362" s="112">
        <v>42751</v>
      </c>
    </row>
    <row r="363" spans="1:4">
      <c r="A363" s="110" t="s">
        <v>1691</v>
      </c>
      <c r="B363" s="110" t="s">
        <v>1147</v>
      </c>
      <c r="C363" s="110">
        <v>1.9790000000000001</v>
      </c>
      <c r="D363" s="112">
        <v>42751</v>
      </c>
    </row>
    <row r="364" spans="1:4">
      <c r="A364" s="110" t="s">
        <v>1690</v>
      </c>
      <c r="B364" s="110" t="s">
        <v>1147</v>
      </c>
      <c r="C364" s="110">
        <v>2.0099999999999998</v>
      </c>
      <c r="D364" s="112">
        <v>42751</v>
      </c>
    </row>
    <row r="365" spans="1:4">
      <c r="A365" s="110" t="s">
        <v>1689</v>
      </c>
      <c r="B365" s="110" t="s">
        <v>1147</v>
      </c>
      <c r="C365" s="110">
        <v>2.0590000000000002</v>
      </c>
      <c r="D365" s="112">
        <v>42751</v>
      </c>
    </row>
    <row r="366" spans="1:4">
      <c r="A366" s="110" t="s">
        <v>1688</v>
      </c>
      <c r="B366" s="110" t="s">
        <v>1147</v>
      </c>
      <c r="C366" s="110">
        <v>2.0659999999999998</v>
      </c>
      <c r="D366" s="112">
        <v>42751</v>
      </c>
    </row>
    <row r="367" spans="1:4">
      <c r="A367" s="110" t="s">
        <v>1687</v>
      </c>
      <c r="B367" s="110" t="s">
        <v>1147</v>
      </c>
      <c r="C367" s="110">
        <v>2.02</v>
      </c>
      <c r="D367" s="112">
        <v>42751</v>
      </c>
    </row>
    <row r="368" spans="1:4">
      <c r="A368" s="110" t="s">
        <v>1686</v>
      </c>
      <c r="B368" s="110" t="s">
        <v>1147</v>
      </c>
      <c r="C368" s="110">
        <v>2.0569999999999999</v>
      </c>
      <c r="D368" s="112">
        <v>42751</v>
      </c>
    </row>
    <row r="369" spans="1:4">
      <c r="A369" s="110" t="s">
        <v>1685</v>
      </c>
      <c r="B369" s="110" t="s">
        <v>1147</v>
      </c>
      <c r="C369" s="110">
        <v>1.954</v>
      </c>
      <c r="D369" s="112">
        <v>42751</v>
      </c>
    </row>
    <row r="370" spans="1:4">
      <c r="A370" s="110" t="s">
        <v>1684</v>
      </c>
      <c r="B370" s="110" t="s">
        <v>1147</v>
      </c>
      <c r="C370" s="110">
        <v>2.1070000000000002</v>
      </c>
      <c r="D370" s="112">
        <v>42751</v>
      </c>
    </row>
    <row r="371" spans="1:4">
      <c r="A371" s="110" t="s">
        <v>1683</v>
      </c>
      <c r="B371" s="110" t="s">
        <v>1147</v>
      </c>
      <c r="C371" s="110">
        <v>2.0990000000000002</v>
      </c>
      <c r="D371" s="112">
        <v>42751</v>
      </c>
    </row>
    <row r="372" spans="1:4">
      <c r="A372" s="110" t="s">
        <v>1682</v>
      </c>
      <c r="B372" s="110" t="s">
        <v>1147</v>
      </c>
      <c r="C372" s="110">
        <v>2.1709999999999998</v>
      </c>
      <c r="D372" s="112">
        <v>42751</v>
      </c>
    </row>
    <row r="373" spans="1:4">
      <c r="A373" s="110" t="s">
        <v>1681</v>
      </c>
      <c r="B373" s="110" t="s">
        <v>1147</v>
      </c>
      <c r="C373" s="110">
        <v>2.1219999999999999</v>
      </c>
      <c r="D373" s="112">
        <v>42751</v>
      </c>
    </row>
    <row r="374" spans="1:4">
      <c r="A374" s="110" t="s">
        <v>1680</v>
      </c>
      <c r="B374" s="110" t="s">
        <v>1147</v>
      </c>
      <c r="C374" s="110">
        <v>2.0619999999999998</v>
      </c>
      <c r="D374" s="112">
        <v>42751</v>
      </c>
    </row>
    <row r="375" spans="1:4">
      <c r="A375" s="110" t="s">
        <v>1679</v>
      </c>
      <c r="B375" s="110" t="s">
        <v>1147</v>
      </c>
      <c r="C375" s="110">
        <v>2.06</v>
      </c>
      <c r="D375" s="112">
        <v>42751</v>
      </c>
    </row>
    <row r="376" spans="1:4">
      <c r="A376" s="110" t="s">
        <v>1678</v>
      </c>
      <c r="B376" s="110" t="s">
        <v>1147</v>
      </c>
      <c r="C376" s="110">
        <v>2.1539999999999999</v>
      </c>
      <c r="D376" s="112">
        <v>42751</v>
      </c>
    </row>
    <row r="377" spans="1:4">
      <c r="A377" s="110" t="s">
        <v>1677</v>
      </c>
      <c r="B377" s="110" t="s">
        <v>1147</v>
      </c>
      <c r="C377" s="110">
        <v>2.1</v>
      </c>
      <c r="D377" s="112">
        <v>42751</v>
      </c>
    </row>
    <row r="378" spans="1:4">
      <c r="A378" s="110" t="s">
        <v>1676</v>
      </c>
      <c r="B378" s="110" t="s">
        <v>1147</v>
      </c>
      <c r="C378" s="110">
        <v>2.024</v>
      </c>
      <c r="D378" s="112">
        <v>42751</v>
      </c>
    </row>
    <row r="379" spans="1:4">
      <c r="A379" s="110" t="s">
        <v>1675</v>
      </c>
      <c r="B379" s="110" t="s">
        <v>1147</v>
      </c>
      <c r="C379" s="110">
        <v>1.9810000000000001</v>
      </c>
      <c r="D379" s="112">
        <v>42751</v>
      </c>
    </row>
    <row r="380" spans="1:4">
      <c r="A380" s="110" t="s">
        <v>1674</v>
      </c>
      <c r="B380" s="110" t="s">
        <v>1147</v>
      </c>
      <c r="C380" s="110">
        <v>2.0329999999999999</v>
      </c>
      <c r="D380" s="112">
        <v>42751</v>
      </c>
    </row>
    <row r="381" spans="1:4">
      <c r="A381" s="110" t="s">
        <v>1673</v>
      </c>
      <c r="B381" s="110" t="s">
        <v>1147</v>
      </c>
      <c r="C381" s="110">
        <v>2.1030000000000002</v>
      </c>
      <c r="D381" s="112">
        <v>42751</v>
      </c>
    </row>
    <row r="382" spans="1:4">
      <c r="A382" s="110" t="s">
        <v>1672</v>
      </c>
      <c r="B382" s="110" t="s">
        <v>1147</v>
      </c>
      <c r="C382" s="110">
        <v>2.0830000000000002</v>
      </c>
      <c r="D382" s="112">
        <v>42751</v>
      </c>
    </row>
    <row r="383" spans="1:4">
      <c r="A383" s="110" t="s">
        <v>1671</v>
      </c>
      <c r="B383" s="110" t="s">
        <v>1147</v>
      </c>
      <c r="C383" s="110">
        <v>2.052</v>
      </c>
      <c r="D383" s="112">
        <v>42751</v>
      </c>
    </row>
    <row r="384" spans="1:4">
      <c r="A384" s="110" t="s">
        <v>1670</v>
      </c>
      <c r="B384" s="110" t="s">
        <v>1147</v>
      </c>
      <c r="C384" s="110">
        <v>2.0619999999999998</v>
      </c>
      <c r="D384" s="112">
        <v>42751</v>
      </c>
    </row>
    <row r="385" spans="1:4">
      <c r="A385" s="110" t="s">
        <v>1669</v>
      </c>
      <c r="B385" s="110" t="s">
        <v>1147</v>
      </c>
      <c r="C385" s="110">
        <v>1.8919999999999999</v>
      </c>
      <c r="D385" s="112">
        <v>42751</v>
      </c>
    </row>
    <row r="386" spans="1:4">
      <c r="A386" s="110" t="s">
        <v>1668</v>
      </c>
      <c r="B386" s="110" t="s">
        <v>1147</v>
      </c>
      <c r="C386" s="110">
        <v>2.0960000000000001</v>
      </c>
      <c r="D386" s="112">
        <v>42751</v>
      </c>
    </row>
    <row r="387" spans="1:4">
      <c r="A387" s="110" t="s">
        <v>1667</v>
      </c>
      <c r="B387" s="110" t="s">
        <v>1147</v>
      </c>
      <c r="C387" s="110">
        <v>1.956</v>
      </c>
      <c r="D387" s="112">
        <v>42751</v>
      </c>
    </row>
    <row r="388" spans="1:4">
      <c r="A388" s="110" t="s">
        <v>1666</v>
      </c>
      <c r="B388" s="110" t="s">
        <v>1147</v>
      </c>
      <c r="C388" s="110">
        <v>2.0499999999999998</v>
      </c>
      <c r="D388" s="112">
        <v>42751</v>
      </c>
    </row>
    <row r="389" spans="1:4">
      <c r="A389" s="110" t="s">
        <v>1665</v>
      </c>
      <c r="B389" s="110" t="s">
        <v>1147</v>
      </c>
      <c r="C389" s="110">
        <v>1.962</v>
      </c>
      <c r="D389" s="112">
        <v>42751</v>
      </c>
    </row>
    <row r="390" spans="1:4">
      <c r="A390" s="110" t="s">
        <v>1664</v>
      </c>
      <c r="B390" s="110" t="s">
        <v>1147</v>
      </c>
      <c r="C390" s="110">
        <v>1.897</v>
      </c>
      <c r="D390" s="112">
        <v>42751</v>
      </c>
    </row>
    <row r="391" spans="1:4">
      <c r="A391" s="110" t="s">
        <v>1663</v>
      </c>
      <c r="B391" s="110" t="s">
        <v>1147</v>
      </c>
      <c r="C391" s="110">
        <v>2.0139999999999998</v>
      </c>
      <c r="D391" s="112">
        <v>42751</v>
      </c>
    </row>
    <row r="392" spans="1:4">
      <c r="A392" s="110" t="s">
        <v>1662</v>
      </c>
      <c r="B392" s="110" t="s">
        <v>1147</v>
      </c>
      <c r="C392" s="110">
        <v>2.024</v>
      </c>
      <c r="D392" s="112">
        <v>42751</v>
      </c>
    </row>
    <row r="393" spans="1:4">
      <c r="A393" s="110" t="s">
        <v>1661</v>
      </c>
      <c r="B393" s="110" t="s">
        <v>1147</v>
      </c>
      <c r="C393" s="110">
        <v>1.9710000000000001</v>
      </c>
      <c r="D393" s="112">
        <v>42751</v>
      </c>
    </row>
    <row r="394" spans="1:4">
      <c r="A394" s="110" t="s">
        <v>1660</v>
      </c>
      <c r="B394" s="110" t="s">
        <v>1147</v>
      </c>
      <c r="C394" s="110">
        <v>2.0630000000000002</v>
      </c>
      <c r="D394" s="112">
        <v>42751</v>
      </c>
    </row>
    <row r="395" spans="1:4">
      <c r="A395" s="110" t="s">
        <v>1659</v>
      </c>
      <c r="B395" s="110" t="s">
        <v>1147</v>
      </c>
      <c r="C395" s="110">
        <v>1.9419999999999999</v>
      </c>
      <c r="D395" s="112">
        <v>42751</v>
      </c>
    </row>
    <row r="396" spans="1:4">
      <c r="A396" s="110" t="s">
        <v>1658</v>
      </c>
      <c r="B396" s="110" t="s">
        <v>1147</v>
      </c>
      <c r="C396" s="110">
        <v>2.008</v>
      </c>
      <c r="D396" s="112">
        <v>42751</v>
      </c>
    </row>
    <row r="397" spans="1:4">
      <c r="A397" s="110" t="s">
        <v>1657</v>
      </c>
      <c r="B397" s="110" t="s">
        <v>1147</v>
      </c>
      <c r="C397" s="110">
        <v>2.0089999999999999</v>
      </c>
      <c r="D397" s="112">
        <v>42751</v>
      </c>
    </row>
    <row r="398" spans="1:4">
      <c r="A398" s="110" t="s">
        <v>1656</v>
      </c>
      <c r="B398" s="110" t="s">
        <v>1147</v>
      </c>
      <c r="C398" s="110">
        <v>2.056</v>
      </c>
      <c r="D398" s="112">
        <v>42751</v>
      </c>
    </row>
    <row r="399" spans="1:4">
      <c r="A399" s="110" t="s">
        <v>1655</v>
      </c>
      <c r="B399" s="110" t="s">
        <v>1147</v>
      </c>
      <c r="C399" s="110">
        <v>1.93</v>
      </c>
      <c r="D399" s="112">
        <v>42751</v>
      </c>
    </row>
    <row r="400" spans="1:4">
      <c r="A400" s="110" t="s">
        <v>1654</v>
      </c>
      <c r="B400" s="110" t="s">
        <v>1147</v>
      </c>
      <c r="C400" s="110">
        <v>2.0070000000000001</v>
      </c>
      <c r="D400" s="112">
        <v>42751</v>
      </c>
    </row>
    <row r="401" spans="1:4">
      <c r="A401" s="110" t="s">
        <v>1653</v>
      </c>
      <c r="B401" s="110" t="s">
        <v>1147</v>
      </c>
      <c r="C401" s="110">
        <v>1.968</v>
      </c>
      <c r="D401" s="112">
        <v>42751</v>
      </c>
    </row>
    <row r="402" spans="1:4">
      <c r="A402" s="110" t="s">
        <v>1652</v>
      </c>
      <c r="B402" s="110" t="s">
        <v>1147</v>
      </c>
      <c r="C402" s="110">
        <v>1.9870000000000001</v>
      </c>
      <c r="D402" s="112">
        <v>42751</v>
      </c>
    </row>
    <row r="403" spans="1:4">
      <c r="A403" s="110" t="s">
        <v>1651</v>
      </c>
      <c r="B403" s="110" t="s">
        <v>1147</v>
      </c>
      <c r="C403" s="110">
        <v>2.0070000000000001</v>
      </c>
      <c r="D403" s="112">
        <v>42751</v>
      </c>
    </row>
    <row r="404" spans="1:4">
      <c r="A404" s="110" t="s">
        <v>1650</v>
      </c>
      <c r="B404" s="110" t="s">
        <v>1147</v>
      </c>
      <c r="C404" s="110">
        <v>2.0089999999999999</v>
      </c>
      <c r="D404" s="112">
        <v>42751</v>
      </c>
    </row>
    <row r="405" spans="1:4">
      <c r="A405" s="110" t="s">
        <v>1649</v>
      </c>
      <c r="B405" s="110" t="s">
        <v>1147</v>
      </c>
      <c r="C405" s="110">
        <v>1.9390000000000001</v>
      </c>
      <c r="D405" s="112">
        <v>42751</v>
      </c>
    </row>
    <row r="406" spans="1:4">
      <c r="A406" s="110" t="s">
        <v>1648</v>
      </c>
      <c r="B406" s="110" t="s">
        <v>1147</v>
      </c>
      <c r="C406" s="110">
        <v>2.1389999999999998</v>
      </c>
      <c r="D406" s="112">
        <v>42751</v>
      </c>
    </row>
    <row r="407" spans="1:4">
      <c r="A407" s="110" t="s">
        <v>1647</v>
      </c>
      <c r="B407" s="110" t="s">
        <v>1147</v>
      </c>
      <c r="C407" s="110">
        <v>2.06</v>
      </c>
      <c r="D407" s="112">
        <v>42751</v>
      </c>
    </row>
    <row r="408" spans="1:4">
      <c r="A408" s="110" t="s">
        <v>1646</v>
      </c>
      <c r="B408" s="110" t="s">
        <v>1147</v>
      </c>
      <c r="C408" s="110">
        <v>2.113</v>
      </c>
      <c r="D408" s="112">
        <v>42751</v>
      </c>
    </row>
    <row r="409" spans="1:4">
      <c r="A409" s="110" t="s">
        <v>1645</v>
      </c>
      <c r="B409" s="110" t="s">
        <v>1147</v>
      </c>
      <c r="C409" s="110">
        <v>2.056</v>
      </c>
      <c r="D409" s="112">
        <v>42751</v>
      </c>
    </row>
    <row r="410" spans="1:4">
      <c r="A410" s="110" t="s">
        <v>1644</v>
      </c>
      <c r="B410" s="110" t="s">
        <v>1147</v>
      </c>
      <c r="C410" s="110">
        <v>2.0910000000000002</v>
      </c>
      <c r="D410" s="112">
        <v>42751</v>
      </c>
    </row>
    <row r="411" spans="1:4">
      <c r="A411" s="110" t="s">
        <v>1643</v>
      </c>
      <c r="B411" s="110" t="s">
        <v>1147</v>
      </c>
      <c r="C411" s="110">
        <v>1.966</v>
      </c>
      <c r="D411" s="112">
        <v>42751</v>
      </c>
    </row>
    <row r="412" spans="1:4">
      <c r="A412" s="110" t="s">
        <v>1642</v>
      </c>
      <c r="B412" s="110" t="s">
        <v>1147</v>
      </c>
      <c r="C412" s="110">
        <v>2.044</v>
      </c>
      <c r="D412" s="112">
        <v>42751</v>
      </c>
    </row>
    <row r="413" spans="1:4">
      <c r="A413" s="110" t="s">
        <v>1641</v>
      </c>
      <c r="B413" s="110" t="s">
        <v>1147</v>
      </c>
      <c r="C413" s="110">
        <v>1.968</v>
      </c>
      <c r="D413" s="112">
        <v>42751</v>
      </c>
    </row>
    <row r="414" spans="1:4">
      <c r="A414" s="110" t="s">
        <v>1640</v>
      </c>
      <c r="B414" s="110" t="s">
        <v>1147</v>
      </c>
      <c r="C414" s="110">
        <v>2.1110000000000002</v>
      </c>
      <c r="D414" s="112">
        <v>42751</v>
      </c>
    </row>
    <row r="415" spans="1:4">
      <c r="A415" s="110" t="s">
        <v>1639</v>
      </c>
      <c r="B415" s="110" t="s">
        <v>1147</v>
      </c>
      <c r="C415" s="110">
        <v>2.1120000000000001</v>
      </c>
      <c r="D415" s="112">
        <v>42751</v>
      </c>
    </row>
    <row r="416" spans="1:4">
      <c r="A416" s="110" t="s">
        <v>1638</v>
      </c>
      <c r="B416" s="110" t="s">
        <v>1147</v>
      </c>
      <c r="C416" s="110">
        <v>2.0049999999999999</v>
      </c>
      <c r="D416" s="112">
        <v>42751</v>
      </c>
    </row>
    <row r="417" spans="1:4">
      <c r="A417" s="110" t="s">
        <v>1637</v>
      </c>
      <c r="B417" s="110" t="s">
        <v>1147</v>
      </c>
      <c r="C417" s="110">
        <v>2.1589999999999998</v>
      </c>
      <c r="D417" s="112">
        <v>42751</v>
      </c>
    </row>
    <row r="418" spans="1:4">
      <c r="A418" s="110" t="s">
        <v>1636</v>
      </c>
      <c r="B418" s="110" t="s">
        <v>1147</v>
      </c>
      <c r="C418" s="110">
        <v>2.0590000000000002</v>
      </c>
      <c r="D418" s="112">
        <v>42751</v>
      </c>
    </row>
    <row r="419" spans="1:4">
      <c r="A419" s="110" t="s">
        <v>1635</v>
      </c>
      <c r="B419" s="110" t="s">
        <v>1147</v>
      </c>
      <c r="C419" s="110">
        <v>2.0249999999999999</v>
      </c>
      <c r="D419" s="112">
        <v>42751</v>
      </c>
    </row>
    <row r="420" spans="1:4">
      <c r="A420" s="110" t="s">
        <v>1634</v>
      </c>
      <c r="B420" s="110" t="s">
        <v>1147</v>
      </c>
      <c r="C420" s="110">
        <v>2.1819999999999999</v>
      </c>
      <c r="D420" s="112">
        <v>42751</v>
      </c>
    </row>
    <row r="421" spans="1:4">
      <c r="A421" s="110" t="s">
        <v>1633</v>
      </c>
      <c r="B421" s="110" t="s">
        <v>1147</v>
      </c>
      <c r="C421" s="110">
        <v>2.0209999999999999</v>
      </c>
      <c r="D421" s="112">
        <v>42751</v>
      </c>
    </row>
    <row r="422" spans="1:4">
      <c r="A422" s="110" t="s">
        <v>1632</v>
      </c>
      <c r="B422" s="110" t="s">
        <v>1147</v>
      </c>
      <c r="C422" s="110">
        <v>2.016</v>
      </c>
      <c r="D422" s="112">
        <v>42751</v>
      </c>
    </row>
    <row r="423" spans="1:4">
      <c r="A423" s="110" t="s">
        <v>1631</v>
      </c>
      <c r="B423" s="110" t="s">
        <v>1147</v>
      </c>
      <c r="C423" s="110">
        <v>2.0779999999999998</v>
      </c>
      <c r="D423" s="112">
        <v>42751</v>
      </c>
    </row>
    <row r="424" spans="1:4">
      <c r="A424" s="110" t="s">
        <v>1630</v>
      </c>
      <c r="B424" s="110" t="s">
        <v>1147</v>
      </c>
      <c r="C424" s="110">
        <v>2.0390000000000001</v>
      </c>
      <c r="D424" s="112">
        <v>42751</v>
      </c>
    </row>
    <row r="425" spans="1:4">
      <c r="A425" s="110" t="s">
        <v>1629</v>
      </c>
      <c r="B425" s="110" t="s">
        <v>1147</v>
      </c>
      <c r="C425" s="110">
        <v>2.052</v>
      </c>
      <c r="D425" s="112">
        <v>42751</v>
      </c>
    </row>
    <row r="426" spans="1:4">
      <c r="A426" s="110" t="s">
        <v>1628</v>
      </c>
      <c r="B426" s="110" t="s">
        <v>1147</v>
      </c>
      <c r="C426" s="110">
        <v>2.0049999999999999</v>
      </c>
      <c r="D426" s="112">
        <v>42751</v>
      </c>
    </row>
    <row r="427" spans="1:4">
      <c r="A427" s="110" t="s">
        <v>1627</v>
      </c>
      <c r="B427" s="110" t="s">
        <v>1147</v>
      </c>
      <c r="C427" s="110">
        <v>2.0649999999999999</v>
      </c>
      <c r="D427" s="112">
        <v>42751</v>
      </c>
    </row>
    <row r="428" spans="1:4">
      <c r="A428" s="110" t="s">
        <v>1626</v>
      </c>
      <c r="B428" s="110" t="s">
        <v>1147</v>
      </c>
      <c r="C428" s="110">
        <v>1.9590000000000001</v>
      </c>
      <c r="D428" s="112">
        <v>42751</v>
      </c>
    </row>
    <row r="429" spans="1:4">
      <c r="A429" s="110" t="s">
        <v>1625</v>
      </c>
      <c r="B429" s="110" t="s">
        <v>1147</v>
      </c>
      <c r="C429" s="110">
        <v>1.9750000000000001</v>
      </c>
      <c r="D429" s="112">
        <v>42751</v>
      </c>
    </row>
    <row r="430" spans="1:4">
      <c r="A430" s="110" t="s">
        <v>1624</v>
      </c>
      <c r="B430" s="110" t="s">
        <v>1147</v>
      </c>
      <c r="C430" s="110">
        <v>2.0230000000000001</v>
      </c>
      <c r="D430" s="112">
        <v>42751</v>
      </c>
    </row>
    <row r="431" spans="1:4">
      <c r="A431" s="110" t="s">
        <v>1623</v>
      </c>
      <c r="B431" s="110" t="s">
        <v>1147</v>
      </c>
      <c r="C431" s="110">
        <v>1.8959999999999999</v>
      </c>
      <c r="D431" s="112">
        <v>42751</v>
      </c>
    </row>
    <row r="432" spans="1:4">
      <c r="A432" s="110" t="s">
        <v>1622</v>
      </c>
      <c r="B432" s="110" t="s">
        <v>1147</v>
      </c>
      <c r="C432" s="110">
        <v>2.0870000000000002</v>
      </c>
      <c r="D432" s="112">
        <v>42751</v>
      </c>
    </row>
    <row r="433" spans="1:4">
      <c r="A433" s="110" t="s">
        <v>1621</v>
      </c>
      <c r="B433" s="110" t="s">
        <v>1147</v>
      </c>
      <c r="C433" s="110">
        <v>1.9319999999999999</v>
      </c>
      <c r="D433" s="112">
        <v>42751</v>
      </c>
    </row>
    <row r="434" spans="1:4">
      <c r="A434" s="110" t="s">
        <v>1620</v>
      </c>
      <c r="B434" s="110" t="s">
        <v>1147</v>
      </c>
      <c r="C434" s="110">
        <v>2.09</v>
      </c>
      <c r="D434" s="112">
        <v>42751</v>
      </c>
    </row>
    <row r="435" spans="1:4">
      <c r="A435" s="110" t="s">
        <v>1619</v>
      </c>
      <c r="B435" s="110" t="s">
        <v>1147</v>
      </c>
      <c r="C435" s="110">
        <v>2.08</v>
      </c>
      <c r="D435" s="112">
        <v>42751</v>
      </c>
    </row>
    <row r="436" spans="1:4">
      <c r="A436" s="110" t="s">
        <v>1618</v>
      </c>
      <c r="B436" s="110" t="s">
        <v>1147</v>
      </c>
      <c r="C436" s="110">
        <v>2.0659999999999998</v>
      </c>
      <c r="D436" s="112">
        <v>42751</v>
      </c>
    </row>
    <row r="437" spans="1:4">
      <c r="A437" s="110" t="s">
        <v>1617</v>
      </c>
      <c r="B437" s="110" t="s">
        <v>1147</v>
      </c>
      <c r="C437" s="110">
        <v>2.06</v>
      </c>
      <c r="D437" s="112">
        <v>42751</v>
      </c>
    </row>
    <row r="438" spans="1:4">
      <c r="A438" s="110" t="s">
        <v>1616</v>
      </c>
      <c r="B438" s="110" t="s">
        <v>1147</v>
      </c>
      <c r="C438" s="110">
        <v>2.0339999999999998</v>
      </c>
      <c r="D438" s="112">
        <v>42751</v>
      </c>
    </row>
    <row r="439" spans="1:4">
      <c r="A439" s="110" t="s">
        <v>1615</v>
      </c>
      <c r="B439" s="110" t="s">
        <v>1147</v>
      </c>
      <c r="C439" s="110">
        <v>2.0009999999999999</v>
      </c>
      <c r="D439" s="112">
        <v>42751</v>
      </c>
    </row>
    <row r="440" spans="1:4">
      <c r="A440" s="110" t="s">
        <v>1614</v>
      </c>
      <c r="B440" s="110" t="s">
        <v>1147</v>
      </c>
      <c r="C440" s="110">
        <v>2.0329999999999999</v>
      </c>
      <c r="D440" s="112">
        <v>42751</v>
      </c>
    </row>
    <row r="441" spans="1:4">
      <c r="A441" s="110" t="s">
        <v>1613</v>
      </c>
      <c r="B441" s="110" t="s">
        <v>1147</v>
      </c>
      <c r="C441" s="110">
        <v>2.1230000000000002</v>
      </c>
      <c r="D441" s="112">
        <v>42751</v>
      </c>
    </row>
    <row r="442" spans="1:4">
      <c r="A442" s="110" t="s">
        <v>1612</v>
      </c>
      <c r="B442" s="110" t="s">
        <v>1147</v>
      </c>
      <c r="C442" s="110">
        <v>2.0470000000000002</v>
      </c>
      <c r="D442" s="112">
        <v>42751</v>
      </c>
    </row>
    <row r="443" spans="1:4">
      <c r="A443" s="110" t="s">
        <v>1611</v>
      </c>
      <c r="B443" s="110" t="s">
        <v>1147</v>
      </c>
      <c r="C443" s="110">
        <v>2.069</v>
      </c>
      <c r="D443" s="112">
        <v>42751</v>
      </c>
    </row>
    <row r="444" spans="1:4">
      <c r="A444" s="110" t="s">
        <v>1610</v>
      </c>
      <c r="B444" s="110" t="s">
        <v>1147</v>
      </c>
      <c r="C444" s="110">
        <v>2.1070000000000002</v>
      </c>
      <c r="D444" s="112">
        <v>42751</v>
      </c>
    </row>
    <row r="445" spans="1:4">
      <c r="A445" s="110" t="s">
        <v>1609</v>
      </c>
      <c r="B445" s="110" t="s">
        <v>1147</v>
      </c>
      <c r="C445" s="110">
        <v>2.1040000000000001</v>
      </c>
      <c r="D445" s="112">
        <v>42751</v>
      </c>
    </row>
    <row r="446" spans="1:4">
      <c r="A446" s="110" t="s">
        <v>1608</v>
      </c>
      <c r="B446" s="110" t="s">
        <v>1147</v>
      </c>
      <c r="C446" s="110">
        <v>2.056</v>
      </c>
      <c r="D446" s="112">
        <v>42751</v>
      </c>
    </row>
    <row r="447" spans="1:4">
      <c r="A447" s="110" t="s">
        <v>1607</v>
      </c>
      <c r="B447" s="110" t="s">
        <v>1147</v>
      </c>
      <c r="C447" s="110">
        <v>2.0310000000000001</v>
      </c>
      <c r="D447" s="112">
        <v>42751</v>
      </c>
    </row>
    <row r="448" spans="1:4">
      <c r="A448" s="110" t="s">
        <v>1606</v>
      </c>
      <c r="B448" s="110" t="s">
        <v>1147</v>
      </c>
      <c r="C448" s="110">
        <v>2.0259999999999998</v>
      </c>
      <c r="D448" s="112">
        <v>42751</v>
      </c>
    </row>
    <row r="449" spans="1:4">
      <c r="A449" s="110" t="s">
        <v>1605</v>
      </c>
      <c r="B449" s="110" t="s">
        <v>1147</v>
      </c>
      <c r="C449" s="110">
        <v>2.1150000000000002</v>
      </c>
      <c r="D449" s="112">
        <v>42751</v>
      </c>
    </row>
    <row r="450" spans="1:4">
      <c r="A450" s="110" t="s">
        <v>1604</v>
      </c>
      <c r="B450" s="110" t="s">
        <v>1147</v>
      </c>
      <c r="C450" s="110">
        <v>1.9319999999999999</v>
      </c>
      <c r="D450" s="112">
        <v>42751</v>
      </c>
    </row>
    <row r="451" spans="1:4">
      <c r="A451" s="110" t="s">
        <v>1603</v>
      </c>
      <c r="B451" s="110" t="s">
        <v>1147</v>
      </c>
      <c r="C451" s="110">
        <v>2.0579999999999998</v>
      </c>
      <c r="D451" s="112">
        <v>42751</v>
      </c>
    </row>
    <row r="452" spans="1:4">
      <c r="A452" s="110" t="s">
        <v>1602</v>
      </c>
      <c r="B452" s="110" t="s">
        <v>1147</v>
      </c>
      <c r="C452" s="110">
        <v>2.0179999999999998</v>
      </c>
      <c r="D452" s="112">
        <v>42751</v>
      </c>
    </row>
    <row r="453" spans="1:4">
      <c r="A453" s="110" t="s">
        <v>1601</v>
      </c>
      <c r="B453" s="110" t="s">
        <v>1147</v>
      </c>
      <c r="C453" s="110">
        <v>2.1749999999999998</v>
      </c>
      <c r="D453" s="112">
        <v>42751</v>
      </c>
    </row>
    <row r="454" spans="1:4">
      <c r="A454" s="110" t="s">
        <v>1600</v>
      </c>
      <c r="B454" s="110" t="s">
        <v>1147</v>
      </c>
      <c r="C454" s="110">
        <v>2.1629999999999998</v>
      </c>
      <c r="D454" s="112">
        <v>42751</v>
      </c>
    </row>
    <row r="455" spans="1:4">
      <c r="A455" s="110" t="s">
        <v>1599</v>
      </c>
      <c r="B455" s="110" t="s">
        <v>1147</v>
      </c>
      <c r="C455" s="110">
        <v>2.1139999999999999</v>
      </c>
      <c r="D455" s="112">
        <v>42751</v>
      </c>
    </row>
    <row r="456" spans="1:4">
      <c r="A456" s="110" t="s">
        <v>1598</v>
      </c>
      <c r="B456" s="110" t="s">
        <v>1147</v>
      </c>
      <c r="C456" s="110">
        <v>2.0550000000000002</v>
      </c>
      <c r="D456" s="112">
        <v>42751</v>
      </c>
    </row>
    <row r="457" spans="1:4">
      <c r="A457" s="110" t="s">
        <v>1597</v>
      </c>
      <c r="B457" s="110" t="s">
        <v>1147</v>
      </c>
      <c r="C457" s="110">
        <v>2.0790000000000002</v>
      </c>
      <c r="D457" s="112">
        <v>42751</v>
      </c>
    </row>
    <row r="458" spans="1:4">
      <c r="A458" s="110" t="s">
        <v>1596</v>
      </c>
      <c r="B458" s="110" t="s">
        <v>1147</v>
      </c>
      <c r="C458" s="110">
        <v>2.0920000000000001</v>
      </c>
      <c r="D458" s="112">
        <v>42751</v>
      </c>
    </row>
    <row r="459" spans="1:4">
      <c r="A459" s="110" t="s">
        <v>1595</v>
      </c>
      <c r="B459" s="110" t="s">
        <v>1147</v>
      </c>
      <c r="C459" s="110">
        <v>2.0299999999999998</v>
      </c>
      <c r="D459" s="112">
        <v>42751</v>
      </c>
    </row>
    <row r="460" spans="1:4">
      <c r="A460" s="110" t="s">
        <v>1594</v>
      </c>
      <c r="B460" s="110" t="s">
        <v>1147</v>
      </c>
      <c r="C460" s="110">
        <v>2.117</v>
      </c>
      <c r="D460" s="112">
        <v>42751</v>
      </c>
    </row>
    <row r="461" spans="1:4">
      <c r="A461" s="110" t="s">
        <v>1593</v>
      </c>
      <c r="B461" s="110" t="s">
        <v>1147</v>
      </c>
      <c r="C461" s="110">
        <v>2.1579999999999999</v>
      </c>
      <c r="D461" s="112">
        <v>42751</v>
      </c>
    </row>
    <row r="462" spans="1:4">
      <c r="A462" s="110" t="s">
        <v>1592</v>
      </c>
      <c r="B462" s="110" t="s">
        <v>1147</v>
      </c>
      <c r="C462" s="110">
        <v>1.9770000000000001</v>
      </c>
      <c r="D462" s="112">
        <v>42751</v>
      </c>
    </row>
    <row r="463" spans="1:4">
      <c r="A463" s="110" t="s">
        <v>1591</v>
      </c>
      <c r="B463" s="110" t="s">
        <v>1147</v>
      </c>
      <c r="C463" s="110">
        <v>2.0449999999999999</v>
      </c>
      <c r="D463" s="112">
        <v>42751</v>
      </c>
    </row>
    <row r="464" spans="1:4">
      <c r="A464" s="110" t="s">
        <v>1590</v>
      </c>
      <c r="B464" s="110" t="s">
        <v>1147</v>
      </c>
      <c r="C464" s="110">
        <v>2.1560000000000001</v>
      </c>
      <c r="D464" s="112">
        <v>42751</v>
      </c>
    </row>
    <row r="465" spans="1:4">
      <c r="A465" s="110" t="s">
        <v>1589</v>
      </c>
      <c r="B465" s="110" t="s">
        <v>1147</v>
      </c>
      <c r="C465" s="110">
        <v>2.1030000000000002</v>
      </c>
      <c r="D465" s="112">
        <v>42751</v>
      </c>
    </row>
    <row r="466" spans="1:4">
      <c r="A466" s="110" t="s">
        <v>1588</v>
      </c>
      <c r="B466" s="110" t="s">
        <v>1147</v>
      </c>
      <c r="C466" s="110">
        <v>2.169</v>
      </c>
      <c r="D466" s="112">
        <v>42751</v>
      </c>
    </row>
    <row r="467" spans="1:4">
      <c r="A467" s="110" t="s">
        <v>1587</v>
      </c>
      <c r="B467" s="110" t="s">
        <v>1147</v>
      </c>
      <c r="C467" s="110">
        <v>1.9810000000000001</v>
      </c>
      <c r="D467" s="112">
        <v>42751</v>
      </c>
    </row>
    <row r="468" spans="1:4">
      <c r="A468" s="110" t="s">
        <v>1586</v>
      </c>
      <c r="B468" s="110" t="s">
        <v>1147</v>
      </c>
      <c r="C468" s="110">
        <v>1.964</v>
      </c>
      <c r="D468" s="112">
        <v>42751</v>
      </c>
    </row>
    <row r="469" spans="1:4">
      <c r="A469" s="110" t="s">
        <v>1585</v>
      </c>
      <c r="B469" s="110" t="s">
        <v>1147</v>
      </c>
      <c r="C469" s="110">
        <v>2.004</v>
      </c>
      <c r="D469" s="112">
        <v>42751</v>
      </c>
    </row>
    <row r="470" spans="1:4">
      <c r="A470" s="110" t="s">
        <v>1584</v>
      </c>
      <c r="B470" s="110" t="s">
        <v>1147</v>
      </c>
      <c r="C470" s="110">
        <v>1.9319999999999999</v>
      </c>
      <c r="D470" s="112">
        <v>42751</v>
      </c>
    </row>
    <row r="471" spans="1:4">
      <c r="A471" s="110" t="s">
        <v>1583</v>
      </c>
      <c r="B471" s="110" t="s">
        <v>1147</v>
      </c>
      <c r="C471" s="110">
        <v>2.0259999999999998</v>
      </c>
      <c r="D471" s="112">
        <v>42751</v>
      </c>
    </row>
    <row r="472" spans="1:4">
      <c r="A472" s="110" t="s">
        <v>1582</v>
      </c>
      <c r="B472" s="110" t="s">
        <v>1147</v>
      </c>
      <c r="C472" s="110">
        <v>2.1309999999999998</v>
      </c>
      <c r="D472" s="112">
        <v>42751</v>
      </c>
    </row>
    <row r="473" spans="1:4">
      <c r="A473" s="110" t="s">
        <v>1581</v>
      </c>
      <c r="B473" s="110" t="s">
        <v>1147</v>
      </c>
      <c r="C473" s="110">
        <v>1.9630000000000001</v>
      </c>
      <c r="D473" s="112">
        <v>42751</v>
      </c>
    </row>
    <row r="474" spans="1:4">
      <c r="A474" s="110" t="s">
        <v>1580</v>
      </c>
      <c r="B474" s="110" t="s">
        <v>1147</v>
      </c>
      <c r="C474" s="110">
        <v>1.9970000000000001</v>
      </c>
      <c r="D474" s="112">
        <v>42751</v>
      </c>
    </row>
    <row r="475" spans="1:4">
      <c r="A475" s="110" t="s">
        <v>1579</v>
      </c>
      <c r="B475" s="110" t="s">
        <v>1147</v>
      </c>
      <c r="C475" s="110">
        <v>1.9910000000000001</v>
      </c>
      <c r="D475" s="112">
        <v>42751</v>
      </c>
    </row>
    <row r="476" spans="1:4">
      <c r="A476" s="110" t="s">
        <v>1578</v>
      </c>
      <c r="B476" s="110" t="s">
        <v>1147</v>
      </c>
      <c r="C476" s="110">
        <v>1.9710000000000001</v>
      </c>
      <c r="D476" s="112">
        <v>42751</v>
      </c>
    </row>
    <row r="477" spans="1:4">
      <c r="A477" s="110" t="s">
        <v>1577</v>
      </c>
      <c r="B477" s="110" t="s">
        <v>1147</v>
      </c>
      <c r="C477" s="110">
        <v>2.077</v>
      </c>
      <c r="D477" s="112">
        <v>42751</v>
      </c>
    </row>
    <row r="478" spans="1:4">
      <c r="A478" s="110" t="s">
        <v>1576</v>
      </c>
      <c r="B478" s="110" t="s">
        <v>1147</v>
      </c>
      <c r="C478" s="110">
        <v>2.1930000000000001</v>
      </c>
      <c r="D478" s="112">
        <v>42751</v>
      </c>
    </row>
    <row r="479" spans="1:4">
      <c r="A479" s="110" t="s">
        <v>1575</v>
      </c>
      <c r="B479" s="110" t="s">
        <v>1147</v>
      </c>
      <c r="C479" s="110">
        <v>2.0110000000000001</v>
      </c>
      <c r="D479" s="112">
        <v>42751</v>
      </c>
    </row>
    <row r="480" spans="1:4">
      <c r="A480" s="110" t="s">
        <v>1574</v>
      </c>
      <c r="B480" s="110" t="s">
        <v>1147</v>
      </c>
      <c r="C480" s="110">
        <v>2.121</v>
      </c>
      <c r="D480" s="112">
        <v>42751</v>
      </c>
    </row>
    <row r="481" spans="1:4">
      <c r="A481" s="110" t="s">
        <v>1573</v>
      </c>
      <c r="B481" s="110" t="s">
        <v>1147</v>
      </c>
      <c r="C481" s="110">
        <v>2.073</v>
      </c>
      <c r="D481" s="112">
        <v>42751</v>
      </c>
    </row>
    <row r="482" spans="1:4">
      <c r="A482" s="110" t="s">
        <v>1572</v>
      </c>
      <c r="B482" s="110" t="s">
        <v>1147</v>
      </c>
      <c r="C482" s="110">
        <v>2.056</v>
      </c>
      <c r="D482" s="112">
        <v>42751</v>
      </c>
    </row>
    <row r="483" spans="1:4">
      <c r="A483" s="110" t="s">
        <v>1571</v>
      </c>
      <c r="B483" s="110" t="s">
        <v>1147</v>
      </c>
      <c r="C483" s="110">
        <v>1.982</v>
      </c>
      <c r="D483" s="112">
        <v>42751</v>
      </c>
    </row>
    <row r="484" spans="1:4">
      <c r="A484" s="110" t="s">
        <v>1570</v>
      </c>
      <c r="B484" s="110" t="s">
        <v>1147</v>
      </c>
      <c r="C484" s="110">
        <v>1.9850000000000001</v>
      </c>
      <c r="D484" s="112">
        <v>42751</v>
      </c>
    </row>
    <row r="485" spans="1:4">
      <c r="A485" s="110" t="s">
        <v>1569</v>
      </c>
      <c r="B485" s="110" t="s">
        <v>1147</v>
      </c>
      <c r="C485" s="110">
        <v>2.0529999999999999</v>
      </c>
      <c r="D485" s="112">
        <v>42751</v>
      </c>
    </row>
    <row r="486" spans="1:4">
      <c r="A486" s="110" t="s">
        <v>1568</v>
      </c>
      <c r="B486" s="110" t="s">
        <v>1147</v>
      </c>
      <c r="C486" s="110">
        <v>2.056</v>
      </c>
      <c r="D486" s="112">
        <v>42751</v>
      </c>
    </row>
    <row r="487" spans="1:4">
      <c r="A487" s="110" t="s">
        <v>1567</v>
      </c>
      <c r="B487" s="110" t="s">
        <v>1147</v>
      </c>
      <c r="C487" s="110">
        <v>1.9750000000000001</v>
      </c>
      <c r="D487" s="112">
        <v>42751</v>
      </c>
    </row>
    <row r="488" spans="1:4">
      <c r="A488" s="110" t="s">
        <v>1566</v>
      </c>
      <c r="B488" s="110" t="s">
        <v>1147</v>
      </c>
      <c r="C488" s="110">
        <v>2.0009999999999999</v>
      </c>
      <c r="D488" s="112">
        <v>42751</v>
      </c>
    </row>
    <row r="489" spans="1:4">
      <c r="A489" s="110" t="s">
        <v>1565</v>
      </c>
      <c r="B489" s="110" t="s">
        <v>1147</v>
      </c>
      <c r="C489" s="110">
        <v>1.9890000000000001</v>
      </c>
      <c r="D489" s="112">
        <v>42751</v>
      </c>
    </row>
    <row r="490" spans="1:4">
      <c r="A490" s="110" t="s">
        <v>1564</v>
      </c>
      <c r="B490" s="110" t="s">
        <v>1147</v>
      </c>
      <c r="C490" s="110">
        <v>2.0049999999999999</v>
      </c>
      <c r="D490" s="112">
        <v>42751</v>
      </c>
    </row>
    <row r="491" spans="1:4">
      <c r="A491" s="110" t="s">
        <v>1563</v>
      </c>
      <c r="B491" s="110" t="s">
        <v>1147</v>
      </c>
      <c r="C491" s="110">
        <v>1.9259999999999999</v>
      </c>
      <c r="D491" s="112">
        <v>42751</v>
      </c>
    </row>
    <row r="492" spans="1:4">
      <c r="A492" s="110" t="s">
        <v>1562</v>
      </c>
      <c r="B492" s="110" t="s">
        <v>1147</v>
      </c>
      <c r="C492" s="110">
        <v>1.9910000000000001</v>
      </c>
      <c r="D492" s="112">
        <v>42751</v>
      </c>
    </row>
    <row r="493" spans="1:4">
      <c r="A493" s="110" t="s">
        <v>1561</v>
      </c>
      <c r="B493" s="110" t="s">
        <v>1147</v>
      </c>
      <c r="C493" s="110">
        <v>1.9</v>
      </c>
      <c r="D493" s="112">
        <v>42751</v>
      </c>
    </row>
    <row r="494" spans="1:4">
      <c r="A494" s="110" t="s">
        <v>1560</v>
      </c>
      <c r="B494" s="110" t="s">
        <v>1147</v>
      </c>
      <c r="C494" s="110">
        <v>1.881</v>
      </c>
      <c r="D494" s="112">
        <v>42751</v>
      </c>
    </row>
    <row r="495" spans="1:4">
      <c r="A495" s="110" t="s">
        <v>1559</v>
      </c>
      <c r="B495" s="110" t="s">
        <v>1147</v>
      </c>
      <c r="C495" s="110">
        <v>2.0249999999999999</v>
      </c>
      <c r="D495" s="112">
        <v>42751</v>
      </c>
    </row>
    <row r="496" spans="1:4">
      <c r="A496" s="110" t="s">
        <v>1558</v>
      </c>
      <c r="B496" s="110" t="s">
        <v>1147</v>
      </c>
      <c r="C496" s="110">
        <v>1.948</v>
      </c>
      <c r="D496" s="112">
        <v>42751</v>
      </c>
    </row>
    <row r="497" spans="1:4">
      <c r="A497" s="110" t="s">
        <v>1557</v>
      </c>
      <c r="B497" s="110" t="s">
        <v>1147</v>
      </c>
      <c r="C497" s="110">
        <v>2.0510000000000002</v>
      </c>
      <c r="D497" s="112">
        <v>42751</v>
      </c>
    </row>
    <row r="498" spans="1:4">
      <c r="A498" s="110" t="s">
        <v>1556</v>
      </c>
      <c r="B498" s="110" t="s">
        <v>1147</v>
      </c>
      <c r="C498" s="110">
        <v>1.903</v>
      </c>
      <c r="D498" s="112">
        <v>42751</v>
      </c>
    </row>
    <row r="499" spans="1:4">
      <c r="A499" s="110" t="s">
        <v>1555</v>
      </c>
      <c r="B499" s="110" t="s">
        <v>1147</v>
      </c>
      <c r="C499" s="110">
        <v>2.0390000000000001</v>
      </c>
      <c r="D499" s="112">
        <v>42751</v>
      </c>
    </row>
    <row r="500" spans="1:4">
      <c r="A500" s="110" t="s">
        <v>1554</v>
      </c>
      <c r="B500" s="110" t="s">
        <v>1147</v>
      </c>
      <c r="C500" s="110">
        <v>1.8480000000000001</v>
      </c>
      <c r="D500" s="112">
        <v>42751</v>
      </c>
    </row>
    <row r="501" spans="1:4">
      <c r="A501" s="110" t="s">
        <v>1553</v>
      </c>
      <c r="B501" s="110" t="s">
        <v>1147</v>
      </c>
      <c r="C501" s="110">
        <v>2.0019999999999998</v>
      </c>
      <c r="D501" s="112">
        <v>42751</v>
      </c>
    </row>
    <row r="502" spans="1:4">
      <c r="A502" s="110" t="s">
        <v>1552</v>
      </c>
      <c r="B502" s="110" t="s">
        <v>1147</v>
      </c>
      <c r="C502" s="110">
        <v>1.744</v>
      </c>
      <c r="D502" s="112">
        <v>42751</v>
      </c>
    </row>
    <row r="503" spans="1:4">
      <c r="A503" s="110" t="s">
        <v>1551</v>
      </c>
      <c r="B503" s="110" t="s">
        <v>1147</v>
      </c>
      <c r="C503" s="110">
        <v>1.9419999999999999</v>
      </c>
      <c r="D503" s="112">
        <v>42751</v>
      </c>
    </row>
    <row r="504" spans="1:4">
      <c r="A504" s="110" t="s">
        <v>1550</v>
      </c>
      <c r="B504" s="110" t="s">
        <v>1147</v>
      </c>
      <c r="C504" s="110">
        <v>2.0830000000000002</v>
      </c>
      <c r="D504" s="112">
        <v>42751</v>
      </c>
    </row>
    <row r="505" spans="1:4">
      <c r="A505" s="110" t="s">
        <v>1549</v>
      </c>
      <c r="B505" s="110" t="s">
        <v>1147</v>
      </c>
      <c r="C505" s="110">
        <v>1.917</v>
      </c>
      <c r="D505" s="112">
        <v>42751</v>
      </c>
    </row>
    <row r="506" spans="1:4">
      <c r="A506" s="110" t="s">
        <v>1548</v>
      </c>
      <c r="B506" s="110" t="s">
        <v>1147</v>
      </c>
      <c r="C506" s="110">
        <v>1.929</v>
      </c>
      <c r="D506" s="112">
        <v>42751</v>
      </c>
    </row>
    <row r="507" spans="1:4">
      <c r="A507" s="110" t="s">
        <v>1547</v>
      </c>
      <c r="B507" s="110" t="s">
        <v>1147</v>
      </c>
      <c r="C507" s="110">
        <v>1.9810000000000001</v>
      </c>
      <c r="D507" s="112">
        <v>42751</v>
      </c>
    </row>
    <row r="508" spans="1:4">
      <c r="A508" s="110" t="s">
        <v>1546</v>
      </c>
      <c r="B508" s="110" t="s">
        <v>1147</v>
      </c>
      <c r="C508" s="110">
        <v>2.0009999999999999</v>
      </c>
      <c r="D508" s="112">
        <v>42751</v>
      </c>
    </row>
    <row r="509" spans="1:4">
      <c r="A509" s="110" t="s">
        <v>1545</v>
      </c>
      <c r="B509" s="110" t="s">
        <v>1147</v>
      </c>
      <c r="C509" s="110">
        <v>2.0510000000000002</v>
      </c>
      <c r="D509" s="112">
        <v>42751</v>
      </c>
    </row>
    <row r="510" spans="1:4">
      <c r="A510" s="110" t="s">
        <v>1544</v>
      </c>
      <c r="B510" s="110" t="s">
        <v>1147</v>
      </c>
      <c r="C510" s="110">
        <v>1.9079999999999999</v>
      </c>
      <c r="D510" s="112">
        <v>42751</v>
      </c>
    </row>
    <row r="511" spans="1:4">
      <c r="A511" s="110" t="s">
        <v>1543</v>
      </c>
      <c r="B511" s="110" t="s">
        <v>1147</v>
      </c>
      <c r="C511" s="110">
        <v>1.99</v>
      </c>
      <c r="D511" s="112">
        <v>42751</v>
      </c>
    </row>
    <row r="512" spans="1:4">
      <c r="A512" s="110" t="s">
        <v>1542</v>
      </c>
      <c r="B512" s="110" t="s">
        <v>1147</v>
      </c>
      <c r="C512" s="110">
        <v>1.9910000000000001</v>
      </c>
      <c r="D512" s="112">
        <v>42751</v>
      </c>
    </row>
    <row r="513" spans="1:4">
      <c r="A513" s="110" t="s">
        <v>1541</v>
      </c>
      <c r="B513" s="110" t="s">
        <v>1147</v>
      </c>
      <c r="C513" s="110">
        <v>2.048</v>
      </c>
      <c r="D513" s="112">
        <v>42751</v>
      </c>
    </row>
    <row r="514" spans="1:4">
      <c r="A514" s="110" t="s">
        <v>1540</v>
      </c>
      <c r="B514" s="110" t="s">
        <v>1147</v>
      </c>
      <c r="C514" s="110">
        <v>1.91</v>
      </c>
      <c r="D514" s="112">
        <v>42751</v>
      </c>
    </row>
    <row r="515" spans="1:4">
      <c r="A515" s="110" t="s">
        <v>1539</v>
      </c>
      <c r="B515" s="110" t="s">
        <v>1147</v>
      </c>
      <c r="C515" s="110">
        <v>1.9930000000000001</v>
      </c>
      <c r="D515" s="112">
        <v>42751</v>
      </c>
    </row>
    <row r="516" spans="1:4">
      <c r="A516" s="110" t="s">
        <v>1538</v>
      </c>
      <c r="B516" s="110" t="s">
        <v>1147</v>
      </c>
      <c r="C516" s="110">
        <v>2.0939999999999999</v>
      </c>
      <c r="D516" s="112">
        <v>42751</v>
      </c>
    </row>
    <row r="517" spans="1:4">
      <c r="A517" s="110" t="s">
        <v>1537</v>
      </c>
      <c r="B517" s="110" t="s">
        <v>1147</v>
      </c>
      <c r="C517" s="110">
        <v>2.0179999999999998</v>
      </c>
      <c r="D517" s="112">
        <v>42751</v>
      </c>
    </row>
    <row r="518" spans="1:4">
      <c r="A518" s="110" t="s">
        <v>1536</v>
      </c>
      <c r="B518" s="110" t="s">
        <v>1147</v>
      </c>
      <c r="C518" s="110">
        <v>1.9350000000000001</v>
      </c>
      <c r="D518" s="112">
        <v>42751</v>
      </c>
    </row>
    <row r="519" spans="1:4">
      <c r="A519" s="110" t="s">
        <v>1535</v>
      </c>
      <c r="B519" s="110" t="s">
        <v>1147</v>
      </c>
      <c r="C519" s="110">
        <v>1.9890000000000001</v>
      </c>
      <c r="D519" s="112">
        <v>42751</v>
      </c>
    </row>
    <row r="520" spans="1:4">
      <c r="A520" s="110" t="s">
        <v>1534</v>
      </c>
      <c r="B520" s="110" t="s">
        <v>1147</v>
      </c>
      <c r="C520" s="110">
        <v>2.1160000000000001</v>
      </c>
      <c r="D520" s="112">
        <v>42751</v>
      </c>
    </row>
    <row r="521" spans="1:4">
      <c r="A521" s="110" t="s">
        <v>1533</v>
      </c>
      <c r="B521" s="110" t="s">
        <v>1147</v>
      </c>
      <c r="C521" s="110">
        <v>2.069</v>
      </c>
      <c r="D521" s="112">
        <v>42751</v>
      </c>
    </row>
    <row r="522" spans="1:4">
      <c r="A522" s="110" t="s">
        <v>1532</v>
      </c>
      <c r="B522" s="110" t="s">
        <v>1147</v>
      </c>
      <c r="C522" s="110">
        <v>1.9950000000000001</v>
      </c>
      <c r="D522" s="112">
        <v>42751</v>
      </c>
    </row>
    <row r="523" spans="1:4">
      <c r="A523" s="110" t="s">
        <v>1531</v>
      </c>
      <c r="B523" s="110" t="s">
        <v>1147</v>
      </c>
      <c r="C523" s="110">
        <v>2.1429999999999998</v>
      </c>
      <c r="D523" s="112">
        <v>42751</v>
      </c>
    </row>
    <row r="524" spans="1:4">
      <c r="A524" s="110" t="s">
        <v>1530</v>
      </c>
      <c r="B524" s="110" t="s">
        <v>1147</v>
      </c>
      <c r="C524" s="110">
        <v>1.929</v>
      </c>
      <c r="D524" s="112">
        <v>42751</v>
      </c>
    </row>
    <row r="525" spans="1:4">
      <c r="A525" s="110" t="s">
        <v>1529</v>
      </c>
      <c r="B525" s="110" t="s">
        <v>1147</v>
      </c>
      <c r="C525" s="110">
        <v>2.1709999999999998</v>
      </c>
      <c r="D525" s="112">
        <v>42751</v>
      </c>
    </row>
    <row r="526" spans="1:4">
      <c r="A526" s="110" t="s">
        <v>1528</v>
      </c>
      <c r="B526" s="110" t="s">
        <v>1147</v>
      </c>
      <c r="C526" s="110">
        <v>1.821</v>
      </c>
      <c r="D526" s="112">
        <v>42751</v>
      </c>
    </row>
    <row r="527" spans="1:4">
      <c r="A527" s="110" t="s">
        <v>1527</v>
      </c>
      <c r="B527" s="110" t="s">
        <v>1147</v>
      </c>
      <c r="C527" s="110">
        <v>2.1419999999999999</v>
      </c>
      <c r="D527" s="112">
        <v>42751</v>
      </c>
    </row>
    <row r="528" spans="1:4">
      <c r="A528" s="110" t="s">
        <v>1526</v>
      </c>
      <c r="B528" s="110" t="s">
        <v>1147</v>
      </c>
      <c r="C528" s="110">
        <v>1.962</v>
      </c>
      <c r="D528" s="112">
        <v>42751</v>
      </c>
    </row>
    <row r="529" spans="1:4">
      <c r="A529" s="110" t="s">
        <v>1525</v>
      </c>
      <c r="B529" s="110" t="s">
        <v>1147</v>
      </c>
      <c r="C529" s="110">
        <v>2.0790000000000002</v>
      </c>
      <c r="D529" s="112">
        <v>42751</v>
      </c>
    </row>
    <row r="530" spans="1:4">
      <c r="A530" s="110" t="s">
        <v>1524</v>
      </c>
      <c r="B530" s="110" t="s">
        <v>1147</v>
      </c>
      <c r="C530" s="110">
        <v>2.0760000000000001</v>
      </c>
      <c r="D530" s="112">
        <v>42751</v>
      </c>
    </row>
    <row r="531" spans="1:4">
      <c r="A531" s="110" t="s">
        <v>1523</v>
      </c>
      <c r="B531" s="110" t="s">
        <v>1147</v>
      </c>
      <c r="C531" s="110">
        <v>1.913</v>
      </c>
      <c r="D531" s="112">
        <v>42751</v>
      </c>
    </row>
    <row r="532" spans="1:4">
      <c r="A532" s="110" t="s">
        <v>1522</v>
      </c>
      <c r="B532" s="110" t="s">
        <v>1147</v>
      </c>
      <c r="C532" s="110">
        <v>2.14</v>
      </c>
      <c r="D532" s="112">
        <v>42751</v>
      </c>
    </row>
    <row r="533" spans="1:4">
      <c r="A533" s="110" t="s">
        <v>1521</v>
      </c>
      <c r="B533" s="110" t="s">
        <v>1147</v>
      </c>
      <c r="C533" s="110">
        <v>2.089</v>
      </c>
      <c r="D533" s="112">
        <v>42751</v>
      </c>
    </row>
    <row r="534" spans="1:4">
      <c r="A534" s="110" t="s">
        <v>1520</v>
      </c>
      <c r="B534" s="110" t="s">
        <v>1147</v>
      </c>
      <c r="C534" s="110">
        <v>2.089</v>
      </c>
      <c r="D534" s="112">
        <v>42751</v>
      </c>
    </row>
    <row r="535" spans="1:4">
      <c r="A535" s="110" t="s">
        <v>1519</v>
      </c>
      <c r="B535" s="110" t="s">
        <v>1147</v>
      </c>
      <c r="C535" s="110">
        <v>2.0110000000000001</v>
      </c>
      <c r="D535" s="112">
        <v>42751</v>
      </c>
    </row>
    <row r="536" spans="1:4">
      <c r="A536" s="110" t="s">
        <v>1518</v>
      </c>
      <c r="B536" s="110" t="s">
        <v>1147</v>
      </c>
      <c r="C536" s="110">
        <v>2.036</v>
      </c>
      <c r="D536" s="112">
        <v>42751</v>
      </c>
    </row>
    <row r="537" spans="1:4">
      <c r="A537" s="110" t="s">
        <v>1517</v>
      </c>
      <c r="B537" s="110" t="s">
        <v>1147</v>
      </c>
      <c r="C537" s="110">
        <v>2.1070000000000002</v>
      </c>
      <c r="D537" s="112">
        <v>42751</v>
      </c>
    </row>
    <row r="538" spans="1:4">
      <c r="A538" s="110" t="s">
        <v>1516</v>
      </c>
      <c r="B538" s="110" t="s">
        <v>1147</v>
      </c>
      <c r="C538" s="110">
        <v>2.169</v>
      </c>
      <c r="D538" s="112">
        <v>42751</v>
      </c>
    </row>
    <row r="539" spans="1:4">
      <c r="A539" s="110" t="s">
        <v>1515</v>
      </c>
      <c r="B539" s="110" t="s">
        <v>1147</v>
      </c>
      <c r="C539" s="110">
        <v>2.0920000000000001</v>
      </c>
      <c r="D539" s="112">
        <v>42751</v>
      </c>
    </row>
    <row r="540" spans="1:4">
      <c r="A540" s="110" t="s">
        <v>1514</v>
      </c>
      <c r="B540" s="110" t="s">
        <v>1147</v>
      </c>
      <c r="C540" s="110">
        <v>2.0510000000000002</v>
      </c>
      <c r="D540" s="112">
        <v>42751</v>
      </c>
    </row>
    <row r="541" spans="1:4">
      <c r="A541" s="110" t="s">
        <v>1513</v>
      </c>
      <c r="B541" s="110" t="s">
        <v>1147</v>
      </c>
      <c r="C541" s="110">
        <v>1.9630000000000001</v>
      </c>
      <c r="D541" s="112">
        <v>42751</v>
      </c>
    </row>
    <row r="542" spans="1:4">
      <c r="A542" s="110" t="s">
        <v>1512</v>
      </c>
      <c r="B542" s="110" t="s">
        <v>1147</v>
      </c>
      <c r="C542" s="110">
        <v>2.1760000000000002</v>
      </c>
      <c r="D542" s="112">
        <v>42751</v>
      </c>
    </row>
    <row r="543" spans="1:4">
      <c r="A543" s="110" t="s">
        <v>1511</v>
      </c>
      <c r="B543" s="110" t="s">
        <v>1147</v>
      </c>
      <c r="C543" s="110">
        <v>2.1219999999999999</v>
      </c>
      <c r="D543" s="112">
        <v>42751</v>
      </c>
    </row>
    <row r="544" spans="1:4">
      <c r="A544" s="110" t="s">
        <v>1510</v>
      </c>
      <c r="B544" s="110" t="s">
        <v>1147</v>
      </c>
      <c r="C544" s="110">
        <v>2.0830000000000002</v>
      </c>
      <c r="D544" s="112">
        <v>42751</v>
      </c>
    </row>
    <row r="545" spans="1:4">
      <c r="A545" s="110" t="s">
        <v>1509</v>
      </c>
      <c r="B545" s="110" t="s">
        <v>1147</v>
      </c>
      <c r="C545" s="110">
        <v>1.978</v>
      </c>
      <c r="D545" s="112">
        <v>42751</v>
      </c>
    </row>
    <row r="546" spans="1:4">
      <c r="A546" s="110" t="s">
        <v>1508</v>
      </c>
      <c r="B546" s="110" t="s">
        <v>1147</v>
      </c>
      <c r="C546" s="110">
        <v>2.0779999999999998</v>
      </c>
      <c r="D546" s="112">
        <v>42751</v>
      </c>
    </row>
    <row r="547" spans="1:4">
      <c r="A547" s="110" t="s">
        <v>1507</v>
      </c>
      <c r="B547" s="110" t="s">
        <v>1147</v>
      </c>
      <c r="C547" s="110">
        <v>2.0920000000000001</v>
      </c>
      <c r="D547" s="112">
        <v>42751</v>
      </c>
    </row>
    <row r="548" spans="1:4">
      <c r="A548" s="110" t="s">
        <v>1506</v>
      </c>
      <c r="B548" s="110" t="s">
        <v>1147</v>
      </c>
      <c r="C548" s="110">
        <v>2.0830000000000002</v>
      </c>
      <c r="D548" s="112">
        <v>42751</v>
      </c>
    </row>
    <row r="549" spans="1:4">
      <c r="A549" s="110" t="s">
        <v>1505</v>
      </c>
      <c r="B549" s="110" t="s">
        <v>1147</v>
      </c>
      <c r="C549" s="110">
        <v>2.0720000000000001</v>
      </c>
      <c r="D549" s="112">
        <v>42751</v>
      </c>
    </row>
    <row r="550" spans="1:4">
      <c r="A550" s="110" t="s">
        <v>1504</v>
      </c>
      <c r="B550" s="110" t="s">
        <v>1147</v>
      </c>
      <c r="C550" s="110">
        <v>2.1429999999999998</v>
      </c>
      <c r="D550" s="112">
        <v>42751</v>
      </c>
    </row>
    <row r="551" spans="1:4">
      <c r="A551" s="110" t="s">
        <v>1503</v>
      </c>
      <c r="B551" s="110" t="s">
        <v>1147</v>
      </c>
      <c r="C551" s="110">
        <v>2.121</v>
      </c>
      <c r="D551" s="112">
        <v>42751</v>
      </c>
    </row>
    <row r="552" spans="1:4">
      <c r="A552" s="110" t="s">
        <v>1502</v>
      </c>
      <c r="B552" s="110" t="s">
        <v>1147</v>
      </c>
      <c r="C552" s="110">
        <v>2.169</v>
      </c>
      <c r="D552" s="112">
        <v>42751</v>
      </c>
    </row>
    <row r="553" spans="1:4">
      <c r="A553" s="110" t="s">
        <v>1501</v>
      </c>
      <c r="B553" s="110" t="s">
        <v>1147</v>
      </c>
      <c r="C553" s="110">
        <v>2.016</v>
      </c>
      <c r="D553" s="112">
        <v>42751</v>
      </c>
    </row>
    <row r="554" spans="1:4">
      <c r="A554" s="110" t="s">
        <v>1500</v>
      </c>
      <c r="B554" s="110" t="s">
        <v>1147</v>
      </c>
      <c r="C554" s="110">
        <v>2.097</v>
      </c>
      <c r="D554" s="112">
        <v>42751</v>
      </c>
    </row>
    <row r="555" spans="1:4">
      <c r="A555" s="110" t="s">
        <v>1499</v>
      </c>
      <c r="B555" s="110" t="s">
        <v>1147</v>
      </c>
      <c r="C555" s="110">
        <v>2.1160000000000001</v>
      </c>
      <c r="D555" s="112">
        <v>42751</v>
      </c>
    </row>
    <row r="556" spans="1:4">
      <c r="A556" s="110" t="s">
        <v>1498</v>
      </c>
      <c r="B556" s="110" t="s">
        <v>1147</v>
      </c>
      <c r="C556" s="110">
        <v>2.1110000000000002</v>
      </c>
      <c r="D556" s="112">
        <v>42751</v>
      </c>
    </row>
    <row r="557" spans="1:4">
      <c r="A557" s="110" t="s">
        <v>1497</v>
      </c>
      <c r="B557" s="110" t="s">
        <v>1147</v>
      </c>
      <c r="C557" s="110">
        <v>2.1139999999999999</v>
      </c>
      <c r="D557" s="112">
        <v>42751</v>
      </c>
    </row>
    <row r="558" spans="1:4">
      <c r="A558" s="110" t="s">
        <v>1496</v>
      </c>
      <c r="B558" s="110" t="s">
        <v>1147</v>
      </c>
      <c r="C558" s="110">
        <v>2.0840000000000001</v>
      </c>
      <c r="D558" s="112">
        <v>42751</v>
      </c>
    </row>
    <row r="559" spans="1:4">
      <c r="A559" s="110" t="s">
        <v>1495</v>
      </c>
      <c r="B559" s="110" t="s">
        <v>1147</v>
      </c>
      <c r="C559" s="110">
        <v>2.1469999999999998</v>
      </c>
      <c r="D559" s="112">
        <v>42751</v>
      </c>
    </row>
    <row r="560" spans="1:4">
      <c r="A560" s="110" t="s">
        <v>1494</v>
      </c>
      <c r="B560" s="110" t="s">
        <v>1147</v>
      </c>
      <c r="C560" s="110">
        <v>2.0329999999999999</v>
      </c>
      <c r="D560" s="112">
        <v>42751</v>
      </c>
    </row>
    <row r="561" spans="1:5">
      <c r="A561" s="110" t="s">
        <v>1493</v>
      </c>
      <c r="B561" s="110" t="s">
        <v>1147</v>
      </c>
      <c r="C561" s="110">
        <v>2.12</v>
      </c>
      <c r="D561" s="112">
        <v>42751</v>
      </c>
    </row>
    <row r="562" spans="1:5">
      <c r="A562" s="110" t="s">
        <v>1492</v>
      </c>
      <c r="B562" s="110" t="s">
        <v>1147</v>
      </c>
      <c r="C562" s="110">
        <v>2.1789999999999998</v>
      </c>
      <c r="D562" s="112">
        <v>42751</v>
      </c>
    </row>
    <row r="563" spans="1:5">
      <c r="A563" s="110" t="s">
        <v>1491</v>
      </c>
      <c r="B563" s="110" t="s">
        <v>1147</v>
      </c>
      <c r="C563" s="110">
        <v>2.085</v>
      </c>
      <c r="D563" s="112">
        <v>42751</v>
      </c>
    </row>
    <row r="564" spans="1:5">
      <c r="A564" s="110" t="s">
        <v>1490</v>
      </c>
      <c r="B564" s="110" t="s">
        <v>1147</v>
      </c>
      <c r="C564" s="110">
        <v>2.1219999999999999</v>
      </c>
      <c r="D564" s="112">
        <v>42751</v>
      </c>
    </row>
    <row r="565" spans="1:5">
      <c r="A565" s="110" t="s">
        <v>1489</v>
      </c>
      <c r="B565" s="110" t="s">
        <v>1147</v>
      </c>
      <c r="C565" s="110">
        <v>2.1259999999999999</v>
      </c>
      <c r="D565" s="112">
        <v>42751</v>
      </c>
    </row>
    <row r="566" spans="1:5">
      <c r="A566" s="110" t="s">
        <v>1488</v>
      </c>
      <c r="B566" s="110" t="s">
        <v>1147</v>
      </c>
      <c r="C566" s="110">
        <v>2.1419999999999999</v>
      </c>
      <c r="D566" s="112">
        <v>42751</v>
      </c>
    </row>
    <row r="567" spans="1:5">
      <c r="A567" s="110" t="s">
        <v>1487</v>
      </c>
      <c r="B567" s="110" t="s">
        <v>1147</v>
      </c>
      <c r="C567" s="110">
        <v>1.9390000000000001</v>
      </c>
      <c r="D567" s="112">
        <v>42751</v>
      </c>
    </row>
    <row r="568" spans="1:5">
      <c r="A568" s="110" t="s">
        <v>1486</v>
      </c>
      <c r="B568" s="110" t="s">
        <v>1147</v>
      </c>
      <c r="C568" s="110">
        <v>1.95</v>
      </c>
      <c r="D568" s="112">
        <v>42751</v>
      </c>
    </row>
    <row r="569" spans="1:5">
      <c r="A569" s="110" t="s">
        <v>1485</v>
      </c>
      <c r="B569" s="110" t="s">
        <v>1147</v>
      </c>
      <c r="C569" s="110">
        <v>2.109</v>
      </c>
      <c r="D569" s="112">
        <v>42751</v>
      </c>
    </row>
    <row r="570" spans="1:5">
      <c r="A570" s="110" t="s">
        <v>1484</v>
      </c>
      <c r="B570" s="110" t="s">
        <v>1147</v>
      </c>
      <c r="C570" s="110">
        <v>2.0449999999999999</v>
      </c>
      <c r="D570" s="112">
        <v>42751</v>
      </c>
    </row>
    <row r="571" spans="1:5">
      <c r="A571" s="110" t="s">
        <v>1483</v>
      </c>
      <c r="B571" s="110" t="s">
        <v>1147</v>
      </c>
      <c r="C571" s="110">
        <v>2.0569999999999999</v>
      </c>
      <c r="D571" s="112">
        <v>42751</v>
      </c>
    </row>
    <row r="572" spans="1:5">
      <c r="A572" s="110" t="s">
        <v>1482</v>
      </c>
      <c r="B572" s="110" t="s">
        <v>1147</v>
      </c>
      <c r="C572" s="110">
        <v>2.0059999999999998</v>
      </c>
      <c r="D572" s="112">
        <v>42751</v>
      </c>
    </row>
    <row r="573" spans="1:5">
      <c r="A573" s="175" t="s">
        <v>1481</v>
      </c>
      <c r="B573" s="175" t="s">
        <v>1147</v>
      </c>
      <c r="C573" s="175">
        <v>1.9950000000000001</v>
      </c>
      <c r="D573" s="176">
        <v>42751</v>
      </c>
      <c r="E573" s="175" t="s">
        <v>2466</v>
      </c>
    </row>
    <row r="574" spans="1:5">
      <c r="A574" s="110" t="s">
        <v>1480</v>
      </c>
      <c r="B574" s="110" t="s">
        <v>1147</v>
      </c>
      <c r="C574" s="110">
        <v>2.1040000000000001</v>
      </c>
      <c r="D574" s="112">
        <v>42751</v>
      </c>
    </row>
    <row r="575" spans="1:5">
      <c r="A575" s="110" t="s">
        <v>1479</v>
      </c>
      <c r="B575" s="110" t="s">
        <v>1147</v>
      </c>
      <c r="C575" s="110">
        <v>2.0489999999999999</v>
      </c>
      <c r="D575" s="112">
        <v>42751</v>
      </c>
    </row>
    <row r="576" spans="1:5">
      <c r="A576" s="110" t="s">
        <v>1478</v>
      </c>
      <c r="B576" s="110" t="s">
        <v>1147</v>
      </c>
      <c r="C576" s="110">
        <v>1.972</v>
      </c>
      <c r="D576" s="112">
        <v>42751</v>
      </c>
    </row>
    <row r="577" spans="1:4">
      <c r="A577" s="110" t="s">
        <v>1477</v>
      </c>
      <c r="B577" s="110" t="s">
        <v>1147</v>
      </c>
      <c r="C577" s="110">
        <v>2.0019999999999998</v>
      </c>
      <c r="D577" s="112">
        <v>42751</v>
      </c>
    </row>
    <row r="578" spans="1:4">
      <c r="A578" s="110" t="s">
        <v>1476</v>
      </c>
      <c r="B578" s="110" t="s">
        <v>1147</v>
      </c>
      <c r="C578" s="110">
        <v>1.984</v>
      </c>
      <c r="D578" s="112">
        <v>42751</v>
      </c>
    </row>
    <row r="579" spans="1:4">
      <c r="A579" s="110" t="s">
        <v>1475</v>
      </c>
      <c r="B579" s="110" t="s">
        <v>1147</v>
      </c>
      <c r="C579" s="110">
        <v>1.9970000000000001</v>
      </c>
      <c r="D579" s="112">
        <v>42751</v>
      </c>
    </row>
    <row r="580" spans="1:4">
      <c r="A580" s="110" t="s">
        <v>1474</v>
      </c>
      <c r="B580" s="110" t="s">
        <v>1147</v>
      </c>
      <c r="C580" s="110">
        <v>2.056</v>
      </c>
      <c r="D580" s="112">
        <v>42751</v>
      </c>
    </row>
    <row r="581" spans="1:4">
      <c r="A581" s="110" t="s">
        <v>1473</v>
      </c>
      <c r="B581" s="110" t="s">
        <v>1147</v>
      </c>
      <c r="C581" s="110">
        <v>1.9830000000000001</v>
      </c>
      <c r="D581" s="112">
        <v>42751</v>
      </c>
    </row>
    <row r="582" spans="1:4">
      <c r="A582" s="110" t="s">
        <v>1472</v>
      </c>
      <c r="B582" s="110" t="s">
        <v>1147</v>
      </c>
      <c r="C582" s="110">
        <v>1.998</v>
      </c>
      <c r="D582" s="112">
        <v>42751</v>
      </c>
    </row>
    <row r="583" spans="1:4">
      <c r="A583" s="110" t="s">
        <v>1471</v>
      </c>
      <c r="B583" s="110" t="s">
        <v>1147</v>
      </c>
      <c r="C583" s="110">
        <v>2.012</v>
      </c>
      <c r="D583" s="112">
        <v>42751</v>
      </c>
    </row>
    <row r="584" spans="1:4">
      <c r="A584" s="110" t="s">
        <v>1470</v>
      </c>
      <c r="B584" s="110" t="s">
        <v>1147</v>
      </c>
      <c r="C584" s="110">
        <v>2.1440000000000001</v>
      </c>
      <c r="D584" s="112">
        <v>42751</v>
      </c>
    </row>
    <row r="585" spans="1:4">
      <c r="A585" s="110" t="s">
        <v>1469</v>
      </c>
      <c r="B585" s="110" t="s">
        <v>1147</v>
      </c>
      <c r="C585" s="110">
        <v>2.0070000000000001</v>
      </c>
      <c r="D585" s="112">
        <v>42751</v>
      </c>
    </row>
    <row r="586" spans="1:4">
      <c r="A586" s="110" t="s">
        <v>1468</v>
      </c>
      <c r="B586" s="110" t="s">
        <v>1147</v>
      </c>
      <c r="C586" s="110">
        <v>2.0219999999999998</v>
      </c>
      <c r="D586" s="112">
        <v>42751</v>
      </c>
    </row>
    <row r="587" spans="1:4">
      <c r="A587" s="110" t="s">
        <v>1467</v>
      </c>
      <c r="B587" s="110" t="s">
        <v>1147</v>
      </c>
      <c r="C587" s="110">
        <v>2.1829999999999998</v>
      </c>
      <c r="D587" s="112">
        <v>42751</v>
      </c>
    </row>
    <row r="588" spans="1:4">
      <c r="A588" s="110" t="s">
        <v>1466</v>
      </c>
      <c r="B588" s="110" t="s">
        <v>1147</v>
      </c>
      <c r="C588" s="110">
        <v>2.1960000000000002</v>
      </c>
      <c r="D588" s="112">
        <v>42751</v>
      </c>
    </row>
    <row r="589" spans="1:4">
      <c r="A589" s="110" t="s">
        <v>1465</v>
      </c>
      <c r="B589" s="110" t="s">
        <v>1147</v>
      </c>
      <c r="C589" s="110">
        <v>2.1669999999999998</v>
      </c>
      <c r="D589" s="112">
        <v>42751</v>
      </c>
    </row>
    <row r="590" spans="1:4">
      <c r="A590" s="110" t="s">
        <v>1464</v>
      </c>
      <c r="B590" s="110" t="s">
        <v>1147</v>
      </c>
      <c r="C590" s="110">
        <v>1.9590000000000001</v>
      </c>
      <c r="D590" s="112">
        <v>42751</v>
      </c>
    </row>
    <row r="591" spans="1:4">
      <c r="A591" s="110" t="s">
        <v>1463</v>
      </c>
      <c r="B591" s="110" t="s">
        <v>1147</v>
      </c>
      <c r="C591" s="110">
        <v>2.0640000000000001</v>
      </c>
      <c r="D591" s="112">
        <v>42751</v>
      </c>
    </row>
    <row r="592" spans="1:4">
      <c r="A592" s="110" t="s">
        <v>1462</v>
      </c>
      <c r="B592" s="110" t="s">
        <v>1147</v>
      </c>
      <c r="C592" s="110">
        <v>2.14</v>
      </c>
      <c r="D592" s="112">
        <v>42751</v>
      </c>
    </row>
    <row r="593" spans="1:4">
      <c r="A593" s="110" t="s">
        <v>1461</v>
      </c>
      <c r="B593" s="110" t="s">
        <v>1147</v>
      </c>
      <c r="C593" s="110">
        <v>2.0419999999999998</v>
      </c>
      <c r="D593" s="112">
        <v>42751</v>
      </c>
    </row>
    <row r="594" spans="1:4">
      <c r="A594" s="110" t="s">
        <v>1460</v>
      </c>
      <c r="B594" s="110" t="s">
        <v>1147</v>
      </c>
      <c r="C594" s="110">
        <v>2.0830000000000002</v>
      </c>
      <c r="D594" s="112">
        <v>42751</v>
      </c>
    </row>
    <row r="595" spans="1:4">
      <c r="A595" s="110" t="s">
        <v>1459</v>
      </c>
      <c r="B595" s="110" t="s">
        <v>1147</v>
      </c>
      <c r="C595" s="110">
        <v>2.0920000000000001</v>
      </c>
      <c r="D595" s="112">
        <v>42751</v>
      </c>
    </row>
    <row r="596" spans="1:4">
      <c r="A596" s="110" t="s">
        <v>1458</v>
      </c>
      <c r="B596" s="110" t="s">
        <v>1147</v>
      </c>
      <c r="C596" s="110">
        <v>2.0699999999999998</v>
      </c>
      <c r="D596" s="112">
        <v>42751</v>
      </c>
    </row>
    <row r="597" spans="1:4">
      <c r="A597" s="110" t="s">
        <v>1457</v>
      </c>
      <c r="B597" s="110" t="s">
        <v>1147</v>
      </c>
      <c r="C597" s="110">
        <v>2.093</v>
      </c>
      <c r="D597" s="112">
        <v>42751</v>
      </c>
    </row>
    <row r="598" spans="1:4">
      <c r="A598" s="110" t="s">
        <v>1456</v>
      </c>
      <c r="B598" s="110" t="s">
        <v>1147</v>
      </c>
      <c r="C598" s="110">
        <v>2.0680000000000001</v>
      </c>
      <c r="D598" s="112">
        <v>42751</v>
      </c>
    </row>
    <row r="599" spans="1:4">
      <c r="A599" s="110" t="s">
        <v>1455</v>
      </c>
      <c r="B599" s="110" t="s">
        <v>1147</v>
      </c>
      <c r="C599" s="110">
        <v>2.1160000000000001</v>
      </c>
      <c r="D599" s="112">
        <v>42751</v>
      </c>
    </row>
    <row r="600" spans="1:4">
      <c r="A600" s="110" t="s">
        <v>1454</v>
      </c>
      <c r="B600" s="110" t="s">
        <v>1147</v>
      </c>
      <c r="C600" s="110">
        <v>2.0179999999999998</v>
      </c>
      <c r="D600" s="112">
        <v>42751</v>
      </c>
    </row>
    <row r="601" spans="1:4">
      <c r="A601" s="110" t="s">
        <v>1453</v>
      </c>
      <c r="B601" s="110" t="s">
        <v>1147</v>
      </c>
      <c r="C601" s="110">
        <v>1.948</v>
      </c>
      <c r="D601" s="112">
        <v>42751</v>
      </c>
    </row>
    <row r="602" spans="1:4">
      <c r="A602" s="110" t="s">
        <v>1452</v>
      </c>
      <c r="B602" s="110" t="s">
        <v>1147</v>
      </c>
      <c r="C602" s="110">
        <v>2.1680000000000001</v>
      </c>
      <c r="D602" s="112">
        <v>42751</v>
      </c>
    </row>
    <row r="603" spans="1:4">
      <c r="A603" s="110" t="s">
        <v>1451</v>
      </c>
      <c r="B603" s="110" t="s">
        <v>1147</v>
      </c>
      <c r="C603" s="110">
        <v>2.0760000000000001</v>
      </c>
      <c r="D603" s="112">
        <v>42751</v>
      </c>
    </row>
    <row r="604" spans="1:4">
      <c r="A604" s="110" t="s">
        <v>1450</v>
      </c>
      <c r="B604" s="110" t="s">
        <v>1147</v>
      </c>
      <c r="C604" s="110">
        <v>2.0049999999999999</v>
      </c>
      <c r="D604" s="112">
        <v>42751</v>
      </c>
    </row>
    <row r="605" spans="1:4">
      <c r="A605" s="110" t="s">
        <v>1449</v>
      </c>
      <c r="B605" s="110" t="s">
        <v>1147</v>
      </c>
      <c r="C605" s="110">
        <v>2.0099999999999998</v>
      </c>
      <c r="D605" s="112">
        <v>42752</v>
      </c>
    </row>
    <row r="606" spans="1:4">
      <c r="A606" s="110" t="s">
        <v>1448</v>
      </c>
      <c r="B606" s="110" t="s">
        <v>1147</v>
      </c>
      <c r="C606" s="110">
        <v>2.1030000000000002</v>
      </c>
      <c r="D606" s="112">
        <v>42752</v>
      </c>
    </row>
    <row r="607" spans="1:4">
      <c r="A607" s="110" t="s">
        <v>1447</v>
      </c>
      <c r="B607" s="110" t="s">
        <v>1147</v>
      </c>
      <c r="C607" s="110">
        <v>2.0430000000000001</v>
      </c>
      <c r="D607" s="112">
        <v>42752</v>
      </c>
    </row>
    <row r="608" spans="1:4">
      <c r="A608" s="110" t="s">
        <v>1446</v>
      </c>
      <c r="B608" s="110" t="s">
        <v>1147</v>
      </c>
      <c r="C608" s="110">
        <v>2.0390000000000001</v>
      </c>
      <c r="D608" s="112">
        <v>42752</v>
      </c>
    </row>
    <row r="609" spans="1:5">
      <c r="A609" s="110" t="s">
        <v>1445</v>
      </c>
      <c r="B609" s="110" t="s">
        <v>1147</v>
      </c>
      <c r="C609" s="110">
        <v>2.0459999999999998</v>
      </c>
      <c r="D609" s="112">
        <v>42752</v>
      </c>
    </row>
    <row r="610" spans="1:5">
      <c r="A610" s="110" t="s">
        <v>1444</v>
      </c>
      <c r="B610" s="110" t="s">
        <v>1147</v>
      </c>
      <c r="C610" s="110">
        <v>1.921</v>
      </c>
      <c r="D610" s="112">
        <v>42752</v>
      </c>
    </row>
    <row r="611" spans="1:5">
      <c r="A611" s="110" t="s">
        <v>1443</v>
      </c>
      <c r="B611" s="110" t="s">
        <v>1147</v>
      </c>
      <c r="C611" s="110">
        <v>1.9450000000000001</v>
      </c>
      <c r="D611" s="112">
        <v>42752</v>
      </c>
    </row>
    <row r="612" spans="1:5">
      <c r="A612" s="110" t="s">
        <v>1442</v>
      </c>
      <c r="B612" s="110" t="s">
        <v>1147</v>
      </c>
      <c r="C612" s="110">
        <v>2.0259999999999998</v>
      </c>
      <c r="D612" s="112">
        <v>42752</v>
      </c>
    </row>
    <row r="613" spans="1:5">
      <c r="A613" s="110" t="s">
        <v>1441</v>
      </c>
      <c r="B613" s="110" t="s">
        <v>1147</v>
      </c>
      <c r="C613" s="110">
        <v>2.089</v>
      </c>
      <c r="D613" s="112">
        <v>42752</v>
      </c>
    </row>
    <row r="614" spans="1:5">
      <c r="A614" s="110" t="s">
        <v>1440</v>
      </c>
      <c r="B614" s="110" t="s">
        <v>1147</v>
      </c>
      <c r="C614" s="110">
        <v>2.0379999999999998</v>
      </c>
      <c r="D614" s="112">
        <v>42752</v>
      </c>
    </row>
    <row r="615" spans="1:5">
      <c r="A615" s="175" t="s">
        <v>1439</v>
      </c>
      <c r="B615" s="175" t="s">
        <v>1147</v>
      </c>
      <c r="C615" s="175">
        <v>1.99</v>
      </c>
      <c r="D615" s="176">
        <v>42752</v>
      </c>
      <c r="E615" s="175" t="s">
        <v>2466</v>
      </c>
    </row>
    <row r="616" spans="1:5">
      <c r="A616" s="110" t="s">
        <v>1438</v>
      </c>
      <c r="B616" s="110" t="s">
        <v>1147</v>
      </c>
      <c r="C616" s="110">
        <v>2.004</v>
      </c>
      <c r="D616" s="112">
        <v>42752</v>
      </c>
    </row>
    <row r="617" spans="1:5">
      <c r="A617" s="110" t="s">
        <v>1437</v>
      </c>
      <c r="B617" s="110" t="s">
        <v>1147</v>
      </c>
      <c r="C617" s="110">
        <v>2.0339999999999998</v>
      </c>
      <c r="D617" s="112">
        <v>42752</v>
      </c>
    </row>
    <row r="618" spans="1:5">
      <c r="A618" s="110" t="s">
        <v>1436</v>
      </c>
      <c r="B618" s="110" t="s">
        <v>1147</v>
      </c>
      <c r="C618" s="110">
        <v>2.1709999999999998</v>
      </c>
      <c r="D618" s="112">
        <v>42752</v>
      </c>
    </row>
    <row r="619" spans="1:5">
      <c r="A619" s="110" t="s">
        <v>1435</v>
      </c>
      <c r="B619" s="110" t="s">
        <v>1147</v>
      </c>
      <c r="C619" s="110">
        <v>1.9630000000000001</v>
      </c>
      <c r="D619" s="112">
        <v>42752</v>
      </c>
    </row>
    <row r="620" spans="1:5">
      <c r="A620" s="110" t="s">
        <v>1434</v>
      </c>
      <c r="B620" s="110" t="s">
        <v>1147</v>
      </c>
      <c r="C620" s="110">
        <v>1.978</v>
      </c>
      <c r="D620" s="112">
        <v>42752</v>
      </c>
    </row>
    <row r="621" spans="1:5">
      <c r="A621" s="110" t="s">
        <v>1433</v>
      </c>
      <c r="B621" s="110" t="s">
        <v>1147</v>
      </c>
      <c r="C621" s="110">
        <v>2.0880000000000001</v>
      </c>
      <c r="D621" s="112">
        <v>42752</v>
      </c>
    </row>
    <row r="622" spans="1:5">
      <c r="A622" s="110" t="s">
        <v>1432</v>
      </c>
      <c r="B622" s="110" t="s">
        <v>1147</v>
      </c>
      <c r="C622" s="110">
        <v>2.0449999999999999</v>
      </c>
      <c r="D622" s="112">
        <v>42752</v>
      </c>
    </row>
    <row r="623" spans="1:5">
      <c r="A623" s="110" t="s">
        <v>1431</v>
      </c>
      <c r="B623" s="110" t="s">
        <v>1147</v>
      </c>
      <c r="C623" s="110">
        <v>2.036</v>
      </c>
      <c r="D623" s="112">
        <v>42752</v>
      </c>
    </row>
    <row r="624" spans="1:5">
      <c r="A624" s="110" t="s">
        <v>1430</v>
      </c>
      <c r="B624" s="110" t="s">
        <v>1147</v>
      </c>
      <c r="C624" s="110">
        <v>2.0019999999999998</v>
      </c>
      <c r="D624" s="112">
        <v>42752</v>
      </c>
    </row>
    <row r="625" spans="1:4">
      <c r="A625" s="110" t="s">
        <v>1429</v>
      </c>
      <c r="B625" s="110" t="s">
        <v>1147</v>
      </c>
      <c r="C625" s="110">
        <v>1.925</v>
      </c>
      <c r="D625" s="112">
        <v>42752</v>
      </c>
    </row>
    <row r="626" spans="1:4">
      <c r="A626" s="110" t="s">
        <v>1428</v>
      </c>
      <c r="B626" s="110" t="s">
        <v>1147</v>
      </c>
      <c r="C626" s="110">
        <v>1.978</v>
      </c>
      <c r="D626" s="112">
        <v>42752</v>
      </c>
    </row>
    <row r="627" spans="1:4">
      <c r="A627" s="110" t="s">
        <v>1427</v>
      </c>
      <c r="B627" s="110" t="s">
        <v>1147</v>
      </c>
      <c r="C627" s="110">
        <v>2.1040000000000001</v>
      </c>
      <c r="D627" s="112">
        <v>42752</v>
      </c>
    </row>
    <row r="628" spans="1:4">
      <c r="A628" s="110" t="s">
        <v>1426</v>
      </c>
      <c r="B628" s="110" t="s">
        <v>1147</v>
      </c>
      <c r="C628" s="110">
        <v>2.024</v>
      </c>
      <c r="D628" s="112">
        <v>42752</v>
      </c>
    </row>
    <row r="629" spans="1:4">
      <c r="A629" s="110" t="s">
        <v>1425</v>
      </c>
      <c r="B629" s="110" t="s">
        <v>1147</v>
      </c>
      <c r="C629" s="110">
        <v>1.9650000000000001</v>
      </c>
      <c r="D629" s="112">
        <v>42752</v>
      </c>
    </row>
    <row r="630" spans="1:4">
      <c r="A630" s="110" t="s">
        <v>1424</v>
      </c>
      <c r="B630" s="110" t="s">
        <v>1147</v>
      </c>
      <c r="C630" s="110">
        <v>2.1179999999999999</v>
      </c>
      <c r="D630" s="112">
        <v>42752</v>
      </c>
    </row>
    <row r="631" spans="1:4">
      <c r="A631" s="110" t="s">
        <v>1423</v>
      </c>
      <c r="B631" s="110" t="s">
        <v>1147</v>
      </c>
      <c r="C631" s="110">
        <v>2.153</v>
      </c>
      <c r="D631" s="112">
        <v>42752</v>
      </c>
    </row>
    <row r="632" spans="1:4">
      <c r="A632" s="110" t="s">
        <v>1422</v>
      </c>
      <c r="B632" s="110" t="s">
        <v>1147</v>
      </c>
      <c r="C632" s="110">
        <v>2.0739999999999998</v>
      </c>
      <c r="D632" s="112">
        <v>42752</v>
      </c>
    </row>
    <row r="633" spans="1:4">
      <c r="A633" s="110" t="s">
        <v>1421</v>
      </c>
      <c r="B633" s="110" t="s">
        <v>1147</v>
      </c>
      <c r="C633" s="110">
        <v>1.978</v>
      </c>
      <c r="D633" s="112">
        <v>42752</v>
      </c>
    </row>
    <row r="634" spans="1:4">
      <c r="A634" s="110" t="s">
        <v>1420</v>
      </c>
      <c r="B634" s="110" t="s">
        <v>1147</v>
      </c>
      <c r="C634" s="110">
        <v>2.12</v>
      </c>
      <c r="D634" s="112">
        <v>42752</v>
      </c>
    </row>
    <row r="635" spans="1:4">
      <c r="A635" s="110" t="s">
        <v>1419</v>
      </c>
      <c r="B635" s="110" t="s">
        <v>1147</v>
      </c>
      <c r="C635" s="110">
        <v>1.99</v>
      </c>
      <c r="D635" s="112">
        <v>42752</v>
      </c>
    </row>
    <row r="636" spans="1:4">
      <c r="A636" s="110" t="s">
        <v>1418</v>
      </c>
      <c r="B636" s="110" t="s">
        <v>1147</v>
      </c>
      <c r="C636" s="110">
        <v>2.0779999999999998</v>
      </c>
      <c r="D636" s="112">
        <v>42752</v>
      </c>
    </row>
    <row r="637" spans="1:4">
      <c r="A637" s="110" t="s">
        <v>1417</v>
      </c>
      <c r="B637" s="110" t="s">
        <v>1147</v>
      </c>
      <c r="C637" s="110">
        <v>2.0630000000000002</v>
      </c>
      <c r="D637" s="112">
        <v>42752</v>
      </c>
    </row>
    <row r="638" spans="1:4">
      <c r="A638" s="110" t="s">
        <v>1416</v>
      </c>
      <c r="B638" s="110" t="s">
        <v>1147</v>
      </c>
      <c r="C638" s="110">
        <v>2.02</v>
      </c>
      <c r="D638" s="112">
        <v>42752</v>
      </c>
    </row>
    <row r="639" spans="1:4">
      <c r="A639" s="110" t="s">
        <v>1415</v>
      </c>
      <c r="B639" s="110" t="s">
        <v>1147</v>
      </c>
      <c r="C639" s="110">
        <v>2.073</v>
      </c>
      <c r="D639" s="112">
        <v>42752</v>
      </c>
    </row>
    <row r="640" spans="1:4">
      <c r="A640" s="110" t="s">
        <v>1414</v>
      </c>
      <c r="B640" s="110" t="s">
        <v>1147</v>
      </c>
      <c r="C640" s="110">
        <v>2.133</v>
      </c>
      <c r="D640" s="112">
        <v>42752</v>
      </c>
    </row>
    <row r="641" spans="1:4">
      <c r="A641" s="110" t="s">
        <v>1413</v>
      </c>
      <c r="B641" s="110" t="s">
        <v>1147</v>
      </c>
      <c r="C641" s="110">
        <v>2.1110000000000002</v>
      </c>
      <c r="D641" s="112">
        <v>42752</v>
      </c>
    </row>
    <row r="642" spans="1:4">
      <c r="A642" s="110" t="s">
        <v>1412</v>
      </c>
      <c r="B642" s="110" t="s">
        <v>1147</v>
      </c>
      <c r="C642" s="110">
        <v>2.0409999999999999</v>
      </c>
      <c r="D642" s="112">
        <v>42752</v>
      </c>
    </row>
    <row r="643" spans="1:4">
      <c r="A643" s="110" t="s">
        <v>1411</v>
      </c>
      <c r="B643" s="110" t="s">
        <v>1147</v>
      </c>
      <c r="C643" s="110">
        <v>2.1909999999999998</v>
      </c>
      <c r="D643" s="112">
        <v>42752</v>
      </c>
    </row>
    <row r="644" spans="1:4">
      <c r="A644" s="110" t="s">
        <v>1410</v>
      </c>
      <c r="B644" s="110" t="s">
        <v>1147</v>
      </c>
      <c r="C644" s="110">
        <v>2.0640000000000001</v>
      </c>
      <c r="D644" s="112">
        <v>42752</v>
      </c>
    </row>
    <row r="645" spans="1:4">
      <c r="A645" s="110" t="s">
        <v>1409</v>
      </c>
      <c r="B645" s="110" t="s">
        <v>1147</v>
      </c>
      <c r="C645" s="110">
        <v>2.14</v>
      </c>
      <c r="D645" s="112">
        <v>42752</v>
      </c>
    </row>
    <row r="646" spans="1:4">
      <c r="A646" s="110" t="s">
        <v>1408</v>
      </c>
      <c r="B646" s="110" t="s">
        <v>1147</v>
      </c>
      <c r="C646" s="110">
        <v>2.1269999999999998</v>
      </c>
      <c r="D646" s="112">
        <v>42752</v>
      </c>
    </row>
    <row r="647" spans="1:4">
      <c r="A647" s="110" t="s">
        <v>1407</v>
      </c>
      <c r="B647" s="110" t="s">
        <v>1147</v>
      </c>
      <c r="C647" s="110">
        <v>2.0510000000000002</v>
      </c>
      <c r="D647" s="112">
        <v>42752</v>
      </c>
    </row>
    <row r="648" spans="1:4">
      <c r="A648" s="110" t="s">
        <v>1406</v>
      </c>
      <c r="B648" s="110" t="s">
        <v>1147</v>
      </c>
      <c r="C648" s="110">
        <v>2.157</v>
      </c>
      <c r="D648" s="112">
        <v>42752</v>
      </c>
    </row>
    <row r="649" spans="1:4">
      <c r="A649" s="110" t="s">
        <v>1405</v>
      </c>
      <c r="B649" s="110" t="s">
        <v>1147</v>
      </c>
      <c r="C649" s="110">
        <v>2.238</v>
      </c>
      <c r="D649" s="112">
        <v>42752</v>
      </c>
    </row>
    <row r="650" spans="1:4">
      <c r="A650" s="110" t="s">
        <v>1404</v>
      </c>
      <c r="B650" s="110" t="s">
        <v>1147</v>
      </c>
      <c r="C650" s="110">
        <v>2.1629999999999998</v>
      </c>
      <c r="D650" s="112">
        <v>42752</v>
      </c>
    </row>
    <row r="651" spans="1:4">
      <c r="A651" s="110" t="s">
        <v>1403</v>
      </c>
      <c r="B651" s="110" t="s">
        <v>1147</v>
      </c>
      <c r="C651" s="110">
        <v>2.1240000000000001</v>
      </c>
      <c r="D651" s="112">
        <v>42752</v>
      </c>
    </row>
    <row r="652" spans="1:4">
      <c r="A652" s="110" t="s">
        <v>1402</v>
      </c>
      <c r="B652" s="110" t="s">
        <v>1147</v>
      </c>
      <c r="C652" s="110">
        <v>2.0249999999999999</v>
      </c>
      <c r="D652" s="112">
        <v>42752</v>
      </c>
    </row>
    <row r="653" spans="1:4">
      <c r="A653" s="110" t="s">
        <v>1401</v>
      </c>
      <c r="B653" s="110" t="s">
        <v>1147</v>
      </c>
      <c r="C653" s="110">
        <v>2.1379999999999999</v>
      </c>
      <c r="D653" s="112">
        <v>42752</v>
      </c>
    </row>
    <row r="654" spans="1:4">
      <c r="A654" s="110" t="s">
        <v>1400</v>
      </c>
      <c r="B654" s="110" t="s">
        <v>1147</v>
      </c>
      <c r="C654" s="110">
        <v>2.0270000000000001</v>
      </c>
      <c r="D654" s="112">
        <v>42752</v>
      </c>
    </row>
    <row r="655" spans="1:4">
      <c r="A655" s="110" t="s">
        <v>1399</v>
      </c>
      <c r="B655" s="110" t="s">
        <v>1147</v>
      </c>
      <c r="C655" s="110">
        <v>1.97</v>
      </c>
      <c r="D655" s="112">
        <v>42752</v>
      </c>
    </row>
    <row r="656" spans="1:4">
      <c r="A656" s="110" t="s">
        <v>1398</v>
      </c>
      <c r="B656" s="110" t="s">
        <v>1147</v>
      </c>
      <c r="C656" s="110">
        <v>2.024</v>
      </c>
      <c r="D656" s="112">
        <v>42752</v>
      </c>
    </row>
    <row r="657" spans="1:4">
      <c r="A657" s="110" t="s">
        <v>1397</v>
      </c>
      <c r="B657" s="110" t="s">
        <v>1147</v>
      </c>
      <c r="C657" s="110">
        <v>2.089</v>
      </c>
      <c r="D657" s="112">
        <v>42752</v>
      </c>
    </row>
    <row r="658" spans="1:4">
      <c r="A658" s="110" t="s">
        <v>1396</v>
      </c>
      <c r="B658" s="110" t="s">
        <v>1147</v>
      </c>
      <c r="C658" s="110">
        <v>2.0169999999999999</v>
      </c>
      <c r="D658" s="112">
        <v>42752</v>
      </c>
    </row>
    <row r="659" spans="1:4">
      <c r="A659" s="110" t="s">
        <v>1395</v>
      </c>
      <c r="B659" s="110" t="s">
        <v>1147</v>
      </c>
      <c r="C659" s="110">
        <v>2.0009999999999999</v>
      </c>
      <c r="D659" s="112">
        <v>42752</v>
      </c>
    </row>
    <row r="660" spans="1:4">
      <c r="A660" s="110" t="s">
        <v>1394</v>
      </c>
      <c r="B660" s="110" t="s">
        <v>1147</v>
      </c>
      <c r="C660" s="110">
        <v>2.1320000000000001</v>
      </c>
      <c r="D660" s="112">
        <v>42752</v>
      </c>
    </row>
    <row r="661" spans="1:4">
      <c r="A661" s="110" t="s">
        <v>1393</v>
      </c>
      <c r="B661" s="110" t="s">
        <v>1147</v>
      </c>
      <c r="C661" s="110">
        <v>1.9910000000000001</v>
      </c>
      <c r="D661" s="112">
        <v>42752</v>
      </c>
    </row>
    <row r="662" spans="1:4">
      <c r="A662" s="110" t="s">
        <v>1392</v>
      </c>
      <c r="B662" s="110" t="s">
        <v>1147</v>
      </c>
      <c r="C662" s="110">
        <v>2.129</v>
      </c>
      <c r="D662" s="112">
        <v>42752</v>
      </c>
    </row>
    <row r="663" spans="1:4">
      <c r="A663" s="110" t="s">
        <v>1391</v>
      </c>
      <c r="B663" s="110" t="s">
        <v>1147</v>
      </c>
      <c r="C663" s="110">
        <v>2.0529999999999999</v>
      </c>
      <c r="D663" s="112">
        <v>42752</v>
      </c>
    </row>
    <row r="664" spans="1:4">
      <c r="A664" s="110" t="s">
        <v>1390</v>
      </c>
      <c r="B664" s="110" t="s">
        <v>1147</v>
      </c>
      <c r="C664" s="110">
        <v>2.0339999999999998</v>
      </c>
      <c r="D664" s="112">
        <v>42752</v>
      </c>
    </row>
    <row r="665" spans="1:4">
      <c r="A665" s="110" t="s">
        <v>1389</v>
      </c>
      <c r="B665" s="110" t="s">
        <v>1147</v>
      </c>
      <c r="C665" s="110">
        <v>2.0630000000000002</v>
      </c>
      <c r="D665" s="112">
        <v>42752</v>
      </c>
    </row>
    <row r="666" spans="1:4">
      <c r="A666" s="110" t="s">
        <v>1388</v>
      </c>
      <c r="B666" s="110" t="s">
        <v>1147</v>
      </c>
      <c r="C666" s="110">
        <v>2.1349999999999998</v>
      </c>
      <c r="D666" s="112">
        <v>42752</v>
      </c>
    </row>
    <row r="667" spans="1:4">
      <c r="A667" s="110" t="s">
        <v>1387</v>
      </c>
      <c r="B667" s="110" t="s">
        <v>1147</v>
      </c>
      <c r="C667" s="110">
        <v>2.0760000000000001</v>
      </c>
      <c r="D667" s="112">
        <v>42752</v>
      </c>
    </row>
    <row r="668" spans="1:4">
      <c r="A668" s="110" t="s">
        <v>1386</v>
      </c>
      <c r="B668" s="110" t="s">
        <v>1147</v>
      </c>
      <c r="C668" s="110">
        <v>2.0510000000000002</v>
      </c>
      <c r="D668" s="112">
        <v>42752</v>
      </c>
    </row>
    <row r="669" spans="1:4">
      <c r="A669" s="110" t="s">
        <v>1385</v>
      </c>
      <c r="B669" s="110" t="s">
        <v>1147</v>
      </c>
      <c r="C669" s="110">
        <v>2.09</v>
      </c>
      <c r="D669" s="112">
        <v>42752</v>
      </c>
    </row>
    <row r="670" spans="1:4">
      <c r="A670" s="110" t="s">
        <v>1384</v>
      </c>
      <c r="B670" s="110" t="s">
        <v>1147</v>
      </c>
      <c r="C670" s="110">
        <v>2.0819999999999999</v>
      </c>
      <c r="D670" s="112">
        <v>42752</v>
      </c>
    </row>
    <row r="671" spans="1:4">
      <c r="A671" s="110" t="s">
        <v>1383</v>
      </c>
      <c r="B671" s="110" t="s">
        <v>1147</v>
      </c>
      <c r="C671" s="110">
        <v>2.048</v>
      </c>
      <c r="D671" s="112">
        <v>42752</v>
      </c>
    </row>
    <row r="672" spans="1:4">
      <c r="A672" s="110" t="s">
        <v>1382</v>
      </c>
      <c r="B672" s="110" t="s">
        <v>1147</v>
      </c>
      <c r="C672" s="110">
        <v>2.0299999999999998</v>
      </c>
      <c r="D672" s="112">
        <v>42752</v>
      </c>
    </row>
    <row r="673" spans="1:4">
      <c r="A673" s="110" t="s">
        <v>1381</v>
      </c>
      <c r="B673" s="110" t="s">
        <v>1147</v>
      </c>
      <c r="C673" s="110">
        <v>1.9359999999999999</v>
      </c>
      <c r="D673" s="112">
        <v>42752</v>
      </c>
    </row>
    <row r="674" spans="1:4">
      <c r="A674" s="110" t="s">
        <v>1380</v>
      </c>
      <c r="B674" s="110" t="s">
        <v>1147</v>
      </c>
      <c r="C674" s="110">
        <v>2.0950000000000002</v>
      </c>
      <c r="D674" s="112">
        <v>42752</v>
      </c>
    </row>
    <row r="675" spans="1:4">
      <c r="A675" s="110" t="s">
        <v>1379</v>
      </c>
      <c r="B675" s="110" t="s">
        <v>1147</v>
      </c>
      <c r="C675" s="110">
        <v>2.0510000000000002</v>
      </c>
      <c r="D675" s="112">
        <v>42752</v>
      </c>
    </row>
    <row r="676" spans="1:4">
      <c r="A676" s="110" t="s">
        <v>1378</v>
      </c>
      <c r="B676" s="110" t="s">
        <v>1147</v>
      </c>
      <c r="C676" s="110">
        <v>2.0350000000000001</v>
      </c>
      <c r="D676" s="112">
        <v>42752</v>
      </c>
    </row>
    <row r="677" spans="1:4">
      <c r="A677" s="110" t="s">
        <v>1377</v>
      </c>
      <c r="B677" s="110" t="s">
        <v>1147</v>
      </c>
      <c r="C677" s="110">
        <v>2.1160000000000001</v>
      </c>
      <c r="D677" s="112">
        <v>42752</v>
      </c>
    </row>
    <row r="678" spans="1:4">
      <c r="A678" s="110" t="s">
        <v>1376</v>
      </c>
      <c r="B678" s="110" t="s">
        <v>1147</v>
      </c>
      <c r="C678" s="110">
        <v>1.9950000000000001</v>
      </c>
      <c r="D678" s="112">
        <v>42752</v>
      </c>
    </row>
    <row r="679" spans="1:4">
      <c r="A679" s="110" t="s">
        <v>1375</v>
      </c>
      <c r="B679" s="110" t="s">
        <v>1147</v>
      </c>
      <c r="C679" s="110">
        <v>1.9950000000000001</v>
      </c>
      <c r="D679" s="112">
        <v>42752</v>
      </c>
    </row>
    <row r="680" spans="1:4">
      <c r="A680" s="110" t="s">
        <v>1374</v>
      </c>
      <c r="B680" s="110" t="s">
        <v>1147</v>
      </c>
      <c r="C680" s="110">
        <v>2.048</v>
      </c>
      <c r="D680" s="112">
        <v>42752</v>
      </c>
    </row>
    <row r="681" spans="1:4">
      <c r="A681" s="110" t="s">
        <v>1373</v>
      </c>
      <c r="B681" s="110" t="s">
        <v>1147</v>
      </c>
      <c r="C681" s="110">
        <v>2.1269999999999998</v>
      </c>
      <c r="D681" s="112">
        <v>42752</v>
      </c>
    </row>
    <row r="682" spans="1:4">
      <c r="A682" s="110" t="s">
        <v>1372</v>
      </c>
      <c r="B682" s="110" t="s">
        <v>1147</v>
      </c>
      <c r="C682" s="110">
        <v>2.012</v>
      </c>
      <c r="D682" s="112">
        <v>42752</v>
      </c>
    </row>
    <row r="683" spans="1:4">
      <c r="A683" s="110" t="s">
        <v>1371</v>
      </c>
      <c r="B683" s="110" t="s">
        <v>1147</v>
      </c>
      <c r="C683" s="110">
        <v>2.052</v>
      </c>
      <c r="D683" s="112">
        <v>42752</v>
      </c>
    </row>
    <row r="684" spans="1:4">
      <c r="A684" s="110" t="s">
        <v>1370</v>
      </c>
      <c r="B684" s="110" t="s">
        <v>1147</v>
      </c>
      <c r="C684" s="110">
        <v>2.0049999999999999</v>
      </c>
      <c r="D684" s="112">
        <v>42752</v>
      </c>
    </row>
    <row r="685" spans="1:4">
      <c r="A685" s="110" t="s">
        <v>1369</v>
      </c>
      <c r="B685" s="110" t="s">
        <v>1147</v>
      </c>
      <c r="C685" s="110">
        <v>2.0790000000000002</v>
      </c>
      <c r="D685" s="112">
        <v>42752</v>
      </c>
    </row>
    <row r="686" spans="1:4">
      <c r="A686" s="110" t="s">
        <v>1368</v>
      </c>
      <c r="B686" s="110" t="s">
        <v>1147</v>
      </c>
      <c r="C686" s="110">
        <v>2.0230000000000001</v>
      </c>
      <c r="D686" s="112">
        <v>42752</v>
      </c>
    </row>
    <row r="687" spans="1:4">
      <c r="A687" s="110" t="s">
        <v>1367</v>
      </c>
      <c r="B687" s="110" t="s">
        <v>1147</v>
      </c>
      <c r="C687" s="110">
        <v>2.1179999999999999</v>
      </c>
      <c r="D687" s="112">
        <v>42752</v>
      </c>
    </row>
    <row r="688" spans="1:4">
      <c r="A688" s="110" t="s">
        <v>1366</v>
      </c>
      <c r="B688" s="110" t="s">
        <v>1147</v>
      </c>
      <c r="C688" s="110">
        <v>2.0819999999999999</v>
      </c>
      <c r="D688" s="112">
        <v>42752</v>
      </c>
    </row>
    <row r="689" spans="1:4">
      <c r="A689" s="110" t="s">
        <v>1365</v>
      </c>
      <c r="B689" s="110" t="s">
        <v>1147</v>
      </c>
      <c r="C689" s="110">
        <v>1.9810000000000001</v>
      </c>
      <c r="D689" s="112">
        <v>42752</v>
      </c>
    </row>
    <row r="690" spans="1:4">
      <c r="A690" s="110" t="s">
        <v>1364</v>
      </c>
      <c r="B690" s="110" t="s">
        <v>1147</v>
      </c>
      <c r="C690" s="110">
        <v>1.9510000000000001</v>
      </c>
      <c r="D690" s="112">
        <v>42752</v>
      </c>
    </row>
    <row r="691" spans="1:4">
      <c r="A691" s="110" t="s">
        <v>1363</v>
      </c>
      <c r="B691" s="110" t="s">
        <v>1147</v>
      </c>
      <c r="C691" s="110">
        <v>2.0649999999999999</v>
      </c>
      <c r="D691" s="112">
        <v>42752</v>
      </c>
    </row>
    <row r="692" spans="1:4">
      <c r="A692" s="110" t="s">
        <v>1362</v>
      </c>
      <c r="B692" s="110" t="s">
        <v>1147</v>
      </c>
      <c r="C692" s="110">
        <v>2.125</v>
      </c>
      <c r="D692" s="112">
        <v>42752</v>
      </c>
    </row>
    <row r="693" spans="1:4">
      <c r="A693" s="110" t="s">
        <v>1361</v>
      </c>
      <c r="B693" s="110" t="s">
        <v>1147</v>
      </c>
      <c r="C693" s="110">
        <v>2.0339999999999998</v>
      </c>
      <c r="D693" s="112">
        <v>42752</v>
      </c>
    </row>
    <row r="694" spans="1:4">
      <c r="A694" s="110" t="s">
        <v>1360</v>
      </c>
      <c r="B694" s="110" t="s">
        <v>1147</v>
      </c>
      <c r="C694" s="110">
        <v>2.0739999999999998</v>
      </c>
      <c r="D694" s="112">
        <v>42752</v>
      </c>
    </row>
    <row r="695" spans="1:4">
      <c r="A695" s="110" t="s">
        <v>1359</v>
      </c>
      <c r="B695" s="110" t="s">
        <v>1147</v>
      </c>
      <c r="C695" s="110">
        <v>2.0950000000000002</v>
      </c>
      <c r="D695" s="112">
        <v>42752</v>
      </c>
    </row>
    <row r="696" spans="1:4">
      <c r="A696" s="110" t="s">
        <v>1358</v>
      </c>
      <c r="B696" s="110" t="s">
        <v>1147</v>
      </c>
      <c r="C696" s="110">
        <v>2.028</v>
      </c>
      <c r="D696" s="112">
        <v>42752</v>
      </c>
    </row>
    <row r="697" spans="1:4">
      <c r="A697" s="110" t="s">
        <v>1357</v>
      </c>
      <c r="B697" s="110" t="s">
        <v>1147</v>
      </c>
      <c r="C697" s="110">
        <v>2.0710000000000002</v>
      </c>
      <c r="D697" s="112">
        <v>42752</v>
      </c>
    </row>
    <row r="698" spans="1:4">
      <c r="A698" s="110" t="s">
        <v>1356</v>
      </c>
      <c r="B698" s="110" t="s">
        <v>1147</v>
      </c>
      <c r="C698" s="110">
        <v>1.992</v>
      </c>
      <c r="D698" s="112">
        <v>42752</v>
      </c>
    </row>
    <row r="699" spans="1:4">
      <c r="A699" s="110" t="s">
        <v>1355</v>
      </c>
      <c r="B699" s="110" t="s">
        <v>1147</v>
      </c>
      <c r="C699" s="110">
        <v>2.0190000000000001</v>
      </c>
      <c r="D699" s="112">
        <v>42752</v>
      </c>
    </row>
    <row r="700" spans="1:4">
      <c r="A700" s="110" t="s">
        <v>1354</v>
      </c>
      <c r="B700" s="110" t="s">
        <v>1147</v>
      </c>
      <c r="C700" s="110">
        <v>2.036</v>
      </c>
      <c r="D700" s="112">
        <v>42752</v>
      </c>
    </row>
    <row r="701" spans="1:4">
      <c r="A701" s="110" t="s">
        <v>1353</v>
      </c>
      <c r="B701" s="110" t="s">
        <v>1147</v>
      </c>
      <c r="C701" s="110">
        <v>2.1110000000000002</v>
      </c>
      <c r="D701" s="112">
        <v>42752</v>
      </c>
    </row>
    <row r="702" spans="1:4">
      <c r="A702" s="110" t="s">
        <v>1352</v>
      </c>
      <c r="B702" s="110" t="s">
        <v>1147</v>
      </c>
      <c r="C702" s="110">
        <v>2.085</v>
      </c>
      <c r="D702" s="112">
        <v>42752</v>
      </c>
    </row>
    <row r="703" spans="1:4">
      <c r="A703" s="110" t="s">
        <v>1351</v>
      </c>
      <c r="B703" s="110" t="s">
        <v>1147</v>
      </c>
      <c r="C703" s="110">
        <v>1.984</v>
      </c>
      <c r="D703" s="112">
        <v>42752</v>
      </c>
    </row>
    <row r="704" spans="1:4">
      <c r="A704" s="110" t="s">
        <v>1350</v>
      </c>
      <c r="B704" s="110" t="s">
        <v>1147</v>
      </c>
      <c r="C704" s="110">
        <v>2.0190000000000001</v>
      </c>
      <c r="D704" s="112">
        <v>42752</v>
      </c>
    </row>
    <row r="705" spans="1:4">
      <c r="A705" s="110" t="s">
        <v>1349</v>
      </c>
      <c r="B705" s="110" t="s">
        <v>1147</v>
      </c>
      <c r="C705" s="110">
        <v>1.9159999999999999</v>
      </c>
      <c r="D705" s="112">
        <v>42752</v>
      </c>
    </row>
    <row r="706" spans="1:4">
      <c r="A706" s="110" t="s">
        <v>1348</v>
      </c>
      <c r="B706" s="110" t="s">
        <v>1147</v>
      </c>
      <c r="C706" s="110">
        <v>2.109</v>
      </c>
      <c r="D706" s="112">
        <v>42752</v>
      </c>
    </row>
    <row r="707" spans="1:4">
      <c r="A707" s="110" t="s">
        <v>1347</v>
      </c>
      <c r="B707" s="110" t="s">
        <v>1147</v>
      </c>
      <c r="C707" s="110">
        <v>1.9159999999999999</v>
      </c>
      <c r="D707" s="112">
        <v>42752</v>
      </c>
    </row>
    <row r="708" spans="1:4">
      <c r="A708" s="110" t="s">
        <v>1346</v>
      </c>
      <c r="B708" s="110" t="s">
        <v>1147</v>
      </c>
      <c r="C708" s="110">
        <v>2.0219999999999998</v>
      </c>
      <c r="D708" s="112">
        <v>42752</v>
      </c>
    </row>
    <row r="709" spans="1:4">
      <c r="A709" s="110" t="s">
        <v>1345</v>
      </c>
      <c r="B709" s="110" t="s">
        <v>1147</v>
      </c>
      <c r="C709" s="110">
        <v>1.9830000000000001</v>
      </c>
      <c r="D709" s="112">
        <v>42752</v>
      </c>
    </row>
    <row r="710" spans="1:4">
      <c r="A710" s="110" t="s">
        <v>1344</v>
      </c>
      <c r="B710" s="110" t="s">
        <v>1147</v>
      </c>
      <c r="C710" s="110">
        <v>1.9450000000000001</v>
      </c>
      <c r="D710" s="112">
        <v>42752</v>
      </c>
    </row>
    <row r="711" spans="1:4">
      <c r="A711" s="110" t="s">
        <v>1343</v>
      </c>
      <c r="B711" s="110" t="s">
        <v>1147</v>
      </c>
      <c r="C711" s="110">
        <v>2.008</v>
      </c>
      <c r="D711" s="112">
        <v>42752</v>
      </c>
    </row>
    <row r="712" spans="1:4">
      <c r="A712" s="110" t="s">
        <v>1342</v>
      </c>
      <c r="B712" s="110" t="s">
        <v>1147</v>
      </c>
      <c r="C712" s="110">
        <v>2.0030000000000001</v>
      </c>
      <c r="D712" s="112">
        <v>42752</v>
      </c>
    </row>
    <row r="713" spans="1:4">
      <c r="A713" s="110" t="s">
        <v>1341</v>
      </c>
      <c r="B713" s="110" t="s">
        <v>1147</v>
      </c>
      <c r="C713" s="110">
        <v>1.9670000000000001</v>
      </c>
      <c r="D713" s="112">
        <v>42752</v>
      </c>
    </row>
    <row r="714" spans="1:4">
      <c r="A714" s="110" t="s">
        <v>1340</v>
      </c>
      <c r="B714" s="110" t="s">
        <v>1147</v>
      </c>
      <c r="C714" s="110">
        <v>2.0270000000000001</v>
      </c>
      <c r="D714" s="112">
        <v>42752</v>
      </c>
    </row>
    <row r="715" spans="1:4">
      <c r="A715" s="110" t="s">
        <v>1339</v>
      </c>
      <c r="B715" s="110" t="s">
        <v>1147</v>
      </c>
      <c r="C715" s="110">
        <v>2.1070000000000002</v>
      </c>
      <c r="D715" s="112">
        <v>42752</v>
      </c>
    </row>
    <row r="716" spans="1:4">
      <c r="A716" s="110" t="s">
        <v>1338</v>
      </c>
      <c r="B716" s="110" t="s">
        <v>1147</v>
      </c>
      <c r="C716" s="110">
        <v>2.0630000000000002</v>
      </c>
      <c r="D716" s="112">
        <v>42752</v>
      </c>
    </row>
    <row r="717" spans="1:4">
      <c r="A717" s="110" t="s">
        <v>1337</v>
      </c>
      <c r="B717" s="110" t="s">
        <v>1147</v>
      </c>
      <c r="C717" s="110">
        <v>2.1779999999999999</v>
      </c>
      <c r="D717" s="112">
        <v>42752</v>
      </c>
    </row>
    <row r="718" spans="1:4">
      <c r="A718" s="110" t="s">
        <v>1336</v>
      </c>
      <c r="B718" s="110" t="s">
        <v>1147</v>
      </c>
      <c r="C718" s="110">
        <v>2.0459999999999998</v>
      </c>
      <c r="D718" s="112">
        <v>42752</v>
      </c>
    </row>
    <row r="719" spans="1:4">
      <c r="A719" s="110" t="s">
        <v>1335</v>
      </c>
      <c r="B719" s="110" t="s">
        <v>1147</v>
      </c>
      <c r="C719" s="110">
        <v>2.0179999999999998</v>
      </c>
      <c r="D719" s="112">
        <v>42752</v>
      </c>
    </row>
    <row r="720" spans="1:4">
      <c r="A720" s="110" t="s">
        <v>1334</v>
      </c>
      <c r="B720" s="110" t="s">
        <v>1147</v>
      </c>
      <c r="C720" s="110">
        <v>2.117</v>
      </c>
      <c r="D720" s="112">
        <v>42752</v>
      </c>
    </row>
    <row r="721" spans="1:4">
      <c r="A721" s="110" t="s">
        <v>1333</v>
      </c>
      <c r="B721" s="110" t="s">
        <v>1147</v>
      </c>
      <c r="C721" s="110">
        <v>1.944</v>
      </c>
      <c r="D721" s="112">
        <v>42752</v>
      </c>
    </row>
    <row r="722" spans="1:4">
      <c r="A722" s="110" t="s">
        <v>1332</v>
      </c>
      <c r="B722" s="110" t="s">
        <v>1147</v>
      </c>
      <c r="C722" s="110">
        <v>2.0369999999999999</v>
      </c>
      <c r="D722" s="112">
        <v>42752</v>
      </c>
    </row>
    <row r="723" spans="1:4">
      <c r="A723" s="110" t="s">
        <v>1331</v>
      </c>
      <c r="B723" s="110" t="s">
        <v>1147</v>
      </c>
      <c r="C723" s="110">
        <v>2.02</v>
      </c>
      <c r="D723" s="112">
        <v>42752</v>
      </c>
    </row>
    <row r="724" spans="1:4">
      <c r="A724" s="110" t="s">
        <v>1330</v>
      </c>
      <c r="B724" s="110" t="s">
        <v>1147</v>
      </c>
      <c r="C724" s="110">
        <v>2.0350000000000001</v>
      </c>
      <c r="D724" s="112">
        <v>42752</v>
      </c>
    </row>
    <row r="725" spans="1:4">
      <c r="A725" s="110" t="s">
        <v>1329</v>
      </c>
      <c r="B725" s="110" t="s">
        <v>1147</v>
      </c>
      <c r="C725" s="110">
        <v>1.9910000000000001</v>
      </c>
      <c r="D725" s="112">
        <v>42752</v>
      </c>
    </row>
    <row r="726" spans="1:4">
      <c r="A726" s="110" t="s">
        <v>1328</v>
      </c>
      <c r="B726" s="110" t="s">
        <v>1147</v>
      </c>
      <c r="C726" s="110">
        <v>2.0790000000000002</v>
      </c>
      <c r="D726" s="112">
        <v>42752</v>
      </c>
    </row>
    <row r="727" spans="1:4">
      <c r="A727" s="110" t="s">
        <v>1327</v>
      </c>
      <c r="B727" s="110" t="s">
        <v>1147</v>
      </c>
      <c r="C727" s="110">
        <v>2.0129999999999999</v>
      </c>
      <c r="D727" s="112">
        <v>42752</v>
      </c>
    </row>
    <row r="728" spans="1:4">
      <c r="A728" s="110" t="s">
        <v>1326</v>
      </c>
      <c r="B728" s="110" t="s">
        <v>1147</v>
      </c>
      <c r="C728" s="110">
        <v>2.0289999999999999</v>
      </c>
      <c r="D728" s="112">
        <v>42752</v>
      </c>
    </row>
    <row r="729" spans="1:4">
      <c r="A729" s="110" t="s">
        <v>1325</v>
      </c>
      <c r="B729" s="110" t="s">
        <v>1147</v>
      </c>
      <c r="C729" s="110">
        <v>2.0270000000000001</v>
      </c>
      <c r="D729" s="112">
        <v>42752</v>
      </c>
    </row>
    <row r="730" spans="1:4">
      <c r="A730" s="110" t="s">
        <v>1324</v>
      </c>
      <c r="B730" s="110" t="s">
        <v>1147</v>
      </c>
      <c r="C730" s="110">
        <v>1.9950000000000001</v>
      </c>
      <c r="D730" s="112">
        <v>42752</v>
      </c>
    </row>
    <row r="731" spans="1:4">
      <c r="A731" s="110" t="s">
        <v>1323</v>
      </c>
      <c r="B731" s="110" t="s">
        <v>1147</v>
      </c>
      <c r="C731" s="110">
        <v>2.0270000000000001</v>
      </c>
      <c r="D731" s="112">
        <v>42752</v>
      </c>
    </row>
    <row r="732" spans="1:4">
      <c r="A732" s="110" t="s">
        <v>1322</v>
      </c>
      <c r="B732" s="110" t="s">
        <v>1147</v>
      </c>
      <c r="C732" s="110">
        <v>1.962</v>
      </c>
      <c r="D732" s="112">
        <v>42752</v>
      </c>
    </row>
    <row r="733" spans="1:4">
      <c r="A733" s="110" t="s">
        <v>1321</v>
      </c>
      <c r="B733" s="110" t="s">
        <v>1147</v>
      </c>
      <c r="C733" s="110">
        <v>1.984</v>
      </c>
      <c r="D733" s="112">
        <v>42752</v>
      </c>
    </row>
    <row r="734" spans="1:4">
      <c r="A734" s="110" t="s">
        <v>1320</v>
      </c>
      <c r="B734" s="110" t="s">
        <v>1147</v>
      </c>
      <c r="C734" s="110">
        <v>2.048</v>
      </c>
      <c r="D734" s="112">
        <v>42752</v>
      </c>
    </row>
    <row r="735" spans="1:4">
      <c r="A735" s="110" t="s">
        <v>1319</v>
      </c>
      <c r="B735" s="110" t="s">
        <v>1147</v>
      </c>
      <c r="C735" s="110">
        <v>2.14</v>
      </c>
      <c r="D735" s="112">
        <v>42752</v>
      </c>
    </row>
    <row r="736" spans="1:4">
      <c r="A736" s="110" t="s">
        <v>1318</v>
      </c>
      <c r="B736" s="110" t="s">
        <v>1147</v>
      </c>
      <c r="C736" s="110">
        <v>2.0880000000000001</v>
      </c>
      <c r="D736" s="112">
        <v>42752</v>
      </c>
    </row>
    <row r="737" spans="1:4">
      <c r="A737" s="110" t="s">
        <v>1317</v>
      </c>
      <c r="B737" s="110" t="s">
        <v>1147</v>
      </c>
      <c r="C737" s="110">
        <v>1.8280000000000001</v>
      </c>
      <c r="D737" s="112">
        <v>42752</v>
      </c>
    </row>
    <row r="738" spans="1:4">
      <c r="A738" s="110" t="s">
        <v>1316</v>
      </c>
      <c r="B738" s="110" t="s">
        <v>1147</v>
      </c>
      <c r="C738" s="110">
        <v>1.9870000000000001</v>
      </c>
      <c r="D738" s="112">
        <v>42752</v>
      </c>
    </row>
    <row r="739" spans="1:4">
      <c r="A739" s="110" t="s">
        <v>1315</v>
      </c>
      <c r="B739" s="110" t="s">
        <v>1147</v>
      </c>
      <c r="C739" s="110">
        <v>2.0950000000000002</v>
      </c>
      <c r="D739" s="112">
        <v>42752</v>
      </c>
    </row>
    <row r="740" spans="1:4">
      <c r="A740" s="110" t="s">
        <v>1314</v>
      </c>
      <c r="B740" s="110" t="s">
        <v>1147</v>
      </c>
      <c r="C740" s="110">
        <v>2.0760000000000001</v>
      </c>
      <c r="D740" s="112">
        <v>42752</v>
      </c>
    </row>
    <row r="741" spans="1:4">
      <c r="A741" s="110" t="s">
        <v>1313</v>
      </c>
      <c r="B741" s="110" t="s">
        <v>1147</v>
      </c>
      <c r="C741" s="110">
        <v>1.841</v>
      </c>
      <c r="D741" s="112">
        <v>42752</v>
      </c>
    </row>
    <row r="742" spans="1:4">
      <c r="A742" s="110" t="s">
        <v>1312</v>
      </c>
      <c r="B742" s="110" t="s">
        <v>1147</v>
      </c>
      <c r="C742" s="110">
        <v>2.0089999999999999</v>
      </c>
      <c r="D742" s="112">
        <v>42752</v>
      </c>
    </row>
    <row r="743" spans="1:4">
      <c r="A743" s="110" t="s">
        <v>1311</v>
      </c>
      <c r="B743" s="110" t="s">
        <v>1147</v>
      </c>
      <c r="C743" s="110">
        <v>2.0499999999999998</v>
      </c>
      <c r="D743" s="112">
        <v>42752</v>
      </c>
    </row>
    <row r="744" spans="1:4">
      <c r="A744" s="110" t="s">
        <v>1310</v>
      </c>
      <c r="B744" s="110" t="s">
        <v>1147</v>
      </c>
      <c r="C744" s="110">
        <v>1.915</v>
      </c>
      <c r="D744" s="112">
        <v>42752</v>
      </c>
    </row>
    <row r="745" spans="1:4">
      <c r="A745" s="110" t="s">
        <v>1309</v>
      </c>
      <c r="B745" s="110" t="s">
        <v>1147</v>
      </c>
      <c r="C745" s="110">
        <v>2.1019999999999999</v>
      </c>
      <c r="D745" s="112">
        <v>42752</v>
      </c>
    </row>
    <row r="746" spans="1:4">
      <c r="A746" s="110" t="s">
        <v>1308</v>
      </c>
      <c r="B746" s="110" t="s">
        <v>1147</v>
      </c>
      <c r="C746" s="110">
        <v>2.0510000000000002</v>
      </c>
      <c r="D746" s="112">
        <v>42752</v>
      </c>
    </row>
    <row r="747" spans="1:4">
      <c r="A747" s="110" t="s">
        <v>1307</v>
      </c>
      <c r="B747" s="110" t="s">
        <v>1147</v>
      </c>
      <c r="C747" s="110">
        <v>2.0339999999999998</v>
      </c>
      <c r="D747" s="112">
        <v>42752</v>
      </c>
    </row>
    <row r="748" spans="1:4">
      <c r="A748" s="110" t="s">
        <v>1306</v>
      </c>
      <c r="B748" s="110" t="s">
        <v>1147</v>
      </c>
      <c r="C748" s="110">
        <v>2.085</v>
      </c>
      <c r="D748" s="112">
        <v>42752</v>
      </c>
    </row>
    <row r="749" spans="1:4">
      <c r="A749" s="110" t="s">
        <v>1305</v>
      </c>
      <c r="B749" s="110" t="s">
        <v>1147</v>
      </c>
      <c r="C749" s="110">
        <v>1.9570000000000001</v>
      </c>
      <c r="D749" s="112">
        <v>42752</v>
      </c>
    </row>
    <row r="750" spans="1:4">
      <c r="A750" s="110" t="s">
        <v>1304</v>
      </c>
      <c r="B750" s="110" t="s">
        <v>1147</v>
      </c>
      <c r="C750" s="110">
        <v>2.198</v>
      </c>
      <c r="D750" s="112">
        <v>42752</v>
      </c>
    </row>
    <row r="751" spans="1:4">
      <c r="A751" s="110" t="s">
        <v>1303</v>
      </c>
      <c r="B751" s="110" t="s">
        <v>1147</v>
      </c>
      <c r="C751" s="110">
        <v>2.044</v>
      </c>
      <c r="D751" s="112">
        <v>42752</v>
      </c>
    </row>
    <row r="752" spans="1:4">
      <c r="A752" s="110" t="s">
        <v>1302</v>
      </c>
      <c r="B752" s="110" t="s">
        <v>1147</v>
      </c>
      <c r="C752" s="110">
        <v>2.081</v>
      </c>
      <c r="D752" s="112">
        <v>42752</v>
      </c>
    </row>
    <row r="753" spans="1:4">
      <c r="A753" s="110" t="s">
        <v>1301</v>
      </c>
      <c r="B753" s="110" t="s">
        <v>1147</v>
      </c>
      <c r="C753" s="110">
        <v>2.0179999999999998</v>
      </c>
      <c r="D753" s="112">
        <v>42752</v>
      </c>
    </row>
    <row r="754" spans="1:4">
      <c r="A754" s="110" t="s">
        <v>1300</v>
      </c>
      <c r="B754" s="110" t="s">
        <v>1147</v>
      </c>
      <c r="C754" s="110">
        <v>1.966</v>
      </c>
      <c r="D754" s="112">
        <v>42752</v>
      </c>
    </row>
    <row r="755" spans="1:4">
      <c r="A755" s="110" t="s">
        <v>1299</v>
      </c>
      <c r="B755" s="110" t="s">
        <v>1147</v>
      </c>
      <c r="C755" s="110">
        <v>2.0750000000000002</v>
      </c>
      <c r="D755" s="112">
        <v>42752</v>
      </c>
    </row>
    <row r="756" spans="1:4">
      <c r="A756" s="110" t="s">
        <v>1298</v>
      </c>
      <c r="B756" s="110" t="s">
        <v>1147</v>
      </c>
      <c r="C756" s="110">
        <v>2.15</v>
      </c>
      <c r="D756" s="112">
        <v>42752</v>
      </c>
    </row>
    <row r="757" spans="1:4">
      <c r="A757" s="110" t="s">
        <v>1297</v>
      </c>
      <c r="B757" s="110" t="s">
        <v>1147</v>
      </c>
      <c r="C757" s="110">
        <v>2.0649999999999999</v>
      </c>
      <c r="D757" s="112">
        <v>42752</v>
      </c>
    </row>
    <row r="758" spans="1:4">
      <c r="A758" s="110" t="s">
        <v>1296</v>
      </c>
      <c r="B758" s="110" t="s">
        <v>1147</v>
      </c>
      <c r="C758" s="110">
        <v>2.0609999999999999</v>
      </c>
      <c r="D758" s="112">
        <v>42752</v>
      </c>
    </row>
    <row r="759" spans="1:4">
      <c r="A759" s="110" t="s">
        <v>1295</v>
      </c>
      <c r="B759" s="110" t="s">
        <v>1147</v>
      </c>
      <c r="C759" s="110">
        <v>2.0190000000000001</v>
      </c>
      <c r="D759" s="112">
        <v>42752</v>
      </c>
    </row>
    <row r="760" spans="1:4">
      <c r="A760" s="110" t="s">
        <v>1294</v>
      </c>
      <c r="B760" s="110" t="s">
        <v>1147</v>
      </c>
      <c r="C760" s="110">
        <v>2.1459999999999999</v>
      </c>
      <c r="D760" s="112">
        <v>42752</v>
      </c>
    </row>
    <row r="761" spans="1:4">
      <c r="A761" s="110" t="s">
        <v>1293</v>
      </c>
      <c r="B761" s="110" t="s">
        <v>1147</v>
      </c>
      <c r="C761" s="110">
        <v>2.0670000000000002</v>
      </c>
      <c r="D761" s="112">
        <v>42752</v>
      </c>
    </row>
    <row r="762" spans="1:4">
      <c r="A762" s="110" t="s">
        <v>1292</v>
      </c>
      <c r="B762" s="110" t="s">
        <v>1147</v>
      </c>
      <c r="C762" s="110">
        <v>2.0310000000000001</v>
      </c>
      <c r="D762" s="112">
        <v>42752</v>
      </c>
    </row>
    <row r="763" spans="1:4">
      <c r="A763" s="110" t="s">
        <v>1291</v>
      </c>
      <c r="B763" s="110" t="s">
        <v>1147</v>
      </c>
      <c r="C763" s="110">
        <v>2.0539999999999998</v>
      </c>
      <c r="D763" s="112">
        <v>42752</v>
      </c>
    </row>
    <row r="764" spans="1:4">
      <c r="A764" s="110" t="s">
        <v>1290</v>
      </c>
      <c r="B764" s="110" t="s">
        <v>1147</v>
      </c>
      <c r="C764" s="110">
        <v>1.948</v>
      </c>
      <c r="D764" s="112">
        <v>42752</v>
      </c>
    </row>
    <row r="765" spans="1:4">
      <c r="A765" s="110" t="s">
        <v>1289</v>
      </c>
      <c r="B765" s="110" t="s">
        <v>1147</v>
      </c>
      <c r="C765" s="110">
        <v>2.0110000000000001</v>
      </c>
      <c r="D765" s="112">
        <v>42752</v>
      </c>
    </row>
    <row r="766" spans="1:4">
      <c r="A766" s="110" t="s">
        <v>1288</v>
      </c>
      <c r="B766" s="110" t="s">
        <v>1147</v>
      </c>
      <c r="C766" s="110">
        <v>2.016</v>
      </c>
      <c r="D766" s="112">
        <v>42752</v>
      </c>
    </row>
    <row r="767" spans="1:4">
      <c r="A767" s="110" t="s">
        <v>1287</v>
      </c>
      <c r="B767" s="110" t="s">
        <v>1147</v>
      </c>
      <c r="C767" s="110">
        <v>2.0590000000000002</v>
      </c>
      <c r="D767" s="112">
        <v>42752</v>
      </c>
    </row>
    <row r="768" spans="1:4">
      <c r="A768" s="110" t="s">
        <v>1286</v>
      </c>
      <c r="B768" s="110" t="s">
        <v>1147</v>
      </c>
      <c r="C768" s="110">
        <v>1.9510000000000001</v>
      </c>
      <c r="D768" s="112">
        <v>42752</v>
      </c>
    </row>
    <row r="769" spans="1:4">
      <c r="A769" s="110" t="s">
        <v>1285</v>
      </c>
      <c r="B769" s="110" t="s">
        <v>1147</v>
      </c>
      <c r="C769" s="110">
        <v>2.08</v>
      </c>
      <c r="D769" s="112">
        <v>42752</v>
      </c>
    </row>
    <row r="770" spans="1:4">
      <c r="A770" s="110" t="s">
        <v>1284</v>
      </c>
      <c r="B770" s="110" t="s">
        <v>1147</v>
      </c>
      <c r="C770" s="110">
        <v>2.0409999999999999</v>
      </c>
      <c r="D770" s="112">
        <v>42752</v>
      </c>
    </row>
    <row r="771" spans="1:4">
      <c r="A771" s="110" t="s">
        <v>1283</v>
      </c>
      <c r="B771" s="110" t="s">
        <v>1147</v>
      </c>
      <c r="C771" s="110">
        <v>1.8879999999999999</v>
      </c>
      <c r="D771" s="112">
        <v>42752</v>
      </c>
    </row>
    <row r="772" spans="1:4">
      <c r="A772" s="110" t="s">
        <v>1282</v>
      </c>
      <c r="B772" s="110" t="s">
        <v>1147</v>
      </c>
      <c r="C772" s="110">
        <v>2.0089999999999999</v>
      </c>
      <c r="D772" s="112">
        <v>42752</v>
      </c>
    </row>
    <row r="773" spans="1:4">
      <c r="A773" s="110" t="s">
        <v>1281</v>
      </c>
      <c r="B773" s="110" t="s">
        <v>1147</v>
      </c>
      <c r="C773" s="110">
        <v>2.0550000000000002</v>
      </c>
      <c r="D773" s="112">
        <v>42752</v>
      </c>
    </row>
    <row r="774" spans="1:4">
      <c r="A774" s="110" t="s">
        <v>1280</v>
      </c>
      <c r="B774" s="110" t="s">
        <v>1147</v>
      </c>
      <c r="C774" s="110">
        <v>1.958</v>
      </c>
      <c r="D774" s="112">
        <v>42752</v>
      </c>
    </row>
    <row r="775" spans="1:4">
      <c r="A775" s="110" t="s">
        <v>1279</v>
      </c>
      <c r="B775" s="110" t="s">
        <v>1147</v>
      </c>
      <c r="C775" s="110">
        <v>1.9910000000000001</v>
      </c>
      <c r="D775" s="112">
        <v>42752</v>
      </c>
    </row>
    <row r="776" spans="1:4">
      <c r="A776" s="110" t="s">
        <v>1278</v>
      </c>
      <c r="B776" s="110" t="s">
        <v>1147</v>
      </c>
      <c r="C776" s="110">
        <v>2.0419999999999998</v>
      </c>
      <c r="D776" s="112">
        <v>42752</v>
      </c>
    </row>
    <row r="777" spans="1:4">
      <c r="A777" s="110" t="s">
        <v>1277</v>
      </c>
      <c r="B777" s="110" t="s">
        <v>1147</v>
      </c>
      <c r="C777" s="110">
        <v>1.718</v>
      </c>
      <c r="D777" s="112">
        <v>42752</v>
      </c>
    </row>
    <row r="778" spans="1:4">
      <c r="A778" s="110" t="s">
        <v>1276</v>
      </c>
      <c r="B778" s="110" t="s">
        <v>1147</v>
      </c>
      <c r="C778" s="110">
        <v>2.0049999999999999</v>
      </c>
      <c r="D778" s="112">
        <v>42752</v>
      </c>
    </row>
    <row r="779" spans="1:4">
      <c r="A779" s="110" t="s">
        <v>1275</v>
      </c>
      <c r="B779" s="110" t="s">
        <v>1147</v>
      </c>
      <c r="C779" s="110">
        <v>2.1389999999999998</v>
      </c>
      <c r="D779" s="112">
        <v>42752</v>
      </c>
    </row>
    <row r="780" spans="1:4">
      <c r="A780" s="110" t="s">
        <v>1274</v>
      </c>
      <c r="B780" s="110" t="s">
        <v>1147</v>
      </c>
      <c r="C780" s="110">
        <v>1.9790000000000001</v>
      </c>
      <c r="D780" s="112">
        <v>42752</v>
      </c>
    </row>
    <row r="781" spans="1:4">
      <c r="A781" s="110" t="s">
        <v>1273</v>
      </c>
      <c r="B781" s="110" t="s">
        <v>1147</v>
      </c>
      <c r="C781" s="110">
        <v>2.0470000000000002</v>
      </c>
      <c r="D781" s="112">
        <v>42752</v>
      </c>
    </row>
    <row r="782" spans="1:4">
      <c r="A782" s="110" t="s">
        <v>1272</v>
      </c>
      <c r="B782" s="110" t="s">
        <v>1147</v>
      </c>
      <c r="C782" s="110">
        <v>1.992</v>
      </c>
      <c r="D782" s="112">
        <v>42752</v>
      </c>
    </row>
    <row r="783" spans="1:4">
      <c r="A783" s="110" t="s">
        <v>1271</v>
      </c>
      <c r="B783" s="110" t="s">
        <v>1147</v>
      </c>
      <c r="C783" s="110">
        <v>2.0110000000000001</v>
      </c>
      <c r="D783" s="112">
        <v>42752</v>
      </c>
    </row>
    <row r="784" spans="1:4">
      <c r="A784" s="110" t="s">
        <v>1270</v>
      </c>
      <c r="B784" s="110" t="s">
        <v>1147</v>
      </c>
      <c r="C784" s="110">
        <v>1.962</v>
      </c>
      <c r="D784" s="112">
        <v>42752</v>
      </c>
    </row>
    <row r="785" spans="1:4">
      <c r="A785" s="110" t="s">
        <v>1269</v>
      </c>
      <c r="B785" s="110" t="s">
        <v>1147</v>
      </c>
      <c r="C785" s="110">
        <v>2.0920000000000001</v>
      </c>
      <c r="D785" s="112">
        <v>42752</v>
      </c>
    </row>
    <row r="786" spans="1:4">
      <c r="A786" s="110" t="s">
        <v>1268</v>
      </c>
      <c r="B786" s="110" t="s">
        <v>1147</v>
      </c>
      <c r="C786" s="110">
        <v>1.9510000000000001</v>
      </c>
      <c r="D786" s="112">
        <v>42752</v>
      </c>
    </row>
    <row r="787" spans="1:4">
      <c r="A787" s="110" t="s">
        <v>1267</v>
      </c>
      <c r="B787" s="110" t="s">
        <v>1147</v>
      </c>
      <c r="C787" s="110">
        <v>1.976</v>
      </c>
      <c r="D787" s="112">
        <v>42752</v>
      </c>
    </row>
    <row r="788" spans="1:4">
      <c r="A788" s="110" t="s">
        <v>1266</v>
      </c>
      <c r="B788" s="110" t="s">
        <v>1147</v>
      </c>
      <c r="C788" s="110">
        <v>2.1070000000000002</v>
      </c>
      <c r="D788" s="112">
        <v>42752</v>
      </c>
    </row>
    <row r="789" spans="1:4">
      <c r="A789" s="110" t="s">
        <v>1265</v>
      </c>
      <c r="B789" s="110" t="s">
        <v>1147</v>
      </c>
      <c r="C789" s="110">
        <v>2.008</v>
      </c>
      <c r="D789" s="112">
        <v>42752</v>
      </c>
    </row>
    <row r="790" spans="1:4">
      <c r="A790" s="110" t="s">
        <v>1264</v>
      </c>
      <c r="B790" s="110" t="s">
        <v>1147</v>
      </c>
      <c r="C790" s="110">
        <v>2.097</v>
      </c>
      <c r="D790" s="112">
        <v>42752</v>
      </c>
    </row>
    <row r="791" spans="1:4">
      <c r="A791" s="110" t="s">
        <v>1263</v>
      </c>
      <c r="B791" s="110" t="s">
        <v>1147</v>
      </c>
      <c r="C791" s="110">
        <v>2.11</v>
      </c>
      <c r="D791" s="112">
        <v>42752</v>
      </c>
    </row>
    <row r="792" spans="1:4">
      <c r="A792" s="110" t="s">
        <v>1262</v>
      </c>
      <c r="B792" s="110" t="s">
        <v>1147</v>
      </c>
      <c r="C792" s="110">
        <v>2.0699999999999998</v>
      </c>
      <c r="D792" s="112">
        <v>42752</v>
      </c>
    </row>
    <row r="793" spans="1:4">
      <c r="A793" s="110" t="s">
        <v>1261</v>
      </c>
      <c r="B793" s="110" t="s">
        <v>1147</v>
      </c>
      <c r="C793" s="110">
        <v>2.109</v>
      </c>
      <c r="D793" s="112">
        <v>42752</v>
      </c>
    </row>
    <row r="794" spans="1:4">
      <c r="A794" s="110" t="s">
        <v>1260</v>
      </c>
      <c r="B794" s="110" t="s">
        <v>1147</v>
      </c>
      <c r="C794" s="110">
        <v>2.0720000000000001</v>
      </c>
      <c r="D794" s="112">
        <v>42752</v>
      </c>
    </row>
    <row r="795" spans="1:4">
      <c r="A795" s="110" t="s">
        <v>1259</v>
      </c>
      <c r="B795" s="110" t="s">
        <v>1147</v>
      </c>
      <c r="C795" s="110">
        <v>2.0680000000000001</v>
      </c>
      <c r="D795" s="112">
        <v>42752</v>
      </c>
    </row>
    <row r="796" spans="1:4">
      <c r="A796" s="110" t="s">
        <v>1258</v>
      </c>
      <c r="B796" s="110" t="s">
        <v>1147</v>
      </c>
      <c r="C796" s="110">
        <v>2.0550000000000002</v>
      </c>
      <c r="D796" s="112">
        <v>42752</v>
      </c>
    </row>
    <row r="797" spans="1:4">
      <c r="A797" s="110" t="s">
        <v>1257</v>
      </c>
      <c r="B797" s="110" t="s">
        <v>1147</v>
      </c>
      <c r="C797" s="110">
        <v>2.0459999999999998</v>
      </c>
      <c r="D797" s="112">
        <v>42752</v>
      </c>
    </row>
    <row r="798" spans="1:4">
      <c r="A798" s="110" t="s">
        <v>1256</v>
      </c>
      <c r="B798" s="110" t="s">
        <v>1147</v>
      </c>
      <c r="C798" s="110">
        <v>2.0169999999999999</v>
      </c>
      <c r="D798" s="112">
        <v>42752</v>
      </c>
    </row>
    <row r="799" spans="1:4">
      <c r="A799" s="110" t="s">
        <v>1255</v>
      </c>
      <c r="B799" s="110" t="s">
        <v>1147</v>
      </c>
      <c r="C799" s="110">
        <v>1.9530000000000001</v>
      </c>
      <c r="D799" s="112">
        <v>42752</v>
      </c>
    </row>
    <row r="800" spans="1:4">
      <c r="A800" s="110" t="s">
        <v>1254</v>
      </c>
      <c r="B800" s="110" t="s">
        <v>1147</v>
      </c>
      <c r="C800" s="110">
        <v>2.1070000000000002</v>
      </c>
      <c r="D800" s="112">
        <v>42752</v>
      </c>
    </row>
    <row r="801" spans="1:4">
      <c r="A801" s="110" t="s">
        <v>1253</v>
      </c>
      <c r="B801" s="110" t="s">
        <v>1147</v>
      </c>
      <c r="C801" s="110">
        <v>2.0990000000000002</v>
      </c>
      <c r="D801" s="112">
        <v>42752</v>
      </c>
    </row>
    <row r="802" spans="1:4">
      <c r="A802" s="110" t="s">
        <v>1252</v>
      </c>
      <c r="B802" s="110" t="s">
        <v>1147</v>
      </c>
      <c r="C802" s="110">
        <v>2.089</v>
      </c>
      <c r="D802" s="112">
        <v>42752</v>
      </c>
    </row>
    <row r="803" spans="1:4">
      <c r="A803" s="110" t="s">
        <v>1251</v>
      </c>
      <c r="B803" s="110" t="s">
        <v>1147</v>
      </c>
      <c r="C803" s="110">
        <v>2.093</v>
      </c>
      <c r="D803" s="112">
        <v>42752</v>
      </c>
    </row>
    <row r="804" spans="1:4">
      <c r="A804" s="110" t="s">
        <v>1250</v>
      </c>
      <c r="B804" s="110" t="s">
        <v>1147</v>
      </c>
      <c r="C804" s="110">
        <v>2.1179999999999999</v>
      </c>
      <c r="D804" s="112">
        <v>42752</v>
      </c>
    </row>
    <row r="805" spans="1:4">
      <c r="A805" s="110" t="s">
        <v>1249</v>
      </c>
      <c r="B805" s="110" t="s">
        <v>1147</v>
      </c>
      <c r="C805" s="110">
        <v>2.0720000000000001</v>
      </c>
      <c r="D805" s="112">
        <v>42752</v>
      </c>
    </row>
    <row r="806" spans="1:4">
      <c r="A806" s="110" t="s">
        <v>1248</v>
      </c>
      <c r="B806" s="110" t="s">
        <v>1147</v>
      </c>
      <c r="C806" s="110">
        <v>2.194</v>
      </c>
      <c r="D806" s="112">
        <v>42752</v>
      </c>
    </row>
    <row r="807" spans="1:4">
      <c r="A807" s="110" t="s">
        <v>1247</v>
      </c>
      <c r="B807" s="110" t="s">
        <v>1147</v>
      </c>
      <c r="C807" s="110">
        <v>2.0590000000000002</v>
      </c>
      <c r="D807" s="112">
        <v>42752</v>
      </c>
    </row>
    <row r="808" spans="1:4">
      <c r="A808" s="110" t="s">
        <v>1246</v>
      </c>
      <c r="B808" s="110" t="s">
        <v>1147</v>
      </c>
      <c r="C808" s="110">
        <v>2.028</v>
      </c>
      <c r="D808" s="112">
        <v>42752</v>
      </c>
    </row>
    <row r="809" spans="1:4">
      <c r="A809" s="110" t="s">
        <v>1245</v>
      </c>
      <c r="B809" s="110" t="s">
        <v>1147</v>
      </c>
      <c r="C809" s="110">
        <v>1.9810000000000001</v>
      </c>
      <c r="D809" s="112">
        <v>42752</v>
      </c>
    </row>
    <row r="810" spans="1:4">
      <c r="A810" s="110" t="s">
        <v>1244</v>
      </c>
      <c r="B810" s="110" t="s">
        <v>1147</v>
      </c>
      <c r="C810" s="110">
        <v>2.0419999999999998</v>
      </c>
      <c r="D810" s="112">
        <v>42752</v>
      </c>
    </row>
    <row r="811" spans="1:4">
      <c r="A811" s="110" t="s">
        <v>1243</v>
      </c>
      <c r="B811" s="110" t="s">
        <v>1147</v>
      </c>
      <c r="C811" s="110">
        <v>2.0310000000000001</v>
      </c>
      <c r="D811" s="112">
        <v>42752</v>
      </c>
    </row>
    <row r="812" spans="1:4">
      <c r="A812" s="110" t="s">
        <v>1242</v>
      </c>
      <c r="B812" s="110" t="s">
        <v>1147</v>
      </c>
      <c r="C812" s="110">
        <v>1.86</v>
      </c>
      <c r="D812" s="112">
        <v>42752</v>
      </c>
    </row>
    <row r="813" spans="1:4">
      <c r="A813" s="110" t="s">
        <v>1241</v>
      </c>
      <c r="B813" s="110" t="s">
        <v>1147</v>
      </c>
      <c r="C813" s="110">
        <v>1.9279999999999999</v>
      </c>
      <c r="D813" s="112">
        <v>42752</v>
      </c>
    </row>
    <row r="814" spans="1:4">
      <c r="A814" s="110" t="s">
        <v>1240</v>
      </c>
      <c r="B814" s="110" t="s">
        <v>1147</v>
      </c>
      <c r="C814" s="110">
        <v>1.946</v>
      </c>
      <c r="D814" s="112">
        <v>42752</v>
      </c>
    </row>
    <row r="815" spans="1:4">
      <c r="A815" s="110" t="s">
        <v>1239</v>
      </c>
      <c r="B815" s="110" t="s">
        <v>1147</v>
      </c>
      <c r="C815" s="110">
        <v>1.9930000000000001</v>
      </c>
      <c r="D815" s="112">
        <v>42752</v>
      </c>
    </row>
    <row r="816" spans="1:4">
      <c r="A816" s="110" t="s">
        <v>1238</v>
      </c>
      <c r="B816" s="110" t="s">
        <v>1147</v>
      </c>
      <c r="C816" s="110">
        <v>2.0169999999999999</v>
      </c>
      <c r="D816" s="112">
        <v>42752</v>
      </c>
    </row>
    <row r="817" spans="1:4">
      <c r="A817" s="110" t="s">
        <v>1237</v>
      </c>
      <c r="B817" s="110" t="s">
        <v>1147</v>
      </c>
      <c r="C817" s="110">
        <v>1.9550000000000001</v>
      </c>
      <c r="D817" s="112">
        <v>42752</v>
      </c>
    </row>
    <row r="818" spans="1:4">
      <c r="A818" s="110" t="s">
        <v>1236</v>
      </c>
      <c r="B818" s="110" t="s">
        <v>1147</v>
      </c>
      <c r="C818" s="110">
        <v>2.1480000000000001</v>
      </c>
      <c r="D818" s="112">
        <v>42752</v>
      </c>
    </row>
    <row r="819" spans="1:4">
      <c r="A819" s="110" t="s">
        <v>1235</v>
      </c>
      <c r="B819" s="110" t="s">
        <v>1147</v>
      </c>
      <c r="C819" s="110">
        <v>1.998</v>
      </c>
      <c r="D819" s="112">
        <v>42752</v>
      </c>
    </row>
    <row r="820" spans="1:4">
      <c r="A820" s="110" t="s">
        <v>1234</v>
      </c>
      <c r="B820" s="110" t="s">
        <v>1147</v>
      </c>
      <c r="C820" s="110">
        <v>2.0139999999999998</v>
      </c>
      <c r="D820" s="112">
        <v>42752</v>
      </c>
    </row>
    <row r="821" spans="1:4">
      <c r="A821" s="110" t="s">
        <v>1233</v>
      </c>
      <c r="B821" s="110" t="s">
        <v>1147</v>
      </c>
      <c r="C821" s="110">
        <v>1.9770000000000001</v>
      </c>
      <c r="D821" s="112">
        <v>42752</v>
      </c>
    </row>
    <row r="822" spans="1:4">
      <c r="A822" s="110" t="s">
        <v>1232</v>
      </c>
      <c r="B822" s="110" t="s">
        <v>1147</v>
      </c>
      <c r="C822" s="110">
        <v>2.0099999999999998</v>
      </c>
      <c r="D822" s="112">
        <v>42752</v>
      </c>
    </row>
    <row r="823" spans="1:4">
      <c r="A823" s="110" t="s">
        <v>1231</v>
      </c>
      <c r="B823" s="110" t="s">
        <v>1147</v>
      </c>
      <c r="C823" s="110">
        <v>1.9770000000000001</v>
      </c>
      <c r="D823" s="112">
        <v>42752</v>
      </c>
    </row>
    <row r="824" spans="1:4">
      <c r="A824" s="110" t="s">
        <v>1230</v>
      </c>
      <c r="B824" s="110" t="s">
        <v>1147</v>
      </c>
      <c r="C824" s="110">
        <v>1.927</v>
      </c>
      <c r="D824" s="112">
        <v>42752</v>
      </c>
    </row>
    <row r="825" spans="1:4">
      <c r="A825" s="110" t="s">
        <v>1229</v>
      </c>
      <c r="B825" s="110" t="s">
        <v>1147</v>
      </c>
      <c r="C825" s="110">
        <v>1.9990000000000001</v>
      </c>
      <c r="D825" s="112">
        <v>42752</v>
      </c>
    </row>
    <row r="826" spans="1:4">
      <c r="A826" s="110" t="s">
        <v>1228</v>
      </c>
      <c r="B826" s="110" t="s">
        <v>1147</v>
      </c>
      <c r="C826" s="110">
        <v>2.02</v>
      </c>
      <c r="D826" s="112">
        <v>42752</v>
      </c>
    </row>
    <row r="827" spans="1:4">
      <c r="A827" s="110" t="s">
        <v>1227</v>
      </c>
      <c r="B827" s="110" t="s">
        <v>1147</v>
      </c>
      <c r="C827" s="110">
        <v>1.9630000000000001</v>
      </c>
      <c r="D827" s="112">
        <v>42752</v>
      </c>
    </row>
    <row r="828" spans="1:4">
      <c r="A828" s="110" t="s">
        <v>1226</v>
      </c>
      <c r="B828" s="110" t="s">
        <v>1147</v>
      </c>
      <c r="C828" s="110">
        <v>1.931</v>
      </c>
      <c r="D828" s="112">
        <v>42752</v>
      </c>
    </row>
    <row r="829" spans="1:4">
      <c r="A829" s="110" t="s">
        <v>1225</v>
      </c>
      <c r="B829" s="110" t="s">
        <v>1147</v>
      </c>
      <c r="C829" s="110">
        <v>2.1240000000000001</v>
      </c>
      <c r="D829" s="112">
        <v>42752</v>
      </c>
    </row>
    <row r="830" spans="1:4">
      <c r="A830" s="110" t="s">
        <v>1224</v>
      </c>
      <c r="B830" s="110" t="s">
        <v>1147</v>
      </c>
      <c r="C830" s="110">
        <v>2.15</v>
      </c>
      <c r="D830" s="112">
        <v>42752</v>
      </c>
    </row>
    <row r="831" spans="1:4">
      <c r="A831" s="110" t="s">
        <v>1223</v>
      </c>
      <c r="B831" s="110" t="s">
        <v>1147</v>
      </c>
      <c r="C831" s="110">
        <v>1.883</v>
      </c>
      <c r="D831" s="112">
        <v>42752</v>
      </c>
    </row>
    <row r="832" spans="1:4">
      <c r="A832" s="110" t="s">
        <v>1222</v>
      </c>
      <c r="B832" s="110" t="s">
        <v>1147</v>
      </c>
      <c r="C832" s="110">
        <v>1.986</v>
      </c>
      <c r="D832" s="112">
        <v>42752</v>
      </c>
    </row>
    <row r="833" spans="1:4">
      <c r="A833" s="110" t="s">
        <v>1221</v>
      </c>
      <c r="B833" s="110" t="s">
        <v>1147</v>
      </c>
      <c r="C833" s="110">
        <v>1.9610000000000001</v>
      </c>
      <c r="D833" s="112">
        <v>42752</v>
      </c>
    </row>
    <row r="834" spans="1:4">
      <c r="A834" s="110" t="s">
        <v>1220</v>
      </c>
      <c r="B834" s="110" t="s">
        <v>1147</v>
      </c>
      <c r="C834" s="110">
        <v>1.8939999999999999</v>
      </c>
      <c r="D834" s="112">
        <v>42752</v>
      </c>
    </row>
    <row r="835" spans="1:4">
      <c r="A835" s="110" t="s">
        <v>1219</v>
      </c>
      <c r="B835" s="110" t="s">
        <v>1147</v>
      </c>
      <c r="C835" s="110">
        <v>2.1190000000000002</v>
      </c>
      <c r="D835" s="112">
        <v>42752</v>
      </c>
    </row>
    <row r="836" spans="1:4">
      <c r="A836" s="110" t="s">
        <v>1218</v>
      </c>
      <c r="B836" s="110" t="s">
        <v>1147</v>
      </c>
      <c r="C836" s="110">
        <v>2.0470000000000002</v>
      </c>
      <c r="D836" s="112">
        <v>42752</v>
      </c>
    </row>
    <row r="837" spans="1:4">
      <c r="A837" s="110" t="s">
        <v>1217</v>
      </c>
      <c r="B837" s="110" t="s">
        <v>1147</v>
      </c>
      <c r="C837" s="110">
        <v>1.964</v>
      </c>
      <c r="D837" s="112">
        <v>42752</v>
      </c>
    </row>
    <row r="838" spans="1:4">
      <c r="A838" s="110" t="s">
        <v>1216</v>
      </c>
      <c r="B838" s="110" t="s">
        <v>1147</v>
      </c>
      <c r="C838" s="110">
        <v>1.956</v>
      </c>
      <c r="D838" s="112">
        <v>42752</v>
      </c>
    </row>
    <row r="839" spans="1:4">
      <c r="A839" s="110" t="s">
        <v>1215</v>
      </c>
      <c r="B839" s="110" t="s">
        <v>1147</v>
      </c>
      <c r="C839" s="110">
        <v>1.819</v>
      </c>
      <c r="D839" s="112">
        <v>42752</v>
      </c>
    </row>
    <row r="840" spans="1:4">
      <c r="A840" s="110" t="s">
        <v>1214</v>
      </c>
      <c r="B840" s="110" t="s">
        <v>1147</v>
      </c>
      <c r="C840" s="110">
        <v>2.0419999999999998</v>
      </c>
      <c r="D840" s="112">
        <v>42752</v>
      </c>
    </row>
    <row r="841" spans="1:4">
      <c r="A841" s="110" t="s">
        <v>1213</v>
      </c>
      <c r="B841" s="110" t="s">
        <v>1147</v>
      </c>
      <c r="C841" s="110">
        <v>1.1910000000000001</v>
      </c>
      <c r="D841" s="112">
        <v>42752</v>
      </c>
    </row>
    <row r="842" spans="1:4">
      <c r="A842" s="110" t="s">
        <v>1212</v>
      </c>
      <c r="B842" s="110" t="s">
        <v>1147</v>
      </c>
      <c r="C842" s="110">
        <v>2.0369999999999999</v>
      </c>
      <c r="D842" s="112">
        <v>42752</v>
      </c>
    </row>
    <row r="843" spans="1:4">
      <c r="A843" s="110" t="s">
        <v>1211</v>
      </c>
      <c r="B843" s="110" t="s">
        <v>1147</v>
      </c>
      <c r="C843" s="110">
        <v>2.0230000000000001</v>
      </c>
      <c r="D843" s="112">
        <v>42752</v>
      </c>
    </row>
    <row r="844" spans="1:4">
      <c r="A844" s="110" t="s">
        <v>1210</v>
      </c>
      <c r="B844" s="110" t="s">
        <v>1147</v>
      </c>
      <c r="C844" s="110">
        <v>2.056</v>
      </c>
      <c r="D844" s="112">
        <v>42752</v>
      </c>
    </row>
    <row r="845" spans="1:4">
      <c r="A845" s="110" t="s">
        <v>1209</v>
      </c>
      <c r="B845" s="110" t="s">
        <v>1147</v>
      </c>
      <c r="C845" s="110">
        <v>1.96</v>
      </c>
      <c r="D845" s="112">
        <v>42752</v>
      </c>
    </row>
    <row r="846" spans="1:4">
      <c r="A846" s="110" t="s">
        <v>1208</v>
      </c>
      <c r="B846" s="110" t="s">
        <v>1147</v>
      </c>
      <c r="C846" s="110">
        <v>1.9670000000000001</v>
      </c>
      <c r="D846" s="112">
        <v>42752</v>
      </c>
    </row>
    <row r="847" spans="1:4">
      <c r="A847" s="110" t="s">
        <v>1207</v>
      </c>
      <c r="B847" s="110" t="s">
        <v>1147</v>
      </c>
      <c r="C847" s="110">
        <v>1.964</v>
      </c>
      <c r="D847" s="112">
        <v>42752</v>
      </c>
    </row>
    <row r="848" spans="1:4">
      <c r="A848" s="110" t="s">
        <v>1206</v>
      </c>
      <c r="B848" s="110" t="s">
        <v>1147</v>
      </c>
      <c r="C848" s="110">
        <v>1.95</v>
      </c>
      <c r="D848" s="112">
        <v>42752</v>
      </c>
    </row>
    <row r="849" spans="1:4">
      <c r="A849" s="110" t="s">
        <v>1205</v>
      </c>
      <c r="B849" s="110" t="s">
        <v>1147</v>
      </c>
      <c r="C849" s="110">
        <v>2.0459999999999998</v>
      </c>
      <c r="D849" s="112">
        <v>42752</v>
      </c>
    </row>
    <row r="850" spans="1:4">
      <c r="A850" s="110" t="s">
        <v>1204</v>
      </c>
      <c r="B850" s="110" t="s">
        <v>1147</v>
      </c>
      <c r="C850" s="110">
        <v>2.0350000000000001</v>
      </c>
      <c r="D850" s="112">
        <v>42752</v>
      </c>
    </row>
    <row r="851" spans="1:4">
      <c r="A851" s="110" t="s">
        <v>1203</v>
      </c>
      <c r="B851" s="110" t="s">
        <v>1147</v>
      </c>
      <c r="C851" s="110">
        <v>2.1019999999999999</v>
      </c>
      <c r="D851" s="112">
        <v>42752</v>
      </c>
    </row>
    <row r="852" spans="1:4">
      <c r="A852" s="110" t="s">
        <v>1202</v>
      </c>
      <c r="B852" s="110" t="s">
        <v>1147</v>
      </c>
      <c r="C852" s="110">
        <v>2.0110000000000001</v>
      </c>
      <c r="D852" s="112">
        <v>42752</v>
      </c>
    </row>
    <row r="853" spans="1:4">
      <c r="A853" s="110" t="s">
        <v>1201</v>
      </c>
      <c r="B853" s="110" t="s">
        <v>1147</v>
      </c>
      <c r="C853" s="110">
        <v>2.1070000000000002</v>
      </c>
      <c r="D853" s="112">
        <v>42752</v>
      </c>
    </row>
    <row r="854" spans="1:4">
      <c r="A854" s="110" t="s">
        <v>1200</v>
      </c>
      <c r="B854" s="110" t="s">
        <v>1147</v>
      </c>
      <c r="C854" s="110">
        <v>2.0379999999999998</v>
      </c>
      <c r="D854" s="112">
        <v>42752</v>
      </c>
    </row>
    <row r="855" spans="1:4">
      <c r="A855" s="110" t="s">
        <v>1199</v>
      </c>
      <c r="B855" s="110" t="s">
        <v>1147</v>
      </c>
      <c r="C855" s="110">
        <v>1.9930000000000001</v>
      </c>
      <c r="D855" s="112">
        <v>42752</v>
      </c>
    </row>
    <row r="856" spans="1:4">
      <c r="A856" s="110" t="s">
        <v>1198</v>
      </c>
      <c r="B856" s="110" t="s">
        <v>1147</v>
      </c>
      <c r="C856" s="110">
        <v>2.0630000000000002</v>
      </c>
      <c r="D856" s="112">
        <v>42752</v>
      </c>
    </row>
    <row r="857" spans="1:4">
      <c r="A857" s="110" t="s">
        <v>1197</v>
      </c>
      <c r="B857" s="110" t="s">
        <v>1147</v>
      </c>
      <c r="C857" s="110">
        <v>1.972</v>
      </c>
      <c r="D857" s="112">
        <v>42752</v>
      </c>
    </row>
    <row r="858" spans="1:4">
      <c r="A858" s="110" t="s">
        <v>1196</v>
      </c>
      <c r="B858" s="110" t="s">
        <v>1147</v>
      </c>
      <c r="C858" s="110">
        <v>1.998</v>
      </c>
      <c r="D858" s="112">
        <v>42752</v>
      </c>
    </row>
    <row r="859" spans="1:4">
      <c r="A859" s="110" t="s">
        <v>1195</v>
      </c>
      <c r="B859" s="110" t="s">
        <v>1147</v>
      </c>
      <c r="C859" s="110">
        <v>1.9570000000000001</v>
      </c>
      <c r="D859" s="112">
        <v>42752</v>
      </c>
    </row>
    <row r="860" spans="1:4">
      <c r="A860" s="110" t="s">
        <v>1194</v>
      </c>
      <c r="B860" s="110" t="s">
        <v>1147</v>
      </c>
      <c r="C860" s="110">
        <v>1.9370000000000001</v>
      </c>
      <c r="D860" s="112">
        <v>42752</v>
      </c>
    </row>
    <row r="861" spans="1:4">
      <c r="A861" s="110" t="s">
        <v>1193</v>
      </c>
      <c r="B861" s="110" t="s">
        <v>1147</v>
      </c>
      <c r="C861" s="110">
        <v>1.927</v>
      </c>
      <c r="D861" s="112">
        <v>42752</v>
      </c>
    </row>
    <row r="862" spans="1:4">
      <c r="A862" s="110" t="s">
        <v>1192</v>
      </c>
      <c r="B862" s="110" t="s">
        <v>1147</v>
      </c>
      <c r="C862" s="110">
        <v>2.1040000000000001</v>
      </c>
      <c r="D862" s="112">
        <v>42752</v>
      </c>
    </row>
    <row r="863" spans="1:4">
      <c r="A863" s="110" t="s">
        <v>1191</v>
      </c>
      <c r="B863" s="110" t="s">
        <v>1147</v>
      </c>
      <c r="C863" s="110">
        <v>2</v>
      </c>
      <c r="D863" s="112">
        <v>42752</v>
      </c>
    </row>
    <row r="864" spans="1:4">
      <c r="A864" s="110" t="s">
        <v>1190</v>
      </c>
      <c r="B864" s="110" t="s">
        <v>1147</v>
      </c>
      <c r="C864" s="110">
        <v>1.9570000000000001</v>
      </c>
      <c r="D864" s="112">
        <v>42752</v>
      </c>
    </row>
    <row r="865" spans="1:4">
      <c r="A865" s="110" t="s">
        <v>1189</v>
      </c>
      <c r="B865" s="110" t="s">
        <v>1147</v>
      </c>
      <c r="C865" s="110">
        <v>1.9339999999999999</v>
      </c>
      <c r="D865" s="112">
        <v>42752</v>
      </c>
    </row>
    <row r="866" spans="1:4">
      <c r="A866" s="110" t="s">
        <v>1188</v>
      </c>
      <c r="B866" s="110" t="s">
        <v>1147</v>
      </c>
      <c r="C866" s="110">
        <v>1.996</v>
      </c>
      <c r="D866" s="112">
        <v>42752</v>
      </c>
    </row>
    <row r="867" spans="1:4">
      <c r="A867" s="110" t="s">
        <v>1187</v>
      </c>
      <c r="B867" s="110" t="s">
        <v>1147</v>
      </c>
      <c r="C867" s="110">
        <v>2.0230000000000001</v>
      </c>
      <c r="D867" s="112">
        <v>42752</v>
      </c>
    </row>
    <row r="868" spans="1:4">
      <c r="A868" s="110" t="s">
        <v>1186</v>
      </c>
      <c r="B868" s="110" t="s">
        <v>1147</v>
      </c>
      <c r="C868" s="110">
        <v>2.0310000000000001</v>
      </c>
      <c r="D868" s="112">
        <v>42752</v>
      </c>
    </row>
    <row r="869" spans="1:4">
      <c r="A869" s="110" t="s">
        <v>1185</v>
      </c>
      <c r="B869" s="110" t="s">
        <v>1147</v>
      </c>
      <c r="C869" s="110">
        <v>2.036</v>
      </c>
      <c r="D869" s="112">
        <v>42752</v>
      </c>
    </row>
    <row r="870" spans="1:4">
      <c r="A870" s="110" t="s">
        <v>1184</v>
      </c>
      <c r="B870" s="110" t="s">
        <v>1147</v>
      </c>
      <c r="C870" s="110">
        <v>2.0310000000000001</v>
      </c>
      <c r="D870" s="112">
        <v>42752</v>
      </c>
    </row>
    <row r="871" spans="1:4">
      <c r="A871" s="110" t="s">
        <v>1183</v>
      </c>
      <c r="B871" s="110" t="s">
        <v>1147</v>
      </c>
      <c r="C871" s="110">
        <v>1.907</v>
      </c>
      <c r="D871" s="112">
        <v>42752</v>
      </c>
    </row>
    <row r="872" spans="1:4">
      <c r="A872" s="110" t="s">
        <v>1182</v>
      </c>
      <c r="B872" s="110" t="s">
        <v>1147</v>
      </c>
      <c r="C872" s="110">
        <v>1.95</v>
      </c>
      <c r="D872" s="112">
        <v>42752</v>
      </c>
    </row>
    <row r="873" spans="1:4">
      <c r="A873" s="110" t="s">
        <v>1181</v>
      </c>
      <c r="B873" s="110" t="s">
        <v>1147</v>
      </c>
      <c r="C873" s="110">
        <v>2.0489999999999999</v>
      </c>
      <c r="D873" s="112">
        <v>42752</v>
      </c>
    </row>
    <row r="874" spans="1:4">
      <c r="A874" s="110" t="s">
        <v>1180</v>
      </c>
      <c r="B874" s="110" t="s">
        <v>1147</v>
      </c>
      <c r="C874" s="110">
        <v>1.972</v>
      </c>
      <c r="D874" s="112">
        <v>42752</v>
      </c>
    </row>
    <row r="875" spans="1:4">
      <c r="A875" s="110" t="s">
        <v>1179</v>
      </c>
      <c r="B875" s="110" t="s">
        <v>1147</v>
      </c>
      <c r="C875" s="110">
        <v>2.0680000000000001</v>
      </c>
      <c r="D875" s="112">
        <v>42752</v>
      </c>
    </row>
    <row r="876" spans="1:4">
      <c r="A876" s="110" t="s">
        <v>1178</v>
      </c>
      <c r="B876" s="110" t="s">
        <v>1147</v>
      </c>
      <c r="C876" s="110">
        <v>2.008</v>
      </c>
      <c r="D876" s="112">
        <v>42752</v>
      </c>
    </row>
    <row r="877" spans="1:4">
      <c r="A877" s="110" t="s">
        <v>1177</v>
      </c>
      <c r="B877" s="110" t="s">
        <v>1147</v>
      </c>
      <c r="C877" s="110">
        <v>2.0089999999999999</v>
      </c>
      <c r="D877" s="112">
        <v>42752</v>
      </c>
    </row>
    <row r="878" spans="1:4">
      <c r="A878" s="110" t="s">
        <v>1176</v>
      </c>
      <c r="B878" s="110" t="s">
        <v>1147</v>
      </c>
      <c r="C878" s="110">
        <v>2.032</v>
      </c>
      <c r="D878" s="112">
        <v>42752</v>
      </c>
    </row>
    <row r="879" spans="1:4">
      <c r="A879" s="110" t="s">
        <v>1175</v>
      </c>
      <c r="B879" s="110" t="s">
        <v>1147</v>
      </c>
      <c r="C879" s="110">
        <v>2.0880000000000001</v>
      </c>
      <c r="D879" s="112">
        <v>42752</v>
      </c>
    </row>
    <row r="880" spans="1:4">
      <c r="A880" s="110" t="s">
        <v>1174</v>
      </c>
      <c r="B880" s="110" t="s">
        <v>1147</v>
      </c>
      <c r="C880" s="110">
        <v>1.9550000000000001</v>
      </c>
      <c r="D880" s="112">
        <v>42752</v>
      </c>
    </row>
    <row r="881" spans="1:4">
      <c r="A881" s="110" t="s">
        <v>1173</v>
      </c>
      <c r="B881" s="110" t="s">
        <v>1147</v>
      </c>
      <c r="C881" s="110">
        <v>2.0649999999999999</v>
      </c>
      <c r="D881" s="112">
        <v>42752</v>
      </c>
    </row>
    <row r="882" spans="1:4">
      <c r="A882" s="110" t="s">
        <v>1172</v>
      </c>
      <c r="B882" s="110" t="s">
        <v>1147</v>
      </c>
      <c r="C882" s="110">
        <v>2.0939999999999999</v>
      </c>
      <c r="D882" s="112">
        <v>42752</v>
      </c>
    </row>
    <row r="883" spans="1:4">
      <c r="A883" s="110" t="s">
        <v>1171</v>
      </c>
      <c r="B883" s="110" t="s">
        <v>1147</v>
      </c>
      <c r="C883" s="110">
        <v>2.09</v>
      </c>
      <c r="D883" s="112">
        <v>42752</v>
      </c>
    </row>
    <row r="884" spans="1:4">
      <c r="A884" s="110" t="s">
        <v>1170</v>
      </c>
      <c r="B884" s="110" t="s">
        <v>1147</v>
      </c>
      <c r="C884" s="110">
        <v>2.1030000000000002</v>
      </c>
      <c r="D884" s="112">
        <v>42752</v>
      </c>
    </row>
    <row r="885" spans="1:4">
      <c r="A885" s="110" t="s">
        <v>1169</v>
      </c>
      <c r="B885" s="110" t="s">
        <v>1147</v>
      </c>
      <c r="C885" s="110">
        <v>1.9570000000000001</v>
      </c>
      <c r="D885" s="112">
        <v>42752</v>
      </c>
    </row>
    <row r="886" spans="1:4">
      <c r="A886" s="110" t="s">
        <v>1168</v>
      </c>
      <c r="B886" s="110" t="s">
        <v>1147</v>
      </c>
      <c r="C886" s="110">
        <v>2.0979999999999999</v>
      </c>
      <c r="D886" s="112">
        <v>42752</v>
      </c>
    </row>
    <row r="887" spans="1:4">
      <c r="A887" s="110" t="s">
        <v>1167</v>
      </c>
      <c r="B887" s="110" t="s">
        <v>1147</v>
      </c>
      <c r="C887" s="110">
        <v>2.073</v>
      </c>
      <c r="D887" s="112">
        <v>42752</v>
      </c>
    </row>
    <row r="888" spans="1:4">
      <c r="A888" s="110" t="s">
        <v>1166</v>
      </c>
      <c r="B888" s="110" t="s">
        <v>1147</v>
      </c>
      <c r="C888" s="110">
        <v>2.0710000000000002</v>
      </c>
      <c r="D888" s="112">
        <v>42752</v>
      </c>
    </row>
    <row r="889" spans="1:4">
      <c r="A889" s="110" t="s">
        <v>1165</v>
      </c>
      <c r="B889" s="110" t="s">
        <v>1147</v>
      </c>
      <c r="C889" s="110">
        <v>1.8939999999999999</v>
      </c>
      <c r="D889" s="112">
        <v>42752</v>
      </c>
    </row>
    <row r="890" spans="1:4">
      <c r="A890" s="110" t="s">
        <v>1164</v>
      </c>
      <c r="B890" s="110" t="s">
        <v>1147</v>
      </c>
      <c r="C890" s="110">
        <v>1.9590000000000001</v>
      </c>
      <c r="D890" s="112">
        <v>42752</v>
      </c>
    </row>
    <row r="891" spans="1:4">
      <c r="A891" s="110" t="s">
        <v>1163</v>
      </c>
      <c r="B891" s="110" t="s">
        <v>1147</v>
      </c>
      <c r="C891" s="110">
        <v>1.998</v>
      </c>
      <c r="D891" s="112">
        <v>42752</v>
      </c>
    </row>
    <row r="892" spans="1:4">
      <c r="A892" s="110" t="s">
        <v>1162</v>
      </c>
      <c r="B892" s="110" t="s">
        <v>1147</v>
      </c>
      <c r="C892" s="110">
        <v>2.089</v>
      </c>
      <c r="D892" s="112">
        <v>42752</v>
      </c>
    </row>
    <row r="893" spans="1:4">
      <c r="A893" s="110" t="s">
        <v>1161</v>
      </c>
      <c r="B893" s="110" t="s">
        <v>1147</v>
      </c>
      <c r="C893" s="110">
        <v>1.9830000000000001</v>
      </c>
      <c r="D893" s="112">
        <v>42752</v>
      </c>
    </row>
    <row r="894" spans="1:4">
      <c r="A894" s="110" t="s">
        <v>1160</v>
      </c>
      <c r="B894" s="110" t="s">
        <v>1147</v>
      </c>
      <c r="C894" s="110">
        <v>1.9930000000000001</v>
      </c>
      <c r="D894" s="112">
        <v>42752</v>
      </c>
    </row>
    <row r="895" spans="1:4">
      <c r="A895" s="110" t="s">
        <v>1159</v>
      </c>
      <c r="B895" s="110" t="s">
        <v>1147</v>
      </c>
      <c r="C895" s="110">
        <v>2.0169999999999999</v>
      </c>
      <c r="D895" s="112">
        <v>42752</v>
      </c>
    </row>
    <row r="896" spans="1:4">
      <c r="A896" s="110" t="s">
        <v>1158</v>
      </c>
      <c r="B896" s="110" t="s">
        <v>1147</v>
      </c>
      <c r="C896" s="110">
        <v>1.9510000000000001</v>
      </c>
      <c r="D896" s="112">
        <v>42752</v>
      </c>
    </row>
    <row r="897" spans="1:5">
      <c r="A897" s="110" t="s">
        <v>1157</v>
      </c>
      <c r="B897" s="110" t="s">
        <v>1147</v>
      </c>
      <c r="C897" s="110">
        <v>2.036</v>
      </c>
      <c r="D897" s="112">
        <v>42752</v>
      </c>
    </row>
    <row r="898" spans="1:5">
      <c r="A898" s="110" t="s">
        <v>1156</v>
      </c>
      <c r="B898" s="110" t="s">
        <v>1147</v>
      </c>
      <c r="C898" s="110">
        <v>1.9630000000000001</v>
      </c>
      <c r="D898" s="112">
        <v>42752</v>
      </c>
    </row>
    <row r="899" spans="1:5">
      <c r="A899" s="110" t="s">
        <v>1155</v>
      </c>
      <c r="B899" s="110" t="s">
        <v>1147</v>
      </c>
      <c r="C899" s="110">
        <v>1.9259999999999999</v>
      </c>
      <c r="D899" s="112">
        <v>42752</v>
      </c>
    </row>
    <row r="900" spans="1:5">
      <c r="A900" s="110" t="s">
        <v>1154</v>
      </c>
      <c r="B900" s="110" t="s">
        <v>1147</v>
      </c>
      <c r="C900" s="110">
        <v>1.982</v>
      </c>
      <c r="D900" s="112">
        <v>42752</v>
      </c>
    </row>
    <row r="901" spans="1:5">
      <c r="A901" s="110" t="s">
        <v>1153</v>
      </c>
      <c r="B901" s="110" t="s">
        <v>1147</v>
      </c>
      <c r="C901" s="110">
        <v>2.0299999999999998</v>
      </c>
      <c r="D901" s="112">
        <v>42752</v>
      </c>
    </row>
    <row r="902" spans="1:5">
      <c r="A902" s="110" t="s">
        <v>1152</v>
      </c>
      <c r="B902" s="110" t="s">
        <v>1147</v>
      </c>
      <c r="C902" s="110">
        <v>1.893</v>
      </c>
      <c r="D902" s="112">
        <v>42752</v>
      </c>
    </row>
    <row r="903" spans="1:5">
      <c r="A903" s="110" t="s">
        <v>1151</v>
      </c>
      <c r="B903" s="110" t="s">
        <v>1147</v>
      </c>
      <c r="C903" s="110">
        <v>2.0129999999999999</v>
      </c>
      <c r="D903" s="112">
        <v>42752</v>
      </c>
    </row>
    <row r="904" spans="1:5">
      <c r="A904" s="110" t="s">
        <v>1150</v>
      </c>
      <c r="B904" s="110" t="s">
        <v>1147</v>
      </c>
      <c r="C904" s="110">
        <v>2.0910000000000002</v>
      </c>
      <c r="D904" s="112">
        <v>42752</v>
      </c>
    </row>
    <row r="905" spans="1:5">
      <c r="A905" s="110" t="s">
        <v>1149</v>
      </c>
      <c r="B905" s="110" t="s">
        <v>1147</v>
      </c>
      <c r="C905" s="110">
        <v>2.0270000000000001</v>
      </c>
      <c r="D905" s="112">
        <v>42752</v>
      </c>
    </row>
    <row r="906" spans="1:5">
      <c r="A906" s="110" t="s">
        <v>1148</v>
      </c>
      <c r="B906" s="110" t="s">
        <v>1147</v>
      </c>
      <c r="C906" s="110">
        <v>2.0750000000000002</v>
      </c>
      <c r="D906" s="112">
        <v>42752</v>
      </c>
    </row>
    <row r="907" spans="1:5">
      <c r="A907" s="175" t="s">
        <v>2468</v>
      </c>
      <c r="B907" s="175" t="s">
        <v>1147</v>
      </c>
      <c r="C907" s="175">
        <v>2.0253999999999999</v>
      </c>
      <c r="D907" s="176">
        <v>43150</v>
      </c>
      <c r="E907" s="175" t="s">
        <v>2469</v>
      </c>
    </row>
    <row r="908" spans="1:5">
      <c r="A908" s="175" t="s">
        <v>2470</v>
      </c>
      <c r="B908" s="175" t="s">
        <v>1147</v>
      </c>
      <c r="C908" s="175">
        <v>2.125</v>
      </c>
      <c r="D908" s="176">
        <v>43150</v>
      </c>
      <c r="E908" s="175" t="s">
        <v>2469</v>
      </c>
    </row>
    <row r="909" spans="1:5">
      <c r="A909" s="110" t="s">
        <v>1140</v>
      </c>
      <c r="B909" s="110" t="s">
        <v>298</v>
      </c>
      <c r="C909" s="110">
        <v>2.2109999999999999</v>
      </c>
      <c r="D909" s="112">
        <v>42745</v>
      </c>
    </row>
    <row r="910" spans="1:5">
      <c r="A910" s="110" t="s">
        <v>1139</v>
      </c>
      <c r="B910" s="110" t="s">
        <v>298</v>
      </c>
      <c r="C910" s="110">
        <v>2.2679999999999998</v>
      </c>
      <c r="D910" s="112">
        <v>42745</v>
      </c>
    </row>
    <row r="911" spans="1:5">
      <c r="A911" s="110" t="s">
        <v>1138</v>
      </c>
      <c r="B911" s="110" t="s">
        <v>298</v>
      </c>
      <c r="C911" s="110">
        <v>2.242</v>
      </c>
      <c r="D911" s="112">
        <v>42745</v>
      </c>
    </row>
    <row r="912" spans="1:5">
      <c r="A912" s="110" t="s">
        <v>1137</v>
      </c>
      <c r="B912" s="110" t="s">
        <v>298</v>
      </c>
      <c r="C912" s="110">
        <v>2.1549999999999998</v>
      </c>
      <c r="D912" s="112">
        <v>42745</v>
      </c>
    </row>
    <row r="913" spans="1:5">
      <c r="A913" s="175" t="s">
        <v>1136</v>
      </c>
      <c r="B913" s="175" t="s">
        <v>298</v>
      </c>
      <c r="C913" s="175">
        <v>2.1800000000000002</v>
      </c>
      <c r="D913" s="176">
        <v>42745</v>
      </c>
      <c r="E913" s="175" t="s">
        <v>2466</v>
      </c>
    </row>
    <row r="914" spans="1:5">
      <c r="A914" s="110" t="s">
        <v>1135</v>
      </c>
      <c r="B914" s="110" t="s">
        <v>298</v>
      </c>
      <c r="C914" s="110">
        <v>2.226</v>
      </c>
      <c r="D914" s="112">
        <v>42745</v>
      </c>
    </row>
    <row r="915" spans="1:5">
      <c r="A915" s="110" t="s">
        <v>1134</v>
      </c>
      <c r="B915" s="110" t="s">
        <v>298</v>
      </c>
      <c r="C915" s="110">
        <v>2.2090000000000001</v>
      </c>
      <c r="D915" s="112">
        <v>42745</v>
      </c>
    </row>
    <row r="916" spans="1:5">
      <c r="A916" s="110" t="s">
        <v>1133</v>
      </c>
      <c r="B916" s="110" t="s">
        <v>298</v>
      </c>
      <c r="C916" s="110">
        <v>2.23</v>
      </c>
      <c r="D916" s="112">
        <v>42745</v>
      </c>
    </row>
    <row r="917" spans="1:5">
      <c r="A917" s="110" t="s">
        <v>1132</v>
      </c>
      <c r="B917" s="110" t="s">
        <v>298</v>
      </c>
      <c r="C917" s="110">
        <v>2.2679999999999998</v>
      </c>
      <c r="D917" s="112">
        <v>42745</v>
      </c>
    </row>
    <row r="918" spans="1:5">
      <c r="A918" s="110" t="s">
        <v>1131</v>
      </c>
      <c r="B918" s="110" t="s">
        <v>298</v>
      </c>
      <c r="C918" s="110">
        <v>2.29</v>
      </c>
      <c r="D918" s="112">
        <v>42745</v>
      </c>
    </row>
    <row r="919" spans="1:5">
      <c r="A919" s="110" t="s">
        <v>1130</v>
      </c>
      <c r="B919" s="110" t="s">
        <v>298</v>
      </c>
      <c r="C919" s="110">
        <v>2.2160000000000002</v>
      </c>
      <c r="D919" s="112">
        <v>42745</v>
      </c>
    </row>
    <row r="920" spans="1:5">
      <c r="A920" s="110" t="s">
        <v>1129</v>
      </c>
      <c r="B920" s="110" t="s">
        <v>298</v>
      </c>
      <c r="C920" s="110">
        <v>2.1709999999999998</v>
      </c>
      <c r="D920" s="112">
        <v>42745</v>
      </c>
    </row>
    <row r="921" spans="1:5">
      <c r="A921" s="110" t="s">
        <v>1128</v>
      </c>
      <c r="B921" s="110" t="s">
        <v>298</v>
      </c>
      <c r="C921" s="110">
        <v>2.2490000000000001</v>
      </c>
      <c r="D921" s="112">
        <v>42745</v>
      </c>
    </row>
    <row r="922" spans="1:5">
      <c r="A922" s="110" t="s">
        <v>1127</v>
      </c>
      <c r="B922" s="110" t="s">
        <v>298</v>
      </c>
      <c r="C922" s="110">
        <v>2.181</v>
      </c>
      <c r="D922" s="112">
        <v>42745</v>
      </c>
    </row>
    <row r="923" spans="1:5">
      <c r="A923" s="110" t="s">
        <v>1126</v>
      </c>
      <c r="B923" s="110" t="s">
        <v>298</v>
      </c>
      <c r="C923" s="110">
        <v>2.2269999999999999</v>
      </c>
      <c r="D923" s="112">
        <v>42745</v>
      </c>
    </row>
    <row r="924" spans="1:5">
      <c r="A924" s="110" t="s">
        <v>1125</v>
      </c>
      <c r="B924" s="110" t="s">
        <v>298</v>
      </c>
      <c r="C924" s="110">
        <v>2.2629999999999999</v>
      </c>
      <c r="D924" s="112">
        <v>42745</v>
      </c>
    </row>
    <row r="925" spans="1:5">
      <c r="A925" s="110" t="s">
        <v>1124</v>
      </c>
      <c r="B925" s="110" t="s">
        <v>298</v>
      </c>
      <c r="C925" s="110">
        <v>2.169</v>
      </c>
      <c r="D925" s="112">
        <v>42745</v>
      </c>
    </row>
    <row r="926" spans="1:5">
      <c r="A926" s="110" t="s">
        <v>1123</v>
      </c>
      <c r="B926" s="110" t="s">
        <v>298</v>
      </c>
      <c r="C926" s="110">
        <v>2.2519999999999998</v>
      </c>
      <c r="D926" s="112">
        <v>42745</v>
      </c>
    </row>
    <row r="927" spans="1:5">
      <c r="A927" s="110" t="s">
        <v>1122</v>
      </c>
      <c r="B927" s="110" t="s">
        <v>298</v>
      </c>
      <c r="C927" s="110">
        <v>2.2589999999999999</v>
      </c>
      <c r="D927" s="112">
        <v>42745</v>
      </c>
    </row>
    <row r="928" spans="1:5">
      <c r="A928" s="110" t="s">
        <v>1121</v>
      </c>
      <c r="B928" s="110" t="s">
        <v>298</v>
      </c>
      <c r="C928" s="110">
        <v>2.2400000000000002</v>
      </c>
      <c r="D928" s="112">
        <v>42745</v>
      </c>
    </row>
    <row r="929" spans="1:4">
      <c r="A929" s="110" t="s">
        <v>1120</v>
      </c>
      <c r="B929" s="110" t="s">
        <v>298</v>
      </c>
      <c r="C929" s="110">
        <v>2.0249999999999999</v>
      </c>
      <c r="D929" s="112">
        <v>42745</v>
      </c>
    </row>
    <row r="930" spans="1:4">
      <c r="A930" s="110" t="s">
        <v>1119</v>
      </c>
      <c r="B930" s="110" t="s">
        <v>298</v>
      </c>
      <c r="C930" s="110">
        <v>2.0590000000000002</v>
      </c>
      <c r="D930" s="112">
        <v>42745</v>
      </c>
    </row>
    <row r="931" spans="1:4">
      <c r="A931" s="110" t="s">
        <v>1118</v>
      </c>
      <c r="B931" s="110" t="s">
        <v>298</v>
      </c>
      <c r="C931" s="110">
        <v>2.2770000000000001</v>
      </c>
      <c r="D931" s="112">
        <v>42745</v>
      </c>
    </row>
    <row r="932" spans="1:4">
      <c r="A932" s="110" t="s">
        <v>1117</v>
      </c>
      <c r="B932" s="110" t="s">
        <v>298</v>
      </c>
      <c r="C932" s="110">
        <v>2.14</v>
      </c>
      <c r="D932" s="112">
        <v>42745</v>
      </c>
    </row>
    <row r="933" spans="1:4">
      <c r="A933" s="110" t="s">
        <v>1116</v>
      </c>
      <c r="B933" s="110" t="s">
        <v>298</v>
      </c>
      <c r="C933" s="110">
        <v>2.16</v>
      </c>
      <c r="D933" s="112">
        <v>42745</v>
      </c>
    </row>
    <row r="934" spans="1:4">
      <c r="A934" s="110" t="s">
        <v>1115</v>
      </c>
      <c r="B934" s="110" t="s">
        <v>298</v>
      </c>
      <c r="C934" s="110">
        <v>2.2559999999999998</v>
      </c>
      <c r="D934" s="112">
        <v>42745</v>
      </c>
    </row>
    <row r="935" spans="1:4">
      <c r="A935" s="110" t="s">
        <v>1114</v>
      </c>
      <c r="B935" s="110" t="s">
        <v>298</v>
      </c>
      <c r="C935" s="110">
        <v>2.0550000000000002</v>
      </c>
      <c r="D935" s="112">
        <v>42745</v>
      </c>
    </row>
    <row r="936" spans="1:4">
      <c r="A936" s="110" t="s">
        <v>1113</v>
      </c>
      <c r="B936" s="110" t="s">
        <v>298</v>
      </c>
      <c r="C936" s="110">
        <v>2.1030000000000002</v>
      </c>
      <c r="D936" s="112">
        <v>42745</v>
      </c>
    </row>
    <row r="937" spans="1:4">
      <c r="A937" s="110" t="s">
        <v>1112</v>
      </c>
      <c r="B937" s="110" t="s">
        <v>298</v>
      </c>
      <c r="C937" s="110">
        <v>2.2400000000000002</v>
      </c>
      <c r="D937" s="112">
        <v>42745</v>
      </c>
    </row>
    <row r="938" spans="1:4">
      <c r="A938" s="110" t="s">
        <v>1111</v>
      </c>
      <c r="B938" s="110" t="s">
        <v>298</v>
      </c>
      <c r="C938" s="110">
        <v>2.177</v>
      </c>
      <c r="D938" s="112">
        <v>42745</v>
      </c>
    </row>
    <row r="939" spans="1:4">
      <c r="A939" s="110" t="s">
        <v>1110</v>
      </c>
      <c r="B939" s="110" t="s">
        <v>298</v>
      </c>
      <c r="C939" s="110">
        <v>2.1589999999999998</v>
      </c>
      <c r="D939" s="112">
        <v>42745</v>
      </c>
    </row>
    <row r="940" spans="1:4">
      <c r="A940" s="110" t="s">
        <v>1109</v>
      </c>
      <c r="B940" s="110" t="s">
        <v>298</v>
      </c>
      <c r="C940" s="110">
        <v>2.2290000000000001</v>
      </c>
      <c r="D940" s="112">
        <v>42745</v>
      </c>
    </row>
    <row r="941" spans="1:4">
      <c r="A941" s="110" t="s">
        <v>1108</v>
      </c>
      <c r="B941" s="110" t="s">
        <v>298</v>
      </c>
      <c r="C941" s="110">
        <v>2.1989999999999998</v>
      </c>
      <c r="D941" s="112">
        <v>42745</v>
      </c>
    </row>
    <row r="942" spans="1:4">
      <c r="A942" s="110" t="s">
        <v>1107</v>
      </c>
      <c r="B942" s="110" t="s">
        <v>298</v>
      </c>
      <c r="C942" s="110">
        <v>2.1349999999999998</v>
      </c>
      <c r="D942" s="112">
        <v>42745</v>
      </c>
    </row>
    <row r="943" spans="1:4">
      <c r="A943" s="110" t="s">
        <v>1106</v>
      </c>
      <c r="B943" s="110" t="s">
        <v>298</v>
      </c>
      <c r="C943" s="110">
        <v>2.0630000000000002</v>
      </c>
      <c r="D943" s="112">
        <v>42745</v>
      </c>
    </row>
    <row r="944" spans="1:4">
      <c r="A944" s="110" t="s">
        <v>1105</v>
      </c>
      <c r="B944" s="110" t="s">
        <v>298</v>
      </c>
      <c r="C944" s="110">
        <v>2.298</v>
      </c>
      <c r="D944" s="112">
        <v>42745</v>
      </c>
    </row>
    <row r="945" spans="1:4">
      <c r="A945" s="110" t="s">
        <v>1104</v>
      </c>
      <c r="B945" s="110" t="s">
        <v>298</v>
      </c>
      <c r="C945" s="110">
        <v>2.0979999999999999</v>
      </c>
      <c r="D945" s="112">
        <v>42745</v>
      </c>
    </row>
    <row r="946" spans="1:4">
      <c r="A946" s="110" t="s">
        <v>1103</v>
      </c>
      <c r="B946" s="110" t="s">
        <v>298</v>
      </c>
      <c r="C946" s="110">
        <v>2.12</v>
      </c>
      <c r="D946" s="112">
        <v>42745</v>
      </c>
    </row>
    <row r="947" spans="1:4">
      <c r="A947" s="110" t="s">
        <v>1102</v>
      </c>
      <c r="B947" s="110" t="s">
        <v>298</v>
      </c>
      <c r="C947" s="110">
        <v>2.1429999999999998</v>
      </c>
      <c r="D947" s="112">
        <v>42745</v>
      </c>
    </row>
    <row r="948" spans="1:4">
      <c r="A948" s="110" t="s">
        <v>1101</v>
      </c>
      <c r="B948" s="110" t="s">
        <v>298</v>
      </c>
      <c r="C948" s="110">
        <v>2.121</v>
      </c>
      <c r="D948" s="112">
        <v>42745</v>
      </c>
    </row>
    <row r="949" spans="1:4">
      <c r="A949" s="110" t="s">
        <v>1100</v>
      </c>
      <c r="B949" s="110" t="s">
        <v>298</v>
      </c>
      <c r="C949" s="110">
        <v>2.2010000000000001</v>
      </c>
      <c r="D949" s="112">
        <v>42746</v>
      </c>
    </row>
    <row r="950" spans="1:4">
      <c r="A950" s="110" t="s">
        <v>1099</v>
      </c>
      <c r="B950" s="110" t="s">
        <v>298</v>
      </c>
      <c r="C950" s="110">
        <v>2.2389999999999999</v>
      </c>
      <c r="D950" s="112">
        <v>42746</v>
      </c>
    </row>
    <row r="951" spans="1:4">
      <c r="A951" s="110" t="s">
        <v>1098</v>
      </c>
      <c r="B951" s="110" t="s">
        <v>298</v>
      </c>
      <c r="C951" s="110">
        <v>2.2759999999999998</v>
      </c>
      <c r="D951" s="112">
        <v>42746</v>
      </c>
    </row>
    <row r="952" spans="1:4">
      <c r="A952" s="110" t="s">
        <v>1097</v>
      </c>
      <c r="B952" s="110" t="s">
        <v>298</v>
      </c>
      <c r="C952" s="110">
        <v>2.2480000000000002</v>
      </c>
      <c r="D952" s="112">
        <v>42746</v>
      </c>
    </row>
    <row r="953" spans="1:4">
      <c r="A953" s="110" t="s">
        <v>1096</v>
      </c>
      <c r="B953" s="110" t="s">
        <v>298</v>
      </c>
      <c r="C953" s="110">
        <v>2.1989999999999998</v>
      </c>
      <c r="D953" s="112">
        <v>42746</v>
      </c>
    </row>
    <row r="954" spans="1:4">
      <c r="A954" s="110" t="s">
        <v>1095</v>
      </c>
      <c r="B954" s="110" t="s">
        <v>298</v>
      </c>
      <c r="C954" s="110">
        <v>2.2890000000000001</v>
      </c>
      <c r="D954" s="112">
        <v>42746</v>
      </c>
    </row>
    <row r="955" spans="1:4">
      <c r="A955" s="110" t="s">
        <v>1094</v>
      </c>
      <c r="B955" s="110" t="s">
        <v>298</v>
      </c>
      <c r="C955" s="110">
        <v>2.1850000000000001</v>
      </c>
      <c r="D955" s="112">
        <v>42746</v>
      </c>
    </row>
    <row r="956" spans="1:4">
      <c r="A956" s="110" t="s">
        <v>1093</v>
      </c>
      <c r="B956" s="110" t="s">
        <v>298</v>
      </c>
      <c r="C956" s="110">
        <v>2.2149999999999999</v>
      </c>
      <c r="D956" s="112">
        <v>42746</v>
      </c>
    </row>
    <row r="957" spans="1:4">
      <c r="A957" s="110" t="s">
        <v>1092</v>
      </c>
      <c r="B957" s="110" t="s">
        <v>298</v>
      </c>
      <c r="C957" s="110">
        <v>2.2999999999999998</v>
      </c>
      <c r="D957" s="112">
        <v>42746</v>
      </c>
    </row>
    <row r="958" spans="1:4">
      <c r="A958" s="110" t="s">
        <v>1091</v>
      </c>
      <c r="B958" s="110" t="s">
        <v>298</v>
      </c>
      <c r="C958" s="110">
        <v>2.2490000000000001</v>
      </c>
      <c r="D958" s="112">
        <v>42746</v>
      </c>
    </row>
    <row r="959" spans="1:4">
      <c r="A959" s="110" t="s">
        <v>1090</v>
      </c>
      <c r="B959" s="110" t="s">
        <v>298</v>
      </c>
      <c r="C959" s="110">
        <v>2.3149999999999999</v>
      </c>
      <c r="D959" s="112">
        <v>42746</v>
      </c>
    </row>
    <row r="960" spans="1:4">
      <c r="A960" s="110" t="s">
        <v>1089</v>
      </c>
      <c r="B960" s="110" t="s">
        <v>298</v>
      </c>
      <c r="C960" s="110">
        <v>2.1629999999999998</v>
      </c>
      <c r="D960" s="112">
        <v>42746</v>
      </c>
    </row>
    <row r="961" spans="1:5">
      <c r="A961" s="110" t="s">
        <v>1088</v>
      </c>
      <c r="B961" s="110" t="s">
        <v>298</v>
      </c>
      <c r="C961" s="110">
        <v>2.2829999999999999</v>
      </c>
      <c r="D961" s="112">
        <v>42746</v>
      </c>
    </row>
    <row r="962" spans="1:5">
      <c r="A962" s="422" t="s">
        <v>1087</v>
      </c>
      <c r="B962" s="422" t="s">
        <v>298</v>
      </c>
      <c r="C962" s="422">
        <v>2.2069999999999999</v>
      </c>
      <c r="D962" s="423">
        <v>42746</v>
      </c>
      <c r="E962" s="422" t="s">
        <v>3939</v>
      </c>
    </row>
    <row r="963" spans="1:5">
      <c r="A963" s="110" t="s">
        <v>1086</v>
      </c>
      <c r="B963" s="110" t="s">
        <v>298</v>
      </c>
      <c r="C963" s="110">
        <v>2.2010000000000001</v>
      </c>
      <c r="D963" s="112">
        <v>42746</v>
      </c>
    </row>
    <row r="964" spans="1:5">
      <c r="A964" s="110" t="s">
        <v>1085</v>
      </c>
      <c r="B964" s="110" t="s">
        <v>298</v>
      </c>
      <c r="C964" s="110">
        <v>2.1829999999999998</v>
      </c>
      <c r="D964" s="112">
        <v>42746</v>
      </c>
    </row>
    <row r="965" spans="1:5">
      <c r="A965" s="110" t="s">
        <v>1084</v>
      </c>
      <c r="B965" s="110" t="s">
        <v>298</v>
      </c>
      <c r="C965" s="110">
        <v>2.1890000000000001</v>
      </c>
      <c r="D965" s="112">
        <v>42746</v>
      </c>
    </row>
    <row r="966" spans="1:5">
      <c r="A966" s="110" t="s">
        <v>1083</v>
      </c>
      <c r="B966" s="110" t="s">
        <v>298</v>
      </c>
      <c r="C966" s="110">
        <v>2.1760000000000002</v>
      </c>
      <c r="D966" s="112">
        <v>42746</v>
      </c>
    </row>
    <row r="967" spans="1:5">
      <c r="A967" s="110" t="s">
        <v>1082</v>
      </c>
      <c r="B967" s="110" t="s">
        <v>298</v>
      </c>
      <c r="C967" s="110">
        <v>2.2029999999999998</v>
      </c>
      <c r="D967" s="112">
        <v>42746</v>
      </c>
    </row>
    <row r="968" spans="1:5">
      <c r="A968" s="110" t="s">
        <v>1081</v>
      </c>
      <c r="B968" s="110" t="s">
        <v>298</v>
      </c>
      <c r="C968" s="110">
        <v>2.3220000000000001</v>
      </c>
      <c r="D968" s="112">
        <v>42746</v>
      </c>
    </row>
    <row r="969" spans="1:5">
      <c r="A969" s="110" t="s">
        <v>1080</v>
      </c>
      <c r="B969" s="110" t="s">
        <v>298</v>
      </c>
      <c r="C969" s="110">
        <v>2.2450000000000001</v>
      </c>
      <c r="D969" s="112">
        <v>42746</v>
      </c>
    </row>
    <row r="970" spans="1:5">
      <c r="A970" s="110" t="s">
        <v>1079</v>
      </c>
      <c r="B970" s="110" t="s">
        <v>298</v>
      </c>
      <c r="C970" s="110">
        <v>2.3660000000000001</v>
      </c>
      <c r="D970" s="112">
        <v>42746</v>
      </c>
    </row>
    <row r="971" spans="1:5">
      <c r="A971" s="110" t="s">
        <v>1078</v>
      </c>
      <c r="B971" s="110" t="s">
        <v>298</v>
      </c>
      <c r="C971" s="110">
        <v>2.1749999999999998</v>
      </c>
      <c r="D971" s="112">
        <v>42746</v>
      </c>
    </row>
    <row r="972" spans="1:5">
      <c r="A972" s="110" t="s">
        <v>1077</v>
      </c>
      <c r="B972" s="110" t="s">
        <v>298</v>
      </c>
      <c r="C972" s="110">
        <v>2.2879999999999998</v>
      </c>
      <c r="D972" s="112">
        <v>42746</v>
      </c>
    </row>
    <row r="973" spans="1:5">
      <c r="A973" s="110" t="s">
        <v>1076</v>
      </c>
      <c r="B973" s="110" t="s">
        <v>298</v>
      </c>
      <c r="C973" s="110">
        <v>2.2559999999999998</v>
      </c>
      <c r="D973" s="112">
        <v>42746</v>
      </c>
    </row>
    <row r="974" spans="1:5">
      <c r="A974" s="110" t="s">
        <v>1075</v>
      </c>
      <c r="B974" s="110" t="s">
        <v>298</v>
      </c>
      <c r="C974" s="110">
        <v>2.1120000000000001</v>
      </c>
      <c r="D974" s="112">
        <v>42746</v>
      </c>
    </row>
    <row r="975" spans="1:5">
      <c r="A975" s="110" t="s">
        <v>1074</v>
      </c>
      <c r="B975" s="110" t="s">
        <v>298</v>
      </c>
      <c r="C975" s="110">
        <v>2.1859999999999999</v>
      </c>
      <c r="D975" s="112">
        <v>42746</v>
      </c>
    </row>
    <row r="976" spans="1:5">
      <c r="A976" s="110" t="s">
        <v>1073</v>
      </c>
      <c r="B976" s="110" t="s">
        <v>298</v>
      </c>
      <c r="C976" s="110">
        <v>2.2370000000000001</v>
      </c>
      <c r="D976" s="112">
        <v>42746</v>
      </c>
    </row>
    <row r="977" spans="1:4">
      <c r="A977" s="110" t="s">
        <v>1072</v>
      </c>
      <c r="B977" s="110" t="s">
        <v>298</v>
      </c>
      <c r="C977" s="110">
        <v>2.2149999999999999</v>
      </c>
      <c r="D977" s="112">
        <v>42746</v>
      </c>
    </row>
    <row r="978" spans="1:4">
      <c r="A978" s="110" t="s">
        <v>1071</v>
      </c>
      <c r="B978" s="110" t="s">
        <v>298</v>
      </c>
      <c r="C978" s="110">
        <v>2.23</v>
      </c>
      <c r="D978" s="112">
        <v>42746</v>
      </c>
    </row>
    <row r="979" spans="1:4">
      <c r="A979" s="110" t="s">
        <v>1070</v>
      </c>
      <c r="B979" s="110" t="s">
        <v>298</v>
      </c>
      <c r="C979" s="110">
        <v>2.2440000000000002</v>
      </c>
      <c r="D979" s="112">
        <v>42746</v>
      </c>
    </row>
    <row r="980" spans="1:4">
      <c r="A980" s="110" t="s">
        <v>1069</v>
      </c>
      <c r="B980" s="110" t="s">
        <v>298</v>
      </c>
      <c r="C980" s="110">
        <v>2.2349999999999999</v>
      </c>
      <c r="D980" s="112">
        <v>42746</v>
      </c>
    </row>
    <row r="981" spans="1:4">
      <c r="A981" s="110" t="s">
        <v>1068</v>
      </c>
      <c r="B981" s="110" t="s">
        <v>298</v>
      </c>
      <c r="C981" s="110">
        <v>2.1459999999999999</v>
      </c>
      <c r="D981" s="112">
        <v>42746</v>
      </c>
    </row>
    <row r="982" spans="1:4">
      <c r="A982" s="110" t="s">
        <v>1067</v>
      </c>
      <c r="B982" s="110" t="s">
        <v>298</v>
      </c>
      <c r="C982" s="110">
        <v>2.3340000000000001</v>
      </c>
      <c r="D982" s="112">
        <v>42746</v>
      </c>
    </row>
    <row r="983" spans="1:4">
      <c r="A983" s="110" t="s">
        <v>1066</v>
      </c>
      <c r="B983" s="110" t="s">
        <v>298</v>
      </c>
      <c r="C983" s="110">
        <v>2.1819999999999999</v>
      </c>
      <c r="D983" s="112">
        <v>42746</v>
      </c>
    </row>
    <row r="984" spans="1:4">
      <c r="A984" s="110" t="s">
        <v>1065</v>
      </c>
      <c r="B984" s="110" t="s">
        <v>298</v>
      </c>
      <c r="C984" s="110">
        <v>2.2970000000000002</v>
      </c>
      <c r="D984" s="112">
        <v>42746</v>
      </c>
    </row>
    <row r="985" spans="1:4">
      <c r="A985" s="110" t="s">
        <v>1064</v>
      </c>
      <c r="B985" s="110" t="s">
        <v>298</v>
      </c>
      <c r="C985" s="110">
        <v>2.1749999999999998</v>
      </c>
      <c r="D985" s="112">
        <v>42746</v>
      </c>
    </row>
    <row r="986" spans="1:4">
      <c r="A986" s="110" t="s">
        <v>1063</v>
      </c>
      <c r="B986" s="110" t="s">
        <v>298</v>
      </c>
      <c r="C986" s="110">
        <v>2.2200000000000002</v>
      </c>
      <c r="D986" s="112">
        <v>42746</v>
      </c>
    </row>
    <row r="987" spans="1:4">
      <c r="A987" s="110" t="s">
        <v>1062</v>
      </c>
      <c r="B987" s="110" t="s">
        <v>298</v>
      </c>
      <c r="C987" s="110">
        <v>2.1890000000000001</v>
      </c>
      <c r="D987" s="112">
        <v>42746</v>
      </c>
    </row>
    <row r="988" spans="1:4">
      <c r="A988" s="110" t="s">
        <v>1061</v>
      </c>
      <c r="B988" s="110" t="s">
        <v>298</v>
      </c>
      <c r="C988" s="110">
        <v>2.177</v>
      </c>
      <c r="D988" s="112">
        <v>42746</v>
      </c>
    </row>
    <row r="989" spans="1:4">
      <c r="A989" s="110" t="s">
        <v>1060</v>
      </c>
      <c r="B989" s="110" t="s">
        <v>298</v>
      </c>
      <c r="C989" s="110">
        <v>2.004</v>
      </c>
      <c r="D989" s="112">
        <v>42746</v>
      </c>
    </row>
    <row r="990" spans="1:4">
      <c r="A990" s="110" t="s">
        <v>1059</v>
      </c>
      <c r="B990" s="110" t="s">
        <v>298</v>
      </c>
      <c r="C990" s="110">
        <v>2.2490000000000001</v>
      </c>
      <c r="D990" s="112">
        <v>42746</v>
      </c>
    </row>
    <row r="991" spans="1:4">
      <c r="A991" s="110" t="s">
        <v>1058</v>
      </c>
      <c r="B991" s="110" t="s">
        <v>298</v>
      </c>
      <c r="C991" s="110">
        <v>2.0390000000000001</v>
      </c>
      <c r="D991" s="112">
        <v>42746</v>
      </c>
    </row>
    <row r="992" spans="1:4">
      <c r="A992" s="110" t="s">
        <v>1057</v>
      </c>
      <c r="B992" s="110" t="s">
        <v>298</v>
      </c>
      <c r="C992" s="110">
        <v>2.1629999999999998</v>
      </c>
      <c r="D992" s="112">
        <v>42746</v>
      </c>
    </row>
    <row r="993" spans="1:4">
      <c r="A993" s="110" t="s">
        <v>1056</v>
      </c>
      <c r="B993" s="110" t="s">
        <v>298</v>
      </c>
      <c r="C993" s="110">
        <v>2.1930000000000001</v>
      </c>
      <c r="D993" s="112">
        <v>42746</v>
      </c>
    </row>
    <row r="994" spans="1:4">
      <c r="A994" s="110" t="s">
        <v>1055</v>
      </c>
      <c r="B994" s="110" t="s">
        <v>298</v>
      </c>
      <c r="C994" s="110">
        <v>2.242</v>
      </c>
      <c r="D994" s="112">
        <v>42746</v>
      </c>
    </row>
    <row r="995" spans="1:4">
      <c r="A995" s="110" t="s">
        <v>1054</v>
      </c>
      <c r="B995" s="110" t="s">
        <v>298</v>
      </c>
      <c r="C995" s="110">
        <v>2.2930000000000001</v>
      </c>
      <c r="D995" s="112">
        <v>42746</v>
      </c>
    </row>
    <row r="996" spans="1:4">
      <c r="A996" s="110" t="s">
        <v>1053</v>
      </c>
      <c r="B996" s="110" t="s">
        <v>298</v>
      </c>
      <c r="C996" s="110">
        <v>2.1520000000000001</v>
      </c>
      <c r="D996" s="112">
        <v>42746</v>
      </c>
    </row>
    <row r="997" spans="1:4">
      <c r="A997" s="110" t="s">
        <v>1052</v>
      </c>
      <c r="B997" s="110" t="s">
        <v>298</v>
      </c>
      <c r="C997" s="110">
        <v>2.1949999999999998</v>
      </c>
      <c r="D997" s="112">
        <v>42746</v>
      </c>
    </row>
    <row r="998" spans="1:4">
      <c r="A998" s="110" t="s">
        <v>1051</v>
      </c>
      <c r="B998" s="110" t="s">
        <v>298</v>
      </c>
      <c r="C998" s="110">
        <v>2.206</v>
      </c>
      <c r="D998" s="112">
        <v>42746</v>
      </c>
    </row>
    <row r="999" spans="1:4">
      <c r="A999" s="110" t="s">
        <v>1050</v>
      </c>
      <c r="B999" s="110" t="s">
        <v>298</v>
      </c>
      <c r="C999" s="110">
        <v>2.133</v>
      </c>
      <c r="D999" s="112">
        <v>42746</v>
      </c>
    </row>
    <row r="1000" spans="1:4">
      <c r="A1000" s="110" t="s">
        <v>1049</v>
      </c>
      <c r="B1000" s="110" t="s">
        <v>298</v>
      </c>
      <c r="C1000" s="110">
        <v>2.246</v>
      </c>
      <c r="D1000" s="112">
        <v>42746</v>
      </c>
    </row>
    <row r="1001" spans="1:4">
      <c r="A1001" s="110" t="s">
        <v>1048</v>
      </c>
      <c r="B1001" s="110" t="s">
        <v>298</v>
      </c>
      <c r="C1001" s="110">
        <v>2.1709999999999998</v>
      </c>
      <c r="D1001" s="112">
        <v>42746</v>
      </c>
    </row>
    <row r="1002" spans="1:4">
      <c r="A1002" s="110" t="s">
        <v>1047</v>
      </c>
      <c r="B1002" s="110" t="s">
        <v>298</v>
      </c>
      <c r="C1002" s="110">
        <v>2.2770000000000001</v>
      </c>
      <c r="D1002" s="112">
        <v>42746</v>
      </c>
    </row>
    <row r="1003" spans="1:4">
      <c r="A1003" s="110" t="s">
        <v>1046</v>
      </c>
      <c r="B1003" s="110" t="s">
        <v>298</v>
      </c>
      <c r="C1003" s="110">
        <v>2.2160000000000002</v>
      </c>
      <c r="D1003" s="112">
        <v>42746</v>
      </c>
    </row>
    <row r="1004" spans="1:4">
      <c r="A1004" s="110" t="s">
        <v>1045</v>
      </c>
      <c r="B1004" s="110" t="s">
        <v>298</v>
      </c>
      <c r="C1004" s="110">
        <v>2.2309999999999999</v>
      </c>
      <c r="D1004" s="112">
        <v>42746</v>
      </c>
    </row>
    <row r="1005" spans="1:4">
      <c r="A1005" s="110" t="s">
        <v>1044</v>
      </c>
      <c r="B1005" s="110" t="s">
        <v>298</v>
      </c>
      <c r="C1005" s="110">
        <v>2.2959999999999998</v>
      </c>
      <c r="D1005" s="112">
        <v>42746</v>
      </c>
    </row>
    <row r="1006" spans="1:4">
      <c r="A1006" s="110" t="s">
        <v>1043</v>
      </c>
      <c r="B1006" s="110" t="s">
        <v>298</v>
      </c>
      <c r="C1006" s="110">
        <v>2.1960000000000002</v>
      </c>
      <c r="D1006" s="112">
        <v>42746</v>
      </c>
    </row>
    <row r="1007" spans="1:4">
      <c r="A1007" s="110" t="s">
        <v>1042</v>
      </c>
      <c r="B1007" s="110" t="s">
        <v>298</v>
      </c>
      <c r="C1007" s="110">
        <v>2.1920000000000002</v>
      </c>
      <c r="D1007" s="112">
        <v>42746</v>
      </c>
    </row>
    <row r="1008" spans="1:4">
      <c r="A1008" s="110" t="s">
        <v>1041</v>
      </c>
      <c r="B1008" s="110" t="s">
        <v>298</v>
      </c>
      <c r="C1008" s="110">
        <v>2.2549999999999999</v>
      </c>
      <c r="D1008" s="112">
        <v>42746</v>
      </c>
    </row>
    <row r="1009" spans="1:4">
      <c r="A1009" s="110" t="s">
        <v>1040</v>
      </c>
      <c r="B1009" s="110" t="s">
        <v>298</v>
      </c>
      <c r="C1009" s="110">
        <v>2.3039999999999998</v>
      </c>
      <c r="D1009" s="112">
        <v>42746</v>
      </c>
    </row>
    <row r="1010" spans="1:4">
      <c r="A1010" s="110" t="s">
        <v>1039</v>
      </c>
      <c r="B1010" s="110" t="s">
        <v>298</v>
      </c>
      <c r="C1010" s="110">
        <v>2.2469999999999999</v>
      </c>
      <c r="D1010" s="112">
        <v>42746</v>
      </c>
    </row>
    <row r="1011" spans="1:4">
      <c r="A1011" s="110" t="s">
        <v>1038</v>
      </c>
      <c r="B1011" s="110" t="s">
        <v>298</v>
      </c>
      <c r="C1011" s="110">
        <v>2.246</v>
      </c>
      <c r="D1011" s="112">
        <v>42746</v>
      </c>
    </row>
    <row r="1012" spans="1:4">
      <c r="A1012" s="110" t="s">
        <v>1037</v>
      </c>
      <c r="B1012" s="110" t="s">
        <v>298</v>
      </c>
      <c r="C1012" s="110">
        <v>2.2109999999999999</v>
      </c>
      <c r="D1012" s="112">
        <v>42746</v>
      </c>
    </row>
    <row r="1013" spans="1:4">
      <c r="A1013" s="110" t="s">
        <v>1036</v>
      </c>
      <c r="B1013" s="110" t="s">
        <v>298</v>
      </c>
      <c r="C1013" s="110">
        <v>2.254</v>
      </c>
      <c r="D1013" s="112">
        <v>42746</v>
      </c>
    </row>
    <row r="1014" spans="1:4">
      <c r="A1014" s="110" t="s">
        <v>1035</v>
      </c>
      <c r="B1014" s="110" t="s">
        <v>298</v>
      </c>
      <c r="C1014" s="110">
        <v>2.2330000000000001</v>
      </c>
      <c r="D1014" s="112">
        <v>42746</v>
      </c>
    </row>
    <row r="1015" spans="1:4">
      <c r="A1015" s="110" t="s">
        <v>1034</v>
      </c>
      <c r="B1015" s="110" t="s">
        <v>298</v>
      </c>
      <c r="C1015" s="110">
        <v>2.19</v>
      </c>
      <c r="D1015" s="112">
        <v>42746</v>
      </c>
    </row>
    <row r="1016" spans="1:4">
      <c r="A1016" s="110" t="s">
        <v>1033</v>
      </c>
      <c r="B1016" s="110" t="s">
        <v>298</v>
      </c>
      <c r="C1016" s="110">
        <v>2.1680000000000001</v>
      </c>
      <c r="D1016" s="112">
        <v>42746</v>
      </c>
    </row>
    <row r="1017" spans="1:4">
      <c r="A1017" s="110" t="s">
        <v>1032</v>
      </c>
      <c r="B1017" s="110" t="s">
        <v>298</v>
      </c>
      <c r="C1017" s="110">
        <v>2.2090000000000001</v>
      </c>
      <c r="D1017" s="112">
        <v>42746</v>
      </c>
    </row>
    <row r="1018" spans="1:4">
      <c r="A1018" s="110" t="s">
        <v>1031</v>
      </c>
      <c r="B1018" s="110" t="s">
        <v>298</v>
      </c>
      <c r="C1018" s="110">
        <v>2.2530000000000001</v>
      </c>
      <c r="D1018" s="112">
        <v>42746</v>
      </c>
    </row>
    <row r="1019" spans="1:4">
      <c r="A1019" s="110" t="s">
        <v>1030</v>
      </c>
      <c r="B1019" s="110" t="s">
        <v>298</v>
      </c>
      <c r="C1019" s="110">
        <v>2.3170000000000002</v>
      </c>
      <c r="D1019" s="112">
        <v>42746</v>
      </c>
    </row>
    <row r="1020" spans="1:4">
      <c r="A1020" s="110" t="s">
        <v>1029</v>
      </c>
      <c r="B1020" s="110" t="s">
        <v>298</v>
      </c>
      <c r="C1020" s="110">
        <v>2.2610000000000001</v>
      </c>
      <c r="D1020" s="112">
        <v>42746</v>
      </c>
    </row>
    <row r="1021" spans="1:4">
      <c r="A1021" s="110" t="s">
        <v>1028</v>
      </c>
      <c r="B1021" s="110" t="s">
        <v>298</v>
      </c>
      <c r="C1021" s="110">
        <v>2.202</v>
      </c>
      <c r="D1021" s="112">
        <v>42746</v>
      </c>
    </row>
    <row r="1022" spans="1:4">
      <c r="A1022" s="110" t="s">
        <v>1027</v>
      </c>
      <c r="B1022" s="110" t="s">
        <v>298</v>
      </c>
      <c r="C1022" s="110">
        <v>2.2450000000000001</v>
      </c>
      <c r="D1022" s="112">
        <v>42746</v>
      </c>
    </row>
    <row r="1023" spans="1:4">
      <c r="A1023" s="110" t="s">
        <v>1026</v>
      </c>
      <c r="B1023" s="110" t="s">
        <v>298</v>
      </c>
      <c r="C1023" s="110">
        <v>2.3119999999999998</v>
      </c>
      <c r="D1023" s="112">
        <v>42746</v>
      </c>
    </row>
    <row r="1024" spans="1:4">
      <c r="A1024" s="110" t="s">
        <v>1025</v>
      </c>
      <c r="B1024" s="110" t="s">
        <v>298</v>
      </c>
      <c r="C1024" s="110">
        <v>2.2909999999999999</v>
      </c>
      <c r="D1024" s="112">
        <v>42746</v>
      </c>
    </row>
    <row r="1025" spans="1:4">
      <c r="A1025" s="110" t="s">
        <v>1024</v>
      </c>
      <c r="B1025" s="110" t="s">
        <v>298</v>
      </c>
      <c r="C1025" s="110">
        <v>2.2029999999999998</v>
      </c>
      <c r="D1025" s="112">
        <v>42746</v>
      </c>
    </row>
    <row r="1026" spans="1:4">
      <c r="A1026" s="110" t="s">
        <v>1023</v>
      </c>
      <c r="B1026" s="110" t="s">
        <v>298</v>
      </c>
      <c r="C1026" s="110">
        <v>2.3330000000000002</v>
      </c>
      <c r="D1026" s="112">
        <v>42746</v>
      </c>
    </row>
    <row r="1027" spans="1:4">
      <c r="A1027" s="110" t="s">
        <v>1022</v>
      </c>
      <c r="B1027" s="110" t="s">
        <v>298</v>
      </c>
      <c r="C1027" s="110">
        <v>2.1589999999999998</v>
      </c>
      <c r="D1027" s="112">
        <v>42746</v>
      </c>
    </row>
    <row r="1028" spans="1:4">
      <c r="A1028" s="110" t="s">
        <v>1021</v>
      </c>
      <c r="B1028" s="110" t="s">
        <v>298</v>
      </c>
      <c r="C1028" s="110">
        <v>2.2450000000000001</v>
      </c>
      <c r="D1028" s="112">
        <v>42746</v>
      </c>
    </row>
    <row r="1029" spans="1:4">
      <c r="A1029" s="110" t="s">
        <v>1020</v>
      </c>
      <c r="B1029" s="110" t="s">
        <v>298</v>
      </c>
      <c r="C1029" s="110">
        <v>2.165</v>
      </c>
      <c r="D1029" s="112">
        <v>42747</v>
      </c>
    </row>
    <row r="1030" spans="1:4">
      <c r="A1030" s="110" t="s">
        <v>1019</v>
      </c>
      <c r="B1030" s="110" t="s">
        <v>298</v>
      </c>
      <c r="C1030" s="110">
        <v>2.2189999999999999</v>
      </c>
      <c r="D1030" s="112">
        <v>42747</v>
      </c>
    </row>
    <row r="1031" spans="1:4">
      <c r="A1031" s="110" t="s">
        <v>1018</v>
      </c>
      <c r="B1031" s="110" t="s">
        <v>298</v>
      </c>
      <c r="C1031" s="110">
        <v>2.2610000000000001</v>
      </c>
      <c r="D1031" s="112">
        <v>42747</v>
      </c>
    </row>
    <row r="1032" spans="1:4">
      <c r="A1032" s="110" t="s">
        <v>1017</v>
      </c>
      <c r="B1032" s="110" t="s">
        <v>298</v>
      </c>
      <c r="C1032" s="110">
        <v>2.2120000000000002</v>
      </c>
      <c r="D1032" s="112">
        <v>42747</v>
      </c>
    </row>
    <row r="1033" spans="1:4">
      <c r="A1033" s="110" t="s">
        <v>1016</v>
      </c>
      <c r="B1033" s="110" t="s">
        <v>298</v>
      </c>
      <c r="C1033" s="110">
        <v>2.2040000000000002</v>
      </c>
      <c r="D1033" s="112">
        <v>42747</v>
      </c>
    </row>
    <row r="1034" spans="1:4">
      <c r="A1034" s="110" t="s">
        <v>1015</v>
      </c>
      <c r="B1034" s="110" t="s">
        <v>298</v>
      </c>
      <c r="C1034" s="110">
        <v>2.2400000000000002</v>
      </c>
      <c r="D1034" s="112">
        <v>42747</v>
      </c>
    </row>
    <row r="1035" spans="1:4">
      <c r="A1035" s="110" t="s">
        <v>1014</v>
      </c>
      <c r="B1035" s="110" t="s">
        <v>298</v>
      </c>
      <c r="C1035" s="110">
        <v>2.1869999999999998</v>
      </c>
      <c r="D1035" s="112">
        <v>42747</v>
      </c>
    </row>
    <row r="1036" spans="1:4">
      <c r="A1036" s="166" t="s">
        <v>1013</v>
      </c>
      <c r="B1036" s="110" t="s">
        <v>298</v>
      </c>
      <c r="C1036" s="110">
        <v>2.2370000000000001</v>
      </c>
      <c r="D1036" s="112">
        <v>42747</v>
      </c>
    </row>
    <row r="1037" spans="1:4">
      <c r="A1037" s="110" t="s">
        <v>1012</v>
      </c>
      <c r="B1037" s="110" t="s">
        <v>298</v>
      </c>
      <c r="C1037" s="110">
        <v>2.2829999999999999</v>
      </c>
      <c r="D1037" s="112">
        <v>42747</v>
      </c>
    </row>
    <row r="1038" spans="1:4">
      <c r="A1038" s="110" t="s">
        <v>1011</v>
      </c>
      <c r="B1038" s="110" t="s">
        <v>298</v>
      </c>
      <c r="C1038" s="110">
        <v>2.2410000000000001</v>
      </c>
      <c r="D1038" s="112">
        <v>42747</v>
      </c>
    </row>
    <row r="1039" spans="1:4">
      <c r="A1039" s="110" t="s">
        <v>1010</v>
      </c>
      <c r="B1039" s="110" t="s">
        <v>298</v>
      </c>
      <c r="C1039" s="110">
        <v>2.1560000000000001</v>
      </c>
      <c r="D1039" s="112">
        <v>42747</v>
      </c>
    </row>
    <row r="1040" spans="1:4">
      <c r="A1040" s="110" t="s">
        <v>1009</v>
      </c>
      <c r="B1040" s="110" t="s">
        <v>298</v>
      </c>
      <c r="C1040" s="110">
        <v>2.133</v>
      </c>
      <c r="D1040" s="112">
        <v>42747</v>
      </c>
    </row>
    <row r="1041" spans="1:4">
      <c r="A1041" s="110" t="s">
        <v>1008</v>
      </c>
      <c r="B1041" s="110" t="s">
        <v>298</v>
      </c>
      <c r="C1041" s="110">
        <v>2.1760000000000002</v>
      </c>
      <c r="D1041" s="112">
        <v>42747</v>
      </c>
    </row>
    <row r="1042" spans="1:4">
      <c r="A1042" s="110" t="s">
        <v>1007</v>
      </c>
      <c r="B1042" s="110" t="s">
        <v>298</v>
      </c>
      <c r="C1042" s="110">
        <v>2.21</v>
      </c>
      <c r="D1042" s="112">
        <v>42747</v>
      </c>
    </row>
    <row r="1043" spans="1:4">
      <c r="A1043" s="110" t="s">
        <v>1006</v>
      </c>
      <c r="B1043" s="110" t="s">
        <v>298</v>
      </c>
      <c r="C1043" s="110">
        <v>2.286</v>
      </c>
      <c r="D1043" s="112">
        <v>42747</v>
      </c>
    </row>
    <row r="1044" spans="1:4">
      <c r="A1044" s="110" t="s">
        <v>1005</v>
      </c>
      <c r="B1044" s="110" t="s">
        <v>298</v>
      </c>
      <c r="C1044" s="110">
        <v>2.21</v>
      </c>
      <c r="D1044" s="112">
        <v>42747</v>
      </c>
    </row>
    <row r="1045" spans="1:4">
      <c r="A1045" s="110" t="s">
        <v>1004</v>
      </c>
      <c r="B1045" s="110" t="s">
        <v>298</v>
      </c>
      <c r="C1045" s="110">
        <v>2.198</v>
      </c>
      <c r="D1045" s="112">
        <v>42747</v>
      </c>
    </row>
    <row r="1046" spans="1:4">
      <c r="A1046" s="110" t="s">
        <v>1003</v>
      </c>
      <c r="B1046" s="110" t="s">
        <v>298</v>
      </c>
      <c r="C1046" s="110">
        <v>2.3140000000000001</v>
      </c>
      <c r="D1046" s="112">
        <v>42747</v>
      </c>
    </row>
    <row r="1047" spans="1:4">
      <c r="A1047" s="110" t="s">
        <v>1002</v>
      </c>
      <c r="B1047" s="110" t="s">
        <v>298</v>
      </c>
      <c r="C1047" s="110">
        <v>2.2829999999999999</v>
      </c>
      <c r="D1047" s="112">
        <v>42747</v>
      </c>
    </row>
    <row r="1048" spans="1:4">
      <c r="A1048" s="110" t="s">
        <v>1001</v>
      </c>
      <c r="B1048" s="110" t="s">
        <v>298</v>
      </c>
      <c r="C1048" s="110">
        <v>2.1930000000000001</v>
      </c>
      <c r="D1048" s="112">
        <v>42747</v>
      </c>
    </row>
    <row r="1049" spans="1:4">
      <c r="A1049" s="110" t="s">
        <v>1000</v>
      </c>
      <c r="B1049" s="110" t="s">
        <v>298</v>
      </c>
      <c r="C1049" s="110">
        <v>2.2029999999999998</v>
      </c>
      <c r="D1049" s="112">
        <v>42747</v>
      </c>
    </row>
    <row r="1050" spans="1:4">
      <c r="A1050" s="110" t="s">
        <v>999</v>
      </c>
      <c r="B1050" s="110" t="s">
        <v>298</v>
      </c>
      <c r="C1050" s="110">
        <v>2.0870000000000002</v>
      </c>
      <c r="D1050" s="112">
        <v>42747</v>
      </c>
    </row>
    <row r="1051" spans="1:4">
      <c r="A1051" s="110" t="s">
        <v>998</v>
      </c>
      <c r="B1051" s="110" t="s">
        <v>298</v>
      </c>
      <c r="C1051" s="110">
        <v>2.1560000000000001</v>
      </c>
      <c r="D1051" s="112">
        <v>42747</v>
      </c>
    </row>
    <row r="1052" spans="1:4">
      <c r="A1052" s="110" t="s">
        <v>997</v>
      </c>
      <c r="B1052" s="110" t="s">
        <v>298</v>
      </c>
      <c r="C1052" s="110">
        <v>2.1429999999999998</v>
      </c>
      <c r="D1052" s="112">
        <v>42747</v>
      </c>
    </row>
    <row r="1053" spans="1:4">
      <c r="A1053" s="110" t="s">
        <v>996</v>
      </c>
      <c r="B1053" s="110" t="s">
        <v>298</v>
      </c>
      <c r="C1053" s="110">
        <v>2.2719999999999998</v>
      </c>
      <c r="D1053" s="112">
        <v>42747</v>
      </c>
    </row>
    <row r="1054" spans="1:4">
      <c r="A1054" s="110" t="s">
        <v>995</v>
      </c>
      <c r="B1054" s="110" t="s">
        <v>298</v>
      </c>
      <c r="C1054" s="110">
        <v>2.2010000000000001</v>
      </c>
      <c r="D1054" s="112">
        <v>42747</v>
      </c>
    </row>
    <row r="1055" spans="1:4">
      <c r="A1055" s="110" t="s">
        <v>994</v>
      </c>
      <c r="B1055" s="110" t="s">
        <v>298</v>
      </c>
      <c r="C1055" s="110">
        <v>2.1960000000000002</v>
      </c>
      <c r="D1055" s="112">
        <v>42747</v>
      </c>
    </row>
    <row r="1056" spans="1:4">
      <c r="A1056" s="110" t="s">
        <v>993</v>
      </c>
      <c r="B1056" s="110" t="s">
        <v>298</v>
      </c>
      <c r="C1056" s="110">
        <v>2.149</v>
      </c>
      <c r="D1056" s="112">
        <v>42747</v>
      </c>
    </row>
    <row r="1057" spans="1:4">
      <c r="A1057" s="110" t="s">
        <v>992</v>
      </c>
      <c r="B1057" s="110" t="s">
        <v>298</v>
      </c>
      <c r="C1057" s="110">
        <v>2.2400000000000002</v>
      </c>
      <c r="D1057" s="112">
        <v>42747</v>
      </c>
    </row>
    <row r="1058" spans="1:4">
      <c r="A1058" s="110" t="s">
        <v>991</v>
      </c>
      <c r="B1058" s="110" t="s">
        <v>298</v>
      </c>
      <c r="C1058" s="110">
        <v>2.1469999999999998</v>
      </c>
      <c r="D1058" s="112">
        <v>42747</v>
      </c>
    </row>
    <row r="1059" spans="1:4">
      <c r="A1059" s="110" t="s">
        <v>990</v>
      </c>
      <c r="B1059" s="110" t="s">
        <v>298</v>
      </c>
      <c r="C1059" s="110">
        <v>2.1920000000000002</v>
      </c>
      <c r="D1059" s="112">
        <v>42747</v>
      </c>
    </row>
    <row r="1060" spans="1:4">
      <c r="A1060" s="110" t="s">
        <v>989</v>
      </c>
      <c r="B1060" s="110" t="s">
        <v>298</v>
      </c>
      <c r="C1060" s="110">
        <v>2.1800000000000002</v>
      </c>
      <c r="D1060" s="112">
        <v>42747</v>
      </c>
    </row>
    <row r="1061" spans="1:4">
      <c r="A1061" s="110" t="s">
        <v>988</v>
      </c>
      <c r="B1061" s="110" t="s">
        <v>298</v>
      </c>
      <c r="C1061" s="110">
        <v>2.2200000000000002</v>
      </c>
      <c r="D1061" s="112">
        <v>42747</v>
      </c>
    </row>
    <row r="1062" spans="1:4">
      <c r="A1062" s="110" t="s">
        <v>987</v>
      </c>
      <c r="B1062" s="110" t="s">
        <v>298</v>
      </c>
      <c r="C1062" s="110">
        <v>2.2010000000000001</v>
      </c>
      <c r="D1062" s="112">
        <v>42747</v>
      </c>
    </row>
    <row r="1063" spans="1:4">
      <c r="A1063" s="110" t="s">
        <v>986</v>
      </c>
      <c r="B1063" s="110" t="s">
        <v>298</v>
      </c>
      <c r="C1063" s="110">
        <v>2.206</v>
      </c>
      <c r="D1063" s="112">
        <v>42747</v>
      </c>
    </row>
    <row r="1064" spans="1:4">
      <c r="A1064" s="110" t="s">
        <v>985</v>
      </c>
      <c r="B1064" s="110" t="s">
        <v>298</v>
      </c>
      <c r="C1064" s="110">
        <v>2.246</v>
      </c>
      <c r="D1064" s="112">
        <v>42747</v>
      </c>
    </row>
    <row r="1065" spans="1:4">
      <c r="A1065" s="110" t="s">
        <v>984</v>
      </c>
      <c r="B1065" s="110" t="s">
        <v>298</v>
      </c>
      <c r="C1065" s="110">
        <v>2.1819999999999999</v>
      </c>
      <c r="D1065" s="112">
        <v>42747</v>
      </c>
    </row>
    <row r="1066" spans="1:4">
      <c r="A1066" s="110" t="s">
        <v>983</v>
      </c>
      <c r="B1066" s="110" t="s">
        <v>298</v>
      </c>
      <c r="C1066" s="110">
        <v>2.2959999999999998</v>
      </c>
      <c r="D1066" s="112">
        <v>42747</v>
      </c>
    </row>
    <row r="1067" spans="1:4">
      <c r="A1067" s="110" t="s">
        <v>982</v>
      </c>
      <c r="B1067" s="110" t="s">
        <v>298</v>
      </c>
      <c r="C1067" s="110">
        <v>2.2930000000000001</v>
      </c>
      <c r="D1067" s="112">
        <v>42747</v>
      </c>
    </row>
    <row r="1068" spans="1:4">
      <c r="A1068" s="110" t="s">
        <v>981</v>
      </c>
      <c r="B1068" s="110" t="s">
        <v>298</v>
      </c>
      <c r="C1068" s="110">
        <v>2.1880000000000002</v>
      </c>
      <c r="D1068" s="112">
        <v>42747</v>
      </c>
    </row>
    <row r="1069" spans="1:4">
      <c r="A1069" s="110" t="s">
        <v>980</v>
      </c>
      <c r="B1069" s="110" t="s">
        <v>298</v>
      </c>
      <c r="C1069" s="110">
        <v>2.1829999999999998</v>
      </c>
      <c r="D1069" s="112">
        <v>42747</v>
      </c>
    </row>
    <row r="1070" spans="1:4">
      <c r="A1070" s="110" t="s">
        <v>979</v>
      </c>
      <c r="B1070" s="110" t="s">
        <v>298</v>
      </c>
      <c r="C1070" s="110">
        <v>2.242</v>
      </c>
      <c r="D1070" s="112">
        <v>42747</v>
      </c>
    </row>
    <row r="1071" spans="1:4">
      <c r="A1071" s="110" t="s">
        <v>978</v>
      </c>
      <c r="B1071" s="110" t="s">
        <v>298</v>
      </c>
      <c r="C1071" s="110">
        <v>2.23</v>
      </c>
      <c r="D1071" s="112">
        <v>42747</v>
      </c>
    </row>
    <row r="1072" spans="1:4">
      <c r="A1072" s="110" t="s">
        <v>977</v>
      </c>
      <c r="B1072" s="110" t="s">
        <v>298</v>
      </c>
      <c r="C1072" s="110">
        <v>2.2040000000000002</v>
      </c>
      <c r="D1072" s="112">
        <v>42747</v>
      </c>
    </row>
    <row r="1073" spans="1:4">
      <c r="A1073" s="110" t="s">
        <v>976</v>
      </c>
      <c r="B1073" s="110" t="s">
        <v>298</v>
      </c>
      <c r="C1073" s="110">
        <v>2.169</v>
      </c>
      <c r="D1073" s="112">
        <v>42747</v>
      </c>
    </row>
    <row r="1074" spans="1:4">
      <c r="A1074" s="110" t="s">
        <v>975</v>
      </c>
      <c r="B1074" s="110" t="s">
        <v>298</v>
      </c>
      <c r="C1074" s="110">
        <v>2.222</v>
      </c>
      <c r="D1074" s="112">
        <v>42747</v>
      </c>
    </row>
    <row r="1075" spans="1:4">
      <c r="A1075" s="110" t="s">
        <v>974</v>
      </c>
      <c r="B1075" s="110" t="s">
        <v>298</v>
      </c>
      <c r="C1075" s="110">
        <v>2.177</v>
      </c>
      <c r="D1075" s="112">
        <v>42747</v>
      </c>
    </row>
    <row r="1076" spans="1:4">
      <c r="A1076" s="110" t="s">
        <v>973</v>
      </c>
      <c r="B1076" s="110" t="s">
        <v>298</v>
      </c>
      <c r="C1076" s="110">
        <v>2.1459999999999999</v>
      </c>
      <c r="D1076" s="112">
        <v>42747</v>
      </c>
    </row>
    <row r="1077" spans="1:4">
      <c r="A1077" s="110" t="s">
        <v>972</v>
      </c>
      <c r="B1077" s="110" t="s">
        <v>298</v>
      </c>
      <c r="C1077" s="110">
        <v>2.2010000000000001</v>
      </c>
      <c r="D1077" s="112">
        <v>42747</v>
      </c>
    </row>
    <row r="1078" spans="1:4">
      <c r="A1078" s="110" t="s">
        <v>971</v>
      </c>
      <c r="B1078" s="110" t="s">
        <v>298</v>
      </c>
      <c r="C1078" s="110">
        <v>2.1120000000000001</v>
      </c>
      <c r="D1078" s="112">
        <v>42747</v>
      </c>
    </row>
    <row r="1079" spans="1:4">
      <c r="A1079" s="110" t="s">
        <v>970</v>
      </c>
      <c r="B1079" s="110" t="s">
        <v>298</v>
      </c>
      <c r="C1079" s="110">
        <v>2.1160000000000001</v>
      </c>
      <c r="D1079" s="112">
        <v>42747</v>
      </c>
    </row>
    <row r="1080" spans="1:4">
      <c r="A1080" s="110" t="s">
        <v>969</v>
      </c>
      <c r="B1080" s="110" t="s">
        <v>298</v>
      </c>
      <c r="C1080" s="110">
        <v>2.1520000000000001</v>
      </c>
      <c r="D1080" s="112">
        <v>42747</v>
      </c>
    </row>
    <row r="1081" spans="1:4">
      <c r="A1081" s="110" t="s">
        <v>968</v>
      </c>
      <c r="B1081" s="110" t="s">
        <v>298</v>
      </c>
      <c r="C1081" s="110">
        <v>2.2040000000000002</v>
      </c>
      <c r="D1081" s="112">
        <v>42747</v>
      </c>
    </row>
    <row r="1082" spans="1:4">
      <c r="A1082" s="110" t="s">
        <v>967</v>
      </c>
      <c r="B1082" s="110" t="s">
        <v>298</v>
      </c>
      <c r="C1082" s="110">
        <v>2.2410000000000001</v>
      </c>
      <c r="D1082" s="112">
        <v>42747</v>
      </c>
    </row>
    <row r="1083" spans="1:4">
      <c r="A1083" s="110" t="s">
        <v>966</v>
      </c>
      <c r="B1083" s="110" t="s">
        <v>298</v>
      </c>
      <c r="C1083" s="110">
        <v>2.2330000000000001</v>
      </c>
      <c r="D1083" s="112">
        <v>42747</v>
      </c>
    </row>
    <row r="1084" spans="1:4">
      <c r="A1084" s="110" t="s">
        <v>965</v>
      </c>
      <c r="B1084" s="110" t="s">
        <v>298</v>
      </c>
      <c r="C1084" s="110">
        <v>2.2160000000000002</v>
      </c>
      <c r="D1084" s="112">
        <v>42747</v>
      </c>
    </row>
    <row r="1085" spans="1:4">
      <c r="A1085" s="110" t="s">
        <v>964</v>
      </c>
      <c r="B1085" s="110" t="s">
        <v>298</v>
      </c>
      <c r="C1085" s="110">
        <v>2.153</v>
      </c>
      <c r="D1085" s="112">
        <v>42747</v>
      </c>
    </row>
    <row r="1086" spans="1:4">
      <c r="A1086" s="110" t="s">
        <v>963</v>
      </c>
      <c r="B1086" s="110" t="s">
        <v>298</v>
      </c>
      <c r="C1086" s="110">
        <v>2.222</v>
      </c>
      <c r="D1086" s="112">
        <v>42747</v>
      </c>
    </row>
    <row r="1087" spans="1:4">
      <c r="A1087" s="110" t="s">
        <v>962</v>
      </c>
      <c r="B1087" s="110" t="s">
        <v>298</v>
      </c>
      <c r="C1087" s="110">
        <v>2.177</v>
      </c>
      <c r="D1087" s="112">
        <v>42747</v>
      </c>
    </row>
    <row r="1088" spans="1:4">
      <c r="A1088" s="110" t="s">
        <v>961</v>
      </c>
      <c r="B1088" s="110" t="s">
        <v>298</v>
      </c>
      <c r="C1088" s="110">
        <v>2.2010000000000001</v>
      </c>
      <c r="D1088" s="112">
        <v>42747</v>
      </c>
    </row>
    <row r="1089" spans="1:4">
      <c r="A1089" s="110" t="s">
        <v>960</v>
      </c>
      <c r="B1089" s="110" t="s">
        <v>298</v>
      </c>
      <c r="C1089" s="110">
        <v>2.1749999999999998</v>
      </c>
      <c r="D1089" s="112">
        <v>42747</v>
      </c>
    </row>
    <row r="1090" spans="1:4">
      <c r="A1090" s="110" t="s">
        <v>959</v>
      </c>
      <c r="B1090" s="110" t="s">
        <v>298</v>
      </c>
      <c r="C1090" s="110">
        <v>2.161</v>
      </c>
      <c r="D1090" s="112">
        <v>42747</v>
      </c>
    </row>
    <row r="1091" spans="1:4">
      <c r="A1091" s="110" t="s">
        <v>958</v>
      </c>
      <c r="B1091" s="110" t="s">
        <v>298</v>
      </c>
      <c r="C1091" s="110">
        <v>2.262</v>
      </c>
      <c r="D1091" s="112">
        <v>42747</v>
      </c>
    </row>
    <row r="1092" spans="1:4">
      <c r="A1092" s="110" t="s">
        <v>957</v>
      </c>
      <c r="B1092" s="110" t="s">
        <v>298</v>
      </c>
      <c r="C1092" s="110">
        <v>2.202</v>
      </c>
      <c r="D1092" s="112">
        <v>42747</v>
      </c>
    </row>
    <row r="1093" spans="1:4">
      <c r="A1093" s="110" t="s">
        <v>956</v>
      </c>
      <c r="B1093" s="110" t="s">
        <v>298</v>
      </c>
      <c r="C1093" s="110">
        <v>2.2909999999999999</v>
      </c>
      <c r="D1093" s="112">
        <v>42747</v>
      </c>
    </row>
    <row r="1094" spans="1:4">
      <c r="A1094" s="110" t="s">
        <v>955</v>
      </c>
      <c r="B1094" s="110" t="s">
        <v>298</v>
      </c>
      <c r="C1094" s="110">
        <v>2.2530000000000001</v>
      </c>
      <c r="D1094" s="112">
        <v>42747</v>
      </c>
    </row>
    <row r="1095" spans="1:4">
      <c r="A1095" s="110" t="s">
        <v>954</v>
      </c>
      <c r="B1095" s="110" t="s">
        <v>298</v>
      </c>
      <c r="C1095" s="110">
        <v>2.2210000000000001</v>
      </c>
      <c r="D1095" s="112">
        <v>42747</v>
      </c>
    </row>
    <row r="1096" spans="1:4">
      <c r="A1096" s="110" t="s">
        <v>953</v>
      </c>
      <c r="B1096" s="110" t="s">
        <v>298</v>
      </c>
      <c r="C1096" s="110">
        <v>2.2440000000000002</v>
      </c>
      <c r="D1096" s="112">
        <v>42747</v>
      </c>
    </row>
    <row r="1097" spans="1:4">
      <c r="A1097" s="110" t="s">
        <v>952</v>
      </c>
      <c r="B1097" s="110" t="s">
        <v>298</v>
      </c>
      <c r="C1097" s="110">
        <v>2.274</v>
      </c>
      <c r="D1097" s="112">
        <v>42747</v>
      </c>
    </row>
    <row r="1098" spans="1:4">
      <c r="A1098" s="110" t="s">
        <v>951</v>
      </c>
      <c r="B1098" s="110" t="s">
        <v>298</v>
      </c>
      <c r="C1098" s="110">
        <v>2.2240000000000002</v>
      </c>
      <c r="D1098" s="112">
        <v>42747</v>
      </c>
    </row>
    <row r="1099" spans="1:4">
      <c r="A1099" s="110" t="s">
        <v>950</v>
      </c>
      <c r="B1099" s="110" t="s">
        <v>298</v>
      </c>
      <c r="C1099" s="110">
        <v>2.1789999999999998</v>
      </c>
      <c r="D1099" s="112">
        <v>42747</v>
      </c>
    </row>
    <row r="1100" spans="1:4">
      <c r="A1100" s="110" t="s">
        <v>949</v>
      </c>
      <c r="B1100" s="110" t="s">
        <v>298</v>
      </c>
      <c r="C1100" s="110">
        <v>2.1970000000000001</v>
      </c>
      <c r="D1100" s="112">
        <v>42747</v>
      </c>
    </row>
    <row r="1101" spans="1:4">
      <c r="A1101" s="110" t="s">
        <v>948</v>
      </c>
      <c r="B1101" s="110" t="s">
        <v>298</v>
      </c>
      <c r="C1101" s="110">
        <v>2.198</v>
      </c>
      <c r="D1101" s="112">
        <v>42747</v>
      </c>
    </row>
    <row r="1102" spans="1:4">
      <c r="A1102" s="110" t="s">
        <v>947</v>
      </c>
      <c r="B1102" s="110" t="s">
        <v>298</v>
      </c>
      <c r="C1102" s="110">
        <v>2.149</v>
      </c>
      <c r="D1102" s="112">
        <v>42747</v>
      </c>
    </row>
    <row r="1103" spans="1:4">
      <c r="A1103" s="110" t="s">
        <v>946</v>
      </c>
      <c r="B1103" s="110" t="s">
        <v>298</v>
      </c>
      <c r="C1103" s="110">
        <v>2.1640000000000001</v>
      </c>
      <c r="D1103" s="112">
        <v>42747</v>
      </c>
    </row>
    <row r="1104" spans="1:4">
      <c r="A1104" s="110" t="s">
        <v>945</v>
      </c>
      <c r="B1104" s="110" t="s">
        <v>298</v>
      </c>
      <c r="C1104" s="110">
        <v>2.242</v>
      </c>
      <c r="D1104" s="112">
        <v>42747</v>
      </c>
    </row>
    <row r="1105" spans="1:4">
      <c r="A1105" s="110" t="s">
        <v>944</v>
      </c>
      <c r="B1105" s="110" t="s">
        <v>298</v>
      </c>
      <c r="C1105" s="110">
        <v>2.2330000000000001</v>
      </c>
      <c r="D1105" s="112">
        <v>42747</v>
      </c>
    </row>
    <row r="1106" spans="1:4">
      <c r="A1106" s="110" t="s">
        <v>943</v>
      </c>
      <c r="B1106" s="110" t="s">
        <v>298</v>
      </c>
      <c r="C1106" s="110">
        <v>2.1970000000000001</v>
      </c>
      <c r="D1106" s="112">
        <v>42747</v>
      </c>
    </row>
    <row r="1107" spans="1:4">
      <c r="A1107" s="110" t="s">
        <v>942</v>
      </c>
      <c r="B1107" s="110" t="s">
        <v>298</v>
      </c>
      <c r="C1107" s="110">
        <v>2.1850000000000001</v>
      </c>
      <c r="D1107" s="112">
        <v>42747</v>
      </c>
    </row>
    <row r="1108" spans="1:4">
      <c r="A1108" s="110" t="s">
        <v>941</v>
      </c>
      <c r="B1108" s="110" t="s">
        <v>298</v>
      </c>
      <c r="C1108" s="110">
        <v>2.242</v>
      </c>
      <c r="D1108" s="112">
        <v>42747</v>
      </c>
    </row>
    <row r="1109" spans="1:4">
      <c r="A1109" s="110" t="s">
        <v>940</v>
      </c>
      <c r="B1109" s="110" t="s">
        <v>298</v>
      </c>
      <c r="C1109" s="110">
        <v>2.2349999999999999</v>
      </c>
      <c r="D1109" s="112">
        <v>42747</v>
      </c>
    </row>
    <row r="1110" spans="1:4">
      <c r="A1110" s="110" t="s">
        <v>939</v>
      </c>
      <c r="B1110" s="110" t="s">
        <v>298</v>
      </c>
      <c r="C1110" s="110">
        <v>2.298</v>
      </c>
      <c r="D1110" s="112">
        <v>42747</v>
      </c>
    </row>
    <row r="1111" spans="1:4">
      <c r="A1111" s="110" t="s">
        <v>938</v>
      </c>
      <c r="B1111" s="110" t="s">
        <v>298</v>
      </c>
      <c r="C1111" s="110">
        <v>2.2839999999999998</v>
      </c>
      <c r="D1111" s="112">
        <v>42747</v>
      </c>
    </row>
    <row r="1112" spans="1:4">
      <c r="A1112" s="110" t="s">
        <v>937</v>
      </c>
      <c r="B1112" s="110" t="s">
        <v>298</v>
      </c>
      <c r="C1112" s="110">
        <v>2.2290000000000001</v>
      </c>
      <c r="D1112" s="112">
        <v>42747</v>
      </c>
    </row>
    <row r="1113" spans="1:4">
      <c r="A1113" s="110" t="s">
        <v>936</v>
      </c>
      <c r="B1113" s="110" t="s">
        <v>298</v>
      </c>
      <c r="C1113" s="110">
        <v>2.181</v>
      </c>
      <c r="D1113" s="112">
        <v>42747</v>
      </c>
    </row>
    <row r="1114" spans="1:4">
      <c r="A1114" s="110" t="s">
        <v>935</v>
      </c>
      <c r="B1114" s="110" t="s">
        <v>298</v>
      </c>
      <c r="C1114" s="110">
        <v>2.2549999999999999</v>
      </c>
      <c r="D1114" s="112">
        <v>42747</v>
      </c>
    </row>
    <row r="1115" spans="1:4">
      <c r="A1115" s="110" t="s">
        <v>934</v>
      </c>
      <c r="B1115" s="110" t="s">
        <v>298</v>
      </c>
      <c r="C1115" s="110">
        <v>2.1800000000000002</v>
      </c>
      <c r="D1115" s="112">
        <v>42747</v>
      </c>
    </row>
    <row r="1116" spans="1:4">
      <c r="A1116" s="110" t="s">
        <v>933</v>
      </c>
      <c r="B1116" s="110" t="s">
        <v>298</v>
      </c>
      <c r="C1116" s="110">
        <v>2.2250000000000001</v>
      </c>
      <c r="D1116" s="112">
        <v>42747</v>
      </c>
    </row>
    <row r="1117" spans="1:4">
      <c r="A1117" s="110" t="s">
        <v>932</v>
      </c>
      <c r="B1117" s="110" t="s">
        <v>298</v>
      </c>
      <c r="C1117" s="110">
        <v>2.2069999999999999</v>
      </c>
      <c r="D1117" s="112">
        <v>42747</v>
      </c>
    </row>
    <row r="1118" spans="1:4">
      <c r="A1118" s="110" t="s">
        <v>931</v>
      </c>
      <c r="B1118" s="110" t="s">
        <v>298</v>
      </c>
      <c r="C1118" s="110">
        <v>2.2429999999999999</v>
      </c>
      <c r="D1118" s="112">
        <v>42747</v>
      </c>
    </row>
    <row r="1119" spans="1:4">
      <c r="A1119" s="110" t="s">
        <v>930</v>
      </c>
      <c r="B1119" s="110" t="s">
        <v>298</v>
      </c>
      <c r="C1119" s="110">
        <v>2.2389999999999999</v>
      </c>
      <c r="D1119" s="112">
        <v>42747</v>
      </c>
    </row>
    <row r="1120" spans="1:4">
      <c r="A1120" s="110" t="s">
        <v>929</v>
      </c>
      <c r="B1120" s="110" t="s">
        <v>298</v>
      </c>
      <c r="C1120" s="110">
        <v>2.2519999999999998</v>
      </c>
      <c r="D1120" s="112">
        <v>42747</v>
      </c>
    </row>
    <row r="1121" spans="1:4">
      <c r="A1121" s="110" t="s">
        <v>928</v>
      </c>
      <c r="B1121" s="110" t="s">
        <v>298</v>
      </c>
      <c r="C1121" s="110">
        <v>2.254</v>
      </c>
      <c r="D1121" s="112">
        <v>42747</v>
      </c>
    </row>
    <row r="1122" spans="1:4">
      <c r="A1122" s="110" t="s">
        <v>927</v>
      </c>
      <c r="B1122" s="110" t="s">
        <v>298</v>
      </c>
      <c r="C1122" s="110">
        <v>2.1960000000000002</v>
      </c>
      <c r="D1122" s="112">
        <v>42747</v>
      </c>
    </row>
    <row r="1123" spans="1:4">
      <c r="A1123" s="110" t="s">
        <v>926</v>
      </c>
      <c r="B1123" s="110" t="s">
        <v>298</v>
      </c>
      <c r="C1123" s="110">
        <v>2.1949999999999998</v>
      </c>
      <c r="D1123" s="112">
        <v>42747</v>
      </c>
    </row>
    <row r="1124" spans="1:4">
      <c r="A1124" s="110" t="s">
        <v>925</v>
      </c>
      <c r="B1124" s="110" t="s">
        <v>298</v>
      </c>
      <c r="C1124" s="110">
        <v>2.1880000000000002</v>
      </c>
      <c r="D1124" s="112">
        <v>42747</v>
      </c>
    </row>
    <row r="1125" spans="1:4">
      <c r="A1125" s="110" t="s">
        <v>924</v>
      </c>
      <c r="B1125" s="110" t="s">
        <v>298</v>
      </c>
      <c r="C1125" s="110">
        <v>2.2109999999999999</v>
      </c>
      <c r="D1125" s="112">
        <v>42747</v>
      </c>
    </row>
    <row r="1126" spans="1:4">
      <c r="A1126" s="110" t="s">
        <v>923</v>
      </c>
      <c r="B1126" s="110" t="s">
        <v>298</v>
      </c>
      <c r="C1126" s="110">
        <v>2.2309999999999999</v>
      </c>
      <c r="D1126" s="112">
        <v>42747</v>
      </c>
    </row>
    <row r="1127" spans="1:4">
      <c r="A1127" s="110" t="s">
        <v>922</v>
      </c>
      <c r="B1127" s="110" t="s">
        <v>298</v>
      </c>
      <c r="C1127" s="110">
        <v>2.2160000000000002</v>
      </c>
      <c r="D1127" s="112">
        <v>42747</v>
      </c>
    </row>
    <row r="1128" spans="1:4">
      <c r="A1128" s="110" t="s">
        <v>921</v>
      </c>
      <c r="B1128" s="110" t="s">
        <v>298</v>
      </c>
      <c r="C1128" s="110">
        <v>2.2269999999999999</v>
      </c>
      <c r="D1128" s="112">
        <v>42747</v>
      </c>
    </row>
    <row r="1129" spans="1:4">
      <c r="A1129" s="110" t="s">
        <v>920</v>
      </c>
      <c r="B1129" s="110" t="s">
        <v>298</v>
      </c>
      <c r="C1129" s="110">
        <v>2.2210000000000001</v>
      </c>
      <c r="D1129" s="112">
        <v>42747</v>
      </c>
    </row>
    <row r="1130" spans="1:4">
      <c r="A1130" s="110" t="s">
        <v>919</v>
      </c>
      <c r="B1130" s="110" t="s">
        <v>298</v>
      </c>
      <c r="C1130" s="110">
        <v>2.194</v>
      </c>
      <c r="D1130" s="112">
        <v>42747</v>
      </c>
    </row>
    <row r="1131" spans="1:4">
      <c r="A1131" s="110" t="s">
        <v>918</v>
      </c>
      <c r="B1131" s="110" t="s">
        <v>298</v>
      </c>
      <c r="C1131" s="110">
        <v>2.2170000000000001</v>
      </c>
      <c r="D1131" s="112">
        <v>42747</v>
      </c>
    </row>
    <row r="1132" spans="1:4">
      <c r="A1132" s="110" t="s">
        <v>917</v>
      </c>
      <c r="B1132" s="110" t="s">
        <v>298</v>
      </c>
      <c r="C1132" s="110">
        <v>2.298</v>
      </c>
      <c r="D1132" s="112">
        <v>42747</v>
      </c>
    </row>
    <row r="1133" spans="1:4">
      <c r="A1133" s="110" t="s">
        <v>916</v>
      </c>
      <c r="B1133" s="110" t="s">
        <v>298</v>
      </c>
      <c r="C1133" s="110">
        <v>2.214</v>
      </c>
      <c r="D1133" s="112">
        <v>42747</v>
      </c>
    </row>
    <row r="1134" spans="1:4">
      <c r="A1134" s="110" t="s">
        <v>915</v>
      </c>
      <c r="B1134" s="110" t="s">
        <v>298</v>
      </c>
      <c r="C1134" s="110">
        <v>2.2410000000000001</v>
      </c>
      <c r="D1134" s="112">
        <v>42747</v>
      </c>
    </row>
    <row r="1135" spans="1:4">
      <c r="A1135" s="110" t="s">
        <v>914</v>
      </c>
      <c r="B1135" s="110" t="s">
        <v>298</v>
      </c>
      <c r="C1135" s="110">
        <v>2.254</v>
      </c>
      <c r="D1135" s="112">
        <v>42747</v>
      </c>
    </row>
    <row r="1136" spans="1:4">
      <c r="A1136" s="110" t="s">
        <v>913</v>
      </c>
      <c r="B1136" s="110" t="s">
        <v>298</v>
      </c>
      <c r="C1136" s="110">
        <v>2.2040000000000002</v>
      </c>
      <c r="D1136" s="112">
        <v>42747</v>
      </c>
    </row>
    <row r="1137" spans="1:4">
      <c r="A1137" s="110" t="s">
        <v>912</v>
      </c>
      <c r="B1137" s="110" t="s">
        <v>298</v>
      </c>
      <c r="C1137" s="110">
        <v>2.2530000000000001</v>
      </c>
      <c r="D1137" s="112">
        <v>42747</v>
      </c>
    </row>
    <row r="1138" spans="1:4">
      <c r="A1138" s="110" t="s">
        <v>911</v>
      </c>
      <c r="B1138" s="110" t="s">
        <v>298</v>
      </c>
      <c r="C1138" s="110">
        <v>2.2589999999999999</v>
      </c>
      <c r="D1138" s="112">
        <v>42747</v>
      </c>
    </row>
    <row r="1139" spans="1:4">
      <c r="A1139" s="110" t="s">
        <v>910</v>
      </c>
      <c r="B1139" s="110" t="s">
        <v>298</v>
      </c>
      <c r="C1139" s="110">
        <v>2.1230000000000002</v>
      </c>
      <c r="D1139" s="112">
        <v>42747</v>
      </c>
    </row>
    <row r="1140" spans="1:4">
      <c r="A1140" s="110" t="s">
        <v>909</v>
      </c>
      <c r="B1140" s="110" t="s">
        <v>298</v>
      </c>
      <c r="C1140" s="110">
        <v>2.2440000000000002</v>
      </c>
      <c r="D1140" s="112">
        <v>42747</v>
      </c>
    </row>
    <row r="1141" spans="1:4">
      <c r="A1141" s="110" t="s">
        <v>908</v>
      </c>
      <c r="B1141" s="110" t="s">
        <v>298</v>
      </c>
      <c r="C1141" s="110">
        <v>2.1749999999999998</v>
      </c>
      <c r="D1141" s="112">
        <v>42747</v>
      </c>
    </row>
    <row r="1142" spans="1:4">
      <c r="A1142" s="110" t="s">
        <v>907</v>
      </c>
      <c r="B1142" s="110" t="s">
        <v>298</v>
      </c>
      <c r="C1142" s="110">
        <v>2.194</v>
      </c>
      <c r="D1142" s="112">
        <v>42747</v>
      </c>
    </row>
    <row r="1143" spans="1:4">
      <c r="A1143" s="110" t="s">
        <v>906</v>
      </c>
      <c r="B1143" s="110" t="s">
        <v>298</v>
      </c>
      <c r="C1143" s="110">
        <v>2.169</v>
      </c>
      <c r="D1143" s="112">
        <v>42747</v>
      </c>
    </row>
    <row r="1144" spans="1:4">
      <c r="A1144" s="110" t="s">
        <v>905</v>
      </c>
      <c r="B1144" s="110" t="s">
        <v>298</v>
      </c>
      <c r="C1144" s="110">
        <v>2.2440000000000002</v>
      </c>
      <c r="D1144" s="112">
        <v>42747</v>
      </c>
    </row>
    <row r="1145" spans="1:4">
      <c r="A1145" s="110" t="s">
        <v>904</v>
      </c>
      <c r="B1145" s="110" t="s">
        <v>298</v>
      </c>
      <c r="C1145" s="110">
        <v>2.1989999999999998</v>
      </c>
      <c r="D1145" s="112">
        <v>42747</v>
      </c>
    </row>
    <row r="1146" spans="1:4">
      <c r="A1146" s="110" t="s">
        <v>903</v>
      </c>
      <c r="B1146" s="110" t="s">
        <v>298</v>
      </c>
      <c r="C1146" s="110">
        <v>2.2389999999999999</v>
      </c>
      <c r="D1146" s="112">
        <v>42747</v>
      </c>
    </row>
    <row r="1147" spans="1:4">
      <c r="A1147" s="110" t="s">
        <v>902</v>
      </c>
      <c r="B1147" s="110" t="s">
        <v>298</v>
      </c>
      <c r="C1147" s="110">
        <v>2.2189999999999999</v>
      </c>
      <c r="D1147" s="112">
        <v>42747</v>
      </c>
    </row>
    <row r="1148" spans="1:4">
      <c r="A1148" s="110" t="s">
        <v>901</v>
      </c>
      <c r="B1148" s="110" t="s">
        <v>298</v>
      </c>
      <c r="C1148" s="110">
        <v>2.1800000000000002</v>
      </c>
      <c r="D1148" s="112">
        <v>42747</v>
      </c>
    </row>
    <row r="1149" spans="1:4">
      <c r="A1149" s="110" t="s">
        <v>900</v>
      </c>
      <c r="B1149" s="110" t="s">
        <v>298</v>
      </c>
      <c r="C1149" s="110">
        <v>2.1680000000000001</v>
      </c>
      <c r="D1149" s="112">
        <v>42747</v>
      </c>
    </row>
    <row r="1150" spans="1:4">
      <c r="A1150" s="110" t="s">
        <v>899</v>
      </c>
      <c r="B1150" s="110" t="s">
        <v>298</v>
      </c>
      <c r="C1150" s="110">
        <v>2.194</v>
      </c>
      <c r="D1150" s="112">
        <v>42747</v>
      </c>
    </row>
    <row r="1151" spans="1:4">
      <c r="A1151" s="110" t="s">
        <v>898</v>
      </c>
      <c r="B1151" s="110" t="s">
        <v>298</v>
      </c>
      <c r="C1151" s="110">
        <v>2.1680000000000001</v>
      </c>
      <c r="D1151" s="112">
        <v>42747</v>
      </c>
    </row>
    <row r="1152" spans="1:4">
      <c r="A1152" s="110" t="s">
        <v>897</v>
      </c>
      <c r="B1152" s="110" t="s">
        <v>298</v>
      </c>
      <c r="C1152" s="110">
        <v>2.2490000000000001</v>
      </c>
      <c r="D1152" s="112">
        <v>42747</v>
      </c>
    </row>
    <row r="1153" spans="1:4">
      <c r="A1153" s="110" t="s">
        <v>896</v>
      </c>
      <c r="B1153" s="110" t="s">
        <v>298</v>
      </c>
      <c r="C1153" s="110">
        <v>2.258</v>
      </c>
      <c r="D1153" s="112">
        <v>42747</v>
      </c>
    </row>
    <row r="1154" spans="1:4">
      <c r="A1154" s="110" t="s">
        <v>895</v>
      </c>
      <c r="B1154" s="110" t="s">
        <v>298</v>
      </c>
      <c r="C1154" s="110">
        <v>2.2170000000000001</v>
      </c>
      <c r="D1154" s="112">
        <v>42747</v>
      </c>
    </row>
    <row r="1155" spans="1:4">
      <c r="A1155" s="110" t="s">
        <v>894</v>
      </c>
      <c r="B1155" s="110" t="s">
        <v>298</v>
      </c>
      <c r="C1155" s="110">
        <v>2.2330000000000001</v>
      </c>
      <c r="D1155" s="112">
        <v>42747</v>
      </c>
    </row>
    <row r="1156" spans="1:4">
      <c r="A1156" s="110" t="s">
        <v>893</v>
      </c>
      <c r="B1156" s="110" t="s">
        <v>298</v>
      </c>
      <c r="C1156" s="110">
        <v>2.1829999999999998</v>
      </c>
      <c r="D1156" s="112">
        <v>42747</v>
      </c>
    </row>
    <row r="1157" spans="1:4">
      <c r="A1157" s="110" t="s">
        <v>892</v>
      </c>
      <c r="B1157" s="110" t="s">
        <v>298</v>
      </c>
      <c r="C1157" s="110">
        <v>2.294</v>
      </c>
      <c r="D1157" s="112">
        <v>42747</v>
      </c>
    </row>
    <row r="1158" spans="1:4">
      <c r="A1158" s="110" t="s">
        <v>891</v>
      </c>
      <c r="B1158" s="110" t="s">
        <v>298</v>
      </c>
      <c r="C1158" s="110">
        <v>2.2639999999999998</v>
      </c>
      <c r="D1158" s="112">
        <v>42747</v>
      </c>
    </row>
    <row r="1159" spans="1:4">
      <c r="A1159" s="110" t="s">
        <v>890</v>
      </c>
      <c r="B1159" s="110" t="s">
        <v>298</v>
      </c>
      <c r="C1159" s="110">
        <v>2.266</v>
      </c>
      <c r="D1159" s="112">
        <v>42747</v>
      </c>
    </row>
    <row r="1160" spans="1:4">
      <c r="A1160" s="110" t="s">
        <v>889</v>
      </c>
      <c r="B1160" s="110" t="s">
        <v>298</v>
      </c>
      <c r="C1160" s="110">
        <v>2.2069999999999999</v>
      </c>
      <c r="D1160" s="112">
        <v>42747</v>
      </c>
    </row>
    <row r="1161" spans="1:4">
      <c r="A1161" s="110" t="s">
        <v>888</v>
      </c>
      <c r="B1161" s="110" t="s">
        <v>298</v>
      </c>
      <c r="C1161" s="110">
        <v>2.2130000000000001</v>
      </c>
      <c r="D1161" s="112">
        <v>42747</v>
      </c>
    </row>
    <row r="1162" spans="1:4">
      <c r="A1162" s="110" t="s">
        <v>887</v>
      </c>
      <c r="B1162" s="110" t="s">
        <v>298</v>
      </c>
      <c r="C1162" s="110">
        <v>2.266</v>
      </c>
      <c r="D1162" s="112">
        <v>42747</v>
      </c>
    </row>
    <row r="1163" spans="1:4">
      <c r="A1163" s="110" t="s">
        <v>886</v>
      </c>
      <c r="B1163" s="110" t="s">
        <v>298</v>
      </c>
      <c r="C1163" s="110">
        <v>2.1859999999999999</v>
      </c>
      <c r="D1163" s="112">
        <v>42747</v>
      </c>
    </row>
    <row r="1164" spans="1:4">
      <c r="A1164" s="110" t="s">
        <v>885</v>
      </c>
      <c r="B1164" s="110" t="s">
        <v>298</v>
      </c>
      <c r="C1164" s="110">
        <v>2.2000000000000002</v>
      </c>
      <c r="D1164" s="112">
        <v>42747</v>
      </c>
    </row>
    <row r="1165" spans="1:4">
      <c r="A1165" s="110" t="s">
        <v>884</v>
      </c>
      <c r="B1165" s="110" t="s">
        <v>298</v>
      </c>
      <c r="C1165" s="110">
        <v>2.222</v>
      </c>
      <c r="D1165" s="112">
        <v>42747</v>
      </c>
    </row>
    <row r="1166" spans="1:4">
      <c r="A1166" s="110" t="s">
        <v>883</v>
      </c>
      <c r="B1166" s="110" t="s">
        <v>298</v>
      </c>
      <c r="C1166" s="110">
        <v>2.17</v>
      </c>
      <c r="D1166" s="112">
        <v>42747</v>
      </c>
    </row>
    <row r="1167" spans="1:4">
      <c r="A1167" s="110" t="s">
        <v>882</v>
      </c>
      <c r="B1167" s="110" t="s">
        <v>298</v>
      </c>
      <c r="C1167" s="110">
        <v>2.218</v>
      </c>
      <c r="D1167" s="112">
        <v>42747</v>
      </c>
    </row>
    <row r="1168" spans="1:4">
      <c r="A1168" s="110" t="s">
        <v>881</v>
      </c>
      <c r="B1168" s="110" t="s">
        <v>298</v>
      </c>
      <c r="C1168" s="110">
        <v>2.1779999999999999</v>
      </c>
      <c r="D1168" s="112">
        <v>42747</v>
      </c>
    </row>
    <row r="1169" spans="1:4">
      <c r="A1169" s="110" t="s">
        <v>880</v>
      </c>
      <c r="B1169" s="110" t="s">
        <v>298</v>
      </c>
      <c r="C1169" s="110">
        <v>2.2080000000000002</v>
      </c>
      <c r="D1169" s="112">
        <v>42747</v>
      </c>
    </row>
    <row r="1170" spans="1:4">
      <c r="A1170" s="110" t="s">
        <v>879</v>
      </c>
      <c r="B1170" s="110" t="s">
        <v>298</v>
      </c>
      <c r="C1170" s="110">
        <v>2.1949999999999998</v>
      </c>
      <c r="D1170" s="112">
        <v>42747</v>
      </c>
    </row>
    <row r="1171" spans="1:4">
      <c r="A1171" s="110" t="s">
        <v>878</v>
      </c>
      <c r="B1171" s="110" t="s">
        <v>298</v>
      </c>
      <c r="C1171" s="110">
        <v>2.1850000000000001</v>
      </c>
      <c r="D1171" s="112">
        <v>42747</v>
      </c>
    </row>
    <row r="1172" spans="1:4">
      <c r="A1172" s="110" t="s">
        <v>877</v>
      </c>
      <c r="B1172" s="110" t="s">
        <v>298</v>
      </c>
      <c r="C1172" s="110">
        <v>2.2250000000000001</v>
      </c>
      <c r="D1172" s="112">
        <v>42747</v>
      </c>
    </row>
    <row r="1173" spans="1:4">
      <c r="A1173" s="110" t="s">
        <v>876</v>
      </c>
      <c r="B1173" s="110" t="s">
        <v>298</v>
      </c>
      <c r="C1173" s="110">
        <v>2.2210000000000001</v>
      </c>
      <c r="D1173" s="112">
        <v>42747</v>
      </c>
    </row>
    <row r="1174" spans="1:4">
      <c r="A1174" s="110" t="s">
        <v>875</v>
      </c>
      <c r="B1174" s="110" t="s">
        <v>298</v>
      </c>
      <c r="C1174" s="110">
        <v>2.1720000000000002</v>
      </c>
      <c r="D1174" s="112">
        <v>42747</v>
      </c>
    </row>
    <row r="1175" spans="1:4">
      <c r="A1175" s="110" t="s">
        <v>874</v>
      </c>
      <c r="B1175" s="110" t="s">
        <v>298</v>
      </c>
      <c r="C1175" s="110">
        <v>2.1930000000000001</v>
      </c>
      <c r="D1175" s="112">
        <v>42747</v>
      </c>
    </row>
    <row r="1176" spans="1:4">
      <c r="A1176" s="110" t="s">
        <v>873</v>
      </c>
      <c r="B1176" s="110" t="s">
        <v>298</v>
      </c>
      <c r="C1176" s="110">
        <v>2.1709999999999998</v>
      </c>
      <c r="D1176" s="112">
        <v>42747</v>
      </c>
    </row>
    <row r="1177" spans="1:4">
      <c r="A1177" s="110" t="s">
        <v>872</v>
      </c>
      <c r="B1177" s="110" t="s">
        <v>298</v>
      </c>
      <c r="C1177" s="110">
        <v>2.278</v>
      </c>
      <c r="D1177" s="112">
        <v>42747</v>
      </c>
    </row>
    <row r="1178" spans="1:4">
      <c r="A1178" s="110" t="s">
        <v>871</v>
      </c>
      <c r="B1178" s="110" t="s">
        <v>298</v>
      </c>
      <c r="C1178" s="110">
        <v>2.2170000000000001</v>
      </c>
      <c r="D1178" s="112">
        <v>42747</v>
      </c>
    </row>
    <row r="1179" spans="1:4">
      <c r="A1179" s="110" t="s">
        <v>870</v>
      </c>
      <c r="B1179" s="110" t="s">
        <v>298</v>
      </c>
      <c r="C1179" s="110">
        <v>2.2829999999999999</v>
      </c>
      <c r="D1179" s="112">
        <v>42747</v>
      </c>
    </row>
    <row r="1180" spans="1:4">
      <c r="A1180" s="110" t="s">
        <v>869</v>
      </c>
      <c r="B1180" s="110" t="s">
        <v>298</v>
      </c>
      <c r="C1180" s="110">
        <v>2.2999999999999998</v>
      </c>
      <c r="D1180" s="112">
        <v>42747</v>
      </c>
    </row>
    <row r="1181" spans="1:4">
      <c r="A1181" s="110" t="s">
        <v>868</v>
      </c>
      <c r="B1181" s="110" t="s">
        <v>298</v>
      </c>
      <c r="C1181" s="110">
        <v>2.2090000000000001</v>
      </c>
      <c r="D1181" s="112">
        <v>42747</v>
      </c>
    </row>
    <row r="1182" spans="1:4">
      <c r="A1182" s="110" t="s">
        <v>867</v>
      </c>
      <c r="B1182" s="110" t="s">
        <v>298</v>
      </c>
      <c r="C1182" s="110">
        <v>2.1880000000000002</v>
      </c>
      <c r="D1182" s="112">
        <v>42747</v>
      </c>
    </row>
    <row r="1183" spans="1:4">
      <c r="A1183" s="110" t="s">
        <v>866</v>
      </c>
      <c r="B1183" s="110" t="s">
        <v>298</v>
      </c>
      <c r="C1183" s="110">
        <v>0.22900000000000001</v>
      </c>
      <c r="D1183" s="112">
        <v>42747</v>
      </c>
    </row>
    <row r="1184" spans="1:4">
      <c r="A1184" s="110" t="s">
        <v>865</v>
      </c>
      <c r="B1184" s="110" t="s">
        <v>298</v>
      </c>
      <c r="C1184" s="110">
        <v>2.1930000000000001</v>
      </c>
      <c r="D1184" s="112">
        <v>42747</v>
      </c>
    </row>
    <row r="1185" spans="1:5">
      <c r="A1185" s="110" t="s">
        <v>864</v>
      </c>
      <c r="B1185" s="110" t="s">
        <v>298</v>
      </c>
      <c r="C1185" s="110">
        <v>2.1949999999999998</v>
      </c>
      <c r="D1185" s="112">
        <v>42747</v>
      </c>
    </row>
    <row r="1186" spans="1:5">
      <c r="A1186" s="110" t="s">
        <v>863</v>
      </c>
      <c r="B1186" s="110" t="s">
        <v>298</v>
      </c>
      <c r="C1186" s="110">
        <v>2.198</v>
      </c>
      <c r="D1186" s="112">
        <v>42747</v>
      </c>
    </row>
    <row r="1187" spans="1:5">
      <c r="A1187" s="110" t="s">
        <v>862</v>
      </c>
      <c r="B1187" s="110" t="s">
        <v>298</v>
      </c>
      <c r="C1187" s="110">
        <v>2.161</v>
      </c>
      <c r="D1187" s="112">
        <v>42747</v>
      </c>
    </row>
    <row r="1188" spans="1:5">
      <c r="A1188" s="110" t="s">
        <v>861</v>
      </c>
      <c r="B1188" s="110" t="s">
        <v>298</v>
      </c>
      <c r="C1188" s="110">
        <v>2.11</v>
      </c>
      <c r="D1188" s="112">
        <v>42747</v>
      </c>
    </row>
    <row r="1189" spans="1:5">
      <c r="A1189" s="110" t="s">
        <v>860</v>
      </c>
      <c r="B1189" s="110" t="s">
        <v>298</v>
      </c>
      <c r="C1189" s="110">
        <v>2.17</v>
      </c>
      <c r="D1189" s="112">
        <v>42748</v>
      </c>
    </row>
    <row r="1190" spans="1:5">
      <c r="A1190" s="110" t="s">
        <v>859</v>
      </c>
      <c r="B1190" s="110" t="s">
        <v>298</v>
      </c>
      <c r="C1190" s="110">
        <v>2.1829999999999998</v>
      </c>
      <c r="D1190" s="112">
        <v>42748</v>
      </c>
    </row>
    <row r="1191" spans="1:5">
      <c r="A1191" s="110" t="s">
        <v>858</v>
      </c>
      <c r="B1191" s="110" t="s">
        <v>298</v>
      </c>
      <c r="C1191" s="110">
        <v>2.21</v>
      </c>
      <c r="D1191" s="112">
        <v>42748</v>
      </c>
    </row>
    <row r="1192" spans="1:5">
      <c r="A1192" s="110" t="s">
        <v>857</v>
      </c>
      <c r="B1192" s="110" t="s">
        <v>298</v>
      </c>
      <c r="C1192" s="110">
        <v>2.2480000000000002</v>
      </c>
      <c r="D1192" s="112">
        <v>42748</v>
      </c>
    </row>
    <row r="1193" spans="1:5">
      <c r="A1193" s="110" t="s">
        <v>856</v>
      </c>
      <c r="B1193" s="110" t="s">
        <v>298</v>
      </c>
      <c r="C1193" s="110">
        <v>2.2400000000000002</v>
      </c>
      <c r="D1193" s="112">
        <v>42748</v>
      </c>
    </row>
    <row r="1194" spans="1:5">
      <c r="A1194" s="110" t="s">
        <v>855</v>
      </c>
      <c r="B1194" s="110" t="s">
        <v>298</v>
      </c>
      <c r="C1194" s="110">
        <v>2.2160000000000002</v>
      </c>
      <c r="D1194" s="112">
        <v>42748</v>
      </c>
    </row>
    <row r="1195" spans="1:5">
      <c r="A1195" s="110" t="s">
        <v>854</v>
      </c>
      <c r="B1195" s="110" t="s">
        <v>298</v>
      </c>
      <c r="C1195" s="110">
        <v>2.1960000000000002</v>
      </c>
      <c r="D1195" s="112">
        <v>42748</v>
      </c>
    </row>
    <row r="1196" spans="1:5">
      <c r="A1196" s="175" t="s">
        <v>853</v>
      </c>
      <c r="B1196" s="175" t="s">
        <v>298</v>
      </c>
      <c r="C1196" s="175">
        <v>2.2450000000000001</v>
      </c>
      <c r="D1196" s="176">
        <v>42748</v>
      </c>
      <c r="E1196" s="175" t="s">
        <v>2466</v>
      </c>
    </row>
    <row r="1197" spans="1:5">
      <c r="A1197" s="110" t="s">
        <v>852</v>
      </c>
      <c r="B1197" s="110" t="s">
        <v>298</v>
      </c>
      <c r="C1197" s="110">
        <v>2.2160000000000002</v>
      </c>
      <c r="D1197" s="112">
        <v>42748</v>
      </c>
    </row>
    <row r="1198" spans="1:5">
      <c r="A1198" s="110" t="s">
        <v>851</v>
      </c>
      <c r="B1198" s="110" t="s">
        <v>298</v>
      </c>
      <c r="C1198" s="110">
        <v>2.153</v>
      </c>
      <c r="D1198" s="112">
        <v>42748</v>
      </c>
    </row>
    <row r="1199" spans="1:5">
      <c r="A1199" s="110" t="s">
        <v>850</v>
      </c>
      <c r="B1199" s="110" t="s">
        <v>298</v>
      </c>
      <c r="C1199" s="110">
        <v>2.2320000000000002</v>
      </c>
      <c r="D1199" s="112">
        <v>42748</v>
      </c>
    </row>
    <row r="1200" spans="1:5">
      <c r="A1200" s="110" t="s">
        <v>849</v>
      </c>
      <c r="B1200" s="110" t="s">
        <v>298</v>
      </c>
      <c r="C1200" s="110">
        <v>2.2370000000000001</v>
      </c>
      <c r="D1200" s="112">
        <v>42748</v>
      </c>
    </row>
    <row r="1201" spans="1:4">
      <c r="A1201" s="110" t="s">
        <v>848</v>
      </c>
      <c r="B1201" s="110" t="s">
        <v>298</v>
      </c>
      <c r="C1201" s="110">
        <v>2.165</v>
      </c>
      <c r="D1201" s="112">
        <v>42748</v>
      </c>
    </row>
    <row r="1202" spans="1:4">
      <c r="A1202" s="110" t="s">
        <v>847</v>
      </c>
      <c r="B1202" s="110" t="s">
        <v>298</v>
      </c>
      <c r="C1202" s="110">
        <v>2.226</v>
      </c>
      <c r="D1202" s="112">
        <v>42748</v>
      </c>
    </row>
    <row r="1203" spans="1:4">
      <c r="A1203" s="110" t="s">
        <v>846</v>
      </c>
      <c r="B1203" s="110" t="s">
        <v>298</v>
      </c>
      <c r="C1203" s="110">
        <v>2.194</v>
      </c>
      <c r="D1203" s="112">
        <v>42748</v>
      </c>
    </row>
    <row r="1204" spans="1:4">
      <c r="A1204" s="110" t="s">
        <v>845</v>
      </c>
      <c r="B1204" s="110" t="s">
        <v>298</v>
      </c>
      <c r="C1204" s="110">
        <v>2.226</v>
      </c>
      <c r="D1204" s="112">
        <v>42748</v>
      </c>
    </row>
    <row r="1205" spans="1:4">
      <c r="A1205" s="110" t="s">
        <v>844</v>
      </c>
      <c r="B1205" s="110" t="s">
        <v>298</v>
      </c>
      <c r="C1205" s="110">
        <v>2.1800000000000002</v>
      </c>
      <c r="D1205" s="112">
        <v>42748</v>
      </c>
    </row>
    <row r="1206" spans="1:4">
      <c r="A1206" s="110" t="s">
        <v>843</v>
      </c>
      <c r="B1206" s="110" t="s">
        <v>298</v>
      </c>
      <c r="C1206" s="110">
        <v>2.2229999999999999</v>
      </c>
      <c r="D1206" s="112">
        <v>42748</v>
      </c>
    </row>
    <row r="1207" spans="1:4">
      <c r="A1207" s="110" t="s">
        <v>842</v>
      </c>
      <c r="B1207" s="110" t="s">
        <v>298</v>
      </c>
      <c r="C1207" s="110">
        <v>2.2919999999999998</v>
      </c>
      <c r="D1207" s="112">
        <v>42748</v>
      </c>
    </row>
    <row r="1208" spans="1:4">
      <c r="A1208" s="110" t="s">
        <v>841</v>
      </c>
      <c r="B1208" s="110" t="s">
        <v>298</v>
      </c>
      <c r="C1208" s="110">
        <v>2.2330000000000001</v>
      </c>
      <c r="D1208" s="112">
        <v>42748</v>
      </c>
    </row>
    <row r="1209" spans="1:4">
      <c r="A1209" s="110" t="s">
        <v>840</v>
      </c>
      <c r="B1209" s="110" t="s">
        <v>298</v>
      </c>
      <c r="C1209" s="110">
        <v>2.2530000000000001</v>
      </c>
      <c r="D1209" s="112">
        <v>42748</v>
      </c>
    </row>
    <row r="1210" spans="1:4">
      <c r="A1210" s="110" t="s">
        <v>839</v>
      </c>
      <c r="B1210" s="110" t="s">
        <v>298</v>
      </c>
      <c r="C1210" s="110">
        <v>2.19</v>
      </c>
      <c r="D1210" s="112">
        <v>42748</v>
      </c>
    </row>
    <row r="1211" spans="1:4">
      <c r="A1211" s="110" t="s">
        <v>838</v>
      </c>
      <c r="B1211" s="110" t="s">
        <v>298</v>
      </c>
      <c r="C1211" s="110">
        <v>2.2490000000000001</v>
      </c>
      <c r="D1211" s="112">
        <v>42748</v>
      </c>
    </row>
    <row r="1212" spans="1:4">
      <c r="A1212" s="110" t="s">
        <v>837</v>
      </c>
      <c r="B1212" s="110" t="s">
        <v>298</v>
      </c>
      <c r="C1212" s="110">
        <v>2.1930000000000001</v>
      </c>
      <c r="D1212" s="112">
        <v>42748</v>
      </c>
    </row>
    <row r="1213" spans="1:4">
      <c r="A1213" s="110" t="s">
        <v>836</v>
      </c>
      <c r="B1213" s="110" t="s">
        <v>298</v>
      </c>
      <c r="C1213" s="110">
        <v>2.2829999999999999</v>
      </c>
      <c r="D1213" s="112">
        <v>42748</v>
      </c>
    </row>
    <row r="1214" spans="1:4">
      <c r="A1214" s="110" t="s">
        <v>835</v>
      </c>
      <c r="B1214" s="110" t="s">
        <v>298</v>
      </c>
      <c r="C1214" s="110">
        <v>2.2440000000000002</v>
      </c>
      <c r="D1214" s="112">
        <v>42748</v>
      </c>
    </row>
    <row r="1215" spans="1:4">
      <c r="A1215" s="110" t="s">
        <v>834</v>
      </c>
      <c r="B1215" s="110" t="s">
        <v>298</v>
      </c>
      <c r="C1215" s="110">
        <v>2.2010000000000001</v>
      </c>
      <c r="D1215" s="112">
        <v>42748</v>
      </c>
    </row>
    <row r="1216" spans="1:4">
      <c r="A1216" s="110" t="s">
        <v>833</v>
      </c>
      <c r="B1216" s="110" t="s">
        <v>298</v>
      </c>
      <c r="C1216" s="110">
        <v>2.173</v>
      </c>
      <c r="D1216" s="112">
        <v>42748</v>
      </c>
    </row>
    <row r="1217" spans="1:4">
      <c r="A1217" s="110" t="s">
        <v>832</v>
      </c>
      <c r="B1217" s="110" t="s">
        <v>298</v>
      </c>
      <c r="C1217" s="110">
        <v>2.1960000000000002</v>
      </c>
      <c r="D1217" s="112">
        <v>42748</v>
      </c>
    </row>
    <row r="1218" spans="1:4">
      <c r="A1218" s="110" t="s">
        <v>831</v>
      </c>
      <c r="B1218" s="110" t="s">
        <v>298</v>
      </c>
      <c r="C1218" s="110">
        <v>2.2170000000000001</v>
      </c>
      <c r="D1218" s="112">
        <v>42748</v>
      </c>
    </row>
    <row r="1219" spans="1:4">
      <c r="A1219" s="110" t="s">
        <v>830</v>
      </c>
      <c r="B1219" s="110" t="s">
        <v>298</v>
      </c>
      <c r="C1219" s="110">
        <v>2.2719999999999998</v>
      </c>
      <c r="D1219" s="112">
        <v>42748</v>
      </c>
    </row>
    <row r="1220" spans="1:4">
      <c r="A1220" s="110" t="s">
        <v>829</v>
      </c>
      <c r="B1220" s="110" t="s">
        <v>298</v>
      </c>
      <c r="C1220" s="110">
        <v>2.2360000000000002</v>
      </c>
      <c r="D1220" s="112">
        <v>42748</v>
      </c>
    </row>
    <row r="1221" spans="1:4">
      <c r="A1221" s="110" t="s">
        <v>828</v>
      </c>
      <c r="B1221" s="110" t="s">
        <v>298</v>
      </c>
      <c r="C1221" s="110">
        <v>2.2450000000000001</v>
      </c>
      <c r="D1221" s="112">
        <v>42748</v>
      </c>
    </row>
    <row r="1222" spans="1:4">
      <c r="A1222" s="110" t="s">
        <v>827</v>
      </c>
      <c r="B1222" s="110" t="s">
        <v>298</v>
      </c>
      <c r="C1222" s="110">
        <v>2.17</v>
      </c>
      <c r="D1222" s="112">
        <v>42748</v>
      </c>
    </row>
    <row r="1223" spans="1:4">
      <c r="A1223" s="110" t="s">
        <v>826</v>
      </c>
      <c r="B1223" s="110" t="s">
        <v>298</v>
      </c>
      <c r="C1223" s="110">
        <v>2.2440000000000002</v>
      </c>
      <c r="D1223" s="112">
        <v>42748</v>
      </c>
    </row>
    <row r="1224" spans="1:4">
      <c r="A1224" s="110" t="s">
        <v>825</v>
      </c>
      <c r="B1224" s="110" t="s">
        <v>298</v>
      </c>
      <c r="C1224" s="110">
        <v>2.1779999999999999</v>
      </c>
      <c r="D1224" s="112">
        <v>42748</v>
      </c>
    </row>
    <row r="1225" spans="1:4">
      <c r="A1225" s="110" t="s">
        <v>824</v>
      </c>
      <c r="B1225" s="110" t="s">
        <v>298</v>
      </c>
      <c r="C1225" s="110">
        <v>2.2240000000000002</v>
      </c>
      <c r="D1225" s="112">
        <v>42748</v>
      </c>
    </row>
    <row r="1226" spans="1:4">
      <c r="A1226" s="110" t="s">
        <v>823</v>
      </c>
      <c r="B1226" s="110" t="s">
        <v>298</v>
      </c>
      <c r="C1226" s="110">
        <v>2.23</v>
      </c>
      <c r="D1226" s="112">
        <v>42748</v>
      </c>
    </row>
    <row r="1227" spans="1:4">
      <c r="A1227" s="110" t="s">
        <v>822</v>
      </c>
      <c r="B1227" s="110" t="s">
        <v>298</v>
      </c>
      <c r="C1227" s="110">
        <v>2.1709999999999998</v>
      </c>
      <c r="D1227" s="112">
        <v>42748</v>
      </c>
    </row>
    <row r="1228" spans="1:4">
      <c r="A1228" s="110" t="s">
        <v>821</v>
      </c>
      <c r="B1228" s="110" t="s">
        <v>298</v>
      </c>
      <c r="C1228" s="110">
        <v>2.1459999999999999</v>
      </c>
      <c r="D1228" s="112">
        <v>42748</v>
      </c>
    </row>
    <row r="1229" spans="1:4">
      <c r="A1229" s="110" t="s">
        <v>820</v>
      </c>
      <c r="B1229" s="110" t="s">
        <v>298</v>
      </c>
      <c r="C1229" s="110">
        <v>2.1859999999999999</v>
      </c>
      <c r="D1229" s="112">
        <v>42748</v>
      </c>
    </row>
    <row r="1230" spans="1:4">
      <c r="A1230" s="110" t="s">
        <v>819</v>
      </c>
      <c r="B1230" s="110" t="s">
        <v>298</v>
      </c>
      <c r="C1230" s="110">
        <v>2.1909999999999998</v>
      </c>
      <c r="D1230" s="112">
        <v>42748</v>
      </c>
    </row>
    <row r="1231" spans="1:4">
      <c r="A1231" s="110" t="s">
        <v>818</v>
      </c>
      <c r="B1231" s="110" t="s">
        <v>298</v>
      </c>
      <c r="C1231" s="110">
        <v>2.1949999999999998</v>
      </c>
      <c r="D1231" s="112">
        <v>42748</v>
      </c>
    </row>
    <row r="1232" spans="1:4">
      <c r="A1232" s="110" t="s">
        <v>817</v>
      </c>
      <c r="B1232" s="110" t="s">
        <v>298</v>
      </c>
      <c r="C1232" s="110">
        <v>2.2410000000000001</v>
      </c>
      <c r="D1232" s="112">
        <v>42748</v>
      </c>
    </row>
    <row r="1233" spans="1:4">
      <c r="A1233" s="110" t="s">
        <v>816</v>
      </c>
      <c r="B1233" s="110" t="s">
        <v>298</v>
      </c>
      <c r="C1233" s="110">
        <v>2.2069999999999999</v>
      </c>
      <c r="D1233" s="112">
        <v>42748</v>
      </c>
    </row>
    <row r="1234" spans="1:4">
      <c r="A1234" s="110" t="s">
        <v>815</v>
      </c>
      <c r="B1234" s="110" t="s">
        <v>298</v>
      </c>
      <c r="C1234" s="110">
        <v>2.1890000000000001</v>
      </c>
      <c r="D1234" s="112">
        <v>42748</v>
      </c>
    </row>
    <row r="1235" spans="1:4">
      <c r="A1235" s="110" t="s">
        <v>814</v>
      </c>
      <c r="B1235" s="110" t="s">
        <v>298</v>
      </c>
      <c r="C1235" s="110">
        <v>2.2229999999999999</v>
      </c>
      <c r="D1235" s="112">
        <v>42748</v>
      </c>
    </row>
    <row r="1236" spans="1:4">
      <c r="A1236" s="110" t="s">
        <v>813</v>
      </c>
      <c r="B1236" s="110" t="s">
        <v>298</v>
      </c>
      <c r="C1236" s="110">
        <v>2.2549999999999999</v>
      </c>
      <c r="D1236" s="112">
        <v>42748</v>
      </c>
    </row>
    <row r="1237" spans="1:4">
      <c r="A1237" s="110" t="s">
        <v>812</v>
      </c>
      <c r="B1237" s="110" t="s">
        <v>298</v>
      </c>
      <c r="C1237" s="110">
        <v>2.2120000000000002</v>
      </c>
      <c r="D1237" s="112">
        <v>42748</v>
      </c>
    </row>
    <row r="1238" spans="1:4">
      <c r="A1238" s="110" t="s">
        <v>811</v>
      </c>
      <c r="B1238" s="110" t="s">
        <v>298</v>
      </c>
      <c r="C1238" s="110">
        <v>2.12</v>
      </c>
      <c r="D1238" s="112">
        <v>42748</v>
      </c>
    </row>
    <row r="1239" spans="1:4">
      <c r="A1239" s="110" t="s">
        <v>810</v>
      </c>
      <c r="B1239" s="110" t="s">
        <v>298</v>
      </c>
      <c r="C1239" s="110">
        <v>2.2410000000000001</v>
      </c>
      <c r="D1239" s="112">
        <v>42748</v>
      </c>
    </row>
    <row r="1240" spans="1:4">
      <c r="A1240" s="110" t="s">
        <v>809</v>
      </c>
      <c r="B1240" s="110" t="s">
        <v>298</v>
      </c>
      <c r="C1240" s="110">
        <v>2.1880000000000002</v>
      </c>
      <c r="D1240" s="112">
        <v>42748</v>
      </c>
    </row>
    <row r="1241" spans="1:4">
      <c r="A1241" s="110" t="s">
        <v>808</v>
      </c>
      <c r="B1241" s="110" t="s">
        <v>298</v>
      </c>
      <c r="C1241" s="110">
        <v>2.27</v>
      </c>
      <c r="D1241" s="112">
        <v>42748</v>
      </c>
    </row>
    <row r="1242" spans="1:4">
      <c r="A1242" s="110" t="s">
        <v>807</v>
      </c>
      <c r="B1242" s="110" t="s">
        <v>298</v>
      </c>
      <c r="C1242" s="110">
        <v>2.1419999999999999</v>
      </c>
      <c r="D1242" s="112">
        <v>42748</v>
      </c>
    </row>
    <row r="1243" spans="1:4">
      <c r="A1243" s="110" t="s">
        <v>806</v>
      </c>
      <c r="B1243" s="110" t="s">
        <v>298</v>
      </c>
      <c r="C1243" s="110">
        <v>2.1629999999999998</v>
      </c>
      <c r="D1243" s="112">
        <v>42748</v>
      </c>
    </row>
    <row r="1244" spans="1:4">
      <c r="A1244" s="110" t="s">
        <v>805</v>
      </c>
      <c r="B1244" s="110" t="s">
        <v>298</v>
      </c>
      <c r="C1244" s="110">
        <v>2.11</v>
      </c>
      <c r="D1244" s="112">
        <v>42748</v>
      </c>
    </row>
    <row r="1245" spans="1:4">
      <c r="A1245" s="110" t="s">
        <v>804</v>
      </c>
      <c r="B1245" s="110" t="s">
        <v>298</v>
      </c>
      <c r="C1245" s="110">
        <v>2.2309999999999999</v>
      </c>
      <c r="D1245" s="112">
        <v>42748</v>
      </c>
    </row>
    <row r="1246" spans="1:4">
      <c r="A1246" s="110" t="s">
        <v>803</v>
      </c>
      <c r="B1246" s="110" t="s">
        <v>298</v>
      </c>
      <c r="C1246" s="110">
        <v>2.1709999999999998</v>
      </c>
      <c r="D1246" s="112">
        <v>42748</v>
      </c>
    </row>
    <row r="1247" spans="1:4">
      <c r="A1247" s="110" t="s">
        <v>802</v>
      </c>
      <c r="B1247" s="110" t="s">
        <v>298</v>
      </c>
      <c r="C1247" s="110">
        <v>2.214</v>
      </c>
      <c r="D1247" s="112">
        <v>42748</v>
      </c>
    </row>
    <row r="1248" spans="1:4">
      <c r="A1248" s="110" t="s">
        <v>801</v>
      </c>
      <c r="B1248" s="110" t="s">
        <v>298</v>
      </c>
      <c r="C1248" s="110">
        <v>2.2130000000000001</v>
      </c>
      <c r="D1248" s="112">
        <v>42748</v>
      </c>
    </row>
    <row r="1249" spans="1:4">
      <c r="A1249" s="110" t="s">
        <v>800</v>
      </c>
      <c r="B1249" s="110" t="s">
        <v>298</v>
      </c>
      <c r="C1249" s="110">
        <v>2.1560000000000001</v>
      </c>
      <c r="D1249" s="112">
        <v>42748</v>
      </c>
    </row>
    <row r="1250" spans="1:4">
      <c r="A1250" s="110" t="s">
        <v>799</v>
      </c>
      <c r="B1250" s="110" t="s">
        <v>298</v>
      </c>
      <c r="C1250" s="110">
        <v>2.2450000000000001</v>
      </c>
      <c r="D1250" s="112">
        <v>42748</v>
      </c>
    </row>
    <row r="1251" spans="1:4">
      <c r="A1251" s="110" t="s">
        <v>798</v>
      </c>
      <c r="B1251" s="110" t="s">
        <v>298</v>
      </c>
      <c r="C1251" s="110">
        <v>2.2429999999999999</v>
      </c>
      <c r="D1251" s="112">
        <v>42748</v>
      </c>
    </row>
    <row r="1252" spans="1:4">
      <c r="A1252" s="110" t="s">
        <v>797</v>
      </c>
      <c r="B1252" s="110" t="s">
        <v>298</v>
      </c>
      <c r="C1252" s="110">
        <v>2.153</v>
      </c>
      <c r="D1252" s="112">
        <v>42748</v>
      </c>
    </row>
    <row r="1253" spans="1:4">
      <c r="A1253" s="110" t="s">
        <v>796</v>
      </c>
      <c r="B1253" s="110" t="s">
        <v>298</v>
      </c>
      <c r="C1253" s="110">
        <v>2.2599999999999998</v>
      </c>
      <c r="D1253" s="112">
        <v>42748</v>
      </c>
    </row>
    <row r="1254" spans="1:4">
      <c r="A1254" s="110" t="s">
        <v>795</v>
      </c>
      <c r="B1254" s="110" t="s">
        <v>298</v>
      </c>
      <c r="C1254" s="110">
        <v>2.2349999999999999</v>
      </c>
      <c r="D1254" s="112">
        <v>42748</v>
      </c>
    </row>
    <row r="1255" spans="1:4">
      <c r="A1255" s="110" t="s">
        <v>794</v>
      </c>
      <c r="B1255" s="110" t="s">
        <v>298</v>
      </c>
      <c r="C1255" s="110">
        <v>2.2400000000000002</v>
      </c>
      <c r="D1255" s="112">
        <v>42748</v>
      </c>
    </row>
    <row r="1256" spans="1:4">
      <c r="A1256" s="110" t="s">
        <v>793</v>
      </c>
      <c r="B1256" s="110" t="s">
        <v>298</v>
      </c>
      <c r="C1256" s="110">
        <v>2.31</v>
      </c>
      <c r="D1256" s="112">
        <v>42748</v>
      </c>
    </row>
    <row r="1257" spans="1:4">
      <c r="A1257" s="110" t="s">
        <v>792</v>
      </c>
      <c r="B1257" s="110" t="s">
        <v>298</v>
      </c>
      <c r="C1257" s="110">
        <v>2.2469999999999999</v>
      </c>
      <c r="D1257" s="112">
        <v>42748</v>
      </c>
    </row>
    <row r="1258" spans="1:4">
      <c r="A1258" s="110" t="s">
        <v>791</v>
      </c>
      <c r="B1258" s="110" t="s">
        <v>298</v>
      </c>
      <c r="C1258" s="110">
        <v>2.21</v>
      </c>
      <c r="D1258" s="112">
        <v>42748</v>
      </c>
    </row>
    <row r="1259" spans="1:4">
      <c r="A1259" s="110" t="s">
        <v>790</v>
      </c>
      <c r="B1259" s="110" t="s">
        <v>298</v>
      </c>
      <c r="C1259" s="110">
        <v>2.17</v>
      </c>
      <c r="D1259" s="112">
        <v>42748</v>
      </c>
    </row>
    <row r="1260" spans="1:4">
      <c r="A1260" s="110" t="s">
        <v>789</v>
      </c>
      <c r="B1260" s="110" t="s">
        <v>298</v>
      </c>
      <c r="C1260" s="110">
        <v>2.2789999999999999</v>
      </c>
      <c r="D1260" s="112">
        <v>42748</v>
      </c>
    </row>
    <row r="1261" spans="1:4">
      <c r="A1261" s="110" t="s">
        <v>788</v>
      </c>
      <c r="B1261" s="110" t="s">
        <v>298</v>
      </c>
      <c r="C1261" s="110">
        <v>2.2909999999999999</v>
      </c>
      <c r="D1261" s="112">
        <v>42748</v>
      </c>
    </row>
    <row r="1262" spans="1:4">
      <c r="A1262" s="110" t="s">
        <v>787</v>
      </c>
      <c r="B1262" s="110" t="s">
        <v>298</v>
      </c>
      <c r="C1262" s="110">
        <v>2.286</v>
      </c>
      <c r="D1262" s="112">
        <v>42748</v>
      </c>
    </row>
    <row r="1263" spans="1:4">
      <c r="A1263" s="110" t="s">
        <v>786</v>
      </c>
      <c r="B1263" s="110" t="s">
        <v>298</v>
      </c>
      <c r="C1263" s="110">
        <v>2.1850000000000001</v>
      </c>
      <c r="D1263" s="112">
        <v>42748</v>
      </c>
    </row>
    <row r="1264" spans="1:4">
      <c r="A1264" s="110" t="s">
        <v>785</v>
      </c>
      <c r="B1264" s="110" t="s">
        <v>298</v>
      </c>
      <c r="C1264" s="110">
        <v>2.1619999999999999</v>
      </c>
      <c r="D1264" s="112">
        <v>42748</v>
      </c>
    </row>
    <row r="1265" spans="1:4">
      <c r="A1265" s="110" t="s">
        <v>784</v>
      </c>
      <c r="B1265" s="110" t="s">
        <v>298</v>
      </c>
      <c r="C1265" s="110">
        <v>2.2090000000000001</v>
      </c>
      <c r="D1265" s="112">
        <v>42748</v>
      </c>
    </row>
    <row r="1266" spans="1:4">
      <c r="A1266" s="110" t="s">
        <v>783</v>
      </c>
      <c r="B1266" s="110" t="s">
        <v>298</v>
      </c>
      <c r="C1266" s="110">
        <v>2.2210000000000001</v>
      </c>
      <c r="D1266" s="112">
        <v>42748</v>
      </c>
    </row>
    <row r="1267" spans="1:4">
      <c r="A1267" s="110" t="s">
        <v>782</v>
      </c>
      <c r="B1267" s="110" t="s">
        <v>298</v>
      </c>
      <c r="C1267" s="110">
        <v>2.198</v>
      </c>
      <c r="D1267" s="112">
        <v>42748</v>
      </c>
    </row>
    <row r="1268" spans="1:4">
      <c r="A1268" s="110" t="s">
        <v>781</v>
      </c>
      <c r="B1268" s="110" t="s">
        <v>298</v>
      </c>
      <c r="C1268" s="110">
        <v>2.206</v>
      </c>
      <c r="D1268" s="112">
        <v>42748</v>
      </c>
    </row>
    <row r="1269" spans="1:4">
      <c r="A1269" s="110" t="s">
        <v>780</v>
      </c>
      <c r="B1269" s="110" t="s">
        <v>298</v>
      </c>
      <c r="C1269" s="110">
        <v>2.2210000000000001</v>
      </c>
      <c r="D1269" s="112">
        <v>42748</v>
      </c>
    </row>
    <row r="1270" spans="1:4">
      <c r="A1270" s="110" t="s">
        <v>779</v>
      </c>
      <c r="B1270" s="110" t="s">
        <v>298</v>
      </c>
      <c r="C1270" s="110">
        <v>2.246</v>
      </c>
      <c r="D1270" s="112">
        <v>42748</v>
      </c>
    </row>
    <row r="1271" spans="1:4">
      <c r="A1271" s="110" t="s">
        <v>778</v>
      </c>
      <c r="B1271" s="110" t="s">
        <v>298</v>
      </c>
      <c r="C1271" s="110">
        <v>2.1659999999999999</v>
      </c>
      <c r="D1271" s="112">
        <v>42748</v>
      </c>
    </row>
    <row r="1272" spans="1:4">
      <c r="A1272" s="110" t="s">
        <v>777</v>
      </c>
      <c r="B1272" s="110" t="s">
        <v>298</v>
      </c>
      <c r="C1272" s="110">
        <v>2.234</v>
      </c>
      <c r="D1272" s="112">
        <v>42748</v>
      </c>
    </row>
    <row r="1273" spans="1:4">
      <c r="A1273" s="110" t="s">
        <v>776</v>
      </c>
      <c r="B1273" s="110" t="s">
        <v>298</v>
      </c>
      <c r="C1273" s="110">
        <v>2.2130000000000001</v>
      </c>
      <c r="D1273" s="112">
        <v>42748</v>
      </c>
    </row>
    <row r="1274" spans="1:4">
      <c r="A1274" s="110" t="s">
        <v>775</v>
      </c>
      <c r="B1274" s="110" t="s">
        <v>298</v>
      </c>
      <c r="C1274" s="110">
        <v>2.2330000000000001</v>
      </c>
      <c r="D1274" s="112">
        <v>42748</v>
      </c>
    </row>
    <row r="1275" spans="1:4">
      <c r="A1275" s="110" t="s">
        <v>774</v>
      </c>
      <c r="B1275" s="110" t="s">
        <v>298</v>
      </c>
      <c r="C1275" s="110">
        <v>2.165</v>
      </c>
      <c r="D1275" s="112">
        <v>42748</v>
      </c>
    </row>
    <row r="1276" spans="1:4">
      <c r="A1276" s="110" t="s">
        <v>773</v>
      </c>
      <c r="B1276" s="110" t="s">
        <v>298</v>
      </c>
      <c r="C1276" s="110">
        <v>2.2549999999999999</v>
      </c>
      <c r="D1276" s="112">
        <v>42748</v>
      </c>
    </row>
    <row r="1277" spans="1:4">
      <c r="A1277" s="110" t="s">
        <v>772</v>
      </c>
      <c r="B1277" s="110" t="s">
        <v>298</v>
      </c>
      <c r="C1277" s="110">
        <v>2.2400000000000002</v>
      </c>
      <c r="D1277" s="112">
        <v>42748</v>
      </c>
    </row>
    <row r="1278" spans="1:4">
      <c r="A1278" s="110" t="s">
        <v>771</v>
      </c>
      <c r="B1278" s="110" t="s">
        <v>298</v>
      </c>
      <c r="C1278" s="110">
        <v>2.2290000000000001</v>
      </c>
      <c r="D1278" s="112">
        <v>42748</v>
      </c>
    </row>
    <row r="1279" spans="1:4">
      <c r="A1279" s="110" t="s">
        <v>770</v>
      </c>
      <c r="B1279" s="110" t="s">
        <v>298</v>
      </c>
      <c r="C1279" s="110">
        <v>2.2530000000000001</v>
      </c>
      <c r="D1279" s="112">
        <v>42748</v>
      </c>
    </row>
    <row r="1280" spans="1:4">
      <c r="A1280" s="110" t="s">
        <v>769</v>
      </c>
      <c r="B1280" s="110" t="s">
        <v>298</v>
      </c>
      <c r="C1280" s="110">
        <v>2.202</v>
      </c>
      <c r="D1280" s="112">
        <v>42748</v>
      </c>
    </row>
    <row r="1281" spans="1:4">
      <c r="A1281" s="110" t="s">
        <v>768</v>
      </c>
      <c r="B1281" s="110" t="s">
        <v>298</v>
      </c>
      <c r="C1281" s="110">
        <v>2.226</v>
      </c>
      <c r="D1281" s="112">
        <v>42748</v>
      </c>
    </row>
    <row r="1282" spans="1:4">
      <c r="A1282" s="110" t="s">
        <v>767</v>
      </c>
      <c r="B1282" s="110" t="s">
        <v>298</v>
      </c>
      <c r="C1282" s="110">
        <v>2.2090000000000001</v>
      </c>
      <c r="D1282" s="112">
        <v>42748</v>
      </c>
    </row>
    <row r="1283" spans="1:4">
      <c r="A1283" s="110" t="s">
        <v>766</v>
      </c>
      <c r="B1283" s="110" t="s">
        <v>298</v>
      </c>
      <c r="C1283" s="110">
        <v>2.23</v>
      </c>
      <c r="D1283" s="112">
        <v>42748</v>
      </c>
    </row>
    <row r="1284" spans="1:4">
      <c r="A1284" s="110" t="s">
        <v>765</v>
      </c>
      <c r="B1284" s="110" t="s">
        <v>298</v>
      </c>
      <c r="C1284" s="110">
        <v>2.177</v>
      </c>
      <c r="D1284" s="112">
        <v>42748</v>
      </c>
    </row>
    <row r="1285" spans="1:4">
      <c r="A1285" s="110" t="s">
        <v>764</v>
      </c>
      <c r="B1285" s="110" t="s">
        <v>298</v>
      </c>
      <c r="C1285" s="110">
        <v>2.2309999999999999</v>
      </c>
      <c r="D1285" s="112">
        <v>42748</v>
      </c>
    </row>
    <row r="1286" spans="1:4">
      <c r="A1286" s="110" t="s">
        <v>763</v>
      </c>
      <c r="B1286" s="110" t="s">
        <v>298</v>
      </c>
      <c r="C1286" s="110">
        <v>2.2320000000000002</v>
      </c>
      <c r="D1286" s="112">
        <v>42748</v>
      </c>
    </row>
    <row r="1287" spans="1:4">
      <c r="A1287" s="110" t="s">
        <v>762</v>
      </c>
      <c r="B1287" s="110" t="s">
        <v>298</v>
      </c>
      <c r="C1287" s="110">
        <v>2.246</v>
      </c>
      <c r="D1287" s="112">
        <v>42748</v>
      </c>
    </row>
    <row r="1288" spans="1:4">
      <c r="A1288" s="110" t="s">
        <v>761</v>
      </c>
      <c r="B1288" s="110" t="s">
        <v>298</v>
      </c>
      <c r="C1288" s="110">
        <v>2.2799999999999998</v>
      </c>
      <c r="D1288" s="112">
        <v>42748</v>
      </c>
    </row>
    <row r="1289" spans="1:4">
      <c r="A1289" s="110" t="s">
        <v>760</v>
      </c>
      <c r="B1289" s="110" t="s">
        <v>298</v>
      </c>
      <c r="C1289" s="110">
        <v>2.2349999999999999</v>
      </c>
      <c r="D1289" s="112">
        <v>42748</v>
      </c>
    </row>
    <row r="1290" spans="1:4">
      <c r="A1290" s="110" t="s">
        <v>759</v>
      </c>
      <c r="B1290" s="110" t="s">
        <v>298</v>
      </c>
      <c r="C1290" s="110">
        <v>2.2210000000000001</v>
      </c>
      <c r="D1290" s="112">
        <v>42748</v>
      </c>
    </row>
    <row r="1291" spans="1:4">
      <c r="A1291" s="110" t="s">
        <v>758</v>
      </c>
      <c r="B1291" s="110" t="s">
        <v>298</v>
      </c>
      <c r="C1291" s="110">
        <v>2.234</v>
      </c>
      <c r="D1291" s="112">
        <v>42748</v>
      </c>
    </row>
    <row r="1292" spans="1:4">
      <c r="A1292" s="110" t="s">
        <v>757</v>
      </c>
      <c r="B1292" s="110" t="s">
        <v>298</v>
      </c>
      <c r="C1292" s="110">
        <v>2.2240000000000002</v>
      </c>
      <c r="D1292" s="112">
        <v>42748</v>
      </c>
    </row>
    <row r="1293" spans="1:4">
      <c r="A1293" s="110" t="s">
        <v>756</v>
      </c>
      <c r="B1293" s="110" t="s">
        <v>298</v>
      </c>
      <c r="C1293" s="110">
        <v>2.2559999999999998</v>
      </c>
      <c r="D1293" s="112">
        <v>42748</v>
      </c>
    </row>
    <row r="1294" spans="1:4">
      <c r="A1294" s="110" t="s">
        <v>755</v>
      </c>
      <c r="B1294" s="110" t="s">
        <v>298</v>
      </c>
      <c r="C1294" s="110">
        <v>2.2309999999999999</v>
      </c>
      <c r="D1294" s="112">
        <v>42748</v>
      </c>
    </row>
    <row r="1295" spans="1:4">
      <c r="A1295" s="110" t="s">
        <v>754</v>
      </c>
      <c r="B1295" s="110" t="s">
        <v>298</v>
      </c>
      <c r="C1295" s="110">
        <v>2.1080000000000001</v>
      </c>
      <c r="D1295" s="112">
        <v>42748</v>
      </c>
    </row>
    <row r="1296" spans="1:4">
      <c r="A1296" s="110" t="s">
        <v>753</v>
      </c>
      <c r="B1296" s="110" t="s">
        <v>298</v>
      </c>
      <c r="C1296" s="110">
        <v>2.2349999999999999</v>
      </c>
      <c r="D1296" s="112">
        <v>42748</v>
      </c>
    </row>
    <row r="1297" spans="1:4">
      <c r="A1297" s="110" t="s">
        <v>752</v>
      </c>
      <c r="B1297" s="110" t="s">
        <v>298</v>
      </c>
      <c r="C1297" s="110">
        <v>2.2349999999999999</v>
      </c>
      <c r="D1297" s="112">
        <v>42748</v>
      </c>
    </row>
    <row r="1298" spans="1:4">
      <c r="A1298" s="110" t="s">
        <v>751</v>
      </c>
      <c r="B1298" s="110" t="s">
        <v>298</v>
      </c>
      <c r="C1298" s="110">
        <v>2.2480000000000002</v>
      </c>
      <c r="D1298" s="112">
        <v>42748</v>
      </c>
    </row>
    <row r="1299" spans="1:4">
      <c r="A1299" s="110" t="s">
        <v>750</v>
      </c>
      <c r="B1299" s="110" t="s">
        <v>298</v>
      </c>
      <c r="C1299" s="110">
        <v>2.1960000000000002</v>
      </c>
      <c r="D1299" s="112">
        <v>42748</v>
      </c>
    </row>
    <row r="1300" spans="1:4">
      <c r="A1300" s="110" t="s">
        <v>749</v>
      </c>
      <c r="B1300" s="110" t="s">
        <v>298</v>
      </c>
      <c r="C1300" s="110">
        <v>2.2309999999999999</v>
      </c>
      <c r="D1300" s="112">
        <v>42748</v>
      </c>
    </row>
    <row r="1301" spans="1:4">
      <c r="A1301" s="110" t="s">
        <v>748</v>
      </c>
      <c r="B1301" s="110" t="s">
        <v>298</v>
      </c>
      <c r="C1301" s="110">
        <v>2.1829999999999998</v>
      </c>
      <c r="D1301" s="112">
        <v>42748</v>
      </c>
    </row>
    <row r="1302" spans="1:4">
      <c r="A1302" s="110" t="s">
        <v>747</v>
      </c>
      <c r="B1302" s="110" t="s">
        <v>298</v>
      </c>
      <c r="C1302" s="110">
        <v>2.1800000000000002</v>
      </c>
      <c r="D1302" s="112">
        <v>42748</v>
      </c>
    </row>
    <row r="1303" spans="1:4">
      <c r="A1303" s="110" t="s">
        <v>746</v>
      </c>
      <c r="B1303" s="110" t="s">
        <v>298</v>
      </c>
      <c r="C1303" s="110">
        <v>2.1280000000000001</v>
      </c>
      <c r="D1303" s="112">
        <v>42748</v>
      </c>
    </row>
    <row r="1304" spans="1:4">
      <c r="A1304" s="110" t="s">
        <v>745</v>
      </c>
      <c r="B1304" s="110" t="s">
        <v>298</v>
      </c>
      <c r="C1304" s="110">
        <v>2.14</v>
      </c>
      <c r="D1304" s="112">
        <v>42748</v>
      </c>
    </row>
    <row r="1305" spans="1:4">
      <c r="A1305" s="110" t="s">
        <v>744</v>
      </c>
      <c r="B1305" s="110" t="s">
        <v>298</v>
      </c>
      <c r="C1305" s="110">
        <v>2.1970000000000001</v>
      </c>
      <c r="D1305" s="112">
        <v>42748</v>
      </c>
    </row>
    <row r="1306" spans="1:4">
      <c r="A1306" s="110" t="s">
        <v>743</v>
      </c>
      <c r="B1306" s="110" t="s">
        <v>298</v>
      </c>
      <c r="C1306" s="110">
        <v>2.19</v>
      </c>
      <c r="D1306" s="112">
        <v>42748</v>
      </c>
    </row>
    <row r="1307" spans="1:4">
      <c r="A1307" s="110" t="s">
        <v>742</v>
      </c>
      <c r="B1307" s="110" t="s">
        <v>298</v>
      </c>
      <c r="C1307" s="110">
        <v>2.1389999999999998</v>
      </c>
      <c r="D1307" s="112">
        <v>42748</v>
      </c>
    </row>
    <row r="1308" spans="1:4">
      <c r="A1308" s="110" t="s">
        <v>741</v>
      </c>
      <c r="B1308" s="110" t="s">
        <v>298</v>
      </c>
      <c r="C1308" s="110">
        <v>2.181</v>
      </c>
      <c r="D1308" s="112">
        <v>42748</v>
      </c>
    </row>
    <row r="1309" spans="1:4">
      <c r="A1309" s="110" t="s">
        <v>740</v>
      </c>
      <c r="B1309" s="110" t="s">
        <v>298</v>
      </c>
      <c r="C1309" s="110">
        <v>2.214</v>
      </c>
      <c r="D1309" s="112">
        <v>42748</v>
      </c>
    </row>
    <row r="1310" spans="1:4">
      <c r="A1310" s="110" t="s">
        <v>739</v>
      </c>
      <c r="B1310" s="110" t="s">
        <v>298</v>
      </c>
      <c r="C1310" s="110">
        <v>2.1459999999999999</v>
      </c>
      <c r="D1310" s="112">
        <v>42748</v>
      </c>
    </row>
    <row r="1311" spans="1:4">
      <c r="A1311" s="110" t="s">
        <v>738</v>
      </c>
      <c r="B1311" s="110" t="s">
        <v>298</v>
      </c>
      <c r="C1311" s="110">
        <v>2.2679999999999998</v>
      </c>
      <c r="D1311" s="112">
        <v>42748</v>
      </c>
    </row>
    <row r="1312" spans="1:4">
      <c r="A1312" s="110" t="s">
        <v>737</v>
      </c>
      <c r="B1312" s="110" t="s">
        <v>298</v>
      </c>
      <c r="C1312" s="110">
        <v>2.1779999999999999</v>
      </c>
      <c r="D1312" s="112">
        <v>42748</v>
      </c>
    </row>
    <row r="1313" spans="1:4">
      <c r="A1313" s="110" t="s">
        <v>736</v>
      </c>
      <c r="B1313" s="110" t="s">
        <v>298</v>
      </c>
      <c r="C1313" s="110">
        <v>2.2400000000000002</v>
      </c>
      <c r="D1313" s="112">
        <v>42748</v>
      </c>
    </row>
    <row r="1314" spans="1:4">
      <c r="A1314" s="110" t="s">
        <v>735</v>
      </c>
      <c r="B1314" s="110" t="s">
        <v>298</v>
      </c>
      <c r="C1314" s="110">
        <v>2.1739999999999999</v>
      </c>
      <c r="D1314" s="112">
        <v>42748</v>
      </c>
    </row>
    <row r="1315" spans="1:4">
      <c r="A1315" s="110" t="s">
        <v>734</v>
      </c>
      <c r="B1315" s="110" t="s">
        <v>298</v>
      </c>
      <c r="C1315" s="110">
        <v>2.1859999999999999</v>
      </c>
      <c r="D1315" s="112">
        <v>42748</v>
      </c>
    </row>
    <row r="1316" spans="1:4">
      <c r="A1316" s="110" t="s">
        <v>733</v>
      </c>
      <c r="B1316" s="110" t="s">
        <v>298</v>
      </c>
      <c r="C1316" s="110">
        <v>2.2480000000000002</v>
      </c>
      <c r="D1316" s="112">
        <v>42748</v>
      </c>
    </row>
    <row r="1317" spans="1:4">
      <c r="A1317" s="110" t="s">
        <v>732</v>
      </c>
      <c r="B1317" s="110" t="s">
        <v>298</v>
      </c>
      <c r="C1317" s="110">
        <v>2.2000000000000002</v>
      </c>
      <c r="D1317" s="112">
        <v>42748</v>
      </c>
    </row>
    <row r="1318" spans="1:4">
      <c r="A1318" s="110" t="s">
        <v>731</v>
      </c>
      <c r="B1318" s="110" t="s">
        <v>298</v>
      </c>
      <c r="C1318" s="110">
        <v>2.1930000000000001</v>
      </c>
      <c r="D1318" s="112">
        <v>42748</v>
      </c>
    </row>
    <row r="1319" spans="1:4">
      <c r="A1319" s="110" t="s">
        <v>730</v>
      </c>
      <c r="B1319" s="110" t="s">
        <v>298</v>
      </c>
      <c r="C1319" s="110">
        <v>2.2240000000000002</v>
      </c>
      <c r="D1319" s="112">
        <v>42748</v>
      </c>
    </row>
    <row r="1320" spans="1:4">
      <c r="A1320" s="110" t="s">
        <v>729</v>
      </c>
      <c r="B1320" s="110" t="s">
        <v>298</v>
      </c>
      <c r="C1320" s="110">
        <v>2.2709999999999999</v>
      </c>
      <c r="D1320" s="112">
        <v>42748</v>
      </c>
    </row>
    <row r="1321" spans="1:4">
      <c r="A1321" s="110" t="s">
        <v>728</v>
      </c>
      <c r="B1321" s="110" t="s">
        <v>298</v>
      </c>
      <c r="C1321" s="110">
        <v>2.214</v>
      </c>
      <c r="D1321" s="112">
        <v>42748</v>
      </c>
    </row>
    <row r="1322" spans="1:4">
      <c r="A1322" s="110" t="s">
        <v>727</v>
      </c>
      <c r="B1322" s="110" t="s">
        <v>298</v>
      </c>
      <c r="C1322" s="110">
        <v>2.1349999999999998</v>
      </c>
      <c r="D1322" s="112">
        <v>42748</v>
      </c>
    </row>
    <row r="1323" spans="1:4">
      <c r="A1323" s="110" t="s">
        <v>726</v>
      </c>
      <c r="B1323" s="110" t="s">
        <v>298</v>
      </c>
      <c r="C1323" s="110">
        <v>2.2160000000000002</v>
      </c>
      <c r="D1323" s="112">
        <v>42748</v>
      </c>
    </row>
    <row r="1324" spans="1:4">
      <c r="A1324" s="110" t="s">
        <v>725</v>
      </c>
      <c r="B1324" s="110" t="s">
        <v>298</v>
      </c>
      <c r="C1324" s="110">
        <v>2.2469999999999999</v>
      </c>
      <c r="D1324" s="112">
        <v>42748</v>
      </c>
    </row>
    <row r="1325" spans="1:4">
      <c r="A1325" s="110" t="s">
        <v>724</v>
      </c>
      <c r="B1325" s="110" t="s">
        <v>298</v>
      </c>
      <c r="C1325" s="110">
        <v>2.2269999999999999</v>
      </c>
      <c r="D1325" s="112">
        <v>42748</v>
      </c>
    </row>
    <row r="1326" spans="1:4">
      <c r="A1326" s="110" t="s">
        <v>723</v>
      </c>
      <c r="B1326" s="110" t="s">
        <v>298</v>
      </c>
      <c r="C1326" s="110">
        <v>2.2029999999999998</v>
      </c>
      <c r="D1326" s="112">
        <v>42748</v>
      </c>
    </row>
    <row r="1327" spans="1:4">
      <c r="A1327" s="110" t="s">
        <v>722</v>
      </c>
      <c r="B1327" s="110" t="s">
        <v>298</v>
      </c>
      <c r="C1327" s="110">
        <v>2.2189999999999999</v>
      </c>
      <c r="D1327" s="112">
        <v>42748</v>
      </c>
    </row>
    <row r="1328" spans="1:4">
      <c r="A1328" s="110" t="s">
        <v>721</v>
      </c>
      <c r="B1328" s="110" t="s">
        <v>298</v>
      </c>
      <c r="C1328" s="110">
        <v>2.2749999999999999</v>
      </c>
      <c r="D1328" s="112">
        <v>42748</v>
      </c>
    </row>
    <row r="1329" spans="1:4">
      <c r="A1329" s="110" t="s">
        <v>720</v>
      </c>
      <c r="B1329" s="110" t="s">
        <v>298</v>
      </c>
      <c r="C1329" s="110">
        <v>2.2170000000000001</v>
      </c>
      <c r="D1329" s="112">
        <v>42748</v>
      </c>
    </row>
    <row r="1330" spans="1:4">
      <c r="A1330" s="110" t="s">
        <v>719</v>
      </c>
      <c r="B1330" s="110" t="s">
        <v>298</v>
      </c>
      <c r="C1330" s="110">
        <v>2.1760000000000002</v>
      </c>
      <c r="D1330" s="112">
        <v>42748</v>
      </c>
    </row>
    <row r="1331" spans="1:4">
      <c r="A1331" s="110" t="s">
        <v>718</v>
      </c>
      <c r="B1331" s="110" t="s">
        <v>298</v>
      </c>
      <c r="C1331" s="110">
        <v>2.1760000000000002</v>
      </c>
      <c r="D1331" s="112">
        <v>42748</v>
      </c>
    </row>
    <row r="1332" spans="1:4">
      <c r="A1332" s="110" t="s">
        <v>717</v>
      </c>
      <c r="B1332" s="110" t="s">
        <v>298</v>
      </c>
      <c r="C1332" s="110">
        <v>2.214</v>
      </c>
      <c r="D1332" s="112">
        <v>42748</v>
      </c>
    </row>
    <row r="1333" spans="1:4">
      <c r="A1333" s="110" t="s">
        <v>716</v>
      </c>
      <c r="B1333" s="110" t="s">
        <v>298</v>
      </c>
      <c r="C1333" s="110">
        <v>2.25</v>
      </c>
      <c r="D1333" s="112">
        <v>42748</v>
      </c>
    </row>
    <row r="1334" spans="1:4">
      <c r="A1334" s="110" t="s">
        <v>715</v>
      </c>
      <c r="B1334" s="110" t="s">
        <v>298</v>
      </c>
      <c r="C1334" s="110">
        <v>2.153</v>
      </c>
      <c r="D1334" s="112">
        <v>42748</v>
      </c>
    </row>
    <row r="1335" spans="1:4">
      <c r="A1335" s="110" t="s">
        <v>714</v>
      </c>
      <c r="B1335" s="110" t="s">
        <v>298</v>
      </c>
      <c r="C1335" s="110">
        <v>2.1760000000000002</v>
      </c>
      <c r="D1335" s="112">
        <v>42748</v>
      </c>
    </row>
    <row r="1336" spans="1:4">
      <c r="A1336" s="110" t="s">
        <v>713</v>
      </c>
      <c r="B1336" s="110" t="s">
        <v>298</v>
      </c>
      <c r="C1336" s="110">
        <v>2.202</v>
      </c>
      <c r="D1336" s="112">
        <v>42748</v>
      </c>
    </row>
    <row r="1337" spans="1:4">
      <c r="A1337" s="110" t="s">
        <v>712</v>
      </c>
      <c r="B1337" s="110" t="s">
        <v>298</v>
      </c>
      <c r="C1337" s="110">
        <v>2.21</v>
      </c>
      <c r="D1337" s="112">
        <v>42748</v>
      </c>
    </row>
    <row r="1338" spans="1:4">
      <c r="A1338" s="110" t="s">
        <v>711</v>
      </c>
      <c r="B1338" s="110" t="s">
        <v>298</v>
      </c>
      <c r="C1338" s="110">
        <v>2.1829999999999998</v>
      </c>
      <c r="D1338" s="112">
        <v>42748</v>
      </c>
    </row>
    <row r="1339" spans="1:4">
      <c r="A1339" s="110" t="s">
        <v>710</v>
      </c>
      <c r="B1339" s="110" t="s">
        <v>298</v>
      </c>
      <c r="C1339" s="110">
        <v>2.133</v>
      </c>
      <c r="D1339" s="112">
        <v>42748</v>
      </c>
    </row>
    <row r="1340" spans="1:4">
      <c r="A1340" s="110" t="s">
        <v>709</v>
      </c>
      <c r="B1340" s="110" t="s">
        <v>298</v>
      </c>
      <c r="C1340" s="110">
        <v>2.2240000000000002</v>
      </c>
      <c r="D1340" s="112">
        <v>42748</v>
      </c>
    </row>
    <row r="1341" spans="1:4">
      <c r="A1341" s="110" t="s">
        <v>708</v>
      </c>
      <c r="B1341" s="110" t="s">
        <v>298</v>
      </c>
      <c r="C1341" s="110">
        <v>2.0750000000000002</v>
      </c>
      <c r="D1341" s="112">
        <v>42748</v>
      </c>
    </row>
    <row r="1342" spans="1:4">
      <c r="A1342" s="110" t="s">
        <v>707</v>
      </c>
      <c r="B1342" s="110" t="s">
        <v>298</v>
      </c>
      <c r="C1342" s="110">
        <v>2.0840000000000001</v>
      </c>
      <c r="D1342" s="112">
        <v>42748</v>
      </c>
    </row>
    <row r="1343" spans="1:4">
      <c r="A1343" s="110" t="s">
        <v>706</v>
      </c>
      <c r="B1343" s="110" t="s">
        <v>298</v>
      </c>
      <c r="C1343" s="110">
        <v>2.141</v>
      </c>
      <c r="D1343" s="112">
        <v>42748</v>
      </c>
    </row>
    <row r="1344" spans="1:4">
      <c r="A1344" s="110" t="s">
        <v>705</v>
      </c>
      <c r="B1344" s="110" t="s">
        <v>298</v>
      </c>
      <c r="C1344" s="110">
        <v>2.2240000000000002</v>
      </c>
      <c r="D1344" s="112">
        <v>42748</v>
      </c>
    </row>
    <row r="1345" spans="1:4">
      <c r="A1345" s="110" t="s">
        <v>704</v>
      </c>
      <c r="B1345" s="110" t="s">
        <v>298</v>
      </c>
      <c r="C1345" s="110">
        <v>2.1970000000000001</v>
      </c>
      <c r="D1345" s="112">
        <v>42748</v>
      </c>
    </row>
    <row r="1346" spans="1:4">
      <c r="A1346" s="110" t="s">
        <v>703</v>
      </c>
      <c r="B1346" s="110" t="s">
        <v>298</v>
      </c>
      <c r="C1346" s="110">
        <v>2.1829999999999998</v>
      </c>
      <c r="D1346" s="112">
        <v>42748</v>
      </c>
    </row>
    <row r="1347" spans="1:4">
      <c r="A1347" s="110" t="s">
        <v>702</v>
      </c>
      <c r="B1347" s="110" t="s">
        <v>298</v>
      </c>
      <c r="C1347" s="110">
        <v>2.2450000000000001</v>
      </c>
      <c r="D1347" s="112">
        <v>42748</v>
      </c>
    </row>
    <row r="1348" spans="1:4">
      <c r="A1348" s="110" t="s">
        <v>701</v>
      </c>
      <c r="B1348" s="110" t="s">
        <v>298</v>
      </c>
      <c r="C1348" s="110">
        <v>2.1110000000000002</v>
      </c>
      <c r="D1348" s="112">
        <v>42748</v>
      </c>
    </row>
    <row r="1349" spans="1:4">
      <c r="A1349" s="110" t="s">
        <v>700</v>
      </c>
      <c r="B1349" s="110" t="s">
        <v>298</v>
      </c>
      <c r="C1349" s="110">
        <v>2.1280000000000001</v>
      </c>
      <c r="D1349" s="112">
        <v>42748</v>
      </c>
    </row>
    <row r="1350" spans="1:4">
      <c r="A1350" s="110" t="s">
        <v>699</v>
      </c>
      <c r="B1350" s="110" t="s">
        <v>298</v>
      </c>
      <c r="C1350" s="110">
        <v>2.2290000000000001</v>
      </c>
      <c r="D1350" s="112">
        <v>42748</v>
      </c>
    </row>
    <row r="1351" spans="1:4">
      <c r="A1351" s="110" t="s">
        <v>698</v>
      </c>
      <c r="B1351" s="110" t="s">
        <v>298</v>
      </c>
      <c r="C1351" s="110">
        <v>2.2149999999999999</v>
      </c>
      <c r="D1351" s="112">
        <v>42748</v>
      </c>
    </row>
    <row r="1352" spans="1:4">
      <c r="A1352" s="110" t="s">
        <v>697</v>
      </c>
      <c r="B1352" s="110" t="s">
        <v>298</v>
      </c>
      <c r="C1352" s="110">
        <v>2.2149999999999999</v>
      </c>
      <c r="D1352" s="112">
        <v>42748</v>
      </c>
    </row>
    <row r="1353" spans="1:4">
      <c r="A1353" s="110" t="s">
        <v>696</v>
      </c>
      <c r="B1353" s="110" t="s">
        <v>298</v>
      </c>
      <c r="C1353" s="110">
        <v>2.2389999999999999</v>
      </c>
      <c r="D1353" s="112">
        <v>42748</v>
      </c>
    </row>
    <row r="1354" spans="1:4">
      <c r="A1354" s="110" t="s">
        <v>695</v>
      </c>
      <c r="B1354" s="110" t="s">
        <v>298</v>
      </c>
      <c r="C1354" s="110">
        <v>2.2679999999999998</v>
      </c>
      <c r="D1354" s="112">
        <v>42748</v>
      </c>
    </row>
    <row r="1355" spans="1:4">
      <c r="A1355" s="110" t="s">
        <v>694</v>
      </c>
      <c r="B1355" s="110" t="s">
        <v>298</v>
      </c>
      <c r="C1355" s="110">
        <v>2.206</v>
      </c>
      <c r="D1355" s="112">
        <v>42748</v>
      </c>
    </row>
    <row r="1356" spans="1:4">
      <c r="A1356" s="110" t="s">
        <v>693</v>
      </c>
      <c r="B1356" s="110" t="s">
        <v>298</v>
      </c>
      <c r="C1356" s="110">
        <v>2.2029999999999998</v>
      </c>
      <c r="D1356" s="112">
        <v>42748</v>
      </c>
    </row>
    <row r="1357" spans="1:4">
      <c r="A1357" s="110" t="s">
        <v>692</v>
      </c>
      <c r="B1357" s="110" t="s">
        <v>298</v>
      </c>
      <c r="C1357" s="110">
        <v>2.2709999999999999</v>
      </c>
      <c r="D1357" s="112">
        <v>42748</v>
      </c>
    </row>
    <row r="1358" spans="1:4">
      <c r="A1358" s="110" t="s">
        <v>691</v>
      </c>
      <c r="B1358" s="110" t="s">
        <v>298</v>
      </c>
      <c r="C1358" s="110">
        <v>2.2250000000000001</v>
      </c>
      <c r="D1358" s="112">
        <v>42748</v>
      </c>
    </row>
    <row r="1359" spans="1:4">
      <c r="A1359" s="110" t="s">
        <v>690</v>
      </c>
      <c r="B1359" s="110" t="s">
        <v>298</v>
      </c>
      <c r="C1359" s="110">
        <v>2.1970000000000001</v>
      </c>
      <c r="D1359" s="112">
        <v>42748</v>
      </c>
    </row>
    <row r="1360" spans="1:4">
      <c r="A1360" s="110" t="s">
        <v>689</v>
      </c>
      <c r="B1360" s="110" t="s">
        <v>298</v>
      </c>
      <c r="C1360" s="110">
        <v>2.2320000000000002</v>
      </c>
      <c r="D1360" s="112">
        <v>42748</v>
      </c>
    </row>
    <row r="1361" spans="1:4">
      <c r="A1361" s="110" t="s">
        <v>688</v>
      </c>
      <c r="B1361" s="110" t="s">
        <v>298</v>
      </c>
      <c r="C1361" s="110">
        <v>2.165</v>
      </c>
      <c r="D1361" s="112">
        <v>42748</v>
      </c>
    </row>
    <row r="1362" spans="1:4">
      <c r="A1362" s="110" t="s">
        <v>687</v>
      </c>
      <c r="B1362" s="110" t="s">
        <v>298</v>
      </c>
      <c r="C1362" s="110">
        <v>2.1819999999999999</v>
      </c>
      <c r="D1362" s="112">
        <v>42748</v>
      </c>
    </row>
    <row r="1363" spans="1:4">
      <c r="A1363" s="110" t="s">
        <v>686</v>
      </c>
      <c r="B1363" s="110" t="s">
        <v>298</v>
      </c>
      <c r="C1363" s="110">
        <v>2.1850000000000001</v>
      </c>
      <c r="D1363" s="112">
        <v>42748</v>
      </c>
    </row>
    <row r="1364" spans="1:4">
      <c r="A1364" s="110" t="s">
        <v>685</v>
      </c>
      <c r="B1364" s="110" t="s">
        <v>298</v>
      </c>
      <c r="C1364" s="110">
        <v>2.23</v>
      </c>
      <c r="D1364" s="112">
        <v>42748</v>
      </c>
    </row>
    <row r="1365" spans="1:4">
      <c r="A1365" s="110" t="s">
        <v>684</v>
      </c>
      <c r="B1365" s="110" t="s">
        <v>298</v>
      </c>
      <c r="C1365" s="110">
        <v>2.2410000000000001</v>
      </c>
      <c r="D1365" s="112">
        <v>42748</v>
      </c>
    </row>
    <row r="1366" spans="1:4">
      <c r="A1366" s="110" t="s">
        <v>683</v>
      </c>
      <c r="B1366" s="110" t="s">
        <v>298</v>
      </c>
      <c r="C1366" s="110">
        <v>2.2370000000000001</v>
      </c>
      <c r="D1366" s="112">
        <v>42748</v>
      </c>
    </row>
    <row r="1367" spans="1:4">
      <c r="A1367" s="110" t="s">
        <v>682</v>
      </c>
      <c r="B1367" s="110" t="s">
        <v>298</v>
      </c>
      <c r="C1367" s="110">
        <v>2.2090000000000001</v>
      </c>
      <c r="D1367" s="112">
        <v>42748</v>
      </c>
    </row>
    <row r="1368" spans="1:4">
      <c r="A1368" s="110" t="s">
        <v>681</v>
      </c>
      <c r="B1368" s="110" t="s">
        <v>298</v>
      </c>
      <c r="C1368" s="110">
        <v>2.1659999999999999</v>
      </c>
      <c r="D1368" s="112">
        <v>42748</v>
      </c>
    </row>
    <row r="1369" spans="1:4">
      <c r="A1369" s="110" t="s">
        <v>680</v>
      </c>
      <c r="B1369" s="110" t="s">
        <v>298</v>
      </c>
      <c r="C1369" s="110">
        <v>2.1930000000000001</v>
      </c>
      <c r="D1369" s="112">
        <v>42748</v>
      </c>
    </row>
    <row r="1370" spans="1:4">
      <c r="A1370" s="110" t="s">
        <v>679</v>
      </c>
      <c r="B1370" s="110" t="s">
        <v>298</v>
      </c>
      <c r="C1370" s="110">
        <v>2.226</v>
      </c>
      <c r="D1370" s="112">
        <v>42748</v>
      </c>
    </row>
    <row r="1371" spans="1:4">
      <c r="A1371" s="110" t="s">
        <v>678</v>
      </c>
      <c r="B1371" s="110" t="s">
        <v>298</v>
      </c>
      <c r="C1371" s="110">
        <v>2.1579999999999999</v>
      </c>
      <c r="D1371" s="112">
        <v>42748</v>
      </c>
    </row>
    <row r="1372" spans="1:4">
      <c r="A1372" s="110" t="s">
        <v>677</v>
      </c>
      <c r="B1372" s="110" t="s">
        <v>298</v>
      </c>
      <c r="C1372" s="110">
        <v>2.2040000000000002</v>
      </c>
      <c r="D1372" s="112">
        <v>42748</v>
      </c>
    </row>
    <row r="1373" spans="1:4">
      <c r="A1373" s="110" t="s">
        <v>676</v>
      </c>
      <c r="B1373" s="110" t="s">
        <v>298</v>
      </c>
      <c r="C1373" s="110">
        <v>2.206</v>
      </c>
      <c r="D1373" s="112">
        <v>42748</v>
      </c>
    </row>
    <row r="1374" spans="1:4">
      <c r="A1374" s="110" t="s">
        <v>675</v>
      </c>
      <c r="B1374" s="110" t="s">
        <v>298</v>
      </c>
      <c r="C1374" s="110">
        <v>2.2269999999999999</v>
      </c>
      <c r="D1374" s="112">
        <v>42748</v>
      </c>
    </row>
    <row r="1375" spans="1:4">
      <c r="A1375" s="110" t="s">
        <v>674</v>
      </c>
      <c r="B1375" s="110" t="s">
        <v>298</v>
      </c>
      <c r="C1375" s="110">
        <v>2.3140000000000001</v>
      </c>
      <c r="D1375" s="112">
        <v>42748</v>
      </c>
    </row>
    <row r="1376" spans="1:4">
      <c r="A1376" s="110" t="s">
        <v>673</v>
      </c>
      <c r="B1376" s="110" t="s">
        <v>298</v>
      </c>
      <c r="C1376" s="110">
        <v>2.2869999999999999</v>
      </c>
      <c r="D1376" s="112">
        <v>42748</v>
      </c>
    </row>
    <row r="1377" spans="1:4">
      <c r="A1377" s="110" t="s">
        <v>672</v>
      </c>
      <c r="B1377" s="110" t="s">
        <v>298</v>
      </c>
      <c r="C1377" s="110">
        <v>2.2309999999999999</v>
      </c>
      <c r="D1377" s="112">
        <v>42748</v>
      </c>
    </row>
    <row r="1378" spans="1:4">
      <c r="A1378" s="110" t="s">
        <v>671</v>
      </c>
      <c r="B1378" s="110" t="s">
        <v>298</v>
      </c>
      <c r="C1378" s="110">
        <v>2.1240000000000001</v>
      </c>
      <c r="D1378" s="112">
        <v>42748</v>
      </c>
    </row>
    <row r="1379" spans="1:4">
      <c r="A1379" s="110" t="s">
        <v>670</v>
      </c>
      <c r="B1379" s="110" t="s">
        <v>298</v>
      </c>
      <c r="C1379" s="110">
        <v>2.238</v>
      </c>
      <c r="D1379" s="112">
        <v>42748</v>
      </c>
    </row>
    <row r="1380" spans="1:4">
      <c r="A1380" s="110" t="s">
        <v>669</v>
      </c>
      <c r="B1380" s="110" t="s">
        <v>298</v>
      </c>
      <c r="C1380" s="110">
        <v>2.2679999999999998</v>
      </c>
      <c r="D1380" s="112">
        <v>42748</v>
      </c>
    </row>
    <row r="1381" spans="1:4">
      <c r="A1381" s="110" t="s">
        <v>668</v>
      </c>
      <c r="B1381" s="110" t="s">
        <v>298</v>
      </c>
      <c r="C1381" s="110">
        <v>2.302</v>
      </c>
      <c r="D1381" s="112">
        <v>42748</v>
      </c>
    </row>
    <row r="1382" spans="1:4">
      <c r="A1382" s="110" t="s">
        <v>667</v>
      </c>
      <c r="B1382" s="110" t="s">
        <v>298</v>
      </c>
      <c r="C1382" s="110">
        <v>2.258</v>
      </c>
      <c r="D1382" s="112">
        <v>42748</v>
      </c>
    </row>
    <row r="1383" spans="1:4">
      <c r="A1383" s="110" t="s">
        <v>666</v>
      </c>
      <c r="B1383" s="110" t="s">
        <v>298</v>
      </c>
      <c r="C1383" s="110">
        <v>2.2210000000000001</v>
      </c>
      <c r="D1383" s="112">
        <v>42748</v>
      </c>
    </row>
    <row r="1384" spans="1:4">
      <c r="A1384" s="110" t="s">
        <v>665</v>
      </c>
      <c r="B1384" s="110" t="s">
        <v>298</v>
      </c>
      <c r="C1384" s="110">
        <v>2.2429999999999999</v>
      </c>
      <c r="D1384" s="112">
        <v>42748</v>
      </c>
    </row>
    <row r="1385" spans="1:4">
      <c r="A1385" s="110" t="s">
        <v>664</v>
      </c>
      <c r="B1385" s="110" t="s">
        <v>298</v>
      </c>
      <c r="C1385" s="110">
        <v>2.169</v>
      </c>
      <c r="D1385" s="112">
        <v>42748</v>
      </c>
    </row>
    <row r="1386" spans="1:4">
      <c r="A1386" s="110" t="s">
        <v>663</v>
      </c>
      <c r="B1386" s="110" t="s">
        <v>298</v>
      </c>
      <c r="C1386" s="110">
        <v>2.1640000000000001</v>
      </c>
      <c r="D1386" s="112">
        <v>42748</v>
      </c>
    </row>
    <row r="1387" spans="1:4">
      <c r="A1387" s="110" t="s">
        <v>662</v>
      </c>
      <c r="B1387" s="110" t="s">
        <v>298</v>
      </c>
      <c r="C1387" s="110">
        <v>2.2749999999999999</v>
      </c>
      <c r="D1387" s="112">
        <v>42748</v>
      </c>
    </row>
    <row r="1388" spans="1:4">
      <c r="A1388" s="110" t="s">
        <v>661</v>
      </c>
      <c r="B1388" s="110" t="s">
        <v>298</v>
      </c>
      <c r="C1388" s="110">
        <v>2.17</v>
      </c>
      <c r="D1388" s="112">
        <v>42748</v>
      </c>
    </row>
    <row r="1389" spans="1:4">
      <c r="A1389" s="110" t="s">
        <v>660</v>
      </c>
      <c r="B1389" s="110" t="s">
        <v>298</v>
      </c>
      <c r="C1389" s="110">
        <v>2.1589999999999998</v>
      </c>
      <c r="D1389" s="112">
        <v>42749</v>
      </c>
    </row>
    <row r="1390" spans="1:4">
      <c r="A1390" s="110" t="s">
        <v>659</v>
      </c>
      <c r="B1390" s="110" t="s">
        <v>298</v>
      </c>
      <c r="C1390" s="110">
        <v>2.17</v>
      </c>
      <c r="D1390" s="112">
        <v>42749</v>
      </c>
    </row>
    <row r="1391" spans="1:4">
      <c r="A1391" s="110" t="s">
        <v>658</v>
      </c>
      <c r="B1391" s="110" t="s">
        <v>298</v>
      </c>
      <c r="C1391" s="110">
        <v>2.1970000000000001</v>
      </c>
      <c r="D1391" s="112">
        <v>42749</v>
      </c>
    </row>
    <row r="1392" spans="1:4">
      <c r="A1392" s="110" t="s">
        <v>657</v>
      </c>
      <c r="B1392" s="110" t="s">
        <v>298</v>
      </c>
      <c r="C1392" s="110">
        <v>2.1850000000000001</v>
      </c>
      <c r="D1392" s="112">
        <v>42749</v>
      </c>
    </row>
    <row r="1393" spans="1:4">
      <c r="A1393" s="110" t="s">
        <v>656</v>
      </c>
      <c r="B1393" s="110" t="s">
        <v>298</v>
      </c>
      <c r="C1393" s="110">
        <v>2.242</v>
      </c>
      <c r="D1393" s="112">
        <v>42749</v>
      </c>
    </row>
    <row r="1394" spans="1:4">
      <c r="A1394" s="110" t="s">
        <v>655</v>
      </c>
      <c r="B1394" s="110" t="s">
        <v>298</v>
      </c>
      <c r="C1394" s="110">
        <v>2.218</v>
      </c>
      <c r="D1394" s="112">
        <v>42749</v>
      </c>
    </row>
    <row r="1395" spans="1:4">
      <c r="A1395" s="110" t="s">
        <v>654</v>
      </c>
      <c r="B1395" s="110" t="s">
        <v>298</v>
      </c>
      <c r="C1395" s="110">
        <v>2.222</v>
      </c>
      <c r="D1395" s="112">
        <v>42749</v>
      </c>
    </row>
    <row r="1396" spans="1:4">
      <c r="A1396" s="110" t="s">
        <v>653</v>
      </c>
      <c r="B1396" s="110" t="s">
        <v>298</v>
      </c>
      <c r="C1396" s="110">
        <v>2.1589999999999998</v>
      </c>
      <c r="D1396" s="112">
        <v>42749</v>
      </c>
    </row>
    <row r="1397" spans="1:4">
      <c r="A1397" s="110" t="s">
        <v>652</v>
      </c>
      <c r="B1397" s="110" t="s">
        <v>298</v>
      </c>
      <c r="C1397" s="110">
        <v>2.157</v>
      </c>
      <c r="D1397" s="112">
        <v>42749</v>
      </c>
    </row>
    <row r="1398" spans="1:4">
      <c r="A1398" s="110" t="s">
        <v>651</v>
      </c>
      <c r="B1398" s="110" t="s">
        <v>298</v>
      </c>
      <c r="C1398" s="110">
        <v>2.1890000000000001</v>
      </c>
      <c r="D1398" s="112">
        <v>42749</v>
      </c>
    </row>
    <row r="1399" spans="1:4">
      <c r="A1399" s="110" t="s">
        <v>650</v>
      </c>
      <c r="B1399" s="110" t="s">
        <v>298</v>
      </c>
      <c r="C1399" s="110">
        <v>2.2690000000000001</v>
      </c>
      <c r="D1399" s="112">
        <v>42749</v>
      </c>
    </row>
    <row r="1400" spans="1:4">
      <c r="A1400" s="110" t="s">
        <v>649</v>
      </c>
      <c r="B1400" s="110" t="s">
        <v>298</v>
      </c>
      <c r="C1400" s="110">
        <v>2.2519999999999998</v>
      </c>
      <c r="D1400" s="112">
        <v>42749</v>
      </c>
    </row>
    <row r="1401" spans="1:4">
      <c r="A1401" s="110" t="s">
        <v>648</v>
      </c>
      <c r="B1401" s="110" t="s">
        <v>298</v>
      </c>
      <c r="C1401" s="110">
        <v>2.2410000000000001</v>
      </c>
      <c r="D1401" s="112">
        <v>42749</v>
      </c>
    </row>
    <row r="1402" spans="1:4">
      <c r="A1402" s="110" t="s">
        <v>647</v>
      </c>
      <c r="B1402" s="110" t="s">
        <v>298</v>
      </c>
      <c r="C1402" s="110">
        <v>2.2130000000000001</v>
      </c>
      <c r="D1402" s="112">
        <v>42749</v>
      </c>
    </row>
    <row r="1403" spans="1:4">
      <c r="A1403" s="110" t="s">
        <v>646</v>
      </c>
      <c r="B1403" s="110" t="s">
        <v>298</v>
      </c>
      <c r="C1403" s="110">
        <v>2.25</v>
      </c>
      <c r="D1403" s="112">
        <v>42749</v>
      </c>
    </row>
    <row r="1404" spans="1:4">
      <c r="A1404" s="110" t="s">
        <v>645</v>
      </c>
      <c r="B1404" s="110" t="s">
        <v>298</v>
      </c>
      <c r="C1404" s="110">
        <v>2.2389999999999999</v>
      </c>
      <c r="D1404" s="112">
        <v>42749</v>
      </c>
    </row>
    <row r="1405" spans="1:4">
      <c r="A1405" s="110" t="s">
        <v>644</v>
      </c>
      <c r="B1405" s="110" t="s">
        <v>298</v>
      </c>
      <c r="C1405" s="110">
        <v>2.2240000000000002</v>
      </c>
      <c r="D1405" s="112">
        <v>42749</v>
      </c>
    </row>
    <row r="1406" spans="1:4">
      <c r="A1406" s="110" t="s">
        <v>643</v>
      </c>
      <c r="B1406" s="110" t="s">
        <v>298</v>
      </c>
      <c r="C1406" s="110">
        <v>2.1520000000000001</v>
      </c>
      <c r="D1406" s="112">
        <v>42749</v>
      </c>
    </row>
    <row r="1407" spans="1:4">
      <c r="A1407" s="110" t="s">
        <v>642</v>
      </c>
      <c r="B1407" s="110" t="s">
        <v>298</v>
      </c>
      <c r="C1407" s="110">
        <v>2.194</v>
      </c>
      <c r="D1407" s="112">
        <v>42749</v>
      </c>
    </row>
    <row r="1408" spans="1:4">
      <c r="A1408" s="110" t="s">
        <v>641</v>
      </c>
      <c r="B1408" s="110" t="s">
        <v>298</v>
      </c>
      <c r="C1408" s="110">
        <v>2.2069999999999999</v>
      </c>
      <c r="D1408" s="112">
        <v>42749</v>
      </c>
    </row>
    <row r="1409" spans="1:4">
      <c r="A1409" s="110" t="s">
        <v>640</v>
      </c>
      <c r="B1409" s="110" t="s">
        <v>298</v>
      </c>
      <c r="C1409" s="110">
        <v>2.1379999999999999</v>
      </c>
      <c r="D1409" s="112">
        <v>42749</v>
      </c>
    </row>
    <row r="1410" spans="1:4">
      <c r="A1410" s="110" t="s">
        <v>639</v>
      </c>
      <c r="B1410" s="110" t="s">
        <v>298</v>
      </c>
      <c r="C1410" s="110">
        <v>2.1840000000000002</v>
      </c>
      <c r="D1410" s="112">
        <v>42749</v>
      </c>
    </row>
    <row r="1411" spans="1:4">
      <c r="A1411" s="110" t="s">
        <v>638</v>
      </c>
      <c r="B1411" s="110" t="s">
        <v>298</v>
      </c>
      <c r="C1411" s="110">
        <v>2.1709999999999998</v>
      </c>
      <c r="D1411" s="112">
        <v>42749</v>
      </c>
    </row>
    <row r="1412" spans="1:4">
      <c r="A1412" s="110" t="s">
        <v>637</v>
      </c>
      <c r="B1412" s="110" t="s">
        <v>298</v>
      </c>
      <c r="C1412" s="110">
        <v>2.1629999999999998</v>
      </c>
      <c r="D1412" s="112">
        <v>42749</v>
      </c>
    </row>
    <row r="1413" spans="1:4">
      <c r="A1413" s="110" t="s">
        <v>636</v>
      </c>
      <c r="B1413" s="110" t="s">
        <v>298</v>
      </c>
      <c r="C1413" s="110">
        <v>2.198</v>
      </c>
      <c r="D1413" s="112">
        <v>42749</v>
      </c>
    </row>
    <row r="1414" spans="1:4">
      <c r="A1414" s="110" t="s">
        <v>635</v>
      </c>
      <c r="B1414" s="110" t="s">
        <v>298</v>
      </c>
      <c r="C1414" s="110">
        <v>2.1579999999999999</v>
      </c>
      <c r="D1414" s="112">
        <v>42749</v>
      </c>
    </row>
    <row r="1415" spans="1:4">
      <c r="A1415" s="110" t="s">
        <v>634</v>
      </c>
      <c r="B1415" s="110" t="s">
        <v>298</v>
      </c>
      <c r="C1415" s="110">
        <v>2.1920000000000002</v>
      </c>
      <c r="D1415" s="112">
        <v>42749</v>
      </c>
    </row>
    <row r="1416" spans="1:4">
      <c r="A1416" s="110" t="s">
        <v>633</v>
      </c>
      <c r="B1416" s="110" t="s">
        <v>298</v>
      </c>
      <c r="C1416" s="110">
        <v>2.169</v>
      </c>
      <c r="D1416" s="112">
        <v>42749</v>
      </c>
    </row>
    <row r="1417" spans="1:4">
      <c r="A1417" s="110" t="s">
        <v>632</v>
      </c>
      <c r="B1417" s="110" t="s">
        <v>298</v>
      </c>
      <c r="C1417" s="110">
        <v>2.161</v>
      </c>
      <c r="D1417" s="112">
        <v>42749</v>
      </c>
    </row>
    <row r="1418" spans="1:4">
      <c r="A1418" s="110" t="s">
        <v>631</v>
      </c>
      <c r="B1418" s="110" t="s">
        <v>298</v>
      </c>
      <c r="C1418" s="110">
        <v>2.2349999999999999</v>
      </c>
      <c r="D1418" s="112">
        <v>42749</v>
      </c>
    </row>
    <row r="1419" spans="1:4">
      <c r="A1419" s="110" t="s">
        <v>630</v>
      </c>
      <c r="B1419" s="110" t="s">
        <v>298</v>
      </c>
      <c r="C1419" s="110">
        <v>2.1779999999999999</v>
      </c>
      <c r="D1419" s="112">
        <v>42749</v>
      </c>
    </row>
    <row r="1420" spans="1:4">
      <c r="A1420" s="110" t="s">
        <v>629</v>
      </c>
      <c r="B1420" s="110" t="s">
        <v>298</v>
      </c>
      <c r="C1420" s="110">
        <v>2.1509999999999998</v>
      </c>
      <c r="D1420" s="112">
        <v>42749</v>
      </c>
    </row>
    <row r="1421" spans="1:4">
      <c r="A1421" s="110" t="s">
        <v>628</v>
      </c>
      <c r="B1421" s="110" t="s">
        <v>298</v>
      </c>
      <c r="C1421" s="110">
        <v>2.1389999999999998</v>
      </c>
      <c r="D1421" s="112">
        <v>42749</v>
      </c>
    </row>
    <row r="1422" spans="1:4">
      <c r="A1422" s="110" t="s">
        <v>627</v>
      </c>
      <c r="B1422" s="110" t="s">
        <v>298</v>
      </c>
      <c r="C1422" s="110">
        <v>2.1059999999999999</v>
      </c>
      <c r="D1422" s="112">
        <v>42749</v>
      </c>
    </row>
    <row r="1423" spans="1:4">
      <c r="A1423" s="110" t="s">
        <v>626</v>
      </c>
      <c r="B1423" s="110" t="s">
        <v>298</v>
      </c>
      <c r="C1423" s="110">
        <v>2.2050000000000001</v>
      </c>
      <c r="D1423" s="112">
        <v>42749</v>
      </c>
    </row>
    <row r="1424" spans="1:4">
      <c r="A1424" s="110" t="s">
        <v>625</v>
      </c>
      <c r="B1424" s="110" t="s">
        <v>298</v>
      </c>
      <c r="C1424" s="110">
        <v>2.141</v>
      </c>
      <c r="D1424" s="112">
        <v>42749</v>
      </c>
    </row>
    <row r="1425" spans="1:4">
      <c r="A1425" s="110" t="s">
        <v>624</v>
      </c>
      <c r="B1425" s="110" t="s">
        <v>298</v>
      </c>
      <c r="C1425" s="110">
        <v>2.222</v>
      </c>
      <c r="D1425" s="112">
        <v>42749</v>
      </c>
    </row>
    <row r="1426" spans="1:4">
      <c r="A1426" s="110" t="s">
        <v>623</v>
      </c>
      <c r="B1426" s="110" t="s">
        <v>298</v>
      </c>
      <c r="C1426" s="110">
        <v>2.198</v>
      </c>
      <c r="D1426" s="112">
        <v>42749</v>
      </c>
    </row>
    <row r="1427" spans="1:4">
      <c r="A1427" s="110" t="s">
        <v>622</v>
      </c>
      <c r="B1427" s="110" t="s">
        <v>298</v>
      </c>
      <c r="C1427" s="110">
        <v>2.21</v>
      </c>
      <c r="D1427" s="112">
        <v>42749</v>
      </c>
    </row>
    <row r="1428" spans="1:4">
      <c r="A1428" s="110" t="s">
        <v>621</v>
      </c>
      <c r="B1428" s="110" t="s">
        <v>298</v>
      </c>
      <c r="C1428" s="110">
        <v>2.2210000000000001</v>
      </c>
      <c r="D1428" s="112">
        <v>42749</v>
      </c>
    </row>
    <row r="1429" spans="1:4">
      <c r="A1429" s="110" t="s">
        <v>620</v>
      </c>
      <c r="B1429" s="110" t="s">
        <v>298</v>
      </c>
      <c r="C1429" s="110">
        <v>2.1440000000000001</v>
      </c>
      <c r="D1429" s="112">
        <v>42749</v>
      </c>
    </row>
    <row r="1430" spans="1:4">
      <c r="A1430" s="110" t="s">
        <v>619</v>
      </c>
      <c r="B1430" s="110" t="s">
        <v>298</v>
      </c>
      <c r="C1430" s="110">
        <v>2.1819999999999999</v>
      </c>
      <c r="D1430" s="112">
        <v>42749</v>
      </c>
    </row>
    <row r="1431" spans="1:4">
      <c r="A1431" s="110" t="s">
        <v>618</v>
      </c>
      <c r="B1431" s="110" t="s">
        <v>298</v>
      </c>
      <c r="C1431" s="110">
        <v>2.1179999999999999</v>
      </c>
      <c r="D1431" s="112">
        <v>42749</v>
      </c>
    </row>
    <row r="1432" spans="1:4">
      <c r="A1432" s="110" t="s">
        <v>617</v>
      </c>
      <c r="B1432" s="110" t="s">
        <v>298</v>
      </c>
      <c r="C1432" s="110">
        <v>2.1080000000000001</v>
      </c>
      <c r="D1432" s="112">
        <v>42749</v>
      </c>
    </row>
    <row r="1433" spans="1:4">
      <c r="A1433" s="110" t="s">
        <v>616</v>
      </c>
      <c r="B1433" s="110" t="s">
        <v>298</v>
      </c>
      <c r="C1433" s="110">
        <v>2.1469999999999998</v>
      </c>
      <c r="D1433" s="112">
        <v>42749</v>
      </c>
    </row>
    <row r="1434" spans="1:4">
      <c r="A1434" s="110" t="s">
        <v>615</v>
      </c>
      <c r="B1434" s="110" t="s">
        <v>298</v>
      </c>
      <c r="C1434" s="110">
        <v>2.0960000000000001</v>
      </c>
      <c r="D1434" s="112">
        <v>42749</v>
      </c>
    </row>
    <row r="1435" spans="1:4">
      <c r="A1435" s="110" t="s">
        <v>614</v>
      </c>
      <c r="B1435" s="110" t="s">
        <v>298</v>
      </c>
      <c r="C1435" s="110">
        <v>2.1859999999999999</v>
      </c>
      <c r="D1435" s="112">
        <v>42749</v>
      </c>
    </row>
    <row r="1436" spans="1:4">
      <c r="A1436" s="110" t="s">
        <v>613</v>
      </c>
      <c r="B1436" s="110" t="s">
        <v>298</v>
      </c>
      <c r="C1436" s="110">
        <v>2.1019999999999999</v>
      </c>
      <c r="D1436" s="112">
        <v>42749</v>
      </c>
    </row>
    <row r="1437" spans="1:4">
      <c r="A1437" s="110" t="s">
        <v>612</v>
      </c>
      <c r="B1437" s="110" t="s">
        <v>298</v>
      </c>
      <c r="C1437" s="110">
        <v>2.157</v>
      </c>
      <c r="D1437" s="112">
        <v>42749</v>
      </c>
    </row>
    <row r="1438" spans="1:4">
      <c r="A1438" s="110" t="s">
        <v>611</v>
      </c>
      <c r="B1438" s="110" t="s">
        <v>298</v>
      </c>
      <c r="C1438" s="110">
        <v>2.1659999999999999</v>
      </c>
      <c r="D1438" s="112">
        <v>42749</v>
      </c>
    </row>
    <row r="1439" spans="1:4">
      <c r="A1439" s="110" t="s">
        <v>610</v>
      </c>
      <c r="B1439" s="110" t="s">
        <v>298</v>
      </c>
      <c r="C1439" s="110">
        <v>2.101</v>
      </c>
      <c r="D1439" s="112">
        <v>42749</v>
      </c>
    </row>
    <row r="1440" spans="1:4">
      <c r="A1440" s="110" t="s">
        <v>609</v>
      </c>
      <c r="B1440" s="110" t="s">
        <v>298</v>
      </c>
      <c r="C1440" s="110">
        <v>2.19</v>
      </c>
      <c r="D1440" s="112">
        <v>42749</v>
      </c>
    </row>
    <row r="1441" spans="1:4">
      <c r="A1441" s="110" t="s">
        <v>608</v>
      </c>
      <c r="B1441" s="110" t="s">
        <v>298</v>
      </c>
      <c r="C1441" s="110">
        <v>2.1970000000000001</v>
      </c>
      <c r="D1441" s="112">
        <v>42749</v>
      </c>
    </row>
    <row r="1442" spans="1:4">
      <c r="A1442" s="110" t="s">
        <v>607</v>
      </c>
      <c r="B1442" s="110" t="s">
        <v>298</v>
      </c>
      <c r="C1442" s="110">
        <v>2.17</v>
      </c>
      <c r="D1442" s="112">
        <v>42749</v>
      </c>
    </row>
    <row r="1443" spans="1:4">
      <c r="A1443" s="110" t="s">
        <v>606</v>
      </c>
      <c r="B1443" s="110" t="s">
        <v>298</v>
      </c>
      <c r="C1443" s="110">
        <v>2.1259999999999999</v>
      </c>
      <c r="D1443" s="112">
        <v>42749</v>
      </c>
    </row>
    <row r="1444" spans="1:4">
      <c r="A1444" s="110" t="s">
        <v>605</v>
      </c>
      <c r="B1444" s="110" t="s">
        <v>298</v>
      </c>
      <c r="C1444" s="110">
        <v>2.1970000000000001</v>
      </c>
      <c r="D1444" s="112">
        <v>42749</v>
      </c>
    </row>
    <row r="1445" spans="1:4">
      <c r="A1445" s="110" t="s">
        <v>604</v>
      </c>
      <c r="B1445" s="110" t="s">
        <v>298</v>
      </c>
      <c r="C1445" s="110">
        <v>2.145</v>
      </c>
      <c r="D1445" s="112">
        <v>42749</v>
      </c>
    </row>
    <row r="1446" spans="1:4">
      <c r="A1446" s="110" t="s">
        <v>603</v>
      </c>
      <c r="B1446" s="110" t="s">
        <v>298</v>
      </c>
      <c r="C1446" s="110">
        <v>2.2000000000000002</v>
      </c>
      <c r="D1446" s="112">
        <v>42749</v>
      </c>
    </row>
    <row r="1447" spans="1:4">
      <c r="A1447" s="110" t="s">
        <v>602</v>
      </c>
      <c r="B1447" s="110" t="s">
        <v>298</v>
      </c>
      <c r="C1447" s="110">
        <v>2.16</v>
      </c>
      <c r="D1447" s="112">
        <v>42749</v>
      </c>
    </row>
    <row r="1448" spans="1:4">
      <c r="A1448" s="110" t="s">
        <v>601</v>
      </c>
      <c r="B1448" s="110" t="s">
        <v>298</v>
      </c>
      <c r="C1448" s="110">
        <v>2.194</v>
      </c>
      <c r="D1448" s="112">
        <v>42749</v>
      </c>
    </row>
    <row r="1449" spans="1:4">
      <c r="A1449" s="110" t="s">
        <v>600</v>
      </c>
      <c r="B1449" s="110" t="s">
        <v>298</v>
      </c>
      <c r="C1449" s="110">
        <v>2.226</v>
      </c>
      <c r="D1449" s="112">
        <v>42749</v>
      </c>
    </row>
    <row r="1450" spans="1:4">
      <c r="A1450" s="110" t="s">
        <v>599</v>
      </c>
      <c r="B1450" s="110" t="s">
        <v>298</v>
      </c>
      <c r="C1450" s="110">
        <v>2.2010000000000001</v>
      </c>
      <c r="D1450" s="112">
        <v>42749</v>
      </c>
    </row>
    <row r="1451" spans="1:4">
      <c r="A1451" s="110" t="s">
        <v>598</v>
      </c>
      <c r="B1451" s="110" t="s">
        <v>298</v>
      </c>
      <c r="C1451" s="110">
        <v>2.2730000000000001</v>
      </c>
      <c r="D1451" s="112">
        <v>42749</v>
      </c>
    </row>
    <row r="1452" spans="1:4">
      <c r="A1452" s="110" t="s">
        <v>597</v>
      </c>
      <c r="B1452" s="110" t="s">
        <v>298</v>
      </c>
      <c r="C1452" s="110">
        <v>2.2109999999999999</v>
      </c>
      <c r="D1452" s="112">
        <v>42749</v>
      </c>
    </row>
    <row r="1453" spans="1:4">
      <c r="A1453" s="110" t="s">
        <v>596</v>
      </c>
      <c r="B1453" s="110" t="s">
        <v>298</v>
      </c>
      <c r="C1453" s="110">
        <v>2.2280000000000002</v>
      </c>
      <c r="D1453" s="112">
        <v>42749</v>
      </c>
    </row>
    <row r="1454" spans="1:4">
      <c r="A1454" s="110" t="s">
        <v>595</v>
      </c>
      <c r="B1454" s="110" t="s">
        <v>298</v>
      </c>
      <c r="C1454" s="110">
        <v>2.2250000000000001</v>
      </c>
      <c r="D1454" s="112">
        <v>42749</v>
      </c>
    </row>
    <row r="1455" spans="1:4">
      <c r="A1455" s="110" t="s">
        <v>594</v>
      </c>
      <c r="B1455" s="110" t="s">
        <v>298</v>
      </c>
      <c r="C1455" s="110">
        <v>2.194</v>
      </c>
      <c r="D1455" s="112">
        <v>42749</v>
      </c>
    </row>
    <row r="1456" spans="1:4">
      <c r="A1456" s="110" t="s">
        <v>593</v>
      </c>
      <c r="B1456" s="110" t="s">
        <v>298</v>
      </c>
      <c r="C1456" s="110">
        <v>2.1920000000000002</v>
      </c>
      <c r="D1456" s="112">
        <v>42749</v>
      </c>
    </row>
    <row r="1457" spans="1:4">
      <c r="A1457" s="110" t="s">
        <v>592</v>
      </c>
      <c r="B1457" s="110" t="s">
        <v>298</v>
      </c>
      <c r="C1457" s="110">
        <v>2.2320000000000002</v>
      </c>
      <c r="D1457" s="112">
        <v>42749</v>
      </c>
    </row>
    <row r="1458" spans="1:4">
      <c r="A1458" s="110" t="s">
        <v>591</v>
      </c>
      <c r="B1458" s="110" t="s">
        <v>298</v>
      </c>
      <c r="C1458" s="110">
        <v>2.177</v>
      </c>
      <c r="D1458" s="112">
        <v>42749</v>
      </c>
    </row>
    <row r="1459" spans="1:4">
      <c r="A1459" s="110" t="s">
        <v>590</v>
      </c>
      <c r="B1459" s="110" t="s">
        <v>298</v>
      </c>
      <c r="C1459" s="110">
        <v>2.1739999999999999</v>
      </c>
      <c r="D1459" s="112">
        <v>42749</v>
      </c>
    </row>
    <row r="1460" spans="1:4">
      <c r="A1460" s="110" t="s">
        <v>589</v>
      </c>
      <c r="B1460" s="110" t="s">
        <v>298</v>
      </c>
      <c r="C1460" s="110">
        <v>2.222</v>
      </c>
      <c r="D1460" s="112">
        <v>42749</v>
      </c>
    </row>
    <row r="1461" spans="1:4">
      <c r="A1461" s="110" t="s">
        <v>588</v>
      </c>
      <c r="B1461" s="110" t="s">
        <v>298</v>
      </c>
      <c r="C1461" s="110">
        <v>2.1949999999999998</v>
      </c>
      <c r="D1461" s="112">
        <v>42749</v>
      </c>
    </row>
    <row r="1462" spans="1:4">
      <c r="A1462" s="110" t="s">
        <v>587</v>
      </c>
      <c r="B1462" s="110" t="s">
        <v>298</v>
      </c>
      <c r="C1462" s="110">
        <v>2.1779999999999999</v>
      </c>
      <c r="D1462" s="112">
        <v>42749</v>
      </c>
    </row>
    <row r="1463" spans="1:4">
      <c r="A1463" s="110" t="s">
        <v>586</v>
      </c>
      <c r="B1463" s="110" t="s">
        <v>298</v>
      </c>
      <c r="C1463" s="110">
        <v>2.1789999999999998</v>
      </c>
      <c r="D1463" s="112">
        <v>42749</v>
      </c>
    </row>
    <row r="1464" spans="1:4">
      <c r="A1464" s="110" t="s">
        <v>585</v>
      </c>
      <c r="B1464" s="110" t="s">
        <v>298</v>
      </c>
      <c r="C1464" s="110">
        <v>2.0830000000000002</v>
      </c>
      <c r="D1464" s="112">
        <v>42749</v>
      </c>
    </row>
    <row r="1465" spans="1:4">
      <c r="A1465" s="110" t="s">
        <v>584</v>
      </c>
      <c r="B1465" s="110" t="s">
        <v>298</v>
      </c>
      <c r="C1465" s="110">
        <v>2.2229999999999999</v>
      </c>
      <c r="D1465" s="112">
        <v>42749</v>
      </c>
    </row>
    <row r="1466" spans="1:4">
      <c r="A1466" s="110" t="s">
        <v>583</v>
      </c>
      <c r="B1466" s="110" t="s">
        <v>298</v>
      </c>
      <c r="C1466" s="110">
        <v>2.1760000000000002</v>
      </c>
      <c r="D1466" s="112">
        <v>42749</v>
      </c>
    </row>
    <row r="1467" spans="1:4">
      <c r="A1467" s="110" t="s">
        <v>582</v>
      </c>
      <c r="B1467" s="110" t="s">
        <v>298</v>
      </c>
      <c r="C1467" s="110">
        <v>2.161</v>
      </c>
      <c r="D1467" s="112">
        <v>42749</v>
      </c>
    </row>
    <row r="1468" spans="1:4">
      <c r="A1468" s="110" t="s">
        <v>581</v>
      </c>
      <c r="B1468" s="110" t="s">
        <v>298</v>
      </c>
      <c r="C1468" s="110">
        <v>2.157</v>
      </c>
      <c r="D1468" s="112">
        <v>42749</v>
      </c>
    </row>
    <row r="1469" spans="1:4">
      <c r="A1469" s="110" t="s">
        <v>580</v>
      </c>
      <c r="B1469" s="110" t="s">
        <v>298</v>
      </c>
      <c r="C1469" s="110">
        <v>2.0760000000000001</v>
      </c>
      <c r="D1469" s="112">
        <v>42749</v>
      </c>
    </row>
    <row r="1470" spans="1:4">
      <c r="A1470" s="110" t="s">
        <v>579</v>
      </c>
      <c r="B1470" s="110" t="s">
        <v>298</v>
      </c>
      <c r="C1470" s="110">
        <v>2.2810000000000001</v>
      </c>
      <c r="D1470" s="112">
        <v>42749</v>
      </c>
    </row>
    <row r="1471" spans="1:4">
      <c r="A1471" s="110" t="s">
        <v>578</v>
      </c>
      <c r="B1471" s="110" t="s">
        <v>298</v>
      </c>
      <c r="C1471" s="110">
        <v>2.1150000000000002</v>
      </c>
      <c r="D1471" s="112">
        <v>42749</v>
      </c>
    </row>
    <row r="1472" spans="1:4">
      <c r="A1472" s="110" t="s">
        <v>577</v>
      </c>
      <c r="B1472" s="110" t="s">
        <v>298</v>
      </c>
      <c r="C1472" s="110">
        <v>2.145</v>
      </c>
      <c r="D1472" s="112">
        <v>42749</v>
      </c>
    </row>
    <row r="1473" spans="1:4">
      <c r="A1473" s="110" t="s">
        <v>576</v>
      </c>
      <c r="B1473" s="110" t="s">
        <v>298</v>
      </c>
      <c r="C1473" s="110">
        <v>2.0649999999999999</v>
      </c>
      <c r="D1473" s="112">
        <v>42749</v>
      </c>
    </row>
    <row r="1474" spans="1:4">
      <c r="A1474" s="110" t="s">
        <v>575</v>
      </c>
      <c r="B1474" s="110" t="s">
        <v>298</v>
      </c>
      <c r="C1474" s="110">
        <v>2.117</v>
      </c>
      <c r="D1474" s="112">
        <v>42749</v>
      </c>
    </row>
    <row r="1475" spans="1:4">
      <c r="A1475" s="110" t="s">
        <v>574</v>
      </c>
      <c r="B1475" s="110" t="s">
        <v>298</v>
      </c>
      <c r="C1475" s="110">
        <v>2.097</v>
      </c>
      <c r="D1475" s="112">
        <v>42749</v>
      </c>
    </row>
    <row r="1476" spans="1:4">
      <c r="A1476" s="110" t="s">
        <v>573</v>
      </c>
      <c r="B1476" s="110" t="s">
        <v>298</v>
      </c>
      <c r="C1476" s="110">
        <v>2.04</v>
      </c>
      <c r="D1476" s="112">
        <v>42749</v>
      </c>
    </row>
    <row r="1477" spans="1:4">
      <c r="A1477" s="110" t="s">
        <v>572</v>
      </c>
      <c r="B1477" s="110" t="s">
        <v>298</v>
      </c>
      <c r="C1477" s="110">
        <v>2.0960000000000001</v>
      </c>
      <c r="D1477" s="112">
        <v>42749</v>
      </c>
    </row>
    <row r="1478" spans="1:4">
      <c r="A1478" s="110" t="s">
        <v>571</v>
      </c>
      <c r="B1478" s="110" t="s">
        <v>298</v>
      </c>
      <c r="C1478" s="110">
        <v>2.0910000000000002</v>
      </c>
      <c r="D1478" s="112">
        <v>42749</v>
      </c>
    </row>
    <row r="1479" spans="1:4">
      <c r="A1479" s="110" t="s">
        <v>570</v>
      </c>
      <c r="B1479" s="110" t="s">
        <v>298</v>
      </c>
      <c r="C1479" s="110">
        <v>2.117</v>
      </c>
      <c r="D1479" s="112">
        <v>42749</v>
      </c>
    </row>
    <row r="1480" spans="1:4">
      <c r="A1480" s="110" t="s">
        <v>569</v>
      </c>
      <c r="B1480" s="110" t="s">
        <v>298</v>
      </c>
      <c r="C1480" s="110">
        <v>2.0819999999999999</v>
      </c>
      <c r="D1480" s="112">
        <v>42749</v>
      </c>
    </row>
    <row r="1481" spans="1:4">
      <c r="A1481" s="110" t="s">
        <v>568</v>
      </c>
      <c r="B1481" s="110" t="s">
        <v>298</v>
      </c>
      <c r="C1481" s="110">
        <v>2.097</v>
      </c>
      <c r="D1481" s="112">
        <v>42749</v>
      </c>
    </row>
    <row r="1482" spans="1:4">
      <c r="A1482" s="110" t="s">
        <v>567</v>
      </c>
      <c r="B1482" s="110" t="s">
        <v>298</v>
      </c>
      <c r="C1482" s="110">
        <v>2.16</v>
      </c>
      <c r="D1482" s="112">
        <v>42749</v>
      </c>
    </row>
    <row r="1483" spans="1:4">
      <c r="A1483" s="110" t="s">
        <v>566</v>
      </c>
      <c r="B1483" s="110" t="s">
        <v>298</v>
      </c>
      <c r="C1483" s="110">
        <v>2.0990000000000002</v>
      </c>
      <c r="D1483" s="112">
        <v>42749</v>
      </c>
    </row>
    <row r="1484" spans="1:4">
      <c r="A1484" s="110" t="s">
        <v>565</v>
      </c>
      <c r="B1484" s="110" t="s">
        <v>298</v>
      </c>
      <c r="C1484" s="110">
        <v>2.109</v>
      </c>
      <c r="D1484" s="112">
        <v>42749</v>
      </c>
    </row>
    <row r="1485" spans="1:4">
      <c r="A1485" s="110" t="s">
        <v>564</v>
      </c>
      <c r="B1485" s="110" t="s">
        <v>298</v>
      </c>
      <c r="C1485" s="110">
        <v>2.0859999999999999</v>
      </c>
      <c r="D1485" s="112">
        <v>42749</v>
      </c>
    </row>
    <row r="1486" spans="1:4">
      <c r="A1486" s="110" t="s">
        <v>563</v>
      </c>
      <c r="B1486" s="110" t="s">
        <v>298</v>
      </c>
      <c r="C1486" s="110">
        <v>2.1259999999999999</v>
      </c>
      <c r="D1486" s="112">
        <v>42749</v>
      </c>
    </row>
    <row r="1487" spans="1:4">
      <c r="A1487" s="110" t="s">
        <v>562</v>
      </c>
      <c r="B1487" s="110" t="s">
        <v>298</v>
      </c>
      <c r="C1487" s="110">
        <v>2.1349999999999998</v>
      </c>
      <c r="D1487" s="112">
        <v>42749</v>
      </c>
    </row>
    <row r="1488" spans="1:4">
      <c r="A1488" s="110" t="s">
        <v>561</v>
      </c>
      <c r="B1488" s="110" t="s">
        <v>298</v>
      </c>
      <c r="C1488" s="110">
        <v>2.0870000000000002</v>
      </c>
      <c r="D1488" s="112">
        <v>42749</v>
      </c>
    </row>
    <row r="1489" spans="1:4">
      <c r="A1489" s="110" t="s">
        <v>560</v>
      </c>
      <c r="B1489" s="110" t="s">
        <v>298</v>
      </c>
      <c r="C1489" s="110">
        <v>2.069</v>
      </c>
      <c r="D1489" s="112">
        <v>42749</v>
      </c>
    </row>
    <row r="1490" spans="1:4">
      <c r="A1490" s="110" t="s">
        <v>559</v>
      </c>
      <c r="B1490" s="110" t="s">
        <v>298</v>
      </c>
      <c r="C1490" s="110">
        <v>2.2360000000000002</v>
      </c>
      <c r="D1490" s="112">
        <v>42749</v>
      </c>
    </row>
    <row r="1491" spans="1:4">
      <c r="A1491" s="110" t="s">
        <v>558</v>
      </c>
      <c r="B1491" s="110" t="s">
        <v>298</v>
      </c>
      <c r="C1491" s="110">
        <v>2.2549999999999999</v>
      </c>
      <c r="D1491" s="112">
        <v>42749</v>
      </c>
    </row>
    <row r="1492" spans="1:4">
      <c r="A1492" s="110" t="s">
        <v>557</v>
      </c>
      <c r="B1492" s="110" t="s">
        <v>298</v>
      </c>
      <c r="C1492" s="110">
        <v>2.2170000000000001</v>
      </c>
      <c r="D1492" s="112">
        <v>42749</v>
      </c>
    </row>
    <row r="1493" spans="1:4">
      <c r="A1493" s="110" t="s">
        <v>556</v>
      </c>
      <c r="B1493" s="110" t="s">
        <v>298</v>
      </c>
      <c r="C1493" s="110">
        <v>2.17</v>
      </c>
      <c r="D1493" s="112">
        <v>42749</v>
      </c>
    </row>
    <row r="1494" spans="1:4">
      <c r="A1494" s="110" t="s">
        <v>555</v>
      </c>
      <c r="B1494" s="110" t="s">
        <v>298</v>
      </c>
      <c r="C1494" s="110">
        <v>2.1520000000000001</v>
      </c>
      <c r="D1494" s="112">
        <v>42749</v>
      </c>
    </row>
    <row r="1495" spans="1:4">
      <c r="A1495" s="110" t="s">
        <v>554</v>
      </c>
      <c r="B1495" s="110" t="s">
        <v>298</v>
      </c>
      <c r="C1495" s="110">
        <v>2.2250000000000001</v>
      </c>
      <c r="D1495" s="112">
        <v>42749</v>
      </c>
    </row>
    <row r="1496" spans="1:4">
      <c r="A1496" s="110" t="s">
        <v>553</v>
      </c>
      <c r="B1496" s="110" t="s">
        <v>298</v>
      </c>
      <c r="C1496" s="110">
        <v>2.1360000000000001</v>
      </c>
      <c r="D1496" s="112">
        <v>42749</v>
      </c>
    </row>
    <row r="1497" spans="1:4">
      <c r="A1497" s="110" t="s">
        <v>552</v>
      </c>
      <c r="B1497" s="110" t="s">
        <v>298</v>
      </c>
      <c r="C1497" s="110">
        <v>2.157</v>
      </c>
      <c r="D1497" s="112">
        <v>42749</v>
      </c>
    </row>
    <row r="1498" spans="1:4">
      <c r="A1498" s="110" t="s">
        <v>551</v>
      </c>
      <c r="B1498" s="110" t="s">
        <v>298</v>
      </c>
      <c r="C1498" s="110">
        <v>2.218</v>
      </c>
      <c r="D1498" s="112">
        <v>42749</v>
      </c>
    </row>
    <row r="1499" spans="1:4">
      <c r="A1499" s="110" t="s">
        <v>550</v>
      </c>
      <c r="B1499" s="110" t="s">
        <v>298</v>
      </c>
      <c r="C1499" s="110">
        <v>2.2599999999999998</v>
      </c>
      <c r="D1499" s="112">
        <v>42749</v>
      </c>
    </row>
    <row r="1500" spans="1:4">
      <c r="A1500" s="110" t="s">
        <v>549</v>
      </c>
      <c r="B1500" s="110" t="s">
        <v>298</v>
      </c>
      <c r="C1500" s="110">
        <v>2.2549999999999999</v>
      </c>
      <c r="D1500" s="112">
        <v>42749</v>
      </c>
    </row>
    <row r="1501" spans="1:4">
      <c r="A1501" s="110" t="s">
        <v>548</v>
      </c>
      <c r="B1501" s="110" t="s">
        <v>298</v>
      </c>
      <c r="C1501" s="110">
        <v>2.2090000000000001</v>
      </c>
      <c r="D1501" s="112">
        <v>42749</v>
      </c>
    </row>
    <row r="1502" spans="1:4">
      <c r="A1502" s="110" t="s">
        <v>547</v>
      </c>
      <c r="B1502" s="110" t="s">
        <v>298</v>
      </c>
      <c r="C1502" s="110">
        <v>2.2400000000000002</v>
      </c>
      <c r="D1502" s="112">
        <v>42749</v>
      </c>
    </row>
    <row r="1503" spans="1:4">
      <c r="A1503" s="110" t="s">
        <v>546</v>
      </c>
      <c r="B1503" s="110" t="s">
        <v>298</v>
      </c>
      <c r="C1503" s="110">
        <v>2.1819999999999999</v>
      </c>
      <c r="D1503" s="112">
        <v>42749</v>
      </c>
    </row>
    <row r="1504" spans="1:4">
      <c r="A1504" s="110" t="s">
        <v>545</v>
      </c>
      <c r="B1504" s="110" t="s">
        <v>298</v>
      </c>
      <c r="C1504" s="110">
        <v>2.1749999999999998</v>
      </c>
      <c r="D1504" s="112">
        <v>42749</v>
      </c>
    </row>
    <row r="1505" spans="1:5">
      <c r="A1505" s="110" t="s">
        <v>544</v>
      </c>
      <c r="B1505" s="110" t="s">
        <v>298</v>
      </c>
      <c r="C1505" s="110">
        <v>2.165</v>
      </c>
      <c r="D1505" s="112">
        <v>42749</v>
      </c>
    </row>
    <row r="1506" spans="1:5">
      <c r="A1506" s="110" t="s">
        <v>543</v>
      </c>
      <c r="B1506" s="110" t="s">
        <v>298</v>
      </c>
      <c r="C1506" s="110">
        <v>2.206</v>
      </c>
      <c r="D1506" s="112">
        <v>42749</v>
      </c>
    </row>
    <row r="1507" spans="1:5">
      <c r="A1507" s="110" t="s">
        <v>542</v>
      </c>
      <c r="B1507" s="110" t="s">
        <v>298</v>
      </c>
      <c r="C1507" s="110">
        <v>2.1760000000000002</v>
      </c>
      <c r="D1507" s="112">
        <v>42749</v>
      </c>
    </row>
    <row r="1508" spans="1:5">
      <c r="A1508" s="110" t="s">
        <v>541</v>
      </c>
      <c r="B1508" s="110" t="s">
        <v>298</v>
      </c>
      <c r="C1508" s="110">
        <v>2.2440000000000002</v>
      </c>
      <c r="D1508" s="112">
        <v>42749</v>
      </c>
    </row>
    <row r="1509" spans="1:5">
      <c r="A1509" s="110" t="s">
        <v>539</v>
      </c>
      <c r="B1509" s="113" t="s">
        <v>298</v>
      </c>
      <c r="C1509" s="113">
        <v>2.198</v>
      </c>
      <c r="D1509" s="114">
        <v>42749</v>
      </c>
      <c r="E1509" s="113" t="s">
        <v>540</v>
      </c>
    </row>
    <row r="1510" spans="1:5">
      <c r="A1510" s="390" t="s">
        <v>3872</v>
      </c>
      <c r="B1510" s="113" t="s">
        <v>298</v>
      </c>
      <c r="C1510" s="113">
        <v>2.13</v>
      </c>
      <c r="D1510" s="114">
        <v>42744</v>
      </c>
      <c r="E1510" s="113" t="s">
        <v>538</v>
      </c>
    </row>
    <row r="1511" spans="1:5">
      <c r="A1511" s="110" t="s">
        <v>537</v>
      </c>
      <c r="B1511" s="110" t="s">
        <v>298</v>
      </c>
      <c r="C1511" s="110">
        <v>2.19</v>
      </c>
      <c r="D1511" s="112">
        <v>42744</v>
      </c>
    </row>
    <row r="1512" spans="1:5">
      <c r="A1512" s="110" t="s">
        <v>536</v>
      </c>
      <c r="B1512" s="110" t="s">
        <v>298</v>
      </c>
      <c r="C1512" s="110">
        <v>2.1440000000000001</v>
      </c>
      <c r="D1512" s="112">
        <v>42744</v>
      </c>
    </row>
    <row r="1513" spans="1:5">
      <c r="A1513" s="110" t="s">
        <v>535</v>
      </c>
      <c r="B1513" s="110" t="s">
        <v>298</v>
      </c>
      <c r="C1513" s="110">
        <v>2.1230000000000002</v>
      </c>
      <c r="D1513" s="112">
        <v>42744</v>
      </c>
    </row>
    <row r="1514" spans="1:5">
      <c r="A1514" s="110" t="s">
        <v>534</v>
      </c>
      <c r="B1514" s="110" t="s">
        <v>298</v>
      </c>
      <c r="C1514" s="110">
        <v>2.165</v>
      </c>
      <c r="D1514" s="112">
        <v>42744</v>
      </c>
    </row>
    <row r="1515" spans="1:5">
      <c r="A1515" s="110" t="s">
        <v>533</v>
      </c>
      <c r="B1515" s="110" t="s">
        <v>298</v>
      </c>
      <c r="C1515" s="110">
        <v>2.15</v>
      </c>
      <c r="D1515" s="112">
        <v>42744</v>
      </c>
    </row>
    <row r="1516" spans="1:5">
      <c r="A1516" s="110" t="s">
        <v>532</v>
      </c>
      <c r="B1516" s="110" t="s">
        <v>298</v>
      </c>
      <c r="C1516" s="110">
        <v>2.14</v>
      </c>
      <c r="D1516" s="112">
        <v>42744</v>
      </c>
    </row>
    <row r="1517" spans="1:5">
      <c r="A1517" s="110" t="s">
        <v>531</v>
      </c>
      <c r="B1517" s="110" t="s">
        <v>298</v>
      </c>
      <c r="C1517" s="110">
        <v>2.1440000000000001</v>
      </c>
      <c r="D1517" s="112">
        <v>42744</v>
      </c>
    </row>
    <row r="1518" spans="1:5">
      <c r="A1518" s="110" t="s">
        <v>530</v>
      </c>
      <c r="B1518" s="110" t="s">
        <v>298</v>
      </c>
      <c r="C1518" s="110">
        <v>2.165</v>
      </c>
      <c r="D1518" s="112">
        <v>42744</v>
      </c>
    </row>
    <row r="1519" spans="1:5">
      <c r="A1519" s="110" t="s">
        <v>529</v>
      </c>
      <c r="B1519" s="110" t="s">
        <v>298</v>
      </c>
      <c r="C1519" s="110">
        <v>2.1230000000000002</v>
      </c>
      <c r="D1519" s="112">
        <v>42744</v>
      </c>
    </row>
    <row r="1520" spans="1:5">
      <c r="A1520" s="110" t="s">
        <v>528</v>
      </c>
      <c r="B1520" s="110" t="s">
        <v>298</v>
      </c>
      <c r="C1520" s="110">
        <v>2.157</v>
      </c>
      <c r="D1520" s="112">
        <v>42744</v>
      </c>
    </row>
    <row r="1521" spans="1:4">
      <c r="A1521" s="110" t="s">
        <v>527</v>
      </c>
      <c r="B1521" s="110" t="s">
        <v>298</v>
      </c>
      <c r="C1521" s="110">
        <v>2.11</v>
      </c>
      <c r="D1521" s="112">
        <v>42744</v>
      </c>
    </row>
    <row r="1522" spans="1:4">
      <c r="A1522" s="110" t="s">
        <v>526</v>
      </c>
      <c r="B1522" s="110" t="s">
        <v>298</v>
      </c>
      <c r="C1522" s="110">
        <v>2.1680000000000001</v>
      </c>
      <c r="D1522" s="112">
        <v>42744</v>
      </c>
    </row>
    <row r="1523" spans="1:4">
      <c r="A1523" s="110" t="s">
        <v>525</v>
      </c>
      <c r="B1523" s="110" t="s">
        <v>298</v>
      </c>
      <c r="C1523" s="110">
        <v>2.1459999999999999</v>
      </c>
      <c r="D1523" s="112">
        <v>42744</v>
      </c>
    </row>
    <row r="1524" spans="1:4">
      <c r="A1524" s="110" t="s">
        <v>524</v>
      </c>
      <c r="B1524" s="110" t="s">
        <v>298</v>
      </c>
      <c r="C1524" s="110">
        <v>2.157</v>
      </c>
      <c r="D1524" s="112">
        <v>42744</v>
      </c>
    </row>
    <row r="1525" spans="1:4">
      <c r="A1525" s="110" t="s">
        <v>523</v>
      </c>
      <c r="B1525" s="110" t="s">
        <v>298</v>
      </c>
      <c r="C1525" s="110">
        <v>2.1739999999999999</v>
      </c>
      <c r="D1525" s="112">
        <v>42744</v>
      </c>
    </row>
    <row r="1526" spans="1:4">
      <c r="A1526" s="110" t="s">
        <v>522</v>
      </c>
      <c r="B1526" s="110" t="s">
        <v>298</v>
      </c>
      <c r="C1526" s="110">
        <v>2.2010000000000001</v>
      </c>
      <c r="D1526" s="112">
        <v>42744</v>
      </c>
    </row>
    <row r="1527" spans="1:4">
      <c r="A1527" s="110" t="s">
        <v>521</v>
      </c>
      <c r="B1527" s="110" t="s">
        <v>298</v>
      </c>
      <c r="C1527" s="110">
        <v>2.1240000000000001</v>
      </c>
      <c r="D1527" s="112">
        <v>42744</v>
      </c>
    </row>
    <row r="1528" spans="1:4">
      <c r="A1528" s="110" t="s">
        <v>520</v>
      </c>
      <c r="B1528" s="110" t="s">
        <v>298</v>
      </c>
      <c r="C1528" s="110">
        <v>2.1480000000000001</v>
      </c>
      <c r="D1528" s="112">
        <v>42744</v>
      </c>
    </row>
    <row r="1529" spans="1:4">
      <c r="A1529" s="110" t="s">
        <v>519</v>
      </c>
      <c r="B1529" s="110" t="s">
        <v>298</v>
      </c>
      <c r="C1529" s="110">
        <v>2.1800000000000002</v>
      </c>
      <c r="D1529" s="112">
        <v>42744</v>
      </c>
    </row>
    <row r="1530" spans="1:4">
      <c r="A1530" s="110" t="s">
        <v>518</v>
      </c>
      <c r="B1530" s="110" t="s">
        <v>298</v>
      </c>
      <c r="C1530" s="110">
        <v>2.0459999999999998</v>
      </c>
      <c r="D1530" s="112">
        <v>42744</v>
      </c>
    </row>
    <row r="1531" spans="1:4">
      <c r="A1531" s="110" t="s">
        <v>517</v>
      </c>
      <c r="B1531" s="110" t="s">
        <v>298</v>
      </c>
      <c r="C1531" s="110">
        <v>2.1640000000000001</v>
      </c>
      <c r="D1531" s="112">
        <v>42744</v>
      </c>
    </row>
    <row r="1532" spans="1:4">
      <c r="A1532" s="110" t="s">
        <v>516</v>
      </c>
      <c r="B1532" s="110" t="s">
        <v>298</v>
      </c>
      <c r="C1532" s="110">
        <v>2.056</v>
      </c>
      <c r="D1532" s="112">
        <v>42744</v>
      </c>
    </row>
    <row r="1533" spans="1:4">
      <c r="A1533" s="110" t="s">
        <v>515</v>
      </c>
      <c r="B1533" s="110" t="s">
        <v>298</v>
      </c>
      <c r="C1533" s="110">
        <v>2.0739999999999998</v>
      </c>
      <c r="D1533" s="112">
        <v>42744</v>
      </c>
    </row>
    <row r="1534" spans="1:4">
      <c r="A1534" s="110" t="s">
        <v>514</v>
      </c>
      <c r="B1534" s="110" t="s">
        <v>298</v>
      </c>
      <c r="C1534" s="110">
        <v>2.1589999999999998</v>
      </c>
      <c r="D1534" s="112">
        <v>42744</v>
      </c>
    </row>
    <row r="1535" spans="1:4">
      <c r="A1535" s="110" t="s">
        <v>513</v>
      </c>
      <c r="B1535" s="110" t="s">
        <v>298</v>
      </c>
      <c r="C1535" s="110">
        <v>2.0699999999999998</v>
      </c>
      <c r="D1535" s="112">
        <v>42744</v>
      </c>
    </row>
    <row r="1536" spans="1:4">
      <c r="A1536" s="110" t="s">
        <v>512</v>
      </c>
      <c r="B1536" s="110" t="s">
        <v>298</v>
      </c>
      <c r="C1536" s="110">
        <v>2.1429999999999998</v>
      </c>
      <c r="D1536" s="112">
        <v>42744</v>
      </c>
    </row>
    <row r="1537" spans="1:4">
      <c r="A1537" s="110" t="s">
        <v>511</v>
      </c>
      <c r="B1537" s="110" t="s">
        <v>298</v>
      </c>
      <c r="C1537" s="110">
        <v>2.0110000000000001</v>
      </c>
      <c r="D1537" s="112">
        <v>42744</v>
      </c>
    </row>
    <row r="1538" spans="1:4">
      <c r="A1538" s="110" t="s">
        <v>510</v>
      </c>
      <c r="B1538" s="110" t="s">
        <v>298</v>
      </c>
      <c r="C1538" s="110">
        <v>2.1669999999999998</v>
      </c>
      <c r="D1538" s="112">
        <v>42744</v>
      </c>
    </row>
    <row r="1539" spans="1:4">
      <c r="A1539" s="110" t="s">
        <v>509</v>
      </c>
      <c r="B1539" s="110" t="s">
        <v>298</v>
      </c>
      <c r="C1539" s="110">
        <v>2.13</v>
      </c>
      <c r="D1539" s="112">
        <v>42744</v>
      </c>
    </row>
    <row r="1540" spans="1:4">
      <c r="A1540" s="110" t="s">
        <v>508</v>
      </c>
      <c r="B1540" s="110" t="s">
        <v>298</v>
      </c>
      <c r="C1540" s="110">
        <v>2.133</v>
      </c>
      <c r="D1540" s="112">
        <v>42744</v>
      </c>
    </row>
    <row r="1541" spans="1:4">
      <c r="A1541" s="110" t="s">
        <v>507</v>
      </c>
      <c r="B1541" s="110" t="s">
        <v>298</v>
      </c>
      <c r="C1541" s="110">
        <v>2.1269999999999998</v>
      </c>
      <c r="D1541" s="112">
        <v>42744</v>
      </c>
    </row>
    <row r="1542" spans="1:4">
      <c r="A1542" s="110" t="s">
        <v>506</v>
      </c>
      <c r="B1542" s="110" t="s">
        <v>298</v>
      </c>
      <c r="C1542" s="110">
        <v>2.0760000000000001</v>
      </c>
      <c r="D1542" s="112">
        <v>42744</v>
      </c>
    </row>
    <row r="1543" spans="1:4">
      <c r="A1543" s="110" t="s">
        <v>505</v>
      </c>
      <c r="B1543" s="110" t="s">
        <v>298</v>
      </c>
      <c r="C1543" s="110">
        <v>2.0979999999999999</v>
      </c>
      <c r="D1543" s="112">
        <v>42744</v>
      </c>
    </row>
    <row r="1544" spans="1:4">
      <c r="A1544" s="110" t="s">
        <v>504</v>
      </c>
      <c r="B1544" s="110" t="s">
        <v>298</v>
      </c>
      <c r="C1544" s="110">
        <v>2.1320000000000001</v>
      </c>
      <c r="D1544" s="112">
        <v>42744</v>
      </c>
    </row>
    <row r="1545" spans="1:4">
      <c r="A1545" s="110" t="s">
        <v>503</v>
      </c>
      <c r="B1545" s="110" t="s">
        <v>298</v>
      </c>
      <c r="C1545" s="110">
        <v>2.1080000000000001</v>
      </c>
      <c r="D1545" s="112">
        <v>42744</v>
      </c>
    </row>
    <row r="1546" spans="1:4">
      <c r="A1546" s="110" t="s">
        <v>502</v>
      </c>
      <c r="B1546" s="110" t="s">
        <v>298</v>
      </c>
      <c r="C1546" s="110">
        <v>2.129</v>
      </c>
      <c r="D1546" s="112">
        <v>42744</v>
      </c>
    </row>
    <row r="1547" spans="1:4">
      <c r="A1547" s="110" t="s">
        <v>501</v>
      </c>
      <c r="B1547" s="110" t="s">
        <v>298</v>
      </c>
      <c r="C1547" s="110">
        <v>2.1659999999999999</v>
      </c>
      <c r="D1547" s="112">
        <v>42744</v>
      </c>
    </row>
    <row r="1548" spans="1:4">
      <c r="A1548" s="110" t="s">
        <v>500</v>
      </c>
      <c r="B1548" s="110" t="s">
        <v>298</v>
      </c>
      <c r="C1548" s="110">
        <v>2.0840000000000001</v>
      </c>
      <c r="D1548" s="112">
        <v>42744</v>
      </c>
    </row>
    <row r="1549" spans="1:4">
      <c r="A1549" s="110" t="s">
        <v>499</v>
      </c>
      <c r="B1549" s="110" t="s">
        <v>298</v>
      </c>
      <c r="C1549" s="110">
        <v>2.1019999999999999</v>
      </c>
      <c r="D1549" s="112">
        <v>42744</v>
      </c>
    </row>
    <row r="1550" spans="1:4">
      <c r="A1550" s="110" t="s">
        <v>498</v>
      </c>
      <c r="B1550" s="110" t="s">
        <v>298</v>
      </c>
      <c r="C1550" s="110">
        <v>2.1459999999999999</v>
      </c>
      <c r="D1550" s="112">
        <v>42744</v>
      </c>
    </row>
    <row r="1551" spans="1:4">
      <c r="A1551" s="110" t="s">
        <v>497</v>
      </c>
      <c r="B1551" s="110" t="s">
        <v>298</v>
      </c>
      <c r="C1551" s="110">
        <v>2.14</v>
      </c>
      <c r="D1551" s="112">
        <v>42744</v>
      </c>
    </row>
    <row r="1552" spans="1:4">
      <c r="A1552" s="110" t="s">
        <v>496</v>
      </c>
      <c r="B1552" s="110" t="s">
        <v>298</v>
      </c>
      <c r="C1552" s="110">
        <v>2.1930000000000001</v>
      </c>
      <c r="D1552" s="112">
        <v>42744</v>
      </c>
    </row>
    <row r="1553" spans="1:5">
      <c r="A1553" s="110" t="s">
        <v>495</v>
      </c>
      <c r="B1553" s="110" t="s">
        <v>298</v>
      </c>
      <c r="C1553" s="110">
        <v>2.2240000000000002</v>
      </c>
      <c r="D1553" s="112">
        <v>42744</v>
      </c>
    </row>
    <row r="1554" spans="1:5">
      <c r="A1554" s="110" t="s">
        <v>494</v>
      </c>
      <c r="B1554" s="110" t="s">
        <v>298</v>
      </c>
      <c r="C1554" s="110">
        <v>2.2469999999999999</v>
      </c>
      <c r="D1554" s="112">
        <v>42744</v>
      </c>
    </row>
    <row r="1555" spans="1:5">
      <c r="A1555" s="110" t="s">
        <v>493</v>
      </c>
      <c r="B1555" s="110" t="s">
        <v>298</v>
      </c>
      <c r="C1555" s="110">
        <v>2.1480000000000001</v>
      </c>
      <c r="D1555" s="112">
        <v>42744</v>
      </c>
    </row>
    <row r="1556" spans="1:5">
      <c r="A1556" s="110" t="s">
        <v>492</v>
      </c>
      <c r="B1556" s="110" t="s">
        <v>298</v>
      </c>
      <c r="C1556" s="110">
        <v>2.1640000000000001</v>
      </c>
      <c r="D1556" s="112">
        <v>42744</v>
      </c>
    </row>
    <row r="1557" spans="1:5">
      <c r="A1557" s="110" t="s">
        <v>491</v>
      </c>
      <c r="B1557" s="110" t="s">
        <v>298</v>
      </c>
      <c r="C1557" s="110">
        <v>2.1920000000000002</v>
      </c>
      <c r="D1557" s="112">
        <v>42744</v>
      </c>
    </row>
    <row r="1558" spans="1:5">
      <c r="A1558" s="110" t="s">
        <v>490</v>
      </c>
      <c r="B1558" s="110" t="s">
        <v>298</v>
      </c>
      <c r="C1558" s="110">
        <v>2.161</v>
      </c>
      <c r="D1558" s="112">
        <v>42744</v>
      </c>
    </row>
    <row r="1559" spans="1:5">
      <c r="A1559" s="110" t="s">
        <v>489</v>
      </c>
      <c r="B1559" s="110" t="s">
        <v>298</v>
      </c>
      <c r="C1559" s="110">
        <v>2.169</v>
      </c>
      <c r="D1559" s="112">
        <v>42744</v>
      </c>
    </row>
    <row r="1560" spans="1:5">
      <c r="A1560" s="110" t="s">
        <v>488</v>
      </c>
      <c r="B1560" s="110" t="s">
        <v>298</v>
      </c>
      <c r="C1560" s="110">
        <v>2.2349999999999999</v>
      </c>
      <c r="D1560" s="112">
        <v>42744</v>
      </c>
    </row>
    <row r="1561" spans="1:5">
      <c r="A1561" s="110" t="s">
        <v>487</v>
      </c>
      <c r="B1561" s="110" t="s">
        <v>298</v>
      </c>
      <c r="C1561" s="110">
        <v>2.2090000000000001</v>
      </c>
      <c r="D1561" s="112">
        <v>42744</v>
      </c>
    </row>
    <row r="1562" spans="1:5">
      <c r="A1562" s="110" t="s">
        <v>486</v>
      </c>
      <c r="B1562" s="110" t="s">
        <v>298</v>
      </c>
      <c r="C1562" s="110">
        <v>2.1989999999999998</v>
      </c>
      <c r="D1562" s="112">
        <v>42744</v>
      </c>
    </row>
    <row r="1563" spans="1:5">
      <c r="A1563" s="110" t="s">
        <v>485</v>
      </c>
      <c r="B1563" s="110" t="s">
        <v>298</v>
      </c>
      <c r="C1563" s="110">
        <v>2.2040000000000002</v>
      </c>
      <c r="D1563" s="112">
        <v>42744</v>
      </c>
    </row>
    <row r="1564" spans="1:5">
      <c r="A1564" s="110" t="s">
        <v>484</v>
      </c>
      <c r="B1564" s="110" t="s">
        <v>298</v>
      </c>
      <c r="C1564" s="110">
        <v>2.1779999999999999</v>
      </c>
      <c r="D1564" s="112">
        <v>42744</v>
      </c>
    </row>
    <row r="1565" spans="1:5">
      <c r="A1565" s="175" t="s">
        <v>483</v>
      </c>
      <c r="B1565" s="175" t="s">
        <v>298</v>
      </c>
      <c r="C1565" s="175">
        <v>2.206</v>
      </c>
      <c r="D1565" s="176">
        <v>42744</v>
      </c>
      <c r="E1565" s="175" t="s">
        <v>2465</v>
      </c>
    </row>
    <row r="1566" spans="1:5">
      <c r="A1566" s="110" t="s">
        <v>482</v>
      </c>
      <c r="B1566" s="110" t="s">
        <v>298</v>
      </c>
      <c r="C1566" s="110">
        <v>2.2509999999999999</v>
      </c>
      <c r="D1566" s="112">
        <v>42744</v>
      </c>
    </row>
    <row r="1567" spans="1:5">
      <c r="A1567" s="110" t="s">
        <v>481</v>
      </c>
      <c r="B1567" s="110" t="s">
        <v>298</v>
      </c>
      <c r="C1567" s="110">
        <v>2.2080000000000002</v>
      </c>
      <c r="D1567" s="112">
        <v>42744</v>
      </c>
    </row>
    <row r="1568" spans="1:5">
      <c r="A1568" s="110" t="s">
        <v>480</v>
      </c>
      <c r="B1568" s="110" t="s">
        <v>298</v>
      </c>
      <c r="C1568" s="110">
        <v>2.2349999999999999</v>
      </c>
      <c r="D1568" s="112">
        <v>42744</v>
      </c>
    </row>
    <row r="1569" spans="1:5">
      <c r="A1569" s="110" t="s">
        <v>479</v>
      </c>
      <c r="B1569" s="110" t="s">
        <v>298</v>
      </c>
      <c r="C1569" s="110">
        <v>2.2080000000000002</v>
      </c>
      <c r="D1569" s="112">
        <v>42744</v>
      </c>
    </row>
    <row r="1570" spans="1:5">
      <c r="A1570" s="110" t="s">
        <v>478</v>
      </c>
      <c r="B1570" s="110" t="s">
        <v>298</v>
      </c>
      <c r="C1570" s="110">
        <v>2.1629999999999998</v>
      </c>
      <c r="D1570" s="112">
        <v>42744</v>
      </c>
    </row>
    <row r="1571" spans="1:5">
      <c r="A1571" s="175" t="s">
        <v>477</v>
      </c>
      <c r="B1571" s="175" t="s">
        <v>298</v>
      </c>
      <c r="C1571" s="175">
        <v>2.1259999999999999</v>
      </c>
      <c r="D1571" s="176">
        <v>42744</v>
      </c>
      <c r="E1571" s="175" t="s">
        <v>2465</v>
      </c>
    </row>
    <row r="1572" spans="1:5">
      <c r="A1572" s="110" t="s">
        <v>476</v>
      </c>
      <c r="B1572" s="110" t="s">
        <v>298</v>
      </c>
      <c r="C1572" s="110">
        <v>2.105</v>
      </c>
      <c r="D1572" s="112">
        <v>42744</v>
      </c>
    </row>
    <row r="1573" spans="1:5">
      <c r="A1573" s="110" t="s">
        <v>475</v>
      </c>
      <c r="B1573" s="110" t="s">
        <v>298</v>
      </c>
      <c r="C1573" s="110">
        <v>2.09</v>
      </c>
      <c r="D1573" s="112">
        <v>42744</v>
      </c>
    </row>
    <row r="1574" spans="1:5">
      <c r="A1574" s="110" t="s">
        <v>474</v>
      </c>
      <c r="B1574" s="110" t="s">
        <v>298</v>
      </c>
      <c r="C1574" s="110">
        <v>2.1579999999999999</v>
      </c>
      <c r="D1574" s="112">
        <v>42744</v>
      </c>
    </row>
    <row r="1575" spans="1:5">
      <c r="A1575" s="110" t="s">
        <v>473</v>
      </c>
      <c r="B1575" s="110" t="s">
        <v>298</v>
      </c>
      <c r="C1575" s="110">
        <v>2.15</v>
      </c>
      <c r="D1575" s="112">
        <v>42744</v>
      </c>
    </row>
    <row r="1576" spans="1:5">
      <c r="A1576" s="110" t="s">
        <v>472</v>
      </c>
      <c r="B1576" s="110" t="s">
        <v>298</v>
      </c>
      <c r="C1576" s="110">
        <v>2.1949999999999998</v>
      </c>
      <c r="D1576" s="112">
        <v>42744</v>
      </c>
    </row>
    <row r="1577" spans="1:5">
      <c r="A1577" s="110" t="s">
        <v>471</v>
      </c>
      <c r="B1577" s="110" t="s">
        <v>298</v>
      </c>
      <c r="C1577" s="110">
        <v>2.1419999999999999</v>
      </c>
      <c r="D1577" s="112">
        <v>42744</v>
      </c>
    </row>
    <row r="1578" spans="1:5">
      <c r="A1578" s="110" t="s">
        <v>470</v>
      </c>
      <c r="B1578" s="110" t="s">
        <v>298</v>
      </c>
      <c r="C1578" s="110">
        <v>2.1480000000000001</v>
      </c>
      <c r="D1578" s="112">
        <v>42744</v>
      </c>
    </row>
    <row r="1579" spans="1:5">
      <c r="A1579" s="110" t="s">
        <v>469</v>
      </c>
      <c r="B1579" s="110" t="s">
        <v>298</v>
      </c>
      <c r="C1579" s="110">
        <v>2.1059999999999999</v>
      </c>
      <c r="D1579" s="112">
        <v>42744</v>
      </c>
    </row>
    <row r="1580" spans="1:5">
      <c r="A1580" s="110" t="s">
        <v>468</v>
      </c>
      <c r="B1580" s="110" t="s">
        <v>298</v>
      </c>
      <c r="C1580" s="110">
        <v>2.202</v>
      </c>
      <c r="D1580" s="112">
        <v>42744</v>
      </c>
    </row>
    <row r="1581" spans="1:5">
      <c r="A1581" s="110" t="s">
        <v>467</v>
      </c>
      <c r="B1581" s="110" t="s">
        <v>298</v>
      </c>
      <c r="C1581" s="110">
        <v>2.161</v>
      </c>
      <c r="D1581" s="112">
        <v>42744</v>
      </c>
    </row>
    <row r="1582" spans="1:5">
      <c r="A1582" s="110" t="s">
        <v>466</v>
      </c>
      <c r="B1582" s="110" t="s">
        <v>298</v>
      </c>
      <c r="C1582" s="110">
        <v>2.121</v>
      </c>
      <c r="D1582" s="112">
        <v>42744</v>
      </c>
    </row>
    <row r="1583" spans="1:5">
      <c r="A1583" s="110" t="s">
        <v>465</v>
      </c>
      <c r="B1583" s="110" t="s">
        <v>298</v>
      </c>
      <c r="C1583" s="110">
        <v>2.1629999999999998</v>
      </c>
      <c r="D1583" s="112">
        <v>42744</v>
      </c>
    </row>
    <row r="1584" spans="1:5">
      <c r="A1584" s="110" t="s">
        <v>464</v>
      </c>
      <c r="B1584" s="110" t="s">
        <v>298</v>
      </c>
      <c r="C1584" s="110">
        <v>2.2069999999999999</v>
      </c>
      <c r="D1584" s="112">
        <v>42744</v>
      </c>
    </row>
    <row r="1585" spans="1:4">
      <c r="A1585" s="110" t="s">
        <v>463</v>
      </c>
      <c r="B1585" s="110" t="s">
        <v>298</v>
      </c>
      <c r="C1585" s="110">
        <v>2.1459999999999999</v>
      </c>
      <c r="D1585" s="112">
        <v>42744</v>
      </c>
    </row>
    <row r="1586" spans="1:4">
      <c r="A1586" s="110" t="s">
        <v>462</v>
      </c>
      <c r="B1586" s="110" t="s">
        <v>298</v>
      </c>
      <c r="C1586" s="110">
        <v>2.1240000000000001</v>
      </c>
      <c r="D1586" s="112">
        <v>42744</v>
      </c>
    </row>
    <row r="1587" spans="1:4">
      <c r="A1587" s="110" t="s">
        <v>461</v>
      </c>
      <c r="B1587" s="110" t="s">
        <v>298</v>
      </c>
      <c r="C1587" s="110">
        <v>2.1320000000000001</v>
      </c>
      <c r="D1587" s="112">
        <v>42744</v>
      </c>
    </row>
    <row r="1588" spans="1:4">
      <c r="A1588" s="110" t="s">
        <v>460</v>
      </c>
      <c r="B1588" s="110" t="s">
        <v>298</v>
      </c>
      <c r="C1588" s="110">
        <v>2.149</v>
      </c>
      <c r="D1588" s="112">
        <v>42744</v>
      </c>
    </row>
    <row r="1589" spans="1:4">
      <c r="A1589" s="110" t="s">
        <v>459</v>
      </c>
      <c r="B1589" s="110" t="s">
        <v>298</v>
      </c>
      <c r="C1589" s="110">
        <v>2.1080000000000001</v>
      </c>
      <c r="D1589" s="112">
        <v>42744</v>
      </c>
    </row>
    <row r="1590" spans="1:4">
      <c r="A1590" s="110" t="s">
        <v>458</v>
      </c>
      <c r="B1590" s="110" t="s">
        <v>298</v>
      </c>
      <c r="C1590" s="110">
        <v>2.1859999999999999</v>
      </c>
      <c r="D1590" s="112">
        <v>42744</v>
      </c>
    </row>
    <row r="1591" spans="1:4">
      <c r="A1591" s="110" t="s">
        <v>457</v>
      </c>
      <c r="B1591" s="110" t="s">
        <v>298</v>
      </c>
      <c r="C1591" s="110">
        <v>2.1720000000000002</v>
      </c>
      <c r="D1591" s="112">
        <v>42744</v>
      </c>
    </row>
    <row r="1592" spans="1:4">
      <c r="A1592" s="110" t="s">
        <v>456</v>
      </c>
      <c r="B1592" s="110" t="s">
        <v>298</v>
      </c>
      <c r="C1592" s="110">
        <v>2.141</v>
      </c>
      <c r="D1592" s="112">
        <v>42744</v>
      </c>
    </row>
    <row r="1593" spans="1:4">
      <c r="A1593" s="110" t="s">
        <v>455</v>
      </c>
      <c r="B1593" s="110" t="s">
        <v>298</v>
      </c>
      <c r="C1593" s="110">
        <v>2.1139999999999999</v>
      </c>
      <c r="D1593" s="112">
        <v>42744</v>
      </c>
    </row>
    <row r="1594" spans="1:4">
      <c r="A1594" s="110" t="s">
        <v>454</v>
      </c>
      <c r="B1594" s="110" t="s">
        <v>298</v>
      </c>
      <c r="C1594" s="110">
        <v>2.1629999999999998</v>
      </c>
      <c r="D1594" s="112">
        <v>42744</v>
      </c>
    </row>
    <row r="1595" spans="1:4">
      <c r="A1595" s="110" t="s">
        <v>453</v>
      </c>
      <c r="B1595" s="110" t="s">
        <v>298</v>
      </c>
      <c r="C1595" s="110">
        <v>2.1890000000000001</v>
      </c>
      <c r="D1595" s="112">
        <v>42744</v>
      </c>
    </row>
    <row r="1596" spans="1:4">
      <c r="A1596" s="110" t="s">
        <v>452</v>
      </c>
      <c r="B1596" s="110" t="s">
        <v>298</v>
      </c>
      <c r="C1596" s="110">
        <v>2.2029999999999998</v>
      </c>
      <c r="D1596" s="112">
        <v>42744</v>
      </c>
    </row>
    <row r="1597" spans="1:4">
      <c r="A1597" s="110" t="s">
        <v>451</v>
      </c>
      <c r="B1597" s="110" t="s">
        <v>298</v>
      </c>
      <c r="C1597" s="110">
        <v>2.1709999999999998</v>
      </c>
      <c r="D1597" s="112">
        <v>42744</v>
      </c>
    </row>
    <row r="1598" spans="1:4">
      <c r="A1598" s="110" t="s">
        <v>450</v>
      </c>
      <c r="B1598" s="110" t="s">
        <v>298</v>
      </c>
      <c r="C1598" s="110">
        <v>2.11</v>
      </c>
      <c r="D1598" s="112">
        <v>42744</v>
      </c>
    </row>
    <row r="1599" spans="1:4">
      <c r="A1599" s="110" t="s">
        <v>449</v>
      </c>
      <c r="B1599" s="110" t="s">
        <v>298</v>
      </c>
      <c r="C1599" s="110">
        <v>2.141</v>
      </c>
      <c r="D1599" s="112">
        <v>42744</v>
      </c>
    </row>
    <row r="1600" spans="1:4">
      <c r="A1600" s="110" t="s">
        <v>448</v>
      </c>
      <c r="B1600" s="110" t="s">
        <v>298</v>
      </c>
      <c r="C1600" s="110">
        <v>2.1859999999999999</v>
      </c>
      <c r="D1600" s="112">
        <v>42744</v>
      </c>
    </row>
    <row r="1601" spans="1:5">
      <c r="A1601" s="110" t="s">
        <v>447</v>
      </c>
      <c r="B1601" s="110" t="s">
        <v>298</v>
      </c>
      <c r="C1601" s="110">
        <v>2.1419999999999999</v>
      </c>
      <c r="D1601" s="112">
        <v>42744</v>
      </c>
    </row>
    <row r="1602" spans="1:5">
      <c r="A1602" s="110" t="s">
        <v>446</v>
      </c>
      <c r="B1602" s="110" t="s">
        <v>298</v>
      </c>
      <c r="C1602" s="110">
        <v>2.1789999999999998</v>
      </c>
      <c r="D1602" s="112">
        <v>42744</v>
      </c>
    </row>
    <row r="1603" spans="1:5">
      <c r="A1603" s="110" t="s">
        <v>445</v>
      </c>
      <c r="B1603" s="110" t="s">
        <v>298</v>
      </c>
      <c r="C1603" s="110">
        <v>2.23</v>
      </c>
      <c r="D1603" s="112">
        <v>42744</v>
      </c>
    </row>
    <row r="1604" spans="1:5">
      <c r="A1604" s="110" t="s">
        <v>444</v>
      </c>
      <c r="B1604" s="110" t="s">
        <v>298</v>
      </c>
      <c r="C1604" s="110">
        <v>2.1789999999999998</v>
      </c>
      <c r="D1604" s="112">
        <v>42744</v>
      </c>
    </row>
    <row r="1605" spans="1:5">
      <c r="A1605" s="110" t="s">
        <v>443</v>
      </c>
      <c r="B1605" s="110" t="s">
        <v>298</v>
      </c>
      <c r="C1605" s="110">
        <v>2.1389999999999998</v>
      </c>
      <c r="D1605" s="112">
        <v>42744</v>
      </c>
    </row>
    <row r="1606" spans="1:5">
      <c r="A1606" s="110" t="s">
        <v>442</v>
      </c>
      <c r="B1606" s="110" t="s">
        <v>298</v>
      </c>
      <c r="C1606" s="110">
        <v>2.133</v>
      </c>
      <c r="D1606" s="112">
        <v>42744</v>
      </c>
    </row>
    <row r="1607" spans="1:5">
      <c r="A1607" s="110" t="s">
        <v>441</v>
      </c>
      <c r="B1607" s="110" t="s">
        <v>298</v>
      </c>
      <c r="C1607" s="110">
        <v>2.1779999999999999</v>
      </c>
      <c r="D1607" s="112">
        <v>42744</v>
      </c>
    </row>
    <row r="1608" spans="1:5">
      <c r="A1608" s="110" t="s">
        <v>440</v>
      </c>
      <c r="B1608" s="110" t="s">
        <v>298</v>
      </c>
      <c r="C1608" s="110">
        <v>2.157</v>
      </c>
      <c r="D1608" s="112">
        <v>42744</v>
      </c>
    </row>
    <row r="1609" spans="1:5">
      <c r="A1609" s="175" t="s">
        <v>439</v>
      </c>
      <c r="B1609" s="175" t="s">
        <v>298</v>
      </c>
      <c r="C1609" s="175">
        <v>2.1890000000000001</v>
      </c>
      <c r="D1609" s="176">
        <v>42744</v>
      </c>
      <c r="E1609" s="175" t="s">
        <v>2465</v>
      </c>
    </row>
    <row r="1610" spans="1:5">
      <c r="A1610" s="110" t="s">
        <v>438</v>
      </c>
      <c r="B1610" s="110" t="s">
        <v>298</v>
      </c>
      <c r="C1610" s="110">
        <v>2.1549999999999998</v>
      </c>
      <c r="D1610" s="112">
        <v>42744</v>
      </c>
    </row>
    <row r="1611" spans="1:5">
      <c r="A1611" s="110" t="s">
        <v>437</v>
      </c>
      <c r="B1611" s="110" t="s">
        <v>298</v>
      </c>
      <c r="C1611" s="110">
        <v>2.2010000000000001</v>
      </c>
      <c r="D1611" s="112">
        <v>42744</v>
      </c>
    </row>
    <row r="1612" spans="1:5">
      <c r="A1612" s="110" t="s">
        <v>436</v>
      </c>
      <c r="B1612" s="110" t="s">
        <v>298</v>
      </c>
      <c r="C1612" s="110">
        <v>2.1379999999999999</v>
      </c>
      <c r="D1612" s="112">
        <v>42744</v>
      </c>
    </row>
    <row r="1613" spans="1:5">
      <c r="A1613" s="110" t="s">
        <v>435</v>
      </c>
      <c r="B1613" s="110" t="s">
        <v>298</v>
      </c>
      <c r="C1613" s="110">
        <v>2.1480000000000001</v>
      </c>
      <c r="D1613" s="112">
        <v>42744</v>
      </c>
    </row>
    <row r="1614" spans="1:5">
      <c r="A1614" s="110" t="s">
        <v>434</v>
      </c>
      <c r="B1614" s="110" t="s">
        <v>298</v>
      </c>
      <c r="C1614" s="110">
        <v>2.1859999999999999</v>
      </c>
      <c r="D1614" s="112">
        <v>42744</v>
      </c>
    </row>
    <row r="1615" spans="1:5">
      <c r="A1615" s="110" t="s">
        <v>433</v>
      </c>
      <c r="B1615" s="110" t="s">
        <v>298</v>
      </c>
      <c r="C1615" s="110">
        <v>2.1480000000000001</v>
      </c>
      <c r="D1615" s="112">
        <v>42744</v>
      </c>
    </row>
    <row r="1616" spans="1:5">
      <c r="A1616" s="110" t="s">
        <v>432</v>
      </c>
      <c r="B1616" s="110" t="s">
        <v>298</v>
      </c>
      <c r="C1616" s="110">
        <v>2.145</v>
      </c>
      <c r="D1616" s="112">
        <v>42744</v>
      </c>
    </row>
    <row r="1617" spans="1:4">
      <c r="A1617" s="110" t="s">
        <v>431</v>
      </c>
      <c r="B1617" s="110" t="s">
        <v>298</v>
      </c>
      <c r="C1617" s="110">
        <v>2.157</v>
      </c>
      <c r="D1617" s="112">
        <v>42744</v>
      </c>
    </row>
    <row r="1618" spans="1:4">
      <c r="A1618" s="110" t="s">
        <v>430</v>
      </c>
      <c r="B1618" s="110" t="s">
        <v>298</v>
      </c>
      <c r="C1618" s="110">
        <v>2.157</v>
      </c>
      <c r="D1618" s="112">
        <v>42744</v>
      </c>
    </row>
    <row r="1619" spans="1:4">
      <c r="A1619" s="110" t="s">
        <v>429</v>
      </c>
      <c r="B1619" s="110" t="s">
        <v>298</v>
      </c>
      <c r="C1619" s="110">
        <v>2.1070000000000002</v>
      </c>
      <c r="D1619" s="112">
        <v>42744</v>
      </c>
    </row>
    <row r="1620" spans="1:4">
      <c r="A1620" s="110" t="s">
        <v>428</v>
      </c>
      <c r="B1620" s="110" t="s">
        <v>298</v>
      </c>
      <c r="C1620" s="110">
        <v>2.13</v>
      </c>
      <c r="D1620" s="112">
        <v>42744</v>
      </c>
    </row>
    <row r="1621" spans="1:4">
      <c r="A1621" s="110" t="s">
        <v>427</v>
      </c>
      <c r="B1621" s="110" t="s">
        <v>298</v>
      </c>
      <c r="C1621" s="110">
        <v>2.161</v>
      </c>
      <c r="D1621" s="112">
        <v>42744</v>
      </c>
    </row>
    <row r="1622" spans="1:4">
      <c r="A1622" s="110" t="s">
        <v>426</v>
      </c>
      <c r="B1622" s="110" t="s">
        <v>298</v>
      </c>
      <c r="C1622" s="110">
        <v>2.1619999999999999</v>
      </c>
      <c r="D1622" s="112">
        <v>42744</v>
      </c>
    </row>
    <row r="1623" spans="1:4">
      <c r="A1623" s="110" t="s">
        <v>425</v>
      </c>
      <c r="B1623" s="110" t="s">
        <v>298</v>
      </c>
      <c r="C1623" s="110">
        <v>2.1560000000000001</v>
      </c>
      <c r="D1623" s="112">
        <v>42744</v>
      </c>
    </row>
    <row r="1624" spans="1:4">
      <c r="A1624" s="110" t="s">
        <v>424</v>
      </c>
      <c r="B1624" s="110" t="s">
        <v>298</v>
      </c>
      <c r="C1624" s="110">
        <v>2.161</v>
      </c>
      <c r="D1624" s="112">
        <v>42744</v>
      </c>
    </row>
    <row r="1625" spans="1:4">
      <c r="A1625" s="110" t="s">
        <v>423</v>
      </c>
      <c r="B1625" s="110" t="s">
        <v>298</v>
      </c>
      <c r="C1625" s="110">
        <v>2.2280000000000002</v>
      </c>
      <c r="D1625" s="112">
        <v>42744</v>
      </c>
    </row>
    <row r="1626" spans="1:4">
      <c r="A1626" s="110" t="s">
        <v>422</v>
      </c>
      <c r="B1626" s="110" t="s">
        <v>298</v>
      </c>
      <c r="C1626" s="110">
        <v>2.1619999999999999</v>
      </c>
      <c r="D1626" s="112">
        <v>42744</v>
      </c>
    </row>
    <row r="1627" spans="1:4">
      <c r="A1627" s="110" t="s">
        <v>421</v>
      </c>
      <c r="B1627" s="110" t="s">
        <v>298</v>
      </c>
      <c r="C1627" s="110">
        <v>2.2050000000000001</v>
      </c>
      <c r="D1627" s="112">
        <v>42744</v>
      </c>
    </row>
    <row r="1628" spans="1:4">
      <c r="A1628" s="110" t="s">
        <v>420</v>
      </c>
      <c r="B1628" s="110" t="s">
        <v>298</v>
      </c>
      <c r="C1628" s="110">
        <v>2.2050000000000001</v>
      </c>
      <c r="D1628" s="112">
        <v>42744</v>
      </c>
    </row>
    <row r="1629" spans="1:4">
      <c r="A1629" s="110" t="s">
        <v>419</v>
      </c>
      <c r="B1629" s="110" t="s">
        <v>298</v>
      </c>
      <c r="C1629" s="110">
        <v>2.2080000000000002</v>
      </c>
      <c r="D1629" s="112">
        <v>42744</v>
      </c>
    </row>
    <row r="1630" spans="1:4">
      <c r="A1630" s="110" t="s">
        <v>418</v>
      </c>
      <c r="B1630" s="110" t="s">
        <v>298</v>
      </c>
      <c r="C1630" s="110">
        <v>2.2229999999999999</v>
      </c>
      <c r="D1630" s="112">
        <v>42792</v>
      </c>
    </row>
    <row r="1631" spans="1:4">
      <c r="A1631" s="110" t="s">
        <v>417</v>
      </c>
      <c r="B1631" s="110" t="s">
        <v>298</v>
      </c>
      <c r="C1631" s="110">
        <v>2.2069999999999999</v>
      </c>
      <c r="D1631" s="112">
        <v>42792</v>
      </c>
    </row>
    <row r="1632" spans="1:4">
      <c r="A1632" s="110" t="s">
        <v>416</v>
      </c>
      <c r="B1632" s="110" t="s">
        <v>298</v>
      </c>
      <c r="C1632" s="110">
        <v>2.2559999999999998</v>
      </c>
      <c r="D1632" s="112">
        <v>42792</v>
      </c>
    </row>
    <row r="1633" spans="1:6">
      <c r="A1633" s="110" t="s">
        <v>415</v>
      </c>
      <c r="B1633" s="110" t="s">
        <v>298</v>
      </c>
      <c r="C1633" s="110">
        <v>2.149</v>
      </c>
      <c r="D1633" s="112">
        <v>42792</v>
      </c>
    </row>
    <row r="1634" spans="1:6">
      <c r="A1634" s="110" t="s">
        <v>414</v>
      </c>
      <c r="B1634" s="110" t="s">
        <v>298</v>
      </c>
      <c r="C1634" s="110">
        <v>2.1930000000000001</v>
      </c>
      <c r="D1634" s="112">
        <v>42792</v>
      </c>
      <c r="E1634" s="111" t="s">
        <v>297</v>
      </c>
      <c r="F1634" s="110" t="s">
        <v>296</v>
      </c>
    </row>
    <row r="1635" spans="1:6">
      <c r="A1635" s="110" t="s">
        <v>413</v>
      </c>
      <c r="B1635" s="110" t="s">
        <v>298</v>
      </c>
      <c r="C1635" s="110">
        <v>2.2810000000000001</v>
      </c>
      <c r="D1635" s="112">
        <v>42792</v>
      </c>
      <c r="E1635" s="111" t="s">
        <v>297</v>
      </c>
      <c r="F1635" s="110" t="s">
        <v>296</v>
      </c>
    </row>
    <row r="1636" spans="1:6">
      <c r="A1636" s="110" t="s">
        <v>412</v>
      </c>
      <c r="B1636" s="110" t="s">
        <v>298</v>
      </c>
      <c r="C1636" s="110">
        <v>2.1629999999999998</v>
      </c>
      <c r="D1636" s="112">
        <v>42792</v>
      </c>
      <c r="E1636" s="111" t="s">
        <v>297</v>
      </c>
      <c r="F1636" s="110" t="s">
        <v>296</v>
      </c>
    </row>
    <row r="1637" spans="1:6">
      <c r="A1637" s="110" t="s">
        <v>411</v>
      </c>
      <c r="B1637" s="110" t="s">
        <v>298</v>
      </c>
      <c r="C1637" s="110">
        <v>2.2429999999999999</v>
      </c>
      <c r="D1637" s="112">
        <v>42792</v>
      </c>
      <c r="E1637" s="111" t="s">
        <v>297</v>
      </c>
      <c r="F1637" s="110" t="s">
        <v>296</v>
      </c>
    </row>
    <row r="1638" spans="1:6">
      <c r="A1638" s="110" t="s">
        <v>410</v>
      </c>
      <c r="B1638" s="110" t="s">
        <v>298</v>
      </c>
      <c r="C1638" s="110">
        <v>2.1970000000000001</v>
      </c>
      <c r="D1638" s="112">
        <v>42792</v>
      </c>
      <c r="E1638" s="111" t="s">
        <v>297</v>
      </c>
      <c r="F1638" s="110" t="s">
        <v>296</v>
      </c>
    </row>
    <row r="1639" spans="1:6">
      <c r="A1639" s="110" t="s">
        <v>409</v>
      </c>
      <c r="B1639" s="110" t="s">
        <v>298</v>
      </c>
      <c r="C1639" s="110">
        <v>2.1509999999999998</v>
      </c>
      <c r="D1639" s="112">
        <v>42792</v>
      </c>
      <c r="E1639" s="111" t="s">
        <v>297</v>
      </c>
      <c r="F1639" s="110" t="s">
        <v>296</v>
      </c>
    </row>
    <row r="1640" spans="1:6">
      <c r="A1640" s="110" t="s">
        <v>408</v>
      </c>
      <c r="B1640" s="110" t="s">
        <v>298</v>
      </c>
      <c r="C1640" s="110">
        <v>2.2480000000000002</v>
      </c>
      <c r="D1640" s="112">
        <v>42792</v>
      </c>
      <c r="E1640" s="111" t="s">
        <v>297</v>
      </c>
      <c r="F1640" s="110" t="s">
        <v>296</v>
      </c>
    </row>
    <row r="1641" spans="1:6">
      <c r="A1641" s="110" t="s">
        <v>407</v>
      </c>
      <c r="B1641" s="110" t="s">
        <v>298</v>
      </c>
      <c r="C1641" s="110">
        <v>2.2189999999999999</v>
      </c>
      <c r="D1641" s="112">
        <v>42792</v>
      </c>
      <c r="E1641" s="111" t="s">
        <v>297</v>
      </c>
      <c r="F1641" s="110" t="s">
        <v>296</v>
      </c>
    </row>
    <row r="1642" spans="1:6">
      <c r="A1642" s="110" t="s">
        <v>406</v>
      </c>
      <c r="B1642" s="110" t="s">
        <v>298</v>
      </c>
      <c r="C1642" s="110">
        <v>2.181</v>
      </c>
      <c r="D1642" s="112">
        <v>42792</v>
      </c>
      <c r="E1642" s="111" t="s">
        <v>297</v>
      </c>
      <c r="F1642" s="110" t="s">
        <v>296</v>
      </c>
    </row>
    <row r="1643" spans="1:6">
      <c r="A1643" s="110" t="s">
        <v>405</v>
      </c>
      <c r="B1643" s="110" t="s">
        <v>298</v>
      </c>
      <c r="C1643" s="110">
        <v>2.1589999999999998</v>
      </c>
      <c r="D1643" s="112">
        <v>42792</v>
      </c>
      <c r="E1643" s="111" t="s">
        <v>297</v>
      </c>
      <c r="F1643" s="110" t="s">
        <v>296</v>
      </c>
    </row>
    <row r="1644" spans="1:6">
      <c r="A1644" s="110" t="s">
        <v>404</v>
      </c>
      <c r="B1644" s="110" t="s">
        <v>298</v>
      </c>
      <c r="C1644" s="110">
        <v>2.12</v>
      </c>
      <c r="D1644" s="112">
        <v>42792</v>
      </c>
      <c r="E1644" s="111" t="s">
        <v>297</v>
      </c>
      <c r="F1644" s="110" t="s">
        <v>296</v>
      </c>
    </row>
    <row r="1645" spans="1:6">
      <c r="A1645" s="110" t="s">
        <v>403</v>
      </c>
      <c r="B1645" s="110" t="s">
        <v>298</v>
      </c>
      <c r="C1645" s="110">
        <v>2.2189999999999999</v>
      </c>
      <c r="D1645" s="112">
        <v>42792</v>
      </c>
      <c r="E1645" s="111" t="s">
        <v>297</v>
      </c>
      <c r="F1645" s="110" t="s">
        <v>296</v>
      </c>
    </row>
    <row r="1646" spans="1:6">
      <c r="A1646" s="110" t="s">
        <v>402</v>
      </c>
      <c r="B1646" s="110" t="s">
        <v>298</v>
      </c>
      <c r="C1646" s="110">
        <v>2.222</v>
      </c>
      <c r="D1646" s="112">
        <v>42792</v>
      </c>
      <c r="E1646" s="111" t="s">
        <v>297</v>
      </c>
      <c r="F1646" s="110" t="s">
        <v>296</v>
      </c>
    </row>
    <row r="1647" spans="1:6">
      <c r="A1647" s="110" t="s">
        <v>401</v>
      </c>
      <c r="B1647" s="110" t="s">
        <v>298</v>
      </c>
      <c r="C1647" s="110">
        <v>2.1890000000000001</v>
      </c>
      <c r="D1647" s="112">
        <v>42792</v>
      </c>
      <c r="E1647" s="111" t="s">
        <v>297</v>
      </c>
      <c r="F1647" s="110" t="s">
        <v>296</v>
      </c>
    </row>
    <row r="1648" spans="1:6">
      <c r="A1648" s="110" t="s">
        <v>400</v>
      </c>
      <c r="B1648" s="110" t="s">
        <v>298</v>
      </c>
      <c r="C1648" s="110">
        <v>2.222</v>
      </c>
      <c r="D1648" s="112">
        <v>42792</v>
      </c>
      <c r="E1648" s="111" t="s">
        <v>297</v>
      </c>
      <c r="F1648" s="110" t="s">
        <v>296</v>
      </c>
    </row>
    <row r="1649" spans="1:6">
      <c r="A1649" s="110" t="s">
        <v>399</v>
      </c>
      <c r="B1649" s="110" t="s">
        <v>298</v>
      </c>
      <c r="C1649" s="110">
        <v>2.161</v>
      </c>
      <c r="D1649" s="112">
        <v>42792</v>
      </c>
      <c r="E1649" s="111" t="s">
        <v>297</v>
      </c>
      <c r="F1649" s="110" t="s">
        <v>296</v>
      </c>
    </row>
    <row r="1650" spans="1:6">
      <c r="A1650" s="110" t="s">
        <v>398</v>
      </c>
      <c r="B1650" s="110" t="s">
        <v>298</v>
      </c>
      <c r="C1650" s="110">
        <v>2.262</v>
      </c>
      <c r="D1650" s="112">
        <v>42792</v>
      </c>
      <c r="E1650" s="111" t="s">
        <v>297</v>
      </c>
      <c r="F1650" s="110" t="s">
        <v>296</v>
      </c>
    </row>
    <row r="1651" spans="1:6">
      <c r="A1651" s="110" t="s">
        <v>397</v>
      </c>
      <c r="B1651" s="110" t="s">
        <v>298</v>
      </c>
      <c r="C1651" s="110">
        <v>2.1259999999999999</v>
      </c>
      <c r="D1651" s="112">
        <v>42792</v>
      </c>
      <c r="E1651" s="111" t="s">
        <v>297</v>
      </c>
      <c r="F1651" s="110" t="s">
        <v>296</v>
      </c>
    </row>
    <row r="1652" spans="1:6">
      <c r="A1652" s="110" t="s">
        <v>396</v>
      </c>
      <c r="B1652" s="110" t="s">
        <v>298</v>
      </c>
      <c r="C1652" s="110">
        <v>2.2480000000000002</v>
      </c>
      <c r="D1652" s="112">
        <v>42792</v>
      </c>
      <c r="E1652" s="111" t="s">
        <v>297</v>
      </c>
      <c r="F1652" s="110" t="s">
        <v>296</v>
      </c>
    </row>
    <row r="1653" spans="1:6">
      <c r="A1653" s="110" t="s">
        <v>395</v>
      </c>
      <c r="B1653" s="110" t="s">
        <v>298</v>
      </c>
      <c r="C1653" s="110">
        <v>2.2280000000000002</v>
      </c>
      <c r="D1653" s="112">
        <v>42792</v>
      </c>
      <c r="E1653" s="111" t="s">
        <v>297</v>
      </c>
      <c r="F1653" s="110" t="s">
        <v>296</v>
      </c>
    </row>
    <row r="1654" spans="1:6">
      <c r="A1654" s="110" t="s">
        <v>394</v>
      </c>
      <c r="B1654" s="110" t="s">
        <v>298</v>
      </c>
      <c r="C1654" s="110">
        <v>2.2909999999999999</v>
      </c>
      <c r="D1654" s="112">
        <v>42792</v>
      </c>
      <c r="E1654" s="111" t="s">
        <v>297</v>
      </c>
      <c r="F1654" s="110" t="s">
        <v>296</v>
      </c>
    </row>
    <row r="1655" spans="1:6">
      <c r="A1655" s="110" t="s">
        <v>393</v>
      </c>
      <c r="B1655" s="110" t="s">
        <v>298</v>
      </c>
      <c r="C1655" s="110">
        <v>2.2290000000000001</v>
      </c>
      <c r="D1655" s="112">
        <v>42792</v>
      </c>
      <c r="E1655" s="111" t="s">
        <v>297</v>
      </c>
      <c r="F1655" s="110" t="s">
        <v>296</v>
      </c>
    </row>
    <row r="1656" spans="1:6">
      <c r="A1656" s="110" t="s">
        <v>392</v>
      </c>
      <c r="B1656" s="110" t="s">
        <v>298</v>
      </c>
      <c r="C1656" s="110">
        <v>2.1549999999999998</v>
      </c>
      <c r="D1656" s="112">
        <v>42792</v>
      </c>
      <c r="E1656" s="111" t="s">
        <v>297</v>
      </c>
      <c r="F1656" s="110" t="s">
        <v>296</v>
      </c>
    </row>
    <row r="1657" spans="1:6">
      <c r="A1657" s="110" t="s">
        <v>391</v>
      </c>
      <c r="B1657" s="110" t="s">
        <v>298</v>
      </c>
      <c r="C1657" s="110">
        <v>2.1829999999999998</v>
      </c>
      <c r="D1657" s="112">
        <v>42792</v>
      </c>
      <c r="E1657" s="111" t="s">
        <v>297</v>
      </c>
      <c r="F1657" s="110" t="s">
        <v>296</v>
      </c>
    </row>
    <row r="1658" spans="1:6">
      <c r="A1658" s="110" t="s">
        <v>390</v>
      </c>
      <c r="B1658" s="110" t="s">
        <v>298</v>
      </c>
      <c r="C1658" s="110">
        <v>2.2050000000000001</v>
      </c>
      <c r="D1658" s="112">
        <v>42792</v>
      </c>
      <c r="E1658" s="111" t="s">
        <v>297</v>
      </c>
      <c r="F1658" s="110" t="s">
        <v>296</v>
      </c>
    </row>
    <row r="1659" spans="1:6">
      <c r="A1659" s="110" t="s">
        <v>389</v>
      </c>
      <c r="B1659" s="110" t="s">
        <v>298</v>
      </c>
      <c r="C1659" s="110">
        <v>2.2029999999999998</v>
      </c>
      <c r="D1659" s="112">
        <v>42792</v>
      </c>
      <c r="E1659" s="111" t="s">
        <v>297</v>
      </c>
      <c r="F1659" s="110" t="s">
        <v>296</v>
      </c>
    </row>
    <row r="1660" spans="1:6">
      <c r="A1660" s="110" t="s">
        <v>388</v>
      </c>
      <c r="B1660" s="110" t="s">
        <v>298</v>
      </c>
      <c r="C1660" s="110">
        <v>2.262</v>
      </c>
      <c r="D1660" s="112">
        <v>42792</v>
      </c>
      <c r="E1660" s="111" t="s">
        <v>297</v>
      </c>
      <c r="F1660" s="110" t="s">
        <v>296</v>
      </c>
    </row>
    <row r="1661" spans="1:6">
      <c r="A1661" s="110" t="s">
        <v>387</v>
      </c>
      <c r="B1661" s="110" t="s">
        <v>298</v>
      </c>
      <c r="C1661" s="110">
        <v>2.1970000000000001</v>
      </c>
      <c r="D1661" s="112">
        <v>42792</v>
      </c>
      <c r="E1661" s="111" t="s">
        <v>297</v>
      </c>
      <c r="F1661" s="110" t="s">
        <v>296</v>
      </c>
    </row>
    <row r="1662" spans="1:6">
      <c r="A1662" s="110" t="s">
        <v>386</v>
      </c>
      <c r="B1662" s="110" t="s">
        <v>298</v>
      </c>
      <c r="C1662" s="110">
        <v>2.2400000000000002</v>
      </c>
      <c r="D1662" s="112">
        <v>42792</v>
      </c>
      <c r="E1662" s="111" t="s">
        <v>297</v>
      </c>
      <c r="F1662" s="110" t="s">
        <v>296</v>
      </c>
    </row>
    <row r="1663" spans="1:6">
      <c r="A1663" s="110" t="s">
        <v>385</v>
      </c>
      <c r="B1663" s="110" t="s">
        <v>298</v>
      </c>
      <c r="C1663" s="110">
        <v>2.2069999999999999</v>
      </c>
      <c r="D1663" s="112">
        <v>42792</v>
      </c>
      <c r="E1663" s="111" t="s">
        <v>297</v>
      </c>
      <c r="F1663" s="110" t="s">
        <v>296</v>
      </c>
    </row>
    <row r="1664" spans="1:6">
      <c r="A1664" s="110" t="s">
        <v>384</v>
      </c>
      <c r="B1664" s="110" t="s">
        <v>298</v>
      </c>
      <c r="C1664" s="110">
        <v>2.2120000000000002</v>
      </c>
      <c r="D1664" s="112">
        <v>42792</v>
      </c>
      <c r="E1664" s="111" t="s">
        <v>297</v>
      </c>
      <c r="F1664" s="110" t="s">
        <v>296</v>
      </c>
    </row>
    <row r="1665" spans="1:6">
      <c r="A1665" s="110" t="s">
        <v>383</v>
      </c>
      <c r="B1665" s="110" t="s">
        <v>298</v>
      </c>
      <c r="C1665" s="110">
        <v>2.2690000000000001</v>
      </c>
      <c r="D1665" s="112">
        <v>42792</v>
      </c>
      <c r="E1665" s="111" t="s">
        <v>297</v>
      </c>
      <c r="F1665" s="110" t="s">
        <v>296</v>
      </c>
    </row>
    <row r="1666" spans="1:6">
      <c r="A1666" s="110" t="s">
        <v>382</v>
      </c>
      <c r="B1666" s="110" t="s">
        <v>298</v>
      </c>
      <c r="C1666" s="110">
        <v>2.2050000000000001</v>
      </c>
      <c r="D1666" s="112">
        <v>42792</v>
      </c>
      <c r="E1666" s="111" t="s">
        <v>297</v>
      </c>
      <c r="F1666" s="110" t="s">
        <v>296</v>
      </c>
    </row>
    <row r="1667" spans="1:6">
      <c r="A1667" s="110" t="s">
        <v>381</v>
      </c>
      <c r="B1667" s="110" t="s">
        <v>298</v>
      </c>
      <c r="C1667" s="110">
        <v>2.2200000000000002</v>
      </c>
      <c r="D1667" s="112">
        <v>42792</v>
      </c>
      <c r="E1667" s="111" t="s">
        <v>297</v>
      </c>
      <c r="F1667" s="110" t="s">
        <v>296</v>
      </c>
    </row>
    <row r="1668" spans="1:6">
      <c r="A1668" s="110" t="s">
        <v>380</v>
      </c>
      <c r="B1668" s="110" t="s">
        <v>298</v>
      </c>
      <c r="C1668" s="110">
        <v>2.2469999999999999</v>
      </c>
      <c r="D1668" s="112">
        <v>42792</v>
      </c>
      <c r="E1668" s="111" t="s">
        <v>297</v>
      </c>
      <c r="F1668" s="110" t="s">
        <v>296</v>
      </c>
    </row>
    <row r="1669" spans="1:6">
      <c r="A1669" s="110" t="s">
        <v>379</v>
      </c>
      <c r="B1669" s="110" t="s">
        <v>298</v>
      </c>
      <c r="C1669" s="110">
        <v>2.2320000000000002</v>
      </c>
      <c r="D1669" s="112">
        <v>42792</v>
      </c>
      <c r="E1669" s="111" t="s">
        <v>297</v>
      </c>
      <c r="F1669" s="110" t="s">
        <v>296</v>
      </c>
    </row>
    <row r="1670" spans="1:6">
      <c r="A1670" s="110" t="s">
        <v>378</v>
      </c>
      <c r="B1670" s="110" t="s">
        <v>298</v>
      </c>
      <c r="C1670" s="110">
        <v>2.1509999999999998</v>
      </c>
      <c r="D1670" s="112">
        <v>42792</v>
      </c>
      <c r="E1670" s="111" t="s">
        <v>297</v>
      </c>
      <c r="F1670" s="110" t="s">
        <v>296</v>
      </c>
    </row>
    <row r="1671" spans="1:6">
      <c r="A1671" s="110" t="s">
        <v>377</v>
      </c>
      <c r="B1671" s="110" t="s">
        <v>298</v>
      </c>
      <c r="C1671" s="110">
        <v>2.1949999999999998</v>
      </c>
      <c r="D1671" s="112">
        <v>42792</v>
      </c>
      <c r="E1671" s="111" t="s">
        <v>297</v>
      </c>
      <c r="F1671" s="110" t="s">
        <v>296</v>
      </c>
    </row>
    <row r="1672" spans="1:6">
      <c r="A1672" s="110" t="s">
        <v>376</v>
      </c>
      <c r="B1672" s="110" t="s">
        <v>298</v>
      </c>
      <c r="C1672" s="110">
        <v>2.2589999999999999</v>
      </c>
      <c r="D1672" s="112">
        <v>42792</v>
      </c>
      <c r="E1672" s="111" t="s">
        <v>297</v>
      </c>
      <c r="F1672" s="110" t="s">
        <v>296</v>
      </c>
    </row>
    <row r="1673" spans="1:6">
      <c r="A1673" s="110" t="s">
        <v>375</v>
      </c>
      <c r="B1673" s="110" t="s">
        <v>298</v>
      </c>
      <c r="C1673" s="110">
        <v>2.2160000000000002</v>
      </c>
      <c r="D1673" s="112">
        <v>42792</v>
      </c>
      <c r="E1673" s="111" t="s">
        <v>297</v>
      </c>
      <c r="F1673" s="110" t="s">
        <v>296</v>
      </c>
    </row>
    <row r="1674" spans="1:6">
      <c r="A1674" s="110" t="s">
        <v>374</v>
      </c>
      <c r="B1674" s="110" t="s">
        <v>298</v>
      </c>
      <c r="C1674" s="110">
        <v>2.2400000000000002</v>
      </c>
      <c r="D1674" s="112">
        <v>42792</v>
      </c>
      <c r="E1674" s="111" t="s">
        <v>297</v>
      </c>
      <c r="F1674" s="110" t="s">
        <v>296</v>
      </c>
    </row>
    <row r="1675" spans="1:6">
      <c r="A1675" s="110" t="s">
        <v>373</v>
      </c>
      <c r="B1675" s="110" t="s">
        <v>298</v>
      </c>
      <c r="C1675" s="110">
        <v>2.21</v>
      </c>
      <c r="D1675" s="112">
        <v>42792</v>
      </c>
      <c r="E1675" s="111" t="s">
        <v>297</v>
      </c>
      <c r="F1675" s="110" t="s">
        <v>296</v>
      </c>
    </row>
    <row r="1676" spans="1:6">
      <c r="A1676" s="110" t="s">
        <v>372</v>
      </c>
      <c r="B1676" s="110" t="s">
        <v>298</v>
      </c>
      <c r="C1676" s="110">
        <v>2.1890000000000001</v>
      </c>
      <c r="D1676" s="112">
        <v>42792</v>
      </c>
      <c r="E1676" s="111" t="s">
        <v>297</v>
      </c>
      <c r="F1676" s="110" t="s">
        <v>296</v>
      </c>
    </row>
    <row r="1677" spans="1:6">
      <c r="A1677" s="110" t="s">
        <v>371</v>
      </c>
      <c r="B1677" s="110" t="s">
        <v>298</v>
      </c>
      <c r="C1677" s="110">
        <v>2.2120000000000002</v>
      </c>
      <c r="D1677" s="112">
        <v>42792</v>
      </c>
      <c r="E1677" s="111" t="s">
        <v>297</v>
      </c>
      <c r="F1677" s="110" t="s">
        <v>296</v>
      </c>
    </row>
    <row r="1678" spans="1:6">
      <c r="A1678" s="110" t="s">
        <v>370</v>
      </c>
      <c r="B1678" s="110" t="s">
        <v>298</v>
      </c>
      <c r="C1678" s="110">
        <v>2.2480000000000002</v>
      </c>
      <c r="D1678" s="112">
        <v>42792</v>
      </c>
      <c r="E1678" s="111" t="s">
        <v>297</v>
      </c>
      <c r="F1678" s="110" t="s">
        <v>296</v>
      </c>
    </row>
    <row r="1679" spans="1:6">
      <c r="A1679" s="110" t="s">
        <v>369</v>
      </c>
      <c r="B1679" s="110" t="s">
        <v>298</v>
      </c>
      <c r="C1679" s="110">
        <v>2.206</v>
      </c>
      <c r="D1679" s="112">
        <v>42792</v>
      </c>
      <c r="E1679" s="111" t="s">
        <v>297</v>
      </c>
      <c r="F1679" s="110" t="s">
        <v>296</v>
      </c>
    </row>
    <row r="1680" spans="1:6">
      <c r="A1680" s="110" t="s">
        <v>368</v>
      </c>
      <c r="B1680" s="110" t="s">
        <v>298</v>
      </c>
      <c r="C1680" s="110">
        <v>2.2309999999999999</v>
      </c>
      <c r="D1680" s="112">
        <v>42792</v>
      </c>
      <c r="E1680" s="111" t="s">
        <v>297</v>
      </c>
      <c r="F1680" s="110" t="s">
        <v>296</v>
      </c>
    </row>
    <row r="1681" spans="1:6">
      <c r="A1681" s="110" t="s">
        <v>367</v>
      </c>
      <c r="B1681" s="110" t="s">
        <v>298</v>
      </c>
      <c r="C1681" s="110">
        <v>2.1909999999999998</v>
      </c>
      <c r="D1681" s="112">
        <v>42792</v>
      </c>
      <c r="E1681" s="111" t="s">
        <v>297</v>
      </c>
      <c r="F1681" s="110" t="s">
        <v>296</v>
      </c>
    </row>
    <row r="1682" spans="1:6">
      <c r="A1682" s="110" t="s">
        <v>366</v>
      </c>
      <c r="B1682" s="110" t="s">
        <v>298</v>
      </c>
      <c r="C1682" s="110">
        <v>2.2320000000000002</v>
      </c>
      <c r="D1682" s="112">
        <v>42792</v>
      </c>
      <c r="E1682" s="111" t="s">
        <v>297</v>
      </c>
      <c r="F1682" s="110" t="s">
        <v>296</v>
      </c>
    </row>
    <row r="1683" spans="1:6">
      <c r="A1683" s="110" t="s">
        <v>365</v>
      </c>
      <c r="B1683" s="110" t="s">
        <v>298</v>
      </c>
      <c r="C1683" s="110">
        <v>2.1629999999999998</v>
      </c>
      <c r="D1683" s="112">
        <v>42792</v>
      </c>
      <c r="E1683" s="111" t="s">
        <v>297</v>
      </c>
      <c r="F1683" s="110" t="s">
        <v>296</v>
      </c>
    </row>
    <row r="1684" spans="1:6">
      <c r="A1684" s="110" t="s">
        <v>364</v>
      </c>
      <c r="B1684" s="110" t="s">
        <v>298</v>
      </c>
      <c r="C1684" s="110">
        <v>2.2290000000000001</v>
      </c>
      <c r="D1684" s="112">
        <v>42792</v>
      </c>
      <c r="E1684" s="111" t="s">
        <v>297</v>
      </c>
      <c r="F1684" s="110" t="s">
        <v>296</v>
      </c>
    </row>
    <row r="1685" spans="1:6">
      <c r="A1685" s="110" t="s">
        <v>363</v>
      </c>
      <c r="B1685" s="110" t="s">
        <v>298</v>
      </c>
      <c r="C1685" s="110">
        <v>2.1989999999999998</v>
      </c>
      <c r="D1685" s="112">
        <v>42792</v>
      </c>
      <c r="E1685" s="111" t="s">
        <v>297</v>
      </c>
      <c r="F1685" s="110" t="s">
        <v>296</v>
      </c>
    </row>
    <row r="1686" spans="1:6">
      <c r="A1686" s="110" t="s">
        <v>362</v>
      </c>
      <c r="B1686" s="110" t="s">
        <v>298</v>
      </c>
      <c r="C1686" s="110">
        <v>2.2549999999999999</v>
      </c>
      <c r="D1686" s="112">
        <v>42792</v>
      </c>
      <c r="E1686" s="111" t="s">
        <v>297</v>
      </c>
      <c r="F1686" s="110" t="s">
        <v>296</v>
      </c>
    </row>
    <row r="1687" spans="1:6">
      <c r="A1687" s="110" t="s">
        <v>361</v>
      </c>
      <c r="B1687" s="110" t="s">
        <v>298</v>
      </c>
      <c r="C1687" s="110">
        <v>2.2450000000000001</v>
      </c>
      <c r="D1687" s="112">
        <v>42792</v>
      </c>
      <c r="E1687" s="111" t="s">
        <v>297</v>
      </c>
      <c r="F1687" s="110" t="s">
        <v>296</v>
      </c>
    </row>
    <row r="1688" spans="1:6">
      <c r="A1688" s="110" t="s">
        <v>360</v>
      </c>
      <c r="B1688" s="110" t="s">
        <v>298</v>
      </c>
      <c r="C1688" s="110">
        <v>2.16</v>
      </c>
      <c r="D1688" s="112">
        <v>42792</v>
      </c>
      <c r="E1688" s="111" t="s">
        <v>297</v>
      </c>
      <c r="F1688" s="110" t="s">
        <v>296</v>
      </c>
    </row>
    <row r="1689" spans="1:6">
      <c r="A1689" s="110" t="s">
        <v>359</v>
      </c>
      <c r="B1689" s="110" t="s">
        <v>298</v>
      </c>
      <c r="C1689" s="110">
        <v>2.19</v>
      </c>
      <c r="D1689" s="112">
        <v>42792</v>
      </c>
      <c r="E1689" s="111" t="s">
        <v>297</v>
      </c>
      <c r="F1689" s="110" t="s">
        <v>296</v>
      </c>
    </row>
    <row r="1690" spans="1:6">
      <c r="A1690" s="110" t="s">
        <v>358</v>
      </c>
      <c r="B1690" s="110" t="s">
        <v>298</v>
      </c>
      <c r="C1690" s="110">
        <v>2.194</v>
      </c>
      <c r="D1690" s="112">
        <v>42792</v>
      </c>
      <c r="E1690" s="111" t="s">
        <v>297</v>
      </c>
      <c r="F1690" s="110" t="s">
        <v>296</v>
      </c>
    </row>
    <row r="1691" spans="1:6">
      <c r="A1691" s="110" t="s">
        <v>357</v>
      </c>
      <c r="B1691" s="110" t="s">
        <v>298</v>
      </c>
      <c r="C1691" s="110">
        <v>2.2410000000000001</v>
      </c>
      <c r="D1691" s="112">
        <v>42792</v>
      </c>
      <c r="E1691" s="111" t="s">
        <v>297</v>
      </c>
      <c r="F1691" s="110" t="s">
        <v>296</v>
      </c>
    </row>
    <row r="1692" spans="1:6">
      <c r="A1692" s="110" t="s">
        <v>356</v>
      </c>
      <c r="B1692" s="110" t="s">
        <v>298</v>
      </c>
      <c r="C1692" s="110">
        <v>2.1989999999999998</v>
      </c>
      <c r="D1692" s="112">
        <v>42792</v>
      </c>
      <c r="E1692" s="111" t="s">
        <v>297</v>
      </c>
      <c r="F1692" s="110" t="s">
        <v>296</v>
      </c>
    </row>
    <row r="1693" spans="1:6">
      <c r="A1693" s="110" t="s">
        <v>355</v>
      </c>
      <c r="B1693" s="110" t="s">
        <v>298</v>
      </c>
      <c r="C1693" s="110">
        <v>2.17</v>
      </c>
      <c r="D1693" s="112">
        <v>42792</v>
      </c>
      <c r="E1693" s="111" t="s">
        <v>297</v>
      </c>
      <c r="F1693" s="110" t="s">
        <v>296</v>
      </c>
    </row>
    <row r="1694" spans="1:6">
      <c r="A1694" s="110" t="s">
        <v>354</v>
      </c>
      <c r="B1694" s="110" t="s">
        <v>298</v>
      </c>
      <c r="C1694" s="110">
        <v>2.2549999999999999</v>
      </c>
      <c r="D1694" s="112">
        <v>42792</v>
      </c>
      <c r="E1694" s="111" t="s">
        <v>297</v>
      </c>
      <c r="F1694" s="110" t="s">
        <v>296</v>
      </c>
    </row>
    <row r="1695" spans="1:6">
      <c r="A1695" s="110" t="s">
        <v>353</v>
      </c>
      <c r="B1695" s="110" t="s">
        <v>298</v>
      </c>
      <c r="C1695" s="110">
        <v>2.177</v>
      </c>
      <c r="D1695" s="112">
        <v>42792</v>
      </c>
      <c r="E1695" s="111" t="s">
        <v>297</v>
      </c>
      <c r="F1695" s="110" t="s">
        <v>296</v>
      </c>
    </row>
    <row r="1696" spans="1:6">
      <c r="A1696" s="110" t="s">
        <v>352</v>
      </c>
      <c r="B1696" s="110" t="s">
        <v>298</v>
      </c>
      <c r="C1696" s="110">
        <v>2.1579999999999999</v>
      </c>
      <c r="D1696" s="112">
        <v>42792</v>
      </c>
      <c r="E1696" s="111" t="s">
        <v>297</v>
      </c>
      <c r="F1696" s="110" t="s">
        <v>296</v>
      </c>
    </row>
    <row r="1697" spans="1:6">
      <c r="A1697" s="110" t="s">
        <v>351</v>
      </c>
      <c r="B1697" s="110" t="s">
        <v>298</v>
      </c>
      <c r="C1697" s="110">
        <v>2.1869999999999998</v>
      </c>
      <c r="D1697" s="112">
        <v>42792</v>
      </c>
      <c r="E1697" s="111" t="s">
        <v>297</v>
      </c>
      <c r="F1697" s="110" t="s">
        <v>296</v>
      </c>
    </row>
    <row r="1698" spans="1:6">
      <c r="A1698" s="110" t="s">
        <v>350</v>
      </c>
      <c r="B1698" s="110" t="s">
        <v>298</v>
      </c>
      <c r="C1698" s="110">
        <v>2.2549999999999999</v>
      </c>
      <c r="D1698" s="112">
        <v>42792</v>
      </c>
      <c r="E1698" s="111" t="s">
        <v>297</v>
      </c>
      <c r="F1698" s="110" t="s">
        <v>296</v>
      </c>
    </row>
    <row r="1699" spans="1:6">
      <c r="A1699" s="110" t="s">
        <v>349</v>
      </c>
      <c r="B1699" s="110" t="s">
        <v>298</v>
      </c>
      <c r="C1699" s="110">
        <v>2.266</v>
      </c>
      <c r="D1699" s="112">
        <v>42792</v>
      </c>
      <c r="E1699" s="111" t="s">
        <v>297</v>
      </c>
      <c r="F1699" s="110" t="s">
        <v>296</v>
      </c>
    </row>
    <row r="1700" spans="1:6">
      <c r="A1700" s="110" t="s">
        <v>348</v>
      </c>
      <c r="B1700" s="110" t="s">
        <v>298</v>
      </c>
      <c r="C1700" s="110">
        <v>2.1579999999999999</v>
      </c>
      <c r="D1700" s="112">
        <v>42792</v>
      </c>
      <c r="E1700" s="111" t="s">
        <v>297</v>
      </c>
      <c r="F1700" s="110" t="s">
        <v>296</v>
      </c>
    </row>
    <row r="1701" spans="1:6">
      <c r="A1701" s="110" t="s">
        <v>347</v>
      </c>
      <c r="B1701" s="110" t="s">
        <v>298</v>
      </c>
      <c r="C1701" s="110">
        <v>2.2389999999999999</v>
      </c>
      <c r="D1701" s="112">
        <v>42792</v>
      </c>
      <c r="E1701" s="111" t="s">
        <v>297</v>
      </c>
      <c r="F1701" s="110" t="s">
        <v>296</v>
      </c>
    </row>
    <row r="1702" spans="1:6">
      <c r="A1702" s="110" t="s">
        <v>346</v>
      </c>
      <c r="B1702" s="110" t="s">
        <v>298</v>
      </c>
      <c r="C1702" s="110">
        <v>2.2050000000000001</v>
      </c>
      <c r="D1702" s="112">
        <v>42792</v>
      </c>
      <c r="E1702" s="111" t="s">
        <v>297</v>
      </c>
      <c r="F1702" s="110" t="s">
        <v>296</v>
      </c>
    </row>
    <row r="1703" spans="1:6">
      <c r="A1703" s="110" t="s">
        <v>345</v>
      </c>
      <c r="B1703" s="110" t="s">
        <v>298</v>
      </c>
      <c r="C1703" s="110">
        <v>2.2000000000000002</v>
      </c>
      <c r="D1703" s="112">
        <v>42792</v>
      </c>
      <c r="E1703" s="111" t="s">
        <v>297</v>
      </c>
      <c r="F1703" s="110" t="s">
        <v>296</v>
      </c>
    </row>
    <row r="1704" spans="1:6">
      <c r="A1704" s="110" t="s">
        <v>344</v>
      </c>
      <c r="B1704" s="110" t="s">
        <v>298</v>
      </c>
      <c r="C1704" s="110">
        <v>2.2170000000000001</v>
      </c>
      <c r="D1704" s="112">
        <v>42792</v>
      </c>
      <c r="E1704" s="111" t="s">
        <v>297</v>
      </c>
      <c r="F1704" s="110" t="s">
        <v>296</v>
      </c>
    </row>
    <row r="1705" spans="1:6">
      <c r="A1705" s="110" t="s">
        <v>343</v>
      </c>
      <c r="B1705" s="110" t="s">
        <v>298</v>
      </c>
      <c r="C1705" s="110">
        <v>2.2360000000000002</v>
      </c>
      <c r="D1705" s="112">
        <v>42792</v>
      </c>
      <c r="E1705" s="111" t="s">
        <v>297</v>
      </c>
      <c r="F1705" s="110" t="s">
        <v>296</v>
      </c>
    </row>
    <row r="1706" spans="1:6">
      <c r="A1706" s="110" t="s">
        <v>342</v>
      </c>
      <c r="B1706" s="110" t="s">
        <v>298</v>
      </c>
      <c r="C1706" s="110">
        <v>2.2130000000000001</v>
      </c>
      <c r="D1706" s="112">
        <v>42792</v>
      </c>
      <c r="E1706" s="111" t="s">
        <v>297</v>
      </c>
      <c r="F1706" s="110" t="s">
        <v>296</v>
      </c>
    </row>
    <row r="1707" spans="1:6">
      <c r="A1707" s="110" t="s">
        <v>341</v>
      </c>
      <c r="B1707" s="110" t="s">
        <v>298</v>
      </c>
      <c r="C1707" s="110">
        <v>2.1850000000000001</v>
      </c>
      <c r="D1707" s="112">
        <v>42792</v>
      </c>
      <c r="E1707" s="111" t="s">
        <v>297</v>
      </c>
      <c r="F1707" s="110" t="s">
        <v>296</v>
      </c>
    </row>
    <row r="1708" spans="1:6">
      <c r="A1708" s="110" t="s">
        <v>340</v>
      </c>
      <c r="B1708" s="110" t="s">
        <v>298</v>
      </c>
      <c r="C1708" s="110">
        <v>2.2040000000000002</v>
      </c>
      <c r="D1708" s="112">
        <v>42792</v>
      </c>
      <c r="E1708" s="111" t="s">
        <v>297</v>
      </c>
      <c r="F1708" s="110" t="s">
        <v>296</v>
      </c>
    </row>
    <row r="1709" spans="1:6">
      <c r="A1709" s="110" t="s">
        <v>339</v>
      </c>
      <c r="B1709" s="110" t="s">
        <v>298</v>
      </c>
      <c r="C1709" s="110">
        <v>2.1579999999999999</v>
      </c>
      <c r="D1709" s="112">
        <v>42792</v>
      </c>
      <c r="E1709" s="111" t="s">
        <v>297</v>
      </c>
      <c r="F1709" s="110" t="s">
        <v>296</v>
      </c>
    </row>
    <row r="1710" spans="1:6">
      <c r="A1710" s="110" t="s">
        <v>338</v>
      </c>
      <c r="B1710" s="110" t="s">
        <v>298</v>
      </c>
      <c r="C1710" s="110">
        <v>2.17</v>
      </c>
      <c r="D1710" s="112">
        <v>42792</v>
      </c>
      <c r="E1710" s="111" t="s">
        <v>297</v>
      </c>
      <c r="F1710" s="110" t="s">
        <v>296</v>
      </c>
    </row>
    <row r="1711" spans="1:6">
      <c r="A1711" s="110" t="s">
        <v>337</v>
      </c>
      <c r="B1711" s="110" t="s">
        <v>298</v>
      </c>
      <c r="C1711" s="110">
        <v>2.25</v>
      </c>
      <c r="D1711" s="112">
        <v>42792</v>
      </c>
      <c r="E1711" s="111" t="s">
        <v>297</v>
      </c>
      <c r="F1711" s="110" t="s">
        <v>296</v>
      </c>
    </row>
    <row r="1712" spans="1:6">
      <c r="A1712" s="110" t="s">
        <v>336</v>
      </c>
      <c r="B1712" s="110" t="s">
        <v>298</v>
      </c>
      <c r="C1712" s="110">
        <v>2.1930000000000001</v>
      </c>
      <c r="D1712" s="112">
        <v>42792</v>
      </c>
      <c r="E1712" s="111" t="s">
        <v>297</v>
      </c>
      <c r="F1712" s="110" t="s">
        <v>296</v>
      </c>
    </row>
    <row r="1713" spans="1:6">
      <c r="A1713" s="110" t="s">
        <v>335</v>
      </c>
      <c r="B1713" s="110" t="s">
        <v>298</v>
      </c>
      <c r="C1713" s="110">
        <v>2.1960000000000002</v>
      </c>
      <c r="D1713" s="112">
        <v>42792</v>
      </c>
      <c r="E1713" s="111" t="s">
        <v>297</v>
      </c>
      <c r="F1713" s="110" t="s">
        <v>296</v>
      </c>
    </row>
    <row r="1714" spans="1:6">
      <c r="A1714" s="110" t="s">
        <v>334</v>
      </c>
      <c r="B1714" s="110" t="s">
        <v>298</v>
      </c>
      <c r="C1714" s="110">
        <v>2.2469999999999999</v>
      </c>
      <c r="D1714" s="112">
        <v>42792</v>
      </c>
      <c r="E1714" s="111" t="s">
        <v>297</v>
      </c>
      <c r="F1714" s="110" t="s">
        <v>296</v>
      </c>
    </row>
    <row r="1715" spans="1:6">
      <c r="A1715" s="110" t="s">
        <v>333</v>
      </c>
      <c r="B1715" s="110" t="s">
        <v>298</v>
      </c>
      <c r="C1715" s="110">
        <v>2.2389999999999999</v>
      </c>
      <c r="D1715" s="112">
        <v>42792</v>
      </c>
      <c r="E1715" s="111" t="s">
        <v>297</v>
      </c>
      <c r="F1715" s="110" t="s">
        <v>296</v>
      </c>
    </row>
    <row r="1716" spans="1:6">
      <c r="A1716" s="110" t="s">
        <v>332</v>
      </c>
      <c r="B1716" s="110" t="s">
        <v>298</v>
      </c>
      <c r="C1716" s="110">
        <v>2.21</v>
      </c>
      <c r="D1716" s="112">
        <v>42792</v>
      </c>
      <c r="E1716" s="111" t="s">
        <v>297</v>
      </c>
      <c r="F1716" s="110" t="s">
        <v>296</v>
      </c>
    </row>
    <row r="1717" spans="1:6">
      <c r="A1717" s="110" t="s">
        <v>331</v>
      </c>
      <c r="B1717" s="110" t="s">
        <v>298</v>
      </c>
      <c r="C1717" s="110">
        <v>2.2309999999999999</v>
      </c>
      <c r="D1717" s="112">
        <v>42792</v>
      </c>
      <c r="E1717" s="111" t="s">
        <v>297</v>
      </c>
      <c r="F1717" s="110" t="s">
        <v>296</v>
      </c>
    </row>
    <row r="1718" spans="1:6">
      <c r="A1718" s="110" t="s">
        <v>330</v>
      </c>
      <c r="B1718" s="110" t="s">
        <v>298</v>
      </c>
      <c r="C1718" s="110">
        <v>2.2210000000000001</v>
      </c>
      <c r="D1718" s="112">
        <v>42792</v>
      </c>
      <c r="E1718" s="111" t="s">
        <v>297</v>
      </c>
      <c r="F1718" s="110" t="s">
        <v>296</v>
      </c>
    </row>
    <row r="1719" spans="1:6">
      <c r="A1719" s="110" t="s">
        <v>329</v>
      </c>
      <c r="B1719" s="110" t="s">
        <v>298</v>
      </c>
      <c r="C1719" s="110">
        <v>2.2109999999999999</v>
      </c>
      <c r="D1719" s="112">
        <v>42792</v>
      </c>
      <c r="E1719" s="111" t="s">
        <v>297</v>
      </c>
      <c r="F1719" s="110" t="s">
        <v>296</v>
      </c>
    </row>
    <row r="1720" spans="1:6">
      <c r="A1720" s="110" t="s">
        <v>328</v>
      </c>
      <c r="B1720" s="110" t="s">
        <v>298</v>
      </c>
      <c r="C1720" s="110">
        <v>2.226</v>
      </c>
      <c r="D1720" s="112">
        <v>42792</v>
      </c>
      <c r="E1720" s="111" t="s">
        <v>297</v>
      </c>
      <c r="F1720" s="110" t="s">
        <v>296</v>
      </c>
    </row>
    <row r="1721" spans="1:6">
      <c r="A1721" s="110" t="s">
        <v>327</v>
      </c>
      <c r="B1721" s="110" t="s">
        <v>298</v>
      </c>
      <c r="C1721" s="110">
        <v>2.1819999999999999</v>
      </c>
      <c r="D1721" s="112">
        <v>42792</v>
      </c>
      <c r="E1721" s="111" t="s">
        <v>297</v>
      </c>
      <c r="F1721" s="110" t="s">
        <v>296</v>
      </c>
    </row>
    <row r="1722" spans="1:6">
      <c r="A1722" s="110" t="s">
        <v>326</v>
      </c>
      <c r="B1722" s="110" t="s">
        <v>298</v>
      </c>
      <c r="C1722" s="110">
        <v>2.2309999999999999</v>
      </c>
      <c r="D1722" s="112">
        <v>42792</v>
      </c>
      <c r="E1722" s="111" t="s">
        <v>297</v>
      </c>
      <c r="F1722" s="110" t="s">
        <v>296</v>
      </c>
    </row>
    <row r="1723" spans="1:6">
      <c r="A1723" s="110" t="s">
        <v>325</v>
      </c>
      <c r="B1723" s="110" t="s">
        <v>298</v>
      </c>
      <c r="C1723" s="110">
        <v>2.2210000000000001</v>
      </c>
      <c r="D1723" s="112">
        <v>42792</v>
      </c>
      <c r="E1723" s="111" t="s">
        <v>297</v>
      </c>
      <c r="F1723" s="110" t="s">
        <v>296</v>
      </c>
    </row>
    <row r="1724" spans="1:6">
      <c r="A1724" s="110" t="s">
        <v>324</v>
      </c>
      <c r="B1724" s="110" t="s">
        <v>298</v>
      </c>
      <c r="C1724" s="110">
        <v>2.2130000000000001</v>
      </c>
      <c r="D1724" s="112">
        <v>42792</v>
      </c>
      <c r="E1724" s="111" t="s">
        <v>297</v>
      </c>
      <c r="F1724" s="110" t="s">
        <v>296</v>
      </c>
    </row>
    <row r="1725" spans="1:6">
      <c r="A1725" s="110" t="s">
        <v>323</v>
      </c>
      <c r="B1725" s="110" t="s">
        <v>298</v>
      </c>
      <c r="C1725" s="110">
        <v>2.194</v>
      </c>
      <c r="D1725" s="112">
        <v>42792</v>
      </c>
      <c r="E1725" s="111" t="s">
        <v>297</v>
      </c>
      <c r="F1725" s="110" t="s">
        <v>296</v>
      </c>
    </row>
    <row r="1726" spans="1:6">
      <c r="A1726" s="110" t="s">
        <v>322</v>
      </c>
      <c r="B1726" s="110" t="s">
        <v>298</v>
      </c>
      <c r="C1726" s="110">
        <v>2.1749999999999998</v>
      </c>
      <c r="D1726" s="112">
        <v>42792</v>
      </c>
      <c r="E1726" s="111" t="s">
        <v>297</v>
      </c>
      <c r="F1726" s="110" t="s">
        <v>296</v>
      </c>
    </row>
    <row r="1727" spans="1:6">
      <c r="A1727" s="110" t="s">
        <v>321</v>
      </c>
      <c r="B1727" s="110" t="s">
        <v>298</v>
      </c>
      <c r="C1727" s="110">
        <v>2.1680000000000001</v>
      </c>
      <c r="D1727" s="112">
        <v>42792</v>
      </c>
      <c r="E1727" s="111" t="s">
        <v>297</v>
      </c>
      <c r="F1727" s="110" t="s">
        <v>296</v>
      </c>
    </row>
    <row r="1728" spans="1:6">
      <c r="A1728" s="110" t="s">
        <v>320</v>
      </c>
      <c r="B1728" s="110" t="s">
        <v>298</v>
      </c>
      <c r="C1728" s="110">
        <v>2.16</v>
      </c>
      <c r="D1728" s="112">
        <v>42792</v>
      </c>
      <c r="E1728" s="111" t="s">
        <v>297</v>
      </c>
      <c r="F1728" s="110" t="s">
        <v>296</v>
      </c>
    </row>
    <row r="1729" spans="1:6">
      <c r="A1729" s="110" t="s">
        <v>319</v>
      </c>
      <c r="B1729" s="110" t="s">
        <v>298</v>
      </c>
      <c r="C1729" s="110">
        <v>2.2170000000000001</v>
      </c>
      <c r="D1729" s="112">
        <v>42792</v>
      </c>
      <c r="E1729" s="111" t="s">
        <v>297</v>
      </c>
      <c r="F1729" s="110" t="s">
        <v>296</v>
      </c>
    </row>
    <row r="1730" spans="1:6">
      <c r="A1730" s="110" t="s">
        <v>318</v>
      </c>
      <c r="B1730" s="110" t="s">
        <v>298</v>
      </c>
      <c r="C1730" s="110">
        <v>2.1680000000000001</v>
      </c>
      <c r="D1730" s="112">
        <v>42792</v>
      </c>
      <c r="E1730" s="111" t="s">
        <v>297</v>
      </c>
      <c r="F1730" s="110" t="s">
        <v>296</v>
      </c>
    </row>
    <row r="1731" spans="1:6">
      <c r="A1731" s="110" t="s">
        <v>317</v>
      </c>
      <c r="B1731" s="110" t="s">
        <v>298</v>
      </c>
      <c r="C1731" s="110">
        <v>2.1880000000000002</v>
      </c>
      <c r="D1731" s="112">
        <v>42792</v>
      </c>
      <c r="E1731" s="111" t="s">
        <v>297</v>
      </c>
      <c r="F1731" s="110" t="s">
        <v>296</v>
      </c>
    </row>
    <row r="1732" spans="1:6">
      <c r="A1732" s="110" t="s">
        <v>316</v>
      </c>
      <c r="B1732" s="110" t="s">
        <v>298</v>
      </c>
      <c r="C1732" s="110">
        <v>2.214</v>
      </c>
      <c r="D1732" s="112">
        <v>42792</v>
      </c>
      <c r="E1732" s="111" t="s">
        <v>297</v>
      </c>
      <c r="F1732" s="110" t="s">
        <v>296</v>
      </c>
    </row>
    <row r="1733" spans="1:6">
      <c r="A1733" s="110" t="s">
        <v>315</v>
      </c>
      <c r="B1733" s="110" t="s">
        <v>298</v>
      </c>
      <c r="C1733" s="110">
        <v>2.173</v>
      </c>
      <c r="D1733" s="112">
        <v>42792</v>
      </c>
      <c r="E1733" s="111" t="s">
        <v>297</v>
      </c>
      <c r="F1733" s="110" t="s">
        <v>296</v>
      </c>
    </row>
    <row r="1734" spans="1:6">
      <c r="A1734" s="110" t="s">
        <v>314</v>
      </c>
      <c r="B1734" s="110" t="s">
        <v>298</v>
      </c>
      <c r="C1734" s="110">
        <v>2.1419999999999999</v>
      </c>
      <c r="D1734" s="112">
        <v>42792</v>
      </c>
      <c r="E1734" s="111" t="s">
        <v>297</v>
      </c>
      <c r="F1734" s="110" t="s">
        <v>296</v>
      </c>
    </row>
    <row r="1735" spans="1:6">
      <c r="A1735" s="110" t="s">
        <v>313</v>
      </c>
      <c r="B1735" s="110" t="s">
        <v>298</v>
      </c>
      <c r="C1735" s="110">
        <v>2.1659999999999999</v>
      </c>
      <c r="D1735" s="112">
        <v>42792</v>
      </c>
      <c r="E1735" s="111" t="s">
        <v>297</v>
      </c>
      <c r="F1735" s="110" t="s">
        <v>296</v>
      </c>
    </row>
    <row r="1736" spans="1:6">
      <c r="A1736" s="110" t="s">
        <v>312</v>
      </c>
      <c r="B1736" s="110" t="s">
        <v>298</v>
      </c>
      <c r="C1736" s="110">
        <v>2.222</v>
      </c>
      <c r="D1736" s="112">
        <v>42792</v>
      </c>
      <c r="E1736" s="111" t="s">
        <v>297</v>
      </c>
      <c r="F1736" s="110" t="s">
        <v>296</v>
      </c>
    </row>
    <row r="1737" spans="1:6">
      <c r="A1737" s="110" t="s">
        <v>311</v>
      </c>
      <c r="B1737" s="110" t="s">
        <v>298</v>
      </c>
      <c r="C1737" s="110">
        <v>2.2330000000000001</v>
      </c>
      <c r="D1737" s="112">
        <v>42792</v>
      </c>
      <c r="E1737" s="111" t="s">
        <v>297</v>
      </c>
      <c r="F1737" s="110" t="s">
        <v>296</v>
      </c>
    </row>
    <row r="1738" spans="1:6">
      <c r="A1738" s="110" t="s">
        <v>310</v>
      </c>
      <c r="B1738" s="110" t="s">
        <v>298</v>
      </c>
      <c r="C1738" s="110">
        <v>2.1880000000000002</v>
      </c>
      <c r="D1738" s="112">
        <v>42792</v>
      </c>
      <c r="E1738" s="111" t="s">
        <v>297</v>
      </c>
      <c r="F1738" s="110" t="s">
        <v>296</v>
      </c>
    </row>
    <row r="1739" spans="1:6">
      <c r="A1739" s="110" t="s">
        <v>309</v>
      </c>
      <c r="B1739" s="110" t="s">
        <v>298</v>
      </c>
      <c r="C1739" s="110">
        <v>2.2160000000000002</v>
      </c>
      <c r="D1739" s="112">
        <v>42792</v>
      </c>
      <c r="E1739" s="111" t="s">
        <v>297</v>
      </c>
      <c r="F1739" s="110" t="s">
        <v>296</v>
      </c>
    </row>
    <row r="1740" spans="1:6">
      <c r="A1740" s="110" t="s">
        <v>308</v>
      </c>
      <c r="B1740" s="110" t="s">
        <v>298</v>
      </c>
      <c r="C1740" s="110">
        <v>2.2410000000000001</v>
      </c>
      <c r="D1740" s="112">
        <v>42792</v>
      </c>
      <c r="E1740" s="111" t="s">
        <v>297</v>
      </c>
      <c r="F1740" s="110" t="s">
        <v>296</v>
      </c>
    </row>
    <row r="1741" spans="1:6">
      <c r="A1741" s="110" t="s">
        <v>307</v>
      </c>
      <c r="B1741" s="110" t="s">
        <v>298</v>
      </c>
      <c r="C1741" s="110">
        <v>2.2149999999999999</v>
      </c>
      <c r="D1741" s="112">
        <v>42792</v>
      </c>
      <c r="E1741" s="111" t="s">
        <v>297</v>
      </c>
      <c r="F1741" s="110" t="s">
        <v>296</v>
      </c>
    </row>
    <row r="1742" spans="1:6">
      <c r="A1742" s="110" t="s">
        <v>306</v>
      </c>
      <c r="B1742" s="110" t="s">
        <v>298</v>
      </c>
      <c r="C1742" s="110">
        <v>2.218</v>
      </c>
      <c r="D1742" s="112">
        <v>42792</v>
      </c>
      <c r="E1742" s="111" t="s">
        <v>297</v>
      </c>
      <c r="F1742" s="110" t="s">
        <v>296</v>
      </c>
    </row>
    <row r="1743" spans="1:6">
      <c r="A1743" s="110" t="s">
        <v>305</v>
      </c>
      <c r="B1743" s="110" t="s">
        <v>298</v>
      </c>
      <c r="C1743" s="110">
        <v>2.1840000000000002</v>
      </c>
      <c r="D1743" s="112">
        <v>42792</v>
      </c>
      <c r="E1743" s="111" t="s">
        <v>297</v>
      </c>
      <c r="F1743" s="110" t="s">
        <v>296</v>
      </c>
    </row>
    <row r="1744" spans="1:6">
      <c r="A1744" s="110" t="s">
        <v>304</v>
      </c>
      <c r="B1744" s="110" t="s">
        <v>298</v>
      </c>
      <c r="C1744" s="110">
        <v>2.15</v>
      </c>
      <c r="D1744" s="112">
        <v>42792</v>
      </c>
      <c r="E1744" s="111" t="s">
        <v>297</v>
      </c>
      <c r="F1744" s="110" t="s">
        <v>296</v>
      </c>
    </row>
    <row r="1745" spans="1:6">
      <c r="A1745" s="110" t="s">
        <v>303</v>
      </c>
      <c r="B1745" s="110" t="s">
        <v>298</v>
      </c>
      <c r="C1745" s="110">
        <v>2.2000000000000002</v>
      </c>
      <c r="D1745" s="112">
        <v>42792</v>
      </c>
      <c r="E1745" s="111" t="s">
        <v>297</v>
      </c>
      <c r="F1745" s="110" t="s">
        <v>296</v>
      </c>
    </row>
    <row r="1746" spans="1:6">
      <c r="A1746" s="110" t="s">
        <v>302</v>
      </c>
      <c r="B1746" s="110" t="s">
        <v>298</v>
      </c>
      <c r="C1746" s="110">
        <v>2.1909999999999998</v>
      </c>
      <c r="D1746" s="112">
        <v>42792</v>
      </c>
      <c r="E1746" s="111" t="s">
        <v>297</v>
      </c>
      <c r="F1746" s="110" t="s">
        <v>296</v>
      </c>
    </row>
    <row r="1747" spans="1:6">
      <c r="A1747" s="110" t="s">
        <v>301</v>
      </c>
      <c r="B1747" s="110" t="s">
        <v>298</v>
      </c>
      <c r="C1747" s="110">
        <v>2.1589999999999998</v>
      </c>
      <c r="D1747" s="112">
        <v>42792</v>
      </c>
      <c r="E1747" s="111" t="s">
        <v>297</v>
      </c>
      <c r="F1747" s="110" t="s">
        <v>296</v>
      </c>
    </row>
    <row r="1748" spans="1:6">
      <c r="A1748" s="110" t="s">
        <v>300</v>
      </c>
      <c r="B1748" s="110" t="s">
        <v>298</v>
      </c>
      <c r="C1748" s="110">
        <v>2.2269999999999999</v>
      </c>
      <c r="D1748" s="112">
        <v>42792</v>
      </c>
      <c r="E1748" s="111" t="s">
        <v>297</v>
      </c>
      <c r="F1748" s="110" t="s">
        <v>296</v>
      </c>
    </row>
    <row r="1749" spans="1:6">
      <c r="A1749" s="110" t="s">
        <v>299</v>
      </c>
      <c r="B1749" s="110" t="s">
        <v>298</v>
      </c>
      <c r="C1749" s="110">
        <v>2.3010000000000002</v>
      </c>
      <c r="D1749" s="112">
        <v>42792</v>
      </c>
      <c r="E1749" s="111" t="s">
        <v>297</v>
      </c>
      <c r="F1749" s="110" t="s">
        <v>296</v>
      </c>
    </row>
  </sheetData>
  <mergeCells count="2">
    <mergeCell ref="A1:H3"/>
    <mergeCell ref="M1:T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2" t="s">
        <v>2159</v>
      </c>
      <c r="B1" s="192" t="s">
        <v>2160</v>
      </c>
      <c r="C1" s="192" t="s">
        <v>2161</v>
      </c>
      <c r="D1" s="192" t="s">
        <v>2162</v>
      </c>
      <c r="E1" s="192" t="s">
        <v>2515</v>
      </c>
      <c r="F1" s="192" t="s">
        <v>31</v>
      </c>
      <c r="G1" s="192" t="s">
        <v>1147</v>
      </c>
      <c r="H1" s="192" t="s">
        <v>298</v>
      </c>
      <c r="I1" s="192" t="s">
        <v>2165</v>
      </c>
      <c r="J1" s="192" t="s">
        <v>2166</v>
      </c>
      <c r="K1" s="192" t="s">
        <v>2516</v>
      </c>
      <c r="M1" s="247" t="s">
        <v>3494</v>
      </c>
      <c r="N1" s="247" t="s">
        <v>3494</v>
      </c>
      <c r="P1" s="247" t="s">
        <v>3494</v>
      </c>
    </row>
    <row r="2" spans="1:18">
      <c r="A2" s="121">
        <v>1</v>
      </c>
      <c r="B2" s="184" t="s">
        <v>2171</v>
      </c>
      <c r="C2" s="184" t="s">
        <v>2172</v>
      </c>
      <c r="D2" s="122" t="s">
        <v>2173</v>
      </c>
      <c r="E2" s="124">
        <v>42938</v>
      </c>
      <c r="F2" s="124">
        <v>43007</v>
      </c>
      <c r="G2" s="123">
        <v>107</v>
      </c>
      <c r="H2" s="123">
        <v>811</v>
      </c>
      <c r="I2" s="123">
        <v>377</v>
      </c>
      <c r="J2" s="123">
        <v>204</v>
      </c>
      <c r="K2" s="123">
        <f>IFERROR(F2-E2,"")</f>
        <v>69</v>
      </c>
      <c r="M2" t="b">
        <f>COUNTIF($G$2:$G$841, G2)&gt;1</f>
        <v>1</v>
      </c>
      <c r="P2" t="b">
        <f>COUNTIF($G$2:$G$841, J2)&gt;1</f>
        <v>0</v>
      </c>
      <c r="Q2" s="165" t="s">
        <v>3497</v>
      </c>
    </row>
    <row r="3" spans="1:18">
      <c r="A3" s="121">
        <v>2</v>
      </c>
      <c r="B3" s="184" t="s">
        <v>2171</v>
      </c>
      <c r="C3" s="184" t="s">
        <v>2178</v>
      </c>
      <c r="D3" s="122" t="s">
        <v>2173</v>
      </c>
      <c r="E3" s="123" t="s">
        <v>2055</v>
      </c>
      <c r="F3" s="125" t="s">
        <v>2055</v>
      </c>
      <c r="G3" s="123" t="s">
        <v>2055</v>
      </c>
      <c r="H3" s="123" t="s">
        <v>2055</v>
      </c>
      <c r="I3" s="123" t="s">
        <v>2055</v>
      </c>
      <c r="J3" s="123" t="s">
        <v>2055</v>
      </c>
      <c r="K3" s="123" t="str">
        <f t="shared" ref="K3:K66" si="0">IFERROR(F3-E3,"")</f>
        <v/>
      </c>
      <c r="M3" t="s">
        <v>3495</v>
      </c>
      <c r="O3" t="s">
        <v>3496</v>
      </c>
      <c r="Q3" t="s">
        <v>1147</v>
      </c>
      <c r="R3" t="s">
        <v>3498</v>
      </c>
    </row>
    <row r="4" spans="1:18">
      <c r="A4" s="121">
        <v>3</v>
      </c>
      <c r="B4" s="184" t="s">
        <v>2171</v>
      </c>
      <c r="C4" s="184" t="s">
        <v>2179</v>
      </c>
      <c r="D4" s="122" t="s">
        <v>2173</v>
      </c>
      <c r="E4" s="124">
        <v>42938</v>
      </c>
      <c r="F4" s="124">
        <v>43007</v>
      </c>
      <c r="G4" s="123">
        <v>259</v>
      </c>
      <c r="H4" s="123">
        <v>742</v>
      </c>
      <c r="I4" s="123">
        <v>44</v>
      </c>
      <c r="J4" s="123">
        <v>283</v>
      </c>
      <c r="K4" s="123">
        <f t="shared" si="0"/>
        <v>69</v>
      </c>
      <c r="M4" s="164">
        <v>107</v>
      </c>
      <c r="N4" s="113" t="b">
        <f t="shared" ref="N4:N67" si="1">COUNTIF($M$4:$M$443, M4)&gt;1</f>
        <v>1</v>
      </c>
      <c r="O4" s="123">
        <v>811</v>
      </c>
      <c r="P4" t="b">
        <f>COUNTIF($O$4:$O$443, O4)&gt;1</f>
        <v>0</v>
      </c>
      <c r="Q4">
        <v>107</v>
      </c>
      <c r="R4">
        <v>819</v>
      </c>
    </row>
    <row r="5" spans="1:18">
      <c r="A5" s="121">
        <v>4</v>
      </c>
      <c r="B5" s="184" t="s">
        <v>2171</v>
      </c>
      <c r="C5" s="184" t="s">
        <v>2181</v>
      </c>
      <c r="D5" s="122" t="s">
        <v>2173</v>
      </c>
      <c r="E5" s="124">
        <v>42938</v>
      </c>
      <c r="F5" s="124">
        <v>43007</v>
      </c>
      <c r="G5" s="123">
        <v>255</v>
      </c>
      <c r="H5" s="123">
        <v>661</v>
      </c>
      <c r="I5" s="123">
        <v>357</v>
      </c>
      <c r="J5" s="123">
        <v>298</v>
      </c>
      <c r="K5" s="123">
        <f t="shared" si="0"/>
        <v>69</v>
      </c>
      <c r="M5" s="168" t="s">
        <v>2055</v>
      </c>
      <c r="N5" s="180" t="b">
        <f t="shared" si="1"/>
        <v>1</v>
      </c>
      <c r="O5" s="168" t="s">
        <v>2055</v>
      </c>
      <c r="P5" s="180" t="b">
        <f t="shared" ref="P5:P68" si="2">COUNTIF($O$4:$O$443, O5)&gt;1</f>
        <v>1</v>
      </c>
      <c r="Q5">
        <v>32</v>
      </c>
      <c r="R5">
        <v>208</v>
      </c>
    </row>
    <row r="6" spans="1:18">
      <c r="A6" s="121">
        <v>5</v>
      </c>
      <c r="B6" s="184" t="s">
        <v>2171</v>
      </c>
      <c r="C6" s="184" t="s">
        <v>2184</v>
      </c>
      <c r="D6" s="122" t="s">
        <v>2173</v>
      </c>
      <c r="E6" s="124">
        <v>42938</v>
      </c>
      <c r="F6" s="123" t="s">
        <v>2055</v>
      </c>
      <c r="G6" s="123">
        <v>122</v>
      </c>
      <c r="H6" s="123">
        <v>724</v>
      </c>
      <c r="I6" s="163">
        <v>734</v>
      </c>
      <c r="J6" s="123">
        <v>226</v>
      </c>
      <c r="K6" s="123" t="str">
        <f t="shared" si="0"/>
        <v/>
      </c>
      <c r="M6" s="123">
        <v>259</v>
      </c>
      <c r="N6" t="b">
        <f t="shared" si="1"/>
        <v>0</v>
      </c>
      <c r="O6" s="123">
        <v>742</v>
      </c>
      <c r="P6" t="b">
        <f t="shared" si="2"/>
        <v>0</v>
      </c>
      <c r="Q6">
        <v>347</v>
      </c>
      <c r="R6">
        <v>771</v>
      </c>
    </row>
    <row r="7" spans="1:18">
      <c r="A7" s="121">
        <v>6</v>
      </c>
      <c r="B7" s="184" t="s">
        <v>2171</v>
      </c>
      <c r="C7" s="184" t="s">
        <v>2185</v>
      </c>
      <c r="D7" s="122" t="s">
        <v>2173</v>
      </c>
      <c r="E7" s="124">
        <v>42938</v>
      </c>
      <c r="F7" s="124">
        <v>43007</v>
      </c>
      <c r="G7" s="123">
        <v>478</v>
      </c>
      <c r="H7" s="123">
        <v>688</v>
      </c>
      <c r="I7" s="123">
        <v>164</v>
      </c>
      <c r="J7" s="123">
        <v>286</v>
      </c>
      <c r="K7" s="123">
        <f t="shared" si="0"/>
        <v>69</v>
      </c>
      <c r="M7" s="123">
        <v>255</v>
      </c>
      <c r="N7" t="b">
        <f t="shared" si="1"/>
        <v>0</v>
      </c>
      <c r="O7" s="123">
        <v>661</v>
      </c>
      <c r="P7" t="b">
        <f t="shared" si="2"/>
        <v>0</v>
      </c>
      <c r="Q7">
        <v>120</v>
      </c>
    </row>
    <row r="8" spans="1:18">
      <c r="A8" s="121">
        <v>7</v>
      </c>
      <c r="B8" s="184" t="s">
        <v>2171</v>
      </c>
      <c r="C8" s="184" t="s">
        <v>2186</v>
      </c>
      <c r="D8" s="122" t="s">
        <v>2173</v>
      </c>
      <c r="E8" s="124">
        <v>42938</v>
      </c>
      <c r="F8" s="124">
        <v>43007</v>
      </c>
      <c r="G8" s="123">
        <v>106</v>
      </c>
      <c r="H8" s="123">
        <v>762</v>
      </c>
      <c r="I8" s="123">
        <v>776</v>
      </c>
      <c r="J8" s="123">
        <v>210</v>
      </c>
      <c r="K8" s="123">
        <f t="shared" si="0"/>
        <v>69</v>
      </c>
      <c r="M8" s="123">
        <v>122</v>
      </c>
      <c r="N8" t="b">
        <f t="shared" si="1"/>
        <v>0</v>
      </c>
      <c r="O8" s="123">
        <v>724</v>
      </c>
      <c r="P8" t="b">
        <f t="shared" si="2"/>
        <v>0</v>
      </c>
      <c r="Q8">
        <v>250</v>
      </c>
    </row>
    <row r="9" spans="1:18">
      <c r="A9" s="121">
        <v>8</v>
      </c>
      <c r="B9" s="184" t="s">
        <v>2171</v>
      </c>
      <c r="C9" s="184" t="s">
        <v>2187</v>
      </c>
      <c r="D9" s="122" t="s">
        <v>2173</v>
      </c>
      <c r="E9" s="124">
        <v>42938</v>
      </c>
      <c r="F9" s="124">
        <v>43007</v>
      </c>
      <c r="G9" s="123">
        <v>228</v>
      </c>
      <c r="H9" s="123">
        <v>727</v>
      </c>
      <c r="I9" s="123">
        <v>23</v>
      </c>
      <c r="J9" s="123">
        <v>213</v>
      </c>
      <c r="K9" s="123">
        <f t="shared" si="0"/>
        <v>69</v>
      </c>
      <c r="M9" s="123">
        <v>478</v>
      </c>
      <c r="N9" t="b">
        <f t="shared" si="1"/>
        <v>0</v>
      </c>
      <c r="O9" s="123">
        <v>688</v>
      </c>
      <c r="P9" t="b">
        <f t="shared" si="2"/>
        <v>0</v>
      </c>
    </row>
    <row r="10" spans="1:18">
      <c r="A10" s="121">
        <v>9</v>
      </c>
      <c r="B10" s="184" t="s">
        <v>2171</v>
      </c>
      <c r="C10" s="184" t="s">
        <v>2188</v>
      </c>
      <c r="D10" s="122" t="s">
        <v>2189</v>
      </c>
      <c r="E10" s="124">
        <v>42938</v>
      </c>
      <c r="F10" s="124">
        <v>43007</v>
      </c>
      <c r="G10" s="123">
        <v>277</v>
      </c>
      <c r="H10" s="123">
        <v>785</v>
      </c>
      <c r="I10" s="123">
        <v>570</v>
      </c>
      <c r="J10" s="123">
        <v>704</v>
      </c>
      <c r="K10" s="123">
        <f t="shared" si="0"/>
        <v>69</v>
      </c>
      <c r="M10" s="123">
        <v>106</v>
      </c>
      <c r="N10" t="b">
        <f t="shared" si="1"/>
        <v>0</v>
      </c>
      <c r="O10" s="123">
        <v>762</v>
      </c>
      <c r="P10" t="b">
        <f t="shared" si="2"/>
        <v>0</v>
      </c>
    </row>
    <row r="11" spans="1:18">
      <c r="A11" s="121">
        <v>10</v>
      </c>
      <c r="B11" s="184" t="s">
        <v>2171</v>
      </c>
      <c r="C11" s="184" t="s">
        <v>2191</v>
      </c>
      <c r="D11" s="122" t="s">
        <v>2189</v>
      </c>
      <c r="E11" s="124">
        <v>42938</v>
      </c>
      <c r="F11" s="124" t="s">
        <v>2055</v>
      </c>
      <c r="G11" s="123">
        <v>310</v>
      </c>
      <c r="H11" s="123">
        <v>747</v>
      </c>
      <c r="I11" s="123">
        <v>642</v>
      </c>
      <c r="J11" s="123">
        <v>355</v>
      </c>
      <c r="K11" s="123" t="str">
        <f t="shared" si="0"/>
        <v/>
      </c>
      <c r="M11" s="123">
        <v>228</v>
      </c>
      <c r="N11" t="b">
        <f t="shared" si="1"/>
        <v>0</v>
      </c>
      <c r="O11" s="123">
        <v>727</v>
      </c>
      <c r="P11" t="b">
        <f t="shared" si="2"/>
        <v>0</v>
      </c>
    </row>
    <row r="12" spans="1:18">
      <c r="A12" s="121">
        <v>11</v>
      </c>
      <c r="B12" s="184" t="s">
        <v>2171</v>
      </c>
      <c r="C12" s="184" t="s">
        <v>2192</v>
      </c>
      <c r="D12" s="122" t="s">
        <v>2189</v>
      </c>
      <c r="E12" s="124">
        <v>42938</v>
      </c>
      <c r="F12" s="124">
        <v>43007</v>
      </c>
      <c r="G12" s="123">
        <v>435</v>
      </c>
      <c r="H12" s="129">
        <v>748</v>
      </c>
      <c r="I12" s="123">
        <v>663</v>
      </c>
      <c r="J12" s="123">
        <v>616</v>
      </c>
      <c r="K12" s="123">
        <f t="shared" si="0"/>
        <v>69</v>
      </c>
      <c r="M12" s="123">
        <v>277</v>
      </c>
      <c r="N12" t="b">
        <f t="shared" si="1"/>
        <v>0</v>
      </c>
      <c r="O12" s="123">
        <v>785</v>
      </c>
      <c r="P12" t="b">
        <f t="shared" si="2"/>
        <v>0</v>
      </c>
    </row>
    <row r="13" spans="1:18">
      <c r="A13" s="121">
        <v>12</v>
      </c>
      <c r="B13" s="184" t="s">
        <v>2171</v>
      </c>
      <c r="C13" s="184" t="s">
        <v>2193</v>
      </c>
      <c r="D13" s="122" t="s">
        <v>2189</v>
      </c>
      <c r="E13" s="124">
        <v>42938</v>
      </c>
      <c r="F13" s="124" t="s">
        <v>2055</v>
      </c>
      <c r="G13" s="123" t="s">
        <v>2055</v>
      </c>
      <c r="H13" s="123" t="s">
        <v>2055</v>
      </c>
      <c r="I13" s="123" t="s">
        <v>2055</v>
      </c>
      <c r="J13" s="123" t="s">
        <v>2055</v>
      </c>
      <c r="K13" s="123" t="str">
        <f t="shared" si="0"/>
        <v/>
      </c>
      <c r="M13" s="123">
        <v>310</v>
      </c>
      <c r="N13" t="b">
        <f t="shared" si="1"/>
        <v>0</v>
      </c>
      <c r="O13" s="123">
        <v>747</v>
      </c>
      <c r="P13" t="b">
        <f t="shared" si="2"/>
        <v>0</v>
      </c>
    </row>
    <row r="14" spans="1:18">
      <c r="A14" s="121">
        <v>13</v>
      </c>
      <c r="B14" s="184" t="s">
        <v>2171</v>
      </c>
      <c r="C14" s="184" t="s">
        <v>2194</v>
      </c>
      <c r="D14" s="122" t="s">
        <v>2189</v>
      </c>
      <c r="E14" s="124">
        <v>42938</v>
      </c>
      <c r="F14" s="124">
        <v>43007</v>
      </c>
      <c r="G14" s="123">
        <v>2</v>
      </c>
      <c r="H14" s="123">
        <v>784</v>
      </c>
      <c r="I14" s="123">
        <v>874</v>
      </c>
      <c r="J14" s="123">
        <v>603</v>
      </c>
      <c r="K14" s="123">
        <f t="shared" si="0"/>
        <v>69</v>
      </c>
      <c r="M14" s="123">
        <v>435</v>
      </c>
      <c r="N14" t="b">
        <f t="shared" si="1"/>
        <v>0</v>
      </c>
      <c r="O14" s="129">
        <v>748</v>
      </c>
      <c r="P14" t="b">
        <f t="shared" si="2"/>
        <v>0</v>
      </c>
    </row>
    <row r="15" spans="1:18">
      <c r="A15" s="121">
        <v>14</v>
      </c>
      <c r="B15" s="184" t="s">
        <v>2171</v>
      </c>
      <c r="C15" s="184" t="s">
        <v>2196</v>
      </c>
      <c r="D15" s="122" t="s">
        <v>2189</v>
      </c>
      <c r="E15" s="124">
        <v>42938</v>
      </c>
      <c r="F15" s="124">
        <v>43007</v>
      </c>
      <c r="G15" s="123">
        <v>225</v>
      </c>
      <c r="H15" s="123">
        <v>838</v>
      </c>
      <c r="I15" s="129">
        <v>219</v>
      </c>
      <c r="J15" s="123">
        <v>652</v>
      </c>
      <c r="K15" s="123">
        <f t="shared" si="0"/>
        <v>69</v>
      </c>
      <c r="M15" s="168" t="s">
        <v>2055</v>
      </c>
      <c r="N15" s="180" t="b">
        <f t="shared" si="1"/>
        <v>1</v>
      </c>
      <c r="O15" s="168" t="s">
        <v>2055</v>
      </c>
      <c r="P15" s="180" t="b">
        <f t="shared" si="2"/>
        <v>1</v>
      </c>
    </row>
    <row r="16" spans="1:18">
      <c r="A16" s="121">
        <v>15</v>
      </c>
      <c r="B16" s="184" t="s">
        <v>2171</v>
      </c>
      <c r="C16" s="184" t="s">
        <v>2197</v>
      </c>
      <c r="D16" s="122" t="s">
        <v>2189</v>
      </c>
      <c r="E16" s="124">
        <v>42938</v>
      </c>
      <c r="F16" s="124">
        <v>43007</v>
      </c>
      <c r="G16" s="123">
        <v>444</v>
      </c>
      <c r="H16" s="123">
        <v>793</v>
      </c>
      <c r="I16" s="123">
        <v>630</v>
      </c>
      <c r="J16" s="123">
        <v>304</v>
      </c>
      <c r="K16" s="123">
        <f t="shared" si="0"/>
        <v>69</v>
      </c>
      <c r="M16" s="123">
        <v>2</v>
      </c>
      <c r="N16" t="b">
        <f t="shared" si="1"/>
        <v>0</v>
      </c>
      <c r="O16" s="123">
        <v>784</v>
      </c>
      <c r="P16" t="b">
        <f t="shared" si="2"/>
        <v>0</v>
      </c>
    </row>
    <row r="17" spans="1:16">
      <c r="A17" s="121">
        <v>16</v>
      </c>
      <c r="B17" s="184" t="s">
        <v>2171</v>
      </c>
      <c r="C17" s="184" t="s">
        <v>2200</v>
      </c>
      <c r="D17" s="122" t="s">
        <v>2189</v>
      </c>
      <c r="E17" s="124">
        <v>42938</v>
      </c>
      <c r="F17" s="124">
        <v>43007</v>
      </c>
      <c r="G17" s="123">
        <v>376</v>
      </c>
      <c r="H17" s="123">
        <v>755</v>
      </c>
      <c r="I17" s="123">
        <v>662</v>
      </c>
      <c r="J17" s="123">
        <v>687</v>
      </c>
      <c r="K17" s="123">
        <f t="shared" si="0"/>
        <v>69</v>
      </c>
      <c r="M17" s="123">
        <v>225</v>
      </c>
      <c r="N17" t="b">
        <f t="shared" si="1"/>
        <v>0</v>
      </c>
      <c r="O17" s="123">
        <v>838</v>
      </c>
      <c r="P17" t="b">
        <f t="shared" si="2"/>
        <v>0</v>
      </c>
    </row>
    <row r="18" spans="1:16">
      <c r="A18" s="121">
        <v>17</v>
      </c>
      <c r="B18" s="184" t="s">
        <v>2171</v>
      </c>
      <c r="C18" s="184" t="s">
        <v>2202</v>
      </c>
      <c r="D18" s="122" t="s">
        <v>2203</v>
      </c>
      <c r="E18" s="124">
        <v>42936</v>
      </c>
      <c r="F18" s="124">
        <v>43007</v>
      </c>
      <c r="G18" s="123">
        <v>209</v>
      </c>
      <c r="H18" s="123">
        <v>826</v>
      </c>
      <c r="I18" s="123">
        <v>349</v>
      </c>
      <c r="J18" s="123">
        <v>407</v>
      </c>
      <c r="K18" s="123">
        <f t="shared" si="0"/>
        <v>71</v>
      </c>
      <c r="M18" s="123">
        <v>444</v>
      </c>
      <c r="N18" t="b">
        <f t="shared" si="1"/>
        <v>0</v>
      </c>
      <c r="O18" s="123">
        <v>793</v>
      </c>
      <c r="P18" t="b">
        <f t="shared" si="2"/>
        <v>0</v>
      </c>
    </row>
    <row r="19" spans="1:16">
      <c r="A19" s="121">
        <v>18</v>
      </c>
      <c r="B19" s="184" t="s">
        <v>2171</v>
      </c>
      <c r="C19" s="184" t="s">
        <v>2205</v>
      </c>
      <c r="D19" s="122" t="s">
        <v>2203</v>
      </c>
      <c r="E19" s="124">
        <v>42936</v>
      </c>
      <c r="F19" s="124">
        <v>43007</v>
      </c>
      <c r="G19" s="123">
        <v>10</v>
      </c>
      <c r="H19" s="123">
        <v>732</v>
      </c>
      <c r="I19" s="123">
        <v>113</v>
      </c>
      <c r="J19" s="123">
        <v>361</v>
      </c>
      <c r="K19" s="123">
        <f t="shared" si="0"/>
        <v>71</v>
      </c>
      <c r="M19" s="123">
        <v>376</v>
      </c>
      <c r="N19" t="b">
        <f t="shared" si="1"/>
        <v>0</v>
      </c>
      <c r="O19" s="123">
        <v>755</v>
      </c>
      <c r="P19" t="b">
        <f t="shared" si="2"/>
        <v>0</v>
      </c>
    </row>
    <row r="20" spans="1:16">
      <c r="A20" s="121">
        <v>19</v>
      </c>
      <c r="B20" s="184" t="s">
        <v>2171</v>
      </c>
      <c r="C20" s="184" t="s">
        <v>2206</v>
      </c>
      <c r="D20" s="122" t="s">
        <v>2203</v>
      </c>
      <c r="E20" s="124">
        <v>42936</v>
      </c>
      <c r="F20" s="124">
        <v>43007</v>
      </c>
      <c r="G20" s="123">
        <v>190</v>
      </c>
      <c r="H20" s="123">
        <v>749</v>
      </c>
      <c r="I20" s="123">
        <v>394</v>
      </c>
      <c r="J20" s="123">
        <v>280</v>
      </c>
      <c r="K20" s="123">
        <f t="shared" si="0"/>
        <v>71</v>
      </c>
      <c r="M20" s="123">
        <v>209</v>
      </c>
      <c r="N20" t="b">
        <f t="shared" si="1"/>
        <v>0</v>
      </c>
      <c r="O20" s="123">
        <v>826</v>
      </c>
      <c r="P20" t="b">
        <f t="shared" si="2"/>
        <v>0</v>
      </c>
    </row>
    <row r="21" spans="1:16">
      <c r="A21" s="121">
        <v>20</v>
      </c>
      <c r="B21" s="184" t="s">
        <v>2171</v>
      </c>
      <c r="C21" s="184" t="s">
        <v>2207</v>
      </c>
      <c r="D21" s="122" t="s">
        <v>2203</v>
      </c>
      <c r="E21" s="124">
        <v>42936</v>
      </c>
      <c r="F21" s="124">
        <v>43007</v>
      </c>
      <c r="G21" s="123">
        <v>38</v>
      </c>
      <c r="H21" s="123">
        <v>632</v>
      </c>
      <c r="I21" s="123">
        <v>79</v>
      </c>
      <c r="J21" s="123">
        <v>320</v>
      </c>
      <c r="K21" s="123">
        <f t="shared" si="0"/>
        <v>71</v>
      </c>
      <c r="M21" s="123">
        <v>10</v>
      </c>
      <c r="N21" t="b">
        <f t="shared" si="1"/>
        <v>0</v>
      </c>
      <c r="O21" s="123">
        <v>732</v>
      </c>
      <c r="P21" t="b">
        <f t="shared" si="2"/>
        <v>0</v>
      </c>
    </row>
    <row r="22" spans="1:16">
      <c r="A22" s="121">
        <v>21</v>
      </c>
      <c r="B22" s="184" t="s">
        <v>2171</v>
      </c>
      <c r="C22" s="184" t="s">
        <v>2208</v>
      </c>
      <c r="D22" s="122" t="s">
        <v>2203</v>
      </c>
      <c r="E22" s="124">
        <v>42936</v>
      </c>
      <c r="F22" s="124">
        <v>43007</v>
      </c>
      <c r="G22" s="123">
        <v>468</v>
      </c>
      <c r="H22" s="123">
        <v>630</v>
      </c>
      <c r="I22" s="123">
        <v>488</v>
      </c>
      <c r="J22" s="123">
        <v>209</v>
      </c>
      <c r="K22" s="123">
        <f t="shared" si="0"/>
        <v>71</v>
      </c>
      <c r="M22" s="123">
        <v>190</v>
      </c>
      <c r="N22" t="b">
        <f t="shared" si="1"/>
        <v>0</v>
      </c>
      <c r="O22" s="123">
        <v>749</v>
      </c>
      <c r="P22" t="b">
        <f t="shared" si="2"/>
        <v>0</v>
      </c>
    </row>
    <row r="23" spans="1:16">
      <c r="A23" s="121">
        <v>22</v>
      </c>
      <c r="B23" s="184" t="s">
        <v>2171</v>
      </c>
      <c r="C23" s="184" t="s">
        <v>2209</v>
      </c>
      <c r="D23" s="122" t="s">
        <v>2203</v>
      </c>
      <c r="E23" s="124">
        <v>42936</v>
      </c>
      <c r="F23" s="124">
        <v>43007</v>
      </c>
      <c r="G23" s="123">
        <v>8</v>
      </c>
      <c r="H23" s="123">
        <v>723</v>
      </c>
      <c r="I23" s="123">
        <v>750</v>
      </c>
      <c r="J23" s="123">
        <v>646</v>
      </c>
      <c r="K23" s="123">
        <f t="shared" si="0"/>
        <v>71</v>
      </c>
      <c r="M23" s="123">
        <v>38</v>
      </c>
      <c r="N23" t="b">
        <f t="shared" si="1"/>
        <v>0</v>
      </c>
      <c r="O23" s="123">
        <v>632</v>
      </c>
      <c r="P23" t="b">
        <f t="shared" si="2"/>
        <v>0</v>
      </c>
    </row>
    <row r="24" spans="1:16">
      <c r="A24" s="121">
        <v>23</v>
      </c>
      <c r="B24" s="184" t="s">
        <v>2171</v>
      </c>
      <c r="C24" s="184" t="s">
        <v>2210</v>
      </c>
      <c r="D24" s="122" t="s">
        <v>2203</v>
      </c>
      <c r="E24" s="125" t="s">
        <v>2055</v>
      </c>
      <c r="F24" s="125" t="s">
        <v>2055</v>
      </c>
      <c r="G24" s="125" t="s">
        <v>2055</v>
      </c>
      <c r="H24" s="125" t="s">
        <v>2055</v>
      </c>
      <c r="I24" s="125" t="s">
        <v>2055</v>
      </c>
      <c r="J24" s="125" t="s">
        <v>2055</v>
      </c>
      <c r="K24" s="123" t="str">
        <f t="shared" si="0"/>
        <v/>
      </c>
      <c r="M24" s="123">
        <v>468</v>
      </c>
      <c r="N24" t="b">
        <f t="shared" si="1"/>
        <v>0</v>
      </c>
      <c r="O24" s="123">
        <v>630</v>
      </c>
      <c r="P24" t="b">
        <f t="shared" si="2"/>
        <v>0</v>
      </c>
    </row>
    <row r="25" spans="1:16">
      <c r="A25" s="121">
        <v>24</v>
      </c>
      <c r="B25" s="184" t="s">
        <v>2171</v>
      </c>
      <c r="C25" s="184" t="s">
        <v>2211</v>
      </c>
      <c r="D25" s="122" t="s">
        <v>2203</v>
      </c>
      <c r="E25" s="124">
        <v>42936</v>
      </c>
      <c r="F25" s="124">
        <v>43007</v>
      </c>
      <c r="G25" s="123">
        <v>320</v>
      </c>
      <c r="H25" s="123">
        <v>225</v>
      </c>
      <c r="I25" s="123">
        <v>562</v>
      </c>
      <c r="J25" s="123">
        <v>650</v>
      </c>
      <c r="K25" s="123">
        <f t="shared" si="0"/>
        <v>71</v>
      </c>
      <c r="M25" s="123">
        <v>8</v>
      </c>
      <c r="N25" t="b">
        <f t="shared" si="1"/>
        <v>0</v>
      </c>
      <c r="O25" s="123">
        <v>723</v>
      </c>
      <c r="P25" t="b">
        <f t="shared" si="2"/>
        <v>0</v>
      </c>
    </row>
    <row r="26" spans="1:16">
      <c r="A26" s="121">
        <v>25</v>
      </c>
      <c r="B26" s="184" t="s">
        <v>2171</v>
      </c>
      <c r="C26" s="184" t="s">
        <v>2212</v>
      </c>
      <c r="D26" s="122" t="s">
        <v>2213</v>
      </c>
      <c r="E26" s="124">
        <v>42936</v>
      </c>
      <c r="F26" s="124">
        <v>43007</v>
      </c>
      <c r="G26" s="123">
        <v>32</v>
      </c>
      <c r="H26" s="123">
        <v>43</v>
      </c>
      <c r="I26" s="123">
        <v>156</v>
      </c>
      <c r="J26" s="123">
        <v>230</v>
      </c>
      <c r="K26" s="123">
        <f t="shared" si="0"/>
        <v>71</v>
      </c>
      <c r="M26" s="125" t="s">
        <v>2055</v>
      </c>
      <c r="N26" t="b">
        <f t="shared" si="1"/>
        <v>1</v>
      </c>
      <c r="O26" s="125" t="s">
        <v>2055</v>
      </c>
      <c r="P26" t="b">
        <f t="shared" si="2"/>
        <v>1</v>
      </c>
    </row>
    <row r="27" spans="1:16">
      <c r="A27" s="121">
        <v>26</v>
      </c>
      <c r="B27" s="184" t="s">
        <v>2171</v>
      </c>
      <c r="C27" s="184" t="s">
        <v>2214</v>
      </c>
      <c r="D27" s="122" t="s">
        <v>2213</v>
      </c>
      <c r="E27" s="124">
        <v>42936</v>
      </c>
      <c r="F27" s="124">
        <v>43007</v>
      </c>
      <c r="G27" s="123">
        <v>58</v>
      </c>
      <c r="H27" s="123">
        <v>602</v>
      </c>
      <c r="I27" s="123">
        <v>555</v>
      </c>
      <c r="J27" s="123">
        <v>642</v>
      </c>
      <c r="K27" s="123">
        <f t="shared" si="0"/>
        <v>71</v>
      </c>
      <c r="M27" s="123">
        <v>320</v>
      </c>
      <c r="N27" t="b">
        <f t="shared" si="1"/>
        <v>0</v>
      </c>
      <c r="O27" s="123">
        <v>225</v>
      </c>
      <c r="P27" t="b">
        <f t="shared" si="2"/>
        <v>0</v>
      </c>
    </row>
    <row r="28" spans="1:16">
      <c r="A28" s="121">
        <v>27</v>
      </c>
      <c r="B28" s="184" t="s">
        <v>2171</v>
      </c>
      <c r="C28" s="184" t="s">
        <v>2215</v>
      </c>
      <c r="D28" s="122" t="s">
        <v>2213</v>
      </c>
      <c r="E28" s="124">
        <v>42936</v>
      </c>
      <c r="F28" s="124">
        <v>43007</v>
      </c>
      <c r="G28" s="123">
        <v>340</v>
      </c>
      <c r="H28" s="123">
        <v>666</v>
      </c>
      <c r="I28" s="123">
        <v>378</v>
      </c>
      <c r="J28" s="123">
        <v>199</v>
      </c>
      <c r="K28" s="123">
        <f t="shared" si="0"/>
        <v>71</v>
      </c>
      <c r="M28" s="164">
        <v>32</v>
      </c>
      <c r="N28" t="b">
        <f t="shared" si="1"/>
        <v>1</v>
      </c>
      <c r="O28" s="123">
        <v>43</v>
      </c>
      <c r="P28" t="b">
        <f t="shared" si="2"/>
        <v>0</v>
      </c>
    </row>
    <row r="29" spans="1:16">
      <c r="A29" s="121">
        <v>28</v>
      </c>
      <c r="B29" s="184" t="s">
        <v>2171</v>
      </c>
      <c r="C29" s="184" t="s">
        <v>2216</v>
      </c>
      <c r="D29" s="122" t="s">
        <v>2213</v>
      </c>
      <c r="E29" s="124">
        <v>42936</v>
      </c>
      <c r="F29" s="124">
        <v>43007</v>
      </c>
      <c r="G29" s="123">
        <v>61</v>
      </c>
      <c r="H29" s="123">
        <v>705</v>
      </c>
      <c r="I29" s="123">
        <v>46</v>
      </c>
      <c r="J29" s="123">
        <v>162</v>
      </c>
      <c r="K29" s="123">
        <f t="shared" si="0"/>
        <v>71</v>
      </c>
      <c r="M29" s="123">
        <v>58</v>
      </c>
      <c r="N29" t="b">
        <f t="shared" si="1"/>
        <v>0</v>
      </c>
      <c r="O29" s="123">
        <v>602</v>
      </c>
      <c r="P29" t="b">
        <f t="shared" si="2"/>
        <v>0</v>
      </c>
    </row>
    <row r="30" spans="1:16">
      <c r="A30" s="121">
        <v>29</v>
      </c>
      <c r="B30" s="184" t="s">
        <v>2171</v>
      </c>
      <c r="C30" s="184" t="s">
        <v>2217</v>
      </c>
      <c r="D30" s="122" t="s">
        <v>2213</v>
      </c>
      <c r="E30" s="124">
        <v>42936</v>
      </c>
      <c r="F30" s="124">
        <v>43007</v>
      </c>
      <c r="G30" s="123">
        <v>319</v>
      </c>
      <c r="H30" s="123">
        <v>305</v>
      </c>
      <c r="I30" s="123">
        <v>397</v>
      </c>
      <c r="J30" s="123">
        <v>163</v>
      </c>
      <c r="K30" s="123">
        <f t="shared" si="0"/>
        <v>71</v>
      </c>
      <c r="M30" s="123">
        <v>340</v>
      </c>
      <c r="N30" t="b">
        <f t="shared" si="1"/>
        <v>0</v>
      </c>
      <c r="O30" s="123">
        <v>666</v>
      </c>
      <c r="P30" t="b">
        <f t="shared" si="2"/>
        <v>0</v>
      </c>
    </row>
    <row r="31" spans="1:16">
      <c r="A31" s="121">
        <v>30</v>
      </c>
      <c r="B31" s="184" t="s">
        <v>2171</v>
      </c>
      <c r="C31" s="184" t="s">
        <v>2218</v>
      </c>
      <c r="D31" s="122" t="s">
        <v>2213</v>
      </c>
      <c r="E31" s="124">
        <v>42936</v>
      </c>
      <c r="F31" s="124">
        <v>43007</v>
      </c>
      <c r="G31" s="123">
        <v>273</v>
      </c>
      <c r="H31" s="123">
        <v>667</v>
      </c>
      <c r="I31" s="123">
        <v>166</v>
      </c>
      <c r="J31" s="123">
        <v>345</v>
      </c>
      <c r="K31" s="123">
        <f t="shared" si="0"/>
        <v>71</v>
      </c>
      <c r="M31" s="123">
        <v>61</v>
      </c>
      <c r="N31" t="b">
        <f t="shared" si="1"/>
        <v>0</v>
      </c>
      <c r="O31" s="123">
        <v>705</v>
      </c>
      <c r="P31" t="b">
        <f t="shared" si="2"/>
        <v>0</v>
      </c>
    </row>
    <row r="32" spans="1:16">
      <c r="A32" s="121">
        <v>31</v>
      </c>
      <c r="B32" s="184" t="s">
        <v>2171</v>
      </c>
      <c r="C32" s="184" t="s">
        <v>2219</v>
      </c>
      <c r="D32" s="122" t="s">
        <v>2213</v>
      </c>
      <c r="E32" s="125" t="s">
        <v>2055</v>
      </c>
      <c r="F32" s="125" t="s">
        <v>2055</v>
      </c>
      <c r="G32" s="125" t="s">
        <v>2055</v>
      </c>
      <c r="H32" s="125" t="s">
        <v>2055</v>
      </c>
      <c r="I32" s="125" t="s">
        <v>2055</v>
      </c>
      <c r="J32" s="125" t="s">
        <v>2055</v>
      </c>
      <c r="K32" s="123" t="str">
        <f t="shared" si="0"/>
        <v/>
      </c>
      <c r="M32" s="123">
        <v>319</v>
      </c>
      <c r="N32" t="b">
        <f t="shared" si="1"/>
        <v>0</v>
      </c>
      <c r="O32" s="123">
        <v>305</v>
      </c>
      <c r="P32" t="b">
        <f t="shared" si="2"/>
        <v>0</v>
      </c>
    </row>
    <row r="33" spans="1:16">
      <c r="A33" s="121">
        <v>32</v>
      </c>
      <c r="B33" s="184" t="s">
        <v>2171</v>
      </c>
      <c r="C33" s="184" t="s">
        <v>2220</v>
      </c>
      <c r="D33" s="122" t="s">
        <v>2213</v>
      </c>
      <c r="E33" s="124">
        <v>42936</v>
      </c>
      <c r="F33" s="124">
        <v>43007</v>
      </c>
      <c r="G33" s="123">
        <v>193</v>
      </c>
      <c r="H33" s="123">
        <v>743</v>
      </c>
      <c r="I33" s="123">
        <v>293</v>
      </c>
      <c r="J33" s="123">
        <v>660</v>
      </c>
      <c r="K33" s="123">
        <f t="shared" si="0"/>
        <v>71</v>
      </c>
      <c r="M33" s="123">
        <v>273</v>
      </c>
      <c r="N33" t="b">
        <f t="shared" si="1"/>
        <v>0</v>
      </c>
      <c r="O33" s="123">
        <v>667</v>
      </c>
      <c r="P33" t="b">
        <f t="shared" si="2"/>
        <v>0</v>
      </c>
    </row>
    <row r="34" spans="1:16">
      <c r="A34" s="121">
        <v>33</v>
      </c>
      <c r="B34" s="184" t="s">
        <v>2171</v>
      </c>
      <c r="C34" s="184" t="s">
        <v>2221</v>
      </c>
      <c r="D34" s="122" t="s">
        <v>2222</v>
      </c>
      <c r="E34" s="124">
        <v>42938</v>
      </c>
      <c r="F34" s="124">
        <v>43005</v>
      </c>
      <c r="G34" s="123">
        <v>218</v>
      </c>
      <c r="H34" s="123">
        <v>769</v>
      </c>
      <c r="I34" s="123">
        <v>139</v>
      </c>
      <c r="J34" s="123">
        <v>712</v>
      </c>
      <c r="K34" s="123">
        <f t="shared" si="0"/>
        <v>67</v>
      </c>
      <c r="M34" s="125" t="s">
        <v>2055</v>
      </c>
      <c r="N34" t="b">
        <f t="shared" si="1"/>
        <v>1</v>
      </c>
      <c r="O34" s="125" t="s">
        <v>2055</v>
      </c>
      <c r="P34" t="b">
        <f t="shared" si="2"/>
        <v>1</v>
      </c>
    </row>
    <row r="35" spans="1:16">
      <c r="A35" s="121">
        <v>34</v>
      </c>
      <c r="B35" s="184" t="s">
        <v>2171</v>
      </c>
      <c r="C35" s="184" t="s">
        <v>2224</v>
      </c>
      <c r="D35" s="122" t="s">
        <v>2222</v>
      </c>
      <c r="E35" s="124">
        <v>42938</v>
      </c>
      <c r="F35" s="124">
        <v>43005</v>
      </c>
      <c r="G35" s="123">
        <v>104</v>
      </c>
      <c r="H35" s="123">
        <v>753</v>
      </c>
      <c r="I35" s="123">
        <v>487</v>
      </c>
      <c r="J35" s="123">
        <v>324</v>
      </c>
      <c r="K35" s="123">
        <f t="shared" si="0"/>
        <v>67</v>
      </c>
      <c r="M35" s="123">
        <v>193</v>
      </c>
      <c r="N35" t="b">
        <f t="shared" si="1"/>
        <v>0</v>
      </c>
      <c r="O35" s="123">
        <v>743</v>
      </c>
      <c r="P35" t="b">
        <f t="shared" si="2"/>
        <v>0</v>
      </c>
    </row>
    <row r="36" spans="1:16">
      <c r="A36" s="121">
        <v>35</v>
      </c>
      <c r="B36" s="184" t="s">
        <v>2171</v>
      </c>
      <c r="C36" s="184" t="s">
        <v>2227</v>
      </c>
      <c r="D36" s="122" t="s">
        <v>2222</v>
      </c>
      <c r="E36" s="124">
        <v>42938</v>
      </c>
      <c r="F36" s="124">
        <v>43005</v>
      </c>
      <c r="G36" s="123">
        <v>188</v>
      </c>
      <c r="H36" s="123">
        <v>776</v>
      </c>
      <c r="I36" s="123">
        <v>717</v>
      </c>
      <c r="J36" s="123">
        <v>108</v>
      </c>
      <c r="K36" s="123">
        <f t="shared" si="0"/>
        <v>67</v>
      </c>
      <c r="M36" s="123">
        <v>218</v>
      </c>
      <c r="N36" t="b">
        <f t="shared" si="1"/>
        <v>0</v>
      </c>
      <c r="O36" s="123">
        <v>769</v>
      </c>
      <c r="P36" t="b">
        <f t="shared" si="2"/>
        <v>0</v>
      </c>
    </row>
    <row r="37" spans="1:16">
      <c r="A37" s="121">
        <v>36</v>
      </c>
      <c r="B37" s="184" t="s">
        <v>2171</v>
      </c>
      <c r="C37" s="184" t="s">
        <v>2228</v>
      </c>
      <c r="D37" s="122" t="s">
        <v>2222</v>
      </c>
      <c r="E37" s="124">
        <v>42938</v>
      </c>
      <c r="F37" s="124">
        <v>43005</v>
      </c>
      <c r="G37" s="123">
        <v>379</v>
      </c>
      <c r="H37" s="123">
        <v>799</v>
      </c>
      <c r="I37" s="123">
        <v>767</v>
      </c>
      <c r="J37" s="123">
        <v>152</v>
      </c>
      <c r="K37" s="123">
        <f t="shared" si="0"/>
        <v>67</v>
      </c>
      <c r="M37" s="123">
        <v>104</v>
      </c>
      <c r="N37" t="b">
        <f t="shared" si="1"/>
        <v>0</v>
      </c>
      <c r="O37" s="123">
        <v>753</v>
      </c>
      <c r="P37" t="b">
        <f t="shared" si="2"/>
        <v>0</v>
      </c>
    </row>
    <row r="38" spans="1:16">
      <c r="A38" s="121">
        <v>37</v>
      </c>
      <c r="B38" s="184" t="s">
        <v>2171</v>
      </c>
      <c r="C38" s="184" t="s">
        <v>2230</v>
      </c>
      <c r="D38" s="122" t="s">
        <v>2222</v>
      </c>
      <c r="E38" s="124">
        <v>42938</v>
      </c>
      <c r="F38" s="124">
        <v>43005</v>
      </c>
      <c r="G38" s="123">
        <v>66</v>
      </c>
      <c r="H38" s="123">
        <v>722</v>
      </c>
      <c r="I38" s="123">
        <v>473</v>
      </c>
      <c r="J38" s="123">
        <v>681</v>
      </c>
      <c r="K38" s="123">
        <f t="shared" si="0"/>
        <v>67</v>
      </c>
      <c r="M38" s="123">
        <v>188</v>
      </c>
      <c r="N38" t="b">
        <f t="shared" si="1"/>
        <v>0</v>
      </c>
      <c r="O38" s="123">
        <v>776</v>
      </c>
      <c r="P38" t="b">
        <f t="shared" si="2"/>
        <v>0</v>
      </c>
    </row>
    <row r="39" spans="1:16">
      <c r="A39" s="121">
        <v>38</v>
      </c>
      <c r="B39" s="184" t="s">
        <v>2171</v>
      </c>
      <c r="C39" s="184" t="s">
        <v>2232</v>
      </c>
      <c r="D39" s="122" t="s">
        <v>2222</v>
      </c>
      <c r="E39" s="124">
        <v>42938</v>
      </c>
      <c r="F39" s="124">
        <v>43005</v>
      </c>
      <c r="G39" s="123">
        <v>625</v>
      </c>
      <c r="H39" s="123">
        <v>796</v>
      </c>
      <c r="I39" s="123">
        <v>111</v>
      </c>
      <c r="J39" s="129">
        <v>260</v>
      </c>
      <c r="K39" s="123">
        <f t="shared" si="0"/>
        <v>67</v>
      </c>
      <c r="M39" s="123">
        <v>379</v>
      </c>
      <c r="N39" t="b">
        <f t="shared" si="1"/>
        <v>0</v>
      </c>
      <c r="O39" s="123">
        <v>799</v>
      </c>
      <c r="P39" t="b">
        <f t="shared" si="2"/>
        <v>0</v>
      </c>
    </row>
    <row r="40" spans="1:16">
      <c r="A40" s="121">
        <v>39</v>
      </c>
      <c r="B40" s="184" t="s">
        <v>2171</v>
      </c>
      <c r="C40" s="184" t="s">
        <v>2234</v>
      </c>
      <c r="D40" s="122" t="s">
        <v>2222</v>
      </c>
      <c r="E40" s="124">
        <v>42938</v>
      </c>
      <c r="F40" s="123" t="s">
        <v>2055</v>
      </c>
      <c r="G40" s="125" t="s">
        <v>2055</v>
      </c>
      <c r="H40" s="125" t="s">
        <v>2055</v>
      </c>
      <c r="I40" s="125" t="s">
        <v>2055</v>
      </c>
      <c r="J40" s="125" t="s">
        <v>2055</v>
      </c>
      <c r="K40" s="123" t="str">
        <f t="shared" si="0"/>
        <v/>
      </c>
      <c r="M40" s="123">
        <v>66</v>
      </c>
      <c r="N40" t="b">
        <f t="shared" si="1"/>
        <v>0</v>
      </c>
      <c r="O40" s="123">
        <v>722</v>
      </c>
      <c r="P40" t="b">
        <f t="shared" si="2"/>
        <v>0</v>
      </c>
    </row>
    <row r="41" spans="1:16">
      <c r="A41" s="121">
        <v>40</v>
      </c>
      <c r="B41" s="184" t="s">
        <v>2171</v>
      </c>
      <c r="C41" s="184" t="s">
        <v>2236</v>
      </c>
      <c r="D41" s="122" t="s">
        <v>2222</v>
      </c>
      <c r="E41" s="124">
        <v>42938</v>
      </c>
      <c r="F41" s="124">
        <v>43005</v>
      </c>
      <c r="G41" s="123">
        <v>88</v>
      </c>
      <c r="H41" s="123">
        <v>782</v>
      </c>
      <c r="I41" s="123">
        <v>646</v>
      </c>
      <c r="J41" s="123">
        <v>402</v>
      </c>
      <c r="K41" s="123">
        <f t="shared" si="0"/>
        <v>67</v>
      </c>
      <c r="M41" s="123">
        <v>625</v>
      </c>
      <c r="N41" t="b">
        <f t="shared" si="1"/>
        <v>0</v>
      </c>
      <c r="O41" s="123">
        <v>796</v>
      </c>
      <c r="P41" t="b">
        <f t="shared" si="2"/>
        <v>0</v>
      </c>
    </row>
    <row r="42" spans="1:16">
      <c r="A42" s="121">
        <v>41</v>
      </c>
      <c r="B42" s="184" t="s">
        <v>2171</v>
      </c>
      <c r="C42" s="184" t="s">
        <v>2238</v>
      </c>
      <c r="D42" s="122" t="s">
        <v>2239</v>
      </c>
      <c r="E42" s="124">
        <v>42938</v>
      </c>
      <c r="F42" s="124">
        <v>43005</v>
      </c>
      <c r="G42" s="123">
        <v>256</v>
      </c>
      <c r="H42" s="123">
        <v>820</v>
      </c>
      <c r="I42" s="123">
        <v>43</v>
      </c>
      <c r="J42" s="123">
        <v>648</v>
      </c>
      <c r="K42" s="123">
        <f t="shared" si="0"/>
        <v>67</v>
      </c>
      <c r="M42" s="125" t="s">
        <v>2055</v>
      </c>
      <c r="N42" t="b">
        <f t="shared" si="1"/>
        <v>1</v>
      </c>
      <c r="O42" s="125" t="s">
        <v>2055</v>
      </c>
      <c r="P42" t="b">
        <f t="shared" si="2"/>
        <v>1</v>
      </c>
    </row>
    <row r="43" spans="1:16">
      <c r="A43" s="121">
        <v>42</v>
      </c>
      <c r="B43" s="184" t="s">
        <v>2171</v>
      </c>
      <c r="C43" s="184" t="s">
        <v>2240</v>
      </c>
      <c r="D43" s="122" t="s">
        <v>2239</v>
      </c>
      <c r="E43" s="124">
        <v>42938</v>
      </c>
      <c r="F43" s="124">
        <v>43005</v>
      </c>
      <c r="G43" s="123">
        <v>341</v>
      </c>
      <c r="H43" s="123">
        <v>806</v>
      </c>
      <c r="I43" s="123">
        <v>268</v>
      </c>
      <c r="J43" s="123">
        <v>257</v>
      </c>
      <c r="K43" s="123">
        <f t="shared" si="0"/>
        <v>67</v>
      </c>
      <c r="M43" s="123">
        <v>88</v>
      </c>
      <c r="N43" t="b">
        <f t="shared" si="1"/>
        <v>0</v>
      </c>
      <c r="O43" s="123">
        <v>782</v>
      </c>
      <c r="P43" t="b">
        <f t="shared" si="2"/>
        <v>0</v>
      </c>
    </row>
    <row r="44" spans="1:16">
      <c r="A44" s="121">
        <v>43</v>
      </c>
      <c r="B44" s="184" t="s">
        <v>2171</v>
      </c>
      <c r="C44" s="184" t="s">
        <v>2242</v>
      </c>
      <c r="D44" s="122" t="s">
        <v>2239</v>
      </c>
      <c r="E44" s="124">
        <v>42938</v>
      </c>
      <c r="F44" s="124">
        <v>43005</v>
      </c>
      <c r="G44" s="123">
        <v>246</v>
      </c>
      <c r="H44" s="123">
        <v>758</v>
      </c>
      <c r="I44" s="123">
        <v>300</v>
      </c>
      <c r="J44" s="123">
        <v>691</v>
      </c>
      <c r="K44" s="123">
        <f t="shared" si="0"/>
        <v>67</v>
      </c>
      <c r="M44" s="123">
        <v>256</v>
      </c>
      <c r="N44" t="b">
        <f t="shared" si="1"/>
        <v>0</v>
      </c>
      <c r="O44" s="123">
        <v>820</v>
      </c>
      <c r="P44" t="b">
        <f t="shared" si="2"/>
        <v>0</v>
      </c>
    </row>
    <row r="45" spans="1:16">
      <c r="A45" s="121">
        <v>44</v>
      </c>
      <c r="B45" s="184" t="s">
        <v>2171</v>
      </c>
      <c r="C45" s="184" t="s">
        <v>2243</v>
      </c>
      <c r="D45" s="122" t="s">
        <v>2239</v>
      </c>
      <c r="E45" s="124">
        <v>42938</v>
      </c>
      <c r="F45" s="124">
        <v>43005</v>
      </c>
      <c r="G45" s="123">
        <v>115</v>
      </c>
      <c r="H45" s="123">
        <v>783</v>
      </c>
      <c r="I45" s="123">
        <v>823</v>
      </c>
      <c r="J45" s="123">
        <v>716</v>
      </c>
      <c r="K45" s="123">
        <f t="shared" si="0"/>
        <v>67</v>
      </c>
      <c r="M45" s="123">
        <v>341</v>
      </c>
      <c r="N45" t="b">
        <f t="shared" si="1"/>
        <v>0</v>
      </c>
      <c r="O45" s="123">
        <v>806</v>
      </c>
      <c r="P45" t="b">
        <f t="shared" si="2"/>
        <v>0</v>
      </c>
    </row>
    <row r="46" spans="1:16">
      <c r="A46" s="121">
        <v>45</v>
      </c>
      <c r="B46" s="184" t="s">
        <v>2171</v>
      </c>
      <c r="C46" s="184" t="s">
        <v>2244</v>
      </c>
      <c r="D46" s="122" t="s">
        <v>2239</v>
      </c>
      <c r="E46" s="124">
        <v>42938</v>
      </c>
      <c r="F46" s="124">
        <v>43005</v>
      </c>
      <c r="G46" s="123">
        <v>480</v>
      </c>
      <c r="H46" s="123">
        <v>827</v>
      </c>
      <c r="I46" s="123">
        <v>354</v>
      </c>
      <c r="J46" s="123">
        <v>631</v>
      </c>
      <c r="K46" s="123">
        <f t="shared" si="0"/>
        <v>67</v>
      </c>
      <c r="M46" s="123">
        <v>246</v>
      </c>
      <c r="N46" t="b">
        <f t="shared" si="1"/>
        <v>0</v>
      </c>
      <c r="O46" s="123">
        <v>758</v>
      </c>
      <c r="P46" t="b">
        <f t="shared" si="2"/>
        <v>0</v>
      </c>
    </row>
    <row r="47" spans="1:16">
      <c r="A47" s="121">
        <v>46</v>
      </c>
      <c r="B47" s="184" t="s">
        <v>2171</v>
      </c>
      <c r="C47" s="184" t="s">
        <v>2246</v>
      </c>
      <c r="D47" s="122" t="s">
        <v>2239</v>
      </c>
      <c r="E47" s="123" t="s">
        <v>2055</v>
      </c>
      <c r="F47" s="124" t="s">
        <v>2055</v>
      </c>
      <c r="G47" s="123" t="s">
        <v>2055</v>
      </c>
      <c r="H47" s="123" t="s">
        <v>2055</v>
      </c>
      <c r="I47" s="123" t="s">
        <v>2055</v>
      </c>
      <c r="J47" s="123" t="s">
        <v>2055</v>
      </c>
      <c r="K47" s="123" t="str">
        <f t="shared" si="0"/>
        <v/>
      </c>
      <c r="M47" s="123">
        <v>115</v>
      </c>
      <c r="N47" t="b">
        <f t="shared" si="1"/>
        <v>0</v>
      </c>
      <c r="O47" s="123">
        <v>783</v>
      </c>
      <c r="P47" t="b">
        <f t="shared" si="2"/>
        <v>0</v>
      </c>
    </row>
    <row r="48" spans="1:16">
      <c r="A48" s="121">
        <v>47</v>
      </c>
      <c r="B48" s="184" t="s">
        <v>2171</v>
      </c>
      <c r="C48" s="184" t="s">
        <v>2247</v>
      </c>
      <c r="D48" s="122" t="s">
        <v>2239</v>
      </c>
      <c r="E48" s="124">
        <v>42938</v>
      </c>
      <c r="F48" s="124">
        <v>43005</v>
      </c>
      <c r="G48" s="123">
        <v>110</v>
      </c>
      <c r="H48" s="123">
        <v>831</v>
      </c>
      <c r="I48" s="123">
        <v>659</v>
      </c>
      <c r="J48" s="123">
        <v>606</v>
      </c>
      <c r="K48" s="123">
        <f t="shared" si="0"/>
        <v>67</v>
      </c>
      <c r="M48" s="123">
        <v>480</v>
      </c>
      <c r="N48" t="b">
        <f t="shared" si="1"/>
        <v>0</v>
      </c>
      <c r="O48" s="123">
        <v>827</v>
      </c>
      <c r="P48" t="b">
        <f t="shared" si="2"/>
        <v>0</v>
      </c>
    </row>
    <row r="49" spans="1:16">
      <c r="A49" s="121">
        <v>48</v>
      </c>
      <c r="B49" s="184" t="s">
        <v>2171</v>
      </c>
      <c r="C49" s="184" t="s">
        <v>2249</v>
      </c>
      <c r="D49" s="122" t="s">
        <v>2239</v>
      </c>
      <c r="E49" s="124">
        <v>42938</v>
      </c>
      <c r="F49" s="124">
        <v>43005</v>
      </c>
      <c r="G49" s="123">
        <v>233</v>
      </c>
      <c r="H49" s="123">
        <v>828</v>
      </c>
      <c r="I49" s="123">
        <v>267</v>
      </c>
      <c r="J49" s="123">
        <v>221</v>
      </c>
      <c r="K49" s="123">
        <f t="shared" si="0"/>
        <v>67</v>
      </c>
      <c r="M49" s="123" t="s">
        <v>2055</v>
      </c>
      <c r="N49" t="b">
        <f t="shared" si="1"/>
        <v>1</v>
      </c>
      <c r="O49" s="123" t="s">
        <v>2055</v>
      </c>
      <c r="P49" t="b">
        <f t="shared" si="2"/>
        <v>1</v>
      </c>
    </row>
    <row r="50" spans="1:16">
      <c r="A50" s="121">
        <v>49</v>
      </c>
      <c r="B50" s="184" t="s">
        <v>2171</v>
      </c>
      <c r="C50" s="184" t="s">
        <v>2250</v>
      </c>
      <c r="D50" s="122" t="s">
        <v>2251</v>
      </c>
      <c r="E50" s="124">
        <v>42938</v>
      </c>
      <c r="F50" s="124">
        <v>43005</v>
      </c>
      <c r="G50" s="123">
        <v>54</v>
      </c>
      <c r="H50" s="123">
        <v>805</v>
      </c>
      <c r="I50" s="123">
        <v>812</v>
      </c>
      <c r="J50" s="123">
        <v>308</v>
      </c>
      <c r="K50" s="123">
        <f t="shared" si="0"/>
        <v>67</v>
      </c>
      <c r="M50" s="123">
        <v>110</v>
      </c>
      <c r="N50" t="b">
        <f t="shared" si="1"/>
        <v>0</v>
      </c>
      <c r="O50" s="123">
        <v>831</v>
      </c>
      <c r="P50" t="b">
        <f t="shared" si="2"/>
        <v>0</v>
      </c>
    </row>
    <row r="51" spans="1:16">
      <c r="A51" s="121">
        <v>50</v>
      </c>
      <c r="B51" s="184" t="s">
        <v>2171</v>
      </c>
      <c r="C51" s="184" t="s">
        <v>2252</v>
      </c>
      <c r="D51" s="122" t="s">
        <v>2251</v>
      </c>
      <c r="E51" s="124">
        <v>42938</v>
      </c>
      <c r="F51" s="124" t="s">
        <v>2055</v>
      </c>
      <c r="G51" s="123">
        <v>276</v>
      </c>
      <c r="H51" s="123">
        <v>754</v>
      </c>
      <c r="I51" s="123">
        <v>212</v>
      </c>
      <c r="J51" s="123">
        <v>644</v>
      </c>
      <c r="K51" s="123" t="str">
        <f t="shared" si="0"/>
        <v/>
      </c>
      <c r="M51" s="123">
        <v>233</v>
      </c>
      <c r="N51" t="b">
        <f t="shared" si="1"/>
        <v>0</v>
      </c>
      <c r="O51" s="123">
        <v>828</v>
      </c>
      <c r="P51" t="b">
        <f t="shared" si="2"/>
        <v>0</v>
      </c>
    </row>
    <row r="52" spans="1:16">
      <c r="A52" s="121">
        <v>51</v>
      </c>
      <c r="B52" s="184" t="s">
        <v>2171</v>
      </c>
      <c r="C52" s="184" t="s">
        <v>2253</v>
      </c>
      <c r="D52" s="122" t="s">
        <v>2251</v>
      </c>
      <c r="E52" s="124">
        <v>42938</v>
      </c>
      <c r="F52" s="124">
        <v>43005</v>
      </c>
      <c r="G52" s="123">
        <v>227</v>
      </c>
      <c r="H52" s="123">
        <v>798</v>
      </c>
      <c r="I52" s="123">
        <v>598</v>
      </c>
      <c r="J52" s="123">
        <v>242</v>
      </c>
      <c r="K52" s="123">
        <f t="shared" si="0"/>
        <v>67</v>
      </c>
      <c r="M52" s="123">
        <v>54</v>
      </c>
      <c r="N52" t="b">
        <f t="shared" si="1"/>
        <v>0</v>
      </c>
      <c r="O52" s="123">
        <v>805</v>
      </c>
      <c r="P52" t="b">
        <f t="shared" si="2"/>
        <v>0</v>
      </c>
    </row>
    <row r="53" spans="1:16">
      <c r="A53" s="121">
        <v>52</v>
      </c>
      <c r="B53" s="184" t="s">
        <v>2171</v>
      </c>
      <c r="C53" s="184" t="s">
        <v>2254</v>
      </c>
      <c r="D53" s="122" t="s">
        <v>2251</v>
      </c>
      <c r="E53" s="124">
        <v>42938</v>
      </c>
      <c r="F53" s="124">
        <v>43005</v>
      </c>
      <c r="G53" s="123">
        <v>237</v>
      </c>
      <c r="H53" s="123">
        <v>833</v>
      </c>
      <c r="I53" s="123">
        <v>818</v>
      </c>
      <c r="J53" s="123">
        <v>618</v>
      </c>
      <c r="K53" s="123">
        <f t="shared" si="0"/>
        <v>67</v>
      </c>
      <c r="M53" s="123">
        <v>276</v>
      </c>
      <c r="N53" t="b">
        <f t="shared" si="1"/>
        <v>0</v>
      </c>
      <c r="O53" s="123">
        <v>754</v>
      </c>
      <c r="P53" t="b">
        <f t="shared" si="2"/>
        <v>0</v>
      </c>
    </row>
    <row r="54" spans="1:16">
      <c r="A54" s="121">
        <v>53</v>
      </c>
      <c r="B54" s="184" t="s">
        <v>2171</v>
      </c>
      <c r="C54" s="184" t="s">
        <v>2255</v>
      </c>
      <c r="D54" s="122" t="s">
        <v>2251</v>
      </c>
      <c r="E54" s="124">
        <v>42938</v>
      </c>
      <c r="F54" s="124">
        <v>43005</v>
      </c>
      <c r="G54" s="123">
        <v>172</v>
      </c>
      <c r="H54" s="123">
        <v>734</v>
      </c>
      <c r="I54" s="123">
        <v>759</v>
      </c>
      <c r="J54" s="123">
        <v>140</v>
      </c>
      <c r="K54" s="123">
        <f t="shared" si="0"/>
        <v>67</v>
      </c>
      <c r="M54" s="123">
        <v>227</v>
      </c>
      <c r="N54" t="b">
        <f t="shared" si="1"/>
        <v>0</v>
      </c>
      <c r="O54" s="123">
        <v>798</v>
      </c>
      <c r="P54" t="b">
        <f t="shared" si="2"/>
        <v>0</v>
      </c>
    </row>
    <row r="55" spans="1:16">
      <c r="A55" s="121">
        <v>54</v>
      </c>
      <c r="B55" s="184" t="s">
        <v>2171</v>
      </c>
      <c r="C55" s="184" t="s">
        <v>2256</v>
      </c>
      <c r="D55" s="122" t="s">
        <v>2251</v>
      </c>
      <c r="E55" s="123" t="s">
        <v>2055</v>
      </c>
      <c r="F55" s="123" t="s">
        <v>2055</v>
      </c>
      <c r="G55" s="123" t="s">
        <v>2055</v>
      </c>
      <c r="H55" s="123" t="s">
        <v>2055</v>
      </c>
      <c r="I55" s="123" t="s">
        <v>2055</v>
      </c>
      <c r="J55" s="123" t="s">
        <v>2055</v>
      </c>
      <c r="K55" s="123" t="str">
        <f t="shared" si="0"/>
        <v/>
      </c>
      <c r="M55" s="123">
        <v>237</v>
      </c>
      <c r="N55" t="b">
        <f t="shared" si="1"/>
        <v>0</v>
      </c>
      <c r="O55" s="123">
        <v>833</v>
      </c>
      <c r="P55" t="b">
        <f t="shared" si="2"/>
        <v>0</v>
      </c>
    </row>
    <row r="56" spans="1:16">
      <c r="A56" s="121">
        <v>55</v>
      </c>
      <c r="B56" s="184" t="s">
        <v>2171</v>
      </c>
      <c r="C56" s="184" t="s">
        <v>2257</v>
      </c>
      <c r="D56" s="122" t="s">
        <v>2251</v>
      </c>
      <c r="E56" s="124">
        <v>42938</v>
      </c>
      <c r="F56" s="124">
        <v>43005</v>
      </c>
      <c r="G56" s="123">
        <v>86</v>
      </c>
      <c r="H56" s="129">
        <v>839</v>
      </c>
      <c r="I56" s="123">
        <v>260</v>
      </c>
      <c r="J56" s="123">
        <v>192</v>
      </c>
      <c r="K56" s="123">
        <f t="shared" si="0"/>
        <v>67</v>
      </c>
      <c r="M56" s="123">
        <v>172</v>
      </c>
      <c r="N56" t="b">
        <f t="shared" si="1"/>
        <v>0</v>
      </c>
      <c r="O56" s="123">
        <v>734</v>
      </c>
      <c r="P56" t="b">
        <f t="shared" si="2"/>
        <v>0</v>
      </c>
    </row>
    <row r="57" spans="1:16">
      <c r="A57" s="121">
        <v>56</v>
      </c>
      <c r="B57" s="184" t="s">
        <v>2171</v>
      </c>
      <c r="C57" s="184" t="s">
        <v>2258</v>
      </c>
      <c r="D57" s="122" t="s">
        <v>2251</v>
      </c>
      <c r="E57" s="124">
        <v>42938</v>
      </c>
      <c r="F57" s="124">
        <v>43005</v>
      </c>
      <c r="G57" s="123">
        <v>107</v>
      </c>
      <c r="H57" s="123">
        <v>760</v>
      </c>
      <c r="I57" s="123">
        <v>493</v>
      </c>
      <c r="J57" s="123">
        <v>227</v>
      </c>
      <c r="K57" s="123">
        <f t="shared" si="0"/>
        <v>67</v>
      </c>
      <c r="M57" s="123" t="s">
        <v>2055</v>
      </c>
      <c r="N57" t="b">
        <f t="shared" si="1"/>
        <v>1</v>
      </c>
      <c r="O57" s="123" t="s">
        <v>2055</v>
      </c>
      <c r="P57" t="b">
        <f t="shared" si="2"/>
        <v>1</v>
      </c>
    </row>
    <row r="58" spans="1:16">
      <c r="A58" s="121">
        <v>57</v>
      </c>
      <c r="B58" s="184" t="s">
        <v>2171</v>
      </c>
      <c r="C58" s="186" t="s">
        <v>2259</v>
      </c>
      <c r="D58" s="122" t="s">
        <v>2260</v>
      </c>
      <c r="E58" s="124">
        <v>42938</v>
      </c>
      <c r="F58" s="124">
        <v>43005</v>
      </c>
      <c r="G58" s="123">
        <v>41</v>
      </c>
      <c r="H58" s="123">
        <v>830</v>
      </c>
      <c r="I58" s="123">
        <v>347</v>
      </c>
      <c r="J58" s="123">
        <v>416</v>
      </c>
      <c r="K58" s="123">
        <f t="shared" si="0"/>
        <v>67</v>
      </c>
      <c r="M58" s="123">
        <v>86</v>
      </c>
      <c r="N58" t="b">
        <f t="shared" si="1"/>
        <v>0</v>
      </c>
      <c r="O58" s="129">
        <v>839</v>
      </c>
      <c r="P58" t="b">
        <f t="shared" si="2"/>
        <v>0</v>
      </c>
    </row>
    <row r="59" spans="1:16">
      <c r="A59" s="121">
        <v>58</v>
      </c>
      <c r="B59" s="184" t="s">
        <v>2171</v>
      </c>
      <c r="C59" s="186" t="s">
        <v>2262</v>
      </c>
      <c r="D59" s="122" t="s">
        <v>2260</v>
      </c>
      <c r="E59" s="124">
        <v>42938</v>
      </c>
      <c r="F59" s="124">
        <v>43005</v>
      </c>
      <c r="G59" s="123">
        <v>481</v>
      </c>
      <c r="H59" s="123">
        <v>725</v>
      </c>
      <c r="I59" s="123">
        <v>735</v>
      </c>
      <c r="J59" s="123">
        <v>689</v>
      </c>
      <c r="K59" s="123">
        <f t="shared" si="0"/>
        <v>67</v>
      </c>
      <c r="M59" s="164">
        <v>107</v>
      </c>
      <c r="N59" t="b">
        <f t="shared" si="1"/>
        <v>1</v>
      </c>
      <c r="O59" s="123">
        <v>760</v>
      </c>
      <c r="P59" t="b">
        <f t="shared" si="2"/>
        <v>0</v>
      </c>
    </row>
    <row r="60" spans="1:16">
      <c r="A60" s="121">
        <v>59</v>
      </c>
      <c r="B60" s="184" t="s">
        <v>2171</v>
      </c>
      <c r="C60" s="186" t="s">
        <v>2263</v>
      </c>
      <c r="D60" s="122" t="s">
        <v>2260</v>
      </c>
      <c r="E60" s="124">
        <v>42938</v>
      </c>
      <c r="F60" s="124">
        <v>43005</v>
      </c>
      <c r="G60" s="123">
        <v>261</v>
      </c>
      <c r="H60" s="123">
        <v>721</v>
      </c>
      <c r="I60" s="123">
        <v>558</v>
      </c>
      <c r="J60" s="123">
        <v>231</v>
      </c>
      <c r="K60" s="123">
        <f t="shared" si="0"/>
        <v>67</v>
      </c>
      <c r="M60" s="123">
        <v>41</v>
      </c>
      <c r="N60" t="b">
        <f t="shared" si="1"/>
        <v>0</v>
      </c>
      <c r="O60" s="123">
        <v>830</v>
      </c>
      <c r="P60" t="b">
        <f t="shared" si="2"/>
        <v>0</v>
      </c>
    </row>
    <row r="61" spans="1:16">
      <c r="A61" s="121">
        <v>60</v>
      </c>
      <c r="B61" s="184" t="s">
        <v>2171</v>
      </c>
      <c r="C61" s="186" t="s">
        <v>2264</v>
      </c>
      <c r="D61" s="122" t="s">
        <v>2260</v>
      </c>
      <c r="E61" s="124">
        <v>42938</v>
      </c>
      <c r="F61" s="124">
        <v>43005</v>
      </c>
      <c r="G61" s="123">
        <v>152</v>
      </c>
      <c r="H61" s="123">
        <v>763</v>
      </c>
      <c r="I61" s="123">
        <v>751</v>
      </c>
      <c r="J61" s="123">
        <v>297</v>
      </c>
      <c r="K61" s="123">
        <f t="shared" si="0"/>
        <v>67</v>
      </c>
      <c r="M61" s="123">
        <v>481</v>
      </c>
      <c r="N61" t="b">
        <f t="shared" si="1"/>
        <v>0</v>
      </c>
      <c r="O61" s="123">
        <v>725</v>
      </c>
      <c r="P61" t="b">
        <f t="shared" si="2"/>
        <v>0</v>
      </c>
    </row>
    <row r="62" spans="1:16">
      <c r="A62" s="121">
        <v>61</v>
      </c>
      <c r="B62" s="184" t="s">
        <v>2171</v>
      </c>
      <c r="C62" s="186" t="s">
        <v>2266</v>
      </c>
      <c r="D62" s="122" t="s">
        <v>2260</v>
      </c>
      <c r="E62" s="124">
        <v>42938</v>
      </c>
      <c r="F62" s="124">
        <v>43005</v>
      </c>
      <c r="G62" s="123">
        <v>191</v>
      </c>
      <c r="H62" s="123">
        <v>775</v>
      </c>
      <c r="I62" s="123">
        <v>748</v>
      </c>
      <c r="J62" s="123">
        <v>200</v>
      </c>
      <c r="K62" s="123">
        <f t="shared" si="0"/>
        <v>67</v>
      </c>
      <c r="M62" s="123">
        <v>261</v>
      </c>
      <c r="N62" t="b">
        <f t="shared" si="1"/>
        <v>0</v>
      </c>
      <c r="O62" s="123">
        <v>721</v>
      </c>
      <c r="P62" t="b">
        <f t="shared" si="2"/>
        <v>0</v>
      </c>
    </row>
    <row r="63" spans="1:16">
      <c r="A63" s="121">
        <v>62</v>
      </c>
      <c r="B63" s="184" t="s">
        <v>2171</v>
      </c>
      <c r="C63" s="186" t="s">
        <v>2267</v>
      </c>
      <c r="D63" s="122" t="s">
        <v>2260</v>
      </c>
      <c r="E63" s="125" t="s">
        <v>2055</v>
      </c>
      <c r="F63" s="124" t="s">
        <v>2055</v>
      </c>
      <c r="G63" s="125" t="s">
        <v>2055</v>
      </c>
      <c r="H63" s="125" t="s">
        <v>2055</v>
      </c>
      <c r="I63" s="125" t="s">
        <v>2055</v>
      </c>
      <c r="J63" s="125" t="s">
        <v>2055</v>
      </c>
      <c r="K63" s="123" t="str">
        <f t="shared" si="0"/>
        <v/>
      </c>
      <c r="M63" s="123">
        <v>152</v>
      </c>
      <c r="N63" t="b">
        <f t="shared" si="1"/>
        <v>0</v>
      </c>
      <c r="O63" s="123">
        <v>763</v>
      </c>
      <c r="P63" t="b">
        <f t="shared" si="2"/>
        <v>0</v>
      </c>
    </row>
    <row r="64" spans="1:16">
      <c r="A64" s="121">
        <v>63</v>
      </c>
      <c r="B64" s="184" t="s">
        <v>2171</v>
      </c>
      <c r="C64" s="186" t="s">
        <v>2269</v>
      </c>
      <c r="D64" s="122" t="s">
        <v>2260</v>
      </c>
      <c r="E64" s="124">
        <v>42938</v>
      </c>
      <c r="F64" s="124">
        <v>43005</v>
      </c>
      <c r="G64" s="123">
        <v>49</v>
      </c>
      <c r="H64" s="123">
        <v>733</v>
      </c>
      <c r="I64" s="123">
        <v>629</v>
      </c>
      <c r="J64" s="123">
        <v>713</v>
      </c>
      <c r="K64" s="123">
        <f t="shared" si="0"/>
        <v>67</v>
      </c>
      <c r="M64" s="123">
        <v>191</v>
      </c>
      <c r="N64" t="b">
        <f t="shared" si="1"/>
        <v>0</v>
      </c>
      <c r="O64" s="123">
        <v>775</v>
      </c>
      <c r="P64" t="b">
        <f t="shared" si="2"/>
        <v>0</v>
      </c>
    </row>
    <row r="65" spans="1:16">
      <c r="A65" s="121">
        <v>64</v>
      </c>
      <c r="B65" s="184" t="s">
        <v>2171</v>
      </c>
      <c r="C65" s="186" t="s">
        <v>2270</v>
      </c>
      <c r="D65" s="122" t="s">
        <v>2260</v>
      </c>
      <c r="E65" s="124">
        <v>42938</v>
      </c>
      <c r="F65" s="124">
        <v>43005</v>
      </c>
      <c r="G65" s="129">
        <v>347</v>
      </c>
      <c r="H65" s="123">
        <v>765</v>
      </c>
      <c r="I65" s="123">
        <v>84</v>
      </c>
      <c r="J65" s="129">
        <v>237</v>
      </c>
      <c r="K65" s="123">
        <f t="shared" si="0"/>
        <v>67</v>
      </c>
      <c r="M65" s="125" t="s">
        <v>2055</v>
      </c>
      <c r="N65" t="b">
        <f t="shared" si="1"/>
        <v>1</v>
      </c>
      <c r="O65" s="125" t="s">
        <v>2055</v>
      </c>
      <c r="P65" t="b">
        <f t="shared" si="2"/>
        <v>1</v>
      </c>
    </row>
    <row r="66" spans="1:16">
      <c r="A66" s="121">
        <v>65</v>
      </c>
      <c r="B66" s="184" t="s">
        <v>2271</v>
      </c>
      <c r="C66" s="184" t="s">
        <v>2272</v>
      </c>
      <c r="D66" s="122" t="s">
        <v>2273</v>
      </c>
      <c r="E66" s="124">
        <v>42937</v>
      </c>
      <c r="F66" s="124">
        <v>43005</v>
      </c>
      <c r="G66" s="123">
        <v>495</v>
      </c>
      <c r="H66" s="123">
        <v>731</v>
      </c>
      <c r="I66" s="163">
        <v>586</v>
      </c>
      <c r="J66" s="163">
        <v>654</v>
      </c>
      <c r="K66" s="123">
        <f t="shared" si="0"/>
        <v>68</v>
      </c>
      <c r="M66" s="123">
        <v>49</v>
      </c>
      <c r="N66" t="b">
        <f t="shared" si="1"/>
        <v>0</v>
      </c>
      <c r="O66" s="123">
        <v>733</v>
      </c>
      <c r="P66" t="b">
        <f t="shared" si="2"/>
        <v>0</v>
      </c>
    </row>
    <row r="67" spans="1:16">
      <c r="A67" s="121">
        <v>66</v>
      </c>
      <c r="B67" s="184" t="s">
        <v>2271</v>
      </c>
      <c r="C67" s="184" t="s">
        <v>2274</v>
      </c>
      <c r="D67" s="122" t="s">
        <v>2273</v>
      </c>
      <c r="E67" s="124">
        <v>42937</v>
      </c>
      <c r="F67" s="124">
        <v>43005</v>
      </c>
      <c r="G67" s="123">
        <v>247</v>
      </c>
      <c r="H67" s="123">
        <v>816</v>
      </c>
      <c r="I67" s="123">
        <v>851</v>
      </c>
      <c r="J67" s="123">
        <v>634</v>
      </c>
      <c r="K67" s="123">
        <f t="shared" ref="K67:K130" si="3">IFERROR(F67-E67,"")</f>
        <v>68</v>
      </c>
      <c r="M67" s="164">
        <v>347</v>
      </c>
      <c r="N67" t="b">
        <f t="shared" si="1"/>
        <v>1</v>
      </c>
      <c r="O67" s="123">
        <v>765</v>
      </c>
      <c r="P67" t="b">
        <f t="shared" si="2"/>
        <v>0</v>
      </c>
    </row>
    <row r="68" spans="1:16">
      <c r="A68" s="121">
        <v>67</v>
      </c>
      <c r="B68" s="184" t="s">
        <v>2271</v>
      </c>
      <c r="C68" s="184" t="s">
        <v>2275</v>
      </c>
      <c r="D68" s="122" t="s">
        <v>2273</v>
      </c>
      <c r="E68" s="125" t="s">
        <v>2505</v>
      </c>
      <c r="F68" s="124" t="s">
        <v>2055</v>
      </c>
      <c r="G68" s="125" t="s">
        <v>2505</v>
      </c>
      <c r="H68" s="125" t="s">
        <v>2505</v>
      </c>
      <c r="I68" s="125" t="s">
        <v>2505</v>
      </c>
      <c r="J68" s="125" t="s">
        <v>2505</v>
      </c>
      <c r="K68" s="123" t="str">
        <f t="shared" si="3"/>
        <v/>
      </c>
      <c r="M68" s="123">
        <v>495</v>
      </c>
      <c r="N68" t="b">
        <f t="shared" ref="N68:N131" si="4">COUNTIF($M$4:$M$443, M68)&gt;1</f>
        <v>0</v>
      </c>
      <c r="O68" s="123">
        <v>731</v>
      </c>
      <c r="P68" t="b">
        <f t="shared" si="2"/>
        <v>0</v>
      </c>
    </row>
    <row r="69" spans="1:16">
      <c r="A69" s="121">
        <v>68</v>
      </c>
      <c r="B69" s="184" t="s">
        <v>2271</v>
      </c>
      <c r="C69" s="184" t="s">
        <v>2276</v>
      </c>
      <c r="D69" s="122" t="s">
        <v>2273</v>
      </c>
      <c r="E69" s="124">
        <v>42937</v>
      </c>
      <c r="F69" s="124">
        <v>43005</v>
      </c>
      <c r="G69" s="123">
        <v>63</v>
      </c>
      <c r="H69" s="123">
        <v>815</v>
      </c>
      <c r="I69" s="123">
        <v>467</v>
      </c>
      <c r="J69" s="123">
        <v>201</v>
      </c>
      <c r="K69" s="123">
        <f t="shared" si="3"/>
        <v>68</v>
      </c>
      <c r="M69" s="123">
        <v>247</v>
      </c>
      <c r="N69" t="b">
        <f t="shared" si="4"/>
        <v>0</v>
      </c>
      <c r="O69" s="123">
        <v>816</v>
      </c>
      <c r="P69" t="b">
        <f t="shared" ref="P69:P132" si="5">COUNTIF($O$4:$O$443, O69)&gt;1</f>
        <v>0</v>
      </c>
    </row>
    <row r="70" spans="1:16">
      <c r="A70" s="121">
        <v>69</v>
      </c>
      <c r="B70" s="184" t="s">
        <v>2271</v>
      </c>
      <c r="C70" s="184" t="s">
        <v>2277</v>
      </c>
      <c r="D70" s="122" t="s">
        <v>2273</v>
      </c>
      <c r="E70" s="124">
        <v>42937</v>
      </c>
      <c r="F70" s="124">
        <v>43006</v>
      </c>
      <c r="G70" s="123">
        <v>382</v>
      </c>
      <c r="H70" s="123">
        <v>741</v>
      </c>
      <c r="I70" s="123">
        <v>766</v>
      </c>
      <c r="J70" s="123">
        <v>174</v>
      </c>
      <c r="K70" s="123">
        <f t="shared" si="3"/>
        <v>69</v>
      </c>
      <c r="M70" s="125" t="s">
        <v>2505</v>
      </c>
      <c r="N70" t="b">
        <f t="shared" si="4"/>
        <v>1</v>
      </c>
      <c r="O70" s="125" t="s">
        <v>2505</v>
      </c>
      <c r="P70" t="b">
        <f t="shared" si="5"/>
        <v>1</v>
      </c>
    </row>
    <row r="71" spans="1:16">
      <c r="A71" s="121">
        <v>70</v>
      </c>
      <c r="B71" s="184" t="s">
        <v>2271</v>
      </c>
      <c r="C71" s="184" t="s">
        <v>2278</v>
      </c>
      <c r="D71" s="122" t="s">
        <v>2273</v>
      </c>
      <c r="E71" s="124">
        <v>42937</v>
      </c>
      <c r="F71" s="124">
        <v>43006</v>
      </c>
      <c r="G71" s="123">
        <v>278</v>
      </c>
      <c r="H71" s="123">
        <v>294</v>
      </c>
      <c r="I71" s="129">
        <v>430</v>
      </c>
      <c r="J71" s="123">
        <v>261</v>
      </c>
      <c r="K71" s="123">
        <f t="shared" si="3"/>
        <v>69</v>
      </c>
      <c r="M71" s="123">
        <v>63</v>
      </c>
      <c r="N71" t="b">
        <f t="shared" si="4"/>
        <v>0</v>
      </c>
      <c r="O71" s="123">
        <v>815</v>
      </c>
      <c r="P71" t="b">
        <f t="shared" si="5"/>
        <v>0</v>
      </c>
    </row>
    <row r="72" spans="1:16">
      <c r="A72" s="121">
        <v>71</v>
      </c>
      <c r="B72" s="184" t="s">
        <v>2271</v>
      </c>
      <c r="C72" s="184" t="s">
        <v>2279</v>
      </c>
      <c r="D72" s="122" t="s">
        <v>2273</v>
      </c>
      <c r="E72" s="124">
        <v>42937</v>
      </c>
      <c r="F72" s="124">
        <v>43006</v>
      </c>
      <c r="G72" s="123">
        <v>138</v>
      </c>
      <c r="H72" s="123">
        <v>761</v>
      </c>
      <c r="I72" s="123">
        <v>174</v>
      </c>
      <c r="J72" s="123">
        <v>203</v>
      </c>
      <c r="K72" s="123">
        <f t="shared" si="3"/>
        <v>69</v>
      </c>
      <c r="M72" s="123">
        <v>382</v>
      </c>
      <c r="N72" t="b">
        <f t="shared" si="4"/>
        <v>0</v>
      </c>
      <c r="O72" s="123">
        <v>741</v>
      </c>
      <c r="P72" t="b">
        <f t="shared" si="5"/>
        <v>0</v>
      </c>
    </row>
    <row r="73" spans="1:16">
      <c r="A73" s="121">
        <v>72</v>
      </c>
      <c r="B73" s="184" t="s">
        <v>2271</v>
      </c>
      <c r="C73" s="184" t="s">
        <v>2280</v>
      </c>
      <c r="D73" s="122" t="s">
        <v>2273</v>
      </c>
      <c r="E73" s="124">
        <v>42937</v>
      </c>
      <c r="F73" s="124">
        <v>43006</v>
      </c>
      <c r="G73" s="123">
        <v>431</v>
      </c>
      <c r="H73" s="123">
        <v>780</v>
      </c>
      <c r="I73" s="123">
        <v>714</v>
      </c>
      <c r="J73" s="123">
        <v>191</v>
      </c>
      <c r="K73" s="123">
        <f t="shared" si="3"/>
        <v>69</v>
      </c>
      <c r="M73" s="123">
        <v>278</v>
      </c>
      <c r="N73" t="b">
        <f t="shared" si="4"/>
        <v>0</v>
      </c>
      <c r="O73" s="123">
        <v>294</v>
      </c>
      <c r="P73" t="b">
        <f t="shared" si="5"/>
        <v>0</v>
      </c>
    </row>
    <row r="74" spans="1:16">
      <c r="A74" s="121">
        <v>73</v>
      </c>
      <c r="B74" s="184" t="s">
        <v>2271</v>
      </c>
      <c r="C74" s="184" t="s">
        <v>2281</v>
      </c>
      <c r="D74" s="122" t="s">
        <v>2282</v>
      </c>
      <c r="E74" s="124">
        <v>42937</v>
      </c>
      <c r="F74" s="124">
        <v>43006</v>
      </c>
      <c r="G74" s="123">
        <v>321</v>
      </c>
      <c r="H74" s="123">
        <v>730</v>
      </c>
      <c r="I74" s="123">
        <v>726</v>
      </c>
      <c r="J74" s="123">
        <v>160</v>
      </c>
      <c r="K74" s="123">
        <f t="shared" si="3"/>
        <v>69</v>
      </c>
      <c r="M74" s="123">
        <v>138</v>
      </c>
      <c r="N74" t="b">
        <f t="shared" si="4"/>
        <v>0</v>
      </c>
      <c r="O74" s="123">
        <v>761</v>
      </c>
      <c r="P74" t="b">
        <f t="shared" si="5"/>
        <v>0</v>
      </c>
    </row>
    <row r="75" spans="1:16">
      <c r="A75" s="121">
        <v>74</v>
      </c>
      <c r="B75" s="184" t="s">
        <v>2271</v>
      </c>
      <c r="C75" s="184" t="s">
        <v>2283</v>
      </c>
      <c r="D75" s="122" t="s">
        <v>2282</v>
      </c>
      <c r="E75" s="124">
        <v>42937</v>
      </c>
      <c r="F75" s="124">
        <v>43006</v>
      </c>
      <c r="G75" s="123">
        <v>329</v>
      </c>
      <c r="H75" s="123">
        <v>825</v>
      </c>
      <c r="I75" s="123">
        <v>866</v>
      </c>
      <c r="J75" s="123">
        <v>275</v>
      </c>
      <c r="K75" s="123">
        <f t="shared" si="3"/>
        <v>69</v>
      </c>
      <c r="M75" s="123">
        <v>431</v>
      </c>
      <c r="N75" t="b">
        <f t="shared" si="4"/>
        <v>0</v>
      </c>
      <c r="O75" s="123">
        <v>780</v>
      </c>
      <c r="P75" t="b">
        <f t="shared" si="5"/>
        <v>0</v>
      </c>
    </row>
    <row r="76" spans="1:16">
      <c r="A76" s="121">
        <v>75</v>
      </c>
      <c r="B76" s="184" t="s">
        <v>2271</v>
      </c>
      <c r="C76" s="184" t="s">
        <v>2284</v>
      </c>
      <c r="D76" s="122" t="s">
        <v>2282</v>
      </c>
      <c r="E76" s="124">
        <v>42937</v>
      </c>
      <c r="F76" s="124">
        <v>43006</v>
      </c>
      <c r="G76" s="123">
        <v>215</v>
      </c>
      <c r="H76" s="123">
        <v>840</v>
      </c>
      <c r="I76" s="123">
        <v>705</v>
      </c>
      <c r="J76" s="123">
        <v>657</v>
      </c>
      <c r="K76" s="123">
        <f t="shared" si="3"/>
        <v>69</v>
      </c>
      <c r="M76" s="123">
        <v>321</v>
      </c>
      <c r="N76" t="b">
        <f t="shared" si="4"/>
        <v>0</v>
      </c>
      <c r="O76" s="123">
        <v>730</v>
      </c>
      <c r="P76" t="b">
        <f t="shared" si="5"/>
        <v>0</v>
      </c>
    </row>
    <row r="77" spans="1:16">
      <c r="A77" s="121">
        <v>76</v>
      </c>
      <c r="B77" s="184" t="s">
        <v>2271</v>
      </c>
      <c r="C77" s="184" t="s">
        <v>2285</v>
      </c>
      <c r="D77" s="122" t="s">
        <v>2282</v>
      </c>
      <c r="E77" s="124">
        <v>42937</v>
      </c>
      <c r="F77" s="124">
        <v>43006</v>
      </c>
      <c r="G77" s="132">
        <v>60</v>
      </c>
      <c r="H77" s="123">
        <v>770</v>
      </c>
      <c r="I77" s="123">
        <v>601</v>
      </c>
      <c r="J77" s="123">
        <v>306</v>
      </c>
      <c r="K77" s="123">
        <f t="shared" si="3"/>
        <v>69</v>
      </c>
      <c r="M77" s="123">
        <v>329</v>
      </c>
      <c r="N77" t="b">
        <f t="shared" si="4"/>
        <v>0</v>
      </c>
      <c r="O77" s="123">
        <v>825</v>
      </c>
      <c r="P77" t="b">
        <f t="shared" si="5"/>
        <v>0</v>
      </c>
    </row>
    <row r="78" spans="1:16">
      <c r="A78" s="121">
        <v>77</v>
      </c>
      <c r="B78" s="184" t="s">
        <v>2271</v>
      </c>
      <c r="C78" s="184" t="s">
        <v>2286</v>
      </c>
      <c r="D78" s="122" t="s">
        <v>2282</v>
      </c>
      <c r="E78" s="123" t="s">
        <v>2055</v>
      </c>
      <c r="F78" s="123" t="s">
        <v>2055</v>
      </c>
      <c r="G78" s="123" t="s">
        <v>2055</v>
      </c>
      <c r="H78" s="123" t="s">
        <v>2055</v>
      </c>
      <c r="I78" s="123" t="s">
        <v>2055</v>
      </c>
      <c r="J78" s="123" t="s">
        <v>2055</v>
      </c>
      <c r="K78" s="123" t="str">
        <f t="shared" si="3"/>
        <v/>
      </c>
      <c r="M78" s="123">
        <v>215</v>
      </c>
      <c r="N78" t="b">
        <f t="shared" si="4"/>
        <v>0</v>
      </c>
      <c r="O78" s="123">
        <v>840</v>
      </c>
      <c r="P78" t="b">
        <f t="shared" si="5"/>
        <v>0</v>
      </c>
    </row>
    <row r="79" spans="1:16">
      <c r="A79" s="121">
        <v>78</v>
      </c>
      <c r="B79" s="184" t="s">
        <v>2271</v>
      </c>
      <c r="C79" s="184" t="s">
        <v>2287</v>
      </c>
      <c r="D79" s="122" t="s">
        <v>2282</v>
      </c>
      <c r="E79" s="124">
        <v>42937</v>
      </c>
      <c r="F79" s="124">
        <v>43006</v>
      </c>
      <c r="G79" s="123">
        <v>97</v>
      </c>
      <c r="H79" s="123">
        <v>696</v>
      </c>
      <c r="I79" s="123">
        <v>157</v>
      </c>
      <c r="J79" s="123">
        <v>377</v>
      </c>
      <c r="K79" s="123">
        <f t="shared" si="3"/>
        <v>69</v>
      </c>
      <c r="M79" s="132">
        <v>60</v>
      </c>
      <c r="N79" t="b">
        <f t="shared" si="4"/>
        <v>0</v>
      </c>
      <c r="O79" s="123">
        <v>770</v>
      </c>
      <c r="P79" t="b">
        <f t="shared" si="5"/>
        <v>0</v>
      </c>
    </row>
    <row r="80" spans="1:16">
      <c r="A80" s="121">
        <v>79</v>
      </c>
      <c r="B80" s="184" t="s">
        <v>2271</v>
      </c>
      <c r="C80" s="184" t="s">
        <v>2288</v>
      </c>
      <c r="D80" s="122" t="s">
        <v>2282</v>
      </c>
      <c r="E80" s="124">
        <v>42937</v>
      </c>
      <c r="F80" s="124">
        <v>43006</v>
      </c>
      <c r="G80" s="123">
        <v>120</v>
      </c>
      <c r="H80" s="123">
        <v>270</v>
      </c>
      <c r="I80" s="123">
        <v>226</v>
      </c>
      <c r="J80" s="123">
        <v>61</v>
      </c>
      <c r="K80" s="123">
        <f t="shared" si="3"/>
        <v>69</v>
      </c>
      <c r="M80" s="123" t="s">
        <v>2055</v>
      </c>
      <c r="N80" t="b">
        <f t="shared" si="4"/>
        <v>1</v>
      </c>
      <c r="O80" s="123" t="s">
        <v>2055</v>
      </c>
      <c r="P80" t="b">
        <f t="shared" si="5"/>
        <v>1</v>
      </c>
    </row>
    <row r="81" spans="1:16">
      <c r="A81" s="121">
        <v>80</v>
      </c>
      <c r="B81" s="184" t="s">
        <v>2271</v>
      </c>
      <c r="C81" s="184" t="s">
        <v>2289</v>
      </c>
      <c r="D81" s="122" t="s">
        <v>2282</v>
      </c>
      <c r="E81" s="124">
        <v>42937</v>
      </c>
      <c r="F81" s="124">
        <v>43006</v>
      </c>
      <c r="G81" s="123">
        <v>24</v>
      </c>
      <c r="H81" s="123">
        <v>726</v>
      </c>
      <c r="I81" s="123">
        <v>855</v>
      </c>
      <c r="J81" s="129">
        <v>620</v>
      </c>
      <c r="K81" s="123">
        <f t="shared" si="3"/>
        <v>69</v>
      </c>
      <c r="M81" s="123">
        <v>97</v>
      </c>
      <c r="N81" t="b">
        <f t="shared" si="4"/>
        <v>0</v>
      </c>
      <c r="O81" s="123">
        <v>696</v>
      </c>
      <c r="P81" t="b">
        <f t="shared" si="5"/>
        <v>0</v>
      </c>
    </row>
    <row r="82" spans="1:16">
      <c r="A82" s="121">
        <v>81</v>
      </c>
      <c r="B82" s="184" t="s">
        <v>2271</v>
      </c>
      <c r="C82" s="184" t="s">
        <v>2290</v>
      </c>
      <c r="D82" s="122" t="s">
        <v>2291</v>
      </c>
      <c r="E82" s="124">
        <v>42937</v>
      </c>
      <c r="F82" s="124">
        <v>43006</v>
      </c>
      <c r="G82" s="123">
        <v>312</v>
      </c>
      <c r="H82" s="123">
        <v>739</v>
      </c>
      <c r="I82" s="123">
        <v>413</v>
      </c>
      <c r="J82" s="123">
        <v>366</v>
      </c>
      <c r="K82" s="123">
        <f t="shared" si="3"/>
        <v>69</v>
      </c>
      <c r="M82" s="164">
        <v>120</v>
      </c>
      <c r="N82" t="b">
        <f t="shared" si="4"/>
        <v>1</v>
      </c>
      <c r="O82" s="123">
        <v>270</v>
      </c>
      <c r="P82" t="b">
        <f t="shared" si="5"/>
        <v>0</v>
      </c>
    </row>
    <row r="83" spans="1:16">
      <c r="A83" s="121">
        <v>82</v>
      </c>
      <c r="B83" s="184" t="s">
        <v>2292</v>
      </c>
      <c r="C83" s="184" t="s">
        <v>2293</v>
      </c>
      <c r="D83" s="122" t="s">
        <v>2291</v>
      </c>
      <c r="E83" s="124">
        <v>42937</v>
      </c>
      <c r="F83" s="124">
        <v>43006</v>
      </c>
      <c r="G83" s="123">
        <v>356</v>
      </c>
      <c r="H83" s="123">
        <v>800</v>
      </c>
      <c r="I83" s="123">
        <v>370</v>
      </c>
      <c r="J83" s="123">
        <v>610</v>
      </c>
      <c r="K83" s="123">
        <f t="shared" si="3"/>
        <v>69</v>
      </c>
      <c r="M83" s="123">
        <v>24</v>
      </c>
      <c r="N83" t="b">
        <f t="shared" si="4"/>
        <v>0</v>
      </c>
      <c r="O83" s="123">
        <v>726</v>
      </c>
      <c r="P83" t="b">
        <f t="shared" si="5"/>
        <v>0</v>
      </c>
    </row>
    <row r="84" spans="1:16">
      <c r="A84" s="121">
        <v>83</v>
      </c>
      <c r="B84" s="184" t="s">
        <v>2292</v>
      </c>
      <c r="C84" s="184" t="s">
        <v>2294</v>
      </c>
      <c r="D84" s="122" t="s">
        <v>2291</v>
      </c>
      <c r="E84" s="124">
        <v>42937</v>
      </c>
      <c r="F84" s="124">
        <v>43006</v>
      </c>
      <c r="G84" s="123">
        <v>331</v>
      </c>
      <c r="H84" s="123">
        <v>764</v>
      </c>
      <c r="I84" s="123">
        <v>879</v>
      </c>
      <c r="J84" s="123">
        <v>614</v>
      </c>
      <c r="K84" s="123">
        <f t="shared" si="3"/>
        <v>69</v>
      </c>
      <c r="M84" s="123">
        <v>312</v>
      </c>
      <c r="N84" t="b">
        <f t="shared" si="4"/>
        <v>0</v>
      </c>
      <c r="O84" s="123">
        <v>739</v>
      </c>
      <c r="P84" t="b">
        <f t="shared" si="5"/>
        <v>0</v>
      </c>
    </row>
    <row r="85" spans="1:16">
      <c r="A85" s="121">
        <v>84</v>
      </c>
      <c r="B85" s="184" t="s">
        <v>2292</v>
      </c>
      <c r="C85" s="184" t="s">
        <v>2295</v>
      </c>
      <c r="D85" s="122" t="s">
        <v>2291</v>
      </c>
      <c r="E85" s="124">
        <v>42937</v>
      </c>
      <c r="F85" s="124">
        <v>43006</v>
      </c>
      <c r="G85" s="129">
        <v>101</v>
      </c>
      <c r="H85" s="123">
        <v>778</v>
      </c>
      <c r="I85" s="123">
        <v>854</v>
      </c>
      <c r="J85" s="123">
        <v>720</v>
      </c>
      <c r="K85" s="123">
        <f t="shared" si="3"/>
        <v>69</v>
      </c>
      <c r="M85" s="123">
        <v>356</v>
      </c>
      <c r="N85" t="b">
        <f t="shared" si="4"/>
        <v>0</v>
      </c>
      <c r="O85" s="123">
        <v>800</v>
      </c>
      <c r="P85" t="b">
        <f t="shared" si="5"/>
        <v>0</v>
      </c>
    </row>
    <row r="86" spans="1:16">
      <c r="A86" s="121">
        <v>85</v>
      </c>
      <c r="B86" s="184" t="s">
        <v>2292</v>
      </c>
      <c r="C86" s="184" t="s">
        <v>2296</v>
      </c>
      <c r="D86" s="122" t="s">
        <v>2291</v>
      </c>
      <c r="E86" s="123" t="s">
        <v>2055</v>
      </c>
      <c r="F86" s="123" t="s">
        <v>2055</v>
      </c>
      <c r="G86" s="123" t="s">
        <v>2055</v>
      </c>
      <c r="H86" s="123" t="s">
        <v>2055</v>
      </c>
      <c r="I86" s="123" t="s">
        <v>2055</v>
      </c>
      <c r="J86" s="123" t="s">
        <v>2055</v>
      </c>
      <c r="K86" s="123" t="str">
        <f t="shared" si="3"/>
        <v/>
      </c>
      <c r="M86" s="123">
        <v>331</v>
      </c>
      <c r="N86" t="b">
        <f t="shared" si="4"/>
        <v>0</v>
      </c>
      <c r="O86" s="123">
        <v>764</v>
      </c>
      <c r="P86" t="b">
        <f t="shared" si="5"/>
        <v>0</v>
      </c>
    </row>
    <row r="87" spans="1:16">
      <c r="A87" s="121">
        <v>86</v>
      </c>
      <c r="B87" s="184" t="s">
        <v>2292</v>
      </c>
      <c r="C87" s="184" t="s">
        <v>2297</v>
      </c>
      <c r="D87" s="122" t="s">
        <v>2291</v>
      </c>
      <c r="E87" s="124">
        <v>42937</v>
      </c>
      <c r="F87" s="124">
        <v>43006</v>
      </c>
      <c r="G87" s="123">
        <v>31</v>
      </c>
      <c r="H87" s="123">
        <v>738</v>
      </c>
      <c r="I87" s="123">
        <v>788</v>
      </c>
      <c r="J87" s="123">
        <v>643</v>
      </c>
      <c r="K87" s="123">
        <f t="shared" si="3"/>
        <v>69</v>
      </c>
      <c r="M87" s="129">
        <v>101</v>
      </c>
      <c r="N87" t="b">
        <f t="shared" si="4"/>
        <v>0</v>
      </c>
      <c r="O87" s="123">
        <v>778</v>
      </c>
      <c r="P87" t="b">
        <f t="shared" si="5"/>
        <v>0</v>
      </c>
    </row>
    <row r="88" spans="1:16">
      <c r="A88" s="121">
        <v>87</v>
      </c>
      <c r="B88" s="184" t="s">
        <v>2292</v>
      </c>
      <c r="C88" s="184" t="s">
        <v>2298</v>
      </c>
      <c r="D88" s="122" t="s">
        <v>2291</v>
      </c>
      <c r="E88" s="124">
        <v>42937</v>
      </c>
      <c r="F88" s="124">
        <v>43006</v>
      </c>
      <c r="G88" s="123">
        <v>220</v>
      </c>
      <c r="H88" s="123">
        <v>394</v>
      </c>
      <c r="I88" s="123">
        <v>91</v>
      </c>
      <c r="J88" s="123">
        <v>277</v>
      </c>
      <c r="K88" s="123">
        <f t="shared" si="3"/>
        <v>69</v>
      </c>
      <c r="M88" s="123" t="s">
        <v>2055</v>
      </c>
      <c r="N88" t="b">
        <f t="shared" si="4"/>
        <v>1</v>
      </c>
      <c r="O88" s="123" t="s">
        <v>2055</v>
      </c>
      <c r="P88" t="b">
        <f t="shared" si="5"/>
        <v>1</v>
      </c>
    </row>
    <row r="89" spans="1:16">
      <c r="A89" s="121">
        <v>88</v>
      </c>
      <c r="B89" s="184" t="s">
        <v>2292</v>
      </c>
      <c r="C89" s="184" t="s">
        <v>2299</v>
      </c>
      <c r="D89" s="122" t="s">
        <v>2291</v>
      </c>
      <c r="E89" s="124">
        <v>42937</v>
      </c>
      <c r="F89" s="124">
        <v>43006</v>
      </c>
      <c r="G89" s="123">
        <v>531</v>
      </c>
      <c r="H89" s="123">
        <v>819</v>
      </c>
      <c r="I89" s="123">
        <v>364</v>
      </c>
      <c r="J89" s="123">
        <v>197</v>
      </c>
      <c r="K89" s="123">
        <f t="shared" si="3"/>
        <v>69</v>
      </c>
      <c r="M89" s="123">
        <v>31</v>
      </c>
      <c r="N89" t="b">
        <f t="shared" si="4"/>
        <v>0</v>
      </c>
      <c r="O89" s="123">
        <v>738</v>
      </c>
      <c r="P89" t="b">
        <f t="shared" si="5"/>
        <v>0</v>
      </c>
    </row>
    <row r="90" spans="1:16">
      <c r="A90" s="121">
        <v>89</v>
      </c>
      <c r="B90" s="184" t="s">
        <v>2292</v>
      </c>
      <c r="C90" s="184" t="s">
        <v>2300</v>
      </c>
      <c r="D90" s="122" t="s">
        <v>2301</v>
      </c>
      <c r="E90" s="124">
        <v>42937</v>
      </c>
      <c r="F90" s="124">
        <v>43006</v>
      </c>
      <c r="G90" s="123">
        <v>35</v>
      </c>
      <c r="H90" s="123">
        <v>818</v>
      </c>
      <c r="I90" s="123">
        <v>862</v>
      </c>
      <c r="J90" s="123">
        <v>601</v>
      </c>
      <c r="K90" s="123">
        <f t="shared" si="3"/>
        <v>69</v>
      </c>
      <c r="M90" s="123">
        <v>220</v>
      </c>
      <c r="N90" t="b">
        <f t="shared" si="4"/>
        <v>0</v>
      </c>
      <c r="O90" s="123">
        <v>394</v>
      </c>
      <c r="P90" t="b">
        <f t="shared" si="5"/>
        <v>0</v>
      </c>
    </row>
    <row r="91" spans="1:16">
      <c r="A91" s="121">
        <v>90</v>
      </c>
      <c r="B91" s="184" t="s">
        <v>2292</v>
      </c>
      <c r="C91" s="184" t="s">
        <v>2302</v>
      </c>
      <c r="D91" s="122" t="s">
        <v>2301</v>
      </c>
      <c r="E91" s="124">
        <v>42937</v>
      </c>
      <c r="F91" s="124">
        <v>43006</v>
      </c>
      <c r="G91" s="123">
        <v>264</v>
      </c>
      <c r="H91" s="123">
        <v>767</v>
      </c>
      <c r="I91" s="123">
        <v>330</v>
      </c>
      <c r="J91" s="123">
        <v>220</v>
      </c>
      <c r="K91" s="123">
        <f t="shared" si="3"/>
        <v>69</v>
      </c>
      <c r="M91" s="123">
        <v>531</v>
      </c>
      <c r="N91" t="b">
        <f t="shared" si="4"/>
        <v>0</v>
      </c>
      <c r="O91" s="164">
        <v>819</v>
      </c>
      <c r="P91" t="b">
        <f t="shared" si="5"/>
        <v>1</v>
      </c>
    </row>
    <row r="92" spans="1:16">
      <c r="A92" s="121">
        <v>91</v>
      </c>
      <c r="B92" s="184" t="s">
        <v>2292</v>
      </c>
      <c r="C92" s="184" t="s">
        <v>2303</v>
      </c>
      <c r="D92" s="122" t="s">
        <v>2301</v>
      </c>
      <c r="E92" s="124">
        <v>42937</v>
      </c>
      <c r="F92" s="124">
        <v>43006</v>
      </c>
      <c r="G92" s="123">
        <v>13</v>
      </c>
      <c r="H92" s="123">
        <v>787</v>
      </c>
      <c r="I92" s="123">
        <v>596</v>
      </c>
      <c r="J92" s="123">
        <v>659</v>
      </c>
      <c r="K92" s="123">
        <f t="shared" si="3"/>
        <v>69</v>
      </c>
      <c r="M92" s="123">
        <v>35</v>
      </c>
      <c r="N92" t="b">
        <f t="shared" si="4"/>
        <v>0</v>
      </c>
      <c r="O92" s="123">
        <v>818</v>
      </c>
      <c r="P92" t="b">
        <f t="shared" si="5"/>
        <v>0</v>
      </c>
    </row>
    <row r="93" spans="1:16">
      <c r="A93" s="121">
        <v>92</v>
      </c>
      <c r="B93" s="184" t="s">
        <v>2292</v>
      </c>
      <c r="C93" s="184" t="s">
        <v>2304</v>
      </c>
      <c r="D93" s="122" t="s">
        <v>2301</v>
      </c>
      <c r="E93" s="124">
        <v>42937</v>
      </c>
      <c r="F93" s="124">
        <v>43006</v>
      </c>
      <c r="G93" s="123">
        <v>324</v>
      </c>
      <c r="H93" s="123">
        <v>812</v>
      </c>
      <c r="I93" s="123">
        <v>380</v>
      </c>
      <c r="J93" s="129">
        <v>619</v>
      </c>
      <c r="K93" s="123">
        <f t="shared" si="3"/>
        <v>69</v>
      </c>
      <c r="M93" s="123">
        <v>264</v>
      </c>
      <c r="N93" t="b">
        <f t="shared" si="4"/>
        <v>0</v>
      </c>
      <c r="O93" s="123">
        <v>767</v>
      </c>
      <c r="P93" t="b">
        <f t="shared" si="5"/>
        <v>0</v>
      </c>
    </row>
    <row r="94" spans="1:16">
      <c r="A94" s="121">
        <v>93</v>
      </c>
      <c r="B94" s="184" t="s">
        <v>2292</v>
      </c>
      <c r="C94" s="184" t="s">
        <v>2305</v>
      </c>
      <c r="D94" s="122" t="s">
        <v>2301</v>
      </c>
      <c r="E94" s="124">
        <v>42937</v>
      </c>
      <c r="F94" s="124">
        <v>43006</v>
      </c>
      <c r="G94" s="123">
        <v>99</v>
      </c>
      <c r="H94" s="123">
        <v>675</v>
      </c>
      <c r="I94" s="123">
        <v>872</v>
      </c>
      <c r="J94" s="123">
        <v>106</v>
      </c>
      <c r="K94" s="123">
        <f t="shared" si="3"/>
        <v>69</v>
      </c>
      <c r="M94" s="123">
        <v>13</v>
      </c>
      <c r="N94" t="b">
        <f t="shared" si="4"/>
        <v>0</v>
      </c>
      <c r="O94" s="123">
        <v>787</v>
      </c>
      <c r="P94" t="b">
        <f t="shared" si="5"/>
        <v>0</v>
      </c>
    </row>
    <row r="95" spans="1:16">
      <c r="A95" s="121">
        <v>94</v>
      </c>
      <c r="B95" s="184" t="s">
        <v>2292</v>
      </c>
      <c r="C95" s="184" t="s">
        <v>2306</v>
      </c>
      <c r="D95" s="122" t="s">
        <v>2301</v>
      </c>
      <c r="E95" s="123" t="s">
        <v>2055</v>
      </c>
      <c r="F95" s="123" t="s">
        <v>2055</v>
      </c>
      <c r="G95" s="123" t="s">
        <v>2055</v>
      </c>
      <c r="H95" s="123" t="s">
        <v>2055</v>
      </c>
      <c r="I95" s="123" t="s">
        <v>2055</v>
      </c>
      <c r="J95" s="123" t="s">
        <v>2055</v>
      </c>
      <c r="K95" s="123" t="str">
        <f t="shared" si="3"/>
        <v/>
      </c>
      <c r="M95" s="123">
        <v>324</v>
      </c>
      <c r="N95" t="b">
        <f t="shared" si="4"/>
        <v>0</v>
      </c>
      <c r="O95" s="123">
        <v>812</v>
      </c>
      <c r="P95" t="b">
        <f t="shared" si="5"/>
        <v>0</v>
      </c>
    </row>
    <row r="96" spans="1:16">
      <c r="A96" s="121">
        <v>95</v>
      </c>
      <c r="B96" s="184" t="s">
        <v>2292</v>
      </c>
      <c r="C96" s="184" t="s">
        <v>2307</v>
      </c>
      <c r="D96" s="122" t="s">
        <v>2301</v>
      </c>
      <c r="E96" s="124">
        <v>42937</v>
      </c>
      <c r="F96" s="124">
        <v>43006</v>
      </c>
      <c r="G96" s="123">
        <v>126</v>
      </c>
      <c r="H96" s="123">
        <v>794</v>
      </c>
      <c r="I96" s="123">
        <v>844</v>
      </c>
      <c r="J96" s="123">
        <v>233</v>
      </c>
      <c r="K96" s="123">
        <f t="shared" si="3"/>
        <v>69</v>
      </c>
      <c r="M96" s="123">
        <v>99</v>
      </c>
      <c r="N96" t="b">
        <f t="shared" si="4"/>
        <v>0</v>
      </c>
      <c r="O96" s="123">
        <v>675</v>
      </c>
      <c r="P96" t="b">
        <f t="shared" si="5"/>
        <v>0</v>
      </c>
    </row>
    <row r="97" spans="1:16">
      <c r="A97" s="121">
        <v>96</v>
      </c>
      <c r="B97" s="184" t="s">
        <v>2292</v>
      </c>
      <c r="C97" s="184" t="s">
        <v>2308</v>
      </c>
      <c r="D97" s="122" t="s">
        <v>2301</v>
      </c>
      <c r="E97" s="124">
        <v>42937</v>
      </c>
      <c r="F97" s="124">
        <v>43006</v>
      </c>
      <c r="G97" s="123">
        <v>244</v>
      </c>
      <c r="H97" s="123">
        <v>737</v>
      </c>
      <c r="I97" s="123">
        <v>372</v>
      </c>
      <c r="J97" s="123">
        <v>698</v>
      </c>
      <c r="K97" s="123">
        <f t="shared" si="3"/>
        <v>69</v>
      </c>
      <c r="M97" s="123" t="s">
        <v>2055</v>
      </c>
      <c r="N97" t="b">
        <f t="shared" si="4"/>
        <v>1</v>
      </c>
      <c r="O97" s="123" t="s">
        <v>2055</v>
      </c>
      <c r="P97" t="b">
        <f t="shared" si="5"/>
        <v>1</v>
      </c>
    </row>
    <row r="98" spans="1:16">
      <c r="A98" s="121">
        <v>97</v>
      </c>
      <c r="B98" s="184" t="s">
        <v>2309</v>
      </c>
      <c r="C98" s="184" t="s">
        <v>2310</v>
      </c>
      <c r="D98" s="122" t="s">
        <v>2173</v>
      </c>
      <c r="E98" s="124">
        <v>42939</v>
      </c>
      <c r="F98" s="124">
        <v>43010</v>
      </c>
      <c r="G98" s="123">
        <v>432</v>
      </c>
      <c r="H98" s="123">
        <v>801</v>
      </c>
      <c r="I98" s="123">
        <v>3</v>
      </c>
      <c r="J98" s="123">
        <v>47</v>
      </c>
      <c r="K98" s="123">
        <f t="shared" si="3"/>
        <v>71</v>
      </c>
      <c r="M98" s="123">
        <v>126</v>
      </c>
      <c r="N98" t="b">
        <f t="shared" si="4"/>
        <v>0</v>
      </c>
      <c r="O98" s="123">
        <v>794</v>
      </c>
      <c r="P98" t="b">
        <f t="shared" si="5"/>
        <v>0</v>
      </c>
    </row>
    <row r="99" spans="1:16">
      <c r="A99" s="121">
        <v>98</v>
      </c>
      <c r="B99" s="184" t="s">
        <v>2309</v>
      </c>
      <c r="C99" s="184" t="s">
        <v>2311</v>
      </c>
      <c r="D99" s="122" t="s">
        <v>2173</v>
      </c>
      <c r="E99" s="124">
        <v>42939</v>
      </c>
      <c r="F99" s="124">
        <v>43010</v>
      </c>
      <c r="G99" s="123">
        <v>184</v>
      </c>
      <c r="H99" s="123">
        <v>808</v>
      </c>
      <c r="I99" s="123">
        <v>25</v>
      </c>
      <c r="J99" s="123">
        <v>707</v>
      </c>
      <c r="K99" s="123">
        <f t="shared" si="3"/>
        <v>71</v>
      </c>
      <c r="M99" s="123">
        <v>244</v>
      </c>
      <c r="N99" t="b">
        <f t="shared" si="4"/>
        <v>0</v>
      </c>
      <c r="O99" s="123">
        <v>737</v>
      </c>
      <c r="P99" t="b">
        <f t="shared" si="5"/>
        <v>0</v>
      </c>
    </row>
    <row r="100" spans="1:16">
      <c r="A100" s="121">
        <v>99</v>
      </c>
      <c r="B100" s="184" t="s">
        <v>2309</v>
      </c>
      <c r="C100" s="184" t="s">
        <v>2312</v>
      </c>
      <c r="D100" s="122" t="s">
        <v>2173</v>
      </c>
      <c r="E100" s="123" t="s">
        <v>2055</v>
      </c>
      <c r="F100" s="123" t="s">
        <v>2055</v>
      </c>
      <c r="G100" s="123" t="s">
        <v>2055</v>
      </c>
      <c r="H100" s="123" t="s">
        <v>2055</v>
      </c>
      <c r="I100" s="123" t="s">
        <v>2055</v>
      </c>
      <c r="J100" s="123" t="s">
        <v>2055</v>
      </c>
      <c r="K100" s="123" t="str">
        <f t="shared" si="3"/>
        <v/>
      </c>
      <c r="M100" s="123">
        <v>432</v>
      </c>
      <c r="N100" t="b">
        <f t="shared" si="4"/>
        <v>0</v>
      </c>
      <c r="O100" s="123">
        <v>801</v>
      </c>
      <c r="P100" t="b">
        <f t="shared" si="5"/>
        <v>0</v>
      </c>
    </row>
    <row r="101" spans="1:16">
      <c r="A101" s="121">
        <v>100</v>
      </c>
      <c r="B101" s="184" t="s">
        <v>2309</v>
      </c>
      <c r="C101" s="184" t="s">
        <v>2313</v>
      </c>
      <c r="D101" s="122" t="s">
        <v>2173</v>
      </c>
      <c r="E101" s="124">
        <v>42939</v>
      </c>
      <c r="F101" s="124">
        <v>43010</v>
      </c>
      <c r="G101" s="123">
        <v>176</v>
      </c>
      <c r="H101" s="123">
        <v>276</v>
      </c>
      <c r="I101" s="123">
        <v>187</v>
      </c>
      <c r="J101" s="123">
        <v>641</v>
      </c>
      <c r="K101" s="123">
        <f t="shared" si="3"/>
        <v>71</v>
      </c>
      <c r="M101" s="123">
        <v>184</v>
      </c>
      <c r="N101" t="b">
        <f t="shared" si="4"/>
        <v>0</v>
      </c>
      <c r="O101" s="123">
        <v>808</v>
      </c>
      <c r="P101" t="b">
        <f t="shared" si="5"/>
        <v>0</v>
      </c>
    </row>
    <row r="102" spans="1:16">
      <c r="A102" s="121">
        <v>101</v>
      </c>
      <c r="B102" s="184" t="s">
        <v>2309</v>
      </c>
      <c r="C102" s="184" t="s">
        <v>2315</v>
      </c>
      <c r="D102" s="122" t="s">
        <v>2173</v>
      </c>
      <c r="E102" s="124">
        <v>42939</v>
      </c>
      <c r="F102" s="124">
        <v>43010</v>
      </c>
      <c r="G102" s="123">
        <v>11</v>
      </c>
      <c r="H102" s="123">
        <v>624</v>
      </c>
      <c r="I102" s="123">
        <v>398</v>
      </c>
      <c r="J102" s="123">
        <v>245</v>
      </c>
      <c r="K102" s="123">
        <f t="shared" si="3"/>
        <v>71</v>
      </c>
      <c r="M102" s="123" t="s">
        <v>2055</v>
      </c>
      <c r="N102" t="b">
        <f t="shared" si="4"/>
        <v>1</v>
      </c>
      <c r="O102" s="123" t="s">
        <v>2055</v>
      </c>
      <c r="P102" t="b">
        <f t="shared" si="5"/>
        <v>1</v>
      </c>
    </row>
    <row r="103" spans="1:16">
      <c r="A103" s="121">
        <v>102</v>
      </c>
      <c r="B103" s="184" t="s">
        <v>2309</v>
      </c>
      <c r="C103" s="184" t="s">
        <v>2316</v>
      </c>
      <c r="D103" s="122" t="s">
        <v>2173</v>
      </c>
      <c r="E103" s="124">
        <v>42939</v>
      </c>
      <c r="F103" s="124">
        <v>43010</v>
      </c>
      <c r="G103" s="123">
        <v>284</v>
      </c>
      <c r="H103" s="123">
        <v>781</v>
      </c>
      <c r="I103" s="123">
        <v>120</v>
      </c>
      <c r="J103" s="123">
        <v>714</v>
      </c>
      <c r="K103" s="123">
        <f t="shared" si="3"/>
        <v>71</v>
      </c>
      <c r="M103" s="123">
        <v>176</v>
      </c>
      <c r="N103" t="b">
        <f t="shared" si="4"/>
        <v>0</v>
      </c>
      <c r="O103" s="123">
        <v>276</v>
      </c>
      <c r="P103" t="b">
        <f t="shared" si="5"/>
        <v>0</v>
      </c>
    </row>
    <row r="104" spans="1:16">
      <c r="A104" s="121">
        <v>103</v>
      </c>
      <c r="B104" s="184" t="s">
        <v>2309</v>
      </c>
      <c r="C104" s="184" t="s">
        <v>2317</v>
      </c>
      <c r="D104" s="122" t="s">
        <v>2173</v>
      </c>
      <c r="E104" s="124">
        <v>42939</v>
      </c>
      <c r="F104" s="124">
        <v>43010</v>
      </c>
      <c r="G104" s="123">
        <v>326</v>
      </c>
      <c r="H104" s="123">
        <v>772</v>
      </c>
      <c r="I104" s="123">
        <v>145</v>
      </c>
      <c r="J104" s="123">
        <v>701</v>
      </c>
      <c r="K104" s="123">
        <f t="shared" si="3"/>
        <v>71</v>
      </c>
      <c r="M104" s="123">
        <v>11</v>
      </c>
      <c r="N104" t="b">
        <f t="shared" si="4"/>
        <v>0</v>
      </c>
      <c r="O104" s="123">
        <v>624</v>
      </c>
      <c r="P104" t="b">
        <f t="shared" si="5"/>
        <v>0</v>
      </c>
    </row>
    <row r="105" spans="1:16">
      <c r="A105" s="121">
        <v>104</v>
      </c>
      <c r="B105" s="184" t="s">
        <v>2309</v>
      </c>
      <c r="C105" s="184" t="s">
        <v>2318</v>
      </c>
      <c r="D105" s="122" t="s">
        <v>2173</v>
      </c>
      <c r="E105" s="124">
        <v>42939</v>
      </c>
      <c r="F105" s="124">
        <v>43010</v>
      </c>
      <c r="G105" s="123">
        <v>162</v>
      </c>
      <c r="H105" s="123">
        <v>744</v>
      </c>
      <c r="I105" s="123">
        <v>76</v>
      </c>
      <c r="J105" s="163">
        <v>365</v>
      </c>
      <c r="K105" s="123">
        <f t="shared" si="3"/>
        <v>71</v>
      </c>
      <c r="M105" s="123">
        <v>284</v>
      </c>
      <c r="N105" t="b">
        <f t="shared" si="4"/>
        <v>0</v>
      </c>
      <c r="O105" s="123">
        <v>781</v>
      </c>
      <c r="P105" t="b">
        <f t="shared" si="5"/>
        <v>0</v>
      </c>
    </row>
    <row r="106" spans="1:16">
      <c r="A106" s="121">
        <v>105</v>
      </c>
      <c r="B106" s="184" t="s">
        <v>2309</v>
      </c>
      <c r="C106" s="184" t="s">
        <v>2319</v>
      </c>
      <c r="D106" s="122" t="s">
        <v>2189</v>
      </c>
      <c r="E106" s="124">
        <v>42939</v>
      </c>
      <c r="F106" s="124">
        <v>43010</v>
      </c>
      <c r="G106" s="123">
        <v>6</v>
      </c>
      <c r="H106" s="123">
        <v>824</v>
      </c>
      <c r="I106" s="123">
        <v>57</v>
      </c>
      <c r="J106" s="123">
        <v>212</v>
      </c>
      <c r="K106" s="123">
        <f t="shared" si="3"/>
        <v>71</v>
      </c>
      <c r="M106" s="123">
        <v>326</v>
      </c>
      <c r="N106" t="b">
        <f t="shared" si="4"/>
        <v>0</v>
      </c>
      <c r="O106" s="123">
        <v>772</v>
      </c>
      <c r="P106" t="b">
        <f t="shared" si="5"/>
        <v>0</v>
      </c>
    </row>
    <row r="107" spans="1:16">
      <c r="A107" s="121">
        <v>106</v>
      </c>
      <c r="B107" s="184" t="s">
        <v>2309</v>
      </c>
      <c r="C107" s="184" t="s">
        <v>2320</v>
      </c>
      <c r="D107" s="122" t="s">
        <v>2189</v>
      </c>
      <c r="E107" s="124">
        <v>42939</v>
      </c>
      <c r="F107" s="124">
        <v>43010</v>
      </c>
      <c r="G107" s="123">
        <v>20</v>
      </c>
      <c r="H107" s="123">
        <v>790</v>
      </c>
      <c r="I107" s="123">
        <v>167</v>
      </c>
      <c r="J107" s="123">
        <v>66</v>
      </c>
      <c r="K107" s="123">
        <f t="shared" si="3"/>
        <v>71</v>
      </c>
      <c r="M107" s="123">
        <v>162</v>
      </c>
      <c r="N107" t="b">
        <f t="shared" si="4"/>
        <v>0</v>
      </c>
      <c r="O107" s="123">
        <v>744</v>
      </c>
      <c r="P107" t="b">
        <f t="shared" si="5"/>
        <v>0</v>
      </c>
    </row>
    <row r="108" spans="1:16">
      <c r="A108" s="121">
        <v>107</v>
      </c>
      <c r="B108" s="184" t="s">
        <v>2309</v>
      </c>
      <c r="C108" s="184" t="s">
        <v>2321</v>
      </c>
      <c r="D108" s="122" t="s">
        <v>2189</v>
      </c>
      <c r="E108" s="124">
        <v>42939</v>
      </c>
      <c r="F108" s="124">
        <v>43010</v>
      </c>
      <c r="G108" s="123">
        <v>129</v>
      </c>
      <c r="H108" s="123">
        <v>809</v>
      </c>
      <c r="I108" s="123">
        <v>208</v>
      </c>
      <c r="J108" s="123">
        <v>347</v>
      </c>
      <c r="K108" s="123">
        <f t="shared" si="3"/>
        <v>71</v>
      </c>
      <c r="M108" s="123">
        <v>6</v>
      </c>
      <c r="N108" t="b">
        <f t="shared" si="4"/>
        <v>0</v>
      </c>
      <c r="O108" s="123">
        <v>824</v>
      </c>
      <c r="P108" t="b">
        <f t="shared" si="5"/>
        <v>0</v>
      </c>
    </row>
    <row r="109" spans="1:16">
      <c r="A109" s="121">
        <v>108</v>
      </c>
      <c r="B109" s="184" t="s">
        <v>2309</v>
      </c>
      <c r="C109" s="184" t="s">
        <v>2322</v>
      </c>
      <c r="D109" s="122" t="s">
        <v>2189</v>
      </c>
      <c r="E109" s="124">
        <v>42939</v>
      </c>
      <c r="F109" s="124">
        <v>43010</v>
      </c>
      <c r="G109" s="123">
        <v>258</v>
      </c>
      <c r="H109" s="123">
        <v>777</v>
      </c>
      <c r="I109" s="123">
        <v>62</v>
      </c>
      <c r="J109" s="123">
        <v>206</v>
      </c>
      <c r="K109" s="123">
        <f t="shared" si="3"/>
        <v>71</v>
      </c>
      <c r="M109" s="123">
        <v>20</v>
      </c>
      <c r="N109" t="b">
        <f t="shared" si="4"/>
        <v>0</v>
      </c>
      <c r="O109" s="123">
        <v>790</v>
      </c>
      <c r="P109" t="b">
        <f t="shared" si="5"/>
        <v>0</v>
      </c>
    </row>
    <row r="110" spans="1:16">
      <c r="A110" s="121">
        <v>109</v>
      </c>
      <c r="B110" s="184" t="s">
        <v>2309</v>
      </c>
      <c r="C110" s="184" t="s">
        <v>2324</v>
      </c>
      <c r="D110" s="122" t="s">
        <v>2189</v>
      </c>
      <c r="E110" s="124">
        <v>42939</v>
      </c>
      <c r="F110" s="124">
        <v>43010</v>
      </c>
      <c r="G110" s="123">
        <v>294</v>
      </c>
      <c r="H110" s="123">
        <v>804</v>
      </c>
      <c r="I110" s="123">
        <v>102</v>
      </c>
      <c r="J110" s="123">
        <v>299</v>
      </c>
      <c r="K110" s="123">
        <f t="shared" si="3"/>
        <v>71</v>
      </c>
      <c r="M110" s="123">
        <v>129</v>
      </c>
      <c r="N110" t="b">
        <f t="shared" si="4"/>
        <v>0</v>
      </c>
      <c r="O110" s="123">
        <v>809</v>
      </c>
      <c r="P110" t="b">
        <f t="shared" si="5"/>
        <v>0</v>
      </c>
    </row>
    <row r="111" spans="1:16">
      <c r="A111" s="121">
        <v>110</v>
      </c>
      <c r="B111" s="184" t="s">
        <v>2309</v>
      </c>
      <c r="C111" s="184" t="s">
        <v>2325</v>
      </c>
      <c r="D111" s="122" t="s">
        <v>2189</v>
      </c>
      <c r="E111" s="124">
        <v>42939</v>
      </c>
      <c r="F111" s="124">
        <v>43010</v>
      </c>
      <c r="G111" s="123">
        <v>350</v>
      </c>
      <c r="H111" s="123">
        <v>786</v>
      </c>
      <c r="I111" s="123">
        <v>265</v>
      </c>
      <c r="J111" s="123">
        <v>636</v>
      </c>
      <c r="K111" s="123">
        <f t="shared" si="3"/>
        <v>71</v>
      </c>
      <c r="M111" s="123">
        <v>258</v>
      </c>
      <c r="N111" t="b">
        <f t="shared" si="4"/>
        <v>0</v>
      </c>
      <c r="O111" s="123">
        <v>777</v>
      </c>
      <c r="P111" t="b">
        <f t="shared" si="5"/>
        <v>0</v>
      </c>
    </row>
    <row r="112" spans="1:16">
      <c r="A112" s="121">
        <v>111</v>
      </c>
      <c r="B112" s="184" t="s">
        <v>2309</v>
      </c>
      <c r="C112" s="184" t="s">
        <v>2326</v>
      </c>
      <c r="D112" s="122" t="s">
        <v>2189</v>
      </c>
      <c r="E112" s="124">
        <v>42939</v>
      </c>
      <c r="F112" s="124">
        <v>43010</v>
      </c>
      <c r="G112" s="123">
        <v>274</v>
      </c>
      <c r="H112" s="123">
        <v>835</v>
      </c>
      <c r="I112" s="123">
        <v>455</v>
      </c>
      <c r="J112" s="123">
        <v>239</v>
      </c>
      <c r="K112" s="123">
        <f t="shared" si="3"/>
        <v>71</v>
      </c>
      <c r="M112" s="123">
        <v>294</v>
      </c>
      <c r="N112" t="b">
        <f t="shared" si="4"/>
        <v>0</v>
      </c>
      <c r="O112" s="123">
        <v>804</v>
      </c>
      <c r="P112" t="b">
        <f t="shared" si="5"/>
        <v>0</v>
      </c>
    </row>
    <row r="113" spans="1:16">
      <c r="A113" s="121">
        <v>112</v>
      </c>
      <c r="B113" s="184" t="s">
        <v>2309</v>
      </c>
      <c r="C113" s="184" t="s">
        <v>2327</v>
      </c>
      <c r="D113" s="122" t="s">
        <v>2189</v>
      </c>
      <c r="E113" s="124" t="s">
        <v>2055</v>
      </c>
      <c r="F113" s="124" t="s">
        <v>2055</v>
      </c>
      <c r="G113" s="124" t="s">
        <v>2055</v>
      </c>
      <c r="H113" s="124" t="s">
        <v>2055</v>
      </c>
      <c r="I113" s="124" t="s">
        <v>2055</v>
      </c>
      <c r="J113" s="124" t="s">
        <v>2055</v>
      </c>
      <c r="K113" s="123" t="str">
        <f t="shared" si="3"/>
        <v/>
      </c>
      <c r="M113" s="123">
        <v>350</v>
      </c>
      <c r="N113" t="b">
        <f t="shared" si="4"/>
        <v>0</v>
      </c>
      <c r="O113" s="123">
        <v>786</v>
      </c>
      <c r="P113" t="b">
        <f t="shared" si="5"/>
        <v>0</v>
      </c>
    </row>
    <row r="114" spans="1:16">
      <c r="A114" s="121">
        <v>113</v>
      </c>
      <c r="B114" s="184" t="s">
        <v>2309</v>
      </c>
      <c r="C114" s="184" t="s">
        <v>2328</v>
      </c>
      <c r="D114" s="122" t="s">
        <v>2203</v>
      </c>
      <c r="E114" s="124">
        <v>42939</v>
      </c>
      <c r="F114" s="124">
        <v>43008</v>
      </c>
      <c r="G114" s="123">
        <v>314</v>
      </c>
      <c r="H114" s="123">
        <v>807</v>
      </c>
      <c r="I114" s="123">
        <v>490</v>
      </c>
      <c r="J114" s="123">
        <v>313</v>
      </c>
      <c r="K114" s="123">
        <f t="shared" si="3"/>
        <v>69</v>
      </c>
      <c r="M114" s="123">
        <v>274</v>
      </c>
      <c r="N114" t="b">
        <f t="shared" si="4"/>
        <v>0</v>
      </c>
      <c r="O114" s="123">
        <v>835</v>
      </c>
      <c r="P114" t="b">
        <f t="shared" si="5"/>
        <v>0</v>
      </c>
    </row>
    <row r="115" spans="1:16">
      <c r="A115" s="121">
        <v>114</v>
      </c>
      <c r="B115" s="184" t="s">
        <v>2309</v>
      </c>
      <c r="C115" s="184" t="s">
        <v>2329</v>
      </c>
      <c r="D115" s="122" t="s">
        <v>2203</v>
      </c>
      <c r="E115" s="124">
        <v>42939</v>
      </c>
      <c r="F115" s="124">
        <v>43008</v>
      </c>
      <c r="G115" s="123">
        <v>263</v>
      </c>
      <c r="H115" s="123">
        <v>829</v>
      </c>
      <c r="I115" s="123">
        <v>650</v>
      </c>
      <c r="J115" s="123">
        <v>247</v>
      </c>
      <c r="K115" s="123">
        <f t="shared" si="3"/>
        <v>69</v>
      </c>
      <c r="M115" s="124" t="s">
        <v>2055</v>
      </c>
      <c r="N115" t="b">
        <f t="shared" si="4"/>
        <v>1</v>
      </c>
      <c r="O115" s="124" t="s">
        <v>2055</v>
      </c>
      <c r="P115" t="b">
        <f t="shared" si="5"/>
        <v>1</v>
      </c>
    </row>
    <row r="116" spans="1:16">
      <c r="A116" s="121">
        <v>115</v>
      </c>
      <c r="B116" s="184" t="s">
        <v>2309</v>
      </c>
      <c r="C116" s="184" t="s">
        <v>2330</v>
      </c>
      <c r="D116" s="122" t="s">
        <v>2203</v>
      </c>
      <c r="E116" s="124">
        <v>42939</v>
      </c>
      <c r="F116" s="124">
        <v>43008</v>
      </c>
      <c r="G116" s="123">
        <v>125</v>
      </c>
      <c r="H116" s="123">
        <v>766</v>
      </c>
      <c r="I116" s="123">
        <v>873</v>
      </c>
      <c r="J116" s="123">
        <v>671</v>
      </c>
      <c r="K116" s="123">
        <f t="shared" si="3"/>
        <v>69</v>
      </c>
      <c r="M116" s="123">
        <v>314</v>
      </c>
      <c r="N116" t="b">
        <f t="shared" si="4"/>
        <v>0</v>
      </c>
      <c r="O116" s="123">
        <v>807</v>
      </c>
      <c r="P116" t="b">
        <f t="shared" si="5"/>
        <v>0</v>
      </c>
    </row>
    <row r="117" spans="1:16">
      <c r="A117" s="121">
        <v>116</v>
      </c>
      <c r="B117" s="184" t="s">
        <v>2309</v>
      </c>
      <c r="C117" s="184" t="s">
        <v>2331</v>
      </c>
      <c r="D117" s="122" t="s">
        <v>2203</v>
      </c>
      <c r="E117" s="124">
        <v>42939</v>
      </c>
      <c r="F117" s="124">
        <v>43008</v>
      </c>
      <c r="G117" s="123">
        <v>189</v>
      </c>
      <c r="H117" s="123">
        <v>757</v>
      </c>
      <c r="I117" s="123">
        <v>206</v>
      </c>
      <c r="J117" s="123">
        <v>638</v>
      </c>
      <c r="K117" s="123">
        <f t="shared" si="3"/>
        <v>69</v>
      </c>
      <c r="M117" s="123">
        <v>263</v>
      </c>
      <c r="N117" t="b">
        <f t="shared" si="4"/>
        <v>0</v>
      </c>
      <c r="O117" s="123">
        <v>829</v>
      </c>
      <c r="P117" t="b">
        <f t="shared" si="5"/>
        <v>0</v>
      </c>
    </row>
    <row r="118" spans="1:16">
      <c r="A118" s="121">
        <v>117</v>
      </c>
      <c r="B118" s="184" t="s">
        <v>2309</v>
      </c>
      <c r="C118" s="184" t="s">
        <v>2332</v>
      </c>
      <c r="D118" s="122" t="s">
        <v>2203</v>
      </c>
      <c r="E118" s="124">
        <v>42939</v>
      </c>
      <c r="F118" s="124">
        <v>43008</v>
      </c>
      <c r="G118" s="123">
        <v>533</v>
      </c>
      <c r="H118" s="123">
        <v>745</v>
      </c>
      <c r="I118" s="123">
        <v>163</v>
      </c>
      <c r="J118" s="123">
        <v>719</v>
      </c>
      <c r="K118" s="123">
        <f t="shared" si="3"/>
        <v>69</v>
      </c>
      <c r="M118" s="123">
        <v>125</v>
      </c>
      <c r="N118" t="b">
        <f t="shared" si="4"/>
        <v>0</v>
      </c>
      <c r="O118" s="123">
        <v>766</v>
      </c>
      <c r="P118" t="b">
        <f t="shared" si="5"/>
        <v>0</v>
      </c>
    </row>
    <row r="119" spans="1:16">
      <c r="A119" s="121">
        <v>118</v>
      </c>
      <c r="B119" s="184" t="s">
        <v>2309</v>
      </c>
      <c r="C119" s="184" t="s">
        <v>2333</v>
      </c>
      <c r="D119" s="122" t="s">
        <v>2203</v>
      </c>
      <c r="E119" s="124">
        <v>42939</v>
      </c>
      <c r="F119" s="124">
        <v>43008</v>
      </c>
      <c r="G119" s="123">
        <v>200</v>
      </c>
      <c r="H119" s="123">
        <v>791</v>
      </c>
      <c r="I119" s="123">
        <v>83</v>
      </c>
      <c r="J119" s="123">
        <v>173</v>
      </c>
      <c r="K119" s="123">
        <f t="shared" si="3"/>
        <v>69</v>
      </c>
      <c r="M119" s="123">
        <v>189</v>
      </c>
      <c r="N119" t="b">
        <f t="shared" si="4"/>
        <v>0</v>
      </c>
      <c r="O119" s="123">
        <v>757</v>
      </c>
      <c r="P119" t="b">
        <f t="shared" si="5"/>
        <v>0</v>
      </c>
    </row>
    <row r="120" spans="1:16">
      <c r="A120" s="121">
        <v>119</v>
      </c>
      <c r="B120" s="184" t="s">
        <v>2309</v>
      </c>
      <c r="C120" s="184" t="s">
        <v>2334</v>
      </c>
      <c r="D120" s="122" t="s">
        <v>2203</v>
      </c>
      <c r="E120" s="124">
        <v>42939</v>
      </c>
      <c r="F120" s="124">
        <v>43008</v>
      </c>
      <c r="G120" s="123">
        <v>236</v>
      </c>
      <c r="H120" s="123">
        <v>802</v>
      </c>
      <c r="I120" s="123">
        <v>159</v>
      </c>
      <c r="J120" s="123">
        <v>373</v>
      </c>
      <c r="K120" s="123">
        <f t="shared" si="3"/>
        <v>69</v>
      </c>
      <c r="M120" s="123">
        <v>533</v>
      </c>
      <c r="N120" t="b">
        <f t="shared" si="4"/>
        <v>0</v>
      </c>
      <c r="O120" s="123">
        <v>745</v>
      </c>
      <c r="P120" t="b">
        <f t="shared" si="5"/>
        <v>0</v>
      </c>
    </row>
    <row r="121" spans="1:16">
      <c r="A121" s="121">
        <v>120</v>
      </c>
      <c r="B121" s="184" t="s">
        <v>2309</v>
      </c>
      <c r="C121" s="184" t="s">
        <v>2335</v>
      </c>
      <c r="D121" s="122" t="s">
        <v>2203</v>
      </c>
      <c r="E121" s="124" t="s">
        <v>2055</v>
      </c>
      <c r="F121" s="124" t="s">
        <v>2055</v>
      </c>
      <c r="G121" s="124" t="s">
        <v>2055</v>
      </c>
      <c r="H121" s="124" t="s">
        <v>2055</v>
      </c>
      <c r="I121" s="124" t="s">
        <v>2055</v>
      </c>
      <c r="J121" s="124" t="s">
        <v>2055</v>
      </c>
      <c r="K121" s="123" t="str">
        <f t="shared" si="3"/>
        <v/>
      </c>
      <c r="M121" s="123">
        <v>200</v>
      </c>
      <c r="N121" t="b">
        <f t="shared" si="4"/>
        <v>0</v>
      </c>
      <c r="O121" s="123">
        <v>791</v>
      </c>
      <c r="P121" t="b">
        <f t="shared" si="5"/>
        <v>0</v>
      </c>
    </row>
    <row r="122" spans="1:16">
      <c r="A122" s="121">
        <v>121</v>
      </c>
      <c r="B122" s="184" t="s">
        <v>2309</v>
      </c>
      <c r="C122" s="184" t="s">
        <v>2336</v>
      </c>
      <c r="D122" s="122" t="s">
        <v>2213</v>
      </c>
      <c r="E122" s="124">
        <v>42939</v>
      </c>
      <c r="F122" s="124">
        <v>43008</v>
      </c>
      <c r="G122" s="123">
        <v>280</v>
      </c>
      <c r="H122" s="123">
        <v>822</v>
      </c>
      <c r="I122" s="123">
        <v>16</v>
      </c>
      <c r="J122" s="123">
        <v>374</v>
      </c>
      <c r="K122" s="123">
        <f t="shared" si="3"/>
        <v>69</v>
      </c>
      <c r="M122" s="123">
        <v>236</v>
      </c>
      <c r="N122" t="b">
        <f t="shared" si="4"/>
        <v>0</v>
      </c>
      <c r="O122" s="123">
        <v>802</v>
      </c>
      <c r="P122" t="b">
        <f t="shared" si="5"/>
        <v>0</v>
      </c>
    </row>
    <row r="123" spans="1:16">
      <c r="A123" s="121">
        <v>122</v>
      </c>
      <c r="B123" s="184" t="s">
        <v>2309</v>
      </c>
      <c r="C123" s="184" t="s">
        <v>2337</v>
      </c>
      <c r="D123" s="122" t="s">
        <v>2213</v>
      </c>
      <c r="E123" s="124">
        <v>42939</v>
      </c>
      <c r="F123" s="124">
        <v>43008</v>
      </c>
      <c r="G123" s="123">
        <v>231</v>
      </c>
      <c r="H123" s="123">
        <v>792</v>
      </c>
      <c r="I123" s="123">
        <v>109</v>
      </c>
      <c r="J123" s="123">
        <v>388</v>
      </c>
      <c r="K123" s="123">
        <f t="shared" si="3"/>
        <v>69</v>
      </c>
      <c r="M123" s="124" t="s">
        <v>2055</v>
      </c>
      <c r="N123" t="b">
        <f t="shared" si="4"/>
        <v>1</v>
      </c>
      <c r="O123" s="124" t="s">
        <v>2055</v>
      </c>
      <c r="P123" t="b">
        <f t="shared" si="5"/>
        <v>1</v>
      </c>
    </row>
    <row r="124" spans="1:16">
      <c r="A124" s="121">
        <v>123</v>
      </c>
      <c r="B124" s="184" t="s">
        <v>2309</v>
      </c>
      <c r="C124" s="184" t="s">
        <v>2338</v>
      </c>
      <c r="D124" s="122" t="s">
        <v>2213</v>
      </c>
      <c r="E124" s="124">
        <v>42939</v>
      </c>
      <c r="F124" s="124">
        <v>43008</v>
      </c>
      <c r="G124" s="123">
        <v>292</v>
      </c>
      <c r="H124" s="129">
        <v>740</v>
      </c>
      <c r="I124" s="123">
        <v>344</v>
      </c>
      <c r="J124" s="123">
        <v>281</v>
      </c>
      <c r="K124" s="123">
        <f t="shared" si="3"/>
        <v>69</v>
      </c>
      <c r="M124" s="123">
        <v>280</v>
      </c>
      <c r="N124" t="b">
        <f t="shared" si="4"/>
        <v>0</v>
      </c>
      <c r="O124" s="123">
        <v>822</v>
      </c>
      <c r="P124" t="b">
        <f t="shared" si="5"/>
        <v>0</v>
      </c>
    </row>
    <row r="125" spans="1:16">
      <c r="A125" s="121">
        <v>124</v>
      </c>
      <c r="B125" s="184" t="s">
        <v>2309</v>
      </c>
      <c r="C125" s="184" t="s">
        <v>2340</v>
      </c>
      <c r="D125" s="122" t="s">
        <v>2213</v>
      </c>
      <c r="E125" s="124">
        <v>42939</v>
      </c>
      <c r="F125" s="124">
        <v>43008</v>
      </c>
      <c r="G125" s="123">
        <v>116</v>
      </c>
      <c r="H125" s="123">
        <v>797</v>
      </c>
      <c r="I125" s="123">
        <v>221</v>
      </c>
      <c r="J125" s="123">
        <v>443</v>
      </c>
      <c r="K125" s="123">
        <f t="shared" si="3"/>
        <v>69</v>
      </c>
      <c r="M125" s="123">
        <v>231</v>
      </c>
      <c r="N125" t="b">
        <f t="shared" si="4"/>
        <v>0</v>
      </c>
      <c r="O125" s="123">
        <v>792</v>
      </c>
      <c r="P125" t="b">
        <f t="shared" si="5"/>
        <v>0</v>
      </c>
    </row>
    <row r="126" spans="1:16">
      <c r="A126" s="121">
        <v>125</v>
      </c>
      <c r="B126" s="184" t="s">
        <v>2309</v>
      </c>
      <c r="C126" s="184" t="s">
        <v>2341</v>
      </c>
      <c r="D126" s="122" t="s">
        <v>2213</v>
      </c>
      <c r="E126" s="124">
        <v>42939</v>
      </c>
      <c r="F126" s="124">
        <v>43008</v>
      </c>
      <c r="G126" s="123">
        <v>50</v>
      </c>
      <c r="H126" s="123">
        <v>795</v>
      </c>
      <c r="I126" s="123">
        <v>757</v>
      </c>
      <c r="J126" s="123">
        <v>180</v>
      </c>
      <c r="K126" s="123">
        <f t="shared" si="3"/>
        <v>69</v>
      </c>
      <c r="M126" s="123">
        <v>292</v>
      </c>
      <c r="N126" t="b">
        <f t="shared" si="4"/>
        <v>0</v>
      </c>
      <c r="O126" s="129">
        <v>740</v>
      </c>
      <c r="P126" t="b">
        <f t="shared" si="5"/>
        <v>0</v>
      </c>
    </row>
    <row r="127" spans="1:16">
      <c r="A127" s="121">
        <v>126</v>
      </c>
      <c r="B127" s="184" t="s">
        <v>2309</v>
      </c>
      <c r="C127" s="184" t="s">
        <v>2342</v>
      </c>
      <c r="D127" s="122" t="s">
        <v>2213</v>
      </c>
      <c r="E127" s="124" t="s">
        <v>2055</v>
      </c>
      <c r="F127" s="124" t="s">
        <v>2055</v>
      </c>
      <c r="G127" s="124" t="s">
        <v>2055</v>
      </c>
      <c r="H127" s="124" t="s">
        <v>2055</v>
      </c>
      <c r="I127" s="124" t="s">
        <v>2055</v>
      </c>
      <c r="J127" s="124" t="s">
        <v>2055</v>
      </c>
      <c r="K127" s="123" t="str">
        <f t="shared" si="3"/>
        <v/>
      </c>
      <c r="M127" s="123">
        <v>116</v>
      </c>
      <c r="N127" t="b">
        <f t="shared" si="4"/>
        <v>0</v>
      </c>
      <c r="O127" s="123">
        <v>797</v>
      </c>
      <c r="P127" t="b">
        <f t="shared" si="5"/>
        <v>0</v>
      </c>
    </row>
    <row r="128" spans="1:16">
      <c r="A128" s="121">
        <v>127</v>
      </c>
      <c r="B128" s="184" t="s">
        <v>2309</v>
      </c>
      <c r="C128" s="184" t="s">
        <v>2343</v>
      </c>
      <c r="D128" s="122" t="s">
        <v>2213</v>
      </c>
      <c r="E128" s="124">
        <v>42939</v>
      </c>
      <c r="F128" s="124">
        <v>43008</v>
      </c>
      <c r="G128" s="123">
        <v>318</v>
      </c>
      <c r="H128" s="123">
        <v>751</v>
      </c>
      <c r="I128" s="123">
        <v>96</v>
      </c>
      <c r="J128" s="123">
        <v>229</v>
      </c>
      <c r="K128" s="123">
        <f t="shared" si="3"/>
        <v>69</v>
      </c>
      <c r="M128" s="123">
        <v>50</v>
      </c>
      <c r="N128" t="b">
        <f t="shared" si="4"/>
        <v>0</v>
      </c>
      <c r="O128" s="123">
        <v>795</v>
      </c>
      <c r="P128" t="b">
        <f t="shared" si="5"/>
        <v>0</v>
      </c>
    </row>
    <row r="129" spans="1:16">
      <c r="A129" s="121">
        <v>128</v>
      </c>
      <c r="B129" s="184" t="s">
        <v>2309</v>
      </c>
      <c r="C129" s="184" t="s">
        <v>2344</v>
      </c>
      <c r="D129" s="122" t="s">
        <v>2213</v>
      </c>
      <c r="E129" s="124">
        <v>42939</v>
      </c>
      <c r="F129" s="124">
        <v>43008</v>
      </c>
      <c r="G129" s="123">
        <v>34</v>
      </c>
      <c r="H129" s="123">
        <v>819</v>
      </c>
      <c r="I129" s="123">
        <v>134</v>
      </c>
      <c r="J129" s="123">
        <v>272</v>
      </c>
      <c r="K129" s="123">
        <f t="shared" si="3"/>
        <v>69</v>
      </c>
      <c r="M129" s="124" t="s">
        <v>2055</v>
      </c>
      <c r="N129" t="b">
        <f t="shared" si="4"/>
        <v>1</v>
      </c>
      <c r="O129" s="124" t="s">
        <v>2055</v>
      </c>
      <c r="P129" t="b">
        <f t="shared" si="5"/>
        <v>1</v>
      </c>
    </row>
    <row r="130" spans="1:16">
      <c r="A130" s="121">
        <v>129</v>
      </c>
      <c r="B130" s="184" t="s">
        <v>2309</v>
      </c>
      <c r="C130" s="184" t="s">
        <v>2345</v>
      </c>
      <c r="D130" s="122" t="s">
        <v>2222</v>
      </c>
      <c r="E130" s="124">
        <v>42939</v>
      </c>
      <c r="F130" s="124">
        <v>43008</v>
      </c>
      <c r="G130" s="123">
        <v>80</v>
      </c>
      <c r="H130" s="123">
        <v>768</v>
      </c>
      <c r="I130" s="123">
        <v>671</v>
      </c>
      <c r="J130" s="123">
        <v>207</v>
      </c>
      <c r="K130" s="123">
        <f t="shared" si="3"/>
        <v>69</v>
      </c>
      <c r="M130" s="123">
        <v>318</v>
      </c>
      <c r="N130" t="b">
        <f t="shared" si="4"/>
        <v>0</v>
      </c>
      <c r="O130" s="123">
        <v>751</v>
      </c>
      <c r="P130" t="b">
        <f t="shared" si="5"/>
        <v>0</v>
      </c>
    </row>
    <row r="131" spans="1:16">
      <c r="A131" s="121">
        <v>130</v>
      </c>
      <c r="B131" s="184" t="s">
        <v>2309</v>
      </c>
      <c r="C131" s="184" t="s">
        <v>2346</v>
      </c>
      <c r="D131" s="122" t="s">
        <v>2222</v>
      </c>
      <c r="E131" s="124">
        <v>42939</v>
      </c>
      <c r="F131" s="124">
        <v>43008</v>
      </c>
      <c r="G131" s="123">
        <v>64</v>
      </c>
      <c r="H131" s="123">
        <v>789</v>
      </c>
      <c r="I131" s="123">
        <v>400</v>
      </c>
      <c r="J131" s="123">
        <v>193</v>
      </c>
      <c r="K131" s="123">
        <f t="shared" ref="K131:K194" si="6">IFERROR(F131-E131,"")</f>
        <v>69</v>
      </c>
      <c r="M131" s="123">
        <v>34</v>
      </c>
      <c r="N131" t="b">
        <f t="shared" si="4"/>
        <v>0</v>
      </c>
      <c r="O131" s="164">
        <v>819</v>
      </c>
      <c r="P131" t="b">
        <f t="shared" si="5"/>
        <v>1</v>
      </c>
    </row>
    <row r="132" spans="1:16">
      <c r="A132" s="121">
        <v>131</v>
      </c>
      <c r="B132" s="184" t="s">
        <v>2309</v>
      </c>
      <c r="C132" s="184" t="s">
        <v>2347</v>
      </c>
      <c r="D132" s="122" t="s">
        <v>2222</v>
      </c>
      <c r="E132" s="124">
        <v>42939</v>
      </c>
      <c r="F132" s="124">
        <v>43008</v>
      </c>
      <c r="G132" s="123">
        <v>118</v>
      </c>
      <c r="H132" s="123">
        <v>586</v>
      </c>
      <c r="I132" s="123">
        <v>48</v>
      </c>
      <c r="J132" s="123">
        <v>188</v>
      </c>
      <c r="K132" s="123">
        <f t="shared" si="6"/>
        <v>69</v>
      </c>
      <c r="M132" s="123">
        <v>80</v>
      </c>
      <c r="N132" t="b">
        <f t="shared" ref="N132:N195" si="7">COUNTIF($M$4:$M$443, M132)&gt;1</f>
        <v>0</v>
      </c>
      <c r="O132" s="123">
        <v>768</v>
      </c>
      <c r="P132" t="b">
        <f t="shared" si="5"/>
        <v>0</v>
      </c>
    </row>
    <row r="133" spans="1:16">
      <c r="A133" s="121">
        <v>132</v>
      </c>
      <c r="B133" s="184" t="s">
        <v>2309</v>
      </c>
      <c r="C133" s="184" t="s">
        <v>2348</v>
      </c>
      <c r="D133" s="122" t="s">
        <v>2222</v>
      </c>
      <c r="E133" s="124" t="s">
        <v>2055</v>
      </c>
      <c r="F133" s="124" t="s">
        <v>2055</v>
      </c>
      <c r="G133" s="124" t="s">
        <v>2055</v>
      </c>
      <c r="H133" s="124" t="s">
        <v>2055</v>
      </c>
      <c r="I133" s="124" t="s">
        <v>2055</v>
      </c>
      <c r="J133" s="124" t="s">
        <v>2055</v>
      </c>
      <c r="K133" s="123" t="str">
        <f t="shared" si="6"/>
        <v/>
      </c>
      <c r="M133" s="123">
        <v>64</v>
      </c>
      <c r="N133" t="b">
        <f t="shared" si="7"/>
        <v>0</v>
      </c>
      <c r="O133" s="123">
        <v>789</v>
      </c>
      <c r="P133" t="b">
        <f t="shared" ref="P133:P196" si="8">COUNTIF($O$4:$O$443, O133)&gt;1</f>
        <v>0</v>
      </c>
    </row>
    <row r="134" spans="1:16">
      <c r="A134" s="121">
        <v>133</v>
      </c>
      <c r="B134" s="184" t="s">
        <v>2309</v>
      </c>
      <c r="C134" s="184" t="s">
        <v>2349</v>
      </c>
      <c r="D134" s="122" t="s">
        <v>2222</v>
      </c>
      <c r="E134" s="124">
        <v>42939</v>
      </c>
      <c r="F134" s="124">
        <v>43008</v>
      </c>
      <c r="G134" s="123">
        <v>270</v>
      </c>
      <c r="H134" s="123">
        <v>817</v>
      </c>
      <c r="I134" s="123">
        <v>210</v>
      </c>
      <c r="J134" s="123">
        <v>683</v>
      </c>
      <c r="K134" s="123">
        <f t="shared" si="6"/>
        <v>69</v>
      </c>
      <c r="M134" s="123">
        <v>118</v>
      </c>
      <c r="N134" t="b">
        <f t="shared" si="7"/>
        <v>0</v>
      </c>
      <c r="O134" s="123">
        <v>586</v>
      </c>
      <c r="P134" t="b">
        <f t="shared" si="8"/>
        <v>0</v>
      </c>
    </row>
    <row r="135" spans="1:16">
      <c r="A135" s="121">
        <v>134</v>
      </c>
      <c r="B135" s="184" t="s">
        <v>2309</v>
      </c>
      <c r="C135" s="184" t="s">
        <v>2350</v>
      </c>
      <c r="D135" s="122" t="s">
        <v>2222</v>
      </c>
      <c r="E135" s="124">
        <v>42939</v>
      </c>
      <c r="F135" s="124">
        <v>43008</v>
      </c>
      <c r="G135" s="123">
        <v>316</v>
      </c>
      <c r="H135" s="123">
        <v>837</v>
      </c>
      <c r="I135" s="123">
        <v>40</v>
      </c>
      <c r="J135" s="123">
        <v>649</v>
      </c>
      <c r="K135" s="123">
        <f t="shared" si="6"/>
        <v>69</v>
      </c>
      <c r="M135" s="124" t="s">
        <v>2055</v>
      </c>
      <c r="N135" t="b">
        <f t="shared" si="7"/>
        <v>1</v>
      </c>
      <c r="O135" s="124" t="s">
        <v>2055</v>
      </c>
      <c r="P135" t="b">
        <f t="shared" si="8"/>
        <v>1</v>
      </c>
    </row>
    <row r="136" spans="1:16">
      <c r="A136" s="121">
        <v>135</v>
      </c>
      <c r="B136" s="184" t="s">
        <v>2309</v>
      </c>
      <c r="C136" s="184" t="s">
        <v>2351</v>
      </c>
      <c r="D136" s="122" t="s">
        <v>2222</v>
      </c>
      <c r="E136" s="124">
        <v>42939</v>
      </c>
      <c r="F136" s="124">
        <v>43008</v>
      </c>
      <c r="G136" s="123">
        <v>77</v>
      </c>
      <c r="H136" s="123">
        <v>756</v>
      </c>
      <c r="I136" s="123">
        <v>517</v>
      </c>
      <c r="J136" s="123">
        <v>222</v>
      </c>
      <c r="K136" s="123">
        <f t="shared" si="6"/>
        <v>69</v>
      </c>
      <c r="M136" s="123">
        <v>270</v>
      </c>
      <c r="N136" t="b">
        <f t="shared" si="7"/>
        <v>0</v>
      </c>
      <c r="O136" s="123">
        <v>817</v>
      </c>
      <c r="P136" t="b">
        <f t="shared" si="8"/>
        <v>0</v>
      </c>
    </row>
    <row r="137" spans="1:16">
      <c r="A137" s="121">
        <v>136</v>
      </c>
      <c r="B137" s="184" t="s">
        <v>2309</v>
      </c>
      <c r="C137" s="184" t="s">
        <v>2352</v>
      </c>
      <c r="D137" s="122" t="s">
        <v>2222</v>
      </c>
      <c r="E137" s="124">
        <v>42939</v>
      </c>
      <c r="F137" s="124">
        <v>43008</v>
      </c>
      <c r="G137" s="123">
        <v>332</v>
      </c>
      <c r="H137" s="123">
        <v>184</v>
      </c>
      <c r="I137" s="123">
        <v>67</v>
      </c>
      <c r="J137" s="123">
        <v>214</v>
      </c>
      <c r="K137" s="123">
        <f t="shared" si="6"/>
        <v>69</v>
      </c>
      <c r="M137" s="123">
        <v>316</v>
      </c>
      <c r="N137" t="b">
        <f t="shared" si="7"/>
        <v>0</v>
      </c>
      <c r="O137" s="123">
        <v>837</v>
      </c>
      <c r="P137" t="b">
        <f t="shared" si="8"/>
        <v>0</v>
      </c>
    </row>
    <row r="138" spans="1:16">
      <c r="A138" s="121">
        <v>137</v>
      </c>
      <c r="B138" s="184" t="s">
        <v>2309</v>
      </c>
      <c r="C138" s="184" t="s">
        <v>2353</v>
      </c>
      <c r="D138" s="122" t="s">
        <v>2239</v>
      </c>
      <c r="E138" s="124">
        <v>42939</v>
      </c>
      <c r="F138" s="124">
        <v>43008</v>
      </c>
      <c r="G138" s="123">
        <v>30</v>
      </c>
      <c r="H138" s="123">
        <v>746</v>
      </c>
      <c r="I138" s="123">
        <v>335</v>
      </c>
      <c r="J138" s="123">
        <v>628</v>
      </c>
      <c r="K138" s="123">
        <f t="shared" si="6"/>
        <v>69</v>
      </c>
      <c r="M138" s="123">
        <v>77</v>
      </c>
      <c r="N138" t="b">
        <f t="shared" si="7"/>
        <v>0</v>
      </c>
      <c r="O138" s="123">
        <v>756</v>
      </c>
      <c r="P138" t="b">
        <f t="shared" si="8"/>
        <v>0</v>
      </c>
    </row>
    <row r="139" spans="1:16">
      <c r="A139" s="121">
        <v>138</v>
      </c>
      <c r="B139" s="184" t="s">
        <v>2309</v>
      </c>
      <c r="C139" s="184" t="s">
        <v>2354</v>
      </c>
      <c r="D139" s="122" t="s">
        <v>2239</v>
      </c>
      <c r="E139" s="124">
        <v>42939</v>
      </c>
      <c r="F139" s="124">
        <v>43008</v>
      </c>
      <c r="G139" s="123">
        <v>213</v>
      </c>
      <c r="H139" s="123">
        <v>821</v>
      </c>
      <c r="I139" s="123">
        <v>484</v>
      </c>
      <c r="J139" s="123">
        <v>198</v>
      </c>
      <c r="K139" s="123">
        <f t="shared" si="6"/>
        <v>69</v>
      </c>
      <c r="M139" s="123">
        <v>332</v>
      </c>
      <c r="N139" t="b">
        <f t="shared" si="7"/>
        <v>0</v>
      </c>
      <c r="O139" s="123">
        <v>184</v>
      </c>
      <c r="P139" t="b">
        <f t="shared" si="8"/>
        <v>0</v>
      </c>
    </row>
    <row r="140" spans="1:16">
      <c r="A140" s="121">
        <v>139</v>
      </c>
      <c r="B140" s="184" t="s">
        <v>2309</v>
      </c>
      <c r="C140" s="184" t="s">
        <v>2355</v>
      </c>
      <c r="D140" s="122" t="s">
        <v>2239</v>
      </c>
      <c r="E140" s="124">
        <v>42939</v>
      </c>
      <c r="F140" s="124">
        <v>43008</v>
      </c>
      <c r="G140" s="129">
        <v>250</v>
      </c>
      <c r="H140" s="123">
        <v>813</v>
      </c>
      <c r="I140" s="123">
        <v>868</v>
      </c>
      <c r="J140" s="123">
        <v>706</v>
      </c>
      <c r="K140" s="123">
        <f t="shared" si="6"/>
        <v>69</v>
      </c>
      <c r="M140" s="123">
        <v>30</v>
      </c>
      <c r="N140" t="b">
        <f t="shared" si="7"/>
        <v>0</v>
      </c>
      <c r="O140" s="123">
        <v>746</v>
      </c>
      <c r="P140" t="b">
        <f t="shared" si="8"/>
        <v>0</v>
      </c>
    </row>
    <row r="141" spans="1:16">
      <c r="A141" s="121">
        <v>140</v>
      </c>
      <c r="B141" s="184" t="s">
        <v>2309</v>
      </c>
      <c r="C141" s="184" t="s">
        <v>2357</v>
      </c>
      <c r="D141" s="122" t="s">
        <v>2239</v>
      </c>
      <c r="E141" s="124">
        <v>42939</v>
      </c>
      <c r="F141" s="124">
        <v>43008</v>
      </c>
      <c r="G141" s="123">
        <v>401</v>
      </c>
      <c r="H141" s="123">
        <v>729</v>
      </c>
      <c r="I141" s="123">
        <v>792</v>
      </c>
      <c r="J141" s="123">
        <v>710</v>
      </c>
      <c r="K141" s="123">
        <f t="shared" si="6"/>
        <v>69</v>
      </c>
      <c r="M141" s="123">
        <v>213</v>
      </c>
      <c r="N141" t="b">
        <f t="shared" si="7"/>
        <v>0</v>
      </c>
      <c r="O141" s="123">
        <v>821</v>
      </c>
      <c r="P141" t="b">
        <f t="shared" si="8"/>
        <v>0</v>
      </c>
    </row>
    <row r="142" spans="1:16">
      <c r="A142" s="121">
        <v>141</v>
      </c>
      <c r="B142" s="184" t="s">
        <v>2309</v>
      </c>
      <c r="C142" s="184" t="s">
        <v>2358</v>
      </c>
      <c r="D142" s="122" t="s">
        <v>2239</v>
      </c>
      <c r="E142" s="124" t="s">
        <v>2055</v>
      </c>
      <c r="F142" s="124" t="s">
        <v>2055</v>
      </c>
      <c r="G142" s="124" t="s">
        <v>2055</v>
      </c>
      <c r="H142" s="124" t="s">
        <v>2055</v>
      </c>
      <c r="I142" s="124" t="s">
        <v>2055</v>
      </c>
      <c r="J142" s="124" t="s">
        <v>2055</v>
      </c>
      <c r="K142" s="123" t="str">
        <f t="shared" si="6"/>
        <v/>
      </c>
      <c r="M142" s="164">
        <v>250</v>
      </c>
      <c r="N142" t="b">
        <f t="shared" si="7"/>
        <v>1</v>
      </c>
      <c r="O142" s="123">
        <v>813</v>
      </c>
      <c r="P142" t="b">
        <f t="shared" si="8"/>
        <v>0</v>
      </c>
    </row>
    <row r="143" spans="1:16">
      <c r="A143" s="121">
        <v>142</v>
      </c>
      <c r="B143" s="184" t="s">
        <v>2309</v>
      </c>
      <c r="C143" s="184" t="s">
        <v>2359</v>
      </c>
      <c r="D143" s="122" t="s">
        <v>2239</v>
      </c>
      <c r="E143" s="124">
        <v>42939</v>
      </c>
      <c r="F143" s="124">
        <v>43008</v>
      </c>
      <c r="G143" s="123">
        <v>87</v>
      </c>
      <c r="H143" s="123">
        <v>834</v>
      </c>
      <c r="I143" s="123">
        <v>711</v>
      </c>
      <c r="J143" s="123">
        <v>626</v>
      </c>
      <c r="K143" s="123">
        <f t="shared" si="6"/>
        <v>69</v>
      </c>
      <c r="M143" s="123">
        <v>401</v>
      </c>
      <c r="N143" t="b">
        <f t="shared" si="7"/>
        <v>0</v>
      </c>
      <c r="O143" s="123">
        <v>729</v>
      </c>
      <c r="P143" t="b">
        <f t="shared" si="8"/>
        <v>0</v>
      </c>
    </row>
    <row r="144" spans="1:16">
      <c r="A144" s="121">
        <v>143</v>
      </c>
      <c r="B144" s="184" t="s">
        <v>2309</v>
      </c>
      <c r="C144" s="184" t="s">
        <v>2360</v>
      </c>
      <c r="D144" s="122" t="s">
        <v>2239</v>
      </c>
      <c r="E144" s="124">
        <v>42939</v>
      </c>
      <c r="F144" s="124">
        <v>43008</v>
      </c>
      <c r="G144" s="123">
        <v>501</v>
      </c>
      <c r="H144" s="123">
        <v>774</v>
      </c>
      <c r="I144" s="123">
        <v>205</v>
      </c>
      <c r="J144" s="123">
        <v>195</v>
      </c>
      <c r="K144" s="123">
        <f t="shared" si="6"/>
        <v>69</v>
      </c>
      <c r="M144" s="124" t="s">
        <v>2055</v>
      </c>
      <c r="N144" t="b">
        <f t="shared" si="7"/>
        <v>1</v>
      </c>
      <c r="O144" s="124" t="s">
        <v>2055</v>
      </c>
      <c r="P144" t="b">
        <f t="shared" si="8"/>
        <v>1</v>
      </c>
    </row>
    <row r="145" spans="1:16">
      <c r="A145" s="121">
        <v>144</v>
      </c>
      <c r="B145" s="184" t="s">
        <v>2309</v>
      </c>
      <c r="C145" s="184" t="s">
        <v>2361</v>
      </c>
      <c r="D145" s="122" t="s">
        <v>2239</v>
      </c>
      <c r="E145" s="124">
        <v>42939</v>
      </c>
      <c r="F145" s="124">
        <v>43008</v>
      </c>
      <c r="G145" s="123">
        <v>141</v>
      </c>
      <c r="H145" s="123">
        <v>779</v>
      </c>
      <c r="I145" s="123">
        <v>384</v>
      </c>
      <c r="J145" s="123">
        <v>295</v>
      </c>
      <c r="K145" s="123">
        <f t="shared" si="6"/>
        <v>69</v>
      </c>
      <c r="M145" s="123">
        <v>87</v>
      </c>
      <c r="N145" t="b">
        <f t="shared" si="7"/>
        <v>0</v>
      </c>
      <c r="O145" s="123">
        <v>834</v>
      </c>
      <c r="P145" t="b">
        <f t="shared" si="8"/>
        <v>0</v>
      </c>
    </row>
    <row r="146" spans="1:16">
      <c r="A146" s="121">
        <v>145</v>
      </c>
      <c r="B146" s="184" t="s">
        <v>2309</v>
      </c>
      <c r="C146" s="184" t="s">
        <v>2362</v>
      </c>
      <c r="D146" s="122" t="s">
        <v>2251</v>
      </c>
      <c r="E146" s="124">
        <v>42939</v>
      </c>
      <c r="F146" s="124">
        <v>43010</v>
      </c>
      <c r="G146" s="123">
        <v>131</v>
      </c>
      <c r="H146" s="123">
        <v>728</v>
      </c>
      <c r="I146" s="129">
        <v>72</v>
      </c>
      <c r="J146" s="123">
        <v>609</v>
      </c>
      <c r="K146" s="123">
        <f t="shared" si="6"/>
        <v>71</v>
      </c>
      <c r="M146" s="123">
        <v>501</v>
      </c>
      <c r="N146" t="b">
        <f t="shared" si="7"/>
        <v>0</v>
      </c>
      <c r="O146" s="123">
        <v>774</v>
      </c>
      <c r="P146" t="b">
        <f t="shared" si="8"/>
        <v>0</v>
      </c>
    </row>
    <row r="147" spans="1:16">
      <c r="A147" s="121">
        <v>146</v>
      </c>
      <c r="B147" s="184" t="s">
        <v>2309</v>
      </c>
      <c r="C147" s="184" t="s">
        <v>2363</v>
      </c>
      <c r="D147" s="122" t="s">
        <v>2251</v>
      </c>
      <c r="E147" s="124">
        <v>42939</v>
      </c>
      <c r="F147" s="124">
        <v>43010</v>
      </c>
      <c r="G147" s="123">
        <v>465</v>
      </c>
      <c r="H147" s="123">
        <v>13</v>
      </c>
      <c r="I147" s="123">
        <v>336</v>
      </c>
      <c r="J147" s="123">
        <v>292</v>
      </c>
      <c r="K147" s="123">
        <f t="shared" si="6"/>
        <v>71</v>
      </c>
      <c r="M147" s="123">
        <v>141</v>
      </c>
      <c r="N147" t="b">
        <f t="shared" si="7"/>
        <v>0</v>
      </c>
      <c r="O147" s="123">
        <v>779</v>
      </c>
      <c r="P147" t="b">
        <f t="shared" si="8"/>
        <v>0</v>
      </c>
    </row>
    <row r="148" spans="1:16">
      <c r="A148" s="121">
        <v>147</v>
      </c>
      <c r="B148" s="184" t="s">
        <v>2309</v>
      </c>
      <c r="C148" s="184" t="s">
        <v>2364</v>
      </c>
      <c r="D148" s="122" t="s">
        <v>2251</v>
      </c>
      <c r="E148" s="124">
        <v>42939</v>
      </c>
      <c r="F148" s="124">
        <v>43010</v>
      </c>
      <c r="G148" s="123">
        <v>15</v>
      </c>
      <c r="H148" s="123">
        <v>832</v>
      </c>
      <c r="I148" s="123">
        <v>303</v>
      </c>
      <c r="J148" s="123">
        <v>243</v>
      </c>
      <c r="K148" s="123">
        <f t="shared" si="6"/>
        <v>71</v>
      </c>
      <c r="M148" s="123">
        <v>131</v>
      </c>
      <c r="N148" t="b">
        <f t="shared" si="7"/>
        <v>0</v>
      </c>
      <c r="O148" s="123">
        <v>728</v>
      </c>
      <c r="P148" t="b">
        <f t="shared" si="8"/>
        <v>0</v>
      </c>
    </row>
    <row r="149" spans="1:16">
      <c r="A149" s="121">
        <v>148</v>
      </c>
      <c r="B149" s="184" t="s">
        <v>2309</v>
      </c>
      <c r="C149" s="184" t="s">
        <v>2365</v>
      </c>
      <c r="D149" s="122" t="s">
        <v>2251</v>
      </c>
      <c r="E149" s="124">
        <v>42939</v>
      </c>
      <c r="F149" s="124">
        <v>43010</v>
      </c>
      <c r="G149" s="123">
        <v>290</v>
      </c>
      <c r="H149" s="123">
        <v>823</v>
      </c>
      <c r="I149" s="123">
        <v>161</v>
      </c>
      <c r="J149" s="123">
        <v>422</v>
      </c>
      <c r="K149" s="123">
        <f t="shared" si="6"/>
        <v>71</v>
      </c>
      <c r="M149" s="123">
        <v>465</v>
      </c>
      <c r="N149" t="b">
        <f t="shared" si="7"/>
        <v>0</v>
      </c>
      <c r="O149" s="123">
        <v>13</v>
      </c>
      <c r="P149" t="b">
        <f t="shared" si="8"/>
        <v>0</v>
      </c>
    </row>
    <row r="150" spans="1:16">
      <c r="A150" s="121">
        <v>149</v>
      </c>
      <c r="B150" s="184" t="s">
        <v>2309</v>
      </c>
      <c r="C150" s="184" t="s">
        <v>2366</v>
      </c>
      <c r="D150" s="122" t="s">
        <v>2251</v>
      </c>
      <c r="E150" s="124">
        <v>42939</v>
      </c>
      <c r="F150" s="124">
        <v>43010</v>
      </c>
      <c r="G150" s="129">
        <v>194</v>
      </c>
      <c r="H150" s="123">
        <v>703</v>
      </c>
      <c r="I150" s="123">
        <v>464</v>
      </c>
      <c r="J150" s="123">
        <v>664</v>
      </c>
      <c r="K150" s="123">
        <f t="shared" si="6"/>
        <v>71</v>
      </c>
      <c r="M150" s="123">
        <v>15</v>
      </c>
      <c r="N150" t="b">
        <f t="shared" si="7"/>
        <v>0</v>
      </c>
      <c r="O150" s="123">
        <v>832</v>
      </c>
      <c r="P150" t="b">
        <f t="shared" si="8"/>
        <v>0</v>
      </c>
    </row>
    <row r="151" spans="1:16">
      <c r="A151" s="121">
        <v>150</v>
      </c>
      <c r="B151" s="184" t="s">
        <v>2309</v>
      </c>
      <c r="C151" s="184" t="s">
        <v>2367</v>
      </c>
      <c r="D151" s="122" t="s">
        <v>2251</v>
      </c>
      <c r="E151" s="124">
        <v>42939</v>
      </c>
      <c r="F151" s="124">
        <v>43010</v>
      </c>
      <c r="G151" s="123">
        <v>272</v>
      </c>
      <c r="H151" s="123">
        <v>668</v>
      </c>
      <c r="I151" s="123">
        <v>843</v>
      </c>
      <c r="J151" s="123">
        <v>316</v>
      </c>
      <c r="K151" s="123">
        <f t="shared" si="6"/>
        <v>71</v>
      </c>
      <c r="M151" s="123">
        <v>290</v>
      </c>
      <c r="N151" t="b">
        <f t="shared" si="7"/>
        <v>0</v>
      </c>
      <c r="O151" s="123">
        <v>823</v>
      </c>
      <c r="P151" t="b">
        <f t="shared" si="8"/>
        <v>0</v>
      </c>
    </row>
    <row r="152" spans="1:16">
      <c r="A152" s="121">
        <v>151</v>
      </c>
      <c r="B152" s="184" t="s">
        <v>2309</v>
      </c>
      <c r="C152" s="184" t="s">
        <v>2368</v>
      </c>
      <c r="D152" s="122" t="s">
        <v>2251</v>
      </c>
      <c r="E152" s="123" t="s">
        <v>2055</v>
      </c>
      <c r="F152" s="123" t="s">
        <v>2055</v>
      </c>
      <c r="G152" s="123" t="s">
        <v>2055</v>
      </c>
      <c r="H152" s="123" t="s">
        <v>2055</v>
      </c>
      <c r="I152" s="123" t="s">
        <v>2055</v>
      </c>
      <c r="J152" s="123" t="s">
        <v>2055</v>
      </c>
      <c r="K152" s="123" t="str">
        <f t="shared" si="6"/>
        <v/>
      </c>
      <c r="M152" s="129">
        <v>194</v>
      </c>
      <c r="N152" t="b">
        <f t="shared" si="7"/>
        <v>0</v>
      </c>
      <c r="O152" s="123">
        <v>703</v>
      </c>
      <c r="P152" t="b">
        <f t="shared" si="8"/>
        <v>0</v>
      </c>
    </row>
    <row r="153" spans="1:16">
      <c r="A153" s="121">
        <v>152</v>
      </c>
      <c r="B153" s="184" t="s">
        <v>2309</v>
      </c>
      <c r="C153" s="184" t="s">
        <v>2369</v>
      </c>
      <c r="D153" s="122" t="s">
        <v>2251</v>
      </c>
      <c r="E153" s="124">
        <v>42939</v>
      </c>
      <c r="F153" s="124">
        <v>43010</v>
      </c>
      <c r="G153" s="123">
        <v>198</v>
      </c>
      <c r="H153" s="123">
        <v>788</v>
      </c>
      <c r="I153" s="123">
        <v>617</v>
      </c>
      <c r="J153" s="123">
        <v>635</v>
      </c>
      <c r="K153" s="123">
        <f t="shared" si="6"/>
        <v>71</v>
      </c>
      <c r="M153" s="123">
        <v>272</v>
      </c>
      <c r="N153" t="b">
        <f t="shared" si="7"/>
        <v>0</v>
      </c>
      <c r="O153" s="123">
        <v>668</v>
      </c>
      <c r="P153" t="b">
        <f t="shared" si="8"/>
        <v>0</v>
      </c>
    </row>
    <row r="154" spans="1:16">
      <c r="A154" s="121">
        <v>153</v>
      </c>
      <c r="B154" s="184" t="s">
        <v>2309</v>
      </c>
      <c r="C154" s="184" t="s">
        <v>2371</v>
      </c>
      <c r="D154" s="122" t="s">
        <v>2260</v>
      </c>
      <c r="E154" s="124">
        <v>42939</v>
      </c>
      <c r="F154" s="124">
        <v>43010</v>
      </c>
      <c r="G154" s="123">
        <v>197</v>
      </c>
      <c r="H154" s="123">
        <v>735</v>
      </c>
      <c r="I154" s="123">
        <v>19</v>
      </c>
      <c r="J154" s="123">
        <v>651</v>
      </c>
      <c r="K154" s="123">
        <f t="shared" si="6"/>
        <v>71</v>
      </c>
      <c r="M154" s="123" t="s">
        <v>2055</v>
      </c>
      <c r="N154" t="b">
        <f t="shared" si="7"/>
        <v>1</v>
      </c>
      <c r="O154" s="123" t="s">
        <v>2055</v>
      </c>
      <c r="P154" t="b">
        <f t="shared" si="8"/>
        <v>1</v>
      </c>
    </row>
    <row r="155" spans="1:16">
      <c r="A155" s="121">
        <v>154</v>
      </c>
      <c r="B155" s="184" t="s">
        <v>2309</v>
      </c>
      <c r="C155" s="184" t="s">
        <v>2372</v>
      </c>
      <c r="D155" s="122" t="s">
        <v>2260</v>
      </c>
      <c r="E155" s="124">
        <v>42939</v>
      </c>
      <c r="F155" s="124">
        <v>43010</v>
      </c>
      <c r="G155" s="123">
        <v>127</v>
      </c>
      <c r="H155" s="123">
        <v>836</v>
      </c>
      <c r="I155" s="123">
        <v>275</v>
      </c>
      <c r="J155" s="123">
        <v>367</v>
      </c>
      <c r="K155" s="123">
        <f t="shared" si="6"/>
        <v>71</v>
      </c>
      <c r="M155" s="123">
        <v>198</v>
      </c>
      <c r="N155" t="b">
        <f t="shared" si="7"/>
        <v>0</v>
      </c>
      <c r="O155" s="123">
        <v>788</v>
      </c>
      <c r="P155" t="b">
        <f t="shared" si="8"/>
        <v>0</v>
      </c>
    </row>
    <row r="156" spans="1:16">
      <c r="A156" s="121">
        <v>155</v>
      </c>
      <c r="B156" s="184" t="s">
        <v>2309</v>
      </c>
      <c r="C156" s="184" t="s">
        <v>2373</v>
      </c>
      <c r="D156" s="122" t="s">
        <v>2260</v>
      </c>
      <c r="E156" s="124">
        <v>42939</v>
      </c>
      <c r="F156" s="124">
        <v>43010</v>
      </c>
      <c r="G156" s="123">
        <v>253</v>
      </c>
      <c r="H156" s="123">
        <v>337</v>
      </c>
      <c r="I156" s="123">
        <v>289</v>
      </c>
      <c r="J156" s="123">
        <v>617</v>
      </c>
      <c r="K156" s="123">
        <f t="shared" si="6"/>
        <v>71</v>
      </c>
      <c r="M156" s="123">
        <v>197</v>
      </c>
      <c r="N156" t="b">
        <f t="shared" si="7"/>
        <v>0</v>
      </c>
      <c r="O156" s="123">
        <v>735</v>
      </c>
      <c r="P156" t="b">
        <f t="shared" si="8"/>
        <v>0</v>
      </c>
    </row>
    <row r="157" spans="1:16">
      <c r="A157" s="121">
        <v>156</v>
      </c>
      <c r="B157" s="184" t="s">
        <v>2309</v>
      </c>
      <c r="C157" s="184" t="s">
        <v>2374</v>
      </c>
      <c r="D157" s="122" t="s">
        <v>2260</v>
      </c>
      <c r="E157" s="124">
        <v>42939</v>
      </c>
      <c r="F157" s="124">
        <v>43010</v>
      </c>
      <c r="G157" s="123">
        <v>47</v>
      </c>
      <c r="H157" s="123">
        <v>118</v>
      </c>
      <c r="I157" s="123">
        <v>65</v>
      </c>
      <c r="J157" s="123">
        <v>84</v>
      </c>
      <c r="K157" s="123">
        <f t="shared" si="6"/>
        <v>71</v>
      </c>
      <c r="M157" s="123">
        <v>127</v>
      </c>
      <c r="N157" t="b">
        <f t="shared" si="7"/>
        <v>0</v>
      </c>
      <c r="O157" s="123">
        <v>836</v>
      </c>
      <c r="P157" t="b">
        <f t="shared" si="8"/>
        <v>0</v>
      </c>
    </row>
    <row r="158" spans="1:16">
      <c r="A158" s="121">
        <v>157</v>
      </c>
      <c r="B158" s="184" t="s">
        <v>2309</v>
      </c>
      <c r="C158" s="184" t="s">
        <v>2376</v>
      </c>
      <c r="D158" s="122" t="s">
        <v>2260</v>
      </c>
      <c r="E158" s="124">
        <v>42939</v>
      </c>
      <c r="F158" s="124">
        <v>43010</v>
      </c>
      <c r="G158" s="123">
        <v>328</v>
      </c>
      <c r="H158" s="123">
        <v>478</v>
      </c>
      <c r="I158" s="123">
        <v>33</v>
      </c>
      <c r="J158" s="123">
        <v>248</v>
      </c>
      <c r="K158" s="123">
        <f t="shared" si="6"/>
        <v>71</v>
      </c>
      <c r="M158" s="123">
        <v>253</v>
      </c>
      <c r="N158" t="b">
        <f t="shared" si="7"/>
        <v>0</v>
      </c>
      <c r="O158" s="123">
        <v>337</v>
      </c>
      <c r="P158" t="b">
        <f t="shared" si="8"/>
        <v>0</v>
      </c>
    </row>
    <row r="159" spans="1:16">
      <c r="A159" s="121">
        <v>158</v>
      </c>
      <c r="B159" s="184" t="s">
        <v>2309</v>
      </c>
      <c r="C159" s="184" t="s">
        <v>2377</v>
      </c>
      <c r="D159" s="122" t="s">
        <v>2260</v>
      </c>
      <c r="E159" s="124">
        <v>42939</v>
      </c>
      <c r="F159" s="124">
        <v>43010</v>
      </c>
      <c r="G159" s="123">
        <v>21</v>
      </c>
      <c r="H159" s="123">
        <v>773</v>
      </c>
      <c r="I159" s="123">
        <v>153</v>
      </c>
      <c r="J159" s="123">
        <v>238</v>
      </c>
      <c r="K159" s="123">
        <f t="shared" si="6"/>
        <v>71</v>
      </c>
      <c r="M159" s="123">
        <v>47</v>
      </c>
      <c r="N159" t="b">
        <f t="shared" si="7"/>
        <v>0</v>
      </c>
      <c r="O159" s="123">
        <v>118</v>
      </c>
      <c r="P159" t="b">
        <f t="shared" si="8"/>
        <v>0</v>
      </c>
    </row>
    <row r="160" spans="1:16">
      <c r="A160" s="121">
        <v>159</v>
      </c>
      <c r="B160" s="184" t="s">
        <v>2309</v>
      </c>
      <c r="C160" s="184" t="s">
        <v>2378</v>
      </c>
      <c r="D160" s="122" t="s">
        <v>2260</v>
      </c>
      <c r="E160" s="123" t="s">
        <v>2055</v>
      </c>
      <c r="F160" s="123" t="s">
        <v>2055</v>
      </c>
      <c r="G160" s="123" t="s">
        <v>2055</v>
      </c>
      <c r="H160" s="123" t="s">
        <v>2055</v>
      </c>
      <c r="I160" s="123" t="s">
        <v>2055</v>
      </c>
      <c r="J160" s="123" t="s">
        <v>2055</v>
      </c>
      <c r="K160" s="123" t="str">
        <f t="shared" si="6"/>
        <v/>
      </c>
      <c r="M160" s="123">
        <v>328</v>
      </c>
      <c r="N160" t="b">
        <f t="shared" si="7"/>
        <v>0</v>
      </c>
      <c r="O160" s="123">
        <v>478</v>
      </c>
      <c r="P160" t="b">
        <f t="shared" si="8"/>
        <v>0</v>
      </c>
    </row>
    <row r="161" spans="1:16">
      <c r="A161" s="121">
        <v>160</v>
      </c>
      <c r="B161" s="184" t="s">
        <v>2309</v>
      </c>
      <c r="C161" s="184" t="s">
        <v>2379</v>
      </c>
      <c r="D161" s="122" t="s">
        <v>2260</v>
      </c>
      <c r="E161" s="124">
        <v>42939</v>
      </c>
      <c r="F161" s="124">
        <v>43010</v>
      </c>
      <c r="G161" s="123">
        <v>482</v>
      </c>
      <c r="H161" s="123">
        <v>401</v>
      </c>
      <c r="I161" s="123">
        <v>175</v>
      </c>
      <c r="J161" s="123">
        <v>350</v>
      </c>
      <c r="K161" s="123">
        <f t="shared" si="6"/>
        <v>71</v>
      </c>
      <c r="M161" s="123">
        <v>21</v>
      </c>
      <c r="N161" t="b">
        <f t="shared" si="7"/>
        <v>0</v>
      </c>
      <c r="O161" s="123">
        <v>773</v>
      </c>
      <c r="P161" t="b">
        <f t="shared" si="8"/>
        <v>0</v>
      </c>
    </row>
    <row r="162" spans="1:16">
      <c r="A162" s="121">
        <v>161</v>
      </c>
      <c r="B162" s="184" t="s">
        <v>2380</v>
      </c>
      <c r="C162" s="184" t="s">
        <v>2381</v>
      </c>
      <c r="D162" s="122" t="s">
        <v>2273</v>
      </c>
      <c r="E162" s="124">
        <v>42940</v>
      </c>
      <c r="F162" s="124">
        <v>43009</v>
      </c>
      <c r="G162" s="123">
        <v>51</v>
      </c>
      <c r="H162" s="123">
        <v>673</v>
      </c>
      <c r="I162" s="123">
        <v>207</v>
      </c>
      <c r="J162" s="123">
        <v>314</v>
      </c>
      <c r="K162" s="123">
        <f t="shared" si="6"/>
        <v>69</v>
      </c>
      <c r="M162" s="123" t="s">
        <v>2055</v>
      </c>
      <c r="N162" t="b">
        <f t="shared" si="7"/>
        <v>1</v>
      </c>
      <c r="O162" s="123" t="s">
        <v>2055</v>
      </c>
      <c r="P162" t="b">
        <f t="shared" si="8"/>
        <v>1</v>
      </c>
    </row>
    <row r="163" spans="1:16">
      <c r="A163" s="121">
        <v>162</v>
      </c>
      <c r="B163" s="184" t="s">
        <v>2380</v>
      </c>
      <c r="C163" s="184" t="s">
        <v>2382</v>
      </c>
      <c r="D163" s="122" t="s">
        <v>2273</v>
      </c>
      <c r="E163" s="124">
        <v>42940</v>
      </c>
      <c r="F163" s="124">
        <v>43009</v>
      </c>
      <c r="G163" s="123">
        <v>238</v>
      </c>
      <c r="H163" s="123">
        <v>814</v>
      </c>
      <c r="I163" s="123">
        <v>580</v>
      </c>
      <c r="J163" s="123">
        <v>425</v>
      </c>
      <c r="K163" s="123">
        <f t="shared" si="6"/>
        <v>69</v>
      </c>
      <c r="M163" s="123">
        <v>482</v>
      </c>
      <c r="N163" t="b">
        <f t="shared" si="7"/>
        <v>0</v>
      </c>
      <c r="O163" s="123">
        <v>401</v>
      </c>
      <c r="P163" t="b">
        <f t="shared" si="8"/>
        <v>0</v>
      </c>
    </row>
    <row r="164" spans="1:16">
      <c r="A164" s="121">
        <v>163</v>
      </c>
      <c r="B164" s="184" t="s">
        <v>2380</v>
      </c>
      <c r="C164" s="184" t="s">
        <v>2383</v>
      </c>
      <c r="D164" s="122" t="s">
        <v>2273</v>
      </c>
      <c r="E164" s="124">
        <v>42940</v>
      </c>
      <c r="F164" s="124">
        <v>43009</v>
      </c>
      <c r="G164" s="123">
        <v>59</v>
      </c>
      <c r="H164" s="123">
        <v>615</v>
      </c>
      <c r="I164" s="123">
        <v>722</v>
      </c>
      <c r="J164" s="123">
        <v>267</v>
      </c>
      <c r="K164" s="123">
        <f t="shared" si="6"/>
        <v>69</v>
      </c>
      <c r="M164" s="123">
        <v>51</v>
      </c>
      <c r="N164" t="b">
        <f t="shared" si="7"/>
        <v>0</v>
      </c>
      <c r="O164" s="123">
        <v>673</v>
      </c>
      <c r="P164" t="b">
        <f t="shared" si="8"/>
        <v>0</v>
      </c>
    </row>
    <row r="165" spans="1:16">
      <c r="A165" s="121">
        <v>164</v>
      </c>
      <c r="B165" s="184" t="s">
        <v>2380</v>
      </c>
      <c r="C165" s="184" t="s">
        <v>2384</v>
      </c>
      <c r="D165" s="122" t="s">
        <v>2273</v>
      </c>
      <c r="E165" s="124">
        <v>42940</v>
      </c>
      <c r="F165" s="124">
        <v>43009</v>
      </c>
      <c r="G165" s="123">
        <v>7</v>
      </c>
      <c r="H165" s="123">
        <v>514</v>
      </c>
      <c r="I165" s="123">
        <v>239</v>
      </c>
      <c r="J165" s="129">
        <v>211</v>
      </c>
      <c r="K165" s="123">
        <f t="shared" si="6"/>
        <v>69</v>
      </c>
      <c r="M165" s="123">
        <v>238</v>
      </c>
      <c r="N165" t="b">
        <f t="shared" si="7"/>
        <v>0</v>
      </c>
      <c r="O165" s="123">
        <v>814</v>
      </c>
      <c r="P165" t="b">
        <f t="shared" si="8"/>
        <v>0</v>
      </c>
    </row>
    <row r="166" spans="1:16">
      <c r="A166" s="121">
        <v>165</v>
      </c>
      <c r="B166" s="184" t="s">
        <v>2380</v>
      </c>
      <c r="C166" s="184" t="s">
        <v>2385</v>
      </c>
      <c r="D166" s="122" t="s">
        <v>2273</v>
      </c>
      <c r="E166" s="124">
        <v>42940</v>
      </c>
      <c r="F166" s="124">
        <v>43009</v>
      </c>
      <c r="G166" s="123">
        <v>85</v>
      </c>
      <c r="H166" s="123">
        <v>127</v>
      </c>
      <c r="I166" s="123">
        <v>343</v>
      </c>
      <c r="J166" s="123">
        <v>310</v>
      </c>
      <c r="K166" s="123">
        <f t="shared" si="6"/>
        <v>69</v>
      </c>
      <c r="M166" s="123">
        <v>59</v>
      </c>
      <c r="N166" t="b">
        <f t="shared" si="7"/>
        <v>0</v>
      </c>
      <c r="O166" s="123">
        <v>615</v>
      </c>
      <c r="P166" t="b">
        <f t="shared" si="8"/>
        <v>0</v>
      </c>
    </row>
    <row r="167" spans="1:16">
      <c r="A167" s="121">
        <v>166</v>
      </c>
      <c r="B167" s="184" t="s">
        <v>2380</v>
      </c>
      <c r="C167" s="184" t="s">
        <v>2386</v>
      </c>
      <c r="D167" s="122" t="s">
        <v>2273</v>
      </c>
      <c r="E167" s="124">
        <v>42940</v>
      </c>
      <c r="F167" s="124">
        <v>43009</v>
      </c>
      <c r="G167" s="123">
        <v>1</v>
      </c>
      <c r="H167" s="123">
        <v>752</v>
      </c>
      <c r="I167" s="123">
        <v>409</v>
      </c>
      <c r="J167" s="123">
        <v>269</v>
      </c>
      <c r="K167" s="123">
        <f t="shared" si="6"/>
        <v>69</v>
      </c>
      <c r="M167" s="123">
        <v>7</v>
      </c>
      <c r="N167" t="b">
        <f t="shared" si="7"/>
        <v>0</v>
      </c>
      <c r="O167" s="123">
        <v>514</v>
      </c>
      <c r="P167" t="b">
        <f t="shared" si="8"/>
        <v>0</v>
      </c>
    </row>
    <row r="168" spans="1:16">
      <c r="A168" s="121">
        <v>167</v>
      </c>
      <c r="B168" s="184" t="s">
        <v>2380</v>
      </c>
      <c r="C168" s="184" t="s">
        <v>2388</v>
      </c>
      <c r="D168" s="122" t="s">
        <v>2273</v>
      </c>
      <c r="E168" s="123" t="s">
        <v>2055</v>
      </c>
      <c r="F168" s="123" t="s">
        <v>2055</v>
      </c>
      <c r="G168" s="123" t="s">
        <v>2055</v>
      </c>
      <c r="H168" s="123" t="s">
        <v>2055</v>
      </c>
      <c r="I168" s="123" t="s">
        <v>2055</v>
      </c>
      <c r="J168" s="123" t="s">
        <v>2055</v>
      </c>
      <c r="K168" s="123" t="str">
        <f t="shared" si="6"/>
        <v/>
      </c>
      <c r="M168" s="123">
        <v>85</v>
      </c>
      <c r="N168" t="b">
        <f t="shared" si="7"/>
        <v>0</v>
      </c>
      <c r="O168" s="123">
        <v>127</v>
      </c>
      <c r="P168" t="b">
        <f t="shared" si="8"/>
        <v>0</v>
      </c>
    </row>
    <row r="169" spans="1:16">
      <c r="A169" s="121">
        <v>168</v>
      </c>
      <c r="B169" s="184" t="s">
        <v>2380</v>
      </c>
      <c r="C169" s="184" t="s">
        <v>2389</v>
      </c>
      <c r="D169" s="122" t="s">
        <v>2273</v>
      </c>
      <c r="E169" s="124">
        <v>42940</v>
      </c>
      <c r="F169" s="124">
        <v>43009</v>
      </c>
      <c r="G169" s="123">
        <v>70</v>
      </c>
      <c r="H169" s="123">
        <v>690</v>
      </c>
      <c r="I169" s="123">
        <v>304</v>
      </c>
      <c r="J169" s="123">
        <v>413</v>
      </c>
      <c r="K169" s="123">
        <f t="shared" si="6"/>
        <v>69</v>
      </c>
      <c r="M169" s="123">
        <v>1</v>
      </c>
      <c r="N169" t="b">
        <f t="shared" si="7"/>
        <v>0</v>
      </c>
      <c r="O169" s="123">
        <v>752</v>
      </c>
      <c r="P169" t="b">
        <f t="shared" si="8"/>
        <v>0</v>
      </c>
    </row>
    <row r="170" spans="1:16">
      <c r="A170" s="121">
        <v>169</v>
      </c>
      <c r="B170" s="184" t="s">
        <v>2380</v>
      </c>
      <c r="C170" s="184" t="s">
        <v>2390</v>
      </c>
      <c r="D170" s="122" t="s">
        <v>2282</v>
      </c>
      <c r="E170" s="124">
        <v>42940</v>
      </c>
      <c r="F170" s="124">
        <v>43009</v>
      </c>
      <c r="G170" s="123">
        <v>250</v>
      </c>
      <c r="H170" s="123">
        <v>684</v>
      </c>
      <c r="I170" s="123">
        <v>135</v>
      </c>
      <c r="J170" s="123">
        <v>80</v>
      </c>
      <c r="K170" s="123">
        <f t="shared" si="6"/>
        <v>69</v>
      </c>
      <c r="M170" s="123" t="s">
        <v>2055</v>
      </c>
      <c r="N170" t="b">
        <f t="shared" si="7"/>
        <v>1</v>
      </c>
      <c r="O170" s="123" t="s">
        <v>2055</v>
      </c>
      <c r="P170" t="b">
        <f t="shared" si="8"/>
        <v>1</v>
      </c>
    </row>
    <row r="171" spans="1:16">
      <c r="A171" s="121">
        <v>170</v>
      </c>
      <c r="B171" s="184" t="s">
        <v>2380</v>
      </c>
      <c r="C171" s="184" t="s">
        <v>2391</v>
      </c>
      <c r="D171" s="122" t="s">
        <v>2282</v>
      </c>
      <c r="E171" s="124">
        <v>42940</v>
      </c>
      <c r="F171" s="124">
        <v>43009</v>
      </c>
      <c r="G171" s="123">
        <v>624</v>
      </c>
      <c r="H171" s="123">
        <v>694</v>
      </c>
      <c r="I171" s="123">
        <v>515</v>
      </c>
      <c r="J171" s="123">
        <v>208</v>
      </c>
      <c r="K171" s="123">
        <f t="shared" si="6"/>
        <v>69</v>
      </c>
      <c r="M171" s="123">
        <v>70</v>
      </c>
      <c r="N171" t="b">
        <f t="shared" si="7"/>
        <v>0</v>
      </c>
      <c r="O171" s="123">
        <v>690</v>
      </c>
      <c r="P171" t="b">
        <f t="shared" si="8"/>
        <v>0</v>
      </c>
    </row>
    <row r="172" spans="1:16">
      <c r="A172" s="121">
        <v>171</v>
      </c>
      <c r="B172" s="184" t="s">
        <v>2380</v>
      </c>
      <c r="C172" s="184" t="s">
        <v>2392</v>
      </c>
      <c r="D172" s="122" t="s">
        <v>2282</v>
      </c>
      <c r="E172" s="124">
        <v>42940</v>
      </c>
      <c r="F172" s="124">
        <v>43009</v>
      </c>
      <c r="G172" s="123">
        <v>149</v>
      </c>
      <c r="H172" s="123">
        <v>655</v>
      </c>
      <c r="I172" s="123">
        <v>348</v>
      </c>
      <c r="J172" s="123">
        <v>633</v>
      </c>
      <c r="K172" s="123">
        <f t="shared" si="6"/>
        <v>69</v>
      </c>
      <c r="M172" s="164">
        <v>250</v>
      </c>
      <c r="N172" t="b">
        <f t="shared" si="7"/>
        <v>1</v>
      </c>
      <c r="O172" s="123">
        <v>684</v>
      </c>
      <c r="P172" t="b">
        <f t="shared" si="8"/>
        <v>0</v>
      </c>
    </row>
    <row r="173" spans="1:16">
      <c r="A173" s="121">
        <v>172</v>
      </c>
      <c r="B173" s="184" t="s">
        <v>2380</v>
      </c>
      <c r="C173" s="184" t="s">
        <v>2393</v>
      </c>
      <c r="D173" s="122" t="s">
        <v>2282</v>
      </c>
      <c r="E173" s="124" t="s">
        <v>2055</v>
      </c>
      <c r="F173" s="124" t="s">
        <v>2055</v>
      </c>
      <c r="G173" s="124" t="s">
        <v>2055</v>
      </c>
      <c r="H173" s="124" t="s">
        <v>2055</v>
      </c>
      <c r="I173" s="124" t="s">
        <v>2055</v>
      </c>
      <c r="J173" s="124" t="s">
        <v>2055</v>
      </c>
      <c r="K173" s="123" t="str">
        <f t="shared" si="6"/>
        <v/>
      </c>
      <c r="M173" s="123">
        <v>624</v>
      </c>
      <c r="N173" t="b">
        <f t="shared" si="7"/>
        <v>0</v>
      </c>
      <c r="O173" s="123">
        <v>694</v>
      </c>
      <c r="P173" t="b">
        <f t="shared" si="8"/>
        <v>0</v>
      </c>
    </row>
    <row r="174" spans="1:16">
      <c r="A174" s="121">
        <v>173</v>
      </c>
      <c r="B174" s="184" t="s">
        <v>2380</v>
      </c>
      <c r="C174" s="184" t="s">
        <v>2394</v>
      </c>
      <c r="D174" s="122" t="s">
        <v>2282</v>
      </c>
      <c r="E174" s="124">
        <v>42940</v>
      </c>
      <c r="F174" s="124">
        <v>43009</v>
      </c>
      <c r="G174" s="123">
        <v>597</v>
      </c>
      <c r="H174" s="123">
        <v>405</v>
      </c>
      <c r="I174" s="123">
        <v>307</v>
      </c>
      <c r="J174" s="123">
        <v>473</v>
      </c>
      <c r="K174" s="123">
        <f t="shared" si="6"/>
        <v>69</v>
      </c>
      <c r="M174" s="123">
        <v>149</v>
      </c>
      <c r="N174" t="b">
        <f t="shared" si="7"/>
        <v>0</v>
      </c>
      <c r="O174" s="123">
        <v>655</v>
      </c>
      <c r="P174" t="b">
        <f t="shared" si="8"/>
        <v>0</v>
      </c>
    </row>
    <row r="175" spans="1:16">
      <c r="A175" s="121">
        <v>174</v>
      </c>
      <c r="B175" s="184" t="s">
        <v>2380</v>
      </c>
      <c r="C175" s="184" t="s">
        <v>2395</v>
      </c>
      <c r="D175" s="122" t="s">
        <v>2282</v>
      </c>
      <c r="E175" s="124">
        <v>42940</v>
      </c>
      <c r="F175" s="124">
        <v>43009</v>
      </c>
      <c r="G175" s="123">
        <v>396</v>
      </c>
      <c r="H175" s="123">
        <v>736</v>
      </c>
      <c r="I175" s="123">
        <v>155</v>
      </c>
      <c r="J175" s="123">
        <v>702</v>
      </c>
      <c r="K175" s="123">
        <f t="shared" si="6"/>
        <v>69</v>
      </c>
      <c r="M175" s="124" t="s">
        <v>2055</v>
      </c>
      <c r="N175" t="b">
        <f t="shared" si="7"/>
        <v>1</v>
      </c>
      <c r="O175" s="124" t="s">
        <v>2055</v>
      </c>
      <c r="P175" t="b">
        <f t="shared" si="8"/>
        <v>1</v>
      </c>
    </row>
    <row r="176" spans="1:16">
      <c r="A176" s="121">
        <v>175</v>
      </c>
      <c r="B176" s="184" t="s">
        <v>2380</v>
      </c>
      <c r="C176" s="184" t="s">
        <v>2396</v>
      </c>
      <c r="D176" s="122" t="s">
        <v>2282</v>
      </c>
      <c r="E176" s="124">
        <v>42940</v>
      </c>
      <c r="F176" s="124">
        <v>43009</v>
      </c>
      <c r="G176" s="123">
        <v>612</v>
      </c>
      <c r="H176" s="123">
        <v>338</v>
      </c>
      <c r="I176" s="123">
        <v>719</v>
      </c>
      <c r="J176" s="123">
        <v>175</v>
      </c>
      <c r="K176" s="123">
        <f t="shared" si="6"/>
        <v>69</v>
      </c>
      <c r="M176" s="123">
        <v>597</v>
      </c>
      <c r="N176" t="b">
        <f t="shared" si="7"/>
        <v>0</v>
      </c>
      <c r="O176" s="123">
        <v>405</v>
      </c>
      <c r="P176" t="b">
        <f t="shared" si="8"/>
        <v>0</v>
      </c>
    </row>
    <row r="177" spans="1:16">
      <c r="A177" s="121">
        <v>176</v>
      </c>
      <c r="B177" s="184" t="s">
        <v>2380</v>
      </c>
      <c r="C177" s="184" t="s">
        <v>2397</v>
      </c>
      <c r="D177" s="122" t="s">
        <v>2282</v>
      </c>
      <c r="E177" s="124">
        <v>42940</v>
      </c>
      <c r="F177" s="124">
        <v>43009</v>
      </c>
      <c r="G177" s="123">
        <v>183</v>
      </c>
      <c r="H177" s="123">
        <v>52</v>
      </c>
      <c r="I177" s="123">
        <v>323</v>
      </c>
      <c r="J177" s="123">
        <v>332</v>
      </c>
      <c r="K177" s="123">
        <f t="shared" si="6"/>
        <v>69</v>
      </c>
      <c r="M177" s="123">
        <v>396</v>
      </c>
      <c r="N177" t="b">
        <f t="shared" si="7"/>
        <v>0</v>
      </c>
      <c r="O177" s="123">
        <v>736</v>
      </c>
      <c r="P177" t="b">
        <f t="shared" si="8"/>
        <v>0</v>
      </c>
    </row>
    <row r="178" spans="1:16">
      <c r="A178" s="121">
        <v>177</v>
      </c>
      <c r="B178" s="184" t="s">
        <v>2380</v>
      </c>
      <c r="C178" s="184" t="s">
        <v>2398</v>
      </c>
      <c r="D178" s="122" t="s">
        <v>2291</v>
      </c>
      <c r="E178" s="124">
        <v>42940</v>
      </c>
      <c r="F178" s="124">
        <v>43009</v>
      </c>
      <c r="G178" s="123">
        <v>98</v>
      </c>
      <c r="H178" s="123">
        <v>750</v>
      </c>
      <c r="I178" s="123">
        <v>14</v>
      </c>
      <c r="J178" s="123">
        <v>279</v>
      </c>
      <c r="K178" s="123">
        <f t="shared" si="6"/>
        <v>69</v>
      </c>
      <c r="M178" s="123">
        <v>612</v>
      </c>
      <c r="N178" t="b">
        <f t="shared" si="7"/>
        <v>0</v>
      </c>
      <c r="O178" s="123">
        <v>338</v>
      </c>
      <c r="P178" t="b">
        <f t="shared" si="8"/>
        <v>0</v>
      </c>
    </row>
    <row r="179" spans="1:16">
      <c r="A179" s="121">
        <v>178</v>
      </c>
      <c r="B179" s="184" t="s">
        <v>2380</v>
      </c>
      <c r="C179" s="184" t="s">
        <v>2399</v>
      </c>
      <c r="D179" s="122" t="s">
        <v>2291</v>
      </c>
      <c r="E179" s="124">
        <v>42940</v>
      </c>
      <c r="F179" s="124">
        <v>43009</v>
      </c>
      <c r="G179" s="129">
        <v>353</v>
      </c>
      <c r="H179" s="123">
        <v>612</v>
      </c>
      <c r="I179" s="123">
        <v>410</v>
      </c>
      <c r="J179" s="123">
        <v>718</v>
      </c>
      <c r="K179" s="123">
        <f t="shared" si="6"/>
        <v>69</v>
      </c>
      <c r="M179" s="123">
        <v>183</v>
      </c>
      <c r="N179" t="b">
        <f t="shared" si="7"/>
        <v>0</v>
      </c>
      <c r="O179" s="123">
        <v>52</v>
      </c>
      <c r="P179" t="b">
        <f t="shared" si="8"/>
        <v>0</v>
      </c>
    </row>
    <row r="180" spans="1:16">
      <c r="A180" s="121">
        <v>179</v>
      </c>
      <c r="B180" s="184" t="s">
        <v>2380</v>
      </c>
      <c r="C180" s="184" t="s">
        <v>2400</v>
      </c>
      <c r="D180" s="122" t="s">
        <v>2291</v>
      </c>
      <c r="E180" s="124">
        <v>42940</v>
      </c>
      <c r="F180" s="124">
        <v>43009</v>
      </c>
      <c r="G180" s="123">
        <v>42</v>
      </c>
      <c r="H180" s="123">
        <v>491</v>
      </c>
      <c r="I180" s="123">
        <v>78</v>
      </c>
      <c r="J180" s="123">
        <v>640</v>
      </c>
      <c r="K180" s="123">
        <f t="shared" si="6"/>
        <v>69</v>
      </c>
      <c r="M180" s="123">
        <v>98</v>
      </c>
      <c r="N180" t="b">
        <f t="shared" si="7"/>
        <v>0</v>
      </c>
      <c r="O180" s="123">
        <v>750</v>
      </c>
      <c r="P180" t="b">
        <f t="shared" si="8"/>
        <v>0</v>
      </c>
    </row>
    <row r="181" spans="1:16">
      <c r="A181" s="121">
        <v>180</v>
      </c>
      <c r="B181" s="184" t="s">
        <v>2380</v>
      </c>
      <c r="C181" s="184" t="s">
        <v>2401</v>
      </c>
      <c r="D181" s="122" t="s">
        <v>2291</v>
      </c>
      <c r="E181" s="124">
        <v>42940</v>
      </c>
      <c r="F181" s="124">
        <v>43009</v>
      </c>
      <c r="G181" s="123">
        <v>245</v>
      </c>
      <c r="H181" s="123">
        <v>325</v>
      </c>
      <c r="I181" s="123">
        <v>422</v>
      </c>
      <c r="J181" s="123">
        <v>669</v>
      </c>
      <c r="K181" s="123">
        <f t="shared" si="6"/>
        <v>69</v>
      </c>
      <c r="M181" s="129">
        <v>353</v>
      </c>
      <c r="N181" t="b">
        <f t="shared" si="7"/>
        <v>0</v>
      </c>
      <c r="O181" s="123">
        <v>612</v>
      </c>
      <c r="P181" t="b">
        <f t="shared" si="8"/>
        <v>0</v>
      </c>
    </row>
    <row r="182" spans="1:16">
      <c r="A182" s="121">
        <v>181</v>
      </c>
      <c r="B182" s="184" t="s">
        <v>2380</v>
      </c>
      <c r="C182" s="184" t="s">
        <v>2402</v>
      </c>
      <c r="D182" s="122" t="s">
        <v>2291</v>
      </c>
      <c r="E182" s="124">
        <v>42940</v>
      </c>
      <c r="F182" s="124">
        <v>43009</v>
      </c>
      <c r="G182" s="123">
        <v>411</v>
      </c>
      <c r="H182" s="123">
        <v>116</v>
      </c>
      <c r="I182" s="123">
        <v>870</v>
      </c>
      <c r="J182" s="123">
        <v>170</v>
      </c>
      <c r="K182" s="123">
        <f t="shared" si="6"/>
        <v>69</v>
      </c>
      <c r="M182" s="123">
        <v>42</v>
      </c>
      <c r="N182" t="b">
        <f t="shared" si="7"/>
        <v>0</v>
      </c>
      <c r="O182" s="123">
        <v>491</v>
      </c>
      <c r="P182" t="b">
        <f t="shared" si="8"/>
        <v>0</v>
      </c>
    </row>
    <row r="183" spans="1:16">
      <c r="A183" s="121">
        <v>182</v>
      </c>
      <c r="B183" s="184" t="s">
        <v>2380</v>
      </c>
      <c r="C183" s="184" t="s">
        <v>2403</v>
      </c>
      <c r="D183" s="122" t="s">
        <v>2291</v>
      </c>
      <c r="E183" s="124">
        <v>42940</v>
      </c>
      <c r="F183" s="124">
        <v>43009</v>
      </c>
      <c r="G183" s="123">
        <v>309</v>
      </c>
      <c r="H183" s="123">
        <v>613</v>
      </c>
      <c r="I183" s="123">
        <v>136</v>
      </c>
      <c r="J183" s="123">
        <v>697</v>
      </c>
      <c r="K183" s="123">
        <f t="shared" si="6"/>
        <v>69</v>
      </c>
      <c r="M183" s="123">
        <v>245</v>
      </c>
      <c r="N183" t="b">
        <f t="shared" si="7"/>
        <v>0</v>
      </c>
      <c r="O183" s="123">
        <v>325</v>
      </c>
      <c r="P183" t="b">
        <f t="shared" si="8"/>
        <v>0</v>
      </c>
    </row>
    <row r="184" spans="1:16">
      <c r="A184" s="121">
        <v>183</v>
      </c>
      <c r="B184" s="184" t="s">
        <v>2380</v>
      </c>
      <c r="C184" s="184" t="s">
        <v>2404</v>
      </c>
      <c r="D184" s="122" t="s">
        <v>2291</v>
      </c>
      <c r="E184" s="124" t="s">
        <v>2055</v>
      </c>
      <c r="F184" s="124" t="s">
        <v>2055</v>
      </c>
      <c r="G184" s="124" t="s">
        <v>2055</v>
      </c>
      <c r="H184" s="124" t="s">
        <v>2055</v>
      </c>
      <c r="I184" s="124" t="s">
        <v>2055</v>
      </c>
      <c r="J184" s="124" t="s">
        <v>2055</v>
      </c>
      <c r="K184" s="123" t="str">
        <f t="shared" si="6"/>
        <v/>
      </c>
      <c r="M184" s="123">
        <v>411</v>
      </c>
      <c r="N184" t="b">
        <f t="shared" si="7"/>
        <v>0</v>
      </c>
      <c r="O184" s="123">
        <v>116</v>
      </c>
      <c r="P184" t="b">
        <f t="shared" si="8"/>
        <v>0</v>
      </c>
    </row>
    <row r="185" spans="1:16">
      <c r="A185" s="121">
        <v>184</v>
      </c>
      <c r="B185" s="184" t="s">
        <v>2380</v>
      </c>
      <c r="C185" s="184" t="s">
        <v>2405</v>
      </c>
      <c r="D185" s="122" t="s">
        <v>2291</v>
      </c>
      <c r="E185" s="124">
        <v>42940</v>
      </c>
      <c r="F185" s="124">
        <v>43009</v>
      </c>
      <c r="G185" s="123">
        <v>235</v>
      </c>
      <c r="H185" s="129">
        <v>179</v>
      </c>
      <c r="I185" s="123">
        <v>266</v>
      </c>
      <c r="J185" s="123">
        <v>674</v>
      </c>
      <c r="K185" s="123">
        <f t="shared" si="6"/>
        <v>69</v>
      </c>
      <c r="M185" s="123">
        <v>309</v>
      </c>
      <c r="N185" t="b">
        <f t="shared" si="7"/>
        <v>0</v>
      </c>
      <c r="O185" s="123">
        <v>613</v>
      </c>
      <c r="P185" t="b">
        <f t="shared" si="8"/>
        <v>0</v>
      </c>
    </row>
    <row r="186" spans="1:16">
      <c r="A186" s="121">
        <v>185</v>
      </c>
      <c r="B186" s="184" t="s">
        <v>2380</v>
      </c>
      <c r="C186" s="184" t="s">
        <v>2407</v>
      </c>
      <c r="D186" s="122" t="s">
        <v>2301</v>
      </c>
      <c r="E186" s="124">
        <v>42940</v>
      </c>
      <c r="F186" s="124">
        <v>43009</v>
      </c>
      <c r="G186" s="123">
        <v>369</v>
      </c>
      <c r="H186" s="123">
        <v>300</v>
      </c>
      <c r="I186" s="123">
        <v>165</v>
      </c>
      <c r="J186" s="123">
        <v>607</v>
      </c>
      <c r="K186" s="123">
        <f t="shared" si="6"/>
        <v>69</v>
      </c>
      <c r="M186" s="124" t="s">
        <v>2055</v>
      </c>
      <c r="N186" t="b">
        <f t="shared" si="7"/>
        <v>1</v>
      </c>
      <c r="O186" s="124" t="s">
        <v>2055</v>
      </c>
      <c r="P186" t="b">
        <f t="shared" si="8"/>
        <v>1</v>
      </c>
    </row>
    <row r="187" spans="1:16">
      <c r="A187" s="121">
        <v>186</v>
      </c>
      <c r="B187" s="184" t="s">
        <v>2380</v>
      </c>
      <c r="C187" s="184" t="s">
        <v>2408</v>
      </c>
      <c r="D187" s="122" t="s">
        <v>2301</v>
      </c>
      <c r="E187" s="124">
        <v>42940</v>
      </c>
      <c r="F187" s="124">
        <v>43009</v>
      </c>
      <c r="G187" s="123">
        <v>295</v>
      </c>
      <c r="H187" s="123">
        <v>717</v>
      </c>
      <c r="I187" s="123">
        <v>22</v>
      </c>
      <c r="J187" s="123">
        <v>629</v>
      </c>
      <c r="K187" s="123">
        <f t="shared" si="6"/>
        <v>69</v>
      </c>
      <c r="M187" s="123">
        <v>235</v>
      </c>
      <c r="N187" t="b">
        <f t="shared" si="7"/>
        <v>0</v>
      </c>
      <c r="O187" s="129">
        <v>179</v>
      </c>
      <c r="P187" t="b">
        <f t="shared" si="8"/>
        <v>0</v>
      </c>
    </row>
    <row r="188" spans="1:16">
      <c r="A188" s="121">
        <v>187</v>
      </c>
      <c r="B188" s="184" t="s">
        <v>2380</v>
      </c>
      <c r="C188" s="184" t="s">
        <v>2409</v>
      </c>
      <c r="D188" s="122" t="s">
        <v>2301</v>
      </c>
      <c r="E188" s="124">
        <v>42940</v>
      </c>
      <c r="F188" s="124">
        <v>43009</v>
      </c>
      <c r="G188" s="123">
        <v>242</v>
      </c>
      <c r="H188" s="123">
        <v>759</v>
      </c>
      <c r="I188" s="123">
        <v>371</v>
      </c>
      <c r="J188" s="123">
        <v>679</v>
      </c>
      <c r="K188" s="123">
        <f t="shared" si="6"/>
        <v>69</v>
      </c>
      <c r="M188" s="123">
        <v>369</v>
      </c>
      <c r="N188" t="b">
        <f t="shared" si="7"/>
        <v>0</v>
      </c>
      <c r="O188" s="123">
        <v>300</v>
      </c>
      <c r="P188" t="b">
        <f t="shared" si="8"/>
        <v>0</v>
      </c>
    </row>
    <row r="189" spans="1:16">
      <c r="A189" s="121">
        <v>188</v>
      </c>
      <c r="B189" s="184" t="s">
        <v>2380</v>
      </c>
      <c r="C189" s="184" t="s">
        <v>2410</v>
      </c>
      <c r="D189" s="122" t="s">
        <v>2301</v>
      </c>
      <c r="E189" s="124">
        <v>42940</v>
      </c>
      <c r="F189" s="124">
        <v>43009</v>
      </c>
      <c r="G189" s="123">
        <v>146</v>
      </c>
      <c r="H189" s="123">
        <v>357</v>
      </c>
      <c r="I189" s="123">
        <v>185</v>
      </c>
      <c r="J189" s="123">
        <v>682</v>
      </c>
      <c r="K189" s="123">
        <f t="shared" si="6"/>
        <v>69</v>
      </c>
      <c r="M189" s="123">
        <v>295</v>
      </c>
      <c r="N189" t="b">
        <f t="shared" si="7"/>
        <v>0</v>
      </c>
      <c r="O189" s="123">
        <v>717</v>
      </c>
      <c r="P189" t="b">
        <f t="shared" si="8"/>
        <v>0</v>
      </c>
    </row>
    <row r="190" spans="1:16">
      <c r="A190" s="121">
        <v>189</v>
      </c>
      <c r="B190" s="184" t="s">
        <v>2380</v>
      </c>
      <c r="C190" s="184" t="s">
        <v>2412</v>
      </c>
      <c r="D190" s="122" t="s">
        <v>2301</v>
      </c>
      <c r="E190" s="124">
        <v>42940</v>
      </c>
      <c r="F190" s="124">
        <v>43009</v>
      </c>
      <c r="G190" s="129">
        <v>144</v>
      </c>
      <c r="H190" s="123">
        <v>18</v>
      </c>
      <c r="I190" s="123">
        <v>301</v>
      </c>
      <c r="J190" s="123">
        <v>693</v>
      </c>
      <c r="K190" s="123">
        <f t="shared" si="6"/>
        <v>69</v>
      </c>
      <c r="M190" s="123">
        <v>242</v>
      </c>
      <c r="N190" t="b">
        <f t="shared" si="7"/>
        <v>0</v>
      </c>
      <c r="O190" s="123">
        <v>759</v>
      </c>
      <c r="P190" t="b">
        <f t="shared" si="8"/>
        <v>0</v>
      </c>
    </row>
    <row r="191" spans="1:16">
      <c r="A191" s="121">
        <v>190</v>
      </c>
      <c r="B191" s="184" t="s">
        <v>2380</v>
      </c>
      <c r="C191" s="184" t="s">
        <v>2413</v>
      </c>
      <c r="D191" s="122" t="s">
        <v>2301</v>
      </c>
      <c r="E191" s="124">
        <v>42940</v>
      </c>
      <c r="F191" s="124">
        <v>43009</v>
      </c>
      <c r="G191" s="123">
        <v>171</v>
      </c>
      <c r="H191" s="123">
        <v>397</v>
      </c>
      <c r="I191" s="123">
        <v>466</v>
      </c>
      <c r="J191" s="123">
        <v>605</v>
      </c>
      <c r="K191" s="123">
        <f t="shared" si="6"/>
        <v>69</v>
      </c>
      <c r="M191" s="123">
        <v>146</v>
      </c>
      <c r="N191" t="b">
        <f t="shared" si="7"/>
        <v>0</v>
      </c>
      <c r="O191" s="123">
        <v>357</v>
      </c>
      <c r="P191" t="b">
        <f t="shared" si="8"/>
        <v>0</v>
      </c>
    </row>
    <row r="192" spans="1:16">
      <c r="A192" s="121">
        <v>191</v>
      </c>
      <c r="B192" s="184" t="s">
        <v>2380</v>
      </c>
      <c r="C192" s="184" t="s">
        <v>2414</v>
      </c>
      <c r="D192" s="122" t="s">
        <v>2301</v>
      </c>
      <c r="E192" s="124">
        <v>42940</v>
      </c>
      <c r="F192" s="124">
        <v>43009</v>
      </c>
      <c r="G192" s="123">
        <v>232</v>
      </c>
      <c r="H192" s="123">
        <v>715</v>
      </c>
      <c r="I192" s="123">
        <v>32</v>
      </c>
      <c r="J192" s="123">
        <v>240</v>
      </c>
      <c r="K192" s="123">
        <f t="shared" si="6"/>
        <v>69</v>
      </c>
      <c r="M192" s="129">
        <v>144</v>
      </c>
      <c r="N192" t="b">
        <f t="shared" si="7"/>
        <v>0</v>
      </c>
      <c r="O192" s="123">
        <v>18</v>
      </c>
      <c r="P192" t="b">
        <f t="shared" si="8"/>
        <v>0</v>
      </c>
    </row>
    <row r="193" spans="1:16">
      <c r="A193" s="121">
        <v>192</v>
      </c>
      <c r="B193" s="184" t="s">
        <v>2380</v>
      </c>
      <c r="C193" s="184" t="s">
        <v>2415</v>
      </c>
      <c r="D193" s="122" t="s">
        <v>2301</v>
      </c>
      <c r="E193" s="123" t="s">
        <v>2055</v>
      </c>
      <c r="F193" s="123" t="s">
        <v>2055</v>
      </c>
      <c r="G193" s="123" t="s">
        <v>2055</v>
      </c>
      <c r="H193" s="123" t="s">
        <v>2055</v>
      </c>
      <c r="I193" s="123" t="s">
        <v>2055</v>
      </c>
      <c r="J193" s="123" t="s">
        <v>2055</v>
      </c>
      <c r="K193" s="123" t="str">
        <f t="shared" si="6"/>
        <v/>
      </c>
      <c r="M193" s="123">
        <v>171</v>
      </c>
      <c r="N193" t="b">
        <f t="shared" si="7"/>
        <v>0</v>
      </c>
      <c r="O193" s="123">
        <v>397</v>
      </c>
      <c r="P193" t="b">
        <f t="shared" si="8"/>
        <v>0</v>
      </c>
    </row>
    <row r="194" spans="1:16">
      <c r="A194" s="188">
        <v>193</v>
      </c>
      <c r="B194" s="189" t="s">
        <v>2171</v>
      </c>
      <c r="C194" s="189" t="s">
        <v>2440</v>
      </c>
      <c r="D194" s="122">
        <v>3</v>
      </c>
      <c r="E194" s="124">
        <v>42942</v>
      </c>
      <c r="F194" s="124">
        <v>43004</v>
      </c>
      <c r="G194" s="123">
        <v>257</v>
      </c>
      <c r="H194" s="123">
        <v>695</v>
      </c>
      <c r="I194" s="123">
        <v>45</v>
      </c>
      <c r="J194" s="123">
        <v>623</v>
      </c>
      <c r="K194" s="123">
        <f t="shared" si="6"/>
        <v>62</v>
      </c>
      <c r="M194" s="123">
        <v>232</v>
      </c>
      <c r="N194" t="b">
        <f t="shared" si="7"/>
        <v>0</v>
      </c>
      <c r="O194" s="123">
        <v>715</v>
      </c>
      <c r="P194" t="b">
        <f t="shared" si="8"/>
        <v>0</v>
      </c>
    </row>
    <row r="195" spans="1:16">
      <c r="A195" s="188">
        <v>194</v>
      </c>
      <c r="B195" s="189" t="s">
        <v>2171</v>
      </c>
      <c r="C195" s="189" t="s">
        <v>2433</v>
      </c>
      <c r="D195" s="133">
        <v>6</v>
      </c>
      <c r="E195" s="124">
        <v>42942</v>
      </c>
      <c r="F195" s="124">
        <v>43004</v>
      </c>
      <c r="G195" s="123">
        <v>148</v>
      </c>
      <c r="H195" s="123">
        <v>653</v>
      </c>
      <c r="I195" s="123">
        <v>90</v>
      </c>
      <c r="J195" s="123">
        <v>611</v>
      </c>
      <c r="K195" s="123">
        <f t="shared" ref="K195:K221" si="9">IFERROR(F195-E195,"")</f>
        <v>62</v>
      </c>
      <c r="M195" s="123" t="s">
        <v>2055</v>
      </c>
      <c r="N195" t="b">
        <f t="shared" si="7"/>
        <v>1</v>
      </c>
      <c r="O195" s="123" t="s">
        <v>2055</v>
      </c>
      <c r="P195" t="b">
        <f t="shared" si="8"/>
        <v>1</v>
      </c>
    </row>
    <row r="196" spans="1:16">
      <c r="A196" s="188">
        <v>195</v>
      </c>
      <c r="B196" s="189" t="s">
        <v>2171</v>
      </c>
      <c r="C196" s="189" t="s">
        <v>2425</v>
      </c>
      <c r="D196" s="133">
        <v>4</v>
      </c>
      <c r="E196" s="124">
        <v>42942</v>
      </c>
      <c r="F196" s="124">
        <v>43004</v>
      </c>
      <c r="G196" s="123">
        <v>105</v>
      </c>
      <c r="H196" s="123">
        <v>389</v>
      </c>
      <c r="I196" s="123">
        <v>338</v>
      </c>
      <c r="J196" s="123">
        <v>645</v>
      </c>
      <c r="K196" s="123">
        <f t="shared" si="9"/>
        <v>62</v>
      </c>
      <c r="M196" s="123">
        <v>257</v>
      </c>
      <c r="N196" t="b">
        <f t="shared" ref="N196:N259" si="10">COUNTIF($M$4:$M$443, M196)&gt;1</f>
        <v>0</v>
      </c>
      <c r="O196" s="123">
        <v>695</v>
      </c>
      <c r="P196" t="b">
        <f t="shared" si="8"/>
        <v>0</v>
      </c>
    </row>
    <row r="197" spans="1:16">
      <c r="A197" s="188">
        <v>196</v>
      </c>
      <c r="B197" s="189" t="s">
        <v>2171</v>
      </c>
      <c r="C197" s="184" t="s">
        <v>2416</v>
      </c>
      <c r="D197" s="133">
        <v>4</v>
      </c>
      <c r="E197" s="124">
        <v>42942</v>
      </c>
      <c r="F197" s="124">
        <v>43004</v>
      </c>
      <c r="G197" s="123">
        <v>12</v>
      </c>
      <c r="H197" s="123">
        <v>455</v>
      </c>
      <c r="I197" s="123">
        <v>243</v>
      </c>
      <c r="J197" s="123">
        <v>709</v>
      </c>
      <c r="K197" s="123">
        <f t="shared" si="9"/>
        <v>62</v>
      </c>
      <c r="M197" s="123">
        <v>148</v>
      </c>
      <c r="N197" t="b">
        <f t="shared" si="10"/>
        <v>0</v>
      </c>
      <c r="O197" s="123">
        <v>653</v>
      </c>
      <c r="P197" t="b">
        <f t="shared" ref="P197:P260" si="11">COUNTIF($O$4:$O$443, O197)&gt;1</f>
        <v>0</v>
      </c>
    </row>
    <row r="198" spans="1:16">
      <c r="A198" s="188">
        <v>197</v>
      </c>
      <c r="B198" s="189" t="s">
        <v>2171</v>
      </c>
      <c r="C198" s="189" t="s">
        <v>2426</v>
      </c>
      <c r="D198" s="133">
        <v>1</v>
      </c>
      <c r="E198" s="124">
        <v>42942</v>
      </c>
      <c r="F198" s="124">
        <v>43004</v>
      </c>
      <c r="G198" s="123">
        <v>399</v>
      </c>
      <c r="H198" s="123">
        <v>692</v>
      </c>
      <c r="I198" s="123">
        <v>254</v>
      </c>
      <c r="J198" s="123">
        <v>131</v>
      </c>
      <c r="K198" s="123">
        <f t="shared" si="9"/>
        <v>62</v>
      </c>
      <c r="M198" s="123">
        <v>105</v>
      </c>
      <c r="N198" t="b">
        <f t="shared" si="10"/>
        <v>0</v>
      </c>
      <c r="O198" s="123">
        <v>389</v>
      </c>
      <c r="P198" t="b">
        <f t="shared" si="11"/>
        <v>0</v>
      </c>
    </row>
    <row r="199" spans="1:16">
      <c r="A199" s="188">
        <v>198</v>
      </c>
      <c r="B199" s="189" t="s">
        <v>2171</v>
      </c>
      <c r="C199" s="189" t="s">
        <v>2434</v>
      </c>
      <c r="D199" s="133">
        <v>2</v>
      </c>
      <c r="E199" s="124">
        <v>42942</v>
      </c>
      <c r="F199" s="124">
        <v>43004</v>
      </c>
      <c r="G199" s="123">
        <v>27</v>
      </c>
      <c r="H199" s="123">
        <v>352</v>
      </c>
      <c r="I199" s="123">
        <v>780</v>
      </c>
      <c r="J199" s="123">
        <v>711</v>
      </c>
      <c r="K199" s="123">
        <f t="shared" si="9"/>
        <v>62</v>
      </c>
      <c r="M199" s="123">
        <v>12</v>
      </c>
      <c r="N199" t="b">
        <f t="shared" si="10"/>
        <v>0</v>
      </c>
      <c r="O199" s="123">
        <v>455</v>
      </c>
      <c r="P199" t="b">
        <f t="shared" si="11"/>
        <v>0</v>
      </c>
    </row>
    <row r="200" spans="1:16">
      <c r="A200" s="188">
        <v>199</v>
      </c>
      <c r="B200" s="189" t="s">
        <v>2171</v>
      </c>
      <c r="C200" s="189" t="s">
        <v>2418</v>
      </c>
      <c r="D200" s="190">
        <v>1</v>
      </c>
      <c r="E200" s="124">
        <v>42942</v>
      </c>
      <c r="F200" s="124">
        <v>43004</v>
      </c>
      <c r="G200" s="123">
        <v>224</v>
      </c>
      <c r="H200" s="123">
        <v>327</v>
      </c>
      <c r="I200" s="123">
        <v>182</v>
      </c>
      <c r="J200" s="123">
        <v>236</v>
      </c>
      <c r="K200" s="123">
        <f t="shared" si="9"/>
        <v>62</v>
      </c>
      <c r="M200" s="123">
        <v>399</v>
      </c>
      <c r="N200" t="b">
        <f t="shared" si="10"/>
        <v>0</v>
      </c>
      <c r="O200" s="123">
        <v>692</v>
      </c>
      <c r="P200" t="b">
        <f t="shared" si="11"/>
        <v>0</v>
      </c>
    </row>
    <row r="201" spans="1:16">
      <c r="A201" s="188">
        <v>200</v>
      </c>
      <c r="B201" s="189" t="s">
        <v>2171</v>
      </c>
      <c r="C201" s="189" t="s">
        <v>2441</v>
      </c>
      <c r="D201" s="133">
        <v>7</v>
      </c>
      <c r="E201" s="124">
        <v>42942</v>
      </c>
      <c r="F201" s="124">
        <v>43004</v>
      </c>
      <c r="G201" s="123">
        <v>158</v>
      </c>
      <c r="H201" s="123">
        <v>75</v>
      </c>
      <c r="I201" s="123">
        <v>186</v>
      </c>
      <c r="J201" s="123">
        <v>205</v>
      </c>
      <c r="K201" s="123">
        <f t="shared" si="9"/>
        <v>62</v>
      </c>
      <c r="M201" s="123">
        <v>27</v>
      </c>
      <c r="N201" t="b">
        <f t="shared" si="10"/>
        <v>0</v>
      </c>
      <c r="O201" s="123">
        <v>352</v>
      </c>
      <c r="P201" t="b">
        <f t="shared" si="11"/>
        <v>0</v>
      </c>
    </row>
    <row r="202" spans="1:16">
      <c r="A202" s="188">
        <v>201</v>
      </c>
      <c r="B202" s="189" t="s">
        <v>2271</v>
      </c>
      <c r="C202" s="189" t="s">
        <v>2442</v>
      </c>
      <c r="D202" s="133">
        <v>5</v>
      </c>
      <c r="E202" s="124">
        <v>42942</v>
      </c>
      <c r="F202" s="124">
        <v>43004</v>
      </c>
      <c r="G202" s="123">
        <v>211</v>
      </c>
      <c r="H202" s="123">
        <v>36</v>
      </c>
      <c r="I202" s="123">
        <v>315</v>
      </c>
      <c r="J202" s="123">
        <v>665</v>
      </c>
      <c r="K202" s="123">
        <f t="shared" si="9"/>
        <v>62</v>
      </c>
      <c r="M202" s="123">
        <v>224</v>
      </c>
      <c r="N202" t="b">
        <f t="shared" si="10"/>
        <v>0</v>
      </c>
      <c r="O202" s="123">
        <v>327</v>
      </c>
      <c r="P202" t="b">
        <f t="shared" si="11"/>
        <v>0</v>
      </c>
    </row>
    <row r="203" spans="1:16">
      <c r="A203" s="188">
        <v>202</v>
      </c>
      <c r="B203" s="189" t="s">
        <v>2271</v>
      </c>
      <c r="C203" s="189" t="s">
        <v>2419</v>
      </c>
      <c r="D203" s="133">
        <v>5</v>
      </c>
      <c r="E203" s="124">
        <v>42942</v>
      </c>
      <c r="F203" s="124">
        <v>43004</v>
      </c>
      <c r="G203" s="123">
        <v>181</v>
      </c>
      <c r="H203" s="123">
        <v>676</v>
      </c>
      <c r="I203" s="123">
        <v>147</v>
      </c>
      <c r="J203" s="123">
        <v>224</v>
      </c>
      <c r="K203" s="123">
        <f t="shared" si="9"/>
        <v>62</v>
      </c>
      <c r="M203" s="123">
        <v>158</v>
      </c>
      <c r="N203" t="b">
        <f t="shared" si="10"/>
        <v>0</v>
      </c>
      <c r="O203" s="123">
        <v>75</v>
      </c>
      <c r="P203" t="b">
        <f t="shared" si="11"/>
        <v>0</v>
      </c>
    </row>
    <row r="204" spans="1:16">
      <c r="A204" s="188">
        <v>203</v>
      </c>
      <c r="B204" s="189" t="s">
        <v>2271</v>
      </c>
      <c r="C204" s="189" t="s">
        <v>2428</v>
      </c>
      <c r="D204" s="133">
        <v>7</v>
      </c>
      <c r="E204" s="124">
        <v>42942</v>
      </c>
      <c r="F204" s="124">
        <v>43004</v>
      </c>
      <c r="G204" s="123">
        <v>179</v>
      </c>
      <c r="H204" s="123">
        <v>685</v>
      </c>
      <c r="I204" s="123">
        <v>168</v>
      </c>
      <c r="J204" s="123">
        <v>621</v>
      </c>
      <c r="K204" s="123">
        <f t="shared" si="9"/>
        <v>62</v>
      </c>
      <c r="M204" s="123">
        <v>211</v>
      </c>
      <c r="N204" t="b">
        <f t="shared" si="10"/>
        <v>0</v>
      </c>
      <c r="O204" s="123">
        <v>36</v>
      </c>
      <c r="P204" t="b">
        <f t="shared" si="11"/>
        <v>0</v>
      </c>
    </row>
    <row r="205" spans="1:16">
      <c r="A205" s="188">
        <v>204</v>
      </c>
      <c r="B205" s="189" t="s">
        <v>2271</v>
      </c>
      <c r="C205" s="189" t="s">
        <v>2435</v>
      </c>
      <c r="D205" s="133">
        <v>4</v>
      </c>
      <c r="E205" s="124">
        <v>42942</v>
      </c>
      <c r="F205" s="124">
        <v>43004</v>
      </c>
      <c r="G205" s="123">
        <v>248</v>
      </c>
      <c r="H205" s="123">
        <v>254</v>
      </c>
      <c r="I205" s="123">
        <v>672</v>
      </c>
      <c r="J205" s="123">
        <v>208</v>
      </c>
      <c r="K205" s="123">
        <f t="shared" si="9"/>
        <v>62</v>
      </c>
      <c r="M205" s="123">
        <v>181</v>
      </c>
      <c r="N205" t="b">
        <f t="shared" si="10"/>
        <v>0</v>
      </c>
      <c r="O205" s="123">
        <v>676</v>
      </c>
      <c r="P205" t="b">
        <f t="shared" si="11"/>
        <v>0</v>
      </c>
    </row>
    <row r="206" spans="1:16">
      <c r="A206" s="188">
        <v>205</v>
      </c>
      <c r="B206" s="189" t="s">
        <v>2309</v>
      </c>
      <c r="C206" s="189" t="s">
        <v>2429</v>
      </c>
      <c r="D206" s="133">
        <v>6</v>
      </c>
      <c r="E206" s="124">
        <v>42942</v>
      </c>
      <c r="F206" s="124">
        <v>43004</v>
      </c>
      <c r="G206" s="123">
        <v>55</v>
      </c>
      <c r="H206" s="123">
        <v>348</v>
      </c>
      <c r="I206" s="123">
        <v>173</v>
      </c>
      <c r="J206" s="123">
        <v>637</v>
      </c>
      <c r="K206" s="123">
        <f t="shared" si="9"/>
        <v>62</v>
      </c>
      <c r="M206" s="123">
        <v>179</v>
      </c>
      <c r="N206" t="b">
        <f t="shared" si="10"/>
        <v>0</v>
      </c>
      <c r="O206" s="123">
        <v>685</v>
      </c>
      <c r="P206" t="b">
        <f t="shared" si="11"/>
        <v>0</v>
      </c>
    </row>
    <row r="207" spans="1:16">
      <c r="A207" s="188">
        <v>206</v>
      </c>
      <c r="B207" s="189" t="s">
        <v>2309</v>
      </c>
      <c r="C207" s="189" t="s">
        <v>2420</v>
      </c>
      <c r="D207" s="133">
        <v>3</v>
      </c>
      <c r="E207" s="124">
        <v>42942</v>
      </c>
      <c r="F207" s="124">
        <v>43004</v>
      </c>
      <c r="G207" s="123">
        <v>124</v>
      </c>
      <c r="H207" s="123">
        <v>686</v>
      </c>
      <c r="I207" s="123">
        <v>262</v>
      </c>
      <c r="J207" s="123">
        <v>284</v>
      </c>
      <c r="K207" s="123">
        <f t="shared" si="9"/>
        <v>62</v>
      </c>
      <c r="M207" s="123">
        <v>248</v>
      </c>
      <c r="N207" t="b">
        <f t="shared" si="10"/>
        <v>0</v>
      </c>
      <c r="O207" s="123">
        <v>254</v>
      </c>
      <c r="P207" t="b">
        <f t="shared" si="11"/>
        <v>0</v>
      </c>
    </row>
    <row r="208" spans="1:16">
      <c r="A208" s="188">
        <v>207</v>
      </c>
      <c r="B208" s="189" t="s">
        <v>2309</v>
      </c>
      <c r="C208" s="189" t="s">
        <v>2443</v>
      </c>
      <c r="D208" s="133">
        <v>1</v>
      </c>
      <c r="E208" s="124">
        <v>42942</v>
      </c>
      <c r="F208" s="124">
        <v>43004</v>
      </c>
      <c r="G208" s="123">
        <v>234</v>
      </c>
      <c r="H208" s="123">
        <v>551</v>
      </c>
      <c r="I208" s="123">
        <v>230</v>
      </c>
      <c r="J208" s="123">
        <v>604</v>
      </c>
      <c r="K208" s="123">
        <f t="shared" si="9"/>
        <v>62</v>
      </c>
      <c r="M208" s="123">
        <v>55</v>
      </c>
      <c r="N208" t="b">
        <f t="shared" si="10"/>
        <v>0</v>
      </c>
      <c r="O208" s="123">
        <v>348</v>
      </c>
      <c r="P208" t="b">
        <f t="shared" si="11"/>
        <v>0</v>
      </c>
    </row>
    <row r="209" spans="1:16">
      <c r="A209" s="188">
        <v>208</v>
      </c>
      <c r="B209" s="189" t="s">
        <v>2309</v>
      </c>
      <c r="C209" s="189" t="s">
        <v>2436</v>
      </c>
      <c r="D209" s="133">
        <v>3</v>
      </c>
      <c r="E209" s="124">
        <v>42942</v>
      </c>
      <c r="F209" s="124">
        <v>43004</v>
      </c>
      <c r="G209" s="123">
        <v>412</v>
      </c>
      <c r="H209" s="144">
        <v>516</v>
      </c>
      <c r="I209" s="144">
        <v>140</v>
      </c>
      <c r="J209" s="123">
        <v>625</v>
      </c>
      <c r="K209" s="123">
        <f t="shared" si="9"/>
        <v>62</v>
      </c>
      <c r="M209" s="123">
        <v>124</v>
      </c>
      <c r="N209" t="b">
        <f t="shared" si="10"/>
        <v>0</v>
      </c>
      <c r="O209" s="123">
        <v>686</v>
      </c>
      <c r="P209" t="b">
        <f t="shared" si="11"/>
        <v>0</v>
      </c>
    </row>
    <row r="210" spans="1:16">
      <c r="A210" s="188">
        <v>209</v>
      </c>
      <c r="B210" s="189" t="s">
        <v>2309</v>
      </c>
      <c r="C210" s="189" t="s">
        <v>2430</v>
      </c>
      <c r="D210" s="133">
        <v>3</v>
      </c>
      <c r="E210" s="124">
        <v>42942</v>
      </c>
      <c r="F210" s="124">
        <v>43004</v>
      </c>
      <c r="G210" s="123">
        <v>94</v>
      </c>
      <c r="H210" s="123">
        <v>678</v>
      </c>
      <c r="I210" s="123">
        <v>92</v>
      </c>
      <c r="J210" s="123">
        <v>647</v>
      </c>
      <c r="K210" s="123">
        <f t="shared" si="9"/>
        <v>62</v>
      </c>
      <c r="M210" s="123">
        <v>234</v>
      </c>
      <c r="N210" t="b">
        <f t="shared" si="10"/>
        <v>0</v>
      </c>
      <c r="O210" s="123">
        <v>551</v>
      </c>
      <c r="P210" t="b">
        <f t="shared" si="11"/>
        <v>0</v>
      </c>
    </row>
    <row r="211" spans="1:16">
      <c r="A211" s="188">
        <v>210</v>
      </c>
      <c r="B211" s="189" t="s">
        <v>2309</v>
      </c>
      <c r="C211" s="189" t="s">
        <v>2444</v>
      </c>
      <c r="D211" s="133">
        <v>2</v>
      </c>
      <c r="E211" s="124">
        <v>42942</v>
      </c>
      <c r="F211" s="124">
        <v>43004</v>
      </c>
      <c r="G211" s="123">
        <v>93</v>
      </c>
      <c r="H211" s="123">
        <v>335</v>
      </c>
      <c r="I211" s="123">
        <v>36</v>
      </c>
      <c r="J211" s="123">
        <v>599</v>
      </c>
      <c r="K211" s="123">
        <f t="shared" si="9"/>
        <v>62</v>
      </c>
      <c r="M211" s="123">
        <v>412</v>
      </c>
      <c r="N211" t="b">
        <f t="shared" si="10"/>
        <v>0</v>
      </c>
      <c r="O211" s="144">
        <v>516</v>
      </c>
      <c r="P211" t="b">
        <f t="shared" si="11"/>
        <v>0</v>
      </c>
    </row>
    <row r="212" spans="1:16">
      <c r="A212" s="188">
        <v>211</v>
      </c>
      <c r="B212" s="189" t="s">
        <v>2309</v>
      </c>
      <c r="C212" s="189" t="s">
        <v>2421</v>
      </c>
      <c r="D212" s="133">
        <v>2</v>
      </c>
      <c r="E212" s="124">
        <v>42942</v>
      </c>
      <c r="F212" s="124">
        <v>43004</v>
      </c>
      <c r="G212" s="123">
        <v>26</v>
      </c>
      <c r="H212" s="123">
        <v>249</v>
      </c>
      <c r="I212" s="123">
        <v>434</v>
      </c>
      <c r="J212" s="123">
        <v>670</v>
      </c>
      <c r="K212" s="123">
        <f t="shared" si="9"/>
        <v>62</v>
      </c>
      <c r="M212" s="123">
        <v>94</v>
      </c>
      <c r="N212" t="b">
        <f t="shared" si="10"/>
        <v>0</v>
      </c>
      <c r="O212" s="123">
        <v>678</v>
      </c>
      <c r="P212" t="b">
        <f t="shared" si="11"/>
        <v>0</v>
      </c>
    </row>
    <row r="213" spans="1:16">
      <c r="A213" s="188">
        <v>211</v>
      </c>
      <c r="B213" s="189" t="s">
        <v>2309</v>
      </c>
      <c r="C213" s="189" t="s">
        <v>2421</v>
      </c>
      <c r="D213" s="133">
        <v>7</v>
      </c>
      <c r="E213" s="124">
        <v>42942</v>
      </c>
      <c r="F213" s="124">
        <v>43004</v>
      </c>
      <c r="G213" s="123">
        <v>169</v>
      </c>
      <c r="H213" s="123">
        <v>627</v>
      </c>
      <c r="I213" s="191">
        <v>56</v>
      </c>
      <c r="J213" s="123">
        <v>256</v>
      </c>
      <c r="K213" s="123">
        <f t="shared" si="9"/>
        <v>62</v>
      </c>
      <c r="M213" s="123">
        <v>93</v>
      </c>
      <c r="N213" t="b">
        <f t="shared" si="10"/>
        <v>0</v>
      </c>
      <c r="O213" s="123">
        <v>335</v>
      </c>
      <c r="P213" t="b">
        <f t="shared" si="11"/>
        <v>0</v>
      </c>
    </row>
    <row r="214" spans="1:16">
      <c r="A214" s="188">
        <v>212</v>
      </c>
      <c r="B214" s="189" t="s">
        <v>2309</v>
      </c>
      <c r="C214" s="189" t="s">
        <v>2437</v>
      </c>
      <c r="D214" s="133">
        <v>5</v>
      </c>
      <c r="E214" s="124">
        <v>42942</v>
      </c>
      <c r="F214" s="124">
        <v>43004</v>
      </c>
      <c r="G214" s="123">
        <v>68</v>
      </c>
      <c r="H214" s="123">
        <v>803</v>
      </c>
      <c r="I214" s="123">
        <v>365</v>
      </c>
      <c r="J214" s="123">
        <v>658</v>
      </c>
      <c r="K214" s="123">
        <f t="shared" si="9"/>
        <v>62</v>
      </c>
      <c r="M214" s="123">
        <v>26</v>
      </c>
      <c r="N214" t="b">
        <f t="shared" si="10"/>
        <v>0</v>
      </c>
      <c r="O214" s="123">
        <v>249</v>
      </c>
      <c r="P214" t="b">
        <f t="shared" si="11"/>
        <v>0</v>
      </c>
    </row>
    <row r="215" spans="1:16">
      <c r="A215" s="188">
        <v>213</v>
      </c>
      <c r="B215" s="189" t="s">
        <v>2380</v>
      </c>
      <c r="C215" s="189" t="s">
        <v>2445</v>
      </c>
      <c r="D215" s="133">
        <v>6</v>
      </c>
      <c r="E215" s="124">
        <v>42942</v>
      </c>
      <c r="F215" s="124">
        <v>43004</v>
      </c>
      <c r="G215" s="123">
        <v>143</v>
      </c>
      <c r="H215" s="123">
        <v>321</v>
      </c>
      <c r="I215" s="123">
        <v>5</v>
      </c>
      <c r="J215" s="123">
        <v>699</v>
      </c>
      <c r="K215" s="123">
        <f t="shared" si="9"/>
        <v>62</v>
      </c>
      <c r="M215" s="123">
        <v>169</v>
      </c>
      <c r="N215" t="b">
        <f t="shared" si="10"/>
        <v>0</v>
      </c>
      <c r="O215" s="123">
        <v>627</v>
      </c>
      <c r="P215" t="b">
        <f t="shared" si="11"/>
        <v>0</v>
      </c>
    </row>
    <row r="216" spans="1:16">
      <c r="A216" s="188">
        <v>214</v>
      </c>
      <c r="B216" s="189" t="s">
        <v>2380</v>
      </c>
      <c r="C216" s="189" t="s">
        <v>2438</v>
      </c>
      <c r="D216" s="133">
        <v>7</v>
      </c>
      <c r="E216" s="124">
        <v>42942</v>
      </c>
      <c r="F216" s="124">
        <v>43004</v>
      </c>
      <c r="G216" s="123">
        <v>128</v>
      </c>
      <c r="H216" s="123">
        <v>771</v>
      </c>
      <c r="I216" s="123">
        <v>677</v>
      </c>
      <c r="J216" s="123">
        <v>663</v>
      </c>
      <c r="K216" s="123">
        <f t="shared" si="9"/>
        <v>62</v>
      </c>
      <c r="M216" s="123">
        <v>68</v>
      </c>
      <c r="N216" t="b">
        <f t="shared" si="10"/>
        <v>0</v>
      </c>
      <c r="O216" s="123">
        <v>803</v>
      </c>
      <c r="P216" t="b">
        <f t="shared" si="11"/>
        <v>0</v>
      </c>
    </row>
    <row r="217" spans="1:16">
      <c r="A217" s="188">
        <v>216</v>
      </c>
      <c r="B217" s="189" t="s">
        <v>2380</v>
      </c>
      <c r="C217" s="189" t="s">
        <v>2431</v>
      </c>
      <c r="D217" s="133">
        <v>2</v>
      </c>
      <c r="E217" s="124">
        <v>42942</v>
      </c>
      <c r="F217" s="124">
        <v>43004</v>
      </c>
      <c r="G217" s="123">
        <v>95</v>
      </c>
      <c r="H217" s="123">
        <v>379</v>
      </c>
      <c r="I217" s="123">
        <v>361</v>
      </c>
      <c r="J217" s="123">
        <v>622</v>
      </c>
      <c r="K217" s="123">
        <f t="shared" si="9"/>
        <v>62</v>
      </c>
      <c r="M217" s="123">
        <v>143</v>
      </c>
      <c r="N217" t="b">
        <f t="shared" si="10"/>
        <v>0</v>
      </c>
      <c r="O217" s="123">
        <v>321</v>
      </c>
      <c r="P217" t="b">
        <f t="shared" si="11"/>
        <v>0</v>
      </c>
    </row>
    <row r="218" spans="1:16">
      <c r="A218" s="188">
        <v>217</v>
      </c>
      <c r="B218" s="189" t="s">
        <v>2423</v>
      </c>
      <c r="C218" s="189" t="s">
        <v>2424</v>
      </c>
      <c r="D218" s="133">
        <v>6</v>
      </c>
      <c r="E218" s="124">
        <v>42942</v>
      </c>
      <c r="F218" s="124">
        <v>43004</v>
      </c>
      <c r="G218" s="123">
        <v>313</v>
      </c>
      <c r="H218" s="123">
        <v>771</v>
      </c>
      <c r="I218" s="123">
        <v>204</v>
      </c>
      <c r="J218" s="123">
        <v>608</v>
      </c>
      <c r="K218" s="123">
        <f t="shared" si="9"/>
        <v>62</v>
      </c>
      <c r="M218" s="123">
        <v>128</v>
      </c>
      <c r="N218" t="b">
        <f t="shared" si="10"/>
        <v>0</v>
      </c>
      <c r="O218" s="164">
        <v>771</v>
      </c>
      <c r="P218" t="b">
        <f t="shared" si="11"/>
        <v>1</v>
      </c>
    </row>
    <row r="219" spans="1:16">
      <c r="A219" s="188">
        <v>218</v>
      </c>
      <c r="B219" s="189" t="s">
        <v>2423</v>
      </c>
      <c r="C219" s="189" t="s">
        <v>2432</v>
      </c>
      <c r="D219" s="133">
        <v>5</v>
      </c>
      <c r="E219" s="124">
        <v>42942</v>
      </c>
      <c r="F219" s="124">
        <v>43004</v>
      </c>
      <c r="G219" s="123">
        <v>485</v>
      </c>
      <c r="H219" s="123">
        <v>680</v>
      </c>
      <c r="I219" s="123">
        <v>170</v>
      </c>
      <c r="J219" s="123">
        <v>639</v>
      </c>
      <c r="K219" s="123">
        <f t="shared" si="9"/>
        <v>62</v>
      </c>
      <c r="M219" s="123">
        <v>95</v>
      </c>
      <c r="N219" t="b">
        <f t="shared" si="10"/>
        <v>0</v>
      </c>
      <c r="O219" s="123">
        <v>379</v>
      </c>
      <c r="P219" t="b">
        <f t="shared" si="11"/>
        <v>0</v>
      </c>
    </row>
    <row r="220" spans="1:16">
      <c r="A220" s="188">
        <v>219</v>
      </c>
      <c r="B220" s="189" t="s">
        <v>2423</v>
      </c>
      <c r="C220" s="189" t="s">
        <v>2439</v>
      </c>
      <c r="D220" s="133">
        <v>1</v>
      </c>
      <c r="E220" s="124">
        <v>42942</v>
      </c>
      <c r="F220" s="124">
        <v>43004</v>
      </c>
      <c r="G220" s="123">
        <v>196</v>
      </c>
      <c r="H220" s="145">
        <v>178</v>
      </c>
      <c r="I220" s="145">
        <v>123</v>
      </c>
      <c r="J220" s="123">
        <v>246</v>
      </c>
      <c r="K220" s="123">
        <f t="shared" si="9"/>
        <v>62</v>
      </c>
      <c r="M220" s="123">
        <v>313</v>
      </c>
      <c r="N220" t="b">
        <f t="shared" si="10"/>
        <v>0</v>
      </c>
      <c r="O220" s="164">
        <v>771</v>
      </c>
      <c r="P220" t="b">
        <f t="shared" si="11"/>
        <v>1</v>
      </c>
    </row>
    <row r="221" spans="1:16">
      <c r="A221" s="188">
        <v>220</v>
      </c>
      <c r="B221" s="189" t="s">
        <v>2423</v>
      </c>
      <c r="C221" s="189" t="s">
        <v>2446</v>
      </c>
      <c r="D221" s="133">
        <v>4</v>
      </c>
      <c r="E221" s="124">
        <v>42942</v>
      </c>
      <c r="F221" s="124">
        <v>43004</v>
      </c>
      <c r="G221" s="123">
        <v>39</v>
      </c>
      <c r="H221" s="123">
        <v>194</v>
      </c>
      <c r="I221" s="123">
        <v>53</v>
      </c>
      <c r="J221" s="123">
        <v>672</v>
      </c>
      <c r="K221" s="123">
        <f t="shared" si="9"/>
        <v>62</v>
      </c>
      <c r="M221" s="123">
        <v>485</v>
      </c>
      <c r="N221" t="b">
        <f t="shared" si="10"/>
        <v>0</v>
      </c>
      <c r="O221" s="123">
        <v>680</v>
      </c>
      <c r="P221" t="b">
        <f t="shared" si="11"/>
        <v>0</v>
      </c>
    </row>
    <row r="222" spans="1:16">
      <c r="M222" s="123">
        <v>196</v>
      </c>
      <c r="N222" t="b">
        <f t="shared" si="10"/>
        <v>0</v>
      </c>
      <c r="O222" s="145">
        <v>178</v>
      </c>
      <c r="P222" t="b">
        <f t="shared" si="11"/>
        <v>0</v>
      </c>
    </row>
    <row r="223" spans="1:16">
      <c r="M223" s="123">
        <v>39</v>
      </c>
      <c r="N223" t="b">
        <f t="shared" si="10"/>
        <v>0</v>
      </c>
      <c r="O223" s="123">
        <v>194</v>
      </c>
      <c r="P223" t="b">
        <f t="shared" si="11"/>
        <v>0</v>
      </c>
    </row>
    <row r="224" spans="1:16">
      <c r="M224" s="123">
        <v>377</v>
      </c>
      <c r="N224" t="b">
        <f t="shared" si="10"/>
        <v>0</v>
      </c>
      <c r="O224" s="123">
        <v>204</v>
      </c>
      <c r="P224" t="b">
        <f t="shared" si="11"/>
        <v>0</v>
      </c>
    </row>
    <row r="225" spans="13:16">
      <c r="M225" s="123" t="s">
        <v>2055</v>
      </c>
      <c r="N225" t="b">
        <f t="shared" si="10"/>
        <v>1</v>
      </c>
      <c r="O225" s="123" t="s">
        <v>2055</v>
      </c>
      <c r="P225" t="b">
        <f t="shared" si="11"/>
        <v>1</v>
      </c>
    </row>
    <row r="226" spans="13:16">
      <c r="M226" s="123">
        <v>44</v>
      </c>
      <c r="N226" t="b">
        <f t="shared" si="10"/>
        <v>0</v>
      </c>
      <c r="O226" s="123">
        <v>283</v>
      </c>
      <c r="P226" t="b">
        <f t="shared" si="11"/>
        <v>0</v>
      </c>
    </row>
    <row r="227" spans="13:16">
      <c r="M227" s="123">
        <v>357</v>
      </c>
      <c r="N227" t="b">
        <f t="shared" si="10"/>
        <v>0</v>
      </c>
      <c r="O227" s="123">
        <v>298</v>
      </c>
      <c r="P227" t="b">
        <f t="shared" si="11"/>
        <v>0</v>
      </c>
    </row>
    <row r="228" spans="13:16">
      <c r="M228" s="163">
        <v>734</v>
      </c>
      <c r="N228" t="b">
        <f t="shared" si="10"/>
        <v>0</v>
      </c>
      <c r="O228" s="123">
        <v>226</v>
      </c>
      <c r="P228" t="b">
        <f t="shared" si="11"/>
        <v>0</v>
      </c>
    </row>
    <row r="229" spans="13:16">
      <c r="M229" s="123">
        <v>164</v>
      </c>
      <c r="N229" t="b">
        <f t="shared" si="10"/>
        <v>0</v>
      </c>
      <c r="O229" s="123">
        <v>286</v>
      </c>
      <c r="P229" t="b">
        <f t="shared" si="11"/>
        <v>0</v>
      </c>
    </row>
    <row r="230" spans="13:16">
      <c r="M230" s="123">
        <v>776</v>
      </c>
      <c r="N230" t="b">
        <f t="shared" si="10"/>
        <v>0</v>
      </c>
      <c r="O230" s="123">
        <v>210</v>
      </c>
      <c r="P230" t="b">
        <f t="shared" si="11"/>
        <v>0</v>
      </c>
    </row>
    <row r="231" spans="13:16">
      <c r="M231" s="123">
        <v>23</v>
      </c>
      <c r="N231" t="b">
        <f t="shared" si="10"/>
        <v>0</v>
      </c>
      <c r="O231" s="123">
        <v>213</v>
      </c>
      <c r="P231" t="b">
        <f t="shared" si="11"/>
        <v>0</v>
      </c>
    </row>
    <row r="232" spans="13:16">
      <c r="M232" s="123">
        <v>570</v>
      </c>
      <c r="N232" t="b">
        <f t="shared" si="10"/>
        <v>0</v>
      </c>
      <c r="O232" s="123">
        <v>704</v>
      </c>
      <c r="P232" t="b">
        <f t="shared" si="11"/>
        <v>0</v>
      </c>
    </row>
    <row r="233" spans="13:16">
      <c r="M233" s="123">
        <v>642</v>
      </c>
      <c r="N233" t="b">
        <f t="shared" si="10"/>
        <v>0</v>
      </c>
      <c r="O233" s="123">
        <v>355</v>
      </c>
      <c r="P233" t="b">
        <f t="shared" si="11"/>
        <v>0</v>
      </c>
    </row>
    <row r="234" spans="13:16">
      <c r="M234" s="123">
        <v>663</v>
      </c>
      <c r="N234" t="b">
        <f t="shared" si="10"/>
        <v>0</v>
      </c>
      <c r="O234" s="123">
        <v>616</v>
      </c>
      <c r="P234" t="b">
        <f t="shared" si="11"/>
        <v>0</v>
      </c>
    </row>
    <row r="235" spans="13:16">
      <c r="M235" s="123" t="s">
        <v>2055</v>
      </c>
      <c r="N235" t="b">
        <f t="shared" si="10"/>
        <v>1</v>
      </c>
      <c r="O235" s="123" t="s">
        <v>2055</v>
      </c>
      <c r="P235" t="b">
        <f t="shared" si="11"/>
        <v>1</v>
      </c>
    </row>
    <row r="236" spans="13:16">
      <c r="M236" s="123">
        <v>874</v>
      </c>
      <c r="N236" t="b">
        <f t="shared" si="10"/>
        <v>0</v>
      </c>
      <c r="O236" s="123">
        <v>603</v>
      </c>
      <c r="P236" t="b">
        <f t="shared" si="11"/>
        <v>0</v>
      </c>
    </row>
    <row r="237" spans="13:16">
      <c r="M237" s="129">
        <v>219</v>
      </c>
      <c r="N237" t="b">
        <f t="shared" si="10"/>
        <v>0</v>
      </c>
      <c r="O237" s="123">
        <v>652</v>
      </c>
      <c r="P237" t="b">
        <f t="shared" si="11"/>
        <v>0</v>
      </c>
    </row>
    <row r="238" spans="13:16">
      <c r="M238" s="123">
        <v>630</v>
      </c>
      <c r="N238" t="b">
        <f t="shared" si="10"/>
        <v>0</v>
      </c>
      <c r="O238" s="123">
        <v>304</v>
      </c>
      <c r="P238" t="b">
        <f t="shared" si="11"/>
        <v>0</v>
      </c>
    </row>
    <row r="239" spans="13:16">
      <c r="M239" s="123">
        <v>662</v>
      </c>
      <c r="N239" t="b">
        <f t="shared" si="10"/>
        <v>0</v>
      </c>
      <c r="O239" s="123">
        <v>687</v>
      </c>
      <c r="P239" t="b">
        <f t="shared" si="11"/>
        <v>0</v>
      </c>
    </row>
    <row r="240" spans="13:16">
      <c r="M240" s="123">
        <v>349</v>
      </c>
      <c r="N240" t="b">
        <f t="shared" si="10"/>
        <v>0</v>
      </c>
      <c r="O240" s="123">
        <v>407</v>
      </c>
      <c r="P240" t="b">
        <f t="shared" si="11"/>
        <v>0</v>
      </c>
    </row>
    <row r="241" spans="13:16">
      <c r="M241" s="123">
        <v>113</v>
      </c>
      <c r="N241" t="b">
        <f t="shared" si="10"/>
        <v>0</v>
      </c>
      <c r="O241" s="123">
        <v>361</v>
      </c>
      <c r="P241" t="b">
        <f t="shared" si="11"/>
        <v>0</v>
      </c>
    </row>
    <row r="242" spans="13:16">
      <c r="M242" s="123">
        <v>394</v>
      </c>
      <c r="N242" t="b">
        <f t="shared" si="10"/>
        <v>0</v>
      </c>
      <c r="O242" s="123">
        <v>280</v>
      </c>
      <c r="P242" t="b">
        <f t="shared" si="11"/>
        <v>0</v>
      </c>
    </row>
    <row r="243" spans="13:16">
      <c r="M243" s="123">
        <v>79</v>
      </c>
      <c r="N243" t="b">
        <f t="shared" si="10"/>
        <v>0</v>
      </c>
      <c r="O243" s="123">
        <v>320</v>
      </c>
      <c r="P243" t="b">
        <f t="shared" si="11"/>
        <v>0</v>
      </c>
    </row>
    <row r="244" spans="13:16">
      <c r="M244" s="123">
        <v>488</v>
      </c>
      <c r="N244" t="b">
        <f t="shared" si="10"/>
        <v>0</v>
      </c>
      <c r="O244" s="123">
        <v>209</v>
      </c>
      <c r="P244" t="b">
        <f t="shared" si="11"/>
        <v>0</v>
      </c>
    </row>
    <row r="245" spans="13:16">
      <c r="M245" s="123">
        <v>750</v>
      </c>
      <c r="N245" t="b">
        <f t="shared" si="10"/>
        <v>0</v>
      </c>
      <c r="O245" s="123">
        <v>646</v>
      </c>
      <c r="P245" t="b">
        <f t="shared" si="11"/>
        <v>0</v>
      </c>
    </row>
    <row r="246" spans="13:16">
      <c r="M246" s="125" t="s">
        <v>2055</v>
      </c>
      <c r="N246" t="b">
        <f t="shared" si="10"/>
        <v>1</v>
      </c>
      <c r="O246" s="125" t="s">
        <v>2055</v>
      </c>
      <c r="P246" t="b">
        <f t="shared" si="11"/>
        <v>1</v>
      </c>
    </row>
    <row r="247" spans="13:16">
      <c r="M247" s="123">
        <v>562</v>
      </c>
      <c r="N247" t="b">
        <f t="shared" si="10"/>
        <v>0</v>
      </c>
      <c r="O247" s="123">
        <v>650</v>
      </c>
      <c r="P247" t="b">
        <f t="shared" si="11"/>
        <v>0</v>
      </c>
    </row>
    <row r="248" spans="13:16">
      <c r="M248" s="123">
        <v>156</v>
      </c>
      <c r="N248" t="b">
        <f t="shared" si="10"/>
        <v>0</v>
      </c>
      <c r="O248" s="123">
        <v>230</v>
      </c>
      <c r="P248" t="b">
        <f t="shared" si="11"/>
        <v>0</v>
      </c>
    </row>
    <row r="249" spans="13:16">
      <c r="M249" s="123">
        <v>555</v>
      </c>
      <c r="N249" t="b">
        <f t="shared" si="10"/>
        <v>0</v>
      </c>
      <c r="O249" s="123">
        <v>642</v>
      </c>
      <c r="P249" t="b">
        <f t="shared" si="11"/>
        <v>0</v>
      </c>
    </row>
    <row r="250" spans="13:16">
      <c r="M250" s="123">
        <v>378</v>
      </c>
      <c r="N250" t="b">
        <f t="shared" si="10"/>
        <v>0</v>
      </c>
      <c r="O250" s="123">
        <v>199</v>
      </c>
      <c r="P250" t="b">
        <f t="shared" si="11"/>
        <v>0</v>
      </c>
    </row>
    <row r="251" spans="13:16">
      <c r="M251" s="123">
        <v>46</v>
      </c>
      <c r="N251" t="b">
        <f t="shared" si="10"/>
        <v>0</v>
      </c>
      <c r="O251" s="123">
        <v>162</v>
      </c>
      <c r="P251" t="b">
        <f t="shared" si="11"/>
        <v>0</v>
      </c>
    </row>
    <row r="252" spans="13:16">
      <c r="M252" s="123">
        <v>397</v>
      </c>
      <c r="N252" t="b">
        <f t="shared" si="10"/>
        <v>0</v>
      </c>
      <c r="O252" s="123">
        <v>163</v>
      </c>
      <c r="P252" t="b">
        <f t="shared" si="11"/>
        <v>0</v>
      </c>
    </row>
    <row r="253" spans="13:16">
      <c r="M253" s="123">
        <v>166</v>
      </c>
      <c r="N253" t="b">
        <f t="shared" si="10"/>
        <v>0</v>
      </c>
      <c r="O253" s="123">
        <v>345</v>
      </c>
      <c r="P253" t="b">
        <f t="shared" si="11"/>
        <v>0</v>
      </c>
    </row>
    <row r="254" spans="13:16">
      <c r="M254" s="125" t="s">
        <v>2055</v>
      </c>
      <c r="N254" t="b">
        <f t="shared" si="10"/>
        <v>1</v>
      </c>
      <c r="O254" s="125" t="s">
        <v>2055</v>
      </c>
      <c r="P254" t="b">
        <f t="shared" si="11"/>
        <v>1</v>
      </c>
    </row>
    <row r="255" spans="13:16">
      <c r="M255" s="123">
        <v>293</v>
      </c>
      <c r="N255" t="b">
        <f t="shared" si="10"/>
        <v>0</v>
      </c>
      <c r="O255" s="123">
        <v>660</v>
      </c>
      <c r="P255" t="b">
        <f t="shared" si="11"/>
        <v>0</v>
      </c>
    </row>
    <row r="256" spans="13:16">
      <c r="M256" s="123">
        <v>139</v>
      </c>
      <c r="N256" t="b">
        <f t="shared" si="10"/>
        <v>0</v>
      </c>
      <c r="O256" s="123">
        <v>712</v>
      </c>
      <c r="P256" t="b">
        <f t="shared" si="11"/>
        <v>0</v>
      </c>
    </row>
    <row r="257" spans="13:16">
      <c r="M257" s="123">
        <v>487</v>
      </c>
      <c r="N257" t="b">
        <f t="shared" si="10"/>
        <v>0</v>
      </c>
      <c r="O257" s="123">
        <v>324</v>
      </c>
      <c r="P257" t="b">
        <f t="shared" si="11"/>
        <v>0</v>
      </c>
    </row>
    <row r="258" spans="13:16">
      <c r="M258" s="123">
        <v>717</v>
      </c>
      <c r="N258" t="b">
        <f t="shared" si="10"/>
        <v>0</v>
      </c>
      <c r="O258" s="123">
        <v>108</v>
      </c>
      <c r="P258" t="b">
        <f t="shared" si="11"/>
        <v>0</v>
      </c>
    </row>
    <row r="259" spans="13:16">
      <c r="M259" s="123">
        <v>767</v>
      </c>
      <c r="N259" t="b">
        <f t="shared" si="10"/>
        <v>0</v>
      </c>
      <c r="O259" s="123">
        <v>152</v>
      </c>
      <c r="P259" t="b">
        <f t="shared" si="11"/>
        <v>0</v>
      </c>
    </row>
    <row r="260" spans="13:16">
      <c r="M260" s="123">
        <v>473</v>
      </c>
      <c r="N260" t="b">
        <f t="shared" ref="N260:N323" si="12">COUNTIF($M$4:$M$443, M260)&gt;1</f>
        <v>0</v>
      </c>
      <c r="O260" s="123">
        <v>681</v>
      </c>
      <c r="P260" t="b">
        <f t="shared" si="11"/>
        <v>0</v>
      </c>
    </row>
    <row r="261" spans="13:16">
      <c r="M261" s="123">
        <v>111</v>
      </c>
      <c r="N261" t="b">
        <f t="shared" si="12"/>
        <v>0</v>
      </c>
      <c r="O261" s="129">
        <v>260</v>
      </c>
      <c r="P261" t="b">
        <f t="shared" ref="P261:P324" si="13">COUNTIF($O$4:$O$443, O261)&gt;1</f>
        <v>0</v>
      </c>
    </row>
    <row r="262" spans="13:16">
      <c r="M262" s="125" t="s">
        <v>2055</v>
      </c>
      <c r="N262" t="b">
        <f t="shared" si="12"/>
        <v>1</v>
      </c>
      <c r="O262" s="125" t="s">
        <v>2055</v>
      </c>
      <c r="P262" t="b">
        <f t="shared" si="13"/>
        <v>1</v>
      </c>
    </row>
    <row r="263" spans="13:16">
      <c r="M263" s="123">
        <v>646</v>
      </c>
      <c r="N263" t="b">
        <f t="shared" si="12"/>
        <v>0</v>
      </c>
      <c r="O263" s="123">
        <v>402</v>
      </c>
      <c r="P263" t="b">
        <f t="shared" si="13"/>
        <v>0</v>
      </c>
    </row>
    <row r="264" spans="13:16">
      <c r="M264" s="123">
        <v>43</v>
      </c>
      <c r="N264" t="b">
        <f t="shared" si="12"/>
        <v>0</v>
      </c>
      <c r="O264" s="123">
        <v>648</v>
      </c>
      <c r="P264" t="b">
        <f t="shared" si="13"/>
        <v>0</v>
      </c>
    </row>
    <row r="265" spans="13:16">
      <c r="M265" s="123">
        <v>268</v>
      </c>
      <c r="N265" t="b">
        <f t="shared" si="12"/>
        <v>0</v>
      </c>
      <c r="O265" s="123">
        <v>257</v>
      </c>
      <c r="P265" t="b">
        <f t="shared" si="13"/>
        <v>0</v>
      </c>
    </row>
    <row r="266" spans="13:16">
      <c r="M266" s="123">
        <v>300</v>
      </c>
      <c r="N266" t="b">
        <f t="shared" si="12"/>
        <v>0</v>
      </c>
      <c r="O266" s="123">
        <v>691</v>
      </c>
      <c r="P266" t="b">
        <f t="shared" si="13"/>
        <v>0</v>
      </c>
    </row>
    <row r="267" spans="13:16">
      <c r="M267" s="123">
        <v>823</v>
      </c>
      <c r="N267" t="b">
        <f t="shared" si="12"/>
        <v>0</v>
      </c>
      <c r="O267" s="123">
        <v>716</v>
      </c>
      <c r="P267" t="b">
        <f t="shared" si="13"/>
        <v>0</v>
      </c>
    </row>
    <row r="268" spans="13:16">
      <c r="M268" s="123">
        <v>354</v>
      </c>
      <c r="N268" t="b">
        <f t="shared" si="12"/>
        <v>0</v>
      </c>
      <c r="O268" s="123">
        <v>631</v>
      </c>
      <c r="P268" t="b">
        <f t="shared" si="13"/>
        <v>0</v>
      </c>
    </row>
    <row r="269" spans="13:16">
      <c r="M269" s="123" t="s">
        <v>2055</v>
      </c>
      <c r="N269" t="b">
        <f t="shared" si="12"/>
        <v>1</v>
      </c>
      <c r="O269" s="123" t="s">
        <v>2055</v>
      </c>
      <c r="P269" t="b">
        <f t="shared" si="13"/>
        <v>1</v>
      </c>
    </row>
    <row r="270" spans="13:16">
      <c r="M270" s="123">
        <v>659</v>
      </c>
      <c r="N270" t="b">
        <f t="shared" si="12"/>
        <v>0</v>
      </c>
      <c r="O270" s="123">
        <v>606</v>
      </c>
      <c r="P270" t="b">
        <f t="shared" si="13"/>
        <v>0</v>
      </c>
    </row>
    <row r="271" spans="13:16">
      <c r="M271" s="123">
        <v>267</v>
      </c>
      <c r="N271" t="b">
        <f t="shared" si="12"/>
        <v>0</v>
      </c>
      <c r="O271" s="123">
        <v>221</v>
      </c>
      <c r="P271" t="b">
        <f t="shared" si="13"/>
        <v>0</v>
      </c>
    </row>
    <row r="272" spans="13:16">
      <c r="M272" s="123">
        <v>812</v>
      </c>
      <c r="N272" t="b">
        <f t="shared" si="12"/>
        <v>0</v>
      </c>
      <c r="O272" s="123">
        <v>308</v>
      </c>
      <c r="P272" t="b">
        <f t="shared" si="13"/>
        <v>0</v>
      </c>
    </row>
    <row r="273" spans="13:16">
      <c r="M273" s="123">
        <v>212</v>
      </c>
      <c r="N273" t="b">
        <f t="shared" si="12"/>
        <v>0</v>
      </c>
      <c r="O273" s="123">
        <v>644</v>
      </c>
      <c r="P273" t="b">
        <f t="shared" si="13"/>
        <v>0</v>
      </c>
    </row>
    <row r="274" spans="13:16">
      <c r="M274" s="123">
        <v>598</v>
      </c>
      <c r="N274" t="b">
        <f t="shared" si="12"/>
        <v>0</v>
      </c>
      <c r="O274" s="123">
        <v>242</v>
      </c>
      <c r="P274" t="b">
        <f t="shared" si="13"/>
        <v>0</v>
      </c>
    </row>
    <row r="275" spans="13:16">
      <c r="M275" s="123">
        <v>818</v>
      </c>
      <c r="N275" t="b">
        <f t="shared" si="12"/>
        <v>0</v>
      </c>
      <c r="O275" s="123">
        <v>618</v>
      </c>
      <c r="P275" t="b">
        <f t="shared" si="13"/>
        <v>0</v>
      </c>
    </row>
    <row r="276" spans="13:16">
      <c r="M276" s="123">
        <v>759</v>
      </c>
      <c r="N276" t="b">
        <f t="shared" si="12"/>
        <v>0</v>
      </c>
      <c r="O276" s="123">
        <v>140</v>
      </c>
      <c r="P276" t="b">
        <f t="shared" si="13"/>
        <v>0</v>
      </c>
    </row>
    <row r="277" spans="13:16">
      <c r="M277" s="123" t="s">
        <v>2055</v>
      </c>
      <c r="N277" t="b">
        <f t="shared" si="12"/>
        <v>1</v>
      </c>
      <c r="O277" s="123" t="s">
        <v>2055</v>
      </c>
      <c r="P277" t="b">
        <f t="shared" si="13"/>
        <v>1</v>
      </c>
    </row>
    <row r="278" spans="13:16">
      <c r="M278" s="123">
        <v>260</v>
      </c>
      <c r="N278" t="b">
        <f t="shared" si="12"/>
        <v>0</v>
      </c>
      <c r="O278" s="123">
        <v>192</v>
      </c>
      <c r="P278" t="b">
        <f t="shared" si="13"/>
        <v>0</v>
      </c>
    </row>
    <row r="279" spans="13:16">
      <c r="M279" s="123">
        <v>493</v>
      </c>
      <c r="N279" t="b">
        <f t="shared" si="12"/>
        <v>0</v>
      </c>
      <c r="O279" s="123">
        <v>227</v>
      </c>
      <c r="P279" t="b">
        <f t="shared" si="13"/>
        <v>0</v>
      </c>
    </row>
    <row r="280" spans="13:16">
      <c r="M280" s="164">
        <v>347</v>
      </c>
      <c r="N280" t="b">
        <f t="shared" si="12"/>
        <v>1</v>
      </c>
      <c r="O280" s="123">
        <v>416</v>
      </c>
      <c r="P280" t="b">
        <f t="shared" si="13"/>
        <v>0</v>
      </c>
    </row>
    <row r="281" spans="13:16">
      <c r="M281" s="123">
        <v>735</v>
      </c>
      <c r="N281" t="b">
        <f t="shared" si="12"/>
        <v>0</v>
      </c>
      <c r="O281" s="123">
        <v>689</v>
      </c>
      <c r="P281" t="b">
        <f t="shared" si="13"/>
        <v>0</v>
      </c>
    </row>
    <row r="282" spans="13:16">
      <c r="M282" s="123">
        <v>558</v>
      </c>
      <c r="N282" t="b">
        <f t="shared" si="12"/>
        <v>0</v>
      </c>
      <c r="O282" s="123">
        <v>231</v>
      </c>
      <c r="P282" t="b">
        <f t="shared" si="13"/>
        <v>0</v>
      </c>
    </row>
    <row r="283" spans="13:16">
      <c r="M283" s="123">
        <v>751</v>
      </c>
      <c r="N283" t="b">
        <f t="shared" si="12"/>
        <v>0</v>
      </c>
      <c r="O283" s="123">
        <v>297</v>
      </c>
      <c r="P283" t="b">
        <f t="shared" si="13"/>
        <v>0</v>
      </c>
    </row>
    <row r="284" spans="13:16">
      <c r="M284" s="123">
        <v>748</v>
      </c>
      <c r="N284" t="b">
        <f t="shared" si="12"/>
        <v>0</v>
      </c>
      <c r="O284" s="123">
        <v>200</v>
      </c>
      <c r="P284" t="b">
        <f t="shared" si="13"/>
        <v>0</v>
      </c>
    </row>
    <row r="285" spans="13:16">
      <c r="M285" s="125" t="s">
        <v>2055</v>
      </c>
      <c r="N285" t="b">
        <f t="shared" si="12"/>
        <v>1</v>
      </c>
      <c r="O285" s="125" t="s">
        <v>2055</v>
      </c>
      <c r="P285" t="b">
        <f t="shared" si="13"/>
        <v>1</v>
      </c>
    </row>
    <row r="286" spans="13:16">
      <c r="M286" s="123">
        <v>629</v>
      </c>
      <c r="N286" t="b">
        <f t="shared" si="12"/>
        <v>0</v>
      </c>
      <c r="O286" s="123">
        <v>713</v>
      </c>
      <c r="P286" t="b">
        <f t="shared" si="13"/>
        <v>0</v>
      </c>
    </row>
    <row r="287" spans="13:16">
      <c r="M287" s="123">
        <v>84</v>
      </c>
      <c r="N287" t="b">
        <f t="shared" si="12"/>
        <v>0</v>
      </c>
      <c r="O287" s="129">
        <v>237</v>
      </c>
      <c r="P287" t="b">
        <f t="shared" si="13"/>
        <v>0</v>
      </c>
    </row>
    <row r="288" spans="13:16">
      <c r="M288" s="163">
        <v>586</v>
      </c>
      <c r="N288" t="b">
        <f t="shared" si="12"/>
        <v>0</v>
      </c>
      <c r="O288" s="163">
        <v>654</v>
      </c>
      <c r="P288" t="b">
        <f t="shared" si="13"/>
        <v>0</v>
      </c>
    </row>
    <row r="289" spans="13:16">
      <c r="M289" s="123">
        <v>851</v>
      </c>
      <c r="N289" t="b">
        <f t="shared" si="12"/>
        <v>0</v>
      </c>
      <c r="O289" s="123">
        <v>634</v>
      </c>
      <c r="P289" t="b">
        <f t="shared" si="13"/>
        <v>0</v>
      </c>
    </row>
    <row r="290" spans="13:16">
      <c r="M290" s="125" t="s">
        <v>2505</v>
      </c>
      <c r="N290" t="b">
        <f t="shared" si="12"/>
        <v>1</v>
      </c>
      <c r="O290" s="125" t="s">
        <v>2505</v>
      </c>
      <c r="P290" t="b">
        <f t="shared" si="13"/>
        <v>1</v>
      </c>
    </row>
    <row r="291" spans="13:16">
      <c r="M291" s="123">
        <v>467</v>
      </c>
      <c r="N291" t="b">
        <f t="shared" si="12"/>
        <v>0</v>
      </c>
      <c r="O291" s="123">
        <v>201</v>
      </c>
      <c r="P291" t="b">
        <f t="shared" si="13"/>
        <v>0</v>
      </c>
    </row>
    <row r="292" spans="13:16">
      <c r="M292" s="123">
        <v>766</v>
      </c>
      <c r="N292" t="b">
        <f t="shared" si="12"/>
        <v>0</v>
      </c>
      <c r="O292" s="123">
        <v>174</v>
      </c>
      <c r="P292" t="b">
        <f t="shared" si="13"/>
        <v>0</v>
      </c>
    </row>
    <row r="293" spans="13:16">
      <c r="M293" s="129">
        <v>430</v>
      </c>
      <c r="N293" t="b">
        <f t="shared" si="12"/>
        <v>0</v>
      </c>
      <c r="O293" s="123">
        <v>261</v>
      </c>
      <c r="P293" t="b">
        <f t="shared" si="13"/>
        <v>0</v>
      </c>
    </row>
    <row r="294" spans="13:16">
      <c r="M294" s="123">
        <v>174</v>
      </c>
      <c r="N294" t="b">
        <f t="shared" si="12"/>
        <v>0</v>
      </c>
      <c r="O294" s="123">
        <v>203</v>
      </c>
      <c r="P294" t="b">
        <f t="shared" si="13"/>
        <v>0</v>
      </c>
    </row>
    <row r="295" spans="13:16">
      <c r="M295" s="123">
        <v>714</v>
      </c>
      <c r="N295" t="b">
        <f t="shared" si="12"/>
        <v>0</v>
      </c>
      <c r="O295" s="123">
        <v>191</v>
      </c>
      <c r="P295" t="b">
        <f t="shared" si="13"/>
        <v>0</v>
      </c>
    </row>
    <row r="296" spans="13:16">
      <c r="M296" s="123">
        <v>726</v>
      </c>
      <c r="N296" t="b">
        <f t="shared" si="12"/>
        <v>0</v>
      </c>
      <c r="O296" s="123">
        <v>160</v>
      </c>
      <c r="P296" t="b">
        <f t="shared" si="13"/>
        <v>0</v>
      </c>
    </row>
    <row r="297" spans="13:16">
      <c r="M297" s="123">
        <v>866</v>
      </c>
      <c r="N297" t="b">
        <f t="shared" si="12"/>
        <v>0</v>
      </c>
      <c r="O297" s="123">
        <v>275</v>
      </c>
      <c r="P297" t="b">
        <f t="shared" si="13"/>
        <v>0</v>
      </c>
    </row>
    <row r="298" spans="13:16">
      <c r="M298" s="123">
        <v>705</v>
      </c>
      <c r="N298" t="b">
        <f t="shared" si="12"/>
        <v>0</v>
      </c>
      <c r="O298" s="123">
        <v>657</v>
      </c>
      <c r="P298" t="b">
        <f t="shared" si="13"/>
        <v>0</v>
      </c>
    </row>
    <row r="299" spans="13:16">
      <c r="M299" s="123">
        <v>601</v>
      </c>
      <c r="N299" t="b">
        <f t="shared" si="12"/>
        <v>0</v>
      </c>
      <c r="O299" s="123">
        <v>306</v>
      </c>
      <c r="P299" t="b">
        <f t="shared" si="13"/>
        <v>0</v>
      </c>
    </row>
    <row r="300" spans="13:16">
      <c r="M300" s="123" t="s">
        <v>2055</v>
      </c>
      <c r="N300" t="b">
        <f t="shared" si="12"/>
        <v>1</v>
      </c>
      <c r="O300" s="123" t="s">
        <v>2055</v>
      </c>
      <c r="P300" t="b">
        <f t="shared" si="13"/>
        <v>1</v>
      </c>
    </row>
    <row r="301" spans="13:16">
      <c r="M301" s="123">
        <v>157</v>
      </c>
      <c r="N301" t="b">
        <f t="shared" si="12"/>
        <v>0</v>
      </c>
      <c r="O301" s="123">
        <v>377</v>
      </c>
      <c r="P301" t="b">
        <f t="shared" si="13"/>
        <v>0</v>
      </c>
    </row>
    <row r="302" spans="13:16">
      <c r="M302" s="123">
        <v>226</v>
      </c>
      <c r="N302" t="b">
        <f t="shared" si="12"/>
        <v>0</v>
      </c>
      <c r="O302" s="123">
        <v>61</v>
      </c>
      <c r="P302" t="b">
        <f t="shared" si="13"/>
        <v>0</v>
      </c>
    </row>
    <row r="303" spans="13:16">
      <c r="M303" s="123">
        <v>855</v>
      </c>
      <c r="N303" t="b">
        <f t="shared" si="12"/>
        <v>0</v>
      </c>
      <c r="O303" s="129">
        <v>620</v>
      </c>
      <c r="P303" t="b">
        <f t="shared" si="13"/>
        <v>0</v>
      </c>
    </row>
    <row r="304" spans="13:16">
      <c r="M304" s="123">
        <v>413</v>
      </c>
      <c r="N304" t="b">
        <f t="shared" si="12"/>
        <v>0</v>
      </c>
      <c r="O304" s="123">
        <v>366</v>
      </c>
      <c r="P304" t="b">
        <f t="shared" si="13"/>
        <v>0</v>
      </c>
    </row>
    <row r="305" spans="13:16">
      <c r="M305" s="123">
        <v>370</v>
      </c>
      <c r="N305" t="b">
        <f t="shared" si="12"/>
        <v>0</v>
      </c>
      <c r="O305" s="123">
        <v>610</v>
      </c>
      <c r="P305" t="b">
        <f t="shared" si="13"/>
        <v>0</v>
      </c>
    </row>
    <row r="306" spans="13:16">
      <c r="M306" s="123">
        <v>879</v>
      </c>
      <c r="N306" t="b">
        <f t="shared" si="12"/>
        <v>0</v>
      </c>
      <c r="O306" s="123">
        <v>614</v>
      </c>
      <c r="P306" t="b">
        <f t="shared" si="13"/>
        <v>0</v>
      </c>
    </row>
    <row r="307" spans="13:16">
      <c r="M307" s="123">
        <v>854</v>
      </c>
      <c r="N307" t="b">
        <f t="shared" si="12"/>
        <v>0</v>
      </c>
      <c r="O307" s="123">
        <v>720</v>
      </c>
      <c r="P307" t="b">
        <f t="shared" si="13"/>
        <v>0</v>
      </c>
    </row>
    <row r="308" spans="13:16">
      <c r="M308" s="123" t="s">
        <v>2055</v>
      </c>
      <c r="N308" t="b">
        <f t="shared" si="12"/>
        <v>1</v>
      </c>
      <c r="O308" s="123" t="s">
        <v>2055</v>
      </c>
      <c r="P308" t="b">
        <f t="shared" si="13"/>
        <v>1</v>
      </c>
    </row>
    <row r="309" spans="13:16">
      <c r="M309" s="123">
        <v>788</v>
      </c>
      <c r="N309" t="b">
        <f t="shared" si="12"/>
        <v>0</v>
      </c>
      <c r="O309" s="123">
        <v>643</v>
      </c>
      <c r="P309" t="b">
        <f t="shared" si="13"/>
        <v>0</v>
      </c>
    </row>
    <row r="310" spans="13:16">
      <c r="M310" s="123">
        <v>91</v>
      </c>
      <c r="N310" t="b">
        <f t="shared" si="12"/>
        <v>0</v>
      </c>
      <c r="O310" s="123">
        <v>277</v>
      </c>
      <c r="P310" t="b">
        <f t="shared" si="13"/>
        <v>0</v>
      </c>
    </row>
    <row r="311" spans="13:16">
      <c r="M311" s="123">
        <v>364</v>
      </c>
      <c r="N311" t="b">
        <f t="shared" si="12"/>
        <v>0</v>
      </c>
      <c r="O311" s="123">
        <v>197</v>
      </c>
      <c r="P311" t="b">
        <f t="shared" si="13"/>
        <v>0</v>
      </c>
    </row>
    <row r="312" spans="13:16">
      <c r="M312" s="123">
        <v>862</v>
      </c>
      <c r="N312" t="b">
        <f t="shared" si="12"/>
        <v>0</v>
      </c>
      <c r="O312" s="123">
        <v>601</v>
      </c>
      <c r="P312" t="b">
        <f t="shared" si="13"/>
        <v>0</v>
      </c>
    </row>
    <row r="313" spans="13:16">
      <c r="M313" s="123">
        <v>330</v>
      </c>
      <c r="N313" t="b">
        <f t="shared" si="12"/>
        <v>0</v>
      </c>
      <c r="O313" s="123">
        <v>220</v>
      </c>
      <c r="P313" t="b">
        <f t="shared" si="13"/>
        <v>0</v>
      </c>
    </row>
    <row r="314" spans="13:16">
      <c r="M314" s="123">
        <v>596</v>
      </c>
      <c r="N314" t="b">
        <f t="shared" si="12"/>
        <v>0</v>
      </c>
      <c r="O314" s="123">
        <v>659</v>
      </c>
      <c r="P314" t="b">
        <f t="shared" si="13"/>
        <v>0</v>
      </c>
    </row>
    <row r="315" spans="13:16">
      <c r="M315" s="123">
        <v>380</v>
      </c>
      <c r="N315" t="b">
        <f t="shared" si="12"/>
        <v>0</v>
      </c>
      <c r="O315" s="129">
        <v>619</v>
      </c>
      <c r="P315" t="b">
        <f t="shared" si="13"/>
        <v>0</v>
      </c>
    </row>
    <row r="316" spans="13:16">
      <c r="M316" s="123">
        <v>872</v>
      </c>
      <c r="N316" t="b">
        <f t="shared" si="12"/>
        <v>0</v>
      </c>
      <c r="O316" s="123">
        <v>106</v>
      </c>
      <c r="P316" t="b">
        <f t="shared" si="13"/>
        <v>0</v>
      </c>
    </row>
    <row r="317" spans="13:16">
      <c r="M317" s="123" t="s">
        <v>2055</v>
      </c>
      <c r="N317" t="b">
        <f t="shared" si="12"/>
        <v>1</v>
      </c>
      <c r="O317" s="123" t="s">
        <v>2055</v>
      </c>
      <c r="P317" t="b">
        <f t="shared" si="13"/>
        <v>1</v>
      </c>
    </row>
    <row r="318" spans="13:16">
      <c r="M318" s="123">
        <v>844</v>
      </c>
      <c r="N318" t="b">
        <f t="shared" si="12"/>
        <v>0</v>
      </c>
      <c r="O318" s="123">
        <v>233</v>
      </c>
      <c r="P318" t="b">
        <f t="shared" si="13"/>
        <v>0</v>
      </c>
    </row>
    <row r="319" spans="13:16">
      <c r="M319" s="123">
        <v>372</v>
      </c>
      <c r="N319" t="b">
        <f t="shared" si="12"/>
        <v>0</v>
      </c>
      <c r="O319" s="123">
        <v>698</v>
      </c>
      <c r="P319" t="b">
        <f t="shared" si="13"/>
        <v>0</v>
      </c>
    </row>
    <row r="320" spans="13:16">
      <c r="M320" s="123">
        <v>3</v>
      </c>
      <c r="N320" t="b">
        <f t="shared" si="12"/>
        <v>0</v>
      </c>
      <c r="O320" s="123">
        <v>47</v>
      </c>
      <c r="P320" t="b">
        <f t="shared" si="13"/>
        <v>0</v>
      </c>
    </row>
    <row r="321" spans="13:16">
      <c r="M321" s="123">
        <v>25</v>
      </c>
      <c r="N321" t="b">
        <f t="shared" si="12"/>
        <v>0</v>
      </c>
      <c r="O321" s="123">
        <v>707</v>
      </c>
      <c r="P321" t="b">
        <f t="shared" si="13"/>
        <v>0</v>
      </c>
    </row>
    <row r="322" spans="13:16">
      <c r="M322" s="123" t="s">
        <v>2055</v>
      </c>
      <c r="N322" t="b">
        <f t="shared" si="12"/>
        <v>1</v>
      </c>
      <c r="O322" s="123" t="s">
        <v>2055</v>
      </c>
      <c r="P322" t="b">
        <f t="shared" si="13"/>
        <v>1</v>
      </c>
    </row>
    <row r="323" spans="13:16">
      <c r="M323" s="123">
        <v>187</v>
      </c>
      <c r="N323" t="b">
        <f t="shared" si="12"/>
        <v>0</v>
      </c>
      <c r="O323" s="123">
        <v>641</v>
      </c>
      <c r="P323" t="b">
        <f t="shared" si="13"/>
        <v>0</v>
      </c>
    </row>
    <row r="324" spans="13:16">
      <c r="M324" s="123">
        <v>398</v>
      </c>
      <c r="N324" t="b">
        <f t="shared" ref="N324:N387" si="14">COUNTIF($M$4:$M$443, M324)&gt;1</f>
        <v>0</v>
      </c>
      <c r="O324" s="123">
        <v>245</v>
      </c>
      <c r="P324" t="b">
        <f t="shared" si="13"/>
        <v>0</v>
      </c>
    </row>
    <row r="325" spans="13:16">
      <c r="M325" s="164">
        <v>120</v>
      </c>
      <c r="N325" t="b">
        <f t="shared" si="14"/>
        <v>1</v>
      </c>
      <c r="O325" s="123">
        <v>714</v>
      </c>
      <c r="P325" t="b">
        <f t="shared" ref="P325:P388" si="15">COUNTIF($O$4:$O$443, O325)&gt;1</f>
        <v>0</v>
      </c>
    </row>
    <row r="326" spans="13:16">
      <c r="M326" s="123">
        <v>145</v>
      </c>
      <c r="N326" t="b">
        <f t="shared" si="14"/>
        <v>0</v>
      </c>
      <c r="O326" s="123">
        <v>701</v>
      </c>
      <c r="P326" t="b">
        <f t="shared" si="15"/>
        <v>0</v>
      </c>
    </row>
    <row r="327" spans="13:16">
      <c r="M327" s="123">
        <v>76</v>
      </c>
      <c r="N327" t="b">
        <f t="shared" si="14"/>
        <v>0</v>
      </c>
      <c r="O327" s="163">
        <v>365</v>
      </c>
      <c r="P327" t="b">
        <f t="shared" si="15"/>
        <v>0</v>
      </c>
    </row>
    <row r="328" spans="13:16">
      <c r="M328" s="123">
        <v>57</v>
      </c>
      <c r="N328" t="b">
        <f t="shared" si="14"/>
        <v>0</v>
      </c>
      <c r="O328" s="123">
        <v>212</v>
      </c>
      <c r="P328" t="b">
        <f t="shared" si="15"/>
        <v>0</v>
      </c>
    </row>
    <row r="329" spans="13:16">
      <c r="M329" s="123">
        <v>167</v>
      </c>
      <c r="N329" t="b">
        <f t="shared" si="14"/>
        <v>0</v>
      </c>
      <c r="O329" s="123">
        <v>66</v>
      </c>
      <c r="P329" t="b">
        <f t="shared" si="15"/>
        <v>0</v>
      </c>
    </row>
    <row r="330" spans="13:16">
      <c r="M330" s="123">
        <v>208</v>
      </c>
      <c r="N330" t="b">
        <f t="shared" si="14"/>
        <v>0</v>
      </c>
      <c r="O330" s="123">
        <v>347</v>
      </c>
      <c r="P330" t="b">
        <f t="shared" si="15"/>
        <v>0</v>
      </c>
    </row>
    <row r="331" spans="13:16">
      <c r="M331" s="123">
        <v>62</v>
      </c>
      <c r="N331" t="b">
        <f t="shared" si="14"/>
        <v>0</v>
      </c>
      <c r="O331" s="123">
        <v>206</v>
      </c>
      <c r="P331" t="b">
        <f t="shared" si="15"/>
        <v>0</v>
      </c>
    </row>
    <row r="332" spans="13:16">
      <c r="M332" s="123">
        <v>102</v>
      </c>
      <c r="N332" t="b">
        <f t="shared" si="14"/>
        <v>0</v>
      </c>
      <c r="O332" s="123">
        <v>299</v>
      </c>
      <c r="P332" t="b">
        <f t="shared" si="15"/>
        <v>0</v>
      </c>
    </row>
    <row r="333" spans="13:16">
      <c r="M333" s="123">
        <v>265</v>
      </c>
      <c r="N333" t="b">
        <f t="shared" si="14"/>
        <v>0</v>
      </c>
      <c r="O333" s="123">
        <v>636</v>
      </c>
      <c r="P333" t="b">
        <f t="shared" si="15"/>
        <v>0</v>
      </c>
    </row>
    <row r="334" spans="13:16">
      <c r="M334" s="123">
        <v>455</v>
      </c>
      <c r="N334" t="b">
        <f t="shared" si="14"/>
        <v>0</v>
      </c>
      <c r="O334" s="123">
        <v>239</v>
      </c>
      <c r="P334" t="b">
        <f t="shared" si="15"/>
        <v>0</v>
      </c>
    </row>
    <row r="335" spans="13:16">
      <c r="M335" s="124" t="s">
        <v>2055</v>
      </c>
      <c r="N335" t="b">
        <f t="shared" si="14"/>
        <v>1</v>
      </c>
      <c r="O335" s="124" t="s">
        <v>2055</v>
      </c>
      <c r="P335" t="b">
        <f t="shared" si="15"/>
        <v>1</v>
      </c>
    </row>
    <row r="336" spans="13:16">
      <c r="M336" s="123">
        <v>490</v>
      </c>
      <c r="N336" t="b">
        <f t="shared" si="14"/>
        <v>0</v>
      </c>
      <c r="O336" s="123">
        <v>313</v>
      </c>
      <c r="P336" t="b">
        <f t="shared" si="15"/>
        <v>0</v>
      </c>
    </row>
    <row r="337" spans="13:16">
      <c r="M337" s="123">
        <v>650</v>
      </c>
      <c r="N337" t="b">
        <f t="shared" si="14"/>
        <v>0</v>
      </c>
      <c r="O337" s="123">
        <v>247</v>
      </c>
      <c r="P337" t="b">
        <f t="shared" si="15"/>
        <v>0</v>
      </c>
    </row>
    <row r="338" spans="13:16">
      <c r="M338" s="123">
        <v>873</v>
      </c>
      <c r="N338" t="b">
        <f t="shared" si="14"/>
        <v>0</v>
      </c>
      <c r="O338" s="123">
        <v>671</v>
      </c>
      <c r="P338" t="b">
        <f t="shared" si="15"/>
        <v>0</v>
      </c>
    </row>
    <row r="339" spans="13:16">
      <c r="M339" s="123">
        <v>206</v>
      </c>
      <c r="N339" t="b">
        <f t="shared" si="14"/>
        <v>0</v>
      </c>
      <c r="O339" s="123">
        <v>638</v>
      </c>
      <c r="P339" t="b">
        <f t="shared" si="15"/>
        <v>0</v>
      </c>
    </row>
    <row r="340" spans="13:16">
      <c r="M340" s="123">
        <v>163</v>
      </c>
      <c r="N340" t="b">
        <f t="shared" si="14"/>
        <v>0</v>
      </c>
      <c r="O340" s="123">
        <v>719</v>
      </c>
      <c r="P340" t="b">
        <f t="shared" si="15"/>
        <v>0</v>
      </c>
    </row>
    <row r="341" spans="13:16">
      <c r="M341" s="123">
        <v>83</v>
      </c>
      <c r="N341" t="b">
        <f t="shared" si="14"/>
        <v>0</v>
      </c>
      <c r="O341" s="123">
        <v>173</v>
      </c>
      <c r="P341" t="b">
        <f t="shared" si="15"/>
        <v>0</v>
      </c>
    </row>
    <row r="342" spans="13:16">
      <c r="M342" s="123">
        <v>159</v>
      </c>
      <c r="N342" t="b">
        <f t="shared" si="14"/>
        <v>0</v>
      </c>
      <c r="O342" s="123">
        <v>373</v>
      </c>
      <c r="P342" t="b">
        <f t="shared" si="15"/>
        <v>0</v>
      </c>
    </row>
    <row r="343" spans="13:16">
      <c r="M343" s="124" t="s">
        <v>2055</v>
      </c>
      <c r="N343" t="b">
        <f t="shared" si="14"/>
        <v>1</v>
      </c>
      <c r="O343" s="124" t="s">
        <v>2055</v>
      </c>
      <c r="P343" t="b">
        <f t="shared" si="15"/>
        <v>1</v>
      </c>
    </row>
    <row r="344" spans="13:16">
      <c r="M344" s="123">
        <v>16</v>
      </c>
      <c r="N344" t="b">
        <f t="shared" si="14"/>
        <v>0</v>
      </c>
      <c r="O344" s="123">
        <v>374</v>
      </c>
      <c r="P344" t="b">
        <f t="shared" si="15"/>
        <v>0</v>
      </c>
    </row>
    <row r="345" spans="13:16">
      <c r="M345" s="123">
        <v>109</v>
      </c>
      <c r="N345" t="b">
        <f t="shared" si="14"/>
        <v>0</v>
      </c>
      <c r="O345" s="123">
        <v>388</v>
      </c>
      <c r="P345" t="b">
        <f t="shared" si="15"/>
        <v>0</v>
      </c>
    </row>
    <row r="346" spans="13:16">
      <c r="M346" s="123">
        <v>344</v>
      </c>
      <c r="N346" t="b">
        <f t="shared" si="14"/>
        <v>0</v>
      </c>
      <c r="O346" s="123">
        <v>281</v>
      </c>
      <c r="P346" t="b">
        <f t="shared" si="15"/>
        <v>0</v>
      </c>
    </row>
    <row r="347" spans="13:16">
      <c r="M347" s="123">
        <v>221</v>
      </c>
      <c r="N347" t="b">
        <f t="shared" si="14"/>
        <v>0</v>
      </c>
      <c r="O347" s="123">
        <v>443</v>
      </c>
      <c r="P347" t="b">
        <f t="shared" si="15"/>
        <v>0</v>
      </c>
    </row>
    <row r="348" spans="13:16">
      <c r="M348" s="123">
        <v>757</v>
      </c>
      <c r="N348" t="b">
        <f t="shared" si="14"/>
        <v>0</v>
      </c>
      <c r="O348" s="123">
        <v>180</v>
      </c>
      <c r="P348" t="b">
        <f t="shared" si="15"/>
        <v>0</v>
      </c>
    </row>
    <row r="349" spans="13:16">
      <c r="M349" s="124" t="s">
        <v>2055</v>
      </c>
      <c r="N349" t="b">
        <f t="shared" si="14"/>
        <v>1</v>
      </c>
      <c r="O349" s="124" t="s">
        <v>2055</v>
      </c>
      <c r="P349" t="b">
        <f t="shared" si="15"/>
        <v>1</v>
      </c>
    </row>
    <row r="350" spans="13:16">
      <c r="M350" s="123">
        <v>96</v>
      </c>
      <c r="N350" t="b">
        <f t="shared" si="14"/>
        <v>0</v>
      </c>
      <c r="O350" s="123">
        <v>229</v>
      </c>
      <c r="P350" t="b">
        <f t="shared" si="15"/>
        <v>0</v>
      </c>
    </row>
    <row r="351" spans="13:16">
      <c r="M351" s="123">
        <v>134</v>
      </c>
      <c r="N351" t="b">
        <f t="shared" si="14"/>
        <v>0</v>
      </c>
      <c r="O351" s="123">
        <v>272</v>
      </c>
      <c r="P351" t="b">
        <f t="shared" si="15"/>
        <v>0</v>
      </c>
    </row>
    <row r="352" spans="13:16">
      <c r="M352" s="123">
        <v>671</v>
      </c>
      <c r="N352" t="b">
        <f t="shared" si="14"/>
        <v>0</v>
      </c>
      <c r="O352" s="123">
        <v>207</v>
      </c>
      <c r="P352" t="b">
        <f t="shared" si="15"/>
        <v>0</v>
      </c>
    </row>
    <row r="353" spans="13:16">
      <c r="M353" s="123">
        <v>400</v>
      </c>
      <c r="N353" t="b">
        <f t="shared" si="14"/>
        <v>0</v>
      </c>
      <c r="O353" s="123">
        <v>193</v>
      </c>
      <c r="P353" t="b">
        <f t="shared" si="15"/>
        <v>0</v>
      </c>
    </row>
    <row r="354" spans="13:16">
      <c r="M354" s="123">
        <v>48</v>
      </c>
      <c r="N354" t="b">
        <f t="shared" si="14"/>
        <v>0</v>
      </c>
      <c r="O354" s="123">
        <v>188</v>
      </c>
      <c r="P354" t="b">
        <f t="shared" si="15"/>
        <v>0</v>
      </c>
    </row>
    <row r="355" spans="13:16">
      <c r="M355" s="124" t="s">
        <v>2055</v>
      </c>
      <c r="N355" t="b">
        <f t="shared" si="14"/>
        <v>1</v>
      </c>
      <c r="O355" s="124" t="s">
        <v>2055</v>
      </c>
      <c r="P355" t="b">
        <f t="shared" si="15"/>
        <v>1</v>
      </c>
    </row>
    <row r="356" spans="13:16">
      <c r="M356" s="123">
        <v>210</v>
      </c>
      <c r="N356" t="b">
        <f t="shared" si="14"/>
        <v>0</v>
      </c>
      <c r="O356" s="123">
        <v>683</v>
      </c>
      <c r="P356" t="b">
        <f t="shared" si="15"/>
        <v>0</v>
      </c>
    </row>
    <row r="357" spans="13:16">
      <c r="M357" s="123">
        <v>40</v>
      </c>
      <c r="N357" t="b">
        <f t="shared" si="14"/>
        <v>0</v>
      </c>
      <c r="O357" s="123">
        <v>649</v>
      </c>
      <c r="P357" t="b">
        <f t="shared" si="15"/>
        <v>0</v>
      </c>
    </row>
    <row r="358" spans="13:16">
      <c r="M358" s="123">
        <v>517</v>
      </c>
      <c r="N358" t="b">
        <f t="shared" si="14"/>
        <v>0</v>
      </c>
      <c r="O358" s="123">
        <v>222</v>
      </c>
      <c r="P358" t="b">
        <f t="shared" si="15"/>
        <v>0</v>
      </c>
    </row>
    <row r="359" spans="13:16">
      <c r="M359" s="123">
        <v>67</v>
      </c>
      <c r="N359" t="b">
        <f t="shared" si="14"/>
        <v>0</v>
      </c>
      <c r="O359" s="123">
        <v>214</v>
      </c>
      <c r="P359" t="b">
        <f t="shared" si="15"/>
        <v>0</v>
      </c>
    </row>
    <row r="360" spans="13:16">
      <c r="M360" s="123">
        <v>335</v>
      </c>
      <c r="N360" t="b">
        <f t="shared" si="14"/>
        <v>0</v>
      </c>
      <c r="O360" s="123">
        <v>628</v>
      </c>
      <c r="P360" t="b">
        <f t="shared" si="15"/>
        <v>0</v>
      </c>
    </row>
    <row r="361" spans="13:16">
      <c r="M361" s="123">
        <v>484</v>
      </c>
      <c r="N361" t="b">
        <f t="shared" si="14"/>
        <v>0</v>
      </c>
      <c r="O361" s="123">
        <v>198</v>
      </c>
      <c r="P361" t="b">
        <f t="shared" si="15"/>
        <v>0</v>
      </c>
    </row>
    <row r="362" spans="13:16">
      <c r="M362" s="123">
        <v>868</v>
      </c>
      <c r="N362" t="b">
        <f t="shared" si="14"/>
        <v>0</v>
      </c>
      <c r="O362" s="123">
        <v>706</v>
      </c>
      <c r="P362" t="b">
        <f t="shared" si="15"/>
        <v>0</v>
      </c>
    </row>
    <row r="363" spans="13:16">
      <c r="M363" s="123">
        <v>792</v>
      </c>
      <c r="N363" t="b">
        <f t="shared" si="14"/>
        <v>0</v>
      </c>
      <c r="O363" s="123">
        <v>710</v>
      </c>
      <c r="P363" t="b">
        <f t="shared" si="15"/>
        <v>0</v>
      </c>
    </row>
    <row r="364" spans="13:16">
      <c r="M364" s="124" t="s">
        <v>2055</v>
      </c>
      <c r="N364" t="b">
        <f t="shared" si="14"/>
        <v>1</v>
      </c>
      <c r="O364" s="124" t="s">
        <v>2055</v>
      </c>
      <c r="P364" t="b">
        <f t="shared" si="15"/>
        <v>1</v>
      </c>
    </row>
    <row r="365" spans="13:16">
      <c r="M365" s="123">
        <v>711</v>
      </c>
      <c r="N365" t="b">
        <f t="shared" si="14"/>
        <v>0</v>
      </c>
      <c r="O365" s="123">
        <v>626</v>
      </c>
      <c r="P365" t="b">
        <f t="shared" si="15"/>
        <v>0</v>
      </c>
    </row>
    <row r="366" spans="13:16">
      <c r="M366" s="123">
        <v>205</v>
      </c>
      <c r="N366" t="b">
        <f t="shared" si="14"/>
        <v>0</v>
      </c>
      <c r="O366" s="123">
        <v>195</v>
      </c>
      <c r="P366" t="b">
        <f t="shared" si="15"/>
        <v>0</v>
      </c>
    </row>
    <row r="367" spans="13:16">
      <c r="M367" s="123">
        <v>384</v>
      </c>
      <c r="N367" t="b">
        <f t="shared" si="14"/>
        <v>0</v>
      </c>
      <c r="O367" s="123">
        <v>295</v>
      </c>
      <c r="P367" t="b">
        <f t="shared" si="15"/>
        <v>0</v>
      </c>
    </row>
    <row r="368" spans="13:16">
      <c r="M368" s="129">
        <v>72</v>
      </c>
      <c r="N368" t="b">
        <f t="shared" si="14"/>
        <v>0</v>
      </c>
      <c r="O368" s="123">
        <v>609</v>
      </c>
      <c r="P368" t="b">
        <f t="shared" si="15"/>
        <v>0</v>
      </c>
    </row>
    <row r="369" spans="13:16">
      <c r="M369" s="123">
        <v>336</v>
      </c>
      <c r="N369" t="b">
        <f t="shared" si="14"/>
        <v>0</v>
      </c>
      <c r="O369" s="123">
        <v>292</v>
      </c>
      <c r="P369" t="b">
        <f t="shared" si="15"/>
        <v>0</v>
      </c>
    </row>
    <row r="370" spans="13:16">
      <c r="M370" s="123">
        <v>303</v>
      </c>
      <c r="N370" t="b">
        <f t="shared" si="14"/>
        <v>0</v>
      </c>
      <c r="O370" s="123">
        <v>243</v>
      </c>
      <c r="P370" t="b">
        <f t="shared" si="15"/>
        <v>0</v>
      </c>
    </row>
    <row r="371" spans="13:16">
      <c r="M371" s="123">
        <v>161</v>
      </c>
      <c r="N371" t="b">
        <f t="shared" si="14"/>
        <v>0</v>
      </c>
      <c r="O371" s="123">
        <v>422</v>
      </c>
      <c r="P371" t="b">
        <f t="shared" si="15"/>
        <v>0</v>
      </c>
    </row>
    <row r="372" spans="13:16">
      <c r="M372" s="123">
        <v>464</v>
      </c>
      <c r="N372" t="b">
        <f t="shared" si="14"/>
        <v>0</v>
      </c>
      <c r="O372" s="123">
        <v>664</v>
      </c>
      <c r="P372" t="b">
        <f t="shared" si="15"/>
        <v>0</v>
      </c>
    </row>
    <row r="373" spans="13:16">
      <c r="M373" s="123">
        <v>843</v>
      </c>
      <c r="N373" t="b">
        <f t="shared" si="14"/>
        <v>0</v>
      </c>
      <c r="O373" s="123">
        <v>316</v>
      </c>
      <c r="P373" t="b">
        <f t="shared" si="15"/>
        <v>0</v>
      </c>
    </row>
    <row r="374" spans="13:16">
      <c r="M374" s="123" t="s">
        <v>2055</v>
      </c>
      <c r="N374" t="b">
        <f t="shared" si="14"/>
        <v>1</v>
      </c>
      <c r="O374" s="123" t="s">
        <v>2055</v>
      </c>
      <c r="P374" t="b">
        <f t="shared" si="15"/>
        <v>1</v>
      </c>
    </row>
    <row r="375" spans="13:16">
      <c r="M375" s="123">
        <v>617</v>
      </c>
      <c r="N375" t="b">
        <f t="shared" si="14"/>
        <v>0</v>
      </c>
      <c r="O375" s="123">
        <v>635</v>
      </c>
      <c r="P375" t="b">
        <f t="shared" si="15"/>
        <v>0</v>
      </c>
    </row>
    <row r="376" spans="13:16">
      <c r="M376" s="123">
        <v>19</v>
      </c>
      <c r="N376" t="b">
        <f t="shared" si="14"/>
        <v>0</v>
      </c>
      <c r="O376" s="123">
        <v>651</v>
      </c>
      <c r="P376" t="b">
        <f t="shared" si="15"/>
        <v>0</v>
      </c>
    </row>
    <row r="377" spans="13:16">
      <c r="M377" s="123">
        <v>275</v>
      </c>
      <c r="N377" t="b">
        <f t="shared" si="14"/>
        <v>0</v>
      </c>
      <c r="O377" s="123">
        <v>367</v>
      </c>
      <c r="P377" t="b">
        <f t="shared" si="15"/>
        <v>0</v>
      </c>
    </row>
    <row r="378" spans="13:16">
      <c r="M378" s="123">
        <v>289</v>
      </c>
      <c r="N378" t="b">
        <f t="shared" si="14"/>
        <v>0</v>
      </c>
      <c r="O378" s="123">
        <v>617</v>
      </c>
      <c r="P378" t="b">
        <f t="shared" si="15"/>
        <v>0</v>
      </c>
    </row>
    <row r="379" spans="13:16">
      <c r="M379" s="123">
        <v>65</v>
      </c>
      <c r="N379" t="b">
        <f t="shared" si="14"/>
        <v>0</v>
      </c>
      <c r="O379" s="123">
        <v>84</v>
      </c>
      <c r="P379" t="b">
        <f t="shared" si="15"/>
        <v>0</v>
      </c>
    </row>
    <row r="380" spans="13:16">
      <c r="M380" s="123">
        <v>33</v>
      </c>
      <c r="N380" t="b">
        <f t="shared" si="14"/>
        <v>0</v>
      </c>
      <c r="O380" s="123">
        <v>248</v>
      </c>
      <c r="P380" t="b">
        <f t="shared" si="15"/>
        <v>0</v>
      </c>
    </row>
    <row r="381" spans="13:16">
      <c r="M381" s="123">
        <v>153</v>
      </c>
      <c r="N381" t="b">
        <f t="shared" si="14"/>
        <v>0</v>
      </c>
      <c r="O381" s="123">
        <v>238</v>
      </c>
      <c r="P381" t="b">
        <f t="shared" si="15"/>
        <v>0</v>
      </c>
    </row>
    <row r="382" spans="13:16">
      <c r="M382" s="123" t="s">
        <v>2055</v>
      </c>
      <c r="N382" t="b">
        <f t="shared" si="14"/>
        <v>1</v>
      </c>
      <c r="O382" s="123" t="s">
        <v>2055</v>
      </c>
      <c r="P382" t="b">
        <f t="shared" si="15"/>
        <v>1</v>
      </c>
    </row>
    <row r="383" spans="13:16">
      <c r="M383" s="123">
        <v>175</v>
      </c>
      <c r="N383" t="b">
        <f t="shared" si="14"/>
        <v>0</v>
      </c>
      <c r="O383" s="123">
        <v>350</v>
      </c>
      <c r="P383" t="b">
        <f t="shared" si="15"/>
        <v>0</v>
      </c>
    </row>
    <row r="384" spans="13:16">
      <c r="M384" s="123">
        <v>207</v>
      </c>
      <c r="N384" t="b">
        <f t="shared" si="14"/>
        <v>0</v>
      </c>
      <c r="O384" s="123">
        <v>314</v>
      </c>
      <c r="P384" t="b">
        <f t="shared" si="15"/>
        <v>0</v>
      </c>
    </row>
    <row r="385" spans="13:16">
      <c r="M385" s="123">
        <v>580</v>
      </c>
      <c r="N385" t="b">
        <f t="shared" si="14"/>
        <v>0</v>
      </c>
      <c r="O385" s="123">
        <v>425</v>
      </c>
      <c r="P385" t="b">
        <f t="shared" si="15"/>
        <v>0</v>
      </c>
    </row>
    <row r="386" spans="13:16">
      <c r="M386" s="123">
        <v>722</v>
      </c>
      <c r="N386" t="b">
        <f t="shared" si="14"/>
        <v>0</v>
      </c>
      <c r="O386" s="123">
        <v>267</v>
      </c>
      <c r="P386" t="b">
        <f t="shared" si="15"/>
        <v>0</v>
      </c>
    </row>
    <row r="387" spans="13:16">
      <c r="M387" s="123">
        <v>239</v>
      </c>
      <c r="N387" t="b">
        <f t="shared" si="14"/>
        <v>0</v>
      </c>
      <c r="O387" s="129">
        <v>211</v>
      </c>
      <c r="P387" t="b">
        <f t="shared" si="15"/>
        <v>0</v>
      </c>
    </row>
    <row r="388" spans="13:16">
      <c r="M388" s="123">
        <v>343</v>
      </c>
      <c r="N388" t="b">
        <f t="shared" ref="N388:N443" si="16">COUNTIF($M$4:$M$443, M388)&gt;1</f>
        <v>0</v>
      </c>
      <c r="O388" s="123">
        <v>310</v>
      </c>
      <c r="P388" t="b">
        <f t="shared" si="15"/>
        <v>0</v>
      </c>
    </row>
    <row r="389" spans="13:16">
      <c r="M389" s="123">
        <v>409</v>
      </c>
      <c r="N389" t="b">
        <f t="shared" si="16"/>
        <v>0</v>
      </c>
      <c r="O389" s="123">
        <v>269</v>
      </c>
      <c r="P389" t="b">
        <f t="shared" ref="P389:P443" si="17">COUNTIF($O$4:$O$443, O389)&gt;1</f>
        <v>0</v>
      </c>
    </row>
    <row r="390" spans="13:16">
      <c r="M390" s="123" t="s">
        <v>2055</v>
      </c>
      <c r="N390" t="b">
        <f t="shared" si="16"/>
        <v>1</v>
      </c>
      <c r="O390" s="123" t="s">
        <v>2055</v>
      </c>
      <c r="P390" t="b">
        <f t="shared" si="17"/>
        <v>1</v>
      </c>
    </row>
    <row r="391" spans="13:16">
      <c r="M391" s="123">
        <v>304</v>
      </c>
      <c r="N391" t="b">
        <f t="shared" si="16"/>
        <v>0</v>
      </c>
      <c r="O391" s="123">
        <v>413</v>
      </c>
      <c r="P391" t="b">
        <f t="shared" si="17"/>
        <v>0</v>
      </c>
    </row>
    <row r="392" spans="13:16">
      <c r="M392" s="123">
        <v>135</v>
      </c>
      <c r="N392" t="b">
        <f t="shared" si="16"/>
        <v>0</v>
      </c>
      <c r="O392" s="123">
        <v>80</v>
      </c>
      <c r="P392" t="b">
        <f t="shared" si="17"/>
        <v>0</v>
      </c>
    </row>
    <row r="393" spans="13:16">
      <c r="M393" s="123">
        <v>515</v>
      </c>
      <c r="N393" t="b">
        <f t="shared" si="16"/>
        <v>0</v>
      </c>
      <c r="O393" s="164">
        <v>208</v>
      </c>
      <c r="P393" t="b">
        <f t="shared" si="17"/>
        <v>1</v>
      </c>
    </row>
    <row r="394" spans="13:16">
      <c r="M394" s="123">
        <v>348</v>
      </c>
      <c r="N394" t="b">
        <f t="shared" si="16"/>
        <v>0</v>
      </c>
      <c r="O394" s="123">
        <v>633</v>
      </c>
      <c r="P394" t="b">
        <f t="shared" si="17"/>
        <v>0</v>
      </c>
    </row>
    <row r="395" spans="13:16">
      <c r="M395" s="124" t="s">
        <v>2055</v>
      </c>
      <c r="N395" t="b">
        <f t="shared" si="16"/>
        <v>1</v>
      </c>
      <c r="O395" s="124" t="s">
        <v>2055</v>
      </c>
      <c r="P395" t="b">
        <f t="shared" si="17"/>
        <v>1</v>
      </c>
    </row>
    <row r="396" spans="13:16">
      <c r="M396" s="123">
        <v>307</v>
      </c>
      <c r="N396" t="b">
        <f t="shared" si="16"/>
        <v>0</v>
      </c>
      <c r="O396" s="123">
        <v>473</v>
      </c>
      <c r="P396" t="b">
        <f t="shared" si="17"/>
        <v>0</v>
      </c>
    </row>
    <row r="397" spans="13:16">
      <c r="M397" s="123">
        <v>155</v>
      </c>
      <c r="N397" t="b">
        <f t="shared" si="16"/>
        <v>0</v>
      </c>
      <c r="O397" s="123">
        <v>702</v>
      </c>
      <c r="P397" t="b">
        <f t="shared" si="17"/>
        <v>0</v>
      </c>
    </row>
    <row r="398" spans="13:16">
      <c r="M398" s="123">
        <v>719</v>
      </c>
      <c r="N398" t="b">
        <f t="shared" si="16"/>
        <v>0</v>
      </c>
      <c r="O398" s="123">
        <v>175</v>
      </c>
      <c r="P398" t="b">
        <f t="shared" si="17"/>
        <v>0</v>
      </c>
    </row>
    <row r="399" spans="13:16">
      <c r="M399" s="123">
        <v>323</v>
      </c>
      <c r="N399" t="b">
        <f t="shared" si="16"/>
        <v>0</v>
      </c>
      <c r="O399" s="123">
        <v>332</v>
      </c>
      <c r="P399" t="b">
        <f t="shared" si="17"/>
        <v>0</v>
      </c>
    </row>
    <row r="400" spans="13:16">
      <c r="M400" s="123">
        <v>14</v>
      </c>
      <c r="N400" t="b">
        <f t="shared" si="16"/>
        <v>0</v>
      </c>
      <c r="O400" s="123">
        <v>279</v>
      </c>
      <c r="P400" t="b">
        <f t="shared" si="17"/>
        <v>0</v>
      </c>
    </row>
    <row r="401" spans="13:16">
      <c r="M401" s="123">
        <v>410</v>
      </c>
      <c r="N401" t="b">
        <f t="shared" si="16"/>
        <v>0</v>
      </c>
      <c r="O401" s="123">
        <v>718</v>
      </c>
      <c r="P401" t="b">
        <f t="shared" si="17"/>
        <v>0</v>
      </c>
    </row>
    <row r="402" spans="13:16">
      <c r="M402" s="123">
        <v>78</v>
      </c>
      <c r="N402" t="b">
        <f t="shared" si="16"/>
        <v>0</v>
      </c>
      <c r="O402" s="123">
        <v>640</v>
      </c>
      <c r="P402" t="b">
        <f t="shared" si="17"/>
        <v>0</v>
      </c>
    </row>
    <row r="403" spans="13:16">
      <c r="M403" s="123">
        <v>422</v>
      </c>
      <c r="N403" t="b">
        <f t="shared" si="16"/>
        <v>0</v>
      </c>
      <c r="O403" s="123">
        <v>669</v>
      </c>
      <c r="P403" t="b">
        <f t="shared" si="17"/>
        <v>0</v>
      </c>
    </row>
    <row r="404" spans="13:16">
      <c r="M404" s="123">
        <v>870</v>
      </c>
      <c r="N404" t="b">
        <f t="shared" si="16"/>
        <v>0</v>
      </c>
      <c r="O404" s="123">
        <v>170</v>
      </c>
      <c r="P404" t="b">
        <f t="shared" si="17"/>
        <v>0</v>
      </c>
    </row>
    <row r="405" spans="13:16">
      <c r="M405" s="123">
        <v>136</v>
      </c>
      <c r="N405" t="b">
        <f t="shared" si="16"/>
        <v>0</v>
      </c>
      <c r="O405" s="123">
        <v>697</v>
      </c>
      <c r="P405" t="b">
        <f t="shared" si="17"/>
        <v>0</v>
      </c>
    </row>
    <row r="406" spans="13:16">
      <c r="M406" s="124" t="s">
        <v>2055</v>
      </c>
      <c r="N406" t="b">
        <f t="shared" si="16"/>
        <v>1</v>
      </c>
      <c r="O406" s="124" t="s">
        <v>2055</v>
      </c>
      <c r="P406" t="b">
        <f t="shared" si="17"/>
        <v>1</v>
      </c>
    </row>
    <row r="407" spans="13:16">
      <c r="M407" s="123">
        <v>266</v>
      </c>
      <c r="N407" t="b">
        <f t="shared" si="16"/>
        <v>0</v>
      </c>
      <c r="O407" s="123">
        <v>674</v>
      </c>
      <c r="P407" t="b">
        <f t="shared" si="17"/>
        <v>0</v>
      </c>
    </row>
    <row r="408" spans="13:16">
      <c r="M408" s="123">
        <v>165</v>
      </c>
      <c r="N408" t="b">
        <f t="shared" si="16"/>
        <v>0</v>
      </c>
      <c r="O408" s="123">
        <v>607</v>
      </c>
      <c r="P408" t="b">
        <f t="shared" si="17"/>
        <v>0</v>
      </c>
    </row>
    <row r="409" spans="13:16">
      <c r="M409" s="123">
        <v>22</v>
      </c>
      <c r="N409" t="b">
        <f t="shared" si="16"/>
        <v>0</v>
      </c>
      <c r="O409" s="123">
        <v>629</v>
      </c>
      <c r="P409" t="b">
        <f t="shared" si="17"/>
        <v>0</v>
      </c>
    </row>
    <row r="410" spans="13:16">
      <c r="M410" s="123">
        <v>371</v>
      </c>
      <c r="N410" t="b">
        <f t="shared" si="16"/>
        <v>0</v>
      </c>
      <c r="O410" s="123">
        <v>679</v>
      </c>
      <c r="P410" t="b">
        <f t="shared" si="17"/>
        <v>0</v>
      </c>
    </row>
    <row r="411" spans="13:16">
      <c r="M411" s="123">
        <v>185</v>
      </c>
      <c r="N411" t="b">
        <f t="shared" si="16"/>
        <v>0</v>
      </c>
      <c r="O411" s="123">
        <v>682</v>
      </c>
      <c r="P411" t="b">
        <f t="shared" si="17"/>
        <v>0</v>
      </c>
    </row>
    <row r="412" spans="13:16">
      <c r="M412" s="123">
        <v>301</v>
      </c>
      <c r="N412" t="b">
        <f t="shared" si="16"/>
        <v>0</v>
      </c>
      <c r="O412" s="123">
        <v>693</v>
      </c>
      <c r="P412" t="b">
        <f t="shared" si="17"/>
        <v>0</v>
      </c>
    </row>
    <row r="413" spans="13:16">
      <c r="M413" s="123">
        <v>466</v>
      </c>
      <c r="N413" t="b">
        <f t="shared" si="16"/>
        <v>0</v>
      </c>
      <c r="O413" s="123">
        <v>605</v>
      </c>
      <c r="P413" t="b">
        <f t="shared" si="17"/>
        <v>0</v>
      </c>
    </row>
    <row r="414" spans="13:16">
      <c r="M414" s="164">
        <v>32</v>
      </c>
      <c r="N414" t="b">
        <f t="shared" si="16"/>
        <v>1</v>
      </c>
      <c r="O414" s="123">
        <v>240</v>
      </c>
      <c r="P414" t="b">
        <f t="shared" si="17"/>
        <v>0</v>
      </c>
    </row>
    <row r="415" spans="13:16">
      <c r="M415" s="123" t="s">
        <v>2055</v>
      </c>
      <c r="N415" t="b">
        <f t="shared" si="16"/>
        <v>1</v>
      </c>
      <c r="O415" s="123" t="s">
        <v>2055</v>
      </c>
      <c r="P415" t="b">
        <f t="shared" si="17"/>
        <v>1</v>
      </c>
    </row>
    <row r="416" spans="13:16">
      <c r="M416" s="123">
        <v>45</v>
      </c>
      <c r="N416" t="b">
        <f t="shared" si="16"/>
        <v>0</v>
      </c>
      <c r="O416" s="123">
        <v>623</v>
      </c>
      <c r="P416" t="b">
        <f t="shared" si="17"/>
        <v>0</v>
      </c>
    </row>
    <row r="417" spans="13:16">
      <c r="M417" s="123">
        <v>90</v>
      </c>
      <c r="N417" t="b">
        <f t="shared" si="16"/>
        <v>0</v>
      </c>
      <c r="O417" s="123">
        <v>611</v>
      </c>
      <c r="P417" t="b">
        <f t="shared" si="17"/>
        <v>0</v>
      </c>
    </row>
    <row r="418" spans="13:16">
      <c r="M418" s="123">
        <v>338</v>
      </c>
      <c r="N418" t="b">
        <f t="shared" si="16"/>
        <v>0</v>
      </c>
      <c r="O418" s="123">
        <v>645</v>
      </c>
      <c r="P418" t="b">
        <f t="shared" si="17"/>
        <v>0</v>
      </c>
    </row>
    <row r="419" spans="13:16">
      <c r="M419" s="123">
        <v>243</v>
      </c>
      <c r="N419" t="b">
        <f t="shared" si="16"/>
        <v>0</v>
      </c>
      <c r="O419" s="123">
        <v>709</v>
      </c>
      <c r="P419" t="b">
        <f t="shared" si="17"/>
        <v>0</v>
      </c>
    </row>
    <row r="420" spans="13:16">
      <c r="M420" s="123">
        <v>254</v>
      </c>
      <c r="N420" t="b">
        <f t="shared" si="16"/>
        <v>0</v>
      </c>
      <c r="O420" s="123">
        <v>131</v>
      </c>
      <c r="P420" t="b">
        <f t="shared" si="17"/>
        <v>0</v>
      </c>
    </row>
    <row r="421" spans="13:16">
      <c r="M421" s="123">
        <v>780</v>
      </c>
      <c r="N421" t="b">
        <f t="shared" si="16"/>
        <v>0</v>
      </c>
      <c r="O421" s="123">
        <v>711</v>
      </c>
      <c r="P421" t="b">
        <f t="shared" si="17"/>
        <v>0</v>
      </c>
    </row>
    <row r="422" spans="13:16">
      <c r="M422" s="123">
        <v>182</v>
      </c>
      <c r="N422" t="b">
        <f t="shared" si="16"/>
        <v>0</v>
      </c>
      <c r="O422" s="123">
        <v>236</v>
      </c>
      <c r="P422" t="b">
        <f t="shared" si="17"/>
        <v>0</v>
      </c>
    </row>
    <row r="423" spans="13:16">
      <c r="M423" s="123">
        <v>186</v>
      </c>
      <c r="N423" t="b">
        <f t="shared" si="16"/>
        <v>0</v>
      </c>
      <c r="O423" s="123">
        <v>205</v>
      </c>
      <c r="P423" t="b">
        <f t="shared" si="17"/>
        <v>0</v>
      </c>
    </row>
    <row r="424" spans="13:16">
      <c r="M424" s="123">
        <v>315</v>
      </c>
      <c r="N424" t="b">
        <f t="shared" si="16"/>
        <v>0</v>
      </c>
      <c r="O424" s="123">
        <v>665</v>
      </c>
      <c r="P424" t="b">
        <f t="shared" si="17"/>
        <v>0</v>
      </c>
    </row>
    <row r="425" spans="13:16">
      <c r="M425" s="123">
        <v>147</v>
      </c>
      <c r="N425" t="b">
        <f t="shared" si="16"/>
        <v>0</v>
      </c>
      <c r="O425" s="123">
        <v>224</v>
      </c>
      <c r="P425" t="b">
        <f t="shared" si="17"/>
        <v>0</v>
      </c>
    </row>
    <row r="426" spans="13:16">
      <c r="M426" s="123">
        <v>168</v>
      </c>
      <c r="N426" t="b">
        <f t="shared" si="16"/>
        <v>0</v>
      </c>
      <c r="O426" s="123">
        <v>621</v>
      </c>
      <c r="P426" t="b">
        <f t="shared" si="17"/>
        <v>0</v>
      </c>
    </row>
    <row r="427" spans="13:16">
      <c r="M427" s="123">
        <v>672</v>
      </c>
      <c r="N427" t="b">
        <f t="shared" si="16"/>
        <v>0</v>
      </c>
      <c r="O427" s="164">
        <v>208</v>
      </c>
      <c r="P427" t="b">
        <f t="shared" si="17"/>
        <v>1</v>
      </c>
    </row>
    <row r="428" spans="13:16">
      <c r="M428" s="123">
        <v>173</v>
      </c>
      <c r="N428" t="b">
        <f t="shared" si="16"/>
        <v>0</v>
      </c>
      <c r="O428" s="123">
        <v>637</v>
      </c>
      <c r="P428" t="b">
        <f t="shared" si="17"/>
        <v>0</v>
      </c>
    </row>
    <row r="429" spans="13:16">
      <c r="M429" s="123">
        <v>262</v>
      </c>
      <c r="N429" t="b">
        <f t="shared" si="16"/>
        <v>0</v>
      </c>
      <c r="O429" s="123">
        <v>284</v>
      </c>
      <c r="P429" t="b">
        <f t="shared" si="17"/>
        <v>0</v>
      </c>
    </row>
    <row r="430" spans="13:16">
      <c r="M430" s="123">
        <v>230</v>
      </c>
      <c r="N430" t="b">
        <f t="shared" si="16"/>
        <v>0</v>
      </c>
      <c r="O430" s="123">
        <v>604</v>
      </c>
      <c r="P430" t="b">
        <f t="shared" si="17"/>
        <v>0</v>
      </c>
    </row>
    <row r="431" spans="13:16">
      <c r="M431" s="144">
        <v>140</v>
      </c>
      <c r="N431" t="b">
        <f t="shared" si="16"/>
        <v>0</v>
      </c>
      <c r="O431" s="123">
        <v>625</v>
      </c>
      <c r="P431" t="b">
        <f t="shared" si="17"/>
        <v>0</v>
      </c>
    </row>
    <row r="432" spans="13:16">
      <c r="M432" s="123">
        <v>92</v>
      </c>
      <c r="N432" t="b">
        <f t="shared" si="16"/>
        <v>0</v>
      </c>
      <c r="O432" s="123">
        <v>647</v>
      </c>
      <c r="P432" t="b">
        <f t="shared" si="17"/>
        <v>0</v>
      </c>
    </row>
    <row r="433" spans="13:16">
      <c r="M433" s="123">
        <v>36</v>
      </c>
      <c r="N433" t="b">
        <f t="shared" si="16"/>
        <v>0</v>
      </c>
      <c r="O433" s="123">
        <v>599</v>
      </c>
      <c r="P433" t="b">
        <f t="shared" si="17"/>
        <v>0</v>
      </c>
    </row>
    <row r="434" spans="13:16">
      <c r="M434" s="123">
        <v>434</v>
      </c>
      <c r="N434" t="b">
        <f t="shared" si="16"/>
        <v>0</v>
      </c>
      <c r="O434" s="123">
        <v>670</v>
      </c>
      <c r="P434" t="b">
        <f t="shared" si="17"/>
        <v>0</v>
      </c>
    </row>
    <row r="435" spans="13:16">
      <c r="M435" s="191">
        <v>56</v>
      </c>
      <c r="N435" t="b">
        <f t="shared" si="16"/>
        <v>0</v>
      </c>
      <c r="O435" s="123">
        <v>256</v>
      </c>
      <c r="P435" t="b">
        <f t="shared" si="17"/>
        <v>0</v>
      </c>
    </row>
    <row r="436" spans="13:16">
      <c r="M436" s="123">
        <v>365</v>
      </c>
      <c r="N436" t="b">
        <f t="shared" si="16"/>
        <v>0</v>
      </c>
      <c r="O436" s="123">
        <v>658</v>
      </c>
      <c r="P436" t="b">
        <f t="shared" si="17"/>
        <v>0</v>
      </c>
    </row>
    <row r="437" spans="13:16">
      <c r="M437" s="123">
        <v>5</v>
      </c>
      <c r="N437" t="b">
        <f t="shared" si="16"/>
        <v>0</v>
      </c>
      <c r="O437" s="123">
        <v>699</v>
      </c>
      <c r="P437" t="b">
        <f t="shared" si="17"/>
        <v>0</v>
      </c>
    </row>
    <row r="438" spans="13:16">
      <c r="M438" s="123">
        <v>677</v>
      </c>
      <c r="N438" t="b">
        <f t="shared" si="16"/>
        <v>0</v>
      </c>
      <c r="O438" s="123">
        <v>663</v>
      </c>
      <c r="P438" t="b">
        <f t="shared" si="17"/>
        <v>0</v>
      </c>
    </row>
    <row r="439" spans="13:16">
      <c r="M439" s="123">
        <v>361</v>
      </c>
      <c r="N439" t="b">
        <f t="shared" si="16"/>
        <v>0</v>
      </c>
      <c r="O439" s="123">
        <v>622</v>
      </c>
      <c r="P439" t="b">
        <f t="shared" si="17"/>
        <v>0</v>
      </c>
    </row>
    <row r="440" spans="13:16">
      <c r="M440" s="123">
        <v>204</v>
      </c>
      <c r="N440" t="b">
        <f t="shared" si="16"/>
        <v>0</v>
      </c>
      <c r="O440" s="123">
        <v>608</v>
      </c>
      <c r="P440" t="b">
        <f t="shared" si="17"/>
        <v>0</v>
      </c>
    </row>
    <row r="441" spans="13:16">
      <c r="M441" s="123">
        <v>170</v>
      </c>
      <c r="N441" t="b">
        <f t="shared" si="16"/>
        <v>0</v>
      </c>
      <c r="O441" s="123">
        <v>639</v>
      </c>
      <c r="P441" t="b">
        <f t="shared" si="17"/>
        <v>0</v>
      </c>
    </row>
    <row r="442" spans="13:16">
      <c r="M442" s="145">
        <v>123</v>
      </c>
      <c r="N442" t="b">
        <f t="shared" si="16"/>
        <v>0</v>
      </c>
      <c r="O442" s="123">
        <v>246</v>
      </c>
      <c r="P442" t="b">
        <f t="shared" si="17"/>
        <v>0</v>
      </c>
    </row>
    <row r="443" spans="13:16">
      <c r="M443" s="123">
        <v>53</v>
      </c>
      <c r="N443" t="b">
        <f t="shared" si="16"/>
        <v>0</v>
      </c>
      <c r="O443" s="123">
        <v>672</v>
      </c>
      <c r="P443" t="b">
        <f t="shared" si="1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2" t="s">
        <v>2159</v>
      </c>
      <c r="B1" s="192" t="s">
        <v>2160</v>
      </c>
      <c r="C1" s="192" t="s">
        <v>2161</v>
      </c>
      <c r="D1" s="192" t="s">
        <v>2162</v>
      </c>
      <c r="E1" s="192" t="s">
        <v>2515</v>
      </c>
      <c r="F1" s="192" t="s">
        <v>31</v>
      </c>
      <c r="G1" s="192" t="s">
        <v>1147</v>
      </c>
      <c r="H1" s="192" t="s">
        <v>298</v>
      </c>
      <c r="I1" s="192" t="s">
        <v>2165</v>
      </c>
      <c r="J1" s="192" t="s">
        <v>2166</v>
      </c>
      <c r="K1" s="192" t="s">
        <v>2516</v>
      </c>
    </row>
    <row r="2" spans="1:11">
      <c r="A2" s="134">
        <v>1</v>
      </c>
      <c r="B2" s="136" t="s">
        <v>2171</v>
      </c>
      <c r="C2" s="136" t="s">
        <v>2172</v>
      </c>
      <c r="D2" s="137" t="s">
        <v>2173</v>
      </c>
      <c r="E2" s="140">
        <v>42766</v>
      </c>
      <c r="F2" s="140">
        <v>42818</v>
      </c>
      <c r="G2" s="123">
        <v>436</v>
      </c>
      <c r="H2" s="123">
        <v>17</v>
      </c>
      <c r="I2" s="123">
        <v>752</v>
      </c>
      <c r="J2" s="123">
        <v>133</v>
      </c>
      <c r="K2" s="193">
        <f>IFERROR(F2-E2,"")</f>
        <v>52</v>
      </c>
    </row>
    <row r="3" spans="1:11">
      <c r="A3" s="121">
        <v>2</v>
      </c>
      <c r="B3" s="122" t="s">
        <v>2171</v>
      </c>
      <c r="C3" s="122" t="s">
        <v>2178</v>
      </c>
      <c r="D3" s="122" t="s">
        <v>2173</v>
      </c>
      <c r="E3" s="140">
        <v>42766</v>
      </c>
      <c r="F3" s="124">
        <v>42818</v>
      </c>
      <c r="G3" s="123">
        <v>568</v>
      </c>
      <c r="H3" s="123">
        <v>121</v>
      </c>
      <c r="I3" s="123">
        <v>737</v>
      </c>
      <c r="J3" s="123">
        <v>527</v>
      </c>
      <c r="K3" s="193">
        <f t="shared" ref="K3:K66" si="0">IFERROR(F3-E3,"")</f>
        <v>52</v>
      </c>
    </row>
    <row r="4" spans="1:11">
      <c r="A4" s="168">
        <v>3</v>
      </c>
      <c r="B4" s="169" t="s">
        <v>2171</v>
      </c>
      <c r="C4" s="169" t="s">
        <v>2179</v>
      </c>
      <c r="D4" s="169" t="s">
        <v>2173</v>
      </c>
      <c r="E4" s="172">
        <v>42766</v>
      </c>
      <c r="F4" s="168" t="s">
        <v>2055</v>
      </c>
      <c r="G4" s="168">
        <v>631</v>
      </c>
      <c r="H4" s="168">
        <v>158</v>
      </c>
      <c r="I4" s="168">
        <v>661</v>
      </c>
      <c r="J4" s="168">
        <v>498</v>
      </c>
      <c r="K4" s="193" t="str">
        <f t="shared" si="0"/>
        <v/>
      </c>
    </row>
    <row r="5" spans="1:11">
      <c r="A5" s="121">
        <v>4</v>
      </c>
      <c r="B5" s="122" t="s">
        <v>2171</v>
      </c>
      <c r="C5" s="122" t="s">
        <v>2181</v>
      </c>
      <c r="D5" s="122" t="s">
        <v>2173</v>
      </c>
      <c r="E5" s="140">
        <v>42766</v>
      </c>
      <c r="F5" s="124">
        <v>42818</v>
      </c>
      <c r="G5" s="123">
        <v>652</v>
      </c>
      <c r="H5" s="123">
        <v>115</v>
      </c>
      <c r="I5" s="123">
        <v>532</v>
      </c>
      <c r="J5" s="123">
        <v>508</v>
      </c>
      <c r="K5" s="193">
        <f t="shared" si="0"/>
        <v>52</v>
      </c>
    </row>
    <row r="6" spans="1:11">
      <c r="A6" s="121">
        <v>5</v>
      </c>
      <c r="B6" s="122" t="s">
        <v>2171</v>
      </c>
      <c r="C6" s="122" t="s">
        <v>2184</v>
      </c>
      <c r="D6" s="122" t="s">
        <v>2173</v>
      </c>
      <c r="E6" s="140">
        <v>42766</v>
      </c>
      <c r="F6" s="124">
        <v>42818</v>
      </c>
      <c r="G6" s="123">
        <v>497</v>
      </c>
      <c r="H6" s="123">
        <v>502</v>
      </c>
      <c r="I6" s="123">
        <v>577</v>
      </c>
      <c r="J6" s="123">
        <v>38</v>
      </c>
      <c r="K6" s="193">
        <f t="shared" si="0"/>
        <v>52</v>
      </c>
    </row>
    <row r="7" spans="1:11">
      <c r="A7" s="121">
        <v>6</v>
      </c>
      <c r="B7" s="122" t="s">
        <v>2171</v>
      </c>
      <c r="C7" s="122" t="s">
        <v>2185</v>
      </c>
      <c r="D7" s="122" t="s">
        <v>2173</v>
      </c>
      <c r="E7" s="140">
        <v>42766</v>
      </c>
      <c r="F7" s="124">
        <v>42818</v>
      </c>
      <c r="G7" s="123">
        <v>447</v>
      </c>
      <c r="H7" s="123">
        <v>177</v>
      </c>
      <c r="I7" s="123">
        <v>634</v>
      </c>
      <c r="J7" s="123">
        <v>59</v>
      </c>
      <c r="K7" s="193">
        <f t="shared" si="0"/>
        <v>52</v>
      </c>
    </row>
    <row r="8" spans="1:11">
      <c r="A8" s="121">
        <v>7</v>
      </c>
      <c r="B8" s="122" t="s">
        <v>2171</v>
      </c>
      <c r="C8" s="122" t="s">
        <v>2186</v>
      </c>
      <c r="D8" s="122" t="s">
        <v>2173</v>
      </c>
      <c r="E8" s="140">
        <v>42766</v>
      </c>
      <c r="F8" s="124">
        <v>42818</v>
      </c>
      <c r="G8" s="123">
        <v>452</v>
      </c>
      <c r="H8" s="123">
        <v>531</v>
      </c>
      <c r="I8" s="123">
        <v>665</v>
      </c>
      <c r="J8" s="123">
        <v>398</v>
      </c>
      <c r="K8" s="193">
        <f t="shared" si="0"/>
        <v>52</v>
      </c>
    </row>
    <row r="9" spans="1:11">
      <c r="A9" s="121">
        <v>8</v>
      </c>
      <c r="B9" s="122" t="s">
        <v>2171</v>
      </c>
      <c r="C9" s="122" t="s">
        <v>2187</v>
      </c>
      <c r="D9" s="122" t="s">
        <v>2173</v>
      </c>
      <c r="E9" s="140">
        <v>42766</v>
      </c>
      <c r="F9" s="124">
        <v>42818</v>
      </c>
      <c r="G9" s="123">
        <v>389</v>
      </c>
      <c r="H9" s="123">
        <v>406</v>
      </c>
      <c r="I9" s="123">
        <v>701</v>
      </c>
      <c r="J9" s="123">
        <v>512</v>
      </c>
      <c r="K9" s="193">
        <f t="shared" si="0"/>
        <v>52</v>
      </c>
    </row>
    <row r="10" spans="1:11">
      <c r="A10" s="121">
        <v>9</v>
      </c>
      <c r="B10" s="122" t="s">
        <v>2171</v>
      </c>
      <c r="C10" s="122" t="s">
        <v>2188</v>
      </c>
      <c r="D10" s="122" t="s">
        <v>2189</v>
      </c>
      <c r="E10" s="140">
        <v>42766</v>
      </c>
      <c r="F10" s="124">
        <v>42818</v>
      </c>
      <c r="G10">
        <v>514</v>
      </c>
      <c r="H10" s="123">
        <v>169</v>
      </c>
      <c r="I10" s="123">
        <v>476</v>
      </c>
      <c r="J10" s="123">
        <v>101</v>
      </c>
      <c r="K10" s="193">
        <f t="shared" si="0"/>
        <v>52</v>
      </c>
    </row>
    <row r="11" spans="1:11">
      <c r="A11" s="121">
        <v>10</v>
      </c>
      <c r="B11" s="122" t="s">
        <v>2171</v>
      </c>
      <c r="C11" s="122" t="s">
        <v>2191</v>
      </c>
      <c r="D11" s="122" t="s">
        <v>2189</v>
      </c>
      <c r="E11" s="140">
        <v>42766</v>
      </c>
      <c r="F11" s="124">
        <v>42818</v>
      </c>
      <c r="G11" s="123">
        <v>286</v>
      </c>
      <c r="H11" s="123">
        <v>91</v>
      </c>
      <c r="I11" s="123">
        <v>606</v>
      </c>
      <c r="J11" s="123">
        <v>515</v>
      </c>
      <c r="K11" s="193">
        <f t="shared" si="0"/>
        <v>52</v>
      </c>
    </row>
    <row r="12" spans="1:11">
      <c r="A12" s="121">
        <v>11</v>
      </c>
      <c r="B12" s="122" t="s">
        <v>2171</v>
      </c>
      <c r="C12" s="122" t="s">
        <v>2192</v>
      </c>
      <c r="D12" s="122" t="s">
        <v>2189</v>
      </c>
      <c r="E12" s="140">
        <v>42766</v>
      </c>
      <c r="F12" s="124">
        <v>42818</v>
      </c>
      <c r="G12" s="123">
        <v>543</v>
      </c>
      <c r="H12" s="129">
        <v>446</v>
      </c>
      <c r="I12" s="123">
        <v>523</v>
      </c>
      <c r="J12" s="123">
        <v>2</v>
      </c>
      <c r="K12" s="193">
        <f t="shared" si="0"/>
        <v>52</v>
      </c>
    </row>
    <row r="13" spans="1:11">
      <c r="A13" s="168">
        <v>12</v>
      </c>
      <c r="B13" s="169" t="s">
        <v>2171</v>
      </c>
      <c r="C13" s="169" t="s">
        <v>2193</v>
      </c>
      <c r="D13" s="169" t="s">
        <v>2189</v>
      </c>
      <c r="E13" s="172">
        <v>42766</v>
      </c>
      <c r="F13" s="168" t="s">
        <v>2055</v>
      </c>
      <c r="G13" s="168">
        <v>590</v>
      </c>
      <c r="H13" s="168">
        <v>409</v>
      </c>
      <c r="I13" s="168">
        <v>490</v>
      </c>
      <c r="J13" s="168">
        <v>123</v>
      </c>
      <c r="K13" s="193" t="str">
        <f t="shared" si="0"/>
        <v/>
      </c>
    </row>
    <row r="14" spans="1:11">
      <c r="A14" s="121">
        <v>13</v>
      </c>
      <c r="B14" s="122" t="s">
        <v>2171</v>
      </c>
      <c r="C14" s="122" t="s">
        <v>2194</v>
      </c>
      <c r="D14" s="122" t="s">
        <v>2189</v>
      </c>
      <c r="E14" s="140">
        <v>42766</v>
      </c>
      <c r="F14" s="124">
        <v>42818</v>
      </c>
      <c r="G14" s="123">
        <v>595</v>
      </c>
      <c r="H14" s="123">
        <v>450</v>
      </c>
      <c r="I14" s="123">
        <v>241</v>
      </c>
      <c r="J14" s="123">
        <v>3</v>
      </c>
      <c r="K14" s="193">
        <f t="shared" si="0"/>
        <v>52</v>
      </c>
    </row>
    <row r="15" spans="1:11">
      <c r="A15" s="121">
        <v>14</v>
      </c>
      <c r="B15" s="122" t="s">
        <v>2171</v>
      </c>
      <c r="C15" s="122" t="s">
        <v>2196</v>
      </c>
      <c r="D15" s="122" t="s">
        <v>2189</v>
      </c>
      <c r="E15" s="140">
        <v>42766</v>
      </c>
      <c r="F15" s="124">
        <v>42818</v>
      </c>
      <c r="G15" s="123">
        <v>609</v>
      </c>
      <c r="H15" s="123">
        <v>382</v>
      </c>
      <c r="I15" s="129">
        <v>503</v>
      </c>
      <c r="J15" s="123">
        <v>282</v>
      </c>
      <c r="K15" s="193">
        <f t="shared" si="0"/>
        <v>52</v>
      </c>
    </row>
    <row r="16" spans="1:11">
      <c r="A16" s="121">
        <v>15</v>
      </c>
      <c r="B16" s="122" t="s">
        <v>2171</v>
      </c>
      <c r="C16" s="122" t="s">
        <v>2197</v>
      </c>
      <c r="D16" s="122" t="s">
        <v>2189</v>
      </c>
      <c r="E16" s="140">
        <v>42766</v>
      </c>
      <c r="F16" s="124">
        <v>42818</v>
      </c>
      <c r="G16" s="123">
        <v>222</v>
      </c>
      <c r="H16" s="123">
        <v>415</v>
      </c>
      <c r="I16" s="123">
        <v>685</v>
      </c>
      <c r="J16" s="123">
        <v>99</v>
      </c>
      <c r="K16" s="193">
        <f t="shared" si="0"/>
        <v>52</v>
      </c>
    </row>
    <row r="17" spans="1:11">
      <c r="A17" s="121">
        <v>16</v>
      </c>
      <c r="B17" s="122" t="s">
        <v>2171</v>
      </c>
      <c r="C17" s="122" t="s">
        <v>2200</v>
      </c>
      <c r="D17" s="122" t="s">
        <v>2189</v>
      </c>
      <c r="E17" s="140">
        <v>42766</v>
      </c>
      <c r="F17" s="124">
        <v>42818</v>
      </c>
      <c r="G17" s="123">
        <v>405</v>
      </c>
      <c r="H17" s="123">
        <v>519</v>
      </c>
      <c r="I17" s="123">
        <v>644</v>
      </c>
      <c r="J17" s="123">
        <v>154</v>
      </c>
      <c r="K17" s="193">
        <f t="shared" si="0"/>
        <v>52</v>
      </c>
    </row>
    <row r="18" spans="1:11">
      <c r="A18" s="121">
        <v>17</v>
      </c>
      <c r="B18" s="122" t="s">
        <v>2171</v>
      </c>
      <c r="C18" s="122" t="s">
        <v>2202</v>
      </c>
      <c r="D18" s="122" t="s">
        <v>2203</v>
      </c>
      <c r="E18" s="124">
        <v>42767</v>
      </c>
      <c r="F18" s="124">
        <v>42818</v>
      </c>
      <c r="G18" s="123">
        <v>571</v>
      </c>
      <c r="H18" s="123">
        <v>542</v>
      </c>
      <c r="I18" s="123">
        <v>648</v>
      </c>
      <c r="J18" s="123">
        <v>380</v>
      </c>
      <c r="K18" s="193">
        <f t="shared" si="0"/>
        <v>51</v>
      </c>
    </row>
    <row r="19" spans="1:11">
      <c r="A19" s="121">
        <v>18</v>
      </c>
      <c r="B19" s="122" t="s">
        <v>2171</v>
      </c>
      <c r="C19" s="122" t="s">
        <v>2205</v>
      </c>
      <c r="D19" s="122" t="s">
        <v>2203</v>
      </c>
      <c r="E19" s="124">
        <v>42767</v>
      </c>
      <c r="F19" s="124">
        <v>42818</v>
      </c>
      <c r="G19" s="123">
        <v>419</v>
      </c>
      <c r="H19" s="123">
        <v>128</v>
      </c>
      <c r="I19" s="123">
        <v>573</v>
      </c>
      <c r="J19" s="123">
        <v>274</v>
      </c>
      <c r="K19" s="193">
        <f t="shared" si="0"/>
        <v>51</v>
      </c>
    </row>
    <row r="20" spans="1:11">
      <c r="A20" s="121">
        <v>19</v>
      </c>
      <c r="B20" s="122" t="s">
        <v>2171</v>
      </c>
      <c r="C20" s="122" t="s">
        <v>2206</v>
      </c>
      <c r="D20" s="122" t="s">
        <v>2203</v>
      </c>
      <c r="E20" s="124">
        <v>42767</v>
      </c>
      <c r="F20" s="124">
        <v>42818</v>
      </c>
      <c r="G20" s="123">
        <v>240</v>
      </c>
      <c r="H20" s="123">
        <v>82</v>
      </c>
      <c r="I20" s="123">
        <v>639</v>
      </c>
      <c r="J20" s="123">
        <v>566</v>
      </c>
      <c r="K20" s="193">
        <f t="shared" si="0"/>
        <v>51</v>
      </c>
    </row>
    <row r="21" spans="1:11">
      <c r="A21" s="121">
        <v>20</v>
      </c>
      <c r="B21" s="122" t="s">
        <v>2171</v>
      </c>
      <c r="C21" s="122" t="s">
        <v>2207</v>
      </c>
      <c r="D21" s="122" t="s">
        <v>2203</v>
      </c>
      <c r="E21" s="124">
        <v>42767</v>
      </c>
      <c r="F21" s="124">
        <v>42818</v>
      </c>
      <c r="G21" s="123">
        <v>524</v>
      </c>
      <c r="H21" s="123">
        <v>50</v>
      </c>
      <c r="I21" s="123">
        <v>505</v>
      </c>
      <c r="J21" s="123">
        <v>110</v>
      </c>
      <c r="K21" s="193">
        <f t="shared" si="0"/>
        <v>51</v>
      </c>
    </row>
    <row r="22" spans="1:11">
      <c r="A22" s="121">
        <v>21</v>
      </c>
      <c r="B22" s="122" t="s">
        <v>2171</v>
      </c>
      <c r="C22" s="122" t="s">
        <v>2208</v>
      </c>
      <c r="D22" s="122" t="s">
        <v>2203</v>
      </c>
      <c r="E22" s="124">
        <v>42767</v>
      </c>
      <c r="F22" s="124">
        <v>42818</v>
      </c>
      <c r="G22" s="123">
        <v>699</v>
      </c>
      <c r="H22" s="123">
        <v>529</v>
      </c>
      <c r="I22" s="123">
        <v>721</v>
      </c>
      <c r="J22" s="164" t="s">
        <v>2485</v>
      </c>
      <c r="K22" s="193">
        <f t="shared" si="0"/>
        <v>51</v>
      </c>
    </row>
    <row r="23" spans="1:11">
      <c r="A23" s="121">
        <v>22</v>
      </c>
      <c r="B23" s="122" t="s">
        <v>2171</v>
      </c>
      <c r="C23" s="122" t="s">
        <v>2209</v>
      </c>
      <c r="D23" s="122" t="s">
        <v>2203</v>
      </c>
      <c r="E23" s="124">
        <v>42767</v>
      </c>
      <c r="F23" s="124">
        <v>42818</v>
      </c>
      <c r="G23" s="123">
        <v>575</v>
      </c>
      <c r="H23" s="123">
        <v>363</v>
      </c>
      <c r="I23" s="123">
        <v>552</v>
      </c>
      <c r="J23" s="123">
        <v>45</v>
      </c>
      <c r="K23" s="193">
        <f t="shared" si="0"/>
        <v>51</v>
      </c>
    </row>
    <row r="24" spans="1:11">
      <c r="A24" s="121">
        <v>23</v>
      </c>
      <c r="B24" s="122" t="s">
        <v>2171</v>
      </c>
      <c r="C24" s="122" t="s">
        <v>2210</v>
      </c>
      <c r="D24" s="122" t="s">
        <v>2203</v>
      </c>
      <c r="E24" s="124">
        <v>42767</v>
      </c>
      <c r="F24" s="124">
        <v>42818</v>
      </c>
      <c r="G24" s="123">
        <v>492</v>
      </c>
      <c r="H24" s="123">
        <v>190</v>
      </c>
      <c r="I24" s="123">
        <v>456</v>
      </c>
      <c r="J24" s="123">
        <v>132</v>
      </c>
      <c r="K24" s="193">
        <f t="shared" si="0"/>
        <v>51</v>
      </c>
    </row>
    <row r="25" spans="1:11">
      <c r="A25" s="121">
        <v>24</v>
      </c>
      <c r="B25" s="122" t="s">
        <v>2171</v>
      </c>
      <c r="C25" s="122" t="s">
        <v>2211</v>
      </c>
      <c r="D25" s="122" t="s">
        <v>2203</v>
      </c>
      <c r="E25" s="124">
        <v>42767</v>
      </c>
      <c r="F25" s="124">
        <v>42818</v>
      </c>
      <c r="G25" s="123">
        <v>813</v>
      </c>
      <c r="H25" s="123">
        <v>144</v>
      </c>
      <c r="I25" s="123">
        <v>421</v>
      </c>
      <c r="J25" s="123">
        <v>71</v>
      </c>
      <c r="K25" s="193">
        <f t="shared" si="0"/>
        <v>51</v>
      </c>
    </row>
    <row r="26" spans="1:11">
      <c r="A26" s="121">
        <v>25</v>
      </c>
      <c r="B26" s="122" t="s">
        <v>2171</v>
      </c>
      <c r="C26" s="122" t="s">
        <v>2212</v>
      </c>
      <c r="D26" s="122" t="s">
        <v>2213</v>
      </c>
      <c r="E26" s="124">
        <v>42767</v>
      </c>
      <c r="F26" s="124">
        <v>42818</v>
      </c>
      <c r="G26" s="123">
        <v>406</v>
      </c>
      <c r="H26" s="123">
        <v>279</v>
      </c>
      <c r="I26" s="123">
        <v>864</v>
      </c>
      <c r="J26" s="123">
        <v>104</v>
      </c>
      <c r="K26" s="193">
        <f t="shared" si="0"/>
        <v>51</v>
      </c>
    </row>
    <row r="27" spans="1:11">
      <c r="A27" s="121">
        <v>26</v>
      </c>
      <c r="B27" s="122" t="s">
        <v>2171</v>
      </c>
      <c r="C27" s="122" t="s">
        <v>2214</v>
      </c>
      <c r="D27" s="122" t="s">
        <v>2213</v>
      </c>
      <c r="E27" s="124">
        <v>42767</v>
      </c>
      <c r="F27" s="124">
        <v>42818</v>
      </c>
      <c r="G27" s="123">
        <v>651</v>
      </c>
      <c r="H27" s="123">
        <v>148</v>
      </c>
      <c r="I27" s="123">
        <v>506</v>
      </c>
      <c r="J27" s="123">
        <v>189</v>
      </c>
      <c r="K27" s="193">
        <f t="shared" si="0"/>
        <v>51</v>
      </c>
    </row>
    <row r="28" spans="1:11">
      <c r="A28" s="121">
        <v>27</v>
      </c>
      <c r="B28" s="122" t="s">
        <v>2171</v>
      </c>
      <c r="C28" s="122" t="s">
        <v>2215</v>
      </c>
      <c r="D28" s="122" t="s">
        <v>2213</v>
      </c>
      <c r="E28" s="124">
        <v>42767</v>
      </c>
      <c r="F28" s="124">
        <v>42818</v>
      </c>
      <c r="G28" s="123">
        <v>583</v>
      </c>
      <c r="H28" s="123">
        <v>112</v>
      </c>
      <c r="I28" s="123">
        <v>449</v>
      </c>
      <c r="J28" s="123">
        <v>217</v>
      </c>
      <c r="K28" s="193">
        <f t="shared" si="0"/>
        <v>51</v>
      </c>
    </row>
    <row r="29" spans="1:11">
      <c r="A29" s="121">
        <v>28</v>
      </c>
      <c r="B29" s="122" t="s">
        <v>2171</v>
      </c>
      <c r="C29" s="122" t="s">
        <v>2216</v>
      </c>
      <c r="D29" s="122" t="s">
        <v>2213</v>
      </c>
      <c r="E29" s="124">
        <v>42767</v>
      </c>
      <c r="F29" s="124">
        <v>42818</v>
      </c>
      <c r="G29" s="123">
        <v>702</v>
      </c>
      <c r="H29" s="123">
        <v>436</v>
      </c>
      <c r="I29" s="123">
        <v>502</v>
      </c>
      <c r="J29" s="123">
        <v>172</v>
      </c>
      <c r="K29" s="193">
        <f t="shared" si="0"/>
        <v>51</v>
      </c>
    </row>
    <row r="30" spans="1:11">
      <c r="A30" s="121">
        <v>29</v>
      </c>
      <c r="B30" s="122" t="s">
        <v>2171</v>
      </c>
      <c r="C30" s="122" t="s">
        <v>2217</v>
      </c>
      <c r="D30" s="122" t="s">
        <v>2213</v>
      </c>
      <c r="E30" s="124">
        <v>42767</v>
      </c>
      <c r="F30" s="124">
        <v>42818</v>
      </c>
      <c r="G30" s="123">
        <v>838</v>
      </c>
      <c r="H30" s="123">
        <v>386</v>
      </c>
      <c r="I30" s="123">
        <v>345</v>
      </c>
      <c r="J30" s="123">
        <v>349</v>
      </c>
      <c r="K30" s="193">
        <f t="shared" si="0"/>
        <v>51</v>
      </c>
    </row>
    <row r="31" spans="1:11">
      <c r="A31" s="121">
        <v>30</v>
      </c>
      <c r="B31" s="122" t="s">
        <v>2171</v>
      </c>
      <c r="C31" s="122" t="s">
        <v>2218</v>
      </c>
      <c r="D31" s="122" t="s">
        <v>2213</v>
      </c>
      <c r="E31" s="124">
        <v>42767</v>
      </c>
      <c r="F31" s="124">
        <v>42818</v>
      </c>
      <c r="G31" s="123">
        <v>518</v>
      </c>
      <c r="H31">
        <v>507</v>
      </c>
      <c r="I31" s="123">
        <v>500</v>
      </c>
      <c r="J31" s="123">
        <v>296</v>
      </c>
      <c r="K31" s="193">
        <f t="shared" si="0"/>
        <v>51</v>
      </c>
    </row>
    <row r="32" spans="1:11">
      <c r="A32" s="121">
        <v>31</v>
      </c>
      <c r="B32" s="122" t="s">
        <v>2171</v>
      </c>
      <c r="C32" s="122" t="s">
        <v>2219</v>
      </c>
      <c r="D32" s="122" t="s">
        <v>2213</v>
      </c>
      <c r="E32" s="124">
        <v>42767</v>
      </c>
      <c r="F32" s="124">
        <v>42818</v>
      </c>
      <c r="G32" s="129">
        <v>404</v>
      </c>
      <c r="H32" s="123">
        <v>141</v>
      </c>
      <c r="I32" s="123">
        <v>521</v>
      </c>
      <c r="J32" s="123">
        <v>323</v>
      </c>
      <c r="K32" s="193">
        <f t="shared" si="0"/>
        <v>51</v>
      </c>
    </row>
    <row r="33" spans="1:11">
      <c r="A33" s="121">
        <v>32</v>
      </c>
      <c r="B33" s="122" t="s">
        <v>2171</v>
      </c>
      <c r="C33" s="122" t="s">
        <v>2220</v>
      </c>
      <c r="D33" s="122" t="s">
        <v>2213</v>
      </c>
      <c r="E33" s="124">
        <v>42767</v>
      </c>
      <c r="F33" s="124">
        <v>42818</v>
      </c>
      <c r="G33" s="123">
        <v>527</v>
      </c>
      <c r="H33" s="123">
        <v>396</v>
      </c>
      <c r="I33" s="123">
        <v>201</v>
      </c>
      <c r="J33" s="123">
        <v>156</v>
      </c>
      <c r="K33" s="193">
        <f t="shared" si="0"/>
        <v>51</v>
      </c>
    </row>
    <row r="34" spans="1:11">
      <c r="A34" s="121">
        <v>33</v>
      </c>
      <c r="B34" s="122" t="s">
        <v>2171</v>
      </c>
      <c r="C34" s="122" t="s">
        <v>2221</v>
      </c>
      <c r="D34" s="122" t="s">
        <v>2222</v>
      </c>
      <c r="E34" s="124">
        <v>42765</v>
      </c>
      <c r="F34" s="124">
        <v>42820</v>
      </c>
      <c r="G34" s="123">
        <v>366</v>
      </c>
      <c r="H34" s="123">
        <v>109</v>
      </c>
      <c r="I34" s="123">
        <v>556</v>
      </c>
      <c r="J34" s="123">
        <v>452</v>
      </c>
      <c r="K34" s="193">
        <f t="shared" si="0"/>
        <v>55</v>
      </c>
    </row>
    <row r="35" spans="1:11">
      <c r="A35" s="121">
        <v>34</v>
      </c>
      <c r="B35" s="122" t="s">
        <v>2171</v>
      </c>
      <c r="C35" s="122" t="s">
        <v>2224</v>
      </c>
      <c r="D35" s="122" t="s">
        <v>2222</v>
      </c>
      <c r="E35" s="124">
        <v>42765</v>
      </c>
      <c r="F35" s="124">
        <v>42820</v>
      </c>
      <c r="G35" s="123">
        <v>516</v>
      </c>
      <c r="H35" s="123">
        <v>153</v>
      </c>
      <c r="I35" s="123">
        <v>649</v>
      </c>
      <c r="J35" s="123">
        <v>24</v>
      </c>
      <c r="K35" s="193">
        <f t="shared" si="0"/>
        <v>55</v>
      </c>
    </row>
    <row r="36" spans="1:11">
      <c r="A36" s="121">
        <v>35</v>
      </c>
      <c r="B36" s="122" t="s">
        <v>2171</v>
      </c>
      <c r="C36" s="122" t="s">
        <v>2227</v>
      </c>
      <c r="D36" s="122" t="s">
        <v>2222</v>
      </c>
      <c r="E36" s="124">
        <v>42765</v>
      </c>
      <c r="F36" s="124">
        <v>42820</v>
      </c>
      <c r="G36" s="123">
        <v>670</v>
      </c>
      <c r="H36" s="123">
        <v>64</v>
      </c>
      <c r="I36" s="123">
        <v>732</v>
      </c>
      <c r="J36" s="123">
        <v>69</v>
      </c>
      <c r="K36" s="193">
        <f t="shared" si="0"/>
        <v>55</v>
      </c>
    </row>
    <row r="37" spans="1:11">
      <c r="A37" s="121">
        <v>36</v>
      </c>
      <c r="B37" s="122" t="s">
        <v>2171</v>
      </c>
      <c r="C37" s="122" t="s">
        <v>2228</v>
      </c>
      <c r="D37" s="122" t="s">
        <v>2222</v>
      </c>
      <c r="E37" s="124">
        <v>42765</v>
      </c>
      <c r="F37" s="124">
        <v>42820</v>
      </c>
      <c r="G37" s="123">
        <v>507</v>
      </c>
      <c r="H37" s="123">
        <v>126</v>
      </c>
      <c r="I37" s="123">
        <v>550</v>
      </c>
      <c r="J37" s="123">
        <v>97</v>
      </c>
      <c r="K37" s="193">
        <f t="shared" si="0"/>
        <v>55</v>
      </c>
    </row>
    <row r="38" spans="1:11">
      <c r="A38" s="121">
        <v>37</v>
      </c>
      <c r="B38" s="122" t="s">
        <v>2171</v>
      </c>
      <c r="C38" s="122" t="s">
        <v>2230</v>
      </c>
      <c r="D38" s="122" t="s">
        <v>2222</v>
      </c>
      <c r="E38" s="124">
        <v>42765</v>
      </c>
      <c r="F38" s="124">
        <v>42820</v>
      </c>
      <c r="G38" s="123">
        <v>359</v>
      </c>
      <c r="H38" s="123">
        <v>63</v>
      </c>
      <c r="I38" s="123">
        <v>528</v>
      </c>
      <c r="J38" s="123">
        <v>89</v>
      </c>
      <c r="K38" s="193">
        <f t="shared" si="0"/>
        <v>55</v>
      </c>
    </row>
    <row r="39" spans="1:11">
      <c r="A39" s="121">
        <v>38</v>
      </c>
      <c r="B39" s="122" t="s">
        <v>2171</v>
      </c>
      <c r="C39" s="122" t="s">
        <v>2232</v>
      </c>
      <c r="D39" s="122" t="s">
        <v>2222</v>
      </c>
      <c r="E39" s="124">
        <v>42765</v>
      </c>
      <c r="F39" s="124">
        <v>42820</v>
      </c>
      <c r="G39" s="123">
        <v>499</v>
      </c>
      <c r="H39" s="123">
        <v>87</v>
      </c>
      <c r="I39" s="123">
        <v>703</v>
      </c>
      <c r="J39" s="129">
        <v>147</v>
      </c>
      <c r="K39" s="193">
        <f t="shared" si="0"/>
        <v>55</v>
      </c>
    </row>
    <row r="40" spans="1:11">
      <c r="A40" s="121">
        <v>39</v>
      </c>
      <c r="B40" s="122" t="s">
        <v>2171</v>
      </c>
      <c r="C40" s="122" t="s">
        <v>2234</v>
      </c>
      <c r="D40" s="122" t="s">
        <v>2222</v>
      </c>
      <c r="E40" s="124">
        <v>42765</v>
      </c>
      <c r="F40" s="124">
        <v>42820</v>
      </c>
      <c r="G40" s="123">
        <v>214</v>
      </c>
      <c r="H40" s="123">
        <v>437</v>
      </c>
      <c r="I40" s="123">
        <v>566</v>
      </c>
      <c r="J40" s="123">
        <v>65</v>
      </c>
      <c r="K40" s="193">
        <f t="shared" si="0"/>
        <v>55</v>
      </c>
    </row>
    <row r="41" spans="1:11">
      <c r="A41" s="121">
        <v>40</v>
      </c>
      <c r="B41" s="122" t="s">
        <v>2171</v>
      </c>
      <c r="C41" s="122" t="s">
        <v>2236</v>
      </c>
      <c r="D41" s="122" t="s">
        <v>2222</v>
      </c>
      <c r="E41" s="124">
        <v>42765</v>
      </c>
      <c r="F41" s="124">
        <v>42820</v>
      </c>
      <c r="G41" s="123">
        <v>582</v>
      </c>
      <c r="H41" s="123">
        <v>114</v>
      </c>
      <c r="I41" s="123">
        <v>619</v>
      </c>
      <c r="J41" s="123">
        <v>420</v>
      </c>
      <c r="K41" s="193">
        <f t="shared" si="0"/>
        <v>55</v>
      </c>
    </row>
    <row r="42" spans="1:11">
      <c r="A42" s="121">
        <v>41</v>
      </c>
      <c r="B42" s="122" t="s">
        <v>2171</v>
      </c>
      <c r="C42" s="122" t="s">
        <v>2238</v>
      </c>
      <c r="D42" s="122" t="s">
        <v>2239</v>
      </c>
      <c r="E42" s="124">
        <v>42766</v>
      </c>
      <c r="F42" s="124">
        <v>42820</v>
      </c>
      <c r="G42" s="123">
        <v>453</v>
      </c>
      <c r="H42" s="123">
        <v>521</v>
      </c>
      <c r="I42" s="123">
        <v>626</v>
      </c>
      <c r="J42" s="123">
        <v>77</v>
      </c>
      <c r="K42" s="193">
        <f t="shared" si="0"/>
        <v>54</v>
      </c>
    </row>
    <row r="43" spans="1:11">
      <c r="A43" s="121">
        <v>42</v>
      </c>
      <c r="B43" s="122" t="s">
        <v>2171</v>
      </c>
      <c r="C43" s="122" t="s">
        <v>2240</v>
      </c>
      <c r="D43" s="122" t="s">
        <v>2239</v>
      </c>
      <c r="E43" s="124">
        <v>42766</v>
      </c>
      <c r="F43" s="124">
        <v>42820</v>
      </c>
      <c r="G43" s="123">
        <v>764</v>
      </c>
      <c r="H43" s="123">
        <v>371</v>
      </c>
      <c r="I43" s="123">
        <v>437</v>
      </c>
      <c r="J43" s="123">
        <v>81</v>
      </c>
      <c r="K43" s="193">
        <f t="shared" si="0"/>
        <v>54</v>
      </c>
    </row>
    <row r="44" spans="1:11">
      <c r="A44" s="121">
        <v>43</v>
      </c>
      <c r="B44" s="122" t="s">
        <v>2171</v>
      </c>
      <c r="C44" s="122" t="s">
        <v>2242</v>
      </c>
      <c r="D44" s="122" t="s">
        <v>2239</v>
      </c>
      <c r="E44" s="124">
        <v>42766</v>
      </c>
      <c r="F44" s="124">
        <v>42820</v>
      </c>
      <c r="G44" s="123">
        <v>690</v>
      </c>
      <c r="H44" s="123">
        <v>376</v>
      </c>
      <c r="I44" s="123">
        <v>643</v>
      </c>
      <c r="J44" s="123">
        <v>117</v>
      </c>
      <c r="K44" s="193">
        <f t="shared" si="0"/>
        <v>54</v>
      </c>
    </row>
    <row r="45" spans="1:11">
      <c r="A45" s="121">
        <v>44</v>
      </c>
      <c r="B45" s="122" t="s">
        <v>2171</v>
      </c>
      <c r="C45" s="122" t="s">
        <v>2243</v>
      </c>
      <c r="D45" s="122" t="s">
        <v>2239</v>
      </c>
      <c r="E45" s="124">
        <v>42766</v>
      </c>
      <c r="F45" s="124">
        <v>42820</v>
      </c>
      <c r="G45" s="123">
        <v>774</v>
      </c>
      <c r="H45" s="123">
        <v>166</v>
      </c>
      <c r="I45">
        <v>283</v>
      </c>
      <c r="J45" s="123">
        <v>6</v>
      </c>
      <c r="K45" s="193">
        <f t="shared" si="0"/>
        <v>54</v>
      </c>
    </row>
    <row r="46" spans="1:11">
      <c r="A46" s="121">
        <v>45</v>
      </c>
      <c r="B46" s="122" t="s">
        <v>2171</v>
      </c>
      <c r="C46" s="122" t="s">
        <v>2244</v>
      </c>
      <c r="D46" s="122" t="s">
        <v>2239</v>
      </c>
      <c r="E46" s="124">
        <v>42766</v>
      </c>
      <c r="F46" s="124">
        <v>42820</v>
      </c>
      <c r="G46" s="123">
        <v>519</v>
      </c>
      <c r="H46" s="123">
        <v>469</v>
      </c>
      <c r="I46" s="123">
        <v>602</v>
      </c>
      <c r="J46" s="123">
        <v>74</v>
      </c>
      <c r="K46" s="193">
        <f t="shared" si="0"/>
        <v>54</v>
      </c>
    </row>
    <row r="47" spans="1:11">
      <c r="A47" s="168">
        <v>46</v>
      </c>
      <c r="B47" s="169" t="s">
        <v>2171</v>
      </c>
      <c r="C47" s="169" t="s">
        <v>2246</v>
      </c>
      <c r="D47" s="169" t="s">
        <v>2239</v>
      </c>
      <c r="E47" s="170">
        <v>42766</v>
      </c>
      <c r="F47" s="170">
        <v>42820</v>
      </c>
      <c r="G47" s="168">
        <v>635</v>
      </c>
      <c r="H47" s="168">
        <v>86</v>
      </c>
      <c r="I47" s="168">
        <v>427</v>
      </c>
      <c r="J47" s="168">
        <v>102</v>
      </c>
      <c r="K47" s="193">
        <f t="shared" si="0"/>
        <v>54</v>
      </c>
    </row>
    <row r="48" spans="1:11">
      <c r="A48" s="121">
        <v>47</v>
      </c>
      <c r="B48" s="122" t="s">
        <v>2171</v>
      </c>
      <c r="C48" s="122" t="s">
        <v>2247</v>
      </c>
      <c r="D48" s="122" t="s">
        <v>2239</v>
      </c>
      <c r="E48" s="124">
        <v>42766</v>
      </c>
      <c r="F48" s="124">
        <v>42820</v>
      </c>
      <c r="G48" s="123">
        <v>539</v>
      </c>
      <c r="H48" s="123">
        <v>146</v>
      </c>
      <c r="I48" s="123">
        <v>512</v>
      </c>
      <c r="J48" s="123">
        <v>76</v>
      </c>
      <c r="K48" s="193">
        <f t="shared" si="0"/>
        <v>54</v>
      </c>
    </row>
    <row r="49" spans="1:11">
      <c r="A49" s="121">
        <v>48</v>
      </c>
      <c r="B49" s="122" t="s">
        <v>2171</v>
      </c>
      <c r="C49" s="122" t="s">
        <v>2249</v>
      </c>
      <c r="D49" s="122" t="s">
        <v>2239</v>
      </c>
      <c r="E49" s="124">
        <v>42766</v>
      </c>
      <c r="F49" s="124">
        <v>42820</v>
      </c>
      <c r="G49" s="123">
        <v>679</v>
      </c>
      <c r="H49" s="123">
        <v>72</v>
      </c>
      <c r="I49" s="123">
        <v>299</v>
      </c>
      <c r="J49" s="123">
        <v>107</v>
      </c>
      <c r="K49" s="193">
        <f t="shared" si="0"/>
        <v>54</v>
      </c>
    </row>
    <row r="50" spans="1:11">
      <c r="A50" s="121">
        <v>49</v>
      </c>
      <c r="B50" s="122" t="s">
        <v>2171</v>
      </c>
      <c r="C50" s="122" t="s">
        <v>2250</v>
      </c>
      <c r="D50" s="122" t="s">
        <v>2251</v>
      </c>
      <c r="E50" s="124">
        <v>42766</v>
      </c>
      <c r="F50" s="124">
        <v>42820</v>
      </c>
      <c r="G50" s="123">
        <v>346</v>
      </c>
      <c r="H50" s="123">
        <v>28</v>
      </c>
      <c r="I50" s="123">
        <v>739</v>
      </c>
      <c r="J50" s="123">
        <v>155</v>
      </c>
      <c r="K50" s="193">
        <f t="shared" si="0"/>
        <v>54</v>
      </c>
    </row>
    <row r="51" spans="1:11">
      <c r="A51" s="121">
        <v>50</v>
      </c>
      <c r="B51" s="122" t="s">
        <v>2171</v>
      </c>
      <c r="C51" s="122" t="s">
        <v>2252</v>
      </c>
      <c r="D51" s="122" t="s">
        <v>2251</v>
      </c>
      <c r="E51" s="124">
        <v>42766</v>
      </c>
      <c r="F51" s="124">
        <v>42820</v>
      </c>
      <c r="G51" s="123">
        <v>418</v>
      </c>
      <c r="H51" s="123">
        <v>5</v>
      </c>
      <c r="I51" s="123">
        <v>559</v>
      </c>
      <c r="J51" s="123">
        <v>98</v>
      </c>
      <c r="K51" s="193">
        <f t="shared" si="0"/>
        <v>54</v>
      </c>
    </row>
    <row r="52" spans="1:11">
      <c r="A52" s="121">
        <v>51</v>
      </c>
      <c r="B52" s="122" t="s">
        <v>2171</v>
      </c>
      <c r="C52" s="122" t="s">
        <v>2253</v>
      </c>
      <c r="D52" s="122" t="s">
        <v>2251</v>
      </c>
      <c r="E52" s="124">
        <v>42766</v>
      </c>
      <c r="F52" s="124">
        <v>42820</v>
      </c>
      <c r="G52" s="123">
        <v>548</v>
      </c>
      <c r="H52" s="123">
        <v>85</v>
      </c>
      <c r="I52" s="123">
        <v>856</v>
      </c>
      <c r="J52" s="123">
        <v>29</v>
      </c>
      <c r="K52" s="193">
        <f t="shared" si="0"/>
        <v>54</v>
      </c>
    </row>
    <row r="53" spans="1:11">
      <c r="A53" s="121">
        <v>52</v>
      </c>
      <c r="B53" s="122" t="s">
        <v>2171</v>
      </c>
      <c r="C53" s="122" t="s">
        <v>2254</v>
      </c>
      <c r="D53" s="122" t="s">
        <v>2251</v>
      </c>
      <c r="E53" s="124">
        <v>42766</v>
      </c>
      <c r="F53" s="124">
        <v>42820</v>
      </c>
      <c r="G53" s="123">
        <v>638</v>
      </c>
      <c r="H53" s="123">
        <v>513</v>
      </c>
      <c r="I53" s="123">
        <v>599</v>
      </c>
      <c r="J53" s="123">
        <v>312</v>
      </c>
      <c r="K53" s="193">
        <f t="shared" si="0"/>
        <v>54</v>
      </c>
    </row>
    <row r="54" spans="1:11">
      <c r="A54" s="168">
        <v>53</v>
      </c>
      <c r="B54" s="169" t="s">
        <v>2171</v>
      </c>
      <c r="C54" s="169" t="s">
        <v>2255</v>
      </c>
      <c r="D54" s="169" t="s">
        <v>2251</v>
      </c>
      <c r="E54" s="170">
        <v>42766</v>
      </c>
      <c r="F54" s="170">
        <v>42820</v>
      </c>
      <c r="G54" s="168">
        <v>426</v>
      </c>
      <c r="H54" s="168">
        <v>399</v>
      </c>
      <c r="I54" s="168">
        <v>683</v>
      </c>
      <c r="J54" s="168">
        <v>113</v>
      </c>
      <c r="K54" s="193">
        <f t="shared" si="0"/>
        <v>54</v>
      </c>
    </row>
    <row r="55" spans="1:11">
      <c r="A55" s="168">
        <v>54</v>
      </c>
      <c r="B55" s="169" t="s">
        <v>2171</v>
      </c>
      <c r="C55" s="169" t="s">
        <v>2256</v>
      </c>
      <c r="D55" s="169" t="s">
        <v>2251</v>
      </c>
      <c r="E55" s="170">
        <v>42766</v>
      </c>
      <c r="F55" s="170">
        <v>42820</v>
      </c>
      <c r="G55" s="168">
        <v>589</v>
      </c>
      <c r="H55" s="168">
        <v>400</v>
      </c>
      <c r="I55" s="168">
        <v>288</v>
      </c>
      <c r="J55" s="168">
        <v>441</v>
      </c>
      <c r="K55" s="193">
        <f t="shared" si="0"/>
        <v>54</v>
      </c>
    </row>
    <row r="56" spans="1:11">
      <c r="A56" s="121">
        <v>55</v>
      </c>
      <c r="B56" s="122" t="s">
        <v>2171</v>
      </c>
      <c r="C56" s="122" t="s">
        <v>2257</v>
      </c>
      <c r="D56" s="122" t="s">
        <v>2251</v>
      </c>
      <c r="E56" s="124">
        <v>42766</v>
      </c>
      <c r="F56" s="124">
        <v>42820</v>
      </c>
      <c r="G56" s="123">
        <v>622</v>
      </c>
      <c r="H56" s="113">
        <v>19</v>
      </c>
      <c r="I56" s="123">
        <v>616</v>
      </c>
      <c r="J56" s="164" t="s">
        <v>2484</v>
      </c>
      <c r="K56" s="193">
        <f t="shared" si="0"/>
        <v>54</v>
      </c>
    </row>
    <row r="57" spans="1:11">
      <c r="A57" s="121">
        <v>56</v>
      </c>
      <c r="B57" s="122" t="s">
        <v>2171</v>
      </c>
      <c r="C57" s="122" t="s">
        <v>2258</v>
      </c>
      <c r="D57" s="122" t="s">
        <v>2251</v>
      </c>
      <c r="E57" s="124">
        <v>42766</v>
      </c>
      <c r="F57" s="124">
        <v>42820</v>
      </c>
      <c r="G57" s="177">
        <v>538</v>
      </c>
      <c r="H57" s="123">
        <v>60</v>
      </c>
      <c r="I57" s="123">
        <v>557</v>
      </c>
      <c r="J57" s="123">
        <v>58</v>
      </c>
      <c r="K57" s="193">
        <f t="shared" si="0"/>
        <v>54</v>
      </c>
    </row>
    <row r="58" spans="1:11">
      <c r="A58" s="121">
        <v>57</v>
      </c>
      <c r="B58" s="122" t="s">
        <v>2171</v>
      </c>
      <c r="C58" s="131" t="s">
        <v>2259</v>
      </c>
      <c r="D58" s="122" t="s">
        <v>2260</v>
      </c>
      <c r="E58" s="124">
        <v>42766</v>
      </c>
      <c r="F58" s="124">
        <v>42820</v>
      </c>
      <c r="G58" s="164">
        <v>540</v>
      </c>
      <c r="H58" s="123">
        <v>161</v>
      </c>
      <c r="I58" s="123">
        <v>618</v>
      </c>
      <c r="J58" s="123">
        <v>435</v>
      </c>
      <c r="K58" s="193">
        <f t="shared" si="0"/>
        <v>54</v>
      </c>
    </row>
    <row r="59" spans="1:11">
      <c r="A59" s="121">
        <v>58</v>
      </c>
      <c r="B59" s="122" t="s">
        <v>2171</v>
      </c>
      <c r="C59" s="131" t="s">
        <v>2262</v>
      </c>
      <c r="D59" s="122" t="s">
        <v>2260</v>
      </c>
      <c r="E59" s="124">
        <v>42766</v>
      </c>
      <c r="F59" s="124">
        <v>42820</v>
      </c>
      <c r="G59" s="123">
        <v>513</v>
      </c>
      <c r="H59" s="123">
        <v>48</v>
      </c>
      <c r="I59" s="123">
        <v>593</v>
      </c>
      <c r="J59" s="123">
        <v>31</v>
      </c>
      <c r="K59" s="193">
        <f t="shared" si="0"/>
        <v>54</v>
      </c>
    </row>
    <row r="60" spans="1:11">
      <c r="A60" s="121">
        <v>59</v>
      </c>
      <c r="B60" s="122" t="s">
        <v>2171</v>
      </c>
      <c r="C60" s="131" t="s">
        <v>2263</v>
      </c>
      <c r="D60" s="122" t="s">
        <v>2260</v>
      </c>
      <c r="E60" s="124">
        <v>42766</v>
      </c>
      <c r="F60" s="124">
        <v>42820</v>
      </c>
      <c r="G60" s="123">
        <v>489</v>
      </c>
      <c r="H60" s="123">
        <v>23</v>
      </c>
      <c r="I60" s="123">
        <v>600</v>
      </c>
      <c r="J60" s="123">
        <v>120</v>
      </c>
      <c r="K60" s="193">
        <f t="shared" si="0"/>
        <v>54</v>
      </c>
    </row>
    <row r="61" spans="1:11">
      <c r="A61" s="121">
        <v>60</v>
      </c>
      <c r="B61" s="122" t="s">
        <v>2171</v>
      </c>
      <c r="C61" s="131" t="s">
        <v>2264</v>
      </c>
      <c r="D61" s="122" t="s">
        <v>2260</v>
      </c>
      <c r="E61" s="124">
        <v>42766</v>
      </c>
      <c r="F61" s="124">
        <v>42820</v>
      </c>
      <c r="G61" s="123">
        <v>633</v>
      </c>
      <c r="H61" s="123">
        <v>78</v>
      </c>
      <c r="I61" s="123">
        <v>535</v>
      </c>
      <c r="J61" s="123">
        <v>390</v>
      </c>
      <c r="K61" s="193">
        <f t="shared" si="0"/>
        <v>54</v>
      </c>
    </row>
    <row r="62" spans="1:11">
      <c r="A62" s="121">
        <v>61</v>
      </c>
      <c r="B62" s="122" t="s">
        <v>2171</v>
      </c>
      <c r="C62" s="131" t="s">
        <v>2266</v>
      </c>
      <c r="D62" s="122" t="s">
        <v>2260</v>
      </c>
      <c r="E62" s="124">
        <v>42766</v>
      </c>
      <c r="F62" s="124">
        <v>42820</v>
      </c>
      <c r="G62" s="123">
        <v>541</v>
      </c>
      <c r="H62" s="123">
        <v>42</v>
      </c>
      <c r="I62" s="123">
        <v>391</v>
      </c>
      <c r="J62" s="123">
        <v>143</v>
      </c>
      <c r="K62" s="193">
        <f t="shared" si="0"/>
        <v>54</v>
      </c>
    </row>
    <row r="63" spans="1:11">
      <c r="A63" s="121">
        <v>62</v>
      </c>
      <c r="B63" s="122" t="s">
        <v>2171</v>
      </c>
      <c r="C63" s="131" t="s">
        <v>2267</v>
      </c>
      <c r="D63" s="122" t="s">
        <v>2260</v>
      </c>
      <c r="E63" s="124">
        <v>42766</v>
      </c>
      <c r="F63" s="124">
        <v>42820</v>
      </c>
      <c r="G63" s="123">
        <v>565</v>
      </c>
      <c r="H63" s="123">
        <v>119</v>
      </c>
      <c r="I63" s="123">
        <v>445</v>
      </c>
      <c r="J63" s="123">
        <v>448</v>
      </c>
      <c r="K63" s="193">
        <f t="shared" si="0"/>
        <v>54</v>
      </c>
    </row>
    <row r="64" spans="1:11">
      <c r="A64" s="121">
        <v>63</v>
      </c>
      <c r="B64" s="122" t="s">
        <v>2171</v>
      </c>
      <c r="C64" s="131" t="s">
        <v>2269</v>
      </c>
      <c r="D64" s="122" t="s">
        <v>2260</v>
      </c>
      <c r="E64" s="124">
        <v>42766</v>
      </c>
      <c r="F64" s="124">
        <v>42820</v>
      </c>
      <c r="G64" s="123">
        <v>387</v>
      </c>
      <c r="H64" s="123">
        <v>185</v>
      </c>
      <c r="I64" s="123">
        <v>440</v>
      </c>
      <c r="J64" s="123">
        <v>423</v>
      </c>
      <c r="K64" s="193">
        <f t="shared" si="0"/>
        <v>54</v>
      </c>
    </row>
    <row r="65" spans="1:11">
      <c r="A65" s="121">
        <v>64</v>
      </c>
      <c r="B65" s="122" t="s">
        <v>2171</v>
      </c>
      <c r="C65" s="131" t="s">
        <v>2270</v>
      </c>
      <c r="D65" s="122" t="s">
        <v>2260</v>
      </c>
      <c r="E65" s="124">
        <v>42766</v>
      </c>
      <c r="F65" s="124">
        <v>42820</v>
      </c>
      <c r="G65" s="129">
        <v>554</v>
      </c>
      <c r="H65" s="123">
        <v>159</v>
      </c>
      <c r="I65" s="123">
        <v>673</v>
      </c>
      <c r="J65" s="129">
        <v>550</v>
      </c>
      <c r="K65" s="193">
        <f t="shared" si="0"/>
        <v>54</v>
      </c>
    </row>
    <row r="66" spans="1:11">
      <c r="A66" s="121">
        <v>65</v>
      </c>
      <c r="B66" s="122" t="s">
        <v>2271</v>
      </c>
      <c r="C66" s="122" t="s">
        <v>2272</v>
      </c>
      <c r="D66" s="122" t="s">
        <v>2273</v>
      </c>
      <c r="E66" s="124">
        <v>42767</v>
      </c>
      <c r="F66" s="124">
        <v>42818</v>
      </c>
      <c r="G66" s="123">
        <v>614</v>
      </c>
      <c r="H66" s="123">
        <v>525</v>
      </c>
      <c r="I66" s="123">
        <v>700</v>
      </c>
      <c r="J66" s="123">
        <v>333</v>
      </c>
      <c r="K66" s="193">
        <f t="shared" si="0"/>
        <v>51</v>
      </c>
    </row>
    <row r="67" spans="1:11">
      <c r="A67" s="121">
        <v>66</v>
      </c>
      <c r="B67" s="122" t="s">
        <v>2271</v>
      </c>
      <c r="C67" s="122" t="s">
        <v>2274</v>
      </c>
      <c r="D67" s="122" t="s">
        <v>2273</v>
      </c>
      <c r="E67" s="124">
        <v>42767</v>
      </c>
      <c r="F67" s="124">
        <v>42818</v>
      </c>
      <c r="G67" s="123">
        <v>282</v>
      </c>
      <c r="H67" s="123">
        <v>150</v>
      </c>
      <c r="I67" s="123">
        <v>760</v>
      </c>
      <c r="J67" s="123">
        <v>252</v>
      </c>
      <c r="K67" s="193">
        <f t="shared" ref="K67:K130" si="1">IFERROR(F67-E67,"")</f>
        <v>51</v>
      </c>
    </row>
    <row r="68" spans="1:11">
      <c r="A68" s="121">
        <v>67</v>
      </c>
      <c r="B68" s="122" t="s">
        <v>2271</v>
      </c>
      <c r="C68" s="122" t="s">
        <v>2275</v>
      </c>
      <c r="D68" s="122" t="s">
        <v>2273</v>
      </c>
      <c r="E68" s="124">
        <v>42767</v>
      </c>
      <c r="F68" s="124">
        <v>42818</v>
      </c>
      <c r="G68" s="123">
        <v>450</v>
      </c>
      <c r="H68" s="123">
        <v>165</v>
      </c>
      <c r="I68" s="123">
        <v>660</v>
      </c>
      <c r="J68" s="123">
        <v>44</v>
      </c>
      <c r="K68" s="193">
        <f t="shared" si="1"/>
        <v>51</v>
      </c>
    </row>
    <row r="69" spans="1:11">
      <c r="A69" s="121">
        <v>68</v>
      </c>
      <c r="B69" s="122" t="s">
        <v>2271</v>
      </c>
      <c r="C69" s="122" t="s">
        <v>2276</v>
      </c>
      <c r="D69" s="122" t="s">
        <v>2273</v>
      </c>
      <c r="E69" s="124">
        <v>42767</v>
      </c>
      <c r="F69" s="124">
        <v>42818</v>
      </c>
      <c r="G69" s="123">
        <v>269</v>
      </c>
      <c r="H69" s="123">
        <v>129</v>
      </c>
      <c r="I69" s="123">
        <v>477</v>
      </c>
      <c r="J69" s="123">
        <v>9</v>
      </c>
      <c r="K69" s="193">
        <f t="shared" si="1"/>
        <v>51</v>
      </c>
    </row>
    <row r="70" spans="1:11">
      <c r="A70" s="121">
        <v>69</v>
      </c>
      <c r="B70" s="122" t="s">
        <v>2271</v>
      </c>
      <c r="C70" s="122" t="s">
        <v>2277</v>
      </c>
      <c r="D70" s="122" t="s">
        <v>2273</v>
      </c>
      <c r="E70" s="124">
        <v>42767</v>
      </c>
      <c r="F70" s="124">
        <v>42818</v>
      </c>
      <c r="G70" s="123">
        <v>448</v>
      </c>
      <c r="H70" s="123">
        <v>414</v>
      </c>
      <c r="I70" s="123">
        <v>386</v>
      </c>
      <c r="J70" s="123">
        <v>251</v>
      </c>
      <c r="K70" s="193">
        <f t="shared" si="1"/>
        <v>51</v>
      </c>
    </row>
    <row r="71" spans="1:11">
      <c r="A71" s="121">
        <v>70</v>
      </c>
      <c r="B71" s="122" t="s">
        <v>2271</v>
      </c>
      <c r="C71" s="122" t="s">
        <v>2278</v>
      </c>
      <c r="D71" s="122" t="s">
        <v>2273</v>
      </c>
      <c r="E71" s="124">
        <v>42767</v>
      </c>
      <c r="F71" s="124">
        <v>42818</v>
      </c>
      <c r="G71" s="177">
        <v>358</v>
      </c>
      <c r="H71" s="123">
        <v>151</v>
      </c>
      <c r="I71" s="129">
        <v>414</v>
      </c>
      <c r="J71" s="123">
        <v>266</v>
      </c>
      <c r="K71" s="193">
        <f t="shared" si="1"/>
        <v>51</v>
      </c>
    </row>
    <row r="72" spans="1:11">
      <c r="A72" s="121">
        <v>71</v>
      </c>
      <c r="B72" s="122" t="s">
        <v>2271</v>
      </c>
      <c r="C72" s="122" t="s">
        <v>2279</v>
      </c>
      <c r="D72" s="122" t="s">
        <v>2273</v>
      </c>
      <c r="E72" s="124">
        <v>42767</v>
      </c>
      <c r="F72" s="124">
        <v>42818</v>
      </c>
      <c r="G72" s="123">
        <v>511</v>
      </c>
      <c r="H72" s="123">
        <v>95</v>
      </c>
      <c r="I72" s="123">
        <v>459</v>
      </c>
      <c r="J72" s="123">
        <v>528</v>
      </c>
      <c r="K72" s="193">
        <f t="shared" si="1"/>
        <v>51</v>
      </c>
    </row>
    <row r="73" spans="1:11">
      <c r="A73" s="121">
        <v>72</v>
      </c>
      <c r="B73" s="122" t="s">
        <v>2271</v>
      </c>
      <c r="C73" s="122" t="s">
        <v>2280</v>
      </c>
      <c r="D73" s="122" t="s">
        <v>2273</v>
      </c>
      <c r="E73" s="124">
        <v>42767</v>
      </c>
      <c r="F73" s="124">
        <v>42818</v>
      </c>
      <c r="G73" s="123">
        <v>383</v>
      </c>
      <c r="H73" s="123">
        <v>546</v>
      </c>
      <c r="I73" s="123">
        <v>627</v>
      </c>
      <c r="J73" s="177">
        <v>14</v>
      </c>
      <c r="K73" s="193">
        <f t="shared" si="1"/>
        <v>51</v>
      </c>
    </row>
    <row r="74" spans="1:11">
      <c r="A74" s="121">
        <v>73</v>
      </c>
      <c r="B74" s="122" t="s">
        <v>2271</v>
      </c>
      <c r="C74" s="122" t="s">
        <v>2281</v>
      </c>
      <c r="D74" s="122" t="s">
        <v>2282</v>
      </c>
      <c r="E74" s="124">
        <v>42767</v>
      </c>
      <c r="F74" s="124">
        <v>42818</v>
      </c>
      <c r="G74" s="123">
        <v>549</v>
      </c>
      <c r="H74" s="123">
        <v>438</v>
      </c>
      <c r="I74" s="123">
        <v>498</v>
      </c>
      <c r="J74" s="123">
        <v>393</v>
      </c>
      <c r="K74" s="193">
        <f t="shared" si="1"/>
        <v>51</v>
      </c>
    </row>
    <row r="75" spans="1:11">
      <c r="A75" s="121">
        <v>74</v>
      </c>
      <c r="B75" s="122" t="s">
        <v>2271</v>
      </c>
      <c r="C75" s="122" t="s">
        <v>2283</v>
      </c>
      <c r="D75" s="122" t="s">
        <v>2282</v>
      </c>
      <c r="E75" s="124">
        <v>42767</v>
      </c>
      <c r="F75" s="124">
        <v>42818</v>
      </c>
      <c r="G75" s="123">
        <v>605</v>
      </c>
      <c r="H75" s="123">
        <v>122</v>
      </c>
      <c r="I75" s="123">
        <v>579</v>
      </c>
      <c r="J75" s="123">
        <v>138</v>
      </c>
      <c r="K75" s="193">
        <f t="shared" si="1"/>
        <v>51</v>
      </c>
    </row>
    <row r="76" spans="1:11">
      <c r="A76" s="121">
        <v>75</v>
      </c>
      <c r="B76" s="122" t="s">
        <v>2271</v>
      </c>
      <c r="C76" s="122" t="s">
        <v>2284</v>
      </c>
      <c r="D76" s="122" t="s">
        <v>2282</v>
      </c>
      <c r="E76" s="124">
        <v>42767</v>
      </c>
      <c r="F76" s="124">
        <v>42818</v>
      </c>
      <c r="G76" s="123">
        <v>408</v>
      </c>
      <c r="H76" s="123">
        <v>404</v>
      </c>
      <c r="I76" s="123">
        <v>373</v>
      </c>
      <c r="J76">
        <v>311</v>
      </c>
      <c r="K76" s="193">
        <f t="shared" si="1"/>
        <v>51</v>
      </c>
    </row>
    <row r="77" spans="1:11">
      <c r="A77" s="121">
        <v>76</v>
      </c>
      <c r="B77" s="122" t="s">
        <v>2271</v>
      </c>
      <c r="C77" s="122" t="s">
        <v>2285</v>
      </c>
      <c r="D77" s="122" t="s">
        <v>2282</v>
      </c>
      <c r="E77" s="124">
        <v>42767</v>
      </c>
      <c r="F77" s="124">
        <v>42818</v>
      </c>
      <c r="G77">
        <v>416</v>
      </c>
      <c r="H77" s="123">
        <v>501</v>
      </c>
      <c r="I77" s="123">
        <v>603</v>
      </c>
      <c r="J77" s="123">
        <v>183</v>
      </c>
      <c r="K77" s="193">
        <f t="shared" si="1"/>
        <v>51</v>
      </c>
    </row>
    <row r="78" spans="1:11">
      <c r="A78" s="121">
        <v>77</v>
      </c>
      <c r="B78" s="122" t="s">
        <v>2271</v>
      </c>
      <c r="C78" s="122" t="s">
        <v>2286</v>
      </c>
      <c r="D78" s="122" t="s">
        <v>2282</v>
      </c>
      <c r="E78" s="124">
        <v>42767</v>
      </c>
      <c r="F78" s="124">
        <v>42818</v>
      </c>
      <c r="G78">
        <v>594</v>
      </c>
      <c r="H78" s="123">
        <v>137</v>
      </c>
      <c r="I78" s="123">
        <v>509</v>
      </c>
      <c r="J78" s="123">
        <v>228</v>
      </c>
      <c r="K78" s="193">
        <f t="shared" si="1"/>
        <v>51</v>
      </c>
    </row>
    <row r="79" spans="1:11">
      <c r="A79" s="121">
        <v>78</v>
      </c>
      <c r="B79" s="122" t="s">
        <v>2271</v>
      </c>
      <c r="C79" s="122" t="s">
        <v>2287</v>
      </c>
      <c r="D79" s="122" t="s">
        <v>2282</v>
      </c>
      <c r="E79" s="124">
        <v>42767</v>
      </c>
      <c r="F79" s="124">
        <v>42818</v>
      </c>
      <c r="G79" s="123">
        <v>460</v>
      </c>
      <c r="H79" s="123">
        <v>278</v>
      </c>
      <c r="I79" s="123">
        <v>446</v>
      </c>
      <c r="J79" s="123">
        <v>100</v>
      </c>
      <c r="K79" s="193">
        <f t="shared" si="1"/>
        <v>51</v>
      </c>
    </row>
    <row r="80" spans="1:11">
      <c r="A80" s="121">
        <v>79</v>
      </c>
      <c r="B80" s="122" t="s">
        <v>2271</v>
      </c>
      <c r="C80" s="122" t="s">
        <v>2288</v>
      </c>
      <c r="D80" s="122" t="s">
        <v>2282</v>
      </c>
      <c r="E80" s="124">
        <v>42767</v>
      </c>
      <c r="F80" s="124">
        <v>42818</v>
      </c>
      <c r="G80" s="123">
        <v>217</v>
      </c>
      <c r="H80" s="123">
        <v>235</v>
      </c>
      <c r="I80" s="123">
        <v>249</v>
      </c>
      <c r="J80" s="123">
        <v>56</v>
      </c>
      <c r="K80" s="193">
        <f t="shared" si="1"/>
        <v>51</v>
      </c>
    </row>
    <row r="81" spans="1:11">
      <c r="A81" s="121">
        <v>80</v>
      </c>
      <c r="B81" s="122" t="s">
        <v>2271</v>
      </c>
      <c r="C81" s="122" t="s">
        <v>2289</v>
      </c>
      <c r="D81" s="122" t="s">
        <v>2282</v>
      </c>
      <c r="E81" s="124">
        <v>42767</v>
      </c>
      <c r="F81" s="124">
        <v>42818</v>
      </c>
      <c r="G81" s="123">
        <v>607</v>
      </c>
      <c r="H81" s="123">
        <v>181</v>
      </c>
      <c r="I81" s="123">
        <v>474</v>
      </c>
      <c r="J81" s="132">
        <v>68</v>
      </c>
      <c r="K81" s="193">
        <f t="shared" si="1"/>
        <v>51</v>
      </c>
    </row>
    <row r="82" spans="1:11">
      <c r="A82" s="121">
        <v>81</v>
      </c>
      <c r="B82" s="122" t="s">
        <v>2271</v>
      </c>
      <c r="C82" s="122" t="s">
        <v>2290</v>
      </c>
      <c r="D82" s="122" t="s">
        <v>2291</v>
      </c>
      <c r="E82" s="124">
        <v>42767</v>
      </c>
      <c r="F82" s="124">
        <v>42818</v>
      </c>
      <c r="G82" s="123">
        <v>542</v>
      </c>
      <c r="H82" s="123">
        <v>187</v>
      </c>
      <c r="I82" s="123">
        <v>475</v>
      </c>
      <c r="J82" s="123">
        <v>293</v>
      </c>
      <c r="K82" s="193">
        <f t="shared" si="1"/>
        <v>51</v>
      </c>
    </row>
    <row r="83" spans="1:11">
      <c r="A83" s="121">
        <v>82</v>
      </c>
      <c r="B83" s="122" t="s">
        <v>2292</v>
      </c>
      <c r="C83" s="122" t="s">
        <v>2293</v>
      </c>
      <c r="D83" s="122" t="s">
        <v>2291</v>
      </c>
      <c r="E83" s="124">
        <v>42767</v>
      </c>
      <c r="F83" s="124">
        <v>42819</v>
      </c>
      <c r="G83" s="123">
        <v>536</v>
      </c>
      <c r="H83" s="123">
        <v>83</v>
      </c>
      <c r="I83" s="123">
        <v>840</v>
      </c>
      <c r="J83" s="123">
        <v>368</v>
      </c>
      <c r="K83" s="193">
        <f t="shared" si="1"/>
        <v>52</v>
      </c>
    </row>
    <row r="84" spans="1:11">
      <c r="A84" s="121">
        <v>83</v>
      </c>
      <c r="B84" s="122" t="s">
        <v>2292</v>
      </c>
      <c r="C84" s="122" t="s">
        <v>2294</v>
      </c>
      <c r="D84" s="122" t="s">
        <v>2291</v>
      </c>
      <c r="E84" s="124">
        <v>42767</v>
      </c>
      <c r="F84" s="124">
        <v>42819</v>
      </c>
      <c r="G84" s="123">
        <v>494</v>
      </c>
      <c r="H84" s="123">
        <v>134</v>
      </c>
      <c r="I84" s="123">
        <v>298</v>
      </c>
      <c r="J84" s="123">
        <v>22</v>
      </c>
      <c r="K84" s="193">
        <f t="shared" si="1"/>
        <v>52</v>
      </c>
    </row>
    <row r="85" spans="1:11">
      <c r="A85" s="121">
        <v>84</v>
      </c>
      <c r="B85" s="122" t="s">
        <v>2292</v>
      </c>
      <c r="C85" s="122" t="s">
        <v>2295</v>
      </c>
      <c r="D85" s="122" t="s">
        <v>2291</v>
      </c>
      <c r="E85" s="124">
        <v>42767</v>
      </c>
      <c r="F85" s="124">
        <v>42819</v>
      </c>
      <c r="G85" s="132">
        <v>291</v>
      </c>
      <c r="H85" s="123">
        <v>49</v>
      </c>
      <c r="I85" s="123">
        <v>520</v>
      </c>
      <c r="J85" s="123">
        <v>417</v>
      </c>
      <c r="K85" s="193">
        <f t="shared" si="1"/>
        <v>52</v>
      </c>
    </row>
    <row r="86" spans="1:11">
      <c r="A86" s="121">
        <v>85</v>
      </c>
      <c r="B86" s="122" t="s">
        <v>2292</v>
      </c>
      <c r="C86" s="122" t="s">
        <v>2296</v>
      </c>
      <c r="D86" s="122" t="s">
        <v>2291</v>
      </c>
      <c r="E86" s="124">
        <v>42767</v>
      </c>
      <c r="F86" s="124">
        <v>42819</v>
      </c>
      <c r="G86" s="123">
        <v>308</v>
      </c>
      <c r="H86" s="123">
        <v>315</v>
      </c>
      <c r="I86" s="123">
        <v>441</v>
      </c>
      <c r="J86" s="123">
        <v>391</v>
      </c>
      <c r="K86" s="193">
        <f t="shared" si="1"/>
        <v>52</v>
      </c>
    </row>
    <row r="87" spans="1:11">
      <c r="A87" s="121">
        <v>86</v>
      </c>
      <c r="B87" s="122" t="s">
        <v>2292</v>
      </c>
      <c r="C87" s="122" t="s">
        <v>2297</v>
      </c>
      <c r="D87" s="122" t="s">
        <v>2291</v>
      </c>
      <c r="E87" s="124">
        <v>42767</v>
      </c>
      <c r="F87" s="124">
        <v>42819</v>
      </c>
      <c r="G87" s="123">
        <v>723</v>
      </c>
      <c r="H87" s="123">
        <v>1</v>
      </c>
      <c r="I87" s="123">
        <v>561</v>
      </c>
      <c r="J87" s="123">
        <v>62</v>
      </c>
      <c r="K87" s="193">
        <f t="shared" si="1"/>
        <v>52</v>
      </c>
    </row>
    <row r="88" spans="1:11">
      <c r="A88" s="121">
        <v>87</v>
      </c>
      <c r="B88" s="122" t="s">
        <v>2292</v>
      </c>
      <c r="C88" s="122" t="s">
        <v>2298</v>
      </c>
      <c r="D88" s="122" t="s">
        <v>2291</v>
      </c>
      <c r="E88" s="124">
        <v>42767</v>
      </c>
      <c r="F88" s="124">
        <v>42819</v>
      </c>
      <c r="G88" s="123">
        <v>628</v>
      </c>
      <c r="H88" s="123">
        <v>408</v>
      </c>
      <c r="I88" s="123">
        <v>632</v>
      </c>
      <c r="J88" s="123">
        <v>329</v>
      </c>
      <c r="K88" s="193">
        <f t="shared" si="1"/>
        <v>52</v>
      </c>
    </row>
    <row r="89" spans="1:11">
      <c r="A89" s="168">
        <v>88</v>
      </c>
      <c r="B89" s="169" t="s">
        <v>2292</v>
      </c>
      <c r="C89" s="169" t="s">
        <v>2299</v>
      </c>
      <c r="D89" s="169" t="s">
        <v>2291</v>
      </c>
      <c r="E89" s="170">
        <v>42767</v>
      </c>
      <c r="F89" s="168" t="s">
        <v>2055</v>
      </c>
      <c r="G89" s="168">
        <v>569</v>
      </c>
      <c r="H89" s="168">
        <v>385</v>
      </c>
      <c r="I89" s="168">
        <v>611</v>
      </c>
      <c r="J89" s="168">
        <v>288</v>
      </c>
      <c r="K89" s="193" t="str">
        <f t="shared" si="1"/>
        <v/>
      </c>
    </row>
    <row r="90" spans="1:11">
      <c r="A90" s="121">
        <v>89</v>
      </c>
      <c r="B90" s="122" t="s">
        <v>2292</v>
      </c>
      <c r="C90" s="122" t="s">
        <v>2300</v>
      </c>
      <c r="D90" s="122" t="s">
        <v>2301</v>
      </c>
      <c r="E90" s="124">
        <v>42767</v>
      </c>
      <c r="F90" s="124">
        <v>42819</v>
      </c>
      <c r="G90" s="123">
        <v>339</v>
      </c>
      <c r="H90" s="123">
        <v>196</v>
      </c>
      <c r="I90" s="123">
        <v>469</v>
      </c>
      <c r="J90" s="123">
        <v>171</v>
      </c>
      <c r="K90" s="193">
        <f t="shared" si="1"/>
        <v>52</v>
      </c>
    </row>
    <row r="91" spans="1:11">
      <c r="A91" s="121">
        <v>90</v>
      </c>
      <c r="B91" s="122" t="s">
        <v>2292</v>
      </c>
      <c r="C91" s="122" t="s">
        <v>2302</v>
      </c>
      <c r="D91" s="122" t="s">
        <v>2301</v>
      </c>
      <c r="E91" s="124">
        <v>42767</v>
      </c>
      <c r="F91" s="124">
        <v>42819</v>
      </c>
      <c r="G91" s="123">
        <v>592</v>
      </c>
      <c r="H91" s="123">
        <v>94</v>
      </c>
      <c r="I91" s="123">
        <v>355</v>
      </c>
      <c r="J91">
        <v>517</v>
      </c>
      <c r="K91" s="193">
        <f t="shared" si="1"/>
        <v>52</v>
      </c>
    </row>
    <row r="92" spans="1:11">
      <c r="A92" s="121">
        <v>91</v>
      </c>
      <c r="B92" s="122" t="s">
        <v>2292</v>
      </c>
      <c r="C92" s="122" t="s">
        <v>2303</v>
      </c>
      <c r="D92" s="122" t="s">
        <v>2301</v>
      </c>
      <c r="E92" s="124">
        <v>42767</v>
      </c>
      <c r="F92" s="124">
        <v>42819</v>
      </c>
      <c r="G92">
        <v>472</v>
      </c>
      <c r="H92" s="123">
        <v>343</v>
      </c>
      <c r="I92" s="123">
        <v>547</v>
      </c>
      <c r="J92" s="123">
        <v>73</v>
      </c>
      <c r="K92" s="193">
        <f t="shared" si="1"/>
        <v>52</v>
      </c>
    </row>
    <row r="93" spans="1:11">
      <c r="A93" s="121">
        <v>92</v>
      </c>
      <c r="B93" s="122" t="s">
        <v>2292</v>
      </c>
      <c r="C93" s="122" t="s">
        <v>2304</v>
      </c>
      <c r="D93" s="122" t="s">
        <v>2301</v>
      </c>
      <c r="E93" s="124">
        <v>42767</v>
      </c>
      <c r="F93" s="124">
        <v>42819</v>
      </c>
      <c r="G93" s="123">
        <v>529</v>
      </c>
      <c r="H93" s="123">
        <v>445</v>
      </c>
      <c r="I93" s="123">
        <v>763</v>
      </c>
      <c r="J93" s="132">
        <v>4</v>
      </c>
      <c r="K93" s="193">
        <f t="shared" si="1"/>
        <v>52</v>
      </c>
    </row>
    <row r="94" spans="1:11">
      <c r="A94" s="121">
        <v>93</v>
      </c>
      <c r="B94" s="122" t="s">
        <v>2292</v>
      </c>
      <c r="C94" s="122" t="s">
        <v>2305</v>
      </c>
      <c r="D94" s="122" t="s">
        <v>2301</v>
      </c>
      <c r="E94" s="124">
        <v>42767</v>
      </c>
      <c r="F94" s="124">
        <v>42819</v>
      </c>
      <c r="G94" s="123">
        <v>636</v>
      </c>
      <c r="H94" s="123">
        <v>12</v>
      </c>
      <c r="I94" s="123">
        <v>424</v>
      </c>
      <c r="J94" s="123">
        <v>136</v>
      </c>
      <c r="K94" s="193">
        <f t="shared" si="1"/>
        <v>52</v>
      </c>
    </row>
    <row r="95" spans="1:11">
      <c r="A95" s="168">
        <v>94</v>
      </c>
      <c r="B95" s="169" t="s">
        <v>2292</v>
      </c>
      <c r="C95" s="169" t="s">
        <v>2306</v>
      </c>
      <c r="D95" s="169" t="s">
        <v>2301</v>
      </c>
      <c r="E95" s="170">
        <v>42767</v>
      </c>
      <c r="F95" s="170" t="s">
        <v>2055</v>
      </c>
      <c r="G95" s="168">
        <v>534</v>
      </c>
      <c r="H95" s="168">
        <v>244</v>
      </c>
      <c r="I95" s="168">
        <v>588</v>
      </c>
      <c r="J95" s="168">
        <v>358</v>
      </c>
      <c r="K95" s="193" t="str">
        <f t="shared" si="1"/>
        <v/>
      </c>
    </row>
    <row r="96" spans="1:11">
      <c r="A96" s="121">
        <v>95</v>
      </c>
      <c r="B96" s="122" t="s">
        <v>2292</v>
      </c>
      <c r="C96" s="122" t="s">
        <v>2307</v>
      </c>
      <c r="D96" s="122" t="s">
        <v>2301</v>
      </c>
      <c r="E96" s="124">
        <v>42767</v>
      </c>
      <c r="F96" s="124">
        <v>42819</v>
      </c>
      <c r="G96" s="123">
        <v>641</v>
      </c>
      <c r="H96" s="123">
        <v>360</v>
      </c>
      <c r="I96" s="123">
        <v>486</v>
      </c>
      <c r="J96" s="123">
        <v>547</v>
      </c>
      <c r="K96" s="193">
        <f t="shared" si="1"/>
        <v>52</v>
      </c>
    </row>
    <row r="97" spans="1:11">
      <c r="A97" s="121">
        <v>96</v>
      </c>
      <c r="B97" s="122" t="s">
        <v>2292</v>
      </c>
      <c r="C97" s="122" t="s">
        <v>2308</v>
      </c>
      <c r="D97" s="122" t="s">
        <v>2301</v>
      </c>
      <c r="E97" s="124">
        <v>42767</v>
      </c>
      <c r="F97" s="124">
        <v>42819</v>
      </c>
      <c r="G97" s="123">
        <v>479</v>
      </c>
      <c r="H97" s="123">
        <v>318</v>
      </c>
      <c r="I97" s="123">
        <v>545</v>
      </c>
      <c r="J97" s="123">
        <v>588</v>
      </c>
      <c r="K97" s="193">
        <f t="shared" si="1"/>
        <v>52</v>
      </c>
    </row>
    <row r="98" spans="1:11">
      <c r="A98" s="121">
        <v>97</v>
      </c>
      <c r="B98" s="122" t="s">
        <v>2309</v>
      </c>
      <c r="C98" s="122" t="s">
        <v>2310</v>
      </c>
      <c r="D98" s="122" t="s">
        <v>2173</v>
      </c>
      <c r="E98" s="124">
        <v>42762</v>
      </c>
      <c r="F98" s="124">
        <v>42816</v>
      </c>
      <c r="G98" s="123">
        <v>741</v>
      </c>
      <c r="H98" s="123">
        <v>518</v>
      </c>
      <c r="I98" s="123">
        <v>847</v>
      </c>
      <c r="J98" s="123">
        <v>576</v>
      </c>
      <c r="K98" s="193">
        <f t="shared" si="1"/>
        <v>54</v>
      </c>
    </row>
    <row r="99" spans="1:11">
      <c r="A99" s="121">
        <v>98</v>
      </c>
      <c r="B99" s="122" t="s">
        <v>2309</v>
      </c>
      <c r="C99" s="122" t="s">
        <v>2311</v>
      </c>
      <c r="D99" s="122" t="s">
        <v>2173</v>
      </c>
      <c r="E99" s="124">
        <v>42762</v>
      </c>
      <c r="F99" s="124">
        <v>42816</v>
      </c>
      <c r="G99" s="123">
        <v>610</v>
      </c>
      <c r="H99" s="123">
        <v>489</v>
      </c>
      <c r="I99" s="123">
        <v>730</v>
      </c>
      <c r="J99" s="123">
        <v>561</v>
      </c>
      <c r="K99" s="193">
        <f t="shared" si="1"/>
        <v>54</v>
      </c>
    </row>
    <row r="100" spans="1:11">
      <c r="A100" s="121">
        <v>99</v>
      </c>
      <c r="B100" s="122" t="s">
        <v>2309</v>
      </c>
      <c r="C100" s="122" t="s">
        <v>2312</v>
      </c>
      <c r="D100" s="122" t="s">
        <v>2173</v>
      </c>
      <c r="E100" s="124">
        <v>42762</v>
      </c>
      <c r="F100" s="124">
        <v>42816</v>
      </c>
      <c r="G100" s="123">
        <v>765</v>
      </c>
      <c r="H100" s="123">
        <v>549</v>
      </c>
      <c r="I100" s="123">
        <v>691</v>
      </c>
      <c r="J100" s="123">
        <v>496</v>
      </c>
      <c r="K100" s="193">
        <f t="shared" si="1"/>
        <v>54</v>
      </c>
    </row>
    <row r="101" spans="1:11">
      <c r="A101" s="121">
        <v>100</v>
      </c>
      <c r="B101" s="122" t="s">
        <v>2309</v>
      </c>
      <c r="C101" s="122" t="s">
        <v>2313</v>
      </c>
      <c r="D101" s="122" t="s">
        <v>2173</v>
      </c>
      <c r="E101" s="124">
        <v>42762</v>
      </c>
      <c r="F101" s="124">
        <v>42816</v>
      </c>
      <c r="G101" s="123">
        <v>728</v>
      </c>
      <c r="H101" s="123">
        <v>500</v>
      </c>
      <c r="I101" s="123">
        <v>828</v>
      </c>
      <c r="J101" s="123">
        <v>497</v>
      </c>
      <c r="K101" s="193">
        <f t="shared" si="1"/>
        <v>54</v>
      </c>
    </row>
    <row r="102" spans="1:11">
      <c r="A102" s="121">
        <v>101</v>
      </c>
      <c r="B102" s="122" t="s">
        <v>2309</v>
      </c>
      <c r="C102" s="122" t="s">
        <v>2315</v>
      </c>
      <c r="D102" s="122" t="s">
        <v>2173</v>
      </c>
      <c r="E102" s="124">
        <v>42762</v>
      </c>
      <c r="F102" s="124">
        <v>42816</v>
      </c>
      <c r="G102" s="123">
        <v>808</v>
      </c>
      <c r="H102" s="123">
        <v>482</v>
      </c>
      <c r="I102" s="123">
        <v>875</v>
      </c>
      <c r="J102" s="123">
        <v>10</v>
      </c>
      <c r="K102" s="193">
        <f t="shared" si="1"/>
        <v>54</v>
      </c>
    </row>
    <row r="103" spans="1:11">
      <c r="A103" s="121">
        <v>102</v>
      </c>
      <c r="B103" s="122" t="s">
        <v>2309</v>
      </c>
      <c r="C103" s="122" t="s">
        <v>2316</v>
      </c>
      <c r="D103" s="122" t="s">
        <v>2173</v>
      </c>
      <c r="E103" s="124">
        <v>42762</v>
      </c>
      <c r="F103" s="124">
        <v>42816</v>
      </c>
      <c r="G103" s="123">
        <v>892</v>
      </c>
      <c r="H103" s="123">
        <v>569</v>
      </c>
      <c r="I103" s="123">
        <v>824</v>
      </c>
      <c r="J103" s="123">
        <v>26</v>
      </c>
      <c r="K103" s="193">
        <f t="shared" si="1"/>
        <v>54</v>
      </c>
    </row>
    <row r="104" spans="1:11">
      <c r="A104" s="121">
        <v>103</v>
      </c>
      <c r="B104" s="122" t="s">
        <v>2309</v>
      </c>
      <c r="C104" s="122" t="s">
        <v>2317</v>
      </c>
      <c r="D104" s="122" t="s">
        <v>2173</v>
      </c>
      <c r="E104" s="124">
        <v>42762</v>
      </c>
      <c r="F104" s="124">
        <v>42816</v>
      </c>
      <c r="G104" s="123">
        <v>869</v>
      </c>
      <c r="H104" s="123">
        <v>430</v>
      </c>
      <c r="I104" s="123">
        <v>692</v>
      </c>
      <c r="J104" s="123">
        <v>494</v>
      </c>
      <c r="K104" s="193">
        <f t="shared" si="1"/>
        <v>54</v>
      </c>
    </row>
    <row r="105" spans="1:11">
      <c r="A105" s="121">
        <v>104</v>
      </c>
      <c r="B105" s="122" t="s">
        <v>2309</v>
      </c>
      <c r="C105" s="122" t="s">
        <v>2318</v>
      </c>
      <c r="D105" s="122" t="s">
        <v>2173</v>
      </c>
      <c r="E105" s="124">
        <v>42762</v>
      </c>
      <c r="F105" s="124">
        <v>42816</v>
      </c>
      <c r="G105" s="123">
        <v>881</v>
      </c>
      <c r="H105" s="123">
        <v>577</v>
      </c>
      <c r="I105" s="123">
        <v>806</v>
      </c>
      <c r="J105" s="123">
        <v>475</v>
      </c>
      <c r="K105" s="193">
        <f t="shared" si="1"/>
        <v>54</v>
      </c>
    </row>
    <row r="106" spans="1:11">
      <c r="A106" s="121">
        <v>105</v>
      </c>
      <c r="B106" s="122" t="s">
        <v>2309</v>
      </c>
      <c r="C106" s="122" t="s">
        <v>2319</v>
      </c>
      <c r="D106" s="122" t="s">
        <v>2189</v>
      </c>
      <c r="E106" s="124">
        <v>42762</v>
      </c>
      <c r="F106" s="124">
        <v>42816</v>
      </c>
      <c r="G106" s="123">
        <v>729</v>
      </c>
      <c r="H106" s="123">
        <v>548</v>
      </c>
      <c r="I106" s="123">
        <v>861</v>
      </c>
      <c r="J106">
        <v>540</v>
      </c>
      <c r="K106" s="193">
        <f t="shared" si="1"/>
        <v>54</v>
      </c>
    </row>
    <row r="107" spans="1:11">
      <c r="A107" s="121">
        <v>106</v>
      </c>
      <c r="B107" s="122" t="s">
        <v>2309</v>
      </c>
      <c r="C107" s="122" t="s">
        <v>2320</v>
      </c>
      <c r="D107" s="122" t="s">
        <v>2189</v>
      </c>
      <c r="E107" s="124">
        <v>42762</v>
      </c>
      <c r="F107" s="124">
        <v>42816</v>
      </c>
      <c r="G107" s="123">
        <v>837</v>
      </c>
      <c r="H107" s="123">
        <v>590</v>
      </c>
      <c r="I107" s="123">
        <v>738</v>
      </c>
      <c r="J107" s="123">
        <v>593</v>
      </c>
      <c r="K107" s="193">
        <f t="shared" si="1"/>
        <v>54</v>
      </c>
    </row>
    <row r="108" spans="1:11">
      <c r="A108" s="121">
        <v>107</v>
      </c>
      <c r="B108" s="122" t="s">
        <v>2309</v>
      </c>
      <c r="C108" s="122" t="s">
        <v>2321</v>
      </c>
      <c r="D108" s="122" t="s">
        <v>2189</v>
      </c>
      <c r="E108" s="124">
        <v>42762</v>
      </c>
      <c r="F108" s="124">
        <v>42816</v>
      </c>
      <c r="G108" s="123">
        <v>688</v>
      </c>
      <c r="H108" s="123">
        <v>574</v>
      </c>
      <c r="I108" s="123">
        <v>676</v>
      </c>
      <c r="J108" s="123">
        <v>510</v>
      </c>
      <c r="K108" s="193">
        <f t="shared" si="1"/>
        <v>54</v>
      </c>
    </row>
    <row r="109" spans="1:11">
      <c r="A109" s="121">
        <v>108</v>
      </c>
      <c r="B109" s="122" t="s">
        <v>2309</v>
      </c>
      <c r="C109" s="122" t="s">
        <v>2322</v>
      </c>
      <c r="D109" s="122" t="s">
        <v>2189</v>
      </c>
      <c r="E109" s="124">
        <v>42762</v>
      </c>
      <c r="F109" s="124">
        <v>42816</v>
      </c>
      <c r="G109" s="123">
        <v>883</v>
      </c>
      <c r="H109" s="123">
        <v>8</v>
      </c>
      <c r="I109" s="123">
        <v>845</v>
      </c>
      <c r="J109" s="123">
        <v>509</v>
      </c>
      <c r="K109" s="193">
        <f t="shared" si="1"/>
        <v>54</v>
      </c>
    </row>
    <row r="110" spans="1:11">
      <c r="A110" s="121">
        <v>109</v>
      </c>
      <c r="B110" s="122" t="s">
        <v>2309</v>
      </c>
      <c r="C110" s="122" t="s">
        <v>2324</v>
      </c>
      <c r="D110" s="122" t="s">
        <v>2189</v>
      </c>
      <c r="E110" s="124">
        <v>42762</v>
      </c>
      <c r="F110" s="124">
        <v>42816</v>
      </c>
      <c r="G110" s="123">
        <v>704</v>
      </c>
      <c r="H110" s="123">
        <v>552</v>
      </c>
      <c r="I110" s="123">
        <v>887</v>
      </c>
      <c r="J110" s="123">
        <v>33</v>
      </c>
      <c r="K110" s="193">
        <f t="shared" si="1"/>
        <v>54</v>
      </c>
    </row>
    <row r="111" spans="1:11">
      <c r="A111" s="121">
        <v>110</v>
      </c>
      <c r="B111" s="122" t="s">
        <v>2309</v>
      </c>
      <c r="C111" s="122" t="s">
        <v>2325</v>
      </c>
      <c r="D111" s="122" t="s">
        <v>2189</v>
      </c>
      <c r="E111" s="124">
        <v>42762</v>
      </c>
      <c r="F111" s="124">
        <v>42816</v>
      </c>
      <c r="G111" s="123">
        <v>742</v>
      </c>
      <c r="H111" s="123">
        <v>462</v>
      </c>
      <c r="I111" s="177">
        <v>882</v>
      </c>
      <c r="J111" s="164" t="s">
        <v>2483</v>
      </c>
      <c r="K111" s="193">
        <f t="shared" si="1"/>
        <v>54</v>
      </c>
    </row>
    <row r="112" spans="1:11">
      <c r="A112" s="121">
        <v>111</v>
      </c>
      <c r="B112" s="122" t="s">
        <v>2309</v>
      </c>
      <c r="C112" s="122" t="s">
        <v>2326</v>
      </c>
      <c r="D112" s="122" t="s">
        <v>2189</v>
      </c>
      <c r="E112" s="124">
        <v>42762</v>
      </c>
      <c r="F112" s="124">
        <v>42816</v>
      </c>
      <c r="G112" s="123">
        <v>831</v>
      </c>
      <c r="H112" s="123">
        <v>505</v>
      </c>
      <c r="I112" s="123">
        <v>695</v>
      </c>
      <c r="J112" s="123">
        <v>487</v>
      </c>
      <c r="K112" s="193">
        <f t="shared" si="1"/>
        <v>54</v>
      </c>
    </row>
    <row r="113" spans="1:11">
      <c r="A113" s="121">
        <v>112</v>
      </c>
      <c r="B113" s="122" t="s">
        <v>2309</v>
      </c>
      <c r="C113" s="122" t="s">
        <v>2327</v>
      </c>
      <c r="D113" s="122" t="s">
        <v>2189</v>
      </c>
      <c r="E113" s="124">
        <v>42762</v>
      </c>
      <c r="F113" s="124">
        <v>42816</v>
      </c>
      <c r="G113" s="123">
        <v>899</v>
      </c>
      <c r="H113" s="123">
        <v>41</v>
      </c>
      <c r="I113" s="123">
        <v>852</v>
      </c>
      <c r="J113" s="123">
        <v>530</v>
      </c>
      <c r="K113" s="193">
        <f t="shared" si="1"/>
        <v>54</v>
      </c>
    </row>
    <row r="114" spans="1:11">
      <c r="A114" s="121">
        <v>113</v>
      </c>
      <c r="B114" s="122" t="s">
        <v>2309</v>
      </c>
      <c r="C114" s="122" t="s">
        <v>2328</v>
      </c>
      <c r="D114" s="122" t="s">
        <v>2203</v>
      </c>
      <c r="E114" s="124">
        <v>42762</v>
      </c>
      <c r="F114" s="124">
        <v>42816</v>
      </c>
      <c r="G114" s="123">
        <v>724</v>
      </c>
      <c r="H114" s="123">
        <v>428</v>
      </c>
      <c r="I114" s="123">
        <v>769</v>
      </c>
      <c r="J114" s="123">
        <v>578</v>
      </c>
      <c r="K114" s="193">
        <f t="shared" si="1"/>
        <v>54</v>
      </c>
    </row>
    <row r="115" spans="1:11">
      <c r="A115" s="121">
        <v>114</v>
      </c>
      <c r="B115" s="122" t="s">
        <v>2309</v>
      </c>
      <c r="C115" s="122" t="s">
        <v>2329</v>
      </c>
      <c r="D115" s="122" t="s">
        <v>2203</v>
      </c>
      <c r="E115" s="124">
        <v>42762</v>
      </c>
      <c r="F115" s="124">
        <v>42816</v>
      </c>
      <c r="G115" s="123">
        <v>803</v>
      </c>
      <c r="H115" s="123">
        <v>601</v>
      </c>
      <c r="I115" s="123">
        <v>889</v>
      </c>
      <c r="J115" s="123">
        <v>37</v>
      </c>
      <c r="K115" s="193">
        <f t="shared" si="1"/>
        <v>54</v>
      </c>
    </row>
    <row r="116" spans="1:11">
      <c r="A116" s="121">
        <v>115</v>
      </c>
      <c r="B116" s="122" t="s">
        <v>2309</v>
      </c>
      <c r="C116" s="122" t="s">
        <v>2330</v>
      </c>
      <c r="D116" s="122" t="s">
        <v>2203</v>
      </c>
      <c r="E116" s="124">
        <v>42762</v>
      </c>
      <c r="F116" s="124">
        <v>42816</v>
      </c>
      <c r="G116" s="123">
        <v>693</v>
      </c>
      <c r="H116" s="123">
        <v>553</v>
      </c>
      <c r="I116" s="123">
        <v>778</v>
      </c>
      <c r="J116" s="123">
        <v>522</v>
      </c>
      <c r="K116" s="193">
        <f t="shared" si="1"/>
        <v>54</v>
      </c>
    </row>
    <row r="117" spans="1:11">
      <c r="A117" s="121">
        <v>116</v>
      </c>
      <c r="B117" s="122" t="s">
        <v>2309</v>
      </c>
      <c r="C117" s="122" t="s">
        <v>2331</v>
      </c>
      <c r="D117" s="122" t="s">
        <v>2203</v>
      </c>
      <c r="E117" s="124">
        <v>42762</v>
      </c>
      <c r="F117" s="124">
        <v>42816</v>
      </c>
      <c r="G117" s="123">
        <v>897</v>
      </c>
      <c r="H117" s="123">
        <v>459</v>
      </c>
      <c r="I117" s="123">
        <v>563</v>
      </c>
      <c r="J117" s="123">
        <v>480</v>
      </c>
      <c r="K117" s="193">
        <f t="shared" si="1"/>
        <v>54</v>
      </c>
    </row>
    <row r="118" spans="1:11">
      <c r="A118" s="121">
        <v>117</v>
      </c>
      <c r="B118" s="122" t="s">
        <v>2309</v>
      </c>
      <c r="C118" s="122" t="s">
        <v>2332</v>
      </c>
      <c r="D118" s="122" t="s">
        <v>2203</v>
      </c>
      <c r="E118" s="124">
        <v>42762</v>
      </c>
      <c r="F118" s="124">
        <v>42816</v>
      </c>
      <c r="G118" s="123">
        <v>789</v>
      </c>
      <c r="H118" s="123">
        <v>511</v>
      </c>
      <c r="I118" s="123">
        <v>901</v>
      </c>
      <c r="J118" s="123">
        <v>565</v>
      </c>
      <c r="K118" s="193">
        <f t="shared" si="1"/>
        <v>54</v>
      </c>
    </row>
    <row r="119" spans="1:11">
      <c r="A119" s="121">
        <v>118</v>
      </c>
      <c r="B119" s="122" t="s">
        <v>2309</v>
      </c>
      <c r="C119" s="122" t="s">
        <v>2333</v>
      </c>
      <c r="D119" s="122" t="s">
        <v>2203</v>
      </c>
      <c r="E119" s="124">
        <v>42762</v>
      </c>
      <c r="F119" s="124">
        <v>42816</v>
      </c>
      <c r="G119" s="123">
        <v>681</v>
      </c>
      <c r="H119" s="123">
        <v>495</v>
      </c>
      <c r="I119" s="123">
        <v>791</v>
      </c>
      <c r="J119" s="123">
        <v>544</v>
      </c>
      <c r="K119" s="193">
        <f t="shared" si="1"/>
        <v>54</v>
      </c>
    </row>
    <row r="120" spans="1:11">
      <c r="A120" s="121">
        <v>119</v>
      </c>
      <c r="B120" s="122" t="s">
        <v>2309</v>
      </c>
      <c r="C120" s="122" t="s">
        <v>2334</v>
      </c>
      <c r="D120" s="122" t="s">
        <v>2203</v>
      </c>
      <c r="E120" s="124">
        <v>42762</v>
      </c>
      <c r="F120" s="124">
        <v>42816</v>
      </c>
      <c r="G120" s="123">
        <v>657</v>
      </c>
      <c r="H120" s="123">
        <v>584</v>
      </c>
      <c r="I120" s="123">
        <v>802</v>
      </c>
      <c r="J120" s="123">
        <v>526</v>
      </c>
      <c r="K120" s="193">
        <f t="shared" si="1"/>
        <v>54</v>
      </c>
    </row>
    <row r="121" spans="1:11">
      <c r="A121" s="121">
        <v>120</v>
      </c>
      <c r="B121" s="122" t="s">
        <v>2309</v>
      </c>
      <c r="C121" s="122" t="s">
        <v>2335</v>
      </c>
      <c r="D121" s="122" t="s">
        <v>2203</v>
      </c>
      <c r="E121" s="124">
        <v>42762</v>
      </c>
      <c r="F121" s="124">
        <v>42816</v>
      </c>
      <c r="G121" s="123">
        <v>758</v>
      </c>
      <c r="H121" s="123">
        <v>454</v>
      </c>
      <c r="I121" s="123">
        <v>698</v>
      </c>
      <c r="J121" s="123">
        <v>594</v>
      </c>
      <c r="K121" s="193">
        <f t="shared" si="1"/>
        <v>54</v>
      </c>
    </row>
    <row r="122" spans="1:11">
      <c r="A122" s="121">
        <v>121</v>
      </c>
      <c r="B122" s="122" t="s">
        <v>2309</v>
      </c>
      <c r="C122" s="122" t="s">
        <v>2336</v>
      </c>
      <c r="D122" s="122" t="s">
        <v>2213</v>
      </c>
      <c r="E122" s="124">
        <v>42762</v>
      </c>
      <c r="F122" s="124">
        <v>42816</v>
      </c>
      <c r="G122" s="123">
        <v>666</v>
      </c>
      <c r="H122" s="123">
        <v>532</v>
      </c>
      <c r="I122" s="123">
        <v>825</v>
      </c>
      <c r="J122" s="123">
        <v>564</v>
      </c>
      <c r="K122" s="193">
        <f t="shared" si="1"/>
        <v>54</v>
      </c>
    </row>
    <row r="123" spans="1:11">
      <c r="A123" s="121">
        <v>122</v>
      </c>
      <c r="B123" s="122" t="s">
        <v>2309</v>
      </c>
      <c r="C123" s="122" t="s">
        <v>2337</v>
      </c>
      <c r="D123" s="122" t="s">
        <v>2213</v>
      </c>
      <c r="E123" s="124">
        <v>42762</v>
      </c>
      <c r="F123" s="124">
        <v>42816</v>
      </c>
      <c r="G123" s="123">
        <v>860</v>
      </c>
      <c r="H123" s="123">
        <v>11</v>
      </c>
      <c r="I123" s="123">
        <v>839</v>
      </c>
      <c r="J123" s="123">
        <v>429</v>
      </c>
      <c r="K123" s="193">
        <f t="shared" si="1"/>
        <v>54</v>
      </c>
    </row>
    <row r="124" spans="1:11">
      <c r="A124" s="121">
        <v>123</v>
      </c>
      <c r="B124" s="122" t="s">
        <v>2309</v>
      </c>
      <c r="C124" s="122" t="s">
        <v>2338</v>
      </c>
      <c r="D124" s="122" t="s">
        <v>2213</v>
      </c>
      <c r="E124" s="124">
        <v>42762</v>
      </c>
      <c r="F124" s="124">
        <v>42816</v>
      </c>
      <c r="G124" s="123">
        <v>694</v>
      </c>
      <c r="H124" s="129">
        <v>575</v>
      </c>
      <c r="I124" s="123">
        <v>895</v>
      </c>
      <c r="J124" s="123">
        <v>466</v>
      </c>
      <c r="K124" s="193">
        <f t="shared" si="1"/>
        <v>54</v>
      </c>
    </row>
    <row r="125" spans="1:11">
      <c r="A125" s="121">
        <v>124</v>
      </c>
      <c r="B125" s="122" t="s">
        <v>2309</v>
      </c>
      <c r="C125" s="122" t="s">
        <v>2340</v>
      </c>
      <c r="D125" s="122" t="s">
        <v>2213</v>
      </c>
      <c r="E125" s="124">
        <v>42762</v>
      </c>
      <c r="F125" s="124">
        <v>42816</v>
      </c>
      <c r="G125" s="123">
        <v>867</v>
      </c>
      <c r="H125" s="123">
        <v>39</v>
      </c>
      <c r="I125" s="123">
        <v>682</v>
      </c>
      <c r="J125" s="123">
        <v>471</v>
      </c>
      <c r="K125" s="193">
        <f t="shared" si="1"/>
        <v>54</v>
      </c>
    </row>
    <row r="126" spans="1:11">
      <c r="A126" s="121">
        <v>125</v>
      </c>
      <c r="B126" s="122" t="s">
        <v>2309</v>
      </c>
      <c r="C126" s="122" t="s">
        <v>2341</v>
      </c>
      <c r="D126" s="122" t="s">
        <v>2213</v>
      </c>
      <c r="E126" s="124">
        <v>42762</v>
      </c>
      <c r="F126" s="124">
        <v>42816</v>
      </c>
      <c r="G126" s="123">
        <v>793</v>
      </c>
      <c r="H126" s="123">
        <v>560</v>
      </c>
      <c r="I126" s="123">
        <v>740</v>
      </c>
      <c r="J126" s="123">
        <v>486</v>
      </c>
      <c r="K126" s="193">
        <f t="shared" si="1"/>
        <v>54</v>
      </c>
    </row>
    <row r="127" spans="1:11">
      <c r="A127" s="121">
        <v>126</v>
      </c>
      <c r="B127" s="122" t="s">
        <v>2309</v>
      </c>
      <c r="C127" s="122" t="s">
        <v>2342</v>
      </c>
      <c r="D127" s="122" t="s">
        <v>2213</v>
      </c>
      <c r="E127" s="124">
        <v>42762</v>
      </c>
      <c r="F127" s="124">
        <v>42816</v>
      </c>
      <c r="G127" s="123">
        <v>749</v>
      </c>
      <c r="H127" s="123">
        <v>562</v>
      </c>
      <c r="I127" s="123">
        <v>841</v>
      </c>
      <c r="J127" s="129">
        <v>55</v>
      </c>
      <c r="K127" s="193">
        <f t="shared" si="1"/>
        <v>54</v>
      </c>
    </row>
    <row r="128" spans="1:11">
      <c r="A128" s="121">
        <v>127</v>
      </c>
      <c r="B128" s="122" t="s">
        <v>2309</v>
      </c>
      <c r="C128" s="122" t="s">
        <v>2343</v>
      </c>
      <c r="D128" s="122" t="s">
        <v>2213</v>
      </c>
      <c r="E128" s="124">
        <v>42762</v>
      </c>
      <c r="F128" s="124">
        <v>42816</v>
      </c>
      <c r="G128" s="123">
        <v>898</v>
      </c>
      <c r="H128" s="123">
        <v>506</v>
      </c>
      <c r="I128" s="123">
        <v>687</v>
      </c>
      <c r="J128" s="123">
        <v>424</v>
      </c>
      <c r="K128" s="193">
        <f t="shared" si="1"/>
        <v>54</v>
      </c>
    </row>
    <row r="129" spans="1:11">
      <c r="A129" s="121">
        <v>128</v>
      </c>
      <c r="B129" s="122" t="s">
        <v>2309</v>
      </c>
      <c r="C129" s="122" t="s">
        <v>2344</v>
      </c>
      <c r="D129" s="122" t="s">
        <v>2213</v>
      </c>
      <c r="E129" s="124">
        <v>42762</v>
      </c>
      <c r="F129" s="124">
        <v>42816</v>
      </c>
      <c r="G129" s="123">
        <v>834</v>
      </c>
      <c r="H129" s="123">
        <v>554</v>
      </c>
      <c r="I129" s="123">
        <v>833</v>
      </c>
      <c r="J129" s="123">
        <v>418</v>
      </c>
      <c r="K129" s="193">
        <f t="shared" si="1"/>
        <v>54</v>
      </c>
    </row>
    <row r="130" spans="1:11">
      <c r="A130" s="121">
        <v>129</v>
      </c>
      <c r="B130" s="122" t="s">
        <v>2309</v>
      </c>
      <c r="C130" s="122" t="s">
        <v>2345</v>
      </c>
      <c r="D130" s="122" t="s">
        <v>2222</v>
      </c>
      <c r="E130" s="124">
        <v>42762</v>
      </c>
      <c r="F130" s="124">
        <v>42816</v>
      </c>
      <c r="G130" s="123">
        <v>819</v>
      </c>
      <c r="H130" s="123">
        <v>46</v>
      </c>
      <c r="I130" s="123">
        <v>888</v>
      </c>
      <c r="J130" s="123">
        <v>520</v>
      </c>
      <c r="K130" s="193">
        <f t="shared" si="1"/>
        <v>54</v>
      </c>
    </row>
    <row r="131" spans="1:11">
      <c r="A131" s="121">
        <v>130</v>
      </c>
      <c r="B131" s="122" t="s">
        <v>2309</v>
      </c>
      <c r="C131" s="122" t="s">
        <v>2346</v>
      </c>
      <c r="D131" s="122" t="s">
        <v>2222</v>
      </c>
      <c r="E131" s="124">
        <v>42762</v>
      </c>
      <c r="F131" s="124">
        <v>42816</v>
      </c>
      <c r="G131" s="123">
        <v>830</v>
      </c>
      <c r="H131" s="123">
        <v>585</v>
      </c>
      <c r="I131" s="123">
        <v>708</v>
      </c>
      <c r="J131" s="123">
        <v>433</v>
      </c>
      <c r="K131" s="193">
        <f t="shared" ref="K131:K194" si="2">IFERROR(F131-E131,"")</f>
        <v>54</v>
      </c>
    </row>
    <row r="132" spans="1:11">
      <c r="A132" s="121">
        <v>131</v>
      </c>
      <c r="B132" s="122" t="s">
        <v>2309</v>
      </c>
      <c r="C132" s="122" t="s">
        <v>2347</v>
      </c>
      <c r="D132" s="122" t="s">
        <v>2222</v>
      </c>
      <c r="E132" s="124">
        <v>42762</v>
      </c>
      <c r="F132" s="124">
        <v>42816</v>
      </c>
      <c r="G132" s="123">
        <v>746</v>
      </c>
      <c r="H132" s="123">
        <v>476</v>
      </c>
      <c r="I132" s="123">
        <v>768</v>
      </c>
      <c r="J132" s="123">
        <v>592</v>
      </c>
      <c r="K132" s="193">
        <f t="shared" si="2"/>
        <v>54</v>
      </c>
    </row>
    <row r="133" spans="1:11">
      <c r="A133" s="121">
        <v>132</v>
      </c>
      <c r="B133" s="122" t="s">
        <v>2309</v>
      </c>
      <c r="C133" s="122" t="s">
        <v>2348</v>
      </c>
      <c r="D133" s="122" t="s">
        <v>2222</v>
      </c>
      <c r="E133" s="124">
        <v>42762</v>
      </c>
      <c r="F133" s="124">
        <v>42816</v>
      </c>
      <c r="G133" s="123">
        <v>725</v>
      </c>
      <c r="H133" s="123">
        <v>536</v>
      </c>
      <c r="I133" s="123">
        <v>779</v>
      </c>
      <c r="J133" s="123">
        <v>477</v>
      </c>
      <c r="K133" s="193">
        <f t="shared" si="2"/>
        <v>54</v>
      </c>
    </row>
    <row r="134" spans="1:11">
      <c r="A134" s="121">
        <v>133</v>
      </c>
      <c r="B134" s="122" t="s">
        <v>2309</v>
      </c>
      <c r="C134" s="122" t="s">
        <v>2349</v>
      </c>
      <c r="D134" s="122" t="s">
        <v>2222</v>
      </c>
      <c r="E134" s="124">
        <v>42762</v>
      </c>
      <c r="F134" s="124">
        <v>42816</v>
      </c>
      <c r="G134" s="123">
        <v>846</v>
      </c>
      <c r="H134" s="123">
        <v>524</v>
      </c>
      <c r="I134" s="123">
        <v>799</v>
      </c>
      <c r="J134" s="123">
        <v>597</v>
      </c>
      <c r="K134" s="193">
        <f t="shared" si="2"/>
        <v>54</v>
      </c>
    </row>
    <row r="135" spans="1:11">
      <c r="A135" s="121">
        <v>134</v>
      </c>
      <c r="B135" s="122" t="s">
        <v>2309</v>
      </c>
      <c r="C135" s="122" t="s">
        <v>2350</v>
      </c>
      <c r="D135" s="122" t="s">
        <v>2222</v>
      </c>
      <c r="E135" s="124">
        <v>42762</v>
      </c>
      <c r="F135" s="124">
        <v>42816</v>
      </c>
      <c r="G135" s="123">
        <v>756</v>
      </c>
      <c r="H135" s="123">
        <v>600</v>
      </c>
      <c r="I135" s="123">
        <v>820</v>
      </c>
      <c r="J135" s="123">
        <v>467</v>
      </c>
      <c r="K135" s="193">
        <f t="shared" si="2"/>
        <v>54</v>
      </c>
    </row>
    <row r="136" spans="1:11">
      <c r="A136" s="121">
        <v>135</v>
      </c>
      <c r="B136" s="122" t="s">
        <v>2309</v>
      </c>
      <c r="C136" s="122" t="s">
        <v>2351</v>
      </c>
      <c r="D136" s="122" t="s">
        <v>2222</v>
      </c>
      <c r="E136" s="124">
        <v>42762</v>
      </c>
      <c r="F136" s="124">
        <v>42816</v>
      </c>
      <c r="G136" s="123">
        <v>745</v>
      </c>
      <c r="H136" s="123">
        <v>432</v>
      </c>
      <c r="I136" s="123">
        <v>842</v>
      </c>
      <c r="J136" s="123">
        <v>596</v>
      </c>
      <c r="K136" s="193">
        <f t="shared" si="2"/>
        <v>54</v>
      </c>
    </row>
    <row r="137" spans="1:11">
      <c r="A137" s="121">
        <v>136</v>
      </c>
      <c r="B137" s="122" t="s">
        <v>2309</v>
      </c>
      <c r="C137" s="122" t="s">
        <v>2352</v>
      </c>
      <c r="D137" s="122" t="s">
        <v>2222</v>
      </c>
      <c r="E137" s="124">
        <v>42762</v>
      </c>
      <c r="F137" s="124">
        <v>42816</v>
      </c>
      <c r="G137" s="123">
        <v>832</v>
      </c>
      <c r="H137" s="123">
        <v>474</v>
      </c>
      <c r="I137" s="123">
        <v>747</v>
      </c>
      <c r="J137" s="123">
        <v>543</v>
      </c>
      <c r="K137" s="193">
        <f t="shared" si="2"/>
        <v>54</v>
      </c>
    </row>
    <row r="138" spans="1:11">
      <c r="A138" s="121">
        <v>137</v>
      </c>
      <c r="B138" s="122" t="s">
        <v>2309</v>
      </c>
      <c r="C138" s="122" t="s">
        <v>2353</v>
      </c>
      <c r="D138" s="122" t="s">
        <v>2239</v>
      </c>
      <c r="E138" s="124">
        <v>42762</v>
      </c>
      <c r="F138" s="124">
        <v>42816</v>
      </c>
      <c r="G138" s="123">
        <v>805</v>
      </c>
      <c r="H138" s="123">
        <v>34</v>
      </c>
      <c r="I138" s="123">
        <v>857</v>
      </c>
      <c r="J138" s="123">
        <v>483</v>
      </c>
      <c r="K138" s="193">
        <f t="shared" si="2"/>
        <v>54</v>
      </c>
    </row>
    <row r="139" spans="1:11">
      <c r="A139" s="121">
        <v>138</v>
      </c>
      <c r="B139" s="122" t="s">
        <v>2309</v>
      </c>
      <c r="C139" s="122" t="s">
        <v>2354</v>
      </c>
      <c r="D139" s="122" t="s">
        <v>2239</v>
      </c>
      <c r="E139" s="124">
        <v>42762</v>
      </c>
      <c r="F139" s="124">
        <v>42816</v>
      </c>
      <c r="G139" s="123">
        <v>815</v>
      </c>
      <c r="H139" s="123">
        <v>426</v>
      </c>
      <c r="I139" s="123">
        <v>623</v>
      </c>
      <c r="J139" s="123">
        <v>21</v>
      </c>
      <c r="K139" s="193">
        <f t="shared" si="2"/>
        <v>54</v>
      </c>
    </row>
    <row r="140" spans="1:11">
      <c r="A140" s="121">
        <v>139</v>
      </c>
      <c r="B140" s="122" t="s">
        <v>2309</v>
      </c>
      <c r="C140" s="122" t="s">
        <v>2355</v>
      </c>
      <c r="D140" s="122" t="s">
        <v>2239</v>
      </c>
      <c r="E140" s="124">
        <v>42762</v>
      </c>
      <c r="F140" s="124">
        <v>42816</v>
      </c>
      <c r="G140" s="129">
        <v>798</v>
      </c>
      <c r="H140" s="123">
        <v>563</v>
      </c>
      <c r="I140" s="123">
        <v>880</v>
      </c>
      <c r="J140" s="123">
        <v>538</v>
      </c>
      <c r="K140" s="193">
        <f t="shared" si="2"/>
        <v>54</v>
      </c>
    </row>
    <row r="141" spans="1:11">
      <c r="A141" s="121">
        <v>140</v>
      </c>
      <c r="B141" s="122" t="s">
        <v>2309</v>
      </c>
      <c r="C141" s="122" t="s">
        <v>2357</v>
      </c>
      <c r="D141" s="122" t="s">
        <v>2239</v>
      </c>
      <c r="E141" s="124">
        <v>42762</v>
      </c>
      <c r="F141" s="124">
        <v>42816</v>
      </c>
      <c r="G141" s="123">
        <v>787</v>
      </c>
      <c r="H141" s="123">
        <v>535</v>
      </c>
      <c r="I141" s="123">
        <v>706</v>
      </c>
      <c r="J141" s="123">
        <v>559</v>
      </c>
      <c r="K141" s="193">
        <f t="shared" si="2"/>
        <v>54</v>
      </c>
    </row>
    <row r="142" spans="1:11">
      <c r="A142" s="121">
        <v>141</v>
      </c>
      <c r="B142" s="122" t="s">
        <v>2309</v>
      </c>
      <c r="C142" s="122" t="s">
        <v>2358</v>
      </c>
      <c r="D142" s="122" t="s">
        <v>2239</v>
      </c>
      <c r="E142" s="124">
        <v>42762</v>
      </c>
      <c r="F142" s="124">
        <v>42816</v>
      </c>
      <c r="G142" s="123">
        <v>900</v>
      </c>
      <c r="H142" s="123">
        <v>581</v>
      </c>
      <c r="I142" s="123">
        <v>775</v>
      </c>
      <c r="J142" s="123">
        <v>465</v>
      </c>
      <c r="K142" s="193">
        <f t="shared" si="2"/>
        <v>54</v>
      </c>
    </row>
    <row r="143" spans="1:11">
      <c r="A143" s="121">
        <v>142</v>
      </c>
      <c r="B143" s="122" t="s">
        <v>2309</v>
      </c>
      <c r="C143" s="122" t="s">
        <v>2359</v>
      </c>
      <c r="D143" s="122" t="s">
        <v>2239</v>
      </c>
      <c r="E143" s="124">
        <v>42762</v>
      </c>
      <c r="F143" s="124">
        <v>42816</v>
      </c>
      <c r="G143" s="123">
        <v>817</v>
      </c>
      <c r="H143" s="123">
        <v>460</v>
      </c>
      <c r="I143" s="123">
        <v>850</v>
      </c>
      <c r="J143" s="123">
        <v>503</v>
      </c>
      <c r="K143" s="193">
        <f t="shared" si="2"/>
        <v>54</v>
      </c>
    </row>
    <row r="144" spans="1:11">
      <c r="A144" s="121">
        <v>143</v>
      </c>
      <c r="B144" s="122" t="s">
        <v>2309</v>
      </c>
      <c r="C144" s="122" t="s">
        <v>2360</v>
      </c>
      <c r="D144" s="122" t="s">
        <v>2239</v>
      </c>
      <c r="E144" s="124">
        <v>42762</v>
      </c>
      <c r="F144" s="124">
        <v>42816</v>
      </c>
      <c r="G144" s="123">
        <v>836</v>
      </c>
      <c r="H144" s="123">
        <v>456</v>
      </c>
      <c r="I144" s="123">
        <v>697</v>
      </c>
      <c r="J144" s="123">
        <v>567</v>
      </c>
      <c r="K144" s="193">
        <f t="shared" si="2"/>
        <v>54</v>
      </c>
    </row>
    <row r="145" spans="1:11">
      <c r="A145" s="121">
        <v>144</v>
      </c>
      <c r="B145" s="122" t="s">
        <v>2309</v>
      </c>
      <c r="C145" s="122" t="s">
        <v>2361</v>
      </c>
      <c r="D145" s="122" t="s">
        <v>2239</v>
      </c>
      <c r="E145" s="124">
        <v>42762</v>
      </c>
      <c r="F145" s="124">
        <v>42816</v>
      </c>
      <c r="G145" s="123">
        <v>784</v>
      </c>
      <c r="H145" s="123">
        <v>571</v>
      </c>
      <c r="I145" s="123">
        <v>894</v>
      </c>
      <c r="J145" s="123">
        <v>15</v>
      </c>
      <c r="K145" s="193">
        <f t="shared" si="2"/>
        <v>54</v>
      </c>
    </row>
    <row r="146" spans="1:11">
      <c r="A146" s="121">
        <v>145</v>
      </c>
      <c r="B146" s="122" t="s">
        <v>2309</v>
      </c>
      <c r="C146" s="122" t="s">
        <v>2362</v>
      </c>
      <c r="D146" s="122" t="s">
        <v>2251</v>
      </c>
      <c r="E146" s="124">
        <v>42762</v>
      </c>
      <c r="F146" s="124">
        <v>42815</v>
      </c>
      <c r="G146" s="123">
        <v>902</v>
      </c>
      <c r="H146" s="123">
        <v>27</v>
      </c>
      <c r="I146" s="129">
        <v>653</v>
      </c>
      <c r="J146" s="123">
        <v>40</v>
      </c>
      <c r="K146" s="193">
        <f t="shared" si="2"/>
        <v>53</v>
      </c>
    </row>
    <row r="147" spans="1:11">
      <c r="A147" s="121">
        <v>146</v>
      </c>
      <c r="B147" s="122" t="s">
        <v>2309</v>
      </c>
      <c r="C147" s="122" t="s">
        <v>2363</v>
      </c>
      <c r="D147" s="122" t="s">
        <v>2251</v>
      </c>
      <c r="E147" s="124">
        <v>42762</v>
      </c>
      <c r="F147" s="124">
        <v>42815</v>
      </c>
      <c r="G147" s="123">
        <v>689</v>
      </c>
      <c r="H147" s="123">
        <v>492</v>
      </c>
      <c r="I147" s="123">
        <v>762</v>
      </c>
      <c r="J147" s="123">
        <v>468</v>
      </c>
      <c r="K147" s="193">
        <f t="shared" si="2"/>
        <v>53</v>
      </c>
    </row>
    <row r="148" spans="1:11">
      <c r="A148" s="121">
        <v>147</v>
      </c>
      <c r="B148" s="122" t="s">
        <v>2309</v>
      </c>
      <c r="C148" s="122" t="s">
        <v>2364</v>
      </c>
      <c r="D148" s="122" t="s">
        <v>2251</v>
      </c>
      <c r="E148" s="124">
        <v>42762</v>
      </c>
      <c r="F148" s="124">
        <v>42816</v>
      </c>
      <c r="G148" s="123">
        <v>678</v>
      </c>
      <c r="H148" s="123">
        <v>573</v>
      </c>
      <c r="I148" s="123">
        <v>878</v>
      </c>
      <c r="J148" s="123">
        <v>582</v>
      </c>
      <c r="K148" s="193">
        <f t="shared" si="2"/>
        <v>54</v>
      </c>
    </row>
    <row r="149" spans="1:11">
      <c r="A149" s="121">
        <v>148</v>
      </c>
      <c r="B149" s="122" t="s">
        <v>2309</v>
      </c>
      <c r="C149" s="122" t="s">
        <v>2365</v>
      </c>
      <c r="D149" s="122" t="s">
        <v>2251</v>
      </c>
      <c r="E149" s="124">
        <v>42762</v>
      </c>
      <c r="F149" s="124">
        <v>42816</v>
      </c>
      <c r="G149" s="123">
        <v>835</v>
      </c>
      <c r="H149" s="123">
        <v>472</v>
      </c>
      <c r="I149" s="123">
        <v>807</v>
      </c>
      <c r="J149" s="123">
        <v>20</v>
      </c>
      <c r="K149" s="193">
        <f t="shared" si="2"/>
        <v>54</v>
      </c>
    </row>
    <row r="150" spans="1:11">
      <c r="A150" s="121">
        <v>149</v>
      </c>
      <c r="B150" s="122" t="s">
        <v>2309</v>
      </c>
      <c r="C150" s="122" t="s">
        <v>2366</v>
      </c>
      <c r="D150" s="122" t="s">
        <v>2251</v>
      </c>
      <c r="E150" s="124">
        <v>42762</v>
      </c>
      <c r="F150" s="124">
        <v>42816</v>
      </c>
      <c r="G150" s="129">
        <v>733</v>
      </c>
      <c r="H150" s="123">
        <v>545</v>
      </c>
      <c r="I150" s="123">
        <v>696</v>
      </c>
      <c r="J150" s="123">
        <v>533</v>
      </c>
      <c r="K150" s="193">
        <f t="shared" si="2"/>
        <v>54</v>
      </c>
    </row>
    <row r="151" spans="1:11">
      <c r="A151" s="121">
        <v>150</v>
      </c>
      <c r="B151" s="122" t="s">
        <v>2309</v>
      </c>
      <c r="C151" s="122" t="s">
        <v>2367</v>
      </c>
      <c r="D151" s="122" t="s">
        <v>2251</v>
      </c>
      <c r="E151" s="124">
        <v>42762</v>
      </c>
      <c r="F151" s="124">
        <v>42816</v>
      </c>
      <c r="G151" s="123">
        <v>658</v>
      </c>
      <c r="H151" s="123">
        <v>7</v>
      </c>
      <c r="I151" s="123">
        <v>801</v>
      </c>
      <c r="J151" s="123">
        <v>572</v>
      </c>
      <c r="K151" s="193">
        <f t="shared" si="2"/>
        <v>54</v>
      </c>
    </row>
    <row r="152" spans="1:11">
      <c r="A152" s="121">
        <v>151</v>
      </c>
      <c r="B152" s="122" t="s">
        <v>2309</v>
      </c>
      <c r="C152" s="122" t="s">
        <v>2368</v>
      </c>
      <c r="D152" s="122" t="s">
        <v>2251</v>
      </c>
      <c r="E152" s="124">
        <v>42762</v>
      </c>
      <c r="F152" s="124">
        <v>42816</v>
      </c>
      <c r="G152" s="123">
        <v>567</v>
      </c>
      <c r="H152" s="123">
        <v>447</v>
      </c>
      <c r="I152" s="123">
        <v>647</v>
      </c>
      <c r="J152" s="123">
        <v>504</v>
      </c>
      <c r="K152" s="193">
        <f t="shared" si="2"/>
        <v>54</v>
      </c>
    </row>
    <row r="153" spans="1:11">
      <c r="A153" s="121">
        <v>152</v>
      </c>
      <c r="B153" s="122" t="s">
        <v>2309</v>
      </c>
      <c r="C153" s="122" t="s">
        <v>2369</v>
      </c>
      <c r="D153" s="122" t="s">
        <v>2251</v>
      </c>
      <c r="E153" s="124">
        <v>42762</v>
      </c>
      <c r="F153" s="124">
        <v>42816</v>
      </c>
      <c r="G153" s="123">
        <v>853</v>
      </c>
      <c r="H153" s="123">
        <v>591</v>
      </c>
      <c r="I153" s="123">
        <v>744</v>
      </c>
      <c r="J153" s="123">
        <v>579</v>
      </c>
      <c r="K153" s="193">
        <f t="shared" si="2"/>
        <v>54</v>
      </c>
    </row>
    <row r="154" spans="1:11">
      <c r="A154" s="121">
        <v>153</v>
      </c>
      <c r="B154" s="122" t="s">
        <v>2309</v>
      </c>
      <c r="C154" s="122" t="s">
        <v>2371</v>
      </c>
      <c r="D154" s="122" t="s">
        <v>2260</v>
      </c>
      <c r="E154" s="124">
        <v>42762</v>
      </c>
      <c r="F154" s="124">
        <v>42816</v>
      </c>
      <c r="G154" s="123">
        <v>800</v>
      </c>
      <c r="H154" s="123">
        <v>479</v>
      </c>
      <c r="I154" s="123">
        <v>885</v>
      </c>
      <c r="J154" s="123">
        <v>440</v>
      </c>
      <c r="K154" s="193">
        <f t="shared" si="2"/>
        <v>54</v>
      </c>
    </row>
    <row r="155" spans="1:11">
      <c r="A155" s="121">
        <v>154</v>
      </c>
      <c r="B155" s="122" t="s">
        <v>2309</v>
      </c>
      <c r="C155" s="122" t="s">
        <v>2372</v>
      </c>
      <c r="D155" s="122" t="s">
        <v>2260</v>
      </c>
      <c r="E155" s="124">
        <v>42762</v>
      </c>
      <c r="F155" s="124">
        <v>42816</v>
      </c>
      <c r="G155" s="123">
        <v>675</v>
      </c>
      <c r="H155" s="123">
        <v>493</v>
      </c>
      <c r="I155" s="123">
        <v>684</v>
      </c>
      <c r="J155" s="123">
        <v>485</v>
      </c>
      <c r="K155" s="193">
        <f t="shared" si="2"/>
        <v>54</v>
      </c>
    </row>
    <row r="156" spans="1:11">
      <c r="A156" s="121">
        <v>155</v>
      </c>
      <c r="B156" s="122" t="s">
        <v>2309</v>
      </c>
      <c r="C156" s="122" t="s">
        <v>2373</v>
      </c>
      <c r="D156" s="122" t="s">
        <v>2260</v>
      </c>
      <c r="E156" s="124">
        <v>42762</v>
      </c>
      <c r="F156" s="124">
        <v>42816</v>
      </c>
      <c r="G156" s="123">
        <v>859</v>
      </c>
      <c r="H156" s="123">
        <v>484</v>
      </c>
      <c r="I156" s="123">
        <v>827</v>
      </c>
      <c r="J156" s="123">
        <v>556</v>
      </c>
      <c r="K156" s="193">
        <f t="shared" si="2"/>
        <v>54</v>
      </c>
    </row>
    <row r="157" spans="1:11">
      <c r="A157" s="121">
        <v>156</v>
      </c>
      <c r="B157" s="122" t="s">
        <v>2309</v>
      </c>
      <c r="C157" s="122" t="s">
        <v>2374</v>
      </c>
      <c r="D157" s="122" t="s">
        <v>2260</v>
      </c>
      <c r="E157" s="124">
        <v>42762</v>
      </c>
      <c r="F157" s="124">
        <v>42816</v>
      </c>
      <c r="G157" s="123">
        <v>654</v>
      </c>
      <c r="H157" s="123">
        <v>598</v>
      </c>
      <c r="I157" s="123">
        <v>667</v>
      </c>
      <c r="J157" s="123">
        <v>464</v>
      </c>
      <c r="K157" s="193">
        <f t="shared" si="2"/>
        <v>54</v>
      </c>
    </row>
    <row r="158" spans="1:11">
      <c r="A158" s="121">
        <v>157</v>
      </c>
      <c r="B158" s="122" t="s">
        <v>2309</v>
      </c>
      <c r="C158" s="122" t="s">
        <v>2376</v>
      </c>
      <c r="D158" s="122" t="s">
        <v>2260</v>
      </c>
      <c r="E158" s="124">
        <v>42762</v>
      </c>
      <c r="F158" s="124">
        <v>42816</v>
      </c>
      <c r="G158" s="123">
        <v>890</v>
      </c>
      <c r="H158" s="123">
        <v>30</v>
      </c>
      <c r="I158" s="123">
        <v>777</v>
      </c>
      <c r="J158" s="123">
        <v>35</v>
      </c>
      <c r="K158" s="193">
        <f t="shared" si="2"/>
        <v>54</v>
      </c>
    </row>
    <row r="159" spans="1:11">
      <c r="A159" s="121">
        <v>158</v>
      </c>
      <c r="B159" s="122" t="s">
        <v>2309</v>
      </c>
      <c r="C159" s="122" t="s">
        <v>2377</v>
      </c>
      <c r="D159" s="122" t="s">
        <v>2260</v>
      </c>
      <c r="E159" s="124">
        <v>42762</v>
      </c>
      <c r="F159" s="124">
        <v>42816</v>
      </c>
      <c r="G159" s="123">
        <v>576</v>
      </c>
      <c r="H159" s="123">
        <v>16</v>
      </c>
      <c r="I159" s="123">
        <v>884</v>
      </c>
      <c r="J159" s="123">
        <v>570</v>
      </c>
      <c r="K159" s="193">
        <f t="shared" si="2"/>
        <v>54</v>
      </c>
    </row>
    <row r="160" spans="1:11">
      <c r="A160" s="168">
        <v>159</v>
      </c>
      <c r="B160" s="169" t="s">
        <v>2309</v>
      </c>
      <c r="C160" s="169" t="s">
        <v>2378</v>
      </c>
      <c r="D160" s="169" t="s">
        <v>2260</v>
      </c>
      <c r="E160" s="170">
        <v>42762</v>
      </c>
      <c r="F160" s="170">
        <v>42816</v>
      </c>
      <c r="G160" s="168">
        <v>829</v>
      </c>
      <c r="H160" s="168">
        <v>499</v>
      </c>
      <c r="I160" s="168">
        <v>731</v>
      </c>
      <c r="J160" s="168">
        <v>439</v>
      </c>
      <c r="K160" s="193">
        <f t="shared" si="2"/>
        <v>54</v>
      </c>
    </row>
    <row r="161" spans="1:11">
      <c r="A161" s="121">
        <v>160</v>
      </c>
      <c r="B161" s="122" t="s">
        <v>2309</v>
      </c>
      <c r="C161" s="122" t="s">
        <v>2379</v>
      </c>
      <c r="D161" s="122" t="s">
        <v>2260</v>
      </c>
      <c r="E161" s="124">
        <v>42762</v>
      </c>
      <c r="F161" s="124">
        <v>42816</v>
      </c>
      <c r="G161" s="123">
        <v>809</v>
      </c>
      <c r="H161" s="123">
        <v>421</v>
      </c>
      <c r="I161" s="123">
        <v>876</v>
      </c>
      <c r="J161" s="123">
        <v>461</v>
      </c>
      <c r="K161" s="193">
        <f t="shared" si="2"/>
        <v>54</v>
      </c>
    </row>
    <row r="162" spans="1:11">
      <c r="A162" s="121">
        <v>161</v>
      </c>
      <c r="B162" s="122" t="s">
        <v>2380</v>
      </c>
      <c r="C162" s="122" t="s">
        <v>2381</v>
      </c>
      <c r="D162" s="122" t="s">
        <v>2273</v>
      </c>
      <c r="E162" s="124">
        <v>42763</v>
      </c>
      <c r="F162" s="124">
        <v>42814</v>
      </c>
      <c r="G162" s="123">
        <v>252</v>
      </c>
      <c r="H162" s="123">
        <v>124</v>
      </c>
      <c r="I162" s="123">
        <v>351</v>
      </c>
      <c r="J162" s="123">
        <v>253</v>
      </c>
      <c r="K162" s="193">
        <f t="shared" si="2"/>
        <v>51</v>
      </c>
    </row>
    <row r="163" spans="1:11">
      <c r="A163" s="121">
        <v>162</v>
      </c>
      <c r="B163" s="122" t="s">
        <v>2380</v>
      </c>
      <c r="C163" s="122" t="s">
        <v>2382</v>
      </c>
      <c r="D163" s="122" t="s">
        <v>2273</v>
      </c>
      <c r="E163" s="124">
        <v>42763</v>
      </c>
      <c r="F163" s="124">
        <v>42814</v>
      </c>
      <c r="G163" s="123">
        <v>385</v>
      </c>
      <c r="H163" s="123">
        <v>202</v>
      </c>
      <c r="I163" s="123">
        <v>442</v>
      </c>
      <c r="J163" s="123">
        <v>285</v>
      </c>
      <c r="K163" s="193">
        <f t="shared" si="2"/>
        <v>51</v>
      </c>
    </row>
    <row r="164" spans="1:11">
      <c r="A164" s="121">
        <v>163</v>
      </c>
      <c r="B164" s="122" t="s">
        <v>2380</v>
      </c>
      <c r="C164" s="122" t="s">
        <v>2383</v>
      </c>
      <c r="D164" s="122" t="s">
        <v>2273</v>
      </c>
      <c r="E164" s="124">
        <v>42763</v>
      </c>
      <c r="F164" s="124">
        <v>42814</v>
      </c>
      <c r="G164" s="123">
        <v>202</v>
      </c>
      <c r="H164" s="123">
        <v>96</v>
      </c>
      <c r="I164" s="123">
        <v>743</v>
      </c>
      <c r="J164" s="123">
        <v>341</v>
      </c>
      <c r="K164" s="193">
        <f t="shared" si="2"/>
        <v>51</v>
      </c>
    </row>
    <row r="165" spans="1:11">
      <c r="A165" s="121">
        <v>164</v>
      </c>
      <c r="B165" s="122" t="s">
        <v>2380</v>
      </c>
      <c r="C165" s="122" t="s">
        <v>2384</v>
      </c>
      <c r="D165" s="122" t="s">
        <v>2273</v>
      </c>
      <c r="E165" s="124">
        <v>42763</v>
      </c>
      <c r="F165" s="124">
        <v>42814</v>
      </c>
      <c r="G165" s="123">
        <v>686</v>
      </c>
      <c r="H165" s="123">
        <v>317</v>
      </c>
      <c r="I165" s="123">
        <v>390</v>
      </c>
      <c r="J165" s="129">
        <v>264</v>
      </c>
      <c r="K165" s="193">
        <f t="shared" si="2"/>
        <v>51</v>
      </c>
    </row>
    <row r="166" spans="1:11">
      <c r="A166" s="121">
        <v>165</v>
      </c>
      <c r="B166" s="122" t="s">
        <v>2380</v>
      </c>
      <c r="C166" s="122" t="s">
        <v>2385</v>
      </c>
      <c r="D166" s="122" t="s">
        <v>2273</v>
      </c>
      <c r="E166" s="124">
        <v>42763</v>
      </c>
      <c r="F166" s="124">
        <v>42814</v>
      </c>
      <c r="G166" s="123">
        <v>368</v>
      </c>
      <c r="H166" s="123">
        <v>331</v>
      </c>
      <c r="I166" s="123">
        <v>810</v>
      </c>
      <c r="J166" s="123">
        <v>411</v>
      </c>
      <c r="K166" s="193">
        <f t="shared" si="2"/>
        <v>51</v>
      </c>
    </row>
    <row r="167" spans="1:11">
      <c r="A167" s="121">
        <v>166</v>
      </c>
      <c r="B167" s="122" t="s">
        <v>2380</v>
      </c>
      <c r="C167" s="122" t="s">
        <v>2386</v>
      </c>
      <c r="D167" s="122" t="s">
        <v>2273</v>
      </c>
      <c r="E167" s="124">
        <v>42763</v>
      </c>
      <c r="F167" s="124">
        <v>42814</v>
      </c>
      <c r="G167" s="123">
        <v>334</v>
      </c>
      <c r="H167" s="123">
        <v>287</v>
      </c>
      <c r="I167" s="123">
        <v>287</v>
      </c>
      <c r="J167" s="123">
        <v>259</v>
      </c>
      <c r="K167" s="193">
        <f t="shared" si="2"/>
        <v>51</v>
      </c>
    </row>
    <row r="168" spans="1:11">
      <c r="A168" s="121">
        <v>167</v>
      </c>
      <c r="B168" s="122" t="s">
        <v>2380</v>
      </c>
      <c r="C168" s="122" t="s">
        <v>2388</v>
      </c>
      <c r="D168" s="122" t="s">
        <v>2273</v>
      </c>
      <c r="E168" s="124">
        <v>42763</v>
      </c>
      <c r="F168" s="124">
        <v>42814</v>
      </c>
      <c r="G168" s="123">
        <v>429</v>
      </c>
      <c r="H168" s="123">
        <v>255</v>
      </c>
      <c r="I168" s="123">
        <v>443</v>
      </c>
      <c r="J168" s="123">
        <v>215</v>
      </c>
      <c r="K168" s="193">
        <f t="shared" si="2"/>
        <v>51</v>
      </c>
    </row>
    <row r="169" spans="1:11">
      <c r="A169" s="121">
        <v>168</v>
      </c>
      <c r="B169" s="122" t="s">
        <v>2380</v>
      </c>
      <c r="C169" s="122" t="s">
        <v>2389</v>
      </c>
      <c r="D169" s="122" t="s">
        <v>2273</v>
      </c>
      <c r="E169" s="124">
        <v>42763</v>
      </c>
      <c r="F169" s="124">
        <v>42814</v>
      </c>
      <c r="G169" s="123">
        <v>461</v>
      </c>
      <c r="H169" s="123">
        <v>534</v>
      </c>
      <c r="I169" s="123">
        <v>680</v>
      </c>
      <c r="J169" s="123">
        <v>322</v>
      </c>
      <c r="K169" s="193">
        <f t="shared" si="2"/>
        <v>51</v>
      </c>
    </row>
    <row r="170" spans="1:11">
      <c r="A170" s="121">
        <v>169</v>
      </c>
      <c r="B170" s="122" t="s">
        <v>2380</v>
      </c>
      <c r="C170" s="122" t="s">
        <v>2390</v>
      </c>
      <c r="D170" s="122" t="s">
        <v>2282</v>
      </c>
      <c r="E170" s="124">
        <v>42763</v>
      </c>
      <c r="F170" s="124">
        <v>42814</v>
      </c>
      <c r="G170" s="123">
        <v>425</v>
      </c>
      <c r="H170" s="123">
        <v>453</v>
      </c>
      <c r="I170" s="123">
        <v>496</v>
      </c>
      <c r="J170" s="123">
        <v>403</v>
      </c>
      <c r="K170" s="193">
        <f t="shared" si="2"/>
        <v>51</v>
      </c>
    </row>
    <row r="171" spans="1:11">
      <c r="A171" s="121">
        <v>170</v>
      </c>
      <c r="B171" s="122" t="s">
        <v>2380</v>
      </c>
      <c r="C171" s="122" t="s">
        <v>2391</v>
      </c>
      <c r="D171" s="122" t="s">
        <v>2282</v>
      </c>
      <c r="E171" s="124">
        <v>42763</v>
      </c>
      <c r="F171" s="124">
        <v>42814</v>
      </c>
      <c r="G171" s="123">
        <v>433</v>
      </c>
      <c r="H171" s="123">
        <v>330</v>
      </c>
      <c r="I171" s="123">
        <v>674</v>
      </c>
      <c r="J171" s="123">
        <v>583</v>
      </c>
      <c r="K171" s="193">
        <f t="shared" si="2"/>
        <v>51</v>
      </c>
    </row>
    <row r="172" spans="1:11">
      <c r="A172" s="121">
        <v>171</v>
      </c>
      <c r="B172" s="122" t="s">
        <v>2380</v>
      </c>
      <c r="C172" s="122" t="s">
        <v>2392</v>
      </c>
      <c r="D172" s="122" t="s">
        <v>2282</v>
      </c>
      <c r="E172" s="124">
        <v>42763</v>
      </c>
      <c r="F172" s="124">
        <v>42814</v>
      </c>
      <c r="G172" s="123">
        <v>656</v>
      </c>
      <c r="H172" s="123">
        <v>558</v>
      </c>
      <c r="I172" s="123">
        <v>504</v>
      </c>
      <c r="J172" s="123">
        <v>451</v>
      </c>
      <c r="K172" s="193">
        <f t="shared" si="2"/>
        <v>51</v>
      </c>
    </row>
    <row r="173" spans="1:11">
      <c r="A173" s="121">
        <v>172</v>
      </c>
      <c r="B173" s="122" t="s">
        <v>2380</v>
      </c>
      <c r="C173" s="122" t="s">
        <v>2393</v>
      </c>
      <c r="D173" s="122" t="s">
        <v>2282</v>
      </c>
      <c r="E173" s="124">
        <v>42763</v>
      </c>
      <c r="F173" s="124">
        <v>42814</v>
      </c>
      <c r="G173" s="123">
        <v>281</v>
      </c>
      <c r="H173" s="123">
        <v>157</v>
      </c>
      <c r="I173" s="123">
        <v>439</v>
      </c>
      <c r="J173" s="123">
        <v>353</v>
      </c>
      <c r="K173" s="193">
        <f t="shared" si="2"/>
        <v>51</v>
      </c>
    </row>
    <row r="174" spans="1:11">
      <c r="A174" s="121">
        <v>173</v>
      </c>
      <c r="B174" s="122" t="s">
        <v>2380</v>
      </c>
      <c r="C174" s="122" t="s">
        <v>2394</v>
      </c>
      <c r="D174" s="122" t="s">
        <v>2282</v>
      </c>
      <c r="E174" s="124">
        <v>42763</v>
      </c>
      <c r="F174" s="124">
        <v>42814</v>
      </c>
      <c r="G174" s="123">
        <v>216</v>
      </c>
      <c r="H174" s="123">
        <v>57</v>
      </c>
      <c r="I174" s="123">
        <v>865</v>
      </c>
      <c r="J174" s="123">
        <v>105</v>
      </c>
      <c r="K174" s="193">
        <f t="shared" si="2"/>
        <v>51</v>
      </c>
    </row>
    <row r="175" spans="1:11">
      <c r="A175" s="121">
        <v>174</v>
      </c>
      <c r="B175" s="122" t="s">
        <v>2380</v>
      </c>
      <c r="C175" s="122" t="s">
        <v>2395</v>
      </c>
      <c r="D175" s="122" t="s">
        <v>2282</v>
      </c>
      <c r="E175" s="124">
        <v>42763</v>
      </c>
      <c r="F175" s="124">
        <v>42814</v>
      </c>
      <c r="G175" s="123">
        <v>655</v>
      </c>
      <c r="H175" s="123">
        <v>307</v>
      </c>
      <c r="I175" s="123">
        <v>736</v>
      </c>
      <c r="J175" s="123">
        <v>384</v>
      </c>
      <c r="K175" s="193">
        <f t="shared" si="2"/>
        <v>51</v>
      </c>
    </row>
    <row r="176" spans="1:11">
      <c r="A176" s="121">
        <v>175</v>
      </c>
      <c r="B176" s="122" t="s">
        <v>2380</v>
      </c>
      <c r="C176" s="122" t="s">
        <v>2396</v>
      </c>
      <c r="D176" s="122" t="s">
        <v>2282</v>
      </c>
      <c r="E176" s="124">
        <v>42763</v>
      </c>
      <c r="F176" s="124">
        <v>42814</v>
      </c>
      <c r="G176" s="123">
        <v>457</v>
      </c>
      <c r="H176" s="123">
        <v>458</v>
      </c>
      <c r="I176" s="123">
        <v>792</v>
      </c>
      <c r="J176" s="123">
        <v>481</v>
      </c>
      <c r="K176" s="193">
        <f t="shared" si="2"/>
        <v>51</v>
      </c>
    </row>
    <row r="177" spans="1:11">
      <c r="A177" s="121">
        <v>176</v>
      </c>
      <c r="B177" s="122" t="s">
        <v>2380</v>
      </c>
      <c r="C177" s="122" t="s">
        <v>2397</v>
      </c>
      <c r="D177" s="122" t="s">
        <v>2282</v>
      </c>
      <c r="E177" s="124">
        <v>42763</v>
      </c>
      <c r="F177" s="124">
        <v>42814</v>
      </c>
      <c r="G177" s="123">
        <v>454</v>
      </c>
      <c r="H177" s="123">
        <v>326</v>
      </c>
      <c r="I177" s="123">
        <v>470</v>
      </c>
      <c r="J177" s="123">
        <v>490</v>
      </c>
      <c r="K177" s="193">
        <f t="shared" si="2"/>
        <v>51</v>
      </c>
    </row>
    <row r="178" spans="1:11">
      <c r="A178" s="121">
        <v>177</v>
      </c>
      <c r="B178" s="122" t="s">
        <v>2380</v>
      </c>
      <c r="C178" s="122" t="s">
        <v>2398</v>
      </c>
      <c r="D178" s="122" t="s">
        <v>2291</v>
      </c>
      <c r="E178" s="124">
        <v>42763</v>
      </c>
      <c r="F178" s="124">
        <v>42815</v>
      </c>
      <c r="G178" s="123">
        <v>362</v>
      </c>
      <c r="H178" s="123">
        <v>262</v>
      </c>
      <c r="I178" s="123">
        <v>483</v>
      </c>
      <c r="J178" s="123">
        <v>470</v>
      </c>
      <c r="K178" s="193">
        <f t="shared" si="2"/>
        <v>52</v>
      </c>
    </row>
    <row r="179" spans="1:11">
      <c r="A179" s="121">
        <v>178</v>
      </c>
      <c r="B179" s="122" t="s">
        <v>2380</v>
      </c>
      <c r="C179" s="122" t="s">
        <v>2399</v>
      </c>
      <c r="D179" s="122" t="s">
        <v>2291</v>
      </c>
      <c r="E179" s="124">
        <v>42763</v>
      </c>
      <c r="F179" s="124">
        <v>42815</v>
      </c>
      <c r="G179" s="129">
        <v>781</v>
      </c>
      <c r="H179" s="123">
        <v>309</v>
      </c>
      <c r="I179" s="123">
        <v>893</v>
      </c>
      <c r="J179" s="123">
        <v>488</v>
      </c>
      <c r="K179" s="193">
        <f t="shared" si="2"/>
        <v>52</v>
      </c>
    </row>
    <row r="180" spans="1:11">
      <c r="A180" s="121">
        <v>179</v>
      </c>
      <c r="B180" s="122" t="s">
        <v>2380</v>
      </c>
      <c r="C180" s="122" t="s">
        <v>2400</v>
      </c>
      <c r="D180" s="122" t="s">
        <v>2291</v>
      </c>
      <c r="E180" s="124">
        <v>42763</v>
      </c>
      <c r="F180" s="124">
        <v>42815</v>
      </c>
      <c r="G180" s="123">
        <v>451</v>
      </c>
      <c r="H180" s="123">
        <v>32</v>
      </c>
      <c r="I180" s="123">
        <v>826</v>
      </c>
      <c r="J180" s="123">
        <v>273</v>
      </c>
      <c r="K180" s="193">
        <f t="shared" si="2"/>
        <v>52</v>
      </c>
    </row>
    <row r="181" spans="1:11">
      <c r="A181" s="121">
        <v>180</v>
      </c>
      <c r="B181" s="122" t="s">
        <v>2380</v>
      </c>
      <c r="C181" s="122" t="s">
        <v>2401</v>
      </c>
      <c r="D181" s="122" t="s">
        <v>2291</v>
      </c>
      <c r="E181" s="124">
        <v>42763</v>
      </c>
      <c r="F181" s="124">
        <v>42815</v>
      </c>
      <c r="G181" s="123">
        <v>360</v>
      </c>
      <c r="H181" s="123">
        <v>268</v>
      </c>
      <c r="I181" s="123">
        <v>783</v>
      </c>
      <c r="J181" s="123">
        <v>301</v>
      </c>
      <c r="K181" s="193">
        <f t="shared" si="2"/>
        <v>52</v>
      </c>
    </row>
    <row r="182" spans="1:11">
      <c r="A182" s="121">
        <v>181</v>
      </c>
      <c r="B182" s="122" t="s">
        <v>2380</v>
      </c>
      <c r="C182" s="122" t="s">
        <v>2402</v>
      </c>
      <c r="D182" s="122" t="s">
        <v>2291</v>
      </c>
      <c r="E182" s="124">
        <v>42763</v>
      </c>
      <c r="F182" s="124">
        <v>42815</v>
      </c>
      <c r="G182" s="123">
        <v>458</v>
      </c>
      <c r="H182" s="123">
        <v>587</v>
      </c>
      <c r="I182" s="123">
        <v>551</v>
      </c>
      <c r="J182" s="123">
        <v>291</v>
      </c>
      <c r="K182" s="193">
        <f t="shared" si="2"/>
        <v>52</v>
      </c>
    </row>
    <row r="183" spans="1:11">
      <c r="A183" s="121">
        <v>182</v>
      </c>
      <c r="B183" s="122" t="s">
        <v>2380</v>
      </c>
      <c r="C183" s="122" t="s">
        <v>2403</v>
      </c>
      <c r="D183" s="122" t="s">
        <v>2291</v>
      </c>
      <c r="E183" s="124">
        <v>42763</v>
      </c>
      <c r="F183" s="124">
        <v>42815</v>
      </c>
      <c r="G183" s="123">
        <v>403</v>
      </c>
      <c r="H183" s="123">
        <v>444</v>
      </c>
      <c r="I183" s="123">
        <v>818</v>
      </c>
      <c r="J183" s="123">
        <v>537</v>
      </c>
      <c r="K183" s="193">
        <f t="shared" si="2"/>
        <v>52</v>
      </c>
    </row>
    <row r="184" spans="1:11">
      <c r="A184" s="121">
        <v>183</v>
      </c>
      <c r="B184" s="122" t="s">
        <v>2380</v>
      </c>
      <c r="C184" s="122" t="s">
        <v>2404</v>
      </c>
      <c r="D184" s="122" t="s">
        <v>2291</v>
      </c>
      <c r="E184" s="124">
        <v>42763</v>
      </c>
      <c r="F184" s="124">
        <v>42815</v>
      </c>
      <c r="G184" s="123">
        <v>585</v>
      </c>
      <c r="H184" s="123">
        <v>568</v>
      </c>
      <c r="I184" s="123">
        <v>896</v>
      </c>
      <c r="J184" s="123">
        <v>290</v>
      </c>
      <c r="K184" s="193">
        <f t="shared" si="2"/>
        <v>52</v>
      </c>
    </row>
    <row r="185" spans="1:11">
      <c r="A185" s="121">
        <v>184</v>
      </c>
      <c r="B185" s="122" t="s">
        <v>2380</v>
      </c>
      <c r="C185" s="122" t="s">
        <v>2405</v>
      </c>
      <c r="D185" s="122" t="s">
        <v>2291</v>
      </c>
      <c r="E185" s="124">
        <v>42763</v>
      </c>
      <c r="F185" s="124">
        <v>42815</v>
      </c>
      <c r="G185" s="123">
        <v>669</v>
      </c>
      <c r="H185" s="129">
        <v>541</v>
      </c>
      <c r="I185" s="123">
        <v>337</v>
      </c>
      <c r="J185" s="123">
        <v>555</v>
      </c>
      <c r="K185" s="193">
        <f t="shared" si="2"/>
        <v>52</v>
      </c>
    </row>
    <row r="186" spans="1:11">
      <c r="A186" s="121">
        <v>185</v>
      </c>
      <c r="B186" s="122" t="s">
        <v>2380</v>
      </c>
      <c r="C186" s="122" t="s">
        <v>2407</v>
      </c>
      <c r="D186" s="122" t="s">
        <v>2301</v>
      </c>
      <c r="E186" s="124">
        <v>42763</v>
      </c>
      <c r="F186" s="124">
        <v>42815</v>
      </c>
      <c r="G186" s="123">
        <v>423</v>
      </c>
      <c r="H186" s="123">
        <v>51</v>
      </c>
      <c r="I186" s="123">
        <v>564</v>
      </c>
      <c r="J186" s="123">
        <v>539</v>
      </c>
      <c r="K186" s="193">
        <f t="shared" si="2"/>
        <v>52</v>
      </c>
    </row>
    <row r="187" spans="1:11">
      <c r="A187" s="121">
        <v>186</v>
      </c>
      <c r="B187" s="122" t="s">
        <v>2380</v>
      </c>
      <c r="C187" s="122" t="s">
        <v>2408</v>
      </c>
      <c r="D187" s="122" t="s">
        <v>2301</v>
      </c>
      <c r="E187" s="124">
        <v>42763</v>
      </c>
      <c r="F187" s="124">
        <v>42815</v>
      </c>
      <c r="G187" s="123">
        <v>544</v>
      </c>
      <c r="H187" s="123">
        <v>557</v>
      </c>
      <c r="I187" s="123">
        <v>608</v>
      </c>
      <c r="J187" s="123">
        <v>180</v>
      </c>
      <c r="K187" s="193">
        <f t="shared" si="2"/>
        <v>52</v>
      </c>
    </row>
    <row r="188" spans="1:11">
      <c r="A188" s="121">
        <v>187</v>
      </c>
      <c r="B188" s="122" t="s">
        <v>2380</v>
      </c>
      <c r="C188" s="122" t="s">
        <v>2409</v>
      </c>
      <c r="D188" s="122" t="s">
        <v>2301</v>
      </c>
      <c r="E188" s="124">
        <v>42763</v>
      </c>
      <c r="F188" s="124">
        <v>42815</v>
      </c>
      <c r="G188" s="123">
        <v>620</v>
      </c>
      <c r="H188" s="123">
        <v>427</v>
      </c>
      <c r="I188" s="123">
        <v>365</v>
      </c>
      <c r="J188" s="182">
        <v>580</v>
      </c>
      <c r="K188" s="193">
        <f t="shared" si="2"/>
        <v>52</v>
      </c>
    </row>
    <row r="189" spans="1:11">
      <c r="A189" s="121">
        <v>188</v>
      </c>
      <c r="B189" s="122" t="s">
        <v>2380</v>
      </c>
      <c r="C189" s="122" t="s">
        <v>2410</v>
      </c>
      <c r="D189" s="122" t="s">
        <v>2301</v>
      </c>
      <c r="E189" s="124">
        <v>42763</v>
      </c>
      <c r="F189" s="124">
        <v>42815</v>
      </c>
      <c r="G189" s="123">
        <v>420</v>
      </c>
      <c r="H189" s="123">
        <v>223</v>
      </c>
      <c r="I189" s="123">
        <v>375</v>
      </c>
      <c r="J189" s="123">
        <v>222</v>
      </c>
      <c r="K189" s="193">
        <f t="shared" si="2"/>
        <v>52</v>
      </c>
    </row>
    <row r="190" spans="1:11">
      <c r="A190" s="121">
        <v>189</v>
      </c>
      <c r="B190" s="122" t="s">
        <v>2380</v>
      </c>
      <c r="C190" s="122" t="s">
        <v>2412</v>
      </c>
      <c r="D190" s="122" t="s">
        <v>2301</v>
      </c>
      <c r="E190" s="124">
        <v>42763</v>
      </c>
      <c r="F190" s="124">
        <v>42815</v>
      </c>
      <c r="G190" s="129">
        <v>367</v>
      </c>
      <c r="H190" s="123">
        <v>354</v>
      </c>
      <c r="I190" s="123">
        <v>537</v>
      </c>
      <c r="J190" s="123">
        <v>216</v>
      </c>
      <c r="K190" s="193">
        <f t="shared" si="2"/>
        <v>52</v>
      </c>
    </row>
    <row r="191" spans="1:11">
      <c r="A191" s="121">
        <v>190</v>
      </c>
      <c r="B191" s="122" t="s">
        <v>2380</v>
      </c>
      <c r="C191" s="122" t="s">
        <v>2413</v>
      </c>
      <c r="D191" s="122" t="s">
        <v>2301</v>
      </c>
      <c r="E191" s="124">
        <v>42763</v>
      </c>
      <c r="F191" s="124">
        <v>42815</v>
      </c>
      <c r="G191" s="123">
        <v>526</v>
      </c>
      <c r="H191" s="123">
        <v>164</v>
      </c>
      <c r="I191" s="123">
        <v>393</v>
      </c>
      <c r="J191" s="123">
        <v>232</v>
      </c>
      <c r="K191" s="193">
        <f t="shared" si="2"/>
        <v>52</v>
      </c>
    </row>
    <row r="192" spans="1:11">
      <c r="A192" s="121">
        <v>191</v>
      </c>
      <c r="B192" s="122" t="s">
        <v>2380</v>
      </c>
      <c r="C192" s="122" t="s">
        <v>2414</v>
      </c>
      <c r="D192" s="122" t="s">
        <v>2301</v>
      </c>
      <c r="E192" s="124">
        <v>42763</v>
      </c>
      <c r="F192" s="124">
        <v>42815</v>
      </c>
      <c r="G192" s="123">
        <v>522</v>
      </c>
      <c r="H192" s="123">
        <v>336</v>
      </c>
      <c r="I192" s="123">
        <v>417</v>
      </c>
      <c r="J192" s="123">
        <v>387</v>
      </c>
      <c r="K192" s="193">
        <f t="shared" si="2"/>
        <v>52</v>
      </c>
    </row>
    <row r="193" spans="1:11">
      <c r="A193" s="121">
        <v>192</v>
      </c>
      <c r="B193" s="122" t="s">
        <v>2380</v>
      </c>
      <c r="C193" s="122" t="s">
        <v>2415</v>
      </c>
      <c r="D193" s="122" t="s">
        <v>2301</v>
      </c>
      <c r="E193" s="124">
        <v>42763</v>
      </c>
      <c r="F193" s="124">
        <v>42815</v>
      </c>
      <c r="G193" s="123">
        <v>591</v>
      </c>
      <c r="H193" s="123">
        <v>263</v>
      </c>
      <c r="I193" s="129">
        <v>297</v>
      </c>
      <c r="J193" s="123">
        <v>346</v>
      </c>
      <c r="K193" s="193">
        <f t="shared" si="2"/>
        <v>52</v>
      </c>
    </row>
    <row r="194" spans="1:11">
      <c r="A194" s="121">
        <v>193</v>
      </c>
      <c r="B194" s="133" t="s">
        <v>2171</v>
      </c>
      <c r="C194" s="133" t="s">
        <v>2440</v>
      </c>
      <c r="D194" s="122" t="s">
        <v>2450</v>
      </c>
      <c r="E194" s="124">
        <v>42769</v>
      </c>
      <c r="F194" s="124">
        <v>42813</v>
      </c>
      <c r="G194" s="123">
        <v>863</v>
      </c>
      <c r="H194" s="123">
        <v>125</v>
      </c>
      <c r="I194" s="123">
        <v>584</v>
      </c>
      <c r="J194" s="123">
        <v>364</v>
      </c>
      <c r="K194" s="193">
        <f t="shared" si="2"/>
        <v>44</v>
      </c>
    </row>
    <row r="195" spans="1:11">
      <c r="A195" s="121">
        <v>194</v>
      </c>
      <c r="B195" s="133" t="s">
        <v>2171</v>
      </c>
      <c r="C195" s="133" t="s">
        <v>2433</v>
      </c>
      <c r="D195" s="133" t="s">
        <v>2449</v>
      </c>
      <c r="E195" s="124">
        <v>42769</v>
      </c>
      <c r="F195" s="124">
        <v>42813</v>
      </c>
      <c r="G195" s="123">
        <v>615</v>
      </c>
      <c r="H195" s="123">
        <v>289</v>
      </c>
      <c r="I195" s="123">
        <v>713</v>
      </c>
      <c r="J195" s="123">
        <v>167</v>
      </c>
      <c r="K195" s="193">
        <f t="shared" ref="K195:K221" si="3">IFERROR(F195-E195,"")</f>
        <v>44</v>
      </c>
    </row>
    <row r="196" spans="1:11">
      <c r="A196" s="121">
        <v>195</v>
      </c>
      <c r="B196" s="133" t="s">
        <v>2171</v>
      </c>
      <c r="C196" s="133" t="s">
        <v>2425</v>
      </c>
      <c r="D196" s="133" t="s">
        <v>2448</v>
      </c>
      <c r="E196" s="124">
        <v>42769</v>
      </c>
      <c r="F196" s="124">
        <v>42814</v>
      </c>
      <c r="G196" s="123">
        <v>821</v>
      </c>
      <c r="H196" s="123">
        <v>378</v>
      </c>
      <c r="I196" s="123">
        <v>525</v>
      </c>
      <c r="J196" s="123">
        <v>25</v>
      </c>
      <c r="K196" s="193">
        <f t="shared" si="3"/>
        <v>45</v>
      </c>
    </row>
    <row r="197" spans="1:11">
      <c r="A197" s="121">
        <v>196</v>
      </c>
      <c r="B197" s="133" t="s">
        <v>2171</v>
      </c>
      <c r="C197" s="122" t="s">
        <v>2416</v>
      </c>
      <c r="D197" s="133" t="s">
        <v>2447</v>
      </c>
      <c r="E197" s="124">
        <v>42769</v>
      </c>
      <c r="F197" s="124">
        <v>42814</v>
      </c>
      <c r="G197" s="123">
        <v>754</v>
      </c>
      <c r="H197" s="123">
        <v>375</v>
      </c>
      <c r="I197" s="123">
        <v>886</v>
      </c>
      <c r="J197" s="123">
        <v>362</v>
      </c>
      <c r="K197" s="193">
        <f t="shared" si="3"/>
        <v>45</v>
      </c>
    </row>
    <row r="198" spans="1:11">
      <c r="A198" s="121">
        <v>197</v>
      </c>
      <c r="B198" s="133" t="s">
        <v>2171</v>
      </c>
      <c r="C198" s="133" t="s">
        <v>2426</v>
      </c>
      <c r="D198" s="133" t="s">
        <v>2448</v>
      </c>
      <c r="E198" s="124">
        <v>42769</v>
      </c>
      <c r="F198" s="124">
        <v>42814</v>
      </c>
      <c r="G198" s="123">
        <v>715</v>
      </c>
      <c r="H198" s="123">
        <v>219</v>
      </c>
      <c r="I198" s="123">
        <v>388</v>
      </c>
      <c r="J198" s="123">
        <v>370</v>
      </c>
      <c r="K198" s="193">
        <f t="shared" si="3"/>
        <v>45</v>
      </c>
    </row>
    <row r="199" spans="1:11">
      <c r="A199" s="121">
        <v>198</v>
      </c>
      <c r="B199" s="133" t="s">
        <v>2171</v>
      </c>
      <c r="C199" s="133" t="s">
        <v>2434</v>
      </c>
      <c r="D199" s="133" t="s">
        <v>2449</v>
      </c>
      <c r="E199" s="124">
        <v>42769</v>
      </c>
      <c r="F199" s="124">
        <v>42813</v>
      </c>
      <c r="G199" s="123">
        <v>785</v>
      </c>
      <c r="H199" s="123">
        <v>463</v>
      </c>
      <c r="I199" s="123">
        <v>462</v>
      </c>
      <c r="J199" s="123">
        <v>168</v>
      </c>
      <c r="K199" s="193">
        <f t="shared" si="3"/>
        <v>44</v>
      </c>
    </row>
    <row r="200" spans="1:11">
      <c r="A200" s="121">
        <v>199</v>
      </c>
      <c r="B200" s="133" t="s">
        <v>2171</v>
      </c>
      <c r="C200" s="133" t="s">
        <v>2418</v>
      </c>
      <c r="D200" s="133" t="s">
        <v>2447</v>
      </c>
      <c r="E200" s="124">
        <v>42769</v>
      </c>
      <c r="F200" s="124">
        <v>42814</v>
      </c>
      <c r="G200" s="123">
        <v>877</v>
      </c>
      <c r="H200" s="123">
        <v>339</v>
      </c>
      <c r="I200" s="123">
        <v>712</v>
      </c>
      <c r="J200" s="123">
        <v>269</v>
      </c>
      <c r="K200" s="193">
        <f t="shared" si="3"/>
        <v>45</v>
      </c>
    </row>
    <row r="201" spans="1:11">
      <c r="A201" s="121">
        <v>200</v>
      </c>
      <c r="B201" s="133" t="s">
        <v>2171</v>
      </c>
      <c r="C201" s="133" t="s">
        <v>2441</v>
      </c>
      <c r="D201" s="122" t="s">
        <v>2450</v>
      </c>
      <c r="E201" s="124">
        <v>42769</v>
      </c>
      <c r="F201" s="124">
        <v>42813</v>
      </c>
      <c r="G201" s="123">
        <v>816</v>
      </c>
      <c r="H201" s="123">
        <v>303</v>
      </c>
      <c r="I201" s="123">
        <v>709</v>
      </c>
      <c r="J201" s="123">
        <v>359</v>
      </c>
      <c r="K201" s="193">
        <f t="shared" si="3"/>
        <v>44</v>
      </c>
    </row>
    <row r="202" spans="1:11">
      <c r="A202" s="121">
        <v>201</v>
      </c>
      <c r="B202" s="133" t="s">
        <v>2271</v>
      </c>
      <c r="C202" s="133" t="s">
        <v>2442</v>
      </c>
      <c r="D202" s="122" t="s">
        <v>2450</v>
      </c>
      <c r="E202" s="124">
        <v>42769</v>
      </c>
      <c r="F202" s="124">
        <v>42813</v>
      </c>
      <c r="G202" s="123">
        <v>811</v>
      </c>
      <c r="H202" s="123">
        <v>218</v>
      </c>
      <c r="I202" s="123">
        <v>707</v>
      </c>
      <c r="J202" s="123">
        <v>395</v>
      </c>
      <c r="K202" s="193">
        <f t="shared" si="3"/>
        <v>44</v>
      </c>
    </row>
    <row r="203" spans="1:11">
      <c r="A203" s="121">
        <v>202</v>
      </c>
      <c r="B203" s="133" t="s">
        <v>2271</v>
      </c>
      <c r="C203" s="133" t="s">
        <v>2419</v>
      </c>
      <c r="D203" s="133" t="s">
        <v>2447</v>
      </c>
      <c r="E203" s="124">
        <v>42769</v>
      </c>
      <c r="F203" s="124">
        <v>42814</v>
      </c>
      <c r="G203" s="123">
        <v>773</v>
      </c>
      <c r="H203" s="123">
        <v>135</v>
      </c>
      <c r="I203" s="123">
        <v>770</v>
      </c>
      <c r="J203" s="123">
        <v>182</v>
      </c>
      <c r="K203" s="193">
        <f t="shared" si="3"/>
        <v>45</v>
      </c>
    </row>
    <row r="204" spans="1:11">
      <c r="A204" s="121">
        <v>203</v>
      </c>
      <c r="B204" s="133" t="s">
        <v>2271</v>
      </c>
      <c r="C204" s="133" t="s">
        <v>2428</v>
      </c>
      <c r="D204" s="133" t="s">
        <v>2448</v>
      </c>
      <c r="E204" s="124">
        <v>42769</v>
      </c>
      <c r="F204" s="124">
        <v>42814</v>
      </c>
      <c r="G204" s="123">
        <v>645</v>
      </c>
      <c r="H204" s="123">
        <v>372</v>
      </c>
      <c r="I204" s="123">
        <v>753</v>
      </c>
      <c r="J204" s="123">
        <v>342</v>
      </c>
      <c r="K204" s="193">
        <f t="shared" si="3"/>
        <v>45</v>
      </c>
    </row>
    <row r="205" spans="1:11">
      <c r="A205" s="121">
        <v>204</v>
      </c>
      <c r="B205" s="133" t="s">
        <v>2271</v>
      </c>
      <c r="C205" s="133" t="s">
        <v>2435</v>
      </c>
      <c r="D205" s="133" t="s">
        <v>2449</v>
      </c>
      <c r="E205" s="124">
        <v>42769</v>
      </c>
      <c r="F205" s="124">
        <v>42813</v>
      </c>
      <c r="G205" s="123">
        <v>814</v>
      </c>
      <c r="H205" s="123">
        <v>334</v>
      </c>
      <c r="I205" s="123">
        <v>640</v>
      </c>
      <c r="J205" s="123">
        <v>139</v>
      </c>
      <c r="K205" s="193">
        <f t="shared" si="3"/>
        <v>44</v>
      </c>
    </row>
    <row r="206" spans="1:11">
      <c r="A206" s="121">
        <v>205</v>
      </c>
      <c r="B206" s="133" t="s">
        <v>2309</v>
      </c>
      <c r="C206" s="133" t="s">
        <v>2429</v>
      </c>
      <c r="D206" s="133" t="s">
        <v>2448</v>
      </c>
      <c r="E206" s="124">
        <v>42769</v>
      </c>
      <c r="F206" s="124">
        <v>42814</v>
      </c>
      <c r="G206" s="123">
        <v>621</v>
      </c>
      <c r="H206" s="123">
        <v>265</v>
      </c>
      <c r="I206" s="123">
        <v>668</v>
      </c>
      <c r="J206" s="123">
        <v>92</v>
      </c>
      <c r="K206" s="193">
        <f t="shared" si="3"/>
        <v>45</v>
      </c>
    </row>
    <row r="207" spans="1:11">
      <c r="A207" s="121">
        <v>206</v>
      </c>
      <c r="B207" s="133" t="s">
        <v>2309</v>
      </c>
      <c r="C207" s="133" t="s">
        <v>2420</v>
      </c>
      <c r="D207" s="133" t="s">
        <v>2447</v>
      </c>
      <c r="E207" s="124">
        <v>42769</v>
      </c>
      <c r="F207" s="124">
        <v>42814</v>
      </c>
      <c r="G207" s="123">
        <v>677</v>
      </c>
      <c r="H207" s="123">
        <v>234</v>
      </c>
      <c r="I207" s="123">
        <v>891</v>
      </c>
      <c r="J207" s="123">
        <v>328</v>
      </c>
      <c r="K207" s="193">
        <f t="shared" si="3"/>
        <v>45</v>
      </c>
    </row>
    <row r="208" spans="1:11">
      <c r="A208" s="121">
        <v>207</v>
      </c>
      <c r="B208" s="133" t="s">
        <v>2309</v>
      </c>
      <c r="C208" s="133" t="s">
        <v>2443</v>
      </c>
      <c r="D208" s="122" t="s">
        <v>2450</v>
      </c>
      <c r="E208" s="124">
        <v>42769</v>
      </c>
      <c r="F208" s="124">
        <v>42813</v>
      </c>
      <c r="G208" s="123">
        <v>574</v>
      </c>
      <c r="H208" s="123">
        <v>258</v>
      </c>
      <c r="I208" s="123">
        <v>540</v>
      </c>
      <c r="J208" s="123">
        <v>149</v>
      </c>
      <c r="K208" s="193">
        <f t="shared" si="3"/>
        <v>44</v>
      </c>
    </row>
    <row r="209" spans="1:11">
      <c r="A209" s="121">
        <v>208</v>
      </c>
      <c r="B209" s="133" t="s">
        <v>2309</v>
      </c>
      <c r="C209" s="133" t="s">
        <v>2436</v>
      </c>
      <c r="D209" s="133" t="s">
        <v>2449</v>
      </c>
      <c r="E209" s="124">
        <v>42769</v>
      </c>
      <c r="F209" s="124">
        <v>42813</v>
      </c>
      <c r="G209" s="123">
        <v>710</v>
      </c>
      <c r="H209" s="123">
        <v>344</v>
      </c>
      <c r="I209" s="123">
        <v>508</v>
      </c>
      <c r="J209" s="123">
        <v>449</v>
      </c>
      <c r="K209" s="193">
        <f t="shared" si="3"/>
        <v>44</v>
      </c>
    </row>
    <row r="210" spans="1:11">
      <c r="A210" s="121">
        <v>209</v>
      </c>
      <c r="B210" s="133" t="s">
        <v>2309</v>
      </c>
      <c r="C210" s="133" t="s">
        <v>2430</v>
      </c>
      <c r="D210" s="133" t="s">
        <v>2448</v>
      </c>
      <c r="E210" s="124">
        <v>42769</v>
      </c>
      <c r="F210" s="124">
        <v>42814</v>
      </c>
      <c r="G210" s="123">
        <v>604</v>
      </c>
      <c r="H210" s="123">
        <v>271</v>
      </c>
      <c r="I210" s="123">
        <v>637</v>
      </c>
      <c r="J210" s="123">
        <v>142</v>
      </c>
      <c r="K210" s="193">
        <f t="shared" si="3"/>
        <v>45</v>
      </c>
    </row>
    <row r="211" spans="1:11">
      <c r="A211" s="121">
        <v>210</v>
      </c>
      <c r="B211" s="133" t="s">
        <v>2309</v>
      </c>
      <c r="C211" s="133" t="s">
        <v>2444</v>
      </c>
      <c r="D211" s="122" t="s">
        <v>2450</v>
      </c>
      <c r="E211" s="124">
        <v>42769</v>
      </c>
      <c r="F211" s="124">
        <v>42813</v>
      </c>
      <c r="G211" s="123">
        <v>871</v>
      </c>
      <c r="H211" s="123">
        <v>340</v>
      </c>
      <c r="I211" s="123">
        <v>720</v>
      </c>
      <c r="J211" s="123">
        <v>392</v>
      </c>
      <c r="K211" s="193">
        <f t="shared" si="3"/>
        <v>44</v>
      </c>
    </row>
    <row r="212" spans="1:11">
      <c r="A212" s="121">
        <v>211</v>
      </c>
      <c r="B212" s="133" t="s">
        <v>2309</v>
      </c>
      <c r="C212" s="133" t="s">
        <v>2421</v>
      </c>
      <c r="D212" s="133" t="s">
        <v>2447</v>
      </c>
      <c r="E212" s="124">
        <v>42769</v>
      </c>
      <c r="F212" s="124">
        <v>42814</v>
      </c>
      <c r="G212" s="123">
        <v>822</v>
      </c>
      <c r="H212" s="123">
        <v>381</v>
      </c>
      <c r="I212" s="123">
        <v>796</v>
      </c>
      <c r="J212" s="123">
        <v>589</v>
      </c>
      <c r="K212" s="193">
        <f t="shared" si="3"/>
        <v>45</v>
      </c>
    </row>
    <row r="213" spans="1:11">
      <c r="A213" s="121">
        <v>212</v>
      </c>
      <c r="B213" s="133" t="s">
        <v>2309</v>
      </c>
      <c r="C213" s="133" t="s">
        <v>2437</v>
      </c>
      <c r="D213" s="133" t="s">
        <v>2449</v>
      </c>
      <c r="E213" s="124">
        <v>42769</v>
      </c>
      <c r="F213" s="124">
        <v>42813</v>
      </c>
      <c r="G213" s="123">
        <v>786</v>
      </c>
      <c r="H213" s="123">
        <v>93</v>
      </c>
      <c r="I213" s="123">
        <v>560</v>
      </c>
      <c r="J213" s="123">
        <v>130</v>
      </c>
      <c r="K213" s="193">
        <f t="shared" si="3"/>
        <v>44</v>
      </c>
    </row>
    <row r="214" spans="1:11">
      <c r="A214" s="121">
        <v>213</v>
      </c>
      <c r="B214" s="133" t="s">
        <v>2380</v>
      </c>
      <c r="C214" s="133" t="s">
        <v>2445</v>
      </c>
      <c r="D214" s="122" t="s">
        <v>2450</v>
      </c>
      <c r="E214" s="124">
        <v>42769</v>
      </c>
      <c r="F214" s="124">
        <v>42813</v>
      </c>
      <c r="G214" s="123">
        <v>572</v>
      </c>
      <c r="H214" s="123">
        <v>88</v>
      </c>
      <c r="I214" s="123">
        <v>716</v>
      </c>
      <c r="J214" s="123">
        <v>111</v>
      </c>
      <c r="K214" s="193">
        <f t="shared" si="3"/>
        <v>44</v>
      </c>
    </row>
    <row r="215" spans="1:11">
      <c r="A215" s="121">
        <v>214</v>
      </c>
      <c r="B215" s="133" t="s">
        <v>2380</v>
      </c>
      <c r="C215" s="133" t="s">
        <v>2438</v>
      </c>
      <c r="D215" s="133" t="s">
        <v>2449</v>
      </c>
      <c r="E215" s="124">
        <v>42769</v>
      </c>
      <c r="F215" s="124">
        <v>42813</v>
      </c>
      <c r="G215" s="123">
        <v>761</v>
      </c>
      <c r="H215" s="123">
        <v>383</v>
      </c>
      <c r="I215" s="123">
        <v>581</v>
      </c>
      <c r="J215" s="123">
        <v>412</v>
      </c>
      <c r="K215" s="193">
        <f t="shared" si="3"/>
        <v>44</v>
      </c>
    </row>
    <row r="216" spans="1:11">
      <c r="A216" s="121">
        <v>215</v>
      </c>
      <c r="B216" s="133" t="s">
        <v>2380</v>
      </c>
      <c r="C216" s="133" t="s">
        <v>2422</v>
      </c>
      <c r="D216" s="133" t="s">
        <v>2447</v>
      </c>
      <c r="E216" s="124">
        <v>42769</v>
      </c>
      <c r="F216" s="124">
        <v>42814</v>
      </c>
      <c r="G216" s="123">
        <v>858</v>
      </c>
      <c r="H216" s="123">
        <v>145</v>
      </c>
      <c r="I216" s="123">
        <v>718</v>
      </c>
      <c r="J216" s="123">
        <v>434</v>
      </c>
      <c r="K216" s="193">
        <f t="shared" si="3"/>
        <v>45</v>
      </c>
    </row>
    <row r="217" spans="1:11">
      <c r="A217" s="121">
        <v>216</v>
      </c>
      <c r="B217" s="133" t="s">
        <v>2380</v>
      </c>
      <c r="C217" s="133" t="s">
        <v>2431</v>
      </c>
      <c r="D217" s="133" t="s">
        <v>2448</v>
      </c>
      <c r="E217" s="124">
        <v>42769</v>
      </c>
      <c r="F217" s="124">
        <v>42814</v>
      </c>
      <c r="G217" s="123">
        <v>755</v>
      </c>
      <c r="H217" s="123">
        <v>241</v>
      </c>
      <c r="I217" s="123">
        <v>613</v>
      </c>
      <c r="J217" s="123">
        <v>457</v>
      </c>
      <c r="K217" s="193">
        <f t="shared" si="3"/>
        <v>45</v>
      </c>
    </row>
    <row r="218" spans="1:11">
      <c r="A218" s="121">
        <v>217</v>
      </c>
      <c r="B218" s="133" t="s">
        <v>2423</v>
      </c>
      <c r="C218" s="133" t="s">
        <v>2424</v>
      </c>
      <c r="D218" s="133" t="s">
        <v>2447</v>
      </c>
      <c r="E218" s="124">
        <v>42769</v>
      </c>
      <c r="F218" s="124">
        <v>42814</v>
      </c>
      <c r="G218" s="123">
        <v>795</v>
      </c>
      <c r="H218" s="123">
        <v>302</v>
      </c>
      <c r="I218" s="123">
        <v>804</v>
      </c>
      <c r="J218" s="123">
        <v>410</v>
      </c>
      <c r="K218" s="193">
        <f t="shared" si="3"/>
        <v>45</v>
      </c>
    </row>
    <row r="219" spans="1:11">
      <c r="A219" s="121">
        <v>218</v>
      </c>
      <c r="B219" s="133" t="s">
        <v>2423</v>
      </c>
      <c r="C219" s="133" t="s">
        <v>2432</v>
      </c>
      <c r="D219" s="133" t="s">
        <v>2448</v>
      </c>
      <c r="E219" s="124">
        <v>42769</v>
      </c>
      <c r="F219" s="124">
        <v>42814</v>
      </c>
      <c r="G219" s="123">
        <v>251</v>
      </c>
      <c r="H219" s="123">
        <v>442</v>
      </c>
      <c r="I219" s="123">
        <v>587</v>
      </c>
      <c r="J219" s="123">
        <v>103</v>
      </c>
      <c r="K219" s="193">
        <f t="shared" si="3"/>
        <v>45</v>
      </c>
    </row>
    <row r="220" spans="1:11">
      <c r="A220" s="121">
        <v>219</v>
      </c>
      <c r="B220" s="133" t="s">
        <v>2423</v>
      </c>
      <c r="C220" s="133" t="s">
        <v>2439</v>
      </c>
      <c r="D220" s="133" t="s">
        <v>2449</v>
      </c>
      <c r="E220" s="124">
        <v>42769</v>
      </c>
      <c r="F220" s="124">
        <v>42813</v>
      </c>
      <c r="G220" s="163">
        <v>727</v>
      </c>
      <c r="H220" s="163">
        <v>176</v>
      </c>
      <c r="I220" s="163">
        <v>491</v>
      </c>
      <c r="J220" s="163">
        <v>356</v>
      </c>
      <c r="K220" s="193">
        <f t="shared" si="3"/>
        <v>44</v>
      </c>
    </row>
    <row r="221" spans="1:11">
      <c r="A221" s="121">
        <v>220</v>
      </c>
      <c r="B221" s="133" t="s">
        <v>2423</v>
      </c>
      <c r="C221" s="133" t="s">
        <v>2446</v>
      </c>
      <c r="D221" s="122" t="s">
        <v>2450</v>
      </c>
      <c r="E221" s="124">
        <v>42769</v>
      </c>
      <c r="F221" s="124">
        <v>42813</v>
      </c>
      <c r="G221" s="123">
        <v>782</v>
      </c>
      <c r="H221" s="123">
        <v>250</v>
      </c>
      <c r="I221" s="123">
        <v>849</v>
      </c>
      <c r="J221" s="123">
        <v>319</v>
      </c>
      <c r="K221" s="193">
        <f t="shared" si="3"/>
        <v>44</v>
      </c>
    </row>
  </sheetData>
  <conditionalFormatting sqref="K2:K221">
    <cfRule type="containsErrors" dxfId="1" priority="1" stopIfTrue="1">
      <formula>ISERROR(K2)</formula>
    </cfRule>
  </conditionalFormatting>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#NAME?</v>
      </c>
    </row>
    <row r="41" spans="1:9" s="2" customFormat="1">
      <c r="A41" s="2" t="s">
        <v>13</v>
      </c>
      <c r="B41" s="65" t="s">
        <v>75</v>
      </c>
      <c r="C41" s="65" t="s">
        <v>73</v>
      </c>
      <c r="D41" s="65"/>
      <c r="E41" s="65"/>
      <c r="F41" s="64" t="s">
        <v>83</v>
      </c>
      <c r="G41" s="50" t="s">
        <v>84</v>
      </c>
      <c r="H41" s="50"/>
      <c r="I41" s="86" t="e">
        <f>(H41-Wcordandbag)/(G41-(Wcordandbag+Wlabel))</f>
        <v>#NAME?</v>
      </c>
    </row>
    <row r="42" spans="1:9" s="2" customFormat="1" ht="43.2">
      <c r="A42" s="64" t="s">
        <v>14</v>
      </c>
      <c r="B42" s="27" t="s">
        <v>76</v>
      </c>
      <c r="C42" s="65" t="s">
        <v>77</v>
      </c>
      <c r="D42" s="65"/>
      <c r="E42" s="65"/>
      <c r="F42" s="64" t="s">
        <v>85</v>
      </c>
      <c r="G42" s="50"/>
      <c r="H42" s="50"/>
      <c r="I42" s="86" t="e">
        <f>(H42-Wcordandbag)/(G42-(Wcordandbag+Wlabel))</f>
        <v>#NAME?</v>
      </c>
    </row>
    <row r="43" spans="1:9" s="2" customFormat="1">
      <c r="A43" s="65" t="s">
        <v>15</v>
      </c>
      <c r="B43" s="65" t="s">
        <v>71</v>
      </c>
      <c r="C43" s="65" t="s">
        <v>77</v>
      </c>
      <c r="D43" s="65"/>
      <c r="E43" s="65"/>
      <c r="F43" s="64" t="s">
        <v>86</v>
      </c>
      <c r="G43" s="50"/>
      <c r="H43" s="50"/>
      <c r="I43" s="86" t="e">
        <f>(H43-Wcordandbag)/(G43-(Wcordandbag+Wlabel))</f>
        <v>#NAME?</v>
      </c>
    </row>
    <row r="44" spans="1:9" s="2" customFormat="1" ht="29.4" thickBot="1">
      <c r="A44" s="69" t="s">
        <v>211</v>
      </c>
      <c r="B44" s="28" t="s">
        <v>224</v>
      </c>
      <c r="C44" s="69"/>
      <c r="D44" s="69"/>
      <c r="E44" s="65"/>
      <c r="F44" s="68" t="s">
        <v>84</v>
      </c>
      <c r="G44" s="87"/>
      <c r="H44" s="87"/>
      <c r="I44" s="86" t="e">
        <f>(H44-Wcordandbag)/(G44-(Wcordandbag+Wlabel))</f>
        <v>#NAME?</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1275</v>
      </c>
      <c r="E7" s="23" t="s">
        <v>129</v>
      </c>
      <c r="F7" s="23"/>
      <c r="G7" s="41" t="s">
        <v>134</v>
      </c>
    </row>
    <row r="8" spans="1:7">
      <c r="G8" s="24" t="s">
        <v>135</v>
      </c>
    </row>
    <row r="9" spans="1:7" s="43" customFormat="1" ht="28.8">
      <c r="A9" s="43">
        <v>7</v>
      </c>
      <c r="B9" s="43" t="s">
        <v>133</v>
      </c>
      <c r="C9" s="44">
        <v>42170</v>
      </c>
      <c r="D9" s="45">
        <f t="shared" ca="1" si="0"/>
        <v>1275</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2467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3ACC-BB04-4235-A83A-B832FC80A1ED}">
  <dimension ref="A1:AG515"/>
  <sheetViews>
    <sheetView topLeftCell="H61" zoomScale="85" zoomScaleNormal="8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3" max="13" width="15.44140625" customWidth="1"/>
    <col min="14" max="14" width="15.21875" customWidth="1"/>
  </cols>
  <sheetData>
    <row r="1" spans="2:12" s="286" customFormat="1">
      <c r="B1" s="286" t="s">
        <v>3767</v>
      </c>
      <c r="D1" s="286" t="s">
        <v>3768</v>
      </c>
      <c r="E1" s="287"/>
      <c r="K1" s="287"/>
      <c r="L1" s="288"/>
    </row>
    <row r="2" spans="2:12" s="286" customFormat="1">
      <c r="B2" s="289" t="s">
        <v>3769</v>
      </c>
      <c r="E2" s="287"/>
      <c r="K2" s="287"/>
      <c r="L2" s="288"/>
    </row>
    <row r="3" spans="2:12" s="291" customFormat="1" ht="30" customHeight="1">
      <c r="B3" s="290" t="s">
        <v>3770</v>
      </c>
      <c r="E3" s="292"/>
      <c r="K3" s="292"/>
      <c r="L3" s="293"/>
    </row>
    <row r="4" spans="2:12" s="295" customFormat="1">
      <c r="B4" s="294" t="s">
        <v>3771</v>
      </c>
      <c r="E4" s="296"/>
      <c r="K4" s="296"/>
      <c r="L4" s="297"/>
    </row>
    <row r="5" spans="2:12" s="295" customFormat="1">
      <c r="B5" s="295" t="s">
        <v>3772</v>
      </c>
      <c r="E5" s="296"/>
      <c r="K5" s="296"/>
      <c r="L5" s="297"/>
    </row>
    <row r="6" spans="2:12" s="294" customFormat="1">
      <c r="B6" s="294" t="s">
        <v>3773</v>
      </c>
      <c r="E6" s="298"/>
      <c r="K6" s="298"/>
      <c r="L6" s="299"/>
    </row>
    <row r="7" spans="2:12" s="286" customFormat="1">
      <c r="B7" s="300" t="s">
        <v>3774</v>
      </c>
      <c r="C7" s="301"/>
      <c r="D7" s="301"/>
      <c r="E7" s="302"/>
      <c r="G7" s="301"/>
      <c r="K7" s="287"/>
      <c r="L7" s="288"/>
    </row>
    <row r="8" spans="2:12" s="286" customFormat="1">
      <c r="B8" s="301"/>
      <c r="C8" s="301"/>
      <c r="D8" s="301"/>
      <c r="E8" s="302"/>
      <c r="G8" s="301"/>
      <c r="K8" s="287"/>
      <c r="L8" s="288"/>
    </row>
    <row r="9" spans="2:12" s="286" customFormat="1">
      <c r="B9" s="301"/>
      <c r="C9" s="301"/>
      <c r="D9" s="301"/>
      <c r="E9" s="302"/>
      <c r="G9" s="301"/>
      <c r="K9" s="287"/>
      <c r="L9" s="288"/>
    </row>
    <row r="10" spans="2:12" s="301" customFormat="1">
      <c r="B10" s="303" t="s">
        <v>3775</v>
      </c>
      <c r="C10" s="303"/>
      <c r="E10" s="302"/>
      <c r="K10" s="302"/>
      <c r="L10" s="304"/>
    </row>
    <row r="11" spans="2:12" s="301" customFormat="1" ht="15" thickBot="1">
      <c r="B11" s="303" t="s">
        <v>3776</v>
      </c>
      <c r="C11" s="303"/>
      <c r="E11" s="302"/>
      <c r="F11" s="301" t="s">
        <v>3777</v>
      </c>
      <c r="K11" s="302"/>
      <c r="L11" s="304"/>
    </row>
    <row r="12" spans="2:12" s="300" customFormat="1">
      <c r="B12" s="441" t="s">
        <v>0</v>
      </c>
      <c r="C12" s="442"/>
      <c r="D12" s="442"/>
      <c r="E12" s="442"/>
      <c r="F12" s="305" t="s">
        <v>3778</v>
      </c>
      <c r="G12" s="420"/>
      <c r="H12" s="420"/>
      <c r="I12" s="420"/>
      <c r="K12" s="307"/>
      <c r="L12" s="308"/>
    </row>
    <row r="13" spans="2:12" s="300" customFormat="1">
      <c r="B13" s="439" t="s">
        <v>3779</v>
      </c>
      <c r="C13" s="440"/>
      <c r="D13" s="440"/>
      <c r="E13" s="440"/>
      <c r="F13" s="309" t="s">
        <v>3780</v>
      </c>
      <c r="G13" s="420"/>
      <c r="H13" s="420"/>
      <c r="I13" s="420"/>
      <c r="K13" s="307"/>
      <c r="L13" s="308"/>
    </row>
    <row r="14" spans="2:12" s="300" customFormat="1">
      <c r="B14" s="439" t="s">
        <v>1</v>
      </c>
      <c r="C14" s="440"/>
      <c r="D14" s="440"/>
      <c r="E14" s="440"/>
      <c r="F14" s="310" t="s">
        <v>3781</v>
      </c>
      <c r="G14" s="311"/>
      <c r="H14" s="312"/>
      <c r="I14" s="312"/>
      <c r="J14" s="312"/>
      <c r="K14" s="307"/>
      <c r="L14" s="308"/>
    </row>
    <row r="15" spans="2:12" s="300" customFormat="1">
      <c r="B15" s="439" t="s">
        <v>2</v>
      </c>
      <c r="C15" s="440"/>
      <c r="D15" s="440"/>
      <c r="E15" s="440"/>
      <c r="F15" s="313" t="s">
        <v>3782</v>
      </c>
      <c r="G15" s="314"/>
      <c r="H15" s="315"/>
      <c r="I15" s="315"/>
      <c r="K15" s="307"/>
      <c r="L15" s="308"/>
    </row>
    <row r="16" spans="2:12" s="300" customFormat="1">
      <c r="B16" s="439" t="s">
        <v>3</v>
      </c>
      <c r="C16" s="440"/>
      <c r="D16" s="440"/>
      <c r="E16" s="440"/>
      <c r="F16" s="316" t="s">
        <v>3783</v>
      </c>
      <c r="G16" s="315"/>
      <c r="H16" s="315"/>
      <c r="I16" s="315"/>
      <c r="K16" s="307"/>
      <c r="L16" s="308"/>
    </row>
    <row r="17" spans="2:12" s="300" customFormat="1">
      <c r="B17" s="439" t="s">
        <v>4</v>
      </c>
      <c r="C17" s="440"/>
      <c r="D17" s="440"/>
      <c r="E17" s="440"/>
      <c r="F17" s="317" t="s">
        <v>3784</v>
      </c>
      <c r="G17" s="315"/>
      <c r="H17" s="315"/>
      <c r="I17" s="315"/>
      <c r="K17" s="307"/>
      <c r="L17" s="308"/>
    </row>
    <row r="18" spans="2:12" s="300" customFormat="1">
      <c r="B18" s="439" t="s">
        <v>5</v>
      </c>
      <c r="C18" s="440"/>
      <c r="D18" s="440"/>
      <c r="E18" s="440"/>
      <c r="F18" s="317" t="s">
        <v>3785</v>
      </c>
      <c r="G18" s="315"/>
      <c r="H18" s="315"/>
      <c r="I18" s="315"/>
      <c r="K18" s="307"/>
      <c r="L18" s="308"/>
    </row>
    <row r="19" spans="2:12" s="300" customFormat="1">
      <c r="B19" s="439" t="s">
        <v>6</v>
      </c>
      <c r="C19" s="440"/>
      <c r="D19" s="440"/>
      <c r="E19" s="440"/>
      <c r="F19" s="310" t="s">
        <v>3786</v>
      </c>
      <c r="G19" s="314"/>
      <c r="H19" s="318"/>
      <c r="I19" s="318"/>
      <c r="J19" s="318"/>
      <c r="K19" s="318"/>
      <c r="L19" s="318"/>
    </row>
    <row r="20" spans="2:12" s="300" customFormat="1" ht="15" thickBot="1">
      <c r="B20" s="443" t="s">
        <v>7</v>
      </c>
      <c r="C20" s="444"/>
      <c r="D20" s="444"/>
      <c r="E20" s="444"/>
      <c r="F20" s="319" t="s">
        <v>3787</v>
      </c>
      <c r="G20" s="315"/>
      <c r="H20" s="315"/>
      <c r="I20" s="315"/>
      <c r="K20" s="307"/>
      <c r="L20" s="308"/>
    </row>
    <row r="21" spans="2:12">
      <c r="B21" s="420" t="s">
        <v>3788</v>
      </c>
      <c r="C21" s="420"/>
      <c r="D21" s="420"/>
      <c r="E21" s="420"/>
      <c r="F21" s="315"/>
    </row>
    <row r="23" spans="2:12">
      <c r="B23" s="320" t="s">
        <v>3789</v>
      </c>
      <c r="C23" s="420"/>
      <c r="D23" s="321"/>
      <c r="E23" s="322"/>
      <c r="F23" s="300"/>
      <c r="G23" s="300"/>
      <c r="H23" s="300"/>
      <c r="I23" s="300"/>
    </row>
    <row r="24" spans="2:12" ht="15" thickBot="1">
      <c r="B24" s="320" t="s">
        <v>3790</v>
      </c>
      <c r="C24" s="420"/>
      <c r="D24" s="321"/>
      <c r="E24" s="322"/>
      <c r="F24" s="300" t="s">
        <v>3777</v>
      </c>
      <c r="G24" s="300"/>
      <c r="H24" s="300"/>
      <c r="I24" s="300"/>
    </row>
    <row r="25" spans="2:12">
      <c r="B25" s="441" t="s">
        <v>8</v>
      </c>
      <c r="C25" s="442"/>
      <c r="D25" s="442"/>
      <c r="E25" s="442"/>
      <c r="F25" s="323">
        <v>0.84199999999999997</v>
      </c>
      <c r="G25" s="300"/>
      <c r="H25" s="300"/>
      <c r="I25" s="300"/>
    </row>
    <row r="26" spans="2:12">
      <c r="B26" s="439" t="s">
        <v>9</v>
      </c>
      <c r="C26" s="440"/>
      <c r="D26" s="440"/>
      <c r="E26" s="440"/>
      <c r="F26" s="324">
        <v>0.55200000000000005</v>
      </c>
      <c r="G26" s="300"/>
      <c r="H26" s="300"/>
      <c r="I26" s="300"/>
    </row>
    <row r="27" spans="2:12">
      <c r="B27" s="439" t="s">
        <v>10</v>
      </c>
      <c r="C27" s="440"/>
      <c r="D27" s="440"/>
      <c r="E27" s="440"/>
      <c r="F27" s="325">
        <v>0.12180000000000001</v>
      </c>
      <c r="G27" s="300"/>
      <c r="H27" s="300"/>
      <c r="I27" s="300"/>
    </row>
    <row r="28" spans="2:12">
      <c r="B28" s="439" t="s">
        <v>11</v>
      </c>
      <c r="C28" s="440"/>
      <c r="D28" s="440"/>
      <c r="E28" s="440"/>
      <c r="F28" s="325">
        <v>2.8799999999999999E-2</v>
      </c>
      <c r="G28" s="300"/>
      <c r="H28" s="300"/>
      <c r="I28" s="300"/>
    </row>
    <row r="29" spans="2:12">
      <c r="B29" s="439" t="s">
        <v>12</v>
      </c>
      <c r="C29" s="440"/>
      <c r="D29" s="440"/>
      <c r="E29" s="440"/>
      <c r="F29" s="326">
        <f>F27+F28</f>
        <v>0.15060000000000001</v>
      </c>
      <c r="G29" s="300"/>
      <c r="H29" s="300"/>
      <c r="I29" s="300"/>
    </row>
    <row r="30" spans="2:12">
      <c r="B30" s="439" t="s">
        <v>13</v>
      </c>
      <c r="C30" s="440"/>
      <c r="D30" s="440"/>
      <c r="E30" s="440"/>
      <c r="F30" s="325">
        <v>9.9199999999999997E-2</v>
      </c>
      <c r="G30" s="300"/>
      <c r="H30" s="300"/>
      <c r="I30" s="300"/>
    </row>
    <row r="31" spans="2:12">
      <c r="B31" s="439" t="s">
        <v>14</v>
      </c>
      <c r="C31" s="440"/>
      <c r="D31" s="440"/>
      <c r="E31" s="440"/>
      <c r="F31" s="325">
        <v>1</v>
      </c>
      <c r="G31" s="300" t="s">
        <v>3791</v>
      </c>
      <c r="H31" s="300"/>
      <c r="I31" s="300"/>
    </row>
    <row r="32" spans="2:12" ht="15" thickBot="1">
      <c r="B32" s="443" t="s">
        <v>15</v>
      </c>
      <c r="C32" s="444"/>
      <c r="D32" s="444"/>
      <c r="E32" s="444"/>
      <c r="F32" s="327">
        <v>1</v>
      </c>
      <c r="G32" s="300"/>
      <c r="H32" s="300"/>
      <c r="I32" s="300"/>
    </row>
    <row r="33" spans="1:18">
      <c r="A33" s="300"/>
      <c r="B33" s="420"/>
      <c r="C33" s="420"/>
      <c r="D33" s="420"/>
      <c r="E33" s="420"/>
      <c r="F33" s="328"/>
      <c r="G33" s="300"/>
      <c r="H33" s="300"/>
      <c r="I33" s="300"/>
      <c r="J33" s="300"/>
      <c r="K33" s="307"/>
      <c r="L33" s="308"/>
      <c r="M33" s="300"/>
      <c r="N33" s="300"/>
      <c r="O33" s="300"/>
      <c r="P33" s="300"/>
      <c r="Q33" s="300"/>
      <c r="R33" s="300"/>
    </row>
    <row r="34" spans="1:18">
      <c r="A34" s="300"/>
      <c r="B34" s="329" t="s">
        <v>3792</v>
      </c>
      <c r="C34" s="315"/>
      <c r="D34" s="300"/>
      <c r="E34" s="307"/>
      <c r="F34" s="300"/>
      <c r="G34" s="300"/>
      <c r="H34" s="300"/>
      <c r="I34" s="300"/>
      <c r="J34" s="300"/>
      <c r="K34" s="307"/>
      <c r="L34" s="308"/>
      <c r="M34" s="300"/>
      <c r="N34" s="300"/>
      <c r="O34" s="300"/>
      <c r="P34" s="300"/>
      <c r="Q34" s="300"/>
      <c r="R34" s="300"/>
    </row>
    <row r="35" spans="1:18">
      <c r="A35" s="286"/>
      <c r="B35" s="286"/>
      <c r="C35" s="286"/>
      <c r="D35" s="286"/>
      <c r="E35" s="286"/>
      <c r="F35" s="287"/>
      <c r="G35" s="286"/>
      <c r="H35" s="301"/>
      <c r="I35" s="301"/>
      <c r="J35" s="286"/>
      <c r="K35" s="286"/>
      <c r="L35" s="286"/>
      <c r="M35" s="286"/>
      <c r="N35" s="286"/>
      <c r="O35" s="286"/>
      <c r="P35" s="286"/>
      <c r="Q35" s="286"/>
      <c r="R35" s="286"/>
    </row>
    <row r="36" spans="1:18" ht="15" thickBot="1">
      <c r="A36" s="300"/>
      <c r="B36" s="329" t="s">
        <v>3793</v>
      </c>
      <c r="C36" s="300"/>
      <c r="D36" s="300"/>
      <c r="E36" s="307"/>
      <c r="F36" s="307"/>
      <c r="G36" s="300"/>
      <c r="H36" s="300" t="s">
        <v>3794</v>
      </c>
      <c r="I36" s="300"/>
      <c r="J36" s="300"/>
      <c r="K36" s="300"/>
      <c r="L36" s="300"/>
      <c r="M36" s="300"/>
      <c r="N36" s="300"/>
      <c r="O36" s="300"/>
      <c r="P36" s="300"/>
      <c r="Q36" s="300"/>
      <c r="R36" s="300"/>
    </row>
    <row r="37" spans="1:18" ht="15" customHeight="1" thickBot="1">
      <c r="A37" s="315"/>
      <c r="B37" s="451" t="s">
        <v>3795</v>
      </c>
      <c r="C37" s="452"/>
      <c r="D37" s="452"/>
      <c r="E37" s="453" t="s">
        <v>17</v>
      </c>
      <c r="F37" s="454"/>
      <c r="G37" s="330" t="s">
        <v>3796</v>
      </c>
      <c r="H37" s="331"/>
      <c r="I37" s="331"/>
      <c r="J37" s="332"/>
      <c r="K37" s="446" t="s">
        <v>3797</v>
      </c>
      <c r="L37" s="447"/>
      <c r="M37" s="447"/>
      <c r="N37" s="448"/>
    </row>
    <row r="38" spans="1:18" ht="15" thickBot="1">
      <c r="A38" s="315"/>
      <c r="B38" s="449" t="s">
        <v>16</v>
      </c>
      <c r="C38" s="450"/>
      <c r="D38" s="450"/>
      <c r="E38" s="333" t="s">
        <v>18</v>
      </c>
      <c r="F38" s="334" t="s">
        <v>212</v>
      </c>
      <c r="G38" s="335" t="s">
        <v>2661</v>
      </c>
      <c r="H38" s="336" t="s">
        <v>2662</v>
      </c>
      <c r="I38" s="336" t="s">
        <v>2663</v>
      </c>
      <c r="J38" s="336" t="s">
        <v>2664</v>
      </c>
      <c r="K38" s="330" t="s">
        <v>204</v>
      </c>
      <c r="L38" s="332" t="s">
        <v>203</v>
      </c>
      <c r="M38" s="419" t="s">
        <v>216</v>
      </c>
      <c r="N38" s="332" t="s">
        <v>207</v>
      </c>
      <c r="O38" s="332" t="s">
        <v>217</v>
      </c>
      <c r="P38" s="323" t="s">
        <v>218</v>
      </c>
    </row>
    <row r="39" spans="1:18">
      <c r="A39" s="315"/>
      <c r="B39" s="337" t="s">
        <v>3798</v>
      </c>
      <c r="C39" s="338"/>
      <c r="D39" s="339" t="s">
        <v>3799</v>
      </c>
      <c r="E39" s="340">
        <v>-3.3978609999999998</v>
      </c>
      <c r="F39" s="341">
        <v>34.837608000000003</v>
      </c>
      <c r="G39" s="342">
        <v>12.565665055683967</v>
      </c>
      <c r="H39" s="343">
        <v>0.9665896196679955</v>
      </c>
      <c r="I39" s="343">
        <v>86.467745324648035</v>
      </c>
      <c r="J39" s="344">
        <v>1.0225726959093147</v>
      </c>
      <c r="K39" s="340" t="s">
        <v>229</v>
      </c>
      <c r="L39" s="345" t="s">
        <v>257</v>
      </c>
      <c r="M39" s="345" t="s">
        <v>3800</v>
      </c>
      <c r="N39" s="345" t="s">
        <v>247</v>
      </c>
      <c r="O39" s="345" t="s">
        <v>234</v>
      </c>
      <c r="P39" s="305" t="s">
        <v>3801</v>
      </c>
    </row>
    <row r="40" spans="1:18">
      <c r="A40" s="315"/>
      <c r="B40" s="346" t="s">
        <v>3802</v>
      </c>
      <c r="C40" s="347"/>
      <c r="D40" s="348" t="s">
        <v>3799</v>
      </c>
      <c r="E40" s="418">
        <v>-3.3978290019999999</v>
      </c>
      <c r="F40" s="350">
        <v>34.837011969999999</v>
      </c>
      <c r="G40" s="351">
        <v>21.13063730679653</v>
      </c>
      <c r="H40" s="352">
        <v>3.0912555579081076</v>
      </c>
      <c r="I40" s="352">
        <v>75.778107135295357</v>
      </c>
      <c r="J40" s="353">
        <v>0.46131099063578063</v>
      </c>
      <c r="K40" s="418" t="s">
        <v>229</v>
      </c>
      <c r="L40" s="416" t="s">
        <v>257</v>
      </c>
      <c r="M40" s="416" t="s">
        <v>3800</v>
      </c>
      <c r="N40" s="416" t="s">
        <v>247</v>
      </c>
      <c r="O40" s="416" t="s">
        <v>234</v>
      </c>
      <c r="P40" s="309" t="s">
        <v>3801</v>
      </c>
    </row>
    <row r="41" spans="1:18">
      <c r="A41" s="315"/>
      <c r="B41" s="346" t="s">
        <v>3803</v>
      </c>
      <c r="C41" s="347"/>
      <c r="D41" s="348" t="s">
        <v>3799</v>
      </c>
      <c r="E41" s="418">
        <v>-3.3854090330000002</v>
      </c>
      <c r="F41" s="350">
        <v>34.818901029999999</v>
      </c>
      <c r="G41" s="351">
        <v>54.080969906906262</v>
      </c>
      <c r="H41" s="352">
        <v>21.264484651351896</v>
      </c>
      <c r="I41" s="352">
        <v>24.654545441741845</v>
      </c>
      <c r="J41" s="353">
        <v>1.8433218334154755</v>
      </c>
      <c r="K41" s="418" t="s">
        <v>229</v>
      </c>
      <c r="L41" s="416" t="s">
        <v>257</v>
      </c>
      <c r="M41" s="416" t="s">
        <v>3800</v>
      </c>
      <c r="N41" s="416" t="s">
        <v>247</v>
      </c>
      <c r="O41" s="416" t="s">
        <v>234</v>
      </c>
      <c r="P41" s="309" t="s">
        <v>3801</v>
      </c>
    </row>
    <row r="42" spans="1:18">
      <c r="A42" s="315"/>
      <c r="B42" s="346" t="s">
        <v>3804</v>
      </c>
      <c r="C42" s="347"/>
      <c r="D42" s="348" t="s">
        <v>3799</v>
      </c>
      <c r="E42" s="418">
        <v>-3.3849129919999998</v>
      </c>
      <c r="F42" s="350">
        <v>34.818899020000003</v>
      </c>
      <c r="G42" s="351">
        <v>51.960000000000008</v>
      </c>
      <c r="H42" s="352">
        <v>18.919999999999995</v>
      </c>
      <c r="I42" s="352">
        <v>29.120000000000005</v>
      </c>
      <c r="J42" s="353">
        <v>1.85293247905372</v>
      </c>
      <c r="K42" s="418" t="s">
        <v>229</v>
      </c>
      <c r="L42" s="416" t="s">
        <v>257</v>
      </c>
      <c r="M42" s="416" t="s">
        <v>3800</v>
      </c>
      <c r="N42" s="416" t="s">
        <v>247</v>
      </c>
      <c r="O42" s="416" t="s">
        <v>234</v>
      </c>
      <c r="P42" s="309" t="s">
        <v>3801</v>
      </c>
    </row>
    <row r="43" spans="1:18">
      <c r="A43" s="315"/>
      <c r="B43" s="346" t="s">
        <v>3805</v>
      </c>
      <c r="C43" s="347"/>
      <c r="D43" s="348" t="s">
        <v>3806</v>
      </c>
      <c r="E43" s="418">
        <v>-3.4092039989999998</v>
      </c>
      <c r="F43" s="350">
        <v>34.852751009999999</v>
      </c>
      <c r="G43" s="351">
        <v>23.96</v>
      </c>
      <c r="H43" s="352">
        <v>0.91999999999999804</v>
      </c>
      <c r="I43" s="352">
        <v>75.12</v>
      </c>
      <c r="J43" s="353">
        <v>1.2493839329719072</v>
      </c>
      <c r="K43" s="418" t="s">
        <v>229</v>
      </c>
      <c r="L43" s="416" t="s">
        <v>244</v>
      </c>
      <c r="M43" s="416" t="s">
        <v>3800</v>
      </c>
      <c r="N43" s="416" t="s">
        <v>247</v>
      </c>
      <c r="O43" s="416" t="s">
        <v>234</v>
      </c>
      <c r="P43" s="309" t="s">
        <v>3801</v>
      </c>
    </row>
    <row r="44" spans="1:18">
      <c r="A44" s="315"/>
      <c r="B44" s="346" t="s">
        <v>3807</v>
      </c>
      <c r="C44" s="347"/>
      <c r="D44" s="348" t="s">
        <v>3806</v>
      </c>
      <c r="E44" s="418">
        <v>-3.4083420040000001</v>
      </c>
      <c r="F44" s="350">
        <v>34.850283040000001</v>
      </c>
      <c r="G44" s="351">
        <v>19.96</v>
      </c>
      <c r="H44" s="352">
        <v>4.9199999999999982</v>
      </c>
      <c r="I44" s="352">
        <v>75.12</v>
      </c>
      <c r="J44" s="353">
        <v>1.641498275012321</v>
      </c>
      <c r="K44" s="418" t="s">
        <v>229</v>
      </c>
      <c r="L44" s="416" t="s">
        <v>244</v>
      </c>
      <c r="M44" s="416" t="s">
        <v>3800</v>
      </c>
      <c r="N44" s="416" t="s">
        <v>247</v>
      </c>
      <c r="O44" s="416" t="s">
        <v>234</v>
      </c>
      <c r="P44" s="309" t="s">
        <v>3801</v>
      </c>
    </row>
    <row r="45" spans="1:18">
      <c r="A45" s="315"/>
      <c r="B45" s="346" t="s">
        <v>3808</v>
      </c>
      <c r="C45" s="347"/>
      <c r="D45" s="348" t="s">
        <v>3806</v>
      </c>
      <c r="E45" s="418">
        <v>-3.406225992</v>
      </c>
      <c r="F45" s="350">
        <v>34.85055998</v>
      </c>
      <c r="G45" s="351">
        <v>21.96</v>
      </c>
      <c r="H45" s="352">
        <v>8.9199999999999982</v>
      </c>
      <c r="I45" s="352">
        <v>69.12</v>
      </c>
      <c r="J45" s="353">
        <v>1.7491375061606702</v>
      </c>
      <c r="K45" s="418" t="s">
        <v>229</v>
      </c>
      <c r="L45" s="416" t="s">
        <v>244</v>
      </c>
      <c r="M45" s="416" t="s">
        <v>3800</v>
      </c>
      <c r="N45" s="416" t="s">
        <v>247</v>
      </c>
      <c r="O45" s="416" t="s">
        <v>234</v>
      </c>
      <c r="P45" s="309" t="s">
        <v>3801</v>
      </c>
    </row>
    <row r="46" spans="1:18">
      <c r="A46" s="315"/>
      <c r="B46" s="346" t="s">
        <v>3809</v>
      </c>
      <c r="C46" s="347"/>
      <c r="D46" s="348" t="s">
        <v>3806</v>
      </c>
      <c r="E46" s="418">
        <v>-3.4064239729999999</v>
      </c>
      <c r="F46" s="350">
        <v>34.851213010000002</v>
      </c>
      <c r="G46" s="351">
        <v>25.96</v>
      </c>
      <c r="H46" s="352">
        <v>6.9200000000000008</v>
      </c>
      <c r="I46" s="352">
        <v>67.12</v>
      </c>
      <c r="J46" s="353">
        <v>1.7568260226712666</v>
      </c>
      <c r="K46" s="418" t="s">
        <v>229</v>
      </c>
      <c r="L46" s="416" t="s">
        <v>244</v>
      </c>
      <c r="M46" s="416" t="s">
        <v>3800</v>
      </c>
      <c r="N46" s="416" t="s">
        <v>247</v>
      </c>
      <c r="O46" s="416" t="s">
        <v>234</v>
      </c>
      <c r="P46" s="309" t="s">
        <v>3801</v>
      </c>
    </row>
    <row r="47" spans="1:18">
      <c r="A47" s="315"/>
      <c r="B47" s="346" t="s">
        <v>3810</v>
      </c>
      <c r="C47" s="347"/>
      <c r="D47" s="348" t="s">
        <v>3811</v>
      </c>
      <c r="E47" s="418">
        <v>-3.2993960379999998</v>
      </c>
      <c r="F47" s="350">
        <v>34.848240959999998</v>
      </c>
      <c r="G47" s="351">
        <v>47.96</v>
      </c>
      <c r="H47" s="352">
        <v>22.919999999999995</v>
      </c>
      <c r="I47" s="352">
        <v>29.120000000000012</v>
      </c>
      <c r="J47" s="353">
        <v>2.8831936914736325</v>
      </c>
      <c r="K47" s="418" t="s">
        <v>229</v>
      </c>
      <c r="L47" s="416" t="s">
        <v>230</v>
      </c>
      <c r="M47" s="416" t="s">
        <v>3800</v>
      </c>
      <c r="N47" s="416" t="s">
        <v>247</v>
      </c>
      <c r="O47" s="416" t="s">
        <v>234</v>
      </c>
      <c r="P47" s="309" t="s">
        <v>3801</v>
      </c>
    </row>
    <row r="48" spans="1:18">
      <c r="A48" s="315"/>
      <c r="B48" s="346" t="s">
        <v>3812</v>
      </c>
      <c r="C48" s="347"/>
      <c r="D48" s="348" t="s">
        <v>3811</v>
      </c>
      <c r="E48" s="418">
        <v>-3.3025860229999999</v>
      </c>
      <c r="F48" s="350">
        <v>34.848048009999999</v>
      </c>
      <c r="G48" s="351">
        <v>45.272914521112256</v>
      </c>
      <c r="H48" s="352">
        <v>23.604531410916575</v>
      </c>
      <c r="I48" s="352">
        <v>31.122554067971166</v>
      </c>
      <c r="J48" s="353">
        <v>2.0547560374568752</v>
      </c>
      <c r="K48" s="418" t="s">
        <v>229</v>
      </c>
      <c r="L48" s="416" t="s">
        <v>230</v>
      </c>
      <c r="M48" s="416" t="s">
        <v>3800</v>
      </c>
      <c r="N48" s="416" t="s">
        <v>247</v>
      </c>
      <c r="O48" s="416" t="s">
        <v>234</v>
      </c>
      <c r="P48" s="309" t="s">
        <v>3801</v>
      </c>
    </row>
    <row r="49" spans="1:16">
      <c r="A49" s="315"/>
      <c r="B49" s="346" t="s">
        <v>3813</v>
      </c>
      <c r="C49" s="347"/>
      <c r="D49" s="348" t="s">
        <v>3811</v>
      </c>
      <c r="E49" s="418">
        <v>-3.2957159630000001</v>
      </c>
      <c r="F49" s="350">
        <v>34.852460999999998</v>
      </c>
      <c r="G49" s="351">
        <v>38.691629007962128</v>
      </c>
      <c r="H49" s="352">
        <v>26.81299763288143</v>
      </c>
      <c r="I49" s="352">
        <v>34.495373359156439</v>
      </c>
      <c r="J49" s="353">
        <v>2.5483587974371611</v>
      </c>
      <c r="K49" s="418" t="s">
        <v>229</v>
      </c>
      <c r="L49" s="416" t="s">
        <v>230</v>
      </c>
      <c r="M49" s="416" t="s">
        <v>3800</v>
      </c>
      <c r="N49" s="416" t="s">
        <v>247</v>
      </c>
      <c r="O49" s="416" t="s">
        <v>234</v>
      </c>
      <c r="P49" s="309" t="s">
        <v>3801</v>
      </c>
    </row>
    <row r="50" spans="1:16">
      <c r="A50" s="315"/>
      <c r="B50" s="346" t="s">
        <v>3814</v>
      </c>
      <c r="C50" s="347"/>
      <c r="D50" s="348" t="s">
        <v>3811</v>
      </c>
      <c r="E50" s="418">
        <v>-3.2966709980000002</v>
      </c>
      <c r="F50" s="350">
        <v>34.854407019999996</v>
      </c>
      <c r="G50" s="351">
        <v>28.145762029394</v>
      </c>
      <c r="H50" s="352">
        <v>25.085564727199518</v>
      </c>
      <c r="I50" s="352">
        <v>46.768673243406489</v>
      </c>
      <c r="J50" s="353">
        <v>2.1716214884179394</v>
      </c>
      <c r="K50" s="418" t="s">
        <v>229</v>
      </c>
      <c r="L50" s="416" t="s">
        <v>230</v>
      </c>
      <c r="M50" s="416" t="s">
        <v>3800</v>
      </c>
      <c r="N50" s="416" t="s">
        <v>247</v>
      </c>
      <c r="O50" s="416" t="s">
        <v>234</v>
      </c>
      <c r="P50" s="309" t="s">
        <v>3801</v>
      </c>
    </row>
    <row r="51" spans="1:16">
      <c r="A51" s="300"/>
      <c r="B51" s="346" t="s">
        <v>3815</v>
      </c>
      <c r="C51" s="347"/>
      <c r="D51" s="348" t="s">
        <v>3816</v>
      </c>
      <c r="E51" s="418">
        <v>-2.3691620310000001</v>
      </c>
      <c r="F51" s="350">
        <v>34.06028104</v>
      </c>
      <c r="G51" s="351">
        <v>45.96</v>
      </c>
      <c r="H51" s="352">
        <v>14.920000000000003</v>
      </c>
      <c r="I51" s="352">
        <v>39.119999999999997</v>
      </c>
      <c r="J51" s="353">
        <v>2.0374568753080333</v>
      </c>
      <c r="K51" s="418" t="s">
        <v>229</v>
      </c>
      <c r="L51" s="416" t="s">
        <v>257</v>
      </c>
      <c r="M51" s="416" t="s">
        <v>3800</v>
      </c>
      <c r="N51" s="416" t="s">
        <v>247</v>
      </c>
      <c r="O51" s="416" t="s">
        <v>234</v>
      </c>
      <c r="P51" s="309" t="s">
        <v>3801</v>
      </c>
    </row>
    <row r="52" spans="1:16">
      <c r="A52" s="300"/>
      <c r="B52" s="346" t="s">
        <v>3817</v>
      </c>
      <c r="C52" s="347"/>
      <c r="D52" s="348" t="s">
        <v>3816</v>
      </c>
      <c r="E52" s="418">
        <v>-2.3698080240000001</v>
      </c>
      <c r="F52" s="350">
        <v>34.059671010000002</v>
      </c>
      <c r="G52" s="351">
        <v>34.344660194174757</v>
      </c>
      <c r="H52" s="352">
        <v>19.22727272727273</v>
      </c>
      <c r="I52" s="352">
        <v>46.428067078552509</v>
      </c>
      <c r="J52" s="353">
        <v>1.7452932479053718</v>
      </c>
      <c r="K52" s="418" t="s">
        <v>229</v>
      </c>
      <c r="L52" s="416" t="s">
        <v>257</v>
      </c>
      <c r="M52" s="416" t="s">
        <v>3800</v>
      </c>
      <c r="N52" s="416" t="s">
        <v>247</v>
      </c>
      <c r="O52" s="416" t="s">
        <v>234</v>
      </c>
      <c r="P52" s="309" t="s">
        <v>3801</v>
      </c>
    </row>
    <row r="53" spans="1:16">
      <c r="A53" s="300"/>
      <c r="B53" s="346" t="s">
        <v>3818</v>
      </c>
      <c r="C53" s="347"/>
      <c r="D53" s="348" t="s">
        <v>3816</v>
      </c>
      <c r="E53" s="418">
        <v>-2.3487199940000001</v>
      </c>
      <c r="F53" s="350">
        <v>34.051391029999998</v>
      </c>
      <c r="G53" s="351">
        <v>27.96</v>
      </c>
      <c r="H53" s="352">
        <v>4.9200000000000017</v>
      </c>
      <c r="I53" s="352">
        <v>67.12</v>
      </c>
      <c r="J53" s="353">
        <v>0.88610152784622953</v>
      </c>
      <c r="K53" s="418" t="s">
        <v>229</v>
      </c>
      <c r="L53" s="416" t="s">
        <v>257</v>
      </c>
      <c r="M53" s="416" t="s">
        <v>3800</v>
      </c>
      <c r="N53" s="416" t="s">
        <v>247</v>
      </c>
      <c r="O53" s="416" t="s">
        <v>234</v>
      </c>
      <c r="P53" s="309" t="s">
        <v>3801</v>
      </c>
    </row>
    <row r="54" spans="1:16">
      <c r="A54" s="300"/>
      <c r="B54" s="346" t="s">
        <v>3819</v>
      </c>
      <c r="C54" s="347"/>
      <c r="D54" s="348" t="s">
        <v>3816</v>
      </c>
      <c r="E54" s="418">
        <v>-2.3492639789999998</v>
      </c>
      <c r="F54" s="350">
        <v>34.051464029999998</v>
      </c>
      <c r="G54" s="351">
        <v>17.96</v>
      </c>
      <c r="H54" s="352">
        <v>4.9199999999999982</v>
      </c>
      <c r="I54" s="352">
        <v>77.12</v>
      </c>
      <c r="J54" s="353">
        <v>2.0220798422868409</v>
      </c>
      <c r="K54" s="418" t="s">
        <v>229</v>
      </c>
      <c r="L54" s="416" t="s">
        <v>257</v>
      </c>
      <c r="M54" s="416" t="s">
        <v>3800</v>
      </c>
      <c r="N54" s="416" t="s">
        <v>247</v>
      </c>
      <c r="O54" s="416" t="s">
        <v>234</v>
      </c>
      <c r="P54" s="309" t="s">
        <v>3801</v>
      </c>
    </row>
    <row r="55" spans="1:16">
      <c r="B55" s="346" t="s">
        <v>3820</v>
      </c>
      <c r="C55" s="347"/>
      <c r="D55" s="348" t="s">
        <v>3821</v>
      </c>
      <c r="E55" s="418">
        <v>-2.3503360249999998</v>
      </c>
      <c r="F55" s="350">
        <v>34.049662009999999</v>
      </c>
      <c r="G55" s="351">
        <v>31.214836424255054</v>
      </c>
      <c r="H55" s="352">
        <v>11.377370285476141</v>
      </c>
      <c r="I55" s="352">
        <v>57.407793290268799</v>
      </c>
      <c r="J55" s="353">
        <v>1.7337604731394776</v>
      </c>
      <c r="K55" s="418" t="s">
        <v>229</v>
      </c>
      <c r="L55" s="416" t="s">
        <v>244</v>
      </c>
      <c r="M55" s="416" t="s">
        <v>3800</v>
      </c>
      <c r="N55" s="416" t="s">
        <v>247</v>
      </c>
      <c r="O55" s="416" t="s">
        <v>234</v>
      </c>
      <c r="P55" s="309" t="s">
        <v>3801</v>
      </c>
    </row>
    <row r="56" spans="1:16">
      <c r="B56" s="346" t="s">
        <v>3822</v>
      </c>
      <c r="C56" s="347"/>
      <c r="D56" s="348" t="s">
        <v>3821</v>
      </c>
      <c r="E56" s="418">
        <v>-2.348596025</v>
      </c>
      <c r="F56" s="350">
        <v>34.050070959999999</v>
      </c>
      <c r="G56" s="351">
        <v>33.96</v>
      </c>
      <c r="H56" s="352">
        <v>8.9200000000000017</v>
      </c>
      <c r="I56" s="352">
        <v>57.12</v>
      </c>
      <c r="J56" s="353">
        <v>2.072055199605717</v>
      </c>
      <c r="K56" s="418" t="s">
        <v>229</v>
      </c>
      <c r="L56" s="416" t="s">
        <v>244</v>
      </c>
      <c r="M56" s="416" t="s">
        <v>3800</v>
      </c>
      <c r="N56" s="416" t="s">
        <v>247</v>
      </c>
      <c r="O56" s="416" t="s">
        <v>234</v>
      </c>
      <c r="P56" s="309" t="s">
        <v>3801</v>
      </c>
    </row>
    <row r="57" spans="1:16">
      <c r="B57" s="346" t="s">
        <v>3823</v>
      </c>
      <c r="C57" s="347"/>
      <c r="D57" s="348" t="s">
        <v>3821</v>
      </c>
      <c r="E57" s="418">
        <v>-2.3675269729999999</v>
      </c>
      <c r="F57" s="350">
        <v>34.06035799</v>
      </c>
      <c r="G57" s="351">
        <v>39.96</v>
      </c>
      <c r="H57" s="352">
        <v>12.920000000000002</v>
      </c>
      <c r="I57" s="352">
        <v>47.12</v>
      </c>
      <c r="J57" s="353">
        <v>1.6549531789058647</v>
      </c>
      <c r="K57" s="418" t="s">
        <v>229</v>
      </c>
      <c r="L57" s="416" t="s">
        <v>244</v>
      </c>
      <c r="M57" s="416" t="s">
        <v>3800</v>
      </c>
      <c r="N57" s="416" t="s">
        <v>247</v>
      </c>
      <c r="O57" s="416" t="s">
        <v>234</v>
      </c>
      <c r="P57" s="309" t="s">
        <v>3801</v>
      </c>
    </row>
    <row r="58" spans="1:16">
      <c r="B58" s="346" t="s">
        <v>3824</v>
      </c>
      <c r="C58" s="347"/>
      <c r="D58" s="348" t="s">
        <v>3821</v>
      </c>
      <c r="E58" s="418">
        <v>-2.3676780150000001</v>
      </c>
      <c r="F58" s="350">
        <v>34.05937797</v>
      </c>
      <c r="G58" s="351">
        <v>27.96</v>
      </c>
      <c r="H58" s="352">
        <v>4.9200000000000017</v>
      </c>
      <c r="I58" s="352">
        <v>67.12</v>
      </c>
      <c r="J58" s="353">
        <v>1.0437161163134547</v>
      </c>
      <c r="K58" s="418" t="s">
        <v>229</v>
      </c>
      <c r="L58" s="416" t="s">
        <v>244</v>
      </c>
      <c r="M58" s="416" t="s">
        <v>3800</v>
      </c>
      <c r="N58" s="416" t="s">
        <v>247</v>
      </c>
      <c r="O58" s="416" t="s">
        <v>234</v>
      </c>
      <c r="P58" s="309" t="s">
        <v>3801</v>
      </c>
    </row>
    <row r="59" spans="1:16">
      <c r="B59" s="346" t="s">
        <v>3825</v>
      </c>
      <c r="C59" s="347"/>
      <c r="D59" s="348" t="s">
        <v>3826</v>
      </c>
      <c r="E59" s="418">
        <v>-2.272751033</v>
      </c>
      <c r="F59" s="350">
        <v>34.023176030000002</v>
      </c>
      <c r="G59" s="351">
        <v>21.96</v>
      </c>
      <c r="H59" s="352">
        <v>4.9199999999999982</v>
      </c>
      <c r="I59" s="352">
        <v>73.12</v>
      </c>
      <c r="J59" s="353">
        <v>1.2416954164613114</v>
      </c>
      <c r="K59" s="418" t="s">
        <v>229</v>
      </c>
      <c r="L59" s="416" t="s">
        <v>230</v>
      </c>
      <c r="M59" s="416" t="s">
        <v>3800</v>
      </c>
      <c r="N59" s="416" t="s">
        <v>247</v>
      </c>
      <c r="O59" s="416" t="s">
        <v>234</v>
      </c>
      <c r="P59" s="309" t="s">
        <v>3801</v>
      </c>
    </row>
    <row r="60" spans="1:16">
      <c r="B60" s="346" t="s">
        <v>3827</v>
      </c>
      <c r="C60" s="347"/>
      <c r="D60" s="348" t="s">
        <v>3826</v>
      </c>
      <c r="E60" s="418">
        <v>-2.2784290180000002</v>
      </c>
      <c r="F60" s="350">
        <v>34.024240030000001</v>
      </c>
      <c r="G60" s="351">
        <v>23.96</v>
      </c>
      <c r="H60" s="352">
        <v>4.9199999999999982</v>
      </c>
      <c r="I60" s="352">
        <v>71.12</v>
      </c>
      <c r="J60" s="353">
        <v>3.30913750616067</v>
      </c>
      <c r="K60" s="418" t="s">
        <v>229</v>
      </c>
      <c r="L60" s="416" t="s">
        <v>230</v>
      </c>
      <c r="M60" s="416" t="s">
        <v>3800</v>
      </c>
      <c r="N60" s="416" t="s">
        <v>247</v>
      </c>
      <c r="O60" s="416" t="s">
        <v>234</v>
      </c>
      <c r="P60" s="309" t="s">
        <v>3801</v>
      </c>
    </row>
    <row r="61" spans="1:16">
      <c r="B61" s="346" t="s">
        <v>3828</v>
      </c>
      <c r="C61" s="347"/>
      <c r="D61" s="348" t="s">
        <v>3826</v>
      </c>
      <c r="E61" s="418">
        <v>-2.277740026</v>
      </c>
      <c r="F61" s="350">
        <v>34.027640990000002</v>
      </c>
      <c r="G61" s="351">
        <v>25.96</v>
      </c>
      <c r="H61" s="352">
        <v>8.9200000000000017</v>
      </c>
      <c r="I61" s="352">
        <v>65.12</v>
      </c>
      <c r="J61" s="353">
        <v>1.614588467225234</v>
      </c>
      <c r="K61" s="418" t="s">
        <v>229</v>
      </c>
      <c r="L61" s="416" t="s">
        <v>230</v>
      </c>
      <c r="M61" s="416" t="s">
        <v>3800</v>
      </c>
      <c r="N61" s="416" t="s">
        <v>247</v>
      </c>
      <c r="O61" s="416" t="s">
        <v>234</v>
      </c>
      <c r="P61" s="309" t="s">
        <v>3801</v>
      </c>
    </row>
    <row r="62" spans="1:16">
      <c r="B62" s="346" t="s">
        <v>3829</v>
      </c>
      <c r="C62" s="347"/>
      <c r="D62" s="348" t="s">
        <v>3826</v>
      </c>
      <c r="E62" s="418">
        <v>-2.2787330300000002</v>
      </c>
      <c r="F62" s="350">
        <v>34.032136029999997</v>
      </c>
      <c r="G62" s="351">
        <v>25.96</v>
      </c>
      <c r="H62" s="352">
        <v>8.9200000000000017</v>
      </c>
      <c r="I62" s="352">
        <v>65.12</v>
      </c>
      <c r="J62" s="353">
        <v>1.6991621488417901</v>
      </c>
      <c r="K62" s="418" t="s">
        <v>229</v>
      </c>
      <c r="L62" s="416" t="s">
        <v>230</v>
      </c>
      <c r="M62" s="416" t="s">
        <v>3800</v>
      </c>
      <c r="N62" s="416" t="s">
        <v>247</v>
      </c>
      <c r="O62" s="416" t="s">
        <v>234</v>
      </c>
      <c r="P62" s="309" t="s">
        <v>3801</v>
      </c>
    </row>
    <row r="63" spans="1:16" ht="15" thickBot="1">
      <c r="B63" s="355" t="s">
        <v>2512</v>
      </c>
      <c r="C63" s="356"/>
      <c r="D63" s="357" t="s">
        <v>3830</v>
      </c>
      <c r="E63" s="358">
        <v>-2.439403972</v>
      </c>
      <c r="F63" s="359">
        <v>34.838404959999998</v>
      </c>
      <c r="G63" s="360">
        <v>22.017293559158162</v>
      </c>
      <c r="H63" s="361">
        <v>6.5855206693798616</v>
      </c>
      <c r="I63" s="361">
        <v>71.397185771461977</v>
      </c>
      <c r="J63" s="362">
        <v>1.1393420404139967</v>
      </c>
      <c r="K63" s="358" t="s">
        <v>229</v>
      </c>
      <c r="L63" s="363" t="s">
        <v>230</v>
      </c>
      <c r="M63" s="363" t="s">
        <v>3800</v>
      </c>
      <c r="N63" s="363" t="s">
        <v>247</v>
      </c>
      <c r="O63" s="363" t="s">
        <v>234</v>
      </c>
      <c r="P63" s="364" t="s">
        <v>3801</v>
      </c>
    </row>
    <row r="64" spans="1:16">
      <c r="B64" s="329" t="s">
        <v>3831</v>
      </c>
    </row>
    <row r="67" spans="2:33" ht="15" thickBot="1">
      <c r="B67" s="329" t="s">
        <v>3832</v>
      </c>
      <c r="C67" s="315"/>
      <c r="D67" s="315"/>
      <c r="E67" s="315"/>
      <c r="F67" s="365"/>
      <c r="G67" s="365"/>
      <c r="H67" s="365"/>
      <c r="I67" s="365"/>
      <c r="J67" s="315"/>
      <c r="K67" s="366"/>
      <c r="L67" s="367"/>
    </row>
    <row r="68" spans="2:33" ht="15" thickBot="1">
      <c r="B68" s="458" t="s">
        <v>21</v>
      </c>
      <c r="C68" s="459"/>
      <c r="D68" s="459"/>
      <c r="E68" s="459"/>
      <c r="F68" s="368" t="s">
        <v>3833</v>
      </c>
      <c r="G68" s="417"/>
      <c r="H68" s="417"/>
      <c r="I68" s="417"/>
      <c r="J68" s="417"/>
      <c r="K68" s="417"/>
      <c r="L68" s="370"/>
    </row>
    <row r="69" spans="2:33">
      <c r="B69" s="460" t="s">
        <v>22</v>
      </c>
      <c r="C69" s="461"/>
      <c r="D69" s="461"/>
      <c r="E69" s="461"/>
      <c r="F69" s="371" t="s">
        <v>3834</v>
      </c>
      <c r="G69" s="372"/>
      <c r="H69" s="372"/>
      <c r="I69" s="372"/>
      <c r="J69" s="372"/>
      <c r="K69" s="372"/>
      <c r="L69" s="373"/>
    </row>
    <row r="70" spans="2:33" ht="15" thickBot="1">
      <c r="B70" s="462" t="s">
        <v>25</v>
      </c>
      <c r="C70" s="463"/>
      <c r="D70" s="463"/>
      <c r="E70" s="463"/>
      <c r="F70" s="464" t="s">
        <v>3835</v>
      </c>
      <c r="G70" s="445"/>
      <c r="H70" s="445"/>
      <c r="I70" s="445"/>
      <c r="J70" s="445"/>
      <c r="K70" s="445"/>
      <c r="L70" s="445"/>
    </row>
    <row r="71" spans="2:33">
      <c r="B71" s="329" t="s">
        <v>3836</v>
      </c>
    </row>
    <row r="72" spans="2:33" ht="18">
      <c r="AG72" s="374"/>
    </row>
    <row r="73" spans="2:33">
      <c r="D73" s="455" t="s">
        <v>3859</v>
      </c>
      <c r="E73" s="455"/>
      <c r="F73" s="455"/>
      <c r="G73" s="455"/>
      <c r="H73" s="455"/>
    </row>
    <row r="74" spans="2:33" ht="18.600000000000001" thickBot="1">
      <c r="B74" s="375" t="s">
        <v>3838</v>
      </c>
      <c r="D74" s="456"/>
      <c r="E74" s="456"/>
      <c r="F74" s="456"/>
      <c r="G74" s="456"/>
      <c r="H74" s="456"/>
      <c r="Y74" s="457" t="s">
        <v>3839</v>
      </c>
      <c r="Z74" s="457"/>
      <c r="AA74" s="457"/>
      <c r="AB74" s="457"/>
      <c r="AC74" s="457"/>
      <c r="AD74" s="457"/>
    </row>
    <row r="75" spans="2:33" ht="87" thickBot="1">
      <c r="B75" s="376" t="s">
        <v>2451</v>
      </c>
      <c r="C75" s="109" t="s">
        <v>23</v>
      </c>
      <c r="D75" s="109" t="s">
        <v>3840</v>
      </c>
      <c r="E75" s="109" t="s">
        <v>25</v>
      </c>
      <c r="F75" s="109" t="s">
        <v>26</v>
      </c>
      <c r="G75" s="377" t="s">
        <v>27</v>
      </c>
      <c r="H75" s="109" t="s">
        <v>3841</v>
      </c>
      <c r="I75" s="109" t="s">
        <v>3842</v>
      </c>
      <c r="J75" s="109" t="s">
        <v>3843</v>
      </c>
      <c r="K75" s="109" t="s">
        <v>28</v>
      </c>
      <c r="L75" s="109" t="s">
        <v>29</v>
      </c>
      <c r="M75" s="109" t="s">
        <v>30</v>
      </c>
      <c r="N75" s="377" t="s">
        <v>31</v>
      </c>
      <c r="O75" s="109" t="s">
        <v>3848</v>
      </c>
      <c r="P75" s="109" t="s">
        <v>3849</v>
      </c>
      <c r="Q75" s="109" t="s">
        <v>34</v>
      </c>
      <c r="R75" s="109" t="s">
        <v>35</v>
      </c>
      <c r="S75" s="109" t="s">
        <v>3854</v>
      </c>
      <c r="T75" s="109" t="s">
        <v>288</v>
      </c>
      <c r="U75" s="109" t="s">
        <v>289</v>
      </c>
      <c r="V75" s="109" t="s">
        <v>292</v>
      </c>
      <c r="W75" s="109" t="s">
        <v>40</v>
      </c>
      <c r="X75" s="378" t="s">
        <v>41</v>
      </c>
      <c r="Y75" s="379" t="s">
        <v>3944</v>
      </c>
      <c r="Z75" s="379" t="s">
        <v>3855</v>
      </c>
      <c r="AA75" s="379" t="s">
        <v>3856</v>
      </c>
      <c r="AB75" s="379" t="s">
        <v>3945</v>
      </c>
      <c r="AC75" s="379" t="s">
        <v>3857</v>
      </c>
      <c r="AD75" s="380" t="s">
        <v>3858</v>
      </c>
    </row>
    <row r="76" spans="2:33">
      <c r="B76" t="str">
        <f>'Final data_for_R_analysis_Wetse'!A2</f>
        <v>Wet</v>
      </c>
      <c r="C76" s="260">
        <f>'Final data_for_R_analysis_Wetse'!B2</f>
        <v>1</v>
      </c>
      <c r="D76" t="s">
        <v>3798</v>
      </c>
      <c r="E76" t="s">
        <v>22</v>
      </c>
      <c r="F76" s="381">
        <v>1</v>
      </c>
      <c r="G76" s="16">
        <f>'WetLitterbags placem_collection'!E3</f>
        <v>42766</v>
      </c>
      <c r="H76" t="str">
        <f>'Final data_for_R_analysis_Wetse'!K2</f>
        <v>G436</v>
      </c>
      <c r="I76" t="str">
        <f>'Final data_for_R_analysis_Wetse'!K222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IF(K76&gt;0,(K76*$F$32-($F$29+$F$30)),"")</f>
        <v>1.9192</v>
      </c>
      <c r="N76" s="16">
        <f>IF('WetLitterbags placem_collection'!G3="","",'WetLitterbags placem_collection'!G3)</f>
        <v>42818</v>
      </c>
      <c r="O76" s="194">
        <f>IFERROR(INDEX('Both teabags AfterWet'!$C$3:$C$2000,MATCH(H76,'Both teabags AfterWet'!$A$3:$A$2000,0)),"")</f>
        <v>0.43290000000000001</v>
      </c>
      <c r="P76" s="194">
        <f>IFERROR(INDEX('Both teabags AfterWet'!$C$3:$C$2000,MATCH(I76,'Both teabags AfterWet'!$A$3:$A$2000,0)),"")</f>
        <v>1.0208999999999999</v>
      </c>
      <c r="Q76" s="194">
        <f>IFERROR(IF(O76&gt;0,O76-($F$29),""),"")</f>
        <v>0.2823</v>
      </c>
      <c r="R76" s="194">
        <f>IFERROR(IF(P76&gt;0,P76-($F$29),""),"")</f>
        <v>0.87029999999999985</v>
      </c>
      <c r="S76" s="194">
        <f>IFERROR(1-Q76/L76,"")</f>
        <v>0.84168909825033644</v>
      </c>
      <c r="T76" s="194">
        <f>IFERROR($F$26*(1-W76),"")</f>
        <v>0.55179617842539874</v>
      </c>
      <c r="U76" s="194">
        <f>IFERROR(R76/M76,"")</f>
        <v>0.45347019591496451</v>
      </c>
      <c r="V76">
        <f>IFERROR(IF((N76-G76)&gt;0,(IFERROR(N76-G76,"")),""),"")</f>
        <v>52</v>
      </c>
      <c r="W76" s="194">
        <f>IFERROR(1-(S76/$F$25),"")</f>
        <v>3.6924198297327848E-4</v>
      </c>
      <c r="X76" s="194">
        <f>IFERROR(LN(T76/(U76-(1-T76)))/V76,"")</f>
        <v>8.9458395986105416E-2</v>
      </c>
      <c r="Y76" s="252" t="str">
        <f>IF(ISNUMBER(SEARCH("C",'WetLitterbags placem_collection'!$X3)),"YES","NO")</f>
        <v>NO</v>
      </c>
      <c r="Z76" s="252" t="str">
        <f>IF(ISNUMBER(SEARCH("H", 'WetLitterbags placem_collection'!$X3)),"YES","NO")</f>
        <v>NO</v>
      </c>
      <c r="AA76" s="252" t="str">
        <f>IF(ISNUMBER(SEARCH("R", 'WetLitterbags placem_collection'!$X3)),"YES","NO")</f>
        <v>NO</v>
      </c>
      <c r="AB76" s="252" t="str">
        <f>IF(ISNUMBER(SEARCH("C", 'WetLitterbags placem_collection'!$V3)),"YES","NO")</f>
        <v>NO</v>
      </c>
      <c r="AC76" s="252" t="str">
        <f>IF(ISNUMBER(SEARCH("H", 'WetLitterbags placem_collection'!$V3)),"YES","NO")</f>
        <v>YES</v>
      </c>
      <c r="AD76" s="252" t="str">
        <f>IF(ISNUMBER(SEARCH("R", 'WetLitterbags placem_collection'!$V3)),"YES","NO")</f>
        <v>NO</v>
      </c>
    </row>
    <row r="77" spans="2:33">
      <c r="B77" t="str">
        <f>'Final data_for_R_analysis_Wetse'!A3</f>
        <v>Wet</v>
      </c>
      <c r="C77" s="260">
        <f>'Final data_for_R_analysis_Wetse'!B3</f>
        <v>2</v>
      </c>
      <c r="D77" t="s">
        <v>3798</v>
      </c>
      <c r="E77" t="s">
        <v>22</v>
      </c>
      <c r="F77" s="381">
        <v>2</v>
      </c>
      <c r="G77" s="16">
        <f>'WetLitterbags placem_collection'!E4</f>
        <v>42766</v>
      </c>
      <c r="H77" t="str">
        <f>'Final data_for_R_analysis_Wetse'!K3</f>
        <v>G568</v>
      </c>
      <c r="I77" t="str">
        <f>'Final data_for_R_analysis_Wetse'!K223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0">IF(J77&gt;0,(J77*$F$31-($F$29+$F$30)),"")</f>
        <v>1.7561999999999998</v>
      </c>
      <c r="M77" s="194">
        <f>IF(K77&gt;0,(K77*$F$32-($F$29+$F$30)),"")</f>
        <v>1.9152</v>
      </c>
      <c r="N77" s="16">
        <f>IF('WetLitterbags placem_collection'!G4="","",'WetLitterbags placem_collection'!G4)</f>
        <v>42818</v>
      </c>
      <c r="O77" s="194">
        <f>IFERROR(INDEX('Both teabags AfterWet'!$C$3:$C$2000,MATCH(H77,'Both teabags AfterWet'!$A$3:$A$2000,0)),"")</f>
        <v>0.629</v>
      </c>
      <c r="P77" s="194">
        <f>IFERROR(INDEX('Both teabags AfterWet'!$C$3:$C$2000,MATCH(I77,'Both teabags AfterWet'!$A$3:$A$2000,0)),"")</f>
        <v>1.3073999999999999</v>
      </c>
      <c r="Q77" s="194">
        <f t="shared" ref="Q77:R140" si="1">IFERROR(IF(O77&gt;0,O77-($F$29),""),"")</f>
        <v>0.47839999999999999</v>
      </c>
      <c r="R77" s="194">
        <f t="shared" si="1"/>
        <v>1.1567999999999998</v>
      </c>
      <c r="S77" s="194">
        <f t="shared" ref="S77:S140" si="2">IFERROR(1-Q77/L77,"")</f>
        <v>0.72759366814713577</v>
      </c>
      <c r="T77" s="194">
        <f t="shared" ref="T77:T140" si="3">IFERROR($F$26*(1-W77),"")</f>
        <v>0.47699727412971377</v>
      </c>
      <c r="U77" s="194">
        <f t="shared" ref="U77:U140" si="4">IFERROR(R77/M77,"")</f>
        <v>0.60401002506265655</v>
      </c>
      <c r="V77">
        <f>IFERROR(IF((N77-G77)&gt;0,(IFERROR(N77-G77,"")),""),"")</f>
        <v>52</v>
      </c>
      <c r="W77" s="194">
        <f t="shared" ref="W77:W140" si="5">IFERROR(1-(S77/$F$25),"")</f>
        <v>0.13587450338819973</v>
      </c>
      <c r="X77" s="194">
        <f t="shared" ref="X77:X140" si="6">IFERROR(LN(T77/(U77-(1-T77)))/V77,"")</f>
        <v>3.4095606003091118E-2</v>
      </c>
      <c r="Y77" s="252" t="str">
        <f>IF(ISNUMBER(SEARCH("C",'WetLitterbags placem_collection'!$X4)),"YES","NO")</f>
        <v>NO</v>
      </c>
      <c r="Z77" s="252" t="str">
        <f>IF(ISNUMBER(SEARCH("H", 'WetLitterbags placem_collection'!$X4)),"YES","NO")</f>
        <v>NO</v>
      </c>
      <c r="AA77" s="252" t="str">
        <f>IF(ISNUMBER(SEARCH("R", 'WetLitterbags placem_collection'!$X4)),"YES","NO")</f>
        <v>NO</v>
      </c>
      <c r="AB77" s="252" t="str">
        <f>IF(ISNUMBER(SEARCH("C", 'WetLitterbags placem_collection'!$V4)),"YES","NO")</f>
        <v>NO</v>
      </c>
      <c r="AC77" s="252" t="str">
        <f>IF(ISNUMBER(SEARCH("H", 'WetLitterbags placem_collection'!$V4)),"YES","NO")</f>
        <v>NO</v>
      </c>
      <c r="AD77" s="252" t="str">
        <f>IF(ISNUMBER(SEARCH("R", 'WetLitterbags placem_collection'!$V4)),"YES","NO")</f>
        <v>NO</v>
      </c>
    </row>
    <row r="78" spans="2:33">
      <c r="B78" t="str">
        <f>'Final data_for_R_analysis_Wetse'!A4</f>
        <v>Wet</v>
      </c>
      <c r="C78" s="260">
        <f>'Final data_for_R_analysis_Wetse'!B4</f>
        <v>3</v>
      </c>
      <c r="D78" t="s">
        <v>3798</v>
      </c>
      <c r="E78" t="s">
        <v>22</v>
      </c>
      <c r="F78" s="381">
        <v>3</v>
      </c>
      <c r="G78" s="16">
        <f>'WetLitterbags placem_collection'!E5</f>
        <v>42766</v>
      </c>
      <c r="H78" t="str">
        <f>'Final data_for_R_analysis_Wetse'!K4</f>
        <v>G631</v>
      </c>
      <c r="I78" t="str">
        <f>'Final data_for_R_analysis_Wetse'!K224</f>
        <v>R158</v>
      </c>
      <c r="J78">
        <f>IFERROR(INDEX('Green_rooibos initial weight'!$C$5:$C$2000,MATCH(H78, 'Green_rooibos initial weight'!$A$5:$A$2000,0)),"")</f>
        <v>1.99</v>
      </c>
      <c r="K78">
        <f>IFERROR(INDEX('Green_rooibos initial weight'!$C$5:$C$2000,MATCH(I78, 'Green_rooibos initial weight'!$A$5:$A$2000,0)),"")</f>
        <v>2.2959999999999998</v>
      </c>
      <c r="L78" s="194">
        <f t="shared" si="0"/>
        <v>1.7402</v>
      </c>
      <c r="M78" s="194">
        <f>IF(K78&gt;0,(K78*$F$32-($F$29+$F$30)),"")</f>
        <v>2.0461999999999998</v>
      </c>
      <c r="N78" s="16">
        <f>IF('WetLitterbags placem_collection'!G5="","",'WetLitterbags placem_collection'!G5)</f>
        <v>42819</v>
      </c>
      <c r="O78" s="194" t="str">
        <f>IFERROR(INDEX('Both teabags AfterWet'!$C$3:$C$2000,MATCH(H78,'Both teabags AfterWet'!$A$3:$A$2000,0)),"")</f>
        <v/>
      </c>
      <c r="P78" s="194" t="str">
        <f>IFERROR(INDEX('Both teabags AfterWet'!$C$3:$C$2000,MATCH(I78,'Both teabags AfterWet'!$A$3:$A$2000,0)),"")</f>
        <v/>
      </c>
      <c r="Q78" s="194" t="str">
        <f t="shared" si="1"/>
        <v/>
      </c>
      <c r="R78" s="194" t="str">
        <f t="shared" si="1"/>
        <v/>
      </c>
      <c r="S78" s="194" t="str">
        <f t="shared" si="2"/>
        <v/>
      </c>
      <c r="T78" s="194" t="str">
        <f t="shared" si="3"/>
        <v/>
      </c>
      <c r="U78" s="194" t="str">
        <f t="shared" si="4"/>
        <v/>
      </c>
      <c r="V78">
        <f>IFERROR(IF((N78-G78)&gt;0,(IFERROR(N78-G78,"")),""),"")</f>
        <v>53</v>
      </c>
      <c r="W78" s="194" t="str">
        <f t="shared" si="5"/>
        <v/>
      </c>
      <c r="X78" s="194" t="str">
        <f t="shared" si="6"/>
        <v/>
      </c>
      <c r="Y78" s="252" t="str">
        <f>IF(ISNUMBER(SEARCH("C",'WetLitterbags placem_collection'!$X5)),"YES","NO")</f>
        <v>NO</v>
      </c>
      <c r="Z78" s="252" t="str">
        <f>IF(ISNUMBER(SEARCH("H", 'WetLitterbags placem_collection'!$X5)),"YES","NO")</f>
        <v>NO</v>
      </c>
      <c r="AA78" s="252" t="str">
        <f>IF(ISNUMBER(SEARCH("R", 'WetLitterbags placem_collection'!$X5)),"YES","NO")</f>
        <v>NO</v>
      </c>
      <c r="AB78" s="252" t="str">
        <f>IF(ISNUMBER(SEARCH("C", 'WetLitterbags placem_collection'!$V5)),"YES","NO")</f>
        <v>NO</v>
      </c>
      <c r="AC78" s="252" t="str">
        <f>IF(ISNUMBER(SEARCH("H", 'WetLitterbags placem_collection'!$V5)),"YES","NO")</f>
        <v>NO</v>
      </c>
      <c r="AD78" s="252" t="str">
        <f>IF(ISNUMBER(SEARCH("R", 'WetLitterbags placem_collection'!$V5)),"YES","NO")</f>
        <v>NO</v>
      </c>
    </row>
    <row r="79" spans="2:33">
      <c r="B79" t="str">
        <f>'Final data_for_R_analysis_Wetse'!A5</f>
        <v>Wet</v>
      </c>
      <c r="C79" s="260">
        <f>'Final data_for_R_analysis_Wetse'!B5</f>
        <v>4</v>
      </c>
      <c r="D79" t="s">
        <v>3798</v>
      </c>
      <c r="E79" t="s">
        <v>22</v>
      </c>
      <c r="F79" s="382">
        <v>4</v>
      </c>
      <c r="G79" s="16">
        <f>'WetLitterbags placem_collection'!E6</f>
        <v>42766</v>
      </c>
      <c r="H79" t="str">
        <f>'Final data_for_R_analysis_Wetse'!K5</f>
        <v>G652</v>
      </c>
      <c r="I79" t="str">
        <f>'Final data_for_R_analysis_Wetse'!K225</f>
        <v>R115</v>
      </c>
      <c r="J79">
        <f>IFERROR(INDEX('Green_rooibos initial weight'!$C$5:$C$2000,MATCH(H79, 'Green_rooibos initial weight'!$A$5:$A$2000,0)),"")</f>
        <v>2.024</v>
      </c>
      <c r="K79">
        <f>IFERROR(INDEX('Green_rooibos initial weight'!$C$5:$C$2000,MATCH(I79, 'Green_rooibos initial weight'!$A$5:$A$2000,0)),"")</f>
        <v>2.3119999999999998</v>
      </c>
      <c r="L79" s="194">
        <f t="shared" si="0"/>
        <v>1.7742</v>
      </c>
      <c r="M79" s="194">
        <f>IF(K79&gt;0,(K79*$F$32-($F$29+$F$30)),"")</f>
        <v>2.0621999999999998</v>
      </c>
      <c r="N79" s="16">
        <f>IF('WetLitterbags placem_collection'!G6="","",'WetLitterbags placem_collection'!G6)</f>
        <v>42818</v>
      </c>
      <c r="O79" s="194" t="str">
        <f>IFERROR(INDEX('Both teabags AfterWet'!$C$3:$C$2000,MATCH(H79,'Both teabags AfterWet'!$A$3:$A$2000,0)),"")</f>
        <v/>
      </c>
      <c r="P79" s="194">
        <f>IFERROR(INDEX('Both teabags AfterWet'!$C$3:$C$2000,MATCH(I79,'Both teabags AfterWet'!$A$3:$A$2000,0)),"")</f>
        <v>1.4075</v>
      </c>
      <c r="Q79" s="194" t="str">
        <f t="shared" si="1"/>
        <v/>
      </c>
      <c r="R79" s="194">
        <f t="shared" si="1"/>
        <v>1.2568999999999999</v>
      </c>
      <c r="S79" s="194" t="str">
        <f t="shared" si="2"/>
        <v/>
      </c>
      <c r="T79" s="194" t="str">
        <f t="shared" si="3"/>
        <v/>
      </c>
      <c r="U79" s="194">
        <f t="shared" si="4"/>
        <v>0.60949471438269809</v>
      </c>
      <c r="V79">
        <f>IFERROR(IF((N79-G79)&gt;0,(IFERROR(N79-G79,"")),""),"")</f>
        <v>52</v>
      </c>
      <c r="W79" s="194" t="str">
        <f t="shared" si="5"/>
        <v/>
      </c>
      <c r="X79" s="194" t="str">
        <f t="shared" si="6"/>
        <v/>
      </c>
      <c r="Y79" s="252" t="str">
        <f>IF(ISNUMBER(SEARCH("C",'WetLitterbags placem_collection'!$X6)),"YES","NO")</f>
        <v>NO</v>
      </c>
      <c r="Z79" s="252" t="str">
        <f>IF(ISNUMBER(SEARCH("H", 'WetLitterbags placem_collection'!$X6)),"YES","NO")</f>
        <v>NO</v>
      </c>
      <c r="AA79" s="252" t="str">
        <f>IF(ISNUMBER(SEARCH("R", 'WetLitterbags placem_collection'!$X6)),"YES","NO")</f>
        <v>NO</v>
      </c>
      <c r="AB79" s="252" t="str">
        <f>IF(ISNUMBER(SEARCH("C", 'WetLitterbags placem_collection'!$V6)),"YES","NO")</f>
        <v>NO</v>
      </c>
      <c r="AC79" s="252" t="str">
        <f>IF(ISNUMBER(SEARCH("H", 'WetLitterbags placem_collection'!$V6)),"YES","NO")</f>
        <v>NO</v>
      </c>
      <c r="AD79" s="252" t="str">
        <f>IF(ISNUMBER(SEARCH("R", 'WetLitterbags placem_collection'!$V6)),"YES","NO")</f>
        <v>NO</v>
      </c>
    </row>
    <row r="80" spans="2:33">
      <c r="B80" t="str">
        <f>'Final data_for_R_analysis_Wetse'!A6</f>
        <v>Wet</v>
      </c>
      <c r="C80" s="260">
        <f>'Final data_for_R_analysis_Wetse'!B6</f>
        <v>5</v>
      </c>
      <c r="D80" t="s">
        <v>3798</v>
      </c>
      <c r="E80" t="s">
        <v>22</v>
      </c>
      <c r="F80" s="382">
        <v>5</v>
      </c>
      <c r="G80" s="16">
        <f>'WetLitterbags placem_collection'!E7</f>
        <v>42766</v>
      </c>
      <c r="H80" t="str">
        <f>'Final data_for_R_analysis_Wetse'!K6</f>
        <v>G497</v>
      </c>
      <c r="I80" t="str">
        <f>'Final data_for_R_analysis_Wetse'!K226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0"/>
        <v>1.7521999999999998</v>
      </c>
      <c r="M80" s="194">
        <f>IF(K80&gt;0,(K80*$F$32-($F$29+$F$30)),"")</f>
        <v>1.9342000000000001</v>
      </c>
      <c r="N80" s="16">
        <f>IF('WetLitterbags placem_collection'!G7="","",'WetLitterbags placem_collection'!G7)</f>
        <v>42818</v>
      </c>
      <c r="O80" s="194">
        <f>IFERROR(INDEX('Both teabags AfterWet'!$C$3:$C$2000,MATCH(H80,'Both teabags AfterWet'!$A$3:$A$2000,0)),"")</f>
        <v>0.46</v>
      </c>
      <c r="P80" s="194">
        <f>IFERROR(INDEX('Both teabags AfterWet'!$C$3:$C$2000,MATCH(I80,'Both teabags AfterWet'!$A$3:$A$2000,0)),"")</f>
        <v>1.3823000000000001</v>
      </c>
      <c r="Q80" s="194">
        <f t="shared" si="1"/>
        <v>0.30940000000000001</v>
      </c>
      <c r="R80" s="194">
        <f t="shared" si="1"/>
        <v>1.2317</v>
      </c>
      <c r="S80" s="194">
        <f t="shared" si="2"/>
        <v>0.82342198379180453</v>
      </c>
      <c r="T80" s="194">
        <f t="shared" si="3"/>
        <v>0.53982058794902155</v>
      </c>
      <c r="U80" s="194">
        <f t="shared" si="4"/>
        <v>0.63680074449384749</v>
      </c>
      <c r="V80">
        <f>IFERROR(IF((N80-G80)&gt;0,(IFERROR(N80-G80,"")),""),"")</f>
        <v>52</v>
      </c>
      <c r="W80" s="194">
        <f t="shared" si="5"/>
        <v>2.2064152266265347E-2</v>
      </c>
      <c r="X80" s="194">
        <f t="shared" si="6"/>
        <v>2.1485168532299852E-2</v>
      </c>
      <c r="Y80" s="252" t="str">
        <f>IF(ISNUMBER(SEARCH("C",'WetLitterbags placem_collection'!$X7)),"YES","NO")</f>
        <v>NO</v>
      </c>
      <c r="Z80" s="252" t="str">
        <f>IF(ISNUMBER(SEARCH("H", 'WetLitterbags placem_collection'!$X7)),"YES","NO")</f>
        <v>NO</v>
      </c>
      <c r="AA80" s="252" t="str">
        <f>IF(ISNUMBER(SEARCH("R", 'WetLitterbags placem_collection'!$X7)),"YES","NO")</f>
        <v>NO</v>
      </c>
      <c r="AB80" s="252" t="str">
        <f>IF(ISNUMBER(SEARCH("C", 'WetLitterbags placem_collection'!$V7)),"YES","NO")</f>
        <v>NO</v>
      </c>
      <c r="AC80" s="252" t="str">
        <f>IF(ISNUMBER(SEARCH("H", 'WetLitterbags placem_collection'!$V7)),"YES","NO")</f>
        <v>NO</v>
      </c>
      <c r="AD80" s="252" t="str">
        <f>IF(ISNUMBER(SEARCH("R", 'WetLitterbags placem_collection'!$V7)),"YES","NO")</f>
        <v>NO</v>
      </c>
    </row>
    <row r="81" spans="2:30">
      <c r="B81" t="str">
        <f>'Final data_for_R_analysis_Wetse'!A7</f>
        <v>Wet</v>
      </c>
      <c r="C81" s="260">
        <f>'Final data_for_R_analysis_Wetse'!B7</f>
        <v>6</v>
      </c>
      <c r="D81" t="s">
        <v>3798</v>
      </c>
      <c r="E81" t="s">
        <v>22</v>
      </c>
      <c r="F81" s="382">
        <v>6</v>
      </c>
      <c r="G81" s="16">
        <f>'WetLitterbags placem_collection'!E8</f>
        <v>42766</v>
      </c>
      <c r="H81" t="str">
        <f>'Final data_for_R_analysis_Wetse'!K7</f>
        <v>G447</v>
      </c>
      <c r="I81" t="str">
        <f>'Final data_for_R_analysis_Wetse'!K227</f>
        <v>R177</v>
      </c>
      <c r="J81">
        <f>IFERROR(INDEX('Green_rooibos initial weight'!$C$5:$C$2000,MATCH(H81, 'Green_rooibos initial weight'!$A$5:$A$2000,0)),"")</f>
        <v>2.0579999999999998</v>
      </c>
      <c r="K81">
        <f>IFERROR(INDEX('Green_rooibos initial weight'!$C$5:$C$2000,MATCH(I81, 'Green_rooibos initial weight'!$A$5:$A$2000,0)),"")</f>
        <v>2.153</v>
      </c>
      <c r="L81" s="194">
        <f t="shared" si="0"/>
        <v>1.8081999999999998</v>
      </c>
      <c r="M81" s="194">
        <f>IF(K81&gt;0,(K81*$F$32-($F$29+$F$30)),"")</f>
        <v>1.9032</v>
      </c>
      <c r="N81" s="16">
        <f>IF('WetLitterbags placem_collection'!G8="","",'WetLitterbags placem_collection'!G8)</f>
        <v>42818</v>
      </c>
      <c r="O81" s="194">
        <f>IFERROR(INDEX('Both teabags AfterWet'!$C$3:$C$2000,MATCH(H81,'Both teabags AfterWet'!$A$3:$A$2000,0)),"")</f>
        <v>0.67749999999999999</v>
      </c>
      <c r="P81" s="194">
        <f>IFERROR(INDEX('Both teabags AfterWet'!$C$3:$C$2000,MATCH(I81,'Both teabags AfterWet'!$A$3:$A$2000,0)),"")</f>
        <v>1.4271</v>
      </c>
      <c r="Q81" s="194">
        <f t="shared" si="1"/>
        <v>0.52689999999999992</v>
      </c>
      <c r="R81" s="194">
        <f t="shared" si="1"/>
        <v>1.2765</v>
      </c>
      <c r="S81" s="194">
        <f t="shared" si="2"/>
        <v>0.70860524278287795</v>
      </c>
      <c r="T81" s="194">
        <f t="shared" si="3"/>
        <v>0.46454880524483216</v>
      </c>
      <c r="U81" s="194">
        <f t="shared" si="4"/>
        <v>0.67071248423707441</v>
      </c>
      <c r="V81">
        <f>IFERROR(IF((N81-G81)&gt;0,(IFERROR(N81-G81,"")),""),"")</f>
        <v>52</v>
      </c>
      <c r="W81" s="194">
        <f t="shared" si="5"/>
        <v>0.15842607745501425</v>
      </c>
      <c r="X81" s="194">
        <f t="shared" si="6"/>
        <v>2.3728043034048699E-2</v>
      </c>
      <c r="Y81" s="252" t="str">
        <f>IF(ISNUMBER(SEARCH("C",'WetLitterbags placem_collection'!$X8)),"YES","NO")</f>
        <v>NO</v>
      </c>
      <c r="Z81" s="252" t="str">
        <f>IF(ISNUMBER(SEARCH("H", 'WetLitterbags placem_collection'!$X8)),"YES","NO")</f>
        <v>NO</v>
      </c>
      <c r="AA81" s="252" t="str">
        <f>IF(ISNUMBER(SEARCH("R", 'WetLitterbags placem_collection'!$X8)),"YES","NO")</f>
        <v>YES</v>
      </c>
      <c r="AB81" s="252" t="str">
        <f>IF(ISNUMBER(SEARCH("C", 'WetLitterbags placem_collection'!$V8)),"YES","NO")</f>
        <v>NO</v>
      </c>
      <c r="AC81" s="252" t="str">
        <f>IF(ISNUMBER(SEARCH("H", 'WetLitterbags placem_collection'!$V8)),"YES","NO")</f>
        <v>NO</v>
      </c>
      <c r="AD81" s="252" t="str">
        <f>IF(ISNUMBER(SEARCH("R", 'WetLitterbags placem_collection'!$V8)),"YES","NO")</f>
        <v>NO</v>
      </c>
    </row>
    <row r="82" spans="2:30">
      <c r="B82" t="str">
        <f>'Final data_for_R_analysis_Wetse'!A8</f>
        <v>Wet</v>
      </c>
      <c r="C82" s="260">
        <f>'Final data_for_R_analysis_Wetse'!B8</f>
        <v>7</v>
      </c>
      <c r="D82" t="s">
        <v>3798</v>
      </c>
      <c r="E82" t="s">
        <v>22</v>
      </c>
      <c r="F82" s="382">
        <v>7</v>
      </c>
      <c r="G82" s="16">
        <f>'WetLitterbags placem_collection'!E9</f>
        <v>42766</v>
      </c>
      <c r="H82" t="str">
        <f>'Final data_for_R_analysis_Wetse'!K8</f>
        <v>G452</v>
      </c>
      <c r="I82" t="str">
        <f>'Final data_for_R_analysis_Wetse'!K228</f>
        <v>R531</v>
      </c>
      <c r="J82">
        <f>IFERROR(INDEX('Green_rooibos initial weight'!$C$5:$C$2000,MATCH(H82, 'Green_rooibos initial weight'!$A$5:$A$2000,0)),"")</f>
        <v>2.0550000000000002</v>
      </c>
      <c r="K82">
        <f>IFERROR(INDEX('Green_rooibos initial weight'!$C$5:$C$2000,MATCH(I82, 'Green_rooibos initial weight'!$A$5:$A$2000,0)),"")</f>
        <v>2.101</v>
      </c>
      <c r="L82" s="194">
        <f t="shared" si="0"/>
        <v>1.8052000000000001</v>
      </c>
      <c r="M82" s="194">
        <f>IF(K82&gt;0,(K82*$F$32-($F$29+$F$30)),"")</f>
        <v>1.8512</v>
      </c>
      <c r="N82" s="16">
        <f>IF('WetLitterbags placem_collection'!G9="","",'WetLitterbags placem_collection'!G9)</f>
        <v>42818</v>
      </c>
      <c r="O82" s="194">
        <f>IFERROR(INDEX('Both teabags AfterWet'!$C$3:$C$2000,MATCH(H82,'Both teabags AfterWet'!$A$3:$A$2000,0)),"")</f>
        <v>0.67900000000000005</v>
      </c>
      <c r="P82" s="194">
        <f>IFERROR(INDEX('Both teabags AfterWet'!$C$3:$C$2000,MATCH(I82,'Both teabags AfterWet'!$A$3:$A$2000,0)),"")</f>
        <v>1.4430000000000001</v>
      </c>
      <c r="Q82" s="194">
        <f t="shared" si="1"/>
        <v>0.52839999999999998</v>
      </c>
      <c r="R82" s="194">
        <f t="shared" si="1"/>
        <v>1.2924</v>
      </c>
      <c r="S82" s="194">
        <f t="shared" si="2"/>
        <v>0.7072900509638822</v>
      </c>
      <c r="T82" s="194">
        <f t="shared" si="3"/>
        <v>0.46368658923047862</v>
      </c>
      <c r="U82" s="194">
        <f t="shared" si="4"/>
        <v>0.69814174589455491</v>
      </c>
      <c r="V82">
        <f>IFERROR(IF((N82-G82)&gt;0,(IFERROR(N82-G82,"")),""),"")</f>
        <v>52</v>
      </c>
      <c r="W82" s="194">
        <f t="shared" si="5"/>
        <v>0.1599880629882634</v>
      </c>
      <c r="X82" s="194">
        <f t="shared" si="6"/>
        <v>2.0243706847798783E-2</v>
      </c>
      <c r="Y82" s="252" t="str">
        <f>IF(ISNUMBER(SEARCH("C",'WetLitterbags placem_collection'!$X9)),"YES","NO")</f>
        <v>NO</v>
      </c>
      <c r="Z82" s="252" t="str">
        <f>IF(ISNUMBER(SEARCH("H", 'WetLitterbags placem_collection'!$X9)),"YES","NO")</f>
        <v>NO</v>
      </c>
      <c r="AA82" s="252" t="str">
        <f>IF(ISNUMBER(SEARCH("R", 'WetLitterbags placem_collection'!$X9)),"YES","NO")</f>
        <v>YES</v>
      </c>
      <c r="AB82" s="252" t="str">
        <f>IF(ISNUMBER(SEARCH("C", 'WetLitterbags placem_collection'!$V9)),"YES","NO")</f>
        <v>NO</v>
      </c>
      <c r="AC82" s="252" t="str">
        <f>IF(ISNUMBER(SEARCH("H", 'WetLitterbags placem_collection'!$V9)),"YES","NO")</f>
        <v>NO</v>
      </c>
      <c r="AD82" s="252" t="str">
        <f>IF(ISNUMBER(SEARCH("R", 'WetLitterbags placem_collection'!$V9)),"YES","NO")</f>
        <v>NO</v>
      </c>
    </row>
    <row r="83" spans="2:30">
      <c r="B83" t="str">
        <f>'Final data_for_R_analysis_Wetse'!A9</f>
        <v>Wet</v>
      </c>
      <c r="C83" s="260">
        <f>'Final data_for_R_analysis_Wetse'!B9</f>
        <v>8</v>
      </c>
      <c r="D83" t="s">
        <v>3798</v>
      </c>
      <c r="E83" t="s">
        <v>22</v>
      </c>
      <c r="F83" s="382">
        <v>8</v>
      </c>
      <c r="G83" s="16">
        <f>'WetLitterbags placem_collection'!E10</f>
        <v>42766</v>
      </c>
      <c r="H83" t="str">
        <f>'Final data_for_R_analysis_Wetse'!K9</f>
        <v>G389</v>
      </c>
      <c r="I83" t="str">
        <f>'Final data_for_R_analysis_Wetse'!K229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0"/>
        <v>1.7212000000000001</v>
      </c>
      <c r="M83" s="194">
        <f>IF(K83&gt;0,(K83*$F$32-($F$29+$F$30)),"")</f>
        <v>1.9241999999999999</v>
      </c>
      <c r="N83" s="16">
        <f>IF('WetLitterbags placem_collection'!G10="","",'WetLitterbags placem_collection'!G10)</f>
        <v>42818</v>
      </c>
      <c r="O83" s="194">
        <f>IFERROR(INDEX('Both teabags AfterWet'!$C$3:$C$2000,MATCH(H83,'Both teabags AfterWet'!$A$3:$A$2000,0)),"")</f>
        <v>0.61950000000000005</v>
      </c>
      <c r="P83" s="194">
        <f>IFERROR(INDEX('Both teabags AfterWet'!$C$3:$C$2000,MATCH(I83,'Both teabags AfterWet'!$A$3:$A$2000,0)),"")</f>
        <v>1.4278999999999999</v>
      </c>
      <c r="Q83" s="194">
        <f t="shared" si="1"/>
        <v>0.46890000000000004</v>
      </c>
      <c r="R83" s="194">
        <f t="shared" si="1"/>
        <v>1.2772999999999999</v>
      </c>
      <c r="S83" s="194">
        <f t="shared" si="2"/>
        <v>0.72757378573088549</v>
      </c>
      <c r="T83" s="194">
        <f t="shared" si="3"/>
        <v>0.47698423957654257</v>
      </c>
      <c r="U83" s="194">
        <f t="shared" si="4"/>
        <v>0.66380833593181576</v>
      </c>
      <c r="V83">
        <f>IFERROR(IF((N83-G83)&gt;0,(IFERROR(N83-G83,"")),""),"")</f>
        <v>52</v>
      </c>
      <c r="W83" s="194">
        <f t="shared" si="5"/>
        <v>0.13589811670916208</v>
      </c>
      <c r="X83" s="194">
        <f t="shared" si="6"/>
        <v>2.3465302654871581E-2</v>
      </c>
      <c r="Y83" s="252" t="str">
        <f>IF(ISNUMBER(SEARCH("C",'WetLitterbags placem_collection'!$X10)),"YES","NO")</f>
        <v>NO</v>
      </c>
      <c r="Z83" s="252" t="str">
        <f>IF(ISNUMBER(SEARCH("H", 'WetLitterbags placem_collection'!$X10)),"YES","NO")</f>
        <v>NO</v>
      </c>
      <c r="AA83" s="252" t="str">
        <f>IF(ISNUMBER(SEARCH("R", 'WetLitterbags placem_collection'!$X10)),"YES","NO")</f>
        <v>NO</v>
      </c>
      <c r="AB83" s="252" t="str">
        <f>IF(ISNUMBER(SEARCH("C", 'WetLitterbags placem_collection'!$V10)),"YES","NO")</f>
        <v>NO</v>
      </c>
      <c r="AC83" s="252" t="str">
        <f>IF(ISNUMBER(SEARCH("H", 'WetLitterbags placem_collection'!$V10)),"YES","NO")</f>
        <v>YES</v>
      </c>
      <c r="AD83" s="252" t="str">
        <f>IF(ISNUMBER(SEARCH("R", 'WetLitterbags placem_collection'!$V10)),"YES","NO")</f>
        <v>NO</v>
      </c>
    </row>
    <row r="84" spans="2:30">
      <c r="B84" t="str">
        <f>'Final data_for_R_analysis_Wetse'!A10</f>
        <v>Wet</v>
      </c>
      <c r="C84" s="260">
        <f>'Final data_for_R_analysis_Wetse'!B10</f>
        <v>9</v>
      </c>
      <c r="D84" t="s">
        <v>3802</v>
      </c>
      <c r="E84" t="s">
        <v>22</v>
      </c>
      <c r="F84" s="381">
        <v>1</v>
      </c>
      <c r="G84" s="16">
        <f>'WetLitterbags placem_collection'!E11</f>
        <v>42766</v>
      </c>
      <c r="H84" t="str">
        <f>'Final data_for_R_analysis_Wetse'!K10</f>
        <v>G514</v>
      </c>
      <c r="I84" t="str">
        <f>'Final data_for_R_analysis_Wetse'!K230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0"/>
        <v>1.6852</v>
      </c>
      <c r="M84" s="194">
        <f>IF(K84&gt;0,(K84*$F$32-($F$29+$F$30)),"")</f>
        <v>1.9512</v>
      </c>
      <c r="N84" s="16">
        <f>IF('WetLitterbags placem_collection'!G11="","",'WetLitterbags placem_collection'!G11)</f>
        <v>42818</v>
      </c>
      <c r="O84" s="194">
        <f>IFERROR(INDEX('Both teabags AfterWet'!$C$3:$C$2000,MATCH(H84,'Both teabags AfterWet'!$A$3:$A$2000,0)),"")</f>
        <v>0.59470000000000001</v>
      </c>
      <c r="P84" s="194">
        <f>IFERROR(INDEX('Both teabags AfterWet'!$C$3:$C$2000,MATCH(I84,'Both teabags AfterWet'!$A$3:$A$2000,0)),"")</f>
        <v>2.8336999999999999</v>
      </c>
      <c r="Q84" s="194">
        <f t="shared" si="1"/>
        <v>0.44409999999999999</v>
      </c>
      <c r="R84" s="194">
        <f t="shared" si="1"/>
        <v>2.6831</v>
      </c>
      <c r="S84" s="194">
        <f t="shared" si="2"/>
        <v>0.73647044861144084</v>
      </c>
      <c r="T84" s="194">
        <f t="shared" si="3"/>
        <v>0.48281673115619406</v>
      </c>
      <c r="U84" s="194">
        <f t="shared" si="4"/>
        <v>1.3751025010250102</v>
      </c>
      <c r="V84">
        <f>IFERROR(IF((N84-G84)&gt;0,(IFERROR(N84-G84,"")),""),"")</f>
        <v>52</v>
      </c>
      <c r="W84" s="194">
        <f t="shared" si="5"/>
        <v>0.12533200877501083</v>
      </c>
      <c r="X84" s="194">
        <f t="shared" si="6"/>
        <v>-1.1055246481202404E-2</v>
      </c>
      <c r="Y84" s="252" t="str">
        <f>IF(ISNUMBER(SEARCH("C",'WetLitterbags placem_collection'!$X11)),"YES","NO")</f>
        <v>NO</v>
      </c>
      <c r="Z84" s="252" t="str">
        <f>IF(ISNUMBER(SEARCH("H", 'WetLitterbags placem_collection'!$X11)),"YES","NO")</f>
        <v>NO</v>
      </c>
      <c r="AA84" s="252" t="str">
        <f>IF(ISNUMBER(SEARCH("R", 'WetLitterbags placem_collection'!$X11)),"YES","NO")</f>
        <v>NO</v>
      </c>
      <c r="AB84" s="252" t="str">
        <f>IF(ISNUMBER(SEARCH("C", 'WetLitterbags placem_collection'!$V11)),"YES","NO")</f>
        <v>NO</v>
      </c>
      <c r="AC84" s="252" t="str">
        <f>IF(ISNUMBER(SEARCH("H", 'WetLitterbags placem_collection'!$V11)),"YES","NO")</f>
        <v>NO</v>
      </c>
      <c r="AD84" s="252" t="str">
        <f>IF(ISNUMBER(SEARCH("R", 'WetLitterbags placem_collection'!$V11)),"YES","NO")</f>
        <v>YES</v>
      </c>
    </row>
    <row r="85" spans="2:30">
      <c r="B85" t="str">
        <f>'Final data_for_R_analysis_Wetse'!A11</f>
        <v>Wet</v>
      </c>
      <c r="C85" s="260">
        <f>'Final data_for_R_analysis_Wetse'!B11</f>
        <v>10</v>
      </c>
      <c r="D85" t="s">
        <v>3802</v>
      </c>
      <c r="E85" t="s">
        <v>22</v>
      </c>
      <c r="F85" s="381">
        <v>2</v>
      </c>
      <c r="G85" s="16">
        <f>'WetLitterbags placem_collection'!E12</f>
        <v>42766</v>
      </c>
      <c r="H85" t="str">
        <f>'Final data_for_R_analysis_Wetse'!K11</f>
        <v>G286</v>
      </c>
      <c r="I85" t="str">
        <f>'Final data_for_R_analysis_Wetse'!K231</f>
        <v>R91</v>
      </c>
      <c r="J85">
        <f>IFERROR(INDEX('Green_rooibos initial weight'!$C$5:$C$2000,MATCH(H85, 'Green_rooibos initial weight'!$A$5:$A$2000,0)),"")</f>
        <v>2.0710000000000002</v>
      </c>
      <c r="K85">
        <f>IFERROR(INDEX('Green_rooibos initial weight'!$C$5:$C$2000,MATCH(I85, 'Green_rooibos initial weight'!$A$5:$A$2000,0)),"")</f>
        <v>2.133</v>
      </c>
      <c r="L85" s="194">
        <f t="shared" si="0"/>
        <v>1.8212000000000002</v>
      </c>
      <c r="M85" s="194">
        <f>IF(K85&gt;0,(K85*$F$32-($F$29+$F$30)),"")</f>
        <v>1.8832</v>
      </c>
      <c r="N85" s="16">
        <f>IF('WetLitterbags placem_collection'!G12="","",'WetLitterbags placem_collection'!G12)</f>
        <v>42818</v>
      </c>
      <c r="O85" s="194">
        <f>IFERROR(INDEX('Both teabags AfterWet'!$C$3:$C$2000,MATCH(H85,'Both teabags AfterWet'!$A$3:$A$2000,0)),"")</f>
        <v>0.80200000000000005</v>
      </c>
      <c r="P85" s="194">
        <f>IFERROR(INDEX('Both teabags AfterWet'!$C$3:$C$2000,MATCH(I85,'Both teabags AfterWet'!$A$3:$A$2000,0)),"")</f>
        <v>1.3628</v>
      </c>
      <c r="Q85" s="194">
        <f t="shared" si="1"/>
        <v>0.65139999999999998</v>
      </c>
      <c r="R85" s="194">
        <f t="shared" si="1"/>
        <v>1.2121999999999999</v>
      </c>
      <c r="S85" s="194">
        <f t="shared" si="2"/>
        <v>0.64232374258730518</v>
      </c>
      <c r="T85" s="194">
        <f t="shared" si="3"/>
        <v>0.42109585024725954</v>
      </c>
      <c r="U85" s="194">
        <f t="shared" si="4"/>
        <v>0.64369158878504673</v>
      </c>
      <c r="V85">
        <f>IFERROR(IF((N85-G85)&gt;0,(IFERROR(N85-G85,"")),""),"")</f>
        <v>52</v>
      </c>
      <c r="W85" s="194">
        <f t="shared" si="5"/>
        <v>0.23714519882742846</v>
      </c>
      <c r="X85" s="194">
        <f t="shared" si="6"/>
        <v>3.5995168040208123E-2</v>
      </c>
      <c r="Y85" s="252" t="str">
        <f>IF(ISNUMBER(SEARCH("C",'WetLitterbags placem_collection'!$X12)),"YES","NO")</f>
        <v>NO</v>
      </c>
      <c r="Z85" s="252" t="str">
        <f>IF(ISNUMBER(SEARCH("H", 'WetLitterbags placem_collection'!$X12)),"YES","NO")</f>
        <v>NO</v>
      </c>
      <c r="AA85" s="252" t="str">
        <f>IF(ISNUMBER(SEARCH("R", 'WetLitterbags placem_collection'!$X12)),"YES","NO")</f>
        <v>NO</v>
      </c>
      <c r="AB85" s="252" t="str">
        <f>IF(ISNUMBER(SEARCH("C", 'WetLitterbags placem_collection'!$V12)),"YES","NO")</f>
        <v>NO</v>
      </c>
      <c r="AC85" s="252" t="str">
        <f>IF(ISNUMBER(SEARCH("H", 'WetLitterbags placem_collection'!$V12)),"YES","NO")</f>
        <v>NO</v>
      </c>
      <c r="AD85" s="252" t="str">
        <f>IF(ISNUMBER(SEARCH("R", 'WetLitterbags placem_collection'!$V12)),"YES","NO")</f>
        <v>NO</v>
      </c>
    </row>
    <row r="86" spans="2:30">
      <c r="B86" t="str">
        <f>'Final data_for_R_analysis_Wetse'!A12</f>
        <v>Wet</v>
      </c>
      <c r="C86" s="260">
        <f>'Final data_for_R_analysis_Wetse'!B12</f>
        <v>11</v>
      </c>
      <c r="D86" t="s">
        <v>3802</v>
      </c>
      <c r="E86" t="s">
        <v>22</v>
      </c>
      <c r="F86" s="381">
        <v>3</v>
      </c>
      <c r="G86" s="16">
        <f>'WetLitterbags placem_collection'!E13</f>
        <v>42766</v>
      </c>
      <c r="H86" t="str">
        <f>'Final data_for_R_analysis_Wetse'!K12</f>
        <v>G543</v>
      </c>
      <c r="I86" t="str">
        <f>'Final data_for_R_analysis_Wetse'!K232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0"/>
        <v>1.8422000000000001</v>
      </c>
      <c r="M86" s="194">
        <f>IF(K86&gt;0,(K86*$F$32-($F$29+$F$30)),"")</f>
        <v>2.0181999999999998</v>
      </c>
      <c r="N86" s="16">
        <f>IF('WetLitterbags placem_collection'!G13="","",'WetLitterbags placem_collection'!G13)</f>
        <v>42818</v>
      </c>
      <c r="O86" s="194">
        <f>IFERROR(INDEX('Both teabags AfterWet'!$C$3:$C$2000,MATCH(H86,'Both teabags AfterWet'!$A$3:$A$2000,0)),"")</f>
        <v>0.71650000000000003</v>
      </c>
      <c r="P86" s="194">
        <f>IFERROR(INDEX('Both teabags AfterWet'!$C$3:$C$2000,MATCH(I86,'Both teabags AfterWet'!$A$3:$A$2000,0)),"")</f>
        <v>1.4224000000000001</v>
      </c>
      <c r="Q86" s="194">
        <f t="shared" si="1"/>
        <v>0.56590000000000007</v>
      </c>
      <c r="R86" s="194">
        <f t="shared" si="1"/>
        <v>1.2718</v>
      </c>
      <c r="S86" s="194">
        <f t="shared" si="2"/>
        <v>0.69281294104874602</v>
      </c>
      <c r="T86" s="194">
        <f t="shared" si="3"/>
        <v>0.45419565731461736</v>
      </c>
      <c r="U86" s="194">
        <f t="shared" si="4"/>
        <v>0.63016549400455857</v>
      </c>
      <c r="V86">
        <f>IFERROR(IF((N86-G86)&gt;0,(IFERROR(N86-G86,"")),""),"")</f>
        <v>52</v>
      </c>
      <c r="W86" s="194">
        <f t="shared" si="5"/>
        <v>0.17718178022714248</v>
      </c>
      <c r="X86" s="194">
        <f t="shared" si="6"/>
        <v>3.2373482023911687E-2</v>
      </c>
      <c r="Y86" s="252" t="str">
        <f>IF(ISNUMBER(SEARCH("C",'WetLitterbags placem_collection'!$X13)),"YES","NO")</f>
        <v>NO</v>
      </c>
      <c r="Z86" s="252" t="str">
        <f>IF(ISNUMBER(SEARCH("H", 'WetLitterbags placem_collection'!$X13)),"YES","NO")</f>
        <v>NO</v>
      </c>
      <c r="AA86" s="252" t="str">
        <f>IF(ISNUMBER(SEARCH("R", 'WetLitterbags placem_collection'!$X13)),"YES","NO")</f>
        <v>NO</v>
      </c>
      <c r="AB86" s="252" t="str">
        <f>IF(ISNUMBER(SEARCH("C", 'WetLitterbags placem_collection'!$V13)),"YES","NO")</f>
        <v>NO</v>
      </c>
      <c r="AC86" s="252" t="str">
        <f>IF(ISNUMBER(SEARCH("H", 'WetLitterbags placem_collection'!$V13)),"YES","NO")</f>
        <v>NO</v>
      </c>
      <c r="AD86" s="252" t="str">
        <f>IF(ISNUMBER(SEARCH("R", 'WetLitterbags placem_collection'!$V13)),"YES","NO")</f>
        <v>YES</v>
      </c>
    </row>
    <row r="87" spans="2:30">
      <c r="B87" t="str">
        <f>'Final data_for_R_analysis_Wetse'!A13</f>
        <v>Wet</v>
      </c>
      <c r="C87" s="260">
        <f>'Final data_for_R_analysis_Wetse'!B13</f>
        <v>12</v>
      </c>
      <c r="D87" t="s">
        <v>3802</v>
      </c>
      <c r="E87" t="s">
        <v>22</v>
      </c>
      <c r="F87" s="382">
        <v>4</v>
      </c>
      <c r="G87" s="16">
        <f>'WetLitterbags placem_collection'!E14</f>
        <v>42766</v>
      </c>
      <c r="H87" t="str">
        <f>'Final data_for_R_analysis_Wetse'!K13</f>
        <v>G590</v>
      </c>
      <c r="I87" t="str">
        <f>'Final data_for_R_analysis_Wetse'!K233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0"/>
        <v>1.8332000000000002</v>
      </c>
      <c r="M87" s="194">
        <f>IF(K87&gt;0,(K87*$F$32-($F$29+$F$30)),"")</f>
        <v>1.9502000000000002</v>
      </c>
      <c r="N87" s="16">
        <f>IF('WetLitterbags placem_collection'!G14="","",'WetLitterbags placem_collection'!G14)</f>
        <v>42818</v>
      </c>
      <c r="O87" s="194" t="str">
        <f>IFERROR(INDEX('Both teabags AfterWet'!$C$3:$C$2000,MATCH(H87,'Both teabags AfterWet'!$A$3:$A$2000,0)),"")</f>
        <v/>
      </c>
      <c r="P87" s="194" t="str">
        <f>IFERROR(INDEX('Both teabags AfterWet'!$C$3:$C$2000,MATCH(I87,'Both teabags AfterWet'!$A$3:$A$2000,0)),"")</f>
        <v/>
      </c>
      <c r="Q87" s="194" t="str">
        <f t="shared" si="1"/>
        <v/>
      </c>
      <c r="R87" s="194" t="str">
        <f t="shared" si="1"/>
        <v/>
      </c>
      <c r="S87" s="194" t="str">
        <f t="shared" si="2"/>
        <v/>
      </c>
      <c r="T87" s="194" t="str">
        <f t="shared" si="3"/>
        <v/>
      </c>
      <c r="U87" s="194" t="str">
        <f t="shared" si="4"/>
        <v/>
      </c>
      <c r="V87">
        <f>IFERROR(IF((N87-G87)&gt;0,(IFERROR(N87-G87,"")),""),"")</f>
        <v>52</v>
      </c>
      <c r="W87" s="194" t="str">
        <f t="shared" si="5"/>
        <v/>
      </c>
      <c r="X87" s="194" t="str">
        <f t="shared" si="6"/>
        <v/>
      </c>
      <c r="Y87" s="252" t="str">
        <f>IF(ISNUMBER(SEARCH("C",'WetLitterbags placem_collection'!$X14)),"YES","NO")</f>
        <v>NO</v>
      </c>
      <c r="Z87" s="252" t="str">
        <f>IF(ISNUMBER(SEARCH("H", 'WetLitterbags placem_collection'!$X14)),"YES","NO")</f>
        <v>NO</v>
      </c>
      <c r="AA87" s="252" t="str">
        <f>IF(ISNUMBER(SEARCH("R", 'WetLitterbags placem_collection'!$X14)),"YES","NO")</f>
        <v>NO</v>
      </c>
      <c r="AB87" s="252" t="str">
        <f>IF(ISNUMBER(SEARCH("C", 'WetLitterbags placem_collection'!$V14)),"YES","NO")</f>
        <v>NO</v>
      </c>
      <c r="AC87" s="252" t="str">
        <f>IF(ISNUMBER(SEARCH("H", 'WetLitterbags placem_collection'!$V14)),"YES","NO")</f>
        <v>NO</v>
      </c>
      <c r="AD87" s="252" t="str">
        <f>IF(ISNUMBER(SEARCH("R", 'WetLitterbags placem_collection'!$V14)),"YES","NO")</f>
        <v>NO</v>
      </c>
    </row>
    <row r="88" spans="2:30">
      <c r="B88" t="str">
        <f>'Final data_for_R_analysis_Wetse'!A14</f>
        <v>Wet</v>
      </c>
      <c r="C88" s="260">
        <f>'Final data_for_R_analysis_Wetse'!B14</f>
        <v>13</v>
      </c>
      <c r="D88" t="s">
        <v>3802</v>
      </c>
      <c r="E88" t="s">
        <v>22</v>
      </c>
      <c r="F88" s="382">
        <v>5</v>
      </c>
      <c r="G88" s="16">
        <f>'WetLitterbags placem_collection'!E15</f>
        <v>42766</v>
      </c>
      <c r="H88" t="str">
        <f>'Final data_for_R_analysis_Wetse'!K14</f>
        <v>G595</v>
      </c>
      <c r="I88" t="str">
        <f>'Final data_for_R_analysis_Wetse'!K234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0"/>
        <v>1.8662000000000001</v>
      </c>
      <c r="M88" s="194">
        <f>IF(K88&gt;0,(K88*$F$32-($F$29+$F$30)),"")</f>
        <v>1.9752000000000001</v>
      </c>
      <c r="N88" s="16">
        <f>IF('WetLitterbags placem_collection'!G15="","",'WetLitterbags placem_collection'!G15)</f>
        <v>42818</v>
      </c>
      <c r="O88" s="194">
        <f>IFERROR(INDEX('Both teabags AfterWet'!$C$3:$C$2000,MATCH(H88,'Both teabags AfterWet'!$A$3:$A$2000,0)),"")</f>
        <v>0.62809999999999999</v>
      </c>
      <c r="P88" s="194">
        <f>IFERROR(INDEX('Both teabags AfterWet'!$C$3:$C$2000,MATCH(I88,'Both teabags AfterWet'!$A$3:$A$2000,0)),"")</f>
        <v>0.91920000000000002</v>
      </c>
      <c r="Q88" s="194">
        <f t="shared" si="1"/>
        <v>0.47749999999999998</v>
      </c>
      <c r="R88" s="194">
        <f t="shared" si="1"/>
        <v>0.76859999999999995</v>
      </c>
      <c r="S88" s="194">
        <f t="shared" si="2"/>
        <v>0.74413246168685032</v>
      </c>
      <c r="T88" s="194">
        <f t="shared" si="3"/>
        <v>0.48783980861180692</v>
      </c>
      <c r="U88" s="194">
        <f t="shared" si="4"/>
        <v>0.38912515188335356</v>
      </c>
      <c r="V88">
        <f>IFERROR(IF((N88-G88)&gt;0,(IFERROR(N88-G88,"")),""),"")</f>
        <v>52</v>
      </c>
      <c r="W88" s="194">
        <f t="shared" si="5"/>
        <v>0.11623223077571221</v>
      </c>
      <c r="X88" s="194" t="str">
        <f t="shared" si="6"/>
        <v/>
      </c>
      <c r="Y88" s="252" t="str">
        <f>IF(ISNUMBER(SEARCH("C",'WetLitterbags placem_collection'!$X15)),"YES","NO")</f>
        <v>NO</v>
      </c>
      <c r="Z88" s="252" t="str">
        <f>IF(ISNUMBER(SEARCH("H", 'WetLitterbags placem_collection'!$X15)),"YES","NO")</f>
        <v>NO</v>
      </c>
      <c r="AA88" s="252" t="str">
        <f>IF(ISNUMBER(SEARCH("R", 'WetLitterbags placem_collection'!$X15)),"YES","NO")</f>
        <v>NO</v>
      </c>
      <c r="AB88" s="252" t="str">
        <f>IF(ISNUMBER(SEARCH("C", 'WetLitterbags placem_collection'!$V15)),"YES","NO")</f>
        <v>NO</v>
      </c>
      <c r="AC88" s="252" t="str">
        <f>IF(ISNUMBER(SEARCH("H", 'WetLitterbags placem_collection'!$V15)),"YES","NO")</f>
        <v>YES</v>
      </c>
      <c r="AD88" s="252" t="str">
        <f>IF(ISNUMBER(SEARCH("R", 'WetLitterbags placem_collection'!$V15)),"YES","NO")</f>
        <v>NO</v>
      </c>
    </row>
    <row r="89" spans="2:30">
      <c r="B89" t="str">
        <f>'Final data_for_R_analysis_Wetse'!A15</f>
        <v>Wet</v>
      </c>
      <c r="C89" s="260">
        <f>'Final data_for_R_analysis_Wetse'!B15</f>
        <v>14</v>
      </c>
      <c r="D89" t="s">
        <v>3802</v>
      </c>
      <c r="E89" t="s">
        <v>22</v>
      </c>
      <c r="F89" s="382">
        <v>6</v>
      </c>
      <c r="G89" s="16">
        <f>'WetLitterbags placem_collection'!E16</f>
        <v>42766</v>
      </c>
      <c r="H89" t="str">
        <f>'Final data_for_R_analysis_Wetse'!K15</f>
        <v>G609</v>
      </c>
      <c r="I89" t="str">
        <f>'Final data_for_R_analysis_Wetse'!K235</f>
        <v>R382</v>
      </c>
      <c r="J89">
        <f>IFERROR(INDEX('Green_rooibos initial weight'!$C$5:$C$2000,MATCH(H89, 'Green_rooibos initial weight'!$A$5:$A$2000,0)),"")</f>
        <v>2.089</v>
      </c>
      <c r="K89">
        <f>IFERROR(INDEX('Green_rooibos initial weight'!$C$5:$C$2000,MATCH(I89, 'Green_rooibos initial weight'!$A$5:$A$2000,0)),"")</f>
        <v>2.2210000000000001</v>
      </c>
      <c r="L89" s="194">
        <f t="shared" si="0"/>
        <v>1.8391999999999999</v>
      </c>
      <c r="M89" s="194">
        <f>IF(K89&gt;0,(K89*$F$32-($F$29+$F$30)),"")</f>
        <v>1.9712000000000001</v>
      </c>
      <c r="N89" s="16">
        <f>IF('WetLitterbags placem_collection'!G16="","",'WetLitterbags placem_collection'!G16)</f>
        <v>42818</v>
      </c>
      <c r="O89" s="194">
        <f>IFERROR(INDEX('Both teabags AfterWet'!$C$3:$C$2000,MATCH(H89,'Both teabags AfterWet'!$A$3:$A$2000,0)),"")</f>
        <v>0.498</v>
      </c>
      <c r="P89" s="194">
        <f>IFERROR(INDEX('Both teabags AfterWet'!$C$3:$C$2000,MATCH(I89,'Both teabags AfterWet'!$A$3:$A$2000,0)),"")</f>
        <v>1.794</v>
      </c>
      <c r="Q89" s="194">
        <f t="shared" si="1"/>
        <v>0.34739999999999999</v>
      </c>
      <c r="R89" s="194">
        <f t="shared" si="1"/>
        <v>1.6434</v>
      </c>
      <c r="S89" s="194">
        <f t="shared" si="2"/>
        <v>0.81111352762070466</v>
      </c>
      <c r="T89" s="194">
        <f t="shared" si="3"/>
        <v>0.53175138627865681</v>
      </c>
      <c r="U89" s="194">
        <f t="shared" si="4"/>
        <v>0.8337053571428571</v>
      </c>
      <c r="V89">
        <f>IFERROR(IF((N89-G89)&gt;0,(IFERROR(N89-G89,"")),""),"")</f>
        <v>52</v>
      </c>
      <c r="W89" s="194">
        <f t="shared" si="5"/>
        <v>3.6682271234317443E-2</v>
      </c>
      <c r="X89" s="194">
        <f t="shared" si="6"/>
        <v>7.2120795760559787E-3</v>
      </c>
      <c r="Y89" s="252" t="str">
        <f>IF(ISNUMBER(SEARCH("C",'WetLitterbags placem_collection'!$X16)),"YES","NO")</f>
        <v>NO</v>
      </c>
      <c r="Z89" s="252" t="str">
        <f>IF(ISNUMBER(SEARCH("H", 'WetLitterbags placem_collection'!$X16)),"YES","NO")</f>
        <v>NO</v>
      </c>
      <c r="AA89" s="252" t="str">
        <f>IF(ISNUMBER(SEARCH("R", 'WetLitterbags placem_collection'!$X16)),"YES","NO")</f>
        <v>NO</v>
      </c>
      <c r="AB89" s="252" t="str">
        <f>IF(ISNUMBER(SEARCH("C", 'WetLitterbags placem_collection'!$V16)),"YES","NO")</f>
        <v>NO</v>
      </c>
      <c r="AC89" s="252" t="str">
        <f>IF(ISNUMBER(SEARCH("H", 'WetLitterbags placem_collection'!$V16)),"YES","NO")</f>
        <v>NO</v>
      </c>
      <c r="AD89" s="252" t="str">
        <f>IF(ISNUMBER(SEARCH("R", 'WetLitterbags placem_collection'!$V16)),"YES","NO")</f>
        <v>NO</v>
      </c>
    </row>
    <row r="90" spans="2:30">
      <c r="B90" t="str">
        <f>'Final data_for_R_analysis_Wetse'!A16</f>
        <v>Wet</v>
      </c>
      <c r="C90" s="260">
        <f>'Final data_for_R_analysis_Wetse'!B16</f>
        <v>15</v>
      </c>
      <c r="D90" t="s">
        <v>3802</v>
      </c>
      <c r="E90" t="s">
        <v>22</v>
      </c>
      <c r="F90" s="382">
        <v>7</v>
      </c>
      <c r="G90" s="16">
        <f>'WetLitterbags placem_collection'!E17</f>
        <v>42766</v>
      </c>
      <c r="H90" t="str">
        <f>'Final data_for_R_analysis_Wetse'!K16</f>
        <v>G222</v>
      </c>
      <c r="I90" t="str">
        <f>'Final data_for_R_analysis_Wetse'!K236</f>
        <v>R415</v>
      </c>
      <c r="J90">
        <f>IFERROR(INDEX('Green_rooibos initial weight'!$C$5:$C$2000,MATCH(H90, 'Green_rooibos initial weight'!$A$5:$A$2000,0)),"")</f>
        <v>1.889</v>
      </c>
      <c r="K90">
        <f>IFERROR(INDEX('Green_rooibos initial weight'!$C$5:$C$2000,MATCH(I90, 'Green_rooibos initial weight'!$A$5:$A$2000,0)),"")</f>
        <v>2.2160000000000002</v>
      </c>
      <c r="L90" s="194">
        <f t="shared" si="0"/>
        <v>1.6392</v>
      </c>
      <c r="M90" s="194">
        <f>IF(K90&gt;0,(K90*$F$32-($F$29+$F$30)),"")</f>
        <v>1.9662000000000002</v>
      </c>
      <c r="N90" s="16">
        <f>IF('WetLitterbags placem_collection'!G17="","",'WetLitterbags placem_collection'!G17)</f>
        <v>42818</v>
      </c>
      <c r="O90" s="194">
        <f>IFERROR(INDEX('Both teabags AfterWet'!$C$3:$C$2000,MATCH(H90,'Both teabags AfterWet'!$A$3:$A$2000,0)),"")</f>
        <v>0.67100000000000004</v>
      </c>
      <c r="P90" s="194">
        <f>IFERROR(INDEX('Both teabags AfterWet'!$C$3:$C$2000,MATCH(I90,'Both teabags AfterWet'!$A$3:$A$2000,0)),"")</f>
        <v>2.96</v>
      </c>
      <c r="Q90" s="194">
        <f t="shared" si="1"/>
        <v>0.52039999999999997</v>
      </c>
      <c r="R90" s="194">
        <f t="shared" si="1"/>
        <v>2.8094000000000001</v>
      </c>
      <c r="S90" s="194">
        <f t="shared" si="2"/>
        <v>0.68252806246949738</v>
      </c>
      <c r="T90" s="194">
        <f t="shared" si="3"/>
        <v>0.4474530765833285</v>
      </c>
      <c r="U90" s="194">
        <f t="shared" si="4"/>
        <v>1.4288475231410842</v>
      </c>
      <c r="V90">
        <f>IFERROR(IF((N90-G90)&gt;0,(IFERROR(N90-G90,"")),""),"")</f>
        <v>52</v>
      </c>
      <c r="W90" s="194">
        <f t="shared" si="5"/>
        <v>0.18939660039252093</v>
      </c>
      <c r="X90" s="194">
        <f t="shared" si="6"/>
        <v>-1.2925721288924656E-2</v>
      </c>
      <c r="Y90" s="252" t="str">
        <f>IF(ISNUMBER(SEARCH("C",'WetLitterbags placem_collection'!$X17)),"YES","NO")</f>
        <v>NO</v>
      </c>
      <c r="Z90" s="252" t="str">
        <f>IF(ISNUMBER(SEARCH("H", 'WetLitterbags placem_collection'!$X17)),"YES","NO")</f>
        <v>NO</v>
      </c>
      <c r="AA90" s="252" t="str">
        <f>IF(ISNUMBER(SEARCH("R", 'WetLitterbags placem_collection'!$X17)),"YES","NO")</f>
        <v>YES</v>
      </c>
      <c r="AB90" s="252" t="str">
        <f>IF(ISNUMBER(SEARCH("C", 'WetLitterbags placem_collection'!$V17)),"YES","NO")</f>
        <v>NO</v>
      </c>
      <c r="AC90" s="252" t="str">
        <f>IF(ISNUMBER(SEARCH("H", 'WetLitterbags placem_collection'!$V17)),"YES","NO")</f>
        <v>NO</v>
      </c>
      <c r="AD90" s="252" t="str">
        <f>IF(ISNUMBER(SEARCH("R", 'WetLitterbags placem_collection'!$V17)),"YES","NO")</f>
        <v>NO</v>
      </c>
    </row>
    <row r="91" spans="2:30">
      <c r="B91" t="str">
        <f>'Final data_for_R_analysis_Wetse'!A17</f>
        <v>Wet</v>
      </c>
      <c r="C91" s="260">
        <f>'Final data_for_R_analysis_Wetse'!B17</f>
        <v>16</v>
      </c>
      <c r="D91" t="s">
        <v>3802</v>
      </c>
      <c r="E91" t="s">
        <v>22</v>
      </c>
      <c r="F91" s="382">
        <v>8</v>
      </c>
      <c r="G91" s="16">
        <f>'WetLitterbags placem_collection'!E18</f>
        <v>42766</v>
      </c>
      <c r="H91" t="str">
        <f>'Final data_for_R_analysis_Wetse'!K17</f>
        <v>G405</v>
      </c>
      <c r="I91" t="str">
        <f>'Final data_for_R_analysis_Wetse'!K237</f>
        <v>R519</v>
      </c>
      <c r="J91">
        <f>IFERROR(INDEX('Green_rooibos initial weight'!$C$5:$C$2000,MATCH(H91, 'Green_rooibos initial weight'!$A$5:$A$2000,0)),"")</f>
        <v>2.056</v>
      </c>
      <c r="K91">
        <f>IFERROR(INDEX('Green_rooibos initial weight'!$C$5:$C$2000,MATCH(I91, 'Green_rooibos initial weight'!$A$5:$A$2000,0)),"")</f>
        <v>2.21</v>
      </c>
      <c r="L91" s="194">
        <f t="shared" si="0"/>
        <v>1.8062</v>
      </c>
      <c r="M91" s="194">
        <f>IF(K91&gt;0,(K91*$F$32-($F$29+$F$30)),"")</f>
        <v>1.9601999999999999</v>
      </c>
      <c r="N91" s="16">
        <f>IF('WetLitterbags placem_collection'!G18="","",'WetLitterbags placem_collection'!G18)</f>
        <v>42818</v>
      </c>
      <c r="O91" s="194">
        <f>IFERROR(INDEX('Both teabags AfterWet'!$C$3:$C$2000,MATCH(H91,'Both teabags AfterWet'!$A$3:$A$2000,0)),"")</f>
        <v>0.70150000000000001</v>
      </c>
      <c r="P91" s="194">
        <f>IFERROR(INDEX('Both teabags AfterWet'!$C$3:$C$2000,MATCH(I91,'Both teabags AfterWet'!$A$3:$A$2000,0)),"")</f>
        <v>1.4281999999999999</v>
      </c>
      <c r="Q91" s="194">
        <f t="shared" si="1"/>
        <v>0.55089999999999995</v>
      </c>
      <c r="R91" s="194">
        <f t="shared" si="1"/>
        <v>1.2775999999999998</v>
      </c>
      <c r="S91" s="194">
        <f t="shared" si="2"/>
        <v>0.69499501716310497</v>
      </c>
      <c r="T91" s="194">
        <f t="shared" si="3"/>
        <v>0.45562618702379337</v>
      </c>
      <c r="U91" s="194">
        <f t="shared" si="4"/>
        <v>0.65177022752780323</v>
      </c>
      <c r="V91">
        <f>IFERROR(IF((N91-G91)&gt;0,(IFERROR(N91-G91,"")),""),"")</f>
        <v>52</v>
      </c>
      <c r="W91" s="194">
        <f t="shared" si="5"/>
        <v>0.17459024089892516</v>
      </c>
      <c r="X91" s="194">
        <f t="shared" si="6"/>
        <v>2.7791267510965615E-2</v>
      </c>
      <c r="Y91" s="252" t="str">
        <f>IF(ISNUMBER(SEARCH("C",'WetLitterbags placem_collection'!$X18)),"YES","NO")</f>
        <v>NO</v>
      </c>
      <c r="Z91" s="252" t="str">
        <f>IF(ISNUMBER(SEARCH("H", 'WetLitterbags placem_collection'!$X18)),"YES","NO")</f>
        <v>NO</v>
      </c>
      <c r="AA91" s="252" t="str">
        <f>IF(ISNUMBER(SEARCH("R", 'WetLitterbags placem_collection'!$X18)),"YES","NO")</f>
        <v>YES</v>
      </c>
      <c r="AB91" s="252" t="str">
        <f>IF(ISNUMBER(SEARCH("C", 'WetLitterbags placem_collection'!$V18)),"YES","NO")</f>
        <v>NO</v>
      </c>
      <c r="AC91" s="252" t="str">
        <f>IF(ISNUMBER(SEARCH("H", 'WetLitterbags placem_collection'!$V18)),"YES","NO")</f>
        <v>YES</v>
      </c>
      <c r="AD91" s="252" t="str">
        <f>IF(ISNUMBER(SEARCH("R", 'WetLitterbags placem_collection'!$V18)),"YES","NO")</f>
        <v>YES</v>
      </c>
    </row>
    <row r="92" spans="2:30">
      <c r="B92" t="str">
        <f>'Final data_for_R_analysis_Wetse'!A18</f>
        <v>Wet</v>
      </c>
      <c r="C92" s="260">
        <f>'Final data_for_R_analysis_Wetse'!B18</f>
        <v>17</v>
      </c>
      <c r="D92" t="s">
        <v>3803</v>
      </c>
      <c r="E92" t="s">
        <v>22</v>
      </c>
      <c r="F92" s="381">
        <v>1</v>
      </c>
      <c r="G92" s="16">
        <f>'WetLitterbags placem_collection'!E19</f>
        <v>42767</v>
      </c>
      <c r="H92" t="str">
        <f>'Final data_for_R_analysis_Wetse'!K18</f>
        <v>G571</v>
      </c>
      <c r="I92" t="str">
        <f>'Final data_for_R_analysis_Wetse'!K238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0"/>
        <v>1.7991999999999999</v>
      </c>
      <c r="M92" s="194">
        <f>IF(K92&gt;0,(K92*$F$32-($F$29+$F$30)),"")</f>
        <v>1.9512</v>
      </c>
      <c r="N92" s="16">
        <f>IF('WetLitterbags placem_collection'!G19="","",'WetLitterbags placem_collection'!G19)</f>
        <v>42818</v>
      </c>
      <c r="O92" s="194">
        <f>IFERROR(INDEX('Both teabags AfterWet'!$C$3:$C$2000,MATCH(H92,'Both teabags AfterWet'!$A$3:$A$2000,0)),"")</f>
        <v>0.67520000000000002</v>
      </c>
      <c r="P92" s="194">
        <f>IFERROR(INDEX('Both teabags AfterWet'!$C$3:$C$2000,MATCH(I92,'Both teabags AfterWet'!$A$3:$A$2000,0)),"")</f>
        <v>1.6227</v>
      </c>
      <c r="Q92" s="194">
        <f t="shared" si="1"/>
        <v>0.52459999999999996</v>
      </c>
      <c r="R92" s="194">
        <f t="shared" si="1"/>
        <v>1.4721</v>
      </c>
      <c r="S92" s="194">
        <f t="shared" si="2"/>
        <v>0.70842596709648742</v>
      </c>
      <c r="T92" s="194">
        <f t="shared" si="3"/>
        <v>0.46443127534116524</v>
      </c>
      <c r="U92" s="194">
        <f t="shared" si="4"/>
        <v>0.75445879458794585</v>
      </c>
      <c r="V92">
        <f>IFERROR(IF((N92-G92)&gt;0,(IFERROR(N92-G92,"")),""),"")</f>
        <v>51</v>
      </c>
      <c r="W92" s="194">
        <f t="shared" si="5"/>
        <v>0.15863899394716452</v>
      </c>
      <c r="X92" s="194">
        <f t="shared" si="6"/>
        <v>1.474988143638249E-2</v>
      </c>
      <c r="Y92" s="252" t="str">
        <f>IF(ISNUMBER(SEARCH("C",'WetLitterbags placem_collection'!$X19)),"YES","NO")</f>
        <v>NO</v>
      </c>
      <c r="Z92" s="252" t="str">
        <f>IF(ISNUMBER(SEARCH("H", 'WetLitterbags placem_collection'!$X19)),"YES","NO")</f>
        <v>NO</v>
      </c>
      <c r="AA92" s="252" t="str">
        <f>IF(ISNUMBER(SEARCH("R", 'WetLitterbags placem_collection'!$X19)),"YES","NO")</f>
        <v>YES</v>
      </c>
      <c r="AB92" s="252" t="str">
        <f>IF(ISNUMBER(SEARCH("C", 'WetLitterbags placem_collection'!$V19)),"YES","NO")</f>
        <v>NO</v>
      </c>
      <c r="AC92" s="252" t="str">
        <f>IF(ISNUMBER(SEARCH("H", 'WetLitterbags placem_collection'!$V19)),"YES","NO")</f>
        <v>NO</v>
      </c>
      <c r="AD92" s="252" t="str">
        <f>IF(ISNUMBER(SEARCH("R", 'WetLitterbags placem_collection'!$V19)),"YES","NO")</f>
        <v>NO</v>
      </c>
    </row>
    <row r="93" spans="2:30">
      <c r="B93" t="str">
        <f>'Final data_for_R_analysis_Wetse'!A19</f>
        <v>Wet</v>
      </c>
      <c r="C93" s="260">
        <f>'Final data_for_R_analysis_Wetse'!B19</f>
        <v>18</v>
      </c>
      <c r="D93" t="s">
        <v>3803</v>
      </c>
      <c r="E93" t="s">
        <v>22</v>
      </c>
      <c r="F93" s="381">
        <v>2</v>
      </c>
      <c r="G93" s="16">
        <f>'WetLitterbags placem_collection'!E20</f>
        <v>42767</v>
      </c>
      <c r="H93" t="str">
        <f>'Final data_for_R_analysis_Wetse'!K19</f>
        <v>G419</v>
      </c>
      <c r="I93" t="str">
        <f>'Final data_for_R_analysis_Wetse'!K239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0"/>
        <v>1.8281999999999998</v>
      </c>
      <c r="M93" s="194">
        <f>IF(K93&gt;0,(K93*$F$32-($F$29+$F$30)),"")</f>
        <v>1.9872000000000001</v>
      </c>
      <c r="N93" s="16">
        <f>IF('WetLitterbags placem_collection'!G20="","",'WetLitterbags placem_collection'!G20)</f>
        <v>42818</v>
      </c>
      <c r="O93" s="194">
        <f>IFERROR(INDEX('Both teabags AfterWet'!$C$3:$C$2000,MATCH(H93,'Both teabags AfterWet'!$A$3:$A$2000,0)),"")</f>
        <v>0.79100000000000004</v>
      </c>
      <c r="P93" s="194">
        <f>IFERROR(INDEX('Both teabags AfterWet'!$C$3:$C$2000,MATCH(I93,'Both teabags AfterWet'!$A$3:$A$2000,0)),"")</f>
        <v>1.79</v>
      </c>
      <c r="Q93" s="194">
        <f t="shared" si="1"/>
        <v>0.64040000000000008</v>
      </c>
      <c r="R93" s="194">
        <f t="shared" si="1"/>
        <v>1.6394</v>
      </c>
      <c r="S93" s="194">
        <f t="shared" si="2"/>
        <v>0.64971009736352681</v>
      </c>
      <c r="T93" s="194">
        <f t="shared" si="3"/>
        <v>0.42593821109817914</v>
      </c>
      <c r="U93" s="194">
        <f t="shared" si="4"/>
        <v>0.82497987117552329</v>
      </c>
      <c r="V93">
        <f>IFERROR(IF((N93-G93)&gt;0,(IFERROR(N93-G93,"")),""),"")</f>
        <v>51</v>
      </c>
      <c r="W93" s="194">
        <f t="shared" si="5"/>
        <v>0.22837280598155962</v>
      </c>
      <c r="X93" s="194">
        <f t="shared" si="6"/>
        <v>1.0375838646262188E-2</v>
      </c>
      <c r="Y93" s="252" t="str">
        <f>IF(ISNUMBER(SEARCH("C",'WetLitterbags placem_collection'!$X20)),"YES","NO")</f>
        <v>NO</v>
      </c>
      <c r="Z93" s="252" t="str">
        <f>IF(ISNUMBER(SEARCH("H", 'WetLitterbags placem_collection'!$X20)),"YES","NO")</f>
        <v>NO</v>
      </c>
      <c r="AA93" s="252" t="str">
        <f>IF(ISNUMBER(SEARCH("R", 'WetLitterbags placem_collection'!$X20)),"YES","NO")</f>
        <v>YES</v>
      </c>
      <c r="AB93" s="252" t="str">
        <f>IF(ISNUMBER(SEARCH("C", 'WetLitterbags placem_collection'!$V20)),"YES","NO")</f>
        <v>NO</v>
      </c>
      <c r="AC93" s="252" t="str">
        <f>IF(ISNUMBER(SEARCH("H", 'WetLitterbags placem_collection'!$V20)),"YES","NO")</f>
        <v>NO</v>
      </c>
      <c r="AD93" s="252" t="str">
        <f>IF(ISNUMBER(SEARCH("R", 'WetLitterbags placem_collection'!$V20)),"YES","NO")</f>
        <v>YES</v>
      </c>
    </row>
    <row r="94" spans="2:30">
      <c r="B94" t="str">
        <f>'Final data_for_R_analysis_Wetse'!A20</f>
        <v>Wet</v>
      </c>
      <c r="C94" s="260">
        <f>'Final data_for_R_analysis_Wetse'!B20</f>
        <v>19</v>
      </c>
      <c r="D94" t="s">
        <v>3803</v>
      </c>
      <c r="E94" t="s">
        <v>22</v>
      </c>
      <c r="F94" s="381">
        <v>3</v>
      </c>
      <c r="G94" s="16">
        <f>'WetLitterbags placem_collection'!E21</f>
        <v>42767</v>
      </c>
      <c r="H94" t="str">
        <f>'Final data_for_R_analysis_Wetse'!K20</f>
        <v>G240</v>
      </c>
      <c r="I94" t="str">
        <f>'Final data_for_R_analysis_Wetse'!K240</f>
        <v>R82</v>
      </c>
      <c r="J94">
        <f>IFERROR(INDEX('Green_rooibos initial weight'!$C$5:$C$2000,MATCH(H94, 'Green_rooibos initial weight'!$A$5:$A$2000,0)),"")</f>
        <v>2.117</v>
      </c>
      <c r="K94">
        <f>IFERROR(INDEX('Green_rooibos initial weight'!$C$5:$C$2000,MATCH(I94, 'Green_rooibos initial weight'!$A$5:$A$2000,0)),"")</f>
        <v>2.2490000000000001</v>
      </c>
      <c r="L94" s="194">
        <f t="shared" si="0"/>
        <v>1.8672</v>
      </c>
      <c r="M94" s="194">
        <f>IF(K94&gt;0,(K94*$F$32-($F$29+$F$30)),"")</f>
        <v>1.9992000000000001</v>
      </c>
      <c r="N94" s="16">
        <f>IF('WetLitterbags placem_collection'!G21="","",'WetLitterbags placem_collection'!G21)</f>
        <v>42818</v>
      </c>
      <c r="O94" s="194">
        <f>IFERROR(INDEX('Both teabags AfterWet'!$C$3:$C$2000,MATCH(H94,'Both teabags AfterWet'!$A$3:$A$2000,0)),"")</f>
        <v>0.88690000000000002</v>
      </c>
      <c r="P94" s="194">
        <f>IFERROR(INDEX('Both teabags AfterWet'!$C$3:$C$2000,MATCH(I94,'Both teabags AfterWet'!$A$3:$A$2000,0)),"")</f>
        <v>1.514</v>
      </c>
      <c r="Q94" s="194">
        <f t="shared" si="1"/>
        <v>0.73629999999999995</v>
      </c>
      <c r="R94" s="194">
        <f t="shared" si="1"/>
        <v>1.3633999999999999</v>
      </c>
      <c r="S94" s="194">
        <f t="shared" si="2"/>
        <v>0.60566623821765209</v>
      </c>
      <c r="T94" s="194">
        <f t="shared" si="3"/>
        <v>0.39706385213318768</v>
      </c>
      <c r="U94" s="194">
        <f t="shared" si="4"/>
        <v>0.68197278911564618</v>
      </c>
      <c r="V94">
        <f>IFERROR(IF((N94-G94)&gt;0,(IFERROR(N94-G94,"")),""),"")</f>
        <v>51</v>
      </c>
      <c r="W94" s="194">
        <f t="shared" si="5"/>
        <v>0.28068142729494994</v>
      </c>
      <c r="X94" s="194">
        <f t="shared" si="6"/>
        <v>3.1650696983267168E-2</v>
      </c>
      <c r="Y94" s="252" t="str">
        <f>IF(ISNUMBER(SEARCH("C",'WetLitterbags placem_collection'!$X21)),"YES","NO")</f>
        <v>NO</v>
      </c>
      <c r="Z94" s="252" t="str">
        <f>IF(ISNUMBER(SEARCH("H", 'WetLitterbags placem_collection'!$X21)),"YES","NO")</f>
        <v>NO</v>
      </c>
      <c r="AA94" s="252" t="str">
        <f>IF(ISNUMBER(SEARCH("R", 'WetLitterbags placem_collection'!$X21)),"YES","NO")</f>
        <v>NO</v>
      </c>
      <c r="AB94" s="252" t="str">
        <f>IF(ISNUMBER(SEARCH("C", 'WetLitterbags placem_collection'!$V21)),"YES","NO")</f>
        <v>NO</v>
      </c>
      <c r="AC94" s="252" t="str">
        <f>IF(ISNUMBER(SEARCH("H", 'WetLitterbags placem_collection'!$V21)),"YES","NO")</f>
        <v>NO</v>
      </c>
      <c r="AD94" s="252" t="str">
        <f>IF(ISNUMBER(SEARCH("R", 'WetLitterbags placem_collection'!$V21)),"YES","NO")</f>
        <v>NO</v>
      </c>
    </row>
    <row r="95" spans="2:30">
      <c r="B95" t="str">
        <f>'Final data_for_R_analysis_Wetse'!A21</f>
        <v>Wet</v>
      </c>
      <c r="C95" s="260">
        <f>'Final data_for_R_analysis_Wetse'!B21</f>
        <v>20</v>
      </c>
      <c r="D95" t="s">
        <v>3803</v>
      </c>
      <c r="E95" t="s">
        <v>22</v>
      </c>
      <c r="F95" s="382">
        <v>4</v>
      </c>
      <c r="G95" s="16">
        <f>'WetLitterbags placem_collection'!E22</f>
        <v>42767</v>
      </c>
      <c r="H95" t="str">
        <f>'Final data_for_R_analysis_Wetse'!K21</f>
        <v>G524</v>
      </c>
      <c r="I95" t="str">
        <f>'Final data_for_R_analysis_Wetse'!K241</f>
        <v>R50</v>
      </c>
      <c r="J95">
        <f>IFERROR(INDEX('Green_rooibos initial weight'!$C$5:$C$2000,MATCH(H95, 'Green_rooibos initial weight'!$A$5:$A$2000,0)),"")</f>
        <v>1.962</v>
      </c>
      <c r="K95">
        <f>IFERROR(INDEX('Green_rooibos initial weight'!$C$5:$C$2000,MATCH(I95, 'Green_rooibos initial weight'!$A$5:$A$2000,0)),"")</f>
        <v>2.2490000000000001</v>
      </c>
      <c r="L95" s="194">
        <f t="shared" si="0"/>
        <v>1.7121999999999999</v>
      </c>
      <c r="M95" s="194">
        <f>IF(K95&gt;0,(K95*$F$32-($F$29+$F$30)),"")</f>
        <v>1.9992000000000001</v>
      </c>
      <c r="N95" s="16">
        <f>IF('WetLitterbags placem_collection'!G22="","",'WetLitterbags placem_collection'!G22)</f>
        <v>42818</v>
      </c>
      <c r="O95" s="194">
        <f>IFERROR(INDEX('Both teabags AfterWet'!$C$3:$C$2000,MATCH(H95,'Both teabags AfterWet'!$A$3:$A$2000,0)),"")</f>
        <v>0.71609999999999996</v>
      </c>
      <c r="P95" s="194">
        <f>IFERROR(INDEX('Both teabags AfterWet'!$C$3:$C$2000,MATCH(I95,'Both teabags AfterWet'!$A$3:$A$2000,0)),"")</f>
        <v>1.51</v>
      </c>
      <c r="Q95" s="194">
        <f t="shared" si="1"/>
        <v>0.56549999999999989</v>
      </c>
      <c r="R95" s="194">
        <f t="shared" si="1"/>
        <v>1.3593999999999999</v>
      </c>
      <c r="S95" s="194">
        <f t="shared" si="2"/>
        <v>0.66972316318187131</v>
      </c>
      <c r="T95" s="194">
        <f t="shared" si="3"/>
        <v>0.43905841576768762</v>
      </c>
      <c r="U95" s="194">
        <f t="shared" si="4"/>
        <v>0.67997198879551812</v>
      </c>
      <c r="V95">
        <f>IFERROR(IF((N95-G95)&gt;0,(IFERROR(N95-G95,"")),""),"")</f>
        <v>51</v>
      </c>
      <c r="W95" s="194">
        <f t="shared" si="5"/>
        <v>0.20460431926143552</v>
      </c>
      <c r="X95" s="194">
        <f t="shared" si="6"/>
        <v>2.5593206053819834E-2</v>
      </c>
      <c r="Y95" s="252" t="str">
        <f>IF(ISNUMBER(SEARCH("C",'WetLitterbags placem_collection'!$X22)),"YES","NO")</f>
        <v>NO</v>
      </c>
      <c r="Z95" s="252" t="str">
        <f>IF(ISNUMBER(SEARCH("H", 'WetLitterbags placem_collection'!$X22)),"YES","NO")</f>
        <v>NO</v>
      </c>
      <c r="AA95" s="252" t="str">
        <f>IF(ISNUMBER(SEARCH("R", 'WetLitterbags placem_collection'!$X22)),"YES","NO")</f>
        <v>NO</v>
      </c>
      <c r="AB95" s="252" t="str">
        <f>IF(ISNUMBER(SEARCH("C", 'WetLitterbags placem_collection'!$V22)),"YES","NO")</f>
        <v>NO</v>
      </c>
      <c r="AC95" s="252" t="str">
        <f>IF(ISNUMBER(SEARCH("H", 'WetLitterbags placem_collection'!$V22)),"YES","NO")</f>
        <v>NO</v>
      </c>
      <c r="AD95" s="252" t="str">
        <f>IF(ISNUMBER(SEARCH("R", 'WetLitterbags placem_collection'!$V22)),"YES","NO")</f>
        <v>NO</v>
      </c>
    </row>
    <row r="96" spans="2:30">
      <c r="B96" t="str">
        <f>'Final data_for_R_analysis_Wetse'!A22</f>
        <v>Wet</v>
      </c>
      <c r="C96" s="260">
        <f>'Final data_for_R_analysis_Wetse'!B22</f>
        <v>21</v>
      </c>
      <c r="D96" t="s">
        <v>3803</v>
      </c>
      <c r="E96" t="s">
        <v>22</v>
      </c>
      <c r="F96" s="382">
        <v>5</v>
      </c>
      <c r="G96" s="16">
        <f>'WetLitterbags placem_collection'!E23</f>
        <v>42767</v>
      </c>
      <c r="H96" t="str">
        <f>'Final data_for_R_analysis_Wetse'!K22</f>
        <v>G699</v>
      </c>
      <c r="I96" t="str">
        <f>'Final data_for_R_analysis_Wetse'!K242</f>
        <v>R529</v>
      </c>
      <c r="J96">
        <f>IFERROR(INDEX('Green_rooibos initial weight'!$C$5:$C$2000,MATCH(H96, 'Green_rooibos initial weight'!$A$5:$A$2000,0)),"")</f>
        <v>1.984</v>
      </c>
      <c r="K96">
        <f>IFERROR(INDEX('Green_rooibos initial weight'!$C$5:$C$2000,MATCH(I96, 'Green_rooibos initial weight'!$A$5:$A$2000,0)),"")</f>
        <v>2.157</v>
      </c>
      <c r="L96" s="194">
        <f t="shared" si="0"/>
        <v>1.7342</v>
      </c>
      <c r="M96" s="194">
        <f>IF(K96&gt;0,(K96*$F$32-($F$29+$F$30)),"")</f>
        <v>1.9072</v>
      </c>
      <c r="N96" s="16">
        <f>IF('WetLitterbags placem_collection'!G23="","",'WetLitterbags placem_collection'!G23)</f>
        <v>42818</v>
      </c>
      <c r="O96" s="194">
        <f>IFERROR(INDEX('Both teabags AfterWet'!$C$3:$C$2000,MATCH(H96,'Both teabags AfterWet'!$A$3:$A$2000,0)),"")</f>
        <v>0.7389</v>
      </c>
      <c r="P96" s="194">
        <f>IFERROR(INDEX('Both teabags AfterWet'!$C$3:$C$2000,MATCH(I96,'Both teabags AfterWet'!$A$3:$A$2000,0)),"")</f>
        <v>1.4387000000000001</v>
      </c>
      <c r="Q96" s="194">
        <f t="shared" si="1"/>
        <v>0.58830000000000005</v>
      </c>
      <c r="R96" s="194">
        <f t="shared" si="1"/>
        <v>1.2881</v>
      </c>
      <c r="S96" s="194">
        <f t="shared" si="2"/>
        <v>0.66076577096067346</v>
      </c>
      <c r="T96" s="194">
        <f t="shared" si="3"/>
        <v>0.43318611112861255</v>
      </c>
      <c r="U96" s="194">
        <f t="shared" si="4"/>
        <v>0.6753880033557047</v>
      </c>
      <c r="V96">
        <f>IFERROR(IF((N96-G96)&gt;0,(IFERROR(N96-G96,"")),""),"")</f>
        <v>51</v>
      </c>
      <c r="W96" s="194">
        <f t="shared" si="5"/>
        <v>0.21524255230323819</v>
      </c>
      <c r="X96" s="194">
        <f t="shared" si="6"/>
        <v>2.7132047665016409E-2</v>
      </c>
      <c r="Y96" s="252" t="str">
        <f>IF(ISNUMBER(SEARCH("C",'WetLitterbags placem_collection'!$X23)),"YES","NO")</f>
        <v>NO</v>
      </c>
      <c r="Z96" s="252" t="str">
        <f>IF(ISNUMBER(SEARCH("H", 'WetLitterbags placem_collection'!$X23)),"YES","NO")</f>
        <v>NO</v>
      </c>
      <c r="AA96" s="252" t="str">
        <f>IF(ISNUMBER(SEARCH("R", 'WetLitterbags placem_collection'!$X23)),"YES","NO")</f>
        <v>NO</v>
      </c>
      <c r="AB96" s="252" t="str">
        <f>IF(ISNUMBER(SEARCH("C", 'WetLitterbags placem_collection'!$V23)),"YES","NO")</f>
        <v>NO</v>
      </c>
      <c r="AC96" s="252" t="str">
        <f>IF(ISNUMBER(SEARCH("H", 'WetLitterbags placem_collection'!$V23)),"YES","NO")</f>
        <v>NO</v>
      </c>
      <c r="AD96" s="252" t="str">
        <f>IF(ISNUMBER(SEARCH("R", 'WetLitterbags placem_collection'!$V23)),"YES","NO")</f>
        <v>YES</v>
      </c>
    </row>
    <row r="97" spans="2:30">
      <c r="B97" t="str">
        <f>'Final data_for_R_analysis_Wetse'!A23</f>
        <v>Wet</v>
      </c>
      <c r="C97" s="260">
        <f>'Final data_for_R_analysis_Wetse'!B23</f>
        <v>22</v>
      </c>
      <c r="D97" t="s">
        <v>3803</v>
      </c>
      <c r="E97" t="s">
        <v>22</v>
      </c>
      <c r="F97" s="382">
        <v>6</v>
      </c>
      <c r="G97" s="16">
        <f>'WetLitterbags placem_collection'!E24</f>
        <v>42767</v>
      </c>
      <c r="H97" t="str">
        <f>'Final data_for_R_analysis_Wetse'!K23</f>
        <v>G575</v>
      </c>
      <c r="I97" t="str">
        <f>'Final data_for_R_analysis_Wetse'!K243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0"/>
        <v>1.7472000000000001</v>
      </c>
      <c r="M97" s="194">
        <f>IF(K97&gt;0,(K97*$F$32-($F$29+$F$30)),"")</f>
        <v>1.9161999999999999</v>
      </c>
      <c r="N97" s="16">
        <f>IF('WetLitterbags placem_collection'!G24="","",'WetLitterbags placem_collection'!G24)</f>
        <v>42818</v>
      </c>
      <c r="O97" s="194">
        <f>IFERROR(INDEX('Both teabags AfterWet'!$C$3:$C$2000,MATCH(H97,'Both teabags AfterWet'!$A$3:$A$2000,0)),"")</f>
        <v>0.74019999999999997</v>
      </c>
      <c r="P97" s="194">
        <f>IFERROR(INDEX('Both teabags AfterWet'!$C$3:$C$2000,MATCH(I97,'Both teabags AfterWet'!$A$3:$A$2000,0)),"")</f>
        <v>1.5164</v>
      </c>
      <c r="Q97" s="194">
        <f t="shared" si="1"/>
        <v>0.5895999999999999</v>
      </c>
      <c r="R97" s="194">
        <f t="shared" si="1"/>
        <v>1.3657999999999999</v>
      </c>
      <c r="S97" s="194">
        <f t="shared" si="2"/>
        <v>0.66254578754578763</v>
      </c>
      <c r="T97" s="194">
        <f t="shared" si="3"/>
        <v>0.43435305786849737</v>
      </c>
      <c r="U97" s="194">
        <f t="shared" si="4"/>
        <v>0.71276484709320531</v>
      </c>
      <c r="V97">
        <f>IFERROR(IF((N97-G97)&gt;0,(IFERROR(N97-G97,"")),""),"")</f>
        <v>51</v>
      </c>
      <c r="W97" s="194">
        <f t="shared" si="5"/>
        <v>0.21312851835417146</v>
      </c>
      <c r="X97" s="194">
        <f t="shared" si="6"/>
        <v>2.1227909037752256E-2</v>
      </c>
      <c r="Y97" s="252" t="str">
        <f>IF(ISNUMBER(SEARCH("C",'WetLitterbags placem_collection'!$X24)),"YES","NO")</f>
        <v>NO</v>
      </c>
      <c r="Z97" s="252" t="str">
        <f>IF(ISNUMBER(SEARCH("H", 'WetLitterbags placem_collection'!$X24)),"YES","NO")</f>
        <v>NO</v>
      </c>
      <c r="AA97" s="252" t="str">
        <f>IF(ISNUMBER(SEARCH("R", 'WetLitterbags placem_collection'!$X24)),"YES","NO")</f>
        <v>NO</v>
      </c>
      <c r="AB97" s="252" t="str">
        <f>IF(ISNUMBER(SEARCH("C", 'WetLitterbags placem_collection'!$V24)),"YES","NO")</f>
        <v>NO</v>
      </c>
      <c r="AC97" s="252" t="str">
        <f>IF(ISNUMBER(SEARCH("H", 'WetLitterbags placem_collection'!$V24)),"YES","NO")</f>
        <v>NO</v>
      </c>
      <c r="AD97" s="252" t="str">
        <f>IF(ISNUMBER(SEARCH("R", 'WetLitterbags placem_collection'!$V24)),"YES","NO")</f>
        <v>YES</v>
      </c>
    </row>
    <row r="98" spans="2:30">
      <c r="B98" t="str">
        <f>'Final data_for_R_analysis_Wetse'!A24</f>
        <v>Wet</v>
      </c>
      <c r="C98" s="260">
        <f>'Final data_for_R_analysis_Wetse'!B24</f>
        <v>23</v>
      </c>
      <c r="D98" t="s">
        <v>3803</v>
      </c>
      <c r="E98" t="s">
        <v>22</v>
      </c>
      <c r="F98" s="382">
        <v>7</v>
      </c>
      <c r="G98" s="16">
        <f>'WetLitterbags placem_collection'!E25</f>
        <v>42767</v>
      </c>
      <c r="H98" t="str">
        <f>'Final data_for_R_analysis_Wetse'!K24</f>
        <v>G492</v>
      </c>
      <c r="I98" t="str">
        <f>'Final data_for_R_analysis_Wetse'!K244</f>
        <v>R190</v>
      </c>
      <c r="J98">
        <f>IFERROR(INDEX('Green_rooibos initial weight'!$C$5:$C$2000,MATCH(H98, 'Green_rooibos initial weight'!$A$5:$A$2000,0)),"")</f>
        <v>1.948</v>
      </c>
      <c r="K98">
        <f>IFERROR(INDEX('Green_rooibos initial weight'!$C$5:$C$2000,MATCH(I98, 'Green_rooibos initial weight'!$A$5:$A$2000,0)),"")</f>
        <v>2.2240000000000002</v>
      </c>
      <c r="L98" s="194">
        <f t="shared" si="0"/>
        <v>1.6981999999999999</v>
      </c>
      <c r="M98" s="194">
        <f>IF(K98&gt;0,(K98*$F$32-($F$29+$F$30)),"")</f>
        <v>1.9742000000000002</v>
      </c>
      <c r="N98" s="16">
        <f>IF('WetLitterbags placem_collection'!G25="","",'WetLitterbags placem_collection'!G25)</f>
        <v>42818</v>
      </c>
      <c r="O98" s="194">
        <f>IFERROR(INDEX('Both teabags AfterWet'!$C$3:$C$2000,MATCH(H98,'Both teabags AfterWet'!$A$3:$A$2000,0)),"")</f>
        <v>0.76959999999999995</v>
      </c>
      <c r="P98" s="194">
        <f>IFERROR(INDEX('Both teabags AfterWet'!$C$3:$C$2000,MATCH(I98,'Both teabags AfterWet'!$A$3:$A$2000,0)),"")</f>
        <v>1.5019</v>
      </c>
      <c r="Q98" s="194">
        <f t="shared" si="1"/>
        <v>0.61899999999999999</v>
      </c>
      <c r="R98" s="194">
        <f t="shared" si="1"/>
        <v>1.3512999999999999</v>
      </c>
      <c r="S98" s="194">
        <f t="shared" si="2"/>
        <v>0.63549640796137086</v>
      </c>
      <c r="T98" s="194">
        <f t="shared" si="3"/>
        <v>0.41661997291529307</v>
      </c>
      <c r="U98" s="194">
        <f t="shared" si="4"/>
        <v>0.68447978928173425</v>
      </c>
      <c r="V98">
        <f>IFERROR(IF((N98-G98)&gt;0,(IFERROR(N98-G98,"")),""),"")</f>
        <v>51</v>
      </c>
      <c r="W98" s="194">
        <f t="shared" si="5"/>
        <v>0.24525367225490391</v>
      </c>
      <c r="X98" s="194">
        <f t="shared" si="6"/>
        <v>2.7766013656422357E-2</v>
      </c>
      <c r="Y98" s="252" t="str">
        <f>IF(ISNUMBER(SEARCH("C",'WetLitterbags placem_collection'!$X25)),"YES","NO")</f>
        <v>NO</v>
      </c>
      <c r="Z98" s="252" t="str">
        <f>IF(ISNUMBER(SEARCH("H", 'WetLitterbags placem_collection'!$X25)),"YES","NO")</f>
        <v>NO</v>
      </c>
      <c r="AA98" s="252" t="str">
        <f>IF(ISNUMBER(SEARCH("R", 'WetLitterbags placem_collection'!$X25)),"YES","NO")</f>
        <v>NO</v>
      </c>
      <c r="AB98" s="252" t="str">
        <f>IF(ISNUMBER(SEARCH("C", 'WetLitterbags placem_collection'!$V25)),"YES","NO")</f>
        <v>NO</v>
      </c>
      <c r="AC98" s="252" t="str">
        <f>IF(ISNUMBER(SEARCH("H", 'WetLitterbags placem_collection'!$V25)),"YES","NO")</f>
        <v>NO</v>
      </c>
      <c r="AD98" s="252" t="str">
        <f>IF(ISNUMBER(SEARCH("R", 'WetLitterbags placem_collection'!$V25)),"YES","NO")</f>
        <v>YES</v>
      </c>
    </row>
    <row r="99" spans="2:30">
      <c r="B99" t="str">
        <f>'Final data_for_R_analysis_Wetse'!A25</f>
        <v>Wet</v>
      </c>
      <c r="C99" s="260">
        <f>'Final data_for_R_analysis_Wetse'!B25</f>
        <v>24</v>
      </c>
      <c r="D99" t="s">
        <v>3803</v>
      </c>
      <c r="E99" t="s">
        <v>22</v>
      </c>
      <c r="F99" s="382">
        <v>8</v>
      </c>
      <c r="G99" s="16">
        <f>'WetLitterbags placem_collection'!E26</f>
        <v>42767</v>
      </c>
      <c r="H99" t="str">
        <f>'Final data_for_R_analysis_Wetse'!K25</f>
        <v>G813</v>
      </c>
      <c r="I99" t="str">
        <f>'Final data_for_R_analysis_Wetse'!K245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0"/>
        <v>1.7052</v>
      </c>
      <c r="M99" s="194">
        <f>IF(K99&gt;0,(K99*$F$32-($F$29+$F$30)),"")</f>
        <v>1.8931999999999998</v>
      </c>
      <c r="N99" s="16">
        <f>IF('WetLitterbags placem_collection'!G26="","",'WetLitterbags placem_collection'!G26)</f>
        <v>42818</v>
      </c>
      <c r="O99" s="194">
        <f>IFERROR(INDEX('Both teabags AfterWet'!$C$3:$C$2000,MATCH(H99,'Both teabags AfterWet'!$A$3:$A$2000,0)),"")</f>
        <v>0.74790000000000001</v>
      </c>
      <c r="P99" s="194">
        <f>IFERROR(INDEX('Both teabags AfterWet'!$C$3:$C$2000,MATCH(I99,'Both teabags AfterWet'!$A$3:$A$2000,0)),"")</f>
        <v>1.6077999999999999</v>
      </c>
      <c r="Q99" s="194">
        <f t="shared" si="1"/>
        <v>0.59729999999999994</v>
      </c>
      <c r="R99" s="194">
        <f t="shared" si="1"/>
        <v>1.4571999999999998</v>
      </c>
      <c r="S99" s="194">
        <f t="shared" si="2"/>
        <v>0.64971850809289244</v>
      </c>
      <c r="T99" s="194">
        <f t="shared" si="3"/>
        <v>0.42594372502051864</v>
      </c>
      <c r="U99" s="194">
        <f t="shared" si="4"/>
        <v>0.76970209169659831</v>
      </c>
      <c r="V99">
        <f>IFERROR(IF((N99-G99)&gt;0,(IFERROR(N99-G99,"")),""),"")</f>
        <v>51</v>
      </c>
      <c r="W99" s="194">
        <f t="shared" si="5"/>
        <v>0.22836281699181415</v>
      </c>
      <c r="X99" s="194">
        <f t="shared" si="6"/>
        <v>1.5254926856585081E-2</v>
      </c>
      <c r="Y99" s="252" t="str">
        <f>IF(ISNUMBER(SEARCH("C",'WetLitterbags placem_collection'!$X26)),"YES","NO")</f>
        <v>NO</v>
      </c>
      <c r="Z99" s="252" t="str">
        <f>IF(ISNUMBER(SEARCH("H", 'WetLitterbags placem_collection'!$X26)),"YES","NO")</f>
        <v>NO</v>
      </c>
      <c r="AA99" s="252" t="str">
        <f>IF(ISNUMBER(SEARCH("R", 'WetLitterbags placem_collection'!$X26)),"YES","NO")</f>
        <v>NO</v>
      </c>
      <c r="AB99" s="252" t="str">
        <f>IF(ISNUMBER(SEARCH("C", 'WetLitterbags placem_collection'!$V26)),"YES","NO")</f>
        <v>NO</v>
      </c>
      <c r="AC99" s="252" t="str">
        <f>IF(ISNUMBER(SEARCH("H", 'WetLitterbags placem_collection'!$V26)),"YES","NO")</f>
        <v>NO</v>
      </c>
      <c r="AD99" s="252" t="str">
        <f>IF(ISNUMBER(SEARCH("R", 'WetLitterbags placem_collection'!$V26)),"YES","NO")</f>
        <v>YES</v>
      </c>
    </row>
    <row r="100" spans="2:30">
      <c r="B100" t="str">
        <f>'Final data_for_R_analysis_Wetse'!A26</f>
        <v>Wet</v>
      </c>
      <c r="C100" s="260">
        <f>'Final data_for_R_analysis_Wetse'!B26</f>
        <v>25</v>
      </c>
      <c r="D100" t="s">
        <v>3804</v>
      </c>
      <c r="E100" t="s">
        <v>22</v>
      </c>
      <c r="F100" s="381">
        <v>1</v>
      </c>
      <c r="G100" s="16">
        <f>'WetLitterbags placem_collection'!E27</f>
        <v>42767</v>
      </c>
      <c r="H100" t="str">
        <f>'Final data_for_R_analysis_Wetse'!K26</f>
        <v>G406</v>
      </c>
      <c r="I100" t="str">
        <f>'Final data_for_R_analysis_Wetse'!K246</f>
        <v>R279</v>
      </c>
      <c r="J100">
        <f>IFERROR(INDEX('Green_rooibos initial weight'!$C$5:$C$2000,MATCH(H100, 'Green_rooibos initial weight'!$A$5:$A$2000,0)),"")</f>
        <v>2.0910000000000002</v>
      </c>
      <c r="K100">
        <f>IFERROR(INDEX('Green_rooibos initial weight'!$C$5:$C$2000,MATCH(I100, 'Green_rooibos initial weight'!$A$5:$A$2000,0)),"")</f>
        <v>2.161</v>
      </c>
      <c r="L100" s="194">
        <f t="shared" si="0"/>
        <v>1.8412000000000002</v>
      </c>
      <c r="M100" s="194">
        <f>IF(K100&gt;0,(K100*$F$32-($F$29+$F$30)),"")</f>
        <v>1.9112</v>
      </c>
      <c r="N100" s="16">
        <f>IF('WetLitterbags placem_collection'!G27="","",'WetLitterbags placem_collection'!G27)</f>
        <v>42818</v>
      </c>
      <c r="O100" s="194">
        <f>IFERROR(INDEX('Both teabags AfterWet'!$C$3:$C$2000,MATCH(H100,'Both teabags AfterWet'!$A$3:$A$2000,0)),"")</f>
        <v>0.68400000000000005</v>
      </c>
      <c r="P100" s="194">
        <f>IFERROR(INDEX('Both teabags AfterWet'!$C$3:$C$2000,MATCH(I100,'Both teabags AfterWet'!$A$3:$A$2000,0)),"")</f>
        <v>1.6192</v>
      </c>
      <c r="Q100" s="194">
        <f t="shared" si="1"/>
        <v>0.5334000000000001</v>
      </c>
      <c r="R100" s="194">
        <f t="shared" si="1"/>
        <v>1.4685999999999999</v>
      </c>
      <c r="S100" s="194">
        <f t="shared" si="2"/>
        <v>0.71029763197914408</v>
      </c>
      <c r="T100" s="194">
        <f t="shared" si="3"/>
        <v>0.4656583050504603</v>
      </c>
      <c r="U100" s="194">
        <f t="shared" si="4"/>
        <v>0.76841774801172036</v>
      </c>
      <c r="V100">
        <f>IFERROR(IF((N100-G100)&gt;0,(IFERROR(N100-G100,"")),""),"")</f>
        <v>51</v>
      </c>
      <c r="W100" s="194">
        <f t="shared" si="5"/>
        <v>0.15641611403902123</v>
      </c>
      <c r="X100" s="194">
        <f t="shared" si="6"/>
        <v>1.348639291298751E-2</v>
      </c>
      <c r="Y100" s="252" t="str">
        <f>IF(ISNUMBER(SEARCH("C",'WetLitterbags placem_collection'!$X27)),"YES","NO")</f>
        <v>NO</v>
      </c>
      <c r="Z100" s="252" t="str">
        <f>IF(ISNUMBER(SEARCH("H", 'WetLitterbags placem_collection'!$X27)),"YES","NO")</f>
        <v>NO</v>
      </c>
      <c r="AA100" s="252" t="str">
        <f>IF(ISNUMBER(SEARCH("R", 'WetLitterbags placem_collection'!$X27)),"YES","NO")</f>
        <v>NO</v>
      </c>
      <c r="AB100" s="252" t="str">
        <f>IF(ISNUMBER(SEARCH("C", 'WetLitterbags placem_collection'!$V27)),"YES","NO")</f>
        <v>NO</v>
      </c>
      <c r="AC100" s="252" t="str">
        <f>IF(ISNUMBER(SEARCH("H", 'WetLitterbags placem_collection'!$V27)),"YES","NO")</f>
        <v>NO</v>
      </c>
      <c r="AD100" s="252" t="str">
        <f>IF(ISNUMBER(SEARCH("R", 'WetLitterbags placem_collection'!$V27)),"YES","NO")</f>
        <v>NO</v>
      </c>
    </row>
    <row r="101" spans="2:30">
      <c r="B101" t="str">
        <f>'Final data_for_R_analysis_Wetse'!A27</f>
        <v>Wet</v>
      </c>
      <c r="C101" s="260">
        <f>'Final data_for_R_analysis_Wetse'!B27</f>
        <v>26</v>
      </c>
      <c r="D101" t="s">
        <v>3804</v>
      </c>
      <c r="E101" t="s">
        <v>22</v>
      </c>
      <c r="F101" s="381">
        <v>2</v>
      </c>
      <c r="G101" s="16">
        <f>'WetLitterbags placem_collection'!E28</f>
        <v>42767</v>
      </c>
      <c r="H101" t="str">
        <f>'Final data_for_R_analysis_Wetse'!K27</f>
        <v>G651</v>
      </c>
      <c r="I101" t="str">
        <f>'Final data_for_R_analysis_Wetse'!K247</f>
        <v>R148</v>
      </c>
      <c r="J101">
        <f>IFERROR(INDEX('Green_rooibos initial weight'!$C$5:$C$2000,MATCH(H101, 'Green_rooibos initial weight'!$A$5:$A$2000,0)),"")</f>
        <v>1.97</v>
      </c>
      <c r="K101">
        <f>IFERROR(INDEX('Green_rooibos initial weight'!$C$5:$C$2000,MATCH(I101, 'Green_rooibos initial weight'!$A$5:$A$2000,0)),"")</f>
        <v>2.149</v>
      </c>
      <c r="L101" s="194">
        <f t="shared" si="0"/>
        <v>1.7202</v>
      </c>
      <c r="M101" s="194">
        <f>IF(K101&gt;0,(K101*$F$32-($F$29+$F$30)),"")</f>
        <v>1.8992</v>
      </c>
      <c r="N101" s="16">
        <f>IF('WetLitterbags placem_collection'!G28="","",'WetLitterbags placem_collection'!G28)</f>
        <v>42818</v>
      </c>
      <c r="O101" s="194">
        <f>IFERROR(INDEX('Both teabags AfterWet'!$C$3:$C$2000,MATCH(H101,'Both teabags AfterWet'!$A$3:$A$2000,0)),"")</f>
        <v>0.77580000000000005</v>
      </c>
      <c r="P101" s="194">
        <f>IFERROR(INDEX('Both teabags AfterWet'!$C$3:$C$2000,MATCH(I101,'Both teabags AfterWet'!$A$3:$A$2000,0)),"")</f>
        <v>1.5741000000000001</v>
      </c>
      <c r="Q101" s="194">
        <f t="shared" si="1"/>
        <v>0.62519999999999998</v>
      </c>
      <c r="R101" s="194">
        <f t="shared" si="1"/>
        <v>1.4235</v>
      </c>
      <c r="S101" s="194">
        <f t="shared" si="2"/>
        <v>0.63655388908266475</v>
      </c>
      <c r="T101" s="194">
        <f t="shared" si="3"/>
        <v>0.41731323844849288</v>
      </c>
      <c r="U101" s="194">
        <f t="shared" si="4"/>
        <v>0.74952611625947763</v>
      </c>
      <c r="V101">
        <f>IFERROR(IF((N101-G101)&gt;0,(IFERROR(N101-G101,"")),""),"")</f>
        <v>51</v>
      </c>
      <c r="W101" s="194">
        <f t="shared" si="5"/>
        <v>0.24399775643388977</v>
      </c>
      <c r="X101" s="194">
        <f t="shared" si="6"/>
        <v>1.7976582540364727E-2</v>
      </c>
      <c r="Y101" s="252" t="str">
        <f>IF(ISNUMBER(SEARCH("C",'WetLitterbags placem_collection'!$X28)),"YES","NO")</f>
        <v>NO</v>
      </c>
      <c r="Z101" s="252" t="str">
        <f>IF(ISNUMBER(SEARCH("H", 'WetLitterbags placem_collection'!$X28)),"YES","NO")</f>
        <v>NO</v>
      </c>
      <c r="AA101" s="252" t="str">
        <f>IF(ISNUMBER(SEARCH("R", 'WetLitterbags placem_collection'!$X28)),"YES","NO")</f>
        <v>NO</v>
      </c>
      <c r="AB101" s="252" t="str">
        <f>IF(ISNUMBER(SEARCH("C", 'WetLitterbags placem_collection'!$V28)),"YES","NO")</f>
        <v>NO</v>
      </c>
      <c r="AC101" s="252" t="str">
        <f>IF(ISNUMBER(SEARCH("H", 'WetLitterbags placem_collection'!$V28)),"YES","NO")</f>
        <v>NO</v>
      </c>
      <c r="AD101" s="252" t="str">
        <f>IF(ISNUMBER(SEARCH("R", 'WetLitterbags placem_collection'!$V28)),"YES","NO")</f>
        <v>YES</v>
      </c>
    </row>
    <row r="102" spans="2:30">
      <c r="B102" t="str">
        <f>'Final data_for_R_analysis_Wetse'!A28</f>
        <v>Wet</v>
      </c>
      <c r="C102" s="260">
        <f>'Final data_for_R_analysis_Wetse'!B28</f>
        <v>27</v>
      </c>
      <c r="D102" t="s">
        <v>3804</v>
      </c>
      <c r="E102" t="s">
        <v>22</v>
      </c>
      <c r="F102" s="381">
        <v>3</v>
      </c>
      <c r="G102" s="16">
        <f>'WetLitterbags placem_collection'!E29</f>
        <v>42767</v>
      </c>
      <c r="H102" t="str">
        <f>'Final data_for_R_analysis_Wetse'!K28</f>
        <v>G583</v>
      </c>
      <c r="I102" t="str">
        <f>'Final data_for_R_analysis_Wetse'!K248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0"/>
        <v>1.9331999999999998</v>
      </c>
      <c r="M102" s="194">
        <f>IF(K102&gt;0,(K102*$F$32-($F$29+$F$30)),"")</f>
        <v>2.0112000000000001</v>
      </c>
      <c r="N102" s="16">
        <f>IF('WetLitterbags placem_collection'!G29="","",'WetLitterbags placem_collection'!G29)</f>
        <v>42818</v>
      </c>
      <c r="O102" s="194">
        <f>IFERROR(INDEX('Both teabags AfterWet'!$C$3:$C$2000,MATCH(H102,'Both teabags AfterWet'!$A$3:$A$2000,0)),"")</f>
        <v>0.66169999999999995</v>
      </c>
      <c r="P102" s="194">
        <f>IFERROR(INDEX('Both teabags AfterWet'!$C$3:$C$2000,MATCH(I102,'Both teabags AfterWet'!$A$3:$A$2000,0)),"")</f>
        <v>1.3584000000000001</v>
      </c>
      <c r="Q102" s="194">
        <f t="shared" si="1"/>
        <v>0.51109999999999989</v>
      </c>
      <c r="R102" s="194">
        <f t="shared" si="1"/>
        <v>1.2078</v>
      </c>
      <c r="S102" s="194">
        <f t="shared" si="2"/>
        <v>0.73561969791020076</v>
      </c>
      <c r="T102" s="194">
        <f t="shared" si="3"/>
        <v>0.48225899435443093</v>
      </c>
      <c r="U102" s="194">
        <f t="shared" si="4"/>
        <v>0.60053699284009543</v>
      </c>
      <c r="V102">
        <f>IFERROR(IF((N102-G102)&gt;0,(IFERROR(N102-G102,"")),""),"")</f>
        <v>51</v>
      </c>
      <c r="W102" s="194">
        <f t="shared" si="5"/>
        <v>0.12634240153182807</v>
      </c>
      <c r="X102" s="194">
        <f t="shared" si="6"/>
        <v>3.4551013843961691E-2</v>
      </c>
      <c r="Y102" s="252" t="str">
        <f>IF(ISNUMBER(SEARCH("C",'WetLitterbags placem_collection'!$X29)),"YES","NO")</f>
        <v>NO</v>
      </c>
      <c r="Z102" s="252" t="str">
        <f>IF(ISNUMBER(SEARCH("H", 'WetLitterbags placem_collection'!$X29)),"YES","NO")</f>
        <v>NO</v>
      </c>
      <c r="AA102" s="252" t="str">
        <f>IF(ISNUMBER(SEARCH("R", 'WetLitterbags placem_collection'!$X29)),"YES","NO")</f>
        <v>NO</v>
      </c>
      <c r="AB102" s="252" t="str">
        <f>IF(ISNUMBER(SEARCH("C", 'WetLitterbags placem_collection'!$V29)),"YES","NO")</f>
        <v>NO</v>
      </c>
      <c r="AC102" s="252" t="str">
        <f>IF(ISNUMBER(SEARCH("H", 'WetLitterbags placem_collection'!$V29)),"YES","NO")</f>
        <v>NO</v>
      </c>
      <c r="AD102" s="252" t="str">
        <f>IF(ISNUMBER(SEARCH("R", 'WetLitterbags placem_collection'!$V29)),"YES","NO")</f>
        <v>NO</v>
      </c>
    </row>
    <row r="103" spans="2:30">
      <c r="B103" t="str">
        <f>'Final data_for_R_analysis_Wetse'!A29</f>
        <v>Wet</v>
      </c>
      <c r="C103" s="260">
        <f>'Final data_for_R_analysis_Wetse'!B29</f>
        <v>28</v>
      </c>
      <c r="D103" t="s">
        <v>3804</v>
      </c>
      <c r="E103" t="s">
        <v>22</v>
      </c>
      <c r="F103" s="382">
        <v>4</v>
      </c>
      <c r="G103" s="16">
        <f>'WetLitterbags placem_collection'!E30</f>
        <v>42767</v>
      </c>
      <c r="H103" t="str">
        <f>'Final data_for_R_analysis_Wetse'!K29</f>
        <v>G702</v>
      </c>
      <c r="I103" t="str">
        <f>'Final data_for_R_analysis_Wetse'!K249</f>
        <v>R436</v>
      </c>
      <c r="J103">
        <f>IFERROR(INDEX('Green_rooibos initial weight'!$C$5:$C$2000,MATCH(H103, 'Green_rooibos initial weight'!$A$5:$A$2000,0)),"")</f>
        <v>2.109</v>
      </c>
      <c r="K103">
        <f>IFERROR(INDEX('Green_rooibos initial weight'!$C$5:$C$2000,MATCH(I103, 'Green_rooibos initial weight'!$A$5:$A$2000,0)),"")</f>
        <v>2.2240000000000002</v>
      </c>
      <c r="L103" s="194">
        <f t="shared" si="0"/>
        <v>1.8592</v>
      </c>
      <c r="M103" s="194">
        <f>IF(K103&gt;0,(K103*$F$32-($F$29+$F$30)),"")</f>
        <v>1.9742000000000002</v>
      </c>
      <c r="N103" s="16">
        <f>IF('WetLitterbags placem_collection'!G30="","",'WetLitterbags placem_collection'!G30)</f>
        <v>42818</v>
      </c>
      <c r="O103" s="194">
        <f>IFERROR(INDEX('Both teabags AfterWet'!$C$3:$C$2000,MATCH(H103,'Both teabags AfterWet'!$A$3:$A$2000,0)),"")</f>
        <v>0.73699999999999999</v>
      </c>
      <c r="P103" s="194">
        <f>IFERROR(INDEX('Both teabags AfterWet'!$C$3:$C$2000,MATCH(I103,'Both teabags AfterWet'!$A$3:$A$2000,0)),"")</f>
        <v>1.5295000000000001</v>
      </c>
      <c r="Q103" s="194">
        <f t="shared" si="1"/>
        <v>0.58640000000000003</v>
      </c>
      <c r="R103" s="194">
        <f t="shared" si="1"/>
        <v>1.3789</v>
      </c>
      <c r="S103" s="194">
        <f t="shared" si="2"/>
        <v>0.68459552495697074</v>
      </c>
      <c r="T103" s="194">
        <f t="shared" si="3"/>
        <v>0.44880846766775284</v>
      </c>
      <c r="U103" s="194">
        <f t="shared" si="4"/>
        <v>0.69846013575119026</v>
      </c>
      <c r="V103">
        <f>IFERROR(IF((N103-G103)&gt;0,(IFERROR(N103-G103,"")),""),"")</f>
        <v>51</v>
      </c>
      <c r="W103" s="194">
        <f t="shared" si="5"/>
        <v>0.18694118176131735</v>
      </c>
      <c r="X103" s="194">
        <f t="shared" si="6"/>
        <v>2.1849766035748872E-2</v>
      </c>
      <c r="Y103" s="252" t="str">
        <f>IF(ISNUMBER(SEARCH("C",'WetLitterbags placem_collection'!$X30)),"YES","NO")</f>
        <v>NO</v>
      </c>
      <c r="Z103" s="252" t="str">
        <f>IF(ISNUMBER(SEARCH("H", 'WetLitterbags placem_collection'!$X30)),"YES","NO")</f>
        <v>NO</v>
      </c>
      <c r="AA103" s="252" t="str">
        <f>IF(ISNUMBER(SEARCH("R", 'WetLitterbags placem_collection'!$X30)),"YES","NO")</f>
        <v>NO</v>
      </c>
      <c r="AB103" s="252" t="str">
        <f>IF(ISNUMBER(SEARCH("C", 'WetLitterbags placem_collection'!$V30)),"YES","NO")</f>
        <v>NO</v>
      </c>
      <c r="AC103" s="252" t="str">
        <f>IF(ISNUMBER(SEARCH("H", 'WetLitterbags placem_collection'!$V30)),"YES","NO")</f>
        <v>NO</v>
      </c>
      <c r="AD103" s="252" t="str">
        <f>IF(ISNUMBER(SEARCH("R", 'WetLitterbags placem_collection'!$V30)),"YES","NO")</f>
        <v>NO</v>
      </c>
    </row>
    <row r="104" spans="2:30">
      <c r="B104" t="str">
        <f>'Final data_for_R_analysis_Wetse'!A30</f>
        <v>Wet</v>
      </c>
      <c r="C104" s="260">
        <f>'Final data_for_R_analysis_Wetse'!B30</f>
        <v>29</v>
      </c>
      <c r="D104" t="s">
        <v>3804</v>
      </c>
      <c r="E104" t="s">
        <v>22</v>
      </c>
      <c r="F104" s="382">
        <v>5</v>
      </c>
      <c r="G104" s="16">
        <f>'WetLitterbags placem_collection'!E31</f>
        <v>42767</v>
      </c>
      <c r="H104" t="str">
        <f>'Final data_for_R_analysis_Wetse'!K30</f>
        <v>G838</v>
      </c>
      <c r="I104" t="str">
        <f>'Final data_for_R_analysis_Wetse'!K250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0"/>
        <v>1.7871999999999999</v>
      </c>
      <c r="M104" s="194">
        <f>IF(K104&gt;0,(K104*$F$32-($F$29+$F$30)),"")</f>
        <v>1.9811999999999999</v>
      </c>
      <c r="N104" s="16">
        <f>IF('WetLitterbags placem_collection'!G31="","",'WetLitterbags placem_collection'!G31)</f>
        <v>42818</v>
      </c>
      <c r="O104" s="194">
        <f>IFERROR(INDEX('Both teabags AfterWet'!$C$3:$C$2000,MATCH(H104,'Both teabags AfterWet'!$A$3:$A$2000,0)),"")</f>
        <v>0.70830000000000004</v>
      </c>
      <c r="P104" s="194">
        <f>IFERROR(INDEX('Both teabags AfterWet'!$C$3:$C$2000,MATCH(I104,'Both teabags AfterWet'!$A$3:$A$2000,0)),"")</f>
        <v>1.5941000000000001</v>
      </c>
      <c r="Q104" s="194">
        <f t="shared" si="1"/>
        <v>0.55770000000000008</v>
      </c>
      <c r="R104" s="194">
        <f t="shared" si="1"/>
        <v>1.4435</v>
      </c>
      <c r="S104" s="194">
        <f t="shared" si="2"/>
        <v>0.68794762757385852</v>
      </c>
      <c r="T104" s="194">
        <f t="shared" si="3"/>
        <v>0.45100604563036811</v>
      </c>
      <c r="U104" s="194">
        <f t="shared" si="4"/>
        <v>0.72859882899252981</v>
      </c>
      <c r="V104">
        <f>IFERROR(IF((N104-G104)&gt;0,(IFERROR(N104-G104,"")),""),"")</f>
        <v>51</v>
      </c>
      <c r="W104" s="194">
        <f t="shared" si="5"/>
        <v>0.182960062263826</v>
      </c>
      <c r="X104" s="194">
        <f t="shared" si="6"/>
        <v>1.8053361711873699E-2</v>
      </c>
      <c r="Y104" s="252" t="str">
        <f>IF(ISNUMBER(SEARCH("C",'WetLitterbags placem_collection'!$X31)),"YES","NO")</f>
        <v>NO</v>
      </c>
      <c r="Z104" s="252" t="str">
        <f>IF(ISNUMBER(SEARCH("H", 'WetLitterbags placem_collection'!$X31)),"YES","NO")</f>
        <v>NO</v>
      </c>
      <c r="AA104" s="252" t="str">
        <f>IF(ISNUMBER(SEARCH("R", 'WetLitterbags placem_collection'!$X31)),"YES","NO")</f>
        <v>NO</v>
      </c>
      <c r="AB104" s="252" t="str">
        <f>IF(ISNUMBER(SEARCH("C", 'WetLitterbags placem_collection'!$V31)),"YES","NO")</f>
        <v>NO</v>
      </c>
      <c r="AC104" s="252" t="str">
        <f>IF(ISNUMBER(SEARCH("H", 'WetLitterbags placem_collection'!$V31)),"YES","NO")</f>
        <v>NO</v>
      </c>
      <c r="AD104" s="252" t="str">
        <f>IF(ISNUMBER(SEARCH("R", 'WetLitterbags placem_collection'!$V31)),"YES","NO")</f>
        <v>YES</v>
      </c>
    </row>
    <row r="105" spans="2:30">
      <c r="B105" t="str">
        <f>'Final data_for_R_analysis_Wetse'!A31</f>
        <v>Wet</v>
      </c>
      <c r="C105" s="260">
        <f>'Final data_for_R_analysis_Wetse'!B31</f>
        <v>30</v>
      </c>
      <c r="D105" t="s">
        <v>3804</v>
      </c>
      <c r="E105" t="s">
        <v>22</v>
      </c>
      <c r="F105" s="382">
        <v>6</v>
      </c>
      <c r="G105" s="16">
        <f>'WetLitterbags placem_collection'!E32</f>
        <v>42767</v>
      </c>
      <c r="H105" t="str">
        <f>'Final data_for_R_analysis_Wetse'!K31</f>
        <v>G518</v>
      </c>
      <c r="I105" t="str">
        <f>'Final data_for_R_analysis_Wetse'!K251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0"/>
        <v>1.7452000000000001</v>
      </c>
      <c r="M105" s="194">
        <f>IF(K105&gt;0,(K105*$F$32-($F$29+$F$30)),"")</f>
        <v>1.9422000000000001</v>
      </c>
      <c r="N105" s="16">
        <f>IF('WetLitterbags placem_collection'!G32="","",'WetLitterbags placem_collection'!G32)</f>
        <v>42818</v>
      </c>
      <c r="O105" s="194">
        <f>IFERROR(INDEX('Both teabags AfterWet'!$C$3:$C$2000,MATCH(H105,'Both teabags AfterWet'!$A$3:$A$2000,0)),"")</f>
        <v>0.68200000000000005</v>
      </c>
      <c r="P105" s="194">
        <f>IFERROR(INDEX('Both teabags AfterWet'!$C$3:$C$2000,MATCH(I105,'Both teabags AfterWet'!$A$3:$A$2000,0)),"")</f>
        <v>1.3523000000000001</v>
      </c>
      <c r="Q105" s="194">
        <f t="shared" si="1"/>
        <v>0.53140000000000009</v>
      </c>
      <c r="R105" s="194">
        <f t="shared" si="1"/>
        <v>1.2017</v>
      </c>
      <c r="S105" s="194">
        <f t="shared" si="2"/>
        <v>0.69550767820307124</v>
      </c>
      <c r="T105" s="194">
        <f t="shared" si="3"/>
        <v>0.45596227834690661</v>
      </c>
      <c r="U105" s="194">
        <f t="shared" si="4"/>
        <v>0.61873133559880544</v>
      </c>
      <c r="V105">
        <f>IFERROR(IF((N105-G105)&gt;0,(IFERROR(N105-G105,"")),""),"")</f>
        <v>51</v>
      </c>
      <c r="W105" s="194">
        <f t="shared" si="5"/>
        <v>0.17398137980632866</v>
      </c>
      <c r="X105" s="194">
        <f t="shared" si="6"/>
        <v>3.5470891843779495E-2</v>
      </c>
      <c r="Y105" s="252" t="str">
        <f>IF(ISNUMBER(SEARCH("C",'WetLitterbags placem_collection'!$X32)),"YES","NO")</f>
        <v>NO</v>
      </c>
      <c r="Z105" s="252" t="str">
        <f>IF(ISNUMBER(SEARCH("H", 'WetLitterbags placem_collection'!$X32)),"YES","NO")</f>
        <v>NO</v>
      </c>
      <c r="AA105" s="252" t="str">
        <f>IF(ISNUMBER(SEARCH("R", 'WetLitterbags placem_collection'!$X32)),"YES","NO")</f>
        <v>NO</v>
      </c>
      <c r="AB105" s="252" t="str">
        <f>IF(ISNUMBER(SEARCH("C", 'WetLitterbags placem_collection'!$V32)),"YES","NO")</f>
        <v>NO</v>
      </c>
      <c r="AC105" s="252" t="str">
        <f>IF(ISNUMBER(SEARCH("H", 'WetLitterbags placem_collection'!$V32)),"YES","NO")</f>
        <v>NO</v>
      </c>
      <c r="AD105" s="252" t="str">
        <f>IF(ISNUMBER(SEARCH("R", 'WetLitterbags placem_collection'!$V32)),"YES","NO")</f>
        <v>YES</v>
      </c>
    </row>
    <row r="106" spans="2:30">
      <c r="B106" t="str">
        <f>'Final data_for_R_analysis_Wetse'!A32</f>
        <v>Wet</v>
      </c>
      <c r="C106" s="260">
        <f>'Final data_for_R_analysis_Wetse'!B32</f>
        <v>31</v>
      </c>
      <c r="D106" t="s">
        <v>3804</v>
      </c>
      <c r="E106" t="s">
        <v>22</v>
      </c>
      <c r="F106" s="382">
        <v>7</v>
      </c>
      <c r="G106" s="16">
        <f>'WetLitterbags placem_collection'!E33</f>
        <v>42767</v>
      </c>
      <c r="H106" t="str">
        <f>'Final data_for_R_analysis_Wetse'!K32</f>
        <v>G404</v>
      </c>
      <c r="I106" t="str">
        <f>'Final data_for_R_analysis_Wetse'!K252</f>
        <v>R141</v>
      </c>
      <c r="J106">
        <f>IFERROR(INDEX('Green_rooibos initial weight'!$C$5:$C$2000,MATCH(H106, 'Green_rooibos initial weight'!$A$5:$A$2000,0)),"")</f>
        <v>2.113</v>
      </c>
      <c r="K106">
        <f>IFERROR(INDEX('Green_rooibos initial weight'!$C$5:$C$2000,MATCH(I106, 'Green_rooibos initial weight'!$A$5:$A$2000,0)),"")</f>
        <v>2.2029999999999998</v>
      </c>
      <c r="L106" s="194">
        <f t="shared" si="0"/>
        <v>1.8632</v>
      </c>
      <c r="M106" s="194">
        <f>IF(K106&gt;0,(K106*$F$32-($F$29+$F$30)),"")</f>
        <v>1.9531999999999998</v>
      </c>
      <c r="N106" s="16">
        <f>IF('WetLitterbags placem_collection'!G33="","",'WetLitterbags placem_collection'!G33)</f>
        <v>42818</v>
      </c>
      <c r="O106" s="194">
        <f>IFERROR(INDEX('Both teabags AfterWet'!$C$3:$C$2000,MATCH(H106,'Both teabags AfterWet'!$A$3:$A$2000,0)),"")</f>
        <v>0.75349999999999995</v>
      </c>
      <c r="P106" s="194">
        <f>IFERROR(INDEX('Both teabags AfterWet'!$C$3:$C$2000,MATCH(I106,'Both teabags AfterWet'!$A$3:$A$2000,0)),"")</f>
        <v>1.3197000000000001</v>
      </c>
      <c r="Q106" s="194">
        <f t="shared" si="1"/>
        <v>0.60289999999999999</v>
      </c>
      <c r="R106" s="194">
        <f t="shared" si="1"/>
        <v>1.1691</v>
      </c>
      <c r="S106" s="194">
        <f t="shared" si="2"/>
        <v>0.67641691713181618</v>
      </c>
      <c r="T106" s="194">
        <f t="shared" si="3"/>
        <v>0.44344672001990804</v>
      </c>
      <c r="U106" s="194">
        <f t="shared" si="4"/>
        <v>0.59855621544132709</v>
      </c>
      <c r="V106">
        <f>IFERROR(IF((N106-G106)&gt;0,(IFERROR(N106-G106,"")),""),"")</f>
        <v>51</v>
      </c>
      <c r="W106" s="194">
        <f t="shared" si="5"/>
        <v>0.19665449271755797</v>
      </c>
      <c r="X106" s="194">
        <f t="shared" si="6"/>
        <v>4.6212512774804121E-2</v>
      </c>
      <c r="Y106" s="252" t="str">
        <f>IF(ISNUMBER(SEARCH("C",'WetLitterbags placem_collection'!$X33)),"YES","NO")</f>
        <v>NO</v>
      </c>
      <c r="Z106" s="252" t="str">
        <f>IF(ISNUMBER(SEARCH("H", 'WetLitterbags placem_collection'!$X33)),"YES","NO")</f>
        <v>NO</v>
      </c>
      <c r="AA106" s="252" t="str">
        <f>IF(ISNUMBER(SEARCH("R", 'WetLitterbags placem_collection'!$X33)),"YES","NO")</f>
        <v>YES</v>
      </c>
      <c r="AB106" s="252" t="str">
        <f>IF(ISNUMBER(SEARCH("C", 'WetLitterbags placem_collection'!$V33)),"YES","NO")</f>
        <v>NO</v>
      </c>
      <c r="AC106" s="252" t="str">
        <f>IF(ISNUMBER(SEARCH("H", 'WetLitterbags placem_collection'!$V33)),"YES","NO")</f>
        <v>NO</v>
      </c>
      <c r="AD106" s="252" t="str">
        <f>IF(ISNUMBER(SEARCH("R", 'WetLitterbags placem_collection'!$V33)),"YES","NO")</f>
        <v>YES</v>
      </c>
    </row>
    <row r="107" spans="2:30">
      <c r="B107" t="str">
        <f>'Final data_for_R_analysis_Wetse'!A33</f>
        <v>Wet</v>
      </c>
      <c r="C107" s="260">
        <f>'Final data_for_R_analysis_Wetse'!B33</f>
        <v>32</v>
      </c>
      <c r="D107" t="s">
        <v>3804</v>
      </c>
      <c r="E107" t="s">
        <v>22</v>
      </c>
      <c r="F107" s="382">
        <v>8</v>
      </c>
      <c r="G107" s="16">
        <f>'WetLitterbags placem_collection'!E34</f>
        <v>42767</v>
      </c>
      <c r="H107" t="str">
        <f>'Final data_for_R_analysis_Wetse'!K33</f>
        <v>G527</v>
      </c>
      <c r="I107" t="str">
        <f>'Final data_for_R_analysis_Wetse'!K253</f>
        <v>R396</v>
      </c>
      <c r="J107">
        <f>IFERROR(INDEX('Green_rooibos initial weight'!$C$5:$C$2000,MATCH(H107, 'Green_rooibos initial weight'!$A$5:$A$2000,0)),"")</f>
        <v>1.913</v>
      </c>
      <c r="K107">
        <f>IFERROR(INDEX('Green_rooibos initial weight'!$C$5:$C$2000,MATCH(I107, 'Green_rooibos initial weight'!$A$5:$A$2000,0)),"")</f>
        <v>2.14</v>
      </c>
      <c r="L107" s="194">
        <f t="shared" si="0"/>
        <v>1.6632</v>
      </c>
      <c r="M107" s="194">
        <f>IF(K107&gt;0,(K107*$F$32-($F$29+$F$30)),"")</f>
        <v>1.8902000000000001</v>
      </c>
      <c r="N107" s="16">
        <f>IF('WetLitterbags placem_collection'!G34="","",'WetLitterbags placem_collection'!G34)</f>
        <v>42818</v>
      </c>
      <c r="O107" s="194">
        <f>IFERROR(INDEX('Both teabags AfterWet'!$C$3:$C$2000,MATCH(H107,'Both teabags AfterWet'!$A$3:$A$2000,0)),"")</f>
        <v>0.66439999999999999</v>
      </c>
      <c r="P107" s="194">
        <f>IFERROR(INDEX('Both teabags AfterWet'!$C$3:$C$2000,MATCH(I107,'Both teabags AfterWet'!$A$3:$A$2000,0)),"")</f>
        <v>1.3464</v>
      </c>
      <c r="Q107" s="194">
        <f t="shared" si="1"/>
        <v>0.51380000000000003</v>
      </c>
      <c r="R107" s="194">
        <f t="shared" si="1"/>
        <v>1.1958</v>
      </c>
      <c r="S107" s="194">
        <f t="shared" si="2"/>
        <v>0.69107744107744107</v>
      </c>
      <c r="T107" s="194">
        <f t="shared" si="3"/>
        <v>0.45305789486312054</v>
      </c>
      <c r="U107" s="194">
        <f t="shared" si="4"/>
        <v>0.63263146756956934</v>
      </c>
      <c r="V107">
        <f>IFERROR(IF((N107-G107)&gt;0,(IFERROR(N107-G107,"")),""),"")</f>
        <v>51</v>
      </c>
      <c r="W107" s="194">
        <f t="shared" si="5"/>
        <v>0.17924294408854979</v>
      </c>
      <c r="X107" s="194">
        <f t="shared" si="6"/>
        <v>3.265276918209397E-2</v>
      </c>
      <c r="Y107" s="252" t="str">
        <f>IF(ISNUMBER(SEARCH("C",'WetLitterbags placem_collection'!$X34)),"YES","NO")</f>
        <v>NO</v>
      </c>
      <c r="Z107" s="252" t="str">
        <f>IF(ISNUMBER(SEARCH("H", 'WetLitterbags placem_collection'!$X34)),"YES","NO")</f>
        <v>NO</v>
      </c>
      <c r="AA107" s="252" t="str">
        <f>IF(ISNUMBER(SEARCH("R", 'WetLitterbags placem_collection'!$X34)),"YES","NO")</f>
        <v>YES</v>
      </c>
      <c r="AB107" s="252" t="str">
        <f>IF(ISNUMBER(SEARCH("C", 'WetLitterbags placem_collection'!$V34)),"YES","NO")</f>
        <v>NO</v>
      </c>
      <c r="AC107" s="252" t="str">
        <f>IF(ISNUMBER(SEARCH("H", 'WetLitterbags placem_collection'!$V34)),"YES","NO")</f>
        <v>NO</v>
      </c>
      <c r="AD107" s="252" t="str">
        <f>IF(ISNUMBER(SEARCH("R", 'WetLitterbags placem_collection'!$V34)),"YES","NO")</f>
        <v>YES</v>
      </c>
    </row>
    <row r="108" spans="2:30">
      <c r="B108" t="str">
        <f>'Final data_for_R_analysis_Wetse'!A34</f>
        <v>Wet</v>
      </c>
      <c r="C108" s="260">
        <f>'Final data_for_R_analysis_Wetse'!B34</f>
        <v>33</v>
      </c>
      <c r="D108" t="s">
        <v>3805</v>
      </c>
      <c r="E108" t="s">
        <v>22</v>
      </c>
      <c r="F108" s="381">
        <v>1</v>
      </c>
      <c r="G108" s="16">
        <f>'WetLitterbags placem_collection'!E35</f>
        <v>42765</v>
      </c>
      <c r="H108" t="str">
        <f>'Final data_for_R_analysis_Wetse'!K34</f>
        <v>G366</v>
      </c>
      <c r="I108" t="str">
        <f>'Final data_for_R_analysis_Wetse'!K254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0"/>
        <v>1.8572000000000002</v>
      </c>
      <c r="M108" s="194">
        <f>IF(K108&gt;0,(K108*$F$32-($F$29+$F$30)),"")</f>
        <v>1.9592000000000001</v>
      </c>
      <c r="N108" s="16">
        <f>IF('WetLitterbags placem_collection'!G35="","",'WetLitterbags placem_collection'!G35)</f>
        <v>42820</v>
      </c>
      <c r="O108" s="194">
        <f>IFERROR(INDEX('Both teabags AfterWet'!$C$3:$C$2000,MATCH(H108,'Both teabags AfterWet'!$A$3:$A$2000,0)),"")</f>
        <v>0.76700000000000002</v>
      </c>
      <c r="P108" s="194">
        <f>IFERROR(INDEX('Both teabags AfterWet'!$C$3:$C$2000,MATCH(I108,'Both teabags AfterWet'!$A$3:$A$2000,0)),"")</f>
        <v>0.41499999999999998</v>
      </c>
      <c r="Q108" s="194">
        <f t="shared" si="1"/>
        <v>0.61640000000000006</v>
      </c>
      <c r="R108" s="194">
        <f t="shared" si="1"/>
        <v>0.26439999999999997</v>
      </c>
      <c r="S108" s="194">
        <f t="shared" si="2"/>
        <v>0.66810251992246394</v>
      </c>
      <c r="T108" s="194">
        <f t="shared" si="3"/>
        <v>0.43799595130308805</v>
      </c>
      <c r="U108" s="194">
        <f t="shared" si="4"/>
        <v>0.13495304205798284</v>
      </c>
      <c r="V108">
        <f>IFERROR(IF((N108-G108)&gt;0,(IFERROR(N108-G108,"")),""),"")</f>
        <v>55</v>
      </c>
      <c r="W108" s="194">
        <f t="shared" si="5"/>
        <v>0.20652907372628981</v>
      </c>
      <c r="X108" s="194" t="str">
        <f t="shared" si="6"/>
        <v/>
      </c>
      <c r="Y108" s="252" t="str">
        <f>IF(ISNUMBER(SEARCH("C",'WetLitterbags placem_collection'!$X35)),"YES","NO")</f>
        <v>NO</v>
      </c>
      <c r="Z108" s="252" t="str">
        <f>IF(ISNUMBER(SEARCH("H", 'WetLitterbags placem_collection'!$X35)),"YES","NO")</f>
        <v>NO</v>
      </c>
      <c r="AA108" s="252" t="str">
        <f>IF(ISNUMBER(SEARCH("R", 'WetLitterbags placem_collection'!$X35)),"YES","NO")</f>
        <v>YES</v>
      </c>
      <c r="AB108" s="252" t="str">
        <f>IF(ISNUMBER(SEARCH("C", 'WetLitterbags placem_collection'!$V35)),"YES","NO")</f>
        <v>NO</v>
      </c>
      <c r="AC108" s="252" t="str">
        <f>IF(ISNUMBER(SEARCH("H", 'WetLitterbags placem_collection'!$V35)),"YES","NO")</f>
        <v>NO</v>
      </c>
      <c r="AD108" s="252" t="str">
        <f>IF(ISNUMBER(SEARCH("R", 'WetLitterbags placem_collection'!$V35)),"YES","NO")</f>
        <v>YES</v>
      </c>
    </row>
    <row r="109" spans="2:30">
      <c r="B109" t="str">
        <f>'Final data_for_R_analysis_Wetse'!A35</f>
        <v>Wet</v>
      </c>
      <c r="C109" s="260">
        <f>'Final data_for_R_analysis_Wetse'!B35</f>
        <v>34</v>
      </c>
      <c r="D109" t="s">
        <v>3805</v>
      </c>
      <c r="E109" t="s">
        <v>22</v>
      </c>
      <c r="F109" s="381">
        <v>2</v>
      </c>
      <c r="G109" s="16">
        <f>'WetLitterbags placem_collection'!E36</f>
        <v>42765</v>
      </c>
      <c r="H109" t="str">
        <f>'Final data_for_R_analysis_Wetse'!K35</f>
        <v>G516</v>
      </c>
      <c r="I109" t="str">
        <f>'Final data_for_R_analysis_Wetse'!K255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0"/>
        <v>1.8662000000000001</v>
      </c>
      <c r="M109" s="194">
        <f>IF(K109&gt;0,(K109*$F$32-($F$29+$F$30)),"")</f>
        <v>1.9702000000000002</v>
      </c>
      <c r="N109" s="16">
        <f>IF('WetLitterbags placem_collection'!G36="","",'WetLitterbags placem_collection'!G36)</f>
        <v>42820</v>
      </c>
      <c r="O109" s="194">
        <f>IFERROR(INDEX('Both teabags AfterWet'!$C$3:$C$2000,MATCH(H109,'Both teabags AfterWet'!$A$3:$A$2000,0)),"")</f>
        <v>0.87270000000000003</v>
      </c>
      <c r="P109" s="194">
        <f>IFERROR(INDEX('Both teabags AfterWet'!$C$3:$C$2000,MATCH(I109,'Both teabags AfterWet'!$A$3:$A$2000,0)),"")</f>
        <v>0.34520000000000001</v>
      </c>
      <c r="Q109" s="194">
        <f t="shared" si="1"/>
        <v>0.72209999999999996</v>
      </c>
      <c r="R109" s="194">
        <f t="shared" si="1"/>
        <v>0.1946</v>
      </c>
      <c r="S109" s="194">
        <f t="shared" si="2"/>
        <v>0.61306398028078446</v>
      </c>
      <c r="T109" s="194">
        <f t="shared" si="3"/>
        <v>0.40191367828383973</v>
      </c>
      <c r="U109" s="194">
        <f t="shared" si="4"/>
        <v>9.8771698304740627E-2</v>
      </c>
      <c r="V109">
        <f>IFERROR(IF((N109-G109)&gt;0,(IFERROR(N109-G109,"")),""),"")</f>
        <v>55</v>
      </c>
      <c r="W109" s="194">
        <f t="shared" si="5"/>
        <v>0.27189551035536286</v>
      </c>
      <c r="X109" s="194" t="str">
        <f t="shared" si="6"/>
        <v/>
      </c>
      <c r="Y109" s="252" t="str">
        <f>IF(ISNUMBER(SEARCH("C",'WetLitterbags placem_collection'!$X36)),"YES","NO")</f>
        <v>NO</v>
      </c>
      <c r="Z109" s="252" t="str">
        <f>IF(ISNUMBER(SEARCH("H", 'WetLitterbags placem_collection'!$X36)),"YES","NO")</f>
        <v>NO</v>
      </c>
      <c r="AA109" s="252" t="str">
        <f>IF(ISNUMBER(SEARCH("R", 'WetLitterbags placem_collection'!$X36)),"YES","NO")</f>
        <v>YES</v>
      </c>
      <c r="AB109" s="252" t="str">
        <f>IF(ISNUMBER(SEARCH("C", 'WetLitterbags placem_collection'!$V36)),"YES","NO")</f>
        <v>YES</v>
      </c>
      <c r="AC109" s="252" t="str">
        <f>IF(ISNUMBER(SEARCH("H", 'WetLitterbags placem_collection'!$V36)),"YES","NO")</f>
        <v>YES</v>
      </c>
      <c r="AD109" s="252" t="str">
        <f>IF(ISNUMBER(SEARCH("R", 'WetLitterbags placem_collection'!$V36)),"YES","NO")</f>
        <v>YES</v>
      </c>
    </row>
    <row r="110" spans="2:30">
      <c r="B110" t="str">
        <f>'Final data_for_R_analysis_Wetse'!A36</f>
        <v>Wet</v>
      </c>
      <c r="C110" s="260">
        <f>'Final data_for_R_analysis_Wetse'!B36</f>
        <v>35</v>
      </c>
      <c r="D110" t="s">
        <v>3805</v>
      </c>
      <c r="E110" t="s">
        <v>22</v>
      </c>
      <c r="F110" s="381">
        <v>3</v>
      </c>
      <c r="G110" s="16">
        <f>'WetLitterbags placem_collection'!E37</f>
        <v>42765</v>
      </c>
      <c r="H110" t="str">
        <f>'Final data_for_R_analysis_Wetse'!K36</f>
        <v>G670</v>
      </c>
      <c r="I110" t="str">
        <f>'Final data_for_R_analysis_Wetse'!K256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0"/>
        <v>1.8452000000000002</v>
      </c>
      <c r="M110" s="194">
        <f>IF(K110&gt;0,(K110*$F$32-($F$29+$F$30)),"")</f>
        <v>2.0381999999999998</v>
      </c>
      <c r="N110" s="16">
        <f>IF('WetLitterbags placem_collection'!G37="","",'WetLitterbags placem_collection'!G37)</f>
        <v>42820</v>
      </c>
      <c r="O110" s="194">
        <f>IFERROR(INDEX('Both teabags AfterWet'!$C$3:$C$2000,MATCH(H110,'Both teabags AfterWet'!$A$3:$A$2000,0)),"")</f>
        <v>0.81699999999999995</v>
      </c>
      <c r="P110" s="194">
        <f>IFERROR(INDEX('Both teabags AfterWet'!$C$3:$C$2000,MATCH(I110,'Both teabags AfterWet'!$A$3:$A$2000,0)),"")</f>
        <v>1.615</v>
      </c>
      <c r="Q110" s="194">
        <f t="shared" si="1"/>
        <v>0.66639999999999988</v>
      </c>
      <c r="R110" s="194">
        <f t="shared" si="1"/>
        <v>1.4643999999999999</v>
      </c>
      <c r="S110" s="194">
        <f t="shared" si="2"/>
        <v>0.63884673748103205</v>
      </c>
      <c r="T110" s="194">
        <f t="shared" si="3"/>
        <v>0.41881638846737501</v>
      </c>
      <c r="U110" s="194">
        <f t="shared" si="4"/>
        <v>0.718477087626337</v>
      </c>
      <c r="V110">
        <f>IFERROR(IF((N110-G110)&gt;0,(IFERROR(N110-G110,"")),""),"")</f>
        <v>55</v>
      </c>
      <c r="W110" s="194">
        <f t="shared" si="5"/>
        <v>0.24127465857359609</v>
      </c>
      <c r="X110" s="194">
        <f t="shared" si="6"/>
        <v>2.0278396622849085E-2</v>
      </c>
      <c r="Y110" s="252" t="str">
        <f>IF(ISNUMBER(SEARCH("C",'WetLitterbags placem_collection'!$X37)),"YES","NO")</f>
        <v>NO</v>
      </c>
      <c r="Z110" s="252" t="str">
        <f>IF(ISNUMBER(SEARCH("H", 'WetLitterbags placem_collection'!$X37)),"YES","NO")</f>
        <v>NO</v>
      </c>
      <c r="AA110" s="252" t="str">
        <f>IF(ISNUMBER(SEARCH("R", 'WetLitterbags placem_collection'!$X37)),"YES","NO")</f>
        <v>YES</v>
      </c>
      <c r="AB110" s="252" t="str">
        <f>IF(ISNUMBER(SEARCH("C", 'WetLitterbags placem_collection'!$V37)),"YES","NO")</f>
        <v>NO</v>
      </c>
      <c r="AC110" s="252" t="str">
        <f>IF(ISNUMBER(SEARCH("H", 'WetLitterbags placem_collection'!$V37)),"YES","NO")</f>
        <v>NO</v>
      </c>
      <c r="AD110" s="252" t="str">
        <f>IF(ISNUMBER(SEARCH("R", 'WetLitterbags placem_collection'!$V37)),"YES","NO")</f>
        <v>NO</v>
      </c>
    </row>
    <row r="111" spans="2:30">
      <c r="B111" t="str">
        <f>'Final data_for_R_analysis_Wetse'!A37</f>
        <v>Wet</v>
      </c>
      <c r="C111" s="260">
        <f>'Final data_for_R_analysis_Wetse'!B37</f>
        <v>36</v>
      </c>
      <c r="D111" t="s">
        <v>3805</v>
      </c>
      <c r="E111" t="s">
        <v>22</v>
      </c>
      <c r="F111" s="382">
        <v>4</v>
      </c>
      <c r="G111" s="16">
        <f>'WetLitterbags placem_collection'!E38</f>
        <v>42765</v>
      </c>
      <c r="H111" t="str">
        <f>'Final data_for_R_analysis_Wetse'!K37</f>
        <v>G507</v>
      </c>
      <c r="I111" t="str">
        <f>'Final data_for_R_analysis_Wetse'!K257</f>
        <v>R126</v>
      </c>
      <c r="J111">
        <f>IFERROR(INDEX('Green_rooibos initial weight'!$C$5:$C$2000,MATCH(H111, 'Green_rooibos initial weight'!$A$5:$A$2000,0)),"")</f>
        <v>1.99</v>
      </c>
      <c r="K111">
        <f>IFERROR(INDEX('Green_rooibos initial weight'!$C$5:$C$2000,MATCH(I111, 'Green_rooibos initial weight'!$A$5:$A$2000,0)),"")</f>
        <v>2.2400000000000002</v>
      </c>
      <c r="L111" s="194">
        <f t="shared" si="0"/>
        <v>1.7402</v>
      </c>
      <c r="M111" s="194">
        <f>IF(K111&gt;0,(K111*$F$32-($F$29+$F$30)),"")</f>
        <v>1.9902000000000002</v>
      </c>
      <c r="N111" s="16">
        <f>IF('WetLitterbags placem_collection'!G38="","",'WetLitterbags placem_collection'!G38)</f>
        <v>42820</v>
      </c>
      <c r="O111" s="194">
        <f>IFERROR(INDEX('Both teabags AfterWet'!$C$3:$C$2000,MATCH(H111,'Both teabags AfterWet'!$A$3:$A$2000,0)),"")</f>
        <v>0.68100000000000005</v>
      </c>
      <c r="P111" s="194">
        <f>IFERROR(INDEX('Both teabags AfterWet'!$C$3:$C$2000,MATCH(I111,'Both teabags AfterWet'!$A$3:$A$2000,0)),"")</f>
        <v>1.6180000000000001</v>
      </c>
      <c r="Q111" s="194">
        <f t="shared" si="1"/>
        <v>0.53039999999999998</v>
      </c>
      <c r="R111" s="194">
        <f t="shared" si="1"/>
        <v>1.4674</v>
      </c>
      <c r="S111" s="194">
        <f t="shared" si="2"/>
        <v>0.69520744741983687</v>
      </c>
      <c r="T111" s="194">
        <f t="shared" si="3"/>
        <v>0.45576545246526129</v>
      </c>
      <c r="U111" s="194">
        <f t="shared" si="4"/>
        <v>0.73731283288111737</v>
      </c>
      <c r="V111">
        <f>IFERROR(IF((N111-G111)&gt;0,(IFERROR(N111-G111,"")),""),"")</f>
        <v>55</v>
      </c>
      <c r="W111" s="194">
        <f t="shared" si="5"/>
        <v>0.17433794843249772</v>
      </c>
      <c r="X111" s="194">
        <f t="shared" si="6"/>
        <v>1.561604706071891E-2</v>
      </c>
      <c r="Y111" s="252" t="str">
        <f>IF(ISNUMBER(SEARCH("C",'WetLitterbags placem_collection'!$X38)),"YES","NO")</f>
        <v>NO</v>
      </c>
      <c r="Z111" s="252" t="str">
        <f>IF(ISNUMBER(SEARCH("H", 'WetLitterbags placem_collection'!$X38)),"YES","NO")</f>
        <v>NO</v>
      </c>
      <c r="AA111" s="252" t="str">
        <f>IF(ISNUMBER(SEARCH("R", 'WetLitterbags placem_collection'!$X38)),"YES","NO")</f>
        <v>YES</v>
      </c>
      <c r="AB111" s="252" t="str">
        <f>IF(ISNUMBER(SEARCH("C", 'WetLitterbags placem_collection'!$V38)),"YES","NO")</f>
        <v>NO</v>
      </c>
      <c r="AC111" s="252" t="str">
        <f>IF(ISNUMBER(SEARCH("H", 'WetLitterbags placem_collection'!$V38)),"YES","NO")</f>
        <v>NO</v>
      </c>
      <c r="AD111" s="252" t="str">
        <f>IF(ISNUMBER(SEARCH("R", 'WetLitterbags placem_collection'!$V38)),"YES","NO")</f>
        <v>YES</v>
      </c>
    </row>
    <row r="112" spans="2:30">
      <c r="B112" t="str">
        <f>'Final data_for_R_analysis_Wetse'!A38</f>
        <v>Wet</v>
      </c>
      <c r="C112" s="260">
        <f>'Final data_for_R_analysis_Wetse'!B38</f>
        <v>37</v>
      </c>
      <c r="D112" t="s">
        <v>3805</v>
      </c>
      <c r="E112" t="s">
        <v>22</v>
      </c>
      <c r="F112" s="382">
        <v>5</v>
      </c>
      <c r="G112" s="16">
        <f>'WetLitterbags placem_collection'!E39</f>
        <v>42765</v>
      </c>
      <c r="H112" t="str">
        <f>'Final data_for_R_analysis_Wetse'!K38</f>
        <v>G359</v>
      </c>
      <c r="I112" t="str">
        <f>'Final data_for_R_analysis_Wetse'!K258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0"/>
        <v>1.7292000000000001</v>
      </c>
      <c r="M112" s="194">
        <f>IF(K112&gt;0,(K112*$F$32-($F$29+$F$30)),"")</f>
        <v>1.9251999999999998</v>
      </c>
      <c r="N112" s="16">
        <f>IF('WetLitterbags placem_collection'!G39="","",'WetLitterbags placem_collection'!G39)</f>
        <v>42820</v>
      </c>
      <c r="O112" s="194">
        <f>IFERROR(INDEX('Both teabags AfterWet'!$C$3:$C$2000,MATCH(H112,'Both teabags AfterWet'!$A$3:$A$2000,0)),"")</f>
        <v>0.94699999999999995</v>
      </c>
      <c r="P112" s="194">
        <f>IFERROR(INDEX('Both teabags AfterWet'!$C$3:$C$2000,MATCH(I112,'Both teabags AfterWet'!$A$3:$A$2000,0)),"")</f>
        <v>1.3620000000000001</v>
      </c>
      <c r="Q112" s="194">
        <f t="shared" si="1"/>
        <v>0.7964</v>
      </c>
      <c r="R112" s="194">
        <f t="shared" si="1"/>
        <v>1.2114</v>
      </c>
      <c r="S112" s="194">
        <f t="shared" si="2"/>
        <v>0.53944020356234101</v>
      </c>
      <c r="T112" s="194">
        <f t="shared" si="3"/>
        <v>0.35364725934253244</v>
      </c>
      <c r="U112" s="194">
        <f t="shared" si="4"/>
        <v>0.62923332640764607</v>
      </c>
      <c r="V112">
        <f>IFERROR(IF((N112-G112)&gt;0,(IFERROR(N112-G112,"")),""),"")</f>
        <v>55</v>
      </c>
      <c r="W112" s="194">
        <f t="shared" si="5"/>
        <v>0.35933467510410799</v>
      </c>
      <c r="X112" s="194" t="str">
        <f t="shared" si="6"/>
        <v/>
      </c>
      <c r="Y112" s="252" t="str">
        <f>IF(ISNUMBER(SEARCH("C",'WetLitterbags placem_collection'!$X39)),"YES","NO")</f>
        <v>NO</v>
      </c>
      <c r="Z112" s="252" t="str">
        <f>IF(ISNUMBER(SEARCH("H", 'WetLitterbags placem_collection'!$X39)),"YES","NO")</f>
        <v>NO</v>
      </c>
      <c r="AA112" s="252" t="str">
        <f>IF(ISNUMBER(SEARCH("R", 'WetLitterbags placem_collection'!$X39)),"YES","NO")</f>
        <v>YES</v>
      </c>
      <c r="AB112" s="252" t="str">
        <f>IF(ISNUMBER(SEARCH("C", 'WetLitterbags placem_collection'!$V39)),"YES","NO")</f>
        <v>YES</v>
      </c>
      <c r="AC112" s="252" t="str">
        <f>IF(ISNUMBER(SEARCH("H", 'WetLitterbags placem_collection'!$V39)),"YES","NO")</f>
        <v>YES</v>
      </c>
      <c r="AD112" s="252" t="str">
        <f>IF(ISNUMBER(SEARCH("R", 'WetLitterbags placem_collection'!$V39)),"YES","NO")</f>
        <v>NO</v>
      </c>
    </row>
    <row r="113" spans="2:30">
      <c r="B113" t="str">
        <f>'Final data_for_R_analysis_Wetse'!A39</f>
        <v>Wet</v>
      </c>
      <c r="C113" s="260">
        <f>'Final data_for_R_analysis_Wetse'!B39</f>
        <v>38</v>
      </c>
      <c r="D113" t="s">
        <v>3805</v>
      </c>
      <c r="E113" t="s">
        <v>22</v>
      </c>
      <c r="F113" s="382">
        <v>6</v>
      </c>
      <c r="G113" s="16">
        <f>'WetLitterbags placem_collection'!E40</f>
        <v>42765</v>
      </c>
      <c r="H113" t="str">
        <f>'Final data_for_R_analysis_Wetse'!K39</f>
        <v>G499</v>
      </c>
      <c r="I113" t="str">
        <f>'Final data_for_R_analysis_Wetse'!K259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0"/>
        <v>1.6921999999999999</v>
      </c>
      <c r="M113" s="194">
        <f>IF(K113&gt;0,(K113*$F$32-($F$29+$F$30)),"")</f>
        <v>2.0432000000000001</v>
      </c>
      <c r="N113" s="16">
        <f>IF('WetLitterbags placem_collection'!G40="","",'WetLitterbags placem_collection'!G40)</f>
        <v>42820</v>
      </c>
      <c r="O113" s="194">
        <f>IFERROR(INDEX('Both teabags AfterWet'!$C$3:$C$2000,MATCH(H113,'Both teabags AfterWet'!$A$3:$A$2000,0)),"")</f>
        <v>1.4741</v>
      </c>
      <c r="P113" s="194">
        <f>IFERROR(INDEX('Both teabags AfterWet'!$C$3:$C$2000,MATCH(I113,'Both teabags AfterWet'!$A$3:$A$2000,0)),"")</f>
        <v>1.1399999999999999</v>
      </c>
      <c r="Q113" s="194">
        <f t="shared" si="1"/>
        <v>1.3234999999999999</v>
      </c>
      <c r="R113" s="194">
        <f t="shared" si="1"/>
        <v>0.98939999999999984</v>
      </c>
      <c r="S113" s="194">
        <f t="shared" si="2"/>
        <v>0.2178820470393571</v>
      </c>
      <c r="T113" s="194">
        <f t="shared" si="3"/>
        <v>0.14283953677639566</v>
      </c>
      <c r="U113" s="194">
        <f t="shared" si="4"/>
        <v>0.48424040720438516</v>
      </c>
      <c r="V113">
        <f>IFERROR(IF((N113-G113)&gt;0,(IFERROR(N113-G113,"")),""),"")</f>
        <v>55</v>
      </c>
      <c r="W113" s="194">
        <f t="shared" si="5"/>
        <v>0.74123272323116729</v>
      </c>
      <c r="X113" s="194" t="str">
        <f t="shared" si="6"/>
        <v/>
      </c>
      <c r="Y113" s="252" t="str">
        <f>IF(ISNUMBER(SEARCH("C",'WetLitterbags placem_collection'!$X40)),"YES","NO")</f>
        <v>NO</v>
      </c>
      <c r="Z113" s="252" t="str">
        <f>IF(ISNUMBER(SEARCH("H", 'WetLitterbags placem_collection'!$X40)),"YES","NO")</f>
        <v>NO</v>
      </c>
      <c r="AA113" s="252" t="str">
        <f>IF(ISNUMBER(SEARCH("R", 'WetLitterbags placem_collection'!$X40)),"YES","NO")</f>
        <v>YES</v>
      </c>
      <c r="AB113" s="252" t="str">
        <f>IF(ISNUMBER(SEARCH("C", 'WetLitterbags placem_collection'!$V40)),"YES","NO")</f>
        <v>YES</v>
      </c>
      <c r="AC113" s="252" t="str">
        <f>IF(ISNUMBER(SEARCH("H", 'WetLitterbags placem_collection'!$V40)),"YES","NO")</f>
        <v>YES</v>
      </c>
      <c r="AD113" s="252" t="str">
        <f>IF(ISNUMBER(SEARCH("R", 'WetLitterbags placem_collection'!$V40)),"YES","NO")</f>
        <v>YES</v>
      </c>
    </row>
    <row r="114" spans="2:30">
      <c r="B114" t="str">
        <f>'Final data_for_R_analysis_Wetse'!A40</f>
        <v>Wet</v>
      </c>
      <c r="C114" s="260">
        <f>'Final data_for_R_analysis_Wetse'!B40</f>
        <v>39</v>
      </c>
      <c r="D114" t="s">
        <v>3805</v>
      </c>
      <c r="E114" t="s">
        <v>22</v>
      </c>
      <c r="F114" s="382">
        <v>7</v>
      </c>
      <c r="G114" s="16">
        <f>'WetLitterbags placem_collection'!E41</f>
        <v>42765</v>
      </c>
      <c r="H114" t="str">
        <f>'Final data_for_R_analysis_Wetse'!K40</f>
        <v>G214</v>
      </c>
      <c r="I114" t="str">
        <f>'Final data_for_R_analysis_Wetse'!K260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0"/>
        <v>1.7352000000000001</v>
      </c>
      <c r="M114" s="194">
        <f>IF(K114&gt;0,(K114*$F$32-($F$29+$F$30)),"")</f>
        <v>1.9472</v>
      </c>
      <c r="N114" s="16">
        <f>IF('WetLitterbags placem_collection'!G41="","",'WetLitterbags placem_collection'!G41)</f>
        <v>42820</v>
      </c>
      <c r="O114" s="194">
        <f>IFERROR(INDEX('Both teabags AfterWet'!$C$3:$C$2000,MATCH(H114,'Both teabags AfterWet'!$A$3:$A$2000,0)),"")</f>
        <v>0.8327</v>
      </c>
      <c r="P114" s="194">
        <f>IFERROR(INDEX('Both teabags AfterWet'!$C$3:$C$2000,MATCH(I114,'Both teabags AfterWet'!$A$3:$A$2000,0)),"")</f>
        <v>1.4531000000000001</v>
      </c>
      <c r="Q114" s="194">
        <f t="shared" si="1"/>
        <v>0.68209999999999993</v>
      </c>
      <c r="R114" s="194">
        <f t="shared" si="1"/>
        <v>1.3025</v>
      </c>
      <c r="S114" s="194">
        <f t="shared" si="2"/>
        <v>0.60690410327339794</v>
      </c>
      <c r="T114" s="194">
        <f t="shared" si="3"/>
        <v>0.39787537411747709</v>
      </c>
      <c r="U114" s="194">
        <f t="shared" si="4"/>
        <v>0.66890920295809364</v>
      </c>
      <c r="V114">
        <f>IFERROR(IF((N114-G114)&gt;0,(IFERROR(N114-G114,"")),""),"")</f>
        <v>55</v>
      </c>
      <c r="W114" s="194">
        <f t="shared" si="5"/>
        <v>0.27921127877268648</v>
      </c>
      <c r="X114" s="194">
        <f t="shared" si="6"/>
        <v>3.2448484620141875E-2</v>
      </c>
      <c r="Y114" s="252" t="str">
        <f>IF(ISNUMBER(SEARCH("C",'WetLitterbags placem_collection'!$X41)),"YES","NO")</f>
        <v>NO</v>
      </c>
      <c r="Z114" s="252" t="str">
        <f>IF(ISNUMBER(SEARCH("H", 'WetLitterbags placem_collection'!$X41)),"YES","NO")</f>
        <v>NO</v>
      </c>
      <c r="AA114" s="252" t="str">
        <f>IF(ISNUMBER(SEARCH("R", 'WetLitterbags placem_collection'!$X41)),"YES","NO")</f>
        <v>YES</v>
      </c>
      <c r="AB114" s="252" t="str">
        <f>IF(ISNUMBER(SEARCH("C", 'WetLitterbags placem_collection'!$V41)),"YES","NO")</f>
        <v>NO</v>
      </c>
      <c r="AC114" s="252" t="str">
        <f>IF(ISNUMBER(SEARCH("H", 'WetLitterbags placem_collection'!$V41)),"YES","NO")</f>
        <v>NO</v>
      </c>
      <c r="AD114" s="252" t="str">
        <f>IF(ISNUMBER(SEARCH("R", 'WetLitterbags placem_collection'!$V41)),"YES","NO")</f>
        <v>YES</v>
      </c>
    </row>
    <row r="115" spans="2:30">
      <c r="B115" t="str">
        <f>'Final data_for_R_analysis_Wetse'!A41</f>
        <v>Wet</v>
      </c>
      <c r="C115" s="260">
        <f>'Final data_for_R_analysis_Wetse'!B41</f>
        <v>40</v>
      </c>
      <c r="D115" t="s">
        <v>3805</v>
      </c>
      <c r="E115" t="s">
        <v>22</v>
      </c>
      <c r="F115" s="382">
        <v>8</v>
      </c>
      <c r="G115" s="16">
        <f>'WetLitterbags placem_collection'!E42</f>
        <v>42765</v>
      </c>
      <c r="H115" t="str">
        <f>'Final data_for_R_analysis_Wetse'!K41</f>
        <v>G582</v>
      </c>
      <c r="I115" t="str">
        <f>'Final data_for_R_analysis_Wetse'!K261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0"/>
        <v>1.7721999999999998</v>
      </c>
      <c r="M115" s="194">
        <f>IF(K115&gt;0,(K115*$F$32-($F$29+$F$30)),"")</f>
        <v>1.9952000000000001</v>
      </c>
      <c r="N115" s="16">
        <f>IF('WetLitterbags placem_collection'!G42="","",'WetLitterbags placem_collection'!G42)</f>
        <v>42820</v>
      </c>
      <c r="O115" s="194">
        <f>IFERROR(INDEX('Both teabags AfterWet'!$C$3:$C$2000,MATCH(H115,'Both teabags AfterWet'!$A$3:$A$2000,0)),"")</f>
        <v>0.89800000000000002</v>
      </c>
      <c r="P115" s="194">
        <f>IFERROR(INDEX('Both teabags AfterWet'!$C$3:$C$2000,MATCH(I115,'Both teabags AfterWet'!$A$3:$A$2000,0)),"")</f>
        <v>2.2269999999999999</v>
      </c>
      <c r="Q115" s="194">
        <f t="shared" si="1"/>
        <v>0.74740000000000006</v>
      </c>
      <c r="R115" s="194">
        <f t="shared" si="1"/>
        <v>2.0764</v>
      </c>
      <c r="S115" s="194">
        <f t="shared" si="2"/>
        <v>0.57826430425459874</v>
      </c>
      <c r="T115" s="194">
        <f t="shared" si="3"/>
        <v>0.37909963889375126</v>
      </c>
      <c r="U115" s="194">
        <f t="shared" si="4"/>
        <v>1.0406976744186047</v>
      </c>
      <c r="V115">
        <f>IFERROR(IF((N115-G115)&gt;0,(IFERROR(N115-G115,"")),""),"")</f>
        <v>55</v>
      </c>
      <c r="W115" s="194">
        <f t="shared" si="5"/>
        <v>0.31322529185914638</v>
      </c>
      <c r="X115" s="194">
        <f t="shared" si="6"/>
        <v>-1.8540534083072672E-3</v>
      </c>
      <c r="Y115" s="252" t="str">
        <f>IF(ISNUMBER(SEARCH("C",'WetLitterbags placem_collection'!$X42)),"YES","NO")</f>
        <v>NO</v>
      </c>
      <c r="Z115" s="252" t="str">
        <f>IF(ISNUMBER(SEARCH("H", 'WetLitterbags placem_collection'!$X42)),"YES","NO")</f>
        <v>NO</v>
      </c>
      <c r="AA115" s="252" t="str">
        <f>IF(ISNUMBER(SEARCH("R", 'WetLitterbags placem_collection'!$X42)),"YES","NO")</f>
        <v>YES</v>
      </c>
      <c r="AB115" s="252" t="str">
        <f>IF(ISNUMBER(SEARCH("C", 'WetLitterbags placem_collection'!$V42)),"YES","NO")</f>
        <v>NO</v>
      </c>
      <c r="AC115" s="252" t="str">
        <f>IF(ISNUMBER(SEARCH("H", 'WetLitterbags placem_collection'!$V42)),"YES","NO")</f>
        <v>YES</v>
      </c>
      <c r="AD115" s="252" t="str">
        <f>IF(ISNUMBER(SEARCH("R", 'WetLitterbags placem_collection'!$V42)),"YES","NO")</f>
        <v>NO</v>
      </c>
    </row>
    <row r="116" spans="2:30">
      <c r="B116" t="str">
        <f>'Final data_for_R_analysis_Wetse'!A42</f>
        <v>Wet</v>
      </c>
      <c r="C116" s="260">
        <f>'Final data_for_R_analysis_Wetse'!B42</f>
        <v>41</v>
      </c>
      <c r="D116" t="s">
        <v>3807</v>
      </c>
      <c r="E116" t="s">
        <v>22</v>
      </c>
      <c r="F116" s="381">
        <v>1</v>
      </c>
      <c r="G116" s="16">
        <f>'WetLitterbags placem_collection'!E43</f>
        <v>42766</v>
      </c>
      <c r="H116" t="str">
        <f>'Final data_for_R_analysis_Wetse'!K42</f>
        <v>G453</v>
      </c>
      <c r="I116" t="str">
        <f>'Final data_for_R_analysis_Wetse'!K262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0"/>
        <v>1.8292000000000002</v>
      </c>
      <c r="M116" s="194">
        <f>IF(K116&gt;0,(K116*$F$32-($F$29+$F$30)),"")</f>
        <v>1.8942000000000001</v>
      </c>
      <c r="N116" s="16">
        <f>IF('WetLitterbags placem_collection'!G43="","",'WetLitterbags placem_collection'!G43)</f>
        <v>42820</v>
      </c>
      <c r="O116" s="194">
        <f>IFERROR(INDEX('Both teabags AfterWet'!$C$3:$C$2000,MATCH(H116,'Both teabags AfterWet'!$A$3:$A$2000,0)),"")</f>
        <v>1.0509999999999999</v>
      </c>
      <c r="P116" s="194">
        <f>IFERROR(INDEX('Both teabags AfterWet'!$C$3:$C$2000,MATCH(I116,'Both teabags AfterWet'!$A$3:$A$2000,0)),"")</f>
        <v>1.512</v>
      </c>
      <c r="Q116" s="194">
        <f t="shared" si="1"/>
        <v>0.90039999999999987</v>
      </c>
      <c r="R116" s="194">
        <f t="shared" si="1"/>
        <v>1.3613999999999999</v>
      </c>
      <c r="S116" s="194">
        <f t="shared" si="2"/>
        <v>0.50776295648370884</v>
      </c>
      <c r="T116" s="194">
        <f t="shared" si="3"/>
        <v>0.33288022800357164</v>
      </c>
      <c r="U116" s="194">
        <f t="shared" si="4"/>
        <v>0.71872030408615772</v>
      </c>
      <c r="V116">
        <f>IFERROR(IF((N116-G116)&gt;0,(IFERROR(N116-G116,"")),""),"")</f>
        <v>54</v>
      </c>
      <c r="W116" s="194">
        <f t="shared" si="5"/>
        <v>0.39695610868918185</v>
      </c>
      <c r="X116" s="194">
        <f t="shared" si="6"/>
        <v>3.4523162321590306E-2</v>
      </c>
      <c r="Y116" s="252" t="str">
        <f>IF(ISNUMBER(SEARCH("C",'WetLitterbags placem_collection'!$X43)),"YES","NO")</f>
        <v>NO</v>
      </c>
      <c r="Z116" s="252" t="str">
        <f>IF(ISNUMBER(SEARCH("H", 'WetLitterbags placem_collection'!$X43)),"YES","NO")</f>
        <v>NO</v>
      </c>
      <c r="AA116" s="252" t="str">
        <f>IF(ISNUMBER(SEARCH("R", 'WetLitterbags placem_collection'!$X43)),"YES","NO")</f>
        <v>YES</v>
      </c>
      <c r="AB116" s="252" t="str">
        <f>IF(ISNUMBER(SEARCH("C", 'WetLitterbags placem_collection'!$V43)),"YES","NO")</f>
        <v>NO</v>
      </c>
      <c r="AC116" s="252" t="str">
        <f>IF(ISNUMBER(SEARCH("H", 'WetLitterbags placem_collection'!$V43)),"YES","NO")</f>
        <v>YES</v>
      </c>
      <c r="AD116" s="252" t="str">
        <f>IF(ISNUMBER(SEARCH("R", 'WetLitterbags placem_collection'!$V43)),"YES","NO")</f>
        <v>YES</v>
      </c>
    </row>
    <row r="117" spans="2:30">
      <c r="B117" t="str">
        <f>'Final data_for_R_analysis_Wetse'!A43</f>
        <v>Wet</v>
      </c>
      <c r="C117" s="260">
        <f>'Final data_for_R_analysis_Wetse'!B43</f>
        <v>42</v>
      </c>
      <c r="D117" t="s">
        <v>3807</v>
      </c>
      <c r="E117" t="s">
        <v>22</v>
      </c>
      <c r="F117" s="381">
        <v>2</v>
      </c>
      <c r="G117" s="16">
        <f>'WetLitterbags placem_collection'!E44</f>
        <v>42766</v>
      </c>
      <c r="H117" t="str">
        <f>'Final data_for_R_analysis_Wetse'!K43</f>
        <v>G764</v>
      </c>
      <c r="I117" t="str">
        <f>'Final data_for_R_analysis_Wetse'!K263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0"/>
        <v>1.7012</v>
      </c>
      <c r="M117" s="194">
        <f>IF(K117&gt;0,(K117*$F$32-($F$29+$F$30)),"")</f>
        <v>2.0032000000000001</v>
      </c>
      <c r="N117" s="16">
        <f>IF('WetLitterbags placem_collection'!G44="","",'WetLitterbags placem_collection'!G44)</f>
        <v>42820</v>
      </c>
      <c r="O117" s="194">
        <f>IFERROR(INDEX('Both teabags AfterWet'!$C$3:$C$2000,MATCH(H117,'Both teabags AfterWet'!$A$3:$A$2000,0)),"")</f>
        <v>0.72199999999999998</v>
      </c>
      <c r="P117" s="194">
        <f>IFERROR(INDEX('Both teabags AfterWet'!$C$3:$C$2000,MATCH(I117,'Both teabags AfterWet'!$A$3:$A$2000,0)),"")</f>
        <v>1.649</v>
      </c>
      <c r="Q117" s="194">
        <f t="shared" si="1"/>
        <v>0.57139999999999991</v>
      </c>
      <c r="R117" s="194">
        <f t="shared" si="1"/>
        <v>1.4984</v>
      </c>
      <c r="S117" s="194">
        <f t="shared" si="2"/>
        <v>0.66411944509757825</v>
      </c>
      <c r="T117" s="194">
        <f t="shared" si="3"/>
        <v>0.43538471935138151</v>
      </c>
      <c r="U117" s="194">
        <f t="shared" si="4"/>
        <v>0.7480031948881789</v>
      </c>
      <c r="V117">
        <f>IFERROR(IF((N117-G117)&gt;0,(IFERROR(N117-G117,"")),""),"")</f>
        <v>54</v>
      </c>
      <c r="W117" s="194">
        <f t="shared" si="5"/>
        <v>0.21125956639242482</v>
      </c>
      <c r="X117" s="194">
        <f t="shared" si="6"/>
        <v>1.6011599874893426E-2</v>
      </c>
      <c r="Y117" s="252" t="str">
        <f>IF(ISNUMBER(SEARCH("C",'WetLitterbags placem_collection'!$X44)),"YES","NO")</f>
        <v>NO</v>
      </c>
      <c r="Z117" s="252" t="str">
        <f>IF(ISNUMBER(SEARCH("H", 'WetLitterbags placem_collection'!$X44)),"YES","NO")</f>
        <v>NO</v>
      </c>
      <c r="AA117" s="252" t="str">
        <f>IF(ISNUMBER(SEARCH("R", 'WetLitterbags placem_collection'!$X44)),"YES","NO")</f>
        <v>NO</v>
      </c>
      <c r="AB117" s="252" t="str">
        <f>IF(ISNUMBER(SEARCH("C", 'WetLitterbags placem_collection'!$V44)),"YES","NO")</f>
        <v>NO</v>
      </c>
      <c r="AC117" s="252" t="str">
        <f>IF(ISNUMBER(SEARCH("H", 'WetLitterbags placem_collection'!$V44)),"YES","NO")</f>
        <v>YES</v>
      </c>
      <c r="AD117" s="252" t="str">
        <f>IF(ISNUMBER(SEARCH("R", 'WetLitterbags placem_collection'!$V44)),"YES","NO")</f>
        <v>NO</v>
      </c>
    </row>
    <row r="118" spans="2:30">
      <c r="B118" t="str">
        <f>'Final data_for_R_analysis_Wetse'!A44</f>
        <v>Wet</v>
      </c>
      <c r="C118" s="260">
        <f>'Final data_for_R_analysis_Wetse'!B44</f>
        <v>43</v>
      </c>
      <c r="D118" t="s">
        <v>3807</v>
      </c>
      <c r="E118" t="s">
        <v>22</v>
      </c>
      <c r="F118" s="381">
        <v>3</v>
      </c>
      <c r="G118" s="16">
        <f>'WetLitterbags placem_collection'!E45</f>
        <v>42766</v>
      </c>
      <c r="H118" t="str">
        <f>'Final data_for_R_analysis_Wetse'!K44</f>
        <v>G690</v>
      </c>
      <c r="I118" t="str">
        <f>'Final data_for_R_analysis_Wetse'!K264</f>
        <v>R376</v>
      </c>
      <c r="J118">
        <f>IFERROR(INDEX('Green_rooibos initial weight'!$C$5:$C$2000,MATCH(H118, 'Green_rooibos initial weight'!$A$5:$A$2000,0)),"")</f>
        <v>2.0739999999999998</v>
      </c>
      <c r="K118">
        <f>IFERROR(INDEX('Green_rooibos initial weight'!$C$5:$C$2000,MATCH(I118, 'Green_rooibos initial weight'!$A$5:$A$2000,0)),"")</f>
        <v>2.177</v>
      </c>
      <c r="L118" s="194">
        <f t="shared" si="0"/>
        <v>1.8241999999999998</v>
      </c>
      <c r="M118" s="194">
        <f>IF(K118&gt;0,(K118*$F$32-($F$29+$F$30)),"")</f>
        <v>1.9272</v>
      </c>
      <c r="N118" s="16">
        <f>IF('WetLitterbags placem_collection'!G45="","",'WetLitterbags placem_collection'!G45)</f>
        <v>42820</v>
      </c>
      <c r="O118" s="194">
        <f>IFERROR(INDEX('Both teabags AfterWet'!$C$3:$C$2000,MATCH(H118,'Both teabags AfterWet'!$A$3:$A$2000,0)),"")</f>
        <v>0.71519999999999995</v>
      </c>
      <c r="P118" s="194">
        <f>IFERROR(INDEX('Both teabags AfterWet'!$C$3:$C$2000,MATCH(I118,'Both teabags AfterWet'!$A$3:$A$2000,0)),"")</f>
        <v>1.3532999999999999</v>
      </c>
      <c r="Q118" s="194">
        <f t="shared" si="1"/>
        <v>0.56459999999999999</v>
      </c>
      <c r="R118" s="194">
        <f t="shared" si="1"/>
        <v>1.2026999999999999</v>
      </c>
      <c r="S118" s="194">
        <f t="shared" si="2"/>
        <v>0.69049446332638964</v>
      </c>
      <c r="T118" s="194">
        <f t="shared" si="3"/>
        <v>0.45267570517359518</v>
      </c>
      <c r="U118" s="194">
        <f t="shared" si="4"/>
        <v>0.62406600249065991</v>
      </c>
      <c r="V118">
        <f>IFERROR(IF((N118-G118)&gt;0,(IFERROR(N118-G118,"")),""),"")</f>
        <v>54</v>
      </c>
      <c r="W118" s="194">
        <f t="shared" si="5"/>
        <v>0.17993531671450158</v>
      </c>
      <c r="X118" s="194">
        <f t="shared" si="6"/>
        <v>3.2865382394999997E-2</v>
      </c>
      <c r="Y118" s="252" t="str">
        <f>IF(ISNUMBER(SEARCH("C",'WetLitterbags placem_collection'!$X45)),"YES","NO")</f>
        <v>NO</v>
      </c>
      <c r="Z118" s="252" t="str">
        <f>IF(ISNUMBER(SEARCH("H", 'WetLitterbags placem_collection'!$X45)),"YES","NO")</f>
        <v>NO</v>
      </c>
      <c r="AA118" s="252" t="str">
        <f>IF(ISNUMBER(SEARCH("R", 'WetLitterbags placem_collection'!$X45)),"YES","NO")</f>
        <v>YES</v>
      </c>
      <c r="AB118" s="252" t="str">
        <f>IF(ISNUMBER(SEARCH("C", 'WetLitterbags placem_collection'!$V45)),"YES","NO")</f>
        <v>NO</v>
      </c>
      <c r="AC118" s="252" t="str">
        <f>IF(ISNUMBER(SEARCH("H", 'WetLitterbags placem_collection'!$V45)),"YES","NO")</f>
        <v>YES</v>
      </c>
      <c r="AD118" s="252" t="str">
        <f>IF(ISNUMBER(SEARCH("R", 'WetLitterbags placem_collection'!$V45)),"YES","NO")</f>
        <v>YES</v>
      </c>
    </row>
    <row r="119" spans="2:30">
      <c r="B119" t="str">
        <f>'Final data_for_R_analysis_Wetse'!A45</f>
        <v>Wet</v>
      </c>
      <c r="C119" s="260">
        <f>'Final data_for_R_analysis_Wetse'!B45</f>
        <v>44</v>
      </c>
      <c r="D119" t="s">
        <v>3807</v>
      </c>
      <c r="E119" t="s">
        <v>22</v>
      </c>
      <c r="F119" s="382">
        <v>4</v>
      </c>
      <c r="G119" s="16">
        <f>'WetLitterbags placem_collection'!E46</f>
        <v>42766</v>
      </c>
      <c r="H119" t="str">
        <f>'Final data_for_R_analysis_Wetse'!K45</f>
        <v>G774</v>
      </c>
      <c r="I119" t="str">
        <f>'Final data_for_R_analysis_Wetse'!K265</f>
        <v>R166</v>
      </c>
      <c r="J119">
        <f>IFERROR(INDEX('Green_rooibos initial weight'!$C$5:$C$2000,MATCH(H119, 'Green_rooibos initial weight'!$A$5:$A$2000,0)),"")</f>
        <v>2.0049999999999999</v>
      </c>
      <c r="K119">
        <f>IFERROR(INDEX('Green_rooibos initial weight'!$C$5:$C$2000,MATCH(I119, 'Green_rooibos initial weight'!$A$5:$A$2000,0)),"")</f>
        <v>2.222</v>
      </c>
      <c r="L119" s="194">
        <f t="shared" si="0"/>
        <v>1.7551999999999999</v>
      </c>
      <c r="M119" s="194">
        <f>IF(K119&gt;0,(K119*$F$32-($F$29+$F$30)),"")</f>
        <v>1.9722</v>
      </c>
      <c r="N119" s="16">
        <f>IF('WetLitterbags placem_collection'!G46="","",'WetLitterbags placem_collection'!G46)</f>
        <v>42820</v>
      </c>
      <c r="O119" s="194">
        <f>IFERROR(INDEX('Both teabags AfterWet'!$C$3:$C$2000,MATCH(H119,'Both teabags AfterWet'!$A$3:$A$2000,0)),"")</f>
        <v>0.89559999999999995</v>
      </c>
      <c r="P119" s="194">
        <f>IFERROR(INDEX('Both teabags AfterWet'!$C$3:$C$2000,MATCH(I119,'Both teabags AfterWet'!$A$3:$A$2000,0)),"")</f>
        <v>1.6101000000000001</v>
      </c>
      <c r="Q119" s="194">
        <f t="shared" si="1"/>
        <v>0.74499999999999988</v>
      </c>
      <c r="R119" s="194">
        <f t="shared" si="1"/>
        <v>1.4595</v>
      </c>
      <c r="S119" s="194">
        <f t="shared" si="2"/>
        <v>0.57554694621695535</v>
      </c>
      <c r="T119" s="194">
        <f t="shared" si="3"/>
        <v>0.37731818801871658</v>
      </c>
      <c r="U119" s="194">
        <f t="shared" si="4"/>
        <v>0.74003650745360516</v>
      </c>
      <c r="V119">
        <f>IFERROR(IF((N119-G119)&gt;0,(IFERROR(N119-G119,"")),""),"")</f>
        <v>54</v>
      </c>
      <c r="W119" s="194">
        <f t="shared" si="5"/>
        <v>0.31645255793710769</v>
      </c>
      <c r="X119" s="194">
        <f t="shared" si="6"/>
        <v>2.1627553657165281E-2</v>
      </c>
      <c r="Y119" s="252" t="str">
        <f>IF(ISNUMBER(SEARCH("C",'WetLitterbags placem_collection'!$X46)),"YES","NO")</f>
        <v>NO</v>
      </c>
      <c r="Z119" s="252" t="str">
        <f>IF(ISNUMBER(SEARCH("H", 'WetLitterbags placem_collection'!$X46)),"YES","NO")</f>
        <v>NO</v>
      </c>
      <c r="AA119" s="252" t="str">
        <f>IF(ISNUMBER(SEARCH("R", 'WetLitterbags placem_collection'!$X46)),"YES","NO")</f>
        <v>YES</v>
      </c>
      <c r="AB119" s="252" t="str">
        <f>IF(ISNUMBER(SEARCH("C", 'WetLitterbags placem_collection'!$V46)),"YES","NO")</f>
        <v>NO</v>
      </c>
      <c r="AC119" s="252" t="str">
        <f>IF(ISNUMBER(SEARCH("H", 'WetLitterbags placem_collection'!$V46)),"YES","NO")</f>
        <v>NO</v>
      </c>
      <c r="AD119" s="252" t="str">
        <f>IF(ISNUMBER(SEARCH("R", 'WetLitterbags placem_collection'!$V46)),"YES","NO")</f>
        <v>YES</v>
      </c>
    </row>
    <row r="120" spans="2:30">
      <c r="B120" t="str">
        <f>'Final data_for_R_analysis_Wetse'!A46</f>
        <v>Wet</v>
      </c>
      <c r="C120" s="260">
        <f>'Final data_for_R_analysis_Wetse'!B46</f>
        <v>45</v>
      </c>
      <c r="D120" t="s">
        <v>3807</v>
      </c>
      <c r="E120" t="s">
        <v>22</v>
      </c>
      <c r="F120" s="382">
        <v>5</v>
      </c>
      <c r="G120" s="16">
        <f>'WetLitterbags placem_collection'!E47</f>
        <v>42766</v>
      </c>
      <c r="H120" t="str">
        <f>'Final data_for_R_analysis_Wetse'!K46</f>
        <v>G519</v>
      </c>
      <c r="I120" t="str">
        <f>'Final data_for_R_analysis_Wetse'!K266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0"/>
        <v>1.8931999999999998</v>
      </c>
      <c r="M120" s="194">
        <f>IF(K120&gt;0,(K120*$F$32-($F$29+$F$30)),"")</f>
        <v>1.9811999999999999</v>
      </c>
      <c r="N120" s="16">
        <f>IF('WetLitterbags placem_collection'!G47="","",'WetLitterbags placem_collection'!G47)</f>
        <v>42820</v>
      </c>
      <c r="O120" s="194">
        <f>IFERROR(INDEX('Both teabags AfterWet'!$C$3:$C$2000,MATCH(H120,'Both teabags AfterWet'!$A$3:$A$2000,0)),"")</f>
        <v>0.77569999999999995</v>
      </c>
      <c r="P120" s="194">
        <f>IFERROR(INDEX('Both teabags AfterWet'!$C$3:$C$2000,MATCH(I120,'Both teabags AfterWet'!$A$3:$A$2000,0)),"")</f>
        <v>1.5804</v>
      </c>
      <c r="Q120" s="194">
        <f t="shared" si="1"/>
        <v>0.62509999999999999</v>
      </c>
      <c r="R120" s="194">
        <f t="shared" si="1"/>
        <v>1.4298</v>
      </c>
      <c r="S120" s="194">
        <f t="shared" si="2"/>
        <v>0.66981829706317342</v>
      </c>
      <c r="T120" s="194">
        <f t="shared" si="3"/>
        <v>0.43912078382288805</v>
      </c>
      <c r="U120" s="194">
        <f t="shared" si="4"/>
        <v>0.72168382798304065</v>
      </c>
      <c r="V120">
        <f>IFERROR(IF((N120-G120)&gt;0,(IFERROR(N120-G120,"")),""),"")</f>
        <v>54</v>
      </c>
      <c r="W120" s="194">
        <f t="shared" si="5"/>
        <v>0.20449133365418837</v>
      </c>
      <c r="X120" s="194">
        <f t="shared" si="6"/>
        <v>1.8603416157536037E-2</v>
      </c>
      <c r="Y120" s="252" t="str">
        <f>IF(ISNUMBER(SEARCH("C",'WetLitterbags placem_collection'!$X47)),"YES","NO")</f>
        <v>NO</v>
      </c>
      <c r="Z120" s="252" t="str">
        <f>IF(ISNUMBER(SEARCH("H", 'WetLitterbags placem_collection'!$X47)),"YES","NO")</f>
        <v>NO</v>
      </c>
      <c r="AA120" s="252" t="str">
        <f>IF(ISNUMBER(SEARCH("R", 'WetLitterbags placem_collection'!$X47)),"YES","NO")</f>
        <v>YES</v>
      </c>
      <c r="AB120" s="252" t="str">
        <f>IF(ISNUMBER(SEARCH("C", 'WetLitterbags placem_collection'!$V47)),"YES","NO")</f>
        <v>NO</v>
      </c>
      <c r="AC120" s="252" t="str">
        <f>IF(ISNUMBER(SEARCH("H", 'WetLitterbags placem_collection'!$V47)),"YES","NO")</f>
        <v>NO</v>
      </c>
      <c r="AD120" s="252" t="str">
        <f>IF(ISNUMBER(SEARCH("R", 'WetLitterbags placem_collection'!$V47)),"YES","NO")</f>
        <v>YES</v>
      </c>
    </row>
    <row r="121" spans="2:30">
      <c r="B121" t="str">
        <f>'Final data_for_R_analysis_Wetse'!A47</f>
        <v>Wet</v>
      </c>
      <c r="C121" s="260">
        <f>'Final data_for_R_analysis_Wetse'!B47</f>
        <v>46</v>
      </c>
      <c r="D121" t="s">
        <v>3807</v>
      </c>
      <c r="E121" t="s">
        <v>22</v>
      </c>
      <c r="F121" s="382">
        <v>6</v>
      </c>
      <c r="G121" s="16">
        <f>'WetLitterbags placem_collection'!E48</f>
        <v>42766</v>
      </c>
      <c r="H121" t="str">
        <f>'Final data_for_R_analysis_Wetse'!K47</f>
        <v>G635</v>
      </c>
      <c r="I121" t="str">
        <f>'Final data_for_R_analysis_Wetse'!K267</f>
        <v>R86</v>
      </c>
      <c r="J121">
        <f>IFERROR(INDEX('Green_rooibos initial weight'!$C$5:$C$2000,MATCH(H121, 'Green_rooibos initial weight'!$A$5:$A$2000,0)),"")</f>
        <v>2.073</v>
      </c>
      <c r="K121">
        <f>IFERROR(INDEX('Green_rooibos initial weight'!$C$5:$C$2000,MATCH(I121, 'Green_rooibos initial weight'!$A$5:$A$2000,0)),"")</f>
        <v>2.242</v>
      </c>
      <c r="L121" s="194">
        <f t="shared" si="0"/>
        <v>1.8231999999999999</v>
      </c>
      <c r="M121" s="194">
        <f>IF(K121&gt;0,(K121*$F$32-($F$29+$F$30)),"")</f>
        <v>1.9922</v>
      </c>
      <c r="N121" s="16">
        <f>IF('WetLitterbags placem_collection'!G48="","",'WetLitterbags placem_collection'!G48)</f>
        <v>42820</v>
      </c>
      <c r="O121" s="194" t="str">
        <f>IFERROR(INDEX('Both teabags AfterWet'!$C$3:$C$2000,MATCH(H121,'Both teabags AfterWet'!$A$3:$A$2000,0)),"")</f>
        <v/>
      </c>
      <c r="P121" s="194" t="str">
        <f>IFERROR(INDEX('Both teabags AfterWet'!$C$3:$C$2000,MATCH(I121,'Both teabags AfterWet'!$A$3:$A$2000,0)),"")</f>
        <v/>
      </c>
      <c r="Q121" s="194" t="str">
        <f t="shared" si="1"/>
        <v/>
      </c>
      <c r="R121" s="194" t="str">
        <f t="shared" si="1"/>
        <v/>
      </c>
      <c r="S121" s="194" t="str">
        <f t="shared" si="2"/>
        <v/>
      </c>
      <c r="T121" s="194" t="str">
        <f t="shared" si="3"/>
        <v/>
      </c>
      <c r="U121" s="194" t="str">
        <f t="shared" si="4"/>
        <v/>
      </c>
      <c r="V121">
        <f>IFERROR(IF((N121-G121)&gt;0,(IFERROR(N121-G121,"")),""),"")</f>
        <v>54</v>
      </c>
      <c r="W121" s="194" t="str">
        <f t="shared" si="5"/>
        <v/>
      </c>
      <c r="X121" s="194" t="str">
        <f t="shared" si="6"/>
        <v/>
      </c>
      <c r="Y121" s="252" t="str">
        <f>IF(ISNUMBER(SEARCH("C",'WetLitterbags placem_collection'!$X48)),"YES","NO")</f>
        <v>NO</v>
      </c>
      <c r="Z121" s="252" t="str">
        <f>IF(ISNUMBER(SEARCH("H", 'WetLitterbags placem_collection'!$X48)),"YES","NO")</f>
        <v>NO</v>
      </c>
      <c r="AA121" s="252" t="str">
        <f>IF(ISNUMBER(SEARCH("R", 'WetLitterbags placem_collection'!$X48)),"YES","NO")</f>
        <v>NO</v>
      </c>
      <c r="AB121" s="252" t="str">
        <f>IF(ISNUMBER(SEARCH("C", 'WetLitterbags placem_collection'!$V48)),"YES","NO")</f>
        <v>NO</v>
      </c>
      <c r="AC121" s="252" t="str">
        <f>IF(ISNUMBER(SEARCH("H", 'WetLitterbags placem_collection'!$V48)),"YES","NO")</f>
        <v>NO</v>
      </c>
      <c r="AD121" s="252" t="str">
        <f>IF(ISNUMBER(SEARCH("R", 'WetLitterbags placem_collection'!$V48)),"YES","NO")</f>
        <v>NO</v>
      </c>
    </row>
    <row r="122" spans="2:30">
      <c r="B122" t="str">
        <f>'Final data_for_R_analysis_Wetse'!A48</f>
        <v>Wet</v>
      </c>
      <c r="C122" s="260">
        <f>'Final data_for_R_analysis_Wetse'!B48</f>
        <v>47</v>
      </c>
      <c r="D122" t="s">
        <v>3807</v>
      </c>
      <c r="E122" t="s">
        <v>22</v>
      </c>
      <c r="F122" s="382">
        <v>7</v>
      </c>
      <c r="G122" s="16">
        <f>'WetLitterbags placem_collection'!E49</f>
        <v>42766</v>
      </c>
      <c r="H122" t="str">
        <f>'Final data_for_R_analysis_Wetse'!K48</f>
        <v>G539</v>
      </c>
      <c r="I122" t="str">
        <f>'Final data_for_R_analysis_Wetse'!K268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0"/>
        <v>1.8721999999999999</v>
      </c>
      <c r="M122" s="194">
        <f>IF(K122&gt;0,(K122*$F$32-($F$29+$F$30)),"")</f>
        <v>1.9512</v>
      </c>
      <c r="N122" s="16">
        <f>IF('WetLitterbags placem_collection'!G49="","",'WetLitterbags placem_collection'!G49)</f>
        <v>42820</v>
      </c>
      <c r="O122" s="194">
        <f>IFERROR(INDEX('Both teabags AfterWet'!$C$3:$C$2000,MATCH(H122,'Both teabags AfterWet'!$A$3:$A$2000,0)),"")</f>
        <v>0.80700000000000005</v>
      </c>
      <c r="P122" s="194">
        <f>IFERROR(INDEX('Both teabags AfterWet'!$C$3:$C$2000,MATCH(I122,'Both teabags AfterWet'!$A$3:$A$2000,0)),"")</f>
        <v>1.651</v>
      </c>
      <c r="Q122" s="194">
        <f t="shared" si="1"/>
        <v>0.65640000000000009</v>
      </c>
      <c r="R122" s="194">
        <f t="shared" si="1"/>
        <v>1.5004</v>
      </c>
      <c r="S122" s="194">
        <f t="shared" si="2"/>
        <v>0.64939643200512753</v>
      </c>
      <c r="T122" s="194">
        <f t="shared" si="3"/>
        <v>0.42573257775158008</v>
      </c>
      <c r="U122" s="194">
        <f t="shared" si="4"/>
        <v>0.76896268962689618</v>
      </c>
      <c r="V122">
        <f>IFERROR(IF((N122-G122)&gt;0,(IFERROR(N122-G122,"")),""),"")</f>
        <v>54</v>
      </c>
      <c r="W122" s="194">
        <f t="shared" si="5"/>
        <v>0.22874533016018106</v>
      </c>
      <c r="X122" s="194">
        <f t="shared" si="6"/>
        <v>1.4488440602979479E-2</v>
      </c>
      <c r="Y122" s="252" t="str">
        <f>IF(ISNUMBER(SEARCH("C",'WetLitterbags placem_collection'!$X49)),"YES","NO")</f>
        <v>NO</v>
      </c>
      <c r="Z122" s="252" t="str">
        <f>IF(ISNUMBER(SEARCH("H", 'WetLitterbags placem_collection'!$X49)),"YES","NO")</f>
        <v>NO</v>
      </c>
      <c r="AA122" s="252" t="str">
        <f>IF(ISNUMBER(SEARCH("R", 'WetLitterbags placem_collection'!$X49)),"YES","NO")</f>
        <v>YES</v>
      </c>
      <c r="AB122" s="252" t="str">
        <f>IF(ISNUMBER(SEARCH("C", 'WetLitterbags placem_collection'!$V49)),"YES","NO")</f>
        <v>NO</v>
      </c>
      <c r="AC122" s="252" t="str">
        <f>IF(ISNUMBER(SEARCH("H", 'WetLitterbags placem_collection'!$V49)),"YES","NO")</f>
        <v>NO</v>
      </c>
      <c r="AD122" s="252" t="str">
        <f>IF(ISNUMBER(SEARCH("R", 'WetLitterbags placem_collection'!$V49)),"YES","NO")</f>
        <v>YES</v>
      </c>
    </row>
    <row r="123" spans="2:30">
      <c r="B123" t="str">
        <f>'Final data_for_R_analysis_Wetse'!A49</f>
        <v>Wet</v>
      </c>
      <c r="C123" s="260">
        <f>'Final data_for_R_analysis_Wetse'!B49</f>
        <v>48</v>
      </c>
      <c r="D123" t="s">
        <v>3807</v>
      </c>
      <c r="E123" t="s">
        <v>22</v>
      </c>
      <c r="F123" s="382">
        <v>8</v>
      </c>
      <c r="G123" s="16">
        <f>'WetLitterbags placem_collection'!E50</f>
        <v>42766</v>
      </c>
      <c r="H123" t="str">
        <f>'Final data_for_R_analysis_Wetse'!K49</f>
        <v>G679</v>
      </c>
      <c r="I123" t="str">
        <f>'Final data_for_R_analysis_Wetse'!K269</f>
        <v>R72</v>
      </c>
      <c r="J123">
        <f>IFERROR(INDEX('Green_rooibos initial weight'!$C$5:$C$2000,MATCH(H123, 'Green_rooibos initial weight'!$A$5:$A$2000,0)),"")</f>
        <v>2.052</v>
      </c>
      <c r="K123">
        <f>IFERROR(INDEX('Green_rooibos initial weight'!$C$5:$C$2000,MATCH(I123, 'Green_rooibos initial weight'!$A$5:$A$2000,0)),"")</f>
        <v>2.2349999999999999</v>
      </c>
      <c r="L123" s="194">
        <f t="shared" si="0"/>
        <v>1.8022</v>
      </c>
      <c r="M123" s="194">
        <f>IF(K123&gt;0,(K123*$F$32-($F$29+$F$30)),"")</f>
        <v>1.9851999999999999</v>
      </c>
      <c r="N123" s="16">
        <f>IF('WetLitterbags placem_collection'!G50="","",'WetLitterbags placem_collection'!G50)</f>
        <v>42820</v>
      </c>
      <c r="O123" s="194">
        <f>IFERROR(INDEX('Both teabags AfterWet'!$C$3:$C$2000,MATCH(H123,'Both teabags AfterWet'!$A$3:$A$2000,0)),"")</f>
        <v>0.83199999999999996</v>
      </c>
      <c r="P123" s="194">
        <f>IFERROR(INDEX('Both teabags AfterWet'!$C$3:$C$2000,MATCH(I123,'Both teabags AfterWet'!$A$3:$A$2000,0)),"")</f>
        <v>1.6359999999999999</v>
      </c>
      <c r="Q123" s="194">
        <f t="shared" si="1"/>
        <v>0.68140000000000001</v>
      </c>
      <c r="R123" s="194">
        <f t="shared" si="1"/>
        <v>1.4853999999999998</v>
      </c>
      <c r="S123" s="194">
        <f t="shared" si="2"/>
        <v>0.62190655865053823</v>
      </c>
      <c r="T123" s="194">
        <f t="shared" si="3"/>
        <v>0.40771071303455714</v>
      </c>
      <c r="U123" s="194">
        <f t="shared" si="4"/>
        <v>0.74823695345557117</v>
      </c>
      <c r="V123">
        <f>IFERROR(IF((N123-G123)&gt;0,(IFERROR(N123-G123,"")),""),"")</f>
        <v>54</v>
      </c>
      <c r="W123" s="194">
        <f t="shared" si="5"/>
        <v>0.26139363580696173</v>
      </c>
      <c r="X123" s="194">
        <f t="shared" si="6"/>
        <v>1.7796989009063176E-2</v>
      </c>
      <c r="Y123" s="252" t="str">
        <f>IF(ISNUMBER(SEARCH("C",'WetLitterbags placem_collection'!$X50)),"YES","NO")</f>
        <v>NO</v>
      </c>
      <c r="Z123" s="252" t="str">
        <f>IF(ISNUMBER(SEARCH("H", 'WetLitterbags placem_collection'!$X50)),"YES","NO")</f>
        <v>NO</v>
      </c>
      <c r="AA123" s="252" t="str">
        <f>IF(ISNUMBER(SEARCH("R", 'WetLitterbags placem_collection'!$X50)),"YES","NO")</f>
        <v>YES</v>
      </c>
      <c r="AB123" s="252" t="str">
        <f>IF(ISNUMBER(SEARCH("C", 'WetLitterbags placem_collection'!$V50)),"YES","NO")</f>
        <v>NO</v>
      </c>
      <c r="AC123" s="252" t="str">
        <f>IF(ISNUMBER(SEARCH("H", 'WetLitterbags placem_collection'!$V50)),"YES","NO")</f>
        <v>NO</v>
      </c>
      <c r="AD123" s="252" t="str">
        <f>IF(ISNUMBER(SEARCH("R", 'WetLitterbags placem_collection'!$V50)),"YES","NO")</f>
        <v>YES</v>
      </c>
    </row>
    <row r="124" spans="2:30">
      <c r="B124" t="str">
        <f>'Final data_for_R_analysis_Wetse'!A50</f>
        <v>Wet</v>
      </c>
      <c r="C124" s="260">
        <f>'Final data_for_R_analysis_Wetse'!B50</f>
        <v>49</v>
      </c>
      <c r="D124" t="s">
        <v>3808</v>
      </c>
      <c r="E124" t="s">
        <v>22</v>
      </c>
      <c r="F124" s="381">
        <v>1</v>
      </c>
      <c r="G124" s="16">
        <f>'WetLitterbags placem_collection'!E51</f>
        <v>42766</v>
      </c>
      <c r="H124" t="str">
        <f>'Final data_for_R_analysis_Wetse'!K50</f>
        <v>G346</v>
      </c>
      <c r="I124" t="str">
        <f>'Final data_for_R_analysis_Wetse'!K270</f>
        <v>R28</v>
      </c>
      <c r="J124">
        <f>IFERROR(INDEX('Green_rooibos initial weight'!$C$5:$C$2000,MATCH(H124, 'Green_rooibos initial weight'!$A$5:$A$2000,0)),"")</f>
        <v>2.012</v>
      </c>
      <c r="K124">
        <f>IFERROR(INDEX('Green_rooibos initial weight'!$C$5:$C$2000,MATCH(I124, 'Green_rooibos initial weight'!$A$5:$A$2000,0)),"")</f>
        <v>2.1030000000000002</v>
      </c>
      <c r="L124" s="194">
        <f t="shared" si="0"/>
        <v>1.7622</v>
      </c>
      <c r="M124" s="194">
        <f>IF(K124&gt;0,(K124*$F$32-($F$29+$F$30)),"")</f>
        <v>1.8532000000000002</v>
      </c>
      <c r="N124" s="16">
        <f>IF('WetLitterbags placem_collection'!G51="","",'WetLitterbags placem_collection'!G51)</f>
        <v>42820</v>
      </c>
      <c r="O124" s="194">
        <f>IFERROR(INDEX('Both teabags AfterWet'!$C$3:$C$2000,MATCH(H124,'Both teabags AfterWet'!$A$3:$A$2000,0)),"")</f>
        <v>1.0001</v>
      </c>
      <c r="P124" s="194">
        <f>IFERROR(INDEX('Both teabags AfterWet'!$C$3:$C$2000,MATCH(I124,'Both teabags AfterWet'!$A$3:$A$2000,0)),"")</f>
        <v>1.5992999999999999</v>
      </c>
      <c r="Q124" s="194">
        <f t="shared" si="1"/>
        <v>0.84949999999999992</v>
      </c>
      <c r="R124" s="194">
        <f t="shared" si="1"/>
        <v>1.4486999999999999</v>
      </c>
      <c r="S124" s="194">
        <f t="shared" si="2"/>
        <v>0.51793213029168084</v>
      </c>
      <c r="T124" s="194">
        <f t="shared" si="3"/>
        <v>0.33954695477554375</v>
      </c>
      <c r="U124" s="194">
        <f t="shared" si="4"/>
        <v>0.78172890135980988</v>
      </c>
      <c r="V124">
        <f>IFERROR(IF((N124-G124)&gt;0,(IFERROR(N124-G124,"")),""),"")</f>
        <v>54</v>
      </c>
      <c r="W124" s="194">
        <f t="shared" si="5"/>
        <v>0.38487870511676858</v>
      </c>
      <c r="X124" s="194">
        <f t="shared" si="6"/>
        <v>1.9065638695299446E-2</v>
      </c>
      <c r="Y124" s="252" t="str">
        <f>IF(ISNUMBER(SEARCH("C",'WetLitterbags placem_collection'!$X51)),"YES","NO")</f>
        <v>NO</v>
      </c>
      <c r="Z124" s="252" t="str">
        <f>IF(ISNUMBER(SEARCH("H", 'WetLitterbags placem_collection'!$X51)),"YES","NO")</f>
        <v>NO</v>
      </c>
      <c r="AA124" s="252" t="str">
        <f>IF(ISNUMBER(SEARCH("R", 'WetLitterbags placem_collection'!$X51)),"YES","NO")</f>
        <v>YES</v>
      </c>
      <c r="AB124" s="252" t="str">
        <f>IF(ISNUMBER(SEARCH("C", 'WetLitterbags placem_collection'!$V51)),"YES","NO")</f>
        <v>NO</v>
      </c>
      <c r="AC124" s="252" t="str">
        <f>IF(ISNUMBER(SEARCH("H", 'WetLitterbags placem_collection'!$V51)),"YES","NO")</f>
        <v>NO</v>
      </c>
      <c r="AD124" s="252" t="str">
        <f>IF(ISNUMBER(SEARCH("R", 'WetLitterbags placem_collection'!$V51)),"YES","NO")</f>
        <v>YES</v>
      </c>
    </row>
    <row r="125" spans="2:30">
      <c r="B125" t="str">
        <f>'Final data_for_R_analysis_Wetse'!A51</f>
        <v>Wet</v>
      </c>
      <c r="C125" s="260">
        <f>'Final data_for_R_analysis_Wetse'!B51</f>
        <v>50</v>
      </c>
      <c r="D125" t="s">
        <v>3808</v>
      </c>
      <c r="E125" t="s">
        <v>22</v>
      </c>
      <c r="F125" s="381">
        <v>2</v>
      </c>
      <c r="G125" s="16">
        <f>'WetLitterbags placem_collection'!E52</f>
        <v>42766</v>
      </c>
      <c r="H125" t="str">
        <f>'Final data_for_R_analysis_Wetse'!K51</f>
        <v>G418</v>
      </c>
      <c r="I125" t="str">
        <f>'Final data_for_R_analysis_Wetse'!K271</f>
        <v>R5</v>
      </c>
      <c r="J125">
        <f>IFERROR(INDEX('Green_rooibos initial weight'!$C$5:$C$2000,MATCH(H125, 'Green_rooibos initial weight'!$A$5:$A$2000,0)),"")</f>
        <v>2.016</v>
      </c>
      <c r="K125">
        <f>IFERROR(INDEX('Green_rooibos initial weight'!$C$5:$C$2000,MATCH(I125, 'Green_rooibos initial weight'!$A$5:$A$2000,0)),"")</f>
        <v>2.1800000000000002</v>
      </c>
      <c r="L125" s="194">
        <f t="shared" si="0"/>
        <v>1.7662</v>
      </c>
      <c r="M125" s="194">
        <f>IF(K125&gt;0,(K125*$F$32-($F$29+$F$30)),"")</f>
        <v>1.9302000000000001</v>
      </c>
      <c r="N125" s="16">
        <f>IF('WetLitterbags placem_collection'!G52="","",'WetLitterbags placem_collection'!G52)</f>
        <v>42820</v>
      </c>
      <c r="O125" s="194" t="str">
        <f>IFERROR(INDEX('Both teabags AfterWet'!$C$3:$C$2000,MATCH(H125,'Both teabags AfterWet'!$A$3:$A$2000,0)),"")</f>
        <v/>
      </c>
      <c r="P125" s="194">
        <f>IFERROR(INDEX('Both teabags AfterWet'!$C$3:$C$2000,MATCH(I125,'Both teabags AfterWet'!$A$3:$A$2000,0)),"")</f>
        <v>0.32769999999999999</v>
      </c>
      <c r="Q125" s="194" t="str">
        <f t="shared" si="1"/>
        <v/>
      </c>
      <c r="R125" s="194">
        <f t="shared" si="1"/>
        <v>0.17709999999999998</v>
      </c>
      <c r="S125" s="194" t="str">
        <f t="shared" si="2"/>
        <v/>
      </c>
      <c r="T125" s="194" t="str">
        <f t="shared" si="3"/>
        <v/>
      </c>
      <c r="U125" s="194">
        <f t="shared" si="4"/>
        <v>9.1752150036265662E-2</v>
      </c>
      <c r="V125">
        <f>IFERROR(IF((N125-G125)&gt;0,(IFERROR(N125-G125,"")),""),"")</f>
        <v>54</v>
      </c>
      <c r="W125" s="194" t="str">
        <f t="shared" si="5"/>
        <v/>
      </c>
      <c r="X125" s="194" t="str">
        <f t="shared" si="6"/>
        <v/>
      </c>
      <c r="Y125" s="252" t="str">
        <f>IF(ISNUMBER(SEARCH("C",'WetLitterbags placem_collection'!$X52)),"YES","NO")</f>
        <v>NO</v>
      </c>
      <c r="Z125" s="252" t="str">
        <f>IF(ISNUMBER(SEARCH("H", 'WetLitterbags placem_collection'!$X52)),"YES","NO")</f>
        <v>NO</v>
      </c>
      <c r="AA125" s="252" t="str">
        <f>IF(ISNUMBER(SEARCH("R", 'WetLitterbags placem_collection'!$X52)),"YES","NO")</f>
        <v>NO</v>
      </c>
      <c r="AB125" s="252" t="str">
        <f>IF(ISNUMBER(SEARCH("C", 'WetLitterbags placem_collection'!$V52)),"YES","NO")</f>
        <v>NO</v>
      </c>
      <c r="AC125" s="252" t="str">
        <f>IF(ISNUMBER(SEARCH("H", 'WetLitterbags placem_collection'!$V52)),"YES","NO")</f>
        <v>NO</v>
      </c>
      <c r="AD125" s="252" t="str">
        <f>IF(ISNUMBER(SEARCH("R", 'WetLitterbags placem_collection'!$V52)),"YES","NO")</f>
        <v>NO</v>
      </c>
    </row>
    <row r="126" spans="2:30">
      <c r="B126" t="str">
        <f>'Final data_for_R_analysis_Wetse'!A52</f>
        <v>Wet</v>
      </c>
      <c r="C126" s="260">
        <f>'Final data_for_R_analysis_Wetse'!B52</f>
        <v>51</v>
      </c>
      <c r="D126" t="s">
        <v>3808</v>
      </c>
      <c r="E126" t="s">
        <v>22</v>
      </c>
      <c r="F126" s="381">
        <v>3</v>
      </c>
      <c r="G126" s="16">
        <f>'WetLitterbags placem_collection'!E53</f>
        <v>42766</v>
      </c>
      <c r="H126" t="str">
        <f>'Final data_for_R_analysis_Wetse'!K52</f>
        <v>G548</v>
      </c>
      <c r="I126" t="str">
        <f>'Final data_for_R_analysis_Wetse'!K272</f>
        <v>R85</v>
      </c>
      <c r="J126">
        <f>IFERROR(INDEX('Green_rooibos initial weight'!$C$5:$C$2000,MATCH(H126, 'Green_rooibos initial weight'!$A$5:$A$2000,0)),"")</f>
        <v>2.169</v>
      </c>
      <c r="K126">
        <f>IFERROR(INDEX('Green_rooibos initial weight'!$C$5:$C$2000,MATCH(I126, 'Green_rooibos initial weight'!$A$5:$A$2000,0)),"")</f>
        <v>2.1930000000000001</v>
      </c>
      <c r="L126" s="194">
        <f t="shared" si="0"/>
        <v>1.9192</v>
      </c>
      <c r="M126" s="194">
        <f>IF(K126&gt;0,(K126*$F$32-($F$29+$F$30)),"")</f>
        <v>1.9432</v>
      </c>
      <c r="N126" s="16">
        <f>IF('WetLitterbags placem_collection'!G53="","",'WetLitterbags placem_collection'!G53)</f>
        <v>42820</v>
      </c>
      <c r="O126" s="194">
        <f>IFERROR(INDEX('Both teabags AfterWet'!$C$3:$C$2000,MATCH(H126,'Both teabags AfterWet'!$A$3:$A$2000,0)),"")</f>
        <v>0.86399999999999999</v>
      </c>
      <c r="P126" s="194">
        <f>IFERROR(INDEX('Both teabags AfterWet'!$C$3:$C$2000,MATCH(I126,'Both teabags AfterWet'!$A$3:$A$2000,0)),"")</f>
        <v>1.599</v>
      </c>
      <c r="Q126" s="194">
        <f t="shared" si="1"/>
        <v>0.71340000000000003</v>
      </c>
      <c r="R126" s="194">
        <f t="shared" si="1"/>
        <v>1.4483999999999999</v>
      </c>
      <c r="S126" s="194">
        <f t="shared" si="2"/>
        <v>0.62828261775739891</v>
      </c>
      <c r="T126" s="194">
        <f t="shared" si="3"/>
        <v>0.41189074228276035</v>
      </c>
      <c r="U126" s="194">
        <f t="shared" si="4"/>
        <v>0.74536846438863724</v>
      </c>
      <c r="V126">
        <f>IFERROR(IF((N126-G126)&gt;0,(IFERROR(N126-G126,"")),""),"")</f>
        <v>54</v>
      </c>
      <c r="W126" s="194">
        <f t="shared" si="5"/>
        <v>0.25382111905297045</v>
      </c>
      <c r="X126" s="194">
        <f t="shared" si="6"/>
        <v>1.7830790438708017E-2</v>
      </c>
      <c r="Y126" s="252" t="str">
        <f>IF(ISNUMBER(SEARCH("C",'WetLitterbags placem_collection'!$X53)),"YES","NO")</f>
        <v>NO</v>
      </c>
      <c r="Z126" s="252" t="str">
        <f>IF(ISNUMBER(SEARCH("H", 'WetLitterbags placem_collection'!$X53)),"YES","NO")</f>
        <v>NO</v>
      </c>
      <c r="AA126" s="252" t="str">
        <f>IF(ISNUMBER(SEARCH("R", 'WetLitterbags placem_collection'!$X53)),"YES","NO")</f>
        <v>YES</v>
      </c>
      <c r="AB126" s="252" t="str">
        <f>IF(ISNUMBER(SEARCH("C", 'WetLitterbags placem_collection'!$V53)),"YES","NO")</f>
        <v>NO</v>
      </c>
      <c r="AC126" s="252" t="str">
        <f>IF(ISNUMBER(SEARCH("H", 'WetLitterbags placem_collection'!$V53)),"YES","NO")</f>
        <v>NO</v>
      </c>
      <c r="AD126" s="252" t="str">
        <f>IF(ISNUMBER(SEARCH("R", 'WetLitterbags placem_collection'!$V53)),"YES","NO")</f>
        <v>YES</v>
      </c>
    </row>
    <row r="127" spans="2:30">
      <c r="B127" t="str">
        <f>'Final data_for_R_analysis_Wetse'!A53</f>
        <v>Wet</v>
      </c>
      <c r="C127" s="260">
        <f>'Final data_for_R_analysis_Wetse'!B53</f>
        <v>52</v>
      </c>
      <c r="D127" t="s">
        <v>3808</v>
      </c>
      <c r="E127" t="s">
        <v>22</v>
      </c>
      <c r="F127" s="382">
        <v>4</v>
      </c>
      <c r="G127" s="16">
        <f>'WetLitterbags placem_collection'!E54</f>
        <v>42766</v>
      </c>
      <c r="H127" t="str">
        <f>'Final data_for_R_analysis_Wetse'!K53</f>
        <v>G638</v>
      </c>
      <c r="I127" t="str">
        <f>'Final data_for_R_analysis_Wetse'!K273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0"/>
        <v>1.7911999999999999</v>
      </c>
      <c r="M127" s="194">
        <f>IF(K127&gt;0,(K127*$F$32-($F$29+$F$30)),"")</f>
        <v>1.8891999999999998</v>
      </c>
      <c r="N127" s="16">
        <f>IF('WetLitterbags placem_collection'!G54="","",'WetLitterbags placem_collection'!G54)</f>
        <v>42820</v>
      </c>
      <c r="O127" s="194">
        <f>IFERROR(INDEX('Both teabags AfterWet'!$C$3:$C$2000,MATCH(H127,'Both teabags AfterWet'!$A$3:$A$2000,0)),"")</f>
        <v>1.075</v>
      </c>
      <c r="P127" s="194">
        <f>IFERROR(INDEX('Both teabags AfterWet'!$C$3:$C$2000,MATCH(I127,'Both teabags AfterWet'!$A$3:$A$2000,0)),"")</f>
        <v>1.6279999999999999</v>
      </c>
      <c r="Q127" s="194">
        <f t="shared" si="1"/>
        <v>0.92439999999999989</v>
      </c>
      <c r="R127" s="194">
        <f t="shared" si="1"/>
        <v>1.4773999999999998</v>
      </c>
      <c r="S127" s="194">
        <f t="shared" si="2"/>
        <v>0.4839213934792318</v>
      </c>
      <c r="T127" s="194">
        <f t="shared" si="3"/>
        <v>0.31725012969184796</v>
      </c>
      <c r="U127" s="194">
        <f t="shared" si="4"/>
        <v>0.78202413720093167</v>
      </c>
      <c r="V127">
        <f>IFERROR(IF((N127-G127)&gt;0,(IFERROR(N127-G127,"")),""),"")</f>
        <v>54</v>
      </c>
      <c r="W127" s="194">
        <f t="shared" si="5"/>
        <v>0.42527150418143489</v>
      </c>
      <c r="X127" s="194">
        <f t="shared" si="6"/>
        <v>2.1514891166947162E-2</v>
      </c>
      <c r="Y127" s="252" t="str">
        <f>IF(ISNUMBER(SEARCH("C",'WetLitterbags placem_collection'!$X54)),"YES","NO")</f>
        <v>NO</v>
      </c>
      <c r="Z127" s="252" t="str">
        <f>IF(ISNUMBER(SEARCH("H", 'WetLitterbags placem_collection'!$X54)),"YES","NO")</f>
        <v>NO</v>
      </c>
      <c r="AA127" s="252" t="str">
        <f>IF(ISNUMBER(SEARCH("R", 'WetLitterbags placem_collection'!$X54)),"YES","NO")</f>
        <v>YES</v>
      </c>
      <c r="AB127" s="252" t="str">
        <f>IF(ISNUMBER(SEARCH("C", 'WetLitterbags placem_collection'!$V54)),"YES","NO")</f>
        <v>NO</v>
      </c>
      <c r="AC127" s="252" t="str">
        <f>IF(ISNUMBER(SEARCH("H", 'WetLitterbags placem_collection'!$V54)),"YES","NO")</f>
        <v>YES</v>
      </c>
      <c r="AD127" s="252" t="str">
        <f>IF(ISNUMBER(SEARCH("R", 'WetLitterbags placem_collection'!$V54)),"YES","NO")</f>
        <v>YES</v>
      </c>
    </row>
    <row r="128" spans="2:30">
      <c r="B128" t="str">
        <f>'Final data_for_R_analysis_Wetse'!A54</f>
        <v>Wet</v>
      </c>
      <c r="C128" s="260">
        <f>'Final data_for_R_analysis_Wetse'!B54</f>
        <v>53</v>
      </c>
      <c r="D128" t="s">
        <v>3808</v>
      </c>
      <c r="E128" t="s">
        <v>22</v>
      </c>
      <c r="F128" s="382">
        <v>5</v>
      </c>
      <c r="G128" s="16">
        <f>'WetLitterbags placem_collection'!E55</f>
        <v>42766</v>
      </c>
      <c r="H128" t="str">
        <f>'Final data_for_R_analysis_Wetse'!K54</f>
        <v>G426</v>
      </c>
      <c r="I128" t="str">
        <f>'Final data_for_R_analysis_Wetse'!K274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0"/>
        <v>1.7732000000000001</v>
      </c>
      <c r="M128" s="194">
        <f>IF(K128&gt;0,(K128*$F$32-($F$29+$F$30)),"")</f>
        <v>1.8891999999999998</v>
      </c>
      <c r="N128" s="16">
        <f>IF('WetLitterbags placem_collection'!G55="","",'WetLitterbags placem_collection'!G55)</f>
        <v>42820</v>
      </c>
      <c r="O128" s="194" t="str">
        <f>IFERROR(INDEX('Both teabags AfterWet'!$C$3:$C$2000,MATCH(H128,'Both teabags AfterWet'!$A$3:$A$2000,0)),"")</f>
        <v/>
      </c>
      <c r="P128" s="194" t="str">
        <f>IFERROR(INDEX('Both teabags AfterWet'!$C$3:$C$2000,MATCH(I128,'Both teabags AfterWet'!$A$3:$A$2000,0)),"")</f>
        <v/>
      </c>
      <c r="Q128" s="194" t="str">
        <f t="shared" si="1"/>
        <v/>
      </c>
      <c r="R128" s="194" t="str">
        <f t="shared" si="1"/>
        <v/>
      </c>
      <c r="S128" s="194" t="str">
        <f t="shared" si="2"/>
        <v/>
      </c>
      <c r="T128" s="194" t="str">
        <f t="shared" si="3"/>
        <v/>
      </c>
      <c r="U128" s="194" t="str">
        <f t="shared" si="4"/>
        <v/>
      </c>
      <c r="V128">
        <f>IFERROR(IF((N128-G128)&gt;0,(IFERROR(N128-G128,"")),""),"")</f>
        <v>54</v>
      </c>
      <c r="W128" s="194" t="str">
        <f t="shared" si="5"/>
        <v/>
      </c>
      <c r="X128" s="194" t="str">
        <f t="shared" si="6"/>
        <v/>
      </c>
      <c r="Y128" s="252" t="str">
        <f>IF(ISNUMBER(SEARCH("C",'WetLitterbags placem_collection'!$X55)),"YES","NO")</f>
        <v>NO</v>
      </c>
      <c r="Z128" s="252" t="str">
        <f>IF(ISNUMBER(SEARCH("H", 'WetLitterbags placem_collection'!$X55)),"YES","NO")</f>
        <v>NO</v>
      </c>
      <c r="AA128" s="252" t="str">
        <f>IF(ISNUMBER(SEARCH("R", 'WetLitterbags placem_collection'!$X55)),"YES","NO")</f>
        <v>NO</v>
      </c>
      <c r="AB128" s="252" t="str">
        <f>IF(ISNUMBER(SEARCH("C", 'WetLitterbags placem_collection'!$V55)),"YES","NO")</f>
        <v>NO</v>
      </c>
      <c r="AC128" s="252" t="str">
        <f>IF(ISNUMBER(SEARCH("H", 'WetLitterbags placem_collection'!$V55)),"YES","NO")</f>
        <v>NO</v>
      </c>
      <c r="AD128" s="252" t="str">
        <f>IF(ISNUMBER(SEARCH("R", 'WetLitterbags placem_collection'!$V55)),"YES","NO")</f>
        <v>NO</v>
      </c>
    </row>
    <row r="129" spans="2:30">
      <c r="B129" t="str">
        <f>'Final data_for_R_analysis_Wetse'!A55</f>
        <v>Wet</v>
      </c>
      <c r="C129" s="260">
        <f>'Final data_for_R_analysis_Wetse'!B55</f>
        <v>54</v>
      </c>
      <c r="D129" t="s">
        <v>3808</v>
      </c>
      <c r="E129" t="s">
        <v>22</v>
      </c>
      <c r="F129" s="382">
        <v>6</v>
      </c>
      <c r="G129" s="16">
        <f>'WetLitterbags placem_collection'!E56</f>
        <v>42766</v>
      </c>
      <c r="H129" t="str">
        <f>'Final data_for_R_analysis_Wetse'!K55</f>
        <v>G589</v>
      </c>
      <c r="I129" t="str">
        <f>'Final data_for_R_analysis_Wetse'!K275</f>
        <v>R400</v>
      </c>
      <c r="J129">
        <f>IFERROR(INDEX('Green_rooibos initial weight'!$C$5:$C$2000,MATCH(H129, 'Green_rooibos initial weight'!$A$5:$A$2000,0)),"")</f>
        <v>2.0419999999999998</v>
      </c>
      <c r="K129">
        <f>IFERROR(INDEX('Green_rooibos initial weight'!$C$5:$C$2000,MATCH(I129, 'Green_rooibos initial weight'!$A$5:$A$2000,0)),"")</f>
        <v>2.181</v>
      </c>
      <c r="L129" s="194">
        <f t="shared" si="0"/>
        <v>1.7921999999999998</v>
      </c>
      <c r="M129" s="194">
        <f>IF(K129&gt;0,(K129*$F$32-($F$29+$F$30)),"")</f>
        <v>1.9312</v>
      </c>
      <c r="N129" s="16">
        <f>IF('WetLitterbags placem_collection'!G56="","",'WetLitterbags placem_collection'!G56)</f>
        <v>42820</v>
      </c>
      <c r="O129" s="194" t="str">
        <f>IFERROR(INDEX('Both teabags AfterWet'!$C$3:$C$2000,MATCH(H129,'Both teabags AfterWet'!$A$3:$A$2000,0)),"")</f>
        <v/>
      </c>
      <c r="P129" s="194" t="str">
        <f>IFERROR(INDEX('Both teabags AfterWet'!$C$3:$C$2000,MATCH(I129,'Both teabags AfterWet'!$A$3:$A$2000,0)),"")</f>
        <v/>
      </c>
      <c r="Q129" s="194" t="str">
        <f t="shared" si="1"/>
        <v/>
      </c>
      <c r="R129" s="194" t="str">
        <f t="shared" si="1"/>
        <v/>
      </c>
      <c r="S129" s="194" t="str">
        <f t="shared" si="2"/>
        <v/>
      </c>
      <c r="T129" s="194" t="str">
        <f t="shared" si="3"/>
        <v/>
      </c>
      <c r="U129" s="194" t="str">
        <f t="shared" si="4"/>
        <v/>
      </c>
      <c r="V129">
        <f>IFERROR(IF((N129-G129)&gt;0,(IFERROR(N129-G129,"")),""),"")</f>
        <v>54</v>
      </c>
      <c r="W129" s="194" t="str">
        <f t="shared" si="5"/>
        <v/>
      </c>
      <c r="X129" s="194" t="str">
        <f t="shared" si="6"/>
        <v/>
      </c>
      <c r="Y129" s="252" t="str">
        <f>IF(ISNUMBER(SEARCH("C",'WetLitterbags placem_collection'!$X56)),"YES","NO")</f>
        <v>NO</v>
      </c>
      <c r="Z129" s="252" t="str">
        <f>IF(ISNUMBER(SEARCH("H", 'WetLitterbags placem_collection'!$X56)),"YES","NO")</f>
        <v>NO</v>
      </c>
      <c r="AA129" s="252" t="str">
        <f>IF(ISNUMBER(SEARCH("R", 'WetLitterbags placem_collection'!$X56)),"YES","NO")</f>
        <v>NO</v>
      </c>
      <c r="AB129" s="252" t="str">
        <f>IF(ISNUMBER(SEARCH("C", 'WetLitterbags placem_collection'!$V56)),"YES","NO")</f>
        <v>NO</v>
      </c>
      <c r="AC129" s="252" t="str">
        <f>IF(ISNUMBER(SEARCH("H", 'WetLitterbags placem_collection'!$V56)),"YES","NO")</f>
        <v>NO</v>
      </c>
      <c r="AD129" s="252" t="str">
        <f>IF(ISNUMBER(SEARCH("R", 'WetLitterbags placem_collection'!$V56)),"YES","NO")</f>
        <v>NO</v>
      </c>
    </row>
    <row r="130" spans="2:30">
      <c r="B130" t="str">
        <f>'Final data_for_R_analysis_Wetse'!A56</f>
        <v>Wet</v>
      </c>
      <c r="C130" s="260">
        <f>'Final data_for_R_analysis_Wetse'!B56</f>
        <v>55</v>
      </c>
      <c r="D130" t="s">
        <v>3808</v>
      </c>
      <c r="E130" t="s">
        <v>22</v>
      </c>
      <c r="F130" s="382">
        <v>7</v>
      </c>
      <c r="G130" s="16">
        <f>'WetLitterbags placem_collection'!E57</f>
        <v>42766</v>
      </c>
      <c r="H130" t="str">
        <f>'Final data_for_R_analysis_Wetse'!K56</f>
        <v>G622</v>
      </c>
      <c r="I130" t="str">
        <f>'Final data_for_R_analysis_Wetse'!K276</f>
        <v>R19</v>
      </c>
      <c r="J130">
        <f>IFERROR(INDEX('Green_rooibos initial weight'!$C$5:$C$2000,MATCH(H130, 'Green_rooibos initial weight'!$A$5:$A$2000,0)),"")</f>
        <v>1.978</v>
      </c>
      <c r="K130">
        <f>IFERROR(INDEX('Green_rooibos initial weight'!$C$5:$C$2000,MATCH(I130, 'Green_rooibos initial weight'!$A$5:$A$2000,0)),"")</f>
        <v>2.2589999999999999</v>
      </c>
      <c r="L130" s="194">
        <f t="shared" si="0"/>
        <v>1.7282</v>
      </c>
      <c r="M130" s="194">
        <f>IF(K130&gt;0,(K130*$F$32-($F$29+$F$30)),"")</f>
        <v>2.0091999999999999</v>
      </c>
      <c r="N130" s="16">
        <f>IF('WetLitterbags placem_collection'!G57="","",'WetLitterbags placem_collection'!G57)</f>
        <v>42820</v>
      </c>
      <c r="O130" s="194" t="str">
        <f>IFERROR(INDEX('Both teabags AfterWet'!$C$3:$C$2000,MATCH(H130,'Both teabags AfterWet'!$A$3:$A$2000,0)),"")</f>
        <v/>
      </c>
      <c r="P130" s="194">
        <f>IFERROR(INDEX('Both teabags AfterWet'!$C$3:$C$2000,MATCH(I130,'Both teabags AfterWet'!$A$3:$A$2000,0)),"")</f>
        <v>0.22600000000000001</v>
      </c>
      <c r="Q130" s="194" t="str">
        <f t="shared" si="1"/>
        <v/>
      </c>
      <c r="R130" s="194">
        <f t="shared" si="1"/>
        <v>7.5399999999999995E-2</v>
      </c>
      <c r="S130" s="194" t="str">
        <f t="shared" si="2"/>
        <v/>
      </c>
      <c r="T130" s="194" t="str">
        <f t="shared" si="3"/>
        <v/>
      </c>
      <c r="U130" s="194">
        <f t="shared" si="4"/>
        <v>3.7527374079235516E-2</v>
      </c>
      <c r="V130">
        <f>IFERROR(IF((N130-G130)&gt;0,(IFERROR(N130-G130,"")),""),"")</f>
        <v>54</v>
      </c>
      <c r="W130" s="194" t="str">
        <f t="shared" si="5"/>
        <v/>
      </c>
      <c r="X130" s="194" t="str">
        <f t="shared" si="6"/>
        <v/>
      </c>
      <c r="Y130" s="252" t="str">
        <f>IF(ISNUMBER(SEARCH("C",'WetLitterbags placem_collection'!$X57)),"YES","NO")</f>
        <v>NO</v>
      </c>
      <c r="Z130" s="252" t="str">
        <f>IF(ISNUMBER(SEARCH("H", 'WetLitterbags placem_collection'!$X57)),"YES","NO")</f>
        <v>NO</v>
      </c>
      <c r="AA130" s="252" t="str">
        <f>IF(ISNUMBER(SEARCH("R", 'WetLitterbags placem_collection'!$X57)),"YES","NO")</f>
        <v>YES</v>
      </c>
      <c r="AB130" s="252" t="str">
        <f>IF(ISNUMBER(SEARCH("C", 'WetLitterbags placem_collection'!$V57)),"YES","NO")</f>
        <v>NO</v>
      </c>
      <c r="AC130" s="252" t="str">
        <f>IF(ISNUMBER(SEARCH("H", 'WetLitterbags placem_collection'!$V57)),"YES","NO")</f>
        <v>NO</v>
      </c>
      <c r="AD130" s="252" t="str">
        <f>IF(ISNUMBER(SEARCH("R", 'WetLitterbags placem_collection'!$V57)),"YES","NO")</f>
        <v>NO</v>
      </c>
    </row>
    <row r="131" spans="2:30">
      <c r="B131" t="str">
        <f>'Final data_for_R_analysis_Wetse'!A57</f>
        <v>Wet</v>
      </c>
      <c r="C131" s="260">
        <f>'Final data_for_R_analysis_Wetse'!B57</f>
        <v>56</v>
      </c>
      <c r="D131" t="s">
        <v>3808</v>
      </c>
      <c r="E131" t="s">
        <v>22</v>
      </c>
      <c r="F131" s="382">
        <v>8</v>
      </c>
      <c r="G131" s="16">
        <f>'WetLitterbags placem_collection'!E58</f>
        <v>42766</v>
      </c>
      <c r="H131" t="str">
        <f>'Final data_for_R_analysis_Wetse'!K57</f>
        <v>G538</v>
      </c>
      <c r="I131" t="str">
        <f>'Final data_for_R_analysis_Wetse'!K277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0"/>
        <v>1.9262000000000001</v>
      </c>
      <c r="M131" s="194">
        <f>IF(K131&gt;0,(K131*$F$32-($F$29+$F$30)),"")</f>
        <v>2.0722</v>
      </c>
      <c r="N131" s="16">
        <f>IF('WetLitterbags placem_collection'!G58="","",'WetLitterbags placem_collection'!G58)</f>
        <v>42820</v>
      </c>
      <c r="O131" s="194">
        <f>IFERROR(INDEX('Both teabags AfterWet'!$C$3:$C$2000,MATCH(H131,'Both teabags AfterWet'!$A$3:$A$2000,0)),"")</f>
        <v>0.81</v>
      </c>
      <c r="P131" s="194">
        <f>IFERROR(INDEX('Both teabags AfterWet'!$C$3:$C$2000,MATCH(I131,'Both teabags AfterWet'!$A$3:$A$2000,0)),"")</f>
        <v>2.2909999999999999</v>
      </c>
      <c r="Q131" s="194">
        <f t="shared" si="1"/>
        <v>0.65939999999999999</v>
      </c>
      <c r="R131" s="194">
        <f t="shared" si="1"/>
        <v>2.1404000000000001</v>
      </c>
      <c r="S131" s="194">
        <f t="shared" si="2"/>
        <v>0.65766794725366007</v>
      </c>
      <c r="T131" s="194">
        <f t="shared" si="3"/>
        <v>0.43115523382900289</v>
      </c>
      <c r="U131" s="194">
        <f t="shared" si="4"/>
        <v>1.0329118810925586</v>
      </c>
      <c r="V131">
        <f>IFERROR(IF((N131-G131)&gt;0,(IFERROR(N131-G131,"")),""),"")</f>
        <v>54</v>
      </c>
      <c r="W131" s="194">
        <f t="shared" si="5"/>
        <v>0.21892167784600935</v>
      </c>
      <c r="X131" s="194">
        <f t="shared" si="6"/>
        <v>-1.3622405451697067E-3</v>
      </c>
      <c r="Y131" s="252" t="str">
        <f>IF(ISNUMBER(SEARCH("C",'WetLitterbags placem_collection'!$X58)),"YES","NO")</f>
        <v>NO</v>
      </c>
      <c r="Z131" s="252" t="str">
        <f>IF(ISNUMBER(SEARCH("H", 'WetLitterbags placem_collection'!$X58)),"YES","NO")</f>
        <v>NO</v>
      </c>
      <c r="AA131" s="252" t="str">
        <f>IF(ISNUMBER(SEARCH("R", 'WetLitterbags placem_collection'!$X58)),"YES","NO")</f>
        <v>YES</v>
      </c>
      <c r="AB131" s="252" t="str">
        <f>IF(ISNUMBER(SEARCH("C", 'WetLitterbags placem_collection'!$V58)),"YES","NO")</f>
        <v>NO</v>
      </c>
      <c r="AC131" s="252" t="str">
        <f>IF(ISNUMBER(SEARCH("H", 'WetLitterbags placem_collection'!$V58)),"YES","NO")</f>
        <v>YES</v>
      </c>
      <c r="AD131" s="252" t="str">
        <f>IF(ISNUMBER(SEARCH("R", 'WetLitterbags placem_collection'!$V58)),"YES","NO")</f>
        <v>YES</v>
      </c>
    </row>
    <row r="132" spans="2:30">
      <c r="B132" t="str">
        <f>'Final data_for_R_analysis_Wetse'!A58</f>
        <v>Wet</v>
      </c>
      <c r="C132" s="260">
        <f>'Final data_for_R_analysis_Wetse'!B58</f>
        <v>57</v>
      </c>
      <c r="D132" t="s">
        <v>3809</v>
      </c>
      <c r="E132" t="s">
        <v>22</v>
      </c>
      <c r="F132" s="381">
        <v>1</v>
      </c>
      <c r="G132" s="16">
        <f>'WetLitterbags placem_collection'!E59</f>
        <v>42766</v>
      </c>
      <c r="H132" t="str">
        <f>'Final data_for_R_analysis_Wetse'!K58</f>
        <v>G546</v>
      </c>
      <c r="I132" t="str">
        <f>'Final data_for_R_analysis_Wetse'!K278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0"/>
        <v>1.8931999999999998</v>
      </c>
      <c r="M132" s="194">
        <f>IF(K132&gt;0,(K132*$F$32-($F$29+$F$30)),"")</f>
        <v>1.9331999999999998</v>
      </c>
      <c r="N132" s="16">
        <f>IF('WetLitterbags placem_collection'!G59="","",'WetLitterbags placem_collection'!G59)</f>
        <v>42820</v>
      </c>
      <c r="O132" s="194">
        <f>IFERROR(INDEX('Both teabags AfterWet'!$C$3:$C$2000,MATCH(H132,'Both teabags AfterWet'!$A$3:$A$2000,0)),"")</f>
        <v>0.88660000000000005</v>
      </c>
      <c r="P132" s="194">
        <f>IFERROR(INDEX('Both teabags AfterWet'!$C$3:$C$2000,MATCH(I132,'Both teabags AfterWet'!$A$3:$A$2000,0)),"")</f>
        <v>1.266</v>
      </c>
      <c r="Q132" s="194">
        <f t="shared" si="1"/>
        <v>0.73599999999999999</v>
      </c>
      <c r="R132" s="194">
        <f t="shared" si="1"/>
        <v>1.1153999999999999</v>
      </c>
      <c r="S132" s="194">
        <f t="shared" si="2"/>
        <v>0.61124022818508339</v>
      </c>
      <c r="T132" s="194">
        <f t="shared" si="3"/>
        <v>0.40071805933273885</v>
      </c>
      <c r="U132" s="194">
        <f t="shared" si="4"/>
        <v>0.57697082557417756</v>
      </c>
      <c r="V132">
        <f>IFERROR(IF((N132-G132)&gt;0,(IFERROR(N132-G132,"")),""),"")</f>
        <v>54</v>
      </c>
      <c r="W132" s="194">
        <f t="shared" si="5"/>
        <v>0.2740614867160529</v>
      </c>
      <c r="X132" s="194" t="str">
        <f t="shared" si="6"/>
        <v/>
      </c>
      <c r="Y132" s="252" t="str">
        <f>IF(ISNUMBER(SEARCH("C",'WetLitterbags placem_collection'!$X59)),"YES","NO")</f>
        <v>NO</v>
      </c>
      <c r="Z132" s="252" t="str">
        <f>IF(ISNUMBER(SEARCH("H", 'WetLitterbags placem_collection'!$X59)),"YES","NO")</f>
        <v>NO</v>
      </c>
      <c r="AA132" s="252" t="str">
        <f>IF(ISNUMBER(SEARCH("R", 'WetLitterbags placem_collection'!$X59)),"YES","NO")</f>
        <v>YES</v>
      </c>
      <c r="AB132" s="252" t="str">
        <f>IF(ISNUMBER(SEARCH("C", 'WetLitterbags placem_collection'!$V59)),"YES","NO")</f>
        <v>NO</v>
      </c>
      <c r="AC132" s="252" t="str">
        <f>IF(ISNUMBER(SEARCH("H", 'WetLitterbags placem_collection'!$V59)),"YES","NO")</f>
        <v>NO</v>
      </c>
      <c r="AD132" s="252" t="str">
        <f>IF(ISNUMBER(SEARCH("R", 'WetLitterbags placem_collection'!$V59)),"YES","NO")</f>
        <v>YES</v>
      </c>
    </row>
    <row r="133" spans="2:30">
      <c r="B133" t="str">
        <f>'Final data_for_R_analysis_Wetse'!A59</f>
        <v>Wet</v>
      </c>
      <c r="C133" s="260">
        <f>'Final data_for_R_analysis_Wetse'!B59</f>
        <v>58</v>
      </c>
      <c r="D133" t="s">
        <v>3809</v>
      </c>
      <c r="E133" t="s">
        <v>22</v>
      </c>
      <c r="F133" s="381">
        <v>2</v>
      </c>
      <c r="G133" s="16">
        <f>'WetLitterbags placem_collection'!E60</f>
        <v>42766</v>
      </c>
      <c r="H133" t="str">
        <f>'Final data_for_R_analysis_Wetse'!K59</f>
        <v>G513</v>
      </c>
      <c r="I133" t="str">
        <f>'Final data_for_R_analysis_Wetse'!K279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0"/>
        <v>1.7681999999999998</v>
      </c>
      <c r="M133" s="194">
        <f>IF(K133&gt;0,(K133*$F$32-($F$29+$F$30)),"")</f>
        <v>1.9651999999999998</v>
      </c>
      <c r="N133" s="16">
        <f>IF('WetLitterbags placem_collection'!G60="","",'WetLitterbags placem_collection'!G60)</f>
        <v>42820</v>
      </c>
      <c r="O133" s="194">
        <f>IFERROR(INDEX('Both teabags AfterWet'!$C$3:$C$2000,MATCH(H133,'Both teabags AfterWet'!$A$3:$A$2000,0)),"")</f>
        <v>0.93279999999999996</v>
      </c>
      <c r="P133" s="194">
        <f>IFERROR(INDEX('Both teabags AfterWet'!$C$3:$C$2000,MATCH(I133,'Both teabags AfterWet'!$A$3:$A$2000,0)),"")</f>
        <v>0.74880000000000002</v>
      </c>
      <c r="Q133" s="194">
        <f t="shared" si="1"/>
        <v>0.78220000000000001</v>
      </c>
      <c r="R133" s="194">
        <f t="shared" si="1"/>
        <v>0.59820000000000007</v>
      </c>
      <c r="S133" s="194">
        <f t="shared" si="2"/>
        <v>0.55762922746295662</v>
      </c>
      <c r="T133" s="194">
        <f t="shared" si="3"/>
        <v>0.36557165505885048</v>
      </c>
      <c r="U133" s="194">
        <f t="shared" si="4"/>
        <v>0.30439649908406274</v>
      </c>
      <c r="V133">
        <f>IFERROR(IF((N133-G133)&gt;0,(IFERROR(N133-G133,"")),""),"")</f>
        <v>54</v>
      </c>
      <c r="W133" s="194">
        <f t="shared" si="5"/>
        <v>0.33773250895135787</v>
      </c>
      <c r="X133" s="194" t="str">
        <f t="shared" si="6"/>
        <v/>
      </c>
      <c r="Y133" s="252" t="str">
        <f>IF(ISNUMBER(SEARCH("C",'WetLitterbags placem_collection'!$X60)),"YES","NO")</f>
        <v>NO</v>
      </c>
      <c r="Z133" s="252" t="str">
        <f>IF(ISNUMBER(SEARCH("H", 'WetLitterbags placem_collection'!$X60)),"YES","NO")</f>
        <v>NO</v>
      </c>
      <c r="AA133" s="252" t="str">
        <f>IF(ISNUMBER(SEARCH("R", 'WetLitterbags placem_collection'!$X60)),"YES","NO")</f>
        <v>YES</v>
      </c>
      <c r="AB133" s="252" t="str">
        <f>IF(ISNUMBER(SEARCH("C", 'WetLitterbags placem_collection'!$V60)),"YES","NO")</f>
        <v>NO</v>
      </c>
      <c r="AC133" s="252" t="str">
        <f>IF(ISNUMBER(SEARCH("H", 'WetLitterbags placem_collection'!$V60)),"YES","NO")</f>
        <v>YES</v>
      </c>
      <c r="AD133" s="252" t="str">
        <f>IF(ISNUMBER(SEARCH("R", 'WetLitterbags placem_collection'!$V60)),"YES","NO")</f>
        <v>YES</v>
      </c>
    </row>
    <row r="134" spans="2:30">
      <c r="B134" t="str">
        <f>'Final data_for_R_analysis_Wetse'!A60</f>
        <v>Wet</v>
      </c>
      <c r="C134" s="260">
        <f>'Final data_for_R_analysis_Wetse'!B60</f>
        <v>59</v>
      </c>
      <c r="D134" t="s">
        <v>3809</v>
      </c>
      <c r="E134" t="s">
        <v>22</v>
      </c>
      <c r="F134" s="381">
        <v>3</v>
      </c>
      <c r="G134" s="16">
        <f>'WetLitterbags placem_collection'!E61</f>
        <v>42766</v>
      </c>
      <c r="H134" t="str">
        <f>'Final data_for_R_analysis_Wetse'!K60</f>
        <v>G489</v>
      </c>
      <c r="I134" t="str">
        <f>'Final data_for_R_analysis_Wetse'!K280</f>
        <v>R23</v>
      </c>
      <c r="J134">
        <f>IFERROR(INDEX('Green_rooibos initial weight'!$C$5:$C$2000,MATCH(H134, 'Green_rooibos initial weight'!$A$5:$A$2000,0)),"")</f>
        <v>1.9</v>
      </c>
      <c r="K134">
        <f>IFERROR(INDEX('Green_rooibos initial weight'!$C$5:$C$2000,MATCH(I134, 'Green_rooibos initial weight'!$A$5:$A$2000,0)),"")</f>
        <v>2.2770000000000001</v>
      </c>
      <c r="L134" s="194">
        <f t="shared" si="0"/>
        <v>1.6501999999999999</v>
      </c>
      <c r="M134" s="194">
        <f>IF(K134&gt;0,(K134*$F$32-($F$29+$F$30)),"")</f>
        <v>2.0272000000000001</v>
      </c>
      <c r="N134" s="16">
        <f>IF('WetLitterbags placem_collection'!G61="","",'WetLitterbags placem_collection'!G61)</f>
        <v>42820</v>
      </c>
      <c r="O134" s="194">
        <f>IFERROR(INDEX('Both teabags AfterWet'!$C$3:$C$2000,MATCH(H134,'Both teabags AfterWet'!$A$3:$A$2000,0)),"")</f>
        <v>0.88400000000000001</v>
      </c>
      <c r="P134" s="194">
        <f>IFERROR(INDEX('Both teabags AfterWet'!$C$3:$C$2000,MATCH(I134,'Both teabags AfterWet'!$A$3:$A$2000,0)),"")</f>
        <v>1.38</v>
      </c>
      <c r="Q134" s="194">
        <f t="shared" si="1"/>
        <v>0.73340000000000005</v>
      </c>
      <c r="R134" s="194">
        <f t="shared" si="1"/>
        <v>1.2293999999999998</v>
      </c>
      <c r="S134" s="194">
        <f t="shared" si="2"/>
        <v>0.55556902193673485</v>
      </c>
      <c r="T134" s="194">
        <f t="shared" si="3"/>
        <v>0.36422102150721819</v>
      </c>
      <c r="U134" s="194">
        <f t="shared" si="4"/>
        <v>0.60645224940805043</v>
      </c>
      <c r="V134">
        <f>IFERROR(IF((N134-G134)&gt;0,(IFERROR(N134-G134,"")),""),"")</f>
        <v>54</v>
      </c>
      <c r="W134" s="194">
        <f t="shared" si="5"/>
        <v>0.34017930886373526</v>
      </c>
      <c r="X134" s="194" t="str">
        <f t="shared" si="6"/>
        <v/>
      </c>
      <c r="Y134" s="252" t="str">
        <f>IF(ISNUMBER(SEARCH("C",'WetLitterbags placem_collection'!$X61)),"YES","NO")</f>
        <v>NO</v>
      </c>
      <c r="Z134" s="252" t="str">
        <f>IF(ISNUMBER(SEARCH("H", 'WetLitterbags placem_collection'!$X61)),"YES","NO")</f>
        <v>NO</v>
      </c>
      <c r="AA134" s="252" t="str">
        <f>IF(ISNUMBER(SEARCH("R", 'WetLitterbags placem_collection'!$X61)),"YES","NO")</f>
        <v>NO</v>
      </c>
      <c r="AB134" s="252" t="str">
        <f>IF(ISNUMBER(SEARCH("C", 'WetLitterbags placem_collection'!$V61)),"YES","NO")</f>
        <v>NO</v>
      </c>
      <c r="AC134" s="252" t="str">
        <f>IF(ISNUMBER(SEARCH("H", 'WetLitterbags placem_collection'!$V61)),"YES","NO")</f>
        <v>NO</v>
      </c>
      <c r="AD134" s="252" t="str">
        <f>IF(ISNUMBER(SEARCH("R", 'WetLitterbags placem_collection'!$V61)),"YES","NO")</f>
        <v>NO</v>
      </c>
    </row>
    <row r="135" spans="2:30">
      <c r="B135" t="str">
        <f>'Final data_for_R_analysis_Wetse'!A61</f>
        <v>Wet</v>
      </c>
      <c r="C135" s="260">
        <f>'Final data_for_R_analysis_Wetse'!B61</f>
        <v>60</v>
      </c>
      <c r="D135" t="s">
        <v>3809</v>
      </c>
      <c r="E135" t="s">
        <v>22</v>
      </c>
      <c r="F135" s="382">
        <v>4</v>
      </c>
      <c r="G135" s="16">
        <f>'WetLitterbags placem_collection'!E62</f>
        <v>42766</v>
      </c>
      <c r="H135" t="str">
        <f>'Final data_for_R_analysis_Wetse'!K61</f>
        <v>G633</v>
      </c>
      <c r="I135" t="str">
        <f>'Final data_for_R_analysis_Wetse'!K281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0"/>
        <v>1.8132000000000001</v>
      </c>
      <c r="M135" s="194">
        <f>IF(K135&gt;0,(K135*$F$32-($F$29+$F$30)),"")</f>
        <v>1.9702000000000002</v>
      </c>
      <c r="N135" s="16">
        <f>IF('WetLitterbags placem_collection'!G62="","",'WetLitterbags placem_collection'!G62)</f>
        <v>42820</v>
      </c>
      <c r="O135" s="194">
        <f>IFERROR(INDEX('Both teabags AfterWet'!$C$3:$C$2000,MATCH(H135,'Both teabags AfterWet'!$A$3:$A$2000,0)),"")</f>
        <v>0.874</v>
      </c>
      <c r="P135" s="194">
        <f>IFERROR(INDEX('Both teabags AfterWet'!$C$3:$C$2000,MATCH(I135,'Both teabags AfterWet'!$A$3:$A$2000,0)),"")</f>
        <v>1.665</v>
      </c>
      <c r="Q135" s="194">
        <f t="shared" si="1"/>
        <v>0.72340000000000004</v>
      </c>
      <c r="R135" s="194">
        <f t="shared" si="1"/>
        <v>1.5144</v>
      </c>
      <c r="S135" s="194">
        <f t="shared" si="2"/>
        <v>0.60103684094418708</v>
      </c>
      <c r="T135" s="194">
        <f t="shared" si="3"/>
        <v>0.39402890285177111</v>
      </c>
      <c r="U135" s="194">
        <f t="shared" si="4"/>
        <v>0.76865292863668655</v>
      </c>
      <c r="V135">
        <f>IFERROR(IF((N135-G135)&gt;0,(IFERROR(N135-G135,"")),""),"")</f>
        <v>54</v>
      </c>
      <c r="W135" s="194">
        <f t="shared" si="5"/>
        <v>0.28617952381925527</v>
      </c>
      <c r="X135" s="194">
        <f t="shared" si="6"/>
        <v>1.6381998609185364E-2</v>
      </c>
      <c r="Y135" s="252" t="str">
        <f>IF(ISNUMBER(SEARCH("C",'WetLitterbags placem_collection'!$X62)),"YES","NO")</f>
        <v>NO</v>
      </c>
      <c r="Z135" s="252" t="str">
        <f>IF(ISNUMBER(SEARCH("H", 'WetLitterbags placem_collection'!$X62)),"YES","NO")</f>
        <v>NO</v>
      </c>
      <c r="AA135" s="252" t="str">
        <f>IF(ISNUMBER(SEARCH("R", 'WetLitterbags placem_collection'!$X62)),"YES","NO")</f>
        <v>NO</v>
      </c>
      <c r="AB135" s="252" t="str">
        <f>IF(ISNUMBER(SEARCH("C", 'WetLitterbags placem_collection'!$V62)),"YES","NO")</f>
        <v>NO</v>
      </c>
      <c r="AC135" s="252" t="str">
        <f>IF(ISNUMBER(SEARCH("H", 'WetLitterbags placem_collection'!$V62)),"YES","NO")</f>
        <v>NO</v>
      </c>
      <c r="AD135" s="252" t="str">
        <f>IF(ISNUMBER(SEARCH("R", 'WetLitterbags placem_collection'!$V62)),"YES","NO")</f>
        <v>YES</v>
      </c>
    </row>
    <row r="136" spans="2:30">
      <c r="B136" t="str">
        <f>'Final data_for_R_analysis_Wetse'!A62</f>
        <v>Wet</v>
      </c>
      <c r="C136" s="260">
        <f>'Final data_for_R_analysis_Wetse'!B62</f>
        <v>61</v>
      </c>
      <c r="D136" t="s">
        <v>3809</v>
      </c>
      <c r="E136" t="s">
        <v>22</v>
      </c>
      <c r="F136" s="382">
        <v>5</v>
      </c>
      <c r="G136" s="16">
        <f>'WetLitterbags placem_collection'!E63</f>
        <v>42766</v>
      </c>
      <c r="H136" t="str">
        <f>'Final data_for_R_analysis_Wetse'!K62</f>
        <v>G541</v>
      </c>
      <c r="I136" t="str">
        <f>'Final data_for_R_analysis_Wetse'!K282</f>
        <v>R42</v>
      </c>
      <c r="J136">
        <f>IFERROR(INDEX('Green_rooibos initial weight'!$C$5:$C$2000,MATCH(H136, 'Green_rooibos initial weight'!$A$5:$A$2000,0)),"")</f>
        <v>1.978</v>
      </c>
      <c r="K136">
        <f>IFERROR(INDEX('Green_rooibos initial weight'!$C$5:$C$2000,MATCH(I136, 'Green_rooibos initial weight'!$A$5:$A$2000,0)),"")</f>
        <v>2.2389999999999999</v>
      </c>
      <c r="L136" s="194">
        <f t="shared" si="0"/>
        <v>1.7282</v>
      </c>
      <c r="M136" s="194">
        <f>IF(K136&gt;0,(K136*$F$32-($F$29+$F$30)),"")</f>
        <v>1.9891999999999999</v>
      </c>
      <c r="N136" s="16">
        <f>IF('WetLitterbags placem_collection'!G63="","",'WetLitterbags placem_collection'!G63)</f>
        <v>42820</v>
      </c>
      <c r="O136" s="194">
        <f>IFERROR(INDEX('Both teabags AfterWet'!$C$3:$C$2000,MATCH(H136,'Both teabags AfterWet'!$A$3:$A$2000,0)),"")</f>
        <v>0.78600000000000003</v>
      </c>
      <c r="P136" s="194">
        <f>IFERROR(INDEX('Both teabags AfterWet'!$C$3:$C$2000,MATCH(I136,'Both teabags AfterWet'!$A$3:$A$2000,0)),"")</f>
        <v>0.182</v>
      </c>
      <c r="Q136" s="194">
        <f t="shared" si="1"/>
        <v>0.63539999999999996</v>
      </c>
      <c r="R136" s="194">
        <f t="shared" si="1"/>
        <v>3.1399999999999983E-2</v>
      </c>
      <c r="S136" s="194">
        <f t="shared" si="2"/>
        <v>0.63233422057632227</v>
      </c>
      <c r="T136" s="194">
        <f t="shared" si="3"/>
        <v>0.41454689995027305</v>
      </c>
      <c r="U136" s="194">
        <f t="shared" si="4"/>
        <v>1.578524029760707E-2</v>
      </c>
      <c r="V136">
        <f>IFERROR(IF((N136-G136)&gt;0,(IFERROR(N136-G136,"")),""),"")</f>
        <v>54</v>
      </c>
      <c r="W136" s="194">
        <f t="shared" si="5"/>
        <v>0.24900923922051987</v>
      </c>
      <c r="X136" s="194" t="str">
        <f t="shared" si="6"/>
        <v/>
      </c>
      <c r="Y136" s="252" t="str">
        <f>IF(ISNUMBER(SEARCH("C",'WetLitterbags placem_collection'!$X63)),"YES","NO")</f>
        <v>NO</v>
      </c>
      <c r="Z136" s="252" t="str">
        <f>IF(ISNUMBER(SEARCH("H", 'WetLitterbags placem_collection'!$X63)),"YES","NO")</f>
        <v>NO</v>
      </c>
      <c r="AA136" s="252" t="str">
        <f>IF(ISNUMBER(SEARCH("R", 'WetLitterbags placem_collection'!$X63)),"YES","NO")</f>
        <v>YES</v>
      </c>
      <c r="AB136" s="252" t="str">
        <f>IF(ISNUMBER(SEARCH("C", 'WetLitterbags placem_collection'!$V63)),"YES","NO")</f>
        <v>YES</v>
      </c>
      <c r="AC136" s="252" t="str">
        <f>IF(ISNUMBER(SEARCH("H", 'WetLitterbags placem_collection'!$V63)),"YES","NO")</f>
        <v>YES</v>
      </c>
      <c r="AD136" s="252" t="str">
        <f>IF(ISNUMBER(SEARCH("R", 'WetLitterbags placem_collection'!$V63)),"YES","NO")</f>
        <v>NO</v>
      </c>
    </row>
    <row r="137" spans="2:30">
      <c r="B137" t="str">
        <f>'Final data_for_R_analysis_Wetse'!A63</f>
        <v>Wet</v>
      </c>
      <c r="C137" s="260">
        <f>'Final data_for_R_analysis_Wetse'!B63</f>
        <v>62</v>
      </c>
      <c r="D137" t="s">
        <v>3809</v>
      </c>
      <c r="E137" t="s">
        <v>22</v>
      </c>
      <c r="F137" s="382">
        <v>6</v>
      </c>
      <c r="G137" s="16">
        <f>'WetLitterbags placem_collection'!E64</f>
        <v>42766</v>
      </c>
      <c r="H137" t="str">
        <f>'Final data_for_R_analysis_Wetse'!K63</f>
        <v>G565</v>
      </c>
      <c r="I137" t="str">
        <f>'Final data_for_R_analysis_Wetse'!K283</f>
        <v>R119</v>
      </c>
      <c r="J137">
        <f>IFERROR(INDEX('Green_rooibos initial weight'!$C$5:$C$2000,MATCH(H137, 'Green_rooibos initial weight'!$A$5:$A$2000,0)),"")</f>
        <v>2.109</v>
      </c>
      <c r="K137">
        <f>IFERROR(INDEX('Green_rooibos initial weight'!$C$5:$C$2000,MATCH(I137, 'Green_rooibos initial weight'!$A$5:$A$2000,0)),"")</f>
        <v>2.1589999999999998</v>
      </c>
      <c r="L137" s="194">
        <f t="shared" si="0"/>
        <v>1.8592</v>
      </c>
      <c r="M137" s="194">
        <f>IF(K137&gt;0,(K137*$F$32-($F$29+$F$30)),"")</f>
        <v>1.9091999999999998</v>
      </c>
      <c r="N137" s="16">
        <f>IF('WetLitterbags placem_collection'!G64="","",'WetLitterbags placem_collection'!G64)</f>
        <v>42820</v>
      </c>
      <c r="O137" s="194">
        <f>IFERROR(INDEX('Both teabags AfterWet'!$C$3:$C$2000,MATCH(H137,'Both teabags AfterWet'!$A$3:$A$2000,0)),"")</f>
        <v>0.9224</v>
      </c>
      <c r="P137" s="194">
        <f>IFERROR(INDEX('Both teabags AfterWet'!$C$3:$C$2000,MATCH(I137,'Both teabags AfterWet'!$A$3:$A$2000,0)),"")</f>
        <v>1.6374</v>
      </c>
      <c r="Q137" s="194">
        <f t="shared" si="1"/>
        <v>0.77180000000000004</v>
      </c>
      <c r="R137" s="194">
        <f t="shared" si="1"/>
        <v>1.4867999999999999</v>
      </c>
      <c r="S137" s="194">
        <f t="shared" si="2"/>
        <v>0.58487521514629948</v>
      </c>
      <c r="T137" s="194">
        <f t="shared" si="3"/>
        <v>0.38343363273249093</v>
      </c>
      <c r="U137" s="194">
        <f t="shared" si="4"/>
        <v>0.77875549968573232</v>
      </c>
      <c r="V137">
        <f>IFERROR(IF((N137-G137)&gt;0,(IFERROR(N137-G137,"")),""),"")</f>
        <v>54</v>
      </c>
      <c r="W137" s="194">
        <f t="shared" si="5"/>
        <v>0.30537385374548753</v>
      </c>
      <c r="X137" s="194">
        <f t="shared" si="6"/>
        <v>1.5933396495466514E-2</v>
      </c>
      <c r="Y137" s="252" t="str">
        <f>IF(ISNUMBER(SEARCH("C",'WetLitterbags placem_collection'!$X64)),"YES","NO")</f>
        <v>NO</v>
      </c>
      <c r="Z137" s="252" t="str">
        <f>IF(ISNUMBER(SEARCH("H", 'WetLitterbags placem_collection'!$X64)),"YES","NO")</f>
        <v>NO</v>
      </c>
      <c r="AA137" s="252" t="str">
        <f>IF(ISNUMBER(SEARCH("R", 'WetLitterbags placem_collection'!$X64)),"YES","NO")</f>
        <v>NO</v>
      </c>
      <c r="AB137" s="252" t="str">
        <f>IF(ISNUMBER(SEARCH("C", 'WetLitterbags placem_collection'!$V64)),"YES","NO")</f>
        <v>NO</v>
      </c>
      <c r="AC137" s="252" t="str">
        <f>IF(ISNUMBER(SEARCH("H", 'WetLitterbags placem_collection'!$V64)),"YES","NO")</f>
        <v>YES</v>
      </c>
      <c r="AD137" s="252" t="str">
        <f>IF(ISNUMBER(SEARCH("R", 'WetLitterbags placem_collection'!$V64)),"YES","NO")</f>
        <v>NO</v>
      </c>
    </row>
    <row r="138" spans="2:30">
      <c r="B138" t="str">
        <f>'Final data_for_R_analysis_Wetse'!A64</f>
        <v>Wet</v>
      </c>
      <c r="C138" s="260">
        <f>'Final data_for_R_analysis_Wetse'!B64</f>
        <v>63</v>
      </c>
      <c r="D138" t="s">
        <v>3809</v>
      </c>
      <c r="E138" t="s">
        <v>22</v>
      </c>
      <c r="F138" s="382">
        <v>7</v>
      </c>
      <c r="G138" s="16">
        <f>'WetLitterbags placem_collection'!E65</f>
        <v>42766</v>
      </c>
      <c r="H138" t="str">
        <f>'Final data_for_R_analysis_Wetse'!K64</f>
        <v>G387</v>
      </c>
      <c r="I138" t="str">
        <f>'Final data_for_R_analysis_Wetse'!K284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0"/>
        <v>1.7641999999999998</v>
      </c>
      <c r="M138" s="194">
        <f>IF(K138&gt;0,(K138*$F$32-($F$29+$F$30)),"")</f>
        <v>2.0411999999999999</v>
      </c>
      <c r="N138" s="16">
        <f>IF('WetLitterbags placem_collection'!G65="","",'WetLitterbags placem_collection'!G65)</f>
        <v>42820</v>
      </c>
      <c r="O138" s="194">
        <f>IFERROR(INDEX('Both teabags AfterWet'!$C$3:$C$2000,MATCH(H138,'Both teabags AfterWet'!$A$3:$A$2000,0)),"")</f>
        <v>1.083</v>
      </c>
      <c r="P138" s="194">
        <f>IFERROR(INDEX('Both teabags AfterWet'!$C$3:$C$2000,MATCH(I138,'Both teabags AfterWet'!$A$3:$A$2000,0)),"")</f>
        <v>1.6850000000000001</v>
      </c>
      <c r="Q138" s="194">
        <f t="shared" si="1"/>
        <v>0.9323999999999999</v>
      </c>
      <c r="R138" s="194">
        <f t="shared" si="1"/>
        <v>1.5344</v>
      </c>
      <c r="S138" s="194">
        <f t="shared" si="2"/>
        <v>0.47148849336809884</v>
      </c>
      <c r="T138" s="194">
        <f t="shared" si="3"/>
        <v>0.30909934482089146</v>
      </c>
      <c r="U138" s="194">
        <f t="shared" si="4"/>
        <v>0.75171467764060362</v>
      </c>
      <c r="V138">
        <f>IFERROR(IF((N138-G138)&gt;0,(IFERROR(N138-G138,"")),""),"")</f>
        <v>54</v>
      </c>
      <c r="W138" s="194">
        <f t="shared" si="5"/>
        <v>0.44003741880273295</v>
      </c>
      <c r="X138" s="194">
        <f t="shared" si="6"/>
        <v>3.0108191380188106E-2</v>
      </c>
      <c r="Y138" s="252" t="str">
        <f>IF(ISNUMBER(SEARCH("C",'WetLitterbags placem_collection'!$X65)),"YES","NO")</f>
        <v>NO</v>
      </c>
      <c r="Z138" s="252" t="str">
        <f>IF(ISNUMBER(SEARCH("H", 'WetLitterbags placem_collection'!$X65)),"YES","NO")</f>
        <v>NO</v>
      </c>
      <c r="AA138" s="252" t="str">
        <f>IF(ISNUMBER(SEARCH("R", 'WetLitterbags placem_collection'!$X65)),"YES","NO")</f>
        <v>YES</v>
      </c>
      <c r="AB138" s="252" t="str">
        <f>IF(ISNUMBER(SEARCH("C", 'WetLitterbags placem_collection'!$V65)),"YES","NO")</f>
        <v>NO</v>
      </c>
      <c r="AC138" s="252" t="str">
        <f>IF(ISNUMBER(SEARCH("H", 'WetLitterbags placem_collection'!$V65)),"YES","NO")</f>
        <v>NO</v>
      </c>
      <c r="AD138" s="252" t="str">
        <f>IF(ISNUMBER(SEARCH("R", 'WetLitterbags placem_collection'!$V65)),"YES","NO")</f>
        <v>YES</v>
      </c>
    </row>
    <row r="139" spans="2:30">
      <c r="B139" t="str">
        <f>'Final data_for_R_analysis_Wetse'!A65</f>
        <v>Wet</v>
      </c>
      <c r="C139" s="260">
        <f>'Final data_for_R_analysis_Wetse'!B65</f>
        <v>64</v>
      </c>
      <c r="D139" t="s">
        <v>3809</v>
      </c>
      <c r="E139" t="s">
        <v>22</v>
      </c>
      <c r="F139" s="382">
        <v>8</v>
      </c>
      <c r="G139" s="16">
        <f>'WetLitterbags placem_collection'!E66</f>
        <v>42766</v>
      </c>
      <c r="H139" t="str">
        <f>'Final data_for_R_analysis_Wetse'!K65</f>
        <v>G554</v>
      </c>
      <c r="I139" t="str">
        <f>'Final data_for_R_analysis_Wetse'!K285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0"/>
        <v>1.8342000000000001</v>
      </c>
      <c r="M139" s="194">
        <f>IF(K139&gt;0,(K139*$F$32-($F$29+$F$30)),"")</f>
        <v>2.0432000000000001</v>
      </c>
      <c r="N139" s="16">
        <f>IF('WetLitterbags placem_collection'!G66="","",'WetLitterbags placem_collection'!G66)</f>
        <v>42820</v>
      </c>
      <c r="O139" s="194">
        <f>IFERROR(INDEX('Both teabags AfterWet'!$C$3:$C$2000,MATCH(H139,'Both teabags AfterWet'!$A$3:$A$2000,0)),"")</f>
        <v>1.29</v>
      </c>
      <c r="P139" s="194">
        <f>IFERROR(INDEX('Both teabags AfterWet'!$C$3:$C$2000,MATCH(I139,'Both teabags AfterWet'!$A$3:$A$2000,0)),"")</f>
        <v>1.3160000000000001</v>
      </c>
      <c r="Q139" s="194">
        <f t="shared" si="1"/>
        <v>1.1394</v>
      </c>
      <c r="R139" s="194">
        <f t="shared" si="1"/>
        <v>1.1654</v>
      </c>
      <c r="S139" s="194">
        <f t="shared" si="2"/>
        <v>0.37880274779195289</v>
      </c>
      <c r="T139" s="194">
        <f t="shared" si="3"/>
        <v>0.24833624320802619</v>
      </c>
      <c r="U139" s="194">
        <f t="shared" si="4"/>
        <v>0.57037979639780734</v>
      </c>
      <c r="V139">
        <f>IFERROR(IF((N139-G139)&gt;0,(IFERROR(N139-G139,"")),""),"")</f>
        <v>54</v>
      </c>
      <c r="W139" s="194">
        <f t="shared" si="5"/>
        <v>0.5501155014347352</v>
      </c>
      <c r="X139" s="194" t="str">
        <f t="shared" si="6"/>
        <v/>
      </c>
      <c r="Y139" s="252" t="str">
        <f>IF(ISNUMBER(SEARCH("C",'WetLitterbags placem_collection'!$X66)),"YES","NO")</f>
        <v>NO</v>
      </c>
      <c r="Z139" s="252" t="str">
        <f>IF(ISNUMBER(SEARCH("H", 'WetLitterbags placem_collection'!$X66)),"YES","NO")</f>
        <v>NO</v>
      </c>
      <c r="AA139" s="252" t="str">
        <f>IF(ISNUMBER(SEARCH("R", 'WetLitterbags placem_collection'!$X66)),"YES","NO")</f>
        <v>NO</v>
      </c>
      <c r="AB139" s="252" t="str">
        <f>IF(ISNUMBER(SEARCH("C", 'WetLitterbags placem_collection'!$V66)),"YES","NO")</f>
        <v>NO</v>
      </c>
      <c r="AC139" s="252" t="str">
        <f>IF(ISNUMBER(SEARCH("H", 'WetLitterbags placem_collection'!$V66)),"YES","NO")</f>
        <v>YES</v>
      </c>
      <c r="AD139" s="252" t="str">
        <f>IF(ISNUMBER(SEARCH("R", 'WetLitterbags placem_collection'!$V66)),"YES","NO")</f>
        <v>YES</v>
      </c>
    </row>
    <row r="140" spans="2:30">
      <c r="B140" t="str">
        <f>'Final data_for_R_analysis_Wetse'!A66</f>
        <v>Wet</v>
      </c>
      <c r="C140" s="260">
        <f>'Final data_for_R_analysis_Wetse'!B66</f>
        <v>65</v>
      </c>
      <c r="D140" t="s">
        <v>3810</v>
      </c>
      <c r="E140" t="s">
        <v>22</v>
      </c>
      <c r="F140" s="381">
        <v>1</v>
      </c>
      <c r="G140" s="16">
        <f>'WetLitterbags placem_collection'!E67</f>
        <v>42767</v>
      </c>
      <c r="H140" t="str">
        <f>'Final data_for_R_analysis_Wetse'!K66</f>
        <v>G614</v>
      </c>
      <c r="I140" t="str">
        <f>'Final data_for_R_analysis_Wetse'!K286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0"/>
        <v>1.9211999999999998</v>
      </c>
      <c r="M140" s="194">
        <f>IF(K140&gt;0,(K140*$F$32-($F$29+$F$30)),"")</f>
        <v>1.8971999999999998</v>
      </c>
      <c r="N140" s="16">
        <f>IF('WetLitterbags placem_collection'!G67="","",'WetLitterbags placem_collection'!G67)</f>
        <v>42818</v>
      </c>
      <c r="O140" s="194">
        <f>IFERROR(INDEX('Both teabags AfterWet'!$C$3:$C$2000,MATCH(H140,'Both teabags AfterWet'!$A$3:$A$2000,0)),"")</f>
        <v>0.96099999999999997</v>
      </c>
      <c r="P140" s="194">
        <f>IFERROR(INDEX('Both teabags AfterWet'!$C$3:$C$2000,MATCH(I140,'Both teabags AfterWet'!$A$3:$A$2000,0)),"")</f>
        <v>1.704</v>
      </c>
      <c r="Q140" s="194">
        <f t="shared" si="1"/>
        <v>0.81040000000000001</v>
      </c>
      <c r="R140" s="194">
        <f t="shared" si="1"/>
        <v>1.5533999999999999</v>
      </c>
      <c r="S140" s="194">
        <f t="shared" si="2"/>
        <v>0.57818030397668119</v>
      </c>
      <c r="T140" s="194">
        <f t="shared" si="3"/>
        <v>0.37904456982794305</v>
      </c>
      <c r="U140" s="194">
        <f t="shared" si="4"/>
        <v>0.81878557874762814</v>
      </c>
      <c r="V140">
        <f>IFERROR(IF((N140-G140)&gt;0,(IFERROR(N140-G140,"")),""),"")</f>
        <v>51</v>
      </c>
      <c r="W140" s="194">
        <f t="shared" si="5"/>
        <v>0.31332505465952354</v>
      </c>
      <c r="X140" s="194">
        <f t="shared" si="6"/>
        <v>1.2749901364562137E-2</v>
      </c>
      <c r="Y140" s="252" t="str">
        <f>IF(ISNUMBER(SEARCH("C",'WetLitterbags placem_collection'!$X67)),"YES","NO")</f>
        <v>NO</v>
      </c>
      <c r="Z140" s="252" t="str">
        <f>IF(ISNUMBER(SEARCH("H", 'WetLitterbags placem_collection'!$X67)),"YES","NO")</f>
        <v>NO</v>
      </c>
      <c r="AA140" s="252" t="str">
        <f>IF(ISNUMBER(SEARCH("R", 'WetLitterbags placem_collection'!$X67)),"YES","NO")</f>
        <v>YES</v>
      </c>
      <c r="AB140" s="252" t="str">
        <f>IF(ISNUMBER(SEARCH("C", 'WetLitterbags placem_collection'!$V67)),"YES","NO")</f>
        <v>NO</v>
      </c>
      <c r="AC140" s="252" t="str">
        <f>IF(ISNUMBER(SEARCH("H", 'WetLitterbags placem_collection'!$V67)),"YES","NO")</f>
        <v>NO</v>
      </c>
      <c r="AD140" s="252" t="str">
        <f>IF(ISNUMBER(SEARCH("R", 'WetLitterbags placem_collection'!$V67)),"YES","NO")</f>
        <v>YES</v>
      </c>
    </row>
    <row r="141" spans="2:30">
      <c r="B141" t="str">
        <f>'Final data_for_R_analysis_Wetse'!A67</f>
        <v>Wet</v>
      </c>
      <c r="C141" s="260">
        <f>'Final data_for_R_analysis_Wetse'!B67</f>
        <v>66</v>
      </c>
      <c r="D141" t="s">
        <v>3810</v>
      </c>
      <c r="E141" t="s">
        <v>22</v>
      </c>
      <c r="F141" s="381">
        <v>2</v>
      </c>
      <c r="G141" s="16">
        <f>'WetLitterbags placem_collection'!E68</f>
        <v>42767</v>
      </c>
      <c r="H141" t="str">
        <f>'Final data_for_R_analysis_Wetse'!K67</f>
        <v>G282</v>
      </c>
      <c r="I141" t="str">
        <f>'Final data_for_R_analysis_Wetse'!K287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7">IF(J141&gt;0,(J141*$F$31-($F$29+$F$30)),"")</f>
        <v>1.7232000000000001</v>
      </c>
      <c r="M141" s="194">
        <f>IF(K141&gt;0,(K141*$F$32-($F$29+$F$30)),"")</f>
        <v>1.8971999999999998</v>
      </c>
      <c r="N141" s="16">
        <f>IF('WetLitterbags placem_collection'!G68="","",'WetLitterbags placem_collection'!G68)</f>
        <v>42818</v>
      </c>
      <c r="O141" s="194">
        <f>IFERROR(INDEX('Both teabags AfterWet'!$C$3:$C$2000,MATCH(H141,'Both teabags AfterWet'!$A$3:$A$2000,0)),"")</f>
        <v>1.1456</v>
      </c>
      <c r="P141" s="194">
        <f>IFERROR(INDEX('Both teabags AfterWet'!$C$3:$C$2000,MATCH(I141,'Both teabags AfterWet'!$A$3:$A$2000,0)),"")</f>
        <v>0.21360000000000001</v>
      </c>
      <c r="Q141" s="194">
        <f t="shared" ref="Q141:R204" si="8">IFERROR(IF(O141&gt;0,O141-($F$29),""),"")</f>
        <v>0.99499999999999988</v>
      </c>
      <c r="R141" s="194">
        <f t="shared" si="8"/>
        <v>6.3E-2</v>
      </c>
      <c r="S141" s="194">
        <f t="shared" ref="S141:S204" si="9">IFERROR(1-Q141/L141,"")</f>
        <v>0.42258588672237707</v>
      </c>
      <c r="T141" s="194">
        <f t="shared" ref="T141:T204" si="10">IFERROR($F$26*(1-W141),"")</f>
        <v>0.27703967870635648</v>
      </c>
      <c r="U141" s="194">
        <f t="shared" ref="U141:U204" si="11">IFERROR(R141/M141,"")</f>
        <v>3.3206831119544596E-2</v>
      </c>
      <c r="V141">
        <f>IFERROR(IF((N141-G141)&gt;0,(IFERROR(N141-G141,"")),""),"")</f>
        <v>51</v>
      </c>
      <c r="W141" s="194">
        <f t="shared" ref="W141:W204" si="12">IFERROR(1-(S141/$F$25),"")</f>
        <v>0.49811652408268758</v>
      </c>
      <c r="X141" s="194" t="str">
        <f t="shared" ref="X141:X204" si="13">IFERROR(LN(T141/(U141-(1-T141)))/V141,"")</f>
        <v/>
      </c>
      <c r="Y141" s="252" t="str">
        <f>IF(ISNUMBER(SEARCH("C",'WetLitterbags placem_collection'!$X68)),"YES","NO")</f>
        <v>NO</v>
      </c>
      <c r="Z141" s="252" t="str">
        <f>IF(ISNUMBER(SEARCH("H", 'WetLitterbags placem_collection'!$X68)),"YES","NO")</f>
        <v>NO</v>
      </c>
      <c r="AA141" s="252" t="str">
        <f>IF(ISNUMBER(SEARCH("R", 'WetLitterbags placem_collection'!$X68)),"YES","NO")</f>
        <v>YES</v>
      </c>
      <c r="AB141" s="252" t="str">
        <f>IF(ISNUMBER(SEARCH("C", 'WetLitterbags placem_collection'!$V68)),"YES","NO")</f>
        <v>NO</v>
      </c>
      <c r="AC141" s="252" t="str">
        <f>IF(ISNUMBER(SEARCH("H", 'WetLitterbags placem_collection'!$V68)),"YES","NO")</f>
        <v>NO</v>
      </c>
      <c r="AD141" s="252" t="str">
        <f>IF(ISNUMBER(SEARCH("R", 'WetLitterbags placem_collection'!$V68)),"YES","NO")</f>
        <v>YES</v>
      </c>
    </row>
    <row r="142" spans="2:30">
      <c r="B142" t="str">
        <f>'Final data_for_R_analysis_Wetse'!A68</f>
        <v>Wet</v>
      </c>
      <c r="C142" s="260">
        <f>'Final data_for_R_analysis_Wetse'!B68</f>
        <v>67</v>
      </c>
      <c r="D142" t="s">
        <v>3810</v>
      </c>
      <c r="E142" t="s">
        <v>22</v>
      </c>
      <c r="F142" s="381">
        <v>3</v>
      </c>
      <c r="G142" s="16">
        <f>'WetLitterbags placem_collection'!E69</f>
        <v>42767</v>
      </c>
      <c r="H142" t="str">
        <f>'Final data_for_R_analysis_Wetse'!K68</f>
        <v>G450</v>
      </c>
      <c r="I142" t="str">
        <f>'Final data_for_R_analysis_Wetse'!K288</f>
        <v>R165</v>
      </c>
      <c r="J142">
        <f>IFERROR(INDEX('Green_rooibos initial weight'!$C$5:$C$2000,MATCH(H142, 'Green_rooibos initial weight'!$A$5:$A$2000,0)),"")</f>
        <v>2.1629999999999998</v>
      </c>
      <c r="K142">
        <f>IFERROR(INDEX('Green_rooibos initial weight'!$C$5:$C$2000,MATCH(I142, 'Green_rooibos initial weight'!$A$5:$A$2000,0)),"")</f>
        <v>2.169</v>
      </c>
      <c r="L142" s="194">
        <f t="shared" si="7"/>
        <v>1.9131999999999998</v>
      </c>
      <c r="M142" s="194">
        <f>IF(K142&gt;0,(K142*$F$32-($F$29+$F$30)),"")</f>
        <v>1.9192</v>
      </c>
      <c r="N142" s="16">
        <f>IF('WetLitterbags placem_collection'!G69="","",'WetLitterbags placem_collection'!G69)</f>
        <v>42818</v>
      </c>
      <c r="O142" s="194">
        <f>IFERROR(INDEX('Both teabags AfterWet'!$C$3:$C$2000,MATCH(H142,'Both teabags AfterWet'!$A$3:$A$2000,0)),"")</f>
        <v>0.89059999999999995</v>
      </c>
      <c r="P142" s="194">
        <f>IFERROR(INDEX('Both teabags AfterWet'!$C$3:$C$2000,MATCH(I142,'Both teabags AfterWet'!$A$3:$A$2000,0)),"")</f>
        <v>1.4942</v>
      </c>
      <c r="Q142" s="194">
        <f t="shared" si="8"/>
        <v>0.74</v>
      </c>
      <c r="R142" s="194">
        <f t="shared" si="8"/>
        <v>1.3435999999999999</v>
      </c>
      <c r="S142" s="194">
        <f t="shared" si="9"/>
        <v>0.61321346435291657</v>
      </c>
      <c r="T142" s="194">
        <f t="shared" si="10"/>
        <v>0.40201167734300475</v>
      </c>
      <c r="U142" s="194">
        <f t="shared" si="11"/>
        <v>0.70008336807002913</v>
      </c>
      <c r="V142">
        <f>IFERROR(IF((N142-G142)&gt;0,(IFERROR(N142-G142,"")),""),"")</f>
        <v>51</v>
      </c>
      <c r="W142" s="194">
        <f t="shared" si="12"/>
        <v>0.27171797582789003</v>
      </c>
      <c r="X142" s="194">
        <f t="shared" si="13"/>
        <v>2.6874057629953419E-2</v>
      </c>
      <c r="Y142" s="252" t="str">
        <f>IF(ISNUMBER(SEARCH("C",'WetLitterbags placem_collection'!$X69)),"YES","NO")</f>
        <v>NO</v>
      </c>
      <c r="Z142" s="252" t="str">
        <f>IF(ISNUMBER(SEARCH("H", 'WetLitterbags placem_collection'!$X69)),"YES","NO")</f>
        <v>NO</v>
      </c>
      <c r="AA142" s="252" t="str">
        <f>IF(ISNUMBER(SEARCH("R", 'WetLitterbags placem_collection'!$X69)),"YES","NO")</f>
        <v>YES</v>
      </c>
      <c r="AB142" s="252" t="str">
        <f>IF(ISNUMBER(SEARCH("C", 'WetLitterbags placem_collection'!$V69)),"YES","NO")</f>
        <v>NO</v>
      </c>
      <c r="AC142" s="252" t="str">
        <f>IF(ISNUMBER(SEARCH("H", 'WetLitterbags placem_collection'!$V69)),"YES","NO")</f>
        <v>YES</v>
      </c>
      <c r="AD142" s="252" t="str">
        <f>IF(ISNUMBER(SEARCH("R", 'WetLitterbags placem_collection'!$V69)),"YES","NO")</f>
        <v>YES</v>
      </c>
    </row>
    <row r="143" spans="2:30">
      <c r="B143" t="str">
        <f>'Final data_for_R_analysis_Wetse'!A69</f>
        <v>Wet</v>
      </c>
      <c r="C143" s="260">
        <f>'Final data_for_R_analysis_Wetse'!B69</f>
        <v>68</v>
      </c>
      <c r="D143" t="s">
        <v>3810</v>
      </c>
      <c r="E143" t="s">
        <v>22</v>
      </c>
      <c r="F143" s="382">
        <v>4</v>
      </c>
      <c r="G143" s="16">
        <f>'WetLitterbags placem_collection'!E70</f>
        <v>42767</v>
      </c>
      <c r="H143" t="str">
        <f>'Final data_for_R_analysis_Wetse'!K69</f>
        <v>G269</v>
      </c>
      <c r="I143" t="str">
        <f>'Final data_for_R_analysis_Wetse'!K289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7"/>
        <v>1.7921999999999998</v>
      </c>
      <c r="M143" s="194">
        <f>IF(K143&gt;0,(K143*$F$32-($F$29+$F$30)),"")</f>
        <v>2.0331999999999999</v>
      </c>
      <c r="N143" s="16">
        <f>IF('WetLitterbags placem_collection'!G70="","",'WetLitterbags placem_collection'!G70)</f>
        <v>42818</v>
      </c>
      <c r="O143" s="194">
        <f>IFERROR(INDEX('Both teabags AfterWet'!$C$3:$C$2000,MATCH(H143,'Both teabags AfterWet'!$A$3:$A$2000,0)),"")</f>
        <v>1.018</v>
      </c>
      <c r="P143" s="194">
        <f>IFERROR(INDEX('Both teabags AfterWet'!$C$3:$C$2000,MATCH(I143,'Both teabags AfterWet'!$A$3:$A$2000,0)),"")</f>
        <v>1.885</v>
      </c>
      <c r="Q143" s="194">
        <f t="shared" si="8"/>
        <v>0.86739999999999995</v>
      </c>
      <c r="R143" s="194">
        <f t="shared" si="8"/>
        <v>1.7343999999999999</v>
      </c>
      <c r="S143" s="194">
        <f t="shared" si="9"/>
        <v>0.51601383774132348</v>
      </c>
      <c r="T143" s="194">
        <f t="shared" si="10"/>
        <v>0.33828935680903865</v>
      </c>
      <c r="U143" s="194">
        <f t="shared" si="11"/>
        <v>0.85303954357662803</v>
      </c>
      <c r="V143">
        <f>IFERROR(IF((N143-G143)&gt;0,(IFERROR(N143-G143,"")),""),"")</f>
        <v>51</v>
      </c>
      <c r="W143" s="194">
        <f t="shared" si="12"/>
        <v>0.38715696230246621</v>
      </c>
      <c r="X143" s="194">
        <f t="shared" si="13"/>
        <v>1.1174660310154306E-2</v>
      </c>
      <c r="Y143" s="252" t="str">
        <f>IF(ISNUMBER(SEARCH("C",'WetLitterbags placem_collection'!$X70)),"YES","NO")</f>
        <v>NO</v>
      </c>
      <c r="Z143" s="252" t="str">
        <f>IF(ISNUMBER(SEARCH("H", 'WetLitterbags placem_collection'!$X70)),"YES","NO")</f>
        <v>NO</v>
      </c>
      <c r="AA143" s="252" t="str">
        <f>IF(ISNUMBER(SEARCH("R", 'WetLitterbags placem_collection'!$X70)),"YES","NO")</f>
        <v>YES</v>
      </c>
      <c r="AB143" s="252" t="str">
        <f>IF(ISNUMBER(SEARCH("C", 'WetLitterbags placem_collection'!$V70)),"YES","NO")</f>
        <v>NO</v>
      </c>
      <c r="AC143" s="252" t="str">
        <f>IF(ISNUMBER(SEARCH("H", 'WetLitterbags placem_collection'!$V70)),"YES","NO")</f>
        <v>NO</v>
      </c>
      <c r="AD143" s="252" t="str">
        <f>IF(ISNUMBER(SEARCH("R", 'WetLitterbags placem_collection'!$V70)),"YES","NO")</f>
        <v>YES</v>
      </c>
    </row>
    <row r="144" spans="2:30">
      <c r="B144" t="str">
        <f>'Final data_for_R_analysis_Wetse'!A70</f>
        <v>Wet</v>
      </c>
      <c r="C144" s="260">
        <f>'Final data_for_R_analysis_Wetse'!B70</f>
        <v>69</v>
      </c>
      <c r="D144" t="s">
        <v>3810</v>
      </c>
      <c r="E144" t="s">
        <v>22</v>
      </c>
      <c r="F144" s="382">
        <v>5</v>
      </c>
      <c r="G144" s="16">
        <f>'WetLitterbags placem_collection'!E71</f>
        <v>42767</v>
      </c>
      <c r="H144" t="str">
        <f>'Final data_for_R_analysis_Wetse'!K70</f>
        <v>G448</v>
      </c>
      <c r="I144" t="str">
        <f>'Final data_for_R_analysis_Wetse'!K290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7"/>
        <v>1.7681999999999998</v>
      </c>
      <c r="M144" s="194">
        <f>IF(K144&gt;0,(K144*$F$32-($F$29+$F$30)),"")</f>
        <v>1.8851999999999998</v>
      </c>
      <c r="N144" s="16">
        <f>IF('WetLitterbags placem_collection'!G71="","",'WetLitterbags placem_collection'!G71)</f>
        <v>42818</v>
      </c>
      <c r="O144" s="194" t="str">
        <f>IFERROR(INDEX('Both teabags AfterWet'!$C$3:$C$2000,MATCH(H144,'Both teabags AfterWet'!$A$3:$A$2000,0)),"")</f>
        <v/>
      </c>
      <c r="P144" s="194">
        <f>IFERROR(INDEX('Both teabags AfterWet'!$C$3:$C$2000,MATCH(I144,'Both teabags AfterWet'!$A$3:$A$2000,0)),"")</f>
        <v>2.403</v>
      </c>
      <c r="Q144" s="194" t="str">
        <f t="shared" si="8"/>
        <v/>
      </c>
      <c r="R144" s="194">
        <f t="shared" si="8"/>
        <v>2.2524000000000002</v>
      </c>
      <c r="S144" s="194" t="str">
        <f t="shared" si="9"/>
        <v/>
      </c>
      <c r="T144" s="194" t="str">
        <f t="shared" si="10"/>
        <v/>
      </c>
      <c r="U144" s="194">
        <f t="shared" si="11"/>
        <v>1.1947803946530875</v>
      </c>
      <c r="V144">
        <f>IFERROR(IF((N144-G144)&gt;0,(IFERROR(N144-G144,"")),""),"")</f>
        <v>51</v>
      </c>
      <c r="W144" s="194" t="str">
        <f t="shared" si="12"/>
        <v/>
      </c>
      <c r="X144" s="194" t="str">
        <f t="shared" si="13"/>
        <v/>
      </c>
      <c r="Y144" s="252" t="str">
        <f>IF(ISNUMBER(SEARCH("C",'WetLitterbags placem_collection'!$X71)),"YES","NO")</f>
        <v>NO</v>
      </c>
      <c r="Z144" s="252" t="str">
        <f>IF(ISNUMBER(SEARCH("H", 'WetLitterbags placem_collection'!$X71)),"YES","NO")</f>
        <v>NO</v>
      </c>
      <c r="AA144" s="252" t="str">
        <f>IF(ISNUMBER(SEARCH("R", 'WetLitterbags placem_collection'!$X71)),"YES","NO")</f>
        <v>YES</v>
      </c>
      <c r="AB144" s="252" t="str">
        <f>IF(ISNUMBER(SEARCH("C", 'WetLitterbags placem_collection'!$V71)),"YES","NO")</f>
        <v>NO</v>
      </c>
      <c r="AC144" s="252" t="str">
        <f>IF(ISNUMBER(SEARCH("H", 'WetLitterbags placem_collection'!$V71)),"YES","NO")</f>
        <v>NO</v>
      </c>
      <c r="AD144" s="252" t="str">
        <f>IF(ISNUMBER(SEARCH("R", 'WetLitterbags placem_collection'!$V71)),"YES","NO")</f>
        <v>NO</v>
      </c>
    </row>
    <row r="145" spans="2:30">
      <c r="B145" t="str">
        <f>'Final data_for_R_analysis_Wetse'!A71</f>
        <v>Wet</v>
      </c>
      <c r="C145" s="260">
        <f>'Final data_for_R_analysis_Wetse'!B71</f>
        <v>70</v>
      </c>
      <c r="D145" t="s">
        <v>3810</v>
      </c>
      <c r="E145" t="s">
        <v>22</v>
      </c>
      <c r="F145" s="382">
        <v>6</v>
      </c>
      <c r="G145" s="16">
        <f>'WetLitterbags placem_collection'!E72</f>
        <v>42767</v>
      </c>
      <c r="H145" t="str">
        <f>'Final data_for_R_analysis_Wetse'!K71</f>
        <v>G358</v>
      </c>
      <c r="I145" t="str">
        <f>'Final data_for_R_analysis_Wetse'!K291</f>
        <v>R151</v>
      </c>
      <c r="J145">
        <f>IFERROR(INDEX('Green_rooibos initial weight'!$C$5:$C$2000,MATCH(H145, 'Green_rooibos initial weight'!$A$5:$A$2000,0)),"")</f>
        <v>2.016</v>
      </c>
      <c r="K145">
        <f>IFERROR(INDEX('Green_rooibos initial weight'!$C$5:$C$2000,MATCH(I145, 'Green_rooibos initial weight'!$A$5:$A$2000,0)),"")</f>
        <v>2.1920000000000002</v>
      </c>
      <c r="L145" s="194">
        <f t="shared" si="7"/>
        <v>1.7662</v>
      </c>
      <c r="M145" s="194">
        <f>IF(K145&gt;0,(K145*$F$32-($F$29+$F$30)),"")</f>
        <v>1.9422000000000001</v>
      </c>
      <c r="N145" s="16">
        <f>IF('WetLitterbags placem_collection'!G72="","",'WetLitterbags placem_collection'!G72)</f>
        <v>42818</v>
      </c>
      <c r="O145" s="194">
        <f>IFERROR(INDEX('Both teabags AfterWet'!$C$3:$C$2000,MATCH(H145,'Both teabags AfterWet'!$A$3:$A$2000,0)),"")</f>
        <v>0.84299999999999997</v>
      </c>
      <c r="P145" s="194">
        <f>IFERROR(INDEX('Both teabags AfterWet'!$C$3:$C$2000,MATCH(I145,'Both teabags AfterWet'!$A$3:$A$2000,0)),"")</f>
        <v>1.536</v>
      </c>
      <c r="Q145" s="194">
        <f t="shared" si="8"/>
        <v>0.6923999999999999</v>
      </c>
      <c r="R145" s="194">
        <f t="shared" si="8"/>
        <v>1.3854</v>
      </c>
      <c r="S145" s="194">
        <f t="shared" si="9"/>
        <v>0.60797191711018006</v>
      </c>
      <c r="T145" s="194">
        <f t="shared" si="10"/>
        <v>0.3985754135924221</v>
      </c>
      <c r="U145" s="194">
        <f t="shared" si="11"/>
        <v>0.713314797652147</v>
      </c>
      <c r="V145">
        <f>IFERROR(IF((N145-G145)&gt;0,(IFERROR(N145-G145,"")),""),"")</f>
        <v>51</v>
      </c>
      <c r="W145" s="194">
        <f t="shared" si="12"/>
        <v>0.27794309131807593</v>
      </c>
      <c r="X145" s="194">
        <f t="shared" si="13"/>
        <v>2.4909384121300952E-2</v>
      </c>
      <c r="Y145" s="252" t="str">
        <f>IF(ISNUMBER(SEARCH("C",'WetLitterbags placem_collection'!$X72)),"YES","NO")</f>
        <v>NO</v>
      </c>
      <c r="Z145" s="252" t="str">
        <f>IF(ISNUMBER(SEARCH("H", 'WetLitterbags placem_collection'!$X72)),"YES","NO")</f>
        <v>NO</v>
      </c>
      <c r="AA145" s="252" t="str">
        <f>IF(ISNUMBER(SEARCH("R", 'WetLitterbags placem_collection'!$X72)),"YES","NO")</f>
        <v>YES</v>
      </c>
      <c r="AB145" s="252" t="str">
        <f>IF(ISNUMBER(SEARCH("C", 'WetLitterbags placem_collection'!$V72)),"YES","NO")</f>
        <v>YES</v>
      </c>
      <c r="AC145" s="252" t="str">
        <f>IF(ISNUMBER(SEARCH("H", 'WetLitterbags placem_collection'!$V72)),"YES","NO")</f>
        <v>YES</v>
      </c>
      <c r="AD145" s="252" t="str">
        <f>IF(ISNUMBER(SEARCH("R", 'WetLitterbags placem_collection'!$V72)),"YES","NO")</f>
        <v>YES</v>
      </c>
    </row>
    <row r="146" spans="2:30">
      <c r="B146" t="str">
        <f>'Final data_for_R_analysis_Wetse'!A72</f>
        <v>Wet</v>
      </c>
      <c r="C146" s="260">
        <f>'Final data_for_R_analysis_Wetse'!B72</f>
        <v>71</v>
      </c>
      <c r="D146" t="s">
        <v>3810</v>
      </c>
      <c r="E146" t="s">
        <v>22</v>
      </c>
      <c r="F146" s="382">
        <v>7</v>
      </c>
      <c r="G146" s="16">
        <f>'WetLitterbags placem_collection'!E73</f>
        <v>42767</v>
      </c>
      <c r="H146" t="str">
        <f>'Final data_for_R_analysis_Wetse'!K72</f>
        <v>G511</v>
      </c>
      <c r="I146" t="str">
        <f>'Final data_for_R_analysis_Wetse'!K292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7"/>
        <v>1.7432000000000001</v>
      </c>
      <c r="M146" s="194">
        <f>IF(K146&gt;0,(K146*$F$32-($F$29+$F$30)),"")</f>
        <v>1.9662000000000002</v>
      </c>
      <c r="N146" s="16">
        <f>IF('WetLitterbags placem_collection'!G73="","",'WetLitterbags placem_collection'!G73)</f>
        <v>42818</v>
      </c>
      <c r="O146" s="194">
        <f>IFERROR(INDEX('Both teabags AfterWet'!$C$3:$C$2000,MATCH(H146,'Both teabags AfterWet'!$A$3:$A$2000,0)),"")</f>
        <v>0.83740000000000003</v>
      </c>
      <c r="P146" s="194">
        <f>IFERROR(INDEX('Both teabags AfterWet'!$C$3:$C$2000,MATCH(I146,'Both teabags AfterWet'!$A$3:$A$2000,0)),"")</f>
        <v>1.6388</v>
      </c>
      <c r="Q146" s="194">
        <f t="shared" si="8"/>
        <v>0.68680000000000008</v>
      </c>
      <c r="R146" s="194">
        <f t="shared" si="8"/>
        <v>1.4882</v>
      </c>
      <c r="S146" s="194">
        <f t="shared" si="9"/>
        <v>0.60601193207893522</v>
      </c>
      <c r="T146" s="194">
        <f t="shared" si="10"/>
        <v>0.39729048278809059</v>
      </c>
      <c r="U146" s="194">
        <f t="shared" si="11"/>
        <v>0.75689146577153887</v>
      </c>
      <c r="V146">
        <f>IFERROR(IF((N146-G146)&gt;0,(IFERROR(N146-G146,"")),""),"")</f>
        <v>51</v>
      </c>
      <c r="W146" s="194">
        <f t="shared" si="12"/>
        <v>0.2802708645143287</v>
      </c>
      <c r="X146" s="194">
        <f t="shared" si="13"/>
        <v>1.8559496444030359E-2</v>
      </c>
      <c r="Y146" s="252" t="str">
        <f>IF(ISNUMBER(SEARCH("C",'WetLitterbags placem_collection'!$X73)),"YES","NO")</f>
        <v>NO</v>
      </c>
      <c r="Z146" s="252" t="str">
        <f>IF(ISNUMBER(SEARCH("H", 'WetLitterbags placem_collection'!$X73)),"YES","NO")</f>
        <v>NO</v>
      </c>
      <c r="AA146" s="252" t="str">
        <f>IF(ISNUMBER(SEARCH("R", 'WetLitterbags placem_collection'!$X73)),"YES","NO")</f>
        <v>YES</v>
      </c>
      <c r="AB146" s="252" t="str">
        <f>IF(ISNUMBER(SEARCH("C", 'WetLitterbags placem_collection'!$V73)),"YES","NO")</f>
        <v>NO</v>
      </c>
      <c r="AC146" s="252" t="str">
        <f>IF(ISNUMBER(SEARCH("H", 'WetLitterbags placem_collection'!$V73)),"YES","NO")</f>
        <v>NO</v>
      </c>
      <c r="AD146" s="252" t="str">
        <f>IF(ISNUMBER(SEARCH("R", 'WetLitterbags placem_collection'!$V73)),"YES","NO")</f>
        <v>YES</v>
      </c>
    </row>
    <row r="147" spans="2:30">
      <c r="B147" t="str">
        <f>'Final data_for_R_analysis_Wetse'!A73</f>
        <v>Wet</v>
      </c>
      <c r="C147" s="260">
        <f>'Final data_for_R_analysis_Wetse'!B73</f>
        <v>72</v>
      </c>
      <c r="D147" t="s">
        <v>3810</v>
      </c>
      <c r="E147" t="s">
        <v>22</v>
      </c>
      <c r="F147" s="382">
        <v>8</v>
      </c>
      <c r="G147" s="16">
        <f>'WetLitterbags placem_collection'!E74</f>
        <v>42767</v>
      </c>
      <c r="H147" t="str">
        <f>'Final data_for_R_analysis_Wetse'!K73</f>
        <v>G383</v>
      </c>
      <c r="I147" t="str">
        <f>'Final data_for_R_analysis_Wetse'!K293</f>
        <v>R546</v>
      </c>
      <c r="J147">
        <f>IFERROR(INDEX('Green_rooibos initial weight'!$C$5:$C$2000,MATCH(H147, 'Green_rooibos initial weight'!$A$5:$A$2000,0)),"")</f>
        <v>1.956</v>
      </c>
      <c r="K147">
        <f>IFERROR(INDEX('Green_rooibos initial weight'!$C$5:$C$2000,MATCH(I147, 'Green_rooibos initial weight'!$A$5:$A$2000,0)),"")</f>
        <v>2.2250000000000001</v>
      </c>
      <c r="L147" s="194">
        <f t="shared" si="7"/>
        <v>1.7061999999999999</v>
      </c>
      <c r="M147" s="194">
        <f>IF(K147&gt;0,(K147*$F$32-($F$29+$F$30)),"")</f>
        <v>1.9752000000000001</v>
      </c>
      <c r="N147" s="16">
        <f>IF('WetLitterbags placem_collection'!G74="","",'WetLitterbags placem_collection'!G74)</f>
        <v>42818</v>
      </c>
      <c r="O147" s="194">
        <f>IFERROR(INDEX('Both teabags AfterWet'!$C$3:$C$2000,MATCH(H147,'Both teabags AfterWet'!$A$3:$A$2000,0)),"")</f>
        <v>0.82550000000000001</v>
      </c>
      <c r="P147" s="194">
        <f>IFERROR(INDEX('Both teabags AfterWet'!$C$3:$C$2000,MATCH(I147,'Both teabags AfterWet'!$A$3:$A$2000,0)),"")</f>
        <v>1.5403</v>
      </c>
      <c r="Q147" s="194">
        <f t="shared" si="8"/>
        <v>0.67490000000000006</v>
      </c>
      <c r="R147" s="194">
        <f t="shared" si="8"/>
        <v>1.3896999999999999</v>
      </c>
      <c r="S147" s="194">
        <f t="shared" si="9"/>
        <v>0.60444262102918755</v>
      </c>
      <c r="T147" s="194">
        <f t="shared" si="10"/>
        <v>0.39626167079348168</v>
      </c>
      <c r="U147" s="194">
        <f t="shared" si="11"/>
        <v>0.70357432158768729</v>
      </c>
      <c r="V147">
        <f>IFERROR(IF((N147-G147)&gt;0,(IFERROR(N147-G147,"")),""),"")</f>
        <v>51</v>
      </c>
      <c r="W147" s="194">
        <f t="shared" si="12"/>
        <v>0.2821346543596347</v>
      </c>
      <c r="X147" s="194">
        <f t="shared" si="13"/>
        <v>2.7030314009055617E-2</v>
      </c>
      <c r="Y147" s="252" t="str">
        <f>IF(ISNUMBER(SEARCH("C",'WetLitterbags placem_collection'!$X74)),"YES","NO")</f>
        <v>NO</v>
      </c>
      <c r="Z147" s="252" t="str">
        <f>IF(ISNUMBER(SEARCH("H", 'WetLitterbags placem_collection'!$X74)),"YES","NO")</f>
        <v>NO</v>
      </c>
      <c r="AA147" s="252" t="str">
        <f>IF(ISNUMBER(SEARCH("R", 'WetLitterbags placem_collection'!$X74)),"YES","NO")</f>
        <v>YES</v>
      </c>
      <c r="AB147" s="252" t="str">
        <f>IF(ISNUMBER(SEARCH("C", 'WetLitterbags placem_collection'!$V74)),"YES","NO")</f>
        <v>NO</v>
      </c>
      <c r="AC147" s="252" t="str">
        <f>IF(ISNUMBER(SEARCH("H", 'WetLitterbags placem_collection'!$V74)),"YES","NO")</f>
        <v>NO</v>
      </c>
      <c r="AD147" s="252" t="str">
        <f>IF(ISNUMBER(SEARCH("R", 'WetLitterbags placem_collection'!$V74)),"YES","NO")</f>
        <v>YES</v>
      </c>
    </row>
    <row r="148" spans="2:30">
      <c r="B148" t="str">
        <f>'Final data_for_R_analysis_Wetse'!A74</f>
        <v>Wet</v>
      </c>
      <c r="C148" s="260">
        <f>'Final data_for_R_analysis_Wetse'!B74</f>
        <v>73</v>
      </c>
      <c r="D148" t="s">
        <v>3812</v>
      </c>
      <c r="E148" t="s">
        <v>22</v>
      </c>
      <c r="F148" s="381">
        <v>1</v>
      </c>
      <c r="G148" s="16">
        <f>'WetLitterbags placem_collection'!E75</f>
        <v>42767</v>
      </c>
      <c r="H148" t="str">
        <f>'Final data_for_R_analysis_Wetse'!K74</f>
        <v>G549</v>
      </c>
      <c r="I148" t="str">
        <f>'Final data_for_R_analysis_Wetse'!K294</f>
        <v>R438</v>
      </c>
      <c r="J148">
        <f>IFERROR(INDEX('Green_rooibos initial weight'!$C$5:$C$2000,MATCH(H148, 'Green_rooibos initial weight'!$A$5:$A$2000,0)),"")</f>
        <v>2.016</v>
      </c>
      <c r="K148">
        <f>IFERROR(INDEX('Green_rooibos initial weight'!$C$5:$C$2000,MATCH(I148, 'Green_rooibos initial weight'!$A$5:$A$2000,0)),"")</f>
        <v>2.1829999999999998</v>
      </c>
      <c r="L148" s="194">
        <f t="shared" si="7"/>
        <v>1.7662</v>
      </c>
      <c r="M148" s="194">
        <f>IF(K148&gt;0,(K148*$F$32-($F$29+$F$30)),"")</f>
        <v>1.9331999999999998</v>
      </c>
      <c r="N148" s="16">
        <f>IF('WetLitterbags placem_collection'!G75="","",'WetLitterbags placem_collection'!G75)</f>
        <v>42818</v>
      </c>
      <c r="O148" s="194">
        <f>IFERROR(INDEX('Both teabags AfterWet'!$C$3:$C$2000,MATCH(H148,'Both teabags AfterWet'!$A$3:$A$2000,0)),"")</f>
        <v>0.74199999999999999</v>
      </c>
      <c r="P148" s="194">
        <f>IFERROR(INDEX('Both teabags AfterWet'!$C$3:$C$2000,MATCH(I148,'Both teabags AfterWet'!$A$3:$A$2000,0)),"")</f>
        <v>0.17480000000000001</v>
      </c>
      <c r="Q148" s="194">
        <f t="shared" si="8"/>
        <v>0.59139999999999993</v>
      </c>
      <c r="R148" s="194">
        <f t="shared" si="8"/>
        <v>2.4199999999999999E-2</v>
      </c>
      <c r="S148" s="194">
        <f t="shared" si="9"/>
        <v>0.66515683388064772</v>
      </c>
      <c r="T148" s="194">
        <f t="shared" si="10"/>
        <v>0.43606481271035341</v>
      </c>
      <c r="U148" s="194">
        <f t="shared" si="11"/>
        <v>1.2518104696875648E-2</v>
      </c>
      <c r="V148">
        <f>IFERROR(IF((N148-G148)&gt;0,(IFERROR(N148-G148,"")),""),"")</f>
        <v>51</v>
      </c>
      <c r="W148" s="194">
        <f t="shared" si="12"/>
        <v>0.21002751320588153</v>
      </c>
      <c r="X148" s="194" t="str">
        <f t="shared" si="13"/>
        <v/>
      </c>
      <c r="Y148" s="252" t="str">
        <f>IF(ISNUMBER(SEARCH("C",'WetLitterbags placem_collection'!$X75)),"YES","NO")</f>
        <v>NO</v>
      </c>
      <c r="Z148" s="252" t="str">
        <f>IF(ISNUMBER(SEARCH("H", 'WetLitterbags placem_collection'!$X75)),"YES","NO")</f>
        <v>NO</v>
      </c>
      <c r="AA148" s="252" t="str">
        <f>IF(ISNUMBER(SEARCH("R", 'WetLitterbags placem_collection'!$X75)),"YES","NO")</f>
        <v>YES</v>
      </c>
      <c r="AB148" s="252" t="str">
        <f>IF(ISNUMBER(SEARCH("C", 'WetLitterbags placem_collection'!$V75)),"YES","NO")</f>
        <v>NO</v>
      </c>
      <c r="AC148" s="252" t="str">
        <f>IF(ISNUMBER(SEARCH("H", 'WetLitterbags placem_collection'!$V75)),"YES","NO")</f>
        <v>YES</v>
      </c>
      <c r="AD148" s="252" t="str">
        <f>IF(ISNUMBER(SEARCH("R", 'WetLitterbags placem_collection'!$V75)),"YES","NO")</f>
        <v>YES</v>
      </c>
    </row>
    <row r="149" spans="2:30">
      <c r="B149" t="str">
        <f>'Final data_for_R_analysis_Wetse'!A75</f>
        <v>Wet</v>
      </c>
      <c r="C149" s="260">
        <f>'Final data_for_R_analysis_Wetse'!B75</f>
        <v>74</v>
      </c>
      <c r="D149" t="s">
        <v>3812</v>
      </c>
      <c r="E149" t="s">
        <v>22</v>
      </c>
      <c r="F149" s="381">
        <v>2</v>
      </c>
      <c r="G149" s="16">
        <f>'WetLitterbags placem_collection'!E76</f>
        <v>42767</v>
      </c>
      <c r="H149" t="str">
        <f>'Final data_for_R_analysis_Wetse'!K75</f>
        <v>G605</v>
      </c>
      <c r="I149" t="str">
        <f>'Final data_for_R_analysis_Wetse'!K295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7"/>
        <v>1.7961999999999998</v>
      </c>
      <c r="M149" s="194">
        <f>IF(K149&gt;0,(K149*$F$32-($F$29+$F$30)),"")</f>
        <v>1.9691999999999998</v>
      </c>
      <c r="N149" s="16">
        <f>IF('WetLitterbags placem_collection'!G76="","",'WetLitterbags placem_collection'!G76)</f>
        <v>42818</v>
      </c>
      <c r="O149" s="194">
        <f>IFERROR(INDEX('Both teabags AfterWet'!$C$3:$C$2000,MATCH(H149,'Both teabags AfterWet'!$A$3:$A$2000,0)),"")</f>
        <v>1.1950000000000001</v>
      </c>
      <c r="P149" s="194">
        <f>IFERROR(INDEX('Both teabags AfterWet'!$C$3:$C$2000,MATCH(I149,'Both teabags AfterWet'!$A$3:$A$2000,0)),"")</f>
        <v>0.35499999999999998</v>
      </c>
      <c r="Q149" s="194">
        <f t="shared" si="8"/>
        <v>1.0444</v>
      </c>
      <c r="R149" s="194">
        <f t="shared" si="8"/>
        <v>0.20439999999999997</v>
      </c>
      <c r="S149" s="194">
        <f t="shared" si="9"/>
        <v>0.41855027279812929</v>
      </c>
      <c r="T149" s="194">
        <f t="shared" si="10"/>
        <v>0.27439400306955747</v>
      </c>
      <c r="U149" s="194">
        <f t="shared" si="11"/>
        <v>0.10379849685151329</v>
      </c>
      <c r="V149">
        <f>IFERROR(IF((N149-G149)&gt;0,(IFERROR(N149-G149,"")),""),"")</f>
        <v>51</v>
      </c>
      <c r="W149" s="194">
        <f t="shared" si="12"/>
        <v>0.50290941472906259</v>
      </c>
      <c r="X149" s="194" t="str">
        <f t="shared" si="13"/>
        <v/>
      </c>
      <c r="Y149" s="252" t="str">
        <f>IF(ISNUMBER(SEARCH("C",'WetLitterbags placem_collection'!$X76)),"YES","NO")</f>
        <v>NO</v>
      </c>
      <c r="Z149" s="252" t="str">
        <f>IF(ISNUMBER(SEARCH("H", 'WetLitterbags placem_collection'!$X76)),"YES","NO")</f>
        <v>NO</v>
      </c>
      <c r="AA149" s="252" t="str">
        <f>IF(ISNUMBER(SEARCH("R", 'WetLitterbags placem_collection'!$X76)),"YES","NO")</f>
        <v>YES</v>
      </c>
      <c r="AB149" s="252" t="str">
        <f>IF(ISNUMBER(SEARCH("C", 'WetLitterbags placem_collection'!$V76)),"YES","NO")</f>
        <v>NO</v>
      </c>
      <c r="AC149" s="252" t="str">
        <f>IF(ISNUMBER(SEARCH("H", 'WetLitterbags placem_collection'!$V76)),"YES","NO")</f>
        <v>YES</v>
      </c>
      <c r="AD149" s="252" t="str">
        <f>IF(ISNUMBER(SEARCH("R", 'WetLitterbags placem_collection'!$V76)),"YES","NO")</f>
        <v>YES</v>
      </c>
    </row>
    <row r="150" spans="2:30">
      <c r="B150" t="str">
        <f>'Final data_for_R_analysis_Wetse'!A76</f>
        <v>Wet</v>
      </c>
      <c r="C150" s="260">
        <f>'Final data_for_R_analysis_Wetse'!B76</f>
        <v>75</v>
      </c>
      <c r="D150" t="s">
        <v>3812</v>
      </c>
      <c r="E150" t="s">
        <v>22</v>
      </c>
      <c r="F150" s="381">
        <v>3</v>
      </c>
      <c r="G150" s="16">
        <f>'WetLitterbags placem_collection'!E77</f>
        <v>42767</v>
      </c>
      <c r="H150" t="str">
        <f>'Final data_for_R_analysis_Wetse'!K76</f>
        <v>G408</v>
      </c>
      <c r="I150" t="str">
        <f>'Final data_for_R_analysis_Wetse'!K296</f>
        <v>R404</v>
      </c>
      <c r="J150">
        <f>IFERROR(INDEX('Green_rooibos initial weight'!$C$5:$C$2000,MATCH(H150, 'Green_rooibos initial weight'!$A$5:$A$2000,0)),"")</f>
        <v>2.044</v>
      </c>
      <c r="K150">
        <f>IFERROR(INDEX('Green_rooibos initial weight'!$C$5:$C$2000,MATCH(I150, 'Green_rooibos initial weight'!$A$5:$A$2000,0)),"")</f>
        <v>2.1779999999999999</v>
      </c>
      <c r="L150" s="194">
        <f t="shared" si="7"/>
        <v>1.7942</v>
      </c>
      <c r="M150" s="194">
        <f>IF(K150&gt;0,(K150*$F$32-($F$29+$F$30)),"")</f>
        <v>1.9281999999999999</v>
      </c>
      <c r="N150" s="16">
        <f>IF('WetLitterbags placem_collection'!G77="","",'WetLitterbags placem_collection'!G77)</f>
        <v>42818</v>
      </c>
      <c r="O150" s="194">
        <f>IFERROR(INDEX('Both teabags AfterWet'!$C$3:$C$2000,MATCH(H150,'Both teabags AfterWet'!$A$3:$A$2000,0)),"")</f>
        <v>0.85780000000000001</v>
      </c>
      <c r="P150" s="194">
        <f>IFERROR(INDEX('Both teabags AfterWet'!$C$3:$C$2000,MATCH(I150,'Both teabags AfterWet'!$A$3:$A$2000,0)),"")</f>
        <v>0.15579999999999999</v>
      </c>
      <c r="Q150" s="194">
        <f t="shared" si="8"/>
        <v>0.70720000000000005</v>
      </c>
      <c r="R150" s="194">
        <f t="shared" si="8"/>
        <v>5.1999999999999824E-3</v>
      </c>
      <c r="S150" s="194">
        <f t="shared" si="9"/>
        <v>0.605841043361944</v>
      </c>
      <c r="T150" s="194">
        <f t="shared" si="10"/>
        <v>0.39717845123015816</v>
      </c>
      <c r="U150" s="194">
        <f t="shared" si="11"/>
        <v>2.6968156830204245E-3</v>
      </c>
      <c r="V150">
        <f>IFERROR(IF((N150-G150)&gt;0,(IFERROR(N150-G150,"")),""),"")</f>
        <v>51</v>
      </c>
      <c r="W150" s="194">
        <f t="shared" si="12"/>
        <v>0.28047382023522083</v>
      </c>
      <c r="X150" s="194" t="str">
        <f t="shared" si="13"/>
        <v/>
      </c>
      <c r="Y150" s="252" t="str">
        <f>IF(ISNUMBER(SEARCH("C",'WetLitterbags placem_collection'!$X77)),"YES","NO")</f>
        <v>NO</v>
      </c>
      <c r="Z150" s="252" t="str">
        <f>IF(ISNUMBER(SEARCH("H", 'WetLitterbags placem_collection'!$X77)),"YES","NO")</f>
        <v>NO</v>
      </c>
      <c r="AA150" s="252" t="str">
        <f>IF(ISNUMBER(SEARCH("R", 'WetLitterbags placem_collection'!$X77)),"YES","NO")</f>
        <v>YES</v>
      </c>
      <c r="AB150" s="252" t="str">
        <f>IF(ISNUMBER(SEARCH("C", 'WetLitterbags placem_collection'!$V77)),"YES","NO")</f>
        <v>NO</v>
      </c>
      <c r="AC150" s="252" t="str">
        <f>IF(ISNUMBER(SEARCH("H", 'WetLitterbags placem_collection'!$V77)),"YES","NO")</f>
        <v>YES</v>
      </c>
      <c r="AD150" s="252" t="str">
        <f>IF(ISNUMBER(SEARCH("R", 'WetLitterbags placem_collection'!$V77)),"YES","NO")</f>
        <v>YES</v>
      </c>
    </row>
    <row r="151" spans="2:30">
      <c r="B151" t="str">
        <f>'Final data_for_R_analysis_Wetse'!A77</f>
        <v>Wet</v>
      </c>
      <c r="C151" s="260">
        <f>'Final data_for_R_analysis_Wetse'!B77</f>
        <v>76</v>
      </c>
      <c r="D151" t="s">
        <v>3812</v>
      </c>
      <c r="E151" t="s">
        <v>22</v>
      </c>
      <c r="F151" s="382">
        <v>4</v>
      </c>
      <c r="G151" s="16">
        <f>'WetLitterbags placem_collection'!E78</f>
        <v>42767</v>
      </c>
      <c r="H151" t="str">
        <f>'Final data_for_R_analysis_Wetse'!K77</f>
        <v>G416</v>
      </c>
      <c r="I151" t="str">
        <f>'Final data_for_R_analysis_Wetse'!K297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7"/>
        <v>1.9321999999999999</v>
      </c>
      <c r="M151" s="194">
        <f>IF(K151&gt;0,(K151*$F$32-($F$29+$F$30)),"")</f>
        <v>1.8881999999999999</v>
      </c>
      <c r="N151" s="16">
        <f>IF('WetLitterbags placem_collection'!G78="","",'WetLitterbags placem_collection'!G78)</f>
        <v>42818</v>
      </c>
      <c r="O151" s="194">
        <f>IFERROR(INDEX('Both teabags AfterWet'!$C$3:$C$2000,MATCH(H151,'Both teabags AfterWet'!$A$3:$A$2000,0)),"")</f>
        <v>0.94399999999999995</v>
      </c>
      <c r="P151" s="194">
        <f>IFERROR(INDEX('Both teabags AfterWet'!$C$3:$C$2000,MATCH(I151,'Both teabags AfterWet'!$A$3:$A$2000,0)),"")</f>
        <v>0.29499999999999998</v>
      </c>
      <c r="Q151" s="194">
        <f t="shared" si="8"/>
        <v>0.79339999999999988</v>
      </c>
      <c r="R151" s="194">
        <f t="shared" si="8"/>
        <v>0.14439999999999997</v>
      </c>
      <c r="S151" s="194">
        <f t="shared" si="9"/>
        <v>0.58937998136838843</v>
      </c>
      <c r="T151" s="194">
        <f t="shared" si="10"/>
        <v>0.38638687614649697</v>
      </c>
      <c r="U151" s="194">
        <f t="shared" si="11"/>
        <v>7.6474949687533086E-2</v>
      </c>
      <c r="V151">
        <f>IFERROR(IF((N151-G151)&gt;0,(IFERROR(N151-G151,"")),""),"")</f>
        <v>51</v>
      </c>
      <c r="W151" s="194">
        <f t="shared" si="12"/>
        <v>0.30002377509692579</v>
      </c>
      <c r="X151" s="194" t="str">
        <f t="shared" si="13"/>
        <v/>
      </c>
      <c r="Y151" s="252" t="str">
        <f>IF(ISNUMBER(SEARCH("C",'WetLitterbags placem_collection'!$X78)),"YES","NO")</f>
        <v>NO</v>
      </c>
      <c r="Z151" s="252" t="str">
        <f>IF(ISNUMBER(SEARCH("H", 'WetLitterbags placem_collection'!$X78)),"YES","NO")</f>
        <v>NO</v>
      </c>
      <c r="AA151" s="252" t="str">
        <f>IF(ISNUMBER(SEARCH("R", 'WetLitterbags placem_collection'!$X78)),"YES","NO")</f>
        <v>YES</v>
      </c>
      <c r="AB151" s="252" t="str">
        <f>IF(ISNUMBER(SEARCH("C", 'WetLitterbags placem_collection'!$V78)),"YES","NO")</f>
        <v>NO</v>
      </c>
      <c r="AC151" s="252" t="str">
        <f>IF(ISNUMBER(SEARCH("H", 'WetLitterbags placem_collection'!$V78)),"YES","NO")</f>
        <v>YES</v>
      </c>
      <c r="AD151" s="252" t="str">
        <f>IF(ISNUMBER(SEARCH("R", 'WetLitterbags placem_collection'!$V78)),"YES","NO")</f>
        <v>NO</v>
      </c>
    </row>
    <row r="152" spans="2:30">
      <c r="B152" t="str">
        <f>'Final data_for_R_analysis_Wetse'!A78</f>
        <v>Wet</v>
      </c>
      <c r="C152" s="260">
        <f>'Final data_for_R_analysis_Wetse'!B78</f>
        <v>77</v>
      </c>
      <c r="D152" t="s">
        <v>3812</v>
      </c>
      <c r="E152" t="s">
        <v>22</v>
      </c>
      <c r="F152" s="382">
        <v>5</v>
      </c>
      <c r="G152" s="16">
        <f>'WetLitterbags placem_collection'!E79</f>
        <v>42767</v>
      </c>
      <c r="H152" t="str">
        <f>'Final data_for_R_analysis_Wetse'!K78</f>
        <v>G594</v>
      </c>
      <c r="I152" t="str">
        <f>'Final data_for_R_analysis_Wetse'!K298</f>
        <v>R137</v>
      </c>
      <c r="J152">
        <f>IFERROR(INDEX('Green_rooibos initial weight'!$C$5:$C$2000,MATCH(H152, 'Green_rooibos initial weight'!$A$5:$A$2000,0)),"")</f>
        <v>2.0680000000000001</v>
      </c>
      <c r="K152">
        <f>IFERROR(INDEX('Green_rooibos initial weight'!$C$5:$C$2000,MATCH(I152, 'Green_rooibos initial weight'!$A$5:$A$2000,0)),"")</f>
        <v>2.198</v>
      </c>
      <c r="L152" s="194">
        <f t="shared" si="7"/>
        <v>1.8182</v>
      </c>
      <c r="M152" s="194">
        <f>IF(K152&gt;0,(K152*$F$32-($F$29+$F$30)),"")</f>
        <v>1.9481999999999999</v>
      </c>
      <c r="N152" s="16">
        <f>IF('WetLitterbags placem_collection'!G79="","",'WetLitterbags placem_collection'!G79)</f>
        <v>42818</v>
      </c>
      <c r="O152" s="194">
        <f>IFERROR(INDEX('Both teabags AfterWet'!$C$3:$C$2000,MATCH(H152,'Both teabags AfterWet'!$A$3:$A$2000,0)),"")</f>
        <v>0.94699999999999995</v>
      </c>
      <c r="P152" s="194">
        <f>IFERROR(INDEX('Both teabags AfterWet'!$C$3:$C$2000,MATCH(I152,'Both teabags AfterWet'!$A$3:$A$2000,0)),"")</f>
        <v>1.698</v>
      </c>
      <c r="Q152" s="194">
        <f t="shared" si="8"/>
        <v>0.7964</v>
      </c>
      <c r="R152" s="194">
        <f t="shared" si="8"/>
        <v>1.5473999999999999</v>
      </c>
      <c r="S152" s="194">
        <f t="shared" si="9"/>
        <v>0.56198438015619845</v>
      </c>
      <c r="T152" s="194">
        <f t="shared" si="10"/>
        <v>0.36842681454420612</v>
      </c>
      <c r="U152" s="194">
        <f t="shared" si="11"/>
        <v>0.79427163535571299</v>
      </c>
      <c r="V152">
        <f>IFERROR(IF((N152-G152)&gt;0,(IFERROR(N152-G152,"")),""),"")</f>
        <v>51</v>
      </c>
      <c r="W152" s="194">
        <f t="shared" si="12"/>
        <v>0.33256011857933676</v>
      </c>
      <c r="X152" s="194">
        <f t="shared" si="13"/>
        <v>1.6026345125444878E-2</v>
      </c>
      <c r="Y152" s="252" t="str">
        <f>IF(ISNUMBER(SEARCH("C",'WetLitterbags placem_collection'!$X79)),"YES","NO")</f>
        <v>NO</v>
      </c>
      <c r="Z152" s="252" t="str">
        <f>IF(ISNUMBER(SEARCH("H", 'WetLitterbags placem_collection'!$X79)),"YES","NO")</f>
        <v>NO</v>
      </c>
      <c r="AA152" s="252" t="str">
        <f>IF(ISNUMBER(SEARCH("R", 'WetLitterbags placem_collection'!$X79)),"YES","NO")</f>
        <v>YES</v>
      </c>
      <c r="AB152" s="252" t="str">
        <f>IF(ISNUMBER(SEARCH("C", 'WetLitterbags placem_collection'!$V79)),"YES","NO")</f>
        <v>NO</v>
      </c>
      <c r="AC152" s="252" t="str">
        <f>IF(ISNUMBER(SEARCH("H", 'WetLitterbags placem_collection'!$V79)),"YES","NO")</f>
        <v>NO</v>
      </c>
      <c r="AD152" s="252" t="str">
        <f>IF(ISNUMBER(SEARCH("R", 'WetLitterbags placem_collection'!$V79)),"YES","NO")</f>
        <v>YES</v>
      </c>
    </row>
    <row r="153" spans="2:30">
      <c r="B153" t="str">
        <f>'Final data_for_R_analysis_Wetse'!A79</f>
        <v>Wet</v>
      </c>
      <c r="C153" s="260">
        <f>'Final data_for_R_analysis_Wetse'!B79</f>
        <v>78</v>
      </c>
      <c r="D153" t="s">
        <v>3812</v>
      </c>
      <c r="E153" t="s">
        <v>22</v>
      </c>
      <c r="F153" s="382">
        <v>6</v>
      </c>
      <c r="G153" s="16">
        <f>'WetLitterbags placem_collection'!E80</f>
        <v>42767</v>
      </c>
      <c r="H153" t="str">
        <f>'Final data_for_R_analysis_Wetse'!K79</f>
        <v>G460</v>
      </c>
      <c r="I153" t="str">
        <f>'Final data_for_R_analysis_Wetse'!K299</f>
        <v>R278</v>
      </c>
      <c r="J153">
        <f>IFERROR(INDEX('Green_rooibos initial weight'!$C$5:$C$2000,MATCH(H153, 'Green_rooibos initial weight'!$A$5:$A$2000,0)),"")</f>
        <v>2.1560000000000001</v>
      </c>
      <c r="K153">
        <f>IFERROR(INDEX('Green_rooibos initial weight'!$C$5:$C$2000,MATCH(I153, 'Green_rooibos initial weight'!$A$5:$A$2000,0)),"")</f>
        <v>2.198</v>
      </c>
      <c r="L153" s="194">
        <f t="shared" si="7"/>
        <v>1.9062000000000001</v>
      </c>
      <c r="M153" s="194">
        <f>IF(K153&gt;0,(K153*$F$32-($F$29+$F$30)),"")</f>
        <v>1.9481999999999999</v>
      </c>
      <c r="N153" s="16">
        <f>IF('WetLitterbags placem_collection'!G80="","",'WetLitterbags placem_collection'!G80)</f>
        <v>42818</v>
      </c>
      <c r="O153" s="194">
        <f>IFERROR(INDEX('Both teabags AfterWet'!$C$3:$C$2000,MATCH(H153,'Both teabags AfterWet'!$A$3:$A$2000,0)),"")</f>
        <v>0.90669999999999995</v>
      </c>
      <c r="P153" s="194">
        <f>IFERROR(INDEX('Both teabags AfterWet'!$C$3:$C$2000,MATCH(I153,'Both teabags AfterWet'!$A$3:$A$2000,0)),"")</f>
        <v>1.6845000000000001</v>
      </c>
      <c r="Q153" s="194">
        <f t="shared" si="8"/>
        <v>0.75609999999999999</v>
      </c>
      <c r="R153" s="194">
        <f t="shared" si="8"/>
        <v>1.5339</v>
      </c>
      <c r="S153" s="194">
        <f t="shared" si="9"/>
        <v>0.60334697303535834</v>
      </c>
      <c r="T153" s="194">
        <f t="shared" si="10"/>
        <v>0.39554338374764592</v>
      </c>
      <c r="U153" s="194">
        <f t="shared" si="11"/>
        <v>0.78734216199568841</v>
      </c>
      <c r="V153">
        <f>IFERROR(IF((N153-G153)&gt;0,(IFERROR(N153-G153,"")),""),"")</f>
        <v>51</v>
      </c>
      <c r="W153" s="194">
        <f t="shared" si="12"/>
        <v>0.2834358990078879</v>
      </c>
      <c r="X153" s="194">
        <f t="shared" si="13"/>
        <v>1.5125489226115613E-2</v>
      </c>
      <c r="Y153" s="252" t="str">
        <f>IF(ISNUMBER(SEARCH("C",'WetLitterbags placem_collection'!$X80)),"YES","NO")</f>
        <v>NO</v>
      </c>
      <c r="Z153" s="252" t="str">
        <f>IF(ISNUMBER(SEARCH("H", 'WetLitterbags placem_collection'!$X80)),"YES","NO")</f>
        <v>NO</v>
      </c>
      <c r="AA153" s="252" t="str">
        <f>IF(ISNUMBER(SEARCH("R", 'WetLitterbags placem_collection'!$X80)),"YES","NO")</f>
        <v>YES</v>
      </c>
      <c r="AB153" s="252" t="str">
        <f>IF(ISNUMBER(SEARCH("C", 'WetLitterbags placem_collection'!$V80)),"YES","NO")</f>
        <v>NO</v>
      </c>
      <c r="AC153" s="252" t="str">
        <f>IF(ISNUMBER(SEARCH("H", 'WetLitterbags placem_collection'!$V80)),"YES","NO")</f>
        <v>NO</v>
      </c>
      <c r="AD153" s="252" t="str">
        <f>IF(ISNUMBER(SEARCH("R", 'WetLitterbags placem_collection'!$V80)),"YES","NO")</f>
        <v>YES</v>
      </c>
    </row>
    <row r="154" spans="2:30">
      <c r="B154" t="str">
        <f>'Final data_for_R_analysis_Wetse'!A80</f>
        <v>Wet</v>
      </c>
      <c r="C154" s="260">
        <f>'Final data_for_R_analysis_Wetse'!B80</f>
        <v>79</v>
      </c>
      <c r="D154" t="s">
        <v>3812</v>
      </c>
      <c r="E154" t="s">
        <v>22</v>
      </c>
      <c r="F154" s="382">
        <v>7</v>
      </c>
      <c r="G154" s="16">
        <f>'WetLitterbags placem_collection'!E81</f>
        <v>42767</v>
      </c>
      <c r="H154" t="str">
        <f>'Final data_for_R_analysis_Wetse'!K80</f>
        <v>G217</v>
      </c>
      <c r="I154" t="str">
        <f>'Final data_for_R_analysis_Wetse'!K300</f>
        <v>R235</v>
      </c>
      <c r="J154">
        <f>IFERROR(INDEX('Green_rooibos initial weight'!$C$5:$C$2000,MATCH(H154, 'Green_rooibos initial weight'!$A$5:$A$2000,0)),"")</f>
        <v>1.944</v>
      </c>
      <c r="K154">
        <f>IFERROR(INDEX('Green_rooibos initial weight'!$C$5:$C$2000,MATCH(I154, 'Green_rooibos initial weight'!$A$5:$A$2000,0)),"")</f>
        <v>2.169</v>
      </c>
      <c r="L154" s="194">
        <f t="shared" si="7"/>
        <v>1.6941999999999999</v>
      </c>
      <c r="M154" s="194">
        <f>IF(K154&gt;0,(K154*$F$32-($F$29+$F$30)),"")</f>
        <v>1.9192</v>
      </c>
      <c r="N154" s="16">
        <f>IF('WetLitterbags placem_collection'!G81="","",'WetLitterbags placem_collection'!G81)</f>
        <v>42818</v>
      </c>
      <c r="O154" s="194">
        <f>IFERROR(INDEX('Both teabags AfterWet'!$C$3:$C$2000,MATCH(H154,'Both teabags AfterWet'!$A$3:$A$2000,0)),"")</f>
        <v>0.85370000000000001</v>
      </c>
      <c r="P154" s="194">
        <f>IFERROR(INDEX('Both teabags AfterWet'!$C$3:$C$2000,MATCH(I154,'Both teabags AfterWet'!$A$3:$A$2000,0)),"")</f>
        <v>1.5528</v>
      </c>
      <c r="Q154" s="194">
        <f t="shared" si="8"/>
        <v>0.70310000000000006</v>
      </c>
      <c r="R154" s="194">
        <f t="shared" si="8"/>
        <v>1.4021999999999999</v>
      </c>
      <c r="S154" s="194">
        <f t="shared" si="9"/>
        <v>0.58499586825640415</v>
      </c>
      <c r="T154" s="194">
        <f t="shared" si="10"/>
        <v>0.38351273073341463</v>
      </c>
      <c r="U154" s="194">
        <f t="shared" si="11"/>
        <v>0.73061692371821585</v>
      </c>
      <c r="V154">
        <f>IFERROR(IF((N154-G154)&gt;0,(IFERROR(N154-G154,"")),""),"")</f>
        <v>51</v>
      </c>
      <c r="W154" s="194">
        <f t="shared" si="12"/>
        <v>0.30523056026555329</v>
      </c>
      <c r="X154" s="194">
        <f t="shared" si="13"/>
        <v>2.3765444991071194E-2</v>
      </c>
      <c r="Y154" s="252" t="str">
        <f>IF(ISNUMBER(SEARCH("C",'WetLitterbags placem_collection'!$X81)),"YES","NO")</f>
        <v>NO</v>
      </c>
      <c r="Z154" s="252" t="str">
        <f>IF(ISNUMBER(SEARCH("H", 'WetLitterbags placem_collection'!$X81)),"YES","NO")</f>
        <v>NO</v>
      </c>
      <c r="AA154" s="252" t="str">
        <f>IF(ISNUMBER(SEARCH("R", 'WetLitterbags placem_collection'!$X81)),"YES","NO")</f>
        <v>YES</v>
      </c>
      <c r="AB154" s="252" t="str">
        <f>IF(ISNUMBER(SEARCH("C", 'WetLitterbags placem_collection'!$V81)),"YES","NO")</f>
        <v>NO</v>
      </c>
      <c r="AC154" s="252" t="str">
        <f>IF(ISNUMBER(SEARCH("H", 'WetLitterbags placem_collection'!$V81)),"YES","NO")</f>
        <v>NO</v>
      </c>
      <c r="AD154" s="252" t="str">
        <f>IF(ISNUMBER(SEARCH("R", 'WetLitterbags placem_collection'!$V81)),"YES","NO")</f>
        <v>YES</v>
      </c>
    </row>
    <row r="155" spans="2:30">
      <c r="B155" t="str">
        <f>'Final data_for_R_analysis_Wetse'!A81</f>
        <v>Wet</v>
      </c>
      <c r="C155" s="260">
        <f>'Final data_for_R_analysis_Wetse'!B81</f>
        <v>80</v>
      </c>
      <c r="D155" t="s">
        <v>3812</v>
      </c>
      <c r="E155" t="s">
        <v>22</v>
      </c>
      <c r="F155" s="382">
        <v>8</v>
      </c>
      <c r="G155" s="16">
        <f>'WetLitterbags placem_collection'!E82</f>
        <v>42767</v>
      </c>
      <c r="H155" t="str">
        <f>'Final data_for_R_analysis_Wetse'!K81</f>
        <v>G607</v>
      </c>
      <c r="I155" t="str">
        <f>'Final data_for_R_analysis_Wetse'!K301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7"/>
        <v>1.6952</v>
      </c>
      <c r="M155" s="194">
        <f>IF(K155&gt;0,(K155*$F$32-($F$29+$F$30)),"")</f>
        <v>1.9251999999999998</v>
      </c>
      <c r="N155" s="16">
        <f>IF('WetLitterbags placem_collection'!G82="","",'WetLitterbags placem_collection'!G82)</f>
        <v>42818</v>
      </c>
      <c r="O155" s="194">
        <f>IFERROR(INDEX('Both teabags AfterWet'!$C$3:$C$2000,MATCH(H155,'Both teabags AfterWet'!$A$3:$A$2000,0)),"")</f>
        <v>0.92400000000000004</v>
      </c>
      <c r="P155" s="194">
        <f>IFERROR(INDEX('Both teabags AfterWet'!$C$3:$C$2000,MATCH(I155,'Both teabags AfterWet'!$A$3:$A$2000,0)),"")</f>
        <v>0.23799999999999999</v>
      </c>
      <c r="Q155" s="194">
        <f t="shared" si="8"/>
        <v>0.77340000000000009</v>
      </c>
      <c r="R155" s="194">
        <f t="shared" si="8"/>
        <v>8.7399999999999978E-2</v>
      </c>
      <c r="S155" s="194">
        <f t="shared" si="9"/>
        <v>0.54377064653138274</v>
      </c>
      <c r="T155" s="194">
        <f t="shared" si="10"/>
        <v>0.3564862195787688</v>
      </c>
      <c r="U155" s="194">
        <f t="shared" si="11"/>
        <v>4.5397880739663402E-2</v>
      </c>
      <c r="V155">
        <f>IFERROR(IF((N155-G155)&gt;0,(IFERROR(N155-G155,"")),""),"")</f>
        <v>51</v>
      </c>
      <c r="W155" s="194">
        <f t="shared" si="12"/>
        <v>0.35419163119788266</v>
      </c>
      <c r="X155" s="194" t="str">
        <f t="shared" si="13"/>
        <v/>
      </c>
      <c r="Y155" s="252" t="str">
        <f>IF(ISNUMBER(SEARCH("C",'WetLitterbags placem_collection'!$X82)),"YES","NO")</f>
        <v>NO</v>
      </c>
      <c r="Z155" s="252" t="str">
        <f>IF(ISNUMBER(SEARCH("H", 'WetLitterbags placem_collection'!$X82)),"YES","NO")</f>
        <v>NO</v>
      </c>
      <c r="AA155" s="252" t="str">
        <f>IF(ISNUMBER(SEARCH("R", 'WetLitterbags placem_collection'!$X82)),"YES","NO")</f>
        <v>YES</v>
      </c>
      <c r="AB155" s="252" t="str">
        <f>IF(ISNUMBER(SEARCH("C", 'WetLitterbags placem_collection'!$V82)),"YES","NO")</f>
        <v>YES</v>
      </c>
      <c r="AC155" s="252" t="str">
        <f>IF(ISNUMBER(SEARCH("H", 'WetLitterbags placem_collection'!$V82)),"YES","NO")</f>
        <v>YES</v>
      </c>
      <c r="AD155" s="252" t="str">
        <f>IF(ISNUMBER(SEARCH("R", 'WetLitterbags placem_collection'!$V82)),"YES","NO")</f>
        <v>NO</v>
      </c>
    </row>
    <row r="156" spans="2:30">
      <c r="B156" t="str">
        <f>'Final data_for_R_analysis_Wetse'!A82</f>
        <v>Wet</v>
      </c>
      <c r="C156" s="260">
        <f>'Final data_for_R_analysis_Wetse'!B82</f>
        <v>81</v>
      </c>
      <c r="D156" t="s">
        <v>3813</v>
      </c>
      <c r="E156" t="s">
        <v>22</v>
      </c>
      <c r="F156" s="381">
        <v>1</v>
      </c>
      <c r="G156" s="16">
        <f>'WetLitterbags placem_collection'!E83</f>
        <v>42767</v>
      </c>
      <c r="H156" t="str">
        <f>'Final data_for_R_analysis_Wetse'!K82</f>
        <v>G542</v>
      </c>
      <c r="I156" t="str">
        <f>'Final data_for_R_analysis_Wetse'!K302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7"/>
        <v>1.8281999999999998</v>
      </c>
      <c r="M156" s="194">
        <f>IF(K156&gt;0,(K156*$F$32-($F$29+$F$30)),"")</f>
        <v>1.9712000000000001</v>
      </c>
      <c r="N156" s="16">
        <f>IF('WetLitterbags placem_collection'!G83="","",'WetLitterbags placem_collection'!G83)</f>
        <v>42818</v>
      </c>
      <c r="O156" s="194">
        <f>IFERROR(INDEX('Both teabags AfterWet'!$C$3:$C$2000,MATCH(H156,'Both teabags AfterWet'!$A$3:$A$2000,0)),"")</f>
        <v>0.85099999999999998</v>
      </c>
      <c r="P156" s="194">
        <f>IFERROR(INDEX('Both teabags AfterWet'!$C$3:$C$2000,MATCH(I156,'Both teabags AfterWet'!$A$3:$A$2000,0)),"")</f>
        <v>1.8420000000000001</v>
      </c>
      <c r="Q156" s="194">
        <f t="shared" si="8"/>
        <v>0.70039999999999991</v>
      </c>
      <c r="R156" s="194">
        <f t="shared" si="8"/>
        <v>1.6914</v>
      </c>
      <c r="S156" s="194">
        <f t="shared" si="9"/>
        <v>0.61689093097035341</v>
      </c>
      <c r="T156" s="194">
        <f t="shared" si="10"/>
        <v>0.40442255807082561</v>
      </c>
      <c r="U156" s="194">
        <f t="shared" si="11"/>
        <v>0.85805600649350644</v>
      </c>
      <c r="V156">
        <f>IFERROR(IF((N156-G156)&gt;0,(IFERROR(N156-G156,"")),""),"")</f>
        <v>51</v>
      </c>
      <c r="W156" s="194">
        <f t="shared" si="12"/>
        <v>0.26735043827748994</v>
      </c>
      <c r="X156" s="194">
        <f t="shared" si="13"/>
        <v>8.4762911230470001E-3</v>
      </c>
      <c r="Y156" s="252" t="str">
        <f>IF(ISNUMBER(SEARCH("C",'WetLitterbags placem_collection'!$X83)),"YES","NO")</f>
        <v>NO</v>
      </c>
      <c r="Z156" s="252" t="str">
        <f>IF(ISNUMBER(SEARCH("H", 'WetLitterbags placem_collection'!$X83)),"YES","NO")</f>
        <v>NO</v>
      </c>
      <c r="AA156" s="252" t="str">
        <f>IF(ISNUMBER(SEARCH("R", 'WetLitterbags placem_collection'!$X83)),"YES","NO")</f>
        <v>YES</v>
      </c>
      <c r="AB156" s="252" t="str">
        <f>IF(ISNUMBER(SEARCH("C", 'WetLitterbags placem_collection'!$V83)),"YES","NO")</f>
        <v>NO</v>
      </c>
      <c r="AC156" s="252" t="str">
        <f>IF(ISNUMBER(SEARCH("H", 'WetLitterbags placem_collection'!$V83)),"YES","NO")</f>
        <v>YES</v>
      </c>
      <c r="AD156" s="252" t="str">
        <f>IF(ISNUMBER(SEARCH("R", 'WetLitterbags placem_collection'!$V83)),"YES","NO")</f>
        <v>YES</v>
      </c>
    </row>
    <row r="157" spans="2:30">
      <c r="B157" t="str">
        <f>'Final data_for_R_analysis_Wetse'!A83</f>
        <v>Wet</v>
      </c>
      <c r="C157" s="260">
        <f>'Final data_for_R_analysis_Wetse'!B83</f>
        <v>82</v>
      </c>
      <c r="D157" t="s">
        <v>3813</v>
      </c>
      <c r="E157" t="s">
        <v>22</v>
      </c>
      <c r="F157" s="381">
        <v>2</v>
      </c>
      <c r="G157" s="16">
        <f>'WetLitterbags placem_collection'!E84</f>
        <v>42767</v>
      </c>
      <c r="H157" t="str">
        <f>'Final data_for_R_analysis_Wetse'!K83</f>
        <v>G536</v>
      </c>
      <c r="I157" t="str">
        <f>'Final data_for_R_analysis_Wetse'!K303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7"/>
        <v>1.8012000000000001</v>
      </c>
      <c r="M157" s="194">
        <f>IF(K157&gt;0,(K157*$F$32-($F$29+$F$30)),"")</f>
        <v>1.7892000000000001</v>
      </c>
      <c r="N157" s="16">
        <f>IF('WetLitterbags placem_collection'!G84="","",'WetLitterbags placem_collection'!G84)</f>
        <v>42819</v>
      </c>
      <c r="O157" s="194">
        <f>IFERROR(INDEX('Both teabags AfterWet'!$C$3:$C$2000,MATCH(H157,'Both teabags AfterWet'!$A$3:$A$2000,0)),"")</f>
        <v>0.748</v>
      </c>
      <c r="P157" s="194">
        <f>IFERROR(INDEX('Both teabags AfterWet'!$C$3:$C$2000,MATCH(I157,'Both teabags AfterWet'!$A$3:$A$2000,0)),"")</f>
        <v>1.5940000000000001</v>
      </c>
      <c r="Q157" s="194">
        <f t="shared" si="8"/>
        <v>0.59739999999999993</v>
      </c>
      <c r="R157" s="194">
        <f t="shared" si="8"/>
        <v>1.4434</v>
      </c>
      <c r="S157" s="194">
        <f t="shared" si="9"/>
        <v>0.66833222296246952</v>
      </c>
      <c r="T157" s="194">
        <f t="shared" si="10"/>
        <v>0.4381465404694575</v>
      </c>
      <c r="U157" s="194">
        <f t="shared" si="11"/>
        <v>0.80672926447574334</v>
      </c>
      <c r="V157">
        <f>IFERROR(IF((N157-G157)&gt;0,(IFERROR(N157-G157,"")),""),"")</f>
        <v>52</v>
      </c>
      <c r="W157" s="194">
        <f t="shared" si="12"/>
        <v>0.20625626726547563</v>
      </c>
      <c r="X157" s="194">
        <f t="shared" si="13"/>
        <v>1.1188504966848371E-2</v>
      </c>
      <c r="Y157" s="252" t="str">
        <f>IF(ISNUMBER(SEARCH("C",'WetLitterbags placem_collection'!$X84)),"YES","NO")</f>
        <v>NO</v>
      </c>
      <c r="Z157" s="252" t="str">
        <f>IF(ISNUMBER(SEARCH("H", 'WetLitterbags placem_collection'!$X84)),"YES","NO")</f>
        <v>NO</v>
      </c>
      <c r="AA157" s="252" t="str">
        <f>IF(ISNUMBER(SEARCH("R", 'WetLitterbags placem_collection'!$X84)),"YES","NO")</f>
        <v>YES</v>
      </c>
      <c r="AB157" s="252" t="str">
        <f>IF(ISNUMBER(SEARCH("C", 'WetLitterbags placem_collection'!$V84)),"YES","NO")</f>
        <v>NO</v>
      </c>
      <c r="AC157" s="252" t="str">
        <f>IF(ISNUMBER(SEARCH("H", 'WetLitterbags placem_collection'!$V84)),"YES","NO")</f>
        <v>YES</v>
      </c>
      <c r="AD157" s="252" t="str">
        <f>IF(ISNUMBER(SEARCH("R", 'WetLitterbags placem_collection'!$V84)),"YES","NO")</f>
        <v>YES</v>
      </c>
    </row>
    <row r="158" spans="2:30">
      <c r="B158" t="str">
        <f>'Final data_for_R_analysis_Wetse'!A84</f>
        <v>Wet</v>
      </c>
      <c r="C158" s="260">
        <f>'Final data_for_R_analysis_Wetse'!B84</f>
        <v>83</v>
      </c>
      <c r="D158" t="s">
        <v>3813</v>
      </c>
      <c r="E158" t="s">
        <v>22</v>
      </c>
      <c r="F158" s="381">
        <v>3</v>
      </c>
      <c r="G158" s="16">
        <f>'WetLitterbags placem_collection'!E85</f>
        <v>42767</v>
      </c>
      <c r="H158" t="str">
        <f>'Final data_for_R_analysis_Wetse'!K84</f>
        <v>G494</v>
      </c>
      <c r="I158" t="str">
        <f>'Final data_for_R_analysis_Wetse'!K304</f>
        <v>R134</v>
      </c>
      <c r="J158">
        <f>IFERROR(INDEX('Green_rooibos initial weight'!$C$5:$C$2000,MATCH(H158, 'Green_rooibos initial weight'!$A$5:$A$2000,0)),"")</f>
        <v>1.903</v>
      </c>
      <c r="K158">
        <f>IFERROR(INDEX('Green_rooibos initial weight'!$C$5:$C$2000,MATCH(I158, 'Green_rooibos initial weight'!$A$5:$A$2000,0)),"")</f>
        <v>2.21</v>
      </c>
      <c r="L158" s="194">
        <f t="shared" si="7"/>
        <v>1.6532</v>
      </c>
      <c r="M158" s="194">
        <f>IF(K158&gt;0,(K158*$F$32-($F$29+$F$30)),"")</f>
        <v>1.9601999999999999</v>
      </c>
      <c r="N158" s="16">
        <f>IF('WetLitterbags placem_collection'!G85="","",'WetLitterbags placem_collection'!G85)</f>
        <v>42819</v>
      </c>
      <c r="O158" s="194">
        <f>IFERROR(INDEX('Both teabags AfterWet'!$C$3:$C$2000,MATCH(H158,'Both teabags AfterWet'!$A$3:$A$2000,0)),"")</f>
        <v>0.90200000000000002</v>
      </c>
      <c r="P158" s="194">
        <f>IFERROR(INDEX('Both teabags AfterWet'!$C$3:$C$2000,MATCH(I158,'Both teabags AfterWet'!$A$3:$A$2000,0)),"")</f>
        <v>0.98799999999999999</v>
      </c>
      <c r="Q158" s="194">
        <f t="shared" si="8"/>
        <v>0.75140000000000007</v>
      </c>
      <c r="R158" s="194">
        <f t="shared" si="8"/>
        <v>0.83739999999999992</v>
      </c>
      <c r="S158" s="194">
        <f t="shared" si="9"/>
        <v>0.54548753931768679</v>
      </c>
      <c r="T158" s="194">
        <f t="shared" si="10"/>
        <v>0.35761178349568068</v>
      </c>
      <c r="U158" s="194">
        <f t="shared" si="11"/>
        <v>0.42720130598918477</v>
      </c>
      <c r="V158">
        <f>IFERROR(IF((N158-G158)&gt;0,(IFERROR(N158-G158,"")),""),"")</f>
        <v>52</v>
      </c>
      <c r="W158" s="194">
        <f t="shared" si="12"/>
        <v>0.35215256613101331</v>
      </c>
      <c r="X158" s="194" t="str">
        <f t="shared" si="13"/>
        <v/>
      </c>
      <c r="Y158" s="252" t="str">
        <f>IF(ISNUMBER(SEARCH("C",'WetLitterbags placem_collection'!$X85)),"YES","NO")</f>
        <v>NO</v>
      </c>
      <c r="Z158" s="252" t="str">
        <f>IF(ISNUMBER(SEARCH("H", 'WetLitterbags placem_collection'!$X85)),"YES","NO")</f>
        <v>NO</v>
      </c>
      <c r="AA158" s="252" t="str">
        <f>IF(ISNUMBER(SEARCH("R", 'WetLitterbags placem_collection'!$X85)),"YES","NO")</f>
        <v>YES</v>
      </c>
      <c r="AB158" s="252" t="str">
        <f>IF(ISNUMBER(SEARCH("C", 'WetLitterbags placem_collection'!$V85)),"YES","NO")</f>
        <v>NO</v>
      </c>
      <c r="AC158" s="252" t="str">
        <f>IF(ISNUMBER(SEARCH("H", 'WetLitterbags placem_collection'!$V85)),"YES","NO")</f>
        <v>NO</v>
      </c>
      <c r="AD158" s="252" t="str">
        <f>IF(ISNUMBER(SEARCH("R", 'WetLitterbags placem_collection'!$V85)),"YES","NO")</f>
        <v>YES</v>
      </c>
    </row>
    <row r="159" spans="2:30">
      <c r="B159" t="str">
        <f>'Final data_for_R_analysis_Wetse'!A85</f>
        <v>Wet</v>
      </c>
      <c r="C159" s="260">
        <f>'Final data_for_R_analysis_Wetse'!B85</f>
        <v>84</v>
      </c>
      <c r="D159" t="s">
        <v>3813</v>
      </c>
      <c r="E159" t="s">
        <v>22</v>
      </c>
      <c r="F159" s="382">
        <v>4</v>
      </c>
      <c r="G159" s="16">
        <f>'WetLitterbags placem_collection'!E86</f>
        <v>42767</v>
      </c>
      <c r="H159" t="str">
        <f>'Final data_for_R_analysis_Wetse'!K85</f>
        <v>G291</v>
      </c>
      <c r="I159" t="str">
        <f>'Final data_for_R_analysis_Wetse'!K305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7"/>
        <v>1.8382000000000001</v>
      </c>
      <c r="M159" s="194">
        <f>IF(K159&gt;0,(K159*$F$32-($F$29+$F$30)),"")</f>
        <v>2.0501999999999998</v>
      </c>
      <c r="N159" s="16">
        <f>IF('WetLitterbags placem_collection'!G86="","",'WetLitterbags placem_collection'!G86)</f>
        <v>42819</v>
      </c>
      <c r="O159" s="194">
        <f>IFERROR(INDEX('Both teabags AfterWet'!$C$3:$C$2000,MATCH(H159,'Both teabags AfterWet'!$A$3:$A$2000,0)),"")</f>
        <v>0.90300000000000002</v>
      </c>
      <c r="P159" s="194">
        <f>IFERROR(INDEX('Both teabags AfterWet'!$C$3:$C$2000,MATCH(I159,'Both teabags AfterWet'!$A$3:$A$2000,0)),"")</f>
        <v>1.6379999999999999</v>
      </c>
      <c r="Q159" s="194">
        <f t="shared" si="8"/>
        <v>0.75239999999999996</v>
      </c>
      <c r="R159" s="194">
        <f t="shared" si="8"/>
        <v>1.4873999999999998</v>
      </c>
      <c r="S159" s="194">
        <f t="shared" si="9"/>
        <v>0.5906865411815907</v>
      </c>
      <c r="T159" s="194">
        <f t="shared" si="10"/>
        <v>0.38724343317367949</v>
      </c>
      <c r="U159" s="194">
        <f t="shared" si="11"/>
        <v>0.72549019607843135</v>
      </c>
      <c r="V159">
        <f>IFERROR(IF((N159-G159)&gt;0,(IFERROR(N159-G159,"")),""),"")</f>
        <v>52</v>
      </c>
      <c r="W159" s="194">
        <f t="shared" si="12"/>
        <v>0.29847204135202998</v>
      </c>
      <c r="X159" s="194">
        <f t="shared" si="13"/>
        <v>2.3731264400509981E-2</v>
      </c>
      <c r="Y159" s="252" t="str">
        <f>IF(ISNUMBER(SEARCH("C",'WetLitterbags placem_collection'!$X86)),"YES","NO")</f>
        <v>NO</v>
      </c>
      <c r="Z159" s="252" t="str">
        <f>IF(ISNUMBER(SEARCH("H", 'WetLitterbags placem_collection'!$X86)),"YES","NO")</f>
        <v>NO</v>
      </c>
      <c r="AA159" s="252" t="str">
        <f>IF(ISNUMBER(SEARCH("R", 'WetLitterbags placem_collection'!$X86)),"YES","NO")</f>
        <v>YES</v>
      </c>
      <c r="AB159" s="252" t="str">
        <f>IF(ISNUMBER(SEARCH("C", 'WetLitterbags placem_collection'!$V86)),"YES","NO")</f>
        <v>NO</v>
      </c>
      <c r="AC159" s="252" t="str">
        <f>IF(ISNUMBER(SEARCH("H", 'WetLitterbags placem_collection'!$V86)),"YES","NO")</f>
        <v>NO</v>
      </c>
      <c r="AD159" s="252" t="str">
        <f>IF(ISNUMBER(SEARCH("R", 'WetLitterbags placem_collection'!$V86)),"YES","NO")</f>
        <v>YES</v>
      </c>
    </row>
    <row r="160" spans="2:30">
      <c r="B160" t="str">
        <f>'Final data_for_R_analysis_Wetse'!A86</f>
        <v>Wet</v>
      </c>
      <c r="C160" s="260">
        <f>'Final data_for_R_analysis_Wetse'!B86</f>
        <v>85</v>
      </c>
      <c r="D160" t="s">
        <v>3813</v>
      </c>
      <c r="E160" t="s">
        <v>22</v>
      </c>
      <c r="F160" s="382">
        <v>5</v>
      </c>
      <c r="G160" s="16">
        <f>'WetLitterbags placem_collection'!E87</f>
        <v>42767</v>
      </c>
      <c r="H160" t="str">
        <f>'Final data_for_R_analysis_Wetse'!K86</f>
        <v>G308</v>
      </c>
      <c r="I160" t="str">
        <f>'Final data_for_R_analysis_Wetse'!K306</f>
        <v>R315</v>
      </c>
      <c r="J160">
        <f>IFERROR(INDEX('Green_rooibos initial weight'!$C$5:$C$2000,MATCH(H160, 'Green_rooibos initial weight'!$A$5:$A$2000,0)),"")</f>
        <v>1.982</v>
      </c>
      <c r="K160">
        <f>IFERROR(INDEX('Green_rooibos initial weight'!$C$5:$C$2000,MATCH(I160, 'Green_rooibos initial weight'!$A$5:$A$2000,0)),"")</f>
        <v>2.2440000000000002</v>
      </c>
      <c r="L160" s="194">
        <f t="shared" si="7"/>
        <v>1.7322</v>
      </c>
      <c r="M160" s="194">
        <f>IF(K160&gt;0,(K160*$F$32-($F$29+$F$30)),"")</f>
        <v>1.9942000000000002</v>
      </c>
      <c r="N160" s="16">
        <f>IF('WetLitterbags placem_collection'!G87="","",'WetLitterbags placem_collection'!G87)</f>
        <v>42819</v>
      </c>
      <c r="O160" s="194">
        <f>IFERROR(INDEX('Both teabags AfterWet'!$C$3:$C$2000,MATCH(H160,'Both teabags AfterWet'!$A$3:$A$2000,0)),"")</f>
        <v>1.256</v>
      </c>
      <c r="P160" s="194">
        <f>IFERROR(INDEX('Both teabags AfterWet'!$C$3:$C$2000,MATCH(I160,'Both teabags AfterWet'!$A$3:$A$2000,0)),"")</f>
        <v>1.4850000000000001</v>
      </c>
      <c r="Q160" s="194">
        <f t="shared" si="8"/>
        <v>1.1053999999999999</v>
      </c>
      <c r="R160" s="194">
        <f t="shared" si="8"/>
        <v>1.3344</v>
      </c>
      <c r="S160" s="194">
        <f t="shared" si="9"/>
        <v>0.3618519801408614</v>
      </c>
      <c r="T160" s="194">
        <f t="shared" si="10"/>
        <v>0.23722362593557661</v>
      </c>
      <c r="U160" s="194">
        <f t="shared" si="11"/>
        <v>0.66914050747166776</v>
      </c>
      <c r="V160">
        <f>IFERROR(IF((N160-G160)&gt;0,(IFERROR(N160-G160,"")),""),"")</f>
        <v>52</v>
      </c>
      <c r="W160" s="194">
        <f t="shared" si="12"/>
        <v>0.57024705446453516</v>
      </c>
      <c r="X160" s="194" t="str">
        <f t="shared" si="13"/>
        <v/>
      </c>
      <c r="Y160" s="252" t="str">
        <f>IF(ISNUMBER(SEARCH("C",'WetLitterbags placem_collection'!$X87)),"YES","NO")</f>
        <v>NO</v>
      </c>
      <c r="Z160" s="252" t="str">
        <f>IF(ISNUMBER(SEARCH("H", 'WetLitterbags placem_collection'!$X87)),"YES","NO")</f>
        <v>NO</v>
      </c>
      <c r="AA160" s="252" t="str">
        <f>IF(ISNUMBER(SEARCH("R", 'WetLitterbags placem_collection'!$X87)),"YES","NO")</f>
        <v>YES</v>
      </c>
      <c r="AB160" s="252" t="str">
        <f>IF(ISNUMBER(SEARCH("C", 'WetLitterbags placem_collection'!$V87)),"YES","NO")</f>
        <v>NO</v>
      </c>
      <c r="AC160" s="252" t="str">
        <f>IF(ISNUMBER(SEARCH("H", 'WetLitterbags placem_collection'!$V87)),"YES","NO")</f>
        <v>YES</v>
      </c>
      <c r="AD160" s="252" t="str">
        <f>IF(ISNUMBER(SEARCH("R", 'WetLitterbags placem_collection'!$V87)),"YES","NO")</f>
        <v>YES</v>
      </c>
    </row>
    <row r="161" spans="2:30">
      <c r="B161" t="str">
        <f>'Final data_for_R_analysis_Wetse'!A87</f>
        <v>Wet</v>
      </c>
      <c r="C161" s="260">
        <f>'Final data_for_R_analysis_Wetse'!B87</f>
        <v>86</v>
      </c>
      <c r="D161" t="s">
        <v>3813</v>
      </c>
      <c r="E161" t="s">
        <v>22</v>
      </c>
      <c r="F161" s="382">
        <v>6</v>
      </c>
      <c r="G161" s="16">
        <f>'WetLitterbags placem_collection'!E88</f>
        <v>42767</v>
      </c>
      <c r="H161" t="str">
        <f>'Final data_for_R_analysis_Wetse'!K87</f>
        <v>G723</v>
      </c>
      <c r="I161" t="str">
        <f>'Final data_for_R_analysis_Wetse'!K307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7"/>
        <v>1.7631999999999999</v>
      </c>
      <c r="M161" s="194">
        <f>IF(K161&gt;0,(K161*$F$32-($F$29+$F$30)),"")</f>
        <v>1.9611999999999998</v>
      </c>
      <c r="N161" s="16">
        <f>IF('WetLitterbags placem_collection'!G88="","",'WetLitterbags placem_collection'!G88)</f>
        <v>42819</v>
      </c>
      <c r="O161" s="194">
        <f>IFERROR(INDEX('Both teabags AfterWet'!$C$3:$C$2000,MATCH(H161,'Both teabags AfterWet'!$A$3:$A$2000,0)),"")</f>
        <v>0.78249999999999997</v>
      </c>
      <c r="P161" s="194">
        <f>IFERROR(INDEX('Both teabags AfterWet'!$C$3:$C$2000,MATCH(I161,'Both teabags AfterWet'!$A$3:$A$2000,0)),"")</f>
        <v>0.38169999999999998</v>
      </c>
      <c r="Q161" s="194">
        <f t="shared" si="8"/>
        <v>0.63189999999999991</v>
      </c>
      <c r="R161" s="194">
        <f t="shared" si="8"/>
        <v>0.23109999999999997</v>
      </c>
      <c r="S161" s="194">
        <f t="shared" si="9"/>
        <v>0.64161751361161534</v>
      </c>
      <c r="T161" s="194">
        <f t="shared" si="10"/>
        <v>0.42063285927982386</v>
      </c>
      <c r="U161" s="194">
        <f t="shared" si="11"/>
        <v>0.11783601876402203</v>
      </c>
      <c r="V161">
        <f>IFERROR(IF((N161-G161)&gt;0,(IFERROR(N161-G161,"")),""),"")</f>
        <v>52</v>
      </c>
      <c r="W161" s="194">
        <f t="shared" si="12"/>
        <v>0.2379839505800293</v>
      </c>
      <c r="X161" s="194" t="str">
        <f t="shared" si="13"/>
        <v/>
      </c>
      <c r="Y161" s="252" t="str">
        <f>IF(ISNUMBER(SEARCH("C",'WetLitterbags placem_collection'!$X88)),"YES","NO")</f>
        <v>NO</v>
      </c>
      <c r="Z161" s="252" t="str">
        <f>IF(ISNUMBER(SEARCH("H", 'WetLitterbags placem_collection'!$X88)),"YES","NO")</f>
        <v>NO</v>
      </c>
      <c r="AA161" s="252" t="str">
        <f>IF(ISNUMBER(SEARCH("R", 'WetLitterbags placem_collection'!$X88)),"YES","NO")</f>
        <v>YES</v>
      </c>
      <c r="AB161" s="252" t="str">
        <f>IF(ISNUMBER(SEARCH("C", 'WetLitterbags placem_collection'!$V88)),"YES","NO")</f>
        <v>NO</v>
      </c>
      <c r="AC161" s="252" t="str">
        <f>IF(ISNUMBER(SEARCH("H", 'WetLitterbags placem_collection'!$V88)),"YES","NO")</f>
        <v>NO</v>
      </c>
      <c r="AD161" s="252" t="str">
        <f>IF(ISNUMBER(SEARCH("R", 'WetLitterbags placem_collection'!$V88)),"YES","NO")</f>
        <v>YES</v>
      </c>
    </row>
    <row r="162" spans="2:30">
      <c r="B162" t="str">
        <f>'Final data_for_R_analysis_Wetse'!A88</f>
        <v>Wet</v>
      </c>
      <c r="C162" s="260">
        <f>'Final data_for_R_analysis_Wetse'!B88</f>
        <v>87</v>
      </c>
      <c r="D162" t="s">
        <v>3813</v>
      </c>
      <c r="E162" t="s">
        <v>22</v>
      </c>
      <c r="F162" s="382">
        <v>7</v>
      </c>
      <c r="G162" s="16">
        <f>'WetLitterbags placem_collection'!E89</f>
        <v>42767</v>
      </c>
      <c r="H162" t="str">
        <f>'Final data_for_R_analysis_Wetse'!K88</f>
        <v>G628</v>
      </c>
      <c r="I162" t="str">
        <f>'Final data_for_R_analysis_Wetse'!K308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7"/>
        <v>1.8241999999999998</v>
      </c>
      <c r="M162" s="194">
        <f>IF(K162&gt;0,(K162*$F$32-($F$29+$F$30)),"")</f>
        <v>1.9982000000000002</v>
      </c>
      <c r="N162" s="16">
        <f>IF('WetLitterbags placem_collection'!G89="","",'WetLitterbags placem_collection'!G89)</f>
        <v>42819</v>
      </c>
      <c r="O162" s="194">
        <f>IFERROR(INDEX('Both teabags AfterWet'!$C$3:$C$2000,MATCH(H162,'Both teabags AfterWet'!$A$3:$A$2000,0)),"")</f>
        <v>0.8639</v>
      </c>
      <c r="P162" s="194">
        <f>IFERROR(INDEX('Both teabags AfterWet'!$C$3:$C$2000,MATCH(I162,'Both teabags AfterWet'!$A$3:$A$2000,0)),"")</f>
        <v>0.3599</v>
      </c>
      <c r="Q162" s="194">
        <f t="shared" si="8"/>
        <v>0.71330000000000005</v>
      </c>
      <c r="R162" s="194">
        <f t="shared" si="8"/>
        <v>0.20929999999999999</v>
      </c>
      <c r="S162" s="194">
        <f t="shared" si="9"/>
        <v>0.60897927858787404</v>
      </c>
      <c r="T162" s="194">
        <f t="shared" si="10"/>
        <v>0.39923582159205045</v>
      </c>
      <c r="U162" s="194">
        <f t="shared" si="11"/>
        <v>0.10474426984285856</v>
      </c>
      <c r="V162">
        <f>IFERROR(IF((N162-G162)&gt;0,(IFERROR(N162-G162,"")),""),"")</f>
        <v>52</v>
      </c>
      <c r="W162" s="194">
        <f t="shared" si="12"/>
        <v>0.27674670001440138</v>
      </c>
      <c r="X162" s="194" t="str">
        <f t="shared" si="13"/>
        <v/>
      </c>
      <c r="Y162" s="252" t="str">
        <f>IF(ISNUMBER(SEARCH("C",'WetLitterbags placem_collection'!$X89)),"YES","NO")</f>
        <v>NO</v>
      </c>
      <c r="Z162" s="252" t="str">
        <f>IF(ISNUMBER(SEARCH("H", 'WetLitterbags placem_collection'!$X89)),"YES","NO")</f>
        <v>NO</v>
      </c>
      <c r="AA162" s="252" t="str">
        <f>IF(ISNUMBER(SEARCH("R", 'WetLitterbags placem_collection'!$X89)),"YES","NO")</f>
        <v>YES</v>
      </c>
      <c r="AB162" s="252" t="str">
        <f>IF(ISNUMBER(SEARCH("C", 'WetLitterbags placem_collection'!$V89)),"YES","NO")</f>
        <v>YES</v>
      </c>
      <c r="AC162" s="252" t="str">
        <f>IF(ISNUMBER(SEARCH("H", 'WetLitterbags placem_collection'!$V89)),"YES","NO")</f>
        <v>YES</v>
      </c>
      <c r="AD162" s="252" t="str">
        <f>IF(ISNUMBER(SEARCH("R", 'WetLitterbags placem_collection'!$V89)),"YES","NO")</f>
        <v>YES</v>
      </c>
    </row>
    <row r="163" spans="2:30">
      <c r="B163" t="str">
        <f>'Final data_for_R_analysis_Wetse'!A89</f>
        <v>Wet</v>
      </c>
      <c r="C163" s="260">
        <f>'Final data_for_R_analysis_Wetse'!B89</f>
        <v>88</v>
      </c>
      <c r="D163" t="s">
        <v>3813</v>
      </c>
      <c r="E163" t="s">
        <v>22</v>
      </c>
      <c r="F163" s="382">
        <v>8</v>
      </c>
      <c r="G163" s="16">
        <f>'WetLitterbags placem_collection'!E90</f>
        <v>42767</v>
      </c>
      <c r="H163" t="str">
        <f>'Final data_for_R_analysis_Wetse'!K89</f>
        <v>G569</v>
      </c>
      <c r="I163" t="str">
        <f>'Final data_for_R_analysis_Wetse'!K309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7"/>
        <v>1.7452000000000001</v>
      </c>
      <c r="M163" s="194">
        <f>IF(K163&gt;0,(K163*$F$32-($F$29+$F$30)),"")</f>
        <v>2.0061999999999998</v>
      </c>
      <c r="N163" s="16">
        <f>IF('WetLitterbags placem_collection'!G90="","",'WetLitterbags placem_collection'!G90)</f>
        <v>42819</v>
      </c>
      <c r="O163" s="194">
        <f>IFERROR(INDEX('Both teabags AfterWet'!$C$3:$C$2000,MATCH(H163,'Both teabags AfterWet'!$A$3:$A$2000,0)),"")</f>
        <v>0.75700000000000001</v>
      </c>
      <c r="P163" s="194" t="str">
        <f>IFERROR(INDEX('Both teabags AfterWet'!$C$3:$C$2000,MATCH(I163,'Both teabags AfterWet'!$A$3:$A$2000,0)),"")</f>
        <v/>
      </c>
      <c r="Q163" s="194">
        <f t="shared" si="8"/>
        <v>0.60640000000000005</v>
      </c>
      <c r="R163" s="194" t="str">
        <f t="shared" si="8"/>
        <v/>
      </c>
      <c r="S163" s="194">
        <f t="shared" si="9"/>
        <v>0.6525326610130644</v>
      </c>
      <c r="T163" s="194">
        <f t="shared" si="10"/>
        <v>0.42778863287317287</v>
      </c>
      <c r="U163" s="194" t="str">
        <f t="shared" si="11"/>
        <v/>
      </c>
      <c r="V163">
        <f>IFERROR(IF((N163-G163)&gt;0,(IFERROR(N163-G163,"")),""),"")</f>
        <v>52</v>
      </c>
      <c r="W163" s="194">
        <f t="shared" si="12"/>
        <v>0.22502059262106366</v>
      </c>
      <c r="X163" s="194" t="str">
        <f t="shared" si="13"/>
        <v/>
      </c>
      <c r="Y163" s="252" t="str">
        <f>IF(ISNUMBER(SEARCH("C",'WetLitterbags placem_collection'!$X90)),"YES","NO")</f>
        <v>NO</v>
      </c>
      <c r="Z163" s="252" t="str">
        <f>IF(ISNUMBER(SEARCH("H", 'WetLitterbags placem_collection'!$X90)),"YES","NO")</f>
        <v>NO</v>
      </c>
      <c r="AA163" s="252" t="str">
        <f>IF(ISNUMBER(SEARCH("R", 'WetLitterbags placem_collection'!$X90)),"YES","NO")</f>
        <v>NO</v>
      </c>
      <c r="AB163" s="252" t="str">
        <f>IF(ISNUMBER(SEARCH("C", 'WetLitterbags placem_collection'!$V90)),"YES","NO")</f>
        <v>NO</v>
      </c>
      <c r="AC163" s="252" t="str">
        <f>IF(ISNUMBER(SEARCH("H", 'WetLitterbags placem_collection'!$V90)),"YES","NO")</f>
        <v>NO</v>
      </c>
      <c r="AD163" s="252" t="str">
        <f>IF(ISNUMBER(SEARCH("R", 'WetLitterbags placem_collection'!$V90)),"YES","NO")</f>
        <v>NO</v>
      </c>
    </row>
    <row r="164" spans="2:30">
      <c r="B164" t="str">
        <f>'Final data_for_R_analysis_Wetse'!A90</f>
        <v>Wet</v>
      </c>
      <c r="C164" s="260">
        <f>'Final data_for_R_analysis_Wetse'!B90</f>
        <v>89</v>
      </c>
      <c r="D164" t="s">
        <v>3814</v>
      </c>
      <c r="E164" t="s">
        <v>22</v>
      </c>
      <c r="F164" s="381">
        <v>1</v>
      </c>
      <c r="G164" s="16">
        <f>'WetLitterbags placem_collection'!E91</f>
        <v>42767</v>
      </c>
      <c r="H164" t="str">
        <f>'Final data_for_R_analysis_Wetse'!K90</f>
        <v>G339</v>
      </c>
      <c r="I164" t="str">
        <f>'Final data_for_R_analysis_Wetse'!K310</f>
        <v>R196</v>
      </c>
      <c r="J164">
        <f>IFERROR(INDEX('Green_rooibos initial weight'!$C$5:$C$2000,MATCH(H164, 'Green_rooibos initial weight'!$A$5:$A$2000,0)),"")</f>
        <v>2.0219999999999998</v>
      </c>
      <c r="K164">
        <f>IFERROR(INDEX('Green_rooibos initial weight'!$C$5:$C$2000,MATCH(I164, 'Green_rooibos initial weight'!$A$5:$A$2000,0)),"")</f>
        <v>2.242</v>
      </c>
      <c r="L164" s="194">
        <f t="shared" si="7"/>
        <v>1.7721999999999998</v>
      </c>
      <c r="M164" s="194">
        <f>IF(K164&gt;0,(K164*$F$32-($F$29+$F$30)),"")</f>
        <v>1.9922</v>
      </c>
      <c r="N164" s="16">
        <f>IF('WetLitterbags placem_collection'!G91="","",'WetLitterbags placem_collection'!G91)</f>
        <v>42819</v>
      </c>
      <c r="O164" s="194" t="str">
        <f>IFERROR(INDEX('Both teabags AfterWet'!$C$3:$C$2000,MATCH(H164,'Both teabags AfterWet'!$A$3:$A$2000,0)),"")</f>
        <v/>
      </c>
      <c r="P164" s="194">
        <f>IFERROR(INDEX('Both teabags AfterWet'!$C$3:$C$2000,MATCH(I164,'Both teabags AfterWet'!$A$3:$A$2000,0)),"")</f>
        <v>0.17399999999999999</v>
      </c>
      <c r="Q164" s="194" t="str">
        <f t="shared" si="8"/>
        <v/>
      </c>
      <c r="R164" s="194">
        <f t="shared" si="8"/>
        <v>2.3399999999999976E-2</v>
      </c>
      <c r="S164" s="194" t="str">
        <f t="shared" si="9"/>
        <v/>
      </c>
      <c r="T164" s="194" t="str">
        <f t="shared" si="10"/>
        <v/>
      </c>
      <c r="U164" s="194">
        <f t="shared" si="11"/>
        <v>1.1745808653749612E-2</v>
      </c>
      <c r="V164">
        <f>IFERROR(IF((N164-G164)&gt;0,(IFERROR(N164-G164,"")),""),"")</f>
        <v>52</v>
      </c>
      <c r="W164" s="194" t="str">
        <f t="shared" si="12"/>
        <v/>
      </c>
      <c r="X164" s="194" t="str">
        <f t="shared" si="13"/>
        <v/>
      </c>
      <c r="Y164" s="252" t="str">
        <f>IF(ISNUMBER(SEARCH("C",'WetLitterbags placem_collection'!$X91)),"YES","NO")</f>
        <v>NO</v>
      </c>
      <c r="Z164" s="252" t="str">
        <f>IF(ISNUMBER(SEARCH("H", 'WetLitterbags placem_collection'!$X91)),"YES","NO")</f>
        <v>NO</v>
      </c>
      <c r="AA164" s="252" t="str">
        <f>IF(ISNUMBER(SEARCH("R", 'WetLitterbags placem_collection'!$X91)),"YES","NO")</f>
        <v>YES</v>
      </c>
      <c r="AB164" s="252" t="str">
        <f>IF(ISNUMBER(SEARCH("C", 'WetLitterbags placem_collection'!$V91)),"YES","NO")</f>
        <v>NO</v>
      </c>
      <c r="AC164" s="252" t="str">
        <f>IF(ISNUMBER(SEARCH("H", 'WetLitterbags placem_collection'!$V91)),"YES","NO")</f>
        <v>NO</v>
      </c>
      <c r="AD164" s="252" t="str">
        <f>IF(ISNUMBER(SEARCH("R", 'WetLitterbags placem_collection'!$V91)),"YES","NO")</f>
        <v>NO</v>
      </c>
    </row>
    <row r="165" spans="2:30">
      <c r="B165" t="str">
        <f>'Final data_for_R_analysis_Wetse'!A91</f>
        <v>Wet</v>
      </c>
      <c r="C165" s="260">
        <f>'Final data_for_R_analysis_Wetse'!B91</f>
        <v>90</v>
      </c>
      <c r="D165" t="s">
        <v>3814</v>
      </c>
      <c r="E165" t="s">
        <v>22</v>
      </c>
      <c r="F165" s="381">
        <v>2</v>
      </c>
      <c r="G165" s="16">
        <f>'WetLitterbags placem_collection'!E92</f>
        <v>42767</v>
      </c>
      <c r="H165" t="str">
        <f>'Final data_for_R_analysis_Wetse'!K91</f>
        <v>G592</v>
      </c>
      <c r="I165" t="str">
        <f>'Final data_for_R_analysis_Wetse'!K311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7"/>
        <v>1.8201999999999998</v>
      </c>
      <c r="M165" s="194">
        <f>IF(K165&gt;0,(K165*$F$32-($F$29+$F$30)),"")</f>
        <v>2.0272000000000001</v>
      </c>
      <c r="N165" s="16">
        <f>IF('WetLitterbags placem_collection'!G92="","",'WetLitterbags placem_collection'!G92)</f>
        <v>42819</v>
      </c>
      <c r="O165" s="194">
        <f>IFERROR(INDEX('Both teabags AfterWet'!$C$3:$C$2000,MATCH(H165,'Both teabags AfterWet'!$A$3:$A$2000,0)),"")</f>
        <v>1.0779000000000001</v>
      </c>
      <c r="P165" s="194">
        <f>IFERROR(INDEX('Both teabags AfterWet'!$C$3:$C$2000,MATCH(I165,'Both teabags AfterWet'!$A$3:$A$2000,0)),"")</f>
        <v>1.7455000000000001</v>
      </c>
      <c r="Q165" s="194">
        <f t="shared" si="8"/>
        <v>0.92730000000000001</v>
      </c>
      <c r="R165" s="194">
        <f t="shared" si="8"/>
        <v>1.5949</v>
      </c>
      <c r="S165" s="194">
        <f t="shared" si="9"/>
        <v>0.49055048895725739</v>
      </c>
      <c r="T165" s="194">
        <f t="shared" si="10"/>
        <v>0.32159604501710942</v>
      </c>
      <c r="U165" s="194">
        <f t="shared" si="11"/>
        <v>0.78675019731649565</v>
      </c>
      <c r="V165">
        <f>IFERROR(IF((N165-G165)&gt;0,(IFERROR(N165-G165,"")),""),"")</f>
        <v>52</v>
      </c>
      <c r="W165" s="194">
        <f t="shared" si="12"/>
        <v>0.41739846917190326</v>
      </c>
      <c r="X165" s="194">
        <f t="shared" si="13"/>
        <v>2.0922388323686054E-2</v>
      </c>
      <c r="Y165" s="252" t="str">
        <f>IF(ISNUMBER(SEARCH("C",'WetLitterbags placem_collection'!$X92)),"YES","NO")</f>
        <v>NO</v>
      </c>
      <c r="Z165" s="252" t="str">
        <f>IF(ISNUMBER(SEARCH("H", 'WetLitterbags placem_collection'!$X92)),"YES","NO")</f>
        <v>NO</v>
      </c>
      <c r="AA165" s="252" t="str">
        <f>IF(ISNUMBER(SEARCH("R", 'WetLitterbags placem_collection'!$X92)),"YES","NO")</f>
        <v>NO</v>
      </c>
      <c r="AB165" s="252" t="str">
        <f>IF(ISNUMBER(SEARCH("C", 'WetLitterbags placem_collection'!$V92)),"YES","NO")</f>
        <v>NO</v>
      </c>
      <c r="AC165" s="252" t="str">
        <f>IF(ISNUMBER(SEARCH("H", 'WetLitterbags placem_collection'!$V92)),"YES","NO")</f>
        <v>NO</v>
      </c>
      <c r="AD165" s="252" t="str">
        <f>IF(ISNUMBER(SEARCH("R", 'WetLitterbags placem_collection'!$V92)),"YES","NO")</f>
        <v>NO</v>
      </c>
    </row>
    <row r="166" spans="2:30">
      <c r="B166" t="str">
        <f>'Final data_for_R_analysis_Wetse'!A92</f>
        <v>Wet</v>
      </c>
      <c r="C166" s="260">
        <f>'Final data_for_R_analysis_Wetse'!B92</f>
        <v>91</v>
      </c>
      <c r="D166" t="s">
        <v>3814</v>
      </c>
      <c r="E166" t="s">
        <v>22</v>
      </c>
      <c r="F166" s="381">
        <v>3</v>
      </c>
      <c r="G166" s="16">
        <f>'WetLitterbags placem_collection'!E93</f>
        <v>42767</v>
      </c>
      <c r="H166" t="str">
        <f>'Final data_for_R_analysis_Wetse'!K92</f>
        <v>G472</v>
      </c>
      <c r="I166" t="str">
        <f>'Final data_for_R_analysis_Wetse'!K312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7"/>
        <v>1.7212000000000001</v>
      </c>
      <c r="M166" s="194">
        <f>IF(K166&gt;0,(K166*$F$32-($F$29+$F$30)),"")</f>
        <v>1.9931999999999999</v>
      </c>
      <c r="N166" s="16">
        <f>IF('WetLitterbags placem_collection'!G93="","",'WetLitterbags placem_collection'!G93)</f>
        <v>42819</v>
      </c>
      <c r="O166" s="194">
        <f>IFERROR(INDEX('Both teabags AfterWet'!$C$3:$C$2000,MATCH(H166,'Both teabags AfterWet'!$A$3:$A$2000,0)),"")</f>
        <v>0.76100000000000001</v>
      </c>
      <c r="P166" s="194">
        <f>IFERROR(INDEX('Both teabags AfterWet'!$C$3:$C$2000,MATCH(I166,'Both teabags AfterWet'!$A$3:$A$2000,0)),"")</f>
        <v>0.16200000000000001</v>
      </c>
      <c r="Q166" s="194">
        <f t="shared" si="8"/>
        <v>0.61040000000000005</v>
      </c>
      <c r="R166" s="194">
        <f t="shared" si="8"/>
        <v>1.1399999999999993E-2</v>
      </c>
      <c r="S166" s="194">
        <f t="shared" si="9"/>
        <v>0.64536369974436436</v>
      </c>
      <c r="T166" s="194">
        <f t="shared" si="10"/>
        <v>0.42308879128134108</v>
      </c>
      <c r="U166" s="194">
        <f t="shared" si="11"/>
        <v>5.7194461167971071E-3</v>
      </c>
      <c r="V166">
        <f>IFERROR(IF((N166-G166)&gt;0,(IFERROR(N166-G166,"")),""),"")</f>
        <v>52</v>
      </c>
      <c r="W166" s="194">
        <f t="shared" si="12"/>
        <v>0.23353479840336766</v>
      </c>
      <c r="X166" s="194" t="str">
        <f t="shared" si="13"/>
        <v/>
      </c>
      <c r="Y166" s="252" t="str">
        <f>IF(ISNUMBER(SEARCH("C",'WetLitterbags placem_collection'!$X93)),"YES","NO")</f>
        <v>NO</v>
      </c>
      <c r="Z166" s="252" t="str">
        <f>IF(ISNUMBER(SEARCH("H", 'WetLitterbags placem_collection'!$X93)),"YES","NO")</f>
        <v>NO</v>
      </c>
      <c r="AA166" s="252" t="str">
        <f>IF(ISNUMBER(SEARCH("R", 'WetLitterbags placem_collection'!$X93)),"YES","NO")</f>
        <v>YES</v>
      </c>
      <c r="AB166" s="252" t="str">
        <f>IF(ISNUMBER(SEARCH("C", 'WetLitterbags placem_collection'!$V93)),"YES","NO")</f>
        <v>NO</v>
      </c>
      <c r="AC166" s="252" t="str">
        <f>IF(ISNUMBER(SEARCH("H", 'WetLitterbags placem_collection'!$V93)),"YES","NO")</f>
        <v>YES</v>
      </c>
      <c r="AD166" s="252" t="str">
        <f>IF(ISNUMBER(SEARCH("R", 'WetLitterbags placem_collection'!$V93)),"YES","NO")</f>
        <v>YES</v>
      </c>
    </row>
    <row r="167" spans="2:30">
      <c r="B167" t="str">
        <f>'Final data_for_R_analysis_Wetse'!A93</f>
        <v>Wet</v>
      </c>
      <c r="C167" s="260">
        <f>'Final data_for_R_analysis_Wetse'!B93</f>
        <v>92</v>
      </c>
      <c r="D167" t="s">
        <v>3814</v>
      </c>
      <c r="E167" t="s">
        <v>22</v>
      </c>
      <c r="F167" s="382">
        <v>4</v>
      </c>
      <c r="G167" s="16">
        <f>'WetLitterbags placem_collection'!E94</f>
        <v>42767</v>
      </c>
      <c r="H167" t="str">
        <f>'Final data_for_R_analysis_Wetse'!K93</f>
        <v>G529</v>
      </c>
      <c r="I167" t="str">
        <f>'Final data_for_R_analysis_Wetse'!K313</f>
        <v>R445</v>
      </c>
      <c r="J167">
        <f>IFERROR(INDEX('Green_rooibos initial weight'!$C$5:$C$2000,MATCH(H167, 'Green_rooibos initial weight'!$A$5:$A$2000,0)),"")</f>
        <v>2.089</v>
      </c>
      <c r="K167">
        <f>IFERROR(INDEX('Green_rooibos initial weight'!$C$5:$C$2000,MATCH(I167, 'Green_rooibos initial weight'!$A$5:$A$2000,0)),"")</f>
        <v>2.2389999999999999</v>
      </c>
      <c r="L167" s="194">
        <f t="shared" si="7"/>
        <v>1.8391999999999999</v>
      </c>
      <c r="M167" s="194">
        <f>IF(K167&gt;0,(K167*$F$32-($F$29+$F$30)),"")</f>
        <v>1.9891999999999999</v>
      </c>
      <c r="N167" s="16">
        <f>IF('WetLitterbags placem_collection'!G94="","",'WetLitterbags placem_collection'!G94)</f>
        <v>42819</v>
      </c>
      <c r="O167" s="194">
        <f>IFERROR(INDEX('Both teabags AfterWet'!$C$3:$C$2000,MATCH(H167,'Both teabags AfterWet'!$A$3:$A$2000,0)),"")</f>
        <v>0.76500000000000001</v>
      </c>
      <c r="P167" s="194">
        <f>IFERROR(INDEX('Both teabags AfterWet'!$C$3:$C$2000,MATCH(I167,'Both teabags AfterWet'!$A$3:$A$2000,0)),"")</f>
        <v>0.31</v>
      </c>
      <c r="Q167" s="194">
        <f t="shared" si="8"/>
        <v>0.61440000000000006</v>
      </c>
      <c r="R167" s="194">
        <f t="shared" si="8"/>
        <v>0.15939999999999999</v>
      </c>
      <c r="S167" s="194">
        <f t="shared" si="9"/>
        <v>0.66594171378860367</v>
      </c>
      <c r="T167" s="194">
        <f t="shared" si="10"/>
        <v>0.43657936580915591</v>
      </c>
      <c r="U167" s="194">
        <f t="shared" si="11"/>
        <v>8.0132716670018103E-2</v>
      </c>
      <c r="V167">
        <f>IFERROR(IF((N167-G167)&gt;0,(IFERROR(N167-G167,"")),""),"")</f>
        <v>52</v>
      </c>
      <c r="W167" s="194">
        <f t="shared" si="12"/>
        <v>0.20909535179500749</v>
      </c>
      <c r="X167" s="194" t="str">
        <f t="shared" si="13"/>
        <v/>
      </c>
      <c r="Y167" s="252" t="str">
        <f>IF(ISNUMBER(SEARCH("C",'WetLitterbags placem_collection'!$X94)),"YES","NO")</f>
        <v>NO</v>
      </c>
      <c r="Z167" s="252" t="str">
        <f>IF(ISNUMBER(SEARCH("H", 'WetLitterbags placem_collection'!$X94)),"YES","NO")</f>
        <v>NO</v>
      </c>
      <c r="AA167" s="252" t="str">
        <f>IF(ISNUMBER(SEARCH("R", 'WetLitterbags placem_collection'!$X94)),"YES","NO")</f>
        <v>YES</v>
      </c>
      <c r="AB167" s="252" t="str">
        <f>IF(ISNUMBER(SEARCH("C", 'WetLitterbags placem_collection'!$V94)),"YES","NO")</f>
        <v>YES</v>
      </c>
      <c r="AC167" s="252" t="str">
        <f>IF(ISNUMBER(SEARCH("H", 'WetLitterbags placem_collection'!$V94)),"YES","NO")</f>
        <v>YES</v>
      </c>
      <c r="AD167" s="252" t="str">
        <f>IF(ISNUMBER(SEARCH("R", 'WetLitterbags placem_collection'!$V94)),"YES","NO")</f>
        <v>NO</v>
      </c>
    </row>
    <row r="168" spans="2:30">
      <c r="B168" t="str">
        <f>'Final data_for_R_analysis_Wetse'!A94</f>
        <v>Wet</v>
      </c>
      <c r="C168" s="260">
        <f>'Final data_for_R_analysis_Wetse'!B94</f>
        <v>93</v>
      </c>
      <c r="D168" t="s">
        <v>3814</v>
      </c>
      <c r="E168" t="s">
        <v>22</v>
      </c>
      <c r="F168" s="382">
        <v>5</v>
      </c>
      <c r="G168" s="16">
        <f>'WetLitterbags placem_collection'!E95</f>
        <v>42767</v>
      </c>
      <c r="H168" t="str">
        <f>'Final data_for_R_analysis_Wetse'!K94</f>
        <v>G636</v>
      </c>
      <c r="I168" t="str">
        <f>'Final data_for_R_analysis_Wetse'!K314</f>
        <v>R12</v>
      </c>
      <c r="J168">
        <f>IFERROR(INDEX('Green_rooibos initial weight'!$C$5:$C$2000,MATCH(H168, 'Green_rooibos initial weight'!$A$5:$A$2000,0)),"")</f>
        <v>2.133</v>
      </c>
      <c r="K168">
        <f>IFERROR(INDEX('Green_rooibos initial weight'!$C$5:$C$2000,MATCH(I168, 'Green_rooibos initial weight'!$A$5:$A$2000,0)),"")</f>
        <v>2.1709999999999998</v>
      </c>
      <c r="L168" s="194">
        <f t="shared" si="7"/>
        <v>1.8832</v>
      </c>
      <c r="M168" s="194">
        <f>IF(K168&gt;0,(K168*$F$32-($F$29+$F$30)),"")</f>
        <v>1.9211999999999998</v>
      </c>
      <c r="N168" s="16">
        <f>IF('WetLitterbags placem_collection'!G95="","",'WetLitterbags placem_collection'!G95)</f>
        <v>42819</v>
      </c>
      <c r="O168" s="194">
        <f>IFERROR(INDEX('Both teabags AfterWet'!$C$3:$C$2000,MATCH(H168,'Both teabags AfterWet'!$A$3:$A$2000,0)),"")</f>
        <v>0.79630000000000001</v>
      </c>
      <c r="P168" s="194">
        <f>IFERROR(INDEX('Both teabags AfterWet'!$C$3:$C$2000,MATCH(I168,'Both teabags AfterWet'!$A$3:$A$2000,0)),"")</f>
        <v>0.17</v>
      </c>
      <c r="Q168" s="194">
        <f t="shared" si="8"/>
        <v>0.64569999999999994</v>
      </c>
      <c r="R168" s="194">
        <f t="shared" si="8"/>
        <v>1.9400000000000001E-2</v>
      </c>
      <c r="S168" s="194">
        <f t="shared" si="9"/>
        <v>0.65712616822429903</v>
      </c>
      <c r="T168" s="194">
        <f t="shared" si="10"/>
        <v>0.43080005327768778</v>
      </c>
      <c r="U168" s="194">
        <f t="shared" si="11"/>
        <v>1.0097855506974809E-2</v>
      </c>
      <c r="V168">
        <f>IFERROR(IF((N168-G168)&gt;0,(IFERROR(N168-G168,"")),""),"")</f>
        <v>52</v>
      </c>
      <c r="W168" s="194">
        <f t="shared" si="12"/>
        <v>0.21956512087375413</v>
      </c>
      <c r="X168" s="194" t="str">
        <f t="shared" si="13"/>
        <v/>
      </c>
      <c r="Y168" s="252" t="str">
        <f>IF(ISNUMBER(SEARCH("C",'WetLitterbags placem_collection'!$X95)),"YES","NO")</f>
        <v>NO</v>
      </c>
      <c r="Z168" s="252" t="str">
        <f>IF(ISNUMBER(SEARCH("H", 'WetLitterbags placem_collection'!$X95)),"YES","NO")</f>
        <v>NO</v>
      </c>
      <c r="AA168" s="252" t="str">
        <f>IF(ISNUMBER(SEARCH("R", 'WetLitterbags placem_collection'!$X95)),"YES","NO")</f>
        <v>YES</v>
      </c>
      <c r="AB168" s="252" t="str">
        <f>IF(ISNUMBER(SEARCH("C", 'WetLitterbags placem_collection'!$V95)),"YES","NO")</f>
        <v>NO</v>
      </c>
      <c r="AC168" s="252" t="str">
        <f>IF(ISNUMBER(SEARCH("H", 'WetLitterbags placem_collection'!$V95)),"YES","NO")</f>
        <v>NO</v>
      </c>
      <c r="AD168" s="252" t="str">
        <f>IF(ISNUMBER(SEARCH("R", 'WetLitterbags placem_collection'!$V95)),"YES","NO")</f>
        <v>YES</v>
      </c>
    </row>
    <row r="169" spans="2:30">
      <c r="B169" t="str">
        <f>'Final data_for_R_analysis_Wetse'!A95</f>
        <v>Wet</v>
      </c>
      <c r="C169" s="260">
        <f>'Final data_for_R_analysis_Wetse'!B95</f>
        <v>94</v>
      </c>
      <c r="D169" t="s">
        <v>3814</v>
      </c>
      <c r="E169" t="s">
        <v>22</v>
      </c>
      <c r="F169" s="382">
        <v>6</v>
      </c>
      <c r="G169" s="16">
        <f>'WetLitterbags placem_collection'!E96</f>
        <v>42767</v>
      </c>
      <c r="H169" t="str">
        <f>'Final data_for_R_analysis_Wetse'!K95</f>
        <v>G534</v>
      </c>
      <c r="I169" t="str">
        <f>'Final data_for_R_analysis_Wetse'!K315</f>
        <v>R244</v>
      </c>
      <c r="J169">
        <f>IFERROR(INDEX('Green_rooibos initial weight'!$C$5:$C$2000,MATCH(H169, 'Green_rooibos initial weight'!$A$5:$A$2000,0)),"")</f>
        <v>2.169</v>
      </c>
      <c r="K169">
        <f>IFERROR(INDEX('Green_rooibos initial weight'!$C$5:$C$2000,MATCH(I169, 'Green_rooibos initial weight'!$A$5:$A$2000,0)),"")</f>
        <v>2.2490000000000001</v>
      </c>
      <c r="L169" s="194">
        <f t="shared" si="7"/>
        <v>1.9192</v>
      </c>
      <c r="M169" s="194">
        <f>IF(K169&gt;0,(K169*$F$32-($F$29+$F$30)),"")</f>
        <v>1.9992000000000001</v>
      </c>
      <c r="N169" s="16">
        <f>IF('WetLitterbags placem_collection'!G96="","",'WetLitterbags placem_collection'!G96)</f>
        <v>42819</v>
      </c>
      <c r="O169" s="194" t="str">
        <f>IFERROR(INDEX('Both teabags AfterWet'!$C$3:$C$2000,MATCH(H169,'Both teabags AfterWet'!$A$3:$A$2000,0)),"")</f>
        <v/>
      </c>
      <c r="P169" s="194" t="str">
        <f>IFERROR(INDEX('Both teabags AfterWet'!$C$3:$C$2000,MATCH(I169,'Both teabags AfterWet'!$A$3:$A$2000,0)),"")</f>
        <v/>
      </c>
      <c r="Q169" s="194" t="str">
        <f t="shared" si="8"/>
        <v/>
      </c>
      <c r="R169" s="194" t="str">
        <f t="shared" si="8"/>
        <v/>
      </c>
      <c r="S169" s="194" t="str">
        <f t="shared" si="9"/>
        <v/>
      </c>
      <c r="T169" s="194" t="str">
        <f t="shared" si="10"/>
        <v/>
      </c>
      <c r="U169" s="194" t="str">
        <f t="shared" si="11"/>
        <v/>
      </c>
      <c r="V169">
        <f>IFERROR(IF((N169-G169)&gt;0,(IFERROR(N169-G169,"")),""),"")</f>
        <v>52</v>
      </c>
      <c r="W169" s="194" t="str">
        <f t="shared" si="12"/>
        <v/>
      </c>
      <c r="X169" s="194" t="str">
        <f t="shared" si="13"/>
        <v/>
      </c>
      <c r="Y169" s="252" t="str">
        <f>IF(ISNUMBER(SEARCH("C",'WetLitterbags placem_collection'!$X96)),"YES","NO")</f>
        <v>NO</v>
      </c>
      <c r="Z169" s="252" t="str">
        <f>IF(ISNUMBER(SEARCH("H", 'WetLitterbags placem_collection'!$X96)),"YES","NO")</f>
        <v>NO</v>
      </c>
      <c r="AA169" s="252" t="str">
        <f>IF(ISNUMBER(SEARCH("R", 'WetLitterbags placem_collection'!$X96)),"YES","NO")</f>
        <v>NO</v>
      </c>
      <c r="AB169" s="252" t="str">
        <f>IF(ISNUMBER(SEARCH("C", 'WetLitterbags placem_collection'!$V96)),"YES","NO")</f>
        <v>NO</v>
      </c>
      <c r="AC169" s="252" t="str">
        <f>IF(ISNUMBER(SEARCH("H", 'WetLitterbags placem_collection'!$V96)),"YES","NO")</f>
        <v>NO</v>
      </c>
      <c r="AD169" s="252" t="str">
        <f>IF(ISNUMBER(SEARCH("R", 'WetLitterbags placem_collection'!$V96)),"YES","NO")</f>
        <v>NO</v>
      </c>
    </row>
    <row r="170" spans="2:30">
      <c r="B170" t="str">
        <f>'Final data_for_R_analysis_Wetse'!A96</f>
        <v>Wet</v>
      </c>
      <c r="C170" s="260">
        <f>'Final data_for_R_analysis_Wetse'!B96</f>
        <v>95</v>
      </c>
      <c r="D170" t="s">
        <v>3814</v>
      </c>
      <c r="E170" t="s">
        <v>22</v>
      </c>
      <c r="F170" s="382">
        <v>7</v>
      </c>
      <c r="G170" s="16">
        <f>'WetLitterbags placem_collection'!E97</f>
        <v>42767</v>
      </c>
      <c r="H170" t="str">
        <f>'Final data_for_R_analysis_Wetse'!K96</f>
        <v>G641</v>
      </c>
      <c r="I170" t="str">
        <f>'Final data_for_R_analysis_Wetse'!K316</f>
        <v>R360</v>
      </c>
      <c r="J170">
        <f>IFERROR(INDEX('Green_rooibos initial weight'!$C$5:$C$2000,MATCH(H170, 'Green_rooibos initial weight'!$A$5:$A$2000,0)),"")</f>
        <v>2.14</v>
      </c>
      <c r="K170">
        <f>IFERROR(INDEX('Green_rooibos initial weight'!$C$5:$C$2000,MATCH(I170, 'Green_rooibos initial weight'!$A$5:$A$2000,0)),"")</f>
        <v>2.206</v>
      </c>
      <c r="L170" s="194">
        <f t="shared" si="7"/>
        <v>1.8902000000000001</v>
      </c>
      <c r="M170" s="194">
        <f>IF(K170&gt;0,(K170*$F$32-($F$29+$F$30)),"")</f>
        <v>1.9561999999999999</v>
      </c>
      <c r="N170" s="16">
        <f>IF('WetLitterbags placem_collection'!G97="","",'WetLitterbags placem_collection'!G97)</f>
        <v>42819</v>
      </c>
      <c r="O170" s="194">
        <f>IFERROR(INDEX('Both teabags AfterWet'!$C$3:$C$2000,MATCH(H170,'Both teabags AfterWet'!$A$3:$A$2000,0)),"")</f>
        <v>1.254</v>
      </c>
      <c r="P170" s="194">
        <f>IFERROR(INDEX('Both teabags AfterWet'!$C$3:$C$2000,MATCH(I170,'Both teabags AfterWet'!$A$3:$A$2000,0)),"")</f>
        <v>0.45800000000000002</v>
      </c>
      <c r="Q170" s="194">
        <f t="shared" si="8"/>
        <v>1.1033999999999999</v>
      </c>
      <c r="R170" s="194">
        <f t="shared" si="8"/>
        <v>0.30740000000000001</v>
      </c>
      <c r="S170" s="194">
        <f t="shared" si="9"/>
        <v>0.41625224843931863</v>
      </c>
      <c r="T170" s="194">
        <f t="shared" si="10"/>
        <v>0.27288745978444645</v>
      </c>
      <c r="U170" s="194">
        <f t="shared" si="11"/>
        <v>0.15714139658521625</v>
      </c>
      <c r="V170">
        <f>IFERROR(IF((N170-G170)&gt;0,(IFERROR(N170-G170,"")),""),"")</f>
        <v>52</v>
      </c>
      <c r="W170" s="194">
        <f t="shared" si="12"/>
        <v>0.50563865981078548</v>
      </c>
      <c r="X170" s="194" t="str">
        <f t="shared" si="13"/>
        <v/>
      </c>
      <c r="Y170" s="252" t="str">
        <f>IF(ISNUMBER(SEARCH("C",'WetLitterbags placem_collection'!$X97)),"YES","NO")</f>
        <v>NO</v>
      </c>
      <c r="Z170" s="252" t="str">
        <f>IF(ISNUMBER(SEARCH("H", 'WetLitterbags placem_collection'!$X97)),"YES","NO")</f>
        <v>NO</v>
      </c>
      <c r="AA170" s="252" t="str">
        <f>IF(ISNUMBER(SEARCH("R", 'WetLitterbags placem_collection'!$X97)),"YES","NO")</f>
        <v>YES</v>
      </c>
      <c r="AB170" s="252" t="str">
        <f>IF(ISNUMBER(SEARCH("C", 'WetLitterbags placem_collection'!$V97)),"YES","NO")</f>
        <v>YES</v>
      </c>
      <c r="AC170" s="252" t="str">
        <f>IF(ISNUMBER(SEARCH("H", 'WetLitterbags placem_collection'!$V97)),"YES","NO")</f>
        <v>YES</v>
      </c>
      <c r="AD170" s="252" t="str">
        <f>IF(ISNUMBER(SEARCH("R", 'WetLitterbags placem_collection'!$V97)),"YES","NO")</f>
        <v>YES</v>
      </c>
    </row>
    <row r="171" spans="2:30">
      <c r="B171" t="str">
        <f>'Final data_for_R_analysis_Wetse'!A97</f>
        <v>Wet</v>
      </c>
      <c r="C171" s="260">
        <f>'Final data_for_R_analysis_Wetse'!B97</f>
        <v>96</v>
      </c>
      <c r="D171" t="s">
        <v>3814</v>
      </c>
      <c r="E171" t="s">
        <v>22</v>
      </c>
      <c r="F171" s="382">
        <v>8</v>
      </c>
      <c r="G171" s="16">
        <f>'WetLitterbags placem_collection'!E98</f>
        <v>42767</v>
      </c>
      <c r="H171" t="str">
        <f>'Final data_for_R_analysis_Wetse'!K97</f>
        <v>G479</v>
      </c>
      <c r="I171" t="str">
        <f>'Final data_for_R_analysis_Wetse'!K317</f>
        <v>R318</v>
      </c>
      <c r="J171">
        <f>IFERROR(INDEX('Green_rooibos initial weight'!$C$5:$C$2000,MATCH(H171, 'Green_rooibos initial weight'!$A$5:$A$2000,0)),"")</f>
        <v>1.982</v>
      </c>
      <c r="K171">
        <f>IFERROR(INDEX('Green_rooibos initial weight'!$C$5:$C$2000,MATCH(I171, 'Green_rooibos initial weight'!$A$5:$A$2000,0)),"")</f>
        <v>2.23</v>
      </c>
      <c r="L171" s="194">
        <f t="shared" si="7"/>
        <v>1.7322</v>
      </c>
      <c r="M171" s="194">
        <f>IF(K171&gt;0,(K171*$F$32-($F$29+$F$30)),"")</f>
        <v>1.9802</v>
      </c>
      <c r="N171" s="16">
        <f>IF('WetLitterbags placem_collection'!G98="","",'WetLitterbags placem_collection'!G98)</f>
        <v>42819</v>
      </c>
      <c r="O171" s="194">
        <f>IFERROR(INDEX('Both teabags AfterWet'!$C$3:$C$2000,MATCH(H171,'Both teabags AfterWet'!$A$3:$A$2000,0)),"")</f>
        <v>0.90410000000000001</v>
      </c>
      <c r="P171" s="194">
        <f>IFERROR(INDEX('Both teabags AfterWet'!$C$3:$C$2000,MATCH(I171,'Both teabags AfterWet'!$A$3:$A$2000,0)),"")</f>
        <v>1.748</v>
      </c>
      <c r="Q171" s="194">
        <f t="shared" si="8"/>
        <v>0.75350000000000006</v>
      </c>
      <c r="R171" s="194">
        <f t="shared" si="8"/>
        <v>1.5973999999999999</v>
      </c>
      <c r="S171" s="194">
        <f t="shared" si="9"/>
        <v>0.56500404110379865</v>
      </c>
      <c r="T171" s="194">
        <f t="shared" si="10"/>
        <v>0.37040644974975878</v>
      </c>
      <c r="U171" s="194">
        <f t="shared" si="11"/>
        <v>0.80668619331380664</v>
      </c>
      <c r="V171">
        <f>IFERROR(IF((N171-G171)&gt;0,(IFERROR(N171-G171,"")),""),"")</f>
        <v>52</v>
      </c>
      <c r="W171" s="194">
        <f t="shared" si="12"/>
        <v>0.32897382291710375</v>
      </c>
      <c r="X171" s="194">
        <f t="shared" si="13"/>
        <v>1.4190921399401094E-2</v>
      </c>
      <c r="Y171" s="252" t="str">
        <f>IF(ISNUMBER(SEARCH("C",'WetLitterbags placem_collection'!$X98)),"YES","NO")</f>
        <v>NO</v>
      </c>
      <c r="Z171" s="252" t="str">
        <f>IF(ISNUMBER(SEARCH("H", 'WetLitterbags placem_collection'!$X98)),"YES","NO")</f>
        <v>NO</v>
      </c>
      <c r="AA171" s="252" t="str">
        <f>IF(ISNUMBER(SEARCH("R", 'WetLitterbags placem_collection'!$X98)),"YES","NO")</f>
        <v>YES</v>
      </c>
      <c r="AB171" s="252" t="str">
        <f>IF(ISNUMBER(SEARCH("C", 'WetLitterbags placem_collection'!$V98)),"YES","NO")</f>
        <v>NO</v>
      </c>
      <c r="AC171" s="252" t="str">
        <f>IF(ISNUMBER(SEARCH("H", 'WetLitterbags placem_collection'!$V98)),"YES","NO")</f>
        <v>NO</v>
      </c>
      <c r="AD171" s="252" t="str">
        <f>IF(ISNUMBER(SEARCH("R", 'WetLitterbags placem_collection'!$V98)),"YES","NO")</f>
        <v>YES</v>
      </c>
    </row>
    <row r="172" spans="2:30">
      <c r="B172" t="str">
        <f>'Final data_for_R_analysis_Wetse'!A98</f>
        <v>Wet</v>
      </c>
      <c r="C172" s="260">
        <f>'Final data_for_R_analysis_Wetse'!B98</f>
        <v>97</v>
      </c>
      <c r="D172" t="s">
        <v>3815</v>
      </c>
      <c r="E172" t="s">
        <v>22</v>
      </c>
      <c r="F172" s="381">
        <v>1</v>
      </c>
      <c r="G172" s="16">
        <f>'WetLitterbags placem_collection'!E99</f>
        <v>42762</v>
      </c>
      <c r="H172" t="str">
        <f>'Final data_for_R_analysis_Wetse'!K98</f>
        <v>G741</v>
      </c>
      <c r="I172" t="str">
        <f>'Final data_for_R_analysis_Wetse'!K318</f>
        <v>R518</v>
      </c>
      <c r="J172">
        <f>IFERROR(INDEX('Green_rooibos initial weight'!$C$5:$C$2000,MATCH(H172, 'Green_rooibos initial weight'!$A$5:$A$2000,0)),"")</f>
        <v>2.1019999999999999</v>
      </c>
      <c r="K172">
        <f>IFERROR(INDEX('Green_rooibos initial weight'!$C$5:$C$2000,MATCH(I172, 'Green_rooibos initial weight'!$A$5:$A$2000,0)),"")</f>
        <v>2.198</v>
      </c>
      <c r="L172" s="194">
        <f t="shared" si="7"/>
        <v>1.8521999999999998</v>
      </c>
      <c r="M172" s="194">
        <f>IF(K172&gt;0,(K172*$F$32-($F$29+$F$30)),"")</f>
        <v>1.9481999999999999</v>
      </c>
      <c r="N172" s="16">
        <f>IF('WetLitterbags placem_collection'!G99="","",'WetLitterbags placem_collection'!G99)</f>
        <v>42816</v>
      </c>
      <c r="O172" s="194">
        <f>IFERROR(INDEX('Both teabags AfterWet'!$C$3:$C$2000,MATCH(H172,'Both teabags AfterWet'!$A$3:$A$2000,0)),"")</f>
        <v>0.60680000000000001</v>
      </c>
      <c r="P172" s="194">
        <f>IFERROR(INDEX('Both teabags AfterWet'!$C$3:$C$2000,MATCH(I172,'Both teabags AfterWet'!$A$3:$A$2000,0)),"")</f>
        <v>0</v>
      </c>
      <c r="Q172" s="194">
        <f t="shared" si="8"/>
        <v>0.45619999999999999</v>
      </c>
      <c r="R172" s="194" t="str">
        <f t="shared" si="8"/>
        <v/>
      </c>
      <c r="S172" s="194">
        <f t="shared" si="9"/>
        <v>0.75369830471871291</v>
      </c>
      <c r="T172" s="194">
        <f t="shared" si="10"/>
        <v>0.49411100261844371</v>
      </c>
      <c r="U172" s="194" t="str">
        <f t="shared" si="11"/>
        <v/>
      </c>
      <c r="V172">
        <f>IFERROR(IF((N172-G172)&gt;0,(IFERROR(N172-G172,"")),""),"")</f>
        <v>54</v>
      </c>
      <c r="W172" s="194">
        <f t="shared" si="12"/>
        <v>0.10487137206803687</v>
      </c>
      <c r="X172" s="194" t="str">
        <f t="shared" si="13"/>
        <v/>
      </c>
      <c r="Y172" s="252" t="str">
        <f>IF(ISNUMBER(SEARCH("C",'WetLitterbags placem_collection'!$X99)),"YES","NO")</f>
        <v>NO</v>
      </c>
      <c r="Z172" s="252" t="str">
        <f>IF(ISNUMBER(SEARCH("H", 'WetLitterbags placem_collection'!$X99)),"YES","NO")</f>
        <v>NO</v>
      </c>
      <c r="AA172" s="252" t="str">
        <f>IF(ISNUMBER(SEARCH("R", 'WetLitterbags placem_collection'!$X99)),"YES","NO")</f>
        <v>NO</v>
      </c>
      <c r="AB172" s="252" t="str">
        <f>IF(ISNUMBER(SEARCH("C", 'WetLitterbags placem_collection'!$V99)),"YES","NO")</f>
        <v>NO</v>
      </c>
      <c r="AC172" s="252" t="str">
        <f>IF(ISNUMBER(SEARCH("H", 'WetLitterbags placem_collection'!$V99)),"YES","NO")</f>
        <v>NO</v>
      </c>
      <c r="AD172" s="252" t="str">
        <f>IF(ISNUMBER(SEARCH("R", 'WetLitterbags placem_collection'!$V99)),"YES","NO")</f>
        <v>NO</v>
      </c>
    </row>
    <row r="173" spans="2:30">
      <c r="B173" t="str">
        <f>'Final data_for_R_analysis_Wetse'!A99</f>
        <v>Wet</v>
      </c>
      <c r="C173" s="260">
        <f>'Final data_for_R_analysis_Wetse'!B99</f>
        <v>98</v>
      </c>
      <c r="D173" t="s">
        <v>3815</v>
      </c>
      <c r="E173" t="s">
        <v>22</v>
      </c>
      <c r="F173" s="381">
        <v>2</v>
      </c>
      <c r="G173" s="16">
        <f>'WetLitterbags placem_collection'!E100</f>
        <v>42762</v>
      </c>
      <c r="H173" t="str">
        <f>'Final data_for_R_analysis_Wetse'!K99</f>
        <v>G610</v>
      </c>
      <c r="I173" t="str">
        <f>'Final data_for_R_analysis_Wetse'!K319</f>
        <v>R489</v>
      </c>
      <c r="J173">
        <f>IFERROR(INDEX('Green_rooibos initial weight'!$C$5:$C$2000,MATCH(H173, 'Green_rooibos initial weight'!$A$5:$A$2000,0)),"")</f>
        <v>2.0379999999999998</v>
      </c>
      <c r="K173">
        <f>IFERROR(INDEX('Green_rooibos initial weight'!$C$5:$C$2000,MATCH(I173, 'Green_rooibos initial weight'!$A$5:$A$2000,0)),"")</f>
        <v>2.157</v>
      </c>
      <c r="L173" s="194">
        <f t="shared" si="7"/>
        <v>1.7881999999999998</v>
      </c>
      <c r="M173" s="194">
        <f>IF(K173&gt;0,(K173*$F$32-($F$29+$F$30)),"")</f>
        <v>1.9072</v>
      </c>
      <c r="N173" s="16">
        <f>IF('WetLitterbags placem_collection'!G100="","",'WetLitterbags placem_collection'!G100)</f>
        <v>42816</v>
      </c>
      <c r="O173" s="194">
        <f>IFERROR(INDEX('Both teabags AfterWet'!$C$3:$C$2000,MATCH(H173,'Both teabags AfterWet'!$A$3:$A$2000,0)),"")</f>
        <v>0.56599999999999995</v>
      </c>
      <c r="P173" s="194">
        <f>IFERROR(INDEX('Both teabags AfterWet'!$C$3:$C$2000,MATCH(I173,'Both teabags AfterWet'!$A$3:$A$2000,0)),"")</f>
        <v>1.5389999999999999</v>
      </c>
      <c r="Q173" s="194">
        <f t="shared" si="8"/>
        <v>0.41539999999999994</v>
      </c>
      <c r="R173" s="194">
        <f t="shared" si="8"/>
        <v>1.3883999999999999</v>
      </c>
      <c r="S173" s="194">
        <f t="shared" si="9"/>
        <v>0.76769936248741755</v>
      </c>
      <c r="T173" s="194">
        <f t="shared" si="10"/>
        <v>0.50328984334091986</v>
      </c>
      <c r="U173" s="194">
        <f t="shared" si="11"/>
        <v>0.727978187919463</v>
      </c>
      <c r="V173">
        <f>IFERROR(IF((N173-G173)&gt;0,(IFERROR(N173-G173,"")),""),"")</f>
        <v>54</v>
      </c>
      <c r="W173" s="194">
        <f t="shared" si="12"/>
        <v>8.8243037425869919E-2</v>
      </c>
      <c r="X173" s="194">
        <f t="shared" si="13"/>
        <v>1.439979420516143E-2</v>
      </c>
      <c r="Y173" s="252" t="str">
        <f>IF(ISNUMBER(SEARCH("C",'WetLitterbags placem_collection'!$X100)),"YES","NO")</f>
        <v>NO</v>
      </c>
      <c r="Z173" s="252" t="str">
        <f>IF(ISNUMBER(SEARCH("H", 'WetLitterbags placem_collection'!$X100)),"YES","NO")</f>
        <v>NO</v>
      </c>
      <c r="AA173" s="252" t="str">
        <f>IF(ISNUMBER(SEARCH("R", 'WetLitterbags placem_collection'!$X100)),"YES","NO")</f>
        <v>NO</v>
      </c>
      <c r="AB173" s="252" t="str">
        <f>IF(ISNUMBER(SEARCH("C", 'WetLitterbags placem_collection'!$V100)),"YES","NO")</f>
        <v>NO</v>
      </c>
      <c r="AC173" s="252" t="str">
        <f>IF(ISNUMBER(SEARCH("H", 'WetLitterbags placem_collection'!$V100)),"YES","NO")</f>
        <v>NO</v>
      </c>
      <c r="AD173" s="252" t="str">
        <f>IF(ISNUMBER(SEARCH("R", 'WetLitterbags placem_collection'!$V100)),"YES","NO")</f>
        <v>NO</v>
      </c>
    </row>
    <row r="174" spans="2:30">
      <c r="B174" t="str">
        <f>'Final data_for_R_analysis_Wetse'!A100</f>
        <v>Wet</v>
      </c>
      <c r="C174" s="260">
        <f>'Final data_for_R_analysis_Wetse'!B100</f>
        <v>99</v>
      </c>
      <c r="D174" t="s">
        <v>3815</v>
      </c>
      <c r="E174" t="s">
        <v>22</v>
      </c>
      <c r="F174" s="381">
        <v>3</v>
      </c>
      <c r="G174" s="16">
        <f>'WetLitterbags placem_collection'!E101</f>
        <v>42762</v>
      </c>
      <c r="H174" t="str">
        <f>'Final data_for_R_analysis_Wetse'!K100</f>
        <v>G765</v>
      </c>
      <c r="I174" t="str">
        <f>'Final data_for_R_analysis_Wetse'!K320</f>
        <v>R549</v>
      </c>
      <c r="J174">
        <f>IFERROR(INDEX('Green_rooibos initial weight'!$C$5:$C$2000,MATCH(H174, 'Green_rooibos initial weight'!$A$5:$A$2000,0)),"")</f>
        <v>2.08</v>
      </c>
      <c r="K174">
        <f>IFERROR(INDEX('Green_rooibos initial weight'!$C$5:$C$2000,MATCH(I174, 'Green_rooibos initial weight'!$A$5:$A$2000,0)),"")</f>
        <v>2.2320000000000002</v>
      </c>
      <c r="L174" s="194">
        <f t="shared" si="7"/>
        <v>1.8302</v>
      </c>
      <c r="M174" s="194">
        <f>IF(K174&gt;0,(K174*$F$32-($F$29+$F$30)),"")</f>
        <v>1.9822000000000002</v>
      </c>
      <c r="N174" s="16">
        <f>IF('WetLitterbags placem_collection'!G101="","",'WetLitterbags placem_collection'!G101)</f>
        <v>42816</v>
      </c>
      <c r="O174" s="194">
        <f>IFERROR(INDEX('Both teabags AfterWet'!$C$3:$C$2000,MATCH(H174,'Both teabags AfterWet'!$A$3:$A$2000,0)),"")</f>
        <v>0.65149999999999997</v>
      </c>
      <c r="P174" s="194">
        <f>IFERROR(INDEX('Both teabags AfterWet'!$C$3:$C$2000,MATCH(I174,'Both teabags AfterWet'!$A$3:$A$2000,0)),"")</f>
        <v>1.5992</v>
      </c>
      <c r="Q174" s="194">
        <f t="shared" si="8"/>
        <v>0.5008999999999999</v>
      </c>
      <c r="R174" s="194">
        <f t="shared" si="8"/>
        <v>1.4485999999999999</v>
      </c>
      <c r="S174" s="194">
        <f t="shared" si="9"/>
        <v>0.72631406403671739</v>
      </c>
      <c r="T174" s="194">
        <f t="shared" si="10"/>
        <v>0.4761583887746651</v>
      </c>
      <c r="U174" s="194">
        <f t="shared" si="11"/>
        <v>0.73080415699727563</v>
      </c>
      <c r="V174">
        <f>IFERROR(IF((N174-G174)&gt;0,(IFERROR(N174-G174,"")),""),"")</f>
        <v>54</v>
      </c>
      <c r="W174" s="194">
        <f t="shared" si="12"/>
        <v>0.13739422323430239</v>
      </c>
      <c r="X174" s="194">
        <f t="shared" si="13"/>
        <v>1.542986499657268E-2</v>
      </c>
      <c r="Y174" s="252" t="str">
        <f>IF(ISNUMBER(SEARCH("C",'WetLitterbags placem_collection'!$X101)),"YES","NO")</f>
        <v>NO</v>
      </c>
      <c r="Z174" s="252" t="str">
        <f>IF(ISNUMBER(SEARCH("H", 'WetLitterbags placem_collection'!$X101)),"YES","NO")</f>
        <v>NO</v>
      </c>
      <c r="AA174" s="252" t="str">
        <f>IF(ISNUMBER(SEARCH("R", 'WetLitterbags placem_collection'!$X101)),"YES","NO")</f>
        <v>NO</v>
      </c>
      <c r="AB174" s="252" t="str">
        <f>IF(ISNUMBER(SEARCH("C", 'WetLitterbags placem_collection'!$V101)),"YES","NO")</f>
        <v>NO</v>
      </c>
      <c r="AC174" s="252" t="str">
        <f>IF(ISNUMBER(SEARCH("H", 'WetLitterbags placem_collection'!$V101)),"YES","NO")</f>
        <v>NO</v>
      </c>
      <c r="AD174" s="252" t="str">
        <f>IF(ISNUMBER(SEARCH("R", 'WetLitterbags placem_collection'!$V101)),"YES","NO")</f>
        <v>YES</v>
      </c>
    </row>
    <row r="175" spans="2:30">
      <c r="B175" t="str">
        <f>'Final data_for_R_analysis_Wetse'!A101</f>
        <v>Wet</v>
      </c>
      <c r="C175" s="260">
        <f>'Final data_for_R_analysis_Wetse'!B101</f>
        <v>100</v>
      </c>
      <c r="D175" t="s">
        <v>3815</v>
      </c>
      <c r="E175" t="s">
        <v>22</v>
      </c>
      <c r="F175" s="382">
        <v>4</v>
      </c>
      <c r="G175" s="16">
        <f>'WetLitterbags placem_collection'!E102</f>
        <v>42762</v>
      </c>
      <c r="H175" t="str">
        <f>'Final data_for_R_analysis_Wetse'!K101</f>
        <v>G728</v>
      </c>
      <c r="I175" t="str">
        <f>'Final data_for_R_analysis_Wetse'!K321</f>
        <v>R500</v>
      </c>
      <c r="J175">
        <f>IFERROR(INDEX('Green_rooibos initial weight'!$C$5:$C$2000,MATCH(H175, 'Green_rooibos initial weight'!$A$5:$A$2000,0)),"")</f>
        <v>1.962</v>
      </c>
      <c r="K175">
        <f>IFERROR(INDEX('Green_rooibos initial weight'!$C$5:$C$2000,MATCH(I175, 'Green_rooibos initial weight'!$A$5:$A$2000,0)),"")</f>
        <v>2.2069999999999999</v>
      </c>
      <c r="L175" s="194">
        <f t="shared" si="7"/>
        <v>1.7121999999999999</v>
      </c>
      <c r="M175" s="194">
        <f>IF(K175&gt;0,(K175*$F$32-($F$29+$F$30)),"")</f>
        <v>1.9571999999999998</v>
      </c>
      <c r="N175" s="16">
        <f>IF('WetLitterbags placem_collection'!G102="","",'WetLitterbags placem_collection'!G102)</f>
        <v>42816</v>
      </c>
      <c r="O175" s="194">
        <f>IFERROR(INDEX('Both teabags AfterWet'!$C$3:$C$2000,MATCH(H175,'Both teabags AfterWet'!$A$3:$A$2000,0)),"")</f>
        <v>0.59699999999999998</v>
      </c>
      <c r="P175" s="194">
        <f>IFERROR(INDEX('Both teabags AfterWet'!$C$3:$C$2000,MATCH(I175,'Both teabags AfterWet'!$A$3:$A$2000,0)),"")</f>
        <v>1.764</v>
      </c>
      <c r="Q175" s="194">
        <f t="shared" si="8"/>
        <v>0.44639999999999996</v>
      </c>
      <c r="R175" s="194">
        <f t="shared" si="8"/>
        <v>1.6133999999999999</v>
      </c>
      <c r="S175" s="194">
        <f t="shared" si="9"/>
        <v>0.73928279406611375</v>
      </c>
      <c r="T175" s="194">
        <f t="shared" si="10"/>
        <v>0.48466045406709601</v>
      </c>
      <c r="U175" s="194">
        <f t="shared" si="11"/>
        <v>0.8243408951563459</v>
      </c>
      <c r="V175">
        <f>IFERROR(IF((N175-G175)&gt;0,(IFERROR(N175-G175,"")),""),"")</f>
        <v>54</v>
      </c>
      <c r="W175" s="194">
        <f t="shared" si="12"/>
        <v>0.12199193103786965</v>
      </c>
      <c r="X175" s="194">
        <f t="shared" si="13"/>
        <v>8.3352390322704983E-3</v>
      </c>
      <c r="Y175" s="252" t="str">
        <f>IF(ISNUMBER(SEARCH("C",'WetLitterbags placem_collection'!$X102)),"YES","NO")</f>
        <v>NO</v>
      </c>
      <c r="Z175" s="252" t="str">
        <f>IF(ISNUMBER(SEARCH("H", 'WetLitterbags placem_collection'!$X102)),"YES","NO")</f>
        <v>NO</v>
      </c>
      <c r="AA175" s="252" t="str">
        <f>IF(ISNUMBER(SEARCH("R", 'WetLitterbags placem_collection'!$X102)),"YES","NO")</f>
        <v>NO</v>
      </c>
      <c r="AB175" s="252" t="str">
        <f>IF(ISNUMBER(SEARCH("C", 'WetLitterbags placem_collection'!$V102)),"YES","NO")</f>
        <v>YES</v>
      </c>
      <c r="AC175" s="252" t="str">
        <f>IF(ISNUMBER(SEARCH("H", 'WetLitterbags placem_collection'!$V102)),"YES","NO")</f>
        <v>NO</v>
      </c>
      <c r="AD175" s="252" t="str">
        <f>IF(ISNUMBER(SEARCH("R", 'WetLitterbags placem_collection'!$V102)),"YES","NO")</f>
        <v>NO</v>
      </c>
    </row>
    <row r="176" spans="2:30">
      <c r="B176" t="str">
        <f>'Final data_for_R_analysis_Wetse'!A102</f>
        <v>Wet</v>
      </c>
      <c r="C176" s="260">
        <f>'Final data_for_R_analysis_Wetse'!B102</f>
        <v>101</v>
      </c>
      <c r="D176" t="s">
        <v>3815</v>
      </c>
      <c r="E176" t="s">
        <v>22</v>
      </c>
      <c r="F176" s="382">
        <v>5</v>
      </c>
      <c r="G176" s="16">
        <f>'WetLitterbags placem_collection'!E103</f>
        <v>42762</v>
      </c>
      <c r="H176" t="str">
        <f>'Final data_for_R_analysis_Wetse'!K102</f>
        <v>G808</v>
      </c>
      <c r="I176" t="str">
        <f>'Final data_for_R_analysis_Wetse'!K322</f>
        <v>R482</v>
      </c>
      <c r="J176">
        <f>IFERROR(INDEX('Green_rooibos initial weight'!$C$5:$C$2000,MATCH(H176, 'Green_rooibos initial weight'!$A$5:$A$2000,0)),"")</f>
        <v>1.86</v>
      </c>
      <c r="K176">
        <f>IFERROR(INDEX('Green_rooibos initial weight'!$C$5:$C$2000,MATCH(I176, 'Green_rooibos initial weight'!$A$5:$A$2000,0)),"")</f>
        <v>2.17</v>
      </c>
      <c r="L176" s="194">
        <f t="shared" si="7"/>
        <v>1.6102000000000001</v>
      </c>
      <c r="M176" s="194">
        <f>IF(K176&gt;0,(K176*$F$32-($F$29+$F$30)),"")</f>
        <v>1.9201999999999999</v>
      </c>
      <c r="N176" s="16">
        <f>IF('WetLitterbags placem_collection'!G103="","",'WetLitterbags placem_collection'!G103)</f>
        <v>42816</v>
      </c>
      <c r="O176" s="194">
        <f>IFERROR(INDEX('Both teabags AfterWet'!$C$3:$C$2000,MATCH(H176,'Both teabags AfterWet'!$A$3:$A$2000,0)),"")</f>
        <v>0.54810000000000003</v>
      </c>
      <c r="P176" s="194">
        <f>IFERROR(INDEX('Both teabags AfterWet'!$C$3:$C$2000,MATCH(I176,'Both teabags AfterWet'!$A$3:$A$2000,0)),"")</f>
        <v>1.6348</v>
      </c>
      <c r="Q176" s="194">
        <f t="shared" si="8"/>
        <v>0.39750000000000002</v>
      </c>
      <c r="R176" s="194">
        <f t="shared" si="8"/>
        <v>1.4842</v>
      </c>
      <c r="S176" s="194">
        <f t="shared" si="9"/>
        <v>0.75313625636566883</v>
      </c>
      <c r="T176" s="194">
        <f t="shared" si="10"/>
        <v>0.49374253386442907</v>
      </c>
      <c r="U176" s="194">
        <f t="shared" si="11"/>
        <v>0.77294031871680036</v>
      </c>
      <c r="V176">
        <f>IFERROR(IF((N176-G176)&gt;0,(IFERROR(N176-G176,"")),""),"")</f>
        <v>54</v>
      </c>
      <c r="W176" s="194">
        <f t="shared" si="12"/>
        <v>0.10553888792675903</v>
      </c>
      <c r="X176" s="194">
        <f t="shared" si="13"/>
        <v>1.1406556675487834E-2</v>
      </c>
      <c r="Y176" s="252" t="str">
        <f>IF(ISNUMBER(SEARCH("C",'WetLitterbags placem_collection'!$X103)),"YES","NO")</f>
        <v>NO</v>
      </c>
      <c r="Z176" s="252" t="str">
        <f>IF(ISNUMBER(SEARCH("H", 'WetLitterbags placem_collection'!$X103)),"YES","NO")</f>
        <v>NO</v>
      </c>
      <c r="AA176" s="252" t="str">
        <f>IF(ISNUMBER(SEARCH("R", 'WetLitterbags placem_collection'!$X103)),"YES","NO")</f>
        <v>NO</v>
      </c>
      <c r="AB176" s="252" t="str">
        <f>IF(ISNUMBER(SEARCH("C", 'WetLitterbags placem_collection'!$V103)),"YES","NO")</f>
        <v>NO</v>
      </c>
      <c r="AC176" s="252" t="str">
        <f>IF(ISNUMBER(SEARCH("H", 'WetLitterbags placem_collection'!$V103)),"YES","NO")</f>
        <v>YES</v>
      </c>
      <c r="AD176" s="252" t="str">
        <f>IF(ISNUMBER(SEARCH("R", 'WetLitterbags placem_collection'!$V103)),"YES","NO")</f>
        <v>NO</v>
      </c>
    </row>
    <row r="177" spans="2:30">
      <c r="B177" t="str">
        <f>'Final data_for_R_analysis_Wetse'!A103</f>
        <v>Wet</v>
      </c>
      <c r="C177" s="260">
        <f>'Final data_for_R_analysis_Wetse'!B103</f>
        <v>102</v>
      </c>
      <c r="D177" t="s">
        <v>3815</v>
      </c>
      <c r="E177" t="s">
        <v>22</v>
      </c>
      <c r="F177" s="382">
        <v>6</v>
      </c>
      <c r="G177" s="16">
        <f>'WetLitterbags placem_collection'!E104</f>
        <v>42762</v>
      </c>
      <c r="H177" t="str">
        <f>'Final data_for_R_analysis_Wetse'!K103</f>
        <v>G892</v>
      </c>
      <c r="I177" t="str">
        <f>'Final data_for_R_analysis_Wetse'!K323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7"/>
        <v>1.7012</v>
      </c>
      <c r="M177" s="194">
        <f>IF(K177&gt;0,(K177*$F$32-($F$29+$F$30)),"")</f>
        <v>1.8462000000000001</v>
      </c>
      <c r="N177" s="16">
        <f>IF('WetLitterbags placem_collection'!G104="","",'WetLitterbags placem_collection'!G104)</f>
        <v>42816</v>
      </c>
      <c r="O177" s="194">
        <f>IFERROR(INDEX('Both teabags AfterWet'!$C$3:$C$2000,MATCH(H177,'Both teabags AfterWet'!$A$3:$A$2000,0)),"")</f>
        <v>0.63100000000000001</v>
      </c>
      <c r="P177" s="194">
        <f>IFERROR(INDEX('Both teabags AfterWet'!$C$3:$C$2000,MATCH(I177,'Both teabags AfterWet'!$A$3:$A$2000,0)),"")</f>
        <v>1.655</v>
      </c>
      <c r="Q177" s="194">
        <f t="shared" si="8"/>
        <v>0.48039999999999999</v>
      </c>
      <c r="R177" s="194">
        <f t="shared" si="8"/>
        <v>1.5044</v>
      </c>
      <c r="S177" s="194">
        <f t="shared" si="9"/>
        <v>0.71761109804843648</v>
      </c>
      <c r="T177" s="194">
        <f t="shared" si="10"/>
        <v>0.47045288138092273</v>
      </c>
      <c r="U177" s="194">
        <f t="shared" si="11"/>
        <v>0.81486296175928929</v>
      </c>
      <c r="V177">
        <f>IFERROR(IF((N177-G177)&gt;0,(IFERROR(N177-G177,"")),""),"")</f>
        <v>54</v>
      </c>
      <c r="W177" s="194">
        <f t="shared" si="12"/>
        <v>0.14773028735340088</v>
      </c>
      <c r="X177" s="194">
        <f t="shared" si="13"/>
        <v>9.2610929625657219E-3</v>
      </c>
      <c r="Y177" s="252" t="str">
        <f>IF(ISNUMBER(SEARCH("C",'WetLitterbags placem_collection'!$X104)),"YES","NO")</f>
        <v>NO</v>
      </c>
      <c r="Z177" s="252" t="str">
        <f>IF(ISNUMBER(SEARCH("H", 'WetLitterbags placem_collection'!$X104)),"YES","NO")</f>
        <v>NO</v>
      </c>
      <c r="AA177" s="252" t="str">
        <f>IF(ISNUMBER(SEARCH("R", 'WetLitterbags placem_collection'!$X104)),"YES","NO")</f>
        <v>NO</v>
      </c>
      <c r="AB177" s="252" t="str">
        <f>IF(ISNUMBER(SEARCH("C", 'WetLitterbags placem_collection'!$V104)),"YES","NO")</f>
        <v>NO</v>
      </c>
      <c r="AC177" s="252" t="str">
        <f>IF(ISNUMBER(SEARCH("H", 'WetLitterbags placem_collection'!$V104)),"YES","NO")</f>
        <v>NO</v>
      </c>
      <c r="AD177" s="252" t="str">
        <f>IF(ISNUMBER(SEARCH("R", 'WetLitterbags placem_collection'!$V104)),"YES","NO")</f>
        <v>NO</v>
      </c>
    </row>
    <row r="178" spans="2:30">
      <c r="B178" t="str">
        <f>'Final data_for_R_analysis_Wetse'!A104</f>
        <v>Wet</v>
      </c>
      <c r="C178" s="260">
        <f>'Final data_for_R_analysis_Wetse'!B104</f>
        <v>103</v>
      </c>
      <c r="D178" t="s">
        <v>3815</v>
      </c>
      <c r="E178" t="s">
        <v>22</v>
      </c>
      <c r="F178" s="382">
        <v>7</v>
      </c>
      <c r="G178" s="16">
        <f>'WetLitterbags placem_collection'!E105</f>
        <v>42762</v>
      </c>
      <c r="H178" t="str">
        <f>'Final data_for_R_analysis_Wetse'!K104</f>
        <v>G869</v>
      </c>
      <c r="I178" t="str">
        <f>'Final data_for_R_analysis_Wetse'!K324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7"/>
        <v>1.7991999999999999</v>
      </c>
      <c r="M178" s="194">
        <f>IF(K178&gt;0,(K178*$F$32-($F$29+$F$30)),"")</f>
        <v>1.9331999999999998</v>
      </c>
      <c r="N178" s="16">
        <f>IF('WetLitterbags placem_collection'!G105="","",'WetLitterbags placem_collection'!G105)</f>
        <v>42816</v>
      </c>
      <c r="O178" s="194">
        <f>IFERROR(INDEX('Both teabags AfterWet'!$C$3:$C$2000,MATCH(H178,'Both teabags AfterWet'!$A$3:$A$2000,0)),"")</f>
        <v>0.55800000000000005</v>
      </c>
      <c r="P178" s="194">
        <f>IFERROR(INDEX('Both teabags AfterWet'!$C$3:$C$2000,MATCH(I178,'Both teabags AfterWet'!$A$3:$A$2000,0)),"")</f>
        <v>1.629</v>
      </c>
      <c r="Q178" s="194">
        <f t="shared" si="8"/>
        <v>0.40740000000000004</v>
      </c>
      <c r="R178" s="194">
        <f t="shared" si="8"/>
        <v>1.4783999999999999</v>
      </c>
      <c r="S178" s="194">
        <f t="shared" si="9"/>
        <v>0.77356602934637619</v>
      </c>
      <c r="T178" s="194">
        <f t="shared" si="10"/>
        <v>0.50713592422707809</v>
      </c>
      <c r="U178" s="194">
        <f t="shared" si="11"/>
        <v>0.76474239602731231</v>
      </c>
      <c r="V178">
        <f>IFERROR(IF((N178-G178)&gt;0,(IFERROR(N178-G178,"")),""),"")</f>
        <v>54</v>
      </c>
      <c r="W178" s="194">
        <f t="shared" si="12"/>
        <v>8.1275499588626787E-2</v>
      </c>
      <c r="X178" s="194">
        <f t="shared" si="13"/>
        <v>1.1544897196004269E-2</v>
      </c>
      <c r="Y178" s="252" t="str">
        <f>IF(ISNUMBER(SEARCH("C",'WetLitterbags placem_collection'!$X105)),"YES","NO")</f>
        <v>NO</v>
      </c>
      <c r="Z178" s="252" t="str">
        <f>IF(ISNUMBER(SEARCH("H", 'WetLitterbags placem_collection'!$X105)),"YES","NO")</f>
        <v>NO</v>
      </c>
      <c r="AA178" s="252" t="str">
        <f>IF(ISNUMBER(SEARCH("R", 'WetLitterbags placem_collection'!$X105)),"YES","NO")</f>
        <v>NO</v>
      </c>
      <c r="AB178" s="252" t="str">
        <f>IF(ISNUMBER(SEARCH("C", 'WetLitterbags placem_collection'!$V105)),"YES","NO")</f>
        <v>NO</v>
      </c>
      <c r="AC178" s="252" t="str">
        <f>IF(ISNUMBER(SEARCH("H", 'WetLitterbags placem_collection'!$V105)),"YES","NO")</f>
        <v>NO</v>
      </c>
      <c r="AD178" s="252" t="str">
        <f>IF(ISNUMBER(SEARCH("R", 'WetLitterbags placem_collection'!$V105)),"YES","NO")</f>
        <v>NO</v>
      </c>
    </row>
    <row r="179" spans="2:30">
      <c r="B179" t="str">
        <f>'Final data_for_R_analysis_Wetse'!A105</f>
        <v>Wet</v>
      </c>
      <c r="C179" s="260">
        <f>'Final data_for_R_analysis_Wetse'!B105</f>
        <v>104</v>
      </c>
      <c r="D179" t="s">
        <v>3815</v>
      </c>
      <c r="E179" t="s">
        <v>22</v>
      </c>
      <c r="F179" s="382">
        <v>8</v>
      </c>
      <c r="G179" s="16">
        <f>'WetLitterbags placem_collection'!E106</f>
        <v>42762</v>
      </c>
      <c r="H179" t="str">
        <f>'Final data_for_R_analysis_Wetse'!K105</f>
        <v>G881</v>
      </c>
      <c r="I179" t="str">
        <f>'Final data_for_R_analysis_Wetse'!K325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7"/>
        <v>1.7072000000000001</v>
      </c>
      <c r="M179" s="194">
        <f>IF(K179&gt;0,(K179*$F$32-($F$29+$F$30)),"")</f>
        <v>1.8361999999999998</v>
      </c>
      <c r="N179" s="16">
        <f>IF('WetLitterbags placem_collection'!G106="","",'WetLitterbags placem_collection'!G106)</f>
        <v>42816</v>
      </c>
      <c r="O179" s="194">
        <f>IFERROR(INDEX('Both teabags AfterWet'!$C$3:$C$2000,MATCH(H179,'Both teabags AfterWet'!$A$3:$A$2000,0)),"")</f>
        <v>0.61</v>
      </c>
      <c r="P179" s="194">
        <f>IFERROR(INDEX('Both teabags AfterWet'!$C$3:$C$2000,MATCH(I179,'Both teabags AfterWet'!$A$3:$A$2000,0)),"")</f>
        <v>1.4470000000000001</v>
      </c>
      <c r="Q179" s="194">
        <f t="shared" si="8"/>
        <v>0.45939999999999998</v>
      </c>
      <c r="R179" s="194">
        <f t="shared" si="8"/>
        <v>1.2964</v>
      </c>
      <c r="S179" s="194">
        <f t="shared" si="9"/>
        <v>0.73090440487347708</v>
      </c>
      <c r="T179" s="194">
        <f t="shared" si="10"/>
        <v>0.47916773336123442</v>
      </c>
      <c r="U179" s="194">
        <f t="shared" si="11"/>
        <v>0.70602330900773347</v>
      </c>
      <c r="V179">
        <f>IFERROR(IF((N179-G179)&gt;0,(IFERROR(N179-G179,"")),""),"")</f>
        <v>54</v>
      </c>
      <c r="W179" s="194">
        <f t="shared" si="12"/>
        <v>0.13194251202674934</v>
      </c>
      <c r="X179" s="194">
        <f t="shared" si="13"/>
        <v>1.7604865860036067E-2</v>
      </c>
      <c r="Y179" s="252" t="str">
        <f>IF(ISNUMBER(SEARCH("C",'WetLitterbags placem_collection'!$X106)),"YES","NO")</f>
        <v>NO</v>
      </c>
      <c r="Z179" s="252" t="str">
        <f>IF(ISNUMBER(SEARCH("H", 'WetLitterbags placem_collection'!$X106)),"YES","NO")</f>
        <v>NO</v>
      </c>
      <c r="AA179" s="252" t="str">
        <f>IF(ISNUMBER(SEARCH("R", 'WetLitterbags placem_collection'!$X106)),"YES","NO")</f>
        <v>NO</v>
      </c>
      <c r="AB179" s="252" t="str">
        <f>IF(ISNUMBER(SEARCH("C", 'WetLitterbags placem_collection'!$V106)),"YES","NO")</f>
        <v>NO</v>
      </c>
      <c r="AC179" s="252" t="str">
        <f>IF(ISNUMBER(SEARCH("H", 'WetLitterbags placem_collection'!$V106)),"YES","NO")</f>
        <v>NO</v>
      </c>
      <c r="AD179" s="252" t="str">
        <f>IF(ISNUMBER(SEARCH("R", 'WetLitterbags placem_collection'!$V106)),"YES","NO")</f>
        <v>NO</v>
      </c>
    </row>
    <row r="180" spans="2:30">
      <c r="B180" t="str">
        <f>'Final data_for_R_analysis_Wetse'!A106</f>
        <v>Wet</v>
      </c>
      <c r="C180" s="260">
        <f>'Final data_for_R_analysis_Wetse'!B106</f>
        <v>105</v>
      </c>
      <c r="D180" t="s">
        <v>3817</v>
      </c>
      <c r="E180" t="s">
        <v>22</v>
      </c>
      <c r="F180" s="381">
        <v>1</v>
      </c>
      <c r="G180" s="16">
        <f>'WetLitterbags placem_collection'!E107</f>
        <v>42762</v>
      </c>
      <c r="H180" t="str">
        <f>'Final data_for_R_analysis_Wetse'!K106</f>
        <v>G729</v>
      </c>
      <c r="I180" t="str">
        <f>'Final data_for_R_analysis_Wetse'!K326</f>
        <v>R548</v>
      </c>
      <c r="J180">
        <f>IFERROR(INDEX('Green_rooibos initial weight'!$C$5:$C$2000,MATCH(H180, 'Green_rooibos initial weight'!$A$5:$A$2000,0)),"")</f>
        <v>1.984</v>
      </c>
      <c r="K180">
        <f>IFERROR(INDEX('Green_rooibos initial weight'!$C$5:$C$2000,MATCH(I180, 'Green_rooibos initial weight'!$A$5:$A$2000,0)),"")</f>
        <v>2.1920000000000002</v>
      </c>
      <c r="L180" s="194">
        <f t="shared" si="7"/>
        <v>1.7342</v>
      </c>
      <c r="M180" s="194">
        <f>IF(K180&gt;0,(K180*$F$32-($F$29+$F$30)),"")</f>
        <v>1.9422000000000001</v>
      </c>
      <c r="N180" s="16">
        <f>IF('WetLitterbags placem_collection'!G107="","",'WetLitterbags placem_collection'!G107)</f>
        <v>42816</v>
      </c>
      <c r="O180" s="194">
        <f>IFERROR(INDEX('Both teabags AfterWet'!$C$3:$C$2000,MATCH(H180,'Both teabags AfterWet'!$A$3:$A$2000,0)),"")</f>
        <v>0.72399999999999998</v>
      </c>
      <c r="P180" s="194">
        <f>IFERROR(INDEX('Both teabags AfterWet'!$C$3:$C$2000,MATCH(I180,'Both teabags AfterWet'!$A$3:$A$2000,0)),"")</f>
        <v>1.859</v>
      </c>
      <c r="Q180" s="194">
        <f t="shared" si="8"/>
        <v>0.57339999999999991</v>
      </c>
      <c r="R180" s="194">
        <f t="shared" si="8"/>
        <v>1.7083999999999999</v>
      </c>
      <c r="S180" s="194">
        <f t="shared" si="9"/>
        <v>0.66935762887786887</v>
      </c>
      <c r="T180" s="194">
        <f t="shared" si="10"/>
        <v>0.43881877807670272</v>
      </c>
      <c r="U180" s="194">
        <f t="shared" si="11"/>
        <v>0.87962104829574694</v>
      </c>
      <c r="V180">
        <f>IFERROR(IF((N180-G180)&gt;0,(IFERROR(N180-G180,"")),""),"")</f>
        <v>54</v>
      </c>
      <c r="W180" s="194">
        <f t="shared" si="12"/>
        <v>0.20503844551321981</v>
      </c>
      <c r="X180" s="194">
        <f t="shared" si="13"/>
        <v>5.9380183827362062E-3</v>
      </c>
      <c r="Y180" s="252" t="str">
        <f>IF(ISNUMBER(SEARCH("C",'WetLitterbags placem_collection'!$X107)),"YES","NO")</f>
        <v>NO</v>
      </c>
      <c r="Z180" s="252" t="str">
        <f>IF(ISNUMBER(SEARCH("H", 'WetLitterbags placem_collection'!$X107)),"YES","NO")</f>
        <v>NO</v>
      </c>
      <c r="AA180" s="252" t="str">
        <f>IF(ISNUMBER(SEARCH("R", 'WetLitterbags placem_collection'!$X107)),"YES","NO")</f>
        <v>NO</v>
      </c>
      <c r="AB180" s="252" t="str">
        <f>IF(ISNUMBER(SEARCH("C", 'WetLitterbags placem_collection'!$V107)),"YES","NO")</f>
        <v>NO</v>
      </c>
      <c r="AC180" s="252" t="str">
        <f>IF(ISNUMBER(SEARCH("H", 'WetLitterbags placem_collection'!$V107)),"YES","NO")</f>
        <v>NO</v>
      </c>
      <c r="AD180" s="252" t="str">
        <f>IF(ISNUMBER(SEARCH("R", 'WetLitterbags placem_collection'!$V107)),"YES","NO")</f>
        <v>NO</v>
      </c>
    </row>
    <row r="181" spans="2:30">
      <c r="B181" t="str">
        <f>'Final data_for_R_analysis_Wetse'!A107</f>
        <v>Wet</v>
      </c>
      <c r="C181" s="260">
        <f>'Final data_for_R_analysis_Wetse'!B107</f>
        <v>106</v>
      </c>
      <c r="D181" t="s">
        <v>3817</v>
      </c>
      <c r="E181" t="s">
        <v>22</v>
      </c>
      <c r="F181" s="381">
        <v>2</v>
      </c>
      <c r="G181" s="16">
        <f>'WetLitterbags placem_collection'!E108</f>
        <v>42762</v>
      </c>
      <c r="H181" t="str">
        <f>'Final data_for_R_analysis_Wetse'!K107</f>
        <v>G837</v>
      </c>
      <c r="I181" t="str">
        <f>'Final data_for_R_analysis_Wetse'!K327</f>
        <v>R590</v>
      </c>
      <c r="J181">
        <f>IFERROR(INDEX('Green_rooibos initial weight'!$C$5:$C$2000,MATCH(H181, 'Green_rooibos initial weight'!$A$5:$A$2000,0)),"")</f>
        <v>1.1910000000000001</v>
      </c>
      <c r="K181">
        <f>IFERROR(INDEX('Green_rooibos initial weight'!$C$5:$C$2000,MATCH(I181, 'Green_rooibos initial weight'!$A$5:$A$2000,0)),"")</f>
        <v>2.218</v>
      </c>
      <c r="L181" s="194">
        <f t="shared" si="7"/>
        <v>0.94120000000000004</v>
      </c>
      <c r="M181" s="194">
        <f>IF(K181&gt;0,(K181*$F$32-($F$29+$F$30)),"")</f>
        <v>1.9681999999999999</v>
      </c>
      <c r="N181" s="16">
        <f>IF('WetLitterbags placem_collection'!G108="","",'WetLitterbags placem_collection'!G108)</f>
        <v>42816</v>
      </c>
      <c r="O181" s="194">
        <f>IFERROR(INDEX('Both teabags AfterWet'!$C$3:$C$2000,MATCH(H181,'Both teabags AfterWet'!$A$3:$A$2000,0)),"")</f>
        <v>0.62</v>
      </c>
      <c r="P181" s="194">
        <f>IFERROR(INDEX('Both teabags AfterWet'!$C$3:$C$2000,MATCH(I181,'Both teabags AfterWet'!$A$3:$A$2000,0)),"")</f>
        <v>1.7769999999999999</v>
      </c>
      <c r="Q181" s="194">
        <f t="shared" si="8"/>
        <v>0.46939999999999998</v>
      </c>
      <c r="R181" s="194">
        <f t="shared" si="8"/>
        <v>1.6263999999999998</v>
      </c>
      <c r="S181" s="194">
        <f t="shared" si="9"/>
        <v>0.50127496812579686</v>
      </c>
      <c r="T181" s="194">
        <f t="shared" si="10"/>
        <v>0.32862681995895476</v>
      </c>
      <c r="U181" s="194">
        <f t="shared" si="11"/>
        <v>0.82633878670866778</v>
      </c>
      <c r="V181">
        <f>IFERROR(IF((N181-G181)&gt;0,(IFERROR(N181-G181,"")),""),"")</f>
        <v>54</v>
      </c>
      <c r="W181" s="194">
        <f t="shared" si="12"/>
        <v>0.40466155804537185</v>
      </c>
      <c r="X181" s="194">
        <f t="shared" si="13"/>
        <v>1.3920733727902836E-2</v>
      </c>
      <c r="Y181" s="252" t="str">
        <f>IF(ISNUMBER(SEARCH("C",'WetLitterbags placem_collection'!$X108)),"YES","NO")</f>
        <v>NO</v>
      </c>
      <c r="Z181" s="252" t="str">
        <f>IF(ISNUMBER(SEARCH("H", 'WetLitterbags placem_collection'!$X108)),"YES","NO")</f>
        <v>NO</v>
      </c>
      <c r="AA181" s="252" t="str">
        <f>IF(ISNUMBER(SEARCH("R", 'WetLitterbags placem_collection'!$X108)),"YES","NO")</f>
        <v>YES</v>
      </c>
      <c r="AB181" s="252" t="str">
        <f>IF(ISNUMBER(SEARCH("C", 'WetLitterbags placem_collection'!$V108)),"YES","NO")</f>
        <v>NO</v>
      </c>
      <c r="AC181" s="252" t="str">
        <f>IF(ISNUMBER(SEARCH("H", 'WetLitterbags placem_collection'!$V108)),"YES","NO")</f>
        <v>NO</v>
      </c>
      <c r="AD181" s="252" t="str">
        <f>IF(ISNUMBER(SEARCH("R", 'WetLitterbags placem_collection'!$V108)),"YES","NO")</f>
        <v>YES</v>
      </c>
    </row>
    <row r="182" spans="2:30">
      <c r="B182" t="str">
        <f>'Final data_for_R_analysis_Wetse'!A108</f>
        <v>Wet</v>
      </c>
      <c r="C182" s="260">
        <f>'Final data_for_R_analysis_Wetse'!B108</f>
        <v>107</v>
      </c>
      <c r="D182" t="s">
        <v>3817</v>
      </c>
      <c r="E182" t="s">
        <v>22</v>
      </c>
      <c r="F182" s="381">
        <v>3</v>
      </c>
      <c r="G182" s="16">
        <f>'WetLitterbags placem_collection'!E109</f>
        <v>42762</v>
      </c>
      <c r="H182" t="str">
        <f>'Final data_for_R_analysis_Wetse'!K108</f>
        <v>G688</v>
      </c>
      <c r="I182" t="str">
        <f>'Final data_for_R_analysis_Wetse'!K328</f>
        <v>R574</v>
      </c>
      <c r="J182">
        <f>IFERROR(INDEX('Green_rooibos initial weight'!$C$5:$C$2000,MATCH(H182, 'Green_rooibos initial weight'!$A$5:$A$2000,0)),"")</f>
        <v>2.125</v>
      </c>
      <c r="K182">
        <f>IFERROR(INDEX('Green_rooibos initial weight'!$C$5:$C$2000,MATCH(I182, 'Green_rooibos initial weight'!$A$5:$A$2000,0)),"")</f>
        <v>2.16</v>
      </c>
      <c r="L182" s="194">
        <f t="shared" si="7"/>
        <v>1.8752</v>
      </c>
      <c r="M182" s="194">
        <f>IF(K182&gt;0,(K182*$F$32-($F$29+$F$30)),"")</f>
        <v>1.9102000000000001</v>
      </c>
      <c r="N182" s="16">
        <f>IF('WetLitterbags placem_collection'!G109="","",'WetLitterbags placem_collection'!G109)</f>
        <v>42816</v>
      </c>
      <c r="O182" s="194">
        <f>IFERROR(INDEX('Both teabags AfterWet'!$C$3:$C$2000,MATCH(H182,'Both teabags AfterWet'!$A$3:$A$2000,0)),"")</f>
        <v>0.60899999999999999</v>
      </c>
      <c r="P182" s="194">
        <f>IFERROR(INDEX('Both teabags AfterWet'!$C$3:$C$2000,MATCH(I182,'Both teabags AfterWet'!$A$3:$A$2000,0)),"")</f>
        <v>1.706</v>
      </c>
      <c r="Q182" s="194">
        <f t="shared" si="8"/>
        <v>0.45839999999999997</v>
      </c>
      <c r="R182" s="194">
        <f t="shared" si="8"/>
        <v>1.5553999999999999</v>
      </c>
      <c r="S182" s="194">
        <f t="shared" si="9"/>
        <v>0.75554607508532423</v>
      </c>
      <c r="T182" s="194">
        <f t="shared" si="10"/>
        <v>0.49532236751436937</v>
      </c>
      <c r="U182" s="194">
        <f t="shared" si="11"/>
        <v>0.81426028688095475</v>
      </c>
      <c r="V182">
        <f>IFERROR(IF((N182-G182)&gt;0,(IFERROR(N182-G182,"")),""),"")</f>
        <v>54</v>
      </c>
      <c r="W182" s="194">
        <f t="shared" si="12"/>
        <v>0.10267687044498308</v>
      </c>
      <c r="X182" s="194">
        <f t="shared" si="13"/>
        <v>8.7034015520679048E-3</v>
      </c>
      <c r="Y182" s="252" t="str">
        <f>IF(ISNUMBER(SEARCH("C",'WetLitterbags placem_collection'!$X109)),"YES","NO")</f>
        <v>NO</v>
      </c>
      <c r="Z182" s="252" t="str">
        <f>IF(ISNUMBER(SEARCH("H", 'WetLitterbags placem_collection'!$X109)),"YES","NO")</f>
        <v>NO</v>
      </c>
      <c r="AA182" s="252" t="str">
        <f>IF(ISNUMBER(SEARCH("R", 'WetLitterbags placem_collection'!$X109)),"YES","NO")</f>
        <v>YES</v>
      </c>
      <c r="AB182" s="252" t="str">
        <f>IF(ISNUMBER(SEARCH("C", 'WetLitterbags placem_collection'!$V109)),"YES","NO")</f>
        <v>NO</v>
      </c>
      <c r="AC182" s="252" t="str">
        <f>IF(ISNUMBER(SEARCH("H", 'WetLitterbags placem_collection'!$V109)),"YES","NO")</f>
        <v>NO</v>
      </c>
      <c r="AD182" s="252" t="str">
        <f>IF(ISNUMBER(SEARCH("R", 'WetLitterbags placem_collection'!$V109)),"YES","NO")</f>
        <v>YES</v>
      </c>
    </row>
    <row r="183" spans="2:30">
      <c r="B183" t="str">
        <f>'Final data_for_R_analysis_Wetse'!A109</f>
        <v>Wet</v>
      </c>
      <c r="C183" s="260">
        <f>'Final data_for_R_analysis_Wetse'!B109</f>
        <v>108</v>
      </c>
      <c r="D183" t="s">
        <v>3817</v>
      </c>
      <c r="E183" t="s">
        <v>22</v>
      </c>
      <c r="F183" s="382">
        <v>4</v>
      </c>
      <c r="G183" s="16">
        <f>'WetLitterbags placem_collection'!E110</f>
        <v>42762</v>
      </c>
      <c r="H183" t="str">
        <f>'Final data_for_R_analysis_Wetse'!K109</f>
        <v>G883</v>
      </c>
      <c r="I183" t="str">
        <f>'Final data_for_R_analysis_Wetse'!K329</f>
        <v>R8</v>
      </c>
      <c r="J183">
        <f>IFERROR(INDEX('Green_rooibos initial weight'!$C$5:$C$2000,MATCH(H183, 'Green_rooibos initial weight'!$A$5:$A$2000,0)),"")</f>
        <v>2.073</v>
      </c>
      <c r="K183">
        <f>IFERROR(INDEX('Green_rooibos initial weight'!$C$5:$C$2000,MATCH(I183, 'Green_rooibos initial weight'!$A$5:$A$2000,0)),"")</f>
        <v>2.23</v>
      </c>
      <c r="L183" s="194">
        <f t="shared" si="7"/>
        <v>1.8231999999999999</v>
      </c>
      <c r="M183" s="194">
        <f>IF(K183&gt;0,(K183*$F$32-($F$29+$F$30)),"")</f>
        <v>1.9802</v>
      </c>
      <c r="N183" s="16">
        <f>IF('WetLitterbags placem_collection'!G110="","",'WetLitterbags placem_collection'!G110)</f>
        <v>42816</v>
      </c>
      <c r="O183" s="194">
        <f>IFERROR(INDEX('Both teabags AfterWet'!$C$3:$C$2000,MATCH(H183,'Both teabags AfterWet'!$A$3:$A$2000,0)),"")</f>
        <v>0.67200000000000004</v>
      </c>
      <c r="P183" s="194">
        <f>IFERROR(INDEX('Both teabags AfterWet'!$C$3:$C$2000,MATCH(I183,'Both teabags AfterWet'!$A$3:$A$2000,0)),"")</f>
        <v>1.536</v>
      </c>
      <c r="Q183" s="194">
        <f t="shared" si="8"/>
        <v>0.52140000000000009</v>
      </c>
      <c r="R183" s="194">
        <f t="shared" si="8"/>
        <v>1.3854</v>
      </c>
      <c r="S183" s="194">
        <f t="shared" si="9"/>
        <v>0.7140193067134708</v>
      </c>
      <c r="T183" s="194">
        <f t="shared" si="10"/>
        <v>0.46809816782165786</v>
      </c>
      <c r="U183" s="194">
        <f t="shared" si="11"/>
        <v>0.69962630037369966</v>
      </c>
      <c r="V183">
        <f>IFERROR(IF((N183-G183)&gt;0,(IFERROR(N183-G183,"")),""),"")</f>
        <v>54</v>
      </c>
      <c r="W183" s="194">
        <f t="shared" si="12"/>
        <v>0.15199607278685179</v>
      </c>
      <c r="X183" s="194">
        <f t="shared" si="13"/>
        <v>1.900658280506929E-2</v>
      </c>
      <c r="Y183" s="252" t="str">
        <f>IF(ISNUMBER(SEARCH("C",'WetLitterbags placem_collection'!$X110)),"YES","NO")</f>
        <v>NO</v>
      </c>
      <c r="Z183" s="252" t="str">
        <f>IF(ISNUMBER(SEARCH("H", 'WetLitterbags placem_collection'!$X110)),"YES","NO")</f>
        <v>NO</v>
      </c>
      <c r="AA183" s="252" t="str">
        <f>IF(ISNUMBER(SEARCH("R", 'WetLitterbags placem_collection'!$X110)),"YES","NO")</f>
        <v>YES</v>
      </c>
      <c r="AB183" s="252" t="str">
        <f>IF(ISNUMBER(SEARCH("C", 'WetLitterbags placem_collection'!$V110)),"YES","NO")</f>
        <v>NO</v>
      </c>
      <c r="AC183" s="252" t="str">
        <f>IF(ISNUMBER(SEARCH("H", 'WetLitterbags placem_collection'!$V110)),"YES","NO")</f>
        <v>NO</v>
      </c>
      <c r="AD183" s="252" t="str">
        <f>IF(ISNUMBER(SEARCH("R", 'WetLitterbags placem_collection'!$V110)),"YES","NO")</f>
        <v>YES</v>
      </c>
    </row>
    <row r="184" spans="2:30">
      <c r="B184" t="str">
        <f>'Final data_for_R_analysis_Wetse'!A110</f>
        <v>Wet</v>
      </c>
      <c r="C184" s="260">
        <f>'Final data_for_R_analysis_Wetse'!B110</f>
        <v>109</v>
      </c>
      <c r="D184" t="s">
        <v>3817</v>
      </c>
      <c r="E184" t="s">
        <v>22</v>
      </c>
      <c r="F184" s="382">
        <v>5</v>
      </c>
      <c r="G184" s="16">
        <f>'WetLitterbags placem_collection'!E111</f>
        <v>42762</v>
      </c>
      <c r="H184" t="str">
        <f>'Final data_for_R_analysis_Wetse'!K110</f>
        <v>G704</v>
      </c>
      <c r="I184" t="str">
        <f>'Final data_for_R_analysis_Wetse'!K330</f>
        <v>R552</v>
      </c>
      <c r="J184">
        <f>IFERROR(INDEX('Green_rooibos initial weight'!$C$5:$C$2000,MATCH(H184, 'Green_rooibos initial weight'!$A$5:$A$2000,0)),"")</f>
        <v>2.0219999999999998</v>
      </c>
      <c r="K184">
        <f>IFERROR(INDEX('Green_rooibos initial weight'!$C$5:$C$2000,MATCH(I184, 'Green_rooibos initial weight'!$A$5:$A$2000,0)),"")</f>
        <v>2.222</v>
      </c>
      <c r="L184" s="194">
        <f t="shared" si="7"/>
        <v>1.7721999999999998</v>
      </c>
      <c r="M184" s="194">
        <f>IF(K184&gt;0,(K184*$F$32-($F$29+$F$30)),"")</f>
        <v>1.9722</v>
      </c>
      <c r="N184" s="16">
        <f>IF('WetLitterbags placem_collection'!G111="","",'WetLitterbags placem_collection'!G111)</f>
        <v>42816</v>
      </c>
      <c r="O184" s="194">
        <f>IFERROR(INDEX('Both teabags AfterWet'!$C$3:$C$2000,MATCH(H184,'Both teabags AfterWet'!$A$3:$A$2000,0)),"")</f>
        <v>0.63019999999999998</v>
      </c>
      <c r="P184" s="194">
        <f>IFERROR(INDEX('Both teabags AfterWet'!$C$3:$C$2000,MATCH(I184,'Both teabags AfterWet'!$A$3:$A$2000,0)),"")</f>
        <v>1.7532000000000001</v>
      </c>
      <c r="Q184" s="194">
        <f t="shared" si="8"/>
        <v>0.47959999999999997</v>
      </c>
      <c r="R184" s="194">
        <f t="shared" si="8"/>
        <v>1.6026</v>
      </c>
      <c r="S184" s="194">
        <f t="shared" si="9"/>
        <v>0.72937591693939741</v>
      </c>
      <c r="T184" s="194">
        <f t="shared" si="10"/>
        <v>0.47816568426430806</v>
      </c>
      <c r="U184" s="194">
        <f t="shared" si="11"/>
        <v>0.81259507149376331</v>
      </c>
      <c r="V184">
        <f>IFERROR(IF((N184-G184)&gt;0,(IFERROR(N184-G184,"")),""),"")</f>
        <v>54</v>
      </c>
      <c r="W184" s="194">
        <f t="shared" si="12"/>
        <v>0.13375781836176082</v>
      </c>
      <c r="X184" s="194">
        <f t="shared" si="13"/>
        <v>9.2121575623880722E-3</v>
      </c>
      <c r="Y184" s="252" t="str">
        <f>IF(ISNUMBER(SEARCH("C",'WetLitterbags placem_collection'!$X111)),"YES","NO")</f>
        <v>NO</v>
      </c>
      <c r="Z184" s="252" t="str">
        <f>IF(ISNUMBER(SEARCH("H", 'WetLitterbags placem_collection'!$X111)),"YES","NO")</f>
        <v>NO</v>
      </c>
      <c r="AA184" s="252" t="str">
        <f>IF(ISNUMBER(SEARCH("R", 'WetLitterbags placem_collection'!$X111)),"YES","NO")</f>
        <v>NO</v>
      </c>
      <c r="AB184" s="252" t="str">
        <f>IF(ISNUMBER(SEARCH("C", 'WetLitterbags placem_collection'!$V111)),"YES","NO")</f>
        <v>NO</v>
      </c>
      <c r="AC184" s="252" t="str">
        <f>IF(ISNUMBER(SEARCH("H", 'WetLitterbags placem_collection'!$V111)),"YES","NO")</f>
        <v>YES</v>
      </c>
      <c r="AD184" s="252" t="str">
        <f>IF(ISNUMBER(SEARCH("R", 'WetLitterbags placem_collection'!$V111)),"YES","NO")</f>
        <v>NO</v>
      </c>
    </row>
    <row r="185" spans="2:30">
      <c r="B185" t="str">
        <f>'Final data_for_R_analysis_Wetse'!A111</f>
        <v>Wet</v>
      </c>
      <c r="C185" s="260">
        <f>'Final data_for_R_analysis_Wetse'!B111</f>
        <v>110</v>
      </c>
      <c r="D185" t="s">
        <v>3817</v>
      </c>
      <c r="E185" t="s">
        <v>22</v>
      </c>
      <c r="F185" s="382">
        <v>6</v>
      </c>
      <c r="G185" s="16">
        <f>'WetLitterbags placem_collection'!E112</f>
        <v>42762</v>
      </c>
      <c r="H185" t="str">
        <f>'Final data_for_R_analysis_Wetse'!K111</f>
        <v>G742</v>
      </c>
      <c r="I185" t="str">
        <f>'Final data_for_R_analysis_Wetse'!K331</f>
        <v>R462</v>
      </c>
      <c r="J185">
        <f>IFERROR(INDEX('Green_rooibos initial weight'!$C$5:$C$2000,MATCH(H185, 'Green_rooibos initial weight'!$A$5:$A$2000,0)),"")</f>
        <v>2.0510000000000002</v>
      </c>
      <c r="K185">
        <f>IFERROR(INDEX('Green_rooibos initial weight'!$C$5:$C$2000,MATCH(I185, 'Green_rooibos initial weight'!$A$5:$A$2000,0)),"")</f>
        <v>2.226</v>
      </c>
      <c r="L185" s="194">
        <f t="shared" si="7"/>
        <v>1.8012000000000001</v>
      </c>
      <c r="M185" s="194">
        <f>IF(K185&gt;0,(K185*$F$32-($F$29+$F$30)),"")</f>
        <v>1.9762</v>
      </c>
      <c r="N185" s="16">
        <f>IF('WetLitterbags placem_collection'!G112="","",'WetLitterbags placem_collection'!G112)</f>
        <v>42816</v>
      </c>
      <c r="O185" s="194">
        <f>IFERROR(INDEX('Both teabags AfterWet'!$C$3:$C$2000,MATCH(H185,'Both teabags AfterWet'!$A$3:$A$2000,0)),"")</f>
        <v>0.57879999999999998</v>
      </c>
      <c r="P185" s="194">
        <f>IFERROR(INDEX('Both teabags AfterWet'!$C$3:$C$2000,MATCH(I185,'Both teabags AfterWet'!$A$3:$A$2000,0)),"")</f>
        <v>1.5465</v>
      </c>
      <c r="Q185" s="194">
        <f t="shared" si="8"/>
        <v>0.42819999999999997</v>
      </c>
      <c r="R185" s="194">
        <f t="shared" si="8"/>
        <v>1.3958999999999999</v>
      </c>
      <c r="S185" s="194">
        <f t="shared" si="9"/>
        <v>0.76226959804574734</v>
      </c>
      <c r="T185" s="194">
        <f t="shared" si="10"/>
        <v>0.49973018779246153</v>
      </c>
      <c r="U185" s="194">
        <f t="shared" si="11"/>
        <v>0.70635563202105045</v>
      </c>
      <c r="V185">
        <f>IFERROR(IF((N185-G185)&gt;0,(IFERROR(N185-G185,"")),""),"")</f>
        <v>54</v>
      </c>
      <c r="W185" s="194">
        <f t="shared" si="12"/>
        <v>9.4691688781772698E-2</v>
      </c>
      <c r="X185" s="194">
        <f t="shared" si="13"/>
        <v>1.6403252690472801E-2</v>
      </c>
      <c r="Y185" s="252" t="str">
        <f>IF(ISNUMBER(SEARCH("C",'WetLitterbags placem_collection'!$X112)),"YES","NO")</f>
        <v>NO</v>
      </c>
      <c r="Z185" s="252" t="str">
        <f>IF(ISNUMBER(SEARCH("H", 'WetLitterbags placem_collection'!$X112)),"YES","NO")</f>
        <v>NO</v>
      </c>
      <c r="AA185" s="252" t="str">
        <f>IF(ISNUMBER(SEARCH("R", 'WetLitterbags placem_collection'!$X112)),"YES","NO")</f>
        <v>NO</v>
      </c>
      <c r="AB185" s="252" t="str">
        <f>IF(ISNUMBER(SEARCH("C", 'WetLitterbags placem_collection'!$V112)),"YES","NO")</f>
        <v>NO</v>
      </c>
      <c r="AC185" s="252" t="str">
        <f>IF(ISNUMBER(SEARCH("H", 'WetLitterbags placem_collection'!$V112)),"YES","NO")</f>
        <v>NO</v>
      </c>
      <c r="AD185" s="252" t="str">
        <f>IF(ISNUMBER(SEARCH("R", 'WetLitterbags placem_collection'!$V112)),"YES","NO")</f>
        <v>NO</v>
      </c>
    </row>
    <row r="186" spans="2:30">
      <c r="B186" t="str">
        <f>'Final data_for_R_analysis_Wetse'!A112</f>
        <v>Wet</v>
      </c>
      <c r="C186" s="260">
        <f>'Final data_for_R_analysis_Wetse'!B112</f>
        <v>111</v>
      </c>
      <c r="D186" t="s">
        <v>3817</v>
      </c>
      <c r="E186" t="s">
        <v>22</v>
      </c>
      <c r="F186" s="382">
        <v>7</v>
      </c>
      <c r="G186" s="16">
        <f>'WetLitterbags placem_collection'!E113</f>
        <v>42762</v>
      </c>
      <c r="H186" t="str">
        <f>'Final data_for_R_analysis_Wetse'!K112</f>
        <v>G831</v>
      </c>
      <c r="I186" t="str">
        <f>'Final data_for_R_analysis_Wetse'!K332</f>
        <v>R505</v>
      </c>
      <c r="J186">
        <f>IFERROR(INDEX('Green_rooibos initial weight'!$C$5:$C$2000,MATCH(H186, 'Green_rooibos initial weight'!$A$5:$A$2000,0)),"")</f>
        <v>2.1190000000000002</v>
      </c>
      <c r="K186">
        <f>IFERROR(INDEX('Green_rooibos initial weight'!$C$5:$C$2000,MATCH(I186, 'Green_rooibos initial weight'!$A$5:$A$2000,0)),"")</f>
        <v>2.198</v>
      </c>
      <c r="L186" s="194">
        <f t="shared" si="7"/>
        <v>1.8692000000000002</v>
      </c>
      <c r="M186" s="194">
        <f>IF(K186&gt;0,(K186*$F$32-($F$29+$F$30)),"")</f>
        <v>1.9481999999999999</v>
      </c>
      <c r="N186" s="16">
        <f>IF('WetLitterbags placem_collection'!G113="","",'WetLitterbags placem_collection'!G113)</f>
        <v>42816</v>
      </c>
      <c r="O186" s="194">
        <f>IFERROR(INDEX('Both teabags AfterWet'!$C$3:$C$2000,MATCH(H186,'Both teabags AfterWet'!$A$3:$A$2000,0)),"")</f>
        <v>0.66200000000000003</v>
      </c>
      <c r="P186" s="194">
        <f>IFERROR(INDEX('Both teabags AfterWet'!$C$3:$C$2000,MATCH(I186,'Both teabags AfterWet'!$A$3:$A$2000,0)),"")</f>
        <v>1.673</v>
      </c>
      <c r="Q186" s="194">
        <f t="shared" si="8"/>
        <v>0.51140000000000008</v>
      </c>
      <c r="R186" s="194">
        <f t="shared" si="8"/>
        <v>1.5224</v>
      </c>
      <c r="S186" s="194">
        <f t="shared" si="9"/>
        <v>0.72640701904558092</v>
      </c>
      <c r="T186" s="194">
        <f t="shared" si="10"/>
        <v>0.47621932840042841</v>
      </c>
      <c r="U186" s="194">
        <f t="shared" si="11"/>
        <v>0.78143927728159324</v>
      </c>
      <c r="V186">
        <f>IFERROR(IF((N186-G186)&gt;0,(IFERROR(N186-G186,"")),""),"")</f>
        <v>54</v>
      </c>
      <c r="W186" s="194">
        <f t="shared" si="12"/>
        <v>0.13728382536154282</v>
      </c>
      <c r="X186" s="194">
        <f t="shared" si="13"/>
        <v>1.1374871243964479E-2</v>
      </c>
      <c r="Y186" s="252" t="str">
        <f>IF(ISNUMBER(SEARCH("C",'WetLitterbags placem_collection'!$X113)),"YES","NO")</f>
        <v>NO</v>
      </c>
      <c r="Z186" s="252" t="str">
        <f>IF(ISNUMBER(SEARCH("H", 'WetLitterbags placem_collection'!$X113)),"YES","NO")</f>
        <v>NO</v>
      </c>
      <c r="AA186" s="252" t="str">
        <f>IF(ISNUMBER(SEARCH("R", 'WetLitterbags placem_collection'!$X113)),"YES","NO")</f>
        <v>YES</v>
      </c>
      <c r="AB186" s="252" t="str">
        <f>IF(ISNUMBER(SEARCH("C", 'WetLitterbags placem_collection'!$V113)),"YES","NO")</f>
        <v>NO</v>
      </c>
      <c r="AC186" s="252" t="str">
        <f>IF(ISNUMBER(SEARCH("H", 'WetLitterbags placem_collection'!$V113)),"YES","NO")</f>
        <v>NO</v>
      </c>
      <c r="AD186" s="252" t="str">
        <f>IF(ISNUMBER(SEARCH("R", 'WetLitterbags placem_collection'!$V113)),"YES","NO")</f>
        <v>NO</v>
      </c>
    </row>
    <row r="187" spans="2:30">
      <c r="B187" t="str">
        <f>'Final data_for_R_analysis_Wetse'!A113</f>
        <v>Wet</v>
      </c>
      <c r="C187" s="260">
        <f>'Final data_for_R_analysis_Wetse'!B113</f>
        <v>112</v>
      </c>
      <c r="D187" t="s">
        <v>3817</v>
      </c>
      <c r="E187" t="s">
        <v>22</v>
      </c>
      <c r="F187" s="382">
        <v>8</v>
      </c>
      <c r="G187" s="16">
        <f>'WetLitterbags placem_collection'!E114</f>
        <v>42762</v>
      </c>
      <c r="H187" t="str">
        <f>'Final data_for_R_analysis_Wetse'!K113</f>
        <v>G899</v>
      </c>
      <c r="I187" t="str">
        <f>'Final data_for_R_analysis_Wetse'!K333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7"/>
        <v>1.7631999999999999</v>
      </c>
      <c r="M187" s="194">
        <f>IF(K187&gt;0,(K187*$F$32-($F$29+$F$30)),"")</f>
        <v>1.9512</v>
      </c>
      <c r="N187" s="16">
        <f>IF('WetLitterbags placem_collection'!G114="","",'WetLitterbags placem_collection'!G114)</f>
        <v>42816</v>
      </c>
      <c r="O187" s="194">
        <f>IFERROR(INDEX('Both teabags AfterWet'!$C$3:$C$2000,MATCH(H187,'Both teabags AfterWet'!$A$3:$A$2000,0)),"")</f>
        <v>0.71899999999999997</v>
      </c>
      <c r="P187" s="194">
        <f>IFERROR(INDEX('Both teabags AfterWet'!$C$3:$C$2000,MATCH(I187,'Both teabags AfterWet'!$A$3:$A$2000,0)),"")</f>
        <v>1.6910000000000001</v>
      </c>
      <c r="Q187" s="194">
        <f t="shared" si="8"/>
        <v>0.56840000000000002</v>
      </c>
      <c r="R187" s="194">
        <f t="shared" si="8"/>
        <v>1.5404</v>
      </c>
      <c r="S187" s="194">
        <f t="shared" si="9"/>
        <v>0.67763157894736836</v>
      </c>
      <c r="T187" s="194">
        <f t="shared" si="10"/>
        <v>0.44424303037879737</v>
      </c>
      <c r="U187" s="194">
        <f t="shared" si="11"/>
        <v>0.78946289462894625</v>
      </c>
      <c r="V187">
        <f>IFERROR(IF((N187-G187)&gt;0,(IFERROR(N187-G187,"")),""),"")</f>
        <v>54</v>
      </c>
      <c r="W187" s="194">
        <f t="shared" si="12"/>
        <v>0.19521190148768597</v>
      </c>
      <c r="X187" s="194">
        <f t="shared" si="13"/>
        <v>1.1894596002352088E-2</v>
      </c>
      <c r="Y187" s="252" t="str">
        <f>IF(ISNUMBER(SEARCH("C",'WetLitterbags placem_collection'!$X114)),"YES","NO")</f>
        <v>NO</v>
      </c>
      <c r="Z187" s="252" t="str">
        <f>IF(ISNUMBER(SEARCH("H", 'WetLitterbags placem_collection'!$X114)),"YES","NO")</f>
        <v>NO</v>
      </c>
      <c r="AA187" s="252" t="str">
        <f>IF(ISNUMBER(SEARCH("R", 'WetLitterbags placem_collection'!$X114)),"YES","NO")</f>
        <v>NO</v>
      </c>
      <c r="AB187" s="252" t="str">
        <f>IF(ISNUMBER(SEARCH("C", 'WetLitterbags placem_collection'!$V114)),"YES","NO")</f>
        <v>NO</v>
      </c>
      <c r="AC187" s="252" t="str">
        <f>IF(ISNUMBER(SEARCH("H", 'WetLitterbags placem_collection'!$V114)),"YES","NO")</f>
        <v>YES</v>
      </c>
      <c r="AD187" s="252" t="str">
        <f>IF(ISNUMBER(SEARCH("R", 'WetLitterbags placem_collection'!$V114)),"YES","NO")</f>
        <v>NO</v>
      </c>
    </row>
    <row r="188" spans="2:30">
      <c r="B188" t="str">
        <f>'Final data_for_R_analysis_Wetse'!A114</f>
        <v>Wet</v>
      </c>
      <c r="C188" s="260">
        <f>'Final data_for_R_analysis_Wetse'!B114</f>
        <v>113</v>
      </c>
      <c r="D188" t="s">
        <v>3818</v>
      </c>
      <c r="E188" t="s">
        <v>22</v>
      </c>
      <c r="F188" s="381">
        <v>1</v>
      </c>
      <c r="G188" s="16">
        <f>'WetLitterbags placem_collection'!E115</f>
        <v>42762</v>
      </c>
      <c r="H188" t="str">
        <f>'Final data_for_R_analysis_Wetse'!K114</f>
        <v>G724</v>
      </c>
      <c r="I188" t="str">
        <f>'Final data_for_R_analysis_Wetse'!K334</f>
        <v>R428</v>
      </c>
      <c r="J188">
        <f>IFERROR(INDEX('Green_rooibos initial weight'!$C$5:$C$2000,MATCH(H188, 'Green_rooibos initial weight'!$A$5:$A$2000,0)),"")</f>
        <v>2.0289999999999999</v>
      </c>
      <c r="K188">
        <f>IFERROR(INDEX('Green_rooibos initial weight'!$C$5:$C$2000,MATCH(I188, 'Green_rooibos initial weight'!$A$5:$A$2000,0)),"")</f>
        <v>2.202</v>
      </c>
      <c r="L188" s="194">
        <f t="shared" si="7"/>
        <v>1.7791999999999999</v>
      </c>
      <c r="M188" s="194">
        <f>IF(K188&gt;0,(K188*$F$32-($F$29+$F$30)),"")</f>
        <v>1.9521999999999999</v>
      </c>
      <c r="N188" s="16">
        <f>IF('WetLitterbags placem_collection'!G115="","",'WetLitterbags placem_collection'!G115)</f>
        <v>42816</v>
      </c>
      <c r="O188" s="194">
        <f>IFERROR(INDEX('Both teabags AfterWet'!$C$3:$C$2000,MATCH(H188,'Both teabags AfterWet'!$A$3:$A$2000,0)),"")</f>
        <v>0.61099999999999999</v>
      </c>
      <c r="P188" s="194">
        <f>IFERROR(INDEX('Both teabags AfterWet'!$C$3:$C$2000,MATCH(I188,'Both teabags AfterWet'!$A$3:$A$2000,0)),"")</f>
        <v>1.768</v>
      </c>
      <c r="Q188" s="194">
        <f t="shared" si="8"/>
        <v>0.46039999999999998</v>
      </c>
      <c r="R188" s="194">
        <f t="shared" si="8"/>
        <v>1.6173999999999999</v>
      </c>
      <c r="S188" s="194">
        <f t="shared" si="9"/>
        <v>0.74123201438848918</v>
      </c>
      <c r="T188" s="194">
        <f t="shared" si="10"/>
        <v>0.48593832772262002</v>
      </c>
      <c r="U188" s="194">
        <f t="shared" si="11"/>
        <v>0.82850117815797564</v>
      </c>
      <c r="V188">
        <f>IFERROR(IF((N188-G188)&gt;0,(IFERROR(N188-G188,"")),""),"")</f>
        <v>54</v>
      </c>
      <c r="W188" s="194">
        <f t="shared" si="12"/>
        <v>0.11967694253148553</v>
      </c>
      <c r="X188" s="194">
        <f t="shared" si="13"/>
        <v>8.0609261233439717E-3</v>
      </c>
      <c r="Y188" s="252" t="str">
        <f>IF(ISNUMBER(SEARCH("C",'WetLitterbags placem_collection'!$X115)),"YES","NO")</f>
        <v>NO</v>
      </c>
      <c r="Z188" s="252" t="str">
        <f>IF(ISNUMBER(SEARCH("H", 'WetLitterbags placem_collection'!$X115)),"YES","NO")</f>
        <v>NO</v>
      </c>
      <c r="AA188" s="252" t="str">
        <f>IF(ISNUMBER(SEARCH("R", 'WetLitterbags placem_collection'!$X115)),"YES","NO")</f>
        <v>YES</v>
      </c>
      <c r="AB188" s="252" t="str">
        <f>IF(ISNUMBER(SEARCH("C", 'WetLitterbags placem_collection'!$V115)),"YES","NO")</f>
        <v>YES</v>
      </c>
      <c r="AC188" s="252" t="str">
        <f>IF(ISNUMBER(SEARCH("H", 'WetLitterbags placem_collection'!$V115)),"YES","NO")</f>
        <v>NO</v>
      </c>
      <c r="AD188" s="252" t="str">
        <f>IF(ISNUMBER(SEARCH("R", 'WetLitterbags placem_collection'!$V115)),"YES","NO")</f>
        <v>YES</v>
      </c>
    </row>
    <row r="189" spans="2:30">
      <c r="B189" t="str">
        <f>'Final data_for_R_analysis_Wetse'!A115</f>
        <v>Wet</v>
      </c>
      <c r="C189" s="260">
        <f>'Final data_for_R_analysis_Wetse'!B115</f>
        <v>114</v>
      </c>
      <c r="D189" t="s">
        <v>3818</v>
      </c>
      <c r="E189" t="s">
        <v>22</v>
      </c>
      <c r="F189" s="381">
        <v>2</v>
      </c>
      <c r="G189" s="16">
        <f>'WetLitterbags placem_collection'!E116</f>
        <v>42762</v>
      </c>
      <c r="H189" t="str">
        <f>'Final data_for_R_analysis_Wetse'!K115</f>
        <v>G803</v>
      </c>
      <c r="I189" t="str">
        <f>'Final data_for_R_analysis_Wetse'!K335</f>
        <v>R601</v>
      </c>
      <c r="J189">
        <f>IFERROR(INDEX('Green_rooibos initial weight'!$C$5:$C$2000,MATCH(H189, 'Green_rooibos initial weight'!$A$5:$A$2000,0)),"")</f>
        <v>2.0590000000000002</v>
      </c>
      <c r="K189">
        <f>IFERROR(INDEX('Green_rooibos initial weight'!$C$5:$C$2000,MATCH(I189, 'Green_rooibos initial weight'!$A$5:$A$2000,0)),"")</f>
        <v>2.198</v>
      </c>
      <c r="L189" s="194">
        <f t="shared" si="7"/>
        <v>1.8092000000000001</v>
      </c>
      <c r="M189" s="194">
        <f>IF(K189&gt;0,(K189*$F$32-($F$29+$F$30)),"")</f>
        <v>1.9481999999999999</v>
      </c>
      <c r="N189" s="16">
        <f>IF('WetLitterbags placem_collection'!G116="","",'WetLitterbags placem_collection'!G116)</f>
        <v>42816</v>
      </c>
      <c r="O189" s="194">
        <f>IFERROR(INDEX('Both teabags AfterWet'!$C$3:$C$2000,MATCH(H189,'Both teabags AfterWet'!$A$3:$A$2000,0)),"")</f>
        <v>0.64300000000000002</v>
      </c>
      <c r="P189" s="194">
        <f>IFERROR(INDEX('Both teabags AfterWet'!$C$3:$C$2000,MATCH(I189,'Both teabags AfterWet'!$A$3:$A$2000,0)),"")</f>
        <v>2.7930000000000001</v>
      </c>
      <c r="Q189" s="194">
        <f t="shared" si="8"/>
        <v>0.4924</v>
      </c>
      <c r="R189" s="194">
        <f t="shared" si="8"/>
        <v>2.6424000000000003</v>
      </c>
      <c r="S189" s="194">
        <f t="shared" si="9"/>
        <v>0.72783550740658853</v>
      </c>
      <c r="T189" s="194">
        <f t="shared" si="10"/>
        <v>0.47715581958246667</v>
      </c>
      <c r="U189" s="194">
        <f t="shared" si="11"/>
        <v>1.3563289190021561</v>
      </c>
      <c r="V189">
        <f>IFERROR(IF((N189-G189)&gt;0,(IFERROR(N189-G189,"")),""),"")</f>
        <v>54</v>
      </c>
      <c r="W189" s="194">
        <f t="shared" si="12"/>
        <v>0.13558728336509673</v>
      </c>
      <c r="X189" s="194">
        <f t="shared" si="13"/>
        <v>-1.0329116456495362E-2</v>
      </c>
      <c r="Y189" s="252" t="str">
        <f>IF(ISNUMBER(SEARCH("C",'WetLitterbags placem_collection'!$X116)),"YES","NO")</f>
        <v>NO</v>
      </c>
      <c r="Z189" s="252" t="str">
        <f>IF(ISNUMBER(SEARCH("H", 'WetLitterbags placem_collection'!$X116)),"YES","NO")</f>
        <v>NO</v>
      </c>
      <c r="AA189" s="252" t="str">
        <f>IF(ISNUMBER(SEARCH("R", 'WetLitterbags placem_collection'!$X116)),"YES","NO")</f>
        <v>YES</v>
      </c>
      <c r="AB189" s="252" t="str">
        <f>IF(ISNUMBER(SEARCH("C", 'WetLitterbags placem_collection'!$V116)),"YES","NO")</f>
        <v>NO</v>
      </c>
      <c r="AC189" s="252" t="str">
        <f>IF(ISNUMBER(SEARCH("H", 'WetLitterbags placem_collection'!$V116)),"YES","NO")</f>
        <v>YES</v>
      </c>
      <c r="AD189" s="252" t="str">
        <f>IF(ISNUMBER(SEARCH("R", 'WetLitterbags placem_collection'!$V116)),"YES","NO")</f>
        <v>YES</v>
      </c>
    </row>
    <row r="190" spans="2:30">
      <c r="B190" t="str">
        <f>'Final data_for_R_analysis_Wetse'!A116</f>
        <v>Wet</v>
      </c>
      <c r="C190" s="260">
        <f>'Final data_for_R_analysis_Wetse'!B116</f>
        <v>115</v>
      </c>
      <c r="D190" t="s">
        <v>3818</v>
      </c>
      <c r="E190" t="s">
        <v>22</v>
      </c>
      <c r="F190" s="381">
        <v>3</v>
      </c>
      <c r="G190" s="16">
        <f>'WetLitterbags placem_collection'!E117</f>
        <v>42762</v>
      </c>
      <c r="H190" t="str">
        <f>'Final data_for_R_analysis_Wetse'!K116</f>
        <v>G693</v>
      </c>
      <c r="I190" t="str">
        <f>'Final data_for_R_analysis_Wetse'!K336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7"/>
        <v>1.8212000000000002</v>
      </c>
      <c r="M190" s="194">
        <f>IF(K190&gt;0,(K190*$F$32-($F$29+$F$30)),"")</f>
        <v>1.9451999999999998</v>
      </c>
      <c r="N190" s="16">
        <f>IF('WetLitterbags placem_collection'!G117="","",'WetLitterbags placem_collection'!G117)</f>
        <v>42816</v>
      </c>
      <c r="O190" s="194">
        <f>IFERROR(INDEX('Both teabags AfterWet'!$C$3:$C$2000,MATCH(H190,'Both teabags AfterWet'!$A$3:$A$2000,0)),"")</f>
        <v>0.63400000000000001</v>
      </c>
      <c r="P190" s="194">
        <f>IFERROR(INDEX('Both teabags AfterWet'!$C$3:$C$2000,MATCH(I190,'Both teabags AfterWet'!$A$3:$A$2000,0)),"")</f>
        <v>0.99990000000000001</v>
      </c>
      <c r="Q190" s="194">
        <f t="shared" si="8"/>
        <v>0.4834</v>
      </c>
      <c r="R190" s="194">
        <f t="shared" si="8"/>
        <v>0.84929999999999994</v>
      </c>
      <c r="S190" s="194">
        <f t="shared" si="9"/>
        <v>0.73457061278278069</v>
      </c>
      <c r="T190" s="194">
        <f t="shared" si="10"/>
        <v>0.48157123308324823</v>
      </c>
      <c r="U190" s="194">
        <f t="shared" si="11"/>
        <v>0.43661320172732881</v>
      </c>
      <c r="V190">
        <f>IFERROR(IF((N190-G190)&gt;0,(IFERROR(N190-G190,"")),""),"")</f>
        <v>54</v>
      </c>
      <c r="W190" s="194">
        <f t="shared" si="12"/>
        <v>0.12758834586368084</v>
      </c>
      <c r="X190" s="194" t="str">
        <f t="shared" si="13"/>
        <v/>
      </c>
      <c r="Y190" s="252" t="str">
        <f>IF(ISNUMBER(SEARCH("C",'WetLitterbags placem_collection'!$X117)),"YES","NO")</f>
        <v>NO</v>
      </c>
      <c r="Z190" s="252" t="str">
        <f>IF(ISNUMBER(SEARCH("H", 'WetLitterbags placem_collection'!$X117)),"YES","NO")</f>
        <v>NO</v>
      </c>
      <c r="AA190" s="252" t="str">
        <f>IF(ISNUMBER(SEARCH("R", 'WetLitterbags placem_collection'!$X117)),"YES","NO")</f>
        <v>YES</v>
      </c>
      <c r="AB190" s="252" t="str">
        <f>IF(ISNUMBER(SEARCH("C", 'WetLitterbags placem_collection'!$V117)),"YES","NO")</f>
        <v>NO</v>
      </c>
      <c r="AC190" s="252" t="str">
        <f>IF(ISNUMBER(SEARCH("H", 'WetLitterbags placem_collection'!$V117)),"YES","NO")</f>
        <v>NO</v>
      </c>
      <c r="AD190" s="252" t="str">
        <f>IF(ISNUMBER(SEARCH("R", 'WetLitterbags placem_collection'!$V117)),"YES","NO")</f>
        <v>YES</v>
      </c>
    </row>
    <row r="191" spans="2:30">
      <c r="B191" t="str">
        <f>'Final data_for_R_analysis_Wetse'!A117</f>
        <v>Wet</v>
      </c>
      <c r="C191" s="260">
        <f>'Final data_for_R_analysis_Wetse'!B117</f>
        <v>116</v>
      </c>
      <c r="D191" t="s">
        <v>3818</v>
      </c>
      <c r="E191" t="s">
        <v>22</v>
      </c>
      <c r="F191" s="382">
        <v>4</v>
      </c>
      <c r="G191" s="16">
        <f>'WetLitterbags placem_collection'!E118</f>
        <v>42762</v>
      </c>
      <c r="H191" t="str">
        <f>'Final data_for_R_analysis_Wetse'!K117</f>
        <v>G897</v>
      </c>
      <c r="I191" t="str">
        <f>'Final data_for_R_analysis_Wetse'!K337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7"/>
        <v>1.7801999999999998</v>
      </c>
      <c r="M191" s="194">
        <f>IF(K191&gt;0,(K191*$F$32-($F$29+$F$30)),"")</f>
        <v>1.9592000000000001</v>
      </c>
      <c r="N191" s="16">
        <f>IF('WetLitterbags placem_collection'!G118="","",'WetLitterbags placem_collection'!G118)</f>
        <v>42816</v>
      </c>
      <c r="O191" s="194">
        <f>IFERROR(INDEX('Both teabags AfterWet'!$C$3:$C$2000,MATCH(H191,'Both teabags AfterWet'!$A$3:$A$2000,0)),"")</f>
        <v>0.67869999999999997</v>
      </c>
      <c r="P191" s="194">
        <f>IFERROR(INDEX('Both teabags AfterWet'!$C$3:$C$2000,MATCH(I191,'Both teabags AfterWet'!$A$3:$A$2000,0)),"")</f>
        <v>0.68710000000000004</v>
      </c>
      <c r="Q191" s="194">
        <f t="shared" si="8"/>
        <v>0.52810000000000001</v>
      </c>
      <c r="R191" s="194">
        <f t="shared" si="8"/>
        <v>0.53649999999999998</v>
      </c>
      <c r="S191" s="194">
        <f t="shared" si="9"/>
        <v>0.70334793843388377</v>
      </c>
      <c r="T191" s="194">
        <f t="shared" si="10"/>
        <v>0.46110221141983837</v>
      </c>
      <c r="U191" s="194">
        <f t="shared" si="11"/>
        <v>0.27383625969783582</v>
      </c>
      <c r="V191">
        <f>IFERROR(IF((N191-G191)&gt;0,(IFERROR(N191-G191,"")),""),"")</f>
        <v>54</v>
      </c>
      <c r="W191" s="194">
        <f t="shared" si="12"/>
        <v>0.164669906848119</v>
      </c>
      <c r="X191" s="194" t="str">
        <f t="shared" si="13"/>
        <v/>
      </c>
      <c r="Y191" s="252" t="str">
        <f>IF(ISNUMBER(SEARCH("C",'WetLitterbags placem_collection'!$X118)),"YES","NO")</f>
        <v>NO</v>
      </c>
      <c r="Z191" s="252" t="str">
        <f>IF(ISNUMBER(SEARCH("H", 'WetLitterbags placem_collection'!$X118)),"YES","NO")</f>
        <v>NO</v>
      </c>
      <c r="AA191" s="252" t="str">
        <f>IF(ISNUMBER(SEARCH("R", 'WetLitterbags placem_collection'!$X118)),"YES","NO")</f>
        <v>YES</v>
      </c>
      <c r="AB191" s="252" t="str">
        <f>IF(ISNUMBER(SEARCH("C", 'WetLitterbags placem_collection'!$V118)),"YES","NO")</f>
        <v>NO</v>
      </c>
      <c r="AC191" s="252" t="str">
        <f>IF(ISNUMBER(SEARCH("H", 'WetLitterbags placem_collection'!$V118)),"YES","NO")</f>
        <v>NO</v>
      </c>
      <c r="AD191" s="252" t="str">
        <f>IF(ISNUMBER(SEARCH("R", 'WetLitterbags placem_collection'!$V118)),"YES","NO")</f>
        <v>NO</v>
      </c>
    </row>
    <row r="192" spans="2:30">
      <c r="B192" t="str">
        <f>'Final data_for_R_analysis_Wetse'!A118</f>
        <v>Wet</v>
      </c>
      <c r="C192" s="260">
        <f>'Final data_for_R_analysis_Wetse'!B118</f>
        <v>117</v>
      </c>
      <c r="D192" t="s">
        <v>3818</v>
      </c>
      <c r="E192" t="s">
        <v>22</v>
      </c>
      <c r="F192" s="382">
        <v>5</v>
      </c>
      <c r="G192" s="16">
        <f>'WetLitterbags placem_collection'!E119</f>
        <v>42762</v>
      </c>
      <c r="H192" t="str">
        <f>'Final data_for_R_analysis_Wetse'!K118</f>
        <v>G789</v>
      </c>
      <c r="I192" t="str">
        <f>'Final data_for_R_analysis_Wetse'!K338</f>
        <v>R511</v>
      </c>
      <c r="J192">
        <f>IFERROR(INDEX('Green_rooibos initial weight'!$C$5:$C$2000,MATCH(H192, 'Green_rooibos initial weight'!$A$5:$A$2000,0)),"")</f>
        <v>2.109</v>
      </c>
      <c r="K192">
        <f>IFERROR(INDEX('Green_rooibos initial weight'!$C$5:$C$2000,MATCH(I192, 'Green_rooibos initial weight'!$A$5:$A$2000,0)),"")</f>
        <v>2.1779999999999999</v>
      </c>
      <c r="L192" s="194">
        <f t="shared" si="7"/>
        <v>1.8592</v>
      </c>
      <c r="M192" s="194">
        <f>IF(K192&gt;0,(K192*$F$32-($F$29+$F$30)),"")</f>
        <v>1.9281999999999999</v>
      </c>
      <c r="N192" s="16">
        <f>IF('WetLitterbags placem_collection'!G119="","",'WetLitterbags placem_collection'!G119)</f>
        <v>42816</v>
      </c>
      <c r="O192" s="194">
        <f>IFERROR(INDEX('Both teabags AfterWet'!$C$3:$C$2000,MATCH(H192,'Both teabags AfterWet'!$A$3:$A$2000,0)),"")</f>
        <v>0.79800000000000004</v>
      </c>
      <c r="P192" s="194">
        <f>IFERROR(INDEX('Both teabags AfterWet'!$C$3:$C$2000,MATCH(I192,'Both teabags AfterWet'!$A$3:$A$2000,0)),"")</f>
        <v>0.39700000000000002</v>
      </c>
      <c r="Q192" s="194">
        <f t="shared" si="8"/>
        <v>0.64739999999999998</v>
      </c>
      <c r="R192" s="194">
        <f t="shared" si="8"/>
        <v>0.24640000000000001</v>
      </c>
      <c r="S192" s="194">
        <f t="shared" si="9"/>
        <v>0.6517857142857143</v>
      </c>
      <c r="T192" s="194">
        <f t="shared" si="10"/>
        <v>0.42729894808279617</v>
      </c>
      <c r="U192" s="194">
        <f t="shared" si="11"/>
        <v>0.12778757390312209</v>
      </c>
      <c r="V192">
        <f>IFERROR(IF((N192-G192)&gt;0,(IFERROR(N192-G192,"")),""),"")</f>
        <v>54</v>
      </c>
      <c r="W192" s="194">
        <f t="shared" si="12"/>
        <v>0.22590770274855776</v>
      </c>
      <c r="X192" s="194" t="str">
        <f t="shared" si="13"/>
        <v/>
      </c>
      <c r="Y192" s="252" t="str">
        <f>IF(ISNUMBER(SEARCH("C",'WetLitterbags placem_collection'!$X119)),"YES","NO")</f>
        <v>NO</v>
      </c>
      <c r="Z192" s="252" t="str">
        <f>IF(ISNUMBER(SEARCH("H", 'WetLitterbags placem_collection'!$X119)),"YES","NO")</f>
        <v>NO</v>
      </c>
      <c r="AA192" s="252" t="str">
        <f>IF(ISNUMBER(SEARCH("R", 'WetLitterbags placem_collection'!$X119)),"YES","NO")</f>
        <v>YES</v>
      </c>
      <c r="AB192" s="252" t="str">
        <f>IF(ISNUMBER(SEARCH("C", 'WetLitterbags placem_collection'!$V119)),"YES","NO")</f>
        <v>NO</v>
      </c>
      <c r="AC192" s="252" t="str">
        <f>IF(ISNUMBER(SEARCH("H", 'WetLitterbags placem_collection'!$V119)),"YES","NO")</f>
        <v>YES</v>
      </c>
      <c r="AD192" s="252" t="str">
        <f>IF(ISNUMBER(SEARCH("R", 'WetLitterbags placem_collection'!$V119)),"YES","NO")</f>
        <v>YES</v>
      </c>
    </row>
    <row r="193" spans="2:30">
      <c r="B193" t="str">
        <f>'Final data_for_R_analysis_Wetse'!A119</f>
        <v>Wet</v>
      </c>
      <c r="C193" s="260">
        <f>'Final data_for_R_analysis_Wetse'!B119</f>
        <v>118</v>
      </c>
      <c r="D193" t="s">
        <v>3818</v>
      </c>
      <c r="E193" t="s">
        <v>22</v>
      </c>
      <c r="F193" s="382">
        <v>6</v>
      </c>
      <c r="G193" s="16">
        <f>'WetLitterbags placem_collection'!E120</f>
        <v>42762</v>
      </c>
      <c r="H193" t="str">
        <f>'Final data_for_R_analysis_Wetse'!K119</f>
        <v>G681</v>
      </c>
      <c r="I193" t="str">
        <f>'Final data_for_R_analysis_Wetse'!K339</f>
        <v>R495</v>
      </c>
      <c r="J193">
        <f>IFERROR(INDEX('Green_rooibos initial weight'!$C$5:$C$2000,MATCH(H193, 'Green_rooibos initial weight'!$A$5:$A$2000,0)),"")</f>
        <v>2.0790000000000002</v>
      </c>
      <c r="K193">
        <f>IFERROR(INDEX('Green_rooibos initial weight'!$C$5:$C$2000,MATCH(I193, 'Green_rooibos initial weight'!$A$5:$A$2000,0)),"")</f>
        <v>2.25</v>
      </c>
      <c r="L193" s="194">
        <f t="shared" si="7"/>
        <v>1.8292000000000002</v>
      </c>
      <c r="M193" s="194">
        <f>IF(K193&gt;0,(K193*$F$32-($F$29+$F$30)),"")</f>
        <v>2.0002</v>
      </c>
      <c r="N193" s="16">
        <f>IF('WetLitterbags placem_collection'!G120="","",'WetLitterbags placem_collection'!G120)</f>
        <v>42816</v>
      </c>
      <c r="O193" s="194">
        <f>IFERROR(INDEX('Both teabags AfterWet'!$C$3:$C$2000,MATCH(H193,'Both teabags AfterWet'!$A$3:$A$2000,0)),"")</f>
        <v>0.56799999999999995</v>
      </c>
      <c r="P193" s="194">
        <f>IFERROR(INDEX('Both teabags AfterWet'!$C$3:$C$2000,MATCH(I193,'Both teabags AfterWet'!$A$3:$A$2000,0)),"")</f>
        <v>1.468</v>
      </c>
      <c r="Q193" s="194">
        <f t="shared" si="8"/>
        <v>0.41739999999999994</v>
      </c>
      <c r="R193" s="194">
        <f t="shared" si="8"/>
        <v>1.3173999999999999</v>
      </c>
      <c r="S193" s="194">
        <f t="shared" si="9"/>
        <v>0.77181281434506888</v>
      </c>
      <c r="T193" s="194">
        <f t="shared" si="10"/>
        <v>0.50598654812170796</v>
      </c>
      <c r="U193" s="194">
        <f t="shared" si="11"/>
        <v>0.65863413658634129</v>
      </c>
      <c r="V193">
        <f>IFERROR(IF((N193-G193)&gt;0,(IFERROR(N193-G193,"")),""),"")</f>
        <v>54</v>
      </c>
      <c r="W193" s="194">
        <f t="shared" si="12"/>
        <v>8.3357702678065415E-2</v>
      </c>
      <c r="X193" s="194">
        <f t="shared" si="13"/>
        <v>2.0793817358031954E-2</v>
      </c>
      <c r="Y193" s="252" t="str">
        <f>IF(ISNUMBER(SEARCH("C",'WetLitterbags placem_collection'!$X120)),"YES","NO")</f>
        <v>NO</v>
      </c>
      <c r="Z193" s="252" t="str">
        <f>IF(ISNUMBER(SEARCH("H", 'WetLitterbags placem_collection'!$X120)),"YES","NO")</f>
        <v>NO</v>
      </c>
      <c r="AA193" s="252" t="str">
        <f>IF(ISNUMBER(SEARCH("R", 'WetLitterbags placem_collection'!$X120)),"YES","NO")</f>
        <v>YES</v>
      </c>
      <c r="AB193" s="252" t="str">
        <f>IF(ISNUMBER(SEARCH("C", 'WetLitterbags placem_collection'!$V120)),"YES","NO")</f>
        <v>YES</v>
      </c>
      <c r="AC193" s="252" t="str">
        <f>IF(ISNUMBER(SEARCH("H", 'WetLitterbags placem_collection'!$V120)),"YES","NO")</f>
        <v>YES</v>
      </c>
      <c r="AD193" s="252" t="str">
        <f>IF(ISNUMBER(SEARCH("R", 'WetLitterbags placem_collection'!$V120)),"YES","NO")</f>
        <v>YES</v>
      </c>
    </row>
    <row r="194" spans="2:30">
      <c r="B194" t="str">
        <f>'Final data_for_R_analysis_Wetse'!A120</f>
        <v>Wet</v>
      </c>
      <c r="C194" s="260">
        <f>'Final data_for_R_analysis_Wetse'!B120</f>
        <v>119</v>
      </c>
      <c r="D194" t="s">
        <v>3818</v>
      </c>
      <c r="E194" t="s">
        <v>22</v>
      </c>
      <c r="F194" s="382">
        <v>7</v>
      </c>
      <c r="G194" s="16">
        <f>'WetLitterbags placem_collection'!E121</f>
        <v>42762</v>
      </c>
      <c r="H194" t="str">
        <f>'Final data_for_R_analysis_Wetse'!K120</f>
        <v>G657</v>
      </c>
      <c r="I194" t="str">
        <f>'Final data_for_R_analysis_Wetse'!K340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7"/>
        <v>1.7412000000000001</v>
      </c>
      <c r="M194" s="194">
        <f>IF(K194&gt;0,(K194*$F$32-($F$29+$F$30)),"")</f>
        <v>1.9672000000000001</v>
      </c>
      <c r="N194" s="16">
        <f>IF('WetLitterbags placem_collection'!G121="","",'WetLitterbags placem_collection'!G121)</f>
        <v>42816</v>
      </c>
      <c r="O194" s="194">
        <f>IFERROR(INDEX('Both teabags AfterWet'!$C$3:$C$2000,MATCH(H194,'Both teabags AfterWet'!$A$3:$A$2000,0)),"")</f>
        <v>0.70099999999999996</v>
      </c>
      <c r="P194" s="194">
        <f>IFERROR(INDEX('Both teabags AfterWet'!$C$3:$C$2000,MATCH(I194,'Both teabags AfterWet'!$A$3:$A$2000,0)),"")</f>
        <v>0.435</v>
      </c>
      <c r="Q194" s="194">
        <f t="shared" si="8"/>
        <v>0.5504</v>
      </c>
      <c r="R194" s="194">
        <f t="shared" si="8"/>
        <v>0.28439999999999999</v>
      </c>
      <c r="S194" s="194">
        <f t="shared" si="9"/>
        <v>0.68389616356535732</v>
      </c>
      <c r="T194" s="194">
        <f t="shared" si="10"/>
        <v>0.44834997896446233</v>
      </c>
      <c r="U194" s="194">
        <f t="shared" si="11"/>
        <v>0.14457096380642537</v>
      </c>
      <c r="V194">
        <f>IFERROR(IF((N194-G194)&gt;0,(IFERROR(N194-G194,"")),""),"")</f>
        <v>54</v>
      </c>
      <c r="W194" s="194">
        <f t="shared" si="12"/>
        <v>0.18777177723829297</v>
      </c>
      <c r="X194" s="194" t="str">
        <f t="shared" si="13"/>
        <v/>
      </c>
      <c r="Y194" s="252" t="str">
        <f>IF(ISNUMBER(SEARCH("C",'WetLitterbags placem_collection'!$X121)),"YES","NO")</f>
        <v>NO</v>
      </c>
      <c r="Z194" s="252" t="str">
        <f>IF(ISNUMBER(SEARCH("H", 'WetLitterbags placem_collection'!$X121)),"YES","NO")</f>
        <v>NO</v>
      </c>
      <c r="AA194" s="252" t="str">
        <f>IF(ISNUMBER(SEARCH("R", 'WetLitterbags placem_collection'!$X121)),"YES","NO")</f>
        <v>YES</v>
      </c>
      <c r="AB194" s="252" t="str">
        <f>IF(ISNUMBER(SEARCH("C", 'WetLitterbags placem_collection'!$V121)),"YES","NO")</f>
        <v>NO</v>
      </c>
      <c r="AC194" s="252" t="str">
        <f>IF(ISNUMBER(SEARCH("H", 'WetLitterbags placem_collection'!$V121)),"YES","NO")</f>
        <v>NO</v>
      </c>
      <c r="AD194" s="252" t="str">
        <f>IF(ISNUMBER(SEARCH("R", 'WetLitterbags placem_collection'!$V121)),"YES","NO")</f>
        <v>YES</v>
      </c>
    </row>
    <row r="195" spans="2:30">
      <c r="B195" t="str">
        <f>'Final data_for_R_analysis_Wetse'!A121</f>
        <v>Wet</v>
      </c>
      <c r="C195" s="260">
        <f>'Final data_for_R_analysis_Wetse'!B121</f>
        <v>120</v>
      </c>
      <c r="D195" t="s">
        <v>3818</v>
      </c>
      <c r="E195" t="s">
        <v>22</v>
      </c>
      <c r="F195" s="382">
        <v>8</v>
      </c>
      <c r="G195" s="16">
        <f>'WetLitterbags placem_collection'!E122</f>
        <v>42762</v>
      </c>
      <c r="H195" t="str">
        <f>'Final data_for_R_analysis_Wetse'!K121</f>
        <v>G758</v>
      </c>
      <c r="I195" t="str">
        <f>'Final data_for_R_analysis_Wetse'!K341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7"/>
        <v>1.7812000000000001</v>
      </c>
      <c r="M195" s="194">
        <f>IF(K195&gt;0,(K195*$F$32-($F$29+$F$30)),"")</f>
        <v>1.9321999999999999</v>
      </c>
      <c r="N195" s="16">
        <f>IF('WetLitterbags placem_collection'!G122="","",'WetLitterbags placem_collection'!G122)</f>
        <v>42816</v>
      </c>
      <c r="O195" s="194">
        <f>IFERROR(INDEX('Both teabags AfterWet'!$C$3:$C$2000,MATCH(H195,'Both teabags AfterWet'!$A$3:$A$2000,0)),"")</f>
        <v>0.67110000000000003</v>
      </c>
      <c r="P195" s="194">
        <f>IFERROR(INDEX('Both teabags AfterWet'!$C$3:$C$2000,MATCH(I195,'Both teabags AfterWet'!$A$3:$A$2000,0)),"")</f>
        <v>0.3876</v>
      </c>
      <c r="Q195" s="194">
        <f t="shared" si="8"/>
        <v>0.52049999999999996</v>
      </c>
      <c r="R195" s="194">
        <f t="shared" si="8"/>
        <v>0.23699999999999999</v>
      </c>
      <c r="S195" s="194">
        <f t="shared" si="9"/>
        <v>0.70778127105322253</v>
      </c>
      <c r="T195" s="194">
        <f t="shared" si="10"/>
        <v>0.4640086242534191</v>
      </c>
      <c r="U195" s="194">
        <f t="shared" si="11"/>
        <v>0.12265810992650865</v>
      </c>
      <c r="V195">
        <f>IFERROR(IF((N195-G195)&gt;0,(IFERROR(N195-G195,"")),""),"")</f>
        <v>54</v>
      </c>
      <c r="W195" s="194">
        <f t="shared" si="12"/>
        <v>0.15940466620757421</v>
      </c>
      <c r="X195" s="194" t="str">
        <f t="shared" si="13"/>
        <v/>
      </c>
      <c r="Y195" s="252" t="str">
        <f>IF(ISNUMBER(SEARCH("C",'WetLitterbags placem_collection'!$X122)),"YES","NO")</f>
        <v>NO</v>
      </c>
      <c r="Z195" s="252" t="str">
        <f>IF(ISNUMBER(SEARCH("H", 'WetLitterbags placem_collection'!$X122)),"YES","NO")</f>
        <v>NO</v>
      </c>
      <c r="AA195" s="252" t="str">
        <f>IF(ISNUMBER(SEARCH("R", 'WetLitterbags placem_collection'!$X122)),"YES","NO")</f>
        <v>NO</v>
      </c>
      <c r="AB195" s="252" t="str">
        <f>IF(ISNUMBER(SEARCH("C", 'WetLitterbags placem_collection'!$V122)),"YES","NO")</f>
        <v>NO</v>
      </c>
      <c r="AC195" s="252" t="str">
        <f>IF(ISNUMBER(SEARCH("H", 'WetLitterbags placem_collection'!$V122)),"YES","NO")</f>
        <v>YES</v>
      </c>
      <c r="AD195" s="252" t="str">
        <f>IF(ISNUMBER(SEARCH("R", 'WetLitterbags placem_collection'!$V122)),"YES","NO")</f>
        <v>NO</v>
      </c>
    </row>
    <row r="196" spans="2:30">
      <c r="B196" t="str">
        <f>'Final data_for_R_analysis_Wetse'!A122</f>
        <v>Wet</v>
      </c>
      <c r="C196" s="260">
        <f>'Final data_for_R_analysis_Wetse'!B122</f>
        <v>121</v>
      </c>
      <c r="D196" t="s">
        <v>3819</v>
      </c>
      <c r="E196" t="s">
        <v>22</v>
      </c>
      <c r="F196" s="381">
        <v>1</v>
      </c>
      <c r="G196" s="16">
        <f>'WetLitterbags placem_collection'!E123</f>
        <v>42762</v>
      </c>
      <c r="H196" t="str">
        <f>'Final data_for_R_analysis_Wetse'!K122</f>
        <v>G666</v>
      </c>
      <c r="I196" t="str">
        <f>'Final data_for_R_analysis_Wetse'!K342</f>
        <v>R532</v>
      </c>
      <c r="J196">
        <f>IFERROR(INDEX('Green_rooibos initial weight'!$C$5:$C$2000,MATCH(H196, 'Green_rooibos initial weight'!$A$5:$A$2000,0)),"")</f>
        <v>2.0819999999999999</v>
      </c>
      <c r="K196">
        <f>IFERROR(INDEX('Green_rooibos initial weight'!$C$5:$C$2000,MATCH(I196, 'Green_rooibos initial weight'!$A$5:$A$2000,0)),"")</f>
        <v>2.19</v>
      </c>
      <c r="L196" s="194">
        <f t="shared" si="7"/>
        <v>1.8321999999999998</v>
      </c>
      <c r="M196" s="194">
        <f>IF(K196&gt;0,(K196*$F$32-($F$29+$F$30)),"")</f>
        <v>1.9401999999999999</v>
      </c>
      <c r="N196" s="16">
        <f>IF('WetLitterbags placem_collection'!G123="","",'WetLitterbags placem_collection'!G123)</f>
        <v>42816</v>
      </c>
      <c r="O196" s="194">
        <f>IFERROR(INDEX('Both teabags AfterWet'!$C$3:$C$2000,MATCH(H196,'Both teabags AfterWet'!$A$3:$A$2000,0)),"")</f>
        <v>0.63500000000000001</v>
      </c>
      <c r="P196" s="194">
        <f>IFERROR(INDEX('Both teabags AfterWet'!$C$3:$C$2000,MATCH(I196,'Both teabags AfterWet'!$A$3:$A$2000,0)),"")</f>
        <v>1.7050000000000001</v>
      </c>
      <c r="Q196" s="194">
        <f t="shared" si="8"/>
        <v>0.4844</v>
      </c>
      <c r="R196" s="194">
        <f t="shared" si="8"/>
        <v>1.5544</v>
      </c>
      <c r="S196" s="194">
        <f t="shared" si="9"/>
        <v>0.73561838227267762</v>
      </c>
      <c r="T196" s="194">
        <f t="shared" si="10"/>
        <v>0.48225813184622102</v>
      </c>
      <c r="U196" s="194">
        <f t="shared" si="11"/>
        <v>0.80115452015256161</v>
      </c>
      <c r="V196">
        <f>IFERROR(IF((N196-G196)&gt;0,(IFERROR(N196-G196,"")),""),"")</f>
        <v>54</v>
      </c>
      <c r="W196" s="194">
        <f t="shared" si="12"/>
        <v>0.12634396404670112</v>
      </c>
      <c r="X196" s="194">
        <f t="shared" si="13"/>
        <v>9.8439915570158968E-3</v>
      </c>
      <c r="Y196" s="252" t="str">
        <f>IF(ISNUMBER(SEARCH("C",'WetLitterbags placem_collection'!$X123)),"YES","NO")</f>
        <v>NO</v>
      </c>
      <c r="Z196" s="252" t="str">
        <f>IF(ISNUMBER(SEARCH("H", 'WetLitterbags placem_collection'!$X123)),"YES","NO")</f>
        <v>NO</v>
      </c>
      <c r="AA196" s="252" t="str">
        <f>IF(ISNUMBER(SEARCH("R", 'WetLitterbags placem_collection'!$X123)),"YES","NO")</f>
        <v>YES</v>
      </c>
      <c r="AB196" s="252" t="str">
        <f>IF(ISNUMBER(SEARCH("C", 'WetLitterbags placem_collection'!$V123)),"YES","NO")</f>
        <v>NO</v>
      </c>
      <c r="AC196" s="252" t="str">
        <f>IF(ISNUMBER(SEARCH("H", 'WetLitterbags placem_collection'!$V123)),"YES","NO")</f>
        <v>NO</v>
      </c>
      <c r="AD196" s="252" t="str">
        <f>IF(ISNUMBER(SEARCH("R", 'WetLitterbags placem_collection'!$V123)),"YES","NO")</f>
        <v>YES</v>
      </c>
    </row>
    <row r="197" spans="2:30">
      <c r="B197" t="str">
        <f>'Final data_for_R_analysis_Wetse'!A123</f>
        <v>Wet</v>
      </c>
      <c r="C197" s="260">
        <f>'Final data_for_R_analysis_Wetse'!B123</f>
        <v>122</v>
      </c>
      <c r="D197" t="s">
        <v>3819</v>
      </c>
      <c r="E197" t="s">
        <v>22</v>
      </c>
      <c r="F197" s="381">
        <v>2</v>
      </c>
      <c r="G197" s="16">
        <f>'WetLitterbags placem_collection'!E124</f>
        <v>42762</v>
      </c>
      <c r="H197" t="str">
        <f>'Final data_for_R_analysis_Wetse'!K123</f>
        <v>G860</v>
      </c>
      <c r="I197" t="str">
        <f>'Final data_for_R_analysis_Wetse'!K343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7"/>
        <v>1.7072000000000001</v>
      </c>
      <c r="M197" s="194">
        <f>IF(K197&gt;0,(K197*$F$32-($F$29+$F$30)),"")</f>
        <v>1.9662000000000002</v>
      </c>
      <c r="N197" s="16">
        <f>IF('WetLitterbags placem_collection'!G124="","",'WetLitterbags placem_collection'!G124)</f>
        <v>42816</v>
      </c>
      <c r="O197" s="194">
        <f>IFERROR(INDEX('Both teabags AfterWet'!$C$3:$C$2000,MATCH(H197,'Both teabags AfterWet'!$A$3:$A$2000,0)),"")</f>
        <v>0.76800000000000002</v>
      </c>
      <c r="P197" s="194">
        <f>IFERROR(INDEX('Both teabags AfterWet'!$C$3:$C$2000,MATCH(I197,'Both teabags AfterWet'!$A$3:$A$2000,0)),"")</f>
        <v>1.25</v>
      </c>
      <c r="Q197" s="194">
        <f t="shared" si="8"/>
        <v>0.61739999999999995</v>
      </c>
      <c r="R197" s="194">
        <f t="shared" si="8"/>
        <v>1.0993999999999999</v>
      </c>
      <c r="S197" s="194">
        <f t="shared" si="9"/>
        <v>0.63835520149953151</v>
      </c>
      <c r="T197" s="194">
        <f t="shared" si="10"/>
        <v>0.41849414635123683</v>
      </c>
      <c r="U197" s="194">
        <f t="shared" si="11"/>
        <v>0.55914962872546015</v>
      </c>
      <c r="V197">
        <f>IFERROR(IF((N197-G197)&gt;0,(IFERROR(N197-G197,"")),""),"")</f>
        <v>54</v>
      </c>
      <c r="W197" s="194">
        <f t="shared" si="12"/>
        <v>0.24185843052312173</v>
      </c>
      <c r="X197" s="194" t="str">
        <f t="shared" si="13"/>
        <v/>
      </c>
      <c r="Y197" s="252" t="str">
        <f>IF(ISNUMBER(SEARCH("C",'WetLitterbags placem_collection'!$X124)),"YES","NO")</f>
        <v>NO</v>
      </c>
      <c r="Z197" s="252" t="str">
        <f>IF(ISNUMBER(SEARCH("H", 'WetLitterbags placem_collection'!$X124)),"YES","NO")</f>
        <v>NO</v>
      </c>
      <c r="AA197" s="252" t="str">
        <f>IF(ISNUMBER(SEARCH("R", 'WetLitterbags placem_collection'!$X124)),"YES","NO")</f>
        <v>YES</v>
      </c>
      <c r="AB197" s="252" t="str">
        <f>IF(ISNUMBER(SEARCH("C", 'WetLitterbags placem_collection'!$V124)),"YES","NO")</f>
        <v>NO</v>
      </c>
      <c r="AC197" s="252" t="str">
        <f>IF(ISNUMBER(SEARCH("H", 'WetLitterbags placem_collection'!$V124)),"YES","NO")</f>
        <v>YES</v>
      </c>
      <c r="AD197" s="252" t="str">
        <f>IF(ISNUMBER(SEARCH("R", 'WetLitterbags placem_collection'!$V124)),"YES","NO")</f>
        <v>YES</v>
      </c>
    </row>
    <row r="198" spans="2:30">
      <c r="B198" t="str">
        <f>'Final data_for_R_analysis_Wetse'!A124</f>
        <v>Wet</v>
      </c>
      <c r="C198" s="260">
        <f>'Final data_for_R_analysis_Wetse'!B124</f>
        <v>123</v>
      </c>
      <c r="D198" t="s">
        <v>3819</v>
      </c>
      <c r="E198" t="s">
        <v>22</v>
      </c>
      <c r="F198" s="381">
        <v>3</v>
      </c>
      <c r="G198" s="16">
        <f>'WetLitterbags placem_collection'!E125</f>
        <v>42762</v>
      </c>
      <c r="H198" t="str">
        <f>'Final data_for_R_analysis_Wetse'!K124</f>
        <v>G694</v>
      </c>
      <c r="I198" t="str">
        <f>'Final data_for_R_analysis_Wetse'!K344</f>
        <v>R575</v>
      </c>
      <c r="J198">
        <f>IFERROR(INDEX('Green_rooibos initial weight'!$C$5:$C$2000,MATCH(H198, 'Green_rooibos initial weight'!$A$5:$A$2000,0)),"")</f>
        <v>1.992</v>
      </c>
      <c r="K198">
        <f>IFERROR(INDEX('Green_rooibos initial weight'!$C$5:$C$2000,MATCH(I198, 'Green_rooibos initial weight'!$A$5:$A$2000,0)),"")</f>
        <v>2.0990000000000002</v>
      </c>
      <c r="L198" s="194">
        <f t="shared" si="7"/>
        <v>1.7422</v>
      </c>
      <c r="M198" s="194">
        <f>IF(K198&gt;0,(K198*$F$32-($F$29+$F$30)),"")</f>
        <v>1.8492000000000002</v>
      </c>
      <c r="N198" s="16">
        <f>IF('WetLitterbags placem_collection'!G125="","",'WetLitterbags placem_collection'!G125)</f>
        <v>42816</v>
      </c>
      <c r="O198" s="194">
        <f>IFERROR(INDEX('Both teabags AfterWet'!$C$3:$C$2000,MATCH(H198,'Both teabags AfterWet'!$A$3:$A$2000,0)),"")</f>
        <v>0.622</v>
      </c>
      <c r="P198" s="194">
        <f>IFERROR(INDEX('Both teabags AfterWet'!$C$3:$C$2000,MATCH(I198,'Both teabags AfterWet'!$A$3:$A$2000,0)),"")</f>
        <v>1.6872</v>
      </c>
      <c r="Q198" s="194">
        <f t="shared" si="8"/>
        <v>0.47139999999999999</v>
      </c>
      <c r="R198" s="194">
        <f t="shared" si="8"/>
        <v>1.5366</v>
      </c>
      <c r="S198" s="194">
        <f t="shared" si="9"/>
        <v>0.72942256916542303</v>
      </c>
      <c r="T198" s="194">
        <f t="shared" si="10"/>
        <v>0.47819626862151254</v>
      </c>
      <c r="U198" s="194">
        <f t="shared" si="11"/>
        <v>0.83095392602206353</v>
      </c>
      <c r="V198">
        <f>IFERROR(IF((N198-G198)&gt;0,(IFERROR(N198-G198,"")),""),"")</f>
        <v>54</v>
      </c>
      <c r="W198" s="194">
        <f t="shared" si="12"/>
        <v>0.13370241191754983</v>
      </c>
      <c r="X198" s="194">
        <f t="shared" si="13"/>
        <v>8.0776671558193593E-3</v>
      </c>
      <c r="Y198" s="252" t="str">
        <f>IF(ISNUMBER(SEARCH("C",'WetLitterbags placem_collection'!$X125)),"YES","NO")</f>
        <v>NO</v>
      </c>
      <c r="Z198" s="252" t="str">
        <f>IF(ISNUMBER(SEARCH("H", 'WetLitterbags placem_collection'!$X125)),"YES","NO")</f>
        <v>NO</v>
      </c>
      <c r="AA198" s="252" t="str">
        <f>IF(ISNUMBER(SEARCH("R", 'WetLitterbags placem_collection'!$X125)),"YES","NO")</f>
        <v>NO</v>
      </c>
      <c r="AB198" s="252" t="str">
        <f>IF(ISNUMBER(SEARCH("C", 'WetLitterbags placem_collection'!$V125)),"YES","NO")</f>
        <v>NO</v>
      </c>
      <c r="AC198" s="252" t="str">
        <f>IF(ISNUMBER(SEARCH("H", 'WetLitterbags placem_collection'!$V125)),"YES","NO")</f>
        <v>NO</v>
      </c>
      <c r="AD198" s="252" t="str">
        <f>IF(ISNUMBER(SEARCH("R", 'WetLitterbags placem_collection'!$V125)),"YES","NO")</f>
        <v>YES</v>
      </c>
    </row>
    <row r="199" spans="2:30">
      <c r="B199" t="str">
        <f>'Final data_for_R_analysis_Wetse'!A125</f>
        <v>Wet</v>
      </c>
      <c r="C199" s="260">
        <f>'Final data_for_R_analysis_Wetse'!B125</f>
        <v>124</v>
      </c>
      <c r="D199" t="s">
        <v>3819</v>
      </c>
      <c r="E199" t="s">
        <v>22</v>
      </c>
      <c r="F199" s="382">
        <v>4</v>
      </c>
      <c r="G199" s="16">
        <f>'WetLitterbags placem_collection'!E126</f>
        <v>42762</v>
      </c>
      <c r="H199" t="str">
        <f>'Final data_for_R_analysis_Wetse'!K125</f>
        <v>G867</v>
      </c>
      <c r="I199" t="str">
        <f>'Final data_for_R_analysis_Wetse'!K345</f>
        <v>R39</v>
      </c>
      <c r="J199">
        <f>IFERROR(INDEX('Green_rooibos initial weight'!$C$5:$C$2000,MATCH(H199, 'Green_rooibos initial weight'!$A$5:$A$2000,0)),"")</f>
        <v>1.907</v>
      </c>
      <c r="K199">
        <f>IFERROR(INDEX('Green_rooibos initial weight'!$C$5:$C$2000,MATCH(I199, 'Green_rooibos initial weight'!$A$5:$A$2000,0)),"")</f>
        <v>2.1429999999999998</v>
      </c>
      <c r="L199" s="194">
        <f t="shared" si="7"/>
        <v>1.6572</v>
      </c>
      <c r="M199" s="194">
        <f>IF(K199&gt;0,(K199*$F$32-($F$29+$F$30)),"")</f>
        <v>1.8931999999999998</v>
      </c>
      <c r="N199" s="16">
        <f>IF('WetLitterbags placem_collection'!G126="","",'WetLitterbags placem_collection'!G126)</f>
        <v>42816</v>
      </c>
      <c r="O199" s="194">
        <f>IFERROR(INDEX('Both teabags AfterWet'!$C$3:$C$2000,MATCH(H199,'Both teabags AfterWet'!$A$3:$A$2000,0)),"")</f>
        <v>0.84799999999999998</v>
      </c>
      <c r="P199" s="194">
        <f>IFERROR(INDEX('Both teabags AfterWet'!$C$3:$C$2000,MATCH(I199,'Both teabags AfterWet'!$A$3:$A$2000,0)),"")</f>
        <v>1.4910000000000001</v>
      </c>
      <c r="Q199" s="194">
        <f t="shared" si="8"/>
        <v>0.69740000000000002</v>
      </c>
      <c r="R199" s="194">
        <f t="shared" si="8"/>
        <v>1.3404</v>
      </c>
      <c r="S199" s="194">
        <f t="shared" si="9"/>
        <v>0.5791696838040068</v>
      </c>
      <c r="T199" s="194">
        <f t="shared" si="10"/>
        <v>0.37969318938219926</v>
      </c>
      <c r="U199" s="194">
        <f t="shared" si="11"/>
        <v>0.70800760616944869</v>
      </c>
      <c r="V199">
        <f>IFERROR(IF((N199-G199)&gt;0,(IFERROR(N199-G199,"")),""),"")</f>
        <v>54</v>
      </c>
      <c r="W199" s="194">
        <f t="shared" si="12"/>
        <v>0.31215001923514629</v>
      </c>
      <c r="X199" s="194">
        <f t="shared" si="13"/>
        <v>2.7137639992895202E-2</v>
      </c>
      <c r="Y199" s="252" t="str">
        <f>IF(ISNUMBER(SEARCH("C",'WetLitterbags placem_collection'!$X126)),"YES","NO")</f>
        <v>NO</v>
      </c>
      <c r="Z199" s="252" t="str">
        <f>IF(ISNUMBER(SEARCH("H", 'WetLitterbags placem_collection'!$X126)),"YES","NO")</f>
        <v>NO</v>
      </c>
      <c r="AA199" s="252" t="str">
        <f>IF(ISNUMBER(SEARCH("R", 'WetLitterbags placem_collection'!$X126)),"YES","NO")</f>
        <v>NO</v>
      </c>
      <c r="AB199" s="252" t="str">
        <f>IF(ISNUMBER(SEARCH("C", 'WetLitterbags placem_collection'!$V126)),"YES","NO")</f>
        <v>NO</v>
      </c>
      <c r="AC199" s="252" t="str">
        <f>IF(ISNUMBER(SEARCH("H", 'WetLitterbags placem_collection'!$V126)),"YES","NO")</f>
        <v>YES</v>
      </c>
      <c r="AD199" s="252" t="str">
        <f>IF(ISNUMBER(SEARCH("R", 'WetLitterbags placem_collection'!$V126)),"YES","NO")</f>
        <v>YES</v>
      </c>
    </row>
    <row r="200" spans="2:30">
      <c r="B200" t="str">
        <f>'Final data_for_R_analysis_Wetse'!A126</f>
        <v>Wet</v>
      </c>
      <c r="C200" s="260">
        <f>'Final data_for_R_analysis_Wetse'!B126</f>
        <v>125</v>
      </c>
      <c r="D200" t="s">
        <v>3819</v>
      </c>
      <c r="E200" t="s">
        <v>22</v>
      </c>
      <c r="F200" s="382">
        <v>5</v>
      </c>
      <c r="G200" s="16">
        <f>'WetLitterbags placem_collection'!E127</f>
        <v>42762</v>
      </c>
      <c r="H200" t="str">
        <f>'Final data_for_R_analysis_Wetse'!K126</f>
        <v>G793</v>
      </c>
      <c r="I200" t="str">
        <f>'Final data_for_R_analysis_Wetse'!K346</f>
        <v>R560</v>
      </c>
      <c r="J200">
        <f>IFERROR(INDEX('Green_rooibos initial weight'!$C$5:$C$2000,MATCH(H200, 'Green_rooibos initial weight'!$A$5:$A$2000,0)),"")</f>
        <v>2.0459999999999998</v>
      </c>
      <c r="K200">
        <f>IFERROR(INDEX('Green_rooibos initial weight'!$C$5:$C$2000,MATCH(I200, 'Green_rooibos initial weight'!$A$5:$A$2000,0)),"")</f>
        <v>2.157</v>
      </c>
      <c r="L200" s="194">
        <f t="shared" si="7"/>
        <v>1.7961999999999998</v>
      </c>
      <c r="M200" s="194">
        <f>IF(K200&gt;0,(K200*$F$32-($F$29+$F$30)),"")</f>
        <v>1.9072</v>
      </c>
      <c r="N200" s="16">
        <f>IF('WetLitterbags placem_collection'!G127="","",'WetLitterbags placem_collection'!G127)</f>
        <v>42816</v>
      </c>
      <c r="O200" s="194">
        <f>IFERROR(INDEX('Both teabags AfterWet'!$C$3:$C$2000,MATCH(H200,'Both teabags AfterWet'!$A$3:$A$2000,0)),"")</f>
        <v>0.77200000000000002</v>
      </c>
      <c r="P200" s="194">
        <f>IFERROR(INDEX('Both teabags AfterWet'!$C$3:$C$2000,MATCH(I200,'Both teabags AfterWet'!$A$3:$A$2000,0)),"")</f>
        <v>1.254</v>
      </c>
      <c r="Q200" s="194">
        <f t="shared" si="8"/>
        <v>0.62139999999999995</v>
      </c>
      <c r="R200" s="194">
        <f t="shared" si="8"/>
        <v>1.1033999999999999</v>
      </c>
      <c r="S200" s="194">
        <f t="shared" si="9"/>
        <v>0.6540474334706603</v>
      </c>
      <c r="T200" s="194">
        <f t="shared" si="10"/>
        <v>0.42878169035131175</v>
      </c>
      <c r="U200" s="194">
        <f t="shared" si="11"/>
        <v>0.57854446308724827</v>
      </c>
      <c r="V200">
        <f>IFERROR(IF((N200-G200)&gt;0,(IFERROR(N200-G200,"")),""),"")</f>
        <v>54</v>
      </c>
      <c r="W200" s="194">
        <f t="shared" si="12"/>
        <v>0.22322157545052224</v>
      </c>
      <c r="X200" s="194">
        <f t="shared" si="13"/>
        <v>7.5361061121904466E-2</v>
      </c>
      <c r="Y200" s="252" t="str">
        <f>IF(ISNUMBER(SEARCH("C",'WetLitterbags placem_collection'!$X127)),"YES","NO")</f>
        <v>NO</v>
      </c>
      <c r="Z200" s="252" t="str">
        <f>IF(ISNUMBER(SEARCH("H", 'WetLitterbags placem_collection'!$X127)),"YES","NO")</f>
        <v>NO</v>
      </c>
      <c r="AA200" s="252" t="str">
        <f>IF(ISNUMBER(SEARCH("R", 'WetLitterbags placem_collection'!$X127)),"YES","NO")</f>
        <v>YES</v>
      </c>
      <c r="AB200" s="252" t="str">
        <f>IF(ISNUMBER(SEARCH("C", 'WetLitterbags placem_collection'!$V127)),"YES","NO")</f>
        <v>NO</v>
      </c>
      <c r="AC200" s="252" t="str">
        <f>IF(ISNUMBER(SEARCH("H", 'WetLitterbags placem_collection'!$V127)),"YES","NO")</f>
        <v>YES</v>
      </c>
      <c r="AD200" s="252" t="str">
        <f>IF(ISNUMBER(SEARCH("R", 'WetLitterbags placem_collection'!$V127)),"YES","NO")</f>
        <v>YES</v>
      </c>
    </row>
    <row r="201" spans="2:30">
      <c r="B201" t="str">
        <f>'Final data_for_R_analysis_Wetse'!A127</f>
        <v>Wet</v>
      </c>
      <c r="C201" s="260">
        <f>'Final data_for_R_analysis_Wetse'!B127</f>
        <v>126</v>
      </c>
      <c r="D201" t="s">
        <v>3819</v>
      </c>
      <c r="E201" t="s">
        <v>22</v>
      </c>
      <c r="F201" s="382">
        <v>6</v>
      </c>
      <c r="G201" s="16">
        <f>'WetLitterbags placem_collection'!E128</f>
        <v>42762</v>
      </c>
      <c r="H201" t="str">
        <f>'Final data_for_R_analysis_Wetse'!K127</f>
        <v>G749</v>
      </c>
      <c r="I201" t="str">
        <f>'Final data_for_R_analysis_Wetse'!K347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7"/>
        <v>1.7681999999999998</v>
      </c>
      <c r="M201" s="194">
        <f>IF(K201&gt;0,(K201*$F$32-($F$29+$F$30)),"")</f>
        <v>2.0312000000000001</v>
      </c>
      <c r="N201" s="16">
        <f>IF('WetLitterbags placem_collection'!G128="","",'WetLitterbags placem_collection'!G128)</f>
        <v>42816</v>
      </c>
      <c r="O201" s="194">
        <f>IFERROR(INDEX('Both teabags AfterWet'!$C$3:$C$2000,MATCH(H201,'Both teabags AfterWet'!$A$3:$A$2000,0)),"")</f>
        <v>0.67800000000000005</v>
      </c>
      <c r="P201" s="194">
        <f>IFERROR(INDEX('Both teabags AfterWet'!$C$3:$C$2000,MATCH(I201,'Both teabags AfterWet'!$A$3:$A$2000,0)),"")</f>
        <v>0.17599999999999999</v>
      </c>
      <c r="Q201" s="194">
        <f t="shared" si="8"/>
        <v>0.52740000000000009</v>
      </c>
      <c r="R201" s="194">
        <f t="shared" si="8"/>
        <v>2.5399999999999978E-2</v>
      </c>
      <c r="S201" s="194">
        <f t="shared" si="9"/>
        <v>0.70173057346454004</v>
      </c>
      <c r="T201" s="194">
        <f t="shared" si="10"/>
        <v>0.46004189614302393</v>
      </c>
      <c r="U201" s="194">
        <f t="shared" si="11"/>
        <v>1.250492319810948E-2</v>
      </c>
      <c r="V201">
        <f>IFERROR(IF((N201-G201)&gt;0,(IFERROR(N201-G201,"")),""),"")</f>
        <v>54</v>
      </c>
      <c r="W201" s="194">
        <f t="shared" si="12"/>
        <v>0.16659076785684079</v>
      </c>
      <c r="X201" s="194" t="str">
        <f t="shared" si="13"/>
        <v/>
      </c>
      <c r="Y201" s="252" t="str">
        <f>IF(ISNUMBER(SEARCH("C",'WetLitterbags placem_collection'!$X128)),"YES","NO")</f>
        <v>NO</v>
      </c>
      <c r="Z201" s="252" t="str">
        <f>IF(ISNUMBER(SEARCH("H", 'WetLitterbags placem_collection'!$X128)),"YES","NO")</f>
        <v>NO</v>
      </c>
      <c r="AA201" s="252" t="str">
        <f>IF(ISNUMBER(SEARCH("R", 'WetLitterbags placem_collection'!$X128)),"YES","NO")</f>
        <v>YES</v>
      </c>
      <c r="AB201" s="252" t="str">
        <f>IF(ISNUMBER(SEARCH("C", 'WetLitterbags placem_collection'!$V128)),"YES","NO")</f>
        <v>NO</v>
      </c>
      <c r="AC201" s="252" t="str">
        <f>IF(ISNUMBER(SEARCH("H", 'WetLitterbags placem_collection'!$V128)),"YES","NO")</f>
        <v>YES</v>
      </c>
      <c r="AD201" s="252" t="str">
        <f>IF(ISNUMBER(SEARCH("R", 'WetLitterbags placem_collection'!$V128)),"YES","NO")</f>
        <v>YES</v>
      </c>
    </row>
    <row r="202" spans="2:30">
      <c r="B202" t="str">
        <f>'Final data_for_R_analysis_Wetse'!A128</f>
        <v>Wet</v>
      </c>
      <c r="C202" s="260">
        <f>'Final data_for_R_analysis_Wetse'!B128</f>
        <v>127</v>
      </c>
      <c r="D202" t="s">
        <v>3819</v>
      </c>
      <c r="E202" t="s">
        <v>22</v>
      </c>
      <c r="F202" s="382">
        <v>7</v>
      </c>
      <c r="G202" s="16">
        <f>'WetLitterbags placem_collection'!E129</f>
        <v>42762</v>
      </c>
      <c r="H202" t="str">
        <f>'Final data_for_R_analysis_Wetse'!K128</f>
        <v>G898</v>
      </c>
      <c r="I202" t="str">
        <f>'Final data_for_R_analysis_Wetse'!K348</f>
        <v>R506</v>
      </c>
      <c r="J202">
        <f>IFERROR(INDEX('Green_rooibos initial weight'!$C$5:$C$2000,MATCH(H202, 'Green_rooibos initial weight'!$A$5:$A$2000,0)),"")</f>
        <v>1.893</v>
      </c>
      <c r="K202">
        <f>IFERROR(INDEX('Green_rooibos initial weight'!$C$5:$C$2000,MATCH(I202, 'Green_rooibos initial weight'!$A$5:$A$2000,0)),"")</f>
        <v>2.1579999999999999</v>
      </c>
      <c r="L202" s="194">
        <f t="shared" si="7"/>
        <v>1.6432</v>
      </c>
      <c r="M202" s="194">
        <f>IF(K202&gt;0,(K202*$F$32-($F$29+$F$30)),"")</f>
        <v>1.9081999999999999</v>
      </c>
      <c r="N202" s="16">
        <f>IF('WetLitterbags placem_collection'!G129="","",'WetLitterbags placem_collection'!G129)</f>
        <v>42816</v>
      </c>
      <c r="O202" s="194">
        <f>IFERROR(INDEX('Both teabags AfterWet'!$C$3:$C$2000,MATCH(H202,'Both teabags AfterWet'!$A$3:$A$2000,0)),"")</f>
        <v>0.59099999999999997</v>
      </c>
      <c r="P202" s="194">
        <f>IFERROR(INDEX('Both teabags AfterWet'!$C$3:$C$2000,MATCH(I202,'Both teabags AfterWet'!$A$3:$A$2000,0)),"")</f>
        <v>1.4710000000000001</v>
      </c>
      <c r="Q202" s="194">
        <f t="shared" si="8"/>
        <v>0.44039999999999996</v>
      </c>
      <c r="R202" s="194">
        <f t="shared" si="8"/>
        <v>1.3204</v>
      </c>
      <c r="S202" s="194">
        <f t="shared" si="9"/>
        <v>0.73198636806231743</v>
      </c>
      <c r="T202" s="194">
        <f t="shared" si="10"/>
        <v>0.47987704889596111</v>
      </c>
      <c r="U202" s="194">
        <f t="shared" si="11"/>
        <v>0.69196101037627089</v>
      </c>
      <c r="V202">
        <f>IFERROR(IF((N202-G202)&gt;0,(IFERROR(N202-G202,"")),""),"")</f>
        <v>54</v>
      </c>
      <c r="W202" s="194">
        <f t="shared" si="12"/>
        <v>0.1306575201160125</v>
      </c>
      <c r="X202" s="194">
        <f t="shared" si="13"/>
        <v>1.9018100101983421E-2</v>
      </c>
      <c r="Y202" s="252" t="str">
        <f>IF(ISNUMBER(SEARCH("C",'WetLitterbags placem_collection'!$X129)),"YES","NO")</f>
        <v>NO</v>
      </c>
      <c r="Z202" s="252" t="str">
        <f>IF(ISNUMBER(SEARCH("H", 'WetLitterbags placem_collection'!$X129)),"YES","NO")</f>
        <v>NO</v>
      </c>
      <c r="AA202" s="252" t="str">
        <f>IF(ISNUMBER(SEARCH("R", 'WetLitterbags placem_collection'!$X129)),"YES","NO")</f>
        <v>YES</v>
      </c>
      <c r="AB202" s="252" t="str">
        <f>IF(ISNUMBER(SEARCH("C", 'WetLitterbags placem_collection'!$V129)),"YES","NO")</f>
        <v>NO</v>
      </c>
      <c r="AC202" s="252" t="str">
        <f>IF(ISNUMBER(SEARCH("H", 'WetLitterbags placem_collection'!$V129)),"YES","NO")</f>
        <v>YES</v>
      </c>
      <c r="AD202" s="252" t="str">
        <f>IF(ISNUMBER(SEARCH("R", 'WetLitterbags placem_collection'!$V129)),"YES","NO")</f>
        <v>YES</v>
      </c>
    </row>
    <row r="203" spans="2:30">
      <c r="B203" t="str">
        <f>'Final data_for_R_analysis_Wetse'!A129</f>
        <v>Wet</v>
      </c>
      <c r="C203" s="260">
        <f>'Final data_for_R_analysis_Wetse'!B129</f>
        <v>128</v>
      </c>
      <c r="D203" t="s">
        <v>3819</v>
      </c>
      <c r="E203" t="s">
        <v>22</v>
      </c>
      <c r="F203" s="382">
        <v>8</v>
      </c>
      <c r="G203" s="16">
        <f>'WetLitterbags placem_collection'!E130</f>
        <v>42762</v>
      </c>
      <c r="H203" t="str">
        <f>'Final data_for_R_analysis_Wetse'!K129</f>
        <v>G834</v>
      </c>
      <c r="I203" t="str">
        <f>'Final data_for_R_analysis_Wetse'!K349</f>
        <v>R554</v>
      </c>
      <c r="J203">
        <f>IFERROR(INDEX('Green_rooibos initial weight'!$C$5:$C$2000,MATCH(H203, 'Green_rooibos initial weight'!$A$5:$A$2000,0)),"")</f>
        <v>1.956</v>
      </c>
      <c r="K203">
        <f>IFERROR(INDEX('Green_rooibos initial weight'!$C$5:$C$2000,MATCH(I203, 'Green_rooibos initial weight'!$A$5:$A$2000,0)),"")</f>
        <v>2.1779999999999999</v>
      </c>
      <c r="L203" s="194">
        <f t="shared" si="7"/>
        <v>1.7061999999999999</v>
      </c>
      <c r="M203" s="194">
        <f>IF(K203&gt;0,(K203*$F$32-($F$29+$F$30)),"")</f>
        <v>1.9281999999999999</v>
      </c>
      <c r="N203" s="16">
        <f>IF('WetLitterbags placem_collection'!G130="","",'WetLitterbags placem_collection'!G130)</f>
        <v>42816</v>
      </c>
      <c r="O203" s="194">
        <f>IFERROR(INDEX('Both teabags AfterWet'!$C$3:$C$2000,MATCH(H203,'Both teabags AfterWet'!$A$3:$A$2000,0)),"")</f>
        <v>0.54500000000000004</v>
      </c>
      <c r="P203" s="194">
        <f>IFERROR(INDEX('Both teabags AfterWet'!$C$3:$C$2000,MATCH(I203,'Both teabags AfterWet'!$A$3:$A$2000,0)),"")</f>
        <v>2.5259999999999998</v>
      </c>
      <c r="Q203" s="194">
        <f t="shared" si="8"/>
        <v>0.39440000000000003</v>
      </c>
      <c r="R203" s="194">
        <f t="shared" si="8"/>
        <v>2.3754</v>
      </c>
      <c r="S203" s="194">
        <f t="shared" si="9"/>
        <v>0.76884304301957562</v>
      </c>
      <c r="T203" s="194">
        <f t="shared" si="10"/>
        <v>0.50403961965178834</v>
      </c>
      <c r="U203" s="194">
        <f t="shared" si="11"/>
        <v>1.2319261487397573</v>
      </c>
      <c r="V203">
        <f>IFERROR(IF((N203-G203)&gt;0,(IFERROR(N203-G203,"")),""),"")</f>
        <v>54</v>
      </c>
      <c r="W203" s="194">
        <f t="shared" si="12"/>
        <v>8.6884747007629826E-2</v>
      </c>
      <c r="X203" s="194">
        <f t="shared" si="13"/>
        <v>-7.0097913316243821E-3</v>
      </c>
      <c r="Y203" s="252" t="str">
        <f>IF(ISNUMBER(SEARCH("C",'WetLitterbags placem_collection'!$X130)),"YES","NO")</f>
        <v>NO</v>
      </c>
      <c r="Z203" s="252" t="str">
        <f>IF(ISNUMBER(SEARCH("H", 'WetLitterbags placem_collection'!$X130)),"YES","NO")</f>
        <v>NO</v>
      </c>
      <c r="AA203" s="252" t="str">
        <f>IF(ISNUMBER(SEARCH("R", 'WetLitterbags placem_collection'!$X130)),"YES","NO")</f>
        <v>YES</v>
      </c>
      <c r="AB203" s="252" t="str">
        <f>IF(ISNUMBER(SEARCH("C", 'WetLitterbags placem_collection'!$V130)),"YES","NO")</f>
        <v>NO</v>
      </c>
      <c r="AC203" s="252" t="str">
        <f>IF(ISNUMBER(SEARCH("H", 'WetLitterbags placem_collection'!$V130)),"YES","NO")</f>
        <v>NO</v>
      </c>
      <c r="AD203" s="252" t="str">
        <f>IF(ISNUMBER(SEARCH("R", 'WetLitterbags placem_collection'!$V130)),"YES","NO")</f>
        <v>YES</v>
      </c>
    </row>
    <row r="204" spans="2:30">
      <c r="B204" t="str">
        <f>'Final data_for_R_analysis_Wetse'!A130</f>
        <v>Wet</v>
      </c>
      <c r="C204" s="260">
        <f>'Final data_for_R_analysis_Wetse'!B130</f>
        <v>129</v>
      </c>
      <c r="D204" t="s">
        <v>3820</v>
      </c>
      <c r="E204" t="s">
        <v>22</v>
      </c>
      <c r="F204" s="381">
        <v>1</v>
      </c>
      <c r="G204" s="16">
        <f>'WetLitterbags placem_collection'!E131</f>
        <v>42762</v>
      </c>
      <c r="H204" t="str">
        <f>'Final data_for_R_analysis_Wetse'!K130</f>
        <v>G819</v>
      </c>
      <c r="I204" t="str">
        <f>'Final data_for_R_analysis_Wetse'!K350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7"/>
        <v>1.7272000000000001</v>
      </c>
      <c r="M204" s="194">
        <f>IF(K204&gt;0,(K204*$F$32-($F$29+$F$30)),"")</f>
        <v>2.0392000000000001</v>
      </c>
      <c r="N204" s="16">
        <f>IF('WetLitterbags placem_collection'!G131="","",'WetLitterbags placem_collection'!G131)</f>
        <v>42816</v>
      </c>
      <c r="O204" s="194">
        <f>IFERROR(INDEX('Both teabags AfterWet'!$C$3:$C$2000,MATCH(H204,'Both teabags AfterWet'!$A$3:$A$2000,0)),"")</f>
        <v>0.59719999999999995</v>
      </c>
      <c r="P204" s="194">
        <f>IFERROR(INDEX('Both teabags AfterWet'!$C$3:$C$2000,MATCH(I204,'Both teabags AfterWet'!$A$3:$A$2000,0)),"")</f>
        <v>0.48970000000000002</v>
      </c>
      <c r="Q204" s="194">
        <f t="shared" si="8"/>
        <v>0.44659999999999994</v>
      </c>
      <c r="R204" s="194">
        <f t="shared" si="8"/>
        <v>0.33910000000000001</v>
      </c>
      <c r="S204" s="194">
        <f t="shared" si="9"/>
        <v>0.74143121815655399</v>
      </c>
      <c r="T204" s="194">
        <f t="shared" si="10"/>
        <v>0.48606892211688585</v>
      </c>
      <c r="U204" s="194">
        <f t="shared" si="11"/>
        <v>0.16629070223617104</v>
      </c>
      <c r="V204">
        <f>IFERROR(IF((N204-G204)&gt;0,(IFERROR(N204-G204,"")),""),"")</f>
        <v>54</v>
      </c>
      <c r="W204" s="194">
        <f t="shared" si="12"/>
        <v>0.11944035848390255</v>
      </c>
      <c r="X204" s="194" t="str">
        <f t="shared" si="13"/>
        <v/>
      </c>
      <c r="Y204" s="252" t="str">
        <f>IF(ISNUMBER(SEARCH("C",'WetLitterbags placem_collection'!$X131)),"YES","NO")</f>
        <v>NO</v>
      </c>
      <c r="Z204" s="252" t="str">
        <f>IF(ISNUMBER(SEARCH("H", 'WetLitterbags placem_collection'!$X131)),"YES","NO")</f>
        <v>NO</v>
      </c>
      <c r="AA204" s="252" t="str">
        <f>IF(ISNUMBER(SEARCH("R", 'WetLitterbags placem_collection'!$X131)),"YES","NO")</f>
        <v>YES</v>
      </c>
      <c r="AB204" s="252" t="str">
        <f>IF(ISNUMBER(SEARCH("C", 'WetLitterbags placem_collection'!$V131)),"YES","NO")</f>
        <v>NO</v>
      </c>
      <c r="AC204" s="252" t="str">
        <f>IF(ISNUMBER(SEARCH("H", 'WetLitterbags placem_collection'!$V131)),"YES","NO")</f>
        <v>NO</v>
      </c>
      <c r="AD204" s="252" t="str">
        <f>IF(ISNUMBER(SEARCH("R", 'WetLitterbags placem_collection'!$V131)),"YES","NO")</f>
        <v>NO</v>
      </c>
    </row>
    <row r="205" spans="2:30">
      <c r="B205" t="str">
        <f>'Final data_for_R_analysis_Wetse'!A131</f>
        <v>Wet</v>
      </c>
      <c r="C205" s="260">
        <f>'Final data_for_R_analysis_Wetse'!B131</f>
        <v>130</v>
      </c>
      <c r="D205" t="s">
        <v>3820</v>
      </c>
      <c r="E205" t="s">
        <v>22</v>
      </c>
      <c r="F205" s="381">
        <v>2</v>
      </c>
      <c r="G205" s="16">
        <f>'WetLitterbags placem_collection'!E132</f>
        <v>42762</v>
      </c>
      <c r="H205" t="str">
        <f>'Final data_for_R_analysis_Wetse'!K131</f>
        <v>G830</v>
      </c>
      <c r="I205" t="str">
        <f>'Final data_for_R_analysis_Wetse'!K351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14">IF(J205&gt;0,(J205*$F$31-($F$29+$F$30)),"")</f>
        <v>1.6441999999999999</v>
      </c>
      <c r="M205" s="194">
        <f>IF(K205&gt;0,(K205*$F$32-($F$29+$F$30)),"")</f>
        <v>1.9201999999999999</v>
      </c>
      <c r="N205" s="16">
        <f>IF('WetLitterbags placem_collection'!G132="","",'WetLitterbags placem_collection'!G132)</f>
        <v>42816</v>
      </c>
      <c r="O205" s="194">
        <f>IFERROR(INDEX('Both teabags AfterWet'!$C$3:$C$2000,MATCH(H205,'Both teabags AfterWet'!$A$3:$A$2000,0)),"")</f>
        <v>0.54</v>
      </c>
      <c r="P205" s="194">
        <f>IFERROR(INDEX('Both teabags AfterWet'!$C$3:$C$2000,MATCH(I205,'Both teabags AfterWet'!$A$3:$A$2000,0)),"")</f>
        <v>1.6379999999999999</v>
      </c>
      <c r="Q205" s="194">
        <f t="shared" ref="Q205:R268" si="15">IFERROR(IF(O205&gt;0,O205-($F$29),""),"")</f>
        <v>0.38940000000000002</v>
      </c>
      <c r="R205" s="194">
        <f t="shared" si="15"/>
        <v>1.4873999999999998</v>
      </c>
      <c r="S205" s="194">
        <f t="shared" ref="S205:S268" si="16">IFERROR(1-Q205/L205,"")</f>
        <v>0.76316749787130522</v>
      </c>
      <c r="T205" s="194">
        <f t="shared" ref="T205:T268" si="17">IFERROR($F$26*(1-W205),"")</f>
        <v>0.50031883470897931</v>
      </c>
      <c r="U205" s="194">
        <f t="shared" ref="U205:U268" si="18">IFERROR(R205/M205,"")</f>
        <v>0.77460681179043844</v>
      </c>
      <c r="V205">
        <f>IFERROR(IF((N205-G205)&gt;0,(IFERROR(N205-G205,"")),""),"")</f>
        <v>54</v>
      </c>
      <c r="W205" s="194">
        <f t="shared" ref="W205:W268" si="19">IFERROR(1-(S205/$F$25),"")</f>
        <v>9.3625299440254994E-2</v>
      </c>
      <c r="X205" s="194">
        <f t="shared" ref="X205:X268" si="20">IFERROR(LN(T205/(U205-(1-T205)))/V205,"")</f>
        <v>1.1087868145793659E-2</v>
      </c>
      <c r="Y205" s="252" t="str">
        <f>IF(ISNUMBER(SEARCH("C",'WetLitterbags placem_collection'!$X132)),"YES","NO")</f>
        <v>NO</v>
      </c>
      <c r="Z205" s="252" t="str">
        <f>IF(ISNUMBER(SEARCH("H", 'WetLitterbags placem_collection'!$X132)),"YES","NO")</f>
        <v>NO</v>
      </c>
      <c r="AA205" s="252" t="str">
        <f>IF(ISNUMBER(SEARCH("R", 'WetLitterbags placem_collection'!$X132)),"YES","NO")</f>
        <v>NO</v>
      </c>
      <c r="AB205" s="252" t="str">
        <f>IF(ISNUMBER(SEARCH("C", 'WetLitterbags placem_collection'!$V132)),"YES","NO")</f>
        <v>NO</v>
      </c>
      <c r="AC205" s="252" t="str">
        <f>IF(ISNUMBER(SEARCH("H", 'WetLitterbags placem_collection'!$V132)),"YES","NO")</f>
        <v>NO</v>
      </c>
      <c r="AD205" s="252" t="str">
        <f>IF(ISNUMBER(SEARCH("R", 'WetLitterbags placem_collection'!$V132)),"YES","NO")</f>
        <v>YES</v>
      </c>
    </row>
    <row r="206" spans="2:30">
      <c r="B206" t="str">
        <f>'Final data_for_R_analysis_Wetse'!A132</f>
        <v>Wet</v>
      </c>
      <c r="C206" s="260">
        <f>'Final data_for_R_analysis_Wetse'!B132</f>
        <v>131</v>
      </c>
      <c r="D206" t="s">
        <v>3820</v>
      </c>
      <c r="E206" t="s">
        <v>22</v>
      </c>
      <c r="F206" s="381">
        <v>3</v>
      </c>
      <c r="G206" s="16">
        <f>'WetLitterbags placem_collection'!E133</f>
        <v>42762</v>
      </c>
      <c r="H206" t="str">
        <f>'Final data_for_R_analysis_Wetse'!K132</f>
        <v>G746</v>
      </c>
      <c r="I206" t="str">
        <f>'Final data_for_R_analysis_Wetse'!K352</f>
        <v>R476</v>
      </c>
      <c r="J206">
        <f>IFERROR(INDEX('Green_rooibos initial weight'!$C$5:$C$2000,MATCH(H206, 'Green_rooibos initial weight'!$A$5:$A$2000,0)),"")</f>
        <v>2.198</v>
      </c>
      <c r="K206">
        <f>IFERROR(INDEX('Green_rooibos initial weight'!$C$5:$C$2000,MATCH(I206, 'Green_rooibos initial weight'!$A$5:$A$2000,0)),"")</f>
        <v>2.2429999999999999</v>
      </c>
      <c r="L206" s="194">
        <f t="shared" si="14"/>
        <v>1.9481999999999999</v>
      </c>
      <c r="M206" s="194">
        <f>IF(K206&gt;0,(K206*$F$32-($F$29+$F$30)),"")</f>
        <v>1.9931999999999999</v>
      </c>
      <c r="N206" s="16">
        <f>IF('WetLitterbags placem_collection'!G133="","",'WetLitterbags placem_collection'!G133)</f>
        <v>42816</v>
      </c>
      <c r="O206" s="194">
        <f>IFERROR(INDEX('Both teabags AfterWet'!$C$3:$C$2000,MATCH(H206,'Both teabags AfterWet'!$A$3:$A$2000,0)),"")</f>
        <v>0.6613</v>
      </c>
      <c r="P206" s="194">
        <f>IFERROR(INDEX('Both teabags AfterWet'!$C$3:$C$2000,MATCH(I206,'Both teabags AfterWet'!$A$3:$A$2000,0)),"")</f>
        <v>0.64019999999999999</v>
      </c>
      <c r="Q206" s="194">
        <f t="shared" si="15"/>
        <v>0.51069999999999993</v>
      </c>
      <c r="R206" s="194">
        <f t="shared" si="15"/>
        <v>0.48959999999999998</v>
      </c>
      <c r="S206" s="194">
        <f t="shared" si="16"/>
        <v>0.7378605892618828</v>
      </c>
      <c r="T206" s="194">
        <f t="shared" si="17"/>
        <v>0.4837280822714482</v>
      </c>
      <c r="U206" s="194">
        <f t="shared" si="18"/>
        <v>0.24563515954244433</v>
      </c>
      <c r="V206">
        <f>IFERROR(IF((N206-G206)&gt;0,(IFERROR(N206-G206,"")),""),"")</f>
        <v>54</v>
      </c>
      <c r="W206" s="194">
        <f t="shared" si="19"/>
        <v>0.12368101037781132</v>
      </c>
      <c r="X206" s="194" t="str">
        <f t="shared" si="20"/>
        <v/>
      </c>
      <c r="Y206" s="252" t="str">
        <f>IF(ISNUMBER(SEARCH("C",'WetLitterbags placem_collection'!$X133)),"YES","NO")</f>
        <v>NO</v>
      </c>
      <c r="Z206" s="252" t="str">
        <f>IF(ISNUMBER(SEARCH("H", 'WetLitterbags placem_collection'!$X133)),"YES","NO")</f>
        <v>NO</v>
      </c>
      <c r="AA206" s="252" t="str">
        <f>IF(ISNUMBER(SEARCH("R", 'WetLitterbags placem_collection'!$X133)),"YES","NO")</f>
        <v>NO</v>
      </c>
      <c r="AB206" s="252" t="str">
        <f>IF(ISNUMBER(SEARCH("C", 'WetLitterbags placem_collection'!$V133)),"YES","NO")</f>
        <v>NO</v>
      </c>
      <c r="AC206" s="252" t="str">
        <f>IF(ISNUMBER(SEARCH("H", 'WetLitterbags placem_collection'!$V133)),"YES","NO")</f>
        <v>YES</v>
      </c>
      <c r="AD206" s="252" t="str">
        <f>IF(ISNUMBER(SEARCH("R", 'WetLitterbags placem_collection'!$V133)),"YES","NO")</f>
        <v>NO</v>
      </c>
    </row>
    <row r="207" spans="2:30">
      <c r="B207" t="str">
        <f>'Final data_for_R_analysis_Wetse'!A133</f>
        <v>Wet</v>
      </c>
      <c r="C207" s="260">
        <f>'Final data_for_R_analysis_Wetse'!B133</f>
        <v>132</v>
      </c>
      <c r="D207" t="s">
        <v>3820</v>
      </c>
      <c r="E207" t="s">
        <v>22</v>
      </c>
      <c r="F207" s="382">
        <v>4</v>
      </c>
      <c r="G207" s="16">
        <f>'WetLitterbags placem_collection'!E134</f>
        <v>42762</v>
      </c>
      <c r="H207" t="str">
        <f>'Final data_for_R_analysis_Wetse'!K133</f>
        <v>G725</v>
      </c>
      <c r="I207" t="str">
        <f>'Final data_for_R_analysis_Wetse'!K353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14"/>
        <v>1.7772000000000001</v>
      </c>
      <c r="M207" s="194">
        <f>IF(K207&gt;0,(K207*$F$32-($F$29+$F$30)),"")</f>
        <v>1.9472</v>
      </c>
      <c r="N207" s="16">
        <f>IF('WetLitterbags placem_collection'!G134="","",'WetLitterbags placem_collection'!G134)</f>
        <v>42816</v>
      </c>
      <c r="O207" s="194">
        <f>IFERROR(INDEX('Both teabags AfterWet'!$C$3:$C$2000,MATCH(H207,'Both teabags AfterWet'!$A$3:$A$2000,0)),"")</f>
        <v>0.56820000000000004</v>
      </c>
      <c r="P207" s="194">
        <f>IFERROR(INDEX('Both teabags AfterWet'!$C$3:$C$2000,MATCH(I207,'Both teabags AfterWet'!$A$3:$A$2000,0)),"")</f>
        <v>1.593</v>
      </c>
      <c r="Q207" s="194">
        <f t="shared" si="15"/>
        <v>0.41760000000000003</v>
      </c>
      <c r="R207" s="194">
        <f t="shared" si="15"/>
        <v>1.4423999999999999</v>
      </c>
      <c r="S207" s="194">
        <f t="shared" si="16"/>
        <v>0.76502363268062124</v>
      </c>
      <c r="T207" s="194">
        <f t="shared" si="17"/>
        <v>0.50153568318254504</v>
      </c>
      <c r="U207" s="194">
        <f t="shared" si="18"/>
        <v>0.74075595727198018</v>
      </c>
      <c r="V207">
        <f>IFERROR(IF((N207-G207)&gt;0,(IFERROR(N207-G207,"")),""),"")</f>
        <v>54</v>
      </c>
      <c r="W207" s="194">
        <f t="shared" si="19"/>
        <v>9.142086379973724E-2</v>
      </c>
      <c r="X207" s="194">
        <f t="shared" si="20"/>
        <v>1.3472826506602713E-2</v>
      </c>
      <c r="Y207" s="252" t="str">
        <f>IF(ISNUMBER(SEARCH("C",'WetLitterbags placem_collection'!$X134)),"YES","NO")</f>
        <v>NO</v>
      </c>
      <c r="Z207" s="252" t="str">
        <f>IF(ISNUMBER(SEARCH("H", 'WetLitterbags placem_collection'!$X134)),"YES","NO")</f>
        <v>NO</v>
      </c>
      <c r="AA207" s="252" t="str">
        <f>IF(ISNUMBER(SEARCH("R", 'WetLitterbags placem_collection'!$X134)),"YES","NO")</f>
        <v>NO</v>
      </c>
      <c r="AB207" s="252" t="str">
        <f>IF(ISNUMBER(SEARCH("C", 'WetLitterbags placem_collection'!$V134)),"YES","NO")</f>
        <v>NO</v>
      </c>
      <c r="AC207" s="252" t="str">
        <f>IF(ISNUMBER(SEARCH("H", 'WetLitterbags placem_collection'!$V134)),"YES","NO")</f>
        <v>NO</v>
      </c>
      <c r="AD207" s="252" t="str">
        <f>IF(ISNUMBER(SEARCH("R", 'WetLitterbags placem_collection'!$V134)),"YES","NO")</f>
        <v>NO</v>
      </c>
    </row>
    <row r="208" spans="2:30">
      <c r="B208" t="str">
        <f>'Final data_for_R_analysis_Wetse'!A134</f>
        <v>Wet</v>
      </c>
      <c r="C208" s="260">
        <f>'Final data_for_R_analysis_Wetse'!B134</f>
        <v>133</v>
      </c>
      <c r="D208" t="s">
        <v>3820</v>
      </c>
      <c r="E208" t="s">
        <v>22</v>
      </c>
      <c r="F208" s="382">
        <v>5</v>
      </c>
      <c r="G208" s="16">
        <f>'WetLitterbags placem_collection'!E135</f>
        <v>42762</v>
      </c>
      <c r="H208" t="str">
        <f>'Final data_for_R_analysis_Wetse'!K134</f>
        <v>G846</v>
      </c>
      <c r="I208" t="str">
        <f>'Final data_for_R_analysis_Wetse'!K354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14"/>
        <v>1.7852000000000001</v>
      </c>
      <c r="M208" s="194">
        <f>IF(K208&gt;0,(K208*$F$32-($F$29+$F$30)),"")</f>
        <v>1.8582000000000001</v>
      </c>
      <c r="N208" s="16">
        <f>IF('WetLitterbags placem_collection'!G135="","",'WetLitterbags placem_collection'!G135)</f>
        <v>42816</v>
      </c>
      <c r="O208" s="194">
        <f>IFERROR(INDEX('Both teabags AfterWet'!$C$3:$C$2000,MATCH(H208,'Both teabags AfterWet'!$A$3:$A$2000,0)),"")</f>
        <v>0.59309999999999996</v>
      </c>
      <c r="P208" s="194">
        <f>IFERROR(INDEX('Both teabags AfterWet'!$C$3:$C$2000,MATCH(I208,'Both teabags AfterWet'!$A$3:$A$2000,0)),"")</f>
        <v>1.5687</v>
      </c>
      <c r="Q208" s="194">
        <f t="shared" si="15"/>
        <v>0.44249999999999995</v>
      </c>
      <c r="R208" s="194">
        <f t="shared" si="15"/>
        <v>1.4180999999999999</v>
      </c>
      <c r="S208" s="194">
        <f t="shared" si="16"/>
        <v>0.75212861304055578</v>
      </c>
      <c r="T208" s="194">
        <f t="shared" si="17"/>
        <v>0.49308194109072068</v>
      </c>
      <c r="U208" s="194">
        <f t="shared" si="18"/>
        <v>0.76315789473684204</v>
      </c>
      <c r="V208">
        <f>IFERROR(IF((N208-G208)&gt;0,(IFERROR(N208-G208,"")),""),"")</f>
        <v>54</v>
      </c>
      <c r="W208" s="194">
        <f t="shared" si="19"/>
        <v>0.10673561396608577</v>
      </c>
      <c r="X208" s="194">
        <f t="shared" si="20"/>
        <v>1.2121509346994163E-2</v>
      </c>
      <c r="Y208" s="252" t="str">
        <f>IF(ISNUMBER(SEARCH("C",'WetLitterbags placem_collection'!$X135)),"YES","NO")</f>
        <v>NO</v>
      </c>
      <c r="Z208" s="252" t="str">
        <f>IF(ISNUMBER(SEARCH("H", 'WetLitterbags placem_collection'!$X135)),"YES","NO")</f>
        <v>NO</v>
      </c>
      <c r="AA208" s="252" t="str">
        <f>IF(ISNUMBER(SEARCH("R", 'WetLitterbags placem_collection'!$X135)),"YES","NO")</f>
        <v>NO</v>
      </c>
      <c r="AB208" s="252" t="str">
        <f>IF(ISNUMBER(SEARCH("C", 'WetLitterbags placem_collection'!$V135)),"YES","NO")</f>
        <v>NO</v>
      </c>
      <c r="AC208" s="252" t="str">
        <f>IF(ISNUMBER(SEARCH("H", 'WetLitterbags placem_collection'!$V135)),"YES","NO")</f>
        <v>NO</v>
      </c>
      <c r="AD208" s="252" t="str">
        <f>IF(ISNUMBER(SEARCH("R", 'WetLitterbags placem_collection'!$V135)),"YES","NO")</f>
        <v>NO</v>
      </c>
    </row>
    <row r="209" spans="2:30">
      <c r="B209" t="str">
        <f>'Final data_for_R_analysis_Wetse'!A135</f>
        <v>Wet</v>
      </c>
      <c r="C209" s="260">
        <f>'Final data_for_R_analysis_Wetse'!B135</f>
        <v>134</v>
      </c>
      <c r="D209" t="s">
        <v>3820</v>
      </c>
      <c r="E209" t="s">
        <v>22</v>
      </c>
      <c r="F209" s="382">
        <v>6</v>
      </c>
      <c r="G209" s="16">
        <f>'WetLitterbags placem_collection'!E136</f>
        <v>42762</v>
      </c>
      <c r="H209" t="str">
        <f>'Final data_for_R_analysis_Wetse'!K135</f>
        <v>G756</v>
      </c>
      <c r="I209" t="str">
        <f>'Final data_for_R_analysis_Wetse'!K355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14"/>
        <v>1.8961999999999999</v>
      </c>
      <c r="M209" s="194">
        <f>IF(K209&gt;0,(K209*$F$32-($F$29+$F$30)),"")</f>
        <v>1.9942000000000002</v>
      </c>
      <c r="N209" s="16">
        <f>IF('WetLitterbags placem_collection'!G136="","",'WetLitterbags placem_collection'!G136)</f>
        <v>42816</v>
      </c>
      <c r="O209" s="194">
        <f>IFERROR(INDEX('Both teabags AfterWet'!$C$3:$C$2000,MATCH(H209,'Both teabags AfterWet'!$A$3:$A$2000,0)),"")</f>
        <v>0.69399999999999995</v>
      </c>
      <c r="P209" s="194">
        <f>IFERROR(INDEX('Both teabags AfterWet'!$C$3:$C$2000,MATCH(I209,'Both teabags AfterWet'!$A$3:$A$2000,0)),"")</f>
        <v>1.4419999999999999</v>
      </c>
      <c r="Q209" s="194">
        <f t="shared" si="15"/>
        <v>0.54339999999999988</v>
      </c>
      <c r="R209" s="194">
        <f t="shared" si="15"/>
        <v>1.2913999999999999</v>
      </c>
      <c r="S209" s="194">
        <f t="shared" si="16"/>
        <v>0.71342685370741488</v>
      </c>
      <c r="T209" s="194">
        <f t="shared" si="17"/>
        <v>0.46770976632600125</v>
      </c>
      <c r="U209" s="194">
        <f t="shared" si="18"/>
        <v>0.64757797613077916</v>
      </c>
      <c r="V209">
        <f>IFERROR(IF((N209-G209)&gt;0,(IFERROR(N209-G209,"")),""),"")</f>
        <v>54</v>
      </c>
      <c r="W209" s="194">
        <f t="shared" si="19"/>
        <v>0.15269969868478039</v>
      </c>
      <c r="X209" s="194">
        <f t="shared" si="20"/>
        <v>2.5933645083252174E-2</v>
      </c>
      <c r="Y209" s="252" t="str">
        <f>IF(ISNUMBER(SEARCH("C",'WetLitterbags placem_collection'!$X136)),"YES","NO")</f>
        <v>NO</v>
      </c>
      <c r="Z209" s="252" t="str">
        <f>IF(ISNUMBER(SEARCH("H", 'WetLitterbags placem_collection'!$X136)),"YES","NO")</f>
        <v>NO</v>
      </c>
      <c r="AA209" s="252" t="str">
        <f>IF(ISNUMBER(SEARCH("R", 'WetLitterbags placem_collection'!$X136)),"YES","NO")</f>
        <v>NO</v>
      </c>
      <c r="AB209" s="252" t="str">
        <f>IF(ISNUMBER(SEARCH("C", 'WetLitterbags placem_collection'!$V136)),"YES","NO")</f>
        <v>NO</v>
      </c>
      <c r="AC209" s="252" t="str">
        <f>IF(ISNUMBER(SEARCH("H", 'WetLitterbags placem_collection'!$V136)),"YES","NO")</f>
        <v>NO</v>
      </c>
      <c r="AD209" s="252" t="str">
        <f>IF(ISNUMBER(SEARCH("R", 'WetLitterbags placem_collection'!$V136)),"YES","NO")</f>
        <v>YES</v>
      </c>
    </row>
    <row r="210" spans="2:30">
      <c r="B210" t="str">
        <f>'Final data_for_R_analysis_Wetse'!A136</f>
        <v>Wet</v>
      </c>
      <c r="C210" s="260">
        <f>'Final data_for_R_analysis_Wetse'!B136</f>
        <v>135</v>
      </c>
      <c r="D210" t="s">
        <v>3820</v>
      </c>
      <c r="E210" t="s">
        <v>22</v>
      </c>
      <c r="F210" s="382">
        <v>7</v>
      </c>
      <c r="G210" s="16">
        <f>'WetLitterbags placem_collection'!E137</f>
        <v>42762</v>
      </c>
      <c r="H210" t="str">
        <f>'Final data_for_R_analysis_Wetse'!K136</f>
        <v>G745</v>
      </c>
      <c r="I210" t="str">
        <f>'Final data_for_R_analysis_Wetse'!K356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14"/>
        <v>1.7072000000000001</v>
      </c>
      <c r="M210" s="194">
        <f>IF(K210&gt;0,(K210*$F$32-($F$29+$F$30)),"")</f>
        <v>1.9742000000000002</v>
      </c>
      <c r="N210" s="16">
        <f>IF('WetLitterbags placem_collection'!G137="","",'WetLitterbags placem_collection'!G137)</f>
        <v>42816</v>
      </c>
      <c r="O210" s="194">
        <f>IFERROR(INDEX('Both teabags AfterWet'!$C$3:$C$2000,MATCH(H210,'Both teabags AfterWet'!$A$3:$A$2000,0)),"")</f>
        <v>0.61099999999999999</v>
      </c>
      <c r="P210" s="194">
        <f>IFERROR(INDEX('Both teabags AfterWet'!$C$3:$C$2000,MATCH(I210,'Both teabags AfterWet'!$A$3:$A$2000,0)),"")</f>
        <v>1.6830000000000001</v>
      </c>
      <c r="Q210" s="194">
        <f t="shared" si="15"/>
        <v>0.46039999999999998</v>
      </c>
      <c r="R210" s="194">
        <f t="shared" si="15"/>
        <v>1.5324</v>
      </c>
      <c r="S210" s="194">
        <f t="shared" si="16"/>
        <v>0.73031865042174315</v>
      </c>
      <c r="T210" s="194">
        <f t="shared" si="17"/>
        <v>0.4787837233168673</v>
      </c>
      <c r="U210" s="194">
        <f t="shared" si="18"/>
        <v>0.77621314963022991</v>
      </c>
      <c r="V210">
        <f>IFERROR(IF((N210-G210)&gt;0,(IFERROR(N210-G210,"")),""),"")</f>
        <v>54</v>
      </c>
      <c r="W210" s="194">
        <f t="shared" si="19"/>
        <v>0.13263818239697955</v>
      </c>
      <c r="X210" s="194">
        <f t="shared" si="20"/>
        <v>1.1666624004294877E-2</v>
      </c>
      <c r="Y210" s="252" t="str">
        <f>IF(ISNUMBER(SEARCH("C",'WetLitterbags placem_collection'!$X137)),"YES","NO")</f>
        <v>NO</v>
      </c>
      <c r="Z210" s="252" t="str">
        <f>IF(ISNUMBER(SEARCH("H", 'WetLitterbags placem_collection'!$X137)),"YES","NO")</f>
        <v>NO</v>
      </c>
      <c r="AA210" s="252" t="str">
        <f>IF(ISNUMBER(SEARCH("R", 'WetLitterbags placem_collection'!$X137)),"YES","NO")</f>
        <v>NO</v>
      </c>
      <c r="AB210" s="252" t="str">
        <f>IF(ISNUMBER(SEARCH("C", 'WetLitterbags placem_collection'!$V137)),"YES","NO")</f>
        <v>NO</v>
      </c>
      <c r="AC210" s="252" t="str">
        <f>IF(ISNUMBER(SEARCH("H", 'WetLitterbags placem_collection'!$V137)),"YES","NO")</f>
        <v>NO</v>
      </c>
      <c r="AD210" s="252" t="str">
        <f>IF(ISNUMBER(SEARCH("R", 'WetLitterbags placem_collection'!$V137)),"YES","NO")</f>
        <v>YES</v>
      </c>
    </row>
    <row r="211" spans="2:30">
      <c r="B211" t="str">
        <f>'Final data_for_R_analysis_Wetse'!A137</f>
        <v>Wet</v>
      </c>
      <c r="C211" s="260">
        <f>'Final data_for_R_analysis_Wetse'!B137</f>
        <v>136</v>
      </c>
      <c r="D211" t="s">
        <v>3820</v>
      </c>
      <c r="E211" t="s">
        <v>22</v>
      </c>
      <c r="F211" s="382">
        <v>8</v>
      </c>
      <c r="G211" s="16">
        <f>'WetLitterbags placem_collection'!E138</f>
        <v>42762</v>
      </c>
      <c r="H211" t="str">
        <f>'Final data_for_R_analysis_Wetse'!K137</f>
        <v>G832</v>
      </c>
      <c r="I211" t="str">
        <f>'Final data_for_R_analysis_Wetse'!K357</f>
        <v>R474</v>
      </c>
      <c r="J211">
        <f>IFERROR(INDEX('Green_rooibos initial weight'!$C$5:$C$2000,MATCH(H211, 'Green_rooibos initial weight'!$A$5:$A$2000,0)),"")</f>
        <v>2.0470000000000002</v>
      </c>
      <c r="K211">
        <f>IFERROR(INDEX('Green_rooibos initial weight'!$C$5:$C$2000,MATCH(I211, 'Green_rooibos initial weight'!$A$5:$A$2000,0)),"")</f>
        <v>2.258</v>
      </c>
      <c r="L211" s="194">
        <f t="shared" si="14"/>
        <v>1.7972000000000001</v>
      </c>
      <c r="M211" s="194">
        <f>IF(K211&gt;0,(K211*$F$32-($F$29+$F$30)),"")</f>
        <v>2.0082</v>
      </c>
      <c r="N211" s="16">
        <f>IF('WetLitterbags placem_collection'!G138="","",'WetLitterbags placem_collection'!G138)</f>
        <v>42816</v>
      </c>
      <c r="O211" s="194">
        <f>IFERROR(INDEX('Both teabags AfterWet'!$C$3:$C$2000,MATCH(H211,'Both teabags AfterWet'!$A$3:$A$2000,0)),"")</f>
        <v>0.5796</v>
      </c>
      <c r="P211" s="194">
        <f>IFERROR(INDEX('Both teabags AfterWet'!$C$3:$C$2000,MATCH(I211,'Both teabags AfterWet'!$A$3:$A$2000,0)),"")</f>
        <v>1.5827</v>
      </c>
      <c r="Q211" s="194">
        <f t="shared" si="15"/>
        <v>0.42899999999999999</v>
      </c>
      <c r="R211" s="194">
        <f t="shared" si="15"/>
        <v>1.4320999999999999</v>
      </c>
      <c r="S211" s="194">
        <f t="shared" si="16"/>
        <v>0.76129534831960832</v>
      </c>
      <c r="T211" s="194">
        <f t="shared" si="17"/>
        <v>0.49909148725941072</v>
      </c>
      <c r="U211" s="194">
        <f t="shared" si="18"/>
        <v>0.71312618265113037</v>
      </c>
      <c r="V211">
        <f>IFERROR(IF((N211-G211)&gt;0,(IFERROR(N211-G211,"")),""),"")</f>
        <v>54</v>
      </c>
      <c r="W211" s="194">
        <f t="shared" si="19"/>
        <v>9.5848754964835692E-2</v>
      </c>
      <c r="X211" s="194">
        <f t="shared" si="20"/>
        <v>1.5836609765865289E-2</v>
      </c>
      <c r="Y211" s="252" t="str">
        <f>IF(ISNUMBER(SEARCH("C",'WetLitterbags placem_collection'!$X138)),"YES","NO")</f>
        <v>NO</v>
      </c>
      <c r="Z211" s="252" t="str">
        <f>IF(ISNUMBER(SEARCH("H", 'WetLitterbags placem_collection'!$X138)),"YES","NO")</f>
        <v>NO</v>
      </c>
      <c r="AA211" s="252" t="str">
        <f>IF(ISNUMBER(SEARCH("R", 'WetLitterbags placem_collection'!$X138)),"YES","NO")</f>
        <v>YES</v>
      </c>
      <c r="AB211" s="252" t="str">
        <f>IF(ISNUMBER(SEARCH("C", 'WetLitterbags placem_collection'!$V138)),"YES","NO")</f>
        <v>NO</v>
      </c>
      <c r="AC211" s="252" t="str">
        <f>IF(ISNUMBER(SEARCH("H", 'WetLitterbags placem_collection'!$V138)),"YES","NO")</f>
        <v>NO</v>
      </c>
      <c r="AD211" s="252" t="str">
        <f>IF(ISNUMBER(SEARCH("R", 'WetLitterbags placem_collection'!$V138)),"YES","NO")</f>
        <v>YES</v>
      </c>
    </row>
    <row r="212" spans="2:30">
      <c r="B212" t="str">
        <f>'Final data_for_R_analysis_Wetse'!A138</f>
        <v>Wet</v>
      </c>
      <c r="C212" s="260">
        <f>'Final data_for_R_analysis_Wetse'!B138</f>
        <v>137</v>
      </c>
      <c r="D212" t="s">
        <v>3822</v>
      </c>
      <c r="E212" t="s">
        <v>22</v>
      </c>
      <c r="F212" s="381">
        <v>1</v>
      </c>
      <c r="G212" s="16">
        <f>'WetLitterbags placem_collection'!E139</f>
        <v>42762</v>
      </c>
      <c r="H212" t="str">
        <f>'Final data_for_R_analysis_Wetse'!K138</f>
        <v>G805</v>
      </c>
      <c r="I212" t="str">
        <f>'Final data_for_R_analysis_Wetse'!K358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14"/>
        <v>1.7312000000000001</v>
      </c>
      <c r="M212" s="194">
        <f>IF(K212&gt;0,(K212*$F$32-($F$29+$F$30)),"")</f>
        <v>1.8851999999999998</v>
      </c>
      <c r="N212" s="16">
        <f>IF('WetLitterbags placem_collection'!G139="","",'WetLitterbags placem_collection'!G139)</f>
        <v>42816</v>
      </c>
      <c r="O212" s="194">
        <f>IFERROR(INDEX('Both teabags AfterWet'!$C$3:$C$2000,MATCH(H212,'Both teabags AfterWet'!$A$3:$A$2000,0)),"")</f>
        <v>1.5740000000000001</v>
      </c>
      <c r="P212" s="194">
        <f>IFERROR(INDEX('Both teabags AfterWet'!$C$3:$C$2000,MATCH(I212,'Both teabags AfterWet'!$A$3:$A$2000,0)),"")</f>
        <v>1.571</v>
      </c>
      <c r="Q212" s="194">
        <f t="shared" si="15"/>
        <v>1.4234</v>
      </c>
      <c r="R212" s="194">
        <f t="shared" si="15"/>
        <v>1.4203999999999999</v>
      </c>
      <c r="S212" s="194">
        <f t="shared" si="16"/>
        <v>0.17779574861367842</v>
      </c>
      <c r="T212" s="194">
        <f t="shared" si="17"/>
        <v>0.11655968317666331</v>
      </c>
      <c r="U212" s="194">
        <f t="shared" si="18"/>
        <v>0.75344791003607048</v>
      </c>
      <c r="V212">
        <f>IFERROR(IF((N212-G212)&gt;0,(IFERROR(N212-G212,"")),""),"")</f>
        <v>54</v>
      </c>
      <c r="W212" s="194">
        <f t="shared" si="19"/>
        <v>0.78884115366546503</v>
      </c>
      <c r="X212" s="194" t="str">
        <f t="shared" si="20"/>
        <v/>
      </c>
      <c r="Y212" s="252" t="str">
        <f>IF(ISNUMBER(SEARCH("C",'WetLitterbags placem_collection'!$X139)),"YES","NO")</f>
        <v>NO</v>
      </c>
      <c r="Z212" s="252" t="str">
        <f>IF(ISNUMBER(SEARCH("H", 'WetLitterbags placem_collection'!$X139)),"YES","NO")</f>
        <v>NO</v>
      </c>
      <c r="AA212" s="252" t="str">
        <f>IF(ISNUMBER(SEARCH("R", 'WetLitterbags placem_collection'!$X139)),"YES","NO")</f>
        <v>NO</v>
      </c>
      <c r="AB212" s="252" t="str">
        <f>IF(ISNUMBER(SEARCH("C", 'WetLitterbags placem_collection'!$V139)),"YES","NO")</f>
        <v>NO</v>
      </c>
      <c r="AC212" s="252" t="str">
        <f>IF(ISNUMBER(SEARCH("H", 'WetLitterbags placem_collection'!$V139)),"YES","NO")</f>
        <v>NO</v>
      </c>
      <c r="AD212" s="252" t="str">
        <f>IF(ISNUMBER(SEARCH("R", 'WetLitterbags placem_collection'!$V139)),"YES","NO")</f>
        <v>YES</v>
      </c>
    </row>
    <row r="213" spans="2:30">
      <c r="B213" t="str">
        <f>'Final data_for_R_analysis_Wetse'!A139</f>
        <v>Wet</v>
      </c>
      <c r="C213" s="260">
        <f>'Final data_for_R_analysis_Wetse'!B139</f>
        <v>138</v>
      </c>
      <c r="D213" t="s">
        <v>3822</v>
      </c>
      <c r="E213" t="s">
        <v>22</v>
      </c>
      <c r="F213" s="381">
        <v>2</v>
      </c>
      <c r="G213" s="16">
        <f>'WetLitterbags placem_collection'!E140</f>
        <v>42762</v>
      </c>
      <c r="H213" t="str">
        <f>'Final data_for_R_analysis_Wetse'!K139</f>
        <v>G815</v>
      </c>
      <c r="I213" t="str">
        <f>'Final data_for_R_analysis_Wetse'!K359</f>
        <v>R426</v>
      </c>
      <c r="J213">
        <f>IFERROR(INDEX('Green_rooibos initial weight'!$C$5:$C$2000,MATCH(H213, 'Green_rooibos initial weight'!$A$5:$A$2000,0)),"")</f>
        <v>1.998</v>
      </c>
      <c r="K213">
        <f>IFERROR(INDEX('Green_rooibos initial weight'!$C$5:$C$2000,MATCH(I213, 'Green_rooibos initial weight'!$A$5:$A$2000,0)),"")</f>
        <v>2.153</v>
      </c>
      <c r="L213" s="194">
        <f t="shared" si="14"/>
        <v>1.7482</v>
      </c>
      <c r="M213" s="194">
        <f>IF(K213&gt;0,(K213*$F$32-($F$29+$F$30)),"")</f>
        <v>1.9032</v>
      </c>
      <c r="N213" s="16">
        <f>IF('WetLitterbags placem_collection'!G140="","",'WetLitterbags placem_collection'!G140)</f>
        <v>42816</v>
      </c>
      <c r="O213" s="194">
        <f>IFERROR(INDEX('Both teabags AfterWet'!$C$3:$C$2000,MATCH(H213,'Both teabags AfterWet'!$A$3:$A$2000,0)),"")</f>
        <v>0.64300000000000002</v>
      </c>
      <c r="P213" s="194">
        <f>IFERROR(INDEX('Both teabags AfterWet'!$C$3:$C$2000,MATCH(I213,'Both teabags AfterWet'!$A$3:$A$2000,0)),"")</f>
        <v>1.613</v>
      </c>
      <c r="Q213" s="194">
        <f t="shared" si="15"/>
        <v>0.4924</v>
      </c>
      <c r="R213" s="194">
        <f t="shared" si="15"/>
        <v>1.4623999999999999</v>
      </c>
      <c r="S213" s="194">
        <f t="shared" si="16"/>
        <v>0.71833886283033976</v>
      </c>
      <c r="T213" s="194">
        <f t="shared" si="17"/>
        <v>0.47092999083414205</v>
      </c>
      <c r="U213" s="194">
        <f t="shared" si="18"/>
        <v>0.76839007986548968</v>
      </c>
      <c r="V213">
        <f>IFERROR(IF((N213-G213)&gt;0,(IFERROR(N213-G213,"")),""),"")</f>
        <v>54</v>
      </c>
      <c r="W213" s="194">
        <f t="shared" si="19"/>
        <v>0.1468659586338007</v>
      </c>
      <c r="X213" s="194">
        <f t="shared" si="20"/>
        <v>1.2535325548331875E-2</v>
      </c>
      <c r="Y213" s="252" t="str">
        <f>IF(ISNUMBER(SEARCH("C",'WetLitterbags placem_collection'!$X140)),"YES","NO")</f>
        <v>NO</v>
      </c>
      <c r="Z213" s="252" t="str">
        <f>IF(ISNUMBER(SEARCH("H", 'WetLitterbags placem_collection'!$X140)),"YES","NO")</f>
        <v>NO</v>
      </c>
      <c r="AA213" s="252" t="str">
        <f>IF(ISNUMBER(SEARCH("R", 'WetLitterbags placem_collection'!$X140)),"YES","NO")</f>
        <v>YES</v>
      </c>
      <c r="AB213" s="252" t="str">
        <f>IF(ISNUMBER(SEARCH("C", 'WetLitterbags placem_collection'!$V140)),"YES","NO")</f>
        <v>NO</v>
      </c>
      <c r="AC213" s="252" t="str">
        <f>IF(ISNUMBER(SEARCH("H", 'WetLitterbags placem_collection'!$V140)),"YES","NO")</f>
        <v>NO</v>
      </c>
      <c r="AD213" s="252" t="str">
        <f>IF(ISNUMBER(SEARCH("R", 'WetLitterbags placem_collection'!$V140)),"YES","NO")</f>
        <v>YES</v>
      </c>
    </row>
    <row r="214" spans="2:30">
      <c r="B214" t="str">
        <f>'Final data_for_R_analysis_Wetse'!A140</f>
        <v>Wet</v>
      </c>
      <c r="C214" s="260">
        <f>'Final data_for_R_analysis_Wetse'!B140</f>
        <v>139</v>
      </c>
      <c r="D214" t="s">
        <v>3822</v>
      </c>
      <c r="E214" t="s">
        <v>22</v>
      </c>
      <c r="F214" s="381">
        <v>3</v>
      </c>
      <c r="G214" s="16">
        <f>'WetLitterbags placem_collection'!E141</f>
        <v>42762</v>
      </c>
      <c r="H214" t="str">
        <f>'Final data_for_R_analysis_Wetse'!K140</f>
        <v>G798</v>
      </c>
      <c r="I214" t="str">
        <f>'Final data_for_R_analysis_Wetse'!K360</f>
        <v>R563</v>
      </c>
      <c r="J214">
        <f>IFERROR(INDEX('Green_rooibos initial weight'!$C$5:$C$2000,MATCH(H214, 'Green_rooibos initial weight'!$A$5:$A$2000,0)),"")</f>
        <v>2.089</v>
      </c>
      <c r="K214">
        <f>IFERROR(INDEX('Green_rooibos initial weight'!$C$5:$C$2000,MATCH(I214, 'Green_rooibos initial weight'!$A$5:$A$2000,0)),"")</f>
        <v>2.1150000000000002</v>
      </c>
      <c r="L214" s="194">
        <f t="shared" si="14"/>
        <v>1.8391999999999999</v>
      </c>
      <c r="M214" s="194">
        <f>IF(K214&gt;0,(K214*$F$32-($F$29+$F$30)),"")</f>
        <v>1.8652000000000002</v>
      </c>
      <c r="N214" s="16">
        <f>IF('WetLitterbags placem_collection'!G141="","",'WetLitterbags placem_collection'!G141)</f>
        <v>42816</v>
      </c>
      <c r="O214" s="194">
        <f>IFERROR(INDEX('Both teabags AfterWet'!$C$3:$C$2000,MATCH(H214,'Both teabags AfterWet'!$A$3:$A$2000,0)),"")</f>
        <v>0.73499999999999999</v>
      </c>
      <c r="P214" s="194">
        <f>IFERROR(INDEX('Both teabags AfterWet'!$C$3:$C$2000,MATCH(I214,'Both teabags AfterWet'!$A$3:$A$2000,0)),"")</f>
        <v>2.5009999999999999</v>
      </c>
      <c r="Q214" s="194">
        <f t="shared" si="15"/>
        <v>0.58440000000000003</v>
      </c>
      <c r="R214" s="194">
        <f t="shared" si="15"/>
        <v>2.3504</v>
      </c>
      <c r="S214" s="194">
        <f t="shared" si="16"/>
        <v>0.68225315354501959</v>
      </c>
      <c r="T214" s="194">
        <f t="shared" si="17"/>
        <v>0.4472728512551673</v>
      </c>
      <c r="U214" s="194">
        <f t="shared" si="18"/>
        <v>1.2601329616126955</v>
      </c>
      <c r="V214">
        <f>IFERROR(IF((N214-G214)&gt;0,(IFERROR(N214-G214,"")),""),"")</f>
        <v>54</v>
      </c>
      <c r="W214" s="194">
        <f t="shared" si="19"/>
        <v>0.18972309555223321</v>
      </c>
      <c r="X214" s="194">
        <f t="shared" si="20"/>
        <v>-8.4895496311529327E-3</v>
      </c>
      <c r="Y214" s="252" t="str">
        <f>IF(ISNUMBER(SEARCH("C",'WetLitterbags placem_collection'!$X141)),"YES","NO")</f>
        <v>NO</v>
      </c>
      <c r="Z214" s="252" t="str">
        <f>IF(ISNUMBER(SEARCH("H", 'WetLitterbags placem_collection'!$X141)),"YES","NO")</f>
        <v>NO</v>
      </c>
      <c r="AA214" s="252" t="str">
        <f>IF(ISNUMBER(SEARCH("R", 'WetLitterbags placem_collection'!$X141)),"YES","NO")</f>
        <v>YES</v>
      </c>
      <c r="AB214" s="252" t="str">
        <f>IF(ISNUMBER(SEARCH("C", 'WetLitterbags placem_collection'!$V141)),"YES","NO")</f>
        <v>NO</v>
      </c>
      <c r="AC214" s="252" t="str">
        <f>IF(ISNUMBER(SEARCH("H", 'WetLitterbags placem_collection'!$V141)),"YES","NO")</f>
        <v>NO</v>
      </c>
      <c r="AD214" s="252" t="str">
        <f>IF(ISNUMBER(SEARCH("R", 'WetLitterbags placem_collection'!$V141)),"YES","NO")</f>
        <v>NO</v>
      </c>
    </row>
    <row r="215" spans="2:30">
      <c r="B215" t="str">
        <f>'Final data_for_R_analysis_Wetse'!A141</f>
        <v>Wet</v>
      </c>
      <c r="C215" s="260">
        <f>'Final data_for_R_analysis_Wetse'!B141</f>
        <v>140</v>
      </c>
      <c r="D215" t="s">
        <v>3822</v>
      </c>
      <c r="E215" t="s">
        <v>22</v>
      </c>
      <c r="F215" s="382">
        <v>4</v>
      </c>
      <c r="G215" s="16">
        <f>'WetLitterbags placem_collection'!E142</f>
        <v>42762</v>
      </c>
      <c r="H215" t="str">
        <f>'Final data_for_R_analysis_Wetse'!K141</f>
        <v>G787</v>
      </c>
      <c r="I215" t="str">
        <f>'Final data_for_R_analysis_Wetse'!K361</f>
        <v>R535</v>
      </c>
      <c r="J215">
        <f>IFERROR(INDEX('Green_rooibos initial weight'!$C$5:$C$2000,MATCH(H215, 'Green_rooibos initial weight'!$A$5:$A$2000,0)),"")</f>
        <v>2.11</v>
      </c>
      <c r="K215">
        <f>IFERROR(INDEX('Green_rooibos initial weight'!$C$5:$C$2000,MATCH(I215, 'Green_rooibos initial weight'!$A$5:$A$2000,0)),"")</f>
        <v>2.1259999999999999</v>
      </c>
      <c r="L215" s="194">
        <f t="shared" si="14"/>
        <v>1.8601999999999999</v>
      </c>
      <c r="M215" s="194">
        <f>IF(K215&gt;0,(K215*$F$32-($F$29+$F$30)),"")</f>
        <v>1.8761999999999999</v>
      </c>
      <c r="N215" s="16">
        <f>IF('WetLitterbags placem_collection'!G142="","",'WetLitterbags placem_collection'!G142)</f>
        <v>42816</v>
      </c>
      <c r="O215" s="194">
        <f>IFERROR(INDEX('Both teabags AfterWet'!$C$3:$C$2000,MATCH(H215,'Both teabags AfterWet'!$A$3:$A$2000,0)),"")</f>
        <v>0.67869999999999997</v>
      </c>
      <c r="P215" s="194">
        <f>IFERROR(INDEX('Both teabags AfterWet'!$C$3:$C$2000,MATCH(I215,'Both teabags AfterWet'!$A$3:$A$2000,0)),"")</f>
        <v>1.5517000000000001</v>
      </c>
      <c r="Q215" s="194">
        <f t="shared" si="15"/>
        <v>0.52810000000000001</v>
      </c>
      <c r="R215" s="194">
        <f t="shared" si="15"/>
        <v>1.4011</v>
      </c>
      <c r="S215" s="194">
        <f t="shared" si="16"/>
        <v>0.7161057950757983</v>
      </c>
      <c r="T215" s="194">
        <f t="shared" si="17"/>
        <v>0.46946603192617659</v>
      </c>
      <c r="U215" s="194">
        <f t="shared" si="18"/>
        <v>0.74677539707920271</v>
      </c>
      <c r="V215">
        <f>IFERROR(IF((N215-G215)&gt;0,(IFERROR(N215-G215,"")),""),"")</f>
        <v>54</v>
      </c>
      <c r="W215" s="194">
        <f t="shared" si="19"/>
        <v>0.1495180581047526</v>
      </c>
      <c r="X215" s="194">
        <f t="shared" si="20"/>
        <v>1.4355563633271241E-2</v>
      </c>
      <c r="Y215" s="252" t="str">
        <f>IF(ISNUMBER(SEARCH("C",'WetLitterbags placem_collection'!$X142)),"YES","NO")</f>
        <v>NO</v>
      </c>
      <c r="Z215" s="252" t="str">
        <f>IF(ISNUMBER(SEARCH("H", 'WetLitterbags placem_collection'!$X142)),"YES","NO")</f>
        <v>NO</v>
      </c>
      <c r="AA215" s="252" t="str">
        <f>IF(ISNUMBER(SEARCH("R", 'WetLitterbags placem_collection'!$X142)),"YES","NO")</f>
        <v>NO</v>
      </c>
      <c r="AB215" s="252" t="str">
        <f>IF(ISNUMBER(SEARCH("C", 'WetLitterbags placem_collection'!$V142)),"YES","NO")</f>
        <v>NO</v>
      </c>
      <c r="AC215" s="252" t="str">
        <f>IF(ISNUMBER(SEARCH("H", 'WetLitterbags placem_collection'!$V142)),"YES","NO")</f>
        <v>NO</v>
      </c>
      <c r="AD215" s="252" t="str">
        <f>IF(ISNUMBER(SEARCH("R", 'WetLitterbags placem_collection'!$V142)),"YES","NO")</f>
        <v>NO</v>
      </c>
    </row>
    <row r="216" spans="2:30">
      <c r="B216" t="str">
        <f>'Final data_for_R_analysis_Wetse'!A142</f>
        <v>Wet</v>
      </c>
      <c r="C216" s="260">
        <f>'Final data_for_R_analysis_Wetse'!B142</f>
        <v>141</v>
      </c>
      <c r="D216" t="s">
        <v>3822</v>
      </c>
      <c r="E216" t="s">
        <v>22</v>
      </c>
      <c r="F216" s="382">
        <v>5</v>
      </c>
      <c r="G216" s="16">
        <f>'WetLitterbags placem_collection'!E143</f>
        <v>42762</v>
      </c>
      <c r="H216" t="str">
        <f>'Final data_for_R_analysis_Wetse'!K142</f>
        <v>G900</v>
      </c>
      <c r="I216" t="str">
        <f>'Final data_for_R_analysis_Wetse'!K362</f>
        <v>R581</v>
      </c>
      <c r="J216">
        <f>IFERROR(INDEX('Green_rooibos initial weight'!$C$5:$C$2000,MATCH(H216, 'Green_rooibos initial weight'!$A$5:$A$2000,0)),"")</f>
        <v>2.0910000000000002</v>
      </c>
      <c r="K216">
        <f>IFERROR(INDEX('Green_rooibos initial weight'!$C$5:$C$2000,MATCH(I216, 'Green_rooibos initial weight'!$A$5:$A$2000,0)),"")</f>
        <v>2.069</v>
      </c>
      <c r="L216" s="194">
        <f t="shared" si="14"/>
        <v>1.8412000000000002</v>
      </c>
      <c r="M216" s="194">
        <f>IF(K216&gt;0,(K216*$F$32-($F$29+$F$30)),"")</f>
        <v>1.8191999999999999</v>
      </c>
      <c r="N216" s="16">
        <f>IF('WetLitterbags placem_collection'!G143="","",'WetLitterbags placem_collection'!G143)</f>
        <v>42816</v>
      </c>
      <c r="O216" s="194">
        <f>IFERROR(INDEX('Both teabags AfterWet'!$C$3:$C$2000,MATCH(H216,'Both teabags AfterWet'!$A$3:$A$2000,0)),"")</f>
        <v>1.5369999999999999</v>
      </c>
      <c r="P216" s="194">
        <f>IFERROR(INDEX('Both teabags AfterWet'!$C$3:$C$2000,MATCH(I216,'Both teabags AfterWet'!$A$3:$A$2000,0)),"")</f>
        <v>1.2849999999999999</v>
      </c>
      <c r="Q216" s="194">
        <f t="shared" si="15"/>
        <v>1.3863999999999999</v>
      </c>
      <c r="R216" s="194">
        <f t="shared" si="15"/>
        <v>1.1343999999999999</v>
      </c>
      <c r="S216" s="194">
        <f t="shared" si="16"/>
        <v>0.24701281772756911</v>
      </c>
      <c r="T216" s="194">
        <f t="shared" si="17"/>
        <v>0.16193714416344199</v>
      </c>
      <c r="U216" s="194">
        <f t="shared" si="18"/>
        <v>0.6235708003518029</v>
      </c>
      <c r="V216">
        <f>IFERROR(IF((N216-G216)&gt;0,(IFERROR(N216-G216,"")),""),"")</f>
        <v>54</v>
      </c>
      <c r="W216" s="194">
        <f t="shared" si="19"/>
        <v>0.70663560839956163</v>
      </c>
      <c r="X216" s="194" t="str">
        <f t="shared" si="20"/>
        <v/>
      </c>
      <c r="Y216" s="252" t="str">
        <f>IF(ISNUMBER(SEARCH("C",'WetLitterbags placem_collection'!$X143)),"YES","NO")</f>
        <v>NO</v>
      </c>
      <c r="Z216" s="252" t="str">
        <f>IF(ISNUMBER(SEARCH("H", 'WetLitterbags placem_collection'!$X143)),"YES","NO")</f>
        <v>NO</v>
      </c>
      <c r="AA216" s="252" t="str">
        <f>IF(ISNUMBER(SEARCH("R", 'WetLitterbags placem_collection'!$X143)),"YES","NO")</f>
        <v>NO</v>
      </c>
      <c r="AB216" s="252" t="str">
        <f>IF(ISNUMBER(SEARCH("C", 'WetLitterbags placem_collection'!$V143)),"YES","NO")</f>
        <v>NO</v>
      </c>
      <c r="AC216" s="252" t="str">
        <f>IF(ISNUMBER(SEARCH("H", 'WetLitterbags placem_collection'!$V143)),"YES","NO")</f>
        <v>YES</v>
      </c>
      <c r="AD216" s="252" t="str">
        <f>IF(ISNUMBER(SEARCH("R", 'WetLitterbags placem_collection'!$V143)),"YES","NO")</f>
        <v>YES</v>
      </c>
    </row>
    <row r="217" spans="2:30">
      <c r="B217" t="str">
        <f>'Final data_for_R_analysis_Wetse'!A143</f>
        <v>Wet</v>
      </c>
      <c r="C217" s="260">
        <f>'Final data_for_R_analysis_Wetse'!B143</f>
        <v>142</v>
      </c>
      <c r="D217" t="s">
        <v>3822</v>
      </c>
      <c r="E217" t="s">
        <v>22</v>
      </c>
      <c r="F217" s="382">
        <v>6</v>
      </c>
      <c r="G217" s="16">
        <f>'WetLitterbags placem_collection'!E144</f>
        <v>42762</v>
      </c>
      <c r="H217" t="str">
        <f>'Final data_for_R_analysis_Wetse'!K143</f>
        <v>G817</v>
      </c>
      <c r="I217" t="str">
        <f>'Final data_for_R_analysis_Wetse'!K363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14"/>
        <v>1.7272000000000001</v>
      </c>
      <c r="M217" s="194">
        <f>IF(K217&gt;0,(K217*$F$32-($F$29+$F$30)),"")</f>
        <v>1.9161999999999999</v>
      </c>
      <c r="N217" s="16">
        <f>IF('WetLitterbags placem_collection'!G144="","",'WetLitterbags placem_collection'!G144)</f>
        <v>42816</v>
      </c>
      <c r="O217" s="194">
        <f>IFERROR(INDEX('Both teabags AfterWet'!$C$3:$C$2000,MATCH(H217,'Both teabags AfterWet'!$A$3:$A$2000,0)),"")</f>
        <v>0.99069999999999991</v>
      </c>
      <c r="P217" s="194">
        <f>IFERROR(INDEX('Both teabags AfterWet'!$C$3:$C$2000,MATCH(I217,'Both teabags AfterWet'!$A$3:$A$2000,0)),"")</f>
        <v>0.14299999999999999</v>
      </c>
      <c r="Q217" s="194">
        <f t="shared" si="15"/>
        <v>0.84009999999999985</v>
      </c>
      <c r="R217" s="194">
        <f t="shared" si="15"/>
        <v>-7.6000000000000234E-3</v>
      </c>
      <c r="S217" s="194">
        <f t="shared" si="16"/>
        <v>0.5136058360352016</v>
      </c>
      <c r="T217" s="194">
        <f t="shared" si="17"/>
        <v>0.33671071436036976</v>
      </c>
      <c r="U217" s="194">
        <f t="shared" si="18"/>
        <v>-3.966183070660695E-3</v>
      </c>
      <c r="V217">
        <f>IFERROR(IF((N217-G217)&gt;0,(IFERROR(N217-G217,"")),""),"")</f>
        <v>54</v>
      </c>
      <c r="W217" s="194">
        <f t="shared" si="19"/>
        <v>0.39001682181092445</v>
      </c>
      <c r="X217" s="194" t="str">
        <f t="shared" si="20"/>
        <v/>
      </c>
      <c r="Y217" s="252" t="str">
        <f>IF(ISNUMBER(SEARCH("C",'WetLitterbags placem_collection'!$X144)),"YES","NO")</f>
        <v>NO</v>
      </c>
      <c r="Z217" s="252" t="str">
        <f>IF(ISNUMBER(SEARCH("H", 'WetLitterbags placem_collection'!$X144)),"YES","NO")</f>
        <v>NO</v>
      </c>
      <c r="AA217" s="252" t="str">
        <f>IF(ISNUMBER(SEARCH("R", 'WetLitterbags placem_collection'!$X144)),"YES","NO")</f>
        <v>NO</v>
      </c>
      <c r="AB217" s="252" t="str">
        <f>IF(ISNUMBER(SEARCH("C", 'WetLitterbags placem_collection'!$V144)),"YES","NO")</f>
        <v>NO</v>
      </c>
      <c r="AC217" s="252" t="str">
        <f>IF(ISNUMBER(SEARCH("H", 'WetLitterbags placem_collection'!$V144)),"YES","NO")</f>
        <v>YES</v>
      </c>
      <c r="AD217" s="252" t="str">
        <f>IF(ISNUMBER(SEARCH("R", 'WetLitterbags placem_collection'!$V144)),"YES","NO")</f>
        <v>NO</v>
      </c>
    </row>
    <row r="218" spans="2:30">
      <c r="B218" t="str">
        <f>'Final data_for_R_analysis_Wetse'!A144</f>
        <v>Wet</v>
      </c>
      <c r="C218" s="260">
        <f>'Final data_for_R_analysis_Wetse'!B144</f>
        <v>143</v>
      </c>
      <c r="D218" t="s">
        <v>3822</v>
      </c>
      <c r="E218" t="s">
        <v>22</v>
      </c>
      <c r="F218" s="382">
        <v>7</v>
      </c>
      <c r="G218" s="16">
        <f>'WetLitterbags placem_collection'!E145</f>
        <v>42762</v>
      </c>
      <c r="H218" t="str">
        <f>'Final data_for_R_analysis_Wetse'!K144</f>
        <v>G836</v>
      </c>
      <c r="I218" t="str">
        <f>'Final data_for_R_analysis_Wetse'!K364</f>
        <v>R456</v>
      </c>
      <c r="J218">
        <f>IFERROR(INDEX('Green_rooibos initial weight'!$C$5:$C$2000,MATCH(H218, 'Green_rooibos initial weight'!$A$5:$A$2000,0)),"")</f>
        <v>2.0419999999999998</v>
      </c>
      <c r="K218">
        <f>IFERROR(INDEX('Green_rooibos initial weight'!$C$5:$C$2000,MATCH(I218, 'Green_rooibos initial weight'!$A$5:$A$2000,0)),"")</f>
        <v>2.23</v>
      </c>
      <c r="L218" s="194">
        <f t="shared" si="14"/>
        <v>1.7921999999999998</v>
      </c>
      <c r="M218" s="194">
        <f>IF(K218&gt;0,(K218*$F$32-($F$29+$F$30)),"")</f>
        <v>1.9802</v>
      </c>
      <c r="N218" s="16">
        <f>IF('WetLitterbags placem_collection'!G145="","",'WetLitterbags placem_collection'!G145)</f>
        <v>42816</v>
      </c>
      <c r="O218" s="194">
        <f>IFERROR(INDEX('Both teabags AfterWet'!$C$3:$C$2000,MATCH(H218,'Both teabags AfterWet'!$A$3:$A$2000,0)),"")</f>
        <v>0.60970000000000002</v>
      </c>
      <c r="P218" s="194">
        <f>IFERROR(INDEX('Both teabags AfterWet'!$C$3:$C$2000,MATCH(I218,'Both teabags AfterWet'!$A$3:$A$2000,0)),"")</f>
        <v>1.6178999999999999</v>
      </c>
      <c r="Q218" s="194">
        <f t="shared" si="15"/>
        <v>0.45910000000000001</v>
      </c>
      <c r="R218" s="194">
        <f t="shared" si="15"/>
        <v>1.4672999999999998</v>
      </c>
      <c r="S218" s="194">
        <f t="shared" si="16"/>
        <v>0.74383439348287017</v>
      </c>
      <c r="T218" s="194">
        <f t="shared" si="17"/>
        <v>0.48764440047808122</v>
      </c>
      <c r="U218" s="194">
        <f t="shared" si="18"/>
        <v>0.74098575901424091</v>
      </c>
      <c r="V218">
        <f>IFERROR(IF((N218-G218)&gt;0,(IFERROR(N218-G218,"")),""),"")</f>
        <v>54</v>
      </c>
      <c r="W218" s="194">
        <f t="shared" si="19"/>
        <v>0.11658623101796883</v>
      </c>
      <c r="X218" s="194">
        <f t="shared" si="20"/>
        <v>1.4027421828525486E-2</v>
      </c>
      <c r="Y218" s="252" t="str">
        <f>IF(ISNUMBER(SEARCH("C",'WetLitterbags placem_collection'!$X145)),"YES","NO")</f>
        <v>NO</v>
      </c>
      <c r="Z218" s="252" t="str">
        <f>IF(ISNUMBER(SEARCH("H", 'WetLitterbags placem_collection'!$X145)),"YES","NO")</f>
        <v>NO</v>
      </c>
      <c r="AA218" s="252" t="str">
        <f>IF(ISNUMBER(SEARCH("R", 'WetLitterbags placem_collection'!$X145)),"YES","NO")</f>
        <v>YES</v>
      </c>
      <c r="AB218" s="252" t="str">
        <f>IF(ISNUMBER(SEARCH("C", 'WetLitterbags placem_collection'!$V145)),"YES","NO")</f>
        <v>NO</v>
      </c>
      <c r="AC218" s="252" t="str">
        <f>IF(ISNUMBER(SEARCH("H", 'WetLitterbags placem_collection'!$V145)),"YES","NO")</f>
        <v>NO</v>
      </c>
      <c r="AD218" s="252" t="str">
        <f>IF(ISNUMBER(SEARCH("R", 'WetLitterbags placem_collection'!$V145)),"YES","NO")</f>
        <v>YES</v>
      </c>
    </row>
    <row r="219" spans="2:30">
      <c r="B219" t="str">
        <f>'Final data_for_R_analysis_Wetse'!A145</f>
        <v>Wet</v>
      </c>
      <c r="C219" s="260">
        <f>'Final data_for_R_analysis_Wetse'!B145</f>
        <v>144</v>
      </c>
      <c r="D219" t="s">
        <v>3822</v>
      </c>
      <c r="E219" t="s">
        <v>22</v>
      </c>
      <c r="F219" s="382">
        <v>8</v>
      </c>
      <c r="G219" s="16">
        <f>'WetLitterbags placem_collection'!E146</f>
        <v>42762</v>
      </c>
      <c r="H219" t="str">
        <f>'Final data_for_R_analysis_Wetse'!K145</f>
        <v>G784</v>
      </c>
      <c r="I219" t="str">
        <f>'Final data_for_R_analysis_Wetse'!K365</f>
        <v>R571</v>
      </c>
      <c r="J219">
        <f>IFERROR(INDEX('Green_rooibos initial weight'!$C$5:$C$2000,MATCH(H219, 'Green_rooibos initial weight'!$A$5:$A$2000,0)),"")</f>
        <v>2.1070000000000002</v>
      </c>
      <c r="K219">
        <f>IFERROR(INDEX('Green_rooibos initial weight'!$C$5:$C$2000,MATCH(I219, 'Green_rooibos initial weight'!$A$5:$A$2000,0)),"")</f>
        <v>2.117</v>
      </c>
      <c r="L219" s="194">
        <f t="shared" si="14"/>
        <v>1.8572000000000002</v>
      </c>
      <c r="M219" s="194">
        <f>IF(K219&gt;0,(K219*$F$32-($F$29+$F$30)),"")</f>
        <v>1.8672</v>
      </c>
      <c r="N219" s="16">
        <f>IF('WetLitterbags placem_collection'!G146="","",'WetLitterbags placem_collection'!G146)</f>
        <v>42816</v>
      </c>
      <c r="O219" s="194">
        <f>IFERROR(INDEX('Both teabags AfterWet'!$C$3:$C$2000,MATCH(H219,'Both teabags AfterWet'!$A$3:$A$2000,0)),"")</f>
        <v>0.78500000000000003</v>
      </c>
      <c r="P219" s="194">
        <f>IFERROR(INDEX('Both teabags AfterWet'!$C$3:$C$2000,MATCH(I219,'Both teabags AfterWet'!$A$3:$A$2000,0)),"")</f>
        <v>1.365</v>
      </c>
      <c r="Q219" s="194">
        <f t="shared" si="15"/>
        <v>0.63440000000000007</v>
      </c>
      <c r="R219" s="194">
        <f t="shared" si="15"/>
        <v>1.2143999999999999</v>
      </c>
      <c r="S219" s="194">
        <f t="shared" si="16"/>
        <v>0.65841051044583243</v>
      </c>
      <c r="T219" s="194">
        <f t="shared" si="17"/>
        <v>0.43164204485284985</v>
      </c>
      <c r="U219" s="194">
        <f t="shared" si="18"/>
        <v>0.65038560411311053</v>
      </c>
      <c r="V219">
        <f>IFERROR(IF((N219-G219)&gt;0,(IFERROR(N219-G219,"")),""),"")</f>
        <v>54</v>
      </c>
      <c r="W219" s="194">
        <f t="shared" si="19"/>
        <v>0.21803977381730111</v>
      </c>
      <c r="X219" s="194">
        <f t="shared" si="20"/>
        <v>3.0750745776761141E-2</v>
      </c>
      <c r="Y219" s="252" t="str">
        <f>IF(ISNUMBER(SEARCH("C",'WetLitterbags placem_collection'!$X146)),"YES","NO")</f>
        <v>NO</v>
      </c>
      <c r="Z219" s="252" t="str">
        <f>IF(ISNUMBER(SEARCH("H", 'WetLitterbags placem_collection'!$X146)),"YES","NO")</f>
        <v>NO</v>
      </c>
      <c r="AA219" s="252" t="str">
        <f>IF(ISNUMBER(SEARCH("R", 'WetLitterbags placem_collection'!$X146)),"YES","NO")</f>
        <v>YES</v>
      </c>
      <c r="AB219" s="252" t="str">
        <f>IF(ISNUMBER(SEARCH("C", 'WetLitterbags placem_collection'!$V146)),"YES","NO")</f>
        <v>NO</v>
      </c>
      <c r="AC219" s="252" t="str">
        <f>IF(ISNUMBER(SEARCH("H", 'WetLitterbags placem_collection'!$V146)),"YES","NO")</f>
        <v>NO</v>
      </c>
      <c r="AD219" s="252" t="str">
        <f>IF(ISNUMBER(SEARCH("R", 'WetLitterbags placem_collection'!$V146)),"YES","NO")</f>
        <v>YES</v>
      </c>
    </row>
    <row r="220" spans="2:30">
      <c r="B220" t="str">
        <f>'Final data_for_R_analysis_Wetse'!A146</f>
        <v>Wet</v>
      </c>
      <c r="C220" s="260">
        <f>'Final data_for_R_analysis_Wetse'!B146</f>
        <v>145</v>
      </c>
      <c r="D220" t="s">
        <v>3823</v>
      </c>
      <c r="E220" t="s">
        <v>22</v>
      </c>
      <c r="F220" s="381">
        <v>1</v>
      </c>
      <c r="G220" s="16">
        <f>'WetLitterbags placem_collection'!E147</f>
        <v>42762</v>
      </c>
      <c r="H220" t="str">
        <f>'Final data_for_R_analysis_Wetse'!K146</f>
        <v>G902</v>
      </c>
      <c r="I220" t="str">
        <f>'Final data_for_R_analysis_Wetse'!K366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14"/>
        <v>1.8252000000000002</v>
      </c>
      <c r="M220" s="194">
        <f>IF(K220&gt;0,(K220*$F$32-($F$29+$F$30)),"")</f>
        <v>1.8052000000000001</v>
      </c>
      <c r="N220" s="16">
        <f>IF('WetLitterbags placem_collection'!G147="","",'WetLitterbags placem_collection'!G147)</f>
        <v>42815</v>
      </c>
      <c r="O220" s="194">
        <f>IFERROR(INDEX('Both teabags AfterWet'!$C$3:$C$2000,MATCH(H220,'Both teabags AfterWet'!$A$3:$A$2000,0)),"")</f>
        <v>0.79200000000000004</v>
      </c>
      <c r="P220" s="194">
        <f>IFERROR(INDEX('Both teabags AfterWet'!$C$3:$C$2000,MATCH(I220,'Both teabags AfterWet'!$A$3:$A$2000,0)),"")</f>
        <v>1.6830000000000001</v>
      </c>
      <c r="Q220" s="194">
        <f t="shared" si="15"/>
        <v>0.64139999999999997</v>
      </c>
      <c r="R220" s="194">
        <f t="shared" si="15"/>
        <v>1.5324</v>
      </c>
      <c r="S220" s="194">
        <f t="shared" si="16"/>
        <v>0.64858645627876399</v>
      </c>
      <c r="T220" s="194">
        <f t="shared" si="17"/>
        <v>0.42520157228726574</v>
      </c>
      <c r="U220" s="194">
        <f t="shared" si="18"/>
        <v>0.84888101041435848</v>
      </c>
      <c r="V220">
        <f>IFERROR(IF((N220-G220)&gt;0,(IFERROR(N220-G220,"")),""),"")</f>
        <v>53</v>
      </c>
      <c r="W220" s="194">
        <f t="shared" si="19"/>
        <v>0.22970729658104039</v>
      </c>
      <c r="X220" s="194">
        <f t="shared" si="20"/>
        <v>8.28554502871366E-3</v>
      </c>
      <c r="Y220" s="252" t="str">
        <f>IF(ISNUMBER(SEARCH("C",'WetLitterbags placem_collection'!$X147)),"YES","NO")</f>
        <v>NO</v>
      </c>
      <c r="Z220" s="252" t="str">
        <f>IF(ISNUMBER(SEARCH("H", 'WetLitterbags placem_collection'!$X147)),"YES","NO")</f>
        <v>NO</v>
      </c>
      <c r="AA220" s="252" t="str">
        <f>IF(ISNUMBER(SEARCH("R", 'WetLitterbags placem_collection'!$X147)),"YES","NO")</f>
        <v>NO</v>
      </c>
      <c r="AB220" s="252" t="str">
        <f>IF(ISNUMBER(SEARCH("C", 'WetLitterbags placem_collection'!$V147)),"YES","NO")</f>
        <v>NO</v>
      </c>
      <c r="AC220" s="252" t="str">
        <f>IF(ISNUMBER(SEARCH("H", 'WetLitterbags placem_collection'!$V147)),"YES","NO")</f>
        <v>NO</v>
      </c>
      <c r="AD220" s="252" t="str">
        <f>IF(ISNUMBER(SEARCH("R", 'WetLitterbags placem_collection'!$V147)),"YES","NO")</f>
        <v>YES</v>
      </c>
    </row>
    <row r="221" spans="2:30">
      <c r="B221" t="str">
        <f>'Final data_for_R_analysis_Wetse'!A147</f>
        <v>Wet</v>
      </c>
      <c r="C221" s="260">
        <f>'Final data_for_R_analysis_Wetse'!B147</f>
        <v>146</v>
      </c>
      <c r="D221" t="s">
        <v>3823</v>
      </c>
      <c r="E221" t="s">
        <v>22</v>
      </c>
      <c r="F221" s="381">
        <v>2</v>
      </c>
      <c r="G221" s="16">
        <f>'WetLitterbags placem_collection'!E148</f>
        <v>42762</v>
      </c>
      <c r="H221" t="str">
        <f>'Final data_for_R_analysis_Wetse'!K147</f>
        <v>G689</v>
      </c>
      <c r="I221" t="str">
        <f>'Final data_for_R_analysis_Wetse'!K367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14"/>
        <v>1.7841999999999998</v>
      </c>
      <c r="M221" s="194">
        <f>IF(K221&gt;0,(K221*$F$32-($F$29+$F$30)),"")</f>
        <v>2.0021999999999998</v>
      </c>
      <c r="N221" s="16">
        <f>IF('WetLitterbags placem_collection'!G148="","",'WetLitterbags placem_collection'!G148)</f>
        <v>42815</v>
      </c>
      <c r="O221" s="194">
        <f>IFERROR(INDEX('Both teabags AfterWet'!$C$3:$C$2000,MATCH(H221,'Both teabags AfterWet'!$A$3:$A$2000,0)),"")</f>
        <v>0.52200000000000002</v>
      </c>
      <c r="P221" s="194">
        <f>IFERROR(INDEX('Both teabags AfterWet'!$C$3:$C$2000,MATCH(I221,'Both teabags AfterWet'!$A$3:$A$2000,0)),"")</f>
        <v>1.6579999999999999</v>
      </c>
      <c r="Q221" s="194">
        <f t="shared" si="15"/>
        <v>0.37140000000000001</v>
      </c>
      <c r="R221" s="194">
        <f t="shared" si="15"/>
        <v>1.5073999999999999</v>
      </c>
      <c r="S221" s="194">
        <f t="shared" si="16"/>
        <v>0.79183947987893732</v>
      </c>
      <c r="T221" s="194">
        <f t="shared" si="17"/>
        <v>0.51911566851920832</v>
      </c>
      <c r="U221" s="194">
        <f t="shared" si="18"/>
        <v>0.75287184097492754</v>
      </c>
      <c r="V221">
        <f>IFERROR(IF((N221-G221)&gt;0,(IFERROR(N221-G221,"")),""),"")</f>
        <v>53</v>
      </c>
      <c r="W221" s="194">
        <f t="shared" si="19"/>
        <v>5.9573064276796539E-2</v>
      </c>
      <c r="X221" s="194">
        <f t="shared" si="20"/>
        <v>1.2195671360806844E-2</v>
      </c>
      <c r="Y221" s="252" t="str">
        <f>IF(ISNUMBER(SEARCH("C",'WetLitterbags placem_collection'!$X148)),"YES","NO")</f>
        <v>NO</v>
      </c>
      <c r="Z221" s="252" t="str">
        <f>IF(ISNUMBER(SEARCH("H", 'WetLitterbags placem_collection'!$X148)),"YES","NO")</f>
        <v>NO</v>
      </c>
      <c r="AA221" s="252" t="str">
        <f>IF(ISNUMBER(SEARCH("R", 'WetLitterbags placem_collection'!$X148)),"YES","NO")</f>
        <v>YES</v>
      </c>
      <c r="AB221" s="252" t="str">
        <f>IF(ISNUMBER(SEARCH("C", 'WetLitterbags placem_collection'!$V148)),"YES","NO")</f>
        <v>NO</v>
      </c>
      <c r="AC221" s="252" t="str">
        <f>IF(ISNUMBER(SEARCH("H", 'WetLitterbags placem_collection'!$V148)),"YES","NO")</f>
        <v>YES</v>
      </c>
      <c r="AD221" s="252" t="str">
        <f>IF(ISNUMBER(SEARCH("R", 'WetLitterbags placem_collection'!$V148)),"YES","NO")</f>
        <v>YES</v>
      </c>
    </row>
    <row r="222" spans="2:30">
      <c r="B222" t="str">
        <f>'Final data_for_R_analysis_Wetse'!A148</f>
        <v>Wet</v>
      </c>
      <c r="C222" s="260">
        <f>'Final data_for_R_analysis_Wetse'!B148</f>
        <v>147</v>
      </c>
      <c r="D222" t="s">
        <v>3823</v>
      </c>
      <c r="E222" t="s">
        <v>22</v>
      </c>
      <c r="F222" s="381">
        <v>3</v>
      </c>
      <c r="G222" s="16">
        <f>'WetLitterbags placem_collection'!E149</f>
        <v>42762</v>
      </c>
      <c r="H222" t="str">
        <f>'Final data_for_R_analysis_Wetse'!K148</f>
        <v>G678</v>
      </c>
      <c r="I222" t="str">
        <f>'Final data_for_R_analysis_Wetse'!K368</f>
        <v>R573</v>
      </c>
      <c r="J222">
        <f>IFERROR(INDEX('Green_rooibos initial weight'!$C$5:$C$2000,MATCH(H222, 'Green_rooibos initial weight'!$A$5:$A$2000,0)),"")</f>
        <v>2.012</v>
      </c>
      <c r="K222">
        <f>IFERROR(INDEX('Green_rooibos initial weight'!$C$5:$C$2000,MATCH(I222, 'Green_rooibos initial weight'!$A$5:$A$2000,0)),"")</f>
        <v>2.097</v>
      </c>
      <c r="L222" s="194">
        <f t="shared" si="14"/>
        <v>1.7622</v>
      </c>
      <c r="M222" s="194">
        <f>IF(K222&gt;0,(K222*$F$32-($F$29+$F$30)),"")</f>
        <v>1.8472</v>
      </c>
      <c r="N222" s="16">
        <f>IF('WetLitterbags placem_collection'!G149="","",'WetLitterbags placem_collection'!G149)</f>
        <v>42816</v>
      </c>
      <c r="O222" s="194">
        <f>IFERROR(INDEX('Both teabags AfterWet'!$C$3:$C$2000,MATCH(H222,'Both teabags AfterWet'!$A$3:$A$2000,0)),"")</f>
        <v>0.70199999999999996</v>
      </c>
      <c r="P222" s="194">
        <f>IFERROR(INDEX('Both teabags AfterWet'!$C$3:$C$2000,MATCH(I222,'Both teabags AfterWet'!$A$3:$A$2000,0)),"")</f>
        <v>1.746</v>
      </c>
      <c r="Q222" s="194">
        <f t="shared" si="15"/>
        <v>0.55139999999999989</v>
      </c>
      <c r="R222" s="194">
        <f t="shared" si="15"/>
        <v>1.5953999999999999</v>
      </c>
      <c r="S222" s="194">
        <f t="shared" si="16"/>
        <v>0.68709567585972087</v>
      </c>
      <c r="T222" s="194">
        <f t="shared" si="17"/>
        <v>0.45044752146623035</v>
      </c>
      <c r="U222" s="194">
        <f t="shared" si="18"/>
        <v>0.86368557817236902</v>
      </c>
      <c r="V222">
        <f>IFERROR(IF((N222-G222)&gt;0,(IFERROR(N222-G222,"")),""),"")</f>
        <v>54</v>
      </c>
      <c r="W222" s="194">
        <f t="shared" si="19"/>
        <v>0.18397188140175669</v>
      </c>
      <c r="X222" s="194">
        <f t="shared" si="20"/>
        <v>6.6745333414398762E-3</v>
      </c>
      <c r="Y222" s="252" t="str">
        <f>IF(ISNUMBER(SEARCH("C",'WetLitterbags placem_collection'!$X149)),"YES","NO")</f>
        <v>NO</v>
      </c>
      <c r="Z222" s="252" t="str">
        <f>IF(ISNUMBER(SEARCH("H", 'WetLitterbags placem_collection'!$X149)),"YES","NO")</f>
        <v>NO</v>
      </c>
      <c r="AA222" s="252" t="str">
        <f>IF(ISNUMBER(SEARCH("R", 'WetLitterbags placem_collection'!$X149)),"YES","NO")</f>
        <v>NO</v>
      </c>
      <c r="AB222" s="252" t="str">
        <f>IF(ISNUMBER(SEARCH("C", 'WetLitterbags placem_collection'!$V149)),"YES","NO")</f>
        <v>NO</v>
      </c>
      <c r="AC222" s="252" t="str">
        <f>IF(ISNUMBER(SEARCH("H", 'WetLitterbags placem_collection'!$V149)),"YES","NO")</f>
        <v>NO</v>
      </c>
      <c r="AD222" s="252" t="str">
        <f>IF(ISNUMBER(SEARCH("R", 'WetLitterbags placem_collection'!$V149)),"YES","NO")</f>
        <v>NO</v>
      </c>
    </row>
    <row r="223" spans="2:30">
      <c r="B223" t="str">
        <f>'Final data_for_R_analysis_Wetse'!A149</f>
        <v>Wet</v>
      </c>
      <c r="C223" s="260">
        <f>'Final data_for_R_analysis_Wetse'!B149</f>
        <v>148</v>
      </c>
      <c r="D223" t="s">
        <v>3823</v>
      </c>
      <c r="E223" t="s">
        <v>22</v>
      </c>
      <c r="F223" s="382">
        <v>4</v>
      </c>
      <c r="G223" s="16">
        <f>'WetLitterbags placem_collection'!E150</f>
        <v>42762</v>
      </c>
      <c r="H223" t="str">
        <f>'Final data_for_R_analysis_Wetse'!K149</f>
        <v>G835</v>
      </c>
      <c r="I223" t="str">
        <f>'Final data_for_R_analysis_Wetse'!K369</f>
        <v>R472</v>
      </c>
      <c r="J223">
        <f>IFERROR(INDEX('Green_rooibos initial weight'!$C$5:$C$2000,MATCH(H223, 'Green_rooibos initial weight'!$A$5:$A$2000,0)),"")</f>
        <v>1.819</v>
      </c>
      <c r="K223">
        <f>IFERROR(INDEX('Green_rooibos initial weight'!$C$5:$C$2000,MATCH(I223, 'Green_rooibos initial weight'!$A$5:$A$2000,0)),"")</f>
        <v>2.2679999999999998</v>
      </c>
      <c r="L223" s="194">
        <f t="shared" si="14"/>
        <v>1.5691999999999999</v>
      </c>
      <c r="M223" s="194">
        <f>IF(K223&gt;0,(K223*$F$32-($F$29+$F$30)),"")</f>
        <v>2.0181999999999998</v>
      </c>
      <c r="N223" s="16">
        <f>IF('WetLitterbags placem_collection'!G150="","",'WetLitterbags placem_collection'!G150)</f>
        <v>42816</v>
      </c>
      <c r="O223" s="194">
        <f>IFERROR(INDEX('Both teabags AfterWet'!$C$3:$C$2000,MATCH(H223,'Both teabags AfterWet'!$A$3:$A$2000,0)),"")</f>
        <v>0.24560000000000001</v>
      </c>
      <c r="P223" s="194">
        <f>IFERROR(INDEX('Both teabags AfterWet'!$C$3:$C$2000,MATCH(I223,'Both teabags AfterWet'!$A$3:$A$2000,0)),"")</f>
        <v>0.37559999999999999</v>
      </c>
      <c r="Q223" s="194">
        <f t="shared" si="15"/>
        <v>9.5000000000000001E-2</v>
      </c>
      <c r="R223" s="194">
        <f t="shared" si="15"/>
        <v>0.22499999999999998</v>
      </c>
      <c r="S223" s="194">
        <f t="shared" si="16"/>
        <v>0.93945959724700479</v>
      </c>
      <c r="T223" s="194">
        <f t="shared" si="17"/>
        <v>0.61589275258948539</v>
      </c>
      <c r="U223" s="194">
        <f t="shared" si="18"/>
        <v>0.11148548211277376</v>
      </c>
      <c r="V223">
        <f>IFERROR(IF((N223-G223)&gt;0,(IFERROR(N223-G223,"")),""),"")</f>
        <v>54</v>
      </c>
      <c r="W223" s="194">
        <f t="shared" si="19"/>
        <v>-0.11574774019834311</v>
      </c>
      <c r="X223" s="194" t="str">
        <f t="shared" si="20"/>
        <v/>
      </c>
      <c r="Y223" s="252" t="str">
        <f>IF(ISNUMBER(SEARCH("C",'WetLitterbags placem_collection'!$X150)),"YES","NO")</f>
        <v>NO</v>
      </c>
      <c r="Z223" s="252" t="str">
        <f>IF(ISNUMBER(SEARCH("H", 'WetLitterbags placem_collection'!$X150)),"YES","NO")</f>
        <v>NO</v>
      </c>
      <c r="AA223" s="252" t="str">
        <f>IF(ISNUMBER(SEARCH("R", 'WetLitterbags placem_collection'!$X150)),"YES","NO")</f>
        <v>YES</v>
      </c>
      <c r="AB223" s="252" t="str">
        <f>IF(ISNUMBER(SEARCH("C", 'WetLitterbags placem_collection'!$V150)),"YES","NO")</f>
        <v>NO</v>
      </c>
      <c r="AC223" s="252" t="str">
        <f>IF(ISNUMBER(SEARCH("H", 'WetLitterbags placem_collection'!$V150)),"YES","NO")</f>
        <v>YES</v>
      </c>
      <c r="AD223" s="252" t="str">
        <f>IF(ISNUMBER(SEARCH("R", 'WetLitterbags placem_collection'!$V150)),"YES","NO")</f>
        <v>NO</v>
      </c>
    </row>
    <row r="224" spans="2:30">
      <c r="B224" t="str">
        <f>'Final data_for_R_analysis_Wetse'!A150</f>
        <v>Wet</v>
      </c>
      <c r="C224" s="260">
        <f>'Final data_for_R_analysis_Wetse'!B150</f>
        <v>149</v>
      </c>
      <c r="D224" t="s">
        <v>3823</v>
      </c>
      <c r="E224" t="s">
        <v>22</v>
      </c>
      <c r="F224" s="382">
        <v>5</v>
      </c>
      <c r="G224" s="16">
        <f>'WetLitterbags placem_collection'!E151</f>
        <v>42762</v>
      </c>
      <c r="H224" t="str">
        <f>'Final data_for_R_analysis_Wetse'!K150</f>
        <v>G733</v>
      </c>
      <c r="I224" t="str">
        <f>'Final data_for_R_analysis_Wetse'!K370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14"/>
        <v>1.5782</v>
      </c>
      <c r="M224" s="194">
        <f>IF(K224&gt;0,(K224*$F$32-($F$29+$F$30)),"")</f>
        <v>1.9782000000000002</v>
      </c>
      <c r="N224" s="16">
        <f>IF('WetLitterbags placem_collection'!G151="","",'WetLitterbags placem_collection'!G151)</f>
        <v>42816</v>
      </c>
      <c r="O224" s="194">
        <f>IFERROR(INDEX('Both teabags AfterWet'!$C$3:$C$2000,MATCH(H224,'Both teabags AfterWet'!$A$3:$A$2000,0)),"")</f>
        <v>0.73760000000000003</v>
      </c>
      <c r="P224" s="194">
        <f>IFERROR(INDEX('Both teabags AfterWet'!$C$3:$C$2000,MATCH(I224,'Both teabags AfterWet'!$A$3:$A$2000,0)),"")</f>
        <v>1.7096</v>
      </c>
      <c r="Q224" s="194">
        <f t="shared" si="15"/>
        <v>0.58699999999999997</v>
      </c>
      <c r="R224" s="194">
        <f t="shared" si="15"/>
        <v>1.5589999999999999</v>
      </c>
      <c r="S224" s="194">
        <f t="shared" si="16"/>
        <v>0.62805728044607778</v>
      </c>
      <c r="T224" s="194">
        <f t="shared" si="17"/>
        <v>0.41174301520930523</v>
      </c>
      <c r="U224" s="194">
        <f t="shared" si="18"/>
        <v>0.78809018299464151</v>
      </c>
      <c r="V224">
        <f>IFERROR(IF((N224-G224)&gt;0,(IFERROR(N224-G224,"")),""),"")</f>
        <v>54</v>
      </c>
      <c r="W224" s="194">
        <f t="shared" si="19"/>
        <v>0.25408874056285291</v>
      </c>
      <c r="X224" s="194">
        <f t="shared" si="20"/>
        <v>1.3387340660298426E-2</v>
      </c>
      <c r="Y224" s="252" t="str">
        <f>IF(ISNUMBER(SEARCH("C",'WetLitterbags placem_collection'!$X151)),"YES","NO")</f>
        <v>NO</v>
      </c>
      <c r="Z224" s="252" t="str">
        <f>IF(ISNUMBER(SEARCH("H", 'WetLitterbags placem_collection'!$X151)),"YES","NO")</f>
        <v>NO</v>
      </c>
      <c r="AA224" s="252" t="str">
        <f>IF(ISNUMBER(SEARCH("R", 'WetLitterbags placem_collection'!$X151)),"YES","NO")</f>
        <v>NO</v>
      </c>
      <c r="AB224" s="252" t="str">
        <f>IF(ISNUMBER(SEARCH("C", 'WetLitterbags placem_collection'!$V151)),"YES","NO")</f>
        <v>NO</v>
      </c>
      <c r="AC224" s="252" t="str">
        <f>IF(ISNUMBER(SEARCH("H", 'WetLitterbags placem_collection'!$V151)),"YES","NO")</f>
        <v>NO</v>
      </c>
      <c r="AD224" s="252" t="str">
        <f>IF(ISNUMBER(SEARCH("R", 'WetLitterbags placem_collection'!$V151)),"YES","NO")</f>
        <v>NO</v>
      </c>
    </row>
    <row r="225" spans="2:30">
      <c r="B225" t="str">
        <f>'Final data_for_R_analysis_Wetse'!A151</f>
        <v>Wet</v>
      </c>
      <c r="C225" s="260">
        <f>'Final data_for_R_analysis_Wetse'!B151</f>
        <v>150</v>
      </c>
      <c r="D225" t="s">
        <v>3823</v>
      </c>
      <c r="E225" t="s">
        <v>22</v>
      </c>
      <c r="F225" s="382">
        <v>6</v>
      </c>
      <c r="G225" s="16">
        <f>'WetLitterbags placem_collection'!E152</f>
        <v>42762</v>
      </c>
      <c r="H225" t="str">
        <f>'Final data_for_R_analysis_Wetse'!K151</f>
        <v>G658</v>
      </c>
      <c r="I225" t="str">
        <f>'Final data_for_R_analysis_Wetse'!K371</f>
        <v>R7</v>
      </c>
      <c r="J225">
        <f>IFERROR(INDEX('Green_rooibos initial weight'!$C$5:$C$2000,MATCH(H225, 'Green_rooibos initial weight'!$A$5:$A$2000,0)),"")</f>
        <v>2.129</v>
      </c>
      <c r="K225">
        <f>IFERROR(INDEX('Green_rooibos initial weight'!$C$5:$C$2000,MATCH(I225, 'Green_rooibos initial weight'!$A$5:$A$2000,0)),"")</f>
        <v>2.2090000000000001</v>
      </c>
      <c r="L225" s="194">
        <f t="shared" si="14"/>
        <v>1.8792</v>
      </c>
      <c r="M225" s="194">
        <f>IF(K225&gt;0,(K225*$F$32-($F$29+$F$30)),"")</f>
        <v>1.9592000000000001</v>
      </c>
      <c r="N225" s="16">
        <f>IF('WetLitterbags placem_collection'!G152="","",'WetLitterbags placem_collection'!G152)</f>
        <v>42816</v>
      </c>
      <c r="O225" s="194">
        <f>IFERROR(INDEX('Both teabags AfterWet'!$C$3:$C$2000,MATCH(H225,'Both teabags AfterWet'!$A$3:$A$2000,0)),"")</f>
        <v>0.71799999999999997</v>
      </c>
      <c r="P225" s="194">
        <f>IFERROR(INDEX('Both teabags AfterWet'!$C$3:$C$2000,MATCH(I225,'Both teabags AfterWet'!$A$3:$A$2000,0)),"")</f>
        <v>1.718</v>
      </c>
      <c r="Q225" s="194">
        <f t="shared" si="15"/>
        <v>0.5673999999999999</v>
      </c>
      <c r="R225" s="194">
        <f t="shared" si="15"/>
        <v>1.5673999999999999</v>
      </c>
      <c r="S225" s="194">
        <f t="shared" si="16"/>
        <v>0.69806300553427003</v>
      </c>
      <c r="T225" s="194">
        <f t="shared" si="17"/>
        <v>0.45763750481581605</v>
      </c>
      <c r="U225" s="194">
        <f t="shared" si="18"/>
        <v>0.80002041649652911</v>
      </c>
      <c r="V225">
        <f>IFERROR(IF((N225-G225)&gt;0,(IFERROR(N225-G225,"")),""),"")</f>
        <v>54</v>
      </c>
      <c r="W225" s="194">
        <f t="shared" si="19"/>
        <v>0.17094654924671016</v>
      </c>
      <c r="X225" s="194">
        <f t="shared" si="20"/>
        <v>1.0637862551140107E-2</v>
      </c>
      <c r="Y225" s="252" t="str">
        <f>IF(ISNUMBER(SEARCH("C",'WetLitterbags placem_collection'!$X152)),"YES","NO")</f>
        <v>NO</v>
      </c>
      <c r="Z225" s="252" t="str">
        <f>IF(ISNUMBER(SEARCH("H", 'WetLitterbags placem_collection'!$X152)),"YES","NO")</f>
        <v>NO</v>
      </c>
      <c r="AA225" s="252" t="str">
        <f>IF(ISNUMBER(SEARCH("R", 'WetLitterbags placem_collection'!$X152)),"YES","NO")</f>
        <v>NO</v>
      </c>
      <c r="AB225" s="252" t="str">
        <f>IF(ISNUMBER(SEARCH("C", 'WetLitterbags placem_collection'!$V152)),"YES","NO")</f>
        <v>NO</v>
      </c>
      <c r="AC225" s="252" t="str">
        <f>IF(ISNUMBER(SEARCH("H", 'WetLitterbags placem_collection'!$V152)),"YES","NO")</f>
        <v>NO</v>
      </c>
      <c r="AD225" s="252" t="str">
        <f>IF(ISNUMBER(SEARCH("R", 'WetLitterbags placem_collection'!$V152)),"YES","NO")</f>
        <v>NO</v>
      </c>
    </row>
    <row r="226" spans="2:30">
      <c r="B226" t="str">
        <f>'Final data_for_R_analysis_Wetse'!A152</f>
        <v>Wet</v>
      </c>
      <c r="C226" s="260">
        <f>'Final data_for_R_analysis_Wetse'!B152</f>
        <v>151</v>
      </c>
      <c r="D226" t="s">
        <v>3823</v>
      </c>
      <c r="E226" t="s">
        <v>22</v>
      </c>
      <c r="F226" s="382">
        <v>7</v>
      </c>
      <c r="G226" s="16">
        <f>'WetLitterbags placem_collection'!E153</f>
        <v>42762</v>
      </c>
      <c r="H226" t="str">
        <f>'Final data_for_R_analysis_Wetse'!K152</f>
        <v>G567</v>
      </c>
      <c r="I226" t="str">
        <f>'Final data_for_R_analysis_Wetse'!K372</f>
        <v>R447</v>
      </c>
      <c r="J226">
        <f>IFERROR(INDEX('Green_rooibos initial weight'!$C$5:$C$2000,MATCH(H226, 'Green_rooibos initial weight'!$A$5:$A$2000,0)),"")</f>
        <v>2.0569999999999999</v>
      </c>
      <c r="K226">
        <f>IFERROR(INDEX('Green_rooibos initial weight'!$C$5:$C$2000,MATCH(I226, 'Green_rooibos initial weight'!$A$5:$A$2000,0)),"")</f>
        <v>2.206</v>
      </c>
      <c r="L226" s="194">
        <f t="shared" si="14"/>
        <v>1.8071999999999999</v>
      </c>
      <c r="M226" s="194">
        <f>IF(K226&gt;0,(K226*$F$32-($F$29+$F$30)),"")</f>
        <v>1.9561999999999999</v>
      </c>
      <c r="N226" s="16">
        <f>IF('WetLitterbags placem_collection'!G153="","",'WetLitterbags placem_collection'!G153)</f>
        <v>42816</v>
      </c>
      <c r="O226" s="194">
        <f>IFERROR(INDEX('Both teabags AfterWet'!$C$3:$C$2000,MATCH(H226,'Both teabags AfterWet'!$A$3:$A$2000,0)),"")</f>
        <v>0.86499999999999999</v>
      </c>
      <c r="P226" s="194">
        <f>IFERROR(INDEX('Both teabags AfterWet'!$C$3:$C$2000,MATCH(I226,'Both teabags AfterWet'!$A$3:$A$2000,0)),"")</f>
        <v>1.782</v>
      </c>
      <c r="Q226" s="194">
        <f t="shared" si="15"/>
        <v>0.71439999999999992</v>
      </c>
      <c r="R226" s="194">
        <f t="shared" si="15"/>
        <v>1.6314</v>
      </c>
      <c r="S226" s="194">
        <f t="shared" si="16"/>
        <v>0.60469234174413455</v>
      </c>
      <c r="T226" s="194">
        <f t="shared" si="17"/>
        <v>0.39642538318617854</v>
      </c>
      <c r="U226" s="194">
        <f t="shared" si="18"/>
        <v>0.83396380738165832</v>
      </c>
      <c r="V226">
        <f>IFERROR(IF((N226-G226)&gt;0,(IFERROR(N226-G226,"")),""),"")</f>
        <v>54</v>
      </c>
      <c r="W226" s="194">
        <f t="shared" si="19"/>
        <v>0.28183807393808247</v>
      </c>
      <c r="X226" s="194">
        <f t="shared" si="20"/>
        <v>1.0050330053642531E-2</v>
      </c>
      <c r="Y226" s="252" t="str">
        <f>IF(ISNUMBER(SEARCH("C",'WetLitterbags placem_collection'!$X153)),"YES","NO")</f>
        <v>NO</v>
      </c>
      <c r="Z226" s="252" t="str">
        <f>IF(ISNUMBER(SEARCH("H", 'WetLitterbags placem_collection'!$X153)),"YES","NO")</f>
        <v>NO</v>
      </c>
      <c r="AA226" s="252" t="str">
        <f>IF(ISNUMBER(SEARCH("R", 'WetLitterbags placem_collection'!$X153)),"YES","NO")</f>
        <v>YES</v>
      </c>
      <c r="AB226" s="252" t="str">
        <f>IF(ISNUMBER(SEARCH("C", 'WetLitterbags placem_collection'!$V153)),"YES","NO")</f>
        <v>NO</v>
      </c>
      <c r="AC226" s="252" t="str">
        <f>IF(ISNUMBER(SEARCH("H", 'WetLitterbags placem_collection'!$V153)),"YES","NO")</f>
        <v>NO</v>
      </c>
      <c r="AD226" s="252" t="str">
        <f>IF(ISNUMBER(SEARCH("R", 'WetLitterbags placem_collection'!$V153)),"YES","NO")</f>
        <v>YES</v>
      </c>
    </row>
    <row r="227" spans="2:30">
      <c r="B227" t="str">
        <f>'Final data_for_R_analysis_Wetse'!A153</f>
        <v>Wet</v>
      </c>
      <c r="C227" s="260">
        <f>'Final data_for_R_analysis_Wetse'!B153</f>
        <v>152</v>
      </c>
      <c r="D227" t="s">
        <v>3823</v>
      </c>
      <c r="E227" t="s">
        <v>22</v>
      </c>
      <c r="F227" s="382">
        <v>8</v>
      </c>
      <c r="G227" s="16">
        <f>'WetLitterbags placem_collection'!E154</f>
        <v>42762</v>
      </c>
      <c r="H227" t="str">
        <f>'Final data_for_R_analysis_Wetse'!K153</f>
        <v>G853</v>
      </c>
      <c r="I227" t="str">
        <f>'Final data_for_R_analysis_Wetse'!K373</f>
        <v>R591</v>
      </c>
      <c r="J227">
        <f>IFERROR(INDEX('Green_rooibos initial weight'!$C$5:$C$2000,MATCH(H227, 'Green_rooibos initial weight'!$A$5:$A$2000,0)),"")</f>
        <v>1.972</v>
      </c>
      <c r="K227">
        <f>IFERROR(INDEX('Green_rooibos initial weight'!$C$5:$C$2000,MATCH(I227, 'Green_rooibos initial weight'!$A$5:$A$2000,0)),"")</f>
        <v>2.2599999999999998</v>
      </c>
      <c r="L227" s="194">
        <f t="shared" si="14"/>
        <v>1.7222</v>
      </c>
      <c r="M227" s="194">
        <f>IF(K227&gt;0,(K227*$F$32-($F$29+$F$30)),"")</f>
        <v>2.0101999999999998</v>
      </c>
      <c r="N227" s="16">
        <f>IF('WetLitterbags placem_collection'!G154="","",'WetLitterbags placem_collection'!G154)</f>
        <v>42816</v>
      </c>
      <c r="O227" s="194">
        <f>IFERROR(INDEX('Both teabags AfterWet'!$C$3:$C$2000,MATCH(H227,'Both teabags AfterWet'!$A$3:$A$2000,0)),"")</f>
        <v>0.58509999999999995</v>
      </c>
      <c r="P227" s="194">
        <f>IFERROR(INDEX('Both teabags AfterWet'!$C$3:$C$2000,MATCH(I227,'Both teabags AfterWet'!$A$3:$A$2000,0)),"")</f>
        <v>1.6958</v>
      </c>
      <c r="Q227" s="194">
        <f t="shared" si="15"/>
        <v>0.43449999999999994</v>
      </c>
      <c r="R227" s="194">
        <f t="shared" si="15"/>
        <v>1.5451999999999999</v>
      </c>
      <c r="S227" s="194">
        <f t="shared" si="16"/>
        <v>0.74770642201834869</v>
      </c>
      <c r="T227" s="194">
        <f t="shared" si="17"/>
        <v>0.49018283248708855</v>
      </c>
      <c r="U227" s="194">
        <f t="shared" si="18"/>
        <v>0.76867973335986473</v>
      </c>
      <c r="V227">
        <f>IFERROR(IF((N227-G227)&gt;0,(IFERROR(N227-G227,"")),""),"")</f>
        <v>54</v>
      </c>
      <c r="W227" s="194">
        <f t="shared" si="19"/>
        <v>0.11198762230599912</v>
      </c>
      <c r="X227" s="194">
        <f t="shared" si="20"/>
        <v>1.1823725221602318E-2</v>
      </c>
      <c r="Y227" s="252" t="str">
        <f>IF(ISNUMBER(SEARCH("C",'WetLitterbags placem_collection'!$X154)),"YES","NO")</f>
        <v>NO</v>
      </c>
      <c r="Z227" s="252" t="str">
        <f>IF(ISNUMBER(SEARCH("H", 'WetLitterbags placem_collection'!$X154)),"YES","NO")</f>
        <v>NO</v>
      </c>
      <c r="AA227" s="252" t="str">
        <f>IF(ISNUMBER(SEARCH("R", 'WetLitterbags placem_collection'!$X154)),"YES","NO")</f>
        <v>YES</v>
      </c>
      <c r="AB227" s="252" t="str">
        <f>IF(ISNUMBER(SEARCH("C", 'WetLitterbags placem_collection'!$V154)),"YES","NO")</f>
        <v>NO</v>
      </c>
      <c r="AC227" s="252" t="str">
        <f>IF(ISNUMBER(SEARCH("H", 'WetLitterbags placem_collection'!$V154)),"YES","NO")</f>
        <v>NO</v>
      </c>
      <c r="AD227" s="252" t="str">
        <f>IF(ISNUMBER(SEARCH("R", 'WetLitterbags placem_collection'!$V154)),"YES","NO")</f>
        <v>NO</v>
      </c>
    </row>
    <row r="228" spans="2:30">
      <c r="B228" t="str">
        <f>'Final data_for_R_analysis_Wetse'!A154</f>
        <v>Wet</v>
      </c>
      <c r="C228" s="260">
        <f>'Final data_for_R_analysis_Wetse'!B154</f>
        <v>153</v>
      </c>
      <c r="D228" t="s">
        <v>3824</v>
      </c>
      <c r="E228" t="s">
        <v>22</v>
      </c>
      <c r="F228" s="381">
        <v>1</v>
      </c>
      <c r="G228" s="16">
        <f>'WetLitterbags placem_collection'!E155</f>
        <v>42762</v>
      </c>
      <c r="H228" t="str">
        <f>'Final data_for_R_analysis_Wetse'!K154</f>
        <v>G800</v>
      </c>
      <c r="I228" t="str">
        <f>'Final data_for_R_analysis_Wetse'!K374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14"/>
        <v>1.8681999999999999</v>
      </c>
      <c r="M228" s="194">
        <f>IF(K228&gt;0,(K228*$F$32-($F$29+$F$30)),"")</f>
        <v>2.0251999999999999</v>
      </c>
      <c r="N228" s="16">
        <f>IF('WetLitterbags placem_collection'!G155="","",'WetLitterbags placem_collection'!G155)</f>
        <v>42816</v>
      </c>
      <c r="O228" s="194">
        <f>IFERROR(INDEX('Both teabags AfterWet'!$C$3:$C$2000,MATCH(H228,'Both teabags AfterWet'!$A$3:$A$2000,0)),"")</f>
        <v>0.58630000000000004</v>
      </c>
      <c r="P228" s="194">
        <f>IFERROR(INDEX('Both teabags AfterWet'!$C$3:$C$2000,MATCH(I228,'Both teabags AfterWet'!$A$3:$A$2000,0)),"")</f>
        <v>1.2541</v>
      </c>
      <c r="Q228" s="194">
        <f t="shared" si="15"/>
        <v>0.43570000000000003</v>
      </c>
      <c r="R228" s="194">
        <f t="shared" si="15"/>
        <v>1.1034999999999999</v>
      </c>
      <c r="S228" s="194">
        <f t="shared" si="16"/>
        <v>0.76678085858045175</v>
      </c>
      <c r="T228" s="194">
        <f t="shared" si="17"/>
        <v>0.50268768876058123</v>
      </c>
      <c r="U228" s="194">
        <f t="shared" si="18"/>
        <v>0.5448844558562117</v>
      </c>
      <c r="V228">
        <f>IFERROR(IF((N228-G228)&gt;0,(IFERROR(N228-G228,"")),""),"")</f>
        <v>54</v>
      </c>
      <c r="W228" s="194">
        <f t="shared" si="19"/>
        <v>8.9333897172860111E-2</v>
      </c>
      <c r="X228" s="194">
        <f t="shared" si="20"/>
        <v>4.3661512728713804E-2</v>
      </c>
      <c r="Y228" s="252" t="str">
        <f>IF(ISNUMBER(SEARCH("C",'WetLitterbags placem_collection'!$X155)),"YES","NO")</f>
        <v>NO</v>
      </c>
      <c r="Z228" s="252" t="str">
        <f>IF(ISNUMBER(SEARCH("H", 'WetLitterbags placem_collection'!$X155)),"YES","NO")</f>
        <v>NO</v>
      </c>
      <c r="AA228" s="252" t="str">
        <f>IF(ISNUMBER(SEARCH("R", 'WetLitterbags placem_collection'!$X155)),"YES","NO")</f>
        <v>YES</v>
      </c>
      <c r="AB228" s="252" t="str">
        <f>IF(ISNUMBER(SEARCH("C", 'WetLitterbags placem_collection'!$V155)),"YES","NO")</f>
        <v>NO</v>
      </c>
      <c r="AC228" s="252" t="str">
        <f>IF(ISNUMBER(SEARCH("H", 'WetLitterbags placem_collection'!$V155)),"YES","NO")</f>
        <v>NO</v>
      </c>
      <c r="AD228" s="252" t="str">
        <f>IF(ISNUMBER(SEARCH("R", 'WetLitterbags placem_collection'!$V155)),"YES","NO")</f>
        <v>YES</v>
      </c>
    </row>
    <row r="229" spans="2:30">
      <c r="B229" t="str">
        <f>'Final data_for_R_analysis_Wetse'!A155</f>
        <v>Wet</v>
      </c>
      <c r="C229" s="260">
        <f>'Final data_for_R_analysis_Wetse'!B155</f>
        <v>154</v>
      </c>
      <c r="D229" t="s">
        <v>3824</v>
      </c>
      <c r="E229" t="s">
        <v>22</v>
      </c>
      <c r="F229" s="381">
        <v>2</v>
      </c>
      <c r="G229" s="16">
        <f>'WetLitterbags placem_collection'!E156</f>
        <v>42762</v>
      </c>
      <c r="H229" t="str">
        <f>'Final data_for_R_analysis_Wetse'!K155</f>
        <v>G675</v>
      </c>
      <c r="I229" t="str">
        <f>'Final data_for_R_analysis_Wetse'!K375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14"/>
        <v>1.7452000000000001</v>
      </c>
      <c r="M229" s="194">
        <f>IF(K229&gt;0,(K229*$F$32-($F$29+$F$30)),"")</f>
        <v>1.9912000000000001</v>
      </c>
      <c r="N229" s="16">
        <f>IF('WetLitterbags placem_collection'!G156="","",'WetLitterbags placem_collection'!G156)</f>
        <v>42816</v>
      </c>
      <c r="O229" s="194">
        <f>IFERROR(INDEX('Both teabags AfterWet'!$C$3:$C$2000,MATCH(H229,'Both teabags AfterWet'!$A$3:$A$2000,0)),"")</f>
        <v>0.61299999999999999</v>
      </c>
      <c r="P229" s="194">
        <f>IFERROR(INDEX('Both teabags AfterWet'!$C$3:$C$2000,MATCH(I229,'Both teabags AfterWet'!$A$3:$A$2000,0)),"")</f>
        <v>0.69099999999999995</v>
      </c>
      <c r="Q229" s="194">
        <f t="shared" si="15"/>
        <v>0.46239999999999998</v>
      </c>
      <c r="R229" s="194">
        <f t="shared" si="15"/>
        <v>0.54039999999999999</v>
      </c>
      <c r="S229" s="194">
        <f t="shared" si="16"/>
        <v>0.73504469401787764</v>
      </c>
      <c r="T229" s="194">
        <f t="shared" si="17"/>
        <v>0.48188203218274167</v>
      </c>
      <c r="U229" s="194">
        <f t="shared" si="18"/>
        <v>0.2713941341904379</v>
      </c>
      <c r="V229">
        <f>IFERROR(IF((N229-G229)&gt;0,(IFERROR(N229-G229,"")),""),"")</f>
        <v>54</v>
      </c>
      <c r="W229" s="194">
        <f t="shared" si="19"/>
        <v>0.12702530401677237</v>
      </c>
      <c r="X229" s="194" t="str">
        <f t="shared" si="20"/>
        <v/>
      </c>
      <c r="Y229" s="252" t="str">
        <f>IF(ISNUMBER(SEARCH("C",'WetLitterbags placem_collection'!$X156)),"YES","NO")</f>
        <v>NO</v>
      </c>
      <c r="Z229" s="252" t="str">
        <f>IF(ISNUMBER(SEARCH("H", 'WetLitterbags placem_collection'!$X156)),"YES","NO")</f>
        <v>NO</v>
      </c>
      <c r="AA229" s="252" t="str">
        <f>IF(ISNUMBER(SEARCH("R", 'WetLitterbags placem_collection'!$X156)),"YES","NO")</f>
        <v>YES</v>
      </c>
      <c r="AB229" s="252" t="str">
        <f>IF(ISNUMBER(SEARCH("C", 'WetLitterbags placem_collection'!$V156)),"YES","NO")</f>
        <v>YES</v>
      </c>
      <c r="AC229" s="252" t="str">
        <f>IF(ISNUMBER(SEARCH("H", 'WetLitterbags placem_collection'!$V156)),"YES","NO")</f>
        <v>YES</v>
      </c>
      <c r="AD229" s="252" t="str">
        <f>IF(ISNUMBER(SEARCH("R", 'WetLitterbags placem_collection'!$V156)),"YES","NO")</f>
        <v>NO</v>
      </c>
    </row>
    <row r="230" spans="2:30">
      <c r="B230" t="str">
        <f>'Final data_for_R_analysis_Wetse'!A156</f>
        <v>Wet</v>
      </c>
      <c r="C230" s="260">
        <f>'Final data_for_R_analysis_Wetse'!B156</f>
        <v>155</v>
      </c>
      <c r="D230" t="s">
        <v>3824</v>
      </c>
      <c r="E230" t="s">
        <v>22</v>
      </c>
      <c r="F230" s="381">
        <v>3</v>
      </c>
      <c r="G230" s="16">
        <f>'WetLitterbags placem_collection'!E157</f>
        <v>42762</v>
      </c>
      <c r="H230" t="str">
        <f>'Final data_for_R_analysis_Wetse'!K156</f>
        <v>G859</v>
      </c>
      <c r="I230" t="str">
        <f>'Final data_for_R_analysis_Wetse'!K376</f>
        <v>R484</v>
      </c>
      <c r="J230">
        <f>IFERROR(INDEX('Green_rooibos initial weight'!$C$5:$C$2000,MATCH(H230, 'Green_rooibos initial weight'!$A$5:$A$2000,0)),"")</f>
        <v>2</v>
      </c>
      <c r="K230">
        <f>IFERROR(INDEX('Green_rooibos initial weight'!$C$5:$C$2000,MATCH(I230, 'Green_rooibos initial weight'!$A$5:$A$2000,0)),"")</f>
        <v>2.1850000000000001</v>
      </c>
      <c r="L230" s="194">
        <f t="shared" si="14"/>
        <v>1.7502</v>
      </c>
      <c r="M230" s="194">
        <f>IF(K230&gt;0,(K230*$F$32-($F$29+$F$30)),"")</f>
        <v>1.9352</v>
      </c>
      <c r="N230" s="16">
        <f>IF('WetLitterbags placem_collection'!G157="","",'WetLitterbags placem_collection'!G157)</f>
        <v>42816</v>
      </c>
      <c r="O230" s="194">
        <f>IFERROR(INDEX('Both teabags AfterWet'!$C$3:$C$2000,MATCH(H230,'Both teabags AfterWet'!$A$3:$A$2000,0)),"")</f>
        <v>0.71599999999999997</v>
      </c>
      <c r="P230" s="194">
        <f>IFERROR(INDEX('Both teabags AfterWet'!$C$3:$C$2000,MATCH(I230,'Both teabags AfterWet'!$A$3:$A$2000,0)),"")</f>
        <v>1.7509999999999999</v>
      </c>
      <c r="Q230" s="194">
        <f t="shared" si="15"/>
        <v>0.5653999999999999</v>
      </c>
      <c r="R230" s="194">
        <f t="shared" si="15"/>
        <v>1.6003999999999998</v>
      </c>
      <c r="S230" s="194">
        <f t="shared" si="16"/>
        <v>0.67695120557650568</v>
      </c>
      <c r="T230" s="194">
        <f t="shared" si="17"/>
        <v>0.44379698987913441</v>
      </c>
      <c r="U230" s="194">
        <f t="shared" si="18"/>
        <v>0.82699462587846206</v>
      </c>
      <c r="V230">
        <f>IFERROR(IF((N230-G230)&gt;0,(IFERROR(N230-G230,"")),""),"")</f>
        <v>54</v>
      </c>
      <c r="W230" s="194">
        <f t="shared" si="19"/>
        <v>0.19601994587113336</v>
      </c>
      <c r="X230" s="194">
        <f t="shared" si="20"/>
        <v>9.1484749689491364E-3</v>
      </c>
      <c r="Y230" s="252" t="str">
        <f>IF(ISNUMBER(SEARCH("C",'WetLitterbags placem_collection'!$X157)),"YES","NO")</f>
        <v>NO</v>
      </c>
      <c r="Z230" s="252" t="str">
        <f>IF(ISNUMBER(SEARCH("H", 'WetLitterbags placem_collection'!$X157)),"YES","NO")</f>
        <v>NO</v>
      </c>
      <c r="AA230" s="252" t="str">
        <f>IF(ISNUMBER(SEARCH("R", 'WetLitterbags placem_collection'!$X157)),"YES","NO")</f>
        <v>NO</v>
      </c>
      <c r="AB230" s="252" t="str">
        <f>IF(ISNUMBER(SEARCH("C", 'WetLitterbags placem_collection'!$V157)),"YES","NO")</f>
        <v>NO</v>
      </c>
      <c r="AC230" s="252" t="str">
        <f>IF(ISNUMBER(SEARCH("H", 'WetLitterbags placem_collection'!$V157)),"YES","NO")</f>
        <v>NO</v>
      </c>
      <c r="AD230" s="252" t="str">
        <f>IF(ISNUMBER(SEARCH("R", 'WetLitterbags placem_collection'!$V157)),"YES","NO")</f>
        <v>YES</v>
      </c>
    </row>
    <row r="231" spans="2:30">
      <c r="B231" t="str">
        <f>'Final data_for_R_analysis_Wetse'!A157</f>
        <v>Wet</v>
      </c>
      <c r="C231" s="260">
        <f>'Final data_for_R_analysis_Wetse'!B157</f>
        <v>156</v>
      </c>
      <c r="D231" t="s">
        <v>3824</v>
      </c>
      <c r="E231" t="s">
        <v>22</v>
      </c>
      <c r="F231" s="382">
        <v>4</v>
      </c>
      <c r="G231" s="16">
        <f>'WetLitterbags placem_collection'!E158</f>
        <v>42762</v>
      </c>
      <c r="H231" t="str">
        <f>'Final data_for_R_analysis_Wetse'!K157</f>
        <v>G654</v>
      </c>
      <c r="I231" t="str">
        <f>'Final data_for_R_analysis_Wetse'!K377</f>
        <v>R598</v>
      </c>
      <c r="J231">
        <f>IFERROR(INDEX('Green_rooibos initial weight'!$C$5:$C$2000,MATCH(H231, 'Green_rooibos initial weight'!$A$5:$A$2000,0)),"")</f>
        <v>2.0169999999999999</v>
      </c>
      <c r="K231">
        <f>IFERROR(INDEX('Green_rooibos initial weight'!$C$5:$C$2000,MATCH(I231, 'Green_rooibos initial weight'!$A$5:$A$2000,0)),"")</f>
        <v>2.206</v>
      </c>
      <c r="L231" s="194">
        <f t="shared" si="14"/>
        <v>1.7671999999999999</v>
      </c>
      <c r="M231" s="194">
        <f>IF(K231&gt;0,(K231*$F$32-($F$29+$F$30)),"")</f>
        <v>1.9561999999999999</v>
      </c>
      <c r="N231" s="16">
        <f>IF('WetLitterbags placem_collection'!G158="","",'WetLitterbags placem_collection'!G158)</f>
        <v>42816</v>
      </c>
      <c r="O231" s="194">
        <f>IFERROR(INDEX('Both teabags AfterWet'!$C$3:$C$2000,MATCH(H231,'Both teabags AfterWet'!$A$3:$A$2000,0)),"")</f>
        <v>0.73799999999999999</v>
      </c>
      <c r="P231" s="194">
        <f>IFERROR(INDEX('Both teabags AfterWet'!$C$3:$C$2000,MATCH(I231,'Both teabags AfterWet'!$A$3:$A$2000,0)),"")</f>
        <v>1.8080000000000001</v>
      </c>
      <c r="Q231" s="194">
        <f t="shared" si="15"/>
        <v>0.58739999999999992</v>
      </c>
      <c r="R231" s="194">
        <f t="shared" si="15"/>
        <v>1.6574</v>
      </c>
      <c r="S231" s="194">
        <f t="shared" si="16"/>
        <v>0.66760977818017198</v>
      </c>
      <c r="T231" s="194">
        <f t="shared" si="17"/>
        <v>0.43767291871194175</v>
      </c>
      <c r="U231" s="194">
        <f t="shared" si="18"/>
        <v>0.84725488191391474</v>
      </c>
      <c r="V231">
        <f>IFERROR(IF((N231-G231)&gt;0,(IFERROR(N231-G231,"")),""),"")</f>
        <v>54</v>
      </c>
      <c r="W231" s="194">
        <f t="shared" si="19"/>
        <v>0.20711427769575774</v>
      </c>
      <c r="X231" s="194">
        <f t="shared" si="20"/>
        <v>7.9488158044892857E-3</v>
      </c>
      <c r="Y231" s="252" t="str">
        <f>IF(ISNUMBER(SEARCH("C",'WetLitterbags placem_collection'!$X158)),"YES","NO")</f>
        <v>NO</v>
      </c>
      <c r="Z231" s="252" t="str">
        <f>IF(ISNUMBER(SEARCH("H", 'WetLitterbags placem_collection'!$X158)),"YES","NO")</f>
        <v>NO</v>
      </c>
      <c r="AA231" s="252" t="str">
        <f>IF(ISNUMBER(SEARCH("R", 'WetLitterbags placem_collection'!$X158)),"YES","NO")</f>
        <v>YES</v>
      </c>
      <c r="AB231" s="252" t="str">
        <f>IF(ISNUMBER(SEARCH("C", 'WetLitterbags placem_collection'!$V158)),"YES","NO")</f>
        <v>NO</v>
      </c>
      <c r="AC231" s="252" t="str">
        <f>IF(ISNUMBER(SEARCH("H", 'WetLitterbags placem_collection'!$V158)),"YES","NO")</f>
        <v>YES</v>
      </c>
      <c r="AD231" s="252" t="str">
        <f>IF(ISNUMBER(SEARCH("R", 'WetLitterbags placem_collection'!$V158)),"YES","NO")</f>
        <v>NO</v>
      </c>
    </row>
    <row r="232" spans="2:30">
      <c r="B232" t="str">
        <f>'Final data_for_R_analysis_Wetse'!A158</f>
        <v>Wet</v>
      </c>
      <c r="C232" s="260">
        <f>'Final data_for_R_analysis_Wetse'!B158</f>
        <v>157</v>
      </c>
      <c r="D232" t="s">
        <v>3824</v>
      </c>
      <c r="E232" t="s">
        <v>22</v>
      </c>
      <c r="F232" s="382">
        <v>5</v>
      </c>
      <c r="G232" s="16">
        <f>'WetLitterbags placem_collection'!E159</f>
        <v>42762</v>
      </c>
      <c r="H232" t="str">
        <f>'Final data_for_R_analysis_Wetse'!K158</f>
        <v>G890</v>
      </c>
      <c r="I232" t="str">
        <f>'Final data_for_R_analysis_Wetse'!K378</f>
        <v>R30</v>
      </c>
      <c r="J232">
        <f>IFERROR(INDEX('Green_rooibos initial weight'!$C$5:$C$2000,MATCH(H232, 'Green_rooibos initial weight'!$A$5:$A$2000,0)),"")</f>
        <v>1.9930000000000001</v>
      </c>
      <c r="K232">
        <f>IFERROR(INDEX('Green_rooibos initial weight'!$C$5:$C$2000,MATCH(I232, 'Green_rooibos initial weight'!$A$5:$A$2000,0)),"")</f>
        <v>2.177</v>
      </c>
      <c r="L232" s="194">
        <f t="shared" si="14"/>
        <v>1.7432000000000001</v>
      </c>
      <c r="M232" s="194">
        <f>IF(K232&gt;0,(K232*$F$32-($F$29+$F$30)),"")</f>
        <v>1.9272</v>
      </c>
      <c r="N232" s="16">
        <f>IF('WetLitterbags placem_collection'!G159="","",'WetLitterbags placem_collection'!G159)</f>
        <v>42816</v>
      </c>
      <c r="O232" s="194">
        <f>IFERROR(INDEX('Both teabags AfterWet'!$C$3:$C$2000,MATCH(H232,'Both teabags AfterWet'!$A$3:$A$2000,0)),"")</f>
        <v>0.74099999999999999</v>
      </c>
      <c r="P232" s="194">
        <f>IFERROR(INDEX('Both teabags AfterWet'!$C$3:$C$2000,MATCH(I232,'Both teabags AfterWet'!$A$3:$A$2000,0)),"")</f>
        <v>1.825</v>
      </c>
      <c r="Q232" s="194">
        <f t="shared" si="15"/>
        <v>0.59040000000000004</v>
      </c>
      <c r="R232" s="194">
        <f t="shared" si="15"/>
        <v>1.6743999999999999</v>
      </c>
      <c r="S232" s="194">
        <f t="shared" si="16"/>
        <v>0.66131252868288204</v>
      </c>
      <c r="T232" s="194">
        <f t="shared" si="17"/>
        <v>0.43354455562108191</v>
      </c>
      <c r="U232" s="194">
        <f t="shared" si="18"/>
        <v>0.86882523868825234</v>
      </c>
      <c r="V232">
        <f>IFERROR(IF((N232-G232)&gt;0,(IFERROR(N232-G232,"")),""),"")</f>
        <v>54</v>
      </c>
      <c r="W232" s="194">
        <f t="shared" si="19"/>
        <v>0.21459319633861984</v>
      </c>
      <c r="X232" s="194">
        <f t="shared" si="20"/>
        <v>6.6730336907153669E-3</v>
      </c>
      <c r="Y232" s="252" t="str">
        <f>IF(ISNUMBER(SEARCH("C",'WetLitterbags placem_collection'!$X159)),"YES","NO")</f>
        <v>NO</v>
      </c>
      <c r="Z232" s="252" t="str">
        <f>IF(ISNUMBER(SEARCH("H", 'WetLitterbags placem_collection'!$X159)),"YES","NO")</f>
        <v>NO</v>
      </c>
      <c r="AA232" s="252" t="str">
        <f>IF(ISNUMBER(SEARCH("R", 'WetLitterbags placem_collection'!$X159)),"YES","NO")</f>
        <v>YES</v>
      </c>
      <c r="AB232" s="252" t="str">
        <f>IF(ISNUMBER(SEARCH("C", 'WetLitterbags placem_collection'!$V159)),"YES","NO")</f>
        <v>NO</v>
      </c>
      <c r="AC232" s="252" t="str">
        <f>IF(ISNUMBER(SEARCH("H", 'WetLitterbags placem_collection'!$V159)),"YES","NO")</f>
        <v>NO</v>
      </c>
      <c r="AD232" s="252" t="str">
        <f>IF(ISNUMBER(SEARCH("R", 'WetLitterbags placem_collection'!$V159)),"YES","NO")</f>
        <v>YES</v>
      </c>
    </row>
    <row r="233" spans="2:30">
      <c r="B233" t="str">
        <f>'Final data_for_R_analysis_Wetse'!A159</f>
        <v>Wet</v>
      </c>
      <c r="C233" s="260">
        <f>'Final data_for_R_analysis_Wetse'!B159</f>
        <v>158</v>
      </c>
      <c r="D233" t="s">
        <v>3824</v>
      </c>
      <c r="E233" t="s">
        <v>22</v>
      </c>
      <c r="F233" s="382">
        <v>6</v>
      </c>
      <c r="G233" s="16">
        <f>'WetLitterbags placem_collection'!E160</f>
        <v>42762</v>
      </c>
      <c r="H233" t="str">
        <f>'Final data_for_R_analysis_Wetse'!K159</f>
        <v>G576</v>
      </c>
      <c r="I233" t="str">
        <f>'Final data_for_R_analysis_Wetse'!K379</f>
        <v>R16</v>
      </c>
      <c r="J233">
        <f>IFERROR(INDEX('Green_rooibos initial weight'!$C$5:$C$2000,MATCH(H233, 'Green_rooibos initial weight'!$A$5:$A$2000,0)),"")</f>
        <v>2.056</v>
      </c>
      <c r="K233">
        <f>IFERROR(INDEX('Green_rooibos initial weight'!$C$5:$C$2000,MATCH(I233, 'Green_rooibos initial weight'!$A$5:$A$2000,0)),"")</f>
        <v>2.2629999999999999</v>
      </c>
      <c r="L233" s="194">
        <f t="shared" si="14"/>
        <v>1.8062</v>
      </c>
      <c r="M233" s="194">
        <f>IF(K233&gt;0,(K233*$F$32-($F$29+$F$30)),"")</f>
        <v>2.0131999999999999</v>
      </c>
      <c r="N233" s="16">
        <f>IF('WetLitterbags placem_collection'!G160="","",'WetLitterbags placem_collection'!G160)</f>
        <v>42816</v>
      </c>
      <c r="O233" s="194">
        <f>IFERROR(INDEX('Both teabags AfterWet'!$C$3:$C$2000,MATCH(H233,'Both teabags AfterWet'!$A$3:$A$2000,0)),"")</f>
        <v>0.26600000000000001</v>
      </c>
      <c r="P233" s="194">
        <f>IFERROR(INDEX('Both teabags AfterWet'!$C$3:$C$2000,MATCH(I233,'Both teabags AfterWet'!$A$3:$A$2000,0)),"")</f>
        <v>1.786</v>
      </c>
      <c r="Q233" s="194">
        <f t="shared" si="15"/>
        <v>0.1154</v>
      </c>
      <c r="R233" s="194">
        <f t="shared" si="15"/>
        <v>1.6354</v>
      </c>
      <c r="S233" s="194">
        <f t="shared" si="16"/>
        <v>0.93610895803344041</v>
      </c>
      <c r="T233" s="194">
        <f t="shared" si="17"/>
        <v>0.6136961340076712</v>
      </c>
      <c r="U233" s="194">
        <f t="shared" si="18"/>
        <v>0.81233856546791183</v>
      </c>
      <c r="V233">
        <f>IFERROR(IF((N233-G233)&gt;0,(IFERROR(N233-G233,"")),""),"")</f>
        <v>54</v>
      </c>
      <c r="W233" s="194">
        <f t="shared" si="19"/>
        <v>-0.11176835870954926</v>
      </c>
      <c r="X233" s="194">
        <f t="shared" si="20"/>
        <v>6.7588724587527241E-3</v>
      </c>
      <c r="Y233" s="252" t="str">
        <f>IF(ISNUMBER(SEARCH("C",'WetLitterbags placem_collection'!$X160)),"YES","NO")</f>
        <v>NO</v>
      </c>
      <c r="Z233" s="252" t="str">
        <f>IF(ISNUMBER(SEARCH("H", 'WetLitterbags placem_collection'!$X160)),"YES","NO")</f>
        <v>NO</v>
      </c>
      <c r="AA233" s="252" t="str">
        <f>IF(ISNUMBER(SEARCH("R", 'WetLitterbags placem_collection'!$X160)),"YES","NO")</f>
        <v>YES</v>
      </c>
      <c r="AB233" s="252" t="str">
        <f>IF(ISNUMBER(SEARCH("C", 'WetLitterbags placem_collection'!$V160)),"YES","NO")</f>
        <v>NO</v>
      </c>
      <c r="AC233" s="252" t="str">
        <f>IF(ISNUMBER(SEARCH("H", 'WetLitterbags placem_collection'!$V160)),"YES","NO")</f>
        <v>YES</v>
      </c>
      <c r="AD233" s="252" t="str">
        <f>IF(ISNUMBER(SEARCH("R", 'WetLitterbags placem_collection'!$V160)),"YES","NO")</f>
        <v>YES</v>
      </c>
    </row>
    <row r="234" spans="2:30">
      <c r="B234" t="str">
        <f>'Final data_for_R_analysis_Wetse'!A160</f>
        <v>Wet</v>
      </c>
      <c r="C234" s="260">
        <f>'Final data_for_R_analysis_Wetse'!B160</f>
        <v>159</v>
      </c>
      <c r="D234" t="s">
        <v>3824</v>
      </c>
      <c r="E234" t="s">
        <v>22</v>
      </c>
      <c r="F234" s="382">
        <v>7</v>
      </c>
      <c r="G234" s="16">
        <f>'WetLitterbags placem_collection'!E161</f>
        <v>42762</v>
      </c>
      <c r="H234" t="str">
        <f>'Final data_for_R_analysis_Wetse'!K160</f>
        <v>G829</v>
      </c>
      <c r="I234" t="str">
        <f>'Final data_for_R_analysis_Wetse'!K380</f>
        <v>R499</v>
      </c>
      <c r="J234">
        <f>IFERROR(INDEX('Green_rooibos initial weight'!$C$5:$C$2000,MATCH(H234, 'Green_rooibos initial weight'!$A$5:$A$2000,0)),"")</f>
        <v>1.9610000000000001</v>
      </c>
      <c r="K234">
        <f>IFERROR(INDEX('Green_rooibos initial weight'!$C$5:$C$2000,MATCH(I234, 'Green_rooibos initial weight'!$A$5:$A$2000,0)),"")</f>
        <v>2.194</v>
      </c>
      <c r="L234" s="194">
        <f t="shared" si="14"/>
        <v>1.7112000000000001</v>
      </c>
      <c r="M234" s="194">
        <f>IF(K234&gt;0,(K234*$F$32-($F$29+$F$30)),"")</f>
        <v>1.9441999999999999</v>
      </c>
      <c r="N234" s="16">
        <f>IF('WetLitterbags placem_collection'!G161="","",'WetLitterbags placem_collection'!G161)</f>
        <v>42816</v>
      </c>
      <c r="O234" s="194" t="str">
        <f>IFERROR(INDEX('Both teabags AfterWet'!$C$3:$C$2000,MATCH(H234,'Both teabags AfterWet'!$A$3:$A$2000,0)),"")</f>
        <v/>
      </c>
      <c r="P234" s="194" t="str">
        <f>IFERROR(INDEX('Both teabags AfterWet'!$C$3:$C$2000,MATCH(I234,'Both teabags AfterWet'!$A$3:$A$2000,0)),"")</f>
        <v/>
      </c>
      <c r="Q234" s="194" t="str">
        <f t="shared" si="15"/>
        <v/>
      </c>
      <c r="R234" s="194" t="str">
        <f t="shared" si="15"/>
        <v/>
      </c>
      <c r="S234" s="194" t="str">
        <f t="shared" si="16"/>
        <v/>
      </c>
      <c r="T234" s="194" t="str">
        <f t="shared" si="17"/>
        <v/>
      </c>
      <c r="U234" s="194" t="str">
        <f t="shared" si="18"/>
        <v/>
      </c>
      <c r="V234">
        <f>IFERROR(IF((N234-G234)&gt;0,(IFERROR(N234-G234,"")),""),"")</f>
        <v>54</v>
      </c>
      <c r="W234" s="194" t="str">
        <f t="shared" si="19"/>
        <v/>
      </c>
      <c r="X234" s="194" t="str">
        <f t="shared" si="20"/>
        <v/>
      </c>
      <c r="Y234" s="252" t="str">
        <f>IF(ISNUMBER(SEARCH("C",'WetLitterbags placem_collection'!$X161)),"YES","NO")</f>
        <v>NO</v>
      </c>
      <c r="Z234" s="252" t="str">
        <f>IF(ISNUMBER(SEARCH("H", 'WetLitterbags placem_collection'!$X161)),"YES","NO")</f>
        <v>NO</v>
      </c>
      <c r="AA234" s="252" t="str">
        <f>IF(ISNUMBER(SEARCH("R", 'WetLitterbags placem_collection'!$X161)),"YES","NO")</f>
        <v>NO</v>
      </c>
      <c r="AB234" s="252" t="str">
        <f>IF(ISNUMBER(SEARCH("C", 'WetLitterbags placem_collection'!$V161)),"YES","NO")</f>
        <v>NO</v>
      </c>
      <c r="AC234" s="252" t="str">
        <f>IF(ISNUMBER(SEARCH("H", 'WetLitterbags placem_collection'!$V161)),"YES","NO")</f>
        <v>NO</v>
      </c>
      <c r="AD234" s="252" t="str">
        <f>IF(ISNUMBER(SEARCH("R", 'WetLitterbags placem_collection'!$V161)),"YES","NO")</f>
        <v>NO</v>
      </c>
    </row>
    <row r="235" spans="2:30">
      <c r="B235" t="str">
        <f>'Final data_for_R_analysis_Wetse'!A161</f>
        <v>Wet</v>
      </c>
      <c r="C235" s="260">
        <f>'Final data_for_R_analysis_Wetse'!B161</f>
        <v>160</v>
      </c>
      <c r="D235" t="s">
        <v>3824</v>
      </c>
      <c r="E235" t="s">
        <v>22</v>
      </c>
      <c r="F235" s="382">
        <v>8</v>
      </c>
      <c r="G235" s="16">
        <f>'WetLitterbags placem_collection'!E162</f>
        <v>42762</v>
      </c>
      <c r="H235" t="str">
        <f>'Final data_for_R_analysis_Wetse'!K161</f>
        <v>G809</v>
      </c>
      <c r="I235" t="str">
        <f>'Final data_for_R_analysis_Wetse'!K381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14"/>
        <v>1.6781999999999999</v>
      </c>
      <c r="M235" s="194">
        <f>IF(K235&gt;0,(K235*$F$32-($F$29+$F$30)),"")</f>
        <v>1.9672000000000001</v>
      </c>
      <c r="N235" s="16">
        <f>IF('WetLitterbags placem_collection'!G162="","",'WetLitterbags placem_collection'!G162)</f>
        <v>42816</v>
      </c>
      <c r="O235" s="194">
        <f>IFERROR(INDEX('Both teabags AfterWet'!$C$3:$C$2000,MATCH(H235,'Both teabags AfterWet'!$A$3:$A$2000,0)),"")</f>
        <v>0.72</v>
      </c>
      <c r="P235" s="194">
        <f>IFERROR(INDEX('Both teabags AfterWet'!$C$3:$C$2000,MATCH(I235,'Both teabags AfterWet'!$A$3:$A$2000,0)),"")</f>
        <v>1.744</v>
      </c>
      <c r="Q235" s="194">
        <f t="shared" si="15"/>
        <v>0.56939999999999991</v>
      </c>
      <c r="R235" s="194">
        <f t="shared" si="15"/>
        <v>1.5933999999999999</v>
      </c>
      <c r="S235" s="194">
        <f t="shared" si="16"/>
        <v>0.66070790132284596</v>
      </c>
      <c r="T235" s="194">
        <f t="shared" si="17"/>
        <v>0.43314817283873042</v>
      </c>
      <c r="U235" s="194">
        <f t="shared" si="18"/>
        <v>0.80998373322488815</v>
      </c>
      <c r="V235">
        <f>IFERROR(IF((N235-G235)&gt;0,(IFERROR(N235-G235,"")),""),"")</f>
        <v>54</v>
      </c>
      <c r="W235" s="194">
        <f t="shared" si="19"/>
        <v>0.21531128108925657</v>
      </c>
      <c r="X235" s="194">
        <f t="shared" si="20"/>
        <v>1.0693995382300599E-2</v>
      </c>
      <c r="Y235" s="252" t="str">
        <f>IF(ISNUMBER(SEARCH("C",'WetLitterbags placem_collection'!$X162)),"YES","NO")</f>
        <v>NO</v>
      </c>
      <c r="Z235" s="252" t="str">
        <f>IF(ISNUMBER(SEARCH("H", 'WetLitterbags placem_collection'!$X162)),"YES","NO")</f>
        <v>NO</v>
      </c>
      <c r="AA235" s="252" t="str">
        <f>IF(ISNUMBER(SEARCH("R", 'WetLitterbags placem_collection'!$X162)),"YES","NO")</f>
        <v>YES</v>
      </c>
      <c r="AB235" s="252" t="str">
        <f>IF(ISNUMBER(SEARCH("C", 'WetLitterbags placem_collection'!$V162)),"YES","NO")</f>
        <v>NO</v>
      </c>
      <c r="AC235" s="252" t="str">
        <f>IF(ISNUMBER(SEARCH("H", 'WetLitterbags placem_collection'!$V162)),"YES","NO")</f>
        <v>NO</v>
      </c>
      <c r="AD235" s="252" t="str">
        <f>IF(ISNUMBER(SEARCH("R", 'WetLitterbags placem_collection'!$V162)),"YES","NO")</f>
        <v>YES</v>
      </c>
    </row>
    <row r="236" spans="2:30">
      <c r="B236" t="str">
        <f>'Final data_for_R_analysis_Wetse'!A162</f>
        <v>Wet</v>
      </c>
      <c r="C236" s="260">
        <f>'Final data_for_R_analysis_Wetse'!B162</f>
        <v>161</v>
      </c>
      <c r="D236" t="s">
        <v>3825</v>
      </c>
      <c r="E236" t="s">
        <v>22</v>
      </c>
      <c r="F236" s="381">
        <v>1</v>
      </c>
      <c r="G236" s="16">
        <f>'WetLitterbags placem_collection'!E163</f>
        <v>42763</v>
      </c>
      <c r="H236" t="str">
        <f>'Final data_for_R_analysis_Wetse'!K162</f>
        <v>G352</v>
      </c>
      <c r="I236" t="str">
        <f>'Final data_for_R_analysis_Wetse'!K382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14"/>
        <v>1.6992</v>
      </c>
      <c r="M236" s="194">
        <f>IF(K236&gt;0,(K236*$F$32-($F$29+$F$30)),"")</f>
        <v>1.9622000000000002</v>
      </c>
      <c r="N236" s="16">
        <f>IF('WetLitterbags placem_collection'!G163="","",'WetLitterbags placem_collection'!G163)</f>
        <v>42814</v>
      </c>
      <c r="O236" s="194">
        <f>IFERROR(INDEX('Both teabags AfterWet'!$C$3:$C$2000,MATCH(H236,'Both teabags AfterWet'!$A$3:$A$2000,0)),"")</f>
        <v>0.57509999999999994</v>
      </c>
      <c r="P236" s="194">
        <f>IFERROR(INDEX('Both teabags AfterWet'!$C$3:$C$2000,MATCH(I236,'Both teabags AfterWet'!$A$3:$A$2000,0)),"")</f>
        <v>1.6863999999999999</v>
      </c>
      <c r="Q236" s="194">
        <f t="shared" si="15"/>
        <v>0.42449999999999993</v>
      </c>
      <c r="R236" s="194">
        <f t="shared" si="15"/>
        <v>1.5357999999999998</v>
      </c>
      <c r="S236" s="194">
        <f t="shared" si="16"/>
        <v>0.75017655367231639</v>
      </c>
      <c r="T236" s="194">
        <f t="shared" si="17"/>
        <v>0.49180220620797943</v>
      </c>
      <c r="U236" s="194">
        <f t="shared" si="18"/>
        <v>0.78269289572928336</v>
      </c>
      <c r="V236">
        <f>IFERROR(IF((N236-G236)&gt;0,(IFERROR(N236-G236,"")),""),"")</f>
        <v>51</v>
      </c>
      <c r="W236" s="194">
        <f t="shared" si="19"/>
        <v>0.10905397426090691</v>
      </c>
      <c r="X236" s="194">
        <f t="shared" si="20"/>
        <v>1.1434180363683804E-2</v>
      </c>
      <c r="Y236" s="252" t="str">
        <f>IF(ISNUMBER(SEARCH("C",'WetLitterbags placem_collection'!$X163)),"YES","NO")</f>
        <v>NO</v>
      </c>
      <c r="Z236" s="252" t="str">
        <f>IF(ISNUMBER(SEARCH("H", 'WetLitterbags placem_collection'!$X163)),"YES","NO")</f>
        <v>NO</v>
      </c>
      <c r="AA236" s="252" t="str">
        <f>IF(ISNUMBER(SEARCH("R", 'WetLitterbags placem_collection'!$X163)),"YES","NO")</f>
        <v>NO</v>
      </c>
      <c r="AB236" s="252" t="str">
        <f>IF(ISNUMBER(SEARCH("C", 'WetLitterbags placem_collection'!$V163)),"YES","NO")</f>
        <v>NO</v>
      </c>
      <c r="AC236" s="252" t="str">
        <f>IF(ISNUMBER(SEARCH("H", 'WetLitterbags placem_collection'!$V163)),"YES","NO")</f>
        <v>NO</v>
      </c>
      <c r="AD236" s="252" t="str">
        <f>IF(ISNUMBER(SEARCH("R", 'WetLitterbags placem_collection'!$V163)),"YES","NO")</f>
        <v>NO</v>
      </c>
    </row>
    <row r="237" spans="2:30">
      <c r="B237" t="str">
        <f>'Final data_for_R_analysis_Wetse'!A163</f>
        <v>Wet</v>
      </c>
      <c r="C237" s="260">
        <f>'Final data_for_R_analysis_Wetse'!B163</f>
        <v>162</v>
      </c>
      <c r="D237" t="s">
        <v>3825</v>
      </c>
      <c r="E237" t="s">
        <v>22</v>
      </c>
      <c r="F237" s="381">
        <v>2</v>
      </c>
      <c r="G237" s="16">
        <f>'WetLitterbags placem_collection'!E164</f>
        <v>42763</v>
      </c>
      <c r="H237" t="str">
        <f>'Final data_for_R_analysis_Wetse'!K163</f>
        <v>G385</v>
      </c>
      <c r="I237" t="str">
        <f>'Final data_for_R_analysis_Wetse'!K383</f>
        <v>R202</v>
      </c>
      <c r="J237">
        <f>IFERROR(INDEX('Green_rooibos initial weight'!$C$5:$C$2000,MATCH(H237, 'Green_rooibos initial weight'!$A$5:$A$2000,0)),"")</f>
        <v>1.962</v>
      </c>
      <c r="K237">
        <f>IFERROR(INDEX('Green_rooibos initial weight'!$C$5:$C$2000,MATCH(I237, 'Green_rooibos initial weight'!$A$5:$A$2000,0)),"")</f>
        <v>2.298</v>
      </c>
      <c r="L237" s="194">
        <f t="shared" si="14"/>
        <v>1.7121999999999999</v>
      </c>
      <c r="M237" s="194">
        <f>IF(K237&gt;0,(K237*$F$32-($F$29+$F$30)),"")</f>
        <v>2.0482</v>
      </c>
      <c r="N237" s="16">
        <f>IF('WetLitterbags placem_collection'!G164="","",'WetLitterbags placem_collection'!G164)</f>
        <v>42814</v>
      </c>
      <c r="O237" s="194">
        <f>IFERROR(INDEX('Both teabags AfterWet'!$C$3:$C$2000,MATCH(H237,'Both teabags AfterWet'!$A$3:$A$2000,0)),"")</f>
        <v>0.62280000000000002</v>
      </c>
      <c r="P237" s="194">
        <f>IFERROR(INDEX('Both teabags AfterWet'!$C$3:$C$2000,MATCH(I237,'Both teabags AfterWet'!$A$3:$A$2000,0)),"")</f>
        <v>0.52</v>
      </c>
      <c r="Q237" s="194">
        <f t="shared" si="15"/>
        <v>0.47220000000000001</v>
      </c>
      <c r="R237" s="194">
        <f t="shared" si="15"/>
        <v>0.36940000000000001</v>
      </c>
      <c r="S237" s="194">
        <f t="shared" si="16"/>
        <v>0.72421446092746167</v>
      </c>
      <c r="T237" s="194">
        <f t="shared" si="17"/>
        <v>0.47478192687881104</v>
      </c>
      <c r="U237" s="194">
        <f t="shared" si="18"/>
        <v>0.18035348110536081</v>
      </c>
      <c r="V237">
        <f>IFERROR(IF((N237-G237)&gt;0,(IFERROR(N237-G237,"")),""),"")</f>
        <v>51</v>
      </c>
      <c r="W237" s="194">
        <f t="shared" si="19"/>
        <v>0.13988781362534242</v>
      </c>
      <c r="X237" s="194" t="str">
        <f t="shared" si="20"/>
        <v/>
      </c>
      <c r="Y237" s="252" t="str">
        <f>IF(ISNUMBER(SEARCH("C",'WetLitterbags placem_collection'!$X164)),"YES","NO")</f>
        <v>NO</v>
      </c>
      <c r="Z237" s="252" t="str">
        <f>IF(ISNUMBER(SEARCH("H", 'WetLitterbags placem_collection'!$X164)),"YES","NO")</f>
        <v>NO</v>
      </c>
      <c r="AA237" s="252" t="str">
        <f>IF(ISNUMBER(SEARCH("R", 'WetLitterbags placem_collection'!$X164)),"YES","NO")</f>
        <v>NO</v>
      </c>
      <c r="AB237" s="252" t="str">
        <f>IF(ISNUMBER(SEARCH("C", 'WetLitterbags placem_collection'!$V164)),"YES","NO")</f>
        <v>NO</v>
      </c>
      <c r="AC237" s="252" t="str">
        <f>IF(ISNUMBER(SEARCH("H", 'WetLitterbags placem_collection'!$V164)),"YES","NO")</f>
        <v>NO</v>
      </c>
      <c r="AD237" s="252" t="str">
        <f>IF(ISNUMBER(SEARCH("R", 'WetLitterbags placem_collection'!$V164)),"YES","NO")</f>
        <v>NO</v>
      </c>
    </row>
    <row r="238" spans="2:30">
      <c r="B238" t="str">
        <f>'Final data_for_R_analysis_Wetse'!A164</f>
        <v>Wet</v>
      </c>
      <c r="C238" s="260">
        <f>'Final data_for_R_analysis_Wetse'!B164</f>
        <v>163</v>
      </c>
      <c r="D238" t="s">
        <v>3825</v>
      </c>
      <c r="E238" t="s">
        <v>22</v>
      </c>
      <c r="F238" s="381">
        <v>3</v>
      </c>
      <c r="G238" s="16">
        <f>'WetLitterbags placem_collection'!E165</f>
        <v>42763</v>
      </c>
      <c r="H238" t="str">
        <f>'Final data_for_R_analysis_Wetse'!K164</f>
        <v>G202</v>
      </c>
      <c r="I238" t="str">
        <f>'Final data_for_R_analysis_Wetse'!K384</f>
        <v>R96</v>
      </c>
      <c r="J238">
        <f>IFERROR(INDEX('Green_rooibos initial weight'!$C$5:$C$2000,MATCH(H238, 'Green_rooibos initial weight'!$A$5:$A$2000,0)),"")</f>
        <v>1.986</v>
      </c>
      <c r="K238">
        <f>IFERROR(INDEX('Green_rooibos initial weight'!$C$5:$C$2000,MATCH(I238, 'Green_rooibos initial weight'!$A$5:$A$2000,0)),"")</f>
        <v>2.2309999999999999</v>
      </c>
      <c r="L238" s="194">
        <f t="shared" si="14"/>
        <v>1.7362</v>
      </c>
      <c r="M238" s="194">
        <f>IF(K238&gt;0,(K238*$F$32-($F$29+$F$30)),"")</f>
        <v>1.9811999999999999</v>
      </c>
      <c r="N238" s="16">
        <f>IF('WetLitterbags placem_collection'!G165="","",'WetLitterbags placem_collection'!G165)</f>
        <v>42814</v>
      </c>
      <c r="O238" s="194">
        <f>IFERROR(INDEX('Both teabags AfterWet'!$C$3:$C$2000,MATCH(H238,'Both teabags AfterWet'!$A$3:$A$2000,0)),"")</f>
        <v>0.64500000000000002</v>
      </c>
      <c r="P238" s="194">
        <f>IFERROR(INDEX('Both teabags AfterWet'!$C$3:$C$2000,MATCH(I238,'Both teabags AfterWet'!$A$3:$A$2000,0)),"")</f>
        <v>1.696</v>
      </c>
      <c r="Q238" s="194">
        <f t="shared" si="15"/>
        <v>0.49440000000000001</v>
      </c>
      <c r="R238" s="194">
        <f t="shared" si="15"/>
        <v>1.5453999999999999</v>
      </c>
      <c r="S238" s="194">
        <f t="shared" si="16"/>
        <v>0.71524017970279918</v>
      </c>
      <c r="T238" s="194">
        <f t="shared" si="17"/>
        <v>0.46889855011394921</v>
      </c>
      <c r="U238" s="194">
        <f t="shared" si="18"/>
        <v>0.78003230365435094</v>
      </c>
      <c r="V238">
        <f>IFERROR(IF((N238-G238)&gt;0,(IFERROR(N238-G238,"")),""),"")</f>
        <v>51</v>
      </c>
      <c r="W238" s="194">
        <f t="shared" si="19"/>
        <v>0.15054610486603415</v>
      </c>
      <c r="X238" s="194">
        <f t="shared" si="20"/>
        <v>1.2415907290186552E-2</v>
      </c>
      <c r="Y238" s="252" t="str">
        <f>IF(ISNUMBER(SEARCH("C",'WetLitterbags placem_collection'!$X165)),"YES","NO")</f>
        <v>NO</v>
      </c>
      <c r="Z238" s="252" t="str">
        <f>IF(ISNUMBER(SEARCH("H", 'WetLitterbags placem_collection'!$X165)),"YES","NO")</f>
        <v>NO</v>
      </c>
      <c r="AA238" s="252" t="str">
        <f>IF(ISNUMBER(SEARCH("R", 'WetLitterbags placem_collection'!$X165)),"YES","NO")</f>
        <v>NO</v>
      </c>
      <c r="AB238" s="252" t="str">
        <f>IF(ISNUMBER(SEARCH("C", 'WetLitterbags placem_collection'!$V165)),"YES","NO")</f>
        <v>NO</v>
      </c>
      <c r="AC238" s="252" t="str">
        <f>IF(ISNUMBER(SEARCH("H", 'WetLitterbags placem_collection'!$V165)),"YES","NO")</f>
        <v>YES</v>
      </c>
      <c r="AD238" s="252" t="str">
        <f>IF(ISNUMBER(SEARCH("R", 'WetLitterbags placem_collection'!$V165)),"YES","NO")</f>
        <v>NO</v>
      </c>
    </row>
    <row r="239" spans="2:30">
      <c r="B239" t="str">
        <f>'Final data_for_R_analysis_Wetse'!A165</f>
        <v>Wet</v>
      </c>
      <c r="C239" s="260">
        <f>'Final data_for_R_analysis_Wetse'!B165</f>
        <v>164</v>
      </c>
      <c r="D239" t="s">
        <v>3825</v>
      </c>
      <c r="E239" t="s">
        <v>22</v>
      </c>
      <c r="F239" s="382">
        <v>4</v>
      </c>
      <c r="G239" s="16">
        <f>'WetLitterbags placem_collection'!E166</f>
        <v>42763</v>
      </c>
      <c r="H239" t="str">
        <f>'Final data_for_R_analysis_Wetse'!K165</f>
        <v>G686</v>
      </c>
      <c r="I239" t="str">
        <f>'Final data_for_R_analysis_Wetse'!K385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14"/>
        <v>1.7012</v>
      </c>
      <c r="M239" s="194">
        <f>IF(K239&gt;0,(K239*$F$32-($F$29+$F$30)),"")</f>
        <v>1.9742000000000002</v>
      </c>
      <c r="N239" s="16">
        <f>IF('WetLitterbags placem_collection'!G166="","",'WetLitterbags placem_collection'!G166)</f>
        <v>42814</v>
      </c>
      <c r="O239" s="194">
        <f>IFERROR(INDEX('Both teabags AfterWet'!$C$3:$C$2000,MATCH(H239,'Both teabags AfterWet'!$A$3:$A$2000,0)),"")</f>
        <v>0.628</v>
      </c>
      <c r="P239" s="194">
        <f>IFERROR(INDEX('Both teabags AfterWet'!$C$3:$C$2000,MATCH(I239,'Both teabags AfterWet'!$A$3:$A$2000,0)),"")</f>
        <v>1.7210000000000001</v>
      </c>
      <c r="Q239" s="194">
        <f t="shared" si="15"/>
        <v>0.47739999999999999</v>
      </c>
      <c r="R239" s="194">
        <f t="shared" si="15"/>
        <v>1.5704</v>
      </c>
      <c r="S239" s="194">
        <f t="shared" si="16"/>
        <v>0.71937455913472848</v>
      </c>
      <c r="T239" s="194">
        <f t="shared" si="17"/>
        <v>0.47160897463464391</v>
      </c>
      <c r="U239" s="194">
        <f t="shared" si="18"/>
        <v>0.79546145274035041</v>
      </c>
      <c r="V239">
        <f>IFERROR(IF((N239-G239)&gt;0,(IFERROR(N239-G239,"")),""),"")</f>
        <v>51</v>
      </c>
      <c r="W239" s="194">
        <f t="shared" si="19"/>
        <v>0.14563591551694954</v>
      </c>
      <c r="X239" s="194">
        <f t="shared" si="20"/>
        <v>1.1149760825637843E-2</v>
      </c>
      <c r="Y239" s="252" t="str">
        <f>IF(ISNUMBER(SEARCH("C",'WetLitterbags placem_collection'!$X166)),"YES","NO")</f>
        <v>NO</v>
      </c>
      <c r="Z239" s="252" t="str">
        <f>IF(ISNUMBER(SEARCH("H", 'WetLitterbags placem_collection'!$X166)),"YES","NO")</f>
        <v>NO</v>
      </c>
      <c r="AA239" s="252" t="str">
        <f>IF(ISNUMBER(SEARCH("R", 'WetLitterbags placem_collection'!$X166)),"YES","NO")</f>
        <v>NO</v>
      </c>
      <c r="AB239" s="252" t="str">
        <f>IF(ISNUMBER(SEARCH("C", 'WetLitterbags placem_collection'!$V166)),"YES","NO")</f>
        <v>NO</v>
      </c>
      <c r="AC239" s="252" t="str">
        <f>IF(ISNUMBER(SEARCH("H", 'WetLitterbags placem_collection'!$V166)),"YES","NO")</f>
        <v>NO</v>
      </c>
      <c r="AD239" s="252" t="str">
        <f>IF(ISNUMBER(SEARCH("R", 'WetLitterbags placem_collection'!$V166)),"YES","NO")</f>
        <v>NO</v>
      </c>
    </row>
    <row r="240" spans="2:30">
      <c r="B240" t="str">
        <f>'Final data_for_R_analysis_Wetse'!A166</f>
        <v>Wet</v>
      </c>
      <c r="C240" s="260">
        <f>'Final data_for_R_analysis_Wetse'!B166</f>
        <v>165</v>
      </c>
      <c r="D240" t="s">
        <v>3825</v>
      </c>
      <c r="E240" t="s">
        <v>22</v>
      </c>
      <c r="F240" s="382">
        <v>5</v>
      </c>
      <c r="G240" s="16">
        <f>'WetLitterbags placem_collection'!E167</f>
        <v>42763</v>
      </c>
      <c r="H240" t="str">
        <f>'Final data_for_R_analysis_Wetse'!K166</f>
        <v>G368</v>
      </c>
      <c r="I240" t="str">
        <f>'Final data_for_R_analysis_Wetse'!K386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14"/>
        <v>1.9211999999999998</v>
      </c>
      <c r="M240" s="194">
        <f>IF(K240&gt;0,(K240*$F$32-($F$29+$F$30)),"")</f>
        <v>1.9912000000000001</v>
      </c>
      <c r="N240" s="16">
        <f>IF('WetLitterbags placem_collection'!G167="","",'WetLitterbags placem_collection'!G167)</f>
        <v>42814</v>
      </c>
      <c r="O240" s="194">
        <f>IFERROR(INDEX('Both teabags AfterWet'!$C$3:$C$2000,MATCH(H240,'Both teabags AfterWet'!$A$3:$A$2000,0)),"")</f>
        <v>0.72699999999999998</v>
      </c>
      <c r="P240" s="194">
        <f>IFERROR(INDEX('Both teabags AfterWet'!$C$3:$C$2000,MATCH(I240,'Both teabags AfterWet'!$A$3:$A$2000,0)),"")</f>
        <v>1.724</v>
      </c>
      <c r="Q240" s="194">
        <f t="shared" si="15"/>
        <v>0.57640000000000002</v>
      </c>
      <c r="R240" s="194">
        <f t="shared" si="15"/>
        <v>1.5733999999999999</v>
      </c>
      <c r="S240" s="194">
        <f t="shared" si="16"/>
        <v>0.69997917967936707</v>
      </c>
      <c r="T240" s="194">
        <f t="shared" si="17"/>
        <v>0.45889371399407441</v>
      </c>
      <c r="U240" s="194">
        <f t="shared" si="18"/>
        <v>0.79017677782241857</v>
      </c>
      <c r="V240">
        <f>IFERROR(IF((N240-G240)&gt;0,(IFERROR(N240-G240,"")),""),"")</f>
        <v>51</v>
      </c>
      <c r="W240" s="194">
        <f t="shared" si="19"/>
        <v>0.16867080798174927</v>
      </c>
      <c r="X240" s="194">
        <f t="shared" si="20"/>
        <v>1.198201308345986E-2</v>
      </c>
      <c r="Y240" s="252" t="str">
        <f>IF(ISNUMBER(SEARCH("C",'WetLitterbags placem_collection'!$X167)),"YES","NO")</f>
        <v>NO</v>
      </c>
      <c r="Z240" s="252" t="str">
        <f>IF(ISNUMBER(SEARCH("H", 'WetLitterbags placem_collection'!$X167)),"YES","NO")</f>
        <v>NO</v>
      </c>
      <c r="AA240" s="252" t="str">
        <f>IF(ISNUMBER(SEARCH("R", 'WetLitterbags placem_collection'!$X167)),"YES","NO")</f>
        <v>NO</v>
      </c>
      <c r="AB240" s="252" t="str">
        <f>IF(ISNUMBER(SEARCH("C", 'WetLitterbags placem_collection'!$V167)),"YES","NO")</f>
        <v>NO</v>
      </c>
      <c r="AC240" s="252" t="str">
        <f>IF(ISNUMBER(SEARCH("H", 'WetLitterbags placem_collection'!$V167)),"YES","NO")</f>
        <v>NO</v>
      </c>
      <c r="AD240" s="252" t="str">
        <f>IF(ISNUMBER(SEARCH("R", 'WetLitterbags placem_collection'!$V167)),"YES","NO")</f>
        <v>NO</v>
      </c>
    </row>
    <row r="241" spans="2:30">
      <c r="B241" t="str">
        <f>'Final data_for_R_analysis_Wetse'!A167</f>
        <v>Wet</v>
      </c>
      <c r="C241" s="260">
        <f>'Final data_for_R_analysis_Wetse'!B167</f>
        <v>166</v>
      </c>
      <c r="D241" t="s">
        <v>3825</v>
      </c>
      <c r="E241" t="s">
        <v>22</v>
      </c>
      <c r="F241" s="382">
        <v>6</v>
      </c>
      <c r="G241" s="16">
        <f>'WetLitterbags placem_collection'!E168</f>
        <v>42763</v>
      </c>
      <c r="H241" t="str">
        <f>'Final data_for_R_analysis_Wetse'!K167</f>
        <v>G334</v>
      </c>
      <c r="I241" t="str">
        <f>'Final data_for_R_analysis_Wetse'!K387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14"/>
        <v>1.8212000000000002</v>
      </c>
      <c r="M241" s="194">
        <f>IF(K241&gt;0,(K241*$F$32-($F$29+$F$30)),"")</f>
        <v>1.9462000000000002</v>
      </c>
      <c r="N241" s="16">
        <f>IF('WetLitterbags placem_collection'!G168="","",'WetLitterbags placem_collection'!G168)</f>
        <v>42814</v>
      </c>
      <c r="O241" s="194">
        <f>IFERROR(INDEX('Both teabags AfterWet'!$C$3:$C$2000,MATCH(H241,'Both teabags AfterWet'!$A$3:$A$2000,0)),"")</f>
        <v>0.80800000000000005</v>
      </c>
      <c r="P241" s="194">
        <f>IFERROR(INDEX('Both teabags AfterWet'!$C$3:$C$2000,MATCH(I241,'Both teabags AfterWet'!$A$3:$A$2000,0)),"")</f>
        <v>1.6496999999999999</v>
      </c>
      <c r="Q241" s="194">
        <f t="shared" si="15"/>
        <v>0.65739999999999998</v>
      </c>
      <c r="R241" s="194">
        <f t="shared" si="15"/>
        <v>1.4990999999999999</v>
      </c>
      <c r="S241" s="194">
        <f t="shared" si="16"/>
        <v>0.63902921150889525</v>
      </c>
      <c r="T241" s="194">
        <f t="shared" si="17"/>
        <v>0.41893601514597417</v>
      </c>
      <c r="U241" s="194">
        <f t="shared" si="18"/>
        <v>0.77027027027027017</v>
      </c>
      <c r="V241">
        <f>IFERROR(IF((N241-G241)&gt;0,(IFERROR(N241-G241,"")),""),"")</f>
        <v>51</v>
      </c>
      <c r="W241" s="194">
        <f t="shared" si="19"/>
        <v>0.24105794357613386</v>
      </c>
      <c r="X241" s="194">
        <f t="shared" si="20"/>
        <v>1.5585888680329124E-2</v>
      </c>
      <c r="Y241" s="252" t="str">
        <f>IF(ISNUMBER(SEARCH("C",'WetLitterbags placem_collection'!$X168)),"YES","NO")</f>
        <v>NO</v>
      </c>
      <c r="Z241" s="252" t="str">
        <f>IF(ISNUMBER(SEARCH("H", 'WetLitterbags placem_collection'!$X168)),"YES","NO")</f>
        <v>NO</v>
      </c>
      <c r="AA241" s="252" t="str">
        <f>IF(ISNUMBER(SEARCH("R", 'WetLitterbags placem_collection'!$X168)),"YES","NO")</f>
        <v>NO</v>
      </c>
      <c r="AB241" s="252" t="str">
        <f>IF(ISNUMBER(SEARCH("C", 'WetLitterbags placem_collection'!$V168)),"YES","NO")</f>
        <v>NO</v>
      </c>
      <c r="AC241" s="252" t="str">
        <f>IF(ISNUMBER(SEARCH("H", 'WetLitterbags placem_collection'!$V168)),"YES","NO")</f>
        <v>NO</v>
      </c>
      <c r="AD241" s="252" t="str">
        <f>IF(ISNUMBER(SEARCH("R", 'WetLitterbags placem_collection'!$V168)),"YES","NO")</f>
        <v>NO</v>
      </c>
    </row>
    <row r="242" spans="2:30">
      <c r="B242" t="str">
        <f>'Final data_for_R_analysis_Wetse'!A168</f>
        <v>Wet</v>
      </c>
      <c r="C242" s="260">
        <f>'Final data_for_R_analysis_Wetse'!B168</f>
        <v>167</v>
      </c>
      <c r="D242" t="s">
        <v>3825</v>
      </c>
      <c r="E242" t="s">
        <v>22</v>
      </c>
      <c r="F242" s="382">
        <v>7</v>
      </c>
      <c r="G242" s="16">
        <f>'WetLitterbags placem_collection'!E169</f>
        <v>42763</v>
      </c>
      <c r="H242" t="str">
        <f>'Final data_for_R_analysis_Wetse'!K168</f>
        <v>G429</v>
      </c>
      <c r="I242" t="str">
        <f>'Final data_for_R_analysis_Wetse'!K388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14"/>
        <v>1.6821999999999999</v>
      </c>
      <c r="M242" s="194">
        <f>IF(K242&gt;0,(K242*$F$32-($F$29+$F$30)),"")</f>
        <v>1.9361999999999999</v>
      </c>
      <c r="N242" s="16">
        <f>IF('WetLitterbags placem_collection'!G169="","",'WetLitterbags placem_collection'!G169)</f>
        <v>42814</v>
      </c>
      <c r="O242" s="194">
        <f>IFERROR(INDEX('Both teabags AfterWet'!$C$3:$C$2000,MATCH(H242,'Both teabags AfterWet'!$A$3:$A$2000,0)),"")</f>
        <v>0.64529999999999998</v>
      </c>
      <c r="P242" s="194">
        <f>IFERROR(INDEX('Both teabags AfterWet'!$C$3:$C$2000,MATCH(I242,'Both teabags AfterWet'!$A$3:$A$2000,0)),"")</f>
        <v>1.7073</v>
      </c>
      <c r="Q242" s="194">
        <f t="shared" si="15"/>
        <v>0.49469999999999997</v>
      </c>
      <c r="R242" s="194">
        <f t="shared" si="15"/>
        <v>1.5567</v>
      </c>
      <c r="S242" s="194">
        <f t="shared" si="16"/>
        <v>0.70592081797645934</v>
      </c>
      <c r="T242" s="194">
        <f t="shared" si="17"/>
        <v>0.46278894480166938</v>
      </c>
      <c r="U242" s="194">
        <f t="shared" si="18"/>
        <v>0.80399752091726062</v>
      </c>
      <c r="V242">
        <f>IFERROR(IF((N242-G242)&gt;0,(IFERROR(N242-G242,"")),""),"")</f>
        <v>51</v>
      </c>
      <c r="W242" s="194">
        <f t="shared" si="19"/>
        <v>0.16161423043175849</v>
      </c>
      <c r="X242" s="194">
        <f t="shared" si="20"/>
        <v>1.08004416241673E-2</v>
      </c>
      <c r="Y242" s="252" t="str">
        <f>IF(ISNUMBER(SEARCH("C",'WetLitterbags placem_collection'!$X169)),"YES","NO")</f>
        <v>NO</v>
      </c>
      <c r="Z242" s="252" t="str">
        <f>IF(ISNUMBER(SEARCH("H", 'WetLitterbags placem_collection'!$X169)),"YES","NO")</f>
        <v>NO</v>
      </c>
      <c r="AA242" s="252" t="str">
        <f>IF(ISNUMBER(SEARCH("R", 'WetLitterbags placem_collection'!$X169)),"YES","NO")</f>
        <v>NO</v>
      </c>
      <c r="AB242" s="252" t="str">
        <f>IF(ISNUMBER(SEARCH("C", 'WetLitterbags placem_collection'!$V169)),"YES","NO")</f>
        <v>NO</v>
      </c>
      <c r="AC242" s="252" t="str">
        <f>IF(ISNUMBER(SEARCH("H", 'WetLitterbags placem_collection'!$V169)),"YES","NO")</f>
        <v>NO</v>
      </c>
      <c r="AD242" s="252" t="str">
        <f>IF(ISNUMBER(SEARCH("R", 'WetLitterbags placem_collection'!$V169)),"YES","NO")</f>
        <v>NO</v>
      </c>
    </row>
    <row r="243" spans="2:30">
      <c r="B243" t="str">
        <f>'Final data_for_R_analysis_Wetse'!A169</f>
        <v>Wet</v>
      </c>
      <c r="C243" s="260">
        <f>'Final data_for_R_analysis_Wetse'!B169</f>
        <v>168</v>
      </c>
      <c r="D243" t="s">
        <v>3825</v>
      </c>
      <c r="E243" t="s">
        <v>22</v>
      </c>
      <c r="F243" s="382">
        <v>8</v>
      </c>
      <c r="G243" s="16">
        <f>'WetLitterbags placem_collection'!E170</f>
        <v>42763</v>
      </c>
      <c r="H243" t="str">
        <f>'Final data_for_R_analysis_Wetse'!K169</f>
        <v>G461</v>
      </c>
      <c r="I243" t="str">
        <f>'Final data_for_R_analysis_Wetse'!K389</f>
        <v>R534</v>
      </c>
      <c r="J243">
        <f>IFERROR(INDEX('Green_rooibos initial weight'!$C$5:$C$2000,MATCH(H243, 'Green_rooibos initial weight'!$A$5:$A$2000,0)),"")</f>
        <v>2.1030000000000002</v>
      </c>
      <c r="K243">
        <f>IFERROR(INDEX('Green_rooibos initial weight'!$C$5:$C$2000,MATCH(I243, 'Green_rooibos initial weight'!$A$5:$A$2000,0)),"")</f>
        <v>2.17</v>
      </c>
      <c r="L243" s="194">
        <f t="shared" si="14"/>
        <v>1.8532000000000002</v>
      </c>
      <c r="M243" s="194">
        <f>IF(K243&gt;0,(K243*$F$32-($F$29+$F$30)),"")</f>
        <v>1.9201999999999999</v>
      </c>
      <c r="N243" s="16">
        <f>IF('WetLitterbags placem_collection'!G170="","",'WetLitterbags placem_collection'!G170)</f>
        <v>42814</v>
      </c>
      <c r="O243" s="194">
        <f>IFERROR(INDEX('Both teabags AfterWet'!$C$3:$C$2000,MATCH(H243,'Both teabags AfterWet'!$A$3:$A$2000,0)),"")</f>
        <v>0.79400000000000004</v>
      </c>
      <c r="P243" s="194">
        <f>IFERROR(INDEX('Both teabags AfterWet'!$C$3:$C$2000,MATCH(I243,'Both teabags AfterWet'!$A$3:$A$2000,0)),"")</f>
        <v>1.722</v>
      </c>
      <c r="Q243" s="194">
        <f t="shared" si="15"/>
        <v>0.64339999999999997</v>
      </c>
      <c r="R243" s="194">
        <f t="shared" si="15"/>
        <v>1.5713999999999999</v>
      </c>
      <c r="S243" s="194">
        <f t="shared" si="16"/>
        <v>0.65281674940643208</v>
      </c>
      <c r="T243" s="194">
        <f t="shared" si="17"/>
        <v>0.42797487609542817</v>
      </c>
      <c r="U243" s="194">
        <f t="shared" si="18"/>
        <v>0.81835225497344022</v>
      </c>
      <c r="V243">
        <f>IFERROR(IF((N243-G243)&gt;0,(IFERROR(N243-G243,"")),""),"")</f>
        <v>51</v>
      </c>
      <c r="W243" s="194">
        <f t="shared" si="19"/>
        <v>0.22468319547929683</v>
      </c>
      <c r="X243" s="194">
        <f t="shared" si="20"/>
        <v>1.0831451755378356E-2</v>
      </c>
      <c r="Y243" s="252" t="str">
        <f>IF(ISNUMBER(SEARCH("C",'WetLitterbags placem_collection'!$X170)),"YES","NO")</f>
        <v>NO</v>
      </c>
      <c r="Z243" s="252" t="str">
        <f>IF(ISNUMBER(SEARCH("H", 'WetLitterbags placem_collection'!$X170)),"YES","NO")</f>
        <v>NO</v>
      </c>
      <c r="AA243" s="252" t="str">
        <f>IF(ISNUMBER(SEARCH("R", 'WetLitterbags placem_collection'!$X170)),"YES","NO")</f>
        <v>NO</v>
      </c>
      <c r="AB243" s="252" t="str">
        <f>IF(ISNUMBER(SEARCH("C", 'WetLitterbags placem_collection'!$V170)),"YES","NO")</f>
        <v>YES</v>
      </c>
      <c r="AC243" s="252" t="str">
        <f>IF(ISNUMBER(SEARCH("H", 'WetLitterbags placem_collection'!$V170)),"YES","NO")</f>
        <v>YES</v>
      </c>
      <c r="AD243" s="252" t="str">
        <f>IF(ISNUMBER(SEARCH("R", 'WetLitterbags placem_collection'!$V170)),"YES","NO")</f>
        <v>NO</v>
      </c>
    </row>
    <row r="244" spans="2:30">
      <c r="B244" t="str">
        <f>'Final data_for_R_analysis_Wetse'!A170</f>
        <v>Wet</v>
      </c>
      <c r="C244" s="260">
        <f>'Final data_for_R_analysis_Wetse'!B170</f>
        <v>169</v>
      </c>
      <c r="D244" t="s">
        <v>3827</v>
      </c>
      <c r="E244" t="s">
        <v>22</v>
      </c>
      <c r="F244" s="381">
        <v>1</v>
      </c>
      <c r="G244" s="16">
        <f>'WetLitterbags placem_collection'!E171</f>
        <v>42763</v>
      </c>
      <c r="H244" t="str">
        <f>'Final data_for_R_analysis_Wetse'!K170</f>
        <v>G425</v>
      </c>
      <c r="I244" t="str">
        <f>'Final data_for_R_analysis_Wetse'!K390</f>
        <v>R453</v>
      </c>
      <c r="J244">
        <f>IFERROR(INDEX('Green_rooibos initial weight'!$C$5:$C$2000,MATCH(H244, 'Green_rooibos initial weight'!$A$5:$A$2000,0)),"")</f>
        <v>1.9750000000000001</v>
      </c>
      <c r="K244">
        <f>IFERROR(INDEX('Green_rooibos initial weight'!$C$5:$C$2000,MATCH(I244, 'Green_rooibos initial weight'!$A$5:$A$2000,0)),"")</f>
        <v>2.165</v>
      </c>
      <c r="L244" s="194">
        <f t="shared" si="14"/>
        <v>1.7252000000000001</v>
      </c>
      <c r="M244" s="194">
        <f>IF(K244&gt;0,(K244*$F$32-($F$29+$F$30)),"")</f>
        <v>1.9152</v>
      </c>
      <c r="N244" s="16">
        <f>IF('WetLitterbags placem_collection'!G171="","",'WetLitterbags placem_collection'!G171)</f>
        <v>42814</v>
      </c>
      <c r="O244" s="194">
        <f>IFERROR(INDEX('Both teabags AfterWet'!$C$3:$C$2000,MATCH(H244,'Both teabags AfterWet'!$A$3:$A$2000,0)),"")</f>
        <v>0.65800000000000003</v>
      </c>
      <c r="P244" s="194">
        <f>IFERROR(INDEX('Both teabags AfterWet'!$C$3:$C$2000,MATCH(I244,'Both teabags AfterWet'!$A$3:$A$2000,0)),"")</f>
        <v>0.14299999999999999</v>
      </c>
      <c r="Q244" s="194">
        <f t="shared" si="15"/>
        <v>0.50740000000000007</v>
      </c>
      <c r="R244" s="194">
        <f t="shared" si="15"/>
        <v>-7.6000000000000234E-3</v>
      </c>
      <c r="S244" s="194">
        <f t="shared" si="16"/>
        <v>0.70588917226988168</v>
      </c>
      <c r="T244" s="194">
        <f t="shared" si="17"/>
        <v>0.46276819844771344</v>
      </c>
      <c r="U244" s="194">
        <f t="shared" si="18"/>
        <v>-3.9682539682539802E-3</v>
      </c>
      <c r="V244">
        <f>IFERROR(IF((N244-G244)&gt;0,(IFERROR(N244-G244,"")),""),"")</f>
        <v>51</v>
      </c>
      <c r="W244" s="194">
        <f t="shared" si="19"/>
        <v>0.16165181440631626</v>
      </c>
      <c r="X244" s="194" t="str">
        <f t="shared" si="20"/>
        <v/>
      </c>
      <c r="Y244" s="252" t="str">
        <f>IF(ISNUMBER(SEARCH("C",'WetLitterbags placem_collection'!$X171)),"YES","NO")</f>
        <v>NO</v>
      </c>
      <c r="Z244" s="252" t="str">
        <f>IF(ISNUMBER(SEARCH("H", 'WetLitterbags placem_collection'!$X171)),"YES","NO")</f>
        <v>NO</v>
      </c>
      <c r="AA244" s="252" t="str">
        <f>IF(ISNUMBER(SEARCH("R", 'WetLitterbags placem_collection'!$X171)),"YES","NO")</f>
        <v>NO</v>
      </c>
      <c r="AB244" s="252" t="str">
        <f>IF(ISNUMBER(SEARCH("C", 'WetLitterbags placem_collection'!$V171)),"YES","NO")</f>
        <v>NO</v>
      </c>
      <c r="AC244" s="252" t="str">
        <f>IF(ISNUMBER(SEARCH("H", 'WetLitterbags placem_collection'!$V171)),"YES","NO")</f>
        <v>NO</v>
      </c>
      <c r="AD244" s="252" t="str">
        <f>IF(ISNUMBER(SEARCH("R", 'WetLitterbags placem_collection'!$V171)),"YES","NO")</f>
        <v>NO</v>
      </c>
    </row>
    <row r="245" spans="2:30">
      <c r="B245" t="str">
        <f>'Final data_for_R_analysis_Wetse'!A171</f>
        <v>Wet</v>
      </c>
      <c r="C245" s="260">
        <f>'Final data_for_R_analysis_Wetse'!B171</f>
        <v>170</v>
      </c>
      <c r="D245" t="s">
        <v>3827</v>
      </c>
      <c r="E245" t="s">
        <v>22</v>
      </c>
      <c r="F245" s="381">
        <v>2</v>
      </c>
      <c r="G245" s="16">
        <f>'WetLitterbags placem_collection'!E172</f>
        <v>42763</v>
      </c>
      <c r="H245" t="str">
        <f>'Final data_for_R_analysis_Wetse'!K171</f>
        <v>G433</v>
      </c>
      <c r="I245" t="str">
        <f>'Final data_for_R_analysis_Wetse'!K391</f>
        <v>R330</v>
      </c>
      <c r="J245">
        <f>IFERROR(INDEX('Green_rooibos initial weight'!$C$5:$C$2000,MATCH(H245, 'Green_rooibos initial weight'!$A$5:$A$2000,0)),"")</f>
        <v>2.06</v>
      </c>
      <c r="K245">
        <f>IFERROR(INDEX('Green_rooibos initial weight'!$C$5:$C$2000,MATCH(I245, 'Green_rooibos initial weight'!$A$5:$A$2000,0)),"")</f>
        <v>2.12</v>
      </c>
      <c r="L245" s="194">
        <f t="shared" si="14"/>
        <v>1.8102</v>
      </c>
      <c r="M245" s="194">
        <f>IF(K245&gt;0,(K245*$F$32-($F$29+$F$30)),"")</f>
        <v>1.8702000000000001</v>
      </c>
      <c r="N245" s="16">
        <f>IF('WetLitterbags placem_collection'!G172="","",'WetLitterbags placem_collection'!G172)</f>
        <v>42814</v>
      </c>
      <c r="O245" s="194">
        <f>IFERROR(INDEX('Both teabags AfterWet'!$C$3:$C$2000,MATCH(H245,'Both teabags AfterWet'!$A$3:$A$2000,0)),"")</f>
        <v>0.64800000000000002</v>
      </c>
      <c r="P245" s="194">
        <f>IFERROR(INDEX('Both teabags AfterWet'!$C$3:$C$2000,MATCH(I245,'Both teabags AfterWet'!$A$3:$A$2000,0)),"")</f>
        <v>1.7769999999999999</v>
      </c>
      <c r="Q245" s="194">
        <f t="shared" si="15"/>
        <v>0.49740000000000001</v>
      </c>
      <c r="R245" s="194">
        <f t="shared" si="15"/>
        <v>1.6263999999999998</v>
      </c>
      <c r="S245" s="194">
        <f t="shared" si="16"/>
        <v>0.72522373218428904</v>
      </c>
      <c r="T245" s="194">
        <f t="shared" si="17"/>
        <v>0.47544358689516342</v>
      </c>
      <c r="U245" s="194">
        <f t="shared" si="18"/>
        <v>0.8696396107368195</v>
      </c>
      <c r="V245">
        <f>IFERROR(IF((N245-G245)&gt;0,(IFERROR(N245-G245,"")),""),"")</f>
        <v>51</v>
      </c>
      <c r="W245" s="194">
        <f t="shared" si="19"/>
        <v>0.13868915417542871</v>
      </c>
      <c r="X245" s="194">
        <f t="shared" si="20"/>
        <v>6.2835822526370278E-3</v>
      </c>
      <c r="Y245" s="252" t="str">
        <f>IF(ISNUMBER(SEARCH("C",'WetLitterbags placem_collection'!$X172)),"YES","NO")</f>
        <v>NO</v>
      </c>
      <c r="Z245" s="252" t="str">
        <f>IF(ISNUMBER(SEARCH("H", 'WetLitterbags placem_collection'!$X172)),"YES","NO")</f>
        <v>NO</v>
      </c>
      <c r="AA245" s="252" t="str">
        <f>IF(ISNUMBER(SEARCH("R", 'WetLitterbags placem_collection'!$X172)),"YES","NO")</f>
        <v>NO</v>
      </c>
      <c r="AB245" s="252" t="str">
        <f>IF(ISNUMBER(SEARCH("C", 'WetLitterbags placem_collection'!$V172)),"YES","NO")</f>
        <v>NO</v>
      </c>
      <c r="AC245" s="252" t="str">
        <f>IF(ISNUMBER(SEARCH("H", 'WetLitterbags placem_collection'!$V172)),"YES","NO")</f>
        <v>NO</v>
      </c>
      <c r="AD245" s="252" t="str">
        <f>IF(ISNUMBER(SEARCH("R", 'WetLitterbags placem_collection'!$V172)),"YES","NO")</f>
        <v>NO</v>
      </c>
    </row>
    <row r="246" spans="2:30">
      <c r="B246" t="str">
        <f>'Final data_for_R_analysis_Wetse'!A172</f>
        <v>Wet</v>
      </c>
      <c r="C246" s="260">
        <f>'Final data_for_R_analysis_Wetse'!B172</f>
        <v>171</v>
      </c>
      <c r="D246" t="s">
        <v>3827</v>
      </c>
      <c r="E246" t="s">
        <v>22</v>
      </c>
      <c r="F246" s="381">
        <v>3</v>
      </c>
      <c r="G246" s="16">
        <f>'WetLitterbags placem_collection'!E173</f>
        <v>42763</v>
      </c>
      <c r="H246" t="str">
        <f>'Final data_for_R_analysis_Wetse'!K172</f>
        <v>G656</v>
      </c>
      <c r="I246" t="str">
        <f>'Final data_for_R_analysis_Wetse'!K392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14"/>
        <v>1.8822000000000001</v>
      </c>
      <c r="M246" s="194">
        <f>IF(K246&gt;0,(K246*$F$32-($F$29+$F$30)),"")</f>
        <v>1.9262000000000001</v>
      </c>
      <c r="N246" s="16">
        <f>IF('WetLitterbags placem_collection'!G173="","",'WetLitterbags placem_collection'!G173)</f>
        <v>42814</v>
      </c>
      <c r="O246" s="194">
        <f>IFERROR(INDEX('Both teabags AfterWet'!$C$3:$C$2000,MATCH(H246,'Both teabags AfterWet'!$A$3:$A$2000,0)),"")</f>
        <v>0.63100000000000001</v>
      </c>
      <c r="P246" s="194">
        <f>IFERROR(INDEX('Both teabags AfterWet'!$C$3:$C$2000,MATCH(I246,'Both teabags AfterWet'!$A$3:$A$2000,0)),"")</f>
        <v>1.61</v>
      </c>
      <c r="Q246" s="194">
        <f t="shared" si="15"/>
        <v>0.48039999999999999</v>
      </c>
      <c r="R246" s="194">
        <f t="shared" si="15"/>
        <v>1.4594</v>
      </c>
      <c r="S246" s="194">
        <f t="shared" si="16"/>
        <v>0.74476676229943684</v>
      </c>
      <c r="T246" s="194">
        <f t="shared" si="17"/>
        <v>0.48825564464286125</v>
      </c>
      <c r="U246" s="194">
        <f t="shared" si="18"/>
        <v>0.75765756411587581</v>
      </c>
      <c r="V246">
        <f>IFERROR(IF((N246-G246)&gt;0,(IFERROR(N246-G246,"")),""),"")</f>
        <v>51</v>
      </c>
      <c r="W246" s="194">
        <f t="shared" si="19"/>
        <v>0.11547890463249777</v>
      </c>
      <c r="X246" s="194">
        <f t="shared" si="20"/>
        <v>1.344824444905837E-2</v>
      </c>
      <c r="Y246" s="252" t="str">
        <f>IF(ISNUMBER(SEARCH("C",'WetLitterbags placem_collection'!$X173)),"YES","NO")</f>
        <v>NO</v>
      </c>
      <c r="Z246" s="252" t="str">
        <f>IF(ISNUMBER(SEARCH("H", 'WetLitterbags placem_collection'!$X173)),"YES","NO")</f>
        <v>NO</v>
      </c>
      <c r="AA246" s="252" t="str">
        <f>IF(ISNUMBER(SEARCH("R", 'WetLitterbags placem_collection'!$X173)),"YES","NO")</f>
        <v>NO</v>
      </c>
      <c r="AB246" s="252" t="str">
        <f>IF(ISNUMBER(SEARCH("C", 'WetLitterbags placem_collection'!$V173)),"YES","NO")</f>
        <v>NO</v>
      </c>
      <c r="AC246" s="252" t="str">
        <f>IF(ISNUMBER(SEARCH("H", 'WetLitterbags placem_collection'!$V173)),"YES","NO")</f>
        <v>NO</v>
      </c>
      <c r="AD246" s="252" t="str">
        <f>IF(ISNUMBER(SEARCH("R", 'WetLitterbags placem_collection'!$V173)),"YES","NO")</f>
        <v>YES</v>
      </c>
    </row>
    <row r="247" spans="2:30">
      <c r="B247" t="str">
        <f>'Final data_for_R_analysis_Wetse'!A173</f>
        <v>Wet</v>
      </c>
      <c r="C247" s="260">
        <f>'Final data_for_R_analysis_Wetse'!B173</f>
        <v>172</v>
      </c>
      <c r="D247" t="s">
        <v>3827</v>
      </c>
      <c r="E247" t="s">
        <v>22</v>
      </c>
      <c r="F247" s="382">
        <v>4</v>
      </c>
      <c r="G247" s="16">
        <f>'WetLitterbags placem_collection'!E174</f>
        <v>42763</v>
      </c>
      <c r="H247" t="str">
        <f>'Final data_for_R_analysis_Wetse'!K173</f>
        <v>G281</v>
      </c>
      <c r="I247" t="str">
        <f>'Final data_for_R_analysis_Wetse'!K393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14"/>
        <v>1.7921999999999998</v>
      </c>
      <c r="M247" s="194">
        <f>IF(K247&gt;0,(K247*$F$32-($F$29+$F$30)),"")</f>
        <v>1.9321999999999999</v>
      </c>
      <c r="N247" s="16">
        <f>IF('WetLitterbags placem_collection'!G174="","",'WetLitterbags placem_collection'!G174)</f>
        <v>42814</v>
      </c>
      <c r="O247" s="194">
        <f>IFERROR(INDEX('Both teabags AfterWet'!$C$3:$C$2000,MATCH(H247,'Both teabags AfterWet'!$A$3:$A$2000,0)),"")</f>
        <v>0.69520000000000004</v>
      </c>
      <c r="P247" s="194">
        <f>IFERROR(INDEX('Both teabags AfterWet'!$C$3:$C$2000,MATCH(I247,'Both teabags AfterWet'!$A$3:$A$2000,0)),"")</f>
        <v>1.6782000000000001</v>
      </c>
      <c r="Q247" s="194">
        <f t="shared" si="15"/>
        <v>0.54459999999999997</v>
      </c>
      <c r="R247" s="194">
        <f t="shared" si="15"/>
        <v>1.5276000000000001</v>
      </c>
      <c r="S247" s="194">
        <f t="shared" si="16"/>
        <v>0.69612766432317819</v>
      </c>
      <c r="T247" s="194">
        <f t="shared" si="17"/>
        <v>0.45636873005510026</v>
      </c>
      <c r="U247" s="194">
        <f t="shared" si="18"/>
        <v>0.79060138701997729</v>
      </c>
      <c r="V247">
        <f>IFERROR(IF((N247-G247)&gt;0,(IFERROR(N247-G247,"")),""),"")</f>
        <v>51</v>
      </c>
      <c r="W247" s="194">
        <f t="shared" si="19"/>
        <v>0.17324505424800685</v>
      </c>
      <c r="X247" s="194">
        <f t="shared" si="20"/>
        <v>1.2039877558691417E-2</v>
      </c>
      <c r="Y247" s="252" t="str">
        <f>IF(ISNUMBER(SEARCH("C",'WetLitterbags placem_collection'!$X174)),"YES","NO")</f>
        <v>NO</v>
      </c>
      <c r="Z247" s="252" t="str">
        <f>IF(ISNUMBER(SEARCH("H", 'WetLitterbags placem_collection'!$X174)),"YES","NO")</f>
        <v>NO</v>
      </c>
      <c r="AA247" s="252" t="str">
        <f>IF(ISNUMBER(SEARCH("R", 'WetLitterbags placem_collection'!$X174)),"YES","NO")</f>
        <v>NO</v>
      </c>
      <c r="AB247" s="252" t="str">
        <f>IF(ISNUMBER(SEARCH("C", 'WetLitterbags placem_collection'!$V174)),"YES","NO")</f>
        <v>NO</v>
      </c>
      <c r="AC247" s="252" t="str">
        <f>IF(ISNUMBER(SEARCH("H", 'WetLitterbags placem_collection'!$V174)),"YES","NO")</f>
        <v>NO</v>
      </c>
      <c r="AD247" s="252" t="str">
        <f>IF(ISNUMBER(SEARCH("R", 'WetLitterbags placem_collection'!$V174)),"YES","NO")</f>
        <v>YES</v>
      </c>
    </row>
    <row r="248" spans="2:30">
      <c r="B248" t="str">
        <f>'Final data_for_R_analysis_Wetse'!A174</f>
        <v>Wet</v>
      </c>
      <c r="C248" s="260">
        <f>'Final data_for_R_analysis_Wetse'!B174</f>
        <v>173</v>
      </c>
      <c r="D248" t="s">
        <v>3827</v>
      </c>
      <c r="E248" t="s">
        <v>22</v>
      </c>
      <c r="F248" s="382">
        <v>5</v>
      </c>
      <c r="G248" s="16">
        <f>'WetLitterbags placem_collection'!E175</f>
        <v>42763</v>
      </c>
      <c r="H248" t="str">
        <f>'Final data_for_R_analysis_Wetse'!K174</f>
        <v>G216</v>
      </c>
      <c r="I248" t="str">
        <f>'Final data_for_R_analysis_Wetse'!K394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14"/>
        <v>1.8652000000000002</v>
      </c>
      <c r="M248" s="194">
        <f>IF(K248&gt;0,(K248*$F$32-($F$29+$F$30)),"")</f>
        <v>1.9392</v>
      </c>
      <c r="N248" s="16">
        <f>IF('WetLitterbags placem_collection'!G175="","",'WetLitterbags placem_collection'!G175)</f>
        <v>42814</v>
      </c>
      <c r="O248" s="194">
        <f>IFERROR(INDEX('Both teabags AfterWet'!$C$3:$C$2000,MATCH(H248,'Both teabags AfterWet'!$A$3:$A$2000,0)),"")</f>
        <v>0.57999999999999996</v>
      </c>
      <c r="P248" s="194">
        <f>IFERROR(INDEX('Both teabags AfterWet'!$C$3:$C$2000,MATCH(I248,'Both teabags AfterWet'!$A$3:$A$2000,0)),"")</f>
        <v>7.1999999999999995E-2</v>
      </c>
      <c r="Q248" s="194">
        <f t="shared" si="15"/>
        <v>0.42939999999999995</v>
      </c>
      <c r="R248" s="194">
        <f t="shared" si="15"/>
        <v>-7.8600000000000017E-2</v>
      </c>
      <c r="S248" s="194">
        <f t="shared" si="16"/>
        <v>0.76978340124383449</v>
      </c>
      <c r="T248" s="194">
        <f t="shared" si="17"/>
        <v>0.50465610152802454</v>
      </c>
      <c r="U248" s="194">
        <f t="shared" si="18"/>
        <v>-4.053217821782179E-2</v>
      </c>
      <c r="V248">
        <f>IFERROR(IF((N248-G248)&gt;0,(IFERROR(N248-G248,"")),""),"")</f>
        <v>51</v>
      </c>
      <c r="W248" s="194">
        <f t="shared" si="19"/>
        <v>8.5767932014448323E-2</v>
      </c>
      <c r="X248" s="194" t="str">
        <f t="shared" si="20"/>
        <v/>
      </c>
      <c r="Y248" s="252" t="str">
        <f>IF(ISNUMBER(SEARCH("C",'WetLitterbags placem_collection'!$X175)),"YES","NO")</f>
        <v>NO</v>
      </c>
      <c r="Z248" s="252" t="str">
        <f>IF(ISNUMBER(SEARCH("H", 'WetLitterbags placem_collection'!$X175)),"YES","NO")</f>
        <v>NO</v>
      </c>
      <c r="AA248" s="252" t="str">
        <f>IF(ISNUMBER(SEARCH("R", 'WetLitterbags placem_collection'!$X175)),"YES","NO")</f>
        <v>NO</v>
      </c>
      <c r="AB248" s="252" t="str">
        <f>IF(ISNUMBER(SEARCH("C", 'WetLitterbags placem_collection'!$V175)),"YES","NO")</f>
        <v>NO</v>
      </c>
      <c r="AC248" s="252" t="str">
        <f>IF(ISNUMBER(SEARCH("H", 'WetLitterbags placem_collection'!$V175)),"YES","NO")</f>
        <v>NO</v>
      </c>
      <c r="AD248" s="252" t="str">
        <f>IF(ISNUMBER(SEARCH("R", 'WetLitterbags placem_collection'!$V175)),"YES","NO")</f>
        <v>YES</v>
      </c>
    </row>
    <row r="249" spans="2:30">
      <c r="B249" t="str">
        <f>'Final data_for_R_analysis_Wetse'!A175</f>
        <v>Wet</v>
      </c>
      <c r="C249" s="260">
        <f>'Final data_for_R_analysis_Wetse'!B175</f>
        <v>174</v>
      </c>
      <c r="D249" t="s">
        <v>3827</v>
      </c>
      <c r="E249" t="s">
        <v>22</v>
      </c>
      <c r="F249" s="382">
        <v>6</v>
      </c>
      <c r="G249" s="16">
        <f>'WetLitterbags placem_collection'!E176</f>
        <v>42763</v>
      </c>
      <c r="H249" t="str">
        <f>'Final data_for_R_analysis_Wetse'!K175</f>
        <v>G655</v>
      </c>
      <c r="I249" t="str">
        <f>'Final data_for_R_analysis_Wetse'!K395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14"/>
        <v>1.7511999999999999</v>
      </c>
      <c r="M249" s="194">
        <f>IF(K249&gt;0,(K249*$F$32-($F$29+$F$30)),"")</f>
        <v>1.9512</v>
      </c>
      <c r="N249" s="16">
        <f>IF('WetLitterbags placem_collection'!G176="","",'WetLitterbags placem_collection'!G176)</f>
        <v>42814</v>
      </c>
      <c r="O249" s="194">
        <f>IFERROR(INDEX('Both teabags AfterWet'!$C$3:$C$2000,MATCH(H249,'Both teabags AfterWet'!$A$3:$A$2000,0)),"")</f>
        <v>0.68300000000000005</v>
      </c>
      <c r="P249" s="194">
        <f>IFERROR(INDEX('Both teabags AfterWet'!$C$3:$C$2000,MATCH(I249,'Both teabags AfterWet'!$A$3:$A$2000,0)),"")</f>
        <v>1.724</v>
      </c>
      <c r="Q249" s="194">
        <f t="shared" si="15"/>
        <v>0.53239999999999998</v>
      </c>
      <c r="R249" s="194">
        <f t="shared" si="15"/>
        <v>1.5733999999999999</v>
      </c>
      <c r="S249" s="194">
        <f t="shared" si="16"/>
        <v>0.6959798994974874</v>
      </c>
      <c r="T249" s="194">
        <f t="shared" si="17"/>
        <v>0.45627185810286586</v>
      </c>
      <c r="U249" s="194">
        <f t="shared" si="18"/>
        <v>0.80637556375563746</v>
      </c>
      <c r="V249">
        <f>IFERROR(IF((N249-G249)&gt;0,(IFERROR(N249-G249,"")),""),"")</f>
        <v>51</v>
      </c>
      <c r="W249" s="194">
        <f t="shared" si="19"/>
        <v>0.17342054691509812</v>
      </c>
      <c r="X249" s="194">
        <f t="shared" si="20"/>
        <v>1.0828946675497103E-2</v>
      </c>
      <c r="Y249" s="252" t="str">
        <f>IF(ISNUMBER(SEARCH("C",'WetLitterbags placem_collection'!$X176)),"YES","NO")</f>
        <v>NO</v>
      </c>
      <c r="Z249" s="252" t="str">
        <f>IF(ISNUMBER(SEARCH("H", 'WetLitterbags placem_collection'!$X176)),"YES","NO")</f>
        <v>NO</v>
      </c>
      <c r="AA249" s="252" t="str">
        <f>IF(ISNUMBER(SEARCH("R", 'WetLitterbags placem_collection'!$X176)),"YES","NO")</f>
        <v>NO</v>
      </c>
      <c r="AB249" s="252" t="str">
        <f>IF(ISNUMBER(SEARCH("C", 'WetLitterbags placem_collection'!$V176)),"YES","NO")</f>
        <v>NO</v>
      </c>
      <c r="AC249" s="252" t="str">
        <f>IF(ISNUMBER(SEARCH("H", 'WetLitterbags placem_collection'!$V176)),"YES","NO")</f>
        <v>NO</v>
      </c>
      <c r="AD249" s="252" t="str">
        <f>IF(ISNUMBER(SEARCH("R", 'WetLitterbags placem_collection'!$V176)),"YES","NO")</f>
        <v>YES</v>
      </c>
    </row>
    <row r="250" spans="2:30">
      <c r="B250" t="str">
        <f>'Final data_for_R_analysis_Wetse'!A176</f>
        <v>Wet</v>
      </c>
      <c r="C250" s="260">
        <f>'Final data_for_R_analysis_Wetse'!B176</f>
        <v>175</v>
      </c>
      <c r="D250" t="s">
        <v>3827</v>
      </c>
      <c r="E250" t="s">
        <v>22</v>
      </c>
      <c r="F250" s="382">
        <v>7</v>
      </c>
      <c r="G250" s="16">
        <f>'WetLitterbags placem_collection'!E177</f>
        <v>42763</v>
      </c>
      <c r="H250" t="str">
        <f>'Final data_for_R_analysis_Wetse'!K176</f>
        <v>G457</v>
      </c>
      <c r="I250" t="str">
        <f>'Final data_for_R_analysis_Wetse'!K396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14"/>
        <v>1.9081999999999999</v>
      </c>
      <c r="M250" s="194">
        <f>IF(K250&gt;0,(K250*$F$32-($F$29+$F$30)),"")</f>
        <v>1.9872000000000001</v>
      </c>
      <c r="N250" s="16">
        <f>IF('WetLitterbags placem_collection'!G177="","",'WetLitterbags placem_collection'!G177)</f>
        <v>42814</v>
      </c>
      <c r="O250" s="194">
        <f>IFERROR(INDEX('Both teabags AfterWet'!$C$3:$C$2000,MATCH(H250,'Both teabags AfterWet'!$A$3:$A$2000,0)),"")</f>
        <v>0.68200000000000005</v>
      </c>
      <c r="P250" s="194">
        <f>IFERROR(INDEX('Both teabags AfterWet'!$C$3:$C$2000,MATCH(I250,'Both teabags AfterWet'!$A$3:$A$2000,0)),"")</f>
        <v>0.61699999999999999</v>
      </c>
      <c r="Q250" s="194">
        <f t="shared" si="15"/>
        <v>0.53140000000000009</v>
      </c>
      <c r="R250" s="194">
        <f t="shared" si="15"/>
        <v>0.46639999999999998</v>
      </c>
      <c r="S250" s="194">
        <f t="shared" si="16"/>
        <v>0.72151766062257616</v>
      </c>
      <c r="T250" s="194">
        <f t="shared" si="17"/>
        <v>0.47301395328225904</v>
      </c>
      <c r="U250" s="194">
        <f t="shared" si="18"/>
        <v>0.23470209339774556</v>
      </c>
      <c r="V250">
        <f>IFERROR(IF((N250-G250)&gt;0,(IFERROR(N250-G250,"")),""),"")</f>
        <v>51</v>
      </c>
      <c r="W250" s="194">
        <f t="shared" si="19"/>
        <v>0.14309066434373374</v>
      </c>
      <c r="X250" s="194" t="str">
        <f t="shared" si="20"/>
        <v/>
      </c>
      <c r="Y250" s="252" t="str">
        <f>IF(ISNUMBER(SEARCH("C",'WetLitterbags placem_collection'!$X177)),"YES","NO")</f>
        <v>NO</v>
      </c>
      <c r="Z250" s="252" t="str">
        <f>IF(ISNUMBER(SEARCH("H", 'WetLitterbags placem_collection'!$X177)),"YES","NO")</f>
        <v>NO</v>
      </c>
      <c r="AA250" s="252" t="str">
        <f>IF(ISNUMBER(SEARCH("R", 'WetLitterbags placem_collection'!$X177)),"YES","NO")</f>
        <v>NO</v>
      </c>
      <c r="AB250" s="252" t="str">
        <f>IF(ISNUMBER(SEARCH("C", 'WetLitterbags placem_collection'!$V177)),"YES","NO")</f>
        <v>NO</v>
      </c>
      <c r="AC250" s="252" t="str">
        <f>IF(ISNUMBER(SEARCH("H", 'WetLitterbags placem_collection'!$V177)),"YES","NO")</f>
        <v>NO</v>
      </c>
      <c r="AD250" s="252" t="str">
        <f>IF(ISNUMBER(SEARCH("R", 'WetLitterbags placem_collection'!$V177)),"YES","NO")</f>
        <v>NO</v>
      </c>
    </row>
    <row r="251" spans="2:30">
      <c r="B251" t="str">
        <f>'Final data_for_R_analysis_Wetse'!A177</f>
        <v>Wet</v>
      </c>
      <c r="C251" s="260">
        <f>'Final data_for_R_analysis_Wetse'!B177</f>
        <v>176</v>
      </c>
      <c r="D251" t="s">
        <v>3827</v>
      </c>
      <c r="E251" t="s">
        <v>22</v>
      </c>
      <c r="F251" s="382">
        <v>8</v>
      </c>
      <c r="G251" s="16">
        <f>'WetLitterbags placem_collection'!E178</f>
        <v>42763</v>
      </c>
      <c r="H251" t="str">
        <f>'Final data_for_R_analysis_Wetse'!K177</f>
        <v>G454</v>
      </c>
      <c r="I251" t="str">
        <f>'Final data_for_R_analysis_Wetse'!K397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14"/>
        <v>1.8422000000000001</v>
      </c>
      <c r="M251" s="194">
        <f>IF(K251&gt;0,(K251*$F$32-($F$29+$F$30)),"")</f>
        <v>1.9392</v>
      </c>
      <c r="N251" s="16">
        <f>IF('WetLitterbags placem_collection'!G178="","",'WetLitterbags placem_collection'!G178)</f>
        <v>42814</v>
      </c>
      <c r="O251" s="194">
        <f>IFERROR(INDEX('Both teabags AfterWet'!$C$3:$C$2000,MATCH(H251,'Both teabags AfterWet'!$A$3:$A$2000,0)),"")</f>
        <v>0.63900000000000001</v>
      </c>
      <c r="P251" s="194">
        <f>IFERROR(INDEX('Both teabags AfterWet'!$C$3:$C$2000,MATCH(I251,'Both teabags AfterWet'!$A$3:$A$2000,0)),"")</f>
        <v>1.694</v>
      </c>
      <c r="Q251" s="194">
        <f t="shared" si="15"/>
        <v>0.4884</v>
      </c>
      <c r="R251" s="194">
        <f t="shared" si="15"/>
        <v>1.5433999999999999</v>
      </c>
      <c r="S251" s="194">
        <f t="shared" si="16"/>
        <v>0.73488220605797416</v>
      </c>
      <c r="T251" s="194">
        <f t="shared" si="17"/>
        <v>0.48177550800950331</v>
      </c>
      <c r="U251" s="194">
        <f t="shared" si="18"/>
        <v>0.79589521452145207</v>
      </c>
      <c r="V251">
        <f>IFERROR(IF((N251-G251)&gt;0,(IFERROR(N251-G251,"")),""),"")</f>
        <v>51</v>
      </c>
      <c r="W251" s="194">
        <f t="shared" si="19"/>
        <v>0.1272182825914796</v>
      </c>
      <c r="X251" s="194">
        <f t="shared" si="20"/>
        <v>1.0804750866490282E-2</v>
      </c>
      <c r="Y251" s="252" t="str">
        <f>IF(ISNUMBER(SEARCH("C",'WetLitterbags placem_collection'!$X178)),"YES","NO")</f>
        <v>NO</v>
      </c>
      <c r="Z251" s="252" t="str">
        <f>IF(ISNUMBER(SEARCH("H", 'WetLitterbags placem_collection'!$X178)),"YES","NO")</f>
        <v>NO</v>
      </c>
      <c r="AA251" s="252" t="str">
        <f>IF(ISNUMBER(SEARCH("R", 'WetLitterbags placem_collection'!$X178)),"YES","NO")</f>
        <v>NO</v>
      </c>
      <c r="AB251" s="252" t="str">
        <f>IF(ISNUMBER(SEARCH("C", 'WetLitterbags placem_collection'!$V178)),"YES","NO")</f>
        <v>NO</v>
      </c>
      <c r="AC251" s="252" t="str">
        <f>IF(ISNUMBER(SEARCH("H", 'WetLitterbags placem_collection'!$V178)),"YES","NO")</f>
        <v>NO</v>
      </c>
      <c r="AD251" s="252" t="str">
        <f>IF(ISNUMBER(SEARCH("R", 'WetLitterbags placem_collection'!$V178)),"YES","NO")</f>
        <v>NO</v>
      </c>
    </row>
    <row r="252" spans="2:30">
      <c r="B252" t="str">
        <f>'Final data_for_R_analysis_Wetse'!A178</f>
        <v>Wet</v>
      </c>
      <c r="C252" s="260">
        <f>'Final data_for_R_analysis_Wetse'!B178</f>
        <v>177</v>
      </c>
      <c r="D252" t="s">
        <v>3828</v>
      </c>
      <c r="E252" t="s">
        <v>22</v>
      </c>
      <c r="F252" s="381">
        <v>1</v>
      </c>
      <c r="G252" s="16">
        <f>'WetLitterbags placem_collection'!E179</f>
        <v>42763</v>
      </c>
      <c r="H252" t="str">
        <f>'Final data_for_R_analysis_Wetse'!K178</f>
        <v>G362</v>
      </c>
      <c r="I252" t="str">
        <f>'Final data_for_R_analysis_Wetse'!K398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14"/>
        <v>1.8161999999999998</v>
      </c>
      <c r="M252" s="194">
        <f>IF(K252&gt;0,(K252*$F$32-($F$29+$F$30)),"")</f>
        <v>1.9451999999999998</v>
      </c>
      <c r="N252" s="16">
        <f>IF('WetLitterbags placem_collection'!G179="","",'WetLitterbags placem_collection'!G179)</f>
        <v>42815</v>
      </c>
      <c r="O252" s="194">
        <f>IFERROR(INDEX('Both teabags AfterWet'!$C$3:$C$2000,MATCH(H252,'Both teabags AfterWet'!$A$3:$A$2000,0)),"")</f>
        <v>0.61299999999999999</v>
      </c>
      <c r="P252" s="194">
        <f>IFERROR(INDEX('Both teabags AfterWet'!$C$3:$C$2000,MATCH(I252,'Both teabags AfterWet'!$A$3:$A$2000,0)),"")</f>
        <v>1.671</v>
      </c>
      <c r="Q252" s="194">
        <f t="shared" si="15"/>
        <v>0.46239999999999998</v>
      </c>
      <c r="R252" s="194">
        <f t="shared" si="15"/>
        <v>1.5204</v>
      </c>
      <c r="S252" s="194">
        <f t="shared" si="16"/>
        <v>0.74540248871269688</v>
      </c>
      <c r="T252" s="194">
        <f t="shared" si="17"/>
        <v>0.48867241540309825</v>
      </c>
      <c r="U252" s="194">
        <f t="shared" si="18"/>
        <v>0.7816162862430599</v>
      </c>
      <c r="V252">
        <f>IFERROR(IF((N252-G252)&gt;0,(IFERROR(N252-G252,"")),""),"")</f>
        <v>52</v>
      </c>
      <c r="W252" s="194">
        <f t="shared" si="19"/>
        <v>0.11472388513931486</v>
      </c>
      <c r="X252" s="194">
        <f t="shared" si="20"/>
        <v>1.1388494321888256E-2</v>
      </c>
      <c r="Y252" s="252" t="str">
        <f>IF(ISNUMBER(SEARCH("C",'WetLitterbags placem_collection'!$X179)),"YES","NO")</f>
        <v>NO</v>
      </c>
      <c r="Z252" s="252" t="str">
        <f>IF(ISNUMBER(SEARCH("H", 'WetLitterbags placem_collection'!$X179)),"YES","NO")</f>
        <v>NO</v>
      </c>
      <c r="AA252" s="252" t="str">
        <f>IF(ISNUMBER(SEARCH("R", 'WetLitterbags placem_collection'!$X179)),"YES","NO")</f>
        <v>NO</v>
      </c>
      <c r="AB252" s="252" t="str">
        <f>IF(ISNUMBER(SEARCH("C", 'WetLitterbags placem_collection'!$V179)),"YES","NO")</f>
        <v>NO</v>
      </c>
      <c r="AC252" s="252" t="str">
        <f>IF(ISNUMBER(SEARCH("H", 'WetLitterbags placem_collection'!$V179)),"YES","NO")</f>
        <v>NO</v>
      </c>
      <c r="AD252" s="252" t="str">
        <f>IF(ISNUMBER(SEARCH("R", 'WetLitterbags placem_collection'!$V179)),"YES","NO")</f>
        <v>NO</v>
      </c>
    </row>
    <row r="253" spans="2:30">
      <c r="B253" t="str">
        <f>'Final data_for_R_analysis_Wetse'!A179</f>
        <v>Wet</v>
      </c>
      <c r="C253" s="260">
        <f>'Final data_for_R_analysis_Wetse'!B179</f>
        <v>178</v>
      </c>
      <c r="D253" t="s">
        <v>3828</v>
      </c>
      <c r="E253" t="s">
        <v>22</v>
      </c>
      <c r="F253" s="381">
        <v>2</v>
      </c>
      <c r="G253" s="16">
        <f>'WetLitterbags placem_collection'!E180</f>
        <v>42763</v>
      </c>
      <c r="H253" t="str">
        <f>'Final data_for_R_analysis_Wetse'!K179</f>
        <v>G781</v>
      </c>
      <c r="I253" t="str">
        <f>'Final data_for_R_analysis_Wetse'!K399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14"/>
        <v>1.8422000000000001</v>
      </c>
      <c r="M253" s="194">
        <f>IF(K253&gt;0,(K253*$F$32-($F$29+$F$30)),"")</f>
        <v>1.9462000000000002</v>
      </c>
      <c r="N253" s="16">
        <f>IF('WetLitterbags placem_collection'!G180="","",'WetLitterbags placem_collection'!G180)</f>
        <v>42815</v>
      </c>
      <c r="O253" s="194">
        <f>IFERROR(INDEX('Both teabags AfterWet'!$C$3:$C$2000,MATCH(H253,'Both teabags AfterWet'!$A$3:$A$2000,0)),"")</f>
        <v>0.62549999999999994</v>
      </c>
      <c r="P253" s="194">
        <f>IFERROR(INDEX('Both teabags AfterWet'!$C$3:$C$2000,MATCH(I253,'Both teabags AfterWet'!$A$3:$A$2000,0)),"")</f>
        <v>1.6866000000000001</v>
      </c>
      <c r="Q253" s="194">
        <f t="shared" si="15"/>
        <v>0.47489999999999993</v>
      </c>
      <c r="R253" s="194">
        <f t="shared" si="15"/>
        <v>1.536</v>
      </c>
      <c r="S253" s="194">
        <f t="shared" si="16"/>
        <v>0.74221040060796883</v>
      </c>
      <c r="T253" s="194">
        <f t="shared" si="17"/>
        <v>0.48657974006603188</v>
      </c>
      <c r="U253" s="194">
        <f t="shared" si="18"/>
        <v>0.78923029493371699</v>
      </c>
      <c r="V253">
        <f>IFERROR(IF((N253-G253)&gt;0,(IFERROR(N253-G253,"")),""),"")</f>
        <v>52</v>
      </c>
      <c r="W253" s="194">
        <f t="shared" si="19"/>
        <v>0.11851496364849301</v>
      </c>
      <c r="X253" s="194">
        <f t="shared" si="20"/>
        <v>1.0917085461919175E-2</v>
      </c>
      <c r="Y253" s="252" t="str">
        <f>IF(ISNUMBER(SEARCH("C",'WetLitterbags placem_collection'!$X180)),"YES","NO")</f>
        <v>NO</v>
      </c>
      <c r="Z253" s="252" t="str">
        <f>IF(ISNUMBER(SEARCH("H", 'WetLitterbags placem_collection'!$X180)),"YES","NO")</f>
        <v>NO</v>
      </c>
      <c r="AA253" s="252" t="str">
        <f>IF(ISNUMBER(SEARCH("R", 'WetLitterbags placem_collection'!$X180)),"YES","NO")</f>
        <v>YES</v>
      </c>
      <c r="AB253" s="252" t="str">
        <f>IF(ISNUMBER(SEARCH("C", 'WetLitterbags placem_collection'!$V180)),"YES","NO")</f>
        <v>YES</v>
      </c>
      <c r="AC253" s="252" t="str">
        <f>IF(ISNUMBER(SEARCH("H", 'WetLitterbags placem_collection'!$V180)),"YES","NO")</f>
        <v>YES</v>
      </c>
      <c r="AD253" s="252" t="str">
        <f>IF(ISNUMBER(SEARCH("R", 'WetLitterbags placem_collection'!$V180)),"YES","NO")</f>
        <v>NO</v>
      </c>
    </row>
    <row r="254" spans="2:30">
      <c r="B254" t="str">
        <f>'Final data_for_R_analysis_Wetse'!A180</f>
        <v>Wet</v>
      </c>
      <c r="C254" s="260">
        <f>'Final data_for_R_analysis_Wetse'!B180</f>
        <v>179</v>
      </c>
      <c r="D254" t="s">
        <v>3828</v>
      </c>
      <c r="E254" t="s">
        <v>22</v>
      </c>
      <c r="F254" s="381">
        <v>3</v>
      </c>
      <c r="G254" s="16">
        <f>'WetLitterbags placem_collection'!E181</f>
        <v>42763</v>
      </c>
      <c r="H254" t="str">
        <f>'Final data_for_R_analysis_Wetse'!K180</f>
        <v>G451</v>
      </c>
      <c r="I254" t="str">
        <f>'Final data_for_R_analysis_Wetse'!K400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14"/>
        <v>1.8641999999999999</v>
      </c>
      <c r="M254" s="194">
        <f>IF(K254&gt;0,(K254*$F$32-($F$29+$F$30)),"")</f>
        <v>1.9792000000000001</v>
      </c>
      <c r="N254" s="16">
        <f>IF('WetLitterbags placem_collection'!G181="","",'WetLitterbags placem_collection'!G181)</f>
        <v>42815</v>
      </c>
      <c r="O254" s="194">
        <f>IFERROR(INDEX('Both teabags AfterWet'!$C$3:$C$2000,MATCH(H254,'Both teabags AfterWet'!$A$3:$A$2000,0)),"")</f>
        <v>0.60329999999999995</v>
      </c>
      <c r="P254" s="194">
        <f>IFERROR(INDEX('Both teabags AfterWet'!$C$3:$C$2000,MATCH(I254,'Both teabags AfterWet'!$A$3:$A$2000,0)),"")</f>
        <v>1.6146</v>
      </c>
      <c r="Q254" s="194">
        <f t="shared" si="15"/>
        <v>0.45269999999999994</v>
      </c>
      <c r="R254" s="194">
        <f t="shared" si="15"/>
        <v>1.464</v>
      </c>
      <c r="S254" s="194">
        <f t="shared" si="16"/>
        <v>0.75716124879304791</v>
      </c>
      <c r="T254" s="194">
        <f t="shared" si="17"/>
        <v>0.49638124623962293</v>
      </c>
      <c r="U254" s="194">
        <f t="shared" si="18"/>
        <v>0.73969280517380753</v>
      </c>
      <c r="V254">
        <f>IFERROR(IF((N254-G254)&gt;0,(IFERROR(N254-G254,"")),""),"")</f>
        <v>52</v>
      </c>
      <c r="W254" s="194">
        <f t="shared" si="19"/>
        <v>0.10075861188474111</v>
      </c>
      <c r="X254" s="194">
        <f t="shared" si="20"/>
        <v>1.4292283463461404E-2</v>
      </c>
      <c r="Y254" s="252" t="str">
        <f>IF(ISNUMBER(SEARCH("C",'WetLitterbags placem_collection'!$X181)),"YES","NO")</f>
        <v>NO</v>
      </c>
      <c r="Z254" s="252" t="str">
        <f>IF(ISNUMBER(SEARCH("H", 'WetLitterbags placem_collection'!$X181)),"YES","NO")</f>
        <v>NO</v>
      </c>
      <c r="AA254" s="252" t="str">
        <f>IF(ISNUMBER(SEARCH("R", 'WetLitterbags placem_collection'!$X181)),"YES","NO")</f>
        <v>NO</v>
      </c>
      <c r="AB254" s="252" t="str">
        <f>IF(ISNUMBER(SEARCH("C", 'WetLitterbags placem_collection'!$V181)),"YES","NO")</f>
        <v>NO</v>
      </c>
      <c r="AC254" s="252" t="str">
        <f>IF(ISNUMBER(SEARCH("H", 'WetLitterbags placem_collection'!$V181)),"YES","NO")</f>
        <v>NO</v>
      </c>
      <c r="AD254" s="252" t="str">
        <f>IF(ISNUMBER(SEARCH("R", 'WetLitterbags placem_collection'!$V181)),"YES","NO")</f>
        <v>YES</v>
      </c>
    </row>
    <row r="255" spans="2:30">
      <c r="B255" t="str">
        <f>'Final data_for_R_analysis_Wetse'!A181</f>
        <v>Wet</v>
      </c>
      <c r="C255" s="260">
        <f>'Final data_for_R_analysis_Wetse'!B181</f>
        <v>180</v>
      </c>
      <c r="D255" t="s">
        <v>3828</v>
      </c>
      <c r="E255" t="s">
        <v>22</v>
      </c>
      <c r="F255" s="382">
        <v>4</v>
      </c>
      <c r="G255" s="16">
        <f>'WetLitterbags placem_collection'!E182</f>
        <v>42763</v>
      </c>
      <c r="H255" t="str">
        <f>'Final data_for_R_analysis_Wetse'!K181</f>
        <v>G360</v>
      </c>
      <c r="I255" t="str">
        <f>'Final data_for_R_analysis_Wetse'!K401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14"/>
        <v>1.7601999999999998</v>
      </c>
      <c r="M255" s="194">
        <f>IF(K255&gt;0,(K255*$F$32-($F$29+$F$30)),"")</f>
        <v>1.9211999999999998</v>
      </c>
      <c r="N255" s="16">
        <f>IF('WetLitterbags placem_collection'!G182="","",'WetLitterbags placem_collection'!G182)</f>
        <v>42815</v>
      </c>
      <c r="O255" s="194">
        <f>IFERROR(INDEX('Both teabags AfterWet'!$C$3:$C$2000,MATCH(H255,'Both teabags AfterWet'!$A$3:$A$2000,0)),"")</f>
        <v>0.62219999999999998</v>
      </c>
      <c r="P255" s="194">
        <f>IFERROR(INDEX('Both teabags AfterWet'!$C$3:$C$2000,MATCH(I255,'Both teabags AfterWet'!$A$3:$A$2000,0)),"")</f>
        <v>1.6403000000000001</v>
      </c>
      <c r="Q255" s="194">
        <f t="shared" si="15"/>
        <v>0.47159999999999996</v>
      </c>
      <c r="R255" s="194">
        <f t="shared" si="15"/>
        <v>1.4897</v>
      </c>
      <c r="S255" s="194">
        <f t="shared" si="16"/>
        <v>0.73207590046585613</v>
      </c>
      <c r="T255" s="194">
        <f t="shared" si="17"/>
        <v>0.47993574472345918</v>
      </c>
      <c r="U255" s="194">
        <f t="shared" si="18"/>
        <v>0.77540079117218419</v>
      </c>
      <c r="V255">
        <f>IFERROR(IF((N255-G255)&gt;0,(IFERROR(N255-G255,"")),""),"")</f>
        <v>52</v>
      </c>
      <c r="W255" s="194">
        <f t="shared" si="19"/>
        <v>0.13055118709518276</v>
      </c>
      <c r="X255" s="194">
        <f t="shared" si="20"/>
        <v>1.2135957809916944E-2</v>
      </c>
      <c r="Y255" s="252" t="str">
        <f>IF(ISNUMBER(SEARCH("C",'WetLitterbags placem_collection'!$X182)),"YES","NO")</f>
        <v>NO</v>
      </c>
      <c r="Z255" s="252" t="str">
        <f>IF(ISNUMBER(SEARCH("H", 'WetLitterbags placem_collection'!$X182)),"YES","NO")</f>
        <v>NO</v>
      </c>
      <c r="AA255" s="252" t="str">
        <f>IF(ISNUMBER(SEARCH("R", 'WetLitterbags placem_collection'!$X182)),"YES","NO")</f>
        <v>NO</v>
      </c>
      <c r="AB255" s="252" t="str">
        <f>IF(ISNUMBER(SEARCH("C", 'WetLitterbags placem_collection'!$V182)),"YES","NO")</f>
        <v>NO</v>
      </c>
      <c r="AC255" s="252" t="str">
        <f>IF(ISNUMBER(SEARCH("H", 'WetLitterbags placem_collection'!$V182)),"YES","NO")</f>
        <v>NO</v>
      </c>
      <c r="AD255" s="252" t="str">
        <f>IF(ISNUMBER(SEARCH("R", 'WetLitterbags placem_collection'!$V182)),"YES","NO")</f>
        <v>NO</v>
      </c>
    </row>
    <row r="256" spans="2:30">
      <c r="B256" t="str">
        <f>'Final data_for_R_analysis_Wetse'!A182</f>
        <v>Wet</v>
      </c>
      <c r="C256" s="260">
        <f>'Final data_for_R_analysis_Wetse'!B182</f>
        <v>181</v>
      </c>
      <c r="D256" t="s">
        <v>3828</v>
      </c>
      <c r="E256" t="s">
        <v>22</v>
      </c>
      <c r="F256" s="382">
        <v>5</v>
      </c>
      <c r="G256" s="16">
        <f>'WetLitterbags placem_collection'!E183</f>
        <v>42763</v>
      </c>
      <c r="H256" t="str">
        <f>'Final data_for_R_analysis_Wetse'!K182</f>
        <v>G458</v>
      </c>
      <c r="I256" t="str">
        <f>'Final data_for_R_analysis_Wetse'!K402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14"/>
        <v>1.7272000000000001</v>
      </c>
      <c r="M256" s="194">
        <f>IF(K256&gt;0,(K256*$F$32-($F$29+$F$30)),"")</f>
        <v>1.9752000000000001</v>
      </c>
      <c r="N256" s="16">
        <f>IF('WetLitterbags placem_collection'!G183="","",'WetLitterbags placem_collection'!G183)</f>
        <v>42815</v>
      </c>
      <c r="O256" s="194">
        <f>IFERROR(INDEX('Both teabags AfterWet'!$C$3:$C$2000,MATCH(H256,'Both teabags AfterWet'!$A$3:$A$2000,0)),"")</f>
        <v>0.57499999999999996</v>
      </c>
      <c r="P256" s="194">
        <f>IFERROR(INDEX('Both teabags AfterWet'!$C$3:$C$2000,MATCH(I256,'Both teabags AfterWet'!$A$3:$A$2000,0)),"")</f>
        <v>1.5119</v>
      </c>
      <c r="Q256" s="194">
        <f t="shared" si="15"/>
        <v>0.42439999999999994</v>
      </c>
      <c r="R256" s="194">
        <f t="shared" si="15"/>
        <v>1.3613</v>
      </c>
      <c r="S256" s="194">
        <f t="shared" si="16"/>
        <v>0.75428439092172306</v>
      </c>
      <c r="T256" s="194">
        <f t="shared" si="17"/>
        <v>0.49449523015295865</v>
      </c>
      <c r="U256" s="194">
        <f t="shared" si="18"/>
        <v>0.68919603078169289</v>
      </c>
      <c r="V256">
        <f>IFERROR(IF((N256-G256)&gt;0,(IFERROR(N256-G256,"")),""),"")</f>
        <v>52</v>
      </c>
      <c r="W256" s="194">
        <f t="shared" si="19"/>
        <v>0.10417530769391559</v>
      </c>
      <c r="X256" s="194">
        <f t="shared" si="20"/>
        <v>1.9043867050252281E-2</v>
      </c>
      <c r="Y256" s="252" t="str">
        <f>IF(ISNUMBER(SEARCH("C",'WetLitterbags placem_collection'!$X183)),"YES","NO")</f>
        <v>NO</v>
      </c>
      <c r="Z256" s="252" t="str">
        <f>IF(ISNUMBER(SEARCH("H", 'WetLitterbags placem_collection'!$X183)),"YES","NO")</f>
        <v>NO</v>
      </c>
      <c r="AA256" s="252" t="str">
        <f>IF(ISNUMBER(SEARCH("R", 'WetLitterbags placem_collection'!$X183)),"YES","NO")</f>
        <v>NO</v>
      </c>
      <c r="AB256" s="252" t="str">
        <f>IF(ISNUMBER(SEARCH("C", 'WetLitterbags placem_collection'!$V183)),"YES","NO")</f>
        <v>NO</v>
      </c>
      <c r="AC256" s="252" t="str">
        <f>IF(ISNUMBER(SEARCH("H", 'WetLitterbags placem_collection'!$V183)),"YES","NO")</f>
        <v>NO</v>
      </c>
      <c r="AD256" s="252" t="str">
        <f>IF(ISNUMBER(SEARCH("R", 'WetLitterbags placem_collection'!$V183)),"YES","NO")</f>
        <v>NO</v>
      </c>
    </row>
    <row r="257" spans="2:30">
      <c r="B257" t="str">
        <f>'Final data_for_R_analysis_Wetse'!A183</f>
        <v>Wet</v>
      </c>
      <c r="C257" s="260">
        <f>'Final data_for_R_analysis_Wetse'!B183</f>
        <v>182</v>
      </c>
      <c r="D257" t="s">
        <v>3828</v>
      </c>
      <c r="E257" t="s">
        <v>22</v>
      </c>
      <c r="F257" s="382">
        <v>6</v>
      </c>
      <c r="G257" s="16">
        <f>'WetLitterbags placem_collection'!E184</f>
        <v>42763</v>
      </c>
      <c r="H257" t="str">
        <f>'Final data_for_R_analysis_Wetse'!K183</f>
        <v>G403</v>
      </c>
      <c r="I257" t="str">
        <f>'Final data_for_R_analysis_Wetse'!K403</f>
        <v>R444</v>
      </c>
      <c r="J257">
        <f>IFERROR(INDEX('Green_rooibos initial weight'!$C$5:$C$2000,MATCH(H257, 'Green_rooibos initial weight'!$A$5:$A$2000,0)),"")</f>
        <v>2.06</v>
      </c>
      <c r="K257">
        <f>IFERROR(INDEX('Green_rooibos initial weight'!$C$5:$C$2000,MATCH(I257, 'Green_rooibos initial weight'!$A$5:$A$2000,0)),"")</f>
        <v>2.2149999999999999</v>
      </c>
      <c r="L257" s="194">
        <f t="shared" si="14"/>
        <v>1.8102</v>
      </c>
      <c r="M257" s="194">
        <f>IF(K257&gt;0,(K257*$F$32-($F$29+$F$30)),"")</f>
        <v>1.9651999999999998</v>
      </c>
      <c r="N257" s="16">
        <f>IF('WetLitterbags placem_collection'!G184="","",'WetLitterbags placem_collection'!G184)</f>
        <v>42815</v>
      </c>
      <c r="O257" s="194">
        <f>IFERROR(INDEX('Both teabags AfterWet'!$C$3:$C$2000,MATCH(H257,'Both teabags AfterWet'!$A$3:$A$2000,0)),"")</f>
        <v>0.69440000000000002</v>
      </c>
      <c r="P257" s="194">
        <f>IFERROR(INDEX('Both teabags AfterWet'!$C$3:$C$2000,MATCH(I257,'Both teabags AfterWet'!$A$3:$A$2000,0)),"")</f>
        <v>1.7522</v>
      </c>
      <c r="Q257" s="194">
        <f t="shared" si="15"/>
        <v>0.54380000000000006</v>
      </c>
      <c r="R257" s="194">
        <f t="shared" si="15"/>
        <v>1.6015999999999999</v>
      </c>
      <c r="S257" s="194">
        <f t="shared" si="16"/>
        <v>0.69959120539166941</v>
      </c>
      <c r="T257" s="194">
        <f t="shared" si="17"/>
        <v>0.45863936505487118</v>
      </c>
      <c r="U257" s="194">
        <f t="shared" si="18"/>
        <v>0.81498066354569509</v>
      </c>
      <c r="V257">
        <f>IFERROR(IF((N257-G257)&gt;0,(IFERROR(N257-G257,"")),""),"")</f>
        <v>52</v>
      </c>
      <c r="W257" s="194">
        <f t="shared" si="19"/>
        <v>0.16913158504552328</v>
      </c>
      <c r="X257" s="194">
        <f t="shared" si="20"/>
        <v>9.9331503302323501E-3</v>
      </c>
      <c r="Y257" s="252" t="str">
        <f>IF(ISNUMBER(SEARCH("C",'WetLitterbags placem_collection'!$X184)),"YES","NO")</f>
        <v>NO</v>
      </c>
      <c r="Z257" s="252" t="str">
        <f>IF(ISNUMBER(SEARCH("H", 'WetLitterbags placem_collection'!$X184)),"YES","NO")</f>
        <v>NO</v>
      </c>
      <c r="AA257" s="252" t="str">
        <f>IF(ISNUMBER(SEARCH("R", 'WetLitterbags placem_collection'!$X184)),"YES","NO")</f>
        <v>NO</v>
      </c>
      <c r="AB257" s="252" t="str">
        <f>IF(ISNUMBER(SEARCH("C", 'WetLitterbags placem_collection'!$V184)),"YES","NO")</f>
        <v>NO</v>
      </c>
      <c r="AC257" s="252" t="str">
        <f>IF(ISNUMBER(SEARCH("H", 'WetLitterbags placem_collection'!$V184)),"YES","NO")</f>
        <v>YES</v>
      </c>
      <c r="AD257" s="252" t="str">
        <f>IF(ISNUMBER(SEARCH("R", 'WetLitterbags placem_collection'!$V184)),"YES","NO")</f>
        <v>YES</v>
      </c>
    </row>
    <row r="258" spans="2:30">
      <c r="B258" t="str">
        <f>'Final data_for_R_analysis_Wetse'!A184</f>
        <v>Wet</v>
      </c>
      <c r="C258" s="260">
        <f>'Final data_for_R_analysis_Wetse'!B184</f>
        <v>183</v>
      </c>
      <c r="D258" t="s">
        <v>3828</v>
      </c>
      <c r="E258" t="s">
        <v>22</v>
      </c>
      <c r="F258" s="382">
        <v>7</v>
      </c>
      <c r="G258" s="16">
        <f>'WetLitterbags placem_collection'!E185</f>
        <v>42763</v>
      </c>
      <c r="H258" t="str">
        <f>'Final data_for_R_analysis_Wetse'!K184</f>
        <v>G585</v>
      </c>
      <c r="I258" t="str">
        <f>'Final data_for_R_analysis_Wetse'!K404</f>
        <v>R568</v>
      </c>
      <c r="J258">
        <f>IFERROR(INDEX('Green_rooibos initial weight'!$C$5:$C$2000,MATCH(H258, 'Green_rooibos initial weight'!$A$5:$A$2000,0)),"")</f>
        <v>2.1669999999999998</v>
      </c>
      <c r="K258">
        <f>IFERROR(INDEX('Green_rooibos initial weight'!$C$5:$C$2000,MATCH(I258, 'Green_rooibos initial weight'!$A$5:$A$2000,0)),"")</f>
        <v>2.04</v>
      </c>
      <c r="L258" s="194">
        <f t="shared" si="14"/>
        <v>1.9171999999999998</v>
      </c>
      <c r="M258" s="194">
        <f>IF(K258&gt;0,(K258*$F$32-($F$29+$F$30)),"")</f>
        <v>1.7902</v>
      </c>
      <c r="N258" s="16">
        <f>IF('WetLitterbags placem_collection'!G185="","",'WetLitterbags placem_collection'!G185)</f>
        <v>42815</v>
      </c>
      <c r="O258" s="194">
        <f>IFERROR(INDEX('Both teabags AfterWet'!$C$3:$C$2000,MATCH(H258,'Both teabags AfterWet'!$A$3:$A$2000,0)),"")</f>
        <v>0.71799999999999997</v>
      </c>
      <c r="P258" s="194">
        <f>IFERROR(INDEX('Both teabags AfterWet'!$C$3:$C$2000,MATCH(I258,'Both teabags AfterWet'!$A$3:$A$2000,0)),"")</f>
        <v>0.30299999999999999</v>
      </c>
      <c r="Q258" s="194">
        <f t="shared" si="15"/>
        <v>0.5673999999999999</v>
      </c>
      <c r="R258" s="194">
        <f t="shared" si="15"/>
        <v>0.15239999999999998</v>
      </c>
      <c r="S258" s="194">
        <f t="shared" si="16"/>
        <v>0.70404756937200086</v>
      </c>
      <c r="T258" s="194">
        <f t="shared" si="17"/>
        <v>0.46156087683295077</v>
      </c>
      <c r="U258" s="194">
        <f t="shared" si="18"/>
        <v>8.5130153055524516E-2</v>
      </c>
      <c r="V258">
        <f>IFERROR(IF((N258-G258)&gt;0,(IFERROR(N258-G258,"")),""),"")</f>
        <v>52</v>
      </c>
      <c r="W258" s="194">
        <f t="shared" si="19"/>
        <v>0.16383899124465451</v>
      </c>
      <c r="X258" s="194" t="str">
        <f t="shared" si="20"/>
        <v/>
      </c>
      <c r="Y258" s="252" t="str">
        <f>IF(ISNUMBER(SEARCH("C",'WetLitterbags placem_collection'!$X185)),"YES","NO")</f>
        <v>NO</v>
      </c>
      <c r="Z258" s="252" t="str">
        <f>IF(ISNUMBER(SEARCH("H", 'WetLitterbags placem_collection'!$X185)),"YES","NO")</f>
        <v>NO</v>
      </c>
      <c r="AA258" s="252" t="str">
        <f>IF(ISNUMBER(SEARCH("R", 'WetLitterbags placem_collection'!$X185)),"YES","NO")</f>
        <v>NO</v>
      </c>
      <c r="AB258" s="252" t="str">
        <f>IF(ISNUMBER(SEARCH("C", 'WetLitterbags placem_collection'!$V185)),"YES","NO")</f>
        <v>YES</v>
      </c>
      <c r="AC258" s="252" t="str">
        <f>IF(ISNUMBER(SEARCH("H", 'WetLitterbags placem_collection'!$V185)),"YES","NO")</f>
        <v>NO</v>
      </c>
      <c r="AD258" s="252" t="str">
        <f>IF(ISNUMBER(SEARCH("R", 'WetLitterbags placem_collection'!$V185)),"YES","NO")</f>
        <v>NO</v>
      </c>
    </row>
    <row r="259" spans="2:30">
      <c r="B259" t="str">
        <f>'Final data_for_R_analysis_Wetse'!A185</f>
        <v>Wet</v>
      </c>
      <c r="C259" s="260">
        <f>'Final data_for_R_analysis_Wetse'!B185</f>
        <v>184</v>
      </c>
      <c r="D259" t="s">
        <v>3828</v>
      </c>
      <c r="E259" t="s">
        <v>22</v>
      </c>
      <c r="F259" s="382">
        <v>8</v>
      </c>
      <c r="G259" s="16">
        <f>'WetLitterbags placem_collection'!E186</f>
        <v>42763</v>
      </c>
      <c r="H259" t="str">
        <f>'Final data_for_R_analysis_Wetse'!K185</f>
        <v>G669</v>
      </c>
      <c r="I259" t="str">
        <f>'Final data_for_R_analysis_Wetse'!K405</f>
        <v>R541</v>
      </c>
      <c r="J259">
        <f>IFERROR(INDEX('Green_rooibos initial weight'!$C$5:$C$2000,MATCH(H259, 'Green_rooibos initial weight'!$A$5:$A$2000,0)),"")</f>
        <v>1.9359999999999999</v>
      </c>
      <c r="K259">
        <f>IFERROR(INDEX('Green_rooibos initial weight'!$C$5:$C$2000,MATCH(I259, 'Green_rooibos initial weight'!$A$5:$A$2000,0)),"")</f>
        <v>2.226</v>
      </c>
      <c r="L259" s="194">
        <f t="shared" si="14"/>
        <v>1.6861999999999999</v>
      </c>
      <c r="M259" s="194">
        <f>IF(K259&gt;0,(K259*$F$32-($F$29+$F$30)),"")</f>
        <v>1.9762</v>
      </c>
      <c r="N259" s="16">
        <f>IF('WetLitterbags placem_collection'!G186="","",'WetLitterbags placem_collection'!G186)</f>
        <v>42815</v>
      </c>
      <c r="O259" s="194">
        <f>IFERROR(INDEX('Both teabags AfterWet'!$C$3:$C$2000,MATCH(H259,'Both teabags AfterWet'!$A$3:$A$2000,0)),"")</f>
        <v>0.7097</v>
      </c>
      <c r="P259" s="194">
        <f>IFERROR(INDEX('Both teabags AfterWet'!$C$3:$C$2000,MATCH(I259,'Both teabags AfterWet'!$A$3:$A$2000,0)),"")</f>
        <v>1.7278</v>
      </c>
      <c r="Q259" s="194">
        <f t="shared" si="15"/>
        <v>0.55909999999999993</v>
      </c>
      <c r="R259" s="194">
        <f t="shared" si="15"/>
        <v>1.5771999999999999</v>
      </c>
      <c r="S259" s="194">
        <f t="shared" si="16"/>
        <v>0.66842604673229755</v>
      </c>
      <c r="T259" s="194">
        <f t="shared" si="17"/>
        <v>0.43820804963922599</v>
      </c>
      <c r="U259" s="194">
        <f t="shared" si="18"/>
        <v>0.79809735856694664</v>
      </c>
      <c r="V259">
        <f>IFERROR(IF((N259-G259)&gt;0,(IFERROR(N259-G259,"")),""),"")</f>
        <v>52</v>
      </c>
      <c r="W259" s="194">
        <f t="shared" si="19"/>
        <v>0.20614483761009794</v>
      </c>
      <c r="X259" s="194">
        <f t="shared" si="20"/>
        <v>1.1876321650216209E-2</v>
      </c>
      <c r="Y259" s="252" t="str">
        <f>IF(ISNUMBER(SEARCH("C",'WetLitterbags placem_collection'!$X186)),"YES","NO")</f>
        <v>NO</v>
      </c>
      <c r="Z259" s="252" t="str">
        <f>IF(ISNUMBER(SEARCH("H", 'WetLitterbags placem_collection'!$X186)),"YES","NO")</f>
        <v>YES</v>
      </c>
      <c r="AA259" s="252" t="str">
        <f>IF(ISNUMBER(SEARCH("R", 'WetLitterbags placem_collection'!$X186)),"YES","NO")</f>
        <v>NO</v>
      </c>
      <c r="AB259" s="252" t="str">
        <f>IF(ISNUMBER(SEARCH("C", 'WetLitterbags placem_collection'!$V186)),"YES","NO")</f>
        <v>NO</v>
      </c>
      <c r="AC259" s="252" t="str">
        <f>IF(ISNUMBER(SEARCH("H", 'WetLitterbags placem_collection'!$V186)),"YES","NO")</f>
        <v>NO</v>
      </c>
      <c r="AD259" s="252" t="str">
        <f>IF(ISNUMBER(SEARCH("R", 'WetLitterbags placem_collection'!$V186)),"YES","NO")</f>
        <v>YES</v>
      </c>
    </row>
    <row r="260" spans="2:30">
      <c r="B260" t="str">
        <f>'Final data_for_R_analysis_Wetse'!A186</f>
        <v>Wet</v>
      </c>
      <c r="C260" s="260">
        <f>'Final data_for_R_analysis_Wetse'!B186</f>
        <v>185</v>
      </c>
      <c r="D260" t="s">
        <v>3829</v>
      </c>
      <c r="E260" t="s">
        <v>22</v>
      </c>
      <c r="F260" s="381">
        <v>1</v>
      </c>
      <c r="G260" s="16">
        <f>'WetLitterbags placem_collection'!E187</f>
        <v>42763</v>
      </c>
      <c r="H260" t="str">
        <f>'Final data_for_R_analysis_Wetse'!K186</f>
        <v>G423</v>
      </c>
      <c r="I260" t="str">
        <f>'Final data_for_R_analysis_Wetse'!K406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14"/>
        <v>1.8151999999999999</v>
      </c>
      <c r="M260" s="194">
        <f>IF(K260&gt;0,(K260*$F$32-($F$29+$F$30)),"")</f>
        <v>2.0651999999999999</v>
      </c>
      <c r="N260" s="16">
        <f>IF('WetLitterbags placem_collection'!G187="","",'WetLitterbags placem_collection'!G187)</f>
        <v>42815</v>
      </c>
      <c r="O260" s="194">
        <f>IFERROR(INDEX('Both teabags AfterWet'!$C$3:$C$2000,MATCH(H260,'Both teabags AfterWet'!$A$3:$A$2000,0)),"")</f>
        <v>0.62319999999999998</v>
      </c>
      <c r="P260" s="194">
        <f>IFERROR(INDEX('Both teabags AfterWet'!$C$3:$C$2000,MATCH(I260,'Both teabags AfterWet'!$A$3:$A$2000,0)),"")</f>
        <v>1.7762</v>
      </c>
      <c r="Q260" s="194">
        <f t="shared" si="15"/>
        <v>0.47259999999999996</v>
      </c>
      <c r="R260" s="194">
        <f t="shared" si="15"/>
        <v>1.6255999999999999</v>
      </c>
      <c r="S260" s="194">
        <f t="shared" si="16"/>
        <v>0.73964301454385195</v>
      </c>
      <c r="T260" s="194">
        <f t="shared" si="17"/>
        <v>0.48489660810950869</v>
      </c>
      <c r="U260" s="194">
        <f t="shared" si="18"/>
        <v>0.78713926012008517</v>
      </c>
      <c r="V260">
        <f>IFERROR(IF((N260-G260)&gt;0,(IFERROR(N260-G260,"")),""),"")</f>
        <v>52</v>
      </c>
      <c r="W260" s="194">
        <f t="shared" si="19"/>
        <v>0.12156411574364379</v>
      </c>
      <c r="X260" s="194">
        <f t="shared" si="20"/>
        <v>1.1115418518512669E-2</v>
      </c>
      <c r="Y260" s="252" t="str">
        <f>IF(ISNUMBER(SEARCH("C",'WetLitterbags placem_collection'!$X187)),"YES","NO")</f>
        <v>NO</v>
      </c>
      <c r="Z260" s="252" t="str">
        <f>IF(ISNUMBER(SEARCH("H", 'WetLitterbags placem_collection'!$X187)),"YES","NO")</f>
        <v>NO</v>
      </c>
      <c r="AA260" s="252" t="str">
        <f>IF(ISNUMBER(SEARCH("R", 'WetLitterbags placem_collection'!$X187)),"YES","NO")</f>
        <v>NO</v>
      </c>
      <c r="AB260" s="252" t="str">
        <f>IF(ISNUMBER(SEARCH("C", 'WetLitterbags placem_collection'!$V187)),"YES","NO")</f>
        <v>NO</v>
      </c>
      <c r="AC260" s="252" t="str">
        <f>IF(ISNUMBER(SEARCH("H", 'WetLitterbags placem_collection'!$V187)),"YES","NO")</f>
        <v>NO</v>
      </c>
      <c r="AD260" s="252" t="str">
        <f>IF(ISNUMBER(SEARCH("R", 'WetLitterbags placem_collection'!$V187)),"YES","NO")</f>
        <v>NO</v>
      </c>
    </row>
    <row r="261" spans="2:30">
      <c r="B261" t="str">
        <f>'Final data_for_R_analysis_Wetse'!A187</f>
        <v>Wet</v>
      </c>
      <c r="C261" s="260">
        <f>'Final data_for_R_analysis_Wetse'!B187</f>
        <v>186</v>
      </c>
      <c r="D261" t="s">
        <v>3829</v>
      </c>
      <c r="E261" t="s">
        <v>22</v>
      </c>
      <c r="F261" s="381">
        <v>2</v>
      </c>
      <c r="G261" s="16">
        <f>'WetLitterbags placem_collection'!E188</f>
        <v>42763</v>
      </c>
      <c r="H261" t="str">
        <f>'Final data_for_R_analysis_Wetse'!K187</f>
        <v>G544</v>
      </c>
      <c r="I261" t="str">
        <f>'Final data_for_R_analysis_Wetse'!K407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14"/>
        <v>1.8332000000000002</v>
      </c>
      <c r="M261" s="194">
        <f>IF(K261&gt;0,(K261*$F$32-($F$29+$F$30)),"")</f>
        <v>1.9731999999999998</v>
      </c>
      <c r="N261" s="16">
        <f>IF('WetLitterbags placem_collection'!G188="","",'WetLitterbags placem_collection'!G188)</f>
        <v>42815</v>
      </c>
      <c r="O261" s="194">
        <f>IFERROR(INDEX('Both teabags AfterWet'!$C$3:$C$2000,MATCH(H261,'Both teabags AfterWet'!$A$3:$A$2000,0)),"")</f>
        <v>0.69</v>
      </c>
      <c r="P261" s="194">
        <f>IFERROR(INDEX('Both teabags AfterWet'!$C$3:$C$2000,MATCH(I261,'Both teabags AfterWet'!$A$3:$A$2000,0)),"")</f>
        <v>1.7509999999999999</v>
      </c>
      <c r="Q261" s="194">
        <f t="shared" si="15"/>
        <v>0.53939999999999988</v>
      </c>
      <c r="R261" s="194">
        <f t="shared" si="15"/>
        <v>1.6003999999999998</v>
      </c>
      <c r="S261" s="194">
        <f t="shared" si="16"/>
        <v>0.70576041893955932</v>
      </c>
      <c r="T261" s="194">
        <f t="shared" si="17"/>
        <v>0.4626837900886423</v>
      </c>
      <c r="U261" s="194">
        <f t="shared" si="18"/>
        <v>0.81106831542671798</v>
      </c>
      <c r="V261">
        <f>IFERROR(IF((N261-G261)&gt;0,(IFERROR(N261-G261,"")),""),"")</f>
        <v>52</v>
      </c>
      <c r="W261" s="194">
        <f t="shared" si="19"/>
        <v>0.16180472810028579</v>
      </c>
      <c r="X261" s="194">
        <f t="shared" si="20"/>
        <v>1.0092709413661128E-2</v>
      </c>
      <c r="Y261" s="252" t="str">
        <f>IF(ISNUMBER(SEARCH("C",'WetLitterbags placem_collection'!$X188)),"YES","NO")</f>
        <v>NO</v>
      </c>
      <c r="Z261" s="252" t="str">
        <f>IF(ISNUMBER(SEARCH("H", 'WetLitterbags placem_collection'!$X188)),"YES","NO")</f>
        <v>NO</v>
      </c>
      <c r="AA261" s="252" t="str">
        <f>IF(ISNUMBER(SEARCH("R", 'WetLitterbags placem_collection'!$X188)),"YES","NO")</f>
        <v>NO</v>
      </c>
      <c r="AB261" s="252" t="str">
        <f>IF(ISNUMBER(SEARCH("C", 'WetLitterbags placem_collection'!$V188)),"YES","NO")</f>
        <v>NO</v>
      </c>
      <c r="AC261" s="252" t="str">
        <f>IF(ISNUMBER(SEARCH("H", 'WetLitterbags placem_collection'!$V188)),"YES","NO")</f>
        <v>NO</v>
      </c>
      <c r="AD261" s="252" t="str">
        <f>IF(ISNUMBER(SEARCH("R", 'WetLitterbags placem_collection'!$V188)),"YES","NO")</f>
        <v>YES</v>
      </c>
    </row>
    <row r="262" spans="2:30">
      <c r="B262" t="str">
        <f>'Final data_for_R_analysis_Wetse'!A188</f>
        <v>Wet</v>
      </c>
      <c r="C262" s="260">
        <f>'Final data_for_R_analysis_Wetse'!B188</f>
        <v>187</v>
      </c>
      <c r="D262" t="s">
        <v>3829</v>
      </c>
      <c r="E262" t="s">
        <v>22</v>
      </c>
      <c r="F262" s="381">
        <v>3</v>
      </c>
      <c r="G262" s="16">
        <f>'WetLitterbags placem_collection'!E189</f>
        <v>42763</v>
      </c>
      <c r="H262" t="str">
        <f>'Final data_for_R_analysis_Wetse'!K188</f>
        <v>G620</v>
      </c>
      <c r="I262" t="str">
        <f>'Final data_for_R_analysis_Wetse'!K408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14"/>
        <v>1.7521999999999998</v>
      </c>
      <c r="M262" s="194">
        <f>IF(K262&gt;0,(K262*$F$32-($F$29+$F$30)),"")</f>
        <v>1.9262000000000001</v>
      </c>
      <c r="N262" s="16">
        <f>IF('WetLitterbags placem_collection'!G189="","",'WetLitterbags placem_collection'!G189)</f>
        <v>42815</v>
      </c>
      <c r="O262" s="194">
        <f>IFERROR(INDEX('Both teabags AfterWet'!$C$3:$C$2000,MATCH(H262,'Both teabags AfterWet'!$A$3:$A$2000,0)),"")</f>
        <v>0.59950000000000003</v>
      </c>
      <c r="P262" s="194">
        <f>IFERROR(INDEX('Both teabags AfterWet'!$C$3:$C$2000,MATCH(I262,'Both teabags AfterWet'!$A$3:$A$2000,0)),"")</f>
        <v>1.6979</v>
      </c>
      <c r="Q262" s="194">
        <f t="shared" si="15"/>
        <v>0.44890000000000002</v>
      </c>
      <c r="R262" s="194">
        <f t="shared" si="15"/>
        <v>1.5472999999999999</v>
      </c>
      <c r="S262" s="194">
        <f t="shared" si="16"/>
        <v>0.74380778449948637</v>
      </c>
      <c r="T262" s="194">
        <f t="shared" si="17"/>
        <v>0.48762695610892698</v>
      </c>
      <c r="U262" s="194">
        <f t="shared" si="18"/>
        <v>0.80329145467760343</v>
      </c>
      <c r="V262">
        <f>IFERROR(IF((N262-G262)&gt;0,(IFERROR(N262-G262,"")),""),"")</f>
        <v>52</v>
      </c>
      <c r="W262" s="194">
        <f t="shared" si="19"/>
        <v>0.11661783313600194</v>
      </c>
      <c r="X262" s="194">
        <f t="shared" si="20"/>
        <v>9.9328428224297449E-3</v>
      </c>
      <c r="Y262" s="252" t="str">
        <f>IF(ISNUMBER(SEARCH("C",'WetLitterbags placem_collection'!$X189)),"YES","NO")</f>
        <v>NO</v>
      </c>
      <c r="Z262" s="252" t="str">
        <f>IF(ISNUMBER(SEARCH("H", 'WetLitterbags placem_collection'!$X189)),"YES","NO")</f>
        <v>NO</v>
      </c>
      <c r="AA262" s="252" t="str">
        <f>IF(ISNUMBER(SEARCH("R", 'WetLitterbags placem_collection'!$X189)),"YES","NO")</f>
        <v>NO</v>
      </c>
      <c r="AB262" s="252" t="str">
        <f>IF(ISNUMBER(SEARCH("C", 'WetLitterbags placem_collection'!$V189)),"YES","NO")</f>
        <v>NO</v>
      </c>
      <c r="AC262" s="252" t="str">
        <f>IF(ISNUMBER(SEARCH("H", 'WetLitterbags placem_collection'!$V189)),"YES","NO")</f>
        <v>NO</v>
      </c>
      <c r="AD262" s="252" t="str">
        <f>IF(ISNUMBER(SEARCH("R", 'WetLitterbags placem_collection'!$V189)),"YES","NO")</f>
        <v>NO</v>
      </c>
    </row>
    <row r="263" spans="2:30">
      <c r="B263" t="str">
        <f>'Final data_for_R_analysis_Wetse'!A189</f>
        <v>Wet</v>
      </c>
      <c r="C263" s="260">
        <f>'Final data_for_R_analysis_Wetse'!B189</f>
        <v>188</v>
      </c>
      <c r="D263" t="s">
        <v>3829</v>
      </c>
      <c r="E263" t="s">
        <v>22</v>
      </c>
      <c r="F263" s="382">
        <v>4</v>
      </c>
      <c r="G263" s="16">
        <f>'WetLitterbags placem_collection'!E190</f>
        <v>42763</v>
      </c>
      <c r="H263" t="str">
        <f>'Final data_for_R_analysis_Wetse'!K189</f>
        <v>G420</v>
      </c>
      <c r="I263" t="str">
        <f>'Final data_for_R_analysis_Wetse'!K409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14"/>
        <v>1.7892000000000001</v>
      </c>
      <c r="M263" s="194">
        <f>IF(K263&gt;0,(K263*$F$32-($F$29+$F$30)),"")</f>
        <v>1.8681999999999999</v>
      </c>
      <c r="N263" s="16">
        <f>IF('WetLitterbags placem_collection'!G190="","",'WetLitterbags placem_collection'!G190)</f>
        <v>42815</v>
      </c>
      <c r="O263" s="194">
        <f>IFERROR(INDEX('Both teabags AfterWet'!$C$3:$C$2000,MATCH(H263,'Both teabags AfterWet'!$A$3:$A$2000,0)),"")</f>
        <v>0.29980000000000001</v>
      </c>
      <c r="P263" s="194">
        <f>IFERROR(INDEX('Both teabags AfterWet'!$C$3:$C$2000,MATCH(I263,'Both teabags AfterWet'!$A$3:$A$2000,0)),"")</f>
        <v>1.54</v>
      </c>
      <c r="Q263" s="194">
        <f t="shared" si="15"/>
        <v>0.1492</v>
      </c>
      <c r="R263" s="194">
        <f t="shared" si="15"/>
        <v>1.3894</v>
      </c>
      <c r="S263" s="194">
        <f t="shared" si="16"/>
        <v>0.91661077576570538</v>
      </c>
      <c r="T263" s="194">
        <f t="shared" si="17"/>
        <v>0.60091347769913228</v>
      </c>
      <c r="U263" s="194">
        <f t="shared" si="18"/>
        <v>0.74371052349855482</v>
      </c>
      <c r="V263">
        <f>IFERROR(IF((N263-G263)&gt;0,(IFERROR(N263-G263,"")),""),"")</f>
        <v>52</v>
      </c>
      <c r="W263" s="194">
        <f t="shared" si="19"/>
        <v>-8.8611372643355502E-2</v>
      </c>
      <c r="X263" s="194">
        <f t="shared" si="20"/>
        <v>1.0692249791656021E-2</v>
      </c>
      <c r="Y263" s="252" t="str">
        <f>IF(ISNUMBER(SEARCH("C",'WetLitterbags placem_collection'!$X190)),"YES","NO")</f>
        <v>NO</v>
      </c>
      <c r="Z263" s="252" t="str">
        <f>IF(ISNUMBER(SEARCH("H", 'WetLitterbags placem_collection'!$X190)),"YES","NO")</f>
        <v>NO</v>
      </c>
      <c r="AA263" s="252" t="str">
        <f>IF(ISNUMBER(SEARCH("R", 'WetLitterbags placem_collection'!$X190)),"YES","NO")</f>
        <v>NO</v>
      </c>
      <c r="AB263" s="252" t="str">
        <f>IF(ISNUMBER(SEARCH("C", 'WetLitterbags placem_collection'!$V190)),"YES","NO")</f>
        <v>NO</v>
      </c>
      <c r="AC263" s="252" t="str">
        <f>IF(ISNUMBER(SEARCH("H", 'WetLitterbags placem_collection'!$V190)),"YES","NO")</f>
        <v>YES</v>
      </c>
      <c r="AD263" s="252" t="str">
        <f>IF(ISNUMBER(SEARCH("R", 'WetLitterbags placem_collection'!$V190)),"YES","NO")</f>
        <v>NO</v>
      </c>
    </row>
    <row r="264" spans="2:30">
      <c r="B264" t="str">
        <f>'Final data_for_R_analysis_Wetse'!A190</f>
        <v>Wet</v>
      </c>
      <c r="C264" s="260">
        <f>'Final data_for_R_analysis_Wetse'!B190</f>
        <v>189</v>
      </c>
      <c r="D264" t="s">
        <v>3829</v>
      </c>
      <c r="E264" t="s">
        <v>22</v>
      </c>
      <c r="F264" s="382">
        <v>5</v>
      </c>
      <c r="G264" s="16">
        <f>'WetLitterbags placem_collection'!E191</f>
        <v>42763</v>
      </c>
      <c r="H264" t="str">
        <f>'Final data_for_R_analysis_Wetse'!K190</f>
        <v>G367</v>
      </c>
      <c r="I264" t="str">
        <f>'Final data_for_R_analysis_Wetse'!K410</f>
        <v>R354</v>
      </c>
      <c r="J264">
        <f>IFERROR(INDEX('Green_rooibos initial weight'!$C$5:$C$2000,MATCH(H264, 'Green_rooibos initial weight'!$A$5:$A$2000,0)),"")</f>
        <v>2.0990000000000002</v>
      </c>
      <c r="K264">
        <f>IFERROR(INDEX('Green_rooibos initial weight'!$C$5:$C$2000,MATCH(I264, 'Green_rooibos initial weight'!$A$5:$A$2000,0)),"")</f>
        <v>2.286</v>
      </c>
      <c r="L264" s="194">
        <f t="shared" si="14"/>
        <v>1.8492000000000002</v>
      </c>
      <c r="M264" s="194">
        <f>IF(K264&gt;0,(K264*$F$32-($F$29+$F$30)),"")</f>
        <v>2.0362</v>
      </c>
      <c r="N264" s="16">
        <f>IF('WetLitterbags placem_collection'!G191="","",'WetLitterbags placem_collection'!G191)</f>
        <v>42815</v>
      </c>
      <c r="O264" s="194">
        <f>IFERROR(INDEX('Both teabags AfterWet'!$C$3:$C$2000,MATCH(H264,'Both teabags AfterWet'!$A$3:$A$2000,0)),"")</f>
        <v>0.80840000000000001</v>
      </c>
      <c r="P264" s="194">
        <f>IFERROR(INDEX('Both teabags AfterWet'!$C$3:$C$2000,MATCH(I264,'Both teabags AfterWet'!$A$3:$A$2000,0)),"")</f>
        <v>1.7630999999999999</v>
      </c>
      <c r="Q264" s="194">
        <f t="shared" si="15"/>
        <v>0.65779999999999994</v>
      </c>
      <c r="R264" s="194">
        <f t="shared" si="15"/>
        <v>1.6124999999999998</v>
      </c>
      <c r="S264" s="194">
        <f t="shared" si="16"/>
        <v>0.64427860696517425</v>
      </c>
      <c r="T264" s="194">
        <f t="shared" si="17"/>
        <v>0.42237742404367723</v>
      </c>
      <c r="U264" s="194">
        <f t="shared" si="18"/>
        <v>0.79191631470386004</v>
      </c>
      <c r="V264">
        <f>IFERROR(IF((N264-G264)&gt;0,(IFERROR(N264-G264,"")),""),"")</f>
        <v>52</v>
      </c>
      <c r="W264" s="194">
        <f t="shared" si="19"/>
        <v>0.23482350716725142</v>
      </c>
      <c r="X264" s="194">
        <f t="shared" si="20"/>
        <v>1.3049069216828206E-2</v>
      </c>
      <c r="Y264" s="252" t="str">
        <f>IF(ISNUMBER(SEARCH("C",'WetLitterbags placem_collection'!$X191)),"YES","NO")</f>
        <v>NO</v>
      </c>
      <c r="Z264" s="252" t="str">
        <f>IF(ISNUMBER(SEARCH("H", 'WetLitterbags placem_collection'!$X191)),"YES","NO")</f>
        <v>NO</v>
      </c>
      <c r="AA264" s="252" t="str">
        <f>IF(ISNUMBER(SEARCH("R", 'WetLitterbags placem_collection'!$X191)),"YES","NO")</f>
        <v>NO</v>
      </c>
      <c r="AB264" s="252" t="str">
        <f>IF(ISNUMBER(SEARCH("C", 'WetLitterbags placem_collection'!$V191)),"YES","NO")</f>
        <v>YES</v>
      </c>
      <c r="AC264" s="252" t="str">
        <f>IF(ISNUMBER(SEARCH("H", 'WetLitterbags placem_collection'!$V191)),"YES","NO")</f>
        <v>NO</v>
      </c>
      <c r="AD264" s="252" t="str">
        <f>IF(ISNUMBER(SEARCH("R", 'WetLitterbags placem_collection'!$V191)),"YES","NO")</f>
        <v>YES</v>
      </c>
    </row>
    <row r="265" spans="2:30">
      <c r="B265" t="str">
        <f>'Final data_for_R_analysis_Wetse'!A191</f>
        <v>Wet</v>
      </c>
      <c r="C265" s="260">
        <f>'Final data_for_R_analysis_Wetse'!B191</f>
        <v>190</v>
      </c>
      <c r="D265" t="s">
        <v>3829</v>
      </c>
      <c r="E265" t="s">
        <v>22</v>
      </c>
      <c r="F265" s="382">
        <v>6</v>
      </c>
      <c r="G265" s="16">
        <f>'WetLitterbags placem_collection'!E192</f>
        <v>42763</v>
      </c>
      <c r="H265" t="str">
        <f>'Final data_for_R_analysis_Wetse'!K191</f>
        <v>G526</v>
      </c>
      <c r="I265" t="str">
        <f>'Final data_for_R_analysis_Wetse'!K411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14"/>
        <v>1.8262</v>
      </c>
      <c r="M265" s="194">
        <f>IF(K265&gt;0,(K265*$F$32-($F$29+$F$30)),"")</f>
        <v>1.9542000000000002</v>
      </c>
      <c r="N265" s="16">
        <f>IF('WetLitterbags placem_collection'!G192="","",'WetLitterbags placem_collection'!G192)</f>
        <v>42815</v>
      </c>
      <c r="O265" s="194">
        <f>IFERROR(INDEX('Both teabags AfterWet'!$C$3:$C$2000,MATCH(H265,'Both teabags AfterWet'!$A$3:$A$2000,0)),"")</f>
        <v>0.61960000000000004</v>
      </c>
      <c r="P265" s="194">
        <f>IFERROR(INDEX('Both teabags AfterWet'!$C$3:$C$2000,MATCH(I265,'Both teabags AfterWet'!$A$3:$A$2000,0)),"")</f>
        <v>1.6649</v>
      </c>
      <c r="Q265" s="194">
        <f t="shared" si="15"/>
        <v>0.46900000000000003</v>
      </c>
      <c r="R265" s="194">
        <f t="shared" si="15"/>
        <v>1.5143</v>
      </c>
      <c r="S265" s="194">
        <f t="shared" si="16"/>
        <v>0.74318256488884016</v>
      </c>
      <c r="T265" s="194">
        <f t="shared" si="17"/>
        <v>0.48721707341881215</v>
      </c>
      <c r="U265" s="194">
        <f t="shared" si="18"/>
        <v>0.77489509773820486</v>
      </c>
      <c r="V265">
        <f>IFERROR(IF((N265-G265)&gt;0,(IFERROR(N265-G265,"")),""),"")</f>
        <v>52</v>
      </c>
      <c r="W265" s="194">
        <f t="shared" si="19"/>
        <v>0.11736037424128243</v>
      </c>
      <c r="X265" s="194">
        <f t="shared" si="20"/>
        <v>1.1921869488843211E-2</v>
      </c>
      <c r="Y265" s="252" t="str">
        <f>IF(ISNUMBER(SEARCH("C",'WetLitterbags placem_collection'!$X192)),"YES","NO")</f>
        <v>NO</v>
      </c>
      <c r="Z265" s="252" t="str">
        <f>IF(ISNUMBER(SEARCH("H", 'WetLitterbags placem_collection'!$X192)),"YES","NO")</f>
        <v>NO</v>
      </c>
      <c r="AA265" s="252" t="str">
        <f>IF(ISNUMBER(SEARCH("R", 'WetLitterbags placem_collection'!$X192)),"YES","NO")</f>
        <v>NO</v>
      </c>
      <c r="AB265" s="252" t="str">
        <f>IF(ISNUMBER(SEARCH("C", 'WetLitterbags placem_collection'!$V192)),"YES","NO")</f>
        <v>NO</v>
      </c>
      <c r="AC265" s="252" t="str">
        <f>IF(ISNUMBER(SEARCH("H", 'WetLitterbags placem_collection'!$V192)),"YES","NO")</f>
        <v>NO</v>
      </c>
      <c r="AD265" s="252" t="str">
        <f>IF(ISNUMBER(SEARCH("R", 'WetLitterbags placem_collection'!$V192)),"YES","NO")</f>
        <v>NO</v>
      </c>
    </row>
    <row r="266" spans="2:30">
      <c r="B266" t="str">
        <f>'Final data_for_R_analysis_Wetse'!A192</f>
        <v>Wet</v>
      </c>
      <c r="C266" s="260">
        <f>'Final data_for_R_analysis_Wetse'!B192</f>
        <v>191</v>
      </c>
      <c r="D266" t="s">
        <v>3829</v>
      </c>
      <c r="E266" t="s">
        <v>22</v>
      </c>
      <c r="F266" s="382">
        <v>7</v>
      </c>
      <c r="G266" s="16">
        <f>'WetLitterbags placem_collection'!E193</f>
        <v>42763</v>
      </c>
      <c r="H266" t="str">
        <f>'Final data_for_R_analysis_Wetse'!K192</f>
        <v>G522</v>
      </c>
      <c r="I266" t="str">
        <f>'Final data_for_R_analysis_Wetse'!K412</f>
        <v>R336</v>
      </c>
      <c r="J266">
        <f>IFERROR(INDEX('Green_rooibos initial weight'!$C$5:$C$2000,MATCH(H266, 'Green_rooibos initial weight'!$A$5:$A$2000,0)),"")</f>
        <v>1.821</v>
      </c>
      <c r="K266">
        <f>IFERROR(INDEX('Green_rooibos initial weight'!$C$5:$C$2000,MATCH(I266, 'Green_rooibos initial weight'!$A$5:$A$2000,0)),"")</f>
        <v>2.11</v>
      </c>
      <c r="L266" s="194">
        <f t="shared" si="14"/>
        <v>1.5711999999999999</v>
      </c>
      <c r="M266" s="194">
        <f>IF(K266&gt;0,(K266*$F$32-($F$29+$F$30)),"")</f>
        <v>1.8601999999999999</v>
      </c>
      <c r="N266" s="16">
        <f>IF('WetLitterbags placem_collection'!G193="","",'WetLitterbags placem_collection'!G193)</f>
        <v>42815</v>
      </c>
      <c r="O266" s="194">
        <f>IFERROR(INDEX('Both teabags AfterWet'!$C$3:$C$2000,MATCH(H266,'Both teabags AfterWet'!$A$3:$A$2000,0)),"")</f>
        <v>0.628</v>
      </c>
      <c r="P266" s="194">
        <f>IFERROR(INDEX('Both teabags AfterWet'!$C$3:$C$2000,MATCH(I266,'Both teabags AfterWet'!$A$3:$A$2000,0)),"")</f>
        <v>1.671</v>
      </c>
      <c r="Q266" s="194">
        <f t="shared" si="15"/>
        <v>0.47739999999999999</v>
      </c>
      <c r="R266" s="194">
        <f t="shared" si="15"/>
        <v>1.5204</v>
      </c>
      <c r="S266" s="194">
        <f t="shared" si="16"/>
        <v>0.69615580448065173</v>
      </c>
      <c r="T266" s="194">
        <f t="shared" si="17"/>
        <v>0.4563871782343466</v>
      </c>
      <c r="U266" s="194">
        <f t="shared" si="18"/>
        <v>0.81733146973443715</v>
      </c>
      <c r="V266">
        <f>IFERROR(IF((N266-G266)&gt;0,(IFERROR(N266-G266,"")),""),"")</f>
        <v>52</v>
      </c>
      <c r="W266" s="194">
        <f t="shared" si="19"/>
        <v>0.17321163363343017</v>
      </c>
      <c r="X266" s="194">
        <f t="shared" si="20"/>
        <v>9.8315534177963061E-3</v>
      </c>
      <c r="Y266" s="252" t="str">
        <f>IF(ISNUMBER(SEARCH("C",'WetLitterbags placem_collection'!$X193)),"YES","NO")</f>
        <v>NO</v>
      </c>
      <c r="Z266" s="252" t="str">
        <f>IF(ISNUMBER(SEARCH("H", 'WetLitterbags placem_collection'!$X193)),"YES","NO")</f>
        <v>NO</v>
      </c>
      <c r="AA266" s="252" t="str">
        <f>IF(ISNUMBER(SEARCH("R", 'WetLitterbags placem_collection'!$X193)),"YES","NO")</f>
        <v>NO</v>
      </c>
      <c r="AB266" s="252" t="str">
        <f>IF(ISNUMBER(SEARCH("C", 'WetLitterbags placem_collection'!$V193)),"YES","NO")</f>
        <v>NO</v>
      </c>
      <c r="AC266" s="252" t="str">
        <f>IF(ISNUMBER(SEARCH("H", 'WetLitterbags placem_collection'!$V193)),"YES","NO")</f>
        <v>NO</v>
      </c>
      <c r="AD266" s="252" t="str">
        <f>IF(ISNUMBER(SEARCH("R", 'WetLitterbags placem_collection'!$V193)),"YES","NO")</f>
        <v>NO</v>
      </c>
    </row>
    <row r="267" spans="2:30">
      <c r="B267" t="str">
        <f>'Final data_for_R_analysis_Wetse'!A193</f>
        <v>Wet</v>
      </c>
      <c r="C267" s="260">
        <f>'Final data_for_R_analysis_Wetse'!B193</f>
        <v>192</v>
      </c>
      <c r="D267" t="s">
        <v>3829</v>
      </c>
      <c r="E267" t="s">
        <v>22</v>
      </c>
      <c r="F267" s="382">
        <v>8</v>
      </c>
      <c r="G267" s="16">
        <f>'WetLitterbags placem_collection'!E194</f>
        <v>42763</v>
      </c>
      <c r="H267" t="str">
        <f>'Final data_for_R_analysis_Wetse'!K193</f>
        <v>G591</v>
      </c>
      <c r="I267" t="str">
        <f>'Final data_for_R_analysis_Wetse'!K413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14"/>
        <v>1.8422000000000001</v>
      </c>
      <c r="M267" s="194">
        <f>IF(K267&gt;0,(K267*$F$32-($F$29+$F$30)),"")</f>
        <v>1.9352</v>
      </c>
      <c r="N267" s="16">
        <f>IF('WetLitterbags placem_collection'!G194="","",'WetLitterbags placem_collection'!G194)</f>
        <v>42815</v>
      </c>
      <c r="O267" s="194">
        <f>IFERROR(INDEX('Both teabags AfterWet'!$C$3:$C$2000,MATCH(H267,'Both teabags AfterWet'!$A$3:$A$2000,0)),"")</f>
        <v>0.66100000000000003</v>
      </c>
      <c r="P267" s="194">
        <f>IFERROR(INDEX('Both teabags AfterWet'!$C$3:$C$2000,MATCH(I267,'Both teabags AfterWet'!$A$3:$A$2000,0)),"")</f>
        <v>1.0369999999999999</v>
      </c>
      <c r="Q267" s="194">
        <f t="shared" si="15"/>
        <v>0.51039999999999996</v>
      </c>
      <c r="R267" s="194">
        <f t="shared" si="15"/>
        <v>0.88639999999999985</v>
      </c>
      <c r="S267" s="194">
        <f t="shared" si="16"/>
        <v>0.72293996308761266</v>
      </c>
      <c r="T267" s="194">
        <f t="shared" si="17"/>
        <v>0.47394638910256798</v>
      </c>
      <c r="U267" s="194">
        <f t="shared" si="18"/>
        <v>0.45804051260851586</v>
      </c>
      <c r="V267">
        <f>IFERROR(IF((N267-G267)&gt;0,(IFERROR(N267-G267,"")),""),"")</f>
        <v>52</v>
      </c>
      <c r="W267" s="194">
        <f t="shared" si="19"/>
        <v>0.14140146901708706</v>
      </c>
      <c r="X267" s="194" t="str">
        <f t="shared" si="20"/>
        <v/>
      </c>
      <c r="Y267" s="252" t="str">
        <f>IF(ISNUMBER(SEARCH("C",'WetLitterbags placem_collection'!$X194)),"YES","NO")</f>
        <v>NO</v>
      </c>
      <c r="Z267" s="252" t="str">
        <f>IF(ISNUMBER(SEARCH("H", 'WetLitterbags placem_collection'!$X194)),"YES","NO")</f>
        <v>NO</v>
      </c>
      <c r="AA267" s="252" t="str">
        <f>IF(ISNUMBER(SEARCH("R", 'WetLitterbags placem_collection'!$X194)),"YES","NO")</f>
        <v>NO</v>
      </c>
      <c r="AB267" s="252" t="str">
        <f>IF(ISNUMBER(SEARCH("C", 'WetLitterbags placem_collection'!$V194)),"YES","NO")</f>
        <v>NO</v>
      </c>
      <c r="AC267" s="252" t="str">
        <f>IF(ISNUMBER(SEARCH("H", 'WetLitterbags placem_collection'!$V194)),"YES","NO")</f>
        <v>NO</v>
      </c>
      <c r="AD267" s="252" t="str">
        <f>IF(ISNUMBER(SEARCH("R", 'WetLitterbags placem_collection'!$V194)),"YES","NO")</f>
        <v>NO</v>
      </c>
    </row>
    <row r="268" spans="2:30">
      <c r="B268" t="str">
        <f>'Final data_for_R_analysis_Wetse'!A194</f>
        <v>Wet</v>
      </c>
      <c r="C268" s="260">
        <f>'Final data_for_R_analysis_Wetse'!B194</f>
        <v>193</v>
      </c>
      <c r="D268" t="s">
        <v>2440</v>
      </c>
      <c r="E268" t="s">
        <v>22</v>
      </c>
      <c r="F268" s="382">
        <v>1</v>
      </c>
      <c r="G268" s="16">
        <f>'WetLitterbags placem_collection'!E195</f>
        <v>42769</v>
      </c>
      <c r="H268" t="str">
        <f>'Final data_for_R_analysis_Wetse'!K194</f>
        <v>G863</v>
      </c>
      <c r="I268" t="str">
        <f>'Final data_for_R_analysis_Wetse'!K414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14"/>
        <v>1.7732000000000001</v>
      </c>
      <c r="M268" s="194">
        <f>IF(K268&gt;0,(K268*$F$32-($F$29+$F$30)),"")</f>
        <v>1.9542000000000002</v>
      </c>
      <c r="N268" s="16">
        <f>IF('WetLitterbags placem_collection'!G195="","",'WetLitterbags placem_collection'!G195)</f>
        <v>42813</v>
      </c>
      <c r="O268" s="194">
        <f>IFERROR(INDEX('Both teabags AfterWet'!$C$3:$C$2000,MATCH(H268,'Both teabags AfterWet'!$A$3:$A$2000,0)),"")</f>
        <v>0.64890000000000003</v>
      </c>
      <c r="P268" s="194">
        <f>IFERROR(INDEX('Both teabags AfterWet'!$C$3:$C$2000,MATCH(I268,'Both teabags AfterWet'!$A$3:$A$2000,0)),"")</f>
        <v>1.2266999999999999</v>
      </c>
      <c r="Q268" s="194">
        <f t="shared" si="15"/>
        <v>0.49830000000000002</v>
      </c>
      <c r="R268" s="194">
        <f t="shared" si="15"/>
        <v>1.0760999999999998</v>
      </c>
      <c r="S268" s="194">
        <f t="shared" si="16"/>
        <v>0.71898263027295284</v>
      </c>
      <c r="T268" s="194">
        <f t="shared" si="17"/>
        <v>0.47135203314806418</v>
      </c>
      <c r="U268" s="194">
        <f t="shared" si="18"/>
        <v>0.55066011667178372</v>
      </c>
      <c r="V268">
        <f>IFERROR(IF((N268-G268)&gt;0,(IFERROR(N268-G268,"")),""),"")</f>
        <v>44</v>
      </c>
      <c r="W268" s="194">
        <f t="shared" si="19"/>
        <v>0.14610138922452154</v>
      </c>
      <c r="X268" s="194">
        <f t="shared" si="20"/>
        <v>6.9636606041708293E-2</v>
      </c>
      <c r="Y268" s="252" t="str">
        <f>IF(ISNUMBER(SEARCH("C",'WetLitterbags placem_collection'!$X195)),"YES","NO")</f>
        <v>NO</v>
      </c>
      <c r="Z268" s="252" t="str">
        <f>IF(ISNUMBER(SEARCH("H", 'WetLitterbags placem_collection'!$X195)),"YES","NO")</f>
        <v>NO</v>
      </c>
      <c r="AA268" s="252" t="str">
        <f>IF(ISNUMBER(SEARCH("R", 'WetLitterbags placem_collection'!$X195)),"YES","NO")</f>
        <v>YES</v>
      </c>
      <c r="AB268" s="252" t="str">
        <f>IF(ISNUMBER(SEARCH("C", 'WetLitterbags placem_collection'!$V195)),"YES","NO")</f>
        <v>NO</v>
      </c>
      <c r="AC268" s="252" t="str">
        <f>IF(ISNUMBER(SEARCH("H", 'WetLitterbags placem_collection'!$V195)),"YES","NO")</f>
        <v>NO</v>
      </c>
      <c r="AD268" s="252" t="str">
        <f>IF(ISNUMBER(SEARCH("R", 'WetLitterbags placem_collection'!$V195)),"YES","NO")</f>
        <v>YES</v>
      </c>
    </row>
    <row r="269" spans="2:30">
      <c r="B269" t="str">
        <f>'Final data_for_R_analysis_Wetse'!A195</f>
        <v>Wet</v>
      </c>
      <c r="C269" s="260">
        <f>'Final data_for_R_analysis_Wetse'!B195</f>
        <v>194</v>
      </c>
      <c r="D269" t="s">
        <v>2433</v>
      </c>
      <c r="E269" t="s">
        <v>22</v>
      </c>
      <c r="F269" s="382">
        <v>2</v>
      </c>
      <c r="G269" s="16">
        <f>'WetLitterbags placem_collection'!E196</f>
        <v>42769</v>
      </c>
      <c r="H269" t="str">
        <f>'Final data_for_R_analysis_Wetse'!K195</f>
        <v>G615</v>
      </c>
      <c r="I269" t="str">
        <f>'Final data_for_R_analysis_Wetse'!K415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332" si="21">IF(J269&gt;0,(J269*$F$31-($F$29+$F$30)),"")</f>
        <v>1.7132000000000001</v>
      </c>
      <c r="M269" s="194">
        <f>IF(K269&gt;0,(K269*$F$32-($F$29+$F$30)),"")</f>
        <v>1.9662000000000002</v>
      </c>
      <c r="N269" s="16">
        <f>IF('WetLitterbags placem_collection'!G196="","",'WetLitterbags placem_collection'!G196)</f>
        <v>42813</v>
      </c>
      <c r="O269" s="194">
        <f>IFERROR(INDEX('Both teabags AfterWet'!$C$3:$C$2000,MATCH(H269,'Both teabags AfterWet'!$A$3:$A$2000,0)),"")</f>
        <v>0.64100000000000001</v>
      </c>
      <c r="P269" s="194">
        <f>IFERROR(INDEX('Both teabags AfterWet'!$C$3:$C$2000,MATCH(I269,'Both teabags AfterWet'!$A$3:$A$2000,0)),"")</f>
        <v>1.512</v>
      </c>
      <c r="Q269" s="194">
        <f t="shared" ref="Q269:R332" si="22">IFERROR(IF(O269&gt;0,O269-($F$29),""),"")</f>
        <v>0.4904</v>
      </c>
      <c r="R269" s="194">
        <f t="shared" si="22"/>
        <v>1.3613999999999999</v>
      </c>
      <c r="S269" s="194">
        <f t="shared" ref="S269:S332" si="23">IFERROR(1-Q269/L269,"")</f>
        <v>0.71375204296054173</v>
      </c>
      <c r="T269" s="194">
        <f t="shared" ref="T269:T332" si="24">IFERROR($F$26*(1-W269),"")</f>
        <v>0.46792295452995142</v>
      </c>
      <c r="U269" s="194">
        <f t="shared" ref="U269:U332" si="25">IFERROR(R269/M269,"")</f>
        <v>0.69240158681721076</v>
      </c>
      <c r="V269">
        <f>IFERROR(IF((N269-G269)&gt;0,(IFERROR(N269-G269,"")),""),"")</f>
        <v>44</v>
      </c>
      <c r="W269" s="194">
        <f t="shared" ref="W269:W332" si="26">IFERROR(1-(S269/$F$25),"")</f>
        <v>0.15231348817037793</v>
      </c>
      <c r="X269" s="194">
        <f t="shared" ref="X269:X332" si="27">IFERROR(LN(T269/(U269-(1-T269)))/V269,"")</f>
        <v>2.4343261614337117E-2</v>
      </c>
      <c r="Y269" s="252" t="str">
        <f>IF(ISNUMBER(SEARCH("C",'WetLitterbags placem_collection'!$X196)),"YES","NO")</f>
        <v>NO</v>
      </c>
      <c r="Z269" s="252" t="str">
        <f>IF(ISNUMBER(SEARCH("H", 'WetLitterbags placem_collection'!$X196)),"YES","NO")</f>
        <v>NO</v>
      </c>
      <c r="AA269" s="252" t="str">
        <f>IF(ISNUMBER(SEARCH("R", 'WetLitterbags placem_collection'!$X196)),"YES","NO")</f>
        <v>YES</v>
      </c>
      <c r="AB269" s="252" t="str">
        <f>IF(ISNUMBER(SEARCH("C", 'WetLitterbags placem_collection'!$V196)),"YES","NO")</f>
        <v>NO</v>
      </c>
      <c r="AC269" s="252" t="str">
        <f>IF(ISNUMBER(SEARCH("H", 'WetLitterbags placem_collection'!$V196)),"YES","NO")</f>
        <v>NO</v>
      </c>
      <c r="AD269" s="252" t="str">
        <f>IF(ISNUMBER(SEARCH("R", 'WetLitterbags placem_collection'!$V196)),"YES","NO")</f>
        <v>YES</v>
      </c>
    </row>
    <row r="270" spans="2:30">
      <c r="B270" t="str">
        <f>'Final data_for_R_analysis_Wetse'!A196</f>
        <v>Wet</v>
      </c>
      <c r="C270" s="260">
        <f>'Final data_for_R_analysis_Wetse'!B196</f>
        <v>195</v>
      </c>
      <c r="D270" t="s">
        <v>2425</v>
      </c>
      <c r="E270" t="s">
        <v>22</v>
      </c>
      <c r="F270" s="382">
        <v>3</v>
      </c>
      <c r="G270" s="16">
        <f>'WetLitterbags placem_collection'!E197</f>
        <v>42769</v>
      </c>
      <c r="H270" t="str">
        <f>'Final data_for_R_analysis_Wetse'!K196</f>
        <v>G821</v>
      </c>
      <c r="I270" t="str">
        <f>'Final data_for_R_analysis_Wetse'!K416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21"/>
        <v>1.7492000000000001</v>
      </c>
      <c r="M270" s="194">
        <f>IF(K270&gt;0,(K270*$F$32-($F$29+$F$30)),"")</f>
        <v>1.9822000000000002</v>
      </c>
      <c r="N270" s="16">
        <f>IF('WetLitterbags placem_collection'!G197="","",'WetLitterbags placem_collection'!G197)</f>
        <v>42814</v>
      </c>
      <c r="O270" s="194">
        <f>IFERROR(INDEX('Both teabags AfterWet'!$C$3:$C$2000,MATCH(H270,'Both teabags AfterWet'!$A$3:$A$2000,0)),"")</f>
        <v>0.7641</v>
      </c>
      <c r="P270" s="194">
        <f>IFERROR(INDEX('Both teabags AfterWet'!$C$3:$C$2000,MATCH(I270,'Both teabags AfterWet'!$A$3:$A$2000,0)),"")</f>
        <v>1.5296000000000001</v>
      </c>
      <c r="Q270" s="194">
        <f t="shared" si="22"/>
        <v>0.61349999999999993</v>
      </c>
      <c r="R270" s="194">
        <f t="shared" si="22"/>
        <v>1.379</v>
      </c>
      <c r="S270" s="194">
        <f t="shared" si="23"/>
        <v>0.64926823690830093</v>
      </c>
      <c r="T270" s="194">
        <f t="shared" si="24"/>
        <v>0.42564853536031133</v>
      </c>
      <c r="U270" s="194">
        <f t="shared" si="25"/>
        <v>0.69569165573605074</v>
      </c>
      <c r="V270">
        <f>IFERROR(IF((N270-G270)&gt;0,(IFERROR(N270-G270,"")),""),"")</f>
        <v>45</v>
      </c>
      <c r="W270" s="194">
        <f t="shared" si="26"/>
        <v>0.22889758086900125</v>
      </c>
      <c r="X270" s="194">
        <f t="shared" si="27"/>
        <v>2.7889241643985423E-2</v>
      </c>
      <c r="Y270" s="252" t="str">
        <f>IF(ISNUMBER(SEARCH("C",'WetLitterbags placem_collection'!$X197)),"YES","NO")</f>
        <v>NO</v>
      </c>
      <c r="Z270" s="252" t="str">
        <f>IF(ISNUMBER(SEARCH("H", 'WetLitterbags placem_collection'!$X197)),"YES","NO")</f>
        <v>NO</v>
      </c>
      <c r="AA270" s="252" t="str">
        <f>IF(ISNUMBER(SEARCH("R", 'WetLitterbags placem_collection'!$X197)),"YES","NO")</f>
        <v>YES</v>
      </c>
      <c r="AB270" s="252" t="str">
        <f>IF(ISNUMBER(SEARCH("C", 'WetLitterbags placem_collection'!$V197)),"YES","NO")</f>
        <v>NO</v>
      </c>
      <c r="AC270" s="252" t="str">
        <f>IF(ISNUMBER(SEARCH("H", 'WetLitterbags placem_collection'!$V197)),"YES","NO")</f>
        <v>NO</v>
      </c>
      <c r="AD270" s="252" t="str">
        <f>IF(ISNUMBER(SEARCH("R", 'WetLitterbags placem_collection'!$V197)),"YES","NO")</f>
        <v>YES</v>
      </c>
    </row>
    <row r="271" spans="2:30">
      <c r="B271" t="str">
        <f>'Final data_for_R_analysis_Wetse'!A197</f>
        <v>Wet</v>
      </c>
      <c r="C271" s="260">
        <f>'Final data_for_R_analysis_Wetse'!B197</f>
        <v>196</v>
      </c>
      <c r="D271" t="s">
        <v>2416</v>
      </c>
      <c r="E271" t="s">
        <v>22</v>
      </c>
      <c r="F271" s="382">
        <v>4</v>
      </c>
      <c r="G271" s="16">
        <f>'WetLitterbags placem_collection'!E198</f>
        <v>42769</v>
      </c>
      <c r="H271" t="str">
        <f>'Final data_for_R_analysis_Wetse'!K197</f>
        <v>G754</v>
      </c>
      <c r="I271" t="str">
        <f>'Final data_for_R_analysis_Wetse'!K417</f>
        <v>R375</v>
      </c>
      <c r="J271">
        <f>IFERROR(INDEX('Green_rooibos initial weight'!$C$5:$C$2000,MATCH(H271, 'Green_rooibos initial weight'!$A$5:$A$2000,0)),"")</f>
        <v>2.0609999999999999</v>
      </c>
      <c r="K271">
        <f>IFERROR(INDEX('Green_rooibos initial weight'!$C$5:$C$2000,MATCH(I271, 'Green_rooibos initial weight'!$A$5:$A$2000,0)),"")</f>
        <v>2.23</v>
      </c>
      <c r="L271" s="194">
        <f t="shared" si="21"/>
        <v>1.8111999999999999</v>
      </c>
      <c r="M271" s="194">
        <f>IF(K271&gt;0,(K271*$F$32-($F$29+$F$30)),"")</f>
        <v>1.9802</v>
      </c>
      <c r="N271" s="16">
        <f>IF('WetLitterbags placem_collection'!G198="","",'WetLitterbags placem_collection'!G198)</f>
        <v>42814</v>
      </c>
      <c r="O271" s="194">
        <f>IFERROR(INDEX('Both teabags AfterWet'!$C$3:$C$2000,MATCH(H271,'Both teabags AfterWet'!$A$3:$A$2000,0)),"")</f>
        <v>0.6452</v>
      </c>
      <c r="P271" s="194">
        <f>IFERROR(INDEX('Both teabags AfterWet'!$C$3:$C$2000,MATCH(I271,'Both teabags AfterWet'!$A$3:$A$2000,0)),"")</f>
        <v>1.3742000000000001</v>
      </c>
      <c r="Q271" s="194">
        <f t="shared" si="22"/>
        <v>0.49459999999999998</v>
      </c>
      <c r="R271" s="194">
        <f t="shared" si="22"/>
        <v>1.2236</v>
      </c>
      <c r="S271" s="194">
        <f t="shared" si="23"/>
        <v>0.72692137809187285</v>
      </c>
      <c r="T271" s="194">
        <f t="shared" si="24"/>
        <v>0.47655653290583594</v>
      </c>
      <c r="U271" s="194">
        <f t="shared" si="25"/>
        <v>0.61791738208261793</v>
      </c>
      <c r="V271">
        <f>IFERROR(IF((N271-G271)&gt;0,(IFERROR(N271-G271,"")),""),"")</f>
        <v>45</v>
      </c>
      <c r="W271" s="194">
        <f t="shared" si="26"/>
        <v>0.13667294763435522</v>
      </c>
      <c r="X271" s="194">
        <f t="shared" si="27"/>
        <v>3.5961390966980963E-2</v>
      </c>
      <c r="Y271" s="252" t="str">
        <f>IF(ISNUMBER(SEARCH("C",'WetLitterbags placem_collection'!$X198)),"YES","NO")</f>
        <v>NO</v>
      </c>
      <c r="Z271" s="252" t="str">
        <f>IF(ISNUMBER(SEARCH("H", 'WetLitterbags placem_collection'!$X198)),"YES","NO")</f>
        <v>NO</v>
      </c>
      <c r="AA271" s="252" t="str">
        <f>IF(ISNUMBER(SEARCH("R", 'WetLitterbags placem_collection'!$X198)),"YES","NO")</f>
        <v>NO</v>
      </c>
      <c r="AB271" s="252" t="str">
        <f>IF(ISNUMBER(SEARCH("C", 'WetLitterbags placem_collection'!$V198)),"YES","NO")</f>
        <v>NO</v>
      </c>
      <c r="AC271" s="252" t="str">
        <f>IF(ISNUMBER(SEARCH("H", 'WetLitterbags placem_collection'!$V198)),"YES","NO")</f>
        <v>NO</v>
      </c>
      <c r="AD271" s="252" t="str">
        <f>IF(ISNUMBER(SEARCH("R", 'WetLitterbags placem_collection'!$V198)),"YES","NO")</f>
        <v>YES</v>
      </c>
    </row>
    <row r="272" spans="2:30">
      <c r="B272" t="str">
        <f>'Final data_for_R_analysis_Wetse'!A198</f>
        <v>Wet</v>
      </c>
      <c r="C272" s="260">
        <f>'Final data_for_R_analysis_Wetse'!B198</f>
        <v>197</v>
      </c>
      <c r="D272" t="s">
        <v>2426</v>
      </c>
      <c r="E272" t="s">
        <v>22</v>
      </c>
      <c r="F272" s="382">
        <v>1</v>
      </c>
      <c r="G272" s="16">
        <f>'WetLitterbags placem_collection'!E199</f>
        <v>42769</v>
      </c>
      <c r="H272" t="str">
        <f>'Final data_for_R_analysis_Wetse'!K198</f>
        <v>G715</v>
      </c>
      <c r="I272" t="str">
        <f>'Final data_for_R_analysis_Wetse'!K418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21"/>
        <v>1.7681999999999998</v>
      </c>
      <c r="M272" s="194">
        <f>IF(K272&gt;0,(K272*$F$32-($F$29+$F$30)),"")</f>
        <v>1.9662000000000002</v>
      </c>
      <c r="N272" s="16">
        <f>IF('WetLitterbags placem_collection'!G199="","",'WetLitterbags placem_collection'!G199)</f>
        <v>42814</v>
      </c>
      <c r="O272" s="194">
        <f>IFERROR(INDEX('Both teabags AfterWet'!$C$3:$C$2000,MATCH(H272,'Both teabags AfterWet'!$A$3:$A$2000,0)),"")</f>
        <v>0.69089999999999996</v>
      </c>
      <c r="P272" s="194">
        <f>IFERROR(INDEX('Both teabags AfterWet'!$C$3:$C$2000,MATCH(I272,'Both teabags AfterWet'!$A$3:$A$2000,0)),"")</f>
        <v>1.5786</v>
      </c>
      <c r="Q272" s="194">
        <f t="shared" si="22"/>
        <v>0.5403</v>
      </c>
      <c r="R272" s="194">
        <f t="shared" si="22"/>
        <v>1.4279999999999999</v>
      </c>
      <c r="S272" s="194">
        <f t="shared" si="23"/>
        <v>0.69443501866304713</v>
      </c>
      <c r="T272" s="194">
        <f t="shared" si="24"/>
        <v>0.455259062116392</v>
      </c>
      <c r="U272" s="194">
        <f t="shared" si="25"/>
        <v>0.72627403112602984</v>
      </c>
      <c r="V272">
        <f>IFERROR(IF((N272-G272)&gt;0,(IFERROR(N272-G272,"")),""),"")</f>
        <v>45</v>
      </c>
      <c r="W272" s="194">
        <f t="shared" si="26"/>
        <v>0.17525532225291307</v>
      </c>
      <c r="X272" s="194">
        <f t="shared" si="27"/>
        <v>2.043174789362303E-2</v>
      </c>
      <c r="Y272" s="252" t="str">
        <f>IF(ISNUMBER(SEARCH("C",'WetLitterbags placem_collection'!$X199)),"YES","NO")</f>
        <v>NO</v>
      </c>
      <c r="Z272" s="252" t="str">
        <f>IF(ISNUMBER(SEARCH("H", 'WetLitterbags placem_collection'!$X199)),"YES","NO")</f>
        <v>NO</v>
      </c>
      <c r="AA272" s="252" t="str">
        <f>IF(ISNUMBER(SEARCH("R", 'WetLitterbags placem_collection'!$X199)),"YES","NO")</f>
        <v>YES</v>
      </c>
      <c r="AB272" s="252" t="str">
        <f>IF(ISNUMBER(SEARCH("C", 'WetLitterbags placem_collection'!$V199)),"YES","NO")</f>
        <v>NO</v>
      </c>
      <c r="AC272" s="252" t="str">
        <f>IF(ISNUMBER(SEARCH("H", 'WetLitterbags placem_collection'!$V199)),"YES","NO")</f>
        <v>NO</v>
      </c>
      <c r="AD272" s="252" t="str">
        <f>IF(ISNUMBER(SEARCH("R", 'WetLitterbags placem_collection'!$V199)),"YES","NO")</f>
        <v>YES</v>
      </c>
    </row>
    <row r="273" spans="2:30">
      <c r="B273" t="str">
        <f>'Final data_for_R_analysis_Wetse'!A199</f>
        <v>Wet</v>
      </c>
      <c r="C273" s="260">
        <f>'Final data_for_R_analysis_Wetse'!B199</f>
        <v>198</v>
      </c>
      <c r="D273" t="s">
        <v>2434</v>
      </c>
      <c r="E273" t="s">
        <v>22</v>
      </c>
      <c r="F273" s="382">
        <v>2</v>
      </c>
      <c r="G273" s="16">
        <f>'WetLitterbags placem_collection'!E200</f>
        <v>42769</v>
      </c>
      <c r="H273" t="str">
        <f>'Final data_for_R_analysis_Wetse'!K199</f>
        <v>G785</v>
      </c>
      <c r="I273" t="str">
        <f>'Final data_for_R_analysis_Wetse'!K419</f>
        <v>R463</v>
      </c>
      <c r="J273">
        <f>IFERROR(INDEX('Green_rooibos initial weight'!$C$5:$C$2000,MATCH(H273, 'Green_rooibos initial weight'!$A$5:$A$2000,0)),"")</f>
        <v>2.008</v>
      </c>
      <c r="K273">
        <f>IFERROR(INDEX('Green_rooibos initial weight'!$C$5:$C$2000,MATCH(I273, 'Green_rooibos initial weight'!$A$5:$A$2000,0)),"")</f>
        <v>2.1579999999999999</v>
      </c>
      <c r="L273" s="194">
        <f t="shared" si="21"/>
        <v>1.7582</v>
      </c>
      <c r="M273" s="194">
        <f>IF(K273&gt;0,(K273*$F$32-($F$29+$F$30)),"")</f>
        <v>1.9081999999999999</v>
      </c>
      <c r="N273" s="16">
        <f>IF('WetLitterbags placem_collection'!G200="","",'WetLitterbags placem_collection'!G200)</f>
        <v>42813</v>
      </c>
      <c r="O273" s="194">
        <f>IFERROR(INDEX('Both teabags AfterWet'!$C$3:$C$2000,MATCH(H273,'Both teabags AfterWet'!$A$3:$A$2000,0)),"")</f>
        <v>0.64690000000000003</v>
      </c>
      <c r="P273" s="194">
        <f>IFERROR(INDEX('Both teabags AfterWet'!$C$3:$C$2000,MATCH(I273,'Both teabags AfterWet'!$A$3:$A$2000,0)),"")</f>
        <v>1.5485</v>
      </c>
      <c r="Q273" s="194">
        <f t="shared" si="22"/>
        <v>0.49630000000000002</v>
      </c>
      <c r="R273" s="194">
        <f t="shared" si="22"/>
        <v>1.3978999999999999</v>
      </c>
      <c r="S273" s="194">
        <f t="shared" si="23"/>
        <v>0.71772267091343411</v>
      </c>
      <c r="T273" s="194">
        <f t="shared" si="24"/>
        <v>0.47052602653707326</v>
      </c>
      <c r="U273" s="194">
        <f t="shared" si="25"/>
        <v>0.73257520176082169</v>
      </c>
      <c r="V273">
        <f>IFERROR(IF((N273-G273)&gt;0,(IFERROR(N273-G273,"")),""),"")</f>
        <v>44</v>
      </c>
      <c r="W273" s="194">
        <f t="shared" si="26"/>
        <v>0.14759777801254848</v>
      </c>
      <c r="X273" s="194">
        <f t="shared" si="27"/>
        <v>1.9094244498665487E-2</v>
      </c>
      <c r="Y273" s="252" t="str">
        <f>IF(ISNUMBER(SEARCH("C",'WetLitterbags placem_collection'!$X200)),"YES","NO")</f>
        <v>NO</v>
      </c>
      <c r="Z273" s="252" t="str">
        <f>IF(ISNUMBER(SEARCH("H", 'WetLitterbags placem_collection'!$X200)),"YES","NO")</f>
        <v>NO</v>
      </c>
      <c r="AA273" s="252" t="str">
        <f>IF(ISNUMBER(SEARCH("R", 'WetLitterbags placem_collection'!$X200)),"YES","NO")</f>
        <v>YES</v>
      </c>
      <c r="AB273" s="252" t="str">
        <f>IF(ISNUMBER(SEARCH("C", 'WetLitterbags placem_collection'!$V200)),"YES","NO")</f>
        <v>NO</v>
      </c>
      <c r="AC273" s="252" t="str">
        <f>IF(ISNUMBER(SEARCH("H", 'WetLitterbags placem_collection'!$V200)),"YES","NO")</f>
        <v>NO</v>
      </c>
      <c r="AD273" s="252" t="str">
        <f>IF(ISNUMBER(SEARCH("R", 'WetLitterbags placem_collection'!$V200)),"YES","NO")</f>
        <v>YES</v>
      </c>
    </row>
    <row r="274" spans="2:30">
      <c r="B274" t="str">
        <f>'Final data_for_R_analysis_Wetse'!A200</f>
        <v>Wet</v>
      </c>
      <c r="C274" s="260">
        <f>'Final data_for_R_analysis_Wetse'!B200</f>
        <v>199</v>
      </c>
      <c r="D274" t="s">
        <v>2418</v>
      </c>
      <c r="E274" t="s">
        <v>22</v>
      </c>
      <c r="F274" s="382">
        <v>3</v>
      </c>
      <c r="G274" s="16">
        <f>'WetLitterbags placem_collection'!E201</f>
        <v>42769</v>
      </c>
      <c r="H274" t="str">
        <f>'Final data_for_R_analysis_Wetse'!K200</f>
        <v>G877</v>
      </c>
      <c r="I274" t="str">
        <f>'Final data_for_R_analysis_Wetse'!K420</f>
        <v>R339</v>
      </c>
      <c r="J274">
        <f>IFERROR(INDEX('Green_rooibos initial weight'!$C$5:$C$2000,MATCH(H274, 'Green_rooibos initial weight'!$A$5:$A$2000,0)),"")</f>
        <v>2.0649999999999999</v>
      </c>
      <c r="K274">
        <f>IFERROR(INDEX('Green_rooibos initial weight'!$C$5:$C$2000,MATCH(I274, 'Green_rooibos initial weight'!$A$5:$A$2000,0)),"")</f>
        <v>2.214</v>
      </c>
      <c r="L274" s="194">
        <f t="shared" si="21"/>
        <v>1.8151999999999999</v>
      </c>
      <c r="M274" s="194">
        <f>IF(K274&gt;0,(K274*$F$32-($F$29+$F$30)),"")</f>
        <v>1.9641999999999999</v>
      </c>
      <c r="N274" s="16">
        <f>IF('WetLitterbags placem_collection'!G201="","",'WetLitterbags placem_collection'!G201)</f>
        <v>42814</v>
      </c>
      <c r="O274" s="194">
        <f>IFERROR(INDEX('Both teabags AfterWet'!$C$3:$C$2000,MATCH(H274,'Both teabags AfterWet'!$A$3:$A$2000,0)),"")</f>
        <v>0.67900000000000005</v>
      </c>
      <c r="P274" s="194">
        <f>IFERROR(INDEX('Both teabags AfterWet'!$C$3:$C$2000,MATCH(I274,'Both teabags AfterWet'!$A$3:$A$2000,0)),"")</f>
        <v>1.6160000000000001</v>
      </c>
      <c r="Q274" s="194">
        <f t="shared" si="22"/>
        <v>0.52839999999999998</v>
      </c>
      <c r="R274" s="194">
        <f t="shared" si="22"/>
        <v>1.4654</v>
      </c>
      <c r="S274" s="194">
        <f t="shared" si="23"/>
        <v>0.70890260026443364</v>
      </c>
      <c r="T274" s="194">
        <f t="shared" si="24"/>
        <v>0.4647437474417665</v>
      </c>
      <c r="U274" s="194">
        <f t="shared" si="25"/>
        <v>0.74605437328174329</v>
      </c>
      <c r="V274">
        <f>IFERROR(IF((N274-G274)&gt;0,(IFERROR(N274-G274,"")),""),"")</f>
        <v>45</v>
      </c>
      <c r="W274" s="194">
        <f t="shared" si="26"/>
        <v>0.1580729213011477</v>
      </c>
      <c r="X274" s="194">
        <f t="shared" si="27"/>
        <v>1.7568561583611975E-2</v>
      </c>
      <c r="Y274" s="252" t="str">
        <f>IF(ISNUMBER(SEARCH("C",'WetLitterbags placem_collection'!$X201)),"YES","NO")</f>
        <v>NO</v>
      </c>
      <c r="Z274" s="252" t="str">
        <f>IF(ISNUMBER(SEARCH("H", 'WetLitterbags placem_collection'!$X201)),"YES","NO")</f>
        <v>NO</v>
      </c>
      <c r="AA274" s="252" t="str">
        <f>IF(ISNUMBER(SEARCH("R", 'WetLitterbags placem_collection'!$X201)),"YES","NO")</f>
        <v>NO</v>
      </c>
      <c r="AB274" s="252" t="str">
        <f>IF(ISNUMBER(SEARCH("C", 'WetLitterbags placem_collection'!$V201)),"YES","NO")</f>
        <v>NO</v>
      </c>
      <c r="AC274" s="252" t="str">
        <f>IF(ISNUMBER(SEARCH("H", 'WetLitterbags placem_collection'!$V201)),"YES","NO")</f>
        <v>NO</v>
      </c>
      <c r="AD274" s="252" t="str">
        <f>IF(ISNUMBER(SEARCH("R", 'WetLitterbags placem_collection'!$V201)),"YES","NO")</f>
        <v>YES</v>
      </c>
    </row>
    <row r="275" spans="2:30">
      <c r="B275" t="str">
        <f>'Final data_for_R_analysis_Wetse'!A201</f>
        <v>Wet</v>
      </c>
      <c r="C275" s="260">
        <f>'Final data_for_R_analysis_Wetse'!B201</f>
        <v>200</v>
      </c>
      <c r="D275" t="s">
        <v>2441</v>
      </c>
      <c r="E275" t="s">
        <v>22</v>
      </c>
      <c r="F275" s="382">
        <v>4</v>
      </c>
      <c r="G275" s="16">
        <f>'WetLitterbags placem_collection'!E202</f>
        <v>42769</v>
      </c>
      <c r="H275" t="str">
        <f>'Final data_for_R_analysis_Wetse'!K201</f>
        <v>G816</v>
      </c>
      <c r="I275" t="str">
        <f>'Final data_for_R_analysis_Wetse'!K421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21"/>
        <v>1.7641999999999998</v>
      </c>
      <c r="M275" s="194">
        <f>IF(K275&gt;0,(K275*$F$32-($F$29+$F$30)),"")</f>
        <v>1.9992000000000001</v>
      </c>
      <c r="N275" s="16">
        <f>IF('WetLitterbags placem_collection'!G202="","",'WetLitterbags placem_collection'!G202)</f>
        <v>42813</v>
      </c>
      <c r="O275" s="194">
        <f>IFERROR(INDEX('Both teabags AfterWet'!$C$3:$C$2000,MATCH(H275,'Both teabags AfterWet'!$A$3:$A$2000,0)),"")</f>
        <v>0.67120000000000002</v>
      </c>
      <c r="P275" s="194">
        <f>IFERROR(INDEX('Both teabags AfterWet'!$C$3:$C$2000,MATCH(I275,'Both teabags AfterWet'!$A$3:$A$2000,0)),"")</f>
        <v>1.5651999999999999</v>
      </c>
      <c r="Q275" s="194">
        <f t="shared" si="22"/>
        <v>0.52059999999999995</v>
      </c>
      <c r="R275" s="194">
        <f t="shared" si="22"/>
        <v>1.4145999999999999</v>
      </c>
      <c r="S275" s="194">
        <f t="shared" si="23"/>
        <v>0.70490874050561159</v>
      </c>
      <c r="T275" s="194">
        <f t="shared" si="24"/>
        <v>0.46212544508206371</v>
      </c>
      <c r="U275" s="194">
        <f t="shared" si="25"/>
        <v>0.7075830332132852</v>
      </c>
      <c r="V275">
        <f>IFERROR(IF((N275-G275)&gt;0,(IFERROR(N275-G275,"")),""),"")</f>
        <v>44</v>
      </c>
      <c r="W275" s="194">
        <f t="shared" si="26"/>
        <v>0.16281622267742091</v>
      </c>
      <c r="X275" s="194">
        <f t="shared" si="27"/>
        <v>2.2767142020306507E-2</v>
      </c>
      <c r="Y275" s="252" t="str">
        <f>IF(ISNUMBER(SEARCH("C",'WetLitterbags placem_collection'!$X202)),"YES","NO")</f>
        <v>NO</v>
      </c>
      <c r="Z275" s="252" t="str">
        <f>IF(ISNUMBER(SEARCH("H", 'WetLitterbags placem_collection'!$X202)),"YES","NO")</f>
        <v>NO</v>
      </c>
      <c r="AA275" s="252" t="str">
        <f>IF(ISNUMBER(SEARCH("R", 'WetLitterbags placem_collection'!$X202)),"YES","NO")</f>
        <v>YES</v>
      </c>
      <c r="AB275" s="252" t="str">
        <f>IF(ISNUMBER(SEARCH("C", 'WetLitterbags placem_collection'!$V202)),"YES","NO")</f>
        <v>NO</v>
      </c>
      <c r="AC275" s="252" t="str">
        <f>IF(ISNUMBER(SEARCH("H", 'WetLitterbags placem_collection'!$V202)),"YES","NO")</f>
        <v>NO</v>
      </c>
      <c r="AD275" s="252" t="str">
        <f>IF(ISNUMBER(SEARCH("R", 'WetLitterbags placem_collection'!$V202)),"YES","NO")</f>
        <v>YES</v>
      </c>
    </row>
    <row r="276" spans="2:30">
      <c r="B276" t="str">
        <f>'Final data_for_R_analysis_Wetse'!A202</f>
        <v>Wet</v>
      </c>
      <c r="C276" s="260">
        <f>'Final data_for_R_analysis_Wetse'!B202</f>
        <v>201</v>
      </c>
      <c r="D276" t="s">
        <v>2442</v>
      </c>
      <c r="E276" t="s">
        <v>22</v>
      </c>
      <c r="F276" s="382">
        <v>1</v>
      </c>
      <c r="G276" s="16">
        <f>'WetLitterbags placem_collection'!E203</f>
        <v>42769</v>
      </c>
      <c r="H276" t="str">
        <f>'Final data_for_R_analysis_Wetse'!K202</f>
        <v>G811</v>
      </c>
      <c r="I276" t="str">
        <f>'Final data_for_R_analysis_Wetse'!K422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21"/>
        <v>1.7432000000000001</v>
      </c>
      <c r="M276" s="194">
        <f>IF(K276&gt;0,(K276*$F$32-($F$29+$F$30)),"")</f>
        <v>1.9811999999999999</v>
      </c>
      <c r="N276" s="16">
        <f>IF('WetLitterbags placem_collection'!G203="","",'WetLitterbags placem_collection'!G203)</f>
        <v>42813</v>
      </c>
      <c r="O276" s="194">
        <f>IFERROR(INDEX('Both teabags AfterWet'!$C$3:$C$2000,MATCH(H276,'Both teabags AfterWet'!$A$3:$A$2000,0)),"")</f>
        <v>0.56630000000000003</v>
      </c>
      <c r="P276" s="194">
        <f>IFERROR(INDEX('Both teabags AfterWet'!$C$3:$C$2000,MATCH(I276,'Both teabags AfterWet'!$A$3:$A$2000,0)),"")</f>
        <v>1.5928</v>
      </c>
      <c r="Q276" s="194">
        <f t="shared" si="22"/>
        <v>0.41570000000000001</v>
      </c>
      <c r="R276" s="194">
        <f t="shared" si="22"/>
        <v>1.4421999999999999</v>
      </c>
      <c r="S276" s="194">
        <f t="shared" si="23"/>
        <v>0.76153051858650755</v>
      </c>
      <c r="T276" s="194">
        <f t="shared" si="24"/>
        <v>0.49924566064103593</v>
      </c>
      <c r="U276" s="194">
        <f t="shared" si="25"/>
        <v>0.72794266101352723</v>
      </c>
      <c r="V276">
        <f>IFERROR(IF((N276-G276)&gt;0,(IFERROR(N276-G276,"")),""),"")</f>
        <v>44</v>
      </c>
      <c r="W276" s="194">
        <f t="shared" si="26"/>
        <v>9.5569455360442257E-2</v>
      </c>
      <c r="X276" s="194">
        <f t="shared" si="27"/>
        <v>1.789361354874942E-2</v>
      </c>
      <c r="Y276" s="252" t="str">
        <f>IF(ISNUMBER(SEARCH("C",'WetLitterbags placem_collection'!$X203)),"YES","NO")</f>
        <v>NO</v>
      </c>
      <c r="Z276" s="252" t="str">
        <f>IF(ISNUMBER(SEARCH("H", 'WetLitterbags placem_collection'!$X203)),"YES","NO")</f>
        <v>NO</v>
      </c>
      <c r="AA276" s="252" t="str">
        <f>IF(ISNUMBER(SEARCH("R", 'WetLitterbags placem_collection'!$X203)),"YES","NO")</f>
        <v>YES</v>
      </c>
      <c r="AB276" s="252" t="str">
        <f>IF(ISNUMBER(SEARCH("C", 'WetLitterbags placem_collection'!$V203)),"YES","NO")</f>
        <v>NO</v>
      </c>
      <c r="AC276" s="252" t="str">
        <f>IF(ISNUMBER(SEARCH("H", 'WetLitterbags placem_collection'!$V203)),"YES","NO")</f>
        <v>NO</v>
      </c>
      <c r="AD276" s="252" t="str">
        <f>IF(ISNUMBER(SEARCH("R", 'WetLitterbags placem_collection'!$V203)),"YES","NO")</f>
        <v>YES</v>
      </c>
    </row>
    <row r="277" spans="2:30">
      <c r="B277" t="str">
        <f>'Final data_for_R_analysis_Wetse'!A203</f>
        <v>Wet</v>
      </c>
      <c r="C277" s="260">
        <f>'Final data_for_R_analysis_Wetse'!B203</f>
        <v>202</v>
      </c>
      <c r="D277" t="s">
        <v>2419</v>
      </c>
      <c r="E277" t="s">
        <v>22</v>
      </c>
      <c r="F277" s="382">
        <v>2</v>
      </c>
      <c r="G277" s="16">
        <f>'WetLitterbags placem_collection'!E204</f>
        <v>42769</v>
      </c>
      <c r="H277" t="str">
        <f>'Final data_for_R_analysis_Wetse'!K203</f>
        <v>G773</v>
      </c>
      <c r="I277" t="str">
        <f>'Final data_for_R_analysis_Wetse'!K423</f>
        <v>R135</v>
      </c>
      <c r="J277">
        <f>IFERROR(INDEX('Green_rooibos initial weight'!$C$5:$C$2000,MATCH(H277, 'Green_rooibos initial weight'!$A$5:$A$2000,0)),"")</f>
        <v>1.718</v>
      </c>
      <c r="K277">
        <f>IFERROR(INDEX('Green_rooibos initial weight'!$C$5:$C$2000,MATCH(I277, 'Green_rooibos initial weight'!$A$5:$A$2000,0)),"")</f>
        <v>2.286</v>
      </c>
      <c r="L277" s="194">
        <f t="shared" si="21"/>
        <v>1.4681999999999999</v>
      </c>
      <c r="M277" s="194">
        <f>IF(K277&gt;0,(K277*$F$32-($F$29+$F$30)),"")</f>
        <v>2.0362</v>
      </c>
      <c r="N277" s="16">
        <f>IF('WetLitterbags placem_collection'!G204="","",'WetLitterbags placem_collection'!G204)</f>
        <v>42814</v>
      </c>
      <c r="O277" s="194">
        <f>IFERROR(INDEX('Both teabags AfterWet'!$C$3:$C$2000,MATCH(H277,'Both teabags AfterWet'!$A$3:$A$2000,0)),"")</f>
        <v>0.84</v>
      </c>
      <c r="P277" s="194">
        <f>IFERROR(INDEX('Both teabags AfterWet'!$C$3:$C$2000,MATCH(I277,'Both teabags AfterWet'!$A$3:$A$2000,0)),"")</f>
        <v>1.6419999999999999</v>
      </c>
      <c r="Q277" s="194">
        <f t="shared" si="22"/>
        <v>0.68940000000000001</v>
      </c>
      <c r="R277" s="194">
        <f t="shared" si="22"/>
        <v>1.4913999999999998</v>
      </c>
      <c r="S277" s="194">
        <f t="shared" si="23"/>
        <v>0.53044544340008171</v>
      </c>
      <c r="T277" s="194">
        <f t="shared" si="24"/>
        <v>0.34775045695587309</v>
      </c>
      <c r="U277" s="194">
        <f t="shared" si="25"/>
        <v>0.73244278558098408</v>
      </c>
      <c r="V277">
        <f>IFERROR(IF((N277-G277)&gt;0,(IFERROR(N277-G277,"")),""),"")</f>
        <v>45</v>
      </c>
      <c r="W277" s="194">
        <f t="shared" si="26"/>
        <v>0.37001728812341839</v>
      </c>
      <c r="X277" s="194">
        <f t="shared" si="27"/>
        <v>3.2601019803574376E-2</v>
      </c>
      <c r="Y277" s="252" t="str">
        <f>IF(ISNUMBER(SEARCH("C",'WetLitterbags placem_collection'!$X204)),"YES","NO")</f>
        <v>NO</v>
      </c>
      <c r="Z277" s="252" t="str">
        <f>IF(ISNUMBER(SEARCH("H", 'WetLitterbags placem_collection'!$X204)),"YES","NO")</f>
        <v>NO</v>
      </c>
      <c r="AA277" s="252" t="str">
        <f>IF(ISNUMBER(SEARCH("R", 'WetLitterbags placem_collection'!$X204)),"YES","NO")</f>
        <v>YES</v>
      </c>
      <c r="AB277" s="252" t="str">
        <f>IF(ISNUMBER(SEARCH("C", 'WetLitterbags placem_collection'!$V204)),"YES","NO")</f>
        <v>NO</v>
      </c>
      <c r="AC277" s="252" t="str">
        <f>IF(ISNUMBER(SEARCH("H", 'WetLitterbags placem_collection'!$V204)),"YES","NO")</f>
        <v>NO</v>
      </c>
      <c r="AD277" s="252" t="str">
        <f>IF(ISNUMBER(SEARCH("R", 'WetLitterbags placem_collection'!$V204)),"YES","NO")</f>
        <v>YES</v>
      </c>
    </row>
    <row r="278" spans="2:30">
      <c r="B278" t="str">
        <f>'Final data_for_R_analysis_Wetse'!A204</f>
        <v>Wet</v>
      </c>
      <c r="C278" s="260">
        <f>'Final data_for_R_analysis_Wetse'!B204</f>
        <v>203</v>
      </c>
      <c r="D278" t="s">
        <v>2428</v>
      </c>
      <c r="E278" t="s">
        <v>22</v>
      </c>
      <c r="F278" s="382">
        <v>3</v>
      </c>
      <c r="G278" s="16">
        <f>'WetLitterbags placem_collection'!E205</f>
        <v>42769</v>
      </c>
      <c r="H278" t="str">
        <f>'Final data_for_R_analysis_Wetse'!K204</f>
        <v>G645</v>
      </c>
      <c r="I278" t="str">
        <f>'Final data_for_R_analysis_Wetse'!K424</f>
        <v>R372</v>
      </c>
      <c r="J278">
        <f>IFERROR(INDEX('Green_rooibos initial weight'!$C$5:$C$2000,MATCH(H278, 'Green_rooibos initial weight'!$A$5:$A$2000,0)),"")</f>
        <v>2.238</v>
      </c>
      <c r="K278">
        <f>IFERROR(INDEX('Green_rooibos initial weight'!$C$5:$C$2000,MATCH(I278, 'Green_rooibos initial weight'!$A$5:$A$2000,0)),"")</f>
        <v>2.202</v>
      </c>
      <c r="L278" s="194">
        <f t="shared" si="21"/>
        <v>1.9882</v>
      </c>
      <c r="M278" s="194">
        <f>IF(K278&gt;0,(K278*$F$32-($F$29+$F$30)),"")</f>
        <v>1.9521999999999999</v>
      </c>
      <c r="N278" s="16">
        <f>IF('WetLitterbags placem_collection'!G205="","",'WetLitterbags placem_collection'!G205)</f>
        <v>42814</v>
      </c>
      <c r="O278" s="194">
        <f>IFERROR(INDEX('Both teabags AfterWet'!$C$3:$C$2000,MATCH(H278,'Both teabags AfterWet'!$A$3:$A$2000,0)),"")</f>
        <v>0.80930000000000002</v>
      </c>
      <c r="P278" s="194">
        <f>IFERROR(INDEX('Both teabags AfterWet'!$C$3:$C$2000,MATCH(I278,'Both teabags AfterWet'!$A$3:$A$2000,0)),"")</f>
        <v>1.6213</v>
      </c>
      <c r="Q278" s="194">
        <f t="shared" si="22"/>
        <v>0.65870000000000006</v>
      </c>
      <c r="R278" s="194">
        <f t="shared" si="22"/>
        <v>1.4706999999999999</v>
      </c>
      <c r="S278" s="194">
        <f t="shared" si="23"/>
        <v>0.66869530228347251</v>
      </c>
      <c r="T278" s="194">
        <f t="shared" si="24"/>
        <v>0.43838456871790604</v>
      </c>
      <c r="U278" s="194">
        <f t="shared" si="25"/>
        <v>0.75335518901751863</v>
      </c>
      <c r="V278">
        <f>IFERROR(IF((N278-G278)&gt;0,(IFERROR(N278-G278,"")),""),"")</f>
        <v>45</v>
      </c>
      <c r="W278" s="194">
        <f t="shared" si="26"/>
        <v>0.20582505667046014</v>
      </c>
      <c r="X278" s="194">
        <f t="shared" si="27"/>
        <v>1.8376833595100978E-2</v>
      </c>
      <c r="Y278" s="252" t="str">
        <f>IF(ISNUMBER(SEARCH("C",'WetLitterbags placem_collection'!$X205)),"YES","NO")</f>
        <v>NO</v>
      </c>
      <c r="Z278" s="252" t="str">
        <f>IF(ISNUMBER(SEARCH("H", 'WetLitterbags placem_collection'!$X205)),"YES","NO")</f>
        <v>NO</v>
      </c>
      <c r="AA278" s="252" t="str">
        <f>IF(ISNUMBER(SEARCH("R", 'WetLitterbags placem_collection'!$X205)),"YES","NO")</f>
        <v>YES</v>
      </c>
      <c r="AB278" s="252" t="str">
        <f>IF(ISNUMBER(SEARCH("C", 'WetLitterbags placem_collection'!$V205)),"YES","NO")</f>
        <v>NO</v>
      </c>
      <c r="AC278" s="252" t="str">
        <f>IF(ISNUMBER(SEARCH("H", 'WetLitterbags placem_collection'!$V205)),"YES","NO")</f>
        <v>NO</v>
      </c>
      <c r="AD278" s="252" t="str">
        <f>IF(ISNUMBER(SEARCH("R", 'WetLitterbags placem_collection'!$V205)),"YES","NO")</f>
        <v>YES</v>
      </c>
    </row>
    <row r="279" spans="2:30">
      <c r="B279" t="str">
        <f>'Final data_for_R_analysis_Wetse'!A205</f>
        <v>Wet</v>
      </c>
      <c r="C279" s="260">
        <f>'Final data_for_R_analysis_Wetse'!B205</f>
        <v>204</v>
      </c>
      <c r="D279" t="s">
        <v>2435</v>
      </c>
      <c r="E279" t="s">
        <v>22</v>
      </c>
      <c r="F279" s="382">
        <v>4</v>
      </c>
      <c r="G279" s="16">
        <f>'WetLitterbags placem_collection'!E206</f>
        <v>42769</v>
      </c>
      <c r="H279" t="str">
        <f>'Final data_for_R_analysis_Wetse'!K205</f>
        <v>G814</v>
      </c>
      <c r="I279" t="str">
        <f>'Final data_for_R_analysis_Wetse'!K425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21"/>
        <v>1.8982000000000001</v>
      </c>
      <c r="M279" s="194">
        <f>IF(K279&gt;0,(K279*$F$32-($F$29+$F$30)),"")</f>
        <v>1.8921999999999999</v>
      </c>
      <c r="N279" s="16">
        <f>IF('WetLitterbags placem_collection'!G206="","",'WetLitterbags placem_collection'!G206)</f>
        <v>42813</v>
      </c>
      <c r="O279" s="194">
        <f>IFERROR(INDEX('Both teabags AfterWet'!$C$3:$C$2000,MATCH(H279,'Both teabags AfterWet'!$A$3:$A$2000,0)),"")</f>
        <v>0.68300000000000005</v>
      </c>
      <c r="P279" s="194">
        <f>IFERROR(INDEX('Both teabags AfterWet'!$C$3:$C$2000,MATCH(I279,'Both teabags AfterWet'!$A$3:$A$2000,0)),"")</f>
        <v>1.544</v>
      </c>
      <c r="Q279" s="194">
        <f t="shared" si="22"/>
        <v>0.53239999999999998</v>
      </c>
      <c r="R279" s="194">
        <f t="shared" si="22"/>
        <v>1.3934</v>
      </c>
      <c r="S279" s="194">
        <f t="shared" si="23"/>
        <v>0.71952375935096402</v>
      </c>
      <c r="T279" s="194">
        <f t="shared" si="24"/>
        <v>0.47170678760300733</v>
      </c>
      <c r="U279" s="194">
        <f t="shared" si="25"/>
        <v>0.73639150195539582</v>
      </c>
      <c r="V279">
        <f>IFERROR(IF((N279-G279)&gt;0,(IFERROR(N279-G279,"")),""),"")</f>
        <v>44</v>
      </c>
      <c r="W279" s="194">
        <f t="shared" si="26"/>
        <v>0.14545871811049405</v>
      </c>
      <c r="X279" s="194">
        <f t="shared" si="27"/>
        <v>1.859879695015914E-2</v>
      </c>
      <c r="Y279" s="252" t="str">
        <f>IF(ISNUMBER(SEARCH("C",'WetLitterbags placem_collection'!$X206)),"YES","NO")</f>
        <v>NO</v>
      </c>
      <c r="Z279" s="252" t="str">
        <f>IF(ISNUMBER(SEARCH("H", 'WetLitterbags placem_collection'!$X206)),"YES","NO")</f>
        <v>NO</v>
      </c>
      <c r="AA279" s="252" t="str">
        <f>IF(ISNUMBER(SEARCH("R", 'WetLitterbags placem_collection'!$X206)),"YES","NO")</f>
        <v>YES</v>
      </c>
      <c r="AB279" s="252" t="str">
        <f>IF(ISNUMBER(SEARCH("C", 'WetLitterbags placem_collection'!$V206)),"YES","NO")</f>
        <v>NO</v>
      </c>
      <c r="AC279" s="252" t="str">
        <f>IF(ISNUMBER(SEARCH("H", 'WetLitterbags placem_collection'!$V206)),"YES","NO")</f>
        <v>NO</v>
      </c>
      <c r="AD279" s="252" t="str">
        <f>IF(ISNUMBER(SEARCH("R", 'WetLitterbags placem_collection'!$V206)),"YES","NO")</f>
        <v>YES</v>
      </c>
    </row>
    <row r="280" spans="2:30">
      <c r="B280" t="str">
        <f>'Final data_for_R_analysis_Wetse'!A206</f>
        <v>Wet</v>
      </c>
      <c r="C280" s="260">
        <f>'Final data_for_R_analysis_Wetse'!B206</f>
        <v>205</v>
      </c>
      <c r="D280" t="s">
        <v>2429</v>
      </c>
      <c r="E280" t="s">
        <v>22</v>
      </c>
      <c r="F280" s="382">
        <v>1</v>
      </c>
      <c r="G280" s="16">
        <f>'WetLitterbags placem_collection'!E207</f>
        <v>42769</v>
      </c>
      <c r="H280" t="str">
        <f>'Final data_for_R_analysis_Wetse'!K206</f>
        <v>G621</v>
      </c>
      <c r="I280" t="str">
        <f>'Final data_for_R_analysis_Wetse'!K426</f>
        <v>R265</v>
      </c>
      <c r="J280">
        <f>IFERROR(INDEX('Green_rooibos initial weight'!$C$5:$C$2000,MATCH(H280, 'Green_rooibos initial weight'!$A$5:$A$2000,0)),"")</f>
        <v>1.925</v>
      </c>
      <c r="K280">
        <f>IFERROR(INDEX('Green_rooibos initial weight'!$C$5:$C$2000,MATCH(I280, 'Green_rooibos initial weight'!$A$5:$A$2000,0)),"")</f>
        <v>2.2210000000000001</v>
      </c>
      <c r="L280" s="194">
        <f t="shared" si="21"/>
        <v>1.6752</v>
      </c>
      <c r="M280" s="194">
        <f>IF(K280&gt;0,(K280*$F$32-($F$29+$F$30)),"")</f>
        <v>1.9712000000000001</v>
      </c>
      <c r="N280" s="16">
        <f>IF('WetLitterbags placem_collection'!G207="","",'WetLitterbags placem_collection'!G207)</f>
        <v>42814</v>
      </c>
      <c r="O280" s="194">
        <f>IFERROR(INDEX('Both teabags AfterWet'!$C$3:$C$2000,MATCH(H280,'Both teabags AfterWet'!$A$3:$A$2000,0)),"")</f>
        <v>0.74099999999999999</v>
      </c>
      <c r="P280" s="194">
        <f>IFERROR(INDEX('Both teabags AfterWet'!$C$3:$C$2000,MATCH(I280,'Both teabags AfterWet'!$A$3:$A$2000,0)),"")</f>
        <v>1.6680999999999999</v>
      </c>
      <c r="Q280" s="194">
        <f t="shared" si="22"/>
        <v>0.59040000000000004</v>
      </c>
      <c r="R280" s="194">
        <f t="shared" si="22"/>
        <v>1.5174999999999998</v>
      </c>
      <c r="S280" s="194">
        <f t="shared" si="23"/>
        <v>0.64756446991404015</v>
      </c>
      <c r="T280" s="194">
        <f t="shared" si="24"/>
        <v>0.42453157647571282</v>
      </c>
      <c r="U280" s="194">
        <f t="shared" si="25"/>
        <v>0.76983563311688297</v>
      </c>
      <c r="V280">
        <f>IFERROR(IF((N280-G280)&gt;0,(IFERROR(N280-G280,"")),""),"")</f>
        <v>45</v>
      </c>
      <c r="W280" s="194">
        <f t="shared" si="26"/>
        <v>0.23092105710921595</v>
      </c>
      <c r="X280" s="194">
        <f t="shared" si="27"/>
        <v>1.7360826338285545E-2</v>
      </c>
      <c r="Y280" s="252" t="str">
        <f>IF(ISNUMBER(SEARCH("C",'WetLitterbags placem_collection'!$X207)),"YES","NO")</f>
        <v>NO</v>
      </c>
      <c r="Z280" s="252" t="str">
        <f>IF(ISNUMBER(SEARCH("H", 'WetLitterbags placem_collection'!$X207)),"YES","NO")</f>
        <v>NO</v>
      </c>
      <c r="AA280" s="252" t="str">
        <f>IF(ISNUMBER(SEARCH("R", 'WetLitterbags placem_collection'!$X207)),"YES","NO")</f>
        <v>YES</v>
      </c>
      <c r="AB280" s="252" t="str">
        <f>IF(ISNUMBER(SEARCH("C", 'WetLitterbags placem_collection'!$V207)),"YES","NO")</f>
        <v>NO</v>
      </c>
      <c r="AC280" s="252" t="str">
        <f>IF(ISNUMBER(SEARCH("H", 'WetLitterbags placem_collection'!$V207)),"YES","NO")</f>
        <v>YES</v>
      </c>
      <c r="AD280" s="252" t="str">
        <f>IF(ISNUMBER(SEARCH("R", 'WetLitterbags placem_collection'!$V207)),"YES","NO")</f>
        <v>YES</v>
      </c>
    </row>
    <row r="281" spans="2:30">
      <c r="B281" t="str">
        <f>'Final data_for_R_analysis_Wetse'!A207</f>
        <v>Wet</v>
      </c>
      <c r="C281" s="260">
        <f>'Final data_for_R_analysis_Wetse'!B207</f>
        <v>206</v>
      </c>
      <c r="D281" t="s">
        <v>2420</v>
      </c>
      <c r="E281" t="s">
        <v>22</v>
      </c>
      <c r="F281" s="382">
        <v>2</v>
      </c>
      <c r="G281" s="16">
        <f>'WetLitterbags placem_collection'!E208</f>
        <v>42769</v>
      </c>
      <c r="H281" t="str">
        <f>'Final data_for_R_analysis_Wetse'!K207</f>
        <v>G677</v>
      </c>
      <c r="I281" t="str">
        <f>'Final data_for_R_analysis_Wetse'!K427</f>
        <v>R234</v>
      </c>
      <c r="J281">
        <f>IFERROR(INDEX('Green_rooibos initial weight'!$C$5:$C$2000,MATCH(H281, 'Green_rooibos initial weight'!$A$5:$A$2000,0)),"")</f>
        <v>2.1269999999999998</v>
      </c>
      <c r="K281">
        <f>IFERROR(INDEX('Green_rooibos initial weight'!$C$5:$C$2000,MATCH(I281, 'Green_rooibos initial weight'!$A$5:$A$2000,0)),"")</f>
        <v>2.194</v>
      </c>
      <c r="L281" s="194">
        <f t="shared" si="21"/>
        <v>1.8771999999999998</v>
      </c>
      <c r="M281" s="194">
        <f>IF(K281&gt;0,(K281*$F$32-($F$29+$F$30)),"")</f>
        <v>1.9441999999999999</v>
      </c>
      <c r="N281" s="16">
        <f>IF('WetLitterbags placem_collection'!G208="","",'WetLitterbags placem_collection'!G208)</f>
        <v>42814</v>
      </c>
      <c r="O281" s="194">
        <f>IFERROR(INDEX('Both teabags AfterWet'!$C$3:$C$2000,MATCH(H281,'Both teabags AfterWet'!$A$3:$A$2000,0)),"")</f>
        <v>0.85699999999999998</v>
      </c>
      <c r="P281" s="194">
        <f>IFERROR(INDEX('Both teabags AfterWet'!$C$3:$C$2000,MATCH(I281,'Both teabags AfterWet'!$A$3:$A$2000,0)),"")</f>
        <v>1.7410000000000001</v>
      </c>
      <c r="Q281" s="194">
        <f t="shared" si="22"/>
        <v>0.70639999999999992</v>
      </c>
      <c r="R281" s="194">
        <f t="shared" si="22"/>
        <v>1.5904</v>
      </c>
      <c r="S281" s="194">
        <f t="shared" si="23"/>
        <v>0.62369486469209456</v>
      </c>
      <c r="T281" s="194">
        <f t="shared" si="24"/>
        <v>0.40888309419244212</v>
      </c>
      <c r="U281" s="194">
        <f t="shared" si="25"/>
        <v>0.81802283715667112</v>
      </c>
      <c r="V281">
        <f>IFERROR(IF((N281-G281)&gt;0,(IFERROR(N281-G281,"")),""),"")</f>
        <v>45</v>
      </c>
      <c r="W281" s="194">
        <f t="shared" si="26"/>
        <v>0.25926975689774989</v>
      </c>
      <c r="X281" s="194">
        <f t="shared" si="27"/>
        <v>1.3086527770293796E-2</v>
      </c>
      <c r="Y281" s="252" t="str">
        <f>IF(ISNUMBER(SEARCH("C",'WetLitterbags placem_collection'!$X208)),"YES","NO")</f>
        <v>NO</v>
      </c>
      <c r="Z281" s="252" t="str">
        <f>IF(ISNUMBER(SEARCH("H", 'WetLitterbags placem_collection'!$X208)),"YES","NO")</f>
        <v>NO</v>
      </c>
      <c r="AA281" s="252" t="str">
        <f>IF(ISNUMBER(SEARCH("R", 'WetLitterbags placem_collection'!$X208)),"YES","NO")</f>
        <v>YES</v>
      </c>
      <c r="AB281" s="252" t="str">
        <f>IF(ISNUMBER(SEARCH("C", 'WetLitterbags placem_collection'!$V208)),"YES","NO")</f>
        <v>NO</v>
      </c>
      <c r="AC281" s="252" t="str">
        <f>IF(ISNUMBER(SEARCH("H", 'WetLitterbags placem_collection'!$V208)),"YES","NO")</f>
        <v>NO</v>
      </c>
      <c r="AD281" s="252" t="str">
        <f>IF(ISNUMBER(SEARCH("R", 'WetLitterbags placem_collection'!$V208)),"YES","NO")</f>
        <v>YES</v>
      </c>
    </row>
    <row r="282" spans="2:30">
      <c r="B282" t="str">
        <f>'Final data_for_R_analysis_Wetse'!A208</f>
        <v>Wet</v>
      </c>
      <c r="C282" s="260">
        <f>'Final data_for_R_analysis_Wetse'!B208</f>
        <v>207</v>
      </c>
      <c r="D282" t="s">
        <v>2443</v>
      </c>
      <c r="E282" t="s">
        <v>22</v>
      </c>
      <c r="F282" s="382">
        <v>3</v>
      </c>
      <c r="G282" s="16">
        <f>'WetLitterbags placem_collection'!E209</f>
        <v>42769</v>
      </c>
      <c r="H282" t="str">
        <f>'Final data_for_R_analysis_Wetse'!K208</f>
        <v>G574</v>
      </c>
      <c r="I282" t="str">
        <f>'Final data_for_R_analysis_Wetse'!K428</f>
        <v>R258</v>
      </c>
      <c r="J282">
        <f>IFERROR(INDEX('Green_rooibos initial weight'!$C$5:$C$2000,MATCH(H282, 'Green_rooibos initial weight'!$A$5:$A$2000,0)),"")</f>
        <v>1.984</v>
      </c>
      <c r="K282">
        <f>IFERROR(INDEX('Green_rooibos initial weight'!$C$5:$C$2000,MATCH(I282, 'Green_rooibos initial weight'!$A$5:$A$2000,0)),"")</f>
        <v>2.17</v>
      </c>
      <c r="L282" s="194">
        <f t="shared" si="21"/>
        <v>1.7342</v>
      </c>
      <c r="M282" s="194">
        <f>IF(K282&gt;0,(K282*$F$32-($F$29+$F$30)),"")</f>
        <v>1.9201999999999999</v>
      </c>
      <c r="N282" s="16">
        <f>IF('WetLitterbags placem_collection'!G209="","",'WetLitterbags placem_collection'!G209)</f>
        <v>42813</v>
      </c>
      <c r="O282" s="194">
        <f>IFERROR(INDEX('Both teabags AfterWet'!$C$3:$C$2000,MATCH(H282,'Both teabags AfterWet'!$A$3:$A$2000,0)),"")</f>
        <v>0.77700000000000002</v>
      </c>
      <c r="P282" s="194">
        <f>IFERROR(INDEX('Both teabags AfterWet'!$C$3:$C$2000,MATCH(I282,'Both teabags AfterWet'!$A$3:$A$2000,0)),"")</f>
        <v>1.5820000000000001</v>
      </c>
      <c r="Q282" s="194">
        <f t="shared" si="22"/>
        <v>0.62640000000000007</v>
      </c>
      <c r="R282" s="194">
        <f t="shared" si="22"/>
        <v>1.4314</v>
      </c>
      <c r="S282" s="194">
        <f t="shared" si="23"/>
        <v>0.6387959866220736</v>
      </c>
      <c r="T282" s="194">
        <f t="shared" si="24"/>
        <v>0.41878311712040939</v>
      </c>
      <c r="U282" s="194">
        <f t="shared" si="25"/>
        <v>0.7454431830017707</v>
      </c>
      <c r="V282">
        <f>IFERROR(IF((N282-G282)&gt;0,(IFERROR(N282-G282,"")),""),"")</f>
        <v>44</v>
      </c>
      <c r="W282" s="194">
        <f t="shared" si="26"/>
        <v>0.24133493275288165</v>
      </c>
      <c r="X282" s="194">
        <f t="shared" si="27"/>
        <v>2.1275177504834656E-2</v>
      </c>
      <c r="Y282" s="252" t="str">
        <f>IF(ISNUMBER(SEARCH("C",'WetLitterbags placem_collection'!$X209)),"YES","NO")</f>
        <v>NO</v>
      </c>
      <c r="Z282" s="252" t="str">
        <f>IF(ISNUMBER(SEARCH("H", 'WetLitterbags placem_collection'!$X209)),"YES","NO")</f>
        <v>NO</v>
      </c>
      <c r="AA282" s="252" t="str">
        <f>IF(ISNUMBER(SEARCH("R", 'WetLitterbags placem_collection'!$X209)),"YES","NO")</f>
        <v>YES</v>
      </c>
      <c r="AB282" s="252" t="str">
        <f>IF(ISNUMBER(SEARCH("C", 'WetLitterbags placem_collection'!$V209)),"YES","NO")</f>
        <v>NO</v>
      </c>
      <c r="AC282" s="252" t="str">
        <f>IF(ISNUMBER(SEARCH("H", 'WetLitterbags placem_collection'!$V209)),"YES","NO")</f>
        <v>NO</v>
      </c>
      <c r="AD282" s="252" t="str">
        <f>IF(ISNUMBER(SEARCH("R", 'WetLitterbags placem_collection'!$V209)),"YES","NO")</f>
        <v>YES</v>
      </c>
    </row>
    <row r="283" spans="2:30">
      <c r="B283" t="str">
        <f>'Final data_for_R_analysis_Wetse'!A209</f>
        <v>Wet</v>
      </c>
      <c r="C283" s="260">
        <f>'Final data_for_R_analysis_Wetse'!B209</f>
        <v>208</v>
      </c>
      <c r="D283" t="s">
        <v>2436</v>
      </c>
      <c r="E283" t="s">
        <v>22</v>
      </c>
      <c r="F283" s="382">
        <v>4</v>
      </c>
      <c r="G283" s="16">
        <f>'WetLitterbags placem_collection'!E210</f>
        <v>42769</v>
      </c>
      <c r="H283" t="str">
        <f>'Final data_for_R_analysis_Wetse'!K209</f>
        <v>G710</v>
      </c>
      <c r="I283" t="str">
        <f>'Final data_for_R_analysis_Wetse'!K429</f>
        <v>R344</v>
      </c>
      <c r="J283">
        <f>IFERROR(INDEX('Green_rooibos initial weight'!$C$5:$C$2000,MATCH(H283, 'Green_rooibos initial weight'!$A$5:$A$2000,0)),"")</f>
        <v>2.0270000000000001</v>
      </c>
      <c r="K283">
        <f>IFERROR(INDEX('Green_rooibos initial weight'!$C$5:$C$2000,MATCH(I283, 'Green_rooibos initial weight'!$A$5:$A$2000,0)),"")</f>
        <v>2.153</v>
      </c>
      <c r="L283" s="194">
        <f t="shared" si="21"/>
        <v>1.7772000000000001</v>
      </c>
      <c r="M283" s="194">
        <f>IF(K283&gt;0,(K283*$F$32-($F$29+$F$30)),"")</f>
        <v>1.9032</v>
      </c>
      <c r="N283" s="16">
        <f>IF('WetLitterbags placem_collection'!G210="","",'WetLitterbags placem_collection'!G210)</f>
        <v>42813</v>
      </c>
      <c r="O283" s="194">
        <f>IFERROR(INDEX('Both teabags AfterWet'!$C$3:$C$2000,MATCH(H283,'Both teabags AfterWet'!$A$3:$A$2000,0)),"")</f>
        <v>0.91</v>
      </c>
      <c r="P283" s="194">
        <f>IFERROR(INDEX('Both teabags AfterWet'!$C$3:$C$2000,MATCH(I283,'Both teabags AfterWet'!$A$3:$A$2000,0)),"")</f>
        <v>1.476</v>
      </c>
      <c r="Q283" s="194">
        <f t="shared" si="22"/>
        <v>0.75940000000000007</v>
      </c>
      <c r="R283" s="194">
        <f t="shared" si="22"/>
        <v>1.3253999999999999</v>
      </c>
      <c r="S283" s="194">
        <f t="shared" si="23"/>
        <v>0.57269862705379249</v>
      </c>
      <c r="T283" s="194">
        <f t="shared" si="24"/>
        <v>0.37545088139393529</v>
      </c>
      <c r="U283" s="194">
        <f t="shared" si="25"/>
        <v>0.69640605296342994</v>
      </c>
      <c r="V283">
        <f>IFERROR(IF((N283-G283)&gt;0,(IFERROR(N283-G283,"")),""),"")</f>
        <v>44</v>
      </c>
      <c r="W283" s="194">
        <f t="shared" si="26"/>
        <v>0.31983535979359556</v>
      </c>
      <c r="X283" s="194">
        <f t="shared" si="27"/>
        <v>3.757842124220527E-2</v>
      </c>
      <c r="Y283" s="252" t="str">
        <f>IF(ISNUMBER(SEARCH("C",'WetLitterbags placem_collection'!$X210)),"YES","NO")</f>
        <v>NO</v>
      </c>
      <c r="Z283" s="252" t="str">
        <f>IF(ISNUMBER(SEARCH("H", 'WetLitterbags placem_collection'!$X210)),"YES","NO")</f>
        <v>NO</v>
      </c>
      <c r="AA283" s="252" t="str">
        <f>IF(ISNUMBER(SEARCH("R", 'WetLitterbags placem_collection'!$X210)),"YES","NO")</f>
        <v>YES</v>
      </c>
      <c r="AB283" s="252" t="str">
        <f>IF(ISNUMBER(SEARCH("C", 'WetLitterbags placem_collection'!$V210)),"YES","NO")</f>
        <v>NO</v>
      </c>
      <c r="AC283" s="252" t="str">
        <f>IF(ISNUMBER(SEARCH("H", 'WetLitterbags placem_collection'!$V210)),"YES","NO")</f>
        <v>NO</v>
      </c>
      <c r="AD283" s="252" t="str">
        <f>IF(ISNUMBER(SEARCH("R", 'WetLitterbags placem_collection'!$V210)),"YES","NO")</f>
        <v>YES</v>
      </c>
    </row>
    <row r="284" spans="2:30">
      <c r="B284" t="str">
        <f>'Final data_for_R_analysis_Wetse'!A210</f>
        <v>Wet</v>
      </c>
      <c r="C284" s="260">
        <f>'Final data_for_R_analysis_Wetse'!B210</f>
        <v>209</v>
      </c>
      <c r="D284" t="s">
        <v>2430</v>
      </c>
      <c r="E284" t="s">
        <v>22</v>
      </c>
      <c r="F284" s="382">
        <v>1</v>
      </c>
      <c r="G284" s="16">
        <f>'WetLitterbags placem_collection'!E211</f>
        <v>42769</v>
      </c>
      <c r="H284" t="str">
        <f>'Final data_for_R_analysis_Wetse'!K210</f>
        <v>G604</v>
      </c>
      <c r="I284" t="str">
        <f>'Final data_for_R_analysis_Wetse'!K430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21"/>
        <v>1.7892000000000001</v>
      </c>
      <c r="M284" s="194">
        <f>IF(K284&gt;0,(K284*$F$32-($F$29+$F$30)),"")</f>
        <v>2.0331999999999999</v>
      </c>
      <c r="N284" s="16">
        <f>IF('WetLitterbags placem_collection'!G211="","",'WetLitterbags placem_collection'!G211)</f>
        <v>42814</v>
      </c>
      <c r="O284" s="194">
        <f>IFERROR(INDEX('Both teabags AfterWet'!$C$3:$C$2000,MATCH(H284,'Both teabags AfterWet'!$A$3:$A$2000,0)),"")</f>
        <v>0.748</v>
      </c>
      <c r="P284" s="194">
        <f>IFERROR(INDEX('Both teabags AfterWet'!$C$3:$C$2000,MATCH(I284,'Both teabags AfterWet'!$A$3:$A$2000,0)),"")</f>
        <v>1.754</v>
      </c>
      <c r="Q284" s="194">
        <f t="shared" si="22"/>
        <v>0.59739999999999993</v>
      </c>
      <c r="R284" s="194">
        <f t="shared" si="22"/>
        <v>1.6033999999999999</v>
      </c>
      <c r="S284" s="194">
        <f t="shared" si="23"/>
        <v>0.66610775765705355</v>
      </c>
      <c r="T284" s="194">
        <f t="shared" si="24"/>
        <v>0.43668822117184508</v>
      </c>
      <c r="U284" s="194">
        <f t="shared" si="25"/>
        <v>0.78860908912059813</v>
      </c>
      <c r="V284">
        <f>IFERROR(IF((N284-G284)&gt;0,(IFERROR(N284-G284,"")),""),"")</f>
        <v>45</v>
      </c>
      <c r="W284" s="194">
        <f t="shared" si="26"/>
        <v>0.20889815005100532</v>
      </c>
      <c r="X284" s="194">
        <f t="shared" si="27"/>
        <v>1.4706635083159539E-2</v>
      </c>
      <c r="Y284" s="252" t="str">
        <f>IF(ISNUMBER(SEARCH("C",'WetLitterbags placem_collection'!$X211)),"YES","NO")</f>
        <v>YES</v>
      </c>
      <c r="Z284" s="252" t="str">
        <f>IF(ISNUMBER(SEARCH("H", 'WetLitterbags placem_collection'!$X211)),"YES","NO")</f>
        <v>NO</v>
      </c>
      <c r="AA284" s="252" t="str">
        <f>IF(ISNUMBER(SEARCH("R", 'WetLitterbags placem_collection'!$X211)),"YES","NO")</f>
        <v>YES</v>
      </c>
      <c r="AB284" s="252" t="str">
        <f>IF(ISNUMBER(SEARCH("C", 'WetLitterbags placem_collection'!$V211)),"YES","NO")</f>
        <v>NO</v>
      </c>
      <c r="AC284" s="252" t="str">
        <f>IF(ISNUMBER(SEARCH("H", 'WetLitterbags placem_collection'!$V211)),"YES","NO")</f>
        <v>NO</v>
      </c>
      <c r="AD284" s="252" t="str">
        <f>IF(ISNUMBER(SEARCH("R", 'WetLitterbags placem_collection'!$V211)),"YES","NO")</f>
        <v>YES</v>
      </c>
    </row>
    <row r="285" spans="2:30">
      <c r="B285" t="str">
        <f>'Final data_for_R_analysis_Wetse'!A211</f>
        <v>Wet</v>
      </c>
      <c r="C285" s="260">
        <f>'Final data_for_R_analysis_Wetse'!B211</f>
        <v>210</v>
      </c>
      <c r="D285" t="s">
        <v>2444</v>
      </c>
      <c r="E285" t="s">
        <v>22</v>
      </c>
      <c r="F285" s="382">
        <v>2</v>
      </c>
      <c r="G285" s="16">
        <f>'WetLitterbags placem_collection'!E212</f>
        <v>42769</v>
      </c>
      <c r="H285" t="str">
        <f>'Final data_for_R_analysis_Wetse'!K211</f>
        <v>G871</v>
      </c>
      <c r="I285" t="str">
        <f>'Final data_for_R_analysis_Wetse'!K431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21"/>
        <v>1.8182</v>
      </c>
      <c r="M285" s="194">
        <f>IF(K285&gt;0,(K285*$F$32-($F$29+$F$30)),"")</f>
        <v>1.9632000000000001</v>
      </c>
      <c r="N285" s="16">
        <f>IF('WetLitterbags placem_collection'!G212="","",'WetLitterbags placem_collection'!G212)</f>
        <v>42813</v>
      </c>
      <c r="O285" s="194">
        <f>IFERROR(INDEX('Both teabags AfterWet'!$C$3:$C$2000,MATCH(H285,'Both teabags AfterWet'!$A$3:$A$2000,0)),"")</f>
        <v>0.83130000000000004</v>
      </c>
      <c r="P285" s="194">
        <f>IFERROR(INDEX('Both teabags AfterWet'!$C$3:$C$2000,MATCH(I285,'Both teabags AfterWet'!$A$3:$A$2000,0)),"")</f>
        <v>1.6197999999999999</v>
      </c>
      <c r="Q285" s="194">
        <f t="shared" si="22"/>
        <v>0.68070000000000008</v>
      </c>
      <c r="R285" s="194">
        <f t="shared" si="22"/>
        <v>1.4691999999999998</v>
      </c>
      <c r="S285" s="194">
        <f t="shared" si="23"/>
        <v>0.62561874381256177</v>
      </c>
      <c r="T285" s="194">
        <f t="shared" si="24"/>
        <v>0.41014435461346094</v>
      </c>
      <c r="U285" s="194">
        <f t="shared" si="25"/>
        <v>0.74837000814995913</v>
      </c>
      <c r="V285">
        <f>IFERROR(IF((N285-G285)&gt;0,(IFERROR(N285-G285,"")),""),"")</f>
        <v>44</v>
      </c>
      <c r="W285" s="194">
        <f t="shared" si="26"/>
        <v>0.25698486483068672</v>
      </c>
      <c r="X285" s="194">
        <f t="shared" si="27"/>
        <v>2.1605999457692288E-2</v>
      </c>
      <c r="Y285" s="252" t="str">
        <f>IF(ISNUMBER(SEARCH("C",'WetLitterbags placem_collection'!$X212)),"YES","NO")</f>
        <v>NO</v>
      </c>
      <c r="Z285" s="252" t="str">
        <f>IF(ISNUMBER(SEARCH("H", 'WetLitterbags placem_collection'!$X212)),"YES","NO")</f>
        <v>NO</v>
      </c>
      <c r="AA285" s="252" t="str">
        <f>IF(ISNUMBER(SEARCH("R", 'WetLitterbags placem_collection'!$X212)),"YES","NO")</f>
        <v>YES</v>
      </c>
      <c r="AB285" s="252" t="str">
        <f>IF(ISNUMBER(SEARCH("C", 'WetLitterbags placem_collection'!$V212)),"YES","NO")</f>
        <v>NO</v>
      </c>
      <c r="AC285" s="252" t="str">
        <f>IF(ISNUMBER(SEARCH("H", 'WetLitterbags placem_collection'!$V212)),"YES","NO")</f>
        <v>NO</v>
      </c>
      <c r="AD285" s="252" t="str">
        <f>IF(ISNUMBER(SEARCH("R", 'WetLitterbags placem_collection'!$V212)),"YES","NO")</f>
        <v>YES</v>
      </c>
    </row>
    <row r="286" spans="2:30">
      <c r="B286" t="str">
        <f>'Final data_for_R_analysis_Wetse'!A212</f>
        <v>Wet</v>
      </c>
      <c r="C286" s="260">
        <f>'Final data_for_R_analysis_Wetse'!B212</f>
        <v>211</v>
      </c>
      <c r="D286" t="s">
        <v>2421</v>
      </c>
      <c r="E286" t="s">
        <v>22</v>
      </c>
      <c r="F286" s="382">
        <v>3</v>
      </c>
      <c r="G286" s="16">
        <f>'WetLitterbags placem_collection'!E213</f>
        <v>42769</v>
      </c>
      <c r="H286" t="str">
        <f>'Final data_for_R_analysis_Wetse'!K212</f>
        <v>G822</v>
      </c>
      <c r="I286" t="str">
        <f>'Final data_for_R_analysis_Wetse'!K432</f>
        <v>R381</v>
      </c>
      <c r="J286">
        <f>IFERROR(INDEX('Green_rooibos initial weight'!$C$5:$C$2000,MATCH(H286, 'Green_rooibos initial weight'!$A$5:$A$2000,0)),"")</f>
        <v>2.02</v>
      </c>
      <c r="K286">
        <f>IFERROR(INDEX('Green_rooibos initial weight'!$C$5:$C$2000,MATCH(I286, 'Green_rooibos initial weight'!$A$5:$A$2000,0)),"")</f>
        <v>2.2349999999999999</v>
      </c>
      <c r="L286" s="194">
        <f t="shared" si="21"/>
        <v>1.7702</v>
      </c>
      <c r="M286" s="194">
        <f>IF(K286&gt;0,(K286*$F$32-($F$29+$F$30)),"")</f>
        <v>1.9851999999999999</v>
      </c>
      <c r="N286" s="16">
        <f>IF('WetLitterbags placem_collection'!G213="","",'WetLitterbags placem_collection'!G213)</f>
        <v>42814</v>
      </c>
      <c r="O286" s="194">
        <f>IFERROR(INDEX('Both teabags AfterWet'!$C$3:$C$2000,MATCH(H286,'Both teabags AfterWet'!$A$3:$A$2000,0)),"")</f>
        <v>0.85699999999999998</v>
      </c>
      <c r="P286" s="194">
        <f>IFERROR(INDEX('Both teabags AfterWet'!$C$3:$C$2000,MATCH(I286,'Both teabags AfterWet'!$A$3:$A$2000,0)),"")</f>
        <v>1.528</v>
      </c>
      <c r="Q286" s="194">
        <f t="shared" si="22"/>
        <v>0.70639999999999992</v>
      </c>
      <c r="R286" s="194">
        <f t="shared" si="22"/>
        <v>1.3774</v>
      </c>
      <c r="S286" s="194">
        <f t="shared" si="23"/>
        <v>0.60094904530561521</v>
      </c>
      <c r="T286" s="194">
        <f t="shared" si="24"/>
        <v>0.39397134561603281</v>
      </c>
      <c r="U286" s="194">
        <f t="shared" si="25"/>
        <v>0.69383437437034057</v>
      </c>
      <c r="V286">
        <f>IFERROR(IF((N286-G286)&gt;0,(IFERROR(N286-G286,"")),""),"")</f>
        <v>45</v>
      </c>
      <c r="W286" s="194">
        <f t="shared" si="26"/>
        <v>0.28628379417385363</v>
      </c>
      <c r="X286" s="194">
        <f t="shared" si="27"/>
        <v>3.3358922963616186E-2</v>
      </c>
      <c r="Y286" s="252" t="str">
        <f>IF(ISNUMBER(SEARCH("C",'WetLitterbags placem_collection'!$X213)),"YES","NO")</f>
        <v>NO</v>
      </c>
      <c r="Z286" s="252" t="str">
        <f>IF(ISNUMBER(SEARCH("H", 'WetLitterbags placem_collection'!$X213)),"YES","NO")</f>
        <v>NO</v>
      </c>
      <c r="AA286" s="252" t="str">
        <f>IF(ISNUMBER(SEARCH("R", 'WetLitterbags placem_collection'!$X213)),"YES","NO")</f>
        <v>YES</v>
      </c>
      <c r="AB286" s="252" t="str">
        <f>IF(ISNUMBER(SEARCH("C", 'WetLitterbags placem_collection'!$V213)),"YES","NO")</f>
        <v>NO</v>
      </c>
      <c r="AC286" s="252" t="str">
        <f>IF(ISNUMBER(SEARCH("H", 'WetLitterbags placem_collection'!$V213)),"YES","NO")</f>
        <v>NO</v>
      </c>
      <c r="AD286" s="252" t="str">
        <f>IF(ISNUMBER(SEARCH("R", 'WetLitterbags placem_collection'!$V213)),"YES","NO")</f>
        <v>YES</v>
      </c>
    </row>
    <row r="287" spans="2:30">
      <c r="B287" t="str">
        <f>'Final data_for_R_analysis_Wetse'!A213</f>
        <v>Wet</v>
      </c>
      <c r="C287" s="260">
        <f>'Final data_for_R_analysis_Wetse'!B213</f>
        <v>215</v>
      </c>
      <c r="D287" t="s">
        <v>2422</v>
      </c>
      <c r="E287" t="s">
        <v>22</v>
      </c>
      <c r="F287" s="382">
        <v>3</v>
      </c>
      <c r="G287" s="16">
        <f>'WetLitterbags placem_collection'!E214</f>
        <v>42769</v>
      </c>
      <c r="H287" t="str">
        <f>'Final data_for_R_analysis_Wetse'!K213</f>
        <v>G786</v>
      </c>
      <c r="I287" t="str">
        <f>'Final data_for_R_analysis_Wetse'!K433</f>
        <v>R93</v>
      </c>
      <c r="J287">
        <f>IFERROR(INDEX('Green_rooibos initial weight'!$C$5:$C$2000,MATCH(H287, 'Green_rooibos initial weight'!$A$5:$A$2000,0)),"")</f>
        <v>2.097</v>
      </c>
      <c r="K287">
        <f>IFERROR(INDEX('Green_rooibos initial weight'!$C$5:$C$2000,MATCH(I287, 'Green_rooibos initial weight'!$A$5:$A$2000,0)),"")</f>
        <v>2.1709999999999998</v>
      </c>
      <c r="L287" s="194">
        <f t="shared" si="21"/>
        <v>1.8472</v>
      </c>
      <c r="M287" s="194">
        <f>IF(K287&gt;0,(K287*$F$32-($F$29+$F$30)),"")</f>
        <v>1.9211999999999998</v>
      </c>
      <c r="N287" s="16">
        <f>IF('WetLitterbags placem_collection'!G214="","",'WetLitterbags placem_collection'!G214)</f>
        <v>42813</v>
      </c>
      <c r="O287" s="194">
        <f>IFERROR(INDEX('Both teabags AfterWet'!$C$3:$C$2000,MATCH(H287,'Both teabags AfterWet'!$A$3:$A$2000,0)),"")</f>
        <v>0.86439999999999995</v>
      </c>
      <c r="P287" s="194">
        <f>IFERROR(INDEX('Both teabags AfterWet'!$C$3:$C$2000,MATCH(I287,'Both teabags AfterWet'!$A$3:$A$2000,0)),"")</f>
        <v>1.5831999999999999</v>
      </c>
      <c r="Q287" s="194">
        <f t="shared" si="22"/>
        <v>0.71379999999999999</v>
      </c>
      <c r="R287" s="194">
        <f t="shared" si="22"/>
        <v>1.4325999999999999</v>
      </c>
      <c r="S287" s="194">
        <f t="shared" si="23"/>
        <v>0.6135773061931572</v>
      </c>
      <c r="T287" s="194">
        <f t="shared" si="24"/>
        <v>0.40225020548530027</v>
      </c>
      <c r="U287" s="194">
        <f t="shared" si="25"/>
        <v>0.74567978346866548</v>
      </c>
      <c r="V287">
        <f>IFERROR(IF((N287-G287)&gt;0,(IFERROR(N287-G287,"")),""),"")</f>
        <v>44</v>
      </c>
      <c r="W287" s="194">
        <f t="shared" si="26"/>
        <v>0.27128585962807927</v>
      </c>
      <c r="X287" s="194">
        <f t="shared" si="27"/>
        <v>2.2734890510879111E-2</v>
      </c>
      <c r="Y287" s="252" t="str">
        <f>IF(ISNUMBER(SEARCH("C",'WetLitterbags placem_collection'!$X214)),"YES","NO")</f>
        <v>NO</v>
      </c>
      <c r="Z287" s="252" t="str">
        <f>IF(ISNUMBER(SEARCH("H", 'WetLitterbags placem_collection'!$X214)),"YES","NO")</f>
        <v>NO</v>
      </c>
      <c r="AA287" s="252" t="str">
        <f>IF(ISNUMBER(SEARCH("R", 'WetLitterbags placem_collection'!$X214)),"YES","NO")</f>
        <v>YES</v>
      </c>
      <c r="AB287" s="252" t="str">
        <f>IF(ISNUMBER(SEARCH("C", 'WetLitterbags placem_collection'!$V214)),"YES","NO")</f>
        <v>NO</v>
      </c>
      <c r="AC287" s="252" t="str">
        <f>IF(ISNUMBER(SEARCH("H", 'WetLitterbags placem_collection'!$V214)),"YES","NO")</f>
        <v>NO</v>
      </c>
      <c r="AD287" s="252" t="str">
        <f>IF(ISNUMBER(SEARCH("R", 'WetLitterbags placem_collection'!$V214)),"YES","NO")</f>
        <v>NO</v>
      </c>
    </row>
    <row r="288" spans="2:30">
      <c r="B288" t="str">
        <f>'Final data_for_R_analysis_Wetse'!A214</f>
        <v>Wet</v>
      </c>
      <c r="C288" s="260">
        <f>'Final data_for_R_analysis_Wetse'!B214</f>
        <v>212</v>
      </c>
      <c r="D288" t="s">
        <v>2437</v>
      </c>
      <c r="E288" t="s">
        <v>22</v>
      </c>
      <c r="F288" s="382">
        <v>4</v>
      </c>
      <c r="G288" s="16">
        <f>'WetLitterbags placem_collection'!E215</f>
        <v>42769</v>
      </c>
      <c r="H288" t="str">
        <f>'Final data_for_R_analysis_Wetse'!K214</f>
        <v>G572</v>
      </c>
      <c r="I288" t="str">
        <f>'Final data_for_R_analysis_Wetse'!K434</f>
        <v>R88</v>
      </c>
      <c r="J288">
        <f>IFERROR(INDEX('Green_rooibos initial weight'!$C$5:$C$2000,MATCH(H288, 'Green_rooibos initial weight'!$A$5:$A$2000,0)),"")</f>
        <v>1.972</v>
      </c>
      <c r="K288">
        <f>IFERROR(INDEX('Green_rooibos initial weight'!$C$5:$C$2000,MATCH(I288, 'Green_rooibos initial weight'!$A$5:$A$2000,0)),"")</f>
        <v>2.1520000000000001</v>
      </c>
      <c r="L288" s="194">
        <f t="shared" si="21"/>
        <v>1.7222</v>
      </c>
      <c r="M288" s="194">
        <f>IF(K288&gt;0,(K288*$F$32-($F$29+$F$30)),"")</f>
        <v>1.9022000000000001</v>
      </c>
      <c r="N288" s="16">
        <f>IF('WetLitterbags placem_collection'!G215="","",'WetLitterbags placem_collection'!G215)</f>
        <v>42813</v>
      </c>
      <c r="O288" s="194">
        <f>IFERROR(INDEX('Both teabags AfterWet'!$C$3:$C$2000,MATCH(H288,'Both teabags AfterWet'!$A$3:$A$2000,0)),"")</f>
        <v>0.71399999999999997</v>
      </c>
      <c r="P288" s="194">
        <f>IFERROR(INDEX('Both teabags AfterWet'!$C$3:$C$2000,MATCH(I288,'Both teabags AfterWet'!$A$3:$A$2000,0)),"")</f>
        <v>1.542</v>
      </c>
      <c r="Q288" s="194">
        <f t="shared" si="22"/>
        <v>0.5633999999999999</v>
      </c>
      <c r="R288" s="194">
        <f t="shared" si="22"/>
        <v>1.3914</v>
      </c>
      <c r="S288" s="194">
        <f t="shared" si="23"/>
        <v>0.67286029497154809</v>
      </c>
      <c r="T288" s="194">
        <f t="shared" si="24"/>
        <v>0.44111506273669193</v>
      </c>
      <c r="U288" s="194">
        <f t="shared" si="25"/>
        <v>0.73146882557039217</v>
      </c>
      <c r="V288">
        <f>IFERROR(IF((N288-G288)&gt;0,(IFERROR(N288-G288,"")),""),"")</f>
        <v>44</v>
      </c>
      <c r="W288" s="194">
        <f t="shared" si="26"/>
        <v>0.20087850953497843</v>
      </c>
      <c r="X288" s="194">
        <f t="shared" si="27"/>
        <v>2.1327780167317251E-2</v>
      </c>
      <c r="Y288" s="252" t="str">
        <f>IF(ISNUMBER(SEARCH("C",'WetLitterbags placem_collection'!$X215)),"YES","NO")</f>
        <v>NO</v>
      </c>
      <c r="Z288" s="252" t="str">
        <f>IF(ISNUMBER(SEARCH("H", 'WetLitterbags placem_collection'!$X215)),"YES","NO")</f>
        <v>NO</v>
      </c>
      <c r="AA288" s="252" t="str">
        <f>IF(ISNUMBER(SEARCH("R", 'WetLitterbags placem_collection'!$X215)),"YES","NO")</f>
        <v>YES</v>
      </c>
      <c r="AB288" s="252" t="str">
        <f>IF(ISNUMBER(SEARCH("C", 'WetLitterbags placem_collection'!$V215)),"YES","NO")</f>
        <v>NO</v>
      </c>
      <c r="AC288" s="252" t="str">
        <f>IF(ISNUMBER(SEARCH("H", 'WetLitterbags placem_collection'!$V215)),"YES","NO")</f>
        <v>NO</v>
      </c>
      <c r="AD288" s="252" t="str">
        <f>IF(ISNUMBER(SEARCH("R", 'WetLitterbags placem_collection'!$V215)),"YES","NO")</f>
        <v>YES</v>
      </c>
    </row>
    <row r="289" spans="1:30">
      <c r="B289" t="str">
        <f>'Final data_for_R_analysis_Wetse'!A215</f>
        <v>Wet</v>
      </c>
      <c r="C289" s="260">
        <f>'Final data_for_R_analysis_Wetse'!B215</f>
        <v>213</v>
      </c>
      <c r="D289" t="s">
        <v>2445</v>
      </c>
      <c r="E289" t="s">
        <v>22</v>
      </c>
      <c r="F289" s="382">
        <v>1</v>
      </c>
      <c r="G289" s="16">
        <f>'WetLitterbags placem_collection'!E216</f>
        <v>42769</v>
      </c>
      <c r="H289" t="str">
        <f>'Final data_for_R_analysis_Wetse'!K215</f>
        <v>G761</v>
      </c>
      <c r="I289" t="str">
        <f>'Final data_for_R_analysis_Wetse'!K435</f>
        <v>R383</v>
      </c>
      <c r="J289">
        <f>IFERROR(INDEX('Green_rooibos initial weight'!$C$5:$C$2000,MATCH(H289, 'Green_rooibos initial weight'!$A$5:$A$2000,0)),"")</f>
        <v>2.0110000000000001</v>
      </c>
      <c r="K289">
        <f>IFERROR(INDEX('Green_rooibos initial weight'!$C$5:$C$2000,MATCH(I289, 'Green_rooibos initial weight'!$A$5:$A$2000,0)),"")</f>
        <v>2.234</v>
      </c>
      <c r="L289" s="194">
        <f t="shared" si="21"/>
        <v>1.7612000000000001</v>
      </c>
      <c r="M289" s="194">
        <f>IF(K289&gt;0,(K289*$F$32-($F$29+$F$30)),"")</f>
        <v>1.9842</v>
      </c>
      <c r="N289" s="16">
        <f>IF('WetLitterbags placem_collection'!G216="","",'WetLitterbags placem_collection'!G216)</f>
        <v>42813</v>
      </c>
      <c r="O289" s="194">
        <f>IFERROR(INDEX('Both teabags AfterWet'!$C$3:$C$2000,MATCH(H289,'Both teabags AfterWet'!$A$3:$A$2000,0)),"")</f>
        <v>0.71299999999999997</v>
      </c>
      <c r="P289" s="194">
        <f>IFERROR(INDEX('Both teabags AfterWet'!$C$3:$C$2000,MATCH(I289,'Both teabags AfterWet'!$A$3:$A$2000,0)),"")</f>
        <v>1.587</v>
      </c>
      <c r="Q289" s="194">
        <f t="shared" si="22"/>
        <v>0.56240000000000001</v>
      </c>
      <c r="R289" s="194">
        <f t="shared" si="22"/>
        <v>1.4363999999999999</v>
      </c>
      <c r="S289" s="194">
        <f t="shared" si="23"/>
        <v>0.68067226890756305</v>
      </c>
      <c r="T289" s="194">
        <f t="shared" si="24"/>
        <v>0.44623645182538579</v>
      </c>
      <c r="U289" s="194">
        <f t="shared" si="25"/>
        <v>0.72391895978227994</v>
      </c>
      <c r="V289">
        <f>IFERROR(IF((N289-G289)&gt;0,(IFERROR(N289-G289,"")),""),"")</f>
        <v>44</v>
      </c>
      <c r="W289" s="194">
        <f t="shared" si="26"/>
        <v>0.19160063075111278</v>
      </c>
      <c r="X289" s="194">
        <f t="shared" si="27"/>
        <v>2.1912199254853739E-2</v>
      </c>
      <c r="Y289" s="252" t="str">
        <f>IF(ISNUMBER(SEARCH("C",'WetLitterbags placem_collection'!$X216)),"YES","NO")</f>
        <v>NO</v>
      </c>
      <c r="Z289" s="252" t="str">
        <f>IF(ISNUMBER(SEARCH("H", 'WetLitterbags placem_collection'!$X216)),"YES","NO")</f>
        <v>NO</v>
      </c>
      <c r="AA289" s="252" t="str">
        <f>IF(ISNUMBER(SEARCH("R", 'WetLitterbags placem_collection'!$X216)),"YES","NO")</f>
        <v>YES</v>
      </c>
      <c r="AB289" s="252" t="str">
        <f>IF(ISNUMBER(SEARCH("C", 'WetLitterbags placem_collection'!$V216)),"YES","NO")</f>
        <v>NO</v>
      </c>
      <c r="AC289" s="252" t="str">
        <f>IF(ISNUMBER(SEARCH("H", 'WetLitterbags placem_collection'!$V216)),"YES","NO")</f>
        <v>NO</v>
      </c>
      <c r="AD289" s="252" t="str">
        <f>IF(ISNUMBER(SEARCH("R", 'WetLitterbags placem_collection'!$V216)),"YES","NO")</f>
        <v>YES</v>
      </c>
    </row>
    <row r="290" spans="1:30">
      <c r="B290" t="str">
        <f>'Final data_for_R_analysis_Wetse'!A216</f>
        <v>Wet</v>
      </c>
      <c r="C290" s="260">
        <f>'Final data_for_R_analysis_Wetse'!B216</f>
        <v>214</v>
      </c>
      <c r="D290" t="s">
        <v>2438</v>
      </c>
      <c r="E290" t="s">
        <v>22</v>
      </c>
      <c r="F290" s="382">
        <v>2</v>
      </c>
      <c r="G290" s="16">
        <f>'WetLitterbags placem_collection'!E217</f>
        <v>42769</v>
      </c>
      <c r="H290" t="str">
        <f>'Final data_for_R_analysis_Wetse'!K216</f>
        <v>G858</v>
      </c>
      <c r="I290" t="str">
        <f>'Final data_for_R_analysis_Wetse'!K436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21"/>
        <v>1.8542000000000001</v>
      </c>
      <c r="M290" s="194">
        <f>IF(K290&gt;0,(K290*$F$32-($F$29+$F$30)),"")</f>
        <v>2.0221999999999998</v>
      </c>
      <c r="N290" s="16">
        <f>IF('WetLitterbags placem_collection'!G217="","",'WetLitterbags placem_collection'!G217)</f>
        <v>42814</v>
      </c>
      <c r="O290" s="194">
        <f>IFERROR(INDEX('Both teabags AfterWet'!$C$3:$C$2000,MATCH(H290,'Both teabags AfterWet'!$A$3:$A$2000,0)),"")</f>
        <v>0.69730000000000003</v>
      </c>
      <c r="P290" s="194">
        <f>IFERROR(INDEX('Both teabags AfterWet'!$C$3:$C$2000,MATCH(I290,'Both teabags AfterWet'!$A$3:$A$2000,0)),"")</f>
        <v>1.5481</v>
      </c>
      <c r="Q290" s="194">
        <f t="shared" si="22"/>
        <v>0.54669999999999996</v>
      </c>
      <c r="R290" s="194">
        <f t="shared" si="22"/>
        <v>1.3975</v>
      </c>
      <c r="S290" s="194">
        <f t="shared" si="23"/>
        <v>0.70515586236651928</v>
      </c>
      <c r="T290" s="194">
        <f t="shared" si="24"/>
        <v>0.46228745371296753</v>
      </c>
      <c r="U290" s="194">
        <f t="shared" si="25"/>
        <v>0.69107902284640499</v>
      </c>
      <c r="V290">
        <f>IFERROR(IF((N290-G290)&gt;0,(IFERROR(N290-G290,"")),""),"")</f>
        <v>45</v>
      </c>
      <c r="W290" s="194">
        <f t="shared" si="26"/>
        <v>0.16252272878085594</v>
      </c>
      <c r="X290" s="194">
        <f t="shared" si="27"/>
        <v>2.4519034730028141E-2</v>
      </c>
      <c r="Y290" s="252" t="str">
        <f>IF(ISNUMBER(SEARCH("C",'WetLitterbags placem_collection'!$X217)),"YES","NO")</f>
        <v>NO</v>
      </c>
      <c r="Z290" s="252" t="str">
        <f>IF(ISNUMBER(SEARCH("H", 'WetLitterbags placem_collection'!$X217)),"YES","NO")</f>
        <v>NO</v>
      </c>
      <c r="AA290" s="252" t="str">
        <f>IF(ISNUMBER(SEARCH("R", 'WetLitterbags placem_collection'!$X217)),"YES","NO")</f>
        <v>YES</v>
      </c>
      <c r="AB290" s="252" t="str">
        <f>IF(ISNUMBER(SEARCH("C", 'WetLitterbags placem_collection'!$V217)),"YES","NO")</f>
        <v>NO</v>
      </c>
      <c r="AC290" s="252" t="str">
        <f>IF(ISNUMBER(SEARCH("H", 'WetLitterbags placem_collection'!$V217)),"YES","NO")</f>
        <v>NO</v>
      </c>
      <c r="AD290" s="252" t="str">
        <f>IF(ISNUMBER(SEARCH("R", 'WetLitterbags placem_collection'!$V217)),"YES","NO")</f>
        <v>YES</v>
      </c>
    </row>
    <row r="291" spans="1:30">
      <c r="B291" t="str">
        <f>'Final data_for_R_analysis_Wetse'!A217</f>
        <v>Wet</v>
      </c>
      <c r="C291" s="260">
        <f>'Final data_for_R_analysis_Wetse'!B217</f>
        <v>216</v>
      </c>
      <c r="D291" t="s">
        <v>2431</v>
      </c>
      <c r="E291" t="s">
        <v>22</v>
      </c>
      <c r="F291" s="382">
        <v>4</v>
      </c>
      <c r="G291" s="16">
        <f>'WetLitterbags placem_collection'!E218</f>
        <v>42769</v>
      </c>
      <c r="H291" t="str">
        <f>'Final data_for_R_analysis_Wetse'!K217</f>
        <v>G755</v>
      </c>
      <c r="I291" t="str">
        <f>'Final data_for_R_analysis_Wetse'!K437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21"/>
        <v>1.7692000000000001</v>
      </c>
      <c r="M291" s="194">
        <f>IF(K291&gt;0,(K291*$F$32-($F$29+$F$30)),"")</f>
        <v>1.9182000000000001</v>
      </c>
      <c r="N291" s="16">
        <f>IF('WetLitterbags placem_collection'!G218="","",'WetLitterbags placem_collection'!G218)</f>
        <v>42814</v>
      </c>
      <c r="O291" s="194">
        <f>IFERROR(INDEX('Both teabags AfterWet'!$C$3:$C$2000,MATCH(H291,'Both teabags AfterWet'!$A$3:$A$2000,0)),"")</f>
        <v>0.88700000000000001</v>
      </c>
      <c r="P291" s="194">
        <f>IFERROR(INDEX('Both teabags AfterWet'!$C$3:$C$2000,MATCH(I291,'Both teabags AfterWet'!$A$3:$A$2000,0)),"")</f>
        <v>1.5349999999999999</v>
      </c>
      <c r="Q291" s="194">
        <f t="shared" si="22"/>
        <v>0.73639999999999994</v>
      </c>
      <c r="R291" s="194">
        <f t="shared" si="22"/>
        <v>1.3843999999999999</v>
      </c>
      <c r="S291" s="194">
        <f t="shared" si="23"/>
        <v>0.58376667420302963</v>
      </c>
      <c r="T291" s="194">
        <f t="shared" si="24"/>
        <v>0.38270689330174867</v>
      </c>
      <c r="U291" s="194">
        <f t="shared" si="25"/>
        <v>0.72171827755187146</v>
      </c>
      <c r="V291">
        <f>IFERROR(IF((N291-G291)&gt;0,(IFERROR(N291-G291,"")),""),"")</f>
        <v>45</v>
      </c>
      <c r="W291" s="194">
        <f t="shared" si="26"/>
        <v>0.30669041068523795</v>
      </c>
      <c r="X291" s="194">
        <f t="shared" si="27"/>
        <v>2.8862192400802955E-2</v>
      </c>
      <c r="Y291" s="252" t="str">
        <f>IF(ISNUMBER(SEARCH("C",'WetLitterbags placem_collection'!$X218)),"YES","NO")</f>
        <v>NO</v>
      </c>
      <c r="Z291" s="252" t="str">
        <f>IF(ISNUMBER(SEARCH("H", 'WetLitterbags placem_collection'!$X218)),"YES","NO")</f>
        <v>NO</v>
      </c>
      <c r="AA291" s="252" t="str">
        <f>IF(ISNUMBER(SEARCH("R", 'WetLitterbags placem_collection'!$X218)),"YES","NO")</f>
        <v>YES</v>
      </c>
      <c r="AB291" s="252" t="str">
        <f>IF(ISNUMBER(SEARCH("C", 'WetLitterbags placem_collection'!$V218)),"YES","NO")</f>
        <v>YES</v>
      </c>
      <c r="AC291" s="252" t="str">
        <f>IF(ISNUMBER(SEARCH("H", 'WetLitterbags placem_collection'!$V218)),"YES","NO")</f>
        <v>YES</v>
      </c>
      <c r="AD291" s="252" t="str">
        <f>IF(ISNUMBER(SEARCH("R", 'WetLitterbags placem_collection'!$V218)),"YES","NO")</f>
        <v>YES</v>
      </c>
    </row>
    <row r="292" spans="1:30">
      <c r="B292" t="str">
        <f>'Final data_for_R_analysis_Wetse'!A218</f>
        <v>Wet</v>
      </c>
      <c r="C292" s="260">
        <f>'Final data_for_R_analysis_Wetse'!B218</f>
        <v>217</v>
      </c>
      <c r="D292" t="s">
        <v>2424</v>
      </c>
      <c r="E292" t="s">
        <v>22</v>
      </c>
      <c r="F292" s="382">
        <v>1</v>
      </c>
      <c r="G292" s="16">
        <f>'WetLitterbags placem_collection'!E219</f>
        <v>42769</v>
      </c>
      <c r="H292" t="str">
        <f>'Final data_for_R_analysis_Wetse'!K218</f>
        <v>G795</v>
      </c>
      <c r="I292" t="str">
        <f>'Final data_for_R_analysis_Wetse'!K438</f>
        <v>R302</v>
      </c>
      <c r="J292">
        <f>IFERROR(INDEX('Green_rooibos initial weight'!$C$5:$C$2000,MATCH(H292, 'Green_rooibos initial weight'!$A$5:$A$2000,0)),"")</f>
        <v>1.9530000000000001</v>
      </c>
      <c r="K292">
        <f>IFERROR(INDEX('Green_rooibos initial weight'!$C$5:$C$2000,MATCH(I292, 'Green_rooibos initial weight'!$A$5:$A$2000,0)),"")</f>
        <v>2.19</v>
      </c>
      <c r="L292" s="194">
        <f t="shared" si="21"/>
        <v>1.7032</v>
      </c>
      <c r="M292" s="194">
        <f>IF(K292&gt;0,(K292*$F$32-($F$29+$F$30)),"")</f>
        <v>1.9401999999999999</v>
      </c>
      <c r="N292" s="16">
        <f>IF('WetLitterbags placem_collection'!G219="","",'WetLitterbags placem_collection'!G219)</f>
        <v>42814</v>
      </c>
      <c r="O292" s="194">
        <f>IFERROR(INDEX('Both teabags AfterWet'!$C$3:$C$2000,MATCH(H292,'Both teabags AfterWet'!$A$3:$A$2000,0)),"")</f>
        <v>0.78100000000000003</v>
      </c>
      <c r="P292" s="194">
        <f>IFERROR(INDEX('Both teabags AfterWet'!$C$3:$C$2000,MATCH(I292,'Both teabags AfterWet'!$A$3:$A$2000,0)),"")</f>
        <v>1.38</v>
      </c>
      <c r="Q292" s="194">
        <f t="shared" si="22"/>
        <v>0.63040000000000007</v>
      </c>
      <c r="R292" s="194">
        <f t="shared" si="22"/>
        <v>1.2293999999999998</v>
      </c>
      <c r="S292" s="194">
        <f t="shared" si="23"/>
        <v>0.62987317989666503</v>
      </c>
      <c r="T292" s="194">
        <f t="shared" si="24"/>
        <v>0.41293348610802749</v>
      </c>
      <c r="U292" s="194">
        <f t="shared" si="25"/>
        <v>0.63364601587465208</v>
      </c>
      <c r="V292">
        <f>IFERROR(IF((N292-G292)&gt;0,(IFERROR(N292-G292,"")),""),"")</f>
        <v>45</v>
      </c>
      <c r="W292" s="194">
        <f t="shared" si="26"/>
        <v>0.25193209038400821</v>
      </c>
      <c r="X292" s="194">
        <f t="shared" si="27"/>
        <v>4.8491687925816034E-2</v>
      </c>
      <c r="Y292" s="252" t="str">
        <f>IF(ISNUMBER(SEARCH("C",'WetLitterbags placem_collection'!$X219)),"YES","NO")</f>
        <v>NO</v>
      </c>
      <c r="Z292" s="252" t="str">
        <f>IF(ISNUMBER(SEARCH("H", 'WetLitterbags placem_collection'!$X219)),"YES","NO")</f>
        <v>NO</v>
      </c>
      <c r="AA292" s="252" t="str">
        <f>IF(ISNUMBER(SEARCH("R", 'WetLitterbags placem_collection'!$X219)),"YES","NO")</f>
        <v>YES</v>
      </c>
      <c r="AB292" s="252" t="str">
        <f>IF(ISNUMBER(SEARCH("C", 'WetLitterbags placem_collection'!$V219)),"YES","NO")</f>
        <v>NO</v>
      </c>
      <c r="AC292" s="252" t="str">
        <f>IF(ISNUMBER(SEARCH("H", 'WetLitterbags placem_collection'!$V219)),"YES","NO")</f>
        <v>NO</v>
      </c>
      <c r="AD292" s="252" t="str">
        <f>IF(ISNUMBER(SEARCH("R", 'WetLitterbags placem_collection'!$V219)),"YES","NO")</f>
        <v>YES</v>
      </c>
    </row>
    <row r="293" spans="1:30">
      <c r="B293" t="str">
        <f>'Final data_for_R_analysis_Wetse'!A219</f>
        <v>Wet</v>
      </c>
      <c r="C293" s="260">
        <f>'Final data_for_R_analysis_Wetse'!B219</f>
        <v>218</v>
      </c>
      <c r="D293" t="s">
        <v>2432</v>
      </c>
      <c r="E293" t="s">
        <v>22</v>
      </c>
      <c r="F293" s="382">
        <v>2</v>
      </c>
      <c r="G293" s="16">
        <f>'WetLitterbags placem_collection'!E220</f>
        <v>42769</v>
      </c>
      <c r="H293" t="str">
        <f>'Final data_for_R_analysis_Wetse'!K219</f>
        <v>G251</v>
      </c>
      <c r="I293" t="str">
        <f>'Final data_for_R_analysis_Wetse'!K439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21"/>
        <v>1.8041999999999998</v>
      </c>
      <c r="M293" s="194">
        <f>IF(K293&gt;0,(K293*$F$32-($F$29+$F$30)),"")</f>
        <v>1.9792000000000001</v>
      </c>
      <c r="N293" s="16">
        <f>IF('WetLitterbags placem_collection'!G220="","",'WetLitterbags placem_collection'!G220)</f>
        <v>42814</v>
      </c>
      <c r="O293" s="194">
        <f>IFERROR(INDEX('Both teabags AfterWet'!$C$3:$C$2000,MATCH(H293,'Both teabags AfterWet'!$A$3:$A$2000,0)),"")</f>
        <v>0.75700000000000001</v>
      </c>
      <c r="P293" s="194">
        <f>IFERROR(INDEX('Both teabags AfterWet'!$C$3:$C$2000,MATCH(I293,'Both teabags AfterWet'!$A$3:$A$2000,0)),"")</f>
        <v>1.3831</v>
      </c>
      <c r="Q293" s="194">
        <f t="shared" si="22"/>
        <v>0.60640000000000005</v>
      </c>
      <c r="R293" s="194">
        <f t="shared" si="22"/>
        <v>1.2324999999999999</v>
      </c>
      <c r="S293" s="194">
        <f t="shared" si="23"/>
        <v>0.6638953552821194</v>
      </c>
      <c r="T293" s="194">
        <f t="shared" si="24"/>
        <v>0.43523781011369356</v>
      </c>
      <c r="U293" s="194">
        <f t="shared" si="25"/>
        <v>0.62272635408245747</v>
      </c>
      <c r="V293">
        <f>IFERROR(IF((N293-G293)&gt;0,(IFERROR(N293-G293,"")),""),"")</f>
        <v>45</v>
      </c>
      <c r="W293" s="194">
        <f t="shared" si="26"/>
        <v>0.21152570631577261</v>
      </c>
      <c r="X293" s="194">
        <f t="shared" si="27"/>
        <v>4.4801502460415525E-2</v>
      </c>
      <c r="Y293" s="252" t="str">
        <f>IF(ISNUMBER(SEARCH("C",'WetLitterbags placem_collection'!$X220)),"YES","NO")</f>
        <v>NO</v>
      </c>
      <c r="Z293" s="252" t="str">
        <f>IF(ISNUMBER(SEARCH("H", 'WetLitterbags placem_collection'!$X220)),"YES","NO")</f>
        <v>NO</v>
      </c>
      <c r="AA293" s="252" t="str">
        <f>IF(ISNUMBER(SEARCH("R", 'WetLitterbags placem_collection'!$X220)),"YES","NO")</f>
        <v>YES</v>
      </c>
      <c r="AB293" s="252" t="str">
        <f>IF(ISNUMBER(SEARCH("C", 'WetLitterbags placem_collection'!$V220)),"YES","NO")</f>
        <v>NO</v>
      </c>
      <c r="AC293" s="252" t="str">
        <f>IF(ISNUMBER(SEARCH("H", 'WetLitterbags placem_collection'!$V220)),"YES","NO")</f>
        <v>NO</v>
      </c>
      <c r="AD293" s="252" t="str">
        <f>IF(ISNUMBER(SEARCH("R", 'WetLitterbags placem_collection'!$V220)),"YES","NO")</f>
        <v>YES</v>
      </c>
    </row>
    <row r="294" spans="1:30">
      <c r="B294" t="str">
        <f>'Final data_for_R_analysis_Wetse'!A220</f>
        <v>Wet</v>
      </c>
      <c r="C294" s="381">
        <f>'Final data_for_R_analysis_Wetse'!B220</f>
        <v>219</v>
      </c>
      <c r="D294" t="s">
        <v>2439</v>
      </c>
      <c r="E294" t="s">
        <v>22</v>
      </c>
      <c r="F294" s="382">
        <v>3</v>
      </c>
      <c r="G294" s="383">
        <f>'WetLitterbags placem_collection'!E221</f>
        <v>42769</v>
      </c>
      <c r="H294" s="92" t="str">
        <f>'Final data_for_R_analysis_Wetse'!K220</f>
        <v>G727</v>
      </c>
      <c r="I294" s="92" t="str">
        <f>'Final data_for_R_analysis_Wetse'!K440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21"/>
        <v>1.7772000000000001</v>
      </c>
      <c r="M294" s="194">
        <f>IF(K294&gt;0,(K294*$F$32-($F$29+$F$30)),"")</f>
        <v>1.9662000000000002</v>
      </c>
      <c r="N294" s="16">
        <f>IF('WetLitterbags placem_collection'!G221="","",'WetLitterbags placem_collection'!G221)</f>
        <v>42813</v>
      </c>
      <c r="O294" s="194">
        <f>IFERROR(INDEX('Both teabags AfterWet'!$C$3:$C$2000,MATCH(H294,'Both teabags AfterWet'!$A$3:$A$2000,0)),"")</f>
        <v>0.70650000000000002</v>
      </c>
      <c r="P294" s="194">
        <f>IFERROR(INDEX('Both teabags AfterWet'!$C$3:$C$2000,MATCH(I294,'Both teabags AfterWet'!$A$3:$A$2000,0)),"")</f>
        <v>1.4293</v>
      </c>
      <c r="Q294" s="194">
        <f t="shared" si="22"/>
        <v>0.55590000000000006</v>
      </c>
      <c r="R294" s="194">
        <f t="shared" si="22"/>
        <v>1.2786999999999999</v>
      </c>
      <c r="S294" s="194">
        <f t="shared" si="23"/>
        <v>0.6872045914922349</v>
      </c>
      <c r="T294" s="194">
        <f t="shared" si="24"/>
        <v>0.4505189245887336</v>
      </c>
      <c r="U294" s="194">
        <f t="shared" si="25"/>
        <v>0.65034075882412767</v>
      </c>
      <c r="V294">
        <f>IFERROR(IF((N294-G294)&gt;0,(IFERROR(N294-G294,"")),""),"")</f>
        <v>44</v>
      </c>
      <c r="W294" s="194">
        <f t="shared" si="26"/>
        <v>0.18384252791896094</v>
      </c>
      <c r="X294" s="194">
        <f t="shared" si="27"/>
        <v>3.4015222871945167E-2</v>
      </c>
      <c r="Y294" s="252" t="str">
        <f>IF(ISNUMBER(SEARCH("C",'WetLitterbags placem_collection'!$X221)),"YES","NO")</f>
        <v>NO</v>
      </c>
      <c r="Z294" s="252" t="str">
        <f>IF(ISNUMBER(SEARCH("H", 'WetLitterbags placem_collection'!$X221)),"YES","NO")</f>
        <v>NO</v>
      </c>
      <c r="AA294" s="252" t="str">
        <f>IF(ISNUMBER(SEARCH("R", 'WetLitterbags placem_collection'!$X221)),"YES","NO")</f>
        <v>YES</v>
      </c>
      <c r="AB294" s="252" t="str">
        <f>IF(ISNUMBER(SEARCH("C", 'WetLitterbags placem_collection'!$V221)),"YES","NO")</f>
        <v>NO</v>
      </c>
      <c r="AC294" s="252" t="str">
        <f>IF(ISNUMBER(SEARCH("H", 'WetLitterbags placem_collection'!$V221)),"YES","NO")</f>
        <v>YES</v>
      </c>
      <c r="AD294" s="252" t="str">
        <f>IF(ISNUMBER(SEARCH("R", 'WetLitterbags placem_collection'!$V221)),"YES","NO")</f>
        <v>YES</v>
      </c>
    </row>
    <row r="295" spans="1:30" ht="15" thickBot="1">
      <c r="A295" s="467"/>
      <c r="B295" s="467" t="str">
        <f>'Final data_for_R_analysis_Wetse'!A221</f>
        <v>Wet</v>
      </c>
      <c r="C295" s="468">
        <f>'Final data_for_R_analysis_Wetse'!B221</f>
        <v>220</v>
      </c>
      <c r="D295" s="467" t="s">
        <v>2446</v>
      </c>
      <c r="E295" s="467" t="s">
        <v>22</v>
      </c>
      <c r="F295" s="469">
        <v>4</v>
      </c>
      <c r="G295" s="470">
        <f>'WetLitterbags placem_collection'!E222</f>
        <v>42769</v>
      </c>
      <c r="H295" s="467" t="str">
        <f>'Final data_for_R_analysis_Wetse'!K221</f>
        <v>G782</v>
      </c>
      <c r="I295" s="467" t="str">
        <f>'Final data_for_R_analysis_Wetse'!K441</f>
        <v>R250</v>
      </c>
      <c r="J295" s="467">
        <f>IFERROR(INDEX('Green_rooibos initial weight'!$C$5:$C$2000,MATCH(H295, 'Green_rooibos initial weight'!$A$5:$A$2000,0)),"")</f>
        <v>1.9510000000000001</v>
      </c>
      <c r="K295" s="467">
        <f>IFERROR(INDEX('Green_rooibos initial weight'!$C$5:$C$2000,MATCH(I295, 'Green_rooibos initial weight'!$A$5:$A$2000,0)),"")</f>
        <v>2.2639999999999998</v>
      </c>
      <c r="L295" s="471">
        <f t="shared" si="21"/>
        <v>1.7012</v>
      </c>
      <c r="M295" s="471">
        <f>IF(K295&gt;0,(K295*$F$32-($F$29+$F$30)),"")</f>
        <v>2.0141999999999998</v>
      </c>
      <c r="N295" s="470">
        <f>IF('WetLitterbags placem_collection'!G222="","",'WetLitterbags placem_collection'!G222)</f>
        <v>42813</v>
      </c>
      <c r="O295" s="471">
        <f>IFERROR(INDEX('Both teabags AfterWet'!$C$3:$C$2000,MATCH(H295,'Both teabags AfterWet'!$A$3:$A$2000,0)),"")</f>
        <v>0.6169</v>
      </c>
      <c r="P295" s="471">
        <f>IFERROR(INDEX('Both teabags AfterWet'!$C$3:$C$2000,MATCH(I295,'Both teabags AfterWet'!$A$3:$A$2000,0)),"")</f>
        <v>1.5303</v>
      </c>
      <c r="Q295" s="471">
        <f t="shared" si="22"/>
        <v>0.46629999999999999</v>
      </c>
      <c r="R295" s="471">
        <f t="shared" si="22"/>
        <v>1.3796999999999999</v>
      </c>
      <c r="S295" s="471">
        <f t="shared" si="23"/>
        <v>0.72589936515400888</v>
      </c>
      <c r="T295" s="471">
        <f t="shared" si="24"/>
        <v>0.47588651967341206</v>
      </c>
      <c r="U295" s="471">
        <f t="shared" si="25"/>
        <v>0.68498659517426275</v>
      </c>
      <c r="V295" s="467">
        <f>IFERROR(IF((N295-G295)&gt;0,(IFERROR(N295-G295,"")),""),"")</f>
        <v>44</v>
      </c>
      <c r="W295" s="471">
        <f t="shared" si="26"/>
        <v>0.13788673972207965</v>
      </c>
      <c r="X295" s="471">
        <f t="shared" si="27"/>
        <v>2.4649169864366868E-2</v>
      </c>
      <c r="Y295" s="252" t="str">
        <f>IF(ISNUMBER(SEARCH("C",'WetLitterbags placem_collection'!$X222)),"YES","NO")</f>
        <v>NO</v>
      </c>
      <c r="Z295" s="252" t="str">
        <f>IF(ISNUMBER(SEARCH("H", 'WetLitterbags placem_collection'!$X222)),"YES","NO")</f>
        <v>NO</v>
      </c>
      <c r="AA295" s="252" t="str">
        <f>IF(ISNUMBER(SEARCH("R", 'WetLitterbags placem_collection'!$X222)),"YES","NO")</f>
        <v>YES</v>
      </c>
      <c r="AB295" s="252" t="str">
        <f>IF(ISNUMBER(SEARCH("C", 'WetLitterbags placem_collection'!$V222)),"YES","NO")</f>
        <v>NO</v>
      </c>
      <c r="AC295" s="252" t="str">
        <f>IF(ISNUMBER(SEARCH("H", 'WetLitterbags placem_collection'!$V222)),"YES","NO")</f>
        <v>NO</v>
      </c>
      <c r="AD295" s="252" t="str">
        <f>IF(ISNUMBER(SEARCH("R", 'WetLitterbags placem_collection'!$V222)),"YES","NO")</f>
        <v>YES</v>
      </c>
    </row>
    <row r="296" spans="1:30">
      <c r="A296" s="92"/>
      <c r="B296" s="92" t="str">
        <f>'Final data_for_R_analysis_Wetse'!A442</f>
        <v>Wet</v>
      </c>
      <c r="C296" s="381">
        <f>'Final data_for_R_analysis_Wetse'!B442</f>
        <v>1</v>
      </c>
      <c r="D296" s="92" t="s">
        <v>3798</v>
      </c>
      <c r="E296" s="92" t="s">
        <v>25</v>
      </c>
      <c r="F296" s="381">
        <v>1</v>
      </c>
      <c r="G296" s="383">
        <f>'WetLitterbags placem_collection'!E3</f>
        <v>42766</v>
      </c>
      <c r="H296" s="92" t="str">
        <f>'Final data_for_R_analysis_Wetse'!K442</f>
        <v>G752</v>
      </c>
      <c r="I296" s="92" t="str">
        <f>'Final data_for_R_analysis_Wetse'!K662</f>
        <v>R133</v>
      </c>
      <c r="J296">
        <f>IFERROR(INDEX('Green_rooibos initial weight'!$C$5:$C$2000,MATCH(H296, 'Green_rooibos initial weight'!$A$5:$A$2000,0)),"")</f>
        <v>2.15</v>
      </c>
      <c r="K296">
        <f>IFERROR(INDEX('Green_rooibos initial weight'!$C$5:$C$2000,MATCH(I296, 'Green_rooibos initial weight'!$A$5:$A$2000,0)),"")</f>
        <v>2.1760000000000002</v>
      </c>
      <c r="L296" s="384">
        <f t="shared" si="21"/>
        <v>1.9001999999999999</v>
      </c>
      <c r="M296" s="384">
        <f>IF(K296&gt;0,(K296*$F$32-($F$29+$F$30)),"")</f>
        <v>1.9262000000000001</v>
      </c>
      <c r="N296" s="383">
        <f>IF('WetLitterbags placem_collection'!G3="","",'WetLitterbags placem_collection'!G3)</f>
        <v>42818</v>
      </c>
      <c r="O296" s="194">
        <f>IFERROR(INDEX('Both teabags AfterWet'!$C$3:$C$2000,MATCH(H296,'Both teabags AfterWet'!$A$3:$A$2000,0)),"")</f>
        <v>0.47</v>
      </c>
      <c r="P296" s="194">
        <f>IFERROR(INDEX('Both teabags AfterWet'!$C$3:$C$2000,MATCH(I296,'Both teabags AfterWet'!$A$3:$A$2000,0)),"")</f>
        <v>1.4104000000000001</v>
      </c>
      <c r="Q296" s="194">
        <f t="shared" si="22"/>
        <v>0.31939999999999996</v>
      </c>
      <c r="R296" s="194">
        <f t="shared" si="22"/>
        <v>1.2598</v>
      </c>
      <c r="S296" s="194">
        <f t="shared" si="23"/>
        <v>0.83191243027049788</v>
      </c>
      <c r="T296" s="194">
        <f t="shared" si="24"/>
        <v>0.54538677138873504</v>
      </c>
      <c r="U296" s="194">
        <f t="shared" si="25"/>
        <v>0.65403384902917661</v>
      </c>
      <c r="V296">
        <f>IFERROR(IF((N296-G296)&gt;0,(IFERROR(N296-G296,"")),""),"")</f>
        <v>52</v>
      </c>
      <c r="W296" s="194">
        <f t="shared" si="26"/>
        <v>1.1980486614610597E-2</v>
      </c>
      <c r="X296" s="194">
        <f t="shared" si="27"/>
        <v>1.9347672129428277E-2</v>
      </c>
      <c r="Y296" s="252" t="str">
        <f>IF(ISNUMBER(SEARCH("C",'WetLitterbags placem_collection'!$Y3)),"YES","NO")</f>
        <v>NO</v>
      </c>
      <c r="Z296" s="252" t="str">
        <f>IF(ISNUMBER(SEARCH("H", 'WetLitterbags placem_collection'!$Y3)),"YES","NO")</f>
        <v>NO</v>
      </c>
      <c r="AA296" s="252" t="str">
        <f>IF(ISNUMBER(SEARCH("R", 'WetLitterbags placem_collection'!$Y3)),"YES","NO")</f>
        <v>NO</v>
      </c>
      <c r="AB296" s="252" t="str">
        <f>IF(ISNUMBER(SEARCH("C", 'WetLitterbags placem_collection'!$W3)),"YES","NO")</f>
        <v>NO</v>
      </c>
      <c r="AC296" s="252" t="str">
        <f>IF(ISNUMBER(SEARCH("H", 'WetLitterbags placem_collection'!$W3)),"YES","NO")</f>
        <v>YES</v>
      </c>
      <c r="AD296" s="252" t="str">
        <f>IF(ISNUMBER(SEARCH("R", 'WetLitterbags placem_collection'!$W3)),"YES","NO")</f>
        <v>NO</v>
      </c>
    </row>
    <row r="297" spans="1:30">
      <c r="B297" t="str">
        <f>'Final data_for_R_analysis_Wetse'!A443</f>
        <v>Wet</v>
      </c>
      <c r="C297" s="381">
        <f>'Final data_for_R_analysis_Wetse'!B443</f>
        <v>2</v>
      </c>
      <c r="D297" t="s">
        <v>3798</v>
      </c>
      <c r="E297" t="s">
        <v>25</v>
      </c>
      <c r="F297" s="381">
        <v>2</v>
      </c>
      <c r="G297" s="383">
        <f>'WetLitterbags placem_collection'!E4</f>
        <v>42766</v>
      </c>
      <c r="H297" s="92" t="str">
        <f>'Final data_for_R_analysis_Wetse'!K443</f>
        <v>G737</v>
      </c>
      <c r="I297" s="92" t="str">
        <f>'Final data_for_R_analysis_Wetse'!K663</f>
        <v>R527</v>
      </c>
      <c r="J297">
        <f>IFERROR(INDEX('Green_rooibos initial weight'!$C$5:$C$2000,MATCH(H297, 'Green_rooibos initial weight'!$A$5:$A$2000,0)),"")</f>
        <v>1.841</v>
      </c>
      <c r="K297">
        <f>IFERROR(INDEX('Green_rooibos initial weight'!$C$5:$C$2000,MATCH(I297, 'Green_rooibos initial weight'!$A$5:$A$2000,0)),"")</f>
        <v>2.1859999999999999</v>
      </c>
      <c r="L297" s="194">
        <f t="shared" si="21"/>
        <v>1.5911999999999999</v>
      </c>
      <c r="M297" s="194">
        <f>IF(K297&gt;0,(K297*$F$32-($F$29+$F$30)),"")</f>
        <v>1.9361999999999999</v>
      </c>
      <c r="N297" s="16">
        <f>IF('WetLitterbags placem_collection'!G4="","",'WetLitterbags placem_collection'!G4)</f>
        <v>42818</v>
      </c>
      <c r="O297" s="194">
        <f>IFERROR(INDEX('Both teabags AfterWet'!$C$3:$C$2000,MATCH(H297,'Both teabags AfterWet'!$A$3:$A$2000,0)),"")</f>
        <v>0.57869999999999999</v>
      </c>
      <c r="P297" s="194">
        <f>IFERROR(INDEX('Both teabags AfterWet'!$C$3:$C$2000,MATCH(I297,'Both teabags AfterWet'!$A$3:$A$2000,0)),"")</f>
        <v>1.3275999999999999</v>
      </c>
      <c r="Q297" s="194">
        <f t="shared" si="22"/>
        <v>0.42809999999999998</v>
      </c>
      <c r="R297" s="194">
        <f t="shared" si="22"/>
        <v>1.1769999999999998</v>
      </c>
      <c r="S297" s="194">
        <f t="shared" si="23"/>
        <v>0.73095776772247367</v>
      </c>
      <c r="T297" s="194">
        <f t="shared" si="24"/>
        <v>0.4792027170817168</v>
      </c>
      <c r="U297" s="194">
        <f t="shared" si="25"/>
        <v>0.60789174672038004</v>
      </c>
      <c r="V297">
        <f>IFERROR(IF((N297-G297)&gt;0,(IFERROR(N297-G297,"")),""),"")</f>
        <v>52</v>
      </c>
      <c r="W297" s="194">
        <f t="shared" si="26"/>
        <v>0.13187913572152765</v>
      </c>
      <c r="X297" s="194">
        <f t="shared" si="27"/>
        <v>3.2790969161218611E-2</v>
      </c>
      <c r="Y297" s="252" t="str">
        <f>IF(ISNUMBER(SEARCH("C",'WetLitterbags placem_collection'!$Y4)),"YES","NO")</f>
        <v>NO</v>
      </c>
      <c r="Z297" s="252" t="str">
        <f>IF(ISNUMBER(SEARCH("H", 'WetLitterbags placem_collection'!$Y4)),"YES","NO")</f>
        <v>NO</v>
      </c>
      <c r="AA297" s="252" t="str">
        <f>IF(ISNUMBER(SEARCH("R", 'WetLitterbags placem_collection'!$Y4)),"YES","NO")</f>
        <v>NO</v>
      </c>
      <c r="AB297" s="252" t="str">
        <f>IF(ISNUMBER(SEARCH("C", 'WetLitterbags placem_collection'!$W4)),"YES","NO")</f>
        <v>NO</v>
      </c>
      <c r="AC297" s="252" t="str">
        <f>IF(ISNUMBER(SEARCH("H", 'WetLitterbags placem_collection'!$W4)),"YES","NO")</f>
        <v>NO</v>
      </c>
      <c r="AD297" s="252" t="str">
        <f>IF(ISNUMBER(SEARCH("R", 'WetLitterbags placem_collection'!$W4)),"YES","NO")</f>
        <v>NO</v>
      </c>
    </row>
    <row r="298" spans="1:30">
      <c r="B298" t="str">
        <f>'Final data_for_R_analysis_Wetse'!A444</f>
        <v>Wet</v>
      </c>
      <c r="C298" s="260">
        <f>'Final data_for_R_analysis_Wetse'!B444</f>
        <v>3</v>
      </c>
      <c r="D298" t="s">
        <v>3798</v>
      </c>
      <c r="E298" t="s">
        <v>25</v>
      </c>
      <c r="F298" s="381">
        <v>3</v>
      </c>
      <c r="G298" s="16">
        <f>'WetLitterbags placem_collection'!E5</f>
        <v>42766</v>
      </c>
      <c r="H298" s="92" t="str">
        <f>'Final data_for_R_analysis_Wetse'!K444</f>
        <v>G661</v>
      </c>
      <c r="I298" t="str">
        <f>'Final data_for_R_analysis_Wetse'!K664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21"/>
        <v>1.8132000000000001</v>
      </c>
      <c r="M298" s="194">
        <f>IF(K298&gt;0,(K298*$F$32-($F$29+$F$30)),"")</f>
        <v>1.9022000000000001</v>
      </c>
      <c r="N298" s="16">
        <f>IF('WetLitterbags placem_collection'!G5="","",'WetLitterbags placem_collection'!G5)</f>
        <v>42819</v>
      </c>
      <c r="O298" s="194" t="str">
        <f>IFERROR(INDEX('Both teabags AfterWet'!$C$3:$C$2000,MATCH(H298,'Both teabags AfterWet'!$A$3:$A$2000,0)),"")</f>
        <v/>
      </c>
      <c r="P298" s="194" t="str">
        <f>IFERROR(INDEX('Both teabags AfterWet'!$C$3:$C$2000,MATCH(I298,'Both teabags AfterWet'!$A$3:$A$2000,0)),"")</f>
        <v/>
      </c>
      <c r="Q298" s="194" t="str">
        <f t="shared" si="22"/>
        <v/>
      </c>
      <c r="R298" s="194" t="str">
        <f t="shared" si="22"/>
        <v/>
      </c>
      <c r="S298" s="194" t="str">
        <f t="shared" si="23"/>
        <v/>
      </c>
      <c r="T298" s="194" t="str">
        <f t="shared" si="24"/>
        <v/>
      </c>
      <c r="U298" s="194" t="str">
        <f t="shared" si="25"/>
        <v/>
      </c>
      <c r="V298">
        <f>IFERROR(IF((N298-G298)&gt;0,(IFERROR(N298-G298,"")),""),"")</f>
        <v>53</v>
      </c>
      <c r="W298" s="194" t="str">
        <f t="shared" si="26"/>
        <v/>
      </c>
      <c r="X298" s="194" t="str">
        <f t="shared" si="27"/>
        <v/>
      </c>
      <c r="Y298" s="252" t="str">
        <f>IF(ISNUMBER(SEARCH("C",'WetLitterbags placem_collection'!$Y5)),"YES","NO")</f>
        <v>NO</v>
      </c>
      <c r="Z298" s="252" t="str">
        <f>IF(ISNUMBER(SEARCH("H", 'WetLitterbags placem_collection'!$Y5)),"YES","NO")</f>
        <v>NO</v>
      </c>
      <c r="AA298" s="252" t="str">
        <f>IF(ISNUMBER(SEARCH("R", 'WetLitterbags placem_collection'!$Y5)),"YES","NO")</f>
        <v>NO</v>
      </c>
      <c r="AB298" s="252" t="str">
        <f>IF(ISNUMBER(SEARCH("C", 'WetLitterbags placem_collection'!$W5)),"YES","NO")</f>
        <v>NO</v>
      </c>
      <c r="AC298" s="252" t="str">
        <f>IF(ISNUMBER(SEARCH("H", 'WetLitterbags placem_collection'!$W5)),"YES","NO")</f>
        <v>NO</v>
      </c>
      <c r="AD298" s="252" t="str">
        <f>IF(ISNUMBER(SEARCH("R", 'WetLitterbags placem_collection'!$W5)),"YES","NO")</f>
        <v>NO</v>
      </c>
    </row>
    <row r="299" spans="1:30">
      <c r="B299" t="str">
        <f>'Final data_for_R_analysis_Wetse'!A445</f>
        <v>Wet</v>
      </c>
      <c r="C299" s="260">
        <f>'Final data_for_R_analysis_Wetse'!B445</f>
        <v>4</v>
      </c>
      <c r="D299" t="s">
        <v>3798</v>
      </c>
      <c r="E299" t="s">
        <v>25</v>
      </c>
      <c r="F299" s="382">
        <v>4</v>
      </c>
      <c r="G299" s="16">
        <f>'WetLitterbags placem_collection'!E6</f>
        <v>42766</v>
      </c>
      <c r="H299" s="92" t="str">
        <f>'Final data_for_R_analysis_Wetse'!K445</f>
        <v>G532</v>
      </c>
      <c r="I299" t="str">
        <f>'Final data_for_R_analysis_Wetse'!K665</f>
        <v>R508</v>
      </c>
      <c r="J299">
        <f>IFERROR(INDEX('Green_rooibos initial weight'!$C$5:$C$2000,MATCH(H299, 'Green_rooibos initial weight'!$A$5:$A$2000,0)),"")</f>
        <v>2.036</v>
      </c>
      <c r="K299">
        <f>IFERROR(INDEX('Green_rooibos initial weight'!$C$5:$C$2000,MATCH(I299, 'Green_rooibos initial weight'!$A$5:$A$2000,0)),"")</f>
        <v>2.169</v>
      </c>
      <c r="L299" s="194">
        <f t="shared" si="21"/>
        <v>1.7862</v>
      </c>
      <c r="M299" s="194">
        <f>IF(K299&gt;0,(K299*$F$32-($F$29+$F$30)),"")</f>
        <v>1.9192</v>
      </c>
      <c r="N299" s="16">
        <f>IF('WetLitterbags placem_collection'!G6="","",'WetLitterbags placem_collection'!G6)</f>
        <v>42818</v>
      </c>
      <c r="O299" s="194">
        <f>IFERROR(INDEX('Both teabags AfterWet'!$C$3:$C$2000,MATCH(H299,'Both teabags AfterWet'!$A$3:$A$2000,0)),"")</f>
        <v>0.55969999999999998</v>
      </c>
      <c r="P299" s="194">
        <f>IFERROR(INDEX('Both teabags AfterWet'!$C$3:$C$2000,MATCH(I299,'Both teabags AfterWet'!$A$3:$A$2000,0)),"")</f>
        <v>1.3392999999999999</v>
      </c>
      <c r="Q299" s="194">
        <f t="shared" si="22"/>
        <v>0.40909999999999996</v>
      </c>
      <c r="R299" s="194">
        <f t="shared" si="22"/>
        <v>1.1886999999999999</v>
      </c>
      <c r="S299" s="194">
        <f t="shared" si="23"/>
        <v>0.77096629716717058</v>
      </c>
      <c r="T299" s="194">
        <f t="shared" si="24"/>
        <v>0.50543158674142308</v>
      </c>
      <c r="U299" s="194">
        <f t="shared" si="25"/>
        <v>0.61937265527303031</v>
      </c>
      <c r="V299">
        <f>IFERROR(IF((N299-G299)&gt;0,(IFERROR(N299-G299,"")),""),"")</f>
        <v>52</v>
      </c>
      <c r="W299" s="194">
        <f t="shared" si="26"/>
        <v>8.4363067497422062E-2</v>
      </c>
      <c r="X299" s="194">
        <f t="shared" si="27"/>
        <v>2.6897427800809795E-2</v>
      </c>
      <c r="Y299" s="252" t="str">
        <f>IF(ISNUMBER(SEARCH("C",'WetLitterbags placem_collection'!$Y6)),"YES","NO")</f>
        <v>NO</v>
      </c>
      <c r="Z299" s="252" t="str">
        <f>IF(ISNUMBER(SEARCH("H", 'WetLitterbags placem_collection'!$Y6)),"YES","NO")</f>
        <v>NO</v>
      </c>
      <c r="AA299" s="252" t="str">
        <f>IF(ISNUMBER(SEARCH("R", 'WetLitterbags placem_collection'!$Y6)),"YES","NO")</f>
        <v>NO</v>
      </c>
      <c r="AB299" s="252" t="str">
        <f>IF(ISNUMBER(SEARCH("C", 'WetLitterbags placem_collection'!$W6)),"YES","NO")</f>
        <v>NO</v>
      </c>
      <c r="AC299" s="252" t="str">
        <f>IF(ISNUMBER(SEARCH("H", 'WetLitterbags placem_collection'!$W6)),"YES","NO")</f>
        <v>NO</v>
      </c>
      <c r="AD299" s="252" t="str">
        <f>IF(ISNUMBER(SEARCH("R", 'WetLitterbags placem_collection'!$W6)),"YES","NO")</f>
        <v>YES</v>
      </c>
    </row>
    <row r="300" spans="1:30">
      <c r="B300" t="str">
        <f>'Final data_for_R_analysis_Wetse'!A446</f>
        <v>Wet</v>
      </c>
      <c r="C300" s="260">
        <f>'Final data_for_R_analysis_Wetse'!B446</f>
        <v>5</v>
      </c>
      <c r="D300" t="s">
        <v>3798</v>
      </c>
      <c r="E300" t="s">
        <v>25</v>
      </c>
      <c r="F300" s="382">
        <v>5</v>
      </c>
      <c r="G300" s="16">
        <f>'WetLitterbags placem_collection'!E7</f>
        <v>42766</v>
      </c>
      <c r="H300" s="92" t="str">
        <f>'Final data_for_R_analysis_Wetse'!K446</f>
        <v>G577</v>
      </c>
      <c r="I300" t="str">
        <f>'Final data_for_R_analysis_Wetse'!K666</f>
        <v>R38</v>
      </c>
      <c r="J300">
        <f>IFERROR(INDEX('Green_rooibos initial weight'!$C$5:$C$2000,MATCH(H300, 'Green_rooibos initial weight'!$A$5:$A$2000,0)),"")</f>
        <v>1.9830000000000001</v>
      </c>
      <c r="K300">
        <f>IFERROR(INDEX('Green_rooibos initial weight'!$C$5:$C$2000,MATCH(I300, 'Green_rooibos initial weight'!$A$5:$A$2000,0)),"")</f>
        <v>2.12</v>
      </c>
      <c r="L300" s="194">
        <f t="shared" si="21"/>
        <v>1.7332000000000001</v>
      </c>
      <c r="M300" s="194">
        <f>IF(K300&gt;0,(K300*$F$32-($F$29+$F$30)),"")</f>
        <v>1.8702000000000001</v>
      </c>
      <c r="N300" s="16">
        <f>IF('WetLitterbags placem_collection'!G7="","",'WetLitterbags placem_collection'!G7)</f>
        <v>42818</v>
      </c>
      <c r="O300" s="194">
        <f>IFERROR(INDEX('Both teabags AfterWet'!$C$3:$C$2000,MATCH(H300,'Both teabags AfterWet'!$A$3:$A$2000,0)),"")</f>
        <v>0.41870000000000002</v>
      </c>
      <c r="P300" s="194">
        <f>IFERROR(INDEX('Both teabags AfterWet'!$C$3:$C$2000,MATCH(I300,'Both teabags AfterWet'!$A$3:$A$2000,0)),"")</f>
        <v>1.2627999999999999</v>
      </c>
      <c r="Q300" s="194">
        <f t="shared" si="22"/>
        <v>0.2681</v>
      </c>
      <c r="R300" s="194">
        <f t="shared" si="22"/>
        <v>1.1121999999999999</v>
      </c>
      <c r="S300" s="194">
        <f t="shared" si="23"/>
        <v>0.84531502423263327</v>
      </c>
      <c r="T300" s="194">
        <f t="shared" si="24"/>
        <v>0.55417327004324657</v>
      </c>
      <c r="U300" s="194">
        <f t="shared" si="25"/>
        <v>0.59469575446476297</v>
      </c>
      <c r="V300">
        <f>IFERROR(IF((N300-G300)&gt;0,(IFERROR(N300-G300,"")),""),"")</f>
        <v>52</v>
      </c>
      <c r="W300" s="194">
        <f t="shared" si="26"/>
        <v>-3.9370834116785325E-3</v>
      </c>
      <c r="X300" s="194">
        <f t="shared" si="27"/>
        <v>2.5277125200655833E-2</v>
      </c>
      <c r="Y300" s="252" t="str">
        <f>IF(ISNUMBER(SEARCH("C",'WetLitterbags placem_collection'!$Y7)),"YES","NO")</f>
        <v>NO</v>
      </c>
      <c r="Z300" s="252" t="str">
        <f>IF(ISNUMBER(SEARCH("H", 'WetLitterbags placem_collection'!$Y7)),"YES","NO")</f>
        <v>NO</v>
      </c>
      <c r="AA300" s="252" t="str">
        <f>IF(ISNUMBER(SEARCH("R", 'WetLitterbags placem_collection'!$Y7)),"YES","NO")</f>
        <v>NO</v>
      </c>
      <c r="AB300" s="252" t="str">
        <f>IF(ISNUMBER(SEARCH("C", 'WetLitterbags placem_collection'!$W7)),"YES","NO")</f>
        <v>NO</v>
      </c>
      <c r="AC300" s="252" t="str">
        <f>IF(ISNUMBER(SEARCH("H", 'WetLitterbags placem_collection'!$W7)),"YES","NO")</f>
        <v>NO</v>
      </c>
      <c r="AD300" s="252" t="str">
        <f>IF(ISNUMBER(SEARCH("R", 'WetLitterbags placem_collection'!$W7)),"YES","NO")</f>
        <v>NO</v>
      </c>
    </row>
    <row r="301" spans="1:30">
      <c r="B301" t="str">
        <f>'Final data_for_R_analysis_Wetse'!A447</f>
        <v>Wet</v>
      </c>
      <c r="C301" s="260">
        <f>'Final data_for_R_analysis_Wetse'!B447</f>
        <v>6</v>
      </c>
      <c r="D301" t="s">
        <v>3798</v>
      </c>
      <c r="E301" t="s">
        <v>25</v>
      </c>
      <c r="F301" s="382">
        <v>6</v>
      </c>
      <c r="G301" s="16">
        <f>'WetLitterbags placem_collection'!E8</f>
        <v>42766</v>
      </c>
      <c r="H301" s="92" t="str">
        <f>'Final data_for_R_analysis_Wetse'!K447</f>
        <v>G634</v>
      </c>
      <c r="I301" t="str">
        <f>'Final data_for_R_analysis_Wetse'!K667</f>
        <v>R59</v>
      </c>
      <c r="J301">
        <f>IFERROR(INDEX('Green_rooibos initial weight'!$C$5:$C$2000,MATCH(H301, 'Green_rooibos initial weight'!$A$5:$A$2000,0)),"")</f>
        <v>2.02</v>
      </c>
      <c r="K301">
        <f>IFERROR(INDEX('Green_rooibos initial weight'!$C$5:$C$2000,MATCH(I301, 'Green_rooibos initial weight'!$A$5:$A$2000,0)),"")</f>
        <v>2.2029999999999998</v>
      </c>
      <c r="L301" s="194">
        <f t="shared" si="21"/>
        <v>1.7702</v>
      </c>
      <c r="M301" s="194">
        <f>IF(K301&gt;0,(K301*$F$32-($F$29+$F$30)),"")</f>
        <v>1.9531999999999998</v>
      </c>
      <c r="N301" s="16">
        <f>IF('WetLitterbags placem_collection'!G8="","",'WetLitterbags placem_collection'!G8)</f>
        <v>42818</v>
      </c>
      <c r="O301" s="194">
        <f>IFERROR(INDEX('Both teabags AfterWet'!$C$3:$C$2000,MATCH(H301,'Both teabags AfterWet'!$A$3:$A$2000,0)),"")</f>
        <v>0.60129999999999995</v>
      </c>
      <c r="P301" s="194">
        <f>IFERROR(INDEX('Both teabags AfterWet'!$C$3:$C$2000,MATCH(I301,'Both teabags AfterWet'!$A$3:$A$2000,0)),"")</f>
        <v>1.4990000000000001</v>
      </c>
      <c r="Q301" s="194">
        <f t="shared" si="22"/>
        <v>0.45069999999999993</v>
      </c>
      <c r="R301" s="194">
        <f t="shared" si="22"/>
        <v>1.3484</v>
      </c>
      <c r="S301" s="194">
        <f t="shared" si="23"/>
        <v>0.74539600045192644</v>
      </c>
      <c r="T301" s="194">
        <f t="shared" si="24"/>
        <v>0.48866816181646494</v>
      </c>
      <c r="U301" s="194">
        <f t="shared" si="25"/>
        <v>0.69035429039524887</v>
      </c>
      <c r="V301">
        <f>IFERROR(IF((N301-G301)&gt;0,(IFERROR(N301-G301,"")),""),"")</f>
        <v>52</v>
      </c>
      <c r="W301" s="194">
        <f t="shared" si="26"/>
        <v>0.11473159091220131</v>
      </c>
      <c r="X301" s="194">
        <f t="shared" si="27"/>
        <v>1.9311008155774044E-2</v>
      </c>
      <c r="Y301" s="252" t="str">
        <f>IF(ISNUMBER(SEARCH("C",'WetLitterbags placem_collection'!$Y8)),"YES","NO")</f>
        <v>NO</v>
      </c>
      <c r="Z301" s="252" t="str">
        <f>IF(ISNUMBER(SEARCH("H", 'WetLitterbags placem_collection'!$Y8)),"YES","NO")</f>
        <v>NO</v>
      </c>
      <c r="AA301" s="252" t="str">
        <f>IF(ISNUMBER(SEARCH("R", 'WetLitterbags placem_collection'!$Y8)),"YES","NO")</f>
        <v>YES</v>
      </c>
      <c r="AB301" s="252" t="str">
        <f>IF(ISNUMBER(SEARCH("C", 'WetLitterbags placem_collection'!$W8)),"YES","NO")</f>
        <v>NO</v>
      </c>
      <c r="AC301" s="252" t="str">
        <f>IF(ISNUMBER(SEARCH("H", 'WetLitterbags placem_collection'!$W8)),"YES","NO")</f>
        <v>NO</v>
      </c>
      <c r="AD301" s="252" t="str">
        <f>IF(ISNUMBER(SEARCH("R", 'WetLitterbags placem_collection'!$W8)),"YES","NO")</f>
        <v>YES</v>
      </c>
    </row>
    <row r="302" spans="1:30">
      <c r="B302" t="str">
        <f>'Final data_for_R_analysis_Wetse'!A448</f>
        <v>Wet</v>
      </c>
      <c r="C302" s="260">
        <f>'Final data_for_R_analysis_Wetse'!B448</f>
        <v>7</v>
      </c>
      <c r="D302" t="s">
        <v>3798</v>
      </c>
      <c r="E302" t="s">
        <v>25</v>
      </c>
      <c r="F302" s="382">
        <v>7</v>
      </c>
      <c r="G302" s="16">
        <f>'WetLitterbags placem_collection'!E9</f>
        <v>42766</v>
      </c>
      <c r="H302" s="92" t="str">
        <f>'Final data_for_R_analysis_Wetse'!K448</f>
        <v>G665</v>
      </c>
      <c r="I302" t="str">
        <f>'Final data_for_R_analysis_Wetse'!K668</f>
        <v>R398</v>
      </c>
      <c r="J302">
        <f>IFERROR(INDEX('Green_rooibos initial weight'!$C$5:$C$2000,MATCH(H302, 'Green_rooibos initial weight'!$A$5:$A$2000,0)),"")</f>
        <v>2.09</v>
      </c>
      <c r="K302">
        <f>IFERROR(INDEX('Green_rooibos initial weight'!$C$5:$C$2000,MATCH(I302, 'Green_rooibos initial weight'!$A$5:$A$2000,0)),"")</f>
        <v>2.19</v>
      </c>
      <c r="L302" s="194">
        <f t="shared" si="21"/>
        <v>1.8401999999999998</v>
      </c>
      <c r="M302" s="194">
        <f>IF(K302&gt;0,(K302*$F$32-($F$29+$F$30)),"")</f>
        <v>1.9401999999999999</v>
      </c>
      <c r="N302" s="16">
        <f>IF('WetLitterbags placem_collection'!G9="","",'WetLitterbags placem_collection'!G9)</f>
        <v>42818</v>
      </c>
      <c r="O302" s="194">
        <f>IFERROR(INDEX('Both teabags AfterWet'!$C$3:$C$2000,MATCH(H302,'Both teabags AfterWet'!$A$3:$A$2000,0)),"")</f>
        <v>0.56399999999999995</v>
      </c>
      <c r="P302" s="194">
        <f>IFERROR(INDEX('Both teabags AfterWet'!$C$3:$C$2000,MATCH(I302,'Both teabags AfterWet'!$A$3:$A$2000,0)),"")</f>
        <v>1.518</v>
      </c>
      <c r="Q302" s="194">
        <f t="shared" si="22"/>
        <v>0.41339999999999993</v>
      </c>
      <c r="R302" s="194">
        <f t="shared" si="22"/>
        <v>1.3673999999999999</v>
      </c>
      <c r="S302" s="194">
        <f t="shared" si="23"/>
        <v>0.77535050537985006</v>
      </c>
      <c r="T302" s="194">
        <f t="shared" si="24"/>
        <v>0.50830579450080438</v>
      </c>
      <c r="U302" s="194">
        <f t="shared" si="25"/>
        <v>0.70477270384496449</v>
      </c>
      <c r="V302">
        <f>IFERROR(IF((N302-G302)&gt;0,(IFERROR(N302-G302,"")),""),"")</f>
        <v>52</v>
      </c>
      <c r="W302" s="194">
        <f t="shared" si="26"/>
        <v>7.9156169382600838E-2</v>
      </c>
      <c r="X302" s="194">
        <f t="shared" si="27"/>
        <v>1.6719665182738073E-2</v>
      </c>
      <c r="Y302" s="252" t="str">
        <f>IF(ISNUMBER(SEARCH("C",'WetLitterbags placem_collection'!$Y9)),"YES","NO")</f>
        <v>NO</v>
      </c>
      <c r="Z302" s="252" t="str">
        <f>IF(ISNUMBER(SEARCH("H", 'WetLitterbags placem_collection'!$Y9)),"YES","NO")</f>
        <v>NO</v>
      </c>
      <c r="AA302" s="252" t="str">
        <f>IF(ISNUMBER(SEARCH("R", 'WetLitterbags placem_collection'!$Y9)),"YES","NO")</f>
        <v>YES</v>
      </c>
      <c r="AB302" s="252" t="str">
        <f>IF(ISNUMBER(SEARCH("C", 'WetLitterbags placem_collection'!$W9)),"YES","NO")</f>
        <v>NO</v>
      </c>
      <c r="AC302" s="252" t="str">
        <f>IF(ISNUMBER(SEARCH("H", 'WetLitterbags placem_collection'!$W9)),"YES","NO")</f>
        <v>NO</v>
      </c>
      <c r="AD302" s="252" t="str">
        <f>IF(ISNUMBER(SEARCH("R", 'WetLitterbags placem_collection'!$W9)),"YES","NO")</f>
        <v>NO</v>
      </c>
    </row>
    <row r="303" spans="1:30">
      <c r="B303" t="str">
        <f>'Final data_for_R_analysis_Wetse'!A449</f>
        <v>Wet</v>
      </c>
      <c r="C303" s="260">
        <f>'Final data_for_R_analysis_Wetse'!B449</f>
        <v>8</v>
      </c>
      <c r="D303" t="s">
        <v>3798</v>
      </c>
      <c r="E303" t="s">
        <v>25</v>
      </c>
      <c r="F303" s="382">
        <v>8</v>
      </c>
      <c r="G303" s="16">
        <f>'WetLitterbags placem_collection'!E10</f>
        <v>42766</v>
      </c>
      <c r="H303" s="92" t="str">
        <f>'Final data_for_R_analysis_Wetse'!K449</f>
        <v>G701</v>
      </c>
      <c r="I303" t="str">
        <f>'Final data_for_R_analysis_Wetse'!K669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21"/>
        <v>1.6661999999999999</v>
      </c>
      <c r="M303" s="194">
        <f>IF(K303&gt;0,(K303*$F$32-($F$29+$F$30)),"")</f>
        <v>1.9011999999999998</v>
      </c>
      <c r="N303" s="16">
        <f>IF('WetLitterbags placem_collection'!G10="","",'WetLitterbags placem_collection'!G10)</f>
        <v>42818</v>
      </c>
      <c r="O303" s="194">
        <f>IFERROR(INDEX('Both teabags AfterWet'!$C$3:$C$2000,MATCH(H303,'Both teabags AfterWet'!$A$3:$A$2000,0)),"")</f>
        <v>0.59260000000000002</v>
      </c>
      <c r="P303" s="194">
        <f>IFERROR(INDEX('Both teabags AfterWet'!$C$3:$C$2000,MATCH(I303,'Both teabags AfterWet'!$A$3:$A$2000,0)),"")</f>
        <v>1.4733000000000001</v>
      </c>
      <c r="Q303" s="194">
        <f t="shared" si="22"/>
        <v>0.442</v>
      </c>
      <c r="R303" s="194">
        <f t="shared" si="22"/>
        <v>1.3227</v>
      </c>
      <c r="S303" s="194">
        <f t="shared" si="23"/>
        <v>0.73472572320249663</v>
      </c>
      <c r="T303" s="194">
        <f t="shared" si="24"/>
        <v>0.48167292067432088</v>
      </c>
      <c r="U303" s="194">
        <f t="shared" si="25"/>
        <v>0.69571849358300031</v>
      </c>
      <c r="V303">
        <f>IFERROR(IF((N303-G303)&gt;0,(IFERROR(N303-G303,"")),""),"")</f>
        <v>52</v>
      </c>
      <c r="W303" s="194">
        <f t="shared" si="26"/>
        <v>0.12740412921318689</v>
      </c>
      <c r="X303" s="194">
        <f t="shared" si="27"/>
        <v>1.9209742785314624E-2</v>
      </c>
      <c r="Y303" s="252" t="str">
        <f>IF(ISNUMBER(SEARCH("C",'WetLitterbags placem_collection'!$Y10)),"YES","NO")</f>
        <v>NO</v>
      </c>
      <c r="Z303" s="252" t="str">
        <f>IF(ISNUMBER(SEARCH("H", 'WetLitterbags placem_collection'!$Y10)),"YES","NO")</f>
        <v>NO</v>
      </c>
      <c r="AA303" s="252" t="str">
        <f>IF(ISNUMBER(SEARCH("R", 'WetLitterbags placem_collection'!$Y10)),"YES","NO")</f>
        <v>NO</v>
      </c>
      <c r="AB303" s="252" t="str">
        <f>IF(ISNUMBER(SEARCH("C", 'WetLitterbags placem_collection'!$W10)),"YES","NO")</f>
        <v>NO</v>
      </c>
      <c r="AC303" s="252" t="str">
        <f>IF(ISNUMBER(SEARCH("H", 'WetLitterbags placem_collection'!$W10)),"YES","NO")</f>
        <v>NO</v>
      </c>
      <c r="AD303" s="252" t="str">
        <f>IF(ISNUMBER(SEARCH("R", 'WetLitterbags placem_collection'!$W10)),"YES","NO")</f>
        <v>YES</v>
      </c>
    </row>
    <row r="304" spans="1:30">
      <c r="B304" t="str">
        <f>'Final data_for_R_analysis_Wetse'!A450</f>
        <v>Wet</v>
      </c>
      <c r="C304" s="260">
        <f>'Final data_for_R_analysis_Wetse'!B450</f>
        <v>9</v>
      </c>
      <c r="D304" t="s">
        <v>3802</v>
      </c>
      <c r="E304" t="s">
        <v>25</v>
      </c>
      <c r="F304" s="381">
        <v>1</v>
      </c>
      <c r="G304" s="16">
        <f>'WetLitterbags placem_collection'!E11</f>
        <v>42766</v>
      </c>
      <c r="H304" s="92" t="str">
        <f>'Final data_for_R_analysis_Wetse'!K450</f>
        <v>G476</v>
      </c>
      <c r="I304" t="str">
        <f>'Final data_for_R_analysis_Wetse'!K670</f>
        <v>R101</v>
      </c>
      <c r="J304">
        <f>IFERROR(INDEX('Green_rooibos initial weight'!$C$5:$C$2000,MATCH(H304, 'Green_rooibos initial weight'!$A$5:$A$2000,0)),"")</f>
        <v>2.121</v>
      </c>
      <c r="K304">
        <f>IFERROR(INDEX('Green_rooibos initial weight'!$C$5:$C$2000,MATCH(I304, 'Green_rooibos initial weight'!$A$5:$A$2000,0)),"")</f>
        <v>2.3039999999999998</v>
      </c>
      <c r="L304" s="194">
        <f t="shared" si="21"/>
        <v>1.8712</v>
      </c>
      <c r="M304" s="194">
        <f>IF(K304&gt;0,(K304*$F$32-($F$29+$F$30)),"")</f>
        <v>2.0541999999999998</v>
      </c>
      <c r="N304" s="16">
        <f>IF('WetLitterbags placem_collection'!G11="","",'WetLitterbags placem_collection'!G11)</f>
        <v>42818</v>
      </c>
      <c r="O304" s="194">
        <f>IFERROR(INDEX('Both teabags AfterWet'!$C$3:$C$2000,MATCH(H304,'Both teabags AfterWet'!$A$3:$A$2000,0)),"")</f>
        <v>0.66479999999999995</v>
      </c>
      <c r="P304" s="194">
        <f>IFERROR(INDEX('Both teabags AfterWet'!$C$3:$C$2000,MATCH(I304,'Both teabags AfterWet'!$A$3:$A$2000,0)),"")</f>
        <v>1.5383</v>
      </c>
      <c r="Q304" s="194">
        <f t="shared" si="22"/>
        <v>0.51419999999999999</v>
      </c>
      <c r="R304" s="194">
        <f t="shared" si="22"/>
        <v>1.3876999999999999</v>
      </c>
      <c r="S304" s="194">
        <f t="shared" si="23"/>
        <v>0.72520307823856345</v>
      </c>
      <c r="T304" s="194">
        <f t="shared" si="24"/>
        <v>0.47543004654119603</v>
      </c>
      <c r="U304" s="194">
        <f t="shared" si="25"/>
        <v>0.67554279038068354</v>
      </c>
      <c r="V304">
        <f>IFERROR(IF((N304-G304)&gt;0,(IFERROR(N304-G304,"")),""),"")</f>
        <v>52</v>
      </c>
      <c r="W304" s="194">
        <f t="shared" si="26"/>
        <v>0.13871368380218119</v>
      </c>
      <c r="X304" s="194">
        <f t="shared" si="27"/>
        <v>2.2059996593908244E-2</v>
      </c>
      <c r="Y304" s="252" t="str">
        <f>IF(ISNUMBER(SEARCH("C",'WetLitterbags placem_collection'!$Y11)),"YES","NO")</f>
        <v>NO</v>
      </c>
      <c r="Z304" s="252" t="str">
        <f>IF(ISNUMBER(SEARCH("H", 'WetLitterbags placem_collection'!$Y11)),"YES","NO")</f>
        <v>NO</v>
      </c>
      <c r="AA304" s="252" t="str">
        <f>IF(ISNUMBER(SEARCH("R", 'WetLitterbags placem_collection'!$Y11)),"YES","NO")</f>
        <v>NO</v>
      </c>
      <c r="AB304" s="252" t="str">
        <f>IF(ISNUMBER(SEARCH("C", 'WetLitterbags placem_collection'!$W11)),"YES","NO")</f>
        <v>YES</v>
      </c>
      <c r="AC304" s="252" t="str">
        <f>IF(ISNUMBER(SEARCH("H", 'WetLitterbags placem_collection'!$W11)),"YES","NO")</f>
        <v>YES</v>
      </c>
      <c r="AD304" s="252" t="str">
        <f>IF(ISNUMBER(SEARCH("R", 'WetLitterbags placem_collection'!$W11)),"YES","NO")</f>
        <v>NO</v>
      </c>
    </row>
    <row r="305" spans="2:30">
      <c r="B305" t="str">
        <f>'Final data_for_R_analysis_Wetse'!A451</f>
        <v>Wet</v>
      </c>
      <c r="C305" s="260">
        <f>'Final data_for_R_analysis_Wetse'!B451</f>
        <v>10</v>
      </c>
      <c r="D305" t="s">
        <v>3802</v>
      </c>
      <c r="E305" t="s">
        <v>25</v>
      </c>
      <c r="F305" s="381">
        <v>2</v>
      </c>
      <c r="G305" s="16">
        <f>'WetLitterbags placem_collection'!E12</f>
        <v>42766</v>
      </c>
      <c r="H305" s="92" t="str">
        <f>'Final data_for_R_analysis_Wetse'!K451</f>
        <v>G606</v>
      </c>
      <c r="I305" t="str">
        <f>'Final data_for_R_analysis_Wetse'!K671</f>
        <v>R515</v>
      </c>
      <c r="J305">
        <f>IFERROR(INDEX('Green_rooibos initial weight'!$C$5:$C$2000,MATCH(H305, 'Green_rooibos initial weight'!$A$5:$A$2000,0)),"")</f>
        <v>1.921</v>
      </c>
      <c r="K305">
        <f>IFERROR(INDEX('Green_rooibos initial weight'!$C$5:$C$2000,MATCH(I305, 'Green_rooibos initial weight'!$A$5:$A$2000,0)),"")</f>
        <v>2.2050000000000001</v>
      </c>
      <c r="L305" s="194">
        <f t="shared" si="21"/>
        <v>1.6712</v>
      </c>
      <c r="M305" s="194">
        <f>IF(K305&gt;0,(K305*$F$32-($F$29+$F$30)),"")</f>
        <v>1.9552</v>
      </c>
      <c r="N305" s="16">
        <f>IF('WetLitterbags placem_collection'!G12="","",'WetLitterbags placem_collection'!G12)</f>
        <v>42818</v>
      </c>
      <c r="O305" s="194">
        <f>IFERROR(INDEX('Both teabags AfterWet'!$C$3:$C$2000,MATCH(H305,'Both teabags AfterWet'!$A$3:$A$2000,0)),"")</f>
        <v>0.63539999999999996</v>
      </c>
      <c r="P305" s="194">
        <f>IFERROR(INDEX('Both teabags AfterWet'!$C$3:$C$2000,MATCH(I305,'Both teabags AfterWet'!$A$3:$A$2000,0)),"")</f>
        <v>1.3853</v>
      </c>
      <c r="Q305" s="194">
        <f t="shared" si="22"/>
        <v>0.48479999999999995</v>
      </c>
      <c r="R305" s="194">
        <f t="shared" si="22"/>
        <v>1.2346999999999999</v>
      </c>
      <c r="S305" s="194">
        <f t="shared" si="23"/>
        <v>0.70990904739109628</v>
      </c>
      <c r="T305" s="194">
        <f t="shared" si="24"/>
        <v>0.46540355600936484</v>
      </c>
      <c r="U305" s="194">
        <f t="shared" si="25"/>
        <v>0.63149549918166936</v>
      </c>
      <c r="V305">
        <f>IFERROR(IF((N305-G305)&gt;0,(IFERROR(N305-G305,"")),""),"")</f>
        <v>52</v>
      </c>
      <c r="W305" s="194">
        <f t="shared" si="26"/>
        <v>0.15687761592506377</v>
      </c>
      <c r="X305" s="194">
        <f t="shared" si="27"/>
        <v>3.0177598521146373E-2</v>
      </c>
      <c r="Y305" s="252" t="str">
        <f>IF(ISNUMBER(SEARCH("C",'WetLitterbags placem_collection'!$Y12)),"YES","NO")</f>
        <v>NO</v>
      </c>
      <c r="Z305" s="252" t="str">
        <f>IF(ISNUMBER(SEARCH("H", 'WetLitterbags placem_collection'!$Y12)),"YES","NO")</f>
        <v>NO</v>
      </c>
      <c r="AA305" s="252" t="str">
        <f>IF(ISNUMBER(SEARCH("R", 'WetLitterbags placem_collection'!$Y12)),"YES","NO")</f>
        <v>NO</v>
      </c>
      <c r="AB305" s="252" t="str">
        <f>IF(ISNUMBER(SEARCH("C", 'WetLitterbags placem_collection'!$W12)),"YES","NO")</f>
        <v>NO</v>
      </c>
      <c r="AC305" s="252" t="str">
        <f>IF(ISNUMBER(SEARCH("H", 'WetLitterbags placem_collection'!$W12)),"YES","NO")</f>
        <v>NO</v>
      </c>
      <c r="AD305" s="252" t="str">
        <f>IF(ISNUMBER(SEARCH("R", 'WetLitterbags placem_collection'!$W12)),"YES","NO")</f>
        <v>NO</v>
      </c>
    </row>
    <row r="306" spans="2:30">
      <c r="B306" t="str">
        <f>'Final data_for_R_analysis_Wetse'!A452</f>
        <v>Wet</v>
      </c>
      <c r="C306" s="260">
        <f>'Final data_for_R_analysis_Wetse'!B452</f>
        <v>11</v>
      </c>
      <c r="D306" t="s">
        <v>3802</v>
      </c>
      <c r="E306" t="s">
        <v>25</v>
      </c>
      <c r="F306" s="381">
        <v>3</v>
      </c>
      <c r="G306" s="16">
        <f>'WetLitterbags placem_collection'!E13</f>
        <v>42766</v>
      </c>
      <c r="H306" s="92" t="str">
        <f>'Final data_for_R_analysis_Wetse'!K452</f>
        <v>G523</v>
      </c>
      <c r="I306" t="str">
        <f>'Final data_for_R_analysis_Wetse'!K672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21"/>
        <v>1.8921999999999999</v>
      </c>
      <c r="M306" s="194">
        <f>IF(K306&gt;0,(K306*$F$32-($F$29+$F$30)),"")</f>
        <v>2.0181999999999998</v>
      </c>
      <c r="N306" s="16">
        <f>IF('WetLitterbags placem_collection'!G13="","",'WetLitterbags placem_collection'!G13)</f>
        <v>42818</v>
      </c>
      <c r="O306" s="194">
        <f>IFERROR(INDEX('Both teabags AfterWet'!$C$3:$C$2000,MATCH(H306,'Both teabags AfterWet'!$A$3:$A$2000,0)),"")</f>
        <v>0.63119999999999998</v>
      </c>
      <c r="P306" s="194">
        <f>IFERROR(INDEX('Both teabags AfterWet'!$C$3:$C$2000,MATCH(I306,'Both teabags AfterWet'!$A$3:$A$2000,0)),"")</f>
        <v>1.43</v>
      </c>
      <c r="Q306" s="194">
        <f t="shared" si="22"/>
        <v>0.48059999999999997</v>
      </c>
      <c r="R306" s="194">
        <f t="shared" si="22"/>
        <v>1.2793999999999999</v>
      </c>
      <c r="S306" s="194">
        <f t="shared" si="23"/>
        <v>0.74600993552478601</v>
      </c>
      <c r="T306" s="194">
        <f t="shared" si="24"/>
        <v>0.48907064656731819</v>
      </c>
      <c r="U306" s="194">
        <f t="shared" si="25"/>
        <v>0.63393122584481221</v>
      </c>
      <c r="V306">
        <f>IFERROR(IF((N306-G306)&gt;0,(IFERROR(N306-G306,"")),""),"")</f>
        <v>52</v>
      </c>
      <c r="W306" s="194">
        <f t="shared" si="26"/>
        <v>0.11400245187080049</v>
      </c>
      <c r="X306" s="194">
        <f t="shared" si="27"/>
        <v>2.6544372546697632E-2</v>
      </c>
      <c r="Y306" s="252" t="str">
        <f>IF(ISNUMBER(SEARCH("C",'WetLitterbags placem_collection'!$Y13)),"YES","NO")</f>
        <v>NO</v>
      </c>
      <c r="Z306" s="252" t="str">
        <f>IF(ISNUMBER(SEARCH("H", 'WetLitterbags placem_collection'!$Y13)),"YES","NO")</f>
        <v>NO</v>
      </c>
      <c r="AA306" s="252" t="str">
        <f>IF(ISNUMBER(SEARCH("R", 'WetLitterbags placem_collection'!$Y13)),"YES","NO")</f>
        <v>NO</v>
      </c>
      <c r="AB306" s="252" t="str">
        <f>IF(ISNUMBER(SEARCH("C", 'WetLitterbags placem_collection'!$W13)),"YES","NO")</f>
        <v>NO</v>
      </c>
      <c r="AC306" s="252" t="str">
        <f>IF(ISNUMBER(SEARCH("H", 'WetLitterbags placem_collection'!$W13)),"YES","NO")</f>
        <v>NO</v>
      </c>
      <c r="AD306" s="252" t="str">
        <f>IF(ISNUMBER(SEARCH("R", 'WetLitterbags placem_collection'!$W13)),"YES","NO")</f>
        <v>NO</v>
      </c>
    </row>
    <row r="307" spans="2:30">
      <c r="B307" t="str">
        <f>'Final data_for_R_analysis_Wetse'!A453</f>
        <v>Wet</v>
      </c>
      <c r="C307" s="260">
        <f>'Final data_for_R_analysis_Wetse'!B453</f>
        <v>12</v>
      </c>
      <c r="D307" t="s">
        <v>3802</v>
      </c>
      <c r="E307" t="s">
        <v>25</v>
      </c>
      <c r="F307" s="382">
        <v>4</v>
      </c>
      <c r="G307" s="16">
        <f>'WetLitterbags placem_collection'!E14</f>
        <v>42766</v>
      </c>
      <c r="H307" s="92" t="str">
        <f>'Final data_for_R_analysis_Wetse'!K453</f>
        <v>G510</v>
      </c>
      <c r="I307" t="str">
        <f>'Final data_for_R_analysis_Wetse'!K673</f>
        <v>R123</v>
      </c>
      <c r="J307">
        <f>IFERROR(INDEX('Green_rooibos initial weight'!$C$5:$C$2000,MATCH(H307, 'Green_rooibos initial weight'!$A$5:$A$2000,0)),"")</f>
        <v>1.91</v>
      </c>
      <c r="K307">
        <f>IFERROR(INDEX('Green_rooibos initial weight'!$C$5:$C$2000,MATCH(I307, 'Green_rooibos initial weight'!$A$5:$A$2000,0)),"")</f>
        <v>2.2610000000000001</v>
      </c>
      <c r="L307" s="194">
        <f t="shared" si="21"/>
        <v>1.6601999999999999</v>
      </c>
      <c r="M307" s="194">
        <f>IF(K307&gt;0,(K307*$F$32-($F$29+$F$30)),"")</f>
        <v>2.0112000000000001</v>
      </c>
      <c r="N307" s="16">
        <f>IF('WetLitterbags placem_collection'!G14="","",'WetLitterbags placem_collection'!G14)</f>
        <v>42818</v>
      </c>
      <c r="O307" s="194" t="str">
        <f>IFERROR(INDEX('Both teabags AfterWet'!$C$3:$C$2000,MATCH(H307,'Both teabags AfterWet'!$A$3:$A$2000,0)),"")</f>
        <v/>
      </c>
      <c r="P307" s="194" t="str">
        <f>IFERROR(INDEX('Both teabags AfterWet'!$C$3:$C$2000,MATCH(I307,'Both teabags AfterWet'!$A$3:$A$2000,0)),"")</f>
        <v/>
      </c>
      <c r="Q307" s="194" t="str">
        <f t="shared" si="22"/>
        <v/>
      </c>
      <c r="R307" s="194" t="str">
        <f t="shared" si="22"/>
        <v/>
      </c>
      <c r="S307" s="194" t="str">
        <f t="shared" si="23"/>
        <v/>
      </c>
      <c r="T307" s="194" t="str">
        <f t="shared" si="24"/>
        <v/>
      </c>
      <c r="U307" s="194" t="str">
        <f t="shared" si="25"/>
        <v/>
      </c>
      <c r="V307">
        <f>IFERROR(IF((N307-G307)&gt;0,(IFERROR(N307-G307,"")),""),"")</f>
        <v>52</v>
      </c>
      <c r="W307" s="194" t="str">
        <f t="shared" si="26"/>
        <v/>
      </c>
      <c r="X307" s="194" t="str">
        <f t="shared" si="27"/>
        <v/>
      </c>
      <c r="Y307" s="252" t="str">
        <f>IF(ISNUMBER(SEARCH("C",'WetLitterbags placem_collection'!$Y14)),"YES","NO")</f>
        <v>NO</v>
      </c>
      <c r="Z307" s="252" t="str">
        <f>IF(ISNUMBER(SEARCH("H", 'WetLitterbags placem_collection'!$Y14)),"YES","NO")</f>
        <v>NO</v>
      </c>
      <c r="AA307" s="252" t="str">
        <f>IF(ISNUMBER(SEARCH("R", 'WetLitterbags placem_collection'!$Y14)),"YES","NO")</f>
        <v>NO</v>
      </c>
      <c r="AB307" s="252" t="str">
        <f>IF(ISNUMBER(SEARCH("C", 'WetLitterbags placem_collection'!$W14)),"YES","NO")</f>
        <v>NO</v>
      </c>
      <c r="AC307" s="252" t="str">
        <f>IF(ISNUMBER(SEARCH("H", 'WetLitterbags placem_collection'!$W14)),"YES","NO")</f>
        <v>NO</v>
      </c>
      <c r="AD307" s="252" t="str">
        <f>IF(ISNUMBER(SEARCH("R", 'WetLitterbags placem_collection'!$W14)),"YES","NO")</f>
        <v>NO</v>
      </c>
    </row>
    <row r="308" spans="2:30">
      <c r="B308" t="str">
        <f>'Final data_for_R_analysis_Wetse'!A454</f>
        <v>Wet</v>
      </c>
      <c r="C308" s="260">
        <f>'Final data_for_R_analysis_Wetse'!B454</f>
        <v>13</v>
      </c>
      <c r="D308" t="s">
        <v>3802</v>
      </c>
      <c r="E308" t="s">
        <v>25</v>
      </c>
      <c r="F308" s="382">
        <v>5</v>
      </c>
      <c r="G308" s="16">
        <f>'WetLitterbags placem_collection'!E15</f>
        <v>42766</v>
      </c>
      <c r="H308" s="92" t="str">
        <f>'Final data_for_R_analysis_Wetse'!K454</f>
        <v>G241</v>
      </c>
      <c r="I308" t="str">
        <f>'Final data_for_R_analysis_Wetse'!K674</f>
        <v>R3</v>
      </c>
      <c r="J308">
        <f>IFERROR(INDEX('Green_rooibos initial weight'!$C$5:$C$2000,MATCH(H308, 'Green_rooibos initial weight'!$A$5:$A$2000,0)),"")</f>
        <v>2.0179999999999998</v>
      </c>
      <c r="K308">
        <f>IFERROR(INDEX('Green_rooibos initial weight'!$C$5:$C$2000,MATCH(I308, 'Green_rooibos initial weight'!$A$5:$A$2000,0)),"")</f>
        <v>2.242</v>
      </c>
      <c r="L308" s="194">
        <f t="shared" si="21"/>
        <v>1.7681999999999998</v>
      </c>
      <c r="M308" s="194">
        <f>IF(K308&gt;0,(K308*$F$32-($F$29+$F$30)),"")</f>
        <v>1.9922</v>
      </c>
      <c r="N308" s="16">
        <f>IF('WetLitterbags placem_collection'!G15="","",'WetLitterbags placem_collection'!G15)</f>
        <v>42818</v>
      </c>
      <c r="O308" s="194">
        <f>IFERROR(INDEX('Both teabags AfterWet'!$C$3:$C$2000,MATCH(H308,'Both teabags AfterWet'!$A$3:$A$2000,0)),"")</f>
        <v>0.52059999999999995</v>
      </c>
      <c r="P308" s="194">
        <f>IFERROR(INDEX('Both teabags AfterWet'!$C$3:$C$2000,MATCH(I308,'Both teabags AfterWet'!$A$3:$A$2000,0)),"")</f>
        <v>1.4899</v>
      </c>
      <c r="Q308" s="194">
        <f t="shared" si="22"/>
        <v>0.36999999999999994</v>
      </c>
      <c r="R308" s="194">
        <f t="shared" si="22"/>
        <v>1.3392999999999999</v>
      </c>
      <c r="S308" s="194">
        <f t="shared" si="23"/>
        <v>0.79074765298043204</v>
      </c>
      <c r="T308" s="194">
        <f t="shared" si="24"/>
        <v>0.51839988651448754</v>
      </c>
      <c r="U308" s="194">
        <f t="shared" si="25"/>
        <v>0.67227186025499441</v>
      </c>
      <c r="V308">
        <f>IFERROR(IF((N308-G308)&gt;0,(IFERROR(N308-G308,"")),""),"")</f>
        <v>52</v>
      </c>
      <c r="W308" s="194">
        <f t="shared" si="26"/>
        <v>6.0869770807087775E-2</v>
      </c>
      <c r="X308" s="194">
        <f t="shared" si="27"/>
        <v>1.9234491920585697E-2</v>
      </c>
      <c r="Y308" s="252" t="str">
        <f>IF(ISNUMBER(SEARCH("C",'WetLitterbags placem_collection'!$Y15)),"YES","NO")</f>
        <v>NO</v>
      </c>
      <c r="Z308" s="252" t="str">
        <f>IF(ISNUMBER(SEARCH("H", 'WetLitterbags placem_collection'!$Y15)),"YES","NO")</f>
        <v>NO</v>
      </c>
      <c r="AA308" s="252" t="str">
        <f>IF(ISNUMBER(SEARCH("R", 'WetLitterbags placem_collection'!$Y15)),"YES","NO")</f>
        <v>NO</v>
      </c>
      <c r="AB308" s="252" t="str">
        <f>IF(ISNUMBER(SEARCH("C", 'WetLitterbags placem_collection'!$W15)),"YES","NO")</f>
        <v>NO</v>
      </c>
      <c r="AC308" s="252" t="str">
        <f>IF(ISNUMBER(SEARCH("H", 'WetLitterbags placem_collection'!$W15)),"YES","NO")</f>
        <v>YES</v>
      </c>
      <c r="AD308" s="252" t="str">
        <f>IF(ISNUMBER(SEARCH("R", 'WetLitterbags placem_collection'!$W15)),"YES","NO")</f>
        <v>YES</v>
      </c>
    </row>
    <row r="309" spans="2:30">
      <c r="B309" t="str">
        <f>'Final data_for_R_analysis_Wetse'!A455</f>
        <v>Wet</v>
      </c>
      <c r="C309" s="260">
        <f>'Final data_for_R_analysis_Wetse'!B455</f>
        <v>14</v>
      </c>
      <c r="D309" t="s">
        <v>3802</v>
      </c>
      <c r="E309" t="s">
        <v>25</v>
      </c>
      <c r="F309" s="382">
        <v>6</v>
      </c>
      <c r="G309" s="16">
        <f>'WetLitterbags placem_collection'!E16</f>
        <v>42766</v>
      </c>
      <c r="H309" s="92" t="str">
        <f>'Final data_for_R_analysis_Wetse'!K455</f>
        <v>G503</v>
      </c>
      <c r="I309" t="str">
        <f>'Final data_for_R_analysis_Wetse'!K675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21"/>
        <v>1.7312000000000001</v>
      </c>
      <c r="M309" s="194">
        <f>IF(K309&gt;0,(K309*$F$32-($F$29+$F$30)),"")</f>
        <v>1.9331999999999998</v>
      </c>
      <c r="N309" s="16">
        <f>IF('WetLitterbags placem_collection'!G16="","",'WetLitterbags placem_collection'!G16)</f>
        <v>42818</v>
      </c>
      <c r="O309" s="194">
        <f>IFERROR(INDEX('Both teabags AfterWet'!$C$3:$C$2000,MATCH(H309,'Both teabags AfterWet'!$A$3:$A$2000,0)),"")</f>
        <v>0.501</v>
      </c>
      <c r="P309" s="194">
        <f>IFERROR(INDEX('Both teabags AfterWet'!$C$3:$C$2000,MATCH(I309,'Both teabags AfterWet'!$A$3:$A$2000,0)),"")</f>
        <v>1.5669999999999999</v>
      </c>
      <c r="Q309" s="194">
        <f t="shared" si="22"/>
        <v>0.35039999999999999</v>
      </c>
      <c r="R309" s="194">
        <f t="shared" si="22"/>
        <v>1.4163999999999999</v>
      </c>
      <c r="S309" s="194">
        <f t="shared" si="23"/>
        <v>0.79759704251386321</v>
      </c>
      <c r="T309" s="194">
        <f t="shared" si="24"/>
        <v>0.52289022264566809</v>
      </c>
      <c r="U309" s="194">
        <f t="shared" si="25"/>
        <v>0.73267121870473828</v>
      </c>
      <c r="V309">
        <f>IFERROR(IF((N309-G309)&gt;0,(IFERROR(N309-G309,"")),""),"")</f>
        <v>52</v>
      </c>
      <c r="W309" s="194">
        <f t="shared" si="26"/>
        <v>5.2735103902775249E-2</v>
      </c>
      <c r="X309" s="194">
        <f t="shared" si="27"/>
        <v>1.3767474750133612E-2</v>
      </c>
      <c r="Y309" s="252" t="str">
        <f>IF(ISNUMBER(SEARCH("C",'WetLitterbags placem_collection'!$Y16)),"YES","NO")</f>
        <v>NO</v>
      </c>
      <c r="Z309" s="252" t="str">
        <f>IF(ISNUMBER(SEARCH("H", 'WetLitterbags placem_collection'!$Y16)),"YES","NO")</f>
        <v>NO</v>
      </c>
      <c r="AA309" s="252" t="str">
        <f>IF(ISNUMBER(SEARCH("R", 'WetLitterbags placem_collection'!$Y16)),"YES","NO")</f>
        <v>NO</v>
      </c>
      <c r="AB309" s="252" t="str">
        <f>IF(ISNUMBER(SEARCH("C", 'WetLitterbags placem_collection'!$W16)),"YES","NO")</f>
        <v>NO</v>
      </c>
      <c r="AC309" s="252" t="str">
        <f>IF(ISNUMBER(SEARCH("H", 'WetLitterbags placem_collection'!$W16)),"YES","NO")</f>
        <v>YES</v>
      </c>
      <c r="AD309" s="252" t="str">
        <f>IF(ISNUMBER(SEARCH("R", 'WetLitterbags placem_collection'!$W16)),"YES","NO")</f>
        <v>YES</v>
      </c>
    </row>
    <row r="310" spans="2:30">
      <c r="B310" t="str">
        <f>'Final data_for_R_analysis_Wetse'!A456</f>
        <v>Wet</v>
      </c>
      <c r="C310" s="260">
        <f>'Final data_for_R_analysis_Wetse'!B456</f>
        <v>15</v>
      </c>
      <c r="D310" t="s">
        <v>3802</v>
      </c>
      <c r="E310" t="s">
        <v>25</v>
      </c>
      <c r="F310" s="382">
        <v>7</v>
      </c>
      <c r="G310" s="16">
        <f>'WetLitterbags placem_collection'!E17</f>
        <v>42766</v>
      </c>
      <c r="H310" s="92" t="str">
        <f>'Final data_for_R_analysis_Wetse'!K456</f>
        <v>G685</v>
      </c>
      <c r="I310" t="str">
        <f>'Final data_for_R_analysis_Wetse'!K676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21"/>
        <v>1.7312000000000001</v>
      </c>
      <c r="M310" s="194">
        <f>IF(K310&gt;0,(K310*$F$32-($F$29+$F$30)),"")</f>
        <v>1.9422000000000001</v>
      </c>
      <c r="N310" s="16">
        <f>IF('WetLitterbags placem_collection'!G17="","",'WetLitterbags placem_collection'!G17)</f>
        <v>42818</v>
      </c>
      <c r="O310" s="194">
        <f>IFERROR(INDEX('Both teabags AfterWet'!$C$3:$C$2000,MATCH(H310,'Both teabags AfterWet'!$A$3:$A$2000,0)),"")</f>
        <v>0.72199999999999998</v>
      </c>
      <c r="P310" s="194">
        <f>IFERROR(INDEX('Both teabags AfterWet'!$C$3:$C$2000,MATCH(I310,'Both teabags AfterWet'!$A$3:$A$2000,0)),"")</f>
        <v>1.355</v>
      </c>
      <c r="Q310" s="194">
        <f t="shared" si="22"/>
        <v>0.57139999999999991</v>
      </c>
      <c r="R310" s="194">
        <f t="shared" si="22"/>
        <v>1.2043999999999999</v>
      </c>
      <c r="S310" s="194">
        <f t="shared" si="23"/>
        <v>0.66993992606284669</v>
      </c>
      <c r="T310" s="194">
        <f t="shared" si="24"/>
        <v>0.43920052159939599</v>
      </c>
      <c r="U310" s="194">
        <f t="shared" si="25"/>
        <v>0.62012151168777663</v>
      </c>
      <c r="V310">
        <f>IFERROR(IF((N310-G310)&gt;0,(IFERROR(N310-G310,"")),""),"")</f>
        <v>52</v>
      </c>
      <c r="W310" s="194">
        <f t="shared" si="26"/>
        <v>0.20434688116051458</v>
      </c>
      <c r="X310" s="194">
        <f t="shared" si="27"/>
        <v>3.8499524702639357E-2</v>
      </c>
      <c r="Y310" s="252" t="str">
        <f>IF(ISNUMBER(SEARCH("C",'WetLitterbags placem_collection'!$Y17)),"YES","NO")</f>
        <v>NO</v>
      </c>
      <c r="Z310" s="252" t="str">
        <f>IF(ISNUMBER(SEARCH("H", 'WetLitterbags placem_collection'!$Y17)),"YES","NO")</f>
        <v>NO</v>
      </c>
      <c r="AA310" s="252" t="str">
        <f>IF(ISNUMBER(SEARCH("R", 'WetLitterbags placem_collection'!$Y17)),"YES","NO")</f>
        <v>YES</v>
      </c>
      <c r="AB310" s="252" t="str">
        <f>IF(ISNUMBER(SEARCH("C", 'WetLitterbags placem_collection'!$W17)),"YES","NO")</f>
        <v>YES</v>
      </c>
      <c r="AC310" s="252" t="str">
        <f>IF(ISNUMBER(SEARCH("H", 'WetLitterbags placem_collection'!$W17)),"YES","NO")</f>
        <v>YES</v>
      </c>
      <c r="AD310" s="252" t="str">
        <f>IF(ISNUMBER(SEARCH("R", 'WetLitterbags placem_collection'!$W17)),"YES","NO")</f>
        <v>YES</v>
      </c>
    </row>
    <row r="311" spans="2:30">
      <c r="B311" t="str">
        <f>'Final data_for_R_analysis_Wetse'!A457</f>
        <v>Wet</v>
      </c>
      <c r="C311" s="260">
        <f>'Final data_for_R_analysis_Wetse'!B457</f>
        <v>16</v>
      </c>
      <c r="D311" t="s">
        <v>3802</v>
      </c>
      <c r="E311" t="s">
        <v>25</v>
      </c>
      <c r="F311" s="382">
        <v>8</v>
      </c>
      <c r="G311" s="16">
        <f>'WetLitterbags placem_collection'!E18</f>
        <v>42766</v>
      </c>
      <c r="H311" s="92" t="str">
        <f>'Final data_for_R_analysis_Wetse'!K457</f>
        <v>G644</v>
      </c>
      <c r="I311" t="str">
        <f>'Final data_for_R_analysis_Wetse'!K677</f>
        <v>R154</v>
      </c>
      <c r="J311">
        <f>IFERROR(INDEX('Green_rooibos initial weight'!$C$5:$C$2000,MATCH(H311, 'Green_rooibos initial weight'!$A$5:$A$2000,0)),"")</f>
        <v>2.157</v>
      </c>
      <c r="K311">
        <f>IFERROR(INDEX('Green_rooibos initial weight'!$C$5:$C$2000,MATCH(I311, 'Green_rooibos initial weight'!$A$5:$A$2000,0)),"")</f>
        <v>2.2010000000000001</v>
      </c>
      <c r="L311" s="194">
        <f t="shared" si="21"/>
        <v>1.9072</v>
      </c>
      <c r="M311" s="194">
        <f>IF(K311&gt;0,(K311*$F$32-($F$29+$F$30)),"")</f>
        <v>1.9512</v>
      </c>
      <c r="N311" s="16">
        <f>IF('WetLitterbags placem_collection'!G18="","",'WetLitterbags placem_collection'!G18)</f>
        <v>42818</v>
      </c>
      <c r="O311" s="194">
        <f>IFERROR(INDEX('Both teabags AfterWet'!$C$3:$C$2000,MATCH(H311,'Both teabags AfterWet'!$A$3:$A$2000,0)),"")</f>
        <v>0.65410000000000001</v>
      </c>
      <c r="P311" s="194">
        <f>IFERROR(INDEX('Both teabags AfterWet'!$C$3:$C$2000,MATCH(I311,'Both teabags AfterWet'!$A$3:$A$2000,0)),"")</f>
        <v>1.421</v>
      </c>
      <c r="Q311" s="194">
        <f t="shared" si="22"/>
        <v>0.50350000000000006</v>
      </c>
      <c r="R311" s="194">
        <f t="shared" si="22"/>
        <v>1.2704</v>
      </c>
      <c r="S311" s="194">
        <f t="shared" si="23"/>
        <v>0.73600041946308714</v>
      </c>
      <c r="T311" s="194">
        <f t="shared" si="24"/>
        <v>0.48250858853162015</v>
      </c>
      <c r="U311" s="194">
        <f t="shared" si="25"/>
        <v>0.6510865108651086</v>
      </c>
      <c r="V311">
        <f>IFERROR(IF((N311-G311)&gt;0,(IFERROR(N311-G311,"")),""),"")</f>
        <v>52</v>
      </c>
      <c r="W311" s="194">
        <f t="shared" si="26"/>
        <v>0.1258902381673549</v>
      </c>
      <c r="X311" s="194">
        <f t="shared" si="27"/>
        <v>2.4695868104203655E-2</v>
      </c>
      <c r="Y311" s="252" t="str">
        <f>IF(ISNUMBER(SEARCH("C",'WetLitterbags placem_collection'!$Y18)),"YES","NO")</f>
        <v>NO</v>
      </c>
      <c r="Z311" s="252" t="str">
        <f>IF(ISNUMBER(SEARCH("H", 'WetLitterbags placem_collection'!$Y18)),"YES","NO")</f>
        <v>NO</v>
      </c>
      <c r="AA311" s="252" t="str">
        <f>IF(ISNUMBER(SEARCH("R", 'WetLitterbags placem_collection'!$Y18)),"YES","NO")</f>
        <v>YES</v>
      </c>
      <c r="AB311" s="252" t="str">
        <f>IF(ISNUMBER(SEARCH("C", 'WetLitterbags placem_collection'!$W18)),"YES","NO")</f>
        <v>NO</v>
      </c>
      <c r="AC311" s="252" t="str">
        <f>IF(ISNUMBER(SEARCH("H", 'WetLitterbags placem_collection'!$W18)),"YES","NO")</f>
        <v>YES</v>
      </c>
      <c r="AD311" s="252" t="str">
        <f>IF(ISNUMBER(SEARCH("R", 'WetLitterbags placem_collection'!$W18)),"YES","NO")</f>
        <v>YES</v>
      </c>
    </row>
    <row r="312" spans="2:30">
      <c r="B312" t="str">
        <f>'Final data_for_R_analysis_Wetse'!A458</f>
        <v>Wet</v>
      </c>
      <c r="C312" s="260">
        <f>'Final data_for_R_analysis_Wetse'!B458</f>
        <v>17</v>
      </c>
      <c r="D312" t="s">
        <v>3803</v>
      </c>
      <c r="E312" t="s">
        <v>25</v>
      </c>
      <c r="F312" s="381">
        <v>1</v>
      </c>
      <c r="G312" s="16">
        <f>'WetLitterbags placem_collection'!E19</f>
        <v>42767</v>
      </c>
      <c r="H312" s="92" t="str">
        <f>'Final data_for_R_analysis_Wetse'!K458</f>
        <v>G648</v>
      </c>
      <c r="I312" t="str">
        <f>'Final data_for_R_analysis_Wetse'!K678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21"/>
        <v>1.7751999999999999</v>
      </c>
      <c r="M312" s="194">
        <f>IF(K312&gt;0,(K312*$F$32-($F$29+$F$30)),"")</f>
        <v>2.0301999999999998</v>
      </c>
      <c r="N312" s="16">
        <f>IF('WetLitterbags placem_collection'!G19="","",'WetLitterbags placem_collection'!G19)</f>
        <v>42818</v>
      </c>
      <c r="O312" s="194">
        <f>IFERROR(INDEX('Both teabags AfterWet'!$C$3:$C$2000,MATCH(H312,'Both teabags AfterWet'!$A$3:$A$2000,0)),"")</f>
        <v>0.6905</v>
      </c>
      <c r="P312" s="194">
        <f>IFERROR(INDEX('Both teabags AfterWet'!$C$3:$C$2000,MATCH(I312,'Both teabags AfterWet'!$A$3:$A$2000,0)),"")</f>
        <v>1.6271</v>
      </c>
      <c r="Q312" s="194">
        <f t="shared" si="22"/>
        <v>0.53990000000000005</v>
      </c>
      <c r="R312" s="194">
        <f t="shared" si="22"/>
        <v>1.4764999999999999</v>
      </c>
      <c r="S312" s="194">
        <f t="shared" si="23"/>
        <v>0.69586525461919779</v>
      </c>
      <c r="T312" s="194">
        <f t="shared" si="24"/>
        <v>0.45619669899025794</v>
      </c>
      <c r="U312" s="194">
        <f t="shared" si="25"/>
        <v>0.72726824943355339</v>
      </c>
      <c r="V312">
        <f>IFERROR(IF((N312-G312)&gt;0,(IFERROR(N312-G312,"")),""),"")</f>
        <v>51</v>
      </c>
      <c r="W312" s="194">
        <f t="shared" si="26"/>
        <v>0.17355670472779361</v>
      </c>
      <c r="X312" s="194">
        <f t="shared" si="27"/>
        <v>1.7860792969738453E-2</v>
      </c>
      <c r="Y312" s="252" t="str">
        <f>IF(ISNUMBER(SEARCH("C",'WetLitterbags placem_collection'!$Y19)),"YES","NO")</f>
        <v>NO</v>
      </c>
      <c r="Z312" s="252" t="str">
        <f>IF(ISNUMBER(SEARCH("H", 'WetLitterbags placem_collection'!$Y19)),"YES","NO")</f>
        <v>NO</v>
      </c>
      <c r="AA312" s="252" t="str">
        <f>IF(ISNUMBER(SEARCH("R", 'WetLitterbags placem_collection'!$Y19)),"YES","NO")</f>
        <v>YES</v>
      </c>
      <c r="AB312" s="252" t="str">
        <f>IF(ISNUMBER(SEARCH("C", 'WetLitterbags placem_collection'!$W19)),"YES","NO")</f>
        <v>NO</v>
      </c>
      <c r="AC312" s="252" t="str">
        <f>IF(ISNUMBER(SEARCH("H", 'WetLitterbags placem_collection'!$W19)),"YES","NO")</f>
        <v>NO</v>
      </c>
      <c r="AD312" s="252" t="str">
        <f>IF(ISNUMBER(SEARCH("R", 'WetLitterbags placem_collection'!$W19)),"YES","NO")</f>
        <v>YES</v>
      </c>
    </row>
    <row r="313" spans="2:30">
      <c r="B313" t="str">
        <f>'Final data_for_R_analysis_Wetse'!A459</f>
        <v>Wet</v>
      </c>
      <c r="C313" s="260">
        <f>'Final data_for_R_analysis_Wetse'!B459</f>
        <v>18</v>
      </c>
      <c r="D313" t="s">
        <v>3803</v>
      </c>
      <c r="E313" t="s">
        <v>25</v>
      </c>
      <c r="F313" s="381">
        <v>2</v>
      </c>
      <c r="G313" s="16">
        <f>'WetLitterbags placem_collection'!E20</f>
        <v>42767</v>
      </c>
      <c r="H313" s="92" t="str">
        <f>'Final data_for_R_analysis_Wetse'!K459</f>
        <v>G573</v>
      </c>
      <c r="I313" t="str">
        <f>'Final data_for_R_analysis_Wetse'!K679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21"/>
        <v>1.7521999999999998</v>
      </c>
      <c r="M313" s="194">
        <f>IF(K313&gt;0,(K313*$F$32-($F$29+$F$30)),"")</f>
        <v>1.9382000000000001</v>
      </c>
      <c r="N313" s="16">
        <f>IF('WetLitterbags placem_collection'!G20="","",'WetLitterbags placem_collection'!G20)</f>
        <v>42818</v>
      </c>
      <c r="O313" s="194">
        <f>IFERROR(INDEX('Both teabags AfterWet'!$C$3:$C$2000,MATCH(H313,'Both teabags AfterWet'!$A$3:$A$2000,0)),"")</f>
        <v>0.72099999999999997</v>
      </c>
      <c r="P313" s="194">
        <f>IFERROR(INDEX('Both teabags AfterWet'!$C$3:$C$2000,MATCH(I313,'Both teabags AfterWet'!$A$3:$A$2000,0)),"")</f>
        <v>1.6060000000000001</v>
      </c>
      <c r="Q313" s="194">
        <f t="shared" si="22"/>
        <v>0.57040000000000002</v>
      </c>
      <c r="R313" s="194">
        <f t="shared" si="22"/>
        <v>1.4554</v>
      </c>
      <c r="S313" s="194">
        <f t="shared" si="23"/>
        <v>0.67446638511585433</v>
      </c>
      <c r="T313" s="194">
        <f t="shared" si="24"/>
        <v>0.44216798644174776</v>
      </c>
      <c r="U313" s="194">
        <f t="shared" si="25"/>
        <v>0.75090289959756473</v>
      </c>
      <c r="V313">
        <f>IFERROR(IF((N313-G313)&gt;0,(IFERROR(N313-G313,"")),""),"")</f>
        <v>51</v>
      </c>
      <c r="W313" s="194">
        <f t="shared" si="26"/>
        <v>0.19897103905480484</v>
      </c>
      <c r="X313" s="194">
        <f t="shared" si="27"/>
        <v>1.624769535384776E-2</v>
      </c>
      <c r="Y313" s="252" t="str">
        <f>IF(ISNUMBER(SEARCH("C",'WetLitterbags placem_collection'!$Y20)),"YES","NO")</f>
        <v>NO</v>
      </c>
      <c r="Z313" s="252" t="str">
        <f>IF(ISNUMBER(SEARCH("H", 'WetLitterbags placem_collection'!$Y20)),"YES","NO")</f>
        <v>NO</v>
      </c>
      <c r="AA313" s="252" t="str">
        <f>IF(ISNUMBER(SEARCH("R", 'WetLitterbags placem_collection'!$Y20)),"YES","NO")</f>
        <v>YES</v>
      </c>
      <c r="AB313" s="252" t="str">
        <f>IF(ISNUMBER(SEARCH("C", 'WetLitterbags placem_collection'!$W20)),"YES","NO")</f>
        <v>NO</v>
      </c>
      <c r="AC313" s="252" t="str">
        <f>IF(ISNUMBER(SEARCH("H", 'WetLitterbags placem_collection'!$W20)),"YES","NO")</f>
        <v>NO</v>
      </c>
      <c r="AD313" s="252" t="str">
        <f>IF(ISNUMBER(SEARCH("R", 'WetLitterbags placem_collection'!$W20)),"YES","NO")</f>
        <v>NO</v>
      </c>
    </row>
    <row r="314" spans="2:30">
      <c r="B314" t="str">
        <f>'Final data_for_R_analysis_Wetse'!A460</f>
        <v>Wet</v>
      </c>
      <c r="C314" s="260">
        <f>'Final data_for_R_analysis_Wetse'!B460</f>
        <v>19</v>
      </c>
      <c r="D314" t="s">
        <v>3803</v>
      </c>
      <c r="E314" t="s">
        <v>25</v>
      </c>
      <c r="F314" s="381">
        <v>3</v>
      </c>
      <c r="G314" s="16">
        <f>'WetLitterbags placem_collection'!E21</f>
        <v>42767</v>
      </c>
      <c r="H314" s="92" t="str">
        <f>'Final data_for_R_analysis_Wetse'!K460</f>
        <v>G639</v>
      </c>
      <c r="I314" t="str">
        <f>'Final data_for_R_analysis_Wetse'!K680</f>
        <v>R566</v>
      </c>
      <c r="J314">
        <f>IFERROR(INDEX('Green_rooibos initial weight'!$C$5:$C$2000,MATCH(H314, 'Green_rooibos initial weight'!$A$5:$A$2000,0)),"")</f>
        <v>2.1909999999999998</v>
      </c>
      <c r="K314">
        <f>IFERROR(INDEX('Green_rooibos initial weight'!$C$5:$C$2000,MATCH(I314, 'Green_rooibos initial weight'!$A$5:$A$2000,0)),"")</f>
        <v>2.117</v>
      </c>
      <c r="L314" s="194">
        <f t="shared" si="21"/>
        <v>1.9411999999999998</v>
      </c>
      <c r="M314" s="194">
        <f>IF(K314&gt;0,(K314*$F$32-($F$29+$F$30)),"")</f>
        <v>1.8672</v>
      </c>
      <c r="N314" s="16">
        <f>IF('WetLitterbags placem_collection'!G21="","",'WetLitterbags placem_collection'!G21)</f>
        <v>42818</v>
      </c>
      <c r="O314" s="194">
        <f>IFERROR(INDEX('Both teabags AfterWet'!$C$3:$C$2000,MATCH(H314,'Both teabags AfterWet'!$A$3:$A$2000,0)),"")</f>
        <v>0.89200000000000002</v>
      </c>
      <c r="P314" s="194">
        <f>IFERROR(INDEX('Both teabags AfterWet'!$C$3:$C$2000,MATCH(I314,'Both teabags AfterWet'!$A$3:$A$2000,0)),"")</f>
        <v>1.4496</v>
      </c>
      <c r="Q314" s="194">
        <f t="shared" si="22"/>
        <v>0.74140000000000006</v>
      </c>
      <c r="R314" s="194">
        <f t="shared" si="22"/>
        <v>1.2989999999999999</v>
      </c>
      <c r="S314" s="194">
        <f t="shared" si="23"/>
        <v>0.61807129610550171</v>
      </c>
      <c r="T314" s="194">
        <f t="shared" si="24"/>
        <v>0.40519638414517456</v>
      </c>
      <c r="U314" s="194">
        <f t="shared" si="25"/>
        <v>0.69569408740359895</v>
      </c>
      <c r="V314">
        <f>IFERROR(IF((N314-G314)&gt;0,(IFERROR(N314-G314,"")),""),"")</f>
        <v>51</v>
      </c>
      <c r="W314" s="194">
        <f t="shared" si="26"/>
        <v>0.26594857944714756</v>
      </c>
      <c r="X314" s="194">
        <f t="shared" si="27"/>
        <v>2.7261497262850175E-2</v>
      </c>
      <c r="Y314" s="252" t="str">
        <f>IF(ISNUMBER(SEARCH("C",'WetLitterbags placem_collection'!$Y21)),"YES","NO")</f>
        <v>NO</v>
      </c>
      <c r="Z314" s="252" t="str">
        <f>IF(ISNUMBER(SEARCH("H", 'WetLitterbags placem_collection'!$Y21)),"YES","NO")</f>
        <v>NO</v>
      </c>
      <c r="AA314" s="252" t="str">
        <f>IF(ISNUMBER(SEARCH("R", 'WetLitterbags placem_collection'!$Y21)),"YES","NO")</f>
        <v>NO</v>
      </c>
      <c r="AB314" s="252" t="str">
        <f>IF(ISNUMBER(SEARCH("C", 'WetLitterbags placem_collection'!$W21)),"YES","NO")</f>
        <v>NO</v>
      </c>
      <c r="AC314" s="252" t="str">
        <f>IF(ISNUMBER(SEARCH("H", 'WetLitterbags placem_collection'!$W21)),"YES","NO")</f>
        <v>NO</v>
      </c>
      <c r="AD314" s="252" t="str">
        <f>IF(ISNUMBER(SEARCH("R", 'WetLitterbags placem_collection'!$W21)),"YES","NO")</f>
        <v>NO</v>
      </c>
    </row>
    <row r="315" spans="2:30">
      <c r="B315" t="str">
        <f>'Final data_for_R_analysis_Wetse'!A461</f>
        <v>Wet</v>
      </c>
      <c r="C315" s="260">
        <f>'Final data_for_R_analysis_Wetse'!B461</f>
        <v>20</v>
      </c>
      <c r="D315" t="s">
        <v>3803</v>
      </c>
      <c r="E315" t="s">
        <v>25</v>
      </c>
      <c r="F315" s="382">
        <v>4</v>
      </c>
      <c r="G315" s="16">
        <f>'WetLitterbags placem_collection'!E22</f>
        <v>42767</v>
      </c>
      <c r="H315" s="92" t="str">
        <f>'Final data_for_R_analysis_Wetse'!K461</f>
        <v>G505</v>
      </c>
      <c r="I315" t="str">
        <f>'Final data_for_R_analysis_Wetse'!K681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21"/>
        <v>1.8012000000000001</v>
      </c>
      <c r="M315" s="194">
        <f>IF(K315&gt;0,(K315*$F$32-($F$29+$F$30)),"")</f>
        <v>2.0032000000000001</v>
      </c>
      <c r="N315" s="16">
        <f>IF('WetLitterbags placem_collection'!G22="","",'WetLitterbags placem_collection'!G22)</f>
        <v>42818</v>
      </c>
      <c r="O315" s="194">
        <f>IFERROR(INDEX('Both teabags AfterWet'!$C$3:$C$2000,MATCH(H315,'Both teabags AfterWet'!$A$3:$A$2000,0)),"")</f>
        <v>0.70330000000000004</v>
      </c>
      <c r="P315" s="194">
        <f>IFERROR(INDEX('Both teabags AfterWet'!$C$3:$C$2000,MATCH(I315,'Both teabags AfterWet'!$A$3:$A$2000,0)),"")</f>
        <v>1.6778999999999999</v>
      </c>
      <c r="Q315" s="194">
        <f t="shared" si="22"/>
        <v>0.55269999999999997</v>
      </c>
      <c r="R315" s="194">
        <f t="shared" si="22"/>
        <v>1.5272999999999999</v>
      </c>
      <c r="S315" s="194">
        <f t="shared" si="23"/>
        <v>0.69314901176993127</v>
      </c>
      <c r="T315" s="194">
        <f t="shared" si="24"/>
        <v>0.45441597921259158</v>
      </c>
      <c r="U315" s="194">
        <f t="shared" si="25"/>
        <v>0.76243011182108622</v>
      </c>
      <c r="V315">
        <f>IFERROR(IF((N315-G315)&gt;0,(IFERROR(N315-G315,"")),""),"")</f>
        <v>51</v>
      </c>
      <c r="W315" s="194">
        <f t="shared" si="26"/>
        <v>0.17678264635400087</v>
      </c>
      <c r="X315" s="194">
        <f t="shared" si="27"/>
        <v>1.4506376241579626E-2</v>
      </c>
      <c r="Y315" s="252" t="str">
        <f>IF(ISNUMBER(SEARCH("C",'WetLitterbags placem_collection'!$Y22)),"YES","NO")</f>
        <v>NO</v>
      </c>
      <c r="Z315" s="252" t="str">
        <f>IF(ISNUMBER(SEARCH("H", 'WetLitterbags placem_collection'!$Y22)),"YES","NO")</f>
        <v>NO</v>
      </c>
      <c r="AA315" s="252" t="str">
        <f>IF(ISNUMBER(SEARCH("R", 'WetLitterbags placem_collection'!$Y22)),"YES","NO")</f>
        <v>NO</v>
      </c>
      <c r="AB315" s="252" t="str">
        <f>IF(ISNUMBER(SEARCH("C", 'WetLitterbags placem_collection'!$W22)),"YES","NO")</f>
        <v>NO</v>
      </c>
      <c r="AC315" s="252" t="str">
        <f>IF(ISNUMBER(SEARCH("H", 'WetLitterbags placem_collection'!$W22)),"YES","NO")</f>
        <v>NO</v>
      </c>
      <c r="AD315" s="252" t="str">
        <f>IF(ISNUMBER(SEARCH("R", 'WetLitterbags placem_collection'!$W22)),"YES","NO")</f>
        <v>NO</v>
      </c>
    </row>
    <row r="316" spans="2:30">
      <c r="B316" t="str">
        <f>'Final data_for_R_analysis_Wetse'!A462</f>
        <v>Wet</v>
      </c>
      <c r="C316" s="260">
        <f>'Final data_for_R_analysis_Wetse'!B462</f>
        <v>21</v>
      </c>
      <c r="D316" t="s">
        <v>3803</v>
      </c>
      <c r="E316" t="s">
        <v>25</v>
      </c>
      <c r="F316" s="382">
        <v>5</v>
      </c>
      <c r="G316" s="16">
        <f>'WetLitterbags placem_collection'!E23</f>
        <v>42767</v>
      </c>
      <c r="H316" s="92" t="str">
        <f>'Final data_for_R_analysis_Wetse'!K462</f>
        <v>G721</v>
      </c>
      <c r="I316" t="str">
        <f>'Final data_for_R_analysis_Wetse'!K682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21"/>
        <v>1.7412000000000001</v>
      </c>
      <c r="M316" s="194">
        <f>IF(K316&gt;0,(K316*$F$32-($F$29+$F$30)),"")</f>
        <v>1.9392</v>
      </c>
      <c r="N316" s="16">
        <f>IF('WetLitterbags placem_collection'!G23="","",'WetLitterbags placem_collection'!G23)</f>
        <v>42818</v>
      </c>
      <c r="O316" s="194">
        <f>IFERROR(INDEX('Both teabags AfterWet'!$C$3:$C$2000,MATCH(H316,'Both teabags AfterWet'!$A$3:$A$2000,0)),"")</f>
        <v>0.66739999999999999</v>
      </c>
      <c r="P316" s="194">
        <f>IFERROR(INDEX('Both teabags AfterWet'!$C$3:$C$2000,MATCH(I316,'Both teabags AfterWet'!$A$3:$A$2000,0)),"")</f>
        <v>1.4087000000000001</v>
      </c>
      <c r="Q316" s="194">
        <f t="shared" si="22"/>
        <v>0.51679999999999993</v>
      </c>
      <c r="R316" s="194">
        <f t="shared" si="22"/>
        <v>1.2581</v>
      </c>
      <c r="S316" s="194">
        <f t="shared" si="23"/>
        <v>0.70319320009189068</v>
      </c>
      <c r="T316" s="194">
        <f t="shared" si="24"/>
        <v>0.46100076775620391</v>
      </c>
      <c r="U316" s="194">
        <f t="shared" si="25"/>
        <v>0.64877268976897684</v>
      </c>
      <c r="V316">
        <f>IFERROR(IF((N316-G316)&gt;0,(IFERROR(N316-G316,"")),""),"")</f>
        <v>51</v>
      </c>
      <c r="W316" s="194">
        <f t="shared" si="26"/>
        <v>0.16485368160107994</v>
      </c>
      <c r="X316" s="194">
        <f t="shared" si="27"/>
        <v>2.8136881241186032E-2</v>
      </c>
      <c r="Y316" s="252" t="str">
        <f>IF(ISNUMBER(SEARCH("C",'WetLitterbags placem_collection'!$Y23)),"YES","NO")</f>
        <v>NO</v>
      </c>
      <c r="Z316" s="252" t="str">
        <f>IF(ISNUMBER(SEARCH("H", 'WetLitterbags placem_collection'!$Y23)),"YES","NO")</f>
        <v>NO</v>
      </c>
      <c r="AA316" s="252" t="str">
        <f>IF(ISNUMBER(SEARCH("R", 'WetLitterbags placem_collection'!$Y23)),"YES","NO")</f>
        <v>NO</v>
      </c>
      <c r="AB316" s="252" t="str">
        <f>IF(ISNUMBER(SEARCH("C", 'WetLitterbags placem_collection'!$W23)),"YES","NO")</f>
        <v>NO</v>
      </c>
      <c r="AC316" s="252" t="str">
        <f>IF(ISNUMBER(SEARCH("H", 'WetLitterbags placem_collection'!$W23)),"YES","NO")</f>
        <v>NO</v>
      </c>
      <c r="AD316" s="252" t="str">
        <f>IF(ISNUMBER(SEARCH("R", 'WetLitterbags placem_collection'!$W23)),"YES","NO")</f>
        <v>YES</v>
      </c>
    </row>
    <row r="317" spans="2:30">
      <c r="B317" t="str">
        <f>'Final data_for_R_analysis_Wetse'!A463</f>
        <v>Wet</v>
      </c>
      <c r="C317" s="260">
        <f>'Final data_for_R_analysis_Wetse'!B463</f>
        <v>22</v>
      </c>
      <c r="D317" t="s">
        <v>3803</v>
      </c>
      <c r="E317" t="s">
        <v>25</v>
      </c>
      <c r="F317" s="382">
        <v>6</v>
      </c>
      <c r="G317" s="16">
        <f>'WetLitterbags placem_collection'!E24</f>
        <v>42767</v>
      </c>
      <c r="H317" s="92" t="str">
        <f>'Final data_for_R_analysis_Wetse'!K463</f>
        <v>G552</v>
      </c>
      <c r="I317" t="str">
        <f>'Final data_for_R_analysis_Wetse'!K683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21"/>
        <v>1.8612000000000002</v>
      </c>
      <c r="M317" s="194">
        <f>IF(K317&gt;0,(K317*$F$32-($F$29+$F$30)),"")</f>
        <v>1.9491999999999998</v>
      </c>
      <c r="N317" s="16">
        <f>IF('WetLitterbags placem_collection'!G24="","",'WetLitterbags placem_collection'!G24)</f>
        <v>42818</v>
      </c>
      <c r="O317" s="194">
        <f>IFERROR(INDEX('Both teabags AfterWet'!$C$3:$C$2000,MATCH(H317,'Both teabags AfterWet'!$A$3:$A$2000,0)),"")</f>
        <v>0.75929999999999997</v>
      </c>
      <c r="P317" s="194">
        <f>IFERROR(INDEX('Both teabags AfterWet'!$C$3:$C$2000,MATCH(I317,'Both teabags AfterWet'!$A$3:$A$2000,0)),"")</f>
        <v>1.4908999999999999</v>
      </c>
      <c r="Q317" s="194">
        <f t="shared" si="22"/>
        <v>0.60870000000000002</v>
      </c>
      <c r="R317" s="194">
        <f t="shared" si="22"/>
        <v>1.3402999999999998</v>
      </c>
      <c r="S317" s="194">
        <f t="shared" si="23"/>
        <v>0.67295293359123143</v>
      </c>
      <c r="T317" s="194">
        <f t="shared" si="24"/>
        <v>0.44117579494342019</v>
      </c>
      <c r="U317" s="194">
        <f t="shared" si="25"/>
        <v>0.68761543197209107</v>
      </c>
      <c r="V317">
        <f>IFERROR(IF((N317-G317)&gt;0,(IFERROR(N317-G317,"")),""),"")</f>
        <v>51</v>
      </c>
      <c r="W317" s="194">
        <f t="shared" si="26"/>
        <v>0.20076848742134035</v>
      </c>
      <c r="X317" s="194">
        <f t="shared" si="27"/>
        <v>2.4142171111079396E-2</v>
      </c>
      <c r="Y317" s="252" t="str">
        <f>IF(ISNUMBER(SEARCH("C",'WetLitterbags placem_collection'!$Y24)),"YES","NO")</f>
        <v>NO</v>
      </c>
      <c r="Z317" s="252" t="str">
        <f>IF(ISNUMBER(SEARCH("H", 'WetLitterbags placem_collection'!$Y24)),"YES","NO")</f>
        <v>NO</v>
      </c>
      <c r="AA317" s="252" t="str">
        <f>IF(ISNUMBER(SEARCH("R", 'WetLitterbags placem_collection'!$Y24)),"YES","NO")</f>
        <v>NO</v>
      </c>
      <c r="AB317" s="252" t="str">
        <f>IF(ISNUMBER(SEARCH("C", 'WetLitterbags placem_collection'!$W24)),"YES","NO")</f>
        <v>NO</v>
      </c>
      <c r="AC317" s="252" t="str">
        <f>IF(ISNUMBER(SEARCH("H", 'WetLitterbags placem_collection'!$W24)),"YES","NO")</f>
        <v>NO</v>
      </c>
      <c r="AD317" s="252" t="str">
        <f>IF(ISNUMBER(SEARCH("R", 'WetLitterbags placem_collection'!$W24)),"YES","NO")</f>
        <v>NO</v>
      </c>
    </row>
    <row r="318" spans="2:30">
      <c r="B318" t="str">
        <f>'Final data_for_R_analysis_Wetse'!A464</f>
        <v>Wet</v>
      </c>
      <c r="C318" s="260">
        <f>'Final data_for_R_analysis_Wetse'!B464</f>
        <v>23</v>
      </c>
      <c r="D318" t="s">
        <v>3803</v>
      </c>
      <c r="E318" t="s">
        <v>25</v>
      </c>
      <c r="F318" s="382">
        <v>7</v>
      </c>
      <c r="G318" s="16">
        <f>'WetLitterbags placem_collection'!E25</f>
        <v>42767</v>
      </c>
      <c r="H318" s="92" t="str">
        <f>'Final data_for_R_analysis_Wetse'!K464</f>
        <v>G456</v>
      </c>
      <c r="I318" t="str">
        <f>'Final data_for_R_analysis_Wetse'!K684</f>
        <v>R132</v>
      </c>
      <c r="J318">
        <f>IFERROR(INDEX('Green_rooibos initial weight'!$C$5:$C$2000,MATCH(H318, 'Green_rooibos initial weight'!$A$5:$A$2000,0)),"")</f>
        <v>2.117</v>
      </c>
      <c r="K318">
        <f>IFERROR(INDEX('Green_rooibos initial weight'!$C$5:$C$2000,MATCH(I318, 'Green_rooibos initial weight'!$A$5:$A$2000,0)),"")</f>
        <v>2.133</v>
      </c>
      <c r="L318" s="194">
        <f t="shared" si="21"/>
        <v>1.8672</v>
      </c>
      <c r="M318" s="194">
        <f>IF(K318&gt;0,(K318*$F$32-($F$29+$F$30)),"")</f>
        <v>1.8832</v>
      </c>
      <c r="N318" s="16">
        <f>IF('WetLitterbags placem_collection'!G25="","",'WetLitterbags placem_collection'!G25)</f>
        <v>42818</v>
      </c>
      <c r="O318" s="194">
        <f>IFERROR(INDEX('Both teabags AfterWet'!$C$3:$C$2000,MATCH(H318,'Both teabags AfterWet'!$A$3:$A$2000,0)),"")</f>
        <v>0.72629999999999995</v>
      </c>
      <c r="P318" s="194">
        <f>IFERROR(INDEX('Both teabags AfterWet'!$C$3:$C$2000,MATCH(I318,'Both teabags AfterWet'!$A$3:$A$2000,0)),"")</f>
        <v>1.5238</v>
      </c>
      <c r="Q318" s="194">
        <f t="shared" si="22"/>
        <v>0.57569999999999988</v>
      </c>
      <c r="R318" s="194">
        <f t="shared" si="22"/>
        <v>1.3732</v>
      </c>
      <c r="S318" s="194">
        <f t="shared" si="23"/>
        <v>0.69167737789203088</v>
      </c>
      <c r="T318" s="194">
        <f t="shared" si="24"/>
        <v>0.45345120260855237</v>
      </c>
      <c r="U318" s="194">
        <f t="shared" si="25"/>
        <v>0.72918436703483436</v>
      </c>
      <c r="V318">
        <f>IFERROR(IF((N318-G318)&gt;0,(IFERROR(N318-G318,"")),""),"")</f>
        <v>51</v>
      </c>
      <c r="W318" s="194">
        <f t="shared" si="26"/>
        <v>0.17853043005697045</v>
      </c>
      <c r="X318" s="194">
        <f t="shared" si="27"/>
        <v>1.7831272890421117E-2</v>
      </c>
      <c r="Y318" s="252" t="str">
        <f>IF(ISNUMBER(SEARCH("C",'WetLitterbags placem_collection'!$Y25)),"YES","NO")</f>
        <v>NO</v>
      </c>
      <c r="Z318" s="252" t="str">
        <f>IF(ISNUMBER(SEARCH("H", 'WetLitterbags placem_collection'!$Y25)),"YES","NO")</f>
        <v>NO</v>
      </c>
      <c r="AA318" s="252" t="str">
        <f>IF(ISNUMBER(SEARCH("R", 'WetLitterbags placem_collection'!$Y25)),"YES","NO")</f>
        <v>NO</v>
      </c>
      <c r="AB318" s="252" t="str">
        <f>IF(ISNUMBER(SEARCH("C", 'WetLitterbags placem_collection'!$W25)),"YES","NO")</f>
        <v>NO</v>
      </c>
      <c r="AC318" s="252" t="str">
        <f>IF(ISNUMBER(SEARCH("H", 'WetLitterbags placem_collection'!$W25)),"YES","NO")</f>
        <v>NO</v>
      </c>
      <c r="AD318" s="252" t="str">
        <f>IF(ISNUMBER(SEARCH("R", 'WetLitterbags placem_collection'!$W25)),"YES","NO")</f>
        <v>NO</v>
      </c>
    </row>
    <row r="319" spans="2:30">
      <c r="B319" t="str">
        <f>'Final data_for_R_analysis_Wetse'!A465</f>
        <v>Wet</v>
      </c>
      <c r="C319" s="260">
        <f>'Final data_for_R_analysis_Wetse'!B465</f>
        <v>24</v>
      </c>
      <c r="D319" t="s">
        <v>3803</v>
      </c>
      <c r="E319" t="s">
        <v>25</v>
      </c>
      <c r="F319" s="382">
        <v>8</v>
      </c>
      <c r="G319" s="16">
        <f>'WetLitterbags placem_collection'!E26</f>
        <v>42767</v>
      </c>
      <c r="H319" s="92" t="str">
        <f>'Final data_for_R_analysis_Wetse'!K465</f>
        <v>G421</v>
      </c>
      <c r="I319" t="str">
        <f>'Final data_for_R_analysis_Wetse'!K685</f>
        <v>R71</v>
      </c>
      <c r="J319">
        <f>IFERROR(INDEX('Green_rooibos initial weight'!$C$5:$C$2000,MATCH(H319, 'Green_rooibos initial weight'!$A$5:$A$2000,0)),"")</f>
        <v>2.052</v>
      </c>
      <c r="K319">
        <f>IFERROR(INDEX('Green_rooibos initial weight'!$C$5:$C$2000,MATCH(I319, 'Green_rooibos initial weight'!$A$5:$A$2000,0)),"")</f>
        <v>2.2440000000000002</v>
      </c>
      <c r="L319" s="194">
        <f t="shared" si="21"/>
        <v>1.8022</v>
      </c>
      <c r="M319" s="194">
        <f>IF(K319&gt;0,(K319*$F$32-($F$29+$F$30)),"")</f>
        <v>1.9942000000000002</v>
      </c>
      <c r="N319" s="16">
        <f>IF('WetLitterbags placem_collection'!G26="","",'WetLitterbags placem_collection'!G26)</f>
        <v>42818</v>
      </c>
      <c r="O319" s="194">
        <f>IFERROR(INDEX('Both teabags AfterWet'!$C$3:$C$2000,MATCH(H319,'Both teabags AfterWet'!$A$3:$A$2000,0)),"")</f>
        <v>0.67</v>
      </c>
      <c r="P319" s="194">
        <f>IFERROR(INDEX('Both teabags AfterWet'!$C$3:$C$2000,MATCH(I319,'Both teabags AfterWet'!$A$3:$A$2000,0)),"")</f>
        <v>1.3083</v>
      </c>
      <c r="Q319" s="194">
        <f t="shared" si="22"/>
        <v>0.51940000000000008</v>
      </c>
      <c r="R319" s="194">
        <f t="shared" si="22"/>
        <v>1.1577</v>
      </c>
      <c r="S319" s="194">
        <f t="shared" si="23"/>
        <v>0.71179669293086223</v>
      </c>
      <c r="T319" s="194">
        <f t="shared" si="24"/>
        <v>0.4666410623489739</v>
      </c>
      <c r="U319" s="194">
        <f t="shared" si="25"/>
        <v>0.58053354728713258</v>
      </c>
      <c r="V319">
        <f>IFERROR(IF((N319-G319)&gt;0,(IFERROR(N319-G319,"")),""),"")</f>
        <v>51</v>
      </c>
      <c r="W319" s="194">
        <f t="shared" si="26"/>
        <v>0.15463575661417783</v>
      </c>
      <c r="X319" s="194">
        <f t="shared" si="27"/>
        <v>4.4935383188606008E-2</v>
      </c>
      <c r="Y319" s="252" t="str">
        <f>IF(ISNUMBER(SEARCH("C",'WetLitterbags placem_collection'!$Y26)),"YES","NO")</f>
        <v>NO</v>
      </c>
      <c r="Z319" s="252" t="str">
        <f>IF(ISNUMBER(SEARCH("H", 'WetLitterbags placem_collection'!$Y26)),"YES","NO")</f>
        <v>NO</v>
      </c>
      <c r="AA319" s="252" t="str">
        <f>IF(ISNUMBER(SEARCH("R", 'WetLitterbags placem_collection'!$Y26)),"YES","NO")</f>
        <v>NO</v>
      </c>
      <c r="AB319" s="252" t="str">
        <f>IF(ISNUMBER(SEARCH("C", 'WetLitterbags placem_collection'!$W26)),"YES","NO")</f>
        <v>NO</v>
      </c>
      <c r="AC319" s="252" t="str">
        <f>IF(ISNUMBER(SEARCH("H", 'WetLitterbags placem_collection'!$W26)),"YES","NO")</f>
        <v>NO</v>
      </c>
      <c r="AD319" s="252" t="str">
        <f>IF(ISNUMBER(SEARCH("R", 'WetLitterbags placem_collection'!$W26)),"YES","NO")</f>
        <v>YES</v>
      </c>
    </row>
    <row r="320" spans="2:30">
      <c r="B320" t="str">
        <f>'Final data_for_R_analysis_Wetse'!A466</f>
        <v>Wet</v>
      </c>
      <c r="C320" s="260">
        <f>'Final data_for_R_analysis_Wetse'!B466</f>
        <v>25</v>
      </c>
      <c r="D320" t="s">
        <v>3804</v>
      </c>
      <c r="E320" t="s">
        <v>25</v>
      </c>
      <c r="F320" s="381">
        <v>1</v>
      </c>
      <c r="G320" s="16">
        <f>'WetLitterbags placem_collection'!E27</f>
        <v>42767</v>
      </c>
      <c r="H320" s="92" t="str">
        <f>'Final data_for_R_analysis_Wetse'!K466</f>
        <v>G864</v>
      </c>
      <c r="I320" t="str">
        <f>'Final data_for_R_analysis_Wetse'!K686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21"/>
        <v>1.7812000000000001</v>
      </c>
      <c r="M320" s="194">
        <f>IF(K320&gt;0,(K320*$F$32-($F$29+$F$30)),"")</f>
        <v>1.9611999999999998</v>
      </c>
      <c r="N320" s="16">
        <f>IF('WetLitterbags placem_collection'!G27="","",'WetLitterbags placem_collection'!G27)</f>
        <v>42818</v>
      </c>
      <c r="O320" s="194">
        <f>IFERROR(INDEX('Both teabags AfterWet'!$C$3:$C$2000,MATCH(H320,'Both teabags AfterWet'!$A$3:$A$2000,0)),"")</f>
        <v>0.65839999999999999</v>
      </c>
      <c r="P320" s="194">
        <f>IFERROR(INDEX('Both teabags AfterWet'!$C$3:$C$2000,MATCH(I320,'Both teabags AfterWet'!$A$3:$A$2000,0)),"")</f>
        <v>1.4184000000000001</v>
      </c>
      <c r="Q320" s="194">
        <f t="shared" si="22"/>
        <v>0.50780000000000003</v>
      </c>
      <c r="R320" s="194">
        <f t="shared" si="22"/>
        <v>1.2678</v>
      </c>
      <c r="S320" s="194">
        <f t="shared" si="23"/>
        <v>0.71491129575567036</v>
      </c>
      <c r="T320" s="194">
        <f t="shared" si="24"/>
        <v>0.46868293973530889</v>
      </c>
      <c r="U320" s="194">
        <f t="shared" si="25"/>
        <v>0.64644095451764239</v>
      </c>
      <c r="V320">
        <f>IFERROR(IF((N320-G320)&gt;0,(IFERROR(N320-G320,"")),""),"")</f>
        <v>51</v>
      </c>
      <c r="W320" s="194">
        <f t="shared" si="26"/>
        <v>0.15093670337806364</v>
      </c>
      <c r="X320" s="194">
        <f t="shared" si="27"/>
        <v>2.7527796379896437E-2</v>
      </c>
      <c r="Y320" s="252" t="str">
        <f>IF(ISNUMBER(SEARCH("C",'WetLitterbags placem_collection'!$Y27)),"YES","NO")</f>
        <v>NO</v>
      </c>
      <c r="Z320" s="252" t="str">
        <f>IF(ISNUMBER(SEARCH("H", 'WetLitterbags placem_collection'!$Y27)),"YES","NO")</f>
        <v>NO</v>
      </c>
      <c r="AA320" s="252" t="str">
        <f>IF(ISNUMBER(SEARCH("R", 'WetLitterbags placem_collection'!$Y27)),"YES","NO")</f>
        <v>NO</v>
      </c>
      <c r="AB320" s="252" t="str">
        <f>IF(ISNUMBER(SEARCH("C", 'WetLitterbags placem_collection'!$W27)),"YES","NO")</f>
        <v>NO</v>
      </c>
      <c r="AC320" s="252" t="str">
        <f>IF(ISNUMBER(SEARCH("H", 'WetLitterbags placem_collection'!$W27)),"YES","NO")</f>
        <v>NO</v>
      </c>
      <c r="AD320" s="252" t="str">
        <f>IF(ISNUMBER(SEARCH("R", 'WetLitterbags placem_collection'!$W27)),"YES","NO")</f>
        <v>NO</v>
      </c>
    </row>
    <row r="321" spans="2:30">
      <c r="B321" t="str">
        <f>'Final data_for_R_analysis_Wetse'!A467</f>
        <v>Wet</v>
      </c>
      <c r="C321" s="260">
        <f>'Final data_for_R_analysis_Wetse'!B467</f>
        <v>26</v>
      </c>
      <c r="D321" t="s">
        <v>3804</v>
      </c>
      <c r="E321" t="s">
        <v>25</v>
      </c>
      <c r="F321" s="381">
        <v>2</v>
      </c>
      <c r="G321" s="16">
        <f>'WetLitterbags placem_collection'!E28</f>
        <v>42767</v>
      </c>
      <c r="H321" s="92" t="str">
        <f>'Final data_for_R_analysis_Wetse'!K467</f>
        <v>G506</v>
      </c>
      <c r="I321" t="str">
        <f>'Final data_for_R_analysis_Wetse'!K687</f>
        <v>R189</v>
      </c>
      <c r="J321">
        <f>IFERROR(INDEX('Green_rooibos initial weight'!$C$5:$C$2000,MATCH(H321, 'Green_rooibos initial weight'!$A$5:$A$2000,0)),"")</f>
        <v>1.9079999999999999</v>
      </c>
      <c r="K321">
        <f>IFERROR(INDEX('Green_rooibos initial weight'!$C$5:$C$2000,MATCH(I321, 'Green_rooibos initial weight'!$A$5:$A$2000,0)),"")</f>
        <v>2.274</v>
      </c>
      <c r="L321" s="194">
        <f t="shared" si="21"/>
        <v>1.6581999999999999</v>
      </c>
      <c r="M321" s="194">
        <f>IF(K321&gt;0,(K321*$F$32-($F$29+$F$30)),"")</f>
        <v>2.0242</v>
      </c>
      <c r="N321" s="16">
        <f>IF('WetLitterbags placem_collection'!G28="","",'WetLitterbags placem_collection'!G28)</f>
        <v>42818</v>
      </c>
      <c r="O321" s="194">
        <f>IFERROR(INDEX('Both teabags AfterWet'!$C$3:$C$2000,MATCH(H321,'Both teabags AfterWet'!$A$3:$A$2000,0)),"")</f>
        <v>0.67589999999999995</v>
      </c>
      <c r="P321" s="194">
        <f>IFERROR(INDEX('Both teabags AfterWet'!$C$3:$C$2000,MATCH(I321,'Both teabags AfterWet'!$A$3:$A$2000,0)),"")</f>
        <v>1.464</v>
      </c>
      <c r="Q321" s="194">
        <f t="shared" si="22"/>
        <v>0.52529999999999988</v>
      </c>
      <c r="R321" s="194">
        <f t="shared" si="22"/>
        <v>1.3133999999999999</v>
      </c>
      <c r="S321" s="194">
        <f t="shared" si="23"/>
        <v>0.68321071040887715</v>
      </c>
      <c r="T321" s="194">
        <f t="shared" si="24"/>
        <v>0.4479006082490502</v>
      </c>
      <c r="U321" s="194">
        <f t="shared" si="25"/>
        <v>0.64884892797154425</v>
      </c>
      <c r="V321">
        <f>IFERROR(IF((N321-G321)&gt;0,(IFERROR(N321-G321,"")),""),"")</f>
        <v>51</v>
      </c>
      <c r="W321" s="194">
        <f t="shared" si="26"/>
        <v>0.18858585462128596</v>
      </c>
      <c r="X321" s="194">
        <f t="shared" si="27"/>
        <v>3.0047957115714032E-2</v>
      </c>
      <c r="Y321" s="252" t="str">
        <f>IF(ISNUMBER(SEARCH("C",'WetLitterbags placem_collection'!$Y28)),"YES","NO")</f>
        <v>NO</v>
      </c>
      <c r="Z321" s="252" t="str">
        <f>IF(ISNUMBER(SEARCH("H", 'WetLitterbags placem_collection'!$Y28)),"YES","NO")</f>
        <v>NO</v>
      </c>
      <c r="AA321" s="252" t="str">
        <f>IF(ISNUMBER(SEARCH("R", 'WetLitterbags placem_collection'!$Y28)),"YES","NO")</f>
        <v>NO</v>
      </c>
      <c r="AB321" s="252" t="str">
        <f>IF(ISNUMBER(SEARCH("C", 'WetLitterbags placem_collection'!$W28)),"YES","NO")</f>
        <v>NO</v>
      </c>
      <c r="AC321" s="252" t="str">
        <f>IF(ISNUMBER(SEARCH("H", 'WetLitterbags placem_collection'!$W28)),"YES","NO")</f>
        <v>NO</v>
      </c>
      <c r="AD321" s="252" t="str">
        <f>IF(ISNUMBER(SEARCH("R", 'WetLitterbags placem_collection'!$W28)),"YES","NO")</f>
        <v>NO</v>
      </c>
    </row>
    <row r="322" spans="2:30">
      <c r="B322" t="str">
        <f>'Final data_for_R_analysis_Wetse'!A468</f>
        <v>Wet</v>
      </c>
      <c r="C322" s="260">
        <f>'Final data_for_R_analysis_Wetse'!B468</f>
        <v>27</v>
      </c>
      <c r="D322" t="s">
        <v>3804</v>
      </c>
      <c r="E322" t="s">
        <v>25</v>
      </c>
      <c r="F322" s="381">
        <v>3</v>
      </c>
      <c r="G322" s="16">
        <f>'WetLitterbags placem_collection'!E29</f>
        <v>42767</v>
      </c>
      <c r="H322" s="92" t="str">
        <f>'Final data_for_R_analysis_Wetse'!K468</f>
        <v>G449</v>
      </c>
      <c r="I322" t="str">
        <f>'Final data_for_R_analysis_Wetse'!K688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21"/>
        <v>1.9251999999999998</v>
      </c>
      <c r="M322" s="194">
        <f>IF(K322&gt;0,(K322*$F$32-($F$29+$F$30)),"")</f>
        <v>1.9611999999999998</v>
      </c>
      <c r="N322" s="16">
        <f>IF('WetLitterbags placem_collection'!G29="","",'WetLitterbags placem_collection'!G29)</f>
        <v>42818</v>
      </c>
      <c r="O322" s="194">
        <f>IFERROR(INDEX('Both teabags AfterWet'!$C$3:$C$2000,MATCH(H322,'Both teabags AfterWet'!$A$3:$A$2000,0)),"")</f>
        <v>0.73760000000000003</v>
      </c>
      <c r="P322" s="194">
        <f>IFERROR(INDEX('Both teabags AfterWet'!$C$3:$C$2000,MATCH(I322,'Both teabags AfterWet'!$A$3:$A$2000,0)),"")</f>
        <v>1.5392999999999999</v>
      </c>
      <c r="Q322" s="194">
        <f t="shared" si="22"/>
        <v>0.58699999999999997</v>
      </c>
      <c r="R322" s="194">
        <f t="shared" si="22"/>
        <v>1.3886999999999998</v>
      </c>
      <c r="S322" s="194">
        <f t="shared" si="23"/>
        <v>0.69509661333887385</v>
      </c>
      <c r="T322" s="194">
        <f t="shared" si="24"/>
        <v>0.45569279164258719</v>
      </c>
      <c r="U322" s="194">
        <f t="shared" si="25"/>
        <v>0.70808688558025701</v>
      </c>
      <c r="V322">
        <f>IFERROR(IF((N322-G322)&gt;0,(IFERROR(N322-G322,"")),""),"")</f>
        <v>51</v>
      </c>
      <c r="W322" s="194">
        <f t="shared" si="26"/>
        <v>0.17446958035763194</v>
      </c>
      <c r="X322" s="194">
        <f t="shared" si="27"/>
        <v>2.0064642880268799E-2</v>
      </c>
      <c r="Y322" s="252" t="str">
        <f>IF(ISNUMBER(SEARCH("C",'WetLitterbags placem_collection'!$Y29)),"YES","NO")</f>
        <v>NO</v>
      </c>
      <c r="Z322" s="252" t="str">
        <f>IF(ISNUMBER(SEARCH("H", 'WetLitterbags placem_collection'!$Y29)),"YES","NO")</f>
        <v>NO</v>
      </c>
      <c r="AA322" s="252" t="str">
        <f>IF(ISNUMBER(SEARCH("R", 'WetLitterbags placem_collection'!$Y29)),"YES","NO")</f>
        <v>NO</v>
      </c>
      <c r="AB322" s="252" t="str">
        <f>IF(ISNUMBER(SEARCH("C", 'WetLitterbags placem_collection'!$W29)),"YES","NO")</f>
        <v>NO</v>
      </c>
      <c r="AC322" s="252" t="str">
        <f>IF(ISNUMBER(SEARCH("H", 'WetLitterbags placem_collection'!$W29)),"YES","NO")</f>
        <v>NO</v>
      </c>
      <c r="AD322" s="252" t="str">
        <f>IF(ISNUMBER(SEARCH("R", 'WetLitterbags placem_collection'!$W29)),"YES","NO")</f>
        <v>NO</v>
      </c>
    </row>
    <row r="323" spans="2:30">
      <c r="B323" t="str">
        <f>'Final data_for_R_analysis_Wetse'!A469</f>
        <v>Wet</v>
      </c>
      <c r="C323" s="260">
        <f>'Final data_for_R_analysis_Wetse'!B469</f>
        <v>28</v>
      </c>
      <c r="D323" t="s">
        <v>3804</v>
      </c>
      <c r="E323" t="s">
        <v>25</v>
      </c>
      <c r="F323" s="382">
        <v>4</v>
      </c>
      <c r="G323" s="16">
        <f>'WetLitterbags placem_collection'!E30</f>
        <v>42767</v>
      </c>
      <c r="H323" s="92" t="str">
        <f>'Final data_for_R_analysis_Wetse'!K469</f>
        <v>G502</v>
      </c>
      <c r="I323" t="str">
        <f>'Final data_for_R_analysis_Wetse'!K689</f>
        <v>R172</v>
      </c>
      <c r="J323">
        <f>IFERROR(INDEX('Green_rooibos initial weight'!$C$5:$C$2000,MATCH(H323, 'Green_rooibos initial weight'!$A$5:$A$2000,0)),"")</f>
        <v>1.929</v>
      </c>
      <c r="K323">
        <f>IFERROR(INDEX('Green_rooibos initial weight'!$C$5:$C$2000,MATCH(I323, 'Green_rooibos initial weight'!$A$5:$A$2000,0)),"")</f>
        <v>2.1520000000000001</v>
      </c>
      <c r="L323" s="194">
        <f t="shared" si="21"/>
        <v>1.6792</v>
      </c>
      <c r="M323" s="194">
        <f>IF(K323&gt;0,(K323*$F$32-($F$29+$F$30)),"")</f>
        <v>1.9022000000000001</v>
      </c>
      <c r="N323" s="16">
        <f>IF('WetLitterbags placem_collection'!G30="","",'WetLitterbags placem_collection'!G30)</f>
        <v>42818</v>
      </c>
      <c r="O323" s="194">
        <f>IFERROR(INDEX('Both teabags AfterWet'!$C$3:$C$2000,MATCH(H323,'Both teabags AfterWet'!$A$3:$A$2000,0)),"")</f>
        <v>0.60960000000000003</v>
      </c>
      <c r="P323" s="194">
        <f>IFERROR(INDEX('Both teabags AfterWet'!$C$3:$C$2000,MATCH(I323,'Both teabags AfterWet'!$A$3:$A$2000,0)),"")</f>
        <v>1.4665999999999999</v>
      </c>
      <c r="Q323" s="194">
        <f t="shared" si="22"/>
        <v>0.45900000000000002</v>
      </c>
      <c r="R323" s="194">
        <f t="shared" si="22"/>
        <v>1.3159999999999998</v>
      </c>
      <c r="S323" s="194">
        <f t="shared" si="23"/>
        <v>0.72665555026202955</v>
      </c>
      <c r="T323" s="194">
        <f t="shared" si="24"/>
        <v>0.47638226097938285</v>
      </c>
      <c r="U323" s="194">
        <f t="shared" si="25"/>
        <v>0.69183051203869195</v>
      </c>
      <c r="V323">
        <f>IFERROR(IF((N323-G323)&gt;0,(IFERROR(N323-G323,"")),""),"")</f>
        <v>51</v>
      </c>
      <c r="W323" s="194">
        <f t="shared" si="26"/>
        <v>0.13698865764604562</v>
      </c>
      <c r="X323" s="194">
        <f t="shared" si="27"/>
        <v>2.0411586609946564E-2</v>
      </c>
      <c r="Y323" s="252" t="str">
        <f>IF(ISNUMBER(SEARCH("C",'WetLitterbags placem_collection'!$Y30)),"YES","NO")</f>
        <v>NO</v>
      </c>
      <c r="Z323" s="252" t="str">
        <f>IF(ISNUMBER(SEARCH("H", 'WetLitterbags placem_collection'!$Y30)),"YES","NO")</f>
        <v>NO</v>
      </c>
      <c r="AA323" s="252" t="str">
        <f>IF(ISNUMBER(SEARCH("R", 'WetLitterbags placem_collection'!$Y30)),"YES","NO")</f>
        <v>NO</v>
      </c>
      <c r="AB323" s="252" t="str">
        <f>IF(ISNUMBER(SEARCH("C", 'WetLitterbags placem_collection'!$W30)),"YES","NO")</f>
        <v>NO</v>
      </c>
      <c r="AC323" s="252" t="str">
        <f>IF(ISNUMBER(SEARCH("H", 'WetLitterbags placem_collection'!$W30)),"YES","NO")</f>
        <v>NO</v>
      </c>
      <c r="AD323" s="252" t="str">
        <f>IF(ISNUMBER(SEARCH("R", 'WetLitterbags placem_collection'!$W30)),"YES","NO")</f>
        <v>NO</v>
      </c>
    </row>
    <row r="324" spans="2:30">
      <c r="B324" t="str">
        <f>'Final data_for_R_analysis_Wetse'!A470</f>
        <v>Wet</v>
      </c>
      <c r="C324" s="260">
        <f>'Final data_for_R_analysis_Wetse'!B470</f>
        <v>29</v>
      </c>
      <c r="D324" t="s">
        <v>3804</v>
      </c>
      <c r="E324" t="s">
        <v>25</v>
      </c>
      <c r="F324" s="382">
        <v>5</v>
      </c>
      <c r="G324" s="16">
        <f>'WetLitterbags placem_collection'!E31</f>
        <v>42767</v>
      </c>
      <c r="H324" s="92" t="str">
        <f>'Final data_for_R_analysis_Wetse'!K470</f>
        <v>G345</v>
      </c>
      <c r="I324" t="str">
        <f>'Final data_for_R_analysis_Wetse'!K690</f>
        <v>R349</v>
      </c>
      <c r="J324">
        <f>IFERROR(INDEX('Green_rooibos initial weight'!$C$5:$C$2000,MATCH(H324, 'Green_rooibos initial weight'!$A$5:$A$2000,0)),"")</f>
        <v>2.012</v>
      </c>
      <c r="K324">
        <f>IFERROR(INDEX('Green_rooibos initial weight'!$C$5:$C$2000,MATCH(I324, 'Green_rooibos initial weight'!$A$5:$A$2000,0)),"")</f>
        <v>2.2469999999999999</v>
      </c>
      <c r="L324" s="194">
        <f t="shared" si="21"/>
        <v>1.7622</v>
      </c>
      <c r="M324" s="194">
        <f>IF(K324&gt;0,(K324*$F$32-($F$29+$F$30)),"")</f>
        <v>1.9971999999999999</v>
      </c>
      <c r="N324" s="16">
        <f>IF('WetLitterbags placem_collection'!G31="","",'WetLitterbags placem_collection'!G31)</f>
        <v>42818</v>
      </c>
      <c r="O324" s="194">
        <f>IFERROR(INDEX('Both teabags AfterWet'!$C$3:$C$2000,MATCH(H324,'Both teabags AfterWet'!$A$3:$A$2000,0)),"")</f>
        <v>0.64829999999999999</v>
      </c>
      <c r="P324" s="194">
        <f>IFERROR(INDEX('Both teabags AfterWet'!$C$3:$C$2000,MATCH(I324,'Both teabags AfterWet'!$A$3:$A$2000,0)),"")</f>
        <v>1.4108000000000001</v>
      </c>
      <c r="Q324" s="194">
        <f t="shared" si="22"/>
        <v>0.49769999999999998</v>
      </c>
      <c r="R324" s="194">
        <f t="shared" si="22"/>
        <v>1.2602</v>
      </c>
      <c r="S324" s="194">
        <f t="shared" si="23"/>
        <v>0.71756894790602654</v>
      </c>
      <c r="T324" s="194">
        <f t="shared" si="24"/>
        <v>0.47042524850846401</v>
      </c>
      <c r="U324" s="194">
        <f t="shared" si="25"/>
        <v>0.63098337672741844</v>
      </c>
      <c r="V324">
        <f>IFERROR(IF((N324-G324)&gt;0,(IFERROR(N324-G324,"")),""),"")</f>
        <v>51</v>
      </c>
      <c r="W324" s="194">
        <f t="shared" si="26"/>
        <v>0.14778034690495656</v>
      </c>
      <c r="X324" s="194">
        <f t="shared" si="27"/>
        <v>3.0087821973664369E-2</v>
      </c>
      <c r="Y324" s="252" t="str">
        <f>IF(ISNUMBER(SEARCH("C",'WetLitterbags placem_collection'!$Y31)),"YES","NO")</f>
        <v>NO</v>
      </c>
      <c r="Z324" s="252" t="str">
        <f>IF(ISNUMBER(SEARCH("H", 'WetLitterbags placem_collection'!$Y31)),"YES","NO")</f>
        <v>NO</v>
      </c>
      <c r="AA324" s="252" t="str">
        <f>IF(ISNUMBER(SEARCH("R", 'WetLitterbags placem_collection'!$Y31)),"YES","NO")</f>
        <v>NO</v>
      </c>
      <c r="AB324" s="252" t="str">
        <f>IF(ISNUMBER(SEARCH("C", 'WetLitterbags placem_collection'!$W31)),"YES","NO")</f>
        <v>NO</v>
      </c>
      <c r="AC324" s="252" t="str">
        <f>IF(ISNUMBER(SEARCH("H", 'WetLitterbags placem_collection'!$W31)),"YES","NO")</f>
        <v>YES</v>
      </c>
      <c r="AD324" s="252" t="str">
        <f>IF(ISNUMBER(SEARCH("R", 'WetLitterbags placem_collection'!$W31)),"YES","NO")</f>
        <v>YES</v>
      </c>
    </row>
    <row r="325" spans="2:30">
      <c r="B325" t="str">
        <f>'Final data_for_R_analysis_Wetse'!A471</f>
        <v>Wet</v>
      </c>
      <c r="C325" s="260">
        <f>'Final data_for_R_analysis_Wetse'!B471</f>
        <v>30</v>
      </c>
      <c r="D325" t="s">
        <v>3804</v>
      </c>
      <c r="E325" t="s">
        <v>25</v>
      </c>
      <c r="F325" s="382">
        <v>6</v>
      </c>
      <c r="G325" s="16">
        <f>'WetLitterbags placem_collection'!E32</f>
        <v>42767</v>
      </c>
      <c r="H325" s="92" t="str">
        <f>'Final data_for_R_analysis_Wetse'!K471</f>
        <v>G500</v>
      </c>
      <c r="I325" t="str">
        <f>'Final data_for_R_analysis_Wetse'!K691</f>
        <v>R296</v>
      </c>
      <c r="J325">
        <f>IFERROR(INDEX('Green_rooibos initial weight'!$C$5:$C$2000,MATCH(H325, 'Green_rooibos initial weight'!$A$5:$A$2000,0)),"")</f>
        <v>2.0830000000000002</v>
      </c>
      <c r="K325">
        <f>IFERROR(INDEX('Green_rooibos initial weight'!$C$5:$C$2000,MATCH(I325, 'Green_rooibos initial weight'!$A$5:$A$2000,0)),"")</f>
        <v>2.226</v>
      </c>
      <c r="L325" s="194">
        <f t="shared" si="21"/>
        <v>1.8332000000000002</v>
      </c>
      <c r="M325" s="194">
        <f>IF(K325&gt;0,(K325*$F$32-($F$29+$F$30)),"")</f>
        <v>1.9762</v>
      </c>
      <c r="N325" s="16">
        <f>IF('WetLitterbags placem_collection'!G32="","",'WetLitterbags placem_collection'!G32)</f>
        <v>42818</v>
      </c>
      <c r="O325" s="194">
        <f>IFERROR(INDEX('Both teabags AfterWet'!$C$3:$C$2000,MATCH(H325,'Both teabags AfterWet'!$A$3:$A$2000,0)),"")</f>
        <v>0.61909999999999998</v>
      </c>
      <c r="P325" s="194">
        <f>IFERROR(INDEX('Both teabags AfterWet'!$C$3:$C$2000,MATCH(I325,'Both teabags AfterWet'!$A$3:$A$2000,0)),"")</f>
        <v>1.3653</v>
      </c>
      <c r="Q325" s="194">
        <f t="shared" si="22"/>
        <v>0.46849999999999997</v>
      </c>
      <c r="R325" s="194">
        <f t="shared" si="22"/>
        <v>1.2146999999999999</v>
      </c>
      <c r="S325" s="194">
        <f t="shared" si="23"/>
        <v>0.74443595897883486</v>
      </c>
      <c r="T325" s="194">
        <f t="shared" si="24"/>
        <v>0.48803877595762102</v>
      </c>
      <c r="U325" s="194">
        <f t="shared" si="25"/>
        <v>0.61466450764092695</v>
      </c>
      <c r="V325">
        <f>IFERROR(IF((N325-G325)&gt;0,(IFERROR(N325-G325,"")),""),"")</f>
        <v>51</v>
      </c>
      <c r="W325" s="194">
        <f t="shared" si="26"/>
        <v>0.11587178268546927</v>
      </c>
      <c r="X325" s="194">
        <f t="shared" si="27"/>
        <v>3.0559819068247507E-2</v>
      </c>
      <c r="Y325" s="252" t="str">
        <f>IF(ISNUMBER(SEARCH("C",'WetLitterbags placem_collection'!$Y32)),"YES","NO")</f>
        <v>NO</v>
      </c>
      <c r="Z325" s="252" t="str">
        <f>IF(ISNUMBER(SEARCH("H", 'WetLitterbags placem_collection'!$Y32)),"YES","NO")</f>
        <v>NO</v>
      </c>
      <c r="AA325" s="252" t="str">
        <f>IF(ISNUMBER(SEARCH("R", 'WetLitterbags placem_collection'!$Y32)),"YES","NO")</f>
        <v>NO</v>
      </c>
      <c r="AB325" s="252" t="str">
        <f>IF(ISNUMBER(SEARCH("C", 'WetLitterbags placem_collection'!$W32)),"YES","NO")</f>
        <v>NO</v>
      </c>
      <c r="AC325" s="252" t="str">
        <f>IF(ISNUMBER(SEARCH("H", 'WetLitterbags placem_collection'!$W32)),"YES","NO")</f>
        <v>NO</v>
      </c>
      <c r="AD325" s="252" t="str">
        <f>IF(ISNUMBER(SEARCH("R", 'WetLitterbags placem_collection'!$W32)),"YES","NO")</f>
        <v>YES</v>
      </c>
    </row>
    <row r="326" spans="2:30">
      <c r="B326" t="str">
        <f>'Final data_for_R_analysis_Wetse'!A472</f>
        <v>Wet</v>
      </c>
      <c r="C326" s="260">
        <f>'Final data_for_R_analysis_Wetse'!B472</f>
        <v>31</v>
      </c>
      <c r="D326" t="s">
        <v>3804</v>
      </c>
      <c r="E326" t="s">
        <v>25</v>
      </c>
      <c r="F326" s="382">
        <v>7</v>
      </c>
      <c r="G326" s="16">
        <f>'WetLitterbags placem_collection'!E33</f>
        <v>42767</v>
      </c>
      <c r="H326" s="92" t="str">
        <f>'Final data_for_R_analysis_Wetse'!K472</f>
        <v>G521</v>
      </c>
      <c r="I326" t="str">
        <f>'Final data_for_R_analysis_Wetse'!K692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21"/>
        <v>1.9211999999999998</v>
      </c>
      <c r="M326" s="194">
        <f>IF(K326&gt;0,(K326*$F$32-($F$29+$F$30)),"")</f>
        <v>1.9451999999999998</v>
      </c>
      <c r="N326" s="16">
        <f>IF('WetLitterbags placem_collection'!G33="","",'WetLitterbags placem_collection'!G33)</f>
        <v>42818</v>
      </c>
      <c r="O326" s="194">
        <f>IFERROR(INDEX('Both teabags AfterWet'!$C$3:$C$2000,MATCH(H326,'Both teabags AfterWet'!$A$3:$A$2000,0)),"")</f>
        <v>0.71479999999999999</v>
      </c>
      <c r="P326" s="194">
        <f>IFERROR(INDEX('Both teabags AfterWet'!$C$3:$C$2000,MATCH(I326,'Both teabags AfterWet'!$A$3:$A$2000,0)),"")</f>
        <v>1.425</v>
      </c>
      <c r="Q326" s="194">
        <f t="shared" si="22"/>
        <v>0.56420000000000003</v>
      </c>
      <c r="R326" s="194">
        <f t="shared" si="22"/>
        <v>1.2744</v>
      </c>
      <c r="S326" s="194">
        <f t="shared" si="23"/>
        <v>0.70632937747241309</v>
      </c>
      <c r="T326" s="194">
        <f t="shared" si="24"/>
        <v>0.46305678903179581</v>
      </c>
      <c r="U326" s="194">
        <f t="shared" si="25"/>
        <v>0.65515114127082053</v>
      </c>
      <c r="V326">
        <f>IFERROR(IF((N326-G326)&gt;0,(IFERROR(N326-G326,"")),""),"")</f>
        <v>51</v>
      </c>
      <c r="W326" s="194">
        <f t="shared" si="26"/>
        <v>0.16112900537718156</v>
      </c>
      <c r="X326" s="194">
        <f t="shared" si="27"/>
        <v>2.6772637374528913E-2</v>
      </c>
      <c r="Y326" s="252" t="str">
        <f>IF(ISNUMBER(SEARCH("C",'WetLitterbags placem_collection'!$Y33)),"YES","NO")</f>
        <v>NO</v>
      </c>
      <c r="Z326" s="252" t="str">
        <f>IF(ISNUMBER(SEARCH("H", 'WetLitterbags placem_collection'!$Y33)),"YES","NO")</f>
        <v>NO</v>
      </c>
      <c r="AA326" s="252" t="str">
        <f>IF(ISNUMBER(SEARCH("R", 'WetLitterbags placem_collection'!$Y33)),"YES","NO")</f>
        <v>YES</v>
      </c>
      <c r="AB326" s="252" t="str">
        <f>IF(ISNUMBER(SEARCH("C", 'WetLitterbags placem_collection'!$W33)),"YES","NO")</f>
        <v>NO</v>
      </c>
      <c r="AC326" s="252" t="str">
        <f>IF(ISNUMBER(SEARCH("H", 'WetLitterbags placem_collection'!$W33)),"YES","NO")</f>
        <v>NO</v>
      </c>
      <c r="AD326" s="252" t="str">
        <f>IF(ISNUMBER(SEARCH("R", 'WetLitterbags placem_collection'!$W33)),"YES","NO")</f>
        <v>YES</v>
      </c>
    </row>
    <row r="327" spans="2:30">
      <c r="B327" t="str">
        <f>'Final data_for_R_analysis_Wetse'!A473</f>
        <v>Wet</v>
      </c>
      <c r="C327" s="260">
        <f>'Final data_for_R_analysis_Wetse'!B473</f>
        <v>32</v>
      </c>
      <c r="D327" t="s">
        <v>3804</v>
      </c>
      <c r="E327" t="s">
        <v>25</v>
      </c>
      <c r="F327" s="382">
        <v>8</v>
      </c>
      <c r="G327" s="16">
        <f>'WetLitterbags placem_collection'!E34</f>
        <v>42767</v>
      </c>
      <c r="H327" s="92" t="str">
        <f>'Final data_for_R_analysis_Wetse'!K473</f>
        <v>G201</v>
      </c>
      <c r="I327" t="str">
        <f>'Final data_for_R_analysis_Wetse'!K693</f>
        <v>R156</v>
      </c>
      <c r="J327">
        <f>IFERROR(INDEX('Green_rooibos initial weight'!$C$5:$C$2000,MATCH(H327, 'Green_rooibos initial weight'!$A$5:$A$2000,0)),"")</f>
        <v>2.2370000000000001</v>
      </c>
      <c r="K327">
        <f>IFERROR(INDEX('Green_rooibos initial weight'!$C$5:$C$2000,MATCH(I327, 'Green_rooibos initial weight'!$A$5:$A$2000,0)),"")</f>
        <v>2.246</v>
      </c>
      <c r="L327" s="194">
        <f t="shared" si="21"/>
        <v>1.9872000000000001</v>
      </c>
      <c r="M327" s="194">
        <f>IF(K327&gt;0,(K327*$F$32-($F$29+$F$30)),"")</f>
        <v>1.9962</v>
      </c>
      <c r="N327" s="16">
        <f>IF('WetLitterbags placem_collection'!G34="","",'WetLitterbags placem_collection'!G34)</f>
        <v>42818</v>
      </c>
      <c r="O327" s="194" t="str">
        <f>IFERROR(INDEX('Both teabags AfterWet'!$C$3:$C$2000,MATCH(H327,'Both teabags AfterWet'!$A$3:$A$2000,0)),"")</f>
        <v/>
      </c>
      <c r="P327" s="194">
        <f>IFERROR(INDEX('Both teabags AfterWet'!$C$3:$C$2000,MATCH(I327,'Both teabags AfterWet'!$A$3:$A$2000,0)),"")</f>
        <v>1.2625999999999999</v>
      </c>
      <c r="Q327" s="194" t="str">
        <f t="shared" si="22"/>
        <v/>
      </c>
      <c r="R327" s="194">
        <f t="shared" si="22"/>
        <v>1.1119999999999999</v>
      </c>
      <c r="S327" s="194" t="str">
        <f t="shared" si="23"/>
        <v/>
      </c>
      <c r="T327" s="194" t="str">
        <f t="shared" si="24"/>
        <v/>
      </c>
      <c r="U327" s="194">
        <f t="shared" si="25"/>
        <v>0.55705841098086362</v>
      </c>
      <c r="V327">
        <f>IFERROR(IF((N327-G327)&gt;0,(IFERROR(N327-G327,"")),""),"")</f>
        <v>51</v>
      </c>
      <c r="W327" s="194" t="str">
        <f t="shared" si="26"/>
        <v/>
      </c>
      <c r="X327" s="194" t="str">
        <f t="shared" si="27"/>
        <v/>
      </c>
      <c r="Y327" s="252" t="str">
        <f>IF(ISNUMBER(SEARCH("C",'WetLitterbags placem_collection'!$Y34)),"YES","NO")</f>
        <v>NO</v>
      </c>
      <c r="Z327" s="252" t="str">
        <f>IF(ISNUMBER(SEARCH("H", 'WetLitterbags placem_collection'!$Y34)),"YES","NO")</f>
        <v>NO</v>
      </c>
      <c r="AA327" s="252" t="str">
        <f>IF(ISNUMBER(SEARCH("R", 'WetLitterbags placem_collection'!$Y34)),"YES","NO")</f>
        <v>YES</v>
      </c>
      <c r="AB327" s="252" t="str">
        <f>IF(ISNUMBER(SEARCH("C", 'WetLitterbags placem_collection'!$W34)),"YES","NO")</f>
        <v>NO</v>
      </c>
      <c r="AC327" s="252" t="str">
        <f>IF(ISNUMBER(SEARCH("H", 'WetLitterbags placem_collection'!$W34)),"YES","NO")</f>
        <v>NO</v>
      </c>
      <c r="AD327" s="252" t="str">
        <f>IF(ISNUMBER(SEARCH("R", 'WetLitterbags placem_collection'!$W34)),"YES","NO")</f>
        <v>YES</v>
      </c>
    </row>
    <row r="328" spans="2:30">
      <c r="B328" t="str">
        <f>'Final data_for_R_analysis_Wetse'!A474</f>
        <v>Wet</v>
      </c>
      <c r="C328" s="260">
        <f>'Final data_for_R_analysis_Wetse'!B474</f>
        <v>33</v>
      </c>
      <c r="D328" t="s">
        <v>3805</v>
      </c>
      <c r="E328" t="s">
        <v>25</v>
      </c>
      <c r="F328" s="381">
        <v>1</v>
      </c>
      <c r="G328" s="16">
        <f>'WetLitterbags placem_collection'!E35</f>
        <v>42765</v>
      </c>
      <c r="H328" s="92" t="str">
        <f>'Final data_for_R_analysis_Wetse'!K474</f>
        <v>G556</v>
      </c>
      <c r="I328" t="str">
        <f>'Final data_for_R_analysis_Wetse'!K694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21"/>
        <v>1.7831999999999999</v>
      </c>
      <c r="M328" s="194">
        <f>IF(K328&gt;0,(K328*$F$32-($F$29+$F$30)),"")</f>
        <v>1.9822000000000002</v>
      </c>
      <c r="N328" s="16">
        <f>IF('WetLitterbags placem_collection'!G35="","",'WetLitterbags placem_collection'!G35)</f>
        <v>42820</v>
      </c>
      <c r="O328" s="194">
        <f>IFERROR(INDEX('Both teabags AfterWet'!$C$3:$C$2000,MATCH(H328,'Both teabags AfterWet'!$A$3:$A$2000,0)),"")</f>
        <v>0.64400000000000002</v>
      </c>
      <c r="P328" s="194">
        <f>IFERROR(INDEX('Both teabags AfterWet'!$C$3:$C$2000,MATCH(I328,'Both teabags AfterWet'!$A$3:$A$2000,0)),"")</f>
        <v>1.6020000000000001</v>
      </c>
      <c r="Q328" s="194">
        <f t="shared" si="22"/>
        <v>0.49340000000000001</v>
      </c>
      <c r="R328" s="194">
        <f t="shared" si="22"/>
        <v>1.4514</v>
      </c>
      <c r="S328" s="194">
        <f t="shared" si="23"/>
        <v>0.72330641543292962</v>
      </c>
      <c r="T328" s="194">
        <f t="shared" si="24"/>
        <v>0.47418662864486605</v>
      </c>
      <c r="U328" s="194">
        <f t="shared" si="25"/>
        <v>0.7322167288870951</v>
      </c>
      <c r="V328">
        <f>IFERROR(IF((N328-G328)&gt;0,(IFERROR(N328-G328,"")),""),"")</f>
        <v>55</v>
      </c>
      <c r="W328" s="194">
        <f t="shared" si="26"/>
        <v>0.14096625245495287</v>
      </c>
      <c r="X328" s="194">
        <f t="shared" si="27"/>
        <v>1.5123066816985622E-2</v>
      </c>
      <c r="Y328" s="252" t="str">
        <f>IF(ISNUMBER(SEARCH("C",'WetLitterbags placem_collection'!$Y35)),"YES","NO")</f>
        <v>NO</v>
      </c>
      <c r="Z328" s="252" t="str">
        <f>IF(ISNUMBER(SEARCH("H", 'WetLitterbags placem_collection'!$Y35)),"YES","NO")</f>
        <v>NO</v>
      </c>
      <c r="AA328" s="252" t="str">
        <f>IF(ISNUMBER(SEARCH("R", 'WetLitterbags placem_collection'!$Y35)),"YES","NO")</f>
        <v>YES</v>
      </c>
      <c r="AB328" s="252" t="str">
        <f>IF(ISNUMBER(SEARCH("C", 'WetLitterbags placem_collection'!$W35)),"YES","NO")</f>
        <v>YES</v>
      </c>
      <c r="AC328" s="252" t="str">
        <f>IF(ISNUMBER(SEARCH("H", 'WetLitterbags placem_collection'!$W35)),"YES","NO")</f>
        <v>YES</v>
      </c>
      <c r="AD328" s="252" t="str">
        <f>IF(ISNUMBER(SEARCH("R", 'WetLitterbags placem_collection'!$W35)),"YES","NO")</f>
        <v>NO</v>
      </c>
    </row>
    <row r="329" spans="2:30">
      <c r="B329" t="str">
        <f>'Final data_for_R_analysis_Wetse'!A475</f>
        <v>Wet</v>
      </c>
      <c r="C329" s="260">
        <f>'Final data_for_R_analysis_Wetse'!B475</f>
        <v>34</v>
      </c>
      <c r="D329" t="s">
        <v>3805</v>
      </c>
      <c r="E329" t="s">
        <v>25</v>
      </c>
      <c r="F329" s="381">
        <v>2</v>
      </c>
      <c r="G329" s="16">
        <f>'WetLitterbags placem_collection'!E36</f>
        <v>42765</v>
      </c>
      <c r="H329" s="92" t="str">
        <f>'Final data_for_R_analysis_Wetse'!K475</f>
        <v>G649</v>
      </c>
      <c r="I329" t="str">
        <f>'Final data_for_R_analysis_Wetse'!K695</f>
        <v>R24</v>
      </c>
      <c r="J329">
        <f>IFERROR(INDEX('Green_rooibos initial weight'!$C$5:$C$2000,MATCH(H329, 'Green_rooibos initial weight'!$A$5:$A$2000,0)),"")</f>
        <v>2.1379999999999999</v>
      </c>
      <c r="K329">
        <f>IFERROR(INDEX('Green_rooibos initial weight'!$C$5:$C$2000,MATCH(I329, 'Green_rooibos initial weight'!$A$5:$A$2000,0)),"")</f>
        <v>2.14</v>
      </c>
      <c r="L329" s="194">
        <f t="shared" si="21"/>
        <v>1.8881999999999999</v>
      </c>
      <c r="M329" s="194">
        <f>IF(K329&gt;0,(K329*$F$32-($F$29+$F$30)),"")</f>
        <v>1.8902000000000001</v>
      </c>
      <c r="N329" s="16">
        <f>IF('WetLitterbags placem_collection'!G36="","",'WetLitterbags placem_collection'!G36)</f>
        <v>42820</v>
      </c>
      <c r="O329" s="194">
        <f>IFERROR(INDEX('Both teabags AfterWet'!$C$3:$C$2000,MATCH(H329,'Both teabags AfterWet'!$A$3:$A$2000,0)),"")</f>
        <v>0.80259999999999998</v>
      </c>
      <c r="P329" s="194">
        <f>IFERROR(INDEX('Both teabags AfterWet'!$C$3:$C$2000,MATCH(I329,'Both teabags AfterWet'!$A$3:$A$2000,0)),"")</f>
        <v>1.4662999999999999</v>
      </c>
      <c r="Q329" s="194">
        <f t="shared" si="22"/>
        <v>0.65199999999999991</v>
      </c>
      <c r="R329" s="194">
        <f t="shared" si="22"/>
        <v>1.3156999999999999</v>
      </c>
      <c r="S329" s="194">
        <f t="shared" si="23"/>
        <v>0.65469759559368712</v>
      </c>
      <c r="T329" s="194">
        <f t="shared" si="24"/>
        <v>0.42920792490227477</v>
      </c>
      <c r="U329" s="194">
        <f t="shared" si="25"/>
        <v>0.69606390858110245</v>
      </c>
      <c r="V329">
        <f>IFERROR(IF((N329-G329)&gt;0,(IFERROR(N329-G329,"")),""),"")</f>
        <v>55</v>
      </c>
      <c r="W329" s="194">
        <f t="shared" si="26"/>
        <v>0.2224494114089226</v>
      </c>
      <c r="X329" s="194">
        <f t="shared" si="27"/>
        <v>2.2390098744399255E-2</v>
      </c>
      <c r="Y329" s="252" t="str">
        <f>IF(ISNUMBER(SEARCH("C",'WetLitterbags placem_collection'!$Y36)),"YES","NO")</f>
        <v>NO</v>
      </c>
      <c r="Z329" s="252" t="str">
        <f>IF(ISNUMBER(SEARCH("H", 'WetLitterbags placem_collection'!$Y36)),"YES","NO")</f>
        <v>NO</v>
      </c>
      <c r="AA329" s="252" t="str">
        <f>IF(ISNUMBER(SEARCH("R", 'WetLitterbags placem_collection'!$Y36)),"YES","NO")</f>
        <v>YES</v>
      </c>
      <c r="AB329" s="252" t="str">
        <f>IF(ISNUMBER(SEARCH("C", 'WetLitterbags placem_collection'!$W36)),"YES","NO")</f>
        <v>YES</v>
      </c>
      <c r="AC329" s="252" t="str">
        <f>IF(ISNUMBER(SEARCH("H", 'WetLitterbags placem_collection'!$W36)),"YES","NO")</f>
        <v>YES</v>
      </c>
      <c r="AD329" s="252" t="str">
        <f>IF(ISNUMBER(SEARCH("R", 'WetLitterbags placem_collection'!$W36)),"YES","NO")</f>
        <v>NO</v>
      </c>
    </row>
    <row r="330" spans="2:30">
      <c r="B330" t="str">
        <f>'Final data_for_R_analysis_Wetse'!A476</f>
        <v>Wet</v>
      </c>
      <c r="C330" s="260">
        <f>'Final data_for_R_analysis_Wetse'!B476</f>
        <v>35</v>
      </c>
      <c r="D330" t="s">
        <v>3805</v>
      </c>
      <c r="E330" t="s">
        <v>25</v>
      </c>
      <c r="F330" s="381">
        <v>3</v>
      </c>
      <c r="G330" s="16">
        <f>'WetLitterbags placem_collection'!E37</f>
        <v>42765</v>
      </c>
      <c r="H330" s="92" t="str">
        <f>'Final data_for_R_analysis_Wetse'!K476</f>
        <v>G732</v>
      </c>
      <c r="I330" t="str">
        <f>'Final data_for_R_analysis_Wetse'!K696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21"/>
        <v>1.8382000000000001</v>
      </c>
      <c r="M330" s="194">
        <f>IF(K330&gt;0,(K330*$F$32-($F$29+$F$30)),"")</f>
        <v>1.9651999999999998</v>
      </c>
      <c r="N330" s="16">
        <f>IF('WetLitterbags placem_collection'!G37="","",'WetLitterbags placem_collection'!G37)</f>
        <v>42820</v>
      </c>
      <c r="O330" s="194">
        <f>IFERROR(INDEX('Both teabags AfterWet'!$C$3:$C$2000,MATCH(H330,'Both teabags AfterWet'!$A$3:$A$2000,0)),"")</f>
        <v>0.71699999999999997</v>
      </c>
      <c r="P330" s="194">
        <f>IFERROR(INDEX('Both teabags AfterWet'!$C$3:$C$2000,MATCH(I330,'Both teabags AfterWet'!$A$3:$A$2000,0)),"")</f>
        <v>1.498</v>
      </c>
      <c r="Q330" s="194">
        <f t="shared" si="22"/>
        <v>0.56640000000000001</v>
      </c>
      <c r="R330" s="194">
        <f t="shared" si="22"/>
        <v>1.3473999999999999</v>
      </c>
      <c r="S330" s="194">
        <f t="shared" si="23"/>
        <v>0.69187248395169187</v>
      </c>
      <c r="T330" s="194">
        <f t="shared" si="24"/>
        <v>0.45357911061916145</v>
      </c>
      <c r="U330" s="194">
        <f t="shared" si="25"/>
        <v>0.68562996132709142</v>
      </c>
      <c r="V330">
        <f>IFERROR(IF((N330-G330)&gt;0,(IFERROR(N330-G330,"")),""),"")</f>
        <v>55</v>
      </c>
      <c r="W330" s="194">
        <f t="shared" si="26"/>
        <v>0.1782987126464467</v>
      </c>
      <c r="X330" s="194">
        <f t="shared" si="27"/>
        <v>2.1476232384032914E-2</v>
      </c>
      <c r="Y330" s="252" t="str">
        <f>IF(ISNUMBER(SEARCH("C",'WetLitterbags placem_collection'!$Y37)),"YES","NO")</f>
        <v>NO</v>
      </c>
      <c r="Z330" s="252" t="str">
        <f>IF(ISNUMBER(SEARCH("H", 'WetLitterbags placem_collection'!$Y37)),"YES","NO")</f>
        <v>NO</v>
      </c>
      <c r="AA330" s="252" t="str">
        <f>IF(ISNUMBER(SEARCH("R", 'WetLitterbags placem_collection'!$Y37)),"YES","NO")</f>
        <v>YES</v>
      </c>
      <c r="AB330" s="252" t="str">
        <f>IF(ISNUMBER(SEARCH("C", 'WetLitterbags placem_collection'!$W37)),"YES","NO")</f>
        <v>NO</v>
      </c>
      <c r="AC330" s="252" t="str">
        <f>IF(ISNUMBER(SEARCH("H", 'WetLitterbags placem_collection'!$W37)),"YES","NO")</f>
        <v>NO</v>
      </c>
      <c r="AD330" s="252" t="str">
        <f>IF(ISNUMBER(SEARCH("R", 'WetLitterbags placem_collection'!$W37)),"YES","NO")</f>
        <v>NO</v>
      </c>
    </row>
    <row r="331" spans="2:30">
      <c r="B331" t="str">
        <f>'Final data_for_R_analysis_Wetse'!A477</f>
        <v>Wet</v>
      </c>
      <c r="C331" s="260">
        <f>'Final data_for_R_analysis_Wetse'!B477</f>
        <v>36</v>
      </c>
      <c r="D331" t="s">
        <v>3805</v>
      </c>
      <c r="E331" t="s">
        <v>25</v>
      </c>
      <c r="F331" s="382">
        <v>4</v>
      </c>
      <c r="G331" s="16">
        <f>'WetLitterbags placem_collection'!E38</f>
        <v>42765</v>
      </c>
      <c r="H331" s="92" t="str">
        <f>'Final data_for_R_analysis_Wetse'!K477</f>
        <v>G550</v>
      </c>
      <c r="I331" t="str">
        <f>'Final data_for_R_analysis_Wetse'!K697</f>
        <v>R97</v>
      </c>
      <c r="J331">
        <f>IFERROR(INDEX('Green_rooibos initial weight'!$C$5:$C$2000,MATCH(H331, 'Green_rooibos initial weight'!$A$5:$A$2000,0)),"")</f>
        <v>2.097</v>
      </c>
      <c r="K331">
        <f>IFERROR(INDEX('Green_rooibos initial weight'!$C$5:$C$2000,MATCH(I331, 'Green_rooibos initial weight'!$A$5:$A$2000,0)),"")</f>
        <v>2.2959999999999998</v>
      </c>
      <c r="L331" s="194">
        <f t="shared" si="21"/>
        <v>1.8472</v>
      </c>
      <c r="M331" s="194">
        <f>IF(K331&gt;0,(K331*$F$32-($F$29+$F$30)),"")</f>
        <v>2.0461999999999998</v>
      </c>
      <c r="N331" s="16">
        <f>IF('WetLitterbags placem_collection'!G38="","",'WetLitterbags placem_collection'!G38)</f>
        <v>42820</v>
      </c>
      <c r="O331" s="194">
        <f>IFERROR(INDEX('Both teabags AfterWet'!$C$3:$C$2000,MATCH(H331,'Both teabags AfterWet'!$A$3:$A$2000,0)),"")</f>
        <v>0.72199999999999998</v>
      </c>
      <c r="P331" s="194">
        <f>IFERROR(INDEX('Both teabags AfterWet'!$C$3:$C$2000,MATCH(I331,'Both teabags AfterWet'!$A$3:$A$2000,0)),"")</f>
        <v>1.671</v>
      </c>
      <c r="Q331" s="194">
        <f t="shared" si="22"/>
        <v>0.57139999999999991</v>
      </c>
      <c r="R331" s="194">
        <f t="shared" si="22"/>
        <v>1.5204</v>
      </c>
      <c r="S331" s="194">
        <f t="shared" si="23"/>
        <v>0.69066695539194467</v>
      </c>
      <c r="T331" s="194">
        <f t="shared" si="24"/>
        <v>0.452788787857902</v>
      </c>
      <c r="U331" s="194">
        <f t="shared" si="25"/>
        <v>0.74303587137132254</v>
      </c>
      <c r="V331">
        <f>IFERROR(IF((N331-G331)&gt;0,(IFERROR(N331-G331,"")),""),"")</f>
        <v>55</v>
      </c>
      <c r="W331" s="194">
        <f t="shared" si="26"/>
        <v>0.17973045677916311</v>
      </c>
      <c r="X331" s="194">
        <f t="shared" si="27"/>
        <v>1.5240110940233179E-2</v>
      </c>
      <c r="Y331" s="252" t="str">
        <f>IF(ISNUMBER(SEARCH("C",'WetLitterbags placem_collection'!$Y38)),"YES","NO")</f>
        <v>NO</v>
      </c>
      <c r="Z331" s="252" t="str">
        <f>IF(ISNUMBER(SEARCH("H", 'WetLitterbags placem_collection'!$Y38)),"YES","NO")</f>
        <v>NO</v>
      </c>
      <c r="AA331" s="252" t="str">
        <f>IF(ISNUMBER(SEARCH("R", 'WetLitterbags placem_collection'!$Y38)),"YES","NO")</f>
        <v>YES</v>
      </c>
      <c r="AB331" s="252" t="str">
        <f>IF(ISNUMBER(SEARCH("C", 'WetLitterbags placem_collection'!$W38)),"YES","NO")</f>
        <v>YES</v>
      </c>
      <c r="AC331" s="252" t="str">
        <f>IF(ISNUMBER(SEARCH("H", 'WetLitterbags placem_collection'!$W38)),"YES","NO")</f>
        <v>NO</v>
      </c>
      <c r="AD331" s="252" t="str">
        <f>IF(ISNUMBER(SEARCH("R", 'WetLitterbags placem_collection'!$W38)),"YES","NO")</f>
        <v>YES</v>
      </c>
    </row>
    <row r="332" spans="2:30">
      <c r="B332" t="str">
        <f>'Final data_for_R_analysis_Wetse'!A478</f>
        <v>Wet</v>
      </c>
      <c r="C332" s="260">
        <f>'Final data_for_R_analysis_Wetse'!B478</f>
        <v>37</v>
      </c>
      <c r="D332" t="s">
        <v>3805</v>
      </c>
      <c r="E332" t="s">
        <v>25</v>
      </c>
      <c r="F332" s="382">
        <v>5</v>
      </c>
      <c r="G332" s="16">
        <f>'WetLitterbags placem_collection'!E39</f>
        <v>42765</v>
      </c>
      <c r="H332" s="92" t="str">
        <f>'Final data_for_R_analysis_Wetse'!K478</f>
        <v>G528</v>
      </c>
      <c r="I332" t="str">
        <f>'Final data_for_R_analysis_Wetse'!K698</f>
        <v>R89</v>
      </c>
      <c r="J332">
        <f>IFERROR(INDEX('Green_rooibos initial weight'!$C$5:$C$2000,MATCH(H332, 'Green_rooibos initial weight'!$A$5:$A$2000,0)),"")</f>
        <v>2.14</v>
      </c>
      <c r="K332">
        <f>IFERROR(INDEX('Green_rooibos initial weight'!$C$5:$C$2000,MATCH(I332, 'Green_rooibos initial weight'!$A$5:$A$2000,0)),"")</f>
        <v>2.1949999999999998</v>
      </c>
      <c r="L332" s="194">
        <f t="shared" si="21"/>
        <v>1.8902000000000001</v>
      </c>
      <c r="M332" s="194">
        <f>IF(K332&gt;0,(K332*$F$32-($F$29+$F$30)),"")</f>
        <v>1.9451999999999998</v>
      </c>
      <c r="N332" s="16">
        <f>IF('WetLitterbags placem_collection'!G39="","",'WetLitterbags placem_collection'!G39)</f>
        <v>42820</v>
      </c>
      <c r="O332" s="194">
        <f>IFERROR(INDEX('Both teabags AfterWet'!$C$3:$C$2000,MATCH(H332,'Both teabags AfterWet'!$A$3:$A$2000,0)),"")</f>
        <v>0.89600000000000002</v>
      </c>
      <c r="P332" s="194">
        <f>IFERROR(INDEX('Both teabags AfterWet'!$C$3:$C$2000,MATCH(I332,'Both teabags AfterWet'!$A$3:$A$2000,0)),"")</f>
        <v>1.425</v>
      </c>
      <c r="Q332" s="194">
        <f t="shared" si="22"/>
        <v>0.74540000000000006</v>
      </c>
      <c r="R332" s="194">
        <f t="shared" si="22"/>
        <v>1.2744</v>
      </c>
      <c r="S332" s="194">
        <f t="shared" si="23"/>
        <v>0.60565019574648182</v>
      </c>
      <c r="T332" s="194">
        <f t="shared" si="24"/>
        <v>0.39705333497869122</v>
      </c>
      <c r="U332" s="194">
        <f t="shared" si="25"/>
        <v>0.65515114127082053</v>
      </c>
      <c r="V332">
        <f>IFERROR(IF((N332-G332)&gt;0,(IFERROR(N332-G332,"")),""),"")</f>
        <v>55</v>
      </c>
      <c r="W332" s="194">
        <f t="shared" si="26"/>
        <v>0.28070048011106674</v>
      </c>
      <c r="X332" s="194">
        <f t="shared" si="27"/>
        <v>3.6889134065085948E-2</v>
      </c>
      <c r="Y332" s="252" t="str">
        <f>IF(ISNUMBER(SEARCH("C",'WetLitterbags placem_collection'!$Y39)),"YES","NO")</f>
        <v>NO</v>
      </c>
      <c r="Z332" s="252" t="str">
        <f>IF(ISNUMBER(SEARCH("H", 'WetLitterbags placem_collection'!$Y39)),"YES","NO")</f>
        <v>NO</v>
      </c>
      <c r="AA332" s="252" t="str">
        <f>IF(ISNUMBER(SEARCH("R", 'WetLitterbags placem_collection'!$Y39)),"YES","NO")</f>
        <v>YES</v>
      </c>
      <c r="AB332" s="252" t="str">
        <f>IF(ISNUMBER(SEARCH("C", 'WetLitterbags placem_collection'!$W39)),"YES","NO")</f>
        <v>YES</v>
      </c>
      <c r="AC332" s="252" t="str">
        <f>IF(ISNUMBER(SEARCH("H", 'WetLitterbags placem_collection'!$W39)),"YES","NO")</f>
        <v>YES</v>
      </c>
      <c r="AD332" s="252" t="str">
        <f>IF(ISNUMBER(SEARCH("R", 'WetLitterbags placem_collection'!$W39)),"YES","NO")</f>
        <v>YES</v>
      </c>
    </row>
    <row r="333" spans="2:30">
      <c r="B333" t="str">
        <f>'Final data_for_R_analysis_Wetse'!A479</f>
        <v>Wet</v>
      </c>
      <c r="C333" s="260">
        <f>'Final data_for_R_analysis_Wetse'!B479</f>
        <v>38</v>
      </c>
      <c r="D333" t="s">
        <v>3805</v>
      </c>
      <c r="E333" t="s">
        <v>25</v>
      </c>
      <c r="F333" s="382">
        <v>6</v>
      </c>
      <c r="G333" s="16">
        <f>'WetLitterbags placem_collection'!E40</f>
        <v>42765</v>
      </c>
      <c r="H333" s="92" t="str">
        <f>'Final data_for_R_analysis_Wetse'!K479</f>
        <v>G703</v>
      </c>
      <c r="I333" t="str">
        <f>'Final data_for_R_analysis_Wetse'!K699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28">IF(J333&gt;0,(J333*$F$31-($F$29+$F$30)),"")</f>
        <v>1.6661999999999999</v>
      </c>
      <c r="M333" s="194">
        <f>IF(K333&gt;0,(K333*$F$32-($F$29+$F$30)),"")</f>
        <v>1.9462000000000002</v>
      </c>
      <c r="N333" s="16">
        <f>IF('WetLitterbags placem_collection'!G40="","",'WetLitterbags placem_collection'!G40)</f>
        <v>42820</v>
      </c>
      <c r="O333" s="194">
        <f>IFERROR(INDEX('Both teabags AfterWet'!$C$3:$C$2000,MATCH(H333,'Both teabags AfterWet'!$A$3:$A$2000,0)),"")</f>
        <v>0.81899999999999995</v>
      </c>
      <c r="P333" s="194">
        <f>IFERROR(INDEX('Both teabags AfterWet'!$C$3:$C$2000,MATCH(I333,'Both teabags AfterWet'!$A$3:$A$2000,0)),"")</f>
        <v>1.381</v>
      </c>
      <c r="Q333" s="194">
        <f t="shared" ref="Q333:R396" si="29">IFERROR(IF(O333&gt;0,O333-($F$29),""),"")</f>
        <v>0.66839999999999988</v>
      </c>
      <c r="R333" s="194">
        <f t="shared" si="29"/>
        <v>1.2303999999999999</v>
      </c>
      <c r="S333" s="194">
        <f t="shared" ref="S333:S396" si="30">IFERROR(1-Q333/L333,"")</f>
        <v>0.59884767734965794</v>
      </c>
      <c r="T333" s="194">
        <f t="shared" ref="T333:T396" si="31">IFERROR($F$26*(1-W333),"")</f>
        <v>0.39259372671854065</v>
      </c>
      <c r="U333" s="194">
        <f t="shared" ref="U333:U396" si="32">IFERROR(R333/M333,"")</f>
        <v>0.63220635083752952</v>
      </c>
      <c r="V333">
        <f>IFERROR(IF((N333-G333)&gt;0,(IFERROR(N333-G333,"")),""),"")</f>
        <v>55</v>
      </c>
      <c r="W333" s="194">
        <f t="shared" ref="W333:W396" si="33">IFERROR(1-(S333/$F$25),"")</f>
        <v>0.28877948058235392</v>
      </c>
      <c r="X333" s="194">
        <f t="shared" ref="X333:X396" si="34">IFERROR(LN(T333/(U333-(1-T333)))/V333,"")</f>
        <v>5.0216882226838067E-2</v>
      </c>
      <c r="Y333" s="252" t="str">
        <f>IF(ISNUMBER(SEARCH("C",'WetLitterbags placem_collection'!$Y40)),"YES","NO")</f>
        <v>NO</v>
      </c>
      <c r="Z333" s="252" t="str">
        <f>IF(ISNUMBER(SEARCH("H", 'WetLitterbags placem_collection'!$Y40)),"YES","NO")</f>
        <v>NO</v>
      </c>
      <c r="AA333" s="252" t="str">
        <f>IF(ISNUMBER(SEARCH("R", 'WetLitterbags placem_collection'!$Y40)),"YES","NO")</f>
        <v>NO</v>
      </c>
      <c r="AB333" s="252" t="str">
        <f>IF(ISNUMBER(SEARCH("C", 'WetLitterbags placem_collection'!$W40)),"YES","NO")</f>
        <v>YES</v>
      </c>
      <c r="AC333" s="252" t="str">
        <f>IF(ISNUMBER(SEARCH("H", 'WetLitterbags placem_collection'!$W40)),"YES","NO")</f>
        <v>YES</v>
      </c>
      <c r="AD333" s="252" t="str">
        <f>IF(ISNUMBER(SEARCH("R", 'WetLitterbags placem_collection'!$W40)),"YES","NO")</f>
        <v>NO</v>
      </c>
    </row>
    <row r="334" spans="2:30">
      <c r="B334" t="str">
        <f>'Final data_for_R_analysis_Wetse'!A480</f>
        <v>Wet</v>
      </c>
      <c r="C334" s="260">
        <f>'Final data_for_R_analysis_Wetse'!B480</f>
        <v>39</v>
      </c>
      <c r="D334" t="s">
        <v>3805</v>
      </c>
      <c r="E334" t="s">
        <v>25</v>
      </c>
      <c r="F334" s="382">
        <v>7</v>
      </c>
      <c r="G334" s="16">
        <f>'WetLitterbags placem_collection'!E41</f>
        <v>42765</v>
      </c>
      <c r="H334" s="92" t="str">
        <f>'Final data_for_R_analysis_Wetse'!K480</f>
        <v>G566</v>
      </c>
      <c r="I334" t="str">
        <f>'Final data_for_R_analysis_Wetse'!K700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28"/>
        <v>1.7951999999999999</v>
      </c>
      <c r="M334" s="194">
        <f>IF(K334&gt;0,(K334*$F$32-($F$29+$F$30)),"")</f>
        <v>2.0061999999999998</v>
      </c>
      <c r="N334" s="16">
        <f>IF('WetLitterbags placem_collection'!G41="","",'WetLitterbags placem_collection'!G41)</f>
        <v>42820</v>
      </c>
      <c r="O334" s="194">
        <f>IFERROR(INDEX('Both teabags AfterWet'!$C$3:$C$2000,MATCH(H334,'Both teabags AfterWet'!$A$3:$A$2000,0)),"")</f>
        <v>0.78520000000000001</v>
      </c>
      <c r="P334" s="194">
        <f>IFERROR(INDEX('Both teabags AfterWet'!$C$3:$C$2000,MATCH(I334,'Both teabags AfterWet'!$A$3:$A$2000,0)),"")</f>
        <v>1.5185</v>
      </c>
      <c r="Q334" s="194">
        <f t="shared" si="29"/>
        <v>0.63460000000000005</v>
      </c>
      <c r="R334" s="194">
        <f t="shared" si="29"/>
        <v>1.3678999999999999</v>
      </c>
      <c r="S334" s="194">
        <f t="shared" si="30"/>
        <v>0.64650178253119428</v>
      </c>
      <c r="T334" s="194">
        <f t="shared" si="31"/>
        <v>0.42383489781142436</v>
      </c>
      <c r="U334" s="194">
        <f t="shared" si="32"/>
        <v>0.68183630744691459</v>
      </c>
      <c r="V334">
        <f>IFERROR(IF((N334-G334)&gt;0,(IFERROR(N334-G334,"")),""),"")</f>
        <v>55</v>
      </c>
      <c r="W334" s="194">
        <f t="shared" si="33"/>
        <v>0.23218315613872409</v>
      </c>
      <c r="X334" s="194">
        <f t="shared" si="34"/>
        <v>2.5254755476120237E-2</v>
      </c>
      <c r="Y334" s="252" t="str">
        <f>IF(ISNUMBER(SEARCH("C",'WetLitterbags placem_collection'!$Y41)),"YES","NO")</f>
        <v>NO</v>
      </c>
      <c r="Z334" s="252" t="str">
        <f>IF(ISNUMBER(SEARCH("H", 'WetLitterbags placem_collection'!$Y41)),"YES","NO")</f>
        <v>NO</v>
      </c>
      <c r="AA334" s="252" t="str">
        <f>IF(ISNUMBER(SEARCH("R", 'WetLitterbags placem_collection'!$Y41)),"YES","NO")</f>
        <v>YES</v>
      </c>
      <c r="AB334" s="252" t="str">
        <f>IF(ISNUMBER(SEARCH("C", 'WetLitterbags placem_collection'!$W41)),"YES","NO")</f>
        <v>NO</v>
      </c>
      <c r="AC334" s="252" t="str">
        <f>IF(ISNUMBER(SEARCH("H", 'WetLitterbags placem_collection'!$W41)),"YES","NO")</f>
        <v>NO</v>
      </c>
      <c r="AD334" s="252" t="str">
        <f>IF(ISNUMBER(SEARCH("R", 'WetLitterbags placem_collection'!$W41)),"YES","NO")</f>
        <v>YES</v>
      </c>
    </row>
    <row r="335" spans="2:30">
      <c r="B335" t="str">
        <f>'Final data_for_R_analysis_Wetse'!A481</f>
        <v>Wet</v>
      </c>
      <c r="C335" s="260">
        <f>'Final data_for_R_analysis_Wetse'!B481</f>
        <v>40</v>
      </c>
      <c r="D335" t="s">
        <v>3805</v>
      </c>
      <c r="E335" t="s">
        <v>25</v>
      </c>
      <c r="F335" s="382">
        <v>8</v>
      </c>
      <c r="G335" s="16">
        <f>'WetLitterbags placem_collection'!E42</f>
        <v>42765</v>
      </c>
      <c r="H335" s="92" t="str">
        <f>'Final data_for_R_analysis_Wetse'!K481</f>
        <v>G619</v>
      </c>
      <c r="I335" t="str">
        <f>'Final data_for_R_analysis_Wetse'!K701</f>
        <v>R420</v>
      </c>
      <c r="J335">
        <f>IFERROR(INDEX('Green_rooibos initial weight'!$C$5:$C$2000,MATCH(H335, 'Green_rooibos initial weight'!$A$5:$A$2000,0)),"")</f>
        <v>2.036</v>
      </c>
      <c r="K335">
        <f>IFERROR(INDEX('Green_rooibos initial weight'!$C$5:$C$2000,MATCH(I335, 'Green_rooibos initial weight'!$A$5:$A$2000,0)),"")</f>
        <v>2.2749999999999999</v>
      </c>
      <c r="L335" s="194">
        <f t="shared" si="28"/>
        <v>1.7862</v>
      </c>
      <c r="M335" s="194">
        <f>IF(K335&gt;0,(K335*$F$32-($F$29+$F$30)),"")</f>
        <v>2.0251999999999999</v>
      </c>
      <c r="N335" s="16">
        <f>IF('WetLitterbags placem_collection'!G42="","",'WetLitterbags placem_collection'!G42)</f>
        <v>42820</v>
      </c>
      <c r="O335" s="194">
        <f>IFERROR(INDEX('Both teabags AfterWet'!$C$3:$C$2000,MATCH(H335,'Both teabags AfterWet'!$A$3:$A$2000,0)),"")</f>
        <v>0.70599999999999996</v>
      </c>
      <c r="P335" s="194">
        <f>IFERROR(INDEX('Both teabags AfterWet'!$C$3:$C$2000,MATCH(I335,'Both teabags AfterWet'!$A$3:$A$2000,0)),"")</f>
        <v>1.66</v>
      </c>
      <c r="Q335" s="194">
        <f t="shared" si="29"/>
        <v>0.55539999999999989</v>
      </c>
      <c r="R335" s="194">
        <f t="shared" si="29"/>
        <v>1.5093999999999999</v>
      </c>
      <c r="S335" s="194">
        <f t="shared" si="30"/>
        <v>0.68906057552345767</v>
      </c>
      <c r="T335" s="194">
        <f t="shared" si="31"/>
        <v>0.4517356742149034</v>
      </c>
      <c r="U335" s="194">
        <f t="shared" si="32"/>
        <v>0.74530910527355321</v>
      </c>
      <c r="V335">
        <f>IFERROR(IF((N335-G335)&gt;0,(IFERROR(N335-G335,"")),""),"")</f>
        <v>55</v>
      </c>
      <c r="W335" s="194">
        <f t="shared" si="33"/>
        <v>0.1816382713498127</v>
      </c>
      <c r="X335" s="194">
        <f t="shared" si="34"/>
        <v>1.5084840131988145E-2</v>
      </c>
      <c r="Y335" s="252" t="str">
        <f>IF(ISNUMBER(SEARCH("C",'WetLitterbags placem_collection'!$Y42)),"YES","NO")</f>
        <v>NO</v>
      </c>
      <c r="Z335" s="252" t="str">
        <f>IF(ISNUMBER(SEARCH("H", 'WetLitterbags placem_collection'!$Y42)),"YES","NO")</f>
        <v>NO</v>
      </c>
      <c r="AA335" s="252" t="str">
        <f>IF(ISNUMBER(SEARCH("R", 'WetLitterbags placem_collection'!$Y42)),"YES","NO")</f>
        <v>NO</v>
      </c>
      <c r="AB335" s="252" t="str">
        <f>IF(ISNUMBER(SEARCH("C", 'WetLitterbags placem_collection'!$W42)),"YES","NO")</f>
        <v>NO</v>
      </c>
      <c r="AC335" s="252" t="str">
        <f>IF(ISNUMBER(SEARCH("H", 'WetLitterbags placem_collection'!$W42)),"YES","NO")</f>
        <v>YES</v>
      </c>
      <c r="AD335" s="252" t="str">
        <f>IF(ISNUMBER(SEARCH("R", 'WetLitterbags placem_collection'!$W42)),"YES","NO")</f>
        <v>NO</v>
      </c>
    </row>
    <row r="336" spans="2:30">
      <c r="B336" t="str">
        <f>'Final data_for_R_analysis_Wetse'!A482</f>
        <v>Wet</v>
      </c>
      <c r="C336" s="260">
        <f>'Final data_for_R_analysis_Wetse'!B482</f>
        <v>41</v>
      </c>
      <c r="D336" t="s">
        <v>3807</v>
      </c>
      <c r="E336" t="s">
        <v>25</v>
      </c>
      <c r="F336" s="381">
        <v>1</v>
      </c>
      <c r="G336" s="16">
        <f>'WetLitterbags placem_collection'!E43</f>
        <v>42766</v>
      </c>
      <c r="H336" s="92" t="str">
        <f>'Final data_for_R_analysis_Wetse'!K482</f>
        <v>G626</v>
      </c>
      <c r="I336" t="str">
        <f>'Final data_for_R_analysis_Wetse'!K702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28"/>
        <v>1.8681999999999999</v>
      </c>
      <c r="M336" s="194">
        <f>IF(K336&gt;0,(K336*$F$32-($F$29+$F$30)),"")</f>
        <v>1.9251999999999998</v>
      </c>
      <c r="N336" s="16">
        <f>IF('WetLitterbags placem_collection'!G43="","",'WetLitterbags placem_collection'!G43)</f>
        <v>42820</v>
      </c>
      <c r="O336" s="194">
        <f>IFERROR(INDEX('Both teabags AfterWet'!$C$3:$C$2000,MATCH(H336,'Both teabags AfterWet'!$A$3:$A$2000,0)),"")</f>
        <v>0.82899999999999996</v>
      </c>
      <c r="P336" s="194">
        <f>IFERROR(INDEX('Both teabags AfterWet'!$C$3:$C$2000,MATCH(I336,'Both teabags AfterWet'!$A$3:$A$2000,0)),"")</f>
        <v>1.5429999999999999</v>
      </c>
      <c r="Q336" s="194">
        <f t="shared" si="29"/>
        <v>0.67839999999999989</v>
      </c>
      <c r="R336" s="194">
        <f t="shared" si="29"/>
        <v>1.3923999999999999</v>
      </c>
      <c r="S336" s="194">
        <f t="shared" si="30"/>
        <v>0.63686971416336591</v>
      </c>
      <c r="T336" s="194">
        <f t="shared" si="31"/>
        <v>0.41752028767004512</v>
      </c>
      <c r="U336" s="194">
        <f t="shared" si="32"/>
        <v>0.72324953251610224</v>
      </c>
      <c r="V336">
        <f>IFERROR(IF((N336-G336)&gt;0,(IFERROR(N336-G336,"")),""),"")</f>
        <v>54</v>
      </c>
      <c r="W336" s="194">
        <f t="shared" si="33"/>
        <v>0.24362266726441106</v>
      </c>
      <c r="X336" s="194">
        <f t="shared" si="34"/>
        <v>2.0133464089853531E-2</v>
      </c>
      <c r="Y336" s="252" t="str">
        <f>IF(ISNUMBER(SEARCH("C",'WetLitterbags placem_collection'!$Y43)),"YES","NO")</f>
        <v>NO</v>
      </c>
      <c r="Z336" s="252" t="str">
        <f>IF(ISNUMBER(SEARCH("H", 'WetLitterbags placem_collection'!$Y43)),"YES","NO")</f>
        <v>NO</v>
      </c>
      <c r="AA336" s="252" t="str">
        <f>IF(ISNUMBER(SEARCH("R", 'WetLitterbags placem_collection'!$Y43)),"YES","NO")</f>
        <v>YES</v>
      </c>
      <c r="AB336" s="252" t="str">
        <f>IF(ISNUMBER(SEARCH("C", 'WetLitterbags placem_collection'!$W43)),"YES","NO")</f>
        <v>NO</v>
      </c>
      <c r="AC336" s="252" t="str">
        <f>IF(ISNUMBER(SEARCH("H", 'WetLitterbags placem_collection'!$W43)),"YES","NO")</f>
        <v>NO</v>
      </c>
      <c r="AD336" s="252" t="str">
        <f>IF(ISNUMBER(SEARCH("R", 'WetLitterbags placem_collection'!$W43)),"YES","NO")</f>
        <v>NO</v>
      </c>
    </row>
    <row r="337" spans="2:30">
      <c r="B337" t="str">
        <f>'Final data_for_R_analysis_Wetse'!A483</f>
        <v>Wet</v>
      </c>
      <c r="C337" s="260">
        <f>'Final data_for_R_analysis_Wetse'!B483</f>
        <v>42</v>
      </c>
      <c r="D337" t="s">
        <v>3807</v>
      </c>
      <c r="E337" t="s">
        <v>25</v>
      </c>
      <c r="F337" s="381">
        <v>2</v>
      </c>
      <c r="G337" s="16">
        <f>'WetLitterbags placem_collection'!E44</f>
        <v>42766</v>
      </c>
      <c r="H337" s="92" t="str">
        <f>'Final data_for_R_analysis_Wetse'!K483</f>
        <v>G437</v>
      </c>
      <c r="I337" t="str">
        <f>'Final data_for_R_analysis_Wetse'!K703</f>
        <v>R81</v>
      </c>
      <c r="J337">
        <f>IFERROR(INDEX('Green_rooibos initial weight'!$C$5:$C$2000,MATCH(H337, 'Green_rooibos initial weight'!$A$5:$A$2000,0)),"")</f>
        <v>2.1230000000000002</v>
      </c>
      <c r="K337">
        <f>IFERROR(INDEX('Green_rooibos initial weight'!$C$5:$C$2000,MATCH(I337, 'Green_rooibos initial weight'!$A$5:$A$2000,0)),"")</f>
        <v>2.004</v>
      </c>
      <c r="L337" s="194">
        <f t="shared" si="28"/>
        <v>1.8732000000000002</v>
      </c>
      <c r="M337" s="194">
        <f>IF(K337&gt;0,(K337*$F$32-($F$29+$F$30)),"")</f>
        <v>1.7542</v>
      </c>
      <c r="N337" s="16">
        <f>IF('WetLitterbags placem_collection'!G44="","",'WetLitterbags placem_collection'!G44)</f>
        <v>42820</v>
      </c>
      <c r="O337" s="194">
        <f>IFERROR(INDEX('Both teabags AfterWet'!$C$3:$C$2000,MATCH(H337,'Both teabags AfterWet'!$A$3:$A$2000,0)),"")</f>
        <v>0.64</v>
      </c>
      <c r="P337" s="194">
        <f>IFERROR(INDEX('Both teabags AfterWet'!$C$3:$C$2000,MATCH(I337,'Both teabags AfterWet'!$A$3:$A$2000,0)),"")</f>
        <v>1.528</v>
      </c>
      <c r="Q337" s="194">
        <f t="shared" si="29"/>
        <v>0.4894</v>
      </c>
      <c r="R337" s="194">
        <f t="shared" si="29"/>
        <v>1.3774</v>
      </c>
      <c r="S337" s="194">
        <f t="shared" si="30"/>
        <v>0.73873585308562895</v>
      </c>
      <c r="T337" s="194">
        <f t="shared" si="31"/>
        <v>0.48430188943380909</v>
      </c>
      <c r="U337" s="194">
        <f t="shared" si="32"/>
        <v>0.785201231330521</v>
      </c>
      <c r="V337">
        <f>IFERROR(IF((N337-G337)&gt;0,(IFERROR(N337-G337,"")),""),"")</f>
        <v>54</v>
      </c>
      <c r="W337" s="194">
        <f t="shared" si="33"/>
        <v>0.12264150464889667</v>
      </c>
      <c r="X337" s="194">
        <f t="shared" si="34"/>
        <v>1.0854231123327503E-2</v>
      </c>
      <c r="Y337" s="252" t="str">
        <f>IF(ISNUMBER(SEARCH("C",'WetLitterbags placem_collection'!$Y44)),"YES","NO")</f>
        <v>NO</v>
      </c>
      <c r="Z337" s="252" t="str">
        <f>IF(ISNUMBER(SEARCH("H", 'WetLitterbags placem_collection'!$Y44)),"YES","NO")</f>
        <v>NO</v>
      </c>
      <c r="AA337" s="252" t="str">
        <f>IF(ISNUMBER(SEARCH("R", 'WetLitterbags placem_collection'!$Y44)),"YES","NO")</f>
        <v>NO</v>
      </c>
      <c r="AB337" s="252" t="str">
        <f>IF(ISNUMBER(SEARCH("C", 'WetLitterbags placem_collection'!$W44)),"YES","NO")</f>
        <v>NO</v>
      </c>
      <c r="AC337" s="252" t="str">
        <f>IF(ISNUMBER(SEARCH("H", 'WetLitterbags placem_collection'!$W44)),"YES","NO")</f>
        <v>NO</v>
      </c>
      <c r="AD337" s="252" t="str">
        <f>IF(ISNUMBER(SEARCH("R", 'WetLitterbags placem_collection'!$W44)),"YES","NO")</f>
        <v>NO</v>
      </c>
    </row>
    <row r="338" spans="2:30">
      <c r="B338" t="str">
        <f>'Final data_for_R_analysis_Wetse'!A484</f>
        <v>Wet</v>
      </c>
      <c r="C338" s="260">
        <f>'Final data_for_R_analysis_Wetse'!B484</f>
        <v>43</v>
      </c>
      <c r="D338" t="s">
        <v>3807</v>
      </c>
      <c r="E338" t="s">
        <v>25</v>
      </c>
      <c r="F338" s="381">
        <v>3</v>
      </c>
      <c r="G338" s="16">
        <f>'WetLitterbags placem_collection'!E45</f>
        <v>42766</v>
      </c>
      <c r="H338" s="92" t="str">
        <f>'Final data_for_R_analysis_Wetse'!K484</f>
        <v>G643</v>
      </c>
      <c r="I338" t="str">
        <f>'Final data_for_R_analysis_Wetse'!K704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28"/>
        <v>1.8012000000000001</v>
      </c>
      <c r="M338" s="194">
        <f>IF(K338&gt;0,(K338*$F$32-($F$29+$F$30)),"")</f>
        <v>1.9531999999999998</v>
      </c>
      <c r="N338" s="16">
        <f>IF('WetLitterbags placem_collection'!G45="","",'WetLitterbags placem_collection'!G45)</f>
        <v>42820</v>
      </c>
      <c r="O338" s="194">
        <f>IFERROR(INDEX('Both teabags AfterWet'!$C$3:$C$2000,MATCH(H338,'Both teabags AfterWet'!$A$3:$A$2000,0)),"")</f>
        <v>0.74509999999999998</v>
      </c>
      <c r="P338" s="194">
        <f>IFERROR(INDEX('Both teabags AfterWet'!$C$3:$C$2000,MATCH(I338,'Both teabags AfterWet'!$A$3:$A$2000,0)),"")</f>
        <v>1.6155999999999999</v>
      </c>
      <c r="Q338" s="194">
        <f t="shared" si="29"/>
        <v>0.59450000000000003</v>
      </c>
      <c r="R338" s="194">
        <f t="shared" si="29"/>
        <v>1.4649999999999999</v>
      </c>
      <c r="S338" s="194">
        <f t="shared" si="30"/>
        <v>0.6699422607150789</v>
      </c>
      <c r="T338" s="194">
        <f t="shared" si="31"/>
        <v>0.43920205215525371</v>
      </c>
      <c r="U338" s="194">
        <f t="shared" si="32"/>
        <v>0.75005119803399545</v>
      </c>
      <c r="V338">
        <f>IFERROR(IF((N338-G338)&gt;0,(IFERROR(N338-G338,"")),""),"")</f>
        <v>54</v>
      </c>
      <c r="W338" s="194">
        <f t="shared" si="33"/>
        <v>0.20434410841439554</v>
      </c>
      <c r="X338" s="194">
        <f t="shared" si="34"/>
        <v>1.5590249934211918E-2</v>
      </c>
      <c r="Y338" s="252" t="str">
        <f>IF(ISNUMBER(SEARCH("C",'WetLitterbags placem_collection'!$Y45)),"YES","NO")</f>
        <v>NO</v>
      </c>
      <c r="Z338" s="252" t="str">
        <f>IF(ISNUMBER(SEARCH("H", 'WetLitterbags placem_collection'!$Y45)),"YES","NO")</f>
        <v>NO</v>
      </c>
      <c r="AA338" s="252" t="str">
        <f>IF(ISNUMBER(SEARCH("R", 'WetLitterbags placem_collection'!$Y45)),"YES","NO")</f>
        <v>YES</v>
      </c>
      <c r="AB338" s="252" t="str">
        <f>IF(ISNUMBER(SEARCH("C", 'WetLitterbags placem_collection'!$W45)),"YES","NO")</f>
        <v>YES</v>
      </c>
      <c r="AC338" s="252" t="str">
        <f>IF(ISNUMBER(SEARCH("H", 'WetLitterbags placem_collection'!$W45)),"YES","NO")</f>
        <v>YES</v>
      </c>
      <c r="AD338" s="252" t="str">
        <f>IF(ISNUMBER(SEARCH("R", 'WetLitterbags placem_collection'!$W45)),"YES","NO")</f>
        <v>NO</v>
      </c>
    </row>
    <row r="339" spans="2:30">
      <c r="B339" t="str">
        <f>'Final data_for_R_analysis_Wetse'!A485</f>
        <v>Wet</v>
      </c>
      <c r="C339" s="260">
        <f>'Final data_for_R_analysis_Wetse'!B485</f>
        <v>44</v>
      </c>
      <c r="D339" t="s">
        <v>3807</v>
      </c>
      <c r="E339" t="s">
        <v>25</v>
      </c>
      <c r="F339" s="382">
        <v>4</v>
      </c>
      <c r="G339" s="16">
        <f>'WetLitterbags placem_collection'!E46</f>
        <v>42766</v>
      </c>
      <c r="H339" s="92" t="str">
        <f>'Final data_for_R_analysis_Wetse'!K485</f>
        <v>G283</v>
      </c>
      <c r="I339" t="str">
        <f>'Final data_for_R_analysis_Wetse'!K705</f>
        <v>R6</v>
      </c>
      <c r="J339">
        <f>IFERROR(INDEX('Green_rooibos initial weight'!$C$5:$C$2000,MATCH(H339, 'Green_rooibos initial weight'!$A$5:$A$2000,0)),"")</f>
        <v>1.8660000000000001</v>
      </c>
      <c r="K339">
        <f>IFERROR(INDEX('Green_rooibos initial weight'!$C$5:$C$2000,MATCH(I339, 'Green_rooibos initial weight'!$A$5:$A$2000,0)),"")</f>
        <v>2.226</v>
      </c>
      <c r="L339" s="194">
        <f t="shared" si="28"/>
        <v>1.6162000000000001</v>
      </c>
      <c r="M339" s="194">
        <f>IF(K339&gt;0,(K339*$F$32-($F$29+$F$30)),"")</f>
        <v>1.9762</v>
      </c>
      <c r="N339" s="16">
        <f>IF('WetLitterbags placem_collection'!G46="","",'WetLitterbags placem_collection'!G46)</f>
        <v>42820</v>
      </c>
      <c r="O339" s="194">
        <f>IFERROR(INDEX('Both teabags AfterWet'!$C$3:$C$2000,MATCH(H339,'Both teabags AfterWet'!$A$3:$A$2000,0)),"")</f>
        <v>0.80830000000000002</v>
      </c>
      <c r="P339" s="194">
        <f>IFERROR(INDEX('Both teabags AfterWet'!$C$3:$C$2000,MATCH(I339,'Both teabags AfterWet'!$A$3:$A$2000,0)),"")</f>
        <v>1.5294000000000001</v>
      </c>
      <c r="Q339" s="194">
        <f t="shared" si="29"/>
        <v>0.65769999999999995</v>
      </c>
      <c r="R339" s="194">
        <f t="shared" si="29"/>
        <v>1.3788</v>
      </c>
      <c r="S339" s="194">
        <f t="shared" si="30"/>
        <v>0.59305778987749047</v>
      </c>
      <c r="T339" s="194">
        <f t="shared" si="31"/>
        <v>0.3887979810123216</v>
      </c>
      <c r="U339" s="194">
        <f t="shared" si="32"/>
        <v>0.6977026616739197</v>
      </c>
      <c r="V339">
        <f>IFERROR(IF((N339-G339)&gt;0,(IFERROR(N339-G339,"")),""),"")</f>
        <v>54</v>
      </c>
      <c r="W339" s="194">
        <f t="shared" si="33"/>
        <v>0.29565583149941743</v>
      </c>
      <c r="X339" s="194">
        <f t="shared" si="34"/>
        <v>2.783163029433855E-2</v>
      </c>
      <c r="Y339" s="252" t="str">
        <f>IF(ISNUMBER(SEARCH("C",'WetLitterbags placem_collection'!$Y46)),"YES","NO")</f>
        <v>NO</v>
      </c>
      <c r="Z339" s="252" t="str">
        <f>IF(ISNUMBER(SEARCH("H", 'WetLitterbags placem_collection'!$Y46)),"YES","NO")</f>
        <v>NO</v>
      </c>
      <c r="AA339" s="252" t="str">
        <f>IF(ISNUMBER(SEARCH("R", 'WetLitterbags placem_collection'!$Y46)),"YES","NO")</f>
        <v>NO</v>
      </c>
      <c r="AB339" s="252" t="str">
        <f>IF(ISNUMBER(SEARCH("C", 'WetLitterbags placem_collection'!$W46)),"YES","NO")</f>
        <v>NO</v>
      </c>
      <c r="AC339" s="252" t="str">
        <f>IF(ISNUMBER(SEARCH("H", 'WetLitterbags placem_collection'!$W46)),"YES","NO")</f>
        <v>NO</v>
      </c>
      <c r="AD339" s="252" t="str">
        <f>IF(ISNUMBER(SEARCH("R", 'WetLitterbags placem_collection'!$W46)),"YES","NO")</f>
        <v>YES</v>
      </c>
    </row>
    <row r="340" spans="2:30">
      <c r="B340" t="str">
        <f>'Final data_for_R_analysis_Wetse'!A486</f>
        <v>Wet</v>
      </c>
      <c r="C340" s="260">
        <f>'Final data_for_R_analysis_Wetse'!B486</f>
        <v>45</v>
      </c>
      <c r="D340" t="s">
        <v>3807</v>
      </c>
      <c r="E340" t="s">
        <v>25</v>
      </c>
      <c r="F340" s="382">
        <v>5</v>
      </c>
      <c r="G340" s="16">
        <f>'WetLitterbags placem_collection'!E47</f>
        <v>42766</v>
      </c>
      <c r="H340" s="92" t="str">
        <f>'Final data_for_R_analysis_Wetse'!K486</f>
        <v>G602</v>
      </c>
      <c r="I340" t="str">
        <f>'Final data_for_R_analysis_Wetse'!K706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28"/>
        <v>1.8532000000000002</v>
      </c>
      <c r="M340" s="194">
        <f>IF(K340&gt;0,(K340*$F$32-($F$29+$F$30)),"")</f>
        <v>2.0842000000000001</v>
      </c>
      <c r="N340" s="16">
        <f>IF('WetLitterbags placem_collection'!G47="","",'WetLitterbags placem_collection'!G47)</f>
        <v>42820</v>
      </c>
      <c r="O340" s="194">
        <f>IFERROR(INDEX('Both teabags AfterWet'!$C$3:$C$2000,MATCH(H340,'Both teabags AfterWet'!$A$3:$A$2000,0)),"")</f>
        <v>0.77400000000000002</v>
      </c>
      <c r="P340" s="194">
        <f>IFERROR(INDEX('Both teabags AfterWet'!$C$3:$C$2000,MATCH(I340,'Both teabags AfterWet'!$A$3:$A$2000,0)),"")</f>
        <v>1.5923</v>
      </c>
      <c r="Q340" s="194">
        <f t="shared" si="29"/>
        <v>0.62339999999999995</v>
      </c>
      <c r="R340" s="194">
        <f t="shared" si="29"/>
        <v>1.4417</v>
      </c>
      <c r="S340" s="194">
        <f t="shared" si="30"/>
        <v>0.66360889272609547</v>
      </c>
      <c r="T340" s="194">
        <f t="shared" si="31"/>
        <v>0.43505001043325975</v>
      </c>
      <c r="U340" s="194">
        <f t="shared" si="32"/>
        <v>0.69172824105172248</v>
      </c>
      <c r="V340">
        <f>IFERROR(IF((N340-G340)&gt;0,(IFERROR(N340-G340,"")),""),"")</f>
        <v>54</v>
      </c>
      <c r="W340" s="194">
        <f t="shared" si="33"/>
        <v>0.21186592312815267</v>
      </c>
      <c r="X340" s="194">
        <f t="shared" si="34"/>
        <v>2.2833731147385787E-2</v>
      </c>
      <c r="Y340" s="252" t="str">
        <f>IF(ISNUMBER(SEARCH("C",'WetLitterbags placem_collection'!$Y47)),"YES","NO")</f>
        <v>NO</v>
      </c>
      <c r="Z340" s="252" t="str">
        <f>IF(ISNUMBER(SEARCH("H", 'WetLitterbags placem_collection'!$Y47)),"YES","NO")</f>
        <v>NO</v>
      </c>
      <c r="AA340" s="252" t="str">
        <f>IF(ISNUMBER(SEARCH("R", 'WetLitterbags placem_collection'!$Y47)),"YES","NO")</f>
        <v>NO</v>
      </c>
      <c r="AB340" s="252" t="str">
        <f>IF(ISNUMBER(SEARCH("C", 'WetLitterbags placem_collection'!$W47)),"YES","NO")</f>
        <v>NO</v>
      </c>
      <c r="AC340" s="252" t="str">
        <f>IF(ISNUMBER(SEARCH("H", 'WetLitterbags placem_collection'!$W47)),"YES","NO")</f>
        <v>NO</v>
      </c>
      <c r="AD340" s="252" t="str">
        <f>IF(ISNUMBER(SEARCH("R", 'WetLitterbags placem_collection'!$W47)),"YES","NO")</f>
        <v>NO</v>
      </c>
    </row>
    <row r="341" spans="2:30">
      <c r="B341" t="str">
        <f>'Final data_for_R_analysis_Wetse'!A487</f>
        <v>Wet</v>
      </c>
      <c r="C341" s="260">
        <f>'Final data_for_R_analysis_Wetse'!B487</f>
        <v>46</v>
      </c>
      <c r="D341" t="s">
        <v>3807</v>
      </c>
      <c r="E341" t="s">
        <v>25</v>
      </c>
      <c r="F341" s="382">
        <v>6</v>
      </c>
      <c r="G341" s="16">
        <f>'WetLitterbags placem_collection'!E48</f>
        <v>42766</v>
      </c>
      <c r="H341" s="92" t="str">
        <f>'Final data_for_R_analysis_Wetse'!K487</f>
        <v>G427</v>
      </c>
      <c r="I341" t="str">
        <f>'Final data_for_R_analysis_Wetse'!K707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28"/>
        <v>1.6461999999999999</v>
      </c>
      <c r="M341" s="194">
        <f>IF(K341&gt;0,(K341*$F$32-($F$29+$F$30)),"")</f>
        <v>1.9971999999999999</v>
      </c>
      <c r="N341" s="16">
        <f>IF('WetLitterbags placem_collection'!G48="","",'WetLitterbags placem_collection'!G48)</f>
        <v>42820</v>
      </c>
      <c r="O341" s="194" t="str">
        <f>IFERROR(INDEX('Both teabags AfterWet'!$C$3:$C$2000,MATCH(H341,'Both teabags AfterWet'!$A$3:$A$2000,0)),"")</f>
        <v/>
      </c>
      <c r="P341" s="194" t="str">
        <f>IFERROR(INDEX('Both teabags AfterWet'!$C$3:$C$2000,MATCH(I341,'Both teabags AfterWet'!$A$3:$A$2000,0)),"")</f>
        <v/>
      </c>
      <c r="Q341" s="194" t="str">
        <f t="shared" si="29"/>
        <v/>
      </c>
      <c r="R341" s="194" t="str">
        <f t="shared" si="29"/>
        <v/>
      </c>
      <c r="S341" s="194" t="str">
        <f t="shared" si="30"/>
        <v/>
      </c>
      <c r="T341" s="194" t="str">
        <f t="shared" si="31"/>
        <v/>
      </c>
      <c r="U341" s="194" t="str">
        <f t="shared" si="32"/>
        <v/>
      </c>
      <c r="V341">
        <f>IFERROR(IF((N341-G341)&gt;0,(IFERROR(N341-G341,"")),""),"")</f>
        <v>54</v>
      </c>
      <c r="W341" s="194" t="str">
        <f t="shared" si="33"/>
        <v/>
      </c>
      <c r="X341" s="194" t="str">
        <f t="shared" si="34"/>
        <v/>
      </c>
      <c r="Y341" s="252" t="str">
        <f>IF(ISNUMBER(SEARCH("C",'WetLitterbags placem_collection'!$Y48)),"YES","NO")</f>
        <v>NO</v>
      </c>
      <c r="Z341" s="252" t="str">
        <f>IF(ISNUMBER(SEARCH("H", 'WetLitterbags placem_collection'!$Y48)),"YES","NO")</f>
        <v>NO</v>
      </c>
      <c r="AA341" s="252" t="str">
        <f>IF(ISNUMBER(SEARCH("R", 'WetLitterbags placem_collection'!$Y48)),"YES","NO")</f>
        <v>NO</v>
      </c>
      <c r="AB341" s="252" t="str">
        <f>IF(ISNUMBER(SEARCH("C", 'WetLitterbags placem_collection'!$W48)),"YES","NO")</f>
        <v>NO</v>
      </c>
      <c r="AC341" s="252" t="str">
        <f>IF(ISNUMBER(SEARCH("H", 'WetLitterbags placem_collection'!$W48)),"YES","NO")</f>
        <v>NO</v>
      </c>
      <c r="AD341" s="252" t="str">
        <f>IF(ISNUMBER(SEARCH("R", 'WetLitterbags placem_collection'!$W48)),"YES","NO")</f>
        <v>NO</v>
      </c>
    </row>
    <row r="342" spans="2:30">
      <c r="B342" t="str">
        <f>'Final data_for_R_analysis_Wetse'!A488</f>
        <v>Wet</v>
      </c>
      <c r="C342" s="260">
        <f>'Final data_for_R_analysis_Wetse'!B488</f>
        <v>47</v>
      </c>
      <c r="D342" t="s">
        <v>3807</v>
      </c>
      <c r="E342" t="s">
        <v>25</v>
      </c>
      <c r="F342" s="382">
        <v>7</v>
      </c>
      <c r="G342" s="16">
        <f>'WetLitterbags placem_collection'!E49</f>
        <v>42766</v>
      </c>
      <c r="H342" s="92" t="str">
        <f>'Final data_for_R_analysis_Wetse'!K488</f>
        <v>G512</v>
      </c>
      <c r="I342" t="str">
        <f>'Final data_for_R_analysis_Wetse'!K708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28"/>
        <v>1.8441999999999998</v>
      </c>
      <c r="M342" s="194">
        <f>IF(K342&gt;0,(K342*$F$32-($F$29+$F$30)),"")</f>
        <v>2.0472000000000001</v>
      </c>
      <c r="N342" s="16">
        <f>IF('WetLitterbags placem_collection'!G49="","",'WetLitterbags placem_collection'!G49)</f>
        <v>42820</v>
      </c>
      <c r="O342" s="194">
        <f>IFERROR(INDEX('Both teabags AfterWet'!$C$3:$C$2000,MATCH(H342,'Both teabags AfterWet'!$A$3:$A$2000,0)),"")</f>
        <v>0.77500000000000002</v>
      </c>
      <c r="P342" s="194">
        <f>IFERROR(INDEX('Both teabags AfterWet'!$C$3:$C$2000,MATCH(I342,'Both teabags AfterWet'!$A$3:$A$2000,0)),"")</f>
        <v>1.665</v>
      </c>
      <c r="Q342" s="194">
        <f t="shared" si="29"/>
        <v>0.62440000000000007</v>
      </c>
      <c r="R342" s="194">
        <f t="shared" si="29"/>
        <v>1.5144</v>
      </c>
      <c r="S342" s="194">
        <f t="shared" si="30"/>
        <v>0.66142500813360794</v>
      </c>
      <c r="T342" s="194">
        <f t="shared" si="31"/>
        <v>0.43361829511846983</v>
      </c>
      <c r="U342" s="194">
        <f t="shared" si="32"/>
        <v>0.73974208675263764</v>
      </c>
      <c r="V342">
        <f>IFERROR(IF((N342-G342)&gt;0,(IFERROR(N342-G342,"")),""),"")</f>
        <v>54</v>
      </c>
      <c r="W342" s="194">
        <f t="shared" si="33"/>
        <v>0.21445961029262717</v>
      </c>
      <c r="X342" s="194">
        <f t="shared" si="34"/>
        <v>1.6977631162683086E-2</v>
      </c>
      <c r="Y342" s="252" t="str">
        <f>IF(ISNUMBER(SEARCH("C",'WetLitterbags placem_collection'!$Y49)),"YES","NO")</f>
        <v>NO</v>
      </c>
      <c r="Z342" s="252" t="str">
        <f>IF(ISNUMBER(SEARCH("H", 'WetLitterbags placem_collection'!$Y49)),"YES","NO")</f>
        <v>NO</v>
      </c>
      <c r="AA342" s="252" t="str">
        <f>IF(ISNUMBER(SEARCH("R", 'WetLitterbags placem_collection'!$Y49)),"YES","NO")</f>
        <v>NO</v>
      </c>
      <c r="AB342" s="252" t="str">
        <f>IF(ISNUMBER(SEARCH("C", 'WetLitterbags placem_collection'!$W49)),"YES","NO")</f>
        <v>NO</v>
      </c>
      <c r="AC342" s="252" t="str">
        <f>IF(ISNUMBER(SEARCH("H", 'WetLitterbags placem_collection'!$W49)),"YES","NO")</f>
        <v>YES</v>
      </c>
      <c r="AD342" s="252" t="str">
        <f>IF(ISNUMBER(SEARCH("R", 'WetLitterbags placem_collection'!$W49)),"YES","NO")</f>
        <v>YES</v>
      </c>
    </row>
    <row r="343" spans="2:30">
      <c r="B343" t="str">
        <f>'Final data_for_R_analysis_Wetse'!A489</f>
        <v>Wet</v>
      </c>
      <c r="C343" s="260">
        <f>'Final data_for_R_analysis_Wetse'!B489</f>
        <v>48</v>
      </c>
      <c r="D343" t="s">
        <v>3807</v>
      </c>
      <c r="E343" t="s">
        <v>25</v>
      </c>
      <c r="F343" s="382">
        <v>8</v>
      </c>
      <c r="G343" s="16">
        <f>'WetLitterbags placem_collection'!E50</f>
        <v>42766</v>
      </c>
      <c r="H343" s="92" t="str">
        <f>'Final data_for_R_analysis_Wetse'!K489</f>
        <v>G299</v>
      </c>
      <c r="I343" t="str">
        <f>'Final data_for_R_analysis_Wetse'!K709</f>
        <v>R107</v>
      </c>
      <c r="J343">
        <f>IFERROR(INDEX('Green_rooibos initial weight'!$C$5:$C$2000,MATCH(H343, 'Green_rooibos initial weight'!$A$5:$A$2000,0)),"")</f>
        <v>2.0110000000000001</v>
      </c>
      <c r="K343">
        <f>IFERROR(INDEX('Green_rooibos initial weight'!$C$5:$C$2000,MATCH(I343, 'Green_rooibos initial weight'!$A$5:$A$2000,0)),"")</f>
        <v>2.19</v>
      </c>
      <c r="L343" s="194">
        <f t="shared" si="28"/>
        <v>1.7612000000000001</v>
      </c>
      <c r="M343" s="194">
        <f>IF(K343&gt;0,(K343*$F$32-($F$29+$F$30)),"")</f>
        <v>1.9401999999999999</v>
      </c>
      <c r="N343" s="16">
        <f>IF('WetLitterbags placem_collection'!G50="","",'WetLitterbags placem_collection'!G50)</f>
        <v>42820</v>
      </c>
      <c r="O343" s="194">
        <f>IFERROR(INDEX('Both teabags AfterWet'!$C$3:$C$2000,MATCH(H343,'Both teabags AfterWet'!$A$3:$A$2000,0)),"")</f>
        <v>0.88100000000000001</v>
      </c>
      <c r="P343" s="194">
        <f>IFERROR(INDEX('Both teabags AfterWet'!$C$3:$C$2000,MATCH(I343,'Both teabags AfterWet'!$A$3:$A$2000,0)),"")</f>
        <v>1.5349999999999999</v>
      </c>
      <c r="Q343" s="194">
        <f t="shared" si="29"/>
        <v>0.73039999999999994</v>
      </c>
      <c r="R343" s="194">
        <f t="shared" si="29"/>
        <v>1.3843999999999999</v>
      </c>
      <c r="S343" s="194">
        <f t="shared" si="30"/>
        <v>0.58528276175335003</v>
      </c>
      <c r="T343" s="194">
        <f t="shared" si="31"/>
        <v>0.38370081293093733</v>
      </c>
      <c r="U343" s="194">
        <f t="shared" si="32"/>
        <v>0.71353468714565504</v>
      </c>
      <c r="V343">
        <f>IFERROR(IF((N343-G343)&gt;0,(IFERROR(N343-G343,"")),""),"")</f>
        <v>54</v>
      </c>
      <c r="W343" s="194">
        <f t="shared" si="33"/>
        <v>0.30488983164685268</v>
      </c>
      <c r="X343" s="194">
        <f t="shared" si="34"/>
        <v>2.5420874888905164E-2</v>
      </c>
      <c r="Y343" s="252" t="str">
        <f>IF(ISNUMBER(SEARCH("C",'WetLitterbags placem_collection'!$Y50)),"YES","NO")</f>
        <v>NO</v>
      </c>
      <c r="Z343" s="252" t="str">
        <f>IF(ISNUMBER(SEARCH("H", 'WetLitterbags placem_collection'!$Y50)),"YES","NO")</f>
        <v>NO</v>
      </c>
      <c r="AA343" s="252" t="str">
        <f>IF(ISNUMBER(SEARCH("R", 'WetLitterbags placem_collection'!$Y50)),"YES","NO")</f>
        <v>NO</v>
      </c>
      <c r="AB343" s="252" t="str">
        <f>IF(ISNUMBER(SEARCH("C", 'WetLitterbags placem_collection'!$W50)),"YES","NO")</f>
        <v>NO</v>
      </c>
      <c r="AC343" s="252" t="str">
        <f>IF(ISNUMBER(SEARCH("H", 'WetLitterbags placem_collection'!$W50)),"YES","NO")</f>
        <v>NO</v>
      </c>
      <c r="AD343" s="252" t="str">
        <f>IF(ISNUMBER(SEARCH("R", 'WetLitterbags placem_collection'!$W50)),"YES","NO")</f>
        <v>YES</v>
      </c>
    </row>
    <row r="344" spans="2:30">
      <c r="B344" t="str">
        <f>'Final data_for_R_analysis_Wetse'!A490</f>
        <v>Wet</v>
      </c>
      <c r="C344" s="260">
        <f>'Final data_for_R_analysis_Wetse'!B490</f>
        <v>49</v>
      </c>
      <c r="D344" t="s">
        <v>3808</v>
      </c>
      <c r="E344" t="s">
        <v>25</v>
      </c>
      <c r="F344" s="381">
        <v>1</v>
      </c>
      <c r="G344" s="16">
        <f>'WetLitterbags placem_collection'!E51</f>
        <v>42766</v>
      </c>
      <c r="H344" s="92" t="str">
        <f>'Final data_for_R_analysis_Wetse'!K490</f>
        <v>G739</v>
      </c>
      <c r="I344" t="str">
        <f>'Final data_for_R_analysis_Wetse'!K710</f>
        <v>R155</v>
      </c>
      <c r="J344">
        <f>IFERROR(INDEX('Green_rooibos initial weight'!$C$5:$C$2000,MATCH(H344, 'Green_rooibos initial weight'!$A$5:$A$2000,0)),"")</f>
        <v>2.0499999999999998</v>
      </c>
      <c r="K344">
        <f>IFERROR(INDEX('Green_rooibos initial weight'!$C$5:$C$2000,MATCH(I344, 'Green_rooibos initial weight'!$A$5:$A$2000,0)),"")</f>
        <v>2.206</v>
      </c>
      <c r="L344" s="194">
        <f t="shared" si="28"/>
        <v>1.8001999999999998</v>
      </c>
      <c r="M344" s="194">
        <f>IF(K344&gt;0,(K344*$F$32-($F$29+$F$30)),"")</f>
        <v>1.9561999999999999</v>
      </c>
      <c r="N344" s="16">
        <f>IF('WetLitterbags placem_collection'!G51="","",'WetLitterbags placem_collection'!G51)</f>
        <v>42820</v>
      </c>
      <c r="O344" s="194">
        <f>IFERROR(INDEX('Both teabags AfterWet'!$C$3:$C$2000,MATCH(H344,'Both teabags AfterWet'!$A$3:$A$2000,0)),"")</f>
        <v>0.87490000000000001</v>
      </c>
      <c r="P344" s="194">
        <f>IFERROR(INDEX('Both teabags AfterWet'!$C$3:$C$2000,MATCH(I344,'Both teabags AfterWet'!$A$3:$A$2000,0)),"")</f>
        <v>1.5909</v>
      </c>
      <c r="Q344" s="194">
        <f t="shared" si="29"/>
        <v>0.72429999999999994</v>
      </c>
      <c r="R344" s="194">
        <f t="shared" si="29"/>
        <v>1.4402999999999999</v>
      </c>
      <c r="S344" s="194">
        <f t="shared" si="30"/>
        <v>0.59765581602044215</v>
      </c>
      <c r="T344" s="194">
        <f t="shared" si="31"/>
        <v>0.39181236394689323</v>
      </c>
      <c r="U344" s="194">
        <f t="shared" si="32"/>
        <v>0.73627440956957368</v>
      </c>
      <c r="V344">
        <f>IFERROR(IF((N344-G344)&gt;0,(IFERROR(N344-G344,"")),""),"")</f>
        <v>54</v>
      </c>
      <c r="W344" s="194">
        <f t="shared" si="33"/>
        <v>0.29019499284983119</v>
      </c>
      <c r="X344" s="194">
        <f t="shared" si="34"/>
        <v>2.0705094619619342E-2</v>
      </c>
      <c r="Y344" s="252" t="str">
        <f>IF(ISNUMBER(SEARCH("C",'WetLitterbags placem_collection'!$Y51)),"YES","NO")</f>
        <v>NO</v>
      </c>
      <c r="Z344" s="252" t="str">
        <f>IF(ISNUMBER(SEARCH("H", 'WetLitterbags placem_collection'!$Y51)),"YES","NO")</f>
        <v>NO</v>
      </c>
      <c r="AA344" s="252" t="str">
        <f>IF(ISNUMBER(SEARCH("R", 'WetLitterbags placem_collection'!$Y51)),"YES","NO")</f>
        <v>YES</v>
      </c>
      <c r="AB344" s="252" t="str">
        <f>IF(ISNUMBER(SEARCH("C", 'WetLitterbags placem_collection'!$W51)),"YES","NO")</f>
        <v>NO</v>
      </c>
      <c r="AC344" s="252" t="str">
        <f>IF(ISNUMBER(SEARCH("H", 'WetLitterbags placem_collection'!$W51)),"YES","NO")</f>
        <v>YES</v>
      </c>
      <c r="AD344" s="252" t="str">
        <f>IF(ISNUMBER(SEARCH("R", 'WetLitterbags placem_collection'!$W51)),"YES","NO")</f>
        <v>YES</v>
      </c>
    </row>
    <row r="345" spans="2:30">
      <c r="B345" t="str">
        <f>'Final data_for_R_analysis_Wetse'!A491</f>
        <v>Wet</v>
      </c>
      <c r="C345" s="260">
        <f>'Final data_for_R_analysis_Wetse'!B491</f>
        <v>50</v>
      </c>
      <c r="D345" t="s">
        <v>3808</v>
      </c>
      <c r="E345" t="s">
        <v>25</v>
      </c>
      <c r="F345" s="381">
        <v>2</v>
      </c>
      <c r="G345" s="16">
        <f>'WetLitterbags placem_collection'!E52</f>
        <v>42766</v>
      </c>
      <c r="H345" s="92" t="str">
        <f>'Final data_for_R_analysis_Wetse'!K491</f>
        <v>G559</v>
      </c>
      <c r="I345" t="str">
        <f>'Final data_for_R_analysis_Wetse'!K711</f>
        <v>R98</v>
      </c>
      <c r="J345">
        <f>IFERROR(INDEX('Green_rooibos initial weight'!$C$5:$C$2000,MATCH(H345, 'Green_rooibos initial weight'!$A$5:$A$2000,0)),"")</f>
        <v>2.085</v>
      </c>
      <c r="K345">
        <f>IFERROR(INDEX('Green_rooibos initial weight'!$C$5:$C$2000,MATCH(I345, 'Green_rooibos initial weight'!$A$5:$A$2000,0)),"")</f>
        <v>2.1960000000000002</v>
      </c>
      <c r="L345" s="194">
        <f t="shared" si="28"/>
        <v>1.8351999999999999</v>
      </c>
      <c r="M345" s="194">
        <f>IF(K345&gt;0,(K345*$F$32-($F$29+$F$30)),"")</f>
        <v>1.9462000000000002</v>
      </c>
      <c r="N345" s="16">
        <f>IF('WetLitterbags placem_collection'!G52="","",'WetLitterbags placem_collection'!G52)</f>
        <v>42820</v>
      </c>
      <c r="O345" s="194" t="str">
        <f>IFERROR(INDEX('Both teabags AfterWet'!$C$3:$C$2000,MATCH(H345,'Both teabags AfterWet'!$A$3:$A$2000,0)),"")</f>
        <v/>
      </c>
      <c r="P345" s="194" t="str">
        <f>IFERROR(INDEX('Both teabags AfterWet'!$C$3:$C$2000,MATCH(I345,'Both teabags AfterWet'!$A$3:$A$2000,0)),"")</f>
        <v/>
      </c>
      <c r="Q345" s="194" t="str">
        <f t="shared" si="29"/>
        <v/>
      </c>
      <c r="R345" s="194" t="str">
        <f t="shared" si="29"/>
        <v/>
      </c>
      <c r="S345" s="194" t="str">
        <f t="shared" si="30"/>
        <v/>
      </c>
      <c r="T345" s="194" t="str">
        <f t="shared" si="31"/>
        <v/>
      </c>
      <c r="U345" s="194" t="str">
        <f t="shared" si="32"/>
        <v/>
      </c>
      <c r="V345">
        <f>IFERROR(IF((N345-G345)&gt;0,(IFERROR(N345-G345,"")),""),"")</f>
        <v>54</v>
      </c>
      <c r="W345" s="194" t="str">
        <f t="shared" si="33"/>
        <v/>
      </c>
      <c r="X345" s="194" t="str">
        <f t="shared" si="34"/>
        <v/>
      </c>
      <c r="Y345" s="252" t="str">
        <f>IF(ISNUMBER(SEARCH("C",'WetLitterbags placem_collection'!$Y52)),"YES","NO")</f>
        <v>NO</v>
      </c>
      <c r="Z345" s="252" t="str">
        <f>IF(ISNUMBER(SEARCH("H", 'WetLitterbags placem_collection'!$Y52)),"YES","NO")</f>
        <v>NO</v>
      </c>
      <c r="AA345" s="252" t="str">
        <f>IF(ISNUMBER(SEARCH("R", 'WetLitterbags placem_collection'!$Y52)),"YES","NO")</f>
        <v>NO</v>
      </c>
      <c r="AB345" s="252" t="str">
        <f>IF(ISNUMBER(SEARCH("C", 'WetLitterbags placem_collection'!$W52)),"YES","NO")</f>
        <v>NO</v>
      </c>
      <c r="AC345" s="252" t="str">
        <f>IF(ISNUMBER(SEARCH("H", 'WetLitterbags placem_collection'!$W52)),"YES","NO")</f>
        <v>NO</v>
      </c>
      <c r="AD345" s="252" t="str">
        <f>IF(ISNUMBER(SEARCH("R", 'WetLitterbags placem_collection'!$W52)),"YES","NO")</f>
        <v>NO</v>
      </c>
    </row>
    <row r="346" spans="2:30">
      <c r="B346" t="str">
        <f>'Final data_for_R_analysis_Wetse'!A492</f>
        <v>Wet</v>
      </c>
      <c r="C346" s="260">
        <f>'Final data_for_R_analysis_Wetse'!B492</f>
        <v>51</v>
      </c>
      <c r="D346" t="s">
        <v>3808</v>
      </c>
      <c r="E346" t="s">
        <v>25</v>
      </c>
      <c r="F346" s="381">
        <v>3</v>
      </c>
      <c r="G346" s="16">
        <f>'WetLitterbags placem_collection'!E53</f>
        <v>42766</v>
      </c>
      <c r="H346" s="92" t="str">
        <f>'Final data_for_R_analysis_Wetse'!K492</f>
        <v>G856</v>
      </c>
      <c r="I346" t="str">
        <f>'Final data_for_R_analysis_Wetse'!K712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28"/>
        <v>1.6872</v>
      </c>
      <c r="M346" s="194">
        <f>IF(K346&gt;0,(K346*$F$32-($F$29+$F$30)),"")</f>
        <v>1.9902000000000002</v>
      </c>
      <c r="N346" s="16">
        <f>IF('WetLitterbags placem_collection'!G53="","",'WetLitterbags placem_collection'!G53)</f>
        <v>42820</v>
      </c>
      <c r="O346" s="194">
        <f>IFERROR(INDEX('Both teabags AfterWet'!$C$3:$C$2000,MATCH(H346,'Both teabags AfterWet'!$A$3:$A$2000,0)),"")</f>
        <v>0.77600000000000002</v>
      </c>
      <c r="P346" s="194">
        <f>IFERROR(INDEX('Both teabags AfterWet'!$C$3:$C$2000,MATCH(I346,'Both teabags AfterWet'!$A$3:$A$2000,0)),"")</f>
        <v>1.4950000000000001</v>
      </c>
      <c r="Q346" s="194">
        <f t="shared" si="29"/>
        <v>0.62539999999999996</v>
      </c>
      <c r="R346" s="194">
        <f t="shared" si="29"/>
        <v>1.3444</v>
      </c>
      <c r="S346" s="194">
        <f t="shared" si="30"/>
        <v>0.6293266951161689</v>
      </c>
      <c r="T346" s="194">
        <f t="shared" si="31"/>
        <v>0.4125752205512177</v>
      </c>
      <c r="U346" s="194">
        <f t="shared" si="32"/>
        <v>0.6755099989950758</v>
      </c>
      <c r="V346">
        <f>IFERROR(IF((N346-G346)&gt;0,(IFERROR(N346-G346,"")),""),"")</f>
        <v>54</v>
      </c>
      <c r="W346" s="194">
        <f t="shared" si="33"/>
        <v>0.25258112218982309</v>
      </c>
      <c r="X346" s="194">
        <f t="shared" si="34"/>
        <v>2.8594699855354417E-2</v>
      </c>
      <c r="Y346" s="252" t="str">
        <f>IF(ISNUMBER(SEARCH("C",'WetLitterbags placem_collection'!$Y53)),"YES","NO")</f>
        <v>NO</v>
      </c>
      <c r="Z346" s="252" t="str">
        <f>IF(ISNUMBER(SEARCH("H", 'WetLitterbags placem_collection'!$Y53)),"YES","NO")</f>
        <v>NO</v>
      </c>
      <c r="AA346" s="252" t="str">
        <f>IF(ISNUMBER(SEARCH("R", 'WetLitterbags placem_collection'!$Y53)),"YES","NO")</f>
        <v>YES</v>
      </c>
      <c r="AB346" s="252" t="str">
        <f>IF(ISNUMBER(SEARCH("C", 'WetLitterbags placem_collection'!$W53)),"YES","NO")</f>
        <v>NO</v>
      </c>
      <c r="AC346" s="252" t="str">
        <f>IF(ISNUMBER(SEARCH("H", 'WetLitterbags placem_collection'!$W53)),"YES","NO")</f>
        <v>NO</v>
      </c>
      <c r="AD346" s="252" t="str">
        <f>IF(ISNUMBER(SEARCH("R", 'WetLitterbags placem_collection'!$W53)),"YES","NO")</f>
        <v>YES</v>
      </c>
    </row>
    <row r="347" spans="2:30">
      <c r="B347" t="str">
        <f>'Final data_for_R_analysis_Wetse'!A493</f>
        <v>Wet</v>
      </c>
      <c r="C347" s="260">
        <f>'Final data_for_R_analysis_Wetse'!B493</f>
        <v>52</v>
      </c>
      <c r="D347" t="s">
        <v>3808</v>
      </c>
      <c r="E347" t="s">
        <v>25</v>
      </c>
      <c r="F347" s="382">
        <v>4</v>
      </c>
      <c r="G347" s="16">
        <f>'WetLitterbags placem_collection'!E54</f>
        <v>42766</v>
      </c>
      <c r="H347" s="92" t="str">
        <f>'Final data_for_R_analysis_Wetse'!K493</f>
        <v>G599</v>
      </c>
      <c r="I347" t="str">
        <f>'Final data_for_R_analysis_Wetse'!K713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28"/>
        <v>1.8262</v>
      </c>
      <c r="M347" s="194">
        <f>IF(K347&gt;0,(K347*$F$32-($F$29+$F$30)),"")</f>
        <v>1.9862000000000002</v>
      </c>
      <c r="N347" s="16">
        <f>IF('WetLitterbags placem_collection'!G54="","",'WetLitterbags placem_collection'!G54)</f>
        <v>42820</v>
      </c>
      <c r="O347" s="194">
        <f>IFERROR(INDEX('Both teabags AfterWet'!$C$3:$C$2000,MATCH(H347,'Both teabags AfterWet'!$A$3:$A$2000,0)),"")</f>
        <v>0.88200000000000001</v>
      </c>
      <c r="P347" s="194">
        <f>IFERROR(INDEX('Both teabags AfterWet'!$C$3:$C$2000,MATCH(I347,'Both teabags AfterWet'!$A$3:$A$2000,0)),"")</f>
        <v>1.546</v>
      </c>
      <c r="Q347" s="194">
        <f t="shared" si="29"/>
        <v>0.73140000000000005</v>
      </c>
      <c r="R347" s="194">
        <f t="shared" si="29"/>
        <v>1.3954</v>
      </c>
      <c r="S347" s="194">
        <f t="shared" si="30"/>
        <v>0.59949622166246852</v>
      </c>
      <c r="T347" s="194">
        <f t="shared" si="31"/>
        <v>0.39301890066233097</v>
      </c>
      <c r="U347" s="194">
        <f t="shared" si="32"/>
        <v>0.70254757829020231</v>
      </c>
      <c r="V347">
        <f>IFERROR(IF((N347-G347)&gt;0,(IFERROR(N347-G347,"")),""),"")</f>
        <v>54</v>
      </c>
      <c r="W347" s="194">
        <f t="shared" si="33"/>
        <v>0.28800923793055988</v>
      </c>
      <c r="X347" s="194">
        <f t="shared" si="34"/>
        <v>2.6185844148217393E-2</v>
      </c>
      <c r="Y347" s="252" t="str">
        <f>IF(ISNUMBER(SEARCH("C",'WetLitterbags placem_collection'!$Y54)),"YES","NO")</f>
        <v>NO</v>
      </c>
      <c r="Z347" s="252" t="str">
        <f>IF(ISNUMBER(SEARCH("H", 'WetLitterbags placem_collection'!$Y54)),"YES","NO")</f>
        <v>NO</v>
      </c>
      <c r="AA347" s="252" t="str">
        <f>IF(ISNUMBER(SEARCH("R", 'WetLitterbags placem_collection'!$Y54)),"YES","NO")</f>
        <v>YES</v>
      </c>
      <c r="AB347" s="252" t="str">
        <f>IF(ISNUMBER(SEARCH("C", 'WetLitterbags placem_collection'!$W54)),"YES","NO")</f>
        <v>NO</v>
      </c>
      <c r="AC347" s="252" t="str">
        <f>IF(ISNUMBER(SEARCH("H", 'WetLitterbags placem_collection'!$W54)),"YES","NO")</f>
        <v>YES</v>
      </c>
      <c r="AD347" s="252" t="str">
        <f>IF(ISNUMBER(SEARCH("R", 'WetLitterbags placem_collection'!$W54)),"YES","NO")</f>
        <v>NO</v>
      </c>
    </row>
    <row r="348" spans="2:30">
      <c r="B348" t="str">
        <f>'Final data_for_R_analysis_Wetse'!A494</f>
        <v>Wet</v>
      </c>
      <c r="C348" s="260">
        <f>'Final data_for_R_analysis_Wetse'!B494</f>
        <v>53</v>
      </c>
      <c r="D348" t="s">
        <v>3808</v>
      </c>
      <c r="E348" t="s">
        <v>25</v>
      </c>
      <c r="F348" s="382">
        <v>5</v>
      </c>
      <c r="G348" s="16">
        <f>'WetLitterbags placem_collection'!E55</f>
        <v>42766</v>
      </c>
      <c r="H348" s="92" t="str">
        <f>'Final data_for_R_analysis_Wetse'!K494</f>
        <v>G683</v>
      </c>
      <c r="I348" t="str">
        <f>'Final data_for_R_analysis_Wetse'!K714</f>
        <v>R113</v>
      </c>
      <c r="J348">
        <f>IFERROR(INDEX('Green_rooibos initial weight'!$C$5:$C$2000,MATCH(H348, 'Green_rooibos initial weight'!$A$5:$A$2000,0)),"")</f>
        <v>2.1179999999999999</v>
      </c>
      <c r="K348">
        <f>IFERROR(INDEX('Green_rooibos initial weight'!$C$5:$C$2000,MATCH(I348, 'Green_rooibos initial weight'!$A$5:$A$2000,0)),"")</f>
        <v>2.202</v>
      </c>
      <c r="L348" s="194">
        <f t="shared" si="28"/>
        <v>1.8681999999999999</v>
      </c>
      <c r="M348" s="194">
        <f>IF(K348&gt;0,(K348*$F$32-($F$29+$F$30)),"")</f>
        <v>1.9521999999999999</v>
      </c>
      <c r="N348" s="16">
        <f>IF('WetLitterbags placem_collection'!G55="","",'WetLitterbags placem_collection'!G55)</f>
        <v>42820</v>
      </c>
      <c r="O348" s="194" t="str">
        <f>IFERROR(INDEX('Both teabags AfterWet'!$C$3:$C$2000,MATCH(H348,'Both teabags AfterWet'!$A$3:$A$2000,0)),"")</f>
        <v/>
      </c>
      <c r="P348" s="194" t="str">
        <f>IFERROR(INDEX('Both teabags AfterWet'!$C$3:$C$2000,MATCH(I348,'Both teabags AfterWet'!$A$3:$A$2000,0)),"")</f>
        <v/>
      </c>
      <c r="Q348" s="194" t="str">
        <f t="shared" si="29"/>
        <v/>
      </c>
      <c r="R348" s="194" t="str">
        <f t="shared" si="29"/>
        <v/>
      </c>
      <c r="S348" s="194" t="str">
        <f t="shared" si="30"/>
        <v/>
      </c>
      <c r="T348" s="194" t="str">
        <f t="shared" si="31"/>
        <v/>
      </c>
      <c r="U348" s="194" t="str">
        <f t="shared" si="32"/>
        <v/>
      </c>
      <c r="V348">
        <f>IFERROR(IF((N348-G348)&gt;0,(IFERROR(N348-G348,"")),""),"")</f>
        <v>54</v>
      </c>
      <c r="W348" s="194" t="str">
        <f t="shared" si="33"/>
        <v/>
      </c>
      <c r="X348" s="194" t="str">
        <f t="shared" si="34"/>
        <v/>
      </c>
      <c r="Y348" s="252" t="str">
        <f>IF(ISNUMBER(SEARCH("C",'WetLitterbags placem_collection'!$Y55)),"YES","NO")</f>
        <v>NO</v>
      </c>
      <c r="Z348" s="252" t="str">
        <f>IF(ISNUMBER(SEARCH("H", 'WetLitterbags placem_collection'!$Y55)),"YES","NO")</f>
        <v>NO</v>
      </c>
      <c r="AA348" s="252" t="str">
        <f>IF(ISNUMBER(SEARCH("R", 'WetLitterbags placem_collection'!$Y55)),"YES","NO")</f>
        <v>NO</v>
      </c>
      <c r="AB348" s="252" t="str">
        <f>IF(ISNUMBER(SEARCH("C", 'WetLitterbags placem_collection'!$W55)),"YES","NO")</f>
        <v>NO</v>
      </c>
      <c r="AC348" s="252" t="str">
        <f>IF(ISNUMBER(SEARCH("H", 'WetLitterbags placem_collection'!$W55)),"YES","NO")</f>
        <v>NO</v>
      </c>
      <c r="AD348" s="252" t="str">
        <f>IF(ISNUMBER(SEARCH("R", 'WetLitterbags placem_collection'!$W55)),"YES","NO")</f>
        <v>NO</v>
      </c>
    </row>
    <row r="349" spans="2:30">
      <c r="B349" t="str">
        <f>'Final data_for_R_analysis_Wetse'!A495</f>
        <v>Wet</v>
      </c>
      <c r="C349" s="260">
        <f>'Final data_for_R_analysis_Wetse'!B495</f>
        <v>54</v>
      </c>
      <c r="D349" t="s">
        <v>3808</v>
      </c>
      <c r="E349" t="s">
        <v>25</v>
      </c>
      <c r="F349" s="382">
        <v>6</v>
      </c>
      <c r="G349" s="16">
        <f>'WetLitterbags placem_collection'!E56</f>
        <v>42766</v>
      </c>
      <c r="H349" s="92" t="str">
        <f>'Final data_for_R_analysis_Wetse'!K495</f>
        <v>G288</v>
      </c>
      <c r="I349" t="str">
        <f>'Final data_for_R_analysis_Wetse'!K715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28"/>
        <v>1.7332000000000001</v>
      </c>
      <c r="M349" s="194">
        <f>IF(K349&gt;0,(K349*$F$32-($F$29+$F$30)),"")</f>
        <v>1.8782000000000001</v>
      </c>
      <c r="N349" s="16">
        <f>IF('WetLitterbags placem_collection'!G56="","",'WetLitterbags placem_collection'!G56)</f>
        <v>42820</v>
      </c>
      <c r="O349" s="194" t="str">
        <f>IFERROR(INDEX('Both teabags AfterWet'!$C$3:$C$2000,MATCH(H349,'Both teabags AfterWet'!$A$3:$A$2000,0)),"")</f>
        <v/>
      </c>
      <c r="P349" s="194" t="str">
        <f>IFERROR(INDEX('Both teabags AfterWet'!$C$3:$C$2000,MATCH(I349,'Both teabags AfterWet'!$A$3:$A$2000,0)),"")</f>
        <v/>
      </c>
      <c r="Q349" s="194" t="str">
        <f t="shared" si="29"/>
        <v/>
      </c>
      <c r="R349" s="194" t="str">
        <f t="shared" si="29"/>
        <v/>
      </c>
      <c r="S349" s="194" t="str">
        <f t="shared" si="30"/>
        <v/>
      </c>
      <c r="T349" s="194" t="str">
        <f t="shared" si="31"/>
        <v/>
      </c>
      <c r="U349" s="194" t="str">
        <f t="shared" si="32"/>
        <v/>
      </c>
      <c r="V349">
        <f>IFERROR(IF((N349-G349)&gt;0,(IFERROR(N349-G349,"")),""),"")</f>
        <v>54</v>
      </c>
      <c r="W349" s="194" t="str">
        <f t="shared" si="33"/>
        <v/>
      </c>
      <c r="X349" s="194" t="str">
        <f t="shared" si="34"/>
        <v/>
      </c>
      <c r="Y349" s="252" t="str">
        <f>IF(ISNUMBER(SEARCH("C",'WetLitterbags placem_collection'!$Y56)),"YES","NO")</f>
        <v>NO</v>
      </c>
      <c r="Z349" s="252" t="str">
        <f>IF(ISNUMBER(SEARCH("H", 'WetLitterbags placem_collection'!$Y56)),"YES","NO")</f>
        <v>NO</v>
      </c>
      <c r="AA349" s="252" t="str">
        <f>IF(ISNUMBER(SEARCH("R", 'WetLitterbags placem_collection'!$Y56)),"YES","NO")</f>
        <v>NO</v>
      </c>
      <c r="AB349" s="252" t="str">
        <f>IF(ISNUMBER(SEARCH("C", 'WetLitterbags placem_collection'!$W56)),"YES","NO")</f>
        <v>NO</v>
      </c>
      <c r="AC349" s="252" t="str">
        <f>IF(ISNUMBER(SEARCH("H", 'WetLitterbags placem_collection'!$W56)),"YES","NO")</f>
        <v>NO</v>
      </c>
      <c r="AD349" s="252" t="str">
        <f>IF(ISNUMBER(SEARCH("R", 'WetLitterbags placem_collection'!$W56)),"YES","NO")</f>
        <v>NO</v>
      </c>
    </row>
    <row r="350" spans="2:30">
      <c r="B350" t="str">
        <f>'Final data_for_R_analysis_Wetse'!A496</f>
        <v>Wet</v>
      </c>
      <c r="C350" s="260">
        <f>'Final data_for_R_analysis_Wetse'!B496</f>
        <v>55</v>
      </c>
      <c r="D350" t="s">
        <v>3808</v>
      </c>
      <c r="E350" t="s">
        <v>25</v>
      </c>
      <c r="F350" s="382">
        <v>7</v>
      </c>
      <c r="G350" s="16">
        <f>'WetLitterbags placem_collection'!E57</f>
        <v>42766</v>
      </c>
      <c r="H350" s="92" t="str">
        <f>'Final data_for_R_analysis_Wetse'!K496</f>
        <v>G616</v>
      </c>
      <c r="I350" t="str">
        <f>'Final data_for_R_analysis_Wetse'!K716</f>
        <v>R53</v>
      </c>
      <c r="J350">
        <f>IFERROR(INDEX('Green_rooibos initial weight'!$C$5:$C$2000,MATCH(H350, 'Green_rooibos initial weight'!$A$5:$A$2000,0)),"")</f>
        <v>1.978</v>
      </c>
      <c r="K350">
        <f>IFERROR(INDEX('Green_rooibos initial weight'!$C$5:$C$2000,MATCH(I350, 'Green_rooibos initial weight'!$A$5:$A$2000,0)),"")</f>
        <v>2.2829999999999999</v>
      </c>
      <c r="L350" s="194">
        <f t="shared" si="28"/>
        <v>1.7282</v>
      </c>
      <c r="M350" s="194">
        <f>IF(K350&gt;0,(K350*$F$32-($F$29+$F$30)),"")</f>
        <v>2.0331999999999999</v>
      </c>
      <c r="N350" s="16">
        <f>IF('WetLitterbags placem_collection'!G57="","",'WetLitterbags placem_collection'!G57)</f>
        <v>42820</v>
      </c>
      <c r="O350" s="194">
        <f>IFERROR(INDEX('Both teabags AfterWet'!$C$3:$C$2000,MATCH(H350,'Both teabags AfterWet'!$A$3:$A$2000,0)),"")</f>
        <v>0.93200000000000005</v>
      </c>
      <c r="P350" s="194">
        <f>IFERROR(INDEX('Both teabags AfterWet'!$C$3:$C$2000,MATCH(I350,'Both teabags AfterWet'!$A$3:$A$2000,0)),"")</f>
        <v>1.5207999999999999</v>
      </c>
      <c r="Q350" s="194">
        <f t="shared" si="29"/>
        <v>0.78140000000000009</v>
      </c>
      <c r="R350" s="194">
        <f t="shared" si="29"/>
        <v>1.3701999999999999</v>
      </c>
      <c r="S350" s="194">
        <f t="shared" si="30"/>
        <v>0.54785325772480031</v>
      </c>
      <c r="T350" s="194">
        <f t="shared" si="31"/>
        <v>0.35916270577682874</v>
      </c>
      <c r="U350" s="194">
        <f t="shared" si="32"/>
        <v>0.67391304347826086</v>
      </c>
      <c r="V350">
        <f>IFERROR(IF((N350-G350)&gt;0,(IFERROR(N350-G350,"")),""),"")</f>
        <v>54</v>
      </c>
      <c r="W350" s="194">
        <f t="shared" si="33"/>
        <v>0.34934292431733927</v>
      </c>
      <c r="X350" s="194">
        <f t="shared" si="34"/>
        <v>4.4166206338701691E-2</v>
      </c>
      <c r="Y350" s="252" t="str">
        <f>IF(ISNUMBER(SEARCH("C",'WetLitterbags placem_collection'!$Y57)),"YES","NO")</f>
        <v>NO</v>
      </c>
      <c r="Z350" s="252" t="str">
        <f>IF(ISNUMBER(SEARCH("H", 'WetLitterbags placem_collection'!$Y57)),"YES","NO")</f>
        <v>NO</v>
      </c>
      <c r="AA350" s="252" t="str">
        <f>IF(ISNUMBER(SEARCH("R", 'WetLitterbags placem_collection'!$Y57)),"YES","NO")</f>
        <v>NO</v>
      </c>
      <c r="AB350" s="252" t="str">
        <f>IF(ISNUMBER(SEARCH("C", 'WetLitterbags placem_collection'!$W57)),"YES","NO")</f>
        <v>NO</v>
      </c>
      <c r="AC350" s="252" t="str">
        <f>IF(ISNUMBER(SEARCH("H", 'WetLitterbags placem_collection'!$W57)),"YES","NO")</f>
        <v>YES</v>
      </c>
      <c r="AD350" s="252" t="str">
        <f>IF(ISNUMBER(SEARCH("R", 'WetLitterbags placem_collection'!$W57)),"YES","NO")</f>
        <v>NO</v>
      </c>
    </row>
    <row r="351" spans="2:30">
      <c r="B351" t="str">
        <f>'Final data_for_R_analysis_Wetse'!A497</f>
        <v>Wet</v>
      </c>
      <c r="C351" s="260">
        <f>'Final data_for_R_analysis_Wetse'!B497</f>
        <v>56</v>
      </c>
      <c r="D351" t="s">
        <v>3808</v>
      </c>
      <c r="E351" t="s">
        <v>25</v>
      </c>
      <c r="F351" s="382">
        <v>8</v>
      </c>
      <c r="G351" s="16">
        <f>'WetLitterbags placem_collection'!E58</f>
        <v>42766</v>
      </c>
      <c r="H351" s="92" t="str">
        <f>'Final data_for_R_analysis_Wetse'!K497</f>
        <v>G557</v>
      </c>
      <c r="I351" t="str">
        <f>'Final data_for_R_analysis_Wetse'!K717</f>
        <v>R58</v>
      </c>
      <c r="J351">
        <f>IFERROR(INDEX('Green_rooibos initial weight'!$C$5:$C$2000,MATCH(H351, 'Green_rooibos initial weight'!$A$5:$A$2000,0)),"")</f>
        <v>2.12</v>
      </c>
      <c r="K351">
        <f>IFERROR(INDEX('Green_rooibos initial weight'!$C$5:$C$2000,MATCH(I351, 'Green_rooibos initial weight'!$A$5:$A$2000,0)),"")</f>
        <v>2.1760000000000002</v>
      </c>
      <c r="L351" s="194">
        <f t="shared" si="28"/>
        <v>1.8702000000000001</v>
      </c>
      <c r="M351" s="194">
        <f>IF(K351&gt;0,(K351*$F$32-($F$29+$F$30)),"")</f>
        <v>1.9262000000000001</v>
      </c>
      <c r="N351" s="16">
        <f>IF('WetLitterbags placem_collection'!G58="","",'WetLitterbags placem_collection'!G58)</f>
        <v>42820</v>
      </c>
      <c r="O351" s="194">
        <f>IFERROR(INDEX('Both teabags AfterWet'!$C$3:$C$2000,MATCH(H351,'Both teabags AfterWet'!$A$3:$A$2000,0)),"")</f>
        <v>0.74399999999999999</v>
      </c>
      <c r="P351" s="194">
        <f>IFERROR(INDEX('Both teabags AfterWet'!$C$3:$C$2000,MATCH(I351,'Both teabags AfterWet'!$A$3:$A$2000,0)),"")</f>
        <v>1.5980000000000001</v>
      </c>
      <c r="Q351" s="194">
        <f t="shared" si="29"/>
        <v>0.59339999999999993</v>
      </c>
      <c r="R351" s="194">
        <f t="shared" si="29"/>
        <v>1.4474</v>
      </c>
      <c r="S351" s="194">
        <f t="shared" si="30"/>
        <v>0.68270773179339117</v>
      </c>
      <c r="T351" s="194">
        <f t="shared" si="31"/>
        <v>0.44757086454863654</v>
      </c>
      <c r="U351" s="194">
        <f t="shared" si="32"/>
        <v>0.75142768144533278</v>
      </c>
      <c r="V351">
        <f>IFERROR(IF((N351-G351)&gt;0,(IFERROR(N351-G351,"")),""),"")</f>
        <v>54</v>
      </c>
      <c r="W351" s="194">
        <f t="shared" si="33"/>
        <v>0.18918321639739766</v>
      </c>
      <c r="X351" s="194">
        <f t="shared" si="34"/>
        <v>1.5009951177338386E-2</v>
      </c>
      <c r="Y351" s="252" t="str">
        <f>IF(ISNUMBER(SEARCH("C",'WetLitterbags placem_collection'!$Y58)),"YES","NO")</f>
        <v>NO</v>
      </c>
      <c r="Z351" s="252" t="str">
        <f>IF(ISNUMBER(SEARCH("H", 'WetLitterbags placem_collection'!$Y58)),"YES","NO")</f>
        <v>NO</v>
      </c>
      <c r="AA351" s="252" t="str">
        <f>IF(ISNUMBER(SEARCH("R", 'WetLitterbags placem_collection'!$Y58)),"YES","NO")</f>
        <v>NO</v>
      </c>
      <c r="AB351" s="252" t="str">
        <f>IF(ISNUMBER(SEARCH("C", 'WetLitterbags placem_collection'!$W58)),"YES","NO")</f>
        <v>YES</v>
      </c>
      <c r="AC351" s="252" t="str">
        <f>IF(ISNUMBER(SEARCH("H", 'WetLitterbags placem_collection'!$W58)),"YES","NO")</f>
        <v>YES</v>
      </c>
      <c r="AD351" s="252" t="str">
        <f>IF(ISNUMBER(SEARCH("R", 'WetLitterbags placem_collection'!$W58)),"YES","NO")</f>
        <v>NO</v>
      </c>
    </row>
    <row r="352" spans="2:30">
      <c r="B352" t="str">
        <f>'Final data_for_R_analysis_Wetse'!A498</f>
        <v>Wet</v>
      </c>
      <c r="C352" s="260">
        <f>'Final data_for_R_analysis_Wetse'!B498</f>
        <v>57</v>
      </c>
      <c r="D352" t="s">
        <v>3809</v>
      </c>
      <c r="E352" t="s">
        <v>25</v>
      </c>
      <c r="F352" s="381">
        <v>1</v>
      </c>
      <c r="G352" s="16">
        <f>'WetLitterbags placem_collection'!E59</f>
        <v>42766</v>
      </c>
      <c r="H352" s="92" t="str">
        <f>'Final data_for_R_analysis_Wetse'!K498</f>
        <v>G618</v>
      </c>
      <c r="I352" t="str">
        <f>'Final data_for_R_analysis_Wetse'!K718</f>
        <v>R435</v>
      </c>
      <c r="J352">
        <f>IFERROR(INDEX('Green_rooibos initial weight'!$C$5:$C$2000,MATCH(H352, 'Green_rooibos initial weight'!$A$5:$A$2000,0)),"")</f>
        <v>2.0449999999999999</v>
      </c>
      <c r="K352">
        <f>IFERROR(INDEX('Green_rooibos initial weight'!$C$5:$C$2000,MATCH(I352, 'Green_rooibos initial weight'!$A$5:$A$2000,0)),"")</f>
        <v>2.141</v>
      </c>
      <c r="L352" s="194">
        <f t="shared" si="28"/>
        <v>1.7951999999999999</v>
      </c>
      <c r="M352" s="194">
        <f>IF(K352&gt;0,(K352*$F$32-($F$29+$F$30)),"")</f>
        <v>1.8912</v>
      </c>
      <c r="N352" s="16">
        <f>IF('WetLitterbags placem_collection'!G59="","",'WetLitterbags placem_collection'!G59)</f>
        <v>42820</v>
      </c>
      <c r="O352" s="194">
        <f>IFERROR(INDEX('Both teabags AfterWet'!$C$3:$C$2000,MATCH(H352,'Both teabags AfterWet'!$A$3:$A$2000,0)),"")</f>
        <v>0.88129999999999997</v>
      </c>
      <c r="P352" s="194">
        <f>IFERROR(INDEX('Both teabags AfterWet'!$C$3:$C$2000,MATCH(I352,'Both teabags AfterWet'!$A$3:$A$2000,0)),"")</f>
        <v>1.4594</v>
      </c>
      <c r="Q352" s="194">
        <f t="shared" si="29"/>
        <v>0.73069999999999991</v>
      </c>
      <c r="R352" s="194">
        <f t="shared" si="29"/>
        <v>1.3088</v>
      </c>
      <c r="S352" s="194">
        <f t="shared" si="30"/>
        <v>0.59297014260249559</v>
      </c>
      <c r="T352" s="194">
        <f t="shared" si="31"/>
        <v>0.38874052104106599</v>
      </c>
      <c r="U352" s="194">
        <f t="shared" si="32"/>
        <v>0.69204737732656507</v>
      </c>
      <c r="V352">
        <f>IFERROR(IF((N352-G352)&gt;0,(IFERROR(N352-G352,"")),""),"")</f>
        <v>54</v>
      </c>
      <c r="W352" s="194">
        <f t="shared" si="33"/>
        <v>0.29575992565024278</v>
      </c>
      <c r="X352" s="194">
        <f t="shared" si="34"/>
        <v>2.9094164784998048E-2</v>
      </c>
      <c r="Y352" s="252" t="str">
        <f>IF(ISNUMBER(SEARCH("C",'WetLitterbags placem_collection'!$Y59)),"YES","NO")</f>
        <v>NO</v>
      </c>
      <c r="Z352" s="252" t="str">
        <f>IF(ISNUMBER(SEARCH("H", 'WetLitterbags placem_collection'!$Y59)),"YES","NO")</f>
        <v>NO</v>
      </c>
      <c r="AA352" s="252" t="str">
        <f>IF(ISNUMBER(SEARCH("R", 'WetLitterbags placem_collection'!$Y59)),"YES","NO")</f>
        <v>YES</v>
      </c>
      <c r="AB352" s="252" t="str">
        <f>IF(ISNUMBER(SEARCH("C", 'WetLitterbags placem_collection'!$W59)),"YES","NO")</f>
        <v>NO</v>
      </c>
      <c r="AC352" s="252" t="str">
        <f>IF(ISNUMBER(SEARCH("H", 'WetLitterbags placem_collection'!$W59)),"YES","NO")</f>
        <v>YES</v>
      </c>
      <c r="AD352" s="252" t="str">
        <f>IF(ISNUMBER(SEARCH("R", 'WetLitterbags placem_collection'!$W59)),"YES","NO")</f>
        <v>YES</v>
      </c>
    </row>
    <row r="353" spans="2:30">
      <c r="B353" t="str">
        <f>'Final data_for_R_analysis_Wetse'!A499</f>
        <v>Wet</v>
      </c>
      <c r="C353" s="260">
        <f>'Final data_for_R_analysis_Wetse'!B499</f>
        <v>58</v>
      </c>
      <c r="D353" t="s">
        <v>3809</v>
      </c>
      <c r="E353" t="s">
        <v>25</v>
      </c>
      <c r="F353" s="381">
        <v>2</v>
      </c>
      <c r="G353" s="16">
        <f>'WetLitterbags placem_collection'!E60</f>
        <v>42766</v>
      </c>
      <c r="H353" s="92" t="str">
        <f>'Final data_for_R_analysis_Wetse'!K499</f>
        <v>G593</v>
      </c>
      <c r="I353" t="str">
        <f>'Final data_for_R_analysis_Wetse'!K719</f>
        <v>R31</v>
      </c>
      <c r="J353">
        <f>IFERROR(INDEX('Green_rooibos initial weight'!$C$5:$C$2000,MATCH(H353, 'Green_rooibos initial weight'!$A$5:$A$2000,0)),"")</f>
        <v>2.093</v>
      </c>
      <c r="K353">
        <f>IFERROR(INDEX('Green_rooibos initial weight'!$C$5:$C$2000,MATCH(I353, 'Green_rooibos initial weight'!$A$5:$A$2000,0)),"")</f>
        <v>2.1589999999999998</v>
      </c>
      <c r="L353" s="194">
        <f t="shared" si="28"/>
        <v>1.8431999999999999</v>
      </c>
      <c r="M353" s="194">
        <f>IF(K353&gt;0,(K353*$F$32-($F$29+$F$30)),"")</f>
        <v>1.9091999999999998</v>
      </c>
      <c r="N353" s="16">
        <f>IF('WetLitterbags placem_collection'!G60="","",'WetLitterbags placem_collection'!G60)</f>
        <v>42820</v>
      </c>
      <c r="O353" s="194">
        <f>IFERROR(INDEX('Both teabags AfterWet'!$C$3:$C$2000,MATCH(H353,'Both teabags AfterWet'!$A$3:$A$2000,0)),"")</f>
        <v>0.97009999999999996</v>
      </c>
      <c r="P353" s="194">
        <f>IFERROR(INDEX('Both teabags AfterWet'!$C$3:$C$2000,MATCH(I353,'Both teabags AfterWet'!$A$3:$A$2000,0)),"")</f>
        <v>1.1857</v>
      </c>
      <c r="Q353" s="194">
        <f t="shared" si="29"/>
        <v>0.8194999999999999</v>
      </c>
      <c r="R353" s="194">
        <f t="shared" si="29"/>
        <v>1.0350999999999999</v>
      </c>
      <c r="S353" s="194">
        <f t="shared" si="30"/>
        <v>0.55539279513888895</v>
      </c>
      <c r="T353" s="194">
        <f t="shared" si="31"/>
        <v>0.36410549039984169</v>
      </c>
      <c r="U353" s="194">
        <f t="shared" si="32"/>
        <v>0.54216425728053641</v>
      </c>
      <c r="V353">
        <f>IFERROR(IF((N353-G353)&gt;0,(IFERROR(N353-G353,"")),""),"")</f>
        <v>54</v>
      </c>
      <c r="W353" s="194">
        <f t="shared" si="33"/>
        <v>0.34038860434811291</v>
      </c>
      <c r="X353" s="194" t="str">
        <f t="shared" si="34"/>
        <v/>
      </c>
      <c r="Y353" s="252" t="str">
        <f>IF(ISNUMBER(SEARCH("C",'WetLitterbags placem_collection'!$Y60)),"YES","NO")</f>
        <v>NO</v>
      </c>
      <c r="Z353" s="252" t="str">
        <f>IF(ISNUMBER(SEARCH("H", 'WetLitterbags placem_collection'!$Y60)),"YES","NO")</f>
        <v>NO</v>
      </c>
      <c r="AA353" s="252" t="str">
        <f>IF(ISNUMBER(SEARCH("R", 'WetLitterbags placem_collection'!$Y60)),"YES","NO")</f>
        <v>NO</v>
      </c>
      <c r="AB353" s="252" t="str">
        <f>IF(ISNUMBER(SEARCH("C", 'WetLitterbags placem_collection'!$W60)),"YES","NO")</f>
        <v>NO</v>
      </c>
      <c r="AC353" s="252" t="str">
        <f>IF(ISNUMBER(SEARCH("H", 'WetLitterbags placem_collection'!$W60)),"YES","NO")</f>
        <v>YES</v>
      </c>
      <c r="AD353" s="252" t="str">
        <f>IF(ISNUMBER(SEARCH("R", 'WetLitterbags placem_collection'!$W60)),"YES","NO")</f>
        <v>NO</v>
      </c>
    </row>
    <row r="354" spans="2:30">
      <c r="B354" t="str">
        <f>'Final data_for_R_analysis_Wetse'!A500</f>
        <v>Wet</v>
      </c>
      <c r="C354" s="260">
        <f>'Final data_for_R_analysis_Wetse'!B500</f>
        <v>59</v>
      </c>
      <c r="D354" t="s">
        <v>3809</v>
      </c>
      <c r="E354" t="s">
        <v>25</v>
      </c>
      <c r="F354" s="381">
        <v>3</v>
      </c>
      <c r="G354" s="16">
        <f>'WetLitterbags placem_collection'!E61</f>
        <v>42766</v>
      </c>
      <c r="H354" s="92" t="str">
        <f>'Final data_for_R_analysis_Wetse'!K500</f>
        <v>G600</v>
      </c>
      <c r="I354" t="str">
        <f>'Final data_for_R_analysis_Wetse'!K720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28"/>
        <v>1.7551999999999999</v>
      </c>
      <c r="M354" s="194">
        <f>IF(K354&gt;0,(K354*$F$32-($F$29+$F$30)),"")</f>
        <v>1.9952000000000001</v>
      </c>
      <c r="N354" s="16">
        <f>IF('WetLitterbags placem_collection'!G61="","",'WetLitterbags placem_collection'!G61)</f>
        <v>42820</v>
      </c>
      <c r="O354" s="194">
        <f>IFERROR(INDEX('Both teabags AfterWet'!$C$3:$C$2000,MATCH(H354,'Both teabags AfterWet'!$A$3:$A$2000,0)),"")</f>
        <v>0.90200000000000002</v>
      </c>
      <c r="P354" s="194">
        <f>IFERROR(INDEX('Both teabags AfterWet'!$C$3:$C$2000,MATCH(I354,'Both teabags AfterWet'!$A$3:$A$2000,0)),"")</f>
        <v>1.4690000000000001</v>
      </c>
      <c r="Q354" s="194">
        <f t="shared" si="29"/>
        <v>0.75140000000000007</v>
      </c>
      <c r="R354" s="194">
        <f t="shared" si="29"/>
        <v>1.3184</v>
      </c>
      <c r="S354" s="194">
        <f t="shared" si="30"/>
        <v>0.57190063810391978</v>
      </c>
      <c r="T354" s="194">
        <f t="shared" si="31"/>
        <v>0.37492773424389997</v>
      </c>
      <c r="U354" s="194">
        <f t="shared" si="32"/>
        <v>0.66078588612670408</v>
      </c>
      <c r="V354">
        <f>IFERROR(IF((N354-G354)&gt;0,(IFERROR(N354-G354,"")),""),"")</f>
        <v>54</v>
      </c>
      <c r="W354" s="194">
        <f t="shared" si="33"/>
        <v>0.32078309013786244</v>
      </c>
      <c r="X354" s="194">
        <f t="shared" si="34"/>
        <v>4.3540762216786329E-2</v>
      </c>
      <c r="Y354" s="252" t="str">
        <f>IF(ISNUMBER(SEARCH("C",'WetLitterbags placem_collection'!$Y61)),"YES","NO")</f>
        <v>NO</v>
      </c>
      <c r="Z354" s="252" t="str">
        <f>IF(ISNUMBER(SEARCH("H", 'WetLitterbags placem_collection'!$Y61)),"YES","NO")</f>
        <v>NO</v>
      </c>
      <c r="AA354" s="252" t="str">
        <f>IF(ISNUMBER(SEARCH("R", 'WetLitterbags placem_collection'!$Y61)),"YES","NO")</f>
        <v>NO</v>
      </c>
      <c r="AB354" s="252" t="str">
        <f>IF(ISNUMBER(SEARCH("C", 'WetLitterbags placem_collection'!$W61)),"YES","NO")</f>
        <v>NO</v>
      </c>
      <c r="AC354" s="252" t="str">
        <f>IF(ISNUMBER(SEARCH("H", 'WetLitterbags placem_collection'!$W61)),"YES","NO")</f>
        <v>NO</v>
      </c>
      <c r="AD354" s="252" t="str">
        <f>IF(ISNUMBER(SEARCH("R", 'WetLitterbags placem_collection'!$W61)),"YES","NO")</f>
        <v>NO</v>
      </c>
    </row>
    <row r="355" spans="2:30">
      <c r="B355" t="str">
        <f>'Final data_for_R_analysis_Wetse'!A501</f>
        <v>Wet</v>
      </c>
      <c r="C355" s="260">
        <f>'Final data_for_R_analysis_Wetse'!B501</f>
        <v>60</v>
      </c>
      <c r="D355" t="s">
        <v>3809</v>
      </c>
      <c r="E355" t="s">
        <v>25</v>
      </c>
      <c r="F355" s="382">
        <v>4</v>
      </c>
      <c r="G355" s="16">
        <f>'WetLitterbags placem_collection'!E62</f>
        <v>42766</v>
      </c>
      <c r="H355" s="92" t="str">
        <f>'Final data_for_R_analysis_Wetse'!K501</f>
        <v>G535</v>
      </c>
      <c r="I355" t="str">
        <f>'Final data_for_R_analysis_Wetse'!K721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28"/>
        <v>1.8422000000000001</v>
      </c>
      <c r="M355" s="194">
        <f>IF(K355&gt;0,(K355*$F$32-($F$29+$F$30)),"")</f>
        <v>1.9982000000000002</v>
      </c>
      <c r="N355" s="16">
        <f>IF('WetLitterbags placem_collection'!G62="","",'WetLitterbags placem_collection'!G62)</f>
        <v>42820</v>
      </c>
      <c r="O355" s="194">
        <f>IFERROR(INDEX('Both teabags AfterWet'!$C$3:$C$2000,MATCH(H355,'Both teabags AfterWet'!$A$3:$A$2000,0)),"")</f>
        <v>0.78</v>
      </c>
      <c r="P355" s="194">
        <f>IFERROR(INDEX('Both teabags AfterWet'!$C$3:$C$2000,MATCH(I355,'Both teabags AfterWet'!$A$3:$A$2000,0)),"")</f>
        <v>1.5309999999999999</v>
      </c>
      <c r="Q355" s="194">
        <f t="shared" si="29"/>
        <v>0.62939999999999996</v>
      </c>
      <c r="R355" s="194">
        <f t="shared" si="29"/>
        <v>1.3803999999999998</v>
      </c>
      <c r="S355" s="194">
        <f t="shared" si="30"/>
        <v>0.65834328520247531</v>
      </c>
      <c r="T355" s="194">
        <f t="shared" si="31"/>
        <v>0.43159797319687221</v>
      </c>
      <c r="U355" s="194">
        <f t="shared" si="32"/>
        <v>0.69082173956560888</v>
      </c>
      <c r="V355">
        <f>IFERROR(IF((N355-G355)&gt;0,(IFERROR(N355-G355,"")),""),"")</f>
        <v>54</v>
      </c>
      <c r="W355" s="194">
        <f t="shared" si="33"/>
        <v>0.21811961377378231</v>
      </c>
      <c r="X355" s="194">
        <f t="shared" si="34"/>
        <v>2.3334057930723615E-2</v>
      </c>
      <c r="Y355" s="252" t="str">
        <f>IF(ISNUMBER(SEARCH("C",'WetLitterbags placem_collection'!$Y62)),"YES","NO")</f>
        <v>NO</v>
      </c>
      <c r="Z355" s="252" t="str">
        <f>IF(ISNUMBER(SEARCH("H", 'WetLitterbags placem_collection'!$Y62)),"YES","NO")</f>
        <v>YES</v>
      </c>
      <c r="AA355" s="252" t="str">
        <f>IF(ISNUMBER(SEARCH("R", 'WetLitterbags placem_collection'!$Y62)),"YES","NO")</f>
        <v>NO</v>
      </c>
      <c r="AB355" s="252" t="str">
        <f>IF(ISNUMBER(SEARCH("C", 'WetLitterbags placem_collection'!$W62)),"YES","NO")</f>
        <v>NO</v>
      </c>
      <c r="AC355" s="252" t="str">
        <f>IF(ISNUMBER(SEARCH("H", 'WetLitterbags placem_collection'!$W62)),"YES","NO")</f>
        <v>NO</v>
      </c>
      <c r="AD355" s="252" t="str">
        <f>IF(ISNUMBER(SEARCH("R", 'WetLitterbags placem_collection'!$W62)),"YES","NO")</f>
        <v>NO</v>
      </c>
    </row>
    <row r="356" spans="2:30">
      <c r="B356" t="str">
        <f>'Final data_for_R_analysis_Wetse'!A502</f>
        <v>Wet</v>
      </c>
      <c r="C356" s="260">
        <f>'Final data_for_R_analysis_Wetse'!B502</f>
        <v>61</v>
      </c>
      <c r="D356" t="s">
        <v>3809</v>
      </c>
      <c r="E356" t="s">
        <v>25</v>
      </c>
      <c r="F356" s="382">
        <v>5</v>
      </c>
      <c r="G356" s="16">
        <f>'WetLitterbags placem_collection'!E63</f>
        <v>42766</v>
      </c>
      <c r="H356" s="92" t="str">
        <f>'Final data_for_R_analysis_Wetse'!K502</f>
        <v>G391</v>
      </c>
      <c r="I356" t="str">
        <f>'Final data_for_R_analysis_Wetse'!K722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28"/>
        <v>1.6921999999999999</v>
      </c>
      <c r="M356" s="194">
        <f>IF(K356&gt;0,(K356*$F$32-($F$29+$F$30)),"")</f>
        <v>1.9062000000000001</v>
      </c>
      <c r="N356" s="16">
        <f>IF('WetLitterbags placem_collection'!G63="","",'WetLitterbags placem_collection'!G63)</f>
        <v>42820</v>
      </c>
      <c r="O356" s="194">
        <f>IFERROR(INDEX('Both teabags AfterWet'!$C$3:$C$2000,MATCH(H356,'Both teabags AfterWet'!$A$3:$A$2000,0)),"")</f>
        <v>0.628</v>
      </c>
      <c r="P356" s="194">
        <f>IFERROR(INDEX('Both teabags AfterWet'!$C$3:$C$2000,MATCH(I356,'Both teabags AfterWet'!$A$3:$A$2000,0)),"")</f>
        <v>1.581</v>
      </c>
      <c r="Q356" s="194">
        <f t="shared" si="29"/>
        <v>0.47739999999999999</v>
      </c>
      <c r="R356" s="194">
        <f t="shared" si="29"/>
        <v>1.4303999999999999</v>
      </c>
      <c r="S356" s="194">
        <f t="shared" si="30"/>
        <v>0.71788204703935699</v>
      </c>
      <c r="T356" s="194">
        <f t="shared" si="31"/>
        <v>0.47063051064812961</v>
      </c>
      <c r="U356" s="194">
        <f t="shared" si="32"/>
        <v>0.75039345294302795</v>
      </c>
      <c r="V356">
        <f>IFERROR(IF((N356-G356)&gt;0,(IFERROR(N356-G356,"")),""),"")</f>
        <v>54</v>
      </c>
      <c r="W356" s="194">
        <f t="shared" si="33"/>
        <v>0.14740849520266386</v>
      </c>
      <c r="X356" s="194">
        <f t="shared" si="34"/>
        <v>1.3996336657769519E-2</v>
      </c>
      <c r="Y356" s="252" t="str">
        <f>IF(ISNUMBER(SEARCH("C",'WetLitterbags placem_collection'!$Y63)),"YES","NO")</f>
        <v>NO</v>
      </c>
      <c r="Z356" s="252" t="str">
        <f>IF(ISNUMBER(SEARCH("H", 'WetLitterbags placem_collection'!$Y63)),"YES","NO")</f>
        <v>NO</v>
      </c>
      <c r="AA356" s="252" t="str">
        <f>IF(ISNUMBER(SEARCH("R", 'WetLitterbags placem_collection'!$Y63)),"YES","NO")</f>
        <v>NO</v>
      </c>
      <c r="AB356" s="252" t="str">
        <f>IF(ISNUMBER(SEARCH("C", 'WetLitterbags placem_collection'!$W63)),"YES","NO")</f>
        <v>YES</v>
      </c>
      <c r="AC356" s="252" t="str">
        <f>IF(ISNUMBER(SEARCH("H", 'WetLitterbags placem_collection'!$W63)),"YES","NO")</f>
        <v>YES</v>
      </c>
      <c r="AD356" s="252" t="str">
        <f>IF(ISNUMBER(SEARCH("R", 'WetLitterbags placem_collection'!$W63)),"YES","NO")</f>
        <v>NO</v>
      </c>
    </row>
    <row r="357" spans="2:30">
      <c r="B357" t="str">
        <f>'Final data_for_R_analysis_Wetse'!A503</f>
        <v>Wet</v>
      </c>
      <c r="C357" s="260">
        <f>'Final data_for_R_analysis_Wetse'!B503</f>
        <v>62</v>
      </c>
      <c r="D357" t="s">
        <v>3809</v>
      </c>
      <c r="E357" t="s">
        <v>25</v>
      </c>
      <c r="F357" s="382">
        <v>6</v>
      </c>
      <c r="G357" s="16">
        <f>'WetLitterbags placem_collection'!E64</f>
        <v>42766</v>
      </c>
      <c r="H357" s="92" t="str">
        <f>'Final data_for_R_analysis_Wetse'!K503</f>
        <v>G445</v>
      </c>
      <c r="I357" t="str">
        <f>'Final data_for_R_analysis_Wetse'!K723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28"/>
        <v>1.8652000000000002</v>
      </c>
      <c r="M357" s="194">
        <f>IF(K357&gt;0,(K357*$F$32-($F$29+$F$30)),"")</f>
        <v>1.9531999999999998</v>
      </c>
      <c r="N357" s="16">
        <f>IF('WetLitterbags placem_collection'!G64="","",'WetLitterbags placem_collection'!G64)</f>
        <v>42820</v>
      </c>
      <c r="O357" s="194">
        <f>IFERROR(INDEX('Both teabags AfterWet'!$C$3:$C$2000,MATCH(H357,'Both teabags AfterWet'!$A$3:$A$2000,0)),"")</f>
        <v>0.80569999999999997</v>
      </c>
      <c r="P357" s="194">
        <f>IFERROR(INDEX('Both teabags AfterWet'!$C$3:$C$2000,MATCH(I357,'Both teabags AfterWet'!$A$3:$A$2000,0)),"")</f>
        <v>1.5379</v>
      </c>
      <c r="Q357" s="194">
        <f t="shared" si="29"/>
        <v>0.65510000000000002</v>
      </c>
      <c r="R357" s="194">
        <f t="shared" si="29"/>
        <v>1.3873</v>
      </c>
      <c r="S357" s="194">
        <f t="shared" si="30"/>
        <v>0.64877761098005582</v>
      </c>
      <c r="T357" s="194">
        <f t="shared" si="31"/>
        <v>0.42532688985865896</v>
      </c>
      <c r="U357" s="194">
        <f t="shared" si="32"/>
        <v>0.71027032561949621</v>
      </c>
      <c r="V357">
        <f>IFERROR(IF((N357-G357)&gt;0,(IFERROR(N357-G357,"")),""),"")</f>
        <v>54</v>
      </c>
      <c r="W357" s="194">
        <f t="shared" si="33"/>
        <v>0.22948027199518306</v>
      </c>
      <c r="X357" s="194">
        <f t="shared" si="34"/>
        <v>2.1169799729873304E-2</v>
      </c>
      <c r="Y357" s="252" t="str">
        <f>IF(ISNUMBER(SEARCH("C",'WetLitterbags placem_collection'!$Y64)),"YES","NO")</f>
        <v>NO</v>
      </c>
      <c r="Z357" s="252" t="str">
        <f>IF(ISNUMBER(SEARCH("H", 'WetLitterbags placem_collection'!$Y64)),"YES","NO")</f>
        <v>NO</v>
      </c>
      <c r="AA357" s="252" t="str">
        <f>IF(ISNUMBER(SEARCH("R", 'WetLitterbags placem_collection'!$Y64)),"YES","NO")</f>
        <v>NO</v>
      </c>
      <c r="AB357" s="252" t="str">
        <f>IF(ISNUMBER(SEARCH("C", 'WetLitterbags placem_collection'!$W64)),"YES","NO")</f>
        <v>NO</v>
      </c>
      <c r="AC357" s="252" t="str">
        <f>IF(ISNUMBER(SEARCH("H", 'WetLitterbags placem_collection'!$W64)),"YES","NO")</f>
        <v>YES</v>
      </c>
      <c r="AD357" s="252" t="str">
        <f>IF(ISNUMBER(SEARCH("R", 'WetLitterbags placem_collection'!$W64)),"YES","NO")</f>
        <v>NO</v>
      </c>
    </row>
    <row r="358" spans="2:30">
      <c r="B358" t="str">
        <f>'Final data_for_R_analysis_Wetse'!A504</f>
        <v>Wet</v>
      </c>
      <c r="C358" s="260">
        <f>'Final data_for_R_analysis_Wetse'!B504</f>
        <v>63</v>
      </c>
      <c r="D358" t="s">
        <v>3809</v>
      </c>
      <c r="E358" t="s">
        <v>25</v>
      </c>
      <c r="F358" s="382">
        <v>7</v>
      </c>
      <c r="G358" s="16">
        <f>'WetLitterbags placem_collection'!E65</f>
        <v>42766</v>
      </c>
      <c r="H358" s="92" t="str">
        <f>'Final data_for_R_analysis_Wetse'!K504</f>
        <v>G440</v>
      </c>
      <c r="I358" t="str">
        <f>'Final data_for_R_analysis_Wetse'!K724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28"/>
        <v>1.8572000000000002</v>
      </c>
      <c r="M358" s="194">
        <f>IF(K358&gt;0,(K358*$F$32-($F$29+$F$30)),"")</f>
        <v>1.9262000000000001</v>
      </c>
      <c r="N358" s="16">
        <f>IF('WetLitterbags placem_collection'!G65="","",'WetLitterbags placem_collection'!G65)</f>
        <v>42820</v>
      </c>
      <c r="O358" s="194">
        <f>IFERROR(INDEX('Both teabags AfterWet'!$C$3:$C$2000,MATCH(H358,'Both teabags AfterWet'!$A$3:$A$2000,0)),"")</f>
        <v>0.94199999999999995</v>
      </c>
      <c r="P358" s="194">
        <f>IFERROR(INDEX('Both teabags AfterWet'!$C$3:$C$2000,MATCH(I358,'Both teabags AfterWet'!$A$3:$A$2000,0)),"")</f>
        <v>1.6359999999999999</v>
      </c>
      <c r="Q358" s="194">
        <f t="shared" si="29"/>
        <v>0.79139999999999988</v>
      </c>
      <c r="R358" s="194">
        <f t="shared" si="29"/>
        <v>1.4853999999999998</v>
      </c>
      <c r="S358" s="194">
        <f t="shared" si="30"/>
        <v>0.57387465001076898</v>
      </c>
      <c r="T358" s="194">
        <f t="shared" si="31"/>
        <v>0.37622186081466091</v>
      </c>
      <c r="U358" s="194">
        <f t="shared" si="32"/>
        <v>0.77115564323538555</v>
      </c>
      <c r="V358">
        <f>IFERROR(IF((N358-G358)&gt;0,(IFERROR(N358-G358,"")),""),"")</f>
        <v>54</v>
      </c>
      <c r="W358" s="194">
        <f t="shared" si="33"/>
        <v>0.31843865794445492</v>
      </c>
      <c r="X358" s="194">
        <f t="shared" si="34"/>
        <v>1.7355216203907158E-2</v>
      </c>
      <c r="Y358" s="252" t="str">
        <f>IF(ISNUMBER(SEARCH("C",'WetLitterbags placem_collection'!$Y65)),"YES","NO")</f>
        <v>NO</v>
      </c>
      <c r="Z358" s="252" t="str">
        <f>IF(ISNUMBER(SEARCH("H", 'WetLitterbags placem_collection'!$Y65)),"YES","NO")</f>
        <v>NO</v>
      </c>
      <c r="AA358" s="252" t="str">
        <f>IF(ISNUMBER(SEARCH("R", 'WetLitterbags placem_collection'!$Y65)),"YES","NO")</f>
        <v>YES</v>
      </c>
      <c r="AB358" s="252" t="str">
        <f>IF(ISNUMBER(SEARCH("C", 'WetLitterbags placem_collection'!$W65)),"YES","NO")</f>
        <v>NO</v>
      </c>
      <c r="AC358" s="252" t="str">
        <f>IF(ISNUMBER(SEARCH("H", 'WetLitterbags placem_collection'!$W65)),"YES","NO")</f>
        <v>NO</v>
      </c>
      <c r="AD358" s="252" t="str">
        <f>IF(ISNUMBER(SEARCH("R", 'WetLitterbags placem_collection'!$W65)),"YES","NO")</f>
        <v>YES</v>
      </c>
    </row>
    <row r="359" spans="2:30">
      <c r="B359" t="str">
        <f>'Final data_for_R_analysis_Wetse'!A505</f>
        <v>Wet</v>
      </c>
      <c r="C359" s="260">
        <f>'Final data_for_R_analysis_Wetse'!B505</f>
        <v>64</v>
      </c>
      <c r="D359" t="s">
        <v>3809</v>
      </c>
      <c r="E359" t="s">
        <v>25</v>
      </c>
      <c r="F359" s="382">
        <v>8</v>
      </c>
      <c r="G359" s="16">
        <f>'WetLitterbags placem_collection'!E66</f>
        <v>42766</v>
      </c>
      <c r="H359" s="92" t="str">
        <f>'Final data_for_R_analysis_Wetse'!K505</f>
        <v>G673</v>
      </c>
      <c r="I359" t="str">
        <f>'Final data_for_R_analysis_Wetse'!K725</f>
        <v>R550</v>
      </c>
      <c r="J359">
        <f>IFERROR(INDEX('Green_rooibos initial weight'!$C$5:$C$2000,MATCH(H359, 'Green_rooibos initial weight'!$A$5:$A$2000,0)),"")</f>
        <v>2.1160000000000001</v>
      </c>
      <c r="K359">
        <f>IFERROR(INDEX('Green_rooibos initial weight'!$C$5:$C$2000,MATCH(I359, 'Green_rooibos initial weight'!$A$5:$A$2000,0)),"")</f>
        <v>2.177</v>
      </c>
      <c r="L359" s="194">
        <f t="shared" si="28"/>
        <v>1.8662000000000001</v>
      </c>
      <c r="M359" s="194">
        <f>IF(K359&gt;0,(K359*$F$32-($F$29+$F$30)),"")</f>
        <v>1.9272</v>
      </c>
      <c r="N359" s="16">
        <f>IF('WetLitterbags placem_collection'!G66="","",'WetLitterbags placem_collection'!G66)</f>
        <v>42820</v>
      </c>
      <c r="O359" s="194">
        <f>IFERROR(INDEX('Both teabags AfterWet'!$C$3:$C$2000,MATCH(H359,'Both teabags AfterWet'!$A$3:$A$2000,0)),"")</f>
        <v>1.0449999999999999</v>
      </c>
      <c r="P359" s="194">
        <f>IFERROR(INDEX('Both teabags AfterWet'!$C$3:$C$2000,MATCH(I359,'Both teabags AfterWet'!$A$3:$A$2000,0)),"")</f>
        <v>1.6930000000000001</v>
      </c>
      <c r="Q359" s="194">
        <f t="shared" si="29"/>
        <v>0.89439999999999986</v>
      </c>
      <c r="R359" s="194">
        <f t="shared" si="29"/>
        <v>1.5424</v>
      </c>
      <c r="S359" s="194">
        <f t="shared" si="30"/>
        <v>0.52073732718894017</v>
      </c>
      <c r="T359" s="194">
        <f t="shared" si="31"/>
        <v>0.34138599122125296</v>
      </c>
      <c r="U359" s="194">
        <f t="shared" si="32"/>
        <v>0.8003320880033209</v>
      </c>
      <c r="V359">
        <f>IFERROR(IF((N359-G359)&gt;0,(IFERROR(N359-G359,"")),""),"")</f>
        <v>54</v>
      </c>
      <c r="W359" s="194">
        <f t="shared" si="33"/>
        <v>0.38154711735280267</v>
      </c>
      <c r="X359" s="194">
        <f t="shared" si="34"/>
        <v>1.6281000918439117E-2</v>
      </c>
      <c r="Y359" s="252" t="str">
        <f>IF(ISNUMBER(SEARCH("C",'WetLitterbags placem_collection'!$Y66)),"YES","NO")</f>
        <v>NO</v>
      </c>
      <c r="Z359" s="252" t="str">
        <f>IF(ISNUMBER(SEARCH("H", 'WetLitterbags placem_collection'!$Y66)),"YES","NO")</f>
        <v>NO</v>
      </c>
      <c r="AA359" s="252" t="str">
        <f>IF(ISNUMBER(SEARCH("R", 'WetLitterbags placem_collection'!$Y66)),"YES","NO")</f>
        <v>NO</v>
      </c>
      <c r="AB359" s="252" t="str">
        <f>IF(ISNUMBER(SEARCH("C", 'WetLitterbags placem_collection'!$W66)),"YES","NO")</f>
        <v>YES</v>
      </c>
      <c r="AC359" s="252" t="str">
        <f>IF(ISNUMBER(SEARCH("H", 'WetLitterbags placem_collection'!$W66)),"YES","NO")</f>
        <v>YES</v>
      </c>
      <c r="AD359" s="252" t="str">
        <f>IF(ISNUMBER(SEARCH("R", 'WetLitterbags placem_collection'!$W66)),"YES","NO")</f>
        <v>NO</v>
      </c>
    </row>
    <row r="360" spans="2:30">
      <c r="B360" t="str">
        <f>'Final data_for_R_analysis_Wetse'!A506</f>
        <v>Wet</v>
      </c>
      <c r="C360" s="260">
        <f>'Final data_for_R_analysis_Wetse'!B506</f>
        <v>65</v>
      </c>
      <c r="D360" t="s">
        <v>3810</v>
      </c>
      <c r="E360" t="s">
        <v>25</v>
      </c>
      <c r="F360" s="381">
        <v>1</v>
      </c>
      <c r="G360" s="16">
        <f>'WetLitterbags placem_collection'!E67</f>
        <v>42767</v>
      </c>
      <c r="H360" s="92" t="str">
        <f>'Final data_for_R_analysis_Wetse'!K506</f>
        <v>G700</v>
      </c>
      <c r="I360" t="str">
        <f>'Final data_for_R_analysis_Wetse'!K726</f>
        <v>R333</v>
      </c>
      <c r="J360">
        <f>IFERROR(INDEX('Green_rooibos initial weight'!$C$5:$C$2000,MATCH(H360, 'Green_rooibos initial weight'!$A$5:$A$2000,0)),"")</f>
        <v>2.0190000000000001</v>
      </c>
      <c r="K360">
        <f>IFERROR(INDEX('Green_rooibos initial weight'!$C$5:$C$2000,MATCH(I360, 'Green_rooibos initial weight'!$A$5:$A$2000,0)),"")</f>
        <v>2.27</v>
      </c>
      <c r="L360" s="194">
        <f t="shared" si="28"/>
        <v>1.7692000000000001</v>
      </c>
      <c r="M360" s="194">
        <f>IF(K360&gt;0,(K360*$F$32-($F$29+$F$30)),"")</f>
        <v>2.0202</v>
      </c>
      <c r="N360" s="16">
        <f>IF('WetLitterbags placem_collection'!G67="","",'WetLitterbags placem_collection'!G67)</f>
        <v>42818</v>
      </c>
      <c r="O360" s="194">
        <f>IFERROR(INDEX('Both teabags AfterWet'!$C$3:$C$2000,MATCH(H360,'Both teabags AfterWet'!$A$3:$A$2000,0)),"")</f>
        <v>0.82299999999999995</v>
      </c>
      <c r="P360" s="194">
        <f>IFERROR(INDEX('Both teabags AfterWet'!$C$3:$C$2000,MATCH(I360,'Both teabags AfterWet'!$A$3:$A$2000,0)),"")</f>
        <v>1.6319999999999999</v>
      </c>
      <c r="Q360" s="194">
        <f t="shared" si="29"/>
        <v>0.67239999999999989</v>
      </c>
      <c r="R360" s="194">
        <f t="shared" si="29"/>
        <v>1.4813999999999998</v>
      </c>
      <c r="S360" s="194">
        <f t="shared" si="30"/>
        <v>0.61994121636898036</v>
      </c>
      <c r="T360" s="194">
        <f t="shared" si="31"/>
        <v>0.40642227011363091</v>
      </c>
      <c r="U360" s="194">
        <f t="shared" si="32"/>
        <v>0.73329373329373326</v>
      </c>
      <c r="V360">
        <f>IFERROR(IF((N360-G360)&gt;0,(IFERROR(N360-G360,"")),""),"")</f>
        <v>51</v>
      </c>
      <c r="W360" s="194">
        <f t="shared" si="33"/>
        <v>0.26372777153327742</v>
      </c>
      <c r="X360" s="194">
        <f t="shared" si="34"/>
        <v>2.0936879961572005E-2</v>
      </c>
      <c r="Y360" s="252" t="str">
        <f>IF(ISNUMBER(SEARCH("C",'WetLitterbags placem_collection'!$Y67)),"YES","NO")</f>
        <v>NO</v>
      </c>
      <c r="Z360" s="252" t="str">
        <f>IF(ISNUMBER(SEARCH("H", 'WetLitterbags placem_collection'!$Y67)),"YES","NO")</f>
        <v>NO</v>
      </c>
      <c r="AA360" s="252" t="str">
        <f>IF(ISNUMBER(SEARCH("R", 'WetLitterbags placem_collection'!$Y67)),"YES","NO")</f>
        <v>YES</v>
      </c>
      <c r="AB360" s="252" t="str">
        <f>IF(ISNUMBER(SEARCH("C", 'WetLitterbags placem_collection'!$W67)),"YES","NO")</f>
        <v>NO</v>
      </c>
      <c r="AC360" s="252" t="str">
        <f>IF(ISNUMBER(SEARCH("H", 'WetLitterbags placem_collection'!$W67)),"YES","NO")</f>
        <v>NO</v>
      </c>
      <c r="AD360" s="252" t="str">
        <f>IF(ISNUMBER(SEARCH("R", 'WetLitterbags placem_collection'!$W67)),"YES","NO")</f>
        <v>NO</v>
      </c>
    </row>
    <row r="361" spans="2:30">
      <c r="B361" t="str">
        <f>'Final data_for_R_analysis_Wetse'!A507</f>
        <v>Wet</v>
      </c>
      <c r="C361" s="260">
        <f>'Final data_for_R_analysis_Wetse'!B507</f>
        <v>66</v>
      </c>
      <c r="D361" t="s">
        <v>3810</v>
      </c>
      <c r="E361" t="s">
        <v>25</v>
      </c>
      <c r="F361" s="381">
        <v>2</v>
      </c>
      <c r="G361" s="16">
        <f>'WetLitterbags placem_collection'!E68</f>
        <v>42767</v>
      </c>
      <c r="H361" s="92" t="str">
        <f>'Final data_for_R_analysis_Wetse'!K507</f>
        <v>G760</v>
      </c>
      <c r="I361" t="str">
        <f>'Final data_for_R_analysis_Wetse'!K727</f>
        <v>R252</v>
      </c>
      <c r="J361">
        <f>IFERROR(INDEX('Green_rooibos initial weight'!$C$5:$C$2000,MATCH(H361, 'Green_rooibos initial weight'!$A$5:$A$2000,0)),"")</f>
        <v>1.948</v>
      </c>
      <c r="K361">
        <f>IFERROR(INDEX('Green_rooibos initial weight'!$C$5:$C$2000,MATCH(I361, 'Green_rooibos initial weight'!$A$5:$A$2000,0)),"")</f>
        <v>2.2069999999999999</v>
      </c>
      <c r="L361" s="194">
        <f t="shared" si="28"/>
        <v>1.6981999999999999</v>
      </c>
      <c r="M361" s="194">
        <f>IF(K361&gt;0,(K361*$F$32-($F$29+$F$30)),"")</f>
        <v>1.9571999999999998</v>
      </c>
      <c r="N361" s="16">
        <f>IF('WetLitterbags placem_collection'!G68="","",'WetLitterbags placem_collection'!G68)</f>
        <v>42818</v>
      </c>
      <c r="O361" s="194">
        <f>IFERROR(INDEX('Both teabags AfterWet'!$C$3:$C$2000,MATCH(H361,'Both teabags AfterWet'!$A$3:$A$2000,0)),"")</f>
        <v>0.93500000000000005</v>
      </c>
      <c r="P361" s="194">
        <f>IFERROR(INDEX('Both teabags AfterWet'!$C$3:$C$2000,MATCH(I361,'Both teabags AfterWet'!$A$3:$A$2000,0)),"")</f>
        <v>1.6584000000000001</v>
      </c>
      <c r="Q361" s="194">
        <f t="shared" si="29"/>
        <v>0.78439999999999999</v>
      </c>
      <c r="R361" s="194">
        <f t="shared" si="29"/>
        <v>1.5078</v>
      </c>
      <c r="S361" s="194">
        <f t="shared" si="30"/>
        <v>0.53809916382051581</v>
      </c>
      <c r="T361" s="194">
        <f t="shared" si="31"/>
        <v>0.3527680978965852</v>
      </c>
      <c r="U361" s="194">
        <f t="shared" si="32"/>
        <v>0.77038626609442074</v>
      </c>
      <c r="V361">
        <f>IFERROR(IF((N361-G361)&gt;0,(IFERROR(N361-G361,"")),""),"")</f>
        <v>51</v>
      </c>
      <c r="W361" s="194">
        <f t="shared" si="33"/>
        <v>0.36092735888299787</v>
      </c>
      <c r="X361" s="194">
        <f t="shared" si="34"/>
        <v>2.0634751652069638E-2</v>
      </c>
      <c r="Y361" s="252" t="str">
        <f>IF(ISNUMBER(SEARCH("C",'WetLitterbags placem_collection'!$Y68)),"YES","NO")</f>
        <v>NO</v>
      </c>
      <c r="Z361" s="252" t="str">
        <f>IF(ISNUMBER(SEARCH("H", 'WetLitterbags placem_collection'!$Y68)),"YES","NO")</f>
        <v>NO</v>
      </c>
      <c r="AA361" s="252" t="str">
        <f>IF(ISNUMBER(SEARCH("R", 'WetLitterbags placem_collection'!$Y68)),"YES","NO")</f>
        <v>NO</v>
      </c>
      <c r="AB361" s="252" t="str">
        <f>IF(ISNUMBER(SEARCH("C", 'WetLitterbags placem_collection'!$W68)),"YES","NO")</f>
        <v>NO</v>
      </c>
      <c r="AC361" s="252" t="str">
        <f>IF(ISNUMBER(SEARCH("H", 'WetLitterbags placem_collection'!$W68)),"YES","NO")</f>
        <v>YES</v>
      </c>
      <c r="AD361" s="252" t="str">
        <f>IF(ISNUMBER(SEARCH("R", 'WetLitterbags placem_collection'!$W68)),"YES","NO")</f>
        <v>NO</v>
      </c>
    </row>
    <row r="362" spans="2:30">
      <c r="B362" t="str">
        <f>'Final data_for_R_analysis_Wetse'!A508</f>
        <v>Wet</v>
      </c>
      <c r="C362" s="260">
        <f>'Final data_for_R_analysis_Wetse'!B508</f>
        <v>67</v>
      </c>
      <c r="D362" t="s">
        <v>3810</v>
      </c>
      <c r="E362" t="s">
        <v>25</v>
      </c>
      <c r="F362" s="381">
        <v>3</v>
      </c>
      <c r="G362" s="16">
        <f>'WetLitterbags placem_collection'!E69</f>
        <v>42767</v>
      </c>
      <c r="H362" s="92" t="str">
        <f>'Final data_for_R_analysis_Wetse'!K508</f>
        <v>G660</v>
      </c>
      <c r="I362" t="str">
        <f>'Final data_for_R_analysis_Wetse'!K728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28"/>
        <v>1.7841999999999998</v>
      </c>
      <c r="M362" s="194">
        <f>IF(K362&gt;0,(K362*$F$32-($F$29+$F$30)),"")</f>
        <v>1.9982000000000002</v>
      </c>
      <c r="N362" s="16">
        <f>IF('WetLitterbags placem_collection'!G69="","",'WetLitterbags placem_collection'!G69)</f>
        <v>42818</v>
      </c>
      <c r="O362" s="194">
        <f>IFERROR(INDEX('Both teabags AfterWet'!$C$3:$C$2000,MATCH(H362,'Both teabags AfterWet'!$A$3:$A$2000,0)),"")</f>
        <v>0.92510000000000003</v>
      </c>
      <c r="P362" s="194">
        <f>IFERROR(INDEX('Both teabags AfterWet'!$C$3:$C$2000,MATCH(I362,'Both teabags AfterWet'!$A$3:$A$2000,0)),"")</f>
        <v>1.5427999999999999</v>
      </c>
      <c r="Q362" s="194">
        <f t="shared" si="29"/>
        <v>0.77449999999999997</v>
      </c>
      <c r="R362" s="194">
        <f t="shared" si="29"/>
        <v>1.3921999999999999</v>
      </c>
      <c r="S362" s="194">
        <f t="shared" si="30"/>
        <v>0.56591189328550606</v>
      </c>
      <c r="T362" s="194">
        <f t="shared" si="31"/>
        <v>0.37100162125130565</v>
      </c>
      <c r="U362" s="194">
        <f t="shared" si="32"/>
        <v>0.69672705434891391</v>
      </c>
      <c r="V362">
        <f>IFERROR(IF((N362-G362)&gt;0,(IFERROR(N362-G362,"")),""),"")</f>
        <v>51</v>
      </c>
      <c r="W362" s="194">
        <f t="shared" si="33"/>
        <v>0.32789561367517095</v>
      </c>
      <c r="X362" s="194">
        <f t="shared" si="34"/>
        <v>3.3346995561187115E-2</v>
      </c>
      <c r="Y362" s="252" t="str">
        <f>IF(ISNUMBER(SEARCH("C",'WetLitterbags placem_collection'!$Y69)),"YES","NO")</f>
        <v>NO</v>
      </c>
      <c r="Z362" s="252" t="str">
        <f>IF(ISNUMBER(SEARCH("H", 'WetLitterbags placem_collection'!$Y69)),"YES","NO")</f>
        <v>NO</v>
      </c>
      <c r="AA362" s="252" t="str">
        <f>IF(ISNUMBER(SEARCH("R", 'WetLitterbags placem_collection'!$Y69)),"YES","NO")</f>
        <v>NO</v>
      </c>
      <c r="AB362" s="252" t="str">
        <f>IF(ISNUMBER(SEARCH("C", 'WetLitterbags placem_collection'!$W69)),"YES","NO")</f>
        <v>NO</v>
      </c>
      <c r="AC362" s="252" t="str">
        <f>IF(ISNUMBER(SEARCH("H", 'WetLitterbags placem_collection'!$W69)),"YES","NO")</f>
        <v>NO</v>
      </c>
      <c r="AD362" s="252" t="str">
        <f>IF(ISNUMBER(SEARCH("R", 'WetLitterbags placem_collection'!$W69)),"YES","NO")</f>
        <v>NO</v>
      </c>
    </row>
    <row r="363" spans="2:30">
      <c r="B363" t="str">
        <f>'Final data_for_R_analysis_Wetse'!A509</f>
        <v>Wet</v>
      </c>
      <c r="C363" s="260">
        <f>'Final data_for_R_analysis_Wetse'!B509</f>
        <v>68</v>
      </c>
      <c r="D363" t="s">
        <v>3810</v>
      </c>
      <c r="E363" t="s">
        <v>25</v>
      </c>
      <c r="F363" s="382">
        <v>4</v>
      </c>
      <c r="G363" s="16">
        <f>'WetLitterbags placem_collection'!E70</f>
        <v>42767</v>
      </c>
      <c r="H363" s="92" t="str">
        <f>'Final data_for_R_analysis_Wetse'!K509</f>
        <v>G477</v>
      </c>
      <c r="I363" t="str">
        <f>'Final data_for_R_analysis_Wetse'!K729</f>
        <v>R9</v>
      </c>
      <c r="J363">
        <f>IFERROR(INDEX('Green_rooibos initial weight'!$C$5:$C$2000,MATCH(H363, 'Green_rooibos initial weight'!$A$5:$A$2000,0)),"")</f>
        <v>2.073</v>
      </c>
      <c r="K363">
        <f>IFERROR(INDEX('Green_rooibos initial weight'!$C$5:$C$2000,MATCH(I363, 'Green_rooibos initial weight'!$A$5:$A$2000,0)),"")</f>
        <v>2.2679999999999998</v>
      </c>
      <c r="L363" s="194">
        <f t="shared" si="28"/>
        <v>1.8231999999999999</v>
      </c>
      <c r="M363" s="194">
        <f>IF(K363&gt;0,(K363*$F$32-($F$29+$F$30)),"")</f>
        <v>2.0181999999999998</v>
      </c>
      <c r="N363" s="16">
        <f>IF('WetLitterbags placem_collection'!G70="","",'WetLitterbags placem_collection'!G70)</f>
        <v>42818</v>
      </c>
      <c r="O363" s="194">
        <f>IFERROR(INDEX('Both teabags AfterWet'!$C$3:$C$2000,MATCH(H363,'Both teabags AfterWet'!$A$3:$A$2000,0)),"")</f>
        <v>0.90500000000000003</v>
      </c>
      <c r="P363" s="194">
        <f>IFERROR(INDEX('Both teabags AfterWet'!$C$3:$C$2000,MATCH(I363,'Both teabags AfterWet'!$A$3:$A$2000,0)),"")</f>
        <v>1.7050000000000001</v>
      </c>
      <c r="Q363" s="194">
        <f t="shared" si="29"/>
        <v>0.75439999999999996</v>
      </c>
      <c r="R363" s="194">
        <f t="shared" si="29"/>
        <v>1.5544</v>
      </c>
      <c r="S363" s="194">
        <f t="shared" si="30"/>
        <v>0.58622202720491445</v>
      </c>
      <c r="T363" s="194">
        <f t="shared" si="31"/>
        <v>0.38431657840512212</v>
      </c>
      <c r="U363" s="194">
        <f t="shared" si="32"/>
        <v>0.77019125953820244</v>
      </c>
      <c r="V363">
        <f>IFERROR(IF((N363-G363)&gt;0,(IFERROR(N363-G363,"")),""),"")</f>
        <v>51</v>
      </c>
      <c r="W363" s="194">
        <f t="shared" si="33"/>
        <v>0.30377431448347447</v>
      </c>
      <c r="X363" s="194">
        <f t="shared" si="34"/>
        <v>1.7867094309647703E-2</v>
      </c>
      <c r="Y363" s="252" t="str">
        <f>IF(ISNUMBER(SEARCH("C",'WetLitterbags placem_collection'!$Y70)),"YES","NO")</f>
        <v>NO</v>
      </c>
      <c r="Z363" s="252" t="str">
        <f>IF(ISNUMBER(SEARCH("H", 'WetLitterbags placem_collection'!$Y70)),"YES","NO")</f>
        <v>NO</v>
      </c>
      <c r="AA363" s="252" t="str">
        <f>IF(ISNUMBER(SEARCH("R", 'WetLitterbags placem_collection'!$Y70)),"YES","NO")</f>
        <v>NO</v>
      </c>
      <c r="AB363" s="252" t="str">
        <f>IF(ISNUMBER(SEARCH("C", 'WetLitterbags placem_collection'!$W70)),"YES","NO")</f>
        <v>NO</v>
      </c>
      <c r="AC363" s="252" t="str">
        <f>IF(ISNUMBER(SEARCH("H", 'WetLitterbags placem_collection'!$W70)),"YES","NO")</f>
        <v>NO</v>
      </c>
      <c r="AD363" s="252" t="str">
        <f>IF(ISNUMBER(SEARCH("R", 'WetLitterbags placem_collection'!$W70)),"YES","NO")</f>
        <v>NO</v>
      </c>
    </row>
    <row r="364" spans="2:30">
      <c r="B364" t="str">
        <f>'Final data_for_R_analysis_Wetse'!A510</f>
        <v>Wet</v>
      </c>
      <c r="C364" s="260">
        <f>'Final data_for_R_analysis_Wetse'!B510</f>
        <v>69</v>
      </c>
      <c r="D364" t="s">
        <v>3810</v>
      </c>
      <c r="E364" t="s">
        <v>25</v>
      </c>
      <c r="F364" s="382">
        <v>5</v>
      </c>
      <c r="G364" s="16">
        <f>'WetLitterbags placem_collection'!E71</f>
        <v>42767</v>
      </c>
      <c r="H364" s="92" t="str">
        <f>'Final data_for_R_analysis_Wetse'!K510</f>
        <v>G386</v>
      </c>
      <c r="I364" t="str">
        <f>'Final data_for_R_analysis_Wetse'!K730</f>
        <v>R251</v>
      </c>
      <c r="J364">
        <f>IFERROR(INDEX('Green_rooibos initial weight'!$C$5:$C$2000,MATCH(H364, 'Green_rooibos initial weight'!$A$5:$A$2000,0)),"")</f>
        <v>1.897</v>
      </c>
      <c r="K364">
        <f>IFERROR(INDEX('Green_rooibos initial weight'!$C$5:$C$2000,MATCH(I364, 'Green_rooibos initial weight'!$A$5:$A$2000,0)),"")</f>
        <v>2.266</v>
      </c>
      <c r="L364" s="194">
        <f t="shared" si="28"/>
        <v>1.6472</v>
      </c>
      <c r="M364" s="194">
        <f>IF(K364&gt;0,(K364*$F$32-($F$29+$F$30)),"")</f>
        <v>2.0162</v>
      </c>
      <c r="N364" s="16">
        <f>IF('WetLitterbags placem_collection'!G71="","",'WetLitterbags placem_collection'!G71)</f>
        <v>42818</v>
      </c>
      <c r="O364" s="194">
        <f>IFERROR(INDEX('Both teabags AfterWet'!$C$3:$C$2000,MATCH(H364,'Both teabags AfterWet'!$A$3:$A$2000,0)),"")</f>
        <v>0.98899999999999999</v>
      </c>
      <c r="P364" s="194">
        <f>IFERROR(INDEX('Both teabags AfterWet'!$C$3:$C$2000,MATCH(I364,'Both teabags AfterWet'!$A$3:$A$2000,0)),"")</f>
        <v>1.8979999999999999</v>
      </c>
      <c r="Q364" s="194">
        <f t="shared" si="29"/>
        <v>0.83840000000000003</v>
      </c>
      <c r="R364" s="194">
        <f t="shared" si="29"/>
        <v>1.7473999999999998</v>
      </c>
      <c r="S364" s="194">
        <f t="shared" si="30"/>
        <v>0.4910150558523555</v>
      </c>
      <c r="T364" s="194">
        <f t="shared" si="31"/>
        <v>0.32190060668705495</v>
      </c>
      <c r="U364" s="194">
        <f t="shared" si="32"/>
        <v>0.86667989286777103</v>
      </c>
      <c r="V364">
        <f>IFERROR(IF((N364-G364)&gt;0,(IFERROR(N364-G364,"")),""),"")</f>
        <v>51</v>
      </c>
      <c r="W364" s="194">
        <f t="shared" si="33"/>
        <v>0.41684672701620484</v>
      </c>
      <c r="X364" s="194">
        <f t="shared" si="34"/>
        <v>1.048466380277639E-2</v>
      </c>
      <c r="Y364" s="252" t="str">
        <f>IF(ISNUMBER(SEARCH("C",'WetLitterbags placem_collection'!$Y71)),"YES","NO")</f>
        <v>NO</v>
      </c>
      <c r="Z364" s="252" t="str">
        <f>IF(ISNUMBER(SEARCH("H", 'WetLitterbags placem_collection'!$Y71)),"YES","NO")</f>
        <v>NO</v>
      </c>
      <c r="AA364" s="252" t="str">
        <f>IF(ISNUMBER(SEARCH("R", 'WetLitterbags placem_collection'!$Y71)),"YES","NO")</f>
        <v>YES</v>
      </c>
      <c r="AB364" s="252" t="str">
        <f>IF(ISNUMBER(SEARCH("C", 'WetLitterbags placem_collection'!$W71)),"YES","NO")</f>
        <v>NO</v>
      </c>
      <c r="AC364" s="252" t="str">
        <f>IF(ISNUMBER(SEARCH("H", 'WetLitterbags placem_collection'!$W71)),"YES","NO")</f>
        <v>NO</v>
      </c>
      <c r="AD364" s="252" t="str">
        <f>IF(ISNUMBER(SEARCH("R", 'WetLitterbags placem_collection'!$W71)),"YES","NO")</f>
        <v>NO</v>
      </c>
    </row>
    <row r="365" spans="2:30">
      <c r="B365" t="str">
        <f>'Final data_for_R_analysis_Wetse'!A511</f>
        <v>Wet</v>
      </c>
      <c r="C365" s="260">
        <f>'Final data_for_R_analysis_Wetse'!B511</f>
        <v>70</v>
      </c>
      <c r="D365" t="s">
        <v>3810</v>
      </c>
      <c r="E365" t="s">
        <v>25</v>
      </c>
      <c r="F365" s="382">
        <v>6</v>
      </c>
      <c r="G365" s="16">
        <f>'WetLitterbags placem_collection'!E72</f>
        <v>42767</v>
      </c>
      <c r="H365" s="92" t="str">
        <f>'Final data_for_R_analysis_Wetse'!K511</f>
        <v>G414</v>
      </c>
      <c r="I365" t="str">
        <f>'Final data_for_R_analysis_Wetse'!K731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28"/>
        <v>1.8092000000000001</v>
      </c>
      <c r="M365" s="194">
        <f>IF(K365&gt;0,(K365*$F$32-($F$29+$F$30)),"")</f>
        <v>1.9222000000000001</v>
      </c>
      <c r="N365" s="16">
        <f>IF('WetLitterbags placem_collection'!G72="","",'WetLitterbags placem_collection'!G72)</f>
        <v>42818</v>
      </c>
      <c r="O365" s="194">
        <f>IFERROR(INDEX('Both teabags AfterWet'!$C$3:$C$2000,MATCH(H365,'Both teabags AfterWet'!$A$3:$A$2000,0)),"")</f>
        <v>0.84099999999999997</v>
      </c>
      <c r="P365" s="194">
        <f>IFERROR(INDEX('Both teabags AfterWet'!$C$3:$C$2000,MATCH(I365,'Both teabags AfterWet'!$A$3:$A$2000,0)),"")</f>
        <v>1.599</v>
      </c>
      <c r="Q365" s="194">
        <f t="shared" si="29"/>
        <v>0.6903999999999999</v>
      </c>
      <c r="R365" s="194">
        <f t="shared" si="29"/>
        <v>1.4483999999999999</v>
      </c>
      <c r="S365" s="194">
        <f t="shared" si="30"/>
        <v>0.6183948706610658</v>
      </c>
      <c r="T365" s="194">
        <f t="shared" si="31"/>
        <v>0.40540851378255149</v>
      </c>
      <c r="U365" s="194">
        <f t="shared" si="32"/>
        <v>0.75351160129018824</v>
      </c>
      <c r="V365">
        <f>IFERROR(IF((N365-G365)&gt;0,(IFERROR(N365-G365,"")),""),"")</f>
        <v>51</v>
      </c>
      <c r="W365" s="194">
        <f t="shared" si="33"/>
        <v>0.26556428662581255</v>
      </c>
      <c r="X365" s="194">
        <f t="shared" si="34"/>
        <v>1.8362619209855699E-2</v>
      </c>
      <c r="Y365" s="252" t="str">
        <f>IF(ISNUMBER(SEARCH("C",'WetLitterbags placem_collection'!$Y72)),"YES","NO")</f>
        <v>NO</v>
      </c>
      <c r="Z365" s="252" t="str">
        <f>IF(ISNUMBER(SEARCH("H", 'WetLitterbags placem_collection'!$Y72)),"YES","NO")</f>
        <v>NO</v>
      </c>
      <c r="AA365" s="252" t="str">
        <f>IF(ISNUMBER(SEARCH("R", 'WetLitterbags placem_collection'!$Y72)),"YES","NO")</f>
        <v>YES</v>
      </c>
      <c r="AB365" s="252" t="str">
        <f>IF(ISNUMBER(SEARCH("C", 'WetLitterbags placem_collection'!$W72)),"YES","NO")</f>
        <v>YES</v>
      </c>
      <c r="AC365" s="252" t="str">
        <f>IF(ISNUMBER(SEARCH("H", 'WetLitterbags placem_collection'!$W72)),"YES","NO")</f>
        <v>YES</v>
      </c>
      <c r="AD365" s="252" t="str">
        <f>IF(ISNUMBER(SEARCH("R", 'WetLitterbags placem_collection'!$W72)),"YES","NO")</f>
        <v>YES</v>
      </c>
    </row>
    <row r="366" spans="2:30">
      <c r="B366" t="str">
        <f>'Final data_for_R_analysis_Wetse'!A512</f>
        <v>Wet</v>
      </c>
      <c r="C366" s="260">
        <f>'Final data_for_R_analysis_Wetse'!B512</f>
        <v>71</v>
      </c>
      <c r="D366" t="s">
        <v>3810</v>
      </c>
      <c r="E366" t="s">
        <v>25</v>
      </c>
      <c r="F366" s="382">
        <v>7</v>
      </c>
      <c r="G366" s="16">
        <f>'WetLitterbags placem_collection'!E73</f>
        <v>42767</v>
      </c>
      <c r="H366" s="92" t="str">
        <f>'Final data_for_R_analysis_Wetse'!K512</f>
        <v>G459</v>
      </c>
      <c r="I366" t="str">
        <f>'Final data_for_R_analysis_Wetse'!K732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28"/>
        <v>1.7951999999999999</v>
      </c>
      <c r="M366" s="194">
        <f>IF(K366&gt;0,(K366*$F$32-($F$29+$F$30)),"")</f>
        <v>1.8521999999999998</v>
      </c>
      <c r="N366" s="16">
        <f>IF('WetLitterbags placem_collection'!G73="","",'WetLitterbags placem_collection'!G73)</f>
        <v>42818</v>
      </c>
      <c r="O366" s="194">
        <f>IFERROR(INDEX('Both teabags AfterWet'!$C$3:$C$2000,MATCH(H366,'Both teabags AfterWet'!$A$3:$A$2000,0)),"")</f>
        <v>0.89149999999999996</v>
      </c>
      <c r="P366" s="194">
        <f>IFERROR(INDEX('Both teabags AfterWet'!$C$3:$C$2000,MATCH(I366,'Both teabags AfterWet'!$A$3:$A$2000,0)),"")</f>
        <v>1.5779000000000001</v>
      </c>
      <c r="Q366" s="194">
        <f t="shared" si="29"/>
        <v>0.74089999999999989</v>
      </c>
      <c r="R366" s="194">
        <f t="shared" si="29"/>
        <v>1.4273</v>
      </c>
      <c r="S366" s="194">
        <f t="shared" si="30"/>
        <v>0.58728832442067747</v>
      </c>
      <c r="T366" s="194">
        <f t="shared" si="31"/>
        <v>0.38501562361070546</v>
      </c>
      <c r="U366" s="194">
        <f t="shared" si="32"/>
        <v>0.7705971277399849</v>
      </c>
      <c r="V366">
        <f>IFERROR(IF((N366-G366)&gt;0,(IFERROR(N366-G366,"")),""),"")</f>
        <v>51</v>
      </c>
      <c r="W366" s="194">
        <f t="shared" si="33"/>
        <v>0.30250792824147565</v>
      </c>
      <c r="X366" s="194">
        <f t="shared" si="34"/>
        <v>1.7763006986867801E-2</v>
      </c>
      <c r="Y366" s="252" t="str">
        <f>IF(ISNUMBER(SEARCH("C",'WetLitterbags placem_collection'!$Y73)),"YES","NO")</f>
        <v>NO</v>
      </c>
      <c r="Z366" s="252" t="str">
        <f>IF(ISNUMBER(SEARCH("H", 'WetLitterbags placem_collection'!$Y73)),"YES","NO")</f>
        <v>NO</v>
      </c>
      <c r="AA366" s="252" t="str">
        <f>IF(ISNUMBER(SEARCH("R", 'WetLitterbags placem_collection'!$Y73)),"YES","NO")</f>
        <v>NO</v>
      </c>
      <c r="AB366" s="252" t="str">
        <f>IF(ISNUMBER(SEARCH("C", 'WetLitterbags placem_collection'!$W73)),"YES","NO")</f>
        <v>NO</v>
      </c>
      <c r="AC366" s="252" t="str">
        <f>IF(ISNUMBER(SEARCH("H", 'WetLitterbags placem_collection'!$W73)),"YES","NO")</f>
        <v>NO</v>
      </c>
      <c r="AD366" s="252" t="str">
        <f>IF(ISNUMBER(SEARCH("R", 'WetLitterbags placem_collection'!$W73)),"YES","NO")</f>
        <v>YES</v>
      </c>
    </row>
    <row r="367" spans="2:30">
      <c r="B367" t="str">
        <f>'Final data_for_R_analysis_Wetse'!A513</f>
        <v>Wet</v>
      </c>
      <c r="C367" s="260">
        <f>'Final data_for_R_analysis_Wetse'!B513</f>
        <v>72</v>
      </c>
      <c r="D367" t="s">
        <v>3810</v>
      </c>
      <c r="E367" t="s">
        <v>25</v>
      </c>
      <c r="F367" s="382">
        <v>8</v>
      </c>
      <c r="G367" s="16">
        <f>'WetLitterbags placem_collection'!E74</f>
        <v>42767</v>
      </c>
      <c r="H367" s="92" t="str">
        <f>'Final data_for_R_analysis_Wetse'!K513</f>
        <v>G627</v>
      </c>
      <c r="I367" t="str">
        <f>'Final data_for_R_analysis_Wetse'!K733</f>
        <v>R14</v>
      </c>
      <c r="J367">
        <f>IFERROR(INDEX('Green_rooibos initial weight'!$C$5:$C$2000,MATCH(H367, 'Green_rooibos initial weight'!$A$5:$A$2000,0)),"")</f>
        <v>2.153</v>
      </c>
      <c r="K367">
        <f>IFERROR(INDEX('Green_rooibos initial weight'!$C$5:$C$2000,MATCH(I367, 'Green_rooibos initial weight'!$A$5:$A$2000,0)),"")</f>
        <v>2.181</v>
      </c>
      <c r="L367" s="194">
        <f t="shared" si="28"/>
        <v>1.9032</v>
      </c>
      <c r="M367" s="194">
        <f>IF(K367&gt;0,(K367*$F$32-($F$29+$F$30)),"")</f>
        <v>1.9312</v>
      </c>
      <c r="N367" s="16">
        <f>IF('WetLitterbags placem_collection'!G74="","",'WetLitterbags placem_collection'!G74)</f>
        <v>42818</v>
      </c>
      <c r="O367" s="194">
        <f>IFERROR(INDEX('Both teabags AfterWet'!$C$3:$C$2000,MATCH(H367,'Both teabags AfterWet'!$A$3:$A$2000,0)),"")</f>
        <v>0.86350000000000005</v>
      </c>
      <c r="P367" s="194">
        <f>IFERROR(INDEX('Both teabags AfterWet'!$C$3:$C$2000,MATCH(I367,'Both teabags AfterWet'!$A$3:$A$2000,0)),"")</f>
        <v>1.5603</v>
      </c>
      <c r="Q367" s="194">
        <f t="shared" si="29"/>
        <v>0.71290000000000009</v>
      </c>
      <c r="R367" s="194">
        <f t="shared" si="29"/>
        <v>1.4097</v>
      </c>
      <c r="S367" s="194">
        <f t="shared" si="30"/>
        <v>0.62542034468263974</v>
      </c>
      <c r="T367" s="194">
        <f t="shared" si="31"/>
        <v>0.41001428772543608</v>
      </c>
      <c r="U367" s="194">
        <f t="shared" si="32"/>
        <v>0.72996064623032308</v>
      </c>
      <c r="V367">
        <f>IFERROR(IF((N367-G367)&gt;0,(IFERROR(N367-G367,"")),""),"")</f>
        <v>51</v>
      </c>
      <c r="W367" s="194">
        <f t="shared" si="33"/>
        <v>0.2572204932510217</v>
      </c>
      <c r="X367" s="194">
        <f t="shared" si="34"/>
        <v>2.1073110662666261E-2</v>
      </c>
      <c r="Y367" s="252" t="str">
        <f>IF(ISNUMBER(SEARCH("C",'WetLitterbags placem_collection'!$Y74)),"YES","NO")</f>
        <v>NO</v>
      </c>
      <c r="Z367" s="252" t="str">
        <f>IF(ISNUMBER(SEARCH("H", 'WetLitterbags placem_collection'!$Y74)),"YES","NO")</f>
        <v>NO</v>
      </c>
      <c r="AA367" s="252" t="str">
        <f>IF(ISNUMBER(SEARCH("R", 'WetLitterbags placem_collection'!$Y74)),"YES","NO")</f>
        <v>NO</v>
      </c>
      <c r="AB367" s="252" t="str">
        <f>IF(ISNUMBER(SEARCH("C", 'WetLitterbags placem_collection'!$W74)),"YES","NO")</f>
        <v>NO</v>
      </c>
      <c r="AC367" s="252" t="str">
        <f>IF(ISNUMBER(SEARCH("H", 'WetLitterbags placem_collection'!$W74)),"YES","NO")</f>
        <v>NO</v>
      </c>
      <c r="AD367" s="252" t="str">
        <f>IF(ISNUMBER(SEARCH("R", 'WetLitterbags placem_collection'!$W74)),"YES","NO")</f>
        <v>NO</v>
      </c>
    </row>
    <row r="368" spans="2:30">
      <c r="B368" t="str">
        <f>'Final data_for_R_analysis_Wetse'!A514</f>
        <v>Wet</v>
      </c>
      <c r="C368" s="260">
        <f>'Final data_for_R_analysis_Wetse'!B514</f>
        <v>73</v>
      </c>
      <c r="D368" t="s">
        <v>3812</v>
      </c>
      <c r="E368" t="s">
        <v>25</v>
      </c>
      <c r="F368" s="381">
        <v>1</v>
      </c>
      <c r="G368" s="16">
        <f>'WetLitterbags placem_collection'!E75</f>
        <v>42767</v>
      </c>
      <c r="H368" s="92" t="str">
        <f>'Final data_for_R_analysis_Wetse'!K514</f>
        <v>G498</v>
      </c>
      <c r="I368" t="str">
        <f>'Final data_for_R_analysis_Wetse'!K734</f>
        <v>R393</v>
      </c>
      <c r="J368">
        <f>IFERROR(INDEX('Green_rooibos initial weight'!$C$5:$C$2000,MATCH(H368, 'Green_rooibos initial weight'!$A$5:$A$2000,0)),"")</f>
        <v>1.744</v>
      </c>
      <c r="K368">
        <f>IFERROR(INDEX('Green_rooibos initial weight'!$C$5:$C$2000,MATCH(I368, 'Green_rooibos initial weight'!$A$5:$A$2000,0)),"")</f>
        <v>2.1829999999999998</v>
      </c>
      <c r="L368" s="194">
        <f t="shared" si="28"/>
        <v>1.4942</v>
      </c>
      <c r="M368" s="194">
        <f>IF(K368&gt;0,(K368*$F$32-($F$29+$F$30)),"")</f>
        <v>1.9331999999999998</v>
      </c>
      <c r="N368" s="16">
        <f>IF('WetLitterbags placem_collection'!G75="","",'WetLitterbags placem_collection'!G75)</f>
        <v>42818</v>
      </c>
      <c r="O368" s="194">
        <f>IFERROR(INDEX('Both teabags AfterWet'!$C$3:$C$2000,MATCH(H368,'Both teabags AfterWet'!$A$3:$A$2000,0)),"")</f>
        <v>0.73209999999999997</v>
      </c>
      <c r="P368" s="194">
        <f>IFERROR(INDEX('Both teabags AfterWet'!$C$3:$C$2000,MATCH(I368,'Both teabags AfterWet'!$A$3:$A$2000,0)),"")</f>
        <v>1.6598999999999999</v>
      </c>
      <c r="Q368" s="194">
        <f t="shared" si="29"/>
        <v>0.58149999999999991</v>
      </c>
      <c r="R368" s="194">
        <f t="shared" si="29"/>
        <v>1.5092999999999999</v>
      </c>
      <c r="S368" s="194">
        <f t="shared" si="30"/>
        <v>0.61082853700977124</v>
      </c>
      <c r="T368" s="194">
        <f t="shared" si="31"/>
        <v>0.40044816203015887</v>
      </c>
      <c r="U368" s="194">
        <f t="shared" si="32"/>
        <v>0.78072625698324027</v>
      </c>
      <c r="V368">
        <f>IFERROR(IF((N368-G368)&gt;0,(IFERROR(N368-G368,"")),""),"")</f>
        <v>51</v>
      </c>
      <c r="W368" s="194">
        <f t="shared" si="33"/>
        <v>0.27455043110478472</v>
      </c>
      <c r="X368" s="194">
        <f t="shared" si="34"/>
        <v>1.5551453270158585E-2</v>
      </c>
      <c r="Y368" s="252" t="str">
        <f>IF(ISNUMBER(SEARCH("C",'WetLitterbags placem_collection'!$Y75)),"YES","NO")</f>
        <v>NO</v>
      </c>
      <c r="Z368" s="252" t="str">
        <f>IF(ISNUMBER(SEARCH("H", 'WetLitterbags placem_collection'!$Y75)),"YES","NO")</f>
        <v>NO</v>
      </c>
      <c r="AA368" s="252" t="str">
        <f>IF(ISNUMBER(SEARCH("R", 'WetLitterbags placem_collection'!$Y75)),"YES","NO")</f>
        <v>YES</v>
      </c>
      <c r="AB368" s="252" t="str">
        <f>IF(ISNUMBER(SEARCH("C", 'WetLitterbags placem_collection'!$W75)),"YES","NO")</f>
        <v>NO</v>
      </c>
      <c r="AC368" s="252" t="str">
        <f>IF(ISNUMBER(SEARCH("H", 'WetLitterbags placem_collection'!$W75)),"YES","NO")</f>
        <v>YES</v>
      </c>
      <c r="AD368" s="252" t="str">
        <f>IF(ISNUMBER(SEARCH("R", 'WetLitterbags placem_collection'!$W75)),"YES","NO")</f>
        <v>YES</v>
      </c>
    </row>
    <row r="369" spans="2:30">
      <c r="B369" t="str">
        <f>'Final data_for_R_analysis_Wetse'!A515</f>
        <v>Wet</v>
      </c>
      <c r="C369" s="260">
        <f>'Final data_for_R_analysis_Wetse'!B515</f>
        <v>74</v>
      </c>
      <c r="D369" t="s">
        <v>3812</v>
      </c>
      <c r="E369" t="s">
        <v>25</v>
      </c>
      <c r="F369" s="381">
        <v>2</v>
      </c>
      <c r="G369" s="16">
        <f>'WetLitterbags placem_collection'!E76</f>
        <v>42767</v>
      </c>
      <c r="H369" s="92" t="str">
        <f>'Final data_for_R_analysis_Wetse'!K515</f>
        <v>G579</v>
      </c>
      <c r="I369" t="str">
        <f>'Final data_for_R_analysis_Wetse'!K735</f>
        <v>R138</v>
      </c>
      <c r="J369">
        <f>IFERROR(INDEX('Green_rooibos initial weight'!$C$5:$C$2000,MATCH(H369, 'Green_rooibos initial weight'!$A$5:$A$2000,0)),"")</f>
        <v>2.012</v>
      </c>
      <c r="K369">
        <f>IFERROR(INDEX('Green_rooibos initial weight'!$C$5:$C$2000,MATCH(I369, 'Green_rooibos initial weight'!$A$5:$A$2000,0)),"")</f>
        <v>2.3140000000000001</v>
      </c>
      <c r="L369" s="194">
        <f t="shared" si="28"/>
        <v>1.7622</v>
      </c>
      <c r="M369" s="194">
        <f>IF(K369&gt;0,(K369*$F$32-($F$29+$F$30)),"")</f>
        <v>2.0642</v>
      </c>
      <c r="N369" s="16">
        <f>IF('WetLitterbags placem_collection'!G76="","",'WetLitterbags placem_collection'!G76)</f>
        <v>42818</v>
      </c>
      <c r="O369" s="194">
        <f>IFERROR(INDEX('Both teabags AfterWet'!$C$3:$C$2000,MATCH(H369,'Both teabags AfterWet'!$A$3:$A$2000,0)),"")</f>
        <v>0.74199999999999999</v>
      </c>
      <c r="P369" s="194">
        <f>IFERROR(INDEX('Both teabags AfterWet'!$C$3:$C$2000,MATCH(I369,'Both teabags AfterWet'!$A$3:$A$2000,0)),"")</f>
        <v>1.6850000000000001</v>
      </c>
      <c r="Q369" s="194">
        <f t="shared" si="29"/>
        <v>0.59139999999999993</v>
      </c>
      <c r="R369" s="194">
        <f t="shared" si="29"/>
        <v>1.5344</v>
      </c>
      <c r="S369" s="194">
        <f t="shared" si="30"/>
        <v>0.66439677675632736</v>
      </c>
      <c r="T369" s="194">
        <f t="shared" si="31"/>
        <v>0.43556653298039516</v>
      </c>
      <c r="U369" s="194">
        <f t="shared" si="32"/>
        <v>0.7433388237573878</v>
      </c>
      <c r="V369">
        <f>IFERROR(IF((N369-G369)&gt;0,(IFERROR(N369-G369,"")),""),"")</f>
        <v>51</v>
      </c>
      <c r="W369" s="194">
        <f t="shared" si="33"/>
        <v>0.2109301938760958</v>
      </c>
      <c r="X369" s="194">
        <f t="shared" si="34"/>
        <v>1.7446875013695552E-2</v>
      </c>
      <c r="Y369" s="252" t="str">
        <f>IF(ISNUMBER(SEARCH("C",'WetLitterbags placem_collection'!$Y76)),"YES","NO")</f>
        <v>NO</v>
      </c>
      <c r="Z369" s="252" t="str">
        <f>IF(ISNUMBER(SEARCH("H", 'WetLitterbags placem_collection'!$Y76)),"YES","NO")</f>
        <v>NO</v>
      </c>
      <c r="AA369" s="252" t="str">
        <f>IF(ISNUMBER(SEARCH("R", 'WetLitterbags placem_collection'!$Y76)),"YES","NO")</f>
        <v>NO</v>
      </c>
      <c r="AB369" s="252" t="str">
        <f>IF(ISNUMBER(SEARCH("C", 'WetLitterbags placem_collection'!$W76)),"YES","NO")</f>
        <v>YES</v>
      </c>
      <c r="AC369" s="252" t="str">
        <f>IF(ISNUMBER(SEARCH("H", 'WetLitterbags placem_collection'!$W76)),"YES","NO")</f>
        <v>YES</v>
      </c>
      <c r="AD369" s="252" t="str">
        <f>IF(ISNUMBER(SEARCH("R", 'WetLitterbags placem_collection'!$W76)),"YES","NO")</f>
        <v>NO</v>
      </c>
    </row>
    <row r="370" spans="2:30">
      <c r="B370" t="str">
        <f>'Final data_for_R_analysis_Wetse'!A516</f>
        <v>Wet</v>
      </c>
      <c r="C370" s="260">
        <f>'Final data_for_R_analysis_Wetse'!B516</f>
        <v>75</v>
      </c>
      <c r="D370" t="s">
        <v>3812</v>
      </c>
      <c r="E370" t="s">
        <v>25</v>
      </c>
      <c r="F370" s="381">
        <v>3</v>
      </c>
      <c r="G370" s="16">
        <f>'WetLitterbags placem_collection'!E77</f>
        <v>42767</v>
      </c>
      <c r="H370" s="92" t="str">
        <f>'Final data_for_R_analysis_Wetse'!K516</f>
        <v>G373</v>
      </c>
      <c r="I370" t="str">
        <f>'Final data_for_R_analysis_Wetse'!K736</f>
        <v>R311</v>
      </c>
      <c r="J370">
        <f>IFERROR(INDEX('Green_rooibos initial weight'!$C$5:$C$2000,MATCH(H370, 'Green_rooibos initial weight'!$A$5:$A$2000,0)),"")</f>
        <v>2.1</v>
      </c>
      <c r="K370">
        <f>IFERROR(INDEX('Green_rooibos initial weight'!$C$5:$C$2000,MATCH(I370, 'Green_rooibos initial weight'!$A$5:$A$2000,0)),"")</f>
        <v>2.2719999999999998</v>
      </c>
      <c r="L370" s="194">
        <f t="shared" si="28"/>
        <v>1.8502000000000001</v>
      </c>
      <c r="M370" s="194">
        <f>IF(K370&gt;0,(K370*$F$32-($F$29+$F$30)),"")</f>
        <v>2.0221999999999998</v>
      </c>
      <c r="N370" s="16">
        <f>IF('WetLitterbags placem_collection'!G77="","",'WetLitterbags placem_collection'!G77)</f>
        <v>42818</v>
      </c>
      <c r="O370" s="194">
        <f>IFERROR(INDEX('Both teabags AfterWet'!$C$3:$C$2000,MATCH(H370,'Both teabags AfterWet'!$A$3:$A$2000,0)),"")</f>
        <v>0.93330000000000002</v>
      </c>
      <c r="P370" s="194">
        <f>IFERROR(INDEX('Both teabags AfterWet'!$C$3:$C$2000,MATCH(I370,'Both teabags AfterWet'!$A$3:$A$2000,0)),"")</f>
        <v>1.6715</v>
      </c>
      <c r="Q370" s="194">
        <f t="shared" si="29"/>
        <v>0.78269999999999995</v>
      </c>
      <c r="R370" s="194">
        <f t="shared" si="29"/>
        <v>1.5208999999999999</v>
      </c>
      <c r="S370" s="194">
        <f t="shared" si="30"/>
        <v>0.57696465247000328</v>
      </c>
      <c r="T370" s="194">
        <f t="shared" si="31"/>
        <v>0.3782476106454179</v>
      </c>
      <c r="U370" s="194">
        <f t="shared" si="32"/>
        <v>0.75210167144693907</v>
      </c>
      <c r="V370">
        <f>IFERROR(IF((N370-G370)&gt;0,(IFERROR(N370-G370,"")),""),"")</f>
        <v>51</v>
      </c>
      <c r="W370" s="194">
        <f t="shared" si="33"/>
        <v>0.31476882129453287</v>
      </c>
      <c r="X370" s="194">
        <f t="shared" si="34"/>
        <v>2.0888851038365092E-2</v>
      </c>
      <c r="Y370" s="252" t="str">
        <f>IF(ISNUMBER(SEARCH("C",'WetLitterbags placem_collection'!$Y77)),"YES","NO")</f>
        <v>NO</v>
      </c>
      <c r="Z370" s="252" t="str">
        <f>IF(ISNUMBER(SEARCH("H", 'WetLitterbags placem_collection'!$Y77)),"YES","NO")</f>
        <v>NO</v>
      </c>
      <c r="AA370" s="252" t="str">
        <f>IF(ISNUMBER(SEARCH("R", 'WetLitterbags placem_collection'!$Y77)),"YES","NO")</f>
        <v>NO</v>
      </c>
      <c r="AB370" s="252" t="str">
        <f>IF(ISNUMBER(SEARCH("C", 'WetLitterbags placem_collection'!$W77)),"YES","NO")</f>
        <v>NO</v>
      </c>
      <c r="AC370" s="252" t="str">
        <f>IF(ISNUMBER(SEARCH("H", 'WetLitterbags placem_collection'!$W77)),"YES","NO")</f>
        <v>YES</v>
      </c>
      <c r="AD370" s="252" t="str">
        <f>IF(ISNUMBER(SEARCH("R", 'WetLitterbags placem_collection'!$W77)),"YES","NO")</f>
        <v>YES</v>
      </c>
    </row>
    <row r="371" spans="2:30">
      <c r="B371" t="str">
        <f>'Final data_for_R_analysis_Wetse'!A517</f>
        <v>Wet</v>
      </c>
      <c r="C371" s="260">
        <f>'Final data_for_R_analysis_Wetse'!B517</f>
        <v>76</v>
      </c>
      <c r="D371" t="s">
        <v>3812</v>
      </c>
      <c r="E371" t="s">
        <v>25</v>
      </c>
      <c r="F371" s="382">
        <v>4</v>
      </c>
      <c r="G371" s="16">
        <f>'WetLitterbags placem_collection'!E78</f>
        <v>42767</v>
      </c>
      <c r="H371" s="92" t="str">
        <f>'Final data_for_R_analysis_Wetse'!K517</f>
        <v>G603</v>
      </c>
      <c r="I371" t="str">
        <f>'Final data_for_R_analysis_Wetse'!K737</f>
        <v>R183</v>
      </c>
      <c r="J371">
        <f>IFERROR(INDEX('Green_rooibos initial weight'!$C$5:$C$2000,MATCH(H371, 'Green_rooibos initial weight'!$A$5:$A$2000,0)),"")</f>
        <v>2.0430000000000001</v>
      </c>
      <c r="K371">
        <f>IFERROR(INDEX('Green_rooibos initial weight'!$C$5:$C$2000,MATCH(I371, 'Green_rooibos initial weight'!$A$5:$A$2000,0)),"")</f>
        <v>2.262</v>
      </c>
      <c r="L371" s="194">
        <f t="shared" si="28"/>
        <v>1.7932000000000001</v>
      </c>
      <c r="M371" s="194">
        <f>IF(K371&gt;0,(K371*$F$32-($F$29+$F$30)),"")</f>
        <v>2.0122</v>
      </c>
      <c r="N371" s="16">
        <f>IF('WetLitterbags placem_collection'!G78="","",'WetLitterbags placem_collection'!G78)</f>
        <v>42818</v>
      </c>
      <c r="O371" s="194">
        <f>IFERROR(INDEX('Both teabags AfterWet'!$C$3:$C$2000,MATCH(H371,'Both teabags AfterWet'!$A$3:$A$2000,0)),"")</f>
        <v>0.82299999999999995</v>
      </c>
      <c r="P371" s="194">
        <f>IFERROR(INDEX('Both teabags AfterWet'!$C$3:$C$2000,MATCH(I371,'Both teabags AfterWet'!$A$3:$A$2000,0)),"")</f>
        <v>1.7490000000000001</v>
      </c>
      <c r="Q371" s="194">
        <f t="shared" si="29"/>
        <v>0.67239999999999989</v>
      </c>
      <c r="R371" s="194">
        <f t="shared" si="29"/>
        <v>1.5984</v>
      </c>
      <c r="S371" s="194">
        <f t="shared" si="30"/>
        <v>0.62502788311398627</v>
      </c>
      <c r="T371" s="194">
        <f t="shared" si="31"/>
        <v>0.40975699700584378</v>
      </c>
      <c r="U371" s="194">
        <f t="shared" si="32"/>
        <v>0.79435443792863536</v>
      </c>
      <c r="V371">
        <f>IFERROR(IF((N371-G371)&gt;0,(IFERROR(N371-G371,"")),""),"")</f>
        <v>51</v>
      </c>
      <c r="W371" s="194">
        <f t="shared" si="33"/>
        <v>0.25768659962709461</v>
      </c>
      <c r="X371" s="194">
        <f t="shared" si="34"/>
        <v>1.3664670575988812E-2</v>
      </c>
      <c r="Y371" s="252" t="str">
        <f>IF(ISNUMBER(SEARCH("C",'WetLitterbags placem_collection'!$Y78)),"YES","NO")</f>
        <v>NO</v>
      </c>
      <c r="Z371" s="252" t="str">
        <f>IF(ISNUMBER(SEARCH("H", 'WetLitterbags placem_collection'!$Y78)),"YES","NO")</f>
        <v>NO</v>
      </c>
      <c r="AA371" s="252" t="str">
        <f>IF(ISNUMBER(SEARCH("R", 'WetLitterbags placem_collection'!$Y78)),"YES","NO")</f>
        <v>NO</v>
      </c>
      <c r="AB371" s="252" t="str">
        <f>IF(ISNUMBER(SEARCH("C", 'WetLitterbags placem_collection'!$W78)),"YES","NO")</f>
        <v>NO</v>
      </c>
      <c r="AC371" s="252" t="str">
        <f>IF(ISNUMBER(SEARCH("H", 'WetLitterbags placem_collection'!$W78)),"YES","NO")</f>
        <v>YES</v>
      </c>
      <c r="AD371" s="252" t="str">
        <f>IF(ISNUMBER(SEARCH("R", 'WetLitterbags placem_collection'!$W78)),"YES","NO")</f>
        <v>NO</v>
      </c>
    </row>
    <row r="372" spans="2:30">
      <c r="B372" t="str">
        <f>'Final data_for_R_analysis_Wetse'!A518</f>
        <v>Wet</v>
      </c>
      <c r="C372" s="260">
        <f>'Final data_for_R_analysis_Wetse'!B518</f>
        <v>77</v>
      </c>
      <c r="D372" t="s">
        <v>3812</v>
      </c>
      <c r="E372" t="s">
        <v>25</v>
      </c>
      <c r="F372" s="382">
        <v>5</v>
      </c>
      <c r="G372" s="16">
        <f>'WetLitterbags placem_collection'!E79</f>
        <v>42767</v>
      </c>
      <c r="H372" s="92" t="str">
        <f>'Final data_for_R_analysis_Wetse'!K518</f>
        <v>G509</v>
      </c>
      <c r="I372" t="str">
        <f>'Final data_for_R_analysis_Wetse'!K738</f>
        <v>R228</v>
      </c>
      <c r="J372">
        <f>IFERROR(INDEX('Green_rooibos initial weight'!$C$5:$C$2000,MATCH(H372, 'Green_rooibos initial weight'!$A$5:$A$2000,0)),"")</f>
        <v>2.048</v>
      </c>
      <c r="K372">
        <f>IFERROR(INDEX('Green_rooibos initial weight'!$C$5:$C$2000,MATCH(I372, 'Green_rooibos initial weight'!$A$5:$A$2000,0)),"")</f>
        <v>2.2040000000000002</v>
      </c>
      <c r="L372" s="194">
        <f t="shared" si="28"/>
        <v>1.7982</v>
      </c>
      <c r="M372" s="194">
        <f>IF(K372&gt;0,(K372*$F$32-($F$29+$F$30)),"")</f>
        <v>1.9542000000000002</v>
      </c>
      <c r="N372" s="16">
        <f>IF('WetLitterbags placem_collection'!G79="","",'WetLitterbags placem_collection'!G79)</f>
        <v>42818</v>
      </c>
      <c r="O372" s="194">
        <f>IFERROR(INDEX('Both teabags AfterWet'!$C$3:$C$2000,MATCH(H372,'Both teabags AfterWet'!$A$3:$A$2000,0)),"")</f>
        <v>1.012</v>
      </c>
      <c r="P372" s="194">
        <f>IFERROR(INDEX('Both teabags AfterWet'!$C$3:$C$2000,MATCH(I372,'Both teabags AfterWet'!$A$3:$A$2000,0)),"")</f>
        <v>2.2429999999999999</v>
      </c>
      <c r="Q372" s="194">
        <f t="shared" si="29"/>
        <v>0.86139999999999994</v>
      </c>
      <c r="R372" s="194">
        <f t="shared" si="29"/>
        <v>2.0924</v>
      </c>
      <c r="S372" s="194">
        <f t="shared" si="30"/>
        <v>0.52096540985429884</v>
      </c>
      <c r="T372" s="194">
        <f t="shared" si="31"/>
        <v>0.34153551809925531</v>
      </c>
      <c r="U372" s="194">
        <f t="shared" si="32"/>
        <v>1.0707194760004093</v>
      </c>
      <c r="V372">
        <f>IFERROR(IF((N372-G372)&gt;0,(IFERROR(N372-G372,"")),""),"")</f>
        <v>51</v>
      </c>
      <c r="W372" s="194">
        <f t="shared" si="33"/>
        <v>0.38127623532743604</v>
      </c>
      <c r="X372" s="194">
        <f t="shared" si="34"/>
        <v>-3.6900077620948637E-3</v>
      </c>
      <c r="Y372" s="252" t="str">
        <f>IF(ISNUMBER(SEARCH("C",'WetLitterbags placem_collection'!$Y79)),"YES","NO")</f>
        <v>NO</v>
      </c>
      <c r="Z372" s="252" t="str">
        <f>IF(ISNUMBER(SEARCH("H", 'WetLitterbags placem_collection'!$Y79)),"YES","NO")</f>
        <v>NO</v>
      </c>
      <c r="AA372" s="252" t="str">
        <f>IF(ISNUMBER(SEARCH("R", 'WetLitterbags placem_collection'!$Y79)),"YES","NO")</f>
        <v>NO</v>
      </c>
      <c r="AB372" s="252" t="str">
        <f>IF(ISNUMBER(SEARCH("C", 'WetLitterbags placem_collection'!$W79)),"YES","NO")</f>
        <v>NO</v>
      </c>
      <c r="AC372" s="252" t="str">
        <f>IF(ISNUMBER(SEARCH("H", 'WetLitterbags placem_collection'!$W79)),"YES","NO")</f>
        <v>NO</v>
      </c>
      <c r="AD372" s="252" t="str">
        <f>IF(ISNUMBER(SEARCH("R", 'WetLitterbags placem_collection'!$W79)),"YES","NO")</f>
        <v>YES</v>
      </c>
    </row>
    <row r="373" spans="2:30">
      <c r="B373" t="str">
        <f>'Final data_for_R_analysis_Wetse'!A519</f>
        <v>Wet</v>
      </c>
      <c r="C373" s="260">
        <f>'Final data_for_R_analysis_Wetse'!B519</f>
        <v>78</v>
      </c>
      <c r="D373" t="s">
        <v>3812</v>
      </c>
      <c r="E373" t="s">
        <v>25</v>
      </c>
      <c r="F373" s="382">
        <v>6</v>
      </c>
      <c r="G373" s="16">
        <f>'WetLitterbags placem_collection'!E80</f>
        <v>42767</v>
      </c>
      <c r="H373" s="92" t="str">
        <f>'Final data_for_R_analysis_Wetse'!K519</f>
        <v>G446</v>
      </c>
      <c r="I373" t="str">
        <f>'Final data_for_R_analysis_Wetse'!K739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28"/>
        <v>1.6821999999999999</v>
      </c>
      <c r="M373" s="194">
        <f>IF(K373&gt;0,(K373*$F$32-($F$29+$F$30)),"")</f>
        <v>2.0051999999999999</v>
      </c>
      <c r="N373" s="16">
        <f>IF('WetLitterbags placem_collection'!G80="","",'WetLitterbags placem_collection'!G80)</f>
        <v>42818</v>
      </c>
      <c r="O373" s="194">
        <f>IFERROR(INDEX('Both teabags AfterWet'!$C$3:$C$2000,MATCH(H373,'Both teabags AfterWet'!$A$3:$A$2000,0)),"")</f>
        <v>0.77859999999999996</v>
      </c>
      <c r="P373" s="194">
        <f>IFERROR(INDEX('Both teabags AfterWet'!$C$3:$C$2000,MATCH(I373,'Both teabags AfterWet'!$A$3:$A$2000,0)),"")</f>
        <v>1.7222999999999999</v>
      </c>
      <c r="Q373" s="194">
        <f t="shared" si="29"/>
        <v>0.62799999999999989</v>
      </c>
      <c r="R373" s="194">
        <f t="shared" si="29"/>
        <v>1.5716999999999999</v>
      </c>
      <c r="S373" s="194">
        <f t="shared" si="30"/>
        <v>0.62667934847223883</v>
      </c>
      <c r="T373" s="194">
        <f t="shared" si="31"/>
        <v>0.41083966788203785</v>
      </c>
      <c r="U373" s="194">
        <f t="shared" si="32"/>
        <v>0.78381208856971873</v>
      </c>
      <c r="V373">
        <f>IFERROR(IF((N373-G373)&gt;0,(IFERROR(N373-G373,"")),""),"")</f>
        <v>51</v>
      </c>
      <c r="W373" s="194">
        <f t="shared" si="33"/>
        <v>0.25572523934413438</v>
      </c>
      <c r="X373" s="194">
        <f t="shared" si="34"/>
        <v>1.4646881142210567E-2</v>
      </c>
      <c r="Y373" s="252" t="str">
        <f>IF(ISNUMBER(SEARCH("C",'WetLitterbags placem_collection'!$Y80)),"YES","NO")</f>
        <v>NO</v>
      </c>
      <c r="Z373" s="252" t="str">
        <f>IF(ISNUMBER(SEARCH("H", 'WetLitterbags placem_collection'!$Y80)),"YES","NO")</f>
        <v>NO</v>
      </c>
      <c r="AA373" s="252" t="str">
        <f>IF(ISNUMBER(SEARCH("R", 'WetLitterbags placem_collection'!$Y80)),"YES","NO")</f>
        <v>NO</v>
      </c>
      <c r="AB373" s="252" t="str">
        <f>IF(ISNUMBER(SEARCH("C", 'WetLitterbags placem_collection'!$W80)),"YES","NO")</f>
        <v>NO</v>
      </c>
      <c r="AC373" s="252" t="str">
        <f>IF(ISNUMBER(SEARCH("H", 'WetLitterbags placem_collection'!$W80)),"YES","NO")</f>
        <v>NO</v>
      </c>
      <c r="AD373" s="252" t="str">
        <f>IF(ISNUMBER(SEARCH("R", 'WetLitterbags placem_collection'!$W80)),"YES","NO")</f>
        <v>YES</v>
      </c>
    </row>
    <row r="374" spans="2:30">
      <c r="B374" t="str">
        <f>'Final data_for_R_analysis_Wetse'!A520</f>
        <v>Wet</v>
      </c>
      <c r="C374" s="260">
        <f>'Final data_for_R_analysis_Wetse'!B520</f>
        <v>79</v>
      </c>
      <c r="D374" t="s">
        <v>3812</v>
      </c>
      <c r="E374" t="s">
        <v>25</v>
      </c>
      <c r="F374" s="382">
        <v>7</v>
      </c>
      <c r="G374" s="16">
        <f>'WetLitterbags placem_collection'!E81</f>
        <v>42767</v>
      </c>
      <c r="H374" s="92" t="str">
        <f>'Final data_for_R_analysis_Wetse'!K520</f>
        <v>G249</v>
      </c>
      <c r="I374" t="str">
        <f>'Final data_for_R_analysis_Wetse'!K740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28"/>
        <v>1.7721999999999998</v>
      </c>
      <c r="M374" s="194">
        <f>IF(K374&gt;0,(K374*$F$32-($F$29+$F$30)),"")</f>
        <v>1.9331999999999998</v>
      </c>
      <c r="N374" s="16">
        <f>IF('WetLitterbags placem_collection'!G81="","",'WetLitterbags placem_collection'!G81)</f>
        <v>42818</v>
      </c>
      <c r="O374" s="194">
        <f>IFERROR(INDEX('Both teabags AfterWet'!$C$3:$C$2000,MATCH(H374,'Both teabags AfterWet'!$A$3:$A$2000,0)),"")</f>
        <v>0.97550000000000003</v>
      </c>
      <c r="P374" s="194">
        <f>IFERROR(INDEX('Both teabags AfterWet'!$C$3:$C$2000,MATCH(I374,'Both teabags AfterWet'!$A$3:$A$2000,0)),"")</f>
        <v>1.6438999999999999</v>
      </c>
      <c r="Q374" s="194">
        <f t="shared" si="29"/>
        <v>0.82489999999999997</v>
      </c>
      <c r="R374" s="194">
        <f t="shared" si="29"/>
        <v>1.4932999999999998</v>
      </c>
      <c r="S374" s="194">
        <f t="shared" si="30"/>
        <v>0.53453334838054389</v>
      </c>
      <c r="T374" s="194">
        <f t="shared" si="31"/>
        <v>0.35043041366515471</v>
      </c>
      <c r="U374" s="194">
        <f t="shared" si="32"/>
        <v>0.77244982412580177</v>
      </c>
      <c r="V374">
        <f>IFERROR(IF((N374-G374)&gt;0,(IFERROR(N374-G374,"")),""),"")</f>
        <v>51</v>
      </c>
      <c r="W374" s="194">
        <f t="shared" si="33"/>
        <v>0.36516229408486467</v>
      </c>
      <c r="X374" s="194">
        <f t="shared" si="34"/>
        <v>2.0548077406665588E-2</v>
      </c>
      <c r="Y374" s="252" t="str">
        <f>IF(ISNUMBER(SEARCH("C",'WetLitterbags placem_collection'!$Y81)),"YES","NO")</f>
        <v>NO</v>
      </c>
      <c r="Z374" s="252" t="str">
        <f>IF(ISNUMBER(SEARCH("H", 'WetLitterbags placem_collection'!$Y81)),"YES","NO")</f>
        <v>NO</v>
      </c>
      <c r="AA374" s="252" t="str">
        <f>IF(ISNUMBER(SEARCH("R", 'WetLitterbags placem_collection'!$Y81)),"YES","NO")</f>
        <v>NO</v>
      </c>
      <c r="AB374" s="252" t="str">
        <f>IF(ISNUMBER(SEARCH("C", 'WetLitterbags placem_collection'!$W81)),"YES","NO")</f>
        <v>NO</v>
      </c>
      <c r="AC374" s="252" t="str">
        <f>IF(ISNUMBER(SEARCH("H", 'WetLitterbags placem_collection'!$W81)),"YES","NO")</f>
        <v>NO</v>
      </c>
      <c r="AD374" s="252" t="str">
        <f>IF(ISNUMBER(SEARCH("R", 'WetLitterbags placem_collection'!$W81)),"YES","NO")</f>
        <v>YES</v>
      </c>
    </row>
    <row r="375" spans="2:30">
      <c r="B375" t="str">
        <f>'Final data_for_R_analysis_Wetse'!A521</f>
        <v>Wet</v>
      </c>
      <c r="C375" s="260">
        <f>'Final data_for_R_analysis_Wetse'!B521</f>
        <v>80</v>
      </c>
      <c r="D375" t="s">
        <v>3812</v>
      </c>
      <c r="E375" t="s">
        <v>25</v>
      </c>
      <c r="F375" s="382">
        <v>8</v>
      </c>
      <c r="G375" s="16">
        <f>'WetLitterbags placem_collection'!E82</f>
        <v>42767</v>
      </c>
      <c r="H375" s="92" t="str">
        <f>'Final data_for_R_analysis_Wetse'!K521</f>
        <v>G474</v>
      </c>
      <c r="I375" t="str">
        <f>'Final data_for_R_analysis_Wetse'!K741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28"/>
        <v>1.9432</v>
      </c>
      <c r="M375" s="194">
        <f>IF(K375&gt;0,(K375*$F$32-($F$29+$F$30)),"")</f>
        <v>1.9872000000000001</v>
      </c>
      <c r="N375" s="16">
        <f>IF('WetLitterbags placem_collection'!G82="","",'WetLitterbags placem_collection'!G82)</f>
        <v>42818</v>
      </c>
      <c r="O375" s="194">
        <f>IFERROR(INDEX('Both teabags AfterWet'!$C$3:$C$2000,MATCH(H375,'Both teabags AfterWet'!$A$3:$A$2000,0)),"")</f>
        <v>1.0009999999999999</v>
      </c>
      <c r="P375" s="194">
        <f>IFERROR(INDEX('Both teabags AfterWet'!$C$3:$C$2000,MATCH(I375,'Both teabags AfterWet'!$A$3:$A$2000,0)),"")</f>
        <v>1.639</v>
      </c>
      <c r="Q375" s="194">
        <f t="shared" si="29"/>
        <v>0.85039999999999982</v>
      </c>
      <c r="R375" s="194">
        <f t="shared" si="29"/>
        <v>1.4883999999999999</v>
      </c>
      <c r="S375" s="194">
        <f t="shared" si="30"/>
        <v>0.56237134623301777</v>
      </c>
      <c r="T375" s="194">
        <f t="shared" si="31"/>
        <v>0.368680502518558</v>
      </c>
      <c r="U375" s="194">
        <f t="shared" si="32"/>
        <v>0.74899355877616747</v>
      </c>
      <c r="V375">
        <f>IFERROR(IF((N375-G375)&gt;0,(IFERROR(N375-G375,"")),""),"")</f>
        <v>51</v>
      </c>
      <c r="W375" s="194">
        <f t="shared" si="33"/>
        <v>0.33210053891565583</v>
      </c>
      <c r="X375" s="194">
        <f t="shared" si="34"/>
        <v>2.2392388470399063E-2</v>
      </c>
      <c r="Y375" s="252" t="str">
        <f>IF(ISNUMBER(SEARCH("C",'WetLitterbags placem_collection'!$Y82)),"YES","NO")</f>
        <v>NO</v>
      </c>
      <c r="Z375" s="252" t="str">
        <f>IF(ISNUMBER(SEARCH("H", 'WetLitterbags placem_collection'!$Y82)),"YES","NO")</f>
        <v>NO</v>
      </c>
      <c r="AA375" s="252" t="str">
        <f>IF(ISNUMBER(SEARCH("R", 'WetLitterbags placem_collection'!$Y82)),"YES","NO")</f>
        <v>NO</v>
      </c>
      <c r="AB375" s="252" t="str">
        <f>IF(ISNUMBER(SEARCH("C", 'WetLitterbags placem_collection'!$W82)),"YES","NO")</f>
        <v>NO</v>
      </c>
      <c r="AC375" s="252" t="str">
        <f>IF(ISNUMBER(SEARCH("H", 'WetLitterbags placem_collection'!$W82)),"YES","NO")</f>
        <v>YES</v>
      </c>
      <c r="AD375" s="252" t="str">
        <f>IF(ISNUMBER(SEARCH("R", 'WetLitterbags placem_collection'!$W82)),"YES","NO")</f>
        <v>NO</v>
      </c>
    </row>
    <row r="376" spans="2:30">
      <c r="B376" t="str">
        <f>'Final data_for_R_analysis_Wetse'!A522</f>
        <v>Wet</v>
      </c>
      <c r="C376" s="260">
        <f>'Final data_for_R_analysis_Wetse'!B522</f>
        <v>81</v>
      </c>
      <c r="D376" t="s">
        <v>3813</v>
      </c>
      <c r="E376" t="s">
        <v>25</v>
      </c>
      <c r="F376" s="381">
        <v>1</v>
      </c>
      <c r="G376" s="16">
        <f>'WetLitterbags placem_collection'!E83</f>
        <v>42767</v>
      </c>
      <c r="H376" s="92" t="str">
        <f>'Final data_for_R_analysis_Wetse'!K522</f>
        <v>G475</v>
      </c>
      <c r="I376" t="str">
        <f>'Final data_for_R_analysis_Wetse'!K742</f>
        <v>R293</v>
      </c>
      <c r="J376">
        <f>IFERROR(INDEX('Green_rooibos initial weight'!$C$5:$C$2000,MATCH(H376, 'Green_rooibos initial weight'!$A$5:$A$2000,0)),"")</f>
        <v>2.0110000000000001</v>
      </c>
      <c r="K376">
        <f>IFERROR(INDEX('Green_rooibos initial weight'!$C$5:$C$2000,MATCH(I376, 'Green_rooibos initial weight'!$A$5:$A$2000,0)),"")</f>
        <v>2.165</v>
      </c>
      <c r="L376" s="194">
        <f t="shared" si="28"/>
        <v>1.7612000000000001</v>
      </c>
      <c r="M376" s="194">
        <f>IF(K376&gt;0,(K376*$F$32-($F$29+$F$30)),"")</f>
        <v>1.9152</v>
      </c>
      <c r="N376" s="16">
        <f>IF('WetLitterbags placem_collection'!G83="","",'WetLitterbags placem_collection'!G83)</f>
        <v>42818</v>
      </c>
      <c r="O376" s="194">
        <f>IFERROR(INDEX('Both teabags AfterWet'!$C$3:$C$2000,MATCH(H376,'Both teabags AfterWet'!$A$3:$A$2000,0)),"")</f>
        <v>0.65200000000000002</v>
      </c>
      <c r="P376" s="194">
        <f>IFERROR(INDEX('Both teabags AfterWet'!$C$3:$C$2000,MATCH(I376,'Both teabags AfterWet'!$A$3:$A$2000,0)),"")</f>
        <v>1.736</v>
      </c>
      <c r="Q376" s="194">
        <f t="shared" si="29"/>
        <v>0.50140000000000007</v>
      </c>
      <c r="R376" s="194">
        <f t="shared" si="29"/>
        <v>1.5853999999999999</v>
      </c>
      <c r="S376" s="194">
        <f t="shared" si="30"/>
        <v>0.71530774471950942</v>
      </c>
      <c r="T376" s="194">
        <f t="shared" si="31"/>
        <v>0.46894284451920337</v>
      </c>
      <c r="U376" s="194">
        <f t="shared" si="32"/>
        <v>0.82779866332497909</v>
      </c>
      <c r="V376">
        <f>IFERROR(IF((N376-G376)&gt;0,(IFERROR(N376-G376,"")),""),"")</f>
        <v>51</v>
      </c>
      <c r="W376" s="194">
        <f t="shared" si="33"/>
        <v>0.15046586137825479</v>
      </c>
      <c r="X376" s="194">
        <f t="shared" si="34"/>
        <v>8.9729309499730573E-3</v>
      </c>
      <c r="Y376" s="252" t="str">
        <f>IF(ISNUMBER(SEARCH("C",'WetLitterbags placem_collection'!$Y83)),"YES","NO")</f>
        <v>NO</v>
      </c>
      <c r="Z376" s="252" t="str">
        <f>IF(ISNUMBER(SEARCH("H", 'WetLitterbags placem_collection'!$Y83)),"YES","NO")</f>
        <v>NO</v>
      </c>
      <c r="AA376" s="252" t="str">
        <f>IF(ISNUMBER(SEARCH("R", 'WetLitterbags placem_collection'!$Y83)),"YES","NO")</f>
        <v>YES</v>
      </c>
      <c r="AB376" s="252" t="str">
        <f>IF(ISNUMBER(SEARCH("C", 'WetLitterbags placem_collection'!$W83)),"YES","NO")</f>
        <v>NO</v>
      </c>
      <c r="AC376" s="252" t="str">
        <f>IF(ISNUMBER(SEARCH("H", 'WetLitterbags placem_collection'!$W83)),"YES","NO")</f>
        <v>NO</v>
      </c>
      <c r="AD376" s="252" t="str">
        <f>IF(ISNUMBER(SEARCH("R", 'WetLitterbags placem_collection'!$W83)),"YES","NO")</f>
        <v>NO</v>
      </c>
    </row>
    <row r="377" spans="2:30">
      <c r="B377" t="str">
        <f>'Final data_for_R_analysis_Wetse'!A523</f>
        <v>Wet</v>
      </c>
      <c r="C377" s="260">
        <f>'Final data_for_R_analysis_Wetse'!B523</f>
        <v>82</v>
      </c>
      <c r="D377" t="s">
        <v>3813</v>
      </c>
      <c r="E377" t="s">
        <v>25</v>
      </c>
      <c r="F377" s="381">
        <v>2</v>
      </c>
      <c r="G377" s="16">
        <f>'WetLitterbags placem_collection'!E84</f>
        <v>42767</v>
      </c>
      <c r="H377" s="92" t="str">
        <f>'Final data_for_R_analysis_Wetse'!K523</f>
        <v>G840</v>
      </c>
      <c r="I377" t="str">
        <f>'Final data_for_R_analysis_Wetse'!K743</f>
        <v>R368</v>
      </c>
      <c r="J377">
        <f>IFERROR(INDEX('Green_rooibos initial weight'!$C$5:$C$2000,MATCH(H377, 'Green_rooibos initial weight'!$A$5:$A$2000,0)),"")</f>
        <v>2.056</v>
      </c>
      <c r="K377">
        <f>IFERROR(INDEX('Green_rooibos initial weight'!$C$5:$C$2000,MATCH(I377, 'Green_rooibos initial weight'!$A$5:$A$2000,0)),"")</f>
        <v>2.2549999999999999</v>
      </c>
      <c r="L377" s="194">
        <f t="shared" si="28"/>
        <v>1.8062</v>
      </c>
      <c r="M377" s="194">
        <f>IF(K377&gt;0,(K377*$F$32-($F$29+$F$30)),"")</f>
        <v>2.0051999999999999</v>
      </c>
      <c r="N377" s="16">
        <f>IF('WetLitterbags placem_collection'!G84="","",'WetLitterbags placem_collection'!G84)</f>
        <v>42819</v>
      </c>
      <c r="O377" s="194">
        <f>IFERROR(INDEX('Both teabags AfterWet'!$C$3:$C$2000,MATCH(H377,'Both teabags AfterWet'!$A$3:$A$2000,0)),"")</f>
        <v>0.74299999999999999</v>
      </c>
      <c r="P377" s="194">
        <f>IFERROR(INDEX('Both teabags AfterWet'!$C$3:$C$2000,MATCH(I377,'Both teabags AfterWet'!$A$3:$A$2000,0)),"")</f>
        <v>1.704</v>
      </c>
      <c r="Q377" s="194">
        <f t="shared" si="29"/>
        <v>0.59240000000000004</v>
      </c>
      <c r="R377" s="194">
        <f t="shared" si="29"/>
        <v>1.5533999999999999</v>
      </c>
      <c r="S377" s="194">
        <f t="shared" si="30"/>
        <v>0.67201860259107515</v>
      </c>
      <c r="T377" s="194">
        <f t="shared" si="31"/>
        <v>0.44056326440650062</v>
      </c>
      <c r="U377" s="194">
        <f t="shared" si="32"/>
        <v>0.77468581687612204</v>
      </c>
      <c r="V377">
        <f>IFERROR(IF((N377-G377)&gt;0,(IFERROR(N377-G377,"")),""),"")</f>
        <v>52</v>
      </c>
      <c r="W377" s="194">
        <f t="shared" si="33"/>
        <v>0.20187814419112216</v>
      </c>
      <c r="X377" s="194">
        <f t="shared" si="34"/>
        <v>1.3774195758545311E-2</v>
      </c>
      <c r="Y377" s="252" t="str">
        <f>IF(ISNUMBER(SEARCH("C",'WetLitterbags placem_collection'!$Y84)),"YES","NO")</f>
        <v>NO</v>
      </c>
      <c r="Z377" s="252" t="str">
        <f>IF(ISNUMBER(SEARCH("H", 'WetLitterbags placem_collection'!$Y84)),"YES","NO")</f>
        <v>NO</v>
      </c>
      <c r="AA377" s="252" t="str">
        <f>IF(ISNUMBER(SEARCH("R", 'WetLitterbags placem_collection'!$Y84)),"YES","NO")</f>
        <v>NO</v>
      </c>
      <c r="AB377" s="252" t="str">
        <f>IF(ISNUMBER(SEARCH("C", 'WetLitterbags placem_collection'!$W84)),"YES","NO")</f>
        <v>NO</v>
      </c>
      <c r="AC377" s="252" t="str">
        <f>IF(ISNUMBER(SEARCH("H", 'WetLitterbags placem_collection'!$W84)),"YES","NO")</f>
        <v>YES</v>
      </c>
      <c r="AD377" s="252" t="str">
        <f>IF(ISNUMBER(SEARCH("R", 'WetLitterbags placem_collection'!$W84)),"YES","NO")</f>
        <v>YES</v>
      </c>
    </row>
    <row r="378" spans="2:30">
      <c r="B378" t="str">
        <f>'Final data_for_R_analysis_Wetse'!A524</f>
        <v>Wet</v>
      </c>
      <c r="C378" s="260">
        <f>'Final data_for_R_analysis_Wetse'!B524</f>
        <v>83</v>
      </c>
      <c r="D378" t="s">
        <v>3813</v>
      </c>
      <c r="E378" t="s">
        <v>25</v>
      </c>
      <c r="F378" s="381">
        <v>3</v>
      </c>
      <c r="G378" s="16">
        <f>'WetLitterbags placem_collection'!E85</f>
        <v>42767</v>
      </c>
      <c r="H378" s="92" t="str">
        <f>'Final data_for_R_analysis_Wetse'!K524</f>
        <v>G298</v>
      </c>
      <c r="I378" t="str">
        <f>'Final data_for_R_analysis_Wetse'!K744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28"/>
        <v>1.8052000000000001</v>
      </c>
      <c r="M378" s="194">
        <f>IF(K378&gt;0,(K378*$F$32-($F$29+$F$30)),"")</f>
        <v>1.8092000000000001</v>
      </c>
      <c r="N378" s="16">
        <f>IF('WetLitterbags placem_collection'!G85="","",'WetLitterbags placem_collection'!G85)</f>
        <v>42819</v>
      </c>
      <c r="O378" s="194">
        <f>IFERROR(INDEX('Both teabags AfterWet'!$C$3:$C$2000,MATCH(H378,'Both teabags AfterWet'!$A$3:$A$2000,0)),"")</f>
        <v>0.88800000000000001</v>
      </c>
      <c r="P378" s="194">
        <f>IFERROR(INDEX('Both teabags AfterWet'!$C$3:$C$2000,MATCH(I378,'Both teabags AfterWet'!$A$3:$A$2000,0)),"")</f>
        <v>1.637</v>
      </c>
      <c r="Q378" s="194">
        <f t="shared" si="29"/>
        <v>0.73740000000000006</v>
      </c>
      <c r="R378" s="194">
        <f t="shared" si="29"/>
        <v>1.4863999999999999</v>
      </c>
      <c r="S378" s="194">
        <f t="shared" si="30"/>
        <v>0.5915134057168181</v>
      </c>
      <c r="T378" s="194">
        <f t="shared" si="31"/>
        <v>0.38778551063620381</v>
      </c>
      <c r="U378" s="194">
        <f t="shared" si="32"/>
        <v>0.82157859827548074</v>
      </c>
      <c r="V378">
        <f>IFERROR(IF((N378-G378)&gt;0,(IFERROR(N378-G378,"")),""),"")</f>
        <v>52</v>
      </c>
      <c r="W378" s="194">
        <f t="shared" si="33"/>
        <v>0.29749001696339894</v>
      </c>
      <c r="X378" s="194">
        <f t="shared" si="34"/>
        <v>1.1853413366191843E-2</v>
      </c>
      <c r="Y378" s="252" t="str">
        <f>IF(ISNUMBER(SEARCH("C",'WetLitterbags placem_collection'!$Y85)),"YES","NO")</f>
        <v>NO</v>
      </c>
      <c r="Z378" s="252" t="str">
        <f>IF(ISNUMBER(SEARCH("H", 'WetLitterbags placem_collection'!$Y85)),"YES","NO")</f>
        <v>NO</v>
      </c>
      <c r="AA378" s="252" t="str">
        <f>IF(ISNUMBER(SEARCH("R", 'WetLitterbags placem_collection'!$Y85)),"YES","NO")</f>
        <v>NO</v>
      </c>
      <c r="AB378" s="252" t="str">
        <f>IF(ISNUMBER(SEARCH("C", 'WetLitterbags placem_collection'!$W85)),"YES","NO")</f>
        <v>NO</v>
      </c>
      <c r="AC378" s="252" t="str">
        <f>IF(ISNUMBER(SEARCH("H", 'WetLitterbags placem_collection'!$W85)),"YES","NO")</f>
        <v>YES</v>
      </c>
      <c r="AD378" s="252" t="str">
        <f>IF(ISNUMBER(SEARCH("R", 'WetLitterbags placem_collection'!$W85)),"YES","NO")</f>
        <v>NO</v>
      </c>
    </row>
    <row r="379" spans="2:30">
      <c r="B379" t="str">
        <f>'Final data_for_R_analysis_Wetse'!A525</f>
        <v>Wet</v>
      </c>
      <c r="C379" s="260">
        <f>'Final data_for_R_analysis_Wetse'!B525</f>
        <v>84</v>
      </c>
      <c r="D379" t="s">
        <v>3813</v>
      </c>
      <c r="E379" t="s">
        <v>25</v>
      </c>
      <c r="F379" s="382">
        <v>4</v>
      </c>
      <c r="G379" s="16">
        <f>'WetLitterbags placem_collection'!E86</f>
        <v>42767</v>
      </c>
      <c r="H379" s="92" t="str">
        <f>'Final data_for_R_analysis_Wetse'!K525</f>
        <v>G520</v>
      </c>
      <c r="I379" t="str">
        <f>'Final data_for_R_analysis_Wetse'!K745</f>
        <v>R417</v>
      </c>
      <c r="J379">
        <f>IFERROR(INDEX('Green_rooibos initial weight'!$C$5:$C$2000,MATCH(H379, 'Green_rooibos initial weight'!$A$5:$A$2000,0)),"")</f>
        <v>1.929</v>
      </c>
      <c r="K379">
        <f>IFERROR(INDEX('Green_rooibos initial weight'!$C$5:$C$2000,MATCH(I379, 'Green_rooibos initial weight'!$A$5:$A$2000,0)),"")</f>
        <v>2.2269999999999999</v>
      </c>
      <c r="L379" s="194">
        <f t="shared" si="28"/>
        <v>1.6792</v>
      </c>
      <c r="M379" s="194">
        <f>IF(K379&gt;0,(K379*$F$32-($F$29+$F$30)),"")</f>
        <v>1.9771999999999998</v>
      </c>
      <c r="N379" s="16">
        <f>IF('WetLitterbags placem_collection'!G86="","",'WetLitterbags placem_collection'!G86)</f>
        <v>42819</v>
      </c>
      <c r="O379" s="194">
        <f>IFERROR(INDEX('Both teabags AfterWet'!$C$3:$C$2000,MATCH(H379,'Both teabags AfterWet'!$A$3:$A$2000,0)),"")</f>
        <v>0.81299999999999994</v>
      </c>
      <c r="P379" s="194">
        <f>IFERROR(INDEX('Both teabags AfterWet'!$C$3:$C$2000,MATCH(I379,'Both teabags AfterWet'!$A$3:$A$2000,0)),"")</f>
        <v>1.5820000000000001</v>
      </c>
      <c r="Q379" s="194">
        <f t="shared" si="29"/>
        <v>0.66239999999999988</v>
      </c>
      <c r="R379" s="194">
        <f t="shared" si="29"/>
        <v>1.4314</v>
      </c>
      <c r="S379" s="194">
        <f t="shared" si="30"/>
        <v>0.60552644116245835</v>
      </c>
      <c r="T379" s="194">
        <f t="shared" si="31"/>
        <v>0.39697220370745495</v>
      </c>
      <c r="U379" s="194">
        <f t="shared" si="32"/>
        <v>0.72395306494031975</v>
      </c>
      <c r="V379">
        <f>IFERROR(IF((N379-G379)&gt;0,(IFERROR(N379-G379,"")),""),"")</f>
        <v>52</v>
      </c>
      <c r="W379" s="194">
        <f t="shared" si="33"/>
        <v>0.2808474570517121</v>
      </c>
      <c r="X379" s="194">
        <f t="shared" si="34"/>
        <v>2.2859490809087994E-2</v>
      </c>
      <c r="Y379" s="252" t="str">
        <f>IF(ISNUMBER(SEARCH("C",'WetLitterbags placem_collection'!$Y86)),"YES","NO")</f>
        <v>NO</v>
      </c>
      <c r="Z379" s="252" t="str">
        <f>IF(ISNUMBER(SEARCH("H", 'WetLitterbags placem_collection'!$Y86)),"YES","NO")</f>
        <v>NO</v>
      </c>
      <c r="AA379" s="252" t="str">
        <f>IF(ISNUMBER(SEARCH("R", 'WetLitterbags placem_collection'!$Y86)),"YES","NO")</f>
        <v>YES</v>
      </c>
      <c r="AB379" s="252" t="str">
        <f>IF(ISNUMBER(SEARCH("C", 'WetLitterbags placem_collection'!$W86)),"YES","NO")</f>
        <v>NO</v>
      </c>
      <c r="AC379" s="252" t="str">
        <f>IF(ISNUMBER(SEARCH("H", 'WetLitterbags placem_collection'!$W86)),"YES","NO")</f>
        <v>NO</v>
      </c>
      <c r="AD379" s="252" t="str">
        <f>IF(ISNUMBER(SEARCH("R", 'WetLitterbags placem_collection'!$W86)),"YES","NO")</f>
        <v>YES</v>
      </c>
    </row>
    <row r="380" spans="2:30">
      <c r="B380" t="str">
        <f>'Final data_for_R_analysis_Wetse'!A526</f>
        <v>Wet</v>
      </c>
      <c r="C380" s="260">
        <f>'Final data_for_R_analysis_Wetse'!B526</f>
        <v>85</v>
      </c>
      <c r="D380" t="s">
        <v>3813</v>
      </c>
      <c r="E380" t="s">
        <v>25</v>
      </c>
      <c r="F380" s="382">
        <v>5</v>
      </c>
      <c r="G380" s="16">
        <f>'WetLitterbags placem_collection'!E87</f>
        <v>42767</v>
      </c>
      <c r="H380" s="92" t="str">
        <f>'Final data_for_R_analysis_Wetse'!K526</f>
        <v>G441</v>
      </c>
      <c r="I380" t="str">
        <f>'Final data_for_R_analysis_Wetse'!K746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28"/>
        <v>1.8542000000000001</v>
      </c>
      <c r="M380" s="194">
        <f>IF(K380&gt;0,(K380*$F$32-($F$29+$F$30)),"")</f>
        <v>1.9462000000000002</v>
      </c>
      <c r="N380" s="16">
        <f>IF('WetLitterbags placem_collection'!G87="","",'WetLitterbags placem_collection'!G87)</f>
        <v>42819</v>
      </c>
      <c r="O380" s="194">
        <f>IFERROR(INDEX('Both teabags AfterWet'!$C$3:$C$2000,MATCH(H380,'Both teabags AfterWet'!$A$3:$A$2000,0)),"")</f>
        <v>0.96599999999999997</v>
      </c>
      <c r="P380" s="194">
        <f>IFERROR(INDEX('Both teabags AfterWet'!$C$3:$C$2000,MATCH(I380,'Both teabags AfterWet'!$A$3:$A$2000,0)),"")</f>
        <v>1.6220000000000001</v>
      </c>
      <c r="Q380" s="194">
        <f t="shared" si="29"/>
        <v>0.8153999999999999</v>
      </c>
      <c r="R380" s="194">
        <f t="shared" si="29"/>
        <v>1.4714</v>
      </c>
      <c r="S380" s="194">
        <f t="shared" si="30"/>
        <v>0.56024161363391234</v>
      </c>
      <c r="T380" s="194">
        <f t="shared" si="31"/>
        <v>0.3672842882730637</v>
      </c>
      <c r="U380" s="194">
        <f t="shared" si="32"/>
        <v>0.75603740622752025</v>
      </c>
      <c r="V380">
        <f>IFERROR(IF((N380-G380)&gt;0,(IFERROR(N380-G380,"")),""),"")</f>
        <v>52</v>
      </c>
      <c r="W380" s="194">
        <f t="shared" si="33"/>
        <v>0.3346299125487977</v>
      </c>
      <c r="X380" s="194">
        <f t="shared" si="34"/>
        <v>2.0987304462108985E-2</v>
      </c>
      <c r="Y380" s="252" t="str">
        <f>IF(ISNUMBER(SEARCH("C",'WetLitterbags placem_collection'!$Y87)),"YES","NO")</f>
        <v>NO</v>
      </c>
      <c r="Z380" s="252" t="str">
        <f>IF(ISNUMBER(SEARCH("H", 'WetLitterbags placem_collection'!$Y87)),"YES","NO")</f>
        <v>NO</v>
      </c>
      <c r="AA380" s="252" t="str">
        <f>IF(ISNUMBER(SEARCH("R", 'WetLitterbags placem_collection'!$Y87)),"YES","NO")</f>
        <v>NO</v>
      </c>
      <c r="AB380" s="252" t="str">
        <f>IF(ISNUMBER(SEARCH("C", 'WetLitterbags placem_collection'!$W87)),"YES","NO")</f>
        <v>YES</v>
      </c>
      <c r="AC380" s="252" t="str">
        <f>IF(ISNUMBER(SEARCH("H", 'WetLitterbags placem_collection'!$W87)),"YES","NO")</f>
        <v>YES</v>
      </c>
      <c r="AD380" s="252" t="str">
        <f>IF(ISNUMBER(SEARCH("R", 'WetLitterbags placem_collection'!$W87)),"YES","NO")</f>
        <v>YES</v>
      </c>
    </row>
    <row r="381" spans="2:30">
      <c r="B381" t="str">
        <f>'Final data_for_R_analysis_Wetse'!A527</f>
        <v>Wet</v>
      </c>
      <c r="C381" s="260">
        <f>'Final data_for_R_analysis_Wetse'!B527</f>
        <v>86</v>
      </c>
      <c r="D381" t="s">
        <v>3813</v>
      </c>
      <c r="E381" t="s">
        <v>25</v>
      </c>
      <c r="F381" s="382">
        <v>6</v>
      </c>
      <c r="G381" s="16">
        <f>'WetLitterbags placem_collection'!E88</f>
        <v>42767</v>
      </c>
      <c r="H381" s="92" t="str">
        <f>'Final data_for_R_analysis_Wetse'!K527</f>
        <v>G561</v>
      </c>
      <c r="I381" t="str">
        <f>'Final data_for_R_analysis_Wetse'!K747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28"/>
        <v>1.8761999999999999</v>
      </c>
      <c r="M381" s="194">
        <f>IF(K381&gt;0,(K381*$F$32-($F$29+$F$30)),"")</f>
        <v>2.1162000000000001</v>
      </c>
      <c r="N381" s="16">
        <f>IF('WetLitterbags placem_collection'!G88="","",'WetLitterbags placem_collection'!G88)</f>
        <v>42819</v>
      </c>
      <c r="O381" s="194">
        <f>IFERROR(INDEX('Both teabags AfterWet'!$C$3:$C$2000,MATCH(H381,'Both teabags AfterWet'!$A$3:$A$2000,0)),"")</f>
        <v>0.74650000000000005</v>
      </c>
      <c r="P381" s="194">
        <f>IFERROR(INDEX('Both teabags AfterWet'!$C$3:$C$2000,MATCH(I381,'Both teabags AfterWet'!$A$3:$A$2000,0)),"")</f>
        <v>1.6786000000000001</v>
      </c>
      <c r="Q381" s="194">
        <f t="shared" si="29"/>
        <v>0.5959000000000001</v>
      </c>
      <c r="R381" s="194">
        <f t="shared" si="29"/>
        <v>1.528</v>
      </c>
      <c r="S381" s="194">
        <f t="shared" si="30"/>
        <v>0.6823899371069182</v>
      </c>
      <c r="T381" s="194">
        <f t="shared" si="31"/>
        <v>0.4473625240890961</v>
      </c>
      <c r="U381" s="194">
        <f t="shared" si="32"/>
        <v>0.72204895567526695</v>
      </c>
      <c r="V381">
        <f>IFERROR(IF((N381-G381)&gt;0,(IFERROR(N381-G381,"")),""),"")</f>
        <v>52</v>
      </c>
      <c r="W381" s="194">
        <f t="shared" si="33"/>
        <v>0.18956064476613033</v>
      </c>
      <c r="X381" s="194">
        <f t="shared" si="34"/>
        <v>1.8673821820217214E-2</v>
      </c>
      <c r="Y381" s="252" t="str">
        <f>IF(ISNUMBER(SEARCH("C",'WetLitterbags placem_collection'!$Y88)),"YES","NO")</f>
        <v>NO</v>
      </c>
      <c r="Z381" s="252" t="str">
        <f>IF(ISNUMBER(SEARCH("H", 'WetLitterbags placem_collection'!$Y88)),"YES","NO")</f>
        <v>NO</v>
      </c>
      <c r="AA381" s="252" t="str">
        <f>IF(ISNUMBER(SEARCH("R", 'WetLitterbags placem_collection'!$Y88)),"YES","NO")</f>
        <v>NO</v>
      </c>
      <c r="AB381" s="252" t="str">
        <f>IF(ISNUMBER(SEARCH("C", 'WetLitterbags placem_collection'!$W88)),"YES","NO")</f>
        <v>YES</v>
      </c>
      <c r="AC381" s="252" t="str">
        <f>IF(ISNUMBER(SEARCH("H", 'WetLitterbags placem_collection'!$W88)),"YES","NO")</f>
        <v>YES</v>
      </c>
      <c r="AD381" s="252" t="str">
        <f>IF(ISNUMBER(SEARCH("R", 'WetLitterbags placem_collection'!$W88)),"YES","NO")</f>
        <v>YES</v>
      </c>
    </row>
    <row r="382" spans="2:30">
      <c r="B382" t="str">
        <f>'Final data_for_R_analysis_Wetse'!A528</f>
        <v>Wet</v>
      </c>
      <c r="C382" s="260">
        <f>'Final data_for_R_analysis_Wetse'!B528</f>
        <v>87</v>
      </c>
      <c r="D382" t="s">
        <v>3813</v>
      </c>
      <c r="E382" t="s">
        <v>25</v>
      </c>
      <c r="F382" s="382">
        <v>7</v>
      </c>
      <c r="G382" s="16">
        <f>'WetLitterbags placem_collection'!E89</f>
        <v>42767</v>
      </c>
      <c r="H382" s="92" t="str">
        <f>'Final data_for_R_analysis_Wetse'!K528</f>
        <v>G632</v>
      </c>
      <c r="I382" t="str">
        <f>'Final data_for_R_analysis_Wetse'!K748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28"/>
        <v>1.8281999999999998</v>
      </c>
      <c r="M382" s="194">
        <f>IF(K382&gt;0,(K382*$F$32-($F$29+$F$30)),"")</f>
        <v>1.9622000000000002</v>
      </c>
      <c r="N382" s="16">
        <f>IF('WetLitterbags placem_collection'!G89="","",'WetLitterbags placem_collection'!G89)</f>
        <v>42819</v>
      </c>
      <c r="O382" s="194">
        <f>IFERROR(INDEX('Both teabags AfterWet'!$C$3:$C$2000,MATCH(H382,'Both teabags AfterWet'!$A$3:$A$2000,0)),"")</f>
        <v>0.81640000000000001</v>
      </c>
      <c r="P382" s="194">
        <f>IFERROR(INDEX('Both teabags AfterWet'!$C$3:$C$2000,MATCH(I382,'Both teabags AfterWet'!$A$3:$A$2000,0)),"")</f>
        <v>1.7085999999999999</v>
      </c>
      <c r="Q382" s="194">
        <f t="shared" si="29"/>
        <v>0.66579999999999995</v>
      </c>
      <c r="R382" s="194">
        <f t="shared" si="29"/>
        <v>1.5579999999999998</v>
      </c>
      <c r="S382" s="194">
        <f t="shared" si="30"/>
        <v>0.63581665025708345</v>
      </c>
      <c r="T382" s="194">
        <f t="shared" si="31"/>
        <v>0.41682991798326613</v>
      </c>
      <c r="U382" s="194">
        <f t="shared" si="32"/>
        <v>0.79400672714300258</v>
      </c>
      <c r="V382">
        <f>IFERROR(IF((N382-G382)&gt;0,(IFERROR(N382-G382,"")),""),"")</f>
        <v>52</v>
      </c>
      <c r="W382" s="194">
        <f t="shared" si="33"/>
        <v>0.24487333698683678</v>
      </c>
      <c r="X382" s="194">
        <f t="shared" si="34"/>
        <v>1.3107589002582333E-2</v>
      </c>
      <c r="Y382" s="252" t="str">
        <f>IF(ISNUMBER(SEARCH("C",'WetLitterbags placem_collection'!$Y89)),"YES","NO")</f>
        <v>NO</v>
      </c>
      <c r="Z382" s="252" t="str">
        <f>IF(ISNUMBER(SEARCH("H", 'WetLitterbags placem_collection'!$Y89)),"YES","NO")</f>
        <v>NO</v>
      </c>
      <c r="AA382" s="252" t="str">
        <f>IF(ISNUMBER(SEARCH("R", 'WetLitterbags placem_collection'!$Y89)),"YES","NO")</f>
        <v>NO</v>
      </c>
      <c r="AB382" s="252" t="str">
        <f>IF(ISNUMBER(SEARCH("C", 'WetLitterbags placem_collection'!$W89)),"YES","NO")</f>
        <v>YES</v>
      </c>
      <c r="AC382" s="252" t="str">
        <f>IF(ISNUMBER(SEARCH("H", 'WetLitterbags placem_collection'!$W89)),"YES","NO")</f>
        <v>NO</v>
      </c>
      <c r="AD382" s="252" t="str">
        <f>IF(ISNUMBER(SEARCH("R", 'WetLitterbags placem_collection'!$W89)),"YES","NO")</f>
        <v>YES</v>
      </c>
    </row>
    <row r="383" spans="2:30">
      <c r="B383" t="str">
        <f>'Final data_for_R_analysis_Wetse'!A529</f>
        <v>Wet</v>
      </c>
      <c r="C383" s="260">
        <f>'Final data_for_R_analysis_Wetse'!B529</f>
        <v>88</v>
      </c>
      <c r="D383" t="s">
        <v>3813</v>
      </c>
      <c r="E383" t="s">
        <v>25</v>
      </c>
      <c r="F383" s="382">
        <v>8</v>
      </c>
      <c r="G383" s="16">
        <f>'WetLitterbags placem_collection'!E90</f>
        <v>42767</v>
      </c>
      <c r="H383" s="92" t="str">
        <f>'Final data_for_R_analysis_Wetse'!K529</f>
        <v>G611</v>
      </c>
      <c r="I383" t="str">
        <f>'Final data_for_R_analysis_Wetse'!K749</f>
        <v>R288</v>
      </c>
      <c r="J383">
        <f>IFERROR(INDEX('Green_rooibos initial weight'!$C$5:$C$2000,MATCH(H383, 'Green_rooibos initial weight'!$A$5:$A$2000,0)),"")</f>
        <v>1.99</v>
      </c>
      <c r="K383">
        <f>IFERROR(INDEX('Green_rooibos initial weight'!$C$5:$C$2000,MATCH(I383, 'Green_rooibos initial weight'!$A$5:$A$2000,0)),"")</f>
        <v>2.2450000000000001</v>
      </c>
      <c r="L383" s="194">
        <f t="shared" si="28"/>
        <v>1.7402</v>
      </c>
      <c r="M383" s="194">
        <f>IF(K383&gt;0,(K383*$F$32-($F$29+$F$30)),"")</f>
        <v>1.9952000000000001</v>
      </c>
      <c r="N383" s="16">
        <f>IF('WetLitterbags placem_collection'!G90="","",'WetLitterbags placem_collection'!G90)</f>
        <v>42819</v>
      </c>
      <c r="O383" s="194">
        <f>IFERROR(INDEX('Both teabags AfterWet'!$C$3:$C$2000,MATCH(H383,'Both teabags AfterWet'!$A$3:$A$2000,0)),"")</f>
        <v>0.89510000000000001</v>
      </c>
      <c r="P383" s="194">
        <f>IFERROR(INDEX('Both teabags AfterWet'!$C$3:$C$2000,MATCH(I383,'Both teabags AfterWet'!$A$3:$A$2000,0)),"")</f>
        <v>1.514</v>
      </c>
      <c r="Q383" s="194">
        <f t="shared" si="29"/>
        <v>0.74449999999999994</v>
      </c>
      <c r="R383" s="194">
        <f t="shared" si="29"/>
        <v>1.3633999999999999</v>
      </c>
      <c r="S383" s="194">
        <f t="shared" si="30"/>
        <v>0.57217561199862088</v>
      </c>
      <c r="T383" s="194">
        <f t="shared" si="31"/>
        <v>0.37510800216536672</v>
      </c>
      <c r="U383" s="194">
        <f t="shared" si="32"/>
        <v>0.68334001603849237</v>
      </c>
      <c r="V383">
        <f>IFERROR(IF((N383-G383)&gt;0,(IFERROR(N383-G383,"")),""),"")</f>
        <v>52</v>
      </c>
      <c r="W383" s="194">
        <f t="shared" si="33"/>
        <v>0.32045651781636475</v>
      </c>
      <c r="X383" s="194">
        <f t="shared" si="34"/>
        <v>3.575146555331183E-2</v>
      </c>
      <c r="Y383" s="252" t="str">
        <f>IF(ISNUMBER(SEARCH("C",'WetLitterbags placem_collection'!$Y90)),"YES","NO")</f>
        <v>NO</v>
      </c>
      <c r="Z383" s="252" t="str">
        <f>IF(ISNUMBER(SEARCH("H", 'WetLitterbags placem_collection'!$Y90)),"YES","NO")</f>
        <v>NO</v>
      </c>
      <c r="AA383" s="252" t="str">
        <f>IF(ISNUMBER(SEARCH("R", 'WetLitterbags placem_collection'!$Y90)),"YES","NO")</f>
        <v>NO</v>
      </c>
      <c r="AB383" s="252" t="str">
        <f>IF(ISNUMBER(SEARCH("C", 'WetLitterbags placem_collection'!$W90)),"YES","NO")</f>
        <v>NO</v>
      </c>
      <c r="AC383" s="252" t="str">
        <f>IF(ISNUMBER(SEARCH("H", 'WetLitterbags placem_collection'!$W90)),"YES","NO")</f>
        <v>NO</v>
      </c>
      <c r="AD383" s="252" t="str">
        <f>IF(ISNUMBER(SEARCH("R", 'WetLitterbags placem_collection'!$W90)),"YES","NO")</f>
        <v>NO</v>
      </c>
    </row>
    <row r="384" spans="2:30">
      <c r="B384" t="str">
        <f>'Final data_for_R_analysis_Wetse'!A530</f>
        <v>Wet</v>
      </c>
      <c r="C384" s="260">
        <f>'Final data_for_R_analysis_Wetse'!B530</f>
        <v>89</v>
      </c>
      <c r="D384" t="s">
        <v>3814</v>
      </c>
      <c r="E384" t="s">
        <v>25</v>
      </c>
      <c r="F384" s="381">
        <v>1</v>
      </c>
      <c r="G384" s="16">
        <f>'WetLitterbags placem_collection'!E91</f>
        <v>42767</v>
      </c>
      <c r="H384" s="92" t="str">
        <f>'Final data_for_R_analysis_Wetse'!K530</f>
        <v>G469</v>
      </c>
      <c r="I384" t="str">
        <f>'Final data_for_R_analysis_Wetse'!K750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28"/>
        <v>1.7132000000000001</v>
      </c>
      <c r="M384" s="194">
        <f>IF(K384&gt;0,(K384*$F$32-($F$29+$F$30)),"")</f>
        <v>1.8662000000000001</v>
      </c>
      <c r="N384" s="16">
        <f>IF('WetLitterbags placem_collection'!G91="","",'WetLitterbags placem_collection'!G91)</f>
        <v>42819</v>
      </c>
      <c r="O384" s="194">
        <f>IFERROR(INDEX('Both teabags AfterWet'!$C$3:$C$2000,MATCH(H384,'Both teabags AfterWet'!$A$3:$A$2000,0)),"")</f>
        <v>1.5169999999999999</v>
      </c>
      <c r="P384" s="194">
        <f>IFERROR(INDEX('Both teabags AfterWet'!$C$3:$C$2000,MATCH(I384,'Both teabags AfterWet'!$A$3:$A$2000,0)),"")</f>
        <v>2.0529999999999999</v>
      </c>
      <c r="Q384" s="194">
        <f t="shared" si="29"/>
        <v>1.3663999999999998</v>
      </c>
      <c r="R384" s="194">
        <f t="shared" si="29"/>
        <v>1.9023999999999999</v>
      </c>
      <c r="S384" s="194">
        <f t="shared" si="30"/>
        <v>0.20242820452953547</v>
      </c>
      <c r="T384" s="194">
        <f t="shared" si="31"/>
        <v>0.132708276603686</v>
      </c>
      <c r="U384" s="194">
        <f t="shared" si="32"/>
        <v>1.0193977065694995</v>
      </c>
      <c r="V384">
        <f>IFERROR(IF((N384-G384)&gt;0,(IFERROR(N384-G384,"")),""),"")</f>
        <v>52</v>
      </c>
      <c r="W384" s="194">
        <f t="shared" si="33"/>
        <v>0.7595864554281051</v>
      </c>
      <c r="X384" s="194">
        <f t="shared" si="34"/>
        <v>-2.6235427963711049E-3</v>
      </c>
      <c r="Y384" s="252" t="str">
        <f>IF(ISNUMBER(SEARCH("C",'WetLitterbags placem_collection'!$Y91)),"YES","NO")</f>
        <v>NO</v>
      </c>
      <c r="Z384" s="252" t="str">
        <f>IF(ISNUMBER(SEARCH("H", 'WetLitterbags placem_collection'!$Y91)),"YES","NO")</f>
        <v>NO</v>
      </c>
      <c r="AA384" s="252" t="str">
        <f>IF(ISNUMBER(SEARCH("R", 'WetLitterbags placem_collection'!$Y91)),"YES","NO")</f>
        <v>NO</v>
      </c>
      <c r="AB384" s="252" t="str">
        <f>IF(ISNUMBER(SEARCH("C", 'WetLitterbags placem_collection'!$W91)),"YES","NO")</f>
        <v>NO</v>
      </c>
      <c r="AC384" s="252" t="str">
        <f>IF(ISNUMBER(SEARCH("H", 'WetLitterbags placem_collection'!$W91)),"YES","NO")</f>
        <v>YES</v>
      </c>
      <c r="AD384" s="252" t="str">
        <f>IF(ISNUMBER(SEARCH("R", 'WetLitterbags placem_collection'!$W91)),"YES","NO")</f>
        <v>YES</v>
      </c>
    </row>
    <row r="385" spans="2:30">
      <c r="B385" t="str">
        <f>'Final data_for_R_analysis_Wetse'!A531</f>
        <v>Wet</v>
      </c>
      <c r="C385" s="260">
        <f>'Final data_for_R_analysis_Wetse'!B531</f>
        <v>90</v>
      </c>
      <c r="D385" t="s">
        <v>3814</v>
      </c>
      <c r="E385" t="s">
        <v>25</v>
      </c>
      <c r="F385" s="381">
        <v>2</v>
      </c>
      <c r="G385" s="16">
        <f>'WetLitterbags placem_collection'!E92</f>
        <v>42767</v>
      </c>
      <c r="H385" s="92" t="str">
        <f>'Final data_for_R_analysis_Wetse'!K531</f>
        <v>G355</v>
      </c>
      <c r="I385" t="str">
        <f>'Final data_for_R_analysis_Wetse'!K751</f>
        <v>R517</v>
      </c>
      <c r="J385">
        <f>IFERROR(INDEX('Green_rooibos initial weight'!$C$5:$C$2000,MATCH(H385, 'Green_rooibos initial weight'!$A$5:$A$2000,0)),"")</f>
        <v>2.0489999999999999</v>
      </c>
      <c r="K385">
        <f>IFERROR(INDEX('Green_rooibos initial weight'!$C$5:$C$2000,MATCH(I385, 'Green_rooibos initial weight'!$A$5:$A$2000,0)),"")</f>
        <v>2.222</v>
      </c>
      <c r="L385" s="194">
        <f t="shared" si="28"/>
        <v>1.7991999999999999</v>
      </c>
      <c r="M385" s="194">
        <f>IF(K385&gt;0,(K385*$F$32-($F$29+$F$30)),"")</f>
        <v>1.9722</v>
      </c>
      <c r="N385" s="16">
        <f>IF('WetLitterbags placem_collection'!G92="","",'WetLitterbags placem_collection'!G92)</f>
        <v>42819</v>
      </c>
      <c r="O385" s="194">
        <f>IFERROR(INDEX('Both teabags AfterWet'!$C$3:$C$2000,MATCH(H385,'Both teabags AfterWet'!$A$3:$A$2000,0)),"")</f>
        <v>0.78380000000000005</v>
      </c>
      <c r="P385" s="194">
        <f>IFERROR(INDEX('Both teabags AfterWet'!$C$3:$C$2000,MATCH(I385,'Both teabags AfterWet'!$A$3:$A$2000,0)),"")</f>
        <v>2.2749000000000001</v>
      </c>
      <c r="Q385" s="194">
        <f t="shared" si="29"/>
        <v>0.63319999999999999</v>
      </c>
      <c r="R385" s="194">
        <f t="shared" si="29"/>
        <v>2.1243000000000003</v>
      </c>
      <c r="S385" s="194">
        <f t="shared" si="30"/>
        <v>0.64806580702534466</v>
      </c>
      <c r="T385" s="194">
        <f t="shared" si="31"/>
        <v>0.4248602440356179</v>
      </c>
      <c r="U385" s="194">
        <f t="shared" si="32"/>
        <v>1.0771219957407974</v>
      </c>
      <c r="V385">
        <f>IFERROR(IF((N385-G385)&gt;0,(IFERROR(N385-G385,"")),""),"")</f>
        <v>52</v>
      </c>
      <c r="W385" s="194">
        <f t="shared" si="33"/>
        <v>0.2303256448630111</v>
      </c>
      <c r="X385" s="194">
        <f t="shared" si="34"/>
        <v>-3.2077781317730552E-3</v>
      </c>
      <c r="Y385" s="252" t="str">
        <f>IF(ISNUMBER(SEARCH("C",'WetLitterbags placem_collection'!$Y92)),"YES","NO")</f>
        <v>NO</v>
      </c>
      <c r="Z385" s="252" t="str">
        <f>IF(ISNUMBER(SEARCH("H", 'WetLitterbags placem_collection'!$Y92)),"YES","NO")</f>
        <v>NO</v>
      </c>
      <c r="AA385" s="252" t="str">
        <f>IF(ISNUMBER(SEARCH("R", 'WetLitterbags placem_collection'!$Y92)),"YES","NO")</f>
        <v>YES</v>
      </c>
      <c r="AB385" s="252" t="str">
        <f>IF(ISNUMBER(SEARCH("C", 'WetLitterbags placem_collection'!$W92)),"YES","NO")</f>
        <v>NO</v>
      </c>
      <c r="AC385" s="252" t="str">
        <f>IF(ISNUMBER(SEARCH("H", 'WetLitterbags placem_collection'!$W92)),"YES","NO")</f>
        <v>NO</v>
      </c>
      <c r="AD385" s="252" t="str">
        <f>IF(ISNUMBER(SEARCH("R", 'WetLitterbags placem_collection'!$W92)),"YES","NO")</f>
        <v>YES</v>
      </c>
    </row>
    <row r="386" spans="2:30">
      <c r="B386" t="str">
        <f>'Final data_for_R_analysis_Wetse'!A532</f>
        <v>Wet</v>
      </c>
      <c r="C386" s="260">
        <f>'Final data_for_R_analysis_Wetse'!B532</f>
        <v>91</v>
      </c>
      <c r="D386" t="s">
        <v>3814</v>
      </c>
      <c r="E386" t="s">
        <v>25</v>
      </c>
      <c r="F386" s="381">
        <v>3</v>
      </c>
      <c r="G386" s="16">
        <f>'WetLitterbags placem_collection'!E93</f>
        <v>42767</v>
      </c>
      <c r="H386" s="92" t="str">
        <f>'Final data_for_R_analysis_Wetse'!K532</f>
        <v>G547</v>
      </c>
      <c r="I386" t="str">
        <f>'Final data_for_R_analysis_Wetse'!K752</f>
        <v>R73</v>
      </c>
      <c r="J386">
        <f>IFERROR(INDEX('Green_rooibos initial weight'!$C$5:$C$2000,MATCH(H386, 'Green_rooibos initial weight'!$A$5:$A$2000,0)),"")</f>
        <v>2.121</v>
      </c>
      <c r="K386">
        <f>IFERROR(INDEX('Green_rooibos initial weight'!$C$5:$C$2000,MATCH(I386, 'Green_rooibos initial weight'!$A$5:$A$2000,0)),"")</f>
        <v>2.1459999999999999</v>
      </c>
      <c r="L386" s="194">
        <f t="shared" si="28"/>
        <v>1.8712</v>
      </c>
      <c r="M386" s="194">
        <f>IF(K386&gt;0,(K386*$F$32-($F$29+$F$30)),"")</f>
        <v>1.8961999999999999</v>
      </c>
      <c r="N386" s="16">
        <f>IF('WetLitterbags placem_collection'!G93="","",'WetLitterbags placem_collection'!G93)</f>
        <v>42819</v>
      </c>
      <c r="O386" s="194">
        <f>IFERROR(INDEX('Both teabags AfterWet'!$C$3:$C$2000,MATCH(H386,'Both teabags AfterWet'!$A$3:$A$2000,0)),"")</f>
        <v>1.069</v>
      </c>
      <c r="P386" s="194">
        <f>IFERROR(INDEX('Both teabags AfterWet'!$C$3:$C$2000,MATCH(I386,'Both teabags AfterWet'!$A$3:$A$2000,0)),"")</f>
        <v>1.663</v>
      </c>
      <c r="Q386" s="194">
        <f t="shared" si="29"/>
        <v>0.91839999999999988</v>
      </c>
      <c r="R386" s="194">
        <f t="shared" si="29"/>
        <v>1.5124</v>
      </c>
      <c r="S386" s="194">
        <f t="shared" si="30"/>
        <v>0.50919196237708431</v>
      </c>
      <c r="T386" s="194">
        <f t="shared" si="31"/>
        <v>0.33381705847048759</v>
      </c>
      <c r="U386" s="194">
        <f t="shared" si="32"/>
        <v>0.79759519038076154</v>
      </c>
      <c r="V386">
        <f>IFERROR(IF((N386-G386)&gt;0,(IFERROR(N386-G386,"")),""),"")</f>
        <v>52</v>
      </c>
      <c r="W386" s="194">
        <f t="shared" si="33"/>
        <v>0.39525895204621819</v>
      </c>
      <c r="X386" s="194">
        <f t="shared" si="34"/>
        <v>1.792795757761563E-2</v>
      </c>
      <c r="Y386" s="252" t="str">
        <f>IF(ISNUMBER(SEARCH("C",'WetLitterbags placem_collection'!$Y93)),"YES","NO")</f>
        <v>NO</v>
      </c>
      <c r="Z386" s="252" t="str">
        <f>IF(ISNUMBER(SEARCH("H", 'WetLitterbags placem_collection'!$Y93)),"YES","NO")</f>
        <v>NO</v>
      </c>
      <c r="AA386" s="252" t="str">
        <f>IF(ISNUMBER(SEARCH("R", 'WetLitterbags placem_collection'!$Y93)),"YES","NO")</f>
        <v>NO</v>
      </c>
      <c r="AB386" s="252" t="str">
        <f>IF(ISNUMBER(SEARCH("C", 'WetLitterbags placem_collection'!$W93)),"YES","NO")</f>
        <v>YES</v>
      </c>
      <c r="AC386" s="252" t="str">
        <f>IF(ISNUMBER(SEARCH("H", 'WetLitterbags placem_collection'!$W93)),"YES","NO")</f>
        <v>YES</v>
      </c>
      <c r="AD386" s="252" t="str">
        <f>IF(ISNUMBER(SEARCH("R", 'WetLitterbags placem_collection'!$W93)),"YES","NO")</f>
        <v>NO</v>
      </c>
    </row>
    <row r="387" spans="2:30">
      <c r="B387" t="str">
        <f>'Final data_for_R_analysis_Wetse'!A533</f>
        <v>Wet</v>
      </c>
      <c r="C387" s="260">
        <f>'Final data_for_R_analysis_Wetse'!B533</f>
        <v>92</v>
      </c>
      <c r="D387" t="s">
        <v>3814</v>
      </c>
      <c r="E387" t="s">
        <v>25</v>
      </c>
      <c r="F387" s="382">
        <v>4</v>
      </c>
      <c r="G387" s="16">
        <f>'WetLitterbags placem_collection'!E94</f>
        <v>42767</v>
      </c>
      <c r="H387" s="92" t="str">
        <f>'Final data_for_R_analysis_Wetse'!K533</f>
        <v>G763</v>
      </c>
      <c r="I387" t="str">
        <f>'Final data_for_R_analysis_Wetse'!K753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28"/>
        <v>1.8092000000000001</v>
      </c>
      <c r="M387" s="194">
        <f>IF(K387&gt;0,(K387*$F$32-($F$29+$F$30)),"")</f>
        <v>1.9051999999999998</v>
      </c>
      <c r="N387" s="16">
        <f>IF('WetLitterbags placem_collection'!G94="","",'WetLitterbags placem_collection'!G94)</f>
        <v>42819</v>
      </c>
      <c r="O387" s="194">
        <f>IFERROR(INDEX('Both teabags AfterWet'!$C$3:$C$2000,MATCH(H387,'Both teabags AfterWet'!$A$3:$A$2000,0)),"")</f>
        <v>1.448</v>
      </c>
      <c r="P387" s="194">
        <f>IFERROR(INDEX('Both teabags AfterWet'!$C$3:$C$2000,MATCH(I387,'Both teabags AfterWet'!$A$3:$A$2000,0)),"")</f>
        <v>1.6779999999999999</v>
      </c>
      <c r="Q387" s="194">
        <f t="shared" si="29"/>
        <v>1.2973999999999999</v>
      </c>
      <c r="R387" s="194">
        <f t="shared" si="29"/>
        <v>1.5273999999999999</v>
      </c>
      <c r="S387" s="194">
        <f t="shared" si="30"/>
        <v>0.28288746407251841</v>
      </c>
      <c r="T387" s="194">
        <f t="shared" si="31"/>
        <v>0.18545591468887199</v>
      </c>
      <c r="U387" s="194">
        <f t="shared" si="32"/>
        <v>0.80170060885996219</v>
      </c>
      <c r="V387">
        <f>IFERROR(IF((N387-G387)&gt;0,(IFERROR(N387-G387,"")),""),"")</f>
        <v>52</v>
      </c>
      <c r="W387" s="194">
        <f t="shared" si="33"/>
        <v>0.66402914005639135</v>
      </c>
      <c r="X387" s="194" t="str">
        <f t="shared" si="34"/>
        <v/>
      </c>
      <c r="Y387" s="252" t="str">
        <f>IF(ISNUMBER(SEARCH("C",'WetLitterbags placem_collection'!$Y94)),"YES","NO")</f>
        <v>NO</v>
      </c>
      <c r="Z387" s="252" t="str">
        <f>IF(ISNUMBER(SEARCH("H", 'WetLitterbags placem_collection'!$Y94)),"YES","NO")</f>
        <v>NO</v>
      </c>
      <c r="AA387" s="252" t="str">
        <f>IF(ISNUMBER(SEARCH("R", 'WetLitterbags placem_collection'!$Y94)),"YES","NO")</f>
        <v>YES</v>
      </c>
      <c r="AB387" s="252" t="str">
        <f>IF(ISNUMBER(SEARCH("C", 'WetLitterbags placem_collection'!$W94)),"YES","NO")</f>
        <v>YES</v>
      </c>
      <c r="AC387" s="252" t="str">
        <f>IF(ISNUMBER(SEARCH("H", 'WetLitterbags placem_collection'!$W94)),"YES","NO")</f>
        <v>YES</v>
      </c>
      <c r="AD387" s="252" t="str">
        <f>IF(ISNUMBER(SEARCH("R", 'WetLitterbags placem_collection'!$W94)),"YES","NO")</f>
        <v>NO</v>
      </c>
    </row>
    <row r="388" spans="2:30">
      <c r="B388" t="str">
        <f>'Final data_for_R_analysis_Wetse'!A534</f>
        <v>Wet</v>
      </c>
      <c r="C388" s="260">
        <f>'Final data_for_R_analysis_Wetse'!B534</f>
        <v>93</v>
      </c>
      <c r="D388" t="s">
        <v>3814</v>
      </c>
      <c r="E388" t="s">
        <v>25</v>
      </c>
      <c r="F388" s="382">
        <v>5</v>
      </c>
      <c r="G388" s="16">
        <f>'WetLitterbags placem_collection'!E95</f>
        <v>42767</v>
      </c>
      <c r="H388" s="92" t="str">
        <f>'Final data_for_R_analysis_Wetse'!K534</f>
        <v>G424</v>
      </c>
      <c r="I388" t="str">
        <f>'Final data_for_R_analysis_Wetse'!K754</f>
        <v>R136</v>
      </c>
      <c r="J388">
        <f>IFERROR(INDEX('Green_rooibos initial weight'!$C$5:$C$2000,MATCH(H388, 'Green_rooibos initial weight'!$A$5:$A$2000,0)),"")</f>
        <v>1.9590000000000001</v>
      </c>
      <c r="K388">
        <f>IFERROR(INDEX('Green_rooibos initial weight'!$C$5:$C$2000,MATCH(I388, 'Green_rooibos initial weight'!$A$5:$A$2000,0)),"")</f>
        <v>2.21</v>
      </c>
      <c r="L388" s="194">
        <f t="shared" si="28"/>
        <v>1.7092000000000001</v>
      </c>
      <c r="M388" s="194">
        <f>IF(K388&gt;0,(K388*$F$32-($F$29+$F$30)),"")</f>
        <v>1.9601999999999999</v>
      </c>
      <c r="N388" s="16">
        <f>IF('WetLitterbags placem_collection'!G95="","",'WetLitterbags placem_collection'!G95)</f>
        <v>42819</v>
      </c>
      <c r="O388" s="194">
        <f>IFERROR(INDEX('Both teabags AfterWet'!$C$3:$C$2000,MATCH(H388,'Both teabags AfterWet'!$A$3:$A$2000,0)),"")</f>
        <v>0.66039999999999999</v>
      </c>
      <c r="P388" s="194">
        <f>IFERROR(INDEX('Both teabags AfterWet'!$C$3:$C$2000,MATCH(I388,'Both teabags AfterWet'!$A$3:$A$2000,0)),"")</f>
        <v>1.6368</v>
      </c>
      <c r="Q388" s="194">
        <f t="shared" si="29"/>
        <v>0.50980000000000003</v>
      </c>
      <c r="R388" s="194">
        <f t="shared" si="29"/>
        <v>1.4862</v>
      </c>
      <c r="S388" s="194">
        <f t="shared" si="30"/>
        <v>0.70173180435291371</v>
      </c>
      <c r="T388" s="194">
        <f t="shared" si="31"/>
        <v>0.46004270309122142</v>
      </c>
      <c r="U388" s="194">
        <f t="shared" si="32"/>
        <v>0.75818794000612177</v>
      </c>
      <c r="V388">
        <f>IFERROR(IF((N388-G388)&gt;0,(IFERROR(N388-G388,"")),""),"")</f>
        <v>52</v>
      </c>
      <c r="W388" s="194">
        <f t="shared" si="33"/>
        <v>0.16658930599416422</v>
      </c>
      <c r="X388" s="194">
        <f t="shared" si="34"/>
        <v>1.4341669588772275E-2</v>
      </c>
      <c r="Y388" s="252" t="str">
        <f>IF(ISNUMBER(SEARCH("C",'WetLitterbags placem_collection'!$Y95)),"YES","NO")</f>
        <v>NO</v>
      </c>
      <c r="Z388" s="252" t="str">
        <f>IF(ISNUMBER(SEARCH("H", 'WetLitterbags placem_collection'!$Y95)),"YES","NO")</f>
        <v>NO</v>
      </c>
      <c r="AA388" s="252" t="str">
        <f>IF(ISNUMBER(SEARCH("R", 'WetLitterbags placem_collection'!$Y95)),"YES","NO")</f>
        <v>YES</v>
      </c>
      <c r="AB388" s="252" t="str">
        <f>IF(ISNUMBER(SEARCH("C", 'WetLitterbags placem_collection'!$W95)),"YES","NO")</f>
        <v>NO</v>
      </c>
      <c r="AC388" s="252" t="str">
        <f>IF(ISNUMBER(SEARCH("H", 'WetLitterbags placem_collection'!$W95)),"YES","NO")</f>
        <v>YES</v>
      </c>
      <c r="AD388" s="252" t="str">
        <f>IF(ISNUMBER(SEARCH("R", 'WetLitterbags placem_collection'!$W95)),"YES","NO")</f>
        <v>NO</v>
      </c>
    </row>
    <row r="389" spans="2:30">
      <c r="B389" t="str">
        <f>'Final data_for_R_analysis_Wetse'!A535</f>
        <v>Wet</v>
      </c>
      <c r="C389" s="260">
        <f>'Final data_for_R_analysis_Wetse'!B535</f>
        <v>94</v>
      </c>
      <c r="D389" t="s">
        <v>3814</v>
      </c>
      <c r="E389" t="s">
        <v>25</v>
      </c>
      <c r="F389" s="382">
        <v>6</v>
      </c>
      <c r="G389" s="16">
        <f>'WetLitterbags placem_collection'!E96</f>
        <v>42767</v>
      </c>
      <c r="H389" s="92" t="str">
        <f>'Final data_for_R_analysis_Wetse'!K535</f>
        <v>G588</v>
      </c>
      <c r="I389" t="str">
        <f>'Final data_for_R_analysis_Wetse'!K755</f>
        <v>R358</v>
      </c>
      <c r="J389">
        <f>IFERROR(INDEX('Green_rooibos initial weight'!$C$5:$C$2000,MATCH(H389, 'Green_rooibos initial weight'!$A$5:$A$2000,0)),"")</f>
        <v>2.14</v>
      </c>
      <c r="K389">
        <f>IFERROR(INDEX('Green_rooibos initial weight'!$C$5:$C$2000,MATCH(I389, 'Green_rooibos initial weight'!$A$5:$A$2000,0)),"")</f>
        <v>2.2210000000000001</v>
      </c>
      <c r="L389" s="194">
        <f t="shared" si="28"/>
        <v>1.8902000000000001</v>
      </c>
      <c r="M389" s="194">
        <f>IF(K389&gt;0,(K389*$F$32-($F$29+$F$30)),"")</f>
        <v>1.9712000000000001</v>
      </c>
      <c r="N389" s="16">
        <f>IF('WetLitterbags placem_collection'!G96="","",'WetLitterbags placem_collection'!G96)</f>
        <v>42819</v>
      </c>
      <c r="O389" s="194" t="str">
        <f>IFERROR(INDEX('Both teabags AfterWet'!$C$3:$C$2000,MATCH(H389,'Both teabags AfterWet'!$A$3:$A$2000,0)),"")</f>
        <v/>
      </c>
      <c r="P389" s="194" t="str">
        <f>IFERROR(INDEX('Both teabags AfterWet'!$C$3:$C$2000,MATCH(I389,'Both teabags AfterWet'!$A$3:$A$2000,0)),"")</f>
        <v/>
      </c>
      <c r="Q389" s="194" t="str">
        <f t="shared" si="29"/>
        <v/>
      </c>
      <c r="R389" s="194" t="str">
        <f t="shared" si="29"/>
        <v/>
      </c>
      <c r="S389" s="194" t="str">
        <f t="shared" si="30"/>
        <v/>
      </c>
      <c r="T389" s="194" t="str">
        <f t="shared" si="31"/>
        <v/>
      </c>
      <c r="U389" s="194" t="str">
        <f t="shared" si="32"/>
        <v/>
      </c>
      <c r="V389">
        <f>IFERROR(IF((N389-G389)&gt;0,(IFERROR(N389-G389,"")),""),"")</f>
        <v>52</v>
      </c>
      <c r="W389" s="194" t="str">
        <f t="shared" si="33"/>
        <v/>
      </c>
      <c r="X389" s="194" t="str">
        <f t="shared" si="34"/>
        <v/>
      </c>
      <c r="Y389" s="252" t="str">
        <f>IF(ISNUMBER(SEARCH("C",'WetLitterbags placem_collection'!$Y96)),"YES","NO")</f>
        <v>NO</v>
      </c>
      <c r="Z389" s="252" t="str">
        <f>IF(ISNUMBER(SEARCH("H", 'WetLitterbags placem_collection'!$Y96)),"YES","NO")</f>
        <v>NO</v>
      </c>
      <c r="AA389" s="252" t="str">
        <f>IF(ISNUMBER(SEARCH("R", 'WetLitterbags placem_collection'!$Y96)),"YES","NO")</f>
        <v>NO</v>
      </c>
      <c r="AB389" s="252" t="str">
        <f>IF(ISNUMBER(SEARCH("C", 'WetLitterbags placem_collection'!$W96)),"YES","NO")</f>
        <v>NO</v>
      </c>
      <c r="AC389" s="252" t="str">
        <f>IF(ISNUMBER(SEARCH("H", 'WetLitterbags placem_collection'!$W96)),"YES","NO")</f>
        <v>NO</v>
      </c>
      <c r="AD389" s="252" t="str">
        <f>IF(ISNUMBER(SEARCH("R", 'WetLitterbags placem_collection'!$W96)),"YES","NO")</f>
        <v>NO</v>
      </c>
    </row>
    <row r="390" spans="2:30">
      <c r="B390" t="str">
        <f>'Final data_for_R_analysis_Wetse'!A536</f>
        <v>Wet</v>
      </c>
      <c r="C390" s="260">
        <f>'Final data_for_R_analysis_Wetse'!B536</f>
        <v>95</v>
      </c>
      <c r="D390" t="s">
        <v>3814</v>
      </c>
      <c r="E390" t="s">
        <v>25</v>
      </c>
      <c r="F390" s="382">
        <v>7</v>
      </c>
      <c r="G390" s="16">
        <f>'WetLitterbags placem_collection'!E97</f>
        <v>42767</v>
      </c>
      <c r="H390" s="92" t="str">
        <f>'Final data_for_R_analysis_Wetse'!K536</f>
        <v>G486</v>
      </c>
      <c r="I390" t="str">
        <f>'Final data_for_R_analysis_Wetse'!K756</f>
        <v>R547</v>
      </c>
      <c r="J390">
        <f>IFERROR(INDEX('Green_rooibos initial weight'!$C$5:$C$2000,MATCH(H390, 'Green_rooibos initial weight'!$A$5:$A$2000,0)),"")</f>
        <v>2.0049999999999999</v>
      </c>
      <c r="K390">
        <f>IFERROR(INDEX('Green_rooibos initial weight'!$C$5:$C$2000,MATCH(I390, 'Green_rooibos initial weight'!$A$5:$A$2000,0)),"")</f>
        <v>2.194</v>
      </c>
      <c r="L390" s="194">
        <f t="shared" si="28"/>
        <v>1.7551999999999999</v>
      </c>
      <c r="M390" s="194">
        <f>IF(K390&gt;0,(K390*$F$32-($F$29+$F$30)),"")</f>
        <v>1.9441999999999999</v>
      </c>
      <c r="N390" s="16">
        <f>IF('WetLitterbags placem_collection'!G97="","",'WetLitterbags placem_collection'!G97)</f>
        <v>42819</v>
      </c>
      <c r="O390" s="194">
        <f>IFERROR(INDEX('Both teabags AfterWet'!$C$3:$C$2000,MATCH(H390,'Both teabags AfterWet'!$A$3:$A$2000,0)),"")</f>
        <v>0.90400000000000003</v>
      </c>
      <c r="P390" s="194">
        <f>IFERROR(INDEX('Both teabags AfterWet'!$C$3:$C$2000,MATCH(I390,'Both teabags AfterWet'!$A$3:$A$2000,0)),"")</f>
        <v>1.5620000000000001</v>
      </c>
      <c r="Q390" s="194">
        <f t="shared" si="29"/>
        <v>0.75340000000000007</v>
      </c>
      <c r="R390" s="194">
        <f t="shared" si="29"/>
        <v>1.4114</v>
      </c>
      <c r="S390" s="194">
        <f t="shared" si="30"/>
        <v>0.57076116681859612</v>
      </c>
      <c r="T390" s="194">
        <f t="shared" si="31"/>
        <v>0.37418071743926973</v>
      </c>
      <c r="U390" s="194">
        <f t="shared" si="32"/>
        <v>0.7259541199465076</v>
      </c>
      <c r="V390">
        <f>IFERROR(IF((N390-G390)&gt;0,(IFERROR(N390-G390,"")),""),"")</f>
        <v>52</v>
      </c>
      <c r="W390" s="194">
        <f t="shared" si="33"/>
        <v>0.32213638145059842</v>
      </c>
      <c r="X390" s="194">
        <f t="shared" si="34"/>
        <v>2.5350408284870816E-2</v>
      </c>
      <c r="Y390" s="252" t="str">
        <f>IF(ISNUMBER(SEARCH("C",'WetLitterbags placem_collection'!$Y97)),"YES","NO")</f>
        <v>NO</v>
      </c>
      <c r="Z390" s="252" t="str">
        <f>IF(ISNUMBER(SEARCH("H", 'WetLitterbags placem_collection'!$Y97)),"YES","NO")</f>
        <v>NO</v>
      </c>
      <c r="AA390" s="252" t="str">
        <f>IF(ISNUMBER(SEARCH("R", 'WetLitterbags placem_collection'!$Y97)),"YES","NO")</f>
        <v>YES</v>
      </c>
      <c r="AB390" s="252" t="str">
        <f>IF(ISNUMBER(SEARCH("C", 'WetLitterbags placem_collection'!$W97)),"YES","NO")</f>
        <v>NO</v>
      </c>
      <c r="AC390" s="252" t="str">
        <f>IF(ISNUMBER(SEARCH("H", 'WetLitterbags placem_collection'!$W97)),"YES","NO")</f>
        <v>YES</v>
      </c>
      <c r="AD390" s="252" t="str">
        <f>IF(ISNUMBER(SEARCH("R", 'WetLitterbags placem_collection'!$W97)),"YES","NO")</f>
        <v>YES</v>
      </c>
    </row>
    <row r="391" spans="2:30">
      <c r="B391" t="str">
        <f>'Final data_for_R_analysis_Wetse'!A537</f>
        <v>Wet</v>
      </c>
      <c r="C391" s="260">
        <f>'Final data_for_R_analysis_Wetse'!B537</f>
        <v>96</v>
      </c>
      <c r="D391" t="s">
        <v>3814</v>
      </c>
      <c r="E391" t="s">
        <v>25</v>
      </c>
      <c r="F391" s="382">
        <v>8</v>
      </c>
      <c r="G391" s="16">
        <f>'WetLitterbags placem_collection'!E98</f>
        <v>42767</v>
      </c>
      <c r="H391" s="92" t="str">
        <f>'Final data_for_R_analysis_Wetse'!K537</f>
        <v>G545</v>
      </c>
      <c r="I391" t="str">
        <f>'Final data_for_R_analysis_Wetse'!K757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28"/>
        <v>1.8222</v>
      </c>
      <c r="M391" s="194">
        <f>IF(K391&gt;0,(K391*$F$32-($F$29+$F$30)),"")</f>
        <v>1.8862000000000001</v>
      </c>
      <c r="N391" s="16">
        <f>IF('WetLitterbags placem_collection'!G98="","",'WetLitterbags placem_collection'!G98)</f>
        <v>42819</v>
      </c>
      <c r="O391" s="194">
        <f>IFERROR(INDEX('Both teabags AfterWet'!$C$3:$C$2000,MATCH(H391,'Both teabags AfterWet'!$A$3:$A$2000,0)),"")</f>
        <v>0.73950000000000005</v>
      </c>
      <c r="P391" s="194">
        <f>IFERROR(INDEX('Both teabags AfterWet'!$C$3:$C$2000,MATCH(I391,'Both teabags AfterWet'!$A$3:$A$2000,0)),"")</f>
        <v>0.87350000000000005</v>
      </c>
      <c r="Q391" s="194">
        <f t="shared" si="29"/>
        <v>0.58889999999999998</v>
      </c>
      <c r="R391" s="194">
        <f t="shared" si="29"/>
        <v>0.7229000000000001</v>
      </c>
      <c r="S391" s="194">
        <f t="shared" si="30"/>
        <v>0.67681922950279882</v>
      </c>
      <c r="T391" s="194">
        <f t="shared" si="31"/>
        <v>0.44371046874767817</v>
      </c>
      <c r="U391" s="194">
        <f t="shared" si="32"/>
        <v>0.383257342805641</v>
      </c>
      <c r="V391">
        <f>IFERROR(IF((N391-G391)&gt;0,(IFERROR(N391-G391,"")),""),"")</f>
        <v>52</v>
      </c>
      <c r="W391" s="194">
        <f t="shared" si="33"/>
        <v>0.19617668705130775</v>
      </c>
      <c r="X391" s="194" t="str">
        <f t="shared" si="34"/>
        <v/>
      </c>
      <c r="Y391" s="252" t="str">
        <f>IF(ISNUMBER(SEARCH("C",'WetLitterbags placem_collection'!$Y98)),"YES","NO")</f>
        <v>NO</v>
      </c>
      <c r="Z391" s="252" t="str">
        <f>IF(ISNUMBER(SEARCH("H", 'WetLitterbags placem_collection'!$Y98)),"YES","NO")</f>
        <v>NO</v>
      </c>
      <c r="AA391" s="252" t="str">
        <f>IF(ISNUMBER(SEARCH("R", 'WetLitterbags placem_collection'!$Y98)),"YES","NO")</f>
        <v>NO</v>
      </c>
      <c r="AB391" s="252" t="str">
        <f>IF(ISNUMBER(SEARCH("C", 'WetLitterbags placem_collection'!$W98)),"YES","NO")</f>
        <v>YES</v>
      </c>
      <c r="AC391" s="252" t="str">
        <f>IF(ISNUMBER(SEARCH("H", 'WetLitterbags placem_collection'!$W98)),"YES","NO")</f>
        <v>YES</v>
      </c>
      <c r="AD391" s="252" t="str">
        <f>IF(ISNUMBER(SEARCH("R", 'WetLitterbags placem_collection'!$W98)),"YES","NO")</f>
        <v>NO</v>
      </c>
    </row>
    <row r="392" spans="2:30">
      <c r="B392" t="str">
        <f>'Final data_for_R_analysis_Wetse'!A538</f>
        <v>Wet</v>
      </c>
      <c r="C392" s="260">
        <f>'Final data_for_R_analysis_Wetse'!B538</f>
        <v>97</v>
      </c>
      <c r="D392" t="s">
        <v>3815</v>
      </c>
      <c r="E392" t="s">
        <v>25</v>
      </c>
      <c r="F392" s="381">
        <v>1</v>
      </c>
      <c r="G392" s="16">
        <f>'WetLitterbags placem_collection'!E99</f>
        <v>42762</v>
      </c>
      <c r="H392" s="92" t="str">
        <f>'Final data_for_R_analysis_Wetse'!K538</f>
        <v>G847</v>
      </c>
      <c r="I392" t="str">
        <f>'Final data_for_R_analysis_Wetse'!K758</f>
        <v>R576</v>
      </c>
      <c r="J392">
        <f>IFERROR(INDEX('Green_rooibos initial weight'!$C$5:$C$2000,MATCH(H392, 'Green_rooibos initial weight'!$A$5:$A$2000,0)),"")</f>
        <v>2.1019999999999999</v>
      </c>
      <c r="K392">
        <f>IFERROR(INDEX('Green_rooibos initial weight'!$C$5:$C$2000,MATCH(I392, 'Green_rooibos initial weight'!$A$5:$A$2000,0)),"")</f>
        <v>2.109</v>
      </c>
      <c r="L392" s="194">
        <f t="shared" si="28"/>
        <v>1.8521999999999998</v>
      </c>
      <c r="M392" s="194">
        <f>IF(K392&gt;0,(K392*$F$32-($F$29+$F$30)),"")</f>
        <v>1.8592</v>
      </c>
      <c r="N392" s="16">
        <f>IF('WetLitterbags placem_collection'!G99="","",'WetLitterbags placem_collection'!G99)</f>
        <v>42816</v>
      </c>
      <c r="O392" s="194">
        <f>IFERROR(INDEX('Both teabags AfterWet'!$C$3:$C$2000,MATCH(H392,'Both teabags AfterWet'!$A$3:$A$2000,0)),"")</f>
        <v>0.61809999999999998</v>
      </c>
      <c r="P392" s="194">
        <f>IFERROR(INDEX('Both teabags AfterWet'!$C$3:$C$2000,MATCH(I392,'Both teabags AfterWet'!$A$3:$A$2000,0)),"")</f>
        <v>1.6898</v>
      </c>
      <c r="Q392" s="194">
        <f t="shared" si="29"/>
        <v>0.46749999999999997</v>
      </c>
      <c r="R392" s="194">
        <f t="shared" si="29"/>
        <v>1.5391999999999999</v>
      </c>
      <c r="S392" s="194">
        <f t="shared" si="30"/>
        <v>0.74759745167908431</v>
      </c>
      <c r="T392" s="194">
        <f t="shared" si="31"/>
        <v>0.49011139349982735</v>
      </c>
      <c r="U392" s="194">
        <f t="shared" si="32"/>
        <v>0.82788296041308085</v>
      </c>
      <c r="V392">
        <f>IFERROR(IF((N392-G392)&gt;0,(IFERROR(N392-G392,"")),""),"")</f>
        <v>54</v>
      </c>
      <c r="W392" s="194">
        <f t="shared" si="33"/>
        <v>0.11211704076118245</v>
      </c>
      <c r="X392" s="194">
        <f t="shared" si="34"/>
        <v>8.0110939131426851E-3</v>
      </c>
      <c r="Y392" s="252" t="str">
        <f>IF(ISNUMBER(SEARCH("C",'WetLitterbags placem_collection'!$Y99)),"YES","NO")</f>
        <v>NO</v>
      </c>
      <c r="Z392" s="252" t="str">
        <f>IF(ISNUMBER(SEARCH("H", 'WetLitterbags placem_collection'!$Y99)),"YES","NO")</f>
        <v>NO</v>
      </c>
      <c r="AA392" s="252" t="str">
        <f>IF(ISNUMBER(SEARCH("R", 'WetLitterbags placem_collection'!$Y99)),"YES","NO")</f>
        <v>NO</v>
      </c>
      <c r="AB392" s="252" t="str">
        <f>IF(ISNUMBER(SEARCH("C", 'WetLitterbags placem_collection'!$W99)),"YES","NO")</f>
        <v>YES</v>
      </c>
      <c r="AC392" s="252" t="str">
        <f>IF(ISNUMBER(SEARCH("H", 'WetLitterbags placem_collection'!$W99)),"YES","NO")</f>
        <v>YES</v>
      </c>
      <c r="AD392" s="252" t="str">
        <f>IF(ISNUMBER(SEARCH("R", 'WetLitterbags placem_collection'!$W99)),"YES","NO")</f>
        <v>NO</v>
      </c>
    </row>
    <row r="393" spans="2:30">
      <c r="B393" t="str">
        <f>'Final data_for_R_analysis_Wetse'!A539</f>
        <v>Wet</v>
      </c>
      <c r="C393" s="260">
        <f>'Final data_for_R_analysis_Wetse'!B539</f>
        <v>98</v>
      </c>
      <c r="D393" t="s">
        <v>3815</v>
      </c>
      <c r="E393" t="s">
        <v>25</v>
      </c>
      <c r="F393" s="381">
        <v>2</v>
      </c>
      <c r="G393" s="16">
        <f>'WetLitterbags placem_collection'!E100</f>
        <v>42762</v>
      </c>
      <c r="H393" s="92" t="str">
        <f>'Final data_for_R_analysis_Wetse'!K539</f>
        <v>G730</v>
      </c>
      <c r="I393" t="str">
        <f>'Final data_for_R_analysis_Wetse'!K759</f>
        <v>R561</v>
      </c>
      <c r="J393">
        <f>IFERROR(INDEX('Green_rooibos initial weight'!$C$5:$C$2000,MATCH(H393, 'Green_rooibos initial weight'!$A$5:$A$2000,0)),"")</f>
        <v>2.048</v>
      </c>
      <c r="K393">
        <f>IFERROR(INDEX('Green_rooibos initial weight'!$C$5:$C$2000,MATCH(I393, 'Green_rooibos initial weight'!$A$5:$A$2000,0)),"")</f>
        <v>2.0760000000000001</v>
      </c>
      <c r="L393" s="194">
        <f t="shared" si="28"/>
        <v>1.7982</v>
      </c>
      <c r="M393" s="194">
        <f>IF(K393&gt;0,(K393*$F$32-($F$29+$F$30)),"")</f>
        <v>1.8262</v>
      </c>
      <c r="N393" s="16">
        <f>IF('WetLitterbags placem_collection'!G100="","",'WetLitterbags placem_collection'!G100)</f>
        <v>42816</v>
      </c>
      <c r="O393" s="194">
        <f>IFERROR(INDEX('Both teabags AfterWet'!$C$3:$C$2000,MATCH(H393,'Both teabags AfterWet'!$A$3:$A$2000,0)),"")</f>
        <v>0.629</v>
      </c>
      <c r="P393" s="194">
        <f>IFERROR(INDEX('Both teabags AfterWet'!$C$3:$C$2000,MATCH(I393,'Both teabags AfterWet'!$A$3:$A$2000,0)),"")</f>
        <v>1.661</v>
      </c>
      <c r="Q393" s="194">
        <f t="shared" si="29"/>
        <v>0.47839999999999999</v>
      </c>
      <c r="R393" s="194">
        <f t="shared" si="29"/>
        <v>1.5104</v>
      </c>
      <c r="S393" s="194">
        <f t="shared" si="30"/>
        <v>0.73395617840062277</v>
      </c>
      <c r="T393" s="194">
        <f t="shared" si="31"/>
        <v>0.48116842099423257</v>
      </c>
      <c r="U393" s="194">
        <f t="shared" si="32"/>
        <v>0.82707260979082242</v>
      </c>
      <c r="V393">
        <f>IFERROR(IF((N393-G393)&gt;0,(IFERROR(N393-G393,"")),""),"")</f>
        <v>54</v>
      </c>
      <c r="W393" s="194">
        <f t="shared" si="33"/>
        <v>0.12831807790899907</v>
      </c>
      <c r="X393" s="194">
        <f t="shared" si="34"/>
        <v>8.2469502223020547E-3</v>
      </c>
      <c r="Y393" s="252" t="str">
        <f>IF(ISNUMBER(SEARCH("C",'WetLitterbags placem_collection'!$Y100)),"YES","NO")</f>
        <v>NO</v>
      </c>
      <c r="Z393" s="252" t="str">
        <f>IF(ISNUMBER(SEARCH("H", 'WetLitterbags placem_collection'!$Y100)),"YES","NO")</f>
        <v>NO</v>
      </c>
      <c r="AA393" s="252" t="str">
        <f>IF(ISNUMBER(SEARCH("R", 'WetLitterbags placem_collection'!$Y100)),"YES","NO")</f>
        <v>NO</v>
      </c>
      <c r="AB393" s="252" t="str">
        <f>IF(ISNUMBER(SEARCH("C", 'WetLitterbags placem_collection'!$W100)),"YES","NO")</f>
        <v>NO</v>
      </c>
      <c r="AC393" s="252" t="str">
        <f>IF(ISNUMBER(SEARCH("H", 'WetLitterbags placem_collection'!$W100)),"YES","NO")</f>
        <v>NO</v>
      </c>
      <c r="AD393" s="252" t="str">
        <f>IF(ISNUMBER(SEARCH("R", 'WetLitterbags placem_collection'!$W100)),"YES","NO")</f>
        <v>NO</v>
      </c>
    </row>
    <row r="394" spans="2:30">
      <c r="B394" t="str">
        <f>'Final data_for_R_analysis_Wetse'!A540</f>
        <v>Wet</v>
      </c>
      <c r="C394" s="260">
        <f>'Final data_for_R_analysis_Wetse'!B540</f>
        <v>99</v>
      </c>
      <c r="D394" t="s">
        <v>3815</v>
      </c>
      <c r="E394" t="s">
        <v>25</v>
      </c>
      <c r="F394" s="381">
        <v>3</v>
      </c>
      <c r="G394" s="16">
        <f>'WetLitterbags placem_collection'!E101</f>
        <v>42762</v>
      </c>
      <c r="H394" s="92" t="str">
        <f>'Final data_for_R_analysis_Wetse'!K540</f>
        <v>G691</v>
      </c>
      <c r="I394" t="str">
        <f>'Final data_for_R_analysis_Wetse'!K760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28"/>
        <v>1.8452000000000002</v>
      </c>
      <c r="M394" s="194">
        <f>IF(K394&gt;0,(K394*$F$32-($F$29+$F$30)),"")</f>
        <v>1.9891999999999999</v>
      </c>
      <c r="N394" s="16">
        <f>IF('WetLitterbags placem_collection'!G101="","",'WetLitterbags placem_collection'!G101)</f>
        <v>42816</v>
      </c>
      <c r="O394" s="194">
        <f>IFERROR(INDEX('Both teabags AfterWet'!$C$3:$C$2000,MATCH(H394,'Both teabags AfterWet'!$A$3:$A$2000,0)),"")</f>
        <v>0.52829999999999999</v>
      </c>
      <c r="P394" s="194">
        <f>IFERROR(INDEX('Both teabags AfterWet'!$C$3:$C$2000,MATCH(I394,'Both teabags AfterWet'!$A$3:$A$2000,0)),"")</f>
        <v>1.5016</v>
      </c>
      <c r="Q394" s="194">
        <f t="shared" si="29"/>
        <v>0.37769999999999998</v>
      </c>
      <c r="R394" s="194">
        <f t="shared" si="29"/>
        <v>1.351</v>
      </c>
      <c r="S394" s="194">
        <f t="shared" si="30"/>
        <v>0.79530674181660532</v>
      </c>
      <c r="T394" s="194">
        <f t="shared" si="31"/>
        <v>0.52138874285364156</v>
      </c>
      <c r="U394" s="194">
        <f t="shared" si="32"/>
        <v>0.67916750452443198</v>
      </c>
      <c r="V394">
        <f>IFERROR(IF((N394-G394)&gt;0,(IFERROR(N394-G394,"")),""),"")</f>
        <v>54</v>
      </c>
      <c r="W394" s="194">
        <f t="shared" si="33"/>
        <v>5.5455175989779892E-2</v>
      </c>
      <c r="X394" s="194">
        <f t="shared" si="34"/>
        <v>1.7692614223705907E-2</v>
      </c>
      <c r="Y394" s="252" t="str">
        <f>IF(ISNUMBER(SEARCH("C",'WetLitterbags placem_collection'!$Y101)),"YES","NO")</f>
        <v>NO</v>
      </c>
      <c r="Z394" s="252" t="str">
        <f>IF(ISNUMBER(SEARCH("H", 'WetLitterbags placem_collection'!$Y101)),"YES","NO")</f>
        <v>NO</v>
      </c>
      <c r="AA394" s="252" t="str">
        <f>IF(ISNUMBER(SEARCH("R", 'WetLitterbags placem_collection'!$Y101)),"YES","NO")</f>
        <v>NO</v>
      </c>
      <c r="AB394" s="252" t="str">
        <f>IF(ISNUMBER(SEARCH("C", 'WetLitterbags placem_collection'!$W101)),"YES","NO")</f>
        <v>NO</v>
      </c>
      <c r="AC394" s="252" t="str">
        <f>IF(ISNUMBER(SEARCH("H", 'WetLitterbags placem_collection'!$W101)),"YES","NO")</f>
        <v>NO</v>
      </c>
      <c r="AD394" s="252" t="str">
        <f>IF(ISNUMBER(SEARCH("R", 'WetLitterbags placem_collection'!$W101)),"YES","NO")</f>
        <v>YES</v>
      </c>
    </row>
    <row r="395" spans="2:30">
      <c r="B395" t="str">
        <f>'Final data_for_R_analysis_Wetse'!A541</f>
        <v>Wet</v>
      </c>
      <c r="C395" s="260">
        <f>'Final data_for_R_analysis_Wetse'!B541</f>
        <v>100</v>
      </c>
      <c r="D395" t="s">
        <v>3815</v>
      </c>
      <c r="E395" t="s">
        <v>25</v>
      </c>
      <c r="F395" s="382">
        <v>4</v>
      </c>
      <c r="G395" s="16">
        <f>'WetLitterbags placem_collection'!E102</f>
        <v>42762</v>
      </c>
      <c r="H395" s="92" t="str">
        <f>'Final data_for_R_analysis_Wetse'!K541</f>
        <v>G828</v>
      </c>
      <c r="I395" t="str">
        <f>'Final data_for_R_analysis_Wetse'!K761</f>
        <v>R497</v>
      </c>
      <c r="J395">
        <f>IFERROR(INDEX('Green_rooibos initial weight'!$C$5:$C$2000,MATCH(H395, 'Green_rooibos initial weight'!$A$5:$A$2000,0)),"")</f>
        <v>1.986</v>
      </c>
      <c r="K395">
        <f>IFERROR(INDEX('Green_rooibos initial weight'!$C$5:$C$2000,MATCH(I395, 'Green_rooibos initial weight'!$A$5:$A$2000,0)),"")</f>
        <v>2.2240000000000002</v>
      </c>
      <c r="L395" s="194">
        <f t="shared" si="28"/>
        <v>1.7362</v>
      </c>
      <c r="M395" s="194">
        <f>IF(K395&gt;0,(K395*$F$32-($F$29+$F$30)),"")</f>
        <v>1.9742000000000002</v>
      </c>
      <c r="N395" s="16">
        <f>IF('WetLitterbags placem_collection'!G102="","",'WetLitterbags placem_collection'!G102)</f>
        <v>42816</v>
      </c>
      <c r="O395" s="194">
        <f>IFERROR(INDEX('Both teabags AfterWet'!$C$3:$C$2000,MATCH(H395,'Both teabags AfterWet'!$A$3:$A$2000,0)),"")</f>
        <v>0.57399999999999995</v>
      </c>
      <c r="P395" s="194">
        <f>IFERROR(INDEX('Both teabags AfterWet'!$C$3:$C$2000,MATCH(I395,'Both teabags AfterWet'!$A$3:$A$2000,0)),"")</f>
        <v>1.66</v>
      </c>
      <c r="Q395" s="194">
        <f t="shared" si="29"/>
        <v>0.42339999999999994</v>
      </c>
      <c r="R395" s="194">
        <f t="shared" si="29"/>
        <v>1.5093999999999999</v>
      </c>
      <c r="S395" s="194">
        <f t="shared" si="30"/>
        <v>0.75613408593480014</v>
      </c>
      <c r="T395" s="194">
        <f t="shared" si="31"/>
        <v>0.49570785681236307</v>
      </c>
      <c r="U395" s="194">
        <f t="shared" si="32"/>
        <v>0.76456286090568315</v>
      </c>
      <c r="V395">
        <f>IFERROR(IF((N395-G395)&gt;0,(IFERROR(N395-G395,"")),""),"")</f>
        <v>54</v>
      </c>
      <c r="W395" s="194">
        <f t="shared" si="33"/>
        <v>0.10197852026745824</v>
      </c>
      <c r="X395" s="194">
        <f t="shared" si="34"/>
        <v>1.1930823028198157E-2</v>
      </c>
      <c r="Y395" s="252" t="str">
        <f>IF(ISNUMBER(SEARCH("C",'WetLitterbags placem_collection'!$Y102)),"YES","NO")</f>
        <v>NO</v>
      </c>
      <c r="Z395" s="252" t="str">
        <f>IF(ISNUMBER(SEARCH("H", 'WetLitterbags placem_collection'!$Y102)),"YES","NO")</f>
        <v>NO</v>
      </c>
      <c r="AA395" s="252" t="str">
        <f>IF(ISNUMBER(SEARCH("R", 'WetLitterbags placem_collection'!$Y102)),"YES","NO")</f>
        <v>NO</v>
      </c>
      <c r="AB395" s="252" t="str">
        <f>IF(ISNUMBER(SEARCH("C", 'WetLitterbags placem_collection'!$W102)),"YES","NO")</f>
        <v>YES</v>
      </c>
      <c r="AC395" s="252" t="str">
        <f>IF(ISNUMBER(SEARCH("H", 'WetLitterbags placem_collection'!$W102)),"YES","NO")</f>
        <v>YES</v>
      </c>
      <c r="AD395" s="252" t="str">
        <f>IF(ISNUMBER(SEARCH("R", 'WetLitterbags placem_collection'!$W102)),"YES","NO")</f>
        <v>NO</v>
      </c>
    </row>
    <row r="396" spans="2:30">
      <c r="B396" t="str">
        <f>'Final data_for_R_analysis_Wetse'!A542</f>
        <v>Wet</v>
      </c>
      <c r="C396" s="260">
        <f>'Final data_for_R_analysis_Wetse'!B542</f>
        <v>101</v>
      </c>
      <c r="D396" t="s">
        <v>3815</v>
      </c>
      <c r="E396" t="s">
        <v>25</v>
      </c>
      <c r="F396" s="382">
        <v>5</v>
      </c>
      <c r="G396" s="16">
        <f>'WetLitterbags placem_collection'!E103</f>
        <v>42762</v>
      </c>
      <c r="H396" s="92" t="str">
        <f>'Final data_for_R_analysis_Wetse'!K542</f>
        <v>G875</v>
      </c>
      <c r="I396" t="str">
        <f>'Final data_for_R_analysis_Wetse'!K762</f>
        <v>R10</v>
      </c>
      <c r="J396">
        <f>IFERROR(INDEX('Green_rooibos initial weight'!$C$5:$C$2000,MATCH(H396, 'Green_rooibos initial weight'!$A$5:$A$2000,0)),"")</f>
        <v>2.0880000000000001</v>
      </c>
      <c r="K396">
        <f>IFERROR(INDEX('Green_rooibos initial weight'!$C$5:$C$2000,MATCH(I396, 'Green_rooibos initial weight'!$A$5:$A$2000,0)),"")</f>
        <v>2.29</v>
      </c>
      <c r="L396" s="194">
        <f t="shared" si="28"/>
        <v>1.8382000000000001</v>
      </c>
      <c r="M396" s="194">
        <f>IF(K396&gt;0,(K396*$F$32-($F$29+$F$30)),"")</f>
        <v>2.0402</v>
      </c>
      <c r="N396" s="16">
        <f>IF('WetLitterbags placem_collection'!G103="","",'WetLitterbags placem_collection'!G103)</f>
        <v>42816</v>
      </c>
      <c r="O396" s="194">
        <f>IFERROR(INDEX('Both teabags AfterWet'!$C$3:$C$2000,MATCH(H396,'Both teabags AfterWet'!$A$3:$A$2000,0)),"")</f>
        <v>0.62450000000000006</v>
      </c>
      <c r="P396" s="194">
        <f>IFERROR(INDEX('Both teabags AfterWet'!$C$3:$C$2000,MATCH(I396,'Both teabags AfterWet'!$A$3:$A$2000,0)),"")</f>
        <v>1.5687</v>
      </c>
      <c r="Q396" s="194">
        <f t="shared" si="29"/>
        <v>0.47390000000000004</v>
      </c>
      <c r="R396" s="194">
        <f t="shared" si="29"/>
        <v>1.4180999999999999</v>
      </c>
      <c r="S396" s="194">
        <f t="shared" si="30"/>
        <v>0.7421934501142422</v>
      </c>
      <c r="T396" s="194">
        <f t="shared" si="31"/>
        <v>0.48656862762833936</v>
      </c>
      <c r="U396" s="194">
        <f t="shared" si="32"/>
        <v>0.69507891383197717</v>
      </c>
      <c r="V396">
        <f>IFERROR(IF((N396-G396)&gt;0,(IFERROR(N396-G396,"")),""),"")</f>
        <v>54</v>
      </c>
      <c r="W396" s="194">
        <f t="shared" si="33"/>
        <v>0.11853509487619684</v>
      </c>
      <c r="X396" s="194">
        <f t="shared" si="34"/>
        <v>1.8246476510625297E-2</v>
      </c>
      <c r="Y396" s="252" t="str">
        <f>IF(ISNUMBER(SEARCH("C",'WetLitterbags placem_collection'!$Y103)),"YES","NO")</f>
        <v>NO</v>
      </c>
      <c r="Z396" s="252" t="str">
        <f>IF(ISNUMBER(SEARCH("H", 'WetLitterbags placem_collection'!$Y103)),"YES","NO")</f>
        <v>NO</v>
      </c>
      <c r="AA396" s="252" t="str">
        <f>IF(ISNUMBER(SEARCH("R", 'WetLitterbags placem_collection'!$Y103)),"YES","NO")</f>
        <v>NO</v>
      </c>
      <c r="AB396" s="252" t="str">
        <f>IF(ISNUMBER(SEARCH("C", 'WetLitterbags placem_collection'!$W103)),"YES","NO")</f>
        <v>NO</v>
      </c>
      <c r="AC396" s="252" t="str">
        <f>IF(ISNUMBER(SEARCH("H", 'WetLitterbags placem_collection'!$W103)),"YES","NO")</f>
        <v>NO</v>
      </c>
      <c r="AD396" s="252" t="str">
        <f>IF(ISNUMBER(SEARCH("R", 'WetLitterbags placem_collection'!$W103)),"YES","NO")</f>
        <v>NO</v>
      </c>
    </row>
    <row r="397" spans="2:30">
      <c r="B397" t="str">
        <f>'Final data_for_R_analysis_Wetse'!A543</f>
        <v>Wet</v>
      </c>
      <c r="C397" s="260">
        <f>'Final data_for_R_analysis_Wetse'!B543</f>
        <v>102</v>
      </c>
      <c r="D397" t="s">
        <v>3815</v>
      </c>
      <c r="E397" t="s">
        <v>25</v>
      </c>
      <c r="F397" s="382">
        <v>6</v>
      </c>
      <c r="G397" s="16">
        <f>'WetLitterbags placem_collection'!E104</f>
        <v>42762</v>
      </c>
      <c r="H397" s="92" t="str">
        <f>'Final data_for_R_analysis_Wetse'!K543</f>
        <v>G824</v>
      </c>
      <c r="I397" t="str">
        <f>'Final data_for_R_analysis_Wetse'!K763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35">IF(J397&gt;0,(J397*$F$31-($F$29+$F$30)),"")</f>
        <v>1.6812</v>
      </c>
      <c r="M397" s="194">
        <f>IF(K397&gt;0,(K397*$F$32-($F$29+$F$30)),"")</f>
        <v>2.0061999999999998</v>
      </c>
      <c r="N397" s="16">
        <f>IF('WetLitterbags placem_collection'!G104="","",'WetLitterbags placem_collection'!G104)</f>
        <v>42816</v>
      </c>
      <c r="O397" s="194">
        <f>IFERROR(INDEX('Both teabags AfterWet'!$C$3:$C$2000,MATCH(H397,'Both teabags AfterWet'!$A$3:$A$2000,0)),"")</f>
        <v>0.56499999999999995</v>
      </c>
      <c r="P397" s="194">
        <f>IFERROR(INDEX('Both teabags AfterWet'!$C$3:$C$2000,MATCH(I397,'Both teabags AfterWet'!$A$3:$A$2000,0)),"")</f>
        <v>1.6240000000000001</v>
      </c>
      <c r="Q397" s="194">
        <f t="shared" ref="Q397:R460" si="36">IFERROR(IF(O397&gt;0,O397-($F$29),""),"")</f>
        <v>0.41439999999999994</v>
      </c>
      <c r="R397" s="194">
        <f t="shared" si="36"/>
        <v>1.4734</v>
      </c>
      <c r="S397" s="194">
        <f t="shared" ref="S397:S460" si="37">IFERROR(1-Q397/L397,"")</f>
        <v>0.75350939804901262</v>
      </c>
      <c r="T397" s="194">
        <f t="shared" ref="T397:T460" si="38">IFERROR($F$26*(1-W397),"")</f>
        <v>0.49398715881597982</v>
      </c>
      <c r="U397" s="194">
        <f t="shared" ref="U397:U460" si="39">IFERROR(R397/M397,"")</f>
        <v>0.73442328780779598</v>
      </c>
      <c r="V397">
        <f>IFERROR(IF((N397-G397)&gt;0,(IFERROR(N397-G397,"")),""),"")</f>
        <v>54</v>
      </c>
      <c r="W397" s="194">
        <f t="shared" ref="W397:W460" si="40">IFERROR(1-(S397/$F$25),"")</f>
        <v>0.10509572678264534</v>
      </c>
      <c r="X397" s="194">
        <f t="shared" ref="X397:X460" si="41">IFERROR(LN(T397/(U397-(1-T397)))/V397,"")</f>
        <v>1.4284542732070478E-2</v>
      </c>
      <c r="Y397" s="252" t="str">
        <f>IF(ISNUMBER(SEARCH("C",'WetLitterbags placem_collection'!$Y104)),"YES","NO")</f>
        <v>NO</v>
      </c>
      <c r="Z397" s="252" t="str">
        <f>IF(ISNUMBER(SEARCH("H", 'WetLitterbags placem_collection'!$Y104)),"YES","NO")</f>
        <v>NO</v>
      </c>
      <c r="AA397" s="252" t="str">
        <f>IF(ISNUMBER(SEARCH("R", 'WetLitterbags placem_collection'!$Y104)),"YES","NO")</f>
        <v>NO</v>
      </c>
      <c r="AB397" s="252" t="str">
        <f>IF(ISNUMBER(SEARCH("C", 'WetLitterbags placem_collection'!$W104)),"YES","NO")</f>
        <v>NO</v>
      </c>
      <c r="AC397" s="252" t="str">
        <f>IF(ISNUMBER(SEARCH("H", 'WetLitterbags placem_collection'!$W104)),"YES","NO")</f>
        <v>NO</v>
      </c>
      <c r="AD397" s="252" t="str">
        <f>IF(ISNUMBER(SEARCH("R", 'WetLitterbags placem_collection'!$W104)),"YES","NO")</f>
        <v>NO</v>
      </c>
    </row>
    <row r="398" spans="2:30">
      <c r="B398" t="str">
        <f>'Final data_for_R_analysis_Wetse'!A544</f>
        <v>Wet</v>
      </c>
      <c r="C398" s="260">
        <f>'Final data_for_R_analysis_Wetse'!B544</f>
        <v>103</v>
      </c>
      <c r="D398" t="s">
        <v>3815</v>
      </c>
      <c r="E398" t="s">
        <v>25</v>
      </c>
      <c r="F398" s="382">
        <v>7</v>
      </c>
      <c r="G398" s="16">
        <f>'WetLitterbags placem_collection'!E105</f>
        <v>42762</v>
      </c>
      <c r="H398" s="92" t="str">
        <f>'Final data_for_R_analysis_Wetse'!K544</f>
        <v>G692</v>
      </c>
      <c r="I398" t="str">
        <f>'Final data_for_R_analysis_Wetse'!K764</f>
        <v>R494</v>
      </c>
      <c r="J398">
        <f>IFERROR(INDEX('Green_rooibos initial weight'!$C$5:$C$2000,MATCH(H398, 'Green_rooibos initial weight'!$A$5:$A$2000,0)),"")</f>
        <v>2.028</v>
      </c>
      <c r="K398">
        <f>IFERROR(INDEX('Green_rooibos initial weight'!$C$5:$C$2000,MATCH(I398, 'Green_rooibos initial weight'!$A$5:$A$2000,0)),"")</f>
        <v>2.2130000000000001</v>
      </c>
      <c r="L398" s="194">
        <f t="shared" si="35"/>
        <v>1.7782</v>
      </c>
      <c r="M398" s="194">
        <f>IF(K398&gt;0,(K398*$F$32-($F$29+$F$30)),"")</f>
        <v>1.9632000000000001</v>
      </c>
      <c r="N398" s="16">
        <f>IF('WetLitterbags placem_collection'!G105="","",'WetLitterbags placem_collection'!G105)</f>
        <v>42816</v>
      </c>
      <c r="O398" s="194">
        <f>IFERROR(INDEX('Both teabags AfterWet'!$C$3:$C$2000,MATCH(H398,'Both teabags AfterWet'!$A$3:$A$2000,0)),"")</f>
        <v>0.58699999999999997</v>
      </c>
      <c r="P398" s="194">
        <f>IFERROR(INDEX('Both teabags AfterWet'!$C$3:$C$2000,MATCH(I398,'Both teabags AfterWet'!$A$3:$A$2000,0)),"")</f>
        <v>1.6919999999999999</v>
      </c>
      <c r="Q398" s="194">
        <f t="shared" si="36"/>
        <v>0.43639999999999995</v>
      </c>
      <c r="R398" s="194">
        <f t="shared" si="36"/>
        <v>1.5413999999999999</v>
      </c>
      <c r="S398" s="194">
        <f t="shared" si="37"/>
        <v>0.75458328646946349</v>
      </c>
      <c r="T398" s="194">
        <f t="shared" si="38"/>
        <v>0.49469118067831819</v>
      </c>
      <c r="U398" s="194">
        <f t="shared" si="39"/>
        <v>0.7851466992665036</v>
      </c>
      <c r="V398">
        <f>IFERROR(IF((N398-G398)&gt;0,(IFERROR(N398-G398,"")),""),"")</f>
        <v>54</v>
      </c>
      <c r="W398" s="194">
        <f t="shared" si="40"/>
        <v>0.10382032485811932</v>
      </c>
      <c r="X398" s="194">
        <f t="shared" si="41"/>
        <v>1.0550430651329889E-2</v>
      </c>
      <c r="Y398" s="252" t="str">
        <f>IF(ISNUMBER(SEARCH("C",'WetLitterbags placem_collection'!$Y105)),"YES","NO")</f>
        <v>NO</v>
      </c>
      <c r="Z398" s="252" t="str">
        <f>IF(ISNUMBER(SEARCH("H", 'WetLitterbags placem_collection'!$Y105)),"YES","NO")</f>
        <v>NO</v>
      </c>
      <c r="AA398" s="252" t="str">
        <f>IF(ISNUMBER(SEARCH("R", 'WetLitterbags placem_collection'!$Y105)),"YES","NO")</f>
        <v>YES</v>
      </c>
      <c r="AB398" s="252" t="str">
        <f>IF(ISNUMBER(SEARCH("C", 'WetLitterbags placem_collection'!$W105)),"YES","NO")</f>
        <v>NO</v>
      </c>
      <c r="AC398" s="252" t="str">
        <f>IF(ISNUMBER(SEARCH("H", 'WetLitterbags placem_collection'!$W105)),"YES","NO")</f>
        <v>NO</v>
      </c>
      <c r="AD398" s="252" t="str">
        <f>IF(ISNUMBER(SEARCH("R", 'WetLitterbags placem_collection'!$W105)),"YES","NO")</f>
        <v>NO</v>
      </c>
    </row>
    <row r="399" spans="2:30">
      <c r="B399" t="str">
        <f>'Final data_for_R_analysis_Wetse'!A545</f>
        <v>Wet</v>
      </c>
      <c r="C399" s="260">
        <f>'Final data_for_R_analysis_Wetse'!B545</f>
        <v>104</v>
      </c>
      <c r="D399" t="s">
        <v>3815</v>
      </c>
      <c r="E399" t="s">
        <v>25</v>
      </c>
      <c r="F399" s="382">
        <v>8</v>
      </c>
      <c r="G399" s="16">
        <f>'WetLitterbags placem_collection'!E106</f>
        <v>42762</v>
      </c>
      <c r="H399" s="92" t="str">
        <f>'Final data_for_R_analysis_Wetse'!K545</f>
        <v>G806</v>
      </c>
      <c r="I399" t="str">
        <f>'Final data_for_R_analysis_Wetse'!K765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35"/>
        <v>1.7921999999999998</v>
      </c>
      <c r="M399" s="194">
        <f>IF(K399&gt;0,(K399*$F$32-($F$29+$F$30)),"")</f>
        <v>1.9712000000000001</v>
      </c>
      <c r="N399" s="16">
        <f>IF('WetLitterbags placem_collection'!G106="","",'WetLitterbags placem_collection'!G106)</f>
        <v>42816</v>
      </c>
      <c r="O399" s="194">
        <f>IFERROR(INDEX('Both teabags AfterWet'!$C$3:$C$2000,MATCH(H399,'Both teabags AfterWet'!$A$3:$A$2000,0)),"")</f>
        <v>0.72499999999999998</v>
      </c>
      <c r="P399" s="194">
        <f>IFERROR(INDEX('Both teabags AfterWet'!$C$3:$C$2000,MATCH(I399,'Both teabags AfterWet'!$A$3:$A$2000,0)),"")</f>
        <v>1.4970000000000001</v>
      </c>
      <c r="Q399" s="194">
        <f t="shared" si="36"/>
        <v>0.57440000000000002</v>
      </c>
      <c r="R399" s="194">
        <f t="shared" si="36"/>
        <v>1.3464</v>
      </c>
      <c r="S399" s="194">
        <f t="shared" si="37"/>
        <v>0.67950005579734407</v>
      </c>
      <c r="T399" s="194">
        <f t="shared" si="38"/>
        <v>0.44546797007141803</v>
      </c>
      <c r="U399" s="194">
        <f t="shared" si="39"/>
        <v>0.6830357142857143</v>
      </c>
      <c r="V399">
        <f>IFERROR(IF((N399-G399)&gt;0,(IFERROR(N399-G399,"")),""),"")</f>
        <v>54</v>
      </c>
      <c r="W399" s="194">
        <f t="shared" si="40"/>
        <v>0.19299280784163408</v>
      </c>
      <c r="X399" s="194">
        <f t="shared" si="41"/>
        <v>2.3021625403279272E-2</v>
      </c>
      <c r="Y399" s="252" t="str">
        <f>IF(ISNUMBER(SEARCH("C",'WetLitterbags placem_collection'!$Y106)),"YES","NO")</f>
        <v>NO</v>
      </c>
      <c r="Z399" s="252" t="str">
        <f>IF(ISNUMBER(SEARCH("H", 'WetLitterbags placem_collection'!$Y106)),"YES","NO")</f>
        <v>NO</v>
      </c>
      <c r="AA399" s="252" t="str">
        <f>IF(ISNUMBER(SEARCH("R", 'WetLitterbags placem_collection'!$Y106)),"YES","NO")</f>
        <v>NO</v>
      </c>
      <c r="AB399" s="252" t="str">
        <f>IF(ISNUMBER(SEARCH("C", 'WetLitterbags placem_collection'!$W106)),"YES","NO")</f>
        <v>NO</v>
      </c>
      <c r="AC399" s="252" t="str">
        <f>IF(ISNUMBER(SEARCH("H", 'WetLitterbags placem_collection'!$W106)),"YES","NO")</f>
        <v>NO</v>
      </c>
      <c r="AD399" s="252" t="str">
        <f>IF(ISNUMBER(SEARCH("R", 'WetLitterbags placem_collection'!$W106)),"YES","NO")</f>
        <v>NO</v>
      </c>
    </row>
    <row r="400" spans="2:30">
      <c r="B400" t="str">
        <f>'Final data_for_R_analysis_Wetse'!A546</f>
        <v>Wet</v>
      </c>
      <c r="C400" s="260">
        <f>'Final data_for_R_analysis_Wetse'!B546</f>
        <v>105</v>
      </c>
      <c r="D400" t="s">
        <v>3817</v>
      </c>
      <c r="E400" t="s">
        <v>25</v>
      </c>
      <c r="F400" s="381">
        <v>1</v>
      </c>
      <c r="G400" s="16">
        <f>'WetLitterbags placem_collection'!E107</f>
        <v>42762</v>
      </c>
      <c r="H400" s="92" t="str">
        <f>'Final data_for_R_analysis_Wetse'!K546</f>
        <v>G861</v>
      </c>
      <c r="I400" t="str">
        <f>'Final data_for_R_analysis_Wetse'!K766</f>
        <v>R540</v>
      </c>
      <c r="J400">
        <f>IFERROR(INDEX('Green_rooibos initial weight'!$C$5:$C$2000,MATCH(H400, 'Green_rooibos initial weight'!$A$5:$A$2000,0)),"")</f>
        <v>1.9339999999999999</v>
      </c>
      <c r="K400">
        <f>IFERROR(INDEX('Green_rooibos initial weight'!$C$5:$C$2000,MATCH(I400, 'Green_rooibos initial weight'!$A$5:$A$2000,0)),"")</f>
        <v>2.194</v>
      </c>
      <c r="L400" s="194">
        <f t="shared" si="35"/>
        <v>1.6841999999999999</v>
      </c>
      <c r="M400" s="194">
        <f>IF(K400&gt;0,(K400*$F$32-($F$29+$F$30)),"")</f>
        <v>1.9441999999999999</v>
      </c>
      <c r="N400" s="16">
        <f>IF('WetLitterbags placem_collection'!G107="","",'WetLitterbags placem_collection'!G107)</f>
        <v>42816</v>
      </c>
      <c r="O400" s="194">
        <f>IFERROR(INDEX('Both teabags AfterWet'!$C$3:$C$2000,MATCH(H400,'Both teabags AfterWet'!$A$3:$A$2000,0)),"")</f>
        <v>0.626</v>
      </c>
      <c r="P400" s="194">
        <f>IFERROR(INDEX('Both teabags AfterWet'!$C$3:$C$2000,MATCH(I400,'Both teabags AfterWet'!$A$3:$A$2000,0)),"")</f>
        <v>1.8080000000000001</v>
      </c>
      <c r="Q400" s="194">
        <f t="shared" si="36"/>
        <v>0.47539999999999999</v>
      </c>
      <c r="R400" s="194">
        <f t="shared" si="36"/>
        <v>1.6574</v>
      </c>
      <c r="S400" s="194">
        <f t="shared" si="37"/>
        <v>0.71772948580928631</v>
      </c>
      <c r="T400" s="194">
        <f t="shared" si="38"/>
        <v>0.47053049425976973</v>
      </c>
      <c r="U400" s="194">
        <f t="shared" si="39"/>
        <v>0.85248431231354804</v>
      </c>
      <c r="V400">
        <f>IFERROR(IF((N400-G400)&gt;0,(IFERROR(N400-G400,"")),""),"")</f>
        <v>54</v>
      </c>
      <c r="W400" s="194">
        <f t="shared" si="40"/>
        <v>0.14758968431201147</v>
      </c>
      <c r="X400" s="194">
        <f t="shared" si="41"/>
        <v>6.9659741930236767E-3</v>
      </c>
      <c r="Y400" s="252" t="str">
        <f>IF(ISNUMBER(SEARCH("C",'WetLitterbags placem_collection'!$Y107)),"YES","NO")</f>
        <v>NO</v>
      </c>
      <c r="Z400" s="252" t="str">
        <f>IF(ISNUMBER(SEARCH("H", 'WetLitterbags placem_collection'!$Y107)),"YES","NO")</f>
        <v>NO</v>
      </c>
      <c r="AA400" s="252" t="str">
        <f>IF(ISNUMBER(SEARCH("R", 'WetLitterbags placem_collection'!$Y107)),"YES","NO")</f>
        <v>YES</v>
      </c>
      <c r="AB400" s="252" t="str">
        <f>IF(ISNUMBER(SEARCH("C", 'WetLitterbags placem_collection'!$W107)),"YES","NO")</f>
        <v>NO</v>
      </c>
      <c r="AC400" s="252" t="str">
        <f>IF(ISNUMBER(SEARCH("H", 'WetLitterbags placem_collection'!$W107)),"YES","NO")</f>
        <v>NO</v>
      </c>
      <c r="AD400" s="252" t="str">
        <f>IF(ISNUMBER(SEARCH("R", 'WetLitterbags placem_collection'!$W107)),"YES","NO")</f>
        <v>YES</v>
      </c>
    </row>
    <row r="401" spans="2:30">
      <c r="B401" t="str">
        <f>'Final data_for_R_analysis_Wetse'!A547</f>
        <v>Wet</v>
      </c>
      <c r="C401" s="260">
        <f>'Final data_for_R_analysis_Wetse'!B547</f>
        <v>106</v>
      </c>
      <c r="D401" t="s">
        <v>3817</v>
      </c>
      <c r="E401" t="s">
        <v>25</v>
      </c>
      <c r="F401" s="381">
        <v>2</v>
      </c>
      <c r="G401" s="16">
        <f>'WetLitterbags placem_collection'!E108</f>
        <v>42762</v>
      </c>
      <c r="H401" s="92" t="str">
        <f>'Final data_for_R_analysis_Wetse'!K547</f>
        <v>G738</v>
      </c>
      <c r="I401" t="str">
        <f>'Final data_for_R_analysis_Wetse'!K767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35"/>
        <v>1.7591999999999999</v>
      </c>
      <c r="M401" s="194">
        <f>IF(K401&gt;0,(K401*$F$32-($F$29+$F$30)),"")</f>
        <v>1.9592000000000001</v>
      </c>
      <c r="N401" s="16">
        <f>IF('WetLitterbags placem_collection'!G108="","",'WetLitterbags placem_collection'!G108)</f>
        <v>42816</v>
      </c>
      <c r="O401" s="194">
        <f>IFERROR(INDEX('Both teabags AfterWet'!$C$3:$C$2000,MATCH(H401,'Both teabags AfterWet'!$A$3:$A$2000,0)),"")</f>
        <v>0.626</v>
      </c>
      <c r="P401" s="194">
        <f>IFERROR(INDEX('Both teabags AfterWet'!$C$3:$C$2000,MATCH(I401,'Both teabags AfterWet'!$A$3:$A$2000,0)),"")</f>
        <v>1.7729999999999999</v>
      </c>
      <c r="Q401" s="194">
        <f t="shared" si="36"/>
        <v>0.47539999999999999</v>
      </c>
      <c r="R401" s="194">
        <f t="shared" si="36"/>
        <v>1.6223999999999998</v>
      </c>
      <c r="S401" s="194">
        <f t="shared" si="37"/>
        <v>0.7297635288767621</v>
      </c>
      <c r="T401" s="194">
        <f t="shared" si="38"/>
        <v>0.47841979565317422</v>
      </c>
      <c r="U401" s="194">
        <f t="shared" si="39"/>
        <v>0.82809309922417307</v>
      </c>
      <c r="V401">
        <f>IFERROR(IF((N401-G401)&gt;0,(IFERROR(N401-G401,"")),""),"")</f>
        <v>54</v>
      </c>
      <c r="W401" s="194">
        <f t="shared" si="40"/>
        <v>0.13329747164280037</v>
      </c>
      <c r="X401" s="194">
        <f t="shared" si="41"/>
        <v>8.2449769404587658E-3</v>
      </c>
      <c r="Y401" s="252" t="str">
        <f>IF(ISNUMBER(SEARCH("C",'WetLitterbags placem_collection'!$Y108)),"YES","NO")</f>
        <v>NO</v>
      </c>
      <c r="Z401" s="252" t="str">
        <f>IF(ISNUMBER(SEARCH("H", 'WetLitterbags placem_collection'!$Y108)),"YES","NO")</f>
        <v>NO</v>
      </c>
      <c r="AA401" s="252" t="str">
        <f>IF(ISNUMBER(SEARCH("R", 'WetLitterbags placem_collection'!$Y108)),"YES","NO")</f>
        <v>YES</v>
      </c>
      <c r="AB401" s="252" t="str">
        <f>IF(ISNUMBER(SEARCH("C", 'WetLitterbags placem_collection'!$W108)),"YES","NO")</f>
        <v>NO</v>
      </c>
      <c r="AC401" s="252" t="str">
        <f>IF(ISNUMBER(SEARCH("H", 'WetLitterbags placem_collection'!$W108)),"YES","NO")</f>
        <v>NO</v>
      </c>
      <c r="AD401" s="252" t="str">
        <f>IF(ISNUMBER(SEARCH("R", 'WetLitterbags placem_collection'!$W108)),"YES","NO")</f>
        <v>YES</v>
      </c>
    </row>
    <row r="402" spans="2:30">
      <c r="B402" t="str">
        <f>'Final data_for_R_analysis_Wetse'!A548</f>
        <v>Wet</v>
      </c>
      <c r="C402" s="260">
        <f>'Final data_for_R_analysis_Wetse'!B548</f>
        <v>107</v>
      </c>
      <c r="D402" t="s">
        <v>3817</v>
      </c>
      <c r="E402" t="s">
        <v>25</v>
      </c>
      <c r="F402" s="381">
        <v>3</v>
      </c>
      <c r="G402" s="16">
        <f>'WetLitterbags placem_collection'!E109</f>
        <v>42762</v>
      </c>
      <c r="H402" s="92" t="str">
        <f>'Final data_for_R_analysis_Wetse'!K548</f>
        <v>G676</v>
      </c>
      <c r="I402" t="str">
        <f>'Final data_for_R_analysis_Wetse'!K768</f>
        <v>R510</v>
      </c>
      <c r="J402">
        <f>IFERROR(INDEX('Green_rooibos initial weight'!$C$5:$C$2000,MATCH(H402, 'Green_rooibos initial weight'!$A$5:$A$2000,0)),"")</f>
        <v>2.048</v>
      </c>
      <c r="K402">
        <f>IFERROR(INDEX('Green_rooibos initial weight'!$C$5:$C$2000,MATCH(I402, 'Green_rooibos initial weight'!$A$5:$A$2000,0)),"")</f>
        <v>2.2349999999999999</v>
      </c>
      <c r="L402" s="194">
        <f t="shared" si="35"/>
        <v>1.7982</v>
      </c>
      <c r="M402" s="194">
        <f>IF(K402&gt;0,(K402*$F$32-($F$29+$F$30)),"")</f>
        <v>1.9851999999999999</v>
      </c>
      <c r="N402" s="16">
        <f>IF('WetLitterbags placem_collection'!G109="","",'WetLitterbags placem_collection'!G109)</f>
        <v>42816</v>
      </c>
      <c r="O402" s="194">
        <f>IFERROR(INDEX('Both teabags AfterWet'!$C$3:$C$2000,MATCH(H402,'Both teabags AfterWet'!$A$3:$A$2000,0)),"")</f>
        <v>0.67630000000000001</v>
      </c>
      <c r="P402" s="194">
        <f>IFERROR(INDEX('Both teabags AfterWet'!$C$3:$C$2000,MATCH(I402,'Both teabags AfterWet'!$A$3:$A$2000,0)),"")</f>
        <v>1.5944</v>
      </c>
      <c r="Q402" s="194">
        <f t="shared" si="36"/>
        <v>0.52570000000000006</v>
      </c>
      <c r="R402" s="194">
        <f t="shared" si="36"/>
        <v>1.4438</v>
      </c>
      <c r="S402" s="194">
        <f t="shared" si="37"/>
        <v>0.70765209654098538</v>
      </c>
      <c r="T402" s="194">
        <f t="shared" si="38"/>
        <v>0.46392393977508783</v>
      </c>
      <c r="U402" s="194">
        <f t="shared" si="39"/>
        <v>0.72728188595607501</v>
      </c>
      <c r="V402">
        <f>IFERROR(IF((N402-G402)&gt;0,(IFERROR(N402-G402,"")),""),"")</f>
        <v>54</v>
      </c>
      <c r="W402" s="194">
        <f t="shared" si="40"/>
        <v>0.15955808011759454</v>
      </c>
      <c r="X402" s="194">
        <f t="shared" si="41"/>
        <v>1.6414261970973051E-2</v>
      </c>
      <c r="Y402" s="252" t="str">
        <f>IF(ISNUMBER(SEARCH("C",'WetLitterbags placem_collection'!$Y109)),"YES","NO")</f>
        <v>NO</v>
      </c>
      <c r="Z402" s="252" t="str">
        <f>IF(ISNUMBER(SEARCH("H", 'WetLitterbags placem_collection'!$Y109)),"YES","NO")</f>
        <v>NO</v>
      </c>
      <c r="AA402" s="252" t="str">
        <f>IF(ISNUMBER(SEARCH("R", 'WetLitterbags placem_collection'!$Y109)),"YES","NO")</f>
        <v>NO</v>
      </c>
      <c r="AB402" s="252" t="str">
        <f>IF(ISNUMBER(SEARCH("C", 'WetLitterbags placem_collection'!$W109)),"YES","NO")</f>
        <v>NO</v>
      </c>
      <c r="AC402" s="252" t="str">
        <f>IF(ISNUMBER(SEARCH("H", 'WetLitterbags placem_collection'!$W109)),"YES","NO")</f>
        <v>NO</v>
      </c>
      <c r="AD402" s="252" t="str">
        <f>IF(ISNUMBER(SEARCH("R", 'WetLitterbags placem_collection'!$W109)),"YES","NO")</f>
        <v>NO</v>
      </c>
    </row>
    <row r="403" spans="2:30">
      <c r="B403" t="str">
        <f>'Final data_for_R_analysis_Wetse'!A549</f>
        <v>Wet</v>
      </c>
      <c r="C403" s="260">
        <f>'Final data_for_R_analysis_Wetse'!B549</f>
        <v>108</v>
      </c>
      <c r="D403" t="s">
        <v>3817</v>
      </c>
      <c r="E403" t="s">
        <v>25</v>
      </c>
      <c r="F403" s="382">
        <v>4</v>
      </c>
      <c r="G403" s="16">
        <f>'WetLitterbags placem_collection'!E110</f>
        <v>42762</v>
      </c>
      <c r="H403" s="92" t="str">
        <f>'Final data_for_R_analysis_Wetse'!K549</f>
        <v>G845</v>
      </c>
      <c r="I403" t="str">
        <f>'Final data_for_R_analysis_Wetse'!K769</f>
        <v>R509</v>
      </c>
      <c r="J403">
        <f>IFERROR(INDEX('Green_rooibos initial weight'!$C$5:$C$2000,MATCH(H403, 'Green_rooibos initial weight'!$A$5:$A$2000,0)),"")</f>
        <v>2.0459999999999998</v>
      </c>
      <c r="K403">
        <f>IFERROR(INDEX('Green_rooibos initial weight'!$C$5:$C$2000,MATCH(I403, 'Green_rooibos initial weight'!$A$5:$A$2000,0)),"")</f>
        <v>2.161</v>
      </c>
      <c r="L403" s="194">
        <f t="shared" si="35"/>
        <v>1.7961999999999998</v>
      </c>
      <c r="M403" s="194">
        <f>IF(K403&gt;0,(K403*$F$32-($F$29+$F$30)),"")</f>
        <v>1.9112</v>
      </c>
      <c r="N403" s="16">
        <f>IF('WetLitterbags placem_collection'!G110="","",'WetLitterbags placem_collection'!G110)</f>
        <v>42816</v>
      </c>
      <c r="O403" s="194">
        <f>IFERROR(INDEX('Both teabags AfterWet'!$C$3:$C$2000,MATCH(H403,'Both teabags AfterWet'!$A$3:$A$2000,0)),"")</f>
        <v>0.57699999999999996</v>
      </c>
      <c r="P403" s="194">
        <f>IFERROR(INDEX('Both teabags AfterWet'!$C$3:$C$2000,MATCH(I403,'Both teabags AfterWet'!$A$3:$A$2000,0)),"")</f>
        <v>1.6739999999999999</v>
      </c>
      <c r="Q403" s="194">
        <f t="shared" si="36"/>
        <v>0.42639999999999995</v>
      </c>
      <c r="R403" s="194">
        <f t="shared" si="36"/>
        <v>1.5233999999999999</v>
      </c>
      <c r="S403" s="194">
        <f t="shared" si="37"/>
        <v>0.76260995434806811</v>
      </c>
      <c r="T403" s="194">
        <f t="shared" si="38"/>
        <v>0.4999533192400637</v>
      </c>
      <c r="U403" s="194">
        <f t="shared" si="39"/>
        <v>0.79709083298451222</v>
      </c>
      <c r="V403">
        <f>IFERROR(IF((N403-G403)&gt;0,(IFERROR(N403-G403,"")),""),"")</f>
        <v>54</v>
      </c>
      <c r="W403" s="194">
        <f t="shared" si="40"/>
        <v>9.4287465144812233E-2</v>
      </c>
      <c r="X403" s="194">
        <f t="shared" si="41"/>
        <v>9.6413693352084984E-3</v>
      </c>
      <c r="Y403" s="252" t="str">
        <f>IF(ISNUMBER(SEARCH("C",'WetLitterbags placem_collection'!$Y110)),"YES","NO")</f>
        <v>NO</v>
      </c>
      <c r="Z403" s="252" t="str">
        <f>IF(ISNUMBER(SEARCH("H", 'WetLitterbags placem_collection'!$Y110)),"YES","NO")</f>
        <v>NO</v>
      </c>
      <c r="AA403" s="252" t="str">
        <f>IF(ISNUMBER(SEARCH("R", 'WetLitterbags placem_collection'!$Y110)),"YES","NO")</f>
        <v>YES</v>
      </c>
      <c r="AB403" s="252" t="str">
        <f>IF(ISNUMBER(SEARCH("C", 'WetLitterbags placem_collection'!$W110)),"YES","NO")</f>
        <v>NO</v>
      </c>
      <c r="AC403" s="252" t="str">
        <f>IF(ISNUMBER(SEARCH("H", 'WetLitterbags placem_collection'!$W110)),"YES","NO")</f>
        <v>YES</v>
      </c>
      <c r="AD403" s="252" t="str">
        <f>IF(ISNUMBER(SEARCH("R", 'WetLitterbags placem_collection'!$W110)),"YES","NO")</f>
        <v>NO</v>
      </c>
    </row>
    <row r="404" spans="2:30">
      <c r="B404" t="str">
        <f>'Final data_for_R_analysis_Wetse'!A550</f>
        <v>Wet</v>
      </c>
      <c r="C404" s="260">
        <f>'Final data_for_R_analysis_Wetse'!B550</f>
        <v>109</v>
      </c>
      <c r="D404" t="s">
        <v>3817</v>
      </c>
      <c r="E404" t="s">
        <v>25</v>
      </c>
      <c r="F404" s="382">
        <v>5</v>
      </c>
      <c r="G404" s="16">
        <f>'WetLitterbags placem_collection'!E111</f>
        <v>42762</v>
      </c>
      <c r="H404" s="92" t="str">
        <f>'Final data_for_R_analysis_Wetse'!K550</f>
        <v>G887</v>
      </c>
      <c r="I404" t="str">
        <f>'Final data_for_R_analysis_Wetse'!K770</f>
        <v>R33</v>
      </c>
      <c r="J404">
        <f>IFERROR(INDEX('Green_rooibos initial weight'!$C$5:$C$2000,MATCH(H404, 'Green_rooibos initial weight'!$A$5:$A$2000,0)),"")</f>
        <v>1.998</v>
      </c>
      <c r="K404">
        <f>IFERROR(INDEX('Green_rooibos initial weight'!$C$5:$C$2000,MATCH(I404, 'Green_rooibos initial weight'!$A$5:$A$2000,0)),"")</f>
        <v>2.1989999999999998</v>
      </c>
      <c r="L404" s="194">
        <f t="shared" si="35"/>
        <v>1.7482</v>
      </c>
      <c r="M404" s="194">
        <f>IF(K404&gt;0,(K404*$F$32-($F$29+$F$30)),"")</f>
        <v>1.9491999999999998</v>
      </c>
      <c r="N404" s="16">
        <f>IF('WetLitterbags placem_collection'!G111="","",'WetLitterbags placem_collection'!G111)</f>
        <v>42816</v>
      </c>
      <c r="O404" s="194">
        <f>IFERROR(INDEX('Both teabags AfterWet'!$C$3:$C$2000,MATCH(H404,'Both teabags AfterWet'!$A$3:$A$2000,0)),"")</f>
        <v>0.64870000000000005</v>
      </c>
      <c r="P404" s="194">
        <f>IFERROR(INDEX('Both teabags AfterWet'!$C$3:$C$2000,MATCH(I404,'Both teabags AfterWet'!$A$3:$A$2000,0)),"")</f>
        <v>1.5922000000000001</v>
      </c>
      <c r="Q404" s="194">
        <f t="shared" si="36"/>
        <v>0.49810000000000004</v>
      </c>
      <c r="R404" s="194">
        <f t="shared" si="36"/>
        <v>1.4416</v>
      </c>
      <c r="S404" s="194">
        <f t="shared" si="37"/>
        <v>0.71507836631964306</v>
      </c>
      <c r="T404" s="194">
        <f t="shared" si="38"/>
        <v>0.46879246818104869</v>
      </c>
      <c r="U404" s="194">
        <f t="shared" si="39"/>
        <v>0.7395854709624462</v>
      </c>
      <c r="V404">
        <f>IFERROR(IF((N404-G404)&gt;0,(IFERROR(N404-G404,"")),""),"")</f>
        <v>54</v>
      </c>
      <c r="W404" s="194">
        <f t="shared" si="40"/>
        <v>0.15073828228070896</v>
      </c>
      <c r="X404" s="194">
        <f t="shared" si="41"/>
        <v>1.5014939369033172E-2</v>
      </c>
      <c r="Y404" s="252" t="str">
        <f>IF(ISNUMBER(SEARCH("C",'WetLitterbags placem_collection'!$Y111)),"YES","NO")</f>
        <v>NO</v>
      </c>
      <c r="Z404" s="252" t="str">
        <f>IF(ISNUMBER(SEARCH("H", 'WetLitterbags placem_collection'!$Y111)),"YES","NO")</f>
        <v>NO</v>
      </c>
      <c r="AA404" s="252" t="str">
        <f>IF(ISNUMBER(SEARCH("R", 'WetLitterbags placem_collection'!$Y111)),"YES","NO")</f>
        <v>NO</v>
      </c>
      <c r="AB404" s="252" t="str">
        <f>IF(ISNUMBER(SEARCH("C", 'WetLitterbags placem_collection'!$W111)),"YES","NO")</f>
        <v>NO</v>
      </c>
      <c r="AC404" s="252" t="str">
        <f>IF(ISNUMBER(SEARCH("H", 'WetLitterbags placem_collection'!$W111)),"YES","NO")</f>
        <v>NO</v>
      </c>
      <c r="AD404" s="252" t="str">
        <f>IF(ISNUMBER(SEARCH("R", 'WetLitterbags placem_collection'!$W111)),"YES","NO")</f>
        <v>NO</v>
      </c>
    </row>
    <row r="405" spans="2:30">
      <c r="B405" t="str">
        <f>'Final data_for_R_analysis_Wetse'!A551</f>
        <v>Wet</v>
      </c>
      <c r="C405" s="260">
        <f>'Final data_for_R_analysis_Wetse'!B551</f>
        <v>110</v>
      </c>
      <c r="D405" t="s">
        <v>3817</v>
      </c>
      <c r="E405" t="s">
        <v>25</v>
      </c>
      <c r="F405" s="382">
        <v>6</v>
      </c>
      <c r="G405" s="16">
        <f>'WetLitterbags placem_collection'!E112</f>
        <v>42762</v>
      </c>
      <c r="H405" s="92" t="str">
        <f>'Final data_for_R_analysis_Wetse'!K551</f>
        <v>G882</v>
      </c>
      <c r="I405" t="str">
        <f>'Final data_for_R_analysis_Wetse'!K771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35"/>
        <v>1.8481999999999998</v>
      </c>
      <c r="M405" s="194">
        <f>IF(K405&gt;0,(K405*$F$32-($F$29+$F$30)),"")</f>
        <v>1.9571999999999998</v>
      </c>
      <c r="N405" s="16">
        <f>IF('WetLitterbags placem_collection'!G112="","",'WetLitterbags placem_collection'!G112)</f>
        <v>42816</v>
      </c>
      <c r="O405" s="194">
        <f>IFERROR(INDEX('Both teabags AfterWet'!$C$3:$C$2000,MATCH(H405,'Both teabags AfterWet'!$A$3:$A$2000,0)),"")</f>
        <v>0.56669999999999998</v>
      </c>
      <c r="P405" s="194">
        <f>IFERROR(INDEX('Both teabags AfterWet'!$C$3:$C$2000,MATCH(I405,'Both teabags AfterWet'!$A$3:$A$2000,0)),"")</f>
        <v>1.4870000000000001</v>
      </c>
      <c r="Q405" s="194">
        <f t="shared" si="36"/>
        <v>0.41609999999999997</v>
      </c>
      <c r="R405" s="194">
        <f t="shared" si="36"/>
        <v>1.3364</v>
      </c>
      <c r="S405" s="194">
        <f t="shared" si="37"/>
        <v>0.77486202791905634</v>
      </c>
      <c r="T405" s="194">
        <f t="shared" si="38"/>
        <v>0.50798555749562846</v>
      </c>
      <c r="U405" s="194">
        <f t="shared" si="39"/>
        <v>0.68281218066625804</v>
      </c>
      <c r="V405">
        <f>IFERROR(IF((N405-G405)&gt;0,(IFERROR(N405-G405,"")),""),"")</f>
        <v>54</v>
      </c>
      <c r="W405" s="194">
        <f t="shared" si="40"/>
        <v>7.9736308884731155E-2</v>
      </c>
      <c r="X405" s="194">
        <f t="shared" si="41"/>
        <v>1.8134057640762067E-2</v>
      </c>
      <c r="Y405" s="252" t="str">
        <f>IF(ISNUMBER(SEARCH("C",'WetLitterbags placem_collection'!$Y112)),"YES","NO")</f>
        <v>NO</v>
      </c>
      <c r="Z405" s="252" t="str">
        <f>IF(ISNUMBER(SEARCH("H", 'WetLitterbags placem_collection'!$Y112)),"YES","NO")</f>
        <v>NO</v>
      </c>
      <c r="AA405" s="252" t="str">
        <f>IF(ISNUMBER(SEARCH("R", 'WetLitterbags placem_collection'!$Y112)),"YES","NO")</f>
        <v>YES</v>
      </c>
      <c r="AB405" s="252" t="str">
        <f>IF(ISNUMBER(SEARCH("C", 'WetLitterbags placem_collection'!$W112)),"YES","NO")</f>
        <v>NO</v>
      </c>
      <c r="AC405" s="252" t="str">
        <f>IF(ISNUMBER(SEARCH("H", 'WetLitterbags placem_collection'!$W112)),"YES","NO")</f>
        <v>NO</v>
      </c>
      <c r="AD405" s="252" t="str">
        <f>IF(ISNUMBER(SEARCH("R", 'WetLitterbags placem_collection'!$W112)),"YES","NO")</f>
        <v>NO</v>
      </c>
    </row>
    <row r="406" spans="2:30">
      <c r="B406" t="str">
        <f>'Final data_for_R_analysis_Wetse'!A552</f>
        <v>Wet</v>
      </c>
      <c r="C406" s="260">
        <f>'Final data_for_R_analysis_Wetse'!B552</f>
        <v>111</v>
      </c>
      <c r="D406" t="s">
        <v>3817</v>
      </c>
      <c r="E406" t="s">
        <v>25</v>
      </c>
      <c r="F406" s="382">
        <v>7</v>
      </c>
      <c r="G406" s="16">
        <f>'WetLitterbags placem_collection'!E113</f>
        <v>42762</v>
      </c>
      <c r="H406" s="92" t="str">
        <f>'Final data_for_R_analysis_Wetse'!K552</f>
        <v>G695</v>
      </c>
      <c r="I406" t="str">
        <f>'Final data_for_R_analysis_Wetse'!K772</f>
        <v>R487</v>
      </c>
      <c r="J406">
        <f>IFERROR(INDEX('Green_rooibos initial weight'!$C$5:$C$2000,MATCH(H406, 'Green_rooibos initial weight'!$A$5:$A$2000,0)),"")</f>
        <v>2.0190000000000001</v>
      </c>
      <c r="K406">
        <f>IFERROR(INDEX('Green_rooibos initial weight'!$C$5:$C$2000,MATCH(I406, 'Green_rooibos initial weight'!$A$5:$A$2000,0)),"")</f>
        <v>2.222</v>
      </c>
      <c r="L406" s="194">
        <f t="shared" si="35"/>
        <v>1.7692000000000001</v>
      </c>
      <c r="M406" s="194">
        <f>IF(K406&gt;0,(K406*$F$32-($F$29+$F$30)),"")</f>
        <v>1.9722</v>
      </c>
      <c r="N406" s="16">
        <f>IF('WetLitterbags placem_collection'!G113="","",'WetLitterbags placem_collection'!G113)</f>
        <v>42816</v>
      </c>
      <c r="O406" s="194">
        <f>IFERROR(INDEX('Both teabags AfterWet'!$C$3:$C$2000,MATCH(H406,'Both teabags AfterWet'!$A$3:$A$2000,0)),"")</f>
        <v>0.621</v>
      </c>
      <c r="P406" s="194">
        <f>IFERROR(INDEX('Both teabags AfterWet'!$C$3:$C$2000,MATCH(I406,'Both teabags AfterWet'!$A$3:$A$2000,0)),"")</f>
        <v>1.609</v>
      </c>
      <c r="Q406" s="194">
        <f t="shared" si="36"/>
        <v>0.47039999999999998</v>
      </c>
      <c r="R406" s="194">
        <f t="shared" si="36"/>
        <v>1.4583999999999999</v>
      </c>
      <c r="S406" s="194">
        <f t="shared" si="37"/>
        <v>0.73411711508026234</v>
      </c>
      <c r="T406" s="194">
        <f t="shared" si="38"/>
        <v>0.48127392817613407</v>
      </c>
      <c r="U406" s="194">
        <f t="shared" si="39"/>
        <v>0.73947875469019364</v>
      </c>
      <c r="V406">
        <f>IFERROR(IF((N406-G406)&gt;0,(IFERROR(N406-G406,"")),""),"")</f>
        <v>54</v>
      </c>
      <c r="W406" s="194">
        <f t="shared" si="40"/>
        <v>0.12812694170990213</v>
      </c>
      <c r="X406" s="194">
        <f t="shared" si="41"/>
        <v>1.4433215044932593E-2</v>
      </c>
      <c r="Y406" s="252" t="str">
        <f>IF(ISNUMBER(SEARCH("C",'WetLitterbags placem_collection'!$Y113)),"YES","NO")</f>
        <v>NO</v>
      </c>
      <c r="Z406" s="252" t="str">
        <f>IF(ISNUMBER(SEARCH("H", 'WetLitterbags placem_collection'!$Y113)),"YES","NO")</f>
        <v>NO</v>
      </c>
      <c r="AA406" s="252" t="str">
        <f>IF(ISNUMBER(SEARCH("R", 'WetLitterbags placem_collection'!$Y113)),"YES","NO")</f>
        <v>NO</v>
      </c>
      <c r="AB406" s="252" t="str">
        <f>IF(ISNUMBER(SEARCH("C", 'WetLitterbags placem_collection'!$W113)),"YES","NO")</f>
        <v>NO</v>
      </c>
      <c r="AC406" s="252" t="str">
        <f>IF(ISNUMBER(SEARCH("H", 'WetLitterbags placem_collection'!$W113)),"YES","NO")</f>
        <v>NO</v>
      </c>
      <c r="AD406" s="252" t="str">
        <f>IF(ISNUMBER(SEARCH("R", 'WetLitterbags placem_collection'!$W113)),"YES","NO")</f>
        <v>NO</v>
      </c>
    </row>
    <row r="407" spans="2:30">
      <c r="B407" t="str">
        <f>'Final data_for_R_analysis_Wetse'!A553</f>
        <v>Wet</v>
      </c>
      <c r="C407" s="260">
        <f>'Final data_for_R_analysis_Wetse'!B553</f>
        <v>112</v>
      </c>
      <c r="D407" t="s">
        <v>3817</v>
      </c>
      <c r="E407" t="s">
        <v>25</v>
      </c>
      <c r="F407" s="382">
        <v>8</v>
      </c>
      <c r="G407" s="16">
        <f>'WetLitterbags placem_collection'!E114</f>
        <v>42762</v>
      </c>
      <c r="H407" s="92" t="str">
        <f>'Final data_for_R_analysis_Wetse'!K553</f>
        <v>G852</v>
      </c>
      <c r="I407" t="str">
        <f>'Final data_for_R_analysis_Wetse'!K773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35"/>
        <v>1.8132000000000001</v>
      </c>
      <c r="M407" s="194">
        <f>IF(K407&gt;0,(K407*$F$32-($F$29+$F$30)),"")</f>
        <v>1.9161999999999999</v>
      </c>
      <c r="N407" s="16">
        <f>IF('WetLitterbags placem_collection'!G114="","",'WetLitterbags placem_collection'!G114)</f>
        <v>42816</v>
      </c>
      <c r="O407" s="194">
        <f>IFERROR(INDEX('Both teabags AfterWet'!$C$3:$C$2000,MATCH(H407,'Both teabags AfterWet'!$A$3:$A$2000,0)),"")</f>
        <v>0.69799999999999995</v>
      </c>
      <c r="P407" s="194">
        <f>IFERROR(INDEX('Both teabags AfterWet'!$C$3:$C$2000,MATCH(I407,'Both teabags AfterWet'!$A$3:$A$2000,0)),"")</f>
        <v>1.627</v>
      </c>
      <c r="Q407" s="194">
        <f t="shared" si="36"/>
        <v>0.54739999999999989</v>
      </c>
      <c r="R407" s="194">
        <f t="shared" si="36"/>
        <v>1.4763999999999999</v>
      </c>
      <c r="S407" s="194">
        <f t="shared" si="37"/>
        <v>0.698102801676594</v>
      </c>
      <c r="T407" s="194">
        <f t="shared" si="38"/>
        <v>0.45766359444831345</v>
      </c>
      <c r="U407" s="194">
        <f t="shared" si="39"/>
        <v>0.77048324809518842</v>
      </c>
      <c r="V407">
        <f>IFERROR(IF((N407-G407)&gt;0,(IFERROR(N407-G407,"")),""),"")</f>
        <v>54</v>
      </c>
      <c r="W407" s="194">
        <f t="shared" si="40"/>
        <v>0.1708992854197221</v>
      </c>
      <c r="X407" s="194">
        <f t="shared" si="41"/>
        <v>1.2891572896339309E-2</v>
      </c>
      <c r="Y407" s="252" t="str">
        <f>IF(ISNUMBER(SEARCH("C",'WetLitterbags placem_collection'!$Y114)),"YES","NO")</f>
        <v>NO</v>
      </c>
      <c r="Z407" s="252" t="str">
        <f>IF(ISNUMBER(SEARCH("H", 'WetLitterbags placem_collection'!$Y114)),"YES","NO")</f>
        <v>NO</v>
      </c>
      <c r="AA407" s="252" t="str">
        <f>IF(ISNUMBER(SEARCH("R", 'WetLitterbags placem_collection'!$Y114)),"YES","NO")</f>
        <v>NO</v>
      </c>
      <c r="AB407" s="252" t="str">
        <f>IF(ISNUMBER(SEARCH("C", 'WetLitterbags placem_collection'!$W114)),"YES","NO")</f>
        <v>NO</v>
      </c>
      <c r="AC407" s="252" t="str">
        <f>IF(ISNUMBER(SEARCH("H", 'WetLitterbags placem_collection'!$W114)),"YES","NO")</f>
        <v>NO</v>
      </c>
      <c r="AD407" s="252" t="str">
        <f>IF(ISNUMBER(SEARCH("R", 'WetLitterbags placem_collection'!$W114)),"YES","NO")</f>
        <v>YES</v>
      </c>
    </row>
    <row r="408" spans="2:30">
      <c r="B408" t="str">
        <f>'Final data_for_R_analysis_Wetse'!A554</f>
        <v>Wet</v>
      </c>
      <c r="C408" s="260">
        <f>'Final data_for_R_analysis_Wetse'!B554</f>
        <v>113</v>
      </c>
      <c r="D408" t="s">
        <v>3818</v>
      </c>
      <c r="E408" t="s">
        <v>25</v>
      </c>
      <c r="F408" s="381">
        <v>1</v>
      </c>
      <c r="G408" s="16">
        <f>'WetLitterbags placem_collection'!E115</f>
        <v>42762</v>
      </c>
      <c r="H408" s="92" t="str">
        <f>'Final data_for_R_analysis_Wetse'!K554</f>
        <v>G769</v>
      </c>
      <c r="I408" t="str">
        <f>'Final data_for_R_analysis_Wetse'!K774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35"/>
        <v>1.8052000000000001</v>
      </c>
      <c r="M408" s="194">
        <f>IF(K408&gt;0,(K408*$F$32-($F$29+$F$30)),"")</f>
        <v>1.8761999999999999</v>
      </c>
      <c r="N408" s="16">
        <f>IF('WetLitterbags placem_collection'!G115="","",'WetLitterbags placem_collection'!G115)</f>
        <v>42816</v>
      </c>
      <c r="O408" s="194">
        <f>IFERROR(INDEX('Both teabags AfterWet'!$C$3:$C$2000,MATCH(H408,'Both teabags AfterWet'!$A$3:$A$2000,0)),"")</f>
        <v>0.70799999999999996</v>
      </c>
      <c r="P408" s="194">
        <f>IFERROR(INDEX('Both teabags AfterWet'!$C$3:$C$2000,MATCH(I408,'Both teabags AfterWet'!$A$3:$A$2000,0)),"")</f>
        <v>1.421</v>
      </c>
      <c r="Q408" s="194">
        <f t="shared" si="36"/>
        <v>0.5573999999999999</v>
      </c>
      <c r="R408" s="194">
        <f t="shared" si="36"/>
        <v>1.2704</v>
      </c>
      <c r="S408" s="194">
        <f t="shared" si="37"/>
        <v>0.69122534899180155</v>
      </c>
      <c r="T408" s="194">
        <f t="shared" si="38"/>
        <v>0.45315486062170368</v>
      </c>
      <c r="U408" s="194">
        <f t="shared" si="39"/>
        <v>0.67711331414561349</v>
      </c>
      <c r="V408">
        <f>IFERROR(IF((N408-G408)&gt;0,(IFERROR(N408-G408,"")),""),"")</f>
        <v>54</v>
      </c>
      <c r="W408" s="194">
        <f t="shared" si="40"/>
        <v>0.1790672814824209</v>
      </c>
      <c r="X408" s="194">
        <f t="shared" si="41"/>
        <v>2.3085902116310231E-2</v>
      </c>
      <c r="Y408" s="252" t="str">
        <f>IF(ISNUMBER(SEARCH("C",'WetLitterbags placem_collection'!$Y115)),"YES","NO")</f>
        <v>NO</v>
      </c>
      <c r="Z408" s="252" t="str">
        <f>IF(ISNUMBER(SEARCH("H", 'WetLitterbags placem_collection'!$Y115)),"YES","NO")</f>
        <v>NO</v>
      </c>
      <c r="AA408" s="252" t="str">
        <f>IF(ISNUMBER(SEARCH("R", 'WetLitterbags placem_collection'!$Y115)),"YES","NO")</f>
        <v>YES</v>
      </c>
      <c r="AB408" s="252" t="str">
        <f>IF(ISNUMBER(SEARCH("C", 'WetLitterbags placem_collection'!$W115)),"YES","NO")</f>
        <v>NO</v>
      </c>
      <c r="AC408" s="252" t="str">
        <f>IF(ISNUMBER(SEARCH("H", 'WetLitterbags placem_collection'!$W115)),"YES","NO")</f>
        <v>YES</v>
      </c>
      <c r="AD408" s="252" t="str">
        <f>IF(ISNUMBER(SEARCH("R", 'WetLitterbags placem_collection'!$W115)),"YES","NO")</f>
        <v>YES</v>
      </c>
    </row>
    <row r="409" spans="2:30">
      <c r="B409" t="str">
        <f>'Final data_for_R_analysis_Wetse'!A555</f>
        <v>Wet</v>
      </c>
      <c r="C409" s="260">
        <f>'Final data_for_R_analysis_Wetse'!B555</f>
        <v>114</v>
      </c>
      <c r="D409" t="s">
        <v>3818</v>
      </c>
      <c r="E409" t="s">
        <v>25</v>
      </c>
      <c r="F409" s="381">
        <v>2</v>
      </c>
      <c r="G409" s="16">
        <f>'WetLitterbags placem_collection'!E116</f>
        <v>42762</v>
      </c>
      <c r="H409" s="92" t="str">
        <f>'Final data_for_R_analysis_Wetse'!K555</f>
        <v>G889</v>
      </c>
      <c r="I409" t="str">
        <f>'Final data_for_R_analysis_Wetse'!K775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35"/>
        <v>1.7332000000000001</v>
      </c>
      <c r="M409" s="194">
        <f>IF(K409&gt;0,(K409*$F$32-($F$29+$F$30)),"")</f>
        <v>1.8481999999999998</v>
      </c>
      <c r="N409" s="16">
        <f>IF('WetLitterbags placem_collection'!G116="","",'WetLitterbags placem_collection'!G116)</f>
        <v>42816</v>
      </c>
      <c r="O409" s="194">
        <f>IFERROR(INDEX('Both teabags AfterWet'!$C$3:$C$2000,MATCH(H409,'Both teabags AfterWet'!$A$3:$A$2000,0)),"")</f>
        <v>0.65700000000000003</v>
      </c>
      <c r="P409" s="194">
        <f>IFERROR(INDEX('Both teabags AfterWet'!$C$3:$C$2000,MATCH(I409,'Both teabags AfterWet'!$A$3:$A$2000,0)),"")</f>
        <v>1.504</v>
      </c>
      <c r="Q409" s="194">
        <f t="shared" si="36"/>
        <v>0.50639999999999996</v>
      </c>
      <c r="R409" s="194">
        <f t="shared" si="36"/>
        <v>1.3533999999999999</v>
      </c>
      <c r="S409" s="194">
        <f t="shared" si="37"/>
        <v>0.7078236787445189</v>
      </c>
      <c r="T409" s="194">
        <f t="shared" si="38"/>
        <v>0.46403642597027844</v>
      </c>
      <c r="U409" s="194">
        <f t="shared" si="39"/>
        <v>0.73228005627096637</v>
      </c>
      <c r="V409">
        <f>IFERROR(IF((N409-G409)&gt;0,(IFERROR(N409-G409,"")),""),"")</f>
        <v>54</v>
      </c>
      <c r="W409" s="194">
        <f t="shared" si="40"/>
        <v>0.15935430077848112</v>
      </c>
      <c r="X409" s="194">
        <f t="shared" si="41"/>
        <v>1.59302776126528E-2</v>
      </c>
      <c r="Y409" s="252" t="str">
        <f>IF(ISNUMBER(SEARCH("C",'WetLitterbags placem_collection'!$Y116)),"YES","NO")</f>
        <v>NO</v>
      </c>
      <c r="Z409" s="252" t="str">
        <f>IF(ISNUMBER(SEARCH("H", 'WetLitterbags placem_collection'!$Y116)),"YES","NO")</f>
        <v>NO</v>
      </c>
      <c r="AA409" s="252" t="str">
        <f>IF(ISNUMBER(SEARCH("R", 'WetLitterbags placem_collection'!$Y116)),"YES","NO")</f>
        <v>NO</v>
      </c>
      <c r="AB409" s="252" t="str">
        <f>IF(ISNUMBER(SEARCH("C", 'WetLitterbags placem_collection'!$W116)),"YES","NO")</f>
        <v>NO</v>
      </c>
      <c r="AC409" s="252" t="str">
        <f>IF(ISNUMBER(SEARCH("H", 'WetLitterbags placem_collection'!$W116)),"YES","NO")</f>
        <v>YES</v>
      </c>
      <c r="AD409" s="252" t="str">
        <f>IF(ISNUMBER(SEARCH("R", 'WetLitterbags placem_collection'!$W116)),"YES","NO")</f>
        <v>YES</v>
      </c>
    </row>
    <row r="410" spans="2:30">
      <c r="B410" t="str">
        <f>'Final data_for_R_analysis_Wetse'!A556</f>
        <v>Wet</v>
      </c>
      <c r="C410" s="260">
        <f>'Final data_for_R_analysis_Wetse'!B556</f>
        <v>115</v>
      </c>
      <c r="D410" t="s">
        <v>3818</v>
      </c>
      <c r="E410" t="s">
        <v>25</v>
      </c>
      <c r="F410" s="381">
        <v>3</v>
      </c>
      <c r="G410" s="16">
        <f>'WetLitterbags placem_collection'!E117</f>
        <v>42762</v>
      </c>
      <c r="H410" s="92" t="str">
        <f>'Final data_for_R_analysis_Wetse'!K556</f>
        <v>G778</v>
      </c>
      <c r="I410" t="str">
        <f>'Final data_for_R_analysis_Wetse'!K776</f>
        <v>R522</v>
      </c>
      <c r="J410">
        <f>IFERROR(INDEX('Green_rooibos initial weight'!$C$5:$C$2000,MATCH(H410, 'Green_rooibos initial weight'!$A$5:$A$2000,0)),"")</f>
        <v>1.992</v>
      </c>
      <c r="K410">
        <f>IFERROR(INDEX('Green_rooibos initial weight'!$C$5:$C$2000,MATCH(I410, 'Green_rooibos initial weight'!$A$5:$A$2000,0)),"")</f>
        <v>2.1819999999999999</v>
      </c>
      <c r="L410" s="194">
        <f t="shared" si="35"/>
        <v>1.7422</v>
      </c>
      <c r="M410" s="194">
        <f>IF(K410&gt;0,(K410*$F$32-($F$29+$F$30)),"")</f>
        <v>1.9321999999999999</v>
      </c>
      <c r="N410" s="16">
        <f>IF('WetLitterbags placem_collection'!G117="","",'WetLitterbags placem_collection'!G117)</f>
        <v>42816</v>
      </c>
      <c r="O410" s="194">
        <f>IFERROR(INDEX('Both teabags AfterWet'!$C$3:$C$2000,MATCH(H410,'Both teabags AfterWet'!$A$3:$A$2000,0)),"")</f>
        <v>0.73709999999999998</v>
      </c>
      <c r="P410" s="194">
        <f>IFERROR(INDEX('Both teabags AfterWet'!$C$3:$C$2000,MATCH(I410,'Both teabags AfterWet'!$A$3:$A$2000,0)),"")</f>
        <v>1.401</v>
      </c>
      <c r="Q410" s="194">
        <f t="shared" si="36"/>
        <v>0.58650000000000002</v>
      </c>
      <c r="R410" s="194">
        <f t="shared" si="36"/>
        <v>1.2504</v>
      </c>
      <c r="S410" s="194">
        <f t="shared" si="37"/>
        <v>0.66335667546779931</v>
      </c>
      <c r="T410" s="194">
        <f t="shared" si="38"/>
        <v>0.43488466135181147</v>
      </c>
      <c r="U410" s="194">
        <f t="shared" si="39"/>
        <v>0.64713797743504808</v>
      </c>
      <c r="V410">
        <f>IFERROR(IF((N410-G410)&gt;0,(IFERROR(N410-G410,"")),""),"")</f>
        <v>54</v>
      </c>
      <c r="W410" s="194">
        <f t="shared" si="40"/>
        <v>0.21216546856555896</v>
      </c>
      <c r="X410" s="194">
        <f t="shared" si="41"/>
        <v>3.0890473290490935E-2</v>
      </c>
      <c r="Y410" s="252" t="str">
        <f>IF(ISNUMBER(SEARCH("C",'WetLitterbags placem_collection'!$Y117)),"YES","NO")</f>
        <v>NO</v>
      </c>
      <c r="Z410" s="252" t="str">
        <f>IF(ISNUMBER(SEARCH("H", 'WetLitterbags placem_collection'!$Y117)),"YES","NO")</f>
        <v>NO</v>
      </c>
      <c r="AA410" s="252" t="str">
        <f>IF(ISNUMBER(SEARCH("R", 'WetLitterbags placem_collection'!$Y117)),"YES","NO")</f>
        <v>YES</v>
      </c>
      <c r="AB410" s="252" t="str">
        <f>IF(ISNUMBER(SEARCH("C", 'WetLitterbags placem_collection'!$W117)),"YES","NO")</f>
        <v>NO</v>
      </c>
      <c r="AC410" s="252" t="str">
        <f>IF(ISNUMBER(SEARCH("H", 'WetLitterbags placem_collection'!$W117)),"YES","NO")</f>
        <v>YES</v>
      </c>
      <c r="AD410" s="252" t="str">
        <f>IF(ISNUMBER(SEARCH("R", 'WetLitterbags placem_collection'!$W117)),"YES","NO")</f>
        <v>YES</v>
      </c>
    </row>
    <row r="411" spans="2:30">
      <c r="B411" t="str">
        <f>'Final data_for_R_analysis_Wetse'!A557</f>
        <v>Wet</v>
      </c>
      <c r="C411" s="260">
        <f>'Final data_for_R_analysis_Wetse'!B557</f>
        <v>116</v>
      </c>
      <c r="D411" t="s">
        <v>3818</v>
      </c>
      <c r="E411" t="s">
        <v>25</v>
      </c>
      <c r="F411" s="382">
        <v>4</v>
      </c>
      <c r="G411" s="16">
        <f>'WetLitterbags placem_collection'!E118</f>
        <v>42762</v>
      </c>
      <c r="H411" s="92" t="str">
        <f>'Final data_for_R_analysis_Wetse'!K557</f>
        <v>G563</v>
      </c>
      <c r="I411" t="str">
        <f>'Final data_for_R_analysis_Wetse'!K777</f>
        <v>R480</v>
      </c>
      <c r="J411">
        <f>IFERROR(INDEX('Green_rooibos initial weight'!$C$5:$C$2000,MATCH(H411, 'Green_rooibos initial weight'!$A$5:$A$2000,0)),"")</f>
        <v>1.9390000000000001</v>
      </c>
      <c r="K411">
        <f>IFERROR(INDEX('Green_rooibos initial weight'!$C$5:$C$2000,MATCH(I411, 'Green_rooibos initial weight'!$A$5:$A$2000,0)),"")</f>
        <v>2.17</v>
      </c>
      <c r="L411" s="194">
        <f t="shared" si="35"/>
        <v>1.6892</v>
      </c>
      <c r="M411" s="194">
        <f>IF(K411&gt;0,(K411*$F$32-($F$29+$F$30)),"")</f>
        <v>1.9201999999999999</v>
      </c>
      <c r="N411" s="16">
        <f>IF('WetLitterbags placem_collection'!G118="","",'WetLitterbags placem_collection'!G118)</f>
        <v>42816</v>
      </c>
      <c r="O411" s="194">
        <f>IFERROR(INDEX('Both teabags AfterWet'!$C$3:$C$2000,MATCH(H411,'Both teabags AfterWet'!$A$3:$A$2000,0)),"")</f>
        <v>0.61660000000000004</v>
      </c>
      <c r="P411" s="194">
        <f>IFERROR(INDEX('Both teabags AfterWet'!$C$3:$C$2000,MATCH(I411,'Both teabags AfterWet'!$A$3:$A$2000,0)),"")</f>
        <v>1.4859</v>
      </c>
      <c r="Q411" s="194">
        <f t="shared" si="36"/>
        <v>0.46600000000000003</v>
      </c>
      <c r="R411" s="194">
        <f t="shared" si="36"/>
        <v>1.3352999999999999</v>
      </c>
      <c r="S411" s="194">
        <f t="shared" si="37"/>
        <v>0.72412976556950037</v>
      </c>
      <c r="T411" s="194">
        <f t="shared" si="38"/>
        <v>0.47472640213107392</v>
      </c>
      <c r="U411" s="194">
        <f t="shared" si="39"/>
        <v>0.69539631288407455</v>
      </c>
      <c r="V411">
        <f>IFERROR(IF((N411-G411)&gt;0,(IFERROR(N411-G411,"")),""),"")</f>
        <v>54</v>
      </c>
      <c r="W411" s="194">
        <f t="shared" si="40"/>
        <v>0.13998840193646034</v>
      </c>
      <c r="X411" s="194">
        <f t="shared" si="41"/>
        <v>1.9004048387074257E-2</v>
      </c>
      <c r="Y411" s="252" t="str">
        <f>IF(ISNUMBER(SEARCH("C",'WetLitterbags placem_collection'!$Y118)),"YES","NO")</f>
        <v>NO</v>
      </c>
      <c r="Z411" s="252" t="str">
        <f>IF(ISNUMBER(SEARCH("H", 'WetLitterbags placem_collection'!$Y118)),"YES","NO")</f>
        <v>NO</v>
      </c>
      <c r="AA411" s="252" t="str">
        <f>IF(ISNUMBER(SEARCH("R", 'WetLitterbags placem_collection'!$Y118)),"YES","NO")</f>
        <v>YES</v>
      </c>
      <c r="AB411" s="252" t="str">
        <f>IF(ISNUMBER(SEARCH("C", 'WetLitterbags placem_collection'!$W118)),"YES","NO")</f>
        <v>NO</v>
      </c>
      <c r="AC411" s="252" t="str">
        <f>IF(ISNUMBER(SEARCH("H", 'WetLitterbags placem_collection'!$W118)),"YES","NO")</f>
        <v>YES</v>
      </c>
      <c r="AD411" s="252" t="str">
        <f>IF(ISNUMBER(SEARCH("R", 'WetLitterbags placem_collection'!$W118)),"YES","NO")</f>
        <v>YES</v>
      </c>
    </row>
    <row r="412" spans="2:30">
      <c r="B412" t="str">
        <f>'Final data_for_R_analysis_Wetse'!A558</f>
        <v>Wet</v>
      </c>
      <c r="C412" s="260">
        <f>'Final data_for_R_analysis_Wetse'!B558</f>
        <v>117</v>
      </c>
      <c r="D412" t="s">
        <v>3818</v>
      </c>
      <c r="E412" t="s">
        <v>25</v>
      </c>
      <c r="F412" s="382">
        <v>5</v>
      </c>
      <c r="G412" s="16">
        <f>'WetLitterbags placem_collection'!E119</f>
        <v>42762</v>
      </c>
      <c r="H412" s="92" t="str">
        <f>'Final data_for_R_analysis_Wetse'!K558</f>
        <v>G901</v>
      </c>
      <c r="I412" t="str">
        <f>'Final data_for_R_analysis_Wetse'!K778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35"/>
        <v>1.7772000000000001</v>
      </c>
      <c r="M412" s="194">
        <f>IF(K412&gt;0,(K412*$F$32-($F$29+$F$30)),"")</f>
        <v>1.8151999999999999</v>
      </c>
      <c r="N412" s="16">
        <f>IF('WetLitterbags placem_collection'!G119="","",'WetLitterbags placem_collection'!G119)</f>
        <v>42816</v>
      </c>
      <c r="O412" s="194">
        <f>IFERROR(INDEX('Both teabags AfterWet'!$C$3:$C$2000,MATCH(H412,'Both teabags AfterWet'!$A$3:$A$2000,0)),"")</f>
        <v>0.621</v>
      </c>
      <c r="P412" s="194">
        <f>IFERROR(INDEX('Both teabags AfterWet'!$C$3:$C$2000,MATCH(I412,'Both teabags AfterWet'!$A$3:$A$2000,0)),"")</f>
        <v>1.343</v>
      </c>
      <c r="Q412" s="194">
        <f t="shared" si="36"/>
        <v>0.47039999999999998</v>
      </c>
      <c r="R412" s="194">
        <f t="shared" si="36"/>
        <v>1.1923999999999999</v>
      </c>
      <c r="S412" s="194">
        <f t="shared" si="37"/>
        <v>0.73531397704253887</v>
      </c>
      <c r="T412" s="194">
        <f t="shared" si="38"/>
        <v>0.48205856927254337</v>
      </c>
      <c r="U412" s="194">
        <f t="shared" si="39"/>
        <v>0.65689731159100928</v>
      </c>
      <c r="V412">
        <f>IFERROR(IF((N412-G412)&gt;0,(IFERROR(N412-G412,"")),""),"")</f>
        <v>54</v>
      </c>
      <c r="W412" s="194">
        <f t="shared" si="40"/>
        <v>0.12670549044829105</v>
      </c>
      <c r="X412" s="194">
        <f t="shared" si="41"/>
        <v>2.303535445914769E-2</v>
      </c>
      <c r="Y412" s="252" t="str">
        <f>IF(ISNUMBER(SEARCH("C",'WetLitterbags placem_collection'!$Y119)),"YES","NO")</f>
        <v>NO</v>
      </c>
      <c r="Z412" s="252" t="str">
        <f>IF(ISNUMBER(SEARCH("H", 'WetLitterbags placem_collection'!$Y119)),"YES","NO")</f>
        <v>NO</v>
      </c>
      <c r="AA412" s="252" t="str">
        <f>IF(ISNUMBER(SEARCH("R", 'WetLitterbags placem_collection'!$Y119)),"YES","NO")</f>
        <v>NO</v>
      </c>
      <c r="AB412" s="252" t="str">
        <f>IF(ISNUMBER(SEARCH("C", 'WetLitterbags placem_collection'!$W119)),"YES","NO")</f>
        <v>NO</v>
      </c>
      <c r="AC412" s="252" t="str">
        <f>IF(ISNUMBER(SEARCH("H", 'WetLitterbags placem_collection'!$W119)),"YES","NO")</f>
        <v>YES</v>
      </c>
      <c r="AD412" s="252" t="str">
        <f>IF(ISNUMBER(SEARCH("R", 'WetLitterbags placem_collection'!$W119)),"YES","NO")</f>
        <v>YES</v>
      </c>
    </row>
    <row r="413" spans="2:30">
      <c r="B413" t="str">
        <f>'Final data_for_R_analysis_Wetse'!A559</f>
        <v>Wet</v>
      </c>
      <c r="C413" s="260">
        <f>'Final data_for_R_analysis_Wetse'!B559</f>
        <v>118</v>
      </c>
      <c r="D413" t="s">
        <v>3818</v>
      </c>
      <c r="E413" t="s">
        <v>25</v>
      </c>
      <c r="F413" s="382">
        <v>6</v>
      </c>
      <c r="G413" s="16">
        <f>'WetLitterbags placem_collection'!E120</f>
        <v>42762</v>
      </c>
      <c r="H413" s="92" t="str">
        <f>'Final data_for_R_analysis_Wetse'!K559</f>
        <v>G791</v>
      </c>
      <c r="I413" t="str">
        <f>'Final data_for_R_analysis_Wetse'!K779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35"/>
        <v>1.8182</v>
      </c>
      <c r="M413" s="194">
        <f>IF(K413&gt;0,(K413*$F$32-($F$29+$F$30)),"")</f>
        <v>1.9611999999999998</v>
      </c>
      <c r="N413" s="16">
        <f>IF('WetLitterbags placem_collection'!G120="","",'WetLitterbags placem_collection'!G120)</f>
        <v>42816</v>
      </c>
      <c r="O413" s="194">
        <f>IFERROR(INDEX('Both teabags AfterWet'!$C$3:$C$2000,MATCH(H413,'Both teabags AfterWet'!$A$3:$A$2000,0)),"")</f>
        <v>0.64600000000000002</v>
      </c>
      <c r="P413" s="194">
        <f>IFERROR(INDEX('Both teabags AfterWet'!$C$3:$C$2000,MATCH(I413,'Both teabags AfterWet'!$A$3:$A$2000,0)),"")</f>
        <v>1.599</v>
      </c>
      <c r="Q413" s="194">
        <f t="shared" si="36"/>
        <v>0.49540000000000001</v>
      </c>
      <c r="R413" s="194">
        <f t="shared" si="36"/>
        <v>1.4483999999999999</v>
      </c>
      <c r="S413" s="194">
        <f t="shared" si="37"/>
        <v>0.72753272467275321</v>
      </c>
      <c r="T413" s="194">
        <f t="shared" si="38"/>
        <v>0.47695732068807578</v>
      </c>
      <c r="U413" s="194">
        <f t="shared" si="39"/>
        <v>0.73852743218437689</v>
      </c>
      <c r="V413">
        <f>IFERROR(IF((N413-G413)&gt;0,(IFERROR(N413-G413,"")),""),"")</f>
        <v>54</v>
      </c>
      <c r="W413" s="194">
        <f t="shared" si="40"/>
        <v>0.13594688281145695</v>
      </c>
      <c r="X413" s="194">
        <f t="shared" si="41"/>
        <v>1.4713645513482476E-2</v>
      </c>
      <c r="Y413" s="252" t="str">
        <f>IF(ISNUMBER(SEARCH("C",'WetLitterbags placem_collection'!$Y120)),"YES","NO")</f>
        <v>NO</v>
      </c>
      <c r="Z413" s="252" t="str">
        <f>IF(ISNUMBER(SEARCH("H", 'WetLitterbags placem_collection'!$Y120)),"YES","NO")</f>
        <v>NO</v>
      </c>
      <c r="AA413" s="252" t="str">
        <f>IF(ISNUMBER(SEARCH("R", 'WetLitterbags placem_collection'!$Y120)),"YES","NO")</f>
        <v>NO</v>
      </c>
      <c r="AB413" s="252" t="str">
        <f>IF(ISNUMBER(SEARCH("C", 'WetLitterbags placem_collection'!$W120)),"YES","NO")</f>
        <v>NO</v>
      </c>
      <c r="AC413" s="252" t="str">
        <f>IF(ISNUMBER(SEARCH("H", 'WetLitterbags placem_collection'!$W120)),"YES","NO")</f>
        <v>YES</v>
      </c>
      <c r="AD413" s="252" t="str">
        <f>IF(ISNUMBER(SEARCH("R", 'WetLitterbags placem_collection'!$W120)),"YES","NO")</f>
        <v>NO</v>
      </c>
    </row>
    <row r="414" spans="2:30">
      <c r="B414" t="str">
        <f>'Final data_for_R_analysis_Wetse'!A560</f>
        <v>Wet</v>
      </c>
      <c r="C414" s="260">
        <f>'Final data_for_R_analysis_Wetse'!B560</f>
        <v>119</v>
      </c>
      <c r="D414" t="s">
        <v>3818</v>
      </c>
      <c r="E414" t="s">
        <v>25</v>
      </c>
      <c r="F414" s="382">
        <v>7</v>
      </c>
      <c r="G414" s="16">
        <f>'WetLitterbags placem_collection'!E121</f>
        <v>42762</v>
      </c>
      <c r="H414" s="92" t="str">
        <f>'Final data_for_R_analysis_Wetse'!K560</f>
        <v>G802</v>
      </c>
      <c r="I414" t="str">
        <f>'Final data_for_R_analysis_Wetse'!K780</f>
        <v>R526</v>
      </c>
      <c r="J414">
        <f>IFERROR(INDEX('Green_rooibos initial weight'!$C$5:$C$2000,MATCH(H414, 'Green_rooibos initial weight'!$A$5:$A$2000,0)),"")</f>
        <v>2.194</v>
      </c>
      <c r="K414">
        <f>IFERROR(INDEX('Green_rooibos initial weight'!$C$5:$C$2000,MATCH(I414, 'Green_rooibos initial weight'!$A$5:$A$2000,0)),"")</f>
        <v>2.0960000000000001</v>
      </c>
      <c r="L414" s="194">
        <f t="shared" si="35"/>
        <v>1.9441999999999999</v>
      </c>
      <c r="M414" s="194">
        <f>IF(K414&gt;0,(K414*$F$32-($F$29+$F$30)),"")</f>
        <v>1.8462000000000001</v>
      </c>
      <c r="N414" s="16">
        <f>IF('WetLitterbags placem_collection'!G121="","",'WetLitterbags placem_collection'!G121)</f>
        <v>42816</v>
      </c>
      <c r="O414" s="194">
        <f>IFERROR(INDEX('Both teabags AfterWet'!$C$3:$C$2000,MATCH(H414,'Both teabags AfterWet'!$A$3:$A$2000,0)),"")</f>
        <v>0.65200000000000002</v>
      </c>
      <c r="P414" s="194">
        <f>IFERROR(INDEX('Both teabags AfterWet'!$C$3:$C$2000,MATCH(I414,'Both teabags AfterWet'!$A$3:$A$2000,0)),"")</f>
        <v>1.3</v>
      </c>
      <c r="Q414" s="194">
        <f t="shared" si="36"/>
        <v>0.50140000000000007</v>
      </c>
      <c r="R414" s="194">
        <f t="shared" si="36"/>
        <v>1.1494</v>
      </c>
      <c r="S414" s="194">
        <f t="shared" si="37"/>
        <v>0.74210472173644682</v>
      </c>
      <c r="T414" s="194">
        <f t="shared" si="38"/>
        <v>0.48651045890560413</v>
      </c>
      <c r="U414" s="194">
        <f t="shared" si="39"/>
        <v>0.62257610226410998</v>
      </c>
      <c r="V414">
        <f>IFERROR(IF((N414-G414)&gt;0,(IFERROR(N414-G414,"")),""),"")</f>
        <v>54</v>
      </c>
      <c r="W414" s="194">
        <f t="shared" si="40"/>
        <v>0.11864047299709402</v>
      </c>
      <c r="X414" s="194">
        <f t="shared" si="41"/>
        <v>2.7687346174447333E-2</v>
      </c>
      <c r="Y414" s="252" t="str">
        <f>IF(ISNUMBER(SEARCH("C",'WetLitterbags placem_collection'!$Y121)),"YES","NO")</f>
        <v>NO</v>
      </c>
      <c r="Z414" s="252" t="str">
        <f>IF(ISNUMBER(SEARCH("H", 'WetLitterbags placem_collection'!$Y121)),"YES","NO")</f>
        <v>NO</v>
      </c>
      <c r="AA414" s="252" t="str">
        <f>IF(ISNUMBER(SEARCH("R", 'WetLitterbags placem_collection'!$Y121)),"YES","NO")</f>
        <v>YES</v>
      </c>
      <c r="AB414" s="252" t="str">
        <f>IF(ISNUMBER(SEARCH("C", 'WetLitterbags placem_collection'!$W121)),"YES","NO")</f>
        <v>NO</v>
      </c>
      <c r="AC414" s="252" t="str">
        <f>IF(ISNUMBER(SEARCH("H", 'WetLitterbags placem_collection'!$W121)),"YES","NO")</f>
        <v>YES</v>
      </c>
      <c r="AD414" s="252" t="str">
        <f>IF(ISNUMBER(SEARCH("R", 'WetLitterbags placem_collection'!$W121)),"YES","NO")</f>
        <v>NO</v>
      </c>
    </row>
    <row r="415" spans="2:30">
      <c r="B415" t="str">
        <f>'Final data_for_R_analysis_Wetse'!A561</f>
        <v>Wet</v>
      </c>
      <c r="C415" s="260">
        <f>'Final data_for_R_analysis_Wetse'!B561</f>
        <v>120</v>
      </c>
      <c r="D415" t="s">
        <v>3818</v>
      </c>
      <c r="E415" t="s">
        <v>25</v>
      </c>
      <c r="F415" s="382">
        <v>8</v>
      </c>
      <c r="G415" s="16">
        <f>'WetLitterbags placem_collection'!E122</f>
        <v>42762</v>
      </c>
      <c r="H415" s="92" t="str">
        <f>'Final data_for_R_analysis_Wetse'!K561</f>
        <v>G698</v>
      </c>
      <c r="I415" t="str">
        <f>'Final data_for_R_analysis_Wetse'!K781</f>
        <v>R594</v>
      </c>
      <c r="J415">
        <f>IFERROR(INDEX('Green_rooibos initial weight'!$C$5:$C$2000,MATCH(H415, 'Green_rooibos initial weight'!$A$5:$A$2000,0)),"")</f>
        <v>2.085</v>
      </c>
      <c r="K415">
        <f>IFERROR(INDEX('Green_rooibos initial weight'!$C$5:$C$2000,MATCH(I415, 'Green_rooibos initial weight'!$A$5:$A$2000,0)),"")</f>
        <v>2.2400000000000002</v>
      </c>
      <c r="L415" s="194">
        <f t="shared" si="35"/>
        <v>1.8351999999999999</v>
      </c>
      <c r="M415" s="194">
        <f>IF(K415&gt;0,(K415*$F$32-($F$29+$F$30)),"")</f>
        <v>1.9902000000000002</v>
      </c>
      <c r="N415" s="16">
        <f>IF('WetLitterbags placem_collection'!G122="","",'WetLitterbags placem_collection'!G122)</f>
        <v>42816</v>
      </c>
      <c r="O415" s="194">
        <f>IFERROR(INDEX('Both teabags AfterWet'!$C$3:$C$2000,MATCH(H415,'Both teabags AfterWet'!$A$3:$A$2000,0)),"")</f>
        <v>0.55310000000000004</v>
      </c>
      <c r="P415" s="194">
        <f>IFERROR(INDEX('Both teabags AfterWet'!$C$3:$C$2000,MATCH(I415,'Both teabags AfterWet'!$A$3:$A$2000,0)),"")</f>
        <v>1.4142999999999999</v>
      </c>
      <c r="Q415" s="194">
        <f t="shared" si="36"/>
        <v>0.40250000000000002</v>
      </c>
      <c r="R415" s="194">
        <f t="shared" si="36"/>
        <v>1.2636999999999998</v>
      </c>
      <c r="S415" s="194">
        <f t="shared" si="37"/>
        <v>0.78067785527462941</v>
      </c>
      <c r="T415" s="194">
        <f t="shared" si="38"/>
        <v>0.51179830892113476</v>
      </c>
      <c r="U415" s="194">
        <f t="shared" si="39"/>
        <v>0.63496131042106307</v>
      </c>
      <c r="V415">
        <f>IFERROR(IF((N415-G415)&gt;0,(IFERROR(N415-G415,"")),""),"")</f>
        <v>54</v>
      </c>
      <c r="W415" s="194">
        <f t="shared" si="40"/>
        <v>7.2829150505190676E-2</v>
      </c>
      <c r="X415" s="194">
        <f t="shared" si="41"/>
        <v>2.3132122477795371E-2</v>
      </c>
      <c r="Y415" s="252" t="str">
        <f>IF(ISNUMBER(SEARCH("C",'WetLitterbags placem_collection'!$Y122)),"YES","NO")</f>
        <v>NO</v>
      </c>
      <c r="Z415" s="252" t="str">
        <f>IF(ISNUMBER(SEARCH("H", 'WetLitterbags placem_collection'!$Y122)),"YES","NO")</f>
        <v>NO</v>
      </c>
      <c r="AA415" s="252" t="str">
        <f>IF(ISNUMBER(SEARCH("R", 'WetLitterbags placem_collection'!$Y122)),"YES","NO")</f>
        <v>YES</v>
      </c>
      <c r="AB415" s="252" t="str">
        <f>IF(ISNUMBER(SEARCH("C", 'WetLitterbags placem_collection'!$W122)),"YES","NO")</f>
        <v>NO</v>
      </c>
      <c r="AC415" s="252" t="str">
        <f>IF(ISNUMBER(SEARCH("H", 'WetLitterbags placem_collection'!$W122)),"YES","NO")</f>
        <v>YES</v>
      </c>
      <c r="AD415" s="252" t="str">
        <f>IF(ISNUMBER(SEARCH("R", 'WetLitterbags placem_collection'!$W122)),"YES","NO")</f>
        <v>NO</v>
      </c>
    </row>
    <row r="416" spans="2:30">
      <c r="B416" t="str">
        <f>'Final data_for_R_analysis_Wetse'!A562</f>
        <v>Wet</v>
      </c>
      <c r="C416" s="260">
        <f>'Final data_for_R_analysis_Wetse'!B562</f>
        <v>121</v>
      </c>
      <c r="D416" t="s">
        <v>3819</v>
      </c>
      <c r="E416" t="s">
        <v>25</v>
      </c>
      <c r="F416" s="381">
        <v>1</v>
      </c>
      <c r="G416" s="16">
        <f>'WetLitterbags placem_collection'!E123</f>
        <v>42762</v>
      </c>
      <c r="H416" s="92" t="str">
        <f>'Final data_for_R_analysis_Wetse'!K562</f>
        <v>G825</v>
      </c>
      <c r="I416" t="str">
        <f>'Final data_for_R_analysis_Wetse'!K782</f>
        <v>R564</v>
      </c>
      <c r="J416">
        <f>IFERROR(INDEX('Green_rooibos initial weight'!$C$5:$C$2000,MATCH(H416, 'Green_rooibos initial weight'!$A$5:$A$2000,0)),"")</f>
        <v>2.1240000000000001</v>
      </c>
      <c r="K416">
        <f>IFERROR(INDEX('Green_rooibos initial weight'!$C$5:$C$2000,MATCH(I416, 'Green_rooibos initial weight'!$A$5:$A$2000,0)),"")</f>
        <v>2.145</v>
      </c>
      <c r="L416" s="194">
        <f t="shared" si="35"/>
        <v>1.8742000000000001</v>
      </c>
      <c r="M416" s="194">
        <f>IF(K416&gt;0,(K416*$F$32-($F$29+$F$30)),"")</f>
        <v>1.8952</v>
      </c>
      <c r="N416" s="16">
        <f>IF('WetLitterbags placem_collection'!G123="","",'WetLitterbags placem_collection'!G123)</f>
        <v>42816</v>
      </c>
      <c r="O416" s="194">
        <f>IFERROR(INDEX('Both teabags AfterWet'!$C$3:$C$2000,MATCH(H416,'Both teabags AfterWet'!$A$3:$A$2000,0)),"")</f>
        <v>0.61199999999999999</v>
      </c>
      <c r="P416" s="194">
        <f>IFERROR(INDEX('Both teabags AfterWet'!$C$3:$C$2000,MATCH(I416,'Both teabags AfterWet'!$A$3:$A$2000,0)),"")</f>
        <v>1.53</v>
      </c>
      <c r="Q416" s="194">
        <f t="shared" si="36"/>
        <v>0.46139999999999998</v>
      </c>
      <c r="R416" s="194">
        <f t="shared" si="36"/>
        <v>1.3794</v>
      </c>
      <c r="S416" s="194">
        <f t="shared" si="37"/>
        <v>0.75381496105004808</v>
      </c>
      <c r="T416" s="194">
        <f t="shared" si="38"/>
        <v>0.49418748040335697</v>
      </c>
      <c r="U416" s="194">
        <f t="shared" si="39"/>
        <v>0.72783875052764879</v>
      </c>
      <c r="V416">
        <f>IFERROR(IF((N416-G416)&gt;0,(IFERROR(N416-G416,"")),""),"")</f>
        <v>54</v>
      </c>
      <c r="W416" s="194">
        <f t="shared" si="40"/>
        <v>0.1047328253562374</v>
      </c>
      <c r="X416" s="194">
        <f t="shared" si="41"/>
        <v>1.481702644329176E-2</v>
      </c>
      <c r="Y416" s="252" t="str">
        <f>IF(ISNUMBER(SEARCH("C",'WetLitterbags placem_collection'!$Y123)),"YES","NO")</f>
        <v>NO</v>
      </c>
      <c r="Z416" s="252" t="str">
        <f>IF(ISNUMBER(SEARCH("H", 'WetLitterbags placem_collection'!$Y123)),"YES","NO")</f>
        <v>NO</v>
      </c>
      <c r="AA416" s="252" t="str">
        <f>IF(ISNUMBER(SEARCH("R", 'WetLitterbags placem_collection'!$Y123)),"YES","NO")</f>
        <v>YES</v>
      </c>
      <c r="AB416" s="252" t="str">
        <f>IF(ISNUMBER(SEARCH("C", 'WetLitterbags placem_collection'!$W123)),"YES","NO")</f>
        <v>YES</v>
      </c>
      <c r="AC416" s="252" t="str">
        <f>IF(ISNUMBER(SEARCH("H", 'WetLitterbags placem_collection'!$W123)),"YES","NO")</f>
        <v>NO</v>
      </c>
      <c r="AD416" s="252" t="str">
        <f>IF(ISNUMBER(SEARCH("R", 'WetLitterbags placem_collection'!$W123)),"YES","NO")</f>
        <v>YES</v>
      </c>
    </row>
    <row r="417" spans="2:30">
      <c r="B417" t="str">
        <f>'Final data_for_R_analysis_Wetse'!A563</f>
        <v>Wet</v>
      </c>
      <c r="C417" s="260">
        <f>'Final data_for_R_analysis_Wetse'!B563</f>
        <v>122</v>
      </c>
      <c r="D417" t="s">
        <v>3819</v>
      </c>
      <c r="E417" t="s">
        <v>25</v>
      </c>
      <c r="F417" s="381">
        <v>2</v>
      </c>
      <c r="G417" s="16">
        <f>'WetLitterbags placem_collection'!E124</f>
        <v>42762</v>
      </c>
      <c r="H417" s="92" t="str">
        <f>'Final data_for_R_analysis_Wetse'!K563</f>
        <v>G839</v>
      </c>
      <c r="I417" t="str">
        <f>'Final data_for_R_analysis_Wetse'!K783</f>
        <v>R429</v>
      </c>
      <c r="J417">
        <f>IFERROR(INDEX('Green_rooibos initial weight'!$C$5:$C$2000,MATCH(H417, 'Green_rooibos initial weight'!$A$5:$A$2000,0)),"")</f>
        <v>2.0230000000000001</v>
      </c>
      <c r="K417">
        <f>IFERROR(INDEX('Green_rooibos initial weight'!$C$5:$C$2000,MATCH(I417, 'Green_rooibos initial weight'!$A$5:$A$2000,0)),"")</f>
        <v>2.21</v>
      </c>
      <c r="L417" s="194">
        <f t="shared" si="35"/>
        <v>1.7732000000000001</v>
      </c>
      <c r="M417" s="194">
        <f>IF(K417&gt;0,(K417*$F$32-($F$29+$F$30)),"")</f>
        <v>1.9601999999999999</v>
      </c>
      <c r="N417" s="16">
        <f>IF('WetLitterbags placem_collection'!G124="","",'WetLitterbags placem_collection'!G124)</f>
        <v>42816</v>
      </c>
      <c r="O417" s="194">
        <f>IFERROR(INDEX('Both teabags AfterWet'!$C$3:$C$2000,MATCH(H417,'Both teabags AfterWet'!$A$3:$A$2000,0)),"")</f>
        <v>0.64200000000000002</v>
      </c>
      <c r="P417" s="194">
        <f>IFERROR(INDEX('Both teabags AfterWet'!$C$3:$C$2000,MATCH(I417,'Both teabags AfterWet'!$A$3:$A$2000,0)),"")</f>
        <v>1.2190000000000001</v>
      </c>
      <c r="Q417" s="194">
        <f t="shared" si="36"/>
        <v>0.4914</v>
      </c>
      <c r="R417" s="194">
        <f t="shared" si="36"/>
        <v>1.0684</v>
      </c>
      <c r="S417" s="194">
        <f t="shared" si="37"/>
        <v>0.72287390029325516</v>
      </c>
      <c r="T417" s="194">
        <f t="shared" si="38"/>
        <v>0.4739030795271697</v>
      </c>
      <c r="U417" s="194">
        <f t="shared" si="39"/>
        <v>0.54504642383430268</v>
      </c>
      <c r="V417">
        <f>IFERROR(IF((N417-G417)&gt;0,(IFERROR(N417-G417,"")),""),"")</f>
        <v>54</v>
      </c>
      <c r="W417" s="194">
        <f t="shared" si="40"/>
        <v>0.14147992839280854</v>
      </c>
      <c r="X417" s="194">
        <f t="shared" si="41"/>
        <v>5.9615279701277751E-2</v>
      </c>
      <c r="Y417" s="252" t="str">
        <f>IF(ISNUMBER(SEARCH("C",'WetLitterbags placem_collection'!$Y124)),"YES","NO")</f>
        <v>NO</v>
      </c>
      <c r="Z417" s="252" t="str">
        <f>IF(ISNUMBER(SEARCH("H", 'WetLitterbags placem_collection'!$Y124)),"YES","NO")</f>
        <v>NO</v>
      </c>
      <c r="AA417" s="252" t="str">
        <f>IF(ISNUMBER(SEARCH("R", 'WetLitterbags placem_collection'!$Y124)),"YES","NO")</f>
        <v>YES</v>
      </c>
      <c r="AB417" s="252" t="str">
        <f>IF(ISNUMBER(SEARCH("C", 'WetLitterbags placem_collection'!$W124)),"YES","NO")</f>
        <v>NO</v>
      </c>
      <c r="AC417" s="252" t="str">
        <f>IF(ISNUMBER(SEARCH("H", 'WetLitterbags placem_collection'!$W124)),"YES","NO")</f>
        <v>NO</v>
      </c>
      <c r="AD417" s="252" t="str">
        <f>IF(ISNUMBER(SEARCH("R", 'WetLitterbags placem_collection'!$W124)),"YES","NO")</f>
        <v>YES</v>
      </c>
    </row>
    <row r="418" spans="2:30">
      <c r="B418" t="str">
        <f>'Final data_for_R_analysis_Wetse'!A564</f>
        <v>Wet</v>
      </c>
      <c r="C418" s="260">
        <f>'Final data_for_R_analysis_Wetse'!B564</f>
        <v>123</v>
      </c>
      <c r="D418" t="s">
        <v>3819</v>
      </c>
      <c r="E418" t="s">
        <v>25</v>
      </c>
      <c r="F418" s="381">
        <v>3</v>
      </c>
      <c r="G418" s="16">
        <f>'WetLitterbags placem_collection'!E125</f>
        <v>42762</v>
      </c>
      <c r="H418" s="92" t="str">
        <f>'Final data_for_R_analysis_Wetse'!K564</f>
        <v>G895</v>
      </c>
      <c r="I418" t="str">
        <f>'Final data_for_R_analysis_Wetse'!K784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35"/>
        <v>1.6761999999999999</v>
      </c>
      <c r="M418" s="194">
        <f>IF(K418&gt;0,(K418*$F$32-($F$29+$F$30)),"")</f>
        <v>1.9771999999999998</v>
      </c>
      <c r="N418" s="16">
        <f>IF('WetLitterbags placem_collection'!G125="","",'WetLitterbags placem_collection'!G125)</f>
        <v>42816</v>
      </c>
      <c r="O418" s="194">
        <f>IFERROR(INDEX('Both teabags AfterWet'!$C$3:$C$2000,MATCH(H418,'Both teabags AfterWet'!$A$3:$A$2000,0)),"")</f>
        <v>0.878</v>
      </c>
      <c r="P418" s="194">
        <f>IFERROR(INDEX('Both teabags AfterWet'!$C$3:$C$2000,MATCH(I418,'Both teabags AfterWet'!$A$3:$A$2000,0)),"")</f>
        <v>1.5760000000000001</v>
      </c>
      <c r="Q418" s="194">
        <f t="shared" si="36"/>
        <v>0.72740000000000005</v>
      </c>
      <c r="R418" s="194">
        <f t="shared" si="36"/>
        <v>1.4254</v>
      </c>
      <c r="S418" s="194">
        <f t="shared" si="37"/>
        <v>0.56604223839637269</v>
      </c>
      <c r="T418" s="194">
        <f t="shared" si="38"/>
        <v>0.37108707315296646</v>
      </c>
      <c r="U418" s="194">
        <f t="shared" si="39"/>
        <v>0.72091847056443459</v>
      </c>
      <c r="V418">
        <f>IFERROR(IF((N418-G418)&gt;0,(IFERROR(N418-G418,"")),""),"")</f>
        <v>54</v>
      </c>
      <c r="W418" s="194">
        <f t="shared" si="40"/>
        <v>0.32774080950549556</v>
      </c>
      <c r="X418" s="194">
        <f t="shared" si="41"/>
        <v>2.5825701862298347E-2</v>
      </c>
      <c r="Y418" s="252" t="str">
        <f>IF(ISNUMBER(SEARCH("C",'WetLitterbags placem_collection'!$Y125)),"YES","NO")</f>
        <v>NO</v>
      </c>
      <c r="Z418" s="252" t="str">
        <f>IF(ISNUMBER(SEARCH("H", 'WetLitterbags placem_collection'!$Y125)),"YES","NO")</f>
        <v>NO</v>
      </c>
      <c r="AA418" s="252" t="str">
        <f>IF(ISNUMBER(SEARCH("R", 'WetLitterbags placem_collection'!$Y125)),"YES","NO")</f>
        <v>NO</v>
      </c>
      <c r="AB418" s="252" t="str">
        <f>IF(ISNUMBER(SEARCH("C", 'WetLitterbags placem_collection'!$W125)),"YES","NO")</f>
        <v>YES</v>
      </c>
      <c r="AC418" s="252" t="str">
        <f>IF(ISNUMBER(SEARCH("H", 'WetLitterbags placem_collection'!$W125)),"YES","NO")</f>
        <v>YES</v>
      </c>
      <c r="AD418" s="252" t="str">
        <f>IF(ISNUMBER(SEARCH("R", 'WetLitterbags placem_collection'!$W125)),"YES","NO")</f>
        <v>NO</v>
      </c>
    </row>
    <row r="419" spans="2:30">
      <c r="B419" t="str">
        <f>'Final data_for_R_analysis_Wetse'!A565</f>
        <v>Wet</v>
      </c>
      <c r="C419" s="260">
        <f>'Final data_for_R_analysis_Wetse'!B565</f>
        <v>124</v>
      </c>
      <c r="D419" t="s">
        <v>3819</v>
      </c>
      <c r="E419" t="s">
        <v>25</v>
      </c>
      <c r="F419" s="382">
        <v>4</v>
      </c>
      <c r="G419" s="16">
        <f>'WetLitterbags placem_collection'!E126</f>
        <v>42762</v>
      </c>
      <c r="H419" s="92" t="str">
        <f>'Final data_for_R_analysis_Wetse'!K565</f>
        <v>G682</v>
      </c>
      <c r="I419" t="str">
        <f>'Final data_for_R_analysis_Wetse'!K785</f>
        <v>R471</v>
      </c>
      <c r="J419">
        <f>IFERROR(INDEX('Green_rooibos initial weight'!$C$5:$C$2000,MATCH(H419, 'Green_rooibos initial weight'!$A$5:$A$2000,0)),"")</f>
        <v>2.0230000000000001</v>
      </c>
      <c r="K419">
        <f>IFERROR(INDEX('Green_rooibos initial weight'!$C$5:$C$2000,MATCH(I419, 'Green_rooibos initial weight'!$A$5:$A$2000,0)),"")</f>
        <v>2.238</v>
      </c>
      <c r="L419" s="194">
        <f t="shared" si="35"/>
        <v>1.7732000000000001</v>
      </c>
      <c r="M419" s="194">
        <f>IF(K419&gt;0,(K419*$F$32-($F$29+$F$30)),"")</f>
        <v>1.9882</v>
      </c>
      <c r="N419" s="16">
        <f>IF('WetLitterbags placem_collection'!G126="","",'WetLitterbags placem_collection'!G126)</f>
        <v>42816</v>
      </c>
      <c r="O419" s="194">
        <f>IFERROR(INDEX('Both teabags AfterWet'!$C$3:$C$2000,MATCH(H419,'Both teabags AfterWet'!$A$3:$A$2000,0)),"")</f>
        <v>0.61199999999999999</v>
      </c>
      <c r="P419" s="194">
        <f>IFERROR(INDEX('Both teabags AfterWet'!$C$3:$C$2000,MATCH(I419,'Both teabags AfterWet'!$A$3:$A$2000,0)),"")</f>
        <v>1.518</v>
      </c>
      <c r="Q419" s="194">
        <f t="shared" si="36"/>
        <v>0.46139999999999998</v>
      </c>
      <c r="R419" s="194">
        <f t="shared" si="36"/>
        <v>1.3673999999999999</v>
      </c>
      <c r="S419" s="194">
        <f t="shared" si="37"/>
        <v>0.7397924655989172</v>
      </c>
      <c r="T419" s="194">
        <f t="shared" si="38"/>
        <v>0.48499458552328067</v>
      </c>
      <c r="U419" s="194">
        <f t="shared" si="39"/>
        <v>0.68775777084800316</v>
      </c>
      <c r="V419">
        <f>IFERROR(IF((N419-G419)&gt;0,(IFERROR(N419-G419,"")),""),"")</f>
        <v>54</v>
      </c>
      <c r="W419" s="194">
        <f t="shared" si="40"/>
        <v>0.12138662042883941</v>
      </c>
      <c r="X419" s="194">
        <f t="shared" si="41"/>
        <v>1.911627081659514E-2</v>
      </c>
      <c r="Y419" s="252" t="str">
        <f>IF(ISNUMBER(SEARCH("C",'WetLitterbags placem_collection'!$Y126)),"YES","NO")</f>
        <v>NO</v>
      </c>
      <c r="Z419" s="252" t="str">
        <f>IF(ISNUMBER(SEARCH("H", 'WetLitterbags placem_collection'!$Y126)),"YES","NO")</f>
        <v>NO</v>
      </c>
      <c r="AA419" s="252" t="str">
        <f>IF(ISNUMBER(SEARCH("R", 'WetLitterbags placem_collection'!$Y126)),"YES","NO")</f>
        <v>NO</v>
      </c>
      <c r="AB419" s="252" t="str">
        <f>IF(ISNUMBER(SEARCH("C", 'WetLitterbags placem_collection'!$W126)),"YES","NO")</f>
        <v>NO</v>
      </c>
      <c r="AC419" s="252" t="str">
        <f>IF(ISNUMBER(SEARCH("H", 'WetLitterbags placem_collection'!$W126)),"YES","NO")</f>
        <v>NO</v>
      </c>
      <c r="AD419" s="252" t="str">
        <f>IF(ISNUMBER(SEARCH("R", 'WetLitterbags placem_collection'!$W126)),"YES","NO")</f>
        <v>YES</v>
      </c>
    </row>
    <row r="420" spans="2:30">
      <c r="B420" t="str">
        <f>'Final data_for_R_analysis_Wetse'!A566</f>
        <v>Wet</v>
      </c>
      <c r="C420" s="260">
        <f>'Final data_for_R_analysis_Wetse'!B566</f>
        <v>125</v>
      </c>
      <c r="D420" t="s">
        <v>3819</v>
      </c>
      <c r="E420" t="s">
        <v>25</v>
      </c>
      <c r="F420" s="382">
        <v>5</v>
      </c>
      <c r="G420" s="16">
        <f>'WetLitterbags placem_collection'!E127</f>
        <v>42762</v>
      </c>
      <c r="H420" s="92" t="str">
        <f>'Final data_for_R_analysis_Wetse'!K566</f>
        <v>G740</v>
      </c>
      <c r="I420" t="str">
        <f>'Final data_for_R_analysis_Wetse'!K786</f>
        <v>R486</v>
      </c>
      <c r="J420">
        <f>IFERROR(INDEX('Green_rooibos initial weight'!$C$5:$C$2000,MATCH(H420, 'Green_rooibos initial weight'!$A$5:$A$2000,0)),"")</f>
        <v>1.915</v>
      </c>
      <c r="K420">
        <f>IFERROR(INDEX('Green_rooibos initial weight'!$C$5:$C$2000,MATCH(I420, 'Green_rooibos initial weight'!$A$5:$A$2000,0)),"")</f>
        <v>2.218</v>
      </c>
      <c r="L420" s="194">
        <f t="shared" si="35"/>
        <v>1.6652</v>
      </c>
      <c r="M420" s="194">
        <f>IF(K420&gt;0,(K420*$F$32-($F$29+$F$30)),"")</f>
        <v>1.9681999999999999</v>
      </c>
      <c r="N420" s="16">
        <f>IF('WetLitterbags placem_collection'!G127="","",'WetLitterbags placem_collection'!G127)</f>
        <v>42816</v>
      </c>
      <c r="O420" s="194">
        <f>IFERROR(INDEX('Both teabags AfterWet'!$C$3:$C$2000,MATCH(H420,'Both teabags AfterWet'!$A$3:$A$2000,0)),"")</f>
        <v>0.60099999999999998</v>
      </c>
      <c r="P420" s="194">
        <f>IFERROR(INDEX('Both teabags AfterWet'!$C$3:$C$2000,MATCH(I420,'Both teabags AfterWet'!$A$3:$A$2000,0)),"")</f>
        <v>1.389</v>
      </c>
      <c r="Q420" s="194">
        <f t="shared" si="36"/>
        <v>0.45039999999999997</v>
      </c>
      <c r="R420" s="194">
        <f t="shared" si="36"/>
        <v>1.2383999999999999</v>
      </c>
      <c r="S420" s="194">
        <f t="shared" si="37"/>
        <v>0.72952197934182084</v>
      </c>
      <c r="T420" s="194">
        <f t="shared" si="38"/>
        <v>0.47826144013858096</v>
      </c>
      <c r="U420" s="194">
        <f t="shared" si="39"/>
        <v>0.62920434915150902</v>
      </c>
      <c r="V420">
        <f>IFERROR(IF((N420-G420)&gt;0,(IFERROR(N420-G420,"")),""),"")</f>
        <v>54</v>
      </c>
      <c r="W420" s="194">
        <f t="shared" si="40"/>
        <v>0.13358434757503457</v>
      </c>
      <c r="X420" s="194">
        <f t="shared" si="41"/>
        <v>2.7647869835384135E-2</v>
      </c>
      <c r="Y420" s="252" t="str">
        <f>IF(ISNUMBER(SEARCH("C",'WetLitterbags placem_collection'!$Y127)),"YES","NO")</f>
        <v>NO</v>
      </c>
      <c r="Z420" s="252" t="str">
        <f>IF(ISNUMBER(SEARCH("H", 'WetLitterbags placem_collection'!$Y127)),"YES","NO")</f>
        <v>NO</v>
      </c>
      <c r="AA420" s="252" t="str">
        <f>IF(ISNUMBER(SEARCH("R", 'WetLitterbags placem_collection'!$Y127)),"YES","NO")</f>
        <v>YES</v>
      </c>
      <c r="AB420" s="252" t="str">
        <f>IF(ISNUMBER(SEARCH("C", 'WetLitterbags placem_collection'!$W127)),"YES","NO")</f>
        <v>NO</v>
      </c>
      <c r="AC420" s="252" t="str">
        <f>IF(ISNUMBER(SEARCH("H", 'WetLitterbags placem_collection'!$W127)),"YES","NO")</f>
        <v>YES</v>
      </c>
      <c r="AD420" s="252" t="str">
        <f>IF(ISNUMBER(SEARCH("R", 'WetLitterbags placem_collection'!$W127)),"YES","NO")</f>
        <v>YES</v>
      </c>
    </row>
    <row r="421" spans="2:30">
      <c r="B421" t="str">
        <f>'Final data_for_R_analysis_Wetse'!A567</f>
        <v>Wet</v>
      </c>
      <c r="C421" s="260">
        <f>'Final data_for_R_analysis_Wetse'!B567</f>
        <v>126</v>
      </c>
      <c r="D421" t="s">
        <v>3819</v>
      </c>
      <c r="E421" t="s">
        <v>25</v>
      </c>
      <c r="F421" s="382">
        <v>6</v>
      </c>
      <c r="G421" s="16">
        <f>'WetLitterbags placem_collection'!E128</f>
        <v>42762</v>
      </c>
      <c r="H421" s="92" t="str">
        <f>'Final data_for_R_analysis_Wetse'!K567</f>
        <v>G841</v>
      </c>
      <c r="I421" t="str">
        <f>'Final data_for_R_analysis_Wetse'!K787</f>
        <v>R55</v>
      </c>
      <c r="J421">
        <f>IFERROR(INDEX('Green_rooibos initial weight'!$C$5:$C$2000,MATCH(H421, 'Green_rooibos initial weight'!$A$5:$A$2000,0)),"")</f>
        <v>1.96</v>
      </c>
      <c r="K421">
        <f>IFERROR(INDEX('Green_rooibos initial weight'!$C$5:$C$2000,MATCH(I421, 'Green_rooibos initial weight'!$A$5:$A$2000,0)),"")</f>
        <v>2.2010000000000001</v>
      </c>
      <c r="L421" s="194">
        <f t="shared" si="35"/>
        <v>1.7101999999999999</v>
      </c>
      <c r="M421" s="194">
        <f>IF(K421&gt;0,(K421*$F$32-($F$29+$F$30)),"")</f>
        <v>1.9512</v>
      </c>
      <c r="N421" s="16">
        <f>IF('WetLitterbags placem_collection'!G128="","",'WetLitterbags placem_collection'!G128)</f>
        <v>42816</v>
      </c>
      <c r="O421" s="194">
        <f>IFERROR(INDEX('Both teabags AfterWet'!$C$3:$C$2000,MATCH(H421,'Both teabags AfterWet'!$A$3:$A$2000,0)),"")</f>
        <v>0.58499999999999996</v>
      </c>
      <c r="P421" s="194">
        <f>IFERROR(INDEX('Both teabags AfterWet'!$C$3:$C$2000,MATCH(I421,'Both teabags AfterWet'!$A$3:$A$2000,0)),"")</f>
        <v>1.4419999999999999</v>
      </c>
      <c r="Q421" s="194">
        <f t="shared" si="36"/>
        <v>0.43439999999999995</v>
      </c>
      <c r="R421" s="194">
        <f t="shared" si="36"/>
        <v>1.2913999999999999</v>
      </c>
      <c r="S421" s="194">
        <f t="shared" si="37"/>
        <v>0.74599462051222076</v>
      </c>
      <c r="T421" s="194">
        <f t="shared" si="38"/>
        <v>0.48906060632155096</v>
      </c>
      <c r="U421" s="194">
        <f t="shared" si="39"/>
        <v>0.66184911849118488</v>
      </c>
      <c r="V421">
        <f>IFERROR(IF((N421-G421)&gt;0,(IFERROR(N421-G421,"")),""),"")</f>
        <v>54</v>
      </c>
      <c r="W421" s="194">
        <f t="shared" si="40"/>
        <v>0.11402064072182805</v>
      </c>
      <c r="X421" s="194">
        <f t="shared" si="41"/>
        <v>2.1774159481355325E-2</v>
      </c>
      <c r="Y421" s="252" t="str">
        <f>IF(ISNUMBER(SEARCH("C",'WetLitterbags placem_collection'!$Y128)),"YES","NO")</f>
        <v>NO</v>
      </c>
      <c r="Z421" s="252" t="str">
        <f>IF(ISNUMBER(SEARCH("H", 'WetLitterbags placem_collection'!$Y128)),"YES","NO")</f>
        <v>NO</v>
      </c>
      <c r="AA421" s="252" t="str">
        <f>IF(ISNUMBER(SEARCH("R", 'WetLitterbags placem_collection'!$Y128)),"YES","NO")</f>
        <v>YES</v>
      </c>
      <c r="AB421" s="252" t="str">
        <f>IF(ISNUMBER(SEARCH("C", 'WetLitterbags placem_collection'!$W128)),"YES","NO")</f>
        <v>NO</v>
      </c>
      <c r="AC421" s="252" t="str">
        <f>IF(ISNUMBER(SEARCH("H", 'WetLitterbags placem_collection'!$W128)),"YES","NO")</f>
        <v>NO</v>
      </c>
      <c r="AD421" s="252" t="str">
        <f>IF(ISNUMBER(SEARCH("R", 'WetLitterbags placem_collection'!$W128)),"YES","NO")</f>
        <v>NO</v>
      </c>
    </row>
    <row r="422" spans="2:30">
      <c r="B422" t="str">
        <f>'Final data_for_R_analysis_Wetse'!A568</f>
        <v>Wet</v>
      </c>
      <c r="C422" s="260">
        <f>'Final data_for_R_analysis_Wetse'!B568</f>
        <v>127</v>
      </c>
      <c r="D422" t="s">
        <v>3819</v>
      </c>
      <c r="E422" t="s">
        <v>25</v>
      </c>
      <c r="F422" s="382">
        <v>7</v>
      </c>
      <c r="G422" s="16">
        <f>'WetLitterbags placem_collection'!E129</f>
        <v>42762</v>
      </c>
      <c r="H422" s="92" t="str">
        <f>'Final data_for_R_analysis_Wetse'!K568</f>
        <v>G687</v>
      </c>
      <c r="I422" t="str">
        <f>'Final data_for_R_analysis_Wetse'!K788</f>
        <v>R424</v>
      </c>
      <c r="J422">
        <f>IFERROR(INDEX('Green_rooibos initial weight'!$C$5:$C$2000,MATCH(H422, 'Green_rooibos initial weight'!$A$5:$A$2000,0)),"")</f>
        <v>2.0649999999999999</v>
      </c>
      <c r="K422">
        <f>IFERROR(INDEX('Green_rooibos initial weight'!$C$5:$C$2000,MATCH(I422, 'Green_rooibos initial weight'!$A$5:$A$2000,0)),"")</f>
        <v>2.214</v>
      </c>
      <c r="L422" s="194">
        <f t="shared" si="35"/>
        <v>1.8151999999999999</v>
      </c>
      <c r="M422" s="194">
        <f>IF(K422&gt;0,(K422*$F$32-($F$29+$F$30)),"")</f>
        <v>1.9641999999999999</v>
      </c>
      <c r="N422" s="16">
        <f>IF('WetLitterbags placem_collection'!G129="","",'WetLitterbags placem_collection'!G129)</f>
        <v>42816</v>
      </c>
      <c r="O422" s="194">
        <f>IFERROR(INDEX('Both teabags AfterWet'!$C$3:$C$2000,MATCH(H422,'Both teabags AfterWet'!$A$3:$A$2000,0)),"")</f>
        <v>0.57699999999999996</v>
      </c>
      <c r="P422" s="194">
        <f>IFERROR(INDEX('Both teabags AfterWet'!$C$3:$C$2000,MATCH(I422,'Both teabags AfterWet'!$A$3:$A$2000,0)),"")</f>
        <v>1.552</v>
      </c>
      <c r="Q422" s="194">
        <f t="shared" si="36"/>
        <v>0.42639999999999995</v>
      </c>
      <c r="R422" s="194">
        <f t="shared" si="36"/>
        <v>1.4014</v>
      </c>
      <c r="S422" s="194">
        <f t="shared" si="37"/>
        <v>0.76509475539885408</v>
      </c>
      <c r="T422" s="194">
        <f t="shared" si="38"/>
        <v>0.50158230995269293</v>
      </c>
      <c r="U422" s="194">
        <f t="shared" si="39"/>
        <v>0.71347113328581613</v>
      </c>
      <c r="V422">
        <f>IFERROR(IF((N422-G422)&gt;0,(IFERROR(N422-G422,"")),""),"")</f>
        <v>54</v>
      </c>
      <c r="W422" s="194">
        <f t="shared" si="40"/>
        <v>9.1336395013237426E-2</v>
      </c>
      <c r="X422" s="194">
        <f t="shared" si="41"/>
        <v>1.5682984278083862E-2</v>
      </c>
      <c r="Y422" s="252" t="str">
        <f>IF(ISNUMBER(SEARCH("C",'WetLitterbags placem_collection'!$Y129)),"YES","NO")</f>
        <v>NO</v>
      </c>
      <c r="Z422" s="252" t="str">
        <f>IF(ISNUMBER(SEARCH("H", 'WetLitterbags placem_collection'!$Y129)),"YES","NO")</f>
        <v>NO</v>
      </c>
      <c r="AA422" s="252" t="str">
        <f>IF(ISNUMBER(SEARCH("R", 'WetLitterbags placem_collection'!$Y129)),"YES","NO")</f>
        <v>YES</v>
      </c>
      <c r="AB422" s="252" t="str">
        <f>IF(ISNUMBER(SEARCH("C", 'WetLitterbags placem_collection'!$W129)),"YES","NO")</f>
        <v>NO</v>
      </c>
      <c r="AC422" s="252" t="str">
        <f>IF(ISNUMBER(SEARCH("H", 'WetLitterbags placem_collection'!$W129)),"YES","NO")</f>
        <v>NO</v>
      </c>
      <c r="AD422" s="252" t="str">
        <f>IF(ISNUMBER(SEARCH("R", 'WetLitterbags placem_collection'!$W129)),"YES","NO")</f>
        <v>NO</v>
      </c>
    </row>
    <row r="423" spans="2:30">
      <c r="B423" t="str">
        <f>'Final data_for_R_analysis_Wetse'!A569</f>
        <v>Wet</v>
      </c>
      <c r="C423" s="260">
        <f>'Final data_for_R_analysis_Wetse'!B569</f>
        <v>128</v>
      </c>
      <c r="D423" t="s">
        <v>3819</v>
      </c>
      <c r="E423" t="s">
        <v>25</v>
      </c>
      <c r="F423" s="382">
        <v>8</v>
      </c>
      <c r="G423" s="16">
        <f>'WetLitterbags placem_collection'!E130</f>
        <v>42762</v>
      </c>
      <c r="H423" s="92" t="str">
        <f>'Final data_for_R_analysis_Wetse'!K569</f>
        <v>G833</v>
      </c>
      <c r="I423" t="str">
        <f>'Final data_for_R_analysis_Wetse'!K789</f>
        <v>R418</v>
      </c>
      <c r="J423">
        <f>IFERROR(INDEX('Green_rooibos initial weight'!$C$5:$C$2000,MATCH(H423, 'Green_rooibos initial weight'!$A$5:$A$2000,0)),"")</f>
        <v>1.964</v>
      </c>
      <c r="K423">
        <f>IFERROR(INDEX('Green_rooibos initial weight'!$C$5:$C$2000,MATCH(I423, 'Green_rooibos initial weight'!$A$5:$A$2000,0)),"")</f>
        <v>2.2029999999999998</v>
      </c>
      <c r="L423" s="194">
        <f t="shared" si="35"/>
        <v>1.7141999999999999</v>
      </c>
      <c r="M423" s="194">
        <f>IF(K423&gt;0,(K423*$F$32-($F$29+$F$30)),"")</f>
        <v>1.9531999999999998</v>
      </c>
      <c r="N423" s="16">
        <f>IF('WetLitterbags placem_collection'!G130="","",'WetLitterbags placem_collection'!G130)</f>
        <v>42816</v>
      </c>
      <c r="O423" s="194">
        <f>IFERROR(INDEX('Both teabags AfterWet'!$C$3:$C$2000,MATCH(H423,'Both teabags AfterWet'!$A$3:$A$2000,0)),"")</f>
        <v>0.57199999999999995</v>
      </c>
      <c r="P423" s="194">
        <f>IFERROR(INDEX('Both teabags AfterWet'!$C$3:$C$2000,MATCH(I423,'Both teabags AfterWet'!$A$3:$A$2000,0)),"")</f>
        <v>1.4119999999999999</v>
      </c>
      <c r="Q423" s="194">
        <f t="shared" si="36"/>
        <v>0.42139999999999994</v>
      </c>
      <c r="R423" s="194">
        <f t="shared" si="36"/>
        <v>1.2613999999999999</v>
      </c>
      <c r="S423" s="194">
        <f t="shared" si="37"/>
        <v>0.75417104188542761</v>
      </c>
      <c r="T423" s="194">
        <f t="shared" si="38"/>
        <v>0.4944209205709692</v>
      </c>
      <c r="U423" s="194">
        <f t="shared" si="39"/>
        <v>0.64581200081916856</v>
      </c>
      <c r="V423">
        <f>IFERROR(IF((N423-G423)&gt;0,(IFERROR(N423-G423,"")),""),"")</f>
        <v>54</v>
      </c>
      <c r="W423" s="194">
        <f t="shared" si="40"/>
        <v>0.10430992650186743</v>
      </c>
      <c r="X423" s="194">
        <f t="shared" si="41"/>
        <v>2.3334860295377305E-2</v>
      </c>
      <c r="Y423" s="252" t="str">
        <f>IF(ISNUMBER(SEARCH("C",'WetLitterbags placem_collection'!$Y130)),"YES","NO")</f>
        <v>NO</v>
      </c>
      <c r="Z423" s="252" t="str">
        <f>IF(ISNUMBER(SEARCH("H", 'WetLitterbags placem_collection'!$Y130)),"YES","NO")</f>
        <v>NO</v>
      </c>
      <c r="AA423" s="252" t="str">
        <f>IF(ISNUMBER(SEARCH("R", 'WetLitterbags placem_collection'!$Y130)),"YES","NO")</f>
        <v>YES</v>
      </c>
      <c r="AB423" s="252" t="str">
        <f>IF(ISNUMBER(SEARCH("C", 'WetLitterbags placem_collection'!$W130)),"YES","NO")</f>
        <v>YES</v>
      </c>
      <c r="AC423" s="252" t="str">
        <f>IF(ISNUMBER(SEARCH("H", 'WetLitterbags placem_collection'!$W130)),"YES","NO")</f>
        <v>YES</v>
      </c>
      <c r="AD423" s="252" t="str">
        <f>IF(ISNUMBER(SEARCH("R", 'WetLitterbags placem_collection'!$W130)),"YES","NO")</f>
        <v>YES</v>
      </c>
    </row>
    <row r="424" spans="2:30">
      <c r="B424" t="str">
        <f>'Final data_for_R_analysis_Wetse'!A570</f>
        <v>Wet</v>
      </c>
      <c r="C424" s="260">
        <f>'Final data_for_R_analysis_Wetse'!B570</f>
        <v>129</v>
      </c>
      <c r="D424" t="s">
        <v>3820</v>
      </c>
      <c r="E424" t="s">
        <v>25</v>
      </c>
      <c r="F424" s="381">
        <v>1</v>
      </c>
      <c r="G424" s="16">
        <f>'WetLitterbags placem_collection'!E131</f>
        <v>42762</v>
      </c>
      <c r="H424" s="92" t="str">
        <f>'Final data_for_R_analysis_Wetse'!K570</f>
        <v>G888</v>
      </c>
      <c r="I424" t="str">
        <f>'Final data_for_R_analysis_Wetse'!K790</f>
        <v>R520</v>
      </c>
      <c r="J424">
        <f>IFERROR(INDEX('Green_rooibos initial weight'!$C$5:$C$2000,MATCH(H424, 'Green_rooibos initial weight'!$A$5:$A$2000,0)),"")</f>
        <v>2.089</v>
      </c>
      <c r="K424">
        <f>IFERROR(INDEX('Green_rooibos initial weight'!$C$5:$C$2000,MATCH(I424, 'Green_rooibos initial weight'!$A$5:$A$2000,0)),"")</f>
        <v>2.2210000000000001</v>
      </c>
      <c r="L424" s="194">
        <f t="shared" si="35"/>
        <v>1.8391999999999999</v>
      </c>
      <c r="M424" s="194">
        <f>IF(K424&gt;0,(K424*$F$32-($F$29+$F$30)),"")</f>
        <v>1.9712000000000001</v>
      </c>
      <c r="N424" s="16">
        <f>IF('WetLitterbags placem_collection'!G131="","",'WetLitterbags placem_collection'!G131)</f>
        <v>42816</v>
      </c>
      <c r="O424" s="194">
        <f>IFERROR(INDEX('Both teabags AfterWet'!$C$3:$C$2000,MATCH(H424,'Both teabags AfterWet'!$A$3:$A$2000,0)),"")</f>
        <v>0.59440000000000004</v>
      </c>
      <c r="P424" s="194">
        <f>IFERROR(INDEX('Both teabags AfterWet'!$C$3:$C$2000,MATCH(I424,'Both teabags AfterWet'!$A$3:$A$2000,0)),"")</f>
        <v>1.5878000000000001</v>
      </c>
      <c r="Q424" s="194">
        <f t="shared" si="36"/>
        <v>0.44380000000000003</v>
      </c>
      <c r="R424" s="194">
        <f t="shared" si="36"/>
        <v>1.4372</v>
      </c>
      <c r="S424" s="194">
        <f t="shared" si="37"/>
        <v>0.75869943453675504</v>
      </c>
      <c r="T424" s="194">
        <f t="shared" si="38"/>
        <v>0.49738965304547367</v>
      </c>
      <c r="U424" s="194">
        <f t="shared" si="39"/>
        <v>0.72909902597402598</v>
      </c>
      <c r="V424">
        <f>IFERROR(IF((N424-G424)&gt;0,(IFERROR(N424-G424,"")),""),"")</f>
        <v>54</v>
      </c>
      <c r="W424" s="194">
        <f t="shared" si="40"/>
        <v>9.8931787961098472E-2</v>
      </c>
      <c r="X424" s="194">
        <f t="shared" si="41"/>
        <v>1.4568125326907419E-2</v>
      </c>
      <c r="Y424" s="252" t="str">
        <f>IF(ISNUMBER(SEARCH("C",'WetLitterbags placem_collection'!$Y131)),"YES","NO")</f>
        <v>NO</v>
      </c>
      <c r="Z424" s="252" t="str">
        <f>IF(ISNUMBER(SEARCH("H", 'WetLitterbags placem_collection'!$Y131)),"YES","NO")</f>
        <v>NO</v>
      </c>
      <c r="AA424" s="252" t="str">
        <f>IF(ISNUMBER(SEARCH("R", 'WetLitterbags placem_collection'!$Y131)),"YES","NO")</f>
        <v>NO</v>
      </c>
      <c r="AB424" s="252" t="str">
        <f>IF(ISNUMBER(SEARCH("C", 'WetLitterbags placem_collection'!$W131)),"YES","NO")</f>
        <v>NO</v>
      </c>
      <c r="AC424" s="252" t="str">
        <f>IF(ISNUMBER(SEARCH("H", 'WetLitterbags placem_collection'!$W131)),"YES","NO")</f>
        <v>YES</v>
      </c>
      <c r="AD424" s="252" t="str">
        <f>IF(ISNUMBER(SEARCH("R", 'WetLitterbags placem_collection'!$W131)),"YES","NO")</f>
        <v>NO</v>
      </c>
    </row>
    <row r="425" spans="2:30">
      <c r="B425" t="str">
        <f>'Final data_for_R_analysis_Wetse'!A571</f>
        <v>Wet</v>
      </c>
      <c r="C425" s="260">
        <f>'Final data_for_R_analysis_Wetse'!B571</f>
        <v>130</v>
      </c>
      <c r="D425" t="s">
        <v>3820</v>
      </c>
      <c r="E425" t="s">
        <v>25</v>
      </c>
      <c r="F425" s="381">
        <v>2</v>
      </c>
      <c r="G425" s="16">
        <f>'WetLitterbags placem_collection'!E132</f>
        <v>42762</v>
      </c>
      <c r="H425" s="92" t="str">
        <f>'Final data_for_R_analysis_Wetse'!K571</f>
        <v>G708</v>
      </c>
      <c r="I425" t="str">
        <f>'Final data_for_R_analysis_Wetse'!K791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35"/>
        <v>1.7532000000000001</v>
      </c>
      <c r="M425" s="194">
        <f>IF(K425&gt;0,(K425*$F$32-($F$29+$F$30)),"")</f>
        <v>1.8252000000000002</v>
      </c>
      <c r="N425" s="16">
        <f>IF('WetLitterbags placem_collection'!G132="","",'WetLitterbags placem_collection'!G132)</f>
        <v>42816</v>
      </c>
      <c r="O425" s="194">
        <f>IFERROR(INDEX('Both teabags AfterWet'!$C$3:$C$2000,MATCH(H425,'Both teabags AfterWet'!$A$3:$A$2000,0)),"")</f>
        <v>0.56599999999999995</v>
      </c>
      <c r="P425" s="194">
        <f>IFERROR(INDEX('Both teabags AfterWet'!$C$3:$C$2000,MATCH(I425,'Both teabags AfterWet'!$A$3:$A$2000,0)),"")</f>
        <v>1.5069999999999999</v>
      </c>
      <c r="Q425" s="194">
        <f t="shared" si="36"/>
        <v>0.41539999999999994</v>
      </c>
      <c r="R425" s="194">
        <f t="shared" si="36"/>
        <v>1.3563999999999998</v>
      </c>
      <c r="S425" s="194">
        <f t="shared" si="37"/>
        <v>0.76306182979694281</v>
      </c>
      <c r="T425" s="194">
        <f t="shared" si="38"/>
        <v>0.50024956062697445</v>
      </c>
      <c r="U425" s="194">
        <f t="shared" si="39"/>
        <v>0.74315143545912765</v>
      </c>
      <c r="V425">
        <f>IFERROR(IF((N425-G425)&gt;0,(IFERROR(N425-G425,"")),""),"")</f>
        <v>54</v>
      </c>
      <c r="W425" s="194">
        <f t="shared" si="40"/>
        <v>9.3750795965626077E-2</v>
      </c>
      <c r="X425" s="194">
        <f t="shared" si="41"/>
        <v>1.3340681893114411E-2</v>
      </c>
      <c r="Y425" s="252" t="str">
        <f>IF(ISNUMBER(SEARCH("C",'WetLitterbags placem_collection'!$Y132)),"YES","NO")</f>
        <v>NO</v>
      </c>
      <c r="Z425" s="252" t="str">
        <f>IF(ISNUMBER(SEARCH("H", 'WetLitterbags placem_collection'!$Y132)),"YES","NO")</f>
        <v>NO</v>
      </c>
      <c r="AA425" s="252" t="str">
        <f>IF(ISNUMBER(SEARCH("R", 'WetLitterbags placem_collection'!$Y132)),"YES","NO")</f>
        <v>NO</v>
      </c>
      <c r="AB425" s="252" t="str">
        <f>IF(ISNUMBER(SEARCH("C", 'WetLitterbags placem_collection'!$W132)),"YES","NO")</f>
        <v>NO</v>
      </c>
      <c r="AC425" s="252" t="str">
        <f>IF(ISNUMBER(SEARCH("H", 'WetLitterbags placem_collection'!$W132)),"YES","NO")</f>
        <v>NO</v>
      </c>
      <c r="AD425" s="252" t="str">
        <f>IF(ISNUMBER(SEARCH("R", 'WetLitterbags placem_collection'!$W132)),"YES","NO")</f>
        <v>NO</v>
      </c>
    </row>
    <row r="426" spans="2:30">
      <c r="B426" t="str">
        <f>'Final data_for_R_analysis_Wetse'!A572</f>
        <v>Wet</v>
      </c>
      <c r="C426" s="260">
        <f>'Final data_for_R_analysis_Wetse'!B572</f>
        <v>131</v>
      </c>
      <c r="D426" t="s">
        <v>3820</v>
      </c>
      <c r="E426" t="s">
        <v>25</v>
      </c>
      <c r="F426" s="381">
        <v>3</v>
      </c>
      <c r="G426" s="16">
        <f>'WetLitterbags placem_collection'!E133</f>
        <v>42762</v>
      </c>
      <c r="H426" s="92" t="str">
        <f>'Final data_for_R_analysis_Wetse'!K572</f>
        <v>G768</v>
      </c>
      <c r="I426" t="str">
        <f>'Final data_for_R_analysis_Wetse'!K792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35"/>
        <v>1.7591999999999999</v>
      </c>
      <c r="M426" s="194">
        <f>IF(K426&gt;0,(K426*$F$32-($F$29+$F$30)),"")</f>
        <v>2.0051999999999999</v>
      </c>
      <c r="N426" s="16">
        <f>IF('WetLitterbags placem_collection'!G133="","",'WetLitterbags placem_collection'!G133)</f>
        <v>42816</v>
      </c>
      <c r="O426" s="194">
        <f>IFERROR(INDEX('Both teabags AfterWet'!$C$3:$C$2000,MATCH(H426,'Both teabags AfterWet'!$A$3:$A$2000,0)),"")</f>
        <v>0.62819999999999998</v>
      </c>
      <c r="P426" s="194">
        <f>IFERROR(INDEX('Both teabags AfterWet'!$C$3:$C$2000,MATCH(I426,'Both teabags AfterWet'!$A$3:$A$2000,0)),"")</f>
        <v>1.6073999999999999</v>
      </c>
      <c r="Q426" s="194">
        <f t="shared" si="36"/>
        <v>0.47759999999999997</v>
      </c>
      <c r="R426" s="194">
        <f t="shared" si="36"/>
        <v>1.4567999999999999</v>
      </c>
      <c r="S426" s="194">
        <f t="shared" si="37"/>
        <v>0.72851296043656211</v>
      </c>
      <c r="T426" s="194">
        <f t="shared" si="38"/>
        <v>0.47759994555936147</v>
      </c>
      <c r="U426" s="194">
        <f t="shared" si="39"/>
        <v>0.72651107121484138</v>
      </c>
      <c r="V426">
        <f>IFERROR(IF((N426-G426)&gt;0,(IFERROR(N426-G426,"")),""),"")</f>
        <v>54</v>
      </c>
      <c r="W426" s="194">
        <f t="shared" si="40"/>
        <v>0.13478270731999742</v>
      </c>
      <c r="X426" s="194">
        <f t="shared" si="41"/>
        <v>1.5742766711032228E-2</v>
      </c>
      <c r="Y426" s="252" t="str">
        <f>IF(ISNUMBER(SEARCH("C",'WetLitterbags placem_collection'!$Y133)),"YES","NO")</f>
        <v>NO</v>
      </c>
      <c r="Z426" s="252" t="str">
        <f>IF(ISNUMBER(SEARCH("H", 'WetLitterbags placem_collection'!$Y133)),"YES","NO")</f>
        <v>NO</v>
      </c>
      <c r="AA426" s="252" t="str">
        <f>IF(ISNUMBER(SEARCH("R", 'WetLitterbags placem_collection'!$Y133)),"YES","NO")</f>
        <v>NO</v>
      </c>
      <c r="AB426" s="252" t="str">
        <f>IF(ISNUMBER(SEARCH("C", 'WetLitterbags placem_collection'!$W133)),"YES","NO")</f>
        <v>YES</v>
      </c>
      <c r="AC426" s="252" t="str">
        <f>IF(ISNUMBER(SEARCH("H", 'WetLitterbags placem_collection'!$W133)),"YES","NO")</f>
        <v>YES</v>
      </c>
      <c r="AD426" s="252" t="str">
        <f>IF(ISNUMBER(SEARCH("R", 'WetLitterbags placem_collection'!$W133)),"YES","NO")</f>
        <v>NO</v>
      </c>
    </row>
    <row r="427" spans="2:30">
      <c r="B427" t="str">
        <f>'Final data_for_R_analysis_Wetse'!A573</f>
        <v>Wet</v>
      </c>
      <c r="C427" s="260">
        <f>'Final data_for_R_analysis_Wetse'!B573</f>
        <v>132</v>
      </c>
      <c r="D427" t="s">
        <v>3820</v>
      </c>
      <c r="E427" t="s">
        <v>25</v>
      </c>
      <c r="F427" s="382">
        <v>4</v>
      </c>
      <c r="G427" s="16">
        <f>'WetLitterbags placem_collection'!E134</f>
        <v>42762</v>
      </c>
      <c r="H427" s="92" t="str">
        <f>'Final data_for_R_analysis_Wetse'!K573</f>
        <v>G779</v>
      </c>
      <c r="I427" t="str">
        <f>'Final data_for_R_analysis_Wetse'!K793</f>
        <v>R477</v>
      </c>
      <c r="J427">
        <f>IFERROR(INDEX('Green_rooibos initial weight'!$C$5:$C$2000,MATCH(H427, 'Green_rooibos initial weight'!$A$5:$A$2000,0)),"")</f>
        <v>2.0110000000000001</v>
      </c>
      <c r="K427">
        <f>IFERROR(INDEX('Green_rooibos initial weight'!$C$5:$C$2000,MATCH(I427, 'Green_rooibos initial weight'!$A$5:$A$2000,0)),"")</f>
        <v>2.169</v>
      </c>
      <c r="L427" s="194">
        <f t="shared" si="35"/>
        <v>1.7612000000000001</v>
      </c>
      <c r="M427" s="194">
        <f>IF(K427&gt;0,(K427*$F$32-($F$29+$F$30)),"")</f>
        <v>1.9192</v>
      </c>
      <c r="N427" s="16">
        <f>IF('WetLitterbags placem_collection'!G134="","",'WetLitterbags placem_collection'!G134)</f>
        <v>42816</v>
      </c>
      <c r="O427" s="194">
        <f>IFERROR(INDEX('Both teabags AfterWet'!$C$3:$C$2000,MATCH(H427,'Both teabags AfterWet'!$A$3:$A$2000,0)),"")</f>
        <v>0.63490000000000002</v>
      </c>
      <c r="P427" s="194">
        <f>IFERROR(INDEX('Both teabags AfterWet'!$C$3:$C$2000,MATCH(I427,'Both teabags AfterWet'!$A$3:$A$2000,0)),"")</f>
        <v>1.573</v>
      </c>
      <c r="Q427" s="194">
        <f t="shared" si="36"/>
        <v>0.48430000000000001</v>
      </c>
      <c r="R427" s="194">
        <f t="shared" si="36"/>
        <v>1.4223999999999999</v>
      </c>
      <c r="S427" s="194">
        <f t="shared" si="37"/>
        <v>0.72501703384056326</v>
      </c>
      <c r="T427" s="194">
        <f t="shared" si="38"/>
        <v>0.47530807919238832</v>
      </c>
      <c r="U427" s="194">
        <f t="shared" si="39"/>
        <v>0.7411421425593997</v>
      </c>
      <c r="V427">
        <f>IFERROR(IF((N427-G427)&gt;0,(IFERROR(N427-G427,"")),""),"")</f>
        <v>54</v>
      </c>
      <c r="W427" s="194">
        <f t="shared" si="40"/>
        <v>0.1389346391442241</v>
      </c>
      <c r="X427" s="194">
        <f t="shared" si="41"/>
        <v>1.4566714503410979E-2</v>
      </c>
      <c r="Y427" s="252" t="str">
        <f>IF(ISNUMBER(SEARCH("C",'WetLitterbags placem_collection'!$Y134)),"YES","NO")</f>
        <v>NO</v>
      </c>
      <c r="Z427" s="252" t="str">
        <f>IF(ISNUMBER(SEARCH("H", 'WetLitterbags placem_collection'!$Y134)),"YES","NO")</f>
        <v>NO</v>
      </c>
      <c r="AA427" s="252" t="str">
        <f>IF(ISNUMBER(SEARCH("R", 'WetLitterbags placem_collection'!$Y134)),"YES","NO")</f>
        <v>NO</v>
      </c>
      <c r="AB427" s="252" t="str">
        <f>IF(ISNUMBER(SEARCH("C", 'WetLitterbags placem_collection'!$W134)),"YES","NO")</f>
        <v>YES</v>
      </c>
      <c r="AC427" s="252" t="str">
        <f>IF(ISNUMBER(SEARCH("H", 'WetLitterbags placem_collection'!$W134)),"YES","NO")</f>
        <v>YES</v>
      </c>
      <c r="AD427" s="252" t="str">
        <f>IF(ISNUMBER(SEARCH("R", 'WetLitterbags placem_collection'!$W134)),"YES","NO")</f>
        <v>NO</v>
      </c>
    </row>
    <row r="428" spans="2:30">
      <c r="B428" t="str">
        <f>'Final data_for_R_analysis_Wetse'!A574</f>
        <v>Wet</v>
      </c>
      <c r="C428" s="260">
        <f>'Final data_for_R_analysis_Wetse'!B574</f>
        <v>133</v>
      </c>
      <c r="D428" t="s">
        <v>3820</v>
      </c>
      <c r="E428" t="s">
        <v>25</v>
      </c>
      <c r="F428" s="382">
        <v>5</v>
      </c>
      <c r="G428" s="16">
        <f>'WetLitterbags placem_collection'!E135</f>
        <v>42762</v>
      </c>
      <c r="H428" s="92" t="str">
        <f>'Final data_for_R_analysis_Wetse'!K574</f>
        <v>G799</v>
      </c>
      <c r="I428" t="str">
        <f>'Final data_for_R_analysis_Wetse'!K794</f>
        <v>R597</v>
      </c>
      <c r="J428">
        <f>IFERROR(INDEX('Green_rooibos initial weight'!$C$5:$C$2000,MATCH(H428, 'Green_rooibos initial weight'!$A$5:$A$2000,0)),"")</f>
        <v>2.093</v>
      </c>
      <c r="K428">
        <f>IFERROR(INDEX('Green_rooibos initial weight'!$C$5:$C$2000,MATCH(I428, 'Green_rooibos initial weight'!$A$5:$A$2000,0)),"")</f>
        <v>2.165</v>
      </c>
      <c r="L428" s="194">
        <f t="shared" si="35"/>
        <v>1.8431999999999999</v>
      </c>
      <c r="M428" s="194">
        <f>IF(K428&gt;0,(K428*$F$32-($F$29+$F$30)),"")</f>
        <v>1.9152</v>
      </c>
      <c r="N428" s="16">
        <f>IF('WetLitterbags placem_collection'!G135="","",'WetLitterbags placem_collection'!G135)</f>
        <v>42816</v>
      </c>
      <c r="O428" s="194">
        <f>IFERROR(INDEX('Both teabags AfterWet'!$C$3:$C$2000,MATCH(H428,'Both teabags AfterWet'!$A$3:$A$2000,0)),"")</f>
        <v>0.63380000000000003</v>
      </c>
      <c r="P428" s="194">
        <f>IFERROR(INDEX('Both teabags AfterWet'!$C$3:$C$2000,MATCH(I428,'Both teabags AfterWet'!$A$3:$A$2000,0)),"")</f>
        <v>1.5714999999999999</v>
      </c>
      <c r="Q428" s="194">
        <f t="shared" si="36"/>
        <v>0.48320000000000002</v>
      </c>
      <c r="R428" s="194">
        <f t="shared" si="36"/>
        <v>1.4208999999999998</v>
      </c>
      <c r="S428" s="194">
        <f t="shared" si="37"/>
        <v>0.73784722222222221</v>
      </c>
      <c r="T428" s="194">
        <f t="shared" si="38"/>
        <v>0.48371931908155191</v>
      </c>
      <c r="U428" s="194">
        <f t="shared" si="39"/>
        <v>0.7419068504594819</v>
      </c>
      <c r="V428">
        <f>IFERROR(IF((N428-G428)&gt;0,(IFERROR(N428-G428,"")),""),"")</f>
        <v>54</v>
      </c>
      <c r="W428" s="194">
        <f t="shared" si="40"/>
        <v>0.12369688572182636</v>
      </c>
      <c r="X428" s="194">
        <f t="shared" si="41"/>
        <v>1.4122690863154668E-2</v>
      </c>
      <c r="Y428" s="252" t="str">
        <f>IF(ISNUMBER(SEARCH("C",'WetLitterbags placem_collection'!$Y135)),"YES","NO")</f>
        <v>NO</v>
      </c>
      <c r="Z428" s="252" t="str">
        <f>IF(ISNUMBER(SEARCH("H", 'WetLitterbags placem_collection'!$Y135)),"YES","NO")</f>
        <v>NO</v>
      </c>
      <c r="AA428" s="252" t="str">
        <f>IF(ISNUMBER(SEARCH("R", 'WetLitterbags placem_collection'!$Y135)),"YES","NO")</f>
        <v>NO</v>
      </c>
      <c r="AB428" s="252" t="str">
        <f>IF(ISNUMBER(SEARCH("C", 'WetLitterbags placem_collection'!$W135)),"YES","NO")</f>
        <v>NO</v>
      </c>
      <c r="AC428" s="252" t="str">
        <f>IF(ISNUMBER(SEARCH("H", 'WetLitterbags placem_collection'!$W135)),"YES","NO")</f>
        <v>NO</v>
      </c>
      <c r="AD428" s="252" t="str">
        <f>IF(ISNUMBER(SEARCH("R", 'WetLitterbags placem_collection'!$W135)),"YES","NO")</f>
        <v>NO</v>
      </c>
    </row>
    <row r="429" spans="2:30">
      <c r="B429" t="str">
        <f>'Final data_for_R_analysis_Wetse'!A575</f>
        <v>Wet</v>
      </c>
      <c r="C429" s="260">
        <f>'Final data_for_R_analysis_Wetse'!B575</f>
        <v>134</v>
      </c>
      <c r="D429" t="s">
        <v>3820</v>
      </c>
      <c r="E429" t="s">
        <v>25</v>
      </c>
      <c r="F429" s="382">
        <v>6</v>
      </c>
      <c r="G429" s="16">
        <f>'WetLitterbags placem_collection'!E136</f>
        <v>42762</v>
      </c>
      <c r="H429" s="92" t="str">
        <f>'Final data_for_R_analysis_Wetse'!K575</f>
        <v>G820</v>
      </c>
      <c r="I429" t="str">
        <f>'Final data_for_R_analysis_Wetse'!K795</f>
        <v>R467</v>
      </c>
      <c r="J429">
        <f>IFERROR(INDEX('Green_rooibos initial weight'!$C$5:$C$2000,MATCH(H429, 'Green_rooibos initial weight'!$A$5:$A$2000,0)),"")</f>
        <v>1.927</v>
      </c>
      <c r="K429">
        <f>IFERROR(INDEX('Green_rooibos initial weight'!$C$5:$C$2000,MATCH(I429, 'Green_rooibos initial weight'!$A$5:$A$2000,0)),"")</f>
        <v>2.3140000000000001</v>
      </c>
      <c r="L429" s="194">
        <f t="shared" si="35"/>
        <v>1.6772</v>
      </c>
      <c r="M429" s="194">
        <f>IF(K429&gt;0,(K429*$F$32-($F$29+$F$30)),"")</f>
        <v>2.0642</v>
      </c>
      <c r="N429" s="16">
        <f>IF('WetLitterbags placem_collection'!G136="","",'WetLitterbags placem_collection'!G136)</f>
        <v>42816</v>
      </c>
      <c r="O429" s="194">
        <f>IFERROR(INDEX('Both teabags AfterWet'!$C$3:$C$2000,MATCH(H429,'Both teabags AfterWet'!$A$3:$A$2000,0)),"")</f>
        <v>0.53400000000000003</v>
      </c>
      <c r="P429" s="194">
        <f>IFERROR(INDEX('Both teabags AfterWet'!$C$3:$C$2000,MATCH(I429,'Both teabags AfterWet'!$A$3:$A$2000,0)),"")</f>
        <v>1.591</v>
      </c>
      <c r="Q429" s="194">
        <f t="shared" si="36"/>
        <v>0.38340000000000002</v>
      </c>
      <c r="R429" s="194">
        <f t="shared" si="36"/>
        <v>1.4403999999999999</v>
      </c>
      <c r="S429" s="194">
        <f t="shared" si="37"/>
        <v>0.77140472215597422</v>
      </c>
      <c r="T429" s="194">
        <f t="shared" si="38"/>
        <v>0.50571901024952237</v>
      </c>
      <c r="U429" s="194">
        <f t="shared" si="39"/>
        <v>0.69780060071698469</v>
      </c>
      <c r="V429">
        <f>IFERROR(IF((N429-G429)&gt;0,(IFERROR(N429-G429,"")),""),"")</f>
        <v>54</v>
      </c>
      <c r="W429" s="194">
        <f t="shared" si="40"/>
        <v>8.3842372736372628E-2</v>
      </c>
      <c r="X429" s="194">
        <f t="shared" si="41"/>
        <v>1.6855904272312667E-2</v>
      </c>
      <c r="Y429" s="252" t="str">
        <f>IF(ISNUMBER(SEARCH("C",'WetLitterbags placem_collection'!$Y136)),"YES","NO")</f>
        <v>NO</v>
      </c>
      <c r="Z429" s="252" t="str">
        <f>IF(ISNUMBER(SEARCH("H", 'WetLitterbags placem_collection'!$Y136)),"YES","NO")</f>
        <v>NO</v>
      </c>
      <c r="AA429" s="252" t="str">
        <f>IF(ISNUMBER(SEARCH("R", 'WetLitterbags placem_collection'!$Y136)),"YES","NO")</f>
        <v>NO</v>
      </c>
      <c r="AB429" s="252" t="str">
        <f>IF(ISNUMBER(SEARCH("C", 'WetLitterbags placem_collection'!$W136)),"YES","NO")</f>
        <v>NO</v>
      </c>
      <c r="AC429" s="252" t="str">
        <f>IF(ISNUMBER(SEARCH("H", 'WetLitterbags placem_collection'!$W136)),"YES","NO")</f>
        <v>NO</v>
      </c>
      <c r="AD429" s="252" t="str">
        <f>IF(ISNUMBER(SEARCH("R", 'WetLitterbags placem_collection'!$W136)),"YES","NO")</f>
        <v>NO</v>
      </c>
    </row>
    <row r="430" spans="2:30">
      <c r="B430" t="str">
        <f>'Final data_for_R_analysis_Wetse'!A576</f>
        <v>Wet</v>
      </c>
      <c r="C430" s="260">
        <f>'Final data_for_R_analysis_Wetse'!B576</f>
        <v>135</v>
      </c>
      <c r="D430" t="s">
        <v>3820</v>
      </c>
      <c r="E430" t="s">
        <v>25</v>
      </c>
      <c r="F430" s="382">
        <v>7</v>
      </c>
      <c r="G430" s="16">
        <f>'WetLitterbags placem_collection'!E137</f>
        <v>42762</v>
      </c>
      <c r="H430" s="92" t="str">
        <f>'Final data_for_R_analysis_Wetse'!K576</f>
        <v>G842</v>
      </c>
      <c r="I430" t="str">
        <f>'Final data_for_R_analysis_Wetse'!K796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35"/>
        <v>1.7172000000000001</v>
      </c>
      <c r="M430" s="194">
        <f>IF(K430&gt;0,(K430*$F$32-($F$29+$F$30)),"")</f>
        <v>1.9251999999999998</v>
      </c>
      <c r="N430" s="16">
        <f>IF('WetLitterbags placem_collection'!G137="","",'WetLitterbags placem_collection'!G137)</f>
        <v>42816</v>
      </c>
      <c r="O430" s="194">
        <f>IFERROR(INDEX('Both teabags AfterWet'!$C$3:$C$2000,MATCH(H430,'Both teabags AfterWet'!$A$3:$A$2000,0)),"")</f>
        <v>0.56399999999999995</v>
      </c>
      <c r="P430" s="194">
        <f>IFERROR(INDEX('Both teabags AfterWet'!$C$3:$C$2000,MATCH(I430,'Both teabags AfterWet'!$A$3:$A$2000,0)),"")</f>
        <v>1.512</v>
      </c>
      <c r="Q430" s="194">
        <f t="shared" si="36"/>
        <v>0.41339999999999993</v>
      </c>
      <c r="R430" s="194">
        <f t="shared" si="36"/>
        <v>1.3613999999999999</v>
      </c>
      <c r="S430" s="194">
        <f t="shared" si="37"/>
        <v>0.7592592592592593</v>
      </c>
      <c r="T430" s="194">
        <f t="shared" si="38"/>
        <v>0.49775666402744795</v>
      </c>
      <c r="U430" s="194">
        <f t="shared" si="39"/>
        <v>0.70714730937045511</v>
      </c>
      <c r="V430">
        <f>IFERROR(IF((N430-G430)&gt;0,(IFERROR(N430-G430,"")),""),"")</f>
        <v>54</v>
      </c>
      <c r="W430" s="194">
        <f t="shared" si="40"/>
        <v>9.8266912993753786E-2</v>
      </c>
      <c r="X430" s="194">
        <f t="shared" si="41"/>
        <v>1.6436479337256518E-2</v>
      </c>
      <c r="Y430" s="252" t="str">
        <f>IF(ISNUMBER(SEARCH("C",'WetLitterbags placem_collection'!$Y137)),"YES","NO")</f>
        <v>NO</v>
      </c>
      <c r="Z430" s="252" t="str">
        <f>IF(ISNUMBER(SEARCH("H", 'WetLitterbags placem_collection'!$Y137)),"YES","NO")</f>
        <v>NO</v>
      </c>
      <c r="AA430" s="252" t="str">
        <f>IF(ISNUMBER(SEARCH("R", 'WetLitterbags placem_collection'!$Y137)),"YES","NO")</f>
        <v>NO</v>
      </c>
      <c r="AB430" s="252" t="str">
        <f>IF(ISNUMBER(SEARCH("C", 'WetLitterbags placem_collection'!$W137)),"YES","NO")</f>
        <v>NO</v>
      </c>
      <c r="AC430" s="252" t="str">
        <f>IF(ISNUMBER(SEARCH("H", 'WetLitterbags placem_collection'!$W137)),"YES","NO")</f>
        <v>NO</v>
      </c>
      <c r="AD430" s="252" t="str">
        <f>IF(ISNUMBER(SEARCH("R", 'WetLitterbags placem_collection'!$W137)),"YES","NO")</f>
        <v>YES</v>
      </c>
    </row>
    <row r="431" spans="2:30">
      <c r="B431" t="str">
        <f>'Final data_for_R_analysis_Wetse'!A577</f>
        <v>Wet</v>
      </c>
      <c r="C431" s="260">
        <f>'Final data_for_R_analysis_Wetse'!B577</f>
        <v>136</v>
      </c>
      <c r="D431" t="s">
        <v>3820</v>
      </c>
      <c r="E431" t="s">
        <v>25</v>
      </c>
      <c r="F431" s="382">
        <v>8</v>
      </c>
      <c r="G431" s="16">
        <f>'WetLitterbags placem_collection'!E138</f>
        <v>42762</v>
      </c>
      <c r="H431" s="92" t="str">
        <f>'Final data_for_R_analysis_Wetse'!K577</f>
        <v>G747</v>
      </c>
      <c r="I431" t="str">
        <f>'Final data_for_R_analysis_Wetse'!K797</f>
        <v>R543</v>
      </c>
      <c r="J431">
        <f>IFERROR(INDEX('Green_rooibos initial weight'!$C$5:$C$2000,MATCH(H431, 'Green_rooibos initial weight'!$A$5:$A$2000,0)),"")</f>
        <v>2.044</v>
      </c>
      <c r="K431">
        <f>IFERROR(INDEX('Green_rooibos initial weight'!$C$5:$C$2000,MATCH(I431, 'Green_rooibos initial weight'!$A$5:$A$2000,0)),"")</f>
        <v>2.2730000000000001</v>
      </c>
      <c r="L431" s="194">
        <f t="shared" si="35"/>
        <v>1.7942</v>
      </c>
      <c r="M431" s="194">
        <f>IF(K431&gt;0,(K431*$F$32-($F$29+$F$30)),"")</f>
        <v>2.0232000000000001</v>
      </c>
      <c r="N431" s="16">
        <f>IF('WetLitterbags placem_collection'!G138="","",'WetLitterbags placem_collection'!G138)</f>
        <v>42816</v>
      </c>
      <c r="O431" s="194">
        <f>IFERROR(INDEX('Both teabags AfterWet'!$C$3:$C$2000,MATCH(H431,'Both teabags AfterWet'!$A$3:$A$2000,0)),"")</f>
        <v>0.59630000000000005</v>
      </c>
      <c r="P431" s="194">
        <f>IFERROR(INDEX('Both teabags AfterWet'!$C$3:$C$2000,MATCH(I431,'Both teabags AfterWet'!$A$3:$A$2000,0)),"")</f>
        <v>1.5604</v>
      </c>
      <c r="Q431" s="194">
        <f t="shared" si="36"/>
        <v>0.44570000000000004</v>
      </c>
      <c r="R431" s="194">
        <f t="shared" si="36"/>
        <v>1.4097999999999999</v>
      </c>
      <c r="S431" s="194">
        <f t="shared" si="37"/>
        <v>0.75158845167762789</v>
      </c>
      <c r="T431" s="194">
        <f t="shared" si="38"/>
        <v>0.49272782105231666</v>
      </c>
      <c r="U431" s="194">
        <f t="shared" si="39"/>
        <v>0.69681692368525106</v>
      </c>
      <c r="V431">
        <f>IFERROR(IF((N431-G431)&gt;0,(IFERROR(N431-G431,"")),""),"")</f>
        <v>54</v>
      </c>
      <c r="W431" s="194">
        <f t="shared" si="40"/>
        <v>0.10737713577478869</v>
      </c>
      <c r="X431" s="194">
        <f t="shared" si="41"/>
        <v>1.7691329959885146E-2</v>
      </c>
      <c r="Y431" s="252" t="str">
        <f>IF(ISNUMBER(SEARCH("C",'WetLitterbags placem_collection'!$Y138)),"YES","NO")</f>
        <v>NO</v>
      </c>
      <c r="Z431" s="252" t="str">
        <f>IF(ISNUMBER(SEARCH("H", 'WetLitterbags placem_collection'!$Y138)),"YES","NO")</f>
        <v>NO</v>
      </c>
      <c r="AA431" s="252" t="str">
        <f>IF(ISNUMBER(SEARCH("R", 'WetLitterbags placem_collection'!$Y138)),"YES","NO")</f>
        <v>YES</v>
      </c>
      <c r="AB431" s="252" t="str">
        <f>IF(ISNUMBER(SEARCH("C", 'WetLitterbags placem_collection'!$W138)),"YES","NO")</f>
        <v>NO</v>
      </c>
      <c r="AC431" s="252" t="str">
        <f>IF(ISNUMBER(SEARCH("H", 'WetLitterbags placem_collection'!$W138)),"YES","NO")</f>
        <v>NO</v>
      </c>
      <c r="AD431" s="252" t="str">
        <f>IF(ISNUMBER(SEARCH("R", 'WetLitterbags placem_collection'!$W138)),"YES","NO")</f>
        <v>YES</v>
      </c>
    </row>
    <row r="432" spans="2:30">
      <c r="B432" t="str">
        <f>'Final data_for_R_analysis_Wetse'!A578</f>
        <v>Wet</v>
      </c>
      <c r="C432" s="260">
        <f>'Final data_for_R_analysis_Wetse'!B578</f>
        <v>137</v>
      </c>
      <c r="D432" t="s">
        <v>3822</v>
      </c>
      <c r="E432" t="s">
        <v>25</v>
      </c>
      <c r="F432" s="381">
        <v>1</v>
      </c>
      <c r="G432" s="16">
        <f>'WetLitterbags placem_collection'!E139</f>
        <v>42762</v>
      </c>
      <c r="H432" s="92" t="str">
        <f>'Final data_for_R_analysis_Wetse'!K578</f>
        <v>G857</v>
      </c>
      <c r="I432" t="str">
        <f>'Final data_for_R_analysis_Wetse'!K798</f>
        <v>R483</v>
      </c>
      <c r="J432">
        <f>IFERROR(INDEX('Green_rooibos initial weight'!$C$5:$C$2000,MATCH(H432, 'Green_rooibos initial weight'!$A$5:$A$2000,0)),"")</f>
        <v>1.927</v>
      </c>
      <c r="K432">
        <f>IFERROR(INDEX('Green_rooibos initial weight'!$C$5:$C$2000,MATCH(I432, 'Green_rooibos initial weight'!$A$5:$A$2000,0)),"")</f>
        <v>2.1970000000000001</v>
      </c>
      <c r="L432" s="194">
        <f t="shared" si="35"/>
        <v>1.6772</v>
      </c>
      <c r="M432" s="194">
        <f>IF(K432&gt;0,(K432*$F$32-($F$29+$F$30)),"")</f>
        <v>1.9472</v>
      </c>
      <c r="N432" s="16">
        <f>IF('WetLitterbags placem_collection'!G139="","",'WetLitterbags placem_collection'!G139)</f>
        <v>42816</v>
      </c>
      <c r="O432" s="194">
        <f>IFERROR(INDEX('Both teabags AfterWet'!$C$3:$C$2000,MATCH(H432,'Both teabags AfterWet'!$A$3:$A$2000,0)),"")</f>
        <v>0.6</v>
      </c>
      <c r="P432" s="194">
        <f>IFERROR(INDEX('Both teabags AfterWet'!$C$3:$C$2000,MATCH(I432,'Both teabags AfterWet'!$A$3:$A$2000,0)),"")</f>
        <v>1.778</v>
      </c>
      <c r="Q432" s="194">
        <f t="shared" si="36"/>
        <v>0.44939999999999997</v>
      </c>
      <c r="R432" s="194">
        <f t="shared" si="36"/>
        <v>1.6274</v>
      </c>
      <c r="S432" s="194">
        <f t="shared" si="37"/>
        <v>0.73205342237061766</v>
      </c>
      <c r="T432" s="194">
        <f t="shared" si="38"/>
        <v>0.47992100849000119</v>
      </c>
      <c r="U432" s="194">
        <f t="shared" si="39"/>
        <v>0.83576417419884963</v>
      </c>
      <c r="V432">
        <f>IFERROR(IF((N432-G432)&gt;0,(IFERROR(N432-G432,"")),""),"")</f>
        <v>54</v>
      </c>
      <c r="W432" s="194">
        <f t="shared" si="40"/>
        <v>0.13057788317028773</v>
      </c>
      <c r="X432" s="194">
        <f t="shared" si="41"/>
        <v>7.7569641673095194E-3</v>
      </c>
      <c r="Y432" s="252" t="str">
        <f>IF(ISNUMBER(SEARCH("C",'WetLitterbags placem_collection'!$Y139)),"YES","NO")</f>
        <v>NO</v>
      </c>
      <c r="Z432" s="252" t="str">
        <f>IF(ISNUMBER(SEARCH("H", 'WetLitterbags placem_collection'!$Y139)),"YES","NO")</f>
        <v>NO</v>
      </c>
      <c r="AA432" s="252" t="str">
        <f>IF(ISNUMBER(SEARCH("R", 'WetLitterbags placem_collection'!$Y139)),"YES","NO")</f>
        <v>NO</v>
      </c>
      <c r="AB432" s="252" t="str">
        <f>IF(ISNUMBER(SEARCH("C", 'WetLitterbags placem_collection'!$W139)),"YES","NO")</f>
        <v>YES</v>
      </c>
      <c r="AC432" s="252" t="str">
        <f>IF(ISNUMBER(SEARCH("H", 'WetLitterbags placem_collection'!$W139)),"YES","NO")</f>
        <v>NO</v>
      </c>
      <c r="AD432" s="252" t="str">
        <f>IF(ISNUMBER(SEARCH("R", 'WetLitterbags placem_collection'!$W139)),"YES","NO")</f>
        <v>NO</v>
      </c>
    </row>
    <row r="433" spans="2:30">
      <c r="B433" t="str">
        <f>'Final data_for_R_analysis_Wetse'!A579</f>
        <v>Wet</v>
      </c>
      <c r="C433" s="260">
        <f>'Final data_for_R_analysis_Wetse'!B579</f>
        <v>138</v>
      </c>
      <c r="D433" t="s">
        <v>3822</v>
      </c>
      <c r="E433" t="s">
        <v>25</v>
      </c>
      <c r="F433" s="381">
        <v>2</v>
      </c>
      <c r="G433" s="16">
        <f>'WetLitterbags placem_collection'!E140</f>
        <v>42762</v>
      </c>
      <c r="H433" s="92" t="str">
        <f>'Final data_for_R_analysis_Wetse'!K579</f>
        <v>G623</v>
      </c>
      <c r="I433" t="str">
        <f>'Final data_for_R_analysis_Wetse'!K799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35"/>
        <v>1.8542000000000001</v>
      </c>
      <c r="M433" s="194">
        <f>IF(K433&gt;0,(K433*$F$32-($F$29+$F$30)),"")</f>
        <v>1.7751999999999999</v>
      </c>
      <c r="N433" s="16">
        <f>IF('WetLitterbags placem_collection'!G140="","",'WetLitterbags placem_collection'!G140)</f>
        <v>42816</v>
      </c>
      <c r="O433" s="194">
        <f>IFERROR(INDEX('Both teabags AfterWet'!$C$3:$C$2000,MATCH(H433,'Both teabags AfterWet'!$A$3:$A$2000,0)),"")</f>
        <v>0.64800000000000002</v>
      </c>
      <c r="P433" s="194">
        <f>IFERROR(INDEX('Both teabags AfterWet'!$C$3:$C$2000,MATCH(I433,'Both teabags AfterWet'!$A$3:$A$2000,0)),"")</f>
        <v>1.522</v>
      </c>
      <c r="Q433" s="194">
        <f t="shared" si="36"/>
        <v>0.49740000000000001</v>
      </c>
      <c r="R433" s="194">
        <f t="shared" si="36"/>
        <v>1.3714</v>
      </c>
      <c r="S433" s="194">
        <f t="shared" si="37"/>
        <v>0.73174414841980373</v>
      </c>
      <c r="T433" s="194">
        <f t="shared" si="38"/>
        <v>0.47971825407094026</v>
      </c>
      <c r="U433" s="194">
        <f t="shared" si="39"/>
        <v>0.77253267237494372</v>
      </c>
      <c r="V433">
        <f>IFERROR(IF((N433-G433)&gt;0,(IFERROR(N433-G433,"")),""),"")</f>
        <v>54</v>
      </c>
      <c r="W433" s="194">
        <f t="shared" si="40"/>
        <v>0.1309451919004706</v>
      </c>
      <c r="X433" s="194">
        <f t="shared" si="41"/>
        <v>1.1903233868994691E-2</v>
      </c>
      <c r="Y433" s="252" t="str">
        <f>IF(ISNUMBER(SEARCH("C",'WetLitterbags placem_collection'!$Y140)),"YES","NO")</f>
        <v>NO</v>
      </c>
      <c r="Z433" s="252" t="str">
        <f>IF(ISNUMBER(SEARCH("H", 'WetLitterbags placem_collection'!$Y140)),"YES","NO")</f>
        <v>NO</v>
      </c>
      <c r="AA433" s="252" t="str">
        <f>IF(ISNUMBER(SEARCH("R", 'WetLitterbags placem_collection'!$Y140)),"YES","NO")</f>
        <v>NO</v>
      </c>
      <c r="AB433" s="252" t="str">
        <f>IF(ISNUMBER(SEARCH("C", 'WetLitterbags placem_collection'!$W140)),"YES","NO")</f>
        <v>NO</v>
      </c>
      <c r="AC433" s="252" t="str">
        <f>IF(ISNUMBER(SEARCH("H", 'WetLitterbags placem_collection'!$W140)),"YES","NO")</f>
        <v>NO</v>
      </c>
      <c r="AD433" s="252" t="str">
        <f>IF(ISNUMBER(SEARCH("R", 'WetLitterbags placem_collection'!$W140)),"YES","NO")</f>
        <v>NO</v>
      </c>
    </row>
    <row r="434" spans="2:30">
      <c r="B434" t="str">
        <f>'Final data_for_R_analysis_Wetse'!A580</f>
        <v>Wet</v>
      </c>
      <c r="C434" s="260">
        <f>'Final data_for_R_analysis_Wetse'!B580</f>
        <v>139</v>
      </c>
      <c r="D434" t="s">
        <v>3822</v>
      </c>
      <c r="E434" t="s">
        <v>25</v>
      </c>
      <c r="F434" s="381">
        <v>3</v>
      </c>
      <c r="G434" s="16">
        <f>'WetLitterbags placem_collection'!E141</f>
        <v>42762</v>
      </c>
      <c r="H434" s="92" t="str">
        <f>'Final data_for_R_analysis_Wetse'!K580</f>
        <v>G880</v>
      </c>
      <c r="I434" t="str">
        <f>'Final data_for_R_analysis_Wetse'!K800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35"/>
        <v>1.8532000000000002</v>
      </c>
      <c r="M434" s="194">
        <f>IF(K434&gt;0,(K434*$F$32-($F$29+$F$30)),"")</f>
        <v>1.9502000000000002</v>
      </c>
      <c r="N434" s="16">
        <f>IF('WetLitterbags placem_collection'!G141="","",'WetLitterbags placem_collection'!G141)</f>
        <v>42816</v>
      </c>
      <c r="O434" s="194">
        <f>IFERROR(INDEX('Both teabags AfterWet'!$C$3:$C$2000,MATCH(H434,'Both teabags AfterWet'!$A$3:$A$2000,0)),"")</f>
        <v>0.73599999999999999</v>
      </c>
      <c r="P434" s="194">
        <f>IFERROR(INDEX('Both teabags AfterWet'!$C$3:$C$2000,MATCH(I434,'Both teabags AfterWet'!$A$3:$A$2000,0)),"")</f>
        <v>1.415</v>
      </c>
      <c r="Q434" s="194">
        <f t="shared" si="36"/>
        <v>0.58539999999999992</v>
      </c>
      <c r="R434" s="194">
        <f t="shared" si="36"/>
        <v>1.2644</v>
      </c>
      <c r="S434" s="194">
        <f t="shared" si="37"/>
        <v>0.68411396503345578</v>
      </c>
      <c r="T434" s="194">
        <f t="shared" si="38"/>
        <v>0.44849276567513968</v>
      </c>
      <c r="U434" s="194">
        <f t="shared" si="39"/>
        <v>0.6483437596143985</v>
      </c>
      <c r="V434">
        <f>IFERROR(IF((N434-G434)&gt;0,(IFERROR(N434-G434,"")),""),"")</f>
        <v>54</v>
      </c>
      <c r="W434" s="194">
        <f t="shared" si="40"/>
        <v>0.1875131056609789</v>
      </c>
      <c r="X434" s="194">
        <f t="shared" si="41"/>
        <v>2.838645001556955E-2</v>
      </c>
      <c r="Y434" s="252" t="str">
        <f>IF(ISNUMBER(SEARCH("C",'WetLitterbags placem_collection'!$Y141)),"YES","NO")</f>
        <v>NO</v>
      </c>
      <c r="Z434" s="252" t="str">
        <f>IF(ISNUMBER(SEARCH("H", 'WetLitterbags placem_collection'!$Y141)),"YES","NO")</f>
        <v>NO</v>
      </c>
      <c r="AA434" s="252" t="str">
        <f>IF(ISNUMBER(SEARCH("R", 'WetLitterbags placem_collection'!$Y141)),"YES","NO")</f>
        <v>NO</v>
      </c>
      <c r="AB434" s="252" t="str">
        <f>IF(ISNUMBER(SEARCH("C", 'WetLitterbags placem_collection'!$W141)),"YES","NO")</f>
        <v>YES</v>
      </c>
      <c r="AC434" s="252" t="str">
        <f>IF(ISNUMBER(SEARCH("H", 'WetLitterbags placem_collection'!$W141)),"YES","NO")</f>
        <v>YES</v>
      </c>
      <c r="AD434" s="252" t="str">
        <f>IF(ISNUMBER(SEARCH("R", 'WetLitterbags placem_collection'!$W141)),"YES","NO")</f>
        <v>YES</v>
      </c>
    </row>
    <row r="435" spans="2:30">
      <c r="B435" t="str">
        <f>'Final data_for_R_analysis_Wetse'!A581</f>
        <v>Wet</v>
      </c>
      <c r="C435" s="260">
        <f>'Final data_for_R_analysis_Wetse'!B581</f>
        <v>140</v>
      </c>
      <c r="D435" t="s">
        <v>3822</v>
      </c>
      <c r="E435" t="s">
        <v>25</v>
      </c>
      <c r="F435" s="382">
        <v>4</v>
      </c>
      <c r="G435" s="16">
        <f>'WetLitterbags placem_collection'!E142</f>
        <v>42762</v>
      </c>
      <c r="H435" s="92" t="str">
        <f>'Final data_for_R_analysis_Wetse'!K581</f>
        <v>G706</v>
      </c>
      <c r="I435" t="str">
        <f>'Final data_for_R_analysis_Wetse'!K801</f>
        <v>R559</v>
      </c>
      <c r="J435">
        <f>IFERROR(INDEX('Green_rooibos initial weight'!$C$5:$C$2000,MATCH(H435, 'Green_rooibos initial weight'!$A$5:$A$2000,0)),"")</f>
        <v>1.9450000000000001</v>
      </c>
      <c r="K435">
        <f>IFERROR(INDEX('Green_rooibos initial weight'!$C$5:$C$2000,MATCH(I435, 'Green_rooibos initial weight'!$A$5:$A$2000,0)),"")</f>
        <v>2.161</v>
      </c>
      <c r="L435" s="194">
        <f t="shared" si="35"/>
        <v>1.6952</v>
      </c>
      <c r="M435" s="194">
        <f>IF(K435&gt;0,(K435*$F$32-($F$29+$F$30)),"")</f>
        <v>1.9112</v>
      </c>
      <c r="N435" s="16">
        <f>IF('WetLitterbags placem_collection'!G142="","",'WetLitterbags placem_collection'!G142)</f>
        <v>42816</v>
      </c>
      <c r="O435" s="194">
        <f>IFERROR(INDEX('Both teabags AfterWet'!$C$3:$C$2000,MATCH(H435,'Both teabags AfterWet'!$A$3:$A$2000,0)),"")</f>
        <v>0.60780000000000001</v>
      </c>
      <c r="P435" s="194">
        <f>IFERROR(INDEX('Both teabags AfterWet'!$C$3:$C$2000,MATCH(I435,'Both teabags AfterWet'!$A$3:$A$2000,0)),"")</f>
        <v>1.6634</v>
      </c>
      <c r="Q435" s="194">
        <f t="shared" si="36"/>
        <v>0.4572</v>
      </c>
      <c r="R435" s="194">
        <f t="shared" si="36"/>
        <v>1.5127999999999999</v>
      </c>
      <c r="S435" s="194">
        <f t="shared" si="37"/>
        <v>0.73029731005191123</v>
      </c>
      <c r="T435" s="194">
        <f t="shared" si="38"/>
        <v>0.47876973295564734</v>
      </c>
      <c r="U435" s="194">
        <f t="shared" si="39"/>
        <v>0.79154457932189193</v>
      </c>
      <c r="V435">
        <f>IFERROR(IF((N435-G435)&gt;0,(IFERROR(N435-G435,"")),""),"")</f>
        <v>54</v>
      </c>
      <c r="W435" s="194">
        <f t="shared" si="40"/>
        <v>0.13266352725426211</v>
      </c>
      <c r="X435" s="194">
        <f t="shared" si="41"/>
        <v>1.0585821404153662E-2</v>
      </c>
      <c r="Y435" s="252" t="str">
        <f>IF(ISNUMBER(SEARCH("C",'WetLitterbags placem_collection'!$Y142)),"YES","NO")</f>
        <v>NO</v>
      </c>
      <c r="Z435" s="252" t="str">
        <f>IF(ISNUMBER(SEARCH("H", 'WetLitterbags placem_collection'!$Y142)),"YES","NO")</f>
        <v>NO</v>
      </c>
      <c r="AA435" s="252" t="str">
        <f>IF(ISNUMBER(SEARCH("R", 'WetLitterbags placem_collection'!$Y142)),"YES","NO")</f>
        <v>NO</v>
      </c>
      <c r="AB435" s="252" t="str">
        <f>IF(ISNUMBER(SEARCH("C", 'WetLitterbags placem_collection'!$W142)),"YES","NO")</f>
        <v>NO</v>
      </c>
      <c r="AC435" s="252" t="str">
        <f>IF(ISNUMBER(SEARCH("H", 'WetLitterbags placem_collection'!$W142)),"YES","NO")</f>
        <v>NO</v>
      </c>
      <c r="AD435" s="252" t="str">
        <f>IF(ISNUMBER(SEARCH("R", 'WetLitterbags placem_collection'!$W142)),"YES","NO")</f>
        <v>YES</v>
      </c>
    </row>
    <row r="436" spans="2:30">
      <c r="B436" t="str">
        <f>'Final data_for_R_analysis_Wetse'!A582</f>
        <v>Wet</v>
      </c>
      <c r="C436" s="260">
        <f>'Final data_for_R_analysis_Wetse'!B582</f>
        <v>141</v>
      </c>
      <c r="D436" t="s">
        <v>3822</v>
      </c>
      <c r="E436" t="s">
        <v>25</v>
      </c>
      <c r="F436" s="382">
        <v>5</v>
      </c>
      <c r="G436" s="16">
        <f>'WetLitterbags placem_collection'!E143</f>
        <v>42762</v>
      </c>
      <c r="H436" s="92" t="str">
        <f>'Final data_for_R_analysis_Wetse'!K582</f>
        <v>G775</v>
      </c>
      <c r="I436" t="str">
        <f>'Final data_for_R_analysis_Wetse'!K802</f>
        <v>R465</v>
      </c>
      <c r="J436">
        <f>IFERROR(INDEX('Green_rooibos initial weight'!$C$5:$C$2000,MATCH(H436, 'Green_rooibos initial weight'!$A$5:$A$2000,0)),"")</f>
        <v>2.1389999999999998</v>
      </c>
      <c r="K436">
        <f>IFERROR(INDEX('Green_rooibos initial weight'!$C$5:$C$2000,MATCH(I436, 'Green_rooibos initial weight'!$A$5:$A$2000,0)),"")</f>
        <v>2.206</v>
      </c>
      <c r="L436" s="194">
        <f t="shared" si="35"/>
        <v>1.8891999999999998</v>
      </c>
      <c r="M436" s="194">
        <f>IF(K436&gt;0,(K436*$F$32-($F$29+$F$30)),"")</f>
        <v>1.9561999999999999</v>
      </c>
      <c r="N436" s="16">
        <f>IF('WetLitterbags placem_collection'!G143="","",'WetLitterbags placem_collection'!G143)</f>
        <v>42816</v>
      </c>
      <c r="O436" s="194">
        <f>IFERROR(INDEX('Both teabags AfterWet'!$C$3:$C$2000,MATCH(H436,'Both teabags AfterWet'!$A$3:$A$2000,0)),"")</f>
        <v>0.69099999999999995</v>
      </c>
      <c r="P436" s="194">
        <f>IFERROR(INDEX('Both teabags AfterWet'!$C$3:$C$2000,MATCH(I436,'Both teabags AfterWet'!$A$3:$A$2000,0)),"")</f>
        <v>1.6759999999999999</v>
      </c>
      <c r="Q436" s="194">
        <f t="shared" si="36"/>
        <v>0.54039999999999999</v>
      </c>
      <c r="R436" s="194">
        <f t="shared" si="36"/>
        <v>1.5253999999999999</v>
      </c>
      <c r="S436" s="194">
        <f t="shared" si="37"/>
        <v>0.71395299597713313</v>
      </c>
      <c r="T436" s="194">
        <f t="shared" si="38"/>
        <v>0.46805469569997332</v>
      </c>
      <c r="U436" s="194">
        <f t="shared" si="39"/>
        <v>0.77977711890399748</v>
      </c>
      <c r="V436">
        <f>IFERROR(IF((N436-G436)&gt;0,(IFERROR(N436-G436,"")),""),"")</f>
        <v>54</v>
      </c>
      <c r="W436" s="194">
        <f t="shared" si="40"/>
        <v>0.15207482663048322</v>
      </c>
      <c r="X436" s="194">
        <f t="shared" si="41"/>
        <v>1.1774718723263489E-2</v>
      </c>
      <c r="Y436" s="252" t="str">
        <f>IF(ISNUMBER(SEARCH("C",'WetLitterbags placem_collection'!$Y143)),"YES","NO")</f>
        <v>NO</v>
      </c>
      <c r="Z436" s="252" t="str">
        <f>IF(ISNUMBER(SEARCH("H", 'WetLitterbags placem_collection'!$Y143)),"YES","NO")</f>
        <v>NO</v>
      </c>
      <c r="AA436" s="252" t="str">
        <f>IF(ISNUMBER(SEARCH("R", 'WetLitterbags placem_collection'!$Y143)),"YES","NO")</f>
        <v>NO</v>
      </c>
      <c r="AB436" s="252" t="str">
        <f>IF(ISNUMBER(SEARCH("C", 'WetLitterbags placem_collection'!$W143)),"YES","NO")</f>
        <v>YES</v>
      </c>
      <c r="AC436" s="252" t="str">
        <f>IF(ISNUMBER(SEARCH("H", 'WetLitterbags placem_collection'!$W143)),"YES","NO")</f>
        <v>YES</v>
      </c>
      <c r="AD436" s="252" t="str">
        <f>IF(ISNUMBER(SEARCH("R", 'WetLitterbags placem_collection'!$W143)),"YES","NO")</f>
        <v>YES</v>
      </c>
    </row>
    <row r="437" spans="2:30">
      <c r="B437" t="str">
        <f>'Final data_for_R_analysis_Wetse'!A583</f>
        <v>Wet</v>
      </c>
      <c r="C437" s="260">
        <f>'Final data_for_R_analysis_Wetse'!B583</f>
        <v>142</v>
      </c>
      <c r="D437" t="s">
        <v>3822</v>
      </c>
      <c r="E437" t="s">
        <v>25</v>
      </c>
      <c r="F437" s="382">
        <v>6</v>
      </c>
      <c r="G437" s="16">
        <f>'WetLitterbags placem_collection'!E144</f>
        <v>42762</v>
      </c>
      <c r="H437" s="92" t="str">
        <f>'Final data_for_R_analysis_Wetse'!K583</f>
        <v>G850</v>
      </c>
      <c r="I437" t="str">
        <f>'Final data_for_R_analysis_Wetse'!K803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35"/>
        <v>1.7881999999999998</v>
      </c>
      <c r="M437" s="194">
        <f>IF(K437&gt;0,(K437*$F$32-($F$29+$F$30)),"")</f>
        <v>1.9211999999999998</v>
      </c>
      <c r="N437" s="16">
        <f>IF('WetLitterbags placem_collection'!G144="","",'WetLitterbags placem_collection'!G144)</f>
        <v>42816</v>
      </c>
      <c r="O437" s="194">
        <f>IFERROR(INDEX('Both teabags AfterWet'!$C$3:$C$2000,MATCH(H437,'Both teabags AfterWet'!$A$3:$A$2000,0)),"")</f>
        <v>0.78500000000000003</v>
      </c>
      <c r="P437" s="194">
        <f>IFERROR(INDEX('Both teabags AfterWet'!$C$3:$C$2000,MATCH(I437,'Both teabags AfterWet'!$A$3:$A$2000,0)),"")</f>
        <v>1.0640000000000001</v>
      </c>
      <c r="Q437" s="194">
        <f t="shared" si="36"/>
        <v>0.63440000000000007</v>
      </c>
      <c r="R437" s="194">
        <f t="shared" si="36"/>
        <v>0.91339999999999999</v>
      </c>
      <c r="S437" s="194">
        <f t="shared" si="37"/>
        <v>0.64522984006263273</v>
      </c>
      <c r="T437" s="194">
        <f t="shared" si="38"/>
        <v>0.42300103529046712</v>
      </c>
      <c r="U437" s="194">
        <f t="shared" si="39"/>
        <v>0.47543202165313353</v>
      </c>
      <c r="V437">
        <f>IFERROR(IF((N437-G437)&gt;0,(IFERROR(N437-G437,"")),""),"")</f>
        <v>54</v>
      </c>
      <c r="W437" s="194">
        <f t="shared" si="40"/>
        <v>0.23369377664770452</v>
      </c>
      <c r="X437" s="194" t="str">
        <f t="shared" si="41"/>
        <v/>
      </c>
      <c r="Y437" s="252" t="str">
        <f>IF(ISNUMBER(SEARCH("C",'WetLitterbags placem_collection'!$Y144)),"YES","NO")</f>
        <v>NO</v>
      </c>
      <c r="Z437" s="252" t="str">
        <f>IF(ISNUMBER(SEARCH("H", 'WetLitterbags placem_collection'!$Y144)),"YES","NO")</f>
        <v>NO</v>
      </c>
      <c r="AA437" s="252" t="str">
        <f>IF(ISNUMBER(SEARCH("R", 'WetLitterbags placem_collection'!$Y144)),"YES","NO")</f>
        <v>YES</v>
      </c>
      <c r="AB437" s="252" t="str">
        <f>IF(ISNUMBER(SEARCH("C", 'WetLitterbags placem_collection'!$W144)),"YES","NO")</f>
        <v>NO</v>
      </c>
      <c r="AC437" s="252" t="str">
        <f>IF(ISNUMBER(SEARCH("H", 'WetLitterbags placem_collection'!$W144)),"YES","NO")</f>
        <v>YES</v>
      </c>
      <c r="AD437" s="252" t="str">
        <f>IF(ISNUMBER(SEARCH("R", 'WetLitterbags placem_collection'!$W144)),"YES","NO")</f>
        <v>NO</v>
      </c>
    </row>
    <row r="438" spans="2:30">
      <c r="B438" t="str">
        <f>'Final data_for_R_analysis_Wetse'!A584</f>
        <v>Wet</v>
      </c>
      <c r="C438" s="260">
        <f>'Final data_for_R_analysis_Wetse'!B584</f>
        <v>143</v>
      </c>
      <c r="D438" t="s">
        <v>3822</v>
      </c>
      <c r="E438" t="s">
        <v>25</v>
      </c>
      <c r="F438" s="382">
        <v>7</v>
      </c>
      <c r="G438" s="16">
        <f>'WetLitterbags placem_collection'!E145</f>
        <v>42762</v>
      </c>
      <c r="H438" s="92" t="str">
        <f>'Final data_for_R_analysis_Wetse'!K584</f>
        <v>G697</v>
      </c>
      <c r="I438" t="str">
        <f>'Final data_for_R_analysis_Wetse'!K804</f>
        <v>R567</v>
      </c>
      <c r="J438">
        <f>IFERROR(INDEX('Green_rooibos initial weight'!$C$5:$C$2000,MATCH(H438, 'Green_rooibos initial weight'!$A$5:$A$2000,0)),"")</f>
        <v>2.1110000000000002</v>
      </c>
      <c r="K438">
        <f>IFERROR(INDEX('Green_rooibos initial weight'!$C$5:$C$2000,MATCH(I438, 'Green_rooibos initial weight'!$A$5:$A$2000,0)),"")</f>
        <v>2.097</v>
      </c>
      <c r="L438" s="194">
        <f t="shared" si="35"/>
        <v>1.8612000000000002</v>
      </c>
      <c r="M438" s="194">
        <f>IF(K438&gt;0,(K438*$F$32-($F$29+$F$30)),"")</f>
        <v>1.8472</v>
      </c>
      <c r="N438" s="16">
        <f>IF('WetLitterbags placem_collection'!G145="","",'WetLitterbags placem_collection'!G145)</f>
        <v>42816</v>
      </c>
      <c r="O438" s="194">
        <f>IFERROR(INDEX('Both teabags AfterWet'!$C$3:$C$2000,MATCH(H438,'Both teabags AfterWet'!$A$3:$A$2000,0)),"")</f>
        <v>0.67500000000000004</v>
      </c>
      <c r="P438" s="194">
        <f>IFERROR(INDEX('Both teabags AfterWet'!$C$3:$C$2000,MATCH(I438,'Both teabags AfterWet'!$A$3:$A$2000,0)),"")</f>
        <v>1.5908</v>
      </c>
      <c r="Q438" s="194">
        <f t="shared" si="36"/>
        <v>0.52439999999999998</v>
      </c>
      <c r="R438" s="194">
        <f t="shared" si="36"/>
        <v>1.4401999999999999</v>
      </c>
      <c r="S438" s="194">
        <f t="shared" si="37"/>
        <v>0.71824629271437779</v>
      </c>
      <c r="T438" s="194">
        <f t="shared" si="38"/>
        <v>0.4708693035372169</v>
      </c>
      <c r="U438" s="194">
        <f t="shared" si="39"/>
        <v>0.77966652230402766</v>
      </c>
      <c r="V438">
        <f>IFERROR(IF((N438-G438)&gt;0,(IFERROR(N438-G438,"")),""),"")</f>
        <v>54</v>
      </c>
      <c r="W438" s="194">
        <f t="shared" si="40"/>
        <v>0.14697589938909994</v>
      </c>
      <c r="X438" s="194">
        <f t="shared" si="41"/>
        <v>1.1684789642562268E-2</v>
      </c>
      <c r="Y438" s="252" t="str">
        <f>IF(ISNUMBER(SEARCH("C",'WetLitterbags placem_collection'!$Y145)),"YES","NO")</f>
        <v>NO</v>
      </c>
      <c r="Z438" s="252" t="str">
        <f>IF(ISNUMBER(SEARCH("H", 'WetLitterbags placem_collection'!$Y145)),"YES","NO")</f>
        <v>NO</v>
      </c>
      <c r="AA438" s="252" t="str">
        <f>IF(ISNUMBER(SEARCH("R", 'WetLitterbags placem_collection'!$Y145)),"YES","NO")</f>
        <v>NO</v>
      </c>
      <c r="AB438" s="252" t="str">
        <f>IF(ISNUMBER(SEARCH("C", 'WetLitterbags placem_collection'!$W145)),"YES","NO")</f>
        <v>NO</v>
      </c>
      <c r="AC438" s="252" t="str">
        <f>IF(ISNUMBER(SEARCH("H", 'WetLitterbags placem_collection'!$W145)),"YES","NO")</f>
        <v>NO</v>
      </c>
      <c r="AD438" s="252" t="str">
        <f>IF(ISNUMBER(SEARCH("R", 'WetLitterbags placem_collection'!$W145)),"YES","NO")</f>
        <v>NO</v>
      </c>
    </row>
    <row r="439" spans="2:30">
      <c r="B439" t="str">
        <f>'Final data_for_R_analysis_Wetse'!A585</f>
        <v>Wet</v>
      </c>
      <c r="C439" s="260">
        <f>'Final data_for_R_analysis_Wetse'!B585</f>
        <v>144</v>
      </c>
      <c r="D439" t="s">
        <v>3822</v>
      </c>
      <c r="E439" t="s">
        <v>25</v>
      </c>
      <c r="F439" s="382">
        <v>8</v>
      </c>
      <c r="G439" s="16">
        <f>'WetLitterbags placem_collection'!E146</f>
        <v>42762</v>
      </c>
      <c r="H439" s="92" t="str">
        <f>'Final data_for_R_analysis_Wetse'!K585</f>
        <v>G894</v>
      </c>
      <c r="I439" t="str">
        <f>'Final data_for_R_analysis_Wetse'!K805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35"/>
        <v>1.7132000000000001</v>
      </c>
      <c r="M439" s="194">
        <f>IF(K439&gt;0,(K439*$F$32-($F$29+$F$30)),"")</f>
        <v>1.9771999999999998</v>
      </c>
      <c r="N439" s="16">
        <f>IF('WetLitterbags placem_collection'!G146="","",'WetLitterbags placem_collection'!G146)</f>
        <v>42816</v>
      </c>
      <c r="O439" s="194">
        <f>IFERROR(INDEX('Both teabags AfterWet'!$C$3:$C$2000,MATCH(H439,'Both teabags AfterWet'!$A$3:$A$2000,0)),"")</f>
        <v>0.68200000000000005</v>
      </c>
      <c r="P439" s="194">
        <f>IFERROR(INDEX('Both teabags AfterWet'!$C$3:$C$2000,MATCH(I439,'Both teabags AfterWet'!$A$3:$A$2000,0)),"")</f>
        <v>1.7290000000000001</v>
      </c>
      <c r="Q439" s="194">
        <f t="shared" si="36"/>
        <v>0.53140000000000009</v>
      </c>
      <c r="R439" s="194">
        <f t="shared" si="36"/>
        <v>1.5784</v>
      </c>
      <c r="S439" s="194">
        <f t="shared" si="37"/>
        <v>0.68982021947233241</v>
      </c>
      <c r="T439" s="194">
        <f t="shared" si="38"/>
        <v>0.45223368307449829</v>
      </c>
      <c r="U439" s="194">
        <f t="shared" si="39"/>
        <v>0.79830062714950445</v>
      </c>
      <c r="V439">
        <f>IFERROR(IF((N439-G439)&gt;0,(IFERROR(N439-G439,"")),""),"")</f>
        <v>54</v>
      </c>
      <c r="W439" s="194">
        <f t="shared" si="40"/>
        <v>0.18073608138677855</v>
      </c>
      <c r="X439" s="194">
        <f t="shared" si="41"/>
        <v>1.0937095668136587E-2</v>
      </c>
      <c r="Y439" s="252" t="str">
        <f>IF(ISNUMBER(SEARCH("C",'WetLitterbags placem_collection'!$Y146)),"YES","NO")</f>
        <v>NO</v>
      </c>
      <c r="Z439" s="252" t="str">
        <f>IF(ISNUMBER(SEARCH("H", 'WetLitterbags placem_collection'!$Y146)),"YES","NO")</f>
        <v>NO</v>
      </c>
      <c r="AA439" s="252" t="str">
        <f>IF(ISNUMBER(SEARCH("R", 'WetLitterbags placem_collection'!$Y146)),"YES","NO")</f>
        <v>NO</v>
      </c>
      <c r="AB439" s="252" t="str">
        <f>IF(ISNUMBER(SEARCH("C", 'WetLitterbags placem_collection'!$W146)),"YES","NO")</f>
        <v>NO</v>
      </c>
      <c r="AC439" s="252" t="str">
        <f>IF(ISNUMBER(SEARCH("H", 'WetLitterbags placem_collection'!$W146)),"YES","NO")</f>
        <v>YES</v>
      </c>
      <c r="AD439" s="252" t="str">
        <f>IF(ISNUMBER(SEARCH("R", 'WetLitterbags placem_collection'!$W146)),"YES","NO")</f>
        <v>NO</v>
      </c>
    </row>
    <row r="440" spans="2:30">
      <c r="B440" t="str">
        <f>'Final data_for_R_analysis_Wetse'!A586</f>
        <v>Wet</v>
      </c>
      <c r="C440" s="260">
        <f>'Final data_for_R_analysis_Wetse'!B586</f>
        <v>145</v>
      </c>
      <c r="D440" t="s">
        <v>3823</v>
      </c>
      <c r="E440" t="s">
        <v>25</v>
      </c>
      <c r="F440" s="381">
        <v>1</v>
      </c>
      <c r="G440" s="16">
        <f>'WetLitterbags placem_collection'!E147</f>
        <v>42762</v>
      </c>
      <c r="H440" s="92" t="str">
        <f>'Final data_for_R_analysis_Wetse'!K586</f>
        <v>G653</v>
      </c>
      <c r="I440" t="str">
        <f>'Final data_for_R_analysis_Wetse'!K806</f>
        <v>R40</v>
      </c>
      <c r="J440">
        <f>IFERROR(INDEX('Green_rooibos initial weight'!$C$5:$C$2000,MATCH(H440, 'Green_rooibos initial weight'!$A$5:$A$2000,0)),"")</f>
        <v>2.089</v>
      </c>
      <c r="K440">
        <f>IFERROR(INDEX('Green_rooibos initial weight'!$C$5:$C$2000,MATCH(I440, 'Green_rooibos initial weight'!$A$5:$A$2000,0)),"")</f>
        <v>2.121</v>
      </c>
      <c r="L440" s="194">
        <f t="shared" si="35"/>
        <v>1.8391999999999999</v>
      </c>
      <c r="M440" s="194">
        <f>IF(K440&gt;0,(K440*$F$32-($F$29+$F$30)),"")</f>
        <v>1.8712</v>
      </c>
      <c r="N440" s="16">
        <f>IF('WetLitterbags placem_collection'!G147="","",'WetLitterbags placem_collection'!G147)</f>
        <v>42815</v>
      </c>
      <c r="O440" s="194">
        <f>IFERROR(INDEX('Both teabags AfterWet'!$C$3:$C$2000,MATCH(H440,'Both teabags AfterWet'!$A$3:$A$2000,0)),"")</f>
        <v>0.69799999999999995</v>
      </c>
      <c r="P440" s="194">
        <f>IFERROR(INDEX('Both teabags AfterWet'!$C$3:$C$2000,MATCH(I440,'Both teabags AfterWet'!$A$3:$A$2000,0)),"")</f>
        <v>1.589</v>
      </c>
      <c r="Q440" s="194">
        <f t="shared" si="36"/>
        <v>0.54739999999999989</v>
      </c>
      <c r="R440" s="194">
        <f t="shared" si="36"/>
        <v>1.4383999999999999</v>
      </c>
      <c r="S440" s="194">
        <f t="shared" si="37"/>
        <v>0.70237059591126583</v>
      </c>
      <c r="T440" s="194">
        <f t="shared" si="38"/>
        <v>0.46046148330524794</v>
      </c>
      <c r="U440" s="194">
        <f t="shared" si="39"/>
        <v>0.76870457460453179</v>
      </c>
      <c r="V440">
        <f>IFERROR(IF((N440-G440)&gt;0,(IFERROR(N440-G440,"")),""),"")</f>
        <v>53</v>
      </c>
      <c r="W440" s="194">
        <f t="shared" si="40"/>
        <v>0.16583064618614507</v>
      </c>
      <c r="X440" s="194">
        <f t="shared" si="41"/>
        <v>1.3165704277186913E-2</v>
      </c>
      <c r="Y440" s="252" t="str">
        <f>IF(ISNUMBER(SEARCH("C",'WetLitterbags placem_collection'!$Y147)),"YES","NO")</f>
        <v>NO</v>
      </c>
      <c r="Z440" s="252" t="str">
        <f>IF(ISNUMBER(SEARCH("H", 'WetLitterbags placem_collection'!$Y147)),"YES","NO")</f>
        <v>NO</v>
      </c>
      <c r="AA440" s="252" t="str">
        <f>IF(ISNUMBER(SEARCH("R", 'WetLitterbags placem_collection'!$Y147)),"YES","NO")</f>
        <v>NO</v>
      </c>
      <c r="AB440" s="252" t="str">
        <f>IF(ISNUMBER(SEARCH("C", 'WetLitterbags placem_collection'!$W147)),"YES","NO")</f>
        <v>NO</v>
      </c>
      <c r="AC440" s="252" t="str">
        <f>IF(ISNUMBER(SEARCH("H", 'WetLitterbags placem_collection'!$W147)),"YES","NO")</f>
        <v>NO</v>
      </c>
      <c r="AD440" s="252" t="str">
        <f>IF(ISNUMBER(SEARCH("R", 'WetLitterbags placem_collection'!$W147)),"YES","NO")</f>
        <v>NO</v>
      </c>
    </row>
    <row r="441" spans="2:30">
      <c r="B441" t="str">
        <f>'Final data_for_R_analysis_Wetse'!A587</f>
        <v>Wet</v>
      </c>
      <c r="C441" s="260">
        <f>'Final data_for_R_analysis_Wetse'!B587</f>
        <v>146</v>
      </c>
      <c r="D441" t="s">
        <v>3823</v>
      </c>
      <c r="E441" t="s">
        <v>25</v>
      </c>
      <c r="F441" s="381">
        <v>2</v>
      </c>
      <c r="G441" s="16">
        <f>'WetLitterbags placem_collection'!E148</f>
        <v>42762</v>
      </c>
      <c r="H441" s="92" t="str">
        <f>'Final data_for_R_analysis_Wetse'!K587</f>
        <v>G762</v>
      </c>
      <c r="I441" t="str">
        <f>'Final data_for_R_analysis_Wetse'!K807</f>
        <v>R468</v>
      </c>
      <c r="J441">
        <f>IFERROR(INDEX('Green_rooibos initial weight'!$C$5:$C$2000,MATCH(H441, 'Green_rooibos initial weight'!$A$5:$A$2000,0)),"")</f>
        <v>2.016</v>
      </c>
      <c r="K441">
        <f>IFERROR(INDEX('Green_rooibos initial weight'!$C$5:$C$2000,MATCH(I441, 'Green_rooibos initial weight'!$A$5:$A$2000,0)),"")</f>
        <v>2.2869999999999999</v>
      </c>
      <c r="L441" s="194">
        <f t="shared" si="35"/>
        <v>1.7662</v>
      </c>
      <c r="M441" s="194">
        <f>IF(K441&gt;0,(K441*$F$32-($F$29+$F$30)),"")</f>
        <v>2.0371999999999999</v>
      </c>
      <c r="N441" s="16">
        <f>IF('WetLitterbags placem_collection'!G148="","",'WetLitterbags placem_collection'!G148)</f>
        <v>42815</v>
      </c>
      <c r="O441" s="194">
        <f>IFERROR(INDEX('Both teabags AfterWet'!$C$3:$C$2000,MATCH(H441,'Both teabags AfterWet'!$A$3:$A$2000,0)),"")</f>
        <v>0.59199999999999997</v>
      </c>
      <c r="P441" s="194">
        <f>IFERROR(INDEX('Both teabags AfterWet'!$C$3:$C$2000,MATCH(I441,'Both teabags AfterWet'!$A$3:$A$2000,0)),"")</f>
        <v>1.657</v>
      </c>
      <c r="Q441" s="194">
        <f t="shared" si="36"/>
        <v>0.44139999999999996</v>
      </c>
      <c r="R441" s="194">
        <f t="shared" si="36"/>
        <v>1.5064</v>
      </c>
      <c r="S441" s="194">
        <f t="shared" si="37"/>
        <v>0.75008492809421357</v>
      </c>
      <c r="T441" s="194">
        <f t="shared" si="38"/>
        <v>0.49174213813302364</v>
      </c>
      <c r="U441" s="194">
        <f t="shared" si="39"/>
        <v>0.73944629884154722</v>
      </c>
      <c r="V441">
        <f>IFERROR(IF((N441-G441)&gt;0,(IFERROR(N441-G441,"")),""),"")</f>
        <v>53</v>
      </c>
      <c r="W441" s="194">
        <f t="shared" si="40"/>
        <v>0.10916279323727607</v>
      </c>
      <c r="X441" s="194">
        <f t="shared" si="41"/>
        <v>1.424002541795168E-2</v>
      </c>
      <c r="Y441" s="252" t="str">
        <f>IF(ISNUMBER(SEARCH("C",'WetLitterbags placem_collection'!$Y148)),"YES","NO")</f>
        <v>NO</v>
      </c>
      <c r="Z441" s="252" t="str">
        <f>IF(ISNUMBER(SEARCH("H", 'WetLitterbags placem_collection'!$Y148)),"YES","NO")</f>
        <v>NO</v>
      </c>
      <c r="AA441" s="252" t="str">
        <f>IF(ISNUMBER(SEARCH("R", 'WetLitterbags placem_collection'!$Y148)),"YES","NO")</f>
        <v>NO</v>
      </c>
      <c r="AB441" s="252" t="str">
        <f>IF(ISNUMBER(SEARCH("C", 'WetLitterbags placem_collection'!$W148)),"YES","NO")</f>
        <v>NO</v>
      </c>
      <c r="AC441" s="252" t="str">
        <f>IF(ISNUMBER(SEARCH("H", 'WetLitterbags placem_collection'!$W148)),"YES","NO")</f>
        <v>NO</v>
      </c>
      <c r="AD441" s="252" t="str">
        <f>IF(ISNUMBER(SEARCH("R", 'WetLitterbags placem_collection'!$W148)),"YES","NO")</f>
        <v>NO</v>
      </c>
    </row>
    <row r="442" spans="2:30">
      <c r="B442" t="str">
        <f>'Final data_for_R_analysis_Wetse'!A588</f>
        <v>Wet</v>
      </c>
      <c r="C442" s="260">
        <f>'Final data_for_R_analysis_Wetse'!B588</f>
        <v>147</v>
      </c>
      <c r="D442" t="s">
        <v>3823</v>
      </c>
      <c r="E442" t="s">
        <v>25</v>
      </c>
      <c r="F442" s="381">
        <v>3</v>
      </c>
      <c r="G442" s="16">
        <f>'WetLitterbags placem_collection'!E149</f>
        <v>42762</v>
      </c>
      <c r="H442" s="92" t="str">
        <f>'Final data_for_R_analysis_Wetse'!K588</f>
        <v>G878</v>
      </c>
      <c r="I442" t="str">
        <f>'Final data_for_R_analysis_Wetse'!K808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35"/>
        <v>1.8441999999999998</v>
      </c>
      <c r="M442" s="194">
        <f>IF(K442&gt;0,(K442*$F$32-($F$29+$F$30)),"")</f>
        <v>1.9862000000000002</v>
      </c>
      <c r="N442" s="16">
        <f>IF('WetLitterbags placem_collection'!G149="","",'WetLitterbags placem_collection'!G149)</f>
        <v>42816</v>
      </c>
      <c r="O442" s="194">
        <f>IFERROR(INDEX('Both teabags AfterWet'!$C$3:$C$2000,MATCH(H442,'Both teabags AfterWet'!$A$3:$A$2000,0)),"")</f>
        <v>0.628</v>
      </c>
      <c r="P442" s="194">
        <f>IFERROR(INDEX('Both teabags AfterWet'!$C$3:$C$2000,MATCH(I442,'Both teabags AfterWet'!$A$3:$A$2000,0)),"")</f>
        <v>1.742</v>
      </c>
      <c r="Q442" s="194">
        <f t="shared" si="36"/>
        <v>0.47739999999999999</v>
      </c>
      <c r="R442" s="194">
        <f t="shared" si="36"/>
        <v>1.5913999999999999</v>
      </c>
      <c r="S442" s="194">
        <f t="shared" si="37"/>
        <v>0.74113436720529224</v>
      </c>
      <c r="T442" s="194">
        <f t="shared" si="38"/>
        <v>0.48587431199206815</v>
      </c>
      <c r="U442" s="194">
        <f t="shared" si="39"/>
        <v>0.80122847648776552</v>
      </c>
      <c r="V442">
        <f>IFERROR(IF((N442-G442)&gt;0,(IFERROR(N442-G442,"")),""),"")</f>
        <v>54</v>
      </c>
      <c r="W442" s="194">
        <f t="shared" si="40"/>
        <v>0.11979291305784767</v>
      </c>
      <c r="X442" s="194">
        <f t="shared" si="41"/>
        <v>9.7427717314761807E-3</v>
      </c>
      <c r="Y442" s="252" t="str">
        <f>IF(ISNUMBER(SEARCH("C",'WetLitterbags placem_collection'!$Y149)),"YES","NO")</f>
        <v>NO</v>
      </c>
      <c r="Z442" s="252" t="str">
        <f>IF(ISNUMBER(SEARCH("H", 'WetLitterbags placem_collection'!$Y149)),"YES","NO")</f>
        <v>NO</v>
      </c>
      <c r="AA442" s="252" t="str">
        <f>IF(ISNUMBER(SEARCH("R", 'WetLitterbags placem_collection'!$Y149)),"YES","NO")</f>
        <v>NO</v>
      </c>
      <c r="AB442" s="252" t="str">
        <f>IF(ISNUMBER(SEARCH("C", 'WetLitterbags placem_collection'!$W149)),"YES","NO")</f>
        <v>NO</v>
      </c>
      <c r="AC442" s="252" t="str">
        <f>IF(ISNUMBER(SEARCH("H", 'WetLitterbags placem_collection'!$W149)),"YES","NO")</f>
        <v>NO</v>
      </c>
      <c r="AD442" s="252" t="str">
        <f>IF(ISNUMBER(SEARCH("R", 'WetLitterbags placem_collection'!$W149)),"YES","NO")</f>
        <v>NO</v>
      </c>
    </row>
    <row r="443" spans="2:30">
      <c r="B443" t="str">
        <f>'Final data_for_R_analysis_Wetse'!A589</f>
        <v>Wet</v>
      </c>
      <c r="C443" s="260">
        <f>'Final data_for_R_analysis_Wetse'!B589</f>
        <v>148</v>
      </c>
      <c r="D443" t="s">
        <v>3823</v>
      </c>
      <c r="E443" t="s">
        <v>25</v>
      </c>
      <c r="F443" s="382">
        <v>4</v>
      </c>
      <c r="G443" s="16">
        <f>'WetLitterbags placem_collection'!E150</f>
        <v>42762</v>
      </c>
      <c r="H443" s="92" t="str">
        <f>'Final data_for_R_analysis_Wetse'!K589</f>
        <v>G807</v>
      </c>
      <c r="I443" t="str">
        <f>'Final data_for_R_analysis_Wetse'!K809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35"/>
        <v>1.7812000000000001</v>
      </c>
      <c r="M443" s="194">
        <f>IF(K443&gt;0,(K443*$F$32-($F$29+$F$30)),"")</f>
        <v>1.9902000000000002</v>
      </c>
      <c r="N443" s="16">
        <f>IF('WetLitterbags placem_collection'!G150="","",'WetLitterbags placem_collection'!G150)</f>
        <v>42816</v>
      </c>
      <c r="O443" s="194">
        <f>IFERROR(INDEX('Both teabags AfterWet'!$C$3:$C$2000,MATCH(H443,'Both teabags AfterWet'!$A$3:$A$2000,0)),"")</f>
        <v>0.74309999999999998</v>
      </c>
      <c r="P443" s="194">
        <f>IFERROR(INDEX('Both teabags AfterWet'!$C$3:$C$2000,MATCH(I443,'Both teabags AfterWet'!$A$3:$A$2000,0)),"")</f>
        <v>1.6375999999999999</v>
      </c>
      <c r="Q443" s="194">
        <f t="shared" si="36"/>
        <v>0.59250000000000003</v>
      </c>
      <c r="R443" s="194">
        <f t="shared" si="36"/>
        <v>1.4869999999999999</v>
      </c>
      <c r="S443" s="194">
        <f t="shared" si="37"/>
        <v>0.66735908376375486</v>
      </c>
      <c r="T443" s="194">
        <f t="shared" si="38"/>
        <v>0.43750856797813864</v>
      </c>
      <c r="U443" s="194">
        <f t="shared" si="39"/>
        <v>0.74716108933775482</v>
      </c>
      <c r="V443">
        <f>IFERROR(IF((N443-G443)&gt;0,(IFERROR(N443-G443,"")),""),"")</f>
        <v>54</v>
      </c>
      <c r="W443" s="194">
        <f t="shared" si="40"/>
        <v>0.20741201453235758</v>
      </c>
      <c r="X443" s="194">
        <f t="shared" si="41"/>
        <v>1.597273512512018E-2</v>
      </c>
      <c r="Y443" s="252" t="str">
        <f>IF(ISNUMBER(SEARCH("C",'WetLitterbags placem_collection'!$Y150)),"YES","NO")</f>
        <v>NO</v>
      </c>
      <c r="Z443" s="252" t="str">
        <f>IF(ISNUMBER(SEARCH("H", 'WetLitterbags placem_collection'!$Y150)),"YES","NO")</f>
        <v>NO</v>
      </c>
      <c r="AA443" s="252" t="str">
        <f>IF(ISNUMBER(SEARCH("R", 'WetLitterbags placem_collection'!$Y150)),"YES","NO")</f>
        <v>NO</v>
      </c>
      <c r="AB443" s="252" t="str">
        <f>IF(ISNUMBER(SEARCH("C", 'WetLitterbags placem_collection'!$W150)),"YES","NO")</f>
        <v>NO</v>
      </c>
      <c r="AC443" s="252" t="str">
        <f>IF(ISNUMBER(SEARCH("H", 'WetLitterbags placem_collection'!$W150)),"YES","NO")</f>
        <v>YES</v>
      </c>
      <c r="AD443" s="252" t="str">
        <f>IF(ISNUMBER(SEARCH("R", 'WetLitterbags placem_collection'!$W150)),"YES","NO")</f>
        <v>NO</v>
      </c>
    </row>
    <row r="444" spans="2:30">
      <c r="B444" t="str">
        <f>'Final data_for_R_analysis_Wetse'!A590</f>
        <v>Wet</v>
      </c>
      <c r="C444" s="260">
        <f>'Final data_for_R_analysis_Wetse'!B590</f>
        <v>149</v>
      </c>
      <c r="D444" t="s">
        <v>3823</v>
      </c>
      <c r="E444" t="s">
        <v>25</v>
      </c>
      <c r="F444" s="382">
        <v>5</v>
      </c>
      <c r="G444" s="16">
        <f>'WetLitterbags placem_collection'!E151</f>
        <v>42762</v>
      </c>
      <c r="H444" s="92" t="str">
        <f>'Final data_for_R_analysis_Wetse'!K590</f>
        <v>G696</v>
      </c>
      <c r="I444" t="str">
        <f>'Final data_for_R_analysis_Wetse'!K810</f>
        <v>R533</v>
      </c>
      <c r="J444">
        <f>IFERROR(INDEX('Green_rooibos initial weight'!$C$5:$C$2000,MATCH(H444, 'Green_rooibos initial weight'!$A$5:$A$2000,0)),"")</f>
        <v>2.036</v>
      </c>
      <c r="K444">
        <f>IFERROR(INDEX('Green_rooibos initial weight'!$C$5:$C$2000,MATCH(I444, 'Green_rooibos initial weight'!$A$5:$A$2000,0)),"")</f>
        <v>2.1970000000000001</v>
      </c>
      <c r="L444" s="194">
        <f t="shared" si="35"/>
        <v>1.7862</v>
      </c>
      <c r="M444" s="194">
        <f>IF(K444&gt;0,(K444*$F$32-($F$29+$F$30)),"")</f>
        <v>1.9472</v>
      </c>
      <c r="N444" s="16">
        <f>IF('WetLitterbags placem_collection'!G151="","",'WetLitterbags placem_collection'!G151)</f>
        <v>42816</v>
      </c>
      <c r="O444" s="194">
        <f>IFERROR(INDEX('Both teabags AfterWet'!$C$3:$C$2000,MATCH(H444,'Both teabags AfterWet'!$A$3:$A$2000,0)),"")</f>
        <v>0.82469999999999999</v>
      </c>
      <c r="P444" s="194">
        <f>IFERROR(INDEX('Both teabags AfterWet'!$C$3:$C$2000,MATCH(I444,'Both teabags AfterWet'!$A$3:$A$2000,0)),"")</f>
        <v>1.7899</v>
      </c>
      <c r="Q444" s="194">
        <f t="shared" si="36"/>
        <v>0.67409999999999992</v>
      </c>
      <c r="R444" s="194">
        <f t="shared" si="36"/>
        <v>1.6393</v>
      </c>
      <c r="S444" s="194">
        <f t="shared" si="37"/>
        <v>0.62260665099093049</v>
      </c>
      <c r="T444" s="194">
        <f t="shared" si="38"/>
        <v>0.40816968093467182</v>
      </c>
      <c r="U444" s="194">
        <f t="shared" si="39"/>
        <v>0.84187551355792933</v>
      </c>
      <c r="V444">
        <f>IFERROR(IF((N444-G444)&gt;0,(IFERROR(N444-G444,"")),""),"")</f>
        <v>54</v>
      </c>
      <c r="W444" s="194">
        <f t="shared" si="40"/>
        <v>0.26056217221979749</v>
      </c>
      <c r="X444" s="194">
        <f t="shared" si="41"/>
        <v>9.0748387610672925E-3</v>
      </c>
      <c r="Y444" s="252" t="str">
        <f>IF(ISNUMBER(SEARCH("C",'WetLitterbags placem_collection'!$Y151)),"YES","NO")</f>
        <v>NO</v>
      </c>
      <c r="Z444" s="252" t="str">
        <f>IF(ISNUMBER(SEARCH("H", 'WetLitterbags placem_collection'!$Y151)),"YES","NO")</f>
        <v>NO</v>
      </c>
      <c r="AA444" s="252" t="str">
        <f>IF(ISNUMBER(SEARCH("R", 'WetLitterbags placem_collection'!$Y151)),"YES","NO")</f>
        <v>NO</v>
      </c>
      <c r="AB444" s="252" t="str">
        <f>IF(ISNUMBER(SEARCH("C", 'WetLitterbags placem_collection'!$W151)),"YES","NO")</f>
        <v>NO</v>
      </c>
      <c r="AC444" s="252" t="str">
        <f>IF(ISNUMBER(SEARCH("H", 'WetLitterbags placem_collection'!$W151)),"YES","NO")</f>
        <v>NO</v>
      </c>
      <c r="AD444" s="252" t="str">
        <f>IF(ISNUMBER(SEARCH("R", 'WetLitterbags placem_collection'!$W151)),"YES","NO")</f>
        <v>NO</v>
      </c>
    </row>
    <row r="445" spans="2:30">
      <c r="B445" t="str">
        <f>'Final data_for_R_analysis_Wetse'!A591</f>
        <v>Wet</v>
      </c>
      <c r="C445" s="260">
        <f>'Final data_for_R_analysis_Wetse'!B591</f>
        <v>150</v>
      </c>
      <c r="D445" t="s">
        <v>3823</v>
      </c>
      <c r="E445" t="s">
        <v>25</v>
      </c>
      <c r="F445" s="382">
        <v>6</v>
      </c>
      <c r="G445" s="16">
        <f>'WetLitterbags placem_collection'!E152</f>
        <v>42762</v>
      </c>
      <c r="H445" s="92" t="str">
        <f>'Final data_for_R_analysis_Wetse'!K591</f>
        <v>G801</v>
      </c>
      <c r="I445" t="str">
        <f>'Final data_for_R_analysis_Wetse'!K811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35"/>
        <v>1.8222</v>
      </c>
      <c r="M445" s="194">
        <f>IF(K445&gt;0,(K445*$F$32-($F$29+$F$30)),"")</f>
        <v>1.8321999999999998</v>
      </c>
      <c r="N445" s="16">
        <f>IF('WetLitterbags placem_collection'!G152="","",'WetLitterbags placem_collection'!G152)</f>
        <v>42816</v>
      </c>
      <c r="O445" s="194">
        <f>IFERROR(INDEX('Both teabags AfterWet'!$C$3:$C$2000,MATCH(H445,'Both teabags AfterWet'!$A$3:$A$2000,0)),"")</f>
        <v>0.60099999999999998</v>
      </c>
      <c r="P445" s="194">
        <f>IFERROR(INDEX('Both teabags AfterWet'!$C$3:$C$2000,MATCH(I445,'Both teabags AfterWet'!$A$3:$A$2000,0)),"")</f>
        <v>1.5680000000000001</v>
      </c>
      <c r="Q445" s="194">
        <f t="shared" si="36"/>
        <v>0.45039999999999997</v>
      </c>
      <c r="R445" s="194">
        <f t="shared" si="36"/>
        <v>1.4174</v>
      </c>
      <c r="S445" s="194">
        <f t="shared" si="37"/>
        <v>0.75282625397870706</v>
      </c>
      <c r="T445" s="194">
        <f t="shared" si="38"/>
        <v>0.49353930189577949</v>
      </c>
      <c r="U445" s="194">
        <f t="shared" si="39"/>
        <v>0.77360550158279673</v>
      </c>
      <c r="V445">
        <f>IFERROR(IF((N445-G445)&gt;0,(IFERROR(N445-G445,"")),""),"")</f>
        <v>54</v>
      </c>
      <c r="W445" s="194">
        <f t="shared" si="40"/>
        <v>0.10590706178300824</v>
      </c>
      <c r="X445" s="194">
        <f t="shared" si="41"/>
        <v>1.1366882375683514E-2</v>
      </c>
      <c r="Y445" s="252" t="str">
        <f>IF(ISNUMBER(SEARCH("C",'WetLitterbags placem_collection'!$Y152)),"YES","NO")</f>
        <v>NO</v>
      </c>
      <c r="Z445" s="252" t="str">
        <f>IF(ISNUMBER(SEARCH("H", 'WetLitterbags placem_collection'!$Y152)),"YES","NO")</f>
        <v>NO</v>
      </c>
      <c r="AA445" s="252" t="str">
        <f>IF(ISNUMBER(SEARCH("R", 'WetLitterbags placem_collection'!$Y152)),"YES","NO")</f>
        <v>NO</v>
      </c>
      <c r="AB445" s="252" t="str">
        <f>IF(ISNUMBER(SEARCH("C", 'WetLitterbags placem_collection'!$W152)),"YES","NO")</f>
        <v>NO</v>
      </c>
      <c r="AC445" s="252" t="str">
        <f>IF(ISNUMBER(SEARCH("H", 'WetLitterbags placem_collection'!$W152)),"YES","NO")</f>
        <v>NO</v>
      </c>
      <c r="AD445" s="252" t="str">
        <f>IF(ISNUMBER(SEARCH("R", 'WetLitterbags placem_collection'!$W152)),"YES","NO")</f>
        <v>NO</v>
      </c>
    </row>
    <row r="446" spans="2:30">
      <c r="B446" t="str">
        <f>'Final data_for_R_analysis_Wetse'!A592</f>
        <v>Wet</v>
      </c>
      <c r="C446" s="260">
        <f>'Final data_for_R_analysis_Wetse'!B592</f>
        <v>151</v>
      </c>
      <c r="D446" t="s">
        <v>3823</v>
      </c>
      <c r="E446" t="s">
        <v>25</v>
      </c>
      <c r="F446" s="382">
        <v>7</v>
      </c>
      <c r="G446" s="16">
        <f>'WetLitterbags placem_collection'!E153</f>
        <v>42762</v>
      </c>
      <c r="H446" s="92" t="str">
        <f>'Final data_for_R_analysis_Wetse'!K592</f>
        <v>G647</v>
      </c>
      <c r="I446" t="str">
        <f>'Final data_for_R_analysis_Wetse'!K812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35"/>
        <v>1.8742000000000001</v>
      </c>
      <c r="M446" s="194">
        <f>IF(K446&gt;0,(K446*$F$32-($F$29+$F$30)),"")</f>
        <v>1.9131999999999998</v>
      </c>
      <c r="N446" s="16">
        <f>IF('WetLitterbags placem_collection'!G153="","",'WetLitterbags placem_collection'!G153)</f>
        <v>42816</v>
      </c>
      <c r="O446" s="194">
        <f>IFERROR(INDEX('Both teabags AfterWet'!$C$3:$C$2000,MATCH(H446,'Both teabags AfterWet'!$A$3:$A$2000,0)),"")</f>
        <v>0.78700000000000003</v>
      </c>
      <c r="P446" s="194">
        <f>IFERROR(INDEX('Both teabags AfterWet'!$C$3:$C$2000,MATCH(I446,'Both teabags AfterWet'!$A$3:$A$2000,0)),"")</f>
        <v>1.798</v>
      </c>
      <c r="Q446" s="194">
        <f t="shared" si="36"/>
        <v>0.63640000000000008</v>
      </c>
      <c r="R446" s="194">
        <f t="shared" si="36"/>
        <v>1.6474</v>
      </c>
      <c r="S446" s="194">
        <f t="shared" si="37"/>
        <v>0.6604417884964251</v>
      </c>
      <c r="T446" s="194">
        <f t="shared" si="38"/>
        <v>0.43297371407366592</v>
      </c>
      <c r="U446" s="194">
        <f t="shared" si="39"/>
        <v>0.86107045787162872</v>
      </c>
      <c r="V446">
        <f>IFERROR(IF((N446-G446)&gt;0,(IFERROR(N446-G446,"")),""),"")</f>
        <v>54</v>
      </c>
      <c r="W446" s="194">
        <f t="shared" si="40"/>
        <v>0.21562732957669228</v>
      </c>
      <c r="X446" s="194">
        <f t="shared" si="41"/>
        <v>7.1656855345829957E-3</v>
      </c>
      <c r="Y446" s="252" t="str">
        <f>IF(ISNUMBER(SEARCH("C",'WetLitterbags placem_collection'!$Y153)),"YES","NO")</f>
        <v>NO</v>
      </c>
      <c r="Z446" s="252" t="str">
        <f>IF(ISNUMBER(SEARCH("H", 'WetLitterbags placem_collection'!$Y153)),"YES","NO")</f>
        <v>NO</v>
      </c>
      <c r="AA446" s="252" t="str">
        <f>IF(ISNUMBER(SEARCH("R", 'WetLitterbags placem_collection'!$Y153)),"YES","NO")</f>
        <v>NO</v>
      </c>
      <c r="AB446" s="252" t="str">
        <f>IF(ISNUMBER(SEARCH("C", 'WetLitterbags placem_collection'!$W153)),"YES","NO")</f>
        <v>NO</v>
      </c>
      <c r="AC446" s="252" t="str">
        <f>IF(ISNUMBER(SEARCH("H", 'WetLitterbags placem_collection'!$W153)),"YES","NO")</f>
        <v>NO</v>
      </c>
      <c r="AD446" s="252" t="str">
        <f>IF(ISNUMBER(SEARCH("R", 'WetLitterbags placem_collection'!$W153)),"YES","NO")</f>
        <v>NO</v>
      </c>
    </row>
    <row r="447" spans="2:30">
      <c r="B447" t="str">
        <f>'Final data_for_R_analysis_Wetse'!A593</f>
        <v>Wet</v>
      </c>
      <c r="C447" s="260">
        <f>'Final data_for_R_analysis_Wetse'!B593</f>
        <v>152</v>
      </c>
      <c r="D447" t="s">
        <v>3823</v>
      </c>
      <c r="E447" t="s">
        <v>25</v>
      </c>
      <c r="F447" s="382">
        <v>8</v>
      </c>
      <c r="G447" s="16">
        <f>'WetLitterbags placem_collection'!E154</f>
        <v>42762</v>
      </c>
      <c r="H447" s="92" t="str">
        <f>'Final data_for_R_analysis_Wetse'!K593</f>
        <v>G744</v>
      </c>
      <c r="I447" t="str">
        <f>'Final data_for_R_analysis_Wetse'!K813</f>
        <v>R579</v>
      </c>
      <c r="J447">
        <f>IFERROR(INDEX('Green_rooibos initial weight'!$C$5:$C$2000,MATCH(H447, 'Green_rooibos initial weight'!$A$5:$A$2000,0)),"")</f>
        <v>2.085</v>
      </c>
      <c r="K447">
        <f>IFERROR(INDEX('Green_rooibos initial weight'!$C$5:$C$2000,MATCH(I447, 'Green_rooibos initial weight'!$A$5:$A$2000,0)),"")</f>
        <v>2.1349999999999998</v>
      </c>
      <c r="L447" s="194">
        <f t="shared" si="35"/>
        <v>1.8351999999999999</v>
      </c>
      <c r="M447" s="194">
        <f>IF(K447&gt;0,(K447*$F$32-($F$29+$F$30)),"")</f>
        <v>1.8851999999999998</v>
      </c>
      <c r="N447" s="16">
        <f>IF('WetLitterbags placem_collection'!G154="","",'WetLitterbags placem_collection'!G154)</f>
        <v>42816</v>
      </c>
      <c r="O447" s="194">
        <f>IFERROR(INDEX('Both teabags AfterWet'!$C$3:$C$2000,MATCH(H447,'Both teabags AfterWet'!$A$3:$A$2000,0)),"")</f>
        <v>0.62919999999999998</v>
      </c>
      <c r="P447" s="194">
        <f>IFERROR(INDEX('Both teabags AfterWet'!$C$3:$C$2000,MATCH(I447,'Both teabags AfterWet'!$A$3:$A$2000,0)),"")</f>
        <v>1.5234000000000001</v>
      </c>
      <c r="Q447" s="194">
        <f t="shared" si="36"/>
        <v>0.47859999999999997</v>
      </c>
      <c r="R447" s="194">
        <f t="shared" si="36"/>
        <v>1.3728</v>
      </c>
      <c r="S447" s="194">
        <f t="shared" si="37"/>
        <v>0.73921098517872719</v>
      </c>
      <c r="T447" s="194">
        <f t="shared" si="38"/>
        <v>0.48461337745683786</v>
      </c>
      <c r="U447" s="194">
        <f t="shared" si="39"/>
        <v>0.72819859961807776</v>
      </c>
      <c r="V447">
        <f>IFERROR(IF((N447-G447)&gt;0,(IFERROR(N447-G447,"")),""),"")</f>
        <v>54</v>
      </c>
      <c r="W447" s="194">
        <f t="shared" si="40"/>
        <v>0.12207721475210542</v>
      </c>
      <c r="X447" s="194">
        <f t="shared" si="41"/>
        <v>1.5239673593024965E-2</v>
      </c>
      <c r="Y447" s="252" t="str">
        <f>IF(ISNUMBER(SEARCH("C",'WetLitterbags placem_collection'!$Y154)),"YES","NO")</f>
        <v>NO</v>
      </c>
      <c r="Z447" s="252" t="str">
        <f>IF(ISNUMBER(SEARCH("H", 'WetLitterbags placem_collection'!$Y154)),"YES","NO")</f>
        <v>NO</v>
      </c>
      <c r="AA447" s="252" t="str">
        <f>IF(ISNUMBER(SEARCH("R", 'WetLitterbags placem_collection'!$Y154)),"YES","NO")</f>
        <v>NO</v>
      </c>
      <c r="AB447" s="252" t="str">
        <f>IF(ISNUMBER(SEARCH("C", 'WetLitterbags placem_collection'!$W154)),"YES","NO")</f>
        <v>NO</v>
      </c>
      <c r="AC447" s="252" t="str">
        <f>IF(ISNUMBER(SEARCH("H", 'WetLitterbags placem_collection'!$W154)),"YES","NO")</f>
        <v>NO</v>
      </c>
      <c r="AD447" s="252" t="str">
        <f>IF(ISNUMBER(SEARCH("R", 'WetLitterbags placem_collection'!$W154)),"YES","NO")</f>
        <v>YES</v>
      </c>
    </row>
    <row r="448" spans="2:30">
      <c r="B448" t="str">
        <f>'Final data_for_R_analysis_Wetse'!A594</f>
        <v>Wet</v>
      </c>
      <c r="C448" s="260">
        <f>'Final data_for_R_analysis_Wetse'!B594</f>
        <v>153</v>
      </c>
      <c r="D448" t="s">
        <v>3824</v>
      </c>
      <c r="E448" t="s">
        <v>25</v>
      </c>
      <c r="F448" s="381">
        <v>1</v>
      </c>
      <c r="G448" s="16">
        <f>'WetLitterbags placem_collection'!E155</f>
        <v>42762</v>
      </c>
      <c r="H448" s="92" t="str">
        <f>'Final data_for_R_analysis_Wetse'!K594</f>
        <v>G885</v>
      </c>
      <c r="I448" t="str">
        <f>'Final data_for_R_analysis_Wetse'!K814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35"/>
        <v>1.6441999999999999</v>
      </c>
      <c r="M448" s="194">
        <f>IF(K448&gt;0,(K448*$F$32-($F$29+$F$30)),"")</f>
        <v>1.8612000000000002</v>
      </c>
      <c r="N448" s="16">
        <f>IF('WetLitterbags placem_collection'!G155="","",'WetLitterbags placem_collection'!G155)</f>
        <v>42816</v>
      </c>
      <c r="O448" s="194">
        <f>IFERROR(INDEX('Both teabags AfterWet'!$C$3:$C$2000,MATCH(H448,'Both teabags AfterWet'!$A$3:$A$2000,0)),"")</f>
        <v>0.5756</v>
      </c>
      <c r="P448" s="194">
        <f>IFERROR(INDEX('Both teabags AfterWet'!$C$3:$C$2000,MATCH(I448,'Both teabags AfterWet'!$A$3:$A$2000,0)),"")</f>
        <v>1.6322000000000001</v>
      </c>
      <c r="Q448" s="194">
        <f t="shared" si="36"/>
        <v>0.42499999999999999</v>
      </c>
      <c r="R448" s="194">
        <f t="shared" si="36"/>
        <v>1.4816</v>
      </c>
      <c r="S448" s="194">
        <f t="shared" si="37"/>
        <v>0.74151563070186111</v>
      </c>
      <c r="T448" s="194">
        <f t="shared" si="38"/>
        <v>0.48612426145775223</v>
      </c>
      <c r="U448" s="194">
        <f t="shared" si="39"/>
        <v>0.7960455620030088</v>
      </c>
      <c r="V448">
        <f>IFERROR(IF((N448-G448)&gt;0,(IFERROR(N448-G448,"")),""),"")</f>
        <v>54</v>
      </c>
      <c r="W448" s="194">
        <f t="shared" si="40"/>
        <v>0.11934010605479672</v>
      </c>
      <c r="X448" s="194">
        <f t="shared" si="41"/>
        <v>1.0073243938806827E-2</v>
      </c>
      <c r="Y448" s="252" t="str">
        <f>IF(ISNUMBER(SEARCH("C",'WetLitterbags placem_collection'!$Y155)),"YES","NO")</f>
        <v>NO</v>
      </c>
      <c r="Z448" s="252" t="str">
        <f>IF(ISNUMBER(SEARCH("H", 'WetLitterbags placem_collection'!$Y155)),"YES","NO")</f>
        <v>NO</v>
      </c>
      <c r="AA448" s="252" t="str">
        <f>IF(ISNUMBER(SEARCH("R", 'WetLitterbags placem_collection'!$Y155)),"YES","NO")</f>
        <v>NO</v>
      </c>
      <c r="AB448" s="252" t="str">
        <f>IF(ISNUMBER(SEARCH("C", 'WetLitterbags placem_collection'!$W155)),"YES","NO")</f>
        <v>NO</v>
      </c>
      <c r="AC448" s="252" t="str">
        <f>IF(ISNUMBER(SEARCH("H", 'WetLitterbags placem_collection'!$W155)),"YES","NO")</f>
        <v>YES</v>
      </c>
      <c r="AD448" s="252" t="str">
        <f>IF(ISNUMBER(SEARCH("R", 'WetLitterbags placem_collection'!$W155)),"YES","NO")</f>
        <v>YES</v>
      </c>
    </row>
    <row r="449" spans="2:30">
      <c r="B449" t="str">
        <f>'Final data_for_R_analysis_Wetse'!A595</f>
        <v>Wet</v>
      </c>
      <c r="C449" s="260">
        <f>'Final data_for_R_analysis_Wetse'!B595</f>
        <v>154</v>
      </c>
      <c r="D449" t="s">
        <v>3824</v>
      </c>
      <c r="E449" t="s">
        <v>25</v>
      </c>
      <c r="F449" s="381">
        <v>2</v>
      </c>
      <c r="G449" s="16">
        <f>'WetLitterbags placem_collection'!E156</f>
        <v>42762</v>
      </c>
      <c r="H449" s="92" t="str">
        <f>'Final data_for_R_analysis_Wetse'!K595</f>
        <v>G684</v>
      </c>
      <c r="I449" t="str">
        <f>'Final data_for_R_analysis_Wetse'!K815</f>
        <v>R485</v>
      </c>
      <c r="J449">
        <f>IFERROR(INDEX('Green_rooibos initial weight'!$C$5:$C$2000,MATCH(H449, 'Green_rooibos initial weight'!$A$5:$A$2000,0)),"")</f>
        <v>2.0819999999999999</v>
      </c>
      <c r="K449">
        <f>IFERROR(INDEX('Green_rooibos initial weight'!$C$5:$C$2000,MATCH(I449, 'Green_rooibos initial weight'!$A$5:$A$2000,0)),"")</f>
        <v>2.242</v>
      </c>
      <c r="L449" s="194">
        <f t="shared" si="35"/>
        <v>1.8321999999999998</v>
      </c>
      <c r="M449" s="194">
        <f>IF(K449&gt;0,(K449*$F$32-($F$29+$F$30)),"")</f>
        <v>1.9922</v>
      </c>
      <c r="N449" s="16">
        <f>IF('WetLitterbags placem_collection'!G156="","",'WetLitterbags placem_collection'!G156)</f>
        <v>42816</v>
      </c>
      <c r="O449" s="194">
        <f>IFERROR(INDEX('Both teabags AfterWet'!$C$3:$C$2000,MATCH(H449,'Both teabags AfterWet'!$A$3:$A$2000,0)),"")</f>
        <v>0.60499999999999998</v>
      </c>
      <c r="P449" s="194">
        <f>IFERROR(INDEX('Both teabags AfterWet'!$C$3:$C$2000,MATCH(I449,'Both teabags AfterWet'!$A$3:$A$2000,0)),"")</f>
        <v>1.839</v>
      </c>
      <c r="Q449" s="194">
        <f t="shared" si="36"/>
        <v>0.45439999999999997</v>
      </c>
      <c r="R449" s="194">
        <f t="shared" si="36"/>
        <v>1.6883999999999999</v>
      </c>
      <c r="S449" s="194">
        <f t="shared" si="37"/>
        <v>0.75199214059600483</v>
      </c>
      <c r="T449" s="194">
        <f t="shared" si="38"/>
        <v>0.49299247221970866</v>
      </c>
      <c r="U449" s="194">
        <f t="shared" si="39"/>
        <v>0.84750527055516511</v>
      </c>
      <c r="V449">
        <f>IFERROR(IF((N449-G449)&gt;0,(IFERROR(N449-G449,"")),""),"")</f>
        <v>54</v>
      </c>
      <c r="W449" s="194">
        <f t="shared" si="40"/>
        <v>0.10689769525415105</v>
      </c>
      <c r="X449" s="194">
        <f t="shared" si="41"/>
        <v>6.8534334847403849E-3</v>
      </c>
      <c r="Y449" s="252" t="str">
        <f>IF(ISNUMBER(SEARCH("C",'WetLitterbags placem_collection'!$Y156)),"YES","NO")</f>
        <v>NO</v>
      </c>
      <c r="Z449" s="252" t="str">
        <f>IF(ISNUMBER(SEARCH("H", 'WetLitterbags placem_collection'!$Y156)),"YES","NO")</f>
        <v>NO</v>
      </c>
      <c r="AA449" s="252" t="str">
        <f>IF(ISNUMBER(SEARCH("R", 'WetLitterbags placem_collection'!$Y156)),"YES","NO")</f>
        <v>NO</v>
      </c>
      <c r="AB449" s="252" t="str">
        <f>IF(ISNUMBER(SEARCH("C", 'WetLitterbags placem_collection'!$W156)),"YES","NO")</f>
        <v>YES</v>
      </c>
      <c r="AC449" s="252" t="str">
        <f>IF(ISNUMBER(SEARCH("H", 'WetLitterbags placem_collection'!$W156)),"YES","NO")</f>
        <v>YES</v>
      </c>
      <c r="AD449" s="252" t="str">
        <f>IF(ISNUMBER(SEARCH("R", 'WetLitterbags placem_collection'!$W156)),"YES","NO")</f>
        <v>NO</v>
      </c>
    </row>
    <row r="450" spans="2:30">
      <c r="B450" t="str">
        <f>'Final data_for_R_analysis_Wetse'!A596</f>
        <v>Wet</v>
      </c>
      <c r="C450" s="260">
        <f>'Final data_for_R_analysis_Wetse'!B596</f>
        <v>155</v>
      </c>
      <c r="D450" t="s">
        <v>3824</v>
      </c>
      <c r="E450" t="s">
        <v>25</v>
      </c>
      <c r="F450" s="381">
        <v>3</v>
      </c>
      <c r="G450" s="16">
        <f>'WetLitterbags placem_collection'!E157</f>
        <v>42762</v>
      </c>
      <c r="H450" s="92" t="str">
        <f>'Final data_for_R_analysis_Wetse'!K596</f>
        <v>G827</v>
      </c>
      <c r="I450" t="str">
        <f>'Final data_for_R_analysis_Wetse'!K816</f>
        <v>R556</v>
      </c>
      <c r="J450">
        <f>IFERROR(INDEX('Green_rooibos initial weight'!$C$5:$C$2000,MATCH(H450, 'Green_rooibos initial weight'!$A$5:$A$2000,0)),"")</f>
        <v>1.883</v>
      </c>
      <c r="K450">
        <f>IFERROR(INDEX('Green_rooibos initial weight'!$C$5:$C$2000,MATCH(I450, 'Green_rooibos initial weight'!$A$5:$A$2000,0)),"")</f>
        <v>2.0830000000000002</v>
      </c>
      <c r="L450" s="194">
        <f t="shared" si="35"/>
        <v>1.6332</v>
      </c>
      <c r="M450" s="194">
        <f>IF(K450&gt;0,(K450*$F$32-($F$29+$F$30)),"")</f>
        <v>1.8332000000000002</v>
      </c>
      <c r="N450" s="16">
        <f>IF('WetLitterbags placem_collection'!G157="","",'WetLitterbags placem_collection'!G157)</f>
        <v>42816</v>
      </c>
      <c r="O450" s="194">
        <f>IFERROR(INDEX('Both teabags AfterWet'!$C$3:$C$2000,MATCH(H450,'Both teabags AfterWet'!$A$3:$A$2000,0)),"")</f>
        <v>0.63800000000000001</v>
      </c>
      <c r="P450" s="194">
        <f>IFERROR(INDEX('Both teabags AfterWet'!$C$3:$C$2000,MATCH(I450,'Both teabags AfterWet'!$A$3:$A$2000,0)),"")</f>
        <v>1.643</v>
      </c>
      <c r="Q450" s="194">
        <f t="shared" si="36"/>
        <v>0.4874</v>
      </c>
      <c r="R450" s="194">
        <f t="shared" si="36"/>
        <v>1.4923999999999999</v>
      </c>
      <c r="S450" s="194">
        <f t="shared" si="37"/>
        <v>0.70156747489590987</v>
      </c>
      <c r="T450" s="194">
        <f t="shared" si="38"/>
        <v>0.45993497166572722</v>
      </c>
      <c r="U450" s="194">
        <f t="shared" si="39"/>
        <v>0.8140955705869517</v>
      </c>
      <c r="V450">
        <f>IFERROR(IF((N450-G450)&gt;0,(IFERROR(N450-G450,"")),""),"")</f>
        <v>54</v>
      </c>
      <c r="W450" s="194">
        <f t="shared" si="40"/>
        <v>0.16678447162005949</v>
      </c>
      <c r="X450" s="194">
        <f t="shared" si="41"/>
        <v>9.5897323202689972E-3</v>
      </c>
      <c r="Y450" s="252" t="str">
        <f>IF(ISNUMBER(SEARCH("C",'WetLitterbags placem_collection'!$Y157)),"YES","NO")</f>
        <v>NO</v>
      </c>
      <c r="Z450" s="252" t="str">
        <f>IF(ISNUMBER(SEARCH("H", 'WetLitterbags placem_collection'!$Y157)),"YES","NO")</f>
        <v>NO</v>
      </c>
      <c r="AA450" s="252" t="str">
        <f>IF(ISNUMBER(SEARCH("R", 'WetLitterbags placem_collection'!$Y157)),"YES","NO")</f>
        <v>NO</v>
      </c>
      <c r="AB450" s="252" t="str">
        <f>IF(ISNUMBER(SEARCH("C", 'WetLitterbags placem_collection'!$W157)),"YES","NO")</f>
        <v>NO</v>
      </c>
      <c r="AC450" s="252" t="str">
        <f>IF(ISNUMBER(SEARCH("H", 'WetLitterbags placem_collection'!$W157)),"YES","NO")</f>
        <v>NO</v>
      </c>
      <c r="AD450" s="252" t="str">
        <f>IF(ISNUMBER(SEARCH("R", 'WetLitterbags placem_collection'!$W157)),"YES","NO")</f>
        <v>YES</v>
      </c>
    </row>
    <row r="451" spans="2:30">
      <c r="B451" t="str">
        <f>'Final data_for_R_analysis_Wetse'!A597</f>
        <v>Wet</v>
      </c>
      <c r="C451" s="260">
        <f>'Final data_for_R_analysis_Wetse'!B597</f>
        <v>156</v>
      </c>
      <c r="D451" t="s">
        <v>3824</v>
      </c>
      <c r="E451" t="s">
        <v>25</v>
      </c>
      <c r="F451" s="382">
        <v>4</v>
      </c>
      <c r="G451" s="16">
        <f>'WetLitterbags placem_collection'!E158</f>
        <v>42762</v>
      </c>
      <c r="H451" s="92" t="str">
        <f>'Final data_for_R_analysis_Wetse'!K597</f>
        <v>G667</v>
      </c>
      <c r="I451" t="str">
        <f>'Final data_for_R_analysis_Wetse'!K817</f>
        <v>R464</v>
      </c>
      <c r="J451">
        <f>IFERROR(INDEX('Green_rooibos initial weight'!$C$5:$C$2000,MATCH(H451, 'Green_rooibos initial weight'!$A$5:$A$2000,0)),"")</f>
        <v>2.048</v>
      </c>
      <c r="K451">
        <f>IFERROR(INDEX('Green_rooibos initial weight'!$C$5:$C$2000,MATCH(I451, 'Green_rooibos initial weight'!$A$5:$A$2000,0)),"")</f>
        <v>2.2040000000000002</v>
      </c>
      <c r="L451" s="194">
        <f t="shared" si="35"/>
        <v>1.7982</v>
      </c>
      <c r="M451" s="194">
        <f>IF(K451&gt;0,(K451*$F$32-($F$29+$F$30)),"")</f>
        <v>1.9542000000000002</v>
      </c>
      <c r="N451" s="16">
        <f>IF('WetLitterbags placem_collection'!G158="","",'WetLitterbags placem_collection'!G158)</f>
        <v>42816</v>
      </c>
      <c r="O451" s="194">
        <f>IFERROR(INDEX('Both teabags AfterWet'!$C$3:$C$2000,MATCH(H451,'Both teabags AfterWet'!$A$3:$A$2000,0)),"")</f>
        <v>0.65800000000000003</v>
      </c>
      <c r="P451" s="194">
        <f>IFERROR(INDEX('Both teabags AfterWet'!$C$3:$C$2000,MATCH(I451,'Both teabags AfterWet'!$A$3:$A$2000,0)),"")</f>
        <v>1.802</v>
      </c>
      <c r="Q451" s="194">
        <f t="shared" si="36"/>
        <v>0.50740000000000007</v>
      </c>
      <c r="R451" s="194">
        <f t="shared" si="36"/>
        <v>1.6514</v>
      </c>
      <c r="S451" s="194">
        <f t="shared" si="37"/>
        <v>0.71782894005116216</v>
      </c>
      <c r="T451" s="194">
        <f t="shared" si="38"/>
        <v>0.47059569466537005</v>
      </c>
      <c r="U451" s="194">
        <f t="shared" si="39"/>
        <v>0.84505168355337212</v>
      </c>
      <c r="V451">
        <f>IFERROR(IF((N451-G451)&gt;0,(IFERROR(N451-G451,"")),""),"")</f>
        <v>54</v>
      </c>
      <c r="W451" s="194">
        <f t="shared" si="40"/>
        <v>0.14747156763519931</v>
      </c>
      <c r="X451" s="194">
        <f t="shared" si="41"/>
        <v>7.395807941494247E-3</v>
      </c>
      <c r="Y451" s="252" t="str">
        <f>IF(ISNUMBER(SEARCH("C",'WetLitterbags placem_collection'!$Y158)),"YES","NO")</f>
        <v>NO</v>
      </c>
      <c r="Z451" s="252" t="str">
        <f>IF(ISNUMBER(SEARCH("H", 'WetLitterbags placem_collection'!$Y158)),"YES","NO")</f>
        <v>NO</v>
      </c>
      <c r="AA451" s="252" t="str">
        <f>IF(ISNUMBER(SEARCH("R", 'WetLitterbags placem_collection'!$Y158)),"YES","NO")</f>
        <v>YES</v>
      </c>
      <c r="AB451" s="252" t="str">
        <f>IF(ISNUMBER(SEARCH("C", 'WetLitterbags placem_collection'!$W158)),"YES","NO")</f>
        <v>NO</v>
      </c>
      <c r="AC451" s="252" t="str">
        <f>IF(ISNUMBER(SEARCH("H", 'WetLitterbags placem_collection'!$W158)),"YES","NO")</f>
        <v>NO</v>
      </c>
      <c r="AD451" s="252" t="str">
        <f>IF(ISNUMBER(SEARCH("R", 'WetLitterbags placem_collection'!$W158)),"YES","NO")</f>
        <v>YES</v>
      </c>
    </row>
    <row r="452" spans="2:30">
      <c r="B452" t="str">
        <f>'Final data_for_R_analysis_Wetse'!A598</f>
        <v>Wet</v>
      </c>
      <c r="C452" s="260">
        <f>'Final data_for_R_analysis_Wetse'!B598</f>
        <v>157</v>
      </c>
      <c r="D452" t="s">
        <v>3824</v>
      </c>
      <c r="E452" t="s">
        <v>25</v>
      </c>
      <c r="F452" s="382">
        <v>5</v>
      </c>
      <c r="G452" s="16">
        <f>'WetLitterbags placem_collection'!E159</f>
        <v>42762</v>
      </c>
      <c r="H452" s="92" t="str">
        <f>'Final data_for_R_analysis_Wetse'!K598</f>
        <v>G777</v>
      </c>
      <c r="I452" t="str">
        <f>'Final data_for_R_analysis_Wetse'!K818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35"/>
        <v>1.7972000000000001</v>
      </c>
      <c r="M452" s="194">
        <f>IF(K452&gt;0,(K452*$F$32-($F$29+$F$30)),"")</f>
        <v>1.8132000000000001</v>
      </c>
      <c r="N452" s="16">
        <f>IF('WetLitterbags placem_collection'!G159="","",'WetLitterbags placem_collection'!G159)</f>
        <v>42816</v>
      </c>
      <c r="O452" s="194">
        <f>IFERROR(INDEX('Both teabags AfterWet'!$C$3:$C$2000,MATCH(H452,'Both teabags AfterWet'!$A$3:$A$2000,0)),"")</f>
        <v>0.70499999999999996</v>
      </c>
      <c r="P452" s="194">
        <f>IFERROR(INDEX('Both teabags AfterWet'!$C$3:$C$2000,MATCH(I452,'Both teabags AfterWet'!$A$3:$A$2000,0)),"")</f>
        <v>1.994</v>
      </c>
      <c r="Q452" s="194">
        <f t="shared" si="36"/>
        <v>0.5544</v>
      </c>
      <c r="R452" s="194">
        <f t="shared" si="36"/>
        <v>1.8433999999999999</v>
      </c>
      <c r="S452" s="194">
        <f t="shared" si="37"/>
        <v>0.69152014244380156</v>
      </c>
      <c r="T452" s="194">
        <f t="shared" si="38"/>
        <v>0.4533481218871479</v>
      </c>
      <c r="U452" s="194">
        <f t="shared" si="39"/>
        <v>1.0166556364438561</v>
      </c>
      <c r="V452">
        <f>IFERROR(IF((N452-G452)&gt;0,(IFERROR(N452-G452,"")),""),"")</f>
        <v>54</v>
      </c>
      <c r="W452" s="194">
        <f t="shared" si="40"/>
        <v>0.17871717049429736</v>
      </c>
      <c r="X452" s="194">
        <f t="shared" si="41"/>
        <v>-6.6815518113489281E-4</v>
      </c>
      <c r="Y452" s="252" t="str">
        <f>IF(ISNUMBER(SEARCH("C",'WetLitterbags placem_collection'!$Y159)),"YES","NO")</f>
        <v>NO</v>
      </c>
      <c r="Z452" s="252" t="str">
        <f>IF(ISNUMBER(SEARCH("H", 'WetLitterbags placem_collection'!$Y159)),"YES","NO")</f>
        <v>NO</v>
      </c>
      <c r="AA452" s="252" t="str">
        <f>IF(ISNUMBER(SEARCH("R", 'WetLitterbags placem_collection'!$Y159)),"YES","NO")</f>
        <v>NO</v>
      </c>
      <c r="AB452" s="252" t="str">
        <f>IF(ISNUMBER(SEARCH("C", 'WetLitterbags placem_collection'!$W159)),"YES","NO")</f>
        <v>YES</v>
      </c>
      <c r="AC452" s="252" t="str">
        <f>IF(ISNUMBER(SEARCH("H", 'WetLitterbags placem_collection'!$W159)),"YES","NO")</f>
        <v>NO</v>
      </c>
      <c r="AD452" s="252" t="str">
        <f>IF(ISNUMBER(SEARCH("R", 'WetLitterbags placem_collection'!$W159)),"YES","NO")</f>
        <v>YES</v>
      </c>
    </row>
    <row r="453" spans="2:30">
      <c r="B453" t="str">
        <f>'Final data_for_R_analysis_Wetse'!A599</f>
        <v>Wet</v>
      </c>
      <c r="C453" s="260">
        <f>'Final data_for_R_analysis_Wetse'!B599</f>
        <v>158</v>
      </c>
      <c r="D453" t="s">
        <v>3824</v>
      </c>
      <c r="E453" t="s">
        <v>25</v>
      </c>
      <c r="F453" s="382">
        <v>6</v>
      </c>
      <c r="G453" s="16">
        <f>'WetLitterbags placem_collection'!E160</f>
        <v>42762</v>
      </c>
      <c r="H453" s="92" t="str">
        <f>'Final data_for_R_analysis_Wetse'!K599</f>
        <v>G884</v>
      </c>
      <c r="I453" t="str">
        <f>'Final data_for_R_analysis_Wetse'!K819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35"/>
        <v>1.8212000000000002</v>
      </c>
      <c r="M453" s="194">
        <f>IF(K453&gt;0,(K453*$F$32-($F$29+$F$30)),"")</f>
        <v>1.8412000000000002</v>
      </c>
      <c r="N453" s="16">
        <f>IF('WetLitterbags placem_collection'!G160="","",'WetLitterbags placem_collection'!G160)</f>
        <v>42816</v>
      </c>
      <c r="O453" s="194">
        <f>IFERROR(INDEX('Both teabags AfterWet'!$C$3:$C$2000,MATCH(H453,'Both teabags AfterWet'!$A$3:$A$2000,0)),"")</f>
        <v>0.629</v>
      </c>
      <c r="P453" s="194">
        <f>IFERROR(INDEX('Both teabags AfterWet'!$C$3:$C$2000,MATCH(I453,'Both teabags AfterWet'!$A$3:$A$2000,0)),"")</f>
        <v>1.718</v>
      </c>
      <c r="Q453" s="194">
        <f t="shared" si="36"/>
        <v>0.47839999999999999</v>
      </c>
      <c r="R453" s="194">
        <f t="shared" si="36"/>
        <v>1.5673999999999999</v>
      </c>
      <c r="S453" s="194">
        <f t="shared" si="37"/>
        <v>0.73731605534812217</v>
      </c>
      <c r="T453" s="194">
        <f t="shared" si="38"/>
        <v>0.48337109566765257</v>
      </c>
      <c r="U453" s="194">
        <f t="shared" si="39"/>
        <v>0.85129263523788823</v>
      </c>
      <c r="V453">
        <f>IFERROR(IF((N453-G453)&gt;0,(IFERROR(N453-G453,"")),""),"")</f>
        <v>54</v>
      </c>
      <c r="W453" s="194">
        <f t="shared" si="40"/>
        <v>0.12432772523975988</v>
      </c>
      <c r="X453" s="194">
        <f t="shared" si="41"/>
        <v>6.8084895057716468E-3</v>
      </c>
      <c r="Y453" s="252" t="str">
        <f>IF(ISNUMBER(SEARCH("C",'WetLitterbags placem_collection'!$Y160)),"YES","NO")</f>
        <v>NO</v>
      </c>
      <c r="Z453" s="252" t="str">
        <f>IF(ISNUMBER(SEARCH("H", 'WetLitterbags placem_collection'!$Y160)),"YES","NO")</f>
        <v>NO</v>
      </c>
      <c r="AA453" s="252" t="str">
        <f>IF(ISNUMBER(SEARCH("R", 'WetLitterbags placem_collection'!$Y160)),"YES","NO")</f>
        <v>NO</v>
      </c>
      <c r="AB453" s="252" t="str">
        <f>IF(ISNUMBER(SEARCH("C", 'WetLitterbags placem_collection'!$W160)),"YES","NO")</f>
        <v>NO</v>
      </c>
      <c r="AC453" s="252" t="str">
        <f>IF(ISNUMBER(SEARCH("H", 'WetLitterbags placem_collection'!$W160)),"YES","NO")</f>
        <v>NO</v>
      </c>
      <c r="AD453" s="252" t="str">
        <f>IF(ISNUMBER(SEARCH("R", 'WetLitterbags placem_collection'!$W160)),"YES","NO")</f>
        <v>YES</v>
      </c>
    </row>
    <row r="454" spans="2:30">
      <c r="B454" t="str">
        <f>'Final data_for_R_analysis_Wetse'!A600</f>
        <v>Wet</v>
      </c>
      <c r="C454" s="260">
        <f>'Final data_for_R_analysis_Wetse'!B600</f>
        <v>159</v>
      </c>
      <c r="D454" t="s">
        <v>3824</v>
      </c>
      <c r="E454" t="s">
        <v>25</v>
      </c>
      <c r="F454" s="382">
        <v>7</v>
      </c>
      <c r="G454" s="16">
        <f>'WetLitterbags placem_collection'!E161</f>
        <v>42762</v>
      </c>
      <c r="H454" s="92" t="str">
        <f>'Final data_for_R_analysis_Wetse'!K600</f>
        <v>G731</v>
      </c>
      <c r="I454" t="str">
        <f>'Final data_for_R_analysis_Wetse'!K820</f>
        <v>R439</v>
      </c>
      <c r="J454">
        <f>IFERROR(INDEX('Green_rooibos initial weight'!$C$5:$C$2000,MATCH(H454, 'Green_rooibos initial weight'!$A$5:$A$2000,0)),"")</f>
        <v>2.14</v>
      </c>
      <c r="K454">
        <f>IFERROR(INDEX('Green_rooibos initial weight'!$C$5:$C$2000,MATCH(I454, 'Green_rooibos initial weight'!$A$5:$A$2000,0)),"")</f>
        <v>2.2450000000000001</v>
      </c>
      <c r="L454" s="194">
        <f t="shared" si="35"/>
        <v>1.8902000000000001</v>
      </c>
      <c r="M454" s="194">
        <f>IF(K454&gt;0,(K454*$F$32-($F$29+$F$30)),"")</f>
        <v>1.9952000000000001</v>
      </c>
      <c r="N454" s="16">
        <f>IF('WetLitterbags placem_collection'!G161="","",'WetLitterbags placem_collection'!G161)</f>
        <v>42816</v>
      </c>
      <c r="O454" s="194" t="str">
        <f>IFERROR(INDEX('Both teabags AfterWet'!$C$3:$C$2000,MATCH(H454,'Both teabags AfterWet'!$A$3:$A$2000,0)),"")</f>
        <v/>
      </c>
      <c r="P454" s="194" t="str">
        <f>IFERROR(INDEX('Both teabags AfterWet'!$C$3:$C$2000,MATCH(I454,'Both teabags AfterWet'!$A$3:$A$2000,0)),"")</f>
        <v/>
      </c>
      <c r="Q454" s="194" t="str">
        <f t="shared" si="36"/>
        <v/>
      </c>
      <c r="R454" s="194" t="str">
        <f t="shared" si="36"/>
        <v/>
      </c>
      <c r="S454" s="194" t="str">
        <f t="shared" si="37"/>
        <v/>
      </c>
      <c r="T454" s="194" t="str">
        <f t="shared" si="38"/>
        <v/>
      </c>
      <c r="U454" s="194" t="str">
        <f t="shared" si="39"/>
        <v/>
      </c>
      <c r="V454">
        <f>IFERROR(IF((N454-G454)&gt;0,(IFERROR(N454-G454,"")),""),"")</f>
        <v>54</v>
      </c>
      <c r="W454" s="194" t="str">
        <f t="shared" si="40"/>
        <v/>
      </c>
      <c r="X454" s="194" t="str">
        <f t="shared" si="41"/>
        <v/>
      </c>
      <c r="Y454" s="252" t="str">
        <f>IF(ISNUMBER(SEARCH("C",'WetLitterbags placem_collection'!$Y161)),"YES","NO")</f>
        <v>NO</v>
      </c>
      <c r="Z454" s="252" t="str">
        <f>IF(ISNUMBER(SEARCH("H", 'WetLitterbags placem_collection'!$Y161)),"YES","NO")</f>
        <v>NO</v>
      </c>
      <c r="AA454" s="252" t="str">
        <f>IF(ISNUMBER(SEARCH("R", 'WetLitterbags placem_collection'!$Y161)),"YES","NO")</f>
        <v>NO</v>
      </c>
      <c r="AB454" s="252" t="str">
        <f>IF(ISNUMBER(SEARCH("C", 'WetLitterbags placem_collection'!$W161)),"YES","NO")</f>
        <v>NO</v>
      </c>
      <c r="AC454" s="252" t="str">
        <f>IF(ISNUMBER(SEARCH("H", 'WetLitterbags placem_collection'!$W161)),"YES","NO")</f>
        <v>NO</v>
      </c>
      <c r="AD454" s="252" t="str">
        <f>IF(ISNUMBER(SEARCH("R", 'WetLitterbags placem_collection'!$W161)),"YES","NO")</f>
        <v>NO</v>
      </c>
    </row>
    <row r="455" spans="2:30">
      <c r="B455" t="str">
        <f>'Final data_for_R_analysis_Wetse'!A601</f>
        <v>Wet</v>
      </c>
      <c r="C455" s="260">
        <f>'Final data_for_R_analysis_Wetse'!B601</f>
        <v>160</v>
      </c>
      <c r="D455" t="s">
        <v>3824</v>
      </c>
      <c r="E455" t="s">
        <v>25</v>
      </c>
      <c r="F455" s="382">
        <v>8</v>
      </c>
      <c r="G455" s="16">
        <f>'WetLitterbags placem_collection'!E162</f>
        <v>42762</v>
      </c>
      <c r="H455" s="92" t="str">
        <f>'Final data_for_R_analysis_Wetse'!K601</f>
        <v>G876</v>
      </c>
      <c r="I455" t="str">
        <f>'Final data_for_R_analysis_Wetse'!K821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35"/>
        <v>1.7052</v>
      </c>
      <c r="M455" s="194">
        <f>IF(K455&gt;0,(K455*$F$32-($F$29+$F$30)),"")</f>
        <v>1.9432</v>
      </c>
      <c r="N455" s="16">
        <f>IF('WetLitterbags placem_collection'!G162="","",'WetLitterbags placem_collection'!G162)</f>
        <v>42816</v>
      </c>
      <c r="O455" s="194">
        <f>IFERROR(INDEX('Both teabags AfterWet'!$C$3:$C$2000,MATCH(H455,'Both teabags AfterWet'!$A$3:$A$2000,0)),"")</f>
        <v>0.68100000000000005</v>
      </c>
      <c r="P455" s="194">
        <f>IFERROR(INDEX('Both teabags AfterWet'!$C$3:$C$2000,MATCH(I455,'Both teabags AfterWet'!$A$3:$A$2000,0)),"")</f>
        <v>1.744</v>
      </c>
      <c r="Q455" s="194">
        <f t="shared" si="36"/>
        <v>0.53039999999999998</v>
      </c>
      <c r="R455" s="194">
        <f t="shared" si="36"/>
        <v>1.5933999999999999</v>
      </c>
      <c r="S455" s="194">
        <f t="shared" si="37"/>
        <v>0.68895144264602393</v>
      </c>
      <c r="T455" s="194">
        <f t="shared" si="38"/>
        <v>0.45166412867055256</v>
      </c>
      <c r="U455" s="194">
        <f t="shared" si="39"/>
        <v>0.81998764923836964</v>
      </c>
      <c r="V455">
        <f>IFERROR(IF((N455-G455)&gt;0,(IFERROR(N455-G455,"")),""),"")</f>
        <v>54</v>
      </c>
      <c r="W455" s="194">
        <f t="shared" si="40"/>
        <v>0.181767882843202</v>
      </c>
      <c r="X455" s="194">
        <f t="shared" si="41"/>
        <v>9.4151445856047421E-3</v>
      </c>
      <c r="Y455" s="252" t="str">
        <f>IF(ISNUMBER(SEARCH("C",'WetLitterbags placem_collection'!$Y162)),"YES","NO")</f>
        <v>NO</v>
      </c>
      <c r="Z455" s="252" t="str">
        <f>IF(ISNUMBER(SEARCH("H", 'WetLitterbags placem_collection'!$Y162)),"YES","NO")</f>
        <v>NO</v>
      </c>
      <c r="AA455" s="252" t="str">
        <f>IF(ISNUMBER(SEARCH("R", 'WetLitterbags placem_collection'!$Y162)),"YES","NO")</f>
        <v>NO</v>
      </c>
      <c r="AB455" s="252" t="str">
        <f>IF(ISNUMBER(SEARCH("C", 'WetLitterbags placem_collection'!$W162)),"YES","NO")</f>
        <v>NO</v>
      </c>
      <c r="AC455" s="252" t="str">
        <f>IF(ISNUMBER(SEARCH("H", 'WetLitterbags placem_collection'!$W162)),"YES","NO")</f>
        <v>NO</v>
      </c>
      <c r="AD455" s="252" t="str">
        <f>IF(ISNUMBER(SEARCH("R", 'WetLitterbags placem_collection'!$W162)),"YES","NO")</f>
        <v>YES</v>
      </c>
    </row>
    <row r="456" spans="2:30">
      <c r="B456" t="str">
        <f>'Final data_for_R_analysis_Wetse'!A602</f>
        <v>Wet</v>
      </c>
      <c r="C456" s="260">
        <f>'Final data_for_R_analysis_Wetse'!B602</f>
        <v>161</v>
      </c>
      <c r="D456" t="s">
        <v>3825</v>
      </c>
      <c r="E456" t="s">
        <v>25</v>
      </c>
      <c r="F456" s="381">
        <v>1</v>
      </c>
      <c r="G456" s="16">
        <f>'WetLitterbags placem_collection'!E163</f>
        <v>42763</v>
      </c>
      <c r="H456" s="92" t="str">
        <f>'Final data_for_R_analysis_Wetse'!K602</f>
        <v>G351</v>
      </c>
      <c r="I456" t="str">
        <f>'Final data_for_R_analysis_Wetse'!K822</f>
        <v>R253</v>
      </c>
      <c r="J456">
        <f>IFERROR(INDEX('Green_rooibos initial weight'!$C$5:$C$2000,MATCH(H456, 'Green_rooibos initial weight'!$A$5:$A$2000,0)),"")</f>
        <v>1.909</v>
      </c>
      <c r="K456">
        <f>IFERROR(INDEX('Green_rooibos initial weight'!$C$5:$C$2000,MATCH(I456, 'Green_rooibos initial weight'!$A$5:$A$2000,0)),"")</f>
        <v>2.2130000000000001</v>
      </c>
      <c r="L456" s="194">
        <f t="shared" si="35"/>
        <v>1.6592</v>
      </c>
      <c r="M456" s="194">
        <f>IF(K456&gt;0,(K456*$F$32-($F$29+$F$30)),"")</f>
        <v>1.9632000000000001</v>
      </c>
      <c r="N456" s="16">
        <f>IF('WetLitterbags placem_collection'!G163="","",'WetLitterbags placem_collection'!G163)</f>
        <v>42814</v>
      </c>
      <c r="O456" s="194">
        <f>IFERROR(INDEX('Both teabags AfterWet'!$C$3:$C$2000,MATCH(H456,'Both teabags AfterWet'!$A$3:$A$2000,0)),"")</f>
        <v>0.58709999999999996</v>
      </c>
      <c r="P456" s="194">
        <f>IFERROR(INDEX('Both teabags AfterWet'!$C$3:$C$2000,MATCH(I456,'Both teabags AfterWet'!$A$3:$A$2000,0)),"")</f>
        <v>1.7033</v>
      </c>
      <c r="Q456" s="194">
        <f t="shared" si="36"/>
        <v>0.43649999999999994</v>
      </c>
      <c r="R456" s="194">
        <f t="shared" si="36"/>
        <v>1.5527</v>
      </c>
      <c r="S456" s="194">
        <f t="shared" si="37"/>
        <v>0.73692140790742533</v>
      </c>
      <c r="T456" s="194">
        <f t="shared" si="38"/>
        <v>0.4831123719298086</v>
      </c>
      <c r="U456" s="194">
        <f t="shared" si="39"/>
        <v>0.79090260798695999</v>
      </c>
      <c r="V456">
        <f>IFERROR(IF((N456-G456)&gt;0,(IFERROR(N456-G456,"")),""),"")</f>
        <v>51</v>
      </c>
      <c r="W456" s="194">
        <f t="shared" si="40"/>
        <v>0.12479642766339027</v>
      </c>
      <c r="X456" s="194">
        <f t="shared" si="41"/>
        <v>1.1118951069981408E-2</v>
      </c>
      <c r="Y456" s="252" t="str">
        <f>IF(ISNUMBER(SEARCH("C",'WetLitterbags placem_collection'!$Y163)),"YES","NO")</f>
        <v>NO</v>
      </c>
      <c r="Z456" s="252" t="str">
        <f>IF(ISNUMBER(SEARCH("H", 'WetLitterbags placem_collection'!$Y163)),"YES","NO")</f>
        <v>NO</v>
      </c>
      <c r="AA456" s="252" t="str">
        <f>IF(ISNUMBER(SEARCH("R", 'WetLitterbags placem_collection'!$Y163)),"YES","NO")</f>
        <v>NO</v>
      </c>
      <c r="AB456" s="252" t="str">
        <f>IF(ISNUMBER(SEARCH("C", 'WetLitterbags placem_collection'!$W163)),"YES","NO")</f>
        <v>NO</v>
      </c>
      <c r="AC456" s="252" t="str">
        <f>IF(ISNUMBER(SEARCH("H", 'WetLitterbags placem_collection'!$W163)),"YES","NO")</f>
        <v>NO</v>
      </c>
      <c r="AD456" s="252" t="str">
        <f>IF(ISNUMBER(SEARCH("R", 'WetLitterbags placem_collection'!$W163)),"YES","NO")</f>
        <v>NO</v>
      </c>
    </row>
    <row r="457" spans="2:30">
      <c r="B457" t="str">
        <f>'Final data_for_R_analysis_Wetse'!A603</f>
        <v>Wet</v>
      </c>
      <c r="C457" s="260">
        <f>'Final data_for_R_analysis_Wetse'!B603</f>
        <v>162</v>
      </c>
      <c r="D457" t="s">
        <v>3825</v>
      </c>
      <c r="E457" t="s">
        <v>25</v>
      </c>
      <c r="F457" s="381">
        <v>2</v>
      </c>
      <c r="G457" s="16">
        <f>'WetLitterbags placem_collection'!E164</f>
        <v>42763</v>
      </c>
      <c r="H457" s="92" t="str">
        <f>'Final data_for_R_analysis_Wetse'!K603</f>
        <v>G442</v>
      </c>
      <c r="I457" t="str">
        <f>'Final data_for_R_analysis_Wetse'!K823</f>
        <v>R285</v>
      </c>
      <c r="J457">
        <f>IFERROR(INDEX('Green_rooibos initial weight'!$C$5:$C$2000,MATCH(H457, 'Green_rooibos initial weight'!$A$5:$A$2000,0)),"")</f>
        <v>2.056</v>
      </c>
      <c r="K457">
        <f>IFERROR(INDEX('Green_rooibos initial weight'!$C$5:$C$2000,MATCH(I457, 'Green_rooibos initial weight'!$A$5:$A$2000,0)),"")</f>
        <v>2.2400000000000002</v>
      </c>
      <c r="L457" s="194">
        <f t="shared" si="35"/>
        <v>1.8062</v>
      </c>
      <c r="M457" s="194">
        <f>IF(K457&gt;0,(K457*$F$32-($F$29+$F$30)),"")</f>
        <v>1.9902000000000002</v>
      </c>
      <c r="N457" s="16">
        <f>IF('WetLitterbags placem_collection'!G164="","",'WetLitterbags placem_collection'!G164)</f>
        <v>42814</v>
      </c>
      <c r="O457" s="194">
        <f>IFERROR(INDEX('Both teabags AfterWet'!$C$3:$C$2000,MATCH(H457,'Both teabags AfterWet'!$A$3:$A$2000,0)),"")</f>
        <v>0.66290000000000004</v>
      </c>
      <c r="P457" s="194">
        <f>IFERROR(INDEX('Both teabags AfterWet'!$C$3:$C$2000,MATCH(I457,'Both teabags AfterWet'!$A$3:$A$2000,0)),"")</f>
        <v>1.6621999999999999</v>
      </c>
      <c r="Q457" s="194">
        <f t="shared" si="36"/>
        <v>0.51229999999999998</v>
      </c>
      <c r="R457" s="194">
        <f t="shared" si="36"/>
        <v>1.5115999999999998</v>
      </c>
      <c r="S457" s="194">
        <f t="shared" si="37"/>
        <v>0.71636585095781202</v>
      </c>
      <c r="T457" s="194">
        <f t="shared" si="38"/>
        <v>0.46963651986782928</v>
      </c>
      <c r="U457" s="194">
        <f t="shared" si="39"/>
        <v>0.75952165611496314</v>
      </c>
      <c r="V457">
        <f>IFERROR(IF((N457-G457)&gt;0,(IFERROR(N457-G457,"")),""),"")</f>
        <v>51</v>
      </c>
      <c r="W457" s="194">
        <f t="shared" si="40"/>
        <v>0.14920920313799046</v>
      </c>
      <c r="X457" s="194">
        <f t="shared" si="41"/>
        <v>1.4069540070446694E-2</v>
      </c>
      <c r="Y457" s="252" t="str">
        <f>IF(ISNUMBER(SEARCH("C",'WetLitterbags placem_collection'!$Y164)),"YES","NO")</f>
        <v>NO</v>
      </c>
      <c r="Z457" s="252" t="str">
        <f>IF(ISNUMBER(SEARCH("H", 'WetLitterbags placem_collection'!$Y164)),"YES","NO")</f>
        <v>NO</v>
      </c>
      <c r="AA457" s="252" t="str">
        <f>IF(ISNUMBER(SEARCH("R", 'WetLitterbags placem_collection'!$Y164)),"YES","NO")</f>
        <v>YES</v>
      </c>
      <c r="AB457" s="252" t="str">
        <f>IF(ISNUMBER(SEARCH("C", 'WetLitterbags placem_collection'!$W164)),"YES","NO")</f>
        <v>NO</v>
      </c>
      <c r="AC457" s="252" t="str">
        <f>IF(ISNUMBER(SEARCH("H", 'WetLitterbags placem_collection'!$W164)),"YES","NO")</f>
        <v>YES</v>
      </c>
      <c r="AD457" s="252" t="str">
        <f>IF(ISNUMBER(SEARCH("R", 'WetLitterbags placem_collection'!$W164)),"YES","NO")</f>
        <v>NO</v>
      </c>
    </row>
    <row r="458" spans="2:30">
      <c r="B458" t="str">
        <f>'Final data_for_R_analysis_Wetse'!A604</f>
        <v>Wet</v>
      </c>
      <c r="C458" s="260">
        <f>'Final data_for_R_analysis_Wetse'!B604</f>
        <v>163</v>
      </c>
      <c r="D458" t="s">
        <v>3825</v>
      </c>
      <c r="E458" t="s">
        <v>25</v>
      </c>
      <c r="F458" s="381">
        <v>3</v>
      </c>
      <c r="G458" s="16">
        <f>'WetLitterbags placem_collection'!E165</f>
        <v>42763</v>
      </c>
      <c r="H458" s="92" t="str">
        <f>'Final data_for_R_analysis_Wetse'!K604</f>
        <v>G743</v>
      </c>
      <c r="I458" t="str">
        <f>'Final data_for_R_analysis_Wetse'!K824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35"/>
        <v>1.7841999999999998</v>
      </c>
      <c r="M458" s="194">
        <f>IF(K458&gt;0,(K458*$F$32-($F$29+$F$30)),"")</f>
        <v>1.9062000000000001</v>
      </c>
      <c r="N458" s="16">
        <f>IF('WetLitterbags placem_collection'!G165="","",'WetLitterbags placem_collection'!G165)</f>
        <v>42814</v>
      </c>
      <c r="O458" s="194">
        <f>IFERROR(INDEX('Both teabags AfterWet'!$C$3:$C$2000,MATCH(H458,'Both teabags AfterWet'!$A$3:$A$2000,0)),"")</f>
        <v>0.68700000000000006</v>
      </c>
      <c r="P458" s="194">
        <f>IFERROR(INDEX('Both teabags AfterWet'!$C$3:$C$2000,MATCH(I458,'Both teabags AfterWet'!$A$3:$A$2000,0)),"")</f>
        <v>1.738</v>
      </c>
      <c r="Q458" s="194">
        <f t="shared" si="36"/>
        <v>0.53639999999999999</v>
      </c>
      <c r="R458" s="194">
        <f t="shared" si="36"/>
        <v>1.5873999999999999</v>
      </c>
      <c r="S458" s="194">
        <f t="shared" si="37"/>
        <v>0.6993610581773344</v>
      </c>
      <c r="T458" s="194">
        <f t="shared" si="38"/>
        <v>0.45848848469582976</v>
      </c>
      <c r="U458" s="194">
        <f t="shared" si="39"/>
        <v>0.83275626901689215</v>
      </c>
      <c r="V458">
        <f>IFERROR(IF((N458-G458)&gt;0,(IFERROR(N458-G458,"")),""),"")</f>
        <v>51</v>
      </c>
      <c r="W458" s="194">
        <f t="shared" si="40"/>
        <v>0.169404919029294</v>
      </c>
      <c r="X458" s="194">
        <f t="shared" si="41"/>
        <v>8.8974742058777357E-3</v>
      </c>
      <c r="Y458" s="252" t="str">
        <f>IF(ISNUMBER(SEARCH("C",'WetLitterbags placem_collection'!$Y165)),"YES","NO")</f>
        <v>NO</v>
      </c>
      <c r="Z458" s="252" t="str">
        <f>IF(ISNUMBER(SEARCH("H", 'WetLitterbags placem_collection'!$Y165)),"YES","NO")</f>
        <v>NO</v>
      </c>
      <c r="AA458" s="252" t="str">
        <f>IF(ISNUMBER(SEARCH("R", 'WetLitterbags placem_collection'!$Y165)),"YES","NO")</f>
        <v>NO</v>
      </c>
      <c r="AB458" s="252" t="str">
        <f>IF(ISNUMBER(SEARCH("C", 'WetLitterbags placem_collection'!$W165)),"YES","NO")</f>
        <v>NO</v>
      </c>
      <c r="AC458" s="252" t="str">
        <f>IF(ISNUMBER(SEARCH("H", 'WetLitterbags placem_collection'!$W165)),"YES","NO")</f>
        <v>NO</v>
      </c>
      <c r="AD458" s="252" t="str">
        <f>IF(ISNUMBER(SEARCH("R", 'WetLitterbags placem_collection'!$W165)),"YES","NO")</f>
        <v>NO</v>
      </c>
    </row>
    <row r="459" spans="2:30">
      <c r="B459" t="str">
        <f>'Final data_for_R_analysis_Wetse'!A605</f>
        <v>Wet</v>
      </c>
      <c r="C459" s="260">
        <f>'Final data_for_R_analysis_Wetse'!B605</f>
        <v>164</v>
      </c>
      <c r="D459" t="s">
        <v>3825</v>
      </c>
      <c r="E459" t="s">
        <v>25</v>
      </c>
      <c r="F459" s="382">
        <v>4</v>
      </c>
      <c r="G459" s="16">
        <f>'WetLitterbags placem_collection'!E166</f>
        <v>42763</v>
      </c>
      <c r="H459" s="92" t="str">
        <f>'Final data_for_R_analysis_Wetse'!K605</f>
        <v>G390</v>
      </c>
      <c r="I459" t="str">
        <f>'Final data_for_R_analysis_Wetse'!K825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35"/>
        <v>1.8132000000000001</v>
      </c>
      <c r="M459" s="194">
        <f>IF(K459&gt;0,(K459*$F$32-($F$29+$F$30)),"")</f>
        <v>1.9752000000000001</v>
      </c>
      <c r="N459" s="16">
        <f>IF('WetLitterbags placem_collection'!G166="","",'WetLitterbags placem_collection'!G166)</f>
        <v>42814</v>
      </c>
      <c r="O459" s="194">
        <f>IFERROR(INDEX('Both teabags AfterWet'!$C$3:$C$2000,MATCH(H459,'Both teabags AfterWet'!$A$3:$A$2000,0)),"")</f>
        <v>0.63800000000000001</v>
      </c>
      <c r="P459" s="194">
        <f>IFERROR(INDEX('Both teabags AfterWet'!$C$3:$C$2000,MATCH(I459,'Both teabags AfterWet'!$A$3:$A$2000,0)),"")</f>
        <v>1.7050000000000001</v>
      </c>
      <c r="Q459" s="194">
        <f t="shared" si="36"/>
        <v>0.4874</v>
      </c>
      <c r="R459" s="194">
        <f t="shared" si="36"/>
        <v>1.5544</v>
      </c>
      <c r="S459" s="194">
        <f t="shared" si="37"/>
        <v>0.73119347010809621</v>
      </c>
      <c r="T459" s="194">
        <f t="shared" si="38"/>
        <v>0.47935723931077096</v>
      </c>
      <c r="U459" s="194">
        <f t="shared" si="39"/>
        <v>0.7869582827055488</v>
      </c>
      <c r="V459">
        <f>IFERROR(IF((N459-G459)&gt;0,(IFERROR(N459-G459,"")),""),"")</f>
        <v>51</v>
      </c>
      <c r="W459" s="194">
        <f t="shared" si="40"/>
        <v>0.13159920414715409</v>
      </c>
      <c r="X459" s="194">
        <f t="shared" si="41"/>
        <v>1.1524791037832991E-2</v>
      </c>
      <c r="Y459" s="252" t="str">
        <f>IF(ISNUMBER(SEARCH("C",'WetLitterbags placem_collection'!$Y166)),"YES","NO")</f>
        <v>NO</v>
      </c>
      <c r="Z459" s="252" t="str">
        <f>IF(ISNUMBER(SEARCH("H", 'WetLitterbags placem_collection'!$Y166)),"YES","NO")</f>
        <v>NO</v>
      </c>
      <c r="AA459" s="252" t="str">
        <f>IF(ISNUMBER(SEARCH("R", 'WetLitterbags placem_collection'!$Y166)),"YES","NO")</f>
        <v>NO</v>
      </c>
      <c r="AB459" s="252" t="str">
        <f>IF(ISNUMBER(SEARCH("C", 'WetLitterbags placem_collection'!$W166)),"YES","NO")</f>
        <v>NO</v>
      </c>
      <c r="AC459" s="252" t="str">
        <f>IF(ISNUMBER(SEARCH("H", 'WetLitterbags placem_collection'!$W166)),"YES","NO")</f>
        <v>NO</v>
      </c>
      <c r="AD459" s="252" t="str">
        <f>IF(ISNUMBER(SEARCH("R", 'WetLitterbags placem_collection'!$W166)),"YES","NO")</f>
        <v>NO</v>
      </c>
    </row>
    <row r="460" spans="2:30">
      <c r="B460" t="str">
        <f>'Final data_for_R_analysis_Wetse'!A606</f>
        <v>Wet</v>
      </c>
      <c r="C460" s="260">
        <f>'Final data_for_R_analysis_Wetse'!B606</f>
        <v>165</v>
      </c>
      <c r="D460" t="s">
        <v>3825</v>
      </c>
      <c r="E460" t="s">
        <v>25</v>
      </c>
      <c r="F460" s="382">
        <v>5</v>
      </c>
      <c r="G460" s="16">
        <f>'WetLitterbags placem_collection'!E167</f>
        <v>42763</v>
      </c>
      <c r="H460" s="92" t="str">
        <f>'Final data_for_R_analysis_Wetse'!K606</f>
        <v>G810</v>
      </c>
      <c r="I460" t="str">
        <f>'Final data_for_R_analysis_Wetse'!K826</f>
        <v>R411</v>
      </c>
      <c r="J460">
        <f>IFERROR(INDEX('Green_rooibos initial weight'!$C$5:$C$2000,MATCH(H460, 'Green_rooibos initial weight'!$A$5:$A$2000,0)),"")</f>
        <v>1.946</v>
      </c>
      <c r="K460">
        <f>IFERROR(INDEX('Green_rooibos initial weight'!$C$5:$C$2000,MATCH(I460, 'Green_rooibos initial weight'!$A$5:$A$2000,0)),"")</f>
        <v>2.2240000000000002</v>
      </c>
      <c r="L460" s="194">
        <f t="shared" si="35"/>
        <v>1.6961999999999999</v>
      </c>
      <c r="M460" s="194">
        <f>IF(K460&gt;0,(K460*$F$32-($F$29+$F$30)),"")</f>
        <v>1.9742000000000002</v>
      </c>
      <c r="N460" s="16">
        <f>IF('WetLitterbags placem_collection'!G167="","",'WetLitterbags placem_collection'!G167)</f>
        <v>42814</v>
      </c>
      <c r="O460" s="194">
        <f>IFERROR(INDEX('Both teabags AfterWet'!$C$3:$C$2000,MATCH(H460,'Both teabags AfterWet'!$A$3:$A$2000,0)),"")</f>
        <v>0.64800000000000002</v>
      </c>
      <c r="P460" s="194">
        <f>IFERROR(INDEX('Both teabags AfterWet'!$C$3:$C$2000,MATCH(I460,'Both teabags AfterWet'!$A$3:$A$2000,0)),"")</f>
        <v>1.728</v>
      </c>
      <c r="Q460" s="194">
        <f t="shared" si="36"/>
        <v>0.49740000000000001</v>
      </c>
      <c r="R460" s="194">
        <f t="shared" si="36"/>
        <v>1.5773999999999999</v>
      </c>
      <c r="S460" s="194">
        <f t="shared" si="37"/>
        <v>0.70675627874071445</v>
      </c>
      <c r="T460" s="194">
        <f t="shared" si="38"/>
        <v>0.46333665779676297</v>
      </c>
      <c r="U460" s="194">
        <f t="shared" si="39"/>
        <v>0.79900719278695154</v>
      </c>
      <c r="V460">
        <f>IFERROR(IF((N460-G460)&gt;0,(IFERROR(N460-G460,"")),""),"")</f>
        <v>51</v>
      </c>
      <c r="W460" s="194">
        <f t="shared" si="40"/>
        <v>0.16062199674499467</v>
      </c>
      <c r="X460" s="194">
        <f t="shared" si="41"/>
        <v>1.1152899263052954E-2</v>
      </c>
      <c r="Y460" s="252" t="str">
        <f>IF(ISNUMBER(SEARCH("C",'WetLitterbags placem_collection'!$Y167)),"YES","NO")</f>
        <v>NO</v>
      </c>
      <c r="Z460" s="252" t="str">
        <f>IF(ISNUMBER(SEARCH("H", 'WetLitterbags placem_collection'!$Y167)),"YES","NO")</f>
        <v>NO</v>
      </c>
      <c r="AA460" s="252" t="str">
        <f>IF(ISNUMBER(SEARCH("R", 'WetLitterbags placem_collection'!$Y167)),"YES","NO")</f>
        <v>NO</v>
      </c>
      <c r="AB460" s="252" t="str">
        <f>IF(ISNUMBER(SEARCH("C", 'WetLitterbags placem_collection'!$W167)),"YES","NO")</f>
        <v>NO</v>
      </c>
      <c r="AC460" s="252" t="str">
        <f>IF(ISNUMBER(SEARCH("H", 'WetLitterbags placem_collection'!$W167)),"YES","NO")</f>
        <v>YES</v>
      </c>
      <c r="AD460" s="252" t="str">
        <f>IF(ISNUMBER(SEARCH("R", 'WetLitterbags placem_collection'!$W167)),"YES","NO")</f>
        <v>NO</v>
      </c>
    </row>
    <row r="461" spans="2:30">
      <c r="B461" t="str">
        <f>'Final data_for_R_analysis_Wetse'!A607</f>
        <v>Wet</v>
      </c>
      <c r="C461" s="260">
        <f>'Final data_for_R_analysis_Wetse'!B607</f>
        <v>166</v>
      </c>
      <c r="D461" t="s">
        <v>3825</v>
      </c>
      <c r="E461" t="s">
        <v>25</v>
      </c>
      <c r="F461" s="382">
        <v>6</v>
      </c>
      <c r="G461" s="16">
        <f>'WetLitterbags placem_collection'!E168</f>
        <v>42763</v>
      </c>
      <c r="H461" s="92" t="str">
        <f>'Final data_for_R_analysis_Wetse'!K607</f>
        <v>G287</v>
      </c>
      <c r="I461" t="str">
        <f>'Final data_for_R_analysis_Wetse'!K827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42">IF(J461&gt;0,(J461*$F$31-($F$29+$F$30)),"")</f>
        <v>1.7472000000000001</v>
      </c>
      <c r="M461" s="194">
        <f>IF(K461&gt;0,(K461*$F$32-($F$29+$F$30)),"")</f>
        <v>1.9681999999999999</v>
      </c>
      <c r="N461" s="16">
        <f>IF('WetLitterbags placem_collection'!G168="","",'WetLitterbags placem_collection'!G168)</f>
        <v>42814</v>
      </c>
      <c r="O461" s="194">
        <f>IFERROR(INDEX('Both teabags AfterWet'!$C$3:$C$2000,MATCH(H461,'Both teabags AfterWet'!$A$3:$A$2000,0)),"")</f>
        <v>0.72240000000000004</v>
      </c>
      <c r="P461" s="194">
        <f>IFERROR(INDEX('Both teabags AfterWet'!$C$3:$C$2000,MATCH(I461,'Both teabags AfterWet'!$A$3:$A$2000,0)),"")</f>
        <v>1.7169000000000001</v>
      </c>
      <c r="Q461" s="194">
        <f t="shared" ref="Q461:R515" si="43">IFERROR(IF(O461&gt;0,O461-($F$29),""),"")</f>
        <v>0.57180000000000009</v>
      </c>
      <c r="R461" s="194">
        <f t="shared" si="43"/>
        <v>1.5663</v>
      </c>
      <c r="S461" s="194">
        <f t="shared" ref="S461:S515" si="44">IFERROR(1-Q461/L461,"")</f>
        <v>0.67273351648351642</v>
      </c>
      <c r="T461" s="194">
        <f t="shared" ref="T461:T515" si="45">IFERROR($F$26*(1-W461),"")</f>
        <v>0.44103194904857612</v>
      </c>
      <c r="U461" s="194">
        <f t="shared" ref="U461:U515" si="46">IFERROR(R461/M461,"")</f>
        <v>0.79580327202520074</v>
      </c>
      <c r="V461">
        <f>IFERROR(IF((N461-G461)&gt;0,(IFERROR(N461-G461,"")),""),"")</f>
        <v>51</v>
      </c>
      <c r="W461" s="194">
        <f t="shared" ref="W461:W515" si="47">IFERROR(1-(S461/$F$25),"")</f>
        <v>0.20102907781055057</v>
      </c>
      <c r="X461" s="194">
        <f t="shared" ref="X461:X515" si="48">IFERROR(LN(T461/(U461-(1-T461)))/V461,"")</f>
        <v>1.2191229216720135E-2</v>
      </c>
      <c r="Y461" s="252" t="str">
        <f>IF(ISNUMBER(SEARCH("C",'WetLitterbags placem_collection'!$Y168)),"YES","NO")</f>
        <v>NO</v>
      </c>
      <c r="Z461" s="252" t="str">
        <f>IF(ISNUMBER(SEARCH("H", 'WetLitterbags placem_collection'!$Y168)),"YES","NO")</f>
        <v>NO</v>
      </c>
      <c r="AA461" s="252" t="str">
        <f>IF(ISNUMBER(SEARCH("R", 'WetLitterbags placem_collection'!$Y168)),"YES","NO")</f>
        <v>NO</v>
      </c>
      <c r="AB461" s="252" t="str">
        <f>IF(ISNUMBER(SEARCH("C", 'WetLitterbags placem_collection'!$W168)),"YES","NO")</f>
        <v>NO</v>
      </c>
      <c r="AC461" s="252" t="str">
        <f>IF(ISNUMBER(SEARCH("H", 'WetLitterbags placem_collection'!$W168)),"YES","NO")</f>
        <v>NO</v>
      </c>
      <c r="AD461" s="252" t="str">
        <f>IF(ISNUMBER(SEARCH("R", 'WetLitterbags placem_collection'!$W168)),"YES","NO")</f>
        <v>NO</v>
      </c>
    </row>
    <row r="462" spans="2:30">
      <c r="B462" t="str">
        <f>'Final data_for_R_analysis_Wetse'!A608</f>
        <v>Wet</v>
      </c>
      <c r="C462" s="260">
        <f>'Final data_for_R_analysis_Wetse'!B608</f>
        <v>167</v>
      </c>
      <c r="D462" t="s">
        <v>3825</v>
      </c>
      <c r="E462" t="s">
        <v>25</v>
      </c>
      <c r="F462" s="382">
        <v>7</v>
      </c>
      <c r="G462" s="16">
        <f>'WetLitterbags placem_collection'!E169</f>
        <v>42763</v>
      </c>
      <c r="H462" s="92" t="str">
        <f>'Final data_for_R_analysis_Wetse'!K608</f>
        <v>G443</v>
      </c>
      <c r="I462" t="str">
        <f>'Final data_for_R_analysis_Wetse'!K828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42"/>
        <v>1.7812000000000001</v>
      </c>
      <c r="M462" s="194">
        <f>IF(K462&gt;0,(K462*$F$32-($F$29+$F$30)),"")</f>
        <v>1.9451999999999998</v>
      </c>
      <c r="N462" s="16">
        <f>IF('WetLitterbags placem_collection'!G169="","",'WetLitterbags placem_collection'!G169)</f>
        <v>42814</v>
      </c>
      <c r="O462" s="194">
        <f>IFERROR(INDEX('Both teabags AfterWet'!$C$3:$C$2000,MATCH(H462,'Both teabags AfterWet'!$A$3:$A$2000,0)),"")</f>
        <v>0.69789999999999996</v>
      </c>
      <c r="P462" s="194">
        <f>IFERROR(INDEX('Both teabags AfterWet'!$C$3:$C$2000,MATCH(I462,'Both teabags AfterWet'!$A$3:$A$2000,0)),"")</f>
        <v>1.7432000000000001</v>
      </c>
      <c r="Q462" s="194">
        <f t="shared" si="43"/>
        <v>0.5472999999999999</v>
      </c>
      <c r="R462" s="194">
        <f t="shared" si="43"/>
        <v>1.5926</v>
      </c>
      <c r="S462" s="194">
        <f t="shared" si="44"/>
        <v>0.69273523467325404</v>
      </c>
      <c r="T462" s="194">
        <f t="shared" si="45"/>
        <v>0.45414471441762028</v>
      </c>
      <c r="U462" s="194">
        <f t="shared" si="46"/>
        <v>0.81873329220645696</v>
      </c>
      <c r="V462">
        <f>IFERROR(IF((N462-G462)&gt;0,(IFERROR(N462-G462,"")),""),"")</f>
        <v>51</v>
      </c>
      <c r="W462" s="194">
        <f t="shared" si="47"/>
        <v>0.17727406808402135</v>
      </c>
      <c r="X462" s="194">
        <f t="shared" si="48"/>
        <v>9.9880601636159489E-3</v>
      </c>
      <c r="Y462" s="252" t="str">
        <f>IF(ISNUMBER(SEARCH("C",'WetLitterbags placem_collection'!$Y169)),"YES","NO")</f>
        <v>NO</v>
      </c>
      <c r="Z462" s="252" t="str">
        <f>IF(ISNUMBER(SEARCH("H", 'WetLitterbags placem_collection'!$Y169)),"YES","NO")</f>
        <v>NO</v>
      </c>
      <c r="AA462" s="252" t="str">
        <f>IF(ISNUMBER(SEARCH("R", 'WetLitterbags placem_collection'!$Y169)),"YES","NO")</f>
        <v>NO</v>
      </c>
      <c r="AB462" s="252" t="str">
        <f>IF(ISNUMBER(SEARCH("C", 'WetLitterbags placem_collection'!$W169)),"YES","NO")</f>
        <v>NO</v>
      </c>
      <c r="AC462" s="252" t="str">
        <f>IF(ISNUMBER(SEARCH("H", 'WetLitterbags placem_collection'!$W169)),"YES","NO")</f>
        <v>NO</v>
      </c>
      <c r="AD462" s="252" t="str">
        <f>IF(ISNUMBER(SEARCH("R", 'WetLitterbags placem_collection'!$W169)),"YES","NO")</f>
        <v>NO</v>
      </c>
    </row>
    <row r="463" spans="2:30">
      <c r="B463" t="str">
        <f>'Final data_for_R_analysis_Wetse'!A609</f>
        <v>Wet</v>
      </c>
      <c r="C463" s="260">
        <f>'Final data_for_R_analysis_Wetse'!B609</f>
        <v>168</v>
      </c>
      <c r="D463" t="s">
        <v>3825</v>
      </c>
      <c r="E463" t="s">
        <v>25</v>
      </c>
      <c r="F463" s="382">
        <v>8</v>
      </c>
      <c r="G463" s="16">
        <f>'WetLitterbags placem_collection'!E170</f>
        <v>42763</v>
      </c>
      <c r="H463" s="92" t="str">
        <f>'Final data_for_R_analysis_Wetse'!K609</f>
        <v>G680</v>
      </c>
      <c r="I463" t="str">
        <f>'Final data_for_R_analysis_Wetse'!K829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42"/>
        <v>1.7551999999999999</v>
      </c>
      <c r="M463" s="194">
        <f>IF(K463&gt;0,(K463*$F$32-($F$29+$F$30)),"")</f>
        <v>1.9411999999999998</v>
      </c>
      <c r="N463" s="16">
        <f>IF('WetLitterbags placem_collection'!G170="","",'WetLitterbags placem_collection'!G170)</f>
        <v>42814</v>
      </c>
      <c r="O463" s="194">
        <f>IFERROR(INDEX('Both teabags AfterWet'!$C$3:$C$2000,MATCH(H463,'Both teabags AfterWet'!$A$3:$A$2000,0)),"")</f>
        <v>0.998</v>
      </c>
      <c r="P463" s="194">
        <f>IFERROR(INDEX('Both teabags AfterWet'!$C$3:$C$2000,MATCH(I463,'Both teabags AfterWet'!$A$3:$A$2000,0)),"")</f>
        <v>1.6950000000000001</v>
      </c>
      <c r="Q463" s="194">
        <f t="shared" si="43"/>
        <v>0.84739999999999993</v>
      </c>
      <c r="R463" s="194">
        <f t="shared" si="43"/>
        <v>1.5444</v>
      </c>
      <c r="S463" s="194">
        <f t="shared" si="44"/>
        <v>0.51720601640838648</v>
      </c>
      <c r="T463" s="194">
        <f t="shared" si="45"/>
        <v>0.33907092762165009</v>
      </c>
      <c r="U463" s="194">
        <f t="shared" si="46"/>
        <v>0.79559035648052756</v>
      </c>
      <c r="V463">
        <f>IFERROR(IF((N463-G463)&gt;0,(IFERROR(N463-G463,"")),""),"")</f>
        <v>51</v>
      </c>
      <c r="W463" s="194">
        <f t="shared" si="47"/>
        <v>0.38574107314918471</v>
      </c>
      <c r="X463" s="194">
        <f t="shared" si="48"/>
        <v>1.8106797893379462E-2</v>
      </c>
      <c r="Y463" s="252" t="str">
        <f>IF(ISNUMBER(SEARCH("C",'WetLitterbags placem_collection'!$Y170)),"YES","NO")</f>
        <v>NO</v>
      </c>
      <c r="Z463" s="252" t="str">
        <f>IF(ISNUMBER(SEARCH("H", 'WetLitterbags placem_collection'!$Y170)),"YES","NO")</f>
        <v>NO</v>
      </c>
      <c r="AA463" s="252" t="str">
        <f>IF(ISNUMBER(SEARCH("R", 'WetLitterbags placem_collection'!$Y170)),"YES","NO")</f>
        <v>NO</v>
      </c>
      <c r="AB463" s="252" t="str">
        <f>IF(ISNUMBER(SEARCH("C", 'WetLitterbags placem_collection'!$W170)),"YES","NO")</f>
        <v>NO</v>
      </c>
      <c r="AC463" s="252" t="str">
        <f>IF(ISNUMBER(SEARCH("H", 'WetLitterbags placem_collection'!$W170)),"YES","NO")</f>
        <v>NO</v>
      </c>
      <c r="AD463" s="252" t="str">
        <f>IF(ISNUMBER(SEARCH("R", 'WetLitterbags placem_collection'!$W170)),"YES","NO")</f>
        <v>NO</v>
      </c>
    </row>
    <row r="464" spans="2:30">
      <c r="B464" t="str">
        <f>'Final data_for_R_analysis_Wetse'!A610</f>
        <v>Wet</v>
      </c>
      <c r="C464" s="260">
        <f>'Final data_for_R_analysis_Wetse'!B610</f>
        <v>169</v>
      </c>
      <c r="D464" t="s">
        <v>3827</v>
      </c>
      <c r="E464" t="s">
        <v>25</v>
      </c>
      <c r="F464" s="381">
        <v>1</v>
      </c>
      <c r="G464" s="16">
        <f>'WetLitterbags placem_collection'!E171</f>
        <v>42763</v>
      </c>
      <c r="H464" s="92" t="str">
        <f>'Final data_for_R_analysis_Wetse'!K610</f>
        <v>G496</v>
      </c>
      <c r="I464" t="str">
        <f>'Final data_for_R_analysis_Wetse'!K830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42"/>
        <v>1.5982000000000001</v>
      </c>
      <c r="M464" s="194">
        <f>IF(K464&gt;0,(K464*$F$32-($F$29+$F$30)),"")</f>
        <v>2.0181999999999998</v>
      </c>
      <c r="N464" s="16">
        <f>IF('WetLitterbags placem_collection'!G171="","",'WetLitterbags placem_collection'!G171)</f>
        <v>42814</v>
      </c>
      <c r="O464" s="194">
        <f>IFERROR(INDEX('Both teabags AfterWet'!$C$3:$C$2000,MATCH(H464,'Both teabags AfterWet'!$A$3:$A$2000,0)),"")</f>
        <v>0.57199999999999995</v>
      </c>
      <c r="P464" s="194">
        <f>IFERROR(INDEX('Both teabags AfterWet'!$C$3:$C$2000,MATCH(I464,'Both teabags AfterWet'!$A$3:$A$2000,0)),"")</f>
        <v>1.736</v>
      </c>
      <c r="Q464" s="194">
        <f t="shared" si="43"/>
        <v>0.42139999999999994</v>
      </c>
      <c r="R464" s="194">
        <f t="shared" si="43"/>
        <v>1.5853999999999999</v>
      </c>
      <c r="S464" s="194">
        <f t="shared" si="44"/>
        <v>0.73632836941559265</v>
      </c>
      <c r="T464" s="194">
        <f t="shared" si="45"/>
        <v>0.48272358660024606</v>
      </c>
      <c r="U464" s="194">
        <f t="shared" si="46"/>
        <v>0.78555148151818455</v>
      </c>
      <c r="V464">
        <f>IFERROR(IF((N464-G464)&gt;0,(IFERROR(N464-G464,"")),""),"")</f>
        <v>51</v>
      </c>
      <c r="W464" s="194">
        <f t="shared" si="47"/>
        <v>0.12550074891259777</v>
      </c>
      <c r="X464" s="194">
        <f t="shared" si="48"/>
        <v>1.1518262306625657E-2</v>
      </c>
      <c r="Y464" s="252" t="str">
        <f>IF(ISNUMBER(SEARCH("C",'WetLitterbags placem_collection'!$Y171)),"YES","NO")</f>
        <v>NO</v>
      </c>
      <c r="Z464" s="252" t="str">
        <f>IF(ISNUMBER(SEARCH("H", 'WetLitterbags placem_collection'!$Y171)),"YES","NO")</f>
        <v>NO</v>
      </c>
      <c r="AA464" s="252" t="str">
        <f>IF(ISNUMBER(SEARCH("R", 'WetLitterbags placem_collection'!$Y171)),"YES","NO")</f>
        <v>NO</v>
      </c>
      <c r="AB464" s="252" t="str">
        <f>IF(ISNUMBER(SEARCH("C", 'WetLitterbags placem_collection'!$W171)),"YES","NO")</f>
        <v>YES</v>
      </c>
      <c r="AC464" s="252" t="str">
        <f>IF(ISNUMBER(SEARCH("H", 'WetLitterbags placem_collection'!$W171)),"YES","NO")</f>
        <v>YES</v>
      </c>
      <c r="AD464" s="252" t="str">
        <f>IF(ISNUMBER(SEARCH("R", 'WetLitterbags placem_collection'!$W171)),"YES","NO")</f>
        <v>NO</v>
      </c>
    </row>
    <row r="465" spans="2:30">
      <c r="B465" t="str">
        <f>'Final data_for_R_analysis_Wetse'!A611</f>
        <v>Wet</v>
      </c>
      <c r="C465" s="260">
        <f>'Final data_for_R_analysis_Wetse'!B611</f>
        <v>170</v>
      </c>
      <c r="D465" t="s">
        <v>3827</v>
      </c>
      <c r="E465" t="s">
        <v>25</v>
      </c>
      <c r="F465" s="381">
        <v>2</v>
      </c>
      <c r="G465" s="16">
        <f>'WetLitterbags placem_collection'!E172</f>
        <v>42763</v>
      </c>
      <c r="H465" s="92" t="str">
        <f>'Final data_for_R_analysis_Wetse'!K611</f>
        <v>G674</v>
      </c>
      <c r="I465" t="str">
        <f>'Final data_for_R_analysis_Wetse'!K831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42"/>
        <v>1.7452000000000001</v>
      </c>
      <c r="M465" s="194">
        <f>IF(K465&gt;0,(K465*$F$32-($F$29+$F$30)),"")</f>
        <v>2.0051999999999999</v>
      </c>
      <c r="N465" s="16">
        <f>IF('WetLitterbags placem_collection'!G172="","",'WetLitterbags placem_collection'!G172)</f>
        <v>42814</v>
      </c>
      <c r="O465" s="194">
        <f>IFERROR(INDEX('Both teabags AfterWet'!$C$3:$C$2000,MATCH(H465,'Both teabags AfterWet'!$A$3:$A$2000,0)),"")</f>
        <v>0.61299999999999999</v>
      </c>
      <c r="P465" s="194">
        <f>IFERROR(INDEX('Both teabags AfterWet'!$C$3:$C$2000,MATCH(I465,'Both teabags AfterWet'!$A$3:$A$2000,0)),"")</f>
        <v>1.71</v>
      </c>
      <c r="Q465" s="194">
        <f t="shared" si="43"/>
        <v>0.46239999999999998</v>
      </c>
      <c r="R465" s="194">
        <f t="shared" si="43"/>
        <v>1.5593999999999999</v>
      </c>
      <c r="S465" s="194">
        <f t="shared" si="44"/>
        <v>0.73504469401787764</v>
      </c>
      <c r="T465" s="194">
        <f t="shared" si="45"/>
        <v>0.48188203218274167</v>
      </c>
      <c r="U465" s="194">
        <f t="shared" si="46"/>
        <v>0.77767803710353078</v>
      </c>
      <c r="V465">
        <f>IFERROR(IF((N465-G465)&gt;0,(IFERROR(N465-G465,"")),""),"")</f>
        <v>51</v>
      </c>
      <c r="W465" s="194">
        <f t="shared" si="47"/>
        <v>0.12702530401677237</v>
      </c>
      <c r="X465" s="194">
        <f t="shared" si="48"/>
        <v>1.2131591782276772E-2</v>
      </c>
      <c r="Y465" s="252" t="str">
        <f>IF(ISNUMBER(SEARCH("C",'WetLitterbags placem_collection'!$Y172)),"YES","NO")</f>
        <v>NO</v>
      </c>
      <c r="Z465" s="252" t="str">
        <f>IF(ISNUMBER(SEARCH("H", 'WetLitterbags placem_collection'!$Y172)),"YES","NO")</f>
        <v>NO</v>
      </c>
      <c r="AA465" s="252" t="str">
        <f>IF(ISNUMBER(SEARCH("R", 'WetLitterbags placem_collection'!$Y172)),"YES","NO")</f>
        <v>NO</v>
      </c>
      <c r="AB465" s="252" t="str">
        <f>IF(ISNUMBER(SEARCH("C", 'WetLitterbags placem_collection'!$W172)),"YES","NO")</f>
        <v>NO</v>
      </c>
      <c r="AC465" s="252" t="str">
        <f>IF(ISNUMBER(SEARCH("H", 'WetLitterbags placem_collection'!$W172)),"YES","NO")</f>
        <v>NO</v>
      </c>
      <c r="AD465" s="252" t="str">
        <f>IF(ISNUMBER(SEARCH("R", 'WetLitterbags placem_collection'!$W172)),"YES","NO")</f>
        <v>NO</v>
      </c>
    </row>
    <row r="466" spans="2:30">
      <c r="B466" t="str">
        <f>'Final data_for_R_analysis_Wetse'!A612</f>
        <v>Wet</v>
      </c>
      <c r="C466" s="260">
        <f>'Final data_for_R_analysis_Wetse'!B612</f>
        <v>171</v>
      </c>
      <c r="D466" t="s">
        <v>3827</v>
      </c>
      <c r="E466" t="s">
        <v>25</v>
      </c>
      <c r="F466" s="381">
        <v>3</v>
      </c>
      <c r="G466" s="16">
        <f>'WetLitterbags placem_collection'!E173</f>
        <v>42763</v>
      </c>
      <c r="H466" s="92" t="str">
        <f>'Final data_for_R_analysis_Wetse'!K612</f>
        <v>G504</v>
      </c>
      <c r="I466" t="str">
        <f>'Final data_for_R_analysis_Wetse'!K832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42"/>
        <v>1.7511999999999999</v>
      </c>
      <c r="M466" s="194">
        <f>IF(K466&gt;0,(K466*$F$32-($F$29+$F$30)),"")</f>
        <v>1.9472</v>
      </c>
      <c r="N466" s="16">
        <f>IF('WetLitterbags placem_collection'!G173="","",'WetLitterbags placem_collection'!G173)</f>
        <v>42814</v>
      </c>
      <c r="O466" s="194">
        <f>IFERROR(INDEX('Both teabags AfterWet'!$C$3:$C$2000,MATCH(H466,'Both teabags AfterWet'!$A$3:$A$2000,0)),"")</f>
        <v>0.53500000000000003</v>
      </c>
      <c r="P466" s="194">
        <f>IFERROR(INDEX('Both teabags AfterWet'!$C$3:$C$2000,MATCH(I466,'Both teabags AfterWet'!$A$3:$A$2000,0)),"")</f>
        <v>1.629</v>
      </c>
      <c r="Q466" s="194">
        <f t="shared" si="43"/>
        <v>0.38440000000000002</v>
      </c>
      <c r="R466" s="194">
        <f t="shared" si="43"/>
        <v>1.4783999999999999</v>
      </c>
      <c r="S466" s="194">
        <f t="shared" si="44"/>
        <v>0.78049337597076285</v>
      </c>
      <c r="T466" s="194">
        <f t="shared" si="45"/>
        <v>0.51167736761978755</v>
      </c>
      <c r="U466" s="194">
        <f t="shared" si="46"/>
        <v>0.75924404272801971</v>
      </c>
      <c r="V466">
        <f>IFERROR(IF((N466-G466)&gt;0,(IFERROR(N466-G466,"")),""),"")</f>
        <v>51</v>
      </c>
      <c r="W466" s="194">
        <f t="shared" si="47"/>
        <v>7.3048247065602312E-2</v>
      </c>
      <c r="X466" s="194">
        <f t="shared" si="48"/>
        <v>1.246795107733384E-2</v>
      </c>
      <c r="Y466" s="252" t="str">
        <f>IF(ISNUMBER(SEARCH("C",'WetLitterbags placem_collection'!$Y173)),"YES","NO")</f>
        <v>NO</v>
      </c>
      <c r="Z466" s="252" t="str">
        <f>IF(ISNUMBER(SEARCH("H", 'WetLitterbags placem_collection'!$Y173)),"YES","NO")</f>
        <v>NO</v>
      </c>
      <c r="AA466" s="252" t="str">
        <f>IF(ISNUMBER(SEARCH("R", 'WetLitterbags placem_collection'!$Y173)),"YES","NO")</f>
        <v>NO</v>
      </c>
      <c r="AB466" s="252" t="str">
        <f>IF(ISNUMBER(SEARCH("C", 'WetLitterbags placem_collection'!$W173)),"YES","NO")</f>
        <v>NO</v>
      </c>
      <c r="AC466" s="252" t="str">
        <f>IF(ISNUMBER(SEARCH("H", 'WetLitterbags placem_collection'!$W173)),"YES","NO")</f>
        <v>NO</v>
      </c>
      <c r="AD466" s="252" t="str">
        <f>IF(ISNUMBER(SEARCH("R", 'WetLitterbags placem_collection'!$W173)),"YES","NO")</f>
        <v>NO</v>
      </c>
    </row>
    <row r="467" spans="2:30">
      <c r="B467" t="str">
        <f>'Final data_for_R_analysis_Wetse'!A613</f>
        <v>Wet</v>
      </c>
      <c r="C467" s="260">
        <f>'Final data_for_R_analysis_Wetse'!B613</f>
        <v>172</v>
      </c>
      <c r="D467" t="s">
        <v>3827</v>
      </c>
      <c r="E467" t="s">
        <v>25</v>
      </c>
      <c r="F467" s="382">
        <v>4</v>
      </c>
      <c r="G467" s="16">
        <f>'WetLitterbags placem_collection'!E174</f>
        <v>42763</v>
      </c>
      <c r="H467" s="92" t="str">
        <f>'Final data_for_R_analysis_Wetse'!K613</f>
        <v>G439</v>
      </c>
      <c r="I467" t="str">
        <f>'Final data_for_R_analysis_Wetse'!K833</f>
        <v>R353</v>
      </c>
      <c r="J467">
        <f>IFERROR(INDEX('Green_rooibos initial weight'!$C$5:$C$2000,MATCH(H467, 'Green_rooibos initial weight'!$A$5:$A$2000,0)),"")</f>
        <v>2.069</v>
      </c>
      <c r="K467">
        <f>IFERROR(INDEX('Green_rooibos initial weight'!$C$5:$C$2000,MATCH(I467, 'Green_rooibos initial weight'!$A$5:$A$2000,0)),"")</f>
        <v>2.2909999999999999</v>
      </c>
      <c r="L467" s="194">
        <f t="shared" si="42"/>
        <v>1.8191999999999999</v>
      </c>
      <c r="M467" s="194">
        <f>IF(K467&gt;0,(K467*$F$32-($F$29+$F$30)),"")</f>
        <v>2.0411999999999999</v>
      </c>
      <c r="N467" s="16">
        <f>IF('WetLitterbags placem_collection'!G174="","",'WetLitterbags placem_collection'!G174)</f>
        <v>42814</v>
      </c>
      <c r="O467" s="194">
        <f>IFERROR(INDEX('Both teabags AfterWet'!$C$3:$C$2000,MATCH(H467,'Both teabags AfterWet'!$A$3:$A$2000,0)),"")</f>
        <v>0.59599999999999997</v>
      </c>
      <c r="P467" s="194">
        <f>IFERROR(INDEX('Both teabags AfterWet'!$C$3:$C$2000,MATCH(I467,'Both teabags AfterWet'!$A$3:$A$2000,0)),"")</f>
        <v>1.7694000000000001</v>
      </c>
      <c r="Q467" s="194">
        <f t="shared" si="43"/>
        <v>0.44539999999999996</v>
      </c>
      <c r="R467" s="194">
        <f t="shared" si="43"/>
        <v>1.6188</v>
      </c>
      <c r="S467" s="194">
        <f t="shared" si="44"/>
        <v>0.75516710642040463</v>
      </c>
      <c r="T467" s="194">
        <f t="shared" si="45"/>
        <v>0.49507392249888765</v>
      </c>
      <c r="U467" s="194">
        <f t="shared" si="46"/>
        <v>0.79306290417401537</v>
      </c>
      <c r="V467">
        <f>IFERROR(IF((N467-G467)&gt;0,(IFERROR(N467-G467,"")),""),"")</f>
        <v>51</v>
      </c>
      <c r="W467" s="194">
        <f t="shared" si="47"/>
        <v>0.10312695199476885</v>
      </c>
      <c r="X467" s="194">
        <f t="shared" si="48"/>
        <v>1.0613169213156607E-2</v>
      </c>
      <c r="Y467" s="252" t="str">
        <f>IF(ISNUMBER(SEARCH("C",'WetLitterbags placem_collection'!$Y174)),"YES","NO")</f>
        <v>NO</v>
      </c>
      <c r="Z467" s="252" t="str">
        <f>IF(ISNUMBER(SEARCH("H", 'WetLitterbags placem_collection'!$Y174)),"YES","NO")</f>
        <v>NO</v>
      </c>
      <c r="AA467" s="252" t="str">
        <f>IF(ISNUMBER(SEARCH("R", 'WetLitterbags placem_collection'!$Y174)),"YES","NO")</f>
        <v>NO</v>
      </c>
      <c r="AB467" s="252" t="str">
        <f>IF(ISNUMBER(SEARCH("C", 'WetLitterbags placem_collection'!$W174)),"YES","NO")</f>
        <v>NO</v>
      </c>
      <c r="AC467" s="252" t="str">
        <f>IF(ISNUMBER(SEARCH("H", 'WetLitterbags placem_collection'!$W174)),"YES","NO")</f>
        <v>NO</v>
      </c>
      <c r="AD467" s="252" t="str">
        <f>IF(ISNUMBER(SEARCH("R", 'WetLitterbags placem_collection'!$W174)),"YES","NO")</f>
        <v>YES</v>
      </c>
    </row>
    <row r="468" spans="2:30">
      <c r="B468" t="str">
        <f>'Final data_for_R_analysis_Wetse'!A614</f>
        <v>Wet</v>
      </c>
      <c r="C468" s="260">
        <f>'Final data_for_R_analysis_Wetse'!B614</f>
        <v>173</v>
      </c>
      <c r="D468" t="s">
        <v>3827</v>
      </c>
      <c r="E468" t="s">
        <v>25</v>
      </c>
      <c r="F468" s="382">
        <v>5</v>
      </c>
      <c r="G468" s="16">
        <f>'WetLitterbags placem_collection'!E175</f>
        <v>42763</v>
      </c>
      <c r="H468" s="92" t="str">
        <f>'Final data_for_R_analysis_Wetse'!K614</f>
        <v>G865</v>
      </c>
      <c r="I468" t="str">
        <f>'Final data_for_R_analysis_Wetse'!K834</f>
        <v>R105</v>
      </c>
      <c r="J468">
        <f>IFERROR(INDEX('Green_rooibos initial weight'!$C$5:$C$2000,MATCH(H468, 'Green_rooibos initial weight'!$A$5:$A$2000,0)),"")</f>
        <v>2.036</v>
      </c>
      <c r="K468">
        <f>IFERROR(INDEX('Green_rooibos initial weight'!$C$5:$C$2000,MATCH(I468, 'Green_rooibos initial weight'!$A$5:$A$2000,0)),"")</f>
        <v>2.254</v>
      </c>
      <c r="L468" s="194">
        <f t="shared" si="42"/>
        <v>1.7862</v>
      </c>
      <c r="M468" s="194">
        <f>IF(K468&gt;0,(K468*$F$32-($F$29+$F$30)),"")</f>
        <v>2.0042</v>
      </c>
      <c r="N468" s="16">
        <f>IF('WetLitterbags placem_collection'!G175="","",'WetLitterbags placem_collection'!G175)</f>
        <v>42814</v>
      </c>
      <c r="O468" s="194">
        <f>IFERROR(INDEX('Both teabags AfterWet'!$C$3:$C$2000,MATCH(H468,'Both teabags AfterWet'!$A$3:$A$2000,0)),"")</f>
        <v>0.65549999999999997</v>
      </c>
      <c r="P468" s="194">
        <f>IFERROR(INDEX('Both teabags AfterWet'!$C$3:$C$2000,MATCH(I468,'Both teabags AfterWet'!$A$3:$A$2000,0)),"")</f>
        <v>1.6919999999999999</v>
      </c>
      <c r="Q468" s="194">
        <f t="shared" si="43"/>
        <v>0.5048999999999999</v>
      </c>
      <c r="R468" s="194">
        <f t="shared" si="43"/>
        <v>1.5413999999999999</v>
      </c>
      <c r="S468" s="194">
        <f t="shared" si="44"/>
        <v>0.71733288545515628</v>
      </c>
      <c r="T468" s="194">
        <f t="shared" si="45"/>
        <v>0.47027049022713341</v>
      </c>
      <c r="U468" s="194">
        <f t="shared" si="46"/>
        <v>0.76908492166450448</v>
      </c>
      <c r="V468">
        <f>IFERROR(IF((N468-G468)&gt;0,(IFERROR(N468-G468,"")),""),"")</f>
        <v>51</v>
      </c>
      <c r="W468" s="194">
        <f t="shared" si="47"/>
        <v>0.14806070611026567</v>
      </c>
      <c r="X468" s="194">
        <f t="shared" si="48"/>
        <v>1.3242323802229724E-2</v>
      </c>
      <c r="Y468" s="252" t="str">
        <f>IF(ISNUMBER(SEARCH("C",'WetLitterbags placem_collection'!$Y175)),"YES","NO")</f>
        <v>NO</v>
      </c>
      <c r="Z468" s="252" t="str">
        <f>IF(ISNUMBER(SEARCH("H", 'WetLitterbags placem_collection'!$Y175)),"YES","NO")</f>
        <v>NO</v>
      </c>
      <c r="AA468" s="252" t="str">
        <f>IF(ISNUMBER(SEARCH("R", 'WetLitterbags placem_collection'!$Y175)),"YES","NO")</f>
        <v>NO</v>
      </c>
      <c r="AB468" s="252" t="str">
        <f>IF(ISNUMBER(SEARCH("C", 'WetLitterbags placem_collection'!$W175)),"YES","NO")</f>
        <v>YES</v>
      </c>
      <c r="AC468" s="252" t="str">
        <f>IF(ISNUMBER(SEARCH("H", 'WetLitterbags placem_collection'!$W175)),"YES","NO")</f>
        <v>YES</v>
      </c>
      <c r="AD468" s="252" t="str">
        <f>IF(ISNUMBER(SEARCH("R", 'WetLitterbags placem_collection'!$W175)),"YES","NO")</f>
        <v>NO</v>
      </c>
    </row>
    <row r="469" spans="2:30">
      <c r="B469" t="str">
        <f>'Final data_for_R_analysis_Wetse'!A615</f>
        <v>Wet</v>
      </c>
      <c r="C469" s="260">
        <f>'Final data_for_R_analysis_Wetse'!B615</f>
        <v>174</v>
      </c>
      <c r="D469" t="s">
        <v>3827</v>
      </c>
      <c r="E469" t="s">
        <v>25</v>
      </c>
      <c r="F469" s="382">
        <v>6</v>
      </c>
      <c r="G469" s="16">
        <f>'WetLitterbags placem_collection'!E176</f>
        <v>42763</v>
      </c>
      <c r="H469" s="92" t="str">
        <f>'Final data_for_R_analysis_Wetse'!K615</f>
        <v>G736</v>
      </c>
      <c r="I469" t="str">
        <f>'Final data_for_R_analysis_Wetse'!K835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42"/>
        <v>1.8262</v>
      </c>
      <c r="M469" s="194">
        <f>IF(K469&gt;0,(K469*$F$32-($F$29+$F$30)),"")</f>
        <v>1.9742000000000002</v>
      </c>
      <c r="N469" s="16">
        <f>IF('WetLitterbags placem_collection'!G176="","",'WetLitterbags placem_collection'!G176)</f>
        <v>42814</v>
      </c>
      <c r="O469" s="194">
        <f>IFERROR(INDEX('Both teabags AfterWet'!$C$3:$C$2000,MATCH(H469,'Both teabags AfterWet'!$A$3:$A$2000,0)),"")</f>
        <v>0.63500000000000001</v>
      </c>
      <c r="P469" s="194">
        <f>IFERROR(INDEX('Both teabags AfterWet'!$C$3:$C$2000,MATCH(I469,'Both teabags AfterWet'!$A$3:$A$2000,0)),"")</f>
        <v>1.772</v>
      </c>
      <c r="Q469" s="194">
        <f t="shared" si="43"/>
        <v>0.4844</v>
      </c>
      <c r="R469" s="194">
        <f t="shared" si="43"/>
        <v>1.6214</v>
      </c>
      <c r="S469" s="194">
        <f t="shared" si="44"/>
        <v>0.73474975358668271</v>
      </c>
      <c r="T469" s="194">
        <f t="shared" si="45"/>
        <v>0.48168867456039066</v>
      </c>
      <c r="U469" s="194">
        <f t="shared" si="46"/>
        <v>0.8212947016513017</v>
      </c>
      <c r="V469">
        <f>IFERROR(IF((N469-G469)&gt;0,(IFERROR(N469-G469,"")),""),"")</f>
        <v>51</v>
      </c>
      <c r="W469" s="194">
        <f t="shared" si="47"/>
        <v>0.12737558956450978</v>
      </c>
      <c r="X469" s="194">
        <f t="shared" si="48"/>
        <v>9.0905894499408273E-3</v>
      </c>
      <c r="Y469" s="252" t="str">
        <f>IF(ISNUMBER(SEARCH("C",'WetLitterbags placem_collection'!$Y176)),"YES","NO")</f>
        <v>NO</v>
      </c>
      <c r="Z469" s="252" t="str">
        <f>IF(ISNUMBER(SEARCH("H", 'WetLitterbags placem_collection'!$Y176)),"YES","NO")</f>
        <v>NO</v>
      </c>
      <c r="AA469" s="252" t="str">
        <f>IF(ISNUMBER(SEARCH("R", 'WetLitterbags placem_collection'!$Y176)),"YES","NO")</f>
        <v>NO</v>
      </c>
      <c r="AB469" s="252" t="str">
        <f>IF(ISNUMBER(SEARCH("C", 'WetLitterbags placem_collection'!$W176)),"YES","NO")</f>
        <v>NO</v>
      </c>
      <c r="AC469" s="252" t="str">
        <f>IF(ISNUMBER(SEARCH("H", 'WetLitterbags placem_collection'!$W176)),"YES","NO")</f>
        <v>NO</v>
      </c>
      <c r="AD469" s="252" t="str">
        <f>IF(ISNUMBER(SEARCH("R", 'WetLitterbags placem_collection'!$W176)),"YES","NO")</f>
        <v>YES</v>
      </c>
    </row>
    <row r="470" spans="2:30">
      <c r="B470" t="str">
        <f>'Final data_for_R_analysis_Wetse'!A616</f>
        <v>Wet</v>
      </c>
      <c r="C470" s="260">
        <f>'Final data_for_R_analysis_Wetse'!B616</f>
        <v>175</v>
      </c>
      <c r="D470" t="s">
        <v>3827</v>
      </c>
      <c r="E470" t="s">
        <v>25</v>
      </c>
      <c r="F470" s="382">
        <v>7</v>
      </c>
      <c r="G470" s="16">
        <f>'WetLitterbags placem_collection'!E177</f>
        <v>42763</v>
      </c>
      <c r="H470" s="92" t="str">
        <f>'Final data_for_R_analysis_Wetse'!K616</f>
        <v>G772</v>
      </c>
      <c r="I470" t="str">
        <f>'Final data_for_R_analysis_Wetse'!K836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42"/>
        <v>1.7921999999999998</v>
      </c>
      <c r="M470" s="194">
        <f>IF(K470&gt;0,(K470*$F$32-($F$29+$F$30)),"")</f>
        <v>1.9091999999999998</v>
      </c>
      <c r="N470" s="16">
        <f>IF('WetLitterbags placem_collection'!G177="","",'WetLitterbags placem_collection'!G177)</f>
        <v>42814</v>
      </c>
      <c r="O470" s="194">
        <f>IFERROR(INDEX('Both teabags AfterWet'!$C$3:$C$2000,MATCH(H470,'Both teabags AfterWet'!$A$3:$A$2000,0)),"")</f>
        <v>0.58099999999999996</v>
      </c>
      <c r="P470" s="194">
        <f>IFERROR(INDEX('Both teabags AfterWet'!$C$3:$C$2000,MATCH(I470,'Both teabags AfterWet'!$A$3:$A$2000,0)),"")</f>
        <v>1.681</v>
      </c>
      <c r="Q470" s="194">
        <f t="shared" si="43"/>
        <v>0.43039999999999995</v>
      </c>
      <c r="R470" s="194">
        <f t="shared" si="43"/>
        <v>1.5304</v>
      </c>
      <c r="S470" s="194">
        <f t="shared" si="44"/>
        <v>0.75984823122419376</v>
      </c>
      <c r="T470" s="194">
        <f t="shared" si="45"/>
        <v>0.49814278341538598</v>
      </c>
      <c r="U470" s="194">
        <f t="shared" si="46"/>
        <v>0.80159228996438303</v>
      </c>
      <c r="V470">
        <f>IFERROR(IF((N470-G470)&gt;0,(IFERROR(N470-G470,"")),""),"")</f>
        <v>51</v>
      </c>
      <c r="W470" s="194">
        <f t="shared" si="47"/>
        <v>9.7567421348938477E-2</v>
      </c>
      <c r="X470" s="194">
        <f t="shared" si="48"/>
        <v>9.9605441930611972E-3</v>
      </c>
      <c r="Y470" s="252" t="str">
        <f>IF(ISNUMBER(SEARCH("C",'WetLitterbags placem_collection'!$Y177)),"YES","NO")</f>
        <v>NO</v>
      </c>
      <c r="Z470" s="252" t="str">
        <f>IF(ISNUMBER(SEARCH("H", 'WetLitterbags placem_collection'!$Y177)),"YES","NO")</f>
        <v>NO</v>
      </c>
      <c r="AA470" s="252" t="str">
        <f>IF(ISNUMBER(SEARCH("R", 'WetLitterbags placem_collection'!$Y177)),"YES","NO")</f>
        <v>NO</v>
      </c>
      <c r="AB470" s="252" t="str">
        <f>IF(ISNUMBER(SEARCH("C", 'WetLitterbags placem_collection'!$W177)),"YES","NO")</f>
        <v>YES</v>
      </c>
      <c r="AC470" s="252" t="str">
        <f>IF(ISNUMBER(SEARCH("H", 'WetLitterbags placem_collection'!$W177)),"YES","NO")</f>
        <v>YES</v>
      </c>
      <c r="AD470" s="252" t="str">
        <f>IF(ISNUMBER(SEARCH("R", 'WetLitterbags placem_collection'!$W177)),"YES","NO")</f>
        <v>NO</v>
      </c>
    </row>
    <row r="471" spans="2:30">
      <c r="B471" t="str">
        <f>'Final data_for_R_analysis_Wetse'!A617</f>
        <v>Wet</v>
      </c>
      <c r="C471" s="260">
        <f>'Final data_for_R_analysis_Wetse'!B617</f>
        <v>176</v>
      </c>
      <c r="D471" t="s">
        <v>3827</v>
      </c>
      <c r="E471" t="s">
        <v>25</v>
      </c>
      <c r="F471" s="382">
        <v>8</v>
      </c>
      <c r="G471" s="16">
        <f>'WetLitterbags placem_collection'!E178</f>
        <v>42763</v>
      </c>
      <c r="H471" s="92" t="str">
        <f>'Final data_for_R_analysis_Wetse'!K617</f>
        <v>G470</v>
      </c>
      <c r="I471" t="str">
        <f>'Final data_for_R_analysis_Wetse'!K837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42"/>
        <v>1.7472000000000001</v>
      </c>
      <c r="M471" s="194">
        <f>IF(K471&gt;0,(K471*$F$32-($F$29+$F$30)),"")</f>
        <v>1.9392</v>
      </c>
      <c r="N471" s="16">
        <f>IF('WetLitterbags placem_collection'!G178="","",'WetLitterbags placem_collection'!G178)</f>
        <v>42814</v>
      </c>
      <c r="O471" s="194">
        <f>IFERROR(INDEX('Both teabags AfterWet'!$C$3:$C$2000,MATCH(H471,'Both teabags AfterWet'!$A$3:$A$2000,0)),"")</f>
        <v>0.60299999999999998</v>
      </c>
      <c r="P471" s="194">
        <f>IFERROR(INDEX('Both teabags AfterWet'!$C$3:$C$2000,MATCH(I471,'Both teabags AfterWet'!$A$3:$A$2000,0)),"")</f>
        <v>1.7070000000000001</v>
      </c>
      <c r="Q471" s="194">
        <f t="shared" si="43"/>
        <v>0.45239999999999997</v>
      </c>
      <c r="R471" s="194">
        <f t="shared" si="43"/>
        <v>1.5564</v>
      </c>
      <c r="S471" s="194">
        <f t="shared" si="44"/>
        <v>0.7410714285714286</v>
      </c>
      <c r="T471" s="194">
        <f t="shared" si="45"/>
        <v>0.48583305055989146</v>
      </c>
      <c r="U471" s="194">
        <f t="shared" si="46"/>
        <v>0.80259900990099009</v>
      </c>
      <c r="V471">
        <f>IFERROR(IF((N471-G471)&gt;0,(IFERROR(N471-G471,"")),""),"")</f>
        <v>51</v>
      </c>
      <c r="W471" s="194">
        <f t="shared" si="47"/>
        <v>0.1198676620291822</v>
      </c>
      <c r="X471" s="194">
        <f t="shared" si="48"/>
        <v>1.0223636894893362E-2</v>
      </c>
      <c r="Y471" s="252" t="str">
        <f>IF(ISNUMBER(SEARCH("C",'WetLitterbags placem_collection'!$Y178)),"YES","NO")</f>
        <v>NO</v>
      </c>
      <c r="Z471" s="252" t="str">
        <f>IF(ISNUMBER(SEARCH("H", 'WetLitterbags placem_collection'!$Y178)),"YES","NO")</f>
        <v>NO</v>
      </c>
      <c r="AA471" s="252" t="str">
        <f>IF(ISNUMBER(SEARCH("R", 'WetLitterbags placem_collection'!$Y178)),"YES","NO")</f>
        <v>NO</v>
      </c>
      <c r="AB471" s="252" t="str">
        <f>IF(ISNUMBER(SEARCH("C", 'WetLitterbags placem_collection'!$W178)),"YES","NO")</f>
        <v>NO</v>
      </c>
      <c r="AC471" s="252" t="str">
        <f>IF(ISNUMBER(SEARCH("H", 'WetLitterbags placem_collection'!$W178)),"YES","NO")</f>
        <v>NO</v>
      </c>
      <c r="AD471" s="252" t="str">
        <f>IF(ISNUMBER(SEARCH("R", 'WetLitterbags placem_collection'!$W178)),"YES","NO")</f>
        <v>NO</v>
      </c>
    </row>
    <row r="472" spans="2:30">
      <c r="B472" t="str">
        <f>'Final data_for_R_analysis_Wetse'!A618</f>
        <v>Wet</v>
      </c>
      <c r="C472" s="260">
        <f>'Final data_for_R_analysis_Wetse'!B618</f>
        <v>177</v>
      </c>
      <c r="D472" t="s">
        <v>3828</v>
      </c>
      <c r="E472" t="s">
        <v>25</v>
      </c>
      <c r="F472" s="381">
        <v>1</v>
      </c>
      <c r="G472" s="16">
        <f>'WetLitterbags placem_collection'!E179</f>
        <v>42763</v>
      </c>
      <c r="H472" s="92" t="str">
        <f>'Final data_for_R_analysis_Wetse'!K618</f>
        <v>G483</v>
      </c>
      <c r="I472" t="str">
        <f>'Final data_for_R_analysis_Wetse'!K838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42"/>
        <v>1.7252000000000001</v>
      </c>
      <c r="M472" s="194">
        <f>IF(K472&gt;0,(K472*$F$32-($F$29+$F$30)),"")</f>
        <v>1.8742000000000001</v>
      </c>
      <c r="N472" s="16">
        <f>IF('WetLitterbags placem_collection'!G179="","",'WetLitterbags placem_collection'!G179)</f>
        <v>42815</v>
      </c>
      <c r="O472" s="194">
        <f>IFERROR(INDEX('Both teabags AfterWet'!$C$3:$C$2000,MATCH(H472,'Both teabags AfterWet'!$A$3:$A$2000,0)),"")</f>
        <v>0.58399999999999996</v>
      </c>
      <c r="P472" s="194">
        <f>IFERROR(INDEX('Both teabags AfterWet'!$C$3:$C$2000,MATCH(I472,'Both teabags AfterWet'!$A$3:$A$2000,0)),"")</f>
        <v>1.677</v>
      </c>
      <c r="Q472" s="194">
        <f t="shared" si="43"/>
        <v>0.43339999999999995</v>
      </c>
      <c r="R472" s="194">
        <f t="shared" si="43"/>
        <v>1.5264</v>
      </c>
      <c r="S472" s="194">
        <f t="shared" si="44"/>
        <v>0.74878274982610715</v>
      </c>
      <c r="T472" s="194">
        <f t="shared" si="45"/>
        <v>0.49088845356770922</v>
      </c>
      <c r="U472" s="194">
        <f t="shared" si="46"/>
        <v>0.81442748906199969</v>
      </c>
      <c r="V472">
        <f>IFERROR(IF((N472-G472)&gt;0,(IFERROR(N472-G472,"")),""),"")</f>
        <v>52</v>
      </c>
      <c r="W472" s="194">
        <f t="shared" si="47"/>
        <v>0.11070932324690363</v>
      </c>
      <c r="X472" s="194">
        <f t="shared" si="48"/>
        <v>9.1321115752032375E-3</v>
      </c>
      <c r="Y472" s="252" t="str">
        <f>IF(ISNUMBER(SEARCH("C",'WetLitterbags placem_collection'!$Y179)),"YES","NO")</f>
        <v>NO</v>
      </c>
      <c r="Z472" s="252" t="str">
        <f>IF(ISNUMBER(SEARCH("H", 'WetLitterbags placem_collection'!$Y179)),"YES","NO")</f>
        <v>NO</v>
      </c>
      <c r="AA472" s="252" t="str">
        <f>IF(ISNUMBER(SEARCH("R", 'WetLitterbags placem_collection'!$Y179)),"YES","NO")</f>
        <v>NO</v>
      </c>
      <c r="AB472" s="252" t="str">
        <f>IF(ISNUMBER(SEARCH("C", 'WetLitterbags placem_collection'!$W179)),"YES","NO")</f>
        <v>YES</v>
      </c>
      <c r="AC472" s="252" t="str">
        <f>IF(ISNUMBER(SEARCH("H", 'WetLitterbags placem_collection'!$W179)),"YES","NO")</f>
        <v>NO</v>
      </c>
      <c r="AD472" s="252" t="str">
        <f>IF(ISNUMBER(SEARCH("R", 'WetLitterbags placem_collection'!$W179)),"YES","NO")</f>
        <v>YES</v>
      </c>
    </row>
    <row r="473" spans="2:30">
      <c r="B473" t="str">
        <f>'Final data_for_R_analysis_Wetse'!A619</f>
        <v>Wet</v>
      </c>
      <c r="C473" s="260">
        <f>'Final data_for_R_analysis_Wetse'!B619</f>
        <v>178</v>
      </c>
      <c r="D473" t="s">
        <v>3828</v>
      </c>
      <c r="E473" t="s">
        <v>25</v>
      </c>
      <c r="F473" s="381">
        <v>2</v>
      </c>
      <c r="G473" s="16">
        <f>'WetLitterbags placem_collection'!E180</f>
        <v>42763</v>
      </c>
      <c r="H473" s="92" t="str">
        <f>'Final data_for_R_analysis_Wetse'!K619</f>
        <v>G893</v>
      </c>
      <c r="I473" t="str">
        <f>'Final data_for_R_analysis_Wetse'!K839</f>
        <v>R488</v>
      </c>
      <c r="J473">
        <f>IFERROR(INDEX('Green_rooibos initial weight'!$C$5:$C$2000,MATCH(H473, 'Green_rooibos initial weight'!$A$5:$A$2000,0)),"")</f>
        <v>2.036</v>
      </c>
      <c r="K473">
        <f>IFERROR(INDEX('Green_rooibos initial weight'!$C$5:$C$2000,MATCH(I473, 'Green_rooibos initial weight'!$A$5:$A$2000,0)),"")</f>
        <v>2.1589999999999998</v>
      </c>
      <c r="L473" s="194">
        <f t="shared" si="42"/>
        <v>1.7862</v>
      </c>
      <c r="M473" s="194">
        <f>IF(K473&gt;0,(K473*$F$32-($F$29+$F$30)),"")</f>
        <v>1.9091999999999998</v>
      </c>
      <c r="N473" s="16">
        <f>IF('WetLitterbags placem_collection'!G180="","",'WetLitterbags placem_collection'!G180)</f>
        <v>42815</v>
      </c>
      <c r="O473" s="194">
        <f>IFERROR(INDEX('Both teabags AfterWet'!$C$3:$C$2000,MATCH(H473,'Both teabags AfterWet'!$A$3:$A$2000,0)),"")</f>
        <v>0.60699999999999998</v>
      </c>
      <c r="P473" s="194">
        <f>IFERROR(INDEX('Both teabags AfterWet'!$C$3:$C$2000,MATCH(I473,'Both teabags AfterWet'!$A$3:$A$2000,0)),"")</f>
        <v>1.6446000000000001</v>
      </c>
      <c r="Q473" s="194">
        <f t="shared" si="43"/>
        <v>0.45639999999999997</v>
      </c>
      <c r="R473" s="194">
        <f t="shared" si="43"/>
        <v>1.494</v>
      </c>
      <c r="S473" s="194">
        <f t="shared" si="44"/>
        <v>0.74448549994401525</v>
      </c>
      <c r="T473" s="194">
        <f t="shared" si="45"/>
        <v>0.48807125412006708</v>
      </c>
      <c r="U473" s="194">
        <f t="shared" si="46"/>
        <v>0.78252671275927099</v>
      </c>
      <c r="V473">
        <f>IFERROR(IF((N473-G473)&gt;0,(IFERROR(N473-G473,"")),""),"")</f>
        <v>52</v>
      </c>
      <c r="W473" s="194">
        <f t="shared" si="47"/>
        <v>0.11581294543466114</v>
      </c>
      <c r="X473" s="194">
        <f t="shared" si="48"/>
        <v>1.1342830873214187E-2</v>
      </c>
      <c r="Y473" s="252" t="str">
        <f>IF(ISNUMBER(SEARCH("C",'WetLitterbags placem_collection'!$Y180)),"YES","NO")</f>
        <v>NO</v>
      </c>
      <c r="Z473" s="252" t="str">
        <f>IF(ISNUMBER(SEARCH("H", 'WetLitterbags placem_collection'!$Y180)),"YES","NO")</f>
        <v>NO</v>
      </c>
      <c r="AA473" s="252" t="str">
        <f>IF(ISNUMBER(SEARCH("R", 'WetLitterbags placem_collection'!$Y180)),"YES","NO")</f>
        <v>NO</v>
      </c>
      <c r="AB473" s="252" t="str">
        <f>IF(ISNUMBER(SEARCH("C", 'WetLitterbags placem_collection'!$W180)),"YES","NO")</f>
        <v>NO</v>
      </c>
      <c r="AC473" s="252" t="str">
        <f>IF(ISNUMBER(SEARCH("H", 'WetLitterbags placem_collection'!$W180)),"YES","NO")</f>
        <v>NO</v>
      </c>
      <c r="AD473" s="252" t="str">
        <f>IF(ISNUMBER(SEARCH("R", 'WetLitterbags placem_collection'!$W180)),"YES","NO")</f>
        <v>NO</v>
      </c>
    </row>
    <row r="474" spans="2:30">
      <c r="B474" t="str">
        <f>'Final data_for_R_analysis_Wetse'!A620</f>
        <v>Wet</v>
      </c>
      <c r="C474" s="260">
        <f>'Final data_for_R_analysis_Wetse'!B620</f>
        <v>179</v>
      </c>
      <c r="D474" t="s">
        <v>3828</v>
      </c>
      <c r="E474" t="s">
        <v>25</v>
      </c>
      <c r="F474" s="381">
        <v>3</v>
      </c>
      <c r="G474" s="16">
        <f>'WetLitterbags placem_collection'!E181</f>
        <v>42763</v>
      </c>
      <c r="H474" s="92" t="str">
        <f>'Final data_for_R_analysis_Wetse'!K620</f>
        <v>G826</v>
      </c>
      <c r="I474" t="str">
        <f>'Final data_for_R_analysis_Wetse'!K840</f>
        <v>R273</v>
      </c>
      <c r="J474">
        <f>IFERROR(INDEX('Green_rooibos initial weight'!$C$5:$C$2000,MATCH(H474, 'Green_rooibos initial weight'!$A$5:$A$2000,0)),"")</f>
        <v>2.15</v>
      </c>
      <c r="K474">
        <f>IFERROR(INDEX('Green_rooibos initial weight'!$C$5:$C$2000,MATCH(I474, 'Green_rooibos initial weight'!$A$5:$A$2000,0)),"")</f>
        <v>2.2090000000000001</v>
      </c>
      <c r="L474" s="194">
        <f t="shared" si="42"/>
        <v>1.9001999999999999</v>
      </c>
      <c r="M474" s="194">
        <f>IF(K474&gt;0,(K474*$F$32-($F$29+$F$30)),"")</f>
        <v>1.9592000000000001</v>
      </c>
      <c r="N474" s="16">
        <f>IF('WetLitterbags placem_collection'!G181="","",'WetLitterbags placem_collection'!G181)</f>
        <v>42815</v>
      </c>
      <c r="O474" s="194">
        <f>IFERROR(INDEX('Both teabags AfterWet'!$C$3:$C$2000,MATCH(H474,'Both teabags AfterWet'!$A$3:$A$2000,0)),"")</f>
        <v>0.60060000000000002</v>
      </c>
      <c r="P474" s="194">
        <f>IFERROR(INDEX('Both teabags AfterWet'!$C$3:$C$2000,MATCH(I474,'Both teabags AfterWet'!$A$3:$A$2000,0)),"")</f>
        <v>1.655</v>
      </c>
      <c r="Q474" s="194">
        <f t="shared" si="43"/>
        <v>0.45</v>
      </c>
      <c r="R474" s="194">
        <f t="shared" si="43"/>
        <v>1.5044</v>
      </c>
      <c r="S474" s="194">
        <f t="shared" si="44"/>
        <v>0.76318282286075145</v>
      </c>
      <c r="T474" s="194">
        <f t="shared" si="45"/>
        <v>0.50032888149540955</v>
      </c>
      <c r="U474" s="194">
        <f t="shared" si="46"/>
        <v>0.76786443446304609</v>
      </c>
      <c r="V474">
        <f>IFERROR(IF((N474-G474)&gt;0,(IFERROR(N474-G474,"")),""),"")</f>
        <v>52</v>
      </c>
      <c r="W474" s="194">
        <f t="shared" si="47"/>
        <v>9.3607098740200123E-2</v>
      </c>
      <c r="X474" s="194">
        <f t="shared" si="48"/>
        <v>1.1991492240381724E-2</v>
      </c>
      <c r="Y474" s="252" t="str">
        <f>IF(ISNUMBER(SEARCH("C",'WetLitterbags placem_collection'!$Y181)),"YES","NO")</f>
        <v>NO</v>
      </c>
      <c r="Z474" s="252" t="str">
        <f>IF(ISNUMBER(SEARCH("H", 'WetLitterbags placem_collection'!$Y181)),"YES","NO")</f>
        <v>NO</v>
      </c>
      <c r="AA474" s="252" t="str">
        <f>IF(ISNUMBER(SEARCH("R", 'WetLitterbags placem_collection'!$Y181)),"YES","NO")</f>
        <v>NO</v>
      </c>
      <c r="AB474" s="252" t="str">
        <f>IF(ISNUMBER(SEARCH("C", 'WetLitterbags placem_collection'!$W181)),"YES","NO")</f>
        <v>NO</v>
      </c>
      <c r="AC474" s="252" t="str">
        <f>IF(ISNUMBER(SEARCH("H", 'WetLitterbags placem_collection'!$W181)),"YES","NO")</f>
        <v>NO</v>
      </c>
      <c r="AD474" s="252" t="str">
        <f>IF(ISNUMBER(SEARCH("R", 'WetLitterbags placem_collection'!$W181)),"YES","NO")</f>
        <v>YES</v>
      </c>
    </row>
    <row r="475" spans="2:30">
      <c r="B475" t="str">
        <f>'Final data_for_R_analysis_Wetse'!A621</f>
        <v>Wet</v>
      </c>
      <c r="C475" s="260">
        <f>'Final data_for_R_analysis_Wetse'!B621</f>
        <v>180</v>
      </c>
      <c r="D475" t="s">
        <v>3828</v>
      </c>
      <c r="E475" t="s">
        <v>25</v>
      </c>
      <c r="F475" s="382">
        <v>4</v>
      </c>
      <c r="G475" s="16">
        <f>'WetLitterbags placem_collection'!E182</f>
        <v>42763</v>
      </c>
      <c r="H475" s="92" t="str">
        <f>'Final data_for_R_analysis_Wetse'!K621</f>
        <v>G783</v>
      </c>
      <c r="I475" t="str">
        <f>'Final data_for_R_analysis_Wetse'!K841</f>
        <v>R301</v>
      </c>
      <c r="J475">
        <f>IFERROR(INDEX('Green_rooibos initial weight'!$C$5:$C$2000,MATCH(H475, 'Green_rooibos initial weight'!$A$5:$A$2000,0)),"")</f>
        <v>1.976</v>
      </c>
      <c r="K475">
        <f>IFERROR(INDEX('Green_rooibos initial weight'!$C$5:$C$2000,MATCH(I475, 'Green_rooibos initial weight'!$A$5:$A$2000,0)),"")</f>
        <v>2.2530000000000001</v>
      </c>
      <c r="L475" s="194">
        <f t="shared" si="42"/>
        <v>1.7262</v>
      </c>
      <c r="M475" s="194">
        <f>IF(K475&gt;0,(K475*$F$32-($F$29+$F$30)),"")</f>
        <v>2.0032000000000001</v>
      </c>
      <c r="N475" s="16">
        <f>IF('WetLitterbags placem_collection'!G182="","",'WetLitterbags placem_collection'!G182)</f>
        <v>42815</v>
      </c>
      <c r="O475" s="194">
        <f>IFERROR(INDEX('Both teabags AfterWet'!$C$3:$C$2000,MATCH(H475,'Both teabags AfterWet'!$A$3:$A$2000,0)),"")</f>
        <v>0.627</v>
      </c>
      <c r="P475" s="194">
        <f>IFERROR(INDEX('Both teabags AfterWet'!$C$3:$C$2000,MATCH(I475,'Both teabags AfterWet'!$A$3:$A$2000,0)),"")</f>
        <v>1.6709000000000001</v>
      </c>
      <c r="Q475" s="194">
        <f t="shared" si="43"/>
        <v>0.47639999999999999</v>
      </c>
      <c r="R475" s="194">
        <f t="shared" si="43"/>
        <v>1.5203</v>
      </c>
      <c r="S475" s="194">
        <f t="shared" si="44"/>
        <v>0.72401807438303789</v>
      </c>
      <c r="T475" s="194">
        <f t="shared" si="45"/>
        <v>0.47465317940550705</v>
      </c>
      <c r="U475" s="194">
        <f t="shared" si="46"/>
        <v>0.75893570287539935</v>
      </c>
      <c r="V475">
        <f>IFERROR(IF((N475-G475)&gt;0,(IFERROR(N475-G475,"")),""),"")</f>
        <v>52</v>
      </c>
      <c r="W475" s="194">
        <f t="shared" si="47"/>
        <v>0.14012105180161771</v>
      </c>
      <c r="X475" s="194">
        <f t="shared" si="48"/>
        <v>1.3635033305392523E-2</v>
      </c>
      <c r="Y475" s="252" t="str">
        <f>IF(ISNUMBER(SEARCH("C",'WetLitterbags placem_collection'!$Y182)),"YES","NO")</f>
        <v>NO</v>
      </c>
      <c r="Z475" s="252" t="str">
        <f>IF(ISNUMBER(SEARCH("H", 'WetLitterbags placem_collection'!$Y182)),"YES","NO")</f>
        <v>NO</v>
      </c>
      <c r="AA475" s="252" t="str">
        <f>IF(ISNUMBER(SEARCH("R", 'WetLitterbags placem_collection'!$Y182)),"YES","NO")</f>
        <v>YES</v>
      </c>
      <c r="AB475" s="252" t="str">
        <f>IF(ISNUMBER(SEARCH("C", 'WetLitterbags placem_collection'!$W182)),"YES","NO")</f>
        <v>NO</v>
      </c>
      <c r="AC475" s="252" t="str">
        <f>IF(ISNUMBER(SEARCH("H", 'WetLitterbags placem_collection'!$W182)),"YES","NO")</f>
        <v>NO</v>
      </c>
      <c r="AD475" s="252" t="str">
        <f>IF(ISNUMBER(SEARCH("R", 'WetLitterbags placem_collection'!$W182)),"YES","NO")</f>
        <v>NO</v>
      </c>
    </row>
    <row r="476" spans="2:30">
      <c r="B476" t="str">
        <f>'Final data_for_R_analysis_Wetse'!A622</f>
        <v>Wet</v>
      </c>
      <c r="C476" s="260">
        <f>'Final data_for_R_analysis_Wetse'!B622</f>
        <v>181</v>
      </c>
      <c r="D476" t="s">
        <v>3828</v>
      </c>
      <c r="E476" t="s">
        <v>25</v>
      </c>
      <c r="F476" s="382">
        <v>5</v>
      </c>
      <c r="G476" s="16">
        <f>'WetLitterbags placem_collection'!E183</f>
        <v>42763</v>
      </c>
      <c r="H476" s="92" t="str">
        <f>'Final data_for_R_analysis_Wetse'!K622</f>
        <v>G551</v>
      </c>
      <c r="I476" t="str">
        <f>'Final data_for_R_analysis_Wetse'!K842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42"/>
        <v>1.8662000000000001</v>
      </c>
      <c r="M476" s="194">
        <f>IF(K476&gt;0,(K476*$F$32-($F$29+$F$30)),"")</f>
        <v>1.9822000000000002</v>
      </c>
      <c r="N476" s="16">
        <f>IF('WetLitterbags placem_collection'!G183="","",'WetLitterbags placem_collection'!G183)</f>
        <v>42815</v>
      </c>
      <c r="O476" s="194">
        <f>IFERROR(INDEX('Both teabags AfterWet'!$C$3:$C$2000,MATCH(H476,'Both teabags AfterWet'!$A$3:$A$2000,0)),"")</f>
        <v>0.61199999999999999</v>
      </c>
      <c r="P476" s="194">
        <f>IFERROR(INDEX('Both teabags AfterWet'!$C$3:$C$2000,MATCH(I476,'Both teabags AfterWet'!$A$3:$A$2000,0)),"")</f>
        <v>1.6970000000000001</v>
      </c>
      <c r="Q476" s="194">
        <f t="shared" si="43"/>
        <v>0.46139999999999998</v>
      </c>
      <c r="R476" s="194">
        <f t="shared" si="43"/>
        <v>1.5464</v>
      </c>
      <c r="S476" s="194">
        <f t="shared" si="44"/>
        <v>0.75275961847604766</v>
      </c>
      <c r="T476" s="194">
        <f t="shared" si="45"/>
        <v>0.49349561686315718</v>
      </c>
      <c r="U476" s="194">
        <f t="shared" si="46"/>
        <v>0.78014327514882442</v>
      </c>
      <c r="V476">
        <f>IFERROR(IF((N476-G476)&gt;0,(IFERROR(N476-G476,"")),""),"")</f>
        <v>52</v>
      </c>
      <c r="W476" s="194">
        <f t="shared" si="47"/>
        <v>0.10598620133486025</v>
      </c>
      <c r="X476" s="194">
        <f t="shared" si="48"/>
        <v>1.1340474082405324E-2</v>
      </c>
      <c r="Y476" s="252" t="str">
        <f>IF(ISNUMBER(SEARCH("C",'WetLitterbags placem_collection'!$Y183)),"YES","NO")</f>
        <v>NO</v>
      </c>
      <c r="Z476" s="252" t="str">
        <f>IF(ISNUMBER(SEARCH("H", 'WetLitterbags placem_collection'!$Y183)),"YES","NO")</f>
        <v>NO</v>
      </c>
      <c r="AA476" s="252" t="str">
        <f>IF(ISNUMBER(SEARCH("R", 'WetLitterbags placem_collection'!$Y183)),"YES","NO")</f>
        <v>NO</v>
      </c>
      <c r="AB476" s="252" t="str">
        <f>IF(ISNUMBER(SEARCH("C", 'WetLitterbags placem_collection'!$W183)),"YES","NO")</f>
        <v>NO</v>
      </c>
      <c r="AC476" s="252" t="str">
        <f>IF(ISNUMBER(SEARCH("H", 'WetLitterbags placem_collection'!$W183)),"YES","NO")</f>
        <v>NO</v>
      </c>
      <c r="AD476" s="252" t="str">
        <f>IF(ISNUMBER(SEARCH("R", 'WetLitterbags placem_collection'!$W183)),"YES","NO")</f>
        <v>NO</v>
      </c>
    </row>
    <row r="477" spans="2:30">
      <c r="B477" t="str">
        <f>'Final data_for_R_analysis_Wetse'!A623</f>
        <v>Wet</v>
      </c>
      <c r="C477" s="260">
        <f>'Final data_for_R_analysis_Wetse'!B623</f>
        <v>182</v>
      </c>
      <c r="D477" t="s">
        <v>3828</v>
      </c>
      <c r="E477" t="s">
        <v>25</v>
      </c>
      <c r="F477" s="382">
        <v>6</v>
      </c>
      <c r="G477" s="16">
        <f>'WetLitterbags placem_collection'!E184</f>
        <v>42763</v>
      </c>
      <c r="H477" s="92" t="str">
        <f>'Final data_for_R_analysis_Wetse'!K623</f>
        <v>G818</v>
      </c>
      <c r="I477" t="str">
        <f>'Final data_for_R_analysis_Wetse'!K843</f>
        <v>R537</v>
      </c>
      <c r="J477">
        <f>IFERROR(INDEX('Green_rooibos initial weight'!$C$5:$C$2000,MATCH(H477, 'Green_rooibos initial weight'!$A$5:$A$2000,0)),"")</f>
        <v>2.0099999999999998</v>
      </c>
      <c r="K477">
        <f>IFERROR(INDEX('Green_rooibos initial weight'!$C$5:$C$2000,MATCH(I477, 'Green_rooibos initial weight'!$A$5:$A$2000,0)),"")</f>
        <v>2.145</v>
      </c>
      <c r="L477" s="194">
        <f t="shared" si="42"/>
        <v>1.7601999999999998</v>
      </c>
      <c r="M477" s="194">
        <f>IF(K477&gt;0,(K477*$F$32-($F$29+$F$30)),"")</f>
        <v>1.8952</v>
      </c>
      <c r="N477" s="16">
        <f>IF('WetLitterbags placem_collection'!G184="","",'WetLitterbags placem_collection'!G184)</f>
        <v>42815</v>
      </c>
      <c r="O477" s="194">
        <f>IFERROR(INDEX('Both teabags AfterWet'!$C$3:$C$2000,MATCH(H477,'Both teabags AfterWet'!$A$3:$A$2000,0)),"")</f>
        <v>0.60450000000000004</v>
      </c>
      <c r="P477" s="194">
        <f>IFERROR(INDEX('Both teabags AfterWet'!$C$3:$C$2000,MATCH(I477,'Both teabags AfterWet'!$A$3:$A$2000,0)),"")</f>
        <v>1.7152000000000001</v>
      </c>
      <c r="Q477" s="194">
        <f t="shared" si="43"/>
        <v>0.45390000000000003</v>
      </c>
      <c r="R477" s="194">
        <f t="shared" si="43"/>
        <v>1.5646</v>
      </c>
      <c r="S477" s="194">
        <f t="shared" si="44"/>
        <v>0.74213157595727752</v>
      </c>
      <c r="T477" s="194">
        <f t="shared" si="45"/>
        <v>0.48652806404800147</v>
      </c>
      <c r="U477" s="194">
        <f t="shared" si="46"/>
        <v>0.82555930772477837</v>
      </c>
      <c r="V477">
        <f>IFERROR(IF((N477-G477)&gt;0,(IFERROR(N477-G477,"")),""),"")</f>
        <v>52</v>
      </c>
      <c r="W477" s="194">
        <f t="shared" si="47"/>
        <v>0.11860857962318583</v>
      </c>
      <c r="X477" s="194">
        <f t="shared" si="48"/>
        <v>8.5386807544270815E-3</v>
      </c>
      <c r="Y477" s="252" t="str">
        <f>IF(ISNUMBER(SEARCH("C",'WetLitterbags placem_collection'!$Y184)),"YES","NO")</f>
        <v>NO</v>
      </c>
      <c r="Z477" s="252" t="str">
        <f>IF(ISNUMBER(SEARCH("H", 'WetLitterbags placem_collection'!$Y184)),"YES","NO")</f>
        <v>NO</v>
      </c>
      <c r="AA477" s="252" t="str">
        <f>IF(ISNUMBER(SEARCH("R", 'WetLitterbags placem_collection'!$Y184)),"YES","NO")</f>
        <v>NO</v>
      </c>
      <c r="AB477" s="252" t="str">
        <f>IF(ISNUMBER(SEARCH("C", 'WetLitterbags placem_collection'!$W184)),"YES","NO")</f>
        <v>NO</v>
      </c>
      <c r="AC477" s="252" t="str">
        <f>IF(ISNUMBER(SEARCH("H", 'WetLitterbags placem_collection'!$W184)),"YES","NO")</f>
        <v>NO</v>
      </c>
      <c r="AD477" s="252" t="str">
        <f>IF(ISNUMBER(SEARCH("R", 'WetLitterbags placem_collection'!$W184)),"YES","NO")</f>
        <v>NO</v>
      </c>
    </row>
    <row r="478" spans="2:30">
      <c r="B478" t="str">
        <f>'Final data_for_R_analysis_Wetse'!A624</f>
        <v>Wet</v>
      </c>
      <c r="C478" s="260">
        <f>'Final data_for_R_analysis_Wetse'!B624</f>
        <v>183</v>
      </c>
      <c r="D478" t="s">
        <v>3828</v>
      </c>
      <c r="E478" t="s">
        <v>25</v>
      </c>
      <c r="F478" s="382">
        <v>7</v>
      </c>
      <c r="G478" s="16">
        <f>'WetLitterbags placem_collection'!E185</f>
        <v>42763</v>
      </c>
      <c r="H478" s="92" t="str">
        <f>'Final data_for_R_analysis_Wetse'!K624</f>
        <v>G896</v>
      </c>
      <c r="I478" t="str">
        <f>'Final data_for_R_analysis_Wetse'!K844</f>
        <v>R290</v>
      </c>
      <c r="J478">
        <f>IFERROR(INDEX('Green_rooibos initial weight'!$C$5:$C$2000,MATCH(H478, 'Green_rooibos initial weight'!$A$5:$A$2000,0)),"")</f>
        <v>1.982</v>
      </c>
      <c r="K478">
        <f>IFERROR(INDEX('Green_rooibos initial weight'!$C$5:$C$2000,MATCH(I478, 'Green_rooibos initial weight'!$A$5:$A$2000,0)),"")</f>
        <v>2.153</v>
      </c>
      <c r="L478" s="194">
        <f t="shared" si="42"/>
        <v>1.7322</v>
      </c>
      <c r="M478" s="194">
        <f>IF(K478&gt;0,(K478*$F$32-($F$29+$F$30)),"")</f>
        <v>1.9032</v>
      </c>
      <c r="N478" s="16">
        <f>IF('WetLitterbags placem_collection'!G185="","",'WetLitterbags placem_collection'!G185)</f>
        <v>42815</v>
      </c>
      <c r="O478" s="194">
        <f>IFERROR(INDEX('Both teabags AfterWet'!$C$3:$C$2000,MATCH(H478,'Both teabags AfterWet'!$A$3:$A$2000,0)),"")</f>
        <v>0.61</v>
      </c>
      <c r="P478" s="194">
        <f>IFERROR(INDEX('Both teabags AfterWet'!$C$3:$C$2000,MATCH(I478,'Both teabags AfterWet'!$A$3:$A$2000,0)),"")</f>
        <v>1.7310000000000001</v>
      </c>
      <c r="Q478" s="194">
        <f t="shared" si="43"/>
        <v>0.45939999999999998</v>
      </c>
      <c r="R478" s="194">
        <f t="shared" si="43"/>
        <v>1.5804</v>
      </c>
      <c r="S478" s="194">
        <f t="shared" si="44"/>
        <v>0.73478813070084281</v>
      </c>
      <c r="T478" s="194">
        <f t="shared" si="45"/>
        <v>0.48171383390364048</v>
      </c>
      <c r="U478" s="194">
        <f t="shared" si="46"/>
        <v>0.83039092055485497</v>
      </c>
      <c r="V478">
        <f>IFERROR(IF((N478-G478)&gt;0,(IFERROR(N478-G478,"")),""),"")</f>
        <v>52</v>
      </c>
      <c r="W478" s="194">
        <f t="shared" si="47"/>
        <v>0.12733001104412967</v>
      </c>
      <c r="X478" s="194">
        <f t="shared" si="48"/>
        <v>8.3463721003159807E-3</v>
      </c>
      <c r="Y478" s="252" t="str">
        <f>IF(ISNUMBER(SEARCH("C",'WetLitterbags placem_collection'!$Y185)),"YES","NO")</f>
        <v>NO</v>
      </c>
      <c r="Z478" s="252" t="str">
        <f>IF(ISNUMBER(SEARCH("H", 'WetLitterbags placem_collection'!$Y185)),"YES","NO")</f>
        <v>NO</v>
      </c>
      <c r="AA478" s="252" t="str">
        <f>IF(ISNUMBER(SEARCH("R", 'WetLitterbags placem_collection'!$Y185)),"YES","NO")</f>
        <v>NO</v>
      </c>
      <c r="AB478" s="252" t="str">
        <f>IF(ISNUMBER(SEARCH("C", 'WetLitterbags placem_collection'!$W185)),"YES","NO")</f>
        <v>YES</v>
      </c>
      <c r="AC478" s="252" t="str">
        <f>IF(ISNUMBER(SEARCH("H", 'WetLitterbags placem_collection'!$W185)),"YES","NO")</f>
        <v>YES</v>
      </c>
      <c r="AD478" s="252" t="str">
        <f>IF(ISNUMBER(SEARCH("R", 'WetLitterbags placem_collection'!$W185)),"YES","NO")</f>
        <v>NO</v>
      </c>
    </row>
    <row r="479" spans="2:30">
      <c r="B479" t="str">
        <f>'Final data_for_R_analysis_Wetse'!A625</f>
        <v>Wet</v>
      </c>
      <c r="C479" s="260">
        <f>'Final data_for_R_analysis_Wetse'!B625</f>
        <v>184</v>
      </c>
      <c r="D479" t="s">
        <v>3828</v>
      </c>
      <c r="E479" t="s">
        <v>25</v>
      </c>
      <c r="F479" s="382">
        <v>8</v>
      </c>
      <c r="G479" s="16">
        <f>'WetLitterbags placem_collection'!E186</f>
        <v>42763</v>
      </c>
      <c r="H479" s="92" t="str">
        <f>'Final data_for_R_analysis_Wetse'!K625</f>
        <v>G337</v>
      </c>
      <c r="I479" t="str">
        <f>'Final data_for_R_analysis_Wetse'!K845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42"/>
        <v>1.6182000000000001</v>
      </c>
      <c r="M479" s="194">
        <f>IF(K479&gt;0,(K479*$F$32-($F$29+$F$30)),"")</f>
        <v>1.9291999999999998</v>
      </c>
      <c r="N479" s="16">
        <f>IF('WetLitterbags placem_collection'!G186="","",'WetLitterbags placem_collection'!G186)</f>
        <v>42815</v>
      </c>
      <c r="O479" s="194">
        <f>IFERROR(INDEX('Both teabags AfterWet'!$C$3:$C$2000,MATCH(H479,'Both teabags AfterWet'!$A$3:$A$2000,0)),"")</f>
        <v>0.63060000000000005</v>
      </c>
      <c r="P479" s="194">
        <f>IFERROR(INDEX('Both teabags AfterWet'!$C$3:$C$2000,MATCH(I479,'Both teabags AfterWet'!$A$3:$A$2000,0)),"")</f>
        <v>1.7096</v>
      </c>
      <c r="Q479" s="194">
        <f t="shared" si="43"/>
        <v>0.48000000000000004</v>
      </c>
      <c r="R479" s="194">
        <f t="shared" si="43"/>
        <v>1.5589999999999999</v>
      </c>
      <c r="S479" s="194">
        <f t="shared" si="44"/>
        <v>0.70337411939191696</v>
      </c>
      <c r="T479" s="194">
        <f t="shared" si="45"/>
        <v>0.46111937518329948</v>
      </c>
      <c r="U479" s="194">
        <f t="shared" si="46"/>
        <v>0.80810698735227038</v>
      </c>
      <c r="V479">
        <f>IFERROR(IF((N479-G479)&gt;0,(IFERROR(N479-G479,"")),""),"")</f>
        <v>52</v>
      </c>
      <c r="W479" s="194">
        <f t="shared" si="47"/>
        <v>0.16463881307373285</v>
      </c>
      <c r="X479" s="194">
        <f t="shared" si="48"/>
        <v>1.0348162224138469E-2</v>
      </c>
      <c r="Y479" s="252" t="str">
        <f>IF(ISNUMBER(SEARCH("C",'WetLitterbags placem_collection'!$Y186)),"YES","NO")</f>
        <v>NO</v>
      </c>
      <c r="Z479" s="252" t="str">
        <f>IF(ISNUMBER(SEARCH("H", 'WetLitterbags placem_collection'!$Y186)),"YES","NO")</f>
        <v>NO</v>
      </c>
      <c r="AA479" s="252" t="str">
        <f>IF(ISNUMBER(SEARCH("R", 'WetLitterbags placem_collection'!$Y186)),"YES","NO")</f>
        <v>NO</v>
      </c>
      <c r="AB479" s="252" t="str">
        <f>IF(ISNUMBER(SEARCH("C", 'WetLitterbags placem_collection'!$W186)),"YES","NO")</f>
        <v>NO</v>
      </c>
      <c r="AC479" s="252" t="str">
        <f>IF(ISNUMBER(SEARCH("H", 'WetLitterbags placem_collection'!$W186)),"YES","NO")</f>
        <v>NO</v>
      </c>
      <c r="AD479" s="252" t="str">
        <f>IF(ISNUMBER(SEARCH("R", 'WetLitterbags placem_collection'!$W186)),"YES","NO")</f>
        <v>NO</v>
      </c>
    </row>
    <row r="480" spans="2:30">
      <c r="B480" t="str">
        <f>'Final data_for_R_analysis_Wetse'!A626</f>
        <v>Wet</v>
      </c>
      <c r="C480" s="260">
        <f>'Final data_for_R_analysis_Wetse'!B626</f>
        <v>185</v>
      </c>
      <c r="D480" t="s">
        <v>3829</v>
      </c>
      <c r="E480" t="s">
        <v>25</v>
      </c>
      <c r="F480" s="381">
        <v>1</v>
      </c>
      <c r="G480" s="16">
        <f>'WetLitterbags placem_collection'!E187</f>
        <v>42763</v>
      </c>
      <c r="H480" s="92" t="str">
        <f>'Final data_for_R_analysis_Wetse'!K626</f>
        <v>G564</v>
      </c>
      <c r="I480" t="str">
        <f>'Final data_for_R_analysis_Wetse'!K846</f>
        <v>R539</v>
      </c>
      <c r="J480">
        <f>IFERROR(INDEX('Green_rooibos initial weight'!$C$5:$C$2000,MATCH(H480, 'Green_rooibos initial weight'!$A$5:$A$2000,0)),"")</f>
        <v>1.95</v>
      </c>
      <c r="K480">
        <f>IFERROR(INDEX('Green_rooibos initial weight'!$C$5:$C$2000,MATCH(I480, 'Green_rooibos initial weight'!$A$5:$A$2000,0)),"")</f>
        <v>2.16</v>
      </c>
      <c r="L480" s="194">
        <f t="shared" si="42"/>
        <v>1.7001999999999999</v>
      </c>
      <c r="M480" s="194">
        <f>IF(K480&gt;0,(K480*$F$32-($F$29+$F$30)),"")</f>
        <v>1.9102000000000001</v>
      </c>
      <c r="N480" s="16">
        <f>IF('WetLitterbags placem_collection'!G187="","",'WetLitterbags placem_collection'!G187)</f>
        <v>42815</v>
      </c>
      <c r="O480" s="194">
        <f>IFERROR(INDEX('Both teabags AfterWet'!$C$3:$C$2000,MATCH(H480,'Both teabags AfterWet'!$A$3:$A$2000,0)),"")</f>
        <v>0.626</v>
      </c>
      <c r="P480" s="194">
        <f>IFERROR(INDEX('Both teabags AfterWet'!$C$3:$C$2000,MATCH(I480,'Both teabags AfterWet'!$A$3:$A$2000,0)),"")</f>
        <v>1.7513000000000001</v>
      </c>
      <c r="Q480" s="194">
        <f t="shared" si="43"/>
        <v>0.47539999999999999</v>
      </c>
      <c r="R480" s="194">
        <f t="shared" si="43"/>
        <v>1.6007</v>
      </c>
      <c r="S480" s="194">
        <f t="shared" si="44"/>
        <v>0.72038583696035752</v>
      </c>
      <c r="T480" s="194">
        <f t="shared" si="45"/>
        <v>0.47227195012127959</v>
      </c>
      <c r="U480" s="194">
        <f t="shared" si="46"/>
        <v>0.83797508114333574</v>
      </c>
      <c r="V480">
        <f>IFERROR(IF((N480-G480)&gt;0,(IFERROR(N480-G480,"")),""),"")</f>
        <v>52</v>
      </c>
      <c r="W480" s="194">
        <f t="shared" si="47"/>
        <v>0.1444348729686965</v>
      </c>
      <c r="X480" s="194">
        <f t="shared" si="48"/>
        <v>8.0805024997524962E-3</v>
      </c>
      <c r="Y480" s="252" t="str">
        <f>IF(ISNUMBER(SEARCH("C",'WetLitterbags placem_collection'!$Y187)),"YES","NO")</f>
        <v>NO</v>
      </c>
      <c r="Z480" s="252" t="str">
        <f>IF(ISNUMBER(SEARCH("H", 'WetLitterbags placem_collection'!$Y187)),"YES","NO")</f>
        <v>NO</v>
      </c>
      <c r="AA480" s="252" t="str">
        <f>IF(ISNUMBER(SEARCH("R", 'WetLitterbags placem_collection'!$Y187)),"YES","NO")</f>
        <v>NO</v>
      </c>
      <c r="AB480" s="252" t="str">
        <f>IF(ISNUMBER(SEARCH("C", 'WetLitterbags placem_collection'!$W187)),"YES","NO")</f>
        <v>YES</v>
      </c>
      <c r="AC480" s="252" t="str">
        <f>IF(ISNUMBER(SEARCH("H", 'WetLitterbags placem_collection'!$W187)),"YES","NO")</f>
        <v>YES</v>
      </c>
      <c r="AD480" s="252" t="str">
        <f>IF(ISNUMBER(SEARCH("R", 'WetLitterbags placem_collection'!$W187)),"YES","NO")</f>
        <v>NO</v>
      </c>
    </row>
    <row r="481" spans="2:30">
      <c r="B481" t="str">
        <f>'Final data_for_R_analysis_Wetse'!A627</f>
        <v>Wet</v>
      </c>
      <c r="C481" s="260">
        <f>'Final data_for_R_analysis_Wetse'!B627</f>
        <v>186</v>
      </c>
      <c r="D481" t="s">
        <v>3829</v>
      </c>
      <c r="E481" t="s">
        <v>25</v>
      </c>
      <c r="F481" s="381">
        <v>2</v>
      </c>
      <c r="G481" s="16">
        <f>'WetLitterbags placem_collection'!E188</f>
        <v>42763</v>
      </c>
      <c r="H481" s="92" t="str">
        <f>'Final data_for_R_analysis_Wetse'!K627</f>
        <v>G608</v>
      </c>
      <c r="I481" t="str">
        <f>'Final data_for_R_analysis_Wetse'!K847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42"/>
        <v>1.7761999999999998</v>
      </c>
      <c r="M481" s="194">
        <f>IF(K481&gt;0,(K481*$F$32-($F$29+$F$30)),"")</f>
        <v>2.0032000000000001</v>
      </c>
      <c r="N481" s="16">
        <f>IF('WetLitterbags placem_collection'!G188="","",'WetLitterbags placem_collection'!G188)</f>
        <v>42815</v>
      </c>
      <c r="O481" s="194">
        <f>IFERROR(INDEX('Both teabags AfterWet'!$C$3:$C$2000,MATCH(H481,'Both teabags AfterWet'!$A$3:$A$2000,0)),"")</f>
        <v>0.61599999999999999</v>
      </c>
      <c r="P481" s="194">
        <f>IFERROR(INDEX('Both teabags AfterWet'!$C$3:$C$2000,MATCH(I481,'Both teabags AfterWet'!$A$3:$A$2000,0)),"")</f>
        <v>1.7809999999999999</v>
      </c>
      <c r="Q481" s="194">
        <f t="shared" si="43"/>
        <v>0.46539999999999998</v>
      </c>
      <c r="R481" s="194">
        <f t="shared" si="43"/>
        <v>1.6303999999999998</v>
      </c>
      <c r="S481" s="194">
        <f t="shared" si="44"/>
        <v>0.73797995721202558</v>
      </c>
      <c r="T481" s="194">
        <f t="shared" si="45"/>
        <v>0.48380633774470089</v>
      </c>
      <c r="U481" s="194">
        <f t="shared" si="46"/>
        <v>0.8138977635782747</v>
      </c>
      <c r="V481">
        <f>IFERROR(IF((N481-G481)&gt;0,(IFERROR(N481-G481,"")),""),"")</f>
        <v>52</v>
      </c>
      <c r="W481" s="194">
        <f t="shared" si="47"/>
        <v>0.12353924321612164</v>
      </c>
      <c r="X481" s="194">
        <f t="shared" si="48"/>
        <v>9.3381664113921636E-3</v>
      </c>
      <c r="Y481" s="252" t="str">
        <f>IF(ISNUMBER(SEARCH("C",'WetLitterbags placem_collection'!$Y188)),"YES","NO")</f>
        <v>NO</v>
      </c>
      <c r="Z481" s="252" t="str">
        <f>IF(ISNUMBER(SEARCH("H", 'WetLitterbags placem_collection'!$Y188)),"YES","NO")</f>
        <v>NO</v>
      </c>
      <c r="AA481" s="252" t="str">
        <f>IF(ISNUMBER(SEARCH("R", 'WetLitterbags placem_collection'!$Y188)),"YES","NO")</f>
        <v>NO</v>
      </c>
      <c r="AB481" s="252" t="str">
        <f>IF(ISNUMBER(SEARCH("C", 'WetLitterbags placem_collection'!$W188)),"YES","NO")</f>
        <v>NO</v>
      </c>
      <c r="AC481" s="252" t="str">
        <f>IF(ISNUMBER(SEARCH("H", 'WetLitterbags placem_collection'!$W188)),"YES","NO")</f>
        <v>YES</v>
      </c>
      <c r="AD481" s="252" t="str">
        <f>IF(ISNUMBER(SEARCH("R", 'WetLitterbags placem_collection'!$W188)),"YES","NO")</f>
        <v>NO</v>
      </c>
    </row>
    <row r="482" spans="2:30">
      <c r="B482" t="str">
        <f>'Final data_for_R_analysis_Wetse'!A628</f>
        <v>Wet</v>
      </c>
      <c r="C482" s="260">
        <f>'Final data_for_R_analysis_Wetse'!B628</f>
        <v>187</v>
      </c>
      <c r="D482" t="s">
        <v>3829</v>
      </c>
      <c r="E482" t="s">
        <v>25</v>
      </c>
      <c r="F482" s="381">
        <v>3</v>
      </c>
      <c r="G482" s="16">
        <f>'WetLitterbags placem_collection'!E189</f>
        <v>42763</v>
      </c>
      <c r="H482" s="92" t="str">
        <f>'Final data_for_R_analysis_Wetse'!K628</f>
        <v>G365</v>
      </c>
      <c r="I482" t="str">
        <f>'Final data_for_R_analysis_Wetse'!K848</f>
        <v>R580</v>
      </c>
      <c r="J482">
        <f>IFERROR(INDEX('Green_rooibos initial weight'!$C$5:$C$2000,MATCH(H482, 'Green_rooibos initial weight'!$A$5:$A$2000,0)),"")</f>
        <v>1.954</v>
      </c>
      <c r="K482">
        <f>IFERROR(INDEX('Green_rooibos initial weight'!$C$5:$C$2000,MATCH(I482, 'Green_rooibos initial weight'!$A$5:$A$2000,0)),"")</f>
        <v>2.0870000000000002</v>
      </c>
      <c r="L482" s="194">
        <f t="shared" si="42"/>
        <v>1.7041999999999999</v>
      </c>
      <c r="M482" s="194">
        <f>IF(K482&gt;0,(K482*$F$32-($F$29+$F$30)),"")</f>
        <v>1.8372000000000002</v>
      </c>
      <c r="N482" s="16">
        <f>IF('WetLitterbags placem_collection'!G189="","",'WetLitterbags placem_collection'!G189)</f>
        <v>42815</v>
      </c>
      <c r="O482" s="194">
        <f>IFERROR(INDEX('Both teabags AfterWet'!$C$3:$C$2000,MATCH(H482,'Both teabags AfterWet'!$A$3:$A$2000,0)),"")</f>
        <v>0.6714</v>
      </c>
      <c r="P482" s="194">
        <f>IFERROR(INDEX('Both teabags AfterWet'!$C$3:$C$2000,MATCH(I482,'Both teabags AfterWet'!$A$3:$A$2000,0)),"")</f>
        <v>1.6225000000000001</v>
      </c>
      <c r="Q482" s="194">
        <f t="shared" si="43"/>
        <v>0.52079999999999993</v>
      </c>
      <c r="R482" s="194">
        <f t="shared" si="43"/>
        <v>1.4719</v>
      </c>
      <c r="S482" s="194">
        <f t="shared" si="44"/>
        <v>0.69440206548527172</v>
      </c>
      <c r="T482" s="194">
        <f t="shared" si="45"/>
        <v>0.45523745860792164</v>
      </c>
      <c r="U482" s="194">
        <f t="shared" si="46"/>
        <v>0.80116481602438483</v>
      </c>
      <c r="V482">
        <f>IFERROR(IF((N482-G482)&gt;0,(IFERROR(N482-G482,"")),""),"")</f>
        <v>52</v>
      </c>
      <c r="W482" s="194">
        <f t="shared" si="47"/>
        <v>0.17529445904362029</v>
      </c>
      <c r="X482" s="194">
        <f t="shared" si="48"/>
        <v>1.1039837950723609E-2</v>
      </c>
      <c r="Y482" s="252" t="str">
        <f>IF(ISNUMBER(SEARCH("C",'WetLitterbags placem_collection'!$Y189)),"YES","NO")</f>
        <v>NO</v>
      </c>
      <c r="Z482" s="252" t="str">
        <f>IF(ISNUMBER(SEARCH("H", 'WetLitterbags placem_collection'!$Y189)),"YES","NO")</f>
        <v>NO</v>
      </c>
      <c r="AA482" s="252" t="str">
        <f>IF(ISNUMBER(SEARCH("R", 'WetLitterbags placem_collection'!$Y189)),"YES","NO")</f>
        <v>NO</v>
      </c>
      <c r="AB482" s="252" t="str">
        <f>IF(ISNUMBER(SEARCH("C", 'WetLitterbags placem_collection'!$W189)),"YES","NO")</f>
        <v>NO</v>
      </c>
      <c r="AC482" s="252" t="str">
        <f>IF(ISNUMBER(SEARCH("H", 'WetLitterbags placem_collection'!$W189)),"YES","NO")</f>
        <v>NO</v>
      </c>
      <c r="AD482" s="252" t="str">
        <f>IF(ISNUMBER(SEARCH("R", 'WetLitterbags placem_collection'!$W189)),"YES","NO")</f>
        <v>NO</v>
      </c>
    </row>
    <row r="483" spans="2:30">
      <c r="B483" t="str">
        <f>'Final data_for_R_analysis_Wetse'!A629</f>
        <v>Wet</v>
      </c>
      <c r="C483" s="260">
        <f>'Final data_for_R_analysis_Wetse'!B629</f>
        <v>188</v>
      </c>
      <c r="D483" t="s">
        <v>3829</v>
      </c>
      <c r="E483" t="s">
        <v>25</v>
      </c>
      <c r="F483" s="382">
        <v>4</v>
      </c>
      <c r="G483" s="16">
        <f>'WetLitterbags placem_collection'!E190</f>
        <v>42763</v>
      </c>
      <c r="H483" s="92" t="str">
        <f>'Final data_for_R_analysis_Wetse'!K629</f>
        <v>G375</v>
      </c>
      <c r="I483" t="str">
        <f>'Final data_for_R_analysis_Wetse'!K849</f>
        <v>R222</v>
      </c>
      <c r="J483">
        <f>IFERROR(INDEX('Green_rooibos initial weight'!$C$5:$C$2000,MATCH(H483, 'Green_rooibos initial weight'!$A$5:$A$2000,0)),"")</f>
        <v>1.9810000000000001</v>
      </c>
      <c r="K483">
        <f>IFERROR(INDEX('Green_rooibos initial weight'!$C$5:$C$2000,MATCH(I483, 'Green_rooibos initial weight'!$A$5:$A$2000,0)),"")</f>
        <v>2.194</v>
      </c>
      <c r="L483" s="194">
        <f t="shared" si="42"/>
        <v>1.7312000000000001</v>
      </c>
      <c r="M483" s="194">
        <f>IF(K483&gt;0,(K483*$F$32-($F$29+$F$30)),"")</f>
        <v>1.9441999999999999</v>
      </c>
      <c r="N483" s="16">
        <f>IF('WetLitterbags placem_collection'!G190="","",'WetLitterbags placem_collection'!G190)</f>
        <v>42815</v>
      </c>
      <c r="O483" s="194">
        <f>IFERROR(INDEX('Both teabags AfterWet'!$C$3:$C$2000,MATCH(H483,'Both teabags AfterWet'!$A$3:$A$2000,0)),"")</f>
        <v>0.55700000000000005</v>
      </c>
      <c r="P483" s="194">
        <f>IFERROR(INDEX('Both teabags AfterWet'!$C$3:$C$2000,MATCH(I483,'Both teabags AfterWet'!$A$3:$A$2000,0)),"")</f>
        <v>1.5732999999999999</v>
      </c>
      <c r="Q483" s="194">
        <f t="shared" si="43"/>
        <v>0.40640000000000004</v>
      </c>
      <c r="R483" s="194">
        <f t="shared" si="43"/>
        <v>1.4226999999999999</v>
      </c>
      <c r="S483" s="194">
        <f t="shared" si="44"/>
        <v>0.76524953789279115</v>
      </c>
      <c r="T483" s="194">
        <f t="shared" si="45"/>
        <v>0.50168378256154489</v>
      </c>
      <c r="U483" s="194">
        <f t="shared" si="46"/>
        <v>0.73176627918938375</v>
      </c>
      <c r="V483">
        <f>IFERROR(IF((N483-G483)&gt;0,(IFERROR(N483-G483,"")),""),"")</f>
        <v>52</v>
      </c>
      <c r="W483" s="194">
        <f t="shared" si="47"/>
        <v>9.11525678232884E-2</v>
      </c>
      <c r="X483" s="194">
        <f t="shared" si="48"/>
        <v>1.4711573462774E-2</v>
      </c>
      <c r="Y483" s="252" t="str">
        <f>IF(ISNUMBER(SEARCH("C",'WetLitterbags placem_collection'!$Y190)),"YES","NO")</f>
        <v>NO</v>
      </c>
      <c r="Z483" s="252" t="str">
        <f>IF(ISNUMBER(SEARCH("H", 'WetLitterbags placem_collection'!$Y190)),"YES","NO")</f>
        <v>NO</v>
      </c>
      <c r="AA483" s="252" t="str">
        <f>IF(ISNUMBER(SEARCH("R", 'WetLitterbags placem_collection'!$Y190)),"YES","NO")</f>
        <v>NO</v>
      </c>
      <c r="AB483" s="252" t="str">
        <f>IF(ISNUMBER(SEARCH("C", 'WetLitterbags placem_collection'!$W190)),"YES","NO")</f>
        <v>YES</v>
      </c>
      <c r="AC483" s="252" t="str">
        <f>IF(ISNUMBER(SEARCH("H", 'WetLitterbags placem_collection'!$W190)),"YES","NO")</f>
        <v>YES</v>
      </c>
      <c r="AD483" s="252" t="str">
        <f>IF(ISNUMBER(SEARCH("R", 'WetLitterbags placem_collection'!$W190)),"YES","NO")</f>
        <v>YES</v>
      </c>
    </row>
    <row r="484" spans="2:30">
      <c r="B484" t="str">
        <f>'Final data_for_R_analysis_Wetse'!A630</f>
        <v>Wet</v>
      </c>
      <c r="C484" s="260">
        <f>'Final data_for_R_analysis_Wetse'!B630</f>
        <v>189</v>
      </c>
      <c r="D484" t="s">
        <v>3829</v>
      </c>
      <c r="E484" t="s">
        <v>25</v>
      </c>
      <c r="F484" s="382">
        <v>5</v>
      </c>
      <c r="G484" s="16">
        <f>'WetLitterbags placem_collection'!E191</f>
        <v>42763</v>
      </c>
      <c r="H484" s="92" t="str">
        <f>'Final data_for_R_analysis_Wetse'!K630</f>
        <v>G537</v>
      </c>
      <c r="I484" t="str">
        <f>'Final data_for_R_analysis_Wetse'!K850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42"/>
        <v>1.7132000000000001</v>
      </c>
      <c r="M484" s="194">
        <f>IF(K484&gt;0,(K484*$F$32-($F$29+$F$30)),"")</f>
        <v>1.9382000000000001</v>
      </c>
      <c r="N484" s="16">
        <f>IF('WetLitterbags placem_collection'!G191="","",'WetLitterbags placem_collection'!G191)</f>
        <v>42815</v>
      </c>
      <c r="O484" s="194">
        <f>IFERROR(INDEX('Both teabags AfterWet'!$C$3:$C$2000,MATCH(H484,'Both teabags AfterWet'!$A$3:$A$2000,0)),"")</f>
        <v>0.72030000000000005</v>
      </c>
      <c r="P484" s="194">
        <f>IFERROR(INDEX('Both teabags AfterWet'!$C$3:$C$2000,MATCH(I484,'Both teabags AfterWet'!$A$3:$A$2000,0)),"")</f>
        <v>1.6973</v>
      </c>
      <c r="Q484" s="194">
        <f t="shared" si="43"/>
        <v>0.5697000000000001</v>
      </c>
      <c r="R484" s="194">
        <f t="shared" si="43"/>
        <v>1.5467</v>
      </c>
      <c r="S484" s="194">
        <f t="shared" si="44"/>
        <v>0.66746439411627367</v>
      </c>
      <c r="T484" s="194">
        <f t="shared" si="45"/>
        <v>0.43757760754416042</v>
      </c>
      <c r="U484" s="194">
        <f t="shared" si="46"/>
        <v>0.79800846145908566</v>
      </c>
      <c r="V484">
        <f>IFERROR(IF((N484-G484)&gt;0,(IFERROR(N484-G484,"")),""),"")</f>
        <v>52</v>
      </c>
      <c r="W484" s="194">
        <f t="shared" si="47"/>
        <v>0.20728694285478189</v>
      </c>
      <c r="X484" s="194">
        <f t="shared" si="48"/>
        <v>1.1907264588013656E-2</v>
      </c>
      <c r="Y484" s="252" t="str">
        <f>IF(ISNUMBER(SEARCH("C",'WetLitterbags placem_collection'!$Y191)),"YES","NO")</f>
        <v>NO</v>
      </c>
      <c r="Z484" s="252" t="str">
        <f>IF(ISNUMBER(SEARCH("H", 'WetLitterbags placem_collection'!$Y191)),"YES","NO")</f>
        <v>NO</v>
      </c>
      <c r="AA484" s="252" t="str">
        <f>IF(ISNUMBER(SEARCH("R", 'WetLitterbags placem_collection'!$Y191)),"YES","NO")</f>
        <v>YES</v>
      </c>
      <c r="AB484" s="252" t="str">
        <f>IF(ISNUMBER(SEARCH("C", 'WetLitterbags placem_collection'!$W191)),"YES","NO")</f>
        <v>NO</v>
      </c>
      <c r="AC484" s="252" t="str">
        <f>IF(ISNUMBER(SEARCH("H", 'WetLitterbags placem_collection'!$W191)),"YES","NO")</f>
        <v>NO</v>
      </c>
      <c r="AD484" s="252" t="str">
        <f>IF(ISNUMBER(SEARCH("R", 'WetLitterbags placem_collection'!$W191)),"YES","NO")</f>
        <v>YES</v>
      </c>
    </row>
    <row r="485" spans="2:30">
      <c r="B485" t="str">
        <f>'Final data_for_R_analysis_Wetse'!A631</f>
        <v>Wet</v>
      </c>
      <c r="C485" s="260">
        <f>'Final data_for_R_analysis_Wetse'!B631</f>
        <v>190</v>
      </c>
      <c r="D485" t="s">
        <v>3829</v>
      </c>
      <c r="E485" t="s">
        <v>25</v>
      </c>
      <c r="F485" s="382">
        <v>6</v>
      </c>
      <c r="G485" s="16">
        <f>'WetLitterbags placem_collection'!E192</f>
        <v>42763</v>
      </c>
      <c r="H485" s="92" t="str">
        <f>'Final data_for_R_analysis_Wetse'!K631</f>
        <v>G393</v>
      </c>
      <c r="I485" t="str">
        <f>'Final data_for_R_analysis_Wetse'!K851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42"/>
        <v>1.7591999999999999</v>
      </c>
      <c r="M485" s="194">
        <f>IF(K485&gt;0,(K485*$F$32-($F$29+$F$30)),"")</f>
        <v>1.9942000000000002</v>
      </c>
      <c r="N485" s="16">
        <f>IF('WetLitterbags placem_collection'!G192="","",'WetLitterbags placem_collection'!G192)</f>
        <v>42815</v>
      </c>
      <c r="O485" s="194">
        <f>IFERROR(INDEX('Both teabags AfterWet'!$C$3:$C$2000,MATCH(H485,'Both teabags AfterWet'!$A$3:$A$2000,0)),"")</f>
        <v>0.62090000000000001</v>
      </c>
      <c r="P485" s="194">
        <f>IFERROR(INDEX('Both teabags AfterWet'!$C$3:$C$2000,MATCH(I485,'Both teabags AfterWet'!$A$3:$A$2000,0)),"")</f>
        <v>1.7355</v>
      </c>
      <c r="Q485" s="194">
        <f t="shared" si="43"/>
        <v>0.4703</v>
      </c>
      <c r="R485" s="194">
        <f t="shared" si="43"/>
        <v>1.5849</v>
      </c>
      <c r="S485" s="194">
        <f t="shared" si="44"/>
        <v>0.732662573897226</v>
      </c>
      <c r="T485" s="194">
        <f t="shared" si="45"/>
        <v>0.48032035723428596</v>
      </c>
      <c r="U485" s="194">
        <f t="shared" si="46"/>
        <v>0.79475478888777451</v>
      </c>
      <c r="V485">
        <f>IFERROR(IF((N485-G485)&gt;0,(IFERROR(N485-G485,"")),""),"")</f>
        <v>52</v>
      </c>
      <c r="W485" s="194">
        <f t="shared" si="47"/>
        <v>0.12985442530020663</v>
      </c>
      <c r="X485" s="194">
        <f t="shared" si="48"/>
        <v>1.0719403331215009E-2</v>
      </c>
      <c r="Y485" s="252" t="str">
        <f>IF(ISNUMBER(SEARCH("C",'WetLitterbags placem_collection'!$Y192)),"YES","NO")</f>
        <v>NO</v>
      </c>
      <c r="Z485" s="252" t="str">
        <f>IF(ISNUMBER(SEARCH("H", 'WetLitterbags placem_collection'!$Y192)),"YES","NO")</f>
        <v>NO</v>
      </c>
      <c r="AA485" s="252" t="str">
        <f>IF(ISNUMBER(SEARCH("R", 'WetLitterbags placem_collection'!$Y192)),"YES","NO")</f>
        <v>NO</v>
      </c>
      <c r="AB485" s="252" t="str">
        <f>IF(ISNUMBER(SEARCH("C", 'WetLitterbags placem_collection'!$W192)),"YES","NO")</f>
        <v>YES</v>
      </c>
      <c r="AC485" s="252" t="str">
        <f>IF(ISNUMBER(SEARCH("H", 'WetLitterbags placem_collection'!$W192)),"YES","NO")</f>
        <v>YES</v>
      </c>
      <c r="AD485" s="252" t="str">
        <f>IF(ISNUMBER(SEARCH("R", 'WetLitterbags placem_collection'!$W192)),"YES","NO")</f>
        <v>NO</v>
      </c>
    </row>
    <row r="486" spans="2:30">
      <c r="B486" t="str">
        <f>'Final data_for_R_analysis_Wetse'!A632</f>
        <v>Wet</v>
      </c>
      <c r="C486" s="260">
        <f>'Final data_for_R_analysis_Wetse'!B632</f>
        <v>191</v>
      </c>
      <c r="D486" t="s">
        <v>3829</v>
      </c>
      <c r="E486" t="s">
        <v>25</v>
      </c>
      <c r="F486" s="382">
        <v>7</v>
      </c>
      <c r="G486" s="16">
        <f>'WetLitterbags placem_collection'!E193</f>
        <v>42763</v>
      </c>
      <c r="H486" s="92" t="str">
        <f>'Final data_for_R_analysis_Wetse'!K632</f>
        <v>G417</v>
      </c>
      <c r="I486" t="str">
        <f>'Final data_for_R_analysis_Wetse'!K852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42"/>
        <v>1.7711999999999999</v>
      </c>
      <c r="M486" s="194">
        <f>IF(K486&gt;0,(K486*$F$32-($F$29+$F$30)),"")</f>
        <v>1.8582000000000001</v>
      </c>
      <c r="N486" s="16">
        <f>IF('WetLitterbags placem_collection'!G193="","",'WetLitterbags placem_collection'!G193)</f>
        <v>42815</v>
      </c>
      <c r="O486" s="194">
        <f>IFERROR(INDEX('Both teabags AfterWet'!$C$3:$C$2000,MATCH(H486,'Both teabags AfterWet'!$A$3:$A$2000,0)),"")</f>
        <v>0.62309999999999999</v>
      </c>
      <c r="P486" s="194">
        <f>IFERROR(INDEX('Both teabags AfterWet'!$C$3:$C$2000,MATCH(I486,'Both teabags AfterWet'!$A$3:$A$2000,0)),"")</f>
        <v>1.6520999999999999</v>
      </c>
      <c r="Q486" s="194">
        <f t="shared" si="43"/>
        <v>0.47249999999999998</v>
      </c>
      <c r="R486" s="194">
        <f t="shared" si="43"/>
        <v>1.5014999999999998</v>
      </c>
      <c r="S486" s="194">
        <f t="shared" si="44"/>
        <v>0.7332317073170731</v>
      </c>
      <c r="T486" s="194">
        <f t="shared" si="45"/>
        <v>0.48069347083019526</v>
      </c>
      <c r="U486" s="194">
        <f t="shared" si="46"/>
        <v>0.80804003874717456</v>
      </c>
      <c r="V486">
        <f>IFERROR(IF((N486-G486)&gt;0,(IFERROR(N486-G486,"")),""),"")</f>
        <v>52</v>
      </c>
      <c r="W486" s="194">
        <f t="shared" si="47"/>
        <v>0.12917849487283473</v>
      </c>
      <c r="X486" s="194">
        <f t="shared" si="48"/>
        <v>9.8024161858107171E-3</v>
      </c>
      <c r="Y486" s="252" t="str">
        <f>IF(ISNUMBER(SEARCH("C",'WetLitterbags placem_collection'!$Y193)),"YES","NO")</f>
        <v>NO</v>
      </c>
      <c r="Z486" s="252" t="str">
        <f>IF(ISNUMBER(SEARCH("H", 'WetLitterbags placem_collection'!$Y193)),"YES","NO")</f>
        <v>NO</v>
      </c>
      <c r="AA486" s="252" t="str">
        <f>IF(ISNUMBER(SEARCH("R", 'WetLitterbags placem_collection'!$Y193)),"YES","NO")</f>
        <v>NO</v>
      </c>
      <c r="AB486" s="252" t="str">
        <f>IF(ISNUMBER(SEARCH("C", 'WetLitterbags placem_collection'!$W193)),"YES","NO")</f>
        <v>YES</v>
      </c>
      <c r="AC486" s="252" t="str">
        <f>IF(ISNUMBER(SEARCH("H", 'WetLitterbags placem_collection'!$W193)),"YES","NO")</f>
        <v>YES</v>
      </c>
      <c r="AD486" s="252" t="str">
        <f>IF(ISNUMBER(SEARCH("R", 'WetLitterbags placem_collection'!$W193)),"YES","NO")</f>
        <v>NO</v>
      </c>
    </row>
    <row r="487" spans="2:30">
      <c r="B487" t="str">
        <f>'Final data_for_R_analysis_Wetse'!A633</f>
        <v>Wet</v>
      </c>
      <c r="C487" s="260">
        <f>'Final data_for_R_analysis_Wetse'!B633</f>
        <v>192</v>
      </c>
      <c r="D487" t="s">
        <v>3829</v>
      </c>
      <c r="E487" t="s">
        <v>25</v>
      </c>
      <c r="F487" s="382">
        <v>8</v>
      </c>
      <c r="G487" s="16">
        <f>'WetLitterbags placem_collection'!E194</f>
        <v>42763</v>
      </c>
      <c r="H487" s="92" t="str">
        <f>'Final data_for_R_analysis_Wetse'!K633</f>
        <v>G297</v>
      </c>
      <c r="I487" t="str">
        <f>'Final data_for_R_analysis_Wetse'!K853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42"/>
        <v>1.6921999999999999</v>
      </c>
      <c r="M487" s="194">
        <f>IF(K487&gt;0,(K487*$F$32-($F$29+$F$30)),"")</f>
        <v>1.9851999999999999</v>
      </c>
      <c r="N487" s="16">
        <f>IF('WetLitterbags placem_collection'!G194="","",'WetLitterbags placem_collection'!G194)</f>
        <v>42815</v>
      </c>
      <c r="O487" s="194">
        <f>IFERROR(INDEX('Both teabags AfterWet'!$C$3:$C$2000,MATCH(H487,'Both teabags AfterWet'!$A$3:$A$2000,0)),"")</f>
        <v>0.60899999999999999</v>
      </c>
      <c r="P487" s="194">
        <f>IFERROR(INDEX('Both teabags AfterWet'!$C$3:$C$2000,MATCH(I487,'Both teabags AfterWet'!$A$3:$A$2000,0)),"")</f>
        <v>1.6679999999999999</v>
      </c>
      <c r="Q487" s="194">
        <f t="shared" si="43"/>
        <v>0.45839999999999997</v>
      </c>
      <c r="R487" s="194">
        <f t="shared" si="43"/>
        <v>1.5173999999999999</v>
      </c>
      <c r="S487" s="194">
        <f t="shared" si="44"/>
        <v>0.72911003427490839</v>
      </c>
      <c r="T487" s="194">
        <f t="shared" si="45"/>
        <v>0.47799137638925115</v>
      </c>
      <c r="U487" s="194">
        <f t="shared" si="46"/>
        <v>0.76435623614749137</v>
      </c>
      <c r="V487">
        <f>IFERROR(IF((N487-G487)&gt;0,(IFERROR(N487-G487,"")),""),"")</f>
        <v>52</v>
      </c>
      <c r="W487" s="194">
        <f t="shared" si="47"/>
        <v>0.13407359349773351</v>
      </c>
      <c r="X487" s="194">
        <f t="shared" si="48"/>
        <v>1.3061915006963104E-2</v>
      </c>
      <c r="Y487" s="252" t="str">
        <f>IF(ISNUMBER(SEARCH("C",'WetLitterbags placem_collection'!$Y194)),"YES","NO")</f>
        <v>NO</v>
      </c>
      <c r="Z487" s="252" t="str">
        <f>IF(ISNUMBER(SEARCH("H", 'WetLitterbags placem_collection'!$Y194)),"YES","NO")</f>
        <v>NO</v>
      </c>
      <c r="AA487" s="252" t="str">
        <f>IF(ISNUMBER(SEARCH("R", 'WetLitterbags placem_collection'!$Y194)),"YES","NO")</f>
        <v>NO</v>
      </c>
      <c r="AB487" s="252" t="str">
        <f>IF(ISNUMBER(SEARCH("C", 'WetLitterbags placem_collection'!$W194)),"YES","NO")</f>
        <v>YES</v>
      </c>
      <c r="AC487" s="252" t="str">
        <f>IF(ISNUMBER(SEARCH("H", 'WetLitterbags placem_collection'!$W194)),"YES","NO")</f>
        <v>YES</v>
      </c>
      <c r="AD487" s="252" t="str">
        <f>IF(ISNUMBER(SEARCH("R", 'WetLitterbags placem_collection'!$W194)),"YES","NO")</f>
        <v>NO</v>
      </c>
    </row>
    <row r="488" spans="2:30">
      <c r="B488" t="str">
        <f>'Final data_for_R_analysis_Wetse'!A634</f>
        <v>Wet</v>
      </c>
      <c r="C488" s="260">
        <f>'Final data_for_R_analysis_Wetse'!B634</f>
        <v>193</v>
      </c>
      <c r="D488" t="s">
        <v>2440</v>
      </c>
      <c r="E488" t="s">
        <v>25</v>
      </c>
      <c r="F488" s="382">
        <v>1</v>
      </c>
      <c r="G488" s="16">
        <f>'WetLitterbags placem_collection'!E195</f>
        <v>42769</v>
      </c>
      <c r="H488" s="92" t="str">
        <f>'Final data_for_R_analysis_Wetse'!K634</f>
        <v>G584</v>
      </c>
      <c r="I488" t="str">
        <f>'Final data_for_R_analysis_Wetse'!K854</f>
        <v>R364</v>
      </c>
      <c r="J488">
        <f>IFERROR(INDEX('Green_rooibos initial weight'!$C$5:$C$2000,MATCH(H488, 'Green_rooibos initial weight'!$A$5:$A$2000,0)),"")</f>
        <v>2.1960000000000002</v>
      </c>
      <c r="K488">
        <f>IFERROR(INDEX('Green_rooibos initial weight'!$C$5:$C$2000,MATCH(I488, 'Green_rooibos initial weight'!$A$5:$A$2000,0)),"")</f>
        <v>2.234</v>
      </c>
      <c r="L488" s="194">
        <f t="shared" si="42"/>
        <v>1.9462000000000002</v>
      </c>
      <c r="M488" s="194">
        <f>IF(K488&gt;0,(K488*$F$32-($F$29+$F$30)),"")</f>
        <v>1.9842</v>
      </c>
      <c r="N488" s="16">
        <f>IF('WetLitterbags placem_collection'!G195="","",'WetLitterbags placem_collection'!G195)</f>
        <v>42813</v>
      </c>
      <c r="O488" s="194">
        <f>IFERROR(INDEX('Both teabags AfterWet'!$C$3:$C$2000,MATCH(H488,'Both teabags AfterWet'!$A$3:$A$2000,0)),"")</f>
        <v>0.63959999999999995</v>
      </c>
      <c r="P488" s="194">
        <f>IFERROR(INDEX('Both teabags AfterWet'!$C$3:$C$2000,MATCH(I488,'Both teabags AfterWet'!$A$3:$A$2000,0)),"")</f>
        <v>1.3913</v>
      </c>
      <c r="Q488" s="194">
        <f t="shared" si="43"/>
        <v>0.48899999999999993</v>
      </c>
      <c r="R488" s="194">
        <f t="shared" si="43"/>
        <v>1.2406999999999999</v>
      </c>
      <c r="S488" s="194">
        <f t="shared" si="44"/>
        <v>0.74874113657383623</v>
      </c>
      <c r="T488" s="194">
        <f t="shared" si="45"/>
        <v>0.49086117267073354</v>
      </c>
      <c r="U488" s="194">
        <f t="shared" si="46"/>
        <v>0.62528978933575241</v>
      </c>
      <c r="V488">
        <f>IFERROR(IF((N488-G488)&gt;0,(IFERROR(N488-G488,"")),""),"")</f>
        <v>44</v>
      </c>
      <c r="W488" s="194">
        <f t="shared" si="47"/>
        <v>0.11075874516171469</v>
      </c>
      <c r="X488" s="194">
        <f t="shared" si="48"/>
        <v>3.2756150048454766E-2</v>
      </c>
      <c r="Y488" s="252" t="str">
        <f>IF(ISNUMBER(SEARCH("C",'WetLitterbags placem_collection'!$Y195)),"YES","NO")</f>
        <v>NO</v>
      </c>
      <c r="Z488" s="252" t="str">
        <f>IF(ISNUMBER(SEARCH("H", 'WetLitterbags placem_collection'!$Y195)),"YES","NO")</f>
        <v>NO</v>
      </c>
      <c r="AA488" s="252" t="str">
        <f>IF(ISNUMBER(SEARCH("R", 'WetLitterbags placem_collection'!$Y195)),"YES","NO")</f>
        <v>NO</v>
      </c>
      <c r="AB488" s="252" t="str">
        <f>IF(ISNUMBER(SEARCH("C", 'WetLitterbags placem_collection'!$W195)),"YES","NO")</f>
        <v>NO</v>
      </c>
      <c r="AC488" s="252" t="str">
        <f>IF(ISNUMBER(SEARCH("H", 'WetLitterbags placem_collection'!$W195)),"YES","NO")</f>
        <v>NO</v>
      </c>
      <c r="AD488" s="252" t="str">
        <f>IF(ISNUMBER(SEARCH("R", 'WetLitterbags placem_collection'!$W195)),"YES","NO")</f>
        <v>NO</v>
      </c>
    </row>
    <row r="489" spans="2:30">
      <c r="B489" t="str">
        <f>'Final data_for_R_analysis_Wetse'!A635</f>
        <v>Wet</v>
      </c>
      <c r="C489" s="260">
        <f>'Final data_for_R_analysis_Wetse'!B635</f>
        <v>194</v>
      </c>
      <c r="D489" t="s">
        <v>2433</v>
      </c>
      <c r="E489" t="s">
        <v>25</v>
      </c>
      <c r="F489" s="382">
        <v>2</v>
      </c>
      <c r="G489" s="16">
        <f>'WetLitterbags placem_collection'!E196</f>
        <v>42769</v>
      </c>
      <c r="H489" s="92" t="str">
        <f>'Final data_for_R_analysis_Wetse'!K635</f>
        <v>G713</v>
      </c>
      <c r="I489" t="str">
        <f>'Final data_for_R_analysis_Wetse'!K855</f>
        <v>R167</v>
      </c>
      <c r="J489">
        <f>IFERROR(INDEX('Green_rooibos initial weight'!$C$5:$C$2000,MATCH(H489, 'Green_rooibos initial weight'!$A$5:$A$2000,0)),"")</f>
        <v>2.1779999999999999</v>
      </c>
      <c r="K489">
        <f>IFERROR(INDEX('Green_rooibos initial weight'!$C$5:$C$2000,MATCH(I489, 'Green_rooibos initial weight'!$A$5:$A$2000,0)),"")</f>
        <v>2.177</v>
      </c>
      <c r="L489" s="194">
        <f t="shared" si="42"/>
        <v>1.9281999999999999</v>
      </c>
      <c r="M489" s="194">
        <f>IF(K489&gt;0,(K489*$F$32-($F$29+$F$30)),"")</f>
        <v>1.9272</v>
      </c>
      <c r="N489" s="16">
        <f>IF('WetLitterbags placem_collection'!G196="","",'WetLitterbags placem_collection'!G196)</f>
        <v>42813</v>
      </c>
      <c r="O489" s="194">
        <f>IFERROR(INDEX('Both teabags AfterWet'!$C$3:$C$2000,MATCH(H489,'Both teabags AfterWet'!$A$3:$A$2000,0)),"")</f>
        <v>0.63500000000000001</v>
      </c>
      <c r="P489" s="194">
        <f>IFERROR(INDEX('Both teabags AfterWet'!$C$3:$C$2000,MATCH(I489,'Both teabags AfterWet'!$A$3:$A$2000,0)),"")</f>
        <v>1.4750000000000001</v>
      </c>
      <c r="Q489" s="194">
        <f t="shared" si="43"/>
        <v>0.4844</v>
      </c>
      <c r="R489" s="194">
        <f t="shared" si="43"/>
        <v>1.3244</v>
      </c>
      <c r="S489" s="194">
        <f t="shared" si="44"/>
        <v>0.748781246758635</v>
      </c>
      <c r="T489" s="194">
        <f t="shared" si="45"/>
        <v>0.49088746818380824</v>
      </c>
      <c r="U489" s="194">
        <f t="shared" si="46"/>
        <v>0.68721461187214616</v>
      </c>
      <c r="V489">
        <f>IFERROR(IF((N489-G489)&gt;0,(IFERROR(N489-G489,"")),""),"")</f>
        <v>44</v>
      </c>
      <c r="W489" s="194">
        <f t="shared" si="47"/>
        <v>0.11071110836266629</v>
      </c>
      <c r="X489" s="194">
        <f t="shared" si="48"/>
        <v>2.304222825268137E-2</v>
      </c>
      <c r="Y489" s="252" t="str">
        <f>IF(ISNUMBER(SEARCH("C",'WetLitterbags placem_collection'!$Y196)),"YES","NO")</f>
        <v>NO</v>
      </c>
      <c r="Z489" s="252" t="str">
        <f>IF(ISNUMBER(SEARCH("H", 'WetLitterbags placem_collection'!$Y196)),"YES","NO")</f>
        <v>NO</v>
      </c>
      <c r="AA489" s="252" t="str">
        <f>IF(ISNUMBER(SEARCH("R", 'WetLitterbags placem_collection'!$Y196)),"YES","NO")</f>
        <v>YES</v>
      </c>
      <c r="AB489" s="252" t="str">
        <f>IF(ISNUMBER(SEARCH("C", 'WetLitterbags placem_collection'!$W196)),"YES","NO")</f>
        <v>NO</v>
      </c>
      <c r="AC489" s="252" t="str">
        <f>IF(ISNUMBER(SEARCH("H", 'WetLitterbags placem_collection'!$W196)),"YES","NO")</f>
        <v>NO</v>
      </c>
      <c r="AD489" s="252" t="str">
        <f>IF(ISNUMBER(SEARCH("R", 'WetLitterbags placem_collection'!$W196)),"YES","NO")</f>
        <v>YES</v>
      </c>
    </row>
    <row r="490" spans="2:30">
      <c r="B490" t="str">
        <f>'Final data_for_R_analysis_Wetse'!A636</f>
        <v>Wet</v>
      </c>
      <c r="C490" s="260">
        <f>'Final data_for_R_analysis_Wetse'!B636</f>
        <v>195</v>
      </c>
      <c r="D490" t="s">
        <v>2425</v>
      </c>
      <c r="E490" t="s">
        <v>25</v>
      </c>
      <c r="F490" s="382">
        <v>3</v>
      </c>
      <c r="G490" s="16">
        <f>'WetLitterbags placem_collection'!E197</f>
        <v>42769</v>
      </c>
      <c r="H490" s="92" t="str">
        <f>'Final data_for_R_analysis_Wetse'!K636</f>
        <v>G525</v>
      </c>
      <c r="I490" t="str">
        <f>'Final data_for_R_analysis_Wetse'!K856</f>
        <v>R25</v>
      </c>
      <c r="J490">
        <f>IFERROR(INDEX('Green_rooibos initial weight'!$C$5:$C$2000,MATCH(H490, 'Green_rooibos initial weight'!$A$5:$A$2000,0)),"")</f>
        <v>2.0790000000000002</v>
      </c>
      <c r="K490">
        <f>IFERROR(INDEX('Green_rooibos initial weight'!$C$5:$C$2000,MATCH(I490, 'Green_rooibos initial weight'!$A$5:$A$2000,0)),"")</f>
        <v>2.16</v>
      </c>
      <c r="L490" s="194">
        <f t="shared" si="42"/>
        <v>1.8292000000000002</v>
      </c>
      <c r="M490" s="194">
        <f>IF(K490&gt;0,(K490*$F$32-($F$29+$F$30)),"")</f>
        <v>1.9102000000000001</v>
      </c>
      <c r="N490" s="16">
        <f>IF('WetLitterbags placem_collection'!G197="","",'WetLitterbags placem_collection'!G197)</f>
        <v>42814</v>
      </c>
      <c r="O490" s="194">
        <f>IFERROR(INDEX('Both teabags AfterWet'!$C$3:$C$2000,MATCH(H490,'Both teabags AfterWet'!$A$3:$A$2000,0)),"")</f>
        <v>0.67859999999999998</v>
      </c>
      <c r="P490" s="194">
        <f>IFERROR(INDEX('Both teabags AfterWet'!$C$3:$C$2000,MATCH(I490,'Both teabags AfterWet'!$A$3:$A$2000,0)),"")</f>
        <v>1.3527</v>
      </c>
      <c r="Q490" s="194">
        <f t="shared" si="43"/>
        <v>0.52800000000000002</v>
      </c>
      <c r="R490" s="194">
        <f t="shared" si="43"/>
        <v>1.2020999999999999</v>
      </c>
      <c r="S490" s="194">
        <f t="shared" si="44"/>
        <v>0.71134922370435172</v>
      </c>
      <c r="T490" s="194">
        <f t="shared" si="45"/>
        <v>0.46634770960190286</v>
      </c>
      <c r="U490" s="194">
        <f t="shared" si="46"/>
        <v>0.62930583185006794</v>
      </c>
      <c r="V490">
        <f>IFERROR(IF((N490-G490)&gt;0,(IFERROR(N490-G490,"")),""),"")</f>
        <v>45</v>
      </c>
      <c r="W490" s="194">
        <f t="shared" si="47"/>
        <v>0.1551671927501761</v>
      </c>
      <c r="X490" s="194">
        <f t="shared" si="48"/>
        <v>3.5204417633761538E-2</v>
      </c>
      <c r="Y490" s="252" t="str">
        <f>IF(ISNUMBER(SEARCH("C",'WetLitterbags placem_collection'!$Y197)),"YES","NO")</f>
        <v>NO</v>
      </c>
      <c r="Z490" s="252" t="str">
        <f>IF(ISNUMBER(SEARCH("H", 'WetLitterbags placem_collection'!$Y197)),"YES","NO")</f>
        <v>NO</v>
      </c>
      <c r="AA490" s="252" t="str">
        <f>IF(ISNUMBER(SEARCH("R", 'WetLitterbags placem_collection'!$Y197)),"YES","NO")</f>
        <v>NO</v>
      </c>
      <c r="AB490" s="252" t="str">
        <f>IF(ISNUMBER(SEARCH("C", 'WetLitterbags placem_collection'!$W197)),"YES","NO")</f>
        <v>YES</v>
      </c>
      <c r="AC490" s="252" t="str">
        <f>IF(ISNUMBER(SEARCH("H", 'WetLitterbags placem_collection'!$W197)),"YES","NO")</f>
        <v>NO</v>
      </c>
      <c r="AD490" s="252" t="str">
        <f>IF(ISNUMBER(SEARCH("R", 'WetLitterbags placem_collection'!$W197)),"YES","NO")</f>
        <v>YES</v>
      </c>
    </row>
    <row r="491" spans="2:30">
      <c r="B491" t="str">
        <f>'Final data_for_R_analysis_Wetse'!A637</f>
        <v>Wet</v>
      </c>
      <c r="C491" s="260">
        <f>'Final data_for_R_analysis_Wetse'!B637</f>
        <v>196</v>
      </c>
      <c r="D491" t="s">
        <v>2416</v>
      </c>
      <c r="E491" t="s">
        <v>25</v>
      </c>
      <c r="F491" s="382">
        <v>4</v>
      </c>
      <c r="G491" s="16">
        <f>'WetLitterbags placem_collection'!E198</f>
        <v>42769</v>
      </c>
      <c r="H491" s="92" t="str">
        <f>'Final data_for_R_analysis_Wetse'!K637</f>
        <v>G886</v>
      </c>
      <c r="I491" t="str">
        <f>'Final data_for_R_analysis_Wetse'!K857</f>
        <v>R362</v>
      </c>
      <c r="J491">
        <f>IFERROR(INDEX('Green_rooibos initial weight'!$C$5:$C$2000,MATCH(H491, 'Green_rooibos initial weight'!$A$5:$A$2000,0)),"")</f>
        <v>1.9590000000000001</v>
      </c>
      <c r="K491">
        <f>IFERROR(INDEX('Green_rooibos initial weight'!$C$5:$C$2000,MATCH(I491, 'Green_rooibos initial weight'!$A$5:$A$2000,0)),"")</f>
        <v>2.246</v>
      </c>
      <c r="L491" s="194">
        <f t="shared" si="42"/>
        <v>1.7092000000000001</v>
      </c>
      <c r="M491" s="194">
        <f>IF(K491&gt;0,(K491*$F$32-($F$29+$F$30)),"")</f>
        <v>1.9962</v>
      </c>
      <c r="N491" s="16">
        <f>IF('WetLitterbags placem_collection'!G198="","",'WetLitterbags placem_collection'!G198)</f>
        <v>42814</v>
      </c>
      <c r="O491" s="194">
        <f>IFERROR(INDEX('Both teabags AfterWet'!$C$3:$C$2000,MATCH(H491,'Both teabags AfterWet'!$A$3:$A$2000,0)),"")</f>
        <v>0.58389999999999997</v>
      </c>
      <c r="P491" s="194">
        <f>IFERROR(INDEX('Both teabags AfterWet'!$C$3:$C$2000,MATCH(I491,'Both teabags AfterWet'!$A$3:$A$2000,0)),"")</f>
        <v>1.5253000000000001</v>
      </c>
      <c r="Q491" s="194">
        <f t="shared" si="43"/>
        <v>0.43329999999999996</v>
      </c>
      <c r="R491" s="194">
        <f t="shared" si="43"/>
        <v>1.3747</v>
      </c>
      <c r="S491" s="194">
        <f t="shared" si="44"/>
        <v>0.74648958577112101</v>
      </c>
      <c r="T491" s="194">
        <f t="shared" si="45"/>
        <v>0.48938509661004614</v>
      </c>
      <c r="U491" s="194">
        <f t="shared" si="46"/>
        <v>0.68865845105700829</v>
      </c>
      <c r="V491">
        <f>IFERROR(IF((N491-G491)&gt;0,(IFERROR(N491-G491,"")),""),"")</f>
        <v>45</v>
      </c>
      <c r="W491" s="194">
        <f t="shared" si="47"/>
        <v>0.1134327959962933</v>
      </c>
      <c r="X491" s="194">
        <f t="shared" si="48"/>
        <v>2.2469367288658258E-2</v>
      </c>
      <c r="Y491" s="252" t="str">
        <f>IF(ISNUMBER(SEARCH("C",'WetLitterbags placem_collection'!$Y198)),"YES","NO")</f>
        <v>NO</v>
      </c>
      <c r="Z491" s="252" t="str">
        <f>IF(ISNUMBER(SEARCH("H", 'WetLitterbags placem_collection'!$Y198)),"YES","NO")</f>
        <v>NO</v>
      </c>
      <c r="AA491" s="252" t="str">
        <f>IF(ISNUMBER(SEARCH("R", 'WetLitterbags placem_collection'!$Y198)),"YES","NO")</f>
        <v>NO</v>
      </c>
      <c r="AB491" s="252" t="str">
        <f>IF(ISNUMBER(SEARCH("C", 'WetLitterbags placem_collection'!$W198)),"YES","NO")</f>
        <v>NO</v>
      </c>
      <c r="AC491" s="252" t="str">
        <f>IF(ISNUMBER(SEARCH("H", 'WetLitterbags placem_collection'!$W198)),"YES","NO")</f>
        <v>NO</v>
      </c>
      <c r="AD491" s="252" t="str">
        <f>IF(ISNUMBER(SEARCH("R", 'WetLitterbags placem_collection'!$W198)),"YES","NO")</f>
        <v>NO</v>
      </c>
    </row>
    <row r="492" spans="2:30">
      <c r="B492" t="str">
        <f>'Final data_for_R_analysis_Wetse'!A638</f>
        <v>Wet</v>
      </c>
      <c r="C492" s="260">
        <f>'Final data_for_R_analysis_Wetse'!B638</f>
        <v>197</v>
      </c>
      <c r="D492" t="s">
        <v>2426</v>
      </c>
      <c r="E492" t="s">
        <v>25</v>
      </c>
      <c r="F492" s="382">
        <v>1</v>
      </c>
      <c r="G492" s="16">
        <f>'WetLitterbags placem_collection'!E199</f>
        <v>42769</v>
      </c>
      <c r="H492" s="92" t="str">
        <f>'Final data_for_R_analysis_Wetse'!K638</f>
        <v>G388</v>
      </c>
      <c r="I492" t="str">
        <f>'Final data_for_R_analysis_Wetse'!K858</f>
        <v>R370</v>
      </c>
      <c r="J492">
        <f>IFERROR(INDEX('Green_rooibos initial weight'!$C$5:$C$2000,MATCH(H492, 'Green_rooibos initial weight'!$A$5:$A$2000,0)),"")</f>
        <v>2.024</v>
      </c>
      <c r="K492">
        <f>IFERROR(INDEX('Green_rooibos initial weight'!$C$5:$C$2000,MATCH(I492, 'Green_rooibos initial weight'!$A$5:$A$2000,0)),"")</f>
        <v>2.2290000000000001</v>
      </c>
      <c r="L492" s="194">
        <f t="shared" si="42"/>
        <v>1.7742</v>
      </c>
      <c r="M492" s="194">
        <f>IF(K492&gt;0,(K492*$F$32-($F$29+$F$30)),"")</f>
        <v>1.9792000000000001</v>
      </c>
      <c r="N492" s="16">
        <f>IF('WetLitterbags placem_collection'!G199="","",'WetLitterbags placem_collection'!G199)</f>
        <v>42814</v>
      </c>
      <c r="O492" s="194">
        <f>IFERROR(INDEX('Both teabags AfterWet'!$C$3:$C$2000,MATCH(H492,'Both teabags AfterWet'!$A$3:$A$2000,0)),"")</f>
        <v>0.7046</v>
      </c>
      <c r="P492" s="194">
        <f>IFERROR(INDEX('Both teabags AfterWet'!$C$3:$C$2000,MATCH(I492,'Both teabags AfterWet'!$A$3:$A$2000,0)),"")</f>
        <v>1.488</v>
      </c>
      <c r="Q492" s="194">
        <f t="shared" si="43"/>
        <v>0.55400000000000005</v>
      </c>
      <c r="R492" s="194">
        <f t="shared" si="43"/>
        <v>1.3373999999999999</v>
      </c>
      <c r="S492" s="194">
        <f t="shared" si="44"/>
        <v>0.68774659001239991</v>
      </c>
      <c r="T492" s="194">
        <f t="shared" si="45"/>
        <v>0.45087424903425749</v>
      </c>
      <c r="U492" s="194">
        <f t="shared" si="46"/>
        <v>0.67572756669361356</v>
      </c>
      <c r="V492">
        <f>IFERROR(IF((N492-G492)&gt;0,(IFERROR(N492-G492,"")),""),"")</f>
        <v>45</v>
      </c>
      <c r="W492" s="194">
        <f t="shared" si="47"/>
        <v>0.18319882421330169</v>
      </c>
      <c r="X492" s="194">
        <f t="shared" si="48"/>
        <v>2.8225369373303947E-2</v>
      </c>
      <c r="Y492" s="252" t="str">
        <f>IF(ISNUMBER(SEARCH("C",'WetLitterbags placem_collection'!$Y199)),"YES","NO")</f>
        <v>NO</v>
      </c>
      <c r="Z492" s="252" t="str">
        <f>IF(ISNUMBER(SEARCH("H", 'WetLitterbags placem_collection'!$Y199)),"YES","NO")</f>
        <v>NO</v>
      </c>
      <c r="AA492" s="252" t="str">
        <f>IF(ISNUMBER(SEARCH("R", 'WetLitterbags placem_collection'!$Y199)),"YES","NO")</f>
        <v>YES</v>
      </c>
      <c r="AB492" s="252" t="str">
        <f>IF(ISNUMBER(SEARCH("C", 'WetLitterbags placem_collection'!$W199)),"YES","NO")</f>
        <v>YES</v>
      </c>
      <c r="AC492" s="252" t="str">
        <f>IF(ISNUMBER(SEARCH("H", 'WetLitterbags placem_collection'!$W199)),"YES","NO")</f>
        <v>YES</v>
      </c>
      <c r="AD492" s="252" t="str">
        <f>IF(ISNUMBER(SEARCH("R", 'WetLitterbags placem_collection'!$W199)),"YES","NO")</f>
        <v>YES</v>
      </c>
    </row>
    <row r="493" spans="2:30">
      <c r="B493" t="str">
        <f>'Final data_for_R_analysis_Wetse'!A639</f>
        <v>Wet</v>
      </c>
      <c r="C493" s="260">
        <f>'Final data_for_R_analysis_Wetse'!B639</f>
        <v>198</v>
      </c>
      <c r="D493" t="s">
        <v>2434</v>
      </c>
      <c r="E493" t="s">
        <v>25</v>
      </c>
      <c r="F493" s="382">
        <v>2</v>
      </c>
      <c r="G493" s="16">
        <f>'WetLitterbags placem_collection'!E200</f>
        <v>42769</v>
      </c>
      <c r="H493" s="92" t="str">
        <f>'Final data_for_R_analysis_Wetse'!K639</f>
        <v>G462</v>
      </c>
      <c r="I493" t="str">
        <f>'Final data_for_R_analysis_Wetse'!K859</f>
        <v>R168</v>
      </c>
      <c r="J493">
        <f>IFERROR(INDEX('Green_rooibos initial weight'!$C$5:$C$2000,MATCH(H493, 'Green_rooibos initial weight'!$A$5:$A$2000,0)),"")</f>
        <v>2.169</v>
      </c>
      <c r="K493">
        <f>IFERROR(INDEX('Green_rooibos initial weight'!$C$5:$C$2000,MATCH(I493, 'Green_rooibos initial weight'!$A$5:$A$2000,0)),"")</f>
        <v>2.1459999999999999</v>
      </c>
      <c r="L493" s="194">
        <f t="shared" si="42"/>
        <v>1.9192</v>
      </c>
      <c r="M493" s="194">
        <f>IF(K493&gt;0,(K493*$F$32-($F$29+$F$30)),"")</f>
        <v>1.8961999999999999</v>
      </c>
      <c r="N493" s="16">
        <f>IF('WetLitterbags placem_collection'!G200="","",'WetLitterbags placem_collection'!G200)</f>
        <v>42813</v>
      </c>
      <c r="O493" s="194">
        <f>IFERROR(INDEX('Both teabags AfterWet'!$C$3:$C$2000,MATCH(H493,'Both teabags AfterWet'!$A$3:$A$2000,0)),"")</f>
        <v>0.71250000000000002</v>
      </c>
      <c r="P493" s="194">
        <f>IFERROR(INDEX('Both teabags AfterWet'!$C$3:$C$2000,MATCH(I493,'Both teabags AfterWet'!$A$3:$A$2000,0)),"")</f>
        <v>1.5734999999999999</v>
      </c>
      <c r="Q493" s="194">
        <f t="shared" si="43"/>
        <v>0.56190000000000007</v>
      </c>
      <c r="R493" s="194">
        <f t="shared" si="43"/>
        <v>1.4228999999999998</v>
      </c>
      <c r="S493" s="194">
        <f t="shared" si="44"/>
        <v>0.7072217590662776</v>
      </c>
      <c r="T493" s="194">
        <f t="shared" si="45"/>
        <v>0.46364181829523193</v>
      </c>
      <c r="U493" s="194">
        <f t="shared" si="46"/>
        <v>0.75039552789790098</v>
      </c>
      <c r="V493">
        <f>IFERROR(IF((N493-G493)&gt;0,(IFERROR(N493-G493,"")),""),"")</f>
        <v>44</v>
      </c>
      <c r="W493" s="194">
        <f t="shared" si="47"/>
        <v>0.16006916975501473</v>
      </c>
      <c r="X493" s="194">
        <f t="shared" si="48"/>
        <v>1.7567313547233277E-2</v>
      </c>
      <c r="Y493" s="252" t="str">
        <f>IF(ISNUMBER(SEARCH("C",'WetLitterbags placem_collection'!$Y200)),"YES","NO")</f>
        <v>NO</v>
      </c>
      <c r="Z493" s="252" t="str">
        <f>IF(ISNUMBER(SEARCH("H", 'WetLitterbags placem_collection'!$Y200)),"YES","NO")</f>
        <v>NO</v>
      </c>
      <c r="AA493" s="252" t="str">
        <f>IF(ISNUMBER(SEARCH("R", 'WetLitterbags placem_collection'!$Y200)),"YES","NO")</f>
        <v>YES</v>
      </c>
      <c r="AB493" s="252" t="str">
        <f>IF(ISNUMBER(SEARCH("C", 'WetLitterbags placem_collection'!$W200)),"YES","NO")</f>
        <v>NO</v>
      </c>
      <c r="AC493" s="252" t="str">
        <f>IF(ISNUMBER(SEARCH("H", 'WetLitterbags placem_collection'!$W200)),"YES","NO")</f>
        <v>NO</v>
      </c>
      <c r="AD493" s="252" t="str">
        <f>IF(ISNUMBER(SEARCH("R", 'WetLitterbags placem_collection'!$W200)),"YES","NO")</f>
        <v>NO</v>
      </c>
    </row>
    <row r="494" spans="2:30">
      <c r="B494" t="str">
        <f>'Final data_for_R_analysis_Wetse'!A640</f>
        <v>Wet</v>
      </c>
      <c r="C494" s="260">
        <f>'Final data_for_R_analysis_Wetse'!B640</f>
        <v>199</v>
      </c>
      <c r="D494" t="s">
        <v>2418</v>
      </c>
      <c r="E494" t="s">
        <v>25</v>
      </c>
      <c r="F494" s="382">
        <v>3</v>
      </c>
      <c r="G494" s="16">
        <f>'WetLitterbags placem_collection'!E201</f>
        <v>42769</v>
      </c>
      <c r="H494" s="92" t="str">
        <f>'Final data_for_R_analysis_Wetse'!K640</f>
        <v>G712</v>
      </c>
      <c r="I494" t="str">
        <f>'Final data_for_R_analysis_Wetse'!K860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42"/>
        <v>1.8132000000000001</v>
      </c>
      <c r="M494" s="194">
        <f>IF(K494&gt;0,(K494*$F$32-($F$29+$F$30)),"")</f>
        <v>1.9902000000000002</v>
      </c>
      <c r="N494" s="16">
        <f>IF('WetLitterbags placem_collection'!G201="","",'WetLitterbags placem_collection'!G201)</f>
        <v>42814</v>
      </c>
      <c r="O494" s="194">
        <f>IFERROR(INDEX('Both teabags AfterWet'!$C$3:$C$2000,MATCH(H494,'Both teabags AfterWet'!$A$3:$A$2000,0)),"")</f>
        <v>0.65500000000000003</v>
      </c>
      <c r="P494" s="194">
        <f>IFERROR(INDEX('Both teabags AfterWet'!$C$3:$C$2000,MATCH(I494,'Both teabags AfterWet'!$A$3:$A$2000,0)),"")</f>
        <v>1.667</v>
      </c>
      <c r="Q494" s="194">
        <f t="shared" si="43"/>
        <v>0.50439999999999996</v>
      </c>
      <c r="R494" s="194">
        <f t="shared" si="43"/>
        <v>1.5164</v>
      </c>
      <c r="S494" s="194">
        <f t="shared" si="44"/>
        <v>0.72181778071917058</v>
      </c>
      <c r="T494" s="194">
        <f t="shared" si="45"/>
        <v>0.47321070659974135</v>
      </c>
      <c r="U494" s="194">
        <f t="shared" si="46"/>
        <v>0.76193347402271117</v>
      </c>
      <c r="V494">
        <f>IFERROR(IF((N494-G494)&gt;0,(IFERROR(N494-G494,"")),""),"")</f>
        <v>45</v>
      </c>
      <c r="W494" s="194">
        <f t="shared" si="47"/>
        <v>0.14273422717438167</v>
      </c>
      <c r="X494" s="194">
        <f t="shared" si="48"/>
        <v>1.5540931049473119E-2</v>
      </c>
      <c r="Y494" s="252" t="str">
        <f>IF(ISNUMBER(SEARCH("C",'WetLitterbags placem_collection'!$Y201)),"YES","NO")</f>
        <v>NO</v>
      </c>
      <c r="Z494" s="252" t="str">
        <f>IF(ISNUMBER(SEARCH("H", 'WetLitterbags placem_collection'!$Y201)),"YES","NO")</f>
        <v>NO</v>
      </c>
      <c r="AA494" s="252" t="str">
        <f>IF(ISNUMBER(SEARCH("R", 'WetLitterbags placem_collection'!$Y201)),"YES","NO")</f>
        <v>YES</v>
      </c>
      <c r="AB494" s="252" t="str">
        <f>IF(ISNUMBER(SEARCH("C", 'WetLitterbags placem_collection'!$W201)),"YES","NO")</f>
        <v>NO</v>
      </c>
      <c r="AC494" s="252" t="str">
        <f>IF(ISNUMBER(SEARCH("H", 'WetLitterbags placem_collection'!$W201)),"YES","NO")</f>
        <v>NO</v>
      </c>
      <c r="AD494" s="252" t="str">
        <f>IF(ISNUMBER(SEARCH("R", 'WetLitterbags placem_collection'!$W201)),"YES","NO")</f>
        <v>YES</v>
      </c>
    </row>
    <row r="495" spans="2:30">
      <c r="B495" t="str">
        <f>'Final data_for_R_analysis_Wetse'!A641</f>
        <v>Wet</v>
      </c>
      <c r="C495" s="260">
        <f>'Final data_for_R_analysis_Wetse'!B641</f>
        <v>200</v>
      </c>
      <c r="D495" t="s">
        <v>2441</v>
      </c>
      <c r="E495" t="s">
        <v>25</v>
      </c>
      <c r="F495" s="382">
        <v>4</v>
      </c>
      <c r="G495" s="16">
        <f>'WetLitterbags placem_collection'!E202</f>
        <v>42769</v>
      </c>
      <c r="H495" s="92" t="str">
        <f>'Final data_for_R_analysis_Wetse'!K641</f>
        <v>G709</v>
      </c>
      <c r="I495" t="str">
        <f>'Final data_for_R_analysis_Wetse'!K861</f>
        <v>R359</v>
      </c>
      <c r="J495">
        <f>IFERROR(INDEX('Green_rooibos initial weight'!$C$5:$C$2000,MATCH(H495, 'Green_rooibos initial weight'!$A$5:$A$2000,0)),"")</f>
        <v>1.9670000000000001</v>
      </c>
      <c r="K495">
        <f>IFERROR(INDEX('Green_rooibos initial weight'!$C$5:$C$2000,MATCH(I495, 'Green_rooibos initial weight'!$A$5:$A$2000,0)),"")</f>
        <v>2.198</v>
      </c>
      <c r="L495" s="194">
        <f t="shared" si="42"/>
        <v>1.7172000000000001</v>
      </c>
      <c r="M495" s="194">
        <f>IF(K495&gt;0,(K495*$F$32-($F$29+$F$30)),"")</f>
        <v>1.9481999999999999</v>
      </c>
      <c r="N495" s="16">
        <f>IF('WetLitterbags placem_collection'!G202="","",'WetLitterbags placem_collection'!G202)</f>
        <v>42813</v>
      </c>
      <c r="O495" s="194">
        <f>IFERROR(INDEX('Both teabags AfterWet'!$C$3:$C$2000,MATCH(H495,'Both teabags AfterWet'!$A$3:$A$2000,0)),"")</f>
        <v>0.56469999999999998</v>
      </c>
      <c r="P495" s="194">
        <f>IFERROR(INDEX('Both teabags AfterWet'!$C$3:$C$2000,MATCH(I495,'Both teabags AfterWet'!$A$3:$A$2000,0)),"")</f>
        <v>1.4882</v>
      </c>
      <c r="Q495" s="194">
        <f t="shared" si="43"/>
        <v>0.41409999999999997</v>
      </c>
      <c r="R495" s="194">
        <f t="shared" si="43"/>
        <v>1.3375999999999999</v>
      </c>
      <c r="S495" s="194">
        <f t="shared" si="44"/>
        <v>0.75885161891451203</v>
      </c>
      <c r="T495" s="194">
        <f t="shared" si="45"/>
        <v>0.4974894223762597</v>
      </c>
      <c r="U495" s="194">
        <f t="shared" si="46"/>
        <v>0.68658248639770036</v>
      </c>
      <c r="V495">
        <f>IFERROR(IF((N495-G495)&gt;0,(IFERROR(N495-G495,"")),""),"")</f>
        <v>44</v>
      </c>
      <c r="W495" s="194">
        <f t="shared" si="47"/>
        <v>9.8751046419819466E-2</v>
      </c>
      <c r="X495" s="194">
        <f t="shared" si="48"/>
        <v>2.2596541022727651E-2</v>
      </c>
      <c r="Y495" s="252" t="str">
        <f>IF(ISNUMBER(SEARCH("C",'WetLitterbags placem_collection'!$Y202)),"YES","NO")</f>
        <v>NO</v>
      </c>
      <c r="Z495" s="252" t="str">
        <f>IF(ISNUMBER(SEARCH("H", 'WetLitterbags placem_collection'!$Y202)),"YES","NO")</f>
        <v>NO</v>
      </c>
      <c r="AA495" s="252" t="str">
        <f>IF(ISNUMBER(SEARCH("R", 'WetLitterbags placem_collection'!$Y202)),"YES","NO")</f>
        <v>YES</v>
      </c>
      <c r="AB495" s="252" t="str">
        <f>IF(ISNUMBER(SEARCH("C", 'WetLitterbags placem_collection'!$W202)),"YES","NO")</f>
        <v>NO</v>
      </c>
      <c r="AC495" s="252" t="str">
        <f>IF(ISNUMBER(SEARCH("H", 'WetLitterbags placem_collection'!$W202)),"YES","NO")</f>
        <v>NO</v>
      </c>
      <c r="AD495" s="252" t="str">
        <f>IF(ISNUMBER(SEARCH("R", 'WetLitterbags placem_collection'!$W202)),"YES","NO")</f>
        <v>YES</v>
      </c>
    </row>
    <row r="496" spans="2:30">
      <c r="B496" t="str">
        <f>'Final data_for_R_analysis_Wetse'!A642</f>
        <v>Wet</v>
      </c>
      <c r="C496" s="260">
        <f>'Final data_for_R_analysis_Wetse'!B642</f>
        <v>201</v>
      </c>
      <c r="D496" t="s">
        <v>2442</v>
      </c>
      <c r="E496" t="s">
        <v>25</v>
      </c>
      <c r="F496" s="382">
        <v>1</v>
      </c>
      <c r="G496" s="16">
        <f>'WetLitterbags placem_collection'!E203</f>
        <v>42769</v>
      </c>
      <c r="H496" s="92" t="str">
        <f>'Final data_for_R_analysis_Wetse'!K642</f>
        <v>G707</v>
      </c>
      <c r="I496" t="str">
        <f>'Final data_for_R_analysis_Wetse'!K862</f>
        <v>R395</v>
      </c>
      <c r="J496">
        <f>IFERROR(INDEX('Green_rooibos initial weight'!$C$5:$C$2000,MATCH(H496, 'Green_rooibos initial weight'!$A$5:$A$2000,0)),"")</f>
        <v>2.008</v>
      </c>
      <c r="K496">
        <f>IFERROR(INDEX('Green_rooibos initial weight'!$C$5:$C$2000,MATCH(I496, 'Green_rooibos initial weight'!$A$5:$A$2000,0)),"")</f>
        <v>2.1280000000000001</v>
      </c>
      <c r="L496" s="194">
        <f t="shared" si="42"/>
        <v>1.7582</v>
      </c>
      <c r="M496" s="194">
        <f>IF(K496&gt;0,(K496*$F$32-($F$29+$F$30)),"")</f>
        <v>1.8782000000000001</v>
      </c>
      <c r="N496" s="16">
        <f>IF('WetLitterbags placem_collection'!G203="","",'WetLitterbags placem_collection'!G203)</f>
        <v>42813</v>
      </c>
      <c r="O496" s="194">
        <f>IFERROR(INDEX('Both teabags AfterWet'!$C$3:$C$2000,MATCH(H496,'Both teabags AfterWet'!$A$3:$A$2000,0)),"")</f>
        <v>0.63959999999999995</v>
      </c>
      <c r="P496" s="194">
        <f>IFERROR(INDEX('Both teabags AfterWet'!$C$3:$C$2000,MATCH(I496,'Both teabags AfterWet'!$A$3:$A$2000,0)),"")</f>
        <v>1.5786</v>
      </c>
      <c r="Q496" s="194">
        <f t="shared" si="43"/>
        <v>0.48899999999999993</v>
      </c>
      <c r="R496" s="194">
        <f t="shared" si="43"/>
        <v>1.4279999999999999</v>
      </c>
      <c r="S496" s="194">
        <f t="shared" si="44"/>
        <v>0.72187464452280747</v>
      </c>
      <c r="T496" s="194">
        <f t="shared" si="45"/>
        <v>0.47324798548288571</v>
      </c>
      <c r="U496" s="194">
        <f t="shared" si="46"/>
        <v>0.76030241720796499</v>
      </c>
      <c r="V496">
        <f>IFERROR(IF((N496-G496)&gt;0,(IFERROR(N496-G496,"")),""),"")</f>
        <v>44</v>
      </c>
      <c r="W496" s="194">
        <f t="shared" si="47"/>
        <v>0.14266669296578682</v>
      </c>
      <c r="X496" s="194">
        <f t="shared" si="48"/>
        <v>1.6050491412394646E-2</v>
      </c>
      <c r="Y496" s="252" t="str">
        <f>IF(ISNUMBER(SEARCH("C",'WetLitterbags placem_collection'!$Y203)),"YES","NO")</f>
        <v>NO</v>
      </c>
      <c r="Z496" s="252" t="str">
        <f>IF(ISNUMBER(SEARCH("H", 'WetLitterbags placem_collection'!$Y203)),"YES","NO")</f>
        <v>NO</v>
      </c>
      <c r="AA496" s="252" t="str">
        <f>IF(ISNUMBER(SEARCH("R", 'WetLitterbags placem_collection'!$Y203)),"YES","NO")</f>
        <v>NO</v>
      </c>
      <c r="AB496" s="252" t="str">
        <f>IF(ISNUMBER(SEARCH("C", 'WetLitterbags placem_collection'!$W203)),"YES","NO")</f>
        <v>NO</v>
      </c>
      <c r="AC496" s="252" t="str">
        <f>IF(ISNUMBER(SEARCH("H", 'WetLitterbags placem_collection'!$W203)),"YES","NO")</f>
        <v>NO</v>
      </c>
      <c r="AD496" s="252" t="str">
        <f>IF(ISNUMBER(SEARCH("R", 'WetLitterbags placem_collection'!$W203)),"YES","NO")</f>
        <v>YES</v>
      </c>
    </row>
    <row r="497" spans="2:30">
      <c r="B497" t="str">
        <f>'Final data_for_R_analysis_Wetse'!A643</f>
        <v>Wet</v>
      </c>
      <c r="C497" s="260">
        <f>'Final data_for_R_analysis_Wetse'!B643</f>
        <v>202</v>
      </c>
      <c r="D497" t="s">
        <v>2419</v>
      </c>
      <c r="E497" t="s">
        <v>25</v>
      </c>
      <c r="F497" s="382">
        <v>2</v>
      </c>
      <c r="G497" s="16">
        <f>'WetLitterbags placem_collection'!E204</f>
        <v>42769</v>
      </c>
      <c r="H497" s="92" t="str">
        <f>'Final data_for_R_analysis_Wetse'!K643</f>
        <v>G770</v>
      </c>
      <c r="I497" t="str">
        <f>'Final data_for_R_analysis_Wetse'!K863</f>
        <v>R182</v>
      </c>
      <c r="J497">
        <f>IFERROR(INDEX('Green_rooibos initial weight'!$C$5:$C$2000,MATCH(H497, 'Green_rooibos initial weight'!$A$5:$A$2000,0)),"")</f>
        <v>1.958</v>
      </c>
      <c r="K497">
        <f>IFERROR(INDEX('Green_rooibos initial weight'!$C$5:$C$2000,MATCH(I497, 'Green_rooibos initial weight'!$A$5:$A$2000,0)),"")</f>
        <v>2.161</v>
      </c>
      <c r="L497" s="194">
        <f t="shared" si="42"/>
        <v>1.7081999999999999</v>
      </c>
      <c r="M497" s="194">
        <f>IF(K497&gt;0,(K497*$F$32-($F$29+$F$30)),"")</f>
        <v>1.9112</v>
      </c>
      <c r="N497" s="16">
        <f>IF('WetLitterbags placem_collection'!G204="","",'WetLitterbags placem_collection'!G204)</f>
        <v>42814</v>
      </c>
      <c r="O497" s="194">
        <f>IFERROR(INDEX('Both teabags AfterWet'!$C$3:$C$2000,MATCH(H497,'Both teabags AfterWet'!$A$3:$A$2000,0)),"")</f>
        <v>0.98199999999999998</v>
      </c>
      <c r="P497" s="194">
        <f>IFERROR(INDEX('Both teabags AfterWet'!$C$3:$C$2000,MATCH(I497,'Both teabags AfterWet'!$A$3:$A$2000,0)),"")</f>
        <v>1.679</v>
      </c>
      <c r="Q497" s="194">
        <f t="shared" si="43"/>
        <v>0.83139999999999992</v>
      </c>
      <c r="R497" s="194">
        <f t="shared" si="43"/>
        <v>1.5284</v>
      </c>
      <c r="S497" s="194">
        <f t="shared" si="44"/>
        <v>0.51328884205596537</v>
      </c>
      <c r="T497" s="194">
        <f t="shared" si="45"/>
        <v>0.33650289883003914</v>
      </c>
      <c r="U497" s="194">
        <f t="shared" si="46"/>
        <v>0.79970699037254078</v>
      </c>
      <c r="V497">
        <f>IFERROR(IF((N497-G497)&gt;0,(IFERROR(N497-G497,"")),""),"")</f>
        <v>45</v>
      </c>
      <c r="W497" s="194">
        <f t="shared" si="47"/>
        <v>0.39039329922094368</v>
      </c>
      <c r="X497" s="194">
        <f t="shared" si="48"/>
        <v>2.0097994770457112E-2</v>
      </c>
      <c r="Y497" s="252" t="str">
        <f>IF(ISNUMBER(SEARCH("C",'WetLitterbags placem_collection'!$Y204)),"YES","NO")</f>
        <v>NO</v>
      </c>
      <c r="Z497" s="252" t="str">
        <f>IF(ISNUMBER(SEARCH("H", 'WetLitterbags placem_collection'!$Y204)),"YES","NO")</f>
        <v>NO</v>
      </c>
      <c r="AA497" s="252" t="str">
        <f>IF(ISNUMBER(SEARCH("R", 'WetLitterbags placem_collection'!$Y204)),"YES","NO")</f>
        <v>NO</v>
      </c>
      <c r="AB497" s="252" t="str">
        <f>IF(ISNUMBER(SEARCH("C", 'WetLitterbags placem_collection'!$W204)),"YES","NO")</f>
        <v>NO</v>
      </c>
      <c r="AC497" s="252" t="str">
        <f>IF(ISNUMBER(SEARCH("H", 'WetLitterbags placem_collection'!$W204)),"YES","NO")</f>
        <v>NO</v>
      </c>
      <c r="AD497" s="252" t="str">
        <f>IF(ISNUMBER(SEARCH("R", 'WetLitterbags placem_collection'!$W204)),"YES","NO")</f>
        <v>YES</v>
      </c>
    </row>
    <row r="498" spans="2:30">
      <c r="B498" t="str">
        <f>'Final data_for_R_analysis_Wetse'!A644</f>
        <v>Wet</v>
      </c>
      <c r="C498" s="260">
        <f>'Final data_for_R_analysis_Wetse'!B644</f>
        <v>203</v>
      </c>
      <c r="D498" t="s">
        <v>2428</v>
      </c>
      <c r="E498" t="s">
        <v>25</v>
      </c>
      <c r="F498" s="382">
        <v>3</v>
      </c>
      <c r="G498" s="16">
        <f>'WetLitterbags placem_collection'!E205</f>
        <v>42769</v>
      </c>
      <c r="H498" s="92" t="str">
        <f>'Final data_for_R_analysis_Wetse'!K644</f>
        <v>G753</v>
      </c>
      <c r="I498" t="str">
        <f>'Final data_for_R_analysis_Wetse'!K864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42"/>
        <v>1.8151999999999999</v>
      </c>
      <c r="M498" s="194">
        <f>IF(K498&gt;0,(K498*$F$32-($F$29+$F$30)),"")</f>
        <v>1.9952000000000001</v>
      </c>
      <c r="N498" s="16">
        <f>IF('WetLitterbags placem_collection'!G205="","",'WetLitterbags placem_collection'!G205)</f>
        <v>42814</v>
      </c>
      <c r="O498" s="194">
        <f>IFERROR(INDEX('Both teabags AfterWet'!$C$3:$C$2000,MATCH(H498,'Both teabags AfterWet'!$A$3:$A$2000,0)),"")</f>
        <v>0.7681</v>
      </c>
      <c r="P498" s="194">
        <f>IFERROR(INDEX('Both teabags AfterWet'!$C$3:$C$2000,MATCH(I498,'Both teabags AfterWet'!$A$3:$A$2000,0)),"")</f>
        <v>1.5906</v>
      </c>
      <c r="Q498" s="194">
        <f t="shared" si="43"/>
        <v>0.61749999999999994</v>
      </c>
      <c r="R498" s="194">
        <f t="shared" si="43"/>
        <v>1.44</v>
      </c>
      <c r="S498" s="194">
        <f t="shared" si="44"/>
        <v>0.65981710004407224</v>
      </c>
      <c r="T498" s="194">
        <f t="shared" si="45"/>
        <v>0.43256417960133958</v>
      </c>
      <c r="U498" s="194">
        <f t="shared" si="46"/>
        <v>0.72173215717722528</v>
      </c>
      <c r="V498">
        <f>IFERROR(IF((N498-G498)&gt;0,(IFERROR(N498-G498,"")),""),"")</f>
        <v>45</v>
      </c>
      <c r="W498" s="194">
        <f t="shared" si="47"/>
        <v>0.21636923985264578</v>
      </c>
      <c r="X498" s="194">
        <f t="shared" si="48"/>
        <v>2.2907904207135611E-2</v>
      </c>
      <c r="Y498" s="252" t="str">
        <f>IF(ISNUMBER(SEARCH("C",'WetLitterbags placem_collection'!$Y205)),"YES","NO")</f>
        <v>NO</v>
      </c>
      <c r="Z498" s="252" t="str">
        <f>IF(ISNUMBER(SEARCH("H", 'WetLitterbags placem_collection'!$Y205)),"YES","NO")</f>
        <v>NO</v>
      </c>
      <c r="AA498" s="252" t="str">
        <f>IF(ISNUMBER(SEARCH("R", 'WetLitterbags placem_collection'!$Y205)),"YES","NO")</f>
        <v>NO</v>
      </c>
      <c r="AB498" s="252" t="str">
        <f>IF(ISNUMBER(SEARCH("C", 'WetLitterbags placem_collection'!$W205)),"YES","NO")</f>
        <v>NO</v>
      </c>
      <c r="AC498" s="252" t="str">
        <f>IF(ISNUMBER(SEARCH("H", 'WetLitterbags placem_collection'!$W205)),"YES","NO")</f>
        <v>YES</v>
      </c>
      <c r="AD498" s="252" t="str">
        <f>IF(ISNUMBER(SEARCH("R", 'WetLitterbags placem_collection'!$W205)),"YES","NO")</f>
        <v>NO</v>
      </c>
    </row>
    <row r="499" spans="2:30">
      <c r="B499" t="str">
        <f>'Final data_for_R_analysis_Wetse'!A645</f>
        <v>Wet</v>
      </c>
      <c r="C499" s="260">
        <f>'Final data_for_R_analysis_Wetse'!B645</f>
        <v>204</v>
      </c>
      <c r="D499" t="s">
        <v>2435</v>
      </c>
      <c r="E499" t="s">
        <v>25</v>
      </c>
      <c r="F499" s="382">
        <v>4</v>
      </c>
      <c r="G499" s="16">
        <f>'WetLitterbags placem_collection'!E206</f>
        <v>42769</v>
      </c>
      <c r="H499" s="92" t="str">
        <f>'Final data_for_R_analysis_Wetse'!K645</f>
        <v>G640</v>
      </c>
      <c r="I499" t="str">
        <f>'Final data_for_R_analysis_Wetse'!K865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42"/>
        <v>1.8142</v>
      </c>
      <c r="M499" s="194">
        <f>IF(K499&gt;0,(K499*$F$32-($F$29+$F$30)),"")</f>
        <v>2.0331999999999999</v>
      </c>
      <c r="N499" s="16">
        <f>IF('WetLitterbags placem_collection'!G206="","",'WetLitterbags placem_collection'!G206)</f>
        <v>42813</v>
      </c>
      <c r="O499" s="194">
        <f>IFERROR(INDEX('Both teabags AfterWet'!$C$3:$C$2000,MATCH(H499,'Both teabags AfterWet'!$A$3:$A$2000,0)),"")</f>
        <v>0.72450000000000003</v>
      </c>
      <c r="P499" s="194">
        <f>IFERROR(INDEX('Both teabags AfterWet'!$C$3:$C$2000,MATCH(I499,'Both teabags AfterWet'!$A$3:$A$2000,0)),"")</f>
        <v>1.6255999999999999</v>
      </c>
      <c r="Q499" s="194">
        <f t="shared" si="43"/>
        <v>0.57390000000000008</v>
      </c>
      <c r="R499" s="194">
        <f t="shared" si="43"/>
        <v>1.4749999999999999</v>
      </c>
      <c r="S499" s="194">
        <f t="shared" si="44"/>
        <v>0.68366222026237455</v>
      </c>
      <c r="T499" s="194">
        <f t="shared" si="45"/>
        <v>0.44819660995823135</v>
      </c>
      <c r="U499" s="194">
        <f t="shared" si="46"/>
        <v>0.72545740704308481</v>
      </c>
      <c r="V499">
        <f>IFERROR(IF((N499-G499)&gt;0,(IFERROR(N499-G499,"")),""),"")</f>
        <v>44</v>
      </c>
      <c r="W499" s="194">
        <f t="shared" si="47"/>
        <v>0.18804961964088529</v>
      </c>
      <c r="X499" s="194">
        <f t="shared" si="48"/>
        <v>2.1549251954294885E-2</v>
      </c>
      <c r="Y499" s="252" t="str">
        <f>IF(ISNUMBER(SEARCH("C",'WetLitterbags placem_collection'!$Y206)),"YES","NO")</f>
        <v>NO</v>
      </c>
      <c r="Z499" s="252" t="str">
        <f>IF(ISNUMBER(SEARCH("H", 'WetLitterbags placem_collection'!$Y206)),"YES","NO")</f>
        <v>NO</v>
      </c>
      <c r="AA499" s="252" t="str">
        <f>IF(ISNUMBER(SEARCH("R", 'WetLitterbags placem_collection'!$Y206)),"YES","NO")</f>
        <v>NO</v>
      </c>
      <c r="AB499" s="252" t="str">
        <f>IF(ISNUMBER(SEARCH("C", 'WetLitterbags placem_collection'!$W206)),"YES","NO")</f>
        <v>NO</v>
      </c>
      <c r="AC499" s="252" t="str">
        <f>IF(ISNUMBER(SEARCH("H", 'WetLitterbags placem_collection'!$W206)),"YES","NO")</f>
        <v>NO</v>
      </c>
      <c r="AD499" s="252" t="str">
        <f>IF(ISNUMBER(SEARCH("R", 'WetLitterbags placem_collection'!$W206)),"YES","NO")</f>
        <v>YES</v>
      </c>
    </row>
    <row r="500" spans="2:30">
      <c r="B500" t="str">
        <f>'Final data_for_R_analysis_Wetse'!A646</f>
        <v>Wet</v>
      </c>
      <c r="C500" s="260">
        <f>'Final data_for_R_analysis_Wetse'!B646</f>
        <v>205</v>
      </c>
      <c r="D500" t="s">
        <v>2429</v>
      </c>
      <c r="E500" t="s">
        <v>25</v>
      </c>
      <c r="F500" s="382">
        <v>1</v>
      </c>
      <c r="G500" s="16">
        <f>'WetLitterbags placem_collection'!E207</f>
        <v>42769</v>
      </c>
      <c r="H500" s="92" t="str">
        <f>'Final data_for_R_analysis_Wetse'!K646</f>
        <v>G668</v>
      </c>
      <c r="I500" t="str">
        <f>'Final data_for_R_analysis_Wetse'!K866</f>
        <v>R92</v>
      </c>
      <c r="J500">
        <f>IFERROR(INDEX('Green_rooibos initial weight'!$C$5:$C$2000,MATCH(H500, 'Green_rooibos initial weight'!$A$5:$A$2000,0)),"")</f>
        <v>2.0299999999999998</v>
      </c>
      <c r="K500">
        <f>IFERROR(INDEX('Green_rooibos initial weight'!$C$5:$C$2000,MATCH(I500, 'Green_rooibos initial weight'!$A$5:$A$2000,0)),"")</f>
        <v>2.246</v>
      </c>
      <c r="L500" s="194">
        <f t="shared" si="42"/>
        <v>1.7801999999999998</v>
      </c>
      <c r="M500" s="194">
        <f>IF(K500&gt;0,(K500*$F$32-($F$29+$F$30)),"")</f>
        <v>1.9962</v>
      </c>
      <c r="N500" s="16">
        <f>IF('WetLitterbags placem_collection'!G207="","",'WetLitterbags placem_collection'!G207)</f>
        <v>42814</v>
      </c>
      <c r="O500" s="194">
        <f>IFERROR(INDEX('Both teabags AfterWet'!$C$3:$C$2000,MATCH(H500,'Both teabags AfterWet'!$A$3:$A$2000,0)),"")</f>
        <v>0.71</v>
      </c>
      <c r="P500" s="194">
        <f>IFERROR(INDEX('Both teabags AfterWet'!$C$3:$C$2000,MATCH(I500,'Both teabags AfterWet'!$A$3:$A$2000,0)),"")</f>
        <v>1.7204999999999999</v>
      </c>
      <c r="Q500" s="194">
        <f t="shared" si="43"/>
        <v>0.5593999999999999</v>
      </c>
      <c r="R500" s="194">
        <f t="shared" si="43"/>
        <v>1.5698999999999999</v>
      </c>
      <c r="S500" s="194">
        <f t="shared" si="44"/>
        <v>0.68576564430962816</v>
      </c>
      <c r="T500" s="194">
        <f t="shared" si="45"/>
        <v>0.44957557679206034</v>
      </c>
      <c r="U500" s="194">
        <f t="shared" si="46"/>
        <v>0.78644424406372104</v>
      </c>
      <c r="V500">
        <f>IFERROR(IF((N500-G500)&gt;0,(IFERROR(N500-G500,"")),""),"")</f>
        <v>45</v>
      </c>
      <c r="W500" s="194">
        <f t="shared" si="47"/>
        <v>0.18555149131873139</v>
      </c>
      <c r="X500" s="194">
        <f t="shared" si="48"/>
        <v>1.431973748547335E-2</v>
      </c>
      <c r="Y500" s="252" t="str">
        <f>IF(ISNUMBER(SEARCH("C",'WetLitterbags placem_collection'!$Y207)),"YES","NO")</f>
        <v>NO</v>
      </c>
      <c r="Z500" s="252" t="str">
        <f>IF(ISNUMBER(SEARCH("H", 'WetLitterbags placem_collection'!$Y207)),"YES","NO")</f>
        <v>NO</v>
      </c>
      <c r="AA500" s="252" t="str">
        <f>IF(ISNUMBER(SEARCH("R", 'WetLitterbags placem_collection'!$Y207)),"YES","NO")</f>
        <v>NO</v>
      </c>
      <c r="AB500" s="252" t="str">
        <f>IF(ISNUMBER(SEARCH("C", 'WetLitterbags placem_collection'!$W207)),"YES","NO")</f>
        <v>NO</v>
      </c>
      <c r="AC500" s="252" t="str">
        <f>IF(ISNUMBER(SEARCH("H", 'WetLitterbags placem_collection'!$W207)),"YES","NO")</f>
        <v>NO</v>
      </c>
      <c r="AD500" s="252" t="str">
        <f>IF(ISNUMBER(SEARCH("R", 'WetLitterbags placem_collection'!$W207)),"YES","NO")</f>
        <v>YES</v>
      </c>
    </row>
    <row r="501" spans="2:30">
      <c r="B501" t="str">
        <f>'Final data_for_R_analysis_Wetse'!A647</f>
        <v>Wet</v>
      </c>
      <c r="C501" s="260">
        <f>'Final data_for_R_analysis_Wetse'!B647</f>
        <v>206</v>
      </c>
      <c r="D501" t="s">
        <v>2420</v>
      </c>
      <c r="E501" t="s">
        <v>25</v>
      </c>
      <c r="F501" s="382">
        <v>2</v>
      </c>
      <c r="G501" s="16">
        <f>'WetLitterbags placem_collection'!E208</f>
        <v>42769</v>
      </c>
      <c r="H501" s="92" t="str">
        <f>'Final data_for_R_analysis_Wetse'!K647</f>
        <v>G891</v>
      </c>
      <c r="I501" t="str">
        <f>'Final data_for_R_analysis_Wetse'!K867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42"/>
        <v>1.7671999999999999</v>
      </c>
      <c r="M501" s="194">
        <f>IF(K501&gt;0,(K501*$F$32-($F$29+$F$30)),"")</f>
        <v>2.0051999999999999</v>
      </c>
      <c r="N501" s="16">
        <f>IF('WetLitterbags placem_collection'!G208="","",'WetLitterbags placem_collection'!G208)</f>
        <v>42814</v>
      </c>
      <c r="O501" s="194">
        <f>IFERROR(INDEX('Both teabags AfterWet'!$C$3:$C$2000,MATCH(H501,'Both teabags AfterWet'!$A$3:$A$2000,0)),"")</f>
        <v>0.70199999999999996</v>
      </c>
      <c r="P501" s="194">
        <f>IFERROR(INDEX('Both teabags AfterWet'!$C$3:$C$2000,MATCH(I501,'Both teabags AfterWet'!$A$3:$A$2000,0)),"")</f>
        <v>1.609</v>
      </c>
      <c r="Q501" s="194">
        <f t="shared" si="43"/>
        <v>0.55139999999999989</v>
      </c>
      <c r="R501" s="194">
        <f t="shared" si="43"/>
        <v>1.4583999999999999</v>
      </c>
      <c r="S501" s="194">
        <f t="shared" si="44"/>
        <v>0.6879809868718878</v>
      </c>
      <c r="T501" s="194">
        <f t="shared" si="45"/>
        <v>0.45102791538394549</v>
      </c>
      <c r="U501" s="194">
        <f t="shared" si="46"/>
        <v>0.72730899660881709</v>
      </c>
      <c r="V501">
        <f>IFERROR(IF((N501-G501)&gt;0,(IFERROR(N501-G501,"")),""),"")</f>
        <v>45</v>
      </c>
      <c r="W501" s="194">
        <f t="shared" si="47"/>
        <v>0.18292044314502631</v>
      </c>
      <c r="X501" s="194">
        <f t="shared" si="48"/>
        <v>2.0618993532220718E-2</v>
      </c>
      <c r="Y501" s="252" t="str">
        <f>IF(ISNUMBER(SEARCH("C",'WetLitterbags placem_collection'!$Y208)),"YES","NO")</f>
        <v>NO</v>
      </c>
      <c r="Z501" s="252" t="str">
        <f>IF(ISNUMBER(SEARCH("H", 'WetLitterbags placem_collection'!$Y208)),"YES","NO")</f>
        <v>NO</v>
      </c>
      <c r="AA501" s="252" t="str">
        <f>IF(ISNUMBER(SEARCH("R", 'WetLitterbags placem_collection'!$Y208)),"YES","NO")</f>
        <v>YES</v>
      </c>
      <c r="AB501" s="252" t="str">
        <f>IF(ISNUMBER(SEARCH("C", 'WetLitterbags placem_collection'!$W208)),"YES","NO")</f>
        <v>NO</v>
      </c>
      <c r="AC501" s="252" t="str">
        <f>IF(ISNUMBER(SEARCH("H", 'WetLitterbags placem_collection'!$W208)),"YES","NO")</f>
        <v>NO</v>
      </c>
      <c r="AD501" s="252" t="str">
        <f>IF(ISNUMBER(SEARCH("R", 'WetLitterbags placem_collection'!$W208)),"YES","NO")</f>
        <v>NO</v>
      </c>
    </row>
    <row r="502" spans="2:30">
      <c r="B502" t="str">
        <f>'Final data_for_R_analysis_Wetse'!A648</f>
        <v>Wet</v>
      </c>
      <c r="C502" s="260">
        <f>'Final data_for_R_analysis_Wetse'!B648</f>
        <v>207</v>
      </c>
      <c r="D502" t="s">
        <v>2443</v>
      </c>
      <c r="E502" t="s">
        <v>25</v>
      </c>
      <c r="F502" s="382">
        <v>3</v>
      </c>
      <c r="G502" s="16">
        <f>'WetLitterbags placem_collection'!E209</f>
        <v>42769</v>
      </c>
      <c r="H502" s="92" t="str">
        <f>'Final data_for_R_analysis_Wetse'!K648</f>
        <v>G540</v>
      </c>
      <c r="I502" t="str">
        <f>'Final data_for_R_analysis_Wetse'!K868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42"/>
        <v>1.8332000000000002</v>
      </c>
      <c r="M502" s="194">
        <f>IF(K502&gt;0,(K502*$F$32-($F$29+$F$30)),"")</f>
        <v>1.9902000000000002</v>
      </c>
      <c r="N502" s="16">
        <f>IF('WetLitterbags placem_collection'!G209="","",'WetLitterbags placem_collection'!G209)</f>
        <v>42813</v>
      </c>
      <c r="O502" s="194">
        <f>IFERROR(INDEX('Both teabags AfterWet'!$C$3:$C$2000,MATCH(H502,'Both teabags AfterWet'!$A$3:$A$2000,0)),"")</f>
        <v>0.73299999999999998</v>
      </c>
      <c r="P502" s="194">
        <f>IFERROR(INDEX('Both teabags AfterWet'!$C$3:$C$2000,MATCH(I502,'Both teabags AfterWet'!$A$3:$A$2000,0)),"")</f>
        <v>1.401</v>
      </c>
      <c r="Q502" s="194">
        <f t="shared" si="43"/>
        <v>0.58240000000000003</v>
      </c>
      <c r="R502" s="194">
        <f t="shared" si="43"/>
        <v>1.2504</v>
      </c>
      <c r="S502" s="194">
        <f t="shared" si="44"/>
        <v>0.68230416757582368</v>
      </c>
      <c r="T502" s="194">
        <f t="shared" si="45"/>
        <v>0.44730629513284409</v>
      </c>
      <c r="U502" s="194">
        <f t="shared" si="46"/>
        <v>0.62827856496834478</v>
      </c>
      <c r="V502">
        <f>IFERROR(IF((N502-G502)&gt;0,(IFERROR(N502-G502,"")),""),"")</f>
        <v>44</v>
      </c>
      <c r="W502" s="194">
        <f t="shared" si="47"/>
        <v>0.1896625088173115</v>
      </c>
      <c r="X502" s="194">
        <f t="shared" si="48"/>
        <v>4.0408808728347206E-2</v>
      </c>
      <c r="Y502" s="252" t="str">
        <f>IF(ISNUMBER(SEARCH("C",'WetLitterbags placem_collection'!$Y209)),"YES","NO")</f>
        <v>NO</v>
      </c>
      <c r="Z502" s="252" t="str">
        <f>IF(ISNUMBER(SEARCH("H", 'WetLitterbags placem_collection'!$Y209)),"YES","NO")</f>
        <v>NO</v>
      </c>
      <c r="AA502" s="252" t="str">
        <f>IF(ISNUMBER(SEARCH("R", 'WetLitterbags placem_collection'!$Y209)),"YES","NO")</f>
        <v>NO</v>
      </c>
      <c r="AB502" s="252" t="str">
        <f>IF(ISNUMBER(SEARCH("C", 'WetLitterbags placem_collection'!$W209)),"YES","NO")</f>
        <v>YES</v>
      </c>
      <c r="AC502" s="252" t="str">
        <f>IF(ISNUMBER(SEARCH("H", 'WetLitterbags placem_collection'!$W209)),"YES","NO")</f>
        <v>YES</v>
      </c>
      <c r="AD502" s="252" t="str">
        <f>IF(ISNUMBER(SEARCH("R", 'WetLitterbags placem_collection'!$W209)),"YES","NO")</f>
        <v>NO</v>
      </c>
    </row>
    <row r="503" spans="2:30">
      <c r="B503" t="str">
        <f>'Final data_for_R_analysis_Wetse'!A649</f>
        <v>Wet</v>
      </c>
      <c r="C503" s="260">
        <f>'Final data_for_R_analysis_Wetse'!B649</f>
        <v>208</v>
      </c>
      <c r="D503" t="s">
        <v>2436</v>
      </c>
      <c r="E503" t="s">
        <v>25</v>
      </c>
      <c r="F503" s="382">
        <v>4</v>
      </c>
      <c r="G503" s="16">
        <f>'WetLitterbags placem_collection'!E210</f>
        <v>42769</v>
      </c>
      <c r="H503" s="92" t="str">
        <f>'Final data_for_R_analysis_Wetse'!K649</f>
        <v>G508</v>
      </c>
      <c r="I503" t="str">
        <f>'Final data_for_R_analysis_Wetse'!K869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42"/>
        <v>1.7412000000000001</v>
      </c>
      <c r="M503" s="194">
        <f>IF(K503&gt;0,(K503*$F$32-($F$29+$F$30)),"")</f>
        <v>2.0211999999999999</v>
      </c>
      <c r="N503" s="16">
        <f>IF('WetLitterbags placem_collection'!G210="","",'WetLitterbags placem_collection'!G210)</f>
        <v>42813</v>
      </c>
      <c r="O503" s="194">
        <f>IFERROR(INDEX('Both teabags AfterWet'!$C$3:$C$2000,MATCH(H503,'Both teabags AfterWet'!$A$3:$A$2000,0)),"")</f>
        <v>0.84599999999999997</v>
      </c>
      <c r="P503" s="194">
        <f>IFERROR(INDEX('Both teabags AfterWet'!$C$3:$C$2000,MATCH(I503,'Both teabags AfterWet'!$A$3:$A$2000,0)),"")</f>
        <v>1.611</v>
      </c>
      <c r="Q503" s="194">
        <f t="shared" si="43"/>
        <v>0.69540000000000002</v>
      </c>
      <c r="R503" s="194">
        <f t="shared" si="43"/>
        <v>1.4603999999999999</v>
      </c>
      <c r="S503" s="194">
        <f t="shared" si="44"/>
        <v>0.60062026188835294</v>
      </c>
      <c r="T503" s="194">
        <f t="shared" si="45"/>
        <v>0.39375580114295827</v>
      </c>
      <c r="U503" s="194">
        <f t="shared" si="46"/>
        <v>0.72254106471403123</v>
      </c>
      <c r="V503">
        <f>IFERROR(IF((N503-G503)&gt;0,(IFERROR(N503-G503,"")),""),"")</f>
        <v>44</v>
      </c>
      <c r="W503" s="194">
        <f t="shared" si="47"/>
        <v>0.28667427329174233</v>
      </c>
      <c r="X503" s="194">
        <f t="shared" si="48"/>
        <v>2.771783665250931E-2</v>
      </c>
      <c r="Y503" s="252" t="str">
        <f>IF(ISNUMBER(SEARCH("C",'WetLitterbags placem_collection'!$Y210)),"YES","NO")</f>
        <v>NO</v>
      </c>
      <c r="Z503" s="252" t="str">
        <f>IF(ISNUMBER(SEARCH("H", 'WetLitterbags placem_collection'!$Y210)),"YES","NO")</f>
        <v>NO</v>
      </c>
      <c r="AA503" s="252" t="str">
        <f>IF(ISNUMBER(SEARCH("R", 'WetLitterbags placem_collection'!$Y210)),"YES","NO")</f>
        <v>YES</v>
      </c>
      <c r="AB503" s="252" t="str">
        <f>IF(ISNUMBER(SEARCH("C", 'WetLitterbags placem_collection'!$W210)),"YES","NO")</f>
        <v>NO</v>
      </c>
      <c r="AC503" s="252" t="str">
        <f>IF(ISNUMBER(SEARCH("H", 'WetLitterbags placem_collection'!$W210)),"YES","NO")</f>
        <v>NO</v>
      </c>
      <c r="AD503" s="252" t="str">
        <f>IF(ISNUMBER(SEARCH("R", 'WetLitterbags placem_collection'!$W210)),"YES","NO")</f>
        <v>YES</v>
      </c>
    </row>
    <row r="504" spans="2:30">
      <c r="B504" t="str">
        <f>'Final data_for_R_analysis_Wetse'!A650</f>
        <v>Wet</v>
      </c>
      <c r="C504" s="260">
        <f>'Final data_for_R_analysis_Wetse'!B650</f>
        <v>209</v>
      </c>
      <c r="D504" t="s">
        <v>2430</v>
      </c>
      <c r="E504" t="s">
        <v>25</v>
      </c>
      <c r="F504" s="382">
        <v>1</v>
      </c>
      <c r="G504" s="16">
        <f>'WetLitterbags placem_collection'!E211</f>
        <v>42769</v>
      </c>
      <c r="H504" s="92" t="str">
        <f>'Final data_for_R_analysis_Wetse'!K650</f>
        <v>G637</v>
      </c>
      <c r="I504" t="str">
        <f>'Final data_for_R_analysis_Wetse'!K870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42"/>
        <v>1.8612000000000002</v>
      </c>
      <c r="M504" s="194">
        <f>IF(K504&gt;0,(K504*$F$32-($F$29+$F$30)),"")</f>
        <v>1.8372000000000002</v>
      </c>
      <c r="N504" s="16">
        <f>IF('WetLitterbags placem_collection'!G211="","",'WetLitterbags placem_collection'!G211)</f>
        <v>42814</v>
      </c>
      <c r="O504" s="194">
        <f>IFERROR(INDEX('Both teabags AfterWet'!$C$3:$C$2000,MATCH(H504,'Both teabags AfterWet'!$A$3:$A$2000,0)),"")</f>
        <v>0.86399999999999999</v>
      </c>
      <c r="P504" s="194">
        <f>IFERROR(INDEX('Both teabags AfterWet'!$C$3:$C$2000,MATCH(I504,'Both teabags AfterWet'!$A$3:$A$2000,0)),"")</f>
        <v>1.5780000000000001</v>
      </c>
      <c r="Q504" s="194">
        <f t="shared" si="43"/>
        <v>0.71340000000000003</v>
      </c>
      <c r="R504" s="194">
        <f t="shared" si="43"/>
        <v>1.4274</v>
      </c>
      <c r="S504" s="194">
        <f t="shared" si="44"/>
        <v>0.61669890393294646</v>
      </c>
      <c r="T504" s="194">
        <f t="shared" si="45"/>
        <v>0.40429666861162289</v>
      </c>
      <c r="U504" s="194">
        <f t="shared" si="46"/>
        <v>0.77694317439581961</v>
      </c>
      <c r="V504">
        <f>IFERROR(IF((N504-G504)&gt;0,(IFERROR(N504-G504,"")),""),"")</f>
        <v>45</v>
      </c>
      <c r="W504" s="194">
        <f t="shared" si="47"/>
        <v>0.26757849889198759</v>
      </c>
      <c r="X504" s="194">
        <f t="shared" si="48"/>
        <v>1.782950406968305E-2</v>
      </c>
      <c r="Y504" s="252" t="str">
        <f>IF(ISNUMBER(SEARCH("C",'WetLitterbags placem_collection'!$Y211)),"YES","NO")</f>
        <v>NO</v>
      </c>
      <c r="Z504" s="252" t="str">
        <f>IF(ISNUMBER(SEARCH("H", 'WetLitterbags placem_collection'!$Y211)),"YES","NO")</f>
        <v>NO</v>
      </c>
      <c r="AA504" s="252" t="str">
        <f>IF(ISNUMBER(SEARCH("R", 'WetLitterbags placem_collection'!$Y211)),"YES","NO")</f>
        <v>YES</v>
      </c>
      <c r="AB504" s="252" t="str">
        <f>IF(ISNUMBER(SEARCH("C", 'WetLitterbags placem_collection'!$W211)),"YES","NO")</f>
        <v>NO</v>
      </c>
      <c r="AC504" s="252" t="str">
        <f>IF(ISNUMBER(SEARCH("H", 'WetLitterbags placem_collection'!$W211)),"YES","NO")</f>
        <v>NO</v>
      </c>
      <c r="AD504" s="252" t="str">
        <f>IF(ISNUMBER(SEARCH("R", 'WetLitterbags placem_collection'!$W211)),"YES","NO")</f>
        <v>YES</v>
      </c>
    </row>
    <row r="505" spans="2:30">
      <c r="B505" t="str">
        <f>'Final data_for_R_analysis_Wetse'!A651</f>
        <v>Wet</v>
      </c>
      <c r="C505" s="260">
        <f>'Final data_for_R_analysis_Wetse'!B651</f>
        <v>210</v>
      </c>
      <c r="D505" t="s">
        <v>2444</v>
      </c>
      <c r="E505" t="s">
        <v>25</v>
      </c>
      <c r="F505" s="382">
        <v>2</v>
      </c>
      <c r="G505" s="16">
        <f>'WetLitterbags placem_collection'!E212</f>
        <v>42769</v>
      </c>
      <c r="H505" s="92" t="str">
        <f>'Final data_for_R_analysis_Wetse'!K651</f>
        <v>G720</v>
      </c>
      <c r="I505" t="str">
        <f>'Final data_for_R_analysis_Wetse'!K871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42"/>
        <v>1.7852000000000001</v>
      </c>
      <c r="M505" s="194">
        <f>IF(K505&gt;0,(K505*$F$32-($F$29+$F$30)),"")</f>
        <v>1.9811999999999999</v>
      </c>
      <c r="N505" s="16">
        <f>IF('WetLitterbags placem_collection'!G212="","",'WetLitterbags placem_collection'!G212)</f>
        <v>42813</v>
      </c>
      <c r="O505" s="194">
        <f>IFERROR(INDEX('Both teabags AfterWet'!$C$3:$C$2000,MATCH(H505,'Both teabags AfterWet'!$A$3:$A$2000,0)),"")</f>
        <v>0.72160000000000002</v>
      </c>
      <c r="P505" s="194">
        <f>IFERROR(INDEX('Both teabags AfterWet'!$C$3:$C$2000,MATCH(I505,'Both teabags AfterWet'!$A$3:$A$2000,0)),"")</f>
        <v>1.6165</v>
      </c>
      <c r="Q505" s="194">
        <f t="shared" si="43"/>
        <v>0.57099999999999995</v>
      </c>
      <c r="R505" s="194">
        <f t="shared" si="43"/>
        <v>1.4659</v>
      </c>
      <c r="S505" s="194">
        <f t="shared" si="44"/>
        <v>0.6801478825901861</v>
      </c>
      <c r="T505" s="194">
        <f t="shared" si="45"/>
        <v>0.4458926736220698</v>
      </c>
      <c r="U505" s="194">
        <f t="shared" si="46"/>
        <v>0.73990510801534426</v>
      </c>
      <c r="V505">
        <f>IFERROR(IF((N505-G505)&gt;0,(IFERROR(N505-G505,"")),""),"")</f>
        <v>44</v>
      </c>
      <c r="W505" s="194">
        <f t="shared" si="47"/>
        <v>0.19222341735132287</v>
      </c>
      <c r="X505" s="194">
        <f t="shared" si="48"/>
        <v>1.9895895322009652E-2</v>
      </c>
      <c r="Y505" s="252" t="str">
        <f>IF(ISNUMBER(SEARCH("C",'WetLitterbags placem_collection'!$Y212)),"YES","NO")</f>
        <v>NO</v>
      </c>
      <c r="Z505" s="252" t="str">
        <f>IF(ISNUMBER(SEARCH("H", 'WetLitterbags placem_collection'!$Y212)),"YES","NO")</f>
        <v>NO</v>
      </c>
      <c r="AA505" s="252" t="str">
        <f>IF(ISNUMBER(SEARCH("R", 'WetLitterbags placem_collection'!$Y212)),"YES","NO")</f>
        <v>NO</v>
      </c>
      <c r="AB505" s="252" t="str">
        <f>IF(ISNUMBER(SEARCH("C", 'WetLitterbags placem_collection'!$W212)),"YES","NO")</f>
        <v>NO</v>
      </c>
      <c r="AC505" s="252" t="str">
        <f>IF(ISNUMBER(SEARCH("H", 'WetLitterbags placem_collection'!$W212)),"YES","NO")</f>
        <v>NO</v>
      </c>
      <c r="AD505" s="252" t="str">
        <f>IF(ISNUMBER(SEARCH("R", 'WetLitterbags placem_collection'!$W212)),"YES","NO")</f>
        <v>YES</v>
      </c>
    </row>
    <row r="506" spans="2:30">
      <c r="B506" t="str">
        <f>'Final data_for_R_analysis_Wetse'!A652</f>
        <v>Wet</v>
      </c>
      <c r="C506" s="260">
        <f>'Final data_for_R_analysis_Wetse'!B652</f>
        <v>211</v>
      </c>
      <c r="D506" t="s">
        <v>2421</v>
      </c>
      <c r="E506" t="s">
        <v>25</v>
      </c>
      <c r="F506" s="382">
        <v>3</v>
      </c>
      <c r="G506" s="16">
        <f>'WetLitterbags placem_collection'!E213</f>
        <v>42769</v>
      </c>
      <c r="H506" s="92" t="str">
        <f>'Final data_for_R_analysis_Wetse'!K652</f>
        <v>G796</v>
      </c>
      <c r="I506" t="str">
        <f>'Final data_for_R_analysis_Wetse'!K872</f>
        <v>R589</v>
      </c>
      <c r="J506">
        <f>IFERROR(INDEX('Green_rooibos initial weight'!$C$5:$C$2000,MATCH(H506, 'Green_rooibos initial weight'!$A$5:$A$2000,0)),"")</f>
        <v>2.1070000000000002</v>
      </c>
      <c r="K506">
        <f>IFERROR(INDEX('Green_rooibos initial weight'!$C$5:$C$2000,MATCH(I506, 'Green_rooibos initial weight'!$A$5:$A$2000,0)),"")</f>
        <v>2.157</v>
      </c>
      <c r="L506" s="194">
        <f t="shared" si="42"/>
        <v>1.8572000000000002</v>
      </c>
      <c r="M506" s="194">
        <f>IF(K506&gt;0,(K506*$F$32-($F$29+$F$30)),"")</f>
        <v>1.9072</v>
      </c>
      <c r="N506" s="16">
        <f>IF('WetLitterbags placem_collection'!G213="","",'WetLitterbags placem_collection'!G213)</f>
        <v>42814</v>
      </c>
      <c r="O506" s="194">
        <f>IFERROR(INDEX('Both teabags AfterWet'!$C$3:$C$2000,MATCH(H506,'Both teabags AfterWet'!$A$3:$A$2000,0)),"")</f>
        <v>0.67200000000000004</v>
      </c>
      <c r="P506" s="194">
        <f>IFERROR(INDEX('Both teabags AfterWet'!$C$3:$C$2000,MATCH(I506,'Both teabags AfterWet'!$A$3:$A$2000,0)),"")</f>
        <v>1.5489999999999999</v>
      </c>
      <c r="Q506" s="194">
        <f t="shared" si="43"/>
        <v>0.52140000000000009</v>
      </c>
      <c r="R506" s="194">
        <f t="shared" si="43"/>
        <v>1.3983999999999999</v>
      </c>
      <c r="S506" s="194">
        <f t="shared" si="44"/>
        <v>0.71925479216024124</v>
      </c>
      <c r="T506" s="194">
        <f t="shared" si="45"/>
        <v>0.4715304575682342</v>
      </c>
      <c r="U506" s="194">
        <f t="shared" si="46"/>
        <v>0.73322147651006708</v>
      </c>
      <c r="V506">
        <f>IFERROR(IF((N506-G506)&gt;0,(IFERROR(N506-G506,"")),""),"")</f>
        <v>45</v>
      </c>
      <c r="W506" s="194">
        <f t="shared" si="47"/>
        <v>0.14577815657928594</v>
      </c>
      <c r="X506" s="194">
        <f t="shared" si="48"/>
        <v>1.8537433965027557E-2</v>
      </c>
      <c r="Y506" s="252" t="str">
        <f>IF(ISNUMBER(SEARCH("C",'WetLitterbags placem_collection'!$Y213)),"YES","NO")</f>
        <v>NO</v>
      </c>
      <c r="Z506" s="252" t="str">
        <f>IF(ISNUMBER(SEARCH("H", 'WetLitterbags placem_collection'!$Y213)),"YES","NO")</f>
        <v>NO</v>
      </c>
      <c r="AA506" s="252" t="str">
        <f>IF(ISNUMBER(SEARCH("R", 'WetLitterbags placem_collection'!$Y213)),"YES","NO")</f>
        <v>YES</v>
      </c>
      <c r="AB506" s="252" t="str">
        <f>IF(ISNUMBER(SEARCH("C", 'WetLitterbags placem_collection'!$W213)),"YES","NO")</f>
        <v>NO</v>
      </c>
      <c r="AC506" s="252" t="str">
        <f>IF(ISNUMBER(SEARCH("H", 'WetLitterbags placem_collection'!$W213)),"YES","NO")</f>
        <v>NO</v>
      </c>
      <c r="AD506" s="252" t="str">
        <f>IF(ISNUMBER(SEARCH("R", 'WetLitterbags placem_collection'!$W213)),"YES","NO")</f>
        <v>YES</v>
      </c>
    </row>
    <row r="507" spans="2:30">
      <c r="B507" t="str">
        <f>'Final data_for_R_analysis_Wetse'!A653</f>
        <v>Wet</v>
      </c>
      <c r="C507" s="260">
        <f>'Final data_for_R_analysis_Wetse'!B653</f>
        <v>215</v>
      </c>
      <c r="D507" t="s">
        <v>2422</v>
      </c>
      <c r="E507" t="s">
        <v>25</v>
      </c>
      <c r="F507" s="382">
        <v>3</v>
      </c>
      <c r="G507" s="16">
        <f>'WetLitterbags placem_collection'!E214</f>
        <v>42769</v>
      </c>
      <c r="H507" s="92" t="str">
        <f>'Final data_for_R_analysis_Wetse'!K653</f>
        <v>G560</v>
      </c>
      <c r="I507" t="str">
        <f>'Final data_for_R_analysis_Wetse'!K873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42"/>
        <v>1.8721999999999999</v>
      </c>
      <c r="M507" s="194">
        <f>IF(K507&gt;0,(K507*$F$32-($F$29+$F$30)),"")</f>
        <v>1.9912000000000001</v>
      </c>
      <c r="N507" s="16">
        <f>IF('WetLitterbags placem_collection'!G214="","",'WetLitterbags placem_collection'!G214)</f>
        <v>42813</v>
      </c>
      <c r="O507" s="194">
        <f>IFERROR(INDEX('Both teabags AfterWet'!$C$3:$C$2000,MATCH(H507,'Both teabags AfterWet'!$A$3:$A$2000,0)),"")</f>
        <v>1.4097999999999999</v>
      </c>
      <c r="P507" s="194">
        <f>IFERROR(INDEX('Both teabags AfterWet'!$C$3:$C$2000,MATCH(I507,'Both teabags AfterWet'!$A$3:$A$2000,0)),"")</f>
        <v>1.6712</v>
      </c>
      <c r="Q507" s="194">
        <f t="shared" si="43"/>
        <v>1.2591999999999999</v>
      </c>
      <c r="R507" s="194">
        <f t="shared" si="43"/>
        <v>1.5206</v>
      </c>
      <c r="S507" s="194">
        <f t="shared" si="44"/>
        <v>0.32742228394402306</v>
      </c>
      <c r="T507" s="194">
        <f t="shared" si="45"/>
        <v>0.21465213864263746</v>
      </c>
      <c r="U507" s="194">
        <f t="shared" si="46"/>
        <v>0.76366010445962229</v>
      </c>
      <c r="V507">
        <f>IFERROR(IF((N507-G507)&gt;0,(IFERROR(N507-G507,"")),""),"")</f>
        <v>44</v>
      </c>
      <c r="W507" s="194">
        <f t="shared" si="47"/>
        <v>0.61113742999522203</v>
      </c>
      <c r="X507" s="194" t="str">
        <f t="shared" si="48"/>
        <v/>
      </c>
      <c r="Y507" s="252" t="str">
        <f>IF(ISNUMBER(SEARCH("C",'WetLitterbags placem_collection'!$Y214)),"YES","NO")</f>
        <v>NO</v>
      </c>
      <c r="Z507" s="252" t="str">
        <f>IF(ISNUMBER(SEARCH("H", 'WetLitterbags placem_collection'!$Y214)),"YES","NO")</f>
        <v>NO</v>
      </c>
      <c r="AA507" s="252" t="str">
        <f>IF(ISNUMBER(SEARCH("R", 'WetLitterbags placem_collection'!$Y214)),"YES","NO")</f>
        <v>YES</v>
      </c>
      <c r="AB507" s="252" t="str">
        <f>IF(ISNUMBER(SEARCH("C", 'WetLitterbags placem_collection'!$W214)),"YES","NO")</f>
        <v>YES</v>
      </c>
      <c r="AC507" s="252" t="str">
        <f>IF(ISNUMBER(SEARCH("H", 'WetLitterbags placem_collection'!$W214)),"YES","NO")</f>
        <v>NO</v>
      </c>
      <c r="AD507" s="252" t="str">
        <f>IF(ISNUMBER(SEARCH("R", 'WetLitterbags placem_collection'!$W214)),"YES","NO")</f>
        <v>YES</v>
      </c>
    </row>
    <row r="508" spans="2:30">
      <c r="B508" t="str">
        <f>'Final data_for_R_analysis_Wetse'!A654</f>
        <v>Wet</v>
      </c>
      <c r="C508" s="260">
        <f>'Final data_for_R_analysis_Wetse'!B654</f>
        <v>212</v>
      </c>
      <c r="D508" t="s">
        <v>2437</v>
      </c>
      <c r="E508" t="s">
        <v>25</v>
      </c>
      <c r="F508" s="382">
        <v>4</v>
      </c>
      <c r="G508" s="16">
        <f>'WetLitterbags placem_collection'!E215</f>
        <v>42769</v>
      </c>
      <c r="H508" s="92" t="str">
        <f>'Final data_for_R_analysis_Wetse'!K654</f>
        <v>G716</v>
      </c>
      <c r="I508" t="str">
        <f>'Final data_for_R_analysis_Wetse'!K874</f>
        <v>R111</v>
      </c>
      <c r="J508">
        <f>IFERROR(INDEX('Green_rooibos initial weight'!$C$5:$C$2000,MATCH(H508, 'Green_rooibos initial weight'!$A$5:$A$2000,0)),"")</f>
        <v>2.117</v>
      </c>
      <c r="K508">
        <f>IFERROR(INDEX('Green_rooibos initial weight'!$C$5:$C$2000,MATCH(I508, 'Green_rooibos initial weight'!$A$5:$A$2000,0)),"")</f>
        <v>2.3170000000000002</v>
      </c>
      <c r="L508" s="194">
        <f t="shared" si="42"/>
        <v>1.8672</v>
      </c>
      <c r="M508" s="194">
        <f>IF(K508&gt;0,(K508*$F$32-($F$29+$F$30)),"")</f>
        <v>2.0672000000000001</v>
      </c>
      <c r="N508" s="16">
        <f>IF('WetLitterbags placem_collection'!G215="","",'WetLitterbags placem_collection'!G215)</f>
        <v>42813</v>
      </c>
      <c r="O508" s="194">
        <f>IFERROR(INDEX('Both teabags AfterWet'!$C$3:$C$2000,MATCH(H508,'Both teabags AfterWet'!$A$3:$A$2000,0)),"")</f>
        <v>0.83</v>
      </c>
      <c r="P508" s="194">
        <f>IFERROR(INDEX('Both teabags AfterWet'!$C$3:$C$2000,MATCH(I508,'Both teabags AfterWet'!$A$3:$A$2000,0)),"")</f>
        <v>1.587</v>
      </c>
      <c r="Q508" s="194">
        <f t="shared" si="43"/>
        <v>0.6794</v>
      </c>
      <c r="R508" s="194">
        <f t="shared" si="43"/>
        <v>1.4363999999999999</v>
      </c>
      <c r="S508" s="194">
        <f t="shared" si="44"/>
        <v>0.63613967437874885</v>
      </c>
      <c r="T508" s="194">
        <f t="shared" si="45"/>
        <v>0.41704168676611569</v>
      </c>
      <c r="U508" s="194">
        <f t="shared" si="46"/>
        <v>0.69485294117647045</v>
      </c>
      <c r="V508">
        <f>IFERROR(IF((N508-G508)&gt;0,(IFERROR(N508-G508,"")),""),"")</f>
        <v>44</v>
      </c>
      <c r="W508" s="194">
        <f t="shared" si="47"/>
        <v>0.24448969788747166</v>
      </c>
      <c r="X508" s="194">
        <f t="shared" si="48"/>
        <v>2.990064951280047E-2</v>
      </c>
      <c r="Y508" s="252" t="str">
        <f>IF(ISNUMBER(SEARCH("C",'WetLitterbags placem_collection'!$Y215)),"YES","NO")</f>
        <v>NO</v>
      </c>
      <c r="Z508" s="252" t="str">
        <f>IF(ISNUMBER(SEARCH("H", 'WetLitterbags placem_collection'!$Y215)),"YES","NO")</f>
        <v>NO</v>
      </c>
      <c r="AA508" s="252" t="str">
        <f>IF(ISNUMBER(SEARCH("R", 'WetLitterbags placem_collection'!$Y215)),"YES","NO")</f>
        <v>NO</v>
      </c>
      <c r="AB508" s="252" t="str">
        <f>IF(ISNUMBER(SEARCH("C", 'WetLitterbags placem_collection'!$W215)),"YES","NO")</f>
        <v>NO</v>
      </c>
      <c r="AC508" s="252" t="str">
        <f>IF(ISNUMBER(SEARCH("H", 'WetLitterbags placem_collection'!$W215)),"YES","NO")</f>
        <v>NO</v>
      </c>
      <c r="AD508" s="252" t="str">
        <f>IF(ISNUMBER(SEARCH("R", 'WetLitterbags placem_collection'!$W215)),"YES","NO")</f>
        <v>YES</v>
      </c>
    </row>
    <row r="509" spans="2:30">
      <c r="B509" t="str">
        <f>'Final data_for_R_analysis_Wetse'!A655</f>
        <v>Wet</v>
      </c>
      <c r="C509" s="260">
        <f>'Final data_for_R_analysis_Wetse'!B655</f>
        <v>213</v>
      </c>
      <c r="D509" t="s">
        <v>2445</v>
      </c>
      <c r="E509" t="s">
        <v>25</v>
      </c>
      <c r="F509" s="382">
        <v>1</v>
      </c>
      <c r="G509" s="16">
        <f>'WetLitterbags placem_collection'!E216</f>
        <v>42769</v>
      </c>
      <c r="H509" s="92" t="str">
        <f>'Final data_for_R_analysis_Wetse'!K655</f>
        <v>G581</v>
      </c>
      <c r="I509" t="str">
        <f>'Final data_for_R_analysis_Wetse'!K875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42"/>
        <v>1.7572000000000001</v>
      </c>
      <c r="M509" s="194">
        <f>IF(K509&gt;0,(K509*$F$32-($F$29+$F$30)),"")</f>
        <v>2.0211999999999999</v>
      </c>
      <c r="N509" s="16">
        <f>IF('WetLitterbags placem_collection'!G216="","",'WetLitterbags placem_collection'!G216)</f>
        <v>42813</v>
      </c>
      <c r="O509" s="194">
        <f>IFERROR(INDEX('Both teabags AfterWet'!$C$3:$C$2000,MATCH(H509,'Both teabags AfterWet'!$A$3:$A$2000,0)),"")</f>
        <v>0.63400000000000001</v>
      </c>
      <c r="P509" s="194">
        <f>IFERROR(INDEX('Both teabags AfterWet'!$C$3:$C$2000,MATCH(I509,'Both teabags AfterWet'!$A$3:$A$2000,0)),"")</f>
        <v>1.4850000000000001</v>
      </c>
      <c r="Q509" s="194">
        <f t="shared" si="43"/>
        <v>0.4834</v>
      </c>
      <c r="R509" s="194">
        <f t="shared" si="43"/>
        <v>1.3344</v>
      </c>
      <c r="S509" s="194">
        <f t="shared" si="44"/>
        <v>0.72490325517869336</v>
      </c>
      <c r="T509" s="194">
        <f t="shared" si="45"/>
        <v>0.47523348795562803</v>
      </c>
      <c r="U509" s="194">
        <f t="shared" si="46"/>
        <v>0.66020186028102124</v>
      </c>
      <c r="V509">
        <f>IFERROR(IF((N509-G509)&gt;0,(IFERROR(N509-G509,"")),""),"")</f>
        <v>44</v>
      </c>
      <c r="W509" s="194">
        <f t="shared" si="47"/>
        <v>0.1390697681963261</v>
      </c>
      <c r="X509" s="194">
        <f t="shared" si="48"/>
        <v>2.8529814663242944E-2</v>
      </c>
      <c r="Y509" s="252" t="str">
        <f>IF(ISNUMBER(SEARCH("C",'WetLitterbags placem_collection'!$Y216)),"YES","NO")</f>
        <v>NO</v>
      </c>
      <c r="Z509" s="252" t="str">
        <f>IF(ISNUMBER(SEARCH("H", 'WetLitterbags placem_collection'!$Y216)),"YES","NO")</f>
        <v>NO</v>
      </c>
      <c r="AA509" s="252" t="str">
        <f>IF(ISNUMBER(SEARCH("R", 'WetLitterbags placem_collection'!$Y216)),"YES","NO")</f>
        <v>YES</v>
      </c>
      <c r="AB509" s="252" t="str">
        <f>IF(ISNUMBER(SEARCH("C", 'WetLitterbags placem_collection'!$W216)),"YES","NO")</f>
        <v>NO</v>
      </c>
      <c r="AC509" s="252" t="str">
        <f>IF(ISNUMBER(SEARCH("H", 'WetLitterbags placem_collection'!$W216)),"YES","NO")</f>
        <v>NO</v>
      </c>
      <c r="AD509" s="252" t="str">
        <f>IF(ISNUMBER(SEARCH("R", 'WetLitterbags placem_collection'!$W216)),"YES","NO")</f>
        <v>YES</v>
      </c>
    </row>
    <row r="510" spans="2:30">
      <c r="B510" t="str">
        <f>'Final data_for_R_analysis_Wetse'!A656</f>
        <v>Wet</v>
      </c>
      <c r="C510" s="260">
        <f>'Final data_for_R_analysis_Wetse'!B656</f>
        <v>214</v>
      </c>
      <c r="D510" t="s">
        <v>2438</v>
      </c>
      <c r="E510" t="s">
        <v>25</v>
      </c>
      <c r="F510" s="382">
        <v>2</v>
      </c>
      <c r="G510" s="16">
        <f>'WetLitterbags placem_collection'!E217</f>
        <v>42769</v>
      </c>
      <c r="H510" s="92" t="str">
        <f>'Final data_for_R_analysis_Wetse'!K656</f>
        <v>G718</v>
      </c>
      <c r="I510" t="str">
        <f>'Final data_for_R_analysis_Wetse'!K876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42"/>
        <v>1.7871999999999999</v>
      </c>
      <c r="M510" s="194">
        <f>IF(K510&gt;0,(K510*$F$32-($F$29+$F$30)),"")</f>
        <v>1.8342000000000001</v>
      </c>
      <c r="N510" s="16">
        <f>IF('WetLitterbags placem_collection'!G217="","",'WetLitterbags placem_collection'!G217)</f>
        <v>42814</v>
      </c>
      <c r="O510" s="194">
        <f>IFERROR(INDEX('Both teabags AfterWet'!$C$3:$C$2000,MATCH(H510,'Both teabags AfterWet'!$A$3:$A$2000,0)),"")</f>
        <v>0.67769999999999997</v>
      </c>
      <c r="P510" s="194">
        <f>IFERROR(INDEX('Both teabags AfterWet'!$C$3:$C$2000,MATCH(I510,'Both teabags AfterWet'!$A$3:$A$2000,0)),"")</f>
        <v>1.5467</v>
      </c>
      <c r="Q510" s="194">
        <f t="shared" si="43"/>
        <v>0.5270999999999999</v>
      </c>
      <c r="R510" s="194">
        <f t="shared" si="43"/>
        <v>1.3960999999999999</v>
      </c>
      <c r="S510" s="194">
        <f t="shared" si="44"/>
        <v>0.70506938227394811</v>
      </c>
      <c r="T510" s="194">
        <f t="shared" si="45"/>
        <v>0.46223075892543869</v>
      </c>
      <c r="U510" s="194">
        <f t="shared" si="46"/>
        <v>0.76114927488823458</v>
      </c>
      <c r="V510">
        <f>IFERROR(IF((N510-G510)&gt;0,(IFERROR(N510-G510,"")),""),"")</f>
        <v>45</v>
      </c>
      <c r="W510" s="194">
        <f t="shared" si="47"/>
        <v>0.16262543672927776</v>
      </c>
      <c r="X510" s="194">
        <f t="shared" si="48"/>
        <v>1.6159771913157133E-2</v>
      </c>
      <c r="Y510" s="252" t="str">
        <f>IF(ISNUMBER(SEARCH("C",'WetLitterbags placem_collection'!$Y217)),"YES","NO")</f>
        <v>NO</v>
      </c>
      <c r="Z510" s="252" t="str">
        <f>IF(ISNUMBER(SEARCH("H", 'WetLitterbags placem_collection'!$Y217)),"YES","NO")</f>
        <v>NO</v>
      </c>
      <c r="AA510" s="252" t="str">
        <f>IF(ISNUMBER(SEARCH("R", 'WetLitterbags placem_collection'!$Y217)),"YES","NO")</f>
        <v>YES</v>
      </c>
      <c r="AB510" s="252" t="str">
        <f>IF(ISNUMBER(SEARCH("C", 'WetLitterbags placem_collection'!$W217)),"YES","NO")</f>
        <v>NO</v>
      </c>
      <c r="AC510" s="252" t="str">
        <f>IF(ISNUMBER(SEARCH("H", 'WetLitterbags placem_collection'!$W217)),"YES","NO")</f>
        <v>NO</v>
      </c>
      <c r="AD510" s="252" t="str">
        <f>IF(ISNUMBER(SEARCH("R", 'WetLitterbags placem_collection'!$W217)),"YES","NO")</f>
        <v>NO</v>
      </c>
    </row>
    <row r="511" spans="2:30">
      <c r="B511" t="str">
        <f>'Final data_for_R_analysis_Wetse'!A657</f>
        <v>Wet</v>
      </c>
      <c r="C511" s="260">
        <f>'Final data_for_R_analysis_Wetse'!B657</f>
        <v>216</v>
      </c>
      <c r="D511" t="s">
        <v>2431</v>
      </c>
      <c r="E511" t="s">
        <v>25</v>
      </c>
      <c r="F511" s="382">
        <v>4</v>
      </c>
      <c r="G511" s="16">
        <f>'WetLitterbags placem_collection'!E218</f>
        <v>42769</v>
      </c>
      <c r="H511" s="92" t="str">
        <f>'Final data_for_R_analysis_Wetse'!K657</f>
        <v>G613</v>
      </c>
      <c r="I511" t="str">
        <f>'Final data_for_R_analysis_Wetse'!K877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42"/>
        <v>1.7841999999999998</v>
      </c>
      <c r="M511" s="194">
        <f>IF(K511&gt;0,(K511*$F$32-($F$29+$F$30)),"")</f>
        <v>1.9912000000000001</v>
      </c>
      <c r="N511" s="16">
        <f>IF('WetLitterbags placem_collection'!G218="","",'WetLitterbags placem_collection'!G218)</f>
        <v>42814</v>
      </c>
      <c r="O511" s="194">
        <f>IFERROR(INDEX('Both teabags AfterWet'!$C$3:$C$2000,MATCH(H511,'Both teabags AfterWet'!$A$3:$A$2000,0)),"")</f>
        <v>0.82499999999999996</v>
      </c>
      <c r="P511" s="194">
        <f>IFERROR(INDEX('Both teabags AfterWet'!$C$3:$C$2000,MATCH(I511,'Both teabags AfterWet'!$A$3:$A$2000,0)),"")</f>
        <v>1.5940000000000001</v>
      </c>
      <c r="Q511" s="194">
        <f t="shared" si="43"/>
        <v>0.67439999999999989</v>
      </c>
      <c r="R511" s="194">
        <f t="shared" si="43"/>
        <v>1.4434</v>
      </c>
      <c r="S511" s="194">
        <f t="shared" si="44"/>
        <v>0.62201546911781191</v>
      </c>
      <c r="T511" s="194">
        <f t="shared" si="45"/>
        <v>0.4077821127708221</v>
      </c>
      <c r="U511" s="194">
        <f t="shared" si="46"/>
        <v>0.72488951386098832</v>
      </c>
      <c r="V511">
        <f>IFERROR(IF((N511-G511)&gt;0,(IFERROR(N511-G511,"")),""),"")</f>
        <v>45</v>
      </c>
      <c r="W511" s="194">
        <f t="shared" si="47"/>
        <v>0.26126428845865568</v>
      </c>
      <c r="X511" s="194">
        <f t="shared" si="48"/>
        <v>2.4952353151991596E-2</v>
      </c>
      <c r="Y511" s="252" t="str">
        <f>IF(ISNUMBER(SEARCH("C",'WetLitterbags placem_collection'!$Y218)),"YES","NO")</f>
        <v>NO</v>
      </c>
      <c r="Z511" s="252" t="str">
        <f>IF(ISNUMBER(SEARCH("H", 'WetLitterbags placem_collection'!$Y218)),"YES","NO")</f>
        <v>NO</v>
      </c>
      <c r="AA511" s="252" t="str">
        <f>IF(ISNUMBER(SEARCH("R", 'WetLitterbags placem_collection'!$Y218)),"YES","NO")</f>
        <v>YES</v>
      </c>
      <c r="AB511" s="252" t="str">
        <f>IF(ISNUMBER(SEARCH("C", 'WetLitterbags placem_collection'!$W218)),"YES","NO")</f>
        <v>NO</v>
      </c>
      <c r="AC511" s="252" t="str">
        <f>IF(ISNUMBER(SEARCH("H", 'WetLitterbags placem_collection'!$W218)),"YES","NO")</f>
        <v>YES</v>
      </c>
      <c r="AD511" s="252" t="str">
        <f>IF(ISNUMBER(SEARCH("R", 'WetLitterbags placem_collection'!$W218)),"YES","NO")</f>
        <v>NO</v>
      </c>
    </row>
    <row r="512" spans="2:30">
      <c r="B512" t="str">
        <f>'Final data_for_R_analysis_Wetse'!A658</f>
        <v>Wet</v>
      </c>
      <c r="C512" s="260">
        <f>'Final data_for_R_analysis_Wetse'!B658</f>
        <v>217</v>
      </c>
      <c r="D512" t="s">
        <v>2424</v>
      </c>
      <c r="E512" t="s">
        <v>25</v>
      </c>
      <c r="F512" s="382">
        <v>1</v>
      </c>
      <c r="G512" s="16">
        <f>'WetLitterbags placem_collection'!E219</f>
        <v>42769</v>
      </c>
      <c r="H512" s="92" t="str">
        <f>'Final data_for_R_analysis_Wetse'!K658</f>
        <v>G804</v>
      </c>
      <c r="I512" t="str">
        <f>'Final data_for_R_analysis_Wetse'!K878</f>
        <v>R410</v>
      </c>
      <c r="J512">
        <f>IFERROR(INDEX('Green_rooibos initial weight'!$C$5:$C$2000,MATCH(H512, 'Green_rooibos initial weight'!$A$5:$A$2000,0)),"")</f>
        <v>2.028</v>
      </c>
      <c r="K512">
        <f>IFERROR(INDEX('Green_rooibos initial weight'!$C$5:$C$2000,MATCH(I512, 'Green_rooibos initial weight'!$A$5:$A$2000,0)),"")</f>
        <v>2.1930000000000001</v>
      </c>
      <c r="L512" s="194">
        <f t="shared" si="42"/>
        <v>1.7782</v>
      </c>
      <c r="M512" s="194">
        <f>IF(K512&gt;0,(K512*$F$32-($F$29+$F$30)),"")</f>
        <v>1.9432</v>
      </c>
      <c r="N512" s="16">
        <f>IF('WetLitterbags placem_collection'!G219="","",'WetLitterbags placem_collection'!G219)</f>
        <v>42814</v>
      </c>
      <c r="O512" s="194">
        <f>IFERROR(INDEX('Both teabags AfterWet'!$C$3:$C$2000,MATCH(H512,'Both teabags AfterWet'!$A$3:$A$2000,0)),"")</f>
        <v>0.66200000000000003</v>
      </c>
      <c r="P512" s="194">
        <f>IFERROR(INDEX('Both teabags AfterWet'!$C$3:$C$2000,MATCH(I512,'Both teabags AfterWet'!$A$3:$A$2000,0)),"")</f>
        <v>1.488</v>
      </c>
      <c r="Q512" s="194">
        <f t="shared" si="43"/>
        <v>0.51140000000000008</v>
      </c>
      <c r="R512" s="194">
        <f t="shared" si="43"/>
        <v>1.3373999999999999</v>
      </c>
      <c r="S512" s="194">
        <f t="shared" si="44"/>
        <v>0.71240580362163985</v>
      </c>
      <c r="T512" s="194">
        <f t="shared" si="45"/>
        <v>0.46704038432202521</v>
      </c>
      <c r="U512" s="194">
        <f t="shared" si="46"/>
        <v>0.68824619184849722</v>
      </c>
      <c r="V512">
        <f>IFERROR(IF((N512-G512)&gt;0,(IFERROR(N512-G512,"")),""),"")</f>
        <v>45</v>
      </c>
      <c r="W512" s="194">
        <f t="shared" si="47"/>
        <v>0.15391234724270797</v>
      </c>
      <c r="X512" s="194">
        <f t="shared" si="48"/>
        <v>2.4469854258393486E-2</v>
      </c>
      <c r="Y512" s="252" t="str">
        <f>IF(ISNUMBER(SEARCH("C",'WetLitterbags placem_collection'!$Y219)),"YES","NO")</f>
        <v>NO</v>
      </c>
      <c r="Z512" s="252" t="str">
        <f>IF(ISNUMBER(SEARCH("H", 'WetLitterbags placem_collection'!$Y219)),"YES","NO")</f>
        <v>NO</v>
      </c>
      <c r="AA512" s="252" t="str">
        <f>IF(ISNUMBER(SEARCH("R", 'WetLitterbags placem_collection'!$Y219)),"YES","NO")</f>
        <v>NO</v>
      </c>
      <c r="AB512" s="252" t="str">
        <f>IF(ISNUMBER(SEARCH("C", 'WetLitterbags placem_collection'!$W219)),"YES","NO")</f>
        <v>NO</v>
      </c>
      <c r="AC512" s="252" t="str">
        <f>IF(ISNUMBER(SEARCH("H", 'WetLitterbags placem_collection'!$W219)),"YES","NO")</f>
        <v>NO</v>
      </c>
      <c r="AD512" s="252" t="str">
        <f>IF(ISNUMBER(SEARCH("R", 'WetLitterbags placem_collection'!$W219)),"YES","NO")</f>
        <v>YES</v>
      </c>
    </row>
    <row r="513" spans="2:30">
      <c r="B513" t="str">
        <f>'Final data_for_R_analysis_Wetse'!A659</f>
        <v>Wet</v>
      </c>
      <c r="C513" s="260">
        <f>'Final data_for_R_analysis_Wetse'!B659</f>
        <v>218</v>
      </c>
      <c r="D513" t="s">
        <v>2432</v>
      </c>
      <c r="E513" t="s">
        <v>25</v>
      </c>
      <c r="F513" s="382">
        <v>2</v>
      </c>
      <c r="G513" s="16">
        <f>'WetLitterbags placem_collection'!E220</f>
        <v>42769</v>
      </c>
      <c r="H513" s="92" t="str">
        <f>'Final data_for_R_analysis_Wetse'!K659</f>
        <v>G587</v>
      </c>
      <c r="I513" t="str">
        <f>'Final data_for_R_analysis_Wetse'!K879</f>
        <v>R103</v>
      </c>
      <c r="J513">
        <f>IFERROR(INDEX('Green_rooibos initial weight'!$C$5:$C$2000,MATCH(H513, 'Green_rooibos initial weight'!$A$5:$A$2000,0)),"")</f>
        <v>2.0640000000000001</v>
      </c>
      <c r="K513">
        <f>IFERROR(INDEX('Green_rooibos initial weight'!$C$5:$C$2000,MATCH(I513, 'Green_rooibos initial weight'!$A$5:$A$2000,0)),"")</f>
        <v>2.246</v>
      </c>
      <c r="L513" s="194">
        <f t="shared" si="42"/>
        <v>1.8142</v>
      </c>
      <c r="M513" s="194">
        <f>IF(K513&gt;0,(K513*$F$32-($F$29+$F$30)),"")</f>
        <v>1.9962</v>
      </c>
      <c r="N513" s="16">
        <f>IF('WetLitterbags placem_collection'!G220="","",'WetLitterbags placem_collection'!G220)</f>
        <v>42814</v>
      </c>
      <c r="O513" s="194">
        <f>IFERROR(INDEX('Both teabags AfterWet'!$C$3:$C$2000,MATCH(H513,'Both teabags AfterWet'!$A$3:$A$2000,0)),"")</f>
        <v>0.7167</v>
      </c>
      <c r="P513" s="194">
        <f>IFERROR(INDEX('Both teabags AfterWet'!$C$3:$C$2000,MATCH(I513,'Both teabags AfterWet'!$A$3:$A$2000,0)),"")</f>
        <v>1.4296</v>
      </c>
      <c r="Q513" s="194">
        <f t="shared" si="43"/>
        <v>0.56610000000000005</v>
      </c>
      <c r="R513" s="194">
        <f t="shared" si="43"/>
        <v>1.2789999999999999</v>
      </c>
      <c r="S513" s="194">
        <f t="shared" si="44"/>
        <v>0.68796163598280224</v>
      </c>
      <c r="T513" s="194">
        <f t="shared" si="45"/>
        <v>0.45101522929038823</v>
      </c>
      <c r="U513" s="194">
        <f t="shared" si="46"/>
        <v>0.64071736298968041</v>
      </c>
      <c r="V513">
        <f>IFERROR(IF((N513-G513)&gt;0,(IFERROR(N513-G513,"")),""),"")</f>
        <v>45</v>
      </c>
      <c r="W513" s="194">
        <f t="shared" si="47"/>
        <v>0.1829434251985721</v>
      </c>
      <c r="X513" s="194">
        <f t="shared" si="48"/>
        <v>3.5391630394317704E-2</v>
      </c>
      <c r="Y513" s="252" t="str">
        <f>IF(ISNUMBER(SEARCH("C",'WetLitterbags placem_collection'!$Y220)),"YES","NO")</f>
        <v>NO</v>
      </c>
      <c r="Z513" s="252" t="str">
        <f>IF(ISNUMBER(SEARCH("H", 'WetLitterbags placem_collection'!$Y220)),"YES","NO")</f>
        <v>NO</v>
      </c>
      <c r="AA513" s="252" t="str">
        <f>IF(ISNUMBER(SEARCH("R", 'WetLitterbags placem_collection'!$Y220)),"YES","NO")</f>
        <v>YES</v>
      </c>
      <c r="AB513" s="252" t="str">
        <f>IF(ISNUMBER(SEARCH("C", 'WetLitterbags placem_collection'!$W220)),"YES","NO")</f>
        <v>NO</v>
      </c>
      <c r="AC513" s="252" t="str">
        <f>IF(ISNUMBER(SEARCH("H", 'WetLitterbags placem_collection'!$W220)),"YES","NO")</f>
        <v>NO</v>
      </c>
      <c r="AD513" s="252" t="str">
        <f>IF(ISNUMBER(SEARCH("R", 'WetLitterbags placem_collection'!$W220)),"YES","NO")</f>
        <v>YES</v>
      </c>
    </row>
    <row r="514" spans="2:30">
      <c r="B514" t="str">
        <f>'Final data_for_R_analysis_Wetse'!A660</f>
        <v>Wet</v>
      </c>
      <c r="C514" s="260">
        <f>'Final data_for_R_analysis_Wetse'!B660</f>
        <v>219</v>
      </c>
      <c r="D514" t="s">
        <v>2439</v>
      </c>
      <c r="E514" t="s">
        <v>25</v>
      </c>
      <c r="F514" s="382">
        <v>3</v>
      </c>
      <c r="G514" s="16">
        <f>'WetLitterbags placem_collection'!E221</f>
        <v>42769</v>
      </c>
      <c r="H514" s="92" t="str">
        <f>'Final data_for_R_analysis_Wetse'!K660</f>
        <v>G491</v>
      </c>
      <c r="I514" t="str">
        <f>'Final data_for_R_analysis_Wetse'!K880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42"/>
        <v>1.7751999999999999</v>
      </c>
      <c r="M514" s="194">
        <f>IF(K514&gt;0,(K514*$F$32-($F$29+$F$30)),"")</f>
        <v>1.9121999999999999</v>
      </c>
      <c r="N514" s="16">
        <f>IF('WetLitterbags placem_collection'!G221="","",'WetLitterbags placem_collection'!G221)</f>
        <v>42813</v>
      </c>
      <c r="O514" s="194">
        <f>IFERROR(INDEX('Both teabags AfterWet'!$C$3:$C$2000,MATCH(H514,'Both teabags AfterWet'!$A$3:$A$2000,0)),"")</f>
        <v>0.65569999999999995</v>
      </c>
      <c r="P514" s="194">
        <f>IFERROR(INDEX('Both teabags AfterWet'!$C$3:$C$2000,MATCH(I514,'Both teabags AfterWet'!$A$3:$A$2000,0)),"")</f>
        <v>1.4823</v>
      </c>
      <c r="Q514" s="194">
        <f t="shared" si="43"/>
        <v>0.50509999999999988</v>
      </c>
      <c r="R514" s="194">
        <f t="shared" si="43"/>
        <v>1.3316999999999999</v>
      </c>
      <c r="S514" s="194">
        <f t="shared" si="44"/>
        <v>0.71546867958539884</v>
      </c>
      <c r="T514" s="194">
        <f t="shared" si="45"/>
        <v>0.46904835051204297</v>
      </c>
      <c r="U514" s="194">
        <f t="shared" si="46"/>
        <v>0.69642296830875428</v>
      </c>
      <c r="V514">
        <f>IFERROR(IF((N514-G514)&gt;0,(IFERROR(N514-G514,"")),""),"")</f>
        <v>44</v>
      </c>
      <c r="W514" s="194">
        <f t="shared" si="47"/>
        <v>0.15027472733325553</v>
      </c>
      <c r="X514" s="194">
        <f t="shared" si="48"/>
        <v>2.3679726733780458E-2</v>
      </c>
      <c r="Y514" s="252" t="str">
        <f>IF(ISNUMBER(SEARCH("C",'WetLitterbags placem_collection'!$Y221)),"YES","NO")</f>
        <v>NO</v>
      </c>
      <c r="Z514" s="252" t="str">
        <f>IF(ISNUMBER(SEARCH("H", 'WetLitterbags placem_collection'!$Y221)),"YES","NO")</f>
        <v>NO</v>
      </c>
      <c r="AA514" s="252" t="str">
        <f>IF(ISNUMBER(SEARCH("R", 'WetLitterbags placem_collection'!$Y221)),"YES","NO")</f>
        <v>NO</v>
      </c>
      <c r="AB514" s="252" t="str">
        <f>IF(ISNUMBER(SEARCH("C", 'WetLitterbags placem_collection'!$W221)),"YES","NO")</f>
        <v>NO</v>
      </c>
      <c r="AC514" s="252" t="str">
        <f>IF(ISNUMBER(SEARCH("H", 'WetLitterbags placem_collection'!$W221)),"YES","NO")</f>
        <v>NO</v>
      </c>
      <c r="AD514" s="252" t="str">
        <f>IF(ISNUMBER(SEARCH("R", 'WetLitterbags placem_collection'!$W221)),"YES","NO")</f>
        <v>YES</v>
      </c>
    </row>
    <row r="515" spans="2:30">
      <c r="B515" t="str">
        <f>'Final data_for_R_analysis_Wetse'!A661</f>
        <v>Wet</v>
      </c>
      <c r="C515" s="381">
        <f>'Final data_for_R_analysis_Wetse'!B661</f>
        <v>220</v>
      </c>
      <c r="D515" t="s">
        <v>2446</v>
      </c>
      <c r="E515" t="s">
        <v>25</v>
      </c>
      <c r="F515" s="382">
        <v>4</v>
      </c>
      <c r="G515" s="383">
        <f>'WetLitterbags placem_collection'!E222</f>
        <v>42769</v>
      </c>
      <c r="H515" s="92" t="str">
        <f>'Final data_for_R_analysis_Wetse'!K661</f>
        <v>G849</v>
      </c>
      <c r="I515" s="92" t="str">
        <f>'Final data_for_R_analysis_Wetse'!K881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42"/>
        <v>1.8572000000000002</v>
      </c>
      <c r="M515" s="194">
        <f>IF(K515&gt;0,(K515*$F$32-($F$29+$F$30)),"")</f>
        <v>1.9211999999999998</v>
      </c>
      <c r="N515" s="16">
        <f>IF('WetLitterbags placem_collection'!G222="","",'WetLitterbags placem_collection'!G222)</f>
        <v>42813</v>
      </c>
      <c r="O515" s="194">
        <f>IFERROR(INDEX('Both teabags AfterWet'!$C$3:$C$2000,MATCH(H515,'Both teabags AfterWet'!$A$3:$A$2000,0)),"")</f>
        <v>0.65239999999999998</v>
      </c>
      <c r="P515" s="194">
        <f>IFERROR(INDEX('Both teabags AfterWet'!$C$3:$C$2000,MATCH(I515,'Both teabags AfterWet'!$A$3:$A$2000,0)),"")</f>
        <v>1.5328999999999999</v>
      </c>
      <c r="Q515" s="194">
        <f t="shared" si="43"/>
        <v>0.50180000000000002</v>
      </c>
      <c r="R515" s="194">
        <f t="shared" si="43"/>
        <v>1.3822999999999999</v>
      </c>
      <c r="S515" s="194">
        <f t="shared" si="44"/>
        <v>0.72980831359035103</v>
      </c>
      <c r="T515" s="194">
        <f t="shared" si="45"/>
        <v>0.47844915570293806</v>
      </c>
      <c r="U515" s="194">
        <f t="shared" si="46"/>
        <v>0.71949823027274618</v>
      </c>
      <c r="V515">
        <f>IFERROR(IF((N515-G515)&gt;0,(IFERROR(N515-G515,"")),""),"")</f>
        <v>44</v>
      </c>
      <c r="W515" s="194">
        <f t="shared" si="47"/>
        <v>0.13324428314685144</v>
      </c>
      <c r="X515" s="194">
        <f t="shared" si="48"/>
        <v>2.0057924536043888E-2</v>
      </c>
      <c r="Y515" s="252" t="str">
        <f>IF(ISNUMBER(SEARCH("C",'WetLitterbags placem_collection'!$Y222)),"YES","NO")</f>
        <v>NO</v>
      </c>
      <c r="Z515" s="252" t="str">
        <f>IF(ISNUMBER(SEARCH("H", 'WetLitterbags placem_collection'!$Y222)),"YES","NO")</f>
        <v>NO</v>
      </c>
      <c r="AA515" s="252" t="str">
        <f>IF(ISNUMBER(SEARCH("R", 'WetLitterbags placem_collection'!$Y222)),"YES","NO")</f>
        <v>NO</v>
      </c>
      <c r="AB515" s="252" t="str">
        <f>IF(ISNUMBER(SEARCH("C", 'WetLitterbags placem_collection'!$W222)),"YES","NO")</f>
        <v>NO</v>
      </c>
      <c r="AC515" s="252" t="str">
        <f>IF(ISNUMBER(SEARCH("H", 'WetLitterbags placem_collection'!$W222)),"YES","NO")</f>
        <v>YES</v>
      </c>
      <c r="AD515" s="252" t="str">
        <f>IF(ISNUMBER(SEARCH("R", 'WetLitterbags placem_collection'!$W222)),"YES","NO")</f>
        <v>NO</v>
      </c>
    </row>
  </sheetData>
  <mergeCells count="27">
    <mergeCell ref="D73:H74"/>
    <mergeCell ref="Y74:AD74"/>
    <mergeCell ref="B68:E68"/>
    <mergeCell ref="B69:E69"/>
    <mergeCell ref="B70:E70"/>
    <mergeCell ref="F70:L70"/>
    <mergeCell ref="K37:N37"/>
    <mergeCell ref="B38:D38"/>
    <mergeCell ref="B28:E28"/>
    <mergeCell ref="B29:E29"/>
    <mergeCell ref="B30:E30"/>
    <mergeCell ref="B31:E31"/>
    <mergeCell ref="B32:E32"/>
    <mergeCell ref="B37:D37"/>
    <mergeCell ref="E37:F37"/>
    <mergeCell ref="B18:E18"/>
    <mergeCell ref="B19:E19"/>
    <mergeCell ref="B20:E20"/>
    <mergeCell ref="B25:E25"/>
    <mergeCell ref="B26:E26"/>
    <mergeCell ref="B27:E27"/>
    <mergeCell ref="B12:E12"/>
    <mergeCell ref="B13:E13"/>
    <mergeCell ref="B14:E14"/>
    <mergeCell ref="B15:E15"/>
    <mergeCell ref="B16:E16"/>
    <mergeCell ref="B17:E17"/>
  </mergeCells>
  <dataValidations count="6">
    <dataValidation type="list" allowBlank="1" showInputMessage="1" showErrorMessage="1" sqref="P39:P63" xr:uid="{81B985FA-0811-41F0-9403-81F78105EBEC}">
      <formula1>aspect</formula1>
    </dataValidation>
    <dataValidation type="list" allowBlank="1" showInputMessage="1" showErrorMessage="1" sqref="O39:O63" xr:uid="{20A3A64E-548A-43DA-BF16-35F19F169B08}">
      <formula1>slope</formula1>
    </dataValidation>
    <dataValidation type="list" allowBlank="1" showInputMessage="1" showErrorMessage="1" sqref="N39:N63" xr:uid="{BADAEFDE-95A7-4819-A9A7-561D8286B057}">
      <formula1>rootingdepth</formula1>
    </dataValidation>
    <dataValidation type="list" allowBlank="1" showInputMessage="1" showErrorMessage="1" sqref="M39:M63" xr:uid="{4F8703B2-7070-47A8-9CCF-87921876AC5E}">
      <formula1>ecosystem</formula1>
    </dataValidation>
    <dataValidation type="list" allowBlank="1" showInputMessage="1" showErrorMessage="1" sqref="L39:L63" xr:uid="{C66940E8-BF76-44B1-ADAD-D5B7EE4895A3}">
      <formula1>human_impact</formula1>
    </dataValidation>
    <dataValidation type="list" allowBlank="1" showInputMessage="1" showErrorMessage="1" sqref="K39:K63" xr:uid="{A44C5028-293E-4520-8E30-F0FAC0D887A6}">
      <formula1>shading</formula1>
    </dataValidation>
  </dataValidations>
  <hyperlinks>
    <hyperlink ref="F16" r:id="rId1" xr:uid="{4328D6EE-289F-4A4E-8779-3FBE6B2FB678}"/>
    <hyperlink ref="F15" r:id="rId2" xr:uid="{439BCB62-44D6-49A5-A93F-629B273A2B28}"/>
  </hyperlinks>
  <pageMargins left="0.7" right="0.7" top="0.75" bottom="0.75" header="0.3" footer="0.3"/>
  <pageSetup paperSize="9" orientation="portrait" r:id="rId3"/>
  <legacyDrawing r:id="rId4"/>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4BAD4-2164-4E03-92D5-6B21C908D064}">
  <dimension ref="A1:AO515"/>
  <sheetViews>
    <sheetView topLeftCell="W481" zoomScale="85" zoomScaleNormal="8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6" customFormat="1">
      <c r="B1" s="286" t="s">
        <v>3767</v>
      </c>
      <c r="D1" s="286" t="s">
        <v>3768</v>
      </c>
      <c r="E1" s="287"/>
      <c r="K1" s="287"/>
      <c r="L1" s="288"/>
      <c r="M1" s="288"/>
    </row>
    <row r="2" spans="2:13" s="286" customFormat="1">
      <c r="B2" s="289" t="s">
        <v>3769</v>
      </c>
      <c r="E2" s="287"/>
      <c r="K2" s="287"/>
      <c r="L2" s="288"/>
      <c r="M2" s="288"/>
    </row>
    <row r="3" spans="2:13" s="291" customFormat="1" ht="30" customHeight="1">
      <c r="B3" s="290" t="s">
        <v>3770</v>
      </c>
      <c r="E3" s="292"/>
      <c r="K3" s="292"/>
      <c r="L3" s="293"/>
      <c r="M3" s="293"/>
    </row>
    <row r="4" spans="2:13" s="295" customFormat="1">
      <c r="B4" s="294" t="s">
        <v>3771</v>
      </c>
      <c r="E4" s="296"/>
      <c r="K4" s="296"/>
      <c r="L4" s="297"/>
      <c r="M4" s="297"/>
    </row>
    <row r="5" spans="2:13" s="295" customFormat="1">
      <c r="B5" s="295" t="s">
        <v>3772</v>
      </c>
      <c r="E5" s="296"/>
      <c r="K5" s="296"/>
      <c r="L5" s="297"/>
      <c r="M5" s="297"/>
    </row>
    <row r="6" spans="2:13" s="294" customFormat="1">
      <c r="B6" s="294" t="s">
        <v>3773</v>
      </c>
      <c r="E6" s="298"/>
      <c r="K6" s="298"/>
      <c r="L6" s="299"/>
      <c r="M6" s="299"/>
    </row>
    <row r="7" spans="2:13" s="286" customFormat="1">
      <c r="B7" s="300" t="s">
        <v>3774</v>
      </c>
      <c r="C7" s="301"/>
      <c r="D7" s="301"/>
      <c r="E7" s="302"/>
      <c r="G7" s="301"/>
      <c r="K7" s="287"/>
      <c r="L7" s="288"/>
      <c r="M7" s="288"/>
    </row>
    <row r="8" spans="2:13" s="286" customFormat="1">
      <c r="B8" s="301"/>
      <c r="C8" s="301"/>
      <c r="D8" s="301"/>
      <c r="E8" s="302"/>
      <c r="G8" s="301"/>
      <c r="K8" s="287"/>
      <c r="L8" s="288"/>
      <c r="M8" s="288"/>
    </row>
    <row r="9" spans="2:13" s="286" customFormat="1">
      <c r="B9" s="301"/>
      <c r="C9" s="301"/>
      <c r="D9" s="301"/>
      <c r="E9" s="302"/>
      <c r="G9" s="301"/>
      <c r="K9" s="287"/>
      <c r="L9" s="288"/>
      <c r="M9" s="288"/>
    </row>
    <row r="10" spans="2:13" s="301" customFormat="1">
      <c r="B10" s="303" t="s">
        <v>3775</v>
      </c>
      <c r="C10" s="303"/>
      <c r="E10" s="302"/>
      <c r="K10" s="302"/>
      <c r="L10" s="304"/>
      <c r="M10" s="304"/>
    </row>
    <row r="11" spans="2:13" s="301" customFormat="1" ht="15" thickBot="1">
      <c r="B11" s="303" t="s">
        <v>3776</v>
      </c>
      <c r="C11" s="303"/>
      <c r="E11" s="302"/>
      <c r="F11" s="301" t="s">
        <v>3777</v>
      </c>
      <c r="K11" s="302"/>
      <c r="L11" s="304"/>
      <c r="M11" s="304"/>
    </row>
    <row r="12" spans="2:13" s="300" customFormat="1">
      <c r="B12" s="441" t="s">
        <v>0</v>
      </c>
      <c r="C12" s="442"/>
      <c r="D12" s="442"/>
      <c r="E12" s="442"/>
      <c r="F12" s="305" t="s">
        <v>3778</v>
      </c>
      <c r="G12" s="306"/>
      <c r="H12" s="306"/>
      <c r="I12" s="306"/>
      <c r="K12" s="307"/>
      <c r="L12" s="308"/>
      <c r="M12" s="308"/>
    </row>
    <row r="13" spans="2:13" s="300" customFormat="1">
      <c r="B13" s="439" t="s">
        <v>3779</v>
      </c>
      <c r="C13" s="440"/>
      <c r="D13" s="440"/>
      <c r="E13" s="440"/>
      <c r="F13" s="309" t="s">
        <v>3780</v>
      </c>
      <c r="G13" s="306"/>
      <c r="H13" s="306"/>
      <c r="I13" s="306"/>
      <c r="K13" s="307"/>
      <c r="L13" s="308"/>
      <c r="M13" s="308"/>
    </row>
    <row r="14" spans="2:13" s="300" customFormat="1">
      <c r="B14" s="439" t="s">
        <v>1</v>
      </c>
      <c r="C14" s="440"/>
      <c r="D14" s="440"/>
      <c r="E14" s="440"/>
      <c r="F14" s="310" t="s">
        <v>3781</v>
      </c>
      <c r="G14" s="311"/>
      <c r="H14" s="312"/>
      <c r="I14" s="312"/>
      <c r="J14" s="312"/>
      <c r="K14" s="307"/>
      <c r="L14" s="308"/>
      <c r="M14" s="308"/>
    </row>
    <row r="15" spans="2:13" s="300" customFormat="1">
      <c r="B15" s="439" t="s">
        <v>2</v>
      </c>
      <c r="C15" s="440"/>
      <c r="D15" s="440"/>
      <c r="E15" s="440"/>
      <c r="F15" s="313" t="s">
        <v>3782</v>
      </c>
      <c r="G15" s="314"/>
      <c r="H15" s="315"/>
      <c r="I15" s="315"/>
      <c r="K15" s="307"/>
      <c r="L15" s="308"/>
      <c r="M15" s="308"/>
    </row>
    <row r="16" spans="2:13" s="300" customFormat="1">
      <c r="B16" s="439" t="s">
        <v>3</v>
      </c>
      <c r="C16" s="440"/>
      <c r="D16" s="440"/>
      <c r="E16" s="440"/>
      <c r="F16" s="316" t="s">
        <v>3783</v>
      </c>
      <c r="G16" s="315"/>
      <c r="H16" s="315"/>
      <c r="I16" s="315"/>
      <c r="K16" s="307"/>
      <c r="L16" s="308"/>
      <c r="M16" s="308"/>
    </row>
    <row r="17" spans="2:14" s="300" customFormat="1">
      <c r="B17" s="439" t="s">
        <v>4</v>
      </c>
      <c r="C17" s="440"/>
      <c r="D17" s="440"/>
      <c r="E17" s="440"/>
      <c r="F17" s="317" t="s">
        <v>3784</v>
      </c>
      <c r="G17" s="315"/>
      <c r="H17" s="315"/>
      <c r="I17" s="315"/>
      <c r="K17" s="307"/>
      <c r="L17" s="308"/>
      <c r="M17" s="308"/>
    </row>
    <row r="18" spans="2:14" s="300" customFormat="1">
      <c r="B18" s="439" t="s">
        <v>5</v>
      </c>
      <c r="C18" s="440"/>
      <c r="D18" s="440"/>
      <c r="E18" s="440"/>
      <c r="F18" s="317" t="s">
        <v>3785</v>
      </c>
      <c r="G18" s="315"/>
      <c r="H18" s="315"/>
      <c r="I18" s="315"/>
      <c r="K18" s="307"/>
      <c r="L18" s="308"/>
      <c r="M18" s="308"/>
    </row>
    <row r="19" spans="2:14" s="300" customFormat="1">
      <c r="B19" s="439" t="s">
        <v>6</v>
      </c>
      <c r="C19" s="440"/>
      <c r="D19" s="440"/>
      <c r="E19" s="440"/>
      <c r="F19" s="310" t="s">
        <v>3786</v>
      </c>
      <c r="G19" s="314"/>
      <c r="H19" s="318"/>
      <c r="I19" s="318"/>
      <c r="J19" s="318"/>
      <c r="K19" s="318"/>
      <c r="L19" s="318"/>
      <c r="M19" s="318"/>
      <c r="N19" s="318"/>
    </row>
    <row r="20" spans="2:14" s="300" customFormat="1" ht="15" thickBot="1">
      <c r="B20" s="443" t="s">
        <v>7</v>
      </c>
      <c r="C20" s="444"/>
      <c r="D20" s="444"/>
      <c r="E20" s="444"/>
      <c r="F20" s="319" t="s">
        <v>3787</v>
      </c>
      <c r="G20" s="315"/>
      <c r="H20" s="315"/>
      <c r="I20" s="315"/>
      <c r="K20" s="307"/>
      <c r="L20" s="308"/>
      <c r="M20" s="308"/>
    </row>
    <row r="21" spans="2:14">
      <c r="B21" s="306" t="s">
        <v>3788</v>
      </c>
      <c r="C21" s="306"/>
      <c r="D21" s="306"/>
      <c r="E21" s="306"/>
      <c r="F21" s="315"/>
    </row>
    <row r="23" spans="2:14">
      <c r="B23" s="320" t="s">
        <v>3789</v>
      </c>
      <c r="C23" s="306"/>
      <c r="D23" s="321"/>
      <c r="E23" s="322"/>
      <c r="F23" s="300"/>
      <c r="G23" s="300"/>
      <c r="H23" s="300"/>
      <c r="I23" s="300"/>
    </row>
    <row r="24" spans="2:14" ht="15" thickBot="1">
      <c r="B24" s="320" t="s">
        <v>3790</v>
      </c>
      <c r="C24" s="306"/>
      <c r="D24" s="321"/>
      <c r="E24" s="322"/>
      <c r="F24" s="300" t="s">
        <v>3777</v>
      </c>
      <c r="G24" s="300"/>
      <c r="H24" s="300"/>
      <c r="I24" s="300"/>
    </row>
    <row r="25" spans="2:14">
      <c r="B25" s="441" t="s">
        <v>8</v>
      </c>
      <c r="C25" s="442"/>
      <c r="D25" s="442"/>
      <c r="E25" s="442"/>
      <c r="F25" s="323">
        <v>0.84199999999999997</v>
      </c>
      <c r="G25" s="300"/>
      <c r="H25" s="300"/>
      <c r="I25" s="300"/>
    </row>
    <row r="26" spans="2:14">
      <c r="B26" s="439" t="s">
        <v>9</v>
      </c>
      <c r="C26" s="440"/>
      <c r="D26" s="440"/>
      <c r="E26" s="440"/>
      <c r="F26" s="324">
        <v>0.55200000000000005</v>
      </c>
      <c r="G26" s="300"/>
      <c r="H26" s="300"/>
      <c r="I26" s="300"/>
    </row>
    <row r="27" spans="2:14">
      <c r="B27" s="439" t="s">
        <v>10</v>
      </c>
      <c r="C27" s="440"/>
      <c r="D27" s="440"/>
      <c r="E27" s="440"/>
      <c r="F27" s="325">
        <v>0.12180000000000001</v>
      </c>
      <c r="G27" s="300"/>
      <c r="H27" s="300"/>
      <c r="I27" s="300"/>
    </row>
    <row r="28" spans="2:14">
      <c r="B28" s="439" t="s">
        <v>11</v>
      </c>
      <c r="C28" s="440"/>
      <c r="D28" s="440"/>
      <c r="E28" s="440"/>
      <c r="F28" s="325">
        <v>2.8799999999999999E-2</v>
      </c>
      <c r="G28" s="300"/>
      <c r="H28" s="300"/>
      <c r="I28" s="300"/>
    </row>
    <row r="29" spans="2:14">
      <c r="B29" s="439" t="s">
        <v>12</v>
      </c>
      <c r="C29" s="440"/>
      <c r="D29" s="440"/>
      <c r="E29" s="440"/>
      <c r="F29" s="326">
        <f>F27+F28</f>
        <v>0.15060000000000001</v>
      </c>
      <c r="G29" s="300"/>
      <c r="H29" s="300"/>
      <c r="I29" s="300"/>
    </row>
    <row r="30" spans="2:14">
      <c r="B30" s="439" t="s">
        <v>13</v>
      </c>
      <c r="C30" s="440"/>
      <c r="D30" s="440"/>
      <c r="E30" s="440"/>
      <c r="F30" s="325">
        <v>9.9199999999999997E-2</v>
      </c>
      <c r="G30" s="300"/>
      <c r="H30" s="300"/>
      <c r="I30" s="300"/>
    </row>
    <row r="31" spans="2:14">
      <c r="B31" s="439" t="s">
        <v>14</v>
      </c>
      <c r="C31" s="440"/>
      <c r="D31" s="440"/>
      <c r="E31" s="440"/>
      <c r="F31" s="325">
        <v>1</v>
      </c>
      <c r="G31" s="300" t="s">
        <v>3791</v>
      </c>
      <c r="H31" s="300"/>
      <c r="I31" s="300"/>
    </row>
    <row r="32" spans="2:14" ht="15" thickBot="1">
      <c r="B32" s="443" t="s">
        <v>15</v>
      </c>
      <c r="C32" s="444"/>
      <c r="D32" s="444"/>
      <c r="E32" s="444"/>
      <c r="F32" s="327">
        <v>1</v>
      </c>
      <c r="G32" s="300"/>
      <c r="H32" s="300"/>
      <c r="I32" s="300"/>
    </row>
    <row r="33" spans="1:24">
      <c r="A33" s="300"/>
      <c r="B33" s="306"/>
      <c r="C33" s="306"/>
      <c r="D33" s="306"/>
      <c r="E33" s="306"/>
      <c r="F33" s="328"/>
      <c r="G33" s="300"/>
      <c r="H33" s="300"/>
      <c r="I33" s="300"/>
      <c r="J33" s="300"/>
      <c r="K33" s="307"/>
      <c r="L33" s="308"/>
      <c r="M33" s="308"/>
      <c r="N33" s="300"/>
      <c r="O33" s="300"/>
      <c r="P33" s="300"/>
      <c r="Q33" s="300"/>
      <c r="R33" s="300"/>
      <c r="S33" s="300"/>
      <c r="T33" s="300"/>
      <c r="U33" s="300"/>
      <c r="V33" s="300"/>
      <c r="W33" s="300"/>
      <c r="X33" s="300"/>
    </row>
    <row r="34" spans="1:24">
      <c r="A34" s="300"/>
      <c r="B34" s="329" t="s">
        <v>3792</v>
      </c>
      <c r="C34" s="315"/>
      <c r="D34" s="300"/>
      <c r="E34" s="307"/>
      <c r="F34" s="300"/>
      <c r="G34" s="300"/>
      <c r="H34" s="300"/>
      <c r="I34" s="300"/>
      <c r="J34" s="300"/>
      <c r="K34" s="307"/>
      <c r="L34" s="308"/>
      <c r="M34" s="308"/>
      <c r="N34" s="300"/>
      <c r="O34" s="300"/>
      <c r="P34" s="300"/>
      <c r="Q34" s="300"/>
      <c r="R34" s="300"/>
      <c r="S34" s="300"/>
      <c r="T34" s="300"/>
      <c r="U34" s="300"/>
      <c r="V34" s="300"/>
      <c r="W34" s="300"/>
      <c r="X34" s="300"/>
    </row>
    <row r="35" spans="1:24">
      <c r="A35" s="286"/>
      <c r="B35" s="286"/>
      <c r="C35" s="286"/>
      <c r="D35" s="286"/>
      <c r="E35" s="286"/>
      <c r="F35" s="287"/>
      <c r="G35" s="286"/>
      <c r="H35" s="301"/>
      <c r="I35" s="301"/>
      <c r="J35" s="286"/>
      <c r="K35" s="286"/>
      <c r="L35" s="286"/>
      <c r="M35" s="286"/>
      <c r="N35" s="286"/>
      <c r="O35" s="286"/>
      <c r="P35" s="286"/>
      <c r="Q35" s="286"/>
      <c r="R35" s="286"/>
      <c r="S35" s="286"/>
      <c r="T35" s="286"/>
      <c r="U35" s="286"/>
      <c r="V35" s="286"/>
      <c r="W35" s="286"/>
      <c r="X35" s="286"/>
    </row>
    <row r="36" spans="1:24" ht="15" thickBot="1">
      <c r="A36" s="300"/>
      <c r="B36" s="329" t="s">
        <v>3793</v>
      </c>
      <c r="C36" s="300"/>
      <c r="D36" s="300"/>
      <c r="E36" s="307"/>
      <c r="F36" s="307"/>
      <c r="G36" s="300"/>
      <c r="H36" s="300" t="s">
        <v>3794</v>
      </c>
      <c r="I36" s="300"/>
      <c r="J36" s="300"/>
      <c r="K36" s="300"/>
      <c r="L36" s="300"/>
      <c r="M36" s="300"/>
      <c r="N36" s="300"/>
      <c r="O36" s="300"/>
      <c r="P36" s="300"/>
      <c r="Q36" s="300"/>
      <c r="R36" s="300"/>
      <c r="S36" s="300"/>
      <c r="T36" s="300"/>
      <c r="U36" s="300"/>
      <c r="V36" s="300"/>
      <c r="W36" s="300"/>
      <c r="X36" s="300"/>
    </row>
    <row r="37" spans="1:24" ht="15" customHeight="1" thickBot="1">
      <c r="A37" s="315"/>
      <c r="B37" s="451" t="s">
        <v>3795</v>
      </c>
      <c r="C37" s="452"/>
      <c r="D37" s="452"/>
      <c r="E37" s="453" t="s">
        <v>17</v>
      </c>
      <c r="F37" s="454"/>
      <c r="G37" s="330" t="s">
        <v>3796</v>
      </c>
      <c r="H37" s="331"/>
      <c r="I37" s="331"/>
      <c r="J37" s="332"/>
      <c r="K37" s="446" t="s">
        <v>3797</v>
      </c>
      <c r="L37" s="447"/>
      <c r="M37" s="447"/>
      <c r="N37" s="447"/>
      <c r="O37" s="447"/>
      <c r="P37" s="447"/>
      <c r="Q37" s="447"/>
      <c r="R37" s="448"/>
    </row>
    <row r="38" spans="1:24" ht="15" thickBot="1">
      <c r="A38" s="315"/>
      <c r="B38" s="449" t="s">
        <v>16</v>
      </c>
      <c r="C38" s="450"/>
      <c r="D38" s="450"/>
      <c r="E38" s="333" t="s">
        <v>18</v>
      </c>
      <c r="F38" s="334" t="s">
        <v>212</v>
      </c>
      <c r="G38" s="335" t="s">
        <v>2661</v>
      </c>
      <c r="H38" s="336" t="s">
        <v>2662</v>
      </c>
      <c r="I38" s="336" t="s">
        <v>2663</v>
      </c>
      <c r="J38" s="336" t="s">
        <v>2664</v>
      </c>
      <c r="K38" s="330" t="s">
        <v>204</v>
      </c>
      <c r="L38" s="332" t="s">
        <v>203</v>
      </c>
      <c r="M38" s="332"/>
      <c r="N38" s="332" t="s">
        <v>205</v>
      </c>
      <c r="O38" s="442" t="s">
        <v>216</v>
      </c>
      <c r="P38" s="442"/>
      <c r="Q38" s="332" t="s">
        <v>206</v>
      </c>
      <c r="R38" s="332" t="s">
        <v>207</v>
      </c>
      <c r="S38" s="332" t="s">
        <v>217</v>
      </c>
      <c r="T38" s="323" t="s">
        <v>218</v>
      </c>
    </row>
    <row r="39" spans="1:24">
      <c r="A39" s="315"/>
      <c r="B39" s="337" t="s">
        <v>3798</v>
      </c>
      <c r="C39" s="338"/>
      <c r="D39" s="339" t="s">
        <v>3799</v>
      </c>
      <c r="E39" s="340">
        <v>-3.3978609999999998</v>
      </c>
      <c r="F39" s="341">
        <v>34.837608000000003</v>
      </c>
      <c r="G39" s="342">
        <v>12.565665055683967</v>
      </c>
      <c r="H39" s="343">
        <v>0.9665896196679955</v>
      </c>
      <c r="I39" s="343">
        <v>86.467745324648035</v>
      </c>
      <c r="J39" s="344">
        <v>1.0225726959093147</v>
      </c>
      <c r="K39" s="340" t="s">
        <v>229</v>
      </c>
      <c r="L39" s="345" t="s">
        <v>257</v>
      </c>
      <c r="M39" s="345"/>
      <c r="N39" s="345" t="s">
        <v>2656</v>
      </c>
      <c r="O39" s="345" t="s">
        <v>3800</v>
      </c>
      <c r="P39" s="345"/>
      <c r="Q39" s="345" t="s">
        <v>247</v>
      </c>
      <c r="R39" s="345" t="s">
        <v>247</v>
      </c>
      <c r="S39" s="345" t="s">
        <v>234</v>
      </c>
      <c r="T39" s="305" t="s">
        <v>3801</v>
      </c>
    </row>
    <row r="40" spans="1:24">
      <c r="A40" s="315"/>
      <c r="B40" s="346" t="s">
        <v>3802</v>
      </c>
      <c r="C40" s="347"/>
      <c r="D40" s="348" t="s">
        <v>3799</v>
      </c>
      <c r="E40" s="349">
        <v>-3.3978290019999999</v>
      </c>
      <c r="F40" s="350">
        <v>34.837011969999999</v>
      </c>
      <c r="G40" s="351">
        <v>21.13063730679653</v>
      </c>
      <c r="H40" s="352">
        <v>3.0912555579081076</v>
      </c>
      <c r="I40" s="352">
        <v>75.778107135295357</v>
      </c>
      <c r="J40" s="353">
        <v>0.46131099063578063</v>
      </c>
      <c r="K40" s="349" t="s">
        <v>229</v>
      </c>
      <c r="L40" s="445" t="s">
        <v>257</v>
      </c>
      <c r="M40" s="445"/>
      <c r="N40" s="354" t="s">
        <v>2654</v>
      </c>
      <c r="O40" s="354" t="s">
        <v>3800</v>
      </c>
      <c r="P40" s="354"/>
      <c r="Q40" s="354" t="s">
        <v>247</v>
      </c>
      <c r="R40" s="354" t="s">
        <v>247</v>
      </c>
      <c r="S40" s="354" t="s">
        <v>234</v>
      </c>
      <c r="T40" s="309" t="s">
        <v>3801</v>
      </c>
    </row>
    <row r="41" spans="1:24">
      <c r="A41" s="315"/>
      <c r="B41" s="346" t="s">
        <v>3803</v>
      </c>
      <c r="C41" s="347"/>
      <c r="D41" s="348" t="s">
        <v>3799</v>
      </c>
      <c r="E41" s="349">
        <v>-3.3854090330000002</v>
      </c>
      <c r="F41" s="350">
        <v>34.818901029999999</v>
      </c>
      <c r="G41" s="351">
        <v>54.080969906906262</v>
      </c>
      <c r="H41" s="352">
        <v>21.264484651351896</v>
      </c>
      <c r="I41" s="352">
        <v>24.654545441741845</v>
      </c>
      <c r="J41" s="353">
        <v>1.8433218334154755</v>
      </c>
      <c r="K41" s="349" t="s">
        <v>229</v>
      </c>
      <c r="L41" s="445" t="s">
        <v>257</v>
      </c>
      <c r="M41" s="445"/>
      <c r="N41" s="354" t="s">
        <v>2657</v>
      </c>
      <c r="O41" s="354" t="s">
        <v>3800</v>
      </c>
      <c r="P41" s="354"/>
      <c r="Q41" s="354" t="s">
        <v>247</v>
      </c>
      <c r="R41" s="354" t="s">
        <v>247</v>
      </c>
      <c r="S41" s="354" t="s">
        <v>234</v>
      </c>
      <c r="T41" s="309" t="s">
        <v>3801</v>
      </c>
    </row>
    <row r="42" spans="1:24">
      <c r="A42" s="315"/>
      <c r="B42" s="346" t="s">
        <v>3804</v>
      </c>
      <c r="C42" s="347"/>
      <c r="D42" s="348" t="s">
        <v>3799</v>
      </c>
      <c r="E42" s="349">
        <v>-3.3849129919999998</v>
      </c>
      <c r="F42" s="350">
        <v>34.818899020000003</v>
      </c>
      <c r="G42" s="351">
        <v>51.960000000000008</v>
      </c>
      <c r="H42" s="352">
        <v>18.919999999999995</v>
      </c>
      <c r="I42" s="352">
        <v>29.120000000000005</v>
      </c>
      <c r="J42" s="353">
        <v>1.85293247905372</v>
      </c>
      <c r="K42" s="349" t="s">
        <v>229</v>
      </c>
      <c r="L42" s="445" t="s">
        <v>257</v>
      </c>
      <c r="M42" s="445"/>
      <c r="N42" s="354" t="s">
        <v>2657</v>
      </c>
      <c r="O42" s="354" t="s">
        <v>3800</v>
      </c>
      <c r="P42" s="354"/>
      <c r="Q42" s="354" t="s">
        <v>247</v>
      </c>
      <c r="R42" s="354" t="s">
        <v>247</v>
      </c>
      <c r="S42" s="354" t="s">
        <v>234</v>
      </c>
      <c r="T42" s="309" t="s">
        <v>3801</v>
      </c>
    </row>
    <row r="43" spans="1:24">
      <c r="A43" s="315"/>
      <c r="B43" s="346" t="s">
        <v>3805</v>
      </c>
      <c r="C43" s="347"/>
      <c r="D43" s="348" t="s">
        <v>3806</v>
      </c>
      <c r="E43" s="349">
        <v>-3.4092039989999998</v>
      </c>
      <c r="F43" s="350">
        <v>34.852751009999999</v>
      </c>
      <c r="G43" s="351">
        <v>23.96</v>
      </c>
      <c r="H43" s="352">
        <v>0.91999999999999804</v>
      </c>
      <c r="I43" s="352">
        <v>75.12</v>
      </c>
      <c r="J43" s="353">
        <v>1.2493839329719072</v>
      </c>
      <c r="K43" s="349" t="s">
        <v>229</v>
      </c>
      <c r="L43" s="445" t="s">
        <v>244</v>
      </c>
      <c r="M43" s="445"/>
      <c r="N43" s="354" t="s">
        <v>2654</v>
      </c>
      <c r="O43" s="354" t="s">
        <v>3800</v>
      </c>
      <c r="P43" s="354"/>
      <c r="Q43" s="354" t="s">
        <v>247</v>
      </c>
      <c r="R43" s="354" t="s">
        <v>247</v>
      </c>
      <c r="S43" s="354" t="s">
        <v>234</v>
      </c>
      <c r="T43" s="309" t="s">
        <v>3801</v>
      </c>
    </row>
    <row r="44" spans="1:24">
      <c r="A44" s="315"/>
      <c r="B44" s="346" t="s">
        <v>3807</v>
      </c>
      <c r="C44" s="347"/>
      <c r="D44" s="348" t="s">
        <v>3806</v>
      </c>
      <c r="E44" s="349">
        <v>-3.4083420040000001</v>
      </c>
      <c r="F44" s="350">
        <v>34.850283040000001</v>
      </c>
      <c r="G44" s="351">
        <v>19.96</v>
      </c>
      <c r="H44" s="352">
        <v>4.9199999999999982</v>
      </c>
      <c r="I44" s="352">
        <v>75.12</v>
      </c>
      <c r="J44" s="353">
        <v>1.641498275012321</v>
      </c>
      <c r="K44" s="349" t="s">
        <v>229</v>
      </c>
      <c r="L44" s="445" t="s">
        <v>244</v>
      </c>
      <c r="M44" s="445"/>
      <c r="N44" s="354" t="s">
        <v>2655</v>
      </c>
      <c r="O44" s="354" t="s">
        <v>3800</v>
      </c>
      <c r="P44" s="354"/>
      <c r="Q44" s="354" t="s">
        <v>247</v>
      </c>
      <c r="R44" s="354" t="s">
        <v>247</v>
      </c>
      <c r="S44" s="354" t="s">
        <v>234</v>
      </c>
      <c r="T44" s="309" t="s">
        <v>3801</v>
      </c>
    </row>
    <row r="45" spans="1:24">
      <c r="A45" s="315"/>
      <c r="B45" s="346" t="s">
        <v>3808</v>
      </c>
      <c r="C45" s="347"/>
      <c r="D45" s="348" t="s">
        <v>3806</v>
      </c>
      <c r="E45" s="349">
        <v>-3.406225992</v>
      </c>
      <c r="F45" s="350">
        <v>34.85055998</v>
      </c>
      <c r="G45" s="351">
        <v>21.96</v>
      </c>
      <c r="H45" s="352">
        <v>8.9199999999999982</v>
      </c>
      <c r="I45" s="352">
        <v>69.12</v>
      </c>
      <c r="J45" s="353">
        <v>1.7491375061606702</v>
      </c>
      <c r="K45" s="349" t="s">
        <v>229</v>
      </c>
      <c r="L45" s="445" t="s">
        <v>244</v>
      </c>
      <c r="M45" s="445"/>
      <c r="N45" s="354" t="s">
        <v>2654</v>
      </c>
      <c r="O45" s="354" t="s">
        <v>3800</v>
      </c>
      <c r="P45" s="354"/>
      <c r="Q45" s="354" t="s">
        <v>247</v>
      </c>
      <c r="R45" s="354" t="s">
        <v>247</v>
      </c>
      <c r="S45" s="354" t="s">
        <v>234</v>
      </c>
      <c r="T45" s="309" t="s">
        <v>3801</v>
      </c>
    </row>
    <row r="46" spans="1:24">
      <c r="A46" s="315"/>
      <c r="B46" s="346" t="s">
        <v>3809</v>
      </c>
      <c r="C46" s="347"/>
      <c r="D46" s="348" t="s">
        <v>3806</v>
      </c>
      <c r="E46" s="349">
        <v>-3.4064239729999999</v>
      </c>
      <c r="F46" s="350">
        <v>34.851213010000002</v>
      </c>
      <c r="G46" s="351">
        <v>25.96</v>
      </c>
      <c r="H46" s="352">
        <v>6.9200000000000008</v>
      </c>
      <c r="I46" s="352">
        <v>67.12</v>
      </c>
      <c r="J46" s="353">
        <v>1.7568260226712666</v>
      </c>
      <c r="K46" s="349" t="s">
        <v>229</v>
      </c>
      <c r="L46" s="445" t="s">
        <v>244</v>
      </c>
      <c r="M46" s="445"/>
      <c r="N46" s="354" t="s">
        <v>2654</v>
      </c>
      <c r="O46" s="354" t="s">
        <v>3800</v>
      </c>
      <c r="P46" s="354"/>
      <c r="Q46" s="354" t="s">
        <v>247</v>
      </c>
      <c r="R46" s="354" t="s">
        <v>247</v>
      </c>
      <c r="S46" s="354" t="s">
        <v>234</v>
      </c>
      <c r="T46" s="309" t="s">
        <v>3801</v>
      </c>
    </row>
    <row r="47" spans="1:24">
      <c r="A47" s="315"/>
      <c r="B47" s="346" t="s">
        <v>3810</v>
      </c>
      <c r="C47" s="347"/>
      <c r="D47" s="348" t="s">
        <v>3811</v>
      </c>
      <c r="E47" s="349">
        <v>-3.2993960379999998</v>
      </c>
      <c r="F47" s="350">
        <v>34.848240959999998</v>
      </c>
      <c r="G47" s="351">
        <v>47.96</v>
      </c>
      <c r="H47" s="352">
        <v>22.919999999999995</v>
      </c>
      <c r="I47" s="352">
        <v>29.120000000000012</v>
      </c>
      <c r="J47" s="353">
        <v>2.8831936914736325</v>
      </c>
      <c r="K47" s="349" t="s">
        <v>229</v>
      </c>
      <c r="L47" s="445" t="s">
        <v>230</v>
      </c>
      <c r="M47" s="445"/>
      <c r="N47" s="354" t="s">
        <v>2657</v>
      </c>
      <c r="O47" s="354" t="s">
        <v>3800</v>
      </c>
      <c r="P47" s="354"/>
      <c r="Q47" s="354" t="s">
        <v>247</v>
      </c>
      <c r="R47" s="354" t="s">
        <v>247</v>
      </c>
      <c r="S47" s="354" t="s">
        <v>234</v>
      </c>
      <c r="T47" s="309" t="s">
        <v>3801</v>
      </c>
    </row>
    <row r="48" spans="1:24">
      <c r="A48" s="315"/>
      <c r="B48" s="346" t="s">
        <v>3812</v>
      </c>
      <c r="C48" s="347"/>
      <c r="D48" s="348" t="s">
        <v>3811</v>
      </c>
      <c r="E48" s="349">
        <v>-3.3025860229999999</v>
      </c>
      <c r="F48" s="350">
        <v>34.848048009999999</v>
      </c>
      <c r="G48" s="351">
        <v>45.272914521112256</v>
      </c>
      <c r="H48" s="352">
        <v>23.604531410916575</v>
      </c>
      <c r="I48" s="352">
        <v>31.122554067971166</v>
      </c>
      <c r="J48" s="353">
        <v>2.0547560374568752</v>
      </c>
      <c r="K48" s="349" t="s">
        <v>229</v>
      </c>
      <c r="L48" s="445" t="s">
        <v>230</v>
      </c>
      <c r="M48" s="445"/>
      <c r="N48" s="354" t="s">
        <v>2657</v>
      </c>
      <c r="O48" s="354" t="s">
        <v>3800</v>
      </c>
      <c r="P48" s="354"/>
      <c r="Q48" s="354" t="s">
        <v>247</v>
      </c>
      <c r="R48" s="354" t="s">
        <v>247</v>
      </c>
      <c r="S48" s="354" t="s">
        <v>234</v>
      </c>
      <c r="T48" s="309" t="s">
        <v>3801</v>
      </c>
    </row>
    <row r="49" spans="1:20">
      <c r="A49" s="315"/>
      <c r="B49" s="346" t="s">
        <v>3813</v>
      </c>
      <c r="C49" s="347"/>
      <c r="D49" s="348" t="s">
        <v>3811</v>
      </c>
      <c r="E49" s="349">
        <v>-3.2957159630000001</v>
      </c>
      <c r="F49" s="350">
        <v>34.852460999999998</v>
      </c>
      <c r="G49" s="351">
        <v>38.691629007962128</v>
      </c>
      <c r="H49" s="352">
        <v>26.81299763288143</v>
      </c>
      <c r="I49" s="352">
        <v>34.495373359156439</v>
      </c>
      <c r="J49" s="353">
        <v>2.5483587974371611</v>
      </c>
      <c r="K49" s="349" t="s">
        <v>229</v>
      </c>
      <c r="L49" s="445" t="s">
        <v>230</v>
      </c>
      <c r="M49" s="445"/>
      <c r="N49" s="354" t="s">
        <v>2659</v>
      </c>
      <c r="O49" s="354" t="s">
        <v>3800</v>
      </c>
      <c r="P49" s="354"/>
      <c r="Q49" s="354" t="s">
        <v>247</v>
      </c>
      <c r="R49" s="354" t="s">
        <v>247</v>
      </c>
      <c r="S49" s="354" t="s">
        <v>234</v>
      </c>
      <c r="T49" s="309" t="s">
        <v>3801</v>
      </c>
    </row>
    <row r="50" spans="1:20">
      <c r="A50" s="315"/>
      <c r="B50" s="346" t="s">
        <v>3814</v>
      </c>
      <c r="C50" s="347"/>
      <c r="D50" s="348" t="s">
        <v>3811</v>
      </c>
      <c r="E50" s="349">
        <v>-3.2966709980000002</v>
      </c>
      <c r="F50" s="350">
        <v>34.854407019999996</v>
      </c>
      <c r="G50" s="351">
        <v>28.145762029394</v>
      </c>
      <c r="H50" s="352">
        <v>25.085564727199518</v>
      </c>
      <c r="I50" s="352">
        <v>46.768673243406489</v>
      </c>
      <c r="J50" s="353">
        <v>2.1716214884179394</v>
      </c>
      <c r="K50" s="349" t="s">
        <v>229</v>
      </c>
      <c r="L50" s="445" t="s">
        <v>230</v>
      </c>
      <c r="M50" s="445"/>
      <c r="N50" s="354" t="s">
        <v>2654</v>
      </c>
      <c r="O50" s="354" t="s">
        <v>3800</v>
      </c>
      <c r="P50" s="354"/>
      <c r="Q50" s="354" t="s">
        <v>247</v>
      </c>
      <c r="R50" s="354" t="s">
        <v>247</v>
      </c>
      <c r="S50" s="354" t="s">
        <v>234</v>
      </c>
      <c r="T50" s="309" t="s">
        <v>3801</v>
      </c>
    </row>
    <row r="51" spans="1:20">
      <c r="A51" s="300"/>
      <c r="B51" s="346" t="s">
        <v>3815</v>
      </c>
      <c r="C51" s="347"/>
      <c r="D51" s="348" t="s">
        <v>3816</v>
      </c>
      <c r="E51" s="349">
        <v>-2.3691620310000001</v>
      </c>
      <c r="F51" s="350">
        <v>34.06028104</v>
      </c>
      <c r="G51" s="351">
        <v>45.96</v>
      </c>
      <c r="H51" s="352">
        <v>14.920000000000003</v>
      </c>
      <c r="I51" s="352">
        <v>39.119999999999997</v>
      </c>
      <c r="J51" s="353">
        <v>2.0374568753080333</v>
      </c>
      <c r="K51" s="349" t="s">
        <v>229</v>
      </c>
      <c r="L51" s="445" t="s">
        <v>257</v>
      </c>
      <c r="M51" s="445"/>
      <c r="N51" s="354" t="s">
        <v>2657</v>
      </c>
      <c r="O51" s="354" t="s">
        <v>3800</v>
      </c>
      <c r="P51" s="354"/>
      <c r="Q51" s="354" t="s">
        <v>247</v>
      </c>
      <c r="R51" s="354" t="s">
        <v>247</v>
      </c>
      <c r="S51" s="354" t="s">
        <v>234</v>
      </c>
      <c r="T51" s="309" t="s">
        <v>3801</v>
      </c>
    </row>
    <row r="52" spans="1:20">
      <c r="A52" s="300"/>
      <c r="B52" s="346" t="s">
        <v>3817</v>
      </c>
      <c r="C52" s="347"/>
      <c r="D52" s="348" t="s">
        <v>3816</v>
      </c>
      <c r="E52" s="349">
        <v>-2.3698080240000001</v>
      </c>
      <c r="F52" s="350">
        <v>34.059671010000002</v>
      </c>
      <c r="G52" s="351">
        <v>34.344660194174757</v>
      </c>
      <c r="H52" s="352">
        <v>19.22727272727273</v>
      </c>
      <c r="I52" s="352">
        <v>46.428067078552509</v>
      </c>
      <c r="J52" s="353">
        <v>1.7452932479053718</v>
      </c>
      <c r="K52" s="349" t="s">
        <v>229</v>
      </c>
      <c r="L52" s="445" t="s">
        <v>257</v>
      </c>
      <c r="M52" s="445"/>
      <c r="N52" s="354" t="s">
        <v>2654</v>
      </c>
      <c r="O52" s="354" t="s">
        <v>3800</v>
      </c>
      <c r="P52" s="354"/>
      <c r="Q52" s="354" t="s">
        <v>247</v>
      </c>
      <c r="R52" s="354" t="s">
        <v>247</v>
      </c>
      <c r="S52" s="354" t="s">
        <v>234</v>
      </c>
      <c r="T52" s="309" t="s">
        <v>3801</v>
      </c>
    </row>
    <row r="53" spans="1:20">
      <c r="A53" s="300"/>
      <c r="B53" s="346" t="s">
        <v>3818</v>
      </c>
      <c r="C53" s="347"/>
      <c r="D53" s="348" t="s">
        <v>3816</v>
      </c>
      <c r="E53" s="349">
        <v>-2.3487199940000001</v>
      </c>
      <c r="F53" s="350">
        <v>34.051391029999998</v>
      </c>
      <c r="G53" s="351">
        <v>27.96</v>
      </c>
      <c r="H53" s="352">
        <v>4.9200000000000017</v>
      </c>
      <c r="I53" s="352">
        <v>67.12</v>
      </c>
      <c r="J53" s="353">
        <v>0.88610152784622953</v>
      </c>
      <c r="K53" s="349" t="s">
        <v>229</v>
      </c>
      <c r="L53" s="445" t="s">
        <v>257</v>
      </c>
      <c r="M53" s="445"/>
      <c r="N53" s="354" t="s">
        <v>2654</v>
      </c>
      <c r="O53" s="354" t="s">
        <v>3800</v>
      </c>
      <c r="P53" s="354"/>
      <c r="Q53" s="354" t="s">
        <v>247</v>
      </c>
      <c r="R53" s="354" t="s">
        <v>247</v>
      </c>
      <c r="S53" s="354" t="s">
        <v>234</v>
      </c>
      <c r="T53" s="309" t="s">
        <v>3801</v>
      </c>
    </row>
    <row r="54" spans="1:20">
      <c r="A54" s="300"/>
      <c r="B54" s="346" t="s">
        <v>3819</v>
      </c>
      <c r="C54" s="347"/>
      <c r="D54" s="348" t="s">
        <v>3816</v>
      </c>
      <c r="E54" s="349">
        <v>-2.3492639789999998</v>
      </c>
      <c r="F54" s="350">
        <v>34.051464029999998</v>
      </c>
      <c r="G54" s="351">
        <v>17.96</v>
      </c>
      <c r="H54" s="352">
        <v>4.9199999999999982</v>
      </c>
      <c r="I54" s="352">
        <v>77.12</v>
      </c>
      <c r="J54" s="353">
        <v>2.0220798422868409</v>
      </c>
      <c r="K54" s="349" t="s">
        <v>229</v>
      </c>
      <c r="L54" s="445" t="s">
        <v>257</v>
      </c>
      <c r="M54" s="445"/>
      <c r="N54" s="354" t="s">
        <v>2655</v>
      </c>
      <c r="O54" s="354" t="s">
        <v>3800</v>
      </c>
      <c r="P54" s="354"/>
      <c r="Q54" s="354" t="s">
        <v>247</v>
      </c>
      <c r="R54" s="354" t="s">
        <v>247</v>
      </c>
      <c r="S54" s="354" t="s">
        <v>234</v>
      </c>
      <c r="T54" s="309" t="s">
        <v>3801</v>
      </c>
    </row>
    <row r="55" spans="1:20">
      <c r="B55" s="346" t="s">
        <v>3820</v>
      </c>
      <c r="C55" s="347"/>
      <c r="D55" s="348" t="s">
        <v>3821</v>
      </c>
      <c r="E55" s="349">
        <v>-2.3503360249999998</v>
      </c>
      <c r="F55" s="350">
        <v>34.049662009999999</v>
      </c>
      <c r="G55" s="351">
        <v>31.214836424255054</v>
      </c>
      <c r="H55" s="352">
        <v>11.377370285476141</v>
      </c>
      <c r="I55" s="352">
        <v>57.407793290268799</v>
      </c>
      <c r="J55" s="353">
        <v>1.7337604731394776</v>
      </c>
      <c r="K55" s="349" t="s">
        <v>229</v>
      </c>
      <c r="L55" s="445" t="s">
        <v>244</v>
      </c>
      <c r="M55" s="445"/>
      <c r="N55" s="354" t="s">
        <v>2654</v>
      </c>
      <c r="O55" s="354" t="s">
        <v>3800</v>
      </c>
      <c r="P55" s="354"/>
      <c r="Q55" s="354" t="s">
        <v>247</v>
      </c>
      <c r="R55" s="354" t="s">
        <v>247</v>
      </c>
      <c r="S55" s="354" t="s">
        <v>234</v>
      </c>
      <c r="T55" s="309" t="s">
        <v>3801</v>
      </c>
    </row>
    <row r="56" spans="1:20">
      <c r="B56" s="346" t="s">
        <v>3822</v>
      </c>
      <c r="C56" s="347"/>
      <c r="D56" s="348" t="s">
        <v>3821</v>
      </c>
      <c r="E56" s="349">
        <v>-2.348596025</v>
      </c>
      <c r="F56" s="350">
        <v>34.050070959999999</v>
      </c>
      <c r="G56" s="351">
        <v>33.96</v>
      </c>
      <c r="H56" s="352">
        <v>8.9200000000000017</v>
      </c>
      <c r="I56" s="352">
        <v>57.12</v>
      </c>
      <c r="J56" s="353">
        <v>2.072055199605717</v>
      </c>
      <c r="K56" s="349" t="s">
        <v>229</v>
      </c>
      <c r="L56" s="445" t="s">
        <v>244</v>
      </c>
      <c r="M56" s="445"/>
      <c r="N56" s="354" t="s">
        <v>2654</v>
      </c>
      <c r="O56" s="354" t="s">
        <v>3800</v>
      </c>
      <c r="P56" s="354"/>
      <c r="Q56" s="354" t="s">
        <v>247</v>
      </c>
      <c r="R56" s="354" t="s">
        <v>247</v>
      </c>
      <c r="S56" s="354" t="s">
        <v>234</v>
      </c>
      <c r="T56" s="309" t="s">
        <v>3801</v>
      </c>
    </row>
    <row r="57" spans="1:20">
      <c r="B57" s="346" t="s">
        <v>3823</v>
      </c>
      <c r="C57" s="347"/>
      <c r="D57" s="348" t="s">
        <v>3821</v>
      </c>
      <c r="E57" s="349">
        <v>-2.3675269729999999</v>
      </c>
      <c r="F57" s="350">
        <v>34.06035799</v>
      </c>
      <c r="G57" s="351">
        <v>39.96</v>
      </c>
      <c r="H57" s="352">
        <v>12.920000000000002</v>
      </c>
      <c r="I57" s="352">
        <v>47.12</v>
      </c>
      <c r="J57" s="353">
        <v>1.6549531789058647</v>
      </c>
      <c r="K57" s="349" t="s">
        <v>229</v>
      </c>
      <c r="L57" s="445" t="s">
        <v>244</v>
      </c>
      <c r="M57" s="445"/>
      <c r="N57" s="354" t="s">
        <v>2658</v>
      </c>
      <c r="O57" s="354" t="s">
        <v>3800</v>
      </c>
      <c r="P57" s="354"/>
      <c r="Q57" s="354" t="s">
        <v>247</v>
      </c>
      <c r="R57" s="354" t="s">
        <v>247</v>
      </c>
      <c r="S57" s="354" t="s">
        <v>234</v>
      </c>
      <c r="T57" s="309" t="s">
        <v>3801</v>
      </c>
    </row>
    <row r="58" spans="1:20">
      <c r="B58" s="346" t="s">
        <v>3824</v>
      </c>
      <c r="C58" s="347"/>
      <c r="D58" s="348" t="s">
        <v>3821</v>
      </c>
      <c r="E58" s="349">
        <v>-2.3676780150000001</v>
      </c>
      <c r="F58" s="350">
        <v>34.05937797</v>
      </c>
      <c r="G58" s="351">
        <v>27.96</v>
      </c>
      <c r="H58" s="352">
        <v>4.9200000000000017</v>
      </c>
      <c r="I58" s="352">
        <v>67.12</v>
      </c>
      <c r="J58" s="353">
        <v>1.0437161163134547</v>
      </c>
      <c r="K58" s="349" t="s">
        <v>229</v>
      </c>
      <c r="L58" s="445" t="s">
        <v>244</v>
      </c>
      <c r="M58" s="445"/>
      <c r="N58" s="354" t="s">
        <v>2654</v>
      </c>
      <c r="O58" s="354" t="s">
        <v>3800</v>
      </c>
      <c r="P58" s="354"/>
      <c r="Q58" s="354" t="s">
        <v>247</v>
      </c>
      <c r="R58" s="354" t="s">
        <v>247</v>
      </c>
      <c r="S58" s="354" t="s">
        <v>234</v>
      </c>
      <c r="T58" s="309" t="s">
        <v>3801</v>
      </c>
    </row>
    <row r="59" spans="1:20">
      <c r="B59" s="346" t="s">
        <v>3825</v>
      </c>
      <c r="C59" s="347"/>
      <c r="D59" s="348" t="s">
        <v>3826</v>
      </c>
      <c r="E59" s="349">
        <v>-2.272751033</v>
      </c>
      <c r="F59" s="350">
        <v>34.023176030000002</v>
      </c>
      <c r="G59" s="351">
        <v>21.96</v>
      </c>
      <c r="H59" s="352">
        <v>4.9199999999999982</v>
      </c>
      <c r="I59" s="352">
        <v>73.12</v>
      </c>
      <c r="J59" s="353">
        <v>1.2416954164613114</v>
      </c>
      <c r="K59" s="349" t="s">
        <v>229</v>
      </c>
      <c r="L59" s="445" t="s">
        <v>230</v>
      </c>
      <c r="M59" s="445"/>
      <c r="N59" s="354" t="s">
        <v>2654</v>
      </c>
      <c r="O59" s="354" t="s">
        <v>3800</v>
      </c>
      <c r="P59" s="354"/>
      <c r="Q59" s="354" t="s">
        <v>247</v>
      </c>
      <c r="R59" s="354" t="s">
        <v>247</v>
      </c>
      <c r="S59" s="354" t="s">
        <v>234</v>
      </c>
      <c r="T59" s="309" t="s">
        <v>3801</v>
      </c>
    </row>
    <row r="60" spans="1:20">
      <c r="B60" s="346" t="s">
        <v>3827</v>
      </c>
      <c r="C60" s="347"/>
      <c r="D60" s="348" t="s">
        <v>3826</v>
      </c>
      <c r="E60" s="349">
        <v>-2.2784290180000002</v>
      </c>
      <c r="F60" s="350">
        <v>34.024240030000001</v>
      </c>
      <c r="G60" s="351">
        <v>23.96</v>
      </c>
      <c r="H60" s="352">
        <v>4.9199999999999982</v>
      </c>
      <c r="I60" s="352">
        <v>71.12</v>
      </c>
      <c r="J60" s="353">
        <v>3.30913750616067</v>
      </c>
      <c r="K60" s="349" t="s">
        <v>229</v>
      </c>
      <c r="L60" s="445" t="s">
        <v>230</v>
      </c>
      <c r="M60" s="445"/>
      <c r="N60" s="354" t="s">
        <v>2654</v>
      </c>
      <c r="O60" s="354" t="s">
        <v>3800</v>
      </c>
      <c r="P60" s="354"/>
      <c r="Q60" s="354" t="s">
        <v>247</v>
      </c>
      <c r="R60" s="354" t="s">
        <v>247</v>
      </c>
      <c r="S60" s="354" t="s">
        <v>234</v>
      </c>
      <c r="T60" s="309" t="s">
        <v>3801</v>
      </c>
    </row>
    <row r="61" spans="1:20">
      <c r="B61" s="346" t="s">
        <v>3828</v>
      </c>
      <c r="C61" s="347"/>
      <c r="D61" s="348" t="s">
        <v>3826</v>
      </c>
      <c r="E61" s="349">
        <v>-2.277740026</v>
      </c>
      <c r="F61" s="350">
        <v>34.027640990000002</v>
      </c>
      <c r="G61" s="351">
        <v>25.96</v>
      </c>
      <c r="H61" s="352">
        <v>8.9200000000000017</v>
      </c>
      <c r="I61" s="352">
        <v>65.12</v>
      </c>
      <c r="J61" s="353">
        <v>1.614588467225234</v>
      </c>
      <c r="K61" s="349" t="s">
        <v>229</v>
      </c>
      <c r="L61" s="445" t="s">
        <v>230</v>
      </c>
      <c r="M61" s="445"/>
      <c r="N61" s="354" t="s">
        <v>2654</v>
      </c>
      <c r="O61" s="354" t="s">
        <v>3800</v>
      </c>
      <c r="P61" s="354"/>
      <c r="Q61" s="354" t="s">
        <v>247</v>
      </c>
      <c r="R61" s="354" t="s">
        <v>247</v>
      </c>
      <c r="S61" s="354" t="s">
        <v>234</v>
      </c>
      <c r="T61" s="309" t="s">
        <v>3801</v>
      </c>
    </row>
    <row r="62" spans="1:20">
      <c r="B62" s="346" t="s">
        <v>3829</v>
      </c>
      <c r="C62" s="347"/>
      <c r="D62" s="348" t="s">
        <v>3826</v>
      </c>
      <c r="E62" s="349">
        <v>-2.2787330300000002</v>
      </c>
      <c r="F62" s="350">
        <v>34.032136029999997</v>
      </c>
      <c r="G62" s="351">
        <v>25.96</v>
      </c>
      <c r="H62" s="352">
        <v>8.9200000000000017</v>
      </c>
      <c r="I62" s="352">
        <v>65.12</v>
      </c>
      <c r="J62" s="353">
        <v>1.6991621488417901</v>
      </c>
      <c r="K62" s="349" t="s">
        <v>229</v>
      </c>
      <c r="L62" s="445" t="s">
        <v>230</v>
      </c>
      <c r="M62" s="445"/>
      <c r="N62" s="354" t="s">
        <v>2654</v>
      </c>
      <c r="O62" s="354" t="s">
        <v>3800</v>
      </c>
      <c r="P62" s="354"/>
      <c r="Q62" s="354" t="s">
        <v>247</v>
      </c>
      <c r="R62" s="354" t="s">
        <v>247</v>
      </c>
      <c r="S62" s="354" t="s">
        <v>234</v>
      </c>
      <c r="T62" s="309" t="s">
        <v>3801</v>
      </c>
    </row>
    <row r="63" spans="1:20" ht="15" thickBot="1">
      <c r="B63" s="355" t="s">
        <v>2512</v>
      </c>
      <c r="C63" s="356"/>
      <c r="D63" s="357" t="s">
        <v>3830</v>
      </c>
      <c r="E63" s="358">
        <v>-2.439403972</v>
      </c>
      <c r="F63" s="359">
        <v>34.838404959999998</v>
      </c>
      <c r="G63" s="360">
        <v>22.017293559158162</v>
      </c>
      <c r="H63" s="361">
        <v>6.5855206693798616</v>
      </c>
      <c r="I63" s="361">
        <v>71.397185771461977</v>
      </c>
      <c r="J63" s="362">
        <v>1.1393420404139967</v>
      </c>
      <c r="K63" s="358" t="s">
        <v>229</v>
      </c>
      <c r="L63" s="363" t="s">
        <v>230</v>
      </c>
      <c r="M63" s="363"/>
      <c r="N63" s="363" t="s">
        <v>2654</v>
      </c>
      <c r="O63" s="363" t="s">
        <v>3800</v>
      </c>
      <c r="P63" s="363"/>
      <c r="Q63" s="363" t="s">
        <v>247</v>
      </c>
      <c r="R63" s="363" t="s">
        <v>247</v>
      </c>
      <c r="S63" s="363" t="s">
        <v>234</v>
      </c>
      <c r="T63" s="364" t="s">
        <v>3801</v>
      </c>
    </row>
    <row r="64" spans="1:20">
      <c r="B64" s="329" t="s">
        <v>3831</v>
      </c>
    </row>
    <row r="67" spans="2:41" ht="15" thickBot="1">
      <c r="B67" s="329" t="s">
        <v>3832</v>
      </c>
      <c r="C67" s="315"/>
      <c r="D67" s="315"/>
      <c r="E67" s="315"/>
      <c r="F67" s="365"/>
      <c r="G67" s="365"/>
      <c r="H67" s="365"/>
      <c r="I67" s="365"/>
      <c r="J67" s="315"/>
      <c r="K67" s="366"/>
      <c r="L67" s="367"/>
    </row>
    <row r="68" spans="2:41" ht="15" thickBot="1">
      <c r="B68" s="458" t="s">
        <v>21</v>
      </c>
      <c r="C68" s="459"/>
      <c r="D68" s="459"/>
      <c r="E68" s="459"/>
      <c r="F68" s="368" t="s">
        <v>3833</v>
      </c>
      <c r="G68" s="369"/>
      <c r="H68" s="369"/>
      <c r="I68" s="369"/>
      <c r="J68" s="369"/>
      <c r="K68" s="369"/>
      <c r="L68" s="370"/>
    </row>
    <row r="69" spans="2:41">
      <c r="B69" s="460" t="s">
        <v>22</v>
      </c>
      <c r="C69" s="461"/>
      <c r="D69" s="461"/>
      <c r="E69" s="461"/>
      <c r="F69" s="371" t="s">
        <v>3834</v>
      </c>
      <c r="G69" s="372"/>
      <c r="H69" s="372"/>
      <c r="I69" s="372"/>
      <c r="J69" s="372"/>
      <c r="K69" s="372"/>
      <c r="L69" s="373"/>
    </row>
    <row r="70" spans="2:41" ht="15" thickBot="1">
      <c r="B70" s="462" t="s">
        <v>25</v>
      </c>
      <c r="C70" s="463"/>
      <c r="D70" s="463"/>
      <c r="E70" s="463"/>
      <c r="F70" s="464" t="s">
        <v>3835</v>
      </c>
      <c r="G70" s="445"/>
      <c r="H70" s="445"/>
      <c r="I70" s="445"/>
      <c r="J70" s="445"/>
      <c r="K70" s="445"/>
      <c r="L70" s="445"/>
      <c r="M70" s="445"/>
      <c r="N70" s="445"/>
    </row>
    <row r="71" spans="2:41">
      <c r="B71" s="329" t="s">
        <v>3836</v>
      </c>
    </row>
    <row r="72" spans="2:41" ht="18">
      <c r="AO72" s="374"/>
    </row>
    <row r="73" spans="2:41">
      <c r="D73" s="455" t="s">
        <v>3837</v>
      </c>
      <c r="E73" s="455"/>
      <c r="F73" s="455"/>
      <c r="G73" s="455"/>
      <c r="H73" s="455"/>
    </row>
    <row r="74" spans="2:41" ht="18.600000000000001" thickBot="1">
      <c r="B74" s="375" t="s">
        <v>3838</v>
      </c>
      <c r="D74" s="456"/>
      <c r="E74" s="456"/>
      <c r="F74" s="456"/>
      <c r="G74" s="456"/>
      <c r="H74" s="456"/>
      <c r="AG74" s="457" t="s">
        <v>3839</v>
      </c>
      <c r="AH74" s="457"/>
      <c r="AI74" s="457"/>
      <c r="AJ74" s="457"/>
      <c r="AK74" s="457"/>
      <c r="AL74" s="457"/>
    </row>
    <row r="75" spans="2:41" ht="101.4" thickBot="1">
      <c r="B75" s="376" t="s">
        <v>2451</v>
      </c>
      <c r="C75" s="109" t="s">
        <v>23</v>
      </c>
      <c r="D75" s="109" t="s">
        <v>3840</v>
      </c>
      <c r="E75" s="109" t="s">
        <v>25</v>
      </c>
      <c r="F75" s="109" t="s">
        <v>26</v>
      </c>
      <c r="G75" s="377" t="s">
        <v>27</v>
      </c>
      <c r="H75" s="109" t="s">
        <v>3841</v>
      </c>
      <c r="I75" s="109" t="s">
        <v>3842</v>
      </c>
      <c r="J75" s="109" t="s">
        <v>3843</v>
      </c>
      <c r="K75" s="109" t="s">
        <v>28</v>
      </c>
      <c r="L75" s="109" t="s">
        <v>29</v>
      </c>
      <c r="M75" s="109" t="s">
        <v>3844</v>
      </c>
      <c r="N75" s="109" t="s">
        <v>3845</v>
      </c>
      <c r="O75" s="109" t="s">
        <v>30</v>
      </c>
      <c r="P75" s="109" t="s">
        <v>3846</v>
      </c>
      <c r="Q75" s="109" t="s">
        <v>3847</v>
      </c>
      <c r="R75" s="377" t="s">
        <v>31</v>
      </c>
      <c r="S75" s="109" t="s">
        <v>3848</v>
      </c>
      <c r="T75" s="109" t="s">
        <v>3849</v>
      </c>
      <c r="U75" s="109" t="s">
        <v>34</v>
      </c>
      <c r="V75" s="109" t="s">
        <v>35</v>
      </c>
      <c r="W75" s="109" t="s">
        <v>3850</v>
      </c>
      <c r="X75" s="109" t="s">
        <v>3851</v>
      </c>
      <c r="Y75" s="109" t="s">
        <v>3852</v>
      </c>
      <c r="Z75" s="109" t="s">
        <v>3853</v>
      </c>
      <c r="AA75" s="109" t="s">
        <v>3854</v>
      </c>
      <c r="AB75" s="109" t="s">
        <v>288</v>
      </c>
      <c r="AC75" s="109" t="s">
        <v>291</v>
      </c>
      <c r="AD75" s="109" t="s">
        <v>292</v>
      </c>
      <c r="AE75" s="109" t="s">
        <v>40</v>
      </c>
      <c r="AF75" s="378" t="s">
        <v>41</v>
      </c>
      <c r="AG75" s="379" t="s">
        <v>3944</v>
      </c>
      <c r="AH75" s="379" t="s">
        <v>3855</v>
      </c>
      <c r="AI75" s="379" t="s">
        <v>3856</v>
      </c>
      <c r="AJ75" s="379" t="s">
        <v>3945</v>
      </c>
      <c r="AK75" s="379" t="s">
        <v>3857</v>
      </c>
      <c r="AL75" s="380" t="s">
        <v>3858</v>
      </c>
    </row>
    <row r="76" spans="2:41">
      <c r="B76" t="str">
        <f>'Final data_for_R_analysis_Wetse'!A2</f>
        <v>Wet</v>
      </c>
      <c r="C76" s="260">
        <f>'Final data_for_R_analysis_Wetse'!B2</f>
        <v>1</v>
      </c>
      <c r="D76" t="s">
        <v>3798</v>
      </c>
      <c r="E76" t="s">
        <v>22</v>
      </c>
      <c r="F76" s="381">
        <v>1</v>
      </c>
      <c r="G76" s="16">
        <f>'WetLitterbags placem_collection'!E3</f>
        <v>42766</v>
      </c>
      <c r="H76" t="str">
        <f>'Final data_for_R_analysis_Wetse'!K2</f>
        <v>G436</v>
      </c>
      <c r="I76" t="str">
        <f>'Final data_for_R_analysis_Wetse'!K222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AVERAGE(Ashed_controlls!$K$2:$K$11)</f>
        <v>5.5147656768714146</v>
      </c>
      <c r="N76" s="194">
        <f t="shared" ref="N76:N139" si="0">IFERROR(L76-(M76/100)*L76,"")</f>
        <v>1.6848606984500289</v>
      </c>
      <c r="O76" s="194">
        <f>IF(K76&gt;0,(K76*$F$32-($F$29+$F$30)),"")</f>
        <v>1.9192</v>
      </c>
      <c r="P76" s="194">
        <f>AVERAGE(Ashed_controlls!$K$12:$K$14)</f>
        <v>2.2816647271287041</v>
      </c>
      <c r="Q76" s="194">
        <f>IFERROR(O76-(P76/100)*O76,"")</f>
        <v>1.8754102905569459</v>
      </c>
      <c r="R76" s="16">
        <f>IF('WetLitterbags placem_collection'!G3="","",'WetLitterbags placem_collection'!G3)</f>
        <v>42818</v>
      </c>
      <c r="S76" s="194">
        <f>IFERROR(INDEX('Both teabags AfterWet'!$C$3:$C$2000,MATCH(H76,'Both teabags AfterWet'!$A$3:$A$2000,0)),"")</f>
        <v>0.43290000000000001</v>
      </c>
      <c r="T76" s="194">
        <f>IFERROR(INDEX('Both teabags AfterWet'!$C$3:$C$2000,MATCH(I76,'Both teabags AfterWet'!$A$3:$A$2000,0)),"")</f>
        <v>1.0208999999999999</v>
      </c>
      <c r="U76" s="194">
        <f>IFERROR(IF(S76&gt;0,S76-($F$29),""),"")</f>
        <v>0.2823</v>
      </c>
      <c r="V76" s="194">
        <f>IFERROR(IF(T76&gt;0,T76-($F$29),""),"")</f>
        <v>0.87029999999999985</v>
      </c>
      <c r="W76" s="194">
        <f>IFERROR(INDEX('Ashed teabags wet'!$K$2:$K$2000,MATCH(H76,'Ashed teabags wet'!$A$2:$A$2000,0)),"")</f>
        <v>27.683896620278237</v>
      </c>
      <c r="X76" s="237">
        <f>IFERROR(INDEX('Ashed teabags wet'!$K$2:$K$2000,MATCH(I76,'Ashed teabags wet'!$A$2:$A$2000,0)),"")</f>
        <v>17.918507609229575</v>
      </c>
      <c r="Y76" s="194">
        <f t="shared" ref="Y76:Z139" si="1">IFERROR(U76-(W76/100)*U76,"")</f>
        <v>0.20414835984095453</v>
      </c>
      <c r="Z76" s="194">
        <f t="shared" si="1"/>
        <v>0.71435522827687492</v>
      </c>
      <c r="AA76" s="194">
        <f>IFERROR(1-Y76/N76,"")</f>
        <v>0.87883368635237391</v>
      </c>
      <c r="AB76" s="194">
        <f>IFERROR($F$26*(1-AE76),"")</f>
        <v>0.57614749984146141</v>
      </c>
      <c r="AC76" s="194">
        <f t="shared" ref="AC76:AC139" si="2">IFERROR(Z76/Q76,"")</f>
        <v>0.38090610458617608</v>
      </c>
      <c r="AD76">
        <f t="shared" ref="AD76:AD139" si="3">IFERROR(IF((R76-G76)&gt;0,(IFERROR(R76-G76,"")),""),"")</f>
        <v>52</v>
      </c>
      <c r="AE76" s="194">
        <f>IFERROR(1-(AA76/$F$25),"")</f>
        <v>-4.3745470727285074E-2</v>
      </c>
      <c r="AF76" s="194" t="str">
        <f>IFERROR(LN(AB76/(AC76-(1-AB76)))/AD76,"")</f>
        <v/>
      </c>
      <c r="AG76" s="252" t="str">
        <f>IF(ISNUMBER(SEARCH("C",'WetLitterbags placem_collection'!$X3)),"YES","NO")</f>
        <v>NO</v>
      </c>
      <c r="AH76" s="252" t="str">
        <f>IF(ISNUMBER(SEARCH("H", 'WetLitterbags placem_collection'!$X3)),"YES","NO")</f>
        <v>NO</v>
      </c>
      <c r="AI76" s="252" t="str">
        <f>IF(ISNUMBER(SEARCH("R", 'WetLitterbags placem_collection'!$X3)),"YES","NO")</f>
        <v>NO</v>
      </c>
      <c r="AJ76" s="252" t="str">
        <f>IF(ISNUMBER(SEARCH("C", 'WetLitterbags placem_collection'!$V3)),"YES","NO")</f>
        <v>NO</v>
      </c>
      <c r="AK76" s="252" t="str">
        <f>IF(ISNUMBER(SEARCH("H", 'WetLitterbags placem_collection'!$V3)),"YES","NO")</f>
        <v>YES</v>
      </c>
      <c r="AL76" s="252" t="str">
        <f>IF(ISNUMBER(SEARCH("R", 'WetLitterbags placem_collection'!$V3)),"YES","NO")</f>
        <v>NO</v>
      </c>
    </row>
    <row r="77" spans="2:41">
      <c r="B77" t="str">
        <f>'Final data_for_R_analysis_Wetse'!A3</f>
        <v>Wet</v>
      </c>
      <c r="C77" s="260">
        <f>'Final data_for_R_analysis_Wetse'!B3</f>
        <v>2</v>
      </c>
      <c r="D77" t="s">
        <v>3798</v>
      </c>
      <c r="E77" t="s">
        <v>22</v>
      </c>
      <c r="F77" s="381">
        <v>2</v>
      </c>
      <c r="G77" s="16">
        <f>'WetLitterbags placem_collection'!E4</f>
        <v>42766</v>
      </c>
      <c r="H77" t="str">
        <f>'Final data_for_R_analysis_Wetse'!K3</f>
        <v>G568</v>
      </c>
      <c r="I77" t="str">
        <f>'Final data_for_R_analysis_Wetse'!K223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4">IF(J77&gt;0,(J77*$F$31-($F$29+$F$30)),"")</f>
        <v>1.7561999999999998</v>
      </c>
      <c r="M77" s="194">
        <f>AVERAGE(Ashed_controlls!$K$2:$K$11)</f>
        <v>5.5147656768714146</v>
      </c>
      <c r="N77" s="194">
        <f t="shared" si="0"/>
        <v>1.659349685182784</v>
      </c>
      <c r="O77" s="194">
        <f t="shared" ref="O77:O140" si="5">IF(K77&gt;0,(K77*$F$32-($F$29+$F$30)),"")</f>
        <v>1.9152</v>
      </c>
      <c r="P77" s="194">
        <f>AVERAGE(Ashed_controlls!$K$12:$K$14)</f>
        <v>2.2816647271287041</v>
      </c>
      <c r="Q77" s="194">
        <f t="shared" ref="Q77:Q140" si="6">IFERROR(O77-(P77/100)*O77,"")</f>
        <v>1.8715015571460312</v>
      </c>
      <c r="R77" s="16">
        <f>IF('WetLitterbags placem_collection'!G4="","",'WetLitterbags placem_collection'!G4)</f>
        <v>42818</v>
      </c>
      <c r="S77" s="194">
        <f>IFERROR(INDEX('Both teabags AfterWet'!$C$3:$C$2000,MATCH(H77,'Both teabags AfterWet'!$A$3:$A$2000,0)),"")</f>
        <v>0.629</v>
      </c>
      <c r="T77" s="194">
        <f>IFERROR(INDEX('Both teabags AfterWet'!$C$3:$C$2000,MATCH(I77,'Both teabags AfterWet'!$A$3:$A$2000,0)),"")</f>
        <v>1.3073999999999999</v>
      </c>
      <c r="U77" s="194">
        <f t="shared" ref="U77:U140" si="7">IFERROR(IF(S77&gt;0,S77-($F$29),""),"")</f>
        <v>0.47839999999999999</v>
      </c>
      <c r="V77" s="194">
        <f t="shared" ref="V77:V140" si="8">IFERROR(IF(T77&gt;0,T77-($F$29),""),"")</f>
        <v>1.1567999999999998</v>
      </c>
      <c r="W77" s="194">
        <f>IFERROR(INDEX('Ashed teabags wet'!$K$2:$K$2000,MATCH(H77,'Ashed teabags wet'!$A$2:$A$2000,0)),"")</f>
        <v>8.5032322227742174</v>
      </c>
      <c r="X77" s="237">
        <f>IFERROR(INDEX('Ashed teabags wet'!$K$2:$K$2000,MATCH(I77,'Ashed teabags wet'!$A$2:$A$2000,0)),"")</f>
        <v>5.6218905472635869</v>
      </c>
      <c r="Y77" s="194">
        <f t="shared" si="1"/>
        <v>0.43772053704624814</v>
      </c>
      <c r="Z77" s="194">
        <f t="shared" ref="Z77:Z140" si="9">IFERROR(V77-(X77/100)*V77,"")</f>
        <v>1.0917659701492546</v>
      </c>
      <c r="AA77" s="194">
        <f t="shared" ref="AA77:AA140" si="10">IFERROR(1-Y77/N77,"")</f>
        <v>0.73620958803627246</v>
      </c>
      <c r="AB77" s="194">
        <f t="shared" ref="AB77:AB140" si="11">IFERROR($F$26*(1-AE77),"")</f>
        <v>0.48264571567223569</v>
      </c>
      <c r="AC77" s="194">
        <f t="shared" si="2"/>
        <v>0.58336364507981298</v>
      </c>
      <c r="AD77">
        <f t="shared" si="3"/>
        <v>52</v>
      </c>
      <c r="AE77" s="194">
        <f t="shared" ref="AE77:AE140" si="12">IFERROR(1-(AA77/$F$25),"")</f>
        <v>0.12564181943435571</v>
      </c>
      <c r="AF77" s="194">
        <f t="shared" ref="AF77:AF140" si="13">IFERROR(LN(AB77/(AC77-(1-AB77)))/AD77,"")</f>
        <v>3.825935221217263E-2</v>
      </c>
      <c r="AG77" s="252" t="str">
        <f>IF(ISNUMBER(SEARCH("C",'WetLitterbags placem_collection'!$X4)),"YES","NO")</f>
        <v>NO</v>
      </c>
      <c r="AH77" s="252" t="str">
        <f>IF(ISNUMBER(SEARCH("H", 'WetLitterbags placem_collection'!$X4)),"YES","NO")</f>
        <v>NO</v>
      </c>
      <c r="AI77" s="252" t="str">
        <f>IF(ISNUMBER(SEARCH("R", 'WetLitterbags placem_collection'!$X4)),"YES","NO")</f>
        <v>NO</v>
      </c>
      <c r="AJ77" s="252" t="str">
        <f>IF(ISNUMBER(SEARCH("C", 'WetLitterbags placem_collection'!$V4)),"YES","NO")</f>
        <v>NO</v>
      </c>
      <c r="AK77" s="252" t="str">
        <f>IF(ISNUMBER(SEARCH("H", 'WetLitterbags placem_collection'!$V4)),"YES","NO")</f>
        <v>NO</v>
      </c>
      <c r="AL77" s="252" t="str">
        <f>IF(ISNUMBER(SEARCH("R", 'WetLitterbags placem_collection'!$V4)),"YES","NO")</f>
        <v>NO</v>
      </c>
    </row>
    <row r="78" spans="2:41">
      <c r="B78" t="str">
        <f>'Final data_for_R_analysis_Wetse'!A4</f>
        <v>Wet</v>
      </c>
      <c r="C78" s="260">
        <f>'Final data_for_R_analysis_Wetse'!B4</f>
        <v>3</v>
      </c>
      <c r="D78" t="s">
        <v>3798</v>
      </c>
      <c r="E78" t="s">
        <v>22</v>
      </c>
      <c r="F78" s="381">
        <v>3</v>
      </c>
      <c r="G78" s="16">
        <f>'WetLitterbags placem_collection'!E5</f>
        <v>42766</v>
      </c>
      <c r="H78" t="str">
        <f>'Final data_for_R_analysis_Wetse'!K4</f>
        <v>G631</v>
      </c>
      <c r="I78" t="str">
        <f>'Final data_for_R_analysis_Wetse'!K224</f>
        <v>R158</v>
      </c>
      <c r="J78">
        <f>IFERROR(INDEX('Green_rooibos initial weight'!$C$5:$C$2000,MATCH(H78, 'Green_rooibos initial weight'!$A$5:$A$2000,0)),"")</f>
        <v>1.99</v>
      </c>
      <c r="K78">
        <f>IFERROR(INDEX('Green_rooibos initial weight'!$C$5:$C$2000,MATCH(I78, 'Green_rooibos initial weight'!$A$5:$A$2000,0)),"")</f>
        <v>2.2959999999999998</v>
      </c>
      <c r="L78" s="194">
        <f t="shared" si="4"/>
        <v>1.7402</v>
      </c>
      <c r="M78" s="194">
        <f>AVERAGE(Ashed_controlls!$K$2:$K$11)</f>
        <v>5.5147656768714146</v>
      </c>
      <c r="N78" s="194">
        <f t="shared" si="0"/>
        <v>1.6442320476910837</v>
      </c>
      <c r="O78" s="194">
        <f t="shared" si="5"/>
        <v>2.0461999999999998</v>
      </c>
      <c r="P78" s="194">
        <f>AVERAGE(Ashed_controlls!$K$12:$K$14)</f>
        <v>2.2816647271287041</v>
      </c>
      <c r="Q78" s="194">
        <f t="shared" si="6"/>
        <v>1.9995125763534922</v>
      </c>
      <c r="R78" s="16">
        <f>IF('WetLitterbags placem_collection'!G5="","",'WetLitterbags placem_collection'!G5)</f>
        <v>42819</v>
      </c>
      <c r="S78" s="194" t="str">
        <f>IFERROR(INDEX('Both teabags AfterWet'!$C$3:$C$2000,MATCH(H78,'Both teabags AfterWet'!$A$3:$A$2000,0)),"")</f>
        <v/>
      </c>
      <c r="T78" s="194" t="str">
        <f>IFERROR(INDEX('Both teabags AfterWet'!$C$3:$C$2000,MATCH(I78,'Both teabags AfterWet'!$A$3:$A$2000,0)),"")</f>
        <v/>
      </c>
      <c r="U78" s="194" t="str">
        <f t="shared" si="7"/>
        <v/>
      </c>
      <c r="V78" s="194" t="str">
        <f t="shared" si="8"/>
        <v/>
      </c>
      <c r="W78" s="194" t="str">
        <f>IFERROR(INDEX('Ashed teabags wet'!$K$2:$K$2000,MATCH(H78,'Ashed teabags wet'!$A$2:$A$2000,0)),"")</f>
        <v/>
      </c>
      <c r="X78" s="237" t="str">
        <f>IFERROR(INDEX('Ashed teabags wet'!$K$2:$K$2000,MATCH(I78,'Ashed teabags wet'!$A$2:$A$2000,0)),"")</f>
        <v/>
      </c>
      <c r="Y78" s="194" t="str">
        <f t="shared" ref="Y78:Z141" si="14">IFERROR(U78-(W78/100)*U78,"")</f>
        <v/>
      </c>
      <c r="Z78" s="194" t="str">
        <f t="shared" si="9"/>
        <v/>
      </c>
      <c r="AA78" s="194" t="str">
        <f t="shared" si="10"/>
        <v/>
      </c>
      <c r="AB78" s="194" t="str">
        <f t="shared" si="11"/>
        <v/>
      </c>
      <c r="AC78" s="194" t="str">
        <f t="shared" si="2"/>
        <v/>
      </c>
      <c r="AD78">
        <f t="shared" si="3"/>
        <v>53</v>
      </c>
      <c r="AE78" s="194" t="str">
        <f t="shared" si="12"/>
        <v/>
      </c>
      <c r="AF78" s="194" t="str">
        <f t="shared" si="13"/>
        <v/>
      </c>
      <c r="AG78" s="252" t="str">
        <f>IF(ISNUMBER(SEARCH("C",'WetLitterbags placem_collection'!$X5)),"YES","NO")</f>
        <v>NO</v>
      </c>
      <c r="AH78" s="252" t="str">
        <f>IF(ISNUMBER(SEARCH("H", 'WetLitterbags placem_collection'!$X5)),"YES","NO")</f>
        <v>NO</v>
      </c>
      <c r="AI78" s="252" t="str">
        <f>IF(ISNUMBER(SEARCH("R", 'WetLitterbags placem_collection'!$X5)),"YES","NO")</f>
        <v>NO</v>
      </c>
      <c r="AJ78" s="252" t="str">
        <f>IF(ISNUMBER(SEARCH("C", 'WetLitterbags placem_collection'!$V5)),"YES","NO")</f>
        <v>NO</v>
      </c>
      <c r="AK78" s="252" t="str">
        <f>IF(ISNUMBER(SEARCH("H", 'WetLitterbags placem_collection'!$V5)),"YES","NO")</f>
        <v>NO</v>
      </c>
      <c r="AL78" s="252" t="str">
        <f>IF(ISNUMBER(SEARCH("R", 'WetLitterbags placem_collection'!$V5)),"YES","NO")</f>
        <v>NO</v>
      </c>
    </row>
    <row r="79" spans="2:41">
      <c r="B79" t="str">
        <f>'Final data_for_R_analysis_Wetse'!A5</f>
        <v>Wet</v>
      </c>
      <c r="C79" s="260">
        <f>'Final data_for_R_analysis_Wetse'!B5</f>
        <v>4</v>
      </c>
      <c r="D79" t="s">
        <v>3798</v>
      </c>
      <c r="E79" t="s">
        <v>22</v>
      </c>
      <c r="F79" s="382">
        <v>4</v>
      </c>
      <c r="G79" s="16">
        <f>'WetLitterbags placem_collection'!E6</f>
        <v>42766</v>
      </c>
      <c r="H79" t="str">
        <f>'Final data_for_R_analysis_Wetse'!K5</f>
        <v>G652</v>
      </c>
      <c r="I79" t="str">
        <f>'Final data_for_R_analysis_Wetse'!K225</f>
        <v>R115</v>
      </c>
      <c r="J79">
        <f>IFERROR(INDEX('Green_rooibos initial weight'!$C$5:$C$2000,MATCH(H79, 'Green_rooibos initial weight'!$A$5:$A$2000,0)),"")</f>
        <v>2.024</v>
      </c>
      <c r="K79">
        <f>IFERROR(INDEX('Green_rooibos initial weight'!$C$5:$C$2000,MATCH(I79, 'Green_rooibos initial weight'!$A$5:$A$2000,0)),"")</f>
        <v>2.3119999999999998</v>
      </c>
      <c r="L79" s="194">
        <f t="shared" si="4"/>
        <v>1.7742</v>
      </c>
      <c r="M79" s="194">
        <f>AVERAGE(Ashed_controlls!$K$2:$K$11)</f>
        <v>5.5147656768714146</v>
      </c>
      <c r="N79" s="194">
        <f t="shared" si="0"/>
        <v>1.6763570273609474</v>
      </c>
      <c r="O79" s="194">
        <f t="shared" si="5"/>
        <v>2.0621999999999998</v>
      </c>
      <c r="P79" s="194">
        <f>AVERAGE(Ashed_controlls!$K$12:$K$14)</f>
        <v>2.2816647271287041</v>
      </c>
      <c r="Q79" s="194">
        <f t="shared" si="6"/>
        <v>2.0151475099971519</v>
      </c>
      <c r="R79" s="16">
        <f>IF('WetLitterbags placem_collection'!G6="","",'WetLitterbags placem_collection'!G6)</f>
        <v>42818</v>
      </c>
      <c r="S79" s="194" t="str">
        <f>IFERROR(INDEX('Both teabags AfterWet'!$C$3:$C$2000,MATCH(H79,'Both teabags AfterWet'!$A$3:$A$2000,0)),"")</f>
        <v/>
      </c>
      <c r="T79" s="194">
        <f>IFERROR(INDEX('Both teabags AfterWet'!$C$3:$C$2000,MATCH(I79,'Both teabags AfterWet'!$A$3:$A$2000,0)),"")</f>
        <v>1.4075</v>
      </c>
      <c r="U79" s="194" t="str">
        <f t="shared" si="7"/>
        <v/>
      </c>
      <c r="V79" s="194">
        <f t="shared" si="8"/>
        <v>1.2568999999999999</v>
      </c>
      <c r="W79" s="194" t="str">
        <f>IFERROR(INDEX('Ashed teabags wet'!$K$2:$K$2000,MATCH(H79,'Ashed teabags wet'!$A$2:$A$2000,0)),"")</f>
        <v/>
      </c>
      <c r="X79" s="237">
        <f>IFERROR(INDEX('Ashed teabags wet'!$K$2:$K$2000,MATCH(I79,'Ashed teabags wet'!$A$2:$A$2000,0)),"")</f>
        <v>5.3919121318019663</v>
      </c>
      <c r="Y79" s="194" t="str">
        <f t="shared" si="14"/>
        <v/>
      </c>
      <c r="Z79" s="194">
        <f t="shared" si="9"/>
        <v>1.1891290564153809</v>
      </c>
      <c r="AA79" s="194" t="str">
        <f t="shared" si="10"/>
        <v/>
      </c>
      <c r="AB79" s="194" t="str">
        <f t="shared" si="11"/>
        <v/>
      </c>
      <c r="AC79" s="194">
        <f t="shared" si="2"/>
        <v>0.59009529104748348</v>
      </c>
      <c r="AD79">
        <f t="shared" si="3"/>
        <v>52</v>
      </c>
      <c r="AE79" s="194" t="str">
        <f t="shared" si="12"/>
        <v/>
      </c>
      <c r="AF79" s="194" t="str">
        <f t="shared" si="13"/>
        <v/>
      </c>
      <c r="AG79" s="252" t="str">
        <f>IF(ISNUMBER(SEARCH("C",'WetLitterbags placem_collection'!$X6)),"YES","NO")</f>
        <v>NO</v>
      </c>
      <c r="AH79" s="252" t="str">
        <f>IF(ISNUMBER(SEARCH("H", 'WetLitterbags placem_collection'!$X6)),"YES","NO")</f>
        <v>NO</v>
      </c>
      <c r="AI79" s="252" t="str">
        <f>IF(ISNUMBER(SEARCH("R", 'WetLitterbags placem_collection'!$X6)),"YES","NO")</f>
        <v>NO</v>
      </c>
      <c r="AJ79" s="252" t="str">
        <f>IF(ISNUMBER(SEARCH("C", 'WetLitterbags placem_collection'!$V6)),"YES","NO")</f>
        <v>NO</v>
      </c>
      <c r="AK79" s="252" t="str">
        <f>IF(ISNUMBER(SEARCH("H", 'WetLitterbags placem_collection'!$V6)),"YES","NO")</f>
        <v>NO</v>
      </c>
      <c r="AL79" s="252" t="str">
        <f>IF(ISNUMBER(SEARCH("R", 'WetLitterbags placem_collection'!$V6)),"YES","NO")</f>
        <v>NO</v>
      </c>
    </row>
    <row r="80" spans="2:41">
      <c r="B80" t="str">
        <f>'Final data_for_R_analysis_Wetse'!A6</f>
        <v>Wet</v>
      </c>
      <c r="C80" s="260">
        <f>'Final data_for_R_analysis_Wetse'!B6</f>
        <v>5</v>
      </c>
      <c r="D80" t="s">
        <v>3798</v>
      </c>
      <c r="E80" t="s">
        <v>22</v>
      </c>
      <c r="F80" s="382">
        <v>5</v>
      </c>
      <c r="G80" s="16">
        <f>'WetLitterbags placem_collection'!E7</f>
        <v>42766</v>
      </c>
      <c r="H80" t="str">
        <f>'Final data_for_R_analysis_Wetse'!K6</f>
        <v>G497</v>
      </c>
      <c r="I80" t="str">
        <f>'Final data_for_R_analysis_Wetse'!K226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4"/>
        <v>1.7521999999999998</v>
      </c>
      <c r="M80" s="194">
        <f>AVERAGE(Ashed_controlls!$K$2:$K$11)</f>
        <v>5.5147656768714146</v>
      </c>
      <c r="N80" s="194">
        <f t="shared" si="0"/>
        <v>1.6555702758098589</v>
      </c>
      <c r="O80" s="194">
        <f t="shared" si="5"/>
        <v>1.9342000000000001</v>
      </c>
      <c r="P80" s="194">
        <f>AVERAGE(Ashed_controlls!$K$12:$K$14)</f>
        <v>2.2816647271287041</v>
      </c>
      <c r="Q80" s="194">
        <f t="shared" si="6"/>
        <v>1.8900680408478767</v>
      </c>
      <c r="R80" s="16">
        <f>IF('WetLitterbags placem_collection'!G7="","",'WetLitterbags placem_collection'!G7)</f>
        <v>42818</v>
      </c>
      <c r="S80" s="194">
        <f>IFERROR(INDEX('Both teabags AfterWet'!$C$3:$C$2000,MATCH(H80,'Both teabags AfterWet'!$A$3:$A$2000,0)),"")</f>
        <v>0.46</v>
      </c>
      <c r="T80" s="194">
        <f>IFERROR(INDEX('Both teabags AfterWet'!$C$3:$C$2000,MATCH(I80,'Both teabags AfterWet'!$A$3:$A$2000,0)),"")</f>
        <v>1.3823000000000001</v>
      </c>
      <c r="U80" s="194">
        <f t="shared" si="7"/>
        <v>0.30940000000000001</v>
      </c>
      <c r="V80" s="194">
        <f t="shared" si="8"/>
        <v>1.2317</v>
      </c>
      <c r="W80" s="194">
        <f>IFERROR(INDEX('Ashed teabags wet'!$K$2:$K$2000,MATCH(H80,'Ashed teabags wet'!$A$2:$A$2000,0)),"")</f>
        <v>19.444444444444176</v>
      </c>
      <c r="X80" s="237">
        <f>IFERROR(INDEX('Ashed teabags wet'!$K$2:$K$2000,MATCH(I80,'Ashed teabags wet'!$A$2:$A$2000,0)),"")</f>
        <v>4.6214355948865089</v>
      </c>
      <c r="Y80" s="194">
        <f t="shared" si="14"/>
        <v>0.24923888888888973</v>
      </c>
      <c r="Z80" s="194">
        <f t="shared" si="9"/>
        <v>1.1747777777777828</v>
      </c>
      <c r="AA80" s="194">
        <f t="shared" si="10"/>
        <v>0.84945435870007446</v>
      </c>
      <c r="AB80" s="194">
        <f t="shared" si="11"/>
        <v>0.55688694299577335</v>
      </c>
      <c r="AC80" s="194">
        <f t="shared" si="2"/>
        <v>0.62155316760489865</v>
      </c>
      <c r="AD80">
        <f t="shared" si="3"/>
        <v>52</v>
      </c>
      <c r="AE80" s="194">
        <f t="shared" si="12"/>
        <v>-8.8531576010386637E-3</v>
      </c>
      <c r="AF80" s="194">
        <f t="shared" si="13"/>
        <v>2.1886715661006455E-2</v>
      </c>
      <c r="AG80" s="252" t="str">
        <f>IF(ISNUMBER(SEARCH("C",'WetLitterbags placem_collection'!$X7)),"YES","NO")</f>
        <v>NO</v>
      </c>
      <c r="AH80" s="252" t="str">
        <f>IF(ISNUMBER(SEARCH("H", 'WetLitterbags placem_collection'!$X7)),"YES","NO")</f>
        <v>NO</v>
      </c>
      <c r="AI80" s="252" t="str">
        <f>IF(ISNUMBER(SEARCH("R", 'WetLitterbags placem_collection'!$X7)),"YES","NO")</f>
        <v>NO</v>
      </c>
      <c r="AJ80" s="252" t="str">
        <f>IF(ISNUMBER(SEARCH("C", 'WetLitterbags placem_collection'!$V7)),"YES","NO")</f>
        <v>NO</v>
      </c>
      <c r="AK80" s="252" t="str">
        <f>IF(ISNUMBER(SEARCH("H", 'WetLitterbags placem_collection'!$V7)),"YES","NO")</f>
        <v>NO</v>
      </c>
      <c r="AL80" s="252" t="str">
        <f>IF(ISNUMBER(SEARCH("R", 'WetLitterbags placem_collection'!$V7)),"YES","NO")</f>
        <v>NO</v>
      </c>
    </row>
    <row r="81" spans="2:38">
      <c r="B81" t="str">
        <f>'Final data_for_R_analysis_Wetse'!A7</f>
        <v>Wet</v>
      </c>
      <c r="C81" s="260">
        <f>'Final data_for_R_analysis_Wetse'!B7</f>
        <v>6</v>
      </c>
      <c r="D81" t="s">
        <v>3798</v>
      </c>
      <c r="E81" t="s">
        <v>22</v>
      </c>
      <c r="F81" s="382">
        <v>6</v>
      </c>
      <c r="G81" s="16">
        <f>'WetLitterbags placem_collection'!E8</f>
        <v>42766</v>
      </c>
      <c r="H81" t="str">
        <f>'Final data_for_R_analysis_Wetse'!K7</f>
        <v>G447</v>
      </c>
      <c r="I81" t="str">
        <f>'Final data_for_R_analysis_Wetse'!K227</f>
        <v>R177</v>
      </c>
      <c r="J81">
        <f>IFERROR(INDEX('Green_rooibos initial weight'!$C$5:$C$2000,MATCH(H81, 'Green_rooibos initial weight'!$A$5:$A$2000,0)),"")</f>
        <v>2.0579999999999998</v>
      </c>
      <c r="K81">
        <f>IFERROR(INDEX('Green_rooibos initial weight'!$C$5:$C$2000,MATCH(I81, 'Green_rooibos initial weight'!$A$5:$A$2000,0)),"")</f>
        <v>2.153</v>
      </c>
      <c r="L81" s="194">
        <f t="shared" si="4"/>
        <v>1.8081999999999998</v>
      </c>
      <c r="M81" s="194">
        <f>AVERAGE(Ashed_controlls!$K$2:$K$11)</f>
        <v>5.5147656768714146</v>
      </c>
      <c r="N81" s="194">
        <f t="shared" si="0"/>
        <v>1.7084820070308109</v>
      </c>
      <c r="O81" s="194">
        <f t="shared" si="5"/>
        <v>1.9032</v>
      </c>
      <c r="P81" s="194">
        <f>AVERAGE(Ashed_controlls!$K$12:$K$14)</f>
        <v>2.2816647271287041</v>
      </c>
      <c r="Q81" s="194">
        <f t="shared" si="6"/>
        <v>1.8597753569132864</v>
      </c>
      <c r="R81" s="16">
        <f>IF('WetLitterbags placem_collection'!G8="","",'WetLitterbags placem_collection'!G8)</f>
        <v>42818</v>
      </c>
      <c r="S81" s="194">
        <f>IFERROR(INDEX('Both teabags AfterWet'!$C$3:$C$2000,MATCH(H81,'Both teabags AfterWet'!$A$3:$A$2000,0)),"")</f>
        <v>0.67749999999999999</v>
      </c>
      <c r="T81" s="194">
        <f>IFERROR(INDEX('Both teabags AfterWet'!$C$3:$C$2000,MATCH(I81,'Both teabags AfterWet'!$A$3:$A$2000,0)),"")</f>
        <v>1.4271</v>
      </c>
      <c r="U81" s="194">
        <f t="shared" si="7"/>
        <v>0.52689999999999992</v>
      </c>
      <c r="V81" s="194">
        <f t="shared" si="8"/>
        <v>1.2765</v>
      </c>
      <c r="W81" s="194">
        <f>IFERROR(INDEX('Ashed teabags wet'!$K$2:$K$2000,MATCH(H81,'Ashed teabags wet'!$A$2:$A$2000,0)),"")</f>
        <v>11.472945891783862</v>
      </c>
      <c r="X81" s="237">
        <f>IFERROR(INDEX('Ashed teabags wet'!$K$2:$K$2000,MATCH(I81,'Ashed teabags wet'!$A$2:$A$2000,0)),"")</f>
        <v>14.46446446446422</v>
      </c>
      <c r="Y81" s="194">
        <f t="shared" si="14"/>
        <v>0.46644904809619075</v>
      </c>
      <c r="Z81" s="194">
        <f t="shared" si="9"/>
        <v>1.0918611111111143</v>
      </c>
      <c r="AA81" s="194">
        <f t="shared" si="10"/>
        <v>0.72698041525948676</v>
      </c>
      <c r="AB81" s="194">
        <f t="shared" si="11"/>
        <v>0.47659523660716951</v>
      </c>
      <c r="AC81" s="194">
        <f t="shared" si="2"/>
        <v>0.58709300940695452</v>
      </c>
      <c r="AD81">
        <f t="shared" si="3"/>
        <v>52</v>
      </c>
      <c r="AE81" s="194">
        <f t="shared" si="12"/>
        <v>0.13660283223338865</v>
      </c>
      <c r="AF81" s="194">
        <f t="shared" si="13"/>
        <v>3.8705145105853538E-2</v>
      </c>
      <c r="AG81" s="252" t="str">
        <f>IF(ISNUMBER(SEARCH("C",'WetLitterbags placem_collection'!$X8)),"YES","NO")</f>
        <v>NO</v>
      </c>
      <c r="AH81" s="252" t="str">
        <f>IF(ISNUMBER(SEARCH("H", 'WetLitterbags placem_collection'!$X8)),"YES","NO")</f>
        <v>NO</v>
      </c>
      <c r="AI81" s="252" t="str">
        <f>IF(ISNUMBER(SEARCH("R", 'WetLitterbags placem_collection'!$X8)),"YES","NO")</f>
        <v>YES</v>
      </c>
      <c r="AJ81" s="252" t="str">
        <f>IF(ISNUMBER(SEARCH("C", 'WetLitterbags placem_collection'!$V8)),"YES","NO")</f>
        <v>NO</v>
      </c>
      <c r="AK81" s="252" t="str">
        <f>IF(ISNUMBER(SEARCH("H", 'WetLitterbags placem_collection'!$V8)),"YES","NO")</f>
        <v>NO</v>
      </c>
      <c r="AL81" s="252" t="str">
        <f>IF(ISNUMBER(SEARCH("R", 'WetLitterbags placem_collection'!$V8)),"YES","NO")</f>
        <v>NO</v>
      </c>
    </row>
    <row r="82" spans="2:38">
      <c r="B82" t="str">
        <f>'Final data_for_R_analysis_Wetse'!A8</f>
        <v>Wet</v>
      </c>
      <c r="C82" s="260">
        <f>'Final data_for_R_analysis_Wetse'!B8</f>
        <v>7</v>
      </c>
      <c r="D82" t="s">
        <v>3798</v>
      </c>
      <c r="E82" t="s">
        <v>22</v>
      </c>
      <c r="F82" s="382">
        <v>7</v>
      </c>
      <c r="G82" s="16">
        <f>'WetLitterbags placem_collection'!E9</f>
        <v>42766</v>
      </c>
      <c r="H82" t="str">
        <f>'Final data_for_R_analysis_Wetse'!K8</f>
        <v>G452</v>
      </c>
      <c r="I82" t="str">
        <f>'Final data_for_R_analysis_Wetse'!K228</f>
        <v>R531</v>
      </c>
      <c r="J82">
        <f>IFERROR(INDEX('Green_rooibos initial weight'!$C$5:$C$2000,MATCH(H82, 'Green_rooibos initial weight'!$A$5:$A$2000,0)),"")</f>
        <v>2.0550000000000002</v>
      </c>
      <c r="K82">
        <f>IFERROR(INDEX('Green_rooibos initial weight'!$C$5:$C$2000,MATCH(I82, 'Green_rooibos initial weight'!$A$5:$A$2000,0)),"")</f>
        <v>2.101</v>
      </c>
      <c r="L82" s="194">
        <f t="shared" si="4"/>
        <v>1.8052000000000001</v>
      </c>
      <c r="M82" s="194">
        <f>AVERAGE(Ashed_controlls!$K$2:$K$11)</f>
        <v>5.5147656768714146</v>
      </c>
      <c r="N82" s="194">
        <f t="shared" si="0"/>
        <v>1.7056474500011174</v>
      </c>
      <c r="O82" s="194">
        <f t="shared" si="5"/>
        <v>1.8512</v>
      </c>
      <c r="P82" s="194">
        <f>AVERAGE(Ashed_controlls!$K$12:$K$14)</f>
        <v>2.2816647271287041</v>
      </c>
      <c r="Q82" s="194">
        <f t="shared" si="6"/>
        <v>1.8089618225713935</v>
      </c>
      <c r="R82" s="16">
        <f>IF('WetLitterbags placem_collection'!G9="","",'WetLitterbags placem_collection'!G9)</f>
        <v>42818</v>
      </c>
      <c r="S82" s="194">
        <f>IFERROR(INDEX('Both teabags AfterWet'!$C$3:$C$2000,MATCH(H82,'Both teabags AfterWet'!$A$3:$A$2000,0)),"")</f>
        <v>0.67900000000000005</v>
      </c>
      <c r="T82" s="194">
        <f>IFERROR(INDEX('Both teabags AfterWet'!$C$3:$C$2000,MATCH(I82,'Both teabags AfterWet'!$A$3:$A$2000,0)),"")</f>
        <v>1.4430000000000001</v>
      </c>
      <c r="U82" s="194">
        <f t="shared" si="7"/>
        <v>0.52839999999999998</v>
      </c>
      <c r="V82" s="194">
        <f t="shared" si="8"/>
        <v>1.2924</v>
      </c>
      <c r="W82" s="194">
        <f>IFERROR(INDEX('Ashed teabags wet'!$K$2:$K$2000,MATCH(H82,'Ashed teabags wet'!$A$2:$A$2000,0)),"")</f>
        <v>11.36705057586399</v>
      </c>
      <c r="X82" s="237">
        <f>IFERROR(INDEX('Ashed teabags wet'!$K$2:$K$2000,MATCH(I82,'Ashed teabags wet'!$A$2:$A$2000,0)),"")</f>
        <v>3.1630170316302406</v>
      </c>
      <c r="Y82" s="194">
        <f t="shared" si="14"/>
        <v>0.46833650475713468</v>
      </c>
      <c r="Z82" s="194">
        <f t="shared" si="9"/>
        <v>1.2515211678832108</v>
      </c>
      <c r="AA82" s="194">
        <f t="shared" si="10"/>
        <v>0.72542010087909559</v>
      </c>
      <c r="AB82" s="194">
        <f t="shared" si="11"/>
        <v>0.47557232266658056</v>
      </c>
      <c r="AC82" s="194">
        <f t="shared" si="2"/>
        <v>0.69184498659247828</v>
      </c>
      <c r="AD82">
        <f t="shared" si="3"/>
        <v>52</v>
      </c>
      <c r="AE82" s="194">
        <f t="shared" si="12"/>
        <v>0.13845593719822369</v>
      </c>
      <c r="AF82" s="194">
        <f t="shared" si="13"/>
        <v>2.0077488755003252E-2</v>
      </c>
      <c r="AG82" s="252" t="str">
        <f>IF(ISNUMBER(SEARCH("C",'WetLitterbags placem_collection'!$X9)),"YES","NO")</f>
        <v>NO</v>
      </c>
      <c r="AH82" s="252" t="str">
        <f>IF(ISNUMBER(SEARCH("H", 'WetLitterbags placem_collection'!$X9)),"YES","NO")</f>
        <v>NO</v>
      </c>
      <c r="AI82" s="252" t="str">
        <f>IF(ISNUMBER(SEARCH("R", 'WetLitterbags placem_collection'!$X9)),"YES","NO")</f>
        <v>YES</v>
      </c>
      <c r="AJ82" s="252" t="str">
        <f>IF(ISNUMBER(SEARCH("C", 'WetLitterbags placem_collection'!$V9)),"YES","NO")</f>
        <v>NO</v>
      </c>
      <c r="AK82" s="252" t="str">
        <f>IF(ISNUMBER(SEARCH("H", 'WetLitterbags placem_collection'!$V9)),"YES","NO")</f>
        <v>NO</v>
      </c>
      <c r="AL82" s="252" t="str">
        <f>IF(ISNUMBER(SEARCH("R", 'WetLitterbags placem_collection'!$V9)),"YES","NO")</f>
        <v>NO</v>
      </c>
    </row>
    <row r="83" spans="2:38">
      <c r="B83" t="str">
        <f>'Final data_for_R_analysis_Wetse'!A9</f>
        <v>Wet</v>
      </c>
      <c r="C83" s="260">
        <f>'Final data_for_R_analysis_Wetse'!B9</f>
        <v>8</v>
      </c>
      <c r="D83" t="s">
        <v>3798</v>
      </c>
      <c r="E83" t="s">
        <v>22</v>
      </c>
      <c r="F83" s="382">
        <v>8</v>
      </c>
      <c r="G83" s="16">
        <f>'WetLitterbags placem_collection'!E10</f>
        <v>42766</v>
      </c>
      <c r="H83" t="str">
        <f>'Final data_for_R_analysis_Wetse'!K9</f>
        <v>G389</v>
      </c>
      <c r="I83" t="str">
        <f>'Final data_for_R_analysis_Wetse'!K229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4"/>
        <v>1.7212000000000001</v>
      </c>
      <c r="M83" s="194">
        <f>AVERAGE(Ashed_controlls!$K$2:$K$11)</f>
        <v>5.5147656768714146</v>
      </c>
      <c r="N83" s="194">
        <f t="shared" si="0"/>
        <v>1.6262798531696894</v>
      </c>
      <c r="O83" s="194">
        <f t="shared" si="5"/>
        <v>1.9241999999999999</v>
      </c>
      <c r="P83" s="194">
        <f>AVERAGE(Ashed_controlls!$K$12:$K$14)</f>
        <v>2.2816647271287041</v>
      </c>
      <c r="Q83" s="194">
        <f t="shared" si="6"/>
        <v>1.8802962073205893</v>
      </c>
      <c r="R83" s="16">
        <f>IF('WetLitterbags placem_collection'!G10="","",'WetLitterbags placem_collection'!G10)</f>
        <v>42818</v>
      </c>
      <c r="S83" s="194">
        <f>IFERROR(INDEX('Both teabags AfterWet'!$C$3:$C$2000,MATCH(H83,'Both teabags AfterWet'!$A$3:$A$2000,0)),"")</f>
        <v>0.61950000000000005</v>
      </c>
      <c r="T83" s="194">
        <f>IFERROR(INDEX('Both teabags AfterWet'!$C$3:$C$2000,MATCH(I83,'Both teabags AfterWet'!$A$3:$A$2000,0)),"")</f>
        <v>1.4278999999999999</v>
      </c>
      <c r="U83" s="194">
        <f t="shared" si="7"/>
        <v>0.46890000000000004</v>
      </c>
      <c r="V83" s="194">
        <f t="shared" si="8"/>
        <v>1.2772999999999999</v>
      </c>
      <c r="W83" s="194">
        <f>IFERROR(INDEX('Ashed teabags wet'!$K$2:$K$2000,MATCH(H83,'Ashed teabags wet'!$A$2:$A$2000,0)),"")</f>
        <v>9.7706879361918428</v>
      </c>
      <c r="X83" s="237">
        <f>IFERROR(INDEX('Ashed teabags wet'!$K$2:$K$2000,MATCH(I83,'Ashed teabags wet'!$A$2:$A$2000,0)),"")</f>
        <v>2.5291828793778013</v>
      </c>
      <c r="Y83" s="194">
        <f t="shared" si="14"/>
        <v>0.42308524426719651</v>
      </c>
      <c r="Z83" s="194">
        <f t="shared" si="9"/>
        <v>1.2449947470817073</v>
      </c>
      <c r="AA83" s="194">
        <f t="shared" si="10"/>
        <v>0.73984474846528703</v>
      </c>
      <c r="AB83" s="194">
        <f t="shared" si="11"/>
        <v>0.48502886122664901</v>
      </c>
      <c r="AC83" s="194">
        <f t="shared" si="2"/>
        <v>0.66212692565913178</v>
      </c>
      <c r="AD83">
        <f t="shared" si="3"/>
        <v>52</v>
      </c>
      <c r="AE83" s="194">
        <f t="shared" si="12"/>
        <v>0.12132452676331706</v>
      </c>
      <c r="AF83" s="194">
        <f t="shared" si="13"/>
        <v>2.2936857625070192E-2</v>
      </c>
      <c r="AG83" s="252" t="str">
        <f>IF(ISNUMBER(SEARCH("C",'WetLitterbags placem_collection'!$X10)),"YES","NO")</f>
        <v>NO</v>
      </c>
      <c r="AH83" s="252" t="str">
        <f>IF(ISNUMBER(SEARCH("H", 'WetLitterbags placem_collection'!$X10)),"YES","NO")</f>
        <v>NO</v>
      </c>
      <c r="AI83" s="252" t="str">
        <f>IF(ISNUMBER(SEARCH("R", 'WetLitterbags placem_collection'!$X10)),"YES","NO")</f>
        <v>NO</v>
      </c>
      <c r="AJ83" s="252" t="str">
        <f>IF(ISNUMBER(SEARCH("C", 'WetLitterbags placem_collection'!$V10)),"YES","NO")</f>
        <v>NO</v>
      </c>
      <c r="AK83" s="252" t="str">
        <f>IF(ISNUMBER(SEARCH("H", 'WetLitterbags placem_collection'!$V10)),"YES","NO")</f>
        <v>YES</v>
      </c>
      <c r="AL83" s="252" t="str">
        <f>IF(ISNUMBER(SEARCH("R", 'WetLitterbags placem_collection'!$V10)),"YES","NO")</f>
        <v>NO</v>
      </c>
    </row>
    <row r="84" spans="2:38">
      <c r="B84" t="str">
        <f>'Final data_for_R_analysis_Wetse'!A10</f>
        <v>Wet</v>
      </c>
      <c r="C84" s="260">
        <f>'Final data_for_R_analysis_Wetse'!B10</f>
        <v>9</v>
      </c>
      <c r="D84" t="s">
        <v>3802</v>
      </c>
      <c r="E84" t="s">
        <v>22</v>
      </c>
      <c r="F84" s="381">
        <v>1</v>
      </c>
      <c r="G84" s="16">
        <f>'WetLitterbags placem_collection'!E11</f>
        <v>42766</v>
      </c>
      <c r="H84" t="str">
        <f>'Final data_for_R_analysis_Wetse'!K10</f>
        <v>G514</v>
      </c>
      <c r="I84" t="str">
        <f>'Final data_for_R_analysis_Wetse'!K230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4"/>
        <v>1.6852</v>
      </c>
      <c r="M84" s="194">
        <f>AVERAGE(Ashed_controlls!$K$2:$K$11)</f>
        <v>5.5147656768714146</v>
      </c>
      <c r="N84" s="194">
        <f t="shared" si="0"/>
        <v>1.5922651688133629</v>
      </c>
      <c r="O84" s="194">
        <f t="shared" si="5"/>
        <v>1.9512</v>
      </c>
      <c r="P84" s="194">
        <f>AVERAGE(Ashed_controlls!$K$12:$K$14)</f>
        <v>2.2816647271287041</v>
      </c>
      <c r="Q84" s="194">
        <f t="shared" si="6"/>
        <v>1.9066801578442647</v>
      </c>
      <c r="R84" s="16">
        <f>IF('WetLitterbags placem_collection'!G11="","",'WetLitterbags placem_collection'!G11)</f>
        <v>42818</v>
      </c>
      <c r="S84" s="194">
        <f>IFERROR(INDEX('Both teabags AfterWet'!$C$3:$C$2000,MATCH(H84,'Both teabags AfterWet'!$A$3:$A$2000,0)),"")</f>
        <v>0.59470000000000001</v>
      </c>
      <c r="T84" s="194">
        <f>IFERROR(INDEX('Both teabags AfterWet'!$C$3:$C$2000,MATCH(I84,'Both teabags AfterWet'!$A$3:$A$2000,0)),"")</f>
        <v>2.8336999999999999</v>
      </c>
      <c r="U84" s="194">
        <f t="shared" si="7"/>
        <v>0.44409999999999999</v>
      </c>
      <c r="V84" s="194">
        <f t="shared" si="8"/>
        <v>2.6831</v>
      </c>
      <c r="W84" s="194">
        <f>IFERROR(INDEX('Ashed teabags wet'!$K$2:$K$2000,MATCH(H84,'Ashed teabags wet'!$A$2:$A$2000,0)),"")</f>
        <v>9.2933204259437421</v>
      </c>
      <c r="X84" s="237">
        <f>IFERROR(INDEX('Ashed teabags wet'!$K$2:$K$2000,MATCH(I84,'Ashed teabags wet'!$A$2:$A$2000,0)),"")</f>
        <v>95.2866861030124</v>
      </c>
      <c r="Y84" s="194">
        <f t="shared" si="14"/>
        <v>0.40282836398838384</v>
      </c>
      <c r="Z84" s="194">
        <f t="shared" si="9"/>
        <v>0.1264629251700744</v>
      </c>
      <c r="AA84" s="194">
        <f t="shared" si="10"/>
        <v>0.7470092470285008</v>
      </c>
      <c r="AB84" s="194">
        <f t="shared" si="11"/>
        <v>0.48972577714932602</v>
      </c>
      <c r="AC84" s="194">
        <f t="shared" si="2"/>
        <v>6.6326239694577946E-2</v>
      </c>
      <c r="AD84">
        <f t="shared" si="3"/>
        <v>52</v>
      </c>
      <c r="AE84" s="194">
        <f t="shared" si="12"/>
        <v>0.11281562110629351</v>
      </c>
      <c r="AF84" s="194" t="str">
        <f t="shared" si="13"/>
        <v/>
      </c>
      <c r="AG84" s="252" t="str">
        <f>IF(ISNUMBER(SEARCH("C",'WetLitterbags placem_collection'!$X11)),"YES","NO")</f>
        <v>NO</v>
      </c>
      <c r="AH84" s="252" t="str">
        <f>IF(ISNUMBER(SEARCH("H", 'WetLitterbags placem_collection'!$X11)),"YES","NO")</f>
        <v>NO</v>
      </c>
      <c r="AI84" s="252" t="str">
        <f>IF(ISNUMBER(SEARCH("R", 'WetLitterbags placem_collection'!$X11)),"YES","NO")</f>
        <v>NO</v>
      </c>
      <c r="AJ84" s="252" t="str">
        <f>IF(ISNUMBER(SEARCH("C", 'WetLitterbags placem_collection'!$V11)),"YES","NO")</f>
        <v>NO</v>
      </c>
      <c r="AK84" s="252" t="str">
        <f>IF(ISNUMBER(SEARCH("H", 'WetLitterbags placem_collection'!$V11)),"YES","NO")</f>
        <v>NO</v>
      </c>
      <c r="AL84" s="252" t="str">
        <f>IF(ISNUMBER(SEARCH("R", 'WetLitterbags placem_collection'!$V11)),"YES","NO")</f>
        <v>YES</v>
      </c>
    </row>
    <row r="85" spans="2:38">
      <c r="B85" t="str">
        <f>'Final data_for_R_analysis_Wetse'!A11</f>
        <v>Wet</v>
      </c>
      <c r="C85" s="260">
        <f>'Final data_for_R_analysis_Wetse'!B11</f>
        <v>10</v>
      </c>
      <c r="D85" t="s">
        <v>3802</v>
      </c>
      <c r="E85" t="s">
        <v>22</v>
      </c>
      <c r="F85" s="381">
        <v>2</v>
      </c>
      <c r="G85" s="16">
        <f>'WetLitterbags placem_collection'!E12</f>
        <v>42766</v>
      </c>
      <c r="H85" t="str">
        <f>'Final data_for_R_analysis_Wetse'!K11</f>
        <v>G286</v>
      </c>
      <c r="I85" t="str">
        <f>'Final data_for_R_analysis_Wetse'!K231</f>
        <v>R91</v>
      </c>
      <c r="J85">
        <f>IFERROR(INDEX('Green_rooibos initial weight'!$C$5:$C$2000,MATCH(H85, 'Green_rooibos initial weight'!$A$5:$A$2000,0)),"")</f>
        <v>2.0710000000000002</v>
      </c>
      <c r="K85">
        <f>IFERROR(INDEX('Green_rooibos initial weight'!$C$5:$C$2000,MATCH(I85, 'Green_rooibos initial weight'!$A$5:$A$2000,0)),"")</f>
        <v>2.133</v>
      </c>
      <c r="L85" s="194">
        <f t="shared" si="4"/>
        <v>1.8212000000000002</v>
      </c>
      <c r="M85" s="194">
        <f>AVERAGE(Ashed_controlls!$K$2:$K$11)</f>
        <v>5.5147656768714146</v>
      </c>
      <c r="N85" s="194">
        <f t="shared" si="0"/>
        <v>1.720765087492818</v>
      </c>
      <c r="O85" s="194">
        <f t="shared" si="5"/>
        <v>1.8832</v>
      </c>
      <c r="P85" s="194">
        <f>AVERAGE(Ashed_controlls!$K$12:$K$14)</f>
        <v>2.2816647271287041</v>
      </c>
      <c r="Q85" s="194">
        <f t="shared" si="6"/>
        <v>1.8402316898587123</v>
      </c>
      <c r="R85" s="16">
        <f>IF('WetLitterbags placem_collection'!G12="","",'WetLitterbags placem_collection'!G12)</f>
        <v>42818</v>
      </c>
      <c r="S85" s="194">
        <f>IFERROR(INDEX('Both teabags AfterWet'!$C$3:$C$2000,MATCH(H85,'Both teabags AfterWet'!$A$3:$A$2000,0)),"")</f>
        <v>0.80200000000000005</v>
      </c>
      <c r="T85" s="194">
        <f>IFERROR(INDEX('Both teabags AfterWet'!$C$3:$C$2000,MATCH(I85,'Both teabags AfterWet'!$A$3:$A$2000,0)),"")</f>
        <v>1.3628</v>
      </c>
      <c r="U85" s="194">
        <f t="shared" si="7"/>
        <v>0.65139999999999998</v>
      </c>
      <c r="V85" s="194">
        <f t="shared" si="8"/>
        <v>1.2121999999999999</v>
      </c>
      <c r="W85" s="194">
        <f>IFERROR(INDEX('Ashed teabags wet'!$K$2:$K$2000,MATCH(H85,'Ashed teabags wet'!$A$2:$A$2000,0)),"")</f>
        <v>14.321233217304874</v>
      </c>
      <c r="X85" s="237">
        <f>IFERROR(INDEX('Ashed teabags wet'!$K$2:$K$2000,MATCH(I85,'Ashed teabags wet'!$A$2:$A$2000,0)),"")</f>
        <v>4.3562439496613994</v>
      </c>
      <c r="Y85" s="194">
        <f t="shared" si="14"/>
        <v>0.55811148682247602</v>
      </c>
      <c r="Z85" s="194">
        <f t="shared" si="9"/>
        <v>1.1593936108422045</v>
      </c>
      <c r="AA85" s="194">
        <f t="shared" si="10"/>
        <v>0.67566084942154814</v>
      </c>
      <c r="AB85" s="194">
        <f t="shared" si="11"/>
        <v>0.44295105567778459</v>
      </c>
      <c r="AC85" s="194">
        <f t="shared" si="2"/>
        <v>0.63002589143067056</v>
      </c>
      <c r="AD85">
        <f t="shared" si="3"/>
        <v>52</v>
      </c>
      <c r="AE85" s="194">
        <f t="shared" si="12"/>
        <v>0.19755243536633238</v>
      </c>
      <c r="AF85" s="194">
        <f t="shared" si="13"/>
        <v>3.4679147728915685E-2</v>
      </c>
      <c r="AG85" s="252" t="str">
        <f>IF(ISNUMBER(SEARCH("C",'WetLitterbags placem_collection'!$X12)),"YES","NO")</f>
        <v>NO</v>
      </c>
      <c r="AH85" s="252" t="str">
        <f>IF(ISNUMBER(SEARCH("H", 'WetLitterbags placem_collection'!$X12)),"YES","NO")</f>
        <v>NO</v>
      </c>
      <c r="AI85" s="252" t="str">
        <f>IF(ISNUMBER(SEARCH("R", 'WetLitterbags placem_collection'!$X12)),"YES","NO")</f>
        <v>NO</v>
      </c>
      <c r="AJ85" s="252" t="str">
        <f>IF(ISNUMBER(SEARCH("C", 'WetLitterbags placem_collection'!$V12)),"YES","NO")</f>
        <v>NO</v>
      </c>
      <c r="AK85" s="252" t="str">
        <f>IF(ISNUMBER(SEARCH("H", 'WetLitterbags placem_collection'!$V12)),"YES","NO")</f>
        <v>NO</v>
      </c>
      <c r="AL85" s="252" t="str">
        <f>IF(ISNUMBER(SEARCH("R", 'WetLitterbags placem_collection'!$V12)),"YES","NO")</f>
        <v>NO</v>
      </c>
    </row>
    <row r="86" spans="2:38">
      <c r="B86" t="str">
        <f>'Final data_for_R_analysis_Wetse'!A12</f>
        <v>Wet</v>
      </c>
      <c r="C86" s="260">
        <f>'Final data_for_R_analysis_Wetse'!B12</f>
        <v>11</v>
      </c>
      <c r="D86" t="s">
        <v>3802</v>
      </c>
      <c r="E86" t="s">
        <v>22</v>
      </c>
      <c r="F86" s="381">
        <v>3</v>
      </c>
      <c r="G86" s="16">
        <f>'WetLitterbags placem_collection'!E13</f>
        <v>42766</v>
      </c>
      <c r="H86" t="str">
        <f>'Final data_for_R_analysis_Wetse'!K12</f>
        <v>G543</v>
      </c>
      <c r="I86" t="str">
        <f>'Final data_for_R_analysis_Wetse'!K232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4"/>
        <v>1.8422000000000001</v>
      </c>
      <c r="M86" s="194">
        <f>AVERAGE(Ashed_controlls!$K$2:$K$11)</f>
        <v>5.5147656768714146</v>
      </c>
      <c r="N86" s="194">
        <f t="shared" si="0"/>
        <v>1.7406069867006748</v>
      </c>
      <c r="O86" s="194">
        <f t="shared" si="5"/>
        <v>2.0181999999999998</v>
      </c>
      <c r="P86" s="194">
        <f>AVERAGE(Ashed_controlls!$K$12:$K$14)</f>
        <v>2.2816647271287041</v>
      </c>
      <c r="Q86" s="194">
        <f t="shared" si="6"/>
        <v>1.9721514424770883</v>
      </c>
      <c r="R86" s="16">
        <f>IF('WetLitterbags placem_collection'!G13="","",'WetLitterbags placem_collection'!G13)</f>
        <v>42818</v>
      </c>
      <c r="S86" s="194">
        <f>IFERROR(INDEX('Both teabags AfterWet'!$C$3:$C$2000,MATCH(H86,'Both teabags AfterWet'!$A$3:$A$2000,0)),"")</f>
        <v>0.71650000000000003</v>
      </c>
      <c r="T86" s="194">
        <f>IFERROR(INDEX('Both teabags AfterWet'!$C$3:$C$2000,MATCH(I86,'Both teabags AfterWet'!$A$3:$A$2000,0)),"")</f>
        <v>1.4224000000000001</v>
      </c>
      <c r="U86" s="194">
        <f t="shared" si="7"/>
        <v>0.56590000000000007</v>
      </c>
      <c r="V86" s="194">
        <f t="shared" si="8"/>
        <v>1.2718</v>
      </c>
      <c r="W86" s="194">
        <f>IFERROR(INDEX('Ashed teabags wet'!$K$2:$K$2000,MATCH(H86,'Ashed teabags wet'!$A$2:$A$2000,0)),"")</f>
        <v>12.04819277108421</v>
      </c>
      <c r="X86" s="237">
        <f>IFERROR(INDEX('Ashed teabags wet'!$K$2:$K$2000,MATCH(I86,'Ashed teabags wet'!$A$2:$A$2000,0)),"")</f>
        <v>5.1775147928992347</v>
      </c>
      <c r="Y86" s="194">
        <f t="shared" si="14"/>
        <v>0.4977192771084345</v>
      </c>
      <c r="Z86" s="194">
        <f t="shared" si="9"/>
        <v>1.2059523668639076</v>
      </c>
      <c r="AA86" s="194">
        <f t="shared" si="10"/>
        <v>0.71405418861849868</v>
      </c>
      <c r="AB86" s="194">
        <f t="shared" si="11"/>
        <v>0.46812103576889708</v>
      </c>
      <c r="AC86" s="194">
        <f t="shared" si="2"/>
        <v>0.61149075111046802</v>
      </c>
      <c r="AD86">
        <f t="shared" si="3"/>
        <v>52</v>
      </c>
      <c r="AE86" s="194">
        <f t="shared" si="12"/>
        <v>0.15195464534620107</v>
      </c>
      <c r="AF86" s="194">
        <f t="shared" si="13"/>
        <v>3.4068552454925731E-2</v>
      </c>
      <c r="AG86" s="252" t="str">
        <f>IF(ISNUMBER(SEARCH("C",'WetLitterbags placem_collection'!$X13)),"YES","NO")</f>
        <v>NO</v>
      </c>
      <c r="AH86" s="252" t="str">
        <f>IF(ISNUMBER(SEARCH("H", 'WetLitterbags placem_collection'!$X13)),"YES","NO")</f>
        <v>NO</v>
      </c>
      <c r="AI86" s="252" t="str">
        <f>IF(ISNUMBER(SEARCH("R", 'WetLitterbags placem_collection'!$X13)),"YES","NO")</f>
        <v>NO</v>
      </c>
      <c r="AJ86" s="252" t="str">
        <f>IF(ISNUMBER(SEARCH("C", 'WetLitterbags placem_collection'!$V13)),"YES","NO")</f>
        <v>NO</v>
      </c>
      <c r="AK86" s="252" t="str">
        <f>IF(ISNUMBER(SEARCH("H", 'WetLitterbags placem_collection'!$V13)),"YES","NO")</f>
        <v>NO</v>
      </c>
      <c r="AL86" s="252" t="str">
        <f>IF(ISNUMBER(SEARCH("R", 'WetLitterbags placem_collection'!$V13)),"YES","NO")</f>
        <v>YES</v>
      </c>
    </row>
    <row r="87" spans="2:38">
      <c r="B87" t="str">
        <f>'Final data_for_R_analysis_Wetse'!A13</f>
        <v>Wet</v>
      </c>
      <c r="C87" s="260">
        <f>'Final data_for_R_analysis_Wetse'!B13</f>
        <v>12</v>
      </c>
      <c r="D87" t="s">
        <v>3802</v>
      </c>
      <c r="E87" t="s">
        <v>22</v>
      </c>
      <c r="F87" s="382">
        <v>4</v>
      </c>
      <c r="G87" s="16">
        <f>'WetLitterbags placem_collection'!E14</f>
        <v>42766</v>
      </c>
      <c r="H87" t="str">
        <f>'Final data_for_R_analysis_Wetse'!K13</f>
        <v>G590</v>
      </c>
      <c r="I87" t="str">
        <f>'Final data_for_R_analysis_Wetse'!K233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4"/>
        <v>1.8332000000000002</v>
      </c>
      <c r="M87" s="194">
        <f>AVERAGE(Ashed_controlls!$K$2:$K$11)</f>
        <v>5.5147656768714146</v>
      </c>
      <c r="N87" s="194">
        <f t="shared" si="0"/>
        <v>1.7321033156115935</v>
      </c>
      <c r="O87" s="194">
        <f t="shared" si="5"/>
        <v>1.9502000000000002</v>
      </c>
      <c r="P87" s="194">
        <f>AVERAGE(Ashed_controlls!$K$12:$K$14)</f>
        <v>2.2816647271287041</v>
      </c>
      <c r="Q87" s="194">
        <f t="shared" si="6"/>
        <v>1.9057029744915361</v>
      </c>
      <c r="R87" s="16">
        <f>IF('WetLitterbags placem_collection'!G14="","",'WetLitterbags placem_collection'!G14)</f>
        <v>42818</v>
      </c>
      <c r="S87" s="194" t="str">
        <f>IFERROR(INDEX('Both teabags AfterWet'!$C$3:$C$2000,MATCH(H87,'Both teabags AfterWet'!$A$3:$A$2000,0)),"")</f>
        <v/>
      </c>
      <c r="T87" s="194" t="str">
        <f>IFERROR(INDEX('Both teabags AfterWet'!$C$3:$C$2000,MATCH(I87,'Both teabags AfterWet'!$A$3:$A$2000,0)),"")</f>
        <v/>
      </c>
      <c r="U87" s="194" t="str">
        <f t="shared" si="7"/>
        <v/>
      </c>
      <c r="V87" s="194" t="str">
        <f t="shared" si="8"/>
        <v/>
      </c>
      <c r="W87" s="194" t="str">
        <f>IFERROR(INDEX('Ashed teabags wet'!$K$2:$K$2000,MATCH(H87,'Ashed teabags wet'!$A$2:$A$2000,0)),"")</f>
        <v/>
      </c>
      <c r="X87" s="237" t="str">
        <f>IFERROR(INDEX('Ashed teabags wet'!$K$2:$K$2000,MATCH(I87,'Ashed teabags wet'!$A$2:$A$2000,0)),"")</f>
        <v/>
      </c>
      <c r="Y87" s="194" t="str">
        <f t="shared" si="14"/>
        <v/>
      </c>
      <c r="Z87" s="194" t="str">
        <f t="shared" si="9"/>
        <v/>
      </c>
      <c r="AA87" s="194" t="str">
        <f t="shared" si="10"/>
        <v/>
      </c>
      <c r="AB87" s="194" t="str">
        <f t="shared" si="11"/>
        <v/>
      </c>
      <c r="AC87" s="194" t="str">
        <f t="shared" si="2"/>
        <v/>
      </c>
      <c r="AD87">
        <f t="shared" si="3"/>
        <v>52</v>
      </c>
      <c r="AE87" s="194" t="str">
        <f t="shared" si="12"/>
        <v/>
      </c>
      <c r="AF87" s="194" t="str">
        <f t="shared" si="13"/>
        <v/>
      </c>
      <c r="AG87" s="252" t="str">
        <f>IF(ISNUMBER(SEARCH("C",'WetLitterbags placem_collection'!$X14)),"YES","NO")</f>
        <v>NO</v>
      </c>
      <c r="AH87" s="252" t="str">
        <f>IF(ISNUMBER(SEARCH("H", 'WetLitterbags placem_collection'!$X14)),"YES","NO")</f>
        <v>NO</v>
      </c>
      <c r="AI87" s="252" t="str">
        <f>IF(ISNUMBER(SEARCH("R", 'WetLitterbags placem_collection'!$X14)),"YES","NO")</f>
        <v>NO</v>
      </c>
      <c r="AJ87" s="252" t="str">
        <f>IF(ISNUMBER(SEARCH("C", 'WetLitterbags placem_collection'!$V14)),"YES","NO")</f>
        <v>NO</v>
      </c>
      <c r="AK87" s="252" t="str">
        <f>IF(ISNUMBER(SEARCH("H", 'WetLitterbags placem_collection'!$V14)),"YES","NO")</f>
        <v>NO</v>
      </c>
      <c r="AL87" s="252" t="str">
        <f>IF(ISNUMBER(SEARCH("R", 'WetLitterbags placem_collection'!$V14)),"YES","NO")</f>
        <v>NO</v>
      </c>
    </row>
    <row r="88" spans="2:38">
      <c r="B88" t="str">
        <f>'Final data_for_R_analysis_Wetse'!A14</f>
        <v>Wet</v>
      </c>
      <c r="C88" s="260">
        <f>'Final data_for_R_analysis_Wetse'!B14</f>
        <v>13</v>
      </c>
      <c r="D88" t="s">
        <v>3802</v>
      </c>
      <c r="E88" t="s">
        <v>22</v>
      </c>
      <c r="F88" s="382">
        <v>5</v>
      </c>
      <c r="G88" s="16">
        <f>'WetLitterbags placem_collection'!E15</f>
        <v>42766</v>
      </c>
      <c r="H88" t="str">
        <f>'Final data_for_R_analysis_Wetse'!K14</f>
        <v>G595</v>
      </c>
      <c r="I88" t="str">
        <f>'Final data_for_R_analysis_Wetse'!K234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4"/>
        <v>1.8662000000000001</v>
      </c>
      <c r="M88" s="194">
        <f>AVERAGE(Ashed_controlls!$K$2:$K$11)</f>
        <v>5.5147656768714146</v>
      </c>
      <c r="N88" s="194">
        <f t="shared" si="0"/>
        <v>1.7632834429382258</v>
      </c>
      <c r="O88" s="194">
        <f t="shared" si="5"/>
        <v>1.9752000000000001</v>
      </c>
      <c r="P88" s="194">
        <f>AVERAGE(Ashed_controlls!$K$12:$K$14)</f>
        <v>2.2816647271287041</v>
      </c>
      <c r="Q88" s="194">
        <f t="shared" si="6"/>
        <v>1.9301325583097539</v>
      </c>
      <c r="R88" s="16">
        <f>IF('WetLitterbags placem_collection'!G15="","",'WetLitterbags placem_collection'!G15)</f>
        <v>42818</v>
      </c>
      <c r="S88" s="194">
        <f>IFERROR(INDEX('Both teabags AfterWet'!$C$3:$C$2000,MATCH(H88,'Both teabags AfterWet'!$A$3:$A$2000,0)),"")</f>
        <v>0.62809999999999999</v>
      </c>
      <c r="T88" s="194">
        <f>IFERROR(INDEX('Both teabags AfterWet'!$C$3:$C$2000,MATCH(I88,'Both teabags AfterWet'!$A$3:$A$2000,0)),"")</f>
        <v>0.91920000000000002</v>
      </c>
      <c r="U88" s="194">
        <f t="shared" si="7"/>
        <v>0.47749999999999998</v>
      </c>
      <c r="V88" s="194">
        <f t="shared" si="8"/>
        <v>0.76859999999999995</v>
      </c>
      <c r="W88" s="194">
        <f>IFERROR(INDEX('Ashed teabags wet'!$K$2:$K$2000,MATCH(H88,'Ashed teabags wet'!$A$2:$A$2000,0)),"")</f>
        <v>29.168740666998239</v>
      </c>
      <c r="X88" s="237">
        <f>IFERROR(INDEX('Ashed teabags wet'!$K$2:$K$2000,MATCH(I88,'Ashed teabags wet'!$A$2:$A$2000,0)),"")</f>
        <v>41.214534594325485</v>
      </c>
      <c r="Y88" s="194">
        <f t="shared" si="14"/>
        <v>0.3382192633150834</v>
      </c>
      <c r="Z88" s="194">
        <f t="shared" si="9"/>
        <v>0.45182508710801428</v>
      </c>
      <c r="AA88" s="194">
        <f t="shared" si="10"/>
        <v>0.8081878074284552</v>
      </c>
      <c r="AB88" s="194">
        <f t="shared" si="11"/>
        <v>0.5298333369364695</v>
      </c>
      <c r="AC88" s="194">
        <f t="shared" si="2"/>
        <v>0.23409018471958437</v>
      </c>
      <c r="AD88">
        <f t="shared" si="3"/>
        <v>52</v>
      </c>
      <c r="AE88" s="194">
        <f t="shared" si="12"/>
        <v>4.0156998303497393E-2</v>
      </c>
      <c r="AF88" s="194" t="str">
        <f t="shared" si="13"/>
        <v/>
      </c>
      <c r="AG88" s="252" t="str">
        <f>IF(ISNUMBER(SEARCH("C",'WetLitterbags placem_collection'!$X15)),"YES","NO")</f>
        <v>NO</v>
      </c>
      <c r="AH88" s="252" t="str">
        <f>IF(ISNUMBER(SEARCH("H", 'WetLitterbags placem_collection'!$X15)),"YES","NO")</f>
        <v>NO</v>
      </c>
      <c r="AI88" s="252" t="str">
        <f>IF(ISNUMBER(SEARCH("R", 'WetLitterbags placem_collection'!$X15)),"YES","NO")</f>
        <v>NO</v>
      </c>
      <c r="AJ88" s="252" t="str">
        <f>IF(ISNUMBER(SEARCH("C", 'WetLitterbags placem_collection'!$V15)),"YES","NO")</f>
        <v>NO</v>
      </c>
      <c r="AK88" s="252" t="str">
        <f>IF(ISNUMBER(SEARCH("H", 'WetLitterbags placem_collection'!$V15)),"YES","NO")</f>
        <v>YES</v>
      </c>
      <c r="AL88" s="252" t="str">
        <f>IF(ISNUMBER(SEARCH("R", 'WetLitterbags placem_collection'!$V15)),"YES","NO")</f>
        <v>NO</v>
      </c>
    </row>
    <row r="89" spans="2:38">
      <c r="B89" t="str">
        <f>'Final data_for_R_analysis_Wetse'!A15</f>
        <v>Wet</v>
      </c>
      <c r="C89" s="260">
        <f>'Final data_for_R_analysis_Wetse'!B15</f>
        <v>14</v>
      </c>
      <c r="D89" t="s">
        <v>3802</v>
      </c>
      <c r="E89" t="s">
        <v>22</v>
      </c>
      <c r="F89" s="382">
        <v>6</v>
      </c>
      <c r="G89" s="16">
        <f>'WetLitterbags placem_collection'!E16</f>
        <v>42766</v>
      </c>
      <c r="H89" t="str">
        <f>'Final data_for_R_analysis_Wetse'!K15</f>
        <v>G609</v>
      </c>
      <c r="I89" t="str">
        <f>'Final data_for_R_analysis_Wetse'!K235</f>
        <v>R382</v>
      </c>
      <c r="J89">
        <f>IFERROR(INDEX('Green_rooibos initial weight'!$C$5:$C$2000,MATCH(H89, 'Green_rooibos initial weight'!$A$5:$A$2000,0)),"")</f>
        <v>2.089</v>
      </c>
      <c r="K89">
        <f>IFERROR(INDEX('Green_rooibos initial weight'!$C$5:$C$2000,MATCH(I89, 'Green_rooibos initial weight'!$A$5:$A$2000,0)),"")</f>
        <v>2.2210000000000001</v>
      </c>
      <c r="L89" s="194">
        <f t="shared" si="4"/>
        <v>1.8391999999999999</v>
      </c>
      <c r="M89" s="194">
        <f>AVERAGE(Ashed_controlls!$K$2:$K$11)</f>
        <v>5.5147656768714146</v>
      </c>
      <c r="N89" s="194">
        <f t="shared" si="0"/>
        <v>1.7377724296709809</v>
      </c>
      <c r="O89" s="194">
        <f t="shared" si="5"/>
        <v>1.9712000000000001</v>
      </c>
      <c r="P89" s="194">
        <f>AVERAGE(Ashed_controlls!$K$12:$K$14)</f>
        <v>2.2816647271287041</v>
      </c>
      <c r="Q89" s="194">
        <f t="shared" si="6"/>
        <v>1.926223824898839</v>
      </c>
      <c r="R89" s="16">
        <f>IF('WetLitterbags placem_collection'!G16="","",'WetLitterbags placem_collection'!G16)</f>
        <v>42818</v>
      </c>
      <c r="S89" s="194">
        <f>IFERROR(INDEX('Both teabags AfterWet'!$C$3:$C$2000,MATCH(H89,'Both teabags AfterWet'!$A$3:$A$2000,0)),"")</f>
        <v>0.498</v>
      </c>
      <c r="T89" s="194">
        <f>IFERROR(INDEX('Both teabags AfterWet'!$C$3:$C$2000,MATCH(I89,'Both teabags AfterWet'!$A$3:$A$2000,0)),"")</f>
        <v>1.794</v>
      </c>
      <c r="U89" s="194">
        <f t="shared" si="7"/>
        <v>0.34739999999999999</v>
      </c>
      <c r="V89" s="194">
        <f t="shared" si="8"/>
        <v>1.6434</v>
      </c>
      <c r="W89" s="194">
        <f>IFERROR(INDEX('Ashed teabags wet'!$K$2:$K$2000,MATCH(H89,'Ashed teabags wet'!$A$2:$A$2000,0)),"")</f>
        <v>16.033966033965626</v>
      </c>
      <c r="X89" s="237">
        <f>IFERROR(INDEX('Ashed teabags wet'!$K$2:$K$2000,MATCH(I89,'Ashed teabags wet'!$A$2:$A$2000,0)),"")</f>
        <v>87.890437289764591</v>
      </c>
      <c r="Y89" s="194">
        <f t="shared" si="14"/>
        <v>0.29169800199800339</v>
      </c>
      <c r="Z89" s="194">
        <f t="shared" si="9"/>
        <v>0.1990085535800088</v>
      </c>
      <c r="AA89" s="194">
        <f t="shared" si="10"/>
        <v>0.83214257688894766</v>
      </c>
      <c r="AB89" s="194">
        <f t="shared" si="11"/>
        <v>0.54553765135712495</v>
      </c>
      <c r="AC89" s="194">
        <f t="shared" si="2"/>
        <v>0.10331538370960616</v>
      </c>
      <c r="AD89">
        <f t="shared" si="3"/>
        <v>52</v>
      </c>
      <c r="AE89" s="194">
        <f t="shared" si="12"/>
        <v>1.1707153338541887E-2</v>
      </c>
      <c r="AF89" s="194" t="str">
        <f t="shared" si="13"/>
        <v/>
      </c>
      <c r="AG89" s="252" t="str">
        <f>IF(ISNUMBER(SEARCH("C",'WetLitterbags placem_collection'!$X16)),"YES","NO")</f>
        <v>NO</v>
      </c>
      <c r="AH89" s="252" t="str">
        <f>IF(ISNUMBER(SEARCH("H", 'WetLitterbags placem_collection'!$X16)),"YES","NO")</f>
        <v>NO</v>
      </c>
      <c r="AI89" s="252" t="str">
        <f>IF(ISNUMBER(SEARCH("R", 'WetLitterbags placem_collection'!$X16)),"YES","NO")</f>
        <v>NO</v>
      </c>
      <c r="AJ89" s="252" t="str">
        <f>IF(ISNUMBER(SEARCH("C", 'WetLitterbags placem_collection'!$V16)),"YES","NO")</f>
        <v>NO</v>
      </c>
      <c r="AK89" s="252" t="str">
        <f>IF(ISNUMBER(SEARCH("H", 'WetLitterbags placem_collection'!$V16)),"YES","NO")</f>
        <v>NO</v>
      </c>
      <c r="AL89" s="252" t="str">
        <f>IF(ISNUMBER(SEARCH("R", 'WetLitterbags placem_collection'!$V16)),"YES","NO")</f>
        <v>NO</v>
      </c>
    </row>
    <row r="90" spans="2:38">
      <c r="B90" t="str">
        <f>'Final data_for_R_analysis_Wetse'!A16</f>
        <v>Wet</v>
      </c>
      <c r="C90" s="260">
        <f>'Final data_for_R_analysis_Wetse'!B16</f>
        <v>15</v>
      </c>
      <c r="D90" t="s">
        <v>3802</v>
      </c>
      <c r="E90" t="s">
        <v>22</v>
      </c>
      <c r="F90" s="382">
        <v>7</v>
      </c>
      <c r="G90" s="16">
        <f>'WetLitterbags placem_collection'!E17</f>
        <v>42766</v>
      </c>
      <c r="H90" t="str">
        <f>'Final data_for_R_analysis_Wetse'!K16</f>
        <v>G222</v>
      </c>
      <c r="I90" t="str">
        <f>'Final data_for_R_analysis_Wetse'!K236</f>
        <v>R415</v>
      </c>
      <c r="J90">
        <f>IFERROR(INDEX('Green_rooibos initial weight'!$C$5:$C$2000,MATCH(H90, 'Green_rooibos initial weight'!$A$5:$A$2000,0)),"")</f>
        <v>1.889</v>
      </c>
      <c r="K90">
        <f>IFERROR(INDEX('Green_rooibos initial weight'!$C$5:$C$2000,MATCH(I90, 'Green_rooibos initial weight'!$A$5:$A$2000,0)),"")</f>
        <v>2.2160000000000002</v>
      </c>
      <c r="L90" s="194">
        <f t="shared" si="4"/>
        <v>1.6392</v>
      </c>
      <c r="M90" s="194">
        <f>AVERAGE(Ashed_controlls!$K$2:$K$11)</f>
        <v>5.5147656768714146</v>
      </c>
      <c r="N90" s="194">
        <f t="shared" si="0"/>
        <v>1.5488019610247237</v>
      </c>
      <c r="O90" s="194">
        <f t="shared" si="5"/>
        <v>1.9662000000000002</v>
      </c>
      <c r="P90" s="194">
        <f>AVERAGE(Ashed_controlls!$K$12:$K$14)</f>
        <v>2.2816647271287041</v>
      </c>
      <c r="Q90" s="194">
        <f t="shared" si="6"/>
        <v>1.9213379081351956</v>
      </c>
      <c r="R90" s="16">
        <f>IF('WetLitterbags placem_collection'!G17="","",'WetLitterbags placem_collection'!G17)</f>
        <v>42818</v>
      </c>
      <c r="S90" s="194">
        <f>IFERROR(INDEX('Both teabags AfterWet'!$C$3:$C$2000,MATCH(H90,'Both teabags AfterWet'!$A$3:$A$2000,0)),"")</f>
        <v>0.67100000000000004</v>
      </c>
      <c r="T90" s="194">
        <f>IFERROR(INDEX('Both teabags AfterWet'!$C$3:$C$2000,MATCH(I90,'Both teabags AfterWet'!$A$3:$A$2000,0)),"")</f>
        <v>2.96</v>
      </c>
      <c r="U90" s="194">
        <f t="shared" si="7"/>
        <v>0.52039999999999997</v>
      </c>
      <c r="V90" s="194">
        <f t="shared" si="8"/>
        <v>2.8094000000000001</v>
      </c>
      <c r="W90" s="194">
        <f>IFERROR(INDEX('Ashed teabags wet'!$K$2:$K$2000,MATCH(H90,'Ashed teabags wet'!$A$2:$A$2000,0)),"")</f>
        <v>15.805168986083718</v>
      </c>
      <c r="X90" s="237">
        <f>IFERROR(INDEX('Ashed teabags wet'!$K$2:$K$2000,MATCH(I90,'Ashed teabags wet'!$A$2:$A$2000,0)),"")</f>
        <v>78.641732283464947</v>
      </c>
      <c r="Y90" s="194">
        <f t="shared" si="14"/>
        <v>0.43814990059642034</v>
      </c>
      <c r="Z90" s="194">
        <f t="shared" si="9"/>
        <v>0.60003917322833589</v>
      </c>
      <c r="AA90" s="194">
        <f t="shared" si="10"/>
        <v>0.71710398642152406</v>
      </c>
      <c r="AB90" s="194">
        <f t="shared" si="11"/>
        <v>0.47012042815282823</v>
      </c>
      <c r="AC90" s="194">
        <f t="shared" si="2"/>
        <v>0.31230278166463676</v>
      </c>
      <c r="AD90">
        <f t="shared" si="3"/>
        <v>52</v>
      </c>
      <c r="AE90" s="194">
        <f t="shared" si="12"/>
        <v>0.14833255769415188</v>
      </c>
      <c r="AF90" s="194" t="str">
        <f t="shared" si="13"/>
        <v/>
      </c>
      <c r="AG90" s="252" t="str">
        <f>IF(ISNUMBER(SEARCH("C",'WetLitterbags placem_collection'!$X17)),"YES","NO")</f>
        <v>NO</v>
      </c>
      <c r="AH90" s="252" t="str">
        <f>IF(ISNUMBER(SEARCH("H", 'WetLitterbags placem_collection'!$X17)),"YES","NO")</f>
        <v>NO</v>
      </c>
      <c r="AI90" s="252" t="str">
        <f>IF(ISNUMBER(SEARCH("R", 'WetLitterbags placem_collection'!$X17)),"YES","NO")</f>
        <v>YES</v>
      </c>
      <c r="AJ90" s="252" t="str">
        <f>IF(ISNUMBER(SEARCH("C", 'WetLitterbags placem_collection'!$V17)),"YES","NO")</f>
        <v>NO</v>
      </c>
      <c r="AK90" s="252" t="str">
        <f>IF(ISNUMBER(SEARCH("H", 'WetLitterbags placem_collection'!$V17)),"YES","NO")</f>
        <v>NO</v>
      </c>
      <c r="AL90" s="252" t="str">
        <f>IF(ISNUMBER(SEARCH("R", 'WetLitterbags placem_collection'!$V17)),"YES","NO")</f>
        <v>NO</v>
      </c>
    </row>
    <row r="91" spans="2:38">
      <c r="B91" t="str">
        <f>'Final data_for_R_analysis_Wetse'!A17</f>
        <v>Wet</v>
      </c>
      <c r="C91" s="260">
        <f>'Final data_for_R_analysis_Wetse'!B17</f>
        <v>16</v>
      </c>
      <c r="D91" t="s">
        <v>3802</v>
      </c>
      <c r="E91" t="s">
        <v>22</v>
      </c>
      <c r="F91" s="382">
        <v>8</v>
      </c>
      <c r="G91" s="16">
        <f>'WetLitterbags placem_collection'!E18</f>
        <v>42766</v>
      </c>
      <c r="H91" t="str">
        <f>'Final data_for_R_analysis_Wetse'!K17</f>
        <v>G405</v>
      </c>
      <c r="I91" t="str">
        <f>'Final data_for_R_analysis_Wetse'!K237</f>
        <v>R519</v>
      </c>
      <c r="J91">
        <f>IFERROR(INDEX('Green_rooibos initial weight'!$C$5:$C$2000,MATCH(H91, 'Green_rooibos initial weight'!$A$5:$A$2000,0)),"")</f>
        <v>2.056</v>
      </c>
      <c r="K91">
        <f>IFERROR(INDEX('Green_rooibos initial weight'!$C$5:$C$2000,MATCH(I91, 'Green_rooibos initial weight'!$A$5:$A$2000,0)),"")</f>
        <v>2.21</v>
      </c>
      <c r="L91" s="194">
        <f t="shared" si="4"/>
        <v>1.8062</v>
      </c>
      <c r="M91" s="194">
        <f>AVERAGE(Ashed_controlls!$K$2:$K$11)</f>
        <v>5.5147656768714146</v>
      </c>
      <c r="N91" s="194">
        <f t="shared" si="0"/>
        <v>1.7065923023443486</v>
      </c>
      <c r="O91" s="194">
        <f t="shared" si="5"/>
        <v>1.9601999999999999</v>
      </c>
      <c r="P91" s="194">
        <f>AVERAGE(Ashed_controlls!$K$12:$K$14)</f>
        <v>2.2816647271287041</v>
      </c>
      <c r="Q91" s="194">
        <f t="shared" si="6"/>
        <v>1.9154748080188231</v>
      </c>
      <c r="R91" s="16">
        <f>IF('WetLitterbags placem_collection'!G18="","",'WetLitterbags placem_collection'!G18)</f>
        <v>42818</v>
      </c>
      <c r="S91" s="194">
        <f>IFERROR(INDEX('Both teabags AfterWet'!$C$3:$C$2000,MATCH(H91,'Both teabags AfterWet'!$A$3:$A$2000,0)),"")</f>
        <v>0.70150000000000001</v>
      </c>
      <c r="T91" s="194">
        <f>IFERROR(INDEX('Both teabags AfterWet'!$C$3:$C$2000,MATCH(I91,'Both teabags AfterWet'!$A$3:$A$2000,0)),"")</f>
        <v>1.4281999999999999</v>
      </c>
      <c r="U91" s="194">
        <f t="shared" si="7"/>
        <v>0.55089999999999995</v>
      </c>
      <c r="V91" s="194">
        <f t="shared" si="8"/>
        <v>1.2775999999999998</v>
      </c>
      <c r="W91" s="194">
        <f>IFERROR(INDEX('Ashed teabags wet'!$K$2:$K$2000,MATCH(H91,'Ashed teabags wet'!$A$2:$A$2000,0)),"")</f>
        <v>15.725413826680606</v>
      </c>
      <c r="X91" s="237">
        <f>IFERROR(INDEX('Ashed teabags wet'!$K$2:$K$2000,MATCH(I91,'Ashed teabags wet'!$A$2:$A$2000,0)),"")</f>
        <v>5.8709364386224854</v>
      </c>
      <c r="Y91" s="194">
        <f t="shared" si="14"/>
        <v>0.46426869522881647</v>
      </c>
      <c r="Z91" s="194">
        <f t="shared" si="9"/>
        <v>1.2025929160601589</v>
      </c>
      <c r="AA91" s="194">
        <f t="shared" si="10"/>
        <v>0.72795570764555206</v>
      </c>
      <c r="AB91" s="194">
        <f t="shared" si="11"/>
        <v>0.4772346206892456</v>
      </c>
      <c r="AC91" s="194">
        <f t="shared" si="2"/>
        <v>0.62783019177579347</v>
      </c>
      <c r="AD91">
        <f t="shared" si="3"/>
        <v>52</v>
      </c>
      <c r="AE91" s="194">
        <f t="shared" si="12"/>
        <v>0.13544452773687399</v>
      </c>
      <c r="AF91" s="194">
        <f t="shared" si="13"/>
        <v>2.9104438767934209E-2</v>
      </c>
      <c r="AG91" s="252" t="str">
        <f>IF(ISNUMBER(SEARCH("C",'WetLitterbags placem_collection'!$X18)),"YES","NO")</f>
        <v>NO</v>
      </c>
      <c r="AH91" s="252" t="str">
        <f>IF(ISNUMBER(SEARCH("H", 'WetLitterbags placem_collection'!$X18)),"YES","NO")</f>
        <v>NO</v>
      </c>
      <c r="AI91" s="252" t="str">
        <f>IF(ISNUMBER(SEARCH("R", 'WetLitterbags placem_collection'!$X18)),"YES","NO")</f>
        <v>YES</v>
      </c>
      <c r="AJ91" s="252" t="str">
        <f>IF(ISNUMBER(SEARCH("C", 'WetLitterbags placem_collection'!$V18)),"YES","NO")</f>
        <v>NO</v>
      </c>
      <c r="AK91" s="252" t="str">
        <f>IF(ISNUMBER(SEARCH("H", 'WetLitterbags placem_collection'!$V18)),"YES","NO")</f>
        <v>YES</v>
      </c>
      <c r="AL91" s="252" t="str">
        <f>IF(ISNUMBER(SEARCH("R", 'WetLitterbags placem_collection'!$V18)),"YES","NO")</f>
        <v>YES</v>
      </c>
    </row>
    <row r="92" spans="2:38">
      <c r="B92" t="str">
        <f>'Final data_for_R_analysis_Wetse'!A18</f>
        <v>Wet</v>
      </c>
      <c r="C92" s="260">
        <f>'Final data_for_R_analysis_Wetse'!B18</f>
        <v>17</v>
      </c>
      <c r="D92" t="s">
        <v>3803</v>
      </c>
      <c r="E92" t="s">
        <v>22</v>
      </c>
      <c r="F92" s="381">
        <v>1</v>
      </c>
      <c r="G92" s="16">
        <f>'WetLitterbags placem_collection'!E19</f>
        <v>42767</v>
      </c>
      <c r="H92" t="str">
        <f>'Final data_for_R_analysis_Wetse'!K18</f>
        <v>G571</v>
      </c>
      <c r="I92" t="str">
        <f>'Final data_for_R_analysis_Wetse'!K238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4"/>
        <v>1.7991999999999999</v>
      </c>
      <c r="M92" s="194">
        <f>AVERAGE(Ashed_controlls!$K$2:$K$11)</f>
        <v>5.5147656768714146</v>
      </c>
      <c r="N92" s="194">
        <f t="shared" si="0"/>
        <v>1.6999783359417293</v>
      </c>
      <c r="O92" s="194">
        <f t="shared" si="5"/>
        <v>1.9512</v>
      </c>
      <c r="P92" s="194">
        <f>AVERAGE(Ashed_controlls!$K$12:$K$14)</f>
        <v>2.2816647271287041</v>
      </c>
      <c r="Q92" s="194">
        <f t="shared" si="6"/>
        <v>1.9066801578442647</v>
      </c>
      <c r="R92" s="16">
        <f>IF('WetLitterbags placem_collection'!G19="","",'WetLitterbags placem_collection'!G19)</f>
        <v>42818</v>
      </c>
      <c r="S92" s="194">
        <f>IFERROR(INDEX('Both teabags AfterWet'!$C$3:$C$2000,MATCH(H92,'Both teabags AfterWet'!$A$3:$A$2000,0)),"")</f>
        <v>0.67520000000000002</v>
      </c>
      <c r="T92" s="194">
        <f>IFERROR(INDEX('Both teabags AfterWet'!$C$3:$C$2000,MATCH(I92,'Both teabags AfterWet'!$A$3:$A$2000,0)),"")</f>
        <v>1.6227</v>
      </c>
      <c r="U92" s="194">
        <f t="shared" si="7"/>
        <v>0.52459999999999996</v>
      </c>
      <c r="V92" s="194">
        <f t="shared" si="8"/>
        <v>1.4721</v>
      </c>
      <c r="W92" s="194">
        <f>IFERROR(INDEX('Ashed teabags wet'!$K$2:$K$2000,MATCH(H92,'Ashed teabags wet'!$A$2:$A$2000,0)),"")</f>
        <v>9.6710849288172405</v>
      </c>
      <c r="X92" s="237">
        <f>IFERROR(INDEX('Ashed teabags wet'!$K$2:$K$2000,MATCH(I92,'Ashed teabags wet'!$A$2:$A$2000,0)),"")</f>
        <v>7.361376673040378</v>
      </c>
      <c r="Y92" s="194">
        <f t="shared" si="14"/>
        <v>0.47386548846342469</v>
      </c>
      <c r="Z92" s="194">
        <f t="shared" si="9"/>
        <v>1.3637331739961727</v>
      </c>
      <c r="AA92" s="194">
        <f t="shared" si="10"/>
        <v>0.72125204277916899</v>
      </c>
      <c r="AB92" s="194">
        <f t="shared" si="11"/>
        <v>0.47283981901912275</v>
      </c>
      <c r="AC92" s="194">
        <f t="shared" si="2"/>
        <v>0.71523961078927889</v>
      </c>
      <c r="AD92">
        <f t="shared" si="3"/>
        <v>51</v>
      </c>
      <c r="AE92" s="194">
        <f t="shared" si="12"/>
        <v>0.14340612496535743</v>
      </c>
      <c r="AF92" s="194">
        <f t="shared" si="13"/>
        <v>1.8076319795018926E-2</v>
      </c>
      <c r="AG92" s="252" t="str">
        <f>IF(ISNUMBER(SEARCH("C",'WetLitterbags placem_collection'!$X19)),"YES","NO")</f>
        <v>NO</v>
      </c>
      <c r="AH92" s="252" t="str">
        <f>IF(ISNUMBER(SEARCH("H", 'WetLitterbags placem_collection'!$X19)),"YES","NO")</f>
        <v>NO</v>
      </c>
      <c r="AI92" s="252" t="str">
        <f>IF(ISNUMBER(SEARCH("R", 'WetLitterbags placem_collection'!$X19)),"YES","NO")</f>
        <v>YES</v>
      </c>
      <c r="AJ92" s="252" t="str">
        <f>IF(ISNUMBER(SEARCH("C", 'WetLitterbags placem_collection'!$V19)),"YES","NO")</f>
        <v>NO</v>
      </c>
      <c r="AK92" s="252" t="str">
        <f>IF(ISNUMBER(SEARCH("H", 'WetLitterbags placem_collection'!$V19)),"YES","NO")</f>
        <v>NO</v>
      </c>
      <c r="AL92" s="252" t="str">
        <f>IF(ISNUMBER(SEARCH("R", 'WetLitterbags placem_collection'!$V19)),"YES","NO")</f>
        <v>NO</v>
      </c>
    </row>
    <row r="93" spans="2:38">
      <c r="B93" t="str">
        <f>'Final data_for_R_analysis_Wetse'!A19</f>
        <v>Wet</v>
      </c>
      <c r="C93" s="260">
        <f>'Final data_for_R_analysis_Wetse'!B19</f>
        <v>18</v>
      </c>
      <c r="D93" t="s">
        <v>3803</v>
      </c>
      <c r="E93" t="s">
        <v>22</v>
      </c>
      <c r="F93" s="381">
        <v>2</v>
      </c>
      <c r="G93" s="16">
        <f>'WetLitterbags placem_collection'!E20</f>
        <v>42767</v>
      </c>
      <c r="H93" t="str">
        <f>'Final data_for_R_analysis_Wetse'!K19</f>
        <v>G419</v>
      </c>
      <c r="I93" t="str">
        <f>'Final data_for_R_analysis_Wetse'!K239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4"/>
        <v>1.8281999999999998</v>
      </c>
      <c r="M93" s="194">
        <f>AVERAGE(Ashed_controlls!$K$2:$K$11)</f>
        <v>5.5147656768714146</v>
      </c>
      <c r="N93" s="194">
        <f t="shared" si="0"/>
        <v>1.7273790538954366</v>
      </c>
      <c r="O93" s="194">
        <f t="shared" si="5"/>
        <v>1.9872000000000001</v>
      </c>
      <c r="P93" s="194">
        <f>AVERAGE(Ashed_controlls!$K$12:$K$14)</f>
        <v>2.2816647271287041</v>
      </c>
      <c r="Q93" s="194">
        <f t="shared" si="6"/>
        <v>1.9418587585424985</v>
      </c>
      <c r="R93" s="16">
        <f>IF('WetLitterbags placem_collection'!G20="","",'WetLitterbags placem_collection'!G20)</f>
        <v>42818</v>
      </c>
      <c r="S93" s="194">
        <f>IFERROR(INDEX('Both teabags AfterWet'!$C$3:$C$2000,MATCH(H93,'Both teabags AfterWet'!$A$3:$A$2000,0)),"")</f>
        <v>0.79100000000000004</v>
      </c>
      <c r="T93" s="194">
        <f>IFERROR(INDEX('Both teabags AfterWet'!$C$3:$C$2000,MATCH(I93,'Both teabags AfterWet'!$A$3:$A$2000,0)),"")</f>
        <v>1.79</v>
      </c>
      <c r="U93" s="194">
        <f t="shared" si="7"/>
        <v>0.64040000000000008</v>
      </c>
      <c r="V93" s="194">
        <f t="shared" si="8"/>
        <v>1.6394</v>
      </c>
      <c r="W93" s="194">
        <f>IFERROR(INDEX('Ashed teabags wet'!$K$2:$K$2000,MATCH(H93,'Ashed teabags wet'!$A$2:$A$2000,0)),"")</f>
        <v>15.166340508806261</v>
      </c>
      <c r="X93" s="237">
        <f>IFERROR(INDEX('Ashed teabags wet'!$K$2:$K$2000,MATCH(I93,'Ashed teabags wet'!$A$2:$A$2000,0)),"")</f>
        <v>6.4723320158097151</v>
      </c>
      <c r="Y93" s="194">
        <f t="shared" si="14"/>
        <v>0.54327475538160475</v>
      </c>
      <c r="Z93" s="194">
        <f t="shared" si="9"/>
        <v>1.5332925889328155</v>
      </c>
      <c r="AA93" s="194">
        <f t="shared" si="10"/>
        <v>0.68549187038220805</v>
      </c>
      <c r="AB93" s="194">
        <f t="shared" si="11"/>
        <v>0.44939609554748089</v>
      </c>
      <c r="AC93" s="194">
        <f t="shared" si="2"/>
        <v>0.78960047026471658</v>
      </c>
      <c r="AD93">
        <f t="shared" si="3"/>
        <v>51</v>
      </c>
      <c r="AE93" s="194">
        <f t="shared" si="12"/>
        <v>0.18587663850094049</v>
      </c>
      <c r="AF93" s="194">
        <f t="shared" si="13"/>
        <v>1.2381480171107543E-2</v>
      </c>
      <c r="AG93" s="252" t="str">
        <f>IF(ISNUMBER(SEARCH("C",'WetLitterbags placem_collection'!$X20)),"YES","NO")</f>
        <v>NO</v>
      </c>
      <c r="AH93" s="252" t="str">
        <f>IF(ISNUMBER(SEARCH("H", 'WetLitterbags placem_collection'!$X20)),"YES","NO")</f>
        <v>NO</v>
      </c>
      <c r="AI93" s="252" t="str">
        <f>IF(ISNUMBER(SEARCH("R", 'WetLitterbags placem_collection'!$X20)),"YES","NO")</f>
        <v>YES</v>
      </c>
      <c r="AJ93" s="252" t="str">
        <f>IF(ISNUMBER(SEARCH("C", 'WetLitterbags placem_collection'!$V20)),"YES","NO")</f>
        <v>NO</v>
      </c>
      <c r="AK93" s="252" t="str">
        <f>IF(ISNUMBER(SEARCH("H", 'WetLitterbags placem_collection'!$V20)),"YES","NO")</f>
        <v>NO</v>
      </c>
      <c r="AL93" s="252" t="str">
        <f>IF(ISNUMBER(SEARCH("R", 'WetLitterbags placem_collection'!$V20)),"YES","NO")</f>
        <v>YES</v>
      </c>
    </row>
    <row r="94" spans="2:38">
      <c r="B94" t="str">
        <f>'Final data_for_R_analysis_Wetse'!A20</f>
        <v>Wet</v>
      </c>
      <c r="C94" s="260">
        <f>'Final data_for_R_analysis_Wetse'!B20</f>
        <v>19</v>
      </c>
      <c r="D94" t="s">
        <v>3803</v>
      </c>
      <c r="E94" t="s">
        <v>22</v>
      </c>
      <c r="F94" s="381">
        <v>3</v>
      </c>
      <c r="G94" s="16">
        <f>'WetLitterbags placem_collection'!E21</f>
        <v>42767</v>
      </c>
      <c r="H94" t="str">
        <f>'Final data_for_R_analysis_Wetse'!K20</f>
        <v>G240</v>
      </c>
      <c r="I94" t="str">
        <f>'Final data_for_R_analysis_Wetse'!K240</f>
        <v>R82</v>
      </c>
      <c r="J94">
        <f>IFERROR(INDEX('Green_rooibos initial weight'!$C$5:$C$2000,MATCH(H94, 'Green_rooibos initial weight'!$A$5:$A$2000,0)),"")</f>
        <v>2.117</v>
      </c>
      <c r="K94">
        <f>IFERROR(INDEX('Green_rooibos initial weight'!$C$5:$C$2000,MATCH(I94, 'Green_rooibos initial weight'!$A$5:$A$2000,0)),"")</f>
        <v>2.2490000000000001</v>
      </c>
      <c r="L94" s="194">
        <f t="shared" si="4"/>
        <v>1.8672</v>
      </c>
      <c r="M94" s="194">
        <f>AVERAGE(Ashed_controlls!$K$2:$K$11)</f>
        <v>5.5147656768714146</v>
      </c>
      <c r="N94" s="194">
        <f t="shared" si="0"/>
        <v>1.764228295281457</v>
      </c>
      <c r="O94" s="194">
        <f t="shared" si="5"/>
        <v>1.9992000000000001</v>
      </c>
      <c r="P94" s="194">
        <f>AVERAGE(Ashed_controlls!$K$12:$K$14)</f>
        <v>2.2816647271287041</v>
      </c>
      <c r="Q94" s="194">
        <f t="shared" si="6"/>
        <v>1.953584958775243</v>
      </c>
      <c r="R94" s="16">
        <f>IF('WetLitterbags placem_collection'!G21="","",'WetLitterbags placem_collection'!G21)</f>
        <v>42818</v>
      </c>
      <c r="S94" s="194">
        <f>IFERROR(INDEX('Both teabags AfterWet'!$C$3:$C$2000,MATCH(H94,'Both teabags AfterWet'!$A$3:$A$2000,0)),"")</f>
        <v>0.88690000000000002</v>
      </c>
      <c r="T94" s="194">
        <f>IFERROR(INDEX('Both teabags AfterWet'!$C$3:$C$2000,MATCH(I94,'Both teabags AfterWet'!$A$3:$A$2000,0)),"")</f>
        <v>1.514</v>
      </c>
      <c r="U94" s="194">
        <f t="shared" si="7"/>
        <v>0.73629999999999995</v>
      </c>
      <c r="V94" s="194">
        <f t="shared" si="8"/>
        <v>1.3633999999999999</v>
      </c>
      <c r="W94" s="194">
        <f>IFERROR(INDEX('Ashed teabags wet'!$K$2:$K$2000,MATCH(H94,'Ashed teabags wet'!$A$2:$A$2000,0)),"")</f>
        <v>18.480392156862031</v>
      </c>
      <c r="X94" s="237">
        <f>IFERROR(INDEX('Ashed teabags wet'!$K$2:$K$2000,MATCH(I94,'Ashed teabags wet'!$A$2:$A$2000,0)),"")</f>
        <v>11.013215859030426</v>
      </c>
      <c r="Y94" s="194">
        <f t="shared" si="14"/>
        <v>0.60022887254902479</v>
      </c>
      <c r="Z94" s="194">
        <f t="shared" si="9"/>
        <v>1.213245814977979</v>
      </c>
      <c r="AA94" s="194">
        <f t="shared" si="10"/>
        <v>0.65977823042835448</v>
      </c>
      <c r="AB94" s="194">
        <f t="shared" si="11"/>
        <v>0.4325386973829593</v>
      </c>
      <c r="AC94" s="194">
        <f t="shared" si="2"/>
        <v>0.62103560407149982</v>
      </c>
      <c r="AD94">
        <f t="shared" si="3"/>
        <v>51</v>
      </c>
      <c r="AE94" s="194">
        <f t="shared" si="12"/>
        <v>0.21641540329174047</v>
      </c>
      <c r="AF94" s="194">
        <f t="shared" si="13"/>
        <v>4.095298614627664E-2</v>
      </c>
      <c r="AG94" s="252" t="str">
        <f>IF(ISNUMBER(SEARCH("C",'WetLitterbags placem_collection'!$X21)),"YES","NO")</f>
        <v>NO</v>
      </c>
      <c r="AH94" s="252" t="str">
        <f>IF(ISNUMBER(SEARCH("H", 'WetLitterbags placem_collection'!$X21)),"YES","NO")</f>
        <v>NO</v>
      </c>
      <c r="AI94" s="252" t="str">
        <f>IF(ISNUMBER(SEARCH("R", 'WetLitterbags placem_collection'!$X21)),"YES","NO")</f>
        <v>NO</v>
      </c>
      <c r="AJ94" s="252" t="str">
        <f>IF(ISNUMBER(SEARCH("C", 'WetLitterbags placem_collection'!$V21)),"YES","NO")</f>
        <v>NO</v>
      </c>
      <c r="AK94" s="252" t="str">
        <f>IF(ISNUMBER(SEARCH("H", 'WetLitterbags placem_collection'!$V21)),"YES","NO")</f>
        <v>NO</v>
      </c>
      <c r="AL94" s="252" t="str">
        <f>IF(ISNUMBER(SEARCH("R", 'WetLitterbags placem_collection'!$V21)),"YES","NO")</f>
        <v>NO</v>
      </c>
    </row>
    <row r="95" spans="2:38">
      <c r="B95" t="str">
        <f>'Final data_for_R_analysis_Wetse'!A21</f>
        <v>Wet</v>
      </c>
      <c r="C95" s="260">
        <f>'Final data_for_R_analysis_Wetse'!B21</f>
        <v>20</v>
      </c>
      <c r="D95" t="s">
        <v>3803</v>
      </c>
      <c r="E95" t="s">
        <v>22</v>
      </c>
      <c r="F95" s="382">
        <v>4</v>
      </c>
      <c r="G95" s="16">
        <f>'WetLitterbags placem_collection'!E22</f>
        <v>42767</v>
      </c>
      <c r="H95" t="str">
        <f>'Final data_for_R_analysis_Wetse'!K21</f>
        <v>G524</v>
      </c>
      <c r="I95" t="str">
        <f>'Final data_for_R_analysis_Wetse'!K241</f>
        <v>R50</v>
      </c>
      <c r="J95">
        <f>IFERROR(INDEX('Green_rooibos initial weight'!$C$5:$C$2000,MATCH(H95, 'Green_rooibos initial weight'!$A$5:$A$2000,0)),"")</f>
        <v>1.962</v>
      </c>
      <c r="K95">
        <f>IFERROR(INDEX('Green_rooibos initial weight'!$C$5:$C$2000,MATCH(I95, 'Green_rooibos initial weight'!$A$5:$A$2000,0)),"")</f>
        <v>2.2490000000000001</v>
      </c>
      <c r="L95" s="194">
        <f t="shared" si="4"/>
        <v>1.7121999999999999</v>
      </c>
      <c r="M95" s="194">
        <f>AVERAGE(Ashed_controlls!$K$2:$K$11)</f>
        <v>5.5147656768714146</v>
      </c>
      <c r="N95" s="194">
        <f t="shared" si="0"/>
        <v>1.6177761820806076</v>
      </c>
      <c r="O95" s="194">
        <f t="shared" si="5"/>
        <v>1.9992000000000001</v>
      </c>
      <c r="P95" s="194">
        <f>AVERAGE(Ashed_controlls!$K$12:$K$14)</f>
        <v>2.2816647271287041</v>
      </c>
      <c r="Q95" s="194">
        <f t="shared" si="6"/>
        <v>1.953584958775243</v>
      </c>
      <c r="R95" s="16">
        <f>IF('WetLitterbags placem_collection'!G22="","",'WetLitterbags placem_collection'!G22)</f>
        <v>42818</v>
      </c>
      <c r="S95" s="194">
        <f>IFERROR(INDEX('Both teabags AfterWet'!$C$3:$C$2000,MATCH(H95,'Both teabags AfterWet'!$A$3:$A$2000,0)),"")</f>
        <v>0.71609999999999996</v>
      </c>
      <c r="T95" s="194">
        <f>IFERROR(INDEX('Both teabags AfterWet'!$C$3:$C$2000,MATCH(I95,'Both teabags AfterWet'!$A$3:$A$2000,0)),"")</f>
        <v>1.51</v>
      </c>
      <c r="U95" s="194">
        <f t="shared" si="7"/>
        <v>0.56549999999999989</v>
      </c>
      <c r="V95" s="194">
        <f t="shared" si="8"/>
        <v>1.3593999999999999</v>
      </c>
      <c r="W95" s="194">
        <f>IFERROR(INDEX('Ashed teabags wet'!$K$2:$K$2000,MATCH(H95,'Ashed teabags wet'!$A$2:$A$2000,0)),"")</f>
        <v>12.986381322956955</v>
      </c>
      <c r="X95" s="237">
        <f>IFERROR(INDEX('Ashed teabags wet'!$K$2:$K$2000,MATCH(I95,'Ashed teabags wet'!$A$2:$A$2000,0)),"")</f>
        <v>8.4126189283921065</v>
      </c>
      <c r="Y95" s="194">
        <f t="shared" si="14"/>
        <v>0.4920620136186783</v>
      </c>
      <c r="Z95" s="194">
        <f t="shared" si="9"/>
        <v>1.2450388582874377</v>
      </c>
      <c r="AA95" s="194">
        <f t="shared" si="10"/>
        <v>0.69584048827703615</v>
      </c>
      <c r="AB95" s="194">
        <f t="shared" si="11"/>
        <v>0.45618046262342515</v>
      </c>
      <c r="AC95" s="194">
        <f t="shared" si="2"/>
        <v>0.63730980968853657</v>
      </c>
      <c r="AD95">
        <f t="shared" si="3"/>
        <v>51</v>
      </c>
      <c r="AE95" s="194">
        <f t="shared" si="12"/>
        <v>0.17358611843582405</v>
      </c>
      <c r="AF95" s="194">
        <f t="shared" si="13"/>
        <v>3.1079041003033835E-2</v>
      </c>
      <c r="AG95" s="252" t="str">
        <f>IF(ISNUMBER(SEARCH("C",'WetLitterbags placem_collection'!$X22)),"YES","NO")</f>
        <v>NO</v>
      </c>
      <c r="AH95" s="252" t="str">
        <f>IF(ISNUMBER(SEARCH("H", 'WetLitterbags placem_collection'!$X22)),"YES","NO")</f>
        <v>NO</v>
      </c>
      <c r="AI95" s="252" t="str">
        <f>IF(ISNUMBER(SEARCH("R", 'WetLitterbags placem_collection'!$X22)),"YES","NO")</f>
        <v>NO</v>
      </c>
      <c r="AJ95" s="252" t="str">
        <f>IF(ISNUMBER(SEARCH("C", 'WetLitterbags placem_collection'!$V22)),"YES","NO")</f>
        <v>NO</v>
      </c>
      <c r="AK95" s="252" t="str">
        <f>IF(ISNUMBER(SEARCH("H", 'WetLitterbags placem_collection'!$V22)),"YES","NO")</f>
        <v>NO</v>
      </c>
      <c r="AL95" s="252" t="str">
        <f>IF(ISNUMBER(SEARCH("R", 'WetLitterbags placem_collection'!$V22)),"YES","NO")</f>
        <v>NO</v>
      </c>
    </row>
    <row r="96" spans="2:38">
      <c r="B96" t="str">
        <f>'Final data_for_R_analysis_Wetse'!A22</f>
        <v>Wet</v>
      </c>
      <c r="C96" s="260">
        <f>'Final data_for_R_analysis_Wetse'!B22</f>
        <v>21</v>
      </c>
      <c r="D96" t="s">
        <v>3803</v>
      </c>
      <c r="E96" t="s">
        <v>22</v>
      </c>
      <c r="F96" s="382">
        <v>5</v>
      </c>
      <c r="G96" s="16">
        <f>'WetLitterbags placem_collection'!E23</f>
        <v>42767</v>
      </c>
      <c r="H96" t="str">
        <f>'Final data_for_R_analysis_Wetse'!K22</f>
        <v>G699</v>
      </c>
      <c r="I96" t="str">
        <f>'Final data_for_R_analysis_Wetse'!K242</f>
        <v>R529</v>
      </c>
      <c r="J96">
        <f>IFERROR(INDEX('Green_rooibos initial weight'!$C$5:$C$2000,MATCH(H96, 'Green_rooibos initial weight'!$A$5:$A$2000,0)),"")</f>
        <v>1.984</v>
      </c>
      <c r="K96">
        <f>IFERROR(INDEX('Green_rooibos initial weight'!$C$5:$C$2000,MATCH(I96, 'Green_rooibos initial weight'!$A$5:$A$2000,0)),"")</f>
        <v>2.157</v>
      </c>
      <c r="L96" s="194">
        <f t="shared" si="4"/>
        <v>1.7342</v>
      </c>
      <c r="M96" s="194">
        <f>AVERAGE(Ashed_controlls!$K$2:$K$11)</f>
        <v>5.5147656768714146</v>
      </c>
      <c r="N96" s="194">
        <f t="shared" si="0"/>
        <v>1.6385629336316958</v>
      </c>
      <c r="O96" s="194">
        <f t="shared" si="5"/>
        <v>1.9072</v>
      </c>
      <c r="P96" s="194">
        <f>AVERAGE(Ashed_controlls!$K$12:$K$14)</f>
        <v>2.2816647271287041</v>
      </c>
      <c r="Q96" s="194">
        <f t="shared" si="6"/>
        <v>1.8636840903242013</v>
      </c>
      <c r="R96" s="16">
        <f>IF('WetLitterbags placem_collection'!G23="","",'WetLitterbags placem_collection'!G23)</f>
        <v>42818</v>
      </c>
      <c r="S96" s="194">
        <f>IFERROR(INDEX('Both teabags AfterWet'!$C$3:$C$2000,MATCH(H96,'Both teabags AfterWet'!$A$3:$A$2000,0)),"")</f>
        <v>0.7389</v>
      </c>
      <c r="T96" s="194">
        <f>IFERROR(INDEX('Both teabags AfterWet'!$C$3:$C$2000,MATCH(I96,'Both teabags AfterWet'!$A$3:$A$2000,0)),"")</f>
        <v>1.4387000000000001</v>
      </c>
      <c r="U96" s="194">
        <f t="shared" si="7"/>
        <v>0.58830000000000005</v>
      </c>
      <c r="V96" s="194">
        <f t="shared" si="8"/>
        <v>1.2881</v>
      </c>
      <c r="W96" s="194">
        <f>IFERROR(INDEX('Ashed teabags wet'!$K$2:$K$2000,MATCH(H96,'Ashed teabags wet'!$A$2:$A$2000,0)),"")</f>
        <v>10.099009900989453</v>
      </c>
      <c r="X96" s="237">
        <f>IFERROR(INDEX('Ashed teabags wet'!$K$2:$K$2000,MATCH(I96,'Ashed teabags wet'!$A$2:$A$2000,0)),"")</f>
        <v>6.9930069930072492</v>
      </c>
      <c r="Y96" s="194">
        <f t="shared" si="14"/>
        <v>0.52888752475247913</v>
      </c>
      <c r="Z96" s="194">
        <f t="shared" si="9"/>
        <v>1.1980230769230737</v>
      </c>
      <c r="AA96" s="194">
        <f t="shared" si="10"/>
        <v>0.67722477184305774</v>
      </c>
      <c r="AB96" s="194">
        <f t="shared" si="11"/>
        <v>0.44397633498499756</v>
      </c>
      <c r="AC96" s="194">
        <f t="shared" si="2"/>
        <v>0.64282518863734517</v>
      </c>
      <c r="AD96">
        <f t="shared" si="3"/>
        <v>51</v>
      </c>
      <c r="AE96" s="194">
        <f t="shared" si="12"/>
        <v>0.19569504531703352</v>
      </c>
      <c r="AF96" s="194">
        <f t="shared" si="13"/>
        <v>3.2002884052222909E-2</v>
      </c>
      <c r="AG96" s="252" t="str">
        <f>IF(ISNUMBER(SEARCH("C",'WetLitterbags placem_collection'!$X23)),"YES","NO")</f>
        <v>NO</v>
      </c>
      <c r="AH96" s="252" t="str">
        <f>IF(ISNUMBER(SEARCH("H", 'WetLitterbags placem_collection'!$X23)),"YES","NO")</f>
        <v>NO</v>
      </c>
      <c r="AI96" s="252" t="str">
        <f>IF(ISNUMBER(SEARCH("R", 'WetLitterbags placem_collection'!$X23)),"YES","NO")</f>
        <v>NO</v>
      </c>
      <c r="AJ96" s="252" t="str">
        <f>IF(ISNUMBER(SEARCH("C", 'WetLitterbags placem_collection'!$V23)),"YES","NO")</f>
        <v>NO</v>
      </c>
      <c r="AK96" s="252" t="str">
        <f>IF(ISNUMBER(SEARCH("H", 'WetLitterbags placem_collection'!$V23)),"YES","NO")</f>
        <v>NO</v>
      </c>
      <c r="AL96" s="252" t="str">
        <f>IF(ISNUMBER(SEARCH("R", 'WetLitterbags placem_collection'!$V23)),"YES","NO")</f>
        <v>YES</v>
      </c>
    </row>
    <row r="97" spans="2:38">
      <c r="B97" t="str">
        <f>'Final data_for_R_analysis_Wetse'!A23</f>
        <v>Wet</v>
      </c>
      <c r="C97" s="260">
        <f>'Final data_for_R_analysis_Wetse'!B23</f>
        <v>22</v>
      </c>
      <c r="D97" t="s">
        <v>3803</v>
      </c>
      <c r="E97" t="s">
        <v>22</v>
      </c>
      <c r="F97" s="382">
        <v>6</v>
      </c>
      <c r="G97" s="16">
        <f>'WetLitterbags placem_collection'!E24</f>
        <v>42767</v>
      </c>
      <c r="H97" t="str">
        <f>'Final data_for_R_analysis_Wetse'!K23</f>
        <v>G575</v>
      </c>
      <c r="I97" t="str">
        <f>'Final data_for_R_analysis_Wetse'!K243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4"/>
        <v>1.7472000000000001</v>
      </c>
      <c r="M97" s="194">
        <f>AVERAGE(Ashed_controlls!$K$2:$K$11)</f>
        <v>5.5147656768714146</v>
      </c>
      <c r="N97" s="194">
        <f t="shared" si="0"/>
        <v>1.6508460140937027</v>
      </c>
      <c r="O97" s="194">
        <f t="shared" si="5"/>
        <v>1.9161999999999999</v>
      </c>
      <c r="P97" s="194">
        <f>AVERAGE(Ashed_controlls!$K$12:$K$14)</f>
        <v>2.2816647271287041</v>
      </c>
      <c r="Q97" s="194">
        <f t="shared" si="6"/>
        <v>1.8724787404987597</v>
      </c>
      <c r="R97" s="16">
        <f>IF('WetLitterbags placem_collection'!G24="","",'WetLitterbags placem_collection'!G24)</f>
        <v>42818</v>
      </c>
      <c r="S97" s="194">
        <f>IFERROR(INDEX('Both teabags AfterWet'!$C$3:$C$2000,MATCH(H97,'Both teabags AfterWet'!$A$3:$A$2000,0)),"")</f>
        <v>0.74019999999999997</v>
      </c>
      <c r="T97" s="194">
        <f>IFERROR(INDEX('Both teabags AfterWet'!$C$3:$C$2000,MATCH(I97,'Both teabags AfterWet'!$A$3:$A$2000,0)),"")</f>
        <v>1.5164</v>
      </c>
      <c r="U97" s="194">
        <f t="shared" si="7"/>
        <v>0.5895999999999999</v>
      </c>
      <c r="V97" s="194">
        <f t="shared" si="8"/>
        <v>1.3657999999999999</v>
      </c>
      <c r="W97" s="194">
        <f>IFERROR(INDEX('Ashed teabags wet'!$K$2:$K$2000,MATCH(H97,'Ashed teabags wet'!$A$2:$A$2000,0)),"")</f>
        <v>9.8263027295288854</v>
      </c>
      <c r="X97" s="237">
        <f>IFERROR(INDEX('Ashed teabags wet'!$K$2:$K$2000,MATCH(I97,'Ashed teabags wet'!$A$2:$A$2000,0)),"")</f>
        <v>3.5079051383401243</v>
      </c>
      <c r="Y97" s="194">
        <f t="shared" si="14"/>
        <v>0.53166411910669764</v>
      </c>
      <c r="Z97" s="194">
        <f t="shared" si="9"/>
        <v>1.3178890316205505</v>
      </c>
      <c r="AA97" s="194">
        <f t="shared" si="10"/>
        <v>0.67794445116761803</v>
      </c>
      <c r="AB97" s="194">
        <f t="shared" si="11"/>
        <v>0.44444814375834346</v>
      </c>
      <c r="AC97" s="194">
        <f t="shared" si="2"/>
        <v>0.70382055780751518</v>
      </c>
      <c r="AD97">
        <f t="shared" si="3"/>
        <v>51</v>
      </c>
      <c r="AE97" s="194">
        <f t="shared" si="12"/>
        <v>0.19484031927836332</v>
      </c>
      <c r="AF97" s="194">
        <f t="shared" si="13"/>
        <v>2.1525631518107571E-2</v>
      </c>
      <c r="AG97" s="252" t="str">
        <f>IF(ISNUMBER(SEARCH("C",'WetLitterbags placem_collection'!$X24)),"YES","NO")</f>
        <v>NO</v>
      </c>
      <c r="AH97" s="252" t="str">
        <f>IF(ISNUMBER(SEARCH("H", 'WetLitterbags placem_collection'!$X24)),"YES","NO")</f>
        <v>NO</v>
      </c>
      <c r="AI97" s="252" t="str">
        <f>IF(ISNUMBER(SEARCH("R", 'WetLitterbags placem_collection'!$X24)),"YES","NO")</f>
        <v>NO</v>
      </c>
      <c r="AJ97" s="252" t="str">
        <f>IF(ISNUMBER(SEARCH("C", 'WetLitterbags placem_collection'!$V24)),"YES","NO")</f>
        <v>NO</v>
      </c>
      <c r="AK97" s="252" t="str">
        <f>IF(ISNUMBER(SEARCH("H", 'WetLitterbags placem_collection'!$V24)),"YES","NO")</f>
        <v>NO</v>
      </c>
      <c r="AL97" s="252" t="str">
        <f>IF(ISNUMBER(SEARCH("R", 'WetLitterbags placem_collection'!$V24)),"YES","NO")</f>
        <v>YES</v>
      </c>
    </row>
    <row r="98" spans="2:38">
      <c r="B98" t="str">
        <f>'Final data_for_R_analysis_Wetse'!A24</f>
        <v>Wet</v>
      </c>
      <c r="C98" s="260">
        <f>'Final data_for_R_analysis_Wetse'!B24</f>
        <v>23</v>
      </c>
      <c r="D98" t="s">
        <v>3803</v>
      </c>
      <c r="E98" t="s">
        <v>22</v>
      </c>
      <c r="F98" s="382">
        <v>7</v>
      </c>
      <c r="G98" s="16">
        <f>'WetLitterbags placem_collection'!E25</f>
        <v>42767</v>
      </c>
      <c r="H98" t="str">
        <f>'Final data_for_R_analysis_Wetse'!K24</f>
        <v>G492</v>
      </c>
      <c r="I98" t="str">
        <f>'Final data_for_R_analysis_Wetse'!K244</f>
        <v>R190</v>
      </c>
      <c r="J98">
        <f>IFERROR(INDEX('Green_rooibos initial weight'!$C$5:$C$2000,MATCH(H98, 'Green_rooibos initial weight'!$A$5:$A$2000,0)),"")</f>
        <v>1.948</v>
      </c>
      <c r="K98">
        <f>IFERROR(INDEX('Green_rooibos initial weight'!$C$5:$C$2000,MATCH(I98, 'Green_rooibos initial weight'!$A$5:$A$2000,0)),"")</f>
        <v>2.2240000000000002</v>
      </c>
      <c r="L98" s="194">
        <f t="shared" si="4"/>
        <v>1.6981999999999999</v>
      </c>
      <c r="M98" s="194">
        <f>AVERAGE(Ashed_controlls!$K$2:$K$11)</f>
        <v>5.5147656768714146</v>
      </c>
      <c r="N98" s="194">
        <f t="shared" si="0"/>
        <v>1.6045482492753695</v>
      </c>
      <c r="O98" s="194">
        <f t="shared" si="5"/>
        <v>1.9742000000000002</v>
      </c>
      <c r="P98" s="194">
        <f>AVERAGE(Ashed_controlls!$K$12:$K$14)</f>
        <v>2.2816647271287041</v>
      </c>
      <c r="Q98" s="194">
        <f t="shared" si="6"/>
        <v>1.9291553749570254</v>
      </c>
      <c r="R98" s="16">
        <f>IF('WetLitterbags placem_collection'!G25="","",'WetLitterbags placem_collection'!G25)</f>
        <v>42818</v>
      </c>
      <c r="S98" s="194">
        <f>IFERROR(INDEX('Both teabags AfterWet'!$C$3:$C$2000,MATCH(H98,'Both teabags AfterWet'!$A$3:$A$2000,0)),"")</f>
        <v>0.76959999999999995</v>
      </c>
      <c r="T98" s="194">
        <f>IFERROR(INDEX('Both teabags AfterWet'!$C$3:$C$2000,MATCH(I98,'Both teabags AfterWet'!$A$3:$A$2000,0)),"")</f>
        <v>1.5019</v>
      </c>
      <c r="U98" s="194">
        <f t="shared" si="7"/>
        <v>0.61899999999999999</v>
      </c>
      <c r="V98" s="194">
        <f t="shared" si="8"/>
        <v>1.3512999999999999</v>
      </c>
      <c r="W98" s="194">
        <f>IFERROR(INDEX('Ashed teabags wet'!$K$2:$K$2000,MATCH(H98,'Ashed teabags wet'!$A$2:$A$2000,0)),"")</f>
        <v>11.478696741854373</v>
      </c>
      <c r="X98" s="237">
        <f>IFERROR(INDEX('Ashed teabags wet'!$K$2:$K$2000,MATCH(I98,'Ashed teabags wet'!$A$2:$A$2000,0)),"")</f>
        <v>3.0390738060779063</v>
      </c>
      <c r="Y98" s="194">
        <f t="shared" si="14"/>
        <v>0.5479468671679214</v>
      </c>
      <c r="Z98" s="194">
        <f t="shared" si="9"/>
        <v>1.3102329956584693</v>
      </c>
      <c r="AA98" s="194">
        <f t="shared" si="10"/>
        <v>0.65850396370730524</v>
      </c>
      <c r="AB98" s="194">
        <f t="shared" si="11"/>
        <v>0.43170331112402915</v>
      </c>
      <c r="AC98" s="194">
        <f t="shared" si="2"/>
        <v>0.67917442662577476</v>
      </c>
      <c r="AD98">
        <f t="shared" si="3"/>
        <v>51</v>
      </c>
      <c r="AE98" s="194">
        <f t="shared" si="12"/>
        <v>0.21792878419559947</v>
      </c>
      <c r="AF98" s="194">
        <f t="shared" si="13"/>
        <v>2.6653145881436118E-2</v>
      </c>
      <c r="AG98" s="252" t="str">
        <f>IF(ISNUMBER(SEARCH("C",'WetLitterbags placem_collection'!$X25)),"YES","NO")</f>
        <v>NO</v>
      </c>
      <c r="AH98" s="252" t="str">
        <f>IF(ISNUMBER(SEARCH("H", 'WetLitterbags placem_collection'!$X25)),"YES","NO")</f>
        <v>NO</v>
      </c>
      <c r="AI98" s="252" t="str">
        <f>IF(ISNUMBER(SEARCH("R", 'WetLitterbags placem_collection'!$X25)),"YES","NO")</f>
        <v>NO</v>
      </c>
      <c r="AJ98" s="252" t="str">
        <f>IF(ISNUMBER(SEARCH("C", 'WetLitterbags placem_collection'!$V25)),"YES","NO")</f>
        <v>NO</v>
      </c>
      <c r="AK98" s="252" t="str">
        <f>IF(ISNUMBER(SEARCH("H", 'WetLitterbags placem_collection'!$V25)),"YES","NO")</f>
        <v>NO</v>
      </c>
      <c r="AL98" s="252" t="str">
        <f>IF(ISNUMBER(SEARCH("R", 'WetLitterbags placem_collection'!$V25)),"YES","NO")</f>
        <v>YES</v>
      </c>
    </row>
    <row r="99" spans="2:38">
      <c r="B99" t="str">
        <f>'Final data_for_R_analysis_Wetse'!A25</f>
        <v>Wet</v>
      </c>
      <c r="C99" s="260">
        <f>'Final data_for_R_analysis_Wetse'!B25</f>
        <v>24</v>
      </c>
      <c r="D99" t="s">
        <v>3803</v>
      </c>
      <c r="E99" t="s">
        <v>22</v>
      </c>
      <c r="F99" s="382">
        <v>8</v>
      </c>
      <c r="G99" s="16">
        <f>'WetLitterbags placem_collection'!E26</f>
        <v>42767</v>
      </c>
      <c r="H99" t="str">
        <f>'Final data_for_R_analysis_Wetse'!K25</f>
        <v>G813</v>
      </c>
      <c r="I99" t="str">
        <f>'Final data_for_R_analysis_Wetse'!K245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4"/>
        <v>1.7052</v>
      </c>
      <c r="M99" s="194">
        <f>AVERAGE(Ashed_controlls!$K$2:$K$11)</f>
        <v>5.5147656768714146</v>
      </c>
      <c r="N99" s="194">
        <f t="shared" si="0"/>
        <v>1.6111622156779888</v>
      </c>
      <c r="O99" s="194">
        <f t="shared" si="5"/>
        <v>1.8931999999999998</v>
      </c>
      <c r="P99" s="194">
        <f>AVERAGE(Ashed_controlls!$K$12:$K$14)</f>
        <v>2.2816647271287041</v>
      </c>
      <c r="Q99" s="194">
        <f t="shared" si="6"/>
        <v>1.850003523385999</v>
      </c>
      <c r="R99" s="16">
        <f>IF('WetLitterbags placem_collection'!G26="","",'WetLitterbags placem_collection'!G26)</f>
        <v>42818</v>
      </c>
      <c r="S99" s="194">
        <f>IFERROR(INDEX('Both teabags AfterWet'!$C$3:$C$2000,MATCH(H99,'Both teabags AfterWet'!$A$3:$A$2000,0)),"")</f>
        <v>0.74790000000000001</v>
      </c>
      <c r="T99" s="194">
        <f>IFERROR(INDEX('Both teabags AfterWet'!$C$3:$C$2000,MATCH(I99,'Both teabags AfterWet'!$A$3:$A$2000,0)),"")</f>
        <v>1.6077999999999999</v>
      </c>
      <c r="U99" s="194">
        <f t="shared" si="7"/>
        <v>0.59729999999999994</v>
      </c>
      <c r="V99" s="194">
        <f t="shared" si="8"/>
        <v>1.4571999999999998</v>
      </c>
      <c r="W99" s="194">
        <f>IFERROR(INDEX('Ashed teabags wet'!$K$2:$K$2000,MATCH(H99,'Ashed teabags wet'!$A$2:$A$2000,0)),"")</f>
        <v>11.584158415841873</v>
      </c>
      <c r="X99" s="237">
        <f>IFERROR(INDEX('Ashed teabags wet'!$K$2:$K$2000,MATCH(I99,'Ashed teabags wet'!$A$2:$A$2000,0)),"")</f>
        <v>4.9655850540802868</v>
      </c>
      <c r="Y99" s="194">
        <f t="shared" si="14"/>
        <v>0.52810782178217641</v>
      </c>
      <c r="Z99" s="194">
        <f t="shared" si="9"/>
        <v>1.3848414945919418</v>
      </c>
      <c r="AA99" s="194">
        <f t="shared" si="10"/>
        <v>0.67221933543175549</v>
      </c>
      <c r="AB99" s="194">
        <f t="shared" si="11"/>
        <v>0.44069486123316992</v>
      </c>
      <c r="AC99" s="194">
        <f t="shared" si="2"/>
        <v>0.74856154438955513</v>
      </c>
      <c r="AD99">
        <f t="shared" si="3"/>
        <v>51</v>
      </c>
      <c r="AE99" s="194">
        <f t="shared" si="12"/>
        <v>0.20163974414280816</v>
      </c>
      <c r="AF99" s="194">
        <f t="shared" si="13"/>
        <v>1.6573528865851082E-2</v>
      </c>
      <c r="AG99" s="252" t="str">
        <f>IF(ISNUMBER(SEARCH("C",'WetLitterbags placem_collection'!$X26)),"YES","NO")</f>
        <v>NO</v>
      </c>
      <c r="AH99" s="252" t="str">
        <f>IF(ISNUMBER(SEARCH("H", 'WetLitterbags placem_collection'!$X26)),"YES","NO")</f>
        <v>NO</v>
      </c>
      <c r="AI99" s="252" t="str">
        <f>IF(ISNUMBER(SEARCH("R", 'WetLitterbags placem_collection'!$X26)),"YES","NO")</f>
        <v>NO</v>
      </c>
      <c r="AJ99" s="252" t="str">
        <f>IF(ISNUMBER(SEARCH("C", 'WetLitterbags placem_collection'!$V26)),"YES","NO")</f>
        <v>NO</v>
      </c>
      <c r="AK99" s="252" t="str">
        <f>IF(ISNUMBER(SEARCH("H", 'WetLitterbags placem_collection'!$V26)),"YES","NO")</f>
        <v>NO</v>
      </c>
      <c r="AL99" s="252" t="str">
        <f>IF(ISNUMBER(SEARCH("R", 'WetLitterbags placem_collection'!$V26)),"YES","NO")</f>
        <v>YES</v>
      </c>
    </row>
    <row r="100" spans="2:38">
      <c r="B100" t="str">
        <f>'Final data_for_R_analysis_Wetse'!A26</f>
        <v>Wet</v>
      </c>
      <c r="C100" s="260">
        <f>'Final data_for_R_analysis_Wetse'!B26</f>
        <v>25</v>
      </c>
      <c r="D100" t="s">
        <v>3804</v>
      </c>
      <c r="E100" t="s">
        <v>22</v>
      </c>
      <c r="F100" s="381">
        <v>1</v>
      </c>
      <c r="G100" s="16">
        <f>'WetLitterbags placem_collection'!E27</f>
        <v>42767</v>
      </c>
      <c r="H100" t="str">
        <f>'Final data_for_R_analysis_Wetse'!K26</f>
        <v>G406</v>
      </c>
      <c r="I100" t="str">
        <f>'Final data_for_R_analysis_Wetse'!K246</f>
        <v>R279</v>
      </c>
      <c r="J100">
        <f>IFERROR(INDEX('Green_rooibos initial weight'!$C$5:$C$2000,MATCH(H100, 'Green_rooibos initial weight'!$A$5:$A$2000,0)),"")</f>
        <v>2.0910000000000002</v>
      </c>
      <c r="K100">
        <f>IFERROR(INDEX('Green_rooibos initial weight'!$C$5:$C$2000,MATCH(I100, 'Green_rooibos initial weight'!$A$5:$A$2000,0)),"")</f>
        <v>2.161</v>
      </c>
      <c r="L100" s="194">
        <f t="shared" si="4"/>
        <v>1.8412000000000002</v>
      </c>
      <c r="M100" s="194">
        <f>AVERAGE(Ashed_controlls!$K$2:$K$11)</f>
        <v>5.5147656768714146</v>
      </c>
      <c r="N100" s="194">
        <f t="shared" si="0"/>
        <v>1.7396621343574437</v>
      </c>
      <c r="O100" s="194">
        <f t="shared" si="5"/>
        <v>1.9112</v>
      </c>
      <c r="P100" s="194">
        <f>AVERAGE(Ashed_controlls!$K$12:$K$14)</f>
        <v>2.2816647271287041</v>
      </c>
      <c r="Q100" s="194">
        <f t="shared" si="6"/>
        <v>1.8675928237351163</v>
      </c>
      <c r="R100" s="16">
        <f>IF('WetLitterbags placem_collection'!G27="","",'WetLitterbags placem_collection'!G27)</f>
        <v>42818</v>
      </c>
      <c r="S100" s="194">
        <f>IFERROR(INDEX('Both teabags AfterWet'!$C$3:$C$2000,MATCH(H100,'Both teabags AfterWet'!$A$3:$A$2000,0)),"")</f>
        <v>0.68400000000000005</v>
      </c>
      <c r="T100" s="194">
        <f>IFERROR(INDEX('Both teabags AfterWet'!$C$3:$C$2000,MATCH(I100,'Both teabags AfterWet'!$A$3:$A$2000,0)),"")</f>
        <v>1.6192</v>
      </c>
      <c r="U100" s="194">
        <f t="shared" si="7"/>
        <v>0.5334000000000001</v>
      </c>
      <c r="V100" s="194">
        <f t="shared" si="8"/>
        <v>1.4685999999999999</v>
      </c>
      <c r="W100" s="194">
        <f>IFERROR(INDEX('Ashed teabags wet'!$K$2:$K$2000,MATCH(H100,'Ashed teabags wet'!$A$2:$A$2000,0)),"")</f>
        <v>12.537313432835518</v>
      </c>
      <c r="X100" s="237">
        <f>IFERROR(INDEX('Ashed teabags wet'!$K$2:$K$2000,MATCH(I100,'Ashed teabags wet'!$A$2:$A$2000,0)),"")</f>
        <v>2.7040077257358202</v>
      </c>
      <c r="Y100" s="194">
        <f t="shared" si="14"/>
        <v>0.46652597014925545</v>
      </c>
      <c r="Z100" s="194">
        <f t="shared" si="9"/>
        <v>1.4288889425398437</v>
      </c>
      <c r="AA100" s="194">
        <f t="shared" si="10"/>
        <v>0.7318295541785933</v>
      </c>
      <c r="AB100" s="194">
        <f t="shared" si="11"/>
        <v>0.47977424454463607</v>
      </c>
      <c r="AC100" s="194">
        <f t="shared" si="2"/>
        <v>0.76509661227018366</v>
      </c>
      <c r="AD100">
        <f t="shared" si="3"/>
        <v>51</v>
      </c>
      <c r="AE100" s="194">
        <f t="shared" si="12"/>
        <v>0.13084375988290575</v>
      </c>
      <c r="AF100" s="194">
        <f t="shared" si="13"/>
        <v>1.3187935546479065E-2</v>
      </c>
      <c r="AG100" s="252" t="str">
        <f>IF(ISNUMBER(SEARCH("C",'WetLitterbags placem_collection'!$X27)),"YES","NO")</f>
        <v>NO</v>
      </c>
      <c r="AH100" s="252" t="str">
        <f>IF(ISNUMBER(SEARCH("H", 'WetLitterbags placem_collection'!$X27)),"YES","NO")</f>
        <v>NO</v>
      </c>
      <c r="AI100" s="252" t="str">
        <f>IF(ISNUMBER(SEARCH("R", 'WetLitterbags placem_collection'!$X27)),"YES","NO")</f>
        <v>NO</v>
      </c>
      <c r="AJ100" s="252" t="str">
        <f>IF(ISNUMBER(SEARCH("C", 'WetLitterbags placem_collection'!$V27)),"YES","NO")</f>
        <v>NO</v>
      </c>
      <c r="AK100" s="252" t="str">
        <f>IF(ISNUMBER(SEARCH("H", 'WetLitterbags placem_collection'!$V27)),"YES","NO")</f>
        <v>NO</v>
      </c>
      <c r="AL100" s="252" t="str">
        <f>IF(ISNUMBER(SEARCH("R", 'WetLitterbags placem_collection'!$V27)),"YES","NO")</f>
        <v>NO</v>
      </c>
    </row>
    <row r="101" spans="2:38">
      <c r="B101" t="str">
        <f>'Final data_for_R_analysis_Wetse'!A27</f>
        <v>Wet</v>
      </c>
      <c r="C101" s="260">
        <f>'Final data_for_R_analysis_Wetse'!B27</f>
        <v>26</v>
      </c>
      <c r="D101" t="s">
        <v>3804</v>
      </c>
      <c r="E101" t="s">
        <v>22</v>
      </c>
      <c r="F101" s="381">
        <v>2</v>
      </c>
      <c r="G101" s="16">
        <f>'WetLitterbags placem_collection'!E28</f>
        <v>42767</v>
      </c>
      <c r="H101" t="str">
        <f>'Final data_for_R_analysis_Wetse'!K27</f>
        <v>G651</v>
      </c>
      <c r="I101" t="str">
        <f>'Final data_for_R_analysis_Wetse'!K247</f>
        <v>R148</v>
      </c>
      <c r="J101">
        <f>IFERROR(INDEX('Green_rooibos initial weight'!$C$5:$C$2000,MATCH(H101, 'Green_rooibos initial weight'!$A$5:$A$2000,0)),"")</f>
        <v>1.97</v>
      </c>
      <c r="K101">
        <f>IFERROR(INDEX('Green_rooibos initial weight'!$C$5:$C$2000,MATCH(I101, 'Green_rooibos initial weight'!$A$5:$A$2000,0)),"")</f>
        <v>2.149</v>
      </c>
      <c r="L101" s="194">
        <f t="shared" si="4"/>
        <v>1.7202</v>
      </c>
      <c r="M101" s="194">
        <f>AVERAGE(Ashed_controlls!$K$2:$K$11)</f>
        <v>5.5147656768714146</v>
      </c>
      <c r="N101" s="194">
        <f t="shared" si="0"/>
        <v>1.6253350008264578</v>
      </c>
      <c r="O101" s="194">
        <f t="shared" si="5"/>
        <v>1.8992</v>
      </c>
      <c r="P101" s="194">
        <f>AVERAGE(Ashed_controlls!$K$12:$K$14)</f>
        <v>2.2816647271287041</v>
      </c>
      <c r="Q101" s="194">
        <f t="shared" si="6"/>
        <v>1.8558666235023717</v>
      </c>
      <c r="R101" s="16">
        <f>IF('WetLitterbags placem_collection'!G28="","",'WetLitterbags placem_collection'!G28)</f>
        <v>42818</v>
      </c>
      <c r="S101" s="194">
        <f>IFERROR(INDEX('Both teabags AfterWet'!$C$3:$C$2000,MATCH(H101,'Both teabags AfterWet'!$A$3:$A$2000,0)),"")</f>
        <v>0.77580000000000005</v>
      </c>
      <c r="T101" s="194">
        <f>IFERROR(INDEX('Both teabags AfterWet'!$C$3:$C$2000,MATCH(I101,'Both teabags AfterWet'!$A$3:$A$2000,0)),"")</f>
        <v>1.5741000000000001</v>
      </c>
      <c r="U101" s="194">
        <f t="shared" si="7"/>
        <v>0.62519999999999998</v>
      </c>
      <c r="V101" s="194">
        <f t="shared" si="8"/>
        <v>1.4235</v>
      </c>
      <c r="W101" s="194">
        <f>IFERROR(INDEX('Ashed teabags wet'!$K$2:$K$2000,MATCH(H101,'Ashed teabags wet'!$A$2:$A$2000,0)),"")</f>
        <v>12.512218963832606</v>
      </c>
      <c r="X101" s="237">
        <f>IFERROR(INDEX('Ashed teabags wet'!$K$2:$K$2000,MATCH(I101,'Ashed teabags wet'!$A$2:$A$2000,0)),"")</f>
        <v>3.3466533466532278</v>
      </c>
      <c r="Y101" s="194">
        <f t="shared" si="14"/>
        <v>0.54697360703811859</v>
      </c>
      <c r="Z101" s="194">
        <f t="shared" si="9"/>
        <v>1.3758603896103914</v>
      </c>
      <c r="AA101" s="194">
        <f t="shared" si="10"/>
        <v>0.66347023428401464</v>
      </c>
      <c r="AB101" s="194">
        <f t="shared" si="11"/>
        <v>0.43495910846172936</v>
      </c>
      <c r="AC101" s="194">
        <f t="shared" si="2"/>
        <v>0.74135736490259319</v>
      </c>
      <c r="AD101">
        <f t="shared" si="3"/>
        <v>51</v>
      </c>
      <c r="AE101" s="194">
        <f t="shared" si="12"/>
        <v>0.21203060061280921</v>
      </c>
      <c r="AF101" s="194">
        <f t="shared" si="13"/>
        <v>1.7705323504038164E-2</v>
      </c>
      <c r="AG101" s="252" t="str">
        <f>IF(ISNUMBER(SEARCH("C",'WetLitterbags placem_collection'!$X28)),"YES","NO")</f>
        <v>NO</v>
      </c>
      <c r="AH101" s="252" t="str">
        <f>IF(ISNUMBER(SEARCH("H", 'WetLitterbags placem_collection'!$X28)),"YES","NO")</f>
        <v>NO</v>
      </c>
      <c r="AI101" s="252" t="str">
        <f>IF(ISNUMBER(SEARCH("R", 'WetLitterbags placem_collection'!$X28)),"YES","NO")</f>
        <v>NO</v>
      </c>
      <c r="AJ101" s="252" t="str">
        <f>IF(ISNUMBER(SEARCH("C", 'WetLitterbags placem_collection'!$V28)),"YES","NO")</f>
        <v>NO</v>
      </c>
      <c r="AK101" s="252" t="str">
        <f>IF(ISNUMBER(SEARCH("H", 'WetLitterbags placem_collection'!$V28)),"YES","NO")</f>
        <v>NO</v>
      </c>
      <c r="AL101" s="252" t="str">
        <f>IF(ISNUMBER(SEARCH("R", 'WetLitterbags placem_collection'!$V28)),"YES","NO")</f>
        <v>YES</v>
      </c>
    </row>
    <row r="102" spans="2:38">
      <c r="B102" t="str">
        <f>'Final data_for_R_analysis_Wetse'!A28</f>
        <v>Wet</v>
      </c>
      <c r="C102" s="260">
        <f>'Final data_for_R_analysis_Wetse'!B28</f>
        <v>27</v>
      </c>
      <c r="D102" t="s">
        <v>3804</v>
      </c>
      <c r="E102" t="s">
        <v>22</v>
      </c>
      <c r="F102" s="381">
        <v>3</v>
      </c>
      <c r="G102" s="16">
        <f>'WetLitterbags placem_collection'!E29</f>
        <v>42767</v>
      </c>
      <c r="H102" t="str">
        <f>'Final data_for_R_analysis_Wetse'!K28</f>
        <v>G583</v>
      </c>
      <c r="I102" t="str">
        <f>'Final data_for_R_analysis_Wetse'!K248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4"/>
        <v>1.9331999999999998</v>
      </c>
      <c r="M102" s="194">
        <f>AVERAGE(Ashed_controlls!$K$2:$K$11)</f>
        <v>5.5147656768714146</v>
      </c>
      <c r="N102" s="194">
        <f t="shared" si="0"/>
        <v>1.8265885499347216</v>
      </c>
      <c r="O102" s="194">
        <f t="shared" si="5"/>
        <v>2.0112000000000001</v>
      </c>
      <c r="P102" s="194">
        <f>AVERAGE(Ashed_controlls!$K$12:$K$14)</f>
        <v>2.2816647271287041</v>
      </c>
      <c r="Q102" s="194">
        <f t="shared" si="6"/>
        <v>1.9653111590079877</v>
      </c>
      <c r="R102" s="16">
        <f>IF('WetLitterbags placem_collection'!G29="","",'WetLitterbags placem_collection'!G29)</f>
        <v>42818</v>
      </c>
      <c r="S102" s="194">
        <f>IFERROR(INDEX('Both teabags AfterWet'!$C$3:$C$2000,MATCH(H102,'Both teabags AfterWet'!$A$3:$A$2000,0)),"")</f>
        <v>0.66169999999999995</v>
      </c>
      <c r="T102" s="194">
        <f>IFERROR(INDEX('Both teabags AfterWet'!$C$3:$C$2000,MATCH(I102,'Both teabags AfterWet'!$A$3:$A$2000,0)),"")</f>
        <v>1.3584000000000001</v>
      </c>
      <c r="U102" s="194">
        <f t="shared" si="7"/>
        <v>0.51109999999999989</v>
      </c>
      <c r="V102" s="194">
        <f t="shared" si="8"/>
        <v>1.2078</v>
      </c>
      <c r="W102" s="194">
        <f>IFERROR(INDEX('Ashed teabags wet'!$K$2:$K$2000,MATCH(H102,'Ashed teabags wet'!$A$2:$A$2000,0)),"")</f>
        <v>12.756598240469378</v>
      </c>
      <c r="X102" s="237">
        <f>IFERROR(INDEX('Ashed teabags wet'!$K$2:$K$2000,MATCH(I102,'Ashed teabags wet'!$A$2:$A$2000,0)),"")</f>
        <v>6.1105722599418044</v>
      </c>
      <c r="Y102" s="194">
        <f t="shared" si="14"/>
        <v>0.44590102639296092</v>
      </c>
      <c r="Z102" s="194">
        <f t="shared" si="9"/>
        <v>1.1339965082444228</v>
      </c>
      <c r="AA102" s="194">
        <f t="shared" si="10"/>
        <v>0.7558831591225641</v>
      </c>
      <c r="AB102" s="194">
        <f t="shared" si="11"/>
        <v>0.49554335372405633</v>
      </c>
      <c r="AC102" s="194">
        <f t="shared" si="2"/>
        <v>0.57700609038256312</v>
      </c>
      <c r="AD102">
        <f t="shared" si="3"/>
        <v>51</v>
      </c>
      <c r="AE102" s="194">
        <f t="shared" si="12"/>
        <v>0.10227653310859364</v>
      </c>
      <c r="AF102" s="194">
        <f t="shared" si="13"/>
        <v>3.7674245642247035E-2</v>
      </c>
      <c r="AG102" s="252" t="str">
        <f>IF(ISNUMBER(SEARCH("C",'WetLitterbags placem_collection'!$X29)),"YES","NO")</f>
        <v>NO</v>
      </c>
      <c r="AH102" s="252" t="str">
        <f>IF(ISNUMBER(SEARCH("H", 'WetLitterbags placem_collection'!$X29)),"YES","NO")</f>
        <v>NO</v>
      </c>
      <c r="AI102" s="252" t="str">
        <f>IF(ISNUMBER(SEARCH("R", 'WetLitterbags placem_collection'!$X29)),"YES","NO")</f>
        <v>NO</v>
      </c>
      <c r="AJ102" s="252" t="str">
        <f>IF(ISNUMBER(SEARCH("C", 'WetLitterbags placem_collection'!$V29)),"YES","NO")</f>
        <v>NO</v>
      </c>
      <c r="AK102" s="252" t="str">
        <f>IF(ISNUMBER(SEARCH("H", 'WetLitterbags placem_collection'!$V29)),"YES","NO")</f>
        <v>NO</v>
      </c>
      <c r="AL102" s="252" t="str">
        <f>IF(ISNUMBER(SEARCH("R", 'WetLitterbags placem_collection'!$V29)),"YES","NO")</f>
        <v>NO</v>
      </c>
    </row>
    <row r="103" spans="2:38">
      <c r="B103" t="str">
        <f>'Final data_for_R_analysis_Wetse'!A29</f>
        <v>Wet</v>
      </c>
      <c r="C103" s="260">
        <f>'Final data_for_R_analysis_Wetse'!B29</f>
        <v>28</v>
      </c>
      <c r="D103" t="s">
        <v>3804</v>
      </c>
      <c r="E103" t="s">
        <v>22</v>
      </c>
      <c r="F103" s="382">
        <v>4</v>
      </c>
      <c r="G103" s="16">
        <f>'WetLitterbags placem_collection'!E30</f>
        <v>42767</v>
      </c>
      <c r="H103" t="str">
        <f>'Final data_for_R_analysis_Wetse'!K29</f>
        <v>G702</v>
      </c>
      <c r="I103" t="str">
        <f>'Final data_for_R_analysis_Wetse'!K249</f>
        <v>R436</v>
      </c>
      <c r="J103">
        <f>IFERROR(INDEX('Green_rooibos initial weight'!$C$5:$C$2000,MATCH(H103, 'Green_rooibos initial weight'!$A$5:$A$2000,0)),"")</f>
        <v>2.109</v>
      </c>
      <c r="K103">
        <f>IFERROR(INDEX('Green_rooibos initial weight'!$C$5:$C$2000,MATCH(I103, 'Green_rooibos initial weight'!$A$5:$A$2000,0)),"")</f>
        <v>2.2240000000000002</v>
      </c>
      <c r="L103" s="194">
        <f t="shared" si="4"/>
        <v>1.8592</v>
      </c>
      <c r="M103" s="194">
        <f>AVERAGE(Ashed_controlls!$K$2:$K$11)</f>
        <v>5.5147656768714146</v>
      </c>
      <c r="N103" s="194">
        <f t="shared" si="0"/>
        <v>1.7566694765356066</v>
      </c>
      <c r="O103" s="194">
        <f t="shared" si="5"/>
        <v>1.9742000000000002</v>
      </c>
      <c r="P103" s="194">
        <f>AVERAGE(Ashed_controlls!$K$12:$K$14)</f>
        <v>2.2816647271287041</v>
      </c>
      <c r="Q103" s="194">
        <f t="shared" si="6"/>
        <v>1.9291553749570254</v>
      </c>
      <c r="R103" s="16">
        <f>IF('WetLitterbags placem_collection'!G30="","",'WetLitterbags placem_collection'!G30)</f>
        <v>42818</v>
      </c>
      <c r="S103" s="194">
        <f>IFERROR(INDEX('Both teabags AfterWet'!$C$3:$C$2000,MATCH(H103,'Both teabags AfterWet'!$A$3:$A$2000,0)),"")</f>
        <v>0.73699999999999999</v>
      </c>
      <c r="T103" s="194">
        <f>IFERROR(INDEX('Both teabags AfterWet'!$C$3:$C$2000,MATCH(I103,'Both teabags AfterWet'!$A$3:$A$2000,0)),"")</f>
        <v>1.5295000000000001</v>
      </c>
      <c r="U103" s="194">
        <f t="shared" si="7"/>
        <v>0.58640000000000003</v>
      </c>
      <c r="V103" s="194">
        <f t="shared" si="8"/>
        <v>1.3789</v>
      </c>
      <c r="W103" s="194">
        <f>IFERROR(INDEX('Ashed teabags wet'!$K$2:$K$2000,MATCH(H103,'Ashed teabags wet'!$A$2:$A$2000,0)),"")</f>
        <v>10.710760118459444</v>
      </c>
      <c r="X103" s="237">
        <f>IFERROR(INDEX('Ashed teabags wet'!$K$2:$K$2000,MATCH(I103,'Ashed teabags wet'!$A$2:$A$2000,0)),"")</f>
        <v>4.1749502982106899</v>
      </c>
      <c r="Y103" s="194">
        <f t="shared" si="14"/>
        <v>0.52359210266535383</v>
      </c>
      <c r="Z103" s="194">
        <f t="shared" si="9"/>
        <v>1.3213316103379729</v>
      </c>
      <c r="AA103" s="194">
        <f t="shared" si="10"/>
        <v>0.70194045626730572</v>
      </c>
      <c r="AB103" s="194">
        <f t="shared" si="11"/>
        <v>0.46017949151965892</v>
      </c>
      <c r="AC103" s="194">
        <f t="shared" si="2"/>
        <v>0.68492752190445383</v>
      </c>
      <c r="AD103">
        <f t="shared" si="3"/>
        <v>51</v>
      </c>
      <c r="AE103" s="194">
        <f t="shared" si="12"/>
        <v>0.16634150087018318</v>
      </c>
      <c r="AF103" s="194">
        <f t="shared" si="13"/>
        <v>2.2630296441205254E-2</v>
      </c>
      <c r="AG103" s="252" t="str">
        <f>IF(ISNUMBER(SEARCH("C",'WetLitterbags placem_collection'!$X30)),"YES","NO")</f>
        <v>NO</v>
      </c>
      <c r="AH103" s="252" t="str">
        <f>IF(ISNUMBER(SEARCH("H", 'WetLitterbags placem_collection'!$X30)),"YES","NO")</f>
        <v>NO</v>
      </c>
      <c r="AI103" s="252" t="str">
        <f>IF(ISNUMBER(SEARCH("R", 'WetLitterbags placem_collection'!$X30)),"YES","NO")</f>
        <v>NO</v>
      </c>
      <c r="AJ103" s="252" t="str">
        <f>IF(ISNUMBER(SEARCH("C", 'WetLitterbags placem_collection'!$V30)),"YES","NO")</f>
        <v>NO</v>
      </c>
      <c r="AK103" s="252" t="str">
        <f>IF(ISNUMBER(SEARCH("H", 'WetLitterbags placem_collection'!$V30)),"YES","NO")</f>
        <v>NO</v>
      </c>
      <c r="AL103" s="252" t="str">
        <f>IF(ISNUMBER(SEARCH("R", 'WetLitterbags placem_collection'!$V30)),"YES","NO")</f>
        <v>NO</v>
      </c>
    </row>
    <row r="104" spans="2:38">
      <c r="B104" t="str">
        <f>'Final data_for_R_analysis_Wetse'!A30</f>
        <v>Wet</v>
      </c>
      <c r="C104" s="260">
        <f>'Final data_for_R_analysis_Wetse'!B30</f>
        <v>29</v>
      </c>
      <c r="D104" t="s">
        <v>3804</v>
      </c>
      <c r="E104" t="s">
        <v>22</v>
      </c>
      <c r="F104" s="382">
        <v>5</v>
      </c>
      <c r="G104" s="16">
        <f>'WetLitterbags placem_collection'!E31</f>
        <v>42767</v>
      </c>
      <c r="H104" t="str">
        <f>'Final data_for_R_analysis_Wetse'!K30</f>
        <v>G838</v>
      </c>
      <c r="I104" t="str">
        <f>'Final data_for_R_analysis_Wetse'!K250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4"/>
        <v>1.7871999999999999</v>
      </c>
      <c r="M104" s="194">
        <f>AVERAGE(Ashed_controlls!$K$2:$K$11)</f>
        <v>5.5147656768714146</v>
      </c>
      <c r="N104" s="194">
        <f t="shared" si="0"/>
        <v>1.688640107822954</v>
      </c>
      <c r="O104" s="194">
        <f t="shared" si="5"/>
        <v>1.9811999999999999</v>
      </c>
      <c r="P104" s="194">
        <f>AVERAGE(Ashed_controlls!$K$12:$K$14)</f>
        <v>2.2816647271287041</v>
      </c>
      <c r="Q104" s="194">
        <f t="shared" si="6"/>
        <v>1.935995658426126</v>
      </c>
      <c r="R104" s="16">
        <f>IF('WetLitterbags placem_collection'!G31="","",'WetLitterbags placem_collection'!G31)</f>
        <v>42818</v>
      </c>
      <c r="S104" s="194">
        <f>IFERROR(INDEX('Both teabags AfterWet'!$C$3:$C$2000,MATCH(H104,'Both teabags AfterWet'!$A$3:$A$2000,0)),"")</f>
        <v>0.70830000000000004</v>
      </c>
      <c r="T104" s="194">
        <f>IFERROR(INDEX('Both teabags AfterWet'!$C$3:$C$2000,MATCH(I104,'Both teabags AfterWet'!$A$3:$A$2000,0)),"")</f>
        <v>1.5941000000000001</v>
      </c>
      <c r="U104" s="194">
        <f t="shared" si="7"/>
        <v>0.55770000000000008</v>
      </c>
      <c r="V104" s="194">
        <f t="shared" si="8"/>
        <v>1.4435</v>
      </c>
      <c r="W104" s="194">
        <f>IFERROR(INDEX('Ashed teabags wet'!$K$2:$K$2000,MATCH(H104,'Ashed teabags wet'!$A$2:$A$2000,0)),"")</f>
        <v>8.2404265632568467</v>
      </c>
      <c r="X104" s="237">
        <f>IFERROR(INDEX('Ashed teabags wet'!$K$2:$K$2000,MATCH(I104,'Ashed teabags wet'!$A$2:$A$2000,0)),"")</f>
        <v>10.99756690997477</v>
      </c>
      <c r="Y104" s="194">
        <f t="shared" si="14"/>
        <v>0.51174314105671659</v>
      </c>
      <c r="Z104" s="194">
        <f t="shared" si="9"/>
        <v>1.2847501216545143</v>
      </c>
      <c r="AA104" s="194">
        <f t="shared" si="10"/>
        <v>0.69694955207686538</v>
      </c>
      <c r="AB104" s="194">
        <f t="shared" si="11"/>
        <v>0.45690754482948898</v>
      </c>
      <c r="AC104" s="194">
        <f t="shared" si="2"/>
        <v>0.66361208821044371</v>
      </c>
      <c r="AD104">
        <f t="shared" si="3"/>
        <v>51</v>
      </c>
      <c r="AE104" s="194">
        <f t="shared" si="12"/>
        <v>0.17226894052628816</v>
      </c>
      <c r="AF104" s="194">
        <f t="shared" si="13"/>
        <v>2.6130752785664811E-2</v>
      </c>
      <c r="AG104" s="252" t="str">
        <f>IF(ISNUMBER(SEARCH("C",'WetLitterbags placem_collection'!$X31)),"YES","NO")</f>
        <v>NO</v>
      </c>
      <c r="AH104" s="252" t="str">
        <f>IF(ISNUMBER(SEARCH("H", 'WetLitterbags placem_collection'!$X31)),"YES","NO")</f>
        <v>NO</v>
      </c>
      <c r="AI104" s="252" t="str">
        <f>IF(ISNUMBER(SEARCH("R", 'WetLitterbags placem_collection'!$X31)),"YES","NO")</f>
        <v>NO</v>
      </c>
      <c r="AJ104" s="252" t="str">
        <f>IF(ISNUMBER(SEARCH("C", 'WetLitterbags placem_collection'!$V31)),"YES","NO")</f>
        <v>NO</v>
      </c>
      <c r="AK104" s="252" t="str">
        <f>IF(ISNUMBER(SEARCH("H", 'WetLitterbags placem_collection'!$V31)),"YES","NO")</f>
        <v>NO</v>
      </c>
      <c r="AL104" s="252" t="str">
        <f>IF(ISNUMBER(SEARCH("R", 'WetLitterbags placem_collection'!$V31)),"YES","NO")</f>
        <v>YES</v>
      </c>
    </row>
    <row r="105" spans="2:38">
      <c r="B105" t="str">
        <f>'Final data_for_R_analysis_Wetse'!A31</f>
        <v>Wet</v>
      </c>
      <c r="C105" s="260">
        <f>'Final data_for_R_analysis_Wetse'!B31</f>
        <v>30</v>
      </c>
      <c r="D105" t="s">
        <v>3804</v>
      </c>
      <c r="E105" t="s">
        <v>22</v>
      </c>
      <c r="F105" s="382">
        <v>6</v>
      </c>
      <c r="G105" s="16">
        <f>'WetLitterbags placem_collection'!E32</f>
        <v>42767</v>
      </c>
      <c r="H105" t="str">
        <f>'Final data_for_R_analysis_Wetse'!K31</f>
        <v>G518</v>
      </c>
      <c r="I105" t="str">
        <f>'Final data_for_R_analysis_Wetse'!K251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4"/>
        <v>1.7452000000000001</v>
      </c>
      <c r="M105" s="194">
        <f>AVERAGE(Ashed_controlls!$K$2:$K$11)</f>
        <v>5.5147656768714146</v>
      </c>
      <c r="N105" s="194">
        <f t="shared" si="0"/>
        <v>1.6489563094072401</v>
      </c>
      <c r="O105" s="194">
        <f t="shared" si="5"/>
        <v>1.9422000000000001</v>
      </c>
      <c r="P105" s="194">
        <f>AVERAGE(Ashed_controlls!$K$12:$K$14)</f>
        <v>2.2816647271287041</v>
      </c>
      <c r="Q105" s="194">
        <f t="shared" si="6"/>
        <v>1.8978855076697065</v>
      </c>
      <c r="R105" s="16">
        <f>IF('WetLitterbags placem_collection'!G32="","",'WetLitterbags placem_collection'!G32)</f>
        <v>42818</v>
      </c>
      <c r="S105" s="194">
        <f>IFERROR(INDEX('Both teabags AfterWet'!$C$3:$C$2000,MATCH(H105,'Both teabags AfterWet'!$A$3:$A$2000,0)),"")</f>
        <v>0.68200000000000005</v>
      </c>
      <c r="T105" s="194">
        <f>IFERROR(INDEX('Both teabags AfterWet'!$C$3:$C$2000,MATCH(I105,'Both teabags AfterWet'!$A$3:$A$2000,0)),"")</f>
        <v>1.3523000000000001</v>
      </c>
      <c r="U105" s="194">
        <f t="shared" si="7"/>
        <v>0.53140000000000009</v>
      </c>
      <c r="V105" s="194">
        <f t="shared" si="8"/>
        <v>1.2017</v>
      </c>
      <c r="W105" s="194">
        <f>IFERROR(INDEX('Ashed teabags wet'!$K$2:$K$2000,MATCH(H105,'Ashed teabags wet'!$A$2:$A$2000,0)),"")</f>
        <v>11.009615384615254</v>
      </c>
      <c r="X105" s="237">
        <f>IFERROR(INDEX('Ashed teabags wet'!$K$2:$K$2000,MATCH(I105,'Ashed teabags wet'!$A$2:$A$2000,0)),"")</f>
        <v>4.821073558648326</v>
      </c>
      <c r="Y105" s="194">
        <f t="shared" si="14"/>
        <v>0.47289490384615462</v>
      </c>
      <c r="Z105" s="194">
        <f t="shared" si="9"/>
        <v>1.143765159045723</v>
      </c>
      <c r="AA105" s="194">
        <f t="shared" si="10"/>
        <v>0.71321562545453432</v>
      </c>
      <c r="AB105" s="194">
        <f t="shared" si="11"/>
        <v>0.46757128889655941</v>
      </c>
      <c r="AC105" s="194">
        <f t="shared" si="2"/>
        <v>0.60265234885010521</v>
      </c>
      <c r="AD105">
        <f t="shared" si="3"/>
        <v>51</v>
      </c>
      <c r="AE105" s="194">
        <f t="shared" si="12"/>
        <v>0.15295056359318959</v>
      </c>
      <c r="AF105" s="194">
        <f t="shared" si="13"/>
        <v>3.7173859849596799E-2</v>
      </c>
      <c r="AG105" s="252" t="str">
        <f>IF(ISNUMBER(SEARCH("C",'WetLitterbags placem_collection'!$X32)),"YES","NO")</f>
        <v>NO</v>
      </c>
      <c r="AH105" s="252" t="str">
        <f>IF(ISNUMBER(SEARCH("H", 'WetLitterbags placem_collection'!$X32)),"YES","NO")</f>
        <v>NO</v>
      </c>
      <c r="AI105" s="252" t="str">
        <f>IF(ISNUMBER(SEARCH("R", 'WetLitterbags placem_collection'!$X32)),"YES","NO")</f>
        <v>NO</v>
      </c>
      <c r="AJ105" s="252" t="str">
        <f>IF(ISNUMBER(SEARCH("C", 'WetLitterbags placem_collection'!$V32)),"YES","NO")</f>
        <v>NO</v>
      </c>
      <c r="AK105" s="252" t="str">
        <f>IF(ISNUMBER(SEARCH("H", 'WetLitterbags placem_collection'!$V32)),"YES","NO")</f>
        <v>NO</v>
      </c>
      <c r="AL105" s="252" t="str">
        <f>IF(ISNUMBER(SEARCH("R", 'WetLitterbags placem_collection'!$V32)),"YES","NO")</f>
        <v>YES</v>
      </c>
    </row>
    <row r="106" spans="2:38">
      <c r="B106" t="str">
        <f>'Final data_for_R_analysis_Wetse'!A32</f>
        <v>Wet</v>
      </c>
      <c r="C106" s="260">
        <f>'Final data_for_R_analysis_Wetse'!B32</f>
        <v>31</v>
      </c>
      <c r="D106" t="s">
        <v>3804</v>
      </c>
      <c r="E106" t="s">
        <v>22</v>
      </c>
      <c r="F106" s="382">
        <v>7</v>
      </c>
      <c r="G106" s="16">
        <f>'WetLitterbags placem_collection'!E33</f>
        <v>42767</v>
      </c>
      <c r="H106" t="str">
        <f>'Final data_for_R_analysis_Wetse'!K32</f>
        <v>G404</v>
      </c>
      <c r="I106" t="str">
        <f>'Final data_for_R_analysis_Wetse'!K252</f>
        <v>R141</v>
      </c>
      <c r="J106">
        <f>IFERROR(INDEX('Green_rooibos initial weight'!$C$5:$C$2000,MATCH(H106, 'Green_rooibos initial weight'!$A$5:$A$2000,0)),"")</f>
        <v>2.113</v>
      </c>
      <c r="K106">
        <f>IFERROR(INDEX('Green_rooibos initial weight'!$C$5:$C$2000,MATCH(I106, 'Green_rooibos initial weight'!$A$5:$A$2000,0)),"")</f>
        <v>2.2029999999999998</v>
      </c>
      <c r="L106" s="194">
        <f t="shared" si="4"/>
        <v>1.8632</v>
      </c>
      <c r="M106" s="194">
        <f>AVERAGE(Ashed_controlls!$K$2:$K$11)</f>
        <v>5.5147656768714146</v>
      </c>
      <c r="N106" s="194">
        <f t="shared" si="0"/>
        <v>1.7604488859085319</v>
      </c>
      <c r="O106" s="194">
        <f t="shared" si="5"/>
        <v>1.9531999999999998</v>
      </c>
      <c r="P106" s="194">
        <f>AVERAGE(Ashed_controlls!$K$12:$K$14)</f>
        <v>2.2816647271287041</v>
      </c>
      <c r="Q106" s="194">
        <f t="shared" si="6"/>
        <v>1.908634524549722</v>
      </c>
      <c r="R106" s="16">
        <f>IF('WetLitterbags placem_collection'!G33="","",'WetLitterbags placem_collection'!G33)</f>
        <v>42818</v>
      </c>
      <c r="S106" s="194">
        <f>IFERROR(INDEX('Both teabags AfterWet'!$C$3:$C$2000,MATCH(H106,'Both teabags AfterWet'!$A$3:$A$2000,0)),"")</f>
        <v>0.75349999999999995</v>
      </c>
      <c r="T106" s="194">
        <f>IFERROR(INDEX('Both teabags AfterWet'!$C$3:$C$2000,MATCH(I106,'Both teabags AfterWet'!$A$3:$A$2000,0)),"")</f>
        <v>1.3197000000000001</v>
      </c>
      <c r="U106" s="194">
        <f t="shared" si="7"/>
        <v>0.60289999999999999</v>
      </c>
      <c r="V106" s="194">
        <f t="shared" si="8"/>
        <v>1.1691</v>
      </c>
      <c r="W106" s="194">
        <f>IFERROR(INDEX('Ashed teabags wet'!$K$2:$K$2000,MATCH(H106,'Ashed teabags wet'!$A$2:$A$2000,0)),"")</f>
        <v>13.930110100526482</v>
      </c>
      <c r="X106" s="237">
        <f>IFERROR(INDEX('Ashed teabags wet'!$K$2:$K$2000,MATCH(I106,'Ashed teabags wet'!$A$2:$A$2000,0)),"")</f>
        <v>5.5501460564756266</v>
      </c>
      <c r="Y106" s="194">
        <f t="shared" si="14"/>
        <v>0.51891536620392587</v>
      </c>
      <c r="Z106" s="194">
        <f t="shared" si="9"/>
        <v>1.1042132424537434</v>
      </c>
      <c r="AA106" s="194">
        <f t="shared" si="10"/>
        <v>0.70523690272545214</v>
      </c>
      <c r="AB106" s="194">
        <f t="shared" si="11"/>
        <v>0.46234058230932262</v>
      </c>
      <c r="AC106" s="194">
        <f t="shared" si="2"/>
        <v>0.57853571663451142</v>
      </c>
      <c r="AD106">
        <f t="shared" si="3"/>
        <v>51</v>
      </c>
      <c r="AE106" s="194">
        <f t="shared" si="12"/>
        <v>0.16242648132369097</v>
      </c>
      <c r="AF106" s="194">
        <f t="shared" si="13"/>
        <v>4.7563753009423886E-2</v>
      </c>
      <c r="AG106" s="252" t="str">
        <f>IF(ISNUMBER(SEARCH("C",'WetLitterbags placem_collection'!$X33)),"YES","NO")</f>
        <v>NO</v>
      </c>
      <c r="AH106" s="252" t="str">
        <f>IF(ISNUMBER(SEARCH("H", 'WetLitterbags placem_collection'!$X33)),"YES","NO")</f>
        <v>NO</v>
      </c>
      <c r="AI106" s="252" t="str">
        <f>IF(ISNUMBER(SEARCH("R", 'WetLitterbags placem_collection'!$X33)),"YES","NO")</f>
        <v>YES</v>
      </c>
      <c r="AJ106" s="252" t="str">
        <f>IF(ISNUMBER(SEARCH("C", 'WetLitterbags placem_collection'!$V33)),"YES","NO")</f>
        <v>NO</v>
      </c>
      <c r="AK106" s="252" t="str">
        <f>IF(ISNUMBER(SEARCH("H", 'WetLitterbags placem_collection'!$V33)),"YES","NO")</f>
        <v>NO</v>
      </c>
      <c r="AL106" s="252" t="str">
        <f>IF(ISNUMBER(SEARCH("R", 'WetLitterbags placem_collection'!$V33)),"YES","NO")</f>
        <v>YES</v>
      </c>
    </row>
    <row r="107" spans="2:38">
      <c r="B107" t="str">
        <f>'Final data_for_R_analysis_Wetse'!A33</f>
        <v>Wet</v>
      </c>
      <c r="C107" s="260">
        <f>'Final data_for_R_analysis_Wetse'!B33</f>
        <v>32</v>
      </c>
      <c r="D107" t="s">
        <v>3804</v>
      </c>
      <c r="E107" t="s">
        <v>22</v>
      </c>
      <c r="F107" s="382">
        <v>8</v>
      </c>
      <c r="G107" s="16">
        <f>'WetLitterbags placem_collection'!E34</f>
        <v>42767</v>
      </c>
      <c r="H107" t="str">
        <f>'Final data_for_R_analysis_Wetse'!K33</f>
        <v>G527</v>
      </c>
      <c r="I107" t="str">
        <f>'Final data_for_R_analysis_Wetse'!K253</f>
        <v>R396</v>
      </c>
      <c r="J107">
        <f>IFERROR(INDEX('Green_rooibos initial weight'!$C$5:$C$2000,MATCH(H107, 'Green_rooibos initial weight'!$A$5:$A$2000,0)),"")</f>
        <v>1.913</v>
      </c>
      <c r="K107">
        <f>IFERROR(INDEX('Green_rooibos initial weight'!$C$5:$C$2000,MATCH(I107, 'Green_rooibos initial weight'!$A$5:$A$2000,0)),"")</f>
        <v>2.14</v>
      </c>
      <c r="L107" s="194">
        <f t="shared" si="4"/>
        <v>1.6632</v>
      </c>
      <c r="M107" s="194">
        <f>AVERAGE(Ashed_controlls!$K$2:$K$11)</f>
        <v>5.5147656768714146</v>
      </c>
      <c r="N107" s="194">
        <f t="shared" si="0"/>
        <v>1.5714784172622747</v>
      </c>
      <c r="O107" s="194">
        <f t="shared" si="5"/>
        <v>1.8902000000000001</v>
      </c>
      <c r="P107" s="194">
        <f>AVERAGE(Ashed_controlls!$K$12:$K$14)</f>
        <v>2.2816647271287041</v>
      </c>
      <c r="Q107" s="194">
        <f t="shared" si="6"/>
        <v>1.8470719733278134</v>
      </c>
      <c r="R107" s="16">
        <f>IF('WetLitterbags placem_collection'!G34="","",'WetLitterbags placem_collection'!G34)</f>
        <v>42818</v>
      </c>
      <c r="S107" s="194">
        <f>IFERROR(INDEX('Both teabags AfterWet'!$C$3:$C$2000,MATCH(H107,'Both teabags AfterWet'!$A$3:$A$2000,0)),"")</f>
        <v>0.66439999999999999</v>
      </c>
      <c r="T107" s="194">
        <f>IFERROR(INDEX('Both teabags AfterWet'!$C$3:$C$2000,MATCH(I107,'Both teabags AfterWet'!$A$3:$A$2000,0)),"")</f>
        <v>1.3464</v>
      </c>
      <c r="U107" s="194">
        <f t="shared" si="7"/>
        <v>0.51380000000000003</v>
      </c>
      <c r="V107" s="194">
        <f t="shared" si="8"/>
        <v>1.1958</v>
      </c>
      <c r="W107" s="194">
        <f>IFERROR(INDEX('Ashed teabags wet'!$K$2:$K$2000,MATCH(H107,'Ashed teabags wet'!$A$2:$A$2000,0)),"")</f>
        <v>8.4915084915079166</v>
      </c>
      <c r="X107" s="237">
        <f>IFERROR(INDEX('Ashed teabags wet'!$K$2:$K$2000,MATCH(I107,'Ashed teabags wet'!$A$2:$A$2000,0)),"")</f>
        <v>7.5764934434188538</v>
      </c>
      <c r="Y107" s="194">
        <f t="shared" si="14"/>
        <v>0.47017062937063236</v>
      </c>
      <c r="Z107" s="194">
        <f t="shared" si="9"/>
        <v>1.1052002914035972</v>
      </c>
      <c r="AA107" s="194">
        <f t="shared" si="10"/>
        <v>0.70080999891189566</v>
      </c>
      <c r="AB107" s="194">
        <f t="shared" si="11"/>
        <v>0.45943838408475829</v>
      </c>
      <c r="AC107" s="194">
        <f t="shared" si="2"/>
        <v>0.59835258580226924</v>
      </c>
      <c r="AD107">
        <f t="shared" si="3"/>
        <v>51</v>
      </c>
      <c r="AE107" s="194">
        <f t="shared" si="12"/>
        <v>0.1676840868029742</v>
      </c>
      <c r="AF107" s="194">
        <f t="shared" si="13"/>
        <v>4.0650437377726265E-2</v>
      </c>
      <c r="AG107" s="252" t="str">
        <f>IF(ISNUMBER(SEARCH("C",'WetLitterbags placem_collection'!$X34)),"YES","NO")</f>
        <v>NO</v>
      </c>
      <c r="AH107" s="252" t="str">
        <f>IF(ISNUMBER(SEARCH("H", 'WetLitterbags placem_collection'!$X34)),"YES","NO")</f>
        <v>NO</v>
      </c>
      <c r="AI107" s="252" t="str">
        <f>IF(ISNUMBER(SEARCH("R", 'WetLitterbags placem_collection'!$X34)),"YES","NO")</f>
        <v>YES</v>
      </c>
      <c r="AJ107" s="252" t="str">
        <f>IF(ISNUMBER(SEARCH("C", 'WetLitterbags placem_collection'!$V34)),"YES","NO")</f>
        <v>NO</v>
      </c>
      <c r="AK107" s="252" t="str">
        <f>IF(ISNUMBER(SEARCH("H", 'WetLitterbags placem_collection'!$V34)),"YES","NO")</f>
        <v>NO</v>
      </c>
      <c r="AL107" s="252" t="str">
        <f>IF(ISNUMBER(SEARCH("R", 'WetLitterbags placem_collection'!$V34)),"YES","NO")</f>
        <v>YES</v>
      </c>
    </row>
    <row r="108" spans="2:38">
      <c r="B108" t="str">
        <f>'Final data_for_R_analysis_Wetse'!A34</f>
        <v>Wet</v>
      </c>
      <c r="C108" s="260">
        <f>'Final data_for_R_analysis_Wetse'!B34</f>
        <v>33</v>
      </c>
      <c r="D108" t="s">
        <v>3805</v>
      </c>
      <c r="E108" t="s">
        <v>22</v>
      </c>
      <c r="F108" s="381">
        <v>1</v>
      </c>
      <c r="G108" s="16">
        <f>'WetLitterbags placem_collection'!E35</f>
        <v>42765</v>
      </c>
      <c r="H108" t="str">
        <f>'Final data_for_R_analysis_Wetse'!K34</f>
        <v>G366</v>
      </c>
      <c r="I108" t="str">
        <f>'Final data_for_R_analysis_Wetse'!K254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4"/>
        <v>1.8572000000000002</v>
      </c>
      <c r="M108" s="194">
        <f>AVERAGE(Ashed_controlls!$K$2:$K$11)</f>
        <v>5.5147656768714146</v>
      </c>
      <c r="N108" s="194">
        <f t="shared" si="0"/>
        <v>1.7547797718491442</v>
      </c>
      <c r="O108" s="194">
        <f t="shared" si="5"/>
        <v>1.9592000000000001</v>
      </c>
      <c r="P108" s="194">
        <f>AVERAGE(Ashed_controlls!$K$12:$K$14)</f>
        <v>2.2816647271287041</v>
      </c>
      <c r="Q108" s="194">
        <f t="shared" si="6"/>
        <v>1.9144976246660945</v>
      </c>
      <c r="R108" s="16">
        <f>IF('WetLitterbags placem_collection'!G35="","",'WetLitterbags placem_collection'!G35)</f>
        <v>42820</v>
      </c>
      <c r="S108" s="194">
        <f>IFERROR(INDEX('Both teabags AfterWet'!$C$3:$C$2000,MATCH(H108,'Both teabags AfterWet'!$A$3:$A$2000,0)),"")</f>
        <v>0.76700000000000002</v>
      </c>
      <c r="T108" s="194">
        <f>IFERROR(INDEX('Both teabags AfterWet'!$C$3:$C$2000,MATCH(I108,'Both teabags AfterWet'!$A$3:$A$2000,0)),"")</f>
        <v>0.41499999999999998</v>
      </c>
      <c r="U108" s="194">
        <f t="shared" si="7"/>
        <v>0.61640000000000006</v>
      </c>
      <c r="V108" s="194">
        <f t="shared" si="8"/>
        <v>0.26439999999999997</v>
      </c>
      <c r="W108" s="194">
        <f>IFERROR(INDEX('Ashed teabags wet'!$K$2:$K$2000,MATCH(H108,'Ashed teabags wet'!$A$2:$A$2000,0)),"")</f>
        <v>9.3672147483803556</v>
      </c>
      <c r="X108" s="237">
        <f>IFERROR(INDEX('Ashed teabags wet'!$K$2:$K$2000,MATCH(I108,'Ashed teabags wet'!$A$2:$A$2000,0)),"")</f>
        <v>0</v>
      </c>
      <c r="Y108" s="194">
        <f t="shared" si="14"/>
        <v>0.55866048829098358</v>
      </c>
      <c r="Z108" s="194">
        <f t="shared" si="9"/>
        <v>0.26439999999999997</v>
      </c>
      <c r="AA108" s="194">
        <f t="shared" si="10"/>
        <v>0.68163498505440323</v>
      </c>
      <c r="AB108" s="194">
        <f t="shared" si="11"/>
        <v>0.44686759115205538</v>
      </c>
      <c r="AC108" s="194">
        <f t="shared" si="2"/>
        <v>0.13810411493517194</v>
      </c>
      <c r="AD108">
        <f t="shared" si="3"/>
        <v>55</v>
      </c>
      <c r="AE108" s="194">
        <f t="shared" si="12"/>
        <v>0.19045726240569683</v>
      </c>
      <c r="AF108" s="194" t="str">
        <f t="shared" si="13"/>
        <v/>
      </c>
      <c r="AG108" s="252" t="str">
        <f>IF(ISNUMBER(SEARCH("C",'WetLitterbags placem_collection'!$X35)),"YES","NO")</f>
        <v>NO</v>
      </c>
      <c r="AH108" s="252" t="str">
        <f>IF(ISNUMBER(SEARCH("H", 'WetLitterbags placem_collection'!$X35)),"YES","NO")</f>
        <v>NO</v>
      </c>
      <c r="AI108" s="252" t="str">
        <f>IF(ISNUMBER(SEARCH("R", 'WetLitterbags placem_collection'!$X35)),"YES","NO")</f>
        <v>YES</v>
      </c>
      <c r="AJ108" s="252" t="str">
        <f>IF(ISNUMBER(SEARCH("C", 'WetLitterbags placem_collection'!$V35)),"YES","NO")</f>
        <v>NO</v>
      </c>
      <c r="AK108" s="252" t="str">
        <f>IF(ISNUMBER(SEARCH("H", 'WetLitterbags placem_collection'!$V35)),"YES","NO")</f>
        <v>NO</v>
      </c>
      <c r="AL108" s="252" t="str">
        <f>IF(ISNUMBER(SEARCH("R", 'WetLitterbags placem_collection'!$V35)),"YES","NO")</f>
        <v>YES</v>
      </c>
    </row>
    <row r="109" spans="2:38">
      <c r="B109" t="str">
        <f>'Final data_for_R_analysis_Wetse'!A35</f>
        <v>Wet</v>
      </c>
      <c r="C109" s="260">
        <f>'Final data_for_R_analysis_Wetse'!B35</f>
        <v>34</v>
      </c>
      <c r="D109" t="s">
        <v>3805</v>
      </c>
      <c r="E109" t="s">
        <v>22</v>
      </c>
      <c r="F109" s="381">
        <v>2</v>
      </c>
      <c r="G109" s="16">
        <f>'WetLitterbags placem_collection'!E36</f>
        <v>42765</v>
      </c>
      <c r="H109" t="str">
        <f>'Final data_for_R_analysis_Wetse'!K35</f>
        <v>G516</v>
      </c>
      <c r="I109" t="str">
        <f>'Final data_for_R_analysis_Wetse'!K255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4"/>
        <v>1.8662000000000001</v>
      </c>
      <c r="M109" s="194">
        <f>AVERAGE(Ashed_controlls!$K$2:$K$11)</f>
        <v>5.5147656768714146</v>
      </c>
      <c r="N109" s="194">
        <f t="shared" si="0"/>
        <v>1.7632834429382258</v>
      </c>
      <c r="O109" s="194">
        <f t="shared" si="5"/>
        <v>1.9702000000000002</v>
      </c>
      <c r="P109" s="194">
        <f>AVERAGE(Ashed_controlls!$K$12:$K$14)</f>
        <v>2.2816647271287041</v>
      </c>
      <c r="Q109" s="194">
        <f t="shared" si="6"/>
        <v>1.9252466415461105</v>
      </c>
      <c r="R109" s="16">
        <f>IF('WetLitterbags placem_collection'!G36="","",'WetLitterbags placem_collection'!G36)</f>
        <v>42820</v>
      </c>
      <c r="S109" s="194">
        <f>IFERROR(INDEX('Both teabags AfterWet'!$C$3:$C$2000,MATCH(H109,'Both teabags AfterWet'!$A$3:$A$2000,0)),"")</f>
        <v>0.87270000000000003</v>
      </c>
      <c r="T109" s="194">
        <f>IFERROR(INDEX('Both teabags AfterWet'!$C$3:$C$2000,MATCH(I109,'Both teabags AfterWet'!$A$3:$A$2000,0)),"")</f>
        <v>0.34520000000000001</v>
      </c>
      <c r="U109" s="194">
        <f t="shared" si="7"/>
        <v>0.72209999999999996</v>
      </c>
      <c r="V109" s="194">
        <f t="shared" si="8"/>
        <v>0.1946</v>
      </c>
      <c r="W109" s="194">
        <f>IFERROR(INDEX('Ashed teabags wet'!$K$2:$K$2000,MATCH(H109,'Ashed teabags wet'!$A$2:$A$2000,0)),"")</f>
        <v>39.314115308151266</v>
      </c>
      <c r="X109" s="237">
        <f>IFERROR(INDEX('Ashed teabags wet'!$K$2:$K$2000,MATCH(I109,'Ashed teabags wet'!$A$2:$A$2000,0)),"")</f>
        <v>0</v>
      </c>
      <c r="Y109" s="194">
        <f t="shared" si="14"/>
        <v>0.43821277335983971</v>
      </c>
      <c r="Z109" s="194">
        <f t="shared" si="9"/>
        <v>0.1946</v>
      </c>
      <c r="AA109" s="194">
        <f t="shared" si="10"/>
        <v>0.75147910841286569</v>
      </c>
      <c r="AB109" s="194">
        <f t="shared" si="11"/>
        <v>0.49265613758183124</v>
      </c>
      <c r="AC109" s="194">
        <f t="shared" si="2"/>
        <v>0.10107795842911967</v>
      </c>
      <c r="AD109">
        <f t="shared" si="3"/>
        <v>55</v>
      </c>
      <c r="AE109" s="194">
        <f t="shared" si="12"/>
        <v>0.10750699713436374</v>
      </c>
      <c r="AF109" s="194" t="str">
        <f t="shared" si="13"/>
        <v/>
      </c>
      <c r="AG109" s="252" t="str">
        <f>IF(ISNUMBER(SEARCH("C",'WetLitterbags placem_collection'!$X36)),"YES","NO")</f>
        <v>NO</v>
      </c>
      <c r="AH109" s="252" t="str">
        <f>IF(ISNUMBER(SEARCH("H", 'WetLitterbags placem_collection'!$X36)),"YES","NO")</f>
        <v>NO</v>
      </c>
      <c r="AI109" s="252" t="str">
        <f>IF(ISNUMBER(SEARCH("R", 'WetLitterbags placem_collection'!$X36)),"YES","NO")</f>
        <v>YES</v>
      </c>
      <c r="AJ109" s="252" t="str">
        <f>IF(ISNUMBER(SEARCH("C", 'WetLitterbags placem_collection'!$V36)),"YES","NO")</f>
        <v>YES</v>
      </c>
      <c r="AK109" s="252" t="str">
        <f>IF(ISNUMBER(SEARCH("H", 'WetLitterbags placem_collection'!$V36)),"YES","NO")</f>
        <v>YES</v>
      </c>
      <c r="AL109" s="252" t="str">
        <f>IF(ISNUMBER(SEARCH("R", 'WetLitterbags placem_collection'!$V36)),"YES","NO")</f>
        <v>YES</v>
      </c>
    </row>
    <row r="110" spans="2:38">
      <c r="B110" t="str">
        <f>'Final data_for_R_analysis_Wetse'!A36</f>
        <v>Wet</v>
      </c>
      <c r="C110" s="260">
        <f>'Final data_for_R_analysis_Wetse'!B36</f>
        <v>35</v>
      </c>
      <c r="D110" t="s">
        <v>3805</v>
      </c>
      <c r="E110" t="s">
        <v>22</v>
      </c>
      <c r="F110" s="381">
        <v>3</v>
      </c>
      <c r="G110" s="16">
        <f>'WetLitterbags placem_collection'!E37</f>
        <v>42765</v>
      </c>
      <c r="H110" t="str">
        <f>'Final data_for_R_analysis_Wetse'!K36</f>
        <v>G670</v>
      </c>
      <c r="I110" t="str">
        <f>'Final data_for_R_analysis_Wetse'!K256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4"/>
        <v>1.8452000000000002</v>
      </c>
      <c r="M110" s="194">
        <f>AVERAGE(Ashed_controlls!$K$2:$K$11)</f>
        <v>5.5147656768714146</v>
      </c>
      <c r="N110" s="194">
        <f t="shared" si="0"/>
        <v>1.7434415437303687</v>
      </c>
      <c r="O110" s="194">
        <f t="shared" si="5"/>
        <v>2.0381999999999998</v>
      </c>
      <c r="P110" s="194">
        <f>AVERAGE(Ashed_controlls!$K$12:$K$14)</f>
        <v>2.2816647271287041</v>
      </c>
      <c r="Q110" s="194">
        <f t="shared" si="6"/>
        <v>1.9916951095316626</v>
      </c>
      <c r="R110" s="16">
        <f>IF('WetLitterbags placem_collection'!G37="","",'WetLitterbags placem_collection'!G37)</f>
        <v>42820</v>
      </c>
      <c r="S110" s="194">
        <f>IFERROR(INDEX('Both teabags AfterWet'!$C$3:$C$2000,MATCH(H110,'Both teabags AfterWet'!$A$3:$A$2000,0)),"")</f>
        <v>0.81699999999999995</v>
      </c>
      <c r="T110" s="194">
        <f>IFERROR(INDEX('Both teabags AfterWet'!$C$3:$C$2000,MATCH(I110,'Both teabags AfterWet'!$A$3:$A$2000,0)),"")</f>
        <v>1.615</v>
      </c>
      <c r="U110" s="194">
        <f t="shared" si="7"/>
        <v>0.66639999999999988</v>
      </c>
      <c r="V110" s="194">
        <f t="shared" si="8"/>
        <v>1.4643999999999999</v>
      </c>
      <c r="W110" s="194">
        <f>IFERROR(INDEX('Ashed teabags wet'!$K$2:$K$2000,MATCH(H110,'Ashed teabags wet'!$A$2:$A$2000,0)),"")</f>
        <v>18.585762064022571</v>
      </c>
      <c r="X110" s="237">
        <f>IFERROR(INDEX('Ashed teabags wet'!$K$2:$K$2000,MATCH(I110,'Ashed teabags wet'!$A$2:$A$2000,0)),"")</f>
        <v>5.3045186640471123</v>
      </c>
      <c r="Y110" s="194">
        <f t="shared" si="14"/>
        <v>0.54254448160535351</v>
      </c>
      <c r="Z110" s="194">
        <f t="shared" si="9"/>
        <v>1.3867206286836939</v>
      </c>
      <c r="AA110" s="194">
        <f t="shared" si="10"/>
        <v>0.6888083322573042</v>
      </c>
      <c r="AB110" s="194">
        <f t="shared" si="11"/>
        <v>0.45157030808317333</v>
      </c>
      <c r="AC110" s="194">
        <f t="shared" si="2"/>
        <v>0.69625146040036945</v>
      </c>
      <c r="AD110">
        <f t="shared" si="3"/>
        <v>55</v>
      </c>
      <c r="AE110" s="194">
        <f t="shared" si="12"/>
        <v>0.18193784767541066</v>
      </c>
      <c r="AF110" s="194">
        <f t="shared" si="13"/>
        <v>2.0304069105443422E-2</v>
      </c>
      <c r="AG110" s="252" t="str">
        <f>IF(ISNUMBER(SEARCH("C",'WetLitterbags placem_collection'!$X37)),"YES","NO")</f>
        <v>NO</v>
      </c>
      <c r="AH110" s="252" t="str">
        <f>IF(ISNUMBER(SEARCH("H", 'WetLitterbags placem_collection'!$X37)),"YES","NO")</f>
        <v>NO</v>
      </c>
      <c r="AI110" s="252" t="str">
        <f>IF(ISNUMBER(SEARCH("R", 'WetLitterbags placem_collection'!$X37)),"YES","NO")</f>
        <v>YES</v>
      </c>
      <c r="AJ110" s="252" t="str">
        <f>IF(ISNUMBER(SEARCH("C", 'WetLitterbags placem_collection'!$V37)),"YES","NO")</f>
        <v>NO</v>
      </c>
      <c r="AK110" s="252" t="str">
        <f>IF(ISNUMBER(SEARCH("H", 'WetLitterbags placem_collection'!$V37)),"YES","NO")</f>
        <v>NO</v>
      </c>
      <c r="AL110" s="252" t="str">
        <f>IF(ISNUMBER(SEARCH("R", 'WetLitterbags placem_collection'!$V37)),"YES","NO")</f>
        <v>NO</v>
      </c>
    </row>
    <row r="111" spans="2:38">
      <c r="B111" t="str">
        <f>'Final data_for_R_analysis_Wetse'!A37</f>
        <v>Wet</v>
      </c>
      <c r="C111" s="260">
        <f>'Final data_for_R_analysis_Wetse'!B37</f>
        <v>36</v>
      </c>
      <c r="D111" t="s">
        <v>3805</v>
      </c>
      <c r="E111" t="s">
        <v>22</v>
      </c>
      <c r="F111" s="382">
        <v>4</v>
      </c>
      <c r="G111" s="16">
        <f>'WetLitterbags placem_collection'!E38</f>
        <v>42765</v>
      </c>
      <c r="H111" t="str">
        <f>'Final data_for_R_analysis_Wetse'!K37</f>
        <v>G507</v>
      </c>
      <c r="I111" t="str">
        <f>'Final data_for_R_analysis_Wetse'!K257</f>
        <v>R126</v>
      </c>
      <c r="J111">
        <f>IFERROR(INDEX('Green_rooibos initial weight'!$C$5:$C$2000,MATCH(H111, 'Green_rooibos initial weight'!$A$5:$A$2000,0)),"")</f>
        <v>1.99</v>
      </c>
      <c r="K111">
        <f>IFERROR(INDEX('Green_rooibos initial weight'!$C$5:$C$2000,MATCH(I111, 'Green_rooibos initial weight'!$A$5:$A$2000,0)),"")</f>
        <v>2.2400000000000002</v>
      </c>
      <c r="L111" s="194">
        <f t="shared" si="4"/>
        <v>1.7402</v>
      </c>
      <c r="M111" s="194">
        <f>AVERAGE(Ashed_controlls!$K$2:$K$11)</f>
        <v>5.5147656768714146</v>
      </c>
      <c r="N111" s="194">
        <f t="shared" si="0"/>
        <v>1.6442320476910837</v>
      </c>
      <c r="O111" s="194">
        <f t="shared" si="5"/>
        <v>1.9902000000000002</v>
      </c>
      <c r="P111" s="194">
        <f>AVERAGE(Ashed_controlls!$K$12:$K$14)</f>
        <v>2.2816647271287041</v>
      </c>
      <c r="Q111" s="194">
        <f t="shared" si="6"/>
        <v>1.9447903086006848</v>
      </c>
      <c r="R111" s="16">
        <f>IF('WetLitterbags placem_collection'!G38="","",'WetLitterbags placem_collection'!G38)</f>
        <v>42820</v>
      </c>
      <c r="S111" s="194">
        <f>IFERROR(INDEX('Both teabags AfterWet'!$C$3:$C$2000,MATCH(H111,'Both teabags AfterWet'!$A$3:$A$2000,0)),"")</f>
        <v>0.68100000000000005</v>
      </c>
      <c r="T111" s="194">
        <f>IFERROR(INDEX('Both teabags AfterWet'!$C$3:$C$2000,MATCH(I111,'Both teabags AfterWet'!$A$3:$A$2000,0)),"")</f>
        <v>1.6180000000000001</v>
      </c>
      <c r="U111" s="194">
        <f t="shared" si="7"/>
        <v>0.53039999999999998</v>
      </c>
      <c r="V111" s="194">
        <f t="shared" si="8"/>
        <v>1.4674</v>
      </c>
      <c r="W111" s="194">
        <f>IFERROR(INDEX('Ashed teabags wet'!$K$2:$K$2000,MATCH(H111,'Ashed teabags wet'!$A$2:$A$2000,0)),"")</f>
        <v>8.3009708737862624</v>
      </c>
      <c r="X111" s="237">
        <f>IFERROR(INDEX('Ashed teabags wet'!$K$2:$K$2000,MATCH(I111,'Ashed teabags wet'!$A$2:$A$2000,0)),"")</f>
        <v>3.2897919690366213</v>
      </c>
      <c r="Y111" s="194">
        <f t="shared" si="14"/>
        <v>0.48637165048543762</v>
      </c>
      <c r="Z111" s="194">
        <f t="shared" si="9"/>
        <v>1.4191255926463566</v>
      </c>
      <c r="AA111" s="194">
        <f t="shared" si="10"/>
        <v>0.70419524958875113</v>
      </c>
      <c r="AB111" s="194">
        <f t="shared" si="11"/>
        <v>0.46165769331709106</v>
      </c>
      <c r="AC111" s="194">
        <f t="shared" si="2"/>
        <v>0.72970622404399255</v>
      </c>
      <c r="AD111">
        <f t="shared" si="3"/>
        <v>55</v>
      </c>
      <c r="AE111" s="194">
        <f t="shared" si="12"/>
        <v>0.16366359906324091</v>
      </c>
      <c r="AF111" s="194">
        <f t="shared" si="13"/>
        <v>1.6011759112616365E-2</v>
      </c>
      <c r="AG111" s="252" t="str">
        <f>IF(ISNUMBER(SEARCH("C",'WetLitterbags placem_collection'!$X38)),"YES","NO")</f>
        <v>NO</v>
      </c>
      <c r="AH111" s="252" t="str">
        <f>IF(ISNUMBER(SEARCH("H", 'WetLitterbags placem_collection'!$X38)),"YES","NO")</f>
        <v>NO</v>
      </c>
      <c r="AI111" s="252" t="str">
        <f>IF(ISNUMBER(SEARCH("R", 'WetLitterbags placem_collection'!$X38)),"YES","NO")</f>
        <v>YES</v>
      </c>
      <c r="AJ111" s="252" t="str">
        <f>IF(ISNUMBER(SEARCH("C", 'WetLitterbags placem_collection'!$V38)),"YES","NO")</f>
        <v>NO</v>
      </c>
      <c r="AK111" s="252" t="str">
        <f>IF(ISNUMBER(SEARCH("H", 'WetLitterbags placem_collection'!$V38)),"YES","NO")</f>
        <v>NO</v>
      </c>
      <c r="AL111" s="252" t="str">
        <f>IF(ISNUMBER(SEARCH("R", 'WetLitterbags placem_collection'!$V38)),"YES","NO")</f>
        <v>YES</v>
      </c>
    </row>
    <row r="112" spans="2:38">
      <c r="B112" t="str">
        <f>'Final data_for_R_analysis_Wetse'!A38</f>
        <v>Wet</v>
      </c>
      <c r="C112" s="260">
        <f>'Final data_for_R_analysis_Wetse'!B38</f>
        <v>37</v>
      </c>
      <c r="D112" t="s">
        <v>3805</v>
      </c>
      <c r="E112" t="s">
        <v>22</v>
      </c>
      <c r="F112" s="382">
        <v>5</v>
      </c>
      <c r="G112" s="16">
        <f>'WetLitterbags placem_collection'!E39</f>
        <v>42765</v>
      </c>
      <c r="H112" t="str">
        <f>'Final data_for_R_analysis_Wetse'!K38</f>
        <v>G359</v>
      </c>
      <c r="I112" t="str">
        <f>'Final data_for_R_analysis_Wetse'!K258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4"/>
        <v>1.7292000000000001</v>
      </c>
      <c r="M112" s="194">
        <f>AVERAGE(Ashed_controlls!$K$2:$K$11)</f>
        <v>5.5147656768714146</v>
      </c>
      <c r="N112" s="194">
        <f t="shared" si="0"/>
        <v>1.6338386719155396</v>
      </c>
      <c r="O112" s="194">
        <f t="shared" si="5"/>
        <v>1.9251999999999998</v>
      </c>
      <c r="P112" s="194">
        <f>AVERAGE(Ashed_controlls!$K$12:$K$14)</f>
        <v>2.2816647271287041</v>
      </c>
      <c r="Q112" s="194">
        <f t="shared" si="6"/>
        <v>1.8812733906733179</v>
      </c>
      <c r="R112" s="16">
        <f>IF('WetLitterbags placem_collection'!G39="","",'WetLitterbags placem_collection'!G39)</f>
        <v>42820</v>
      </c>
      <c r="S112" s="194">
        <f>IFERROR(INDEX('Both teabags AfterWet'!$C$3:$C$2000,MATCH(H112,'Both teabags AfterWet'!$A$3:$A$2000,0)),"")</f>
        <v>0.94699999999999995</v>
      </c>
      <c r="T112" s="194">
        <f>IFERROR(INDEX('Both teabags AfterWet'!$C$3:$C$2000,MATCH(I112,'Both teabags AfterWet'!$A$3:$A$2000,0)),"")</f>
        <v>1.3620000000000001</v>
      </c>
      <c r="U112" s="194">
        <f t="shared" si="7"/>
        <v>0.7964</v>
      </c>
      <c r="V112" s="194">
        <f t="shared" si="8"/>
        <v>1.2114</v>
      </c>
      <c r="W112" s="194">
        <f>IFERROR(INDEX('Ashed teabags wet'!$K$2:$K$2000,MATCH(H112,'Ashed teabags wet'!$A$2:$A$2000,0)),"")</f>
        <v>25.172074729596577</v>
      </c>
      <c r="X112" s="237">
        <f>IFERROR(INDEX('Ashed teabags wet'!$K$2:$K$2000,MATCH(I112,'Ashed teabags wet'!$A$2:$A$2000,0)),"")</f>
        <v>70.931372549019429</v>
      </c>
      <c r="Y112" s="194">
        <f t="shared" si="14"/>
        <v>0.59592959685349289</v>
      </c>
      <c r="Z112" s="194">
        <f t="shared" si="9"/>
        <v>0.35213735294117854</v>
      </c>
      <c r="AA112" s="194">
        <f t="shared" si="10"/>
        <v>0.63525799266654936</v>
      </c>
      <c r="AB112" s="194">
        <f t="shared" si="11"/>
        <v>0.41646367215194213</v>
      </c>
      <c r="AC112" s="194">
        <f t="shared" si="2"/>
        <v>0.18718031876012806</v>
      </c>
      <c r="AD112">
        <f t="shared" si="3"/>
        <v>55</v>
      </c>
      <c r="AE112" s="194">
        <f t="shared" si="12"/>
        <v>0.24553682581169911</v>
      </c>
      <c r="AF112" s="194" t="str">
        <f t="shared" si="13"/>
        <v/>
      </c>
      <c r="AG112" s="252" t="str">
        <f>IF(ISNUMBER(SEARCH("C",'WetLitterbags placem_collection'!$X39)),"YES","NO")</f>
        <v>NO</v>
      </c>
      <c r="AH112" s="252" t="str">
        <f>IF(ISNUMBER(SEARCH("H", 'WetLitterbags placem_collection'!$X39)),"YES","NO")</f>
        <v>NO</v>
      </c>
      <c r="AI112" s="252" t="str">
        <f>IF(ISNUMBER(SEARCH("R", 'WetLitterbags placem_collection'!$X39)),"YES","NO")</f>
        <v>YES</v>
      </c>
      <c r="AJ112" s="252" t="str">
        <f>IF(ISNUMBER(SEARCH("C", 'WetLitterbags placem_collection'!$V39)),"YES","NO")</f>
        <v>YES</v>
      </c>
      <c r="AK112" s="252" t="str">
        <f>IF(ISNUMBER(SEARCH("H", 'WetLitterbags placem_collection'!$V39)),"YES","NO")</f>
        <v>YES</v>
      </c>
      <c r="AL112" s="252" t="str">
        <f>IF(ISNUMBER(SEARCH("R", 'WetLitterbags placem_collection'!$V39)),"YES","NO")</f>
        <v>NO</v>
      </c>
    </row>
    <row r="113" spans="2:38">
      <c r="B113" t="str">
        <f>'Final data_for_R_analysis_Wetse'!A39</f>
        <v>Wet</v>
      </c>
      <c r="C113" s="260">
        <f>'Final data_for_R_analysis_Wetse'!B39</f>
        <v>38</v>
      </c>
      <c r="D113" t="s">
        <v>3805</v>
      </c>
      <c r="E113" t="s">
        <v>22</v>
      </c>
      <c r="F113" s="382">
        <v>6</v>
      </c>
      <c r="G113" s="16">
        <f>'WetLitterbags placem_collection'!E40</f>
        <v>42765</v>
      </c>
      <c r="H113" t="str">
        <f>'Final data_for_R_analysis_Wetse'!K39</f>
        <v>G499</v>
      </c>
      <c r="I113" t="str">
        <f>'Final data_for_R_analysis_Wetse'!K259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4"/>
        <v>1.6921999999999999</v>
      </c>
      <c r="M113" s="194">
        <f>AVERAGE(Ashed_controlls!$K$2:$K$11)</f>
        <v>5.5147656768714146</v>
      </c>
      <c r="N113" s="194">
        <f t="shared" si="0"/>
        <v>1.5988791352159819</v>
      </c>
      <c r="O113" s="194">
        <f t="shared" si="5"/>
        <v>2.0432000000000001</v>
      </c>
      <c r="P113" s="194">
        <f>AVERAGE(Ashed_controlls!$K$12:$K$14)</f>
        <v>2.2816647271287041</v>
      </c>
      <c r="Q113" s="194">
        <f t="shared" si="6"/>
        <v>1.9965810262953065</v>
      </c>
      <c r="R113" s="16">
        <f>IF('WetLitterbags placem_collection'!G40="","",'WetLitterbags placem_collection'!G40)</f>
        <v>42820</v>
      </c>
      <c r="S113" s="194">
        <f>IFERROR(INDEX('Both teabags AfterWet'!$C$3:$C$2000,MATCH(H113,'Both teabags AfterWet'!$A$3:$A$2000,0)),"")</f>
        <v>1.4741</v>
      </c>
      <c r="T113" s="194">
        <f>IFERROR(INDEX('Both teabags AfterWet'!$C$3:$C$2000,MATCH(I113,'Both teabags AfterWet'!$A$3:$A$2000,0)),"")</f>
        <v>1.1399999999999999</v>
      </c>
      <c r="U113" s="194">
        <f t="shared" si="7"/>
        <v>1.3234999999999999</v>
      </c>
      <c r="V113" s="194">
        <f t="shared" si="8"/>
        <v>0.98939999999999984</v>
      </c>
      <c r="W113" s="194">
        <f>IFERROR(INDEX('Ashed teabags wet'!$K$2:$K$2000,MATCH(H113,'Ashed teabags wet'!$A$2:$A$2000,0)),"")</f>
        <v>18.802992518703331</v>
      </c>
      <c r="X113" s="237">
        <f>IFERROR(INDEX('Ashed teabags wet'!$K$2:$K$2000,MATCH(I113,'Ashed teabags wet'!$A$2:$A$2000,0)),"")</f>
        <v>21.801629132725651</v>
      </c>
      <c r="Y113" s="194">
        <f t="shared" si="14"/>
        <v>1.0746423940149614</v>
      </c>
      <c r="Z113" s="194">
        <f t="shared" si="9"/>
        <v>0.77369468136081232</v>
      </c>
      <c r="AA113" s="194">
        <f t="shared" si="10"/>
        <v>0.32787765482361164</v>
      </c>
      <c r="AB113" s="194">
        <f t="shared" si="11"/>
        <v>0.21495067157082381</v>
      </c>
      <c r="AC113" s="194">
        <f t="shared" si="2"/>
        <v>0.38750978356055865</v>
      </c>
      <c r="AD113">
        <f t="shared" si="3"/>
        <v>55</v>
      </c>
      <c r="AE113" s="194">
        <f t="shared" si="12"/>
        <v>0.61059660947314531</v>
      </c>
      <c r="AF113" s="194" t="str">
        <f t="shared" si="13"/>
        <v/>
      </c>
      <c r="AG113" s="252" t="str">
        <f>IF(ISNUMBER(SEARCH("C",'WetLitterbags placem_collection'!$X40)),"YES","NO")</f>
        <v>NO</v>
      </c>
      <c r="AH113" s="252" t="str">
        <f>IF(ISNUMBER(SEARCH("H", 'WetLitterbags placem_collection'!$X40)),"YES","NO")</f>
        <v>NO</v>
      </c>
      <c r="AI113" s="252" t="str">
        <f>IF(ISNUMBER(SEARCH("R", 'WetLitterbags placem_collection'!$X40)),"YES","NO")</f>
        <v>YES</v>
      </c>
      <c r="AJ113" s="252" t="str">
        <f>IF(ISNUMBER(SEARCH("C", 'WetLitterbags placem_collection'!$V40)),"YES","NO")</f>
        <v>YES</v>
      </c>
      <c r="AK113" s="252" t="str">
        <f>IF(ISNUMBER(SEARCH("H", 'WetLitterbags placem_collection'!$V40)),"YES","NO")</f>
        <v>YES</v>
      </c>
      <c r="AL113" s="252" t="str">
        <f>IF(ISNUMBER(SEARCH("R", 'WetLitterbags placem_collection'!$V40)),"YES","NO")</f>
        <v>YES</v>
      </c>
    </row>
    <row r="114" spans="2:38">
      <c r="B114" t="str">
        <f>'Final data_for_R_analysis_Wetse'!A40</f>
        <v>Wet</v>
      </c>
      <c r="C114" s="260">
        <f>'Final data_for_R_analysis_Wetse'!B40</f>
        <v>39</v>
      </c>
      <c r="D114" t="s">
        <v>3805</v>
      </c>
      <c r="E114" t="s">
        <v>22</v>
      </c>
      <c r="F114" s="382">
        <v>7</v>
      </c>
      <c r="G114" s="16">
        <f>'WetLitterbags placem_collection'!E41</f>
        <v>42765</v>
      </c>
      <c r="H114" t="str">
        <f>'Final data_for_R_analysis_Wetse'!K40</f>
        <v>G214</v>
      </c>
      <c r="I114" t="str">
        <f>'Final data_for_R_analysis_Wetse'!K260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4"/>
        <v>1.7352000000000001</v>
      </c>
      <c r="M114" s="194">
        <f>AVERAGE(Ashed_controlls!$K$2:$K$11)</f>
        <v>5.5147656768714146</v>
      </c>
      <c r="N114" s="194">
        <f t="shared" si="0"/>
        <v>1.6395077859749272</v>
      </c>
      <c r="O114" s="194">
        <f t="shared" si="5"/>
        <v>1.9472</v>
      </c>
      <c r="P114" s="194">
        <f>AVERAGE(Ashed_controlls!$K$12:$K$14)</f>
        <v>2.2816647271287041</v>
      </c>
      <c r="Q114" s="194">
        <f t="shared" si="6"/>
        <v>1.90277142443335</v>
      </c>
      <c r="R114" s="16">
        <f>IF('WetLitterbags placem_collection'!G41="","",'WetLitterbags placem_collection'!G41)</f>
        <v>42820</v>
      </c>
      <c r="S114" s="194">
        <f>IFERROR(INDEX('Both teabags AfterWet'!$C$3:$C$2000,MATCH(H114,'Both teabags AfterWet'!$A$3:$A$2000,0)),"")</f>
        <v>0.8327</v>
      </c>
      <c r="T114" s="194">
        <f>IFERROR(INDEX('Both teabags AfterWet'!$C$3:$C$2000,MATCH(I114,'Both teabags AfterWet'!$A$3:$A$2000,0)),"")</f>
        <v>1.4531000000000001</v>
      </c>
      <c r="U114" s="194">
        <f t="shared" si="7"/>
        <v>0.68209999999999993</v>
      </c>
      <c r="V114" s="194">
        <f t="shared" si="8"/>
        <v>1.3025</v>
      </c>
      <c r="W114" s="194">
        <f>IFERROR(INDEX('Ashed teabags wet'!$K$2:$K$2000,MATCH(H114,'Ashed teabags wet'!$A$2:$A$2000,0)),"")</f>
        <v>9.9461048505627083</v>
      </c>
      <c r="X114" s="237">
        <f>IFERROR(INDEX('Ashed teabags wet'!$K$2:$K$2000,MATCH(I114,'Ashed teabags wet'!$A$2:$A$2000,0)),"")</f>
        <v>3.6638983878844686</v>
      </c>
      <c r="Y114" s="194">
        <f t="shared" si="14"/>
        <v>0.61425761881431173</v>
      </c>
      <c r="Z114" s="194">
        <f t="shared" si="9"/>
        <v>1.2547777234978048</v>
      </c>
      <c r="AA114" s="194">
        <f t="shared" si="10"/>
        <v>0.6253402246278168</v>
      </c>
      <c r="AB114" s="194">
        <f t="shared" si="11"/>
        <v>0.40996176246384192</v>
      </c>
      <c r="AC114" s="194">
        <f t="shared" si="2"/>
        <v>0.65944742883212082</v>
      </c>
      <c r="AD114">
        <f t="shared" si="3"/>
        <v>55</v>
      </c>
      <c r="AE114" s="194">
        <f t="shared" si="12"/>
        <v>0.25731564771043136</v>
      </c>
      <c r="AF114" s="194">
        <f t="shared" si="13"/>
        <v>3.2291719907260326E-2</v>
      </c>
      <c r="AG114" s="252" t="str">
        <f>IF(ISNUMBER(SEARCH("C",'WetLitterbags placem_collection'!$X41)),"YES","NO")</f>
        <v>NO</v>
      </c>
      <c r="AH114" s="252" t="str">
        <f>IF(ISNUMBER(SEARCH("H", 'WetLitterbags placem_collection'!$X41)),"YES","NO")</f>
        <v>NO</v>
      </c>
      <c r="AI114" s="252" t="str">
        <f>IF(ISNUMBER(SEARCH("R", 'WetLitterbags placem_collection'!$X41)),"YES","NO")</f>
        <v>YES</v>
      </c>
      <c r="AJ114" s="252" t="str">
        <f>IF(ISNUMBER(SEARCH("C", 'WetLitterbags placem_collection'!$V41)),"YES","NO")</f>
        <v>NO</v>
      </c>
      <c r="AK114" s="252" t="str">
        <f>IF(ISNUMBER(SEARCH("H", 'WetLitterbags placem_collection'!$V41)),"YES","NO")</f>
        <v>NO</v>
      </c>
      <c r="AL114" s="252" t="str">
        <f>IF(ISNUMBER(SEARCH("R", 'WetLitterbags placem_collection'!$V41)),"YES","NO")</f>
        <v>YES</v>
      </c>
    </row>
    <row r="115" spans="2:38">
      <c r="B115" t="str">
        <f>'Final data_for_R_analysis_Wetse'!A41</f>
        <v>Wet</v>
      </c>
      <c r="C115" s="260">
        <f>'Final data_for_R_analysis_Wetse'!B41</f>
        <v>40</v>
      </c>
      <c r="D115" t="s">
        <v>3805</v>
      </c>
      <c r="E115" t="s">
        <v>22</v>
      </c>
      <c r="F115" s="382">
        <v>8</v>
      </c>
      <c r="G115" s="16">
        <f>'WetLitterbags placem_collection'!E42</f>
        <v>42765</v>
      </c>
      <c r="H115" t="str">
        <f>'Final data_for_R_analysis_Wetse'!K41</f>
        <v>G582</v>
      </c>
      <c r="I115" t="str">
        <f>'Final data_for_R_analysis_Wetse'!K261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4"/>
        <v>1.7721999999999998</v>
      </c>
      <c r="M115" s="194">
        <f>AVERAGE(Ashed_controlls!$K$2:$K$11)</f>
        <v>5.5147656768714146</v>
      </c>
      <c r="N115" s="194">
        <f t="shared" si="0"/>
        <v>1.6744673226744846</v>
      </c>
      <c r="O115" s="194">
        <f t="shared" si="5"/>
        <v>1.9952000000000001</v>
      </c>
      <c r="P115" s="194">
        <f>AVERAGE(Ashed_controlls!$K$12:$K$14)</f>
        <v>2.2816647271287041</v>
      </c>
      <c r="Q115" s="194">
        <f t="shared" si="6"/>
        <v>1.9496762253643283</v>
      </c>
      <c r="R115" s="16">
        <f>IF('WetLitterbags placem_collection'!G42="","",'WetLitterbags placem_collection'!G42)</f>
        <v>42820</v>
      </c>
      <c r="S115" s="194">
        <f>IFERROR(INDEX('Both teabags AfterWet'!$C$3:$C$2000,MATCH(H115,'Both teabags AfterWet'!$A$3:$A$2000,0)),"")</f>
        <v>0.89800000000000002</v>
      </c>
      <c r="T115" s="194">
        <f>IFERROR(INDEX('Both teabags AfterWet'!$C$3:$C$2000,MATCH(I115,'Both teabags AfterWet'!$A$3:$A$2000,0)),"")</f>
        <v>2.2269999999999999</v>
      </c>
      <c r="U115" s="194">
        <f t="shared" si="7"/>
        <v>0.74740000000000006</v>
      </c>
      <c r="V115" s="194">
        <f t="shared" si="8"/>
        <v>2.0764</v>
      </c>
      <c r="W115" s="194">
        <f>IFERROR(INDEX('Ashed teabags wet'!$K$2:$K$2000,MATCH(H115,'Ashed teabags wet'!$A$2:$A$2000,0)),"")</f>
        <v>16.507777220271233</v>
      </c>
      <c r="X115" s="237">
        <f>IFERROR(INDEX('Ashed teabags wet'!$K$2:$K$2000,MATCH(I115,'Ashed teabags wet'!$A$2:$A$2000,0)),"")</f>
        <v>24.826560951436655</v>
      </c>
      <c r="Y115" s="194">
        <f t="shared" si="14"/>
        <v>0.62402087305569287</v>
      </c>
      <c r="Z115" s="194">
        <f t="shared" si="9"/>
        <v>1.5609012884043694</v>
      </c>
      <c r="AA115" s="194">
        <f t="shared" si="10"/>
        <v>0.62733171044568536</v>
      </c>
      <c r="AB115" s="194">
        <f t="shared" si="11"/>
        <v>0.41126734461522368</v>
      </c>
      <c r="AC115" s="194">
        <f t="shared" si="2"/>
        <v>0.80059512861561921</v>
      </c>
      <c r="AD115">
        <f t="shared" si="3"/>
        <v>55</v>
      </c>
      <c r="AE115" s="194">
        <f t="shared" si="12"/>
        <v>0.25495046265358035</v>
      </c>
      <c r="AF115" s="194">
        <f t="shared" si="13"/>
        <v>1.206011133734158E-2</v>
      </c>
      <c r="AG115" s="252" t="str">
        <f>IF(ISNUMBER(SEARCH("C",'WetLitterbags placem_collection'!$X42)),"YES","NO")</f>
        <v>NO</v>
      </c>
      <c r="AH115" s="252" t="str">
        <f>IF(ISNUMBER(SEARCH("H", 'WetLitterbags placem_collection'!$X42)),"YES","NO")</f>
        <v>NO</v>
      </c>
      <c r="AI115" s="252" t="str">
        <f>IF(ISNUMBER(SEARCH("R", 'WetLitterbags placem_collection'!$X42)),"YES","NO")</f>
        <v>YES</v>
      </c>
      <c r="AJ115" s="252" t="str">
        <f>IF(ISNUMBER(SEARCH("C", 'WetLitterbags placem_collection'!$V42)),"YES","NO")</f>
        <v>NO</v>
      </c>
      <c r="AK115" s="252" t="str">
        <f>IF(ISNUMBER(SEARCH("H", 'WetLitterbags placem_collection'!$V42)),"YES","NO")</f>
        <v>YES</v>
      </c>
      <c r="AL115" s="252" t="str">
        <f>IF(ISNUMBER(SEARCH("R", 'WetLitterbags placem_collection'!$V42)),"YES","NO")</f>
        <v>NO</v>
      </c>
    </row>
    <row r="116" spans="2:38">
      <c r="B116" t="str">
        <f>'Final data_for_R_analysis_Wetse'!A42</f>
        <v>Wet</v>
      </c>
      <c r="C116" s="260">
        <f>'Final data_for_R_analysis_Wetse'!B42</f>
        <v>41</v>
      </c>
      <c r="D116" t="s">
        <v>3807</v>
      </c>
      <c r="E116" t="s">
        <v>22</v>
      </c>
      <c r="F116" s="381">
        <v>1</v>
      </c>
      <c r="G116" s="16">
        <f>'WetLitterbags placem_collection'!E43</f>
        <v>42766</v>
      </c>
      <c r="H116" t="str">
        <f>'Final data_for_R_analysis_Wetse'!K42</f>
        <v>G453</v>
      </c>
      <c r="I116" t="str">
        <f>'Final data_for_R_analysis_Wetse'!K262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4"/>
        <v>1.8292000000000002</v>
      </c>
      <c r="M116" s="194">
        <f>AVERAGE(Ashed_controlls!$K$2:$K$11)</f>
        <v>5.5147656768714146</v>
      </c>
      <c r="N116" s="194">
        <f t="shared" si="0"/>
        <v>1.7283239062386682</v>
      </c>
      <c r="O116" s="194">
        <f t="shared" si="5"/>
        <v>1.8942000000000001</v>
      </c>
      <c r="P116" s="194">
        <f>AVERAGE(Ashed_controlls!$K$12:$K$14)</f>
        <v>2.2816647271287041</v>
      </c>
      <c r="Q116" s="194">
        <f t="shared" si="6"/>
        <v>1.8509807067387283</v>
      </c>
      <c r="R116" s="16">
        <f>IF('WetLitterbags placem_collection'!G43="","",'WetLitterbags placem_collection'!G43)</f>
        <v>42820</v>
      </c>
      <c r="S116" s="194">
        <f>IFERROR(INDEX('Both teabags AfterWet'!$C$3:$C$2000,MATCH(H116,'Both teabags AfterWet'!$A$3:$A$2000,0)),"")</f>
        <v>1.0509999999999999</v>
      </c>
      <c r="T116" s="194">
        <f>IFERROR(INDEX('Both teabags AfterWet'!$C$3:$C$2000,MATCH(I116,'Both teabags AfterWet'!$A$3:$A$2000,0)),"")</f>
        <v>1.512</v>
      </c>
      <c r="U116" s="194">
        <f t="shared" si="7"/>
        <v>0.90039999999999987</v>
      </c>
      <c r="V116" s="194">
        <f t="shared" si="8"/>
        <v>1.3613999999999999</v>
      </c>
      <c r="W116" s="194">
        <f>IFERROR(INDEX('Ashed teabags wet'!$K$2:$K$2000,MATCH(H116,'Ashed teabags wet'!$A$2:$A$2000,0)),"")</f>
        <v>20.029673590504579</v>
      </c>
      <c r="X116" s="237">
        <f>IFERROR(INDEX('Ashed teabags wet'!$K$2:$K$2000,MATCH(I116,'Ashed teabags wet'!$A$2:$A$2000,0)),"")</f>
        <v>6.8728522336777456</v>
      </c>
      <c r="Y116" s="194">
        <f t="shared" si="14"/>
        <v>0.72005281899109663</v>
      </c>
      <c r="Z116" s="194">
        <f t="shared" si="9"/>
        <v>1.267832989690711</v>
      </c>
      <c r="AA116" s="194">
        <f t="shared" si="10"/>
        <v>0.58338086027049207</v>
      </c>
      <c r="AB116" s="194">
        <f t="shared" si="11"/>
        <v>0.38245396065238912</v>
      </c>
      <c r="AC116" s="194">
        <f t="shared" si="2"/>
        <v>0.68495202844362746</v>
      </c>
      <c r="AD116">
        <f t="shared" si="3"/>
        <v>54</v>
      </c>
      <c r="AE116" s="194">
        <f t="shared" si="12"/>
        <v>0.30714862200654147</v>
      </c>
      <c r="AF116" s="194">
        <f t="shared" si="13"/>
        <v>3.2145822384312357E-2</v>
      </c>
      <c r="AG116" s="252" t="str">
        <f>IF(ISNUMBER(SEARCH("C",'WetLitterbags placem_collection'!$X43)),"YES","NO")</f>
        <v>NO</v>
      </c>
      <c r="AH116" s="252" t="str">
        <f>IF(ISNUMBER(SEARCH("H", 'WetLitterbags placem_collection'!$X43)),"YES","NO")</f>
        <v>NO</v>
      </c>
      <c r="AI116" s="252" t="str">
        <f>IF(ISNUMBER(SEARCH("R", 'WetLitterbags placem_collection'!$X43)),"YES","NO")</f>
        <v>YES</v>
      </c>
      <c r="AJ116" s="252" t="str">
        <f>IF(ISNUMBER(SEARCH("C", 'WetLitterbags placem_collection'!$V43)),"YES","NO")</f>
        <v>NO</v>
      </c>
      <c r="AK116" s="252" t="str">
        <f>IF(ISNUMBER(SEARCH("H", 'WetLitterbags placem_collection'!$V43)),"YES","NO")</f>
        <v>YES</v>
      </c>
      <c r="AL116" s="252" t="str">
        <f>IF(ISNUMBER(SEARCH("R", 'WetLitterbags placem_collection'!$V43)),"YES","NO")</f>
        <v>YES</v>
      </c>
    </row>
    <row r="117" spans="2:38">
      <c r="B117" t="str">
        <f>'Final data_for_R_analysis_Wetse'!A43</f>
        <v>Wet</v>
      </c>
      <c r="C117" s="260">
        <f>'Final data_for_R_analysis_Wetse'!B43</f>
        <v>42</v>
      </c>
      <c r="D117" t="s">
        <v>3807</v>
      </c>
      <c r="E117" t="s">
        <v>22</v>
      </c>
      <c r="F117" s="381">
        <v>2</v>
      </c>
      <c r="G117" s="16">
        <f>'WetLitterbags placem_collection'!E44</f>
        <v>42766</v>
      </c>
      <c r="H117" t="str">
        <f>'Final data_for_R_analysis_Wetse'!K43</f>
        <v>G764</v>
      </c>
      <c r="I117" t="str">
        <f>'Final data_for_R_analysis_Wetse'!K263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4"/>
        <v>1.7012</v>
      </c>
      <c r="M117" s="194">
        <f>AVERAGE(Ashed_controlls!$K$2:$K$11)</f>
        <v>5.5147656768714146</v>
      </c>
      <c r="N117" s="194">
        <f t="shared" si="0"/>
        <v>1.6073828063050635</v>
      </c>
      <c r="O117" s="194">
        <f t="shared" si="5"/>
        <v>2.0032000000000001</v>
      </c>
      <c r="P117" s="194">
        <f>AVERAGE(Ashed_controlls!$K$12:$K$14)</f>
        <v>2.2816647271287041</v>
      </c>
      <c r="Q117" s="194">
        <f t="shared" si="6"/>
        <v>1.9574936921861579</v>
      </c>
      <c r="R117" s="16">
        <f>IF('WetLitterbags placem_collection'!G44="","",'WetLitterbags placem_collection'!G44)</f>
        <v>42820</v>
      </c>
      <c r="S117" s="194">
        <f>IFERROR(INDEX('Both teabags AfterWet'!$C$3:$C$2000,MATCH(H117,'Both teabags AfterWet'!$A$3:$A$2000,0)),"")</f>
        <v>0.72199999999999998</v>
      </c>
      <c r="T117" s="194">
        <f>IFERROR(INDEX('Both teabags AfterWet'!$C$3:$C$2000,MATCH(I117,'Both teabags AfterWet'!$A$3:$A$2000,0)),"")</f>
        <v>1.649</v>
      </c>
      <c r="U117" s="194">
        <f t="shared" si="7"/>
        <v>0.57139999999999991</v>
      </c>
      <c r="V117" s="194">
        <f t="shared" si="8"/>
        <v>1.4984</v>
      </c>
      <c r="W117" s="194">
        <f>IFERROR(INDEX('Ashed teabags wet'!$K$2:$K$2000,MATCH(H117,'Ashed teabags wet'!$A$2:$A$2000,0)),"")</f>
        <v>14.236790606653615</v>
      </c>
      <c r="X117" s="237">
        <f>IFERROR(INDEX('Ashed teabags wet'!$K$2:$K$2000,MATCH(I117,'Ashed teabags wet'!$A$2:$A$2000,0)),"")</f>
        <v>2.6627218934911183</v>
      </c>
      <c r="Y117" s="194">
        <f t="shared" si="14"/>
        <v>0.49005097847358114</v>
      </c>
      <c r="Z117" s="194">
        <f t="shared" si="9"/>
        <v>1.458501775147929</v>
      </c>
      <c r="AA117" s="194">
        <f t="shared" si="10"/>
        <v>0.69512490954157014</v>
      </c>
      <c r="AB117" s="194">
        <f t="shared" si="11"/>
        <v>0.45571134212226461</v>
      </c>
      <c r="AC117" s="194">
        <f t="shared" si="2"/>
        <v>0.74508632184610146</v>
      </c>
      <c r="AD117">
        <f t="shared" si="3"/>
        <v>54</v>
      </c>
      <c r="AE117" s="194">
        <f t="shared" si="12"/>
        <v>0.17443597441618741</v>
      </c>
      <c r="AF117" s="194">
        <f t="shared" si="13"/>
        <v>1.5177070986734285E-2</v>
      </c>
      <c r="AG117" s="252" t="str">
        <f>IF(ISNUMBER(SEARCH("C",'WetLitterbags placem_collection'!$X44)),"YES","NO")</f>
        <v>NO</v>
      </c>
      <c r="AH117" s="252" t="str">
        <f>IF(ISNUMBER(SEARCH("H", 'WetLitterbags placem_collection'!$X44)),"YES","NO")</f>
        <v>NO</v>
      </c>
      <c r="AI117" s="252" t="str">
        <f>IF(ISNUMBER(SEARCH("R", 'WetLitterbags placem_collection'!$X44)),"YES","NO")</f>
        <v>NO</v>
      </c>
      <c r="AJ117" s="252" t="str">
        <f>IF(ISNUMBER(SEARCH("C", 'WetLitterbags placem_collection'!$V44)),"YES","NO")</f>
        <v>NO</v>
      </c>
      <c r="AK117" s="252" t="str">
        <f>IF(ISNUMBER(SEARCH("H", 'WetLitterbags placem_collection'!$V44)),"YES","NO")</f>
        <v>YES</v>
      </c>
      <c r="AL117" s="252" t="str">
        <f>IF(ISNUMBER(SEARCH("R", 'WetLitterbags placem_collection'!$V44)),"YES","NO")</f>
        <v>NO</v>
      </c>
    </row>
    <row r="118" spans="2:38">
      <c r="B118" t="str">
        <f>'Final data_for_R_analysis_Wetse'!A44</f>
        <v>Wet</v>
      </c>
      <c r="C118" s="260">
        <f>'Final data_for_R_analysis_Wetse'!B44</f>
        <v>43</v>
      </c>
      <c r="D118" t="s">
        <v>3807</v>
      </c>
      <c r="E118" t="s">
        <v>22</v>
      </c>
      <c r="F118" s="381">
        <v>3</v>
      </c>
      <c r="G118" s="16">
        <f>'WetLitterbags placem_collection'!E45</f>
        <v>42766</v>
      </c>
      <c r="H118" t="str">
        <f>'Final data_for_R_analysis_Wetse'!K44</f>
        <v>G690</v>
      </c>
      <c r="I118" t="str">
        <f>'Final data_for_R_analysis_Wetse'!K264</f>
        <v>R376</v>
      </c>
      <c r="J118">
        <f>IFERROR(INDEX('Green_rooibos initial weight'!$C$5:$C$2000,MATCH(H118, 'Green_rooibos initial weight'!$A$5:$A$2000,0)),"")</f>
        <v>2.0739999999999998</v>
      </c>
      <c r="K118">
        <f>IFERROR(INDEX('Green_rooibos initial weight'!$C$5:$C$2000,MATCH(I118, 'Green_rooibos initial weight'!$A$5:$A$2000,0)),"")</f>
        <v>2.177</v>
      </c>
      <c r="L118" s="194">
        <f t="shared" si="4"/>
        <v>1.8241999999999998</v>
      </c>
      <c r="M118" s="194">
        <f>AVERAGE(Ashed_controlls!$K$2:$K$11)</f>
        <v>5.5147656768714146</v>
      </c>
      <c r="N118" s="194">
        <f t="shared" si="0"/>
        <v>1.7235996445225115</v>
      </c>
      <c r="O118" s="194">
        <f t="shared" si="5"/>
        <v>1.9272</v>
      </c>
      <c r="P118" s="194">
        <f>AVERAGE(Ashed_controlls!$K$12:$K$14)</f>
        <v>2.2816647271287041</v>
      </c>
      <c r="Q118" s="194">
        <f t="shared" si="6"/>
        <v>1.8832277573787757</v>
      </c>
      <c r="R118" s="16">
        <f>IF('WetLitterbags placem_collection'!G45="","",'WetLitterbags placem_collection'!G45)</f>
        <v>42820</v>
      </c>
      <c r="S118" s="194">
        <f>IFERROR(INDEX('Both teabags AfterWet'!$C$3:$C$2000,MATCH(H118,'Both teabags AfterWet'!$A$3:$A$2000,0)),"")</f>
        <v>0.71519999999999995</v>
      </c>
      <c r="T118" s="194">
        <f>IFERROR(INDEX('Both teabags AfterWet'!$C$3:$C$2000,MATCH(I118,'Both teabags AfterWet'!$A$3:$A$2000,0)),"")</f>
        <v>1.3532999999999999</v>
      </c>
      <c r="U118" s="194">
        <f t="shared" si="7"/>
        <v>0.56459999999999999</v>
      </c>
      <c r="V118" s="194">
        <f t="shared" si="8"/>
        <v>1.2026999999999999</v>
      </c>
      <c r="W118" s="194">
        <f>IFERROR(INDEX('Ashed teabags wet'!$K$2:$K$2000,MATCH(H118,'Ashed teabags wet'!$A$2:$A$2000,0)),"")</f>
        <v>10.60532687651348</v>
      </c>
      <c r="X118" s="237">
        <f>IFERROR(INDEX('Ashed teabags wet'!$K$2:$K$2000,MATCH(I118,'Ashed teabags wet'!$A$2:$A$2000,0)),"")</f>
        <v>6.7788461538456346</v>
      </c>
      <c r="Y118" s="194">
        <f t="shared" si="14"/>
        <v>0.50472232445520493</v>
      </c>
      <c r="Z118" s="194">
        <f t="shared" si="9"/>
        <v>1.1211708173076984</v>
      </c>
      <c r="AA118" s="194">
        <f t="shared" si="10"/>
        <v>0.70716962836516006</v>
      </c>
      <c r="AB118" s="194">
        <f t="shared" si="11"/>
        <v>0.46360764234865609</v>
      </c>
      <c r="AC118" s="194">
        <f t="shared" si="2"/>
        <v>0.59534531227823029</v>
      </c>
      <c r="AD118">
        <f t="shared" si="3"/>
        <v>54</v>
      </c>
      <c r="AE118" s="194">
        <f t="shared" si="12"/>
        <v>0.16013108270171006</v>
      </c>
      <c r="AF118" s="194">
        <f t="shared" si="13"/>
        <v>3.8190719435097033E-2</v>
      </c>
      <c r="AG118" s="252" t="str">
        <f>IF(ISNUMBER(SEARCH("C",'WetLitterbags placem_collection'!$X45)),"YES","NO")</f>
        <v>NO</v>
      </c>
      <c r="AH118" s="252" t="str">
        <f>IF(ISNUMBER(SEARCH("H", 'WetLitterbags placem_collection'!$X45)),"YES","NO")</f>
        <v>NO</v>
      </c>
      <c r="AI118" s="252" t="str">
        <f>IF(ISNUMBER(SEARCH("R", 'WetLitterbags placem_collection'!$X45)),"YES","NO")</f>
        <v>YES</v>
      </c>
      <c r="AJ118" s="252" t="str">
        <f>IF(ISNUMBER(SEARCH("C", 'WetLitterbags placem_collection'!$V45)),"YES","NO")</f>
        <v>NO</v>
      </c>
      <c r="AK118" s="252" t="str">
        <f>IF(ISNUMBER(SEARCH("H", 'WetLitterbags placem_collection'!$V45)),"YES","NO")</f>
        <v>YES</v>
      </c>
      <c r="AL118" s="252" t="str">
        <f>IF(ISNUMBER(SEARCH("R", 'WetLitterbags placem_collection'!$V45)),"YES","NO")</f>
        <v>YES</v>
      </c>
    </row>
    <row r="119" spans="2:38">
      <c r="B119" t="str">
        <f>'Final data_for_R_analysis_Wetse'!A45</f>
        <v>Wet</v>
      </c>
      <c r="C119" s="260">
        <f>'Final data_for_R_analysis_Wetse'!B45</f>
        <v>44</v>
      </c>
      <c r="D119" t="s">
        <v>3807</v>
      </c>
      <c r="E119" t="s">
        <v>22</v>
      </c>
      <c r="F119" s="382">
        <v>4</v>
      </c>
      <c r="G119" s="16">
        <f>'WetLitterbags placem_collection'!E46</f>
        <v>42766</v>
      </c>
      <c r="H119" t="str">
        <f>'Final data_for_R_analysis_Wetse'!K45</f>
        <v>G774</v>
      </c>
      <c r="I119" t="str">
        <f>'Final data_for_R_analysis_Wetse'!K265</f>
        <v>R166</v>
      </c>
      <c r="J119">
        <f>IFERROR(INDEX('Green_rooibos initial weight'!$C$5:$C$2000,MATCH(H119, 'Green_rooibos initial weight'!$A$5:$A$2000,0)),"")</f>
        <v>2.0049999999999999</v>
      </c>
      <c r="K119">
        <f>IFERROR(INDEX('Green_rooibos initial weight'!$C$5:$C$2000,MATCH(I119, 'Green_rooibos initial weight'!$A$5:$A$2000,0)),"")</f>
        <v>2.222</v>
      </c>
      <c r="L119" s="194">
        <f t="shared" si="4"/>
        <v>1.7551999999999999</v>
      </c>
      <c r="M119" s="194">
        <f>AVERAGE(Ashed_controlls!$K$2:$K$11)</f>
        <v>5.5147656768714146</v>
      </c>
      <c r="N119" s="194">
        <f t="shared" si="0"/>
        <v>1.6584048328395529</v>
      </c>
      <c r="O119" s="194">
        <f t="shared" si="5"/>
        <v>1.9722</v>
      </c>
      <c r="P119" s="194">
        <f>AVERAGE(Ashed_controlls!$K$12:$K$14)</f>
        <v>2.2816647271287041</v>
      </c>
      <c r="Q119" s="194">
        <f t="shared" si="6"/>
        <v>1.9272010082515676</v>
      </c>
      <c r="R119" s="16">
        <f>IF('WetLitterbags placem_collection'!G46="","",'WetLitterbags placem_collection'!G46)</f>
        <v>42820</v>
      </c>
      <c r="S119" s="194">
        <f>IFERROR(INDEX('Both teabags AfterWet'!$C$3:$C$2000,MATCH(H119,'Both teabags AfterWet'!$A$3:$A$2000,0)),"")</f>
        <v>0.89559999999999995</v>
      </c>
      <c r="T119" s="194">
        <f>IFERROR(INDEX('Both teabags AfterWet'!$C$3:$C$2000,MATCH(I119,'Both teabags AfterWet'!$A$3:$A$2000,0)),"")</f>
        <v>1.6101000000000001</v>
      </c>
      <c r="U119" s="194">
        <f t="shared" si="7"/>
        <v>0.74499999999999988</v>
      </c>
      <c r="V119" s="194">
        <f t="shared" si="8"/>
        <v>1.4595</v>
      </c>
      <c r="W119" s="194">
        <f>IFERROR(INDEX('Ashed teabags wet'!$K$2:$K$2000,MATCH(H119,'Ashed teabags wet'!$A$2:$A$2000,0)),"")</f>
        <v>8.346293416277824</v>
      </c>
      <c r="X119" s="237">
        <f>IFERROR(INDEX('Ashed teabags wet'!$K$2:$K$2000,MATCH(I119,'Ashed teabags wet'!$A$2:$A$2000,0)),"")</f>
        <v>4.868355688028041</v>
      </c>
      <c r="Y119" s="194">
        <f t="shared" si="14"/>
        <v>0.68282011404873011</v>
      </c>
      <c r="Z119" s="194">
        <f t="shared" si="9"/>
        <v>1.3884463487332308</v>
      </c>
      <c r="AA119" s="194">
        <f t="shared" si="10"/>
        <v>0.58826692944472891</v>
      </c>
      <c r="AB119" s="194">
        <f t="shared" si="11"/>
        <v>0.38565717939844463</v>
      </c>
      <c r="AC119" s="194">
        <f t="shared" si="2"/>
        <v>0.72044708506710664</v>
      </c>
      <c r="AD119">
        <f t="shared" si="3"/>
        <v>54</v>
      </c>
      <c r="AE119" s="194">
        <f t="shared" si="12"/>
        <v>0.30134568949557139</v>
      </c>
      <c r="AF119" s="194">
        <f t="shared" si="13"/>
        <v>2.389864075672567E-2</v>
      </c>
      <c r="AG119" s="252" t="str">
        <f>IF(ISNUMBER(SEARCH("C",'WetLitterbags placem_collection'!$X46)),"YES","NO")</f>
        <v>NO</v>
      </c>
      <c r="AH119" s="252" t="str">
        <f>IF(ISNUMBER(SEARCH("H", 'WetLitterbags placem_collection'!$X46)),"YES","NO")</f>
        <v>NO</v>
      </c>
      <c r="AI119" s="252" t="str">
        <f>IF(ISNUMBER(SEARCH("R", 'WetLitterbags placem_collection'!$X46)),"YES","NO")</f>
        <v>YES</v>
      </c>
      <c r="AJ119" s="252" t="str">
        <f>IF(ISNUMBER(SEARCH("C", 'WetLitterbags placem_collection'!$V46)),"YES","NO")</f>
        <v>NO</v>
      </c>
      <c r="AK119" s="252" t="str">
        <f>IF(ISNUMBER(SEARCH("H", 'WetLitterbags placem_collection'!$V46)),"YES","NO")</f>
        <v>NO</v>
      </c>
      <c r="AL119" s="252" t="str">
        <f>IF(ISNUMBER(SEARCH("R", 'WetLitterbags placem_collection'!$V46)),"YES","NO")</f>
        <v>YES</v>
      </c>
    </row>
    <row r="120" spans="2:38">
      <c r="B120" t="str">
        <f>'Final data_for_R_analysis_Wetse'!A46</f>
        <v>Wet</v>
      </c>
      <c r="C120" s="260">
        <f>'Final data_for_R_analysis_Wetse'!B46</f>
        <v>45</v>
      </c>
      <c r="D120" t="s">
        <v>3807</v>
      </c>
      <c r="E120" t="s">
        <v>22</v>
      </c>
      <c r="F120" s="382">
        <v>5</v>
      </c>
      <c r="G120" s="16">
        <f>'WetLitterbags placem_collection'!E47</f>
        <v>42766</v>
      </c>
      <c r="H120" t="str">
        <f>'Final data_for_R_analysis_Wetse'!K46</f>
        <v>G519</v>
      </c>
      <c r="I120" t="str">
        <f>'Final data_for_R_analysis_Wetse'!K266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4"/>
        <v>1.8931999999999998</v>
      </c>
      <c r="M120" s="194">
        <f>AVERAGE(Ashed_controlls!$K$2:$K$11)</f>
        <v>5.5147656768714146</v>
      </c>
      <c r="N120" s="194">
        <f t="shared" si="0"/>
        <v>1.7887944562054701</v>
      </c>
      <c r="O120" s="194">
        <f t="shared" si="5"/>
        <v>1.9811999999999999</v>
      </c>
      <c r="P120" s="194">
        <f>AVERAGE(Ashed_controlls!$K$12:$K$14)</f>
        <v>2.2816647271287041</v>
      </c>
      <c r="Q120" s="194">
        <f t="shared" si="6"/>
        <v>1.935995658426126</v>
      </c>
      <c r="R120" s="16">
        <f>IF('WetLitterbags placem_collection'!G47="","",'WetLitterbags placem_collection'!G47)</f>
        <v>42820</v>
      </c>
      <c r="S120" s="194">
        <f>IFERROR(INDEX('Both teabags AfterWet'!$C$3:$C$2000,MATCH(H120,'Both teabags AfterWet'!$A$3:$A$2000,0)),"")</f>
        <v>0.77569999999999995</v>
      </c>
      <c r="T120" s="194">
        <f>IFERROR(INDEX('Both teabags AfterWet'!$C$3:$C$2000,MATCH(I120,'Both teabags AfterWet'!$A$3:$A$2000,0)),"")</f>
        <v>1.5804</v>
      </c>
      <c r="U120" s="194">
        <f t="shared" si="7"/>
        <v>0.62509999999999999</v>
      </c>
      <c r="V120" s="194">
        <f t="shared" si="8"/>
        <v>1.4298</v>
      </c>
      <c r="W120" s="194">
        <f>IFERROR(INDEX('Ashed teabags wet'!$K$2:$K$2000,MATCH(H120,'Ashed teabags wet'!$A$2:$A$2000,0)),"")</f>
        <v>9.376558603491624</v>
      </c>
      <c r="X120" s="237">
        <f>IFERROR(INDEX('Ashed teabags wet'!$K$2:$K$2000,MATCH(I120,'Ashed teabags wet'!$A$2:$A$2000,0)),"")</f>
        <v>3.5248672139064463</v>
      </c>
      <c r="Y120" s="194">
        <f t="shared" si="14"/>
        <v>0.5664871321695738</v>
      </c>
      <c r="Z120" s="194">
        <f t="shared" si="9"/>
        <v>1.3794014485755657</v>
      </c>
      <c r="AA120" s="194">
        <f t="shared" si="10"/>
        <v>0.68331345716977987</v>
      </c>
      <c r="AB120" s="194">
        <f t="shared" si="11"/>
        <v>0.4479679671706871</v>
      </c>
      <c r="AC120" s="194">
        <f t="shared" si="2"/>
        <v>0.71250234605223994</v>
      </c>
      <c r="AD120">
        <f t="shared" si="3"/>
        <v>54</v>
      </c>
      <c r="AE120" s="194">
        <f t="shared" si="12"/>
        <v>0.188463827589335</v>
      </c>
      <c r="AF120" s="194">
        <f t="shared" si="13"/>
        <v>1.9011347534972928E-2</v>
      </c>
      <c r="AG120" s="252" t="str">
        <f>IF(ISNUMBER(SEARCH("C",'WetLitterbags placem_collection'!$X47)),"YES","NO")</f>
        <v>NO</v>
      </c>
      <c r="AH120" s="252" t="str">
        <f>IF(ISNUMBER(SEARCH("H", 'WetLitterbags placem_collection'!$X47)),"YES","NO")</f>
        <v>NO</v>
      </c>
      <c r="AI120" s="252" t="str">
        <f>IF(ISNUMBER(SEARCH("R", 'WetLitterbags placem_collection'!$X47)),"YES","NO")</f>
        <v>YES</v>
      </c>
      <c r="AJ120" s="252" t="str">
        <f>IF(ISNUMBER(SEARCH("C", 'WetLitterbags placem_collection'!$V47)),"YES","NO")</f>
        <v>NO</v>
      </c>
      <c r="AK120" s="252" t="str">
        <f>IF(ISNUMBER(SEARCH("H", 'WetLitterbags placem_collection'!$V47)),"YES","NO")</f>
        <v>NO</v>
      </c>
      <c r="AL120" s="252" t="str">
        <f>IF(ISNUMBER(SEARCH("R", 'WetLitterbags placem_collection'!$V47)),"YES","NO")</f>
        <v>YES</v>
      </c>
    </row>
    <row r="121" spans="2:38">
      <c r="B121" t="str">
        <f>'Final data_for_R_analysis_Wetse'!A47</f>
        <v>Wet</v>
      </c>
      <c r="C121" s="260">
        <f>'Final data_for_R_analysis_Wetse'!B47</f>
        <v>46</v>
      </c>
      <c r="D121" t="s">
        <v>3807</v>
      </c>
      <c r="E121" t="s">
        <v>22</v>
      </c>
      <c r="F121" s="382">
        <v>6</v>
      </c>
      <c r="G121" s="16">
        <f>'WetLitterbags placem_collection'!E48</f>
        <v>42766</v>
      </c>
      <c r="H121" t="str">
        <f>'Final data_for_R_analysis_Wetse'!K47</f>
        <v>G635</v>
      </c>
      <c r="I121" t="str">
        <f>'Final data_for_R_analysis_Wetse'!K267</f>
        <v>R86</v>
      </c>
      <c r="J121">
        <f>IFERROR(INDEX('Green_rooibos initial weight'!$C$5:$C$2000,MATCH(H121, 'Green_rooibos initial weight'!$A$5:$A$2000,0)),"")</f>
        <v>2.073</v>
      </c>
      <c r="K121">
        <f>IFERROR(INDEX('Green_rooibos initial weight'!$C$5:$C$2000,MATCH(I121, 'Green_rooibos initial weight'!$A$5:$A$2000,0)),"")</f>
        <v>2.242</v>
      </c>
      <c r="L121" s="194">
        <f t="shared" si="4"/>
        <v>1.8231999999999999</v>
      </c>
      <c r="M121" s="194">
        <f>AVERAGE(Ashed_controlls!$K$2:$K$11)</f>
        <v>5.5147656768714146</v>
      </c>
      <c r="N121" s="194">
        <f t="shared" si="0"/>
        <v>1.7226547921792803</v>
      </c>
      <c r="O121" s="194">
        <f t="shared" si="5"/>
        <v>1.9922</v>
      </c>
      <c r="P121" s="194">
        <f>AVERAGE(Ashed_controlls!$K$12:$K$14)</f>
        <v>2.2816647271287041</v>
      </c>
      <c r="Q121" s="194">
        <f t="shared" si="6"/>
        <v>1.9467446753061419</v>
      </c>
      <c r="R121" s="16">
        <f>IF('WetLitterbags placem_collection'!G48="","",'WetLitterbags placem_collection'!G48)</f>
        <v>42820</v>
      </c>
      <c r="S121" s="194" t="str">
        <f>IFERROR(INDEX('Both teabags AfterWet'!$C$3:$C$2000,MATCH(H121,'Both teabags AfterWet'!$A$3:$A$2000,0)),"")</f>
        <v/>
      </c>
      <c r="T121" s="194" t="str">
        <f>IFERROR(INDEX('Both teabags AfterWet'!$C$3:$C$2000,MATCH(I121,'Both teabags AfterWet'!$A$3:$A$2000,0)),"")</f>
        <v/>
      </c>
      <c r="U121" s="194" t="str">
        <f t="shared" si="7"/>
        <v/>
      </c>
      <c r="V121" s="194" t="str">
        <f t="shared" si="8"/>
        <v/>
      </c>
      <c r="W121" s="194" t="str">
        <f>IFERROR(INDEX('Ashed teabags wet'!$K$2:$K$2000,MATCH(H121,'Ashed teabags wet'!$A$2:$A$2000,0)),"")</f>
        <v/>
      </c>
      <c r="X121" s="237" t="str">
        <f>IFERROR(INDEX('Ashed teabags wet'!$K$2:$K$2000,MATCH(I121,'Ashed teabags wet'!$A$2:$A$2000,0)),"")</f>
        <v/>
      </c>
      <c r="Y121" s="194" t="str">
        <f t="shared" si="14"/>
        <v/>
      </c>
      <c r="Z121" s="194" t="str">
        <f t="shared" si="9"/>
        <v/>
      </c>
      <c r="AA121" s="194" t="str">
        <f t="shared" si="10"/>
        <v/>
      </c>
      <c r="AB121" s="194" t="str">
        <f t="shared" si="11"/>
        <v/>
      </c>
      <c r="AC121" s="194" t="str">
        <f t="shared" si="2"/>
        <v/>
      </c>
      <c r="AD121">
        <f t="shared" si="3"/>
        <v>54</v>
      </c>
      <c r="AE121" s="194" t="str">
        <f t="shared" si="12"/>
        <v/>
      </c>
      <c r="AF121" s="194" t="str">
        <f t="shared" si="13"/>
        <v/>
      </c>
      <c r="AG121" s="252" t="str">
        <f>IF(ISNUMBER(SEARCH("C",'WetLitterbags placem_collection'!$X48)),"YES","NO")</f>
        <v>NO</v>
      </c>
      <c r="AH121" s="252" t="str">
        <f>IF(ISNUMBER(SEARCH("H", 'WetLitterbags placem_collection'!$X48)),"YES","NO")</f>
        <v>NO</v>
      </c>
      <c r="AI121" s="252" t="str">
        <f>IF(ISNUMBER(SEARCH("R", 'WetLitterbags placem_collection'!$X48)),"YES","NO")</f>
        <v>NO</v>
      </c>
      <c r="AJ121" s="252" t="str">
        <f>IF(ISNUMBER(SEARCH("C", 'WetLitterbags placem_collection'!$V48)),"YES","NO")</f>
        <v>NO</v>
      </c>
      <c r="AK121" s="252" t="str">
        <f>IF(ISNUMBER(SEARCH("H", 'WetLitterbags placem_collection'!$V48)),"YES","NO")</f>
        <v>NO</v>
      </c>
      <c r="AL121" s="252" t="str">
        <f>IF(ISNUMBER(SEARCH("R", 'WetLitterbags placem_collection'!$V48)),"YES","NO")</f>
        <v>NO</v>
      </c>
    </row>
    <row r="122" spans="2:38">
      <c r="B122" t="str">
        <f>'Final data_for_R_analysis_Wetse'!A48</f>
        <v>Wet</v>
      </c>
      <c r="C122" s="260">
        <f>'Final data_for_R_analysis_Wetse'!B48</f>
        <v>47</v>
      </c>
      <c r="D122" t="s">
        <v>3807</v>
      </c>
      <c r="E122" t="s">
        <v>22</v>
      </c>
      <c r="F122" s="382">
        <v>7</v>
      </c>
      <c r="G122" s="16">
        <f>'WetLitterbags placem_collection'!E49</f>
        <v>42766</v>
      </c>
      <c r="H122" t="str">
        <f>'Final data_for_R_analysis_Wetse'!K48</f>
        <v>G539</v>
      </c>
      <c r="I122" t="str">
        <f>'Final data_for_R_analysis_Wetse'!K268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4"/>
        <v>1.8721999999999999</v>
      </c>
      <c r="M122" s="194">
        <f>AVERAGE(Ashed_controlls!$K$2:$K$11)</f>
        <v>5.5147656768714146</v>
      </c>
      <c r="N122" s="194">
        <f t="shared" si="0"/>
        <v>1.7689525569976132</v>
      </c>
      <c r="O122" s="194">
        <f t="shared" si="5"/>
        <v>1.9512</v>
      </c>
      <c r="P122" s="194">
        <f>AVERAGE(Ashed_controlls!$K$12:$K$14)</f>
        <v>2.2816647271287041</v>
      </c>
      <c r="Q122" s="194">
        <f t="shared" si="6"/>
        <v>1.9066801578442647</v>
      </c>
      <c r="R122" s="16">
        <f>IF('WetLitterbags placem_collection'!G49="","",'WetLitterbags placem_collection'!G49)</f>
        <v>42820</v>
      </c>
      <c r="S122" s="194">
        <f>IFERROR(INDEX('Both teabags AfterWet'!$C$3:$C$2000,MATCH(H122,'Both teabags AfterWet'!$A$3:$A$2000,0)),"")</f>
        <v>0.80700000000000005</v>
      </c>
      <c r="T122" s="194">
        <f>IFERROR(INDEX('Both teabags AfterWet'!$C$3:$C$2000,MATCH(I122,'Both teabags AfterWet'!$A$3:$A$2000,0)),"")</f>
        <v>1.651</v>
      </c>
      <c r="U122" s="194">
        <f t="shared" si="7"/>
        <v>0.65640000000000009</v>
      </c>
      <c r="V122" s="194">
        <f t="shared" si="8"/>
        <v>1.5004</v>
      </c>
      <c r="W122" s="194">
        <f>IFERROR(INDEX('Ashed teabags wet'!$K$2:$K$2000,MATCH(H122,'Ashed teabags wet'!$A$2:$A$2000,0)),"")</f>
        <v>11.917347429120182</v>
      </c>
      <c r="X122" s="237">
        <f>IFERROR(INDEX('Ashed teabags wet'!$K$2:$K$2000,MATCH(I122,'Ashed teabags wet'!$A$2:$A$2000,0)),"")</f>
        <v>7.3593073593070963</v>
      </c>
      <c r="Y122" s="194">
        <f t="shared" si="14"/>
        <v>0.57817453147525522</v>
      </c>
      <c r="Z122" s="194">
        <f t="shared" si="9"/>
        <v>1.3899809523809563</v>
      </c>
      <c r="AA122" s="194">
        <f t="shared" si="10"/>
        <v>0.67315430298675027</v>
      </c>
      <c r="AB122" s="194">
        <f t="shared" si="11"/>
        <v>0.44130780908395034</v>
      </c>
      <c r="AC122" s="194">
        <f t="shared" si="2"/>
        <v>0.72900583071704061</v>
      </c>
      <c r="AD122">
        <f t="shared" si="3"/>
        <v>54</v>
      </c>
      <c r="AE122" s="194">
        <f t="shared" si="12"/>
        <v>0.20052933136965523</v>
      </c>
      <c r="AF122" s="194">
        <f t="shared" si="13"/>
        <v>1.7631498787218286E-2</v>
      </c>
      <c r="AG122" s="252" t="str">
        <f>IF(ISNUMBER(SEARCH("C",'WetLitterbags placem_collection'!$X49)),"YES","NO")</f>
        <v>NO</v>
      </c>
      <c r="AH122" s="252" t="str">
        <f>IF(ISNUMBER(SEARCH("H", 'WetLitterbags placem_collection'!$X49)),"YES","NO")</f>
        <v>NO</v>
      </c>
      <c r="AI122" s="252" t="str">
        <f>IF(ISNUMBER(SEARCH("R", 'WetLitterbags placem_collection'!$X49)),"YES","NO")</f>
        <v>YES</v>
      </c>
      <c r="AJ122" s="252" t="str">
        <f>IF(ISNUMBER(SEARCH("C", 'WetLitterbags placem_collection'!$V49)),"YES","NO")</f>
        <v>NO</v>
      </c>
      <c r="AK122" s="252" t="str">
        <f>IF(ISNUMBER(SEARCH("H", 'WetLitterbags placem_collection'!$V49)),"YES","NO")</f>
        <v>NO</v>
      </c>
      <c r="AL122" s="252" t="str">
        <f>IF(ISNUMBER(SEARCH("R", 'WetLitterbags placem_collection'!$V49)),"YES","NO")</f>
        <v>YES</v>
      </c>
    </row>
    <row r="123" spans="2:38">
      <c r="B123" t="str">
        <f>'Final data_for_R_analysis_Wetse'!A49</f>
        <v>Wet</v>
      </c>
      <c r="C123" s="260">
        <f>'Final data_for_R_analysis_Wetse'!B49</f>
        <v>48</v>
      </c>
      <c r="D123" t="s">
        <v>3807</v>
      </c>
      <c r="E123" t="s">
        <v>22</v>
      </c>
      <c r="F123" s="382">
        <v>8</v>
      </c>
      <c r="G123" s="16">
        <f>'WetLitterbags placem_collection'!E50</f>
        <v>42766</v>
      </c>
      <c r="H123" t="str">
        <f>'Final data_for_R_analysis_Wetse'!K49</f>
        <v>G679</v>
      </c>
      <c r="I123" t="str">
        <f>'Final data_for_R_analysis_Wetse'!K269</f>
        <v>R72</v>
      </c>
      <c r="J123">
        <f>IFERROR(INDEX('Green_rooibos initial weight'!$C$5:$C$2000,MATCH(H123, 'Green_rooibos initial weight'!$A$5:$A$2000,0)),"")</f>
        <v>2.052</v>
      </c>
      <c r="K123">
        <f>IFERROR(INDEX('Green_rooibos initial weight'!$C$5:$C$2000,MATCH(I123, 'Green_rooibos initial weight'!$A$5:$A$2000,0)),"")</f>
        <v>2.2349999999999999</v>
      </c>
      <c r="L123" s="194">
        <f t="shared" si="4"/>
        <v>1.8022</v>
      </c>
      <c r="M123" s="194">
        <f>AVERAGE(Ashed_controlls!$K$2:$K$11)</f>
        <v>5.5147656768714146</v>
      </c>
      <c r="N123" s="194">
        <f t="shared" si="0"/>
        <v>1.7028128929714235</v>
      </c>
      <c r="O123" s="194">
        <f t="shared" si="5"/>
        <v>1.9851999999999999</v>
      </c>
      <c r="P123" s="194">
        <f>AVERAGE(Ashed_controlls!$K$12:$K$14)</f>
        <v>2.2816647271287041</v>
      </c>
      <c r="Q123" s="194">
        <f t="shared" si="6"/>
        <v>1.9399043918370409</v>
      </c>
      <c r="R123" s="16">
        <f>IF('WetLitterbags placem_collection'!G50="","",'WetLitterbags placem_collection'!G50)</f>
        <v>42820</v>
      </c>
      <c r="S123" s="194">
        <f>IFERROR(INDEX('Both teabags AfterWet'!$C$3:$C$2000,MATCH(H123,'Both teabags AfterWet'!$A$3:$A$2000,0)),"")</f>
        <v>0.83199999999999996</v>
      </c>
      <c r="T123" s="194">
        <f>IFERROR(INDEX('Both teabags AfterWet'!$C$3:$C$2000,MATCH(I123,'Both teabags AfterWet'!$A$3:$A$2000,0)),"")</f>
        <v>1.6359999999999999</v>
      </c>
      <c r="U123" s="194">
        <f t="shared" si="7"/>
        <v>0.68140000000000001</v>
      </c>
      <c r="V123" s="194">
        <f t="shared" si="8"/>
        <v>1.4853999999999998</v>
      </c>
      <c r="W123" s="194">
        <f>IFERROR(INDEX('Ashed teabags wet'!$K$2:$K$2000,MATCH(H123,'Ashed teabags wet'!$A$2:$A$2000,0)),"")</f>
        <v>7.6283618581914308</v>
      </c>
      <c r="X123" s="237">
        <f>IFERROR(INDEX('Ashed teabags wet'!$K$2:$K$2000,MATCH(I123,'Ashed teabags wet'!$A$2:$A$2000,0)),"")</f>
        <v>4.6647230320703335</v>
      </c>
      <c r="Y123" s="194">
        <f t="shared" si="14"/>
        <v>0.62942034229828359</v>
      </c>
      <c r="Z123" s="194">
        <f t="shared" si="9"/>
        <v>1.4161102040816271</v>
      </c>
      <c r="AA123" s="194">
        <f t="shared" si="10"/>
        <v>0.63036435482941433</v>
      </c>
      <c r="AB123" s="194">
        <f t="shared" si="11"/>
        <v>0.41325549152712204</v>
      </c>
      <c r="AC123" s="194">
        <f t="shared" si="2"/>
        <v>0.72998968920350049</v>
      </c>
      <c r="AD123">
        <f t="shared" si="3"/>
        <v>54</v>
      </c>
      <c r="AE123" s="194">
        <f t="shared" si="12"/>
        <v>0.25134874723347467</v>
      </c>
      <c r="AF123" s="194">
        <f t="shared" si="13"/>
        <v>1.9620524307127966E-2</v>
      </c>
      <c r="AG123" s="252" t="str">
        <f>IF(ISNUMBER(SEARCH("C",'WetLitterbags placem_collection'!$X50)),"YES","NO")</f>
        <v>NO</v>
      </c>
      <c r="AH123" s="252" t="str">
        <f>IF(ISNUMBER(SEARCH("H", 'WetLitterbags placem_collection'!$X50)),"YES","NO")</f>
        <v>NO</v>
      </c>
      <c r="AI123" s="252" t="str">
        <f>IF(ISNUMBER(SEARCH("R", 'WetLitterbags placem_collection'!$X50)),"YES","NO")</f>
        <v>YES</v>
      </c>
      <c r="AJ123" s="252" t="str">
        <f>IF(ISNUMBER(SEARCH("C", 'WetLitterbags placem_collection'!$V50)),"YES","NO")</f>
        <v>NO</v>
      </c>
      <c r="AK123" s="252" t="str">
        <f>IF(ISNUMBER(SEARCH("H", 'WetLitterbags placem_collection'!$V50)),"YES","NO")</f>
        <v>NO</v>
      </c>
      <c r="AL123" s="252" t="str">
        <f>IF(ISNUMBER(SEARCH("R", 'WetLitterbags placem_collection'!$V50)),"YES","NO")</f>
        <v>YES</v>
      </c>
    </row>
    <row r="124" spans="2:38">
      <c r="B124" t="str">
        <f>'Final data_for_R_analysis_Wetse'!A50</f>
        <v>Wet</v>
      </c>
      <c r="C124" s="260">
        <f>'Final data_for_R_analysis_Wetse'!B50</f>
        <v>49</v>
      </c>
      <c r="D124" t="s">
        <v>3808</v>
      </c>
      <c r="E124" t="s">
        <v>22</v>
      </c>
      <c r="F124" s="381">
        <v>1</v>
      </c>
      <c r="G124" s="16">
        <f>'WetLitterbags placem_collection'!E51</f>
        <v>42766</v>
      </c>
      <c r="H124" t="str">
        <f>'Final data_for_R_analysis_Wetse'!K50</f>
        <v>G346</v>
      </c>
      <c r="I124" t="str">
        <f>'Final data_for_R_analysis_Wetse'!K270</f>
        <v>R28</v>
      </c>
      <c r="J124">
        <f>IFERROR(INDEX('Green_rooibos initial weight'!$C$5:$C$2000,MATCH(H124, 'Green_rooibos initial weight'!$A$5:$A$2000,0)),"")</f>
        <v>2.012</v>
      </c>
      <c r="K124">
        <f>IFERROR(INDEX('Green_rooibos initial weight'!$C$5:$C$2000,MATCH(I124, 'Green_rooibos initial weight'!$A$5:$A$2000,0)),"")</f>
        <v>2.1030000000000002</v>
      </c>
      <c r="L124" s="194">
        <f t="shared" si="4"/>
        <v>1.7622</v>
      </c>
      <c r="M124" s="194">
        <f>AVERAGE(Ashed_controlls!$K$2:$K$11)</f>
        <v>5.5147656768714146</v>
      </c>
      <c r="N124" s="194">
        <f t="shared" si="0"/>
        <v>1.6650187992421719</v>
      </c>
      <c r="O124" s="194">
        <f t="shared" si="5"/>
        <v>1.8532000000000002</v>
      </c>
      <c r="P124" s="194">
        <f>AVERAGE(Ashed_controlls!$K$12:$K$14)</f>
        <v>2.2816647271287041</v>
      </c>
      <c r="Q124" s="194">
        <f t="shared" si="6"/>
        <v>1.8109161892768511</v>
      </c>
      <c r="R124" s="16">
        <f>IF('WetLitterbags placem_collection'!G51="","",'WetLitterbags placem_collection'!G51)</f>
        <v>42820</v>
      </c>
      <c r="S124" s="194">
        <f>IFERROR(INDEX('Both teabags AfterWet'!$C$3:$C$2000,MATCH(H124,'Both teabags AfterWet'!$A$3:$A$2000,0)),"")</f>
        <v>1.0001</v>
      </c>
      <c r="T124" s="194">
        <f>IFERROR(INDEX('Both teabags AfterWet'!$C$3:$C$2000,MATCH(I124,'Both teabags AfterWet'!$A$3:$A$2000,0)),"")</f>
        <v>1.5992999999999999</v>
      </c>
      <c r="U124" s="194">
        <f t="shared" si="7"/>
        <v>0.84949999999999992</v>
      </c>
      <c r="V124" s="194">
        <f t="shared" si="8"/>
        <v>1.4486999999999999</v>
      </c>
      <c r="W124" s="194">
        <f>IFERROR(INDEX('Ashed teabags wet'!$K$2:$K$2000,MATCH(H124,'Ashed teabags wet'!$A$2:$A$2000,0)),"")</f>
        <v>20.217498764212234</v>
      </c>
      <c r="X124" s="237">
        <f>IFERROR(INDEX('Ashed teabags wet'!$K$2:$K$2000,MATCH(I124,'Ashed teabags wet'!$A$2:$A$2000,0)),"")</f>
        <v>11.563275434243886</v>
      </c>
      <c r="Y124" s="194">
        <f t="shared" si="14"/>
        <v>0.67775234799801698</v>
      </c>
      <c r="Z124" s="194">
        <f t="shared" si="9"/>
        <v>1.2811828287841087</v>
      </c>
      <c r="AA124" s="194">
        <f t="shared" si="10"/>
        <v>0.59294612871248431</v>
      </c>
      <c r="AB124" s="194">
        <f t="shared" si="11"/>
        <v>0.38872477796827953</v>
      </c>
      <c r="AC124" s="194">
        <f t="shared" si="2"/>
        <v>0.70747770458428583</v>
      </c>
      <c r="AD124">
        <f t="shared" si="3"/>
        <v>54</v>
      </c>
      <c r="AE124" s="194">
        <f t="shared" si="12"/>
        <v>0.29578844570963858</v>
      </c>
      <c r="AF124" s="194">
        <f t="shared" si="13"/>
        <v>2.5859563297516392E-2</v>
      </c>
      <c r="AG124" s="252" t="str">
        <f>IF(ISNUMBER(SEARCH("C",'WetLitterbags placem_collection'!$X51)),"YES","NO")</f>
        <v>NO</v>
      </c>
      <c r="AH124" s="252" t="str">
        <f>IF(ISNUMBER(SEARCH("H", 'WetLitterbags placem_collection'!$X51)),"YES","NO")</f>
        <v>NO</v>
      </c>
      <c r="AI124" s="252" t="str">
        <f>IF(ISNUMBER(SEARCH("R", 'WetLitterbags placem_collection'!$X51)),"YES","NO")</f>
        <v>YES</v>
      </c>
      <c r="AJ124" s="252" t="str">
        <f>IF(ISNUMBER(SEARCH("C", 'WetLitterbags placem_collection'!$V51)),"YES","NO")</f>
        <v>NO</v>
      </c>
      <c r="AK124" s="252" t="str">
        <f>IF(ISNUMBER(SEARCH("H", 'WetLitterbags placem_collection'!$V51)),"YES","NO")</f>
        <v>NO</v>
      </c>
      <c r="AL124" s="252" t="str">
        <f>IF(ISNUMBER(SEARCH("R", 'WetLitterbags placem_collection'!$V51)),"YES","NO")</f>
        <v>YES</v>
      </c>
    </row>
    <row r="125" spans="2:38">
      <c r="B125" t="str">
        <f>'Final data_for_R_analysis_Wetse'!A51</f>
        <v>Wet</v>
      </c>
      <c r="C125" s="260">
        <f>'Final data_for_R_analysis_Wetse'!B51</f>
        <v>50</v>
      </c>
      <c r="D125" t="s">
        <v>3808</v>
      </c>
      <c r="E125" t="s">
        <v>22</v>
      </c>
      <c r="F125" s="381">
        <v>2</v>
      </c>
      <c r="G125" s="16">
        <f>'WetLitterbags placem_collection'!E52</f>
        <v>42766</v>
      </c>
      <c r="H125" t="str">
        <f>'Final data_for_R_analysis_Wetse'!K51</f>
        <v>G418</v>
      </c>
      <c r="I125" t="str">
        <f>'Final data_for_R_analysis_Wetse'!K271</f>
        <v>R5</v>
      </c>
      <c r="J125">
        <f>IFERROR(INDEX('Green_rooibos initial weight'!$C$5:$C$2000,MATCH(H125, 'Green_rooibos initial weight'!$A$5:$A$2000,0)),"")</f>
        <v>2.016</v>
      </c>
      <c r="K125">
        <f>IFERROR(INDEX('Green_rooibos initial weight'!$C$5:$C$2000,MATCH(I125, 'Green_rooibos initial weight'!$A$5:$A$2000,0)),"")</f>
        <v>2.1800000000000002</v>
      </c>
      <c r="L125" s="194">
        <f t="shared" si="4"/>
        <v>1.7662</v>
      </c>
      <c r="M125" s="194">
        <f>AVERAGE(Ashed_controlls!$K$2:$K$11)</f>
        <v>5.5147656768714146</v>
      </c>
      <c r="N125" s="194">
        <f t="shared" si="0"/>
        <v>1.668798208615097</v>
      </c>
      <c r="O125" s="194">
        <f t="shared" si="5"/>
        <v>1.9302000000000001</v>
      </c>
      <c r="P125" s="194">
        <f>AVERAGE(Ashed_controlls!$K$12:$K$14)</f>
        <v>2.2816647271287041</v>
      </c>
      <c r="Q125" s="194">
        <f t="shared" si="6"/>
        <v>1.8861593074369618</v>
      </c>
      <c r="R125" s="16">
        <f>IF('WetLitterbags placem_collection'!G52="","",'WetLitterbags placem_collection'!G52)</f>
        <v>42820</v>
      </c>
      <c r="S125" s="194" t="str">
        <f>IFERROR(INDEX('Both teabags AfterWet'!$C$3:$C$2000,MATCH(H125,'Both teabags AfterWet'!$A$3:$A$2000,0)),"")</f>
        <v/>
      </c>
      <c r="T125" s="194">
        <f>IFERROR(INDEX('Both teabags AfterWet'!$C$3:$C$2000,MATCH(I125,'Both teabags AfterWet'!$A$3:$A$2000,0)),"")</f>
        <v>0.32769999999999999</v>
      </c>
      <c r="U125" s="194" t="str">
        <f t="shared" si="7"/>
        <v/>
      </c>
      <c r="V125" s="194">
        <f t="shared" si="8"/>
        <v>0.17709999999999998</v>
      </c>
      <c r="W125" s="194" t="str">
        <f>IFERROR(INDEX('Ashed teabags wet'!$K$2:$K$2000,MATCH(H125,'Ashed teabags wet'!$A$2:$A$2000,0)),"")</f>
        <v/>
      </c>
      <c r="X125" s="237">
        <f>IFERROR(INDEX('Ashed teabags wet'!$K$2:$K$2000,MATCH(I125,'Ashed teabags wet'!$A$2:$A$2000,0)),"")</f>
        <v>0</v>
      </c>
      <c r="Y125" s="194" t="str">
        <f t="shared" si="14"/>
        <v/>
      </c>
      <c r="Z125" s="194">
        <f t="shared" si="9"/>
        <v>0.17709999999999998</v>
      </c>
      <c r="AA125" s="194" t="str">
        <f t="shared" si="10"/>
        <v/>
      </c>
      <c r="AB125" s="194" t="str">
        <f t="shared" si="11"/>
        <v/>
      </c>
      <c r="AC125" s="194">
        <f t="shared" si="2"/>
        <v>9.3894507903818147E-2</v>
      </c>
      <c r="AD125">
        <f t="shared" si="3"/>
        <v>54</v>
      </c>
      <c r="AE125" s="194" t="str">
        <f t="shared" si="12"/>
        <v/>
      </c>
      <c r="AF125" s="194" t="str">
        <f t="shared" si="13"/>
        <v/>
      </c>
      <c r="AG125" s="252" t="str">
        <f>IF(ISNUMBER(SEARCH("C",'WetLitterbags placem_collection'!$X52)),"YES","NO")</f>
        <v>NO</v>
      </c>
      <c r="AH125" s="252" t="str">
        <f>IF(ISNUMBER(SEARCH("H", 'WetLitterbags placem_collection'!$X52)),"YES","NO")</f>
        <v>NO</v>
      </c>
      <c r="AI125" s="252" t="str">
        <f>IF(ISNUMBER(SEARCH("R", 'WetLitterbags placem_collection'!$X52)),"YES","NO")</f>
        <v>NO</v>
      </c>
      <c r="AJ125" s="252" t="str">
        <f>IF(ISNUMBER(SEARCH("C", 'WetLitterbags placem_collection'!$V52)),"YES","NO")</f>
        <v>NO</v>
      </c>
      <c r="AK125" s="252" t="str">
        <f>IF(ISNUMBER(SEARCH("H", 'WetLitterbags placem_collection'!$V52)),"YES","NO")</f>
        <v>NO</v>
      </c>
      <c r="AL125" s="252" t="str">
        <f>IF(ISNUMBER(SEARCH("R", 'WetLitterbags placem_collection'!$V52)),"YES","NO")</f>
        <v>NO</v>
      </c>
    </row>
    <row r="126" spans="2:38">
      <c r="B126" t="str">
        <f>'Final data_for_R_analysis_Wetse'!A52</f>
        <v>Wet</v>
      </c>
      <c r="C126" s="260">
        <f>'Final data_for_R_analysis_Wetse'!B52</f>
        <v>51</v>
      </c>
      <c r="D126" t="s">
        <v>3808</v>
      </c>
      <c r="E126" t="s">
        <v>22</v>
      </c>
      <c r="F126" s="381">
        <v>3</v>
      </c>
      <c r="G126" s="16">
        <f>'WetLitterbags placem_collection'!E53</f>
        <v>42766</v>
      </c>
      <c r="H126" t="str">
        <f>'Final data_for_R_analysis_Wetse'!K52</f>
        <v>G548</v>
      </c>
      <c r="I126" t="str">
        <f>'Final data_for_R_analysis_Wetse'!K272</f>
        <v>R85</v>
      </c>
      <c r="J126">
        <f>IFERROR(INDEX('Green_rooibos initial weight'!$C$5:$C$2000,MATCH(H126, 'Green_rooibos initial weight'!$A$5:$A$2000,0)),"")</f>
        <v>2.169</v>
      </c>
      <c r="K126">
        <f>IFERROR(INDEX('Green_rooibos initial weight'!$C$5:$C$2000,MATCH(I126, 'Green_rooibos initial weight'!$A$5:$A$2000,0)),"")</f>
        <v>2.1930000000000001</v>
      </c>
      <c r="L126" s="194">
        <f t="shared" si="4"/>
        <v>1.9192</v>
      </c>
      <c r="M126" s="194">
        <f>AVERAGE(Ashed_controlls!$K$2:$K$11)</f>
        <v>5.5147656768714146</v>
      </c>
      <c r="N126" s="194">
        <f t="shared" si="0"/>
        <v>1.8133606171294838</v>
      </c>
      <c r="O126" s="194">
        <f t="shared" si="5"/>
        <v>1.9432</v>
      </c>
      <c r="P126" s="194">
        <f>AVERAGE(Ashed_controlls!$K$12:$K$14)</f>
        <v>2.2816647271287041</v>
      </c>
      <c r="Q126" s="194">
        <f t="shared" si="6"/>
        <v>1.8988626910224351</v>
      </c>
      <c r="R126" s="16">
        <f>IF('WetLitterbags placem_collection'!G53="","",'WetLitterbags placem_collection'!G53)</f>
        <v>42820</v>
      </c>
      <c r="S126" s="194">
        <f>IFERROR(INDEX('Both teabags AfterWet'!$C$3:$C$2000,MATCH(H126,'Both teabags AfterWet'!$A$3:$A$2000,0)),"")</f>
        <v>0.86399999999999999</v>
      </c>
      <c r="T126" s="194">
        <f>IFERROR(INDEX('Both teabags AfterWet'!$C$3:$C$2000,MATCH(I126,'Both teabags AfterWet'!$A$3:$A$2000,0)),"")</f>
        <v>1.599</v>
      </c>
      <c r="U126" s="194">
        <f t="shared" si="7"/>
        <v>0.71340000000000003</v>
      </c>
      <c r="V126" s="194">
        <f t="shared" si="8"/>
        <v>1.4483999999999999</v>
      </c>
      <c r="W126" s="194">
        <f>IFERROR(INDEX('Ashed teabags wet'!$K$2:$K$2000,MATCH(H126,'Ashed teabags wet'!$A$2:$A$2000,0)),"")</f>
        <v>8.9955022488745993</v>
      </c>
      <c r="X126" s="237">
        <f>IFERROR(INDEX('Ashed teabags wet'!$K$2:$K$2000,MATCH(I126,'Ashed teabags wet'!$A$2:$A$2000,0)),"")</f>
        <v>6.0009601536244919</v>
      </c>
      <c r="Y126" s="194">
        <f t="shared" si="14"/>
        <v>0.64922608695652861</v>
      </c>
      <c r="Z126" s="194">
        <f t="shared" si="9"/>
        <v>1.3614820931349028</v>
      </c>
      <c r="AA126" s="194">
        <f t="shared" si="10"/>
        <v>0.64197629482863627</v>
      </c>
      <c r="AB126" s="194">
        <f t="shared" si="11"/>
        <v>0.42086806976889218</v>
      </c>
      <c r="AC126" s="194">
        <f t="shared" si="2"/>
        <v>0.71699870642137797</v>
      </c>
      <c r="AD126">
        <f t="shared" si="3"/>
        <v>54</v>
      </c>
      <c r="AE126" s="194">
        <f t="shared" si="12"/>
        <v>0.23755784462157215</v>
      </c>
      <c r="AF126" s="194">
        <f t="shared" si="13"/>
        <v>2.0667251521434116E-2</v>
      </c>
      <c r="AG126" s="252" t="str">
        <f>IF(ISNUMBER(SEARCH("C",'WetLitterbags placem_collection'!$X53)),"YES","NO")</f>
        <v>NO</v>
      </c>
      <c r="AH126" s="252" t="str">
        <f>IF(ISNUMBER(SEARCH("H", 'WetLitterbags placem_collection'!$X53)),"YES","NO")</f>
        <v>NO</v>
      </c>
      <c r="AI126" s="252" t="str">
        <f>IF(ISNUMBER(SEARCH("R", 'WetLitterbags placem_collection'!$X53)),"YES","NO")</f>
        <v>YES</v>
      </c>
      <c r="AJ126" s="252" t="str">
        <f>IF(ISNUMBER(SEARCH("C", 'WetLitterbags placem_collection'!$V53)),"YES","NO")</f>
        <v>NO</v>
      </c>
      <c r="AK126" s="252" t="str">
        <f>IF(ISNUMBER(SEARCH("H", 'WetLitterbags placem_collection'!$V53)),"YES","NO")</f>
        <v>NO</v>
      </c>
      <c r="AL126" s="252" t="str">
        <f>IF(ISNUMBER(SEARCH("R", 'WetLitterbags placem_collection'!$V53)),"YES","NO")</f>
        <v>YES</v>
      </c>
    </row>
    <row r="127" spans="2:38">
      <c r="B127" t="str">
        <f>'Final data_for_R_analysis_Wetse'!A53</f>
        <v>Wet</v>
      </c>
      <c r="C127" s="260">
        <f>'Final data_for_R_analysis_Wetse'!B53</f>
        <v>52</v>
      </c>
      <c r="D127" t="s">
        <v>3808</v>
      </c>
      <c r="E127" t="s">
        <v>22</v>
      </c>
      <c r="F127" s="382">
        <v>4</v>
      </c>
      <c r="G127" s="16">
        <f>'WetLitterbags placem_collection'!E54</f>
        <v>42766</v>
      </c>
      <c r="H127" t="str">
        <f>'Final data_for_R_analysis_Wetse'!K53</f>
        <v>G638</v>
      </c>
      <c r="I127" t="str">
        <f>'Final data_for_R_analysis_Wetse'!K273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4"/>
        <v>1.7911999999999999</v>
      </c>
      <c r="M127" s="194">
        <f>AVERAGE(Ashed_controlls!$K$2:$K$11)</f>
        <v>5.5147656768714146</v>
      </c>
      <c r="N127" s="194">
        <f t="shared" si="0"/>
        <v>1.6924195171958791</v>
      </c>
      <c r="O127" s="194">
        <f t="shared" si="5"/>
        <v>1.8891999999999998</v>
      </c>
      <c r="P127" s="194">
        <f>AVERAGE(Ashed_controlls!$K$12:$K$14)</f>
        <v>2.2816647271287041</v>
      </c>
      <c r="Q127" s="194">
        <f t="shared" si="6"/>
        <v>1.8460947899750844</v>
      </c>
      <c r="R127" s="16">
        <f>IF('WetLitterbags placem_collection'!G54="","",'WetLitterbags placem_collection'!G54)</f>
        <v>42820</v>
      </c>
      <c r="S127" s="194">
        <f>IFERROR(INDEX('Both teabags AfterWet'!$C$3:$C$2000,MATCH(H127,'Both teabags AfterWet'!$A$3:$A$2000,0)),"")</f>
        <v>1.075</v>
      </c>
      <c r="T127" s="194">
        <f>IFERROR(INDEX('Both teabags AfterWet'!$C$3:$C$2000,MATCH(I127,'Both teabags AfterWet'!$A$3:$A$2000,0)),"")</f>
        <v>1.6279999999999999</v>
      </c>
      <c r="U127" s="194">
        <f t="shared" si="7"/>
        <v>0.92439999999999989</v>
      </c>
      <c r="V127" s="194">
        <f t="shared" si="8"/>
        <v>1.4773999999999998</v>
      </c>
      <c r="W127" s="194">
        <f>IFERROR(INDEX('Ashed teabags wet'!$K$2:$K$2000,MATCH(H127,'Ashed teabags wet'!$A$2:$A$2000,0)),"")</f>
        <v>30.654761904762275</v>
      </c>
      <c r="X127" s="237">
        <f>IFERROR(INDEX('Ashed teabags wet'!$K$2:$K$2000,MATCH(I127,'Ashed teabags wet'!$A$2:$A$2000,0)),"")</f>
        <v>11.073500967118232</v>
      </c>
      <c r="Y127" s="194">
        <f t="shared" si="14"/>
        <v>0.64102738095237743</v>
      </c>
      <c r="Z127" s="194">
        <f t="shared" si="9"/>
        <v>1.3138000967117951</v>
      </c>
      <c r="AA127" s="194">
        <f t="shared" si="10"/>
        <v>0.62123612116310434</v>
      </c>
      <c r="AB127" s="194">
        <f t="shared" si="11"/>
        <v>0.40727118632070503</v>
      </c>
      <c r="AC127" s="194">
        <f t="shared" si="2"/>
        <v>0.71166448431909968</v>
      </c>
      <c r="AD127">
        <f t="shared" si="3"/>
        <v>54</v>
      </c>
      <c r="AE127" s="194">
        <f t="shared" si="12"/>
        <v>0.26218987985379527</v>
      </c>
      <c r="AF127" s="194">
        <f t="shared" si="13"/>
        <v>2.2794379720940658E-2</v>
      </c>
      <c r="AG127" s="252" t="str">
        <f>IF(ISNUMBER(SEARCH("C",'WetLitterbags placem_collection'!$X54)),"YES","NO")</f>
        <v>NO</v>
      </c>
      <c r="AH127" s="252" t="str">
        <f>IF(ISNUMBER(SEARCH("H", 'WetLitterbags placem_collection'!$X54)),"YES","NO")</f>
        <v>NO</v>
      </c>
      <c r="AI127" s="252" t="str">
        <f>IF(ISNUMBER(SEARCH("R", 'WetLitterbags placem_collection'!$X54)),"YES","NO")</f>
        <v>YES</v>
      </c>
      <c r="AJ127" s="252" t="str">
        <f>IF(ISNUMBER(SEARCH("C", 'WetLitterbags placem_collection'!$V54)),"YES","NO")</f>
        <v>NO</v>
      </c>
      <c r="AK127" s="252" t="str">
        <f>IF(ISNUMBER(SEARCH("H", 'WetLitterbags placem_collection'!$V54)),"YES","NO")</f>
        <v>YES</v>
      </c>
      <c r="AL127" s="252" t="str">
        <f>IF(ISNUMBER(SEARCH("R", 'WetLitterbags placem_collection'!$V54)),"YES","NO")</f>
        <v>YES</v>
      </c>
    </row>
    <row r="128" spans="2:38">
      <c r="B128" t="str">
        <f>'Final data_for_R_analysis_Wetse'!A54</f>
        <v>Wet</v>
      </c>
      <c r="C128" s="260">
        <f>'Final data_for_R_analysis_Wetse'!B54</f>
        <v>53</v>
      </c>
      <c r="D128" t="s">
        <v>3808</v>
      </c>
      <c r="E128" t="s">
        <v>22</v>
      </c>
      <c r="F128" s="382">
        <v>5</v>
      </c>
      <c r="G128" s="16">
        <f>'WetLitterbags placem_collection'!E55</f>
        <v>42766</v>
      </c>
      <c r="H128" t="str">
        <f>'Final data_for_R_analysis_Wetse'!K54</f>
        <v>G426</v>
      </c>
      <c r="I128" t="str">
        <f>'Final data_for_R_analysis_Wetse'!K274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4"/>
        <v>1.7732000000000001</v>
      </c>
      <c r="M128" s="194">
        <f>AVERAGE(Ashed_controlls!$K$2:$K$11)</f>
        <v>5.5147656768714146</v>
      </c>
      <c r="N128" s="194">
        <f t="shared" si="0"/>
        <v>1.6754121750177162</v>
      </c>
      <c r="O128" s="194">
        <f t="shared" si="5"/>
        <v>1.8891999999999998</v>
      </c>
      <c r="P128" s="194">
        <f>AVERAGE(Ashed_controlls!$K$12:$K$14)</f>
        <v>2.2816647271287041</v>
      </c>
      <c r="Q128" s="194">
        <f t="shared" si="6"/>
        <v>1.8460947899750844</v>
      </c>
      <c r="R128" s="16">
        <f>IF('WetLitterbags placem_collection'!G55="","",'WetLitterbags placem_collection'!G55)</f>
        <v>42820</v>
      </c>
      <c r="S128" s="194" t="str">
        <f>IFERROR(INDEX('Both teabags AfterWet'!$C$3:$C$2000,MATCH(H128,'Both teabags AfterWet'!$A$3:$A$2000,0)),"")</f>
        <v/>
      </c>
      <c r="T128" s="194" t="str">
        <f>IFERROR(INDEX('Both teabags AfterWet'!$C$3:$C$2000,MATCH(I128,'Both teabags AfterWet'!$A$3:$A$2000,0)),"")</f>
        <v/>
      </c>
      <c r="U128" s="194" t="str">
        <f t="shared" si="7"/>
        <v/>
      </c>
      <c r="V128" s="194" t="str">
        <f t="shared" si="8"/>
        <v/>
      </c>
      <c r="W128" s="194" t="str">
        <f>IFERROR(INDEX('Ashed teabags wet'!$K$2:$K$2000,MATCH(H128,'Ashed teabags wet'!$A$2:$A$2000,0)),"")</f>
        <v/>
      </c>
      <c r="X128" s="237" t="str">
        <f>IFERROR(INDEX('Ashed teabags wet'!$K$2:$K$2000,MATCH(I128,'Ashed teabags wet'!$A$2:$A$2000,0)),"")</f>
        <v/>
      </c>
      <c r="Y128" s="194" t="str">
        <f t="shared" si="14"/>
        <v/>
      </c>
      <c r="Z128" s="194" t="str">
        <f t="shared" si="9"/>
        <v/>
      </c>
      <c r="AA128" s="194" t="str">
        <f t="shared" si="10"/>
        <v/>
      </c>
      <c r="AB128" s="194" t="str">
        <f t="shared" si="11"/>
        <v/>
      </c>
      <c r="AC128" s="194" t="str">
        <f t="shared" si="2"/>
        <v/>
      </c>
      <c r="AD128">
        <f t="shared" si="3"/>
        <v>54</v>
      </c>
      <c r="AE128" s="194" t="str">
        <f t="shared" si="12"/>
        <v/>
      </c>
      <c r="AF128" s="194" t="str">
        <f t="shared" si="13"/>
        <v/>
      </c>
      <c r="AG128" s="252" t="str">
        <f>IF(ISNUMBER(SEARCH("C",'WetLitterbags placem_collection'!$X55)),"YES","NO")</f>
        <v>NO</v>
      </c>
      <c r="AH128" s="252" t="str">
        <f>IF(ISNUMBER(SEARCH("H", 'WetLitterbags placem_collection'!$X55)),"YES","NO")</f>
        <v>NO</v>
      </c>
      <c r="AI128" s="252" t="str">
        <f>IF(ISNUMBER(SEARCH("R", 'WetLitterbags placem_collection'!$X55)),"YES","NO")</f>
        <v>NO</v>
      </c>
      <c r="AJ128" s="252" t="str">
        <f>IF(ISNUMBER(SEARCH("C", 'WetLitterbags placem_collection'!$V55)),"YES","NO")</f>
        <v>NO</v>
      </c>
      <c r="AK128" s="252" t="str">
        <f>IF(ISNUMBER(SEARCH("H", 'WetLitterbags placem_collection'!$V55)),"YES","NO")</f>
        <v>NO</v>
      </c>
      <c r="AL128" s="252" t="str">
        <f>IF(ISNUMBER(SEARCH("R", 'WetLitterbags placem_collection'!$V55)),"YES","NO")</f>
        <v>NO</v>
      </c>
    </row>
    <row r="129" spans="2:38">
      <c r="B129" t="str">
        <f>'Final data_for_R_analysis_Wetse'!A55</f>
        <v>Wet</v>
      </c>
      <c r="C129" s="260">
        <f>'Final data_for_R_analysis_Wetse'!B55</f>
        <v>54</v>
      </c>
      <c r="D129" t="s">
        <v>3808</v>
      </c>
      <c r="E129" t="s">
        <v>22</v>
      </c>
      <c r="F129" s="382">
        <v>6</v>
      </c>
      <c r="G129" s="16">
        <f>'WetLitterbags placem_collection'!E56</f>
        <v>42766</v>
      </c>
      <c r="H129" t="str">
        <f>'Final data_for_R_analysis_Wetse'!K55</f>
        <v>G589</v>
      </c>
      <c r="I129" t="str">
        <f>'Final data_for_R_analysis_Wetse'!K275</f>
        <v>R400</v>
      </c>
      <c r="J129">
        <f>IFERROR(INDEX('Green_rooibos initial weight'!$C$5:$C$2000,MATCH(H129, 'Green_rooibos initial weight'!$A$5:$A$2000,0)),"")</f>
        <v>2.0419999999999998</v>
      </c>
      <c r="K129">
        <f>IFERROR(INDEX('Green_rooibos initial weight'!$C$5:$C$2000,MATCH(I129, 'Green_rooibos initial weight'!$A$5:$A$2000,0)),"")</f>
        <v>2.181</v>
      </c>
      <c r="L129" s="194">
        <f t="shared" si="4"/>
        <v>1.7921999999999998</v>
      </c>
      <c r="M129" s="194">
        <f>AVERAGE(Ashed_controlls!$K$2:$K$11)</f>
        <v>5.5147656768714146</v>
      </c>
      <c r="N129" s="194">
        <f t="shared" si="0"/>
        <v>1.6933643695391103</v>
      </c>
      <c r="O129" s="194">
        <f t="shared" si="5"/>
        <v>1.9312</v>
      </c>
      <c r="P129" s="194">
        <f>AVERAGE(Ashed_controlls!$K$12:$K$14)</f>
        <v>2.2816647271287041</v>
      </c>
      <c r="Q129" s="194">
        <f t="shared" si="6"/>
        <v>1.8871364907896906</v>
      </c>
      <c r="R129" s="16">
        <f>IF('WetLitterbags placem_collection'!G56="","",'WetLitterbags placem_collection'!G56)</f>
        <v>42820</v>
      </c>
      <c r="S129" s="194" t="str">
        <f>IFERROR(INDEX('Both teabags AfterWet'!$C$3:$C$2000,MATCH(H129,'Both teabags AfterWet'!$A$3:$A$2000,0)),"")</f>
        <v/>
      </c>
      <c r="T129" s="194" t="str">
        <f>IFERROR(INDEX('Both teabags AfterWet'!$C$3:$C$2000,MATCH(I129,'Both teabags AfterWet'!$A$3:$A$2000,0)),"")</f>
        <v/>
      </c>
      <c r="U129" s="194" t="str">
        <f t="shared" si="7"/>
        <v/>
      </c>
      <c r="V129" s="194" t="str">
        <f t="shared" si="8"/>
        <v/>
      </c>
      <c r="W129" s="194" t="str">
        <f>IFERROR(INDEX('Ashed teabags wet'!$K$2:$K$2000,MATCH(H129,'Ashed teabags wet'!$A$2:$A$2000,0)),"")</f>
        <v/>
      </c>
      <c r="X129" s="237" t="str">
        <f>IFERROR(INDEX('Ashed teabags wet'!$K$2:$K$2000,MATCH(I129,'Ashed teabags wet'!$A$2:$A$2000,0)),"")</f>
        <v/>
      </c>
      <c r="Y129" s="194" t="str">
        <f t="shared" si="14"/>
        <v/>
      </c>
      <c r="Z129" s="194" t="str">
        <f t="shared" si="9"/>
        <v/>
      </c>
      <c r="AA129" s="194" t="str">
        <f t="shared" si="10"/>
        <v/>
      </c>
      <c r="AB129" s="194" t="str">
        <f t="shared" si="11"/>
        <v/>
      </c>
      <c r="AC129" s="194" t="str">
        <f t="shared" si="2"/>
        <v/>
      </c>
      <c r="AD129">
        <f t="shared" si="3"/>
        <v>54</v>
      </c>
      <c r="AE129" s="194" t="str">
        <f t="shared" si="12"/>
        <v/>
      </c>
      <c r="AF129" s="194" t="str">
        <f t="shared" si="13"/>
        <v/>
      </c>
      <c r="AG129" s="252" t="str">
        <f>IF(ISNUMBER(SEARCH("C",'WetLitterbags placem_collection'!$X56)),"YES","NO")</f>
        <v>NO</v>
      </c>
      <c r="AH129" s="252" t="str">
        <f>IF(ISNUMBER(SEARCH("H", 'WetLitterbags placem_collection'!$X56)),"YES","NO")</f>
        <v>NO</v>
      </c>
      <c r="AI129" s="252" t="str">
        <f>IF(ISNUMBER(SEARCH("R", 'WetLitterbags placem_collection'!$X56)),"YES","NO")</f>
        <v>NO</v>
      </c>
      <c r="AJ129" s="252" t="str">
        <f>IF(ISNUMBER(SEARCH("C", 'WetLitterbags placem_collection'!$V56)),"YES","NO")</f>
        <v>NO</v>
      </c>
      <c r="AK129" s="252" t="str">
        <f>IF(ISNUMBER(SEARCH("H", 'WetLitterbags placem_collection'!$V56)),"YES","NO")</f>
        <v>NO</v>
      </c>
      <c r="AL129" s="252" t="str">
        <f>IF(ISNUMBER(SEARCH("R", 'WetLitterbags placem_collection'!$V56)),"YES","NO")</f>
        <v>NO</v>
      </c>
    </row>
    <row r="130" spans="2:38">
      <c r="B130" t="str">
        <f>'Final data_for_R_analysis_Wetse'!A56</f>
        <v>Wet</v>
      </c>
      <c r="C130" s="260">
        <f>'Final data_for_R_analysis_Wetse'!B56</f>
        <v>55</v>
      </c>
      <c r="D130" t="s">
        <v>3808</v>
      </c>
      <c r="E130" t="s">
        <v>22</v>
      </c>
      <c r="F130" s="382">
        <v>7</v>
      </c>
      <c r="G130" s="16">
        <f>'WetLitterbags placem_collection'!E57</f>
        <v>42766</v>
      </c>
      <c r="H130" t="str">
        <f>'Final data_for_R_analysis_Wetse'!K56</f>
        <v>G622</v>
      </c>
      <c r="I130" t="str">
        <f>'Final data_for_R_analysis_Wetse'!K276</f>
        <v>R19</v>
      </c>
      <c r="J130">
        <f>IFERROR(INDEX('Green_rooibos initial weight'!$C$5:$C$2000,MATCH(H130, 'Green_rooibos initial weight'!$A$5:$A$2000,0)),"")</f>
        <v>1.978</v>
      </c>
      <c r="K130">
        <f>IFERROR(INDEX('Green_rooibos initial weight'!$C$5:$C$2000,MATCH(I130, 'Green_rooibos initial weight'!$A$5:$A$2000,0)),"")</f>
        <v>2.2589999999999999</v>
      </c>
      <c r="L130" s="194">
        <f t="shared" si="4"/>
        <v>1.7282</v>
      </c>
      <c r="M130" s="194">
        <f>AVERAGE(Ashed_controlls!$K$2:$K$11)</f>
        <v>5.5147656768714146</v>
      </c>
      <c r="N130" s="194">
        <f t="shared" si="0"/>
        <v>1.6328938195723082</v>
      </c>
      <c r="O130" s="194">
        <f t="shared" si="5"/>
        <v>2.0091999999999999</v>
      </c>
      <c r="P130" s="194">
        <f>AVERAGE(Ashed_controlls!$K$12:$K$14)</f>
        <v>2.2816647271287041</v>
      </c>
      <c r="Q130" s="194">
        <f t="shared" si="6"/>
        <v>1.9633567923025299</v>
      </c>
      <c r="R130" s="16">
        <f>IF('WetLitterbags placem_collection'!G57="","",'WetLitterbags placem_collection'!G57)</f>
        <v>42820</v>
      </c>
      <c r="S130" s="194" t="str">
        <f>IFERROR(INDEX('Both teabags AfterWet'!$C$3:$C$2000,MATCH(H130,'Both teabags AfterWet'!$A$3:$A$2000,0)),"")</f>
        <v/>
      </c>
      <c r="T130" s="194">
        <f>IFERROR(INDEX('Both teabags AfterWet'!$C$3:$C$2000,MATCH(I130,'Both teabags AfterWet'!$A$3:$A$2000,0)),"")</f>
        <v>0.22600000000000001</v>
      </c>
      <c r="U130" s="194" t="str">
        <f t="shared" si="7"/>
        <v/>
      </c>
      <c r="V130" s="194">
        <f t="shared" si="8"/>
        <v>7.5399999999999995E-2</v>
      </c>
      <c r="W130" s="194" t="str">
        <f>IFERROR(INDEX('Ashed teabags wet'!$K$2:$K$2000,MATCH(H130,'Ashed teabags wet'!$A$2:$A$2000,0)),"")</f>
        <v/>
      </c>
      <c r="X130" s="237">
        <f>IFERROR(INDEX('Ashed teabags wet'!$K$2:$K$2000,MATCH(I130,'Ashed teabags wet'!$A$2:$A$2000,0)),"")</f>
        <v>0</v>
      </c>
      <c r="Y130" s="194" t="str">
        <f t="shared" si="14"/>
        <v/>
      </c>
      <c r="Z130" s="194">
        <f t="shared" si="9"/>
        <v>7.5399999999999995E-2</v>
      </c>
      <c r="AA130" s="194" t="str">
        <f t="shared" si="10"/>
        <v/>
      </c>
      <c r="AB130" s="194" t="str">
        <f t="shared" si="11"/>
        <v/>
      </c>
      <c r="AC130" s="194">
        <f t="shared" si="2"/>
        <v>3.8403615835700712E-2</v>
      </c>
      <c r="AD130">
        <f t="shared" si="3"/>
        <v>54</v>
      </c>
      <c r="AE130" s="194" t="str">
        <f t="shared" si="12"/>
        <v/>
      </c>
      <c r="AF130" s="194" t="str">
        <f t="shared" si="13"/>
        <v/>
      </c>
      <c r="AG130" s="252" t="str">
        <f>IF(ISNUMBER(SEARCH("C",'WetLitterbags placem_collection'!$X57)),"YES","NO")</f>
        <v>NO</v>
      </c>
      <c r="AH130" s="252" t="str">
        <f>IF(ISNUMBER(SEARCH("H", 'WetLitterbags placem_collection'!$X57)),"YES","NO")</f>
        <v>NO</v>
      </c>
      <c r="AI130" s="252" t="str">
        <f>IF(ISNUMBER(SEARCH("R", 'WetLitterbags placem_collection'!$X57)),"YES","NO")</f>
        <v>YES</v>
      </c>
      <c r="AJ130" s="252" t="str">
        <f>IF(ISNUMBER(SEARCH("C", 'WetLitterbags placem_collection'!$V57)),"YES","NO")</f>
        <v>NO</v>
      </c>
      <c r="AK130" s="252" t="str">
        <f>IF(ISNUMBER(SEARCH("H", 'WetLitterbags placem_collection'!$V57)),"YES","NO")</f>
        <v>NO</v>
      </c>
      <c r="AL130" s="252" t="str">
        <f>IF(ISNUMBER(SEARCH("R", 'WetLitterbags placem_collection'!$V57)),"YES","NO")</f>
        <v>NO</v>
      </c>
    </row>
    <row r="131" spans="2:38">
      <c r="B131" t="str">
        <f>'Final data_for_R_analysis_Wetse'!A57</f>
        <v>Wet</v>
      </c>
      <c r="C131" s="260">
        <f>'Final data_for_R_analysis_Wetse'!B57</f>
        <v>56</v>
      </c>
      <c r="D131" t="s">
        <v>3808</v>
      </c>
      <c r="E131" t="s">
        <v>22</v>
      </c>
      <c r="F131" s="382">
        <v>8</v>
      </c>
      <c r="G131" s="16">
        <f>'WetLitterbags placem_collection'!E58</f>
        <v>42766</v>
      </c>
      <c r="H131" t="str">
        <f>'Final data_for_R_analysis_Wetse'!K57</f>
        <v>G538</v>
      </c>
      <c r="I131" t="str">
        <f>'Final data_for_R_analysis_Wetse'!K277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4"/>
        <v>1.9262000000000001</v>
      </c>
      <c r="M131" s="194">
        <f>AVERAGE(Ashed_controlls!$K$2:$K$11)</f>
        <v>5.5147656768714146</v>
      </c>
      <c r="N131" s="194">
        <f t="shared" si="0"/>
        <v>1.8199745835321028</v>
      </c>
      <c r="O131" s="194">
        <f t="shared" si="5"/>
        <v>2.0722</v>
      </c>
      <c r="P131" s="194">
        <f>AVERAGE(Ashed_controlls!$K$12:$K$14)</f>
        <v>2.2816647271287041</v>
      </c>
      <c r="Q131" s="194">
        <f t="shared" si="6"/>
        <v>2.0249193435244393</v>
      </c>
      <c r="R131" s="16">
        <f>IF('WetLitterbags placem_collection'!G58="","",'WetLitterbags placem_collection'!G58)</f>
        <v>42820</v>
      </c>
      <c r="S131" s="194">
        <f>IFERROR(INDEX('Both teabags AfterWet'!$C$3:$C$2000,MATCH(H131,'Both teabags AfterWet'!$A$3:$A$2000,0)),"")</f>
        <v>0.81</v>
      </c>
      <c r="T131" s="194">
        <f>IFERROR(INDEX('Both teabags AfterWet'!$C$3:$C$2000,MATCH(I131,'Both teabags AfterWet'!$A$3:$A$2000,0)),"")</f>
        <v>2.2909999999999999</v>
      </c>
      <c r="U131" s="194">
        <f t="shared" si="7"/>
        <v>0.65939999999999999</v>
      </c>
      <c r="V131" s="194">
        <f t="shared" si="8"/>
        <v>2.1404000000000001</v>
      </c>
      <c r="W131" s="194">
        <f>IFERROR(INDEX('Ashed teabags wet'!$K$2:$K$2000,MATCH(H131,'Ashed teabags wet'!$A$2:$A$2000,0)),"")</f>
        <v>21.852387843704392</v>
      </c>
      <c r="X131" s="237">
        <f>IFERROR(INDEX('Ashed teabags wet'!$K$2:$K$2000,MATCH(I131,'Ashed teabags wet'!$A$2:$A$2000,0)),"")</f>
        <v>90.284005979073754</v>
      </c>
      <c r="Y131" s="194">
        <f t="shared" si="14"/>
        <v>0.51530535455861326</v>
      </c>
      <c r="Z131" s="194">
        <f t="shared" si="9"/>
        <v>0.20796113602390531</v>
      </c>
      <c r="AA131" s="194">
        <f t="shared" si="10"/>
        <v>0.71686123574399696</v>
      </c>
      <c r="AB131" s="194">
        <f t="shared" si="11"/>
        <v>0.46996128519083891</v>
      </c>
      <c r="AC131" s="194">
        <f t="shared" si="2"/>
        <v>0.10270094791130893</v>
      </c>
      <c r="AD131">
        <f t="shared" si="3"/>
        <v>54</v>
      </c>
      <c r="AE131" s="194">
        <f t="shared" si="12"/>
        <v>0.14862086016152376</v>
      </c>
      <c r="AF131" s="194" t="str">
        <f t="shared" si="13"/>
        <v/>
      </c>
      <c r="AG131" s="252" t="str">
        <f>IF(ISNUMBER(SEARCH("C",'WetLitterbags placem_collection'!$X58)),"YES","NO")</f>
        <v>NO</v>
      </c>
      <c r="AH131" s="252" t="str">
        <f>IF(ISNUMBER(SEARCH("H", 'WetLitterbags placem_collection'!$X58)),"YES","NO")</f>
        <v>NO</v>
      </c>
      <c r="AI131" s="252" t="str">
        <f>IF(ISNUMBER(SEARCH("R", 'WetLitterbags placem_collection'!$X58)),"YES","NO")</f>
        <v>YES</v>
      </c>
      <c r="AJ131" s="252" t="str">
        <f>IF(ISNUMBER(SEARCH("C", 'WetLitterbags placem_collection'!$V58)),"YES","NO")</f>
        <v>NO</v>
      </c>
      <c r="AK131" s="252" t="str">
        <f>IF(ISNUMBER(SEARCH("H", 'WetLitterbags placem_collection'!$V58)),"YES","NO")</f>
        <v>YES</v>
      </c>
      <c r="AL131" s="252" t="str">
        <f>IF(ISNUMBER(SEARCH("R", 'WetLitterbags placem_collection'!$V58)),"YES","NO")</f>
        <v>YES</v>
      </c>
    </row>
    <row r="132" spans="2:38">
      <c r="B132" t="str">
        <f>'Final data_for_R_analysis_Wetse'!A58</f>
        <v>Wet</v>
      </c>
      <c r="C132" s="260">
        <f>'Final data_for_R_analysis_Wetse'!B58</f>
        <v>57</v>
      </c>
      <c r="D132" t="s">
        <v>3809</v>
      </c>
      <c r="E132" t="s">
        <v>22</v>
      </c>
      <c r="F132" s="381">
        <v>1</v>
      </c>
      <c r="G132" s="16">
        <f>'WetLitterbags placem_collection'!E59</f>
        <v>42766</v>
      </c>
      <c r="H132" t="str">
        <f>'Final data_for_R_analysis_Wetse'!K58</f>
        <v>G546</v>
      </c>
      <c r="I132" t="str">
        <f>'Final data_for_R_analysis_Wetse'!K278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4"/>
        <v>1.8931999999999998</v>
      </c>
      <c r="M132" s="194">
        <f>AVERAGE(Ashed_controlls!$K$2:$K$11)</f>
        <v>5.5147656768714146</v>
      </c>
      <c r="N132" s="194">
        <f t="shared" si="0"/>
        <v>1.7887944562054701</v>
      </c>
      <c r="O132" s="194">
        <f t="shared" si="5"/>
        <v>1.9331999999999998</v>
      </c>
      <c r="P132" s="194">
        <f>AVERAGE(Ashed_controlls!$K$12:$K$14)</f>
        <v>2.2816647271287041</v>
      </c>
      <c r="Q132" s="194">
        <f t="shared" si="6"/>
        <v>1.8890908574951477</v>
      </c>
      <c r="R132" s="16">
        <f>IF('WetLitterbags placem_collection'!G59="","",'WetLitterbags placem_collection'!G59)</f>
        <v>42820</v>
      </c>
      <c r="S132" s="194">
        <f>IFERROR(INDEX('Both teabags AfterWet'!$C$3:$C$2000,MATCH(H132,'Both teabags AfterWet'!$A$3:$A$2000,0)),"")</f>
        <v>0.88660000000000005</v>
      </c>
      <c r="T132" s="194">
        <f>IFERROR(INDEX('Both teabags AfterWet'!$C$3:$C$2000,MATCH(I132,'Both teabags AfterWet'!$A$3:$A$2000,0)),"")</f>
        <v>1.266</v>
      </c>
      <c r="U132" s="194">
        <f t="shared" si="7"/>
        <v>0.73599999999999999</v>
      </c>
      <c r="V132" s="194">
        <f t="shared" si="8"/>
        <v>1.1153999999999999</v>
      </c>
      <c r="W132" s="194">
        <f>IFERROR(INDEX('Ashed teabags wet'!$K$2:$K$2000,MATCH(H132,'Ashed teabags wet'!$A$2:$A$2000,0)),"")</f>
        <v>16.553398058252881</v>
      </c>
      <c r="X132" s="237">
        <f>IFERROR(INDEX('Ashed teabags wet'!$K$2:$K$2000,MATCH(I132,'Ashed teabags wet'!$A$2:$A$2000,0)),"")</f>
        <v>9.63680387409185</v>
      </c>
      <c r="Y132" s="194">
        <f t="shared" si="14"/>
        <v>0.61416699029125876</v>
      </c>
      <c r="Z132" s="194">
        <f t="shared" si="9"/>
        <v>1.0079110895883794</v>
      </c>
      <c r="AA132" s="194">
        <f t="shared" si="10"/>
        <v>0.65665871326878023</v>
      </c>
      <c r="AB132" s="194">
        <f t="shared" si="11"/>
        <v>0.43049359824746641</v>
      </c>
      <c r="AC132" s="194">
        <f t="shared" si="2"/>
        <v>0.53354293976353562</v>
      </c>
      <c r="AD132">
        <f t="shared" si="3"/>
        <v>54</v>
      </c>
      <c r="AE132" s="194">
        <f t="shared" si="12"/>
        <v>0.22012029302995217</v>
      </c>
      <c r="AF132" s="194" t="str">
        <f t="shared" si="13"/>
        <v/>
      </c>
      <c r="AG132" s="252" t="str">
        <f>IF(ISNUMBER(SEARCH("C",'WetLitterbags placem_collection'!$X59)),"YES","NO")</f>
        <v>NO</v>
      </c>
      <c r="AH132" s="252" t="str">
        <f>IF(ISNUMBER(SEARCH("H", 'WetLitterbags placem_collection'!$X59)),"YES","NO")</f>
        <v>NO</v>
      </c>
      <c r="AI132" s="252" t="str">
        <f>IF(ISNUMBER(SEARCH("R", 'WetLitterbags placem_collection'!$X59)),"YES","NO")</f>
        <v>YES</v>
      </c>
      <c r="AJ132" s="252" t="str">
        <f>IF(ISNUMBER(SEARCH("C", 'WetLitterbags placem_collection'!$V59)),"YES","NO")</f>
        <v>NO</v>
      </c>
      <c r="AK132" s="252" t="str">
        <f>IF(ISNUMBER(SEARCH("H", 'WetLitterbags placem_collection'!$V59)),"YES","NO")</f>
        <v>NO</v>
      </c>
      <c r="AL132" s="252" t="str">
        <f>IF(ISNUMBER(SEARCH("R", 'WetLitterbags placem_collection'!$V59)),"YES","NO")</f>
        <v>YES</v>
      </c>
    </row>
    <row r="133" spans="2:38">
      <c r="B133" t="str">
        <f>'Final data_for_R_analysis_Wetse'!A59</f>
        <v>Wet</v>
      </c>
      <c r="C133" s="260">
        <f>'Final data_for_R_analysis_Wetse'!B59</f>
        <v>58</v>
      </c>
      <c r="D133" t="s">
        <v>3809</v>
      </c>
      <c r="E133" t="s">
        <v>22</v>
      </c>
      <c r="F133" s="381">
        <v>2</v>
      </c>
      <c r="G133" s="16">
        <f>'WetLitterbags placem_collection'!E60</f>
        <v>42766</v>
      </c>
      <c r="H133" t="str">
        <f>'Final data_for_R_analysis_Wetse'!K59</f>
        <v>G513</v>
      </c>
      <c r="I133" t="str">
        <f>'Final data_for_R_analysis_Wetse'!K279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4"/>
        <v>1.7681999999999998</v>
      </c>
      <c r="M133" s="194">
        <f>AVERAGE(Ashed_controlls!$K$2:$K$11)</f>
        <v>5.5147656768714146</v>
      </c>
      <c r="N133" s="194">
        <f t="shared" si="0"/>
        <v>1.6706879133015595</v>
      </c>
      <c r="O133" s="194">
        <f t="shared" si="5"/>
        <v>1.9651999999999998</v>
      </c>
      <c r="P133" s="194">
        <f>AVERAGE(Ashed_controlls!$K$12:$K$14)</f>
        <v>2.2816647271287041</v>
      </c>
      <c r="Q133" s="194">
        <f t="shared" si="6"/>
        <v>1.9203607247824666</v>
      </c>
      <c r="R133" s="16">
        <f>IF('WetLitterbags placem_collection'!G60="","",'WetLitterbags placem_collection'!G60)</f>
        <v>42820</v>
      </c>
      <c r="S133" s="194">
        <f>IFERROR(INDEX('Both teabags AfterWet'!$C$3:$C$2000,MATCH(H133,'Both teabags AfterWet'!$A$3:$A$2000,0)),"")</f>
        <v>0.93279999999999996</v>
      </c>
      <c r="T133" s="194">
        <f>IFERROR(INDEX('Both teabags AfterWet'!$C$3:$C$2000,MATCH(I133,'Both teabags AfterWet'!$A$3:$A$2000,0)),"")</f>
        <v>0.74880000000000002</v>
      </c>
      <c r="U133" s="194">
        <f t="shared" si="7"/>
        <v>0.78220000000000001</v>
      </c>
      <c r="V133" s="194">
        <f t="shared" si="8"/>
        <v>0.59820000000000007</v>
      </c>
      <c r="W133" s="194">
        <f>IFERROR(INDEX('Ashed teabags wet'!$K$2:$K$2000,MATCH(H133,'Ashed teabags wet'!$A$2:$A$2000,0)),"")</f>
        <v>17.757936507936094</v>
      </c>
      <c r="X133" s="237">
        <f>IFERROR(INDEX('Ashed teabags wet'!$K$2:$K$2000,MATCH(I133,'Ashed teabags wet'!$A$2:$A$2000,0)),"")</f>
        <v>25.956144824069355</v>
      </c>
      <c r="Y133" s="194">
        <f t="shared" si="14"/>
        <v>0.6432974206349239</v>
      </c>
      <c r="Z133" s="194">
        <f t="shared" si="9"/>
        <v>0.44293034166241718</v>
      </c>
      <c r="AA133" s="194">
        <f t="shared" si="10"/>
        <v>0.61495057484215576</v>
      </c>
      <c r="AB133" s="194">
        <f t="shared" si="11"/>
        <v>0.40315049562098582</v>
      </c>
      <c r="AC133" s="194">
        <f t="shared" si="2"/>
        <v>0.23064955242332982</v>
      </c>
      <c r="AD133">
        <f t="shared" si="3"/>
        <v>54</v>
      </c>
      <c r="AE133" s="194">
        <f t="shared" si="12"/>
        <v>0.26965489923734465</v>
      </c>
      <c r="AF133" s="194" t="str">
        <f t="shared" si="13"/>
        <v/>
      </c>
      <c r="AG133" s="252" t="str">
        <f>IF(ISNUMBER(SEARCH("C",'WetLitterbags placem_collection'!$X60)),"YES","NO")</f>
        <v>NO</v>
      </c>
      <c r="AH133" s="252" t="str">
        <f>IF(ISNUMBER(SEARCH("H", 'WetLitterbags placem_collection'!$X60)),"YES","NO")</f>
        <v>NO</v>
      </c>
      <c r="AI133" s="252" t="str">
        <f>IF(ISNUMBER(SEARCH("R", 'WetLitterbags placem_collection'!$X60)),"YES","NO")</f>
        <v>YES</v>
      </c>
      <c r="AJ133" s="252" t="str">
        <f>IF(ISNUMBER(SEARCH("C", 'WetLitterbags placem_collection'!$V60)),"YES","NO")</f>
        <v>NO</v>
      </c>
      <c r="AK133" s="252" t="str">
        <f>IF(ISNUMBER(SEARCH("H", 'WetLitterbags placem_collection'!$V60)),"YES","NO")</f>
        <v>YES</v>
      </c>
      <c r="AL133" s="252" t="str">
        <f>IF(ISNUMBER(SEARCH("R", 'WetLitterbags placem_collection'!$V60)),"YES","NO")</f>
        <v>YES</v>
      </c>
    </row>
    <row r="134" spans="2:38">
      <c r="B134" t="str">
        <f>'Final data_for_R_analysis_Wetse'!A60</f>
        <v>Wet</v>
      </c>
      <c r="C134" s="260">
        <f>'Final data_for_R_analysis_Wetse'!B60</f>
        <v>59</v>
      </c>
      <c r="D134" t="s">
        <v>3809</v>
      </c>
      <c r="E134" t="s">
        <v>22</v>
      </c>
      <c r="F134" s="381">
        <v>3</v>
      </c>
      <c r="G134" s="16">
        <f>'WetLitterbags placem_collection'!E61</f>
        <v>42766</v>
      </c>
      <c r="H134" t="str">
        <f>'Final data_for_R_analysis_Wetse'!K60</f>
        <v>G489</v>
      </c>
      <c r="I134" t="str">
        <f>'Final data_for_R_analysis_Wetse'!K280</f>
        <v>R23</v>
      </c>
      <c r="J134">
        <f>IFERROR(INDEX('Green_rooibos initial weight'!$C$5:$C$2000,MATCH(H134, 'Green_rooibos initial weight'!$A$5:$A$2000,0)),"")</f>
        <v>1.9</v>
      </c>
      <c r="K134">
        <f>IFERROR(INDEX('Green_rooibos initial weight'!$C$5:$C$2000,MATCH(I134, 'Green_rooibos initial weight'!$A$5:$A$2000,0)),"")</f>
        <v>2.2770000000000001</v>
      </c>
      <c r="L134" s="194">
        <f t="shared" si="4"/>
        <v>1.6501999999999999</v>
      </c>
      <c r="M134" s="194">
        <f>AVERAGE(Ashed_controlls!$K$2:$K$11)</f>
        <v>5.5147656768714146</v>
      </c>
      <c r="N134" s="194">
        <f t="shared" si="0"/>
        <v>1.5591953368002678</v>
      </c>
      <c r="O134" s="194">
        <f t="shared" si="5"/>
        <v>2.0272000000000001</v>
      </c>
      <c r="P134" s="194">
        <f>AVERAGE(Ashed_controlls!$K$12:$K$14)</f>
        <v>2.2816647271287041</v>
      </c>
      <c r="Q134" s="194">
        <f t="shared" si="6"/>
        <v>1.9809460926516471</v>
      </c>
      <c r="R134" s="16">
        <f>IF('WetLitterbags placem_collection'!G61="","",'WetLitterbags placem_collection'!G61)</f>
        <v>42820</v>
      </c>
      <c r="S134" s="194">
        <f>IFERROR(INDEX('Both teabags AfterWet'!$C$3:$C$2000,MATCH(H134,'Both teabags AfterWet'!$A$3:$A$2000,0)),"")</f>
        <v>0.88400000000000001</v>
      </c>
      <c r="T134" s="194">
        <f>IFERROR(INDEX('Both teabags AfterWet'!$C$3:$C$2000,MATCH(I134,'Both teabags AfterWet'!$A$3:$A$2000,0)),"")</f>
        <v>1.38</v>
      </c>
      <c r="U134" s="194">
        <f t="shared" si="7"/>
        <v>0.73340000000000005</v>
      </c>
      <c r="V134" s="194">
        <f t="shared" si="8"/>
        <v>1.2293999999999998</v>
      </c>
      <c r="W134" s="194">
        <f>IFERROR(INDEX('Ashed teabags wet'!$K$2:$K$2000,MATCH(H134,'Ashed teabags wet'!$A$2:$A$2000,0)),"")</f>
        <v>11.144278606964582</v>
      </c>
      <c r="X134" s="237">
        <f>IFERROR(INDEX('Ashed teabags wet'!$K$2:$K$2000,MATCH(I134,'Ashed teabags wet'!$A$2:$A$2000,0)),"")</f>
        <v>6.2753036437244685</v>
      </c>
      <c r="Y134" s="194">
        <f t="shared" si="14"/>
        <v>0.65166786069652183</v>
      </c>
      <c r="Z134" s="194">
        <f t="shared" si="9"/>
        <v>1.1522514170040512</v>
      </c>
      <c r="AA134" s="194">
        <f t="shared" si="10"/>
        <v>0.58204860846117312</v>
      </c>
      <c r="AB134" s="194">
        <f t="shared" si="11"/>
        <v>0.38158056041635108</v>
      </c>
      <c r="AC134" s="194">
        <f t="shared" si="2"/>
        <v>0.58166722521039171</v>
      </c>
      <c r="AD134">
        <f t="shared" si="3"/>
        <v>54</v>
      </c>
      <c r="AE134" s="194">
        <f t="shared" si="12"/>
        <v>0.30873086881095824</v>
      </c>
      <c r="AF134" s="194" t="str">
        <f t="shared" si="13"/>
        <v/>
      </c>
      <c r="AG134" s="252" t="str">
        <f>IF(ISNUMBER(SEARCH("C",'WetLitterbags placem_collection'!$X61)),"YES","NO")</f>
        <v>NO</v>
      </c>
      <c r="AH134" s="252" t="str">
        <f>IF(ISNUMBER(SEARCH("H", 'WetLitterbags placem_collection'!$X61)),"YES","NO")</f>
        <v>NO</v>
      </c>
      <c r="AI134" s="252" t="str">
        <f>IF(ISNUMBER(SEARCH("R", 'WetLitterbags placem_collection'!$X61)),"YES","NO")</f>
        <v>NO</v>
      </c>
      <c r="AJ134" s="252" t="str">
        <f>IF(ISNUMBER(SEARCH("C", 'WetLitterbags placem_collection'!$V61)),"YES","NO")</f>
        <v>NO</v>
      </c>
      <c r="AK134" s="252" t="str">
        <f>IF(ISNUMBER(SEARCH("H", 'WetLitterbags placem_collection'!$V61)),"YES","NO")</f>
        <v>NO</v>
      </c>
      <c r="AL134" s="252" t="str">
        <f>IF(ISNUMBER(SEARCH("R", 'WetLitterbags placem_collection'!$V61)),"YES","NO")</f>
        <v>NO</v>
      </c>
    </row>
    <row r="135" spans="2:38">
      <c r="B135" t="str">
        <f>'Final data_for_R_analysis_Wetse'!A61</f>
        <v>Wet</v>
      </c>
      <c r="C135" s="260">
        <f>'Final data_for_R_analysis_Wetse'!B61</f>
        <v>60</v>
      </c>
      <c r="D135" t="s">
        <v>3809</v>
      </c>
      <c r="E135" t="s">
        <v>22</v>
      </c>
      <c r="F135" s="382">
        <v>4</v>
      </c>
      <c r="G135" s="16">
        <f>'WetLitterbags placem_collection'!E62</f>
        <v>42766</v>
      </c>
      <c r="H135" t="str">
        <f>'Final data_for_R_analysis_Wetse'!K61</f>
        <v>G633</v>
      </c>
      <c r="I135" t="str">
        <f>'Final data_for_R_analysis_Wetse'!K281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4"/>
        <v>1.8132000000000001</v>
      </c>
      <c r="M135" s="194">
        <f>AVERAGE(Ashed_controlls!$K$2:$K$11)</f>
        <v>5.5147656768714146</v>
      </c>
      <c r="N135" s="194">
        <f t="shared" si="0"/>
        <v>1.7132062687469676</v>
      </c>
      <c r="O135" s="194">
        <f t="shared" si="5"/>
        <v>1.9702000000000002</v>
      </c>
      <c r="P135" s="194">
        <f>AVERAGE(Ashed_controlls!$K$12:$K$14)</f>
        <v>2.2816647271287041</v>
      </c>
      <c r="Q135" s="194">
        <f t="shared" si="6"/>
        <v>1.9252466415461105</v>
      </c>
      <c r="R135" s="16">
        <f>IF('WetLitterbags placem_collection'!G62="","",'WetLitterbags placem_collection'!G62)</f>
        <v>42820</v>
      </c>
      <c r="S135" s="194">
        <f>IFERROR(INDEX('Both teabags AfterWet'!$C$3:$C$2000,MATCH(H135,'Both teabags AfterWet'!$A$3:$A$2000,0)),"")</f>
        <v>0.874</v>
      </c>
      <c r="T135" s="194">
        <f>IFERROR(INDEX('Both teabags AfterWet'!$C$3:$C$2000,MATCH(I135,'Both teabags AfterWet'!$A$3:$A$2000,0)),"")</f>
        <v>1.665</v>
      </c>
      <c r="U135" s="194">
        <f t="shared" si="7"/>
        <v>0.72340000000000004</v>
      </c>
      <c r="V135" s="194">
        <f t="shared" si="8"/>
        <v>1.5144</v>
      </c>
      <c r="W135" s="194">
        <f>IFERROR(INDEX('Ashed teabags wet'!$K$2:$K$2000,MATCH(H135,'Ashed teabags wet'!$A$2:$A$2000,0)),"")</f>
        <v>12.827988338192315</v>
      </c>
      <c r="X135" s="237">
        <f>IFERROR(INDEX('Ashed teabags wet'!$K$2:$K$2000,MATCH(I135,'Ashed teabags wet'!$A$2:$A$2000,0)),"")</f>
        <v>5.8219178082196645</v>
      </c>
      <c r="Y135" s="194">
        <f t="shared" si="14"/>
        <v>0.63060233236151686</v>
      </c>
      <c r="Z135" s="194">
        <f t="shared" si="9"/>
        <v>1.4262328767123214</v>
      </c>
      <c r="AA135" s="194">
        <f t="shared" si="10"/>
        <v>0.63191686613268294</v>
      </c>
      <c r="AB135" s="194">
        <f t="shared" si="11"/>
        <v>0.41427328991121265</v>
      </c>
      <c r="AC135" s="194">
        <f t="shared" si="2"/>
        <v>0.74080527966378096</v>
      </c>
      <c r="AD135">
        <f t="shared" si="3"/>
        <v>54</v>
      </c>
      <c r="AE135" s="194">
        <f t="shared" si="12"/>
        <v>0.24950490958113658</v>
      </c>
      <c r="AF135" s="194">
        <f t="shared" si="13"/>
        <v>1.8196184956067306E-2</v>
      </c>
      <c r="AG135" s="252" t="str">
        <f>IF(ISNUMBER(SEARCH("C",'WetLitterbags placem_collection'!$X62)),"YES","NO")</f>
        <v>NO</v>
      </c>
      <c r="AH135" s="252" t="str">
        <f>IF(ISNUMBER(SEARCH("H", 'WetLitterbags placem_collection'!$X62)),"YES","NO")</f>
        <v>NO</v>
      </c>
      <c r="AI135" s="252" t="str">
        <f>IF(ISNUMBER(SEARCH("R", 'WetLitterbags placem_collection'!$X62)),"YES","NO")</f>
        <v>NO</v>
      </c>
      <c r="AJ135" s="252" t="str">
        <f>IF(ISNUMBER(SEARCH("C", 'WetLitterbags placem_collection'!$V62)),"YES","NO")</f>
        <v>NO</v>
      </c>
      <c r="AK135" s="252" t="str">
        <f>IF(ISNUMBER(SEARCH("H", 'WetLitterbags placem_collection'!$V62)),"YES","NO")</f>
        <v>NO</v>
      </c>
      <c r="AL135" s="252" t="str">
        <f>IF(ISNUMBER(SEARCH("R", 'WetLitterbags placem_collection'!$V62)),"YES","NO")</f>
        <v>YES</v>
      </c>
    </row>
    <row r="136" spans="2:38">
      <c r="B136" t="str">
        <f>'Final data_for_R_analysis_Wetse'!A62</f>
        <v>Wet</v>
      </c>
      <c r="C136" s="260">
        <f>'Final data_for_R_analysis_Wetse'!B62</f>
        <v>61</v>
      </c>
      <c r="D136" t="s">
        <v>3809</v>
      </c>
      <c r="E136" t="s">
        <v>22</v>
      </c>
      <c r="F136" s="382">
        <v>5</v>
      </c>
      <c r="G136" s="16">
        <f>'WetLitterbags placem_collection'!E63</f>
        <v>42766</v>
      </c>
      <c r="H136" t="str">
        <f>'Final data_for_R_analysis_Wetse'!K62</f>
        <v>G541</v>
      </c>
      <c r="I136" t="str">
        <f>'Final data_for_R_analysis_Wetse'!K282</f>
        <v>R42</v>
      </c>
      <c r="J136">
        <f>IFERROR(INDEX('Green_rooibos initial weight'!$C$5:$C$2000,MATCH(H136, 'Green_rooibos initial weight'!$A$5:$A$2000,0)),"")</f>
        <v>1.978</v>
      </c>
      <c r="K136">
        <f>IFERROR(INDEX('Green_rooibos initial weight'!$C$5:$C$2000,MATCH(I136, 'Green_rooibos initial weight'!$A$5:$A$2000,0)),"")</f>
        <v>2.2389999999999999</v>
      </c>
      <c r="L136" s="194">
        <f t="shared" si="4"/>
        <v>1.7282</v>
      </c>
      <c r="M136" s="194">
        <f>AVERAGE(Ashed_controlls!$K$2:$K$11)</f>
        <v>5.5147656768714146</v>
      </c>
      <c r="N136" s="194">
        <f t="shared" si="0"/>
        <v>1.6328938195723082</v>
      </c>
      <c r="O136" s="194">
        <f t="shared" si="5"/>
        <v>1.9891999999999999</v>
      </c>
      <c r="P136" s="194">
        <f>AVERAGE(Ashed_controlls!$K$12:$K$14)</f>
        <v>2.2816647271287041</v>
      </c>
      <c r="Q136" s="194">
        <f t="shared" si="6"/>
        <v>1.9438131252479556</v>
      </c>
      <c r="R136" s="16">
        <f>IF('WetLitterbags placem_collection'!G63="","",'WetLitterbags placem_collection'!G63)</f>
        <v>42820</v>
      </c>
      <c r="S136" s="194">
        <f>IFERROR(INDEX('Both teabags AfterWet'!$C$3:$C$2000,MATCH(H136,'Both teabags AfterWet'!$A$3:$A$2000,0)),"")</f>
        <v>0.78600000000000003</v>
      </c>
      <c r="T136" s="194">
        <f>IFERROR(INDEX('Both teabags AfterWet'!$C$3:$C$2000,MATCH(I136,'Both teabags AfterWet'!$A$3:$A$2000,0)),"")</f>
        <v>0.182</v>
      </c>
      <c r="U136" s="194">
        <f t="shared" si="7"/>
        <v>0.63539999999999996</v>
      </c>
      <c r="V136" s="194">
        <f t="shared" si="8"/>
        <v>3.1399999999999983E-2</v>
      </c>
      <c r="W136" s="194">
        <f>IFERROR(INDEX('Ashed teabags wet'!$K$2:$K$2000,MATCH(H136,'Ashed teabags wet'!$A$2:$A$2000,0)),"")</f>
        <v>12.728194726166139</v>
      </c>
      <c r="X136" s="237">
        <f>IFERROR(INDEX('Ashed teabags wet'!$K$2:$K$2000,MATCH(I136,'Ashed teabags wet'!$A$2:$A$2000,0)),"")</f>
        <v>0</v>
      </c>
      <c r="Y136" s="194">
        <f t="shared" si="14"/>
        <v>0.55452505070994029</v>
      </c>
      <c r="Z136" s="194">
        <f t="shared" si="9"/>
        <v>3.1399999999999983E-2</v>
      </c>
      <c r="AA136" s="194">
        <f t="shared" si="10"/>
        <v>0.66040348486640554</v>
      </c>
      <c r="AB136" s="194">
        <f t="shared" si="11"/>
        <v>0.43294860290529202</v>
      </c>
      <c r="AC136" s="194">
        <f t="shared" si="2"/>
        <v>1.6153816224486372E-2</v>
      </c>
      <c r="AD136">
        <f t="shared" si="3"/>
        <v>54</v>
      </c>
      <c r="AE136" s="194">
        <f t="shared" si="12"/>
        <v>0.21567282082374639</v>
      </c>
      <c r="AF136" s="194" t="str">
        <f t="shared" si="13"/>
        <v/>
      </c>
      <c r="AG136" s="252" t="str">
        <f>IF(ISNUMBER(SEARCH("C",'WetLitterbags placem_collection'!$X63)),"YES","NO")</f>
        <v>NO</v>
      </c>
      <c r="AH136" s="252" t="str">
        <f>IF(ISNUMBER(SEARCH("H", 'WetLitterbags placem_collection'!$X63)),"YES","NO")</f>
        <v>NO</v>
      </c>
      <c r="AI136" s="252" t="str">
        <f>IF(ISNUMBER(SEARCH("R", 'WetLitterbags placem_collection'!$X63)),"YES","NO")</f>
        <v>YES</v>
      </c>
      <c r="AJ136" s="252" t="str">
        <f>IF(ISNUMBER(SEARCH("C", 'WetLitterbags placem_collection'!$V63)),"YES","NO")</f>
        <v>YES</v>
      </c>
      <c r="AK136" s="252" t="str">
        <f>IF(ISNUMBER(SEARCH("H", 'WetLitterbags placem_collection'!$V63)),"YES","NO")</f>
        <v>YES</v>
      </c>
      <c r="AL136" s="252" t="str">
        <f>IF(ISNUMBER(SEARCH("R", 'WetLitterbags placem_collection'!$V63)),"YES","NO")</f>
        <v>NO</v>
      </c>
    </row>
    <row r="137" spans="2:38">
      <c r="B137" t="str">
        <f>'Final data_for_R_analysis_Wetse'!A63</f>
        <v>Wet</v>
      </c>
      <c r="C137" s="260">
        <f>'Final data_for_R_analysis_Wetse'!B63</f>
        <v>62</v>
      </c>
      <c r="D137" t="s">
        <v>3809</v>
      </c>
      <c r="E137" t="s">
        <v>22</v>
      </c>
      <c r="F137" s="382">
        <v>6</v>
      </c>
      <c r="G137" s="16">
        <f>'WetLitterbags placem_collection'!E64</f>
        <v>42766</v>
      </c>
      <c r="H137" t="str">
        <f>'Final data_for_R_analysis_Wetse'!K63</f>
        <v>G565</v>
      </c>
      <c r="I137" t="str">
        <f>'Final data_for_R_analysis_Wetse'!K283</f>
        <v>R119</v>
      </c>
      <c r="J137">
        <f>IFERROR(INDEX('Green_rooibos initial weight'!$C$5:$C$2000,MATCH(H137, 'Green_rooibos initial weight'!$A$5:$A$2000,0)),"")</f>
        <v>2.109</v>
      </c>
      <c r="K137">
        <f>IFERROR(INDEX('Green_rooibos initial weight'!$C$5:$C$2000,MATCH(I137, 'Green_rooibos initial weight'!$A$5:$A$2000,0)),"")</f>
        <v>2.1589999999999998</v>
      </c>
      <c r="L137" s="194">
        <f t="shared" si="4"/>
        <v>1.8592</v>
      </c>
      <c r="M137" s="194">
        <f>AVERAGE(Ashed_controlls!$K$2:$K$11)</f>
        <v>5.5147656768714146</v>
      </c>
      <c r="N137" s="194">
        <f t="shared" si="0"/>
        <v>1.7566694765356066</v>
      </c>
      <c r="O137" s="194">
        <f t="shared" si="5"/>
        <v>1.9091999999999998</v>
      </c>
      <c r="P137" s="194">
        <f>AVERAGE(Ashed_controlls!$K$12:$K$14)</f>
        <v>2.2816647271287041</v>
      </c>
      <c r="Q137" s="194">
        <f t="shared" si="6"/>
        <v>1.8656384570296585</v>
      </c>
      <c r="R137" s="16">
        <f>IF('WetLitterbags placem_collection'!G64="","",'WetLitterbags placem_collection'!G64)</f>
        <v>42820</v>
      </c>
      <c r="S137" s="194">
        <f>IFERROR(INDEX('Both teabags AfterWet'!$C$3:$C$2000,MATCH(H137,'Both teabags AfterWet'!$A$3:$A$2000,0)),"")</f>
        <v>0.9224</v>
      </c>
      <c r="T137" s="194">
        <f>IFERROR(INDEX('Both teabags AfterWet'!$C$3:$C$2000,MATCH(I137,'Both teabags AfterWet'!$A$3:$A$2000,0)),"")</f>
        <v>1.6374</v>
      </c>
      <c r="U137" s="194">
        <f t="shared" si="7"/>
        <v>0.77180000000000004</v>
      </c>
      <c r="V137" s="194">
        <f t="shared" si="8"/>
        <v>1.4867999999999999</v>
      </c>
      <c r="W137" s="194">
        <f>IFERROR(INDEX('Ashed teabags wet'!$K$2:$K$2000,MATCH(H137,'Ashed teabags wet'!$A$2:$A$2000,0)),"")</f>
        <v>20.729927007299029</v>
      </c>
      <c r="X137" s="237">
        <f>IFERROR(INDEX('Ashed teabags wet'!$K$2:$K$2000,MATCH(I137,'Ashed teabags wet'!$A$2:$A$2000,0)),"")</f>
        <v>8.4343434343433188</v>
      </c>
      <c r="Y137" s="194">
        <f t="shared" si="14"/>
        <v>0.61180642335766611</v>
      </c>
      <c r="Z137" s="194">
        <f t="shared" si="9"/>
        <v>1.3613981818181835</v>
      </c>
      <c r="AA137" s="194">
        <f t="shared" si="10"/>
        <v>0.65172365574186875</v>
      </c>
      <c r="AB137" s="194">
        <f t="shared" si="11"/>
        <v>0.42725826362174774</v>
      </c>
      <c r="AC137" s="194">
        <f t="shared" si="2"/>
        <v>0.72972240505039132</v>
      </c>
      <c r="AD137">
        <f t="shared" si="3"/>
        <v>54</v>
      </c>
      <c r="AE137" s="194">
        <f t="shared" si="12"/>
        <v>0.22598140648234111</v>
      </c>
      <c r="AF137" s="194">
        <f t="shared" si="13"/>
        <v>1.8541962869228715E-2</v>
      </c>
      <c r="AG137" s="252" t="str">
        <f>IF(ISNUMBER(SEARCH("C",'WetLitterbags placem_collection'!$X64)),"YES","NO")</f>
        <v>NO</v>
      </c>
      <c r="AH137" s="252" t="str">
        <f>IF(ISNUMBER(SEARCH("H", 'WetLitterbags placem_collection'!$X64)),"YES","NO")</f>
        <v>NO</v>
      </c>
      <c r="AI137" s="252" t="str">
        <f>IF(ISNUMBER(SEARCH("R", 'WetLitterbags placem_collection'!$X64)),"YES","NO")</f>
        <v>NO</v>
      </c>
      <c r="AJ137" s="252" t="str">
        <f>IF(ISNUMBER(SEARCH("C", 'WetLitterbags placem_collection'!$V64)),"YES","NO")</f>
        <v>NO</v>
      </c>
      <c r="AK137" s="252" t="str">
        <f>IF(ISNUMBER(SEARCH("H", 'WetLitterbags placem_collection'!$V64)),"YES","NO")</f>
        <v>YES</v>
      </c>
      <c r="AL137" s="252" t="str">
        <f>IF(ISNUMBER(SEARCH("R", 'WetLitterbags placem_collection'!$V64)),"YES","NO")</f>
        <v>NO</v>
      </c>
    </row>
    <row r="138" spans="2:38">
      <c r="B138" t="str">
        <f>'Final data_for_R_analysis_Wetse'!A64</f>
        <v>Wet</v>
      </c>
      <c r="C138" s="260">
        <f>'Final data_for_R_analysis_Wetse'!B64</f>
        <v>63</v>
      </c>
      <c r="D138" t="s">
        <v>3809</v>
      </c>
      <c r="E138" t="s">
        <v>22</v>
      </c>
      <c r="F138" s="382">
        <v>7</v>
      </c>
      <c r="G138" s="16">
        <f>'WetLitterbags placem_collection'!E65</f>
        <v>42766</v>
      </c>
      <c r="H138" t="str">
        <f>'Final data_for_R_analysis_Wetse'!K64</f>
        <v>G387</v>
      </c>
      <c r="I138" t="str">
        <f>'Final data_for_R_analysis_Wetse'!K284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4"/>
        <v>1.7641999999999998</v>
      </c>
      <c r="M138" s="194">
        <f>AVERAGE(Ashed_controlls!$K$2:$K$11)</f>
        <v>5.5147656768714146</v>
      </c>
      <c r="N138" s="194">
        <f t="shared" si="0"/>
        <v>1.6669085039286342</v>
      </c>
      <c r="O138" s="194">
        <f t="shared" si="5"/>
        <v>2.0411999999999999</v>
      </c>
      <c r="P138" s="194">
        <f>AVERAGE(Ashed_controlls!$K$12:$K$14)</f>
        <v>2.2816647271287041</v>
      </c>
      <c r="Q138" s="194">
        <f t="shared" si="6"/>
        <v>1.9946266595898487</v>
      </c>
      <c r="R138" s="16">
        <f>IF('WetLitterbags placem_collection'!G65="","",'WetLitterbags placem_collection'!G65)</f>
        <v>42820</v>
      </c>
      <c r="S138" s="194">
        <f>IFERROR(INDEX('Both teabags AfterWet'!$C$3:$C$2000,MATCH(H138,'Both teabags AfterWet'!$A$3:$A$2000,0)),"")</f>
        <v>1.083</v>
      </c>
      <c r="T138" s="194">
        <f>IFERROR(INDEX('Both teabags AfterWet'!$C$3:$C$2000,MATCH(I138,'Both teabags AfterWet'!$A$3:$A$2000,0)),"")</f>
        <v>1.6850000000000001</v>
      </c>
      <c r="U138" s="194">
        <f t="shared" si="7"/>
        <v>0.9323999999999999</v>
      </c>
      <c r="V138" s="194">
        <f t="shared" si="8"/>
        <v>1.5344</v>
      </c>
      <c r="W138" s="194">
        <f>IFERROR(INDEX('Ashed teabags wet'!$K$2:$K$2000,MATCH(H138,'Ashed teabags wet'!$A$2:$A$2000,0)),"")</f>
        <v>20.515313563441481</v>
      </c>
      <c r="X138" s="237">
        <f>IFERROR(INDEX('Ashed teabags wet'!$K$2:$K$2000,MATCH(I138,'Ashed teabags wet'!$A$2:$A$2000,0)),"")</f>
        <v>8.6122047244091302</v>
      </c>
      <c r="Y138" s="194">
        <f t="shared" si="14"/>
        <v>0.74111521633447153</v>
      </c>
      <c r="Z138" s="194">
        <f t="shared" si="9"/>
        <v>1.4022543307086663</v>
      </c>
      <c r="AA138" s="194">
        <f t="shared" si="10"/>
        <v>0.5553953833772024</v>
      </c>
      <c r="AB138" s="194">
        <f t="shared" si="11"/>
        <v>0.36410718720215651</v>
      </c>
      <c r="AC138" s="194">
        <f t="shared" si="2"/>
        <v>0.70301593732684253</v>
      </c>
      <c r="AD138">
        <f t="shared" si="3"/>
        <v>54</v>
      </c>
      <c r="AE138" s="194">
        <f t="shared" si="12"/>
        <v>0.34038553043087594</v>
      </c>
      <c r="AF138" s="194">
        <f t="shared" si="13"/>
        <v>3.1313327447470805E-2</v>
      </c>
      <c r="AG138" s="252" t="str">
        <f>IF(ISNUMBER(SEARCH("C",'WetLitterbags placem_collection'!$X65)),"YES","NO")</f>
        <v>NO</v>
      </c>
      <c r="AH138" s="252" t="str">
        <f>IF(ISNUMBER(SEARCH("H", 'WetLitterbags placem_collection'!$X65)),"YES","NO")</f>
        <v>NO</v>
      </c>
      <c r="AI138" s="252" t="str">
        <f>IF(ISNUMBER(SEARCH("R", 'WetLitterbags placem_collection'!$X65)),"YES","NO")</f>
        <v>YES</v>
      </c>
      <c r="AJ138" s="252" t="str">
        <f>IF(ISNUMBER(SEARCH("C", 'WetLitterbags placem_collection'!$V65)),"YES","NO")</f>
        <v>NO</v>
      </c>
      <c r="AK138" s="252" t="str">
        <f>IF(ISNUMBER(SEARCH("H", 'WetLitterbags placem_collection'!$V65)),"YES","NO")</f>
        <v>NO</v>
      </c>
      <c r="AL138" s="252" t="str">
        <f>IF(ISNUMBER(SEARCH("R", 'WetLitterbags placem_collection'!$V65)),"YES","NO")</f>
        <v>YES</v>
      </c>
    </row>
    <row r="139" spans="2:38">
      <c r="B139" t="str">
        <f>'Final data_for_R_analysis_Wetse'!A65</f>
        <v>Wet</v>
      </c>
      <c r="C139" s="260">
        <f>'Final data_for_R_analysis_Wetse'!B65</f>
        <v>64</v>
      </c>
      <c r="D139" t="s">
        <v>3809</v>
      </c>
      <c r="E139" t="s">
        <v>22</v>
      </c>
      <c r="F139" s="382">
        <v>8</v>
      </c>
      <c r="G139" s="16">
        <f>'WetLitterbags placem_collection'!E66</f>
        <v>42766</v>
      </c>
      <c r="H139" t="str">
        <f>'Final data_for_R_analysis_Wetse'!K65</f>
        <v>G554</v>
      </c>
      <c r="I139" t="str">
        <f>'Final data_for_R_analysis_Wetse'!K285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4"/>
        <v>1.8342000000000001</v>
      </c>
      <c r="M139" s="194">
        <f>AVERAGE(Ashed_controlls!$K$2:$K$11)</f>
        <v>5.5147656768714146</v>
      </c>
      <c r="N139" s="194">
        <f t="shared" si="0"/>
        <v>1.7330481679548246</v>
      </c>
      <c r="O139" s="194">
        <f t="shared" si="5"/>
        <v>2.0432000000000001</v>
      </c>
      <c r="P139" s="194">
        <f>AVERAGE(Ashed_controlls!$K$12:$K$14)</f>
        <v>2.2816647271287041</v>
      </c>
      <c r="Q139" s="194">
        <f t="shared" si="6"/>
        <v>1.9965810262953065</v>
      </c>
      <c r="R139" s="16">
        <f>IF('WetLitterbags placem_collection'!G66="","",'WetLitterbags placem_collection'!G66)</f>
        <v>42820</v>
      </c>
      <c r="S139" s="194">
        <f>IFERROR(INDEX('Both teabags AfterWet'!$C$3:$C$2000,MATCH(H139,'Both teabags AfterWet'!$A$3:$A$2000,0)),"")</f>
        <v>1.29</v>
      </c>
      <c r="T139" s="194">
        <f>IFERROR(INDEX('Both teabags AfterWet'!$C$3:$C$2000,MATCH(I139,'Both teabags AfterWet'!$A$3:$A$2000,0)),"")</f>
        <v>1.3160000000000001</v>
      </c>
      <c r="U139" s="194">
        <f t="shared" si="7"/>
        <v>1.1394</v>
      </c>
      <c r="V139" s="194">
        <f t="shared" si="8"/>
        <v>1.1654</v>
      </c>
      <c r="W139" s="194">
        <f>IFERROR(INDEX('Ashed teabags wet'!$K$2:$K$2000,MATCH(H139,'Ashed teabags wet'!$A$2:$A$2000,0)),"")</f>
        <v>36.815920398009624</v>
      </c>
      <c r="X139" s="237">
        <f>IFERROR(INDEX('Ashed teabags wet'!$K$2:$K$2000,MATCH(I139,'Ashed teabags wet'!$A$2:$A$2000,0)),"")</f>
        <v>82.454411039920885</v>
      </c>
      <c r="Y139" s="194">
        <f t="shared" si="14"/>
        <v>0.71991940298507839</v>
      </c>
      <c r="Z139" s="194">
        <f t="shared" si="9"/>
        <v>0.20447629374076204</v>
      </c>
      <c r="AA139" s="194">
        <f t="shared" si="10"/>
        <v>0.58459354085082504</v>
      </c>
      <c r="AB139" s="194">
        <f t="shared" si="11"/>
        <v>0.38324897214923453</v>
      </c>
      <c r="AC139" s="194">
        <f t="shared" si="2"/>
        <v>0.10241322092505889</v>
      </c>
      <c r="AD139">
        <f t="shared" si="3"/>
        <v>54</v>
      </c>
      <c r="AE139" s="194">
        <f t="shared" si="12"/>
        <v>0.30570838378761866</v>
      </c>
      <c r="AF139" s="194" t="str">
        <f t="shared" si="13"/>
        <v/>
      </c>
      <c r="AG139" s="252" t="str">
        <f>IF(ISNUMBER(SEARCH("C",'WetLitterbags placem_collection'!$X66)),"YES","NO")</f>
        <v>NO</v>
      </c>
      <c r="AH139" s="252" t="str">
        <f>IF(ISNUMBER(SEARCH("H", 'WetLitterbags placem_collection'!$X66)),"YES","NO")</f>
        <v>NO</v>
      </c>
      <c r="AI139" s="252" t="str">
        <f>IF(ISNUMBER(SEARCH("R", 'WetLitterbags placem_collection'!$X66)),"YES","NO")</f>
        <v>NO</v>
      </c>
      <c r="AJ139" s="252" t="str">
        <f>IF(ISNUMBER(SEARCH("C", 'WetLitterbags placem_collection'!$V66)),"YES","NO")</f>
        <v>NO</v>
      </c>
      <c r="AK139" s="252" t="str">
        <f>IF(ISNUMBER(SEARCH("H", 'WetLitterbags placem_collection'!$V66)),"YES","NO")</f>
        <v>YES</v>
      </c>
      <c r="AL139" s="252" t="str">
        <f>IF(ISNUMBER(SEARCH("R", 'WetLitterbags placem_collection'!$V66)),"YES","NO")</f>
        <v>YES</v>
      </c>
    </row>
    <row r="140" spans="2:38">
      <c r="B140" t="str">
        <f>'Final data_for_R_analysis_Wetse'!A66</f>
        <v>Wet</v>
      </c>
      <c r="C140" s="260">
        <f>'Final data_for_R_analysis_Wetse'!B66</f>
        <v>65</v>
      </c>
      <c r="D140" t="s">
        <v>3810</v>
      </c>
      <c r="E140" t="s">
        <v>22</v>
      </c>
      <c r="F140" s="381">
        <v>1</v>
      </c>
      <c r="G140" s="16">
        <f>'WetLitterbags placem_collection'!E67</f>
        <v>42767</v>
      </c>
      <c r="H140" t="str">
        <f>'Final data_for_R_analysis_Wetse'!K66</f>
        <v>G614</v>
      </c>
      <c r="I140" t="str">
        <f>'Final data_for_R_analysis_Wetse'!K286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4"/>
        <v>1.9211999999999998</v>
      </c>
      <c r="M140" s="194">
        <f>AVERAGE(Ashed_controlls!$K$2:$K$11)</f>
        <v>5.5147656768714146</v>
      </c>
      <c r="N140" s="194">
        <f t="shared" ref="N140:N203" si="15">IFERROR(L140-(M140/100)*L140,"")</f>
        <v>1.8152503218159461</v>
      </c>
      <c r="O140" s="194">
        <f t="shared" si="5"/>
        <v>1.8971999999999998</v>
      </c>
      <c r="P140" s="194">
        <f>AVERAGE(Ashed_controlls!$K$12:$K$14)</f>
        <v>2.2816647271287041</v>
      </c>
      <c r="Q140" s="194">
        <f t="shared" si="6"/>
        <v>1.853912256796914</v>
      </c>
      <c r="R140" s="16">
        <f>IF('WetLitterbags placem_collection'!G67="","",'WetLitterbags placem_collection'!G67)</f>
        <v>42818</v>
      </c>
      <c r="S140" s="194">
        <f>IFERROR(INDEX('Both teabags AfterWet'!$C$3:$C$2000,MATCH(H140,'Both teabags AfterWet'!$A$3:$A$2000,0)),"")</f>
        <v>0.96099999999999997</v>
      </c>
      <c r="T140" s="194">
        <f>IFERROR(INDEX('Both teabags AfterWet'!$C$3:$C$2000,MATCH(I140,'Both teabags AfterWet'!$A$3:$A$2000,0)),"")</f>
        <v>1.704</v>
      </c>
      <c r="U140" s="194">
        <f t="shared" si="7"/>
        <v>0.81040000000000001</v>
      </c>
      <c r="V140" s="194">
        <f t="shared" si="8"/>
        <v>1.5533999999999999</v>
      </c>
      <c r="W140" s="194">
        <f>IFERROR(INDEX('Ashed teabags wet'!$K$2:$K$2000,MATCH(H140,'Ashed teabags wet'!$A$2:$A$2000,0)),"")</f>
        <v>15.67460317460233</v>
      </c>
      <c r="X140" s="237">
        <f>IFERROR(INDEX('Ashed teabags wet'!$K$2:$K$2000,MATCH(I140,'Ashed teabags wet'!$A$2:$A$2000,0)),"")</f>
        <v>3.9941548952748618</v>
      </c>
      <c r="Y140" s="194">
        <f t="shared" si="14"/>
        <v>0.68337301587302268</v>
      </c>
      <c r="Z140" s="194">
        <f t="shared" si="9"/>
        <v>1.4913547978568003</v>
      </c>
      <c r="AA140" s="194">
        <f t="shared" si="10"/>
        <v>0.62353786270678757</v>
      </c>
      <c r="AB140" s="194">
        <f t="shared" si="11"/>
        <v>0.4087801665251149</v>
      </c>
      <c r="AC140" s="194">
        <f t="shared" ref="AC140:AC203" si="16">IFERROR(Z140/Q140,"")</f>
        <v>0.80443655970724293</v>
      </c>
      <c r="AD140">
        <f t="shared" ref="AD140:AD203" si="17">IFERROR(IF((R140-G140)&gt;0,(IFERROR(R140-G140,"")),""),"")</f>
        <v>51</v>
      </c>
      <c r="AE140" s="194">
        <f t="shared" si="12"/>
        <v>0.25945622006319768</v>
      </c>
      <c r="AF140" s="194">
        <f t="shared" si="13"/>
        <v>1.2762125076915515E-2</v>
      </c>
      <c r="AG140" s="252" t="str">
        <f>IF(ISNUMBER(SEARCH("C",'WetLitterbags placem_collection'!$X67)),"YES","NO")</f>
        <v>NO</v>
      </c>
      <c r="AH140" s="252" t="str">
        <f>IF(ISNUMBER(SEARCH("H", 'WetLitterbags placem_collection'!$X67)),"YES","NO")</f>
        <v>NO</v>
      </c>
      <c r="AI140" s="252" t="str">
        <f>IF(ISNUMBER(SEARCH("R", 'WetLitterbags placem_collection'!$X67)),"YES","NO")</f>
        <v>YES</v>
      </c>
      <c r="AJ140" s="252" t="str">
        <f>IF(ISNUMBER(SEARCH("C", 'WetLitterbags placem_collection'!$V67)),"YES","NO")</f>
        <v>NO</v>
      </c>
      <c r="AK140" s="252" t="str">
        <f>IF(ISNUMBER(SEARCH("H", 'WetLitterbags placem_collection'!$V67)),"YES","NO")</f>
        <v>NO</v>
      </c>
      <c r="AL140" s="252" t="str">
        <f>IF(ISNUMBER(SEARCH("R", 'WetLitterbags placem_collection'!$V67)),"YES","NO")</f>
        <v>YES</v>
      </c>
    </row>
    <row r="141" spans="2:38">
      <c r="B141" t="str">
        <f>'Final data_for_R_analysis_Wetse'!A67</f>
        <v>Wet</v>
      </c>
      <c r="C141" s="260">
        <f>'Final data_for_R_analysis_Wetse'!B67</f>
        <v>66</v>
      </c>
      <c r="D141" t="s">
        <v>3810</v>
      </c>
      <c r="E141" t="s">
        <v>22</v>
      </c>
      <c r="F141" s="381">
        <v>2</v>
      </c>
      <c r="G141" s="16">
        <f>'WetLitterbags placem_collection'!E68</f>
        <v>42767</v>
      </c>
      <c r="H141" t="str">
        <f>'Final data_for_R_analysis_Wetse'!K67</f>
        <v>G282</v>
      </c>
      <c r="I141" t="str">
        <f>'Final data_for_R_analysis_Wetse'!K287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8">IF(J141&gt;0,(J141*$F$31-($F$29+$F$30)),"")</f>
        <v>1.7232000000000001</v>
      </c>
      <c r="M141" s="194">
        <f>AVERAGE(Ashed_controlls!$K$2:$K$11)</f>
        <v>5.5147656768714146</v>
      </c>
      <c r="N141" s="194">
        <f t="shared" si="15"/>
        <v>1.6281695578561519</v>
      </c>
      <c r="O141" s="194">
        <f t="shared" ref="O141:O204" si="19">IF(K141&gt;0,(K141*$F$32-($F$29+$F$30)),"")</f>
        <v>1.8971999999999998</v>
      </c>
      <c r="P141" s="194">
        <f>AVERAGE(Ashed_controlls!$K$12:$K$14)</f>
        <v>2.2816647271287041</v>
      </c>
      <c r="Q141" s="194">
        <f t="shared" ref="Q141:Q204" si="20">IFERROR(O141-(P141/100)*O141,"")</f>
        <v>1.853912256796914</v>
      </c>
      <c r="R141" s="16">
        <f>IF('WetLitterbags placem_collection'!G68="","",'WetLitterbags placem_collection'!G68)</f>
        <v>42818</v>
      </c>
      <c r="S141" s="194">
        <f>IFERROR(INDEX('Both teabags AfterWet'!$C$3:$C$2000,MATCH(H141,'Both teabags AfterWet'!$A$3:$A$2000,0)),"")</f>
        <v>1.1456</v>
      </c>
      <c r="T141" s="194">
        <f>IFERROR(INDEX('Both teabags AfterWet'!$C$3:$C$2000,MATCH(I141,'Both teabags AfterWet'!$A$3:$A$2000,0)),"")</f>
        <v>0.21360000000000001</v>
      </c>
      <c r="U141" s="194">
        <f t="shared" ref="U141:U204" si="21">IFERROR(IF(S141&gt;0,S141-($F$29),""),"")</f>
        <v>0.99499999999999988</v>
      </c>
      <c r="V141" s="194">
        <f t="shared" ref="V141:V204" si="22">IFERROR(IF(T141&gt;0,T141-($F$29),""),"")</f>
        <v>6.3E-2</v>
      </c>
      <c r="W141" s="194">
        <f>IFERROR(INDEX('Ashed teabags wet'!$K$2:$K$2000,MATCH(H141,'Ashed teabags wet'!$A$2:$A$2000,0)),"")</f>
        <v>31.190019193858088</v>
      </c>
      <c r="X141" s="237" t="str">
        <f>IFERROR(INDEX('Ashed teabags wet'!$K$2:$K$2000,MATCH(I141,'Ashed teabags wet'!$A$2:$A$2000,0)),"")</f>
        <v/>
      </c>
      <c r="Y141" s="194">
        <f t="shared" si="14"/>
        <v>0.68465930902111194</v>
      </c>
      <c r="Z141" s="194" t="str">
        <f t="shared" si="14"/>
        <v/>
      </c>
      <c r="AA141" s="194">
        <f t="shared" ref="AA141:AA204" si="23">IFERROR(1-Y141/N141,"")</f>
        <v>0.57949139528034266</v>
      </c>
      <c r="AB141" s="194">
        <f t="shared" ref="AB141:AB204" si="24">IFERROR($F$26*(1-AE141),"")</f>
        <v>0.37990409761846694</v>
      </c>
      <c r="AC141" s="194" t="str">
        <f t="shared" si="16"/>
        <v/>
      </c>
      <c r="AD141">
        <f t="shared" si="17"/>
        <v>51</v>
      </c>
      <c r="AE141" s="194">
        <f t="shared" ref="AE141:AE204" si="25">IFERROR(1-(AA141/$F$25),"")</f>
        <v>0.3117679390969802</v>
      </c>
      <c r="AF141" s="194" t="str">
        <f t="shared" ref="AF141:AF204" si="26">IFERROR(LN(AB141/(AC141-(1-AB141)))/AD141,"")</f>
        <v/>
      </c>
      <c r="AG141" s="252" t="str">
        <f>IF(ISNUMBER(SEARCH("C",'WetLitterbags placem_collection'!$X68)),"YES","NO")</f>
        <v>NO</v>
      </c>
      <c r="AH141" s="252" t="str">
        <f>IF(ISNUMBER(SEARCH("H", 'WetLitterbags placem_collection'!$X68)),"YES","NO")</f>
        <v>NO</v>
      </c>
      <c r="AI141" s="252" t="str">
        <f>IF(ISNUMBER(SEARCH("R", 'WetLitterbags placem_collection'!$X68)),"YES","NO")</f>
        <v>YES</v>
      </c>
      <c r="AJ141" s="252" t="str">
        <f>IF(ISNUMBER(SEARCH("C", 'WetLitterbags placem_collection'!$V68)),"YES","NO")</f>
        <v>NO</v>
      </c>
      <c r="AK141" s="252" t="str">
        <f>IF(ISNUMBER(SEARCH("H", 'WetLitterbags placem_collection'!$V68)),"YES","NO")</f>
        <v>NO</v>
      </c>
      <c r="AL141" s="252" t="str">
        <f>IF(ISNUMBER(SEARCH("R", 'WetLitterbags placem_collection'!$V68)),"YES","NO")</f>
        <v>YES</v>
      </c>
    </row>
    <row r="142" spans="2:38">
      <c r="B142" t="str">
        <f>'Final data_for_R_analysis_Wetse'!A68</f>
        <v>Wet</v>
      </c>
      <c r="C142" s="260">
        <f>'Final data_for_R_analysis_Wetse'!B68</f>
        <v>67</v>
      </c>
      <c r="D142" t="s">
        <v>3810</v>
      </c>
      <c r="E142" t="s">
        <v>22</v>
      </c>
      <c r="F142" s="381">
        <v>3</v>
      </c>
      <c r="G142" s="16">
        <f>'WetLitterbags placem_collection'!E69</f>
        <v>42767</v>
      </c>
      <c r="H142" t="str">
        <f>'Final data_for_R_analysis_Wetse'!K68</f>
        <v>G450</v>
      </c>
      <c r="I142" t="str">
        <f>'Final data_for_R_analysis_Wetse'!K288</f>
        <v>R165</v>
      </c>
      <c r="J142">
        <f>IFERROR(INDEX('Green_rooibos initial weight'!$C$5:$C$2000,MATCH(H142, 'Green_rooibos initial weight'!$A$5:$A$2000,0)),"")</f>
        <v>2.1629999999999998</v>
      </c>
      <c r="K142">
        <f>IFERROR(INDEX('Green_rooibos initial weight'!$C$5:$C$2000,MATCH(I142, 'Green_rooibos initial weight'!$A$5:$A$2000,0)),"")</f>
        <v>2.169</v>
      </c>
      <c r="L142" s="194">
        <f t="shared" si="18"/>
        <v>1.9131999999999998</v>
      </c>
      <c r="M142" s="194">
        <f>AVERAGE(Ashed_controlls!$K$2:$K$11)</f>
        <v>5.5147656768714146</v>
      </c>
      <c r="N142" s="194">
        <f t="shared" si="15"/>
        <v>1.807691503070096</v>
      </c>
      <c r="O142" s="194">
        <f t="shared" si="19"/>
        <v>1.9192</v>
      </c>
      <c r="P142" s="194">
        <f>AVERAGE(Ashed_controlls!$K$12:$K$14)</f>
        <v>2.2816647271287041</v>
      </c>
      <c r="Q142" s="194">
        <f t="shared" si="20"/>
        <v>1.8754102905569459</v>
      </c>
      <c r="R142" s="16">
        <f>IF('WetLitterbags placem_collection'!G69="","",'WetLitterbags placem_collection'!G69)</f>
        <v>42818</v>
      </c>
      <c r="S142" s="194">
        <f>IFERROR(INDEX('Both teabags AfterWet'!$C$3:$C$2000,MATCH(H142,'Both teabags AfterWet'!$A$3:$A$2000,0)),"")</f>
        <v>0.89059999999999995</v>
      </c>
      <c r="T142" s="194">
        <f>IFERROR(INDEX('Both teabags AfterWet'!$C$3:$C$2000,MATCH(I142,'Both teabags AfterWet'!$A$3:$A$2000,0)),"")</f>
        <v>1.4942</v>
      </c>
      <c r="U142" s="194">
        <f t="shared" si="21"/>
        <v>0.74</v>
      </c>
      <c r="V142" s="194">
        <f t="shared" si="22"/>
        <v>1.3435999999999999</v>
      </c>
      <c r="W142" s="194">
        <f>IFERROR(INDEX('Ashed teabags wet'!$K$2:$K$2000,MATCH(H142,'Ashed teabags wet'!$A$2:$A$2000,0)),"")</f>
        <v>13.860419716935581</v>
      </c>
      <c r="X142" s="237">
        <f>IFERROR(INDEX('Ashed teabags wet'!$K$2:$K$2000,MATCH(I142,'Ashed teabags wet'!$A$2:$A$2000,0)),"")</f>
        <v>4.9107142857138548</v>
      </c>
      <c r="Y142" s="194">
        <f t="shared" ref="Y142:Z205" si="27">IFERROR(U142-(W142/100)*U142,"")</f>
        <v>0.63743289409467674</v>
      </c>
      <c r="Z142" s="194">
        <f t="shared" si="27"/>
        <v>1.2776196428571485</v>
      </c>
      <c r="AA142" s="194">
        <f t="shared" si="23"/>
        <v>0.64737739099171976</v>
      </c>
      <c r="AB142" s="194">
        <f t="shared" si="24"/>
        <v>0.42440893091143628</v>
      </c>
      <c r="AC142" s="194">
        <f t="shared" si="16"/>
        <v>0.68124807104355289</v>
      </c>
      <c r="AD142">
        <f t="shared" si="17"/>
        <v>51</v>
      </c>
      <c r="AE142" s="194">
        <f t="shared" si="25"/>
        <v>0.23114324110247053</v>
      </c>
      <c r="AF142" s="194">
        <f t="shared" si="26"/>
        <v>2.7264694769776662E-2</v>
      </c>
      <c r="AG142" s="252" t="str">
        <f>IF(ISNUMBER(SEARCH("C",'WetLitterbags placem_collection'!$X69)),"YES","NO")</f>
        <v>NO</v>
      </c>
      <c r="AH142" s="252" t="str">
        <f>IF(ISNUMBER(SEARCH("H", 'WetLitterbags placem_collection'!$X69)),"YES","NO")</f>
        <v>NO</v>
      </c>
      <c r="AI142" s="252" t="str">
        <f>IF(ISNUMBER(SEARCH("R", 'WetLitterbags placem_collection'!$X69)),"YES","NO")</f>
        <v>YES</v>
      </c>
      <c r="AJ142" s="252" t="str">
        <f>IF(ISNUMBER(SEARCH("C", 'WetLitterbags placem_collection'!$V69)),"YES","NO")</f>
        <v>NO</v>
      </c>
      <c r="AK142" s="252" t="str">
        <f>IF(ISNUMBER(SEARCH("H", 'WetLitterbags placem_collection'!$V69)),"YES","NO")</f>
        <v>YES</v>
      </c>
      <c r="AL142" s="252" t="str">
        <f>IF(ISNUMBER(SEARCH("R", 'WetLitterbags placem_collection'!$V69)),"YES","NO")</f>
        <v>YES</v>
      </c>
    </row>
    <row r="143" spans="2:38">
      <c r="B143" t="str">
        <f>'Final data_for_R_analysis_Wetse'!A69</f>
        <v>Wet</v>
      </c>
      <c r="C143" s="260">
        <f>'Final data_for_R_analysis_Wetse'!B69</f>
        <v>68</v>
      </c>
      <c r="D143" t="s">
        <v>3810</v>
      </c>
      <c r="E143" t="s">
        <v>22</v>
      </c>
      <c r="F143" s="382">
        <v>4</v>
      </c>
      <c r="G143" s="16">
        <f>'WetLitterbags placem_collection'!E70</f>
        <v>42767</v>
      </c>
      <c r="H143" t="str">
        <f>'Final data_for_R_analysis_Wetse'!K69</f>
        <v>G269</v>
      </c>
      <c r="I143" t="str">
        <f>'Final data_for_R_analysis_Wetse'!K289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8"/>
        <v>1.7921999999999998</v>
      </c>
      <c r="M143" s="194">
        <f>AVERAGE(Ashed_controlls!$K$2:$K$11)</f>
        <v>5.5147656768714146</v>
      </c>
      <c r="N143" s="194">
        <f t="shared" si="15"/>
        <v>1.6933643695391103</v>
      </c>
      <c r="O143" s="194">
        <f t="shared" si="19"/>
        <v>2.0331999999999999</v>
      </c>
      <c r="P143" s="194">
        <f>AVERAGE(Ashed_controlls!$K$12:$K$14)</f>
        <v>2.2816647271287041</v>
      </c>
      <c r="Q143" s="194">
        <f t="shared" si="20"/>
        <v>1.9868091927680191</v>
      </c>
      <c r="R143" s="16">
        <f>IF('WetLitterbags placem_collection'!G70="","",'WetLitterbags placem_collection'!G70)</f>
        <v>42818</v>
      </c>
      <c r="S143" s="194">
        <f>IFERROR(INDEX('Both teabags AfterWet'!$C$3:$C$2000,MATCH(H143,'Both teabags AfterWet'!$A$3:$A$2000,0)),"")</f>
        <v>1.018</v>
      </c>
      <c r="T143" s="194">
        <f>IFERROR(INDEX('Both teabags AfterWet'!$C$3:$C$2000,MATCH(I143,'Both teabags AfterWet'!$A$3:$A$2000,0)),"")</f>
        <v>1.885</v>
      </c>
      <c r="U143" s="194">
        <f t="shared" si="21"/>
        <v>0.86739999999999995</v>
      </c>
      <c r="V143" s="194">
        <f t="shared" si="22"/>
        <v>1.7343999999999999</v>
      </c>
      <c r="W143" s="194">
        <f>IFERROR(INDEX('Ashed teabags wet'!$K$2:$K$2000,MATCH(H143,'Ashed teabags wet'!$A$2:$A$2000,0)),"")</f>
        <v>19.040626529613323</v>
      </c>
      <c r="X143" s="237">
        <f>IFERROR(INDEX('Ashed teabags wet'!$K$2:$K$2000,MATCH(I143,'Ashed teabags wet'!$A$2:$A$2000,0)),"")</f>
        <v>14.637752587481726</v>
      </c>
      <c r="Y143" s="194">
        <f t="shared" si="27"/>
        <v>0.70224160548213399</v>
      </c>
      <c r="Z143" s="194">
        <f t="shared" si="27"/>
        <v>1.4805228191227169</v>
      </c>
      <c r="AA143" s="194">
        <f t="shared" si="23"/>
        <v>0.58529799131579352</v>
      </c>
      <c r="AB143" s="194">
        <f t="shared" si="24"/>
        <v>0.38371079715714734</v>
      </c>
      <c r="AC143" s="194">
        <f t="shared" si="16"/>
        <v>0.74517614701593715</v>
      </c>
      <c r="AD143">
        <f t="shared" si="17"/>
        <v>51</v>
      </c>
      <c r="AE143" s="194">
        <f t="shared" si="25"/>
        <v>0.30487174428053021</v>
      </c>
      <c r="AF143" s="194">
        <f t="shared" si="26"/>
        <v>2.1391245452935203E-2</v>
      </c>
      <c r="AG143" s="252" t="str">
        <f>IF(ISNUMBER(SEARCH("C",'WetLitterbags placem_collection'!$X70)),"YES","NO")</f>
        <v>NO</v>
      </c>
      <c r="AH143" s="252" t="str">
        <f>IF(ISNUMBER(SEARCH("H", 'WetLitterbags placem_collection'!$X70)),"YES","NO")</f>
        <v>NO</v>
      </c>
      <c r="AI143" s="252" t="str">
        <f>IF(ISNUMBER(SEARCH("R", 'WetLitterbags placem_collection'!$X70)),"YES","NO")</f>
        <v>YES</v>
      </c>
      <c r="AJ143" s="252" t="str">
        <f>IF(ISNUMBER(SEARCH("C", 'WetLitterbags placem_collection'!$V70)),"YES","NO")</f>
        <v>NO</v>
      </c>
      <c r="AK143" s="252" t="str">
        <f>IF(ISNUMBER(SEARCH("H", 'WetLitterbags placem_collection'!$V70)),"YES","NO")</f>
        <v>NO</v>
      </c>
      <c r="AL143" s="252" t="str">
        <f>IF(ISNUMBER(SEARCH("R", 'WetLitterbags placem_collection'!$V70)),"YES","NO")</f>
        <v>YES</v>
      </c>
    </row>
    <row r="144" spans="2:38">
      <c r="B144" t="str">
        <f>'Final data_for_R_analysis_Wetse'!A70</f>
        <v>Wet</v>
      </c>
      <c r="C144" s="260">
        <f>'Final data_for_R_analysis_Wetse'!B70</f>
        <v>69</v>
      </c>
      <c r="D144" t="s">
        <v>3810</v>
      </c>
      <c r="E144" t="s">
        <v>22</v>
      </c>
      <c r="F144" s="382">
        <v>5</v>
      </c>
      <c r="G144" s="16">
        <f>'WetLitterbags placem_collection'!E71</f>
        <v>42767</v>
      </c>
      <c r="H144" t="str">
        <f>'Final data_for_R_analysis_Wetse'!K70</f>
        <v>G448</v>
      </c>
      <c r="I144" t="str">
        <f>'Final data_for_R_analysis_Wetse'!K290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8"/>
        <v>1.7681999999999998</v>
      </c>
      <c r="M144" s="194">
        <f>AVERAGE(Ashed_controlls!$K$2:$K$11)</f>
        <v>5.5147656768714146</v>
      </c>
      <c r="N144" s="194">
        <f t="shared" si="15"/>
        <v>1.6706879133015595</v>
      </c>
      <c r="O144" s="194">
        <f t="shared" si="19"/>
        <v>1.8851999999999998</v>
      </c>
      <c r="P144" s="194">
        <f>AVERAGE(Ashed_controlls!$K$12:$K$14)</f>
        <v>2.2816647271287041</v>
      </c>
      <c r="Q144" s="194">
        <f t="shared" si="20"/>
        <v>1.8421860565641694</v>
      </c>
      <c r="R144" s="16">
        <f>IF('WetLitterbags placem_collection'!G71="","",'WetLitterbags placem_collection'!G71)</f>
        <v>42818</v>
      </c>
      <c r="S144" s="194" t="str">
        <f>IFERROR(INDEX('Both teabags AfterWet'!$C$3:$C$2000,MATCH(H144,'Both teabags AfterWet'!$A$3:$A$2000,0)),"")</f>
        <v/>
      </c>
      <c r="T144" s="194">
        <f>IFERROR(INDEX('Both teabags AfterWet'!$C$3:$C$2000,MATCH(I144,'Both teabags AfterWet'!$A$3:$A$2000,0)),"")</f>
        <v>2.403</v>
      </c>
      <c r="U144" s="194" t="str">
        <f t="shared" si="21"/>
        <v/>
      </c>
      <c r="V144" s="194">
        <f t="shared" si="22"/>
        <v>2.2524000000000002</v>
      </c>
      <c r="W144" s="194" t="str">
        <f>IFERROR(INDEX('Ashed teabags wet'!$K$2:$K$2000,MATCH(H144,'Ashed teabags wet'!$A$2:$A$2000,0)),"")</f>
        <v/>
      </c>
      <c r="X144" s="237">
        <f>IFERROR(INDEX('Ashed teabags wet'!$K$2:$K$2000,MATCH(I144,'Ashed teabags wet'!$A$2:$A$2000,0)),"")</f>
        <v>16.515513126491193</v>
      </c>
      <c r="Y144" s="194" t="str">
        <f t="shared" si="27"/>
        <v/>
      </c>
      <c r="Z144" s="194">
        <f t="shared" si="27"/>
        <v>1.8804045823389126</v>
      </c>
      <c r="AA144" s="194" t="str">
        <f t="shared" si="23"/>
        <v/>
      </c>
      <c r="AB144" s="194" t="str">
        <f t="shared" si="24"/>
        <v/>
      </c>
      <c r="AC144" s="194">
        <f t="shared" si="16"/>
        <v>1.0207462897890043</v>
      </c>
      <c r="AD144">
        <f t="shared" si="17"/>
        <v>51</v>
      </c>
      <c r="AE144" s="194" t="str">
        <f t="shared" si="25"/>
        <v/>
      </c>
      <c r="AF144" s="194" t="str">
        <f t="shared" si="26"/>
        <v/>
      </c>
      <c r="AG144" s="252" t="str">
        <f>IF(ISNUMBER(SEARCH("C",'WetLitterbags placem_collection'!$X71)),"YES","NO")</f>
        <v>NO</v>
      </c>
      <c r="AH144" s="252" t="str">
        <f>IF(ISNUMBER(SEARCH("H", 'WetLitterbags placem_collection'!$X71)),"YES","NO")</f>
        <v>NO</v>
      </c>
      <c r="AI144" s="252" t="str">
        <f>IF(ISNUMBER(SEARCH("R", 'WetLitterbags placem_collection'!$X71)),"YES","NO")</f>
        <v>YES</v>
      </c>
      <c r="AJ144" s="252" t="str">
        <f>IF(ISNUMBER(SEARCH("C", 'WetLitterbags placem_collection'!$V71)),"YES","NO")</f>
        <v>NO</v>
      </c>
      <c r="AK144" s="252" t="str">
        <f>IF(ISNUMBER(SEARCH("H", 'WetLitterbags placem_collection'!$V71)),"YES","NO")</f>
        <v>NO</v>
      </c>
      <c r="AL144" s="252" t="str">
        <f>IF(ISNUMBER(SEARCH("R", 'WetLitterbags placem_collection'!$V71)),"YES","NO")</f>
        <v>NO</v>
      </c>
    </row>
    <row r="145" spans="2:38">
      <c r="B145" t="str">
        <f>'Final data_for_R_analysis_Wetse'!A71</f>
        <v>Wet</v>
      </c>
      <c r="C145" s="260">
        <f>'Final data_for_R_analysis_Wetse'!B71</f>
        <v>70</v>
      </c>
      <c r="D145" t="s">
        <v>3810</v>
      </c>
      <c r="E145" t="s">
        <v>22</v>
      </c>
      <c r="F145" s="382">
        <v>6</v>
      </c>
      <c r="G145" s="16">
        <f>'WetLitterbags placem_collection'!E72</f>
        <v>42767</v>
      </c>
      <c r="H145" t="str">
        <f>'Final data_for_R_analysis_Wetse'!K71</f>
        <v>G358</v>
      </c>
      <c r="I145" t="str">
        <f>'Final data_for_R_analysis_Wetse'!K291</f>
        <v>R151</v>
      </c>
      <c r="J145">
        <f>IFERROR(INDEX('Green_rooibos initial weight'!$C$5:$C$2000,MATCH(H145, 'Green_rooibos initial weight'!$A$5:$A$2000,0)),"")</f>
        <v>2.016</v>
      </c>
      <c r="K145">
        <f>IFERROR(INDEX('Green_rooibos initial weight'!$C$5:$C$2000,MATCH(I145, 'Green_rooibos initial weight'!$A$5:$A$2000,0)),"")</f>
        <v>2.1920000000000002</v>
      </c>
      <c r="L145" s="194">
        <f t="shared" si="18"/>
        <v>1.7662</v>
      </c>
      <c r="M145" s="194">
        <f>AVERAGE(Ashed_controlls!$K$2:$K$11)</f>
        <v>5.5147656768714146</v>
      </c>
      <c r="N145" s="194">
        <f t="shared" si="15"/>
        <v>1.668798208615097</v>
      </c>
      <c r="O145" s="194">
        <f t="shared" si="19"/>
        <v>1.9422000000000001</v>
      </c>
      <c r="P145" s="194">
        <f>AVERAGE(Ashed_controlls!$K$12:$K$14)</f>
        <v>2.2816647271287041</v>
      </c>
      <c r="Q145" s="194">
        <f t="shared" si="20"/>
        <v>1.8978855076697065</v>
      </c>
      <c r="R145" s="16">
        <f>IF('WetLitterbags placem_collection'!G72="","",'WetLitterbags placem_collection'!G72)</f>
        <v>42818</v>
      </c>
      <c r="S145" s="194">
        <f>IFERROR(INDEX('Both teabags AfterWet'!$C$3:$C$2000,MATCH(H145,'Both teabags AfterWet'!$A$3:$A$2000,0)),"")</f>
        <v>0.84299999999999997</v>
      </c>
      <c r="T145" s="194">
        <f>IFERROR(INDEX('Both teabags AfterWet'!$C$3:$C$2000,MATCH(I145,'Both teabags AfterWet'!$A$3:$A$2000,0)),"")</f>
        <v>1.536</v>
      </c>
      <c r="U145" s="194">
        <f t="shared" si="21"/>
        <v>0.6923999999999999</v>
      </c>
      <c r="V145" s="194">
        <f t="shared" si="22"/>
        <v>1.3854</v>
      </c>
      <c r="W145" s="194">
        <f>IFERROR(INDEX('Ashed teabags wet'!$K$2:$K$2000,MATCH(H145,'Ashed teabags wet'!$A$2:$A$2000,0)),"")</f>
        <v>13.570741097208547</v>
      </c>
      <c r="X145" s="237">
        <f>IFERROR(INDEX('Ashed teabags wet'!$K$2:$K$2000,MATCH(I145,'Ashed teabags wet'!$A$2:$A$2000,0)),"")</f>
        <v>89.048562933597623</v>
      </c>
      <c r="Y145" s="194">
        <f t="shared" si="27"/>
        <v>0.59843618864292791</v>
      </c>
      <c r="Z145" s="194">
        <f t="shared" si="27"/>
        <v>0.15172120911793852</v>
      </c>
      <c r="AA145" s="194">
        <f t="shared" si="23"/>
        <v>0.6413969133274906</v>
      </c>
      <c r="AB145" s="194">
        <f t="shared" si="24"/>
        <v>0.42048823771588462</v>
      </c>
      <c r="AC145" s="194">
        <f t="shared" si="16"/>
        <v>7.9942234926609138E-2</v>
      </c>
      <c r="AD145">
        <f t="shared" si="17"/>
        <v>51</v>
      </c>
      <c r="AE145" s="194">
        <f t="shared" si="25"/>
        <v>0.23824594616687578</v>
      </c>
      <c r="AF145" s="194" t="str">
        <f t="shared" si="26"/>
        <v/>
      </c>
      <c r="AG145" s="252" t="str">
        <f>IF(ISNUMBER(SEARCH("C",'WetLitterbags placem_collection'!$X72)),"YES","NO")</f>
        <v>NO</v>
      </c>
      <c r="AH145" s="252" t="str">
        <f>IF(ISNUMBER(SEARCH("H", 'WetLitterbags placem_collection'!$X72)),"YES","NO")</f>
        <v>NO</v>
      </c>
      <c r="AI145" s="252" t="str">
        <f>IF(ISNUMBER(SEARCH("R", 'WetLitterbags placem_collection'!$X72)),"YES","NO")</f>
        <v>YES</v>
      </c>
      <c r="AJ145" s="252" t="str">
        <f>IF(ISNUMBER(SEARCH("C", 'WetLitterbags placem_collection'!$V72)),"YES","NO")</f>
        <v>YES</v>
      </c>
      <c r="AK145" s="252" t="str">
        <f>IF(ISNUMBER(SEARCH("H", 'WetLitterbags placem_collection'!$V72)),"YES","NO")</f>
        <v>YES</v>
      </c>
      <c r="AL145" s="252" t="str">
        <f>IF(ISNUMBER(SEARCH("R", 'WetLitterbags placem_collection'!$V72)),"YES","NO")</f>
        <v>YES</v>
      </c>
    </row>
    <row r="146" spans="2:38">
      <c r="B146" t="str">
        <f>'Final data_for_R_analysis_Wetse'!A72</f>
        <v>Wet</v>
      </c>
      <c r="C146" s="260">
        <f>'Final data_for_R_analysis_Wetse'!B72</f>
        <v>71</v>
      </c>
      <c r="D146" t="s">
        <v>3810</v>
      </c>
      <c r="E146" t="s">
        <v>22</v>
      </c>
      <c r="F146" s="382">
        <v>7</v>
      </c>
      <c r="G146" s="16">
        <f>'WetLitterbags placem_collection'!E73</f>
        <v>42767</v>
      </c>
      <c r="H146" t="str">
        <f>'Final data_for_R_analysis_Wetse'!K72</f>
        <v>G511</v>
      </c>
      <c r="I146" t="str">
        <f>'Final data_for_R_analysis_Wetse'!K292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8"/>
        <v>1.7432000000000001</v>
      </c>
      <c r="M146" s="194">
        <f>AVERAGE(Ashed_controlls!$K$2:$K$11)</f>
        <v>5.5147656768714146</v>
      </c>
      <c r="N146" s="194">
        <f t="shared" si="15"/>
        <v>1.6470666047207776</v>
      </c>
      <c r="O146" s="194">
        <f t="shared" si="19"/>
        <v>1.9662000000000002</v>
      </c>
      <c r="P146" s="194">
        <f>AVERAGE(Ashed_controlls!$K$12:$K$14)</f>
        <v>2.2816647271287041</v>
      </c>
      <c r="Q146" s="194">
        <f t="shared" si="20"/>
        <v>1.9213379081351956</v>
      </c>
      <c r="R146" s="16">
        <f>IF('WetLitterbags placem_collection'!G73="","",'WetLitterbags placem_collection'!G73)</f>
        <v>42818</v>
      </c>
      <c r="S146" s="194">
        <f>IFERROR(INDEX('Both teabags AfterWet'!$C$3:$C$2000,MATCH(H146,'Both teabags AfterWet'!$A$3:$A$2000,0)),"")</f>
        <v>0.83740000000000003</v>
      </c>
      <c r="T146" s="194">
        <f>IFERROR(INDEX('Both teabags AfterWet'!$C$3:$C$2000,MATCH(I146,'Both teabags AfterWet'!$A$3:$A$2000,0)),"")</f>
        <v>1.6388</v>
      </c>
      <c r="U146" s="194">
        <f t="shared" si="21"/>
        <v>0.68680000000000008</v>
      </c>
      <c r="V146" s="194">
        <f t="shared" si="22"/>
        <v>1.4882</v>
      </c>
      <c r="W146" s="194">
        <f>IFERROR(INDEX('Ashed teabags wet'!$K$2:$K$2000,MATCH(H146,'Ashed teabags wet'!$A$2:$A$2000,0)),"")</f>
        <v>9.3359960059912463</v>
      </c>
      <c r="X146" s="237">
        <f>IFERROR(INDEX('Ashed teabags wet'!$K$2:$K$2000,MATCH(I146,'Ashed teabags wet'!$A$2:$A$2000,0)),"")</f>
        <v>3.275434243175928</v>
      </c>
      <c r="Y146" s="194">
        <f t="shared" si="27"/>
        <v>0.62268037943085219</v>
      </c>
      <c r="Z146" s="194">
        <f t="shared" si="27"/>
        <v>1.4394549875930558</v>
      </c>
      <c r="AA146" s="194">
        <f t="shared" si="23"/>
        <v>0.62194584138483378</v>
      </c>
      <c r="AB146" s="194">
        <f t="shared" si="24"/>
        <v>0.40773646608601932</v>
      </c>
      <c r="AC146" s="194">
        <f t="shared" si="16"/>
        <v>0.74919408059259929</v>
      </c>
      <c r="AD146">
        <f t="shared" si="17"/>
        <v>51</v>
      </c>
      <c r="AE146" s="194">
        <f t="shared" si="25"/>
        <v>0.2613469817282259</v>
      </c>
      <c r="AF146" s="194">
        <f t="shared" si="26"/>
        <v>1.8721916071122599E-2</v>
      </c>
      <c r="AG146" s="252" t="str">
        <f>IF(ISNUMBER(SEARCH("C",'WetLitterbags placem_collection'!$X73)),"YES","NO")</f>
        <v>NO</v>
      </c>
      <c r="AH146" s="252" t="str">
        <f>IF(ISNUMBER(SEARCH("H", 'WetLitterbags placem_collection'!$X73)),"YES","NO")</f>
        <v>NO</v>
      </c>
      <c r="AI146" s="252" t="str">
        <f>IF(ISNUMBER(SEARCH("R", 'WetLitterbags placem_collection'!$X73)),"YES","NO")</f>
        <v>YES</v>
      </c>
      <c r="AJ146" s="252" t="str">
        <f>IF(ISNUMBER(SEARCH("C", 'WetLitterbags placem_collection'!$V73)),"YES","NO")</f>
        <v>NO</v>
      </c>
      <c r="AK146" s="252" t="str">
        <f>IF(ISNUMBER(SEARCH("H", 'WetLitterbags placem_collection'!$V73)),"YES","NO")</f>
        <v>NO</v>
      </c>
      <c r="AL146" s="252" t="str">
        <f>IF(ISNUMBER(SEARCH("R", 'WetLitterbags placem_collection'!$V73)),"YES","NO")</f>
        <v>YES</v>
      </c>
    </row>
    <row r="147" spans="2:38">
      <c r="B147" t="str">
        <f>'Final data_for_R_analysis_Wetse'!A73</f>
        <v>Wet</v>
      </c>
      <c r="C147" s="260">
        <f>'Final data_for_R_analysis_Wetse'!B73</f>
        <v>72</v>
      </c>
      <c r="D147" t="s">
        <v>3810</v>
      </c>
      <c r="E147" t="s">
        <v>22</v>
      </c>
      <c r="F147" s="382">
        <v>8</v>
      </c>
      <c r="G147" s="16">
        <f>'WetLitterbags placem_collection'!E74</f>
        <v>42767</v>
      </c>
      <c r="H147" t="str">
        <f>'Final data_for_R_analysis_Wetse'!K73</f>
        <v>G383</v>
      </c>
      <c r="I147" t="str">
        <f>'Final data_for_R_analysis_Wetse'!K293</f>
        <v>R546</v>
      </c>
      <c r="J147">
        <f>IFERROR(INDEX('Green_rooibos initial weight'!$C$5:$C$2000,MATCH(H147, 'Green_rooibos initial weight'!$A$5:$A$2000,0)),"")</f>
        <v>1.956</v>
      </c>
      <c r="K147">
        <f>IFERROR(INDEX('Green_rooibos initial weight'!$C$5:$C$2000,MATCH(I147, 'Green_rooibos initial weight'!$A$5:$A$2000,0)),"")</f>
        <v>2.2250000000000001</v>
      </c>
      <c r="L147" s="194">
        <f t="shared" si="18"/>
        <v>1.7061999999999999</v>
      </c>
      <c r="M147" s="194">
        <f>AVERAGE(Ashed_controlls!$K$2:$K$11)</f>
        <v>5.5147656768714146</v>
      </c>
      <c r="N147" s="194">
        <f t="shared" si="15"/>
        <v>1.6121070680212199</v>
      </c>
      <c r="O147" s="194">
        <f t="shared" si="19"/>
        <v>1.9752000000000001</v>
      </c>
      <c r="P147" s="194">
        <f>AVERAGE(Ashed_controlls!$K$12:$K$14)</f>
        <v>2.2816647271287041</v>
      </c>
      <c r="Q147" s="194">
        <f t="shared" si="20"/>
        <v>1.9301325583097539</v>
      </c>
      <c r="R147" s="16">
        <f>IF('WetLitterbags placem_collection'!G74="","",'WetLitterbags placem_collection'!G74)</f>
        <v>42818</v>
      </c>
      <c r="S147" s="194">
        <f>IFERROR(INDEX('Both teabags AfterWet'!$C$3:$C$2000,MATCH(H147,'Both teabags AfterWet'!$A$3:$A$2000,0)),"")</f>
        <v>0.82550000000000001</v>
      </c>
      <c r="T147" s="194">
        <f>IFERROR(INDEX('Both teabags AfterWet'!$C$3:$C$2000,MATCH(I147,'Both teabags AfterWet'!$A$3:$A$2000,0)),"")</f>
        <v>1.5403</v>
      </c>
      <c r="U147" s="194">
        <f t="shared" si="21"/>
        <v>0.67490000000000006</v>
      </c>
      <c r="V147" s="194">
        <f t="shared" si="22"/>
        <v>1.3896999999999999</v>
      </c>
      <c r="W147" s="194">
        <f>IFERROR(INDEX('Ashed teabags wet'!$K$2:$K$2000,MATCH(H147,'Ashed teabags wet'!$A$2:$A$2000,0)),"")</f>
        <v>8.9603960396033298</v>
      </c>
      <c r="X147" s="237">
        <f>IFERROR(INDEX('Ashed teabags wet'!$K$2:$K$2000,MATCH(I147,'Ashed teabags wet'!$A$2:$A$2000,0)),"")</f>
        <v>5.6566650270533065</v>
      </c>
      <c r="Y147" s="194">
        <f t="shared" si="27"/>
        <v>0.61442628712871716</v>
      </c>
      <c r="Z147" s="194">
        <f t="shared" si="27"/>
        <v>1.3110893261190402</v>
      </c>
      <c r="AA147" s="194">
        <f t="shared" si="23"/>
        <v>0.61886756821747924</v>
      </c>
      <c r="AB147" s="194">
        <f t="shared" si="24"/>
        <v>0.40571840576727863</v>
      </c>
      <c r="AC147" s="194">
        <f t="shared" si="16"/>
        <v>0.67927423972744172</v>
      </c>
      <c r="AD147">
        <f t="shared" si="17"/>
        <v>51</v>
      </c>
      <c r="AE147" s="194">
        <f t="shared" si="25"/>
        <v>0.26500288810275618</v>
      </c>
      <c r="AF147" s="194">
        <f t="shared" si="26"/>
        <v>3.0648913881434509E-2</v>
      </c>
      <c r="AG147" s="252" t="str">
        <f>IF(ISNUMBER(SEARCH("C",'WetLitterbags placem_collection'!$X74)),"YES","NO")</f>
        <v>NO</v>
      </c>
      <c r="AH147" s="252" t="str">
        <f>IF(ISNUMBER(SEARCH("H", 'WetLitterbags placem_collection'!$X74)),"YES","NO")</f>
        <v>NO</v>
      </c>
      <c r="AI147" s="252" t="str">
        <f>IF(ISNUMBER(SEARCH("R", 'WetLitterbags placem_collection'!$X74)),"YES","NO")</f>
        <v>YES</v>
      </c>
      <c r="AJ147" s="252" t="str">
        <f>IF(ISNUMBER(SEARCH("C", 'WetLitterbags placem_collection'!$V74)),"YES","NO")</f>
        <v>NO</v>
      </c>
      <c r="AK147" s="252" t="str">
        <f>IF(ISNUMBER(SEARCH("H", 'WetLitterbags placem_collection'!$V74)),"YES","NO")</f>
        <v>NO</v>
      </c>
      <c r="AL147" s="252" t="str">
        <f>IF(ISNUMBER(SEARCH("R", 'WetLitterbags placem_collection'!$V74)),"YES","NO")</f>
        <v>YES</v>
      </c>
    </row>
    <row r="148" spans="2:38">
      <c r="B148" t="str">
        <f>'Final data_for_R_analysis_Wetse'!A74</f>
        <v>Wet</v>
      </c>
      <c r="C148" s="260">
        <f>'Final data_for_R_analysis_Wetse'!B74</f>
        <v>73</v>
      </c>
      <c r="D148" t="s">
        <v>3812</v>
      </c>
      <c r="E148" t="s">
        <v>22</v>
      </c>
      <c r="F148" s="381">
        <v>1</v>
      </c>
      <c r="G148" s="16">
        <f>'WetLitterbags placem_collection'!E75</f>
        <v>42767</v>
      </c>
      <c r="H148" t="str">
        <f>'Final data_for_R_analysis_Wetse'!K74</f>
        <v>G549</v>
      </c>
      <c r="I148" t="str">
        <f>'Final data_for_R_analysis_Wetse'!K294</f>
        <v>R438</v>
      </c>
      <c r="J148">
        <f>IFERROR(INDEX('Green_rooibos initial weight'!$C$5:$C$2000,MATCH(H148, 'Green_rooibos initial weight'!$A$5:$A$2000,0)),"")</f>
        <v>2.016</v>
      </c>
      <c r="K148">
        <f>IFERROR(INDEX('Green_rooibos initial weight'!$C$5:$C$2000,MATCH(I148, 'Green_rooibos initial weight'!$A$5:$A$2000,0)),"")</f>
        <v>2.1829999999999998</v>
      </c>
      <c r="L148" s="194">
        <f t="shared" si="18"/>
        <v>1.7662</v>
      </c>
      <c r="M148" s="194">
        <f>AVERAGE(Ashed_controlls!$K$2:$K$11)</f>
        <v>5.5147656768714146</v>
      </c>
      <c r="N148" s="194">
        <f t="shared" si="15"/>
        <v>1.668798208615097</v>
      </c>
      <c r="O148" s="194">
        <f t="shared" si="19"/>
        <v>1.9331999999999998</v>
      </c>
      <c r="P148" s="194">
        <f>AVERAGE(Ashed_controlls!$K$12:$K$14)</f>
        <v>2.2816647271287041</v>
      </c>
      <c r="Q148" s="194">
        <f t="shared" si="20"/>
        <v>1.8890908574951477</v>
      </c>
      <c r="R148" s="16">
        <f>IF('WetLitterbags placem_collection'!G75="","",'WetLitterbags placem_collection'!G75)</f>
        <v>42818</v>
      </c>
      <c r="S148" s="194">
        <f>IFERROR(INDEX('Both teabags AfterWet'!$C$3:$C$2000,MATCH(H148,'Both teabags AfterWet'!$A$3:$A$2000,0)),"")</f>
        <v>0.74199999999999999</v>
      </c>
      <c r="T148" s="194">
        <f>IFERROR(INDEX('Both teabags AfterWet'!$C$3:$C$2000,MATCH(I148,'Both teabags AfterWet'!$A$3:$A$2000,0)),"")</f>
        <v>0.17480000000000001</v>
      </c>
      <c r="U148" s="194">
        <f t="shared" si="21"/>
        <v>0.59139999999999993</v>
      </c>
      <c r="V148" s="194">
        <f t="shared" si="22"/>
        <v>2.4199999999999999E-2</v>
      </c>
      <c r="W148" s="194">
        <f>IFERROR(INDEX('Ashed teabags wet'!$K$2:$K$2000,MATCH(H148,'Ashed teabags wet'!$A$2:$A$2000,0)),"")</f>
        <v>10.980392156862093</v>
      </c>
      <c r="X148" s="237">
        <f>IFERROR(INDEX('Ashed teabags wet'!$K$2:$K$2000,MATCH(I148,'Ashed teabags wet'!$A$2:$A$2000,0)),"")</f>
        <v>0</v>
      </c>
      <c r="Y148" s="194">
        <f t="shared" si="27"/>
        <v>0.52646196078431751</v>
      </c>
      <c r="Z148" s="194">
        <f t="shared" si="27"/>
        <v>2.4199999999999999E-2</v>
      </c>
      <c r="AA148" s="194">
        <f t="shared" si="23"/>
        <v>0.68452629079628635</v>
      </c>
      <c r="AB148" s="194">
        <f t="shared" si="24"/>
        <v>0.44876307900184098</v>
      </c>
      <c r="AC148" s="194">
        <f t="shared" si="16"/>
        <v>1.2810394960085798E-2</v>
      </c>
      <c r="AD148">
        <f t="shared" si="17"/>
        <v>51</v>
      </c>
      <c r="AE148" s="194">
        <f t="shared" si="25"/>
        <v>0.18702340760536063</v>
      </c>
      <c r="AF148" s="194" t="str">
        <f t="shared" si="26"/>
        <v/>
      </c>
      <c r="AG148" s="252" t="str">
        <f>IF(ISNUMBER(SEARCH("C",'WetLitterbags placem_collection'!$X75)),"YES","NO")</f>
        <v>NO</v>
      </c>
      <c r="AH148" s="252" t="str">
        <f>IF(ISNUMBER(SEARCH("H", 'WetLitterbags placem_collection'!$X75)),"YES","NO")</f>
        <v>NO</v>
      </c>
      <c r="AI148" s="252" t="str">
        <f>IF(ISNUMBER(SEARCH("R", 'WetLitterbags placem_collection'!$X75)),"YES","NO")</f>
        <v>YES</v>
      </c>
      <c r="AJ148" s="252" t="str">
        <f>IF(ISNUMBER(SEARCH("C", 'WetLitterbags placem_collection'!$V75)),"YES","NO")</f>
        <v>NO</v>
      </c>
      <c r="AK148" s="252" t="str">
        <f>IF(ISNUMBER(SEARCH("H", 'WetLitterbags placem_collection'!$V75)),"YES","NO")</f>
        <v>YES</v>
      </c>
      <c r="AL148" s="252" t="str">
        <f>IF(ISNUMBER(SEARCH("R", 'WetLitterbags placem_collection'!$V75)),"YES","NO")</f>
        <v>YES</v>
      </c>
    </row>
    <row r="149" spans="2:38">
      <c r="B149" t="str">
        <f>'Final data_for_R_analysis_Wetse'!A75</f>
        <v>Wet</v>
      </c>
      <c r="C149" s="260">
        <f>'Final data_for_R_analysis_Wetse'!B75</f>
        <v>74</v>
      </c>
      <c r="D149" t="s">
        <v>3812</v>
      </c>
      <c r="E149" t="s">
        <v>22</v>
      </c>
      <c r="F149" s="381">
        <v>2</v>
      </c>
      <c r="G149" s="16">
        <f>'WetLitterbags placem_collection'!E76</f>
        <v>42767</v>
      </c>
      <c r="H149" t="str">
        <f>'Final data_for_R_analysis_Wetse'!K75</f>
        <v>G605</v>
      </c>
      <c r="I149" t="str">
        <f>'Final data_for_R_analysis_Wetse'!K295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8"/>
        <v>1.7961999999999998</v>
      </c>
      <c r="M149" s="194">
        <f>AVERAGE(Ashed_controlls!$K$2:$K$11)</f>
        <v>5.5147656768714146</v>
      </c>
      <c r="N149" s="194">
        <f t="shared" si="15"/>
        <v>1.6971437789120354</v>
      </c>
      <c r="O149" s="194">
        <f t="shared" si="19"/>
        <v>1.9691999999999998</v>
      </c>
      <c r="P149" s="194">
        <f>AVERAGE(Ashed_controlls!$K$12:$K$14)</f>
        <v>2.2816647271287041</v>
      </c>
      <c r="Q149" s="194">
        <f t="shared" si="20"/>
        <v>1.9242694581933815</v>
      </c>
      <c r="R149" s="16">
        <f>IF('WetLitterbags placem_collection'!G76="","",'WetLitterbags placem_collection'!G76)</f>
        <v>42818</v>
      </c>
      <c r="S149" s="194">
        <f>IFERROR(INDEX('Both teabags AfterWet'!$C$3:$C$2000,MATCH(H149,'Both teabags AfterWet'!$A$3:$A$2000,0)),"")</f>
        <v>1.1950000000000001</v>
      </c>
      <c r="T149" s="194">
        <f>IFERROR(INDEX('Both teabags AfterWet'!$C$3:$C$2000,MATCH(I149,'Both teabags AfterWet'!$A$3:$A$2000,0)),"")</f>
        <v>0.35499999999999998</v>
      </c>
      <c r="U149" s="194">
        <f t="shared" si="21"/>
        <v>1.0444</v>
      </c>
      <c r="V149" s="194">
        <f t="shared" si="22"/>
        <v>0.20439999999999997</v>
      </c>
      <c r="W149" s="194">
        <f>IFERROR(INDEX('Ashed teabags wet'!$K$2:$K$2000,MATCH(H149,'Ashed teabags wet'!$A$2:$A$2000,0)),"")</f>
        <v>62.512315270936703</v>
      </c>
      <c r="X149" s="237">
        <f>IFERROR(INDEX('Ashed teabags wet'!$K$2:$K$2000,MATCH(I149,'Ashed teabags wet'!$A$2:$A$2000,0)),"")</f>
        <v>0</v>
      </c>
      <c r="Y149" s="194">
        <f t="shared" si="27"/>
        <v>0.39152137931033704</v>
      </c>
      <c r="Z149" s="194">
        <f t="shared" si="27"/>
        <v>0.20439999999999997</v>
      </c>
      <c r="AA149" s="194">
        <f t="shared" si="23"/>
        <v>0.76930570987843805</v>
      </c>
      <c r="AB149" s="194">
        <f t="shared" si="24"/>
        <v>0.50434293569227773</v>
      </c>
      <c r="AC149" s="194">
        <f t="shared" si="16"/>
        <v>0.10622212971768664</v>
      </c>
      <c r="AD149">
        <f t="shared" si="17"/>
        <v>51</v>
      </c>
      <c r="AE149" s="194">
        <f t="shared" si="25"/>
        <v>8.6335261427033183E-2</v>
      </c>
      <c r="AF149" s="194" t="str">
        <f t="shared" si="26"/>
        <v/>
      </c>
      <c r="AG149" s="252" t="str">
        <f>IF(ISNUMBER(SEARCH("C",'WetLitterbags placem_collection'!$X76)),"YES","NO")</f>
        <v>NO</v>
      </c>
      <c r="AH149" s="252" t="str">
        <f>IF(ISNUMBER(SEARCH("H", 'WetLitterbags placem_collection'!$X76)),"YES","NO")</f>
        <v>NO</v>
      </c>
      <c r="AI149" s="252" t="str">
        <f>IF(ISNUMBER(SEARCH("R", 'WetLitterbags placem_collection'!$X76)),"YES","NO")</f>
        <v>YES</v>
      </c>
      <c r="AJ149" s="252" t="str">
        <f>IF(ISNUMBER(SEARCH("C", 'WetLitterbags placem_collection'!$V76)),"YES","NO")</f>
        <v>NO</v>
      </c>
      <c r="AK149" s="252" t="str">
        <f>IF(ISNUMBER(SEARCH("H", 'WetLitterbags placem_collection'!$V76)),"YES","NO")</f>
        <v>YES</v>
      </c>
      <c r="AL149" s="252" t="str">
        <f>IF(ISNUMBER(SEARCH("R", 'WetLitterbags placem_collection'!$V76)),"YES","NO")</f>
        <v>YES</v>
      </c>
    </row>
    <row r="150" spans="2:38">
      <c r="B150" t="str">
        <f>'Final data_for_R_analysis_Wetse'!A76</f>
        <v>Wet</v>
      </c>
      <c r="C150" s="260">
        <f>'Final data_for_R_analysis_Wetse'!B76</f>
        <v>75</v>
      </c>
      <c r="D150" t="s">
        <v>3812</v>
      </c>
      <c r="E150" t="s">
        <v>22</v>
      </c>
      <c r="F150" s="381">
        <v>3</v>
      </c>
      <c r="G150" s="16">
        <f>'WetLitterbags placem_collection'!E77</f>
        <v>42767</v>
      </c>
      <c r="H150" t="str">
        <f>'Final data_for_R_analysis_Wetse'!K76</f>
        <v>G408</v>
      </c>
      <c r="I150" t="str">
        <f>'Final data_for_R_analysis_Wetse'!K296</f>
        <v>R404</v>
      </c>
      <c r="J150">
        <f>IFERROR(INDEX('Green_rooibos initial weight'!$C$5:$C$2000,MATCH(H150, 'Green_rooibos initial weight'!$A$5:$A$2000,0)),"")</f>
        <v>2.044</v>
      </c>
      <c r="K150">
        <f>IFERROR(INDEX('Green_rooibos initial weight'!$C$5:$C$2000,MATCH(I150, 'Green_rooibos initial weight'!$A$5:$A$2000,0)),"")</f>
        <v>2.1779999999999999</v>
      </c>
      <c r="L150" s="194">
        <f t="shared" si="18"/>
        <v>1.7942</v>
      </c>
      <c r="M150" s="194">
        <f>AVERAGE(Ashed_controlls!$K$2:$K$11)</f>
        <v>5.5147656768714146</v>
      </c>
      <c r="N150" s="194">
        <f t="shared" si="15"/>
        <v>1.6952540742255731</v>
      </c>
      <c r="O150" s="194">
        <f t="shared" si="19"/>
        <v>1.9281999999999999</v>
      </c>
      <c r="P150" s="194">
        <f>AVERAGE(Ashed_controlls!$K$12:$K$14)</f>
        <v>2.2816647271287041</v>
      </c>
      <c r="Q150" s="194">
        <f t="shared" si="20"/>
        <v>1.8842049407315042</v>
      </c>
      <c r="R150" s="16">
        <f>IF('WetLitterbags placem_collection'!G77="","",'WetLitterbags placem_collection'!G77)</f>
        <v>42818</v>
      </c>
      <c r="S150" s="194">
        <f>IFERROR(INDEX('Both teabags AfterWet'!$C$3:$C$2000,MATCH(H150,'Both teabags AfterWet'!$A$3:$A$2000,0)),"")</f>
        <v>0.85780000000000001</v>
      </c>
      <c r="T150" s="194">
        <f>IFERROR(INDEX('Both teabags AfterWet'!$C$3:$C$2000,MATCH(I150,'Both teabags AfterWet'!$A$3:$A$2000,0)),"")</f>
        <v>0.15579999999999999</v>
      </c>
      <c r="U150" s="194">
        <f t="shared" si="21"/>
        <v>0.70720000000000005</v>
      </c>
      <c r="V150" s="194">
        <f t="shared" si="22"/>
        <v>5.1999999999999824E-3</v>
      </c>
      <c r="W150" s="194">
        <f>IFERROR(INDEX('Ashed teabags wet'!$K$2:$K$2000,MATCH(H150,'Ashed teabags wet'!$A$2:$A$2000,0)),"")</f>
        <v>10.812157448929053</v>
      </c>
      <c r="X150" s="237">
        <f>IFERROR(INDEX('Ashed teabags wet'!$K$2:$K$2000,MATCH(I150,'Ashed teabags wet'!$A$2:$A$2000,0)),"")</f>
        <v>0</v>
      </c>
      <c r="Y150" s="194">
        <f t="shared" si="27"/>
        <v>0.63073642252117379</v>
      </c>
      <c r="Z150" s="194">
        <f t="shared" si="27"/>
        <v>5.1999999999999824E-3</v>
      </c>
      <c r="AA150" s="194">
        <f t="shared" si="23"/>
        <v>0.62793988694036496</v>
      </c>
      <c r="AB150" s="194">
        <f t="shared" si="24"/>
        <v>0.41166605414617757</v>
      </c>
      <c r="AC150" s="194">
        <f t="shared" si="16"/>
        <v>2.7597847174634775E-3</v>
      </c>
      <c r="AD150">
        <f t="shared" si="17"/>
        <v>51</v>
      </c>
      <c r="AE150" s="194">
        <f t="shared" si="25"/>
        <v>0.25422816277866389</v>
      </c>
      <c r="AF150" s="194" t="str">
        <f t="shared" si="26"/>
        <v/>
      </c>
      <c r="AG150" s="252" t="str">
        <f>IF(ISNUMBER(SEARCH("C",'WetLitterbags placem_collection'!$X77)),"YES","NO")</f>
        <v>NO</v>
      </c>
      <c r="AH150" s="252" t="str">
        <f>IF(ISNUMBER(SEARCH("H", 'WetLitterbags placem_collection'!$X77)),"YES","NO")</f>
        <v>NO</v>
      </c>
      <c r="AI150" s="252" t="str">
        <f>IF(ISNUMBER(SEARCH("R", 'WetLitterbags placem_collection'!$X77)),"YES","NO")</f>
        <v>YES</v>
      </c>
      <c r="AJ150" s="252" t="str">
        <f>IF(ISNUMBER(SEARCH("C", 'WetLitterbags placem_collection'!$V77)),"YES","NO")</f>
        <v>NO</v>
      </c>
      <c r="AK150" s="252" t="str">
        <f>IF(ISNUMBER(SEARCH("H", 'WetLitterbags placem_collection'!$V77)),"YES","NO")</f>
        <v>YES</v>
      </c>
      <c r="AL150" s="252" t="str">
        <f>IF(ISNUMBER(SEARCH("R", 'WetLitterbags placem_collection'!$V77)),"YES","NO")</f>
        <v>YES</v>
      </c>
    </row>
    <row r="151" spans="2:38">
      <c r="B151" t="str">
        <f>'Final data_for_R_analysis_Wetse'!A77</f>
        <v>Wet</v>
      </c>
      <c r="C151" s="260">
        <f>'Final data_for_R_analysis_Wetse'!B77</f>
        <v>76</v>
      </c>
      <c r="D151" t="s">
        <v>3812</v>
      </c>
      <c r="E151" t="s">
        <v>22</v>
      </c>
      <c r="F151" s="382">
        <v>4</v>
      </c>
      <c r="G151" s="16">
        <f>'WetLitterbags placem_collection'!E78</f>
        <v>42767</v>
      </c>
      <c r="H151" t="str">
        <f>'Final data_for_R_analysis_Wetse'!K77</f>
        <v>G416</v>
      </c>
      <c r="I151" t="str">
        <f>'Final data_for_R_analysis_Wetse'!K297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8"/>
        <v>1.9321999999999999</v>
      </c>
      <c r="M151" s="194">
        <f>AVERAGE(Ashed_controlls!$K$2:$K$11)</f>
        <v>5.5147656768714146</v>
      </c>
      <c r="N151" s="194">
        <f t="shared" si="15"/>
        <v>1.8256436975914905</v>
      </c>
      <c r="O151" s="194">
        <f t="shared" si="19"/>
        <v>1.8881999999999999</v>
      </c>
      <c r="P151" s="194">
        <f>AVERAGE(Ashed_controlls!$K$12:$K$14)</f>
        <v>2.2816647271287041</v>
      </c>
      <c r="Q151" s="194">
        <f t="shared" si="20"/>
        <v>1.8451176066223556</v>
      </c>
      <c r="R151" s="16">
        <f>IF('WetLitterbags placem_collection'!G78="","",'WetLitterbags placem_collection'!G78)</f>
        <v>42818</v>
      </c>
      <c r="S151" s="194">
        <f>IFERROR(INDEX('Both teabags AfterWet'!$C$3:$C$2000,MATCH(H151,'Both teabags AfterWet'!$A$3:$A$2000,0)),"")</f>
        <v>0.94399999999999995</v>
      </c>
      <c r="T151" s="194">
        <f>IFERROR(INDEX('Both teabags AfterWet'!$C$3:$C$2000,MATCH(I151,'Both teabags AfterWet'!$A$3:$A$2000,0)),"")</f>
        <v>0.29499999999999998</v>
      </c>
      <c r="U151" s="194">
        <f t="shared" si="21"/>
        <v>0.79339999999999988</v>
      </c>
      <c r="V151" s="194">
        <f t="shared" si="22"/>
        <v>0.14439999999999997</v>
      </c>
      <c r="W151" s="194">
        <f>IFERROR(INDEX('Ashed teabags wet'!$K$2:$K$2000,MATCH(H151,'Ashed teabags wet'!$A$2:$A$2000,0)),"")</f>
        <v>14.711729622266519</v>
      </c>
      <c r="X151" s="237">
        <f>IFERROR(INDEX('Ashed teabags wet'!$K$2:$K$2000,MATCH(I151,'Ashed teabags wet'!$A$2:$A$2000,0)),"")</f>
        <v>84.313725490194741</v>
      </c>
      <c r="Y151" s="194">
        <f t="shared" si="27"/>
        <v>0.67667713717693734</v>
      </c>
      <c r="Z151" s="194">
        <f t="shared" si="27"/>
        <v>2.2650980392158779E-2</v>
      </c>
      <c r="AA151" s="194">
        <f t="shared" si="23"/>
        <v>0.62934873980631911</v>
      </c>
      <c r="AB151" s="194">
        <f t="shared" si="24"/>
        <v>0.41258967265212371</v>
      </c>
      <c r="AC151" s="194">
        <f t="shared" si="16"/>
        <v>1.2276171616845239E-2</v>
      </c>
      <c r="AD151">
        <f t="shared" si="17"/>
        <v>51</v>
      </c>
      <c r="AE151" s="194">
        <f t="shared" si="25"/>
        <v>0.25255494084760199</v>
      </c>
      <c r="AF151" s="194" t="str">
        <f t="shared" si="26"/>
        <v/>
      </c>
      <c r="AG151" s="252" t="str">
        <f>IF(ISNUMBER(SEARCH("C",'WetLitterbags placem_collection'!$X78)),"YES","NO")</f>
        <v>NO</v>
      </c>
      <c r="AH151" s="252" t="str">
        <f>IF(ISNUMBER(SEARCH("H", 'WetLitterbags placem_collection'!$X78)),"YES","NO")</f>
        <v>NO</v>
      </c>
      <c r="AI151" s="252" t="str">
        <f>IF(ISNUMBER(SEARCH("R", 'WetLitterbags placem_collection'!$X78)),"YES","NO")</f>
        <v>YES</v>
      </c>
      <c r="AJ151" s="252" t="str">
        <f>IF(ISNUMBER(SEARCH("C", 'WetLitterbags placem_collection'!$V78)),"YES","NO")</f>
        <v>NO</v>
      </c>
      <c r="AK151" s="252" t="str">
        <f>IF(ISNUMBER(SEARCH("H", 'WetLitterbags placem_collection'!$V78)),"YES","NO")</f>
        <v>YES</v>
      </c>
      <c r="AL151" s="252" t="str">
        <f>IF(ISNUMBER(SEARCH("R", 'WetLitterbags placem_collection'!$V78)),"YES","NO")</f>
        <v>NO</v>
      </c>
    </row>
    <row r="152" spans="2:38">
      <c r="B152" t="str">
        <f>'Final data_for_R_analysis_Wetse'!A78</f>
        <v>Wet</v>
      </c>
      <c r="C152" s="260">
        <f>'Final data_for_R_analysis_Wetse'!B78</f>
        <v>77</v>
      </c>
      <c r="D152" t="s">
        <v>3812</v>
      </c>
      <c r="E152" t="s">
        <v>22</v>
      </c>
      <c r="F152" s="382">
        <v>5</v>
      </c>
      <c r="G152" s="16">
        <f>'WetLitterbags placem_collection'!E79</f>
        <v>42767</v>
      </c>
      <c r="H152" t="str">
        <f>'Final data_for_R_analysis_Wetse'!K78</f>
        <v>G594</v>
      </c>
      <c r="I152" t="str">
        <f>'Final data_for_R_analysis_Wetse'!K298</f>
        <v>R137</v>
      </c>
      <c r="J152">
        <f>IFERROR(INDEX('Green_rooibos initial weight'!$C$5:$C$2000,MATCH(H152, 'Green_rooibos initial weight'!$A$5:$A$2000,0)),"")</f>
        <v>2.0680000000000001</v>
      </c>
      <c r="K152">
        <f>IFERROR(INDEX('Green_rooibos initial weight'!$C$5:$C$2000,MATCH(I152, 'Green_rooibos initial weight'!$A$5:$A$2000,0)),"")</f>
        <v>2.198</v>
      </c>
      <c r="L152" s="194">
        <f t="shared" si="18"/>
        <v>1.8182</v>
      </c>
      <c r="M152" s="194">
        <f>AVERAGE(Ashed_controlls!$K$2:$K$11)</f>
        <v>5.5147656768714146</v>
      </c>
      <c r="N152" s="194">
        <f t="shared" si="15"/>
        <v>1.7179305304631241</v>
      </c>
      <c r="O152" s="194">
        <f t="shared" si="19"/>
        <v>1.9481999999999999</v>
      </c>
      <c r="P152" s="194">
        <f>AVERAGE(Ashed_controlls!$K$12:$K$14)</f>
        <v>2.2816647271287041</v>
      </c>
      <c r="Q152" s="194">
        <f t="shared" si="20"/>
        <v>1.9037486077860786</v>
      </c>
      <c r="R152" s="16">
        <f>IF('WetLitterbags placem_collection'!G79="","",'WetLitterbags placem_collection'!G79)</f>
        <v>42818</v>
      </c>
      <c r="S152" s="194">
        <f>IFERROR(INDEX('Both teabags AfterWet'!$C$3:$C$2000,MATCH(H152,'Both teabags AfterWet'!$A$3:$A$2000,0)),"")</f>
        <v>0.94699999999999995</v>
      </c>
      <c r="T152" s="194">
        <f>IFERROR(INDEX('Both teabags AfterWet'!$C$3:$C$2000,MATCH(I152,'Both teabags AfterWet'!$A$3:$A$2000,0)),"")</f>
        <v>1.698</v>
      </c>
      <c r="U152" s="194">
        <f t="shared" si="21"/>
        <v>0.7964</v>
      </c>
      <c r="V152" s="194">
        <f t="shared" si="22"/>
        <v>1.5473999999999999</v>
      </c>
      <c r="W152" s="194">
        <f>IFERROR(INDEX('Ashed teabags wet'!$K$2:$K$2000,MATCH(H152,'Ashed teabags wet'!$A$2:$A$2000,0)),"")</f>
        <v>12.475633528264789</v>
      </c>
      <c r="X152" s="237">
        <f>IFERROR(INDEX('Ashed teabags wet'!$K$2:$K$2000,MATCH(I152,'Ashed teabags wet'!$A$2:$A$2000,0)),"")</f>
        <v>11.808300395256206</v>
      </c>
      <c r="Y152" s="194">
        <f t="shared" si="27"/>
        <v>0.69704405458089924</v>
      </c>
      <c r="Z152" s="194">
        <f t="shared" si="27"/>
        <v>1.3646783596838055</v>
      </c>
      <c r="AA152" s="194">
        <f t="shared" si="23"/>
        <v>0.59425364284492432</v>
      </c>
      <c r="AB152" s="194">
        <f t="shared" si="24"/>
        <v>0.38958196062992673</v>
      </c>
      <c r="AC152" s="194">
        <f t="shared" si="16"/>
        <v>0.71683748269201752</v>
      </c>
      <c r="AD152">
        <f t="shared" si="17"/>
        <v>51</v>
      </c>
      <c r="AE152" s="194">
        <f t="shared" si="25"/>
        <v>0.29423557856897342</v>
      </c>
      <c r="AF152" s="194">
        <f t="shared" si="26"/>
        <v>2.544482294530637E-2</v>
      </c>
      <c r="AG152" s="252" t="str">
        <f>IF(ISNUMBER(SEARCH("C",'WetLitterbags placem_collection'!$X79)),"YES","NO")</f>
        <v>NO</v>
      </c>
      <c r="AH152" s="252" t="str">
        <f>IF(ISNUMBER(SEARCH("H", 'WetLitterbags placem_collection'!$X79)),"YES","NO")</f>
        <v>NO</v>
      </c>
      <c r="AI152" s="252" t="str">
        <f>IF(ISNUMBER(SEARCH("R", 'WetLitterbags placem_collection'!$X79)),"YES","NO")</f>
        <v>YES</v>
      </c>
      <c r="AJ152" s="252" t="str">
        <f>IF(ISNUMBER(SEARCH("C", 'WetLitterbags placem_collection'!$V79)),"YES","NO")</f>
        <v>NO</v>
      </c>
      <c r="AK152" s="252" t="str">
        <f>IF(ISNUMBER(SEARCH("H", 'WetLitterbags placem_collection'!$V79)),"YES","NO")</f>
        <v>NO</v>
      </c>
      <c r="AL152" s="252" t="str">
        <f>IF(ISNUMBER(SEARCH("R", 'WetLitterbags placem_collection'!$V79)),"YES","NO")</f>
        <v>YES</v>
      </c>
    </row>
    <row r="153" spans="2:38">
      <c r="B153" t="str">
        <f>'Final data_for_R_analysis_Wetse'!A79</f>
        <v>Wet</v>
      </c>
      <c r="C153" s="260">
        <f>'Final data_for_R_analysis_Wetse'!B79</f>
        <v>78</v>
      </c>
      <c r="D153" t="s">
        <v>3812</v>
      </c>
      <c r="E153" t="s">
        <v>22</v>
      </c>
      <c r="F153" s="382">
        <v>6</v>
      </c>
      <c r="G153" s="16">
        <f>'WetLitterbags placem_collection'!E80</f>
        <v>42767</v>
      </c>
      <c r="H153" t="str">
        <f>'Final data_for_R_analysis_Wetse'!K79</f>
        <v>G460</v>
      </c>
      <c r="I153" t="str">
        <f>'Final data_for_R_analysis_Wetse'!K299</f>
        <v>R278</v>
      </c>
      <c r="J153">
        <f>IFERROR(INDEX('Green_rooibos initial weight'!$C$5:$C$2000,MATCH(H153, 'Green_rooibos initial weight'!$A$5:$A$2000,0)),"")</f>
        <v>2.1560000000000001</v>
      </c>
      <c r="K153">
        <f>IFERROR(INDEX('Green_rooibos initial weight'!$C$5:$C$2000,MATCH(I153, 'Green_rooibos initial weight'!$A$5:$A$2000,0)),"")</f>
        <v>2.198</v>
      </c>
      <c r="L153" s="194">
        <f t="shared" si="18"/>
        <v>1.9062000000000001</v>
      </c>
      <c r="M153" s="194">
        <f>AVERAGE(Ashed_controlls!$K$2:$K$11)</f>
        <v>5.5147656768714146</v>
      </c>
      <c r="N153" s="194">
        <f t="shared" si="15"/>
        <v>1.8010775366674772</v>
      </c>
      <c r="O153" s="194">
        <f t="shared" si="19"/>
        <v>1.9481999999999999</v>
      </c>
      <c r="P153" s="194">
        <f>AVERAGE(Ashed_controlls!$K$12:$K$14)</f>
        <v>2.2816647271287041</v>
      </c>
      <c r="Q153" s="194">
        <f t="shared" si="20"/>
        <v>1.9037486077860786</v>
      </c>
      <c r="R153" s="16">
        <f>IF('WetLitterbags placem_collection'!G80="","",'WetLitterbags placem_collection'!G80)</f>
        <v>42818</v>
      </c>
      <c r="S153" s="194">
        <f>IFERROR(INDEX('Both teabags AfterWet'!$C$3:$C$2000,MATCH(H153,'Both teabags AfterWet'!$A$3:$A$2000,0)),"")</f>
        <v>0.90669999999999995</v>
      </c>
      <c r="T153" s="194">
        <f>IFERROR(INDEX('Both teabags AfterWet'!$C$3:$C$2000,MATCH(I153,'Both teabags AfterWet'!$A$3:$A$2000,0)),"")</f>
        <v>1.6845000000000001</v>
      </c>
      <c r="U153" s="194">
        <f t="shared" si="21"/>
        <v>0.75609999999999999</v>
      </c>
      <c r="V153" s="194">
        <f t="shared" si="22"/>
        <v>1.5339</v>
      </c>
      <c r="W153" s="194">
        <f>IFERROR(INDEX('Ashed teabags wet'!$K$2:$K$2000,MATCH(H153,'Ashed teabags wet'!$A$2:$A$2000,0)),"")</f>
        <v>10.069790628115374</v>
      </c>
      <c r="X153" s="237">
        <f>IFERROR(INDEX('Ashed teabags wet'!$K$2:$K$2000,MATCH(I153,'Ashed teabags wet'!$A$2:$A$2000,0)),"")</f>
        <v>0</v>
      </c>
      <c r="Y153" s="194">
        <f t="shared" si="27"/>
        <v>0.67996231306081967</v>
      </c>
      <c r="Z153" s="194">
        <f t="shared" si="27"/>
        <v>1.5339</v>
      </c>
      <c r="AA153" s="194">
        <f t="shared" si="23"/>
        <v>0.62246916125612795</v>
      </c>
      <c r="AB153" s="194">
        <f t="shared" si="24"/>
        <v>0.40807954514653527</v>
      </c>
      <c r="AC153" s="194">
        <f t="shared" si="16"/>
        <v>0.80572613092219902</v>
      </c>
      <c r="AD153">
        <f t="shared" si="17"/>
        <v>51</v>
      </c>
      <c r="AE153" s="194">
        <f t="shared" si="25"/>
        <v>0.26072546169105937</v>
      </c>
      <c r="AF153" s="194">
        <f t="shared" si="26"/>
        <v>1.2674403377642847E-2</v>
      </c>
      <c r="AG153" s="252" t="str">
        <f>IF(ISNUMBER(SEARCH("C",'WetLitterbags placem_collection'!$X80)),"YES","NO")</f>
        <v>NO</v>
      </c>
      <c r="AH153" s="252" t="str">
        <f>IF(ISNUMBER(SEARCH("H", 'WetLitterbags placem_collection'!$X80)),"YES","NO")</f>
        <v>NO</v>
      </c>
      <c r="AI153" s="252" t="str">
        <f>IF(ISNUMBER(SEARCH("R", 'WetLitterbags placem_collection'!$X80)),"YES","NO")</f>
        <v>YES</v>
      </c>
      <c r="AJ153" s="252" t="str">
        <f>IF(ISNUMBER(SEARCH("C", 'WetLitterbags placem_collection'!$V80)),"YES","NO")</f>
        <v>NO</v>
      </c>
      <c r="AK153" s="252" t="str">
        <f>IF(ISNUMBER(SEARCH("H", 'WetLitterbags placem_collection'!$V80)),"YES","NO")</f>
        <v>NO</v>
      </c>
      <c r="AL153" s="252" t="str">
        <f>IF(ISNUMBER(SEARCH("R", 'WetLitterbags placem_collection'!$V80)),"YES","NO")</f>
        <v>YES</v>
      </c>
    </row>
    <row r="154" spans="2:38">
      <c r="B154" t="str">
        <f>'Final data_for_R_analysis_Wetse'!A80</f>
        <v>Wet</v>
      </c>
      <c r="C154" s="260">
        <f>'Final data_for_R_analysis_Wetse'!B80</f>
        <v>79</v>
      </c>
      <c r="D154" t="s">
        <v>3812</v>
      </c>
      <c r="E154" t="s">
        <v>22</v>
      </c>
      <c r="F154" s="382">
        <v>7</v>
      </c>
      <c r="G154" s="16">
        <f>'WetLitterbags placem_collection'!E81</f>
        <v>42767</v>
      </c>
      <c r="H154" t="str">
        <f>'Final data_for_R_analysis_Wetse'!K80</f>
        <v>G217</v>
      </c>
      <c r="I154" t="str">
        <f>'Final data_for_R_analysis_Wetse'!K300</f>
        <v>R235</v>
      </c>
      <c r="J154">
        <f>IFERROR(INDEX('Green_rooibos initial weight'!$C$5:$C$2000,MATCH(H154, 'Green_rooibos initial weight'!$A$5:$A$2000,0)),"")</f>
        <v>1.944</v>
      </c>
      <c r="K154">
        <f>IFERROR(INDEX('Green_rooibos initial weight'!$C$5:$C$2000,MATCH(I154, 'Green_rooibos initial weight'!$A$5:$A$2000,0)),"")</f>
        <v>2.169</v>
      </c>
      <c r="L154" s="194">
        <f t="shared" si="18"/>
        <v>1.6941999999999999</v>
      </c>
      <c r="M154" s="194">
        <f>AVERAGE(Ashed_controlls!$K$2:$K$11)</f>
        <v>5.5147656768714146</v>
      </c>
      <c r="N154" s="194">
        <f t="shared" si="15"/>
        <v>1.6007688399024445</v>
      </c>
      <c r="O154" s="194">
        <f t="shared" si="19"/>
        <v>1.9192</v>
      </c>
      <c r="P154" s="194">
        <f>AVERAGE(Ashed_controlls!$K$12:$K$14)</f>
        <v>2.2816647271287041</v>
      </c>
      <c r="Q154" s="194">
        <f t="shared" si="20"/>
        <v>1.8754102905569459</v>
      </c>
      <c r="R154" s="16">
        <f>IF('WetLitterbags placem_collection'!G81="","",'WetLitterbags placem_collection'!G81)</f>
        <v>42818</v>
      </c>
      <c r="S154" s="194">
        <f>IFERROR(INDEX('Both teabags AfterWet'!$C$3:$C$2000,MATCH(H154,'Both teabags AfterWet'!$A$3:$A$2000,0)),"")</f>
        <v>0.85370000000000001</v>
      </c>
      <c r="T154" s="194">
        <f>IFERROR(INDEX('Both teabags AfterWet'!$C$3:$C$2000,MATCH(I154,'Both teabags AfterWet'!$A$3:$A$2000,0)),"")</f>
        <v>1.5528</v>
      </c>
      <c r="U154" s="194">
        <f t="shared" si="21"/>
        <v>0.70310000000000006</v>
      </c>
      <c r="V154" s="194">
        <f t="shared" si="22"/>
        <v>1.4021999999999999</v>
      </c>
      <c r="W154" s="194">
        <f>IFERROR(INDEX('Ashed teabags wet'!$K$2:$K$2000,MATCH(H154,'Ashed teabags wet'!$A$2:$A$2000,0)),"")</f>
        <v>15.104419621176483</v>
      </c>
      <c r="X154" s="237">
        <f>IFERROR(INDEX('Ashed teabags wet'!$K$2:$K$2000,MATCH(I154,'Ashed teabags wet'!$A$2:$A$2000,0)),"")</f>
        <v>8.7084148727974071</v>
      </c>
      <c r="Y154" s="194">
        <f t="shared" si="27"/>
        <v>0.59690082564350821</v>
      </c>
      <c r="Z154" s="194">
        <f t="shared" si="27"/>
        <v>1.2800906066536346</v>
      </c>
      <c r="AA154" s="194">
        <f t="shared" si="23"/>
        <v>0.62711616395538716</v>
      </c>
      <c r="AB154" s="194">
        <f t="shared" si="24"/>
        <v>0.41112603622728472</v>
      </c>
      <c r="AC154" s="194">
        <f t="shared" si="16"/>
        <v>0.68256563009125992</v>
      </c>
      <c r="AD154">
        <f t="shared" si="17"/>
        <v>51</v>
      </c>
      <c r="AE154" s="194">
        <f t="shared" si="25"/>
        <v>0.25520645610999149</v>
      </c>
      <c r="AF154" s="194">
        <f t="shared" si="26"/>
        <v>2.8997854504346048E-2</v>
      </c>
      <c r="AG154" s="252" t="str">
        <f>IF(ISNUMBER(SEARCH("C",'WetLitterbags placem_collection'!$X81)),"YES","NO")</f>
        <v>NO</v>
      </c>
      <c r="AH154" s="252" t="str">
        <f>IF(ISNUMBER(SEARCH("H", 'WetLitterbags placem_collection'!$X81)),"YES","NO")</f>
        <v>NO</v>
      </c>
      <c r="AI154" s="252" t="str">
        <f>IF(ISNUMBER(SEARCH("R", 'WetLitterbags placem_collection'!$X81)),"YES","NO")</f>
        <v>YES</v>
      </c>
      <c r="AJ154" s="252" t="str">
        <f>IF(ISNUMBER(SEARCH("C", 'WetLitterbags placem_collection'!$V81)),"YES","NO")</f>
        <v>NO</v>
      </c>
      <c r="AK154" s="252" t="str">
        <f>IF(ISNUMBER(SEARCH("H", 'WetLitterbags placem_collection'!$V81)),"YES","NO")</f>
        <v>NO</v>
      </c>
      <c r="AL154" s="252" t="str">
        <f>IF(ISNUMBER(SEARCH("R", 'WetLitterbags placem_collection'!$V81)),"YES","NO")</f>
        <v>YES</v>
      </c>
    </row>
    <row r="155" spans="2:38">
      <c r="B155" t="str">
        <f>'Final data_for_R_analysis_Wetse'!A81</f>
        <v>Wet</v>
      </c>
      <c r="C155" s="260">
        <f>'Final data_for_R_analysis_Wetse'!B81</f>
        <v>80</v>
      </c>
      <c r="D155" t="s">
        <v>3812</v>
      </c>
      <c r="E155" t="s">
        <v>22</v>
      </c>
      <c r="F155" s="382">
        <v>8</v>
      </c>
      <c r="G155" s="16">
        <f>'WetLitterbags placem_collection'!E82</f>
        <v>42767</v>
      </c>
      <c r="H155" t="str">
        <f>'Final data_for_R_analysis_Wetse'!K81</f>
        <v>G607</v>
      </c>
      <c r="I155" t="str">
        <f>'Final data_for_R_analysis_Wetse'!K301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8"/>
        <v>1.6952</v>
      </c>
      <c r="M155" s="194">
        <f>AVERAGE(Ashed_controlls!$K$2:$K$11)</f>
        <v>5.5147656768714146</v>
      </c>
      <c r="N155" s="194">
        <f t="shared" si="15"/>
        <v>1.6017136922456758</v>
      </c>
      <c r="O155" s="194">
        <f t="shared" si="19"/>
        <v>1.9251999999999998</v>
      </c>
      <c r="P155" s="194">
        <f>AVERAGE(Ashed_controlls!$K$12:$K$14)</f>
        <v>2.2816647271287041</v>
      </c>
      <c r="Q155" s="194">
        <f t="shared" si="20"/>
        <v>1.8812733906733179</v>
      </c>
      <c r="R155" s="16">
        <f>IF('WetLitterbags placem_collection'!G82="","",'WetLitterbags placem_collection'!G82)</f>
        <v>42818</v>
      </c>
      <c r="S155" s="194">
        <f>IFERROR(INDEX('Both teabags AfterWet'!$C$3:$C$2000,MATCH(H155,'Both teabags AfterWet'!$A$3:$A$2000,0)),"")</f>
        <v>0.92400000000000004</v>
      </c>
      <c r="T155" s="194">
        <f>IFERROR(INDEX('Both teabags AfterWet'!$C$3:$C$2000,MATCH(I155,'Both teabags AfterWet'!$A$3:$A$2000,0)),"")</f>
        <v>0.23799999999999999</v>
      </c>
      <c r="U155" s="194">
        <f t="shared" si="21"/>
        <v>0.77340000000000009</v>
      </c>
      <c r="V155" s="194">
        <f t="shared" si="22"/>
        <v>8.7399999999999978E-2</v>
      </c>
      <c r="W155" s="194">
        <f>IFERROR(INDEX('Ashed teabags wet'!$K$2:$K$2000,MATCH(H155,'Ashed teabags wet'!$A$2:$A$2000,0)),"")</f>
        <v>13.619696176008233</v>
      </c>
      <c r="X155" s="237">
        <f>IFERROR(INDEX('Ashed teabags wet'!$K$2:$K$2000,MATCH(I155,'Ashed teabags wet'!$A$2:$A$2000,0)),"")</f>
        <v>0</v>
      </c>
      <c r="Y155" s="194">
        <f t="shared" si="27"/>
        <v>0.66806526977475245</v>
      </c>
      <c r="Z155" s="194">
        <f t="shared" si="27"/>
        <v>8.7399999999999978E-2</v>
      </c>
      <c r="AA155" s="194">
        <f t="shared" si="23"/>
        <v>0.58290593817794334</v>
      </c>
      <c r="AB155" s="194">
        <f t="shared" si="24"/>
        <v>0.38214261030192964</v>
      </c>
      <c r="AC155" s="194">
        <f t="shared" si="16"/>
        <v>4.6457894122830835E-2</v>
      </c>
      <c r="AD155">
        <f t="shared" si="17"/>
        <v>51</v>
      </c>
      <c r="AE155" s="194">
        <f t="shared" si="25"/>
        <v>0.30771266249650431</v>
      </c>
      <c r="AF155" s="194" t="str">
        <f t="shared" si="26"/>
        <v/>
      </c>
      <c r="AG155" s="252" t="str">
        <f>IF(ISNUMBER(SEARCH("C",'WetLitterbags placem_collection'!$X82)),"YES","NO")</f>
        <v>NO</v>
      </c>
      <c r="AH155" s="252" t="str">
        <f>IF(ISNUMBER(SEARCH("H", 'WetLitterbags placem_collection'!$X82)),"YES","NO")</f>
        <v>NO</v>
      </c>
      <c r="AI155" s="252" t="str">
        <f>IF(ISNUMBER(SEARCH("R", 'WetLitterbags placem_collection'!$X82)),"YES","NO")</f>
        <v>YES</v>
      </c>
      <c r="AJ155" s="252" t="str">
        <f>IF(ISNUMBER(SEARCH("C", 'WetLitterbags placem_collection'!$V82)),"YES","NO")</f>
        <v>YES</v>
      </c>
      <c r="AK155" s="252" t="str">
        <f>IF(ISNUMBER(SEARCH("H", 'WetLitterbags placem_collection'!$V82)),"YES","NO")</f>
        <v>YES</v>
      </c>
      <c r="AL155" s="252" t="str">
        <f>IF(ISNUMBER(SEARCH("R", 'WetLitterbags placem_collection'!$V82)),"YES","NO")</f>
        <v>NO</v>
      </c>
    </row>
    <row r="156" spans="2:38">
      <c r="B156" t="str">
        <f>'Final data_for_R_analysis_Wetse'!A82</f>
        <v>Wet</v>
      </c>
      <c r="C156" s="260">
        <f>'Final data_for_R_analysis_Wetse'!B82</f>
        <v>81</v>
      </c>
      <c r="D156" t="s">
        <v>3813</v>
      </c>
      <c r="E156" t="s">
        <v>22</v>
      </c>
      <c r="F156" s="381">
        <v>1</v>
      </c>
      <c r="G156" s="16">
        <f>'WetLitterbags placem_collection'!E83</f>
        <v>42767</v>
      </c>
      <c r="H156" t="str">
        <f>'Final data_for_R_analysis_Wetse'!K82</f>
        <v>G542</v>
      </c>
      <c r="I156" t="str">
        <f>'Final data_for_R_analysis_Wetse'!K302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8"/>
        <v>1.8281999999999998</v>
      </c>
      <c r="M156" s="194">
        <f>AVERAGE(Ashed_controlls!$K$2:$K$11)</f>
        <v>5.5147656768714146</v>
      </c>
      <c r="N156" s="194">
        <f t="shared" si="15"/>
        <v>1.7273790538954366</v>
      </c>
      <c r="O156" s="194">
        <f t="shared" si="19"/>
        <v>1.9712000000000001</v>
      </c>
      <c r="P156" s="194">
        <f>AVERAGE(Ashed_controlls!$K$12:$K$14)</f>
        <v>2.2816647271287041</v>
      </c>
      <c r="Q156" s="194">
        <f t="shared" si="20"/>
        <v>1.926223824898839</v>
      </c>
      <c r="R156" s="16">
        <f>IF('WetLitterbags placem_collection'!G83="","",'WetLitterbags placem_collection'!G83)</f>
        <v>42818</v>
      </c>
      <c r="S156" s="194">
        <f>IFERROR(INDEX('Both teabags AfterWet'!$C$3:$C$2000,MATCH(H156,'Both teabags AfterWet'!$A$3:$A$2000,0)),"")</f>
        <v>0.85099999999999998</v>
      </c>
      <c r="T156" s="194">
        <f>IFERROR(INDEX('Both teabags AfterWet'!$C$3:$C$2000,MATCH(I156,'Both teabags AfterWet'!$A$3:$A$2000,0)),"")</f>
        <v>1.8420000000000001</v>
      </c>
      <c r="U156" s="194">
        <f t="shared" si="21"/>
        <v>0.70039999999999991</v>
      </c>
      <c r="V156" s="194">
        <f t="shared" si="22"/>
        <v>1.6914</v>
      </c>
      <c r="W156" s="194">
        <f>IFERROR(INDEX('Ashed teabags wet'!$K$2:$K$2000,MATCH(H156,'Ashed teabags wet'!$A$2:$A$2000,0)),"")</f>
        <v>15.009940357852306</v>
      </c>
      <c r="X156" s="237">
        <f>IFERROR(INDEX('Ashed teabags wet'!$K$2:$K$2000,MATCH(I156,'Ashed teabags wet'!$A$2:$A$2000,0)),"")</f>
        <v>4.2141794744665662</v>
      </c>
      <c r="Y156" s="194">
        <f t="shared" si="27"/>
        <v>0.59527037773360236</v>
      </c>
      <c r="Z156" s="194">
        <f t="shared" si="27"/>
        <v>1.6201213683688724</v>
      </c>
      <c r="AA156" s="194">
        <f t="shared" si="23"/>
        <v>0.65539099458732009</v>
      </c>
      <c r="AB156" s="194">
        <f t="shared" si="24"/>
        <v>0.429662504765084</v>
      </c>
      <c r="AC156" s="194">
        <f t="shared" si="16"/>
        <v>0.84108676646337177</v>
      </c>
      <c r="AD156">
        <f t="shared" si="17"/>
        <v>51</v>
      </c>
      <c r="AE156" s="194">
        <f t="shared" si="25"/>
        <v>0.22162589716470293</v>
      </c>
      <c r="AF156" s="194">
        <f t="shared" si="26"/>
        <v>9.0550359543918896E-3</v>
      </c>
      <c r="AG156" s="252" t="str">
        <f>IF(ISNUMBER(SEARCH("C",'WetLitterbags placem_collection'!$X83)),"YES","NO")</f>
        <v>NO</v>
      </c>
      <c r="AH156" s="252" t="str">
        <f>IF(ISNUMBER(SEARCH("H", 'WetLitterbags placem_collection'!$X83)),"YES","NO")</f>
        <v>NO</v>
      </c>
      <c r="AI156" s="252" t="str">
        <f>IF(ISNUMBER(SEARCH("R", 'WetLitterbags placem_collection'!$X83)),"YES","NO")</f>
        <v>YES</v>
      </c>
      <c r="AJ156" s="252" t="str">
        <f>IF(ISNUMBER(SEARCH("C", 'WetLitterbags placem_collection'!$V83)),"YES","NO")</f>
        <v>NO</v>
      </c>
      <c r="AK156" s="252" t="str">
        <f>IF(ISNUMBER(SEARCH("H", 'WetLitterbags placem_collection'!$V83)),"YES","NO")</f>
        <v>YES</v>
      </c>
      <c r="AL156" s="252" t="str">
        <f>IF(ISNUMBER(SEARCH("R", 'WetLitterbags placem_collection'!$V83)),"YES","NO")</f>
        <v>YES</v>
      </c>
    </row>
    <row r="157" spans="2:38">
      <c r="B157" t="str">
        <f>'Final data_for_R_analysis_Wetse'!A83</f>
        <v>Wet</v>
      </c>
      <c r="C157" s="260">
        <f>'Final data_for_R_analysis_Wetse'!B83</f>
        <v>82</v>
      </c>
      <c r="D157" t="s">
        <v>3813</v>
      </c>
      <c r="E157" t="s">
        <v>22</v>
      </c>
      <c r="F157" s="381">
        <v>2</v>
      </c>
      <c r="G157" s="16">
        <f>'WetLitterbags placem_collection'!E84</f>
        <v>42767</v>
      </c>
      <c r="H157" t="str">
        <f>'Final data_for_R_analysis_Wetse'!K83</f>
        <v>G536</v>
      </c>
      <c r="I157" t="str">
        <f>'Final data_for_R_analysis_Wetse'!K303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8"/>
        <v>1.8012000000000001</v>
      </c>
      <c r="M157" s="194">
        <f>AVERAGE(Ashed_controlls!$K$2:$K$11)</f>
        <v>5.5147656768714146</v>
      </c>
      <c r="N157" s="194">
        <f t="shared" si="15"/>
        <v>1.7018680406281923</v>
      </c>
      <c r="O157" s="194">
        <f t="shared" si="19"/>
        <v>1.7892000000000001</v>
      </c>
      <c r="P157" s="194">
        <f>AVERAGE(Ashed_controlls!$K$12:$K$14)</f>
        <v>2.2816647271287041</v>
      </c>
      <c r="Q157" s="194">
        <f t="shared" si="20"/>
        <v>1.7483764547022134</v>
      </c>
      <c r="R157" s="16">
        <f>IF('WetLitterbags placem_collection'!G84="","",'WetLitterbags placem_collection'!G84)</f>
        <v>42819</v>
      </c>
      <c r="S157" s="194">
        <f>IFERROR(INDEX('Both teabags AfterWet'!$C$3:$C$2000,MATCH(H157,'Both teabags AfterWet'!$A$3:$A$2000,0)),"")</f>
        <v>0.748</v>
      </c>
      <c r="T157" s="194">
        <f>IFERROR(INDEX('Both teabags AfterWet'!$C$3:$C$2000,MATCH(I157,'Both teabags AfterWet'!$A$3:$A$2000,0)),"")</f>
        <v>1.5940000000000001</v>
      </c>
      <c r="U157" s="194">
        <f t="shared" si="21"/>
        <v>0.59739999999999993</v>
      </c>
      <c r="V157" s="194">
        <f t="shared" si="22"/>
        <v>1.4434</v>
      </c>
      <c r="W157" s="194">
        <f>IFERROR(INDEX('Ashed teabags wet'!$K$2:$K$2000,MATCH(H157,'Ashed teabags wet'!$A$2:$A$2000,0)),"")</f>
        <v>10.317848410758481</v>
      </c>
      <c r="X157" s="237">
        <f>IFERROR(INDEX('Ashed teabags wet'!$K$2:$K$2000,MATCH(I157,'Ashed teabags wet'!$A$2:$A$2000,0)),"")</f>
        <v>4.9489795918371247</v>
      </c>
      <c r="Y157" s="194">
        <f t="shared" si="27"/>
        <v>0.53576117359412878</v>
      </c>
      <c r="Z157" s="194">
        <f t="shared" si="27"/>
        <v>1.371966428571423</v>
      </c>
      <c r="AA157" s="194">
        <f t="shared" si="23"/>
        <v>0.68519229411208116</v>
      </c>
      <c r="AB157" s="194">
        <f t="shared" si="24"/>
        <v>0.44919969875281335</v>
      </c>
      <c r="AC157" s="194">
        <f t="shared" si="16"/>
        <v>0.78470882222278548</v>
      </c>
      <c r="AD157">
        <f t="shared" si="17"/>
        <v>52</v>
      </c>
      <c r="AE157" s="194">
        <f t="shared" si="25"/>
        <v>0.18623242979562804</v>
      </c>
      <c r="AF157" s="194">
        <f t="shared" si="26"/>
        <v>1.2548797102174084E-2</v>
      </c>
      <c r="AG157" s="252" t="str">
        <f>IF(ISNUMBER(SEARCH("C",'WetLitterbags placem_collection'!$X84)),"YES","NO")</f>
        <v>NO</v>
      </c>
      <c r="AH157" s="252" t="str">
        <f>IF(ISNUMBER(SEARCH("H", 'WetLitterbags placem_collection'!$X84)),"YES","NO")</f>
        <v>NO</v>
      </c>
      <c r="AI157" s="252" t="str">
        <f>IF(ISNUMBER(SEARCH("R", 'WetLitterbags placem_collection'!$X84)),"YES","NO")</f>
        <v>YES</v>
      </c>
      <c r="AJ157" s="252" t="str">
        <f>IF(ISNUMBER(SEARCH("C", 'WetLitterbags placem_collection'!$V84)),"YES","NO")</f>
        <v>NO</v>
      </c>
      <c r="AK157" s="252" t="str">
        <f>IF(ISNUMBER(SEARCH("H", 'WetLitterbags placem_collection'!$V84)),"YES","NO")</f>
        <v>YES</v>
      </c>
      <c r="AL157" s="252" t="str">
        <f>IF(ISNUMBER(SEARCH("R", 'WetLitterbags placem_collection'!$V84)),"YES","NO")</f>
        <v>YES</v>
      </c>
    </row>
    <row r="158" spans="2:38">
      <c r="B158" t="str">
        <f>'Final data_for_R_analysis_Wetse'!A84</f>
        <v>Wet</v>
      </c>
      <c r="C158" s="260">
        <f>'Final data_for_R_analysis_Wetse'!B84</f>
        <v>83</v>
      </c>
      <c r="D158" t="s">
        <v>3813</v>
      </c>
      <c r="E158" t="s">
        <v>22</v>
      </c>
      <c r="F158" s="381">
        <v>3</v>
      </c>
      <c r="G158" s="16">
        <f>'WetLitterbags placem_collection'!E85</f>
        <v>42767</v>
      </c>
      <c r="H158" t="str">
        <f>'Final data_for_R_analysis_Wetse'!K84</f>
        <v>G494</v>
      </c>
      <c r="I158" t="str">
        <f>'Final data_for_R_analysis_Wetse'!K304</f>
        <v>R134</v>
      </c>
      <c r="J158">
        <f>IFERROR(INDEX('Green_rooibos initial weight'!$C$5:$C$2000,MATCH(H158, 'Green_rooibos initial weight'!$A$5:$A$2000,0)),"")</f>
        <v>1.903</v>
      </c>
      <c r="K158">
        <f>IFERROR(INDEX('Green_rooibos initial weight'!$C$5:$C$2000,MATCH(I158, 'Green_rooibos initial weight'!$A$5:$A$2000,0)),"")</f>
        <v>2.21</v>
      </c>
      <c r="L158" s="194">
        <f t="shared" si="18"/>
        <v>1.6532</v>
      </c>
      <c r="M158" s="194">
        <f>AVERAGE(Ashed_controlls!$K$2:$K$11)</f>
        <v>5.5147656768714146</v>
      </c>
      <c r="N158" s="194">
        <f t="shared" si="15"/>
        <v>1.5620298938299617</v>
      </c>
      <c r="O158" s="194">
        <f t="shared" si="19"/>
        <v>1.9601999999999999</v>
      </c>
      <c r="P158" s="194">
        <f>AVERAGE(Ashed_controlls!$K$12:$K$14)</f>
        <v>2.2816647271287041</v>
      </c>
      <c r="Q158" s="194">
        <f t="shared" si="20"/>
        <v>1.9154748080188231</v>
      </c>
      <c r="R158" s="16">
        <f>IF('WetLitterbags placem_collection'!G85="","",'WetLitterbags placem_collection'!G85)</f>
        <v>42819</v>
      </c>
      <c r="S158" s="194">
        <f>IFERROR(INDEX('Both teabags AfterWet'!$C$3:$C$2000,MATCH(H158,'Both teabags AfterWet'!$A$3:$A$2000,0)),"")</f>
        <v>0.90200000000000002</v>
      </c>
      <c r="T158" s="194">
        <f>IFERROR(INDEX('Both teabags AfterWet'!$C$3:$C$2000,MATCH(I158,'Both teabags AfterWet'!$A$3:$A$2000,0)),"")</f>
        <v>0.98799999999999999</v>
      </c>
      <c r="U158" s="194">
        <f t="shared" si="21"/>
        <v>0.75140000000000007</v>
      </c>
      <c r="V158" s="194">
        <f t="shared" si="22"/>
        <v>0.83739999999999992</v>
      </c>
      <c r="W158" s="194">
        <f>IFERROR(INDEX('Ashed teabags wet'!$K$2:$K$2000,MATCH(H158,'Ashed teabags wet'!$A$2:$A$2000,0)),"")</f>
        <v>18.525798525798983</v>
      </c>
      <c r="X158" s="237">
        <f>IFERROR(INDEX('Ashed teabags wet'!$K$2:$K$2000,MATCH(I158,'Ashed teabags wet'!$A$2:$A$2000,0)),"")</f>
        <v>61.99804113614087</v>
      </c>
      <c r="Y158" s="194">
        <f t="shared" si="27"/>
        <v>0.61219714987714646</v>
      </c>
      <c r="Z158" s="194">
        <f t="shared" si="27"/>
        <v>0.31822840352595638</v>
      </c>
      <c r="AA158" s="194">
        <f t="shared" si="23"/>
        <v>0.60807590668057432</v>
      </c>
      <c r="AB158" s="194">
        <f t="shared" si="24"/>
        <v>0.39864358727752619</v>
      </c>
      <c r="AC158" s="194">
        <f t="shared" si="16"/>
        <v>0.16613552012991506</v>
      </c>
      <c r="AD158">
        <f t="shared" si="17"/>
        <v>52</v>
      </c>
      <c r="AE158" s="194">
        <f t="shared" si="25"/>
        <v>0.27781958826535114</v>
      </c>
      <c r="AF158" s="194" t="str">
        <f t="shared" si="26"/>
        <v/>
      </c>
      <c r="AG158" s="252" t="str">
        <f>IF(ISNUMBER(SEARCH("C",'WetLitterbags placem_collection'!$X85)),"YES","NO")</f>
        <v>NO</v>
      </c>
      <c r="AH158" s="252" t="str">
        <f>IF(ISNUMBER(SEARCH("H", 'WetLitterbags placem_collection'!$X85)),"YES","NO")</f>
        <v>NO</v>
      </c>
      <c r="AI158" s="252" t="str">
        <f>IF(ISNUMBER(SEARCH("R", 'WetLitterbags placem_collection'!$X85)),"YES","NO")</f>
        <v>YES</v>
      </c>
      <c r="AJ158" s="252" t="str">
        <f>IF(ISNUMBER(SEARCH("C", 'WetLitterbags placem_collection'!$V85)),"YES","NO")</f>
        <v>NO</v>
      </c>
      <c r="AK158" s="252" t="str">
        <f>IF(ISNUMBER(SEARCH("H", 'WetLitterbags placem_collection'!$V85)),"YES","NO")</f>
        <v>NO</v>
      </c>
      <c r="AL158" s="252" t="str">
        <f>IF(ISNUMBER(SEARCH("R", 'WetLitterbags placem_collection'!$V85)),"YES","NO")</f>
        <v>YES</v>
      </c>
    </row>
    <row r="159" spans="2:38">
      <c r="B159" t="str">
        <f>'Final data_for_R_analysis_Wetse'!A85</f>
        <v>Wet</v>
      </c>
      <c r="C159" s="260">
        <f>'Final data_for_R_analysis_Wetse'!B85</f>
        <v>84</v>
      </c>
      <c r="D159" t="s">
        <v>3813</v>
      </c>
      <c r="E159" t="s">
        <v>22</v>
      </c>
      <c r="F159" s="382">
        <v>4</v>
      </c>
      <c r="G159" s="16">
        <f>'WetLitterbags placem_collection'!E86</f>
        <v>42767</v>
      </c>
      <c r="H159" t="str">
        <f>'Final data_for_R_analysis_Wetse'!K85</f>
        <v>G291</v>
      </c>
      <c r="I159" t="str">
        <f>'Final data_for_R_analysis_Wetse'!K305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8"/>
        <v>1.8382000000000001</v>
      </c>
      <c r="M159" s="194">
        <f>AVERAGE(Ashed_controlls!$K$2:$K$11)</f>
        <v>5.5147656768714146</v>
      </c>
      <c r="N159" s="194">
        <f t="shared" si="15"/>
        <v>1.7368275773277497</v>
      </c>
      <c r="O159" s="194">
        <f t="shared" si="19"/>
        <v>2.0501999999999998</v>
      </c>
      <c r="P159" s="194">
        <f>AVERAGE(Ashed_controlls!$K$12:$K$14)</f>
        <v>2.2816647271287041</v>
      </c>
      <c r="Q159" s="194">
        <f t="shared" si="20"/>
        <v>2.0034213097644069</v>
      </c>
      <c r="R159" s="16">
        <f>IF('WetLitterbags placem_collection'!G86="","",'WetLitterbags placem_collection'!G86)</f>
        <v>42819</v>
      </c>
      <c r="S159" s="194">
        <f>IFERROR(INDEX('Both teabags AfterWet'!$C$3:$C$2000,MATCH(H159,'Both teabags AfterWet'!$A$3:$A$2000,0)),"")</f>
        <v>0.90300000000000002</v>
      </c>
      <c r="T159" s="194">
        <f>IFERROR(INDEX('Both teabags AfterWet'!$C$3:$C$2000,MATCH(I159,'Both teabags AfterWet'!$A$3:$A$2000,0)),"")</f>
        <v>1.6379999999999999</v>
      </c>
      <c r="U159" s="194">
        <f t="shared" si="21"/>
        <v>0.75239999999999996</v>
      </c>
      <c r="V159" s="194">
        <f t="shared" si="22"/>
        <v>1.4873999999999998</v>
      </c>
      <c r="W159" s="194">
        <f>IFERROR(INDEX('Ashed teabags wet'!$K$2:$K$2000,MATCH(H159,'Ashed teabags wet'!$A$2:$A$2000,0)),"")</f>
        <v>11.922503725782521</v>
      </c>
      <c r="X159" s="237">
        <f>IFERROR(INDEX('Ashed teabags wet'!$K$2:$K$2000,MATCH(I159,'Ashed teabags wet'!$A$2:$A$2000,0)),"")</f>
        <v>8.8249634324722646</v>
      </c>
      <c r="Y159" s="194">
        <f t="shared" si="27"/>
        <v>0.66269508196721227</v>
      </c>
      <c r="Z159" s="194">
        <f t="shared" si="27"/>
        <v>1.3561374939054074</v>
      </c>
      <c r="AA159" s="194">
        <f t="shared" si="23"/>
        <v>0.6184450945978055</v>
      </c>
      <c r="AB159" s="194">
        <f t="shared" si="24"/>
        <v>0.40544143968882262</v>
      </c>
      <c r="AC159" s="194">
        <f t="shared" si="16"/>
        <v>0.67691078621145484</v>
      </c>
      <c r="AD159">
        <f t="shared" si="17"/>
        <v>52</v>
      </c>
      <c r="AE159" s="194">
        <f t="shared" si="25"/>
        <v>0.26550463824488657</v>
      </c>
      <c r="AF159" s="194">
        <f t="shared" si="26"/>
        <v>3.065328773159812E-2</v>
      </c>
      <c r="AG159" s="252" t="str">
        <f>IF(ISNUMBER(SEARCH("C",'WetLitterbags placem_collection'!$X86)),"YES","NO")</f>
        <v>NO</v>
      </c>
      <c r="AH159" s="252" t="str">
        <f>IF(ISNUMBER(SEARCH("H", 'WetLitterbags placem_collection'!$X86)),"YES","NO")</f>
        <v>NO</v>
      </c>
      <c r="AI159" s="252" t="str">
        <f>IF(ISNUMBER(SEARCH("R", 'WetLitterbags placem_collection'!$X86)),"YES","NO")</f>
        <v>YES</v>
      </c>
      <c r="AJ159" s="252" t="str">
        <f>IF(ISNUMBER(SEARCH("C", 'WetLitterbags placem_collection'!$V86)),"YES","NO")</f>
        <v>NO</v>
      </c>
      <c r="AK159" s="252" t="str">
        <f>IF(ISNUMBER(SEARCH("H", 'WetLitterbags placem_collection'!$V86)),"YES","NO")</f>
        <v>NO</v>
      </c>
      <c r="AL159" s="252" t="str">
        <f>IF(ISNUMBER(SEARCH("R", 'WetLitterbags placem_collection'!$V86)),"YES","NO")</f>
        <v>YES</v>
      </c>
    </row>
    <row r="160" spans="2:38">
      <c r="B160" t="str">
        <f>'Final data_for_R_analysis_Wetse'!A86</f>
        <v>Wet</v>
      </c>
      <c r="C160" s="260">
        <f>'Final data_for_R_analysis_Wetse'!B86</f>
        <v>85</v>
      </c>
      <c r="D160" t="s">
        <v>3813</v>
      </c>
      <c r="E160" t="s">
        <v>22</v>
      </c>
      <c r="F160" s="382">
        <v>5</v>
      </c>
      <c r="G160" s="16">
        <f>'WetLitterbags placem_collection'!E87</f>
        <v>42767</v>
      </c>
      <c r="H160" t="str">
        <f>'Final data_for_R_analysis_Wetse'!K86</f>
        <v>G308</v>
      </c>
      <c r="I160" t="str">
        <f>'Final data_for_R_analysis_Wetse'!K306</f>
        <v>R315</v>
      </c>
      <c r="J160">
        <f>IFERROR(INDEX('Green_rooibos initial weight'!$C$5:$C$2000,MATCH(H160, 'Green_rooibos initial weight'!$A$5:$A$2000,0)),"")</f>
        <v>1.982</v>
      </c>
      <c r="K160">
        <f>IFERROR(INDEX('Green_rooibos initial weight'!$C$5:$C$2000,MATCH(I160, 'Green_rooibos initial weight'!$A$5:$A$2000,0)),"")</f>
        <v>2.2440000000000002</v>
      </c>
      <c r="L160" s="194">
        <f t="shared" si="18"/>
        <v>1.7322</v>
      </c>
      <c r="M160" s="194">
        <f>AVERAGE(Ashed_controlls!$K$2:$K$11)</f>
        <v>5.5147656768714146</v>
      </c>
      <c r="N160" s="194">
        <f t="shared" si="15"/>
        <v>1.6366732289452333</v>
      </c>
      <c r="O160" s="194">
        <f t="shared" si="19"/>
        <v>1.9942000000000002</v>
      </c>
      <c r="P160" s="194">
        <f>AVERAGE(Ashed_controlls!$K$12:$K$14)</f>
        <v>2.2816647271287041</v>
      </c>
      <c r="Q160" s="194">
        <f t="shared" si="20"/>
        <v>1.9486990420115995</v>
      </c>
      <c r="R160" s="16">
        <f>IF('WetLitterbags placem_collection'!G87="","",'WetLitterbags placem_collection'!G87)</f>
        <v>42819</v>
      </c>
      <c r="S160" s="194">
        <f>IFERROR(INDEX('Both teabags AfterWet'!$C$3:$C$2000,MATCH(H160,'Both teabags AfterWet'!$A$3:$A$2000,0)),"")</f>
        <v>1.256</v>
      </c>
      <c r="T160" s="194">
        <f>IFERROR(INDEX('Both teabags AfterWet'!$C$3:$C$2000,MATCH(I160,'Both teabags AfterWet'!$A$3:$A$2000,0)),"")</f>
        <v>1.4850000000000001</v>
      </c>
      <c r="U160" s="194">
        <f t="shared" si="21"/>
        <v>1.1053999999999999</v>
      </c>
      <c r="V160" s="194">
        <f t="shared" si="22"/>
        <v>1.3344</v>
      </c>
      <c r="W160" s="194">
        <f>IFERROR(INDEX('Ashed teabags wet'!$K$2:$K$2000,MATCH(H160,'Ashed teabags wet'!$A$2:$A$2000,0)),"")</f>
        <v>39.801980198020281</v>
      </c>
      <c r="X160" s="237">
        <f>IFERROR(INDEX('Ashed teabags wet'!$K$2:$K$2000,MATCH(I160,'Ashed teabags wet'!$A$2:$A$2000,0)),"")</f>
        <v>10.368550368550631</v>
      </c>
      <c r="Y160" s="194">
        <f t="shared" si="27"/>
        <v>0.6654289108910838</v>
      </c>
      <c r="Z160" s="194">
        <f t="shared" si="27"/>
        <v>1.1960420638820604</v>
      </c>
      <c r="AA160" s="194">
        <f t="shared" si="23"/>
        <v>0.59342592087247337</v>
      </c>
      <c r="AB160" s="194">
        <f t="shared" si="24"/>
        <v>0.38903932104703726</v>
      </c>
      <c r="AC160" s="194">
        <f t="shared" si="16"/>
        <v>0.61376438233756825</v>
      </c>
      <c r="AD160">
        <f t="shared" si="17"/>
        <v>52</v>
      </c>
      <c r="AE160" s="194">
        <f t="shared" si="25"/>
        <v>0.29521862129159926</v>
      </c>
      <c r="AF160" s="194">
        <f t="shared" si="26"/>
        <v>9.4860370005136627E-2</v>
      </c>
      <c r="AG160" s="252" t="str">
        <f>IF(ISNUMBER(SEARCH("C",'WetLitterbags placem_collection'!$X87)),"YES","NO")</f>
        <v>NO</v>
      </c>
      <c r="AH160" s="252" t="str">
        <f>IF(ISNUMBER(SEARCH("H", 'WetLitterbags placem_collection'!$X87)),"YES","NO")</f>
        <v>NO</v>
      </c>
      <c r="AI160" s="252" t="str">
        <f>IF(ISNUMBER(SEARCH("R", 'WetLitterbags placem_collection'!$X87)),"YES","NO")</f>
        <v>YES</v>
      </c>
      <c r="AJ160" s="252" t="str">
        <f>IF(ISNUMBER(SEARCH("C", 'WetLitterbags placem_collection'!$V87)),"YES","NO")</f>
        <v>NO</v>
      </c>
      <c r="AK160" s="252" t="str">
        <f>IF(ISNUMBER(SEARCH("H", 'WetLitterbags placem_collection'!$V87)),"YES","NO")</f>
        <v>YES</v>
      </c>
      <c r="AL160" s="252" t="str">
        <f>IF(ISNUMBER(SEARCH("R", 'WetLitterbags placem_collection'!$V87)),"YES","NO")</f>
        <v>YES</v>
      </c>
    </row>
    <row r="161" spans="2:38">
      <c r="B161" t="str">
        <f>'Final data_for_R_analysis_Wetse'!A87</f>
        <v>Wet</v>
      </c>
      <c r="C161" s="260">
        <f>'Final data_for_R_analysis_Wetse'!B87</f>
        <v>86</v>
      </c>
      <c r="D161" t="s">
        <v>3813</v>
      </c>
      <c r="E161" t="s">
        <v>22</v>
      </c>
      <c r="F161" s="382">
        <v>6</v>
      </c>
      <c r="G161" s="16">
        <f>'WetLitterbags placem_collection'!E88</f>
        <v>42767</v>
      </c>
      <c r="H161" t="str">
        <f>'Final data_for_R_analysis_Wetse'!K87</f>
        <v>G723</v>
      </c>
      <c r="I161" t="str">
        <f>'Final data_for_R_analysis_Wetse'!K307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8"/>
        <v>1.7631999999999999</v>
      </c>
      <c r="M161" s="194">
        <f>AVERAGE(Ashed_controlls!$K$2:$K$11)</f>
        <v>5.5147656768714146</v>
      </c>
      <c r="N161" s="194">
        <f t="shared" si="15"/>
        <v>1.665963651585403</v>
      </c>
      <c r="O161" s="194">
        <f t="shared" si="19"/>
        <v>1.9611999999999998</v>
      </c>
      <c r="P161" s="194">
        <f>AVERAGE(Ashed_controlls!$K$12:$K$14)</f>
        <v>2.2816647271287041</v>
      </c>
      <c r="Q161" s="194">
        <f t="shared" si="20"/>
        <v>1.9164519913715516</v>
      </c>
      <c r="R161" s="16">
        <f>IF('WetLitterbags placem_collection'!G88="","",'WetLitterbags placem_collection'!G88)</f>
        <v>42819</v>
      </c>
      <c r="S161" s="194">
        <f>IFERROR(INDEX('Both teabags AfterWet'!$C$3:$C$2000,MATCH(H161,'Both teabags AfterWet'!$A$3:$A$2000,0)),"")</f>
        <v>0.78249999999999997</v>
      </c>
      <c r="T161" s="194">
        <f>IFERROR(INDEX('Both teabags AfterWet'!$C$3:$C$2000,MATCH(I161,'Both teabags AfterWet'!$A$3:$A$2000,0)),"")</f>
        <v>0.38169999999999998</v>
      </c>
      <c r="U161" s="194">
        <f t="shared" si="21"/>
        <v>0.63189999999999991</v>
      </c>
      <c r="V161" s="194">
        <f t="shared" si="22"/>
        <v>0.23109999999999997</v>
      </c>
      <c r="W161" s="194">
        <f>IFERROR(INDEX('Ashed teabags wet'!$K$2:$K$2000,MATCH(H161,'Ashed teabags wet'!$A$2:$A$2000,0)),"")</f>
        <v>7.4680306905364882</v>
      </c>
      <c r="X161" s="237">
        <f>IFERROR(INDEX('Ashed teabags wet'!$K$2:$K$2000,MATCH(I161,'Ashed teabags wet'!$A$2:$A$2000,0)),"")</f>
        <v>0</v>
      </c>
      <c r="Y161" s="194">
        <f t="shared" si="27"/>
        <v>0.58470951406649985</v>
      </c>
      <c r="Z161" s="194">
        <f t="shared" si="27"/>
        <v>0.23109999999999997</v>
      </c>
      <c r="AA161" s="194">
        <f t="shared" si="23"/>
        <v>0.64902624765548456</v>
      </c>
      <c r="AB161" s="194">
        <f t="shared" si="24"/>
        <v>0.42548989157461697</v>
      </c>
      <c r="AC161" s="194">
        <f t="shared" si="16"/>
        <v>0.12058741937730885</v>
      </c>
      <c r="AD161">
        <f t="shared" si="17"/>
        <v>52</v>
      </c>
      <c r="AE161" s="194">
        <f t="shared" si="25"/>
        <v>0.22918497903149104</v>
      </c>
      <c r="AF161" s="194" t="str">
        <f t="shared" si="26"/>
        <v/>
      </c>
      <c r="AG161" s="252" t="str">
        <f>IF(ISNUMBER(SEARCH("C",'WetLitterbags placem_collection'!$X88)),"YES","NO")</f>
        <v>NO</v>
      </c>
      <c r="AH161" s="252" t="str">
        <f>IF(ISNUMBER(SEARCH("H", 'WetLitterbags placem_collection'!$X88)),"YES","NO")</f>
        <v>NO</v>
      </c>
      <c r="AI161" s="252" t="str">
        <f>IF(ISNUMBER(SEARCH("R", 'WetLitterbags placem_collection'!$X88)),"YES","NO")</f>
        <v>YES</v>
      </c>
      <c r="AJ161" s="252" t="str">
        <f>IF(ISNUMBER(SEARCH("C", 'WetLitterbags placem_collection'!$V88)),"YES","NO")</f>
        <v>NO</v>
      </c>
      <c r="AK161" s="252" t="str">
        <f>IF(ISNUMBER(SEARCH("H", 'WetLitterbags placem_collection'!$V88)),"YES","NO")</f>
        <v>NO</v>
      </c>
      <c r="AL161" s="252" t="str">
        <f>IF(ISNUMBER(SEARCH("R", 'WetLitterbags placem_collection'!$V88)),"YES","NO")</f>
        <v>YES</v>
      </c>
    </row>
    <row r="162" spans="2:38">
      <c r="B162" t="str">
        <f>'Final data_for_R_analysis_Wetse'!A88</f>
        <v>Wet</v>
      </c>
      <c r="C162" s="260">
        <f>'Final data_for_R_analysis_Wetse'!B88</f>
        <v>87</v>
      </c>
      <c r="D162" t="s">
        <v>3813</v>
      </c>
      <c r="E162" t="s">
        <v>22</v>
      </c>
      <c r="F162" s="382">
        <v>7</v>
      </c>
      <c r="G162" s="16">
        <f>'WetLitterbags placem_collection'!E89</f>
        <v>42767</v>
      </c>
      <c r="H162" t="str">
        <f>'Final data_for_R_analysis_Wetse'!K88</f>
        <v>G628</v>
      </c>
      <c r="I162" t="str">
        <f>'Final data_for_R_analysis_Wetse'!K308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8"/>
        <v>1.8241999999999998</v>
      </c>
      <c r="M162" s="194">
        <f>AVERAGE(Ashed_controlls!$K$2:$K$11)</f>
        <v>5.5147656768714146</v>
      </c>
      <c r="N162" s="194">
        <f t="shared" si="15"/>
        <v>1.7235996445225115</v>
      </c>
      <c r="O162" s="194">
        <f t="shared" si="19"/>
        <v>1.9982000000000002</v>
      </c>
      <c r="P162" s="194">
        <f>AVERAGE(Ashed_controlls!$K$12:$K$14)</f>
        <v>2.2816647271287041</v>
      </c>
      <c r="Q162" s="194">
        <f t="shared" si="20"/>
        <v>1.9526077754225144</v>
      </c>
      <c r="R162" s="16">
        <f>IF('WetLitterbags placem_collection'!G89="","",'WetLitterbags placem_collection'!G89)</f>
        <v>42819</v>
      </c>
      <c r="S162" s="194">
        <f>IFERROR(INDEX('Both teabags AfterWet'!$C$3:$C$2000,MATCH(H162,'Both teabags AfterWet'!$A$3:$A$2000,0)),"")</f>
        <v>0.8639</v>
      </c>
      <c r="T162" s="194">
        <f>IFERROR(INDEX('Both teabags AfterWet'!$C$3:$C$2000,MATCH(I162,'Both teabags AfterWet'!$A$3:$A$2000,0)),"")</f>
        <v>0.3599</v>
      </c>
      <c r="U162" s="194">
        <f t="shared" si="21"/>
        <v>0.71330000000000005</v>
      </c>
      <c r="V162" s="194">
        <f t="shared" si="22"/>
        <v>0.20929999999999999</v>
      </c>
      <c r="W162" s="194">
        <f>IFERROR(INDEX('Ashed teabags wet'!$K$2:$K$2000,MATCH(H162,'Ashed teabags wet'!$A$2:$A$2000,0)),"")</f>
        <v>12.74038461538643</v>
      </c>
      <c r="X162" s="237">
        <f>IFERROR(INDEX('Ashed teabags wet'!$K$2:$K$2000,MATCH(I162,'Ashed teabags wet'!$A$2:$A$2000,0)),"")</f>
        <v>0</v>
      </c>
      <c r="Y162" s="194">
        <f t="shared" si="27"/>
        <v>0.62242283653844865</v>
      </c>
      <c r="Z162" s="194">
        <f t="shared" si="27"/>
        <v>0.20929999999999999</v>
      </c>
      <c r="AA162" s="194">
        <f t="shared" si="23"/>
        <v>0.63888201154109758</v>
      </c>
      <c r="AB162" s="194">
        <f t="shared" si="24"/>
        <v>0.41883951350437754</v>
      </c>
      <c r="AC162" s="194">
        <f t="shared" si="16"/>
        <v>0.10718998594313733</v>
      </c>
      <c r="AD162">
        <f t="shared" si="17"/>
        <v>52</v>
      </c>
      <c r="AE162" s="194">
        <f t="shared" si="25"/>
        <v>0.24123276539062044</v>
      </c>
      <c r="AF162" s="194" t="str">
        <f t="shared" si="26"/>
        <v/>
      </c>
      <c r="AG162" s="252" t="str">
        <f>IF(ISNUMBER(SEARCH("C",'WetLitterbags placem_collection'!$X89)),"YES","NO")</f>
        <v>NO</v>
      </c>
      <c r="AH162" s="252" t="str">
        <f>IF(ISNUMBER(SEARCH("H", 'WetLitterbags placem_collection'!$X89)),"YES","NO")</f>
        <v>NO</v>
      </c>
      <c r="AI162" s="252" t="str">
        <f>IF(ISNUMBER(SEARCH("R", 'WetLitterbags placem_collection'!$X89)),"YES","NO")</f>
        <v>YES</v>
      </c>
      <c r="AJ162" s="252" t="str">
        <f>IF(ISNUMBER(SEARCH("C", 'WetLitterbags placem_collection'!$V89)),"YES","NO")</f>
        <v>YES</v>
      </c>
      <c r="AK162" s="252" t="str">
        <f>IF(ISNUMBER(SEARCH("H", 'WetLitterbags placem_collection'!$V89)),"YES","NO")</f>
        <v>YES</v>
      </c>
      <c r="AL162" s="252" t="str">
        <f>IF(ISNUMBER(SEARCH("R", 'WetLitterbags placem_collection'!$V89)),"YES","NO")</f>
        <v>YES</v>
      </c>
    </row>
    <row r="163" spans="2:38">
      <c r="B163" t="str">
        <f>'Final data_for_R_analysis_Wetse'!A89</f>
        <v>Wet</v>
      </c>
      <c r="C163" s="260">
        <f>'Final data_for_R_analysis_Wetse'!B89</f>
        <v>88</v>
      </c>
      <c r="D163" t="s">
        <v>3813</v>
      </c>
      <c r="E163" t="s">
        <v>22</v>
      </c>
      <c r="F163" s="382">
        <v>8</v>
      </c>
      <c r="G163" s="16">
        <f>'WetLitterbags placem_collection'!E90</f>
        <v>42767</v>
      </c>
      <c r="H163" t="str">
        <f>'Final data_for_R_analysis_Wetse'!K89</f>
        <v>G569</v>
      </c>
      <c r="I163" t="str">
        <f>'Final data_for_R_analysis_Wetse'!K309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8"/>
        <v>1.7452000000000001</v>
      </c>
      <c r="M163" s="194">
        <f>AVERAGE(Ashed_controlls!$K$2:$K$11)</f>
        <v>5.5147656768714146</v>
      </c>
      <c r="N163" s="194">
        <f t="shared" si="15"/>
        <v>1.6489563094072401</v>
      </c>
      <c r="O163" s="194">
        <f t="shared" si="19"/>
        <v>2.0061999999999998</v>
      </c>
      <c r="P163" s="194">
        <f>AVERAGE(Ashed_controlls!$K$12:$K$14)</f>
        <v>2.2816647271287041</v>
      </c>
      <c r="Q163" s="194">
        <f t="shared" si="20"/>
        <v>1.9604252422443438</v>
      </c>
      <c r="R163" s="16">
        <f>IF('WetLitterbags placem_collection'!G90="","",'WetLitterbags placem_collection'!G90)</f>
        <v>42819</v>
      </c>
      <c r="S163" s="194">
        <f>IFERROR(INDEX('Both teabags AfterWet'!$C$3:$C$2000,MATCH(H163,'Both teabags AfterWet'!$A$3:$A$2000,0)),"")</f>
        <v>0.75700000000000001</v>
      </c>
      <c r="T163" s="194" t="str">
        <f>IFERROR(INDEX('Both teabags AfterWet'!$C$3:$C$2000,MATCH(I163,'Both teabags AfterWet'!$A$3:$A$2000,0)),"")</f>
        <v/>
      </c>
      <c r="U163" s="194">
        <f t="shared" si="21"/>
        <v>0.60640000000000005</v>
      </c>
      <c r="V163" s="194" t="str">
        <f t="shared" si="22"/>
        <v/>
      </c>
      <c r="W163" s="194">
        <f>IFERROR(INDEX('Ashed teabags wet'!$K$2:$K$2000,MATCH(H163,'Ashed teabags wet'!$A$2:$A$2000,0)),"")</f>
        <v>14.724480578138884</v>
      </c>
      <c r="X163" s="237" t="str">
        <f>IFERROR(INDEX('Ashed teabags wet'!$K$2:$K$2000,MATCH(I163,'Ashed teabags wet'!$A$2:$A$2000,0)),"")</f>
        <v/>
      </c>
      <c r="Y163" s="194">
        <f t="shared" si="27"/>
        <v>0.51711074977416582</v>
      </c>
      <c r="Z163" s="194" t="str">
        <f t="shared" si="27"/>
        <v/>
      </c>
      <c r="AA163" s="194">
        <f t="shared" si="23"/>
        <v>0.68640118187239629</v>
      </c>
      <c r="AB163" s="194">
        <f t="shared" si="24"/>
        <v>0.44999222374532399</v>
      </c>
      <c r="AC163" s="194" t="str">
        <f t="shared" si="16"/>
        <v/>
      </c>
      <c r="AD163">
        <f t="shared" si="17"/>
        <v>52</v>
      </c>
      <c r="AE163" s="194">
        <f t="shared" si="25"/>
        <v>0.18479669611354355</v>
      </c>
      <c r="AF163" s="194" t="str">
        <f t="shared" si="26"/>
        <v/>
      </c>
      <c r="AG163" s="252" t="str">
        <f>IF(ISNUMBER(SEARCH("C",'WetLitterbags placem_collection'!$X90)),"YES","NO")</f>
        <v>NO</v>
      </c>
      <c r="AH163" s="252" t="str">
        <f>IF(ISNUMBER(SEARCH("H", 'WetLitterbags placem_collection'!$X90)),"YES","NO")</f>
        <v>NO</v>
      </c>
      <c r="AI163" s="252" t="str">
        <f>IF(ISNUMBER(SEARCH("R", 'WetLitterbags placem_collection'!$X90)),"YES","NO")</f>
        <v>NO</v>
      </c>
      <c r="AJ163" s="252" t="str">
        <f>IF(ISNUMBER(SEARCH("C", 'WetLitterbags placem_collection'!$V90)),"YES","NO")</f>
        <v>NO</v>
      </c>
      <c r="AK163" s="252" t="str">
        <f>IF(ISNUMBER(SEARCH("H", 'WetLitterbags placem_collection'!$V90)),"YES","NO")</f>
        <v>NO</v>
      </c>
      <c r="AL163" s="252" t="str">
        <f>IF(ISNUMBER(SEARCH("R", 'WetLitterbags placem_collection'!$V90)),"YES","NO")</f>
        <v>NO</v>
      </c>
    </row>
    <row r="164" spans="2:38">
      <c r="B164" t="str">
        <f>'Final data_for_R_analysis_Wetse'!A90</f>
        <v>Wet</v>
      </c>
      <c r="C164" s="260">
        <f>'Final data_for_R_analysis_Wetse'!B90</f>
        <v>89</v>
      </c>
      <c r="D164" t="s">
        <v>3814</v>
      </c>
      <c r="E164" t="s">
        <v>22</v>
      </c>
      <c r="F164" s="381">
        <v>1</v>
      </c>
      <c r="G164" s="16">
        <f>'WetLitterbags placem_collection'!E91</f>
        <v>42767</v>
      </c>
      <c r="H164" t="str">
        <f>'Final data_for_R_analysis_Wetse'!K90</f>
        <v>G339</v>
      </c>
      <c r="I164" t="str">
        <f>'Final data_for_R_analysis_Wetse'!K310</f>
        <v>R196</v>
      </c>
      <c r="J164">
        <f>IFERROR(INDEX('Green_rooibos initial weight'!$C$5:$C$2000,MATCH(H164, 'Green_rooibos initial weight'!$A$5:$A$2000,0)),"")</f>
        <v>2.0219999999999998</v>
      </c>
      <c r="K164">
        <f>IFERROR(INDEX('Green_rooibos initial weight'!$C$5:$C$2000,MATCH(I164, 'Green_rooibos initial weight'!$A$5:$A$2000,0)),"")</f>
        <v>2.242</v>
      </c>
      <c r="L164" s="194">
        <f t="shared" si="18"/>
        <v>1.7721999999999998</v>
      </c>
      <c r="M164" s="194">
        <f>AVERAGE(Ashed_controlls!$K$2:$K$11)</f>
        <v>5.5147656768714146</v>
      </c>
      <c r="N164" s="194">
        <f t="shared" si="15"/>
        <v>1.6744673226744846</v>
      </c>
      <c r="O164" s="194">
        <f t="shared" si="19"/>
        <v>1.9922</v>
      </c>
      <c r="P164" s="194">
        <f>AVERAGE(Ashed_controlls!$K$12:$K$14)</f>
        <v>2.2816647271287041</v>
      </c>
      <c r="Q164" s="194">
        <f t="shared" si="20"/>
        <v>1.9467446753061419</v>
      </c>
      <c r="R164" s="16">
        <f>IF('WetLitterbags placem_collection'!G91="","",'WetLitterbags placem_collection'!G91)</f>
        <v>42819</v>
      </c>
      <c r="S164" s="194" t="str">
        <f>IFERROR(INDEX('Both teabags AfterWet'!$C$3:$C$2000,MATCH(H164,'Both teabags AfterWet'!$A$3:$A$2000,0)),"")</f>
        <v/>
      </c>
      <c r="T164" s="194">
        <f>IFERROR(INDEX('Both teabags AfterWet'!$C$3:$C$2000,MATCH(I164,'Both teabags AfterWet'!$A$3:$A$2000,0)),"")</f>
        <v>0.17399999999999999</v>
      </c>
      <c r="U164" s="194" t="str">
        <f t="shared" si="21"/>
        <v/>
      </c>
      <c r="V164" s="194">
        <f t="shared" si="22"/>
        <v>2.3399999999999976E-2</v>
      </c>
      <c r="W164" s="194" t="str">
        <f>IFERROR(INDEX('Ashed teabags wet'!$K$2:$K$2000,MATCH(H164,'Ashed teabags wet'!$A$2:$A$2000,0)),"")</f>
        <v/>
      </c>
      <c r="X164" s="237">
        <f>IFERROR(INDEX('Ashed teabags wet'!$K$2:$K$2000,MATCH(I164,'Ashed teabags wet'!$A$2:$A$2000,0)),"")</f>
        <v>0</v>
      </c>
      <c r="Y164" s="194" t="str">
        <f t="shared" si="27"/>
        <v/>
      </c>
      <c r="Z164" s="194">
        <f t="shared" si="27"/>
        <v>2.3399999999999976E-2</v>
      </c>
      <c r="AA164" s="194" t="str">
        <f t="shared" si="23"/>
        <v/>
      </c>
      <c r="AB164" s="194" t="str">
        <f t="shared" si="24"/>
        <v/>
      </c>
      <c r="AC164" s="194">
        <f t="shared" si="16"/>
        <v>1.2020066265916526E-2</v>
      </c>
      <c r="AD164">
        <f t="shared" si="17"/>
        <v>52</v>
      </c>
      <c r="AE164" s="194" t="str">
        <f t="shared" si="25"/>
        <v/>
      </c>
      <c r="AF164" s="194" t="str">
        <f t="shared" si="26"/>
        <v/>
      </c>
      <c r="AG164" s="252" t="str">
        <f>IF(ISNUMBER(SEARCH("C",'WetLitterbags placem_collection'!$X91)),"YES","NO")</f>
        <v>NO</v>
      </c>
      <c r="AH164" s="252" t="str">
        <f>IF(ISNUMBER(SEARCH("H", 'WetLitterbags placem_collection'!$X91)),"YES","NO")</f>
        <v>NO</v>
      </c>
      <c r="AI164" s="252" t="str">
        <f>IF(ISNUMBER(SEARCH("R", 'WetLitterbags placem_collection'!$X91)),"YES","NO")</f>
        <v>YES</v>
      </c>
      <c r="AJ164" s="252" t="str">
        <f>IF(ISNUMBER(SEARCH("C", 'WetLitterbags placem_collection'!$V91)),"YES","NO")</f>
        <v>NO</v>
      </c>
      <c r="AK164" s="252" t="str">
        <f>IF(ISNUMBER(SEARCH("H", 'WetLitterbags placem_collection'!$V91)),"YES","NO")</f>
        <v>NO</v>
      </c>
      <c r="AL164" s="252" t="str">
        <f>IF(ISNUMBER(SEARCH("R", 'WetLitterbags placem_collection'!$V91)),"YES","NO")</f>
        <v>NO</v>
      </c>
    </row>
    <row r="165" spans="2:38">
      <c r="B165" t="str">
        <f>'Final data_for_R_analysis_Wetse'!A91</f>
        <v>Wet</v>
      </c>
      <c r="C165" s="260">
        <f>'Final data_for_R_analysis_Wetse'!B91</f>
        <v>90</v>
      </c>
      <c r="D165" t="s">
        <v>3814</v>
      </c>
      <c r="E165" t="s">
        <v>22</v>
      </c>
      <c r="F165" s="381">
        <v>2</v>
      </c>
      <c r="G165" s="16">
        <f>'WetLitterbags placem_collection'!E92</f>
        <v>42767</v>
      </c>
      <c r="H165" t="str">
        <f>'Final data_for_R_analysis_Wetse'!K91</f>
        <v>G592</v>
      </c>
      <c r="I165" t="str">
        <f>'Final data_for_R_analysis_Wetse'!K311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8"/>
        <v>1.8201999999999998</v>
      </c>
      <c r="M165" s="194">
        <f>AVERAGE(Ashed_controlls!$K$2:$K$11)</f>
        <v>5.5147656768714146</v>
      </c>
      <c r="N165" s="194">
        <f t="shared" si="15"/>
        <v>1.7198202351495864</v>
      </c>
      <c r="O165" s="194">
        <f t="shared" si="19"/>
        <v>2.0272000000000001</v>
      </c>
      <c r="P165" s="194">
        <f>AVERAGE(Ashed_controlls!$K$12:$K$14)</f>
        <v>2.2816647271287041</v>
      </c>
      <c r="Q165" s="194">
        <f t="shared" si="20"/>
        <v>1.9809460926516471</v>
      </c>
      <c r="R165" s="16">
        <f>IF('WetLitterbags placem_collection'!G92="","",'WetLitterbags placem_collection'!G92)</f>
        <v>42819</v>
      </c>
      <c r="S165" s="194">
        <f>IFERROR(INDEX('Both teabags AfterWet'!$C$3:$C$2000,MATCH(H165,'Both teabags AfterWet'!$A$3:$A$2000,0)),"")</f>
        <v>1.0779000000000001</v>
      </c>
      <c r="T165" s="194">
        <f>IFERROR(INDEX('Both teabags AfterWet'!$C$3:$C$2000,MATCH(I165,'Both teabags AfterWet'!$A$3:$A$2000,0)),"")</f>
        <v>1.7455000000000001</v>
      </c>
      <c r="U165" s="194">
        <f t="shared" si="21"/>
        <v>0.92730000000000001</v>
      </c>
      <c r="V165" s="194">
        <f t="shared" si="22"/>
        <v>1.5949</v>
      </c>
      <c r="W165" s="194">
        <f>IFERROR(INDEX('Ashed teabags wet'!$K$2:$K$2000,MATCH(H165,'Ashed teabags wet'!$A$2:$A$2000,0)),"")</f>
        <v>33.166583291646958</v>
      </c>
      <c r="X165" s="237">
        <f>IFERROR(INDEX('Ashed teabags wet'!$K$2:$K$2000,MATCH(I165,'Ashed teabags wet'!$A$2:$A$2000,0)),"")</f>
        <v>4.0694789081900105</v>
      </c>
      <c r="Y165" s="194">
        <f t="shared" si="27"/>
        <v>0.61974627313655772</v>
      </c>
      <c r="Z165" s="194">
        <f t="shared" si="27"/>
        <v>1.5299958808932774</v>
      </c>
      <c r="AA165" s="194">
        <f t="shared" si="23"/>
        <v>0.63964473700784574</v>
      </c>
      <c r="AB165" s="194">
        <f t="shared" si="24"/>
        <v>0.41933954255146183</v>
      </c>
      <c r="AC165" s="194">
        <f t="shared" si="16"/>
        <v>0.77235614162789334</v>
      </c>
      <c r="AD165">
        <f t="shared" si="17"/>
        <v>52</v>
      </c>
      <c r="AE165" s="194">
        <f t="shared" si="25"/>
        <v>0.24032691566764164</v>
      </c>
      <c r="AF165" s="194">
        <f t="shared" si="26"/>
        <v>1.505330422020452E-2</v>
      </c>
      <c r="AG165" s="252" t="str">
        <f>IF(ISNUMBER(SEARCH("C",'WetLitterbags placem_collection'!$X92)),"YES","NO")</f>
        <v>NO</v>
      </c>
      <c r="AH165" s="252" t="str">
        <f>IF(ISNUMBER(SEARCH("H", 'WetLitterbags placem_collection'!$X92)),"YES","NO")</f>
        <v>NO</v>
      </c>
      <c r="AI165" s="252" t="str">
        <f>IF(ISNUMBER(SEARCH("R", 'WetLitterbags placem_collection'!$X92)),"YES","NO")</f>
        <v>NO</v>
      </c>
      <c r="AJ165" s="252" t="str">
        <f>IF(ISNUMBER(SEARCH("C", 'WetLitterbags placem_collection'!$V92)),"YES","NO")</f>
        <v>NO</v>
      </c>
      <c r="AK165" s="252" t="str">
        <f>IF(ISNUMBER(SEARCH("H", 'WetLitterbags placem_collection'!$V92)),"YES","NO")</f>
        <v>NO</v>
      </c>
      <c r="AL165" s="252" t="str">
        <f>IF(ISNUMBER(SEARCH("R", 'WetLitterbags placem_collection'!$V92)),"YES","NO")</f>
        <v>NO</v>
      </c>
    </row>
    <row r="166" spans="2:38">
      <c r="B166" t="str">
        <f>'Final data_for_R_analysis_Wetse'!A92</f>
        <v>Wet</v>
      </c>
      <c r="C166" s="260">
        <f>'Final data_for_R_analysis_Wetse'!B92</f>
        <v>91</v>
      </c>
      <c r="D166" t="s">
        <v>3814</v>
      </c>
      <c r="E166" t="s">
        <v>22</v>
      </c>
      <c r="F166" s="381">
        <v>3</v>
      </c>
      <c r="G166" s="16">
        <f>'WetLitterbags placem_collection'!E93</f>
        <v>42767</v>
      </c>
      <c r="H166" t="str">
        <f>'Final data_for_R_analysis_Wetse'!K92</f>
        <v>G472</v>
      </c>
      <c r="I166" t="str">
        <f>'Final data_for_R_analysis_Wetse'!K312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8"/>
        <v>1.7212000000000001</v>
      </c>
      <c r="M166" s="194">
        <f>AVERAGE(Ashed_controlls!$K$2:$K$11)</f>
        <v>5.5147656768714146</v>
      </c>
      <c r="N166" s="194">
        <f t="shared" si="15"/>
        <v>1.6262798531696894</v>
      </c>
      <c r="O166" s="194">
        <f t="shared" si="19"/>
        <v>1.9931999999999999</v>
      </c>
      <c r="P166" s="194">
        <f>AVERAGE(Ashed_controlls!$K$12:$K$14)</f>
        <v>2.2816647271287041</v>
      </c>
      <c r="Q166" s="194">
        <f t="shared" si="20"/>
        <v>1.9477218586588705</v>
      </c>
      <c r="R166" s="16">
        <f>IF('WetLitterbags placem_collection'!G93="","",'WetLitterbags placem_collection'!G93)</f>
        <v>42819</v>
      </c>
      <c r="S166" s="194">
        <f>IFERROR(INDEX('Both teabags AfterWet'!$C$3:$C$2000,MATCH(H166,'Both teabags AfterWet'!$A$3:$A$2000,0)),"")</f>
        <v>0.76100000000000001</v>
      </c>
      <c r="T166" s="194">
        <f>IFERROR(INDEX('Both teabags AfterWet'!$C$3:$C$2000,MATCH(I166,'Both teabags AfterWet'!$A$3:$A$2000,0)),"")</f>
        <v>0.16200000000000001</v>
      </c>
      <c r="U166" s="194">
        <f t="shared" si="21"/>
        <v>0.61040000000000005</v>
      </c>
      <c r="V166" s="194">
        <f t="shared" si="22"/>
        <v>1.1399999999999993E-2</v>
      </c>
      <c r="W166" s="194">
        <f>IFERROR(INDEX('Ashed teabags wet'!$K$2:$K$2000,MATCH(H166,'Ashed teabags wet'!$A$2:$A$2000,0)),"")</f>
        <v>13.069604406610589</v>
      </c>
      <c r="X166" s="237">
        <f>IFERROR(INDEX('Ashed teabags wet'!$K$2:$K$2000,MATCH(I166,'Ashed teabags wet'!$A$2:$A$2000,0)),"")</f>
        <v>83.97683397683403</v>
      </c>
      <c r="Y166" s="194">
        <f t="shared" si="27"/>
        <v>0.53062313470204903</v>
      </c>
      <c r="Z166" s="194">
        <f t="shared" si="27"/>
        <v>1.8266409266409194E-3</v>
      </c>
      <c r="AA166" s="194">
        <f t="shared" si="23"/>
        <v>0.67371966536519423</v>
      </c>
      <c r="AB166" s="194">
        <f t="shared" si="24"/>
        <v>0.44167845045319154</v>
      </c>
      <c r="AC166" s="194">
        <f t="shared" si="16"/>
        <v>9.378345878906329E-4</v>
      </c>
      <c r="AD166">
        <f t="shared" si="17"/>
        <v>52</v>
      </c>
      <c r="AE166" s="194">
        <f t="shared" si="25"/>
        <v>0.19985787961378354</v>
      </c>
      <c r="AF166" s="194" t="str">
        <f t="shared" si="26"/>
        <v/>
      </c>
      <c r="AG166" s="252" t="str">
        <f>IF(ISNUMBER(SEARCH("C",'WetLitterbags placem_collection'!$X93)),"YES","NO")</f>
        <v>NO</v>
      </c>
      <c r="AH166" s="252" t="str">
        <f>IF(ISNUMBER(SEARCH("H", 'WetLitterbags placem_collection'!$X93)),"YES","NO")</f>
        <v>NO</v>
      </c>
      <c r="AI166" s="252" t="str">
        <f>IF(ISNUMBER(SEARCH("R", 'WetLitterbags placem_collection'!$X93)),"YES","NO")</f>
        <v>YES</v>
      </c>
      <c r="AJ166" s="252" t="str">
        <f>IF(ISNUMBER(SEARCH("C", 'WetLitterbags placem_collection'!$V93)),"YES","NO")</f>
        <v>NO</v>
      </c>
      <c r="AK166" s="252" t="str">
        <f>IF(ISNUMBER(SEARCH("H", 'WetLitterbags placem_collection'!$V93)),"YES","NO")</f>
        <v>YES</v>
      </c>
      <c r="AL166" s="252" t="str">
        <f>IF(ISNUMBER(SEARCH("R", 'WetLitterbags placem_collection'!$V93)),"YES","NO")</f>
        <v>YES</v>
      </c>
    </row>
    <row r="167" spans="2:38">
      <c r="B167" t="str">
        <f>'Final data_for_R_analysis_Wetse'!A93</f>
        <v>Wet</v>
      </c>
      <c r="C167" s="260">
        <f>'Final data_for_R_analysis_Wetse'!B93</f>
        <v>92</v>
      </c>
      <c r="D167" t="s">
        <v>3814</v>
      </c>
      <c r="E167" t="s">
        <v>22</v>
      </c>
      <c r="F167" s="382">
        <v>4</v>
      </c>
      <c r="G167" s="16">
        <f>'WetLitterbags placem_collection'!E94</f>
        <v>42767</v>
      </c>
      <c r="H167" t="str">
        <f>'Final data_for_R_analysis_Wetse'!K93</f>
        <v>G529</v>
      </c>
      <c r="I167" t="str">
        <f>'Final data_for_R_analysis_Wetse'!K313</f>
        <v>R445</v>
      </c>
      <c r="J167">
        <f>IFERROR(INDEX('Green_rooibos initial weight'!$C$5:$C$2000,MATCH(H167, 'Green_rooibos initial weight'!$A$5:$A$2000,0)),"")</f>
        <v>2.089</v>
      </c>
      <c r="K167">
        <f>IFERROR(INDEX('Green_rooibos initial weight'!$C$5:$C$2000,MATCH(I167, 'Green_rooibos initial weight'!$A$5:$A$2000,0)),"")</f>
        <v>2.2389999999999999</v>
      </c>
      <c r="L167" s="194">
        <f t="shared" si="18"/>
        <v>1.8391999999999999</v>
      </c>
      <c r="M167" s="194">
        <f>AVERAGE(Ashed_controlls!$K$2:$K$11)</f>
        <v>5.5147656768714146</v>
      </c>
      <c r="N167" s="194">
        <f t="shared" si="15"/>
        <v>1.7377724296709809</v>
      </c>
      <c r="O167" s="194">
        <f t="shared" si="19"/>
        <v>1.9891999999999999</v>
      </c>
      <c r="P167" s="194">
        <f>AVERAGE(Ashed_controlls!$K$12:$K$14)</f>
        <v>2.2816647271287041</v>
      </c>
      <c r="Q167" s="194">
        <f t="shared" si="20"/>
        <v>1.9438131252479556</v>
      </c>
      <c r="R167" s="16">
        <f>IF('WetLitterbags placem_collection'!G94="","",'WetLitterbags placem_collection'!G94)</f>
        <v>42819</v>
      </c>
      <c r="S167" s="194">
        <f>IFERROR(INDEX('Both teabags AfterWet'!$C$3:$C$2000,MATCH(H167,'Both teabags AfterWet'!$A$3:$A$2000,0)),"")</f>
        <v>0.76500000000000001</v>
      </c>
      <c r="T167" s="194">
        <f>IFERROR(INDEX('Both teabags AfterWet'!$C$3:$C$2000,MATCH(I167,'Both teabags AfterWet'!$A$3:$A$2000,0)),"")</f>
        <v>0.31</v>
      </c>
      <c r="U167" s="194">
        <f t="shared" si="21"/>
        <v>0.61440000000000006</v>
      </c>
      <c r="V167" s="194">
        <f t="shared" si="22"/>
        <v>0.15939999999999999</v>
      </c>
      <c r="W167" s="194">
        <f>IFERROR(INDEX('Ashed teabags wet'!$K$2:$K$2000,MATCH(H167,'Ashed teabags wet'!$A$2:$A$2000,0)),"")</f>
        <v>11.868446139180241</v>
      </c>
      <c r="X167" s="237">
        <f>IFERROR(INDEX('Ashed teabags wet'!$K$2:$K$2000,MATCH(I167,'Ashed teabags wet'!$A$2:$A$2000,0)),"")</f>
        <v>0</v>
      </c>
      <c r="Y167" s="194">
        <f t="shared" si="27"/>
        <v>0.5414802669208767</v>
      </c>
      <c r="Z167" s="194">
        <f t="shared" si="27"/>
        <v>0.15939999999999999</v>
      </c>
      <c r="AA167" s="194">
        <f t="shared" si="23"/>
        <v>0.68840553706828156</v>
      </c>
      <c r="AB167" s="194">
        <f t="shared" si="24"/>
        <v>0.4513062428286122</v>
      </c>
      <c r="AC167" s="194">
        <f t="shared" si="16"/>
        <v>8.2003767712838488E-2</v>
      </c>
      <c r="AD167">
        <f t="shared" si="17"/>
        <v>52</v>
      </c>
      <c r="AE167" s="194">
        <f t="shared" si="25"/>
        <v>0.18241622675976055</v>
      </c>
      <c r="AF167" s="194" t="str">
        <f t="shared" si="26"/>
        <v/>
      </c>
      <c r="AG167" s="252" t="str">
        <f>IF(ISNUMBER(SEARCH("C",'WetLitterbags placem_collection'!$X94)),"YES","NO")</f>
        <v>NO</v>
      </c>
      <c r="AH167" s="252" t="str">
        <f>IF(ISNUMBER(SEARCH("H", 'WetLitterbags placem_collection'!$X94)),"YES","NO")</f>
        <v>NO</v>
      </c>
      <c r="AI167" s="252" t="str">
        <f>IF(ISNUMBER(SEARCH("R", 'WetLitterbags placem_collection'!$X94)),"YES","NO")</f>
        <v>YES</v>
      </c>
      <c r="AJ167" s="252" t="str">
        <f>IF(ISNUMBER(SEARCH("C", 'WetLitterbags placem_collection'!$V94)),"YES","NO")</f>
        <v>YES</v>
      </c>
      <c r="AK167" s="252" t="str">
        <f>IF(ISNUMBER(SEARCH("H", 'WetLitterbags placem_collection'!$V94)),"YES","NO")</f>
        <v>YES</v>
      </c>
      <c r="AL167" s="252" t="str">
        <f>IF(ISNUMBER(SEARCH("R", 'WetLitterbags placem_collection'!$V94)),"YES","NO")</f>
        <v>NO</v>
      </c>
    </row>
    <row r="168" spans="2:38">
      <c r="B168" t="str">
        <f>'Final data_for_R_analysis_Wetse'!A94</f>
        <v>Wet</v>
      </c>
      <c r="C168" s="260">
        <f>'Final data_for_R_analysis_Wetse'!B94</f>
        <v>93</v>
      </c>
      <c r="D168" t="s">
        <v>3814</v>
      </c>
      <c r="E168" t="s">
        <v>22</v>
      </c>
      <c r="F168" s="382">
        <v>5</v>
      </c>
      <c r="G168" s="16">
        <f>'WetLitterbags placem_collection'!E95</f>
        <v>42767</v>
      </c>
      <c r="H168" t="str">
        <f>'Final data_for_R_analysis_Wetse'!K94</f>
        <v>G636</v>
      </c>
      <c r="I168" t="str">
        <f>'Final data_for_R_analysis_Wetse'!K314</f>
        <v>R12</v>
      </c>
      <c r="J168">
        <f>IFERROR(INDEX('Green_rooibos initial weight'!$C$5:$C$2000,MATCH(H168, 'Green_rooibos initial weight'!$A$5:$A$2000,0)),"")</f>
        <v>2.133</v>
      </c>
      <c r="K168">
        <f>IFERROR(INDEX('Green_rooibos initial weight'!$C$5:$C$2000,MATCH(I168, 'Green_rooibos initial weight'!$A$5:$A$2000,0)),"")</f>
        <v>2.1709999999999998</v>
      </c>
      <c r="L168" s="194">
        <f t="shared" si="18"/>
        <v>1.8832</v>
      </c>
      <c r="M168" s="194">
        <f>AVERAGE(Ashed_controlls!$K$2:$K$11)</f>
        <v>5.5147656768714146</v>
      </c>
      <c r="N168" s="194">
        <f t="shared" si="15"/>
        <v>1.7793459327731576</v>
      </c>
      <c r="O168" s="194">
        <f t="shared" si="19"/>
        <v>1.9211999999999998</v>
      </c>
      <c r="P168" s="194">
        <f>AVERAGE(Ashed_controlls!$K$12:$K$14)</f>
        <v>2.2816647271287041</v>
      </c>
      <c r="Q168" s="194">
        <f t="shared" si="20"/>
        <v>1.8773646572624032</v>
      </c>
      <c r="R168" s="16">
        <f>IF('WetLitterbags placem_collection'!G95="","",'WetLitterbags placem_collection'!G95)</f>
        <v>42819</v>
      </c>
      <c r="S168" s="194">
        <f>IFERROR(INDEX('Both teabags AfterWet'!$C$3:$C$2000,MATCH(H168,'Both teabags AfterWet'!$A$3:$A$2000,0)),"")</f>
        <v>0.79630000000000001</v>
      </c>
      <c r="T168" s="194">
        <f>IFERROR(INDEX('Both teabags AfterWet'!$C$3:$C$2000,MATCH(I168,'Both teabags AfterWet'!$A$3:$A$2000,0)),"")</f>
        <v>0.17</v>
      </c>
      <c r="U168" s="194">
        <f t="shared" si="21"/>
        <v>0.64569999999999994</v>
      </c>
      <c r="V168" s="194">
        <f t="shared" si="22"/>
        <v>1.9400000000000001E-2</v>
      </c>
      <c r="W168" s="194">
        <f>IFERROR(INDEX('Ashed teabags wet'!$K$2:$K$2000,MATCH(H168,'Ashed teabags wet'!$A$2:$A$2000,0)),"")</f>
        <v>13.477619281849297</v>
      </c>
      <c r="X168" s="237">
        <f>IFERROR(INDEX('Ashed teabags wet'!$K$2:$K$2000,MATCH(I168,'Ashed teabags wet'!$A$2:$A$2000,0)),"")</f>
        <v>0</v>
      </c>
      <c r="Y168" s="194">
        <f t="shared" si="27"/>
        <v>0.55867501229709904</v>
      </c>
      <c r="Z168" s="194">
        <f t="shared" si="27"/>
        <v>1.9400000000000001E-2</v>
      </c>
      <c r="AA168" s="194">
        <f t="shared" si="23"/>
        <v>0.68602226132251343</v>
      </c>
      <c r="AB168" s="194">
        <f t="shared" si="24"/>
        <v>0.44974381027319177</v>
      </c>
      <c r="AC168" s="194">
        <f t="shared" si="16"/>
        <v>1.0333634398065917E-2</v>
      </c>
      <c r="AD168">
        <f t="shared" si="17"/>
        <v>52</v>
      </c>
      <c r="AE168" s="194">
        <f t="shared" si="25"/>
        <v>0.18524672051958024</v>
      </c>
      <c r="AF168" s="194" t="str">
        <f t="shared" si="26"/>
        <v/>
      </c>
      <c r="AG168" s="252" t="str">
        <f>IF(ISNUMBER(SEARCH("C",'WetLitterbags placem_collection'!$X95)),"YES","NO")</f>
        <v>NO</v>
      </c>
      <c r="AH168" s="252" t="str">
        <f>IF(ISNUMBER(SEARCH("H", 'WetLitterbags placem_collection'!$X95)),"YES","NO")</f>
        <v>NO</v>
      </c>
      <c r="AI168" s="252" t="str">
        <f>IF(ISNUMBER(SEARCH("R", 'WetLitterbags placem_collection'!$X95)),"YES","NO")</f>
        <v>YES</v>
      </c>
      <c r="AJ168" s="252" t="str">
        <f>IF(ISNUMBER(SEARCH("C", 'WetLitterbags placem_collection'!$V95)),"YES","NO")</f>
        <v>NO</v>
      </c>
      <c r="AK168" s="252" t="str">
        <f>IF(ISNUMBER(SEARCH("H", 'WetLitterbags placem_collection'!$V95)),"YES","NO")</f>
        <v>NO</v>
      </c>
      <c r="AL168" s="252" t="str">
        <f>IF(ISNUMBER(SEARCH("R", 'WetLitterbags placem_collection'!$V95)),"YES","NO")</f>
        <v>YES</v>
      </c>
    </row>
    <row r="169" spans="2:38">
      <c r="B169" t="str">
        <f>'Final data_for_R_analysis_Wetse'!A95</f>
        <v>Wet</v>
      </c>
      <c r="C169" s="260">
        <f>'Final data_for_R_analysis_Wetse'!B95</f>
        <v>94</v>
      </c>
      <c r="D169" t="s">
        <v>3814</v>
      </c>
      <c r="E169" t="s">
        <v>22</v>
      </c>
      <c r="F169" s="382">
        <v>6</v>
      </c>
      <c r="G169" s="16">
        <f>'WetLitterbags placem_collection'!E96</f>
        <v>42767</v>
      </c>
      <c r="H169" t="str">
        <f>'Final data_for_R_analysis_Wetse'!K95</f>
        <v>G534</v>
      </c>
      <c r="I169" t="str">
        <f>'Final data_for_R_analysis_Wetse'!K315</f>
        <v>R244</v>
      </c>
      <c r="J169">
        <f>IFERROR(INDEX('Green_rooibos initial weight'!$C$5:$C$2000,MATCH(H169, 'Green_rooibos initial weight'!$A$5:$A$2000,0)),"")</f>
        <v>2.169</v>
      </c>
      <c r="K169">
        <f>IFERROR(INDEX('Green_rooibos initial weight'!$C$5:$C$2000,MATCH(I169, 'Green_rooibos initial weight'!$A$5:$A$2000,0)),"")</f>
        <v>2.2490000000000001</v>
      </c>
      <c r="L169" s="194">
        <f t="shared" si="18"/>
        <v>1.9192</v>
      </c>
      <c r="M169" s="194">
        <f>AVERAGE(Ashed_controlls!$K$2:$K$11)</f>
        <v>5.5147656768714146</v>
      </c>
      <c r="N169" s="194">
        <f t="shared" si="15"/>
        <v>1.8133606171294838</v>
      </c>
      <c r="O169" s="194">
        <f t="shared" si="19"/>
        <v>1.9992000000000001</v>
      </c>
      <c r="P169" s="194">
        <f>AVERAGE(Ashed_controlls!$K$12:$K$14)</f>
        <v>2.2816647271287041</v>
      </c>
      <c r="Q169" s="194">
        <f t="shared" si="20"/>
        <v>1.953584958775243</v>
      </c>
      <c r="R169" s="16">
        <f>IF('WetLitterbags placem_collection'!G96="","",'WetLitterbags placem_collection'!G96)</f>
        <v>42819</v>
      </c>
      <c r="S169" s="194" t="str">
        <f>IFERROR(INDEX('Both teabags AfterWet'!$C$3:$C$2000,MATCH(H169,'Both teabags AfterWet'!$A$3:$A$2000,0)),"")</f>
        <v/>
      </c>
      <c r="T169" s="194" t="str">
        <f>IFERROR(INDEX('Both teabags AfterWet'!$C$3:$C$2000,MATCH(I169,'Both teabags AfterWet'!$A$3:$A$2000,0)),"")</f>
        <v/>
      </c>
      <c r="U169" s="194" t="str">
        <f t="shared" si="21"/>
        <v/>
      </c>
      <c r="V169" s="194" t="str">
        <f t="shared" si="22"/>
        <v/>
      </c>
      <c r="W169" s="194" t="str">
        <f>IFERROR(INDEX('Ashed teabags wet'!$K$2:$K$2000,MATCH(H169,'Ashed teabags wet'!$A$2:$A$2000,0)),"")</f>
        <v/>
      </c>
      <c r="X169" s="237" t="str">
        <f>IFERROR(INDEX('Ashed teabags wet'!$K$2:$K$2000,MATCH(I169,'Ashed teabags wet'!$A$2:$A$2000,0)),"")</f>
        <v/>
      </c>
      <c r="Y169" s="194" t="str">
        <f t="shared" si="27"/>
        <v/>
      </c>
      <c r="Z169" s="194" t="str">
        <f t="shared" si="27"/>
        <v/>
      </c>
      <c r="AA169" s="194" t="str">
        <f t="shared" si="23"/>
        <v/>
      </c>
      <c r="AB169" s="194" t="str">
        <f t="shared" si="24"/>
        <v/>
      </c>
      <c r="AC169" s="194" t="str">
        <f t="shared" si="16"/>
        <v/>
      </c>
      <c r="AD169">
        <f t="shared" si="17"/>
        <v>52</v>
      </c>
      <c r="AE169" s="194" t="str">
        <f t="shared" si="25"/>
        <v/>
      </c>
      <c r="AF169" s="194" t="str">
        <f t="shared" si="26"/>
        <v/>
      </c>
      <c r="AG169" s="252" t="str">
        <f>IF(ISNUMBER(SEARCH("C",'WetLitterbags placem_collection'!$X96)),"YES","NO")</f>
        <v>NO</v>
      </c>
      <c r="AH169" s="252" t="str">
        <f>IF(ISNUMBER(SEARCH("H", 'WetLitterbags placem_collection'!$X96)),"YES","NO")</f>
        <v>NO</v>
      </c>
      <c r="AI169" s="252" t="str">
        <f>IF(ISNUMBER(SEARCH("R", 'WetLitterbags placem_collection'!$X96)),"YES","NO")</f>
        <v>NO</v>
      </c>
      <c r="AJ169" s="252" t="str">
        <f>IF(ISNUMBER(SEARCH("C", 'WetLitterbags placem_collection'!$V96)),"YES","NO")</f>
        <v>NO</v>
      </c>
      <c r="AK169" s="252" t="str">
        <f>IF(ISNUMBER(SEARCH("H", 'WetLitterbags placem_collection'!$V96)),"YES","NO")</f>
        <v>NO</v>
      </c>
      <c r="AL169" s="252" t="str">
        <f>IF(ISNUMBER(SEARCH("R", 'WetLitterbags placem_collection'!$V96)),"YES","NO")</f>
        <v>NO</v>
      </c>
    </row>
    <row r="170" spans="2:38">
      <c r="B170" t="str">
        <f>'Final data_for_R_analysis_Wetse'!A96</f>
        <v>Wet</v>
      </c>
      <c r="C170" s="260">
        <f>'Final data_for_R_analysis_Wetse'!B96</f>
        <v>95</v>
      </c>
      <c r="D170" t="s">
        <v>3814</v>
      </c>
      <c r="E170" t="s">
        <v>22</v>
      </c>
      <c r="F170" s="382">
        <v>7</v>
      </c>
      <c r="G170" s="16">
        <f>'WetLitterbags placem_collection'!E97</f>
        <v>42767</v>
      </c>
      <c r="H170" t="str">
        <f>'Final data_for_R_analysis_Wetse'!K96</f>
        <v>G641</v>
      </c>
      <c r="I170" t="str">
        <f>'Final data_for_R_analysis_Wetse'!K316</f>
        <v>R360</v>
      </c>
      <c r="J170">
        <f>IFERROR(INDEX('Green_rooibos initial weight'!$C$5:$C$2000,MATCH(H170, 'Green_rooibos initial weight'!$A$5:$A$2000,0)),"")</f>
        <v>2.14</v>
      </c>
      <c r="K170">
        <f>IFERROR(INDEX('Green_rooibos initial weight'!$C$5:$C$2000,MATCH(I170, 'Green_rooibos initial weight'!$A$5:$A$2000,0)),"")</f>
        <v>2.206</v>
      </c>
      <c r="L170" s="194">
        <f t="shared" si="18"/>
        <v>1.8902000000000001</v>
      </c>
      <c r="M170" s="194">
        <f>AVERAGE(Ashed_controlls!$K$2:$K$11)</f>
        <v>5.5147656768714146</v>
      </c>
      <c r="N170" s="194">
        <f t="shared" si="15"/>
        <v>1.7859598991757766</v>
      </c>
      <c r="O170" s="194">
        <f t="shared" si="19"/>
        <v>1.9561999999999999</v>
      </c>
      <c r="P170" s="194">
        <f>AVERAGE(Ashed_controlls!$K$12:$K$14)</f>
        <v>2.2816647271287041</v>
      </c>
      <c r="Q170" s="194">
        <f t="shared" si="20"/>
        <v>1.9115660746079082</v>
      </c>
      <c r="R170" s="16">
        <f>IF('WetLitterbags placem_collection'!G97="","",'WetLitterbags placem_collection'!G97)</f>
        <v>42819</v>
      </c>
      <c r="S170" s="194">
        <f>IFERROR(INDEX('Both teabags AfterWet'!$C$3:$C$2000,MATCH(H170,'Both teabags AfterWet'!$A$3:$A$2000,0)),"")</f>
        <v>1.254</v>
      </c>
      <c r="T170" s="194">
        <f>IFERROR(INDEX('Both teabags AfterWet'!$C$3:$C$2000,MATCH(I170,'Both teabags AfterWet'!$A$3:$A$2000,0)),"")</f>
        <v>0.45800000000000002</v>
      </c>
      <c r="U170" s="194">
        <f t="shared" si="21"/>
        <v>1.1033999999999999</v>
      </c>
      <c r="V170" s="194">
        <f t="shared" si="22"/>
        <v>0.30740000000000001</v>
      </c>
      <c r="W170" s="194">
        <f>IFERROR(INDEX('Ashed teabags wet'!$K$2:$K$2000,MATCH(H170,'Ashed teabags wet'!$A$2:$A$2000,0)),"")</f>
        <v>33.235294117646788</v>
      </c>
      <c r="X170" s="237">
        <f>IFERROR(INDEX('Ashed teabags wet'!$K$2:$K$2000,MATCH(I170,'Ashed teabags wet'!$A$2:$A$2000,0)),"")</f>
        <v>89.327146171693883</v>
      </c>
      <c r="Y170" s="194">
        <f t="shared" si="27"/>
        <v>0.73668176470588531</v>
      </c>
      <c r="Z170" s="194">
        <f t="shared" si="27"/>
        <v>3.2808352668213026E-2</v>
      </c>
      <c r="AA170" s="194">
        <f t="shared" si="23"/>
        <v>0.58751494641852531</v>
      </c>
      <c r="AB170" s="194">
        <f t="shared" si="24"/>
        <v>0.38516419290145604</v>
      </c>
      <c r="AC170" s="194">
        <f t="shared" si="16"/>
        <v>1.716307539876304E-2</v>
      </c>
      <c r="AD170">
        <f t="shared" si="17"/>
        <v>52</v>
      </c>
      <c r="AE170" s="194">
        <f t="shared" si="25"/>
        <v>0.30223878097562318</v>
      </c>
      <c r="AF170" s="194" t="str">
        <f t="shared" si="26"/>
        <v/>
      </c>
      <c r="AG170" s="252" t="str">
        <f>IF(ISNUMBER(SEARCH("C",'WetLitterbags placem_collection'!$X97)),"YES","NO")</f>
        <v>NO</v>
      </c>
      <c r="AH170" s="252" t="str">
        <f>IF(ISNUMBER(SEARCH("H", 'WetLitterbags placem_collection'!$X97)),"YES","NO")</f>
        <v>NO</v>
      </c>
      <c r="AI170" s="252" t="str">
        <f>IF(ISNUMBER(SEARCH("R", 'WetLitterbags placem_collection'!$X97)),"YES","NO")</f>
        <v>YES</v>
      </c>
      <c r="AJ170" s="252" t="str">
        <f>IF(ISNUMBER(SEARCH("C", 'WetLitterbags placem_collection'!$V97)),"YES","NO")</f>
        <v>YES</v>
      </c>
      <c r="AK170" s="252" t="str">
        <f>IF(ISNUMBER(SEARCH("H", 'WetLitterbags placem_collection'!$V97)),"YES","NO")</f>
        <v>YES</v>
      </c>
      <c r="AL170" s="252" t="str">
        <f>IF(ISNUMBER(SEARCH("R", 'WetLitterbags placem_collection'!$V97)),"YES","NO")</f>
        <v>YES</v>
      </c>
    </row>
    <row r="171" spans="2:38">
      <c r="B171" t="str">
        <f>'Final data_for_R_analysis_Wetse'!A97</f>
        <v>Wet</v>
      </c>
      <c r="C171" s="260">
        <f>'Final data_for_R_analysis_Wetse'!B97</f>
        <v>96</v>
      </c>
      <c r="D171" t="s">
        <v>3814</v>
      </c>
      <c r="E171" t="s">
        <v>22</v>
      </c>
      <c r="F171" s="382">
        <v>8</v>
      </c>
      <c r="G171" s="16">
        <f>'WetLitterbags placem_collection'!E98</f>
        <v>42767</v>
      </c>
      <c r="H171" t="str">
        <f>'Final data_for_R_analysis_Wetse'!K97</f>
        <v>G479</v>
      </c>
      <c r="I171" t="str">
        <f>'Final data_for_R_analysis_Wetse'!K317</f>
        <v>R318</v>
      </c>
      <c r="J171">
        <f>IFERROR(INDEX('Green_rooibos initial weight'!$C$5:$C$2000,MATCH(H171, 'Green_rooibos initial weight'!$A$5:$A$2000,0)),"")</f>
        <v>1.982</v>
      </c>
      <c r="K171">
        <f>IFERROR(INDEX('Green_rooibos initial weight'!$C$5:$C$2000,MATCH(I171, 'Green_rooibos initial weight'!$A$5:$A$2000,0)),"")</f>
        <v>2.23</v>
      </c>
      <c r="L171" s="194">
        <f t="shared" si="18"/>
        <v>1.7322</v>
      </c>
      <c r="M171" s="194">
        <f>AVERAGE(Ashed_controlls!$K$2:$K$11)</f>
        <v>5.5147656768714146</v>
      </c>
      <c r="N171" s="194">
        <f t="shared" si="15"/>
        <v>1.6366732289452333</v>
      </c>
      <c r="O171" s="194">
        <f t="shared" si="19"/>
        <v>1.9802</v>
      </c>
      <c r="P171" s="194">
        <f>AVERAGE(Ashed_controlls!$K$12:$K$14)</f>
        <v>2.2816647271287041</v>
      </c>
      <c r="Q171" s="194">
        <f t="shared" si="20"/>
        <v>1.9350184750733974</v>
      </c>
      <c r="R171" s="16">
        <f>IF('WetLitterbags placem_collection'!G98="","",'WetLitterbags placem_collection'!G98)</f>
        <v>42819</v>
      </c>
      <c r="S171" s="194">
        <f>IFERROR(INDEX('Both teabags AfterWet'!$C$3:$C$2000,MATCH(H171,'Both teabags AfterWet'!$A$3:$A$2000,0)),"")</f>
        <v>0.90410000000000001</v>
      </c>
      <c r="T171" s="194">
        <f>IFERROR(INDEX('Both teabags AfterWet'!$C$3:$C$2000,MATCH(I171,'Both teabags AfterWet'!$A$3:$A$2000,0)),"")</f>
        <v>1.748</v>
      </c>
      <c r="U171" s="194">
        <f t="shared" si="21"/>
        <v>0.75350000000000006</v>
      </c>
      <c r="V171" s="194">
        <f t="shared" si="22"/>
        <v>1.5973999999999999</v>
      </c>
      <c r="W171" s="194">
        <f>IFERROR(INDEX('Ashed teabags wet'!$K$2:$K$2000,MATCH(H171,'Ashed teabags wet'!$A$2:$A$2000,0)),"")</f>
        <v>16.839506172838583</v>
      </c>
      <c r="X171" s="237">
        <f>IFERROR(INDEX('Ashed teabags wet'!$K$2:$K$2000,MATCH(I171,'Ashed teabags wet'!$A$2:$A$2000,0)),"")</f>
        <v>11.127670144063339</v>
      </c>
      <c r="Y171" s="194">
        <f t="shared" si="27"/>
        <v>0.62661432098766134</v>
      </c>
      <c r="Z171" s="194">
        <f t="shared" si="27"/>
        <v>1.4196465971187322</v>
      </c>
      <c r="AA171" s="194">
        <f t="shared" si="23"/>
        <v>0.61714146116296664</v>
      </c>
      <c r="AB171" s="194">
        <f t="shared" si="24"/>
        <v>0.40458680114246748</v>
      </c>
      <c r="AC171" s="194">
        <f t="shared" si="16"/>
        <v>0.73366048717694199</v>
      </c>
      <c r="AD171">
        <f t="shared" si="17"/>
        <v>52</v>
      </c>
      <c r="AE171" s="194">
        <f t="shared" si="25"/>
        <v>0.26705289648103725</v>
      </c>
      <c r="AF171" s="194">
        <f t="shared" si="26"/>
        <v>2.0650428390897542E-2</v>
      </c>
      <c r="AG171" s="252" t="str">
        <f>IF(ISNUMBER(SEARCH("C",'WetLitterbags placem_collection'!$X98)),"YES","NO")</f>
        <v>NO</v>
      </c>
      <c r="AH171" s="252" t="str">
        <f>IF(ISNUMBER(SEARCH("H", 'WetLitterbags placem_collection'!$X98)),"YES","NO")</f>
        <v>NO</v>
      </c>
      <c r="AI171" s="252" t="str">
        <f>IF(ISNUMBER(SEARCH("R", 'WetLitterbags placem_collection'!$X98)),"YES","NO")</f>
        <v>YES</v>
      </c>
      <c r="AJ171" s="252" t="str">
        <f>IF(ISNUMBER(SEARCH("C", 'WetLitterbags placem_collection'!$V98)),"YES","NO")</f>
        <v>NO</v>
      </c>
      <c r="AK171" s="252" t="str">
        <f>IF(ISNUMBER(SEARCH("H", 'WetLitterbags placem_collection'!$V98)),"YES","NO")</f>
        <v>NO</v>
      </c>
      <c r="AL171" s="252" t="str">
        <f>IF(ISNUMBER(SEARCH("R", 'WetLitterbags placem_collection'!$V98)),"YES","NO")</f>
        <v>YES</v>
      </c>
    </row>
    <row r="172" spans="2:38">
      <c r="B172" t="str">
        <f>'Final data_for_R_analysis_Wetse'!A98</f>
        <v>Wet</v>
      </c>
      <c r="C172" s="260">
        <f>'Final data_for_R_analysis_Wetse'!B98</f>
        <v>97</v>
      </c>
      <c r="D172" t="s">
        <v>3815</v>
      </c>
      <c r="E172" t="s">
        <v>22</v>
      </c>
      <c r="F172" s="381">
        <v>1</v>
      </c>
      <c r="G172" s="16">
        <f>'WetLitterbags placem_collection'!E99</f>
        <v>42762</v>
      </c>
      <c r="H172" t="str">
        <f>'Final data_for_R_analysis_Wetse'!K98</f>
        <v>G741</v>
      </c>
      <c r="I172" t="str">
        <f>'Final data_for_R_analysis_Wetse'!K318</f>
        <v>R518</v>
      </c>
      <c r="J172">
        <f>IFERROR(INDEX('Green_rooibos initial weight'!$C$5:$C$2000,MATCH(H172, 'Green_rooibos initial weight'!$A$5:$A$2000,0)),"")</f>
        <v>2.1019999999999999</v>
      </c>
      <c r="K172">
        <f>IFERROR(INDEX('Green_rooibos initial weight'!$C$5:$C$2000,MATCH(I172, 'Green_rooibos initial weight'!$A$5:$A$2000,0)),"")</f>
        <v>2.198</v>
      </c>
      <c r="L172" s="194">
        <f t="shared" si="18"/>
        <v>1.8521999999999998</v>
      </c>
      <c r="M172" s="194">
        <f>AVERAGE(Ashed_controlls!$K$2:$K$11)</f>
        <v>5.5147656768714146</v>
      </c>
      <c r="N172" s="194">
        <f t="shared" si="15"/>
        <v>1.7500555101329875</v>
      </c>
      <c r="O172" s="194">
        <f t="shared" si="19"/>
        <v>1.9481999999999999</v>
      </c>
      <c r="P172" s="194">
        <f>AVERAGE(Ashed_controlls!$K$12:$K$14)</f>
        <v>2.2816647271287041</v>
      </c>
      <c r="Q172" s="194">
        <f t="shared" si="20"/>
        <v>1.9037486077860786</v>
      </c>
      <c r="R172" s="16">
        <f>IF('WetLitterbags placem_collection'!G99="","",'WetLitterbags placem_collection'!G99)</f>
        <v>42816</v>
      </c>
      <c r="S172" s="194">
        <f>IFERROR(INDEX('Both teabags AfterWet'!$C$3:$C$2000,MATCH(H172,'Both teabags AfterWet'!$A$3:$A$2000,0)),"")</f>
        <v>0.60680000000000001</v>
      </c>
      <c r="T172" s="194">
        <f>IFERROR(INDEX('Both teabags AfterWet'!$C$3:$C$2000,MATCH(I172,'Both teabags AfterWet'!$A$3:$A$2000,0)),"")</f>
        <v>0</v>
      </c>
      <c r="U172" s="194">
        <f t="shared" si="21"/>
        <v>0.45619999999999999</v>
      </c>
      <c r="V172" s="194" t="str">
        <f t="shared" si="22"/>
        <v/>
      </c>
      <c r="W172" s="194">
        <f>IFERROR(INDEX('Ashed teabags wet'!$K$2:$K$2000,MATCH(H172,'Ashed teabags wet'!$A$2:$A$2000,0)),"")</f>
        <v>20.517928286852939</v>
      </c>
      <c r="X172" s="237">
        <f>IFERROR(INDEX('Ashed teabags wet'!$K$2:$K$2000,MATCH(I172,'Ashed teabags wet'!$A$2:$A$2000,0)),"")</f>
        <v>0</v>
      </c>
      <c r="Y172" s="194">
        <f t="shared" si="27"/>
        <v>0.36259721115537691</v>
      </c>
      <c r="Z172" s="194" t="str">
        <f t="shared" si="27"/>
        <v/>
      </c>
      <c r="AA172" s="194">
        <f t="shared" si="23"/>
        <v>0.79280816576622593</v>
      </c>
      <c r="AB172" s="194">
        <f t="shared" si="24"/>
        <v>0.51975072149994861</v>
      </c>
      <c r="AC172" s="194" t="str">
        <f t="shared" si="16"/>
        <v/>
      </c>
      <c r="AD172">
        <f t="shared" si="17"/>
        <v>54</v>
      </c>
      <c r="AE172" s="194">
        <f t="shared" si="25"/>
        <v>5.8422605978354025E-2</v>
      </c>
      <c r="AF172" s="194" t="str">
        <f t="shared" si="26"/>
        <v/>
      </c>
      <c r="AG172" s="252" t="str">
        <f>IF(ISNUMBER(SEARCH("C",'WetLitterbags placem_collection'!$X99)),"YES","NO")</f>
        <v>NO</v>
      </c>
      <c r="AH172" s="252" t="str">
        <f>IF(ISNUMBER(SEARCH("H", 'WetLitterbags placem_collection'!$X99)),"YES","NO")</f>
        <v>NO</v>
      </c>
      <c r="AI172" s="252" t="str">
        <f>IF(ISNUMBER(SEARCH("R", 'WetLitterbags placem_collection'!$X99)),"YES","NO")</f>
        <v>NO</v>
      </c>
      <c r="AJ172" s="252" t="str">
        <f>IF(ISNUMBER(SEARCH("C", 'WetLitterbags placem_collection'!$V99)),"YES","NO")</f>
        <v>NO</v>
      </c>
      <c r="AK172" s="252" t="str">
        <f>IF(ISNUMBER(SEARCH("H", 'WetLitterbags placem_collection'!$V99)),"YES","NO")</f>
        <v>NO</v>
      </c>
      <c r="AL172" s="252" t="str">
        <f>IF(ISNUMBER(SEARCH("R", 'WetLitterbags placem_collection'!$V99)),"YES","NO")</f>
        <v>NO</v>
      </c>
    </row>
    <row r="173" spans="2:38">
      <c r="B173" t="str">
        <f>'Final data_for_R_analysis_Wetse'!A99</f>
        <v>Wet</v>
      </c>
      <c r="C173" s="260">
        <f>'Final data_for_R_analysis_Wetse'!B99</f>
        <v>98</v>
      </c>
      <c r="D173" t="s">
        <v>3815</v>
      </c>
      <c r="E173" t="s">
        <v>22</v>
      </c>
      <c r="F173" s="381">
        <v>2</v>
      </c>
      <c r="G173" s="16">
        <f>'WetLitterbags placem_collection'!E100</f>
        <v>42762</v>
      </c>
      <c r="H173" t="str">
        <f>'Final data_for_R_analysis_Wetse'!K99</f>
        <v>G610</v>
      </c>
      <c r="I173" t="str">
        <f>'Final data_for_R_analysis_Wetse'!K319</f>
        <v>R489</v>
      </c>
      <c r="J173">
        <f>IFERROR(INDEX('Green_rooibos initial weight'!$C$5:$C$2000,MATCH(H173, 'Green_rooibos initial weight'!$A$5:$A$2000,0)),"")</f>
        <v>2.0379999999999998</v>
      </c>
      <c r="K173">
        <f>IFERROR(INDEX('Green_rooibos initial weight'!$C$5:$C$2000,MATCH(I173, 'Green_rooibos initial weight'!$A$5:$A$2000,0)),"")</f>
        <v>2.157</v>
      </c>
      <c r="L173" s="194">
        <f t="shared" si="18"/>
        <v>1.7881999999999998</v>
      </c>
      <c r="M173" s="194">
        <f>AVERAGE(Ashed_controlls!$K$2:$K$11)</f>
        <v>5.5147656768714146</v>
      </c>
      <c r="N173" s="194">
        <f t="shared" si="15"/>
        <v>1.6895849601661852</v>
      </c>
      <c r="O173" s="194">
        <f t="shared" si="19"/>
        <v>1.9072</v>
      </c>
      <c r="P173" s="194">
        <f>AVERAGE(Ashed_controlls!$K$12:$K$14)</f>
        <v>2.2816647271287041</v>
      </c>
      <c r="Q173" s="194">
        <f t="shared" si="20"/>
        <v>1.8636840903242013</v>
      </c>
      <c r="R173" s="16">
        <f>IF('WetLitterbags placem_collection'!G100="","",'WetLitterbags placem_collection'!G100)</f>
        <v>42816</v>
      </c>
      <c r="S173" s="194">
        <f>IFERROR(INDEX('Both teabags AfterWet'!$C$3:$C$2000,MATCH(H173,'Both teabags AfterWet'!$A$3:$A$2000,0)),"")</f>
        <v>0.56599999999999995</v>
      </c>
      <c r="T173" s="194">
        <f>IFERROR(INDEX('Both teabags AfterWet'!$C$3:$C$2000,MATCH(I173,'Both teabags AfterWet'!$A$3:$A$2000,0)),"")</f>
        <v>1.5389999999999999</v>
      </c>
      <c r="U173" s="194">
        <f t="shared" si="21"/>
        <v>0.41539999999999994</v>
      </c>
      <c r="V173" s="194">
        <f t="shared" si="22"/>
        <v>1.3883999999999999</v>
      </c>
      <c r="W173" s="194">
        <f>IFERROR(INDEX('Ashed teabags wet'!$K$2:$K$2000,MATCH(H173,'Ashed teabags wet'!$A$2:$A$2000,0)),"")</f>
        <v>14.682539682539385</v>
      </c>
      <c r="X173" s="237">
        <f>IFERROR(INDEX('Ashed teabags wet'!$K$2:$K$2000,MATCH(I173,'Ashed teabags wet'!$A$2:$A$2000,0)),"")</f>
        <v>12.679544328875947</v>
      </c>
      <c r="Y173" s="194">
        <f t="shared" si="27"/>
        <v>0.35440873015873131</v>
      </c>
      <c r="Z173" s="194">
        <f t="shared" si="27"/>
        <v>1.2123572065378863</v>
      </c>
      <c r="AA173" s="194">
        <f t="shared" si="23"/>
        <v>0.79023917795535292</v>
      </c>
      <c r="AB173" s="194">
        <f t="shared" si="24"/>
        <v>0.5180665394671673</v>
      </c>
      <c r="AC173" s="194">
        <f t="shared" si="16"/>
        <v>0.65051647585132732</v>
      </c>
      <c r="AD173">
        <f t="shared" si="17"/>
        <v>54</v>
      </c>
      <c r="AE173" s="194">
        <f t="shared" si="25"/>
        <v>6.1473660385566564E-2</v>
      </c>
      <c r="AF173" s="194">
        <f t="shared" si="26"/>
        <v>2.0790284955504456E-2</v>
      </c>
      <c r="AG173" s="252" t="str">
        <f>IF(ISNUMBER(SEARCH("C",'WetLitterbags placem_collection'!$X100)),"YES","NO")</f>
        <v>NO</v>
      </c>
      <c r="AH173" s="252" t="str">
        <f>IF(ISNUMBER(SEARCH("H", 'WetLitterbags placem_collection'!$X100)),"YES","NO")</f>
        <v>NO</v>
      </c>
      <c r="AI173" s="252" t="str">
        <f>IF(ISNUMBER(SEARCH("R", 'WetLitterbags placem_collection'!$X100)),"YES","NO")</f>
        <v>NO</v>
      </c>
      <c r="AJ173" s="252" t="str">
        <f>IF(ISNUMBER(SEARCH("C", 'WetLitterbags placem_collection'!$V100)),"YES","NO")</f>
        <v>NO</v>
      </c>
      <c r="AK173" s="252" t="str">
        <f>IF(ISNUMBER(SEARCH("H", 'WetLitterbags placem_collection'!$V100)),"YES","NO")</f>
        <v>NO</v>
      </c>
      <c r="AL173" s="252" t="str">
        <f>IF(ISNUMBER(SEARCH("R", 'WetLitterbags placem_collection'!$V100)),"YES","NO")</f>
        <v>NO</v>
      </c>
    </row>
    <row r="174" spans="2:38">
      <c r="B174" t="str">
        <f>'Final data_for_R_analysis_Wetse'!A100</f>
        <v>Wet</v>
      </c>
      <c r="C174" s="260">
        <f>'Final data_for_R_analysis_Wetse'!B100</f>
        <v>99</v>
      </c>
      <c r="D174" t="s">
        <v>3815</v>
      </c>
      <c r="E174" t="s">
        <v>22</v>
      </c>
      <c r="F174" s="381">
        <v>3</v>
      </c>
      <c r="G174" s="16">
        <f>'WetLitterbags placem_collection'!E101</f>
        <v>42762</v>
      </c>
      <c r="H174" t="str">
        <f>'Final data_for_R_analysis_Wetse'!K100</f>
        <v>G765</v>
      </c>
      <c r="I174" t="str">
        <f>'Final data_for_R_analysis_Wetse'!K320</f>
        <v>R549</v>
      </c>
      <c r="J174">
        <f>IFERROR(INDEX('Green_rooibos initial weight'!$C$5:$C$2000,MATCH(H174, 'Green_rooibos initial weight'!$A$5:$A$2000,0)),"")</f>
        <v>2.08</v>
      </c>
      <c r="K174">
        <f>IFERROR(INDEX('Green_rooibos initial weight'!$C$5:$C$2000,MATCH(I174, 'Green_rooibos initial weight'!$A$5:$A$2000,0)),"")</f>
        <v>2.2320000000000002</v>
      </c>
      <c r="L174" s="194">
        <f t="shared" si="18"/>
        <v>1.8302</v>
      </c>
      <c r="M174" s="194">
        <f>AVERAGE(Ashed_controlls!$K$2:$K$11)</f>
        <v>5.5147656768714146</v>
      </c>
      <c r="N174" s="194">
        <f t="shared" si="15"/>
        <v>1.7292687585818993</v>
      </c>
      <c r="O174" s="194">
        <f t="shared" si="19"/>
        <v>1.9822000000000002</v>
      </c>
      <c r="P174" s="194">
        <f>AVERAGE(Ashed_controlls!$K$12:$K$14)</f>
        <v>2.2816647271287041</v>
      </c>
      <c r="Q174" s="194">
        <f t="shared" si="20"/>
        <v>1.936972841778855</v>
      </c>
      <c r="R174" s="16">
        <f>IF('WetLitterbags placem_collection'!G101="","",'WetLitterbags placem_collection'!G101)</f>
        <v>42816</v>
      </c>
      <c r="S174" s="194">
        <f>IFERROR(INDEX('Both teabags AfterWet'!$C$3:$C$2000,MATCH(H174,'Both teabags AfterWet'!$A$3:$A$2000,0)),"")</f>
        <v>0.65149999999999997</v>
      </c>
      <c r="T174" s="194">
        <f>IFERROR(INDEX('Both teabags AfterWet'!$C$3:$C$2000,MATCH(I174,'Both teabags AfterWet'!$A$3:$A$2000,0)),"")</f>
        <v>1.5992</v>
      </c>
      <c r="U174" s="194">
        <f t="shared" si="21"/>
        <v>0.5008999999999999</v>
      </c>
      <c r="V174" s="194">
        <f t="shared" si="22"/>
        <v>1.4485999999999999</v>
      </c>
      <c r="W174" s="194">
        <f>IFERROR(INDEX('Ashed teabags wet'!$K$2:$K$2000,MATCH(H174,'Ashed teabags wet'!$A$2:$A$2000,0)),"")</f>
        <v>16.733295259852824</v>
      </c>
      <c r="X174" s="237">
        <f>IFERROR(INDEX('Ashed teabags wet'!$K$2:$K$2000,MATCH(I174,'Ashed teabags wet'!$A$2:$A$2000,0)),"")</f>
        <v>3.4003831417629944</v>
      </c>
      <c r="Y174" s="194">
        <f t="shared" si="27"/>
        <v>0.41708292404339714</v>
      </c>
      <c r="Z174" s="194">
        <f t="shared" si="27"/>
        <v>1.3993420498084213</v>
      </c>
      <c r="AA174" s="194">
        <f t="shared" si="23"/>
        <v>0.75880965756564678</v>
      </c>
      <c r="AB174" s="194">
        <f t="shared" si="24"/>
        <v>0.49746191327344069</v>
      </c>
      <c r="AC174" s="194">
        <f t="shared" si="16"/>
        <v>0.72243761999435652</v>
      </c>
      <c r="AD174">
        <f t="shared" si="17"/>
        <v>54</v>
      </c>
      <c r="AE174" s="194">
        <f t="shared" si="25"/>
        <v>9.8800881751013314E-2</v>
      </c>
      <c r="AF174" s="194">
        <f t="shared" si="26"/>
        <v>1.5117559673149818E-2</v>
      </c>
      <c r="AG174" s="252" t="str">
        <f>IF(ISNUMBER(SEARCH("C",'WetLitterbags placem_collection'!$X101)),"YES","NO")</f>
        <v>NO</v>
      </c>
      <c r="AH174" s="252" t="str">
        <f>IF(ISNUMBER(SEARCH("H", 'WetLitterbags placem_collection'!$X101)),"YES","NO")</f>
        <v>NO</v>
      </c>
      <c r="AI174" s="252" t="str">
        <f>IF(ISNUMBER(SEARCH("R", 'WetLitterbags placem_collection'!$X101)),"YES","NO")</f>
        <v>NO</v>
      </c>
      <c r="AJ174" s="252" t="str">
        <f>IF(ISNUMBER(SEARCH("C", 'WetLitterbags placem_collection'!$V101)),"YES","NO")</f>
        <v>NO</v>
      </c>
      <c r="AK174" s="252" t="str">
        <f>IF(ISNUMBER(SEARCH("H", 'WetLitterbags placem_collection'!$V101)),"YES","NO")</f>
        <v>NO</v>
      </c>
      <c r="AL174" s="252" t="str">
        <f>IF(ISNUMBER(SEARCH("R", 'WetLitterbags placem_collection'!$V101)),"YES","NO")</f>
        <v>YES</v>
      </c>
    </row>
    <row r="175" spans="2:38">
      <c r="B175" t="str">
        <f>'Final data_for_R_analysis_Wetse'!A101</f>
        <v>Wet</v>
      </c>
      <c r="C175" s="260">
        <f>'Final data_for_R_analysis_Wetse'!B101</f>
        <v>100</v>
      </c>
      <c r="D175" t="s">
        <v>3815</v>
      </c>
      <c r="E175" t="s">
        <v>22</v>
      </c>
      <c r="F175" s="382">
        <v>4</v>
      </c>
      <c r="G175" s="16">
        <f>'WetLitterbags placem_collection'!E102</f>
        <v>42762</v>
      </c>
      <c r="H175" t="str">
        <f>'Final data_for_R_analysis_Wetse'!K101</f>
        <v>G728</v>
      </c>
      <c r="I175" t="str">
        <f>'Final data_for_R_analysis_Wetse'!K321</f>
        <v>R500</v>
      </c>
      <c r="J175">
        <f>IFERROR(INDEX('Green_rooibos initial weight'!$C$5:$C$2000,MATCH(H175, 'Green_rooibos initial weight'!$A$5:$A$2000,0)),"")</f>
        <v>1.962</v>
      </c>
      <c r="K175">
        <f>IFERROR(INDEX('Green_rooibos initial weight'!$C$5:$C$2000,MATCH(I175, 'Green_rooibos initial weight'!$A$5:$A$2000,0)),"")</f>
        <v>2.2069999999999999</v>
      </c>
      <c r="L175" s="194">
        <f t="shared" si="18"/>
        <v>1.7121999999999999</v>
      </c>
      <c r="M175" s="194">
        <f>AVERAGE(Ashed_controlls!$K$2:$K$11)</f>
        <v>5.5147656768714146</v>
      </c>
      <c r="N175" s="194">
        <f t="shared" si="15"/>
        <v>1.6177761820806076</v>
      </c>
      <c r="O175" s="194">
        <f t="shared" si="19"/>
        <v>1.9571999999999998</v>
      </c>
      <c r="P175" s="194">
        <f>AVERAGE(Ashed_controlls!$K$12:$K$14)</f>
        <v>2.2816647271287041</v>
      </c>
      <c r="Q175" s="194">
        <f t="shared" si="20"/>
        <v>1.9125432579606367</v>
      </c>
      <c r="R175" s="16">
        <f>IF('WetLitterbags placem_collection'!G102="","",'WetLitterbags placem_collection'!G102)</f>
        <v>42816</v>
      </c>
      <c r="S175" s="194">
        <f>IFERROR(INDEX('Both teabags AfterWet'!$C$3:$C$2000,MATCH(H175,'Both teabags AfterWet'!$A$3:$A$2000,0)),"")</f>
        <v>0.59699999999999998</v>
      </c>
      <c r="T175" s="194">
        <f>IFERROR(INDEX('Both teabags AfterWet'!$C$3:$C$2000,MATCH(I175,'Both teabags AfterWet'!$A$3:$A$2000,0)),"")</f>
        <v>1.764</v>
      </c>
      <c r="U175" s="194">
        <f t="shared" si="21"/>
        <v>0.44639999999999996</v>
      </c>
      <c r="V175" s="194">
        <f t="shared" si="22"/>
        <v>1.6133999999999999</v>
      </c>
      <c r="W175" s="194">
        <f>IFERROR(INDEX('Ashed teabags wet'!$K$2:$K$2000,MATCH(H175,'Ashed teabags wet'!$A$2:$A$2000,0)),"")</f>
        <v>12.794117647059169</v>
      </c>
      <c r="X175" s="237">
        <f>IFERROR(INDEX('Ashed teabags wet'!$K$2:$K$2000,MATCH(I175,'Ashed teabags wet'!$A$2:$A$2000,0)),"")</f>
        <v>22.316525212181858</v>
      </c>
      <c r="Y175" s="194">
        <f t="shared" si="27"/>
        <v>0.38928705882352782</v>
      </c>
      <c r="Z175" s="194">
        <f t="shared" si="27"/>
        <v>1.2533451822266579</v>
      </c>
      <c r="AA175" s="194">
        <f t="shared" si="23"/>
        <v>0.75936902574318454</v>
      </c>
      <c r="AB175" s="194">
        <f t="shared" si="24"/>
        <v>0.49782862495277663</v>
      </c>
      <c r="AC175" s="194">
        <f t="shared" si="16"/>
        <v>0.6553290635439597</v>
      </c>
      <c r="AD175">
        <f t="shared" si="17"/>
        <v>54</v>
      </c>
      <c r="AE175" s="194">
        <f t="shared" si="25"/>
        <v>9.8136548998593143E-2</v>
      </c>
      <c r="AF175" s="194">
        <f t="shared" si="26"/>
        <v>2.1829404755284235E-2</v>
      </c>
      <c r="AG175" s="252" t="str">
        <f>IF(ISNUMBER(SEARCH("C",'WetLitterbags placem_collection'!$X102)),"YES","NO")</f>
        <v>NO</v>
      </c>
      <c r="AH175" s="252" t="str">
        <f>IF(ISNUMBER(SEARCH("H", 'WetLitterbags placem_collection'!$X102)),"YES","NO")</f>
        <v>NO</v>
      </c>
      <c r="AI175" s="252" t="str">
        <f>IF(ISNUMBER(SEARCH("R", 'WetLitterbags placem_collection'!$X102)),"YES","NO")</f>
        <v>NO</v>
      </c>
      <c r="AJ175" s="252" t="str">
        <f>IF(ISNUMBER(SEARCH("C", 'WetLitterbags placem_collection'!$V102)),"YES","NO")</f>
        <v>YES</v>
      </c>
      <c r="AK175" s="252" t="str">
        <f>IF(ISNUMBER(SEARCH("H", 'WetLitterbags placem_collection'!$V102)),"YES","NO")</f>
        <v>NO</v>
      </c>
      <c r="AL175" s="252" t="str">
        <f>IF(ISNUMBER(SEARCH("R", 'WetLitterbags placem_collection'!$V102)),"YES","NO")</f>
        <v>NO</v>
      </c>
    </row>
    <row r="176" spans="2:38">
      <c r="B176" t="str">
        <f>'Final data_for_R_analysis_Wetse'!A102</f>
        <v>Wet</v>
      </c>
      <c r="C176" s="260">
        <f>'Final data_for_R_analysis_Wetse'!B102</f>
        <v>101</v>
      </c>
      <c r="D176" t="s">
        <v>3815</v>
      </c>
      <c r="E176" t="s">
        <v>22</v>
      </c>
      <c r="F176" s="382">
        <v>5</v>
      </c>
      <c r="G176" s="16">
        <f>'WetLitterbags placem_collection'!E103</f>
        <v>42762</v>
      </c>
      <c r="H176" t="str">
        <f>'Final data_for_R_analysis_Wetse'!K102</f>
        <v>G808</v>
      </c>
      <c r="I176" t="str">
        <f>'Final data_for_R_analysis_Wetse'!K322</f>
        <v>R482</v>
      </c>
      <c r="J176">
        <f>IFERROR(INDEX('Green_rooibos initial weight'!$C$5:$C$2000,MATCH(H176, 'Green_rooibos initial weight'!$A$5:$A$2000,0)),"")</f>
        <v>1.86</v>
      </c>
      <c r="K176">
        <f>IFERROR(INDEX('Green_rooibos initial weight'!$C$5:$C$2000,MATCH(I176, 'Green_rooibos initial weight'!$A$5:$A$2000,0)),"")</f>
        <v>2.17</v>
      </c>
      <c r="L176" s="194">
        <f t="shared" si="18"/>
        <v>1.6102000000000001</v>
      </c>
      <c r="M176" s="194">
        <f>AVERAGE(Ashed_controlls!$K$2:$K$11)</f>
        <v>5.5147656768714146</v>
      </c>
      <c r="N176" s="194">
        <f t="shared" si="15"/>
        <v>1.5214012430710167</v>
      </c>
      <c r="O176" s="194">
        <f t="shared" si="19"/>
        <v>1.9201999999999999</v>
      </c>
      <c r="P176" s="194">
        <f>AVERAGE(Ashed_controlls!$K$12:$K$14)</f>
        <v>2.2816647271287041</v>
      </c>
      <c r="Q176" s="194">
        <f t="shared" si="20"/>
        <v>1.8763874739096746</v>
      </c>
      <c r="R176" s="16">
        <f>IF('WetLitterbags placem_collection'!G103="","",'WetLitterbags placem_collection'!G103)</f>
        <v>42816</v>
      </c>
      <c r="S176" s="194">
        <f>IFERROR(INDEX('Both teabags AfterWet'!$C$3:$C$2000,MATCH(H176,'Both teabags AfterWet'!$A$3:$A$2000,0)),"")</f>
        <v>0.54810000000000003</v>
      </c>
      <c r="T176" s="194">
        <f>IFERROR(INDEX('Both teabags AfterWet'!$C$3:$C$2000,MATCH(I176,'Both teabags AfterWet'!$A$3:$A$2000,0)),"")</f>
        <v>1.6348</v>
      </c>
      <c r="U176" s="194">
        <f t="shared" si="21"/>
        <v>0.39750000000000002</v>
      </c>
      <c r="V176" s="194">
        <f t="shared" si="22"/>
        <v>1.4842</v>
      </c>
      <c r="W176" s="194">
        <f>IFERROR(INDEX('Ashed teabags wet'!$K$2:$K$2000,MATCH(H176,'Ashed teabags wet'!$A$2:$A$2000,0)),"")</f>
        <v>16.81547619047533</v>
      </c>
      <c r="X176" s="237">
        <f>IFERROR(INDEX('Ashed teabags wet'!$K$2:$K$2000,MATCH(I176,'Ashed teabags wet'!$A$2:$A$2000,0)),"")</f>
        <v>8.9805825242718385</v>
      </c>
      <c r="Y176" s="194">
        <f t="shared" si="27"/>
        <v>0.33065848214286059</v>
      </c>
      <c r="Z176" s="194">
        <f t="shared" si="27"/>
        <v>1.3509101941747574</v>
      </c>
      <c r="AA176" s="194">
        <f t="shared" si="23"/>
        <v>0.78266188249234525</v>
      </c>
      <c r="AB176" s="194">
        <f t="shared" si="24"/>
        <v>0.51309900134890096</v>
      </c>
      <c r="AC176" s="194">
        <f t="shared" si="16"/>
        <v>0.71995268192660478</v>
      </c>
      <c r="AD176">
        <f t="shared" si="17"/>
        <v>54</v>
      </c>
      <c r="AE176" s="194">
        <f t="shared" si="25"/>
        <v>7.0472823643295435E-2</v>
      </c>
      <c r="AF176" s="194">
        <f t="shared" si="26"/>
        <v>1.4614973445111479E-2</v>
      </c>
      <c r="AG176" s="252" t="str">
        <f>IF(ISNUMBER(SEARCH("C",'WetLitterbags placem_collection'!$X103)),"YES","NO")</f>
        <v>NO</v>
      </c>
      <c r="AH176" s="252" t="str">
        <f>IF(ISNUMBER(SEARCH("H", 'WetLitterbags placem_collection'!$X103)),"YES","NO")</f>
        <v>NO</v>
      </c>
      <c r="AI176" s="252" t="str">
        <f>IF(ISNUMBER(SEARCH("R", 'WetLitterbags placem_collection'!$X103)),"YES","NO")</f>
        <v>NO</v>
      </c>
      <c r="AJ176" s="252" t="str">
        <f>IF(ISNUMBER(SEARCH("C", 'WetLitterbags placem_collection'!$V103)),"YES","NO")</f>
        <v>NO</v>
      </c>
      <c r="AK176" s="252" t="str">
        <f>IF(ISNUMBER(SEARCH("H", 'WetLitterbags placem_collection'!$V103)),"YES","NO")</f>
        <v>YES</v>
      </c>
      <c r="AL176" s="252" t="str">
        <f>IF(ISNUMBER(SEARCH("R", 'WetLitterbags placem_collection'!$V103)),"YES","NO")</f>
        <v>NO</v>
      </c>
    </row>
    <row r="177" spans="2:38">
      <c r="B177" t="str">
        <f>'Final data_for_R_analysis_Wetse'!A103</f>
        <v>Wet</v>
      </c>
      <c r="C177" s="260">
        <f>'Final data_for_R_analysis_Wetse'!B103</f>
        <v>102</v>
      </c>
      <c r="D177" t="s">
        <v>3815</v>
      </c>
      <c r="E177" t="s">
        <v>22</v>
      </c>
      <c r="F177" s="382">
        <v>6</v>
      </c>
      <c r="G177" s="16">
        <f>'WetLitterbags placem_collection'!E104</f>
        <v>42762</v>
      </c>
      <c r="H177" t="str">
        <f>'Final data_for_R_analysis_Wetse'!K103</f>
        <v>G892</v>
      </c>
      <c r="I177" t="str">
        <f>'Final data_for_R_analysis_Wetse'!K323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8"/>
        <v>1.7012</v>
      </c>
      <c r="M177" s="194">
        <f>AVERAGE(Ashed_controlls!$K$2:$K$11)</f>
        <v>5.5147656768714146</v>
      </c>
      <c r="N177" s="194">
        <f t="shared" si="15"/>
        <v>1.6073828063050635</v>
      </c>
      <c r="O177" s="194">
        <f t="shared" si="19"/>
        <v>1.8462000000000001</v>
      </c>
      <c r="P177" s="194">
        <f>AVERAGE(Ashed_controlls!$K$12:$K$14)</f>
        <v>2.2816647271287041</v>
      </c>
      <c r="Q177" s="194">
        <f t="shared" si="20"/>
        <v>1.80407590580775</v>
      </c>
      <c r="R177" s="16">
        <f>IF('WetLitterbags placem_collection'!G104="","",'WetLitterbags placem_collection'!G104)</f>
        <v>42816</v>
      </c>
      <c r="S177" s="194">
        <f>IFERROR(INDEX('Both teabags AfterWet'!$C$3:$C$2000,MATCH(H177,'Both teabags AfterWet'!$A$3:$A$2000,0)),"")</f>
        <v>0.63100000000000001</v>
      </c>
      <c r="T177" s="194">
        <f>IFERROR(INDEX('Both teabags AfterWet'!$C$3:$C$2000,MATCH(I177,'Both teabags AfterWet'!$A$3:$A$2000,0)),"")</f>
        <v>1.655</v>
      </c>
      <c r="U177" s="194">
        <f t="shared" si="21"/>
        <v>0.48039999999999999</v>
      </c>
      <c r="V177" s="194">
        <f t="shared" si="22"/>
        <v>1.5044</v>
      </c>
      <c r="W177" s="194">
        <f>IFERROR(INDEX('Ashed teabags wet'!$K$2:$K$2000,MATCH(H177,'Ashed teabags wet'!$A$2:$A$2000,0)),"")</f>
        <v>12.703905091448961</v>
      </c>
      <c r="X177" s="237">
        <f>IFERROR(INDEX('Ashed teabags wet'!$K$2:$K$2000,MATCH(I177,'Ashed teabags wet'!$A$2:$A$2000,0)),"")</f>
        <v>6.4211050273764974</v>
      </c>
      <c r="Y177" s="194">
        <f t="shared" si="27"/>
        <v>0.41937043994067918</v>
      </c>
      <c r="Z177" s="194">
        <f t="shared" si="27"/>
        <v>1.4078008959681478</v>
      </c>
      <c r="AA177" s="194">
        <f t="shared" si="23"/>
        <v>0.73909734613579825</v>
      </c>
      <c r="AB177" s="194">
        <f t="shared" si="24"/>
        <v>0.48453887775173476</v>
      </c>
      <c r="AC177" s="194">
        <f t="shared" si="16"/>
        <v>0.78034460270551886</v>
      </c>
      <c r="AD177">
        <f t="shared" si="17"/>
        <v>54</v>
      </c>
      <c r="AE177" s="194">
        <f t="shared" si="25"/>
        <v>0.12221217798598782</v>
      </c>
      <c r="AF177" s="194">
        <f t="shared" si="26"/>
        <v>1.1183474782323311E-2</v>
      </c>
      <c r="AG177" s="252" t="str">
        <f>IF(ISNUMBER(SEARCH("C",'WetLitterbags placem_collection'!$X104)),"YES","NO")</f>
        <v>NO</v>
      </c>
      <c r="AH177" s="252" t="str">
        <f>IF(ISNUMBER(SEARCH("H", 'WetLitterbags placem_collection'!$X104)),"YES","NO")</f>
        <v>NO</v>
      </c>
      <c r="AI177" s="252" t="str">
        <f>IF(ISNUMBER(SEARCH("R", 'WetLitterbags placem_collection'!$X104)),"YES","NO")</f>
        <v>NO</v>
      </c>
      <c r="AJ177" s="252" t="str">
        <f>IF(ISNUMBER(SEARCH("C", 'WetLitterbags placem_collection'!$V104)),"YES","NO")</f>
        <v>NO</v>
      </c>
      <c r="AK177" s="252" t="str">
        <f>IF(ISNUMBER(SEARCH("H", 'WetLitterbags placem_collection'!$V104)),"YES","NO")</f>
        <v>NO</v>
      </c>
      <c r="AL177" s="252" t="str">
        <f>IF(ISNUMBER(SEARCH("R", 'WetLitterbags placem_collection'!$V104)),"YES","NO")</f>
        <v>NO</v>
      </c>
    </row>
    <row r="178" spans="2:38">
      <c r="B178" t="str">
        <f>'Final data_for_R_analysis_Wetse'!A104</f>
        <v>Wet</v>
      </c>
      <c r="C178" s="260">
        <f>'Final data_for_R_analysis_Wetse'!B104</f>
        <v>103</v>
      </c>
      <c r="D178" t="s">
        <v>3815</v>
      </c>
      <c r="E178" t="s">
        <v>22</v>
      </c>
      <c r="F178" s="382">
        <v>7</v>
      </c>
      <c r="G178" s="16">
        <f>'WetLitterbags placem_collection'!E105</f>
        <v>42762</v>
      </c>
      <c r="H178" t="str">
        <f>'Final data_for_R_analysis_Wetse'!K104</f>
        <v>G869</v>
      </c>
      <c r="I178" t="str">
        <f>'Final data_for_R_analysis_Wetse'!K324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8"/>
        <v>1.7991999999999999</v>
      </c>
      <c r="M178" s="194">
        <f>AVERAGE(Ashed_controlls!$K$2:$K$11)</f>
        <v>5.5147656768714146</v>
      </c>
      <c r="N178" s="194">
        <f t="shared" si="15"/>
        <v>1.6999783359417293</v>
      </c>
      <c r="O178" s="194">
        <f t="shared" si="19"/>
        <v>1.9331999999999998</v>
      </c>
      <c r="P178" s="194">
        <f>AVERAGE(Ashed_controlls!$K$12:$K$14)</f>
        <v>2.2816647271287041</v>
      </c>
      <c r="Q178" s="194">
        <f t="shared" si="20"/>
        <v>1.8890908574951477</v>
      </c>
      <c r="R178" s="16">
        <f>IF('WetLitterbags placem_collection'!G105="","",'WetLitterbags placem_collection'!G105)</f>
        <v>42816</v>
      </c>
      <c r="S178" s="194">
        <f>IFERROR(INDEX('Both teabags AfterWet'!$C$3:$C$2000,MATCH(H178,'Both teabags AfterWet'!$A$3:$A$2000,0)),"")</f>
        <v>0.55800000000000005</v>
      </c>
      <c r="T178" s="194">
        <f>IFERROR(INDEX('Both teabags AfterWet'!$C$3:$C$2000,MATCH(I178,'Both teabags AfterWet'!$A$3:$A$2000,0)),"")</f>
        <v>1.629</v>
      </c>
      <c r="U178" s="194">
        <f t="shared" si="21"/>
        <v>0.40740000000000004</v>
      </c>
      <c r="V178" s="194">
        <f t="shared" si="22"/>
        <v>1.4783999999999999</v>
      </c>
      <c r="W178" s="194">
        <f>IFERROR(INDEX('Ashed teabags wet'!$K$2:$K$2000,MATCH(H178,'Ashed teabags wet'!$A$2:$A$2000,0)),"")</f>
        <v>13.925925925925654</v>
      </c>
      <c r="X178" s="237">
        <f>IFERROR(INDEX('Ashed teabags wet'!$K$2:$K$2000,MATCH(I178,'Ashed teabags wet'!$A$2:$A$2000,0)),"")</f>
        <v>4.7409579667641673</v>
      </c>
      <c r="Y178" s="194">
        <f t="shared" si="27"/>
        <v>0.35066577777777891</v>
      </c>
      <c r="Z178" s="194">
        <f t="shared" si="27"/>
        <v>1.4083096774193584</v>
      </c>
      <c r="AA178" s="194">
        <f t="shared" si="23"/>
        <v>0.79372338437270606</v>
      </c>
      <c r="AB178" s="194">
        <f t="shared" si="24"/>
        <v>0.52035072229659596</v>
      </c>
      <c r="AC178" s="194">
        <f t="shared" si="16"/>
        <v>0.74549599974599201</v>
      </c>
      <c r="AD178">
        <f t="shared" si="17"/>
        <v>54</v>
      </c>
      <c r="AE178" s="194">
        <f t="shared" si="25"/>
        <v>5.7335648013413176E-2</v>
      </c>
      <c r="AF178" s="194">
        <f t="shared" si="26"/>
        <v>1.2436724822359682E-2</v>
      </c>
      <c r="AG178" s="252" t="str">
        <f>IF(ISNUMBER(SEARCH("C",'WetLitterbags placem_collection'!$X105)),"YES","NO")</f>
        <v>NO</v>
      </c>
      <c r="AH178" s="252" t="str">
        <f>IF(ISNUMBER(SEARCH("H", 'WetLitterbags placem_collection'!$X105)),"YES","NO")</f>
        <v>NO</v>
      </c>
      <c r="AI178" s="252" t="str">
        <f>IF(ISNUMBER(SEARCH("R", 'WetLitterbags placem_collection'!$X105)),"YES","NO")</f>
        <v>NO</v>
      </c>
      <c r="AJ178" s="252" t="str">
        <f>IF(ISNUMBER(SEARCH("C", 'WetLitterbags placem_collection'!$V105)),"YES","NO")</f>
        <v>NO</v>
      </c>
      <c r="AK178" s="252" t="str">
        <f>IF(ISNUMBER(SEARCH("H", 'WetLitterbags placem_collection'!$V105)),"YES","NO")</f>
        <v>NO</v>
      </c>
      <c r="AL178" s="252" t="str">
        <f>IF(ISNUMBER(SEARCH("R", 'WetLitterbags placem_collection'!$V105)),"YES","NO")</f>
        <v>NO</v>
      </c>
    </row>
    <row r="179" spans="2:38">
      <c r="B179" t="str">
        <f>'Final data_for_R_analysis_Wetse'!A105</f>
        <v>Wet</v>
      </c>
      <c r="C179" s="260">
        <f>'Final data_for_R_analysis_Wetse'!B105</f>
        <v>104</v>
      </c>
      <c r="D179" t="s">
        <v>3815</v>
      </c>
      <c r="E179" t="s">
        <v>22</v>
      </c>
      <c r="F179" s="382">
        <v>8</v>
      </c>
      <c r="G179" s="16">
        <f>'WetLitterbags placem_collection'!E106</f>
        <v>42762</v>
      </c>
      <c r="H179" t="str">
        <f>'Final data_for_R_analysis_Wetse'!K105</f>
        <v>G881</v>
      </c>
      <c r="I179" t="str">
        <f>'Final data_for_R_analysis_Wetse'!K325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8"/>
        <v>1.7072000000000001</v>
      </c>
      <c r="M179" s="194">
        <f>AVERAGE(Ashed_controlls!$K$2:$K$11)</f>
        <v>5.5147656768714146</v>
      </c>
      <c r="N179" s="194">
        <f t="shared" si="15"/>
        <v>1.6130519203644513</v>
      </c>
      <c r="O179" s="194">
        <f t="shared" si="19"/>
        <v>1.8361999999999998</v>
      </c>
      <c r="P179" s="194">
        <f>AVERAGE(Ashed_controlls!$K$12:$K$14)</f>
        <v>2.2816647271287041</v>
      </c>
      <c r="Q179" s="194">
        <f t="shared" si="20"/>
        <v>1.7943040722804626</v>
      </c>
      <c r="R179" s="16">
        <f>IF('WetLitterbags placem_collection'!G106="","",'WetLitterbags placem_collection'!G106)</f>
        <v>42816</v>
      </c>
      <c r="S179" s="194">
        <f>IFERROR(INDEX('Both teabags AfterWet'!$C$3:$C$2000,MATCH(H179,'Both teabags AfterWet'!$A$3:$A$2000,0)),"")</f>
        <v>0.61</v>
      </c>
      <c r="T179" s="194">
        <f>IFERROR(INDEX('Both teabags AfterWet'!$C$3:$C$2000,MATCH(I179,'Both teabags AfterWet'!$A$3:$A$2000,0)),"")</f>
        <v>1.4470000000000001</v>
      </c>
      <c r="U179" s="194">
        <f t="shared" si="21"/>
        <v>0.45939999999999998</v>
      </c>
      <c r="V179" s="194">
        <f t="shared" si="22"/>
        <v>1.2964</v>
      </c>
      <c r="W179" s="194">
        <f>IFERROR(INDEX('Ashed teabags wet'!$K$2:$K$2000,MATCH(H179,'Ashed teabags wet'!$A$2:$A$2000,0)),"")</f>
        <v>13.465250965250315</v>
      </c>
      <c r="X179" s="237">
        <f>IFERROR(INDEX('Ashed teabags wet'!$K$2:$K$2000,MATCH(I179,'Ashed teabags wet'!$A$2:$A$2000,0)),"")</f>
        <v>6.3583815028902215</v>
      </c>
      <c r="Y179" s="194">
        <f t="shared" si="27"/>
        <v>0.39754063706564002</v>
      </c>
      <c r="Z179" s="194">
        <f t="shared" si="27"/>
        <v>1.2139699421965311</v>
      </c>
      <c r="AA179" s="194">
        <f t="shared" si="23"/>
        <v>0.75354752562718497</v>
      </c>
      <c r="AB179" s="194">
        <f t="shared" si="24"/>
        <v>0.49401215456794079</v>
      </c>
      <c r="AC179" s="194">
        <f t="shared" si="16"/>
        <v>0.67656868250521296</v>
      </c>
      <c r="AD179">
        <f t="shared" si="17"/>
        <v>54</v>
      </c>
      <c r="AE179" s="194">
        <f t="shared" si="25"/>
        <v>0.10505044462329571</v>
      </c>
      <c r="AF179" s="194">
        <f t="shared" si="26"/>
        <v>1.9691681836618593E-2</v>
      </c>
      <c r="AG179" s="252" t="str">
        <f>IF(ISNUMBER(SEARCH("C",'WetLitterbags placem_collection'!$X106)),"YES","NO")</f>
        <v>NO</v>
      </c>
      <c r="AH179" s="252" t="str">
        <f>IF(ISNUMBER(SEARCH("H", 'WetLitterbags placem_collection'!$X106)),"YES","NO")</f>
        <v>NO</v>
      </c>
      <c r="AI179" s="252" t="str">
        <f>IF(ISNUMBER(SEARCH("R", 'WetLitterbags placem_collection'!$X106)),"YES","NO")</f>
        <v>NO</v>
      </c>
      <c r="AJ179" s="252" t="str">
        <f>IF(ISNUMBER(SEARCH("C", 'WetLitterbags placem_collection'!$V106)),"YES","NO")</f>
        <v>NO</v>
      </c>
      <c r="AK179" s="252" t="str">
        <f>IF(ISNUMBER(SEARCH("H", 'WetLitterbags placem_collection'!$V106)),"YES","NO")</f>
        <v>NO</v>
      </c>
      <c r="AL179" s="252" t="str">
        <f>IF(ISNUMBER(SEARCH("R", 'WetLitterbags placem_collection'!$V106)),"YES","NO")</f>
        <v>NO</v>
      </c>
    </row>
    <row r="180" spans="2:38">
      <c r="B180" t="str">
        <f>'Final data_for_R_analysis_Wetse'!A106</f>
        <v>Wet</v>
      </c>
      <c r="C180" s="260">
        <f>'Final data_for_R_analysis_Wetse'!B106</f>
        <v>105</v>
      </c>
      <c r="D180" t="s">
        <v>3817</v>
      </c>
      <c r="E180" t="s">
        <v>22</v>
      </c>
      <c r="F180" s="381">
        <v>1</v>
      </c>
      <c r="G180" s="16">
        <f>'WetLitterbags placem_collection'!E107</f>
        <v>42762</v>
      </c>
      <c r="H180" t="str">
        <f>'Final data_for_R_analysis_Wetse'!K106</f>
        <v>G729</v>
      </c>
      <c r="I180" t="str">
        <f>'Final data_for_R_analysis_Wetse'!K326</f>
        <v>R548</v>
      </c>
      <c r="J180">
        <f>IFERROR(INDEX('Green_rooibos initial weight'!$C$5:$C$2000,MATCH(H180, 'Green_rooibos initial weight'!$A$5:$A$2000,0)),"")</f>
        <v>1.984</v>
      </c>
      <c r="K180">
        <f>IFERROR(INDEX('Green_rooibos initial weight'!$C$5:$C$2000,MATCH(I180, 'Green_rooibos initial weight'!$A$5:$A$2000,0)),"")</f>
        <v>2.1920000000000002</v>
      </c>
      <c r="L180" s="194">
        <f t="shared" si="18"/>
        <v>1.7342</v>
      </c>
      <c r="M180" s="194">
        <f>AVERAGE(Ashed_controlls!$K$2:$K$11)</f>
        <v>5.5147656768714146</v>
      </c>
      <c r="N180" s="194">
        <f t="shared" si="15"/>
        <v>1.6385629336316958</v>
      </c>
      <c r="O180" s="194">
        <f t="shared" si="19"/>
        <v>1.9422000000000001</v>
      </c>
      <c r="P180" s="194">
        <f>AVERAGE(Ashed_controlls!$K$12:$K$14)</f>
        <v>2.2816647271287041</v>
      </c>
      <c r="Q180" s="194">
        <f t="shared" si="20"/>
        <v>1.8978855076697065</v>
      </c>
      <c r="R180" s="16">
        <f>IF('WetLitterbags placem_collection'!G107="","",'WetLitterbags placem_collection'!G107)</f>
        <v>42816</v>
      </c>
      <c r="S180" s="194">
        <f>IFERROR(INDEX('Both teabags AfterWet'!$C$3:$C$2000,MATCH(H180,'Both teabags AfterWet'!$A$3:$A$2000,0)),"")</f>
        <v>0.72399999999999998</v>
      </c>
      <c r="T180" s="194">
        <f>IFERROR(INDEX('Both teabags AfterWet'!$C$3:$C$2000,MATCH(I180,'Both teabags AfterWet'!$A$3:$A$2000,0)),"")</f>
        <v>1.859</v>
      </c>
      <c r="U180" s="194">
        <f t="shared" si="21"/>
        <v>0.57339999999999991</v>
      </c>
      <c r="V180" s="194">
        <f t="shared" si="22"/>
        <v>1.7083999999999999</v>
      </c>
      <c r="W180" s="194">
        <f>IFERROR(INDEX('Ashed teabags wet'!$K$2:$K$2000,MATCH(H180,'Ashed teabags wet'!$A$2:$A$2000,0)),"")</f>
        <v>19.719771665802661</v>
      </c>
      <c r="X180" s="237">
        <f>IFERROR(INDEX('Ashed teabags wet'!$K$2:$K$2000,MATCH(I180,'Ashed teabags wet'!$A$2:$A$2000,0)),"")</f>
        <v>16.476991588322143</v>
      </c>
      <c r="Y180" s="194">
        <f t="shared" si="27"/>
        <v>0.4603268292682875</v>
      </c>
      <c r="Z180" s="194">
        <f t="shared" si="27"/>
        <v>1.4269070757051043</v>
      </c>
      <c r="AA180" s="194">
        <f t="shared" si="23"/>
        <v>0.71906673840837876</v>
      </c>
      <c r="AB180" s="194">
        <f t="shared" si="24"/>
        <v>0.47140717292330775</v>
      </c>
      <c r="AC180" s="194">
        <f t="shared" si="16"/>
        <v>0.75184044028931607</v>
      </c>
      <c r="AD180">
        <f t="shared" si="17"/>
        <v>54</v>
      </c>
      <c r="AE180" s="194">
        <f t="shared" si="25"/>
        <v>0.14600149832734111</v>
      </c>
      <c r="AF180" s="194">
        <f t="shared" si="26"/>
        <v>1.3841494036995118E-2</v>
      </c>
      <c r="AG180" s="252" t="str">
        <f>IF(ISNUMBER(SEARCH("C",'WetLitterbags placem_collection'!$X107)),"YES","NO")</f>
        <v>NO</v>
      </c>
      <c r="AH180" s="252" t="str">
        <f>IF(ISNUMBER(SEARCH("H", 'WetLitterbags placem_collection'!$X107)),"YES","NO")</f>
        <v>NO</v>
      </c>
      <c r="AI180" s="252" t="str">
        <f>IF(ISNUMBER(SEARCH("R", 'WetLitterbags placem_collection'!$X107)),"YES","NO")</f>
        <v>NO</v>
      </c>
      <c r="AJ180" s="252" t="str">
        <f>IF(ISNUMBER(SEARCH("C", 'WetLitterbags placem_collection'!$V107)),"YES","NO")</f>
        <v>NO</v>
      </c>
      <c r="AK180" s="252" t="str">
        <f>IF(ISNUMBER(SEARCH("H", 'WetLitterbags placem_collection'!$V107)),"YES","NO")</f>
        <v>NO</v>
      </c>
      <c r="AL180" s="252" t="str">
        <f>IF(ISNUMBER(SEARCH("R", 'WetLitterbags placem_collection'!$V107)),"YES","NO")</f>
        <v>NO</v>
      </c>
    </row>
    <row r="181" spans="2:38">
      <c r="B181" t="str">
        <f>'Final data_for_R_analysis_Wetse'!A107</f>
        <v>Wet</v>
      </c>
      <c r="C181" s="260">
        <f>'Final data_for_R_analysis_Wetse'!B107</f>
        <v>106</v>
      </c>
      <c r="D181" t="s">
        <v>3817</v>
      </c>
      <c r="E181" t="s">
        <v>22</v>
      </c>
      <c r="F181" s="381">
        <v>2</v>
      </c>
      <c r="G181" s="16">
        <f>'WetLitterbags placem_collection'!E108</f>
        <v>42762</v>
      </c>
      <c r="H181" t="str">
        <f>'Final data_for_R_analysis_Wetse'!K107</f>
        <v>G837</v>
      </c>
      <c r="I181" t="str">
        <f>'Final data_for_R_analysis_Wetse'!K327</f>
        <v>R590</v>
      </c>
      <c r="J181">
        <f>IFERROR(INDEX('Green_rooibos initial weight'!$C$5:$C$2000,MATCH(H181, 'Green_rooibos initial weight'!$A$5:$A$2000,0)),"")</f>
        <v>1.1910000000000001</v>
      </c>
      <c r="K181">
        <f>IFERROR(INDEX('Green_rooibos initial weight'!$C$5:$C$2000,MATCH(I181, 'Green_rooibos initial weight'!$A$5:$A$2000,0)),"")</f>
        <v>2.218</v>
      </c>
      <c r="L181" s="194">
        <f t="shared" si="18"/>
        <v>0.94120000000000004</v>
      </c>
      <c r="M181" s="194">
        <f>AVERAGE(Ashed_controlls!$K$2:$K$11)</f>
        <v>5.5147656768714146</v>
      </c>
      <c r="N181" s="194">
        <f t="shared" si="15"/>
        <v>0.88929502544928629</v>
      </c>
      <c r="O181" s="194">
        <f t="shared" si="19"/>
        <v>1.9681999999999999</v>
      </c>
      <c r="P181" s="194">
        <f>AVERAGE(Ashed_controlls!$K$12:$K$14)</f>
        <v>2.2816647271287041</v>
      </c>
      <c r="Q181" s="194">
        <f t="shared" si="20"/>
        <v>1.9232922748406529</v>
      </c>
      <c r="R181" s="16">
        <f>IF('WetLitterbags placem_collection'!G108="","",'WetLitterbags placem_collection'!G108)</f>
        <v>42816</v>
      </c>
      <c r="S181" s="194">
        <f>IFERROR(INDEX('Both teabags AfterWet'!$C$3:$C$2000,MATCH(H181,'Both teabags AfterWet'!$A$3:$A$2000,0)),"")</f>
        <v>0.62</v>
      </c>
      <c r="T181" s="194">
        <f>IFERROR(INDEX('Both teabags AfterWet'!$C$3:$C$2000,MATCH(I181,'Both teabags AfterWet'!$A$3:$A$2000,0)),"")</f>
        <v>1.7769999999999999</v>
      </c>
      <c r="U181" s="194">
        <f t="shared" si="21"/>
        <v>0.46939999999999998</v>
      </c>
      <c r="V181" s="194">
        <f t="shared" si="22"/>
        <v>1.6263999999999998</v>
      </c>
      <c r="W181" s="194">
        <f>IFERROR(INDEX('Ashed teabags wet'!$K$2:$K$2000,MATCH(H181,'Ashed teabags wet'!$A$2:$A$2000,0)),"")</f>
        <v>13.95235780262451</v>
      </c>
      <c r="X181" s="237">
        <f>IFERROR(INDEX('Ashed teabags wet'!$K$2:$K$2000,MATCH(I181,'Ashed teabags wet'!$A$2:$A$2000,0)),"")</f>
        <v>10.077145612343887</v>
      </c>
      <c r="Y181" s="194">
        <f t="shared" si="27"/>
        <v>0.40390763247448053</v>
      </c>
      <c r="Z181" s="194">
        <f t="shared" si="27"/>
        <v>1.4625053037608389</v>
      </c>
      <c r="AA181" s="194">
        <f t="shared" si="23"/>
        <v>0.5458114338709813</v>
      </c>
      <c r="AB181" s="194">
        <f t="shared" si="24"/>
        <v>0.35782412291779303</v>
      </c>
      <c r="AC181" s="194">
        <f t="shared" si="16"/>
        <v>0.76041760417407656</v>
      </c>
      <c r="AD181">
        <f t="shared" si="17"/>
        <v>54</v>
      </c>
      <c r="AE181" s="194">
        <f t="shared" si="25"/>
        <v>0.35176789326486779</v>
      </c>
      <c r="AF181" s="194">
        <f t="shared" si="26"/>
        <v>2.0505750465967906E-2</v>
      </c>
      <c r="AG181" s="252" t="str">
        <f>IF(ISNUMBER(SEARCH("C",'WetLitterbags placem_collection'!$X108)),"YES","NO")</f>
        <v>NO</v>
      </c>
      <c r="AH181" s="252" t="str">
        <f>IF(ISNUMBER(SEARCH("H", 'WetLitterbags placem_collection'!$X108)),"YES","NO")</f>
        <v>NO</v>
      </c>
      <c r="AI181" s="252" t="str">
        <f>IF(ISNUMBER(SEARCH("R", 'WetLitterbags placem_collection'!$X108)),"YES","NO")</f>
        <v>YES</v>
      </c>
      <c r="AJ181" s="252" t="str">
        <f>IF(ISNUMBER(SEARCH("C", 'WetLitterbags placem_collection'!$V108)),"YES","NO")</f>
        <v>NO</v>
      </c>
      <c r="AK181" s="252" t="str">
        <f>IF(ISNUMBER(SEARCH("H", 'WetLitterbags placem_collection'!$V108)),"YES","NO")</f>
        <v>NO</v>
      </c>
      <c r="AL181" s="252" t="str">
        <f>IF(ISNUMBER(SEARCH("R", 'WetLitterbags placem_collection'!$V108)),"YES","NO")</f>
        <v>YES</v>
      </c>
    </row>
    <row r="182" spans="2:38">
      <c r="B182" t="str">
        <f>'Final data_for_R_analysis_Wetse'!A108</f>
        <v>Wet</v>
      </c>
      <c r="C182" s="260">
        <f>'Final data_for_R_analysis_Wetse'!B108</f>
        <v>107</v>
      </c>
      <c r="D182" t="s">
        <v>3817</v>
      </c>
      <c r="E182" t="s">
        <v>22</v>
      </c>
      <c r="F182" s="381">
        <v>3</v>
      </c>
      <c r="G182" s="16">
        <f>'WetLitterbags placem_collection'!E109</f>
        <v>42762</v>
      </c>
      <c r="H182" t="str">
        <f>'Final data_for_R_analysis_Wetse'!K108</f>
        <v>G688</v>
      </c>
      <c r="I182" t="str">
        <f>'Final data_for_R_analysis_Wetse'!K328</f>
        <v>R574</v>
      </c>
      <c r="J182">
        <f>IFERROR(INDEX('Green_rooibos initial weight'!$C$5:$C$2000,MATCH(H182, 'Green_rooibos initial weight'!$A$5:$A$2000,0)),"")</f>
        <v>2.125</v>
      </c>
      <c r="K182">
        <f>IFERROR(INDEX('Green_rooibos initial weight'!$C$5:$C$2000,MATCH(I182, 'Green_rooibos initial weight'!$A$5:$A$2000,0)),"")</f>
        <v>2.16</v>
      </c>
      <c r="L182" s="194">
        <f t="shared" si="18"/>
        <v>1.8752</v>
      </c>
      <c r="M182" s="194">
        <f>AVERAGE(Ashed_controlls!$K$2:$K$11)</f>
        <v>5.5147656768714146</v>
      </c>
      <c r="N182" s="194">
        <f t="shared" si="15"/>
        <v>1.7717871140273072</v>
      </c>
      <c r="O182" s="194">
        <f t="shared" si="19"/>
        <v>1.9102000000000001</v>
      </c>
      <c r="P182" s="194">
        <f>AVERAGE(Ashed_controlls!$K$12:$K$14)</f>
        <v>2.2816647271287041</v>
      </c>
      <c r="Q182" s="194">
        <f t="shared" si="20"/>
        <v>1.8666156403823877</v>
      </c>
      <c r="R182" s="16">
        <f>IF('WetLitterbags placem_collection'!G109="","",'WetLitterbags placem_collection'!G109)</f>
        <v>42816</v>
      </c>
      <c r="S182" s="194">
        <f>IFERROR(INDEX('Both teabags AfterWet'!$C$3:$C$2000,MATCH(H182,'Both teabags AfterWet'!$A$3:$A$2000,0)),"")</f>
        <v>0.60899999999999999</v>
      </c>
      <c r="T182" s="194">
        <f>IFERROR(INDEX('Both teabags AfterWet'!$C$3:$C$2000,MATCH(I182,'Both teabags AfterWet'!$A$3:$A$2000,0)),"")</f>
        <v>1.706</v>
      </c>
      <c r="U182" s="194">
        <f t="shared" si="21"/>
        <v>0.45839999999999997</v>
      </c>
      <c r="V182" s="194">
        <f t="shared" si="22"/>
        <v>1.5553999999999999</v>
      </c>
      <c r="W182" s="194">
        <f>IFERROR(INDEX('Ashed teabags wet'!$K$2:$K$2000,MATCH(H182,'Ashed teabags wet'!$A$2:$A$2000,0)),"")</f>
        <v>14.504950495050023</v>
      </c>
      <c r="X182" s="237">
        <f>IFERROR(INDEX('Ashed teabags wet'!$K$2:$K$2000,MATCH(I182,'Ashed teabags wet'!$A$2:$A$2000,0)),"")</f>
        <v>6.0532687651327608</v>
      </c>
      <c r="Y182" s="194">
        <f t="shared" si="27"/>
        <v>0.3919093069306907</v>
      </c>
      <c r="Z182" s="194">
        <f t="shared" si="27"/>
        <v>1.461247457627125</v>
      </c>
      <c r="AA182" s="194">
        <f t="shared" si="23"/>
        <v>0.77880564553837783</v>
      </c>
      <c r="AB182" s="194">
        <f t="shared" si="24"/>
        <v>0.51057092201565868</v>
      </c>
      <c r="AC182" s="194">
        <f t="shared" si="16"/>
        <v>0.78283253714073642</v>
      </c>
      <c r="AD182">
        <f t="shared" si="17"/>
        <v>54</v>
      </c>
      <c r="AE182" s="194">
        <f t="shared" si="25"/>
        <v>7.5052677507864818E-2</v>
      </c>
      <c r="AF182" s="194">
        <f t="shared" si="26"/>
        <v>1.0258905536854036E-2</v>
      </c>
      <c r="AG182" s="252" t="str">
        <f>IF(ISNUMBER(SEARCH("C",'WetLitterbags placem_collection'!$X109)),"YES","NO")</f>
        <v>NO</v>
      </c>
      <c r="AH182" s="252" t="str">
        <f>IF(ISNUMBER(SEARCH("H", 'WetLitterbags placem_collection'!$X109)),"YES","NO")</f>
        <v>NO</v>
      </c>
      <c r="AI182" s="252" t="str">
        <f>IF(ISNUMBER(SEARCH("R", 'WetLitterbags placem_collection'!$X109)),"YES","NO")</f>
        <v>YES</v>
      </c>
      <c r="AJ182" s="252" t="str">
        <f>IF(ISNUMBER(SEARCH("C", 'WetLitterbags placem_collection'!$V109)),"YES","NO")</f>
        <v>NO</v>
      </c>
      <c r="AK182" s="252" t="str">
        <f>IF(ISNUMBER(SEARCH("H", 'WetLitterbags placem_collection'!$V109)),"YES","NO")</f>
        <v>NO</v>
      </c>
      <c r="AL182" s="252" t="str">
        <f>IF(ISNUMBER(SEARCH("R", 'WetLitterbags placem_collection'!$V109)),"YES","NO")</f>
        <v>YES</v>
      </c>
    </row>
    <row r="183" spans="2:38">
      <c r="B183" t="str">
        <f>'Final data_for_R_analysis_Wetse'!A109</f>
        <v>Wet</v>
      </c>
      <c r="C183" s="260">
        <f>'Final data_for_R_analysis_Wetse'!B109</f>
        <v>108</v>
      </c>
      <c r="D183" t="s">
        <v>3817</v>
      </c>
      <c r="E183" t="s">
        <v>22</v>
      </c>
      <c r="F183" s="382">
        <v>4</v>
      </c>
      <c r="G183" s="16">
        <f>'WetLitterbags placem_collection'!E110</f>
        <v>42762</v>
      </c>
      <c r="H183" t="str">
        <f>'Final data_for_R_analysis_Wetse'!K109</f>
        <v>G883</v>
      </c>
      <c r="I183" t="str">
        <f>'Final data_for_R_analysis_Wetse'!K329</f>
        <v>R8</v>
      </c>
      <c r="J183">
        <f>IFERROR(INDEX('Green_rooibos initial weight'!$C$5:$C$2000,MATCH(H183, 'Green_rooibos initial weight'!$A$5:$A$2000,0)),"")</f>
        <v>2.073</v>
      </c>
      <c r="K183">
        <f>IFERROR(INDEX('Green_rooibos initial weight'!$C$5:$C$2000,MATCH(I183, 'Green_rooibos initial weight'!$A$5:$A$2000,0)),"")</f>
        <v>2.23</v>
      </c>
      <c r="L183" s="194">
        <f t="shared" si="18"/>
        <v>1.8231999999999999</v>
      </c>
      <c r="M183" s="194">
        <f>AVERAGE(Ashed_controlls!$K$2:$K$11)</f>
        <v>5.5147656768714146</v>
      </c>
      <c r="N183" s="194">
        <f t="shared" si="15"/>
        <v>1.7226547921792803</v>
      </c>
      <c r="O183" s="194">
        <f t="shared" si="19"/>
        <v>1.9802</v>
      </c>
      <c r="P183" s="194">
        <f>AVERAGE(Ashed_controlls!$K$12:$K$14)</f>
        <v>2.2816647271287041</v>
      </c>
      <c r="Q183" s="194">
        <f t="shared" si="20"/>
        <v>1.9350184750733974</v>
      </c>
      <c r="R183" s="16">
        <f>IF('WetLitterbags placem_collection'!G110="","",'WetLitterbags placem_collection'!G110)</f>
        <v>42816</v>
      </c>
      <c r="S183" s="194">
        <f>IFERROR(INDEX('Both teabags AfterWet'!$C$3:$C$2000,MATCH(H183,'Both teabags AfterWet'!$A$3:$A$2000,0)),"")</f>
        <v>0.67200000000000004</v>
      </c>
      <c r="T183" s="194">
        <f>IFERROR(INDEX('Both teabags AfterWet'!$C$3:$C$2000,MATCH(I183,'Both teabags AfterWet'!$A$3:$A$2000,0)),"")</f>
        <v>1.536</v>
      </c>
      <c r="U183" s="194">
        <f t="shared" si="21"/>
        <v>0.52140000000000009</v>
      </c>
      <c r="V183" s="194">
        <f t="shared" si="22"/>
        <v>1.3854</v>
      </c>
      <c r="W183" s="194">
        <f>IFERROR(INDEX('Ashed teabags wet'!$K$2:$K$2000,MATCH(H183,'Ashed teabags wet'!$A$2:$A$2000,0)),"")</f>
        <v>14.878892733563953</v>
      </c>
      <c r="X183" s="237">
        <f>IFERROR(INDEX('Ashed teabags wet'!$K$2:$K$2000,MATCH(I183,'Ashed teabags wet'!$A$2:$A$2000,0)),"")</f>
        <v>8.2171314741042973</v>
      </c>
      <c r="Y183" s="194">
        <f t="shared" si="27"/>
        <v>0.44382145328719763</v>
      </c>
      <c r="Z183" s="194">
        <f t="shared" si="27"/>
        <v>1.2715598605577589</v>
      </c>
      <c r="AA183" s="194">
        <f t="shared" si="23"/>
        <v>0.74236193153607277</v>
      </c>
      <c r="AB183" s="194">
        <f t="shared" si="24"/>
        <v>0.48667908100702167</v>
      </c>
      <c r="AC183" s="194">
        <f t="shared" si="16"/>
        <v>0.65713060466232875</v>
      </c>
      <c r="AD183">
        <f t="shared" si="17"/>
        <v>54</v>
      </c>
      <c r="AE183" s="194">
        <f t="shared" si="25"/>
        <v>0.11833499817568549</v>
      </c>
      <c r="AF183" s="194">
        <f t="shared" si="26"/>
        <v>2.2576187712356557E-2</v>
      </c>
      <c r="AG183" s="252" t="str">
        <f>IF(ISNUMBER(SEARCH("C",'WetLitterbags placem_collection'!$X110)),"YES","NO")</f>
        <v>NO</v>
      </c>
      <c r="AH183" s="252" t="str">
        <f>IF(ISNUMBER(SEARCH("H", 'WetLitterbags placem_collection'!$X110)),"YES","NO")</f>
        <v>NO</v>
      </c>
      <c r="AI183" s="252" t="str">
        <f>IF(ISNUMBER(SEARCH("R", 'WetLitterbags placem_collection'!$X110)),"YES","NO")</f>
        <v>YES</v>
      </c>
      <c r="AJ183" s="252" t="str">
        <f>IF(ISNUMBER(SEARCH("C", 'WetLitterbags placem_collection'!$V110)),"YES","NO")</f>
        <v>NO</v>
      </c>
      <c r="AK183" s="252" t="str">
        <f>IF(ISNUMBER(SEARCH("H", 'WetLitterbags placem_collection'!$V110)),"YES","NO")</f>
        <v>NO</v>
      </c>
      <c r="AL183" s="252" t="str">
        <f>IF(ISNUMBER(SEARCH("R", 'WetLitterbags placem_collection'!$V110)),"YES","NO")</f>
        <v>YES</v>
      </c>
    </row>
    <row r="184" spans="2:38">
      <c r="B184" t="str">
        <f>'Final data_for_R_analysis_Wetse'!A110</f>
        <v>Wet</v>
      </c>
      <c r="C184" s="260">
        <f>'Final data_for_R_analysis_Wetse'!B110</f>
        <v>109</v>
      </c>
      <c r="D184" t="s">
        <v>3817</v>
      </c>
      <c r="E184" t="s">
        <v>22</v>
      </c>
      <c r="F184" s="382">
        <v>5</v>
      </c>
      <c r="G184" s="16">
        <f>'WetLitterbags placem_collection'!E111</f>
        <v>42762</v>
      </c>
      <c r="H184" t="str">
        <f>'Final data_for_R_analysis_Wetse'!K110</f>
        <v>G704</v>
      </c>
      <c r="I184" t="str">
        <f>'Final data_for_R_analysis_Wetse'!K330</f>
        <v>R552</v>
      </c>
      <c r="J184">
        <f>IFERROR(INDEX('Green_rooibos initial weight'!$C$5:$C$2000,MATCH(H184, 'Green_rooibos initial weight'!$A$5:$A$2000,0)),"")</f>
        <v>2.0219999999999998</v>
      </c>
      <c r="K184">
        <f>IFERROR(INDEX('Green_rooibos initial weight'!$C$5:$C$2000,MATCH(I184, 'Green_rooibos initial weight'!$A$5:$A$2000,0)),"")</f>
        <v>2.222</v>
      </c>
      <c r="L184" s="194">
        <f t="shared" si="18"/>
        <v>1.7721999999999998</v>
      </c>
      <c r="M184" s="194">
        <f>AVERAGE(Ashed_controlls!$K$2:$K$11)</f>
        <v>5.5147656768714146</v>
      </c>
      <c r="N184" s="194">
        <f t="shared" si="15"/>
        <v>1.6744673226744846</v>
      </c>
      <c r="O184" s="194">
        <f t="shared" si="19"/>
        <v>1.9722</v>
      </c>
      <c r="P184" s="194">
        <f>AVERAGE(Ashed_controlls!$K$12:$K$14)</f>
        <v>2.2816647271287041</v>
      </c>
      <c r="Q184" s="194">
        <f t="shared" si="20"/>
        <v>1.9272010082515676</v>
      </c>
      <c r="R184" s="16">
        <f>IF('WetLitterbags placem_collection'!G111="","",'WetLitterbags placem_collection'!G111)</f>
        <v>42816</v>
      </c>
      <c r="S184" s="194">
        <f>IFERROR(INDEX('Both teabags AfterWet'!$C$3:$C$2000,MATCH(H184,'Both teabags AfterWet'!$A$3:$A$2000,0)),"")</f>
        <v>0.63019999999999998</v>
      </c>
      <c r="T184" s="194">
        <f>IFERROR(INDEX('Both teabags AfterWet'!$C$3:$C$2000,MATCH(I184,'Both teabags AfterWet'!$A$3:$A$2000,0)),"")</f>
        <v>1.7532000000000001</v>
      </c>
      <c r="U184" s="194">
        <f t="shared" si="21"/>
        <v>0.47959999999999997</v>
      </c>
      <c r="V184" s="194">
        <f t="shared" si="22"/>
        <v>1.6026</v>
      </c>
      <c r="W184" s="194">
        <f>IFERROR(INDEX('Ashed teabags wet'!$K$2:$K$2000,MATCH(H184,'Ashed teabags wet'!$A$2:$A$2000,0)),"")</f>
        <v>7.733990147783028</v>
      </c>
      <c r="X184" s="237">
        <f>IFERROR(INDEX('Ashed teabags wet'!$K$2:$K$2000,MATCH(I184,'Ashed teabags wet'!$A$2:$A$2000,0)),"")</f>
        <v>9.2346938775513898</v>
      </c>
      <c r="Y184" s="194">
        <f t="shared" si="27"/>
        <v>0.44250778325123258</v>
      </c>
      <c r="Z184" s="194">
        <f t="shared" si="27"/>
        <v>1.4546047959183614</v>
      </c>
      <c r="AA184" s="194">
        <f t="shared" si="23"/>
        <v>0.73573220733597089</v>
      </c>
      <c r="AB184" s="194">
        <f t="shared" si="24"/>
        <v>0.48233275350291682</v>
      </c>
      <c r="AC184" s="194">
        <f t="shared" si="16"/>
        <v>0.75477585871441399</v>
      </c>
      <c r="AD184">
        <f t="shared" si="17"/>
        <v>54</v>
      </c>
      <c r="AE184" s="194">
        <f t="shared" si="25"/>
        <v>0.12620877988602031</v>
      </c>
      <c r="AF184" s="194">
        <f t="shared" si="26"/>
        <v>1.3150294819835475E-2</v>
      </c>
      <c r="AG184" s="252" t="str">
        <f>IF(ISNUMBER(SEARCH("C",'WetLitterbags placem_collection'!$X111)),"YES","NO")</f>
        <v>NO</v>
      </c>
      <c r="AH184" s="252" t="str">
        <f>IF(ISNUMBER(SEARCH("H", 'WetLitterbags placem_collection'!$X111)),"YES","NO")</f>
        <v>NO</v>
      </c>
      <c r="AI184" s="252" t="str">
        <f>IF(ISNUMBER(SEARCH("R", 'WetLitterbags placem_collection'!$X111)),"YES","NO")</f>
        <v>NO</v>
      </c>
      <c r="AJ184" s="252" t="str">
        <f>IF(ISNUMBER(SEARCH("C", 'WetLitterbags placem_collection'!$V111)),"YES","NO")</f>
        <v>NO</v>
      </c>
      <c r="AK184" s="252" t="str">
        <f>IF(ISNUMBER(SEARCH("H", 'WetLitterbags placem_collection'!$V111)),"YES","NO")</f>
        <v>YES</v>
      </c>
      <c r="AL184" s="252" t="str">
        <f>IF(ISNUMBER(SEARCH("R", 'WetLitterbags placem_collection'!$V111)),"YES","NO")</f>
        <v>NO</v>
      </c>
    </row>
    <row r="185" spans="2:38">
      <c r="B185" t="str">
        <f>'Final data_for_R_analysis_Wetse'!A111</f>
        <v>Wet</v>
      </c>
      <c r="C185" s="260">
        <f>'Final data_for_R_analysis_Wetse'!B111</f>
        <v>110</v>
      </c>
      <c r="D185" t="s">
        <v>3817</v>
      </c>
      <c r="E185" t="s">
        <v>22</v>
      </c>
      <c r="F185" s="382">
        <v>6</v>
      </c>
      <c r="G185" s="16">
        <f>'WetLitterbags placem_collection'!E112</f>
        <v>42762</v>
      </c>
      <c r="H185" t="str">
        <f>'Final data_for_R_analysis_Wetse'!K111</f>
        <v>G742</v>
      </c>
      <c r="I185" t="str">
        <f>'Final data_for_R_analysis_Wetse'!K331</f>
        <v>R462</v>
      </c>
      <c r="J185">
        <f>IFERROR(INDEX('Green_rooibos initial weight'!$C$5:$C$2000,MATCH(H185, 'Green_rooibos initial weight'!$A$5:$A$2000,0)),"")</f>
        <v>2.0510000000000002</v>
      </c>
      <c r="K185">
        <f>IFERROR(INDEX('Green_rooibos initial weight'!$C$5:$C$2000,MATCH(I185, 'Green_rooibos initial weight'!$A$5:$A$2000,0)),"")</f>
        <v>2.226</v>
      </c>
      <c r="L185" s="194">
        <f t="shared" si="18"/>
        <v>1.8012000000000001</v>
      </c>
      <c r="M185" s="194">
        <f>AVERAGE(Ashed_controlls!$K$2:$K$11)</f>
        <v>5.5147656768714146</v>
      </c>
      <c r="N185" s="194">
        <f t="shared" si="15"/>
        <v>1.7018680406281923</v>
      </c>
      <c r="O185" s="194">
        <f t="shared" si="19"/>
        <v>1.9762</v>
      </c>
      <c r="P185" s="194">
        <f>AVERAGE(Ashed_controlls!$K$12:$K$14)</f>
        <v>2.2816647271287041</v>
      </c>
      <c r="Q185" s="194">
        <f t="shared" si="20"/>
        <v>1.9311097416624825</v>
      </c>
      <c r="R185" s="16">
        <f>IF('WetLitterbags placem_collection'!G112="","",'WetLitterbags placem_collection'!G112)</f>
        <v>42816</v>
      </c>
      <c r="S185" s="194">
        <f>IFERROR(INDEX('Both teabags AfterWet'!$C$3:$C$2000,MATCH(H185,'Both teabags AfterWet'!$A$3:$A$2000,0)),"")</f>
        <v>0.57879999999999998</v>
      </c>
      <c r="T185" s="194">
        <f>IFERROR(INDEX('Both teabags AfterWet'!$C$3:$C$2000,MATCH(I185,'Both teabags AfterWet'!$A$3:$A$2000,0)),"")</f>
        <v>1.5465</v>
      </c>
      <c r="U185" s="194">
        <f t="shared" si="21"/>
        <v>0.42819999999999997</v>
      </c>
      <c r="V185" s="194">
        <f t="shared" si="22"/>
        <v>1.3958999999999999</v>
      </c>
      <c r="W185" s="194">
        <f>IFERROR(INDEX('Ashed teabags wet'!$K$2:$K$2000,MATCH(H185,'Ashed teabags wet'!$A$2:$A$2000,0)),"")</f>
        <v>13.253612356751738</v>
      </c>
      <c r="X185" s="237">
        <f>IFERROR(INDEX('Ashed teabags wet'!$K$2:$K$2000,MATCH(I185,'Ashed teabags wet'!$A$2:$A$2000,0)),"")</f>
        <v>7.3158914728682047</v>
      </c>
      <c r="Y185" s="194">
        <f t="shared" si="27"/>
        <v>0.37144803188838904</v>
      </c>
      <c r="Z185" s="194">
        <f t="shared" si="27"/>
        <v>1.2937774709302325</v>
      </c>
      <c r="AA185" s="194">
        <f t="shared" si="23"/>
        <v>0.78174099106339623</v>
      </c>
      <c r="AB185" s="194">
        <f t="shared" si="24"/>
        <v>0.51249528155225033</v>
      </c>
      <c r="AC185" s="194">
        <f t="shared" si="16"/>
        <v>0.66996579377018006</v>
      </c>
      <c r="AD185">
        <f t="shared" si="17"/>
        <v>54</v>
      </c>
      <c r="AE185" s="194">
        <f t="shared" si="25"/>
        <v>7.1566518927082878E-2</v>
      </c>
      <c r="AF185" s="194">
        <f t="shared" si="26"/>
        <v>1.9125085923583016E-2</v>
      </c>
      <c r="AG185" s="252" t="str">
        <f>IF(ISNUMBER(SEARCH("C",'WetLitterbags placem_collection'!$X112)),"YES","NO")</f>
        <v>NO</v>
      </c>
      <c r="AH185" s="252" t="str">
        <f>IF(ISNUMBER(SEARCH("H", 'WetLitterbags placem_collection'!$X112)),"YES","NO")</f>
        <v>NO</v>
      </c>
      <c r="AI185" s="252" t="str">
        <f>IF(ISNUMBER(SEARCH("R", 'WetLitterbags placem_collection'!$X112)),"YES","NO")</f>
        <v>NO</v>
      </c>
      <c r="AJ185" s="252" t="str">
        <f>IF(ISNUMBER(SEARCH("C", 'WetLitterbags placem_collection'!$V112)),"YES","NO")</f>
        <v>NO</v>
      </c>
      <c r="AK185" s="252" t="str">
        <f>IF(ISNUMBER(SEARCH("H", 'WetLitterbags placem_collection'!$V112)),"YES","NO")</f>
        <v>NO</v>
      </c>
      <c r="AL185" s="252" t="str">
        <f>IF(ISNUMBER(SEARCH("R", 'WetLitterbags placem_collection'!$V112)),"YES","NO")</f>
        <v>NO</v>
      </c>
    </row>
    <row r="186" spans="2:38">
      <c r="B186" t="str">
        <f>'Final data_for_R_analysis_Wetse'!A112</f>
        <v>Wet</v>
      </c>
      <c r="C186" s="260">
        <f>'Final data_for_R_analysis_Wetse'!B112</f>
        <v>111</v>
      </c>
      <c r="D186" t="s">
        <v>3817</v>
      </c>
      <c r="E186" t="s">
        <v>22</v>
      </c>
      <c r="F186" s="382">
        <v>7</v>
      </c>
      <c r="G186" s="16">
        <f>'WetLitterbags placem_collection'!E113</f>
        <v>42762</v>
      </c>
      <c r="H186" t="str">
        <f>'Final data_for_R_analysis_Wetse'!K112</f>
        <v>G831</v>
      </c>
      <c r="I186" t="str">
        <f>'Final data_for_R_analysis_Wetse'!K332</f>
        <v>R505</v>
      </c>
      <c r="J186">
        <f>IFERROR(INDEX('Green_rooibos initial weight'!$C$5:$C$2000,MATCH(H186, 'Green_rooibos initial weight'!$A$5:$A$2000,0)),"")</f>
        <v>2.1190000000000002</v>
      </c>
      <c r="K186">
        <f>IFERROR(INDEX('Green_rooibos initial weight'!$C$5:$C$2000,MATCH(I186, 'Green_rooibos initial weight'!$A$5:$A$2000,0)),"")</f>
        <v>2.198</v>
      </c>
      <c r="L186" s="194">
        <f t="shared" si="18"/>
        <v>1.8692000000000002</v>
      </c>
      <c r="M186" s="194">
        <f>AVERAGE(Ashed_controlls!$K$2:$K$11)</f>
        <v>5.5147656768714146</v>
      </c>
      <c r="N186" s="194">
        <f t="shared" si="15"/>
        <v>1.7661179999679197</v>
      </c>
      <c r="O186" s="194">
        <f t="shared" si="19"/>
        <v>1.9481999999999999</v>
      </c>
      <c r="P186" s="194">
        <f>AVERAGE(Ashed_controlls!$K$12:$K$14)</f>
        <v>2.2816647271287041</v>
      </c>
      <c r="Q186" s="194">
        <f t="shared" si="20"/>
        <v>1.9037486077860786</v>
      </c>
      <c r="R186" s="16">
        <f>IF('WetLitterbags placem_collection'!G113="","",'WetLitterbags placem_collection'!G113)</f>
        <v>42816</v>
      </c>
      <c r="S186" s="194">
        <f>IFERROR(INDEX('Both teabags AfterWet'!$C$3:$C$2000,MATCH(H186,'Both teabags AfterWet'!$A$3:$A$2000,0)),"")</f>
        <v>0.66200000000000003</v>
      </c>
      <c r="T186" s="194">
        <f>IFERROR(INDEX('Both teabags AfterWet'!$C$3:$C$2000,MATCH(I186,'Both teabags AfterWet'!$A$3:$A$2000,0)),"")</f>
        <v>1.673</v>
      </c>
      <c r="U186" s="194">
        <f t="shared" si="21"/>
        <v>0.51140000000000008</v>
      </c>
      <c r="V186" s="194">
        <f t="shared" si="22"/>
        <v>1.5224</v>
      </c>
      <c r="W186" s="194">
        <f>IFERROR(INDEX('Ashed teabags wet'!$K$2:$K$2000,MATCH(H186,'Ashed teabags wet'!$A$2:$A$2000,0)),"")</f>
        <v>14.3622200584224</v>
      </c>
      <c r="X186" s="237">
        <f>IFERROR(INDEX('Ashed teabags wet'!$K$2:$K$2000,MATCH(I186,'Ashed teabags wet'!$A$2:$A$2000,0)),"")</f>
        <v>8.7623762376235934</v>
      </c>
      <c r="Y186" s="194">
        <f t="shared" si="27"/>
        <v>0.4379516066212279</v>
      </c>
      <c r="Z186" s="194">
        <f t="shared" si="27"/>
        <v>1.3890015841584185</v>
      </c>
      <c r="AA186" s="194">
        <f t="shared" si="23"/>
        <v>0.75202585182350046</v>
      </c>
      <c r="AB186" s="194">
        <f t="shared" si="24"/>
        <v>0.49301457269189114</v>
      </c>
      <c r="AC186" s="194">
        <f t="shared" si="16"/>
        <v>0.72961397238983483</v>
      </c>
      <c r="AD186">
        <f t="shared" si="17"/>
        <v>54</v>
      </c>
      <c r="AE186" s="194">
        <f t="shared" si="25"/>
        <v>0.10685765816686399</v>
      </c>
      <c r="AF186" s="194">
        <f t="shared" si="26"/>
        <v>1.4722853098704435E-2</v>
      </c>
      <c r="AG186" s="252" t="str">
        <f>IF(ISNUMBER(SEARCH("C",'WetLitterbags placem_collection'!$X113)),"YES","NO")</f>
        <v>NO</v>
      </c>
      <c r="AH186" s="252" t="str">
        <f>IF(ISNUMBER(SEARCH("H", 'WetLitterbags placem_collection'!$X113)),"YES","NO")</f>
        <v>NO</v>
      </c>
      <c r="AI186" s="252" t="str">
        <f>IF(ISNUMBER(SEARCH("R", 'WetLitterbags placem_collection'!$X113)),"YES","NO")</f>
        <v>YES</v>
      </c>
      <c r="AJ186" s="252" t="str">
        <f>IF(ISNUMBER(SEARCH("C", 'WetLitterbags placem_collection'!$V113)),"YES","NO")</f>
        <v>NO</v>
      </c>
      <c r="AK186" s="252" t="str">
        <f>IF(ISNUMBER(SEARCH("H", 'WetLitterbags placem_collection'!$V113)),"YES","NO")</f>
        <v>NO</v>
      </c>
      <c r="AL186" s="252" t="str">
        <f>IF(ISNUMBER(SEARCH("R", 'WetLitterbags placem_collection'!$V113)),"YES","NO")</f>
        <v>NO</v>
      </c>
    </row>
    <row r="187" spans="2:38">
      <c r="B187" t="str">
        <f>'Final data_for_R_analysis_Wetse'!A113</f>
        <v>Wet</v>
      </c>
      <c r="C187" s="260">
        <f>'Final data_for_R_analysis_Wetse'!B113</f>
        <v>112</v>
      </c>
      <c r="D187" t="s">
        <v>3817</v>
      </c>
      <c r="E187" t="s">
        <v>22</v>
      </c>
      <c r="F187" s="382">
        <v>8</v>
      </c>
      <c r="G187" s="16">
        <f>'WetLitterbags placem_collection'!E114</f>
        <v>42762</v>
      </c>
      <c r="H187" t="str">
        <f>'Final data_for_R_analysis_Wetse'!K113</f>
        <v>G899</v>
      </c>
      <c r="I187" t="str">
        <f>'Final data_for_R_analysis_Wetse'!K333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8"/>
        <v>1.7631999999999999</v>
      </c>
      <c r="M187" s="194">
        <f>AVERAGE(Ashed_controlls!$K$2:$K$11)</f>
        <v>5.5147656768714146</v>
      </c>
      <c r="N187" s="194">
        <f t="shared" si="15"/>
        <v>1.665963651585403</v>
      </c>
      <c r="O187" s="194">
        <f t="shared" si="19"/>
        <v>1.9512</v>
      </c>
      <c r="P187" s="194">
        <f>AVERAGE(Ashed_controlls!$K$12:$K$14)</f>
        <v>2.2816647271287041</v>
      </c>
      <c r="Q187" s="194">
        <f t="shared" si="20"/>
        <v>1.9066801578442647</v>
      </c>
      <c r="R187" s="16">
        <f>IF('WetLitterbags placem_collection'!G114="","",'WetLitterbags placem_collection'!G114)</f>
        <v>42816</v>
      </c>
      <c r="S187" s="194">
        <f>IFERROR(INDEX('Both teabags AfterWet'!$C$3:$C$2000,MATCH(H187,'Both teabags AfterWet'!$A$3:$A$2000,0)),"")</f>
        <v>0.71899999999999997</v>
      </c>
      <c r="T187" s="194">
        <f>IFERROR(INDEX('Both teabags AfterWet'!$C$3:$C$2000,MATCH(I187,'Both teabags AfterWet'!$A$3:$A$2000,0)),"")</f>
        <v>1.6910000000000001</v>
      </c>
      <c r="U187" s="194">
        <f t="shared" si="21"/>
        <v>0.56840000000000002</v>
      </c>
      <c r="V187" s="194">
        <f t="shared" si="22"/>
        <v>1.5404</v>
      </c>
      <c r="W187" s="194">
        <f>IFERROR(INDEX('Ashed teabags wet'!$K$2:$K$2000,MATCH(H187,'Ashed teabags wet'!$A$2:$A$2000,0)),"")</f>
        <v>25.775193798450474</v>
      </c>
      <c r="X187" s="237">
        <f>IFERROR(INDEX('Ashed teabags wet'!$K$2:$K$2000,MATCH(I187,'Ashed teabags wet'!$A$2:$A$2000,0)),"")</f>
        <v>6.9995105237407165</v>
      </c>
      <c r="Y187" s="194">
        <f t="shared" si="27"/>
        <v>0.4218937984496075</v>
      </c>
      <c r="Z187" s="194">
        <f t="shared" si="27"/>
        <v>1.432579539892298</v>
      </c>
      <c r="AA187" s="194">
        <f t="shared" si="23"/>
        <v>0.74675690069941503</v>
      </c>
      <c r="AB187" s="194">
        <f t="shared" si="24"/>
        <v>0.48956034345139804</v>
      </c>
      <c r="AC187" s="194">
        <f t="shared" si="16"/>
        <v>0.75134758915832245</v>
      </c>
      <c r="AD187">
        <f t="shared" si="17"/>
        <v>54</v>
      </c>
      <c r="AE187" s="194">
        <f t="shared" si="25"/>
        <v>0.11311531983442391</v>
      </c>
      <c r="AF187" s="194">
        <f t="shared" si="26"/>
        <v>1.3131349850552969E-2</v>
      </c>
      <c r="AG187" s="252" t="str">
        <f>IF(ISNUMBER(SEARCH("C",'WetLitterbags placem_collection'!$X114)),"YES","NO")</f>
        <v>NO</v>
      </c>
      <c r="AH187" s="252" t="str">
        <f>IF(ISNUMBER(SEARCH("H", 'WetLitterbags placem_collection'!$X114)),"YES","NO")</f>
        <v>NO</v>
      </c>
      <c r="AI187" s="252" t="str">
        <f>IF(ISNUMBER(SEARCH("R", 'WetLitterbags placem_collection'!$X114)),"YES","NO")</f>
        <v>NO</v>
      </c>
      <c r="AJ187" s="252" t="str">
        <f>IF(ISNUMBER(SEARCH("C", 'WetLitterbags placem_collection'!$V114)),"YES","NO")</f>
        <v>NO</v>
      </c>
      <c r="AK187" s="252" t="str">
        <f>IF(ISNUMBER(SEARCH("H", 'WetLitterbags placem_collection'!$V114)),"YES","NO")</f>
        <v>YES</v>
      </c>
      <c r="AL187" s="252" t="str">
        <f>IF(ISNUMBER(SEARCH("R", 'WetLitterbags placem_collection'!$V114)),"YES","NO")</f>
        <v>NO</v>
      </c>
    </row>
    <row r="188" spans="2:38">
      <c r="B188" t="str">
        <f>'Final data_for_R_analysis_Wetse'!A114</f>
        <v>Wet</v>
      </c>
      <c r="C188" s="260">
        <f>'Final data_for_R_analysis_Wetse'!B114</f>
        <v>113</v>
      </c>
      <c r="D188" t="s">
        <v>3818</v>
      </c>
      <c r="E188" t="s">
        <v>22</v>
      </c>
      <c r="F188" s="381">
        <v>1</v>
      </c>
      <c r="G188" s="16">
        <f>'WetLitterbags placem_collection'!E115</f>
        <v>42762</v>
      </c>
      <c r="H188" t="str">
        <f>'Final data_for_R_analysis_Wetse'!K114</f>
        <v>G724</v>
      </c>
      <c r="I188" t="str">
        <f>'Final data_for_R_analysis_Wetse'!K334</f>
        <v>R428</v>
      </c>
      <c r="J188">
        <f>IFERROR(INDEX('Green_rooibos initial weight'!$C$5:$C$2000,MATCH(H188, 'Green_rooibos initial weight'!$A$5:$A$2000,0)),"")</f>
        <v>2.0289999999999999</v>
      </c>
      <c r="K188">
        <f>IFERROR(INDEX('Green_rooibos initial weight'!$C$5:$C$2000,MATCH(I188, 'Green_rooibos initial weight'!$A$5:$A$2000,0)),"")</f>
        <v>2.202</v>
      </c>
      <c r="L188" s="194">
        <f t="shared" si="18"/>
        <v>1.7791999999999999</v>
      </c>
      <c r="M188" s="194">
        <f>AVERAGE(Ashed_controlls!$K$2:$K$11)</f>
        <v>5.5147656768714146</v>
      </c>
      <c r="N188" s="194">
        <f t="shared" si="15"/>
        <v>1.6810812890771036</v>
      </c>
      <c r="O188" s="194">
        <f t="shared" si="19"/>
        <v>1.9521999999999999</v>
      </c>
      <c r="P188" s="194">
        <f>AVERAGE(Ashed_controlls!$K$12:$K$14)</f>
        <v>2.2816647271287041</v>
      </c>
      <c r="Q188" s="194">
        <f t="shared" si="20"/>
        <v>1.9076573411969935</v>
      </c>
      <c r="R188" s="16">
        <f>IF('WetLitterbags placem_collection'!G115="","",'WetLitterbags placem_collection'!G115)</f>
        <v>42816</v>
      </c>
      <c r="S188" s="194">
        <f>IFERROR(INDEX('Both teabags AfterWet'!$C$3:$C$2000,MATCH(H188,'Both teabags AfterWet'!$A$3:$A$2000,0)),"")</f>
        <v>0.61099999999999999</v>
      </c>
      <c r="T188" s="194">
        <f>IFERROR(INDEX('Both teabags AfterWet'!$C$3:$C$2000,MATCH(I188,'Both teabags AfterWet'!$A$3:$A$2000,0)),"")</f>
        <v>1.768</v>
      </c>
      <c r="U188" s="194">
        <f t="shared" si="21"/>
        <v>0.46039999999999998</v>
      </c>
      <c r="V188" s="194">
        <f t="shared" si="22"/>
        <v>1.6173999999999999</v>
      </c>
      <c r="W188" s="194">
        <f>IFERROR(INDEX('Ashed teabags wet'!$K$2:$K$2000,MATCH(H188,'Ashed teabags wet'!$A$2:$A$2000,0)),"")</f>
        <v>15.414073719482863</v>
      </c>
      <c r="X188" s="237">
        <f>IFERROR(INDEX('Ashed teabags wet'!$K$2:$K$2000,MATCH(I188,'Ashed teabags wet'!$A$2:$A$2000,0)),"")</f>
        <v>90.530490827962367</v>
      </c>
      <c r="Y188" s="194">
        <f t="shared" si="27"/>
        <v>0.38943360459550092</v>
      </c>
      <c r="Z188" s="194">
        <f t="shared" si="27"/>
        <v>0.15315984134853666</v>
      </c>
      <c r="AA188" s="194">
        <f t="shared" si="23"/>
        <v>0.76834338284182802</v>
      </c>
      <c r="AB188" s="194">
        <f t="shared" si="24"/>
        <v>0.50371205145925069</v>
      </c>
      <c r="AC188" s="194">
        <f t="shared" si="16"/>
        <v>8.0286872301937512E-2</v>
      </c>
      <c r="AD188">
        <f t="shared" si="17"/>
        <v>54</v>
      </c>
      <c r="AE188" s="194">
        <f t="shared" si="25"/>
        <v>8.7478167646285021E-2</v>
      </c>
      <c r="AF188" s="194" t="str">
        <f t="shared" si="26"/>
        <v/>
      </c>
      <c r="AG188" s="252" t="str">
        <f>IF(ISNUMBER(SEARCH("C",'WetLitterbags placem_collection'!$X115)),"YES","NO")</f>
        <v>NO</v>
      </c>
      <c r="AH188" s="252" t="str">
        <f>IF(ISNUMBER(SEARCH("H", 'WetLitterbags placem_collection'!$X115)),"YES","NO")</f>
        <v>NO</v>
      </c>
      <c r="AI188" s="252" t="str">
        <f>IF(ISNUMBER(SEARCH("R", 'WetLitterbags placem_collection'!$X115)),"YES","NO")</f>
        <v>YES</v>
      </c>
      <c r="AJ188" s="252" t="str">
        <f>IF(ISNUMBER(SEARCH("C", 'WetLitterbags placem_collection'!$V115)),"YES","NO")</f>
        <v>YES</v>
      </c>
      <c r="AK188" s="252" t="str">
        <f>IF(ISNUMBER(SEARCH("H", 'WetLitterbags placem_collection'!$V115)),"YES","NO")</f>
        <v>NO</v>
      </c>
      <c r="AL188" s="252" t="str">
        <f>IF(ISNUMBER(SEARCH("R", 'WetLitterbags placem_collection'!$V115)),"YES","NO")</f>
        <v>YES</v>
      </c>
    </row>
    <row r="189" spans="2:38">
      <c r="B189" t="str">
        <f>'Final data_for_R_analysis_Wetse'!A115</f>
        <v>Wet</v>
      </c>
      <c r="C189" s="260">
        <f>'Final data_for_R_analysis_Wetse'!B115</f>
        <v>114</v>
      </c>
      <c r="D189" t="s">
        <v>3818</v>
      </c>
      <c r="E189" t="s">
        <v>22</v>
      </c>
      <c r="F189" s="381">
        <v>2</v>
      </c>
      <c r="G189" s="16">
        <f>'WetLitterbags placem_collection'!E116</f>
        <v>42762</v>
      </c>
      <c r="H189" t="str">
        <f>'Final data_for_R_analysis_Wetse'!K115</f>
        <v>G803</v>
      </c>
      <c r="I189" t="str">
        <f>'Final data_for_R_analysis_Wetse'!K335</f>
        <v>R601</v>
      </c>
      <c r="J189">
        <f>IFERROR(INDEX('Green_rooibos initial weight'!$C$5:$C$2000,MATCH(H189, 'Green_rooibos initial weight'!$A$5:$A$2000,0)),"")</f>
        <v>2.0590000000000002</v>
      </c>
      <c r="K189">
        <f>IFERROR(INDEX('Green_rooibos initial weight'!$C$5:$C$2000,MATCH(I189, 'Green_rooibos initial weight'!$A$5:$A$2000,0)),"")</f>
        <v>2.198</v>
      </c>
      <c r="L189" s="194">
        <f t="shared" si="18"/>
        <v>1.8092000000000001</v>
      </c>
      <c r="M189" s="194">
        <f>AVERAGE(Ashed_controlls!$K$2:$K$11)</f>
        <v>5.5147656768714146</v>
      </c>
      <c r="N189" s="194">
        <f t="shared" si="15"/>
        <v>1.7094268593740425</v>
      </c>
      <c r="O189" s="194">
        <f t="shared" si="19"/>
        <v>1.9481999999999999</v>
      </c>
      <c r="P189" s="194">
        <f>AVERAGE(Ashed_controlls!$K$12:$K$14)</f>
        <v>2.2816647271287041</v>
      </c>
      <c r="Q189" s="194">
        <f t="shared" si="20"/>
        <v>1.9037486077860786</v>
      </c>
      <c r="R189" s="16">
        <f>IF('WetLitterbags placem_collection'!G116="","",'WetLitterbags placem_collection'!G116)</f>
        <v>42816</v>
      </c>
      <c r="S189" s="194">
        <f>IFERROR(INDEX('Both teabags AfterWet'!$C$3:$C$2000,MATCH(H189,'Both teabags AfterWet'!$A$3:$A$2000,0)),"")</f>
        <v>0.64300000000000002</v>
      </c>
      <c r="T189" s="194">
        <f>IFERROR(INDEX('Both teabags AfterWet'!$C$3:$C$2000,MATCH(I189,'Both teabags AfterWet'!$A$3:$A$2000,0)),"")</f>
        <v>2.7930000000000001</v>
      </c>
      <c r="U189" s="194">
        <f t="shared" si="21"/>
        <v>0.4924</v>
      </c>
      <c r="V189" s="194">
        <f t="shared" si="22"/>
        <v>2.6424000000000003</v>
      </c>
      <c r="W189" s="194">
        <f>IFERROR(INDEX('Ashed teabags wet'!$K$2:$K$2000,MATCH(H189,'Ashed teabags wet'!$A$2:$A$2000,0)),"")</f>
        <v>21.028971028971405</v>
      </c>
      <c r="X189" s="237">
        <f>IFERROR(INDEX('Ashed teabags wet'!$K$2:$K$2000,MATCH(I189,'Ashed teabags wet'!$A$2:$A$2000,0)),"")</f>
        <v>95.101842870998382</v>
      </c>
      <c r="Y189" s="194">
        <f t="shared" si="27"/>
        <v>0.38885334665334481</v>
      </c>
      <c r="Z189" s="194">
        <f t="shared" si="27"/>
        <v>0.12942890397673867</v>
      </c>
      <c r="AA189" s="194">
        <f t="shared" si="23"/>
        <v>0.7725241389995855</v>
      </c>
      <c r="AB189" s="194">
        <f t="shared" si="24"/>
        <v>0.50645287972419384</v>
      </c>
      <c r="AC189" s="194">
        <f t="shared" si="16"/>
        <v>6.7986342024042287E-2</v>
      </c>
      <c r="AD189">
        <f t="shared" si="17"/>
        <v>54</v>
      </c>
      <c r="AE189" s="194">
        <f t="shared" si="25"/>
        <v>8.2512899050373512E-2</v>
      </c>
      <c r="AF189" s="194" t="str">
        <f t="shared" si="26"/>
        <v/>
      </c>
      <c r="AG189" s="252" t="str">
        <f>IF(ISNUMBER(SEARCH("C",'WetLitterbags placem_collection'!$X116)),"YES","NO")</f>
        <v>NO</v>
      </c>
      <c r="AH189" s="252" t="str">
        <f>IF(ISNUMBER(SEARCH("H", 'WetLitterbags placem_collection'!$X116)),"YES","NO")</f>
        <v>NO</v>
      </c>
      <c r="AI189" s="252" t="str">
        <f>IF(ISNUMBER(SEARCH("R", 'WetLitterbags placem_collection'!$X116)),"YES","NO")</f>
        <v>YES</v>
      </c>
      <c r="AJ189" s="252" t="str">
        <f>IF(ISNUMBER(SEARCH("C", 'WetLitterbags placem_collection'!$V116)),"YES","NO")</f>
        <v>NO</v>
      </c>
      <c r="AK189" s="252" t="str">
        <f>IF(ISNUMBER(SEARCH("H", 'WetLitterbags placem_collection'!$V116)),"YES","NO")</f>
        <v>YES</v>
      </c>
      <c r="AL189" s="252" t="str">
        <f>IF(ISNUMBER(SEARCH("R", 'WetLitterbags placem_collection'!$V116)),"YES","NO")</f>
        <v>YES</v>
      </c>
    </row>
    <row r="190" spans="2:38">
      <c r="B190" t="str">
        <f>'Final data_for_R_analysis_Wetse'!A116</f>
        <v>Wet</v>
      </c>
      <c r="C190" s="260">
        <f>'Final data_for_R_analysis_Wetse'!B116</f>
        <v>115</v>
      </c>
      <c r="D190" t="s">
        <v>3818</v>
      </c>
      <c r="E190" t="s">
        <v>22</v>
      </c>
      <c r="F190" s="381">
        <v>3</v>
      </c>
      <c r="G190" s="16">
        <f>'WetLitterbags placem_collection'!E117</f>
        <v>42762</v>
      </c>
      <c r="H190" t="str">
        <f>'Final data_for_R_analysis_Wetse'!K116</f>
        <v>G693</v>
      </c>
      <c r="I190" t="str">
        <f>'Final data_for_R_analysis_Wetse'!K336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8"/>
        <v>1.8212000000000002</v>
      </c>
      <c r="M190" s="194">
        <f>AVERAGE(Ashed_controlls!$K$2:$K$11)</f>
        <v>5.5147656768714146</v>
      </c>
      <c r="N190" s="194">
        <f t="shared" si="15"/>
        <v>1.720765087492818</v>
      </c>
      <c r="O190" s="194">
        <f t="shared" si="19"/>
        <v>1.9451999999999998</v>
      </c>
      <c r="P190" s="194">
        <f>AVERAGE(Ashed_controlls!$K$12:$K$14)</f>
        <v>2.2816647271287041</v>
      </c>
      <c r="Q190" s="194">
        <f t="shared" si="20"/>
        <v>1.9008170577278922</v>
      </c>
      <c r="R190" s="16">
        <f>IF('WetLitterbags placem_collection'!G117="","",'WetLitterbags placem_collection'!G117)</f>
        <v>42816</v>
      </c>
      <c r="S190" s="194">
        <f>IFERROR(INDEX('Both teabags AfterWet'!$C$3:$C$2000,MATCH(H190,'Both teabags AfterWet'!$A$3:$A$2000,0)),"")</f>
        <v>0.63400000000000001</v>
      </c>
      <c r="T190" s="194">
        <f>IFERROR(INDEX('Both teabags AfterWet'!$C$3:$C$2000,MATCH(I190,'Both teabags AfterWet'!$A$3:$A$2000,0)),"")</f>
        <v>0.99990000000000001</v>
      </c>
      <c r="U190" s="194">
        <f t="shared" si="21"/>
        <v>0.4834</v>
      </c>
      <c r="V190" s="194">
        <f t="shared" si="22"/>
        <v>0.84929999999999994</v>
      </c>
      <c r="W190" s="194">
        <f>IFERROR(INDEX('Ashed teabags wet'!$K$2:$K$2000,MATCH(H190,'Ashed teabags wet'!$A$2:$A$2000,0)),"")</f>
        <v>16.568993074054781</v>
      </c>
      <c r="X190" s="237">
        <f>IFERROR(INDEX('Ashed teabags wet'!$K$2:$K$2000,MATCH(I190,'Ashed teabags wet'!$A$2:$A$2000,0)),"")</f>
        <v>91.722365038559602</v>
      </c>
      <c r="Y190" s="194">
        <f t="shared" si="27"/>
        <v>0.40330548748001921</v>
      </c>
      <c r="Z190" s="194">
        <f t="shared" si="27"/>
        <v>7.0301953727513244E-2</v>
      </c>
      <c r="AA190" s="194">
        <f t="shared" si="23"/>
        <v>0.76562432001241865</v>
      </c>
      <c r="AB190" s="194">
        <f t="shared" si="24"/>
        <v>0.5019294829535097</v>
      </c>
      <c r="AC190" s="194">
        <f t="shared" si="16"/>
        <v>3.6985123550788958E-2</v>
      </c>
      <c r="AD190">
        <f t="shared" si="17"/>
        <v>54</v>
      </c>
      <c r="AE190" s="194">
        <f t="shared" si="25"/>
        <v>9.0707458417555009E-2</v>
      </c>
      <c r="AF190" s="194" t="str">
        <f t="shared" si="26"/>
        <v/>
      </c>
      <c r="AG190" s="252" t="str">
        <f>IF(ISNUMBER(SEARCH("C",'WetLitterbags placem_collection'!$X117)),"YES","NO")</f>
        <v>NO</v>
      </c>
      <c r="AH190" s="252" t="str">
        <f>IF(ISNUMBER(SEARCH("H", 'WetLitterbags placem_collection'!$X117)),"YES","NO")</f>
        <v>NO</v>
      </c>
      <c r="AI190" s="252" t="str">
        <f>IF(ISNUMBER(SEARCH("R", 'WetLitterbags placem_collection'!$X117)),"YES","NO")</f>
        <v>YES</v>
      </c>
      <c r="AJ190" s="252" t="str">
        <f>IF(ISNUMBER(SEARCH("C", 'WetLitterbags placem_collection'!$V117)),"YES","NO")</f>
        <v>NO</v>
      </c>
      <c r="AK190" s="252" t="str">
        <f>IF(ISNUMBER(SEARCH("H", 'WetLitterbags placem_collection'!$V117)),"YES","NO")</f>
        <v>NO</v>
      </c>
      <c r="AL190" s="252" t="str">
        <f>IF(ISNUMBER(SEARCH("R", 'WetLitterbags placem_collection'!$V117)),"YES","NO")</f>
        <v>YES</v>
      </c>
    </row>
    <row r="191" spans="2:38">
      <c r="B191" t="str">
        <f>'Final data_for_R_analysis_Wetse'!A117</f>
        <v>Wet</v>
      </c>
      <c r="C191" s="260">
        <f>'Final data_for_R_analysis_Wetse'!B117</f>
        <v>116</v>
      </c>
      <c r="D191" t="s">
        <v>3818</v>
      </c>
      <c r="E191" t="s">
        <v>22</v>
      </c>
      <c r="F191" s="382">
        <v>4</v>
      </c>
      <c r="G191" s="16">
        <f>'WetLitterbags placem_collection'!E118</f>
        <v>42762</v>
      </c>
      <c r="H191" t="str">
        <f>'Final data_for_R_analysis_Wetse'!K117</f>
        <v>G897</v>
      </c>
      <c r="I191" t="str">
        <f>'Final data_for_R_analysis_Wetse'!K337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8"/>
        <v>1.7801999999999998</v>
      </c>
      <c r="M191" s="194">
        <f>AVERAGE(Ashed_controlls!$K$2:$K$11)</f>
        <v>5.5147656768714146</v>
      </c>
      <c r="N191" s="194">
        <f t="shared" si="15"/>
        <v>1.6820261414203348</v>
      </c>
      <c r="O191" s="194">
        <f t="shared" si="19"/>
        <v>1.9592000000000001</v>
      </c>
      <c r="P191" s="194">
        <f>AVERAGE(Ashed_controlls!$K$12:$K$14)</f>
        <v>2.2816647271287041</v>
      </c>
      <c r="Q191" s="194">
        <f t="shared" si="20"/>
        <v>1.9144976246660945</v>
      </c>
      <c r="R191" s="16">
        <f>IF('WetLitterbags placem_collection'!G118="","",'WetLitterbags placem_collection'!G118)</f>
        <v>42816</v>
      </c>
      <c r="S191" s="194">
        <f>IFERROR(INDEX('Both teabags AfterWet'!$C$3:$C$2000,MATCH(H191,'Both teabags AfterWet'!$A$3:$A$2000,0)),"")</f>
        <v>0.67869999999999997</v>
      </c>
      <c r="T191" s="194">
        <f>IFERROR(INDEX('Both teabags AfterWet'!$C$3:$C$2000,MATCH(I191,'Both teabags AfterWet'!$A$3:$A$2000,0)),"")</f>
        <v>0.68710000000000004</v>
      </c>
      <c r="U191" s="194">
        <f t="shared" si="21"/>
        <v>0.52810000000000001</v>
      </c>
      <c r="V191" s="194">
        <f t="shared" si="22"/>
        <v>0.53649999999999998</v>
      </c>
      <c r="W191" s="194">
        <f>IFERROR(INDEX('Ashed teabags wet'!$K$2:$K$2000,MATCH(H191,'Ashed teabags wet'!$A$2:$A$2000,0)),"")</f>
        <v>16.164658634537794</v>
      </c>
      <c r="X191" s="237">
        <f>IFERROR(INDEX('Ashed teabags wet'!$K$2:$K$2000,MATCH(I191,'Ashed teabags wet'!$A$2:$A$2000,0)),"")</f>
        <v>84.783689706613757</v>
      </c>
      <c r="Y191" s="194">
        <f t="shared" si="27"/>
        <v>0.44273443775100596</v>
      </c>
      <c r="Z191" s="194">
        <f t="shared" si="27"/>
        <v>8.1635504724017205E-2</v>
      </c>
      <c r="AA191" s="194">
        <f t="shared" si="23"/>
        <v>0.73678504343746254</v>
      </c>
      <c r="AB191" s="194">
        <f t="shared" si="24"/>
        <v>0.48302297384498738</v>
      </c>
      <c r="AC191" s="194">
        <f t="shared" si="16"/>
        <v>4.2640692614207429E-2</v>
      </c>
      <c r="AD191">
        <f t="shared" si="17"/>
        <v>54</v>
      </c>
      <c r="AE191" s="194">
        <f t="shared" si="25"/>
        <v>0.12495838071560261</v>
      </c>
      <c r="AF191" s="194" t="str">
        <f t="shared" si="26"/>
        <v/>
      </c>
      <c r="AG191" s="252" t="str">
        <f>IF(ISNUMBER(SEARCH("C",'WetLitterbags placem_collection'!$X118)),"YES","NO")</f>
        <v>NO</v>
      </c>
      <c r="AH191" s="252" t="str">
        <f>IF(ISNUMBER(SEARCH("H", 'WetLitterbags placem_collection'!$X118)),"YES","NO")</f>
        <v>NO</v>
      </c>
      <c r="AI191" s="252" t="str">
        <f>IF(ISNUMBER(SEARCH("R", 'WetLitterbags placem_collection'!$X118)),"YES","NO")</f>
        <v>YES</v>
      </c>
      <c r="AJ191" s="252" t="str">
        <f>IF(ISNUMBER(SEARCH("C", 'WetLitterbags placem_collection'!$V118)),"YES","NO")</f>
        <v>NO</v>
      </c>
      <c r="AK191" s="252" t="str">
        <f>IF(ISNUMBER(SEARCH("H", 'WetLitterbags placem_collection'!$V118)),"YES","NO")</f>
        <v>NO</v>
      </c>
      <c r="AL191" s="252" t="str">
        <f>IF(ISNUMBER(SEARCH("R", 'WetLitterbags placem_collection'!$V118)),"YES","NO")</f>
        <v>NO</v>
      </c>
    </row>
    <row r="192" spans="2:38">
      <c r="B192" t="str">
        <f>'Final data_for_R_analysis_Wetse'!A118</f>
        <v>Wet</v>
      </c>
      <c r="C192" s="260">
        <f>'Final data_for_R_analysis_Wetse'!B118</f>
        <v>117</v>
      </c>
      <c r="D192" t="s">
        <v>3818</v>
      </c>
      <c r="E192" t="s">
        <v>22</v>
      </c>
      <c r="F192" s="382">
        <v>5</v>
      </c>
      <c r="G192" s="16">
        <f>'WetLitterbags placem_collection'!E119</f>
        <v>42762</v>
      </c>
      <c r="H192" t="str">
        <f>'Final data_for_R_analysis_Wetse'!K118</f>
        <v>G789</v>
      </c>
      <c r="I192" t="str">
        <f>'Final data_for_R_analysis_Wetse'!K338</f>
        <v>R511</v>
      </c>
      <c r="J192">
        <f>IFERROR(INDEX('Green_rooibos initial weight'!$C$5:$C$2000,MATCH(H192, 'Green_rooibos initial weight'!$A$5:$A$2000,0)),"")</f>
        <v>2.109</v>
      </c>
      <c r="K192">
        <f>IFERROR(INDEX('Green_rooibos initial weight'!$C$5:$C$2000,MATCH(I192, 'Green_rooibos initial weight'!$A$5:$A$2000,0)),"")</f>
        <v>2.1779999999999999</v>
      </c>
      <c r="L192" s="194">
        <f t="shared" si="18"/>
        <v>1.8592</v>
      </c>
      <c r="M192" s="194">
        <f>AVERAGE(Ashed_controlls!$K$2:$K$11)</f>
        <v>5.5147656768714146</v>
      </c>
      <c r="N192" s="194">
        <f t="shared" si="15"/>
        <v>1.7566694765356066</v>
      </c>
      <c r="O192" s="194">
        <f t="shared" si="19"/>
        <v>1.9281999999999999</v>
      </c>
      <c r="P192" s="194">
        <f>AVERAGE(Ashed_controlls!$K$12:$K$14)</f>
        <v>2.2816647271287041</v>
      </c>
      <c r="Q192" s="194">
        <f t="shared" si="20"/>
        <v>1.8842049407315042</v>
      </c>
      <c r="R192" s="16">
        <f>IF('WetLitterbags placem_collection'!G119="","",'WetLitterbags placem_collection'!G119)</f>
        <v>42816</v>
      </c>
      <c r="S192" s="194">
        <f>IFERROR(INDEX('Both teabags AfterWet'!$C$3:$C$2000,MATCH(H192,'Both teabags AfterWet'!$A$3:$A$2000,0)),"")</f>
        <v>0.79800000000000004</v>
      </c>
      <c r="T192" s="194">
        <f>IFERROR(INDEX('Both teabags AfterWet'!$C$3:$C$2000,MATCH(I192,'Both teabags AfterWet'!$A$3:$A$2000,0)),"")</f>
        <v>0.39700000000000002</v>
      </c>
      <c r="U192" s="194">
        <f t="shared" si="21"/>
        <v>0.64739999999999998</v>
      </c>
      <c r="V192" s="194">
        <f t="shared" si="22"/>
        <v>0.24640000000000001</v>
      </c>
      <c r="W192" s="194">
        <f>IFERROR(INDEX('Ashed teabags wet'!$K$2:$K$2000,MATCH(H192,'Ashed teabags wet'!$A$2:$A$2000,0)),"")</f>
        <v>28.215353938185377</v>
      </c>
      <c r="X192" s="237">
        <f>IFERROR(INDEX('Ashed teabags wet'!$K$2:$K$2000,MATCH(I192,'Ashed teabags wet'!$A$2:$A$2000,0)),"")</f>
        <v>90.300678952473106</v>
      </c>
      <c r="Y192" s="194">
        <f t="shared" si="27"/>
        <v>0.46473379860418784</v>
      </c>
      <c r="Z192" s="194">
        <f t="shared" si="27"/>
        <v>2.3899127061106279E-2</v>
      </c>
      <c r="AA192" s="194">
        <f t="shared" si="23"/>
        <v>0.73544607860967293</v>
      </c>
      <c r="AB192" s="194">
        <f t="shared" si="24"/>
        <v>0.48214517267522505</v>
      </c>
      <c r="AC192" s="194">
        <f t="shared" si="16"/>
        <v>1.2683931850761377E-2</v>
      </c>
      <c r="AD192">
        <f t="shared" si="17"/>
        <v>54</v>
      </c>
      <c r="AE192" s="194">
        <f t="shared" si="25"/>
        <v>0.12654860022604164</v>
      </c>
      <c r="AF192" s="194" t="str">
        <f t="shared" si="26"/>
        <v/>
      </c>
      <c r="AG192" s="252" t="str">
        <f>IF(ISNUMBER(SEARCH("C",'WetLitterbags placem_collection'!$X119)),"YES","NO")</f>
        <v>NO</v>
      </c>
      <c r="AH192" s="252" t="str">
        <f>IF(ISNUMBER(SEARCH("H", 'WetLitterbags placem_collection'!$X119)),"YES","NO")</f>
        <v>NO</v>
      </c>
      <c r="AI192" s="252" t="str">
        <f>IF(ISNUMBER(SEARCH("R", 'WetLitterbags placem_collection'!$X119)),"YES","NO")</f>
        <v>YES</v>
      </c>
      <c r="AJ192" s="252" t="str">
        <f>IF(ISNUMBER(SEARCH("C", 'WetLitterbags placem_collection'!$V119)),"YES","NO")</f>
        <v>NO</v>
      </c>
      <c r="AK192" s="252" t="str">
        <f>IF(ISNUMBER(SEARCH("H", 'WetLitterbags placem_collection'!$V119)),"YES","NO")</f>
        <v>YES</v>
      </c>
      <c r="AL192" s="252" t="str">
        <f>IF(ISNUMBER(SEARCH("R", 'WetLitterbags placem_collection'!$V119)),"YES","NO")</f>
        <v>YES</v>
      </c>
    </row>
    <row r="193" spans="2:38">
      <c r="B193" t="str">
        <f>'Final data_for_R_analysis_Wetse'!A119</f>
        <v>Wet</v>
      </c>
      <c r="C193" s="260">
        <f>'Final data_for_R_analysis_Wetse'!B119</f>
        <v>118</v>
      </c>
      <c r="D193" t="s">
        <v>3818</v>
      </c>
      <c r="E193" t="s">
        <v>22</v>
      </c>
      <c r="F193" s="382">
        <v>6</v>
      </c>
      <c r="G193" s="16">
        <f>'WetLitterbags placem_collection'!E120</f>
        <v>42762</v>
      </c>
      <c r="H193" t="str">
        <f>'Final data_for_R_analysis_Wetse'!K119</f>
        <v>G681</v>
      </c>
      <c r="I193" t="str">
        <f>'Final data_for_R_analysis_Wetse'!K339</f>
        <v>R495</v>
      </c>
      <c r="J193">
        <f>IFERROR(INDEX('Green_rooibos initial weight'!$C$5:$C$2000,MATCH(H193, 'Green_rooibos initial weight'!$A$5:$A$2000,0)),"")</f>
        <v>2.0790000000000002</v>
      </c>
      <c r="K193">
        <f>IFERROR(INDEX('Green_rooibos initial weight'!$C$5:$C$2000,MATCH(I193, 'Green_rooibos initial weight'!$A$5:$A$2000,0)),"")</f>
        <v>2.25</v>
      </c>
      <c r="L193" s="194">
        <f t="shared" si="18"/>
        <v>1.8292000000000002</v>
      </c>
      <c r="M193" s="194">
        <f>AVERAGE(Ashed_controlls!$K$2:$K$11)</f>
        <v>5.5147656768714146</v>
      </c>
      <c r="N193" s="194">
        <f t="shared" si="15"/>
        <v>1.7283239062386682</v>
      </c>
      <c r="O193" s="194">
        <f t="shared" si="19"/>
        <v>2.0002</v>
      </c>
      <c r="P193" s="194">
        <f>AVERAGE(Ashed_controlls!$K$12:$K$14)</f>
        <v>2.2816647271287041</v>
      </c>
      <c r="Q193" s="194">
        <f t="shared" si="20"/>
        <v>1.9545621421279717</v>
      </c>
      <c r="R193" s="16">
        <f>IF('WetLitterbags placem_collection'!G120="","",'WetLitterbags placem_collection'!G120)</f>
        <v>42816</v>
      </c>
      <c r="S193" s="194">
        <f>IFERROR(INDEX('Both teabags AfterWet'!$C$3:$C$2000,MATCH(H193,'Both teabags AfterWet'!$A$3:$A$2000,0)),"")</f>
        <v>0.56799999999999995</v>
      </c>
      <c r="T193" s="194">
        <f>IFERROR(INDEX('Both teabags AfterWet'!$C$3:$C$2000,MATCH(I193,'Both teabags AfterWet'!$A$3:$A$2000,0)),"")</f>
        <v>1.468</v>
      </c>
      <c r="U193" s="194">
        <f t="shared" si="21"/>
        <v>0.41739999999999994</v>
      </c>
      <c r="V193" s="194">
        <f t="shared" si="22"/>
        <v>1.3173999999999999</v>
      </c>
      <c r="W193" s="194">
        <f>IFERROR(INDEX('Ashed teabags wet'!$K$2:$K$2000,MATCH(H193,'Ashed teabags wet'!$A$2:$A$2000,0)),"")</f>
        <v>15.039447731755478</v>
      </c>
      <c r="X193" s="237">
        <f>IFERROR(INDEX('Ashed teabags wet'!$K$2:$K$2000,MATCH(I193,'Ashed teabags wet'!$A$2:$A$2000,0)),"")</f>
        <v>90.558576371725209</v>
      </c>
      <c r="Y193" s="194">
        <f t="shared" si="27"/>
        <v>0.35462534516765259</v>
      </c>
      <c r="Z193" s="194">
        <f t="shared" si="27"/>
        <v>0.12438131487889215</v>
      </c>
      <c r="AA193" s="194">
        <f t="shared" si="23"/>
        <v>0.79481546029215111</v>
      </c>
      <c r="AB193" s="194">
        <f t="shared" si="24"/>
        <v>0.52106666755494946</v>
      </c>
      <c r="AC193" s="194">
        <f t="shared" si="16"/>
        <v>6.3636408481479986E-2</v>
      </c>
      <c r="AD193">
        <f t="shared" si="17"/>
        <v>54</v>
      </c>
      <c r="AE193" s="194">
        <f t="shared" si="25"/>
        <v>5.6038645733787251E-2</v>
      </c>
      <c r="AF193" s="194" t="str">
        <f t="shared" si="26"/>
        <v/>
      </c>
      <c r="AG193" s="252" t="str">
        <f>IF(ISNUMBER(SEARCH("C",'WetLitterbags placem_collection'!$X120)),"YES","NO")</f>
        <v>NO</v>
      </c>
      <c r="AH193" s="252" t="str">
        <f>IF(ISNUMBER(SEARCH("H", 'WetLitterbags placem_collection'!$X120)),"YES","NO")</f>
        <v>NO</v>
      </c>
      <c r="AI193" s="252" t="str">
        <f>IF(ISNUMBER(SEARCH("R", 'WetLitterbags placem_collection'!$X120)),"YES","NO")</f>
        <v>YES</v>
      </c>
      <c r="AJ193" s="252" t="str">
        <f>IF(ISNUMBER(SEARCH("C", 'WetLitterbags placem_collection'!$V120)),"YES","NO")</f>
        <v>YES</v>
      </c>
      <c r="AK193" s="252" t="str">
        <f>IF(ISNUMBER(SEARCH("H", 'WetLitterbags placem_collection'!$V120)),"YES","NO")</f>
        <v>YES</v>
      </c>
      <c r="AL193" s="252" t="str">
        <f>IF(ISNUMBER(SEARCH("R", 'WetLitterbags placem_collection'!$V120)),"YES","NO")</f>
        <v>YES</v>
      </c>
    </row>
    <row r="194" spans="2:38">
      <c r="B194" t="str">
        <f>'Final data_for_R_analysis_Wetse'!A120</f>
        <v>Wet</v>
      </c>
      <c r="C194" s="260">
        <f>'Final data_for_R_analysis_Wetse'!B120</f>
        <v>119</v>
      </c>
      <c r="D194" t="s">
        <v>3818</v>
      </c>
      <c r="E194" t="s">
        <v>22</v>
      </c>
      <c r="F194" s="382">
        <v>7</v>
      </c>
      <c r="G194" s="16">
        <f>'WetLitterbags placem_collection'!E121</f>
        <v>42762</v>
      </c>
      <c r="H194" t="str">
        <f>'Final data_for_R_analysis_Wetse'!K120</f>
        <v>G657</v>
      </c>
      <c r="I194" t="str">
        <f>'Final data_for_R_analysis_Wetse'!K340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8"/>
        <v>1.7412000000000001</v>
      </c>
      <c r="M194" s="194">
        <f>AVERAGE(Ashed_controlls!$K$2:$K$11)</f>
        <v>5.5147656768714146</v>
      </c>
      <c r="N194" s="194">
        <f t="shared" si="15"/>
        <v>1.645176900034315</v>
      </c>
      <c r="O194" s="194">
        <f t="shared" si="19"/>
        <v>1.9672000000000001</v>
      </c>
      <c r="P194" s="194">
        <f>AVERAGE(Ashed_controlls!$K$12:$K$14)</f>
        <v>2.2816647271287041</v>
      </c>
      <c r="Q194" s="194">
        <f t="shared" si="20"/>
        <v>1.9223150914879241</v>
      </c>
      <c r="R194" s="16">
        <f>IF('WetLitterbags placem_collection'!G121="","",'WetLitterbags placem_collection'!G121)</f>
        <v>42816</v>
      </c>
      <c r="S194" s="194">
        <f>IFERROR(INDEX('Both teabags AfterWet'!$C$3:$C$2000,MATCH(H194,'Both teabags AfterWet'!$A$3:$A$2000,0)),"")</f>
        <v>0.70099999999999996</v>
      </c>
      <c r="T194" s="194">
        <f>IFERROR(INDEX('Both teabags AfterWet'!$C$3:$C$2000,MATCH(I194,'Both teabags AfterWet'!$A$3:$A$2000,0)),"")</f>
        <v>0.435</v>
      </c>
      <c r="U194" s="194">
        <f t="shared" si="21"/>
        <v>0.5504</v>
      </c>
      <c r="V194" s="194">
        <f t="shared" si="22"/>
        <v>0.28439999999999999</v>
      </c>
      <c r="W194" s="194">
        <f>IFERROR(INDEX('Ashed teabags wet'!$K$2:$K$2000,MATCH(H194,'Ashed teabags wet'!$A$2:$A$2000,0)),"")</f>
        <v>15.711556829035821</v>
      </c>
      <c r="X194" s="237">
        <f>IFERROR(INDEX('Ashed teabags wet'!$K$2:$K$2000,MATCH(I194,'Ashed teabags wet'!$A$2:$A$2000,0)),"")</f>
        <v>0</v>
      </c>
      <c r="Y194" s="194">
        <f t="shared" si="27"/>
        <v>0.46392359121298682</v>
      </c>
      <c r="Z194" s="194">
        <f t="shared" si="27"/>
        <v>0.28439999999999999</v>
      </c>
      <c r="AA194" s="194">
        <f t="shared" si="23"/>
        <v>0.71800990446479629</v>
      </c>
      <c r="AB194" s="194">
        <f t="shared" si="24"/>
        <v>0.47071433166813254</v>
      </c>
      <c r="AC194" s="194">
        <f t="shared" si="16"/>
        <v>0.14794660940827689</v>
      </c>
      <c r="AD194">
        <f t="shared" si="17"/>
        <v>54</v>
      </c>
      <c r="AE194" s="194">
        <f t="shared" si="25"/>
        <v>0.14725664552874551</v>
      </c>
      <c r="AF194" s="194" t="str">
        <f t="shared" si="26"/>
        <v/>
      </c>
      <c r="AG194" s="252" t="str">
        <f>IF(ISNUMBER(SEARCH("C",'WetLitterbags placem_collection'!$X121)),"YES","NO")</f>
        <v>NO</v>
      </c>
      <c r="AH194" s="252" t="str">
        <f>IF(ISNUMBER(SEARCH("H", 'WetLitterbags placem_collection'!$X121)),"YES","NO")</f>
        <v>NO</v>
      </c>
      <c r="AI194" s="252" t="str">
        <f>IF(ISNUMBER(SEARCH("R", 'WetLitterbags placem_collection'!$X121)),"YES","NO")</f>
        <v>YES</v>
      </c>
      <c r="AJ194" s="252" t="str">
        <f>IF(ISNUMBER(SEARCH("C", 'WetLitterbags placem_collection'!$V121)),"YES","NO")</f>
        <v>NO</v>
      </c>
      <c r="AK194" s="252" t="str">
        <f>IF(ISNUMBER(SEARCH("H", 'WetLitterbags placem_collection'!$V121)),"YES","NO")</f>
        <v>NO</v>
      </c>
      <c r="AL194" s="252" t="str">
        <f>IF(ISNUMBER(SEARCH("R", 'WetLitterbags placem_collection'!$V121)),"YES","NO")</f>
        <v>YES</v>
      </c>
    </row>
    <row r="195" spans="2:38">
      <c r="B195" t="str">
        <f>'Final data_for_R_analysis_Wetse'!A121</f>
        <v>Wet</v>
      </c>
      <c r="C195" s="260">
        <f>'Final data_for_R_analysis_Wetse'!B121</f>
        <v>120</v>
      </c>
      <c r="D195" t="s">
        <v>3818</v>
      </c>
      <c r="E195" t="s">
        <v>22</v>
      </c>
      <c r="F195" s="382">
        <v>8</v>
      </c>
      <c r="G195" s="16">
        <f>'WetLitterbags placem_collection'!E122</f>
        <v>42762</v>
      </c>
      <c r="H195" t="str">
        <f>'Final data_for_R_analysis_Wetse'!K121</f>
        <v>G758</v>
      </c>
      <c r="I195" t="str">
        <f>'Final data_for_R_analysis_Wetse'!K341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8"/>
        <v>1.7812000000000001</v>
      </c>
      <c r="M195" s="194">
        <f>AVERAGE(Ashed_controlls!$K$2:$K$11)</f>
        <v>5.5147656768714146</v>
      </c>
      <c r="N195" s="194">
        <f t="shared" si="15"/>
        <v>1.6829709937635664</v>
      </c>
      <c r="O195" s="194">
        <f t="shared" si="19"/>
        <v>1.9321999999999999</v>
      </c>
      <c r="P195" s="194">
        <f>AVERAGE(Ashed_controlls!$K$12:$K$14)</f>
        <v>2.2816647271287041</v>
      </c>
      <c r="Q195" s="194">
        <f t="shared" si="20"/>
        <v>1.8881136741424192</v>
      </c>
      <c r="R195" s="16">
        <f>IF('WetLitterbags placem_collection'!G122="","",'WetLitterbags placem_collection'!G122)</f>
        <v>42816</v>
      </c>
      <c r="S195" s="194">
        <f>IFERROR(INDEX('Both teabags AfterWet'!$C$3:$C$2000,MATCH(H195,'Both teabags AfterWet'!$A$3:$A$2000,0)),"")</f>
        <v>0.67110000000000003</v>
      </c>
      <c r="T195" s="194">
        <f>IFERROR(INDEX('Both teabags AfterWet'!$C$3:$C$2000,MATCH(I195,'Both teabags AfterWet'!$A$3:$A$2000,0)),"")</f>
        <v>0.3876</v>
      </c>
      <c r="U195" s="194">
        <f t="shared" si="21"/>
        <v>0.52049999999999996</v>
      </c>
      <c r="V195" s="194">
        <f t="shared" si="22"/>
        <v>0.23699999999999999</v>
      </c>
      <c r="W195" s="194">
        <f>IFERROR(INDEX('Ashed teabags wet'!$K$2:$K$2000,MATCH(H195,'Ashed teabags wet'!$A$2:$A$2000,0)),"")</f>
        <v>20.466444550213541</v>
      </c>
      <c r="X195" s="237">
        <f>IFERROR(INDEX('Ashed teabags wet'!$K$2:$K$2000,MATCH(I195,'Ashed teabags wet'!$A$2:$A$2000,0)),"")</f>
        <v>0</v>
      </c>
      <c r="Y195" s="194">
        <f t="shared" si="27"/>
        <v>0.41397215611613847</v>
      </c>
      <c r="Z195" s="194">
        <f t="shared" si="27"/>
        <v>0.23699999999999999</v>
      </c>
      <c r="AA195" s="194">
        <f t="shared" si="23"/>
        <v>0.75402300001000744</v>
      </c>
      <c r="AB195" s="194">
        <f t="shared" si="24"/>
        <v>0.49432386698993369</v>
      </c>
      <c r="AC195" s="194">
        <f t="shared" si="16"/>
        <v>0.12552210348651033</v>
      </c>
      <c r="AD195">
        <f t="shared" si="17"/>
        <v>54</v>
      </c>
      <c r="AE195" s="194">
        <f t="shared" si="25"/>
        <v>0.10448574820664192</v>
      </c>
      <c r="AF195" s="194" t="str">
        <f t="shared" si="26"/>
        <v/>
      </c>
      <c r="AG195" s="252" t="str">
        <f>IF(ISNUMBER(SEARCH("C",'WetLitterbags placem_collection'!$X122)),"YES","NO")</f>
        <v>NO</v>
      </c>
      <c r="AH195" s="252" t="str">
        <f>IF(ISNUMBER(SEARCH("H", 'WetLitterbags placem_collection'!$X122)),"YES","NO")</f>
        <v>NO</v>
      </c>
      <c r="AI195" s="252" t="str">
        <f>IF(ISNUMBER(SEARCH("R", 'WetLitterbags placem_collection'!$X122)),"YES","NO")</f>
        <v>NO</v>
      </c>
      <c r="AJ195" s="252" t="str">
        <f>IF(ISNUMBER(SEARCH("C", 'WetLitterbags placem_collection'!$V122)),"YES","NO")</f>
        <v>NO</v>
      </c>
      <c r="AK195" s="252" t="str">
        <f>IF(ISNUMBER(SEARCH("H", 'WetLitterbags placem_collection'!$V122)),"YES","NO")</f>
        <v>YES</v>
      </c>
      <c r="AL195" s="252" t="str">
        <f>IF(ISNUMBER(SEARCH("R", 'WetLitterbags placem_collection'!$V122)),"YES","NO")</f>
        <v>NO</v>
      </c>
    </row>
    <row r="196" spans="2:38">
      <c r="B196" t="str">
        <f>'Final data_for_R_analysis_Wetse'!A122</f>
        <v>Wet</v>
      </c>
      <c r="C196" s="260">
        <f>'Final data_for_R_analysis_Wetse'!B122</f>
        <v>121</v>
      </c>
      <c r="D196" t="s">
        <v>3819</v>
      </c>
      <c r="E196" t="s">
        <v>22</v>
      </c>
      <c r="F196" s="381">
        <v>1</v>
      </c>
      <c r="G196" s="16">
        <f>'WetLitterbags placem_collection'!E123</f>
        <v>42762</v>
      </c>
      <c r="H196" t="str">
        <f>'Final data_for_R_analysis_Wetse'!K122</f>
        <v>G666</v>
      </c>
      <c r="I196" t="str">
        <f>'Final data_for_R_analysis_Wetse'!K342</f>
        <v>R532</v>
      </c>
      <c r="J196">
        <f>IFERROR(INDEX('Green_rooibos initial weight'!$C$5:$C$2000,MATCH(H196, 'Green_rooibos initial weight'!$A$5:$A$2000,0)),"")</f>
        <v>2.0819999999999999</v>
      </c>
      <c r="K196">
        <f>IFERROR(INDEX('Green_rooibos initial weight'!$C$5:$C$2000,MATCH(I196, 'Green_rooibos initial weight'!$A$5:$A$2000,0)),"")</f>
        <v>2.19</v>
      </c>
      <c r="L196" s="194">
        <f t="shared" si="18"/>
        <v>1.8321999999999998</v>
      </c>
      <c r="M196" s="194">
        <f>AVERAGE(Ashed_controlls!$K$2:$K$11)</f>
        <v>5.5147656768714146</v>
      </c>
      <c r="N196" s="194">
        <f t="shared" si="15"/>
        <v>1.7311584632683619</v>
      </c>
      <c r="O196" s="194">
        <f t="shared" si="19"/>
        <v>1.9401999999999999</v>
      </c>
      <c r="P196" s="194">
        <f>AVERAGE(Ashed_controlls!$K$12:$K$14)</f>
        <v>2.2816647271287041</v>
      </c>
      <c r="Q196" s="194">
        <f t="shared" si="20"/>
        <v>1.8959311409642488</v>
      </c>
      <c r="R196" s="16">
        <f>IF('WetLitterbags placem_collection'!G123="","",'WetLitterbags placem_collection'!G123)</f>
        <v>42816</v>
      </c>
      <c r="S196" s="194">
        <f>IFERROR(INDEX('Both teabags AfterWet'!$C$3:$C$2000,MATCH(H196,'Both teabags AfterWet'!$A$3:$A$2000,0)),"")</f>
        <v>0.63500000000000001</v>
      </c>
      <c r="T196" s="194">
        <f>IFERROR(INDEX('Both teabags AfterWet'!$C$3:$C$2000,MATCH(I196,'Both teabags AfterWet'!$A$3:$A$2000,0)),"")</f>
        <v>1.7050000000000001</v>
      </c>
      <c r="U196" s="194">
        <f t="shared" si="21"/>
        <v>0.4844</v>
      </c>
      <c r="V196" s="194">
        <f t="shared" si="22"/>
        <v>1.5544</v>
      </c>
      <c r="W196" s="194">
        <f>IFERROR(INDEX('Ashed teabags wet'!$K$2:$K$2000,MATCH(H196,'Ashed teabags wet'!$A$2:$A$2000,0)),"")</f>
        <v>11.971153846154037</v>
      </c>
      <c r="X196" s="237">
        <f>IFERROR(INDEX('Ashed teabags wet'!$K$2:$K$2000,MATCH(I196,'Ashed teabags wet'!$A$2:$A$2000,0)),"")</f>
        <v>7.423795476892864</v>
      </c>
      <c r="Y196" s="194">
        <f t="shared" si="27"/>
        <v>0.42641173076922984</v>
      </c>
      <c r="Z196" s="194">
        <f t="shared" si="27"/>
        <v>1.4390045231071773</v>
      </c>
      <c r="AA196" s="194">
        <f t="shared" si="23"/>
        <v>0.75368417171690882</v>
      </c>
      <c r="AB196" s="194">
        <f t="shared" si="24"/>
        <v>0.49410173727759349</v>
      </c>
      <c r="AC196" s="194">
        <f t="shared" si="16"/>
        <v>0.75899619559775577</v>
      </c>
      <c r="AD196">
        <f t="shared" si="17"/>
        <v>54</v>
      </c>
      <c r="AE196" s="194">
        <f t="shared" si="25"/>
        <v>0.10488815710580901</v>
      </c>
      <c r="AF196" s="194">
        <f t="shared" si="26"/>
        <v>1.2388239659209656E-2</v>
      </c>
      <c r="AG196" s="252" t="str">
        <f>IF(ISNUMBER(SEARCH("C",'WetLitterbags placem_collection'!$X123)),"YES","NO")</f>
        <v>NO</v>
      </c>
      <c r="AH196" s="252" t="str">
        <f>IF(ISNUMBER(SEARCH("H", 'WetLitterbags placem_collection'!$X123)),"YES","NO")</f>
        <v>NO</v>
      </c>
      <c r="AI196" s="252" t="str">
        <f>IF(ISNUMBER(SEARCH("R", 'WetLitterbags placem_collection'!$X123)),"YES","NO")</f>
        <v>YES</v>
      </c>
      <c r="AJ196" s="252" t="str">
        <f>IF(ISNUMBER(SEARCH("C", 'WetLitterbags placem_collection'!$V123)),"YES","NO")</f>
        <v>NO</v>
      </c>
      <c r="AK196" s="252" t="str">
        <f>IF(ISNUMBER(SEARCH("H", 'WetLitterbags placem_collection'!$V123)),"YES","NO")</f>
        <v>NO</v>
      </c>
      <c r="AL196" s="252" t="str">
        <f>IF(ISNUMBER(SEARCH("R", 'WetLitterbags placem_collection'!$V123)),"YES","NO")</f>
        <v>YES</v>
      </c>
    </row>
    <row r="197" spans="2:38">
      <c r="B197" t="str">
        <f>'Final data_for_R_analysis_Wetse'!A123</f>
        <v>Wet</v>
      </c>
      <c r="C197" s="260">
        <f>'Final data_for_R_analysis_Wetse'!B123</f>
        <v>122</v>
      </c>
      <c r="D197" t="s">
        <v>3819</v>
      </c>
      <c r="E197" t="s">
        <v>22</v>
      </c>
      <c r="F197" s="381">
        <v>2</v>
      </c>
      <c r="G197" s="16">
        <f>'WetLitterbags placem_collection'!E124</f>
        <v>42762</v>
      </c>
      <c r="H197" t="str">
        <f>'Final data_for_R_analysis_Wetse'!K123</f>
        <v>G860</v>
      </c>
      <c r="I197" t="str">
        <f>'Final data_for_R_analysis_Wetse'!K343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8"/>
        <v>1.7072000000000001</v>
      </c>
      <c r="M197" s="194">
        <f>AVERAGE(Ashed_controlls!$K$2:$K$11)</f>
        <v>5.5147656768714146</v>
      </c>
      <c r="N197" s="194">
        <f t="shared" si="15"/>
        <v>1.6130519203644513</v>
      </c>
      <c r="O197" s="194">
        <f t="shared" si="19"/>
        <v>1.9662000000000002</v>
      </c>
      <c r="P197" s="194">
        <f>AVERAGE(Ashed_controlls!$K$12:$K$14)</f>
        <v>2.2816647271287041</v>
      </c>
      <c r="Q197" s="194">
        <f t="shared" si="20"/>
        <v>1.9213379081351956</v>
      </c>
      <c r="R197" s="16">
        <f>IF('WetLitterbags placem_collection'!G124="","",'WetLitterbags placem_collection'!G124)</f>
        <v>42816</v>
      </c>
      <c r="S197" s="194">
        <f>IFERROR(INDEX('Both teabags AfterWet'!$C$3:$C$2000,MATCH(H197,'Both teabags AfterWet'!$A$3:$A$2000,0)),"")</f>
        <v>0.76800000000000002</v>
      </c>
      <c r="T197" s="194">
        <f>IFERROR(INDEX('Both teabags AfterWet'!$C$3:$C$2000,MATCH(I197,'Both teabags AfterWet'!$A$3:$A$2000,0)),"")</f>
        <v>1.25</v>
      </c>
      <c r="U197" s="194">
        <f t="shared" si="21"/>
        <v>0.61739999999999995</v>
      </c>
      <c r="V197" s="194">
        <f t="shared" si="22"/>
        <v>1.0993999999999999</v>
      </c>
      <c r="W197" s="194">
        <f>IFERROR(INDEX('Ashed teabags wet'!$K$2:$K$2000,MATCH(H197,'Ashed teabags wet'!$A$2:$A$2000,0)),"")</f>
        <v>32.606541129831015</v>
      </c>
      <c r="X197" s="237">
        <f>IFERROR(INDEX('Ashed teabags wet'!$K$2:$K$2000,MATCH(I197,'Ashed teabags wet'!$A$2:$A$2000,0)),"")</f>
        <v>8.4720121028745492</v>
      </c>
      <c r="Y197" s="194">
        <f t="shared" si="27"/>
        <v>0.41608721506442325</v>
      </c>
      <c r="Z197" s="194">
        <f t="shared" si="27"/>
        <v>1.0062586989409972</v>
      </c>
      <c r="AA197" s="194">
        <f t="shared" si="23"/>
        <v>0.74204970725901187</v>
      </c>
      <c r="AB197" s="194">
        <f t="shared" si="24"/>
        <v>0.48647439240733326</v>
      </c>
      <c r="AC197" s="194">
        <f t="shared" si="16"/>
        <v>0.52372812438684857</v>
      </c>
      <c r="AD197">
        <f t="shared" si="17"/>
        <v>54</v>
      </c>
      <c r="AE197" s="194">
        <f t="shared" si="25"/>
        <v>0.1187058108562804</v>
      </c>
      <c r="AF197" s="194">
        <f t="shared" si="26"/>
        <v>7.1565737583185879E-2</v>
      </c>
      <c r="AG197" s="252" t="str">
        <f>IF(ISNUMBER(SEARCH("C",'WetLitterbags placem_collection'!$X124)),"YES","NO")</f>
        <v>NO</v>
      </c>
      <c r="AH197" s="252" t="str">
        <f>IF(ISNUMBER(SEARCH("H", 'WetLitterbags placem_collection'!$X124)),"YES","NO")</f>
        <v>NO</v>
      </c>
      <c r="AI197" s="252" t="str">
        <f>IF(ISNUMBER(SEARCH("R", 'WetLitterbags placem_collection'!$X124)),"YES","NO")</f>
        <v>YES</v>
      </c>
      <c r="AJ197" s="252" t="str">
        <f>IF(ISNUMBER(SEARCH("C", 'WetLitterbags placem_collection'!$V124)),"YES","NO")</f>
        <v>NO</v>
      </c>
      <c r="AK197" s="252" t="str">
        <f>IF(ISNUMBER(SEARCH("H", 'WetLitterbags placem_collection'!$V124)),"YES","NO")</f>
        <v>YES</v>
      </c>
      <c r="AL197" s="252" t="str">
        <f>IF(ISNUMBER(SEARCH("R", 'WetLitterbags placem_collection'!$V124)),"YES","NO")</f>
        <v>YES</v>
      </c>
    </row>
    <row r="198" spans="2:38">
      <c r="B198" t="str">
        <f>'Final data_for_R_analysis_Wetse'!A124</f>
        <v>Wet</v>
      </c>
      <c r="C198" s="260">
        <f>'Final data_for_R_analysis_Wetse'!B124</f>
        <v>123</v>
      </c>
      <c r="D198" t="s">
        <v>3819</v>
      </c>
      <c r="E198" t="s">
        <v>22</v>
      </c>
      <c r="F198" s="381">
        <v>3</v>
      </c>
      <c r="G198" s="16">
        <f>'WetLitterbags placem_collection'!E125</f>
        <v>42762</v>
      </c>
      <c r="H198" t="str">
        <f>'Final data_for_R_analysis_Wetse'!K124</f>
        <v>G694</v>
      </c>
      <c r="I198" t="str">
        <f>'Final data_for_R_analysis_Wetse'!K344</f>
        <v>R575</v>
      </c>
      <c r="J198">
        <f>IFERROR(INDEX('Green_rooibos initial weight'!$C$5:$C$2000,MATCH(H198, 'Green_rooibos initial weight'!$A$5:$A$2000,0)),"")</f>
        <v>1.992</v>
      </c>
      <c r="K198">
        <f>IFERROR(INDEX('Green_rooibos initial weight'!$C$5:$C$2000,MATCH(I198, 'Green_rooibos initial weight'!$A$5:$A$2000,0)),"")</f>
        <v>2.0990000000000002</v>
      </c>
      <c r="L198" s="194">
        <f t="shared" si="18"/>
        <v>1.7422</v>
      </c>
      <c r="M198" s="194">
        <f>AVERAGE(Ashed_controlls!$K$2:$K$11)</f>
        <v>5.5147656768714146</v>
      </c>
      <c r="N198" s="194">
        <f t="shared" si="15"/>
        <v>1.6461217523775462</v>
      </c>
      <c r="O198" s="194">
        <f t="shared" si="19"/>
        <v>1.8492000000000002</v>
      </c>
      <c r="P198" s="194">
        <f>AVERAGE(Ashed_controlls!$K$12:$K$14)</f>
        <v>2.2816647271287041</v>
      </c>
      <c r="Q198" s="194">
        <f t="shared" si="20"/>
        <v>1.8070074558659361</v>
      </c>
      <c r="R198" s="16">
        <f>IF('WetLitterbags placem_collection'!G125="","",'WetLitterbags placem_collection'!G125)</f>
        <v>42816</v>
      </c>
      <c r="S198" s="194">
        <f>IFERROR(INDEX('Both teabags AfterWet'!$C$3:$C$2000,MATCH(H198,'Both teabags AfterWet'!$A$3:$A$2000,0)),"")</f>
        <v>0.622</v>
      </c>
      <c r="T198" s="194">
        <f>IFERROR(INDEX('Both teabags AfterWet'!$C$3:$C$2000,MATCH(I198,'Both teabags AfterWet'!$A$3:$A$2000,0)),"")</f>
        <v>1.6872</v>
      </c>
      <c r="U198" s="194">
        <f t="shared" si="21"/>
        <v>0.47139999999999999</v>
      </c>
      <c r="V198" s="194">
        <f t="shared" si="22"/>
        <v>1.5366</v>
      </c>
      <c r="W198" s="194">
        <f>IFERROR(INDEX('Ashed teabags wet'!$K$2:$K$2000,MATCH(H198,'Ashed teabags wet'!$A$2:$A$2000,0)),"")</f>
        <v>15.574174470182131</v>
      </c>
      <c r="X198" s="237">
        <f>IFERROR(INDEX('Ashed teabags wet'!$K$2:$K$2000,MATCH(I198,'Ashed teabags wet'!$A$2:$A$2000,0)),"")</f>
        <v>26.082677165354383</v>
      </c>
      <c r="Y198" s="194">
        <f t="shared" si="27"/>
        <v>0.39798334154756143</v>
      </c>
      <c r="Z198" s="194">
        <f t="shared" si="27"/>
        <v>1.1358135826771645</v>
      </c>
      <c r="AA198" s="194">
        <f t="shared" si="23"/>
        <v>0.75822970507938348</v>
      </c>
      <c r="AB198" s="194">
        <f t="shared" si="24"/>
        <v>0.49708170689289755</v>
      </c>
      <c r="AC198" s="194">
        <f t="shared" si="16"/>
        <v>0.62856054024020125</v>
      </c>
      <c r="AD198">
        <f t="shared" si="17"/>
        <v>54</v>
      </c>
      <c r="AE198" s="194">
        <f t="shared" si="25"/>
        <v>9.9489661425910314E-2</v>
      </c>
      <c r="AF198" s="194">
        <f t="shared" si="26"/>
        <v>2.5468812088328466E-2</v>
      </c>
      <c r="AG198" s="252" t="str">
        <f>IF(ISNUMBER(SEARCH("C",'WetLitterbags placem_collection'!$X125)),"YES","NO")</f>
        <v>NO</v>
      </c>
      <c r="AH198" s="252" t="str">
        <f>IF(ISNUMBER(SEARCH("H", 'WetLitterbags placem_collection'!$X125)),"YES","NO")</f>
        <v>NO</v>
      </c>
      <c r="AI198" s="252" t="str">
        <f>IF(ISNUMBER(SEARCH("R", 'WetLitterbags placem_collection'!$X125)),"YES","NO")</f>
        <v>NO</v>
      </c>
      <c r="AJ198" s="252" t="str">
        <f>IF(ISNUMBER(SEARCH("C", 'WetLitterbags placem_collection'!$V125)),"YES","NO")</f>
        <v>NO</v>
      </c>
      <c r="AK198" s="252" t="str">
        <f>IF(ISNUMBER(SEARCH("H", 'WetLitterbags placem_collection'!$V125)),"YES","NO")</f>
        <v>NO</v>
      </c>
      <c r="AL198" s="252" t="str">
        <f>IF(ISNUMBER(SEARCH("R", 'WetLitterbags placem_collection'!$V125)),"YES","NO")</f>
        <v>YES</v>
      </c>
    </row>
    <row r="199" spans="2:38">
      <c r="B199" t="str">
        <f>'Final data_for_R_analysis_Wetse'!A125</f>
        <v>Wet</v>
      </c>
      <c r="C199" s="260">
        <f>'Final data_for_R_analysis_Wetse'!B125</f>
        <v>124</v>
      </c>
      <c r="D199" t="s">
        <v>3819</v>
      </c>
      <c r="E199" t="s">
        <v>22</v>
      </c>
      <c r="F199" s="382">
        <v>4</v>
      </c>
      <c r="G199" s="16">
        <f>'WetLitterbags placem_collection'!E126</f>
        <v>42762</v>
      </c>
      <c r="H199" t="str">
        <f>'Final data_for_R_analysis_Wetse'!K125</f>
        <v>G867</v>
      </c>
      <c r="I199" t="str">
        <f>'Final data_for_R_analysis_Wetse'!K345</f>
        <v>R39</v>
      </c>
      <c r="J199">
        <f>IFERROR(INDEX('Green_rooibos initial weight'!$C$5:$C$2000,MATCH(H199, 'Green_rooibos initial weight'!$A$5:$A$2000,0)),"")</f>
        <v>1.907</v>
      </c>
      <c r="K199">
        <f>IFERROR(INDEX('Green_rooibos initial weight'!$C$5:$C$2000,MATCH(I199, 'Green_rooibos initial weight'!$A$5:$A$2000,0)),"")</f>
        <v>2.1429999999999998</v>
      </c>
      <c r="L199" s="194">
        <f t="shared" si="18"/>
        <v>1.6572</v>
      </c>
      <c r="M199" s="194">
        <f>AVERAGE(Ashed_controlls!$K$2:$K$11)</f>
        <v>5.5147656768714146</v>
      </c>
      <c r="N199" s="194">
        <f t="shared" si="15"/>
        <v>1.565809303202887</v>
      </c>
      <c r="O199" s="194">
        <f t="shared" si="19"/>
        <v>1.8931999999999998</v>
      </c>
      <c r="P199" s="194">
        <f>AVERAGE(Ashed_controlls!$K$12:$K$14)</f>
        <v>2.2816647271287041</v>
      </c>
      <c r="Q199" s="194">
        <f t="shared" si="20"/>
        <v>1.850003523385999</v>
      </c>
      <c r="R199" s="16">
        <f>IF('WetLitterbags placem_collection'!G126="","",'WetLitterbags placem_collection'!G126)</f>
        <v>42816</v>
      </c>
      <c r="S199" s="194">
        <f>IFERROR(INDEX('Both teabags AfterWet'!$C$3:$C$2000,MATCH(H199,'Both teabags AfterWet'!$A$3:$A$2000,0)),"")</f>
        <v>0.84799999999999998</v>
      </c>
      <c r="T199" s="194">
        <f>IFERROR(INDEX('Both teabags AfterWet'!$C$3:$C$2000,MATCH(I199,'Both teabags AfterWet'!$A$3:$A$2000,0)),"")</f>
        <v>1.4910000000000001</v>
      </c>
      <c r="U199" s="194">
        <f t="shared" si="21"/>
        <v>0.69740000000000002</v>
      </c>
      <c r="V199" s="194">
        <f t="shared" si="22"/>
        <v>1.3404</v>
      </c>
      <c r="W199" s="194">
        <f>IFERROR(INDEX('Ashed teabags wet'!$K$2:$K$2000,MATCH(H199,'Ashed teabags wet'!$A$2:$A$2000,0)),"")</f>
        <v>31.594202898550535</v>
      </c>
      <c r="X199" s="237">
        <f>IFERROR(INDEX('Ashed teabags wet'!$K$2:$K$2000,MATCH(I199,'Ashed teabags wet'!$A$2:$A$2000,0)),"")</f>
        <v>7.1782178217821846</v>
      </c>
      <c r="Y199" s="194">
        <f t="shared" si="27"/>
        <v>0.47706202898550859</v>
      </c>
      <c r="Z199" s="194">
        <f t="shared" si="27"/>
        <v>1.2441831683168316</v>
      </c>
      <c r="AA199" s="194">
        <f t="shared" si="23"/>
        <v>0.69532558785436338</v>
      </c>
      <c r="AB199" s="194">
        <f t="shared" si="24"/>
        <v>0.45584290320143539</v>
      </c>
      <c r="AC199" s="194">
        <f t="shared" si="16"/>
        <v>0.67253016147755496</v>
      </c>
      <c r="AD199">
        <f t="shared" si="17"/>
        <v>54</v>
      </c>
      <c r="AE199" s="194">
        <f t="shared" si="25"/>
        <v>0.17419763912783448</v>
      </c>
      <c r="AF199" s="194">
        <f t="shared" si="26"/>
        <v>2.346680827828794E-2</v>
      </c>
      <c r="AG199" s="252" t="str">
        <f>IF(ISNUMBER(SEARCH("C",'WetLitterbags placem_collection'!$X126)),"YES","NO")</f>
        <v>NO</v>
      </c>
      <c r="AH199" s="252" t="str">
        <f>IF(ISNUMBER(SEARCH("H", 'WetLitterbags placem_collection'!$X126)),"YES","NO")</f>
        <v>NO</v>
      </c>
      <c r="AI199" s="252" t="str">
        <f>IF(ISNUMBER(SEARCH("R", 'WetLitterbags placem_collection'!$X126)),"YES","NO")</f>
        <v>NO</v>
      </c>
      <c r="AJ199" s="252" t="str">
        <f>IF(ISNUMBER(SEARCH("C", 'WetLitterbags placem_collection'!$V126)),"YES","NO")</f>
        <v>NO</v>
      </c>
      <c r="AK199" s="252" t="str">
        <f>IF(ISNUMBER(SEARCH("H", 'WetLitterbags placem_collection'!$V126)),"YES","NO")</f>
        <v>YES</v>
      </c>
      <c r="AL199" s="252" t="str">
        <f>IF(ISNUMBER(SEARCH("R", 'WetLitterbags placem_collection'!$V126)),"YES","NO")</f>
        <v>YES</v>
      </c>
    </row>
    <row r="200" spans="2:38">
      <c r="B200" t="str">
        <f>'Final data_for_R_analysis_Wetse'!A126</f>
        <v>Wet</v>
      </c>
      <c r="C200" s="260">
        <f>'Final data_for_R_analysis_Wetse'!B126</f>
        <v>125</v>
      </c>
      <c r="D200" t="s">
        <v>3819</v>
      </c>
      <c r="E200" t="s">
        <v>22</v>
      </c>
      <c r="F200" s="382">
        <v>5</v>
      </c>
      <c r="G200" s="16">
        <f>'WetLitterbags placem_collection'!E127</f>
        <v>42762</v>
      </c>
      <c r="H200" t="str">
        <f>'Final data_for_R_analysis_Wetse'!K126</f>
        <v>G793</v>
      </c>
      <c r="I200" t="str">
        <f>'Final data_for_R_analysis_Wetse'!K346</f>
        <v>R560</v>
      </c>
      <c r="J200">
        <f>IFERROR(INDEX('Green_rooibos initial weight'!$C$5:$C$2000,MATCH(H200, 'Green_rooibos initial weight'!$A$5:$A$2000,0)),"")</f>
        <v>2.0459999999999998</v>
      </c>
      <c r="K200">
        <f>IFERROR(INDEX('Green_rooibos initial weight'!$C$5:$C$2000,MATCH(I200, 'Green_rooibos initial weight'!$A$5:$A$2000,0)),"")</f>
        <v>2.157</v>
      </c>
      <c r="L200" s="194">
        <f t="shared" si="18"/>
        <v>1.7961999999999998</v>
      </c>
      <c r="M200" s="194">
        <f>AVERAGE(Ashed_controlls!$K$2:$K$11)</f>
        <v>5.5147656768714146</v>
      </c>
      <c r="N200" s="194">
        <f t="shared" si="15"/>
        <v>1.6971437789120354</v>
      </c>
      <c r="O200" s="194">
        <f t="shared" si="19"/>
        <v>1.9072</v>
      </c>
      <c r="P200" s="194">
        <f>AVERAGE(Ashed_controlls!$K$12:$K$14)</f>
        <v>2.2816647271287041</v>
      </c>
      <c r="Q200" s="194">
        <f t="shared" si="20"/>
        <v>1.8636840903242013</v>
      </c>
      <c r="R200" s="16">
        <f>IF('WetLitterbags placem_collection'!G127="","",'WetLitterbags placem_collection'!G127)</f>
        <v>42816</v>
      </c>
      <c r="S200" s="194">
        <f>IFERROR(INDEX('Both teabags AfterWet'!$C$3:$C$2000,MATCH(H200,'Both teabags AfterWet'!$A$3:$A$2000,0)),"")</f>
        <v>0.77200000000000002</v>
      </c>
      <c r="T200" s="194">
        <f>IFERROR(INDEX('Both teabags AfterWet'!$C$3:$C$2000,MATCH(I200,'Both teabags AfterWet'!$A$3:$A$2000,0)),"")</f>
        <v>1.254</v>
      </c>
      <c r="U200" s="194">
        <f t="shared" si="21"/>
        <v>0.62139999999999995</v>
      </c>
      <c r="V200" s="194">
        <f t="shared" si="22"/>
        <v>1.1033999999999999</v>
      </c>
      <c r="W200" s="194">
        <f>IFERROR(INDEX('Ashed teabags wet'!$K$2:$K$2000,MATCH(H200,'Ashed teabags wet'!$A$2:$A$2000,0)),"")</f>
        <v>27.918529557873711</v>
      </c>
      <c r="X200" s="237">
        <f>IFERROR(INDEX('Ashed teabags wet'!$K$2:$K$2000,MATCH(I200,'Ashed teabags wet'!$A$2:$A$2000,0)),"")</f>
        <v>92.570579494799119</v>
      </c>
      <c r="Y200" s="194">
        <f t="shared" si="27"/>
        <v>0.44791425732737272</v>
      </c>
      <c r="Z200" s="194">
        <f t="shared" si="27"/>
        <v>8.1976225854386575E-2</v>
      </c>
      <c r="AA200" s="194">
        <f t="shared" si="23"/>
        <v>0.73607760114790577</v>
      </c>
      <c r="AB200" s="194">
        <f t="shared" si="24"/>
        <v>0.48255918745088366</v>
      </c>
      <c r="AC200" s="194">
        <f t="shared" si="16"/>
        <v>4.3986116681463017E-2</v>
      </c>
      <c r="AD200">
        <f t="shared" si="17"/>
        <v>54</v>
      </c>
      <c r="AE200" s="194">
        <f t="shared" si="25"/>
        <v>0.12579857345854417</v>
      </c>
      <c r="AF200" s="194" t="str">
        <f t="shared" si="26"/>
        <v/>
      </c>
      <c r="AG200" s="252" t="str">
        <f>IF(ISNUMBER(SEARCH("C",'WetLitterbags placem_collection'!$X127)),"YES","NO")</f>
        <v>NO</v>
      </c>
      <c r="AH200" s="252" t="str">
        <f>IF(ISNUMBER(SEARCH("H", 'WetLitterbags placem_collection'!$X127)),"YES","NO")</f>
        <v>NO</v>
      </c>
      <c r="AI200" s="252" t="str">
        <f>IF(ISNUMBER(SEARCH("R", 'WetLitterbags placem_collection'!$X127)),"YES","NO")</f>
        <v>YES</v>
      </c>
      <c r="AJ200" s="252" t="str">
        <f>IF(ISNUMBER(SEARCH("C", 'WetLitterbags placem_collection'!$V127)),"YES","NO")</f>
        <v>NO</v>
      </c>
      <c r="AK200" s="252" t="str">
        <f>IF(ISNUMBER(SEARCH("H", 'WetLitterbags placem_collection'!$V127)),"YES","NO")</f>
        <v>YES</v>
      </c>
      <c r="AL200" s="252" t="str">
        <f>IF(ISNUMBER(SEARCH("R", 'WetLitterbags placem_collection'!$V127)),"YES","NO")</f>
        <v>YES</v>
      </c>
    </row>
    <row r="201" spans="2:38">
      <c r="B201" t="str">
        <f>'Final data_for_R_analysis_Wetse'!A127</f>
        <v>Wet</v>
      </c>
      <c r="C201" s="260">
        <f>'Final data_for_R_analysis_Wetse'!B127</f>
        <v>126</v>
      </c>
      <c r="D201" t="s">
        <v>3819</v>
      </c>
      <c r="E201" t="s">
        <v>22</v>
      </c>
      <c r="F201" s="382">
        <v>6</v>
      </c>
      <c r="G201" s="16">
        <f>'WetLitterbags placem_collection'!E128</f>
        <v>42762</v>
      </c>
      <c r="H201" t="str">
        <f>'Final data_for_R_analysis_Wetse'!K127</f>
        <v>G749</v>
      </c>
      <c r="I201" t="str">
        <f>'Final data_for_R_analysis_Wetse'!K347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8"/>
        <v>1.7681999999999998</v>
      </c>
      <c r="M201" s="194">
        <f>AVERAGE(Ashed_controlls!$K$2:$K$11)</f>
        <v>5.5147656768714146</v>
      </c>
      <c r="N201" s="194">
        <f t="shared" si="15"/>
        <v>1.6706879133015595</v>
      </c>
      <c r="O201" s="194">
        <f t="shared" si="19"/>
        <v>2.0312000000000001</v>
      </c>
      <c r="P201" s="194">
        <f>AVERAGE(Ashed_controlls!$K$12:$K$14)</f>
        <v>2.2816647271287041</v>
      </c>
      <c r="Q201" s="194">
        <f t="shared" si="20"/>
        <v>1.9848548260625618</v>
      </c>
      <c r="R201" s="16">
        <f>IF('WetLitterbags placem_collection'!G128="","",'WetLitterbags placem_collection'!G128)</f>
        <v>42816</v>
      </c>
      <c r="S201" s="194">
        <f>IFERROR(INDEX('Both teabags AfterWet'!$C$3:$C$2000,MATCH(H201,'Both teabags AfterWet'!$A$3:$A$2000,0)),"")</f>
        <v>0.67800000000000005</v>
      </c>
      <c r="T201" s="194">
        <f>IFERROR(INDEX('Both teabags AfterWet'!$C$3:$C$2000,MATCH(I201,'Both teabags AfterWet'!$A$3:$A$2000,0)),"")</f>
        <v>0.17599999999999999</v>
      </c>
      <c r="U201" s="194">
        <f t="shared" si="21"/>
        <v>0.52740000000000009</v>
      </c>
      <c r="V201" s="194">
        <f t="shared" si="22"/>
        <v>2.5399999999999978E-2</v>
      </c>
      <c r="W201" s="194">
        <f>IFERROR(INDEX('Ashed teabags wet'!$K$2:$K$2000,MATCH(H201,'Ashed teabags wet'!$A$2:$A$2000,0)),"")</f>
        <v>14.484818317570399</v>
      </c>
      <c r="X201" s="237">
        <f>IFERROR(INDEX('Ashed teabags wet'!$K$2:$K$2000,MATCH(I201,'Ashed teabags wet'!$A$2:$A$2000,0)),"")</f>
        <v>0</v>
      </c>
      <c r="Y201" s="194">
        <f t="shared" si="27"/>
        <v>0.4510070681931338</v>
      </c>
      <c r="Z201" s="194">
        <f t="shared" si="27"/>
        <v>2.5399999999999978E-2</v>
      </c>
      <c r="AA201" s="194">
        <f t="shared" si="23"/>
        <v>0.73004708742887336</v>
      </c>
      <c r="AB201" s="194">
        <f t="shared" si="24"/>
        <v>0.47860569152106669</v>
      </c>
      <c r="AC201" s="194">
        <f t="shared" si="16"/>
        <v>1.2796905681201383E-2</v>
      </c>
      <c r="AD201">
        <f t="shared" si="17"/>
        <v>54</v>
      </c>
      <c r="AE201" s="194">
        <f t="shared" si="25"/>
        <v>0.13296070376618363</v>
      </c>
      <c r="AF201" s="194" t="str">
        <f t="shared" si="26"/>
        <v/>
      </c>
      <c r="AG201" s="252" t="str">
        <f>IF(ISNUMBER(SEARCH("C",'WetLitterbags placem_collection'!$X128)),"YES","NO")</f>
        <v>NO</v>
      </c>
      <c r="AH201" s="252" t="str">
        <f>IF(ISNUMBER(SEARCH("H", 'WetLitterbags placem_collection'!$X128)),"YES","NO")</f>
        <v>NO</v>
      </c>
      <c r="AI201" s="252" t="str">
        <f>IF(ISNUMBER(SEARCH("R", 'WetLitterbags placem_collection'!$X128)),"YES","NO")</f>
        <v>YES</v>
      </c>
      <c r="AJ201" s="252" t="str">
        <f>IF(ISNUMBER(SEARCH("C", 'WetLitterbags placem_collection'!$V128)),"YES","NO")</f>
        <v>NO</v>
      </c>
      <c r="AK201" s="252" t="str">
        <f>IF(ISNUMBER(SEARCH("H", 'WetLitterbags placem_collection'!$V128)),"YES","NO")</f>
        <v>YES</v>
      </c>
      <c r="AL201" s="252" t="str">
        <f>IF(ISNUMBER(SEARCH("R", 'WetLitterbags placem_collection'!$V128)),"YES","NO")</f>
        <v>YES</v>
      </c>
    </row>
    <row r="202" spans="2:38">
      <c r="B202" t="str">
        <f>'Final data_for_R_analysis_Wetse'!A128</f>
        <v>Wet</v>
      </c>
      <c r="C202" s="260">
        <f>'Final data_for_R_analysis_Wetse'!B128</f>
        <v>127</v>
      </c>
      <c r="D202" t="s">
        <v>3819</v>
      </c>
      <c r="E202" t="s">
        <v>22</v>
      </c>
      <c r="F202" s="382">
        <v>7</v>
      </c>
      <c r="G202" s="16">
        <f>'WetLitterbags placem_collection'!E129</f>
        <v>42762</v>
      </c>
      <c r="H202" t="str">
        <f>'Final data_for_R_analysis_Wetse'!K128</f>
        <v>G898</v>
      </c>
      <c r="I202" t="str">
        <f>'Final data_for_R_analysis_Wetse'!K348</f>
        <v>R506</v>
      </c>
      <c r="J202">
        <f>IFERROR(INDEX('Green_rooibos initial weight'!$C$5:$C$2000,MATCH(H202, 'Green_rooibos initial weight'!$A$5:$A$2000,0)),"")</f>
        <v>1.893</v>
      </c>
      <c r="K202">
        <f>IFERROR(INDEX('Green_rooibos initial weight'!$C$5:$C$2000,MATCH(I202, 'Green_rooibos initial weight'!$A$5:$A$2000,0)),"")</f>
        <v>2.1579999999999999</v>
      </c>
      <c r="L202" s="194">
        <f t="shared" si="18"/>
        <v>1.6432</v>
      </c>
      <c r="M202" s="194">
        <f>AVERAGE(Ashed_controlls!$K$2:$K$11)</f>
        <v>5.5147656768714146</v>
      </c>
      <c r="N202" s="194">
        <f t="shared" si="15"/>
        <v>1.552581370397649</v>
      </c>
      <c r="O202" s="194">
        <f t="shared" si="19"/>
        <v>1.9081999999999999</v>
      </c>
      <c r="P202" s="194">
        <f>AVERAGE(Ashed_controlls!$K$12:$K$14)</f>
        <v>2.2816647271287041</v>
      </c>
      <c r="Q202" s="194">
        <f t="shared" si="20"/>
        <v>1.8646612736769299</v>
      </c>
      <c r="R202" s="16">
        <f>IF('WetLitterbags placem_collection'!G129="","",'WetLitterbags placem_collection'!G129)</f>
        <v>42816</v>
      </c>
      <c r="S202" s="194">
        <f>IFERROR(INDEX('Both teabags AfterWet'!$C$3:$C$2000,MATCH(H202,'Both teabags AfterWet'!$A$3:$A$2000,0)),"")</f>
        <v>0.59099999999999997</v>
      </c>
      <c r="T202" s="194">
        <f>IFERROR(INDEX('Both teabags AfterWet'!$C$3:$C$2000,MATCH(I202,'Both teabags AfterWet'!$A$3:$A$2000,0)),"")</f>
        <v>1.4710000000000001</v>
      </c>
      <c r="U202" s="194">
        <f t="shared" si="21"/>
        <v>0.44039999999999996</v>
      </c>
      <c r="V202" s="194">
        <f t="shared" si="22"/>
        <v>1.3204</v>
      </c>
      <c r="W202" s="194">
        <f>IFERROR(INDEX('Ashed teabags wet'!$K$2:$K$2000,MATCH(H202,'Ashed teabags wet'!$A$2:$A$2000,0)),"")</f>
        <v>18.25037707390678</v>
      </c>
      <c r="X202" s="237">
        <f>IFERROR(INDEX('Ashed teabags wet'!$K$2:$K$2000,MATCH(I202,'Ashed teabags wet'!$A$2:$A$2000,0)),"")</f>
        <v>5.8622374206153776</v>
      </c>
      <c r="Y202" s="194">
        <f t="shared" si="27"/>
        <v>0.36002533936651449</v>
      </c>
      <c r="Z202" s="194">
        <f t="shared" si="27"/>
        <v>1.2429950170981945</v>
      </c>
      <c r="AA202" s="194">
        <f t="shared" si="23"/>
        <v>0.76811177421618526</v>
      </c>
      <c r="AB202" s="194">
        <f t="shared" si="24"/>
        <v>0.50356021302533771</v>
      </c>
      <c r="AC202" s="194">
        <f t="shared" si="16"/>
        <v>0.66660633469752373</v>
      </c>
      <c r="AD202">
        <f t="shared" si="17"/>
        <v>54</v>
      </c>
      <c r="AE202" s="194">
        <f t="shared" si="25"/>
        <v>8.7753237272939044E-2</v>
      </c>
      <c r="AF202" s="194">
        <f t="shared" si="26"/>
        <v>2.009121562934087E-2</v>
      </c>
      <c r="AG202" s="252" t="str">
        <f>IF(ISNUMBER(SEARCH("C",'WetLitterbags placem_collection'!$X129)),"YES","NO")</f>
        <v>NO</v>
      </c>
      <c r="AH202" s="252" t="str">
        <f>IF(ISNUMBER(SEARCH("H", 'WetLitterbags placem_collection'!$X129)),"YES","NO")</f>
        <v>NO</v>
      </c>
      <c r="AI202" s="252" t="str">
        <f>IF(ISNUMBER(SEARCH("R", 'WetLitterbags placem_collection'!$X129)),"YES","NO")</f>
        <v>YES</v>
      </c>
      <c r="AJ202" s="252" t="str">
        <f>IF(ISNUMBER(SEARCH("C", 'WetLitterbags placem_collection'!$V129)),"YES","NO")</f>
        <v>NO</v>
      </c>
      <c r="AK202" s="252" t="str">
        <f>IF(ISNUMBER(SEARCH("H", 'WetLitterbags placem_collection'!$V129)),"YES","NO")</f>
        <v>YES</v>
      </c>
      <c r="AL202" s="252" t="str">
        <f>IF(ISNUMBER(SEARCH("R", 'WetLitterbags placem_collection'!$V129)),"YES","NO")</f>
        <v>YES</v>
      </c>
    </row>
    <row r="203" spans="2:38">
      <c r="B203" t="str">
        <f>'Final data_for_R_analysis_Wetse'!A129</f>
        <v>Wet</v>
      </c>
      <c r="C203" s="260">
        <f>'Final data_for_R_analysis_Wetse'!B129</f>
        <v>128</v>
      </c>
      <c r="D203" t="s">
        <v>3819</v>
      </c>
      <c r="E203" t="s">
        <v>22</v>
      </c>
      <c r="F203" s="382">
        <v>8</v>
      </c>
      <c r="G203" s="16">
        <f>'WetLitterbags placem_collection'!E130</f>
        <v>42762</v>
      </c>
      <c r="H203" t="str">
        <f>'Final data_for_R_analysis_Wetse'!K129</f>
        <v>G834</v>
      </c>
      <c r="I203" t="str">
        <f>'Final data_for_R_analysis_Wetse'!K349</f>
        <v>R554</v>
      </c>
      <c r="J203">
        <f>IFERROR(INDEX('Green_rooibos initial weight'!$C$5:$C$2000,MATCH(H203, 'Green_rooibos initial weight'!$A$5:$A$2000,0)),"")</f>
        <v>1.956</v>
      </c>
      <c r="K203">
        <f>IFERROR(INDEX('Green_rooibos initial weight'!$C$5:$C$2000,MATCH(I203, 'Green_rooibos initial weight'!$A$5:$A$2000,0)),"")</f>
        <v>2.1779999999999999</v>
      </c>
      <c r="L203" s="194">
        <f t="shared" si="18"/>
        <v>1.7061999999999999</v>
      </c>
      <c r="M203" s="194">
        <f>AVERAGE(Ashed_controlls!$K$2:$K$11)</f>
        <v>5.5147656768714146</v>
      </c>
      <c r="N203" s="194">
        <f t="shared" si="15"/>
        <v>1.6121070680212199</v>
      </c>
      <c r="O203" s="194">
        <f t="shared" si="19"/>
        <v>1.9281999999999999</v>
      </c>
      <c r="P203" s="194">
        <f>AVERAGE(Ashed_controlls!$K$12:$K$14)</f>
        <v>2.2816647271287041</v>
      </c>
      <c r="Q203" s="194">
        <f t="shared" si="20"/>
        <v>1.8842049407315042</v>
      </c>
      <c r="R203" s="16">
        <f>IF('WetLitterbags placem_collection'!G130="","",'WetLitterbags placem_collection'!G130)</f>
        <v>42816</v>
      </c>
      <c r="S203" s="194">
        <f>IFERROR(INDEX('Both teabags AfterWet'!$C$3:$C$2000,MATCH(H203,'Both teabags AfterWet'!$A$3:$A$2000,0)),"")</f>
        <v>0.54500000000000004</v>
      </c>
      <c r="T203" s="194">
        <f>IFERROR(INDEX('Both teabags AfterWet'!$C$3:$C$2000,MATCH(I203,'Both teabags AfterWet'!$A$3:$A$2000,0)),"")</f>
        <v>2.5259999999999998</v>
      </c>
      <c r="U203" s="194">
        <f t="shared" si="21"/>
        <v>0.39440000000000003</v>
      </c>
      <c r="V203" s="194">
        <f t="shared" si="22"/>
        <v>2.3754</v>
      </c>
      <c r="W203" s="194">
        <f>IFERROR(INDEX('Ashed teabags wet'!$K$2:$K$2000,MATCH(H203,'Ashed teabags wet'!$A$2:$A$2000,0)),"")</f>
        <v>12.928123492523619</v>
      </c>
      <c r="X203" s="237">
        <f>IFERROR(INDEX('Ashed teabags wet'!$K$2:$K$2000,MATCH(I203,'Ashed teabags wet'!$A$2:$A$2000,0)),"")</f>
        <v>66.458433445459406</v>
      </c>
      <c r="Y203" s="194">
        <f t="shared" si="27"/>
        <v>0.3434114809454869</v>
      </c>
      <c r="Z203" s="194">
        <f t="shared" si="27"/>
        <v>0.79674637193655728</v>
      </c>
      <c r="AA203" s="194">
        <f t="shared" si="23"/>
        <v>0.78697973121164511</v>
      </c>
      <c r="AB203" s="194">
        <f t="shared" si="24"/>
        <v>0.51592970502236124</v>
      </c>
      <c r="AC203" s="194">
        <f t="shared" si="16"/>
        <v>0.42285547326249806</v>
      </c>
      <c r="AD203">
        <f t="shared" si="17"/>
        <v>54</v>
      </c>
      <c r="AE203" s="194">
        <f t="shared" si="25"/>
        <v>6.5344737278331233E-2</v>
      </c>
      <c r="AF203" s="194" t="str">
        <f t="shared" si="26"/>
        <v/>
      </c>
      <c r="AG203" s="252" t="str">
        <f>IF(ISNUMBER(SEARCH("C",'WetLitterbags placem_collection'!$X130)),"YES","NO")</f>
        <v>NO</v>
      </c>
      <c r="AH203" s="252" t="str">
        <f>IF(ISNUMBER(SEARCH("H", 'WetLitterbags placem_collection'!$X130)),"YES","NO")</f>
        <v>NO</v>
      </c>
      <c r="AI203" s="252" t="str">
        <f>IF(ISNUMBER(SEARCH("R", 'WetLitterbags placem_collection'!$X130)),"YES","NO")</f>
        <v>YES</v>
      </c>
      <c r="AJ203" s="252" t="str">
        <f>IF(ISNUMBER(SEARCH("C", 'WetLitterbags placem_collection'!$V130)),"YES","NO")</f>
        <v>NO</v>
      </c>
      <c r="AK203" s="252" t="str">
        <f>IF(ISNUMBER(SEARCH("H", 'WetLitterbags placem_collection'!$V130)),"YES","NO")</f>
        <v>NO</v>
      </c>
      <c r="AL203" s="252" t="str">
        <f>IF(ISNUMBER(SEARCH("R", 'WetLitterbags placem_collection'!$V130)),"YES","NO")</f>
        <v>YES</v>
      </c>
    </row>
    <row r="204" spans="2:38">
      <c r="B204" t="str">
        <f>'Final data_for_R_analysis_Wetse'!A130</f>
        <v>Wet</v>
      </c>
      <c r="C204" s="260">
        <f>'Final data_for_R_analysis_Wetse'!B130</f>
        <v>129</v>
      </c>
      <c r="D204" t="s">
        <v>3820</v>
      </c>
      <c r="E204" t="s">
        <v>22</v>
      </c>
      <c r="F204" s="381">
        <v>1</v>
      </c>
      <c r="G204" s="16">
        <f>'WetLitterbags placem_collection'!E131</f>
        <v>42762</v>
      </c>
      <c r="H204" t="str">
        <f>'Final data_for_R_analysis_Wetse'!K130</f>
        <v>G819</v>
      </c>
      <c r="I204" t="str">
        <f>'Final data_for_R_analysis_Wetse'!K350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8"/>
        <v>1.7272000000000001</v>
      </c>
      <c r="M204" s="194">
        <f>AVERAGE(Ashed_controlls!$K$2:$K$11)</f>
        <v>5.5147656768714146</v>
      </c>
      <c r="N204" s="194">
        <f t="shared" ref="N204:N267" si="28">IFERROR(L204-(M204/100)*L204,"")</f>
        <v>1.631948967229077</v>
      </c>
      <c r="O204" s="194">
        <f t="shared" si="19"/>
        <v>2.0392000000000001</v>
      </c>
      <c r="P204" s="194">
        <f>AVERAGE(Ashed_controlls!$K$12:$K$14)</f>
        <v>2.2816647271287041</v>
      </c>
      <c r="Q204" s="194">
        <f t="shared" si="20"/>
        <v>1.9926722928843916</v>
      </c>
      <c r="R204" s="16">
        <f>IF('WetLitterbags placem_collection'!G131="","",'WetLitterbags placem_collection'!G131)</f>
        <v>42816</v>
      </c>
      <c r="S204" s="194">
        <f>IFERROR(INDEX('Both teabags AfterWet'!$C$3:$C$2000,MATCH(H204,'Both teabags AfterWet'!$A$3:$A$2000,0)),"")</f>
        <v>0.59719999999999995</v>
      </c>
      <c r="T204" s="194">
        <f>IFERROR(INDEX('Both teabags AfterWet'!$C$3:$C$2000,MATCH(I204,'Both teabags AfterWet'!$A$3:$A$2000,0)),"")</f>
        <v>0.48970000000000002</v>
      </c>
      <c r="U204" s="194">
        <f t="shared" si="21"/>
        <v>0.44659999999999994</v>
      </c>
      <c r="V204" s="194">
        <f t="shared" si="22"/>
        <v>0.33910000000000001</v>
      </c>
      <c r="W204" s="194">
        <f>IFERROR(INDEX('Ashed teabags wet'!$K$2:$K$2000,MATCH(H204,'Ashed teabags wet'!$A$2:$A$2000,0)),"")</f>
        <v>16.047548291233621</v>
      </c>
      <c r="X204" s="237">
        <f>IFERROR(INDEX('Ashed teabags wet'!$K$2:$K$2000,MATCH(I204,'Ashed teabags wet'!$A$2:$A$2000,0)),"")</f>
        <v>0</v>
      </c>
      <c r="Y204" s="194">
        <f t="shared" si="27"/>
        <v>0.37493164933135059</v>
      </c>
      <c r="Z204" s="194">
        <f t="shared" si="27"/>
        <v>0.33910000000000001</v>
      </c>
      <c r="AA204" s="194">
        <f t="shared" si="23"/>
        <v>0.7702552856368079</v>
      </c>
      <c r="AB204" s="194">
        <f t="shared" si="24"/>
        <v>0.50496546041747981</v>
      </c>
      <c r="AC204" s="194">
        <f t="shared" ref="AC204:AC267" si="29">IFERROR(Z204/Q204,"")</f>
        <v>0.17017349074952662</v>
      </c>
      <c r="AD204">
        <f t="shared" ref="AD204:AD267" si="30">IFERROR(IF((R204-G204)&gt;0,(IFERROR(R204-G204,"")),""),"")</f>
        <v>54</v>
      </c>
      <c r="AE204" s="194">
        <f t="shared" si="25"/>
        <v>8.5207499243696083E-2</v>
      </c>
      <c r="AF204" s="194" t="str">
        <f t="shared" si="26"/>
        <v/>
      </c>
      <c r="AG204" s="252" t="str">
        <f>IF(ISNUMBER(SEARCH("C",'WetLitterbags placem_collection'!$X131)),"YES","NO")</f>
        <v>NO</v>
      </c>
      <c r="AH204" s="252" t="str">
        <f>IF(ISNUMBER(SEARCH("H", 'WetLitterbags placem_collection'!$X131)),"YES","NO")</f>
        <v>NO</v>
      </c>
      <c r="AI204" s="252" t="str">
        <f>IF(ISNUMBER(SEARCH("R", 'WetLitterbags placem_collection'!$X131)),"YES","NO")</f>
        <v>YES</v>
      </c>
      <c r="AJ204" s="252" t="str">
        <f>IF(ISNUMBER(SEARCH("C", 'WetLitterbags placem_collection'!$V131)),"YES","NO")</f>
        <v>NO</v>
      </c>
      <c r="AK204" s="252" t="str">
        <f>IF(ISNUMBER(SEARCH("H", 'WetLitterbags placem_collection'!$V131)),"YES","NO")</f>
        <v>NO</v>
      </c>
      <c r="AL204" s="252" t="str">
        <f>IF(ISNUMBER(SEARCH("R", 'WetLitterbags placem_collection'!$V131)),"YES","NO")</f>
        <v>NO</v>
      </c>
    </row>
    <row r="205" spans="2:38">
      <c r="B205" t="str">
        <f>'Final data_for_R_analysis_Wetse'!A131</f>
        <v>Wet</v>
      </c>
      <c r="C205" s="260">
        <f>'Final data_for_R_analysis_Wetse'!B131</f>
        <v>130</v>
      </c>
      <c r="D205" t="s">
        <v>3820</v>
      </c>
      <c r="E205" t="s">
        <v>22</v>
      </c>
      <c r="F205" s="381">
        <v>2</v>
      </c>
      <c r="G205" s="16">
        <f>'WetLitterbags placem_collection'!E132</f>
        <v>42762</v>
      </c>
      <c r="H205" t="str">
        <f>'Final data_for_R_analysis_Wetse'!K131</f>
        <v>G830</v>
      </c>
      <c r="I205" t="str">
        <f>'Final data_for_R_analysis_Wetse'!K351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31">IF(J205&gt;0,(J205*$F$31-($F$29+$F$30)),"")</f>
        <v>1.6441999999999999</v>
      </c>
      <c r="M205" s="194">
        <f>AVERAGE(Ashed_controlls!$K$2:$K$11)</f>
        <v>5.5147656768714146</v>
      </c>
      <c r="N205" s="194">
        <f t="shared" si="28"/>
        <v>1.5535262227408801</v>
      </c>
      <c r="O205" s="194">
        <f t="shared" ref="O205:O268" si="32">IF(K205&gt;0,(K205*$F$32-($F$29+$F$30)),"")</f>
        <v>1.9201999999999999</v>
      </c>
      <c r="P205" s="194">
        <f>AVERAGE(Ashed_controlls!$K$12:$K$14)</f>
        <v>2.2816647271287041</v>
      </c>
      <c r="Q205" s="194">
        <f t="shared" ref="Q205:Q268" si="33">IFERROR(O205-(P205/100)*O205,"")</f>
        <v>1.8763874739096746</v>
      </c>
      <c r="R205" s="16">
        <f>IF('WetLitterbags placem_collection'!G132="","",'WetLitterbags placem_collection'!G132)</f>
        <v>42816</v>
      </c>
      <c r="S205" s="194">
        <f>IFERROR(INDEX('Both teabags AfterWet'!$C$3:$C$2000,MATCH(H205,'Both teabags AfterWet'!$A$3:$A$2000,0)),"")</f>
        <v>0.54</v>
      </c>
      <c r="T205" s="194">
        <f>IFERROR(INDEX('Both teabags AfterWet'!$C$3:$C$2000,MATCH(I205,'Both teabags AfterWet'!$A$3:$A$2000,0)),"")</f>
        <v>1.6379999999999999</v>
      </c>
      <c r="U205" s="194">
        <f t="shared" ref="U205:U268" si="34">IFERROR(IF(S205&gt;0,S205-($F$29),""),"")</f>
        <v>0.38940000000000002</v>
      </c>
      <c r="V205" s="194">
        <f t="shared" ref="V205:V268" si="35">IFERROR(IF(T205&gt;0,T205-($F$29),""),"")</f>
        <v>1.4873999999999998</v>
      </c>
      <c r="W205" s="194">
        <f>IFERROR(INDEX('Ashed teabags wet'!$K$2:$K$2000,MATCH(H205,'Ashed teabags wet'!$A$2:$A$2000,0)),"")</f>
        <v>12.680978532201229</v>
      </c>
      <c r="X205" s="237">
        <f>IFERROR(INDEX('Ashed teabags wet'!$K$2:$K$2000,MATCH(I205,'Ashed teabags wet'!$A$2:$A$2000,0)),"")</f>
        <v>4.8913043478256997</v>
      </c>
      <c r="Y205" s="194">
        <f t="shared" si="27"/>
        <v>0.34002026959560844</v>
      </c>
      <c r="Z205" s="194">
        <f t="shared" si="27"/>
        <v>1.4146467391304405</v>
      </c>
      <c r="AA205" s="194">
        <f t="shared" ref="AA205:AA268" si="36">IFERROR(1-Y205/N205,"")</f>
        <v>0.78113000951106448</v>
      </c>
      <c r="AB205" s="194">
        <f t="shared" ref="AB205:AB268" si="37">IFERROR($F$26*(1-AE205),"")</f>
        <v>0.51209473307613729</v>
      </c>
      <c r="AC205" s="194">
        <f t="shared" si="29"/>
        <v>0.75392037028623793</v>
      </c>
      <c r="AD205">
        <f t="shared" si="30"/>
        <v>54</v>
      </c>
      <c r="AE205" s="194">
        <f t="shared" ref="AE205:AE268" si="38">IFERROR(1-(AA205/$F$25),"")</f>
        <v>7.2292150224388951E-2</v>
      </c>
      <c r="AF205" s="194">
        <f t="shared" ref="AF205:AF268" si="39">IFERROR(LN(AB205/(AC205-(1-AB205)))/AD205,"")</f>
        <v>1.2128824939557812E-2</v>
      </c>
      <c r="AG205" s="252" t="str">
        <f>IF(ISNUMBER(SEARCH("C",'WetLitterbags placem_collection'!$X132)),"YES","NO")</f>
        <v>NO</v>
      </c>
      <c r="AH205" s="252" t="str">
        <f>IF(ISNUMBER(SEARCH("H", 'WetLitterbags placem_collection'!$X132)),"YES","NO")</f>
        <v>NO</v>
      </c>
      <c r="AI205" s="252" t="str">
        <f>IF(ISNUMBER(SEARCH("R", 'WetLitterbags placem_collection'!$X132)),"YES","NO")</f>
        <v>NO</v>
      </c>
      <c r="AJ205" s="252" t="str">
        <f>IF(ISNUMBER(SEARCH("C", 'WetLitterbags placem_collection'!$V132)),"YES","NO")</f>
        <v>NO</v>
      </c>
      <c r="AK205" s="252" t="str">
        <f>IF(ISNUMBER(SEARCH("H", 'WetLitterbags placem_collection'!$V132)),"YES","NO")</f>
        <v>NO</v>
      </c>
      <c r="AL205" s="252" t="str">
        <f>IF(ISNUMBER(SEARCH("R", 'WetLitterbags placem_collection'!$V132)),"YES","NO")</f>
        <v>YES</v>
      </c>
    </row>
    <row r="206" spans="2:38">
      <c r="B206" t="str">
        <f>'Final data_for_R_analysis_Wetse'!A132</f>
        <v>Wet</v>
      </c>
      <c r="C206" s="260">
        <f>'Final data_for_R_analysis_Wetse'!B132</f>
        <v>131</v>
      </c>
      <c r="D206" t="s">
        <v>3820</v>
      </c>
      <c r="E206" t="s">
        <v>22</v>
      </c>
      <c r="F206" s="381">
        <v>3</v>
      </c>
      <c r="G206" s="16">
        <f>'WetLitterbags placem_collection'!E133</f>
        <v>42762</v>
      </c>
      <c r="H206" t="str">
        <f>'Final data_for_R_analysis_Wetse'!K132</f>
        <v>G746</v>
      </c>
      <c r="I206" t="str">
        <f>'Final data_for_R_analysis_Wetse'!K352</f>
        <v>R476</v>
      </c>
      <c r="J206">
        <f>IFERROR(INDEX('Green_rooibos initial weight'!$C$5:$C$2000,MATCH(H206, 'Green_rooibos initial weight'!$A$5:$A$2000,0)),"")</f>
        <v>2.198</v>
      </c>
      <c r="K206">
        <f>IFERROR(INDEX('Green_rooibos initial weight'!$C$5:$C$2000,MATCH(I206, 'Green_rooibos initial weight'!$A$5:$A$2000,0)),"")</f>
        <v>2.2429999999999999</v>
      </c>
      <c r="L206" s="194">
        <f t="shared" si="31"/>
        <v>1.9481999999999999</v>
      </c>
      <c r="M206" s="194">
        <f>AVERAGE(Ashed_controlls!$K$2:$K$11)</f>
        <v>5.5147656768714146</v>
      </c>
      <c r="N206" s="194">
        <f t="shared" si="28"/>
        <v>1.8407613350831911</v>
      </c>
      <c r="O206" s="194">
        <f t="shared" si="32"/>
        <v>1.9931999999999999</v>
      </c>
      <c r="P206" s="194">
        <f>AVERAGE(Ashed_controlls!$K$12:$K$14)</f>
        <v>2.2816647271287041</v>
      </c>
      <c r="Q206" s="194">
        <f t="shared" si="33"/>
        <v>1.9477218586588705</v>
      </c>
      <c r="R206" s="16">
        <f>IF('WetLitterbags placem_collection'!G133="","",'WetLitterbags placem_collection'!G133)</f>
        <v>42816</v>
      </c>
      <c r="S206" s="194">
        <f>IFERROR(INDEX('Both teabags AfterWet'!$C$3:$C$2000,MATCH(H206,'Both teabags AfterWet'!$A$3:$A$2000,0)),"")</f>
        <v>0.6613</v>
      </c>
      <c r="T206" s="194">
        <f>IFERROR(INDEX('Both teabags AfterWet'!$C$3:$C$2000,MATCH(I206,'Both teabags AfterWet'!$A$3:$A$2000,0)),"")</f>
        <v>0.64019999999999999</v>
      </c>
      <c r="U206" s="194">
        <f t="shared" si="34"/>
        <v>0.51069999999999993</v>
      </c>
      <c r="V206" s="194">
        <f t="shared" si="35"/>
        <v>0.48959999999999998</v>
      </c>
      <c r="W206" s="194">
        <f>IFERROR(INDEX('Ashed teabags wet'!$K$2:$K$2000,MATCH(H206,'Ashed teabags wet'!$A$2:$A$2000,0)),"")</f>
        <v>16.72456575682352</v>
      </c>
      <c r="X206" s="237">
        <f>IFERROR(INDEX('Ashed teabags wet'!$K$2:$K$2000,MATCH(I206,'Ashed teabags wet'!$A$2:$A$2000,0)),"")</f>
        <v>0</v>
      </c>
      <c r="Y206" s="194">
        <f t="shared" ref="Y206:Z269" si="40">IFERROR(U206-(W206/100)*U206,"")</f>
        <v>0.42528764267990221</v>
      </c>
      <c r="Z206" s="194">
        <f t="shared" si="40"/>
        <v>0.48959999999999998</v>
      </c>
      <c r="AA206" s="194">
        <f t="shared" si="36"/>
        <v>0.76896100837500381</v>
      </c>
      <c r="AB206" s="194">
        <f t="shared" si="37"/>
        <v>0.50411695560926617</v>
      </c>
      <c r="AC206" s="194">
        <f t="shared" si="29"/>
        <v>0.25137059371358111</v>
      </c>
      <c r="AD206">
        <f t="shared" si="30"/>
        <v>54</v>
      </c>
      <c r="AE206" s="194">
        <f t="shared" si="38"/>
        <v>8.6744645635387418E-2</v>
      </c>
      <c r="AF206" s="194" t="str">
        <f t="shared" si="39"/>
        <v/>
      </c>
      <c r="AG206" s="252" t="str">
        <f>IF(ISNUMBER(SEARCH("C",'WetLitterbags placem_collection'!$X133)),"YES","NO")</f>
        <v>NO</v>
      </c>
      <c r="AH206" s="252" t="str">
        <f>IF(ISNUMBER(SEARCH("H", 'WetLitterbags placem_collection'!$X133)),"YES","NO")</f>
        <v>NO</v>
      </c>
      <c r="AI206" s="252" t="str">
        <f>IF(ISNUMBER(SEARCH("R", 'WetLitterbags placem_collection'!$X133)),"YES","NO")</f>
        <v>NO</v>
      </c>
      <c r="AJ206" s="252" t="str">
        <f>IF(ISNUMBER(SEARCH("C", 'WetLitterbags placem_collection'!$V133)),"YES","NO")</f>
        <v>NO</v>
      </c>
      <c r="AK206" s="252" t="str">
        <f>IF(ISNUMBER(SEARCH("H", 'WetLitterbags placem_collection'!$V133)),"YES","NO")</f>
        <v>YES</v>
      </c>
      <c r="AL206" s="252" t="str">
        <f>IF(ISNUMBER(SEARCH("R", 'WetLitterbags placem_collection'!$V133)),"YES","NO")</f>
        <v>NO</v>
      </c>
    </row>
    <row r="207" spans="2:38">
      <c r="B207" t="str">
        <f>'Final data_for_R_analysis_Wetse'!A133</f>
        <v>Wet</v>
      </c>
      <c r="C207" s="260">
        <f>'Final data_for_R_analysis_Wetse'!B133</f>
        <v>132</v>
      </c>
      <c r="D207" t="s">
        <v>3820</v>
      </c>
      <c r="E207" t="s">
        <v>22</v>
      </c>
      <c r="F207" s="382">
        <v>4</v>
      </c>
      <c r="G207" s="16">
        <f>'WetLitterbags placem_collection'!E134</f>
        <v>42762</v>
      </c>
      <c r="H207" t="str">
        <f>'Final data_for_R_analysis_Wetse'!K133</f>
        <v>G725</v>
      </c>
      <c r="I207" t="str">
        <f>'Final data_for_R_analysis_Wetse'!K353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31"/>
        <v>1.7772000000000001</v>
      </c>
      <c r="M207" s="194">
        <f>AVERAGE(Ashed_controlls!$K$2:$K$11)</f>
        <v>5.5147656768714146</v>
      </c>
      <c r="N207" s="194">
        <f t="shared" si="28"/>
        <v>1.6791915843906413</v>
      </c>
      <c r="O207" s="194">
        <f t="shared" si="32"/>
        <v>1.9472</v>
      </c>
      <c r="P207" s="194">
        <f>AVERAGE(Ashed_controlls!$K$12:$K$14)</f>
        <v>2.2816647271287041</v>
      </c>
      <c r="Q207" s="194">
        <f t="shared" si="33"/>
        <v>1.90277142443335</v>
      </c>
      <c r="R207" s="16">
        <f>IF('WetLitterbags placem_collection'!G134="","",'WetLitterbags placem_collection'!G134)</f>
        <v>42816</v>
      </c>
      <c r="S207" s="194">
        <f>IFERROR(INDEX('Both teabags AfterWet'!$C$3:$C$2000,MATCH(H207,'Both teabags AfterWet'!$A$3:$A$2000,0)),"")</f>
        <v>0.56820000000000004</v>
      </c>
      <c r="T207" s="194">
        <f>IFERROR(INDEX('Both teabags AfterWet'!$C$3:$C$2000,MATCH(I207,'Both teabags AfterWet'!$A$3:$A$2000,0)),"")</f>
        <v>1.593</v>
      </c>
      <c r="U207" s="194">
        <f t="shared" si="34"/>
        <v>0.41760000000000003</v>
      </c>
      <c r="V207" s="194">
        <f t="shared" si="35"/>
        <v>1.4423999999999999</v>
      </c>
      <c r="W207" s="194">
        <f>IFERROR(INDEX('Ashed teabags wet'!$K$2:$K$2000,MATCH(H207,'Ashed teabags wet'!$A$2:$A$2000,0)),"")</f>
        <v>14.355948869222813</v>
      </c>
      <c r="X207" s="237">
        <f>IFERROR(INDEX('Ashed teabags wet'!$K$2:$K$2000,MATCH(I207,'Ashed teabags wet'!$A$2:$A$2000,0)),"")</f>
        <v>91.768144179250029</v>
      </c>
      <c r="Y207" s="194">
        <f t="shared" si="40"/>
        <v>0.35764955752212557</v>
      </c>
      <c r="Z207" s="194">
        <f t="shared" si="40"/>
        <v>0.11873628835849748</v>
      </c>
      <c r="AA207" s="194">
        <f t="shared" si="36"/>
        <v>0.78701086829713218</v>
      </c>
      <c r="AB207" s="194">
        <f t="shared" si="37"/>
        <v>0.51595011793351186</v>
      </c>
      <c r="AC207" s="194">
        <f t="shared" si="29"/>
        <v>6.2401761364404257E-2</v>
      </c>
      <c r="AD207">
        <f t="shared" si="30"/>
        <v>54</v>
      </c>
      <c r="AE207" s="194">
        <f t="shared" si="38"/>
        <v>6.5307757366826369E-2</v>
      </c>
      <c r="AF207" s="194" t="str">
        <f t="shared" si="39"/>
        <v/>
      </c>
      <c r="AG207" s="252" t="str">
        <f>IF(ISNUMBER(SEARCH("C",'WetLitterbags placem_collection'!$X134)),"YES","NO")</f>
        <v>NO</v>
      </c>
      <c r="AH207" s="252" t="str">
        <f>IF(ISNUMBER(SEARCH("H", 'WetLitterbags placem_collection'!$X134)),"YES","NO")</f>
        <v>NO</v>
      </c>
      <c r="AI207" s="252" t="str">
        <f>IF(ISNUMBER(SEARCH("R", 'WetLitterbags placem_collection'!$X134)),"YES","NO")</f>
        <v>NO</v>
      </c>
      <c r="AJ207" s="252" t="str">
        <f>IF(ISNUMBER(SEARCH("C", 'WetLitterbags placem_collection'!$V134)),"YES","NO")</f>
        <v>NO</v>
      </c>
      <c r="AK207" s="252" t="str">
        <f>IF(ISNUMBER(SEARCH("H", 'WetLitterbags placem_collection'!$V134)),"YES","NO")</f>
        <v>NO</v>
      </c>
      <c r="AL207" s="252" t="str">
        <f>IF(ISNUMBER(SEARCH("R", 'WetLitterbags placem_collection'!$V134)),"YES","NO")</f>
        <v>NO</v>
      </c>
    </row>
    <row r="208" spans="2:38">
      <c r="B208" t="str">
        <f>'Final data_for_R_analysis_Wetse'!A134</f>
        <v>Wet</v>
      </c>
      <c r="C208" s="260">
        <f>'Final data_for_R_analysis_Wetse'!B134</f>
        <v>133</v>
      </c>
      <c r="D208" t="s">
        <v>3820</v>
      </c>
      <c r="E208" t="s">
        <v>22</v>
      </c>
      <c r="F208" s="382">
        <v>5</v>
      </c>
      <c r="G208" s="16">
        <f>'WetLitterbags placem_collection'!E135</f>
        <v>42762</v>
      </c>
      <c r="H208" t="str">
        <f>'Final data_for_R_analysis_Wetse'!K134</f>
        <v>G846</v>
      </c>
      <c r="I208" t="str">
        <f>'Final data_for_R_analysis_Wetse'!K354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31"/>
        <v>1.7852000000000001</v>
      </c>
      <c r="M208" s="194">
        <f>AVERAGE(Ashed_controlls!$K$2:$K$11)</f>
        <v>5.5147656768714146</v>
      </c>
      <c r="N208" s="194">
        <f t="shared" si="28"/>
        <v>1.6867504031364917</v>
      </c>
      <c r="O208" s="194">
        <f t="shared" si="32"/>
        <v>1.8582000000000001</v>
      </c>
      <c r="P208" s="194">
        <f>AVERAGE(Ashed_controlls!$K$12:$K$14)</f>
        <v>2.2816647271287041</v>
      </c>
      <c r="Q208" s="194">
        <f t="shared" si="33"/>
        <v>1.8158021060404945</v>
      </c>
      <c r="R208" s="16">
        <f>IF('WetLitterbags placem_collection'!G135="","",'WetLitterbags placem_collection'!G135)</f>
        <v>42816</v>
      </c>
      <c r="S208" s="194">
        <f>IFERROR(INDEX('Both teabags AfterWet'!$C$3:$C$2000,MATCH(H208,'Both teabags AfterWet'!$A$3:$A$2000,0)),"")</f>
        <v>0.59309999999999996</v>
      </c>
      <c r="T208" s="194">
        <f>IFERROR(INDEX('Both teabags AfterWet'!$C$3:$C$2000,MATCH(I208,'Both teabags AfterWet'!$A$3:$A$2000,0)),"")</f>
        <v>1.5687</v>
      </c>
      <c r="U208" s="194">
        <f t="shared" si="34"/>
        <v>0.44249999999999995</v>
      </c>
      <c r="V208" s="194">
        <f t="shared" si="35"/>
        <v>1.4180999999999999</v>
      </c>
      <c r="W208" s="194">
        <f>IFERROR(INDEX('Ashed teabags wet'!$K$2:$K$2000,MATCH(H208,'Ashed teabags wet'!$A$2:$A$2000,0)),"")</f>
        <v>11.326378539493467</v>
      </c>
      <c r="X208" s="237">
        <f>IFERROR(INDEX('Ashed teabags wet'!$K$2:$K$2000,MATCH(I208,'Ashed teabags wet'!$A$2:$A$2000,0)),"")</f>
        <v>2.521432173474186</v>
      </c>
      <c r="Y208" s="194">
        <f t="shared" si="40"/>
        <v>0.39238077496274137</v>
      </c>
      <c r="Z208" s="194">
        <f t="shared" si="40"/>
        <v>1.3823435703479625</v>
      </c>
      <c r="AA208" s="194">
        <f t="shared" si="36"/>
        <v>0.76737472584377975</v>
      </c>
      <c r="AB208" s="194">
        <f t="shared" si="37"/>
        <v>0.50307701741777489</v>
      </c>
      <c r="AC208" s="194">
        <f t="shared" si="29"/>
        <v>0.76128536570666072</v>
      </c>
      <c r="AD208">
        <f t="shared" si="30"/>
        <v>54</v>
      </c>
      <c r="AE208" s="194">
        <f t="shared" si="38"/>
        <v>8.8628591634465792E-2</v>
      </c>
      <c r="AF208" s="194">
        <f t="shared" si="39"/>
        <v>1.1915230541889312E-2</v>
      </c>
      <c r="AG208" s="252" t="str">
        <f>IF(ISNUMBER(SEARCH("C",'WetLitterbags placem_collection'!$X135)),"YES","NO")</f>
        <v>NO</v>
      </c>
      <c r="AH208" s="252" t="str">
        <f>IF(ISNUMBER(SEARCH("H", 'WetLitterbags placem_collection'!$X135)),"YES","NO")</f>
        <v>NO</v>
      </c>
      <c r="AI208" s="252" t="str">
        <f>IF(ISNUMBER(SEARCH("R", 'WetLitterbags placem_collection'!$X135)),"YES","NO")</f>
        <v>NO</v>
      </c>
      <c r="AJ208" s="252" t="str">
        <f>IF(ISNUMBER(SEARCH("C", 'WetLitterbags placem_collection'!$V135)),"YES","NO")</f>
        <v>NO</v>
      </c>
      <c r="AK208" s="252" t="str">
        <f>IF(ISNUMBER(SEARCH("H", 'WetLitterbags placem_collection'!$V135)),"YES","NO")</f>
        <v>NO</v>
      </c>
      <c r="AL208" s="252" t="str">
        <f>IF(ISNUMBER(SEARCH("R", 'WetLitterbags placem_collection'!$V135)),"YES","NO")</f>
        <v>NO</v>
      </c>
    </row>
    <row r="209" spans="2:38">
      <c r="B209" t="str">
        <f>'Final data_for_R_analysis_Wetse'!A135</f>
        <v>Wet</v>
      </c>
      <c r="C209" s="260">
        <f>'Final data_for_R_analysis_Wetse'!B135</f>
        <v>134</v>
      </c>
      <c r="D209" t="s">
        <v>3820</v>
      </c>
      <c r="E209" t="s">
        <v>22</v>
      </c>
      <c r="F209" s="382">
        <v>6</v>
      </c>
      <c r="G209" s="16">
        <f>'WetLitterbags placem_collection'!E136</f>
        <v>42762</v>
      </c>
      <c r="H209" t="str">
        <f>'Final data_for_R_analysis_Wetse'!K135</f>
        <v>G756</v>
      </c>
      <c r="I209" t="str">
        <f>'Final data_for_R_analysis_Wetse'!K355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31"/>
        <v>1.8961999999999999</v>
      </c>
      <c r="M209" s="194">
        <f>AVERAGE(Ashed_controlls!$K$2:$K$11)</f>
        <v>5.5147656768714146</v>
      </c>
      <c r="N209" s="194">
        <f t="shared" si="28"/>
        <v>1.7916290132351642</v>
      </c>
      <c r="O209" s="194">
        <f t="shared" si="32"/>
        <v>1.9942000000000002</v>
      </c>
      <c r="P209" s="194">
        <f>AVERAGE(Ashed_controlls!$K$12:$K$14)</f>
        <v>2.2816647271287041</v>
      </c>
      <c r="Q209" s="194">
        <f t="shared" si="33"/>
        <v>1.9486990420115995</v>
      </c>
      <c r="R209" s="16">
        <f>IF('WetLitterbags placem_collection'!G136="","",'WetLitterbags placem_collection'!G136)</f>
        <v>42816</v>
      </c>
      <c r="S209" s="194">
        <f>IFERROR(INDEX('Both teabags AfterWet'!$C$3:$C$2000,MATCH(H209,'Both teabags AfterWet'!$A$3:$A$2000,0)),"")</f>
        <v>0.69399999999999995</v>
      </c>
      <c r="T209" s="194">
        <f>IFERROR(INDEX('Both teabags AfterWet'!$C$3:$C$2000,MATCH(I209,'Both teabags AfterWet'!$A$3:$A$2000,0)),"")</f>
        <v>1.4419999999999999</v>
      </c>
      <c r="U209" s="194">
        <f t="shared" si="34"/>
        <v>0.54339999999999988</v>
      </c>
      <c r="V209" s="194">
        <f t="shared" si="35"/>
        <v>1.2913999999999999</v>
      </c>
      <c r="W209" s="194">
        <f>IFERROR(INDEX('Ashed teabags wet'!$K$2:$K$2000,MATCH(H209,'Ashed teabags wet'!$A$2:$A$2000,0)),"")</f>
        <v>17.213930348258991</v>
      </c>
      <c r="X209" s="237">
        <f>IFERROR(INDEX('Ashed teabags wet'!$K$2:$K$2000,MATCH(I209,'Ashed teabags wet'!$A$2:$A$2000,0)),"")</f>
        <v>7.2860635696819331</v>
      </c>
      <c r="Y209" s="194">
        <f t="shared" si="40"/>
        <v>0.44985950248756057</v>
      </c>
      <c r="Z209" s="194">
        <f t="shared" si="40"/>
        <v>1.1973077750611274</v>
      </c>
      <c r="AA209" s="194">
        <f t="shared" si="36"/>
        <v>0.74891034965143577</v>
      </c>
      <c r="AB209" s="194">
        <f t="shared" si="37"/>
        <v>0.49097210570972993</v>
      </c>
      <c r="AC209" s="194">
        <f t="shared" si="29"/>
        <v>0.61441389832324889</v>
      </c>
      <c r="AD209">
        <f t="shared" si="30"/>
        <v>54</v>
      </c>
      <c r="AE209" s="194">
        <f t="shared" si="38"/>
        <v>0.11055777951135892</v>
      </c>
      <c r="AF209" s="194">
        <f t="shared" si="39"/>
        <v>2.8495508829070364E-2</v>
      </c>
      <c r="AG209" s="252" t="str">
        <f>IF(ISNUMBER(SEARCH("C",'WetLitterbags placem_collection'!$X136)),"YES","NO")</f>
        <v>NO</v>
      </c>
      <c r="AH209" s="252" t="str">
        <f>IF(ISNUMBER(SEARCH("H", 'WetLitterbags placem_collection'!$X136)),"YES","NO")</f>
        <v>NO</v>
      </c>
      <c r="AI209" s="252" t="str">
        <f>IF(ISNUMBER(SEARCH("R", 'WetLitterbags placem_collection'!$X136)),"YES","NO")</f>
        <v>NO</v>
      </c>
      <c r="AJ209" s="252" t="str">
        <f>IF(ISNUMBER(SEARCH("C", 'WetLitterbags placem_collection'!$V136)),"YES","NO")</f>
        <v>NO</v>
      </c>
      <c r="AK209" s="252" t="str">
        <f>IF(ISNUMBER(SEARCH("H", 'WetLitterbags placem_collection'!$V136)),"YES","NO")</f>
        <v>NO</v>
      </c>
      <c r="AL209" s="252" t="str">
        <f>IF(ISNUMBER(SEARCH("R", 'WetLitterbags placem_collection'!$V136)),"YES","NO")</f>
        <v>YES</v>
      </c>
    </row>
    <row r="210" spans="2:38">
      <c r="B210" t="str">
        <f>'Final data_for_R_analysis_Wetse'!A136</f>
        <v>Wet</v>
      </c>
      <c r="C210" s="260">
        <f>'Final data_for_R_analysis_Wetse'!B136</f>
        <v>135</v>
      </c>
      <c r="D210" t="s">
        <v>3820</v>
      </c>
      <c r="E210" t="s">
        <v>22</v>
      </c>
      <c r="F210" s="382">
        <v>7</v>
      </c>
      <c r="G210" s="16">
        <f>'WetLitterbags placem_collection'!E137</f>
        <v>42762</v>
      </c>
      <c r="H210" t="str">
        <f>'Final data_for_R_analysis_Wetse'!K136</f>
        <v>G745</v>
      </c>
      <c r="I210" t="str">
        <f>'Final data_for_R_analysis_Wetse'!K356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31"/>
        <v>1.7072000000000001</v>
      </c>
      <c r="M210" s="194">
        <f>AVERAGE(Ashed_controlls!$K$2:$K$11)</f>
        <v>5.5147656768714146</v>
      </c>
      <c r="N210" s="194">
        <f t="shared" si="28"/>
        <v>1.6130519203644513</v>
      </c>
      <c r="O210" s="194">
        <f t="shared" si="32"/>
        <v>1.9742000000000002</v>
      </c>
      <c r="P210" s="194">
        <f>AVERAGE(Ashed_controlls!$K$12:$K$14)</f>
        <v>2.2816647271287041</v>
      </c>
      <c r="Q210" s="194">
        <f t="shared" si="33"/>
        <v>1.9291553749570254</v>
      </c>
      <c r="R210" s="16">
        <f>IF('WetLitterbags placem_collection'!G137="","",'WetLitterbags placem_collection'!G137)</f>
        <v>42816</v>
      </c>
      <c r="S210" s="194">
        <f>IFERROR(INDEX('Both teabags AfterWet'!$C$3:$C$2000,MATCH(H210,'Both teabags AfterWet'!$A$3:$A$2000,0)),"")</f>
        <v>0.61099999999999999</v>
      </c>
      <c r="T210" s="194">
        <f>IFERROR(INDEX('Both teabags AfterWet'!$C$3:$C$2000,MATCH(I210,'Both teabags AfterWet'!$A$3:$A$2000,0)),"")</f>
        <v>1.6830000000000001</v>
      </c>
      <c r="U210" s="194">
        <f t="shared" si="34"/>
        <v>0.46039999999999998</v>
      </c>
      <c r="V210" s="194">
        <f t="shared" si="35"/>
        <v>1.5324</v>
      </c>
      <c r="W210" s="194">
        <f>IFERROR(INDEX('Ashed teabags wet'!$K$2:$K$2000,MATCH(H210,'Ashed teabags wet'!$A$2:$A$2000,0)),"")</f>
        <v>14.334637964774716</v>
      </c>
      <c r="X210" s="237">
        <f>IFERROR(INDEX('Ashed teabags wet'!$K$2:$K$2000,MATCH(I210,'Ashed teabags wet'!$A$2:$A$2000,0)),"")</f>
        <v>13.470757430488819</v>
      </c>
      <c r="Y210" s="194">
        <f t="shared" si="40"/>
        <v>0.3944033268101772</v>
      </c>
      <c r="Z210" s="194">
        <f t="shared" si="40"/>
        <v>1.3259741131351892</v>
      </c>
      <c r="AA210" s="194">
        <f t="shared" si="36"/>
        <v>0.75549247867913261</v>
      </c>
      <c r="AB210" s="194">
        <f t="shared" si="37"/>
        <v>0.49528723067800623</v>
      </c>
      <c r="AC210" s="194">
        <f t="shared" si="29"/>
        <v>0.68733401692164231</v>
      </c>
      <c r="AD210">
        <f t="shared" si="30"/>
        <v>54</v>
      </c>
      <c r="AE210" s="194">
        <f t="shared" si="38"/>
        <v>0.10274052413404677</v>
      </c>
      <c r="AF210" s="194">
        <f t="shared" si="39"/>
        <v>1.8476361767432385E-2</v>
      </c>
      <c r="AG210" s="252" t="str">
        <f>IF(ISNUMBER(SEARCH("C",'WetLitterbags placem_collection'!$X137)),"YES","NO")</f>
        <v>NO</v>
      </c>
      <c r="AH210" s="252" t="str">
        <f>IF(ISNUMBER(SEARCH("H", 'WetLitterbags placem_collection'!$X137)),"YES","NO")</f>
        <v>NO</v>
      </c>
      <c r="AI210" s="252" t="str">
        <f>IF(ISNUMBER(SEARCH("R", 'WetLitterbags placem_collection'!$X137)),"YES","NO")</f>
        <v>NO</v>
      </c>
      <c r="AJ210" s="252" t="str">
        <f>IF(ISNUMBER(SEARCH("C", 'WetLitterbags placem_collection'!$V137)),"YES","NO")</f>
        <v>NO</v>
      </c>
      <c r="AK210" s="252" t="str">
        <f>IF(ISNUMBER(SEARCH("H", 'WetLitterbags placem_collection'!$V137)),"YES","NO")</f>
        <v>NO</v>
      </c>
      <c r="AL210" s="252" t="str">
        <f>IF(ISNUMBER(SEARCH("R", 'WetLitterbags placem_collection'!$V137)),"YES","NO")</f>
        <v>YES</v>
      </c>
    </row>
    <row r="211" spans="2:38">
      <c r="B211" t="str">
        <f>'Final data_for_R_analysis_Wetse'!A137</f>
        <v>Wet</v>
      </c>
      <c r="C211" s="260">
        <f>'Final data_for_R_analysis_Wetse'!B137</f>
        <v>136</v>
      </c>
      <c r="D211" t="s">
        <v>3820</v>
      </c>
      <c r="E211" t="s">
        <v>22</v>
      </c>
      <c r="F211" s="382">
        <v>8</v>
      </c>
      <c r="G211" s="16">
        <f>'WetLitterbags placem_collection'!E138</f>
        <v>42762</v>
      </c>
      <c r="H211" t="str">
        <f>'Final data_for_R_analysis_Wetse'!K137</f>
        <v>G832</v>
      </c>
      <c r="I211" t="str">
        <f>'Final data_for_R_analysis_Wetse'!K357</f>
        <v>R474</v>
      </c>
      <c r="J211">
        <f>IFERROR(INDEX('Green_rooibos initial weight'!$C$5:$C$2000,MATCH(H211, 'Green_rooibos initial weight'!$A$5:$A$2000,0)),"")</f>
        <v>2.0470000000000002</v>
      </c>
      <c r="K211">
        <f>IFERROR(INDEX('Green_rooibos initial weight'!$C$5:$C$2000,MATCH(I211, 'Green_rooibos initial weight'!$A$5:$A$2000,0)),"")</f>
        <v>2.258</v>
      </c>
      <c r="L211" s="194">
        <f t="shared" si="31"/>
        <v>1.7972000000000001</v>
      </c>
      <c r="M211" s="194">
        <f>AVERAGE(Ashed_controlls!$K$2:$K$11)</f>
        <v>5.5147656768714146</v>
      </c>
      <c r="N211" s="194">
        <f t="shared" si="28"/>
        <v>1.698088631255267</v>
      </c>
      <c r="O211" s="194">
        <f t="shared" si="32"/>
        <v>2.0082</v>
      </c>
      <c r="P211" s="194">
        <f>AVERAGE(Ashed_controlls!$K$12:$K$14)</f>
        <v>2.2816647271287041</v>
      </c>
      <c r="Q211" s="194">
        <f t="shared" si="33"/>
        <v>1.9623796089498013</v>
      </c>
      <c r="R211" s="16">
        <f>IF('WetLitterbags placem_collection'!G138="","",'WetLitterbags placem_collection'!G138)</f>
        <v>42816</v>
      </c>
      <c r="S211" s="194">
        <f>IFERROR(INDEX('Both teabags AfterWet'!$C$3:$C$2000,MATCH(H211,'Both teabags AfterWet'!$A$3:$A$2000,0)),"")</f>
        <v>0.5796</v>
      </c>
      <c r="T211" s="194">
        <f>IFERROR(INDEX('Both teabags AfterWet'!$C$3:$C$2000,MATCH(I211,'Both teabags AfterWet'!$A$3:$A$2000,0)),"")</f>
        <v>1.5827</v>
      </c>
      <c r="U211" s="194">
        <f t="shared" si="34"/>
        <v>0.42899999999999999</v>
      </c>
      <c r="V211" s="194">
        <f t="shared" si="35"/>
        <v>1.4320999999999999</v>
      </c>
      <c r="W211" s="194">
        <f>IFERROR(INDEX('Ashed teabags wet'!$K$2:$K$2000,MATCH(H211,'Ashed teabags wet'!$A$2:$A$2000,0)),"")</f>
        <v>15.08132084770828</v>
      </c>
      <c r="X211" s="237">
        <f>IFERROR(INDEX('Ashed teabags wet'!$K$2:$K$2000,MATCH(I211,'Ashed teabags wet'!$A$2:$A$2000,0)),"")</f>
        <v>5.0395256916988718</v>
      </c>
      <c r="Y211" s="194">
        <f t="shared" si="40"/>
        <v>0.36430113356333149</v>
      </c>
      <c r="Z211" s="194">
        <f t="shared" si="40"/>
        <v>1.3599289525691804</v>
      </c>
      <c r="AA211" s="194">
        <f t="shared" si="36"/>
        <v>0.78546400531871441</v>
      </c>
      <c r="AB211" s="194">
        <f t="shared" si="37"/>
        <v>0.51493602248922854</v>
      </c>
      <c r="AC211" s="194">
        <f t="shared" si="29"/>
        <v>0.69299994066742676</v>
      </c>
      <c r="AD211">
        <f t="shared" si="30"/>
        <v>54</v>
      </c>
      <c r="AE211" s="194">
        <f t="shared" si="38"/>
        <v>6.7144886794875958E-2</v>
      </c>
      <c r="AF211" s="194">
        <f t="shared" si="39"/>
        <v>1.6792824109442335E-2</v>
      </c>
      <c r="AG211" s="252" t="str">
        <f>IF(ISNUMBER(SEARCH("C",'WetLitterbags placem_collection'!$X138)),"YES","NO")</f>
        <v>NO</v>
      </c>
      <c r="AH211" s="252" t="str">
        <f>IF(ISNUMBER(SEARCH("H", 'WetLitterbags placem_collection'!$X138)),"YES","NO")</f>
        <v>NO</v>
      </c>
      <c r="AI211" s="252" t="str">
        <f>IF(ISNUMBER(SEARCH("R", 'WetLitterbags placem_collection'!$X138)),"YES","NO")</f>
        <v>YES</v>
      </c>
      <c r="AJ211" s="252" t="str">
        <f>IF(ISNUMBER(SEARCH("C", 'WetLitterbags placem_collection'!$V138)),"YES","NO")</f>
        <v>NO</v>
      </c>
      <c r="AK211" s="252" t="str">
        <f>IF(ISNUMBER(SEARCH("H", 'WetLitterbags placem_collection'!$V138)),"YES","NO")</f>
        <v>NO</v>
      </c>
      <c r="AL211" s="252" t="str">
        <f>IF(ISNUMBER(SEARCH("R", 'WetLitterbags placem_collection'!$V138)),"YES","NO")</f>
        <v>YES</v>
      </c>
    </row>
    <row r="212" spans="2:38">
      <c r="B212" t="str">
        <f>'Final data_for_R_analysis_Wetse'!A138</f>
        <v>Wet</v>
      </c>
      <c r="C212" s="260">
        <f>'Final data_for_R_analysis_Wetse'!B138</f>
        <v>137</v>
      </c>
      <c r="D212" t="s">
        <v>3822</v>
      </c>
      <c r="E212" t="s">
        <v>22</v>
      </c>
      <c r="F212" s="381">
        <v>1</v>
      </c>
      <c r="G212" s="16">
        <f>'WetLitterbags placem_collection'!E139</f>
        <v>42762</v>
      </c>
      <c r="H212" t="str">
        <f>'Final data_for_R_analysis_Wetse'!K138</f>
        <v>G805</v>
      </c>
      <c r="I212" t="str">
        <f>'Final data_for_R_analysis_Wetse'!K358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31"/>
        <v>1.7312000000000001</v>
      </c>
      <c r="M212" s="194">
        <f>AVERAGE(Ashed_controlls!$K$2:$K$11)</f>
        <v>5.5147656768714146</v>
      </c>
      <c r="N212" s="194">
        <f t="shared" si="28"/>
        <v>1.6357283766020021</v>
      </c>
      <c r="O212" s="194">
        <f t="shared" si="32"/>
        <v>1.8851999999999998</v>
      </c>
      <c r="P212" s="194">
        <f>AVERAGE(Ashed_controlls!$K$12:$K$14)</f>
        <v>2.2816647271287041</v>
      </c>
      <c r="Q212" s="194">
        <f t="shared" si="33"/>
        <v>1.8421860565641694</v>
      </c>
      <c r="R212" s="16">
        <f>IF('WetLitterbags placem_collection'!G139="","",'WetLitterbags placem_collection'!G139)</f>
        <v>42816</v>
      </c>
      <c r="S212" s="194">
        <f>IFERROR(INDEX('Both teabags AfterWet'!$C$3:$C$2000,MATCH(H212,'Both teabags AfterWet'!$A$3:$A$2000,0)),"")</f>
        <v>1.5740000000000001</v>
      </c>
      <c r="T212" s="194">
        <f>IFERROR(INDEX('Both teabags AfterWet'!$C$3:$C$2000,MATCH(I212,'Both teabags AfterWet'!$A$3:$A$2000,0)),"")</f>
        <v>1.571</v>
      </c>
      <c r="U212" s="194">
        <f t="shared" si="34"/>
        <v>1.4234</v>
      </c>
      <c r="V212" s="194">
        <f t="shared" si="35"/>
        <v>1.4203999999999999</v>
      </c>
      <c r="W212" s="194">
        <f>IFERROR(INDEX('Ashed teabags wet'!$K$2:$K$2000,MATCH(H212,'Ashed teabags wet'!$A$2:$A$2000,0)),"")</f>
        <v>15.662650602409292</v>
      </c>
      <c r="X212" s="237">
        <f>IFERROR(INDEX('Ashed teabags wet'!$K$2:$K$2000,MATCH(I212,'Ashed teabags wet'!$A$2:$A$2000,0)),"")</f>
        <v>7.897334649555618</v>
      </c>
      <c r="Y212" s="194">
        <f t="shared" si="40"/>
        <v>1.200457831325306</v>
      </c>
      <c r="Z212" s="194">
        <f t="shared" si="40"/>
        <v>1.3082262586377118</v>
      </c>
      <c r="AA212" s="194">
        <f t="shared" si="36"/>
        <v>0.26610197114811318</v>
      </c>
      <c r="AB212" s="194">
        <f t="shared" si="37"/>
        <v>0.17445164854365619</v>
      </c>
      <c r="AC212" s="194">
        <f t="shared" si="29"/>
        <v>0.71014882236035526</v>
      </c>
      <c r="AD212">
        <f t="shared" si="30"/>
        <v>54</v>
      </c>
      <c r="AE212" s="194">
        <f t="shared" si="38"/>
        <v>0.6839644048122171</v>
      </c>
      <c r="AF212" s="194" t="str">
        <f t="shared" si="39"/>
        <v/>
      </c>
      <c r="AG212" s="252" t="str">
        <f>IF(ISNUMBER(SEARCH("C",'WetLitterbags placem_collection'!$X139)),"YES","NO")</f>
        <v>NO</v>
      </c>
      <c r="AH212" s="252" t="str">
        <f>IF(ISNUMBER(SEARCH("H", 'WetLitterbags placem_collection'!$X139)),"YES","NO")</f>
        <v>NO</v>
      </c>
      <c r="AI212" s="252" t="str">
        <f>IF(ISNUMBER(SEARCH("R", 'WetLitterbags placem_collection'!$X139)),"YES","NO")</f>
        <v>NO</v>
      </c>
      <c r="AJ212" s="252" t="str">
        <f>IF(ISNUMBER(SEARCH("C", 'WetLitterbags placem_collection'!$V139)),"YES","NO")</f>
        <v>NO</v>
      </c>
      <c r="AK212" s="252" t="str">
        <f>IF(ISNUMBER(SEARCH("H", 'WetLitterbags placem_collection'!$V139)),"YES","NO")</f>
        <v>NO</v>
      </c>
      <c r="AL212" s="252" t="str">
        <f>IF(ISNUMBER(SEARCH("R", 'WetLitterbags placem_collection'!$V139)),"YES","NO")</f>
        <v>YES</v>
      </c>
    </row>
    <row r="213" spans="2:38">
      <c r="B213" t="str">
        <f>'Final data_for_R_analysis_Wetse'!A139</f>
        <v>Wet</v>
      </c>
      <c r="C213" s="260">
        <f>'Final data_for_R_analysis_Wetse'!B139</f>
        <v>138</v>
      </c>
      <c r="D213" t="s">
        <v>3822</v>
      </c>
      <c r="E213" t="s">
        <v>22</v>
      </c>
      <c r="F213" s="381">
        <v>2</v>
      </c>
      <c r="G213" s="16">
        <f>'WetLitterbags placem_collection'!E140</f>
        <v>42762</v>
      </c>
      <c r="H213" t="str">
        <f>'Final data_for_R_analysis_Wetse'!K139</f>
        <v>G815</v>
      </c>
      <c r="I213" t="str">
        <f>'Final data_for_R_analysis_Wetse'!K359</f>
        <v>R426</v>
      </c>
      <c r="J213">
        <f>IFERROR(INDEX('Green_rooibos initial weight'!$C$5:$C$2000,MATCH(H213, 'Green_rooibos initial weight'!$A$5:$A$2000,0)),"")</f>
        <v>1.998</v>
      </c>
      <c r="K213">
        <f>IFERROR(INDEX('Green_rooibos initial weight'!$C$5:$C$2000,MATCH(I213, 'Green_rooibos initial weight'!$A$5:$A$2000,0)),"")</f>
        <v>2.153</v>
      </c>
      <c r="L213" s="194">
        <f t="shared" si="31"/>
        <v>1.7482</v>
      </c>
      <c r="M213" s="194">
        <f>AVERAGE(Ashed_controlls!$K$2:$K$11)</f>
        <v>5.5147656768714146</v>
      </c>
      <c r="N213" s="194">
        <f t="shared" si="28"/>
        <v>1.6517908664369338</v>
      </c>
      <c r="O213" s="194">
        <f t="shared" si="32"/>
        <v>1.9032</v>
      </c>
      <c r="P213" s="194">
        <f>AVERAGE(Ashed_controlls!$K$12:$K$14)</f>
        <v>2.2816647271287041</v>
      </c>
      <c r="Q213" s="194">
        <f t="shared" si="33"/>
        <v>1.8597753569132864</v>
      </c>
      <c r="R213" s="16">
        <f>IF('WetLitterbags placem_collection'!G140="","",'WetLitterbags placem_collection'!G140)</f>
        <v>42816</v>
      </c>
      <c r="S213" s="194">
        <f>IFERROR(INDEX('Both teabags AfterWet'!$C$3:$C$2000,MATCH(H213,'Both teabags AfterWet'!$A$3:$A$2000,0)),"")</f>
        <v>0.64300000000000002</v>
      </c>
      <c r="T213" s="194">
        <f>IFERROR(INDEX('Both teabags AfterWet'!$C$3:$C$2000,MATCH(I213,'Both teabags AfterWet'!$A$3:$A$2000,0)),"")</f>
        <v>1.613</v>
      </c>
      <c r="U213" s="194">
        <f t="shared" si="34"/>
        <v>0.4924</v>
      </c>
      <c r="V213" s="194">
        <f t="shared" si="35"/>
        <v>1.4623999999999999</v>
      </c>
      <c r="W213" s="194">
        <f>IFERROR(INDEX('Ashed teabags wet'!$K$2:$K$2000,MATCH(H213,'Ashed teabags wet'!$A$2:$A$2000,0)),"")</f>
        <v>14.392059553350164</v>
      </c>
      <c r="X213" s="237">
        <f>IFERROR(INDEX('Ashed teabags wet'!$K$2:$K$2000,MATCH(I213,'Ashed teabags wet'!$A$2:$A$2000,0)),"")</f>
        <v>4.7996041563577378</v>
      </c>
      <c r="Y213" s="194">
        <f t="shared" si="40"/>
        <v>0.42153349875930379</v>
      </c>
      <c r="Z213" s="194">
        <f t="shared" si="40"/>
        <v>1.3922105888174243</v>
      </c>
      <c r="AA213" s="194">
        <f t="shared" si="36"/>
        <v>0.74480213728957678</v>
      </c>
      <c r="AB213" s="194">
        <f t="shared" si="37"/>
        <v>0.48827883584779858</v>
      </c>
      <c r="AC213" s="194">
        <f t="shared" si="29"/>
        <v>0.74859072825231399</v>
      </c>
      <c r="AD213">
        <f t="shared" si="30"/>
        <v>54</v>
      </c>
      <c r="AE213" s="194">
        <f t="shared" si="38"/>
        <v>0.11543689158007508</v>
      </c>
      <c r="AF213" s="194">
        <f t="shared" si="39"/>
        <v>1.3395870378251826E-2</v>
      </c>
      <c r="AG213" s="252" t="str">
        <f>IF(ISNUMBER(SEARCH("C",'WetLitterbags placem_collection'!$X140)),"YES","NO")</f>
        <v>NO</v>
      </c>
      <c r="AH213" s="252" t="str">
        <f>IF(ISNUMBER(SEARCH("H", 'WetLitterbags placem_collection'!$X140)),"YES","NO")</f>
        <v>NO</v>
      </c>
      <c r="AI213" s="252" t="str">
        <f>IF(ISNUMBER(SEARCH("R", 'WetLitterbags placem_collection'!$X140)),"YES","NO")</f>
        <v>YES</v>
      </c>
      <c r="AJ213" s="252" t="str">
        <f>IF(ISNUMBER(SEARCH("C", 'WetLitterbags placem_collection'!$V140)),"YES","NO")</f>
        <v>NO</v>
      </c>
      <c r="AK213" s="252" t="str">
        <f>IF(ISNUMBER(SEARCH("H", 'WetLitterbags placem_collection'!$V140)),"YES","NO")</f>
        <v>NO</v>
      </c>
      <c r="AL213" s="252" t="str">
        <f>IF(ISNUMBER(SEARCH("R", 'WetLitterbags placem_collection'!$V140)),"YES","NO")</f>
        <v>YES</v>
      </c>
    </row>
    <row r="214" spans="2:38">
      <c r="B214" t="str">
        <f>'Final data_for_R_analysis_Wetse'!A140</f>
        <v>Wet</v>
      </c>
      <c r="C214" s="260">
        <f>'Final data_for_R_analysis_Wetse'!B140</f>
        <v>139</v>
      </c>
      <c r="D214" t="s">
        <v>3822</v>
      </c>
      <c r="E214" t="s">
        <v>22</v>
      </c>
      <c r="F214" s="381">
        <v>3</v>
      </c>
      <c r="G214" s="16">
        <f>'WetLitterbags placem_collection'!E141</f>
        <v>42762</v>
      </c>
      <c r="H214" t="str">
        <f>'Final data_for_R_analysis_Wetse'!K140</f>
        <v>G798</v>
      </c>
      <c r="I214" t="str">
        <f>'Final data_for_R_analysis_Wetse'!K360</f>
        <v>R563</v>
      </c>
      <c r="J214">
        <f>IFERROR(INDEX('Green_rooibos initial weight'!$C$5:$C$2000,MATCH(H214, 'Green_rooibos initial weight'!$A$5:$A$2000,0)),"")</f>
        <v>2.089</v>
      </c>
      <c r="K214">
        <f>IFERROR(INDEX('Green_rooibos initial weight'!$C$5:$C$2000,MATCH(I214, 'Green_rooibos initial weight'!$A$5:$A$2000,0)),"")</f>
        <v>2.1150000000000002</v>
      </c>
      <c r="L214" s="194">
        <f t="shared" si="31"/>
        <v>1.8391999999999999</v>
      </c>
      <c r="M214" s="194">
        <f>AVERAGE(Ashed_controlls!$K$2:$K$11)</f>
        <v>5.5147656768714146</v>
      </c>
      <c r="N214" s="194">
        <f t="shared" si="28"/>
        <v>1.7377724296709809</v>
      </c>
      <c r="O214" s="194">
        <f t="shared" si="32"/>
        <v>1.8652000000000002</v>
      </c>
      <c r="P214" s="194">
        <f>AVERAGE(Ashed_controlls!$K$12:$K$14)</f>
        <v>2.2816647271287041</v>
      </c>
      <c r="Q214" s="194">
        <f t="shared" si="33"/>
        <v>1.8226423895095956</v>
      </c>
      <c r="R214" s="16">
        <f>IF('WetLitterbags placem_collection'!G141="","",'WetLitterbags placem_collection'!G141)</f>
        <v>42816</v>
      </c>
      <c r="S214" s="194">
        <f>IFERROR(INDEX('Both teabags AfterWet'!$C$3:$C$2000,MATCH(H214,'Both teabags AfterWet'!$A$3:$A$2000,0)),"")</f>
        <v>0.73499999999999999</v>
      </c>
      <c r="T214" s="194">
        <f>IFERROR(INDEX('Both teabags AfterWet'!$C$3:$C$2000,MATCH(I214,'Both teabags AfterWet'!$A$3:$A$2000,0)),"")</f>
        <v>2.5009999999999999</v>
      </c>
      <c r="U214" s="194">
        <f t="shared" si="34"/>
        <v>0.58440000000000003</v>
      </c>
      <c r="V214" s="194">
        <f t="shared" si="35"/>
        <v>2.3504</v>
      </c>
      <c r="W214" s="194">
        <f>IFERROR(INDEX('Ashed teabags wet'!$K$2:$K$2000,MATCH(H214,'Ashed teabags wet'!$A$2:$A$2000,0)),"")</f>
        <v>19.704433497536826</v>
      </c>
      <c r="X214" s="237">
        <f>IFERROR(INDEX('Ashed teabags wet'!$K$2:$K$2000,MATCH(I214,'Ashed teabags wet'!$A$2:$A$2000,0)),"")</f>
        <v>90.192212912765001</v>
      </c>
      <c r="Y214" s="194">
        <f t="shared" si="40"/>
        <v>0.46924729064039483</v>
      </c>
      <c r="Z214" s="194">
        <f t="shared" si="40"/>
        <v>0.23052222769837138</v>
      </c>
      <c r="AA214" s="194">
        <f t="shared" si="36"/>
        <v>0.72997195568971063</v>
      </c>
      <c r="AB214" s="194">
        <f t="shared" si="37"/>
        <v>0.47855643650916901</v>
      </c>
      <c r="AC214" s="194">
        <f t="shared" si="29"/>
        <v>0.12647693756337811</v>
      </c>
      <c r="AD214">
        <f t="shared" si="30"/>
        <v>54</v>
      </c>
      <c r="AE214" s="194">
        <f t="shared" si="38"/>
        <v>0.13304993386020114</v>
      </c>
      <c r="AF214" s="194" t="str">
        <f t="shared" si="39"/>
        <v/>
      </c>
      <c r="AG214" s="252" t="str">
        <f>IF(ISNUMBER(SEARCH("C",'WetLitterbags placem_collection'!$X141)),"YES","NO")</f>
        <v>NO</v>
      </c>
      <c r="AH214" s="252" t="str">
        <f>IF(ISNUMBER(SEARCH("H", 'WetLitterbags placem_collection'!$X141)),"YES","NO")</f>
        <v>NO</v>
      </c>
      <c r="AI214" s="252" t="str">
        <f>IF(ISNUMBER(SEARCH("R", 'WetLitterbags placem_collection'!$X141)),"YES","NO")</f>
        <v>YES</v>
      </c>
      <c r="AJ214" s="252" t="str">
        <f>IF(ISNUMBER(SEARCH("C", 'WetLitterbags placem_collection'!$V141)),"YES","NO")</f>
        <v>NO</v>
      </c>
      <c r="AK214" s="252" t="str">
        <f>IF(ISNUMBER(SEARCH("H", 'WetLitterbags placem_collection'!$V141)),"YES","NO")</f>
        <v>NO</v>
      </c>
      <c r="AL214" s="252" t="str">
        <f>IF(ISNUMBER(SEARCH("R", 'WetLitterbags placem_collection'!$V141)),"YES","NO")</f>
        <v>NO</v>
      </c>
    </row>
    <row r="215" spans="2:38">
      <c r="B215" t="str">
        <f>'Final data_for_R_analysis_Wetse'!A141</f>
        <v>Wet</v>
      </c>
      <c r="C215" s="260">
        <f>'Final data_for_R_analysis_Wetse'!B141</f>
        <v>140</v>
      </c>
      <c r="D215" t="s">
        <v>3822</v>
      </c>
      <c r="E215" t="s">
        <v>22</v>
      </c>
      <c r="F215" s="382">
        <v>4</v>
      </c>
      <c r="G215" s="16">
        <f>'WetLitterbags placem_collection'!E142</f>
        <v>42762</v>
      </c>
      <c r="H215" t="str">
        <f>'Final data_for_R_analysis_Wetse'!K141</f>
        <v>G787</v>
      </c>
      <c r="I215" t="str">
        <f>'Final data_for_R_analysis_Wetse'!K361</f>
        <v>R535</v>
      </c>
      <c r="J215">
        <f>IFERROR(INDEX('Green_rooibos initial weight'!$C$5:$C$2000,MATCH(H215, 'Green_rooibos initial weight'!$A$5:$A$2000,0)),"")</f>
        <v>2.11</v>
      </c>
      <c r="K215">
        <f>IFERROR(INDEX('Green_rooibos initial weight'!$C$5:$C$2000,MATCH(I215, 'Green_rooibos initial weight'!$A$5:$A$2000,0)),"")</f>
        <v>2.1259999999999999</v>
      </c>
      <c r="L215" s="194">
        <f t="shared" si="31"/>
        <v>1.8601999999999999</v>
      </c>
      <c r="M215" s="194">
        <f>AVERAGE(Ashed_controlls!$K$2:$K$11)</f>
        <v>5.5147656768714146</v>
      </c>
      <c r="N215" s="194">
        <f t="shared" si="28"/>
        <v>1.7576143288788377</v>
      </c>
      <c r="O215" s="194">
        <f t="shared" si="32"/>
        <v>1.8761999999999999</v>
      </c>
      <c r="P215" s="194">
        <f>AVERAGE(Ashed_controlls!$K$12:$K$14)</f>
        <v>2.2816647271287041</v>
      </c>
      <c r="Q215" s="194">
        <f t="shared" si="33"/>
        <v>1.8333914063896111</v>
      </c>
      <c r="R215" s="16">
        <f>IF('WetLitterbags placem_collection'!G142="","",'WetLitterbags placem_collection'!G142)</f>
        <v>42816</v>
      </c>
      <c r="S215" s="194">
        <f>IFERROR(INDEX('Both teabags AfterWet'!$C$3:$C$2000,MATCH(H215,'Both teabags AfterWet'!$A$3:$A$2000,0)),"")</f>
        <v>0.67869999999999997</v>
      </c>
      <c r="T215" s="194">
        <f>IFERROR(INDEX('Both teabags AfterWet'!$C$3:$C$2000,MATCH(I215,'Both teabags AfterWet'!$A$3:$A$2000,0)),"")</f>
        <v>1.5517000000000001</v>
      </c>
      <c r="U215" s="194">
        <f t="shared" si="34"/>
        <v>0.52810000000000001</v>
      </c>
      <c r="V215" s="194">
        <f t="shared" si="35"/>
        <v>1.4011</v>
      </c>
      <c r="W215" s="194">
        <f>IFERROR(INDEX('Ashed teabags wet'!$K$2:$K$2000,MATCH(H215,'Ashed teabags wet'!$A$2:$A$2000,0)),"")</f>
        <v>15.0602409638563</v>
      </c>
      <c r="X215" s="237">
        <f>IFERROR(INDEX('Ashed teabags wet'!$K$2:$K$2000,MATCH(I215,'Ashed teabags wet'!$A$2:$A$2000,0)),"")</f>
        <v>6.5646594274426793</v>
      </c>
      <c r="Y215" s="194">
        <f t="shared" si="40"/>
        <v>0.4485668674698749</v>
      </c>
      <c r="Z215" s="194">
        <f t="shared" si="40"/>
        <v>1.3091225567621005</v>
      </c>
      <c r="AA215" s="194">
        <f t="shared" si="36"/>
        <v>0.74478652108166954</v>
      </c>
      <c r="AB215" s="194">
        <f t="shared" si="37"/>
        <v>0.48826859814380241</v>
      </c>
      <c r="AC215" s="194">
        <f t="shared" si="29"/>
        <v>0.71404423092615987</v>
      </c>
      <c r="AD215">
        <f t="shared" si="30"/>
        <v>54</v>
      </c>
      <c r="AE215" s="194">
        <f t="shared" si="38"/>
        <v>0.11545543814528558</v>
      </c>
      <c r="AF215" s="194">
        <f t="shared" si="39"/>
        <v>1.6315750041474775E-2</v>
      </c>
      <c r="AG215" s="252" t="str">
        <f>IF(ISNUMBER(SEARCH("C",'WetLitterbags placem_collection'!$X142)),"YES","NO")</f>
        <v>NO</v>
      </c>
      <c r="AH215" s="252" t="str">
        <f>IF(ISNUMBER(SEARCH("H", 'WetLitterbags placem_collection'!$X142)),"YES","NO")</f>
        <v>NO</v>
      </c>
      <c r="AI215" s="252" t="str">
        <f>IF(ISNUMBER(SEARCH("R", 'WetLitterbags placem_collection'!$X142)),"YES","NO")</f>
        <v>NO</v>
      </c>
      <c r="AJ215" s="252" t="str">
        <f>IF(ISNUMBER(SEARCH("C", 'WetLitterbags placem_collection'!$V142)),"YES","NO")</f>
        <v>NO</v>
      </c>
      <c r="AK215" s="252" t="str">
        <f>IF(ISNUMBER(SEARCH("H", 'WetLitterbags placem_collection'!$V142)),"YES","NO")</f>
        <v>NO</v>
      </c>
      <c r="AL215" s="252" t="str">
        <f>IF(ISNUMBER(SEARCH("R", 'WetLitterbags placem_collection'!$V142)),"YES","NO")</f>
        <v>NO</v>
      </c>
    </row>
    <row r="216" spans="2:38">
      <c r="B216" t="str">
        <f>'Final data_for_R_analysis_Wetse'!A142</f>
        <v>Wet</v>
      </c>
      <c r="C216" s="260">
        <f>'Final data_for_R_analysis_Wetse'!B142</f>
        <v>141</v>
      </c>
      <c r="D216" t="s">
        <v>3822</v>
      </c>
      <c r="E216" t="s">
        <v>22</v>
      </c>
      <c r="F216" s="382">
        <v>5</v>
      </c>
      <c r="G216" s="16">
        <f>'WetLitterbags placem_collection'!E143</f>
        <v>42762</v>
      </c>
      <c r="H216" t="str">
        <f>'Final data_for_R_analysis_Wetse'!K142</f>
        <v>G900</v>
      </c>
      <c r="I216" t="str">
        <f>'Final data_for_R_analysis_Wetse'!K362</f>
        <v>R581</v>
      </c>
      <c r="J216">
        <f>IFERROR(INDEX('Green_rooibos initial weight'!$C$5:$C$2000,MATCH(H216, 'Green_rooibos initial weight'!$A$5:$A$2000,0)),"")</f>
        <v>2.0910000000000002</v>
      </c>
      <c r="K216">
        <f>IFERROR(INDEX('Green_rooibos initial weight'!$C$5:$C$2000,MATCH(I216, 'Green_rooibos initial weight'!$A$5:$A$2000,0)),"")</f>
        <v>2.069</v>
      </c>
      <c r="L216" s="194">
        <f t="shared" si="31"/>
        <v>1.8412000000000002</v>
      </c>
      <c r="M216" s="194">
        <f>AVERAGE(Ashed_controlls!$K$2:$K$11)</f>
        <v>5.5147656768714146</v>
      </c>
      <c r="N216" s="194">
        <f t="shared" si="28"/>
        <v>1.7396621343574437</v>
      </c>
      <c r="O216" s="194">
        <f t="shared" si="32"/>
        <v>1.8191999999999999</v>
      </c>
      <c r="P216" s="194">
        <f>AVERAGE(Ashed_controlls!$K$12:$K$14)</f>
        <v>2.2816647271287041</v>
      </c>
      <c r="Q216" s="194">
        <f t="shared" si="33"/>
        <v>1.7776919552840746</v>
      </c>
      <c r="R216" s="16">
        <f>IF('WetLitterbags placem_collection'!G143="","",'WetLitterbags placem_collection'!G143)</f>
        <v>42816</v>
      </c>
      <c r="S216" s="194">
        <f>IFERROR(INDEX('Both teabags AfterWet'!$C$3:$C$2000,MATCH(H216,'Both teabags AfterWet'!$A$3:$A$2000,0)),"")</f>
        <v>1.5369999999999999</v>
      </c>
      <c r="T216" s="194">
        <f>IFERROR(INDEX('Both teabags AfterWet'!$C$3:$C$2000,MATCH(I216,'Both teabags AfterWet'!$A$3:$A$2000,0)),"")</f>
        <v>1.2849999999999999</v>
      </c>
      <c r="U216" s="194">
        <f t="shared" si="34"/>
        <v>1.3863999999999999</v>
      </c>
      <c r="V216" s="194">
        <f t="shared" si="35"/>
        <v>1.1343999999999999</v>
      </c>
      <c r="W216" s="194">
        <f>IFERROR(INDEX('Ashed teabags wet'!$K$2:$K$2000,MATCH(H216,'Ashed teabags wet'!$A$2:$A$2000,0)),"")</f>
        <v>34.652509652509345</v>
      </c>
      <c r="X216" s="237">
        <f>IFERROR(INDEX('Ashed teabags wet'!$K$2:$K$2000,MATCH(I216,'Ashed teabags wet'!$A$2:$A$2000,0)),"")</f>
        <v>87.823960880195301</v>
      </c>
      <c r="Y216" s="194">
        <f t="shared" si="40"/>
        <v>0.90597760617761036</v>
      </c>
      <c r="Z216" s="194">
        <f t="shared" si="40"/>
        <v>0.13812498777506443</v>
      </c>
      <c r="AA216" s="194">
        <f t="shared" si="36"/>
        <v>0.4792220924482905</v>
      </c>
      <c r="AB216" s="194">
        <f t="shared" si="37"/>
        <v>0.31416935276895058</v>
      </c>
      <c r="AC216" s="194">
        <f t="shared" si="29"/>
        <v>7.769905655729431E-2</v>
      </c>
      <c r="AD216">
        <f t="shared" si="30"/>
        <v>54</v>
      </c>
      <c r="AE216" s="194">
        <f t="shared" si="38"/>
        <v>0.43085262179537942</v>
      </c>
      <c r="AF216" s="194" t="str">
        <f t="shared" si="39"/>
        <v/>
      </c>
      <c r="AG216" s="252" t="str">
        <f>IF(ISNUMBER(SEARCH("C",'WetLitterbags placem_collection'!$X143)),"YES","NO")</f>
        <v>NO</v>
      </c>
      <c r="AH216" s="252" t="str">
        <f>IF(ISNUMBER(SEARCH("H", 'WetLitterbags placem_collection'!$X143)),"YES","NO")</f>
        <v>NO</v>
      </c>
      <c r="AI216" s="252" t="str">
        <f>IF(ISNUMBER(SEARCH("R", 'WetLitterbags placem_collection'!$X143)),"YES","NO")</f>
        <v>NO</v>
      </c>
      <c r="AJ216" s="252" t="str">
        <f>IF(ISNUMBER(SEARCH("C", 'WetLitterbags placem_collection'!$V143)),"YES","NO")</f>
        <v>NO</v>
      </c>
      <c r="AK216" s="252" t="str">
        <f>IF(ISNUMBER(SEARCH("H", 'WetLitterbags placem_collection'!$V143)),"YES","NO")</f>
        <v>YES</v>
      </c>
      <c r="AL216" s="252" t="str">
        <f>IF(ISNUMBER(SEARCH("R", 'WetLitterbags placem_collection'!$V143)),"YES","NO")</f>
        <v>YES</v>
      </c>
    </row>
    <row r="217" spans="2:38">
      <c r="B217" t="str">
        <f>'Final data_for_R_analysis_Wetse'!A143</f>
        <v>Wet</v>
      </c>
      <c r="C217" s="260">
        <f>'Final data_for_R_analysis_Wetse'!B143</f>
        <v>142</v>
      </c>
      <c r="D217" t="s">
        <v>3822</v>
      </c>
      <c r="E217" t="s">
        <v>22</v>
      </c>
      <c r="F217" s="382">
        <v>6</v>
      </c>
      <c r="G217" s="16">
        <f>'WetLitterbags placem_collection'!E144</f>
        <v>42762</v>
      </c>
      <c r="H217" t="str">
        <f>'Final data_for_R_analysis_Wetse'!K143</f>
        <v>G817</v>
      </c>
      <c r="I217" t="str">
        <f>'Final data_for_R_analysis_Wetse'!K363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31"/>
        <v>1.7272000000000001</v>
      </c>
      <c r="M217" s="194">
        <f>AVERAGE(Ashed_controlls!$K$2:$K$11)</f>
        <v>5.5147656768714146</v>
      </c>
      <c r="N217" s="194">
        <f t="shared" si="28"/>
        <v>1.631948967229077</v>
      </c>
      <c r="O217" s="194">
        <f t="shared" si="32"/>
        <v>1.9161999999999999</v>
      </c>
      <c r="P217" s="194">
        <f>AVERAGE(Ashed_controlls!$K$12:$K$14)</f>
        <v>2.2816647271287041</v>
      </c>
      <c r="Q217" s="194">
        <f t="shared" si="33"/>
        <v>1.8724787404987597</v>
      </c>
      <c r="R217" s="16">
        <f>IF('WetLitterbags placem_collection'!G144="","",'WetLitterbags placem_collection'!G144)</f>
        <v>42816</v>
      </c>
      <c r="S217" s="194">
        <f>IFERROR(INDEX('Both teabags AfterWet'!$C$3:$C$2000,MATCH(H217,'Both teabags AfterWet'!$A$3:$A$2000,0)),"")</f>
        <v>0.99069999999999991</v>
      </c>
      <c r="T217" s="194">
        <f>IFERROR(INDEX('Both teabags AfterWet'!$C$3:$C$2000,MATCH(I217,'Both teabags AfterWet'!$A$3:$A$2000,0)),"")</f>
        <v>0.14299999999999999</v>
      </c>
      <c r="U217" s="194">
        <f t="shared" si="34"/>
        <v>0.84009999999999985</v>
      </c>
      <c r="V217" s="194">
        <f t="shared" si="35"/>
        <v>-7.6000000000000234E-3</v>
      </c>
      <c r="W217" s="194">
        <f>IFERROR(INDEX('Ashed teabags wet'!$K$2:$K$2000,MATCH(H217,'Ashed teabags wet'!$A$2:$A$2000,0)),"")</f>
        <v>45.987198424421408</v>
      </c>
      <c r="X217" s="237">
        <f>IFERROR(INDEX('Ashed teabags wet'!$K$2:$K$2000,MATCH(I217,'Ashed teabags wet'!$A$2:$A$2000,0)),"")</f>
        <v>0</v>
      </c>
      <c r="Y217" s="194">
        <f t="shared" si="40"/>
        <v>0.4537615460364357</v>
      </c>
      <c r="Z217" s="194">
        <f t="shared" si="40"/>
        <v>-7.6000000000000234E-3</v>
      </c>
      <c r="AA217" s="194">
        <f t="shared" si="36"/>
        <v>0.72195114237739455</v>
      </c>
      <c r="AB217" s="194">
        <f t="shared" si="37"/>
        <v>0.47329813609539412</v>
      </c>
      <c r="AC217" s="194">
        <f t="shared" si="29"/>
        <v>-4.0587910749660429E-3</v>
      </c>
      <c r="AD217">
        <f t="shared" si="30"/>
        <v>54</v>
      </c>
      <c r="AE217" s="194">
        <f t="shared" si="38"/>
        <v>0.14257584040689475</v>
      </c>
      <c r="AF217" s="194" t="str">
        <f t="shared" si="39"/>
        <v/>
      </c>
      <c r="AG217" s="252" t="str">
        <f>IF(ISNUMBER(SEARCH("C",'WetLitterbags placem_collection'!$X144)),"YES","NO")</f>
        <v>NO</v>
      </c>
      <c r="AH217" s="252" t="str">
        <f>IF(ISNUMBER(SEARCH("H", 'WetLitterbags placem_collection'!$X144)),"YES","NO")</f>
        <v>NO</v>
      </c>
      <c r="AI217" s="252" t="str">
        <f>IF(ISNUMBER(SEARCH("R", 'WetLitterbags placem_collection'!$X144)),"YES","NO")</f>
        <v>NO</v>
      </c>
      <c r="AJ217" s="252" t="str">
        <f>IF(ISNUMBER(SEARCH("C", 'WetLitterbags placem_collection'!$V144)),"YES","NO")</f>
        <v>NO</v>
      </c>
      <c r="AK217" s="252" t="str">
        <f>IF(ISNUMBER(SEARCH("H", 'WetLitterbags placem_collection'!$V144)),"YES","NO")</f>
        <v>YES</v>
      </c>
      <c r="AL217" s="252" t="str">
        <f>IF(ISNUMBER(SEARCH("R", 'WetLitterbags placem_collection'!$V144)),"YES","NO")</f>
        <v>NO</v>
      </c>
    </row>
    <row r="218" spans="2:38">
      <c r="B218" t="str">
        <f>'Final data_for_R_analysis_Wetse'!A144</f>
        <v>Wet</v>
      </c>
      <c r="C218" s="260">
        <f>'Final data_for_R_analysis_Wetse'!B144</f>
        <v>143</v>
      </c>
      <c r="D218" t="s">
        <v>3822</v>
      </c>
      <c r="E218" t="s">
        <v>22</v>
      </c>
      <c r="F218" s="382">
        <v>7</v>
      </c>
      <c r="G218" s="16">
        <f>'WetLitterbags placem_collection'!E145</f>
        <v>42762</v>
      </c>
      <c r="H218" t="str">
        <f>'Final data_for_R_analysis_Wetse'!K144</f>
        <v>G836</v>
      </c>
      <c r="I218" t="str">
        <f>'Final data_for_R_analysis_Wetse'!K364</f>
        <v>R456</v>
      </c>
      <c r="J218">
        <f>IFERROR(INDEX('Green_rooibos initial weight'!$C$5:$C$2000,MATCH(H218, 'Green_rooibos initial weight'!$A$5:$A$2000,0)),"")</f>
        <v>2.0419999999999998</v>
      </c>
      <c r="K218">
        <f>IFERROR(INDEX('Green_rooibos initial weight'!$C$5:$C$2000,MATCH(I218, 'Green_rooibos initial weight'!$A$5:$A$2000,0)),"")</f>
        <v>2.23</v>
      </c>
      <c r="L218" s="194">
        <f t="shared" si="31"/>
        <v>1.7921999999999998</v>
      </c>
      <c r="M218" s="194">
        <f>AVERAGE(Ashed_controlls!$K$2:$K$11)</f>
        <v>5.5147656768714146</v>
      </c>
      <c r="N218" s="194">
        <f t="shared" si="28"/>
        <v>1.6933643695391103</v>
      </c>
      <c r="O218" s="194">
        <f t="shared" si="32"/>
        <v>1.9802</v>
      </c>
      <c r="P218" s="194">
        <f>AVERAGE(Ashed_controlls!$K$12:$K$14)</f>
        <v>2.2816647271287041</v>
      </c>
      <c r="Q218" s="194">
        <f t="shared" si="33"/>
        <v>1.9350184750733974</v>
      </c>
      <c r="R218" s="16">
        <f>IF('WetLitterbags placem_collection'!G145="","",'WetLitterbags placem_collection'!G145)</f>
        <v>42816</v>
      </c>
      <c r="S218" s="194">
        <f>IFERROR(INDEX('Both teabags AfterWet'!$C$3:$C$2000,MATCH(H218,'Both teabags AfterWet'!$A$3:$A$2000,0)),"")</f>
        <v>0.60970000000000002</v>
      </c>
      <c r="T218" s="194">
        <f>IFERROR(INDEX('Both teabags AfterWet'!$C$3:$C$2000,MATCH(I218,'Both teabags AfterWet'!$A$3:$A$2000,0)),"")</f>
        <v>1.6178999999999999</v>
      </c>
      <c r="U218" s="194">
        <f t="shared" si="34"/>
        <v>0.45910000000000001</v>
      </c>
      <c r="V218" s="194">
        <f t="shared" si="35"/>
        <v>1.4672999999999998</v>
      </c>
      <c r="W218" s="194">
        <f>IFERROR(INDEX('Ashed teabags wet'!$K$2:$K$2000,MATCH(H218,'Ashed teabags wet'!$A$2:$A$2000,0)),"")</f>
        <v>13.060240963856003</v>
      </c>
      <c r="X218" s="237">
        <f>IFERROR(INDEX('Ashed teabags wet'!$K$2:$K$2000,MATCH(I218,'Ashed teabags wet'!$A$2:$A$2000,0)),"")</f>
        <v>1.7996108949419758</v>
      </c>
      <c r="Y218" s="194">
        <f t="shared" si="40"/>
        <v>0.39914043373493707</v>
      </c>
      <c r="Z218" s="194">
        <f t="shared" si="40"/>
        <v>1.4408943093385163</v>
      </c>
      <c r="AA218" s="194">
        <f t="shared" si="36"/>
        <v>0.76429146560844863</v>
      </c>
      <c r="AB218" s="194">
        <f t="shared" si="37"/>
        <v>0.50105568766729658</v>
      </c>
      <c r="AC218" s="194">
        <f t="shared" si="29"/>
        <v>0.74464111216502027</v>
      </c>
      <c r="AD218">
        <f t="shared" si="30"/>
        <v>54</v>
      </c>
      <c r="AE218" s="194">
        <f t="shared" si="38"/>
        <v>9.2290420892578773E-2</v>
      </c>
      <c r="AF218" s="194">
        <f t="shared" si="39"/>
        <v>1.3196648022028601E-2</v>
      </c>
      <c r="AG218" s="252" t="str">
        <f>IF(ISNUMBER(SEARCH("C",'WetLitterbags placem_collection'!$X145)),"YES","NO")</f>
        <v>NO</v>
      </c>
      <c r="AH218" s="252" t="str">
        <f>IF(ISNUMBER(SEARCH("H", 'WetLitterbags placem_collection'!$X145)),"YES","NO")</f>
        <v>NO</v>
      </c>
      <c r="AI218" s="252" t="str">
        <f>IF(ISNUMBER(SEARCH("R", 'WetLitterbags placem_collection'!$X145)),"YES","NO")</f>
        <v>YES</v>
      </c>
      <c r="AJ218" s="252" t="str">
        <f>IF(ISNUMBER(SEARCH("C", 'WetLitterbags placem_collection'!$V145)),"YES","NO")</f>
        <v>NO</v>
      </c>
      <c r="AK218" s="252" t="str">
        <f>IF(ISNUMBER(SEARCH("H", 'WetLitterbags placem_collection'!$V145)),"YES","NO")</f>
        <v>NO</v>
      </c>
      <c r="AL218" s="252" t="str">
        <f>IF(ISNUMBER(SEARCH("R", 'WetLitterbags placem_collection'!$V145)),"YES","NO")</f>
        <v>YES</v>
      </c>
    </row>
    <row r="219" spans="2:38">
      <c r="B219" t="str">
        <f>'Final data_for_R_analysis_Wetse'!A145</f>
        <v>Wet</v>
      </c>
      <c r="C219" s="260">
        <f>'Final data_for_R_analysis_Wetse'!B145</f>
        <v>144</v>
      </c>
      <c r="D219" t="s">
        <v>3822</v>
      </c>
      <c r="E219" t="s">
        <v>22</v>
      </c>
      <c r="F219" s="382">
        <v>8</v>
      </c>
      <c r="G219" s="16">
        <f>'WetLitterbags placem_collection'!E146</f>
        <v>42762</v>
      </c>
      <c r="H219" t="str">
        <f>'Final data_for_R_analysis_Wetse'!K145</f>
        <v>G784</v>
      </c>
      <c r="I219" t="str">
        <f>'Final data_for_R_analysis_Wetse'!K365</f>
        <v>R571</v>
      </c>
      <c r="J219">
        <f>IFERROR(INDEX('Green_rooibos initial weight'!$C$5:$C$2000,MATCH(H219, 'Green_rooibos initial weight'!$A$5:$A$2000,0)),"")</f>
        <v>2.1070000000000002</v>
      </c>
      <c r="K219">
        <f>IFERROR(INDEX('Green_rooibos initial weight'!$C$5:$C$2000,MATCH(I219, 'Green_rooibos initial weight'!$A$5:$A$2000,0)),"")</f>
        <v>2.117</v>
      </c>
      <c r="L219" s="194">
        <f t="shared" si="31"/>
        <v>1.8572000000000002</v>
      </c>
      <c r="M219" s="194">
        <f>AVERAGE(Ashed_controlls!$K$2:$K$11)</f>
        <v>5.5147656768714146</v>
      </c>
      <c r="N219" s="194">
        <f t="shared" si="28"/>
        <v>1.7547797718491442</v>
      </c>
      <c r="O219" s="194">
        <f t="shared" si="32"/>
        <v>1.8672</v>
      </c>
      <c r="P219" s="194">
        <f>AVERAGE(Ashed_controlls!$K$12:$K$14)</f>
        <v>2.2816647271287041</v>
      </c>
      <c r="Q219" s="194">
        <f t="shared" si="33"/>
        <v>1.8245967562150529</v>
      </c>
      <c r="R219" s="16">
        <f>IF('WetLitterbags placem_collection'!G146="","",'WetLitterbags placem_collection'!G146)</f>
        <v>42816</v>
      </c>
      <c r="S219" s="194">
        <f>IFERROR(INDEX('Both teabags AfterWet'!$C$3:$C$2000,MATCH(H219,'Both teabags AfterWet'!$A$3:$A$2000,0)),"")</f>
        <v>0.78500000000000003</v>
      </c>
      <c r="T219" s="194">
        <f>IFERROR(INDEX('Both teabags AfterWet'!$C$3:$C$2000,MATCH(I219,'Both teabags AfterWet'!$A$3:$A$2000,0)),"")</f>
        <v>1.365</v>
      </c>
      <c r="U219" s="194">
        <f t="shared" si="34"/>
        <v>0.63440000000000007</v>
      </c>
      <c r="V219" s="194">
        <f t="shared" si="35"/>
        <v>1.2143999999999999</v>
      </c>
      <c r="W219" s="194">
        <f>IFERROR(INDEX('Ashed teabags wet'!$K$2:$K$2000,MATCH(H219,'Ashed teabags wet'!$A$2:$A$2000,0)),"")</f>
        <v>26.404773744405041</v>
      </c>
      <c r="X219" s="237">
        <f>IFERROR(INDEX('Ashed teabags wet'!$K$2:$K$2000,MATCH(I219,'Ashed teabags wet'!$A$2:$A$2000,0)),"")</f>
        <v>77.783132530120469</v>
      </c>
      <c r="Y219" s="194">
        <f t="shared" si="40"/>
        <v>0.46688811536549446</v>
      </c>
      <c r="Z219" s="194">
        <f t="shared" si="40"/>
        <v>0.26980163855421702</v>
      </c>
      <c r="AA219" s="194">
        <f t="shared" si="36"/>
        <v>0.73393349817709652</v>
      </c>
      <c r="AB219" s="194">
        <f t="shared" si="37"/>
        <v>0.48115355224911799</v>
      </c>
      <c r="AC219" s="194">
        <f t="shared" si="29"/>
        <v>0.14786918678617739</v>
      </c>
      <c r="AD219">
        <f t="shared" si="30"/>
        <v>54</v>
      </c>
      <c r="AE219" s="194">
        <f t="shared" si="38"/>
        <v>0.12834501404145304</v>
      </c>
      <c r="AF219" s="194" t="str">
        <f t="shared" si="39"/>
        <v/>
      </c>
      <c r="AG219" s="252" t="str">
        <f>IF(ISNUMBER(SEARCH("C",'WetLitterbags placem_collection'!$X146)),"YES","NO")</f>
        <v>NO</v>
      </c>
      <c r="AH219" s="252" t="str">
        <f>IF(ISNUMBER(SEARCH("H", 'WetLitterbags placem_collection'!$X146)),"YES","NO")</f>
        <v>NO</v>
      </c>
      <c r="AI219" s="252" t="str">
        <f>IF(ISNUMBER(SEARCH("R", 'WetLitterbags placem_collection'!$X146)),"YES","NO")</f>
        <v>YES</v>
      </c>
      <c r="AJ219" s="252" t="str">
        <f>IF(ISNUMBER(SEARCH("C", 'WetLitterbags placem_collection'!$V146)),"YES","NO")</f>
        <v>NO</v>
      </c>
      <c r="AK219" s="252" t="str">
        <f>IF(ISNUMBER(SEARCH("H", 'WetLitterbags placem_collection'!$V146)),"YES","NO")</f>
        <v>NO</v>
      </c>
      <c r="AL219" s="252" t="str">
        <f>IF(ISNUMBER(SEARCH("R", 'WetLitterbags placem_collection'!$V146)),"YES","NO")</f>
        <v>YES</v>
      </c>
    </row>
    <row r="220" spans="2:38">
      <c r="B220" t="str">
        <f>'Final data_for_R_analysis_Wetse'!A146</f>
        <v>Wet</v>
      </c>
      <c r="C220" s="260">
        <f>'Final data_for_R_analysis_Wetse'!B146</f>
        <v>145</v>
      </c>
      <c r="D220" t="s">
        <v>3823</v>
      </c>
      <c r="E220" t="s">
        <v>22</v>
      </c>
      <c r="F220" s="381">
        <v>1</v>
      </c>
      <c r="G220" s="16">
        <f>'WetLitterbags placem_collection'!E147</f>
        <v>42762</v>
      </c>
      <c r="H220" t="str">
        <f>'Final data_for_R_analysis_Wetse'!K146</f>
        <v>G902</v>
      </c>
      <c r="I220" t="str">
        <f>'Final data_for_R_analysis_Wetse'!K366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31"/>
        <v>1.8252000000000002</v>
      </c>
      <c r="M220" s="194">
        <f>AVERAGE(Ashed_controlls!$K$2:$K$11)</f>
        <v>5.5147656768714146</v>
      </c>
      <c r="N220" s="194">
        <f t="shared" si="28"/>
        <v>1.7245444968657431</v>
      </c>
      <c r="O220" s="194">
        <f t="shared" si="32"/>
        <v>1.8052000000000001</v>
      </c>
      <c r="P220" s="194">
        <f>AVERAGE(Ashed_controlls!$K$12:$K$14)</f>
        <v>2.2816647271287041</v>
      </c>
      <c r="Q220" s="194">
        <f t="shared" si="33"/>
        <v>1.7640113883458728</v>
      </c>
      <c r="R220" s="16">
        <f>IF('WetLitterbags placem_collection'!G147="","",'WetLitterbags placem_collection'!G147)</f>
        <v>42815</v>
      </c>
      <c r="S220" s="194">
        <f>IFERROR(INDEX('Both teabags AfterWet'!$C$3:$C$2000,MATCH(H220,'Both teabags AfterWet'!$A$3:$A$2000,0)),"")</f>
        <v>0.79200000000000004</v>
      </c>
      <c r="T220" s="194">
        <f>IFERROR(INDEX('Both teabags AfterWet'!$C$3:$C$2000,MATCH(I220,'Both teabags AfterWet'!$A$3:$A$2000,0)),"")</f>
        <v>1.6830000000000001</v>
      </c>
      <c r="U220" s="194">
        <f t="shared" si="34"/>
        <v>0.64139999999999997</v>
      </c>
      <c r="V220" s="194">
        <f t="shared" si="35"/>
        <v>1.5324</v>
      </c>
      <c r="W220" s="194">
        <f>IFERROR(INDEX('Ashed teabags wet'!$K$2:$K$2000,MATCH(H220,'Ashed teabags wet'!$A$2:$A$2000,0)),"")</f>
        <v>20.158102766798436</v>
      </c>
      <c r="X220" s="237">
        <f>IFERROR(INDEX('Ashed teabags wet'!$K$2:$K$2000,MATCH(I220,'Ashed teabags wet'!$A$2:$A$2000,0)),"")</f>
        <v>8.5603112840463975</v>
      </c>
      <c r="Y220" s="194">
        <f t="shared" si="40"/>
        <v>0.51210592885375483</v>
      </c>
      <c r="Z220" s="194">
        <f t="shared" si="40"/>
        <v>1.4012217898832731</v>
      </c>
      <c r="AA220" s="194">
        <f t="shared" si="36"/>
        <v>0.70304858483821264</v>
      </c>
      <c r="AB220" s="194">
        <f t="shared" si="37"/>
        <v>0.46090596060652428</v>
      </c>
      <c r="AC220" s="194">
        <f t="shared" si="29"/>
        <v>0.7943382900703434</v>
      </c>
      <c r="AD220">
        <f t="shared" si="30"/>
        <v>53</v>
      </c>
      <c r="AE220" s="194">
        <f t="shared" si="38"/>
        <v>0.16502543368383293</v>
      </c>
      <c r="AF220" s="194">
        <f t="shared" si="39"/>
        <v>1.1150435842864397E-2</v>
      </c>
      <c r="AG220" s="252" t="str">
        <f>IF(ISNUMBER(SEARCH("C",'WetLitterbags placem_collection'!$X147)),"YES","NO")</f>
        <v>NO</v>
      </c>
      <c r="AH220" s="252" t="str">
        <f>IF(ISNUMBER(SEARCH("H", 'WetLitterbags placem_collection'!$X147)),"YES","NO")</f>
        <v>NO</v>
      </c>
      <c r="AI220" s="252" t="str">
        <f>IF(ISNUMBER(SEARCH("R", 'WetLitterbags placem_collection'!$X147)),"YES","NO")</f>
        <v>NO</v>
      </c>
      <c r="AJ220" s="252" t="str">
        <f>IF(ISNUMBER(SEARCH("C", 'WetLitterbags placem_collection'!$V147)),"YES","NO")</f>
        <v>NO</v>
      </c>
      <c r="AK220" s="252" t="str">
        <f>IF(ISNUMBER(SEARCH("H", 'WetLitterbags placem_collection'!$V147)),"YES","NO")</f>
        <v>NO</v>
      </c>
      <c r="AL220" s="252" t="str">
        <f>IF(ISNUMBER(SEARCH("R", 'WetLitterbags placem_collection'!$V147)),"YES","NO")</f>
        <v>YES</v>
      </c>
    </row>
    <row r="221" spans="2:38">
      <c r="B221" t="str">
        <f>'Final data_for_R_analysis_Wetse'!A147</f>
        <v>Wet</v>
      </c>
      <c r="C221" s="260">
        <f>'Final data_for_R_analysis_Wetse'!B147</f>
        <v>146</v>
      </c>
      <c r="D221" t="s">
        <v>3823</v>
      </c>
      <c r="E221" t="s">
        <v>22</v>
      </c>
      <c r="F221" s="381">
        <v>2</v>
      </c>
      <c r="G221" s="16">
        <f>'WetLitterbags placem_collection'!E148</f>
        <v>42762</v>
      </c>
      <c r="H221" t="str">
        <f>'Final data_for_R_analysis_Wetse'!K147</f>
        <v>G689</v>
      </c>
      <c r="I221" t="str">
        <f>'Final data_for_R_analysis_Wetse'!K367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31"/>
        <v>1.7841999999999998</v>
      </c>
      <c r="M221" s="194">
        <f>AVERAGE(Ashed_controlls!$K$2:$K$11)</f>
        <v>5.5147656768714146</v>
      </c>
      <c r="N221" s="194">
        <f t="shared" si="28"/>
        <v>1.6858055507932601</v>
      </c>
      <c r="O221" s="194">
        <f t="shared" si="32"/>
        <v>2.0021999999999998</v>
      </c>
      <c r="P221" s="194">
        <f>AVERAGE(Ashed_controlls!$K$12:$K$14)</f>
        <v>2.2816647271287041</v>
      </c>
      <c r="Q221" s="194">
        <f t="shared" si="33"/>
        <v>1.9565165088334289</v>
      </c>
      <c r="R221" s="16">
        <f>IF('WetLitterbags placem_collection'!G148="","",'WetLitterbags placem_collection'!G148)</f>
        <v>42815</v>
      </c>
      <c r="S221" s="194">
        <f>IFERROR(INDEX('Both teabags AfterWet'!$C$3:$C$2000,MATCH(H221,'Both teabags AfterWet'!$A$3:$A$2000,0)),"")</f>
        <v>0.52200000000000002</v>
      </c>
      <c r="T221" s="194">
        <f>IFERROR(INDEX('Both teabags AfterWet'!$C$3:$C$2000,MATCH(I221,'Both teabags AfterWet'!$A$3:$A$2000,0)),"")</f>
        <v>1.6579999999999999</v>
      </c>
      <c r="U221" s="194">
        <f t="shared" si="34"/>
        <v>0.37140000000000001</v>
      </c>
      <c r="V221" s="194">
        <f t="shared" si="35"/>
        <v>1.5073999999999999</v>
      </c>
      <c r="W221" s="194">
        <f>IFERROR(INDEX('Ashed teabags wet'!$K$2:$K$2000,MATCH(H221,'Ashed teabags wet'!$A$2:$A$2000,0)),"")</f>
        <v>14.092009685229803</v>
      </c>
      <c r="X221" s="237">
        <f>IFERROR(INDEX('Ashed teabags wet'!$K$2:$K$2000,MATCH(I221,'Ashed teabags wet'!$A$2:$A$2000,0)),"")</f>
        <v>4.0599323344614637</v>
      </c>
      <c r="Y221" s="194">
        <f t="shared" si="40"/>
        <v>0.31906227602905651</v>
      </c>
      <c r="Z221" s="194">
        <f t="shared" si="40"/>
        <v>1.4462005799903277</v>
      </c>
      <c r="AA221" s="194">
        <f t="shared" si="36"/>
        <v>0.81073601526645767</v>
      </c>
      <c r="AB221" s="194">
        <f t="shared" si="37"/>
        <v>0.53150389599416226</v>
      </c>
      <c r="AC221" s="194">
        <f t="shared" si="29"/>
        <v>0.73917116132724248</v>
      </c>
      <c r="AD221">
        <f t="shared" si="30"/>
        <v>53</v>
      </c>
      <c r="AE221" s="194">
        <f t="shared" si="38"/>
        <v>3.7130623198981416E-2</v>
      </c>
      <c r="AF221" s="194">
        <f t="shared" si="39"/>
        <v>1.2731914659862249E-2</v>
      </c>
      <c r="AG221" s="252" t="str">
        <f>IF(ISNUMBER(SEARCH("C",'WetLitterbags placem_collection'!$X148)),"YES","NO")</f>
        <v>NO</v>
      </c>
      <c r="AH221" s="252" t="str">
        <f>IF(ISNUMBER(SEARCH("H", 'WetLitterbags placem_collection'!$X148)),"YES","NO")</f>
        <v>NO</v>
      </c>
      <c r="AI221" s="252" t="str">
        <f>IF(ISNUMBER(SEARCH("R", 'WetLitterbags placem_collection'!$X148)),"YES","NO")</f>
        <v>YES</v>
      </c>
      <c r="AJ221" s="252" t="str">
        <f>IF(ISNUMBER(SEARCH("C", 'WetLitterbags placem_collection'!$V148)),"YES","NO")</f>
        <v>NO</v>
      </c>
      <c r="AK221" s="252" t="str">
        <f>IF(ISNUMBER(SEARCH("H", 'WetLitterbags placem_collection'!$V148)),"YES","NO")</f>
        <v>YES</v>
      </c>
      <c r="AL221" s="252" t="str">
        <f>IF(ISNUMBER(SEARCH("R", 'WetLitterbags placem_collection'!$V148)),"YES","NO")</f>
        <v>YES</v>
      </c>
    </row>
    <row r="222" spans="2:38">
      <c r="B222" t="str">
        <f>'Final data_for_R_analysis_Wetse'!A148</f>
        <v>Wet</v>
      </c>
      <c r="C222" s="260">
        <f>'Final data_for_R_analysis_Wetse'!B148</f>
        <v>147</v>
      </c>
      <c r="D222" t="s">
        <v>3823</v>
      </c>
      <c r="E222" t="s">
        <v>22</v>
      </c>
      <c r="F222" s="381">
        <v>3</v>
      </c>
      <c r="G222" s="16">
        <f>'WetLitterbags placem_collection'!E149</f>
        <v>42762</v>
      </c>
      <c r="H222" t="str">
        <f>'Final data_for_R_analysis_Wetse'!K148</f>
        <v>G678</v>
      </c>
      <c r="I222" t="str">
        <f>'Final data_for_R_analysis_Wetse'!K368</f>
        <v>R573</v>
      </c>
      <c r="J222">
        <f>IFERROR(INDEX('Green_rooibos initial weight'!$C$5:$C$2000,MATCH(H222, 'Green_rooibos initial weight'!$A$5:$A$2000,0)),"")</f>
        <v>2.012</v>
      </c>
      <c r="K222">
        <f>IFERROR(INDEX('Green_rooibos initial weight'!$C$5:$C$2000,MATCH(I222, 'Green_rooibos initial weight'!$A$5:$A$2000,0)),"")</f>
        <v>2.097</v>
      </c>
      <c r="L222" s="194">
        <f t="shared" si="31"/>
        <v>1.7622</v>
      </c>
      <c r="M222" s="194">
        <f>AVERAGE(Ashed_controlls!$K$2:$K$11)</f>
        <v>5.5147656768714146</v>
      </c>
      <c r="N222" s="194">
        <f t="shared" si="28"/>
        <v>1.6650187992421719</v>
      </c>
      <c r="O222" s="194">
        <f t="shared" si="32"/>
        <v>1.8472</v>
      </c>
      <c r="P222" s="194">
        <f>AVERAGE(Ashed_controlls!$K$12:$K$14)</f>
        <v>2.2816647271287041</v>
      </c>
      <c r="Q222" s="194">
        <f t="shared" si="33"/>
        <v>1.8050530891604786</v>
      </c>
      <c r="R222" s="16">
        <f>IF('WetLitterbags placem_collection'!G149="","",'WetLitterbags placem_collection'!G149)</f>
        <v>42816</v>
      </c>
      <c r="S222" s="194">
        <f>IFERROR(INDEX('Both teabags AfterWet'!$C$3:$C$2000,MATCH(H222,'Both teabags AfterWet'!$A$3:$A$2000,0)),"")</f>
        <v>0.70199999999999996</v>
      </c>
      <c r="T222" s="194">
        <f>IFERROR(INDEX('Both teabags AfterWet'!$C$3:$C$2000,MATCH(I222,'Both teabags AfterWet'!$A$3:$A$2000,0)),"")</f>
        <v>1.746</v>
      </c>
      <c r="U222" s="194">
        <f t="shared" si="34"/>
        <v>0.55139999999999989</v>
      </c>
      <c r="V222" s="194">
        <f t="shared" si="35"/>
        <v>1.5953999999999999</v>
      </c>
      <c r="W222" s="194">
        <f>IFERROR(INDEX('Ashed teabags wet'!$K$2:$K$2000,MATCH(H222,'Ashed teabags wet'!$A$2:$A$2000,0)),"")</f>
        <v>16.333666333666116</v>
      </c>
      <c r="X222" s="237">
        <f>IFERROR(INDEX('Ashed teabags wet'!$K$2:$K$2000,MATCH(I222,'Ashed teabags wet'!$A$2:$A$2000,0)),"")</f>
        <v>8.8007736943911006</v>
      </c>
      <c r="Y222" s="194">
        <f t="shared" si="40"/>
        <v>0.46133616383616494</v>
      </c>
      <c r="Z222" s="194">
        <f t="shared" si="40"/>
        <v>1.4549924564796843</v>
      </c>
      <c r="AA222" s="194">
        <f t="shared" si="36"/>
        <v>0.72292435133696942</v>
      </c>
      <c r="AB222" s="194">
        <f t="shared" si="37"/>
        <v>0.4739361543206736</v>
      </c>
      <c r="AC222" s="194">
        <f t="shared" si="29"/>
        <v>0.80606629534447338</v>
      </c>
      <c r="AD222">
        <f t="shared" si="30"/>
        <v>54</v>
      </c>
      <c r="AE222" s="194">
        <f t="shared" si="38"/>
        <v>0.14142001028863482</v>
      </c>
      <c r="AF222" s="194">
        <f t="shared" si="39"/>
        <v>9.7458197252173889E-3</v>
      </c>
      <c r="AG222" s="252" t="str">
        <f>IF(ISNUMBER(SEARCH("C",'WetLitterbags placem_collection'!$X149)),"YES","NO")</f>
        <v>NO</v>
      </c>
      <c r="AH222" s="252" t="str">
        <f>IF(ISNUMBER(SEARCH("H", 'WetLitterbags placem_collection'!$X149)),"YES","NO")</f>
        <v>NO</v>
      </c>
      <c r="AI222" s="252" t="str">
        <f>IF(ISNUMBER(SEARCH("R", 'WetLitterbags placem_collection'!$X149)),"YES","NO")</f>
        <v>NO</v>
      </c>
      <c r="AJ222" s="252" t="str">
        <f>IF(ISNUMBER(SEARCH("C", 'WetLitterbags placem_collection'!$V149)),"YES","NO")</f>
        <v>NO</v>
      </c>
      <c r="AK222" s="252" t="str">
        <f>IF(ISNUMBER(SEARCH("H", 'WetLitterbags placem_collection'!$V149)),"YES","NO")</f>
        <v>NO</v>
      </c>
      <c r="AL222" s="252" t="str">
        <f>IF(ISNUMBER(SEARCH("R", 'WetLitterbags placem_collection'!$V149)),"YES","NO")</f>
        <v>NO</v>
      </c>
    </row>
    <row r="223" spans="2:38">
      <c r="B223" t="str">
        <f>'Final data_for_R_analysis_Wetse'!A149</f>
        <v>Wet</v>
      </c>
      <c r="C223" s="260">
        <f>'Final data_for_R_analysis_Wetse'!B149</f>
        <v>148</v>
      </c>
      <c r="D223" t="s">
        <v>3823</v>
      </c>
      <c r="E223" t="s">
        <v>22</v>
      </c>
      <c r="F223" s="382">
        <v>4</v>
      </c>
      <c r="G223" s="16">
        <f>'WetLitterbags placem_collection'!E150</f>
        <v>42762</v>
      </c>
      <c r="H223" t="str">
        <f>'Final data_for_R_analysis_Wetse'!K149</f>
        <v>G835</v>
      </c>
      <c r="I223" t="str">
        <f>'Final data_for_R_analysis_Wetse'!K369</f>
        <v>R472</v>
      </c>
      <c r="J223">
        <f>IFERROR(INDEX('Green_rooibos initial weight'!$C$5:$C$2000,MATCH(H223, 'Green_rooibos initial weight'!$A$5:$A$2000,0)),"")</f>
        <v>1.819</v>
      </c>
      <c r="K223">
        <f>IFERROR(INDEX('Green_rooibos initial weight'!$C$5:$C$2000,MATCH(I223, 'Green_rooibos initial weight'!$A$5:$A$2000,0)),"")</f>
        <v>2.2679999999999998</v>
      </c>
      <c r="L223" s="194">
        <f t="shared" si="31"/>
        <v>1.5691999999999999</v>
      </c>
      <c r="M223" s="194">
        <f>AVERAGE(Ashed_controlls!$K$2:$K$11)</f>
        <v>5.5147656768714146</v>
      </c>
      <c r="N223" s="194">
        <f t="shared" si="28"/>
        <v>1.4826622969985337</v>
      </c>
      <c r="O223" s="194">
        <f t="shared" si="32"/>
        <v>2.0181999999999998</v>
      </c>
      <c r="P223" s="194">
        <f>AVERAGE(Ashed_controlls!$K$12:$K$14)</f>
        <v>2.2816647271287041</v>
      </c>
      <c r="Q223" s="194">
        <f t="shared" si="33"/>
        <v>1.9721514424770883</v>
      </c>
      <c r="R223" s="16">
        <f>IF('WetLitterbags placem_collection'!G150="","",'WetLitterbags placem_collection'!G150)</f>
        <v>42816</v>
      </c>
      <c r="S223" s="194">
        <f>IFERROR(INDEX('Both teabags AfterWet'!$C$3:$C$2000,MATCH(H223,'Both teabags AfterWet'!$A$3:$A$2000,0)),"")</f>
        <v>0.24560000000000001</v>
      </c>
      <c r="T223" s="194">
        <f>IFERROR(INDEX('Both teabags AfterWet'!$C$3:$C$2000,MATCH(I223,'Both teabags AfterWet'!$A$3:$A$2000,0)),"")</f>
        <v>0.37559999999999999</v>
      </c>
      <c r="U223" s="194">
        <f t="shared" si="34"/>
        <v>9.5000000000000001E-2</v>
      </c>
      <c r="V223" s="194">
        <f t="shared" si="35"/>
        <v>0.22499999999999998</v>
      </c>
      <c r="W223" s="194">
        <f>IFERROR(INDEX('Ashed teabags wet'!$K$2:$K$2000,MATCH(H223,'Ashed teabags wet'!$A$2:$A$2000,0)),"")</f>
        <v>0</v>
      </c>
      <c r="X223" s="237">
        <f>IFERROR(INDEX('Ashed teabags wet'!$K$2:$K$2000,MATCH(I223,'Ashed teabags wet'!$A$2:$A$2000,0)),"")</f>
        <v>0</v>
      </c>
      <c r="Y223" s="194">
        <f t="shared" si="40"/>
        <v>9.5000000000000001E-2</v>
      </c>
      <c r="Z223" s="194">
        <f t="shared" si="40"/>
        <v>0.22499999999999998</v>
      </c>
      <c r="AA223" s="194">
        <f t="shared" si="36"/>
        <v>0.9359260701561537</v>
      </c>
      <c r="AB223" s="194">
        <f t="shared" si="37"/>
        <v>0.61357623601686095</v>
      </c>
      <c r="AC223" s="194">
        <f t="shared" si="29"/>
        <v>0.11408860149066059</v>
      </c>
      <c r="AD223">
        <f t="shared" si="30"/>
        <v>54</v>
      </c>
      <c r="AE223" s="194">
        <f t="shared" si="38"/>
        <v>-0.1115511522044581</v>
      </c>
      <c r="AF223" s="194" t="str">
        <f t="shared" si="39"/>
        <v/>
      </c>
      <c r="AG223" s="252" t="str">
        <f>IF(ISNUMBER(SEARCH("C",'WetLitterbags placem_collection'!$X150)),"YES","NO")</f>
        <v>NO</v>
      </c>
      <c r="AH223" s="252" t="str">
        <f>IF(ISNUMBER(SEARCH("H", 'WetLitterbags placem_collection'!$X150)),"YES","NO")</f>
        <v>NO</v>
      </c>
      <c r="AI223" s="252" t="str">
        <f>IF(ISNUMBER(SEARCH("R", 'WetLitterbags placem_collection'!$X150)),"YES","NO")</f>
        <v>YES</v>
      </c>
      <c r="AJ223" s="252" t="str">
        <f>IF(ISNUMBER(SEARCH("C", 'WetLitterbags placem_collection'!$V150)),"YES","NO")</f>
        <v>NO</v>
      </c>
      <c r="AK223" s="252" t="str">
        <f>IF(ISNUMBER(SEARCH("H", 'WetLitterbags placem_collection'!$V150)),"YES","NO")</f>
        <v>YES</v>
      </c>
      <c r="AL223" s="252" t="str">
        <f>IF(ISNUMBER(SEARCH("R", 'WetLitterbags placem_collection'!$V150)),"YES","NO")</f>
        <v>NO</v>
      </c>
    </row>
    <row r="224" spans="2:38">
      <c r="B224" t="str">
        <f>'Final data_for_R_analysis_Wetse'!A150</f>
        <v>Wet</v>
      </c>
      <c r="C224" s="260">
        <f>'Final data_for_R_analysis_Wetse'!B150</f>
        <v>149</v>
      </c>
      <c r="D224" t="s">
        <v>3823</v>
      </c>
      <c r="E224" t="s">
        <v>22</v>
      </c>
      <c r="F224" s="382">
        <v>5</v>
      </c>
      <c r="G224" s="16">
        <f>'WetLitterbags placem_collection'!E151</f>
        <v>42762</v>
      </c>
      <c r="H224" t="str">
        <f>'Final data_for_R_analysis_Wetse'!K150</f>
        <v>G733</v>
      </c>
      <c r="I224" t="str">
        <f>'Final data_for_R_analysis_Wetse'!K370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31"/>
        <v>1.5782</v>
      </c>
      <c r="M224" s="194">
        <f>AVERAGE(Ashed_controlls!$K$2:$K$11)</f>
        <v>5.5147656768714146</v>
      </c>
      <c r="N224" s="194">
        <f t="shared" si="28"/>
        <v>1.4911659680876155</v>
      </c>
      <c r="O224" s="194">
        <f t="shared" si="32"/>
        <v>1.9782000000000002</v>
      </c>
      <c r="P224" s="194">
        <f>AVERAGE(Ashed_controlls!$K$12:$K$14)</f>
        <v>2.2816647271287041</v>
      </c>
      <c r="Q224" s="194">
        <f t="shared" si="33"/>
        <v>1.9330641083679401</v>
      </c>
      <c r="R224" s="16">
        <f>IF('WetLitterbags placem_collection'!G151="","",'WetLitterbags placem_collection'!G151)</f>
        <v>42816</v>
      </c>
      <c r="S224" s="194">
        <f>IFERROR(INDEX('Both teabags AfterWet'!$C$3:$C$2000,MATCH(H224,'Both teabags AfterWet'!$A$3:$A$2000,0)),"")</f>
        <v>0.73760000000000003</v>
      </c>
      <c r="T224" s="194">
        <f>IFERROR(INDEX('Both teabags AfterWet'!$C$3:$C$2000,MATCH(I224,'Both teabags AfterWet'!$A$3:$A$2000,0)),"")</f>
        <v>1.7096</v>
      </c>
      <c r="U224" s="194">
        <f t="shared" si="34"/>
        <v>0.58699999999999997</v>
      </c>
      <c r="V224" s="194">
        <f t="shared" si="35"/>
        <v>1.5589999999999999</v>
      </c>
      <c r="W224" s="194">
        <f>IFERROR(INDEX('Ashed teabags wet'!$K$2:$K$2000,MATCH(H224,'Ashed teabags wet'!$A$2:$A$2000,0)),"")</f>
        <v>30.262506191183512</v>
      </c>
      <c r="X224" s="237">
        <f>IFERROR(INDEX('Ashed teabags wet'!$K$2:$K$2000,MATCH(I224,'Ashed teabags wet'!$A$2:$A$2000,0)),"")</f>
        <v>8.8976767177461902</v>
      </c>
      <c r="Y224" s="194">
        <f t="shared" si="40"/>
        <v>0.40935908865775272</v>
      </c>
      <c r="Z224" s="194">
        <f t="shared" si="40"/>
        <v>1.4202852199703369</v>
      </c>
      <c r="AA224" s="194">
        <f t="shared" si="36"/>
        <v>0.72547717865185324</v>
      </c>
      <c r="AB224" s="194">
        <f t="shared" si="37"/>
        <v>0.47560974182401783</v>
      </c>
      <c r="AC224" s="194">
        <f t="shared" si="29"/>
        <v>0.73473260086002246</v>
      </c>
      <c r="AD224">
        <f t="shared" si="30"/>
        <v>54</v>
      </c>
      <c r="AE224" s="194">
        <f t="shared" si="38"/>
        <v>0.13838814886953299</v>
      </c>
      <c r="AF224" s="194">
        <f t="shared" si="39"/>
        <v>1.510854150371589E-2</v>
      </c>
      <c r="AG224" s="252" t="str">
        <f>IF(ISNUMBER(SEARCH("C",'WetLitterbags placem_collection'!$X151)),"YES","NO")</f>
        <v>NO</v>
      </c>
      <c r="AH224" s="252" t="str">
        <f>IF(ISNUMBER(SEARCH("H", 'WetLitterbags placem_collection'!$X151)),"YES","NO")</f>
        <v>NO</v>
      </c>
      <c r="AI224" s="252" t="str">
        <f>IF(ISNUMBER(SEARCH("R", 'WetLitterbags placem_collection'!$X151)),"YES","NO")</f>
        <v>NO</v>
      </c>
      <c r="AJ224" s="252" t="str">
        <f>IF(ISNUMBER(SEARCH("C", 'WetLitterbags placem_collection'!$V151)),"YES","NO")</f>
        <v>NO</v>
      </c>
      <c r="AK224" s="252" t="str">
        <f>IF(ISNUMBER(SEARCH("H", 'WetLitterbags placem_collection'!$V151)),"YES","NO")</f>
        <v>NO</v>
      </c>
      <c r="AL224" s="252" t="str">
        <f>IF(ISNUMBER(SEARCH("R", 'WetLitterbags placem_collection'!$V151)),"YES","NO")</f>
        <v>NO</v>
      </c>
    </row>
    <row r="225" spans="2:38">
      <c r="B225" t="str">
        <f>'Final data_for_R_analysis_Wetse'!A151</f>
        <v>Wet</v>
      </c>
      <c r="C225" s="260">
        <f>'Final data_for_R_analysis_Wetse'!B151</f>
        <v>150</v>
      </c>
      <c r="D225" t="s">
        <v>3823</v>
      </c>
      <c r="E225" t="s">
        <v>22</v>
      </c>
      <c r="F225" s="382">
        <v>6</v>
      </c>
      <c r="G225" s="16">
        <f>'WetLitterbags placem_collection'!E152</f>
        <v>42762</v>
      </c>
      <c r="H225" t="str">
        <f>'Final data_for_R_analysis_Wetse'!K151</f>
        <v>G658</v>
      </c>
      <c r="I225" t="str">
        <f>'Final data_for_R_analysis_Wetse'!K371</f>
        <v>R7</v>
      </c>
      <c r="J225">
        <f>IFERROR(INDEX('Green_rooibos initial weight'!$C$5:$C$2000,MATCH(H225, 'Green_rooibos initial weight'!$A$5:$A$2000,0)),"")</f>
        <v>2.129</v>
      </c>
      <c r="K225">
        <f>IFERROR(INDEX('Green_rooibos initial weight'!$C$5:$C$2000,MATCH(I225, 'Green_rooibos initial weight'!$A$5:$A$2000,0)),"")</f>
        <v>2.2090000000000001</v>
      </c>
      <c r="L225" s="194">
        <f t="shared" si="31"/>
        <v>1.8792</v>
      </c>
      <c r="M225" s="194">
        <f>AVERAGE(Ashed_controlls!$K$2:$K$11)</f>
        <v>5.5147656768714146</v>
      </c>
      <c r="N225" s="194">
        <f t="shared" si="28"/>
        <v>1.7755665234002325</v>
      </c>
      <c r="O225" s="194">
        <f t="shared" si="32"/>
        <v>1.9592000000000001</v>
      </c>
      <c r="P225" s="194">
        <f>AVERAGE(Ashed_controlls!$K$12:$K$14)</f>
        <v>2.2816647271287041</v>
      </c>
      <c r="Q225" s="194">
        <f t="shared" si="33"/>
        <v>1.9144976246660945</v>
      </c>
      <c r="R225" s="16">
        <f>IF('WetLitterbags placem_collection'!G152="","",'WetLitterbags placem_collection'!G152)</f>
        <v>42816</v>
      </c>
      <c r="S225" s="194">
        <f>IFERROR(INDEX('Both teabags AfterWet'!$C$3:$C$2000,MATCH(H225,'Both teabags AfterWet'!$A$3:$A$2000,0)),"")</f>
        <v>0.71799999999999997</v>
      </c>
      <c r="T225" s="194">
        <f>IFERROR(INDEX('Both teabags AfterWet'!$C$3:$C$2000,MATCH(I225,'Both teabags AfterWet'!$A$3:$A$2000,0)),"")</f>
        <v>1.718</v>
      </c>
      <c r="U225" s="194">
        <f t="shared" si="34"/>
        <v>0.5673999999999999</v>
      </c>
      <c r="V225" s="194">
        <f t="shared" si="35"/>
        <v>1.5673999999999999</v>
      </c>
      <c r="W225" s="194">
        <f>IFERROR(INDEX('Ashed teabags wet'!$K$2:$K$2000,MATCH(H225,'Ashed teabags wet'!$A$2:$A$2000,0)),"")</f>
        <v>23.716990533134794</v>
      </c>
      <c r="X225" s="237">
        <f>IFERROR(INDEX('Ashed teabags wet'!$K$2:$K$2000,MATCH(I225,'Ashed teabags wet'!$A$2:$A$2000,0)),"")</f>
        <v>10.190151145782695</v>
      </c>
      <c r="Y225" s="194">
        <f t="shared" si="40"/>
        <v>0.43282979571499314</v>
      </c>
      <c r="Z225" s="194">
        <f t="shared" si="40"/>
        <v>1.4076795709410019</v>
      </c>
      <c r="AA225" s="194">
        <f t="shared" si="36"/>
        <v>0.75623003136704869</v>
      </c>
      <c r="AB225" s="194">
        <f t="shared" si="37"/>
        <v>0.49577075690571371</v>
      </c>
      <c r="AC225" s="194">
        <f t="shared" si="29"/>
        <v>0.73527360535979447</v>
      </c>
      <c r="AD225">
        <f t="shared" si="30"/>
        <v>54</v>
      </c>
      <c r="AE225" s="194">
        <f t="shared" si="38"/>
        <v>0.1018645708229825</v>
      </c>
      <c r="AF225" s="194">
        <f t="shared" si="39"/>
        <v>1.413896110563434E-2</v>
      </c>
      <c r="AG225" s="252" t="str">
        <f>IF(ISNUMBER(SEARCH("C",'WetLitterbags placem_collection'!$X152)),"YES","NO")</f>
        <v>NO</v>
      </c>
      <c r="AH225" s="252" t="str">
        <f>IF(ISNUMBER(SEARCH("H", 'WetLitterbags placem_collection'!$X152)),"YES","NO")</f>
        <v>NO</v>
      </c>
      <c r="AI225" s="252" t="str">
        <f>IF(ISNUMBER(SEARCH("R", 'WetLitterbags placem_collection'!$X152)),"YES","NO")</f>
        <v>NO</v>
      </c>
      <c r="AJ225" s="252" t="str">
        <f>IF(ISNUMBER(SEARCH("C", 'WetLitterbags placem_collection'!$V152)),"YES","NO")</f>
        <v>NO</v>
      </c>
      <c r="AK225" s="252" t="str">
        <f>IF(ISNUMBER(SEARCH("H", 'WetLitterbags placem_collection'!$V152)),"YES","NO")</f>
        <v>NO</v>
      </c>
      <c r="AL225" s="252" t="str">
        <f>IF(ISNUMBER(SEARCH("R", 'WetLitterbags placem_collection'!$V152)),"YES","NO")</f>
        <v>NO</v>
      </c>
    </row>
    <row r="226" spans="2:38">
      <c r="B226" t="str">
        <f>'Final data_for_R_analysis_Wetse'!A152</f>
        <v>Wet</v>
      </c>
      <c r="C226" s="260">
        <f>'Final data_for_R_analysis_Wetse'!B152</f>
        <v>151</v>
      </c>
      <c r="D226" t="s">
        <v>3823</v>
      </c>
      <c r="E226" t="s">
        <v>22</v>
      </c>
      <c r="F226" s="382">
        <v>7</v>
      </c>
      <c r="G226" s="16">
        <f>'WetLitterbags placem_collection'!E153</f>
        <v>42762</v>
      </c>
      <c r="H226" t="str">
        <f>'Final data_for_R_analysis_Wetse'!K152</f>
        <v>G567</v>
      </c>
      <c r="I226" t="str">
        <f>'Final data_for_R_analysis_Wetse'!K372</f>
        <v>R447</v>
      </c>
      <c r="J226">
        <f>IFERROR(INDEX('Green_rooibos initial weight'!$C$5:$C$2000,MATCH(H226, 'Green_rooibos initial weight'!$A$5:$A$2000,0)),"")</f>
        <v>2.0569999999999999</v>
      </c>
      <c r="K226">
        <f>IFERROR(INDEX('Green_rooibos initial weight'!$C$5:$C$2000,MATCH(I226, 'Green_rooibos initial weight'!$A$5:$A$2000,0)),"")</f>
        <v>2.206</v>
      </c>
      <c r="L226" s="194">
        <f t="shared" si="31"/>
        <v>1.8071999999999999</v>
      </c>
      <c r="M226" s="194">
        <f>AVERAGE(Ashed_controlls!$K$2:$K$11)</f>
        <v>5.5147656768714146</v>
      </c>
      <c r="N226" s="194">
        <f t="shared" si="28"/>
        <v>1.7075371546875797</v>
      </c>
      <c r="O226" s="194">
        <f t="shared" si="32"/>
        <v>1.9561999999999999</v>
      </c>
      <c r="P226" s="194">
        <f>AVERAGE(Ashed_controlls!$K$12:$K$14)</f>
        <v>2.2816647271287041</v>
      </c>
      <c r="Q226" s="194">
        <f t="shared" si="33"/>
        <v>1.9115660746079082</v>
      </c>
      <c r="R226" s="16">
        <f>IF('WetLitterbags placem_collection'!G153="","",'WetLitterbags placem_collection'!G153)</f>
        <v>42816</v>
      </c>
      <c r="S226" s="194">
        <f>IFERROR(INDEX('Both teabags AfterWet'!$C$3:$C$2000,MATCH(H226,'Both teabags AfterWet'!$A$3:$A$2000,0)),"")</f>
        <v>0.86499999999999999</v>
      </c>
      <c r="T226" s="194">
        <f>IFERROR(INDEX('Both teabags AfterWet'!$C$3:$C$2000,MATCH(I226,'Both teabags AfterWet'!$A$3:$A$2000,0)),"")</f>
        <v>1.782</v>
      </c>
      <c r="U226" s="194">
        <f t="shared" si="34"/>
        <v>0.71439999999999992</v>
      </c>
      <c r="V226" s="194">
        <f t="shared" si="35"/>
        <v>1.6314</v>
      </c>
      <c r="W226" s="194">
        <f>IFERROR(INDEX('Ashed teabags wet'!$K$2:$K$2000,MATCH(H226,'Ashed teabags wet'!$A$2:$A$2000,0)),"")</f>
        <v>20.077034183919789</v>
      </c>
      <c r="X226" s="237">
        <f>IFERROR(INDEX('Ashed teabags wet'!$K$2:$K$2000,MATCH(I226,'Ashed teabags wet'!$A$2:$A$2000,0)),"")</f>
        <v>6.4642507345735885</v>
      </c>
      <c r="Y226" s="194">
        <f t="shared" si="40"/>
        <v>0.57096966779007696</v>
      </c>
      <c r="Z226" s="194">
        <f t="shared" si="40"/>
        <v>1.5259422135161664</v>
      </c>
      <c r="AA226" s="194">
        <f t="shared" si="36"/>
        <v>0.66561801233862772</v>
      </c>
      <c r="AB226" s="194">
        <f t="shared" si="37"/>
        <v>0.43636715298209328</v>
      </c>
      <c r="AC226" s="194">
        <f t="shared" si="29"/>
        <v>0.79826809744421778</v>
      </c>
      <c r="AD226">
        <f t="shared" si="30"/>
        <v>54</v>
      </c>
      <c r="AE226" s="194">
        <f t="shared" si="38"/>
        <v>0.20947979532229488</v>
      </c>
      <c r="AF226" s="194">
        <f t="shared" si="39"/>
        <v>1.1489848157017422E-2</v>
      </c>
      <c r="AG226" s="252" t="str">
        <f>IF(ISNUMBER(SEARCH("C",'WetLitterbags placem_collection'!$X153)),"YES","NO")</f>
        <v>NO</v>
      </c>
      <c r="AH226" s="252" t="str">
        <f>IF(ISNUMBER(SEARCH("H", 'WetLitterbags placem_collection'!$X153)),"YES","NO")</f>
        <v>NO</v>
      </c>
      <c r="AI226" s="252" t="str">
        <f>IF(ISNUMBER(SEARCH("R", 'WetLitterbags placem_collection'!$X153)),"YES","NO")</f>
        <v>YES</v>
      </c>
      <c r="AJ226" s="252" t="str">
        <f>IF(ISNUMBER(SEARCH("C", 'WetLitterbags placem_collection'!$V153)),"YES","NO")</f>
        <v>NO</v>
      </c>
      <c r="AK226" s="252" t="str">
        <f>IF(ISNUMBER(SEARCH("H", 'WetLitterbags placem_collection'!$V153)),"YES","NO")</f>
        <v>NO</v>
      </c>
      <c r="AL226" s="252" t="str">
        <f>IF(ISNUMBER(SEARCH("R", 'WetLitterbags placem_collection'!$V153)),"YES","NO")</f>
        <v>YES</v>
      </c>
    </row>
    <row r="227" spans="2:38">
      <c r="B227" t="str">
        <f>'Final data_for_R_analysis_Wetse'!A153</f>
        <v>Wet</v>
      </c>
      <c r="C227" s="260">
        <f>'Final data_for_R_analysis_Wetse'!B153</f>
        <v>152</v>
      </c>
      <c r="D227" t="s">
        <v>3823</v>
      </c>
      <c r="E227" t="s">
        <v>22</v>
      </c>
      <c r="F227" s="382">
        <v>8</v>
      </c>
      <c r="G227" s="16">
        <f>'WetLitterbags placem_collection'!E154</f>
        <v>42762</v>
      </c>
      <c r="H227" t="str">
        <f>'Final data_for_R_analysis_Wetse'!K153</f>
        <v>G853</v>
      </c>
      <c r="I227" t="str">
        <f>'Final data_for_R_analysis_Wetse'!K373</f>
        <v>R591</v>
      </c>
      <c r="J227">
        <f>IFERROR(INDEX('Green_rooibos initial weight'!$C$5:$C$2000,MATCH(H227, 'Green_rooibos initial weight'!$A$5:$A$2000,0)),"")</f>
        <v>1.972</v>
      </c>
      <c r="K227">
        <f>IFERROR(INDEX('Green_rooibos initial weight'!$C$5:$C$2000,MATCH(I227, 'Green_rooibos initial weight'!$A$5:$A$2000,0)),"")</f>
        <v>2.2599999999999998</v>
      </c>
      <c r="L227" s="194">
        <f t="shared" si="31"/>
        <v>1.7222</v>
      </c>
      <c r="M227" s="194">
        <f>AVERAGE(Ashed_controlls!$K$2:$K$11)</f>
        <v>5.5147656768714146</v>
      </c>
      <c r="N227" s="194">
        <f t="shared" si="28"/>
        <v>1.6272247055129205</v>
      </c>
      <c r="O227" s="194">
        <f t="shared" si="32"/>
        <v>2.0101999999999998</v>
      </c>
      <c r="P227" s="194">
        <f>AVERAGE(Ashed_controlls!$K$12:$K$14)</f>
        <v>2.2816647271287041</v>
      </c>
      <c r="Q227" s="194">
        <f t="shared" si="33"/>
        <v>1.9643339756552585</v>
      </c>
      <c r="R227" s="16">
        <f>IF('WetLitterbags placem_collection'!G154="","",'WetLitterbags placem_collection'!G154)</f>
        <v>42816</v>
      </c>
      <c r="S227" s="194">
        <f>IFERROR(INDEX('Both teabags AfterWet'!$C$3:$C$2000,MATCH(H227,'Both teabags AfterWet'!$A$3:$A$2000,0)),"")</f>
        <v>0.58509999999999995</v>
      </c>
      <c r="T227" s="194">
        <f>IFERROR(INDEX('Both teabags AfterWet'!$C$3:$C$2000,MATCH(I227,'Both teabags AfterWet'!$A$3:$A$2000,0)),"")</f>
        <v>1.6958</v>
      </c>
      <c r="U227" s="194">
        <f t="shared" si="34"/>
        <v>0.43449999999999994</v>
      </c>
      <c r="V227" s="194">
        <f t="shared" si="35"/>
        <v>1.5451999999999999</v>
      </c>
      <c r="W227" s="194">
        <f>IFERROR(INDEX('Ashed teabags wet'!$K$2:$K$2000,MATCH(H227,'Ashed teabags wet'!$A$2:$A$2000,0)),"")</f>
        <v>20.802377414561477</v>
      </c>
      <c r="X227" s="237">
        <f>IFERROR(INDEX('Ashed teabags wet'!$K$2:$K$2000,MATCH(I227,'Ashed teabags wet'!$A$2:$A$2000,0)),"")</f>
        <v>6.0969755160831145</v>
      </c>
      <c r="Y227" s="194">
        <f t="shared" si="40"/>
        <v>0.34411367013373034</v>
      </c>
      <c r="Z227" s="194">
        <f t="shared" si="40"/>
        <v>1.4509895343254837</v>
      </c>
      <c r="AA227" s="194">
        <f t="shared" si="36"/>
        <v>0.78852725811751878</v>
      </c>
      <c r="AB227" s="194">
        <f t="shared" si="37"/>
        <v>0.5169442357254993</v>
      </c>
      <c r="AC227" s="194">
        <f t="shared" si="29"/>
        <v>0.73866743247744604</v>
      </c>
      <c r="AD227">
        <f t="shared" si="30"/>
        <v>54</v>
      </c>
      <c r="AE227" s="194">
        <f t="shared" si="38"/>
        <v>6.3506819337863618E-2</v>
      </c>
      <c r="AF227" s="194">
        <f t="shared" si="39"/>
        <v>1.3042141402172625E-2</v>
      </c>
      <c r="AG227" s="252" t="str">
        <f>IF(ISNUMBER(SEARCH("C",'WetLitterbags placem_collection'!$X154)),"YES","NO")</f>
        <v>NO</v>
      </c>
      <c r="AH227" s="252" t="str">
        <f>IF(ISNUMBER(SEARCH("H", 'WetLitterbags placem_collection'!$X154)),"YES","NO")</f>
        <v>NO</v>
      </c>
      <c r="AI227" s="252" t="str">
        <f>IF(ISNUMBER(SEARCH("R", 'WetLitterbags placem_collection'!$X154)),"YES","NO")</f>
        <v>YES</v>
      </c>
      <c r="AJ227" s="252" t="str">
        <f>IF(ISNUMBER(SEARCH("C", 'WetLitterbags placem_collection'!$V154)),"YES","NO")</f>
        <v>NO</v>
      </c>
      <c r="AK227" s="252" t="str">
        <f>IF(ISNUMBER(SEARCH("H", 'WetLitterbags placem_collection'!$V154)),"YES","NO")</f>
        <v>NO</v>
      </c>
      <c r="AL227" s="252" t="str">
        <f>IF(ISNUMBER(SEARCH("R", 'WetLitterbags placem_collection'!$V154)),"YES","NO")</f>
        <v>NO</v>
      </c>
    </row>
    <row r="228" spans="2:38">
      <c r="B228" t="str">
        <f>'Final data_for_R_analysis_Wetse'!A154</f>
        <v>Wet</v>
      </c>
      <c r="C228" s="260">
        <f>'Final data_for_R_analysis_Wetse'!B154</f>
        <v>153</v>
      </c>
      <c r="D228" t="s">
        <v>3824</v>
      </c>
      <c r="E228" t="s">
        <v>22</v>
      </c>
      <c r="F228" s="381">
        <v>1</v>
      </c>
      <c r="G228" s="16">
        <f>'WetLitterbags placem_collection'!E155</f>
        <v>42762</v>
      </c>
      <c r="H228" t="str">
        <f>'Final data_for_R_analysis_Wetse'!K154</f>
        <v>G800</v>
      </c>
      <c r="I228" t="str">
        <f>'Final data_for_R_analysis_Wetse'!K374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31"/>
        <v>1.8681999999999999</v>
      </c>
      <c r="M228" s="194">
        <f>AVERAGE(Ashed_controlls!$K$2:$K$11)</f>
        <v>5.5147656768714146</v>
      </c>
      <c r="N228" s="194">
        <f t="shared" si="28"/>
        <v>1.7651731476246881</v>
      </c>
      <c r="O228" s="194">
        <f t="shared" si="32"/>
        <v>2.0251999999999999</v>
      </c>
      <c r="P228" s="194">
        <f>AVERAGE(Ashed_controlls!$K$12:$K$14)</f>
        <v>2.2816647271287041</v>
      </c>
      <c r="Q228" s="194">
        <f t="shared" si="33"/>
        <v>1.9789917259461893</v>
      </c>
      <c r="R228" s="16">
        <f>IF('WetLitterbags placem_collection'!G155="","",'WetLitterbags placem_collection'!G155)</f>
        <v>42816</v>
      </c>
      <c r="S228" s="194">
        <f>IFERROR(INDEX('Both teabags AfterWet'!$C$3:$C$2000,MATCH(H228,'Both teabags AfterWet'!$A$3:$A$2000,0)),"")</f>
        <v>0.58630000000000004</v>
      </c>
      <c r="T228" s="194">
        <f>IFERROR(INDEX('Both teabags AfterWet'!$C$3:$C$2000,MATCH(I228,'Both teabags AfterWet'!$A$3:$A$2000,0)),"")</f>
        <v>1.2541</v>
      </c>
      <c r="U228" s="194">
        <f t="shared" si="34"/>
        <v>0.43570000000000003</v>
      </c>
      <c r="V228" s="194">
        <f t="shared" si="35"/>
        <v>1.1034999999999999</v>
      </c>
      <c r="W228" s="194">
        <f>IFERROR(INDEX('Ashed teabags wet'!$K$2:$K$2000,MATCH(H228,'Ashed teabags wet'!$A$2:$A$2000,0)),"")</f>
        <v>16.871618298081419</v>
      </c>
      <c r="X228" s="237">
        <f>IFERROR(INDEX('Ashed teabags wet'!$K$2:$K$2000,MATCH(I228,'Ashed teabags wet'!$A$2:$A$2000,0)),"")</f>
        <v>77.007481296757646</v>
      </c>
      <c r="Y228" s="194">
        <f t="shared" si="40"/>
        <v>0.36219035907525926</v>
      </c>
      <c r="Z228" s="194">
        <f t="shared" si="40"/>
        <v>0.25372244389027931</v>
      </c>
      <c r="AA228" s="194">
        <f t="shared" si="36"/>
        <v>0.79481312665409509</v>
      </c>
      <c r="AB228" s="194">
        <f t="shared" si="37"/>
        <v>0.52106513766396745</v>
      </c>
      <c r="AC228" s="194">
        <f t="shared" si="29"/>
        <v>0.12820793566934716</v>
      </c>
      <c r="AD228">
        <f t="shared" si="30"/>
        <v>54</v>
      </c>
      <c r="AE228" s="194">
        <f t="shared" si="38"/>
        <v>5.6041417275421446E-2</v>
      </c>
      <c r="AF228" s="194" t="str">
        <f t="shared" si="39"/>
        <v/>
      </c>
      <c r="AG228" s="252" t="str">
        <f>IF(ISNUMBER(SEARCH("C",'WetLitterbags placem_collection'!$X155)),"YES","NO")</f>
        <v>NO</v>
      </c>
      <c r="AH228" s="252" t="str">
        <f>IF(ISNUMBER(SEARCH("H", 'WetLitterbags placem_collection'!$X155)),"YES","NO")</f>
        <v>NO</v>
      </c>
      <c r="AI228" s="252" t="str">
        <f>IF(ISNUMBER(SEARCH("R", 'WetLitterbags placem_collection'!$X155)),"YES","NO")</f>
        <v>YES</v>
      </c>
      <c r="AJ228" s="252" t="str">
        <f>IF(ISNUMBER(SEARCH("C", 'WetLitterbags placem_collection'!$V155)),"YES","NO")</f>
        <v>NO</v>
      </c>
      <c r="AK228" s="252" t="str">
        <f>IF(ISNUMBER(SEARCH("H", 'WetLitterbags placem_collection'!$V155)),"YES","NO")</f>
        <v>NO</v>
      </c>
      <c r="AL228" s="252" t="str">
        <f>IF(ISNUMBER(SEARCH("R", 'WetLitterbags placem_collection'!$V155)),"YES","NO")</f>
        <v>YES</v>
      </c>
    </row>
    <row r="229" spans="2:38">
      <c r="B229" t="str">
        <f>'Final data_for_R_analysis_Wetse'!A155</f>
        <v>Wet</v>
      </c>
      <c r="C229" s="260">
        <f>'Final data_for_R_analysis_Wetse'!B155</f>
        <v>154</v>
      </c>
      <c r="D229" t="s">
        <v>3824</v>
      </c>
      <c r="E229" t="s">
        <v>22</v>
      </c>
      <c r="F229" s="381">
        <v>2</v>
      </c>
      <c r="G229" s="16">
        <f>'WetLitterbags placem_collection'!E156</f>
        <v>42762</v>
      </c>
      <c r="H229" t="str">
        <f>'Final data_for_R_analysis_Wetse'!K155</f>
        <v>G675</v>
      </c>
      <c r="I229" t="str">
        <f>'Final data_for_R_analysis_Wetse'!K375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31"/>
        <v>1.7452000000000001</v>
      </c>
      <c r="M229" s="194">
        <f>AVERAGE(Ashed_controlls!$K$2:$K$11)</f>
        <v>5.5147656768714146</v>
      </c>
      <c r="N229" s="194">
        <f t="shared" si="28"/>
        <v>1.6489563094072401</v>
      </c>
      <c r="O229" s="194">
        <f t="shared" si="32"/>
        <v>1.9912000000000001</v>
      </c>
      <c r="P229" s="194">
        <f>AVERAGE(Ashed_controlls!$K$12:$K$14)</f>
        <v>2.2816647271287041</v>
      </c>
      <c r="Q229" s="194">
        <f t="shared" si="33"/>
        <v>1.9457674919534134</v>
      </c>
      <c r="R229" s="16">
        <f>IF('WetLitterbags placem_collection'!G156="","",'WetLitterbags placem_collection'!G156)</f>
        <v>42816</v>
      </c>
      <c r="S229" s="194">
        <f>IFERROR(INDEX('Both teabags AfterWet'!$C$3:$C$2000,MATCH(H229,'Both teabags AfterWet'!$A$3:$A$2000,0)),"")</f>
        <v>0.61299999999999999</v>
      </c>
      <c r="T229" s="194">
        <f>IFERROR(INDEX('Both teabags AfterWet'!$C$3:$C$2000,MATCH(I229,'Both teabags AfterWet'!$A$3:$A$2000,0)),"")</f>
        <v>0.69099999999999995</v>
      </c>
      <c r="U229" s="194">
        <f t="shared" si="34"/>
        <v>0.46239999999999998</v>
      </c>
      <c r="V229" s="194">
        <f t="shared" si="35"/>
        <v>0.54039999999999999</v>
      </c>
      <c r="W229" s="194">
        <f>IFERROR(INDEX('Ashed teabags wet'!$K$2:$K$2000,MATCH(H229,'Ashed teabags wet'!$A$2:$A$2000,0)),"")</f>
        <v>18.033573141486571</v>
      </c>
      <c r="X229" s="237">
        <f>IFERROR(INDEX('Ashed teabags wet'!$K$2:$K$2000,MATCH(I229,'Ashed teabags wet'!$A$2:$A$2000,0)),"")</f>
        <v>0</v>
      </c>
      <c r="Y229" s="194">
        <f t="shared" si="40"/>
        <v>0.37901275779376609</v>
      </c>
      <c r="Z229" s="194">
        <f t="shared" si="40"/>
        <v>0.54039999999999999</v>
      </c>
      <c r="AA229" s="194">
        <f t="shared" si="36"/>
        <v>0.77014990898696889</v>
      </c>
      <c r="AB229" s="194">
        <f t="shared" si="37"/>
        <v>0.50489637738813165</v>
      </c>
      <c r="AC229" s="194">
        <f t="shared" si="29"/>
        <v>0.27773102502471991</v>
      </c>
      <c r="AD229">
        <f t="shared" si="30"/>
        <v>54</v>
      </c>
      <c r="AE229" s="194">
        <f t="shared" si="38"/>
        <v>8.5332649659181858E-2</v>
      </c>
      <c r="AF229" s="194" t="str">
        <f t="shared" si="39"/>
        <v/>
      </c>
      <c r="AG229" s="252" t="str">
        <f>IF(ISNUMBER(SEARCH("C",'WetLitterbags placem_collection'!$X156)),"YES","NO")</f>
        <v>NO</v>
      </c>
      <c r="AH229" s="252" t="str">
        <f>IF(ISNUMBER(SEARCH("H", 'WetLitterbags placem_collection'!$X156)),"YES","NO")</f>
        <v>NO</v>
      </c>
      <c r="AI229" s="252" t="str">
        <f>IF(ISNUMBER(SEARCH("R", 'WetLitterbags placem_collection'!$X156)),"YES","NO")</f>
        <v>YES</v>
      </c>
      <c r="AJ229" s="252" t="str">
        <f>IF(ISNUMBER(SEARCH("C", 'WetLitterbags placem_collection'!$V156)),"YES","NO")</f>
        <v>YES</v>
      </c>
      <c r="AK229" s="252" t="str">
        <f>IF(ISNUMBER(SEARCH("H", 'WetLitterbags placem_collection'!$V156)),"YES","NO")</f>
        <v>YES</v>
      </c>
      <c r="AL229" s="252" t="str">
        <f>IF(ISNUMBER(SEARCH("R", 'WetLitterbags placem_collection'!$V156)),"YES","NO")</f>
        <v>NO</v>
      </c>
    </row>
    <row r="230" spans="2:38">
      <c r="B230" t="str">
        <f>'Final data_for_R_analysis_Wetse'!A156</f>
        <v>Wet</v>
      </c>
      <c r="C230" s="260">
        <f>'Final data_for_R_analysis_Wetse'!B156</f>
        <v>155</v>
      </c>
      <c r="D230" t="s">
        <v>3824</v>
      </c>
      <c r="E230" t="s">
        <v>22</v>
      </c>
      <c r="F230" s="381">
        <v>3</v>
      </c>
      <c r="G230" s="16">
        <f>'WetLitterbags placem_collection'!E157</f>
        <v>42762</v>
      </c>
      <c r="H230" t="str">
        <f>'Final data_for_R_analysis_Wetse'!K156</f>
        <v>G859</v>
      </c>
      <c r="I230" t="str">
        <f>'Final data_for_R_analysis_Wetse'!K376</f>
        <v>R484</v>
      </c>
      <c r="J230">
        <f>IFERROR(INDEX('Green_rooibos initial weight'!$C$5:$C$2000,MATCH(H230, 'Green_rooibos initial weight'!$A$5:$A$2000,0)),"")</f>
        <v>2</v>
      </c>
      <c r="K230">
        <f>IFERROR(INDEX('Green_rooibos initial weight'!$C$5:$C$2000,MATCH(I230, 'Green_rooibos initial weight'!$A$5:$A$2000,0)),"")</f>
        <v>2.1850000000000001</v>
      </c>
      <c r="L230" s="194">
        <f t="shared" si="31"/>
        <v>1.7502</v>
      </c>
      <c r="M230" s="194">
        <f>AVERAGE(Ashed_controlls!$K$2:$K$11)</f>
        <v>5.5147656768714146</v>
      </c>
      <c r="N230" s="194">
        <f t="shared" si="28"/>
        <v>1.6536805711233964</v>
      </c>
      <c r="O230" s="194">
        <f t="shared" si="32"/>
        <v>1.9352</v>
      </c>
      <c r="P230" s="194">
        <f>AVERAGE(Ashed_controlls!$K$12:$K$14)</f>
        <v>2.2816647271287041</v>
      </c>
      <c r="Q230" s="194">
        <f t="shared" si="33"/>
        <v>1.8910452242006053</v>
      </c>
      <c r="R230" s="16">
        <f>IF('WetLitterbags placem_collection'!G157="","",'WetLitterbags placem_collection'!G157)</f>
        <v>42816</v>
      </c>
      <c r="S230" s="194">
        <f>IFERROR(INDEX('Both teabags AfterWet'!$C$3:$C$2000,MATCH(H230,'Both teabags AfterWet'!$A$3:$A$2000,0)),"")</f>
        <v>0.71599999999999997</v>
      </c>
      <c r="T230" s="194">
        <f>IFERROR(INDEX('Both teabags AfterWet'!$C$3:$C$2000,MATCH(I230,'Both teabags AfterWet'!$A$3:$A$2000,0)),"")</f>
        <v>1.7509999999999999</v>
      </c>
      <c r="U230" s="194">
        <f t="shared" si="34"/>
        <v>0.5653999999999999</v>
      </c>
      <c r="V230" s="194">
        <f t="shared" si="35"/>
        <v>1.6003999999999998</v>
      </c>
      <c r="W230" s="194">
        <f>IFERROR(INDEX('Ashed teabags wet'!$K$2:$K$2000,MATCH(H230,'Ashed teabags wet'!$A$2:$A$2000,0)),"")</f>
        <v>17.148456638902378</v>
      </c>
      <c r="X230" s="237">
        <f>IFERROR(INDEX('Ashed teabags wet'!$K$2:$K$2000,MATCH(I230,'Ashed teabags wet'!$A$2:$A$2000,0)),"")</f>
        <v>9.822309970384735</v>
      </c>
      <c r="Y230" s="194">
        <f t="shared" si="40"/>
        <v>0.4684426261636459</v>
      </c>
      <c r="Z230" s="194">
        <f t="shared" si="40"/>
        <v>1.4432037512339626</v>
      </c>
      <c r="AA230" s="194">
        <f t="shared" si="36"/>
        <v>0.71672726018337496</v>
      </c>
      <c r="AB230" s="194">
        <f t="shared" si="37"/>
        <v>0.46987345323185631</v>
      </c>
      <c r="AC230" s="194">
        <f t="shared" si="29"/>
        <v>0.76317780916320654</v>
      </c>
      <c r="AD230">
        <f t="shared" si="30"/>
        <v>54</v>
      </c>
      <c r="AE230" s="194">
        <f t="shared" si="38"/>
        <v>0.14877997602924586</v>
      </c>
      <c r="AF230" s="194">
        <f t="shared" si="39"/>
        <v>1.2985277228910146E-2</v>
      </c>
      <c r="AG230" s="252" t="str">
        <f>IF(ISNUMBER(SEARCH("C",'WetLitterbags placem_collection'!$X157)),"YES","NO")</f>
        <v>NO</v>
      </c>
      <c r="AH230" s="252" t="str">
        <f>IF(ISNUMBER(SEARCH("H", 'WetLitterbags placem_collection'!$X157)),"YES","NO")</f>
        <v>NO</v>
      </c>
      <c r="AI230" s="252" t="str">
        <f>IF(ISNUMBER(SEARCH("R", 'WetLitterbags placem_collection'!$X157)),"YES","NO")</f>
        <v>NO</v>
      </c>
      <c r="AJ230" s="252" t="str">
        <f>IF(ISNUMBER(SEARCH("C", 'WetLitterbags placem_collection'!$V157)),"YES","NO")</f>
        <v>NO</v>
      </c>
      <c r="AK230" s="252" t="str">
        <f>IF(ISNUMBER(SEARCH("H", 'WetLitterbags placem_collection'!$V157)),"YES","NO")</f>
        <v>NO</v>
      </c>
      <c r="AL230" s="252" t="str">
        <f>IF(ISNUMBER(SEARCH("R", 'WetLitterbags placem_collection'!$V157)),"YES","NO")</f>
        <v>YES</v>
      </c>
    </row>
    <row r="231" spans="2:38">
      <c r="B231" t="str">
        <f>'Final data_for_R_analysis_Wetse'!A157</f>
        <v>Wet</v>
      </c>
      <c r="C231" s="260">
        <f>'Final data_for_R_analysis_Wetse'!B157</f>
        <v>156</v>
      </c>
      <c r="D231" t="s">
        <v>3824</v>
      </c>
      <c r="E231" t="s">
        <v>22</v>
      </c>
      <c r="F231" s="382">
        <v>4</v>
      </c>
      <c r="G231" s="16">
        <f>'WetLitterbags placem_collection'!E158</f>
        <v>42762</v>
      </c>
      <c r="H231" t="str">
        <f>'Final data_for_R_analysis_Wetse'!K157</f>
        <v>G654</v>
      </c>
      <c r="I231" t="str">
        <f>'Final data_for_R_analysis_Wetse'!K377</f>
        <v>R598</v>
      </c>
      <c r="J231">
        <f>IFERROR(INDEX('Green_rooibos initial weight'!$C$5:$C$2000,MATCH(H231, 'Green_rooibos initial weight'!$A$5:$A$2000,0)),"")</f>
        <v>2.0169999999999999</v>
      </c>
      <c r="K231">
        <f>IFERROR(INDEX('Green_rooibos initial weight'!$C$5:$C$2000,MATCH(I231, 'Green_rooibos initial weight'!$A$5:$A$2000,0)),"")</f>
        <v>2.206</v>
      </c>
      <c r="L231" s="194">
        <f t="shared" si="31"/>
        <v>1.7671999999999999</v>
      </c>
      <c r="M231" s="194">
        <f>AVERAGE(Ashed_controlls!$K$2:$K$11)</f>
        <v>5.5147656768714146</v>
      </c>
      <c r="N231" s="194">
        <f t="shared" si="28"/>
        <v>1.6697430609583281</v>
      </c>
      <c r="O231" s="194">
        <f t="shared" si="32"/>
        <v>1.9561999999999999</v>
      </c>
      <c r="P231" s="194">
        <f>AVERAGE(Ashed_controlls!$K$12:$K$14)</f>
        <v>2.2816647271287041</v>
      </c>
      <c r="Q231" s="194">
        <f t="shared" si="33"/>
        <v>1.9115660746079082</v>
      </c>
      <c r="R231" s="16">
        <f>IF('WetLitterbags placem_collection'!G158="","",'WetLitterbags placem_collection'!G158)</f>
        <v>42816</v>
      </c>
      <c r="S231" s="194">
        <f>IFERROR(INDEX('Both teabags AfterWet'!$C$3:$C$2000,MATCH(H231,'Both teabags AfterWet'!$A$3:$A$2000,0)),"")</f>
        <v>0.73799999999999999</v>
      </c>
      <c r="T231" s="194">
        <f>IFERROR(INDEX('Both teabags AfterWet'!$C$3:$C$2000,MATCH(I231,'Both teabags AfterWet'!$A$3:$A$2000,0)),"")</f>
        <v>1.8080000000000001</v>
      </c>
      <c r="U231" s="194">
        <f t="shared" si="34"/>
        <v>0.58739999999999992</v>
      </c>
      <c r="V231" s="194">
        <f t="shared" si="35"/>
        <v>1.6574</v>
      </c>
      <c r="W231" s="194">
        <f>IFERROR(INDEX('Ashed teabags wet'!$K$2:$K$2000,MATCH(H231,'Ashed teabags wet'!$A$2:$A$2000,0)),"")</f>
        <v>25.036109773712322</v>
      </c>
      <c r="X231" s="237">
        <f>IFERROR(INDEX('Ashed teabags wet'!$K$2:$K$2000,MATCH(I231,'Ashed teabags wet'!$A$2:$A$2000,0)),"")</f>
        <v>7.6581027667986037</v>
      </c>
      <c r="Y231" s="194">
        <f t="shared" si="40"/>
        <v>0.44033789118921374</v>
      </c>
      <c r="Z231" s="194">
        <f t="shared" si="40"/>
        <v>1.5304746047430799</v>
      </c>
      <c r="AA231" s="194">
        <f t="shared" si="36"/>
        <v>0.73628404184744012</v>
      </c>
      <c r="AB231" s="194">
        <f t="shared" si="37"/>
        <v>0.48269452624677789</v>
      </c>
      <c r="AC231" s="194">
        <f t="shared" si="29"/>
        <v>0.80063913305063439</v>
      </c>
      <c r="AD231">
        <f t="shared" si="30"/>
        <v>54</v>
      </c>
      <c r="AE231" s="194">
        <f t="shared" si="38"/>
        <v>0.12555339448047487</v>
      </c>
      <c r="AF231" s="194">
        <f t="shared" si="39"/>
        <v>9.8659035455426619E-3</v>
      </c>
      <c r="AG231" s="252" t="str">
        <f>IF(ISNUMBER(SEARCH("C",'WetLitterbags placem_collection'!$X158)),"YES","NO")</f>
        <v>NO</v>
      </c>
      <c r="AH231" s="252" t="str">
        <f>IF(ISNUMBER(SEARCH("H", 'WetLitterbags placem_collection'!$X158)),"YES","NO")</f>
        <v>NO</v>
      </c>
      <c r="AI231" s="252" t="str">
        <f>IF(ISNUMBER(SEARCH("R", 'WetLitterbags placem_collection'!$X158)),"YES","NO")</f>
        <v>YES</v>
      </c>
      <c r="AJ231" s="252" t="str">
        <f>IF(ISNUMBER(SEARCH("C", 'WetLitterbags placem_collection'!$V158)),"YES","NO")</f>
        <v>NO</v>
      </c>
      <c r="AK231" s="252" t="str">
        <f>IF(ISNUMBER(SEARCH("H", 'WetLitterbags placem_collection'!$V158)),"YES","NO")</f>
        <v>YES</v>
      </c>
      <c r="AL231" s="252" t="str">
        <f>IF(ISNUMBER(SEARCH("R", 'WetLitterbags placem_collection'!$V158)),"YES","NO")</f>
        <v>NO</v>
      </c>
    </row>
    <row r="232" spans="2:38">
      <c r="B232" t="str">
        <f>'Final data_for_R_analysis_Wetse'!A158</f>
        <v>Wet</v>
      </c>
      <c r="C232" s="260">
        <f>'Final data_for_R_analysis_Wetse'!B158</f>
        <v>157</v>
      </c>
      <c r="D232" t="s">
        <v>3824</v>
      </c>
      <c r="E232" t="s">
        <v>22</v>
      </c>
      <c r="F232" s="382">
        <v>5</v>
      </c>
      <c r="G232" s="16">
        <f>'WetLitterbags placem_collection'!E159</f>
        <v>42762</v>
      </c>
      <c r="H232" t="str">
        <f>'Final data_for_R_analysis_Wetse'!K158</f>
        <v>G890</v>
      </c>
      <c r="I232" t="str">
        <f>'Final data_for_R_analysis_Wetse'!K378</f>
        <v>R30</v>
      </c>
      <c r="J232">
        <f>IFERROR(INDEX('Green_rooibos initial weight'!$C$5:$C$2000,MATCH(H232, 'Green_rooibos initial weight'!$A$5:$A$2000,0)),"")</f>
        <v>1.9930000000000001</v>
      </c>
      <c r="K232">
        <f>IFERROR(INDEX('Green_rooibos initial weight'!$C$5:$C$2000,MATCH(I232, 'Green_rooibos initial weight'!$A$5:$A$2000,0)),"")</f>
        <v>2.177</v>
      </c>
      <c r="L232" s="194">
        <f t="shared" si="31"/>
        <v>1.7432000000000001</v>
      </c>
      <c r="M232" s="194">
        <f>AVERAGE(Ashed_controlls!$K$2:$K$11)</f>
        <v>5.5147656768714146</v>
      </c>
      <c r="N232" s="194">
        <f t="shared" si="28"/>
        <v>1.6470666047207776</v>
      </c>
      <c r="O232" s="194">
        <f t="shared" si="32"/>
        <v>1.9272</v>
      </c>
      <c r="P232" s="194">
        <f>AVERAGE(Ashed_controlls!$K$12:$K$14)</f>
        <v>2.2816647271287041</v>
      </c>
      <c r="Q232" s="194">
        <f t="shared" si="33"/>
        <v>1.8832277573787757</v>
      </c>
      <c r="R232" s="16">
        <f>IF('WetLitterbags placem_collection'!G159="","",'WetLitterbags placem_collection'!G159)</f>
        <v>42816</v>
      </c>
      <c r="S232" s="194">
        <f>IFERROR(INDEX('Both teabags AfterWet'!$C$3:$C$2000,MATCH(H232,'Both teabags AfterWet'!$A$3:$A$2000,0)),"")</f>
        <v>0.74099999999999999</v>
      </c>
      <c r="T232" s="194">
        <f>IFERROR(INDEX('Both teabags AfterWet'!$C$3:$C$2000,MATCH(I232,'Both teabags AfterWet'!$A$3:$A$2000,0)),"")</f>
        <v>1.825</v>
      </c>
      <c r="U232" s="194">
        <f t="shared" si="34"/>
        <v>0.59040000000000004</v>
      </c>
      <c r="V232" s="194">
        <f t="shared" si="35"/>
        <v>1.6743999999999999</v>
      </c>
      <c r="W232" s="194">
        <f>IFERROR(INDEX('Ashed teabags wet'!$K$2:$K$2000,MATCH(H232,'Ashed teabags wet'!$A$2:$A$2000,0)),"")</f>
        <v>13.769192669637922</v>
      </c>
      <c r="X232" s="237">
        <f>IFERROR(INDEX('Ashed teabags wet'!$K$2:$K$2000,MATCH(I232,'Ashed teabags wet'!$A$2:$A$2000,0)),"")</f>
        <v>8.6618004866182261</v>
      </c>
      <c r="Y232" s="194">
        <f t="shared" si="40"/>
        <v>0.50910668647845769</v>
      </c>
      <c r="Z232" s="194">
        <f t="shared" si="40"/>
        <v>1.5293668126520643</v>
      </c>
      <c r="AA232" s="194">
        <f t="shared" si="36"/>
        <v>0.69090097205585377</v>
      </c>
      <c r="AB232" s="194">
        <f t="shared" si="37"/>
        <v>0.45294220495823195</v>
      </c>
      <c r="AC232" s="194">
        <f t="shared" si="29"/>
        <v>0.81209869951192581</v>
      </c>
      <c r="AD232">
        <f t="shared" si="30"/>
        <v>54</v>
      </c>
      <c r="AE232" s="194">
        <f t="shared" si="38"/>
        <v>0.17945252724957983</v>
      </c>
      <c r="AF232" s="194">
        <f t="shared" si="39"/>
        <v>9.9237104426729769E-3</v>
      </c>
      <c r="AG232" s="252" t="str">
        <f>IF(ISNUMBER(SEARCH("C",'WetLitterbags placem_collection'!$X159)),"YES","NO")</f>
        <v>NO</v>
      </c>
      <c r="AH232" s="252" t="str">
        <f>IF(ISNUMBER(SEARCH("H", 'WetLitterbags placem_collection'!$X159)),"YES","NO")</f>
        <v>NO</v>
      </c>
      <c r="AI232" s="252" t="str">
        <f>IF(ISNUMBER(SEARCH("R", 'WetLitterbags placem_collection'!$X159)),"YES","NO")</f>
        <v>YES</v>
      </c>
      <c r="AJ232" s="252" t="str">
        <f>IF(ISNUMBER(SEARCH("C", 'WetLitterbags placem_collection'!$V159)),"YES","NO")</f>
        <v>NO</v>
      </c>
      <c r="AK232" s="252" t="str">
        <f>IF(ISNUMBER(SEARCH("H", 'WetLitterbags placem_collection'!$V159)),"YES","NO")</f>
        <v>NO</v>
      </c>
      <c r="AL232" s="252" t="str">
        <f>IF(ISNUMBER(SEARCH("R", 'WetLitterbags placem_collection'!$V159)),"YES","NO")</f>
        <v>YES</v>
      </c>
    </row>
    <row r="233" spans="2:38">
      <c r="B233" t="str">
        <f>'Final data_for_R_analysis_Wetse'!A159</f>
        <v>Wet</v>
      </c>
      <c r="C233" s="260">
        <f>'Final data_for_R_analysis_Wetse'!B159</f>
        <v>158</v>
      </c>
      <c r="D233" t="s">
        <v>3824</v>
      </c>
      <c r="E233" t="s">
        <v>22</v>
      </c>
      <c r="F233" s="382">
        <v>6</v>
      </c>
      <c r="G233" s="16">
        <f>'WetLitterbags placem_collection'!E160</f>
        <v>42762</v>
      </c>
      <c r="H233" t="str">
        <f>'Final data_for_R_analysis_Wetse'!K159</f>
        <v>G576</v>
      </c>
      <c r="I233" t="str">
        <f>'Final data_for_R_analysis_Wetse'!K379</f>
        <v>R16</v>
      </c>
      <c r="J233">
        <f>IFERROR(INDEX('Green_rooibos initial weight'!$C$5:$C$2000,MATCH(H233, 'Green_rooibos initial weight'!$A$5:$A$2000,0)),"")</f>
        <v>2.056</v>
      </c>
      <c r="K233">
        <f>IFERROR(INDEX('Green_rooibos initial weight'!$C$5:$C$2000,MATCH(I233, 'Green_rooibos initial weight'!$A$5:$A$2000,0)),"")</f>
        <v>2.2629999999999999</v>
      </c>
      <c r="L233" s="194">
        <f t="shared" si="31"/>
        <v>1.8062</v>
      </c>
      <c r="M233" s="194">
        <f>AVERAGE(Ashed_controlls!$K$2:$K$11)</f>
        <v>5.5147656768714146</v>
      </c>
      <c r="N233" s="194">
        <f t="shared" si="28"/>
        <v>1.7065923023443486</v>
      </c>
      <c r="O233" s="194">
        <f t="shared" si="32"/>
        <v>2.0131999999999999</v>
      </c>
      <c r="P233" s="194">
        <f>AVERAGE(Ashed_controlls!$K$12:$K$14)</f>
        <v>2.2816647271287041</v>
      </c>
      <c r="Q233" s="194">
        <f t="shared" si="33"/>
        <v>1.9672655257134448</v>
      </c>
      <c r="R233" s="16">
        <f>IF('WetLitterbags placem_collection'!G160="","",'WetLitterbags placem_collection'!G160)</f>
        <v>42816</v>
      </c>
      <c r="S233" s="194">
        <f>IFERROR(INDEX('Both teabags AfterWet'!$C$3:$C$2000,MATCH(H233,'Both teabags AfterWet'!$A$3:$A$2000,0)),"")</f>
        <v>0.26600000000000001</v>
      </c>
      <c r="T233" s="194">
        <f>IFERROR(INDEX('Both teabags AfterWet'!$C$3:$C$2000,MATCH(I233,'Both teabags AfterWet'!$A$3:$A$2000,0)),"")</f>
        <v>1.786</v>
      </c>
      <c r="U233" s="194">
        <f t="shared" si="34"/>
        <v>0.1154</v>
      </c>
      <c r="V233" s="194">
        <f t="shared" si="35"/>
        <v>1.6354</v>
      </c>
      <c r="W233" s="194">
        <f>IFERROR(INDEX('Ashed teabags wet'!$K$2:$K$2000,MATCH(H233,'Ashed teabags wet'!$A$2:$A$2000,0)),"")</f>
        <v>0</v>
      </c>
      <c r="X233" s="237">
        <f>IFERROR(INDEX('Ashed teabags wet'!$K$2:$K$2000,MATCH(I233,'Ashed teabags wet'!$A$2:$A$2000,0)),"")</f>
        <v>4.8505634492893828</v>
      </c>
      <c r="Y233" s="194">
        <f t="shared" si="40"/>
        <v>0.1154</v>
      </c>
      <c r="Z233" s="194">
        <f t="shared" si="40"/>
        <v>1.5560738853503213</v>
      </c>
      <c r="AA233" s="194">
        <f t="shared" si="36"/>
        <v>0.93237986609837931</v>
      </c>
      <c r="AB233" s="194">
        <f t="shared" si="37"/>
        <v>0.61125140865356942</v>
      </c>
      <c r="AC233" s="194">
        <f t="shared" si="29"/>
        <v>0.79098315149196674</v>
      </c>
      <c r="AD233">
        <f t="shared" si="30"/>
        <v>54</v>
      </c>
      <c r="AE233" s="194">
        <f t="shared" si="38"/>
        <v>-0.1073395084303792</v>
      </c>
      <c r="AF233" s="194">
        <f t="shared" si="39"/>
        <v>7.7494989615558528E-3</v>
      </c>
      <c r="AG233" s="252" t="str">
        <f>IF(ISNUMBER(SEARCH("C",'WetLitterbags placem_collection'!$X160)),"YES","NO")</f>
        <v>NO</v>
      </c>
      <c r="AH233" s="252" t="str">
        <f>IF(ISNUMBER(SEARCH("H", 'WetLitterbags placem_collection'!$X160)),"YES","NO")</f>
        <v>NO</v>
      </c>
      <c r="AI233" s="252" t="str">
        <f>IF(ISNUMBER(SEARCH("R", 'WetLitterbags placem_collection'!$X160)),"YES","NO")</f>
        <v>YES</v>
      </c>
      <c r="AJ233" s="252" t="str">
        <f>IF(ISNUMBER(SEARCH("C", 'WetLitterbags placem_collection'!$V160)),"YES","NO")</f>
        <v>NO</v>
      </c>
      <c r="AK233" s="252" t="str">
        <f>IF(ISNUMBER(SEARCH("H", 'WetLitterbags placem_collection'!$V160)),"YES","NO")</f>
        <v>YES</v>
      </c>
      <c r="AL233" s="252" t="str">
        <f>IF(ISNUMBER(SEARCH("R", 'WetLitterbags placem_collection'!$V160)),"YES","NO")</f>
        <v>YES</v>
      </c>
    </row>
    <row r="234" spans="2:38">
      <c r="B234" t="str">
        <f>'Final data_for_R_analysis_Wetse'!A160</f>
        <v>Wet</v>
      </c>
      <c r="C234" s="260">
        <f>'Final data_for_R_analysis_Wetse'!B160</f>
        <v>159</v>
      </c>
      <c r="D234" t="s">
        <v>3824</v>
      </c>
      <c r="E234" t="s">
        <v>22</v>
      </c>
      <c r="F234" s="382">
        <v>7</v>
      </c>
      <c r="G234" s="16">
        <f>'WetLitterbags placem_collection'!E161</f>
        <v>42762</v>
      </c>
      <c r="H234" t="str">
        <f>'Final data_for_R_analysis_Wetse'!K160</f>
        <v>G829</v>
      </c>
      <c r="I234" t="str">
        <f>'Final data_for_R_analysis_Wetse'!K380</f>
        <v>R499</v>
      </c>
      <c r="J234">
        <f>IFERROR(INDEX('Green_rooibos initial weight'!$C$5:$C$2000,MATCH(H234, 'Green_rooibos initial weight'!$A$5:$A$2000,0)),"")</f>
        <v>1.9610000000000001</v>
      </c>
      <c r="K234">
        <f>IFERROR(INDEX('Green_rooibos initial weight'!$C$5:$C$2000,MATCH(I234, 'Green_rooibos initial weight'!$A$5:$A$2000,0)),"")</f>
        <v>2.194</v>
      </c>
      <c r="L234" s="194">
        <f t="shared" si="31"/>
        <v>1.7112000000000001</v>
      </c>
      <c r="M234" s="194">
        <f>AVERAGE(Ashed_controlls!$K$2:$K$11)</f>
        <v>5.5147656768714146</v>
      </c>
      <c r="N234" s="194">
        <f t="shared" si="28"/>
        <v>1.6168313297373764</v>
      </c>
      <c r="O234" s="194">
        <f t="shared" si="32"/>
        <v>1.9441999999999999</v>
      </c>
      <c r="P234" s="194">
        <f>AVERAGE(Ashed_controlls!$K$12:$K$14)</f>
        <v>2.2816647271287041</v>
      </c>
      <c r="Q234" s="194">
        <f t="shared" si="33"/>
        <v>1.8998398743751637</v>
      </c>
      <c r="R234" s="16">
        <f>IF('WetLitterbags placem_collection'!G161="","",'WetLitterbags placem_collection'!G161)</f>
        <v>42816</v>
      </c>
      <c r="S234" s="194" t="str">
        <f>IFERROR(INDEX('Both teabags AfterWet'!$C$3:$C$2000,MATCH(H234,'Both teabags AfterWet'!$A$3:$A$2000,0)),"")</f>
        <v/>
      </c>
      <c r="T234" s="194" t="str">
        <f>IFERROR(INDEX('Both teabags AfterWet'!$C$3:$C$2000,MATCH(I234,'Both teabags AfterWet'!$A$3:$A$2000,0)),"")</f>
        <v/>
      </c>
      <c r="U234" s="194" t="str">
        <f t="shared" si="34"/>
        <v/>
      </c>
      <c r="V234" s="194" t="str">
        <f t="shared" si="35"/>
        <v/>
      </c>
      <c r="W234" s="194" t="str">
        <f>IFERROR(INDEX('Ashed teabags wet'!$K$2:$K$2000,MATCH(H234,'Ashed teabags wet'!$A$2:$A$2000,0)),"")</f>
        <v/>
      </c>
      <c r="X234" s="237" t="str">
        <f>IFERROR(INDEX('Ashed teabags wet'!$K$2:$K$2000,MATCH(I234,'Ashed teabags wet'!$A$2:$A$2000,0)),"")</f>
        <v/>
      </c>
      <c r="Y234" s="194" t="str">
        <f t="shared" si="40"/>
        <v/>
      </c>
      <c r="Z234" s="194" t="str">
        <f t="shared" si="40"/>
        <v/>
      </c>
      <c r="AA234" s="194" t="str">
        <f t="shared" si="36"/>
        <v/>
      </c>
      <c r="AB234" s="194" t="str">
        <f t="shared" si="37"/>
        <v/>
      </c>
      <c r="AC234" s="194" t="str">
        <f t="shared" si="29"/>
        <v/>
      </c>
      <c r="AD234">
        <f t="shared" si="30"/>
        <v>54</v>
      </c>
      <c r="AE234" s="194" t="str">
        <f t="shared" si="38"/>
        <v/>
      </c>
      <c r="AF234" s="194" t="str">
        <f t="shared" si="39"/>
        <v/>
      </c>
      <c r="AG234" s="252" t="str">
        <f>IF(ISNUMBER(SEARCH("C",'WetLitterbags placem_collection'!$X161)),"YES","NO")</f>
        <v>NO</v>
      </c>
      <c r="AH234" s="252" t="str">
        <f>IF(ISNUMBER(SEARCH("H", 'WetLitterbags placem_collection'!$X161)),"YES","NO")</f>
        <v>NO</v>
      </c>
      <c r="AI234" s="252" t="str">
        <f>IF(ISNUMBER(SEARCH("R", 'WetLitterbags placem_collection'!$X161)),"YES","NO")</f>
        <v>NO</v>
      </c>
      <c r="AJ234" s="252" t="str">
        <f>IF(ISNUMBER(SEARCH("C", 'WetLitterbags placem_collection'!$V161)),"YES","NO")</f>
        <v>NO</v>
      </c>
      <c r="AK234" s="252" t="str">
        <f>IF(ISNUMBER(SEARCH("H", 'WetLitterbags placem_collection'!$V161)),"YES","NO")</f>
        <v>NO</v>
      </c>
      <c r="AL234" s="252" t="str">
        <f>IF(ISNUMBER(SEARCH("R", 'WetLitterbags placem_collection'!$V161)),"YES","NO")</f>
        <v>NO</v>
      </c>
    </row>
    <row r="235" spans="2:38">
      <c r="B235" t="str">
        <f>'Final data_for_R_analysis_Wetse'!A161</f>
        <v>Wet</v>
      </c>
      <c r="C235" s="260">
        <f>'Final data_for_R_analysis_Wetse'!B161</f>
        <v>160</v>
      </c>
      <c r="D235" t="s">
        <v>3824</v>
      </c>
      <c r="E235" t="s">
        <v>22</v>
      </c>
      <c r="F235" s="382">
        <v>8</v>
      </c>
      <c r="G235" s="16">
        <f>'WetLitterbags placem_collection'!E162</f>
        <v>42762</v>
      </c>
      <c r="H235" t="str">
        <f>'Final data_for_R_analysis_Wetse'!K161</f>
        <v>G809</v>
      </c>
      <c r="I235" t="str">
        <f>'Final data_for_R_analysis_Wetse'!K381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31"/>
        <v>1.6781999999999999</v>
      </c>
      <c r="M235" s="194">
        <f>AVERAGE(Ashed_controlls!$K$2:$K$11)</f>
        <v>5.5147656768714146</v>
      </c>
      <c r="N235" s="194">
        <f t="shared" si="28"/>
        <v>1.5856512024107439</v>
      </c>
      <c r="O235" s="194">
        <f t="shared" si="32"/>
        <v>1.9672000000000001</v>
      </c>
      <c r="P235" s="194">
        <f>AVERAGE(Ashed_controlls!$K$12:$K$14)</f>
        <v>2.2816647271287041</v>
      </c>
      <c r="Q235" s="194">
        <f t="shared" si="33"/>
        <v>1.9223150914879241</v>
      </c>
      <c r="R235" s="16">
        <f>IF('WetLitterbags placem_collection'!G162="","",'WetLitterbags placem_collection'!G162)</f>
        <v>42816</v>
      </c>
      <c r="S235" s="194">
        <f>IFERROR(INDEX('Both teabags AfterWet'!$C$3:$C$2000,MATCH(H235,'Both teabags AfterWet'!$A$3:$A$2000,0)),"")</f>
        <v>0.72</v>
      </c>
      <c r="T235" s="194">
        <f>IFERROR(INDEX('Both teabags AfterWet'!$C$3:$C$2000,MATCH(I235,'Both teabags AfterWet'!$A$3:$A$2000,0)),"")</f>
        <v>1.744</v>
      </c>
      <c r="U235" s="194">
        <f t="shared" si="34"/>
        <v>0.56939999999999991</v>
      </c>
      <c r="V235" s="194">
        <f t="shared" si="35"/>
        <v>1.5933999999999999</v>
      </c>
      <c r="W235" s="194">
        <f>IFERROR(INDEX('Ashed teabags wet'!$K$2:$K$2000,MATCH(H235,'Ashed teabags wet'!$A$2:$A$2000,0)),"")</f>
        <v>14.278846153846089</v>
      </c>
      <c r="X235" s="237">
        <f>IFERROR(INDEX('Ashed teabags wet'!$K$2:$K$2000,MATCH(I235,'Ashed teabags wet'!$A$2:$A$2000,0)),"")</f>
        <v>4.8926610084872157</v>
      </c>
      <c r="Y235" s="194">
        <f t="shared" si="40"/>
        <v>0.48809625000000029</v>
      </c>
      <c r="Z235" s="194">
        <f t="shared" si="40"/>
        <v>1.5154403394907647</v>
      </c>
      <c r="AA235" s="194">
        <f t="shared" si="36"/>
        <v>0.69217930825018548</v>
      </c>
      <c r="AB235" s="194">
        <f t="shared" si="37"/>
        <v>0.45378025909038294</v>
      </c>
      <c r="AC235" s="194">
        <f t="shared" si="29"/>
        <v>0.78834127984594493</v>
      </c>
      <c r="AD235">
        <f t="shared" si="30"/>
        <v>54</v>
      </c>
      <c r="AE235" s="194">
        <f t="shared" si="38"/>
        <v>0.17793431324205999</v>
      </c>
      <c r="AF235" s="194">
        <f t="shared" si="39"/>
        <v>1.1632837832659972E-2</v>
      </c>
      <c r="AG235" s="252" t="str">
        <f>IF(ISNUMBER(SEARCH("C",'WetLitterbags placem_collection'!$X162)),"YES","NO")</f>
        <v>NO</v>
      </c>
      <c r="AH235" s="252" t="str">
        <f>IF(ISNUMBER(SEARCH("H", 'WetLitterbags placem_collection'!$X162)),"YES","NO")</f>
        <v>NO</v>
      </c>
      <c r="AI235" s="252" t="str">
        <f>IF(ISNUMBER(SEARCH("R", 'WetLitterbags placem_collection'!$X162)),"YES","NO")</f>
        <v>YES</v>
      </c>
      <c r="AJ235" s="252" t="str">
        <f>IF(ISNUMBER(SEARCH("C", 'WetLitterbags placem_collection'!$V162)),"YES","NO")</f>
        <v>NO</v>
      </c>
      <c r="AK235" s="252" t="str">
        <f>IF(ISNUMBER(SEARCH("H", 'WetLitterbags placem_collection'!$V162)),"YES","NO")</f>
        <v>NO</v>
      </c>
      <c r="AL235" s="252" t="str">
        <f>IF(ISNUMBER(SEARCH("R", 'WetLitterbags placem_collection'!$V162)),"YES","NO")</f>
        <v>YES</v>
      </c>
    </row>
    <row r="236" spans="2:38">
      <c r="B236" t="str">
        <f>'Final data_for_R_analysis_Wetse'!A162</f>
        <v>Wet</v>
      </c>
      <c r="C236" s="260">
        <f>'Final data_for_R_analysis_Wetse'!B162</f>
        <v>161</v>
      </c>
      <c r="D236" t="s">
        <v>3825</v>
      </c>
      <c r="E236" t="s">
        <v>22</v>
      </c>
      <c r="F236" s="381">
        <v>1</v>
      </c>
      <c r="G236" s="16">
        <f>'WetLitterbags placem_collection'!E163</f>
        <v>42763</v>
      </c>
      <c r="H236" t="str">
        <f>'Final data_for_R_analysis_Wetse'!K162</f>
        <v>G352</v>
      </c>
      <c r="I236" t="str">
        <f>'Final data_for_R_analysis_Wetse'!K382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31"/>
        <v>1.6992</v>
      </c>
      <c r="M236" s="194">
        <f>AVERAGE(Ashed_controlls!$K$2:$K$11)</f>
        <v>5.5147656768714146</v>
      </c>
      <c r="N236" s="194">
        <f t="shared" si="28"/>
        <v>1.6054931016186009</v>
      </c>
      <c r="O236" s="194">
        <f t="shared" si="32"/>
        <v>1.9622000000000002</v>
      </c>
      <c r="P236" s="194">
        <f>AVERAGE(Ashed_controlls!$K$12:$K$14)</f>
        <v>2.2816647271287041</v>
      </c>
      <c r="Q236" s="194">
        <f t="shared" si="33"/>
        <v>1.9174291747242806</v>
      </c>
      <c r="R236" s="16">
        <f>IF('WetLitterbags placem_collection'!G163="","",'WetLitterbags placem_collection'!G163)</f>
        <v>42814</v>
      </c>
      <c r="S236" s="194">
        <f>IFERROR(INDEX('Both teabags AfterWet'!$C$3:$C$2000,MATCH(H236,'Both teabags AfterWet'!$A$3:$A$2000,0)),"")</f>
        <v>0.57509999999999994</v>
      </c>
      <c r="T236" s="194">
        <f>IFERROR(INDEX('Both teabags AfterWet'!$C$3:$C$2000,MATCH(I236,'Both teabags AfterWet'!$A$3:$A$2000,0)),"")</f>
        <v>1.6863999999999999</v>
      </c>
      <c r="U236" s="194">
        <f t="shared" si="34"/>
        <v>0.42449999999999993</v>
      </c>
      <c r="V236" s="194">
        <f t="shared" si="35"/>
        <v>1.5357999999999998</v>
      </c>
      <c r="W236" s="194">
        <f>IFERROR(INDEX('Ashed teabags wet'!$K$2:$K$2000,MATCH(H236,'Ashed teabags wet'!$A$2:$A$2000,0)),"")</f>
        <v>6.9085487077541252</v>
      </c>
      <c r="X236" s="237">
        <f>IFERROR(INDEX('Ashed teabags wet'!$K$2:$K$2000,MATCH(I236,'Ashed teabags wet'!$A$2:$A$2000,0)),"")</f>
        <v>1.0140028971511033</v>
      </c>
      <c r="Y236" s="194">
        <f t="shared" si="40"/>
        <v>0.3951732107355837</v>
      </c>
      <c r="Z236" s="194">
        <f t="shared" si="40"/>
        <v>1.5202269435055531</v>
      </c>
      <c r="AA236" s="194">
        <f t="shared" si="36"/>
        <v>0.75386178219191091</v>
      </c>
      <c r="AB236" s="194">
        <f t="shared" si="37"/>
        <v>0.49421817549873504</v>
      </c>
      <c r="AC236" s="194">
        <f t="shared" si="29"/>
        <v>0.79284646522819091</v>
      </c>
      <c r="AD236">
        <f t="shared" si="30"/>
        <v>51</v>
      </c>
      <c r="AE236" s="194">
        <f t="shared" si="38"/>
        <v>0.10467721829939314</v>
      </c>
      <c r="AF236" s="194">
        <f t="shared" si="39"/>
        <v>1.0652346099666919E-2</v>
      </c>
      <c r="AG236" s="252" t="str">
        <f>IF(ISNUMBER(SEARCH("C",'WetLitterbags placem_collection'!$X163)),"YES","NO")</f>
        <v>NO</v>
      </c>
      <c r="AH236" s="252" t="str">
        <f>IF(ISNUMBER(SEARCH("H", 'WetLitterbags placem_collection'!$X163)),"YES","NO")</f>
        <v>NO</v>
      </c>
      <c r="AI236" s="252" t="str">
        <f>IF(ISNUMBER(SEARCH("R", 'WetLitterbags placem_collection'!$X163)),"YES","NO")</f>
        <v>NO</v>
      </c>
      <c r="AJ236" s="252" t="str">
        <f>IF(ISNUMBER(SEARCH("C", 'WetLitterbags placem_collection'!$V163)),"YES","NO")</f>
        <v>NO</v>
      </c>
      <c r="AK236" s="252" t="str">
        <f>IF(ISNUMBER(SEARCH("H", 'WetLitterbags placem_collection'!$V163)),"YES","NO")</f>
        <v>NO</v>
      </c>
      <c r="AL236" s="252" t="str">
        <f>IF(ISNUMBER(SEARCH("R", 'WetLitterbags placem_collection'!$V163)),"YES","NO")</f>
        <v>NO</v>
      </c>
    </row>
    <row r="237" spans="2:38">
      <c r="B237" t="str">
        <f>'Final data_for_R_analysis_Wetse'!A163</f>
        <v>Wet</v>
      </c>
      <c r="C237" s="260">
        <f>'Final data_for_R_analysis_Wetse'!B163</f>
        <v>162</v>
      </c>
      <c r="D237" t="s">
        <v>3825</v>
      </c>
      <c r="E237" t="s">
        <v>22</v>
      </c>
      <c r="F237" s="381">
        <v>2</v>
      </c>
      <c r="G237" s="16">
        <f>'WetLitterbags placem_collection'!E164</f>
        <v>42763</v>
      </c>
      <c r="H237" t="str">
        <f>'Final data_for_R_analysis_Wetse'!K163</f>
        <v>G385</v>
      </c>
      <c r="I237" t="str">
        <f>'Final data_for_R_analysis_Wetse'!K383</f>
        <v>R202</v>
      </c>
      <c r="J237">
        <f>IFERROR(INDEX('Green_rooibos initial weight'!$C$5:$C$2000,MATCH(H237, 'Green_rooibos initial weight'!$A$5:$A$2000,0)),"")</f>
        <v>1.962</v>
      </c>
      <c r="K237">
        <f>IFERROR(INDEX('Green_rooibos initial weight'!$C$5:$C$2000,MATCH(I237, 'Green_rooibos initial weight'!$A$5:$A$2000,0)),"")</f>
        <v>2.298</v>
      </c>
      <c r="L237" s="194">
        <f t="shared" si="31"/>
        <v>1.7121999999999999</v>
      </c>
      <c r="M237" s="194">
        <f>AVERAGE(Ashed_controlls!$K$2:$K$11)</f>
        <v>5.5147656768714146</v>
      </c>
      <c r="N237" s="194">
        <f t="shared" si="28"/>
        <v>1.6177761820806076</v>
      </c>
      <c r="O237" s="194">
        <f t="shared" si="32"/>
        <v>2.0482</v>
      </c>
      <c r="P237" s="194">
        <f>AVERAGE(Ashed_controlls!$K$12:$K$14)</f>
        <v>2.2816647271287041</v>
      </c>
      <c r="Q237" s="194">
        <f t="shared" si="33"/>
        <v>2.0014669430589498</v>
      </c>
      <c r="R237" s="16">
        <f>IF('WetLitterbags placem_collection'!G164="","",'WetLitterbags placem_collection'!G164)</f>
        <v>42814</v>
      </c>
      <c r="S237" s="194">
        <f>IFERROR(INDEX('Both teabags AfterWet'!$C$3:$C$2000,MATCH(H237,'Both teabags AfterWet'!$A$3:$A$2000,0)),"")</f>
        <v>0.62280000000000002</v>
      </c>
      <c r="T237" s="194">
        <f>IFERROR(INDEX('Both teabags AfterWet'!$C$3:$C$2000,MATCH(I237,'Both teabags AfterWet'!$A$3:$A$2000,0)),"")</f>
        <v>0.52</v>
      </c>
      <c r="U237" s="194">
        <f t="shared" si="34"/>
        <v>0.47220000000000001</v>
      </c>
      <c r="V237" s="194">
        <f t="shared" si="35"/>
        <v>0.36940000000000001</v>
      </c>
      <c r="W237" s="194">
        <f>IFERROR(INDEX('Ashed teabags wet'!$K$2:$K$2000,MATCH(H237,'Ashed teabags wet'!$A$2:$A$2000,0)),"")</f>
        <v>8.5545722713864567</v>
      </c>
      <c r="X237" s="237">
        <f>IFERROR(INDEX('Ashed teabags wet'!$K$2:$K$2000,MATCH(I237,'Ashed teabags wet'!$A$2:$A$2000,0)),"")</f>
        <v>79.460269865066508</v>
      </c>
      <c r="Y237" s="194">
        <f t="shared" si="40"/>
        <v>0.43180530973451314</v>
      </c>
      <c r="Z237" s="194">
        <f t="shared" si="40"/>
        <v>7.5873763118444293E-2</v>
      </c>
      <c r="AA237" s="194">
        <f t="shared" si="36"/>
        <v>0.73308711395468062</v>
      </c>
      <c r="AB237" s="194">
        <f t="shared" si="37"/>
        <v>0.4805986780320472</v>
      </c>
      <c r="AC237" s="194">
        <f t="shared" si="29"/>
        <v>3.7909076331024652E-2</v>
      </c>
      <c r="AD237">
        <f t="shared" si="30"/>
        <v>51</v>
      </c>
      <c r="AE237" s="194">
        <f t="shared" si="38"/>
        <v>0.12935022095643633</v>
      </c>
      <c r="AF237" s="194" t="str">
        <f t="shared" si="39"/>
        <v/>
      </c>
      <c r="AG237" s="252" t="str">
        <f>IF(ISNUMBER(SEARCH("C",'WetLitterbags placem_collection'!$X164)),"YES","NO")</f>
        <v>NO</v>
      </c>
      <c r="AH237" s="252" t="str">
        <f>IF(ISNUMBER(SEARCH("H", 'WetLitterbags placem_collection'!$X164)),"YES","NO")</f>
        <v>NO</v>
      </c>
      <c r="AI237" s="252" t="str">
        <f>IF(ISNUMBER(SEARCH("R", 'WetLitterbags placem_collection'!$X164)),"YES","NO")</f>
        <v>NO</v>
      </c>
      <c r="AJ237" s="252" t="str">
        <f>IF(ISNUMBER(SEARCH("C", 'WetLitterbags placem_collection'!$V164)),"YES","NO")</f>
        <v>NO</v>
      </c>
      <c r="AK237" s="252" t="str">
        <f>IF(ISNUMBER(SEARCH("H", 'WetLitterbags placem_collection'!$V164)),"YES","NO")</f>
        <v>NO</v>
      </c>
      <c r="AL237" s="252" t="str">
        <f>IF(ISNUMBER(SEARCH("R", 'WetLitterbags placem_collection'!$V164)),"YES","NO")</f>
        <v>NO</v>
      </c>
    </row>
    <row r="238" spans="2:38">
      <c r="B238" t="str">
        <f>'Final data_for_R_analysis_Wetse'!A164</f>
        <v>Wet</v>
      </c>
      <c r="C238" s="260">
        <f>'Final data_for_R_analysis_Wetse'!B164</f>
        <v>163</v>
      </c>
      <c r="D238" t="s">
        <v>3825</v>
      </c>
      <c r="E238" t="s">
        <v>22</v>
      </c>
      <c r="F238" s="381">
        <v>3</v>
      </c>
      <c r="G238" s="16">
        <f>'WetLitterbags placem_collection'!E165</f>
        <v>42763</v>
      </c>
      <c r="H238" t="str">
        <f>'Final data_for_R_analysis_Wetse'!K164</f>
        <v>G202</v>
      </c>
      <c r="I238" t="str">
        <f>'Final data_for_R_analysis_Wetse'!K384</f>
        <v>R96</v>
      </c>
      <c r="J238">
        <f>IFERROR(INDEX('Green_rooibos initial weight'!$C$5:$C$2000,MATCH(H238, 'Green_rooibos initial weight'!$A$5:$A$2000,0)),"")</f>
        <v>1.986</v>
      </c>
      <c r="K238">
        <f>IFERROR(INDEX('Green_rooibos initial weight'!$C$5:$C$2000,MATCH(I238, 'Green_rooibos initial weight'!$A$5:$A$2000,0)),"")</f>
        <v>2.2309999999999999</v>
      </c>
      <c r="L238" s="194">
        <f t="shared" si="31"/>
        <v>1.7362</v>
      </c>
      <c r="M238" s="194">
        <f>AVERAGE(Ashed_controlls!$K$2:$K$11)</f>
        <v>5.5147656768714146</v>
      </c>
      <c r="N238" s="194">
        <f t="shared" si="28"/>
        <v>1.6404526383181586</v>
      </c>
      <c r="O238" s="194">
        <f t="shared" si="32"/>
        <v>1.9811999999999999</v>
      </c>
      <c r="P238" s="194">
        <f>AVERAGE(Ashed_controlls!$K$12:$K$14)</f>
        <v>2.2816647271287041</v>
      </c>
      <c r="Q238" s="194">
        <f t="shared" si="33"/>
        <v>1.935995658426126</v>
      </c>
      <c r="R238" s="16">
        <f>IF('WetLitterbags placem_collection'!G165="","",'WetLitterbags placem_collection'!G165)</f>
        <v>42814</v>
      </c>
      <c r="S238" s="194">
        <f>IFERROR(INDEX('Both teabags AfterWet'!$C$3:$C$2000,MATCH(H238,'Both teabags AfterWet'!$A$3:$A$2000,0)),"")</f>
        <v>0.64500000000000002</v>
      </c>
      <c r="T238" s="194">
        <f>IFERROR(INDEX('Both teabags AfterWet'!$C$3:$C$2000,MATCH(I238,'Both teabags AfterWet'!$A$3:$A$2000,0)),"")</f>
        <v>1.696</v>
      </c>
      <c r="U238" s="194">
        <f t="shared" si="34"/>
        <v>0.49440000000000001</v>
      </c>
      <c r="V238" s="194">
        <f t="shared" si="35"/>
        <v>1.5453999999999999</v>
      </c>
      <c r="W238" s="194">
        <f>IFERROR(INDEX('Ashed teabags wet'!$K$2:$K$2000,MATCH(H238,'Ashed teabags wet'!$A$2:$A$2000,0)),"")</f>
        <v>9.4152626362733951</v>
      </c>
      <c r="X238" s="237">
        <f>IFERROR(INDEX('Ashed teabags wet'!$K$2:$K$2000,MATCH(I238,'Ashed teabags wet'!$A$2:$A$2000,0)),"")</f>
        <v>2.3336643495531879</v>
      </c>
      <c r="Y238" s="194">
        <f t="shared" si="40"/>
        <v>0.44785094152626437</v>
      </c>
      <c r="Z238" s="194">
        <f t="shared" si="40"/>
        <v>1.509335551142005</v>
      </c>
      <c r="AA238" s="194">
        <f t="shared" si="36"/>
        <v>0.72699550656615441</v>
      </c>
      <c r="AB238" s="194">
        <f t="shared" si="37"/>
        <v>0.47660513019538869</v>
      </c>
      <c r="AC238" s="194">
        <f t="shared" si="29"/>
        <v>0.77961721896061709</v>
      </c>
      <c r="AD238">
        <f t="shared" si="30"/>
        <v>51</v>
      </c>
      <c r="AE238" s="194">
        <f t="shared" si="38"/>
        <v>0.13658490906632492</v>
      </c>
      <c r="AF238" s="194">
        <f t="shared" si="39"/>
        <v>1.2169464899257612E-2</v>
      </c>
      <c r="AG238" s="252" t="str">
        <f>IF(ISNUMBER(SEARCH("C",'WetLitterbags placem_collection'!$X165)),"YES","NO")</f>
        <v>NO</v>
      </c>
      <c r="AH238" s="252" t="str">
        <f>IF(ISNUMBER(SEARCH("H", 'WetLitterbags placem_collection'!$X165)),"YES","NO")</f>
        <v>NO</v>
      </c>
      <c r="AI238" s="252" t="str">
        <f>IF(ISNUMBER(SEARCH("R", 'WetLitterbags placem_collection'!$X165)),"YES","NO")</f>
        <v>NO</v>
      </c>
      <c r="AJ238" s="252" t="str">
        <f>IF(ISNUMBER(SEARCH("C", 'WetLitterbags placem_collection'!$V165)),"YES","NO")</f>
        <v>NO</v>
      </c>
      <c r="AK238" s="252" t="str">
        <f>IF(ISNUMBER(SEARCH("H", 'WetLitterbags placem_collection'!$V165)),"YES","NO")</f>
        <v>YES</v>
      </c>
      <c r="AL238" s="252" t="str">
        <f>IF(ISNUMBER(SEARCH("R", 'WetLitterbags placem_collection'!$V165)),"YES","NO")</f>
        <v>NO</v>
      </c>
    </row>
    <row r="239" spans="2:38">
      <c r="B239" t="str">
        <f>'Final data_for_R_analysis_Wetse'!A165</f>
        <v>Wet</v>
      </c>
      <c r="C239" s="260">
        <f>'Final data_for_R_analysis_Wetse'!B165</f>
        <v>164</v>
      </c>
      <c r="D239" t="s">
        <v>3825</v>
      </c>
      <c r="E239" t="s">
        <v>22</v>
      </c>
      <c r="F239" s="382">
        <v>4</v>
      </c>
      <c r="G239" s="16">
        <f>'WetLitterbags placem_collection'!E166</f>
        <v>42763</v>
      </c>
      <c r="H239" t="str">
        <f>'Final data_for_R_analysis_Wetse'!K165</f>
        <v>G686</v>
      </c>
      <c r="I239" t="str">
        <f>'Final data_for_R_analysis_Wetse'!K385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31"/>
        <v>1.7012</v>
      </c>
      <c r="M239" s="194">
        <f>AVERAGE(Ashed_controlls!$K$2:$K$11)</f>
        <v>5.5147656768714146</v>
      </c>
      <c r="N239" s="194">
        <f t="shared" si="28"/>
        <v>1.6073828063050635</v>
      </c>
      <c r="O239" s="194">
        <f t="shared" si="32"/>
        <v>1.9742000000000002</v>
      </c>
      <c r="P239" s="194">
        <f>AVERAGE(Ashed_controlls!$K$12:$K$14)</f>
        <v>2.2816647271287041</v>
      </c>
      <c r="Q239" s="194">
        <f t="shared" si="33"/>
        <v>1.9291553749570254</v>
      </c>
      <c r="R239" s="16">
        <f>IF('WetLitterbags placem_collection'!G166="","",'WetLitterbags placem_collection'!G166)</f>
        <v>42814</v>
      </c>
      <c r="S239" s="194">
        <f>IFERROR(INDEX('Both teabags AfterWet'!$C$3:$C$2000,MATCH(H239,'Both teabags AfterWet'!$A$3:$A$2000,0)),"")</f>
        <v>0.628</v>
      </c>
      <c r="T239" s="194">
        <f>IFERROR(INDEX('Both teabags AfterWet'!$C$3:$C$2000,MATCH(I239,'Both teabags AfterWet'!$A$3:$A$2000,0)),"")</f>
        <v>1.7210000000000001</v>
      </c>
      <c r="U239" s="194">
        <f t="shared" si="34"/>
        <v>0.47739999999999999</v>
      </c>
      <c r="V239" s="194">
        <f t="shared" si="35"/>
        <v>1.5704</v>
      </c>
      <c r="W239" s="194">
        <f>IFERROR(INDEX('Ashed teabags wet'!$K$2:$K$2000,MATCH(H239,'Ashed teabags wet'!$A$2:$A$2000,0)),"")</f>
        <v>9.7268806899849256</v>
      </c>
      <c r="X239" s="237">
        <f>IFERROR(INDEX('Ashed teabags wet'!$K$2:$K$2000,MATCH(I239,'Ashed teabags wet'!$A$2:$A$2000,0)),"")</f>
        <v>2.0937188434697482</v>
      </c>
      <c r="Y239" s="194">
        <f t="shared" si="40"/>
        <v>0.43096387158601196</v>
      </c>
      <c r="Z239" s="194">
        <f t="shared" si="40"/>
        <v>1.5375202392821512</v>
      </c>
      <c r="AA239" s="194">
        <f t="shared" si="36"/>
        <v>0.73188473218978811</v>
      </c>
      <c r="AB239" s="194">
        <f t="shared" si="37"/>
        <v>0.47981041825268772</v>
      </c>
      <c r="AC239" s="194">
        <f t="shared" si="29"/>
        <v>0.79699139801862851</v>
      </c>
      <c r="AD239">
        <f t="shared" si="30"/>
        <v>51</v>
      </c>
      <c r="AE239" s="194">
        <f t="shared" si="38"/>
        <v>0.130778227803102</v>
      </c>
      <c r="AF239" s="194">
        <f t="shared" si="39"/>
        <v>1.0786064284598601E-2</v>
      </c>
      <c r="AG239" s="252" t="str">
        <f>IF(ISNUMBER(SEARCH("C",'WetLitterbags placem_collection'!$X166)),"YES","NO")</f>
        <v>NO</v>
      </c>
      <c r="AH239" s="252" t="str">
        <f>IF(ISNUMBER(SEARCH("H", 'WetLitterbags placem_collection'!$X166)),"YES","NO")</f>
        <v>NO</v>
      </c>
      <c r="AI239" s="252" t="str">
        <f>IF(ISNUMBER(SEARCH("R", 'WetLitterbags placem_collection'!$X166)),"YES","NO")</f>
        <v>NO</v>
      </c>
      <c r="AJ239" s="252" t="str">
        <f>IF(ISNUMBER(SEARCH("C", 'WetLitterbags placem_collection'!$V166)),"YES","NO")</f>
        <v>NO</v>
      </c>
      <c r="AK239" s="252" t="str">
        <f>IF(ISNUMBER(SEARCH("H", 'WetLitterbags placem_collection'!$V166)),"YES","NO")</f>
        <v>NO</v>
      </c>
      <c r="AL239" s="252" t="str">
        <f>IF(ISNUMBER(SEARCH("R", 'WetLitterbags placem_collection'!$V166)),"YES","NO")</f>
        <v>NO</v>
      </c>
    </row>
    <row r="240" spans="2:38">
      <c r="B240" t="str">
        <f>'Final data_for_R_analysis_Wetse'!A166</f>
        <v>Wet</v>
      </c>
      <c r="C240" s="260">
        <f>'Final data_for_R_analysis_Wetse'!B166</f>
        <v>165</v>
      </c>
      <c r="D240" t="s">
        <v>3825</v>
      </c>
      <c r="E240" t="s">
        <v>22</v>
      </c>
      <c r="F240" s="382">
        <v>5</v>
      </c>
      <c r="G240" s="16">
        <f>'WetLitterbags placem_collection'!E167</f>
        <v>42763</v>
      </c>
      <c r="H240" t="str">
        <f>'Final data_for_R_analysis_Wetse'!K166</f>
        <v>G368</v>
      </c>
      <c r="I240" t="str">
        <f>'Final data_for_R_analysis_Wetse'!K386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31"/>
        <v>1.9211999999999998</v>
      </c>
      <c r="M240" s="194">
        <f>AVERAGE(Ashed_controlls!$K$2:$K$11)</f>
        <v>5.5147656768714146</v>
      </c>
      <c r="N240" s="194">
        <f t="shared" si="28"/>
        <v>1.8152503218159461</v>
      </c>
      <c r="O240" s="194">
        <f t="shared" si="32"/>
        <v>1.9912000000000001</v>
      </c>
      <c r="P240" s="194">
        <f>AVERAGE(Ashed_controlls!$K$12:$K$14)</f>
        <v>2.2816647271287041</v>
      </c>
      <c r="Q240" s="194">
        <f t="shared" si="33"/>
        <v>1.9457674919534134</v>
      </c>
      <c r="R240" s="16">
        <f>IF('WetLitterbags placem_collection'!G167="","",'WetLitterbags placem_collection'!G167)</f>
        <v>42814</v>
      </c>
      <c r="S240" s="194">
        <f>IFERROR(INDEX('Both teabags AfterWet'!$C$3:$C$2000,MATCH(H240,'Both teabags AfterWet'!$A$3:$A$2000,0)),"")</f>
        <v>0.72699999999999998</v>
      </c>
      <c r="T240" s="194">
        <f>IFERROR(INDEX('Both teabags AfterWet'!$C$3:$C$2000,MATCH(I240,'Both teabags AfterWet'!$A$3:$A$2000,0)),"")</f>
        <v>1.724</v>
      </c>
      <c r="U240" s="194">
        <f t="shared" si="34"/>
        <v>0.57640000000000002</v>
      </c>
      <c r="V240" s="194">
        <f t="shared" si="35"/>
        <v>1.5733999999999999</v>
      </c>
      <c r="W240" s="194">
        <f>IFERROR(INDEX('Ashed teabags wet'!$K$2:$K$2000,MATCH(H240,'Ashed teabags wet'!$A$2:$A$2000,0)),"")</f>
        <v>7.2371638141808248</v>
      </c>
      <c r="X240" s="237">
        <f>IFERROR(INDEX('Ashed teabags wet'!$K$2:$K$2000,MATCH(I240,'Ashed teabags wet'!$A$2:$A$2000,0)),"")</f>
        <v>2.562929061785161</v>
      </c>
      <c r="Y240" s="194">
        <f t="shared" si="40"/>
        <v>0.53468498777506179</v>
      </c>
      <c r="Z240" s="194">
        <f t="shared" si="40"/>
        <v>1.5330748741418723</v>
      </c>
      <c r="AA240" s="194">
        <f t="shared" si="36"/>
        <v>0.70544834431420356</v>
      </c>
      <c r="AB240" s="194">
        <f t="shared" si="37"/>
        <v>0.46247919959791017</v>
      </c>
      <c r="AC240" s="194">
        <f t="shared" si="29"/>
        <v>0.78790239865852274</v>
      </c>
      <c r="AD240">
        <f t="shared" si="30"/>
        <v>51</v>
      </c>
      <c r="AE240" s="194">
        <f t="shared" si="38"/>
        <v>0.16217536304726421</v>
      </c>
      <c r="AF240" s="194">
        <f t="shared" si="39"/>
        <v>1.2031675195383265E-2</v>
      </c>
      <c r="AG240" s="252" t="str">
        <f>IF(ISNUMBER(SEARCH("C",'WetLitterbags placem_collection'!$X167)),"YES","NO")</f>
        <v>NO</v>
      </c>
      <c r="AH240" s="252" t="str">
        <f>IF(ISNUMBER(SEARCH("H", 'WetLitterbags placem_collection'!$X167)),"YES","NO")</f>
        <v>NO</v>
      </c>
      <c r="AI240" s="252" t="str">
        <f>IF(ISNUMBER(SEARCH("R", 'WetLitterbags placem_collection'!$X167)),"YES","NO")</f>
        <v>NO</v>
      </c>
      <c r="AJ240" s="252" t="str">
        <f>IF(ISNUMBER(SEARCH("C", 'WetLitterbags placem_collection'!$V167)),"YES","NO")</f>
        <v>NO</v>
      </c>
      <c r="AK240" s="252" t="str">
        <f>IF(ISNUMBER(SEARCH("H", 'WetLitterbags placem_collection'!$V167)),"YES","NO")</f>
        <v>NO</v>
      </c>
      <c r="AL240" s="252" t="str">
        <f>IF(ISNUMBER(SEARCH("R", 'WetLitterbags placem_collection'!$V167)),"YES","NO")</f>
        <v>NO</v>
      </c>
    </row>
    <row r="241" spans="2:38">
      <c r="B241" t="str">
        <f>'Final data_for_R_analysis_Wetse'!A167</f>
        <v>Wet</v>
      </c>
      <c r="C241" s="260">
        <f>'Final data_for_R_analysis_Wetse'!B167</f>
        <v>166</v>
      </c>
      <c r="D241" t="s">
        <v>3825</v>
      </c>
      <c r="E241" t="s">
        <v>22</v>
      </c>
      <c r="F241" s="382">
        <v>6</v>
      </c>
      <c r="G241" s="16">
        <f>'WetLitterbags placem_collection'!E168</f>
        <v>42763</v>
      </c>
      <c r="H241" t="str">
        <f>'Final data_for_R_analysis_Wetse'!K167</f>
        <v>G334</v>
      </c>
      <c r="I241" t="str">
        <f>'Final data_for_R_analysis_Wetse'!K387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31"/>
        <v>1.8212000000000002</v>
      </c>
      <c r="M241" s="194">
        <f>AVERAGE(Ashed_controlls!$K$2:$K$11)</f>
        <v>5.5147656768714146</v>
      </c>
      <c r="N241" s="194">
        <f t="shared" si="28"/>
        <v>1.720765087492818</v>
      </c>
      <c r="O241" s="194">
        <f t="shared" si="32"/>
        <v>1.9462000000000002</v>
      </c>
      <c r="P241" s="194">
        <f>AVERAGE(Ashed_controlls!$K$12:$K$14)</f>
        <v>2.2816647271287041</v>
      </c>
      <c r="Q241" s="194">
        <f t="shared" si="33"/>
        <v>1.9017942410806212</v>
      </c>
      <c r="R241" s="16">
        <f>IF('WetLitterbags placem_collection'!G168="","",'WetLitterbags placem_collection'!G168)</f>
        <v>42814</v>
      </c>
      <c r="S241" s="194">
        <f>IFERROR(INDEX('Both teabags AfterWet'!$C$3:$C$2000,MATCH(H241,'Both teabags AfterWet'!$A$3:$A$2000,0)),"")</f>
        <v>0.80800000000000005</v>
      </c>
      <c r="T241" s="194">
        <f>IFERROR(INDEX('Both teabags AfterWet'!$C$3:$C$2000,MATCH(I241,'Both teabags AfterWet'!$A$3:$A$2000,0)),"")</f>
        <v>1.6496999999999999</v>
      </c>
      <c r="U241" s="194">
        <f t="shared" si="34"/>
        <v>0.65739999999999998</v>
      </c>
      <c r="V241" s="194">
        <f t="shared" si="35"/>
        <v>1.4990999999999999</v>
      </c>
      <c r="W241" s="194">
        <f>IFERROR(INDEX('Ashed teabags wet'!$K$2:$K$2000,MATCH(H241,'Ashed teabags wet'!$A$2:$A$2000,0)),"")</f>
        <v>13.234567901234151</v>
      </c>
      <c r="X241" s="237">
        <f>IFERROR(INDEX('Ashed teabags wet'!$K$2:$K$2000,MATCH(I241,'Ashed teabags wet'!$A$2:$A$2000,0)),"")</f>
        <v>1.9136408243378245</v>
      </c>
      <c r="Y241" s="194">
        <f t="shared" si="40"/>
        <v>0.57039595061728665</v>
      </c>
      <c r="Z241" s="194">
        <f t="shared" si="40"/>
        <v>1.4704126104023516</v>
      </c>
      <c r="AA241" s="194">
        <f t="shared" si="36"/>
        <v>0.668521894845994</v>
      </c>
      <c r="AB241" s="194">
        <f t="shared" si="37"/>
        <v>0.43827088593229063</v>
      </c>
      <c r="AC241" s="194">
        <f t="shared" si="29"/>
        <v>0.77317123936964194</v>
      </c>
      <c r="AD241">
        <f t="shared" si="30"/>
        <v>51</v>
      </c>
      <c r="AE241" s="194">
        <f t="shared" si="38"/>
        <v>0.20603100374585037</v>
      </c>
      <c r="AF241" s="194">
        <f t="shared" si="39"/>
        <v>1.4291879577155688E-2</v>
      </c>
      <c r="AG241" s="252" t="str">
        <f>IF(ISNUMBER(SEARCH("C",'WetLitterbags placem_collection'!$X168)),"YES","NO")</f>
        <v>NO</v>
      </c>
      <c r="AH241" s="252" t="str">
        <f>IF(ISNUMBER(SEARCH("H", 'WetLitterbags placem_collection'!$X168)),"YES","NO")</f>
        <v>NO</v>
      </c>
      <c r="AI241" s="252" t="str">
        <f>IF(ISNUMBER(SEARCH("R", 'WetLitterbags placem_collection'!$X168)),"YES","NO")</f>
        <v>NO</v>
      </c>
      <c r="AJ241" s="252" t="str">
        <f>IF(ISNUMBER(SEARCH("C", 'WetLitterbags placem_collection'!$V168)),"YES","NO")</f>
        <v>NO</v>
      </c>
      <c r="AK241" s="252" t="str">
        <f>IF(ISNUMBER(SEARCH("H", 'WetLitterbags placem_collection'!$V168)),"YES","NO")</f>
        <v>NO</v>
      </c>
      <c r="AL241" s="252" t="str">
        <f>IF(ISNUMBER(SEARCH("R", 'WetLitterbags placem_collection'!$V168)),"YES","NO")</f>
        <v>NO</v>
      </c>
    </row>
    <row r="242" spans="2:38">
      <c r="B242" t="str">
        <f>'Final data_for_R_analysis_Wetse'!A168</f>
        <v>Wet</v>
      </c>
      <c r="C242" s="260">
        <f>'Final data_for_R_analysis_Wetse'!B168</f>
        <v>167</v>
      </c>
      <c r="D242" t="s">
        <v>3825</v>
      </c>
      <c r="E242" t="s">
        <v>22</v>
      </c>
      <c r="F242" s="382">
        <v>7</v>
      </c>
      <c r="G242" s="16">
        <f>'WetLitterbags placem_collection'!E169</f>
        <v>42763</v>
      </c>
      <c r="H242" t="str">
        <f>'Final data_for_R_analysis_Wetse'!K168</f>
        <v>G429</v>
      </c>
      <c r="I242" t="str">
        <f>'Final data_for_R_analysis_Wetse'!K388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31"/>
        <v>1.6821999999999999</v>
      </c>
      <c r="M242" s="194">
        <f>AVERAGE(Ashed_controlls!$K$2:$K$11)</f>
        <v>5.5147656768714146</v>
      </c>
      <c r="N242" s="194">
        <f t="shared" si="28"/>
        <v>1.589430611783669</v>
      </c>
      <c r="O242" s="194">
        <f t="shared" si="32"/>
        <v>1.9361999999999999</v>
      </c>
      <c r="P242" s="194">
        <f>AVERAGE(Ashed_controlls!$K$12:$K$14)</f>
        <v>2.2816647271287041</v>
      </c>
      <c r="Q242" s="194">
        <f t="shared" si="33"/>
        <v>1.8920224075533341</v>
      </c>
      <c r="R242" s="16">
        <f>IF('WetLitterbags placem_collection'!G169="","",'WetLitterbags placem_collection'!G169)</f>
        <v>42814</v>
      </c>
      <c r="S242" s="194">
        <f>IFERROR(INDEX('Both teabags AfterWet'!$C$3:$C$2000,MATCH(H242,'Both teabags AfterWet'!$A$3:$A$2000,0)),"")</f>
        <v>0.64529999999999998</v>
      </c>
      <c r="T242" s="194">
        <f>IFERROR(INDEX('Both teabags AfterWet'!$C$3:$C$2000,MATCH(I242,'Both teabags AfterWet'!$A$3:$A$2000,0)),"")</f>
        <v>1.7073</v>
      </c>
      <c r="U242" s="194">
        <f t="shared" si="34"/>
        <v>0.49469999999999997</v>
      </c>
      <c r="V242" s="194">
        <f t="shared" si="35"/>
        <v>1.5567</v>
      </c>
      <c r="W242" s="194">
        <f>IFERROR(INDEX('Ashed teabags wet'!$K$2:$K$2000,MATCH(H242,'Ashed teabags wet'!$A$2:$A$2000,0)),"")</f>
        <v>8.4409136047665729</v>
      </c>
      <c r="X242" s="237">
        <f>IFERROR(INDEX('Ashed teabags wet'!$K$2:$K$2000,MATCH(I242,'Ashed teabags wet'!$A$2:$A$2000,0)),"")</f>
        <v>1.7424975798647639</v>
      </c>
      <c r="Y242" s="194">
        <f t="shared" si="40"/>
        <v>0.45294280039721974</v>
      </c>
      <c r="Z242" s="194">
        <f t="shared" si="40"/>
        <v>1.5295745401742451</v>
      </c>
      <c r="AA242" s="194">
        <f t="shared" si="36"/>
        <v>0.71502826418516974</v>
      </c>
      <c r="AB242" s="194">
        <f t="shared" si="37"/>
        <v>0.46875962212614458</v>
      </c>
      <c r="AC242" s="194">
        <f t="shared" si="29"/>
        <v>0.80843362851722889</v>
      </c>
      <c r="AD242">
        <f t="shared" si="30"/>
        <v>51</v>
      </c>
      <c r="AE242" s="194">
        <f t="shared" si="38"/>
        <v>0.15079778600336136</v>
      </c>
      <c r="AF242" s="194">
        <f t="shared" si="39"/>
        <v>1.0301474227165455E-2</v>
      </c>
      <c r="AG242" s="252" t="str">
        <f>IF(ISNUMBER(SEARCH("C",'WetLitterbags placem_collection'!$X169)),"YES","NO")</f>
        <v>NO</v>
      </c>
      <c r="AH242" s="252" t="str">
        <f>IF(ISNUMBER(SEARCH("H", 'WetLitterbags placem_collection'!$X169)),"YES","NO")</f>
        <v>NO</v>
      </c>
      <c r="AI242" s="252" t="str">
        <f>IF(ISNUMBER(SEARCH("R", 'WetLitterbags placem_collection'!$X169)),"YES","NO")</f>
        <v>NO</v>
      </c>
      <c r="AJ242" s="252" t="str">
        <f>IF(ISNUMBER(SEARCH("C", 'WetLitterbags placem_collection'!$V169)),"YES","NO")</f>
        <v>NO</v>
      </c>
      <c r="AK242" s="252" t="str">
        <f>IF(ISNUMBER(SEARCH("H", 'WetLitterbags placem_collection'!$V169)),"YES","NO")</f>
        <v>NO</v>
      </c>
      <c r="AL242" s="252" t="str">
        <f>IF(ISNUMBER(SEARCH("R", 'WetLitterbags placem_collection'!$V169)),"YES","NO")</f>
        <v>NO</v>
      </c>
    </row>
    <row r="243" spans="2:38">
      <c r="B243" t="str">
        <f>'Final data_for_R_analysis_Wetse'!A169</f>
        <v>Wet</v>
      </c>
      <c r="C243" s="260">
        <f>'Final data_for_R_analysis_Wetse'!B169</f>
        <v>168</v>
      </c>
      <c r="D243" t="s">
        <v>3825</v>
      </c>
      <c r="E243" t="s">
        <v>22</v>
      </c>
      <c r="F243" s="382">
        <v>8</v>
      </c>
      <c r="G243" s="16">
        <f>'WetLitterbags placem_collection'!E170</f>
        <v>42763</v>
      </c>
      <c r="H243" t="str">
        <f>'Final data_for_R_analysis_Wetse'!K169</f>
        <v>G461</v>
      </c>
      <c r="I243" t="str">
        <f>'Final data_for_R_analysis_Wetse'!K389</f>
        <v>R534</v>
      </c>
      <c r="J243">
        <f>IFERROR(INDEX('Green_rooibos initial weight'!$C$5:$C$2000,MATCH(H243, 'Green_rooibos initial weight'!$A$5:$A$2000,0)),"")</f>
        <v>2.1030000000000002</v>
      </c>
      <c r="K243">
        <f>IFERROR(INDEX('Green_rooibos initial weight'!$C$5:$C$2000,MATCH(I243, 'Green_rooibos initial weight'!$A$5:$A$2000,0)),"")</f>
        <v>2.17</v>
      </c>
      <c r="L243" s="194">
        <f t="shared" si="31"/>
        <v>1.8532000000000002</v>
      </c>
      <c r="M243" s="194">
        <f>AVERAGE(Ashed_controlls!$K$2:$K$11)</f>
        <v>5.5147656768714146</v>
      </c>
      <c r="N243" s="194">
        <f t="shared" si="28"/>
        <v>1.7510003624762192</v>
      </c>
      <c r="O243" s="194">
        <f t="shared" si="32"/>
        <v>1.9201999999999999</v>
      </c>
      <c r="P243" s="194">
        <f>AVERAGE(Ashed_controlls!$K$12:$K$14)</f>
        <v>2.2816647271287041</v>
      </c>
      <c r="Q243" s="194">
        <f t="shared" si="33"/>
        <v>1.8763874739096746</v>
      </c>
      <c r="R243" s="16">
        <f>IF('WetLitterbags placem_collection'!G170="","",'WetLitterbags placem_collection'!G170)</f>
        <v>42814</v>
      </c>
      <c r="S243" s="194">
        <f>IFERROR(INDEX('Both teabags AfterWet'!$C$3:$C$2000,MATCH(H243,'Both teabags AfterWet'!$A$3:$A$2000,0)),"")</f>
        <v>0.79400000000000004</v>
      </c>
      <c r="T243" s="194">
        <f>IFERROR(INDEX('Both teabags AfterWet'!$C$3:$C$2000,MATCH(I243,'Both teabags AfterWet'!$A$3:$A$2000,0)),"")</f>
        <v>1.722</v>
      </c>
      <c r="U243" s="194">
        <f t="shared" si="34"/>
        <v>0.64339999999999997</v>
      </c>
      <c r="V243" s="194">
        <f t="shared" si="35"/>
        <v>1.5713999999999999</v>
      </c>
      <c r="W243" s="194">
        <f>IFERROR(INDEX('Ashed teabags wet'!$K$2:$K$2000,MATCH(H243,'Ashed teabags wet'!$A$2:$A$2000,0)),"")</f>
        <v>8.9463220675947444</v>
      </c>
      <c r="X243" s="237">
        <f>IFERROR(INDEX('Ashed teabags wet'!$K$2:$K$2000,MATCH(I243,'Ashed teabags wet'!$A$2:$A$2000,0)),"")</f>
        <v>1.9733596447958683</v>
      </c>
      <c r="Y243" s="194">
        <f t="shared" si="40"/>
        <v>0.58583936381709534</v>
      </c>
      <c r="Z243" s="194">
        <f t="shared" si="40"/>
        <v>1.5403906265416776</v>
      </c>
      <c r="AA243" s="194">
        <f t="shared" si="36"/>
        <v>0.66542590374532162</v>
      </c>
      <c r="AB243" s="194">
        <f t="shared" si="37"/>
        <v>0.43624121005631544</v>
      </c>
      <c r="AC243" s="194">
        <f t="shared" si="29"/>
        <v>0.82093418761322889</v>
      </c>
      <c r="AD243">
        <f t="shared" si="30"/>
        <v>51</v>
      </c>
      <c r="AE243" s="194">
        <f t="shared" si="38"/>
        <v>0.20970795279653009</v>
      </c>
      <c r="AF243" s="194">
        <f t="shared" si="39"/>
        <v>1.0361509630006227E-2</v>
      </c>
      <c r="AG243" s="252" t="str">
        <f>IF(ISNUMBER(SEARCH("C",'WetLitterbags placem_collection'!$X170)),"YES","NO")</f>
        <v>NO</v>
      </c>
      <c r="AH243" s="252" t="str">
        <f>IF(ISNUMBER(SEARCH("H", 'WetLitterbags placem_collection'!$X170)),"YES","NO")</f>
        <v>NO</v>
      </c>
      <c r="AI243" s="252" t="str">
        <f>IF(ISNUMBER(SEARCH("R", 'WetLitterbags placem_collection'!$X170)),"YES","NO")</f>
        <v>NO</v>
      </c>
      <c r="AJ243" s="252" t="str">
        <f>IF(ISNUMBER(SEARCH("C", 'WetLitterbags placem_collection'!$V170)),"YES","NO")</f>
        <v>YES</v>
      </c>
      <c r="AK243" s="252" t="str">
        <f>IF(ISNUMBER(SEARCH("H", 'WetLitterbags placem_collection'!$V170)),"YES","NO")</f>
        <v>YES</v>
      </c>
      <c r="AL243" s="252" t="str">
        <f>IF(ISNUMBER(SEARCH("R", 'WetLitterbags placem_collection'!$V170)),"YES","NO")</f>
        <v>NO</v>
      </c>
    </row>
    <row r="244" spans="2:38">
      <c r="B244" t="str">
        <f>'Final data_for_R_analysis_Wetse'!A170</f>
        <v>Wet</v>
      </c>
      <c r="C244" s="260">
        <f>'Final data_for_R_analysis_Wetse'!B170</f>
        <v>169</v>
      </c>
      <c r="D244" t="s">
        <v>3827</v>
      </c>
      <c r="E244" t="s">
        <v>22</v>
      </c>
      <c r="F244" s="381">
        <v>1</v>
      </c>
      <c r="G244" s="16">
        <f>'WetLitterbags placem_collection'!E171</f>
        <v>42763</v>
      </c>
      <c r="H244" t="str">
        <f>'Final data_for_R_analysis_Wetse'!K170</f>
        <v>G425</v>
      </c>
      <c r="I244" t="str">
        <f>'Final data_for_R_analysis_Wetse'!K390</f>
        <v>R453</v>
      </c>
      <c r="J244">
        <f>IFERROR(INDEX('Green_rooibos initial weight'!$C$5:$C$2000,MATCH(H244, 'Green_rooibos initial weight'!$A$5:$A$2000,0)),"")</f>
        <v>1.9750000000000001</v>
      </c>
      <c r="K244">
        <f>IFERROR(INDEX('Green_rooibos initial weight'!$C$5:$C$2000,MATCH(I244, 'Green_rooibos initial weight'!$A$5:$A$2000,0)),"")</f>
        <v>2.165</v>
      </c>
      <c r="L244" s="194">
        <f t="shared" si="31"/>
        <v>1.7252000000000001</v>
      </c>
      <c r="M244" s="194">
        <f>AVERAGE(Ashed_controlls!$K$2:$K$11)</f>
        <v>5.5147656768714146</v>
      </c>
      <c r="N244" s="194">
        <f t="shared" si="28"/>
        <v>1.6300592625426145</v>
      </c>
      <c r="O244" s="194">
        <f t="shared" si="32"/>
        <v>1.9152</v>
      </c>
      <c r="P244" s="194">
        <f>AVERAGE(Ashed_controlls!$K$12:$K$14)</f>
        <v>2.2816647271287041</v>
      </c>
      <c r="Q244" s="194">
        <f t="shared" si="33"/>
        <v>1.8715015571460312</v>
      </c>
      <c r="R244" s="16">
        <f>IF('WetLitterbags placem_collection'!G171="","",'WetLitterbags placem_collection'!G171)</f>
        <v>42814</v>
      </c>
      <c r="S244" s="194">
        <f>IFERROR(INDEX('Both teabags AfterWet'!$C$3:$C$2000,MATCH(H244,'Both teabags AfterWet'!$A$3:$A$2000,0)),"")</f>
        <v>0.65800000000000003</v>
      </c>
      <c r="T244" s="194">
        <f>IFERROR(INDEX('Both teabags AfterWet'!$C$3:$C$2000,MATCH(I244,'Both teabags AfterWet'!$A$3:$A$2000,0)),"")</f>
        <v>0.14299999999999999</v>
      </c>
      <c r="U244" s="194">
        <f t="shared" si="34"/>
        <v>0.50740000000000007</v>
      </c>
      <c r="V244" s="194">
        <f t="shared" si="35"/>
        <v>-7.6000000000000234E-3</v>
      </c>
      <c r="W244" s="194">
        <f>IFERROR(INDEX('Ashed teabags wet'!$K$2:$K$2000,MATCH(H244,'Ashed teabags wet'!$A$2:$A$2000,0)),"")</f>
        <v>11.404382470119883</v>
      </c>
      <c r="X244" s="237">
        <f>IFERROR(INDEX('Ashed teabags wet'!$K$2:$K$2000,MATCH(I244,'Ashed teabags wet'!$A$2:$A$2000,0)),"")</f>
        <v>0</v>
      </c>
      <c r="Y244" s="194">
        <f t="shared" si="40"/>
        <v>0.44953416334661178</v>
      </c>
      <c r="Z244" s="194">
        <f t="shared" si="40"/>
        <v>-7.6000000000000234E-3</v>
      </c>
      <c r="AA244" s="194">
        <f t="shared" si="36"/>
        <v>0.72422219628664597</v>
      </c>
      <c r="AB244" s="194">
        <f t="shared" si="37"/>
        <v>0.47478699804065155</v>
      </c>
      <c r="AC244" s="194">
        <f t="shared" si="29"/>
        <v>-4.0609103267804569E-3</v>
      </c>
      <c r="AD244">
        <f t="shared" si="30"/>
        <v>51</v>
      </c>
      <c r="AE244" s="194">
        <f t="shared" si="38"/>
        <v>0.13987862673795015</v>
      </c>
      <c r="AF244" s="194" t="str">
        <f t="shared" si="39"/>
        <v/>
      </c>
      <c r="AG244" s="252" t="str">
        <f>IF(ISNUMBER(SEARCH("C",'WetLitterbags placem_collection'!$X171)),"YES","NO")</f>
        <v>NO</v>
      </c>
      <c r="AH244" s="252" t="str">
        <f>IF(ISNUMBER(SEARCH("H", 'WetLitterbags placem_collection'!$X171)),"YES","NO")</f>
        <v>NO</v>
      </c>
      <c r="AI244" s="252" t="str">
        <f>IF(ISNUMBER(SEARCH("R", 'WetLitterbags placem_collection'!$X171)),"YES","NO")</f>
        <v>NO</v>
      </c>
      <c r="AJ244" s="252" t="str">
        <f>IF(ISNUMBER(SEARCH("C", 'WetLitterbags placem_collection'!$V171)),"YES","NO")</f>
        <v>NO</v>
      </c>
      <c r="AK244" s="252" t="str">
        <f>IF(ISNUMBER(SEARCH("H", 'WetLitterbags placem_collection'!$V171)),"YES","NO")</f>
        <v>NO</v>
      </c>
      <c r="AL244" s="252" t="str">
        <f>IF(ISNUMBER(SEARCH("R", 'WetLitterbags placem_collection'!$V171)),"YES","NO")</f>
        <v>NO</v>
      </c>
    </row>
    <row r="245" spans="2:38">
      <c r="B245" t="str">
        <f>'Final data_for_R_analysis_Wetse'!A171</f>
        <v>Wet</v>
      </c>
      <c r="C245" s="260">
        <f>'Final data_for_R_analysis_Wetse'!B171</f>
        <v>170</v>
      </c>
      <c r="D245" t="s">
        <v>3827</v>
      </c>
      <c r="E245" t="s">
        <v>22</v>
      </c>
      <c r="F245" s="381">
        <v>2</v>
      </c>
      <c r="G245" s="16">
        <f>'WetLitterbags placem_collection'!E172</f>
        <v>42763</v>
      </c>
      <c r="H245" t="str">
        <f>'Final data_for_R_analysis_Wetse'!K171</f>
        <v>G433</v>
      </c>
      <c r="I245" t="str">
        <f>'Final data_for_R_analysis_Wetse'!K391</f>
        <v>R330</v>
      </c>
      <c r="J245">
        <f>IFERROR(INDEX('Green_rooibos initial weight'!$C$5:$C$2000,MATCH(H245, 'Green_rooibos initial weight'!$A$5:$A$2000,0)),"")</f>
        <v>2.06</v>
      </c>
      <c r="K245">
        <f>IFERROR(INDEX('Green_rooibos initial weight'!$C$5:$C$2000,MATCH(I245, 'Green_rooibos initial weight'!$A$5:$A$2000,0)),"")</f>
        <v>2.12</v>
      </c>
      <c r="L245" s="194">
        <f t="shared" si="31"/>
        <v>1.8102</v>
      </c>
      <c r="M245" s="194">
        <f>AVERAGE(Ashed_controlls!$K$2:$K$11)</f>
        <v>5.5147656768714146</v>
      </c>
      <c r="N245" s="194">
        <f t="shared" si="28"/>
        <v>1.7103717117172736</v>
      </c>
      <c r="O245" s="194">
        <f t="shared" si="32"/>
        <v>1.8702000000000001</v>
      </c>
      <c r="P245" s="194">
        <f>AVERAGE(Ashed_controlls!$K$12:$K$14)</f>
        <v>2.2816647271287041</v>
      </c>
      <c r="Q245" s="194">
        <f t="shared" si="33"/>
        <v>1.827528306273239</v>
      </c>
      <c r="R245" s="16">
        <f>IF('WetLitterbags placem_collection'!G172="","",'WetLitterbags placem_collection'!G172)</f>
        <v>42814</v>
      </c>
      <c r="S245" s="194">
        <f>IFERROR(INDEX('Both teabags AfterWet'!$C$3:$C$2000,MATCH(H245,'Both teabags AfterWet'!$A$3:$A$2000,0)),"")</f>
        <v>0.64800000000000002</v>
      </c>
      <c r="T245" s="194">
        <f>IFERROR(INDEX('Both teabags AfterWet'!$C$3:$C$2000,MATCH(I245,'Both teabags AfterWet'!$A$3:$A$2000,0)),"")</f>
        <v>1.7769999999999999</v>
      </c>
      <c r="U245" s="194">
        <f t="shared" si="34"/>
        <v>0.49740000000000001</v>
      </c>
      <c r="V245" s="194">
        <f t="shared" si="35"/>
        <v>1.6263999999999998</v>
      </c>
      <c r="W245" s="194">
        <f>IFERROR(INDEX('Ashed teabags wet'!$K$2:$K$2000,MATCH(H245,'Ashed teabags wet'!$A$2:$A$2000,0)),"")</f>
        <v>9.4836146971203146</v>
      </c>
      <c r="X245" s="237">
        <f>IFERROR(INDEX('Ashed teabags wet'!$K$2:$K$2000,MATCH(I245,'Ashed teabags wet'!$A$2:$A$2000,0)),"")</f>
        <v>2.1642892277422194</v>
      </c>
      <c r="Y245" s="194">
        <f t="shared" si="40"/>
        <v>0.45022850049652358</v>
      </c>
      <c r="Z245" s="194">
        <f t="shared" si="40"/>
        <v>1.5912000000000004</v>
      </c>
      <c r="AA245" s="194">
        <f t="shared" si="36"/>
        <v>0.73676569986972118</v>
      </c>
      <c r="AB245" s="194">
        <f t="shared" si="37"/>
        <v>0.48301029255117123</v>
      </c>
      <c r="AC245" s="194">
        <f t="shared" si="29"/>
        <v>0.87068418833130534</v>
      </c>
      <c r="AD245">
        <f t="shared" si="30"/>
        <v>51</v>
      </c>
      <c r="AE245" s="194">
        <f t="shared" si="38"/>
        <v>0.12498135407396527</v>
      </c>
      <c r="AF245" s="194">
        <f t="shared" si="39"/>
        <v>6.1098915866027968E-3</v>
      </c>
      <c r="AG245" s="252" t="str">
        <f>IF(ISNUMBER(SEARCH("C",'WetLitterbags placem_collection'!$X172)),"YES","NO")</f>
        <v>NO</v>
      </c>
      <c r="AH245" s="252" t="str">
        <f>IF(ISNUMBER(SEARCH("H", 'WetLitterbags placem_collection'!$X172)),"YES","NO")</f>
        <v>NO</v>
      </c>
      <c r="AI245" s="252" t="str">
        <f>IF(ISNUMBER(SEARCH("R", 'WetLitterbags placem_collection'!$X172)),"YES","NO")</f>
        <v>NO</v>
      </c>
      <c r="AJ245" s="252" t="str">
        <f>IF(ISNUMBER(SEARCH("C", 'WetLitterbags placem_collection'!$V172)),"YES","NO")</f>
        <v>NO</v>
      </c>
      <c r="AK245" s="252" t="str">
        <f>IF(ISNUMBER(SEARCH("H", 'WetLitterbags placem_collection'!$V172)),"YES","NO")</f>
        <v>NO</v>
      </c>
      <c r="AL245" s="252" t="str">
        <f>IF(ISNUMBER(SEARCH("R", 'WetLitterbags placem_collection'!$V172)),"YES","NO")</f>
        <v>NO</v>
      </c>
    </row>
    <row r="246" spans="2:38">
      <c r="B246" t="str">
        <f>'Final data_for_R_analysis_Wetse'!A172</f>
        <v>Wet</v>
      </c>
      <c r="C246" s="260">
        <f>'Final data_for_R_analysis_Wetse'!B172</f>
        <v>171</v>
      </c>
      <c r="D246" t="s">
        <v>3827</v>
      </c>
      <c r="E246" t="s">
        <v>22</v>
      </c>
      <c r="F246" s="381">
        <v>3</v>
      </c>
      <c r="G246" s="16">
        <f>'WetLitterbags placem_collection'!E173</f>
        <v>42763</v>
      </c>
      <c r="H246" t="str">
        <f>'Final data_for_R_analysis_Wetse'!K172</f>
        <v>G656</v>
      </c>
      <c r="I246" t="str">
        <f>'Final data_for_R_analysis_Wetse'!K392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31"/>
        <v>1.8822000000000001</v>
      </c>
      <c r="M246" s="194">
        <f>AVERAGE(Ashed_controlls!$K$2:$K$11)</f>
        <v>5.5147656768714146</v>
      </c>
      <c r="N246" s="194">
        <f t="shared" si="28"/>
        <v>1.7784010804299264</v>
      </c>
      <c r="O246" s="194">
        <f t="shared" si="32"/>
        <v>1.9262000000000001</v>
      </c>
      <c r="P246" s="194">
        <f>AVERAGE(Ashed_controlls!$K$12:$K$14)</f>
        <v>2.2816647271287041</v>
      </c>
      <c r="Q246" s="194">
        <f t="shared" si="33"/>
        <v>1.8822505740260471</v>
      </c>
      <c r="R246" s="16">
        <f>IF('WetLitterbags placem_collection'!G173="","",'WetLitterbags placem_collection'!G173)</f>
        <v>42814</v>
      </c>
      <c r="S246" s="194">
        <f>IFERROR(INDEX('Both teabags AfterWet'!$C$3:$C$2000,MATCH(H246,'Both teabags AfterWet'!$A$3:$A$2000,0)),"")</f>
        <v>0.63100000000000001</v>
      </c>
      <c r="T246" s="194">
        <f>IFERROR(INDEX('Both teabags AfterWet'!$C$3:$C$2000,MATCH(I246,'Both teabags AfterWet'!$A$3:$A$2000,0)),"")</f>
        <v>1.61</v>
      </c>
      <c r="U246" s="194">
        <f t="shared" si="34"/>
        <v>0.48039999999999999</v>
      </c>
      <c r="V246" s="194">
        <f t="shared" si="35"/>
        <v>1.4594</v>
      </c>
      <c r="W246" s="194">
        <f>IFERROR(INDEX('Ashed teabags wet'!$K$2:$K$2000,MATCH(H246,'Ashed teabags wet'!$A$2:$A$2000,0)),"")</f>
        <v>12.283308568598626</v>
      </c>
      <c r="X246" s="237">
        <f>IFERROR(INDEX('Ashed teabags wet'!$K$2:$K$2000,MATCH(I246,'Ashed teabags wet'!$A$2:$A$2000,0)),"")</f>
        <v>2.9640427599611376</v>
      </c>
      <c r="Y246" s="194">
        <f t="shared" si="40"/>
        <v>0.42139098563645216</v>
      </c>
      <c r="Z246" s="194">
        <f t="shared" si="40"/>
        <v>1.4161427599611272</v>
      </c>
      <c r="AA246" s="194">
        <f t="shared" si="36"/>
        <v>0.76305064685712998</v>
      </c>
      <c r="AB246" s="194">
        <f t="shared" si="37"/>
        <v>0.50024222929351048</v>
      </c>
      <c r="AC246" s="194">
        <f t="shared" si="29"/>
        <v>0.75236675685111531</v>
      </c>
      <c r="AD246">
        <f t="shared" si="30"/>
        <v>51</v>
      </c>
      <c r="AE246" s="194">
        <f t="shared" si="38"/>
        <v>9.3764077366829013E-2</v>
      </c>
      <c r="AF246" s="194">
        <f t="shared" si="39"/>
        <v>1.3397052074721041E-2</v>
      </c>
      <c r="AG246" s="252" t="str">
        <f>IF(ISNUMBER(SEARCH("C",'WetLitterbags placem_collection'!$X173)),"YES","NO")</f>
        <v>NO</v>
      </c>
      <c r="AH246" s="252" t="str">
        <f>IF(ISNUMBER(SEARCH("H", 'WetLitterbags placem_collection'!$X173)),"YES","NO")</f>
        <v>NO</v>
      </c>
      <c r="AI246" s="252" t="str">
        <f>IF(ISNUMBER(SEARCH("R", 'WetLitterbags placem_collection'!$X173)),"YES","NO")</f>
        <v>NO</v>
      </c>
      <c r="AJ246" s="252" t="str">
        <f>IF(ISNUMBER(SEARCH("C", 'WetLitterbags placem_collection'!$V173)),"YES","NO")</f>
        <v>NO</v>
      </c>
      <c r="AK246" s="252" t="str">
        <f>IF(ISNUMBER(SEARCH("H", 'WetLitterbags placem_collection'!$V173)),"YES","NO")</f>
        <v>NO</v>
      </c>
      <c r="AL246" s="252" t="str">
        <f>IF(ISNUMBER(SEARCH("R", 'WetLitterbags placem_collection'!$V173)),"YES","NO")</f>
        <v>YES</v>
      </c>
    </row>
    <row r="247" spans="2:38">
      <c r="B247" t="str">
        <f>'Final data_for_R_analysis_Wetse'!A173</f>
        <v>Wet</v>
      </c>
      <c r="C247" s="260">
        <f>'Final data_for_R_analysis_Wetse'!B173</f>
        <v>172</v>
      </c>
      <c r="D247" t="s">
        <v>3827</v>
      </c>
      <c r="E247" t="s">
        <v>22</v>
      </c>
      <c r="F247" s="382">
        <v>4</v>
      </c>
      <c r="G247" s="16">
        <f>'WetLitterbags placem_collection'!E174</f>
        <v>42763</v>
      </c>
      <c r="H247" t="str">
        <f>'Final data_for_R_analysis_Wetse'!K173</f>
        <v>G281</v>
      </c>
      <c r="I247" t="str">
        <f>'Final data_for_R_analysis_Wetse'!K393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31"/>
        <v>1.7921999999999998</v>
      </c>
      <c r="M247" s="194">
        <f>AVERAGE(Ashed_controlls!$K$2:$K$11)</f>
        <v>5.5147656768714146</v>
      </c>
      <c r="N247" s="194">
        <f t="shared" si="28"/>
        <v>1.6933643695391103</v>
      </c>
      <c r="O247" s="194">
        <f t="shared" si="32"/>
        <v>1.9321999999999999</v>
      </c>
      <c r="P247" s="194">
        <f>AVERAGE(Ashed_controlls!$K$12:$K$14)</f>
        <v>2.2816647271287041</v>
      </c>
      <c r="Q247" s="194">
        <f t="shared" si="33"/>
        <v>1.8881136741424192</v>
      </c>
      <c r="R247" s="16">
        <f>IF('WetLitterbags placem_collection'!G174="","",'WetLitterbags placem_collection'!G174)</f>
        <v>42814</v>
      </c>
      <c r="S247" s="194">
        <f>IFERROR(INDEX('Both teabags AfterWet'!$C$3:$C$2000,MATCH(H247,'Both teabags AfterWet'!$A$3:$A$2000,0)),"")</f>
        <v>0.69520000000000004</v>
      </c>
      <c r="T247" s="194">
        <f>IFERROR(INDEX('Both teabags AfterWet'!$C$3:$C$2000,MATCH(I247,'Both teabags AfterWet'!$A$3:$A$2000,0)),"")</f>
        <v>1.6782000000000001</v>
      </c>
      <c r="U247" s="194">
        <f t="shared" si="34"/>
        <v>0.54459999999999997</v>
      </c>
      <c r="V247" s="194">
        <f t="shared" si="35"/>
        <v>1.5276000000000001</v>
      </c>
      <c r="W247" s="194">
        <f>IFERROR(INDEX('Ashed teabags wet'!$K$2:$K$2000,MATCH(H247,'Ashed teabags wet'!$A$2:$A$2000,0)),"")</f>
        <v>8.6181277860327441</v>
      </c>
      <c r="X247" s="237">
        <f>IFERROR(INDEX('Ashed teabags wet'!$K$2:$K$2000,MATCH(I247,'Ashed teabags wet'!$A$2:$A$2000,0)),"")</f>
        <v>4.6332046332039889</v>
      </c>
      <c r="Y247" s="194">
        <f t="shared" si="40"/>
        <v>0.49766567607726564</v>
      </c>
      <c r="Z247" s="194">
        <f t="shared" si="40"/>
        <v>1.4568231660231759</v>
      </c>
      <c r="AA247" s="194">
        <f t="shared" si="36"/>
        <v>0.70610833378245852</v>
      </c>
      <c r="AB247" s="194">
        <f t="shared" si="37"/>
        <v>0.46291187677899903</v>
      </c>
      <c r="AC247" s="194">
        <f t="shared" si="29"/>
        <v>0.77157598399623084</v>
      </c>
      <c r="AD247">
        <f t="shared" si="30"/>
        <v>51</v>
      </c>
      <c r="AE247" s="194">
        <f t="shared" si="38"/>
        <v>0.16139152757427722</v>
      </c>
      <c r="AF247" s="194">
        <f t="shared" si="39"/>
        <v>1.3335938919816461E-2</v>
      </c>
      <c r="AG247" s="252" t="str">
        <f>IF(ISNUMBER(SEARCH("C",'WetLitterbags placem_collection'!$X174)),"YES","NO")</f>
        <v>NO</v>
      </c>
      <c r="AH247" s="252" t="str">
        <f>IF(ISNUMBER(SEARCH("H", 'WetLitterbags placem_collection'!$X174)),"YES","NO")</f>
        <v>NO</v>
      </c>
      <c r="AI247" s="252" t="str">
        <f>IF(ISNUMBER(SEARCH("R", 'WetLitterbags placem_collection'!$X174)),"YES","NO")</f>
        <v>NO</v>
      </c>
      <c r="AJ247" s="252" t="str">
        <f>IF(ISNUMBER(SEARCH("C", 'WetLitterbags placem_collection'!$V174)),"YES","NO")</f>
        <v>NO</v>
      </c>
      <c r="AK247" s="252" t="str">
        <f>IF(ISNUMBER(SEARCH("H", 'WetLitterbags placem_collection'!$V174)),"YES","NO")</f>
        <v>NO</v>
      </c>
      <c r="AL247" s="252" t="str">
        <f>IF(ISNUMBER(SEARCH("R", 'WetLitterbags placem_collection'!$V174)),"YES","NO")</f>
        <v>YES</v>
      </c>
    </row>
    <row r="248" spans="2:38">
      <c r="B248" t="str">
        <f>'Final data_for_R_analysis_Wetse'!A174</f>
        <v>Wet</v>
      </c>
      <c r="C248" s="260">
        <f>'Final data_for_R_analysis_Wetse'!B174</f>
        <v>173</v>
      </c>
      <c r="D248" t="s">
        <v>3827</v>
      </c>
      <c r="E248" t="s">
        <v>22</v>
      </c>
      <c r="F248" s="382">
        <v>5</v>
      </c>
      <c r="G248" s="16">
        <f>'WetLitterbags placem_collection'!E175</f>
        <v>42763</v>
      </c>
      <c r="H248" t="str">
        <f>'Final data_for_R_analysis_Wetse'!K174</f>
        <v>G216</v>
      </c>
      <c r="I248" t="str">
        <f>'Final data_for_R_analysis_Wetse'!K394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31"/>
        <v>1.8652000000000002</v>
      </c>
      <c r="M248" s="194">
        <f>AVERAGE(Ashed_controlls!$K$2:$K$11)</f>
        <v>5.5147656768714146</v>
      </c>
      <c r="N248" s="194">
        <f t="shared" si="28"/>
        <v>1.7623385905949946</v>
      </c>
      <c r="O248" s="194">
        <f t="shared" si="32"/>
        <v>1.9392</v>
      </c>
      <c r="P248" s="194">
        <f>AVERAGE(Ashed_controlls!$K$12:$K$14)</f>
        <v>2.2816647271287041</v>
      </c>
      <c r="Q248" s="194">
        <f t="shared" si="33"/>
        <v>1.8949539576115202</v>
      </c>
      <c r="R248" s="16">
        <f>IF('WetLitterbags placem_collection'!G175="","",'WetLitterbags placem_collection'!G175)</f>
        <v>42814</v>
      </c>
      <c r="S248" s="194">
        <f>IFERROR(INDEX('Both teabags AfterWet'!$C$3:$C$2000,MATCH(H248,'Both teabags AfterWet'!$A$3:$A$2000,0)),"")</f>
        <v>0.57999999999999996</v>
      </c>
      <c r="T248" s="194">
        <f>IFERROR(INDEX('Both teabags AfterWet'!$C$3:$C$2000,MATCH(I248,'Both teabags AfterWet'!$A$3:$A$2000,0)),"")</f>
        <v>7.1999999999999995E-2</v>
      </c>
      <c r="U248" s="194">
        <f t="shared" si="34"/>
        <v>0.42939999999999995</v>
      </c>
      <c r="V248" s="194">
        <f t="shared" si="35"/>
        <v>-7.8600000000000017E-2</v>
      </c>
      <c r="W248" s="194">
        <f>IFERROR(INDEX('Ashed teabags wet'!$K$2:$K$2000,MATCH(H248,'Ashed teabags wet'!$A$2:$A$2000,0)),"")</f>
        <v>9.4980314960627936</v>
      </c>
      <c r="X248" s="237">
        <f>IFERROR(INDEX('Ashed teabags wet'!$K$2:$K$2000,MATCH(I248,'Ashed teabags wet'!$A$2:$A$2000,0)),"")</f>
        <v>0</v>
      </c>
      <c r="Y248" s="194">
        <f t="shared" si="40"/>
        <v>0.38861545275590631</v>
      </c>
      <c r="Z248" s="194">
        <f t="shared" si="40"/>
        <v>-7.8600000000000017E-2</v>
      </c>
      <c r="AA248" s="194">
        <f t="shared" si="36"/>
        <v>0.77948876859996385</v>
      </c>
      <c r="AB248" s="194">
        <f t="shared" si="37"/>
        <v>0.51101876516292177</v>
      </c>
      <c r="AC248" s="194">
        <f t="shared" si="29"/>
        <v>-4.1478580355097792E-2</v>
      </c>
      <c r="AD248">
        <f t="shared" si="30"/>
        <v>51</v>
      </c>
      <c r="AE248" s="194">
        <f t="shared" si="38"/>
        <v>7.4241367458475205E-2</v>
      </c>
      <c r="AF248" s="194" t="str">
        <f t="shared" si="39"/>
        <v/>
      </c>
      <c r="AG248" s="252" t="str">
        <f>IF(ISNUMBER(SEARCH("C",'WetLitterbags placem_collection'!$X175)),"YES","NO")</f>
        <v>NO</v>
      </c>
      <c r="AH248" s="252" t="str">
        <f>IF(ISNUMBER(SEARCH("H", 'WetLitterbags placem_collection'!$X175)),"YES","NO")</f>
        <v>NO</v>
      </c>
      <c r="AI248" s="252" t="str">
        <f>IF(ISNUMBER(SEARCH("R", 'WetLitterbags placem_collection'!$X175)),"YES","NO")</f>
        <v>NO</v>
      </c>
      <c r="AJ248" s="252" t="str">
        <f>IF(ISNUMBER(SEARCH("C", 'WetLitterbags placem_collection'!$V175)),"YES","NO")</f>
        <v>NO</v>
      </c>
      <c r="AK248" s="252" t="str">
        <f>IF(ISNUMBER(SEARCH("H", 'WetLitterbags placem_collection'!$V175)),"YES","NO")</f>
        <v>NO</v>
      </c>
      <c r="AL248" s="252" t="str">
        <f>IF(ISNUMBER(SEARCH("R", 'WetLitterbags placem_collection'!$V175)),"YES","NO")</f>
        <v>YES</v>
      </c>
    </row>
    <row r="249" spans="2:38">
      <c r="B249" t="str">
        <f>'Final data_for_R_analysis_Wetse'!A175</f>
        <v>Wet</v>
      </c>
      <c r="C249" s="260">
        <f>'Final data_for_R_analysis_Wetse'!B175</f>
        <v>174</v>
      </c>
      <c r="D249" t="s">
        <v>3827</v>
      </c>
      <c r="E249" t="s">
        <v>22</v>
      </c>
      <c r="F249" s="382">
        <v>6</v>
      </c>
      <c r="G249" s="16">
        <f>'WetLitterbags placem_collection'!E176</f>
        <v>42763</v>
      </c>
      <c r="H249" t="str">
        <f>'Final data_for_R_analysis_Wetse'!K175</f>
        <v>G655</v>
      </c>
      <c r="I249" t="str">
        <f>'Final data_for_R_analysis_Wetse'!K395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31"/>
        <v>1.7511999999999999</v>
      </c>
      <c r="M249" s="194">
        <f>AVERAGE(Ashed_controlls!$K$2:$K$11)</f>
        <v>5.5147656768714146</v>
      </c>
      <c r="N249" s="194">
        <f t="shared" si="28"/>
        <v>1.6546254234666278</v>
      </c>
      <c r="O249" s="194">
        <f t="shared" si="32"/>
        <v>1.9512</v>
      </c>
      <c r="P249" s="194">
        <f>AVERAGE(Ashed_controlls!$K$12:$K$14)</f>
        <v>2.2816647271287041</v>
      </c>
      <c r="Q249" s="194">
        <f t="shared" si="33"/>
        <v>1.9066801578442647</v>
      </c>
      <c r="R249" s="16">
        <f>IF('WetLitterbags placem_collection'!G176="","",'WetLitterbags placem_collection'!G176)</f>
        <v>42814</v>
      </c>
      <c r="S249" s="194">
        <f>IFERROR(INDEX('Both teabags AfterWet'!$C$3:$C$2000,MATCH(H249,'Both teabags AfterWet'!$A$3:$A$2000,0)),"")</f>
        <v>0.68300000000000005</v>
      </c>
      <c r="T249" s="194">
        <f>IFERROR(INDEX('Both teabags AfterWet'!$C$3:$C$2000,MATCH(I249,'Both teabags AfterWet'!$A$3:$A$2000,0)),"")</f>
        <v>1.724</v>
      </c>
      <c r="U249" s="194">
        <f t="shared" si="34"/>
        <v>0.53239999999999998</v>
      </c>
      <c r="V249" s="194">
        <f t="shared" si="35"/>
        <v>1.5733999999999999</v>
      </c>
      <c r="W249" s="194">
        <f>IFERROR(INDEX('Ashed teabags wet'!$K$2:$K$2000,MATCH(H249,'Ashed teabags wet'!$A$2:$A$2000,0)),"")</f>
        <v>7.6961026147010658</v>
      </c>
      <c r="X249" s="237">
        <f>IFERROR(INDEX('Ashed teabags wet'!$K$2:$K$2000,MATCH(I249,'Ashed teabags wet'!$A$2:$A$2000,0)),"")</f>
        <v>1.5880893300249692</v>
      </c>
      <c r="Y249" s="194">
        <f t="shared" si="40"/>
        <v>0.49142594967933151</v>
      </c>
      <c r="Z249" s="194">
        <f t="shared" si="40"/>
        <v>1.5484130024813871</v>
      </c>
      <c r="AA249" s="194">
        <f t="shared" si="36"/>
        <v>0.70299867105284863</v>
      </c>
      <c r="AB249" s="194">
        <f t="shared" si="37"/>
        <v>0.46087323802989605</v>
      </c>
      <c r="AC249" s="194">
        <f t="shared" si="29"/>
        <v>0.81209897533735154</v>
      </c>
      <c r="AD249">
        <f t="shared" si="30"/>
        <v>51</v>
      </c>
      <c r="AE249" s="194">
        <f t="shared" si="38"/>
        <v>0.1650847137139565</v>
      </c>
      <c r="AF249" s="194">
        <f t="shared" si="39"/>
        <v>1.0269667176121461E-2</v>
      </c>
      <c r="AG249" s="252" t="str">
        <f>IF(ISNUMBER(SEARCH("C",'WetLitterbags placem_collection'!$X176)),"YES","NO")</f>
        <v>NO</v>
      </c>
      <c r="AH249" s="252" t="str">
        <f>IF(ISNUMBER(SEARCH("H", 'WetLitterbags placem_collection'!$X176)),"YES","NO")</f>
        <v>NO</v>
      </c>
      <c r="AI249" s="252" t="str">
        <f>IF(ISNUMBER(SEARCH("R", 'WetLitterbags placem_collection'!$X176)),"YES","NO")</f>
        <v>NO</v>
      </c>
      <c r="AJ249" s="252" t="str">
        <f>IF(ISNUMBER(SEARCH("C", 'WetLitterbags placem_collection'!$V176)),"YES","NO")</f>
        <v>NO</v>
      </c>
      <c r="AK249" s="252" t="str">
        <f>IF(ISNUMBER(SEARCH("H", 'WetLitterbags placem_collection'!$V176)),"YES","NO")</f>
        <v>NO</v>
      </c>
      <c r="AL249" s="252" t="str">
        <f>IF(ISNUMBER(SEARCH("R", 'WetLitterbags placem_collection'!$V176)),"YES","NO")</f>
        <v>YES</v>
      </c>
    </row>
    <row r="250" spans="2:38">
      <c r="B250" t="str">
        <f>'Final data_for_R_analysis_Wetse'!A176</f>
        <v>Wet</v>
      </c>
      <c r="C250" s="260">
        <f>'Final data_for_R_analysis_Wetse'!B176</f>
        <v>175</v>
      </c>
      <c r="D250" t="s">
        <v>3827</v>
      </c>
      <c r="E250" t="s">
        <v>22</v>
      </c>
      <c r="F250" s="382">
        <v>7</v>
      </c>
      <c r="G250" s="16">
        <f>'WetLitterbags placem_collection'!E177</f>
        <v>42763</v>
      </c>
      <c r="H250" t="str">
        <f>'Final data_for_R_analysis_Wetse'!K176</f>
        <v>G457</v>
      </c>
      <c r="I250" t="str">
        <f>'Final data_for_R_analysis_Wetse'!K396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31"/>
        <v>1.9081999999999999</v>
      </c>
      <c r="M250" s="194">
        <f>AVERAGE(Ashed_controlls!$K$2:$K$11)</f>
        <v>5.5147656768714146</v>
      </c>
      <c r="N250" s="194">
        <f t="shared" si="28"/>
        <v>1.8029672413539395</v>
      </c>
      <c r="O250" s="194">
        <f t="shared" si="32"/>
        <v>1.9872000000000001</v>
      </c>
      <c r="P250" s="194">
        <f>AVERAGE(Ashed_controlls!$K$12:$K$14)</f>
        <v>2.2816647271287041</v>
      </c>
      <c r="Q250" s="194">
        <f t="shared" si="33"/>
        <v>1.9418587585424985</v>
      </c>
      <c r="R250" s="16">
        <f>IF('WetLitterbags placem_collection'!G177="","",'WetLitterbags placem_collection'!G177)</f>
        <v>42814</v>
      </c>
      <c r="S250" s="194">
        <f>IFERROR(INDEX('Both teabags AfterWet'!$C$3:$C$2000,MATCH(H250,'Both teabags AfterWet'!$A$3:$A$2000,0)),"")</f>
        <v>0.68200000000000005</v>
      </c>
      <c r="T250" s="194">
        <f>IFERROR(INDEX('Both teabags AfterWet'!$C$3:$C$2000,MATCH(I250,'Both teabags AfterWet'!$A$3:$A$2000,0)),"")</f>
        <v>0.61699999999999999</v>
      </c>
      <c r="U250" s="194">
        <f t="shared" si="34"/>
        <v>0.53140000000000009</v>
      </c>
      <c r="V250" s="194">
        <f t="shared" si="35"/>
        <v>0.46639999999999998</v>
      </c>
      <c r="W250" s="194">
        <f>IFERROR(INDEX('Ashed teabags wet'!$K$2:$K$2000,MATCH(H250,'Ashed teabags wet'!$A$2:$A$2000,0)),"")</f>
        <v>9.6918489065609759</v>
      </c>
      <c r="X250" s="237">
        <f>IFERROR(INDEX('Ashed teabags wet'!$K$2:$K$2000,MATCH(I250,'Ashed teabags wet'!$A$2:$A$2000,0)),"")</f>
        <v>65.665665665665671</v>
      </c>
      <c r="Y250" s="194">
        <f t="shared" si="40"/>
        <v>0.47989751491053506</v>
      </c>
      <c r="Z250" s="194">
        <f t="shared" si="40"/>
        <v>0.1601353353353353</v>
      </c>
      <c r="AA250" s="194">
        <f t="shared" si="36"/>
        <v>0.7338290436435464</v>
      </c>
      <c r="AB250" s="194">
        <f t="shared" si="37"/>
        <v>0.48108507374256254</v>
      </c>
      <c r="AC250" s="194">
        <f t="shared" si="29"/>
        <v>8.2464975699637469E-2</v>
      </c>
      <c r="AD250">
        <f t="shared" si="30"/>
        <v>51</v>
      </c>
      <c r="AE250" s="194">
        <f t="shared" si="38"/>
        <v>0.12846906930695201</v>
      </c>
      <c r="AF250" s="194" t="str">
        <f t="shared" si="39"/>
        <v/>
      </c>
      <c r="AG250" s="252" t="str">
        <f>IF(ISNUMBER(SEARCH("C",'WetLitterbags placem_collection'!$X177)),"YES","NO")</f>
        <v>NO</v>
      </c>
      <c r="AH250" s="252" t="str">
        <f>IF(ISNUMBER(SEARCH("H", 'WetLitterbags placem_collection'!$X177)),"YES","NO")</f>
        <v>NO</v>
      </c>
      <c r="AI250" s="252" t="str">
        <f>IF(ISNUMBER(SEARCH("R", 'WetLitterbags placem_collection'!$X177)),"YES","NO")</f>
        <v>NO</v>
      </c>
      <c r="AJ250" s="252" t="str">
        <f>IF(ISNUMBER(SEARCH("C", 'WetLitterbags placem_collection'!$V177)),"YES","NO")</f>
        <v>NO</v>
      </c>
      <c r="AK250" s="252" t="str">
        <f>IF(ISNUMBER(SEARCH("H", 'WetLitterbags placem_collection'!$V177)),"YES","NO")</f>
        <v>NO</v>
      </c>
      <c r="AL250" s="252" t="str">
        <f>IF(ISNUMBER(SEARCH("R", 'WetLitterbags placem_collection'!$V177)),"YES","NO")</f>
        <v>NO</v>
      </c>
    </row>
    <row r="251" spans="2:38">
      <c r="B251" t="str">
        <f>'Final data_for_R_analysis_Wetse'!A177</f>
        <v>Wet</v>
      </c>
      <c r="C251" s="260">
        <f>'Final data_for_R_analysis_Wetse'!B177</f>
        <v>176</v>
      </c>
      <c r="D251" t="s">
        <v>3827</v>
      </c>
      <c r="E251" t="s">
        <v>22</v>
      </c>
      <c r="F251" s="382">
        <v>8</v>
      </c>
      <c r="G251" s="16">
        <f>'WetLitterbags placem_collection'!E178</f>
        <v>42763</v>
      </c>
      <c r="H251" t="str">
        <f>'Final data_for_R_analysis_Wetse'!K177</f>
        <v>G454</v>
      </c>
      <c r="I251" t="str">
        <f>'Final data_for_R_analysis_Wetse'!K397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31"/>
        <v>1.8422000000000001</v>
      </c>
      <c r="M251" s="194">
        <f>AVERAGE(Ashed_controlls!$K$2:$K$11)</f>
        <v>5.5147656768714146</v>
      </c>
      <c r="N251" s="194">
        <f t="shared" si="28"/>
        <v>1.7406069867006748</v>
      </c>
      <c r="O251" s="194">
        <f t="shared" si="32"/>
        <v>1.9392</v>
      </c>
      <c r="P251" s="194">
        <f>AVERAGE(Ashed_controlls!$K$12:$K$14)</f>
        <v>2.2816647271287041</v>
      </c>
      <c r="Q251" s="194">
        <f t="shared" si="33"/>
        <v>1.8949539576115202</v>
      </c>
      <c r="R251" s="16">
        <f>IF('WetLitterbags placem_collection'!G178="","",'WetLitterbags placem_collection'!G178)</f>
        <v>42814</v>
      </c>
      <c r="S251" s="194">
        <f>IFERROR(INDEX('Both teabags AfterWet'!$C$3:$C$2000,MATCH(H251,'Both teabags AfterWet'!$A$3:$A$2000,0)),"")</f>
        <v>0.63900000000000001</v>
      </c>
      <c r="T251" s="194">
        <f>IFERROR(INDEX('Both teabags AfterWet'!$C$3:$C$2000,MATCH(I251,'Both teabags AfterWet'!$A$3:$A$2000,0)),"")</f>
        <v>1.694</v>
      </c>
      <c r="U251" s="194">
        <f t="shared" si="34"/>
        <v>0.4884</v>
      </c>
      <c r="V251" s="194">
        <f t="shared" si="35"/>
        <v>1.5433999999999999</v>
      </c>
      <c r="W251" s="194">
        <f>IFERROR(INDEX('Ashed teabags wet'!$K$2:$K$2000,MATCH(H251,'Ashed teabags wet'!$A$2:$A$2000,0)),"")</f>
        <v>10.539215686274888</v>
      </c>
      <c r="X251" s="237">
        <f>IFERROR(INDEX('Ashed teabags wet'!$K$2:$K$2000,MATCH(I251,'Ashed teabags wet'!$A$2:$A$2000,0)),"")</f>
        <v>5.9808612440189712</v>
      </c>
      <c r="Y251" s="194">
        <f t="shared" si="40"/>
        <v>0.43692647058823342</v>
      </c>
      <c r="Z251" s="194">
        <f t="shared" si="40"/>
        <v>1.451091387559811</v>
      </c>
      <c r="AA251" s="194">
        <f t="shared" si="36"/>
        <v>0.74898039940858285</v>
      </c>
      <c r="AB251" s="194">
        <f t="shared" si="37"/>
        <v>0.49101802906595932</v>
      </c>
      <c r="AC251" s="194">
        <f t="shared" si="29"/>
        <v>0.76576603971361279</v>
      </c>
      <c r="AD251">
        <f t="shared" si="30"/>
        <v>51</v>
      </c>
      <c r="AE251" s="194">
        <f t="shared" si="38"/>
        <v>0.11047458502543606</v>
      </c>
      <c r="AF251" s="194">
        <f t="shared" si="39"/>
        <v>1.2710692426803677E-2</v>
      </c>
      <c r="AG251" s="252" t="str">
        <f>IF(ISNUMBER(SEARCH("C",'WetLitterbags placem_collection'!$X178)),"YES","NO")</f>
        <v>NO</v>
      </c>
      <c r="AH251" s="252" t="str">
        <f>IF(ISNUMBER(SEARCH("H", 'WetLitterbags placem_collection'!$X178)),"YES","NO")</f>
        <v>NO</v>
      </c>
      <c r="AI251" s="252" t="str">
        <f>IF(ISNUMBER(SEARCH("R", 'WetLitterbags placem_collection'!$X178)),"YES","NO")</f>
        <v>NO</v>
      </c>
      <c r="AJ251" s="252" t="str">
        <f>IF(ISNUMBER(SEARCH("C", 'WetLitterbags placem_collection'!$V178)),"YES","NO")</f>
        <v>NO</v>
      </c>
      <c r="AK251" s="252" t="str">
        <f>IF(ISNUMBER(SEARCH("H", 'WetLitterbags placem_collection'!$V178)),"YES","NO")</f>
        <v>NO</v>
      </c>
      <c r="AL251" s="252" t="str">
        <f>IF(ISNUMBER(SEARCH("R", 'WetLitterbags placem_collection'!$V178)),"YES","NO")</f>
        <v>NO</v>
      </c>
    </row>
    <row r="252" spans="2:38">
      <c r="B252" t="str">
        <f>'Final data_for_R_analysis_Wetse'!A178</f>
        <v>Wet</v>
      </c>
      <c r="C252" s="260">
        <f>'Final data_for_R_analysis_Wetse'!B178</f>
        <v>177</v>
      </c>
      <c r="D252" t="s">
        <v>3828</v>
      </c>
      <c r="E252" t="s">
        <v>22</v>
      </c>
      <c r="F252" s="381">
        <v>1</v>
      </c>
      <c r="G252" s="16">
        <f>'WetLitterbags placem_collection'!E179</f>
        <v>42763</v>
      </c>
      <c r="H252" t="str">
        <f>'Final data_for_R_analysis_Wetse'!K178</f>
        <v>G362</v>
      </c>
      <c r="I252" t="str">
        <f>'Final data_for_R_analysis_Wetse'!K398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31"/>
        <v>1.8161999999999998</v>
      </c>
      <c r="M252" s="194">
        <f>AVERAGE(Ashed_controlls!$K$2:$K$11)</f>
        <v>5.5147656768714146</v>
      </c>
      <c r="N252" s="194">
        <f t="shared" si="28"/>
        <v>1.7160408257766613</v>
      </c>
      <c r="O252" s="194">
        <f t="shared" si="32"/>
        <v>1.9451999999999998</v>
      </c>
      <c r="P252" s="194">
        <f>AVERAGE(Ashed_controlls!$K$12:$K$14)</f>
        <v>2.2816647271287041</v>
      </c>
      <c r="Q252" s="194">
        <f t="shared" si="33"/>
        <v>1.9008170577278922</v>
      </c>
      <c r="R252" s="16">
        <f>IF('WetLitterbags placem_collection'!G179="","",'WetLitterbags placem_collection'!G179)</f>
        <v>42815</v>
      </c>
      <c r="S252" s="194">
        <f>IFERROR(INDEX('Both teabags AfterWet'!$C$3:$C$2000,MATCH(H252,'Both teabags AfterWet'!$A$3:$A$2000,0)),"")</f>
        <v>0.61299999999999999</v>
      </c>
      <c r="T252" s="194">
        <f>IFERROR(INDEX('Both teabags AfterWet'!$C$3:$C$2000,MATCH(I252,'Both teabags AfterWet'!$A$3:$A$2000,0)),"")</f>
        <v>1.671</v>
      </c>
      <c r="U252" s="194">
        <f t="shared" si="34"/>
        <v>0.46239999999999998</v>
      </c>
      <c r="V252" s="194">
        <f t="shared" si="35"/>
        <v>1.5204</v>
      </c>
      <c r="W252" s="194">
        <f>IFERROR(INDEX('Ashed teabags wet'!$K$2:$K$2000,MATCH(H252,'Ashed teabags wet'!$A$2:$A$2000,0)),"")</f>
        <v>9.1395235780264326</v>
      </c>
      <c r="X252" s="237">
        <f>IFERROR(INDEX('Ashed teabags wet'!$K$2:$K$2000,MATCH(I252,'Ashed teabags wet'!$A$2:$A$2000,0)),"")</f>
        <v>2.7363184079606433</v>
      </c>
      <c r="Y252" s="194">
        <f t="shared" si="40"/>
        <v>0.42013884297520576</v>
      </c>
      <c r="Z252" s="194">
        <f t="shared" si="40"/>
        <v>1.4787970149253664</v>
      </c>
      <c r="AA252" s="194">
        <f t="shared" si="36"/>
        <v>0.75516966923846029</v>
      </c>
      <c r="AB252" s="194">
        <f t="shared" si="37"/>
        <v>0.49507560263614026</v>
      </c>
      <c r="AC252" s="194">
        <f t="shared" si="29"/>
        <v>0.77797966348903669</v>
      </c>
      <c r="AD252">
        <f t="shared" si="30"/>
        <v>52</v>
      </c>
      <c r="AE252" s="194">
        <f t="shared" si="38"/>
        <v>0.10312390826786189</v>
      </c>
      <c r="AF252" s="194">
        <f t="shared" si="39"/>
        <v>1.1443005169015584E-2</v>
      </c>
      <c r="AG252" s="252" t="str">
        <f>IF(ISNUMBER(SEARCH("C",'WetLitterbags placem_collection'!$X179)),"YES","NO")</f>
        <v>NO</v>
      </c>
      <c r="AH252" s="252" t="str">
        <f>IF(ISNUMBER(SEARCH("H", 'WetLitterbags placem_collection'!$X179)),"YES","NO")</f>
        <v>NO</v>
      </c>
      <c r="AI252" s="252" t="str">
        <f>IF(ISNUMBER(SEARCH("R", 'WetLitterbags placem_collection'!$X179)),"YES","NO")</f>
        <v>NO</v>
      </c>
      <c r="AJ252" s="252" t="str">
        <f>IF(ISNUMBER(SEARCH("C", 'WetLitterbags placem_collection'!$V179)),"YES","NO")</f>
        <v>NO</v>
      </c>
      <c r="AK252" s="252" t="str">
        <f>IF(ISNUMBER(SEARCH("H", 'WetLitterbags placem_collection'!$V179)),"YES","NO")</f>
        <v>NO</v>
      </c>
      <c r="AL252" s="252" t="str">
        <f>IF(ISNUMBER(SEARCH("R", 'WetLitterbags placem_collection'!$V179)),"YES","NO")</f>
        <v>NO</v>
      </c>
    </row>
    <row r="253" spans="2:38">
      <c r="B253" t="str">
        <f>'Final data_for_R_analysis_Wetse'!A179</f>
        <v>Wet</v>
      </c>
      <c r="C253" s="260">
        <f>'Final data_for_R_analysis_Wetse'!B179</f>
        <v>178</v>
      </c>
      <c r="D253" t="s">
        <v>3828</v>
      </c>
      <c r="E253" t="s">
        <v>22</v>
      </c>
      <c r="F253" s="381">
        <v>2</v>
      </c>
      <c r="G253" s="16">
        <f>'WetLitterbags placem_collection'!E180</f>
        <v>42763</v>
      </c>
      <c r="H253" t="str">
        <f>'Final data_for_R_analysis_Wetse'!K179</f>
        <v>G781</v>
      </c>
      <c r="I253" t="str">
        <f>'Final data_for_R_analysis_Wetse'!K399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31"/>
        <v>1.8422000000000001</v>
      </c>
      <c r="M253" s="194">
        <f>AVERAGE(Ashed_controlls!$K$2:$K$11)</f>
        <v>5.5147656768714146</v>
      </c>
      <c r="N253" s="194">
        <f t="shared" si="28"/>
        <v>1.7406069867006748</v>
      </c>
      <c r="O253" s="194">
        <f t="shared" si="32"/>
        <v>1.9462000000000002</v>
      </c>
      <c r="P253" s="194">
        <f>AVERAGE(Ashed_controlls!$K$12:$K$14)</f>
        <v>2.2816647271287041</v>
      </c>
      <c r="Q253" s="194">
        <f t="shared" si="33"/>
        <v>1.9017942410806212</v>
      </c>
      <c r="R253" s="16">
        <f>IF('WetLitterbags placem_collection'!G180="","",'WetLitterbags placem_collection'!G180)</f>
        <v>42815</v>
      </c>
      <c r="S253" s="194">
        <f>IFERROR(INDEX('Both teabags AfterWet'!$C$3:$C$2000,MATCH(H253,'Both teabags AfterWet'!$A$3:$A$2000,0)),"")</f>
        <v>0.62549999999999994</v>
      </c>
      <c r="T253" s="194">
        <f>IFERROR(INDEX('Both teabags AfterWet'!$C$3:$C$2000,MATCH(I253,'Both teabags AfterWet'!$A$3:$A$2000,0)),"")</f>
        <v>1.6866000000000001</v>
      </c>
      <c r="U253" s="194">
        <f t="shared" si="34"/>
        <v>0.47489999999999993</v>
      </c>
      <c r="V253" s="194">
        <f t="shared" si="35"/>
        <v>1.536</v>
      </c>
      <c r="W253" s="194">
        <f>IFERROR(INDEX('Ashed teabags wet'!$K$2:$K$2000,MATCH(H253,'Ashed teabags wet'!$A$2:$A$2000,0)),"")</f>
        <v>7.0843373493975461</v>
      </c>
      <c r="X253" s="237">
        <f>IFERROR(INDEX('Ashed teabags wet'!$K$2:$K$2000,MATCH(I253,'Ashed teabags wet'!$A$2:$A$2000,0)),"")</f>
        <v>0.87633885102250153</v>
      </c>
      <c r="Y253" s="194">
        <f t="shared" si="40"/>
        <v>0.441256481927711</v>
      </c>
      <c r="Z253" s="194">
        <f t="shared" si="40"/>
        <v>1.5225394352482944</v>
      </c>
      <c r="AA253" s="194">
        <f t="shared" si="36"/>
        <v>0.74649275494170353</v>
      </c>
      <c r="AB253" s="194">
        <f t="shared" si="37"/>
        <v>0.48938717426106937</v>
      </c>
      <c r="AC253" s="194">
        <f t="shared" si="29"/>
        <v>0.80058052672573565</v>
      </c>
      <c r="AD253">
        <f t="shared" si="30"/>
        <v>52</v>
      </c>
      <c r="AE253" s="194">
        <f t="shared" si="38"/>
        <v>0.11342903213574396</v>
      </c>
      <c r="AF253" s="194">
        <f t="shared" si="39"/>
        <v>1.0065084667832113E-2</v>
      </c>
      <c r="AG253" s="252" t="str">
        <f>IF(ISNUMBER(SEARCH("C",'WetLitterbags placem_collection'!$X180)),"YES","NO")</f>
        <v>NO</v>
      </c>
      <c r="AH253" s="252" t="str">
        <f>IF(ISNUMBER(SEARCH("H", 'WetLitterbags placem_collection'!$X180)),"YES","NO")</f>
        <v>NO</v>
      </c>
      <c r="AI253" s="252" t="str">
        <f>IF(ISNUMBER(SEARCH("R", 'WetLitterbags placem_collection'!$X180)),"YES","NO")</f>
        <v>YES</v>
      </c>
      <c r="AJ253" s="252" t="str">
        <f>IF(ISNUMBER(SEARCH("C", 'WetLitterbags placem_collection'!$V180)),"YES","NO")</f>
        <v>YES</v>
      </c>
      <c r="AK253" s="252" t="str">
        <f>IF(ISNUMBER(SEARCH("H", 'WetLitterbags placem_collection'!$V180)),"YES","NO")</f>
        <v>YES</v>
      </c>
      <c r="AL253" s="252" t="str">
        <f>IF(ISNUMBER(SEARCH("R", 'WetLitterbags placem_collection'!$V180)),"YES","NO")</f>
        <v>NO</v>
      </c>
    </row>
    <row r="254" spans="2:38">
      <c r="B254" t="str">
        <f>'Final data_for_R_analysis_Wetse'!A180</f>
        <v>Wet</v>
      </c>
      <c r="C254" s="260">
        <f>'Final data_for_R_analysis_Wetse'!B180</f>
        <v>179</v>
      </c>
      <c r="D254" t="s">
        <v>3828</v>
      </c>
      <c r="E254" t="s">
        <v>22</v>
      </c>
      <c r="F254" s="381">
        <v>3</v>
      </c>
      <c r="G254" s="16">
        <f>'WetLitterbags placem_collection'!E181</f>
        <v>42763</v>
      </c>
      <c r="H254" t="str">
        <f>'Final data_for_R_analysis_Wetse'!K180</f>
        <v>G451</v>
      </c>
      <c r="I254" t="str">
        <f>'Final data_for_R_analysis_Wetse'!K400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31"/>
        <v>1.8641999999999999</v>
      </c>
      <c r="M254" s="194">
        <f>AVERAGE(Ashed_controlls!$K$2:$K$11)</f>
        <v>5.5147656768714146</v>
      </c>
      <c r="N254" s="194">
        <f t="shared" si="28"/>
        <v>1.761393738251763</v>
      </c>
      <c r="O254" s="194">
        <f t="shared" si="32"/>
        <v>1.9792000000000001</v>
      </c>
      <c r="P254" s="194">
        <f>AVERAGE(Ashed_controlls!$K$12:$K$14)</f>
        <v>2.2816647271287041</v>
      </c>
      <c r="Q254" s="194">
        <f t="shared" si="33"/>
        <v>1.9340412917206689</v>
      </c>
      <c r="R254" s="16">
        <f>IF('WetLitterbags placem_collection'!G181="","",'WetLitterbags placem_collection'!G181)</f>
        <v>42815</v>
      </c>
      <c r="S254" s="194">
        <f>IFERROR(INDEX('Both teabags AfterWet'!$C$3:$C$2000,MATCH(H254,'Both teabags AfterWet'!$A$3:$A$2000,0)),"")</f>
        <v>0.60329999999999995</v>
      </c>
      <c r="T254" s="194">
        <f>IFERROR(INDEX('Both teabags AfterWet'!$C$3:$C$2000,MATCH(I254,'Both teabags AfterWet'!$A$3:$A$2000,0)),"")</f>
        <v>1.6146</v>
      </c>
      <c r="U254" s="194">
        <f t="shared" si="34"/>
        <v>0.45269999999999994</v>
      </c>
      <c r="V254" s="194">
        <f t="shared" si="35"/>
        <v>1.464</v>
      </c>
      <c r="W254" s="194">
        <f>IFERROR(INDEX('Ashed teabags wet'!$K$2:$K$2000,MATCH(H254,'Ashed teabags wet'!$A$2:$A$2000,0)),"")</f>
        <v>8.9466089466084018</v>
      </c>
      <c r="X254" s="237">
        <f>IFERROR(INDEX('Ashed teabags wet'!$K$2:$K$2000,MATCH(I254,'Ashed teabags wet'!$A$2:$A$2000,0)),"")</f>
        <v>1.8482490272371503</v>
      </c>
      <c r="Y254" s="194">
        <f t="shared" si="40"/>
        <v>0.41219870129870373</v>
      </c>
      <c r="Z254" s="194">
        <f t="shared" si="40"/>
        <v>1.436941634241248</v>
      </c>
      <c r="AA254" s="194">
        <f t="shared" si="36"/>
        <v>0.76598151092110534</v>
      </c>
      <c r="AB254" s="194">
        <f t="shared" si="37"/>
        <v>0.5021636508651427</v>
      </c>
      <c r="AC254" s="194">
        <f t="shared" si="29"/>
        <v>0.74297360681624147</v>
      </c>
      <c r="AD254">
        <f t="shared" si="30"/>
        <v>52</v>
      </c>
      <c r="AE254" s="194">
        <f t="shared" si="38"/>
        <v>9.0283241186335683E-2</v>
      </c>
      <c r="AF254" s="194">
        <f t="shared" si="39"/>
        <v>1.3790534138455284E-2</v>
      </c>
      <c r="AG254" s="252" t="str">
        <f>IF(ISNUMBER(SEARCH("C",'WetLitterbags placem_collection'!$X181)),"YES","NO")</f>
        <v>NO</v>
      </c>
      <c r="AH254" s="252" t="str">
        <f>IF(ISNUMBER(SEARCH("H", 'WetLitterbags placem_collection'!$X181)),"YES","NO")</f>
        <v>NO</v>
      </c>
      <c r="AI254" s="252" t="str">
        <f>IF(ISNUMBER(SEARCH("R", 'WetLitterbags placem_collection'!$X181)),"YES","NO")</f>
        <v>NO</v>
      </c>
      <c r="AJ254" s="252" t="str">
        <f>IF(ISNUMBER(SEARCH("C", 'WetLitterbags placem_collection'!$V181)),"YES","NO")</f>
        <v>NO</v>
      </c>
      <c r="AK254" s="252" t="str">
        <f>IF(ISNUMBER(SEARCH("H", 'WetLitterbags placem_collection'!$V181)),"YES","NO")</f>
        <v>NO</v>
      </c>
      <c r="AL254" s="252" t="str">
        <f>IF(ISNUMBER(SEARCH("R", 'WetLitterbags placem_collection'!$V181)),"YES","NO")</f>
        <v>YES</v>
      </c>
    </row>
    <row r="255" spans="2:38">
      <c r="B255" t="str">
        <f>'Final data_for_R_analysis_Wetse'!A181</f>
        <v>Wet</v>
      </c>
      <c r="C255" s="260">
        <f>'Final data_for_R_analysis_Wetse'!B181</f>
        <v>180</v>
      </c>
      <c r="D255" t="s">
        <v>3828</v>
      </c>
      <c r="E255" t="s">
        <v>22</v>
      </c>
      <c r="F255" s="382">
        <v>4</v>
      </c>
      <c r="G255" s="16">
        <f>'WetLitterbags placem_collection'!E182</f>
        <v>42763</v>
      </c>
      <c r="H255" t="str">
        <f>'Final data_for_R_analysis_Wetse'!K181</f>
        <v>G360</v>
      </c>
      <c r="I255" t="str">
        <f>'Final data_for_R_analysis_Wetse'!K401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31"/>
        <v>1.7601999999999998</v>
      </c>
      <c r="M255" s="194">
        <f>AVERAGE(Ashed_controlls!$K$2:$K$11)</f>
        <v>5.5147656768714146</v>
      </c>
      <c r="N255" s="194">
        <f t="shared" si="28"/>
        <v>1.6631290945557091</v>
      </c>
      <c r="O255" s="194">
        <f t="shared" si="32"/>
        <v>1.9211999999999998</v>
      </c>
      <c r="P255" s="194">
        <f>AVERAGE(Ashed_controlls!$K$12:$K$14)</f>
        <v>2.2816647271287041</v>
      </c>
      <c r="Q255" s="194">
        <f t="shared" si="33"/>
        <v>1.8773646572624032</v>
      </c>
      <c r="R255" s="16">
        <f>IF('WetLitterbags placem_collection'!G182="","",'WetLitterbags placem_collection'!G182)</f>
        <v>42815</v>
      </c>
      <c r="S255" s="194">
        <f>IFERROR(INDEX('Both teabags AfterWet'!$C$3:$C$2000,MATCH(H255,'Both teabags AfterWet'!$A$3:$A$2000,0)),"")</f>
        <v>0.62219999999999998</v>
      </c>
      <c r="T255" s="194">
        <f>IFERROR(INDEX('Both teabags AfterWet'!$C$3:$C$2000,MATCH(I255,'Both teabags AfterWet'!$A$3:$A$2000,0)),"")</f>
        <v>1.6403000000000001</v>
      </c>
      <c r="U255" s="194">
        <f t="shared" si="34"/>
        <v>0.47159999999999996</v>
      </c>
      <c r="V255" s="194">
        <f t="shared" si="35"/>
        <v>1.4897</v>
      </c>
      <c r="W255" s="194">
        <f>IFERROR(INDEX('Ashed teabags wet'!$K$2:$K$2000,MATCH(H255,'Ashed teabags wet'!$A$2:$A$2000,0)),"")</f>
        <v>9.1525423728814648</v>
      </c>
      <c r="X255" s="237">
        <f>IFERROR(INDEX('Ashed teabags wet'!$K$2:$K$2000,MATCH(I255,'Ashed teabags wet'!$A$2:$A$2000,0)),"")</f>
        <v>2.0588235294118782</v>
      </c>
      <c r="Y255" s="194">
        <f t="shared" si="40"/>
        <v>0.42843661016949097</v>
      </c>
      <c r="Z255" s="194">
        <f t="shared" si="40"/>
        <v>1.4590297058823514</v>
      </c>
      <c r="AA255" s="194">
        <f t="shared" si="36"/>
        <v>0.7423912481767122</v>
      </c>
      <c r="AB255" s="194">
        <f t="shared" si="37"/>
        <v>0.48669830046739332</v>
      </c>
      <c r="AC255" s="194">
        <f t="shared" si="29"/>
        <v>0.77716904930442599</v>
      </c>
      <c r="AD255">
        <f t="shared" si="30"/>
        <v>52</v>
      </c>
      <c r="AE255" s="194">
        <f t="shared" si="38"/>
        <v>0.11830018031269329</v>
      </c>
      <c r="AF255" s="194">
        <f t="shared" si="39"/>
        <v>1.1773036749966213E-2</v>
      </c>
      <c r="AG255" s="252" t="str">
        <f>IF(ISNUMBER(SEARCH("C",'WetLitterbags placem_collection'!$X182)),"YES","NO")</f>
        <v>NO</v>
      </c>
      <c r="AH255" s="252" t="str">
        <f>IF(ISNUMBER(SEARCH("H", 'WetLitterbags placem_collection'!$X182)),"YES","NO")</f>
        <v>NO</v>
      </c>
      <c r="AI255" s="252" t="str">
        <f>IF(ISNUMBER(SEARCH("R", 'WetLitterbags placem_collection'!$X182)),"YES","NO")</f>
        <v>NO</v>
      </c>
      <c r="AJ255" s="252" t="str">
        <f>IF(ISNUMBER(SEARCH("C", 'WetLitterbags placem_collection'!$V182)),"YES","NO")</f>
        <v>NO</v>
      </c>
      <c r="AK255" s="252" t="str">
        <f>IF(ISNUMBER(SEARCH("H", 'WetLitterbags placem_collection'!$V182)),"YES","NO")</f>
        <v>NO</v>
      </c>
      <c r="AL255" s="252" t="str">
        <f>IF(ISNUMBER(SEARCH("R", 'WetLitterbags placem_collection'!$V182)),"YES","NO")</f>
        <v>NO</v>
      </c>
    </row>
    <row r="256" spans="2:38">
      <c r="B256" t="str">
        <f>'Final data_for_R_analysis_Wetse'!A182</f>
        <v>Wet</v>
      </c>
      <c r="C256" s="260">
        <f>'Final data_for_R_analysis_Wetse'!B182</f>
        <v>181</v>
      </c>
      <c r="D256" t="s">
        <v>3828</v>
      </c>
      <c r="E256" t="s">
        <v>22</v>
      </c>
      <c r="F256" s="382">
        <v>5</v>
      </c>
      <c r="G256" s="16">
        <f>'WetLitterbags placem_collection'!E183</f>
        <v>42763</v>
      </c>
      <c r="H256" t="str">
        <f>'Final data_for_R_analysis_Wetse'!K182</f>
        <v>G458</v>
      </c>
      <c r="I256" t="str">
        <f>'Final data_for_R_analysis_Wetse'!K402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31"/>
        <v>1.7272000000000001</v>
      </c>
      <c r="M256" s="194">
        <f>AVERAGE(Ashed_controlls!$K$2:$K$11)</f>
        <v>5.5147656768714146</v>
      </c>
      <c r="N256" s="194">
        <f t="shared" si="28"/>
        <v>1.631948967229077</v>
      </c>
      <c r="O256" s="194">
        <f t="shared" si="32"/>
        <v>1.9752000000000001</v>
      </c>
      <c r="P256" s="194">
        <f>AVERAGE(Ashed_controlls!$K$12:$K$14)</f>
        <v>2.2816647271287041</v>
      </c>
      <c r="Q256" s="194">
        <f t="shared" si="33"/>
        <v>1.9301325583097539</v>
      </c>
      <c r="R256" s="16">
        <f>IF('WetLitterbags placem_collection'!G183="","",'WetLitterbags placem_collection'!G183)</f>
        <v>42815</v>
      </c>
      <c r="S256" s="194">
        <f>IFERROR(INDEX('Both teabags AfterWet'!$C$3:$C$2000,MATCH(H256,'Both teabags AfterWet'!$A$3:$A$2000,0)),"")</f>
        <v>0.57499999999999996</v>
      </c>
      <c r="T256" s="194">
        <f>IFERROR(INDEX('Both teabags AfterWet'!$C$3:$C$2000,MATCH(I256,'Both teabags AfterWet'!$A$3:$A$2000,0)),"")</f>
        <v>1.5119</v>
      </c>
      <c r="U256" s="194">
        <f t="shared" si="34"/>
        <v>0.42439999999999994</v>
      </c>
      <c r="V256" s="194">
        <f t="shared" si="35"/>
        <v>1.3613</v>
      </c>
      <c r="W256" s="194">
        <f>IFERROR(INDEX('Ashed teabags wet'!$K$2:$K$2000,MATCH(H256,'Ashed teabags wet'!$A$2:$A$2000,0)),"")</f>
        <v>9.1358024691352888</v>
      </c>
      <c r="X256" s="237">
        <f>IFERROR(INDEX('Ashed teabags wet'!$K$2:$K$2000,MATCH(I256,'Ashed teabags wet'!$A$2:$A$2000,0)),"")</f>
        <v>1.9743336623894387</v>
      </c>
      <c r="Y256" s="194">
        <f t="shared" si="40"/>
        <v>0.38562765432098978</v>
      </c>
      <c r="Z256" s="194">
        <f t="shared" si="40"/>
        <v>1.3344233958538925</v>
      </c>
      <c r="AA256" s="194">
        <f t="shared" si="36"/>
        <v>0.76370115606264599</v>
      </c>
      <c r="AB256" s="194">
        <f t="shared" si="37"/>
        <v>0.50066869138548764</v>
      </c>
      <c r="AC256" s="194">
        <f t="shared" si="29"/>
        <v>0.69136360096555605</v>
      </c>
      <c r="AD256">
        <f t="shared" si="30"/>
        <v>52</v>
      </c>
      <c r="AE256" s="194">
        <f t="shared" si="38"/>
        <v>9.2991501113247055E-2</v>
      </c>
      <c r="AF256" s="194">
        <f t="shared" si="39"/>
        <v>1.8428481547682306E-2</v>
      </c>
      <c r="AG256" s="252" t="str">
        <f>IF(ISNUMBER(SEARCH("C",'WetLitterbags placem_collection'!$X183)),"YES","NO")</f>
        <v>NO</v>
      </c>
      <c r="AH256" s="252" t="str">
        <f>IF(ISNUMBER(SEARCH("H", 'WetLitterbags placem_collection'!$X183)),"YES","NO")</f>
        <v>NO</v>
      </c>
      <c r="AI256" s="252" t="str">
        <f>IF(ISNUMBER(SEARCH("R", 'WetLitterbags placem_collection'!$X183)),"YES","NO")</f>
        <v>NO</v>
      </c>
      <c r="AJ256" s="252" t="str">
        <f>IF(ISNUMBER(SEARCH("C", 'WetLitterbags placem_collection'!$V183)),"YES","NO")</f>
        <v>NO</v>
      </c>
      <c r="AK256" s="252" t="str">
        <f>IF(ISNUMBER(SEARCH("H", 'WetLitterbags placem_collection'!$V183)),"YES","NO")</f>
        <v>NO</v>
      </c>
      <c r="AL256" s="252" t="str">
        <f>IF(ISNUMBER(SEARCH("R", 'WetLitterbags placem_collection'!$V183)),"YES","NO")</f>
        <v>NO</v>
      </c>
    </row>
    <row r="257" spans="2:38">
      <c r="B257" t="str">
        <f>'Final data_for_R_analysis_Wetse'!A183</f>
        <v>Wet</v>
      </c>
      <c r="C257" s="260">
        <f>'Final data_for_R_analysis_Wetse'!B183</f>
        <v>182</v>
      </c>
      <c r="D257" t="s">
        <v>3828</v>
      </c>
      <c r="E257" t="s">
        <v>22</v>
      </c>
      <c r="F257" s="382">
        <v>6</v>
      </c>
      <c r="G257" s="16">
        <f>'WetLitterbags placem_collection'!E184</f>
        <v>42763</v>
      </c>
      <c r="H257" t="str">
        <f>'Final data_for_R_analysis_Wetse'!K183</f>
        <v>G403</v>
      </c>
      <c r="I257" t="str">
        <f>'Final data_for_R_analysis_Wetse'!K403</f>
        <v>R444</v>
      </c>
      <c r="J257">
        <f>IFERROR(INDEX('Green_rooibos initial weight'!$C$5:$C$2000,MATCH(H257, 'Green_rooibos initial weight'!$A$5:$A$2000,0)),"")</f>
        <v>2.06</v>
      </c>
      <c r="K257">
        <f>IFERROR(INDEX('Green_rooibos initial weight'!$C$5:$C$2000,MATCH(I257, 'Green_rooibos initial weight'!$A$5:$A$2000,0)),"")</f>
        <v>2.2149999999999999</v>
      </c>
      <c r="L257" s="194">
        <f t="shared" si="31"/>
        <v>1.8102</v>
      </c>
      <c r="M257" s="194">
        <f>AVERAGE(Ashed_controlls!$K$2:$K$11)</f>
        <v>5.5147656768714146</v>
      </c>
      <c r="N257" s="194">
        <f t="shared" si="28"/>
        <v>1.7103717117172736</v>
      </c>
      <c r="O257" s="194">
        <f t="shared" si="32"/>
        <v>1.9651999999999998</v>
      </c>
      <c r="P257" s="194">
        <f>AVERAGE(Ashed_controlls!$K$12:$K$14)</f>
        <v>2.2816647271287041</v>
      </c>
      <c r="Q257" s="194">
        <f t="shared" si="33"/>
        <v>1.9203607247824666</v>
      </c>
      <c r="R257" s="16">
        <f>IF('WetLitterbags placem_collection'!G184="","",'WetLitterbags placem_collection'!G184)</f>
        <v>42815</v>
      </c>
      <c r="S257" s="194">
        <f>IFERROR(INDEX('Both teabags AfterWet'!$C$3:$C$2000,MATCH(H257,'Both teabags AfterWet'!$A$3:$A$2000,0)),"")</f>
        <v>0.69440000000000002</v>
      </c>
      <c r="T257" s="194">
        <f>IFERROR(INDEX('Both teabags AfterWet'!$C$3:$C$2000,MATCH(I257,'Both teabags AfterWet'!$A$3:$A$2000,0)),"")</f>
        <v>1.7522</v>
      </c>
      <c r="U257" s="194">
        <f t="shared" si="34"/>
        <v>0.54380000000000006</v>
      </c>
      <c r="V257" s="194">
        <f t="shared" si="35"/>
        <v>1.6015999999999999</v>
      </c>
      <c r="W257" s="194">
        <f>IFERROR(INDEX('Ashed teabags wet'!$K$2:$K$2000,MATCH(H257,'Ashed teabags wet'!$A$2:$A$2000,0)),"")</f>
        <v>8.8845014807495417</v>
      </c>
      <c r="X257" s="237">
        <f>IFERROR(INDEX('Ashed teabags wet'!$K$2:$K$2000,MATCH(I257,'Ashed teabags wet'!$A$2:$A$2000,0)),"")</f>
        <v>2.2682445759369214</v>
      </c>
      <c r="Y257" s="194">
        <f t="shared" si="40"/>
        <v>0.49548608094768404</v>
      </c>
      <c r="Z257" s="194">
        <f t="shared" si="40"/>
        <v>1.5652717948717942</v>
      </c>
      <c r="AA257" s="194">
        <f t="shared" si="36"/>
        <v>0.71030503044849913</v>
      </c>
      <c r="AB257" s="194">
        <f t="shared" si="37"/>
        <v>0.46566315535341041</v>
      </c>
      <c r="AC257" s="194">
        <f t="shared" si="29"/>
        <v>0.81509258894529002</v>
      </c>
      <c r="AD257">
        <f t="shared" si="30"/>
        <v>52</v>
      </c>
      <c r="AE257" s="194">
        <f t="shared" si="38"/>
        <v>0.15640732725831452</v>
      </c>
      <c r="AF257" s="194">
        <f t="shared" si="39"/>
        <v>9.7303360808274533E-3</v>
      </c>
      <c r="AG257" s="252" t="str">
        <f>IF(ISNUMBER(SEARCH("C",'WetLitterbags placem_collection'!$X184)),"YES","NO")</f>
        <v>NO</v>
      </c>
      <c r="AH257" s="252" t="str">
        <f>IF(ISNUMBER(SEARCH("H", 'WetLitterbags placem_collection'!$X184)),"YES","NO")</f>
        <v>NO</v>
      </c>
      <c r="AI257" s="252" t="str">
        <f>IF(ISNUMBER(SEARCH("R", 'WetLitterbags placem_collection'!$X184)),"YES","NO")</f>
        <v>NO</v>
      </c>
      <c r="AJ257" s="252" t="str">
        <f>IF(ISNUMBER(SEARCH("C", 'WetLitterbags placem_collection'!$V184)),"YES","NO")</f>
        <v>NO</v>
      </c>
      <c r="AK257" s="252" t="str">
        <f>IF(ISNUMBER(SEARCH("H", 'WetLitterbags placem_collection'!$V184)),"YES","NO")</f>
        <v>YES</v>
      </c>
      <c r="AL257" s="252" t="str">
        <f>IF(ISNUMBER(SEARCH("R", 'WetLitterbags placem_collection'!$V184)),"YES","NO")</f>
        <v>YES</v>
      </c>
    </row>
    <row r="258" spans="2:38">
      <c r="B258" t="str">
        <f>'Final data_for_R_analysis_Wetse'!A184</f>
        <v>Wet</v>
      </c>
      <c r="C258" s="260">
        <f>'Final data_for_R_analysis_Wetse'!B184</f>
        <v>183</v>
      </c>
      <c r="D258" t="s">
        <v>3828</v>
      </c>
      <c r="E258" t="s">
        <v>22</v>
      </c>
      <c r="F258" s="382">
        <v>7</v>
      </c>
      <c r="G258" s="16">
        <f>'WetLitterbags placem_collection'!E185</f>
        <v>42763</v>
      </c>
      <c r="H258" t="str">
        <f>'Final data_for_R_analysis_Wetse'!K184</f>
        <v>G585</v>
      </c>
      <c r="I258" t="str">
        <f>'Final data_for_R_analysis_Wetse'!K404</f>
        <v>R568</v>
      </c>
      <c r="J258">
        <f>IFERROR(INDEX('Green_rooibos initial weight'!$C$5:$C$2000,MATCH(H258, 'Green_rooibos initial weight'!$A$5:$A$2000,0)),"")</f>
        <v>2.1669999999999998</v>
      </c>
      <c r="K258">
        <f>IFERROR(INDEX('Green_rooibos initial weight'!$C$5:$C$2000,MATCH(I258, 'Green_rooibos initial weight'!$A$5:$A$2000,0)),"")</f>
        <v>2.04</v>
      </c>
      <c r="L258" s="194">
        <f t="shared" si="31"/>
        <v>1.9171999999999998</v>
      </c>
      <c r="M258" s="194">
        <f>AVERAGE(Ashed_controlls!$K$2:$K$11)</f>
        <v>5.5147656768714146</v>
      </c>
      <c r="N258" s="194">
        <f t="shared" si="28"/>
        <v>1.8114709124430211</v>
      </c>
      <c r="O258" s="194">
        <f t="shared" si="32"/>
        <v>1.7902</v>
      </c>
      <c r="P258" s="194">
        <f>AVERAGE(Ashed_controlls!$K$12:$K$14)</f>
        <v>2.2816647271287041</v>
      </c>
      <c r="Q258" s="194">
        <f t="shared" si="33"/>
        <v>1.7493536380549419</v>
      </c>
      <c r="R258" s="16">
        <f>IF('WetLitterbags placem_collection'!G185="","",'WetLitterbags placem_collection'!G185)</f>
        <v>42815</v>
      </c>
      <c r="S258" s="194">
        <f>IFERROR(INDEX('Both teabags AfterWet'!$C$3:$C$2000,MATCH(H258,'Both teabags AfterWet'!$A$3:$A$2000,0)),"")</f>
        <v>0.71799999999999997</v>
      </c>
      <c r="T258" s="194">
        <f>IFERROR(INDEX('Both teabags AfterWet'!$C$3:$C$2000,MATCH(I258,'Both teabags AfterWet'!$A$3:$A$2000,0)),"")</f>
        <v>0.30299999999999999</v>
      </c>
      <c r="U258" s="194">
        <f t="shared" si="34"/>
        <v>0.5673999999999999</v>
      </c>
      <c r="V258" s="194">
        <f t="shared" si="35"/>
        <v>0.15239999999999998</v>
      </c>
      <c r="W258" s="194">
        <f>IFERROR(INDEX('Ashed teabags wet'!$K$2:$K$2000,MATCH(H258,'Ashed teabags wet'!$A$2:$A$2000,0)),"")</f>
        <v>10.155490767735316</v>
      </c>
      <c r="X258" s="237">
        <f>IFERROR(INDEX('Ashed teabags wet'!$K$2:$K$2000,MATCH(I258,'Ashed teabags wet'!$A$2:$A$2000,0)),"")</f>
        <v>0</v>
      </c>
      <c r="Y258" s="194">
        <f t="shared" si="40"/>
        <v>0.50977774538386977</v>
      </c>
      <c r="Z258" s="194">
        <f t="shared" si="40"/>
        <v>0.15239999999999998</v>
      </c>
      <c r="AA258" s="194">
        <f t="shared" si="36"/>
        <v>0.71858353237570705</v>
      </c>
      <c r="AB258" s="194">
        <f t="shared" si="37"/>
        <v>0.47109039177124745</v>
      </c>
      <c r="AC258" s="194">
        <f t="shared" si="29"/>
        <v>8.7117891251221991E-2</v>
      </c>
      <c r="AD258">
        <f t="shared" si="30"/>
        <v>52</v>
      </c>
      <c r="AE258" s="194">
        <f t="shared" si="38"/>
        <v>0.14657537722600111</v>
      </c>
      <c r="AF258" s="194" t="str">
        <f t="shared" si="39"/>
        <v/>
      </c>
      <c r="AG258" s="252" t="str">
        <f>IF(ISNUMBER(SEARCH("C",'WetLitterbags placem_collection'!$X185)),"YES","NO")</f>
        <v>NO</v>
      </c>
      <c r="AH258" s="252" t="str">
        <f>IF(ISNUMBER(SEARCH("H", 'WetLitterbags placem_collection'!$X185)),"YES","NO")</f>
        <v>NO</v>
      </c>
      <c r="AI258" s="252" t="str">
        <f>IF(ISNUMBER(SEARCH("R", 'WetLitterbags placem_collection'!$X185)),"YES","NO")</f>
        <v>NO</v>
      </c>
      <c r="AJ258" s="252" t="str">
        <f>IF(ISNUMBER(SEARCH("C", 'WetLitterbags placem_collection'!$V185)),"YES","NO")</f>
        <v>YES</v>
      </c>
      <c r="AK258" s="252" t="str">
        <f>IF(ISNUMBER(SEARCH("H", 'WetLitterbags placem_collection'!$V185)),"YES","NO")</f>
        <v>NO</v>
      </c>
      <c r="AL258" s="252" t="str">
        <f>IF(ISNUMBER(SEARCH("R", 'WetLitterbags placem_collection'!$V185)),"YES","NO")</f>
        <v>NO</v>
      </c>
    </row>
    <row r="259" spans="2:38">
      <c r="B259" t="str">
        <f>'Final data_for_R_analysis_Wetse'!A185</f>
        <v>Wet</v>
      </c>
      <c r="C259" s="260">
        <f>'Final data_for_R_analysis_Wetse'!B185</f>
        <v>184</v>
      </c>
      <c r="D259" t="s">
        <v>3828</v>
      </c>
      <c r="E259" t="s">
        <v>22</v>
      </c>
      <c r="F259" s="382">
        <v>8</v>
      </c>
      <c r="G259" s="16">
        <f>'WetLitterbags placem_collection'!E186</f>
        <v>42763</v>
      </c>
      <c r="H259" t="str">
        <f>'Final data_for_R_analysis_Wetse'!K185</f>
        <v>G669</v>
      </c>
      <c r="I259" t="str">
        <f>'Final data_for_R_analysis_Wetse'!K405</f>
        <v>R541</v>
      </c>
      <c r="J259">
        <f>IFERROR(INDEX('Green_rooibos initial weight'!$C$5:$C$2000,MATCH(H259, 'Green_rooibos initial weight'!$A$5:$A$2000,0)),"")</f>
        <v>1.9359999999999999</v>
      </c>
      <c r="K259">
        <f>IFERROR(INDEX('Green_rooibos initial weight'!$C$5:$C$2000,MATCH(I259, 'Green_rooibos initial weight'!$A$5:$A$2000,0)),"")</f>
        <v>2.226</v>
      </c>
      <c r="L259" s="194">
        <f t="shared" si="31"/>
        <v>1.6861999999999999</v>
      </c>
      <c r="M259" s="194">
        <f>AVERAGE(Ashed_controlls!$K$2:$K$11)</f>
        <v>5.5147656768714146</v>
      </c>
      <c r="N259" s="194">
        <f t="shared" si="28"/>
        <v>1.593210021156594</v>
      </c>
      <c r="O259" s="194">
        <f t="shared" si="32"/>
        <v>1.9762</v>
      </c>
      <c r="P259" s="194">
        <f>AVERAGE(Ashed_controlls!$K$12:$K$14)</f>
        <v>2.2816647271287041</v>
      </c>
      <c r="Q259" s="194">
        <f t="shared" si="33"/>
        <v>1.9311097416624825</v>
      </c>
      <c r="R259" s="16">
        <f>IF('WetLitterbags placem_collection'!G186="","",'WetLitterbags placem_collection'!G186)</f>
        <v>42815</v>
      </c>
      <c r="S259" s="194">
        <f>IFERROR(INDEX('Both teabags AfterWet'!$C$3:$C$2000,MATCH(H259,'Both teabags AfterWet'!$A$3:$A$2000,0)),"")</f>
        <v>0.7097</v>
      </c>
      <c r="T259" s="194">
        <f>IFERROR(INDEX('Both teabags AfterWet'!$C$3:$C$2000,MATCH(I259,'Both teabags AfterWet'!$A$3:$A$2000,0)),"")</f>
        <v>1.7278</v>
      </c>
      <c r="U259" s="194">
        <f t="shared" si="34"/>
        <v>0.55909999999999993</v>
      </c>
      <c r="V259" s="194">
        <f t="shared" si="35"/>
        <v>1.5771999999999999</v>
      </c>
      <c r="W259" s="194">
        <f>IFERROR(INDEX('Ashed teabags wet'!$K$2:$K$2000,MATCH(H259,'Ashed teabags wet'!$A$2:$A$2000,0)),"")</f>
        <v>8.7171867261018541</v>
      </c>
      <c r="X259" s="237">
        <f>IFERROR(INDEX('Ashed teabags wet'!$K$2:$K$2000,MATCH(I259,'Ashed teabags wet'!$A$2:$A$2000,0)),"")</f>
        <v>2.6018654884636851</v>
      </c>
      <c r="Y259" s="194">
        <f t="shared" si="40"/>
        <v>0.51036220901436447</v>
      </c>
      <c r="Z259" s="194">
        <f t="shared" si="40"/>
        <v>1.5361633775159507</v>
      </c>
      <c r="AA259" s="194">
        <f t="shared" si="36"/>
        <v>0.67966419854435389</v>
      </c>
      <c r="AB259" s="194">
        <f t="shared" si="37"/>
        <v>0.44557557909321066</v>
      </c>
      <c r="AC259" s="194">
        <f t="shared" si="29"/>
        <v>0.79548217502826923</v>
      </c>
      <c r="AD259">
        <f t="shared" si="30"/>
        <v>52</v>
      </c>
      <c r="AE259" s="194">
        <f t="shared" si="38"/>
        <v>0.19279786396157494</v>
      </c>
      <c r="AF259" s="194">
        <f t="shared" si="39"/>
        <v>1.1814044887009746E-2</v>
      </c>
      <c r="AG259" s="252" t="str">
        <f>IF(ISNUMBER(SEARCH("C",'WetLitterbags placem_collection'!$X186)),"YES","NO")</f>
        <v>NO</v>
      </c>
      <c r="AH259" s="252" t="str">
        <f>IF(ISNUMBER(SEARCH("H", 'WetLitterbags placem_collection'!$X186)),"YES","NO")</f>
        <v>YES</v>
      </c>
      <c r="AI259" s="252" t="str">
        <f>IF(ISNUMBER(SEARCH("R", 'WetLitterbags placem_collection'!$X186)),"YES","NO")</f>
        <v>NO</v>
      </c>
      <c r="AJ259" s="252" t="str">
        <f>IF(ISNUMBER(SEARCH("C", 'WetLitterbags placem_collection'!$V186)),"YES","NO")</f>
        <v>NO</v>
      </c>
      <c r="AK259" s="252" t="str">
        <f>IF(ISNUMBER(SEARCH("H", 'WetLitterbags placem_collection'!$V186)),"YES","NO")</f>
        <v>NO</v>
      </c>
      <c r="AL259" s="252" t="str">
        <f>IF(ISNUMBER(SEARCH("R", 'WetLitterbags placem_collection'!$V186)),"YES","NO")</f>
        <v>YES</v>
      </c>
    </row>
    <row r="260" spans="2:38">
      <c r="B260" t="str">
        <f>'Final data_for_R_analysis_Wetse'!A186</f>
        <v>Wet</v>
      </c>
      <c r="C260" s="260">
        <f>'Final data_for_R_analysis_Wetse'!B186</f>
        <v>185</v>
      </c>
      <c r="D260" t="s">
        <v>3829</v>
      </c>
      <c r="E260" t="s">
        <v>22</v>
      </c>
      <c r="F260" s="381">
        <v>1</v>
      </c>
      <c r="G260" s="16">
        <f>'WetLitterbags placem_collection'!E187</f>
        <v>42763</v>
      </c>
      <c r="H260" t="str">
        <f>'Final data_for_R_analysis_Wetse'!K186</f>
        <v>G423</v>
      </c>
      <c r="I260" t="str">
        <f>'Final data_for_R_analysis_Wetse'!K406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31"/>
        <v>1.8151999999999999</v>
      </c>
      <c r="M260" s="194">
        <f>AVERAGE(Ashed_controlls!$K$2:$K$11)</f>
        <v>5.5147656768714146</v>
      </c>
      <c r="N260" s="194">
        <f t="shared" si="28"/>
        <v>1.7150959734334301</v>
      </c>
      <c r="O260" s="194">
        <f t="shared" si="32"/>
        <v>2.0651999999999999</v>
      </c>
      <c r="P260" s="194">
        <f>AVERAGE(Ashed_controlls!$K$12:$K$14)</f>
        <v>2.2816647271287041</v>
      </c>
      <c r="Q260" s="194">
        <f t="shared" si="33"/>
        <v>2.0180790600553378</v>
      </c>
      <c r="R260" s="16">
        <f>IF('WetLitterbags placem_collection'!G187="","",'WetLitterbags placem_collection'!G187)</f>
        <v>42815</v>
      </c>
      <c r="S260" s="194">
        <f>IFERROR(INDEX('Both teabags AfterWet'!$C$3:$C$2000,MATCH(H260,'Both teabags AfterWet'!$A$3:$A$2000,0)),"")</f>
        <v>0.62319999999999998</v>
      </c>
      <c r="T260" s="194">
        <f>IFERROR(INDEX('Both teabags AfterWet'!$C$3:$C$2000,MATCH(I260,'Both teabags AfterWet'!$A$3:$A$2000,0)),"")</f>
        <v>1.7762</v>
      </c>
      <c r="U260" s="194">
        <f t="shared" si="34"/>
        <v>0.47259999999999996</v>
      </c>
      <c r="V260" s="194">
        <f t="shared" si="35"/>
        <v>1.6255999999999999</v>
      </c>
      <c r="W260" s="194">
        <f>IFERROR(INDEX('Ashed teabags wet'!$K$2:$K$2000,MATCH(H260,'Ashed teabags wet'!$A$2:$A$2000,0)),"")</f>
        <v>9.4793713163063114</v>
      </c>
      <c r="X260" s="237">
        <f>IFERROR(INDEX('Ashed teabags wet'!$K$2:$K$2000,MATCH(I260,'Ashed teabags wet'!$A$2:$A$2000,0)),"")</f>
        <v>2.0874751491048897</v>
      </c>
      <c r="Y260" s="194">
        <f t="shared" si="40"/>
        <v>0.42780049115913632</v>
      </c>
      <c r="Z260" s="194">
        <f t="shared" si="40"/>
        <v>1.5916660039761508</v>
      </c>
      <c r="AA260" s="194">
        <f t="shared" si="36"/>
        <v>0.75056760800229294</v>
      </c>
      <c r="AB260" s="194">
        <f t="shared" si="37"/>
        <v>0.492058574367299</v>
      </c>
      <c r="AC260" s="194">
        <f t="shared" si="29"/>
        <v>0.78870349307945631</v>
      </c>
      <c r="AD260">
        <f t="shared" si="30"/>
        <v>52</v>
      </c>
      <c r="AE260" s="194">
        <f t="shared" si="38"/>
        <v>0.10858953918967584</v>
      </c>
      <c r="AF260" s="194">
        <f t="shared" si="39"/>
        <v>1.0790195911766675E-2</v>
      </c>
      <c r="AG260" s="252" t="str">
        <f>IF(ISNUMBER(SEARCH("C",'WetLitterbags placem_collection'!$X187)),"YES","NO")</f>
        <v>NO</v>
      </c>
      <c r="AH260" s="252" t="str">
        <f>IF(ISNUMBER(SEARCH("H", 'WetLitterbags placem_collection'!$X187)),"YES","NO")</f>
        <v>NO</v>
      </c>
      <c r="AI260" s="252" t="str">
        <f>IF(ISNUMBER(SEARCH("R", 'WetLitterbags placem_collection'!$X187)),"YES","NO")</f>
        <v>NO</v>
      </c>
      <c r="AJ260" s="252" t="str">
        <f>IF(ISNUMBER(SEARCH("C", 'WetLitterbags placem_collection'!$V187)),"YES","NO")</f>
        <v>NO</v>
      </c>
      <c r="AK260" s="252" t="str">
        <f>IF(ISNUMBER(SEARCH("H", 'WetLitterbags placem_collection'!$V187)),"YES","NO")</f>
        <v>NO</v>
      </c>
      <c r="AL260" s="252" t="str">
        <f>IF(ISNUMBER(SEARCH("R", 'WetLitterbags placem_collection'!$V187)),"YES","NO")</f>
        <v>NO</v>
      </c>
    </row>
    <row r="261" spans="2:38">
      <c r="B261" t="str">
        <f>'Final data_for_R_analysis_Wetse'!A187</f>
        <v>Wet</v>
      </c>
      <c r="C261" s="260">
        <f>'Final data_for_R_analysis_Wetse'!B187</f>
        <v>186</v>
      </c>
      <c r="D261" t="s">
        <v>3829</v>
      </c>
      <c r="E261" t="s">
        <v>22</v>
      </c>
      <c r="F261" s="381">
        <v>2</v>
      </c>
      <c r="G261" s="16">
        <f>'WetLitterbags placem_collection'!E188</f>
        <v>42763</v>
      </c>
      <c r="H261" t="str">
        <f>'Final data_for_R_analysis_Wetse'!K187</f>
        <v>G544</v>
      </c>
      <c r="I261" t="str">
        <f>'Final data_for_R_analysis_Wetse'!K407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31"/>
        <v>1.8332000000000002</v>
      </c>
      <c r="M261" s="194">
        <f>AVERAGE(Ashed_controlls!$K$2:$K$11)</f>
        <v>5.5147656768714146</v>
      </c>
      <c r="N261" s="194">
        <f t="shared" si="28"/>
        <v>1.7321033156115935</v>
      </c>
      <c r="O261" s="194">
        <f t="shared" si="32"/>
        <v>1.9731999999999998</v>
      </c>
      <c r="P261" s="194">
        <f>AVERAGE(Ashed_controlls!$K$12:$K$14)</f>
        <v>2.2816647271287041</v>
      </c>
      <c r="Q261" s="194">
        <f t="shared" si="33"/>
        <v>1.9281781916042962</v>
      </c>
      <c r="R261" s="16">
        <f>IF('WetLitterbags placem_collection'!G188="","",'WetLitterbags placem_collection'!G188)</f>
        <v>42815</v>
      </c>
      <c r="S261" s="194">
        <f>IFERROR(INDEX('Both teabags AfterWet'!$C$3:$C$2000,MATCH(H261,'Both teabags AfterWet'!$A$3:$A$2000,0)),"")</f>
        <v>0.69</v>
      </c>
      <c r="T261" s="194">
        <f>IFERROR(INDEX('Both teabags AfterWet'!$C$3:$C$2000,MATCH(I261,'Both teabags AfterWet'!$A$3:$A$2000,0)),"")</f>
        <v>1.7509999999999999</v>
      </c>
      <c r="U261" s="194">
        <f t="shared" si="34"/>
        <v>0.53939999999999988</v>
      </c>
      <c r="V261" s="194">
        <f t="shared" si="35"/>
        <v>1.6003999999999998</v>
      </c>
      <c r="W261" s="194">
        <f>IFERROR(INDEX('Ashed teabags wet'!$K$2:$K$2000,MATCH(H261,'Ashed teabags wet'!$A$2:$A$2000,0)),"")</f>
        <v>9.5401174168302578</v>
      </c>
      <c r="X261" s="237">
        <f>IFERROR(INDEX('Ashed teabags wet'!$K$2:$K$2000,MATCH(I261,'Ashed teabags wet'!$A$2:$A$2000,0)),"")</f>
        <v>2.1547502448572287</v>
      </c>
      <c r="Y261" s="194">
        <f t="shared" si="40"/>
        <v>0.48794060665361749</v>
      </c>
      <c r="Z261" s="194">
        <f t="shared" si="40"/>
        <v>1.5659153770813048</v>
      </c>
      <c r="AA261" s="194">
        <f t="shared" si="36"/>
        <v>0.71829589940982874</v>
      </c>
      <c r="AB261" s="194">
        <f t="shared" si="37"/>
        <v>0.47090182479124171</v>
      </c>
      <c r="AC261" s="194">
        <f t="shared" si="29"/>
        <v>0.81212171359454133</v>
      </c>
      <c r="AD261">
        <f t="shared" si="30"/>
        <v>52</v>
      </c>
      <c r="AE261" s="194">
        <f t="shared" si="38"/>
        <v>0.14691698407383758</v>
      </c>
      <c r="AF261" s="194">
        <f t="shared" si="39"/>
        <v>9.7907608396851659E-3</v>
      </c>
      <c r="AG261" s="252" t="str">
        <f>IF(ISNUMBER(SEARCH("C",'WetLitterbags placem_collection'!$X188)),"YES","NO")</f>
        <v>NO</v>
      </c>
      <c r="AH261" s="252" t="str">
        <f>IF(ISNUMBER(SEARCH("H", 'WetLitterbags placem_collection'!$X188)),"YES","NO")</f>
        <v>NO</v>
      </c>
      <c r="AI261" s="252" t="str">
        <f>IF(ISNUMBER(SEARCH("R", 'WetLitterbags placem_collection'!$X188)),"YES","NO")</f>
        <v>NO</v>
      </c>
      <c r="AJ261" s="252" t="str">
        <f>IF(ISNUMBER(SEARCH("C", 'WetLitterbags placem_collection'!$V188)),"YES","NO")</f>
        <v>NO</v>
      </c>
      <c r="AK261" s="252" t="str">
        <f>IF(ISNUMBER(SEARCH("H", 'WetLitterbags placem_collection'!$V188)),"YES","NO")</f>
        <v>NO</v>
      </c>
      <c r="AL261" s="252" t="str">
        <f>IF(ISNUMBER(SEARCH("R", 'WetLitterbags placem_collection'!$V188)),"YES","NO")</f>
        <v>YES</v>
      </c>
    </row>
    <row r="262" spans="2:38">
      <c r="B262" t="str">
        <f>'Final data_for_R_analysis_Wetse'!A188</f>
        <v>Wet</v>
      </c>
      <c r="C262" s="260">
        <f>'Final data_for_R_analysis_Wetse'!B188</f>
        <v>187</v>
      </c>
      <c r="D262" t="s">
        <v>3829</v>
      </c>
      <c r="E262" t="s">
        <v>22</v>
      </c>
      <c r="F262" s="381">
        <v>3</v>
      </c>
      <c r="G262" s="16">
        <f>'WetLitterbags placem_collection'!E189</f>
        <v>42763</v>
      </c>
      <c r="H262" t="str">
        <f>'Final data_for_R_analysis_Wetse'!K188</f>
        <v>G620</v>
      </c>
      <c r="I262" t="str">
        <f>'Final data_for_R_analysis_Wetse'!K408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31"/>
        <v>1.7521999999999998</v>
      </c>
      <c r="M262" s="194">
        <f>AVERAGE(Ashed_controlls!$K$2:$K$11)</f>
        <v>5.5147656768714146</v>
      </c>
      <c r="N262" s="194">
        <f t="shared" si="28"/>
        <v>1.6555702758098589</v>
      </c>
      <c r="O262" s="194">
        <f t="shared" si="32"/>
        <v>1.9262000000000001</v>
      </c>
      <c r="P262" s="194">
        <f>AVERAGE(Ashed_controlls!$K$12:$K$14)</f>
        <v>2.2816647271287041</v>
      </c>
      <c r="Q262" s="194">
        <f t="shared" si="33"/>
        <v>1.8822505740260471</v>
      </c>
      <c r="R262" s="16">
        <f>IF('WetLitterbags placem_collection'!G189="","",'WetLitterbags placem_collection'!G189)</f>
        <v>42815</v>
      </c>
      <c r="S262" s="194">
        <f>IFERROR(INDEX('Both teabags AfterWet'!$C$3:$C$2000,MATCH(H262,'Both teabags AfterWet'!$A$3:$A$2000,0)),"")</f>
        <v>0.59950000000000003</v>
      </c>
      <c r="T262" s="194">
        <f>IFERROR(INDEX('Both teabags AfterWet'!$C$3:$C$2000,MATCH(I262,'Both teabags AfterWet'!$A$3:$A$2000,0)),"")</f>
        <v>1.6979</v>
      </c>
      <c r="U262" s="194">
        <f t="shared" si="34"/>
        <v>0.44890000000000002</v>
      </c>
      <c r="V262" s="194">
        <f t="shared" si="35"/>
        <v>1.5472999999999999</v>
      </c>
      <c r="W262" s="194">
        <f>IFERROR(INDEX('Ashed teabags wet'!$K$2:$K$2000,MATCH(H262,'Ashed teabags wet'!$A$2:$A$2000,0)),"")</f>
        <v>8.6766844401358867</v>
      </c>
      <c r="X262" s="237">
        <f>IFERROR(INDEX('Ashed teabags wet'!$K$2:$K$2000,MATCH(I262,'Ashed teabags wet'!$A$2:$A$2000,0)),"")</f>
        <v>1.9455252918283636</v>
      </c>
      <c r="Y262" s="194">
        <f t="shared" si="40"/>
        <v>0.40995036354823</v>
      </c>
      <c r="Z262" s="194">
        <f t="shared" si="40"/>
        <v>1.5171968871595396</v>
      </c>
      <c r="AA262" s="194">
        <f t="shared" si="36"/>
        <v>0.75238117672311211</v>
      </c>
      <c r="AB262" s="194">
        <f t="shared" si="37"/>
        <v>0.49324751728166027</v>
      </c>
      <c r="AC262" s="194">
        <f t="shared" si="29"/>
        <v>0.80605468161145277</v>
      </c>
      <c r="AD262">
        <f t="shared" si="30"/>
        <v>52</v>
      </c>
      <c r="AE262" s="194">
        <f t="shared" si="38"/>
        <v>0.10643565709844161</v>
      </c>
      <c r="AF262" s="194">
        <f t="shared" si="39"/>
        <v>9.6068721131686678E-3</v>
      </c>
      <c r="AG262" s="252" t="str">
        <f>IF(ISNUMBER(SEARCH("C",'WetLitterbags placem_collection'!$X189)),"YES","NO")</f>
        <v>NO</v>
      </c>
      <c r="AH262" s="252" t="str">
        <f>IF(ISNUMBER(SEARCH("H", 'WetLitterbags placem_collection'!$X189)),"YES","NO")</f>
        <v>NO</v>
      </c>
      <c r="AI262" s="252" t="str">
        <f>IF(ISNUMBER(SEARCH("R", 'WetLitterbags placem_collection'!$X189)),"YES","NO")</f>
        <v>NO</v>
      </c>
      <c r="AJ262" s="252" t="str">
        <f>IF(ISNUMBER(SEARCH("C", 'WetLitterbags placem_collection'!$V189)),"YES","NO")</f>
        <v>NO</v>
      </c>
      <c r="AK262" s="252" t="str">
        <f>IF(ISNUMBER(SEARCH("H", 'WetLitterbags placem_collection'!$V189)),"YES","NO")</f>
        <v>NO</v>
      </c>
      <c r="AL262" s="252" t="str">
        <f>IF(ISNUMBER(SEARCH("R", 'WetLitterbags placem_collection'!$V189)),"YES","NO")</f>
        <v>NO</v>
      </c>
    </row>
    <row r="263" spans="2:38">
      <c r="B263" t="str">
        <f>'Final data_for_R_analysis_Wetse'!A189</f>
        <v>Wet</v>
      </c>
      <c r="C263" s="260">
        <f>'Final data_for_R_analysis_Wetse'!B189</f>
        <v>188</v>
      </c>
      <c r="D263" t="s">
        <v>3829</v>
      </c>
      <c r="E263" t="s">
        <v>22</v>
      </c>
      <c r="F263" s="382">
        <v>4</v>
      </c>
      <c r="G263" s="16">
        <f>'WetLitterbags placem_collection'!E190</f>
        <v>42763</v>
      </c>
      <c r="H263" t="str">
        <f>'Final data_for_R_analysis_Wetse'!K189</f>
        <v>G420</v>
      </c>
      <c r="I263" t="str">
        <f>'Final data_for_R_analysis_Wetse'!K409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31"/>
        <v>1.7892000000000001</v>
      </c>
      <c r="M263" s="194">
        <f>AVERAGE(Ashed_controlls!$K$2:$K$11)</f>
        <v>5.5147656768714146</v>
      </c>
      <c r="N263" s="194">
        <f t="shared" si="28"/>
        <v>1.6905298125094168</v>
      </c>
      <c r="O263" s="194">
        <f t="shared" si="32"/>
        <v>1.8681999999999999</v>
      </c>
      <c r="P263" s="194">
        <f>AVERAGE(Ashed_controlls!$K$12:$K$14)</f>
        <v>2.2816647271287041</v>
      </c>
      <c r="Q263" s="194">
        <f t="shared" si="33"/>
        <v>1.8255739395677815</v>
      </c>
      <c r="R263" s="16">
        <f>IF('WetLitterbags placem_collection'!G190="","",'WetLitterbags placem_collection'!G190)</f>
        <v>42815</v>
      </c>
      <c r="S263" s="194">
        <f>IFERROR(INDEX('Both teabags AfterWet'!$C$3:$C$2000,MATCH(H263,'Both teabags AfterWet'!$A$3:$A$2000,0)),"")</f>
        <v>0.29980000000000001</v>
      </c>
      <c r="T263" s="194">
        <f>IFERROR(INDEX('Both teabags AfterWet'!$C$3:$C$2000,MATCH(I263,'Both teabags AfterWet'!$A$3:$A$2000,0)),"")</f>
        <v>1.54</v>
      </c>
      <c r="U263" s="194">
        <f t="shared" si="34"/>
        <v>0.1492</v>
      </c>
      <c r="V263" s="194">
        <f t="shared" si="35"/>
        <v>1.3894</v>
      </c>
      <c r="W263" s="194">
        <f>IFERROR(INDEX('Ashed teabags wet'!$K$2:$K$2000,MATCH(H263,'Ashed teabags wet'!$A$2:$A$2000,0)),"")</f>
        <v>12.313003452243912</v>
      </c>
      <c r="X263" s="237">
        <f>IFERROR(INDEX('Ashed teabags wet'!$K$2:$K$2000,MATCH(I263,'Ashed teabags wet'!$A$2:$A$2000,0)),"")</f>
        <v>2.4709302325582305</v>
      </c>
      <c r="Y263" s="194">
        <f t="shared" si="40"/>
        <v>0.13082899884925209</v>
      </c>
      <c r="Z263" s="194">
        <f t="shared" si="40"/>
        <v>1.3550688953488359</v>
      </c>
      <c r="AA263" s="194">
        <f t="shared" si="36"/>
        <v>0.92261065265980136</v>
      </c>
      <c r="AB263" s="194">
        <f t="shared" si="37"/>
        <v>0.6048468886795848</v>
      </c>
      <c r="AC263" s="194">
        <f t="shared" si="29"/>
        <v>0.74227006969088238</v>
      </c>
      <c r="AD263">
        <f t="shared" si="30"/>
        <v>52</v>
      </c>
      <c r="AE263" s="194">
        <f t="shared" si="38"/>
        <v>-9.5737117173160691E-2</v>
      </c>
      <c r="AF263" s="194">
        <f t="shared" si="39"/>
        <v>1.067910712422916E-2</v>
      </c>
      <c r="AG263" s="252" t="str">
        <f>IF(ISNUMBER(SEARCH("C",'WetLitterbags placem_collection'!$X190)),"YES","NO")</f>
        <v>NO</v>
      </c>
      <c r="AH263" s="252" t="str">
        <f>IF(ISNUMBER(SEARCH("H", 'WetLitterbags placem_collection'!$X190)),"YES","NO")</f>
        <v>NO</v>
      </c>
      <c r="AI263" s="252" t="str">
        <f>IF(ISNUMBER(SEARCH("R", 'WetLitterbags placem_collection'!$X190)),"YES","NO")</f>
        <v>NO</v>
      </c>
      <c r="AJ263" s="252" t="str">
        <f>IF(ISNUMBER(SEARCH("C", 'WetLitterbags placem_collection'!$V190)),"YES","NO")</f>
        <v>NO</v>
      </c>
      <c r="AK263" s="252" t="str">
        <f>IF(ISNUMBER(SEARCH("H", 'WetLitterbags placem_collection'!$V190)),"YES","NO")</f>
        <v>YES</v>
      </c>
      <c r="AL263" s="252" t="str">
        <f>IF(ISNUMBER(SEARCH("R", 'WetLitterbags placem_collection'!$V190)),"YES","NO")</f>
        <v>NO</v>
      </c>
    </row>
    <row r="264" spans="2:38">
      <c r="B264" t="str">
        <f>'Final data_for_R_analysis_Wetse'!A190</f>
        <v>Wet</v>
      </c>
      <c r="C264" s="260">
        <f>'Final data_for_R_analysis_Wetse'!B190</f>
        <v>189</v>
      </c>
      <c r="D264" t="s">
        <v>3829</v>
      </c>
      <c r="E264" t="s">
        <v>22</v>
      </c>
      <c r="F264" s="382">
        <v>5</v>
      </c>
      <c r="G264" s="16">
        <f>'WetLitterbags placem_collection'!E191</f>
        <v>42763</v>
      </c>
      <c r="H264" t="str">
        <f>'Final data_for_R_analysis_Wetse'!K190</f>
        <v>G367</v>
      </c>
      <c r="I264" t="str">
        <f>'Final data_for_R_analysis_Wetse'!K410</f>
        <v>R354</v>
      </c>
      <c r="J264">
        <f>IFERROR(INDEX('Green_rooibos initial weight'!$C$5:$C$2000,MATCH(H264, 'Green_rooibos initial weight'!$A$5:$A$2000,0)),"")</f>
        <v>2.0990000000000002</v>
      </c>
      <c r="K264">
        <f>IFERROR(INDEX('Green_rooibos initial weight'!$C$5:$C$2000,MATCH(I264, 'Green_rooibos initial weight'!$A$5:$A$2000,0)),"")</f>
        <v>2.286</v>
      </c>
      <c r="L264" s="194">
        <f t="shared" si="31"/>
        <v>1.8492000000000002</v>
      </c>
      <c r="M264" s="194">
        <f>AVERAGE(Ashed_controlls!$K$2:$K$11)</f>
        <v>5.5147656768714146</v>
      </c>
      <c r="N264" s="194">
        <f t="shared" si="28"/>
        <v>1.7472209531032941</v>
      </c>
      <c r="O264" s="194">
        <f t="shared" si="32"/>
        <v>2.0362</v>
      </c>
      <c r="P264" s="194">
        <f>AVERAGE(Ashed_controlls!$K$12:$K$14)</f>
        <v>2.2816647271287041</v>
      </c>
      <c r="Q264" s="194">
        <f t="shared" si="33"/>
        <v>1.9897407428262053</v>
      </c>
      <c r="R264" s="16">
        <f>IF('WetLitterbags placem_collection'!G191="","",'WetLitterbags placem_collection'!G191)</f>
        <v>42815</v>
      </c>
      <c r="S264" s="194">
        <f>IFERROR(INDEX('Both teabags AfterWet'!$C$3:$C$2000,MATCH(H264,'Both teabags AfterWet'!$A$3:$A$2000,0)),"")</f>
        <v>0.80840000000000001</v>
      </c>
      <c r="T264" s="194">
        <f>IFERROR(INDEX('Both teabags AfterWet'!$C$3:$C$2000,MATCH(I264,'Both teabags AfterWet'!$A$3:$A$2000,0)),"")</f>
        <v>1.7630999999999999</v>
      </c>
      <c r="U264" s="194">
        <f t="shared" si="34"/>
        <v>0.65779999999999994</v>
      </c>
      <c r="V264" s="194">
        <f t="shared" si="35"/>
        <v>1.6124999999999998</v>
      </c>
      <c r="W264" s="194">
        <f>IFERROR(INDEX('Ashed teabags wet'!$K$2:$K$2000,MATCH(H264,'Ashed teabags wet'!$A$2:$A$2000,0)),"")</f>
        <v>9.3843098311821134</v>
      </c>
      <c r="X264" s="237">
        <f>IFERROR(INDEX('Ashed teabags wet'!$K$2:$K$2000,MATCH(I264,'Ashed teabags wet'!$A$2:$A$2000,0)),"")</f>
        <v>2.4789291026277223</v>
      </c>
      <c r="Y264" s="194">
        <f t="shared" si="40"/>
        <v>0.59607000993048398</v>
      </c>
      <c r="Z264" s="194">
        <f t="shared" si="40"/>
        <v>1.5725272682201279</v>
      </c>
      <c r="AA264" s="194">
        <f t="shared" si="36"/>
        <v>0.65884680533862339</v>
      </c>
      <c r="AB264" s="194">
        <f t="shared" si="37"/>
        <v>0.43192807190845622</v>
      </c>
      <c r="AC264" s="194">
        <f t="shared" si="29"/>
        <v>0.79031767022397492</v>
      </c>
      <c r="AD264">
        <f t="shared" si="30"/>
        <v>52</v>
      </c>
      <c r="AE264" s="194">
        <f t="shared" si="38"/>
        <v>0.21752160886149241</v>
      </c>
      <c r="AF264" s="194">
        <f t="shared" si="39"/>
        <v>1.2778372268621467E-2</v>
      </c>
      <c r="AG264" s="252" t="str">
        <f>IF(ISNUMBER(SEARCH("C",'WetLitterbags placem_collection'!$X191)),"YES","NO")</f>
        <v>NO</v>
      </c>
      <c r="AH264" s="252" t="str">
        <f>IF(ISNUMBER(SEARCH("H", 'WetLitterbags placem_collection'!$X191)),"YES","NO")</f>
        <v>NO</v>
      </c>
      <c r="AI264" s="252" t="str">
        <f>IF(ISNUMBER(SEARCH("R", 'WetLitterbags placem_collection'!$X191)),"YES","NO")</f>
        <v>NO</v>
      </c>
      <c r="AJ264" s="252" t="str">
        <f>IF(ISNUMBER(SEARCH("C", 'WetLitterbags placem_collection'!$V191)),"YES","NO")</f>
        <v>YES</v>
      </c>
      <c r="AK264" s="252" t="str">
        <f>IF(ISNUMBER(SEARCH("H", 'WetLitterbags placem_collection'!$V191)),"YES","NO")</f>
        <v>NO</v>
      </c>
      <c r="AL264" s="252" t="str">
        <f>IF(ISNUMBER(SEARCH("R", 'WetLitterbags placem_collection'!$V191)),"YES","NO")</f>
        <v>YES</v>
      </c>
    </row>
    <row r="265" spans="2:38">
      <c r="B265" t="str">
        <f>'Final data_for_R_analysis_Wetse'!A191</f>
        <v>Wet</v>
      </c>
      <c r="C265" s="260">
        <f>'Final data_for_R_analysis_Wetse'!B191</f>
        <v>190</v>
      </c>
      <c r="D265" t="s">
        <v>3829</v>
      </c>
      <c r="E265" t="s">
        <v>22</v>
      </c>
      <c r="F265" s="382">
        <v>6</v>
      </c>
      <c r="G265" s="16">
        <f>'WetLitterbags placem_collection'!E192</f>
        <v>42763</v>
      </c>
      <c r="H265" t="str">
        <f>'Final data_for_R_analysis_Wetse'!K191</f>
        <v>G526</v>
      </c>
      <c r="I265" t="str">
        <f>'Final data_for_R_analysis_Wetse'!K411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31"/>
        <v>1.8262</v>
      </c>
      <c r="M265" s="194">
        <f>AVERAGE(Ashed_controlls!$K$2:$K$11)</f>
        <v>5.5147656768714146</v>
      </c>
      <c r="N265" s="194">
        <f t="shared" si="28"/>
        <v>1.7254893492089742</v>
      </c>
      <c r="O265" s="194">
        <f t="shared" si="32"/>
        <v>1.9542000000000002</v>
      </c>
      <c r="P265" s="194">
        <f>AVERAGE(Ashed_controlls!$K$12:$K$14)</f>
        <v>2.2816647271287041</v>
      </c>
      <c r="Q265" s="194">
        <f t="shared" si="33"/>
        <v>1.909611707902451</v>
      </c>
      <c r="R265" s="16">
        <f>IF('WetLitterbags placem_collection'!G192="","",'WetLitterbags placem_collection'!G192)</f>
        <v>42815</v>
      </c>
      <c r="S265" s="194">
        <f>IFERROR(INDEX('Both teabags AfterWet'!$C$3:$C$2000,MATCH(H265,'Both teabags AfterWet'!$A$3:$A$2000,0)),"")</f>
        <v>0.61960000000000004</v>
      </c>
      <c r="T265" s="194">
        <f>IFERROR(INDEX('Both teabags AfterWet'!$C$3:$C$2000,MATCH(I265,'Both teabags AfterWet'!$A$3:$A$2000,0)),"")</f>
        <v>1.6649</v>
      </c>
      <c r="U265" s="194">
        <f t="shared" si="34"/>
        <v>0.46900000000000003</v>
      </c>
      <c r="V265" s="194">
        <f t="shared" si="35"/>
        <v>1.5143</v>
      </c>
      <c r="W265" s="194">
        <f>IFERROR(INDEX('Ashed teabags wet'!$K$2:$K$2000,MATCH(H265,'Ashed teabags wet'!$A$2:$A$2000,0)),"")</f>
        <v>9.78043912175667</v>
      </c>
      <c r="X265" s="237">
        <f>IFERROR(INDEX('Ashed teabags wet'!$K$2:$K$2000,MATCH(I265,'Ashed teabags wet'!$A$2:$A$2000,0)),"")</f>
        <v>2.591687041564656</v>
      </c>
      <c r="Y265" s="194">
        <f t="shared" si="40"/>
        <v>0.42312974051896124</v>
      </c>
      <c r="Z265" s="194">
        <f t="shared" si="40"/>
        <v>1.4750540831295864</v>
      </c>
      <c r="AA265" s="194">
        <f t="shared" si="36"/>
        <v>0.75477696184393195</v>
      </c>
      <c r="AB265" s="194">
        <f t="shared" si="37"/>
        <v>0.49481815075754215</v>
      </c>
      <c r="AC265" s="194">
        <f t="shared" si="29"/>
        <v>0.77243665663833305</v>
      </c>
      <c r="AD265">
        <f t="shared" si="30"/>
        <v>52</v>
      </c>
      <c r="AE265" s="194">
        <f t="shared" si="38"/>
        <v>0.10359030659865565</v>
      </c>
      <c r="AF265" s="194">
        <f t="shared" si="39"/>
        <v>1.1845918937224963E-2</v>
      </c>
      <c r="AG265" s="252" t="str">
        <f>IF(ISNUMBER(SEARCH("C",'WetLitterbags placem_collection'!$X192)),"YES","NO")</f>
        <v>NO</v>
      </c>
      <c r="AH265" s="252" t="str">
        <f>IF(ISNUMBER(SEARCH("H", 'WetLitterbags placem_collection'!$X192)),"YES","NO")</f>
        <v>NO</v>
      </c>
      <c r="AI265" s="252" t="str">
        <f>IF(ISNUMBER(SEARCH("R", 'WetLitterbags placem_collection'!$X192)),"YES","NO")</f>
        <v>NO</v>
      </c>
      <c r="AJ265" s="252" t="str">
        <f>IF(ISNUMBER(SEARCH("C", 'WetLitterbags placem_collection'!$V192)),"YES","NO")</f>
        <v>NO</v>
      </c>
      <c r="AK265" s="252" t="str">
        <f>IF(ISNUMBER(SEARCH("H", 'WetLitterbags placem_collection'!$V192)),"YES","NO")</f>
        <v>NO</v>
      </c>
      <c r="AL265" s="252" t="str">
        <f>IF(ISNUMBER(SEARCH("R", 'WetLitterbags placem_collection'!$V192)),"YES","NO")</f>
        <v>NO</v>
      </c>
    </row>
    <row r="266" spans="2:38">
      <c r="B266" t="str">
        <f>'Final data_for_R_analysis_Wetse'!A192</f>
        <v>Wet</v>
      </c>
      <c r="C266" s="260">
        <f>'Final data_for_R_analysis_Wetse'!B192</f>
        <v>191</v>
      </c>
      <c r="D266" t="s">
        <v>3829</v>
      </c>
      <c r="E266" t="s">
        <v>22</v>
      </c>
      <c r="F266" s="382">
        <v>7</v>
      </c>
      <c r="G266" s="16">
        <f>'WetLitterbags placem_collection'!E193</f>
        <v>42763</v>
      </c>
      <c r="H266" t="str">
        <f>'Final data_for_R_analysis_Wetse'!K192</f>
        <v>G522</v>
      </c>
      <c r="I266" t="str">
        <f>'Final data_for_R_analysis_Wetse'!K412</f>
        <v>R336</v>
      </c>
      <c r="J266">
        <f>IFERROR(INDEX('Green_rooibos initial weight'!$C$5:$C$2000,MATCH(H266, 'Green_rooibos initial weight'!$A$5:$A$2000,0)),"")</f>
        <v>1.821</v>
      </c>
      <c r="K266">
        <f>IFERROR(INDEX('Green_rooibos initial weight'!$C$5:$C$2000,MATCH(I266, 'Green_rooibos initial weight'!$A$5:$A$2000,0)),"")</f>
        <v>2.11</v>
      </c>
      <c r="L266" s="194">
        <f t="shared" si="31"/>
        <v>1.5711999999999999</v>
      </c>
      <c r="M266" s="194">
        <f>AVERAGE(Ashed_controlls!$K$2:$K$11)</f>
        <v>5.5147656768714146</v>
      </c>
      <c r="N266" s="194">
        <f t="shared" si="28"/>
        <v>1.4845520016849962</v>
      </c>
      <c r="O266" s="194">
        <f t="shared" si="32"/>
        <v>1.8601999999999999</v>
      </c>
      <c r="P266" s="194">
        <f>AVERAGE(Ashed_controlls!$K$12:$K$14)</f>
        <v>2.2816647271287041</v>
      </c>
      <c r="Q266" s="194">
        <f t="shared" si="33"/>
        <v>1.8177564727459516</v>
      </c>
      <c r="R266" s="16">
        <f>IF('WetLitterbags placem_collection'!G193="","",'WetLitterbags placem_collection'!G193)</f>
        <v>42815</v>
      </c>
      <c r="S266" s="194">
        <f>IFERROR(INDEX('Both teabags AfterWet'!$C$3:$C$2000,MATCH(H266,'Both teabags AfterWet'!$A$3:$A$2000,0)),"")</f>
        <v>0.628</v>
      </c>
      <c r="T266" s="194">
        <f>IFERROR(INDEX('Both teabags AfterWet'!$C$3:$C$2000,MATCH(I266,'Both teabags AfterWet'!$A$3:$A$2000,0)),"")</f>
        <v>1.671</v>
      </c>
      <c r="U266" s="194">
        <f t="shared" si="34"/>
        <v>0.47739999999999999</v>
      </c>
      <c r="V266" s="194">
        <f t="shared" si="35"/>
        <v>1.5204</v>
      </c>
      <c r="W266" s="194">
        <f>IFERROR(INDEX('Ashed teabags wet'!$K$2:$K$2000,MATCH(H266,'Ashed teabags wet'!$A$2:$A$2000,0)),"")</f>
        <v>9.2361457813275862</v>
      </c>
      <c r="X266" s="237">
        <f>IFERROR(INDEX('Ashed teabags wet'!$K$2:$K$2000,MATCH(I266,'Ashed teabags wet'!$A$2:$A$2000,0)),"")</f>
        <v>1.9089574155652842</v>
      </c>
      <c r="Y266" s="194">
        <f t="shared" si="40"/>
        <v>0.43330664003994213</v>
      </c>
      <c r="Z266" s="194">
        <f t="shared" si="40"/>
        <v>1.4913762114537454</v>
      </c>
      <c r="AA266" s="194">
        <f t="shared" si="36"/>
        <v>0.7081229626526182</v>
      </c>
      <c r="AB266" s="194">
        <f t="shared" si="37"/>
        <v>0.46423263109767848</v>
      </c>
      <c r="AC266" s="194">
        <f t="shared" si="29"/>
        <v>0.82044885209559038</v>
      </c>
      <c r="AD266">
        <f t="shared" si="30"/>
        <v>52</v>
      </c>
      <c r="AE266" s="194">
        <f t="shared" si="38"/>
        <v>0.15899885670710423</v>
      </c>
      <c r="AF266" s="194">
        <f t="shared" si="39"/>
        <v>9.4041314280248964E-3</v>
      </c>
      <c r="AG266" s="252" t="str">
        <f>IF(ISNUMBER(SEARCH("C",'WetLitterbags placem_collection'!$X193)),"YES","NO")</f>
        <v>NO</v>
      </c>
      <c r="AH266" s="252" t="str">
        <f>IF(ISNUMBER(SEARCH("H", 'WetLitterbags placem_collection'!$X193)),"YES","NO")</f>
        <v>NO</v>
      </c>
      <c r="AI266" s="252" t="str">
        <f>IF(ISNUMBER(SEARCH("R", 'WetLitterbags placem_collection'!$X193)),"YES","NO")</f>
        <v>NO</v>
      </c>
      <c r="AJ266" s="252" t="str">
        <f>IF(ISNUMBER(SEARCH("C", 'WetLitterbags placem_collection'!$V193)),"YES","NO")</f>
        <v>NO</v>
      </c>
      <c r="AK266" s="252" t="str">
        <f>IF(ISNUMBER(SEARCH("H", 'WetLitterbags placem_collection'!$V193)),"YES","NO")</f>
        <v>NO</v>
      </c>
      <c r="AL266" s="252" t="str">
        <f>IF(ISNUMBER(SEARCH("R", 'WetLitterbags placem_collection'!$V193)),"YES","NO")</f>
        <v>NO</v>
      </c>
    </row>
    <row r="267" spans="2:38">
      <c r="B267" t="str">
        <f>'Final data_for_R_analysis_Wetse'!A193</f>
        <v>Wet</v>
      </c>
      <c r="C267" s="260">
        <f>'Final data_for_R_analysis_Wetse'!B193</f>
        <v>192</v>
      </c>
      <c r="D267" t="s">
        <v>3829</v>
      </c>
      <c r="E267" t="s">
        <v>22</v>
      </c>
      <c r="F267" s="382">
        <v>8</v>
      </c>
      <c r="G267" s="16">
        <f>'WetLitterbags placem_collection'!E194</f>
        <v>42763</v>
      </c>
      <c r="H267" t="str">
        <f>'Final data_for_R_analysis_Wetse'!K193</f>
        <v>G591</v>
      </c>
      <c r="I267" t="str">
        <f>'Final data_for_R_analysis_Wetse'!K413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31"/>
        <v>1.8422000000000001</v>
      </c>
      <c r="M267" s="194">
        <f>AVERAGE(Ashed_controlls!$K$2:$K$11)</f>
        <v>5.5147656768714146</v>
      </c>
      <c r="N267" s="194">
        <f t="shared" si="28"/>
        <v>1.7406069867006748</v>
      </c>
      <c r="O267" s="194">
        <f t="shared" si="32"/>
        <v>1.9352</v>
      </c>
      <c r="P267" s="194">
        <f>AVERAGE(Ashed_controlls!$K$12:$K$14)</f>
        <v>2.2816647271287041</v>
      </c>
      <c r="Q267" s="194">
        <f t="shared" si="33"/>
        <v>1.8910452242006053</v>
      </c>
      <c r="R267" s="16">
        <f>IF('WetLitterbags placem_collection'!G194="","",'WetLitterbags placem_collection'!G194)</f>
        <v>42815</v>
      </c>
      <c r="S267" s="194">
        <f>IFERROR(INDEX('Both teabags AfterWet'!$C$3:$C$2000,MATCH(H267,'Both teabags AfterWet'!$A$3:$A$2000,0)),"")</f>
        <v>0.66100000000000003</v>
      </c>
      <c r="T267" s="194">
        <f>IFERROR(INDEX('Both teabags AfterWet'!$C$3:$C$2000,MATCH(I267,'Both teabags AfterWet'!$A$3:$A$2000,0)),"")</f>
        <v>1.0369999999999999</v>
      </c>
      <c r="U267" s="194">
        <f t="shared" si="34"/>
        <v>0.51039999999999996</v>
      </c>
      <c r="V267" s="194">
        <f t="shared" si="35"/>
        <v>0.88639999999999985</v>
      </c>
      <c r="W267" s="194">
        <f>IFERROR(INDEX('Ashed teabags wet'!$K$2:$K$2000,MATCH(H267,'Ashed teabags wet'!$A$2:$A$2000,0)),"")</f>
        <v>10.322580645161365</v>
      </c>
      <c r="X267" s="237">
        <f>IFERROR(INDEX('Ashed teabags wet'!$K$2:$K$2000,MATCH(I267,'Ashed teabags wet'!$A$2:$A$2000,0)),"")</f>
        <v>44.460570875664885</v>
      </c>
      <c r="Y267" s="194">
        <f t="shared" si="40"/>
        <v>0.45771354838709638</v>
      </c>
      <c r="Z267" s="194">
        <f t="shared" si="40"/>
        <v>0.49230149975810639</v>
      </c>
      <c r="AA267" s="194">
        <f t="shared" si="36"/>
        <v>0.73703796900488516</v>
      </c>
      <c r="AB267" s="194">
        <f t="shared" si="37"/>
        <v>0.48318878728111242</v>
      </c>
      <c r="AC267" s="194">
        <f t="shared" si="29"/>
        <v>0.26033301237743545</v>
      </c>
      <c r="AD267">
        <f t="shared" si="30"/>
        <v>52</v>
      </c>
      <c r="AE267" s="194">
        <f t="shared" si="38"/>
        <v>0.12465799405595579</v>
      </c>
      <c r="AF267" s="194" t="str">
        <f t="shared" si="39"/>
        <v/>
      </c>
      <c r="AG267" s="252" t="str">
        <f>IF(ISNUMBER(SEARCH("C",'WetLitterbags placem_collection'!$X194)),"YES","NO")</f>
        <v>NO</v>
      </c>
      <c r="AH267" s="252" t="str">
        <f>IF(ISNUMBER(SEARCH("H", 'WetLitterbags placem_collection'!$X194)),"YES","NO")</f>
        <v>NO</v>
      </c>
      <c r="AI267" s="252" t="str">
        <f>IF(ISNUMBER(SEARCH("R", 'WetLitterbags placem_collection'!$X194)),"YES","NO")</f>
        <v>NO</v>
      </c>
      <c r="AJ267" s="252" t="str">
        <f>IF(ISNUMBER(SEARCH("C", 'WetLitterbags placem_collection'!$V194)),"YES","NO")</f>
        <v>NO</v>
      </c>
      <c r="AK267" s="252" t="str">
        <f>IF(ISNUMBER(SEARCH("H", 'WetLitterbags placem_collection'!$V194)),"YES","NO")</f>
        <v>NO</v>
      </c>
      <c r="AL267" s="252" t="str">
        <f>IF(ISNUMBER(SEARCH("R", 'WetLitterbags placem_collection'!$V194)),"YES","NO")</f>
        <v>NO</v>
      </c>
    </row>
    <row r="268" spans="2:38">
      <c r="B268" t="str">
        <f>'Final data_for_R_analysis_Wetse'!A194</f>
        <v>Wet</v>
      </c>
      <c r="C268" s="260">
        <f>'Final data_for_R_analysis_Wetse'!B194</f>
        <v>193</v>
      </c>
      <c r="D268" t="s">
        <v>2440</v>
      </c>
      <c r="E268" t="s">
        <v>22</v>
      </c>
      <c r="F268" s="382">
        <v>1</v>
      </c>
      <c r="G268" s="16">
        <f>'WetLitterbags placem_collection'!E195</f>
        <v>42769</v>
      </c>
      <c r="H268" t="str">
        <f>'Final data_for_R_analysis_Wetse'!K194</f>
        <v>G863</v>
      </c>
      <c r="I268" t="str">
        <f>'Final data_for_R_analysis_Wetse'!K414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31"/>
        <v>1.7732000000000001</v>
      </c>
      <c r="M268" s="194">
        <f>AVERAGE(Ashed_controlls!$K$2:$K$11)</f>
        <v>5.5147656768714146</v>
      </c>
      <c r="N268" s="194">
        <f t="shared" ref="N268:N331" si="41">IFERROR(L268-(M268/100)*L268,"")</f>
        <v>1.6754121750177162</v>
      </c>
      <c r="O268" s="194">
        <f t="shared" si="32"/>
        <v>1.9542000000000002</v>
      </c>
      <c r="P268" s="194">
        <f>AVERAGE(Ashed_controlls!$K$12:$K$14)</f>
        <v>2.2816647271287041</v>
      </c>
      <c r="Q268" s="194">
        <f t="shared" si="33"/>
        <v>1.909611707902451</v>
      </c>
      <c r="R268" s="16">
        <f>IF('WetLitterbags placem_collection'!G195="","",'WetLitterbags placem_collection'!G195)</f>
        <v>42813</v>
      </c>
      <c r="S268" s="194">
        <f>IFERROR(INDEX('Both teabags AfterWet'!$C$3:$C$2000,MATCH(H268,'Both teabags AfterWet'!$A$3:$A$2000,0)),"")</f>
        <v>0.64890000000000003</v>
      </c>
      <c r="T268" s="194">
        <f>IFERROR(INDEX('Both teabags AfterWet'!$C$3:$C$2000,MATCH(I268,'Both teabags AfterWet'!$A$3:$A$2000,0)),"")</f>
        <v>1.2266999999999999</v>
      </c>
      <c r="U268" s="194">
        <f t="shared" si="34"/>
        <v>0.49830000000000002</v>
      </c>
      <c r="V268" s="194">
        <f t="shared" si="35"/>
        <v>1.0760999999999998</v>
      </c>
      <c r="W268" s="194">
        <f>IFERROR(INDEX('Ashed teabags wet'!$K$2:$K$2000,MATCH(H268,'Ashed teabags wet'!$A$2:$A$2000,0)),"")</f>
        <v>8.2238442822379554</v>
      </c>
      <c r="X268" s="237">
        <f>IFERROR(INDEX('Ashed teabags wet'!$K$2:$K$2000,MATCH(I268,'Ashed teabags wet'!$A$2:$A$2000,0)),"")</f>
        <v>4.8379052369080275</v>
      </c>
      <c r="Y268" s="194">
        <f t="shared" si="40"/>
        <v>0.45732058394160829</v>
      </c>
      <c r="Z268" s="194">
        <f t="shared" si="40"/>
        <v>1.0240393017456326</v>
      </c>
      <c r="AA268" s="194">
        <f t="shared" si="36"/>
        <v>0.72703995425079659</v>
      </c>
      <c r="AB268" s="194">
        <f t="shared" si="37"/>
        <v>0.47663426929505914</v>
      </c>
      <c r="AC268" s="194">
        <f t="shared" ref="AC268:AC331" si="42">IFERROR(Z268/Q268,"")</f>
        <v>0.53625524891154663</v>
      </c>
      <c r="AD268">
        <f t="shared" ref="AD268:AD331" si="43">IFERROR(IF((R268-G268)&gt;0,(IFERROR(R268-G268,"")),""),"")</f>
        <v>44</v>
      </c>
      <c r="AE268" s="194">
        <f t="shared" si="38"/>
        <v>0.13653212084228428</v>
      </c>
      <c r="AF268" s="194">
        <f t="shared" si="39"/>
        <v>8.2053068791122508E-2</v>
      </c>
      <c r="AG268" s="252" t="str">
        <f>IF(ISNUMBER(SEARCH("C",'WetLitterbags placem_collection'!$X195)),"YES","NO")</f>
        <v>NO</v>
      </c>
      <c r="AH268" s="252" t="str">
        <f>IF(ISNUMBER(SEARCH("H", 'WetLitterbags placem_collection'!$X195)),"YES","NO")</f>
        <v>NO</v>
      </c>
      <c r="AI268" s="252" t="str">
        <f>IF(ISNUMBER(SEARCH("R", 'WetLitterbags placem_collection'!$X195)),"YES","NO")</f>
        <v>YES</v>
      </c>
      <c r="AJ268" s="252" t="str">
        <f>IF(ISNUMBER(SEARCH("C", 'WetLitterbags placem_collection'!$V195)),"YES","NO")</f>
        <v>NO</v>
      </c>
      <c r="AK268" s="252" t="str">
        <f>IF(ISNUMBER(SEARCH("H", 'WetLitterbags placem_collection'!$V195)),"YES","NO")</f>
        <v>NO</v>
      </c>
      <c r="AL268" s="252" t="str">
        <f>IF(ISNUMBER(SEARCH("R", 'WetLitterbags placem_collection'!$V195)),"YES","NO")</f>
        <v>YES</v>
      </c>
    </row>
    <row r="269" spans="2:38">
      <c r="B269" t="str">
        <f>'Final data_for_R_analysis_Wetse'!A195</f>
        <v>Wet</v>
      </c>
      <c r="C269" s="260">
        <f>'Final data_for_R_analysis_Wetse'!B195</f>
        <v>194</v>
      </c>
      <c r="D269" t="s">
        <v>2433</v>
      </c>
      <c r="E269" t="s">
        <v>22</v>
      </c>
      <c r="F269" s="382">
        <v>2</v>
      </c>
      <c r="G269" s="16">
        <f>'WetLitterbags placem_collection'!E196</f>
        <v>42769</v>
      </c>
      <c r="H269" t="str">
        <f>'Final data_for_R_analysis_Wetse'!K195</f>
        <v>G615</v>
      </c>
      <c r="I269" t="str">
        <f>'Final data_for_R_analysis_Wetse'!K415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295" si="44">IF(J269&gt;0,(J269*$F$31-($F$29+$F$30)),"")</f>
        <v>1.7132000000000001</v>
      </c>
      <c r="M269" s="194">
        <f>AVERAGE(Ashed_controlls!$K$2:$K$11)</f>
        <v>5.5147656768714146</v>
      </c>
      <c r="N269" s="194">
        <f t="shared" si="41"/>
        <v>1.618721034423839</v>
      </c>
      <c r="O269" s="194">
        <f t="shared" ref="O269:O332" si="45">IF(K269&gt;0,(K269*$F$32-($F$29+$F$30)),"")</f>
        <v>1.9662000000000002</v>
      </c>
      <c r="P269" s="194">
        <f>AVERAGE(Ashed_controlls!$K$12:$K$14)</f>
        <v>2.2816647271287041</v>
      </c>
      <c r="Q269" s="194">
        <f t="shared" ref="Q269:Q332" si="46">IFERROR(O269-(P269/100)*O269,"")</f>
        <v>1.9213379081351956</v>
      </c>
      <c r="R269" s="16">
        <f>IF('WetLitterbags placem_collection'!G196="","",'WetLitterbags placem_collection'!G196)</f>
        <v>42813</v>
      </c>
      <c r="S269" s="194">
        <f>IFERROR(INDEX('Both teabags AfterWet'!$C$3:$C$2000,MATCH(H269,'Both teabags AfterWet'!$A$3:$A$2000,0)),"")</f>
        <v>0.64100000000000001</v>
      </c>
      <c r="T269" s="194">
        <f>IFERROR(INDEX('Both teabags AfterWet'!$C$3:$C$2000,MATCH(I269,'Both teabags AfterWet'!$A$3:$A$2000,0)),"")</f>
        <v>1.512</v>
      </c>
      <c r="U269" s="194">
        <f t="shared" ref="U269:U332" si="47">IFERROR(IF(S269&gt;0,S269-($F$29),""),"")</f>
        <v>0.4904</v>
      </c>
      <c r="V269" s="194">
        <f t="shared" ref="V269:V332" si="48">IFERROR(IF(T269&gt;0,T269-($F$29),""),"")</f>
        <v>1.3613999999999999</v>
      </c>
      <c r="W269" s="194">
        <f>IFERROR(INDEX('Ashed teabags wet'!$K$2:$K$2000,MATCH(H269,'Ashed teabags wet'!$A$2:$A$2000,0)),"")</f>
        <v>11.187777230163009</v>
      </c>
      <c r="X269" s="237">
        <f>IFERROR(INDEX('Ashed teabags wet'!$K$2:$K$2000,MATCH(I269,'Ashed teabags wet'!$A$2:$A$2000,0)),"")</f>
        <v>3.5180722891571889</v>
      </c>
      <c r="Y269" s="194">
        <f t="shared" si="40"/>
        <v>0.43553514046328062</v>
      </c>
      <c r="Z269" s="194">
        <f t="shared" si="40"/>
        <v>1.3135049638554139</v>
      </c>
      <c r="AA269" s="194">
        <f t="shared" ref="AA269:AA332" si="49">IFERROR(1-Y269/N269,"")</f>
        <v>0.7309387280444507</v>
      </c>
      <c r="AB269" s="194">
        <f t="shared" ref="AB269:AB332" si="50">IFERROR($F$26*(1-AE269),"")</f>
        <v>0.47919023501251401</v>
      </c>
      <c r="AC269" s="194">
        <f t="shared" si="42"/>
        <v>0.68364078920936422</v>
      </c>
      <c r="AD269">
        <f t="shared" si="43"/>
        <v>44</v>
      </c>
      <c r="AE269" s="194">
        <f t="shared" ref="AE269:AE332" si="51">IFERROR(1-(AA269/$F$25),"")</f>
        <v>0.13190174816573552</v>
      </c>
      <c r="AF269" s="194">
        <f t="shared" ref="AF269:AF332" si="52">IFERROR(LN(AB269/(AC269-(1-AB269)))/AD269,"")</f>
        <v>2.4531469705010498E-2</v>
      </c>
      <c r="AG269" s="252" t="str">
        <f>IF(ISNUMBER(SEARCH("C",'WetLitterbags placem_collection'!$X196)),"YES","NO")</f>
        <v>NO</v>
      </c>
      <c r="AH269" s="252" t="str">
        <f>IF(ISNUMBER(SEARCH("H", 'WetLitterbags placem_collection'!$X196)),"YES","NO")</f>
        <v>NO</v>
      </c>
      <c r="AI269" s="252" t="str">
        <f>IF(ISNUMBER(SEARCH("R", 'WetLitterbags placem_collection'!$X196)),"YES","NO")</f>
        <v>YES</v>
      </c>
      <c r="AJ269" s="252" t="str">
        <f>IF(ISNUMBER(SEARCH("C", 'WetLitterbags placem_collection'!$V196)),"YES","NO")</f>
        <v>NO</v>
      </c>
      <c r="AK269" s="252" t="str">
        <f>IF(ISNUMBER(SEARCH("H", 'WetLitterbags placem_collection'!$V196)),"YES","NO")</f>
        <v>NO</v>
      </c>
      <c r="AL269" s="252" t="str">
        <f>IF(ISNUMBER(SEARCH("R", 'WetLitterbags placem_collection'!$V196)),"YES","NO")</f>
        <v>YES</v>
      </c>
    </row>
    <row r="270" spans="2:38">
      <c r="B270" t="str">
        <f>'Final data_for_R_analysis_Wetse'!A196</f>
        <v>Wet</v>
      </c>
      <c r="C270" s="260">
        <f>'Final data_for_R_analysis_Wetse'!B196</f>
        <v>195</v>
      </c>
      <c r="D270" t="s">
        <v>2425</v>
      </c>
      <c r="E270" t="s">
        <v>22</v>
      </c>
      <c r="F270" s="382">
        <v>3</v>
      </c>
      <c r="G270" s="16">
        <f>'WetLitterbags placem_collection'!E197</f>
        <v>42769</v>
      </c>
      <c r="H270" t="str">
        <f>'Final data_for_R_analysis_Wetse'!K196</f>
        <v>G821</v>
      </c>
      <c r="I270" t="str">
        <f>'Final data_for_R_analysis_Wetse'!K416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44"/>
        <v>1.7492000000000001</v>
      </c>
      <c r="M270" s="194">
        <f>AVERAGE(Ashed_controlls!$K$2:$K$11)</f>
        <v>5.5147656768714146</v>
      </c>
      <c r="N270" s="194">
        <f t="shared" si="41"/>
        <v>1.6527357187801652</v>
      </c>
      <c r="O270" s="194">
        <f t="shared" si="45"/>
        <v>1.9822000000000002</v>
      </c>
      <c r="P270" s="194">
        <f>AVERAGE(Ashed_controlls!$K$12:$K$14)</f>
        <v>2.2816647271287041</v>
      </c>
      <c r="Q270" s="194">
        <f t="shared" si="46"/>
        <v>1.936972841778855</v>
      </c>
      <c r="R270" s="16">
        <f>IF('WetLitterbags placem_collection'!G197="","",'WetLitterbags placem_collection'!G197)</f>
        <v>42814</v>
      </c>
      <c r="S270" s="194">
        <f>IFERROR(INDEX('Both teabags AfterWet'!$C$3:$C$2000,MATCH(H270,'Both teabags AfterWet'!$A$3:$A$2000,0)),"")</f>
        <v>0.7641</v>
      </c>
      <c r="T270" s="194">
        <f>IFERROR(INDEX('Both teabags AfterWet'!$C$3:$C$2000,MATCH(I270,'Both teabags AfterWet'!$A$3:$A$2000,0)),"")</f>
        <v>1.5296000000000001</v>
      </c>
      <c r="U270" s="194">
        <f t="shared" si="47"/>
        <v>0.61349999999999993</v>
      </c>
      <c r="V270" s="194">
        <f t="shared" si="48"/>
        <v>1.379</v>
      </c>
      <c r="W270" s="194">
        <f>IFERROR(INDEX('Ashed teabags wet'!$K$2:$K$2000,MATCH(H270,'Ashed teabags wet'!$A$2:$A$2000,0)),"")</f>
        <v>15.097159940208879</v>
      </c>
      <c r="X270" s="237">
        <f>IFERROR(INDEX('Ashed teabags wet'!$K$2:$K$2000,MATCH(I270,'Ashed teabags wet'!$A$2:$A$2000,0)),"")</f>
        <v>1.2339585389935566</v>
      </c>
      <c r="Y270" s="194">
        <f t="shared" ref="Y270:Z333" si="53">IFERROR(U270-(W270/100)*U270,"")</f>
        <v>0.52087892376681844</v>
      </c>
      <c r="Z270" s="194">
        <f t="shared" si="53"/>
        <v>1.3619837117472788</v>
      </c>
      <c r="AA270" s="194">
        <f t="shared" si="49"/>
        <v>0.68483834538817634</v>
      </c>
      <c r="AB270" s="194">
        <f t="shared" si="50"/>
        <v>0.44896765635899449</v>
      </c>
      <c r="AC270" s="194">
        <f t="shared" si="42"/>
        <v>0.70315064949309036</v>
      </c>
      <c r="AD270">
        <f t="shared" si="43"/>
        <v>45</v>
      </c>
      <c r="AE270" s="194">
        <f t="shared" si="51"/>
        <v>0.186652796451097</v>
      </c>
      <c r="AF270" s="194">
        <f t="shared" si="52"/>
        <v>2.4050940094045358E-2</v>
      </c>
      <c r="AG270" s="252" t="str">
        <f>IF(ISNUMBER(SEARCH("C",'WetLitterbags placem_collection'!$X197)),"YES","NO")</f>
        <v>NO</v>
      </c>
      <c r="AH270" s="252" t="str">
        <f>IF(ISNUMBER(SEARCH("H", 'WetLitterbags placem_collection'!$X197)),"YES","NO")</f>
        <v>NO</v>
      </c>
      <c r="AI270" s="252" t="str">
        <f>IF(ISNUMBER(SEARCH("R", 'WetLitterbags placem_collection'!$X197)),"YES","NO")</f>
        <v>YES</v>
      </c>
      <c r="AJ270" s="252" t="str">
        <f>IF(ISNUMBER(SEARCH("C", 'WetLitterbags placem_collection'!$V197)),"YES","NO")</f>
        <v>NO</v>
      </c>
      <c r="AK270" s="252" t="str">
        <f>IF(ISNUMBER(SEARCH("H", 'WetLitterbags placem_collection'!$V197)),"YES","NO")</f>
        <v>NO</v>
      </c>
      <c r="AL270" s="252" t="str">
        <f>IF(ISNUMBER(SEARCH("R", 'WetLitterbags placem_collection'!$V197)),"YES","NO")</f>
        <v>YES</v>
      </c>
    </row>
    <row r="271" spans="2:38">
      <c r="B271" t="str">
        <f>'Final data_for_R_analysis_Wetse'!A197</f>
        <v>Wet</v>
      </c>
      <c r="C271" s="260">
        <f>'Final data_for_R_analysis_Wetse'!B197</f>
        <v>196</v>
      </c>
      <c r="D271" t="s">
        <v>2416</v>
      </c>
      <c r="E271" t="s">
        <v>22</v>
      </c>
      <c r="F271" s="382">
        <v>4</v>
      </c>
      <c r="G271" s="16">
        <f>'WetLitterbags placem_collection'!E198</f>
        <v>42769</v>
      </c>
      <c r="H271" t="str">
        <f>'Final data_for_R_analysis_Wetse'!K197</f>
        <v>G754</v>
      </c>
      <c r="I271" t="str">
        <f>'Final data_for_R_analysis_Wetse'!K417</f>
        <v>R375</v>
      </c>
      <c r="J271">
        <f>IFERROR(INDEX('Green_rooibos initial weight'!$C$5:$C$2000,MATCH(H271, 'Green_rooibos initial weight'!$A$5:$A$2000,0)),"")</f>
        <v>2.0609999999999999</v>
      </c>
      <c r="K271">
        <f>IFERROR(INDEX('Green_rooibos initial weight'!$C$5:$C$2000,MATCH(I271, 'Green_rooibos initial weight'!$A$5:$A$2000,0)),"")</f>
        <v>2.23</v>
      </c>
      <c r="L271" s="194">
        <f t="shared" si="44"/>
        <v>1.8111999999999999</v>
      </c>
      <c r="M271" s="194">
        <f>AVERAGE(Ashed_controlls!$K$2:$K$11)</f>
        <v>5.5147656768714146</v>
      </c>
      <c r="N271" s="194">
        <f t="shared" si="41"/>
        <v>1.7113165640605048</v>
      </c>
      <c r="O271" s="194">
        <f t="shared" si="45"/>
        <v>1.9802</v>
      </c>
      <c r="P271" s="194">
        <f>AVERAGE(Ashed_controlls!$K$12:$K$14)</f>
        <v>2.2816647271287041</v>
      </c>
      <c r="Q271" s="194">
        <f t="shared" si="46"/>
        <v>1.9350184750733974</v>
      </c>
      <c r="R271" s="16">
        <f>IF('WetLitterbags placem_collection'!G198="","",'WetLitterbags placem_collection'!G198)</f>
        <v>42814</v>
      </c>
      <c r="S271" s="194">
        <f>IFERROR(INDEX('Both teabags AfterWet'!$C$3:$C$2000,MATCH(H271,'Both teabags AfterWet'!$A$3:$A$2000,0)),"")</f>
        <v>0.6452</v>
      </c>
      <c r="T271" s="194">
        <f>IFERROR(INDEX('Both teabags AfterWet'!$C$3:$C$2000,MATCH(I271,'Both teabags AfterWet'!$A$3:$A$2000,0)),"")</f>
        <v>1.3742000000000001</v>
      </c>
      <c r="U271" s="194">
        <f t="shared" si="47"/>
        <v>0.49459999999999998</v>
      </c>
      <c r="V271" s="194">
        <f t="shared" si="48"/>
        <v>1.2236</v>
      </c>
      <c r="W271" s="194">
        <f>IFERROR(INDEX('Ashed teabags wet'!$K$2:$K$2000,MATCH(H271,'Ashed teabags wet'!$A$2:$A$2000,0)),"")</f>
        <v>10.498306724722434</v>
      </c>
      <c r="X271" s="237">
        <f>IFERROR(INDEX('Ashed teabags wet'!$K$2:$K$2000,MATCH(I271,'Ashed teabags wet'!$A$2:$A$2000,0)),"")</f>
        <v>5.0314465408809701</v>
      </c>
      <c r="Y271" s="194">
        <f t="shared" si="53"/>
        <v>0.4426753749395228</v>
      </c>
      <c r="Z271" s="194">
        <f t="shared" si="53"/>
        <v>1.1620352201257804</v>
      </c>
      <c r="AA271" s="194">
        <f t="shared" si="49"/>
        <v>0.74132467117061585</v>
      </c>
      <c r="AB271" s="194">
        <f t="shared" si="50"/>
        <v>0.4859990718363183</v>
      </c>
      <c r="AC271" s="194">
        <f t="shared" si="42"/>
        <v>0.60052926372276783</v>
      </c>
      <c r="AD271">
        <f t="shared" si="43"/>
        <v>45</v>
      </c>
      <c r="AE271" s="194">
        <f t="shared" si="51"/>
        <v>0.11956689884724958</v>
      </c>
      <c r="AF271" s="194">
        <f t="shared" si="52"/>
        <v>3.8349661668521273E-2</v>
      </c>
      <c r="AG271" s="252" t="str">
        <f>IF(ISNUMBER(SEARCH("C",'WetLitterbags placem_collection'!$X198)),"YES","NO")</f>
        <v>NO</v>
      </c>
      <c r="AH271" s="252" t="str">
        <f>IF(ISNUMBER(SEARCH("H", 'WetLitterbags placem_collection'!$X198)),"YES","NO")</f>
        <v>NO</v>
      </c>
      <c r="AI271" s="252" t="str">
        <f>IF(ISNUMBER(SEARCH("R", 'WetLitterbags placem_collection'!$X198)),"YES","NO")</f>
        <v>NO</v>
      </c>
      <c r="AJ271" s="252" t="str">
        <f>IF(ISNUMBER(SEARCH("C", 'WetLitterbags placem_collection'!$V198)),"YES","NO")</f>
        <v>NO</v>
      </c>
      <c r="AK271" s="252" t="str">
        <f>IF(ISNUMBER(SEARCH("H", 'WetLitterbags placem_collection'!$V198)),"YES","NO")</f>
        <v>NO</v>
      </c>
      <c r="AL271" s="252" t="str">
        <f>IF(ISNUMBER(SEARCH("R", 'WetLitterbags placem_collection'!$V198)),"YES","NO")</f>
        <v>YES</v>
      </c>
    </row>
    <row r="272" spans="2:38">
      <c r="B272" t="str">
        <f>'Final data_for_R_analysis_Wetse'!A198</f>
        <v>Wet</v>
      </c>
      <c r="C272" s="260">
        <f>'Final data_for_R_analysis_Wetse'!B198</f>
        <v>197</v>
      </c>
      <c r="D272" t="s">
        <v>2426</v>
      </c>
      <c r="E272" t="s">
        <v>22</v>
      </c>
      <c r="F272" s="382">
        <v>1</v>
      </c>
      <c r="G272" s="16">
        <f>'WetLitterbags placem_collection'!E199</f>
        <v>42769</v>
      </c>
      <c r="H272" t="str">
        <f>'Final data_for_R_analysis_Wetse'!K198</f>
        <v>G715</v>
      </c>
      <c r="I272" t="str">
        <f>'Final data_for_R_analysis_Wetse'!K418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44"/>
        <v>1.7681999999999998</v>
      </c>
      <c r="M272" s="194">
        <f>AVERAGE(Ashed_controlls!$K$2:$K$11)</f>
        <v>5.5147656768714146</v>
      </c>
      <c r="N272" s="194">
        <f t="shared" si="41"/>
        <v>1.6706879133015595</v>
      </c>
      <c r="O272" s="194">
        <f t="shared" si="45"/>
        <v>1.9662000000000002</v>
      </c>
      <c r="P272" s="194">
        <f>AVERAGE(Ashed_controlls!$K$12:$K$14)</f>
        <v>2.2816647271287041</v>
      </c>
      <c r="Q272" s="194">
        <f t="shared" si="46"/>
        <v>1.9213379081351956</v>
      </c>
      <c r="R272" s="16">
        <f>IF('WetLitterbags placem_collection'!G199="","",'WetLitterbags placem_collection'!G199)</f>
        <v>42814</v>
      </c>
      <c r="S272" s="194">
        <f>IFERROR(INDEX('Both teabags AfterWet'!$C$3:$C$2000,MATCH(H272,'Both teabags AfterWet'!$A$3:$A$2000,0)),"")</f>
        <v>0.69089999999999996</v>
      </c>
      <c r="T272" s="194">
        <f>IFERROR(INDEX('Both teabags AfterWet'!$C$3:$C$2000,MATCH(I272,'Both teabags AfterWet'!$A$3:$A$2000,0)),"")</f>
        <v>1.5786</v>
      </c>
      <c r="U272" s="194">
        <f t="shared" si="47"/>
        <v>0.5403</v>
      </c>
      <c r="V272" s="194">
        <f t="shared" si="48"/>
        <v>1.4279999999999999</v>
      </c>
      <c r="W272" s="194">
        <f>IFERROR(INDEX('Ashed teabags wet'!$K$2:$K$2000,MATCH(H272,'Ashed teabags wet'!$A$2:$A$2000,0)),"")</f>
        <v>12.326732673267644</v>
      </c>
      <c r="X272" s="237">
        <f>IFERROR(INDEX('Ashed teabags wet'!$K$2:$K$2000,MATCH(I272,'Ashed teabags wet'!$A$2:$A$2000,0)),"")</f>
        <v>11.480214948704322</v>
      </c>
      <c r="Y272" s="194">
        <f t="shared" si="53"/>
        <v>0.47369866336633493</v>
      </c>
      <c r="Z272" s="194">
        <f t="shared" si="53"/>
        <v>1.2640625305325022</v>
      </c>
      <c r="AA272" s="194">
        <f t="shared" si="49"/>
        <v>0.71646490071851487</v>
      </c>
      <c r="AB272" s="194">
        <f t="shared" si="50"/>
        <v>0.46970145510287437</v>
      </c>
      <c r="AC272" s="194">
        <f t="shared" si="42"/>
        <v>0.65790745354073132</v>
      </c>
      <c r="AD272">
        <f t="shared" si="43"/>
        <v>45</v>
      </c>
      <c r="AE272" s="194">
        <f t="shared" si="51"/>
        <v>0.14909156684261893</v>
      </c>
      <c r="AF272" s="194">
        <f t="shared" si="52"/>
        <v>2.8958380123097007E-2</v>
      </c>
      <c r="AG272" s="252" t="str">
        <f>IF(ISNUMBER(SEARCH("C",'WetLitterbags placem_collection'!$X199)),"YES","NO")</f>
        <v>NO</v>
      </c>
      <c r="AH272" s="252" t="str">
        <f>IF(ISNUMBER(SEARCH("H", 'WetLitterbags placem_collection'!$X199)),"YES","NO")</f>
        <v>NO</v>
      </c>
      <c r="AI272" s="252" t="str">
        <f>IF(ISNUMBER(SEARCH("R", 'WetLitterbags placem_collection'!$X199)),"YES","NO")</f>
        <v>YES</v>
      </c>
      <c r="AJ272" s="252" t="str">
        <f>IF(ISNUMBER(SEARCH("C", 'WetLitterbags placem_collection'!$V199)),"YES","NO")</f>
        <v>NO</v>
      </c>
      <c r="AK272" s="252" t="str">
        <f>IF(ISNUMBER(SEARCH("H", 'WetLitterbags placem_collection'!$V199)),"YES","NO")</f>
        <v>NO</v>
      </c>
      <c r="AL272" s="252" t="str">
        <f>IF(ISNUMBER(SEARCH("R", 'WetLitterbags placem_collection'!$V199)),"YES","NO")</f>
        <v>YES</v>
      </c>
    </row>
    <row r="273" spans="2:38">
      <c r="B273" t="str">
        <f>'Final data_for_R_analysis_Wetse'!A199</f>
        <v>Wet</v>
      </c>
      <c r="C273" s="260">
        <f>'Final data_for_R_analysis_Wetse'!B199</f>
        <v>198</v>
      </c>
      <c r="D273" t="s">
        <v>2434</v>
      </c>
      <c r="E273" t="s">
        <v>22</v>
      </c>
      <c r="F273" s="382">
        <v>2</v>
      </c>
      <c r="G273" s="16">
        <f>'WetLitterbags placem_collection'!E200</f>
        <v>42769</v>
      </c>
      <c r="H273" t="str">
        <f>'Final data_for_R_analysis_Wetse'!K199</f>
        <v>G785</v>
      </c>
      <c r="I273" t="str">
        <f>'Final data_for_R_analysis_Wetse'!K419</f>
        <v>R463</v>
      </c>
      <c r="J273">
        <f>IFERROR(INDEX('Green_rooibos initial weight'!$C$5:$C$2000,MATCH(H273, 'Green_rooibos initial weight'!$A$5:$A$2000,0)),"")</f>
        <v>2.008</v>
      </c>
      <c r="K273">
        <f>IFERROR(INDEX('Green_rooibos initial weight'!$C$5:$C$2000,MATCH(I273, 'Green_rooibos initial weight'!$A$5:$A$2000,0)),"")</f>
        <v>2.1579999999999999</v>
      </c>
      <c r="L273" s="194">
        <f t="shared" si="44"/>
        <v>1.7582</v>
      </c>
      <c r="M273" s="194">
        <f>AVERAGE(Ashed_controlls!$K$2:$K$11)</f>
        <v>5.5147656768714146</v>
      </c>
      <c r="N273" s="194">
        <f t="shared" si="41"/>
        <v>1.6612393898692468</v>
      </c>
      <c r="O273" s="194">
        <f t="shared" si="45"/>
        <v>1.9081999999999999</v>
      </c>
      <c r="P273" s="194">
        <f>AVERAGE(Ashed_controlls!$K$12:$K$14)</f>
        <v>2.2816647271287041</v>
      </c>
      <c r="Q273" s="194">
        <f t="shared" si="46"/>
        <v>1.8646612736769299</v>
      </c>
      <c r="R273" s="16">
        <f>IF('WetLitterbags placem_collection'!G200="","",'WetLitterbags placem_collection'!G200)</f>
        <v>42813</v>
      </c>
      <c r="S273" s="194">
        <f>IFERROR(INDEX('Both teabags AfterWet'!$C$3:$C$2000,MATCH(H273,'Both teabags AfterWet'!$A$3:$A$2000,0)),"")</f>
        <v>0.64690000000000003</v>
      </c>
      <c r="T273" s="194">
        <f>IFERROR(INDEX('Both teabags AfterWet'!$C$3:$C$2000,MATCH(I273,'Both teabags AfterWet'!$A$3:$A$2000,0)),"")</f>
        <v>1.5485</v>
      </c>
      <c r="U273" s="194">
        <f t="shared" si="47"/>
        <v>0.49630000000000002</v>
      </c>
      <c r="V273" s="194">
        <f t="shared" si="48"/>
        <v>1.3978999999999999</v>
      </c>
      <c r="W273" s="194">
        <f>IFERROR(INDEX('Ashed teabags wet'!$K$2:$K$2000,MATCH(H273,'Ashed teabags wet'!$A$2:$A$2000,0)),"")</f>
        <v>9.3718843469595843</v>
      </c>
      <c r="X273" s="237">
        <f>IFERROR(INDEX('Ashed teabags wet'!$K$2:$K$2000,MATCH(I273,'Ashed teabags wet'!$A$2:$A$2000,0)),"")</f>
        <v>7.7074128620517337</v>
      </c>
      <c r="Y273" s="194">
        <f t="shared" si="53"/>
        <v>0.44978733798603959</v>
      </c>
      <c r="Z273" s="194">
        <f t="shared" si="53"/>
        <v>1.2901580756013789</v>
      </c>
      <c r="AA273" s="194">
        <f t="shared" si="49"/>
        <v>0.72924592281583123</v>
      </c>
      <c r="AB273" s="194">
        <f t="shared" si="50"/>
        <v>0.47808046246358538</v>
      </c>
      <c r="AC273" s="194">
        <f t="shared" si="42"/>
        <v>0.6918994317167928</v>
      </c>
      <c r="AD273">
        <f t="shared" si="43"/>
        <v>44</v>
      </c>
      <c r="AE273" s="194">
        <f t="shared" si="51"/>
        <v>0.13391220568191065</v>
      </c>
      <c r="AF273" s="194">
        <f t="shared" si="52"/>
        <v>2.3502247484327065E-2</v>
      </c>
      <c r="AG273" s="252" t="str">
        <f>IF(ISNUMBER(SEARCH("C",'WetLitterbags placem_collection'!$X200)),"YES","NO")</f>
        <v>NO</v>
      </c>
      <c r="AH273" s="252" t="str">
        <f>IF(ISNUMBER(SEARCH("H", 'WetLitterbags placem_collection'!$X200)),"YES","NO")</f>
        <v>NO</v>
      </c>
      <c r="AI273" s="252" t="str">
        <f>IF(ISNUMBER(SEARCH("R", 'WetLitterbags placem_collection'!$X200)),"YES","NO")</f>
        <v>YES</v>
      </c>
      <c r="AJ273" s="252" t="str">
        <f>IF(ISNUMBER(SEARCH("C", 'WetLitterbags placem_collection'!$V200)),"YES","NO")</f>
        <v>NO</v>
      </c>
      <c r="AK273" s="252" t="str">
        <f>IF(ISNUMBER(SEARCH("H", 'WetLitterbags placem_collection'!$V200)),"YES","NO")</f>
        <v>NO</v>
      </c>
      <c r="AL273" s="252" t="str">
        <f>IF(ISNUMBER(SEARCH("R", 'WetLitterbags placem_collection'!$V200)),"YES","NO")</f>
        <v>YES</v>
      </c>
    </row>
    <row r="274" spans="2:38">
      <c r="B274" t="str">
        <f>'Final data_for_R_analysis_Wetse'!A200</f>
        <v>Wet</v>
      </c>
      <c r="C274" s="260">
        <f>'Final data_for_R_analysis_Wetse'!B200</f>
        <v>199</v>
      </c>
      <c r="D274" t="s">
        <v>2418</v>
      </c>
      <c r="E274" t="s">
        <v>22</v>
      </c>
      <c r="F274" s="382">
        <v>3</v>
      </c>
      <c r="G274" s="16">
        <f>'WetLitterbags placem_collection'!E201</f>
        <v>42769</v>
      </c>
      <c r="H274" t="str">
        <f>'Final data_for_R_analysis_Wetse'!K200</f>
        <v>G877</v>
      </c>
      <c r="I274" t="str">
        <f>'Final data_for_R_analysis_Wetse'!K420</f>
        <v>R339</v>
      </c>
      <c r="J274">
        <f>IFERROR(INDEX('Green_rooibos initial weight'!$C$5:$C$2000,MATCH(H274, 'Green_rooibos initial weight'!$A$5:$A$2000,0)),"")</f>
        <v>2.0649999999999999</v>
      </c>
      <c r="K274">
        <f>IFERROR(INDEX('Green_rooibos initial weight'!$C$5:$C$2000,MATCH(I274, 'Green_rooibos initial weight'!$A$5:$A$2000,0)),"")</f>
        <v>2.214</v>
      </c>
      <c r="L274" s="194">
        <f t="shared" si="44"/>
        <v>1.8151999999999999</v>
      </c>
      <c r="M274" s="194">
        <f>AVERAGE(Ashed_controlls!$K$2:$K$11)</f>
        <v>5.5147656768714146</v>
      </c>
      <c r="N274" s="194">
        <f t="shared" si="41"/>
        <v>1.7150959734334301</v>
      </c>
      <c r="O274" s="194">
        <f t="shared" si="45"/>
        <v>1.9641999999999999</v>
      </c>
      <c r="P274" s="194">
        <f>AVERAGE(Ashed_controlls!$K$12:$K$14)</f>
        <v>2.2816647271287041</v>
      </c>
      <c r="Q274" s="194">
        <f t="shared" si="46"/>
        <v>1.919383541429738</v>
      </c>
      <c r="R274" s="16">
        <f>IF('WetLitterbags placem_collection'!G201="","",'WetLitterbags placem_collection'!G201)</f>
        <v>42814</v>
      </c>
      <c r="S274" s="194">
        <f>IFERROR(INDEX('Both teabags AfterWet'!$C$3:$C$2000,MATCH(H274,'Both teabags AfterWet'!$A$3:$A$2000,0)),"")</f>
        <v>0.67900000000000005</v>
      </c>
      <c r="T274" s="194">
        <f>IFERROR(INDEX('Both teabags AfterWet'!$C$3:$C$2000,MATCH(I274,'Both teabags AfterWet'!$A$3:$A$2000,0)),"")</f>
        <v>1.6160000000000001</v>
      </c>
      <c r="U274" s="194">
        <f t="shared" si="47"/>
        <v>0.52839999999999998</v>
      </c>
      <c r="V274" s="194">
        <f t="shared" si="48"/>
        <v>1.4654</v>
      </c>
      <c r="W274" s="194">
        <f>IFERROR(INDEX('Ashed teabags wet'!$K$2:$K$2000,MATCH(H274,'Ashed teabags wet'!$A$2:$A$2000,0)),"")</f>
        <v>11.636001989060295</v>
      </c>
      <c r="X274" s="237">
        <f>IFERROR(INDEX('Ashed teabags wet'!$K$2:$K$2000,MATCH(I274,'Ashed teabags wet'!$A$2:$A$2000,0)),"")</f>
        <v>3.6390101892290181</v>
      </c>
      <c r="Y274" s="194">
        <f t="shared" si="53"/>
        <v>0.46691536548980539</v>
      </c>
      <c r="Z274" s="194">
        <f t="shared" si="53"/>
        <v>1.4120739446870381</v>
      </c>
      <c r="AA274" s="194">
        <f t="shared" si="49"/>
        <v>0.72776137736765067</v>
      </c>
      <c r="AB274" s="194">
        <f t="shared" si="50"/>
        <v>0.47710722126715349</v>
      </c>
      <c r="AC274" s="194">
        <f t="shared" si="42"/>
        <v>0.73569138955687419</v>
      </c>
      <c r="AD274">
        <f t="shared" si="43"/>
        <v>45</v>
      </c>
      <c r="AE274" s="194">
        <f t="shared" si="51"/>
        <v>0.13567532379138869</v>
      </c>
      <c r="AF274" s="194">
        <f t="shared" si="52"/>
        <v>1.7942111528792205E-2</v>
      </c>
      <c r="AG274" s="252" t="str">
        <f>IF(ISNUMBER(SEARCH("C",'WetLitterbags placem_collection'!$X201)),"YES","NO")</f>
        <v>NO</v>
      </c>
      <c r="AH274" s="252" t="str">
        <f>IF(ISNUMBER(SEARCH("H", 'WetLitterbags placem_collection'!$X201)),"YES","NO")</f>
        <v>NO</v>
      </c>
      <c r="AI274" s="252" t="str">
        <f>IF(ISNUMBER(SEARCH("R", 'WetLitterbags placem_collection'!$X201)),"YES","NO")</f>
        <v>NO</v>
      </c>
      <c r="AJ274" s="252" t="str">
        <f>IF(ISNUMBER(SEARCH("C", 'WetLitterbags placem_collection'!$V201)),"YES","NO")</f>
        <v>NO</v>
      </c>
      <c r="AK274" s="252" t="str">
        <f>IF(ISNUMBER(SEARCH("H", 'WetLitterbags placem_collection'!$V201)),"YES","NO")</f>
        <v>NO</v>
      </c>
      <c r="AL274" s="252" t="str">
        <f>IF(ISNUMBER(SEARCH("R", 'WetLitterbags placem_collection'!$V201)),"YES","NO")</f>
        <v>YES</v>
      </c>
    </row>
    <row r="275" spans="2:38">
      <c r="B275" t="str">
        <f>'Final data_for_R_analysis_Wetse'!A201</f>
        <v>Wet</v>
      </c>
      <c r="C275" s="260">
        <f>'Final data_for_R_analysis_Wetse'!B201</f>
        <v>200</v>
      </c>
      <c r="D275" t="s">
        <v>2441</v>
      </c>
      <c r="E275" t="s">
        <v>22</v>
      </c>
      <c r="F275" s="382">
        <v>4</v>
      </c>
      <c r="G275" s="16">
        <f>'WetLitterbags placem_collection'!E202</f>
        <v>42769</v>
      </c>
      <c r="H275" t="str">
        <f>'Final data_for_R_analysis_Wetse'!K201</f>
        <v>G816</v>
      </c>
      <c r="I275" t="str">
        <f>'Final data_for_R_analysis_Wetse'!K421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44"/>
        <v>1.7641999999999998</v>
      </c>
      <c r="M275" s="194">
        <f>AVERAGE(Ashed_controlls!$K$2:$K$11)</f>
        <v>5.5147656768714146</v>
      </c>
      <c r="N275" s="194">
        <f t="shared" si="41"/>
        <v>1.6669085039286342</v>
      </c>
      <c r="O275" s="194">
        <f t="shared" si="45"/>
        <v>1.9992000000000001</v>
      </c>
      <c r="P275" s="194">
        <f>AVERAGE(Ashed_controlls!$K$12:$K$14)</f>
        <v>2.2816647271287041</v>
      </c>
      <c r="Q275" s="194">
        <f t="shared" si="46"/>
        <v>1.953584958775243</v>
      </c>
      <c r="R275" s="16">
        <f>IF('WetLitterbags placem_collection'!G202="","",'WetLitterbags placem_collection'!G202)</f>
        <v>42813</v>
      </c>
      <c r="S275" s="194">
        <f>IFERROR(INDEX('Both teabags AfterWet'!$C$3:$C$2000,MATCH(H275,'Both teabags AfterWet'!$A$3:$A$2000,0)),"")</f>
        <v>0.67120000000000002</v>
      </c>
      <c r="T275" s="194">
        <f>IFERROR(INDEX('Both teabags AfterWet'!$C$3:$C$2000,MATCH(I275,'Both teabags AfterWet'!$A$3:$A$2000,0)),"")</f>
        <v>1.5651999999999999</v>
      </c>
      <c r="U275" s="194">
        <f t="shared" si="47"/>
        <v>0.52059999999999995</v>
      </c>
      <c r="V275" s="194">
        <f t="shared" si="48"/>
        <v>1.4145999999999999</v>
      </c>
      <c r="W275" s="194">
        <f>IFERROR(INDEX('Ashed teabags wet'!$K$2:$K$2000,MATCH(H275,'Ashed teabags wet'!$A$2:$A$2000,0)),"")</f>
        <v>11.089206505668416</v>
      </c>
      <c r="X275" s="237">
        <f>IFERROR(INDEX('Ashed teabags wet'!$K$2:$K$2000,MATCH(I275,'Ashed teabags wet'!$A$2:$A$2000,0)),"")</f>
        <v>4.4411177644712749</v>
      </c>
      <c r="Y275" s="194">
        <f t="shared" si="53"/>
        <v>0.46286959093149016</v>
      </c>
      <c r="Z275" s="194">
        <f t="shared" si="53"/>
        <v>1.3517759481037892</v>
      </c>
      <c r="AA275" s="194">
        <f t="shared" si="49"/>
        <v>0.72231853767583454</v>
      </c>
      <c r="AB275" s="194">
        <f t="shared" si="50"/>
        <v>0.47353899382073716</v>
      </c>
      <c r="AC275" s="194">
        <f t="shared" si="42"/>
        <v>0.69194633283379459</v>
      </c>
      <c r="AD275">
        <f t="shared" si="43"/>
        <v>44</v>
      </c>
      <c r="AE275" s="194">
        <f t="shared" si="51"/>
        <v>0.14213950394793995</v>
      </c>
      <c r="AF275" s="194">
        <f t="shared" si="52"/>
        <v>2.3894357530924039E-2</v>
      </c>
      <c r="AG275" s="252" t="str">
        <f>IF(ISNUMBER(SEARCH("C",'WetLitterbags placem_collection'!$X202)),"YES","NO")</f>
        <v>NO</v>
      </c>
      <c r="AH275" s="252" t="str">
        <f>IF(ISNUMBER(SEARCH("H", 'WetLitterbags placem_collection'!$X202)),"YES","NO")</f>
        <v>NO</v>
      </c>
      <c r="AI275" s="252" t="str">
        <f>IF(ISNUMBER(SEARCH("R", 'WetLitterbags placem_collection'!$X202)),"YES","NO")</f>
        <v>YES</v>
      </c>
      <c r="AJ275" s="252" t="str">
        <f>IF(ISNUMBER(SEARCH("C", 'WetLitterbags placem_collection'!$V202)),"YES","NO")</f>
        <v>NO</v>
      </c>
      <c r="AK275" s="252" t="str">
        <f>IF(ISNUMBER(SEARCH("H", 'WetLitterbags placem_collection'!$V202)),"YES","NO")</f>
        <v>NO</v>
      </c>
      <c r="AL275" s="252" t="str">
        <f>IF(ISNUMBER(SEARCH("R", 'WetLitterbags placem_collection'!$V202)),"YES","NO")</f>
        <v>YES</v>
      </c>
    </row>
    <row r="276" spans="2:38">
      <c r="B276" t="str">
        <f>'Final data_for_R_analysis_Wetse'!A202</f>
        <v>Wet</v>
      </c>
      <c r="C276" s="260">
        <f>'Final data_for_R_analysis_Wetse'!B202</f>
        <v>201</v>
      </c>
      <c r="D276" t="s">
        <v>2442</v>
      </c>
      <c r="E276" t="s">
        <v>22</v>
      </c>
      <c r="F276" s="382">
        <v>1</v>
      </c>
      <c r="G276" s="16">
        <f>'WetLitterbags placem_collection'!E203</f>
        <v>42769</v>
      </c>
      <c r="H276" t="str">
        <f>'Final data_for_R_analysis_Wetse'!K202</f>
        <v>G811</v>
      </c>
      <c r="I276" t="str">
        <f>'Final data_for_R_analysis_Wetse'!K422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44"/>
        <v>1.7432000000000001</v>
      </c>
      <c r="M276" s="194">
        <f>AVERAGE(Ashed_controlls!$K$2:$K$11)</f>
        <v>5.5147656768714146</v>
      </c>
      <c r="N276" s="194">
        <f t="shared" si="41"/>
        <v>1.6470666047207776</v>
      </c>
      <c r="O276" s="194">
        <f t="shared" si="45"/>
        <v>1.9811999999999999</v>
      </c>
      <c r="P276" s="194">
        <f>AVERAGE(Ashed_controlls!$K$12:$K$14)</f>
        <v>2.2816647271287041</v>
      </c>
      <c r="Q276" s="194">
        <f t="shared" si="46"/>
        <v>1.935995658426126</v>
      </c>
      <c r="R276" s="16">
        <f>IF('WetLitterbags placem_collection'!G203="","",'WetLitterbags placem_collection'!G203)</f>
        <v>42813</v>
      </c>
      <c r="S276" s="194">
        <f>IFERROR(INDEX('Both teabags AfterWet'!$C$3:$C$2000,MATCH(H276,'Both teabags AfterWet'!$A$3:$A$2000,0)),"")</f>
        <v>0.56630000000000003</v>
      </c>
      <c r="T276" s="194">
        <f>IFERROR(INDEX('Both teabags AfterWet'!$C$3:$C$2000,MATCH(I276,'Both teabags AfterWet'!$A$3:$A$2000,0)),"")</f>
        <v>1.5928</v>
      </c>
      <c r="U276" s="194">
        <f t="shared" si="47"/>
        <v>0.41570000000000001</v>
      </c>
      <c r="V276" s="194">
        <f t="shared" si="48"/>
        <v>1.4421999999999999</v>
      </c>
      <c r="W276" s="194">
        <f>IFERROR(INDEX('Ashed teabags wet'!$K$2:$K$2000,MATCH(H276,'Ashed teabags wet'!$A$2:$A$2000,0)),"")</f>
        <v>11.712158808933365</v>
      </c>
      <c r="X276" s="237">
        <f>IFERROR(INDEX('Ashed teabags wet'!$K$2:$K$2000,MATCH(I276,'Ashed teabags wet'!$A$2:$A$2000,0)),"")</f>
        <v>3.3009708737867043</v>
      </c>
      <c r="Y276" s="194">
        <f t="shared" si="53"/>
        <v>0.36701255583126402</v>
      </c>
      <c r="Z276" s="194">
        <f t="shared" si="53"/>
        <v>1.3945933980582481</v>
      </c>
      <c r="AA276" s="194">
        <f t="shared" si="49"/>
        <v>0.7771720009504518</v>
      </c>
      <c r="AB276" s="194">
        <f t="shared" si="50"/>
        <v>0.50949993411478556</v>
      </c>
      <c r="AC276" s="194">
        <f t="shared" si="42"/>
        <v>0.72034944499410059</v>
      </c>
      <c r="AD276">
        <f t="shared" si="43"/>
        <v>44</v>
      </c>
      <c r="AE276" s="194">
        <f t="shared" si="51"/>
        <v>7.699287298046098E-2</v>
      </c>
      <c r="AF276" s="194">
        <f t="shared" si="52"/>
        <v>1.809103414520458E-2</v>
      </c>
      <c r="AG276" s="252" t="str">
        <f>IF(ISNUMBER(SEARCH("C",'WetLitterbags placem_collection'!$X203)),"YES","NO")</f>
        <v>NO</v>
      </c>
      <c r="AH276" s="252" t="str">
        <f>IF(ISNUMBER(SEARCH("H", 'WetLitterbags placem_collection'!$X203)),"YES","NO")</f>
        <v>NO</v>
      </c>
      <c r="AI276" s="252" t="str">
        <f>IF(ISNUMBER(SEARCH("R", 'WetLitterbags placem_collection'!$X203)),"YES","NO")</f>
        <v>YES</v>
      </c>
      <c r="AJ276" s="252" t="str">
        <f>IF(ISNUMBER(SEARCH("C", 'WetLitterbags placem_collection'!$V203)),"YES","NO")</f>
        <v>NO</v>
      </c>
      <c r="AK276" s="252" t="str">
        <f>IF(ISNUMBER(SEARCH("H", 'WetLitterbags placem_collection'!$V203)),"YES","NO")</f>
        <v>NO</v>
      </c>
      <c r="AL276" s="252" t="str">
        <f>IF(ISNUMBER(SEARCH("R", 'WetLitterbags placem_collection'!$V203)),"YES","NO")</f>
        <v>YES</v>
      </c>
    </row>
    <row r="277" spans="2:38">
      <c r="B277" t="str">
        <f>'Final data_for_R_analysis_Wetse'!A203</f>
        <v>Wet</v>
      </c>
      <c r="C277" s="260">
        <f>'Final data_for_R_analysis_Wetse'!B203</f>
        <v>202</v>
      </c>
      <c r="D277" t="s">
        <v>2419</v>
      </c>
      <c r="E277" t="s">
        <v>22</v>
      </c>
      <c r="F277" s="382">
        <v>2</v>
      </c>
      <c r="G277" s="16">
        <f>'WetLitterbags placem_collection'!E204</f>
        <v>42769</v>
      </c>
      <c r="H277" t="str">
        <f>'Final data_for_R_analysis_Wetse'!K203</f>
        <v>G773</v>
      </c>
      <c r="I277" t="str">
        <f>'Final data_for_R_analysis_Wetse'!K423</f>
        <v>R135</v>
      </c>
      <c r="J277">
        <f>IFERROR(INDEX('Green_rooibos initial weight'!$C$5:$C$2000,MATCH(H277, 'Green_rooibos initial weight'!$A$5:$A$2000,0)),"")</f>
        <v>1.718</v>
      </c>
      <c r="K277">
        <f>IFERROR(INDEX('Green_rooibos initial weight'!$C$5:$C$2000,MATCH(I277, 'Green_rooibos initial weight'!$A$5:$A$2000,0)),"")</f>
        <v>2.286</v>
      </c>
      <c r="L277" s="194">
        <f t="shared" si="44"/>
        <v>1.4681999999999999</v>
      </c>
      <c r="M277" s="194">
        <f>AVERAGE(Ashed_controlls!$K$2:$K$11)</f>
        <v>5.5147656768714146</v>
      </c>
      <c r="N277" s="194">
        <f t="shared" si="41"/>
        <v>1.3872322103321739</v>
      </c>
      <c r="O277" s="194">
        <f t="shared" si="45"/>
        <v>2.0362</v>
      </c>
      <c r="P277" s="194">
        <f>AVERAGE(Ashed_controlls!$K$12:$K$14)</f>
        <v>2.2816647271287041</v>
      </c>
      <c r="Q277" s="194">
        <f t="shared" si="46"/>
        <v>1.9897407428262053</v>
      </c>
      <c r="R277" s="16">
        <f>IF('WetLitterbags placem_collection'!G204="","",'WetLitterbags placem_collection'!G204)</f>
        <v>42814</v>
      </c>
      <c r="S277" s="194">
        <f>IFERROR(INDEX('Both teabags AfterWet'!$C$3:$C$2000,MATCH(H277,'Both teabags AfterWet'!$A$3:$A$2000,0)),"")</f>
        <v>0.84</v>
      </c>
      <c r="T277" s="194">
        <f>IFERROR(INDEX('Both teabags AfterWet'!$C$3:$C$2000,MATCH(I277,'Both teabags AfterWet'!$A$3:$A$2000,0)),"")</f>
        <v>1.6419999999999999</v>
      </c>
      <c r="U277" s="194">
        <f t="shared" si="47"/>
        <v>0.68940000000000001</v>
      </c>
      <c r="V277" s="194">
        <f t="shared" si="48"/>
        <v>1.4913999999999998</v>
      </c>
      <c r="W277" s="194">
        <f>IFERROR(INDEX('Ashed teabags wet'!$K$2:$K$2000,MATCH(H277,'Ashed teabags wet'!$A$2:$A$2000,0)),"")</f>
        <v>12.200000000000349</v>
      </c>
      <c r="X277" s="237">
        <f>IFERROR(INDEX('Ashed teabags wet'!$K$2:$K$2000,MATCH(I277,'Ashed teabags wet'!$A$2:$A$2000,0)),"")</f>
        <v>3.9196472317485203</v>
      </c>
      <c r="Y277" s="194">
        <f t="shared" si="53"/>
        <v>0.60529319999999764</v>
      </c>
      <c r="Z277" s="194">
        <f t="shared" si="53"/>
        <v>1.4329423811857025</v>
      </c>
      <c r="AA277" s="194">
        <f t="shared" si="49"/>
        <v>0.56366843597507033</v>
      </c>
      <c r="AB277" s="194">
        <f t="shared" si="50"/>
        <v>0.3695308511380509</v>
      </c>
      <c r="AC277" s="194">
        <f t="shared" si="42"/>
        <v>0.72016537146963544</v>
      </c>
      <c r="AD277">
        <f t="shared" si="43"/>
        <v>45</v>
      </c>
      <c r="AE277" s="194">
        <f t="shared" si="51"/>
        <v>0.33056005228613972</v>
      </c>
      <c r="AF277" s="194">
        <f t="shared" si="52"/>
        <v>3.1462346097913312E-2</v>
      </c>
      <c r="AG277" s="252" t="str">
        <f>IF(ISNUMBER(SEARCH("C",'WetLitterbags placem_collection'!$X204)),"YES","NO")</f>
        <v>NO</v>
      </c>
      <c r="AH277" s="252" t="str">
        <f>IF(ISNUMBER(SEARCH("H", 'WetLitterbags placem_collection'!$X204)),"YES","NO")</f>
        <v>NO</v>
      </c>
      <c r="AI277" s="252" t="str">
        <f>IF(ISNUMBER(SEARCH("R", 'WetLitterbags placem_collection'!$X204)),"YES","NO")</f>
        <v>YES</v>
      </c>
      <c r="AJ277" s="252" t="str">
        <f>IF(ISNUMBER(SEARCH("C", 'WetLitterbags placem_collection'!$V204)),"YES","NO")</f>
        <v>NO</v>
      </c>
      <c r="AK277" s="252" t="str">
        <f>IF(ISNUMBER(SEARCH("H", 'WetLitterbags placem_collection'!$V204)),"YES","NO")</f>
        <v>NO</v>
      </c>
      <c r="AL277" s="252" t="str">
        <f>IF(ISNUMBER(SEARCH("R", 'WetLitterbags placem_collection'!$V204)),"YES","NO")</f>
        <v>YES</v>
      </c>
    </row>
    <row r="278" spans="2:38">
      <c r="B278" t="str">
        <f>'Final data_for_R_analysis_Wetse'!A204</f>
        <v>Wet</v>
      </c>
      <c r="C278" s="260">
        <f>'Final data_for_R_analysis_Wetse'!B204</f>
        <v>203</v>
      </c>
      <c r="D278" t="s">
        <v>2428</v>
      </c>
      <c r="E278" t="s">
        <v>22</v>
      </c>
      <c r="F278" s="382">
        <v>3</v>
      </c>
      <c r="G278" s="16">
        <f>'WetLitterbags placem_collection'!E205</f>
        <v>42769</v>
      </c>
      <c r="H278" t="str">
        <f>'Final data_for_R_analysis_Wetse'!K204</f>
        <v>G645</v>
      </c>
      <c r="I278" t="str">
        <f>'Final data_for_R_analysis_Wetse'!K424</f>
        <v>R372</v>
      </c>
      <c r="J278">
        <f>IFERROR(INDEX('Green_rooibos initial weight'!$C$5:$C$2000,MATCH(H278, 'Green_rooibos initial weight'!$A$5:$A$2000,0)),"")</f>
        <v>2.238</v>
      </c>
      <c r="K278">
        <f>IFERROR(INDEX('Green_rooibos initial weight'!$C$5:$C$2000,MATCH(I278, 'Green_rooibos initial weight'!$A$5:$A$2000,0)),"")</f>
        <v>2.202</v>
      </c>
      <c r="L278" s="194">
        <f t="shared" si="44"/>
        <v>1.9882</v>
      </c>
      <c r="M278" s="194">
        <f>AVERAGE(Ashed_controlls!$K$2:$K$11)</f>
        <v>5.5147656768714146</v>
      </c>
      <c r="N278" s="194">
        <f t="shared" si="41"/>
        <v>1.8785554288124424</v>
      </c>
      <c r="O278" s="194">
        <f t="shared" si="45"/>
        <v>1.9521999999999999</v>
      </c>
      <c r="P278" s="194">
        <f>AVERAGE(Ashed_controlls!$K$12:$K$14)</f>
        <v>2.2816647271287041</v>
      </c>
      <c r="Q278" s="194">
        <f t="shared" si="46"/>
        <v>1.9076573411969935</v>
      </c>
      <c r="R278" s="16">
        <f>IF('WetLitterbags placem_collection'!G205="","",'WetLitterbags placem_collection'!G205)</f>
        <v>42814</v>
      </c>
      <c r="S278" s="194">
        <f>IFERROR(INDEX('Both teabags AfterWet'!$C$3:$C$2000,MATCH(H278,'Both teabags AfterWet'!$A$3:$A$2000,0)),"")</f>
        <v>0.80930000000000002</v>
      </c>
      <c r="T278" s="194">
        <f>IFERROR(INDEX('Both teabags AfterWet'!$C$3:$C$2000,MATCH(I278,'Both teabags AfterWet'!$A$3:$A$2000,0)),"")</f>
        <v>1.6213</v>
      </c>
      <c r="U278" s="194">
        <f t="shared" si="47"/>
        <v>0.65870000000000006</v>
      </c>
      <c r="V278" s="194">
        <f t="shared" si="48"/>
        <v>1.4706999999999999</v>
      </c>
      <c r="W278" s="194">
        <f>IFERROR(INDEX('Ashed teabags wet'!$K$2:$K$2000,MATCH(H278,'Ashed teabags wet'!$A$2:$A$2000,0)),"")</f>
        <v>11.067388096409434</v>
      </c>
      <c r="X278" s="237">
        <f>IFERROR(INDEX('Ashed teabags wet'!$K$2:$K$2000,MATCH(I278,'Ashed teabags wet'!$A$2:$A$2000,0)),"")</f>
        <v>4.1958041958038725</v>
      </c>
      <c r="Y278" s="194">
        <f t="shared" si="53"/>
        <v>0.58579911460895107</v>
      </c>
      <c r="Z278" s="194">
        <f t="shared" si="53"/>
        <v>1.4089923076923123</v>
      </c>
      <c r="AA278" s="194">
        <f t="shared" si="49"/>
        <v>0.68816511579896633</v>
      </c>
      <c r="AB278" s="194">
        <f t="shared" si="50"/>
        <v>0.45114862698459551</v>
      </c>
      <c r="AC278" s="194">
        <f t="shared" si="42"/>
        <v>0.7385982153420777</v>
      </c>
      <c r="AD278">
        <f t="shared" si="43"/>
        <v>45</v>
      </c>
      <c r="AE278" s="194">
        <f t="shared" si="51"/>
        <v>0.18270176270906613</v>
      </c>
      <c r="AF278" s="194">
        <f t="shared" si="52"/>
        <v>1.9246801336898055E-2</v>
      </c>
      <c r="AG278" s="252" t="str">
        <f>IF(ISNUMBER(SEARCH("C",'WetLitterbags placem_collection'!$X205)),"YES","NO")</f>
        <v>NO</v>
      </c>
      <c r="AH278" s="252" t="str">
        <f>IF(ISNUMBER(SEARCH("H", 'WetLitterbags placem_collection'!$X205)),"YES","NO")</f>
        <v>NO</v>
      </c>
      <c r="AI278" s="252" t="str">
        <f>IF(ISNUMBER(SEARCH("R", 'WetLitterbags placem_collection'!$X205)),"YES","NO")</f>
        <v>YES</v>
      </c>
      <c r="AJ278" s="252" t="str">
        <f>IF(ISNUMBER(SEARCH("C", 'WetLitterbags placem_collection'!$V205)),"YES","NO")</f>
        <v>NO</v>
      </c>
      <c r="AK278" s="252" t="str">
        <f>IF(ISNUMBER(SEARCH("H", 'WetLitterbags placem_collection'!$V205)),"YES","NO")</f>
        <v>NO</v>
      </c>
      <c r="AL278" s="252" t="str">
        <f>IF(ISNUMBER(SEARCH("R", 'WetLitterbags placem_collection'!$V205)),"YES","NO")</f>
        <v>YES</v>
      </c>
    </row>
    <row r="279" spans="2:38">
      <c r="B279" t="str">
        <f>'Final data_for_R_analysis_Wetse'!A205</f>
        <v>Wet</v>
      </c>
      <c r="C279" s="260">
        <f>'Final data_for_R_analysis_Wetse'!B205</f>
        <v>204</v>
      </c>
      <c r="D279" t="s">
        <v>2435</v>
      </c>
      <c r="E279" t="s">
        <v>22</v>
      </c>
      <c r="F279" s="382">
        <v>4</v>
      </c>
      <c r="G279" s="16">
        <f>'WetLitterbags placem_collection'!E206</f>
        <v>42769</v>
      </c>
      <c r="H279" t="str">
        <f>'Final data_for_R_analysis_Wetse'!K205</f>
        <v>G814</v>
      </c>
      <c r="I279" t="str">
        <f>'Final data_for_R_analysis_Wetse'!K425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44"/>
        <v>1.8982000000000001</v>
      </c>
      <c r="M279" s="194">
        <f>AVERAGE(Ashed_controlls!$K$2:$K$11)</f>
        <v>5.5147656768714146</v>
      </c>
      <c r="N279" s="194">
        <f t="shared" si="41"/>
        <v>1.793518717921627</v>
      </c>
      <c r="O279" s="194">
        <f t="shared" si="45"/>
        <v>1.8921999999999999</v>
      </c>
      <c r="P279" s="194">
        <f>AVERAGE(Ashed_controlls!$K$12:$K$14)</f>
        <v>2.2816647271287041</v>
      </c>
      <c r="Q279" s="194">
        <f t="shared" si="46"/>
        <v>1.8490263400332705</v>
      </c>
      <c r="R279" s="16">
        <f>IF('WetLitterbags placem_collection'!G206="","",'WetLitterbags placem_collection'!G206)</f>
        <v>42813</v>
      </c>
      <c r="S279" s="194">
        <f>IFERROR(INDEX('Both teabags AfterWet'!$C$3:$C$2000,MATCH(H279,'Both teabags AfterWet'!$A$3:$A$2000,0)),"")</f>
        <v>0.68300000000000005</v>
      </c>
      <c r="T279" s="194">
        <f>IFERROR(INDEX('Both teabags AfterWet'!$C$3:$C$2000,MATCH(I279,'Both teabags AfterWet'!$A$3:$A$2000,0)),"")</f>
        <v>1.544</v>
      </c>
      <c r="U279" s="194">
        <f t="shared" si="47"/>
        <v>0.53239999999999998</v>
      </c>
      <c r="V279" s="194">
        <f t="shared" si="48"/>
        <v>1.3934</v>
      </c>
      <c r="W279" s="194">
        <f>IFERROR(INDEX('Ashed teabags wet'!$K$2:$K$2000,MATCH(H279,'Ashed teabags wet'!$A$2:$A$2000,0)),"")</f>
        <v>11.500000000000204</v>
      </c>
      <c r="X279" s="237">
        <f>IFERROR(INDEX('Ashed teabags wet'!$K$2:$K$2000,MATCH(I279,'Ashed teabags wet'!$A$2:$A$2000,0)),"")</f>
        <v>5.4642166344294019</v>
      </c>
      <c r="Y279" s="194">
        <f t="shared" si="53"/>
        <v>0.47117399999999887</v>
      </c>
      <c r="Z279" s="194">
        <f t="shared" si="53"/>
        <v>1.3172616054158608</v>
      </c>
      <c r="AA279" s="194">
        <f t="shared" si="49"/>
        <v>0.73729072616202929</v>
      </c>
      <c r="AB279" s="194">
        <f t="shared" si="50"/>
        <v>0.4833544903104991</v>
      </c>
      <c r="AC279" s="194">
        <f t="shared" si="42"/>
        <v>0.7124082425954833</v>
      </c>
      <c r="AD279">
        <f t="shared" si="43"/>
        <v>44</v>
      </c>
      <c r="AE279" s="194">
        <f t="shared" si="51"/>
        <v>0.12435780740851621</v>
      </c>
      <c r="AF279" s="194">
        <f t="shared" si="52"/>
        <v>2.0541975893531447E-2</v>
      </c>
      <c r="AG279" s="252" t="str">
        <f>IF(ISNUMBER(SEARCH("C",'WetLitterbags placem_collection'!$X206)),"YES","NO")</f>
        <v>NO</v>
      </c>
      <c r="AH279" s="252" t="str">
        <f>IF(ISNUMBER(SEARCH("H", 'WetLitterbags placem_collection'!$X206)),"YES","NO")</f>
        <v>NO</v>
      </c>
      <c r="AI279" s="252" t="str">
        <f>IF(ISNUMBER(SEARCH("R", 'WetLitterbags placem_collection'!$X206)),"YES","NO")</f>
        <v>YES</v>
      </c>
      <c r="AJ279" s="252" t="str">
        <f>IF(ISNUMBER(SEARCH("C", 'WetLitterbags placem_collection'!$V206)),"YES","NO")</f>
        <v>NO</v>
      </c>
      <c r="AK279" s="252" t="str">
        <f>IF(ISNUMBER(SEARCH("H", 'WetLitterbags placem_collection'!$V206)),"YES","NO")</f>
        <v>NO</v>
      </c>
      <c r="AL279" s="252" t="str">
        <f>IF(ISNUMBER(SEARCH("R", 'WetLitterbags placem_collection'!$V206)),"YES","NO")</f>
        <v>YES</v>
      </c>
    </row>
    <row r="280" spans="2:38">
      <c r="B280" t="str">
        <f>'Final data_for_R_analysis_Wetse'!A206</f>
        <v>Wet</v>
      </c>
      <c r="C280" s="260">
        <f>'Final data_for_R_analysis_Wetse'!B206</f>
        <v>205</v>
      </c>
      <c r="D280" t="s">
        <v>2429</v>
      </c>
      <c r="E280" t="s">
        <v>22</v>
      </c>
      <c r="F280" s="382">
        <v>1</v>
      </c>
      <c r="G280" s="16">
        <f>'WetLitterbags placem_collection'!E207</f>
        <v>42769</v>
      </c>
      <c r="H280" t="str">
        <f>'Final data_for_R_analysis_Wetse'!K206</f>
        <v>G621</v>
      </c>
      <c r="I280" t="str">
        <f>'Final data_for_R_analysis_Wetse'!K426</f>
        <v>R265</v>
      </c>
      <c r="J280">
        <f>IFERROR(INDEX('Green_rooibos initial weight'!$C$5:$C$2000,MATCH(H280, 'Green_rooibos initial weight'!$A$5:$A$2000,0)),"")</f>
        <v>1.925</v>
      </c>
      <c r="K280">
        <f>IFERROR(INDEX('Green_rooibos initial weight'!$C$5:$C$2000,MATCH(I280, 'Green_rooibos initial weight'!$A$5:$A$2000,0)),"")</f>
        <v>2.2210000000000001</v>
      </c>
      <c r="L280" s="194">
        <f t="shared" si="44"/>
        <v>1.6752</v>
      </c>
      <c r="M280" s="194">
        <f>AVERAGE(Ashed_controlls!$K$2:$K$11)</f>
        <v>5.5147656768714146</v>
      </c>
      <c r="N280" s="194">
        <f t="shared" si="41"/>
        <v>1.5828166453810502</v>
      </c>
      <c r="O280" s="194">
        <f t="shared" si="45"/>
        <v>1.9712000000000001</v>
      </c>
      <c r="P280" s="194">
        <f>AVERAGE(Ashed_controlls!$K$12:$K$14)</f>
        <v>2.2816647271287041</v>
      </c>
      <c r="Q280" s="194">
        <f t="shared" si="46"/>
        <v>1.926223824898839</v>
      </c>
      <c r="R280" s="16">
        <f>IF('WetLitterbags placem_collection'!G207="","",'WetLitterbags placem_collection'!G207)</f>
        <v>42814</v>
      </c>
      <c r="S280" s="194">
        <f>IFERROR(INDEX('Both teabags AfterWet'!$C$3:$C$2000,MATCH(H280,'Both teabags AfterWet'!$A$3:$A$2000,0)),"")</f>
        <v>0.74099999999999999</v>
      </c>
      <c r="T280" s="194">
        <f>IFERROR(INDEX('Both teabags AfterWet'!$C$3:$C$2000,MATCH(I280,'Both teabags AfterWet'!$A$3:$A$2000,0)),"")</f>
        <v>1.6680999999999999</v>
      </c>
      <c r="U280" s="194">
        <f t="shared" si="47"/>
        <v>0.59040000000000004</v>
      </c>
      <c r="V280" s="194">
        <f t="shared" si="48"/>
        <v>1.5174999999999998</v>
      </c>
      <c r="W280" s="194">
        <f>IFERROR(INDEX('Ashed teabags wet'!$K$2:$K$2000,MATCH(H280,'Ashed teabags wet'!$A$2:$A$2000,0)),"")</f>
        <v>22.042218949435743</v>
      </c>
      <c r="X280" s="237">
        <f>IFERROR(INDEX('Ashed teabags wet'!$K$2:$K$2000,MATCH(I280,'Ashed teabags wet'!$A$2:$A$2000,0)),"")</f>
        <v>13.867187500000384</v>
      </c>
      <c r="Y280" s="194">
        <f t="shared" si="53"/>
        <v>0.46026273932253137</v>
      </c>
      <c r="Z280" s="194">
        <f t="shared" si="53"/>
        <v>1.3070654296874942</v>
      </c>
      <c r="AA280" s="194">
        <f t="shared" si="49"/>
        <v>0.70921285123854205</v>
      </c>
      <c r="AB280" s="194">
        <f t="shared" si="50"/>
        <v>0.46494714237966184</v>
      </c>
      <c r="AC280" s="194">
        <f t="shared" si="42"/>
        <v>0.67856362941421844</v>
      </c>
      <c r="AD280">
        <f t="shared" si="43"/>
        <v>45</v>
      </c>
      <c r="AE280" s="194">
        <f t="shared" si="51"/>
        <v>0.15770445221075757</v>
      </c>
      <c r="AF280" s="194">
        <f t="shared" si="52"/>
        <v>2.6122525103915436E-2</v>
      </c>
      <c r="AG280" s="252" t="str">
        <f>IF(ISNUMBER(SEARCH("C",'WetLitterbags placem_collection'!$X207)),"YES","NO")</f>
        <v>NO</v>
      </c>
      <c r="AH280" s="252" t="str">
        <f>IF(ISNUMBER(SEARCH("H", 'WetLitterbags placem_collection'!$X207)),"YES","NO")</f>
        <v>NO</v>
      </c>
      <c r="AI280" s="252" t="str">
        <f>IF(ISNUMBER(SEARCH("R", 'WetLitterbags placem_collection'!$X207)),"YES","NO")</f>
        <v>YES</v>
      </c>
      <c r="AJ280" s="252" t="str">
        <f>IF(ISNUMBER(SEARCH("C", 'WetLitterbags placem_collection'!$V207)),"YES","NO")</f>
        <v>NO</v>
      </c>
      <c r="AK280" s="252" t="str">
        <f>IF(ISNUMBER(SEARCH("H", 'WetLitterbags placem_collection'!$V207)),"YES","NO")</f>
        <v>YES</v>
      </c>
      <c r="AL280" s="252" t="str">
        <f>IF(ISNUMBER(SEARCH("R", 'WetLitterbags placem_collection'!$V207)),"YES","NO")</f>
        <v>YES</v>
      </c>
    </row>
    <row r="281" spans="2:38">
      <c r="B281" t="str">
        <f>'Final data_for_R_analysis_Wetse'!A207</f>
        <v>Wet</v>
      </c>
      <c r="C281" s="260">
        <f>'Final data_for_R_analysis_Wetse'!B207</f>
        <v>206</v>
      </c>
      <c r="D281" t="s">
        <v>2420</v>
      </c>
      <c r="E281" t="s">
        <v>22</v>
      </c>
      <c r="F281" s="382">
        <v>2</v>
      </c>
      <c r="G281" s="16">
        <f>'WetLitterbags placem_collection'!E208</f>
        <v>42769</v>
      </c>
      <c r="H281" t="str">
        <f>'Final data_for_R_analysis_Wetse'!K207</f>
        <v>G677</v>
      </c>
      <c r="I281" t="str">
        <f>'Final data_for_R_analysis_Wetse'!K427</f>
        <v>R234</v>
      </c>
      <c r="J281">
        <f>IFERROR(INDEX('Green_rooibos initial weight'!$C$5:$C$2000,MATCH(H281, 'Green_rooibos initial weight'!$A$5:$A$2000,0)),"")</f>
        <v>2.1269999999999998</v>
      </c>
      <c r="K281">
        <f>IFERROR(INDEX('Green_rooibos initial weight'!$C$5:$C$2000,MATCH(I281, 'Green_rooibos initial weight'!$A$5:$A$2000,0)),"")</f>
        <v>2.194</v>
      </c>
      <c r="L281" s="194">
        <f t="shared" si="44"/>
        <v>1.8771999999999998</v>
      </c>
      <c r="M281" s="194">
        <f>AVERAGE(Ashed_controlls!$K$2:$K$11)</f>
        <v>5.5147656768714146</v>
      </c>
      <c r="N281" s="194">
        <f t="shared" si="41"/>
        <v>1.7736768187137695</v>
      </c>
      <c r="O281" s="194">
        <f t="shared" si="45"/>
        <v>1.9441999999999999</v>
      </c>
      <c r="P281" s="194">
        <f>AVERAGE(Ashed_controlls!$K$12:$K$14)</f>
        <v>2.2816647271287041</v>
      </c>
      <c r="Q281" s="194">
        <f t="shared" si="46"/>
        <v>1.8998398743751637</v>
      </c>
      <c r="R281" s="16">
        <f>IF('WetLitterbags placem_collection'!G208="","",'WetLitterbags placem_collection'!G208)</f>
        <v>42814</v>
      </c>
      <c r="S281" s="194">
        <f>IFERROR(INDEX('Both teabags AfterWet'!$C$3:$C$2000,MATCH(H281,'Both teabags AfterWet'!$A$3:$A$2000,0)),"")</f>
        <v>0.85699999999999998</v>
      </c>
      <c r="T281" s="194">
        <f>IFERROR(INDEX('Both teabags AfterWet'!$C$3:$C$2000,MATCH(I281,'Both teabags AfterWet'!$A$3:$A$2000,0)),"")</f>
        <v>1.7410000000000001</v>
      </c>
      <c r="U281" s="194">
        <f t="shared" si="47"/>
        <v>0.70639999999999992</v>
      </c>
      <c r="V281" s="194">
        <f t="shared" si="48"/>
        <v>1.5904</v>
      </c>
      <c r="W281" s="194">
        <f>IFERROR(INDEX('Ashed teabags wet'!$K$2:$K$2000,MATCH(H281,'Ashed teabags wet'!$A$2:$A$2000,0)),"")</f>
        <v>17.335314512134694</v>
      </c>
      <c r="X281" s="237">
        <f>IFERROR(INDEX('Ashed teabags wet'!$K$2:$K$2000,MATCH(I281,'Ashed teabags wet'!$A$2:$A$2000,0)),"")</f>
        <v>9.9903006789520461</v>
      </c>
      <c r="Y281" s="194">
        <f t="shared" si="53"/>
        <v>0.58394333828628042</v>
      </c>
      <c r="Z281" s="194">
        <f t="shared" si="53"/>
        <v>1.4315142580019466</v>
      </c>
      <c r="AA281" s="194">
        <f t="shared" si="49"/>
        <v>0.67077241348300243</v>
      </c>
      <c r="AB281" s="194">
        <f t="shared" si="50"/>
        <v>0.43974628532377363</v>
      </c>
      <c r="AC281" s="194">
        <f t="shared" si="42"/>
        <v>0.75349205862560176</v>
      </c>
      <c r="AD281">
        <f t="shared" si="43"/>
        <v>45</v>
      </c>
      <c r="AE281" s="194">
        <f t="shared" si="51"/>
        <v>0.20335817876127971</v>
      </c>
      <c r="AF281" s="194">
        <f t="shared" si="52"/>
        <v>1.8272745924516855E-2</v>
      </c>
      <c r="AG281" s="252" t="str">
        <f>IF(ISNUMBER(SEARCH("C",'WetLitterbags placem_collection'!$X208)),"YES","NO")</f>
        <v>NO</v>
      </c>
      <c r="AH281" s="252" t="str">
        <f>IF(ISNUMBER(SEARCH("H", 'WetLitterbags placem_collection'!$X208)),"YES","NO")</f>
        <v>NO</v>
      </c>
      <c r="AI281" s="252" t="str">
        <f>IF(ISNUMBER(SEARCH("R", 'WetLitterbags placem_collection'!$X208)),"YES","NO")</f>
        <v>YES</v>
      </c>
      <c r="AJ281" s="252" t="str">
        <f>IF(ISNUMBER(SEARCH("C", 'WetLitterbags placem_collection'!$V208)),"YES","NO")</f>
        <v>NO</v>
      </c>
      <c r="AK281" s="252" t="str">
        <f>IF(ISNUMBER(SEARCH("H", 'WetLitterbags placem_collection'!$V208)),"YES","NO")</f>
        <v>NO</v>
      </c>
      <c r="AL281" s="252" t="str">
        <f>IF(ISNUMBER(SEARCH("R", 'WetLitterbags placem_collection'!$V208)),"YES","NO")</f>
        <v>YES</v>
      </c>
    </row>
    <row r="282" spans="2:38">
      <c r="B282" t="str">
        <f>'Final data_for_R_analysis_Wetse'!A208</f>
        <v>Wet</v>
      </c>
      <c r="C282" s="260">
        <f>'Final data_for_R_analysis_Wetse'!B208</f>
        <v>207</v>
      </c>
      <c r="D282" t="s">
        <v>2443</v>
      </c>
      <c r="E282" t="s">
        <v>22</v>
      </c>
      <c r="F282" s="382">
        <v>3</v>
      </c>
      <c r="G282" s="16">
        <f>'WetLitterbags placem_collection'!E209</f>
        <v>42769</v>
      </c>
      <c r="H282" t="str">
        <f>'Final data_for_R_analysis_Wetse'!K208</f>
        <v>G574</v>
      </c>
      <c r="I282" t="str">
        <f>'Final data_for_R_analysis_Wetse'!K428</f>
        <v>R258</v>
      </c>
      <c r="J282">
        <f>IFERROR(INDEX('Green_rooibos initial weight'!$C$5:$C$2000,MATCH(H282, 'Green_rooibos initial weight'!$A$5:$A$2000,0)),"")</f>
        <v>1.984</v>
      </c>
      <c r="K282">
        <f>IFERROR(INDEX('Green_rooibos initial weight'!$C$5:$C$2000,MATCH(I282, 'Green_rooibos initial weight'!$A$5:$A$2000,0)),"")</f>
        <v>2.17</v>
      </c>
      <c r="L282" s="194">
        <f t="shared" si="44"/>
        <v>1.7342</v>
      </c>
      <c r="M282" s="194">
        <f>AVERAGE(Ashed_controlls!$K$2:$K$11)</f>
        <v>5.5147656768714146</v>
      </c>
      <c r="N282" s="194">
        <f t="shared" si="41"/>
        <v>1.6385629336316958</v>
      </c>
      <c r="O282" s="194">
        <f t="shared" si="45"/>
        <v>1.9201999999999999</v>
      </c>
      <c r="P282" s="194">
        <f>AVERAGE(Ashed_controlls!$K$12:$K$14)</f>
        <v>2.2816647271287041</v>
      </c>
      <c r="Q282" s="194">
        <f t="shared" si="46"/>
        <v>1.8763874739096746</v>
      </c>
      <c r="R282" s="16">
        <f>IF('WetLitterbags placem_collection'!G209="","",'WetLitterbags placem_collection'!G209)</f>
        <v>42813</v>
      </c>
      <c r="S282" s="194">
        <f>IFERROR(INDEX('Both teabags AfterWet'!$C$3:$C$2000,MATCH(H282,'Both teabags AfterWet'!$A$3:$A$2000,0)),"")</f>
        <v>0.77700000000000002</v>
      </c>
      <c r="T282" s="194">
        <f>IFERROR(INDEX('Both teabags AfterWet'!$C$3:$C$2000,MATCH(I282,'Both teabags AfterWet'!$A$3:$A$2000,0)),"")</f>
        <v>1.5820000000000001</v>
      </c>
      <c r="U282" s="194">
        <f t="shared" si="47"/>
        <v>0.62640000000000007</v>
      </c>
      <c r="V282" s="194">
        <f t="shared" si="48"/>
        <v>1.4314</v>
      </c>
      <c r="W282" s="194">
        <f>IFERROR(INDEX('Ashed teabags wet'!$K$2:$K$2000,MATCH(H282,'Ashed teabags wet'!$A$2:$A$2000,0)),"")</f>
        <v>23.600000000000428</v>
      </c>
      <c r="X282" s="237">
        <f>IFERROR(INDEX('Ashed teabags wet'!$K$2:$K$2000,MATCH(I282,'Ashed teabags wet'!$A$2:$A$2000,0)),"")</f>
        <v>16.261774913237122</v>
      </c>
      <c r="Y282" s="194">
        <f t="shared" si="53"/>
        <v>0.47856959999999737</v>
      </c>
      <c r="Z282" s="194">
        <f t="shared" si="53"/>
        <v>1.1986289538919239</v>
      </c>
      <c r="AA282" s="194">
        <f t="shared" si="49"/>
        <v>0.70793334196856261</v>
      </c>
      <c r="AB282" s="194">
        <f t="shared" si="50"/>
        <v>0.46410831920029288</v>
      </c>
      <c r="AC282" s="194">
        <f t="shared" si="42"/>
        <v>0.63879607520212178</v>
      </c>
      <c r="AD282">
        <f t="shared" si="43"/>
        <v>44</v>
      </c>
      <c r="AE282" s="194">
        <f t="shared" si="51"/>
        <v>0.15922405941975937</v>
      </c>
      <c r="AF282" s="194">
        <f t="shared" si="52"/>
        <v>3.4234491455528017E-2</v>
      </c>
      <c r="AG282" s="252" t="str">
        <f>IF(ISNUMBER(SEARCH("C",'WetLitterbags placem_collection'!$X209)),"YES","NO")</f>
        <v>NO</v>
      </c>
      <c r="AH282" s="252" t="str">
        <f>IF(ISNUMBER(SEARCH("H", 'WetLitterbags placem_collection'!$X209)),"YES","NO")</f>
        <v>NO</v>
      </c>
      <c r="AI282" s="252" t="str">
        <f>IF(ISNUMBER(SEARCH("R", 'WetLitterbags placem_collection'!$X209)),"YES","NO")</f>
        <v>YES</v>
      </c>
      <c r="AJ282" s="252" t="str">
        <f>IF(ISNUMBER(SEARCH("C", 'WetLitterbags placem_collection'!$V209)),"YES","NO")</f>
        <v>NO</v>
      </c>
      <c r="AK282" s="252" t="str">
        <f>IF(ISNUMBER(SEARCH("H", 'WetLitterbags placem_collection'!$V209)),"YES","NO")</f>
        <v>NO</v>
      </c>
      <c r="AL282" s="252" t="str">
        <f>IF(ISNUMBER(SEARCH("R", 'WetLitterbags placem_collection'!$V209)),"YES","NO")</f>
        <v>YES</v>
      </c>
    </row>
    <row r="283" spans="2:38">
      <c r="B283" t="str">
        <f>'Final data_for_R_analysis_Wetse'!A209</f>
        <v>Wet</v>
      </c>
      <c r="C283" s="260">
        <f>'Final data_for_R_analysis_Wetse'!B209</f>
        <v>208</v>
      </c>
      <c r="D283" t="s">
        <v>2436</v>
      </c>
      <c r="E283" t="s">
        <v>22</v>
      </c>
      <c r="F283" s="382">
        <v>4</v>
      </c>
      <c r="G283" s="16">
        <f>'WetLitterbags placem_collection'!E210</f>
        <v>42769</v>
      </c>
      <c r="H283" t="str">
        <f>'Final data_for_R_analysis_Wetse'!K209</f>
        <v>G710</v>
      </c>
      <c r="I283" t="str">
        <f>'Final data_for_R_analysis_Wetse'!K429</f>
        <v>R344</v>
      </c>
      <c r="J283">
        <f>IFERROR(INDEX('Green_rooibos initial weight'!$C$5:$C$2000,MATCH(H283, 'Green_rooibos initial weight'!$A$5:$A$2000,0)),"")</f>
        <v>2.0270000000000001</v>
      </c>
      <c r="K283">
        <f>IFERROR(INDEX('Green_rooibos initial weight'!$C$5:$C$2000,MATCH(I283, 'Green_rooibos initial weight'!$A$5:$A$2000,0)),"")</f>
        <v>2.153</v>
      </c>
      <c r="L283" s="194">
        <f t="shared" si="44"/>
        <v>1.7772000000000001</v>
      </c>
      <c r="M283" s="194">
        <f>AVERAGE(Ashed_controlls!$K$2:$K$11)</f>
        <v>5.5147656768714146</v>
      </c>
      <c r="N283" s="194">
        <f t="shared" si="41"/>
        <v>1.6791915843906413</v>
      </c>
      <c r="O283" s="194">
        <f t="shared" si="45"/>
        <v>1.9032</v>
      </c>
      <c r="P283" s="194">
        <f>AVERAGE(Ashed_controlls!$K$12:$K$14)</f>
        <v>2.2816647271287041</v>
      </c>
      <c r="Q283" s="194">
        <f t="shared" si="46"/>
        <v>1.8597753569132864</v>
      </c>
      <c r="R283" s="16">
        <f>IF('WetLitterbags placem_collection'!G210="","",'WetLitterbags placem_collection'!G210)</f>
        <v>42813</v>
      </c>
      <c r="S283" s="194">
        <f>IFERROR(INDEX('Both teabags AfterWet'!$C$3:$C$2000,MATCH(H283,'Both teabags AfterWet'!$A$3:$A$2000,0)),"")</f>
        <v>0.91</v>
      </c>
      <c r="T283" s="194">
        <f>IFERROR(INDEX('Both teabags AfterWet'!$C$3:$C$2000,MATCH(I283,'Both teabags AfterWet'!$A$3:$A$2000,0)),"")</f>
        <v>1.476</v>
      </c>
      <c r="U283" s="194">
        <f t="shared" si="47"/>
        <v>0.75940000000000007</v>
      </c>
      <c r="V283" s="194">
        <f t="shared" si="48"/>
        <v>1.3253999999999999</v>
      </c>
      <c r="W283" s="194">
        <f>IFERROR(INDEX('Ashed teabags wet'!$K$2:$K$2000,MATCH(H283,'Ashed teabags wet'!$A$2:$A$2000,0)),"")</f>
        <v>18.435475834579655</v>
      </c>
      <c r="X283" s="237">
        <f>IFERROR(INDEX('Ashed teabags wet'!$K$2:$K$2000,MATCH(I283,'Ashed teabags wet'!$A$2:$A$2000,0)),"")</f>
        <v>8.5305719921103496</v>
      </c>
      <c r="Y283" s="194">
        <f t="shared" si="53"/>
        <v>0.61940099651220215</v>
      </c>
      <c r="Z283" s="194">
        <f t="shared" si="53"/>
        <v>1.2123357988165693</v>
      </c>
      <c r="AA283" s="194">
        <f t="shared" si="49"/>
        <v>0.63113143117795256</v>
      </c>
      <c r="AB283" s="194">
        <f t="shared" si="50"/>
        <v>0.41375837293376466</v>
      </c>
      <c r="AC283" s="194">
        <f t="shared" si="42"/>
        <v>0.65187217064146497</v>
      </c>
      <c r="AD283">
        <f t="shared" si="43"/>
        <v>44</v>
      </c>
      <c r="AE283" s="194">
        <f t="shared" si="51"/>
        <v>0.25043773019245541</v>
      </c>
      <c r="AF283" s="194">
        <f t="shared" si="52"/>
        <v>4.1846385734386954E-2</v>
      </c>
      <c r="AG283" s="252" t="str">
        <f>IF(ISNUMBER(SEARCH("C",'WetLitterbags placem_collection'!$X210)),"YES","NO")</f>
        <v>NO</v>
      </c>
      <c r="AH283" s="252" t="str">
        <f>IF(ISNUMBER(SEARCH("H", 'WetLitterbags placem_collection'!$X210)),"YES","NO")</f>
        <v>NO</v>
      </c>
      <c r="AI283" s="252" t="str">
        <f>IF(ISNUMBER(SEARCH("R", 'WetLitterbags placem_collection'!$X210)),"YES","NO")</f>
        <v>YES</v>
      </c>
      <c r="AJ283" s="252" t="str">
        <f>IF(ISNUMBER(SEARCH("C", 'WetLitterbags placem_collection'!$V210)),"YES","NO")</f>
        <v>NO</v>
      </c>
      <c r="AK283" s="252" t="str">
        <f>IF(ISNUMBER(SEARCH("H", 'WetLitterbags placem_collection'!$V210)),"YES","NO")</f>
        <v>NO</v>
      </c>
      <c r="AL283" s="252" t="str">
        <f>IF(ISNUMBER(SEARCH("R", 'WetLitterbags placem_collection'!$V210)),"YES","NO")</f>
        <v>YES</v>
      </c>
    </row>
    <row r="284" spans="2:38">
      <c r="B284" t="str">
        <f>'Final data_for_R_analysis_Wetse'!A210</f>
        <v>Wet</v>
      </c>
      <c r="C284" s="260">
        <f>'Final data_for_R_analysis_Wetse'!B210</f>
        <v>209</v>
      </c>
      <c r="D284" t="s">
        <v>2430</v>
      </c>
      <c r="E284" t="s">
        <v>22</v>
      </c>
      <c r="F284" s="382">
        <v>1</v>
      </c>
      <c r="G284" s="16">
        <f>'WetLitterbags placem_collection'!E211</f>
        <v>42769</v>
      </c>
      <c r="H284" t="str">
        <f>'Final data_for_R_analysis_Wetse'!K210</f>
        <v>G604</v>
      </c>
      <c r="I284" t="str">
        <f>'Final data_for_R_analysis_Wetse'!K430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44"/>
        <v>1.7892000000000001</v>
      </c>
      <c r="M284" s="194">
        <f>AVERAGE(Ashed_controlls!$K$2:$K$11)</f>
        <v>5.5147656768714146</v>
      </c>
      <c r="N284" s="194">
        <f t="shared" si="41"/>
        <v>1.6905298125094168</v>
      </c>
      <c r="O284" s="194">
        <f t="shared" si="45"/>
        <v>2.0331999999999999</v>
      </c>
      <c r="P284" s="194">
        <f>AVERAGE(Ashed_controlls!$K$12:$K$14)</f>
        <v>2.2816647271287041</v>
      </c>
      <c r="Q284" s="194">
        <f t="shared" si="46"/>
        <v>1.9868091927680191</v>
      </c>
      <c r="R284" s="16">
        <f>IF('WetLitterbags placem_collection'!G211="","",'WetLitterbags placem_collection'!G211)</f>
        <v>42814</v>
      </c>
      <c r="S284" s="194">
        <f>IFERROR(INDEX('Both teabags AfterWet'!$C$3:$C$2000,MATCH(H284,'Both teabags AfterWet'!$A$3:$A$2000,0)),"")</f>
        <v>0.748</v>
      </c>
      <c r="T284" s="194">
        <f>IFERROR(INDEX('Both teabags AfterWet'!$C$3:$C$2000,MATCH(I284,'Both teabags AfterWet'!$A$3:$A$2000,0)),"")</f>
        <v>1.754</v>
      </c>
      <c r="U284" s="194">
        <f t="shared" si="47"/>
        <v>0.59739999999999993</v>
      </c>
      <c r="V284" s="194">
        <f t="shared" si="48"/>
        <v>1.6033999999999999</v>
      </c>
      <c r="W284" s="194">
        <f>IFERROR(INDEX('Ashed teabags wet'!$K$2:$K$2000,MATCH(H284,'Ashed teabags wet'!$A$2:$A$2000,0)),"")</f>
        <v>16.351888667991876</v>
      </c>
      <c r="X284" s="237">
        <f>IFERROR(INDEX('Ashed teabags wet'!$K$2:$K$2000,MATCH(I284,'Ashed teabags wet'!$A$2:$A$2000,0)),"")</f>
        <v>9.0597453476988878</v>
      </c>
      <c r="Y284" s="194">
        <f t="shared" si="53"/>
        <v>0.49971381709741647</v>
      </c>
      <c r="Z284" s="194">
        <f t="shared" si="53"/>
        <v>1.4581360430949959</v>
      </c>
      <c r="AA284" s="194">
        <f t="shared" si="49"/>
        <v>0.70440401973411937</v>
      </c>
      <c r="AB284" s="194">
        <f t="shared" si="50"/>
        <v>0.46179455925562229</v>
      </c>
      <c r="AC284" s="194">
        <f t="shared" si="42"/>
        <v>0.73390844395254851</v>
      </c>
      <c r="AD284">
        <f t="shared" si="43"/>
        <v>45</v>
      </c>
      <c r="AE284" s="194">
        <f t="shared" si="51"/>
        <v>0.16341565352242349</v>
      </c>
      <c r="AF284" s="194">
        <f t="shared" si="52"/>
        <v>1.9078264332978993E-2</v>
      </c>
      <c r="AG284" s="252" t="str">
        <f>IF(ISNUMBER(SEARCH("C",'WetLitterbags placem_collection'!$X211)),"YES","NO")</f>
        <v>YES</v>
      </c>
      <c r="AH284" s="252" t="str">
        <f>IF(ISNUMBER(SEARCH("H", 'WetLitterbags placem_collection'!$X211)),"YES","NO")</f>
        <v>NO</v>
      </c>
      <c r="AI284" s="252" t="str">
        <f>IF(ISNUMBER(SEARCH("R", 'WetLitterbags placem_collection'!$X211)),"YES","NO")</f>
        <v>YES</v>
      </c>
      <c r="AJ284" s="252" t="str">
        <f>IF(ISNUMBER(SEARCH("C", 'WetLitterbags placem_collection'!$V211)),"YES","NO")</f>
        <v>NO</v>
      </c>
      <c r="AK284" s="252" t="str">
        <f>IF(ISNUMBER(SEARCH("H", 'WetLitterbags placem_collection'!$V211)),"YES","NO")</f>
        <v>NO</v>
      </c>
      <c r="AL284" s="252" t="str">
        <f>IF(ISNUMBER(SEARCH("R", 'WetLitterbags placem_collection'!$V211)),"YES","NO")</f>
        <v>YES</v>
      </c>
    </row>
    <row r="285" spans="2:38">
      <c r="B285" t="str">
        <f>'Final data_for_R_analysis_Wetse'!A211</f>
        <v>Wet</v>
      </c>
      <c r="C285" s="260">
        <f>'Final data_for_R_analysis_Wetse'!B211</f>
        <v>210</v>
      </c>
      <c r="D285" t="s">
        <v>2444</v>
      </c>
      <c r="E285" t="s">
        <v>22</v>
      </c>
      <c r="F285" s="382">
        <v>2</v>
      </c>
      <c r="G285" s="16">
        <f>'WetLitterbags placem_collection'!E212</f>
        <v>42769</v>
      </c>
      <c r="H285" t="str">
        <f>'Final data_for_R_analysis_Wetse'!K211</f>
        <v>G871</v>
      </c>
      <c r="I285" t="str">
        <f>'Final data_for_R_analysis_Wetse'!K431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44"/>
        <v>1.8182</v>
      </c>
      <c r="M285" s="194">
        <f>AVERAGE(Ashed_controlls!$K$2:$K$11)</f>
        <v>5.5147656768714146</v>
      </c>
      <c r="N285" s="194">
        <f t="shared" si="41"/>
        <v>1.7179305304631241</v>
      </c>
      <c r="O285" s="194">
        <f t="shared" si="45"/>
        <v>1.9632000000000001</v>
      </c>
      <c r="P285" s="194">
        <f>AVERAGE(Ashed_controlls!$K$12:$K$14)</f>
        <v>2.2816647271287041</v>
      </c>
      <c r="Q285" s="194">
        <f t="shared" si="46"/>
        <v>1.9184063580770094</v>
      </c>
      <c r="R285" s="16">
        <f>IF('WetLitterbags placem_collection'!G212="","",'WetLitterbags placem_collection'!G212)</f>
        <v>42813</v>
      </c>
      <c r="S285" s="194">
        <f>IFERROR(INDEX('Both teabags AfterWet'!$C$3:$C$2000,MATCH(H285,'Both teabags AfterWet'!$A$3:$A$2000,0)),"")</f>
        <v>0.83130000000000004</v>
      </c>
      <c r="T285" s="194">
        <f>IFERROR(INDEX('Both teabags AfterWet'!$C$3:$C$2000,MATCH(I285,'Both teabags AfterWet'!$A$3:$A$2000,0)),"")</f>
        <v>1.6197999999999999</v>
      </c>
      <c r="U285" s="194">
        <f t="shared" si="47"/>
        <v>0.68070000000000008</v>
      </c>
      <c r="V285" s="194">
        <f t="shared" si="48"/>
        <v>1.4691999999999998</v>
      </c>
      <c r="W285" s="194">
        <f>IFERROR(INDEX('Ashed teabags wet'!$K$2:$K$2000,MATCH(H285,'Ashed teabags wet'!$A$2:$A$2000,0)),"")</f>
        <v>17.063492063492387</v>
      </c>
      <c r="X285" s="237">
        <f>IFERROR(INDEX('Ashed teabags wet'!$K$2:$K$2000,MATCH(I285,'Ashed teabags wet'!$A$2:$A$2000,0)),"")</f>
        <v>10.541586073501591</v>
      </c>
      <c r="Y285" s="194">
        <f t="shared" si="53"/>
        <v>0.56454880952380737</v>
      </c>
      <c r="Z285" s="194">
        <f t="shared" si="53"/>
        <v>1.3143230174081144</v>
      </c>
      <c r="AA285" s="194">
        <f t="shared" si="49"/>
        <v>0.67137855721580619</v>
      </c>
      <c r="AB285" s="194">
        <f t="shared" si="50"/>
        <v>0.4401436622127376</v>
      </c>
      <c r="AC285" s="194">
        <f t="shared" si="42"/>
        <v>0.6851118960664716</v>
      </c>
      <c r="AD285">
        <f t="shared" si="43"/>
        <v>44</v>
      </c>
      <c r="AE285" s="194">
        <f t="shared" si="51"/>
        <v>0.20263829309286674</v>
      </c>
      <c r="AF285" s="194">
        <f t="shared" si="52"/>
        <v>2.8562387777069306E-2</v>
      </c>
      <c r="AG285" s="252" t="str">
        <f>IF(ISNUMBER(SEARCH("C",'WetLitterbags placem_collection'!$X212)),"YES","NO")</f>
        <v>NO</v>
      </c>
      <c r="AH285" s="252" t="str">
        <f>IF(ISNUMBER(SEARCH("H", 'WetLitterbags placem_collection'!$X212)),"YES","NO")</f>
        <v>NO</v>
      </c>
      <c r="AI285" s="252" t="str">
        <f>IF(ISNUMBER(SEARCH("R", 'WetLitterbags placem_collection'!$X212)),"YES","NO")</f>
        <v>YES</v>
      </c>
      <c r="AJ285" s="252" t="str">
        <f>IF(ISNUMBER(SEARCH("C", 'WetLitterbags placem_collection'!$V212)),"YES","NO")</f>
        <v>NO</v>
      </c>
      <c r="AK285" s="252" t="str">
        <f>IF(ISNUMBER(SEARCH("H", 'WetLitterbags placem_collection'!$V212)),"YES","NO")</f>
        <v>NO</v>
      </c>
      <c r="AL285" s="252" t="str">
        <f>IF(ISNUMBER(SEARCH("R", 'WetLitterbags placem_collection'!$V212)),"YES","NO")</f>
        <v>YES</v>
      </c>
    </row>
    <row r="286" spans="2:38">
      <c r="B286" t="str">
        <f>'Final data_for_R_analysis_Wetse'!A212</f>
        <v>Wet</v>
      </c>
      <c r="C286" s="260">
        <f>'Final data_for_R_analysis_Wetse'!B212</f>
        <v>211</v>
      </c>
      <c r="D286" t="s">
        <v>2421</v>
      </c>
      <c r="E286" t="s">
        <v>22</v>
      </c>
      <c r="F286" s="382">
        <v>3</v>
      </c>
      <c r="G286" s="16">
        <f>'WetLitterbags placem_collection'!E213</f>
        <v>42769</v>
      </c>
      <c r="H286" t="str">
        <f>'Final data_for_R_analysis_Wetse'!K212</f>
        <v>G822</v>
      </c>
      <c r="I286" t="str">
        <f>'Final data_for_R_analysis_Wetse'!K432</f>
        <v>R381</v>
      </c>
      <c r="J286">
        <f>IFERROR(INDEX('Green_rooibos initial weight'!$C$5:$C$2000,MATCH(H286, 'Green_rooibos initial weight'!$A$5:$A$2000,0)),"")</f>
        <v>2.02</v>
      </c>
      <c r="K286">
        <f>IFERROR(INDEX('Green_rooibos initial weight'!$C$5:$C$2000,MATCH(I286, 'Green_rooibos initial weight'!$A$5:$A$2000,0)),"")</f>
        <v>2.2349999999999999</v>
      </c>
      <c r="L286" s="194">
        <f t="shared" si="44"/>
        <v>1.7702</v>
      </c>
      <c r="M286" s="194">
        <f>AVERAGE(Ashed_controlls!$K$2:$K$11)</f>
        <v>5.5147656768714146</v>
      </c>
      <c r="N286" s="194">
        <f t="shared" si="41"/>
        <v>1.6725776179880223</v>
      </c>
      <c r="O286" s="194">
        <f t="shared" si="45"/>
        <v>1.9851999999999999</v>
      </c>
      <c r="P286" s="194">
        <f>AVERAGE(Ashed_controlls!$K$12:$K$14)</f>
        <v>2.2816647271287041</v>
      </c>
      <c r="Q286" s="194">
        <f t="shared" si="46"/>
        <v>1.9399043918370409</v>
      </c>
      <c r="R286" s="16">
        <f>IF('WetLitterbags placem_collection'!G213="","",'WetLitterbags placem_collection'!G213)</f>
        <v>42814</v>
      </c>
      <c r="S286" s="194">
        <f>IFERROR(INDEX('Both teabags AfterWet'!$C$3:$C$2000,MATCH(H286,'Both teabags AfterWet'!$A$3:$A$2000,0)),"")</f>
        <v>0.85699999999999998</v>
      </c>
      <c r="T286" s="194">
        <f>IFERROR(INDEX('Both teabags AfterWet'!$C$3:$C$2000,MATCH(I286,'Both teabags AfterWet'!$A$3:$A$2000,0)),"")</f>
        <v>1.528</v>
      </c>
      <c r="U286" s="194">
        <f t="shared" si="47"/>
        <v>0.70639999999999992</v>
      </c>
      <c r="V286" s="194">
        <f t="shared" si="48"/>
        <v>1.3774</v>
      </c>
      <c r="W286" s="194">
        <f>IFERROR(INDEX('Ashed teabags wet'!$K$2:$K$2000,MATCH(H286,'Ashed teabags wet'!$A$2:$A$2000,0)),"")</f>
        <v>17.246520874750999</v>
      </c>
      <c r="X286" s="237">
        <f>IFERROR(INDEX('Ashed teabags wet'!$K$2:$K$2000,MATCH(I286,'Ashed teabags wet'!$A$2:$A$2000,0)),"")</f>
        <v>10.112911143839174</v>
      </c>
      <c r="Y286" s="194">
        <f t="shared" si="53"/>
        <v>0.58457057654075884</v>
      </c>
      <c r="Z286" s="194">
        <f t="shared" si="53"/>
        <v>1.2381047619047592</v>
      </c>
      <c r="AA286" s="194">
        <f t="shared" si="49"/>
        <v>0.65049719053161148</v>
      </c>
      <c r="AB286" s="194">
        <f t="shared" si="50"/>
        <v>0.42645421517036769</v>
      </c>
      <c r="AC286" s="194">
        <f t="shared" si="42"/>
        <v>0.63822978447525702</v>
      </c>
      <c r="AD286">
        <f t="shared" si="43"/>
        <v>45</v>
      </c>
      <c r="AE286" s="194">
        <f t="shared" si="51"/>
        <v>0.22743801599571078</v>
      </c>
      <c r="AF286" s="194">
        <f t="shared" si="52"/>
        <v>4.1910914240090379E-2</v>
      </c>
      <c r="AG286" s="252" t="str">
        <f>IF(ISNUMBER(SEARCH("C",'WetLitterbags placem_collection'!$X213)),"YES","NO")</f>
        <v>NO</v>
      </c>
      <c r="AH286" s="252" t="str">
        <f>IF(ISNUMBER(SEARCH("H", 'WetLitterbags placem_collection'!$X213)),"YES","NO")</f>
        <v>NO</v>
      </c>
      <c r="AI286" s="252" t="str">
        <f>IF(ISNUMBER(SEARCH("R", 'WetLitterbags placem_collection'!$X213)),"YES","NO")</f>
        <v>YES</v>
      </c>
      <c r="AJ286" s="252" t="str">
        <f>IF(ISNUMBER(SEARCH("C", 'WetLitterbags placem_collection'!$V213)),"YES","NO")</f>
        <v>NO</v>
      </c>
      <c r="AK286" s="252" t="str">
        <f>IF(ISNUMBER(SEARCH("H", 'WetLitterbags placem_collection'!$V213)),"YES","NO")</f>
        <v>NO</v>
      </c>
      <c r="AL286" s="252" t="str">
        <f>IF(ISNUMBER(SEARCH("R", 'WetLitterbags placem_collection'!$V213)),"YES","NO")</f>
        <v>YES</v>
      </c>
    </row>
    <row r="287" spans="2:38">
      <c r="B287" t="str">
        <f>'Final data_for_R_analysis_Wetse'!A213</f>
        <v>Wet</v>
      </c>
      <c r="C287" s="260">
        <f>'Final data_for_R_analysis_Wetse'!B213</f>
        <v>215</v>
      </c>
      <c r="D287" t="s">
        <v>2422</v>
      </c>
      <c r="E287" t="s">
        <v>22</v>
      </c>
      <c r="F287" s="382">
        <v>3</v>
      </c>
      <c r="G287" s="16">
        <f>'WetLitterbags placem_collection'!E214</f>
        <v>42769</v>
      </c>
      <c r="H287" t="str">
        <f>'Final data_for_R_analysis_Wetse'!K213</f>
        <v>G786</v>
      </c>
      <c r="I287" t="str">
        <f>'Final data_for_R_analysis_Wetse'!K433</f>
        <v>R93</v>
      </c>
      <c r="J287">
        <f>IFERROR(INDEX('Green_rooibos initial weight'!$C$5:$C$2000,MATCH(H287, 'Green_rooibos initial weight'!$A$5:$A$2000,0)),"")</f>
        <v>2.097</v>
      </c>
      <c r="K287">
        <f>IFERROR(INDEX('Green_rooibos initial weight'!$C$5:$C$2000,MATCH(I287, 'Green_rooibos initial weight'!$A$5:$A$2000,0)),"")</f>
        <v>2.1709999999999998</v>
      </c>
      <c r="L287" s="194">
        <f t="shared" si="44"/>
        <v>1.8472</v>
      </c>
      <c r="M287" s="194">
        <f>AVERAGE(Ashed_controlls!$K$2:$K$11)</f>
        <v>5.5147656768714146</v>
      </c>
      <c r="N287" s="194">
        <f t="shared" si="41"/>
        <v>1.7453312484168313</v>
      </c>
      <c r="O287" s="194">
        <f t="shared" si="45"/>
        <v>1.9211999999999998</v>
      </c>
      <c r="P287" s="194">
        <f>AVERAGE(Ashed_controlls!$K$12:$K$14)</f>
        <v>2.2816647271287041</v>
      </c>
      <c r="Q287" s="194">
        <f t="shared" si="46"/>
        <v>1.8773646572624032</v>
      </c>
      <c r="R287" s="16">
        <f>IF('WetLitterbags placem_collection'!G214="","",'WetLitterbags placem_collection'!G214)</f>
        <v>42813</v>
      </c>
      <c r="S287" s="194">
        <f>IFERROR(INDEX('Both teabags AfterWet'!$C$3:$C$2000,MATCH(H287,'Both teabags AfterWet'!$A$3:$A$2000,0)),"")</f>
        <v>0.86439999999999995</v>
      </c>
      <c r="T287" s="194">
        <f>IFERROR(INDEX('Both teabags AfterWet'!$C$3:$C$2000,MATCH(I287,'Both teabags AfterWet'!$A$3:$A$2000,0)),"")</f>
        <v>1.5831999999999999</v>
      </c>
      <c r="U287" s="194">
        <f t="shared" si="47"/>
        <v>0.71379999999999999</v>
      </c>
      <c r="V287" s="194">
        <f t="shared" si="48"/>
        <v>1.4325999999999999</v>
      </c>
      <c r="W287" s="194">
        <f>IFERROR(INDEX('Ashed teabags wet'!$K$2:$K$2000,MATCH(H287,'Ashed teabags wet'!$A$2:$A$2000,0)),"")</f>
        <v>12.518778167251055</v>
      </c>
      <c r="X287" s="237">
        <f>IFERROR(INDEX('Ashed teabags wet'!$K$2:$K$2000,MATCH(I287,'Ashed teabags wet'!$A$2:$A$2000,0)),"")</f>
        <v>7.2365225837790437</v>
      </c>
      <c r="Y287" s="194">
        <f t="shared" si="53"/>
        <v>0.62444096144216199</v>
      </c>
      <c r="Z287" s="194">
        <f t="shared" si="53"/>
        <v>1.3289295774647814</v>
      </c>
      <c r="AA287" s="194">
        <f t="shared" si="49"/>
        <v>0.64222209279265197</v>
      </c>
      <c r="AB287" s="194">
        <f t="shared" si="50"/>
        <v>0.42102921047689307</v>
      </c>
      <c r="AC287" s="194">
        <f t="shared" si="42"/>
        <v>0.70786971104625096</v>
      </c>
      <c r="AD287">
        <f t="shared" si="43"/>
        <v>44</v>
      </c>
      <c r="AE287" s="194">
        <f t="shared" si="51"/>
        <v>0.23726592304910687</v>
      </c>
      <c r="AF287" s="194">
        <f t="shared" si="52"/>
        <v>2.6901674356646667E-2</v>
      </c>
      <c r="AG287" s="252" t="str">
        <f>IF(ISNUMBER(SEARCH("C",'WetLitterbags placem_collection'!$X214)),"YES","NO")</f>
        <v>NO</v>
      </c>
      <c r="AH287" s="252" t="str">
        <f>IF(ISNUMBER(SEARCH("H", 'WetLitterbags placem_collection'!$X214)),"YES","NO")</f>
        <v>NO</v>
      </c>
      <c r="AI287" s="252" t="str">
        <f>IF(ISNUMBER(SEARCH("R", 'WetLitterbags placem_collection'!$X214)),"YES","NO")</f>
        <v>YES</v>
      </c>
      <c r="AJ287" s="252" t="str">
        <f>IF(ISNUMBER(SEARCH("C", 'WetLitterbags placem_collection'!$V214)),"YES","NO")</f>
        <v>NO</v>
      </c>
      <c r="AK287" s="252" t="str">
        <f>IF(ISNUMBER(SEARCH("H", 'WetLitterbags placem_collection'!$V214)),"YES","NO")</f>
        <v>NO</v>
      </c>
      <c r="AL287" s="252" t="str">
        <f>IF(ISNUMBER(SEARCH("R", 'WetLitterbags placem_collection'!$V214)),"YES","NO")</f>
        <v>NO</v>
      </c>
    </row>
    <row r="288" spans="2:38">
      <c r="B288" t="str">
        <f>'Final data_for_R_analysis_Wetse'!A214</f>
        <v>Wet</v>
      </c>
      <c r="C288" s="260">
        <f>'Final data_for_R_analysis_Wetse'!B214</f>
        <v>212</v>
      </c>
      <c r="D288" t="s">
        <v>2437</v>
      </c>
      <c r="E288" t="s">
        <v>22</v>
      </c>
      <c r="F288" s="382">
        <v>4</v>
      </c>
      <c r="G288" s="16">
        <f>'WetLitterbags placem_collection'!E215</f>
        <v>42769</v>
      </c>
      <c r="H288" t="str">
        <f>'Final data_for_R_analysis_Wetse'!K214</f>
        <v>G572</v>
      </c>
      <c r="I288" t="str">
        <f>'Final data_for_R_analysis_Wetse'!K434</f>
        <v>R88</v>
      </c>
      <c r="J288">
        <f>IFERROR(INDEX('Green_rooibos initial weight'!$C$5:$C$2000,MATCH(H288, 'Green_rooibos initial weight'!$A$5:$A$2000,0)),"")</f>
        <v>1.972</v>
      </c>
      <c r="K288">
        <f>IFERROR(INDEX('Green_rooibos initial weight'!$C$5:$C$2000,MATCH(I288, 'Green_rooibos initial weight'!$A$5:$A$2000,0)),"")</f>
        <v>2.1520000000000001</v>
      </c>
      <c r="L288" s="194">
        <f t="shared" si="44"/>
        <v>1.7222</v>
      </c>
      <c r="M288" s="194">
        <f>AVERAGE(Ashed_controlls!$K$2:$K$11)</f>
        <v>5.5147656768714146</v>
      </c>
      <c r="N288" s="194">
        <f t="shared" si="41"/>
        <v>1.6272247055129205</v>
      </c>
      <c r="O288" s="194">
        <f t="shared" si="45"/>
        <v>1.9022000000000001</v>
      </c>
      <c r="P288" s="194">
        <f>AVERAGE(Ashed_controlls!$K$12:$K$14)</f>
        <v>2.2816647271287041</v>
      </c>
      <c r="Q288" s="194">
        <f t="shared" si="46"/>
        <v>1.8587981735605579</v>
      </c>
      <c r="R288" s="16">
        <f>IF('WetLitterbags placem_collection'!G215="","",'WetLitterbags placem_collection'!G215)</f>
        <v>42813</v>
      </c>
      <c r="S288" s="194">
        <f>IFERROR(INDEX('Both teabags AfterWet'!$C$3:$C$2000,MATCH(H288,'Both teabags AfterWet'!$A$3:$A$2000,0)),"")</f>
        <v>0.71399999999999997</v>
      </c>
      <c r="T288" s="194">
        <f>IFERROR(INDEX('Both teabags AfterWet'!$C$3:$C$2000,MATCH(I288,'Both teabags AfterWet'!$A$3:$A$2000,0)),"")</f>
        <v>1.542</v>
      </c>
      <c r="U288" s="194">
        <f t="shared" si="47"/>
        <v>0.5633999999999999</v>
      </c>
      <c r="V288" s="194">
        <f t="shared" si="48"/>
        <v>1.3914</v>
      </c>
      <c r="W288" s="194">
        <f>IFERROR(INDEX('Ashed teabags wet'!$K$2:$K$2000,MATCH(H288,'Ashed teabags wet'!$A$2:$A$2000,0)),"")</f>
        <v>10.252600297176585</v>
      </c>
      <c r="X288" s="237">
        <f>IFERROR(INDEX('Ashed teabags wet'!$K$2:$K$2000,MATCH(I288,'Ashed teabags wet'!$A$2:$A$2000,0)),"")</f>
        <v>3.5402521823463347</v>
      </c>
      <c r="Y288" s="194">
        <f t="shared" si="53"/>
        <v>0.50563684992570701</v>
      </c>
      <c r="Z288" s="194">
        <f t="shared" si="53"/>
        <v>1.3421409311348331</v>
      </c>
      <c r="AA288" s="194">
        <f t="shared" si="49"/>
        <v>0.68926427418865654</v>
      </c>
      <c r="AB288" s="194">
        <f t="shared" si="50"/>
        <v>0.45186921538258723</v>
      </c>
      <c r="AC288" s="194">
        <f t="shared" si="42"/>
        <v>0.72204769201162955</v>
      </c>
      <c r="AD288">
        <f t="shared" si="43"/>
        <v>44</v>
      </c>
      <c r="AE288" s="194">
        <f t="shared" si="51"/>
        <v>0.18139634894458845</v>
      </c>
      <c r="AF288" s="194">
        <f t="shared" si="52"/>
        <v>2.1700344318680384E-2</v>
      </c>
      <c r="AG288" s="252" t="str">
        <f>IF(ISNUMBER(SEARCH("C",'WetLitterbags placem_collection'!$X215)),"YES","NO")</f>
        <v>NO</v>
      </c>
      <c r="AH288" s="252" t="str">
        <f>IF(ISNUMBER(SEARCH("H", 'WetLitterbags placem_collection'!$X215)),"YES","NO")</f>
        <v>NO</v>
      </c>
      <c r="AI288" s="252" t="str">
        <f>IF(ISNUMBER(SEARCH("R", 'WetLitterbags placem_collection'!$X215)),"YES","NO")</f>
        <v>YES</v>
      </c>
      <c r="AJ288" s="252" t="str">
        <f>IF(ISNUMBER(SEARCH("C", 'WetLitterbags placem_collection'!$V215)),"YES","NO")</f>
        <v>NO</v>
      </c>
      <c r="AK288" s="252" t="str">
        <f>IF(ISNUMBER(SEARCH("H", 'WetLitterbags placem_collection'!$V215)),"YES","NO")</f>
        <v>NO</v>
      </c>
      <c r="AL288" s="252" t="str">
        <f>IF(ISNUMBER(SEARCH("R", 'WetLitterbags placem_collection'!$V215)),"YES","NO")</f>
        <v>YES</v>
      </c>
    </row>
    <row r="289" spans="1:39">
      <c r="B289" t="str">
        <f>'Final data_for_R_analysis_Wetse'!A215</f>
        <v>Wet</v>
      </c>
      <c r="C289" s="260">
        <f>'Final data_for_R_analysis_Wetse'!B215</f>
        <v>213</v>
      </c>
      <c r="D289" t="s">
        <v>2445</v>
      </c>
      <c r="E289" t="s">
        <v>22</v>
      </c>
      <c r="F289" s="382">
        <v>1</v>
      </c>
      <c r="G289" s="16">
        <f>'WetLitterbags placem_collection'!E216</f>
        <v>42769</v>
      </c>
      <c r="H289" t="str">
        <f>'Final data_for_R_analysis_Wetse'!K215</f>
        <v>G761</v>
      </c>
      <c r="I289" t="str">
        <f>'Final data_for_R_analysis_Wetse'!K435</f>
        <v>R383</v>
      </c>
      <c r="J289">
        <f>IFERROR(INDEX('Green_rooibos initial weight'!$C$5:$C$2000,MATCH(H289, 'Green_rooibos initial weight'!$A$5:$A$2000,0)),"")</f>
        <v>2.0110000000000001</v>
      </c>
      <c r="K289">
        <f>IFERROR(INDEX('Green_rooibos initial weight'!$C$5:$C$2000,MATCH(I289, 'Green_rooibos initial weight'!$A$5:$A$2000,0)),"")</f>
        <v>2.234</v>
      </c>
      <c r="L289" s="194">
        <f t="shared" si="44"/>
        <v>1.7612000000000001</v>
      </c>
      <c r="M289" s="194">
        <f>AVERAGE(Ashed_controlls!$K$2:$K$11)</f>
        <v>5.5147656768714146</v>
      </c>
      <c r="N289" s="194">
        <f t="shared" si="41"/>
        <v>1.6640739468989407</v>
      </c>
      <c r="O289" s="194">
        <f t="shared" si="45"/>
        <v>1.9842</v>
      </c>
      <c r="P289" s="194">
        <f>AVERAGE(Ashed_controlls!$K$12:$K$14)</f>
        <v>2.2816647271287041</v>
      </c>
      <c r="Q289" s="194">
        <f t="shared" si="46"/>
        <v>1.9389272084843123</v>
      </c>
      <c r="R289" s="16">
        <f>IF('WetLitterbags placem_collection'!G216="","",'WetLitterbags placem_collection'!G216)</f>
        <v>42813</v>
      </c>
      <c r="S289" s="194">
        <f>IFERROR(INDEX('Both teabags AfterWet'!$C$3:$C$2000,MATCH(H289,'Both teabags AfterWet'!$A$3:$A$2000,0)),"")</f>
        <v>0.71299999999999997</v>
      </c>
      <c r="T289" s="194">
        <f>IFERROR(INDEX('Both teabags AfterWet'!$C$3:$C$2000,MATCH(I289,'Both teabags AfterWet'!$A$3:$A$2000,0)),"")</f>
        <v>1.587</v>
      </c>
      <c r="U289" s="194">
        <f t="shared" si="47"/>
        <v>0.56240000000000001</v>
      </c>
      <c r="V289" s="194">
        <f t="shared" si="48"/>
        <v>1.4363999999999999</v>
      </c>
      <c r="W289" s="194">
        <f>IFERROR(INDEX('Ashed teabags wet'!$K$2:$K$2000,MATCH(H289,'Ashed teabags wet'!$A$2:$A$2000,0)),"")</f>
        <v>10.989010989010806</v>
      </c>
      <c r="X289" s="237">
        <f>IFERROR(INDEX('Ashed teabags wet'!$K$2:$K$2000,MATCH(I289,'Ashed teabags wet'!$A$2:$A$2000,0)),"")</f>
        <v>4.7142857142857366</v>
      </c>
      <c r="Y289" s="194">
        <f t="shared" si="53"/>
        <v>0.50059780219780325</v>
      </c>
      <c r="Z289" s="194">
        <f t="shared" si="53"/>
        <v>1.3686839999999996</v>
      </c>
      <c r="AA289" s="194">
        <f t="shared" si="49"/>
        <v>0.69917334314939272</v>
      </c>
      <c r="AB289" s="194">
        <f t="shared" si="50"/>
        <v>0.458365422112191</v>
      </c>
      <c r="AC289" s="194">
        <f t="shared" si="42"/>
        <v>0.70589756748522803</v>
      </c>
      <c r="AD289">
        <f t="shared" si="43"/>
        <v>44</v>
      </c>
      <c r="AE289" s="194">
        <f t="shared" si="51"/>
        <v>0.16962785849240769</v>
      </c>
      <c r="AF289" s="194">
        <f t="shared" si="52"/>
        <v>2.3322681643597784E-2</v>
      </c>
      <c r="AG289" s="252" t="str">
        <f>IF(ISNUMBER(SEARCH("C",'WetLitterbags placem_collection'!$X216)),"YES","NO")</f>
        <v>NO</v>
      </c>
      <c r="AH289" s="252" t="str">
        <f>IF(ISNUMBER(SEARCH("H", 'WetLitterbags placem_collection'!$X216)),"YES","NO")</f>
        <v>NO</v>
      </c>
      <c r="AI289" s="252" t="str">
        <f>IF(ISNUMBER(SEARCH("R", 'WetLitterbags placem_collection'!$X216)),"YES","NO")</f>
        <v>YES</v>
      </c>
      <c r="AJ289" s="252" t="str">
        <f>IF(ISNUMBER(SEARCH("C", 'WetLitterbags placem_collection'!$V216)),"YES","NO")</f>
        <v>NO</v>
      </c>
      <c r="AK289" s="252" t="str">
        <f>IF(ISNUMBER(SEARCH("H", 'WetLitterbags placem_collection'!$V216)),"YES","NO")</f>
        <v>NO</v>
      </c>
      <c r="AL289" s="252" t="str">
        <f>IF(ISNUMBER(SEARCH("R", 'WetLitterbags placem_collection'!$V216)),"YES","NO")</f>
        <v>YES</v>
      </c>
    </row>
    <row r="290" spans="1:39">
      <c r="B290" t="str">
        <f>'Final data_for_R_analysis_Wetse'!A216</f>
        <v>Wet</v>
      </c>
      <c r="C290" s="260">
        <f>'Final data_for_R_analysis_Wetse'!B216</f>
        <v>214</v>
      </c>
      <c r="D290" t="s">
        <v>2438</v>
      </c>
      <c r="E290" t="s">
        <v>22</v>
      </c>
      <c r="F290" s="382">
        <v>2</v>
      </c>
      <c r="G290" s="16">
        <f>'WetLitterbags placem_collection'!E217</f>
        <v>42769</v>
      </c>
      <c r="H290" t="str">
        <f>'Final data_for_R_analysis_Wetse'!K216</f>
        <v>G858</v>
      </c>
      <c r="I290" t="str">
        <f>'Final data_for_R_analysis_Wetse'!K436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44"/>
        <v>1.8542000000000001</v>
      </c>
      <c r="M290" s="194">
        <f>AVERAGE(Ashed_controlls!$K$2:$K$11)</f>
        <v>5.5147656768714146</v>
      </c>
      <c r="N290" s="194">
        <f t="shared" si="41"/>
        <v>1.7519452148194503</v>
      </c>
      <c r="O290" s="194">
        <f t="shared" si="45"/>
        <v>2.0221999999999998</v>
      </c>
      <c r="P290" s="194">
        <f>AVERAGE(Ashed_controlls!$K$12:$K$14)</f>
        <v>2.2816647271287041</v>
      </c>
      <c r="Q290" s="194">
        <f t="shared" si="46"/>
        <v>1.9760601758880032</v>
      </c>
      <c r="R290" s="16">
        <f>IF('WetLitterbags placem_collection'!G217="","",'WetLitterbags placem_collection'!G217)</f>
        <v>42814</v>
      </c>
      <c r="S290" s="194">
        <f>IFERROR(INDEX('Both teabags AfterWet'!$C$3:$C$2000,MATCH(H290,'Both teabags AfterWet'!$A$3:$A$2000,0)),"")</f>
        <v>0.69730000000000003</v>
      </c>
      <c r="T290" s="194">
        <f>IFERROR(INDEX('Both teabags AfterWet'!$C$3:$C$2000,MATCH(I290,'Both teabags AfterWet'!$A$3:$A$2000,0)),"")</f>
        <v>1.5481</v>
      </c>
      <c r="U290" s="194">
        <f t="shared" si="47"/>
        <v>0.54669999999999996</v>
      </c>
      <c r="V290" s="194">
        <f t="shared" si="48"/>
        <v>1.3975</v>
      </c>
      <c r="W290" s="194">
        <f>IFERROR(INDEX('Ashed teabags wet'!$K$2:$K$2000,MATCH(H290,'Ashed teabags wet'!$A$2:$A$2000,0)),"")</f>
        <v>7.1357285429143147</v>
      </c>
      <c r="X290" s="237">
        <f>IFERROR(INDEX('Ashed teabags wet'!$K$2:$K$2000,MATCH(I290,'Ashed teabags wet'!$A$2:$A$2000,0)),"")</f>
        <v>2.4271844660191637</v>
      </c>
      <c r="Y290" s="194">
        <f t="shared" si="53"/>
        <v>0.50768897205588737</v>
      </c>
      <c r="Z290" s="194">
        <f t="shared" si="53"/>
        <v>1.3635800970873821</v>
      </c>
      <c r="AA290" s="194">
        <f t="shared" si="49"/>
        <v>0.71021412783834792</v>
      </c>
      <c r="AB290" s="194">
        <f t="shared" si="50"/>
        <v>0.46560356124319247</v>
      </c>
      <c r="AC290" s="194">
        <f t="shared" si="42"/>
        <v>0.69004988498116748</v>
      </c>
      <c r="AD290">
        <f t="shared" si="43"/>
        <v>45</v>
      </c>
      <c r="AE290" s="194">
        <f t="shared" si="51"/>
        <v>0.15651528760291222</v>
      </c>
      <c r="AF290" s="194">
        <f t="shared" si="52"/>
        <v>2.434894461348595E-2</v>
      </c>
      <c r="AG290" s="252" t="str">
        <f>IF(ISNUMBER(SEARCH("C",'WetLitterbags placem_collection'!$X217)),"YES","NO")</f>
        <v>NO</v>
      </c>
      <c r="AH290" s="252" t="str">
        <f>IF(ISNUMBER(SEARCH("H", 'WetLitterbags placem_collection'!$X217)),"YES","NO")</f>
        <v>NO</v>
      </c>
      <c r="AI290" s="252" t="str">
        <f>IF(ISNUMBER(SEARCH("R", 'WetLitterbags placem_collection'!$X217)),"YES","NO")</f>
        <v>YES</v>
      </c>
      <c r="AJ290" s="252" t="str">
        <f>IF(ISNUMBER(SEARCH("C", 'WetLitterbags placem_collection'!$V217)),"YES","NO")</f>
        <v>NO</v>
      </c>
      <c r="AK290" s="252" t="str">
        <f>IF(ISNUMBER(SEARCH("H", 'WetLitterbags placem_collection'!$V217)),"YES","NO")</f>
        <v>NO</v>
      </c>
      <c r="AL290" s="252" t="str">
        <f>IF(ISNUMBER(SEARCH("R", 'WetLitterbags placem_collection'!$V217)),"YES","NO")</f>
        <v>YES</v>
      </c>
    </row>
    <row r="291" spans="1:39">
      <c r="B291" t="str">
        <f>'Final data_for_R_analysis_Wetse'!A217</f>
        <v>Wet</v>
      </c>
      <c r="C291" s="260">
        <f>'Final data_for_R_analysis_Wetse'!B217</f>
        <v>216</v>
      </c>
      <c r="D291" t="s">
        <v>2431</v>
      </c>
      <c r="E291" t="s">
        <v>22</v>
      </c>
      <c r="F291" s="382">
        <v>4</v>
      </c>
      <c r="G291" s="16">
        <f>'WetLitterbags placem_collection'!E218</f>
        <v>42769</v>
      </c>
      <c r="H291" t="str">
        <f>'Final data_for_R_analysis_Wetse'!K217</f>
        <v>G755</v>
      </c>
      <c r="I291" t="str">
        <f>'Final data_for_R_analysis_Wetse'!K437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44"/>
        <v>1.7692000000000001</v>
      </c>
      <c r="M291" s="194">
        <f>AVERAGE(Ashed_controlls!$K$2:$K$11)</f>
        <v>5.5147656768714146</v>
      </c>
      <c r="N291" s="194">
        <f t="shared" si="41"/>
        <v>1.6716327656447911</v>
      </c>
      <c r="O291" s="194">
        <f t="shared" si="45"/>
        <v>1.9182000000000001</v>
      </c>
      <c r="P291" s="194">
        <f>AVERAGE(Ashed_controlls!$K$12:$K$14)</f>
        <v>2.2816647271287041</v>
      </c>
      <c r="Q291" s="194">
        <f t="shared" si="46"/>
        <v>1.8744331072042173</v>
      </c>
      <c r="R291" s="16">
        <f>IF('WetLitterbags placem_collection'!G218="","",'WetLitterbags placem_collection'!G218)</f>
        <v>42814</v>
      </c>
      <c r="S291" s="194">
        <f>IFERROR(INDEX('Both teabags AfterWet'!$C$3:$C$2000,MATCH(H291,'Both teabags AfterWet'!$A$3:$A$2000,0)),"")</f>
        <v>0.88700000000000001</v>
      </c>
      <c r="T291" s="194">
        <f>IFERROR(INDEX('Both teabags AfterWet'!$C$3:$C$2000,MATCH(I291,'Both teabags AfterWet'!$A$3:$A$2000,0)),"")</f>
        <v>1.5349999999999999</v>
      </c>
      <c r="U291" s="194">
        <f t="shared" si="47"/>
        <v>0.73639999999999994</v>
      </c>
      <c r="V291" s="194">
        <f t="shared" si="48"/>
        <v>1.3843999999999999</v>
      </c>
      <c r="W291" s="194">
        <f>IFERROR(INDEX('Ashed teabags wet'!$K$2:$K$2000,MATCH(H291,'Ashed teabags wet'!$A$2:$A$2000,0)),"")</f>
        <v>8.3005893909626298</v>
      </c>
      <c r="X291" s="237">
        <f>IFERROR(INDEX('Ashed teabags wet'!$K$2:$K$2000,MATCH(I291,'Ashed teabags wet'!$A$2:$A$2000,0)),"")</f>
        <v>21.520236920039142</v>
      </c>
      <c r="Y291" s="194">
        <f t="shared" si="53"/>
        <v>0.67527445972495115</v>
      </c>
      <c r="Z291" s="194">
        <f t="shared" si="53"/>
        <v>1.086473840078978</v>
      </c>
      <c r="AA291" s="194">
        <f t="shared" si="49"/>
        <v>0.5960389903792771</v>
      </c>
      <c r="AB291" s="194">
        <f t="shared" si="50"/>
        <v>0.39075240224389668</v>
      </c>
      <c r="AC291" s="194">
        <f t="shared" si="42"/>
        <v>0.57962796106364756</v>
      </c>
      <c r="AD291">
        <f t="shared" si="43"/>
        <v>45</v>
      </c>
      <c r="AE291" s="194">
        <f t="shared" si="51"/>
        <v>0.29211521332627421</v>
      </c>
      <c r="AF291" s="194" t="str">
        <f t="shared" si="52"/>
        <v/>
      </c>
      <c r="AG291" s="252" t="str">
        <f>IF(ISNUMBER(SEARCH("C",'WetLitterbags placem_collection'!$X218)),"YES","NO")</f>
        <v>NO</v>
      </c>
      <c r="AH291" s="252" t="str">
        <f>IF(ISNUMBER(SEARCH("H", 'WetLitterbags placem_collection'!$X218)),"YES","NO")</f>
        <v>NO</v>
      </c>
      <c r="AI291" s="252" t="str">
        <f>IF(ISNUMBER(SEARCH("R", 'WetLitterbags placem_collection'!$X218)),"YES","NO")</f>
        <v>YES</v>
      </c>
      <c r="AJ291" s="252" t="str">
        <f>IF(ISNUMBER(SEARCH("C", 'WetLitterbags placem_collection'!$V218)),"YES","NO")</f>
        <v>YES</v>
      </c>
      <c r="AK291" s="252" t="str">
        <f>IF(ISNUMBER(SEARCH("H", 'WetLitterbags placem_collection'!$V218)),"YES","NO")</f>
        <v>YES</v>
      </c>
      <c r="AL291" s="252" t="str">
        <f>IF(ISNUMBER(SEARCH("R", 'WetLitterbags placem_collection'!$V218)),"YES","NO")</f>
        <v>YES</v>
      </c>
    </row>
    <row r="292" spans="1:39">
      <c r="B292" t="str">
        <f>'Final data_for_R_analysis_Wetse'!A218</f>
        <v>Wet</v>
      </c>
      <c r="C292" s="260">
        <f>'Final data_for_R_analysis_Wetse'!B218</f>
        <v>217</v>
      </c>
      <c r="D292" t="s">
        <v>2424</v>
      </c>
      <c r="E292" t="s">
        <v>22</v>
      </c>
      <c r="F292" s="382">
        <v>1</v>
      </c>
      <c r="G292" s="16">
        <f>'WetLitterbags placem_collection'!E219</f>
        <v>42769</v>
      </c>
      <c r="H292" t="str">
        <f>'Final data_for_R_analysis_Wetse'!K218</f>
        <v>G795</v>
      </c>
      <c r="I292" t="str">
        <f>'Final data_for_R_analysis_Wetse'!K438</f>
        <v>R302</v>
      </c>
      <c r="J292">
        <f>IFERROR(INDEX('Green_rooibos initial weight'!$C$5:$C$2000,MATCH(H292, 'Green_rooibos initial weight'!$A$5:$A$2000,0)),"")</f>
        <v>1.9530000000000001</v>
      </c>
      <c r="K292">
        <f>IFERROR(INDEX('Green_rooibos initial weight'!$C$5:$C$2000,MATCH(I292, 'Green_rooibos initial weight'!$A$5:$A$2000,0)),"")</f>
        <v>2.19</v>
      </c>
      <c r="L292" s="194">
        <f t="shared" si="44"/>
        <v>1.7032</v>
      </c>
      <c r="M292" s="194">
        <f>AVERAGE(Ashed_controlls!$K$2:$K$11)</f>
        <v>5.5147656768714146</v>
      </c>
      <c r="N292" s="194">
        <f t="shared" si="41"/>
        <v>1.609272510991526</v>
      </c>
      <c r="O292" s="194">
        <f t="shared" si="45"/>
        <v>1.9401999999999999</v>
      </c>
      <c r="P292" s="194">
        <f>AVERAGE(Ashed_controlls!$K$12:$K$14)</f>
        <v>2.2816647271287041</v>
      </c>
      <c r="Q292" s="194">
        <f t="shared" si="46"/>
        <v>1.8959311409642488</v>
      </c>
      <c r="R292" s="16">
        <f>IF('WetLitterbags placem_collection'!G219="","",'WetLitterbags placem_collection'!G219)</f>
        <v>42814</v>
      </c>
      <c r="S292" s="194">
        <f>IFERROR(INDEX('Both teabags AfterWet'!$C$3:$C$2000,MATCH(H292,'Both teabags AfterWet'!$A$3:$A$2000,0)),"")</f>
        <v>0.78100000000000003</v>
      </c>
      <c r="T292" s="194">
        <f>IFERROR(INDEX('Both teabags AfterWet'!$C$3:$C$2000,MATCH(I292,'Both teabags AfterWet'!$A$3:$A$2000,0)),"")</f>
        <v>1.38</v>
      </c>
      <c r="U292" s="194">
        <f t="shared" si="47"/>
        <v>0.63040000000000007</v>
      </c>
      <c r="V292" s="194">
        <f t="shared" si="48"/>
        <v>1.2293999999999998</v>
      </c>
      <c r="W292" s="194">
        <f>IFERROR(INDEX('Ashed teabags wet'!$K$2:$K$2000,MATCH(H292,'Ashed teabags wet'!$A$2:$A$2000,0)),"")</f>
        <v>8.99805447470772</v>
      </c>
      <c r="X292" s="237">
        <f>IFERROR(INDEX('Ashed teabags wet'!$K$2:$K$2000,MATCH(I292,'Ashed teabags wet'!$A$2:$A$2000,0)),"")</f>
        <v>5.5199605717097722</v>
      </c>
      <c r="Y292" s="194">
        <f t="shared" si="53"/>
        <v>0.57367626459144261</v>
      </c>
      <c r="Z292" s="194">
        <f t="shared" si="53"/>
        <v>1.1615376047313999</v>
      </c>
      <c r="AA292" s="194">
        <f t="shared" si="49"/>
        <v>0.64351826016217628</v>
      </c>
      <c r="AB292" s="194">
        <f t="shared" si="50"/>
        <v>0.4218789544056073</v>
      </c>
      <c r="AC292" s="194">
        <f t="shared" si="42"/>
        <v>0.61264756912039287</v>
      </c>
      <c r="AD292">
        <f t="shared" si="43"/>
        <v>45</v>
      </c>
      <c r="AE292" s="194">
        <f t="shared" si="51"/>
        <v>0.23572653187389991</v>
      </c>
      <c r="AF292" s="194">
        <f t="shared" si="52"/>
        <v>5.5622013521556643E-2</v>
      </c>
      <c r="AG292" s="252" t="str">
        <f>IF(ISNUMBER(SEARCH("C",'WetLitterbags placem_collection'!$X219)),"YES","NO")</f>
        <v>NO</v>
      </c>
      <c r="AH292" s="252" t="str">
        <f>IF(ISNUMBER(SEARCH("H", 'WetLitterbags placem_collection'!$X219)),"YES","NO")</f>
        <v>NO</v>
      </c>
      <c r="AI292" s="252" t="str">
        <f>IF(ISNUMBER(SEARCH("R", 'WetLitterbags placem_collection'!$X219)),"YES","NO")</f>
        <v>YES</v>
      </c>
      <c r="AJ292" s="252" t="str">
        <f>IF(ISNUMBER(SEARCH("C", 'WetLitterbags placem_collection'!$V219)),"YES","NO")</f>
        <v>NO</v>
      </c>
      <c r="AK292" s="252" t="str">
        <f>IF(ISNUMBER(SEARCH("H", 'WetLitterbags placem_collection'!$V219)),"YES","NO")</f>
        <v>NO</v>
      </c>
      <c r="AL292" s="252" t="str">
        <f>IF(ISNUMBER(SEARCH("R", 'WetLitterbags placem_collection'!$V219)),"YES","NO")</f>
        <v>YES</v>
      </c>
    </row>
    <row r="293" spans="1:39">
      <c r="B293" t="str">
        <f>'Final data_for_R_analysis_Wetse'!A219</f>
        <v>Wet</v>
      </c>
      <c r="C293" s="260">
        <f>'Final data_for_R_analysis_Wetse'!B219</f>
        <v>218</v>
      </c>
      <c r="D293" t="s">
        <v>2432</v>
      </c>
      <c r="E293" t="s">
        <v>22</v>
      </c>
      <c r="F293" s="382">
        <v>2</v>
      </c>
      <c r="G293" s="16">
        <f>'WetLitterbags placem_collection'!E220</f>
        <v>42769</v>
      </c>
      <c r="H293" t="str">
        <f>'Final data_for_R_analysis_Wetse'!K219</f>
        <v>G251</v>
      </c>
      <c r="I293" t="str">
        <f>'Final data_for_R_analysis_Wetse'!K439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44"/>
        <v>1.8041999999999998</v>
      </c>
      <c r="M293" s="194">
        <f>AVERAGE(Ashed_controlls!$K$2:$K$11)</f>
        <v>5.5147656768714146</v>
      </c>
      <c r="N293" s="194">
        <f t="shared" si="41"/>
        <v>1.7047025976578858</v>
      </c>
      <c r="O293" s="194">
        <f t="shared" si="45"/>
        <v>1.9792000000000001</v>
      </c>
      <c r="P293" s="194">
        <f>AVERAGE(Ashed_controlls!$K$12:$K$14)</f>
        <v>2.2816647271287041</v>
      </c>
      <c r="Q293" s="194">
        <f t="shared" si="46"/>
        <v>1.9340412917206689</v>
      </c>
      <c r="R293" s="16">
        <f>IF('WetLitterbags placem_collection'!G220="","",'WetLitterbags placem_collection'!G220)</f>
        <v>42814</v>
      </c>
      <c r="S293" s="194">
        <f>IFERROR(INDEX('Both teabags AfterWet'!$C$3:$C$2000,MATCH(H293,'Both teabags AfterWet'!$A$3:$A$2000,0)),"")</f>
        <v>0.75700000000000001</v>
      </c>
      <c r="T293" s="194">
        <f>IFERROR(INDEX('Both teabags AfterWet'!$C$3:$C$2000,MATCH(I293,'Both teabags AfterWet'!$A$3:$A$2000,0)),"")</f>
        <v>1.3831</v>
      </c>
      <c r="U293" s="194">
        <f t="shared" si="47"/>
        <v>0.60640000000000005</v>
      </c>
      <c r="V293" s="194">
        <f t="shared" si="48"/>
        <v>1.2324999999999999</v>
      </c>
      <c r="W293" s="194">
        <f>IFERROR(INDEX('Ashed teabags wet'!$K$2:$K$2000,MATCH(H293,'Ashed teabags wet'!$A$2:$A$2000,0)),"")</f>
        <v>12.853598014887801</v>
      </c>
      <c r="X293" s="237">
        <f>IFERROR(INDEX('Ashed teabags wet'!$K$2:$K$2000,MATCH(I293,'Ashed teabags wet'!$A$2:$A$2000,0)),"")</f>
        <v>6.7454455933042237</v>
      </c>
      <c r="Y293" s="194">
        <f t="shared" si="53"/>
        <v>0.52845578163772045</v>
      </c>
      <c r="Z293" s="194">
        <f t="shared" si="53"/>
        <v>1.1493623830625255</v>
      </c>
      <c r="AA293" s="194">
        <f t="shared" si="49"/>
        <v>0.69000118709047953</v>
      </c>
      <c r="AB293" s="194">
        <f t="shared" si="50"/>
        <v>0.45235232217808163</v>
      </c>
      <c r="AC293" s="194">
        <f t="shared" si="42"/>
        <v>0.59428016763797531</v>
      </c>
      <c r="AD293">
        <f t="shared" si="43"/>
        <v>45</v>
      </c>
      <c r="AE293" s="194">
        <f t="shared" si="51"/>
        <v>0.18052115547448988</v>
      </c>
      <c r="AF293" s="194">
        <f t="shared" si="52"/>
        <v>5.0492529899916969E-2</v>
      </c>
      <c r="AG293" s="252" t="str">
        <f>IF(ISNUMBER(SEARCH("C",'WetLitterbags placem_collection'!$X220)),"YES","NO")</f>
        <v>NO</v>
      </c>
      <c r="AH293" s="252" t="str">
        <f>IF(ISNUMBER(SEARCH("H", 'WetLitterbags placem_collection'!$X220)),"YES","NO")</f>
        <v>NO</v>
      </c>
      <c r="AI293" s="252" t="str">
        <f>IF(ISNUMBER(SEARCH("R", 'WetLitterbags placem_collection'!$X220)),"YES","NO")</f>
        <v>YES</v>
      </c>
      <c r="AJ293" s="252" t="str">
        <f>IF(ISNUMBER(SEARCH("C", 'WetLitterbags placem_collection'!$V220)),"YES","NO")</f>
        <v>NO</v>
      </c>
      <c r="AK293" s="252" t="str">
        <f>IF(ISNUMBER(SEARCH("H", 'WetLitterbags placem_collection'!$V220)),"YES","NO")</f>
        <v>NO</v>
      </c>
      <c r="AL293" s="252" t="str">
        <f>IF(ISNUMBER(SEARCH("R", 'WetLitterbags placem_collection'!$V220)),"YES","NO")</f>
        <v>YES</v>
      </c>
    </row>
    <row r="294" spans="1:39">
      <c r="B294" t="str">
        <f>'Final data_for_R_analysis_Wetse'!A220</f>
        <v>Wet</v>
      </c>
      <c r="C294" s="381">
        <f>'Final data_for_R_analysis_Wetse'!B220</f>
        <v>219</v>
      </c>
      <c r="D294" t="s">
        <v>2439</v>
      </c>
      <c r="E294" t="s">
        <v>22</v>
      </c>
      <c r="F294" s="382">
        <v>3</v>
      </c>
      <c r="G294" s="383">
        <f>'WetLitterbags placem_collection'!E221</f>
        <v>42769</v>
      </c>
      <c r="H294" s="92" t="str">
        <f>'Final data_for_R_analysis_Wetse'!K220</f>
        <v>G727</v>
      </c>
      <c r="I294" s="92" t="str">
        <f>'Final data_for_R_analysis_Wetse'!K440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44"/>
        <v>1.7772000000000001</v>
      </c>
      <c r="M294" s="194">
        <f>AVERAGE(Ashed_controlls!$K$2:$K$11)</f>
        <v>5.5147656768714146</v>
      </c>
      <c r="N294" s="384">
        <f t="shared" si="41"/>
        <v>1.6791915843906413</v>
      </c>
      <c r="O294" s="194">
        <f t="shared" si="45"/>
        <v>1.9662000000000002</v>
      </c>
      <c r="P294" s="194">
        <f>AVERAGE(Ashed_controlls!$K$12:$K$14)</f>
        <v>2.2816647271287041</v>
      </c>
      <c r="Q294" s="194">
        <f t="shared" si="46"/>
        <v>1.9213379081351956</v>
      </c>
      <c r="R294" s="16">
        <f>IF('WetLitterbags placem_collection'!G221="","",'WetLitterbags placem_collection'!G221)</f>
        <v>42813</v>
      </c>
      <c r="S294" s="194">
        <f>IFERROR(INDEX('Both teabags AfterWet'!$C$3:$C$2000,MATCH(H294,'Both teabags AfterWet'!$A$3:$A$2000,0)),"")</f>
        <v>0.70650000000000002</v>
      </c>
      <c r="T294" s="194">
        <f>IFERROR(INDEX('Both teabags AfterWet'!$C$3:$C$2000,MATCH(I294,'Both teabags AfterWet'!$A$3:$A$2000,0)),"")</f>
        <v>1.4293</v>
      </c>
      <c r="U294" s="194">
        <f t="shared" si="47"/>
        <v>0.55590000000000006</v>
      </c>
      <c r="V294" s="194">
        <f t="shared" si="48"/>
        <v>1.2786999999999999</v>
      </c>
      <c r="W294" s="194">
        <f>IFERROR(INDEX('Ashed teabags wet'!$K$2:$K$2000,MATCH(H294,'Ashed teabags wet'!$A$2:$A$2000,0)),"")</f>
        <v>11.604439959636602</v>
      </c>
      <c r="X294" s="237">
        <f>IFERROR(INDEX('Ashed teabags wet'!$K$2:$K$2000,MATCH(I294,'Ashed teabags wet'!$A$2:$A$2000,0)),"")</f>
        <v>6.3788027477918092</v>
      </c>
      <c r="Y294" s="194">
        <f t="shared" si="53"/>
        <v>0.49139091826438019</v>
      </c>
      <c r="Z294" s="194">
        <f t="shared" si="53"/>
        <v>1.197134249263986</v>
      </c>
      <c r="AA294" s="194">
        <f t="shared" si="49"/>
        <v>0.70736458970362204</v>
      </c>
      <c r="AB294" s="194">
        <f t="shared" si="50"/>
        <v>0.46373545548265965</v>
      </c>
      <c r="AC294" s="194">
        <f t="shared" si="42"/>
        <v>0.62307324713428247</v>
      </c>
      <c r="AD294">
        <f t="shared" si="43"/>
        <v>44</v>
      </c>
      <c r="AE294" s="194">
        <f t="shared" si="51"/>
        <v>0.15989953716909489</v>
      </c>
      <c r="AF294" s="194">
        <f t="shared" si="52"/>
        <v>3.8081985758745357E-2</v>
      </c>
      <c r="AG294" s="252" t="str">
        <f>IF(ISNUMBER(SEARCH("C",'WetLitterbags placem_collection'!$X221)),"YES","NO")</f>
        <v>NO</v>
      </c>
      <c r="AH294" s="252" t="str">
        <f>IF(ISNUMBER(SEARCH("H", 'WetLitterbags placem_collection'!$X221)),"YES","NO")</f>
        <v>NO</v>
      </c>
      <c r="AI294" s="252" t="str">
        <f>IF(ISNUMBER(SEARCH("R", 'WetLitterbags placem_collection'!$X221)),"YES","NO")</f>
        <v>YES</v>
      </c>
      <c r="AJ294" s="252" t="str">
        <f>IF(ISNUMBER(SEARCH("C", 'WetLitterbags placem_collection'!$V221)),"YES","NO")</f>
        <v>NO</v>
      </c>
      <c r="AK294" s="252" t="str">
        <f>IF(ISNUMBER(SEARCH("H", 'WetLitterbags placem_collection'!$V221)),"YES","NO")</f>
        <v>YES</v>
      </c>
      <c r="AL294" s="252" t="str">
        <f>IF(ISNUMBER(SEARCH("R", 'WetLitterbags placem_collection'!$V221)),"YES","NO")</f>
        <v>YES</v>
      </c>
    </row>
    <row r="295" spans="1:39" ht="15" thickBot="1">
      <c r="A295" s="467"/>
      <c r="B295" s="467" t="str">
        <f>'Final data_for_R_analysis_Wetse'!A221</f>
        <v>Wet</v>
      </c>
      <c r="C295" s="468">
        <f>'Final data_for_R_analysis_Wetse'!B221</f>
        <v>220</v>
      </c>
      <c r="D295" s="467" t="s">
        <v>2446</v>
      </c>
      <c r="E295" s="467" t="s">
        <v>22</v>
      </c>
      <c r="F295" s="469">
        <v>4</v>
      </c>
      <c r="G295" s="470">
        <f>'WetLitterbags placem_collection'!E222</f>
        <v>42769</v>
      </c>
      <c r="H295" s="467" t="str">
        <f>'Final data_for_R_analysis_Wetse'!K221</f>
        <v>G782</v>
      </c>
      <c r="I295" s="467" t="str">
        <f>'Final data_for_R_analysis_Wetse'!K441</f>
        <v>R250</v>
      </c>
      <c r="J295" s="467">
        <f>IFERROR(INDEX('Green_rooibos initial weight'!$C$5:$C$2000,MATCH(H295, 'Green_rooibos initial weight'!$A$5:$A$2000,0)),"")</f>
        <v>1.9510000000000001</v>
      </c>
      <c r="K295" s="467">
        <f>IFERROR(INDEX('Green_rooibos initial weight'!$C$5:$C$2000,MATCH(I295, 'Green_rooibos initial weight'!$A$5:$A$2000,0)),"")</f>
        <v>2.2639999999999998</v>
      </c>
      <c r="L295" s="471">
        <f t="shared" si="44"/>
        <v>1.7012</v>
      </c>
      <c r="M295" s="471">
        <f>AVERAGE(Ashed_controlls!$K$2:$K$11)</f>
        <v>5.5147656768714146</v>
      </c>
      <c r="N295" s="471">
        <f t="shared" si="41"/>
        <v>1.6073828063050635</v>
      </c>
      <c r="O295" s="471">
        <f t="shared" si="45"/>
        <v>2.0141999999999998</v>
      </c>
      <c r="P295" s="471">
        <f>AVERAGE(Ashed_controlls!$K$12:$K$14)</f>
        <v>2.2816647271287041</v>
      </c>
      <c r="Q295" s="471">
        <f t="shared" si="46"/>
        <v>1.9682427090661734</v>
      </c>
      <c r="R295" s="470">
        <f>IF('WetLitterbags placem_collection'!G222="","",'WetLitterbags placem_collection'!G222)</f>
        <v>42813</v>
      </c>
      <c r="S295" s="471">
        <f>IFERROR(INDEX('Both teabags AfterWet'!$C$3:$C$2000,MATCH(H295,'Both teabags AfterWet'!$A$3:$A$2000,0)),"")</f>
        <v>0.6169</v>
      </c>
      <c r="T295" s="471">
        <f>IFERROR(INDEX('Both teabags AfterWet'!$C$3:$C$2000,MATCH(I295,'Both teabags AfterWet'!$A$3:$A$2000,0)),"")</f>
        <v>1.5303</v>
      </c>
      <c r="U295" s="471">
        <f t="shared" si="47"/>
        <v>0.46629999999999999</v>
      </c>
      <c r="V295" s="471">
        <f t="shared" si="48"/>
        <v>1.3796999999999999</v>
      </c>
      <c r="W295" s="471">
        <f>IFERROR(INDEX('Ashed teabags wet'!$K$2:$K$2000,MATCH(H295,'Ashed teabags wet'!$A$2:$A$2000,0)),"")</f>
        <v>11.045655375552919</v>
      </c>
      <c r="X295" s="472">
        <f>IFERROR(INDEX('Ashed teabags wet'!$K$2:$K$2000,MATCH(I295,'Ashed teabags wet'!$A$2:$A$2000,0)),"")</f>
        <v>5.6310679611650896</v>
      </c>
      <c r="Y295" s="471">
        <f t="shared" si="53"/>
        <v>0.41479410898379676</v>
      </c>
      <c r="Z295" s="471">
        <f t="shared" si="53"/>
        <v>1.3020081553398053</v>
      </c>
      <c r="AA295" s="471">
        <f t="shared" si="49"/>
        <v>0.74194441588105842</v>
      </c>
      <c r="AB295" s="471">
        <f t="shared" si="50"/>
        <v>0.48640536528069389</v>
      </c>
      <c r="AC295" s="471">
        <f t="shared" si="42"/>
        <v>0.66150792752461862</v>
      </c>
      <c r="AD295" s="467">
        <f t="shared" si="43"/>
        <v>44</v>
      </c>
      <c r="AE295" s="471">
        <f t="shared" si="51"/>
        <v>0.11883085999874299</v>
      </c>
      <c r="AF295" s="471">
        <f t="shared" si="52"/>
        <v>2.705491178469981E-2</v>
      </c>
      <c r="AG295" s="252" t="str">
        <f>IF(ISNUMBER(SEARCH("C",'WetLitterbags placem_collection'!$X222)),"YES","NO")</f>
        <v>NO</v>
      </c>
      <c r="AH295" s="252" t="str">
        <f>IF(ISNUMBER(SEARCH("H", 'WetLitterbags placem_collection'!$X222)),"YES","NO")</f>
        <v>NO</v>
      </c>
      <c r="AI295" s="252" t="str">
        <f>IF(ISNUMBER(SEARCH("R", 'WetLitterbags placem_collection'!$X222)),"YES","NO")</f>
        <v>YES</v>
      </c>
      <c r="AJ295" s="252" t="str">
        <f>IF(ISNUMBER(SEARCH("C", 'WetLitterbags placem_collection'!$V222)),"YES","NO")</f>
        <v>NO</v>
      </c>
      <c r="AK295" s="252" t="str">
        <f>IF(ISNUMBER(SEARCH("H", 'WetLitterbags placem_collection'!$V222)),"YES","NO")</f>
        <v>NO</v>
      </c>
      <c r="AL295" s="252" t="str">
        <f>IF(ISNUMBER(SEARCH("R", 'WetLitterbags placem_collection'!$V222)),"YES","NO")</f>
        <v>YES</v>
      </c>
    </row>
    <row r="296" spans="1:39">
      <c r="A296" s="92"/>
      <c r="B296" s="92" t="str">
        <f>'Final data_for_R_analysis_Wetse'!A442</f>
        <v>Wet</v>
      </c>
      <c r="C296" s="381">
        <f>'Final data_for_R_analysis_Wetse'!B442</f>
        <v>1</v>
      </c>
      <c r="D296" s="92" t="s">
        <v>3798</v>
      </c>
      <c r="E296" s="92" t="s">
        <v>25</v>
      </c>
      <c r="F296" s="381">
        <v>1</v>
      </c>
      <c r="G296" s="383">
        <f>'WetLitterbags placem_collection'!E3</f>
        <v>42766</v>
      </c>
      <c r="H296" s="92" t="str">
        <f>'Final data_for_R_analysis_Wetse'!K442</f>
        <v>G752</v>
      </c>
      <c r="I296" s="92" t="str">
        <f>'Final data_for_R_analysis_Wetse'!K662</f>
        <v>R133</v>
      </c>
      <c r="J296">
        <f>IFERROR(INDEX('Green_rooibos initial weight'!$C$5:$C$2000,MATCH(H296, 'Green_rooibos initial weight'!$A$5:$A$2000,0)),"")</f>
        <v>2.15</v>
      </c>
      <c r="K296">
        <f>IFERROR(INDEX('Green_rooibos initial weight'!$C$5:$C$2000,MATCH(I296, 'Green_rooibos initial weight'!$A$5:$A$2000,0)),"")</f>
        <v>2.1760000000000002</v>
      </c>
      <c r="L296" s="384">
        <f t="shared" ref="L269:L332" si="54">IF(J296&gt;0,(J296*$F$31-($F$29+$F$30)),"")</f>
        <v>1.9001999999999999</v>
      </c>
      <c r="M296" s="384">
        <f>AVERAGE(Ashed_controlls!$K$2:$K$11)</f>
        <v>5.5147656768714146</v>
      </c>
      <c r="N296" s="384">
        <f t="shared" si="41"/>
        <v>1.7954084226080893</v>
      </c>
      <c r="O296" s="384">
        <f t="shared" si="45"/>
        <v>1.9262000000000001</v>
      </c>
      <c r="P296" s="384">
        <f>AVERAGE(Ashed_controlls!$K$12:$K$14)</f>
        <v>2.2816647271287041</v>
      </c>
      <c r="Q296" s="384">
        <f t="shared" si="46"/>
        <v>1.8822505740260471</v>
      </c>
      <c r="R296" s="383">
        <f>IF('WetLitterbags placem_collection'!G3="","",'WetLitterbags placem_collection'!G3)</f>
        <v>42818</v>
      </c>
      <c r="S296" s="194">
        <f>IFERROR(INDEX('Both teabags AfterWet'!$C$3:$C$2000,MATCH(H296,'Both teabags AfterWet'!$A$3:$A$2000,0)),"")</f>
        <v>0.47</v>
      </c>
      <c r="T296" s="194">
        <f>IFERROR(INDEX('Both teabags AfterWet'!$C$3:$C$2000,MATCH(I296,'Both teabags AfterWet'!$A$3:$A$2000,0)),"")</f>
        <v>1.4104000000000001</v>
      </c>
      <c r="U296" s="194">
        <f t="shared" si="47"/>
        <v>0.31939999999999996</v>
      </c>
      <c r="V296" s="194">
        <f t="shared" si="48"/>
        <v>1.2598</v>
      </c>
      <c r="W296" s="194">
        <f>IFERROR(INDEX('Ashed teabags wet'!$K$2:$K$2000,MATCH(H296,'Ashed teabags wet'!$A$2:$A$2000,0)),"")</f>
        <v>15.221674876847116</v>
      </c>
      <c r="X296" s="237">
        <f>IFERROR(INDEX('Ashed teabags wet'!$K$2:$K$2000,MATCH(I296,'Ashed teabags wet'!$A$2:$A$2000,0)),"")</f>
        <v>2.8344107409252359</v>
      </c>
      <c r="Y296" s="194">
        <f t="shared" si="53"/>
        <v>0.27078197044335028</v>
      </c>
      <c r="Z296" s="194">
        <f t="shared" si="53"/>
        <v>1.2240920934858239</v>
      </c>
      <c r="AA296" s="194">
        <f t="shared" si="49"/>
        <v>0.84918085097874252</v>
      </c>
      <c r="AB296" s="194">
        <f t="shared" si="50"/>
        <v>0.55670763627109976</v>
      </c>
      <c r="AC296" s="194">
        <f t="shared" si="42"/>
        <v>0.6503342915005984</v>
      </c>
      <c r="AD296">
        <f t="shared" si="43"/>
        <v>52</v>
      </c>
      <c r="AE296" s="194">
        <f t="shared" si="51"/>
        <v>-8.5283265780791151E-3</v>
      </c>
      <c r="AF296" s="194">
        <f t="shared" si="52"/>
        <v>1.9021517110568965E-2</v>
      </c>
      <c r="AG296" s="252" t="str">
        <f>IF(ISNUMBER(SEARCH("C",'WetLitterbags placem_collection'!$Y3)),"YES","NO")</f>
        <v>NO</v>
      </c>
      <c r="AH296" s="252" t="str">
        <f>IF(ISNUMBER(SEARCH("H", 'WetLitterbags placem_collection'!$Y3)),"YES","NO")</f>
        <v>NO</v>
      </c>
      <c r="AI296" s="252" t="str">
        <f>IF(ISNUMBER(SEARCH("R", 'WetLitterbags placem_collection'!$Y3)),"YES","NO")</f>
        <v>NO</v>
      </c>
      <c r="AJ296" s="252" t="str">
        <f>IF(ISNUMBER(SEARCH("C", 'WetLitterbags placem_collection'!$W3)),"YES","NO")</f>
        <v>NO</v>
      </c>
      <c r="AK296" s="252" t="str">
        <f>IF(ISNUMBER(SEARCH("H", 'WetLitterbags placem_collection'!$W3)),"YES","NO")</f>
        <v>YES</v>
      </c>
      <c r="AL296" s="252" t="str">
        <f>IF(ISNUMBER(SEARCH("R", 'WetLitterbags placem_collection'!$W3)),"YES","NO")</f>
        <v>NO</v>
      </c>
      <c r="AM296" s="252"/>
    </row>
    <row r="297" spans="1:39">
      <c r="B297" t="str">
        <f>'Final data_for_R_analysis_Wetse'!A443</f>
        <v>Wet</v>
      </c>
      <c r="C297" s="381">
        <f>'Final data_for_R_analysis_Wetse'!B443</f>
        <v>2</v>
      </c>
      <c r="D297" t="s">
        <v>3798</v>
      </c>
      <c r="E297" t="s">
        <v>25</v>
      </c>
      <c r="F297" s="381">
        <v>2</v>
      </c>
      <c r="G297" s="383">
        <f>'WetLitterbags placem_collection'!E4</f>
        <v>42766</v>
      </c>
      <c r="H297" s="92" t="str">
        <f>'Final data_for_R_analysis_Wetse'!K443</f>
        <v>G737</v>
      </c>
      <c r="I297" s="92" t="str">
        <f>'Final data_for_R_analysis_Wetse'!K663</f>
        <v>R527</v>
      </c>
      <c r="J297">
        <f>IFERROR(INDEX('Green_rooibos initial weight'!$C$5:$C$2000,MATCH(H297, 'Green_rooibos initial weight'!$A$5:$A$2000,0)),"")</f>
        <v>1.841</v>
      </c>
      <c r="K297">
        <f>IFERROR(INDEX('Green_rooibos initial weight'!$C$5:$C$2000,MATCH(I297, 'Green_rooibos initial weight'!$A$5:$A$2000,0)),"")</f>
        <v>2.1859999999999999</v>
      </c>
      <c r="L297" s="194">
        <f t="shared" si="54"/>
        <v>1.5911999999999999</v>
      </c>
      <c r="M297" s="194">
        <f>AVERAGE(Ashed_controlls!$K$2:$K$11)</f>
        <v>5.5147656768714146</v>
      </c>
      <c r="N297" s="384">
        <f t="shared" si="41"/>
        <v>1.5034490485496219</v>
      </c>
      <c r="O297" s="194">
        <f t="shared" si="45"/>
        <v>1.9361999999999999</v>
      </c>
      <c r="P297" s="194">
        <f>AVERAGE(Ashed_controlls!$K$12:$K$14)</f>
        <v>2.2816647271287041</v>
      </c>
      <c r="Q297" s="194">
        <f t="shared" si="46"/>
        <v>1.8920224075533341</v>
      </c>
      <c r="R297" s="16">
        <f>IF('WetLitterbags placem_collection'!G4="","",'WetLitterbags placem_collection'!G4)</f>
        <v>42818</v>
      </c>
      <c r="S297" s="194">
        <f>IFERROR(INDEX('Both teabags AfterWet'!$C$3:$C$2000,MATCH(H297,'Both teabags AfterWet'!$A$3:$A$2000,0)),"")</f>
        <v>0.57869999999999999</v>
      </c>
      <c r="T297" s="194">
        <f>IFERROR(INDEX('Both teabags AfterWet'!$C$3:$C$2000,MATCH(I297,'Both teabags AfterWet'!$A$3:$A$2000,0)),"")</f>
        <v>1.3275999999999999</v>
      </c>
      <c r="U297" s="194">
        <f t="shared" si="47"/>
        <v>0.42809999999999998</v>
      </c>
      <c r="V297" s="194">
        <f t="shared" si="48"/>
        <v>1.1769999999999998</v>
      </c>
      <c r="W297" s="194">
        <f>IFERROR(INDEX('Ashed teabags wet'!$K$2:$K$2000,MATCH(H297,'Ashed teabags wet'!$A$2:$A$2000,0)),"")</f>
        <v>8.1337325349297291</v>
      </c>
      <c r="X297" s="237">
        <f>IFERROR(INDEX('Ashed teabags wet'!$K$2:$K$2000,MATCH(I297,'Ashed teabags wet'!$A$2:$A$2000,0)),"")</f>
        <v>4.4433349975038503</v>
      </c>
      <c r="Y297" s="194">
        <f t="shared" si="53"/>
        <v>0.39327949101796583</v>
      </c>
      <c r="Z297" s="194">
        <f t="shared" si="53"/>
        <v>1.1247019470793795</v>
      </c>
      <c r="AA297" s="194">
        <f t="shared" si="49"/>
        <v>0.73841515188202567</v>
      </c>
      <c r="AB297" s="194">
        <f t="shared" si="50"/>
        <v>0.48409164351410716</v>
      </c>
      <c r="AC297" s="194">
        <f t="shared" si="42"/>
        <v>0.59444430604486664</v>
      </c>
      <c r="AD297">
        <f t="shared" si="43"/>
        <v>52</v>
      </c>
      <c r="AE297" s="194">
        <f t="shared" si="51"/>
        <v>0.12302238493821172</v>
      </c>
      <c r="AF297" s="194">
        <f t="shared" si="52"/>
        <v>3.4975341514860286E-2</v>
      </c>
      <c r="AG297" s="252" t="str">
        <f>IF(ISNUMBER(SEARCH("C",'WetLitterbags placem_collection'!$Y4)),"YES","NO")</f>
        <v>NO</v>
      </c>
      <c r="AH297" s="252" t="str">
        <f>IF(ISNUMBER(SEARCH("H", 'WetLitterbags placem_collection'!$Y4)),"YES","NO")</f>
        <v>NO</v>
      </c>
      <c r="AI297" s="252" t="str">
        <f>IF(ISNUMBER(SEARCH("R", 'WetLitterbags placem_collection'!$Y4)),"YES","NO")</f>
        <v>NO</v>
      </c>
      <c r="AJ297" s="252" t="str">
        <f>IF(ISNUMBER(SEARCH("C", 'WetLitterbags placem_collection'!$W4)),"YES","NO")</f>
        <v>NO</v>
      </c>
      <c r="AK297" s="252" t="str">
        <f>IF(ISNUMBER(SEARCH("H", 'WetLitterbags placem_collection'!$W4)),"YES","NO")</f>
        <v>NO</v>
      </c>
      <c r="AL297" s="252" t="str">
        <f>IF(ISNUMBER(SEARCH("R", 'WetLitterbags placem_collection'!$W4)),"YES","NO")</f>
        <v>NO</v>
      </c>
    </row>
    <row r="298" spans="1:39">
      <c r="B298" t="str">
        <f>'Final data_for_R_analysis_Wetse'!A444</f>
        <v>Wet</v>
      </c>
      <c r="C298" s="260">
        <f>'Final data_for_R_analysis_Wetse'!B444</f>
        <v>3</v>
      </c>
      <c r="D298" t="s">
        <v>3798</v>
      </c>
      <c r="E298" t="s">
        <v>25</v>
      </c>
      <c r="F298" s="381">
        <v>3</v>
      </c>
      <c r="G298" s="16">
        <f>'WetLitterbags placem_collection'!E5</f>
        <v>42766</v>
      </c>
      <c r="H298" s="92" t="str">
        <f>'Final data_for_R_analysis_Wetse'!K444</f>
        <v>G661</v>
      </c>
      <c r="I298" t="str">
        <f>'Final data_for_R_analysis_Wetse'!K664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54"/>
        <v>1.8132000000000001</v>
      </c>
      <c r="M298" s="194">
        <f>AVERAGE(Ashed_controlls!$K$2:$K$11)</f>
        <v>5.5147656768714146</v>
      </c>
      <c r="N298" s="194">
        <f t="shared" si="41"/>
        <v>1.7132062687469676</v>
      </c>
      <c r="O298" s="194">
        <f t="shared" si="45"/>
        <v>1.9022000000000001</v>
      </c>
      <c r="P298" s="194">
        <f>AVERAGE(Ashed_controlls!$K$12:$K$14)</f>
        <v>2.2816647271287041</v>
      </c>
      <c r="Q298" s="194">
        <f t="shared" si="46"/>
        <v>1.8587981735605579</v>
      </c>
      <c r="R298" s="16">
        <f>IF('WetLitterbags placem_collection'!G5="","",'WetLitterbags placem_collection'!G5)</f>
        <v>42819</v>
      </c>
      <c r="S298" s="194" t="str">
        <f>IFERROR(INDEX('Both teabags AfterWet'!$C$3:$C$2000,MATCH(H298,'Both teabags AfterWet'!$A$3:$A$2000,0)),"")</f>
        <v/>
      </c>
      <c r="T298" s="194" t="str">
        <f>IFERROR(INDEX('Both teabags AfterWet'!$C$3:$C$2000,MATCH(I298,'Both teabags AfterWet'!$A$3:$A$2000,0)),"")</f>
        <v/>
      </c>
      <c r="U298" s="194" t="str">
        <f t="shared" si="47"/>
        <v/>
      </c>
      <c r="V298" s="194" t="str">
        <f t="shared" si="48"/>
        <v/>
      </c>
      <c r="W298" s="194" t="str">
        <f>IFERROR(INDEX('Ashed teabags wet'!$K$2:$K$2000,MATCH(H298,'Ashed teabags wet'!$A$2:$A$2000,0)),"")</f>
        <v/>
      </c>
      <c r="X298" s="237" t="str">
        <f>IFERROR(INDEX('Ashed teabags wet'!$K$2:$K$2000,MATCH(I298,'Ashed teabags wet'!$A$2:$A$2000,0)),"")</f>
        <v/>
      </c>
      <c r="Y298" s="194" t="str">
        <f t="shared" si="53"/>
        <v/>
      </c>
      <c r="Z298" s="194" t="str">
        <f t="shared" si="53"/>
        <v/>
      </c>
      <c r="AA298" s="194" t="str">
        <f t="shared" si="49"/>
        <v/>
      </c>
      <c r="AB298" s="194" t="str">
        <f t="shared" si="50"/>
        <v/>
      </c>
      <c r="AC298" s="194" t="str">
        <f t="shared" si="42"/>
        <v/>
      </c>
      <c r="AD298">
        <f t="shared" si="43"/>
        <v>53</v>
      </c>
      <c r="AE298" s="194" t="str">
        <f t="shared" si="51"/>
        <v/>
      </c>
      <c r="AF298" s="194" t="str">
        <f t="shared" si="52"/>
        <v/>
      </c>
      <c r="AG298" s="252" t="str">
        <f>IF(ISNUMBER(SEARCH("C",'WetLitterbags placem_collection'!$Y5)),"YES","NO")</f>
        <v>NO</v>
      </c>
      <c r="AH298" s="252" t="str">
        <f>IF(ISNUMBER(SEARCH("H", 'WetLitterbags placem_collection'!$Y5)),"YES","NO")</f>
        <v>NO</v>
      </c>
      <c r="AI298" s="252" t="str">
        <f>IF(ISNUMBER(SEARCH("R", 'WetLitterbags placem_collection'!$Y5)),"YES","NO")</f>
        <v>NO</v>
      </c>
      <c r="AJ298" s="252" t="str">
        <f>IF(ISNUMBER(SEARCH("C", 'WetLitterbags placem_collection'!$W5)),"YES","NO")</f>
        <v>NO</v>
      </c>
      <c r="AK298" s="252" t="str">
        <f>IF(ISNUMBER(SEARCH("H", 'WetLitterbags placem_collection'!$W5)),"YES","NO")</f>
        <v>NO</v>
      </c>
      <c r="AL298" s="252" t="str">
        <f>IF(ISNUMBER(SEARCH("R", 'WetLitterbags placem_collection'!$W5)),"YES","NO")</f>
        <v>NO</v>
      </c>
    </row>
    <row r="299" spans="1:39">
      <c r="B299" t="str">
        <f>'Final data_for_R_analysis_Wetse'!A445</f>
        <v>Wet</v>
      </c>
      <c r="C299" s="260">
        <f>'Final data_for_R_analysis_Wetse'!B445</f>
        <v>4</v>
      </c>
      <c r="D299" t="s">
        <v>3798</v>
      </c>
      <c r="E299" t="s">
        <v>25</v>
      </c>
      <c r="F299" s="382">
        <v>4</v>
      </c>
      <c r="G299" s="16">
        <f>'WetLitterbags placem_collection'!E6</f>
        <v>42766</v>
      </c>
      <c r="H299" s="92" t="str">
        <f>'Final data_for_R_analysis_Wetse'!K445</f>
        <v>G532</v>
      </c>
      <c r="I299" t="str">
        <f>'Final data_for_R_analysis_Wetse'!K665</f>
        <v>R508</v>
      </c>
      <c r="J299">
        <f>IFERROR(INDEX('Green_rooibos initial weight'!$C$5:$C$2000,MATCH(H299, 'Green_rooibos initial weight'!$A$5:$A$2000,0)),"")</f>
        <v>2.036</v>
      </c>
      <c r="K299">
        <f>IFERROR(INDEX('Green_rooibos initial weight'!$C$5:$C$2000,MATCH(I299, 'Green_rooibos initial weight'!$A$5:$A$2000,0)),"")</f>
        <v>2.169</v>
      </c>
      <c r="L299" s="194">
        <f t="shared" si="54"/>
        <v>1.7862</v>
      </c>
      <c r="M299" s="194">
        <f>AVERAGE(Ashed_controlls!$K$2:$K$11)</f>
        <v>5.5147656768714146</v>
      </c>
      <c r="N299" s="194">
        <f t="shared" si="41"/>
        <v>1.6876952554797229</v>
      </c>
      <c r="O299" s="194">
        <f t="shared" si="45"/>
        <v>1.9192</v>
      </c>
      <c r="P299" s="194">
        <f>AVERAGE(Ashed_controlls!$K$12:$K$14)</f>
        <v>2.2816647271287041</v>
      </c>
      <c r="Q299" s="194">
        <f t="shared" si="46"/>
        <v>1.8754102905569459</v>
      </c>
      <c r="R299" s="16">
        <f>IF('WetLitterbags placem_collection'!G6="","",'WetLitterbags placem_collection'!G6)</f>
        <v>42818</v>
      </c>
      <c r="S299" s="194">
        <f>IFERROR(INDEX('Both teabags AfterWet'!$C$3:$C$2000,MATCH(H299,'Both teabags AfterWet'!$A$3:$A$2000,0)),"")</f>
        <v>0.55969999999999998</v>
      </c>
      <c r="T299" s="194">
        <f>IFERROR(INDEX('Both teabags AfterWet'!$C$3:$C$2000,MATCH(I299,'Both teabags AfterWet'!$A$3:$A$2000,0)),"")</f>
        <v>1.3392999999999999</v>
      </c>
      <c r="U299" s="194">
        <f t="shared" si="47"/>
        <v>0.40909999999999996</v>
      </c>
      <c r="V299" s="194">
        <f t="shared" si="48"/>
        <v>1.1886999999999999</v>
      </c>
      <c r="W299" s="194">
        <f>IFERROR(INDEX('Ashed teabags wet'!$K$2:$K$2000,MATCH(H299,'Ashed teabags wet'!$A$2:$A$2000,0)),"")</f>
        <v>9.5283926852740137</v>
      </c>
      <c r="X299" s="237">
        <f>IFERROR(INDEX('Ashed teabags wet'!$K$2:$K$2000,MATCH(I299,'Ashed teabags wet'!$A$2:$A$2000,0)),"")</f>
        <v>4.9578582052553344</v>
      </c>
      <c r="Y299" s="194">
        <f t="shared" si="53"/>
        <v>0.37011934552454395</v>
      </c>
      <c r="Z299" s="194">
        <f t="shared" si="53"/>
        <v>1.1297659395141297</v>
      </c>
      <c r="AA299" s="194">
        <f t="shared" si="49"/>
        <v>0.78069539253439535</v>
      </c>
      <c r="AB299" s="194">
        <f t="shared" si="50"/>
        <v>0.51180980603205017</v>
      </c>
      <c r="AC299" s="194">
        <f t="shared" si="42"/>
        <v>0.60241001406610606</v>
      </c>
      <c r="AD299">
        <f t="shared" si="43"/>
        <v>52</v>
      </c>
      <c r="AE299" s="194">
        <f t="shared" si="51"/>
        <v>7.2808322405706227E-2</v>
      </c>
      <c r="AF299" s="194">
        <f t="shared" si="52"/>
        <v>2.8842850870079397E-2</v>
      </c>
      <c r="AG299" s="252" t="str">
        <f>IF(ISNUMBER(SEARCH("C",'WetLitterbags placem_collection'!$Y6)),"YES","NO")</f>
        <v>NO</v>
      </c>
      <c r="AH299" s="252" t="str">
        <f>IF(ISNUMBER(SEARCH("H", 'WetLitterbags placem_collection'!$Y6)),"YES","NO")</f>
        <v>NO</v>
      </c>
      <c r="AI299" s="252" t="str">
        <f>IF(ISNUMBER(SEARCH("R", 'WetLitterbags placem_collection'!$Y6)),"YES","NO")</f>
        <v>NO</v>
      </c>
      <c r="AJ299" s="252" t="str">
        <f>IF(ISNUMBER(SEARCH("C", 'WetLitterbags placem_collection'!$W6)),"YES","NO")</f>
        <v>NO</v>
      </c>
      <c r="AK299" s="252" t="str">
        <f>IF(ISNUMBER(SEARCH("H", 'WetLitterbags placem_collection'!$W6)),"YES","NO")</f>
        <v>NO</v>
      </c>
      <c r="AL299" s="252" t="str">
        <f>IF(ISNUMBER(SEARCH("R", 'WetLitterbags placem_collection'!$W6)),"YES","NO")</f>
        <v>YES</v>
      </c>
    </row>
    <row r="300" spans="1:39">
      <c r="B300" t="str">
        <f>'Final data_for_R_analysis_Wetse'!A446</f>
        <v>Wet</v>
      </c>
      <c r="C300" s="260">
        <f>'Final data_for_R_analysis_Wetse'!B446</f>
        <v>5</v>
      </c>
      <c r="D300" t="s">
        <v>3798</v>
      </c>
      <c r="E300" t="s">
        <v>25</v>
      </c>
      <c r="F300" s="382">
        <v>5</v>
      </c>
      <c r="G300" s="16">
        <f>'WetLitterbags placem_collection'!E7</f>
        <v>42766</v>
      </c>
      <c r="H300" s="92" t="str">
        <f>'Final data_for_R_analysis_Wetse'!K446</f>
        <v>G577</v>
      </c>
      <c r="I300" t="str">
        <f>'Final data_for_R_analysis_Wetse'!K666</f>
        <v>R38</v>
      </c>
      <c r="J300">
        <f>IFERROR(INDEX('Green_rooibos initial weight'!$C$5:$C$2000,MATCH(H300, 'Green_rooibos initial weight'!$A$5:$A$2000,0)),"")</f>
        <v>1.9830000000000001</v>
      </c>
      <c r="K300">
        <f>IFERROR(INDEX('Green_rooibos initial weight'!$C$5:$C$2000,MATCH(I300, 'Green_rooibos initial weight'!$A$5:$A$2000,0)),"")</f>
        <v>2.12</v>
      </c>
      <c r="L300" s="194">
        <f t="shared" si="54"/>
        <v>1.7332000000000001</v>
      </c>
      <c r="M300" s="194">
        <f>AVERAGE(Ashed_controlls!$K$2:$K$11)</f>
        <v>5.5147656768714146</v>
      </c>
      <c r="N300" s="194">
        <f t="shared" si="41"/>
        <v>1.6376180812884646</v>
      </c>
      <c r="O300" s="194">
        <f t="shared" si="45"/>
        <v>1.8702000000000001</v>
      </c>
      <c r="P300" s="194">
        <f>AVERAGE(Ashed_controlls!$K$12:$K$14)</f>
        <v>2.2816647271287041</v>
      </c>
      <c r="Q300" s="194">
        <f t="shared" si="46"/>
        <v>1.827528306273239</v>
      </c>
      <c r="R300" s="16">
        <f>IF('WetLitterbags placem_collection'!G7="","",'WetLitterbags placem_collection'!G7)</f>
        <v>42818</v>
      </c>
      <c r="S300" s="194">
        <f>IFERROR(INDEX('Both teabags AfterWet'!$C$3:$C$2000,MATCH(H300,'Both teabags AfterWet'!$A$3:$A$2000,0)),"")</f>
        <v>0.41870000000000002</v>
      </c>
      <c r="T300" s="194">
        <f>IFERROR(INDEX('Both teabags AfterWet'!$C$3:$C$2000,MATCH(I300,'Both teabags AfterWet'!$A$3:$A$2000,0)),"")</f>
        <v>1.2627999999999999</v>
      </c>
      <c r="U300" s="194">
        <f t="shared" si="47"/>
        <v>0.2681</v>
      </c>
      <c r="V300" s="194">
        <f t="shared" si="48"/>
        <v>1.1121999999999999</v>
      </c>
      <c r="W300" s="194">
        <f>IFERROR(INDEX('Ashed teabags wet'!$K$2:$K$2000,MATCH(H300,'Ashed teabags wet'!$A$2:$A$2000,0)),"")</f>
        <v>14.349775784752945</v>
      </c>
      <c r="X300" s="237">
        <f>IFERROR(INDEX('Ashed teabags wet'!$K$2:$K$2000,MATCH(I300,'Ashed teabags wet'!$A$2:$A$2000,0)),"")</f>
        <v>5.8070866141733264</v>
      </c>
      <c r="Y300" s="194">
        <f t="shared" si="53"/>
        <v>0.22962825112107738</v>
      </c>
      <c r="Z300" s="194">
        <f t="shared" si="53"/>
        <v>1.0476135826771642</v>
      </c>
      <c r="AA300" s="194">
        <f t="shared" si="49"/>
        <v>0.85977911837636301</v>
      </c>
      <c r="AB300" s="194">
        <f t="shared" si="50"/>
        <v>0.56365566905433784</v>
      </c>
      <c r="AC300" s="194">
        <f t="shared" si="42"/>
        <v>0.57324068747996315</v>
      </c>
      <c r="AD300">
        <f t="shared" si="43"/>
        <v>52</v>
      </c>
      <c r="AE300" s="194">
        <f t="shared" si="51"/>
        <v>-2.1115342489742339E-2</v>
      </c>
      <c r="AF300" s="194">
        <f t="shared" si="52"/>
        <v>2.7215758294663123E-2</v>
      </c>
      <c r="AG300" s="252" t="str">
        <f>IF(ISNUMBER(SEARCH("C",'WetLitterbags placem_collection'!$Y7)),"YES","NO")</f>
        <v>NO</v>
      </c>
      <c r="AH300" s="252" t="str">
        <f>IF(ISNUMBER(SEARCH("H", 'WetLitterbags placem_collection'!$Y7)),"YES","NO")</f>
        <v>NO</v>
      </c>
      <c r="AI300" s="252" t="str">
        <f>IF(ISNUMBER(SEARCH("R", 'WetLitterbags placem_collection'!$Y7)),"YES","NO")</f>
        <v>NO</v>
      </c>
      <c r="AJ300" s="252" t="str">
        <f>IF(ISNUMBER(SEARCH("C", 'WetLitterbags placem_collection'!$W7)),"YES","NO")</f>
        <v>NO</v>
      </c>
      <c r="AK300" s="252" t="str">
        <f>IF(ISNUMBER(SEARCH("H", 'WetLitterbags placem_collection'!$W7)),"YES","NO")</f>
        <v>NO</v>
      </c>
      <c r="AL300" s="252" t="str">
        <f>IF(ISNUMBER(SEARCH("R", 'WetLitterbags placem_collection'!$W7)),"YES","NO")</f>
        <v>NO</v>
      </c>
    </row>
    <row r="301" spans="1:39">
      <c r="B301" t="str">
        <f>'Final data_for_R_analysis_Wetse'!A447</f>
        <v>Wet</v>
      </c>
      <c r="C301" s="260">
        <f>'Final data_for_R_analysis_Wetse'!B447</f>
        <v>6</v>
      </c>
      <c r="D301" t="s">
        <v>3798</v>
      </c>
      <c r="E301" t="s">
        <v>25</v>
      </c>
      <c r="F301" s="382">
        <v>6</v>
      </c>
      <c r="G301" s="16">
        <f>'WetLitterbags placem_collection'!E8</f>
        <v>42766</v>
      </c>
      <c r="H301" s="92" t="str">
        <f>'Final data_for_R_analysis_Wetse'!K447</f>
        <v>G634</v>
      </c>
      <c r="I301" t="str">
        <f>'Final data_for_R_analysis_Wetse'!K667</f>
        <v>R59</v>
      </c>
      <c r="J301">
        <f>IFERROR(INDEX('Green_rooibos initial weight'!$C$5:$C$2000,MATCH(H301, 'Green_rooibos initial weight'!$A$5:$A$2000,0)),"")</f>
        <v>2.02</v>
      </c>
      <c r="K301">
        <f>IFERROR(INDEX('Green_rooibos initial weight'!$C$5:$C$2000,MATCH(I301, 'Green_rooibos initial weight'!$A$5:$A$2000,0)),"")</f>
        <v>2.2029999999999998</v>
      </c>
      <c r="L301" s="194">
        <f t="shared" si="54"/>
        <v>1.7702</v>
      </c>
      <c r="M301" s="194">
        <f>AVERAGE(Ashed_controlls!$K$2:$K$11)</f>
        <v>5.5147656768714146</v>
      </c>
      <c r="N301" s="194">
        <f t="shared" si="41"/>
        <v>1.6725776179880223</v>
      </c>
      <c r="O301" s="194">
        <f t="shared" si="45"/>
        <v>1.9531999999999998</v>
      </c>
      <c r="P301" s="194">
        <f>AVERAGE(Ashed_controlls!$K$12:$K$14)</f>
        <v>2.2816647271287041</v>
      </c>
      <c r="Q301" s="194">
        <f t="shared" si="46"/>
        <v>1.908634524549722</v>
      </c>
      <c r="R301" s="16">
        <f>IF('WetLitterbags placem_collection'!G8="","",'WetLitterbags placem_collection'!G8)</f>
        <v>42818</v>
      </c>
      <c r="S301" s="194">
        <f>IFERROR(INDEX('Both teabags AfterWet'!$C$3:$C$2000,MATCH(H301,'Both teabags AfterWet'!$A$3:$A$2000,0)),"")</f>
        <v>0.60129999999999995</v>
      </c>
      <c r="T301" s="194">
        <f>IFERROR(INDEX('Both teabags AfterWet'!$C$3:$C$2000,MATCH(I301,'Both teabags AfterWet'!$A$3:$A$2000,0)),"")</f>
        <v>1.4990000000000001</v>
      </c>
      <c r="U301" s="194">
        <f t="shared" si="47"/>
        <v>0.45069999999999993</v>
      </c>
      <c r="V301" s="194">
        <f t="shared" si="48"/>
        <v>1.3484</v>
      </c>
      <c r="W301" s="194">
        <f>IFERROR(INDEX('Ashed teabags wet'!$K$2:$K$2000,MATCH(H301,'Ashed teabags wet'!$A$2:$A$2000,0)),"")</f>
        <v>9.6630327056488774</v>
      </c>
      <c r="X301" s="237">
        <f>IFERROR(INDEX('Ashed teabags wet'!$K$2:$K$2000,MATCH(I301,'Ashed teabags wet'!$A$2:$A$2000,0)),"")</f>
        <v>5.3641732283467132</v>
      </c>
      <c r="Y301" s="194">
        <f t="shared" si="53"/>
        <v>0.40714871159564048</v>
      </c>
      <c r="Z301" s="194">
        <f t="shared" si="53"/>
        <v>1.2760694881889729</v>
      </c>
      <c r="AA301" s="194">
        <f t="shared" si="49"/>
        <v>0.75657410022895799</v>
      </c>
      <c r="AB301" s="194">
        <f t="shared" si="50"/>
        <v>0.49599632224036205</v>
      </c>
      <c r="AC301" s="194">
        <f t="shared" si="42"/>
        <v>0.66857718006018907</v>
      </c>
      <c r="AD301">
        <f t="shared" si="43"/>
        <v>52</v>
      </c>
      <c r="AE301" s="194">
        <f t="shared" si="51"/>
        <v>0.10145593797035868</v>
      </c>
      <c r="AF301" s="194">
        <f t="shared" si="52"/>
        <v>2.121560036449471E-2</v>
      </c>
      <c r="AG301" s="252" t="str">
        <f>IF(ISNUMBER(SEARCH("C",'WetLitterbags placem_collection'!$Y8)),"YES","NO")</f>
        <v>NO</v>
      </c>
      <c r="AH301" s="252" t="str">
        <f>IF(ISNUMBER(SEARCH("H", 'WetLitterbags placem_collection'!$Y8)),"YES","NO")</f>
        <v>NO</v>
      </c>
      <c r="AI301" s="252" t="str">
        <f>IF(ISNUMBER(SEARCH("R", 'WetLitterbags placem_collection'!$Y8)),"YES","NO")</f>
        <v>YES</v>
      </c>
      <c r="AJ301" s="252" t="str">
        <f>IF(ISNUMBER(SEARCH("C", 'WetLitterbags placem_collection'!$W8)),"YES","NO")</f>
        <v>NO</v>
      </c>
      <c r="AK301" s="252" t="str">
        <f>IF(ISNUMBER(SEARCH("H", 'WetLitterbags placem_collection'!$W8)),"YES","NO")</f>
        <v>NO</v>
      </c>
      <c r="AL301" s="252" t="str">
        <f>IF(ISNUMBER(SEARCH("R", 'WetLitterbags placem_collection'!$W8)),"YES","NO")</f>
        <v>YES</v>
      </c>
    </row>
    <row r="302" spans="1:39">
      <c r="B302" t="str">
        <f>'Final data_for_R_analysis_Wetse'!A448</f>
        <v>Wet</v>
      </c>
      <c r="C302" s="260">
        <f>'Final data_for_R_analysis_Wetse'!B448</f>
        <v>7</v>
      </c>
      <c r="D302" t="s">
        <v>3798</v>
      </c>
      <c r="E302" t="s">
        <v>25</v>
      </c>
      <c r="F302" s="382">
        <v>7</v>
      </c>
      <c r="G302" s="16">
        <f>'WetLitterbags placem_collection'!E9</f>
        <v>42766</v>
      </c>
      <c r="H302" s="92" t="str">
        <f>'Final data_for_R_analysis_Wetse'!K448</f>
        <v>G665</v>
      </c>
      <c r="I302" t="str">
        <f>'Final data_for_R_analysis_Wetse'!K668</f>
        <v>R398</v>
      </c>
      <c r="J302">
        <f>IFERROR(INDEX('Green_rooibos initial weight'!$C$5:$C$2000,MATCH(H302, 'Green_rooibos initial weight'!$A$5:$A$2000,0)),"")</f>
        <v>2.09</v>
      </c>
      <c r="K302">
        <f>IFERROR(INDEX('Green_rooibos initial weight'!$C$5:$C$2000,MATCH(I302, 'Green_rooibos initial weight'!$A$5:$A$2000,0)),"")</f>
        <v>2.19</v>
      </c>
      <c r="L302" s="194">
        <f t="shared" si="54"/>
        <v>1.8401999999999998</v>
      </c>
      <c r="M302" s="194">
        <f>AVERAGE(Ashed_controlls!$K$2:$K$11)</f>
        <v>5.5147656768714146</v>
      </c>
      <c r="N302" s="194">
        <f t="shared" si="41"/>
        <v>1.7387172820142121</v>
      </c>
      <c r="O302" s="194">
        <f t="shared" si="45"/>
        <v>1.9401999999999999</v>
      </c>
      <c r="P302" s="194">
        <f>AVERAGE(Ashed_controlls!$K$12:$K$14)</f>
        <v>2.2816647271287041</v>
      </c>
      <c r="Q302" s="194">
        <f t="shared" si="46"/>
        <v>1.8959311409642488</v>
      </c>
      <c r="R302" s="16">
        <f>IF('WetLitterbags placem_collection'!G9="","",'WetLitterbags placem_collection'!G9)</f>
        <v>42818</v>
      </c>
      <c r="S302" s="194">
        <f>IFERROR(INDEX('Both teabags AfterWet'!$C$3:$C$2000,MATCH(H302,'Both teabags AfterWet'!$A$3:$A$2000,0)),"")</f>
        <v>0.56399999999999995</v>
      </c>
      <c r="T302" s="194">
        <f>IFERROR(INDEX('Both teabags AfterWet'!$C$3:$C$2000,MATCH(I302,'Both teabags AfterWet'!$A$3:$A$2000,0)),"")</f>
        <v>1.518</v>
      </c>
      <c r="U302" s="194">
        <f t="shared" si="47"/>
        <v>0.41339999999999993</v>
      </c>
      <c r="V302" s="194">
        <f t="shared" si="48"/>
        <v>1.3673999999999999</v>
      </c>
      <c r="W302" s="194">
        <f>IFERROR(INDEX('Ashed teabags wet'!$K$2:$K$2000,MATCH(H302,'Ashed teabags wet'!$A$2:$A$2000,0)),"")</f>
        <v>10.694923607688283</v>
      </c>
      <c r="X302" s="237">
        <f>IFERROR(INDEX('Ashed teabags wet'!$K$2:$K$2000,MATCH(I302,'Ashed teabags wet'!$A$2:$A$2000,0)),"")</f>
        <v>3.7092731829574301</v>
      </c>
      <c r="Y302" s="194">
        <f t="shared" si="53"/>
        <v>0.36918718580581655</v>
      </c>
      <c r="Z302" s="194">
        <f t="shared" si="53"/>
        <v>1.3166793984962402</v>
      </c>
      <c r="AA302" s="194">
        <f t="shared" si="49"/>
        <v>0.78766692571311381</v>
      </c>
      <c r="AB302" s="194">
        <f t="shared" si="50"/>
        <v>0.5163802173321127</v>
      </c>
      <c r="AC302" s="194">
        <f t="shared" si="42"/>
        <v>0.69447638157712421</v>
      </c>
      <c r="AD302">
        <f t="shared" si="43"/>
        <v>52</v>
      </c>
      <c r="AE302" s="194">
        <f t="shared" si="51"/>
        <v>6.452859178965098E-2</v>
      </c>
      <c r="AF302" s="194">
        <f t="shared" si="52"/>
        <v>1.7224328327475811E-2</v>
      </c>
      <c r="AG302" s="252" t="str">
        <f>IF(ISNUMBER(SEARCH("C",'WetLitterbags placem_collection'!$Y9)),"YES","NO")</f>
        <v>NO</v>
      </c>
      <c r="AH302" s="252" t="str">
        <f>IF(ISNUMBER(SEARCH("H", 'WetLitterbags placem_collection'!$Y9)),"YES","NO")</f>
        <v>NO</v>
      </c>
      <c r="AI302" s="252" t="str">
        <f>IF(ISNUMBER(SEARCH("R", 'WetLitterbags placem_collection'!$Y9)),"YES","NO")</f>
        <v>YES</v>
      </c>
      <c r="AJ302" s="252" t="str">
        <f>IF(ISNUMBER(SEARCH("C", 'WetLitterbags placem_collection'!$W9)),"YES","NO")</f>
        <v>NO</v>
      </c>
      <c r="AK302" s="252" t="str">
        <f>IF(ISNUMBER(SEARCH("H", 'WetLitterbags placem_collection'!$W9)),"YES","NO")</f>
        <v>NO</v>
      </c>
      <c r="AL302" s="252" t="str">
        <f>IF(ISNUMBER(SEARCH("R", 'WetLitterbags placem_collection'!$W9)),"YES","NO")</f>
        <v>NO</v>
      </c>
    </row>
    <row r="303" spans="1:39">
      <c r="B303" t="str">
        <f>'Final data_for_R_analysis_Wetse'!A449</f>
        <v>Wet</v>
      </c>
      <c r="C303" s="260">
        <f>'Final data_for_R_analysis_Wetse'!B449</f>
        <v>8</v>
      </c>
      <c r="D303" t="s">
        <v>3798</v>
      </c>
      <c r="E303" t="s">
        <v>25</v>
      </c>
      <c r="F303" s="382">
        <v>8</v>
      </c>
      <c r="G303" s="16">
        <f>'WetLitterbags placem_collection'!E10</f>
        <v>42766</v>
      </c>
      <c r="H303" s="92" t="str">
        <f>'Final data_for_R_analysis_Wetse'!K449</f>
        <v>G701</v>
      </c>
      <c r="I303" t="str">
        <f>'Final data_for_R_analysis_Wetse'!K669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54"/>
        <v>1.6661999999999999</v>
      </c>
      <c r="M303" s="194">
        <f>AVERAGE(Ashed_controlls!$K$2:$K$11)</f>
        <v>5.5147656768714146</v>
      </c>
      <c r="N303" s="194">
        <f t="shared" si="41"/>
        <v>1.5743129742919684</v>
      </c>
      <c r="O303" s="194">
        <f t="shared" si="45"/>
        <v>1.9011999999999998</v>
      </c>
      <c r="P303" s="194">
        <f>AVERAGE(Ashed_controlls!$K$12:$K$14)</f>
        <v>2.2816647271287041</v>
      </c>
      <c r="Q303" s="194">
        <f t="shared" si="46"/>
        <v>1.8578209902078289</v>
      </c>
      <c r="R303" s="16">
        <f>IF('WetLitterbags placem_collection'!G10="","",'WetLitterbags placem_collection'!G10)</f>
        <v>42818</v>
      </c>
      <c r="S303" s="194">
        <f>IFERROR(INDEX('Both teabags AfterWet'!$C$3:$C$2000,MATCH(H303,'Both teabags AfterWet'!$A$3:$A$2000,0)),"")</f>
        <v>0.59260000000000002</v>
      </c>
      <c r="T303" s="194">
        <f>IFERROR(INDEX('Both teabags AfterWet'!$C$3:$C$2000,MATCH(I303,'Both teabags AfterWet'!$A$3:$A$2000,0)),"")</f>
        <v>1.4733000000000001</v>
      </c>
      <c r="U303" s="194">
        <f t="shared" si="47"/>
        <v>0.442</v>
      </c>
      <c r="V303" s="194">
        <f t="shared" si="48"/>
        <v>1.3227</v>
      </c>
      <c r="W303" s="194">
        <f>IFERROR(INDEX('Ashed teabags wet'!$K$2:$K$2000,MATCH(H303,'Ashed teabags wet'!$A$2:$A$2000,0)),"")</f>
        <v>8.8163662932295175</v>
      </c>
      <c r="X303" s="237">
        <f>IFERROR(INDEX('Ashed teabags wet'!$K$2:$K$2000,MATCH(I303,'Ashed teabags wet'!$A$2:$A$2000,0)),"")</f>
        <v>3.0097087378641909</v>
      </c>
      <c r="Y303" s="194">
        <f t="shared" si="53"/>
        <v>0.40303166098392551</v>
      </c>
      <c r="Z303" s="194">
        <f t="shared" si="53"/>
        <v>1.2828905825242702</v>
      </c>
      <c r="AA303" s="194">
        <f t="shared" si="49"/>
        <v>0.74399521088544351</v>
      </c>
      <c r="AB303" s="194">
        <f t="shared" si="50"/>
        <v>0.48774982946409129</v>
      </c>
      <c r="AC303" s="194">
        <f t="shared" si="42"/>
        <v>0.69053508884123282</v>
      </c>
      <c r="AD303">
        <f t="shared" si="43"/>
        <v>52</v>
      </c>
      <c r="AE303" s="194">
        <f t="shared" si="51"/>
        <v>0.11639523647809558</v>
      </c>
      <c r="AF303" s="194">
        <f t="shared" si="52"/>
        <v>1.9354224896821499E-2</v>
      </c>
      <c r="AG303" s="252" t="str">
        <f>IF(ISNUMBER(SEARCH("C",'WetLitterbags placem_collection'!$Y10)),"YES","NO")</f>
        <v>NO</v>
      </c>
      <c r="AH303" s="252" t="str">
        <f>IF(ISNUMBER(SEARCH("H", 'WetLitterbags placem_collection'!$Y10)),"YES","NO")</f>
        <v>NO</v>
      </c>
      <c r="AI303" s="252" t="str">
        <f>IF(ISNUMBER(SEARCH("R", 'WetLitterbags placem_collection'!$Y10)),"YES","NO")</f>
        <v>NO</v>
      </c>
      <c r="AJ303" s="252" t="str">
        <f>IF(ISNUMBER(SEARCH("C", 'WetLitterbags placem_collection'!$W10)),"YES","NO")</f>
        <v>NO</v>
      </c>
      <c r="AK303" s="252" t="str">
        <f>IF(ISNUMBER(SEARCH("H", 'WetLitterbags placem_collection'!$W10)),"YES","NO")</f>
        <v>NO</v>
      </c>
      <c r="AL303" s="252" t="str">
        <f>IF(ISNUMBER(SEARCH("R", 'WetLitterbags placem_collection'!$W10)),"YES","NO")</f>
        <v>YES</v>
      </c>
    </row>
    <row r="304" spans="1:39">
      <c r="B304" t="str">
        <f>'Final data_for_R_analysis_Wetse'!A450</f>
        <v>Wet</v>
      </c>
      <c r="C304" s="260">
        <f>'Final data_for_R_analysis_Wetse'!B450</f>
        <v>9</v>
      </c>
      <c r="D304" t="s">
        <v>3802</v>
      </c>
      <c r="E304" t="s">
        <v>25</v>
      </c>
      <c r="F304" s="381">
        <v>1</v>
      </c>
      <c r="G304" s="16">
        <f>'WetLitterbags placem_collection'!E11</f>
        <v>42766</v>
      </c>
      <c r="H304" s="92" t="str">
        <f>'Final data_for_R_analysis_Wetse'!K450</f>
        <v>G476</v>
      </c>
      <c r="I304" t="str">
        <f>'Final data_for_R_analysis_Wetse'!K670</f>
        <v>R101</v>
      </c>
      <c r="J304">
        <f>IFERROR(INDEX('Green_rooibos initial weight'!$C$5:$C$2000,MATCH(H304, 'Green_rooibos initial weight'!$A$5:$A$2000,0)),"")</f>
        <v>2.121</v>
      </c>
      <c r="K304">
        <f>IFERROR(INDEX('Green_rooibos initial weight'!$C$5:$C$2000,MATCH(I304, 'Green_rooibos initial weight'!$A$5:$A$2000,0)),"")</f>
        <v>2.3039999999999998</v>
      </c>
      <c r="L304" s="194">
        <f t="shared" si="54"/>
        <v>1.8712</v>
      </c>
      <c r="M304" s="194">
        <f>AVERAGE(Ashed_controlls!$K$2:$K$11)</f>
        <v>5.5147656768714146</v>
      </c>
      <c r="N304" s="194">
        <f t="shared" si="41"/>
        <v>1.7680077046543821</v>
      </c>
      <c r="O304" s="194">
        <f t="shared" si="45"/>
        <v>2.0541999999999998</v>
      </c>
      <c r="P304" s="194">
        <f>AVERAGE(Ashed_controlls!$K$12:$K$14)</f>
        <v>2.2816647271287041</v>
      </c>
      <c r="Q304" s="194">
        <f t="shared" si="46"/>
        <v>2.007330043175322</v>
      </c>
      <c r="R304" s="16">
        <f>IF('WetLitterbags placem_collection'!G11="","",'WetLitterbags placem_collection'!G11)</f>
        <v>42818</v>
      </c>
      <c r="S304" s="194">
        <f>IFERROR(INDEX('Both teabags AfterWet'!$C$3:$C$2000,MATCH(H304,'Both teabags AfterWet'!$A$3:$A$2000,0)),"")</f>
        <v>0.66479999999999995</v>
      </c>
      <c r="T304" s="194">
        <f>IFERROR(INDEX('Both teabags AfterWet'!$C$3:$C$2000,MATCH(I304,'Both teabags AfterWet'!$A$3:$A$2000,0)),"")</f>
        <v>1.5383</v>
      </c>
      <c r="U304" s="194">
        <f t="shared" si="47"/>
        <v>0.51419999999999999</v>
      </c>
      <c r="V304" s="194">
        <f t="shared" si="48"/>
        <v>1.3876999999999999</v>
      </c>
      <c r="W304" s="194">
        <f>IFERROR(INDEX('Ashed teabags wet'!$K$2:$K$2000,MATCH(H304,'Ashed teabags wet'!$A$2:$A$2000,0)),"")</f>
        <v>18.05555555555533</v>
      </c>
      <c r="X304" s="237">
        <f>IFERROR(INDEX('Ashed teabags wet'!$K$2:$K$2000,MATCH(I304,'Ashed teabags wet'!$A$2:$A$2000,0)),"")</f>
        <v>6.1446977205149187</v>
      </c>
      <c r="Y304" s="194">
        <f t="shared" si="53"/>
        <v>0.4213583333333345</v>
      </c>
      <c r="Z304" s="194">
        <f t="shared" si="53"/>
        <v>1.3024300297324145</v>
      </c>
      <c r="AA304" s="194">
        <f t="shared" si="49"/>
        <v>0.76167618940568849</v>
      </c>
      <c r="AB304" s="194">
        <f t="shared" si="50"/>
        <v>0.49934115980040394</v>
      </c>
      <c r="AC304" s="194">
        <f t="shared" si="42"/>
        <v>0.64883701320593401</v>
      </c>
      <c r="AD304">
        <f t="shared" si="43"/>
        <v>52</v>
      </c>
      <c r="AE304" s="194">
        <f t="shared" si="51"/>
        <v>9.5396449636949487E-2</v>
      </c>
      <c r="AF304" s="194">
        <f t="shared" si="52"/>
        <v>2.3362963995435953E-2</v>
      </c>
      <c r="AG304" s="252" t="str">
        <f>IF(ISNUMBER(SEARCH("C",'WetLitterbags placem_collection'!$Y11)),"YES","NO")</f>
        <v>NO</v>
      </c>
      <c r="AH304" s="252" t="str">
        <f>IF(ISNUMBER(SEARCH("H", 'WetLitterbags placem_collection'!$Y11)),"YES","NO")</f>
        <v>NO</v>
      </c>
      <c r="AI304" s="252" t="str">
        <f>IF(ISNUMBER(SEARCH("R", 'WetLitterbags placem_collection'!$Y11)),"YES","NO")</f>
        <v>NO</v>
      </c>
      <c r="AJ304" s="252" t="str">
        <f>IF(ISNUMBER(SEARCH("C", 'WetLitterbags placem_collection'!$W11)),"YES","NO")</f>
        <v>YES</v>
      </c>
      <c r="AK304" s="252" t="str">
        <f>IF(ISNUMBER(SEARCH("H", 'WetLitterbags placem_collection'!$W11)),"YES","NO")</f>
        <v>YES</v>
      </c>
      <c r="AL304" s="252" t="str">
        <f>IF(ISNUMBER(SEARCH("R", 'WetLitterbags placem_collection'!$W11)),"YES","NO")</f>
        <v>NO</v>
      </c>
    </row>
    <row r="305" spans="2:38">
      <c r="B305" t="str">
        <f>'Final data_for_R_analysis_Wetse'!A451</f>
        <v>Wet</v>
      </c>
      <c r="C305" s="260">
        <f>'Final data_for_R_analysis_Wetse'!B451</f>
        <v>10</v>
      </c>
      <c r="D305" t="s">
        <v>3802</v>
      </c>
      <c r="E305" t="s">
        <v>25</v>
      </c>
      <c r="F305" s="381">
        <v>2</v>
      </c>
      <c r="G305" s="16">
        <f>'WetLitterbags placem_collection'!E12</f>
        <v>42766</v>
      </c>
      <c r="H305" s="92" t="str">
        <f>'Final data_for_R_analysis_Wetse'!K451</f>
        <v>G606</v>
      </c>
      <c r="I305" t="str">
        <f>'Final data_for_R_analysis_Wetse'!K671</f>
        <v>R515</v>
      </c>
      <c r="J305">
        <f>IFERROR(INDEX('Green_rooibos initial weight'!$C$5:$C$2000,MATCH(H305, 'Green_rooibos initial weight'!$A$5:$A$2000,0)),"")</f>
        <v>1.921</v>
      </c>
      <c r="K305">
        <f>IFERROR(INDEX('Green_rooibos initial weight'!$C$5:$C$2000,MATCH(I305, 'Green_rooibos initial weight'!$A$5:$A$2000,0)),"")</f>
        <v>2.2050000000000001</v>
      </c>
      <c r="L305" s="194">
        <f t="shared" si="54"/>
        <v>1.6712</v>
      </c>
      <c r="M305" s="194">
        <f>AVERAGE(Ashed_controlls!$K$2:$K$11)</f>
        <v>5.5147656768714146</v>
      </c>
      <c r="N305" s="194">
        <f t="shared" si="41"/>
        <v>1.5790372360081248</v>
      </c>
      <c r="O305" s="194">
        <f t="shared" si="45"/>
        <v>1.9552</v>
      </c>
      <c r="P305" s="194">
        <f>AVERAGE(Ashed_controlls!$K$12:$K$14)</f>
        <v>2.2816647271287041</v>
      </c>
      <c r="Q305" s="194">
        <f t="shared" si="46"/>
        <v>1.9105888912551796</v>
      </c>
      <c r="R305" s="16">
        <f>IF('WetLitterbags placem_collection'!G12="","",'WetLitterbags placem_collection'!G12)</f>
        <v>42818</v>
      </c>
      <c r="S305" s="194">
        <f>IFERROR(INDEX('Both teabags AfterWet'!$C$3:$C$2000,MATCH(H305,'Both teabags AfterWet'!$A$3:$A$2000,0)),"")</f>
        <v>0.63539999999999996</v>
      </c>
      <c r="T305" s="194">
        <f>IFERROR(INDEX('Both teabags AfterWet'!$C$3:$C$2000,MATCH(I305,'Both teabags AfterWet'!$A$3:$A$2000,0)),"")</f>
        <v>1.3853</v>
      </c>
      <c r="U305" s="194">
        <f t="shared" si="47"/>
        <v>0.48479999999999995</v>
      </c>
      <c r="V305" s="194">
        <f t="shared" si="48"/>
        <v>1.2346999999999999</v>
      </c>
      <c r="W305" s="194">
        <f>IFERROR(INDEX('Ashed teabags wet'!$K$2:$K$2000,MATCH(H305,'Ashed teabags wet'!$A$2:$A$2000,0)),"")</f>
        <v>10.416666666666313</v>
      </c>
      <c r="X305" s="237">
        <f>IFERROR(INDEX('Ashed teabags wet'!$K$2:$K$2000,MATCH(I305,'Ashed teabags wet'!$A$2:$A$2000,0)),"")</f>
        <v>4.2016806722691449</v>
      </c>
      <c r="Y305" s="194">
        <f t="shared" si="53"/>
        <v>0.43430000000000168</v>
      </c>
      <c r="Z305" s="194">
        <f t="shared" si="53"/>
        <v>1.1828218487394928</v>
      </c>
      <c r="AA305" s="194">
        <f t="shared" si="49"/>
        <v>0.72495898760568112</v>
      </c>
      <c r="AB305" s="194">
        <f t="shared" si="50"/>
        <v>0.47527002512866512</v>
      </c>
      <c r="AC305" s="194">
        <f t="shared" si="42"/>
        <v>0.61908757773757739</v>
      </c>
      <c r="AD305">
        <f t="shared" si="43"/>
        <v>52</v>
      </c>
      <c r="AE305" s="194">
        <f t="shared" si="51"/>
        <v>0.13900357766546179</v>
      </c>
      <c r="AF305" s="194">
        <f t="shared" si="52"/>
        <v>3.1092139738141747E-2</v>
      </c>
      <c r="AG305" s="252" t="str">
        <f>IF(ISNUMBER(SEARCH("C",'WetLitterbags placem_collection'!$Y12)),"YES","NO")</f>
        <v>NO</v>
      </c>
      <c r="AH305" s="252" t="str">
        <f>IF(ISNUMBER(SEARCH("H", 'WetLitterbags placem_collection'!$Y12)),"YES","NO")</f>
        <v>NO</v>
      </c>
      <c r="AI305" s="252" t="str">
        <f>IF(ISNUMBER(SEARCH("R", 'WetLitterbags placem_collection'!$Y12)),"YES","NO")</f>
        <v>NO</v>
      </c>
      <c r="AJ305" s="252" t="str">
        <f>IF(ISNUMBER(SEARCH("C", 'WetLitterbags placem_collection'!$W12)),"YES","NO")</f>
        <v>NO</v>
      </c>
      <c r="AK305" s="252" t="str">
        <f>IF(ISNUMBER(SEARCH("H", 'WetLitterbags placem_collection'!$W12)),"YES","NO")</f>
        <v>NO</v>
      </c>
      <c r="AL305" s="252" t="str">
        <f>IF(ISNUMBER(SEARCH("R", 'WetLitterbags placem_collection'!$W12)),"YES","NO")</f>
        <v>NO</v>
      </c>
    </row>
    <row r="306" spans="2:38">
      <c r="B306" t="str">
        <f>'Final data_for_R_analysis_Wetse'!A452</f>
        <v>Wet</v>
      </c>
      <c r="C306" s="260">
        <f>'Final data_for_R_analysis_Wetse'!B452</f>
        <v>11</v>
      </c>
      <c r="D306" t="s">
        <v>3802</v>
      </c>
      <c r="E306" t="s">
        <v>25</v>
      </c>
      <c r="F306" s="381">
        <v>3</v>
      </c>
      <c r="G306" s="16">
        <f>'WetLitterbags placem_collection'!E13</f>
        <v>42766</v>
      </c>
      <c r="H306" s="92" t="str">
        <f>'Final data_for_R_analysis_Wetse'!K452</f>
        <v>G523</v>
      </c>
      <c r="I306" t="str">
        <f>'Final data_for_R_analysis_Wetse'!K672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54"/>
        <v>1.8921999999999999</v>
      </c>
      <c r="M306" s="194">
        <f>AVERAGE(Ashed_controlls!$K$2:$K$11)</f>
        <v>5.5147656768714146</v>
      </c>
      <c r="N306" s="194">
        <f t="shared" si="41"/>
        <v>1.7878496038622389</v>
      </c>
      <c r="O306" s="194">
        <f t="shared" si="45"/>
        <v>2.0181999999999998</v>
      </c>
      <c r="P306" s="194">
        <f>AVERAGE(Ashed_controlls!$K$12:$K$14)</f>
        <v>2.2816647271287041</v>
      </c>
      <c r="Q306" s="194">
        <f t="shared" si="46"/>
        <v>1.9721514424770883</v>
      </c>
      <c r="R306" s="16">
        <f>IF('WetLitterbags placem_collection'!G13="","",'WetLitterbags placem_collection'!G13)</f>
        <v>42818</v>
      </c>
      <c r="S306" s="194">
        <f>IFERROR(INDEX('Both teabags AfterWet'!$C$3:$C$2000,MATCH(H306,'Both teabags AfterWet'!$A$3:$A$2000,0)),"")</f>
        <v>0.63119999999999998</v>
      </c>
      <c r="T306" s="194">
        <f>IFERROR(INDEX('Both teabags AfterWet'!$C$3:$C$2000,MATCH(I306,'Both teabags AfterWet'!$A$3:$A$2000,0)),"")</f>
        <v>1.43</v>
      </c>
      <c r="U306" s="194">
        <f t="shared" si="47"/>
        <v>0.48059999999999997</v>
      </c>
      <c r="V306" s="194">
        <f t="shared" si="48"/>
        <v>1.2793999999999999</v>
      </c>
      <c r="W306" s="194">
        <f>IFERROR(INDEX('Ashed teabags wet'!$K$2:$K$2000,MATCH(H306,'Ashed teabags wet'!$A$2:$A$2000,0)),"")</f>
        <v>9.5734126984128558</v>
      </c>
      <c r="X306" s="237">
        <f>IFERROR(INDEX('Ashed teabags wet'!$K$2:$K$2000,MATCH(I306,'Ashed teabags wet'!$A$2:$A$2000,0)),"")</f>
        <v>4.6087373979834227</v>
      </c>
      <c r="Y306" s="194">
        <f t="shared" si="53"/>
        <v>0.43459017857142779</v>
      </c>
      <c r="Z306" s="194">
        <f t="shared" si="53"/>
        <v>1.2204358137302</v>
      </c>
      <c r="AA306" s="194">
        <f t="shared" si="49"/>
        <v>0.75692016955307906</v>
      </c>
      <c r="AB306" s="194">
        <f t="shared" si="50"/>
        <v>0.49622319904192363</v>
      </c>
      <c r="AC306" s="194">
        <f t="shared" si="42"/>
        <v>0.6188347342115329</v>
      </c>
      <c r="AD306">
        <f t="shared" si="43"/>
        <v>52</v>
      </c>
      <c r="AE306" s="194">
        <f t="shared" si="51"/>
        <v>0.10104492927187758</v>
      </c>
      <c r="AF306" s="194">
        <f t="shared" si="52"/>
        <v>2.8107501050733681E-2</v>
      </c>
      <c r="AG306" s="252" t="str">
        <f>IF(ISNUMBER(SEARCH("C",'WetLitterbags placem_collection'!$Y13)),"YES","NO")</f>
        <v>NO</v>
      </c>
      <c r="AH306" s="252" t="str">
        <f>IF(ISNUMBER(SEARCH("H", 'WetLitterbags placem_collection'!$Y13)),"YES","NO")</f>
        <v>NO</v>
      </c>
      <c r="AI306" s="252" t="str">
        <f>IF(ISNUMBER(SEARCH("R", 'WetLitterbags placem_collection'!$Y13)),"YES","NO")</f>
        <v>NO</v>
      </c>
      <c r="AJ306" s="252" t="str">
        <f>IF(ISNUMBER(SEARCH("C", 'WetLitterbags placem_collection'!$W13)),"YES","NO")</f>
        <v>NO</v>
      </c>
      <c r="AK306" s="252" t="str">
        <f>IF(ISNUMBER(SEARCH("H", 'WetLitterbags placem_collection'!$W13)),"YES","NO")</f>
        <v>NO</v>
      </c>
      <c r="AL306" s="252" t="str">
        <f>IF(ISNUMBER(SEARCH("R", 'WetLitterbags placem_collection'!$W13)),"YES","NO")</f>
        <v>NO</v>
      </c>
    </row>
    <row r="307" spans="2:38">
      <c r="B307" t="str">
        <f>'Final data_for_R_analysis_Wetse'!A453</f>
        <v>Wet</v>
      </c>
      <c r="C307" s="260">
        <f>'Final data_for_R_analysis_Wetse'!B453</f>
        <v>12</v>
      </c>
      <c r="D307" t="s">
        <v>3802</v>
      </c>
      <c r="E307" t="s">
        <v>25</v>
      </c>
      <c r="F307" s="382">
        <v>4</v>
      </c>
      <c r="G307" s="16">
        <f>'WetLitterbags placem_collection'!E14</f>
        <v>42766</v>
      </c>
      <c r="H307" s="92" t="str">
        <f>'Final data_for_R_analysis_Wetse'!K453</f>
        <v>G510</v>
      </c>
      <c r="I307" t="str">
        <f>'Final data_for_R_analysis_Wetse'!K673</f>
        <v>R123</v>
      </c>
      <c r="J307">
        <f>IFERROR(INDEX('Green_rooibos initial weight'!$C$5:$C$2000,MATCH(H307, 'Green_rooibos initial weight'!$A$5:$A$2000,0)),"")</f>
        <v>1.91</v>
      </c>
      <c r="K307">
        <f>IFERROR(INDEX('Green_rooibos initial weight'!$C$5:$C$2000,MATCH(I307, 'Green_rooibos initial weight'!$A$5:$A$2000,0)),"")</f>
        <v>2.2610000000000001</v>
      </c>
      <c r="L307" s="194">
        <f t="shared" si="54"/>
        <v>1.6601999999999999</v>
      </c>
      <c r="M307" s="194">
        <f>AVERAGE(Ashed_controlls!$K$2:$K$11)</f>
        <v>5.5147656768714146</v>
      </c>
      <c r="N307" s="194">
        <f t="shared" si="41"/>
        <v>1.5686438602325807</v>
      </c>
      <c r="O307" s="194">
        <f t="shared" si="45"/>
        <v>2.0112000000000001</v>
      </c>
      <c r="P307" s="194">
        <f>AVERAGE(Ashed_controlls!$K$12:$K$14)</f>
        <v>2.2816647271287041</v>
      </c>
      <c r="Q307" s="194">
        <f t="shared" si="46"/>
        <v>1.9653111590079877</v>
      </c>
      <c r="R307" s="16">
        <f>IF('WetLitterbags placem_collection'!G14="","",'WetLitterbags placem_collection'!G14)</f>
        <v>42818</v>
      </c>
      <c r="S307" s="194" t="str">
        <f>IFERROR(INDEX('Both teabags AfterWet'!$C$3:$C$2000,MATCH(H307,'Both teabags AfterWet'!$A$3:$A$2000,0)),"")</f>
        <v/>
      </c>
      <c r="T307" s="194" t="str">
        <f>IFERROR(INDEX('Both teabags AfterWet'!$C$3:$C$2000,MATCH(I307,'Both teabags AfterWet'!$A$3:$A$2000,0)),"")</f>
        <v/>
      </c>
      <c r="U307" s="194" t="str">
        <f t="shared" si="47"/>
        <v/>
      </c>
      <c r="V307" s="194" t="str">
        <f t="shared" si="48"/>
        <v/>
      </c>
      <c r="W307" s="194" t="str">
        <f>IFERROR(INDEX('Ashed teabags wet'!$K$2:$K$2000,MATCH(H307,'Ashed teabags wet'!$A$2:$A$2000,0)),"")</f>
        <v/>
      </c>
      <c r="X307" s="237" t="str">
        <f>IFERROR(INDEX('Ashed teabags wet'!$K$2:$K$2000,MATCH(I307,'Ashed teabags wet'!$A$2:$A$2000,0)),"")</f>
        <v/>
      </c>
      <c r="Y307" s="194" t="str">
        <f t="shared" si="53"/>
        <v/>
      </c>
      <c r="Z307" s="194" t="str">
        <f t="shared" si="53"/>
        <v/>
      </c>
      <c r="AA307" s="194" t="str">
        <f t="shared" si="49"/>
        <v/>
      </c>
      <c r="AB307" s="194" t="str">
        <f t="shared" si="50"/>
        <v/>
      </c>
      <c r="AC307" s="194" t="str">
        <f t="shared" si="42"/>
        <v/>
      </c>
      <c r="AD307">
        <f t="shared" si="43"/>
        <v>52</v>
      </c>
      <c r="AE307" s="194" t="str">
        <f t="shared" si="51"/>
        <v/>
      </c>
      <c r="AF307" s="194" t="str">
        <f t="shared" si="52"/>
        <v/>
      </c>
      <c r="AG307" s="252" t="str">
        <f>IF(ISNUMBER(SEARCH("C",'WetLitterbags placem_collection'!$Y14)),"YES","NO")</f>
        <v>NO</v>
      </c>
      <c r="AH307" s="252" t="str">
        <f>IF(ISNUMBER(SEARCH("H", 'WetLitterbags placem_collection'!$Y14)),"YES","NO")</f>
        <v>NO</v>
      </c>
      <c r="AI307" s="252" t="str">
        <f>IF(ISNUMBER(SEARCH("R", 'WetLitterbags placem_collection'!$Y14)),"YES","NO")</f>
        <v>NO</v>
      </c>
      <c r="AJ307" s="252" t="str">
        <f>IF(ISNUMBER(SEARCH("C", 'WetLitterbags placem_collection'!$W14)),"YES","NO")</f>
        <v>NO</v>
      </c>
      <c r="AK307" s="252" t="str">
        <f>IF(ISNUMBER(SEARCH("H", 'WetLitterbags placem_collection'!$W14)),"YES","NO")</f>
        <v>NO</v>
      </c>
      <c r="AL307" s="252" t="str">
        <f>IF(ISNUMBER(SEARCH("R", 'WetLitterbags placem_collection'!$W14)),"YES","NO")</f>
        <v>NO</v>
      </c>
    </row>
    <row r="308" spans="2:38">
      <c r="B308" t="str">
        <f>'Final data_for_R_analysis_Wetse'!A454</f>
        <v>Wet</v>
      </c>
      <c r="C308" s="260">
        <f>'Final data_for_R_analysis_Wetse'!B454</f>
        <v>13</v>
      </c>
      <c r="D308" t="s">
        <v>3802</v>
      </c>
      <c r="E308" t="s">
        <v>25</v>
      </c>
      <c r="F308" s="382">
        <v>5</v>
      </c>
      <c r="G308" s="16">
        <f>'WetLitterbags placem_collection'!E15</f>
        <v>42766</v>
      </c>
      <c r="H308" s="92" t="str">
        <f>'Final data_for_R_analysis_Wetse'!K454</f>
        <v>G241</v>
      </c>
      <c r="I308" t="str">
        <f>'Final data_for_R_analysis_Wetse'!K674</f>
        <v>R3</v>
      </c>
      <c r="J308">
        <f>IFERROR(INDEX('Green_rooibos initial weight'!$C$5:$C$2000,MATCH(H308, 'Green_rooibos initial weight'!$A$5:$A$2000,0)),"")</f>
        <v>2.0179999999999998</v>
      </c>
      <c r="K308">
        <f>IFERROR(INDEX('Green_rooibos initial weight'!$C$5:$C$2000,MATCH(I308, 'Green_rooibos initial weight'!$A$5:$A$2000,0)),"")</f>
        <v>2.242</v>
      </c>
      <c r="L308" s="194">
        <f t="shared" si="54"/>
        <v>1.7681999999999998</v>
      </c>
      <c r="M308" s="194">
        <f>AVERAGE(Ashed_controlls!$K$2:$K$11)</f>
        <v>5.5147656768714146</v>
      </c>
      <c r="N308" s="194">
        <f t="shared" si="41"/>
        <v>1.6706879133015595</v>
      </c>
      <c r="O308" s="194">
        <f t="shared" si="45"/>
        <v>1.9922</v>
      </c>
      <c r="P308" s="194">
        <f>AVERAGE(Ashed_controlls!$K$12:$K$14)</f>
        <v>2.2816647271287041</v>
      </c>
      <c r="Q308" s="194">
        <f t="shared" si="46"/>
        <v>1.9467446753061419</v>
      </c>
      <c r="R308" s="16">
        <f>IF('WetLitterbags placem_collection'!G15="","",'WetLitterbags placem_collection'!G15)</f>
        <v>42818</v>
      </c>
      <c r="S308" s="194">
        <f>IFERROR(INDEX('Both teabags AfterWet'!$C$3:$C$2000,MATCH(H308,'Both teabags AfterWet'!$A$3:$A$2000,0)),"")</f>
        <v>0.52059999999999995</v>
      </c>
      <c r="T308" s="194">
        <f>IFERROR(INDEX('Both teabags AfterWet'!$C$3:$C$2000,MATCH(I308,'Both teabags AfterWet'!$A$3:$A$2000,0)),"")</f>
        <v>1.4899</v>
      </c>
      <c r="U308" s="194">
        <f t="shared" si="47"/>
        <v>0.36999999999999994</v>
      </c>
      <c r="V308" s="194">
        <f t="shared" si="48"/>
        <v>1.3392999999999999</v>
      </c>
      <c r="W308" s="194">
        <f>IFERROR(INDEX('Ashed teabags wet'!$K$2:$K$2000,MATCH(H308,'Ashed teabags wet'!$A$2:$A$2000,0)),"")</f>
        <v>17.872968980798372</v>
      </c>
      <c r="X308" s="237">
        <f>IFERROR(INDEX('Ashed teabags wet'!$K$2:$K$2000,MATCH(I308,'Ashed teabags wet'!$A$2:$A$2000,0)),"")</f>
        <v>3.0078895463511506</v>
      </c>
      <c r="Y308" s="194">
        <f t="shared" si="53"/>
        <v>0.30387001477104597</v>
      </c>
      <c r="Z308" s="194">
        <f t="shared" si="53"/>
        <v>1.299015335305719</v>
      </c>
      <c r="AA308" s="194">
        <f t="shared" si="49"/>
        <v>0.81811682939002783</v>
      </c>
      <c r="AB308" s="194">
        <f t="shared" si="50"/>
        <v>0.5363426244932249</v>
      </c>
      <c r="AC308" s="194">
        <f t="shared" si="42"/>
        <v>0.66727565858190308</v>
      </c>
      <c r="AD308">
        <f t="shared" si="43"/>
        <v>52</v>
      </c>
      <c r="AE308" s="194">
        <f t="shared" si="51"/>
        <v>2.8364810700679532E-2</v>
      </c>
      <c r="AF308" s="194">
        <f t="shared" si="52"/>
        <v>1.8625501961846393E-2</v>
      </c>
      <c r="AG308" s="252" t="str">
        <f>IF(ISNUMBER(SEARCH("C",'WetLitterbags placem_collection'!$Y15)),"YES","NO")</f>
        <v>NO</v>
      </c>
      <c r="AH308" s="252" t="str">
        <f>IF(ISNUMBER(SEARCH("H", 'WetLitterbags placem_collection'!$Y15)),"YES","NO")</f>
        <v>NO</v>
      </c>
      <c r="AI308" s="252" t="str">
        <f>IF(ISNUMBER(SEARCH("R", 'WetLitterbags placem_collection'!$Y15)),"YES","NO")</f>
        <v>NO</v>
      </c>
      <c r="AJ308" s="252" t="str">
        <f>IF(ISNUMBER(SEARCH("C", 'WetLitterbags placem_collection'!$W15)),"YES","NO")</f>
        <v>NO</v>
      </c>
      <c r="AK308" s="252" t="str">
        <f>IF(ISNUMBER(SEARCH("H", 'WetLitterbags placem_collection'!$W15)),"YES","NO")</f>
        <v>YES</v>
      </c>
      <c r="AL308" s="252" t="str">
        <f>IF(ISNUMBER(SEARCH("R", 'WetLitterbags placem_collection'!$W15)),"YES","NO")</f>
        <v>YES</v>
      </c>
    </row>
    <row r="309" spans="2:38">
      <c r="B309" t="str">
        <f>'Final data_for_R_analysis_Wetse'!A455</f>
        <v>Wet</v>
      </c>
      <c r="C309" s="260">
        <f>'Final data_for_R_analysis_Wetse'!B455</f>
        <v>14</v>
      </c>
      <c r="D309" t="s">
        <v>3802</v>
      </c>
      <c r="E309" t="s">
        <v>25</v>
      </c>
      <c r="F309" s="382">
        <v>6</v>
      </c>
      <c r="G309" s="16">
        <f>'WetLitterbags placem_collection'!E16</f>
        <v>42766</v>
      </c>
      <c r="H309" s="92" t="str">
        <f>'Final data_for_R_analysis_Wetse'!K455</f>
        <v>G503</v>
      </c>
      <c r="I309" t="str">
        <f>'Final data_for_R_analysis_Wetse'!K675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54"/>
        <v>1.7312000000000001</v>
      </c>
      <c r="M309" s="194">
        <f>AVERAGE(Ashed_controlls!$K$2:$K$11)</f>
        <v>5.5147656768714146</v>
      </c>
      <c r="N309" s="194">
        <f t="shared" si="41"/>
        <v>1.6357283766020021</v>
      </c>
      <c r="O309" s="194">
        <f t="shared" si="45"/>
        <v>1.9331999999999998</v>
      </c>
      <c r="P309" s="194">
        <f>AVERAGE(Ashed_controlls!$K$12:$K$14)</f>
        <v>2.2816647271287041</v>
      </c>
      <c r="Q309" s="194">
        <f t="shared" si="46"/>
        <v>1.8890908574951477</v>
      </c>
      <c r="R309" s="16">
        <f>IF('WetLitterbags placem_collection'!G16="","",'WetLitterbags placem_collection'!G16)</f>
        <v>42818</v>
      </c>
      <c r="S309" s="194">
        <f>IFERROR(INDEX('Both teabags AfterWet'!$C$3:$C$2000,MATCH(H309,'Both teabags AfterWet'!$A$3:$A$2000,0)),"")</f>
        <v>0.501</v>
      </c>
      <c r="T309" s="194">
        <f>IFERROR(INDEX('Both teabags AfterWet'!$C$3:$C$2000,MATCH(I309,'Both teabags AfterWet'!$A$3:$A$2000,0)),"")</f>
        <v>1.5669999999999999</v>
      </c>
      <c r="U309" s="194">
        <f t="shared" si="47"/>
        <v>0.35039999999999999</v>
      </c>
      <c r="V309" s="194">
        <f t="shared" si="48"/>
        <v>1.4163999999999999</v>
      </c>
      <c r="W309" s="194">
        <f>IFERROR(INDEX('Ashed teabags wet'!$K$2:$K$2000,MATCH(H309,'Ashed teabags wet'!$A$2:$A$2000,0)),"")</f>
        <v>12.970297029702667</v>
      </c>
      <c r="X309" s="237">
        <f>IFERROR(INDEX('Ashed teabags wet'!$K$2:$K$2000,MATCH(I309,'Ashed teabags wet'!$A$2:$A$2000,0)),"")</f>
        <v>2.903543307086486</v>
      </c>
      <c r="Y309" s="194">
        <f t="shared" si="53"/>
        <v>0.30495207920792183</v>
      </c>
      <c r="Z309" s="194">
        <f t="shared" si="53"/>
        <v>1.375274212598427</v>
      </c>
      <c r="AA309" s="194">
        <f t="shared" si="49"/>
        <v>0.81356802047940424</v>
      </c>
      <c r="AB309" s="194">
        <f t="shared" si="50"/>
        <v>0.53336050748768549</v>
      </c>
      <c r="AC309" s="194">
        <f t="shared" si="42"/>
        <v>0.72800850585978738</v>
      </c>
      <c r="AD309">
        <f t="shared" si="43"/>
        <v>52</v>
      </c>
      <c r="AE309" s="194">
        <f t="shared" si="51"/>
        <v>3.3767196580279935E-2</v>
      </c>
      <c r="AF309" s="194">
        <f t="shared" si="52"/>
        <v>1.3716621476384659E-2</v>
      </c>
      <c r="AG309" s="252" t="str">
        <f>IF(ISNUMBER(SEARCH("C",'WetLitterbags placem_collection'!$Y16)),"YES","NO")</f>
        <v>NO</v>
      </c>
      <c r="AH309" s="252" t="str">
        <f>IF(ISNUMBER(SEARCH("H", 'WetLitterbags placem_collection'!$Y16)),"YES","NO")</f>
        <v>NO</v>
      </c>
      <c r="AI309" s="252" t="str">
        <f>IF(ISNUMBER(SEARCH("R", 'WetLitterbags placem_collection'!$Y16)),"YES","NO")</f>
        <v>NO</v>
      </c>
      <c r="AJ309" s="252" t="str">
        <f>IF(ISNUMBER(SEARCH("C", 'WetLitterbags placem_collection'!$W16)),"YES","NO")</f>
        <v>NO</v>
      </c>
      <c r="AK309" s="252" t="str">
        <f>IF(ISNUMBER(SEARCH("H", 'WetLitterbags placem_collection'!$W16)),"YES","NO")</f>
        <v>YES</v>
      </c>
      <c r="AL309" s="252" t="str">
        <f>IF(ISNUMBER(SEARCH("R", 'WetLitterbags placem_collection'!$W16)),"YES","NO")</f>
        <v>YES</v>
      </c>
    </row>
    <row r="310" spans="2:38">
      <c r="B310" t="str">
        <f>'Final data_for_R_analysis_Wetse'!A456</f>
        <v>Wet</v>
      </c>
      <c r="C310" s="260">
        <f>'Final data_for_R_analysis_Wetse'!B456</f>
        <v>15</v>
      </c>
      <c r="D310" t="s">
        <v>3802</v>
      </c>
      <c r="E310" t="s">
        <v>25</v>
      </c>
      <c r="F310" s="382">
        <v>7</v>
      </c>
      <c r="G310" s="16">
        <f>'WetLitterbags placem_collection'!E17</f>
        <v>42766</v>
      </c>
      <c r="H310" s="92" t="str">
        <f>'Final data_for_R_analysis_Wetse'!K456</f>
        <v>G685</v>
      </c>
      <c r="I310" t="str">
        <f>'Final data_for_R_analysis_Wetse'!K676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54"/>
        <v>1.7312000000000001</v>
      </c>
      <c r="M310" s="194">
        <f>AVERAGE(Ashed_controlls!$K$2:$K$11)</f>
        <v>5.5147656768714146</v>
      </c>
      <c r="N310" s="194">
        <f t="shared" si="41"/>
        <v>1.6357283766020021</v>
      </c>
      <c r="O310" s="194">
        <f t="shared" si="45"/>
        <v>1.9422000000000001</v>
      </c>
      <c r="P310" s="194">
        <f>AVERAGE(Ashed_controlls!$K$12:$K$14)</f>
        <v>2.2816647271287041</v>
      </c>
      <c r="Q310" s="194">
        <f t="shared" si="46"/>
        <v>1.8978855076697065</v>
      </c>
      <c r="R310" s="16">
        <f>IF('WetLitterbags placem_collection'!G17="","",'WetLitterbags placem_collection'!G17)</f>
        <v>42818</v>
      </c>
      <c r="S310" s="194">
        <f>IFERROR(INDEX('Both teabags AfterWet'!$C$3:$C$2000,MATCH(H310,'Both teabags AfterWet'!$A$3:$A$2000,0)),"")</f>
        <v>0.72199999999999998</v>
      </c>
      <c r="T310" s="194">
        <f>IFERROR(INDEX('Both teabags AfterWet'!$C$3:$C$2000,MATCH(I310,'Both teabags AfterWet'!$A$3:$A$2000,0)),"")</f>
        <v>1.355</v>
      </c>
      <c r="U310" s="194">
        <f t="shared" si="47"/>
        <v>0.57139999999999991</v>
      </c>
      <c r="V310" s="194">
        <f t="shared" si="48"/>
        <v>1.2043999999999999</v>
      </c>
      <c r="W310" s="194">
        <f>IFERROR(INDEX('Ashed teabags wet'!$K$2:$K$2000,MATCH(H310,'Ashed teabags wet'!$A$2:$A$2000,0)),"")</f>
        <v>22.716049382715465</v>
      </c>
      <c r="X310" s="237">
        <f>IFERROR(INDEX('Ashed teabags wet'!$K$2:$K$2000,MATCH(I310,'Ashed teabags wet'!$A$2:$A$2000,0)),"")</f>
        <v>7.6999503229018247</v>
      </c>
      <c r="Y310" s="194">
        <f t="shared" si="53"/>
        <v>0.44160049382716376</v>
      </c>
      <c r="Z310" s="194">
        <f t="shared" si="53"/>
        <v>1.1116617983109705</v>
      </c>
      <c r="AA310" s="194">
        <f t="shared" si="49"/>
        <v>0.73002822464660833</v>
      </c>
      <c r="AB310" s="194">
        <f t="shared" si="50"/>
        <v>0.47859332542152949</v>
      </c>
      <c r="AC310" s="194">
        <f t="shared" si="42"/>
        <v>0.58573701828616076</v>
      </c>
      <c r="AD310">
        <f t="shared" si="43"/>
        <v>52</v>
      </c>
      <c r="AE310" s="194">
        <f t="shared" si="51"/>
        <v>0.13298310612041764</v>
      </c>
      <c r="AF310" s="194">
        <f t="shared" si="52"/>
        <v>3.8592688481484339E-2</v>
      </c>
      <c r="AG310" s="252" t="str">
        <f>IF(ISNUMBER(SEARCH("C",'WetLitterbags placem_collection'!$Y17)),"YES","NO")</f>
        <v>NO</v>
      </c>
      <c r="AH310" s="252" t="str">
        <f>IF(ISNUMBER(SEARCH("H", 'WetLitterbags placem_collection'!$Y17)),"YES","NO")</f>
        <v>NO</v>
      </c>
      <c r="AI310" s="252" t="str">
        <f>IF(ISNUMBER(SEARCH("R", 'WetLitterbags placem_collection'!$Y17)),"YES","NO")</f>
        <v>YES</v>
      </c>
      <c r="AJ310" s="252" t="str">
        <f>IF(ISNUMBER(SEARCH("C", 'WetLitterbags placem_collection'!$W17)),"YES","NO")</f>
        <v>YES</v>
      </c>
      <c r="AK310" s="252" t="str">
        <f>IF(ISNUMBER(SEARCH("H", 'WetLitterbags placem_collection'!$W17)),"YES","NO")</f>
        <v>YES</v>
      </c>
      <c r="AL310" s="252" t="str">
        <f>IF(ISNUMBER(SEARCH("R", 'WetLitterbags placem_collection'!$W17)),"YES","NO")</f>
        <v>YES</v>
      </c>
    </row>
    <row r="311" spans="2:38">
      <c r="B311" t="str">
        <f>'Final data_for_R_analysis_Wetse'!A457</f>
        <v>Wet</v>
      </c>
      <c r="C311" s="260">
        <f>'Final data_for_R_analysis_Wetse'!B457</f>
        <v>16</v>
      </c>
      <c r="D311" t="s">
        <v>3802</v>
      </c>
      <c r="E311" t="s">
        <v>25</v>
      </c>
      <c r="F311" s="382">
        <v>8</v>
      </c>
      <c r="G311" s="16">
        <f>'WetLitterbags placem_collection'!E18</f>
        <v>42766</v>
      </c>
      <c r="H311" s="92" t="str">
        <f>'Final data_for_R_analysis_Wetse'!K457</f>
        <v>G644</v>
      </c>
      <c r="I311" t="str">
        <f>'Final data_for_R_analysis_Wetse'!K677</f>
        <v>R154</v>
      </c>
      <c r="J311">
        <f>IFERROR(INDEX('Green_rooibos initial weight'!$C$5:$C$2000,MATCH(H311, 'Green_rooibos initial weight'!$A$5:$A$2000,0)),"")</f>
        <v>2.157</v>
      </c>
      <c r="K311">
        <f>IFERROR(INDEX('Green_rooibos initial weight'!$C$5:$C$2000,MATCH(I311, 'Green_rooibos initial weight'!$A$5:$A$2000,0)),"")</f>
        <v>2.2010000000000001</v>
      </c>
      <c r="L311" s="194">
        <f t="shared" si="54"/>
        <v>1.9072</v>
      </c>
      <c r="M311" s="194">
        <f>AVERAGE(Ashed_controlls!$K$2:$K$11)</f>
        <v>5.5147656768714146</v>
      </c>
      <c r="N311" s="194">
        <f t="shared" si="41"/>
        <v>1.8020223890107083</v>
      </c>
      <c r="O311" s="194">
        <f t="shared" si="45"/>
        <v>1.9512</v>
      </c>
      <c r="P311" s="194">
        <f>AVERAGE(Ashed_controlls!$K$12:$K$14)</f>
        <v>2.2816647271287041</v>
      </c>
      <c r="Q311" s="194">
        <f t="shared" si="46"/>
        <v>1.9066801578442647</v>
      </c>
      <c r="R311" s="16">
        <f>IF('WetLitterbags placem_collection'!G18="","",'WetLitterbags placem_collection'!G18)</f>
        <v>42818</v>
      </c>
      <c r="S311" s="194">
        <f>IFERROR(INDEX('Both teabags AfterWet'!$C$3:$C$2000,MATCH(H311,'Both teabags AfterWet'!$A$3:$A$2000,0)),"")</f>
        <v>0.65410000000000001</v>
      </c>
      <c r="T311" s="194">
        <f>IFERROR(INDEX('Both teabags AfterWet'!$C$3:$C$2000,MATCH(I311,'Both teabags AfterWet'!$A$3:$A$2000,0)),"")</f>
        <v>1.421</v>
      </c>
      <c r="U311" s="194">
        <f t="shared" si="47"/>
        <v>0.50350000000000006</v>
      </c>
      <c r="V311" s="194">
        <f t="shared" si="48"/>
        <v>1.2704</v>
      </c>
      <c r="W311" s="194">
        <f>IFERROR(INDEX('Ashed teabags wet'!$K$2:$K$2000,MATCH(H311,'Ashed teabags wet'!$A$2:$A$2000,0)),"")</f>
        <v>8.8551859099799302</v>
      </c>
      <c r="X311" s="237">
        <f>IFERROR(INDEX('Ashed teabags wet'!$K$2:$K$2000,MATCH(I311,'Ashed teabags wet'!$A$2:$A$2000,0)),"")</f>
        <v>4.0579710144928036</v>
      </c>
      <c r="Y311" s="194">
        <f t="shared" si="53"/>
        <v>0.45891413894325112</v>
      </c>
      <c r="Z311" s="194">
        <f t="shared" si="53"/>
        <v>1.2188475362318834</v>
      </c>
      <c r="AA311" s="194">
        <f t="shared" si="49"/>
        <v>0.74533383062172143</v>
      </c>
      <c r="AB311" s="194">
        <f t="shared" si="50"/>
        <v>0.48862740439808822</v>
      </c>
      <c r="AC311" s="194">
        <f t="shared" si="42"/>
        <v>0.63925117761226391</v>
      </c>
      <c r="AD311">
        <f t="shared" si="43"/>
        <v>52</v>
      </c>
      <c r="AE311" s="194">
        <f t="shared" si="51"/>
        <v>0.11480542681505768</v>
      </c>
      <c r="AF311" s="194">
        <f t="shared" si="52"/>
        <v>2.5779211714489728E-2</v>
      </c>
      <c r="AG311" s="252" t="str">
        <f>IF(ISNUMBER(SEARCH("C",'WetLitterbags placem_collection'!$Y18)),"YES","NO")</f>
        <v>NO</v>
      </c>
      <c r="AH311" s="252" t="str">
        <f>IF(ISNUMBER(SEARCH("H", 'WetLitterbags placem_collection'!$Y18)),"YES","NO")</f>
        <v>NO</v>
      </c>
      <c r="AI311" s="252" t="str">
        <f>IF(ISNUMBER(SEARCH("R", 'WetLitterbags placem_collection'!$Y18)),"YES","NO")</f>
        <v>YES</v>
      </c>
      <c r="AJ311" s="252" t="str">
        <f>IF(ISNUMBER(SEARCH("C", 'WetLitterbags placem_collection'!$W18)),"YES","NO")</f>
        <v>NO</v>
      </c>
      <c r="AK311" s="252" t="str">
        <f>IF(ISNUMBER(SEARCH("H", 'WetLitterbags placem_collection'!$W18)),"YES","NO")</f>
        <v>YES</v>
      </c>
      <c r="AL311" s="252" t="str">
        <f>IF(ISNUMBER(SEARCH("R", 'WetLitterbags placem_collection'!$W18)),"YES","NO")</f>
        <v>YES</v>
      </c>
    </row>
    <row r="312" spans="2:38">
      <c r="B312" t="str">
        <f>'Final data_for_R_analysis_Wetse'!A458</f>
        <v>Wet</v>
      </c>
      <c r="C312" s="260">
        <f>'Final data_for_R_analysis_Wetse'!B458</f>
        <v>17</v>
      </c>
      <c r="D312" t="s">
        <v>3803</v>
      </c>
      <c r="E312" t="s">
        <v>25</v>
      </c>
      <c r="F312" s="381">
        <v>1</v>
      </c>
      <c r="G312" s="16">
        <f>'WetLitterbags placem_collection'!E19</f>
        <v>42767</v>
      </c>
      <c r="H312" s="92" t="str">
        <f>'Final data_for_R_analysis_Wetse'!K458</f>
        <v>G648</v>
      </c>
      <c r="I312" t="str">
        <f>'Final data_for_R_analysis_Wetse'!K678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54"/>
        <v>1.7751999999999999</v>
      </c>
      <c r="M312" s="194">
        <f>AVERAGE(Ashed_controlls!$K$2:$K$11)</f>
        <v>5.5147656768714146</v>
      </c>
      <c r="N312" s="194">
        <f t="shared" si="41"/>
        <v>1.6773018797041785</v>
      </c>
      <c r="O312" s="194">
        <f t="shared" si="45"/>
        <v>2.0301999999999998</v>
      </c>
      <c r="P312" s="194">
        <f>AVERAGE(Ashed_controlls!$K$12:$K$14)</f>
        <v>2.2816647271287041</v>
      </c>
      <c r="Q312" s="194">
        <f t="shared" si="46"/>
        <v>1.9838776427098328</v>
      </c>
      <c r="R312" s="16">
        <f>IF('WetLitterbags placem_collection'!G19="","",'WetLitterbags placem_collection'!G19)</f>
        <v>42818</v>
      </c>
      <c r="S312" s="194">
        <f>IFERROR(INDEX('Both teabags AfterWet'!$C$3:$C$2000,MATCH(H312,'Both teabags AfterWet'!$A$3:$A$2000,0)),"")</f>
        <v>0.6905</v>
      </c>
      <c r="T312" s="194">
        <f>IFERROR(INDEX('Both teabags AfterWet'!$C$3:$C$2000,MATCH(I312,'Both teabags AfterWet'!$A$3:$A$2000,0)),"")</f>
        <v>1.6271</v>
      </c>
      <c r="U312" s="194">
        <f t="shared" si="47"/>
        <v>0.53990000000000005</v>
      </c>
      <c r="V312" s="194">
        <f t="shared" si="48"/>
        <v>1.4764999999999999</v>
      </c>
      <c r="W312" s="194">
        <f>IFERROR(INDEX('Ashed teabags wet'!$K$2:$K$2000,MATCH(H312,'Ashed teabags wet'!$A$2:$A$2000,0)),"")</f>
        <v>10.088582677165091</v>
      </c>
      <c r="X312" s="237">
        <f>IFERROR(INDEX('Ashed teabags wet'!$K$2:$K$2000,MATCH(I312,'Ashed teabags wet'!$A$2:$A$2000,0)),"")</f>
        <v>3.3600802407224508</v>
      </c>
      <c r="Y312" s="194">
        <f t="shared" si="53"/>
        <v>0.48543174212598572</v>
      </c>
      <c r="Z312" s="194">
        <f t="shared" si="53"/>
        <v>1.4268884152457328</v>
      </c>
      <c r="AA312" s="194">
        <f t="shared" si="49"/>
        <v>0.71058773140372322</v>
      </c>
      <c r="AB312" s="194">
        <f t="shared" si="50"/>
        <v>0.46584848899626519</v>
      </c>
      <c r="AC312" s="194">
        <f t="shared" si="42"/>
        <v>0.71924214705938561</v>
      </c>
      <c r="AD312">
        <f t="shared" si="43"/>
        <v>51</v>
      </c>
      <c r="AE312" s="194">
        <f t="shared" si="51"/>
        <v>0.15607157790531678</v>
      </c>
      <c r="AF312" s="194">
        <f t="shared" si="52"/>
        <v>1.809832981608336E-2</v>
      </c>
      <c r="AG312" s="252" t="str">
        <f>IF(ISNUMBER(SEARCH("C",'WetLitterbags placem_collection'!$Y19)),"YES","NO")</f>
        <v>NO</v>
      </c>
      <c r="AH312" s="252" t="str">
        <f>IF(ISNUMBER(SEARCH("H", 'WetLitterbags placem_collection'!$Y19)),"YES","NO")</f>
        <v>NO</v>
      </c>
      <c r="AI312" s="252" t="str">
        <f>IF(ISNUMBER(SEARCH("R", 'WetLitterbags placem_collection'!$Y19)),"YES","NO")</f>
        <v>YES</v>
      </c>
      <c r="AJ312" s="252" t="str">
        <f>IF(ISNUMBER(SEARCH("C", 'WetLitterbags placem_collection'!$W19)),"YES","NO")</f>
        <v>NO</v>
      </c>
      <c r="AK312" s="252" t="str">
        <f>IF(ISNUMBER(SEARCH("H", 'WetLitterbags placem_collection'!$W19)),"YES","NO")</f>
        <v>NO</v>
      </c>
      <c r="AL312" s="252" t="str">
        <f>IF(ISNUMBER(SEARCH("R", 'WetLitterbags placem_collection'!$W19)),"YES","NO")</f>
        <v>YES</v>
      </c>
    </row>
    <row r="313" spans="2:38">
      <c r="B313" t="str">
        <f>'Final data_for_R_analysis_Wetse'!A459</f>
        <v>Wet</v>
      </c>
      <c r="C313" s="260">
        <f>'Final data_for_R_analysis_Wetse'!B459</f>
        <v>18</v>
      </c>
      <c r="D313" t="s">
        <v>3803</v>
      </c>
      <c r="E313" t="s">
        <v>25</v>
      </c>
      <c r="F313" s="381">
        <v>2</v>
      </c>
      <c r="G313" s="16">
        <f>'WetLitterbags placem_collection'!E20</f>
        <v>42767</v>
      </c>
      <c r="H313" s="92" t="str">
        <f>'Final data_for_R_analysis_Wetse'!K459</f>
        <v>G573</v>
      </c>
      <c r="I313" t="str">
        <f>'Final data_for_R_analysis_Wetse'!K679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54"/>
        <v>1.7521999999999998</v>
      </c>
      <c r="M313" s="194">
        <f>AVERAGE(Ashed_controlls!$K$2:$K$11)</f>
        <v>5.5147656768714146</v>
      </c>
      <c r="N313" s="194">
        <f t="shared" si="41"/>
        <v>1.6555702758098589</v>
      </c>
      <c r="O313" s="194">
        <f t="shared" si="45"/>
        <v>1.9382000000000001</v>
      </c>
      <c r="P313" s="194">
        <f>AVERAGE(Ashed_controlls!$K$12:$K$14)</f>
        <v>2.2816647271287041</v>
      </c>
      <c r="Q313" s="194">
        <f t="shared" si="46"/>
        <v>1.8939767742587916</v>
      </c>
      <c r="R313" s="16">
        <f>IF('WetLitterbags placem_collection'!G20="","",'WetLitterbags placem_collection'!G20)</f>
        <v>42818</v>
      </c>
      <c r="S313" s="194">
        <f>IFERROR(INDEX('Both teabags AfterWet'!$C$3:$C$2000,MATCH(H313,'Both teabags AfterWet'!$A$3:$A$2000,0)),"")</f>
        <v>0.72099999999999997</v>
      </c>
      <c r="T313" s="194">
        <f>IFERROR(INDEX('Both teabags AfterWet'!$C$3:$C$2000,MATCH(I313,'Both teabags AfterWet'!$A$3:$A$2000,0)),"")</f>
        <v>1.6060000000000001</v>
      </c>
      <c r="U313" s="194">
        <f t="shared" si="47"/>
        <v>0.57040000000000002</v>
      </c>
      <c r="V313" s="194">
        <f t="shared" si="48"/>
        <v>1.4554</v>
      </c>
      <c r="W313" s="194">
        <f>IFERROR(INDEX('Ashed teabags wet'!$K$2:$K$2000,MATCH(H313,'Ashed teabags wet'!$A$2:$A$2000,0)),"")</f>
        <v>14.100096246390503</v>
      </c>
      <c r="X313" s="237">
        <f>IFERROR(INDEX('Ashed teabags wet'!$K$2:$K$2000,MATCH(I313,'Ashed teabags wet'!$A$2:$A$2000,0)),"")</f>
        <v>4.6344959388436653</v>
      </c>
      <c r="Y313" s="194">
        <f t="shared" si="53"/>
        <v>0.48997305101058858</v>
      </c>
      <c r="Z313" s="194">
        <f t="shared" si="53"/>
        <v>1.3879495461060694</v>
      </c>
      <c r="AA313" s="194">
        <f t="shared" si="49"/>
        <v>0.70404575500674094</v>
      </c>
      <c r="AB313" s="194">
        <f t="shared" si="50"/>
        <v>0.4615596873678397</v>
      </c>
      <c r="AC313" s="194">
        <f t="shared" si="42"/>
        <v>0.73282289675872281</v>
      </c>
      <c r="AD313">
        <f t="shared" si="43"/>
        <v>51</v>
      </c>
      <c r="AE313" s="194">
        <f t="shared" si="51"/>
        <v>0.16384114607275424</v>
      </c>
      <c r="AF313" s="194">
        <f t="shared" si="52"/>
        <v>1.6956530956889822E-2</v>
      </c>
      <c r="AG313" s="252" t="str">
        <f>IF(ISNUMBER(SEARCH("C",'WetLitterbags placem_collection'!$Y20)),"YES","NO")</f>
        <v>NO</v>
      </c>
      <c r="AH313" s="252" t="str">
        <f>IF(ISNUMBER(SEARCH("H", 'WetLitterbags placem_collection'!$Y20)),"YES","NO")</f>
        <v>NO</v>
      </c>
      <c r="AI313" s="252" t="str">
        <f>IF(ISNUMBER(SEARCH("R", 'WetLitterbags placem_collection'!$Y20)),"YES","NO")</f>
        <v>YES</v>
      </c>
      <c r="AJ313" s="252" t="str">
        <f>IF(ISNUMBER(SEARCH("C", 'WetLitterbags placem_collection'!$W20)),"YES","NO")</f>
        <v>NO</v>
      </c>
      <c r="AK313" s="252" t="str">
        <f>IF(ISNUMBER(SEARCH("H", 'WetLitterbags placem_collection'!$W20)),"YES","NO")</f>
        <v>NO</v>
      </c>
      <c r="AL313" s="252" t="str">
        <f>IF(ISNUMBER(SEARCH("R", 'WetLitterbags placem_collection'!$W20)),"YES","NO")</f>
        <v>NO</v>
      </c>
    </row>
    <row r="314" spans="2:38">
      <c r="B314" t="str">
        <f>'Final data_for_R_analysis_Wetse'!A460</f>
        <v>Wet</v>
      </c>
      <c r="C314" s="260">
        <f>'Final data_for_R_analysis_Wetse'!B460</f>
        <v>19</v>
      </c>
      <c r="D314" t="s">
        <v>3803</v>
      </c>
      <c r="E314" t="s">
        <v>25</v>
      </c>
      <c r="F314" s="381">
        <v>3</v>
      </c>
      <c r="G314" s="16">
        <f>'WetLitterbags placem_collection'!E21</f>
        <v>42767</v>
      </c>
      <c r="H314" s="92" t="str">
        <f>'Final data_for_R_analysis_Wetse'!K460</f>
        <v>G639</v>
      </c>
      <c r="I314" t="str">
        <f>'Final data_for_R_analysis_Wetse'!K680</f>
        <v>R566</v>
      </c>
      <c r="J314">
        <f>IFERROR(INDEX('Green_rooibos initial weight'!$C$5:$C$2000,MATCH(H314, 'Green_rooibos initial weight'!$A$5:$A$2000,0)),"")</f>
        <v>2.1909999999999998</v>
      </c>
      <c r="K314">
        <f>IFERROR(INDEX('Green_rooibos initial weight'!$C$5:$C$2000,MATCH(I314, 'Green_rooibos initial weight'!$A$5:$A$2000,0)),"")</f>
        <v>2.117</v>
      </c>
      <c r="L314" s="194">
        <f t="shared" si="54"/>
        <v>1.9411999999999998</v>
      </c>
      <c r="M314" s="194">
        <f>AVERAGE(Ashed_controlls!$K$2:$K$11)</f>
        <v>5.5147656768714146</v>
      </c>
      <c r="N314" s="194">
        <f t="shared" si="41"/>
        <v>1.834147368680572</v>
      </c>
      <c r="O314" s="194">
        <f t="shared" si="45"/>
        <v>1.8672</v>
      </c>
      <c r="P314" s="194">
        <f>AVERAGE(Ashed_controlls!$K$12:$K$14)</f>
        <v>2.2816647271287041</v>
      </c>
      <c r="Q314" s="194">
        <f t="shared" si="46"/>
        <v>1.8245967562150529</v>
      </c>
      <c r="R314" s="16">
        <f>IF('WetLitterbags placem_collection'!G21="","",'WetLitterbags placem_collection'!G21)</f>
        <v>42818</v>
      </c>
      <c r="S314" s="194">
        <f>IFERROR(INDEX('Both teabags AfterWet'!$C$3:$C$2000,MATCH(H314,'Both teabags AfterWet'!$A$3:$A$2000,0)),"")</f>
        <v>0.89200000000000002</v>
      </c>
      <c r="T314" s="194">
        <f>IFERROR(INDEX('Both teabags AfterWet'!$C$3:$C$2000,MATCH(I314,'Both teabags AfterWet'!$A$3:$A$2000,0)),"")</f>
        <v>1.4496</v>
      </c>
      <c r="U314" s="194">
        <f t="shared" si="47"/>
        <v>0.74140000000000006</v>
      </c>
      <c r="V314" s="194">
        <f t="shared" si="48"/>
        <v>1.2989999999999999</v>
      </c>
      <c r="W314" s="194">
        <f>IFERROR(INDEX('Ashed teabags wet'!$K$2:$K$2000,MATCH(H314,'Ashed teabags wet'!$A$2:$A$2000,0)),"")</f>
        <v>16.616616616617133</v>
      </c>
      <c r="X314" s="237">
        <f>IFERROR(INDEX('Ashed teabags wet'!$K$2:$K$2000,MATCH(I314,'Ashed teabags wet'!$A$2:$A$2000,0)),"")</f>
        <v>8.439646712463917</v>
      </c>
      <c r="Y314" s="194">
        <f t="shared" si="53"/>
        <v>0.61820440440440061</v>
      </c>
      <c r="Z314" s="194">
        <f t="shared" si="53"/>
        <v>1.1893689892050936</v>
      </c>
      <c r="AA314" s="194">
        <f t="shared" si="49"/>
        <v>0.66294725551463318</v>
      </c>
      <c r="AB314" s="194">
        <f t="shared" si="50"/>
        <v>0.43461625302146983</v>
      </c>
      <c r="AC314" s="194">
        <f t="shared" si="42"/>
        <v>0.65185306570001966</v>
      </c>
      <c r="AD314">
        <f t="shared" si="43"/>
        <v>51</v>
      </c>
      <c r="AE314" s="194">
        <f t="shared" si="51"/>
        <v>0.21265171554081563</v>
      </c>
      <c r="AF314" s="194">
        <f t="shared" si="52"/>
        <v>3.1660270796525884E-2</v>
      </c>
      <c r="AG314" s="252" t="str">
        <f>IF(ISNUMBER(SEARCH("C",'WetLitterbags placem_collection'!$Y21)),"YES","NO")</f>
        <v>NO</v>
      </c>
      <c r="AH314" s="252" t="str">
        <f>IF(ISNUMBER(SEARCH("H", 'WetLitterbags placem_collection'!$Y21)),"YES","NO")</f>
        <v>NO</v>
      </c>
      <c r="AI314" s="252" t="str">
        <f>IF(ISNUMBER(SEARCH("R", 'WetLitterbags placem_collection'!$Y21)),"YES","NO")</f>
        <v>NO</v>
      </c>
      <c r="AJ314" s="252" t="str">
        <f>IF(ISNUMBER(SEARCH("C", 'WetLitterbags placem_collection'!$W21)),"YES","NO")</f>
        <v>NO</v>
      </c>
      <c r="AK314" s="252" t="str">
        <f>IF(ISNUMBER(SEARCH("H", 'WetLitterbags placem_collection'!$W21)),"YES","NO")</f>
        <v>NO</v>
      </c>
      <c r="AL314" s="252" t="str">
        <f>IF(ISNUMBER(SEARCH("R", 'WetLitterbags placem_collection'!$W21)),"YES","NO")</f>
        <v>NO</v>
      </c>
    </row>
    <row r="315" spans="2:38">
      <c r="B315" t="str">
        <f>'Final data_for_R_analysis_Wetse'!A461</f>
        <v>Wet</v>
      </c>
      <c r="C315" s="260">
        <f>'Final data_for_R_analysis_Wetse'!B461</f>
        <v>20</v>
      </c>
      <c r="D315" t="s">
        <v>3803</v>
      </c>
      <c r="E315" t="s">
        <v>25</v>
      </c>
      <c r="F315" s="382">
        <v>4</v>
      </c>
      <c r="G315" s="16">
        <f>'WetLitterbags placem_collection'!E22</f>
        <v>42767</v>
      </c>
      <c r="H315" s="92" t="str">
        <f>'Final data_for_R_analysis_Wetse'!K461</f>
        <v>G505</v>
      </c>
      <c r="I315" t="str">
        <f>'Final data_for_R_analysis_Wetse'!K681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54"/>
        <v>1.8012000000000001</v>
      </c>
      <c r="M315" s="194">
        <f>AVERAGE(Ashed_controlls!$K$2:$K$11)</f>
        <v>5.5147656768714146</v>
      </c>
      <c r="N315" s="194">
        <f t="shared" si="41"/>
        <v>1.7018680406281923</v>
      </c>
      <c r="O315" s="194">
        <f t="shared" si="45"/>
        <v>2.0032000000000001</v>
      </c>
      <c r="P315" s="194">
        <f>AVERAGE(Ashed_controlls!$K$12:$K$14)</f>
        <v>2.2816647271287041</v>
      </c>
      <c r="Q315" s="194">
        <f t="shared" si="46"/>
        <v>1.9574936921861579</v>
      </c>
      <c r="R315" s="16">
        <f>IF('WetLitterbags placem_collection'!G22="","",'WetLitterbags placem_collection'!G22)</f>
        <v>42818</v>
      </c>
      <c r="S315" s="194">
        <f>IFERROR(INDEX('Both teabags AfterWet'!$C$3:$C$2000,MATCH(H315,'Both teabags AfterWet'!$A$3:$A$2000,0)),"")</f>
        <v>0.70330000000000004</v>
      </c>
      <c r="T315" s="194">
        <f>IFERROR(INDEX('Both teabags AfterWet'!$C$3:$C$2000,MATCH(I315,'Both teabags AfterWet'!$A$3:$A$2000,0)),"")</f>
        <v>1.6778999999999999</v>
      </c>
      <c r="U315" s="194">
        <f t="shared" si="47"/>
        <v>0.55269999999999997</v>
      </c>
      <c r="V315" s="194">
        <f t="shared" si="48"/>
        <v>1.5272999999999999</v>
      </c>
      <c r="W315" s="194">
        <f>IFERROR(INDEX('Ashed teabags wet'!$K$2:$K$2000,MATCH(H315,'Ashed teabags wet'!$A$2:$A$2000,0)),"")</f>
        <v>10.945273631841108</v>
      </c>
      <c r="X315" s="237">
        <f>IFERROR(INDEX('Ashed teabags wet'!$K$2:$K$2000,MATCH(I315,'Ashed teabags wet'!$A$2:$A$2000,0)),"")</f>
        <v>6.496631376323327</v>
      </c>
      <c r="Y315" s="194">
        <f t="shared" si="53"/>
        <v>0.49220547263681419</v>
      </c>
      <c r="Z315" s="194">
        <f t="shared" si="53"/>
        <v>1.4280769489894136</v>
      </c>
      <c r="AA315" s="194">
        <f t="shared" si="49"/>
        <v>0.7107851720071483</v>
      </c>
      <c r="AB315" s="194">
        <f t="shared" si="50"/>
        <v>0.4659779274916222</v>
      </c>
      <c r="AC315" s="194">
        <f t="shared" si="42"/>
        <v>0.72954357640586631</v>
      </c>
      <c r="AD315">
        <f t="shared" si="43"/>
        <v>51</v>
      </c>
      <c r="AE315" s="194">
        <f t="shared" si="51"/>
        <v>0.15583708787749606</v>
      </c>
      <c r="AF315" s="194">
        <f t="shared" si="52"/>
        <v>1.7028782340568632E-2</v>
      </c>
      <c r="AG315" s="252" t="str">
        <f>IF(ISNUMBER(SEARCH("C",'WetLitterbags placem_collection'!$Y22)),"YES","NO")</f>
        <v>NO</v>
      </c>
      <c r="AH315" s="252" t="str">
        <f>IF(ISNUMBER(SEARCH("H", 'WetLitterbags placem_collection'!$Y22)),"YES","NO")</f>
        <v>NO</v>
      </c>
      <c r="AI315" s="252" t="str">
        <f>IF(ISNUMBER(SEARCH("R", 'WetLitterbags placem_collection'!$Y22)),"YES","NO")</f>
        <v>NO</v>
      </c>
      <c r="AJ315" s="252" t="str">
        <f>IF(ISNUMBER(SEARCH("C", 'WetLitterbags placem_collection'!$W22)),"YES","NO")</f>
        <v>NO</v>
      </c>
      <c r="AK315" s="252" t="str">
        <f>IF(ISNUMBER(SEARCH("H", 'WetLitterbags placem_collection'!$W22)),"YES","NO")</f>
        <v>NO</v>
      </c>
      <c r="AL315" s="252" t="str">
        <f>IF(ISNUMBER(SEARCH("R", 'WetLitterbags placem_collection'!$W22)),"YES","NO")</f>
        <v>NO</v>
      </c>
    </row>
    <row r="316" spans="2:38">
      <c r="B316" t="str">
        <f>'Final data_for_R_analysis_Wetse'!A462</f>
        <v>Wet</v>
      </c>
      <c r="C316" s="260">
        <f>'Final data_for_R_analysis_Wetse'!B462</f>
        <v>21</v>
      </c>
      <c r="D316" t="s">
        <v>3803</v>
      </c>
      <c r="E316" t="s">
        <v>25</v>
      </c>
      <c r="F316" s="382">
        <v>5</v>
      </c>
      <c r="G316" s="16">
        <f>'WetLitterbags placem_collection'!E23</f>
        <v>42767</v>
      </c>
      <c r="H316" s="92" t="str">
        <f>'Final data_for_R_analysis_Wetse'!K462</f>
        <v>G721</v>
      </c>
      <c r="I316" t="str">
        <f>'Final data_for_R_analysis_Wetse'!K682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54"/>
        <v>1.7412000000000001</v>
      </c>
      <c r="M316" s="194">
        <f>AVERAGE(Ashed_controlls!$K$2:$K$11)</f>
        <v>5.5147656768714146</v>
      </c>
      <c r="N316" s="194">
        <f t="shared" si="41"/>
        <v>1.645176900034315</v>
      </c>
      <c r="O316" s="194">
        <f t="shared" si="45"/>
        <v>1.9392</v>
      </c>
      <c r="P316" s="194">
        <f>AVERAGE(Ashed_controlls!$K$12:$K$14)</f>
        <v>2.2816647271287041</v>
      </c>
      <c r="Q316" s="194">
        <f t="shared" si="46"/>
        <v>1.8949539576115202</v>
      </c>
      <c r="R316" s="16">
        <f>IF('WetLitterbags placem_collection'!G23="","",'WetLitterbags placem_collection'!G23)</f>
        <v>42818</v>
      </c>
      <c r="S316" s="194">
        <f>IFERROR(INDEX('Both teabags AfterWet'!$C$3:$C$2000,MATCH(H316,'Both teabags AfterWet'!$A$3:$A$2000,0)),"")</f>
        <v>0.66739999999999999</v>
      </c>
      <c r="T316" s="194">
        <f>IFERROR(INDEX('Both teabags AfterWet'!$C$3:$C$2000,MATCH(I316,'Both teabags AfterWet'!$A$3:$A$2000,0)),"")</f>
        <v>1.4087000000000001</v>
      </c>
      <c r="U316" s="194">
        <f t="shared" si="47"/>
        <v>0.51679999999999993</v>
      </c>
      <c r="V316" s="194">
        <f t="shared" si="48"/>
        <v>1.2581</v>
      </c>
      <c r="W316" s="194">
        <f>IFERROR(INDEX('Ashed teabags wet'!$K$2:$K$2000,MATCH(H316,'Ashed teabags wet'!$A$2:$A$2000,0)),"")</f>
        <v>10.415623435152472</v>
      </c>
      <c r="X316" s="237">
        <f>IFERROR(INDEX('Ashed teabags wet'!$K$2:$K$2000,MATCH(I316,'Ashed teabags wet'!$A$2:$A$2000,0)),"")</f>
        <v>6.7426871591461754</v>
      </c>
      <c r="Y316" s="194">
        <f t="shared" si="53"/>
        <v>0.46297205808713193</v>
      </c>
      <c r="Z316" s="194">
        <f t="shared" si="53"/>
        <v>1.1732702528507819</v>
      </c>
      <c r="AA316" s="194">
        <f t="shared" si="49"/>
        <v>0.71858828185742496</v>
      </c>
      <c r="AB316" s="194">
        <f t="shared" si="50"/>
        <v>0.47109350544572287</v>
      </c>
      <c r="AC316" s="194">
        <f t="shared" si="42"/>
        <v>0.61915501858927546</v>
      </c>
      <c r="AD316">
        <f t="shared" si="43"/>
        <v>51</v>
      </c>
      <c r="AE316" s="194">
        <f t="shared" si="51"/>
        <v>0.14656973651137173</v>
      </c>
      <c r="AF316" s="194">
        <f t="shared" si="52"/>
        <v>3.2401752093704314E-2</v>
      </c>
      <c r="AG316" s="252" t="str">
        <f>IF(ISNUMBER(SEARCH("C",'WetLitterbags placem_collection'!$Y23)),"YES","NO")</f>
        <v>NO</v>
      </c>
      <c r="AH316" s="252" t="str">
        <f>IF(ISNUMBER(SEARCH("H", 'WetLitterbags placem_collection'!$Y23)),"YES","NO")</f>
        <v>NO</v>
      </c>
      <c r="AI316" s="252" t="str">
        <f>IF(ISNUMBER(SEARCH("R", 'WetLitterbags placem_collection'!$Y23)),"YES","NO")</f>
        <v>NO</v>
      </c>
      <c r="AJ316" s="252" t="str">
        <f>IF(ISNUMBER(SEARCH("C", 'WetLitterbags placem_collection'!$W23)),"YES","NO")</f>
        <v>NO</v>
      </c>
      <c r="AK316" s="252" t="str">
        <f>IF(ISNUMBER(SEARCH("H", 'WetLitterbags placem_collection'!$W23)),"YES","NO")</f>
        <v>NO</v>
      </c>
      <c r="AL316" s="252" t="str">
        <f>IF(ISNUMBER(SEARCH("R", 'WetLitterbags placem_collection'!$W23)),"YES","NO")</f>
        <v>YES</v>
      </c>
    </row>
    <row r="317" spans="2:38">
      <c r="B317" t="str">
        <f>'Final data_for_R_analysis_Wetse'!A463</f>
        <v>Wet</v>
      </c>
      <c r="C317" s="260">
        <f>'Final data_for_R_analysis_Wetse'!B463</f>
        <v>22</v>
      </c>
      <c r="D317" t="s">
        <v>3803</v>
      </c>
      <c r="E317" t="s">
        <v>25</v>
      </c>
      <c r="F317" s="382">
        <v>6</v>
      </c>
      <c r="G317" s="16">
        <f>'WetLitterbags placem_collection'!E24</f>
        <v>42767</v>
      </c>
      <c r="H317" s="92" t="str">
        <f>'Final data_for_R_analysis_Wetse'!K463</f>
        <v>G552</v>
      </c>
      <c r="I317" t="str">
        <f>'Final data_for_R_analysis_Wetse'!K683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54"/>
        <v>1.8612000000000002</v>
      </c>
      <c r="M317" s="194">
        <f>AVERAGE(Ashed_controlls!$K$2:$K$11)</f>
        <v>5.5147656768714146</v>
      </c>
      <c r="N317" s="194">
        <f t="shared" si="41"/>
        <v>1.7585591812220693</v>
      </c>
      <c r="O317" s="194">
        <f t="shared" si="45"/>
        <v>1.9491999999999998</v>
      </c>
      <c r="P317" s="194">
        <f>AVERAGE(Ashed_controlls!$K$12:$K$14)</f>
        <v>2.2816647271287041</v>
      </c>
      <c r="Q317" s="194">
        <f t="shared" si="46"/>
        <v>1.9047257911388071</v>
      </c>
      <c r="R317" s="16">
        <f>IF('WetLitterbags placem_collection'!G24="","",'WetLitterbags placem_collection'!G24)</f>
        <v>42818</v>
      </c>
      <c r="S317" s="194">
        <f>IFERROR(INDEX('Both teabags AfterWet'!$C$3:$C$2000,MATCH(H317,'Both teabags AfterWet'!$A$3:$A$2000,0)),"")</f>
        <v>0.75929999999999997</v>
      </c>
      <c r="T317" s="194">
        <f>IFERROR(INDEX('Both teabags AfterWet'!$C$3:$C$2000,MATCH(I317,'Both teabags AfterWet'!$A$3:$A$2000,0)),"")</f>
        <v>1.4908999999999999</v>
      </c>
      <c r="U317" s="194">
        <f t="shared" si="47"/>
        <v>0.60870000000000002</v>
      </c>
      <c r="V317" s="194">
        <f t="shared" si="48"/>
        <v>1.3402999999999998</v>
      </c>
      <c r="W317" s="194">
        <f>IFERROR(INDEX('Ashed teabags wet'!$K$2:$K$2000,MATCH(H317,'Ashed teabags wet'!$A$2:$A$2000,0)),"")</f>
        <v>12.068965517241553</v>
      </c>
      <c r="X317" s="237">
        <f>IFERROR(INDEX('Ashed teabags wet'!$K$2:$K$2000,MATCH(I317,'Ashed teabags wet'!$A$2:$A$2000,0)),"")</f>
        <v>3.3797216699801611</v>
      </c>
      <c r="Y317" s="194">
        <f t="shared" si="53"/>
        <v>0.53523620689655071</v>
      </c>
      <c r="Z317" s="194">
        <f t="shared" si="53"/>
        <v>1.2950015904572558</v>
      </c>
      <c r="AA317" s="194">
        <f t="shared" si="49"/>
        <v>0.69563935486970596</v>
      </c>
      <c r="AB317" s="194">
        <f t="shared" si="50"/>
        <v>0.45604860319249135</v>
      </c>
      <c r="AC317" s="194">
        <f t="shared" si="42"/>
        <v>0.67988872544377832</v>
      </c>
      <c r="AD317">
        <f t="shared" si="43"/>
        <v>51</v>
      </c>
      <c r="AE317" s="194">
        <f t="shared" si="51"/>
        <v>0.17382499421650122</v>
      </c>
      <c r="AF317" s="194">
        <f t="shared" si="52"/>
        <v>2.373343978642151E-2</v>
      </c>
      <c r="AG317" s="252" t="str">
        <f>IF(ISNUMBER(SEARCH("C",'WetLitterbags placem_collection'!$Y24)),"YES","NO")</f>
        <v>NO</v>
      </c>
      <c r="AH317" s="252" t="str">
        <f>IF(ISNUMBER(SEARCH("H", 'WetLitterbags placem_collection'!$Y24)),"YES","NO")</f>
        <v>NO</v>
      </c>
      <c r="AI317" s="252" t="str">
        <f>IF(ISNUMBER(SEARCH("R", 'WetLitterbags placem_collection'!$Y24)),"YES","NO")</f>
        <v>NO</v>
      </c>
      <c r="AJ317" s="252" t="str">
        <f>IF(ISNUMBER(SEARCH("C", 'WetLitterbags placem_collection'!$W24)),"YES","NO")</f>
        <v>NO</v>
      </c>
      <c r="AK317" s="252" t="str">
        <f>IF(ISNUMBER(SEARCH("H", 'WetLitterbags placem_collection'!$W24)),"YES","NO")</f>
        <v>NO</v>
      </c>
      <c r="AL317" s="252" t="str">
        <f>IF(ISNUMBER(SEARCH("R", 'WetLitterbags placem_collection'!$W24)),"YES","NO")</f>
        <v>NO</v>
      </c>
    </row>
    <row r="318" spans="2:38">
      <c r="B318" t="str">
        <f>'Final data_for_R_analysis_Wetse'!A464</f>
        <v>Wet</v>
      </c>
      <c r="C318" s="260">
        <f>'Final data_for_R_analysis_Wetse'!B464</f>
        <v>23</v>
      </c>
      <c r="D318" t="s">
        <v>3803</v>
      </c>
      <c r="E318" t="s">
        <v>25</v>
      </c>
      <c r="F318" s="382">
        <v>7</v>
      </c>
      <c r="G318" s="16">
        <f>'WetLitterbags placem_collection'!E25</f>
        <v>42767</v>
      </c>
      <c r="H318" s="92" t="str">
        <f>'Final data_for_R_analysis_Wetse'!K464</f>
        <v>G456</v>
      </c>
      <c r="I318" t="str">
        <f>'Final data_for_R_analysis_Wetse'!K684</f>
        <v>R132</v>
      </c>
      <c r="J318">
        <f>IFERROR(INDEX('Green_rooibos initial weight'!$C$5:$C$2000,MATCH(H318, 'Green_rooibos initial weight'!$A$5:$A$2000,0)),"")</f>
        <v>2.117</v>
      </c>
      <c r="K318">
        <f>IFERROR(INDEX('Green_rooibos initial weight'!$C$5:$C$2000,MATCH(I318, 'Green_rooibos initial weight'!$A$5:$A$2000,0)),"")</f>
        <v>2.133</v>
      </c>
      <c r="L318" s="194">
        <f t="shared" si="54"/>
        <v>1.8672</v>
      </c>
      <c r="M318" s="194">
        <f>AVERAGE(Ashed_controlls!$K$2:$K$11)</f>
        <v>5.5147656768714146</v>
      </c>
      <c r="N318" s="194">
        <f t="shared" si="41"/>
        <v>1.764228295281457</v>
      </c>
      <c r="O318" s="194">
        <f t="shared" si="45"/>
        <v>1.8832</v>
      </c>
      <c r="P318" s="194">
        <f>AVERAGE(Ashed_controlls!$K$12:$K$14)</f>
        <v>2.2816647271287041</v>
      </c>
      <c r="Q318" s="194">
        <f t="shared" si="46"/>
        <v>1.8402316898587123</v>
      </c>
      <c r="R318" s="16">
        <f>IF('WetLitterbags placem_collection'!G25="","",'WetLitterbags placem_collection'!G25)</f>
        <v>42818</v>
      </c>
      <c r="S318" s="194">
        <f>IFERROR(INDEX('Both teabags AfterWet'!$C$3:$C$2000,MATCH(H318,'Both teabags AfterWet'!$A$3:$A$2000,0)),"")</f>
        <v>0.72629999999999995</v>
      </c>
      <c r="T318" s="194">
        <f>IFERROR(INDEX('Both teabags AfterWet'!$C$3:$C$2000,MATCH(I318,'Both teabags AfterWet'!$A$3:$A$2000,0)),"")</f>
        <v>1.5238</v>
      </c>
      <c r="U318" s="194">
        <f t="shared" si="47"/>
        <v>0.57569999999999988</v>
      </c>
      <c r="V318" s="194">
        <f t="shared" si="48"/>
        <v>1.3732</v>
      </c>
      <c r="W318" s="194">
        <f>IFERROR(INDEX('Ashed teabags wet'!$K$2:$K$2000,MATCH(H318,'Ashed teabags wet'!$A$2:$A$2000,0)),"")</f>
        <v>5.4787506400411408</v>
      </c>
      <c r="X318" s="237">
        <f>IFERROR(INDEX('Ashed teabags wet'!$K$2:$K$2000,MATCH(I318,'Ashed teabags wet'!$A$2:$A$2000,0)),"")</f>
        <v>1.7982017982017391</v>
      </c>
      <c r="Y318" s="194">
        <f t="shared" si="53"/>
        <v>0.54415883256528308</v>
      </c>
      <c r="Z318" s="194">
        <f t="shared" si="53"/>
        <v>1.3485070929070937</v>
      </c>
      <c r="AA318" s="194">
        <f t="shared" si="49"/>
        <v>0.69155985423163702</v>
      </c>
      <c r="AB318" s="194">
        <f t="shared" si="50"/>
        <v>0.45337415621836541</v>
      </c>
      <c r="AC318" s="194">
        <f t="shared" si="42"/>
        <v>0.7327920176239483</v>
      </c>
      <c r="AD318">
        <f t="shared" si="43"/>
        <v>51</v>
      </c>
      <c r="AE318" s="194">
        <f t="shared" si="51"/>
        <v>0.17867000685078738</v>
      </c>
      <c r="AF318" s="194">
        <f t="shared" si="52"/>
        <v>1.7452510860254254E-2</v>
      </c>
      <c r="AG318" s="252" t="str">
        <f>IF(ISNUMBER(SEARCH("C",'WetLitterbags placem_collection'!$Y25)),"YES","NO")</f>
        <v>NO</v>
      </c>
      <c r="AH318" s="252" t="str">
        <f>IF(ISNUMBER(SEARCH("H", 'WetLitterbags placem_collection'!$Y25)),"YES","NO")</f>
        <v>NO</v>
      </c>
      <c r="AI318" s="252" t="str">
        <f>IF(ISNUMBER(SEARCH("R", 'WetLitterbags placem_collection'!$Y25)),"YES","NO")</f>
        <v>NO</v>
      </c>
      <c r="AJ318" s="252" t="str">
        <f>IF(ISNUMBER(SEARCH("C", 'WetLitterbags placem_collection'!$W25)),"YES","NO")</f>
        <v>NO</v>
      </c>
      <c r="AK318" s="252" t="str">
        <f>IF(ISNUMBER(SEARCH("H", 'WetLitterbags placem_collection'!$W25)),"YES","NO")</f>
        <v>NO</v>
      </c>
      <c r="AL318" s="252" t="str">
        <f>IF(ISNUMBER(SEARCH("R", 'WetLitterbags placem_collection'!$W25)),"YES","NO")</f>
        <v>NO</v>
      </c>
    </row>
    <row r="319" spans="2:38">
      <c r="B319" t="str">
        <f>'Final data_for_R_analysis_Wetse'!A465</f>
        <v>Wet</v>
      </c>
      <c r="C319" s="260">
        <f>'Final data_for_R_analysis_Wetse'!B465</f>
        <v>24</v>
      </c>
      <c r="D319" t="s">
        <v>3803</v>
      </c>
      <c r="E319" t="s">
        <v>25</v>
      </c>
      <c r="F319" s="382">
        <v>8</v>
      </c>
      <c r="G319" s="16">
        <f>'WetLitterbags placem_collection'!E26</f>
        <v>42767</v>
      </c>
      <c r="H319" s="92" t="str">
        <f>'Final data_for_R_analysis_Wetse'!K465</f>
        <v>G421</v>
      </c>
      <c r="I319" t="str">
        <f>'Final data_for_R_analysis_Wetse'!K685</f>
        <v>R71</v>
      </c>
      <c r="J319">
        <f>IFERROR(INDEX('Green_rooibos initial weight'!$C$5:$C$2000,MATCH(H319, 'Green_rooibos initial weight'!$A$5:$A$2000,0)),"")</f>
        <v>2.052</v>
      </c>
      <c r="K319">
        <f>IFERROR(INDEX('Green_rooibos initial weight'!$C$5:$C$2000,MATCH(I319, 'Green_rooibos initial weight'!$A$5:$A$2000,0)),"")</f>
        <v>2.2440000000000002</v>
      </c>
      <c r="L319" s="194">
        <f t="shared" si="54"/>
        <v>1.8022</v>
      </c>
      <c r="M319" s="194">
        <f>AVERAGE(Ashed_controlls!$K$2:$K$11)</f>
        <v>5.5147656768714146</v>
      </c>
      <c r="N319" s="194">
        <f t="shared" si="41"/>
        <v>1.7028128929714235</v>
      </c>
      <c r="O319" s="194">
        <f t="shared" si="45"/>
        <v>1.9942000000000002</v>
      </c>
      <c r="P319" s="194">
        <f>AVERAGE(Ashed_controlls!$K$12:$K$14)</f>
        <v>2.2816647271287041</v>
      </c>
      <c r="Q319" s="194">
        <f t="shared" si="46"/>
        <v>1.9486990420115995</v>
      </c>
      <c r="R319" s="16">
        <f>IF('WetLitterbags placem_collection'!G26="","",'WetLitterbags placem_collection'!G26)</f>
        <v>42818</v>
      </c>
      <c r="S319" s="194">
        <f>IFERROR(INDEX('Both teabags AfterWet'!$C$3:$C$2000,MATCH(H319,'Both teabags AfterWet'!$A$3:$A$2000,0)),"")</f>
        <v>0.67</v>
      </c>
      <c r="T319" s="194">
        <f>IFERROR(INDEX('Both teabags AfterWet'!$C$3:$C$2000,MATCH(I319,'Both teabags AfterWet'!$A$3:$A$2000,0)),"")</f>
        <v>1.3083</v>
      </c>
      <c r="U319" s="194">
        <f t="shared" si="47"/>
        <v>0.51940000000000008</v>
      </c>
      <c r="V319" s="194">
        <f t="shared" si="48"/>
        <v>1.1577</v>
      </c>
      <c r="W319" s="194">
        <f>IFERROR(INDEX('Ashed teabags wet'!$K$2:$K$2000,MATCH(H319,'Ashed teabags wet'!$A$2:$A$2000,0)),"")</f>
        <v>10.957551826258362</v>
      </c>
      <c r="X319" s="237">
        <f>IFERROR(INDEX('Ashed teabags wet'!$K$2:$K$2000,MATCH(I319,'Ashed teabags wet'!$A$2:$A$2000,0)),"")</f>
        <v>5.6575682382137682</v>
      </c>
      <c r="Y319" s="194">
        <f t="shared" si="53"/>
        <v>0.46248647581441416</v>
      </c>
      <c r="Z319" s="194">
        <f t="shared" si="53"/>
        <v>1.0922023325061991</v>
      </c>
      <c r="AA319" s="194">
        <f t="shared" si="49"/>
        <v>0.72839853531566168</v>
      </c>
      <c r="AB319" s="194">
        <f t="shared" si="50"/>
        <v>0.47752493051573075</v>
      </c>
      <c r="AC319" s="194">
        <f t="shared" si="42"/>
        <v>0.56047768740048365</v>
      </c>
      <c r="AD319">
        <f t="shared" si="43"/>
        <v>51</v>
      </c>
      <c r="AE319" s="194">
        <f t="shared" si="51"/>
        <v>0.13491860413816903</v>
      </c>
      <c r="AF319" s="194">
        <f t="shared" si="52"/>
        <v>4.9626692532875494E-2</v>
      </c>
      <c r="AG319" s="252" t="str">
        <f>IF(ISNUMBER(SEARCH("C",'WetLitterbags placem_collection'!$Y26)),"YES","NO")</f>
        <v>NO</v>
      </c>
      <c r="AH319" s="252" t="str">
        <f>IF(ISNUMBER(SEARCH("H", 'WetLitterbags placem_collection'!$Y26)),"YES","NO")</f>
        <v>NO</v>
      </c>
      <c r="AI319" s="252" t="str">
        <f>IF(ISNUMBER(SEARCH("R", 'WetLitterbags placem_collection'!$Y26)),"YES","NO")</f>
        <v>NO</v>
      </c>
      <c r="AJ319" s="252" t="str">
        <f>IF(ISNUMBER(SEARCH("C", 'WetLitterbags placem_collection'!$W26)),"YES","NO")</f>
        <v>NO</v>
      </c>
      <c r="AK319" s="252" t="str">
        <f>IF(ISNUMBER(SEARCH("H", 'WetLitterbags placem_collection'!$W26)),"YES","NO")</f>
        <v>NO</v>
      </c>
      <c r="AL319" s="252" t="str">
        <f>IF(ISNUMBER(SEARCH("R", 'WetLitterbags placem_collection'!$W26)),"YES","NO")</f>
        <v>YES</v>
      </c>
    </row>
    <row r="320" spans="2:38">
      <c r="B320" t="str">
        <f>'Final data_for_R_analysis_Wetse'!A466</f>
        <v>Wet</v>
      </c>
      <c r="C320" s="260">
        <f>'Final data_for_R_analysis_Wetse'!B466</f>
        <v>25</v>
      </c>
      <c r="D320" t="s">
        <v>3804</v>
      </c>
      <c r="E320" t="s">
        <v>25</v>
      </c>
      <c r="F320" s="381">
        <v>1</v>
      </c>
      <c r="G320" s="16">
        <f>'WetLitterbags placem_collection'!E27</f>
        <v>42767</v>
      </c>
      <c r="H320" s="92" t="str">
        <f>'Final data_for_R_analysis_Wetse'!K466</f>
        <v>G864</v>
      </c>
      <c r="I320" t="str">
        <f>'Final data_for_R_analysis_Wetse'!K686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54"/>
        <v>1.7812000000000001</v>
      </c>
      <c r="M320" s="194">
        <f>AVERAGE(Ashed_controlls!$K$2:$K$11)</f>
        <v>5.5147656768714146</v>
      </c>
      <c r="N320" s="194">
        <f t="shared" si="41"/>
        <v>1.6829709937635664</v>
      </c>
      <c r="O320" s="194">
        <f t="shared" si="45"/>
        <v>1.9611999999999998</v>
      </c>
      <c r="P320" s="194">
        <f>AVERAGE(Ashed_controlls!$K$12:$K$14)</f>
        <v>2.2816647271287041</v>
      </c>
      <c r="Q320" s="194">
        <f t="shared" si="46"/>
        <v>1.9164519913715516</v>
      </c>
      <c r="R320" s="16">
        <f>IF('WetLitterbags placem_collection'!G27="","",'WetLitterbags placem_collection'!G27)</f>
        <v>42818</v>
      </c>
      <c r="S320" s="194">
        <f>IFERROR(INDEX('Both teabags AfterWet'!$C$3:$C$2000,MATCH(H320,'Both teabags AfterWet'!$A$3:$A$2000,0)),"")</f>
        <v>0.65839999999999999</v>
      </c>
      <c r="T320" s="194">
        <f>IFERROR(INDEX('Both teabags AfterWet'!$C$3:$C$2000,MATCH(I320,'Both teabags AfterWet'!$A$3:$A$2000,0)),"")</f>
        <v>1.4184000000000001</v>
      </c>
      <c r="U320" s="194">
        <f t="shared" si="47"/>
        <v>0.50780000000000003</v>
      </c>
      <c r="V320" s="194">
        <f t="shared" si="48"/>
        <v>1.2678</v>
      </c>
      <c r="W320" s="194">
        <f>IFERROR(INDEX('Ashed teabags wet'!$K$2:$K$2000,MATCH(H320,'Ashed teabags wet'!$A$2:$A$2000,0)),"")</f>
        <v>15.647921760391469</v>
      </c>
      <c r="X320" s="237">
        <f>IFERROR(INDEX('Ashed teabags wet'!$K$2:$K$2000,MATCH(I320,'Ashed teabags wet'!$A$2:$A$2000,0)),"")</f>
        <v>3.8194444444447946</v>
      </c>
      <c r="Y320" s="194">
        <f t="shared" si="53"/>
        <v>0.42833985330073215</v>
      </c>
      <c r="Z320" s="194">
        <f t="shared" si="53"/>
        <v>1.2193770833333288</v>
      </c>
      <c r="AA320" s="194">
        <f t="shared" si="49"/>
        <v>0.74548589673381627</v>
      </c>
      <c r="AB320" s="194">
        <f t="shared" si="50"/>
        <v>0.4887270961960411</v>
      </c>
      <c r="AC320" s="194">
        <f t="shared" si="42"/>
        <v>0.6362680040112324</v>
      </c>
      <c r="AD320">
        <f t="shared" si="43"/>
        <v>51</v>
      </c>
      <c r="AE320" s="194">
        <f t="shared" si="51"/>
        <v>0.11462482573180965</v>
      </c>
      <c r="AF320" s="194">
        <f t="shared" si="52"/>
        <v>2.6735876666790566E-2</v>
      </c>
      <c r="AG320" s="252" t="str">
        <f>IF(ISNUMBER(SEARCH("C",'WetLitterbags placem_collection'!$Y27)),"YES","NO")</f>
        <v>NO</v>
      </c>
      <c r="AH320" s="252" t="str">
        <f>IF(ISNUMBER(SEARCH("H", 'WetLitterbags placem_collection'!$Y27)),"YES","NO")</f>
        <v>NO</v>
      </c>
      <c r="AI320" s="252" t="str">
        <f>IF(ISNUMBER(SEARCH("R", 'WetLitterbags placem_collection'!$Y27)),"YES","NO")</f>
        <v>NO</v>
      </c>
      <c r="AJ320" s="252" t="str">
        <f>IF(ISNUMBER(SEARCH("C", 'WetLitterbags placem_collection'!$W27)),"YES","NO")</f>
        <v>NO</v>
      </c>
      <c r="AK320" s="252" t="str">
        <f>IF(ISNUMBER(SEARCH("H", 'WetLitterbags placem_collection'!$W27)),"YES","NO")</f>
        <v>NO</v>
      </c>
      <c r="AL320" s="252" t="str">
        <f>IF(ISNUMBER(SEARCH("R", 'WetLitterbags placem_collection'!$W27)),"YES","NO")</f>
        <v>NO</v>
      </c>
    </row>
    <row r="321" spans="2:38">
      <c r="B321" t="str">
        <f>'Final data_for_R_analysis_Wetse'!A467</f>
        <v>Wet</v>
      </c>
      <c r="C321" s="260">
        <f>'Final data_for_R_analysis_Wetse'!B467</f>
        <v>26</v>
      </c>
      <c r="D321" t="s">
        <v>3804</v>
      </c>
      <c r="E321" t="s">
        <v>25</v>
      </c>
      <c r="F321" s="381">
        <v>2</v>
      </c>
      <c r="G321" s="16">
        <f>'WetLitterbags placem_collection'!E28</f>
        <v>42767</v>
      </c>
      <c r="H321" s="92" t="str">
        <f>'Final data_for_R_analysis_Wetse'!K467</f>
        <v>G506</v>
      </c>
      <c r="I321" t="str">
        <f>'Final data_for_R_analysis_Wetse'!K687</f>
        <v>R189</v>
      </c>
      <c r="J321">
        <f>IFERROR(INDEX('Green_rooibos initial weight'!$C$5:$C$2000,MATCH(H321, 'Green_rooibos initial weight'!$A$5:$A$2000,0)),"")</f>
        <v>1.9079999999999999</v>
      </c>
      <c r="K321">
        <f>IFERROR(INDEX('Green_rooibos initial weight'!$C$5:$C$2000,MATCH(I321, 'Green_rooibos initial weight'!$A$5:$A$2000,0)),"")</f>
        <v>2.274</v>
      </c>
      <c r="L321" s="194">
        <f t="shared" si="54"/>
        <v>1.6581999999999999</v>
      </c>
      <c r="M321" s="194">
        <f>AVERAGE(Ashed_controlls!$K$2:$K$11)</f>
        <v>5.5147656768714146</v>
      </c>
      <c r="N321" s="194">
        <f t="shared" si="41"/>
        <v>1.5667541555461182</v>
      </c>
      <c r="O321" s="194">
        <f t="shared" si="45"/>
        <v>2.0242</v>
      </c>
      <c r="P321" s="194">
        <f>AVERAGE(Ashed_controlls!$K$12:$K$14)</f>
        <v>2.2816647271287041</v>
      </c>
      <c r="Q321" s="194">
        <f t="shared" si="46"/>
        <v>1.9780145425934608</v>
      </c>
      <c r="R321" s="16">
        <f>IF('WetLitterbags placem_collection'!G28="","",'WetLitterbags placem_collection'!G28)</f>
        <v>42818</v>
      </c>
      <c r="S321" s="194">
        <f>IFERROR(INDEX('Both teabags AfterWet'!$C$3:$C$2000,MATCH(H321,'Both teabags AfterWet'!$A$3:$A$2000,0)),"")</f>
        <v>0.67589999999999995</v>
      </c>
      <c r="T321" s="194">
        <f>IFERROR(INDEX('Both teabags AfterWet'!$C$3:$C$2000,MATCH(I321,'Both teabags AfterWet'!$A$3:$A$2000,0)),"")</f>
        <v>1.464</v>
      </c>
      <c r="U321" s="194">
        <f t="shared" si="47"/>
        <v>0.52529999999999988</v>
      </c>
      <c r="V321" s="194">
        <f t="shared" si="48"/>
        <v>1.3133999999999999</v>
      </c>
      <c r="W321" s="194">
        <f>IFERROR(INDEX('Ashed teabags wet'!$K$2:$K$2000,MATCH(H321,'Ashed teabags wet'!$A$2:$A$2000,0)),"")</f>
        <v>8.561473369835749</v>
      </c>
      <c r="X321" s="237">
        <f>IFERROR(INDEX('Ashed teabags wet'!$K$2:$K$2000,MATCH(I321,'Ashed teabags wet'!$A$2:$A$2000,0)),"")</f>
        <v>2.9721955896448731</v>
      </c>
      <c r="Y321" s="194">
        <f t="shared" si="53"/>
        <v>0.48032658038825271</v>
      </c>
      <c r="Z321" s="194">
        <f t="shared" si="53"/>
        <v>1.2743631831256041</v>
      </c>
      <c r="AA321" s="194">
        <f t="shared" si="49"/>
        <v>0.69342568603507115</v>
      </c>
      <c r="AB321" s="194">
        <f t="shared" si="50"/>
        <v>0.45459736186622252</v>
      </c>
      <c r="AC321" s="194">
        <f t="shared" si="42"/>
        <v>0.64426380882656764</v>
      </c>
      <c r="AD321">
        <f t="shared" si="43"/>
        <v>51</v>
      </c>
      <c r="AE321" s="194">
        <f t="shared" si="51"/>
        <v>0.17645405459017671</v>
      </c>
      <c r="AF321" s="194">
        <f t="shared" si="52"/>
        <v>2.9915599185669085E-2</v>
      </c>
      <c r="AG321" s="252" t="str">
        <f>IF(ISNUMBER(SEARCH("C",'WetLitterbags placem_collection'!$Y28)),"YES","NO")</f>
        <v>NO</v>
      </c>
      <c r="AH321" s="252" t="str">
        <f>IF(ISNUMBER(SEARCH("H", 'WetLitterbags placem_collection'!$Y28)),"YES","NO")</f>
        <v>NO</v>
      </c>
      <c r="AI321" s="252" t="str">
        <f>IF(ISNUMBER(SEARCH("R", 'WetLitterbags placem_collection'!$Y28)),"YES","NO")</f>
        <v>NO</v>
      </c>
      <c r="AJ321" s="252" t="str">
        <f>IF(ISNUMBER(SEARCH("C", 'WetLitterbags placem_collection'!$W28)),"YES","NO")</f>
        <v>NO</v>
      </c>
      <c r="AK321" s="252" t="str">
        <f>IF(ISNUMBER(SEARCH("H", 'WetLitterbags placem_collection'!$W28)),"YES","NO")</f>
        <v>NO</v>
      </c>
      <c r="AL321" s="252" t="str">
        <f>IF(ISNUMBER(SEARCH("R", 'WetLitterbags placem_collection'!$W28)),"YES","NO")</f>
        <v>NO</v>
      </c>
    </row>
    <row r="322" spans="2:38">
      <c r="B322" t="str">
        <f>'Final data_for_R_analysis_Wetse'!A468</f>
        <v>Wet</v>
      </c>
      <c r="C322" s="260">
        <f>'Final data_for_R_analysis_Wetse'!B468</f>
        <v>27</v>
      </c>
      <c r="D322" t="s">
        <v>3804</v>
      </c>
      <c r="E322" t="s">
        <v>25</v>
      </c>
      <c r="F322" s="381">
        <v>3</v>
      </c>
      <c r="G322" s="16">
        <f>'WetLitterbags placem_collection'!E29</f>
        <v>42767</v>
      </c>
      <c r="H322" s="92" t="str">
        <f>'Final data_for_R_analysis_Wetse'!K468</f>
        <v>G449</v>
      </c>
      <c r="I322" t="str">
        <f>'Final data_for_R_analysis_Wetse'!K688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54"/>
        <v>1.9251999999999998</v>
      </c>
      <c r="M322" s="194">
        <f>AVERAGE(Ashed_controlls!$K$2:$K$11)</f>
        <v>5.5147656768714146</v>
      </c>
      <c r="N322" s="194">
        <f t="shared" si="41"/>
        <v>1.8190297311888712</v>
      </c>
      <c r="O322" s="194">
        <f t="shared" si="45"/>
        <v>1.9611999999999998</v>
      </c>
      <c r="P322" s="194">
        <f>AVERAGE(Ashed_controlls!$K$12:$K$14)</f>
        <v>2.2816647271287041</v>
      </c>
      <c r="Q322" s="194">
        <f t="shared" si="46"/>
        <v>1.9164519913715516</v>
      </c>
      <c r="R322" s="16">
        <f>IF('WetLitterbags placem_collection'!G29="","",'WetLitterbags placem_collection'!G29)</f>
        <v>42818</v>
      </c>
      <c r="S322" s="194">
        <f>IFERROR(INDEX('Both teabags AfterWet'!$C$3:$C$2000,MATCH(H322,'Both teabags AfterWet'!$A$3:$A$2000,0)),"")</f>
        <v>0.73760000000000003</v>
      </c>
      <c r="T322" s="194">
        <f>IFERROR(INDEX('Both teabags AfterWet'!$C$3:$C$2000,MATCH(I322,'Both teabags AfterWet'!$A$3:$A$2000,0)),"")</f>
        <v>1.5392999999999999</v>
      </c>
      <c r="U322" s="194">
        <f t="shared" si="47"/>
        <v>0.58699999999999997</v>
      </c>
      <c r="V322" s="194">
        <f t="shared" si="48"/>
        <v>1.3886999999999998</v>
      </c>
      <c r="W322" s="194">
        <f>IFERROR(INDEX('Ashed teabags wet'!$K$2:$K$2000,MATCH(H322,'Ashed teabags wet'!$A$2:$A$2000,0)),"")</f>
        <v>10.444777611194501</v>
      </c>
      <c r="X322" s="237">
        <f>IFERROR(INDEX('Ashed teabags wet'!$K$2:$K$2000,MATCH(I322,'Ashed teabags wet'!$A$2:$A$2000,0)),"")</f>
        <v>3.5156250000002229</v>
      </c>
      <c r="Y322" s="194">
        <f t="shared" si="53"/>
        <v>0.52568915542228822</v>
      </c>
      <c r="Z322" s="194">
        <f t="shared" si="53"/>
        <v>1.3398785156249968</v>
      </c>
      <c r="AA322" s="194">
        <f t="shared" si="49"/>
        <v>0.71100573761446362</v>
      </c>
      <c r="AB322" s="194">
        <f t="shared" si="50"/>
        <v>0.46612252632207124</v>
      </c>
      <c r="AC322" s="194">
        <f t="shared" si="42"/>
        <v>0.69914535905805963</v>
      </c>
      <c r="AD322">
        <f t="shared" si="43"/>
        <v>51</v>
      </c>
      <c r="AE322" s="194">
        <f t="shared" si="51"/>
        <v>0.15557513347450869</v>
      </c>
      <c r="AF322" s="194">
        <f t="shared" si="52"/>
        <v>2.0330996597188868E-2</v>
      </c>
      <c r="AG322" s="252" t="str">
        <f>IF(ISNUMBER(SEARCH("C",'WetLitterbags placem_collection'!$Y29)),"YES","NO")</f>
        <v>NO</v>
      </c>
      <c r="AH322" s="252" t="str">
        <f>IF(ISNUMBER(SEARCH("H", 'WetLitterbags placem_collection'!$Y29)),"YES","NO")</f>
        <v>NO</v>
      </c>
      <c r="AI322" s="252" t="str">
        <f>IF(ISNUMBER(SEARCH("R", 'WetLitterbags placem_collection'!$Y29)),"YES","NO")</f>
        <v>NO</v>
      </c>
      <c r="AJ322" s="252" t="str">
        <f>IF(ISNUMBER(SEARCH("C", 'WetLitterbags placem_collection'!$W29)),"YES","NO")</f>
        <v>NO</v>
      </c>
      <c r="AK322" s="252" t="str">
        <f>IF(ISNUMBER(SEARCH("H", 'WetLitterbags placem_collection'!$W29)),"YES","NO")</f>
        <v>NO</v>
      </c>
      <c r="AL322" s="252" t="str">
        <f>IF(ISNUMBER(SEARCH("R", 'WetLitterbags placem_collection'!$W29)),"YES","NO")</f>
        <v>NO</v>
      </c>
    </row>
    <row r="323" spans="2:38">
      <c r="B323" t="str">
        <f>'Final data_for_R_analysis_Wetse'!A469</f>
        <v>Wet</v>
      </c>
      <c r="C323" s="260">
        <f>'Final data_for_R_analysis_Wetse'!B469</f>
        <v>28</v>
      </c>
      <c r="D323" t="s">
        <v>3804</v>
      </c>
      <c r="E323" t="s">
        <v>25</v>
      </c>
      <c r="F323" s="382">
        <v>4</v>
      </c>
      <c r="G323" s="16">
        <f>'WetLitterbags placem_collection'!E30</f>
        <v>42767</v>
      </c>
      <c r="H323" s="92" t="str">
        <f>'Final data_for_R_analysis_Wetse'!K469</f>
        <v>G502</v>
      </c>
      <c r="I323" t="str">
        <f>'Final data_for_R_analysis_Wetse'!K689</f>
        <v>R172</v>
      </c>
      <c r="J323">
        <f>IFERROR(INDEX('Green_rooibos initial weight'!$C$5:$C$2000,MATCH(H323, 'Green_rooibos initial weight'!$A$5:$A$2000,0)),"")</f>
        <v>1.929</v>
      </c>
      <c r="K323">
        <f>IFERROR(INDEX('Green_rooibos initial weight'!$C$5:$C$2000,MATCH(I323, 'Green_rooibos initial weight'!$A$5:$A$2000,0)),"")</f>
        <v>2.1520000000000001</v>
      </c>
      <c r="L323" s="194">
        <f t="shared" si="54"/>
        <v>1.6792</v>
      </c>
      <c r="M323" s="194">
        <f>AVERAGE(Ashed_controlls!$K$2:$K$11)</f>
        <v>5.5147656768714146</v>
      </c>
      <c r="N323" s="194">
        <f t="shared" si="41"/>
        <v>1.5865960547539752</v>
      </c>
      <c r="O323" s="194">
        <f t="shared" si="45"/>
        <v>1.9022000000000001</v>
      </c>
      <c r="P323" s="194">
        <f>AVERAGE(Ashed_controlls!$K$12:$K$14)</f>
        <v>2.2816647271287041</v>
      </c>
      <c r="Q323" s="194">
        <f t="shared" si="46"/>
        <v>1.8587981735605579</v>
      </c>
      <c r="R323" s="16">
        <f>IF('WetLitterbags placem_collection'!G30="","",'WetLitterbags placem_collection'!G30)</f>
        <v>42818</v>
      </c>
      <c r="S323" s="194">
        <f>IFERROR(INDEX('Both teabags AfterWet'!$C$3:$C$2000,MATCH(H323,'Both teabags AfterWet'!$A$3:$A$2000,0)),"")</f>
        <v>0.60960000000000003</v>
      </c>
      <c r="T323" s="194">
        <f>IFERROR(INDEX('Both teabags AfterWet'!$C$3:$C$2000,MATCH(I323,'Both teabags AfterWet'!$A$3:$A$2000,0)),"")</f>
        <v>1.4665999999999999</v>
      </c>
      <c r="U323" s="194">
        <f t="shared" si="47"/>
        <v>0.45900000000000002</v>
      </c>
      <c r="V323" s="194">
        <f t="shared" si="48"/>
        <v>1.3159999999999998</v>
      </c>
      <c r="W323" s="194">
        <f>IFERROR(INDEX('Ashed teabags wet'!$K$2:$K$2000,MATCH(H323,'Ashed teabags wet'!$A$2:$A$2000,0)),"")</f>
        <v>10.16121152906673</v>
      </c>
      <c r="X323" s="237">
        <f>IFERROR(INDEX('Ashed teabags wet'!$K$2:$K$2000,MATCH(I323,'Ashed teabags wet'!$A$2:$A$2000,0)),"")</f>
        <v>4.6569854782171465</v>
      </c>
      <c r="Y323" s="194">
        <f t="shared" si="53"/>
        <v>0.41236003908158375</v>
      </c>
      <c r="Z323" s="194">
        <f t="shared" si="53"/>
        <v>1.2547140711066622</v>
      </c>
      <c r="AA323" s="194">
        <f t="shared" si="49"/>
        <v>0.74009765255244742</v>
      </c>
      <c r="AB323" s="194">
        <f t="shared" si="50"/>
        <v>0.48519466058070193</v>
      </c>
      <c r="AC323" s="194">
        <f t="shared" si="42"/>
        <v>0.67501361307195451</v>
      </c>
      <c r="AD323">
        <f t="shared" si="43"/>
        <v>51</v>
      </c>
      <c r="AE323" s="194">
        <f t="shared" si="51"/>
        <v>0.12102416561467044</v>
      </c>
      <c r="AF323" s="194">
        <f t="shared" si="52"/>
        <v>2.1726970458094279E-2</v>
      </c>
      <c r="AG323" s="252" t="str">
        <f>IF(ISNUMBER(SEARCH("C",'WetLitterbags placem_collection'!$Y30)),"YES","NO")</f>
        <v>NO</v>
      </c>
      <c r="AH323" s="252" t="str">
        <f>IF(ISNUMBER(SEARCH("H", 'WetLitterbags placem_collection'!$Y30)),"YES","NO")</f>
        <v>NO</v>
      </c>
      <c r="AI323" s="252" t="str">
        <f>IF(ISNUMBER(SEARCH("R", 'WetLitterbags placem_collection'!$Y30)),"YES","NO")</f>
        <v>NO</v>
      </c>
      <c r="AJ323" s="252" t="str">
        <f>IF(ISNUMBER(SEARCH("C", 'WetLitterbags placem_collection'!$W30)),"YES","NO")</f>
        <v>NO</v>
      </c>
      <c r="AK323" s="252" t="str">
        <f>IF(ISNUMBER(SEARCH("H", 'WetLitterbags placem_collection'!$W30)),"YES","NO")</f>
        <v>NO</v>
      </c>
      <c r="AL323" s="252" t="str">
        <f>IF(ISNUMBER(SEARCH("R", 'WetLitterbags placem_collection'!$W30)),"YES","NO")</f>
        <v>NO</v>
      </c>
    </row>
    <row r="324" spans="2:38">
      <c r="B324" t="str">
        <f>'Final data_for_R_analysis_Wetse'!A470</f>
        <v>Wet</v>
      </c>
      <c r="C324" s="260">
        <f>'Final data_for_R_analysis_Wetse'!B470</f>
        <v>29</v>
      </c>
      <c r="D324" t="s">
        <v>3804</v>
      </c>
      <c r="E324" t="s">
        <v>25</v>
      </c>
      <c r="F324" s="382">
        <v>5</v>
      </c>
      <c r="G324" s="16">
        <f>'WetLitterbags placem_collection'!E31</f>
        <v>42767</v>
      </c>
      <c r="H324" s="92" t="str">
        <f>'Final data_for_R_analysis_Wetse'!K470</f>
        <v>G345</v>
      </c>
      <c r="I324" t="str">
        <f>'Final data_for_R_analysis_Wetse'!K690</f>
        <v>R349</v>
      </c>
      <c r="J324">
        <f>IFERROR(INDEX('Green_rooibos initial weight'!$C$5:$C$2000,MATCH(H324, 'Green_rooibos initial weight'!$A$5:$A$2000,0)),"")</f>
        <v>2.012</v>
      </c>
      <c r="K324">
        <f>IFERROR(INDEX('Green_rooibos initial weight'!$C$5:$C$2000,MATCH(I324, 'Green_rooibos initial weight'!$A$5:$A$2000,0)),"")</f>
        <v>2.2469999999999999</v>
      </c>
      <c r="L324" s="194">
        <f t="shared" si="54"/>
        <v>1.7622</v>
      </c>
      <c r="M324" s="194">
        <f>AVERAGE(Ashed_controlls!$K$2:$K$11)</f>
        <v>5.5147656768714146</v>
      </c>
      <c r="N324" s="194">
        <f t="shared" si="41"/>
        <v>1.6650187992421719</v>
      </c>
      <c r="O324" s="194">
        <f t="shared" si="45"/>
        <v>1.9971999999999999</v>
      </c>
      <c r="P324" s="194">
        <f>AVERAGE(Ashed_controlls!$K$12:$K$14)</f>
        <v>2.2816647271287041</v>
      </c>
      <c r="Q324" s="194">
        <f t="shared" si="46"/>
        <v>1.9516305920697854</v>
      </c>
      <c r="R324" s="16">
        <f>IF('WetLitterbags placem_collection'!G31="","",'WetLitterbags placem_collection'!G31)</f>
        <v>42818</v>
      </c>
      <c r="S324" s="194">
        <f>IFERROR(INDEX('Both teabags AfterWet'!$C$3:$C$2000,MATCH(H324,'Both teabags AfterWet'!$A$3:$A$2000,0)),"")</f>
        <v>0.64829999999999999</v>
      </c>
      <c r="T324" s="194">
        <f>IFERROR(INDEX('Both teabags AfterWet'!$C$3:$C$2000,MATCH(I324,'Both teabags AfterWet'!$A$3:$A$2000,0)),"")</f>
        <v>1.4108000000000001</v>
      </c>
      <c r="U324" s="194">
        <f t="shared" si="47"/>
        <v>0.49769999999999998</v>
      </c>
      <c r="V324" s="194">
        <f t="shared" si="48"/>
        <v>1.2602</v>
      </c>
      <c r="W324" s="194">
        <f>IFERROR(INDEX('Ashed teabags wet'!$K$2:$K$2000,MATCH(H324,'Ashed teabags wet'!$A$2:$A$2000,0)),"")</f>
        <v>9.5937347038662821</v>
      </c>
      <c r="X324" s="237">
        <f>IFERROR(INDEX('Ashed teabags wet'!$K$2:$K$2000,MATCH(I324,'Ashed teabags wet'!$A$2:$A$2000,0)),"")</f>
        <v>3.0821917808218364</v>
      </c>
      <c r="Y324" s="194">
        <f t="shared" si="53"/>
        <v>0.44995198237885747</v>
      </c>
      <c r="Z324" s="194">
        <f t="shared" si="53"/>
        <v>1.2213582191780832</v>
      </c>
      <c r="AA324" s="194">
        <f t="shared" si="49"/>
        <v>0.72976162035909042</v>
      </c>
      <c r="AB324" s="194">
        <f t="shared" si="50"/>
        <v>0.47841854446344173</v>
      </c>
      <c r="AC324" s="194">
        <f t="shared" si="42"/>
        <v>0.62581424176323353</v>
      </c>
      <c r="AD324">
        <f t="shared" si="43"/>
        <v>51</v>
      </c>
      <c r="AE324" s="194">
        <f t="shared" si="51"/>
        <v>0.1332997382908665</v>
      </c>
      <c r="AF324" s="194">
        <f t="shared" si="52"/>
        <v>2.987959291134136E-2</v>
      </c>
      <c r="AG324" s="252" t="str">
        <f>IF(ISNUMBER(SEARCH("C",'WetLitterbags placem_collection'!$Y31)),"YES","NO")</f>
        <v>NO</v>
      </c>
      <c r="AH324" s="252" t="str">
        <f>IF(ISNUMBER(SEARCH("H", 'WetLitterbags placem_collection'!$Y31)),"YES","NO")</f>
        <v>NO</v>
      </c>
      <c r="AI324" s="252" t="str">
        <f>IF(ISNUMBER(SEARCH("R", 'WetLitterbags placem_collection'!$Y31)),"YES","NO")</f>
        <v>NO</v>
      </c>
      <c r="AJ324" s="252" t="str">
        <f>IF(ISNUMBER(SEARCH("C", 'WetLitterbags placem_collection'!$W31)),"YES","NO")</f>
        <v>NO</v>
      </c>
      <c r="AK324" s="252" t="str">
        <f>IF(ISNUMBER(SEARCH("H", 'WetLitterbags placem_collection'!$W31)),"YES","NO")</f>
        <v>YES</v>
      </c>
      <c r="AL324" s="252" t="str">
        <f>IF(ISNUMBER(SEARCH("R", 'WetLitterbags placem_collection'!$W31)),"YES","NO")</f>
        <v>YES</v>
      </c>
    </row>
    <row r="325" spans="2:38">
      <c r="B325" t="str">
        <f>'Final data_for_R_analysis_Wetse'!A471</f>
        <v>Wet</v>
      </c>
      <c r="C325" s="260">
        <f>'Final data_for_R_analysis_Wetse'!B471</f>
        <v>30</v>
      </c>
      <c r="D325" t="s">
        <v>3804</v>
      </c>
      <c r="E325" t="s">
        <v>25</v>
      </c>
      <c r="F325" s="382">
        <v>6</v>
      </c>
      <c r="G325" s="16">
        <f>'WetLitterbags placem_collection'!E32</f>
        <v>42767</v>
      </c>
      <c r="H325" s="92" t="str">
        <f>'Final data_for_R_analysis_Wetse'!K471</f>
        <v>G500</v>
      </c>
      <c r="I325" t="str">
        <f>'Final data_for_R_analysis_Wetse'!K691</f>
        <v>R296</v>
      </c>
      <c r="J325">
        <f>IFERROR(INDEX('Green_rooibos initial weight'!$C$5:$C$2000,MATCH(H325, 'Green_rooibos initial weight'!$A$5:$A$2000,0)),"")</f>
        <v>2.0830000000000002</v>
      </c>
      <c r="K325">
        <f>IFERROR(INDEX('Green_rooibos initial weight'!$C$5:$C$2000,MATCH(I325, 'Green_rooibos initial weight'!$A$5:$A$2000,0)),"")</f>
        <v>2.226</v>
      </c>
      <c r="L325" s="194">
        <f t="shared" si="54"/>
        <v>1.8332000000000002</v>
      </c>
      <c r="M325" s="194">
        <f>AVERAGE(Ashed_controlls!$K$2:$K$11)</f>
        <v>5.5147656768714146</v>
      </c>
      <c r="N325" s="194">
        <f t="shared" si="41"/>
        <v>1.7321033156115935</v>
      </c>
      <c r="O325" s="194">
        <f t="shared" si="45"/>
        <v>1.9762</v>
      </c>
      <c r="P325" s="194">
        <f>AVERAGE(Ashed_controlls!$K$12:$K$14)</f>
        <v>2.2816647271287041</v>
      </c>
      <c r="Q325" s="194">
        <f t="shared" si="46"/>
        <v>1.9311097416624825</v>
      </c>
      <c r="R325" s="16">
        <f>IF('WetLitterbags placem_collection'!G32="","",'WetLitterbags placem_collection'!G32)</f>
        <v>42818</v>
      </c>
      <c r="S325" s="194">
        <f>IFERROR(INDEX('Both teabags AfterWet'!$C$3:$C$2000,MATCH(H325,'Both teabags AfterWet'!$A$3:$A$2000,0)),"")</f>
        <v>0.61909999999999998</v>
      </c>
      <c r="T325" s="194">
        <f>IFERROR(INDEX('Both teabags AfterWet'!$C$3:$C$2000,MATCH(I325,'Both teabags AfterWet'!$A$3:$A$2000,0)),"")</f>
        <v>1.3653</v>
      </c>
      <c r="U325" s="194">
        <f t="shared" si="47"/>
        <v>0.46849999999999997</v>
      </c>
      <c r="V325" s="194">
        <f t="shared" si="48"/>
        <v>1.2146999999999999</v>
      </c>
      <c r="W325" s="194">
        <f>IFERROR(INDEX('Ashed teabags wet'!$K$2:$K$2000,MATCH(H325,'Ashed teabags wet'!$A$2:$A$2000,0)),"")</f>
        <v>10.952848722986133</v>
      </c>
      <c r="X325" s="237">
        <f>IFERROR(INDEX('Ashed teabags wet'!$K$2:$K$2000,MATCH(I325,'Ashed teabags wet'!$A$2:$A$2000,0)),"")</f>
        <v>3.9301310043674835</v>
      </c>
      <c r="Y325" s="194">
        <f t="shared" si="53"/>
        <v>0.41718590373280995</v>
      </c>
      <c r="Z325" s="194">
        <f t="shared" si="53"/>
        <v>1.1669606986899481</v>
      </c>
      <c r="AA325" s="194">
        <f t="shared" si="49"/>
        <v>0.7591449078281427</v>
      </c>
      <c r="AB325" s="194">
        <f t="shared" si="50"/>
        <v>0.49768169729350931</v>
      </c>
      <c r="AC325" s="194">
        <f t="shared" si="42"/>
        <v>0.60429538182812836</v>
      </c>
      <c r="AD325">
        <f t="shared" si="43"/>
        <v>51</v>
      </c>
      <c r="AE325" s="194">
        <f t="shared" si="51"/>
        <v>9.8402722294367306E-2</v>
      </c>
      <c r="AF325" s="194">
        <f t="shared" si="52"/>
        <v>3.1082600726938008E-2</v>
      </c>
      <c r="AG325" s="252" t="str">
        <f>IF(ISNUMBER(SEARCH("C",'WetLitterbags placem_collection'!$Y32)),"YES","NO")</f>
        <v>NO</v>
      </c>
      <c r="AH325" s="252" t="str">
        <f>IF(ISNUMBER(SEARCH("H", 'WetLitterbags placem_collection'!$Y32)),"YES","NO")</f>
        <v>NO</v>
      </c>
      <c r="AI325" s="252" t="str">
        <f>IF(ISNUMBER(SEARCH("R", 'WetLitterbags placem_collection'!$Y32)),"YES","NO")</f>
        <v>NO</v>
      </c>
      <c r="AJ325" s="252" t="str">
        <f>IF(ISNUMBER(SEARCH("C", 'WetLitterbags placem_collection'!$W32)),"YES","NO")</f>
        <v>NO</v>
      </c>
      <c r="AK325" s="252" t="str">
        <f>IF(ISNUMBER(SEARCH("H", 'WetLitterbags placem_collection'!$W32)),"YES","NO")</f>
        <v>NO</v>
      </c>
      <c r="AL325" s="252" t="str">
        <f>IF(ISNUMBER(SEARCH("R", 'WetLitterbags placem_collection'!$W32)),"YES","NO")</f>
        <v>YES</v>
      </c>
    </row>
    <row r="326" spans="2:38">
      <c r="B326" t="str">
        <f>'Final data_for_R_analysis_Wetse'!A472</f>
        <v>Wet</v>
      </c>
      <c r="C326" s="260">
        <f>'Final data_for_R_analysis_Wetse'!B472</f>
        <v>31</v>
      </c>
      <c r="D326" t="s">
        <v>3804</v>
      </c>
      <c r="E326" t="s">
        <v>25</v>
      </c>
      <c r="F326" s="382">
        <v>7</v>
      </c>
      <c r="G326" s="16">
        <f>'WetLitterbags placem_collection'!E33</f>
        <v>42767</v>
      </c>
      <c r="H326" s="92" t="str">
        <f>'Final data_for_R_analysis_Wetse'!K472</f>
        <v>G521</v>
      </c>
      <c r="I326" t="str">
        <f>'Final data_for_R_analysis_Wetse'!K692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54"/>
        <v>1.9211999999999998</v>
      </c>
      <c r="M326" s="194">
        <f>AVERAGE(Ashed_controlls!$K$2:$K$11)</f>
        <v>5.5147656768714146</v>
      </c>
      <c r="N326" s="194">
        <f t="shared" si="41"/>
        <v>1.8152503218159461</v>
      </c>
      <c r="O326" s="194">
        <f t="shared" si="45"/>
        <v>1.9451999999999998</v>
      </c>
      <c r="P326" s="194">
        <f>AVERAGE(Ashed_controlls!$K$12:$K$14)</f>
        <v>2.2816647271287041</v>
      </c>
      <c r="Q326" s="194">
        <f t="shared" si="46"/>
        <v>1.9008170577278922</v>
      </c>
      <c r="R326" s="16">
        <f>IF('WetLitterbags placem_collection'!G33="","",'WetLitterbags placem_collection'!G33)</f>
        <v>42818</v>
      </c>
      <c r="S326" s="194">
        <f>IFERROR(INDEX('Both teabags AfterWet'!$C$3:$C$2000,MATCH(H326,'Both teabags AfterWet'!$A$3:$A$2000,0)),"")</f>
        <v>0.71479999999999999</v>
      </c>
      <c r="T326" s="194">
        <f>IFERROR(INDEX('Both teabags AfterWet'!$C$3:$C$2000,MATCH(I326,'Both teabags AfterWet'!$A$3:$A$2000,0)),"")</f>
        <v>1.425</v>
      </c>
      <c r="U326" s="194">
        <f t="shared" si="47"/>
        <v>0.56420000000000003</v>
      </c>
      <c r="V326" s="194">
        <f t="shared" si="48"/>
        <v>1.2744</v>
      </c>
      <c r="W326" s="194">
        <f>IFERROR(INDEX('Ashed teabags wet'!$K$2:$K$2000,MATCH(H326,'Ashed teabags wet'!$A$2:$A$2000,0)),"")</f>
        <v>14.161008729389133</v>
      </c>
      <c r="X326" s="237">
        <f>IFERROR(INDEX('Ashed teabags wet'!$K$2:$K$2000,MATCH(I326,'Ashed teabags wet'!$A$2:$A$2000,0)),"")</f>
        <v>20.058139534884134</v>
      </c>
      <c r="Y326" s="194">
        <f t="shared" si="53"/>
        <v>0.48430358874878654</v>
      </c>
      <c r="Z326" s="194">
        <f t="shared" si="53"/>
        <v>1.0187790697674366</v>
      </c>
      <c r="AA326" s="194">
        <f t="shared" si="49"/>
        <v>0.73320286302756454</v>
      </c>
      <c r="AB326" s="194">
        <f t="shared" si="50"/>
        <v>0.48067456103469791</v>
      </c>
      <c r="AC326" s="194">
        <f t="shared" si="42"/>
        <v>0.53596902743771457</v>
      </c>
      <c r="AD326">
        <f t="shared" si="43"/>
        <v>51</v>
      </c>
      <c r="AE326" s="194">
        <f t="shared" si="51"/>
        <v>0.1292127517487357</v>
      </c>
      <c r="AF326" s="194">
        <f t="shared" si="52"/>
        <v>6.5944419358779996E-2</v>
      </c>
      <c r="AG326" s="252" t="str">
        <f>IF(ISNUMBER(SEARCH("C",'WetLitterbags placem_collection'!$Y33)),"YES","NO")</f>
        <v>NO</v>
      </c>
      <c r="AH326" s="252" t="str">
        <f>IF(ISNUMBER(SEARCH("H", 'WetLitterbags placem_collection'!$Y33)),"YES","NO")</f>
        <v>NO</v>
      </c>
      <c r="AI326" s="252" t="str">
        <f>IF(ISNUMBER(SEARCH("R", 'WetLitterbags placem_collection'!$Y33)),"YES","NO")</f>
        <v>YES</v>
      </c>
      <c r="AJ326" s="252" t="str">
        <f>IF(ISNUMBER(SEARCH("C", 'WetLitterbags placem_collection'!$W33)),"YES","NO")</f>
        <v>NO</v>
      </c>
      <c r="AK326" s="252" t="str">
        <f>IF(ISNUMBER(SEARCH("H", 'WetLitterbags placem_collection'!$W33)),"YES","NO")</f>
        <v>NO</v>
      </c>
      <c r="AL326" s="252" t="str">
        <f>IF(ISNUMBER(SEARCH("R", 'WetLitterbags placem_collection'!$W33)),"YES","NO")</f>
        <v>YES</v>
      </c>
    </row>
    <row r="327" spans="2:38">
      <c r="B327" t="str">
        <f>'Final data_for_R_analysis_Wetse'!A473</f>
        <v>Wet</v>
      </c>
      <c r="C327" s="260">
        <f>'Final data_for_R_analysis_Wetse'!B473</f>
        <v>32</v>
      </c>
      <c r="D327" t="s">
        <v>3804</v>
      </c>
      <c r="E327" t="s">
        <v>25</v>
      </c>
      <c r="F327" s="382">
        <v>8</v>
      </c>
      <c r="G327" s="16">
        <f>'WetLitterbags placem_collection'!E34</f>
        <v>42767</v>
      </c>
      <c r="H327" s="92" t="str">
        <f>'Final data_for_R_analysis_Wetse'!K473</f>
        <v>G201</v>
      </c>
      <c r="I327" t="str">
        <f>'Final data_for_R_analysis_Wetse'!K693</f>
        <v>R156</v>
      </c>
      <c r="J327">
        <f>IFERROR(INDEX('Green_rooibos initial weight'!$C$5:$C$2000,MATCH(H327, 'Green_rooibos initial weight'!$A$5:$A$2000,0)),"")</f>
        <v>2.2370000000000001</v>
      </c>
      <c r="K327">
        <f>IFERROR(INDEX('Green_rooibos initial weight'!$C$5:$C$2000,MATCH(I327, 'Green_rooibos initial weight'!$A$5:$A$2000,0)),"")</f>
        <v>2.246</v>
      </c>
      <c r="L327" s="194">
        <f t="shared" si="54"/>
        <v>1.9872000000000001</v>
      </c>
      <c r="M327" s="194">
        <f>AVERAGE(Ashed_controlls!$K$2:$K$11)</f>
        <v>5.5147656768714146</v>
      </c>
      <c r="N327" s="194">
        <f t="shared" si="41"/>
        <v>1.8776105764692113</v>
      </c>
      <c r="O327" s="194">
        <f t="shared" si="45"/>
        <v>1.9962</v>
      </c>
      <c r="P327" s="194">
        <f>AVERAGE(Ashed_controlls!$K$12:$K$14)</f>
        <v>2.2816647271287041</v>
      </c>
      <c r="Q327" s="194">
        <f t="shared" si="46"/>
        <v>1.9506534087170568</v>
      </c>
      <c r="R327" s="16">
        <f>IF('WetLitterbags placem_collection'!G34="","",'WetLitterbags placem_collection'!G34)</f>
        <v>42818</v>
      </c>
      <c r="S327" s="194" t="str">
        <f>IFERROR(INDEX('Both teabags AfterWet'!$C$3:$C$2000,MATCH(H327,'Both teabags AfterWet'!$A$3:$A$2000,0)),"")</f>
        <v/>
      </c>
      <c r="T327" s="194">
        <f>IFERROR(INDEX('Both teabags AfterWet'!$C$3:$C$2000,MATCH(I327,'Both teabags AfterWet'!$A$3:$A$2000,0)),"")</f>
        <v>1.2625999999999999</v>
      </c>
      <c r="U327" s="194" t="str">
        <f t="shared" si="47"/>
        <v/>
      </c>
      <c r="V327" s="194">
        <f t="shared" si="48"/>
        <v>1.1119999999999999</v>
      </c>
      <c r="W327" s="194">
        <f>IFERROR(INDEX('Ashed teabags wet'!$K$2:$K$2000,MATCH(H327,'Ashed teabags wet'!$A$2:$A$2000,0)),"")</f>
        <v>7.292707292707294</v>
      </c>
      <c r="X327" s="237">
        <f>IFERROR(INDEX('Ashed teabags wet'!$K$2:$K$2000,MATCH(I327,'Ashed teabags wet'!$A$2:$A$2000,0)),"")</f>
        <v>5.5555555555557818</v>
      </c>
      <c r="Y327" s="194" t="str">
        <f t="shared" si="53"/>
        <v/>
      </c>
      <c r="Z327" s="194">
        <f t="shared" si="53"/>
        <v>1.0502222222222195</v>
      </c>
      <c r="AA327" s="194" t="str">
        <f t="shared" si="49"/>
        <v/>
      </c>
      <c r="AB327" s="194" t="str">
        <f t="shared" si="50"/>
        <v/>
      </c>
      <c r="AC327" s="194">
        <f t="shared" si="42"/>
        <v>0.53839509239775707</v>
      </c>
      <c r="AD327">
        <f t="shared" si="43"/>
        <v>51</v>
      </c>
      <c r="AE327" s="194" t="str">
        <f t="shared" si="51"/>
        <v/>
      </c>
      <c r="AF327" s="194" t="str">
        <f t="shared" si="52"/>
        <v/>
      </c>
      <c r="AG327" s="252" t="str">
        <f>IF(ISNUMBER(SEARCH("C",'WetLitterbags placem_collection'!$Y34)),"YES","NO")</f>
        <v>NO</v>
      </c>
      <c r="AH327" s="252" t="str">
        <f>IF(ISNUMBER(SEARCH("H", 'WetLitterbags placem_collection'!$Y34)),"YES","NO")</f>
        <v>NO</v>
      </c>
      <c r="AI327" s="252" t="str">
        <f>IF(ISNUMBER(SEARCH("R", 'WetLitterbags placem_collection'!$Y34)),"YES","NO")</f>
        <v>YES</v>
      </c>
      <c r="AJ327" s="252" t="str">
        <f>IF(ISNUMBER(SEARCH("C", 'WetLitterbags placem_collection'!$W34)),"YES","NO")</f>
        <v>NO</v>
      </c>
      <c r="AK327" s="252" t="str">
        <f>IF(ISNUMBER(SEARCH("H", 'WetLitterbags placem_collection'!$W34)),"YES","NO")</f>
        <v>NO</v>
      </c>
      <c r="AL327" s="252" t="str">
        <f>IF(ISNUMBER(SEARCH("R", 'WetLitterbags placem_collection'!$W34)),"YES","NO")</f>
        <v>YES</v>
      </c>
    </row>
    <row r="328" spans="2:38">
      <c r="B328" t="str">
        <f>'Final data_for_R_analysis_Wetse'!A474</f>
        <v>Wet</v>
      </c>
      <c r="C328" s="260">
        <f>'Final data_for_R_analysis_Wetse'!B474</f>
        <v>33</v>
      </c>
      <c r="D328" t="s">
        <v>3805</v>
      </c>
      <c r="E328" t="s">
        <v>25</v>
      </c>
      <c r="F328" s="381">
        <v>1</v>
      </c>
      <c r="G328" s="16">
        <f>'WetLitterbags placem_collection'!E35</f>
        <v>42765</v>
      </c>
      <c r="H328" s="92" t="str">
        <f>'Final data_for_R_analysis_Wetse'!K474</f>
        <v>G556</v>
      </c>
      <c r="I328" t="str">
        <f>'Final data_for_R_analysis_Wetse'!K694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54"/>
        <v>1.7831999999999999</v>
      </c>
      <c r="M328" s="194">
        <f>AVERAGE(Ashed_controlls!$K$2:$K$11)</f>
        <v>5.5147656768714146</v>
      </c>
      <c r="N328" s="194">
        <f t="shared" si="41"/>
        <v>1.6848606984500289</v>
      </c>
      <c r="O328" s="194">
        <f t="shared" si="45"/>
        <v>1.9822000000000002</v>
      </c>
      <c r="P328" s="194">
        <f>AVERAGE(Ashed_controlls!$K$12:$K$14)</f>
        <v>2.2816647271287041</v>
      </c>
      <c r="Q328" s="194">
        <f t="shared" si="46"/>
        <v>1.936972841778855</v>
      </c>
      <c r="R328" s="16">
        <f>IF('WetLitterbags placem_collection'!G35="","",'WetLitterbags placem_collection'!G35)</f>
        <v>42820</v>
      </c>
      <c r="S328" s="194">
        <f>IFERROR(INDEX('Both teabags AfterWet'!$C$3:$C$2000,MATCH(H328,'Both teabags AfterWet'!$A$3:$A$2000,0)),"")</f>
        <v>0.64400000000000002</v>
      </c>
      <c r="T328" s="194">
        <f>IFERROR(INDEX('Both teabags AfterWet'!$C$3:$C$2000,MATCH(I328,'Both teabags AfterWet'!$A$3:$A$2000,0)),"")</f>
        <v>1.6020000000000001</v>
      </c>
      <c r="U328" s="194">
        <f t="shared" si="47"/>
        <v>0.49340000000000001</v>
      </c>
      <c r="V328" s="194">
        <f t="shared" si="48"/>
        <v>1.4514</v>
      </c>
      <c r="W328" s="194">
        <f>IFERROR(INDEX('Ashed teabags wet'!$K$2:$K$2000,MATCH(H328,'Ashed teabags wet'!$A$2:$A$2000,0)),"")</f>
        <v>10.776075135937448</v>
      </c>
      <c r="X328" s="237">
        <f>IFERROR(INDEX('Ashed teabags wet'!$K$2:$K$2000,MATCH(I328,'Ashed teabags wet'!$A$2:$A$2000,0)),"")</f>
        <v>4.5318725099597295</v>
      </c>
      <c r="Y328" s="194">
        <f t="shared" si="53"/>
        <v>0.44023084527928463</v>
      </c>
      <c r="Z328" s="194">
        <f t="shared" si="53"/>
        <v>1.3856244023904445</v>
      </c>
      <c r="AA328" s="194">
        <f t="shared" si="49"/>
        <v>0.73871380246196572</v>
      </c>
      <c r="AB328" s="194">
        <f t="shared" si="50"/>
        <v>0.48428743344299896</v>
      </c>
      <c r="AC328" s="194">
        <f t="shared" si="42"/>
        <v>0.71535561702451678</v>
      </c>
      <c r="AD328">
        <f t="shared" si="43"/>
        <v>55</v>
      </c>
      <c r="AE328" s="194">
        <f t="shared" si="51"/>
        <v>0.12266769303804548</v>
      </c>
      <c r="AF328" s="194">
        <f t="shared" si="52"/>
        <v>1.6111774124894809E-2</v>
      </c>
      <c r="AG328" s="252" t="str">
        <f>IF(ISNUMBER(SEARCH("C",'WetLitterbags placem_collection'!$Y35)),"YES","NO")</f>
        <v>NO</v>
      </c>
      <c r="AH328" s="252" t="str">
        <f>IF(ISNUMBER(SEARCH("H", 'WetLitterbags placem_collection'!$Y35)),"YES","NO")</f>
        <v>NO</v>
      </c>
      <c r="AI328" s="252" t="str">
        <f>IF(ISNUMBER(SEARCH("R", 'WetLitterbags placem_collection'!$Y35)),"YES","NO")</f>
        <v>YES</v>
      </c>
      <c r="AJ328" s="252" t="str">
        <f>IF(ISNUMBER(SEARCH("C", 'WetLitterbags placem_collection'!$W35)),"YES","NO")</f>
        <v>YES</v>
      </c>
      <c r="AK328" s="252" t="str">
        <f>IF(ISNUMBER(SEARCH("H", 'WetLitterbags placem_collection'!$W35)),"YES","NO")</f>
        <v>YES</v>
      </c>
      <c r="AL328" s="252" t="str">
        <f>IF(ISNUMBER(SEARCH("R", 'WetLitterbags placem_collection'!$W35)),"YES","NO")</f>
        <v>NO</v>
      </c>
    </row>
    <row r="329" spans="2:38">
      <c r="B329" t="str">
        <f>'Final data_for_R_analysis_Wetse'!A475</f>
        <v>Wet</v>
      </c>
      <c r="C329" s="260">
        <f>'Final data_for_R_analysis_Wetse'!B475</f>
        <v>34</v>
      </c>
      <c r="D329" t="s">
        <v>3805</v>
      </c>
      <c r="E329" t="s">
        <v>25</v>
      </c>
      <c r="F329" s="381">
        <v>2</v>
      </c>
      <c r="G329" s="16">
        <f>'WetLitterbags placem_collection'!E36</f>
        <v>42765</v>
      </c>
      <c r="H329" s="92" t="str">
        <f>'Final data_for_R_analysis_Wetse'!K475</f>
        <v>G649</v>
      </c>
      <c r="I329" t="str">
        <f>'Final data_for_R_analysis_Wetse'!K695</f>
        <v>R24</v>
      </c>
      <c r="J329">
        <f>IFERROR(INDEX('Green_rooibos initial weight'!$C$5:$C$2000,MATCH(H329, 'Green_rooibos initial weight'!$A$5:$A$2000,0)),"")</f>
        <v>2.1379999999999999</v>
      </c>
      <c r="K329">
        <f>IFERROR(INDEX('Green_rooibos initial weight'!$C$5:$C$2000,MATCH(I329, 'Green_rooibos initial weight'!$A$5:$A$2000,0)),"")</f>
        <v>2.14</v>
      </c>
      <c r="L329" s="194">
        <f t="shared" si="54"/>
        <v>1.8881999999999999</v>
      </c>
      <c r="M329" s="194">
        <f>AVERAGE(Ashed_controlls!$K$2:$K$11)</f>
        <v>5.5147656768714146</v>
      </c>
      <c r="N329" s="194">
        <f t="shared" si="41"/>
        <v>1.7840701944893138</v>
      </c>
      <c r="O329" s="194">
        <f t="shared" si="45"/>
        <v>1.8902000000000001</v>
      </c>
      <c r="P329" s="194">
        <f>AVERAGE(Ashed_controlls!$K$12:$K$14)</f>
        <v>2.2816647271287041</v>
      </c>
      <c r="Q329" s="194">
        <f t="shared" si="46"/>
        <v>1.8470719733278134</v>
      </c>
      <c r="R329" s="16">
        <f>IF('WetLitterbags placem_collection'!G36="","",'WetLitterbags placem_collection'!G36)</f>
        <v>42820</v>
      </c>
      <c r="S329" s="194">
        <f>IFERROR(INDEX('Both teabags AfterWet'!$C$3:$C$2000,MATCH(H329,'Both teabags AfterWet'!$A$3:$A$2000,0)),"")</f>
        <v>0.80259999999999998</v>
      </c>
      <c r="T329" s="194">
        <f>IFERROR(INDEX('Both teabags AfterWet'!$C$3:$C$2000,MATCH(I329,'Both teabags AfterWet'!$A$3:$A$2000,0)),"")</f>
        <v>1.4662999999999999</v>
      </c>
      <c r="U329" s="194">
        <f t="shared" si="47"/>
        <v>0.65199999999999991</v>
      </c>
      <c r="V329" s="194">
        <f t="shared" si="48"/>
        <v>1.3156999999999999</v>
      </c>
      <c r="W329" s="194">
        <f>IFERROR(INDEX('Ashed teabags wet'!$K$2:$K$2000,MATCH(H329,'Ashed teabags wet'!$A$2:$A$2000,0)),"")</f>
        <v>11.012345679011846</v>
      </c>
      <c r="X329" s="237">
        <f>IFERROR(INDEX('Ashed teabags wet'!$K$2:$K$2000,MATCH(I329,'Ashed teabags wet'!$A$2:$A$2000,0)),"")</f>
        <v>7.4839980305272942</v>
      </c>
      <c r="Y329" s="194">
        <f t="shared" si="53"/>
        <v>0.58019950617284266</v>
      </c>
      <c r="Z329" s="194">
        <f t="shared" si="53"/>
        <v>1.2172330379123522</v>
      </c>
      <c r="AA329" s="194">
        <f t="shared" si="49"/>
        <v>0.67478885754328544</v>
      </c>
      <c r="AB329" s="194">
        <f t="shared" si="50"/>
        <v>0.44237939354381667</v>
      </c>
      <c r="AC329" s="194">
        <f t="shared" si="42"/>
        <v>0.65900682566218605</v>
      </c>
      <c r="AD329">
        <f t="shared" si="43"/>
        <v>55</v>
      </c>
      <c r="AE329" s="194">
        <f t="shared" si="51"/>
        <v>0.19858805517424527</v>
      </c>
      <c r="AF329" s="194">
        <f t="shared" si="52"/>
        <v>2.6786012612355966E-2</v>
      </c>
      <c r="AG329" s="252" t="str">
        <f>IF(ISNUMBER(SEARCH("C",'WetLitterbags placem_collection'!$Y36)),"YES","NO")</f>
        <v>NO</v>
      </c>
      <c r="AH329" s="252" t="str">
        <f>IF(ISNUMBER(SEARCH("H", 'WetLitterbags placem_collection'!$Y36)),"YES","NO")</f>
        <v>NO</v>
      </c>
      <c r="AI329" s="252" t="str">
        <f>IF(ISNUMBER(SEARCH("R", 'WetLitterbags placem_collection'!$Y36)),"YES","NO")</f>
        <v>YES</v>
      </c>
      <c r="AJ329" s="252" t="str">
        <f>IF(ISNUMBER(SEARCH("C", 'WetLitterbags placem_collection'!$W36)),"YES","NO")</f>
        <v>YES</v>
      </c>
      <c r="AK329" s="252" t="str">
        <f>IF(ISNUMBER(SEARCH("H", 'WetLitterbags placem_collection'!$W36)),"YES","NO")</f>
        <v>YES</v>
      </c>
      <c r="AL329" s="252" t="str">
        <f>IF(ISNUMBER(SEARCH("R", 'WetLitterbags placem_collection'!$W36)),"YES","NO")</f>
        <v>NO</v>
      </c>
    </row>
    <row r="330" spans="2:38">
      <c r="B330" t="str">
        <f>'Final data_for_R_analysis_Wetse'!A476</f>
        <v>Wet</v>
      </c>
      <c r="C330" s="260">
        <f>'Final data_for_R_analysis_Wetse'!B476</f>
        <v>35</v>
      </c>
      <c r="D330" t="s">
        <v>3805</v>
      </c>
      <c r="E330" t="s">
        <v>25</v>
      </c>
      <c r="F330" s="381">
        <v>3</v>
      </c>
      <c r="G330" s="16">
        <f>'WetLitterbags placem_collection'!E37</f>
        <v>42765</v>
      </c>
      <c r="H330" s="92" t="str">
        <f>'Final data_for_R_analysis_Wetse'!K476</f>
        <v>G732</v>
      </c>
      <c r="I330" t="str">
        <f>'Final data_for_R_analysis_Wetse'!K696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54"/>
        <v>1.8382000000000001</v>
      </c>
      <c r="M330" s="194">
        <f>AVERAGE(Ashed_controlls!$K$2:$K$11)</f>
        <v>5.5147656768714146</v>
      </c>
      <c r="N330" s="194">
        <f t="shared" si="41"/>
        <v>1.7368275773277497</v>
      </c>
      <c r="O330" s="194">
        <f t="shared" si="45"/>
        <v>1.9651999999999998</v>
      </c>
      <c r="P330" s="194">
        <f>AVERAGE(Ashed_controlls!$K$12:$K$14)</f>
        <v>2.2816647271287041</v>
      </c>
      <c r="Q330" s="194">
        <f t="shared" si="46"/>
        <v>1.9203607247824666</v>
      </c>
      <c r="R330" s="16">
        <f>IF('WetLitterbags placem_collection'!G37="","",'WetLitterbags placem_collection'!G37)</f>
        <v>42820</v>
      </c>
      <c r="S330" s="194">
        <f>IFERROR(INDEX('Both teabags AfterWet'!$C$3:$C$2000,MATCH(H330,'Both teabags AfterWet'!$A$3:$A$2000,0)),"")</f>
        <v>0.71699999999999997</v>
      </c>
      <c r="T330" s="194">
        <f>IFERROR(INDEX('Both teabags AfterWet'!$C$3:$C$2000,MATCH(I330,'Both teabags AfterWet'!$A$3:$A$2000,0)),"")</f>
        <v>1.498</v>
      </c>
      <c r="U330" s="194">
        <f t="shared" si="47"/>
        <v>0.56640000000000001</v>
      </c>
      <c r="V330" s="194">
        <f t="shared" si="48"/>
        <v>1.3473999999999999</v>
      </c>
      <c r="W330" s="194">
        <f>IFERROR(INDEX('Ashed teabags wet'!$K$2:$K$2000,MATCH(H330,'Ashed teabags wet'!$A$2:$A$2000,0)),"")</f>
        <v>10.182896688086906</v>
      </c>
      <c r="X330" s="237">
        <f>IFERROR(INDEX('Ashed teabags wet'!$K$2:$K$2000,MATCH(I330,'Ashed teabags wet'!$A$2:$A$2000,0)),"")</f>
        <v>7.3362875430821557</v>
      </c>
      <c r="Y330" s="194">
        <f t="shared" si="53"/>
        <v>0.50872407315867574</v>
      </c>
      <c r="Z330" s="194">
        <f t="shared" si="53"/>
        <v>1.2485508616445109</v>
      </c>
      <c r="AA330" s="194">
        <f t="shared" si="49"/>
        <v>0.70709581089137874</v>
      </c>
      <c r="AB330" s="194">
        <f t="shared" si="50"/>
        <v>0.463559248945417</v>
      </c>
      <c r="AC330" s="194">
        <f t="shared" si="42"/>
        <v>0.65016475578354871</v>
      </c>
      <c r="AD330">
        <f t="shared" si="43"/>
        <v>55</v>
      </c>
      <c r="AE330" s="194">
        <f t="shared" si="51"/>
        <v>0.16021875191047652</v>
      </c>
      <c r="AF330" s="194">
        <f t="shared" si="52"/>
        <v>2.5548358262136119E-2</v>
      </c>
      <c r="AG330" s="252" t="str">
        <f>IF(ISNUMBER(SEARCH("C",'WetLitterbags placem_collection'!$Y37)),"YES","NO")</f>
        <v>NO</v>
      </c>
      <c r="AH330" s="252" t="str">
        <f>IF(ISNUMBER(SEARCH("H", 'WetLitterbags placem_collection'!$Y37)),"YES","NO")</f>
        <v>NO</v>
      </c>
      <c r="AI330" s="252" t="str">
        <f>IF(ISNUMBER(SEARCH("R", 'WetLitterbags placem_collection'!$Y37)),"YES","NO")</f>
        <v>YES</v>
      </c>
      <c r="AJ330" s="252" t="str">
        <f>IF(ISNUMBER(SEARCH("C", 'WetLitterbags placem_collection'!$W37)),"YES","NO")</f>
        <v>NO</v>
      </c>
      <c r="AK330" s="252" t="str">
        <f>IF(ISNUMBER(SEARCH("H", 'WetLitterbags placem_collection'!$W37)),"YES","NO")</f>
        <v>NO</v>
      </c>
      <c r="AL330" s="252" t="str">
        <f>IF(ISNUMBER(SEARCH("R", 'WetLitterbags placem_collection'!$W37)),"YES","NO")</f>
        <v>NO</v>
      </c>
    </row>
    <row r="331" spans="2:38">
      <c r="B331" t="str">
        <f>'Final data_for_R_analysis_Wetse'!A477</f>
        <v>Wet</v>
      </c>
      <c r="C331" s="260">
        <f>'Final data_for_R_analysis_Wetse'!B477</f>
        <v>36</v>
      </c>
      <c r="D331" t="s">
        <v>3805</v>
      </c>
      <c r="E331" t="s">
        <v>25</v>
      </c>
      <c r="F331" s="382">
        <v>4</v>
      </c>
      <c r="G331" s="16">
        <f>'WetLitterbags placem_collection'!E38</f>
        <v>42765</v>
      </c>
      <c r="H331" s="92" t="str">
        <f>'Final data_for_R_analysis_Wetse'!K477</f>
        <v>G550</v>
      </c>
      <c r="I331" t="str">
        <f>'Final data_for_R_analysis_Wetse'!K697</f>
        <v>R97</v>
      </c>
      <c r="J331">
        <f>IFERROR(INDEX('Green_rooibos initial weight'!$C$5:$C$2000,MATCH(H331, 'Green_rooibos initial weight'!$A$5:$A$2000,0)),"")</f>
        <v>2.097</v>
      </c>
      <c r="K331">
        <f>IFERROR(INDEX('Green_rooibos initial weight'!$C$5:$C$2000,MATCH(I331, 'Green_rooibos initial weight'!$A$5:$A$2000,0)),"")</f>
        <v>2.2959999999999998</v>
      </c>
      <c r="L331" s="194">
        <f t="shared" si="54"/>
        <v>1.8472</v>
      </c>
      <c r="M331" s="194">
        <f>AVERAGE(Ashed_controlls!$K$2:$K$11)</f>
        <v>5.5147656768714146</v>
      </c>
      <c r="N331" s="194">
        <f t="shared" si="41"/>
        <v>1.7453312484168313</v>
      </c>
      <c r="O331" s="194">
        <f t="shared" si="45"/>
        <v>2.0461999999999998</v>
      </c>
      <c r="P331" s="194">
        <f>AVERAGE(Ashed_controlls!$K$12:$K$14)</f>
        <v>2.2816647271287041</v>
      </c>
      <c r="Q331" s="194">
        <f t="shared" si="46"/>
        <v>1.9995125763534922</v>
      </c>
      <c r="R331" s="16">
        <f>IF('WetLitterbags placem_collection'!G38="","",'WetLitterbags placem_collection'!G38)</f>
        <v>42820</v>
      </c>
      <c r="S331" s="194">
        <f>IFERROR(INDEX('Both teabags AfterWet'!$C$3:$C$2000,MATCH(H331,'Both teabags AfterWet'!$A$3:$A$2000,0)),"")</f>
        <v>0.72199999999999998</v>
      </c>
      <c r="T331" s="194">
        <f>IFERROR(INDEX('Both teabags AfterWet'!$C$3:$C$2000,MATCH(I331,'Both teabags AfterWet'!$A$3:$A$2000,0)),"")</f>
        <v>1.671</v>
      </c>
      <c r="U331" s="194">
        <f t="shared" si="47"/>
        <v>0.57139999999999991</v>
      </c>
      <c r="V331" s="194">
        <f t="shared" si="48"/>
        <v>1.5204</v>
      </c>
      <c r="W331" s="194">
        <f>IFERROR(INDEX('Ashed teabags wet'!$K$2:$K$2000,MATCH(H331,'Ashed teabags wet'!$A$2:$A$2000,0)),"")</f>
        <v>6.3737324963780466</v>
      </c>
      <c r="X331" s="237">
        <f>IFERROR(INDEX('Ashed teabags wet'!$K$2:$K$2000,MATCH(I331,'Ashed teabags wet'!$A$2:$A$2000,0)),"")</f>
        <v>2.0873786407763748</v>
      </c>
      <c r="Y331" s="194">
        <f t="shared" si="53"/>
        <v>0.53498049251569579</v>
      </c>
      <c r="Z331" s="194">
        <f t="shared" si="53"/>
        <v>1.4886634951456359</v>
      </c>
      <c r="AA331" s="194">
        <f t="shared" si="49"/>
        <v>0.69347910718898198</v>
      </c>
      <c r="AB331" s="194">
        <f t="shared" si="50"/>
        <v>0.45463238381035403</v>
      </c>
      <c r="AC331" s="194">
        <f t="shared" si="42"/>
        <v>0.74451319424082296</v>
      </c>
      <c r="AD331">
        <f t="shared" si="43"/>
        <v>55</v>
      </c>
      <c r="AE331" s="194">
        <f t="shared" si="51"/>
        <v>0.17639060903921377</v>
      </c>
      <c r="AF331" s="194">
        <f t="shared" si="52"/>
        <v>1.5008237080840375E-2</v>
      </c>
      <c r="AG331" s="252" t="str">
        <f>IF(ISNUMBER(SEARCH("C",'WetLitterbags placem_collection'!$Y38)),"YES","NO")</f>
        <v>NO</v>
      </c>
      <c r="AH331" s="252" t="str">
        <f>IF(ISNUMBER(SEARCH("H", 'WetLitterbags placem_collection'!$Y38)),"YES","NO")</f>
        <v>NO</v>
      </c>
      <c r="AI331" s="252" t="str">
        <f>IF(ISNUMBER(SEARCH("R", 'WetLitterbags placem_collection'!$Y38)),"YES","NO")</f>
        <v>YES</v>
      </c>
      <c r="AJ331" s="252" t="str">
        <f>IF(ISNUMBER(SEARCH("C", 'WetLitterbags placem_collection'!$W38)),"YES","NO")</f>
        <v>YES</v>
      </c>
      <c r="AK331" s="252" t="str">
        <f>IF(ISNUMBER(SEARCH("H", 'WetLitterbags placem_collection'!$W38)),"YES","NO")</f>
        <v>NO</v>
      </c>
      <c r="AL331" s="252" t="str">
        <f>IF(ISNUMBER(SEARCH("R", 'WetLitterbags placem_collection'!$W38)),"YES","NO")</f>
        <v>YES</v>
      </c>
    </row>
    <row r="332" spans="2:38">
      <c r="B332" t="str">
        <f>'Final data_for_R_analysis_Wetse'!A478</f>
        <v>Wet</v>
      </c>
      <c r="C332" s="260">
        <f>'Final data_for_R_analysis_Wetse'!B478</f>
        <v>37</v>
      </c>
      <c r="D332" t="s">
        <v>3805</v>
      </c>
      <c r="E332" t="s">
        <v>25</v>
      </c>
      <c r="F332" s="382">
        <v>5</v>
      </c>
      <c r="G332" s="16">
        <f>'WetLitterbags placem_collection'!E39</f>
        <v>42765</v>
      </c>
      <c r="H332" s="92" t="str">
        <f>'Final data_for_R_analysis_Wetse'!K478</f>
        <v>G528</v>
      </c>
      <c r="I332" t="str">
        <f>'Final data_for_R_analysis_Wetse'!K698</f>
        <v>R89</v>
      </c>
      <c r="J332">
        <f>IFERROR(INDEX('Green_rooibos initial weight'!$C$5:$C$2000,MATCH(H332, 'Green_rooibos initial weight'!$A$5:$A$2000,0)),"")</f>
        <v>2.14</v>
      </c>
      <c r="K332">
        <f>IFERROR(INDEX('Green_rooibos initial weight'!$C$5:$C$2000,MATCH(I332, 'Green_rooibos initial weight'!$A$5:$A$2000,0)),"")</f>
        <v>2.1949999999999998</v>
      </c>
      <c r="L332" s="194">
        <f t="shared" si="54"/>
        <v>1.8902000000000001</v>
      </c>
      <c r="M332" s="194">
        <f>AVERAGE(Ashed_controlls!$K$2:$K$11)</f>
        <v>5.5147656768714146</v>
      </c>
      <c r="N332" s="194">
        <f t="shared" ref="N332:N395" si="55">IFERROR(L332-(M332/100)*L332,"")</f>
        <v>1.7859598991757766</v>
      </c>
      <c r="O332" s="194">
        <f t="shared" si="45"/>
        <v>1.9451999999999998</v>
      </c>
      <c r="P332" s="194">
        <f>AVERAGE(Ashed_controlls!$K$12:$K$14)</f>
        <v>2.2816647271287041</v>
      </c>
      <c r="Q332" s="194">
        <f t="shared" si="46"/>
        <v>1.9008170577278922</v>
      </c>
      <c r="R332" s="16">
        <f>IF('WetLitterbags placem_collection'!G39="","",'WetLitterbags placem_collection'!G39)</f>
        <v>42820</v>
      </c>
      <c r="S332" s="194">
        <f>IFERROR(INDEX('Both teabags AfterWet'!$C$3:$C$2000,MATCH(H332,'Both teabags AfterWet'!$A$3:$A$2000,0)),"")</f>
        <v>0.89600000000000002</v>
      </c>
      <c r="T332" s="194">
        <f>IFERROR(INDEX('Both teabags AfterWet'!$C$3:$C$2000,MATCH(I332,'Both teabags AfterWet'!$A$3:$A$2000,0)),"")</f>
        <v>1.425</v>
      </c>
      <c r="U332" s="194">
        <f t="shared" si="47"/>
        <v>0.74540000000000006</v>
      </c>
      <c r="V332" s="194">
        <f t="shared" si="48"/>
        <v>1.2744</v>
      </c>
      <c r="W332" s="194">
        <f>IFERROR(INDEX('Ashed teabags wet'!$K$2:$K$2000,MATCH(H332,'Ashed teabags wet'!$A$2:$A$2000,0)),"")</f>
        <v>15.032354405176665</v>
      </c>
      <c r="X332" s="237">
        <f>IFERROR(INDEX('Ashed teabags wet'!$K$2:$K$2000,MATCH(I332,'Ashed teabags wet'!$A$2:$A$2000,0)),"")</f>
        <v>8.2721488007830519</v>
      </c>
      <c r="Y332" s="194">
        <f t="shared" si="53"/>
        <v>0.63334883026381317</v>
      </c>
      <c r="Z332" s="194">
        <f t="shared" si="53"/>
        <v>1.1689797356828207</v>
      </c>
      <c r="AA332" s="194">
        <f t="shared" si="49"/>
        <v>0.64537343164529914</v>
      </c>
      <c r="AB332" s="194">
        <f t="shared" si="50"/>
        <v>0.42309517133991109</v>
      </c>
      <c r="AC332" s="194">
        <f t="shared" ref="AC332:AC395" si="56">IFERROR(Z332/Q332,"")</f>
        <v>0.61498802892696036</v>
      </c>
      <c r="AD332">
        <f t="shared" ref="AD332:AD395" si="57">IFERROR(IF((R332-G332)&gt;0,(IFERROR(R332-G332,"")),""),"")</f>
        <v>55</v>
      </c>
      <c r="AE332" s="194">
        <f t="shared" si="51"/>
        <v>0.23352324032624805</v>
      </c>
      <c r="AF332" s="194">
        <f t="shared" si="52"/>
        <v>4.3778616328604601E-2</v>
      </c>
      <c r="AG332" s="252" t="str">
        <f>IF(ISNUMBER(SEARCH("C",'WetLitterbags placem_collection'!$Y39)),"YES","NO")</f>
        <v>NO</v>
      </c>
      <c r="AH332" s="252" t="str">
        <f>IF(ISNUMBER(SEARCH("H", 'WetLitterbags placem_collection'!$Y39)),"YES","NO")</f>
        <v>NO</v>
      </c>
      <c r="AI332" s="252" t="str">
        <f>IF(ISNUMBER(SEARCH("R", 'WetLitterbags placem_collection'!$Y39)),"YES","NO")</f>
        <v>YES</v>
      </c>
      <c r="AJ332" s="252" t="str">
        <f>IF(ISNUMBER(SEARCH("C", 'WetLitterbags placem_collection'!$W39)),"YES","NO")</f>
        <v>YES</v>
      </c>
      <c r="AK332" s="252" t="str">
        <f>IF(ISNUMBER(SEARCH("H", 'WetLitterbags placem_collection'!$W39)),"YES","NO")</f>
        <v>YES</v>
      </c>
      <c r="AL332" s="252" t="str">
        <f>IF(ISNUMBER(SEARCH("R", 'WetLitterbags placem_collection'!$W39)),"YES","NO")</f>
        <v>YES</v>
      </c>
    </row>
    <row r="333" spans="2:38">
      <c r="B333" t="str">
        <f>'Final data_for_R_analysis_Wetse'!A479</f>
        <v>Wet</v>
      </c>
      <c r="C333" s="260">
        <f>'Final data_for_R_analysis_Wetse'!B479</f>
        <v>38</v>
      </c>
      <c r="D333" t="s">
        <v>3805</v>
      </c>
      <c r="E333" t="s">
        <v>25</v>
      </c>
      <c r="F333" s="382">
        <v>6</v>
      </c>
      <c r="G333" s="16">
        <f>'WetLitterbags placem_collection'!E40</f>
        <v>42765</v>
      </c>
      <c r="H333" s="92" t="str">
        <f>'Final data_for_R_analysis_Wetse'!K479</f>
        <v>G703</v>
      </c>
      <c r="I333" t="str">
        <f>'Final data_for_R_analysis_Wetse'!K699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58">IF(J333&gt;0,(J333*$F$31-($F$29+$F$30)),"")</f>
        <v>1.6661999999999999</v>
      </c>
      <c r="M333" s="194">
        <f>AVERAGE(Ashed_controlls!$K$2:$K$11)</f>
        <v>5.5147656768714146</v>
      </c>
      <c r="N333" s="194">
        <f t="shared" si="55"/>
        <v>1.5743129742919684</v>
      </c>
      <c r="O333" s="194">
        <f t="shared" ref="O333:O396" si="59">IF(K333&gt;0,(K333*$F$32-($F$29+$F$30)),"")</f>
        <v>1.9462000000000002</v>
      </c>
      <c r="P333" s="194">
        <f>AVERAGE(Ashed_controlls!$K$12:$K$14)</f>
        <v>2.2816647271287041</v>
      </c>
      <c r="Q333" s="194">
        <f t="shared" ref="Q333:Q396" si="60">IFERROR(O333-(P333/100)*O333,"")</f>
        <v>1.9017942410806212</v>
      </c>
      <c r="R333" s="16">
        <f>IF('WetLitterbags placem_collection'!G40="","",'WetLitterbags placem_collection'!G40)</f>
        <v>42820</v>
      </c>
      <c r="S333" s="194">
        <f>IFERROR(INDEX('Both teabags AfterWet'!$C$3:$C$2000,MATCH(H333,'Both teabags AfterWet'!$A$3:$A$2000,0)),"")</f>
        <v>0.81899999999999995</v>
      </c>
      <c r="T333" s="194">
        <f>IFERROR(INDEX('Both teabags AfterWet'!$C$3:$C$2000,MATCH(I333,'Both teabags AfterWet'!$A$3:$A$2000,0)),"")</f>
        <v>1.381</v>
      </c>
      <c r="U333" s="194">
        <f t="shared" ref="U333:U396" si="61">IFERROR(IF(S333&gt;0,S333-($F$29),""),"")</f>
        <v>0.66839999999999988</v>
      </c>
      <c r="V333" s="194">
        <f t="shared" ref="V333:V396" si="62">IFERROR(IF(T333&gt;0,T333-($F$29),""),"")</f>
        <v>1.2303999999999999</v>
      </c>
      <c r="W333" s="194">
        <f>IFERROR(INDEX('Ashed teabags wet'!$K$2:$K$2000,MATCH(H333,'Ashed teabags wet'!$A$2:$A$2000,0)),"")</f>
        <v>13.181367690782835</v>
      </c>
      <c r="X333" s="237">
        <f>IFERROR(INDEX('Ashed teabags wet'!$K$2:$K$2000,MATCH(I333,'Ashed teabags wet'!$A$2:$A$2000,0)),"")</f>
        <v>6.8948891031825541</v>
      </c>
      <c r="Y333" s="194">
        <f t="shared" si="53"/>
        <v>0.58029573835480741</v>
      </c>
      <c r="Z333" s="194">
        <f t="shared" si="53"/>
        <v>1.1455652844744417</v>
      </c>
      <c r="AA333" s="194">
        <f t="shared" ref="AA333:AA396" si="63">IFERROR(1-Y333/N333,"")</f>
        <v>0.6313974744343388</v>
      </c>
      <c r="AB333" s="194">
        <f t="shared" ref="AB333:AB396" si="64">IFERROR($F$26*(1-AE333),"")</f>
        <v>0.41393278608997036</v>
      </c>
      <c r="AC333" s="194">
        <f t="shared" si="56"/>
        <v>0.60236026575804458</v>
      </c>
      <c r="AD333">
        <f t="shared" si="57"/>
        <v>55</v>
      </c>
      <c r="AE333" s="194">
        <f t="shared" ref="AE333:AE396" si="65">IFERROR(1-(AA333/$F$25),"")</f>
        <v>0.25012176432976385</v>
      </c>
      <c r="AF333" s="194">
        <f t="shared" ref="AF333:AF396" si="66">IFERROR(LN(AB333/(AC333-(1-AB333)))/AD333,"")</f>
        <v>5.8817542877506811E-2</v>
      </c>
      <c r="AG333" s="252" t="str">
        <f>IF(ISNUMBER(SEARCH("C",'WetLitterbags placem_collection'!$Y40)),"YES","NO")</f>
        <v>NO</v>
      </c>
      <c r="AH333" s="252" t="str">
        <f>IF(ISNUMBER(SEARCH("H", 'WetLitterbags placem_collection'!$Y40)),"YES","NO")</f>
        <v>NO</v>
      </c>
      <c r="AI333" s="252" t="str">
        <f>IF(ISNUMBER(SEARCH("R", 'WetLitterbags placem_collection'!$Y40)),"YES","NO")</f>
        <v>NO</v>
      </c>
      <c r="AJ333" s="252" t="str">
        <f>IF(ISNUMBER(SEARCH("C", 'WetLitterbags placem_collection'!$W40)),"YES","NO")</f>
        <v>YES</v>
      </c>
      <c r="AK333" s="252" t="str">
        <f>IF(ISNUMBER(SEARCH("H", 'WetLitterbags placem_collection'!$W40)),"YES","NO")</f>
        <v>YES</v>
      </c>
      <c r="AL333" s="252" t="str">
        <f>IF(ISNUMBER(SEARCH("R", 'WetLitterbags placem_collection'!$W40)),"YES","NO")</f>
        <v>NO</v>
      </c>
    </row>
    <row r="334" spans="2:38">
      <c r="B334" t="str">
        <f>'Final data_for_R_analysis_Wetse'!A480</f>
        <v>Wet</v>
      </c>
      <c r="C334" s="260">
        <f>'Final data_for_R_analysis_Wetse'!B480</f>
        <v>39</v>
      </c>
      <c r="D334" t="s">
        <v>3805</v>
      </c>
      <c r="E334" t="s">
        <v>25</v>
      </c>
      <c r="F334" s="382">
        <v>7</v>
      </c>
      <c r="G334" s="16">
        <f>'WetLitterbags placem_collection'!E41</f>
        <v>42765</v>
      </c>
      <c r="H334" s="92" t="str">
        <f>'Final data_for_R_analysis_Wetse'!K480</f>
        <v>G566</v>
      </c>
      <c r="I334" t="str">
        <f>'Final data_for_R_analysis_Wetse'!K700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58"/>
        <v>1.7951999999999999</v>
      </c>
      <c r="M334" s="194">
        <f>AVERAGE(Ashed_controlls!$K$2:$K$11)</f>
        <v>5.5147656768714146</v>
      </c>
      <c r="N334" s="194">
        <f t="shared" si="55"/>
        <v>1.6961989265688042</v>
      </c>
      <c r="O334" s="194">
        <f t="shared" si="59"/>
        <v>2.0061999999999998</v>
      </c>
      <c r="P334" s="194">
        <f>AVERAGE(Ashed_controlls!$K$12:$K$14)</f>
        <v>2.2816647271287041</v>
      </c>
      <c r="Q334" s="194">
        <f t="shared" si="60"/>
        <v>1.9604252422443438</v>
      </c>
      <c r="R334" s="16">
        <f>IF('WetLitterbags placem_collection'!G41="","",'WetLitterbags placem_collection'!G41)</f>
        <v>42820</v>
      </c>
      <c r="S334" s="194">
        <f>IFERROR(INDEX('Both teabags AfterWet'!$C$3:$C$2000,MATCH(H334,'Both teabags AfterWet'!$A$3:$A$2000,0)),"")</f>
        <v>0.78520000000000001</v>
      </c>
      <c r="T334" s="194">
        <f>IFERROR(INDEX('Both teabags AfterWet'!$C$3:$C$2000,MATCH(I334,'Both teabags AfterWet'!$A$3:$A$2000,0)),"")</f>
        <v>1.5185</v>
      </c>
      <c r="U334" s="194">
        <f t="shared" si="61"/>
        <v>0.63460000000000005</v>
      </c>
      <c r="V334" s="194">
        <f t="shared" si="62"/>
        <v>1.3678999999999999</v>
      </c>
      <c r="W334" s="194">
        <f>IFERROR(INDEX('Ashed teabags wet'!$K$2:$K$2000,MATCH(H334,'Ashed teabags wet'!$A$2:$A$2000,0)),"")</f>
        <v>4.4278606965170084</v>
      </c>
      <c r="X334" s="237">
        <f>IFERROR(INDEX('Ashed teabags wet'!$K$2:$K$2000,MATCH(I334,'Ashed teabags wet'!$A$2:$A$2000,0)),"")</f>
        <v>3.3680039623575757</v>
      </c>
      <c r="Y334" s="194">
        <f t="shared" ref="Y334:Z397" si="67">IFERROR(U334-(W334/100)*U334,"")</f>
        <v>0.60650079601990314</v>
      </c>
      <c r="Z334" s="194">
        <f t="shared" si="67"/>
        <v>1.3218290737989107</v>
      </c>
      <c r="AA334" s="194">
        <f t="shared" si="63"/>
        <v>0.64243533790769614</v>
      </c>
      <c r="AB334" s="194">
        <f t="shared" si="64"/>
        <v>0.42116901012476043</v>
      </c>
      <c r="AC334" s="194">
        <f t="shared" si="56"/>
        <v>0.67425630180401463</v>
      </c>
      <c r="AD334">
        <f t="shared" si="57"/>
        <v>55</v>
      </c>
      <c r="AE334" s="194">
        <f t="shared" si="65"/>
        <v>0.23701266281746303</v>
      </c>
      <c r="AF334" s="194">
        <f t="shared" si="66"/>
        <v>2.6994369725230224E-2</v>
      </c>
      <c r="AG334" s="252" t="str">
        <f>IF(ISNUMBER(SEARCH("C",'WetLitterbags placem_collection'!$Y41)),"YES","NO")</f>
        <v>NO</v>
      </c>
      <c r="AH334" s="252" t="str">
        <f>IF(ISNUMBER(SEARCH("H", 'WetLitterbags placem_collection'!$Y41)),"YES","NO")</f>
        <v>NO</v>
      </c>
      <c r="AI334" s="252" t="str">
        <f>IF(ISNUMBER(SEARCH("R", 'WetLitterbags placem_collection'!$Y41)),"YES","NO")</f>
        <v>YES</v>
      </c>
      <c r="AJ334" s="252" t="str">
        <f>IF(ISNUMBER(SEARCH("C", 'WetLitterbags placem_collection'!$W41)),"YES","NO")</f>
        <v>NO</v>
      </c>
      <c r="AK334" s="252" t="str">
        <f>IF(ISNUMBER(SEARCH("H", 'WetLitterbags placem_collection'!$W41)),"YES","NO")</f>
        <v>NO</v>
      </c>
      <c r="AL334" s="252" t="str">
        <f>IF(ISNUMBER(SEARCH("R", 'WetLitterbags placem_collection'!$W41)),"YES","NO")</f>
        <v>YES</v>
      </c>
    </row>
    <row r="335" spans="2:38">
      <c r="B335" t="str">
        <f>'Final data_for_R_analysis_Wetse'!A481</f>
        <v>Wet</v>
      </c>
      <c r="C335" s="260">
        <f>'Final data_for_R_analysis_Wetse'!B481</f>
        <v>40</v>
      </c>
      <c r="D335" t="s">
        <v>3805</v>
      </c>
      <c r="E335" t="s">
        <v>25</v>
      </c>
      <c r="F335" s="382">
        <v>8</v>
      </c>
      <c r="G335" s="16">
        <f>'WetLitterbags placem_collection'!E42</f>
        <v>42765</v>
      </c>
      <c r="H335" s="92" t="str">
        <f>'Final data_for_R_analysis_Wetse'!K481</f>
        <v>G619</v>
      </c>
      <c r="I335" t="str">
        <f>'Final data_for_R_analysis_Wetse'!K701</f>
        <v>R420</v>
      </c>
      <c r="J335">
        <f>IFERROR(INDEX('Green_rooibos initial weight'!$C$5:$C$2000,MATCH(H335, 'Green_rooibos initial weight'!$A$5:$A$2000,0)),"")</f>
        <v>2.036</v>
      </c>
      <c r="K335">
        <f>IFERROR(INDEX('Green_rooibos initial weight'!$C$5:$C$2000,MATCH(I335, 'Green_rooibos initial weight'!$A$5:$A$2000,0)),"")</f>
        <v>2.2749999999999999</v>
      </c>
      <c r="L335" s="194">
        <f t="shared" si="58"/>
        <v>1.7862</v>
      </c>
      <c r="M335" s="194">
        <f>AVERAGE(Ashed_controlls!$K$2:$K$11)</f>
        <v>5.5147656768714146</v>
      </c>
      <c r="N335" s="194">
        <f t="shared" si="55"/>
        <v>1.6876952554797229</v>
      </c>
      <c r="O335" s="194">
        <f t="shared" si="59"/>
        <v>2.0251999999999999</v>
      </c>
      <c r="P335" s="194">
        <f>AVERAGE(Ashed_controlls!$K$12:$K$14)</f>
        <v>2.2816647271287041</v>
      </c>
      <c r="Q335" s="194">
        <f t="shared" si="60"/>
        <v>1.9789917259461893</v>
      </c>
      <c r="R335" s="16">
        <f>IF('WetLitterbags placem_collection'!G42="","",'WetLitterbags placem_collection'!G42)</f>
        <v>42820</v>
      </c>
      <c r="S335" s="194">
        <f>IFERROR(INDEX('Both teabags AfterWet'!$C$3:$C$2000,MATCH(H335,'Both teabags AfterWet'!$A$3:$A$2000,0)),"")</f>
        <v>0.70599999999999996</v>
      </c>
      <c r="T335" s="194">
        <f>IFERROR(INDEX('Both teabags AfterWet'!$C$3:$C$2000,MATCH(I335,'Both teabags AfterWet'!$A$3:$A$2000,0)),"")</f>
        <v>1.66</v>
      </c>
      <c r="U335" s="194">
        <f t="shared" si="61"/>
        <v>0.55539999999999989</v>
      </c>
      <c r="V335" s="194">
        <f t="shared" si="62"/>
        <v>1.5093999999999999</v>
      </c>
      <c r="W335" s="194">
        <f>IFERROR(INDEX('Ashed teabags wet'!$K$2:$K$2000,MATCH(H335,'Ashed teabags wet'!$A$2:$A$2000,0)),"")</f>
        <v>8.6005830903788301</v>
      </c>
      <c r="X335" s="237">
        <f>IFERROR(INDEX('Ashed teabags wet'!$K$2:$K$2000,MATCH(I335,'Ashed teabags wet'!$A$2:$A$2000,0)),"")</f>
        <v>4.7856430707881614</v>
      </c>
      <c r="Y335" s="194">
        <f t="shared" si="67"/>
        <v>0.50763236151603586</v>
      </c>
      <c r="Z335" s="194">
        <f t="shared" si="67"/>
        <v>1.4371655034895234</v>
      </c>
      <c r="AA335" s="194">
        <f t="shared" si="63"/>
        <v>0.69921562564816075</v>
      </c>
      <c r="AB335" s="194">
        <f t="shared" si="64"/>
        <v>0.45839314175508883</v>
      </c>
      <c r="AC335" s="194">
        <f t="shared" si="56"/>
        <v>0.72621097129771495</v>
      </c>
      <c r="AD335">
        <f t="shared" si="57"/>
        <v>55</v>
      </c>
      <c r="AE335" s="194">
        <f t="shared" si="65"/>
        <v>0.16957764174802759</v>
      </c>
      <c r="AF335" s="194">
        <f t="shared" si="66"/>
        <v>1.6536610932873688E-2</v>
      </c>
      <c r="AG335" s="252" t="str">
        <f>IF(ISNUMBER(SEARCH("C",'WetLitterbags placem_collection'!$Y42)),"YES","NO")</f>
        <v>NO</v>
      </c>
      <c r="AH335" s="252" t="str">
        <f>IF(ISNUMBER(SEARCH("H", 'WetLitterbags placem_collection'!$Y42)),"YES","NO")</f>
        <v>NO</v>
      </c>
      <c r="AI335" s="252" t="str">
        <f>IF(ISNUMBER(SEARCH("R", 'WetLitterbags placem_collection'!$Y42)),"YES","NO")</f>
        <v>NO</v>
      </c>
      <c r="AJ335" s="252" t="str">
        <f>IF(ISNUMBER(SEARCH("C", 'WetLitterbags placem_collection'!$W42)),"YES","NO")</f>
        <v>NO</v>
      </c>
      <c r="AK335" s="252" t="str">
        <f>IF(ISNUMBER(SEARCH("H", 'WetLitterbags placem_collection'!$W42)),"YES","NO")</f>
        <v>YES</v>
      </c>
      <c r="AL335" s="252" t="str">
        <f>IF(ISNUMBER(SEARCH("R", 'WetLitterbags placem_collection'!$W42)),"YES","NO")</f>
        <v>NO</v>
      </c>
    </row>
    <row r="336" spans="2:38">
      <c r="B336" t="str">
        <f>'Final data_for_R_analysis_Wetse'!A482</f>
        <v>Wet</v>
      </c>
      <c r="C336" s="260">
        <f>'Final data_for_R_analysis_Wetse'!B482</f>
        <v>41</v>
      </c>
      <c r="D336" t="s">
        <v>3807</v>
      </c>
      <c r="E336" t="s">
        <v>25</v>
      </c>
      <c r="F336" s="381">
        <v>1</v>
      </c>
      <c r="G336" s="16">
        <f>'WetLitterbags placem_collection'!E43</f>
        <v>42766</v>
      </c>
      <c r="H336" s="92" t="str">
        <f>'Final data_for_R_analysis_Wetse'!K482</f>
        <v>G626</v>
      </c>
      <c r="I336" t="str">
        <f>'Final data_for_R_analysis_Wetse'!K702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58"/>
        <v>1.8681999999999999</v>
      </c>
      <c r="M336" s="194">
        <f>AVERAGE(Ashed_controlls!$K$2:$K$11)</f>
        <v>5.5147656768714146</v>
      </c>
      <c r="N336" s="194">
        <f t="shared" si="55"/>
        <v>1.7651731476246881</v>
      </c>
      <c r="O336" s="194">
        <f t="shared" si="59"/>
        <v>1.9251999999999998</v>
      </c>
      <c r="P336" s="194">
        <f>AVERAGE(Ashed_controlls!$K$12:$K$14)</f>
        <v>2.2816647271287041</v>
      </c>
      <c r="Q336" s="194">
        <f t="shared" si="60"/>
        <v>1.8812733906733179</v>
      </c>
      <c r="R336" s="16">
        <f>IF('WetLitterbags placem_collection'!G43="","",'WetLitterbags placem_collection'!G43)</f>
        <v>42820</v>
      </c>
      <c r="S336" s="194">
        <f>IFERROR(INDEX('Both teabags AfterWet'!$C$3:$C$2000,MATCH(H336,'Both teabags AfterWet'!$A$3:$A$2000,0)),"")</f>
        <v>0.82899999999999996</v>
      </c>
      <c r="T336" s="194">
        <f>IFERROR(INDEX('Both teabags AfterWet'!$C$3:$C$2000,MATCH(I336,'Both teabags AfterWet'!$A$3:$A$2000,0)),"")</f>
        <v>1.5429999999999999</v>
      </c>
      <c r="U336" s="194">
        <f t="shared" si="61"/>
        <v>0.67839999999999989</v>
      </c>
      <c r="V336" s="194">
        <f t="shared" si="62"/>
        <v>1.3923999999999999</v>
      </c>
      <c r="W336" s="194">
        <f>IFERROR(INDEX('Ashed teabags wet'!$K$2:$K$2000,MATCH(H336,'Ashed teabags wet'!$A$2:$A$2000,0)),"")</f>
        <v>11.014911014910776</v>
      </c>
      <c r="X336" s="237">
        <f>IFERROR(INDEX('Ashed teabags wet'!$K$2:$K$2000,MATCH(I336,'Ashed teabags wet'!$A$2:$A$2000,0)),"")</f>
        <v>6.0530265132569756</v>
      </c>
      <c r="Y336" s="194">
        <f t="shared" si="67"/>
        <v>0.60367484367484514</v>
      </c>
      <c r="Z336" s="194">
        <f t="shared" si="67"/>
        <v>1.3081176588294097</v>
      </c>
      <c r="AA336" s="194">
        <f t="shared" si="63"/>
        <v>0.65800814243793448</v>
      </c>
      <c r="AB336" s="194">
        <f t="shared" si="64"/>
        <v>0.4313782596505224</v>
      </c>
      <c r="AC336" s="194">
        <f t="shared" si="56"/>
        <v>0.69533628940620229</v>
      </c>
      <c r="AD336">
        <f t="shared" si="57"/>
        <v>54</v>
      </c>
      <c r="AE336" s="194">
        <f t="shared" si="65"/>
        <v>0.2185176455606479</v>
      </c>
      <c r="AF336" s="194">
        <f t="shared" si="66"/>
        <v>2.2686081968873863E-2</v>
      </c>
      <c r="AG336" s="252" t="str">
        <f>IF(ISNUMBER(SEARCH("C",'WetLitterbags placem_collection'!$Y43)),"YES","NO")</f>
        <v>NO</v>
      </c>
      <c r="AH336" s="252" t="str">
        <f>IF(ISNUMBER(SEARCH("H", 'WetLitterbags placem_collection'!$Y43)),"YES","NO")</f>
        <v>NO</v>
      </c>
      <c r="AI336" s="252" t="str">
        <f>IF(ISNUMBER(SEARCH("R", 'WetLitterbags placem_collection'!$Y43)),"YES","NO")</f>
        <v>YES</v>
      </c>
      <c r="AJ336" s="252" t="str">
        <f>IF(ISNUMBER(SEARCH("C", 'WetLitterbags placem_collection'!$W43)),"YES","NO")</f>
        <v>NO</v>
      </c>
      <c r="AK336" s="252" t="str">
        <f>IF(ISNUMBER(SEARCH("H", 'WetLitterbags placem_collection'!$W43)),"YES","NO")</f>
        <v>NO</v>
      </c>
      <c r="AL336" s="252" t="str">
        <f>IF(ISNUMBER(SEARCH("R", 'WetLitterbags placem_collection'!$W43)),"YES","NO")</f>
        <v>NO</v>
      </c>
    </row>
    <row r="337" spans="2:38">
      <c r="B337" t="str">
        <f>'Final data_for_R_analysis_Wetse'!A483</f>
        <v>Wet</v>
      </c>
      <c r="C337" s="260">
        <f>'Final data_for_R_analysis_Wetse'!B483</f>
        <v>42</v>
      </c>
      <c r="D337" t="s">
        <v>3807</v>
      </c>
      <c r="E337" t="s">
        <v>25</v>
      </c>
      <c r="F337" s="381">
        <v>2</v>
      </c>
      <c r="G337" s="16">
        <f>'WetLitterbags placem_collection'!E44</f>
        <v>42766</v>
      </c>
      <c r="H337" s="92" t="str">
        <f>'Final data_for_R_analysis_Wetse'!K483</f>
        <v>G437</v>
      </c>
      <c r="I337" t="str">
        <f>'Final data_for_R_analysis_Wetse'!K703</f>
        <v>R81</v>
      </c>
      <c r="J337">
        <f>IFERROR(INDEX('Green_rooibos initial weight'!$C$5:$C$2000,MATCH(H337, 'Green_rooibos initial weight'!$A$5:$A$2000,0)),"")</f>
        <v>2.1230000000000002</v>
      </c>
      <c r="K337">
        <f>IFERROR(INDEX('Green_rooibos initial weight'!$C$5:$C$2000,MATCH(I337, 'Green_rooibos initial weight'!$A$5:$A$2000,0)),"")</f>
        <v>2.004</v>
      </c>
      <c r="L337" s="194">
        <f t="shared" si="58"/>
        <v>1.8732000000000002</v>
      </c>
      <c r="M337" s="194">
        <f>AVERAGE(Ashed_controlls!$K$2:$K$11)</f>
        <v>5.5147656768714146</v>
      </c>
      <c r="N337" s="194">
        <f t="shared" si="55"/>
        <v>1.7698974093408448</v>
      </c>
      <c r="O337" s="194">
        <f t="shared" si="59"/>
        <v>1.7542</v>
      </c>
      <c r="P337" s="194">
        <f>AVERAGE(Ashed_controlls!$K$12:$K$14)</f>
        <v>2.2816647271287041</v>
      </c>
      <c r="Q337" s="194">
        <f t="shared" si="60"/>
        <v>1.7141750373567082</v>
      </c>
      <c r="R337" s="16">
        <f>IF('WetLitterbags placem_collection'!G44="","",'WetLitterbags placem_collection'!G44)</f>
        <v>42820</v>
      </c>
      <c r="S337" s="194">
        <f>IFERROR(INDEX('Both teabags AfterWet'!$C$3:$C$2000,MATCH(H337,'Both teabags AfterWet'!$A$3:$A$2000,0)),"")</f>
        <v>0.64</v>
      </c>
      <c r="T337" s="194">
        <f>IFERROR(INDEX('Both teabags AfterWet'!$C$3:$C$2000,MATCH(I337,'Both teabags AfterWet'!$A$3:$A$2000,0)),"")</f>
        <v>1.528</v>
      </c>
      <c r="U337" s="194">
        <f t="shared" si="61"/>
        <v>0.4894</v>
      </c>
      <c r="V337" s="194">
        <f t="shared" si="62"/>
        <v>1.3774</v>
      </c>
      <c r="W337" s="194">
        <f>IFERROR(INDEX('Ashed teabags wet'!$K$2:$K$2000,MATCH(H337,'Ashed teabags wet'!$A$2:$A$2000,0)),"")</f>
        <v>8.5335948994602457</v>
      </c>
      <c r="X337" s="237">
        <f>IFERROR(INDEX('Ashed teabags wet'!$K$2:$K$2000,MATCH(I337,'Ashed teabags wet'!$A$2:$A$2000,0)),"")</f>
        <v>2.5036109773709327</v>
      </c>
      <c r="Y337" s="194">
        <f t="shared" si="67"/>
        <v>0.44763658656204158</v>
      </c>
      <c r="Z337" s="194">
        <f t="shared" si="67"/>
        <v>1.3429152623976928</v>
      </c>
      <c r="AA337" s="194">
        <f t="shared" si="63"/>
        <v>0.74708331443416665</v>
      </c>
      <c r="AB337" s="194">
        <f t="shared" si="64"/>
        <v>0.48977433440339674</v>
      </c>
      <c r="AC337" s="194">
        <f t="shared" si="56"/>
        <v>0.78341781506076225</v>
      </c>
      <c r="AD337">
        <f t="shared" si="57"/>
        <v>54</v>
      </c>
      <c r="AE337" s="194">
        <f t="shared" si="65"/>
        <v>0.11272765506631033</v>
      </c>
      <c r="AF337" s="194">
        <f t="shared" si="66"/>
        <v>1.0810543540645791E-2</v>
      </c>
      <c r="AG337" s="252" t="str">
        <f>IF(ISNUMBER(SEARCH("C",'WetLitterbags placem_collection'!$Y44)),"YES","NO")</f>
        <v>NO</v>
      </c>
      <c r="AH337" s="252" t="str">
        <f>IF(ISNUMBER(SEARCH("H", 'WetLitterbags placem_collection'!$Y44)),"YES","NO")</f>
        <v>NO</v>
      </c>
      <c r="AI337" s="252" t="str">
        <f>IF(ISNUMBER(SEARCH("R", 'WetLitterbags placem_collection'!$Y44)),"YES","NO")</f>
        <v>NO</v>
      </c>
      <c r="AJ337" s="252" t="str">
        <f>IF(ISNUMBER(SEARCH("C", 'WetLitterbags placem_collection'!$W44)),"YES","NO")</f>
        <v>NO</v>
      </c>
      <c r="AK337" s="252" t="str">
        <f>IF(ISNUMBER(SEARCH("H", 'WetLitterbags placem_collection'!$W44)),"YES","NO")</f>
        <v>NO</v>
      </c>
      <c r="AL337" s="252" t="str">
        <f>IF(ISNUMBER(SEARCH("R", 'WetLitterbags placem_collection'!$W44)),"YES","NO")</f>
        <v>NO</v>
      </c>
    </row>
    <row r="338" spans="2:38">
      <c r="B338" t="str">
        <f>'Final data_for_R_analysis_Wetse'!A484</f>
        <v>Wet</v>
      </c>
      <c r="C338" s="260">
        <f>'Final data_for_R_analysis_Wetse'!B484</f>
        <v>43</v>
      </c>
      <c r="D338" t="s">
        <v>3807</v>
      </c>
      <c r="E338" t="s">
        <v>25</v>
      </c>
      <c r="F338" s="381">
        <v>3</v>
      </c>
      <c r="G338" s="16">
        <f>'WetLitterbags placem_collection'!E45</f>
        <v>42766</v>
      </c>
      <c r="H338" s="92" t="str">
        <f>'Final data_for_R_analysis_Wetse'!K484</f>
        <v>G643</v>
      </c>
      <c r="I338" t="str">
        <f>'Final data_for_R_analysis_Wetse'!K704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58"/>
        <v>1.8012000000000001</v>
      </c>
      <c r="M338" s="194">
        <f>AVERAGE(Ashed_controlls!$K$2:$K$11)</f>
        <v>5.5147656768714146</v>
      </c>
      <c r="N338" s="194">
        <f t="shared" si="55"/>
        <v>1.7018680406281923</v>
      </c>
      <c r="O338" s="194">
        <f t="shared" si="59"/>
        <v>1.9531999999999998</v>
      </c>
      <c r="P338" s="194">
        <f>AVERAGE(Ashed_controlls!$K$12:$K$14)</f>
        <v>2.2816647271287041</v>
      </c>
      <c r="Q338" s="194">
        <f t="shared" si="60"/>
        <v>1.908634524549722</v>
      </c>
      <c r="R338" s="16">
        <f>IF('WetLitterbags placem_collection'!G45="","",'WetLitterbags placem_collection'!G45)</f>
        <v>42820</v>
      </c>
      <c r="S338" s="194">
        <f>IFERROR(INDEX('Both teabags AfterWet'!$C$3:$C$2000,MATCH(H338,'Both teabags AfterWet'!$A$3:$A$2000,0)),"")</f>
        <v>0.74509999999999998</v>
      </c>
      <c r="T338" s="194">
        <f>IFERROR(INDEX('Both teabags AfterWet'!$C$3:$C$2000,MATCH(I338,'Both teabags AfterWet'!$A$3:$A$2000,0)),"")</f>
        <v>1.6155999999999999</v>
      </c>
      <c r="U338" s="194">
        <f t="shared" si="61"/>
        <v>0.59450000000000003</v>
      </c>
      <c r="V338" s="194">
        <f t="shared" si="62"/>
        <v>1.4649999999999999</v>
      </c>
      <c r="W338" s="194">
        <f>IFERROR(INDEX('Ashed teabags wet'!$K$2:$K$2000,MATCH(H338,'Ashed teabags wet'!$A$2:$A$2000,0)),"")</f>
        <v>7.6658476658481174</v>
      </c>
      <c r="X338" s="237">
        <f>IFERROR(INDEX('Ashed teabags wet'!$K$2:$K$2000,MATCH(I338,'Ashed teabags wet'!$A$2:$A$2000,0)),"")</f>
        <v>1.8435475834578603</v>
      </c>
      <c r="Y338" s="194">
        <f t="shared" si="67"/>
        <v>0.54892653562653293</v>
      </c>
      <c r="Z338" s="194">
        <f t="shared" si="67"/>
        <v>1.4379920279023422</v>
      </c>
      <c r="AA338" s="194">
        <f t="shared" si="63"/>
        <v>0.67745646400180737</v>
      </c>
      <c r="AB338" s="194">
        <f t="shared" si="64"/>
        <v>0.4441282281817075</v>
      </c>
      <c r="AC338" s="194">
        <f t="shared" si="56"/>
        <v>0.75341402945730951</v>
      </c>
      <c r="AD338">
        <f t="shared" si="57"/>
        <v>54</v>
      </c>
      <c r="AE338" s="194">
        <f t="shared" si="65"/>
        <v>0.19541987648241399</v>
      </c>
      <c r="AF338" s="194">
        <f t="shared" si="66"/>
        <v>1.5002977754895005E-2</v>
      </c>
      <c r="AG338" s="252" t="str">
        <f>IF(ISNUMBER(SEARCH("C",'WetLitterbags placem_collection'!$Y45)),"YES","NO")</f>
        <v>NO</v>
      </c>
      <c r="AH338" s="252" t="str">
        <f>IF(ISNUMBER(SEARCH("H", 'WetLitterbags placem_collection'!$Y45)),"YES","NO")</f>
        <v>NO</v>
      </c>
      <c r="AI338" s="252" t="str">
        <f>IF(ISNUMBER(SEARCH("R", 'WetLitterbags placem_collection'!$Y45)),"YES","NO")</f>
        <v>YES</v>
      </c>
      <c r="AJ338" s="252" t="str">
        <f>IF(ISNUMBER(SEARCH("C", 'WetLitterbags placem_collection'!$W45)),"YES","NO")</f>
        <v>YES</v>
      </c>
      <c r="AK338" s="252" t="str">
        <f>IF(ISNUMBER(SEARCH("H", 'WetLitterbags placem_collection'!$W45)),"YES","NO")</f>
        <v>YES</v>
      </c>
      <c r="AL338" s="252" t="str">
        <f>IF(ISNUMBER(SEARCH("R", 'WetLitterbags placem_collection'!$W45)),"YES","NO")</f>
        <v>NO</v>
      </c>
    </row>
    <row r="339" spans="2:38">
      <c r="B339" t="str">
        <f>'Final data_for_R_analysis_Wetse'!A485</f>
        <v>Wet</v>
      </c>
      <c r="C339" s="260">
        <f>'Final data_for_R_analysis_Wetse'!B485</f>
        <v>44</v>
      </c>
      <c r="D339" t="s">
        <v>3807</v>
      </c>
      <c r="E339" t="s">
        <v>25</v>
      </c>
      <c r="F339" s="382">
        <v>4</v>
      </c>
      <c r="G339" s="16">
        <f>'WetLitterbags placem_collection'!E46</f>
        <v>42766</v>
      </c>
      <c r="H339" s="92" t="str">
        <f>'Final data_for_R_analysis_Wetse'!K485</f>
        <v>G283</v>
      </c>
      <c r="I339" t="str">
        <f>'Final data_for_R_analysis_Wetse'!K705</f>
        <v>R6</v>
      </c>
      <c r="J339">
        <f>IFERROR(INDEX('Green_rooibos initial weight'!$C$5:$C$2000,MATCH(H339, 'Green_rooibos initial weight'!$A$5:$A$2000,0)),"")</f>
        <v>1.8660000000000001</v>
      </c>
      <c r="K339">
        <f>IFERROR(INDEX('Green_rooibos initial weight'!$C$5:$C$2000,MATCH(I339, 'Green_rooibos initial weight'!$A$5:$A$2000,0)),"")</f>
        <v>2.226</v>
      </c>
      <c r="L339" s="194">
        <f t="shared" si="58"/>
        <v>1.6162000000000001</v>
      </c>
      <c r="M339" s="194">
        <f>AVERAGE(Ashed_controlls!$K$2:$K$11)</f>
        <v>5.5147656768714146</v>
      </c>
      <c r="N339" s="194">
        <f t="shared" si="55"/>
        <v>1.5270703571304043</v>
      </c>
      <c r="O339" s="194">
        <f t="shared" si="59"/>
        <v>1.9762</v>
      </c>
      <c r="P339" s="194">
        <f>AVERAGE(Ashed_controlls!$K$12:$K$14)</f>
        <v>2.2816647271287041</v>
      </c>
      <c r="Q339" s="194">
        <f t="shared" si="60"/>
        <v>1.9311097416624825</v>
      </c>
      <c r="R339" s="16">
        <f>IF('WetLitterbags placem_collection'!G46="","",'WetLitterbags placem_collection'!G46)</f>
        <v>42820</v>
      </c>
      <c r="S339" s="194">
        <f>IFERROR(INDEX('Both teabags AfterWet'!$C$3:$C$2000,MATCH(H339,'Both teabags AfterWet'!$A$3:$A$2000,0)),"")</f>
        <v>0.80830000000000002</v>
      </c>
      <c r="T339" s="194">
        <f>IFERROR(INDEX('Both teabags AfterWet'!$C$3:$C$2000,MATCH(I339,'Both teabags AfterWet'!$A$3:$A$2000,0)),"")</f>
        <v>1.5294000000000001</v>
      </c>
      <c r="U339" s="194">
        <f t="shared" si="61"/>
        <v>0.65769999999999995</v>
      </c>
      <c r="V339" s="194">
        <f t="shared" si="62"/>
        <v>1.3788</v>
      </c>
      <c r="W339" s="194">
        <f>IFERROR(INDEX('Ashed teabags wet'!$K$2:$K$2000,MATCH(H339,'Ashed teabags wet'!$A$2:$A$2000,0)),"")</f>
        <v>10.544217687075299</v>
      </c>
      <c r="X339" s="237">
        <f>IFERROR(INDEX('Ashed teabags wet'!$K$2:$K$2000,MATCH(I339,'Ashed teabags wet'!$A$2:$A$2000,0)),"")</f>
        <v>3.8782523318604794</v>
      </c>
      <c r="Y339" s="194">
        <f t="shared" si="67"/>
        <v>0.58835068027210569</v>
      </c>
      <c r="Z339" s="194">
        <f t="shared" si="67"/>
        <v>1.3253266568483077</v>
      </c>
      <c r="AA339" s="194">
        <f t="shared" si="63"/>
        <v>0.61471933658793199</v>
      </c>
      <c r="AB339" s="194">
        <f t="shared" si="64"/>
        <v>0.40299889999588895</v>
      </c>
      <c r="AC339" s="194">
        <f t="shared" si="56"/>
        <v>0.68630312832834695</v>
      </c>
      <c r="AD339">
        <f t="shared" si="57"/>
        <v>54</v>
      </c>
      <c r="AE339" s="194">
        <f t="shared" si="65"/>
        <v>0.26992952899295486</v>
      </c>
      <c r="AF339" s="194">
        <f t="shared" si="66"/>
        <v>2.7905733910786133E-2</v>
      </c>
      <c r="AG339" s="252" t="str">
        <f>IF(ISNUMBER(SEARCH("C",'WetLitterbags placem_collection'!$Y46)),"YES","NO")</f>
        <v>NO</v>
      </c>
      <c r="AH339" s="252" t="str">
        <f>IF(ISNUMBER(SEARCH("H", 'WetLitterbags placem_collection'!$Y46)),"YES","NO")</f>
        <v>NO</v>
      </c>
      <c r="AI339" s="252" t="str">
        <f>IF(ISNUMBER(SEARCH("R", 'WetLitterbags placem_collection'!$Y46)),"YES","NO")</f>
        <v>NO</v>
      </c>
      <c r="AJ339" s="252" t="str">
        <f>IF(ISNUMBER(SEARCH("C", 'WetLitterbags placem_collection'!$W46)),"YES","NO")</f>
        <v>NO</v>
      </c>
      <c r="AK339" s="252" t="str">
        <f>IF(ISNUMBER(SEARCH("H", 'WetLitterbags placem_collection'!$W46)),"YES","NO")</f>
        <v>NO</v>
      </c>
      <c r="AL339" s="252" t="str">
        <f>IF(ISNUMBER(SEARCH("R", 'WetLitterbags placem_collection'!$W46)),"YES","NO")</f>
        <v>YES</v>
      </c>
    </row>
    <row r="340" spans="2:38">
      <c r="B340" t="str">
        <f>'Final data_for_R_analysis_Wetse'!A486</f>
        <v>Wet</v>
      </c>
      <c r="C340" s="260">
        <f>'Final data_for_R_analysis_Wetse'!B486</f>
        <v>45</v>
      </c>
      <c r="D340" t="s">
        <v>3807</v>
      </c>
      <c r="E340" t="s">
        <v>25</v>
      </c>
      <c r="F340" s="382">
        <v>5</v>
      </c>
      <c r="G340" s="16">
        <f>'WetLitterbags placem_collection'!E47</f>
        <v>42766</v>
      </c>
      <c r="H340" s="92" t="str">
        <f>'Final data_for_R_analysis_Wetse'!K486</f>
        <v>G602</v>
      </c>
      <c r="I340" t="str">
        <f>'Final data_for_R_analysis_Wetse'!K706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58"/>
        <v>1.8532000000000002</v>
      </c>
      <c r="M340" s="194">
        <f>AVERAGE(Ashed_controlls!$K$2:$K$11)</f>
        <v>5.5147656768714146</v>
      </c>
      <c r="N340" s="194">
        <f t="shared" si="55"/>
        <v>1.7510003624762192</v>
      </c>
      <c r="O340" s="194">
        <f t="shared" si="59"/>
        <v>2.0842000000000001</v>
      </c>
      <c r="P340" s="194">
        <f>AVERAGE(Ashed_controlls!$K$12:$K$14)</f>
        <v>2.2816647271287041</v>
      </c>
      <c r="Q340" s="194">
        <f t="shared" si="60"/>
        <v>2.0366455437571838</v>
      </c>
      <c r="R340" s="16">
        <f>IF('WetLitterbags placem_collection'!G47="","",'WetLitterbags placem_collection'!G47)</f>
        <v>42820</v>
      </c>
      <c r="S340" s="194">
        <f>IFERROR(INDEX('Both teabags AfterWet'!$C$3:$C$2000,MATCH(H340,'Both teabags AfterWet'!$A$3:$A$2000,0)),"")</f>
        <v>0.77400000000000002</v>
      </c>
      <c r="T340" s="194">
        <f>IFERROR(INDEX('Both teabags AfterWet'!$C$3:$C$2000,MATCH(I340,'Both teabags AfterWet'!$A$3:$A$2000,0)),"")</f>
        <v>1.5923</v>
      </c>
      <c r="U340" s="194">
        <f t="shared" si="61"/>
        <v>0.62339999999999995</v>
      </c>
      <c r="V340" s="194">
        <f t="shared" si="62"/>
        <v>1.4417</v>
      </c>
      <c r="W340" s="194">
        <f>IFERROR(INDEX('Ashed teabags wet'!$K$2:$K$2000,MATCH(H340,'Ashed teabags wet'!$A$2:$A$2000,0)),"")</f>
        <v>5.9288537549396603</v>
      </c>
      <c r="X340" s="237">
        <f>IFERROR(INDEX('Ashed teabags wet'!$K$2:$K$2000,MATCH(I340,'Ashed teabags wet'!$A$2:$A$2000,0)),"")</f>
        <v>3.1049778215869339</v>
      </c>
      <c r="Y340" s="194">
        <f t="shared" si="67"/>
        <v>0.5864395256917061</v>
      </c>
      <c r="Z340" s="194">
        <f t="shared" si="67"/>
        <v>1.3969355347461812</v>
      </c>
      <c r="AA340" s="194">
        <f t="shared" si="63"/>
        <v>0.66508315003294538</v>
      </c>
      <c r="AB340" s="194">
        <f t="shared" si="64"/>
        <v>0.43601650690995947</v>
      </c>
      <c r="AC340" s="194">
        <f t="shared" si="56"/>
        <v>0.68590017493624744</v>
      </c>
      <c r="AD340">
        <f t="shared" si="57"/>
        <v>54</v>
      </c>
      <c r="AE340" s="194">
        <f t="shared" si="65"/>
        <v>0.21011502371384161</v>
      </c>
      <c r="AF340" s="194">
        <f t="shared" si="66"/>
        <v>2.3598930125517985E-2</v>
      </c>
      <c r="AG340" s="252" t="str">
        <f>IF(ISNUMBER(SEARCH("C",'WetLitterbags placem_collection'!$Y47)),"YES","NO")</f>
        <v>NO</v>
      </c>
      <c r="AH340" s="252" t="str">
        <f>IF(ISNUMBER(SEARCH("H", 'WetLitterbags placem_collection'!$Y47)),"YES","NO")</f>
        <v>NO</v>
      </c>
      <c r="AI340" s="252" t="str">
        <f>IF(ISNUMBER(SEARCH("R", 'WetLitterbags placem_collection'!$Y47)),"YES","NO")</f>
        <v>NO</v>
      </c>
      <c r="AJ340" s="252" t="str">
        <f>IF(ISNUMBER(SEARCH("C", 'WetLitterbags placem_collection'!$W47)),"YES","NO")</f>
        <v>NO</v>
      </c>
      <c r="AK340" s="252" t="str">
        <f>IF(ISNUMBER(SEARCH("H", 'WetLitterbags placem_collection'!$W47)),"YES","NO")</f>
        <v>NO</v>
      </c>
      <c r="AL340" s="252" t="str">
        <f>IF(ISNUMBER(SEARCH("R", 'WetLitterbags placem_collection'!$W47)),"YES","NO")</f>
        <v>NO</v>
      </c>
    </row>
    <row r="341" spans="2:38">
      <c r="B341" t="str">
        <f>'Final data_for_R_analysis_Wetse'!A487</f>
        <v>Wet</v>
      </c>
      <c r="C341" s="260">
        <f>'Final data_for_R_analysis_Wetse'!B487</f>
        <v>46</v>
      </c>
      <c r="D341" t="s">
        <v>3807</v>
      </c>
      <c r="E341" t="s">
        <v>25</v>
      </c>
      <c r="F341" s="382">
        <v>6</v>
      </c>
      <c r="G341" s="16">
        <f>'WetLitterbags placem_collection'!E48</f>
        <v>42766</v>
      </c>
      <c r="H341" s="92" t="str">
        <f>'Final data_for_R_analysis_Wetse'!K487</f>
        <v>G427</v>
      </c>
      <c r="I341" t="str">
        <f>'Final data_for_R_analysis_Wetse'!K707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58"/>
        <v>1.6461999999999999</v>
      </c>
      <c r="M341" s="194">
        <f>AVERAGE(Ashed_controlls!$K$2:$K$11)</f>
        <v>5.5147656768714146</v>
      </c>
      <c r="N341" s="194">
        <f t="shared" si="55"/>
        <v>1.5554159274273427</v>
      </c>
      <c r="O341" s="194">
        <f t="shared" si="59"/>
        <v>1.9971999999999999</v>
      </c>
      <c r="P341" s="194">
        <f>AVERAGE(Ashed_controlls!$K$12:$K$14)</f>
        <v>2.2816647271287041</v>
      </c>
      <c r="Q341" s="194">
        <f t="shared" si="60"/>
        <v>1.9516305920697854</v>
      </c>
      <c r="R341" s="16">
        <f>IF('WetLitterbags placem_collection'!G48="","",'WetLitterbags placem_collection'!G48)</f>
        <v>42820</v>
      </c>
      <c r="S341" s="194" t="str">
        <f>IFERROR(INDEX('Both teabags AfterWet'!$C$3:$C$2000,MATCH(H341,'Both teabags AfterWet'!$A$3:$A$2000,0)),"")</f>
        <v/>
      </c>
      <c r="T341" s="194" t="str">
        <f>IFERROR(INDEX('Both teabags AfterWet'!$C$3:$C$2000,MATCH(I341,'Both teabags AfterWet'!$A$3:$A$2000,0)),"")</f>
        <v/>
      </c>
      <c r="U341" s="194" t="str">
        <f t="shared" si="61"/>
        <v/>
      </c>
      <c r="V341" s="194" t="str">
        <f t="shared" si="62"/>
        <v/>
      </c>
      <c r="W341" s="194" t="str">
        <f>IFERROR(INDEX('Ashed teabags wet'!$K$2:$K$2000,MATCH(H341,'Ashed teabags wet'!$A$2:$A$2000,0)),"")</f>
        <v/>
      </c>
      <c r="X341" s="237" t="str">
        <f>IFERROR(INDEX('Ashed teabags wet'!$K$2:$K$2000,MATCH(I341,'Ashed teabags wet'!$A$2:$A$2000,0)),"")</f>
        <v/>
      </c>
      <c r="Y341" s="194" t="str">
        <f t="shared" si="67"/>
        <v/>
      </c>
      <c r="Z341" s="194" t="str">
        <f t="shared" si="67"/>
        <v/>
      </c>
      <c r="AA341" s="194" t="str">
        <f t="shared" si="63"/>
        <v/>
      </c>
      <c r="AB341" s="194" t="str">
        <f t="shared" si="64"/>
        <v/>
      </c>
      <c r="AC341" s="194" t="str">
        <f t="shared" si="56"/>
        <v/>
      </c>
      <c r="AD341">
        <f t="shared" si="57"/>
        <v>54</v>
      </c>
      <c r="AE341" s="194" t="str">
        <f t="shared" si="65"/>
        <v/>
      </c>
      <c r="AF341" s="194" t="str">
        <f t="shared" si="66"/>
        <v/>
      </c>
      <c r="AG341" s="252" t="str">
        <f>IF(ISNUMBER(SEARCH("C",'WetLitterbags placem_collection'!$Y48)),"YES","NO")</f>
        <v>NO</v>
      </c>
      <c r="AH341" s="252" t="str">
        <f>IF(ISNUMBER(SEARCH("H", 'WetLitterbags placem_collection'!$Y48)),"YES","NO")</f>
        <v>NO</v>
      </c>
      <c r="AI341" s="252" t="str">
        <f>IF(ISNUMBER(SEARCH("R", 'WetLitterbags placem_collection'!$Y48)),"YES","NO")</f>
        <v>NO</v>
      </c>
      <c r="AJ341" s="252" t="str">
        <f>IF(ISNUMBER(SEARCH("C", 'WetLitterbags placem_collection'!$W48)),"YES","NO")</f>
        <v>NO</v>
      </c>
      <c r="AK341" s="252" t="str">
        <f>IF(ISNUMBER(SEARCH("H", 'WetLitterbags placem_collection'!$W48)),"YES","NO")</f>
        <v>NO</v>
      </c>
      <c r="AL341" s="252" t="str">
        <f>IF(ISNUMBER(SEARCH("R", 'WetLitterbags placem_collection'!$W48)),"YES","NO")</f>
        <v>NO</v>
      </c>
    </row>
    <row r="342" spans="2:38">
      <c r="B342" t="str">
        <f>'Final data_for_R_analysis_Wetse'!A488</f>
        <v>Wet</v>
      </c>
      <c r="C342" s="260">
        <f>'Final data_for_R_analysis_Wetse'!B488</f>
        <v>47</v>
      </c>
      <c r="D342" t="s">
        <v>3807</v>
      </c>
      <c r="E342" t="s">
        <v>25</v>
      </c>
      <c r="F342" s="382">
        <v>7</v>
      </c>
      <c r="G342" s="16">
        <f>'WetLitterbags placem_collection'!E49</f>
        <v>42766</v>
      </c>
      <c r="H342" s="92" t="str">
        <f>'Final data_for_R_analysis_Wetse'!K488</f>
        <v>G512</v>
      </c>
      <c r="I342" t="str">
        <f>'Final data_for_R_analysis_Wetse'!K708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58"/>
        <v>1.8441999999999998</v>
      </c>
      <c r="M342" s="194">
        <f>AVERAGE(Ashed_controlls!$K$2:$K$11)</f>
        <v>5.5147656768714146</v>
      </c>
      <c r="N342" s="194">
        <f t="shared" si="55"/>
        <v>1.7424966913871371</v>
      </c>
      <c r="O342" s="194">
        <f t="shared" si="59"/>
        <v>2.0472000000000001</v>
      </c>
      <c r="P342" s="194">
        <f>AVERAGE(Ashed_controlls!$K$12:$K$14)</f>
        <v>2.2816647271287041</v>
      </c>
      <c r="Q342" s="194">
        <f t="shared" si="60"/>
        <v>2.0004897597062214</v>
      </c>
      <c r="R342" s="16">
        <f>IF('WetLitterbags placem_collection'!G49="","",'WetLitterbags placem_collection'!G49)</f>
        <v>42820</v>
      </c>
      <c r="S342" s="194">
        <f>IFERROR(INDEX('Both teabags AfterWet'!$C$3:$C$2000,MATCH(H342,'Both teabags AfterWet'!$A$3:$A$2000,0)),"")</f>
        <v>0.77500000000000002</v>
      </c>
      <c r="T342" s="194">
        <f>IFERROR(INDEX('Both teabags AfterWet'!$C$3:$C$2000,MATCH(I342,'Both teabags AfterWet'!$A$3:$A$2000,0)),"")</f>
        <v>1.665</v>
      </c>
      <c r="U342" s="194">
        <f t="shared" si="61"/>
        <v>0.62440000000000007</v>
      </c>
      <c r="V342" s="194">
        <f t="shared" si="62"/>
        <v>1.5144</v>
      </c>
      <c r="W342" s="194">
        <f>IFERROR(INDEX('Ashed teabags wet'!$K$2:$K$2000,MATCH(H342,'Ashed teabags wet'!$A$2:$A$2000,0)),"")</f>
        <v>8.2123184777170053</v>
      </c>
      <c r="X342" s="237">
        <f>IFERROR(INDEX('Ashed teabags wet'!$K$2:$K$2000,MATCH(I342,'Ashed teabags wet'!$A$2:$A$2000,0)),"")</f>
        <v>3.0587074494324868</v>
      </c>
      <c r="Y342" s="194">
        <f t="shared" si="67"/>
        <v>0.57312228342513505</v>
      </c>
      <c r="Z342" s="194">
        <f t="shared" si="67"/>
        <v>1.4680789343857943</v>
      </c>
      <c r="AA342" s="194">
        <f t="shared" si="63"/>
        <v>0.67109132186133813</v>
      </c>
      <c r="AB342" s="194">
        <f t="shared" si="64"/>
        <v>0.43995535589959467</v>
      </c>
      <c r="AC342" s="194">
        <f t="shared" si="56"/>
        <v>0.73385975972273232</v>
      </c>
      <c r="AD342">
        <f t="shared" si="57"/>
        <v>54</v>
      </c>
      <c r="AE342" s="194">
        <f t="shared" si="65"/>
        <v>0.20297942771812572</v>
      </c>
      <c r="AF342" s="194">
        <f t="shared" si="66"/>
        <v>1.719779773130883E-2</v>
      </c>
      <c r="AG342" s="252" t="str">
        <f>IF(ISNUMBER(SEARCH("C",'WetLitterbags placem_collection'!$Y49)),"YES","NO")</f>
        <v>NO</v>
      </c>
      <c r="AH342" s="252" t="str">
        <f>IF(ISNUMBER(SEARCH("H", 'WetLitterbags placem_collection'!$Y49)),"YES","NO")</f>
        <v>NO</v>
      </c>
      <c r="AI342" s="252" t="str">
        <f>IF(ISNUMBER(SEARCH("R", 'WetLitterbags placem_collection'!$Y49)),"YES","NO")</f>
        <v>NO</v>
      </c>
      <c r="AJ342" s="252" t="str">
        <f>IF(ISNUMBER(SEARCH("C", 'WetLitterbags placem_collection'!$W49)),"YES","NO")</f>
        <v>NO</v>
      </c>
      <c r="AK342" s="252" t="str">
        <f>IF(ISNUMBER(SEARCH("H", 'WetLitterbags placem_collection'!$W49)),"YES","NO")</f>
        <v>YES</v>
      </c>
      <c r="AL342" s="252" t="str">
        <f>IF(ISNUMBER(SEARCH("R", 'WetLitterbags placem_collection'!$W49)),"YES","NO")</f>
        <v>YES</v>
      </c>
    </row>
    <row r="343" spans="2:38">
      <c r="B343" t="str">
        <f>'Final data_for_R_analysis_Wetse'!A489</f>
        <v>Wet</v>
      </c>
      <c r="C343" s="260">
        <f>'Final data_for_R_analysis_Wetse'!B489</f>
        <v>48</v>
      </c>
      <c r="D343" t="s">
        <v>3807</v>
      </c>
      <c r="E343" t="s">
        <v>25</v>
      </c>
      <c r="F343" s="382">
        <v>8</v>
      </c>
      <c r="G343" s="16">
        <f>'WetLitterbags placem_collection'!E50</f>
        <v>42766</v>
      </c>
      <c r="H343" s="92" t="str">
        <f>'Final data_for_R_analysis_Wetse'!K489</f>
        <v>G299</v>
      </c>
      <c r="I343" t="str">
        <f>'Final data_for_R_analysis_Wetse'!K709</f>
        <v>R107</v>
      </c>
      <c r="J343">
        <f>IFERROR(INDEX('Green_rooibos initial weight'!$C$5:$C$2000,MATCH(H343, 'Green_rooibos initial weight'!$A$5:$A$2000,0)),"")</f>
        <v>2.0110000000000001</v>
      </c>
      <c r="K343">
        <f>IFERROR(INDEX('Green_rooibos initial weight'!$C$5:$C$2000,MATCH(I343, 'Green_rooibos initial weight'!$A$5:$A$2000,0)),"")</f>
        <v>2.19</v>
      </c>
      <c r="L343" s="194">
        <f t="shared" si="58"/>
        <v>1.7612000000000001</v>
      </c>
      <c r="M343" s="194">
        <f>AVERAGE(Ashed_controlls!$K$2:$K$11)</f>
        <v>5.5147656768714146</v>
      </c>
      <c r="N343" s="194">
        <f t="shared" si="55"/>
        <v>1.6640739468989407</v>
      </c>
      <c r="O343" s="194">
        <f t="shared" si="59"/>
        <v>1.9401999999999999</v>
      </c>
      <c r="P343" s="194">
        <f>AVERAGE(Ashed_controlls!$K$12:$K$14)</f>
        <v>2.2816647271287041</v>
      </c>
      <c r="Q343" s="194">
        <f t="shared" si="60"/>
        <v>1.8959311409642488</v>
      </c>
      <c r="R343" s="16">
        <f>IF('WetLitterbags placem_collection'!G50="","",'WetLitterbags placem_collection'!G50)</f>
        <v>42820</v>
      </c>
      <c r="S343" s="194">
        <f>IFERROR(INDEX('Both teabags AfterWet'!$C$3:$C$2000,MATCH(H343,'Both teabags AfterWet'!$A$3:$A$2000,0)),"")</f>
        <v>0.88100000000000001</v>
      </c>
      <c r="T343" s="194">
        <f>IFERROR(INDEX('Both teabags AfterWet'!$C$3:$C$2000,MATCH(I343,'Both teabags AfterWet'!$A$3:$A$2000,0)),"")</f>
        <v>1.5349999999999999</v>
      </c>
      <c r="U343" s="194">
        <f t="shared" si="61"/>
        <v>0.73039999999999994</v>
      </c>
      <c r="V343" s="194">
        <f t="shared" si="62"/>
        <v>1.3843999999999999</v>
      </c>
      <c r="W343" s="194">
        <f>IFERROR(INDEX('Ashed teabags wet'!$K$2:$K$2000,MATCH(H343,'Ashed teabags wet'!$A$2:$A$2000,0)),"")</f>
        <v>7.4656188605105287</v>
      </c>
      <c r="X343" s="237">
        <f>IFERROR(INDEX('Ashed teabags wet'!$K$2:$K$2000,MATCH(I343,'Ashed teabags wet'!$A$2:$A$2000,0)),"")</f>
        <v>3.4431137724549741</v>
      </c>
      <c r="Y343" s="194">
        <f t="shared" si="67"/>
        <v>0.67587111984283099</v>
      </c>
      <c r="Z343" s="194">
        <f t="shared" si="67"/>
        <v>1.3367335329341332</v>
      </c>
      <c r="AA343" s="194">
        <f t="shared" si="63"/>
        <v>0.59384550121565205</v>
      </c>
      <c r="AB343" s="194">
        <f t="shared" si="64"/>
        <v>0.38931439034565318</v>
      </c>
      <c r="AC343" s="194">
        <f t="shared" si="56"/>
        <v>0.70505384085536249</v>
      </c>
      <c r="AD343">
        <f t="shared" si="57"/>
        <v>54</v>
      </c>
      <c r="AE343" s="194">
        <f t="shared" si="65"/>
        <v>0.29472030734483123</v>
      </c>
      <c r="AF343" s="194">
        <f t="shared" si="66"/>
        <v>2.6244124740344269E-2</v>
      </c>
      <c r="AG343" s="252" t="str">
        <f>IF(ISNUMBER(SEARCH("C",'WetLitterbags placem_collection'!$Y50)),"YES","NO")</f>
        <v>NO</v>
      </c>
      <c r="AH343" s="252" t="str">
        <f>IF(ISNUMBER(SEARCH("H", 'WetLitterbags placem_collection'!$Y50)),"YES","NO")</f>
        <v>NO</v>
      </c>
      <c r="AI343" s="252" t="str">
        <f>IF(ISNUMBER(SEARCH("R", 'WetLitterbags placem_collection'!$Y50)),"YES","NO")</f>
        <v>NO</v>
      </c>
      <c r="AJ343" s="252" t="str">
        <f>IF(ISNUMBER(SEARCH("C", 'WetLitterbags placem_collection'!$W50)),"YES","NO")</f>
        <v>NO</v>
      </c>
      <c r="AK343" s="252" t="str">
        <f>IF(ISNUMBER(SEARCH("H", 'WetLitterbags placem_collection'!$W50)),"YES","NO")</f>
        <v>NO</v>
      </c>
      <c r="AL343" s="252" t="str">
        <f>IF(ISNUMBER(SEARCH("R", 'WetLitterbags placem_collection'!$W50)),"YES","NO")</f>
        <v>YES</v>
      </c>
    </row>
    <row r="344" spans="2:38">
      <c r="B344" t="str">
        <f>'Final data_for_R_analysis_Wetse'!A490</f>
        <v>Wet</v>
      </c>
      <c r="C344" s="260">
        <f>'Final data_for_R_analysis_Wetse'!B490</f>
        <v>49</v>
      </c>
      <c r="D344" t="s">
        <v>3808</v>
      </c>
      <c r="E344" t="s">
        <v>25</v>
      </c>
      <c r="F344" s="381">
        <v>1</v>
      </c>
      <c r="G344" s="16">
        <f>'WetLitterbags placem_collection'!E51</f>
        <v>42766</v>
      </c>
      <c r="H344" s="92" t="str">
        <f>'Final data_for_R_analysis_Wetse'!K490</f>
        <v>G739</v>
      </c>
      <c r="I344" t="str">
        <f>'Final data_for_R_analysis_Wetse'!K710</f>
        <v>R155</v>
      </c>
      <c r="J344">
        <f>IFERROR(INDEX('Green_rooibos initial weight'!$C$5:$C$2000,MATCH(H344, 'Green_rooibos initial weight'!$A$5:$A$2000,0)),"")</f>
        <v>2.0499999999999998</v>
      </c>
      <c r="K344">
        <f>IFERROR(INDEX('Green_rooibos initial weight'!$C$5:$C$2000,MATCH(I344, 'Green_rooibos initial weight'!$A$5:$A$2000,0)),"")</f>
        <v>2.206</v>
      </c>
      <c r="L344" s="194">
        <f t="shared" si="58"/>
        <v>1.8001999999999998</v>
      </c>
      <c r="M344" s="194">
        <f>AVERAGE(Ashed_controlls!$K$2:$K$11)</f>
        <v>5.5147656768714146</v>
      </c>
      <c r="N344" s="194">
        <f t="shared" si="55"/>
        <v>1.7009231882849607</v>
      </c>
      <c r="O344" s="194">
        <f t="shared" si="59"/>
        <v>1.9561999999999999</v>
      </c>
      <c r="P344" s="194">
        <f>AVERAGE(Ashed_controlls!$K$12:$K$14)</f>
        <v>2.2816647271287041</v>
      </c>
      <c r="Q344" s="194">
        <f t="shared" si="60"/>
        <v>1.9115660746079082</v>
      </c>
      <c r="R344" s="16">
        <f>IF('WetLitterbags placem_collection'!G51="","",'WetLitterbags placem_collection'!G51)</f>
        <v>42820</v>
      </c>
      <c r="S344" s="194">
        <f>IFERROR(INDEX('Both teabags AfterWet'!$C$3:$C$2000,MATCH(H344,'Both teabags AfterWet'!$A$3:$A$2000,0)),"")</f>
        <v>0.87490000000000001</v>
      </c>
      <c r="T344" s="194">
        <f>IFERROR(INDEX('Both teabags AfterWet'!$C$3:$C$2000,MATCH(I344,'Both teabags AfterWet'!$A$3:$A$2000,0)),"")</f>
        <v>1.5909</v>
      </c>
      <c r="U344" s="194">
        <f t="shared" si="61"/>
        <v>0.72429999999999994</v>
      </c>
      <c r="V344" s="194">
        <f t="shared" si="62"/>
        <v>1.4402999999999999</v>
      </c>
      <c r="W344" s="194">
        <f>IFERROR(INDEX('Ashed teabags wet'!$K$2:$K$2000,MATCH(H344,'Ashed teabags wet'!$A$2:$A$2000,0)),"")</f>
        <v>16.486751717369803</v>
      </c>
      <c r="X344" s="237">
        <f>IFERROR(INDEX('Ashed teabags wet'!$K$2:$K$2000,MATCH(I344,'Ashed teabags wet'!$A$2:$A$2000,0)),"")</f>
        <v>10.705352676338336</v>
      </c>
      <c r="Y344" s="194">
        <f t="shared" si="67"/>
        <v>0.60488645731109048</v>
      </c>
      <c r="Z344" s="194">
        <f t="shared" si="67"/>
        <v>1.2861108054026988</v>
      </c>
      <c r="AA344" s="194">
        <f t="shared" si="63"/>
        <v>0.64437755832995791</v>
      </c>
      <c r="AB344" s="194">
        <f t="shared" si="64"/>
        <v>0.42244229477213396</v>
      </c>
      <c r="AC344" s="194">
        <f t="shared" si="56"/>
        <v>0.6728047868638285</v>
      </c>
      <c r="AD344">
        <f t="shared" si="57"/>
        <v>54</v>
      </c>
      <c r="AE344" s="194">
        <f t="shared" si="65"/>
        <v>0.23470598773164142</v>
      </c>
      <c r="AF344" s="194">
        <f t="shared" si="66"/>
        <v>2.7584786713025583E-2</v>
      </c>
      <c r="AG344" s="252" t="str">
        <f>IF(ISNUMBER(SEARCH("C",'WetLitterbags placem_collection'!$Y51)),"YES","NO")</f>
        <v>NO</v>
      </c>
      <c r="AH344" s="252" t="str">
        <f>IF(ISNUMBER(SEARCH("H", 'WetLitterbags placem_collection'!$Y51)),"YES","NO")</f>
        <v>NO</v>
      </c>
      <c r="AI344" s="252" t="str">
        <f>IF(ISNUMBER(SEARCH("R", 'WetLitterbags placem_collection'!$Y51)),"YES","NO")</f>
        <v>YES</v>
      </c>
      <c r="AJ344" s="252" t="str">
        <f>IF(ISNUMBER(SEARCH("C", 'WetLitterbags placem_collection'!$W51)),"YES","NO")</f>
        <v>NO</v>
      </c>
      <c r="AK344" s="252" t="str">
        <f>IF(ISNUMBER(SEARCH("H", 'WetLitterbags placem_collection'!$W51)),"YES","NO")</f>
        <v>YES</v>
      </c>
      <c r="AL344" s="252" t="str">
        <f>IF(ISNUMBER(SEARCH("R", 'WetLitterbags placem_collection'!$W51)),"YES","NO")</f>
        <v>YES</v>
      </c>
    </row>
    <row r="345" spans="2:38">
      <c r="B345" t="str">
        <f>'Final data_for_R_analysis_Wetse'!A491</f>
        <v>Wet</v>
      </c>
      <c r="C345" s="260">
        <f>'Final data_for_R_analysis_Wetse'!B491</f>
        <v>50</v>
      </c>
      <c r="D345" t="s">
        <v>3808</v>
      </c>
      <c r="E345" t="s">
        <v>25</v>
      </c>
      <c r="F345" s="381">
        <v>2</v>
      </c>
      <c r="G345" s="16">
        <f>'WetLitterbags placem_collection'!E52</f>
        <v>42766</v>
      </c>
      <c r="H345" s="92" t="str">
        <f>'Final data_for_R_analysis_Wetse'!K491</f>
        <v>G559</v>
      </c>
      <c r="I345" t="str">
        <f>'Final data_for_R_analysis_Wetse'!K711</f>
        <v>R98</v>
      </c>
      <c r="J345">
        <f>IFERROR(INDEX('Green_rooibos initial weight'!$C$5:$C$2000,MATCH(H345, 'Green_rooibos initial weight'!$A$5:$A$2000,0)),"")</f>
        <v>2.085</v>
      </c>
      <c r="K345">
        <f>IFERROR(INDEX('Green_rooibos initial weight'!$C$5:$C$2000,MATCH(I345, 'Green_rooibos initial weight'!$A$5:$A$2000,0)),"")</f>
        <v>2.1960000000000002</v>
      </c>
      <c r="L345" s="194">
        <f t="shared" si="58"/>
        <v>1.8351999999999999</v>
      </c>
      <c r="M345" s="194">
        <f>AVERAGE(Ashed_controlls!$K$2:$K$11)</f>
        <v>5.5147656768714146</v>
      </c>
      <c r="N345" s="194">
        <f t="shared" si="55"/>
        <v>1.7339930202980558</v>
      </c>
      <c r="O345" s="194">
        <f t="shared" si="59"/>
        <v>1.9462000000000002</v>
      </c>
      <c r="P345" s="194">
        <f>AVERAGE(Ashed_controlls!$K$12:$K$14)</f>
        <v>2.2816647271287041</v>
      </c>
      <c r="Q345" s="194">
        <f t="shared" si="60"/>
        <v>1.9017942410806212</v>
      </c>
      <c r="R345" s="16">
        <f>IF('WetLitterbags placem_collection'!G52="","",'WetLitterbags placem_collection'!G52)</f>
        <v>42820</v>
      </c>
      <c r="S345" s="194" t="str">
        <f>IFERROR(INDEX('Both teabags AfterWet'!$C$3:$C$2000,MATCH(H345,'Both teabags AfterWet'!$A$3:$A$2000,0)),"")</f>
        <v/>
      </c>
      <c r="T345" s="194" t="str">
        <f>IFERROR(INDEX('Both teabags AfterWet'!$C$3:$C$2000,MATCH(I345,'Both teabags AfterWet'!$A$3:$A$2000,0)),"")</f>
        <v/>
      </c>
      <c r="U345" s="194" t="str">
        <f t="shared" si="61"/>
        <v/>
      </c>
      <c r="V345" s="194" t="str">
        <f t="shared" si="62"/>
        <v/>
      </c>
      <c r="W345" s="194" t="str">
        <f>IFERROR(INDEX('Ashed teabags wet'!$K$2:$K$2000,MATCH(H345,'Ashed teabags wet'!$A$2:$A$2000,0)),"")</f>
        <v/>
      </c>
      <c r="X345" s="237" t="str">
        <f>IFERROR(INDEX('Ashed teabags wet'!$K$2:$K$2000,MATCH(I345,'Ashed teabags wet'!$A$2:$A$2000,0)),"")</f>
        <v/>
      </c>
      <c r="Y345" s="194" t="str">
        <f t="shared" si="67"/>
        <v/>
      </c>
      <c r="Z345" s="194" t="str">
        <f t="shared" si="67"/>
        <v/>
      </c>
      <c r="AA345" s="194" t="str">
        <f t="shared" si="63"/>
        <v/>
      </c>
      <c r="AB345" s="194" t="str">
        <f t="shared" si="64"/>
        <v/>
      </c>
      <c r="AC345" s="194" t="str">
        <f t="shared" si="56"/>
        <v/>
      </c>
      <c r="AD345">
        <f t="shared" si="57"/>
        <v>54</v>
      </c>
      <c r="AE345" s="194" t="str">
        <f t="shared" si="65"/>
        <v/>
      </c>
      <c r="AF345" s="194" t="str">
        <f t="shared" si="66"/>
        <v/>
      </c>
      <c r="AG345" s="252" t="str">
        <f>IF(ISNUMBER(SEARCH("C",'WetLitterbags placem_collection'!$Y52)),"YES","NO")</f>
        <v>NO</v>
      </c>
      <c r="AH345" s="252" t="str">
        <f>IF(ISNUMBER(SEARCH("H", 'WetLitterbags placem_collection'!$Y52)),"YES","NO")</f>
        <v>NO</v>
      </c>
      <c r="AI345" s="252" t="str">
        <f>IF(ISNUMBER(SEARCH("R", 'WetLitterbags placem_collection'!$Y52)),"YES","NO")</f>
        <v>NO</v>
      </c>
      <c r="AJ345" s="252" t="str">
        <f>IF(ISNUMBER(SEARCH("C", 'WetLitterbags placem_collection'!$W52)),"YES","NO")</f>
        <v>NO</v>
      </c>
      <c r="AK345" s="252" t="str">
        <f>IF(ISNUMBER(SEARCH("H", 'WetLitterbags placem_collection'!$W52)),"YES","NO")</f>
        <v>NO</v>
      </c>
      <c r="AL345" s="252" t="str">
        <f>IF(ISNUMBER(SEARCH("R", 'WetLitterbags placem_collection'!$W52)),"YES","NO")</f>
        <v>NO</v>
      </c>
    </row>
    <row r="346" spans="2:38">
      <c r="B346" t="str">
        <f>'Final data_for_R_analysis_Wetse'!A492</f>
        <v>Wet</v>
      </c>
      <c r="C346" s="260">
        <f>'Final data_for_R_analysis_Wetse'!B492</f>
        <v>51</v>
      </c>
      <c r="D346" t="s">
        <v>3808</v>
      </c>
      <c r="E346" t="s">
        <v>25</v>
      </c>
      <c r="F346" s="381">
        <v>3</v>
      </c>
      <c r="G346" s="16">
        <f>'WetLitterbags placem_collection'!E53</f>
        <v>42766</v>
      </c>
      <c r="H346" s="92" t="str">
        <f>'Final data_for_R_analysis_Wetse'!K492</f>
        <v>G856</v>
      </c>
      <c r="I346" t="str">
        <f>'Final data_for_R_analysis_Wetse'!K712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58"/>
        <v>1.6872</v>
      </c>
      <c r="M346" s="194">
        <f>AVERAGE(Ashed_controlls!$K$2:$K$11)</f>
        <v>5.5147656768714146</v>
      </c>
      <c r="N346" s="194">
        <f t="shared" si="55"/>
        <v>1.5941548734998254</v>
      </c>
      <c r="O346" s="194">
        <f t="shared" si="59"/>
        <v>1.9902000000000002</v>
      </c>
      <c r="P346" s="194">
        <f>AVERAGE(Ashed_controlls!$K$12:$K$14)</f>
        <v>2.2816647271287041</v>
      </c>
      <c r="Q346" s="194">
        <f t="shared" si="60"/>
        <v>1.9447903086006848</v>
      </c>
      <c r="R346" s="16">
        <f>IF('WetLitterbags placem_collection'!G53="","",'WetLitterbags placem_collection'!G53)</f>
        <v>42820</v>
      </c>
      <c r="S346" s="194">
        <f>IFERROR(INDEX('Both teabags AfterWet'!$C$3:$C$2000,MATCH(H346,'Both teabags AfterWet'!$A$3:$A$2000,0)),"")</f>
        <v>0.77600000000000002</v>
      </c>
      <c r="T346" s="194">
        <f>IFERROR(INDEX('Both teabags AfterWet'!$C$3:$C$2000,MATCH(I346,'Both teabags AfterWet'!$A$3:$A$2000,0)),"")</f>
        <v>1.4950000000000001</v>
      </c>
      <c r="U346" s="194">
        <f t="shared" si="61"/>
        <v>0.62539999999999996</v>
      </c>
      <c r="V346" s="194">
        <f t="shared" si="62"/>
        <v>1.3444</v>
      </c>
      <c r="W346" s="194">
        <f>IFERROR(INDEX('Ashed teabags wet'!$K$2:$K$2000,MATCH(H346,'Ashed teabags wet'!$A$2:$A$2000,0)),"")</f>
        <v>9.5957135898680637</v>
      </c>
      <c r="X346" s="237">
        <f>IFERROR(INDEX('Ashed teabags wet'!$K$2:$K$2000,MATCH(I346,'Ashed teabags wet'!$A$2:$A$2000,0)),"")</f>
        <v>3.8327526132399545</v>
      </c>
      <c r="Y346" s="194">
        <f t="shared" si="67"/>
        <v>0.5653884072089651</v>
      </c>
      <c r="Z346" s="194">
        <f t="shared" si="67"/>
        <v>1.2928724738676021</v>
      </c>
      <c r="AA346" s="194">
        <f t="shared" si="63"/>
        <v>0.64533658767563462</v>
      </c>
      <c r="AB346" s="194">
        <f t="shared" si="64"/>
        <v>0.42307101709851586</v>
      </c>
      <c r="AC346" s="194">
        <f t="shared" si="56"/>
        <v>0.66478759594284975</v>
      </c>
      <c r="AD346">
        <f t="shared" si="57"/>
        <v>54</v>
      </c>
      <c r="AE346" s="194">
        <f t="shared" si="65"/>
        <v>0.23356699800993508</v>
      </c>
      <c r="AF346" s="194">
        <f t="shared" si="66"/>
        <v>2.9107614845572321E-2</v>
      </c>
      <c r="AG346" s="252" t="str">
        <f>IF(ISNUMBER(SEARCH("C",'WetLitterbags placem_collection'!$Y53)),"YES","NO")</f>
        <v>NO</v>
      </c>
      <c r="AH346" s="252" t="str">
        <f>IF(ISNUMBER(SEARCH("H", 'WetLitterbags placem_collection'!$Y53)),"YES","NO")</f>
        <v>NO</v>
      </c>
      <c r="AI346" s="252" t="str">
        <f>IF(ISNUMBER(SEARCH("R", 'WetLitterbags placem_collection'!$Y53)),"YES","NO")</f>
        <v>YES</v>
      </c>
      <c r="AJ346" s="252" t="str">
        <f>IF(ISNUMBER(SEARCH("C", 'WetLitterbags placem_collection'!$W53)),"YES","NO")</f>
        <v>NO</v>
      </c>
      <c r="AK346" s="252" t="str">
        <f>IF(ISNUMBER(SEARCH("H", 'WetLitterbags placem_collection'!$W53)),"YES","NO")</f>
        <v>NO</v>
      </c>
      <c r="AL346" s="252" t="str">
        <f>IF(ISNUMBER(SEARCH("R", 'WetLitterbags placem_collection'!$W53)),"YES","NO")</f>
        <v>YES</v>
      </c>
    </row>
    <row r="347" spans="2:38">
      <c r="B347" t="str">
        <f>'Final data_for_R_analysis_Wetse'!A493</f>
        <v>Wet</v>
      </c>
      <c r="C347" s="260">
        <f>'Final data_for_R_analysis_Wetse'!B493</f>
        <v>52</v>
      </c>
      <c r="D347" t="s">
        <v>3808</v>
      </c>
      <c r="E347" t="s">
        <v>25</v>
      </c>
      <c r="F347" s="382">
        <v>4</v>
      </c>
      <c r="G347" s="16">
        <f>'WetLitterbags placem_collection'!E54</f>
        <v>42766</v>
      </c>
      <c r="H347" s="92" t="str">
        <f>'Final data_for_R_analysis_Wetse'!K493</f>
        <v>G599</v>
      </c>
      <c r="I347" t="str">
        <f>'Final data_for_R_analysis_Wetse'!K713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58"/>
        <v>1.8262</v>
      </c>
      <c r="M347" s="194">
        <f>AVERAGE(Ashed_controlls!$K$2:$K$11)</f>
        <v>5.5147656768714146</v>
      </c>
      <c r="N347" s="194">
        <f t="shared" si="55"/>
        <v>1.7254893492089742</v>
      </c>
      <c r="O347" s="194">
        <f t="shared" si="59"/>
        <v>1.9862000000000002</v>
      </c>
      <c r="P347" s="194">
        <f>AVERAGE(Ashed_controlls!$K$12:$K$14)</f>
        <v>2.2816647271287041</v>
      </c>
      <c r="Q347" s="194">
        <f t="shared" si="60"/>
        <v>1.9408815751897699</v>
      </c>
      <c r="R347" s="16">
        <f>IF('WetLitterbags placem_collection'!G54="","",'WetLitterbags placem_collection'!G54)</f>
        <v>42820</v>
      </c>
      <c r="S347" s="194">
        <f>IFERROR(INDEX('Both teabags AfterWet'!$C$3:$C$2000,MATCH(H347,'Both teabags AfterWet'!$A$3:$A$2000,0)),"")</f>
        <v>0.88200000000000001</v>
      </c>
      <c r="T347" s="194">
        <f>IFERROR(INDEX('Both teabags AfterWet'!$C$3:$C$2000,MATCH(I347,'Both teabags AfterWet'!$A$3:$A$2000,0)),"")</f>
        <v>1.546</v>
      </c>
      <c r="U347" s="194">
        <f t="shared" si="61"/>
        <v>0.73140000000000005</v>
      </c>
      <c r="V347" s="194">
        <f t="shared" si="62"/>
        <v>1.3954</v>
      </c>
      <c r="W347" s="194">
        <f>IFERROR(INDEX('Ashed teabags wet'!$K$2:$K$2000,MATCH(H347,'Ashed teabags wet'!$A$2:$A$2000,0)),"")</f>
        <v>14.285714285714219</v>
      </c>
      <c r="X347" s="237">
        <f>IFERROR(INDEX('Ashed teabags wet'!$K$2:$K$2000,MATCH(I347,'Ashed teabags wet'!$A$2:$A$2000,0)),"")</f>
        <v>9.8235574630425244</v>
      </c>
      <c r="Y347" s="194">
        <f t="shared" si="67"/>
        <v>0.6269142857142862</v>
      </c>
      <c r="Z347" s="194">
        <f t="shared" si="67"/>
        <v>1.2583220791607046</v>
      </c>
      <c r="AA347" s="194">
        <f t="shared" si="63"/>
        <v>0.63667449700475631</v>
      </c>
      <c r="AB347" s="194">
        <f t="shared" si="64"/>
        <v>0.41739230682497092</v>
      </c>
      <c r="AC347" s="194">
        <f t="shared" si="56"/>
        <v>0.64832501644912155</v>
      </c>
      <c r="AD347">
        <f t="shared" si="57"/>
        <v>54</v>
      </c>
      <c r="AE347" s="194">
        <f t="shared" si="65"/>
        <v>0.24385451662142954</v>
      </c>
      <c r="AF347" s="194">
        <f t="shared" si="66"/>
        <v>3.4234518522154062E-2</v>
      </c>
      <c r="AG347" s="252" t="str">
        <f>IF(ISNUMBER(SEARCH("C",'WetLitterbags placem_collection'!$Y54)),"YES","NO")</f>
        <v>NO</v>
      </c>
      <c r="AH347" s="252" t="str">
        <f>IF(ISNUMBER(SEARCH("H", 'WetLitterbags placem_collection'!$Y54)),"YES","NO")</f>
        <v>NO</v>
      </c>
      <c r="AI347" s="252" t="str">
        <f>IF(ISNUMBER(SEARCH("R", 'WetLitterbags placem_collection'!$Y54)),"YES","NO")</f>
        <v>YES</v>
      </c>
      <c r="AJ347" s="252" t="str">
        <f>IF(ISNUMBER(SEARCH("C", 'WetLitterbags placem_collection'!$W54)),"YES","NO")</f>
        <v>NO</v>
      </c>
      <c r="AK347" s="252" t="str">
        <f>IF(ISNUMBER(SEARCH("H", 'WetLitterbags placem_collection'!$W54)),"YES","NO")</f>
        <v>YES</v>
      </c>
      <c r="AL347" s="252" t="str">
        <f>IF(ISNUMBER(SEARCH("R", 'WetLitterbags placem_collection'!$W54)),"YES","NO")</f>
        <v>NO</v>
      </c>
    </row>
    <row r="348" spans="2:38">
      <c r="B348" t="str">
        <f>'Final data_for_R_analysis_Wetse'!A494</f>
        <v>Wet</v>
      </c>
      <c r="C348" s="260">
        <f>'Final data_for_R_analysis_Wetse'!B494</f>
        <v>53</v>
      </c>
      <c r="D348" t="s">
        <v>3808</v>
      </c>
      <c r="E348" t="s">
        <v>25</v>
      </c>
      <c r="F348" s="382">
        <v>5</v>
      </c>
      <c r="G348" s="16">
        <f>'WetLitterbags placem_collection'!E55</f>
        <v>42766</v>
      </c>
      <c r="H348" s="92" t="str">
        <f>'Final data_for_R_analysis_Wetse'!K494</f>
        <v>G683</v>
      </c>
      <c r="I348" t="str">
        <f>'Final data_for_R_analysis_Wetse'!K714</f>
        <v>R113</v>
      </c>
      <c r="J348">
        <f>IFERROR(INDEX('Green_rooibos initial weight'!$C$5:$C$2000,MATCH(H348, 'Green_rooibos initial weight'!$A$5:$A$2000,0)),"")</f>
        <v>2.1179999999999999</v>
      </c>
      <c r="K348">
        <f>IFERROR(INDEX('Green_rooibos initial weight'!$C$5:$C$2000,MATCH(I348, 'Green_rooibos initial weight'!$A$5:$A$2000,0)),"")</f>
        <v>2.202</v>
      </c>
      <c r="L348" s="194">
        <f t="shared" si="58"/>
        <v>1.8681999999999999</v>
      </c>
      <c r="M348" s="194">
        <f>AVERAGE(Ashed_controlls!$K$2:$K$11)</f>
        <v>5.5147656768714146</v>
      </c>
      <c r="N348" s="194">
        <f t="shared" si="55"/>
        <v>1.7651731476246881</v>
      </c>
      <c r="O348" s="194">
        <f t="shared" si="59"/>
        <v>1.9521999999999999</v>
      </c>
      <c r="P348" s="194">
        <f>AVERAGE(Ashed_controlls!$K$12:$K$14)</f>
        <v>2.2816647271287041</v>
      </c>
      <c r="Q348" s="194">
        <f t="shared" si="60"/>
        <v>1.9076573411969935</v>
      </c>
      <c r="R348" s="16">
        <f>IF('WetLitterbags placem_collection'!G55="","",'WetLitterbags placem_collection'!G55)</f>
        <v>42820</v>
      </c>
      <c r="S348" s="194" t="str">
        <f>IFERROR(INDEX('Both teabags AfterWet'!$C$3:$C$2000,MATCH(H348,'Both teabags AfterWet'!$A$3:$A$2000,0)),"")</f>
        <v/>
      </c>
      <c r="T348" s="194" t="str">
        <f>IFERROR(INDEX('Both teabags AfterWet'!$C$3:$C$2000,MATCH(I348,'Both teabags AfterWet'!$A$3:$A$2000,0)),"")</f>
        <v/>
      </c>
      <c r="U348" s="194" t="str">
        <f t="shared" si="61"/>
        <v/>
      </c>
      <c r="V348" s="194" t="str">
        <f t="shared" si="62"/>
        <v/>
      </c>
      <c r="W348" s="194" t="str">
        <f>IFERROR(INDEX('Ashed teabags wet'!$K$2:$K$2000,MATCH(H348,'Ashed teabags wet'!$A$2:$A$2000,0)),"")</f>
        <v/>
      </c>
      <c r="X348" s="237" t="str">
        <f>IFERROR(INDEX('Ashed teabags wet'!$K$2:$K$2000,MATCH(I348,'Ashed teabags wet'!$A$2:$A$2000,0)),"")</f>
        <v/>
      </c>
      <c r="Y348" s="194" t="str">
        <f t="shared" si="67"/>
        <v/>
      </c>
      <c r="Z348" s="194" t="str">
        <f t="shared" si="67"/>
        <v/>
      </c>
      <c r="AA348" s="194" t="str">
        <f t="shared" si="63"/>
        <v/>
      </c>
      <c r="AB348" s="194" t="str">
        <f t="shared" si="64"/>
        <v/>
      </c>
      <c r="AC348" s="194" t="str">
        <f t="shared" si="56"/>
        <v/>
      </c>
      <c r="AD348">
        <f t="shared" si="57"/>
        <v>54</v>
      </c>
      <c r="AE348" s="194" t="str">
        <f t="shared" si="65"/>
        <v/>
      </c>
      <c r="AF348" s="194" t="str">
        <f t="shared" si="66"/>
        <v/>
      </c>
      <c r="AG348" s="252" t="str">
        <f>IF(ISNUMBER(SEARCH("C",'WetLitterbags placem_collection'!$Y55)),"YES","NO")</f>
        <v>NO</v>
      </c>
      <c r="AH348" s="252" t="str">
        <f>IF(ISNUMBER(SEARCH("H", 'WetLitterbags placem_collection'!$Y55)),"YES","NO")</f>
        <v>NO</v>
      </c>
      <c r="AI348" s="252" t="str">
        <f>IF(ISNUMBER(SEARCH("R", 'WetLitterbags placem_collection'!$Y55)),"YES","NO")</f>
        <v>NO</v>
      </c>
      <c r="AJ348" s="252" t="str">
        <f>IF(ISNUMBER(SEARCH("C", 'WetLitterbags placem_collection'!$W55)),"YES","NO")</f>
        <v>NO</v>
      </c>
      <c r="AK348" s="252" t="str">
        <f>IF(ISNUMBER(SEARCH("H", 'WetLitterbags placem_collection'!$W55)),"YES","NO")</f>
        <v>NO</v>
      </c>
      <c r="AL348" s="252" t="str">
        <f>IF(ISNUMBER(SEARCH("R", 'WetLitterbags placem_collection'!$W55)),"YES","NO")</f>
        <v>NO</v>
      </c>
    </row>
    <row r="349" spans="2:38">
      <c r="B349" t="str">
        <f>'Final data_for_R_analysis_Wetse'!A495</f>
        <v>Wet</v>
      </c>
      <c r="C349" s="260">
        <f>'Final data_for_R_analysis_Wetse'!B495</f>
        <v>54</v>
      </c>
      <c r="D349" t="s">
        <v>3808</v>
      </c>
      <c r="E349" t="s">
        <v>25</v>
      </c>
      <c r="F349" s="382">
        <v>6</v>
      </c>
      <c r="G349" s="16">
        <f>'WetLitterbags placem_collection'!E56</f>
        <v>42766</v>
      </c>
      <c r="H349" s="92" t="str">
        <f>'Final data_for_R_analysis_Wetse'!K495</f>
        <v>G288</v>
      </c>
      <c r="I349" t="str">
        <f>'Final data_for_R_analysis_Wetse'!K715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58"/>
        <v>1.7332000000000001</v>
      </c>
      <c r="M349" s="194">
        <f>AVERAGE(Ashed_controlls!$K$2:$K$11)</f>
        <v>5.5147656768714146</v>
      </c>
      <c r="N349" s="194">
        <f t="shared" si="55"/>
        <v>1.6376180812884646</v>
      </c>
      <c r="O349" s="194">
        <f t="shared" si="59"/>
        <v>1.8782000000000001</v>
      </c>
      <c r="P349" s="194">
        <f>AVERAGE(Ashed_controlls!$K$12:$K$14)</f>
        <v>2.2816647271287041</v>
      </c>
      <c r="Q349" s="194">
        <f t="shared" si="60"/>
        <v>1.8353457730950689</v>
      </c>
      <c r="R349" s="16">
        <f>IF('WetLitterbags placem_collection'!G56="","",'WetLitterbags placem_collection'!G56)</f>
        <v>42820</v>
      </c>
      <c r="S349" s="194" t="str">
        <f>IFERROR(INDEX('Both teabags AfterWet'!$C$3:$C$2000,MATCH(H349,'Both teabags AfterWet'!$A$3:$A$2000,0)),"")</f>
        <v/>
      </c>
      <c r="T349" s="194" t="str">
        <f>IFERROR(INDEX('Both teabags AfterWet'!$C$3:$C$2000,MATCH(I349,'Both teabags AfterWet'!$A$3:$A$2000,0)),"")</f>
        <v/>
      </c>
      <c r="U349" s="194" t="str">
        <f t="shared" si="61"/>
        <v/>
      </c>
      <c r="V349" s="194" t="str">
        <f t="shared" si="62"/>
        <v/>
      </c>
      <c r="W349" s="194" t="str">
        <f>IFERROR(INDEX('Ashed teabags wet'!$K$2:$K$2000,MATCH(H349,'Ashed teabags wet'!$A$2:$A$2000,0)),"")</f>
        <v/>
      </c>
      <c r="X349" s="237" t="str">
        <f>IFERROR(INDEX('Ashed teabags wet'!$K$2:$K$2000,MATCH(I349,'Ashed teabags wet'!$A$2:$A$2000,0)),"")</f>
        <v/>
      </c>
      <c r="Y349" s="194" t="str">
        <f t="shared" si="67"/>
        <v/>
      </c>
      <c r="Z349" s="194" t="str">
        <f t="shared" si="67"/>
        <v/>
      </c>
      <c r="AA349" s="194" t="str">
        <f t="shared" si="63"/>
        <v/>
      </c>
      <c r="AB349" s="194" t="str">
        <f t="shared" si="64"/>
        <v/>
      </c>
      <c r="AC349" s="194" t="str">
        <f t="shared" si="56"/>
        <v/>
      </c>
      <c r="AD349">
        <f t="shared" si="57"/>
        <v>54</v>
      </c>
      <c r="AE349" s="194" t="str">
        <f t="shared" si="65"/>
        <v/>
      </c>
      <c r="AF349" s="194" t="str">
        <f t="shared" si="66"/>
        <v/>
      </c>
      <c r="AG349" s="252" t="str">
        <f>IF(ISNUMBER(SEARCH("C",'WetLitterbags placem_collection'!$Y56)),"YES","NO")</f>
        <v>NO</v>
      </c>
      <c r="AH349" s="252" t="str">
        <f>IF(ISNUMBER(SEARCH("H", 'WetLitterbags placem_collection'!$Y56)),"YES","NO")</f>
        <v>NO</v>
      </c>
      <c r="AI349" s="252" t="str">
        <f>IF(ISNUMBER(SEARCH("R", 'WetLitterbags placem_collection'!$Y56)),"YES","NO")</f>
        <v>NO</v>
      </c>
      <c r="AJ349" s="252" t="str">
        <f>IF(ISNUMBER(SEARCH("C", 'WetLitterbags placem_collection'!$W56)),"YES","NO")</f>
        <v>NO</v>
      </c>
      <c r="AK349" s="252" t="str">
        <f>IF(ISNUMBER(SEARCH("H", 'WetLitterbags placem_collection'!$W56)),"YES","NO")</f>
        <v>NO</v>
      </c>
      <c r="AL349" s="252" t="str">
        <f>IF(ISNUMBER(SEARCH("R", 'WetLitterbags placem_collection'!$W56)),"YES","NO")</f>
        <v>NO</v>
      </c>
    </row>
    <row r="350" spans="2:38">
      <c r="B350" t="str">
        <f>'Final data_for_R_analysis_Wetse'!A496</f>
        <v>Wet</v>
      </c>
      <c r="C350" s="260">
        <f>'Final data_for_R_analysis_Wetse'!B496</f>
        <v>55</v>
      </c>
      <c r="D350" t="s">
        <v>3808</v>
      </c>
      <c r="E350" t="s">
        <v>25</v>
      </c>
      <c r="F350" s="382">
        <v>7</v>
      </c>
      <c r="G350" s="16">
        <f>'WetLitterbags placem_collection'!E57</f>
        <v>42766</v>
      </c>
      <c r="H350" s="92" t="str">
        <f>'Final data_for_R_analysis_Wetse'!K496</f>
        <v>G616</v>
      </c>
      <c r="I350" t="str">
        <f>'Final data_for_R_analysis_Wetse'!K716</f>
        <v>R53</v>
      </c>
      <c r="J350">
        <f>IFERROR(INDEX('Green_rooibos initial weight'!$C$5:$C$2000,MATCH(H350, 'Green_rooibos initial weight'!$A$5:$A$2000,0)),"")</f>
        <v>1.978</v>
      </c>
      <c r="K350">
        <f>IFERROR(INDEX('Green_rooibos initial weight'!$C$5:$C$2000,MATCH(I350, 'Green_rooibos initial weight'!$A$5:$A$2000,0)),"")</f>
        <v>2.2829999999999999</v>
      </c>
      <c r="L350" s="194">
        <f t="shared" si="58"/>
        <v>1.7282</v>
      </c>
      <c r="M350" s="194">
        <f>AVERAGE(Ashed_controlls!$K$2:$K$11)</f>
        <v>5.5147656768714146</v>
      </c>
      <c r="N350" s="194">
        <f t="shared" si="55"/>
        <v>1.6328938195723082</v>
      </c>
      <c r="O350" s="194">
        <f t="shared" si="59"/>
        <v>2.0331999999999999</v>
      </c>
      <c r="P350" s="194">
        <f>AVERAGE(Ashed_controlls!$K$12:$K$14)</f>
        <v>2.2816647271287041</v>
      </c>
      <c r="Q350" s="194">
        <f t="shared" si="60"/>
        <v>1.9868091927680191</v>
      </c>
      <c r="R350" s="16">
        <f>IF('WetLitterbags placem_collection'!G57="","",'WetLitterbags placem_collection'!G57)</f>
        <v>42820</v>
      </c>
      <c r="S350" s="194">
        <f>IFERROR(INDEX('Both teabags AfterWet'!$C$3:$C$2000,MATCH(H350,'Both teabags AfterWet'!$A$3:$A$2000,0)),"")</f>
        <v>0.93200000000000005</v>
      </c>
      <c r="T350" s="194">
        <f>IFERROR(INDEX('Both teabags AfterWet'!$C$3:$C$2000,MATCH(I350,'Both teabags AfterWet'!$A$3:$A$2000,0)),"")</f>
        <v>1.5207999999999999</v>
      </c>
      <c r="U350" s="194">
        <f t="shared" si="61"/>
        <v>0.78140000000000009</v>
      </c>
      <c r="V350" s="194">
        <f t="shared" si="62"/>
        <v>1.3701999999999999</v>
      </c>
      <c r="W350" s="194">
        <f>IFERROR(INDEX('Ashed teabags wet'!$K$2:$K$2000,MATCH(H350,'Ashed teabags wet'!$A$2:$A$2000,0)),"")</f>
        <v>25.927734375000028</v>
      </c>
      <c r="X350" s="237">
        <f>IFERROR(INDEX('Ashed teabags wet'!$K$2:$K$2000,MATCH(I350,'Ashed teabags wet'!$A$2:$A$2000,0)),"")</f>
        <v>10.692124105011484</v>
      </c>
      <c r="Y350" s="194">
        <f t="shared" si="67"/>
        <v>0.57880068359374981</v>
      </c>
      <c r="Z350" s="194">
        <f t="shared" si="67"/>
        <v>1.2236965155131325</v>
      </c>
      <c r="AA350" s="194">
        <f t="shared" si="63"/>
        <v>0.64553685202547295</v>
      </c>
      <c r="AB350" s="194">
        <f t="shared" si="64"/>
        <v>0.42320230679104648</v>
      </c>
      <c r="AC350" s="194">
        <f t="shared" si="56"/>
        <v>0.61591043567111781</v>
      </c>
      <c r="AD350">
        <f t="shared" si="57"/>
        <v>54</v>
      </c>
      <c r="AE350" s="194">
        <f t="shared" si="65"/>
        <v>0.23332915436404633</v>
      </c>
      <c r="AF350" s="194">
        <f t="shared" si="66"/>
        <v>4.4100037468266517E-2</v>
      </c>
      <c r="AG350" s="252" t="str">
        <f>IF(ISNUMBER(SEARCH("C",'WetLitterbags placem_collection'!$Y57)),"YES","NO")</f>
        <v>NO</v>
      </c>
      <c r="AH350" s="252" t="str">
        <f>IF(ISNUMBER(SEARCH("H", 'WetLitterbags placem_collection'!$Y57)),"YES","NO")</f>
        <v>NO</v>
      </c>
      <c r="AI350" s="252" t="str">
        <f>IF(ISNUMBER(SEARCH("R", 'WetLitterbags placem_collection'!$Y57)),"YES","NO")</f>
        <v>NO</v>
      </c>
      <c r="AJ350" s="252" t="str">
        <f>IF(ISNUMBER(SEARCH("C", 'WetLitterbags placem_collection'!$W57)),"YES","NO")</f>
        <v>NO</v>
      </c>
      <c r="AK350" s="252" t="str">
        <f>IF(ISNUMBER(SEARCH("H", 'WetLitterbags placem_collection'!$W57)),"YES","NO")</f>
        <v>YES</v>
      </c>
      <c r="AL350" s="252" t="str">
        <f>IF(ISNUMBER(SEARCH("R", 'WetLitterbags placem_collection'!$W57)),"YES","NO")</f>
        <v>NO</v>
      </c>
    </row>
    <row r="351" spans="2:38">
      <c r="B351" t="str">
        <f>'Final data_for_R_analysis_Wetse'!A497</f>
        <v>Wet</v>
      </c>
      <c r="C351" s="260">
        <f>'Final data_for_R_analysis_Wetse'!B497</f>
        <v>56</v>
      </c>
      <c r="D351" t="s">
        <v>3808</v>
      </c>
      <c r="E351" t="s">
        <v>25</v>
      </c>
      <c r="F351" s="382">
        <v>8</v>
      </c>
      <c r="G351" s="16">
        <f>'WetLitterbags placem_collection'!E58</f>
        <v>42766</v>
      </c>
      <c r="H351" s="92" t="str">
        <f>'Final data_for_R_analysis_Wetse'!K497</f>
        <v>G557</v>
      </c>
      <c r="I351" t="str">
        <f>'Final data_for_R_analysis_Wetse'!K717</f>
        <v>R58</v>
      </c>
      <c r="J351">
        <f>IFERROR(INDEX('Green_rooibos initial weight'!$C$5:$C$2000,MATCH(H351, 'Green_rooibos initial weight'!$A$5:$A$2000,0)),"")</f>
        <v>2.12</v>
      </c>
      <c r="K351">
        <f>IFERROR(INDEX('Green_rooibos initial weight'!$C$5:$C$2000,MATCH(I351, 'Green_rooibos initial weight'!$A$5:$A$2000,0)),"")</f>
        <v>2.1760000000000002</v>
      </c>
      <c r="L351" s="194">
        <f t="shared" si="58"/>
        <v>1.8702000000000001</v>
      </c>
      <c r="M351" s="194">
        <f>AVERAGE(Ashed_controlls!$K$2:$K$11)</f>
        <v>5.5147656768714146</v>
      </c>
      <c r="N351" s="194">
        <f t="shared" si="55"/>
        <v>1.7670628523111509</v>
      </c>
      <c r="O351" s="194">
        <f t="shared" si="59"/>
        <v>1.9262000000000001</v>
      </c>
      <c r="P351" s="194">
        <f>AVERAGE(Ashed_controlls!$K$12:$K$14)</f>
        <v>2.2816647271287041</v>
      </c>
      <c r="Q351" s="194">
        <f t="shared" si="60"/>
        <v>1.8822505740260471</v>
      </c>
      <c r="R351" s="16">
        <f>IF('WetLitterbags placem_collection'!G58="","",'WetLitterbags placem_collection'!G58)</f>
        <v>42820</v>
      </c>
      <c r="S351" s="194">
        <f>IFERROR(INDEX('Both teabags AfterWet'!$C$3:$C$2000,MATCH(H351,'Both teabags AfterWet'!$A$3:$A$2000,0)),"")</f>
        <v>0.74399999999999999</v>
      </c>
      <c r="T351" s="194">
        <f>IFERROR(INDEX('Both teabags AfterWet'!$C$3:$C$2000,MATCH(I351,'Both teabags AfterWet'!$A$3:$A$2000,0)),"")</f>
        <v>1.5980000000000001</v>
      </c>
      <c r="U351" s="194">
        <f t="shared" si="61"/>
        <v>0.59339999999999993</v>
      </c>
      <c r="V351" s="194">
        <f t="shared" si="62"/>
        <v>1.4474</v>
      </c>
      <c r="W351" s="194">
        <f>IFERROR(INDEX('Ashed teabags wet'!$K$2:$K$2000,MATCH(H351,'Ashed teabags wet'!$A$2:$A$2000,0)),"")</f>
        <v>11.235408560310804</v>
      </c>
      <c r="X351" s="237">
        <f>IFERROR(INDEX('Ashed teabags wet'!$K$2:$K$2000,MATCH(I351,'Ashed teabags wet'!$A$2:$A$2000,0)),"")</f>
        <v>3.1372549019609965</v>
      </c>
      <c r="Y351" s="194">
        <f t="shared" si="67"/>
        <v>0.5267290856031156</v>
      </c>
      <c r="Z351" s="194">
        <f t="shared" si="67"/>
        <v>1.4019913725490165</v>
      </c>
      <c r="AA351" s="194">
        <f t="shared" si="63"/>
        <v>0.70191830759488616</v>
      </c>
      <c r="AB351" s="194">
        <f t="shared" si="64"/>
        <v>0.46016497124985417</v>
      </c>
      <c r="AC351" s="194">
        <f t="shared" si="56"/>
        <v>0.74484842342229796</v>
      </c>
      <c r="AD351">
        <f t="shared" si="57"/>
        <v>54</v>
      </c>
      <c r="AE351" s="194">
        <f t="shared" si="65"/>
        <v>0.166367805706786</v>
      </c>
      <c r="AF351" s="194">
        <f t="shared" si="66"/>
        <v>1.497240261987947E-2</v>
      </c>
      <c r="AG351" s="252" t="str">
        <f>IF(ISNUMBER(SEARCH("C",'WetLitterbags placem_collection'!$Y58)),"YES","NO")</f>
        <v>NO</v>
      </c>
      <c r="AH351" s="252" t="str">
        <f>IF(ISNUMBER(SEARCH("H", 'WetLitterbags placem_collection'!$Y58)),"YES","NO")</f>
        <v>NO</v>
      </c>
      <c r="AI351" s="252" t="str">
        <f>IF(ISNUMBER(SEARCH("R", 'WetLitterbags placem_collection'!$Y58)),"YES","NO")</f>
        <v>NO</v>
      </c>
      <c r="AJ351" s="252" t="str">
        <f>IF(ISNUMBER(SEARCH("C", 'WetLitterbags placem_collection'!$W58)),"YES","NO")</f>
        <v>YES</v>
      </c>
      <c r="AK351" s="252" t="str">
        <f>IF(ISNUMBER(SEARCH("H", 'WetLitterbags placem_collection'!$W58)),"YES","NO")</f>
        <v>YES</v>
      </c>
      <c r="AL351" s="252" t="str">
        <f>IF(ISNUMBER(SEARCH("R", 'WetLitterbags placem_collection'!$W58)),"YES","NO")</f>
        <v>NO</v>
      </c>
    </row>
    <row r="352" spans="2:38">
      <c r="B352" t="str">
        <f>'Final data_for_R_analysis_Wetse'!A498</f>
        <v>Wet</v>
      </c>
      <c r="C352" s="260">
        <f>'Final data_for_R_analysis_Wetse'!B498</f>
        <v>57</v>
      </c>
      <c r="D352" t="s">
        <v>3809</v>
      </c>
      <c r="E352" t="s">
        <v>25</v>
      </c>
      <c r="F352" s="381">
        <v>1</v>
      </c>
      <c r="G352" s="16">
        <f>'WetLitterbags placem_collection'!E59</f>
        <v>42766</v>
      </c>
      <c r="H352" s="92" t="str">
        <f>'Final data_for_R_analysis_Wetse'!K498</f>
        <v>G618</v>
      </c>
      <c r="I352" t="str">
        <f>'Final data_for_R_analysis_Wetse'!K718</f>
        <v>R435</v>
      </c>
      <c r="J352">
        <f>IFERROR(INDEX('Green_rooibos initial weight'!$C$5:$C$2000,MATCH(H352, 'Green_rooibos initial weight'!$A$5:$A$2000,0)),"")</f>
        <v>2.0449999999999999</v>
      </c>
      <c r="K352">
        <f>IFERROR(INDEX('Green_rooibos initial weight'!$C$5:$C$2000,MATCH(I352, 'Green_rooibos initial weight'!$A$5:$A$2000,0)),"")</f>
        <v>2.141</v>
      </c>
      <c r="L352" s="194">
        <f t="shared" si="58"/>
        <v>1.7951999999999999</v>
      </c>
      <c r="M352" s="194">
        <f>AVERAGE(Ashed_controlls!$K$2:$K$11)</f>
        <v>5.5147656768714146</v>
      </c>
      <c r="N352" s="194">
        <f t="shared" si="55"/>
        <v>1.6961989265688042</v>
      </c>
      <c r="O352" s="194">
        <f t="shared" si="59"/>
        <v>1.8912</v>
      </c>
      <c r="P352" s="194">
        <f>AVERAGE(Ashed_controlls!$K$12:$K$14)</f>
        <v>2.2816647271287041</v>
      </c>
      <c r="Q352" s="194">
        <f t="shared" si="60"/>
        <v>1.8480491566805419</v>
      </c>
      <c r="R352" s="16">
        <f>IF('WetLitterbags placem_collection'!G59="","",'WetLitterbags placem_collection'!G59)</f>
        <v>42820</v>
      </c>
      <c r="S352" s="194">
        <f>IFERROR(INDEX('Both teabags AfterWet'!$C$3:$C$2000,MATCH(H352,'Both teabags AfterWet'!$A$3:$A$2000,0)),"")</f>
        <v>0.88129999999999997</v>
      </c>
      <c r="T352" s="194">
        <f>IFERROR(INDEX('Both teabags AfterWet'!$C$3:$C$2000,MATCH(I352,'Both teabags AfterWet'!$A$3:$A$2000,0)),"")</f>
        <v>1.4594</v>
      </c>
      <c r="U352" s="194">
        <f t="shared" si="61"/>
        <v>0.73069999999999991</v>
      </c>
      <c r="V352" s="194">
        <f t="shared" si="62"/>
        <v>1.3088</v>
      </c>
      <c r="W352" s="194">
        <f>IFERROR(INDEX('Ashed teabags wet'!$K$2:$K$2000,MATCH(H352,'Ashed teabags wet'!$A$2:$A$2000,0)),"")</f>
        <v>11.534653465346061</v>
      </c>
      <c r="X352" s="237">
        <f>IFERROR(INDEX('Ashed teabags wet'!$K$2:$K$2000,MATCH(I352,'Ashed teabags wet'!$A$2:$A$2000,0)),"")</f>
        <v>7.3673870333987725</v>
      </c>
      <c r="Y352" s="194">
        <f t="shared" si="67"/>
        <v>0.64641628712871624</v>
      </c>
      <c r="Z352" s="194">
        <f t="shared" si="67"/>
        <v>1.2123756385068769</v>
      </c>
      <c r="AA352" s="194">
        <f t="shared" si="63"/>
        <v>0.61890302074631387</v>
      </c>
      <c r="AB352" s="194">
        <f t="shared" si="64"/>
        <v>0.4057416478051844</v>
      </c>
      <c r="AC352" s="194">
        <f t="shared" si="56"/>
        <v>0.65602997307958022</v>
      </c>
      <c r="AD352">
        <f t="shared" si="57"/>
        <v>54</v>
      </c>
      <c r="AE352" s="194">
        <f t="shared" si="65"/>
        <v>0.26496078296162251</v>
      </c>
      <c r="AF352" s="194">
        <f t="shared" si="66"/>
        <v>3.4856899473864209E-2</v>
      </c>
      <c r="AG352" s="252" t="str">
        <f>IF(ISNUMBER(SEARCH("C",'WetLitterbags placem_collection'!$Y59)),"YES","NO")</f>
        <v>NO</v>
      </c>
      <c r="AH352" s="252" t="str">
        <f>IF(ISNUMBER(SEARCH("H", 'WetLitterbags placem_collection'!$Y59)),"YES","NO")</f>
        <v>NO</v>
      </c>
      <c r="AI352" s="252" t="str">
        <f>IF(ISNUMBER(SEARCH("R", 'WetLitterbags placem_collection'!$Y59)),"YES","NO")</f>
        <v>YES</v>
      </c>
      <c r="AJ352" s="252" t="str">
        <f>IF(ISNUMBER(SEARCH("C", 'WetLitterbags placem_collection'!$W59)),"YES","NO")</f>
        <v>NO</v>
      </c>
      <c r="AK352" s="252" t="str">
        <f>IF(ISNUMBER(SEARCH("H", 'WetLitterbags placem_collection'!$W59)),"YES","NO")</f>
        <v>YES</v>
      </c>
      <c r="AL352" s="252" t="str">
        <f>IF(ISNUMBER(SEARCH("R", 'WetLitterbags placem_collection'!$W59)),"YES","NO")</f>
        <v>YES</v>
      </c>
    </row>
    <row r="353" spans="2:38">
      <c r="B353" t="str">
        <f>'Final data_for_R_analysis_Wetse'!A499</f>
        <v>Wet</v>
      </c>
      <c r="C353" s="260">
        <f>'Final data_for_R_analysis_Wetse'!B499</f>
        <v>58</v>
      </c>
      <c r="D353" t="s">
        <v>3809</v>
      </c>
      <c r="E353" t="s">
        <v>25</v>
      </c>
      <c r="F353" s="381">
        <v>2</v>
      </c>
      <c r="G353" s="16">
        <f>'WetLitterbags placem_collection'!E60</f>
        <v>42766</v>
      </c>
      <c r="H353" s="92" t="str">
        <f>'Final data_for_R_analysis_Wetse'!K499</f>
        <v>G593</v>
      </c>
      <c r="I353" t="str">
        <f>'Final data_for_R_analysis_Wetse'!K719</f>
        <v>R31</v>
      </c>
      <c r="J353">
        <f>IFERROR(INDEX('Green_rooibos initial weight'!$C$5:$C$2000,MATCH(H353, 'Green_rooibos initial weight'!$A$5:$A$2000,0)),"")</f>
        <v>2.093</v>
      </c>
      <c r="K353">
        <f>IFERROR(INDEX('Green_rooibos initial weight'!$C$5:$C$2000,MATCH(I353, 'Green_rooibos initial weight'!$A$5:$A$2000,0)),"")</f>
        <v>2.1589999999999998</v>
      </c>
      <c r="L353" s="194">
        <f t="shared" si="58"/>
        <v>1.8431999999999999</v>
      </c>
      <c r="M353" s="194">
        <f>AVERAGE(Ashed_controlls!$K$2:$K$11)</f>
        <v>5.5147656768714146</v>
      </c>
      <c r="N353" s="194">
        <f t="shared" si="55"/>
        <v>1.741551839043906</v>
      </c>
      <c r="O353" s="194">
        <f t="shared" si="59"/>
        <v>1.9091999999999998</v>
      </c>
      <c r="P353" s="194">
        <f>AVERAGE(Ashed_controlls!$K$12:$K$14)</f>
        <v>2.2816647271287041</v>
      </c>
      <c r="Q353" s="194">
        <f t="shared" si="60"/>
        <v>1.8656384570296585</v>
      </c>
      <c r="R353" s="16">
        <f>IF('WetLitterbags placem_collection'!G60="","",'WetLitterbags placem_collection'!G60)</f>
        <v>42820</v>
      </c>
      <c r="S353" s="194">
        <f>IFERROR(INDEX('Both teabags AfterWet'!$C$3:$C$2000,MATCH(H353,'Both teabags AfterWet'!$A$3:$A$2000,0)),"")</f>
        <v>0.97009999999999996</v>
      </c>
      <c r="T353" s="194">
        <f>IFERROR(INDEX('Both teabags AfterWet'!$C$3:$C$2000,MATCH(I353,'Both teabags AfterWet'!$A$3:$A$2000,0)),"")</f>
        <v>1.1857</v>
      </c>
      <c r="U353" s="194">
        <f t="shared" si="61"/>
        <v>0.8194999999999999</v>
      </c>
      <c r="V353" s="194">
        <f t="shared" si="62"/>
        <v>1.0350999999999999</v>
      </c>
      <c r="W353" s="194">
        <f>IFERROR(INDEX('Ashed teabags wet'!$K$2:$K$2000,MATCH(H353,'Ashed teabags wet'!$A$2:$A$2000,0)),"")</f>
        <v>12.412761714855449</v>
      </c>
      <c r="X353" s="237">
        <f>IFERROR(INDEX('Ashed teabags wet'!$K$2:$K$2000,MATCH(I353,'Ashed teabags wet'!$A$2:$A$2000,0)),"")</f>
        <v>14.436090225563877</v>
      </c>
      <c r="Y353" s="194">
        <f t="shared" si="67"/>
        <v>0.71777741774675952</v>
      </c>
      <c r="Z353" s="194">
        <f t="shared" si="67"/>
        <v>0.88567203007518824</v>
      </c>
      <c r="AA353" s="194">
        <f t="shared" si="63"/>
        <v>0.58785182177476158</v>
      </c>
      <c r="AB353" s="194">
        <f t="shared" si="64"/>
        <v>0.38538504230364423</v>
      </c>
      <c r="AC353" s="194">
        <f t="shared" si="56"/>
        <v>0.47472865213407667</v>
      </c>
      <c r="AD353">
        <f t="shared" si="57"/>
        <v>54</v>
      </c>
      <c r="AE353" s="194">
        <f t="shared" si="65"/>
        <v>0.30183869147890541</v>
      </c>
      <c r="AF353" s="194" t="str">
        <f t="shared" si="66"/>
        <v/>
      </c>
      <c r="AG353" s="252" t="str">
        <f>IF(ISNUMBER(SEARCH("C",'WetLitterbags placem_collection'!$Y60)),"YES","NO")</f>
        <v>NO</v>
      </c>
      <c r="AH353" s="252" t="str">
        <f>IF(ISNUMBER(SEARCH("H", 'WetLitterbags placem_collection'!$Y60)),"YES","NO")</f>
        <v>NO</v>
      </c>
      <c r="AI353" s="252" t="str">
        <f>IF(ISNUMBER(SEARCH("R", 'WetLitterbags placem_collection'!$Y60)),"YES","NO")</f>
        <v>NO</v>
      </c>
      <c r="AJ353" s="252" t="str">
        <f>IF(ISNUMBER(SEARCH("C", 'WetLitterbags placem_collection'!$W60)),"YES","NO")</f>
        <v>NO</v>
      </c>
      <c r="AK353" s="252" t="str">
        <f>IF(ISNUMBER(SEARCH("H", 'WetLitterbags placem_collection'!$W60)),"YES","NO")</f>
        <v>YES</v>
      </c>
      <c r="AL353" s="252" t="str">
        <f>IF(ISNUMBER(SEARCH("R", 'WetLitterbags placem_collection'!$W60)),"YES","NO")</f>
        <v>NO</v>
      </c>
    </row>
    <row r="354" spans="2:38">
      <c r="B354" t="str">
        <f>'Final data_for_R_analysis_Wetse'!A500</f>
        <v>Wet</v>
      </c>
      <c r="C354" s="260">
        <f>'Final data_for_R_analysis_Wetse'!B500</f>
        <v>59</v>
      </c>
      <c r="D354" t="s">
        <v>3809</v>
      </c>
      <c r="E354" t="s">
        <v>25</v>
      </c>
      <c r="F354" s="381">
        <v>3</v>
      </c>
      <c r="G354" s="16">
        <f>'WetLitterbags placem_collection'!E61</f>
        <v>42766</v>
      </c>
      <c r="H354" s="92" t="str">
        <f>'Final data_for_R_analysis_Wetse'!K500</f>
        <v>G600</v>
      </c>
      <c r="I354" t="str">
        <f>'Final data_for_R_analysis_Wetse'!K720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58"/>
        <v>1.7551999999999999</v>
      </c>
      <c r="M354" s="194">
        <f>AVERAGE(Ashed_controlls!$K$2:$K$11)</f>
        <v>5.5147656768714146</v>
      </c>
      <c r="N354" s="194">
        <f t="shared" si="55"/>
        <v>1.6584048328395529</v>
      </c>
      <c r="O354" s="194">
        <f t="shared" si="59"/>
        <v>1.9952000000000001</v>
      </c>
      <c r="P354" s="194">
        <f>AVERAGE(Ashed_controlls!$K$12:$K$14)</f>
        <v>2.2816647271287041</v>
      </c>
      <c r="Q354" s="194">
        <f t="shared" si="60"/>
        <v>1.9496762253643283</v>
      </c>
      <c r="R354" s="16">
        <f>IF('WetLitterbags placem_collection'!G61="","",'WetLitterbags placem_collection'!G61)</f>
        <v>42820</v>
      </c>
      <c r="S354" s="194">
        <f>IFERROR(INDEX('Both teabags AfterWet'!$C$3:$C$2000,MATCH(H354,'Both teabags AfterWet'!$A$3:$A$2000,0)),"")</f>
        <v>0.90200000000000002</v>
      </c>
      <c r="T354" s="194">
        <f>IFERROR(INDEX('Both teabags AfterWet'!$C$3:$C$2000,MATCH(I354,'Both teabags AfterWet'!$A$3:$A$2000,0)),"")</f>
        <v>1.4690000000000001</v>
      </c>
      <c r="U354" s="194">
        <f t="shared" si="61"/>
        <v>0.75140000000000007</v>
      </c>
      <c r="V354" s="194">
        <f t="shared" si="62"/>
        <v>1.3184</v>
      </c>
      <c r="W354" s="194">
        <f>IFERROR(INDEX('Ashed teabags wet'!$K$2:$K$2000,MATCH(H354,'Ashed teabags wet'!$A$2:$A$2000,0)),"")</f>
        <v>13.942071674030428</v>
      </c>
      <c r="X354" s="237">
        <f>IFERROR(INDEX('Ashed teabags wet'!$K$2:$K$2000,MATCH(I354,'Ashed teabags wet'!$A$2:$A$2000,0)),"")</f>
        <v>3.836571998007162</v>
      </c>
      <c r="Y354" s="194">
        <f t="shared" si="67"/>
        <v>0.64663927344133543</v>
      </c>
      <c r="Z354" s="194">
        <f t="shared" si="67"/>
        <v>1.2678186347782736</v>
      </c>
      <c r="AA354" s="194">
        <f t="shared" si="63"/>
        <v>0.6100835811397467</v>
      </c>
      <c r="AB354" s="194">
        <f t="shared" si="64"/>
        <v>0.39995978240990526</v>
      </c>
      <c r="AC354" s="194">
        <f t="shared" si="56"/>
        <v>0.65027137238715693</v>
      </c>
      <c r="AD354">
        <f t="shared" si="57"/>
        <v>54</v>
      </c>
      <c r="AE354" s="194">
        <f t="shared" si="65"/>
        <v>0.27543517679364993</v>
      </c>
      <c r="AF354" s="194">
        <f t="shared" si="66"/>
        <v>3.8420899081366505E-2</v>
      </c>
      <c r="AG354" s="252" t="str">
        <f>IF(ISNUMBER(SEARCH("C",'WetLitterbags placem_collection'!$Y61)),"YES","NO")</f>
        <v>NO</v>
      </c>
      <c r="AH354" s="252" t="str">
        <f>IF(ISNUMBER(SEARCH("H", 'WetLitterbags placem_collection'!$Y61)),"YES","NO")</f>
        <v>NO</v>
      </c>
      <c r="AI354" s="252" t="str">
        <f>IF(ISNUMBER(SEARCH("R", 'WetLitterbags placem_collection'!$Y61)),"YES","NO")</f>
        <v>NO</v>
      </c>
      <c r="AJ354" s="252" t="str">
        <f>IF(ISNUMBER(SEARCH("C", 'WetLitterbags placem_collection'!$W61)),"YES","NO")</f>
        <v>NO</v>
      </c>
      <c r="AK354" s="252" t="str">
        <f>IF(ISNUMBER(SEARCH("H", 'WetLitterbags placem_collection'!$W61)),"YES","NO")</f>
        <v>NO</v>
      </c>
      <c r="AL354" s="252" t="str">
        <f>IF(ISNUMBER(SEARCH("R", 'WetLitterbags placem_collection'!$W61)),"YES","NO")</f>
        <v>NO</v>
      </c>
    </row>
    <row r="355" spans="2:38">
      <c r="B355" t="str">
        <f>'Final data_for_R_analysis_Wetse'!A501</f>
        <v>Wet</v>
      </c>
      <c r="C355" s="260">
        <f>'Final data_for_R_analysis_Wetse'!B501</f>
        <v>60</v>
      </c>
      <c r="D355" t="s">
        <v>3809</v>
      </c>
      <c r="E355" t="s">
        <v>25</v>
      </c>
      <c r="F355" s="382">
        <v>4</v>
      </c>
      <c r="G355" s="16">
        <f>'WetLitterbags placem_collection'!E62</f>
        <v>42766</v>
      </c>
      <c r="H355" s="92" t="str">
        <f>'Final data_for_R_analysis_Wetse'!K501</f>
        <v>G535</v>
      </c>
      <c r="I355" t="str">
        <f>'Final data_for_R_analysis_Wetse'!K721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58"/>
        <v>1.8422000000000001</v>
      </c>
      <c r="M355" s="194">
        <f>AVERAGE(Ashed_controlls!$K$2:$K$11)</f>
        <v>5.5147656768714146</v>
      </c>
      <c r="N355" s="194">
        <f t="shared" si="55"/>
        <v>1.7406069867006748</v>
      </c>
      <c r="O355" s="194">
        <f t="shared" si="59"/>
        <v>1.9982000000000002</v>
      </c>
      <c r="P355" s="194">
        <f>AVERAGE(Ashed_controlls!$K$12:$K$14)</f>
        <v>2.2816647271287041</v>
      </c>
      <c r="Q355" s="194">
        <f t="shared" si="60"/>
        <v>1.9526077754225144</v>
      </c>
      <c r="R355" s="16">
        <f>IF('WetLitterbags placem_collection'!G62="","",'WetLitterbags placem_collection'!G62)</f>
        <v>42820</v>
      </c>
      <c r="S355" s="194">
        <f>IFERROR(INDEX('Both teabags AfterWet'!$C$3:$C$2000,MATCH(H355,'Both teabags AfterWet'!$A$3:$A$2000,0)),"")</f>
        <v>0.78</v>
      </c>
      <c r="T355" s="194">
        <f>IFERROR(INDEX('Both teabags AfterWet'!$C$3:$C$2000,MATCH(I355,'Both teabags AfterWet'!$A$3:$A$2000,0)),"")</f>
        <v>1.5309999999999999</v>
      </c>
      <c r="U355" s="194">
        <f t="shared" si="61"/>
        <v>0.62939999999999996</v>
      </c>
      <c r="V355" s="194">
        <f t="shared" si="62"/>
        <v>1.3803999999999998</v>
      </c>
      <c r="W355" s="194">
        <f>IFERROR(INDEX('Ashed teabags wet'!$K$2:$K$2000,MATCH(H355,'Ashed teabags wet'!$A$2:$A$2000,0)),"")</f>
        <v>10.099009900990334</v>
      </c>
      <c r="X355" s="237">
        <f>IFERROR(INDEX('Ashed teabags wet'!$K$2:$K$2000,MATCH(I355,'Ashed teabags wet'!$A$2:$A$2000,0)),"")</f>
        <v>9.7068716962994532</v>
      </c>
      <c r="Y355" s="194">
        <f t="shared" si="67"/>
        <v>0.56583683168316679</v>
      </c>
      <c r="Z355" s="194">
        <f t="shared" si="67"/>
        <v>1.2464063431042822</v>
      </c>
      <c r="AA355" s="194">
        <f t="shared" si="63"/>
        <v>0.67491982049565824</v>
      </c>
      <c r="AB355" s="194">
        <f t="shared" si="64"/>
        <v>0.44246525049121543</v>
      </c>
      <c r="AC355" s="194">
        <f t="shared" si="56"/>
        <v>0.63832908933007759</v>
      </c>
      <c r="AD355">
        <f t="shared" si="57"/>
        <v>54</v>
      </c>
      <c r="AE355" s="194">
        <f t="shared" si="65"/>
        <v>0.19843251722605904</v>
      </c>
      <c r="AF355" s="194">
        <f t="shared" si="66"/>
        <v>3.1489907778599023E-2</v>
      </c>
      <c r="AG355" s="252" t="str">
        <f>IF(ISNUMBER(SEARCH("C",'WetLitterbags placem_collection'!$Y62)),"YES","NO")</f>
        <v>NO</v>
      </c>
      <c r="AH355" s="252" t="str">
        <f>IF(ISNUMBER(SEARCH("H", 'WetLitterbags placem_collection'!$Y62)),"YES","NO")</f>
        <v>YES</v>
      </c>
      <c r="AI355" s="252" t="str">
        <f>IF(ISNUMBER(SEARCH("R", 'WetLitterbags placem_collection'!$Y62)),"YES","NO")</f>
        <v>NO</v>
      </c>
      <c r="AJ355" s="252" t="str">
        <f>IF(ISNUMBER(SEARCH("C", 'WetLitterbags placem_collection'!$W62)),"YES","NO")</f>
        <v>NO</v>
      </c>
      <c r="AK355" s="252" t="str">
        <f>IF(ISNUMBER(SEARCH("H", 'WetLitterbags placem_collection'!$W62)),"YES","NO")</f>
        <v>NO</v>
      </c>
      <c r="AL355" s="252" t="str">
        <f>IF(ISNUMBER(SEARCH("R", 'WetLitterbags placem_collection'!$W62)),"YES","NO")</f>
        <v>NO</v>
      </c>
    </row>
    <row r="356" spans="2:38">
      <c r="B356" t="str">
        <f>'Final data_for_R_analysis_Wetse'!A502</f>
        <v>Wet</v>
      </c>
      <c r="C356" s="260">
        <f>'Final data_for_R_analysis_Wetse'!B502</f>
        <v>61</v>
      </c>
      <c r="D356" t="s">
        <v>3809</v>
      </c>
      <c r="E356" t="s">
        <v>25</v>
      </c>
      <c r="F356" s="382">
        <v>5</v>
      </c>
      <c r="G356" s="16">
        <f>'WetLitterbags placem_collection'!E63</f>
        <v>42766</v>
      </c>
      <c r="H356" s="92" t="str">
        <f>'Final data_for_R_analysis_Wetse'!K502</f>
        <v>G391</v>
      </c>
      <c r="I356" t="str">
        <f>'Final data_for_R_analysis_Wetse'!K722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58"/>
        <v>1.6921999999999999</v>
      </c>
      <c r="M356" s="194">
        <f>AVERAGE(Ashed_controlls!$K$2:$K$11)</f>
        <v>5.5147656768714146</v>
      </c>
      <c r="N356" s="194">
        <f t="shared" si="55"/>
        <v>1.5988791352159819</v>
      </c>
      <c r="O356" s="194">
        <f t="shared" si="59"/>
        <v>1.9062000000000001</v>
      </c>
      <c r="P356" s="194">
        <f>AVERAGE(Ashed_controlls!$K$12:$K$14)</f>
        <v>2.2816647271287041</v>
      </c>
      <c r="Q356" s="194">
        <f t="shared" si="60"/>
        <v>1.8627069069714728</v>
      </c>
      <c r="R356" s="16">
        <f>IF('WetLitterbags placem_collection'!G63="","",'WetLitterbags placem_collection'!G63)</f>
        <v>42820</v>
      </c>
      <c r="S356" s="194">
        <f>IFERROR(INDEX('Both teabags AfterWet'!$C$3:$C$2000,MATCH(H356,'Both teabags AfterWet'!$A$3:$A$2000,0)),"")</f>
        <v>0.628</v>
      </c>
      <c r="T356" s="194">
        <f>IFERROR(INDEX('Both teabags AfterWet'!$C$3:$C$2000,MATCH(I356,'Both teabags AfterWet'!$A$3:$A$2000,0)),"")</f>
        <v>1.581</v>
      </c>
      <c r="U356" s="194">
        <f t="shared" si="61"/>
        <v>0.47739999999999999</v>
      </c>
      <c r="V356" s="194">
        <f t="shared" si="62"/>
        <v>1.4303999999999999</v>
      </c>
      <c r="W356" s="194">
        <f>IFERROR(INDEX('Ashed teabags wet'!$K$2:$K$2000,MATCH(H356,'Ashed teabags wet'!$A$2:$A$2000,0)),"")</f>
        <v>8.0533596837941683</v>
      </c>
      <c r="X356" s="237">
        <f>IFERROR(INDEX('Ashed teabags wet'!$K$2:$K$2000,MATCH(I356,'Ashed teabags wet'!$A$2:$A$2000,0)),"")</f>
        <v>5.6762092793688481</v>
      </c>
      <c r="Y356" s="194">
        <f t="shared" si="67"/>
        <v>0.43895326086956665</v>
      </c>
      <c r="Z356" s="194">
        <f t="shared" si="67"/>
        <v>1.349207502467908</v>
      </c>
      <c r="AA356" s="194">
        <f t="shared" si="63"/>
        <v>0.72546188689223756</v>
      </c>
      <c r="AB356" s="194">
        <f t="shared" si="64"/>
        <v>0.4755997168224646</v>
      </c>
      <c r="AC356" s="194">
        <f t="shared" si="56"/>
        <v>0.72432624661361766</v>
      </c>
      <c r="AD356">
        <f t="shared" si="57"/>
        <v>54</v>
      </c>
      <c r="AE356" s="194">
        <f t="shared" si="65"/>
        <v>0.13840631010423088</v>
      </c>
      <c r="AF356" s="194">
        <f t="shared" si="66"/>
        <v>1.6048693596508172E-2</v>
      </c>
      <c r="AG356" s="252" t="str">
        <f>IF(ISNUMBER(SEARCH("C",'WetLitterbags placem_collection'!$Y63)),"YES","NO")</f>
        <v>NO</v>
      </c>
      <c r="AH356" s="252" t="str">
        <f>IF(ISNUMBER(SEARCH("H", 'WetLitterbags placem_collection'!$Y63)),"YES","NO")</f>
        <v>NO</v>
      </c>
      <c r="AI356" s="252" t="str">
        <f>IF(ISNUMBER(SEARCH("R", 'WetLitterbags placem_collection'!$Y63)),"YES","NO")</f>
        <v>NO</v>
      </c>
      <c r="AJ356" s="252" t="str">
        <f>IF(ISNUMBER(SEARCH("C", 'WetLitterbags placem_collection'!$W63)),"YES","NO")</f>
        <v>YES</v>
      </c>
      <c r="AK356" s="252" t="str">
        <f>IF(ISNUMBER(SEARCH("H", 'WetLitterbags placem_collection'!$W63)),"YES","NO")</f>
        <v>YES</v>
      </c>
      <c r="AL356" s="252" t="str">
        <f>IF(ISNUMBER(SEARCH("R", 'WetLitterbags placem_collection'!$W63)),"YES","NO")</f>
        <v>NO</v>
      </c>
    </row>
    <row r="357" spans="2:38">
      <c r="B357" t="str">
        <f>'Final data_for_R_analysis_Wetse'!A503</f>
        <v>Wet</v>
      </c>
      <c r="C357" s="260">
        <f>'Final data_for_R_analysis_Wetse'!B503</f>
        <v>62</v>
      </c>
      <c r="D357" t="s">
        <v>3809</v>
      </c>
      <c r="E357" t="s">
        <v>25</v>
      </c>
      <c r="F357" s="382">
        <v>6</v>
      </c>
      <c r="G357" s="16">
        <f>'WetLitterbags placem_collection'!E64</f>
        <v>42766</v>
      </c>
      <c r="H357" s="92" t="str">
        <f>'Final data_for_R_analysis_Wetse'!K503</f>
        <v>G445</v>
      </c>
      <c r="I357" t="str">
        <f>'Final data_for_R_analysis_Wetse'!K723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58"/>
        <v>1.8652000000000002</v>
      </c>
      <c r="M357" s="194">
        <f>AVERAGE(Ashed_controlls!$K$2:$K$11)</f>
        <v>5.5147656768714146</v>
      </c>
      <c r="N357" s="194">
        <f t="shared" si="55"/>
        <v>1.7623385905949946</v>
      </c>
      <c r="O357" s="194">
        <f t="shared" si="59"/>
        <v>1.9531999999999998</v>
      </c>
      <c r="P357" s="194">
        <f>AVERAGE(Ashed_controlls!$K$12:$K$14)</f>
        <v>2.2816647271287041</v>
      </c>
      <c r="Q357" s="194">
        <f t="shared" si="60"/>
        <v>1.908634524549722</v>
      </c>
      <c r="R357" s="16">
        <f>IF('WetLitterbags placem_collection'!G64="","",'WetLitterbags placem_collection'!G64)</f>
        <v>42820</v>
      </c>
      <c r="S357" s="194">
        <f>IFERROR(INDEX('Both teabags AfterWet'!$C$3:$C$2000,MATCH(H357,'Both teabags AfterWet'!$A$3:$A$2000,0)),"")</f>
        <v>0.80569999999999997</v>
      </c>
      <c r="T357" s="194">
        <f>IFERROR(INDEX('Both teabags AfterWet'!$C$3:$C$2000,MATCH(I357,'Both teabags AfterWet'!$A$3:$A$2000,0)),"")</f>
        <v>1.5379</v>
      </c>
      <c r="U357" s="194">
        <f t="shared" si="61"/>
        <v>0.65510000000000002</v>
      </c>
      <c r="V357" s="194">
        <f t="shared" si="62"/>
        <v>1.3873</v>
      </c>
      <c r="W357" s="194">
        <f>IFERROR(INDEX('Ashed teabags wet'!$K$2:$K$2000,MATCH(H357,'Ashed teabags wet'!$A$2:$A$2000,0)),"")</f>
        <v>12.3862487360974</v>
      </c>
      <c r="X357" s="237">
        <f>IFERROR(INDEX('Ashed teabags wet'!$K$2:$K$2000,MATCH(I357,'Ashed teabags wet'!$A$2:$A$2000,0)),"")</f>
        <v>6.7460317460323242</v>
      </c>
      <c r="Y357" s="194">
        <f t="shared" si="67"/>
        <v>0.57395768452982598</v>
      </c>
      <c r="Z357" s="194">
        <f t="shared" si="67"/>
        <v>1.2937123015872936</v>
      </c>
      <c r="AA357" s="194">
        <f t="shared" si="63"/>
        <v>0.67432042424035643</v>
      </c>
      <c r="AB357" s="194">
        <f t="shared" si="64"/>
        <v>0.44207229712669455</v>
      </c>
      <c r="AC357" s="194">
        <f t="shared" si="56"/>
        <v>0.67782086352676729</v>
      </c>
      <c r="AD357">
        <f t="shared" si="57"/>
        <v>54</v>
      </c>
      <c r="AE357" s="194">
        <f t="shared" si="65"/>
        <v>0.19914438926323463</v>
      </c>
      <c r="AF357" s="194">
        <f t="shared" si="66"/>
        <v>2.4164304047127407E-2</v>
      </c>
      <c r="AG357" s="252" t="str">
        <f>IF(ISNUMBER(SEARCH("C",'WetLitterbags placem_collection'!$Y64)),"YES","NO")</f>
        <v>NO</v>
      </c>
      <c r="AH357" s="252" t="str">
        <f>IF(ISNUMBER(SEARCH("H", 'WetLitterbags placem_collection'!$Y64)),"YES","NO")</f>
        <v>NO</v>
      </c>
      <c r="AI357" s="252" t="str">
        <f>IF(ISNUMBER(SEARCH("R", 'WetLitterbags placem_collection'!$Y64)),"YES","NO")</f>
        <v>NO</v>
      </c>
      <c r="AJ357" s="252" t="str">
        <f>IF(ISNUMBER(SEARCH("C", 'WetLitterbags placem_collection'!$W64)),"YES","NO")</f>
        <v>NO</v>
      </c>
      <c r="AK357" s="252" t="str">
        <f>IF(ISNUMBER(SEARCH("H", 'WetLitterbags placem_collection'!$W64)),"YES","NO")</f>
        <v>YES</v>
      </c>
      <c r="AL357" s="252" t="str">
        <f>IF(ISNUMBER(SEARCH("R", 'WetLitterbags placem_collection'!$W64)),"YES","NO")</f>
        <v>NO</v>
      </c>
    </row>
    <row r="358" spans="2:38">
      <c r="B358" t="str">
        <f>'Final data_for_R_analysis_Wetse'!A504</f>
        <v>Wet</v>
      </c>
      <c r="C358" s="260">
        <f>'Final data_for_R_analysis_Wetse'!B504</f>
        <v>63</v>
      </c>
      <c r="D358" t="s">
        <v>3809</v>
      </c>
      <c r="E358" t="s">
        <v>25</v>
      </c>
      <c r="F358" s="382">
        <v>7</v>
      </c>
      <c r="G358" s="16">
        <f>'WetLitterbags placem_collection'!E65</f>
        <v>42766</v>
      </c>
      <c r="H358" s="92" t="str">
        <f>'Final data_for_R_analysis_Wetse'!K504</f>
        <v>G440</v>
      </c>
      <c r="I358" t="str">
        <f>'Final data_for_R_analysis_Wetse'!K724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58"/>
        <v>1.8572000000000002</v>
      </c>
      <c r="M358" s="194">
        <f>AVERAGE(Ashed_controlls!$K$2:$K$11)</f>
        <v>5.5147656768714146</v>
      </c>
      <c r="N358" s="194">
        <f t="shared" si="55"/>
        <v>1.7547797718491442</v>
      </c>
      <c r="O358" s="194">
        <f t="shared" si="59"/>
        <v>1.9262000000000001</v>
      </c>
      <c r="P358" s="194">
        <f>AVERAGE(Ashed_controlls!$K$12:$K$14)</f>
        <v>2.2816647271287041</v>
      </c>
      <c r="Q358" s="194">
        <f t="shared" si="60"/>
        <v>1.8822505740260471</v>
      </c>
      <c r="R358" s="16">
        <f>IF('WetLitterbags placem_collection'!G65="","",'WetLitterbags placem_collection'!G65)</f>
        <v>42820</v>
      </c>
      <c r="S358" s="194">
        <f>IFERROR(INDEX('Both teabags AfterWet'!$C$3:$C$2000,MATCH(H358,'Both teabags AfterWet'!$A$3:$A$2000,0)),"")</f>
        <v>0.94199999999999995</v>
      </c>
      <c r="T358" s="194">
        <f>IFERROR(INDEX('Both teabags AfterWet'!$C$3:$C$2000,MATCH(I358,'Both teabags AfterWet'!$A$3:$A$2000,0)),"")</f>
        <v>1.6359999999999999</v>
      </c>
      <c r="U358" s="194">
        <f t="shared" si="61"/>
        <v>0.79139999999999988</v>
      </c>
      <c r="V358" s="194">
        <f t="shared" si="62"/>
        <v>1.4853999999999998</v>
      </c>
      <c r="W358" s="194">
        <f>IFERROR(INDEX('Ashed teabags wet'!$K$2:$K$2000,MATCH(H358,'Ashed teabags wet'!$A$2:$A$2000,0)),"")</f>
        <v>14.278728606356959</v>
      </c>
      <c r="X358" s="237">
        <f>IFERROR(INDEX('Ashed teabags wet'!$K$2:$K$2000,MATCH(I358,'Ashed teabags wet'!$A$2:$A$2000,0)),"")</f>
        <v>8.0404429465571852</v>
      </c>
      <c r="Y358" s="194">
        <f t="shared" si="67"/>
        <v>0.67839814180929092</v>
      </c>
      <c r="Z358" s="194">
        <f t="shared" si="67"/>
        <v>1.3659672604718394</v>
      </c>
      <c r="AA358" s="194">
        <f t="shared" si="63"/>
        <v>0.6133998392890001</v>
      </c>
      <c r="AB358" s="194">
        <f t="shared" si="64"/>
        <v>0.40213386138661295</v>
      </c>
      <c r="AC358" s="194">
        <f t="shared" si="56"/>
        <v>0.72570957306183648</v>
      </c>
      <c r="AD358">
        <f t="shared" si="57"/>
        <v>54</v>
      </c>
      <c r="AE358" s="194">
        <f t="shared" si="65"/>
        <v>0.27149662792280271</v>
      </c>
      <c r="AF358" s="194">
        <f t="shared" si="66"/>
        <v>2.1221827311989523E-2</v>
      </c>
      <c r="AG358" s="252" t="str">
        <f>IF(ISNUMBER(SEARCH("C",'WetLitterbags placem_collection'!$Y65)),"YES","NO")</f>
        <v>NO</v>
      </c>
      <c r="AH358" s="252" t="str">
        <f>IF(ISNUMBER(SEARCH("H", 'WetLitterbags placem_collection'!$Y65)),"YES","NO")</f>
        <v>NO</v>
      </c>
      <c r="AI358" s="252" t="str">
        <f>IF(ISNUMBER(SEARCH("R", 'WetLitterbags placem_collection'!$Y65)),"YES","NO")</f>
        <v>YES</v>
      </c>
      <c r="AJ358" s="252" t="str">
        <f>IF(ISNUMBER(SEARCH("C", 'WetLitterbags placem_collection'!$W65)),"YES","NO")</f>
        <v>NO</v>
      </c>
      <c r="AK358" s="252" t="str">
        <f>IF(ISNUMBER(SEARCH("H", 'WetLitterbags placem_collection'!$W65)),"YES","NO")</f>
        <v>NO</v>
      </c>
      <c r="AL358" s="252" t="str">
        <f>IF(ISNUMBER(SEARCH("R", 'WetLitterbags placem_collection'!$W65)),"YES","NO")</f>
        <v>YES</v>
      </c>
    </row>
    <row r="359" spans="2:38">
      <c r="B359" t="str">
        <f>'Final data_for_R_analysis_Wetse'!A505</f>
        <v>Wet</v>
      </c>
      <c r="C359" s="260">
        <f>'Final data_for_R_analysis_Wetse'!B505</f>
        <v>64</v>
      </c>
      <c r="D359" t="s">
        <v>3809</v>
      </c>
      <c r="E359" t="s">
        <v>25</v>
      </c>
      <c r="F359" s="382">
        <v>8</v>
      </c>
      <c r="G359" s="16">
        <f>'WetLitterbags placem_collection'!E66</f>
        <v>42766</v>
      </c>
      <c r="H359" s="92" t="str">
        <f>'Final data_for_R_analysis_Wetse'!K505</f>
        <v>G673</v>
      </c>
      <c r="I359" t="str">
        <f>'Final data_for_R_analysis_Wetse'!K725</f>
        <v>R550</v>
      </c>
      <c r="J359">
        <f>IFERROR(INDEX('Green_rooibos initial weight'!$C$5:$C$2000,MATCH(H359, 'Green_rooibos initial weight'!$A$5:$A$2000,0)),"")</f>
        <v>2.1160000000000001</v>
      </c>
      <c r="K359">
        <f>IFERROR(INDEX('Green_rooibos initial weight'!$C$5:$C$2000,MATCH(I359, 'Green_rooibos initial weight'!$A$5:$A$2000,0)),"")</f>
        <v>2.177</v>
      </c>
      <c r="L359" s="194">
        <f t="shared" si="58"/>
        <v>1.8662000000000001</v>
      </c>
      <c r="M359" s="194">
        <f>AVERAGE(Ashed_controlls!$K$2:$K$11)</f>
        <v>5.5147656768714146</v>
      </c>
      <c r="N359" s="194">
        <f t="shared" si="55"/>
        <v>1.7632834429382258</v>
      </c>
      <c r="O359" s="194">
        <f t="shared" si="59"/>
        <v>1.9272</v>
      </c>
      <c r="P359" s="194">
        <f>AVERAGE(Ashed_controlls!$K$12:$K$14)</f>
        <v>2.2816647271287041</v>
      </c>
      <c r="Q359" s="194">
        <f t="shared" si="60"/>
        <v>1.8832277573787757</v>
      </c>
      <c r="R359" s="16">
        <f>IF('WetLitterbags placem_collection'!G66="","",'WetLitterbags placem_collection'!G66)</f>
        <v>42820</v>
      </c>
      <c r="S359" s="194">
        <f>IFERROR(INDEX('Both teabags AfterWet'!$C$3:$C$2000,MATCH(H359,'Both teabags AfterWet'!$A$3:$A$2000,0)),"")</f>
        <v>1.0449999999999999</v>
      </c>
      <c r="T359" s="194">
        <f>IFERROR(INDEX('Both teabags AfterWet'!$C$3:$C$2000,MATCH(I359,'Both teabags AfterWet'!$A$3:$A$2000,0)),"")</f>
        <v>1.6930000000000001</v>
      </c>
      <c r="U359" s="194">
        <f t="shared" si="61"/>
        <v>0.89439999999999986</v>
      </c>
      <c r="V359" s="194">
        <f t="shared" si="62"/>
        <v>1.5424</v>
      </c>
      <c r="W359" s="194">
        <f>IFERROR(INDEX('Ashed teabags wet'!$K$2:$K$2000,MATCH(H359,'Ashed teabags wet'!$A$2:$A$2000,0)),"")</f>
        <v>23.760932944607156</v>
      </c>
      <c r="X359" s="237">
        <f>IFERROR(INDEX('Ashed teabags wet'!$K$2:$K$2000,MATCH(I359,'Ashed teabags wet'!$A$2:$A$2000,0)),"")</f>
        <v>15.844027640671007</v>
      </c>
      <c r="Y359" s="194">
        <f t="shared" si="67"/>
        <v>0.68188221574343344</v>
      </c>
      <c r="Z359" s="194">
        <f t="shared" si="67"/>
        <v>1.2980217176702904</v>
      </c>
      <c r="AA359" s="194">
        <f t="shared" si="63"/>
        <v>0.61328836922146368</v>
      </c>
      <c r="AB359" s="194">
        <f t="shared" si="64"/>
        <v>0.40206078362262232</v>
      </c>
      <c r="AC359" s="194">
        <f t="shared" si="56"/>
        <v>0.68925370953377352</v>
      </c>
      <c r="AD359">
        <f t="shared" si="57"/>
        <v>54</v>
      </c>
      <c r="AE359" s="194">
        <f t="shared" si="65"/>
        <v>0.27162901517640892</v>
      </c>
      <c r="AF359" s="194">
        <f t="shared" si="66"/>
        <v>2.7449884501822588E-2</v>
      </c>
      <c r="AG359" s="252" t="str">
        <f>IF(ISNUMBER(SEARCH("C",'WetLitterbags placem_collection'!$Y66)),"YES","NO")</f>
        <v>NO</v>
      </c>
      <c r="AH359" s="252" t="str">
        <f>IF(ISNUMBER(SEARCH("H", 'WetLitterbags placem_collection'!$Y66)),"YES","NO")</f>
        <v>NO</v>
      </c>
      <c r="AI359" s="252" t="str">
        <f>IF(ISNUMBER(SEARCH("R", 'WetLitterbags placem_collection'!$Y66)),"YES","NO")</f>
        <v>NO</v>
      </c>
      <c r="AJ359" s="252" t="str">
        <f>IF(ISNUMBER(SEARCH("C", 'WetLitterbags placem_collection'!$W66)),"YES","NO")</f>
        <v>YES</v>
      </c>
      <c r="AK359" s="252" t="str">
        <f>IF(ISNUMBER(SEARCH("H", 'WetLitterbags placem_collection'!$W66)),"YES","NO")</f>
        <v>YES</v>
      </c>
      <c r="AL359" s="252" t="str">
        <f>IF(ISNUMBER(SEARCH("R", 'WetLitterbags placem_collection'!$W66)),"YES","NO")</f>
        <v>NO</v>
      </c>
    </row>
    <row r="360" spans="2:38">
      <c r="B360" t="str">
        <f>'Final data_for_R_analysis_Wetse'!A506</f>
        <v>Wet</v>
      </c>
      <c r="C360" s="260">
        <f>'Final data_for_R_analysis_Wetse'!B506</f>
        <v>65</v>
      </c>
      <c r="D360" t="s">
        <v>3810</v>
      </c>
      <c r="E360" t="s">
        <v>25</v>
      </c>
      <c r="F360" s="381">
        <v>1</v>
      </c>
      <c r="G360" s="16">
        <f>'WetLitterbags placem_collection'!E67</f>
        <v>42767</v>
      </c>
      <c r="H360" s="92" t="str">
        <f>'Final data_for_R_analysis_Wetse'!K506</f>
        <v>G700</v>
      </c>
      <c r="I360" t="str">
        <f>'Final data_for_R_analysis_Wetse'!K726</f>
        <v>R333</v>
      </c>
      <c r="J360">
        <f>IFERROR(INDEX('Green_rooibos initial weight'!$C$5:$C$2000,MATCH(H360, 'Green_rooibos initial weight'!$A$5:$A$2000,0)),"")</f>
        <v>2.0190000000000001</v>
      </c>
      <c r="K360">
        <f>IFERROR(INDEX('Green_rooibos initial weight'!$C$5:$C$2000,MATCH(I360, 'Green_rooibos initial weight'!$A$5:$A$2000,0)),"")</f>
        <v>2.27</v>
      </c>
      <c r="L360" s="194">
        <f t="shared" si="58"/>
        <v>1.7692000000000001</v>
      </c>
      <c r="M360" s="194">
        <f>AVERAGE(Ashed_controlls!$K$2:$K$11)</f>
        <v>5.5147656768714146</v>
      </c>
      <c r="N360" s="194">
        <f t="shared" si="55"/>
        <v>1.6716327656447911</v>
      </c>
      <c r="O360" s="194">
        <f t="shared" si="59"/>
        <v>2.0202</v>
      </c>
      <c r="P360" s="194">
        <f>AVERAGE(Ashed_controlls!$K$12:$K$14)</f>
        <v>2.2816647271287041</v>
      </c>
      <c r="Q360" s="194">
        <f t="shared" si="60"/>
        <v>1.9741058091825459</v>
      </c>
      <c r="R360" s="16">
        <f>IF('WetLitterbags placem_collection'!G67="","",'WetLitterbags placem_collection'!G67)</f>
        <v>42818</v>
      </c>
      <c r="S360" s="194">
        <f>IFERROR(INDEX('Both teabags AfterWet'!$C$3:$C$2000,MATCH(H360,'Both teabags AfterWet'!$A$3:$A$2000,0)),"")</f>
        <v>0.82299999999999995</v>
      </c>
      <c r="T360" s="194">
        <f>IFERROR(INDEX('Both teabags AfterWet'!$C$3:$C$2000,MATCH(I360,'Both teabags AfterWet'!$A$3:$A$2000,0)),"")</f>
        <v>1.6319999999999999</v>
      </c>
      <c r="U360" s="194">
        <f t="shared" si="61"/>
        <v>0.67239999999999989</v>
      </c>
      <c r="V360" s="194">
        <f t="shared" si="62"/>
        <v>1.4813999999999998</v>
      </c>
      <c r="W360" s="194">
        <f>IFERROR(INDEX('Ashed teabags wet'!$K$2:$K$2000,MATCH(H360,'Ashed teabags wet'!$A$2:$A$2000,0)),"")</f>
        <v>15.626560159760119</v>
      </c>
      <c r="X360" s="237">
        <f>IFERROR(INDEX('Ashed teabags wet'!$K$2:$K$2000,MATCH(I360,'Ashed teabags wet'!$A$2:$A$2000,0)),"")</f>
        <v>3.9440838741890998</v>
      </c>
      <c r="Y360" s="194">
        <f t="shared" si="67"/>
        <v>0.56732700948577286</v>
      </c>
      <c r="Z360" s="194">
        <f t="shared" si="67"/>
        <v>1.4229723414877624</v>
      </c>
      <c r="AA360" s="194">
        <f t="shared" si="63"/>
        <v>0.66061504587286524</v>
      </c>
      <c r="AB360" s="194">
        <f t="shared" si="64"/>
        <v>0.43308729848197347</v>
      </c>
      <c r="AC360" s="194">
        <f t="shared" si="56"/>
        <v>0.72081867895267404</v>
      </c>
      <c r="AD360">
        <f t="shared" si="57"/>
        <v>51</v>
      </c>
      <c r="AE360" s="194">
        <f t="shared" si="65"/>
        <v>0.21542156072106267</v>
      </c>
      <c r="AF360" s="194">
        <f t="shared" si="66"/>
        <v>2.0286224332975347E-2</v>
      </c>
      <c r="AG360" s="252" t="str">
        <f>IF(ISNUMBER(SEARCH("C",'WetLitterbags placem_collection'!$Y67)),"YES","NO")</f>
        <v>NO</v>
      </c>
      <c r="AH360" s="252" t="str">
        <f>IF(ISNUMBER(SEARCH("H", 'WetLitterbags placem_collection'!$Y67)),"YES","NO")</f>
        <v>NO</v>
      </c>
      <c r="AI360" s="252" t="str">
        <f>IF(ISNUMBER(SEARCH("R", 'WetLitterbags placem_collection'!$Y67)),"YES","NO")</f>
        <v>YES</v>
      </c>
      <c r="AJ360" s="252" t="str">
        <f>IF(ISNUMBER(SEARCH("C", 'WetLitterbags placem_collection'!$W67)),"YES","NO")</f>
        <v>NO</v>
      </c>
      <c r="AK360" s="252" t="str">
        <f>IF(ISNUMBER(SEARCH("H", 'WetLitterbags placem_collection'!$W67)),"YES","NO")</f>
        <v>NO</v>
      </c>
      <c r="AL360" s="252" t="str">
        <f>IF(ISNUMBER(SEARCH("R", 'WetLitterbags placem_collection'!$W67)),"YES","NO")</f>
        <v>NO</v>
      </c>
    </row>
    <row r="361" spans="2:38">
      <c r="B361" t="str">
        <f>'Final data_for_R_analysis_Wetse'!A507</f>
        <v>Wet</v>
      </c>
      <c r="C361" s="260">
        <f>'Final data_for_R_analysis_Wetse'!B507</f>
        <v>66</v>
      </c>
      <c r="D361" t="s">
        <v>3810</v>
      </c>
      <c r="E361" t="s">
        <v>25</v>
      </c>
      <c r="F361" s="381">
        <v>2</v>
      </c>
      <c r="G361" s="16">
        <f>'WetLitterbags placem_collection'!E68</f>
        <v>42767</v>
      </c>
      <c r="H361" s="92" t="str">
        <f>'Final data_for_R_analysis_Wetse'!K507</f>
        <v>G760</v>
      </c>
      <c r="I361" t="str">
        <f>'Final data_for_R_analysis_Wetse'!K727</f>
        <v>R252</v>
      </c>
      <c r="J361">
        <f>IFERROR(INDEX('Green_rooibos initial weight'!$C$5:$C$2000,MATCH(H361, 'Green_rooibos initial weight'!$A$5:$A$2000,0)),"")</f>
        <v>1.948</v>
      </c>
      <c r="K361">
        <f>IFERROR(INDEX('Green_rooibos initial weight'!$C$5:$C$2000,MATCH(I361, 'Green_rooibos initial weight'!$A$5:$A$2000,0)),"")</f>
        <v>2.2069999999999999</v>
      </c>
      <c r="L361" s="194">
        <f t="shared" si="58"/>
        <v>1.6981999999999999</v>
      </c>
      <c r="M361" s="194">
        <f>AVERAGE(Ashed_controlls!$K$2:$K$11)</f>
        <v>5.5147656768714146</v>
      </c>
      <c r="N361" s="194">
        <f t="shared" si="55"/>
        <v>1.6045482492753695</v>
      </c>
      <c r="O361" s="194">
        <f t="shared" si="59"/>
        <v>1.9571999999999998</v>
      </c>
      <c r="P361" s="194">
        <f>AVERAGE(Ashed_controlls!$K$12:$K$14)</f>
        <v>2.2816647271287041</v>
      </c>
      <c r="Q361" s="194">
        <f t="shared" si="60"/>
        <v>1.9125432579606367</v>
      </c>
      <c r="R361" s="16">
        <f>IF('WetLitterbags placem_collection'!G68="","",'WetLitterbags placem_collection'!G68)</f>
        <v>42818</v>
      </c>
      <c r="S361" s="194">
        <f>IFERROR(INDEX('Both teabags AfterWet'!$C$3:$C$2000,MATCH(H361,'Both teabags AfterWet'!$A$3:$A$2000,0)),"")</f>
        <v>0.93500000000000005</v>
      </c>
      <c r="T361" s="194">
        <f>IFERROR(INDEX('Both teabags AfterWet'!$C$3:$C$2000,MATCH(I361,'Both teabags AfterWet'!$A$3:$A$2000,0)),"")</f>
        <v>1.6584000000000001</v>
      </c>
      <c r="U361" s="194">
        <f t="shared" si="61"/>
        <v>0.78439999999999999</v>
      </c>
      <c r="V361" s="194">
        <f t="shared" si="62"/>
        <v>1.5078</v>
      </c>
      <c r="W361" s="194">
        <f>IFERROR(INDEX('Ashed teabags wet'!$K$2:$K$2000,MATCH(H361,'Ashed teabags wet'!$A$2:$A$2000,0)),"")</f>
        <v>12.432959531935326</v>
      </c>
      <c r="X361" s="237">
        <f>IFERROR(INDEX('Ashed teabags wet'!$K$2:$K$2000,MATCH(I361,'Ashed teabags wet'!$A$2:$A$2000,0)),"")</f>
        <v>8.0431584109849048</v>
      </c>
      <c r="Y361" s="194">
        <f t="shared" si="67"/>
        <v>0.68687586543149926</v>
      </c>
      <c r="Z361" s="194">
        <f t="shared" si="67"/>
        <v>1.3865252574791695</v>
      </c>
      <c r="AA361" s="194">
        <f t="shared" si="63"/>
        <v>0.5719194697063803</v>
      </c>
      <c r="AB361" s="194">
        <f t="shared" si="64"/>
        <v>0.3749400799025201</v>
      </c>
      <c r="AC361" s="194">
        <f t="shared" si="56"/>
        <v>0.72496412915524577</v>
      </c>
      <c r="AD361">
        <f t="shared" si="57"/>
        <v>51</v>
      </c>
      <c r="AE361" s="194">
        <f t="shared" si="65"/>
        <v>0.3207607248142752</v>
      </c>
      <c r="AF361" s="194">
        <f t="shared" si="66"/>
        <v>2.5932439388219364E-2</v>
      </c>
      <c r="AG361" s="252" t="str">
        <f>IF(ISNUMBER(SEARCH("C",'WetLitterbags placem_collection'!$Y68)),"YES","NO")</f>
        <v>NO</v>
      </c>
      <c r="AH361" s="252" t="str">
        <f>IF(ISNUMBER(SEARCH("H", 'WetLitterbags placem_collection'!$Y68)),"YES","NO")</f>
        <v>NO</v>
      </c>
      <c r="AI361" s="252" t="str">
        <f>IF(ISNUMBER(SEARCH("R", 'WetLitterbags placem_collection'!$Y68)),"YES","NO")</f>
        <v>NO</v>
      </c>
      <c r="AJ361" s="252" t="str">
        <f>IF(ISNUMBER(SEARCH("C", 'WetLitterbags placem_collection'!$W68)),"YES","NO")</f>
        <v>NO</v>
      </c>
      <c r="AK361" s="252" t="str">
        <f>IF(ISNUMBER(SEARCH("H", 'WetLitterbags placem_collection'!$W68)),"YES","NO")</f>
        <v>YES</v>
      </c>
      <c r="AL361" s="252" t="str">
        <f>IF(ISNUMBER(SEARCH("R", 'WetLitterbags placem_collection'!$W68)),"YES","NO")</f>
        <v>NO</v>
      </c>
    </row>
    <row r="362" spans="2:38">
      <c r="B362" t="str">
        <f>'Final data_for_R_analysis_Wetse'!A508</f>
        <v>Wet</v>
      </c>
      <c r="C362" s="260">
        <f>'Final data_for_R_analysis_Wetse'!B508</f>
        <v>67</v>
      </c>
      <c r="D362" t="s">
        <v>3810</v>
      </c>
      <c r="E362" t="s">
        <v>25</v>
      </c>
      <c r="F362" s="381">
        <v>3</v>
      </c>
      <c r="G362" s="16">
        <f>'WetLitterbags placem_collection'!E69</f>
        <v>42767</v>
      </c>
      <c r="H362" s="92" t="str">
        <f>'Final data_for_R_analysis_Wetse'!K508</f>
        <v>G660</v>
      </c>
      <c r="I362" t="str">
        <f>'Final data_for_R_analysis_Wetse'!K728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58"/>
        <v>1.7841999999999998</v>
      </c>
      <c r="M362" s="194">
        <f>AVERAGE(Ashed_controlls!$K$2:$K$11)</f>
        <v>5.5147656768714146</v>
      </c>
      <c r="N362" s="194">
        <f t="shared" si="55"/>
        <v>1.6858055507932601</v>
      </c>
      <c r="O362" s="194">
        <f t="shared" si="59"/>
        <v>1.9982000000000002</v>
      </c>
      <c r="P362" s="194">
        <f>AVERAGE(Ashed_controlls!$K$12:$K$14)</f>
        <v>2.2816647271287041</v>
      </c>
      <c r="Q362" s="194">
        <f t="shared" si="60"/>
        <v>1.9526077754225144</v>
      </c>
      <c r="R362" s="16">
        <f>IF('WetLitterbags placem_collection'!G69="","",'WetLitterbags placem_collection'!G69)</f>
        <v>42818</v>
      </c>
      <c r="S362" s="194">
        <f>IFERROR(INDEX('Both teabags AfterWet'!$C$3:$C$2000,MATCH(H362,'Both teabags AfterWet'!$A$3:$A$2000,0)),"")</f>
        <v>0.92510000000000003</v>
      </c>
      <c r="T362" s="194">
        <f>IFERROR(INDEX('Both teabags AfterWet'!$C$3:$C$2000,MATCH(I362,'Both teabags AfterWet'!$A$3:$A$2000,0)),"")</f>
        <v>1.5427999999999999</v>
      </c>
      <c r="U362" s="194">
        <f t="shared" si="61"/>
        <v>0.77449999999999997</v>
      </c>
      <c r="V362" s="194">
        <f t="shared" si="62"/>
        <v>1.3921999999999999</v>
      </c>
      <c r="W362" s="194">
        <f>IFERROR(INDEX('Ashed teabags wet'!$K$2:$K$2000,MATCH(H362,'Ashed teabags wet'!$A$2:$A$2000,0)),"")</f>
        <v>10.402684563757722</v>
      </c>
      <c r="X362" s="237">
        <f>IFERROR(INDEX('Ashed teabags wet'!$K$2:$K$2000,MATCH(I362,'Ashed teabags wet'!$A$2:$A$2000,0)),"")</f>
        <v>3.2098765432091394</v>
      </c>
      <c r="Y362" s="194">
        <f t="shared" si="67"/>
        <v>0.69393120805369646</v>
      </c>
      <c r="Z362" s="194">
        <f t="shared" si="67"/>
        <v>1.3475120987654423</v>
      </c>
      <c r="AA362" s="194">
        <f t="shared" si="63"/>
        <v>0.58836817939817232</v>
      </c>
      <c r="AB362" s="194">
        <f t="shared" si="64"/>
        <v>0.385723557040132</v>
      </c>
      <c r="AC362" s="194">
        <f t="shared" si="56"/>
        <v>0.69010894851827642</v>
      </c>
      <c r="AD362">
        <f t="shared" si="57"/>
        <v>51</v>
      </c>
      <c r="AE362" s="194">
        <f t="shared" si="65"/>
        <v>0.30122544014468844</v>
      </c>
      <c r="AF362" s="194">
        <f t="shared" si="66"/>
        <v>3.1893998146449359E-2</v>
      </c>
      <c r="AG362" s="252" t="str">
        <f>IF(ISNUMBER(SEARCH("C",'WetLitterbags placem_collection'!$Y69)),"YES","NO")</f>
        <v>NO</v>
      </c>
      <c r="AH362" s="252" t="str">
        <f>IF(ISNUMBER(SEARCH("H", 'WetLitterbags placem_collection'!$Y69)),"YES","NO")</f>
        <v>NO</v>
      </c>
      <c r="AI362" s="252" t="str">
        <f>IF(ISNUMBER(SEARCH("R", 'WetLitterbags placem_collection'!$Y69)),"YES","NO")</f>
        <v>NO</v>
      </c>
      <c r="AJ362" s="252" t="str">
        <f>IF(ISNUMBER(SEARCH("C", 'WetLitterbags placem_collection'!$W69)),"YES","NO")</f>
        <v>NO</v>
      </c>
      <c r="AK362" s="252" t="str">
        <f>IF(ISNUMBER(SEARCH("H", 'WetLitterbags placem_collection'!$W69)),"YES","NO")</f>
        <v>NO</v>
      </c>
      <c r="AL362" s="252" t="str">
        <f>IF(ISNUMBER(SEARCH("R", 'WetLitterbags placem_collection'!$W69)),"YES","NO")</f>
        <v>NO</v>
      </c>
    </row>
    <row r="363" spans="2:38">
      <c r="B363" t="str">
        <f>'Final data_for_R_analysis_Wetse'!A509</f>
        <v>Wet</v>
      </c>
      <c r="C363" s="260">
        <f>'Final data_for_R_analysis_Wetse'!B509</f>
        <v>68</v>
      </c>
      <c r="D363" t="s">
        <v>3810</v>
      </c>
      <c r="E363" t="s">
        <v>25</v>
      </c>
      <c r="F363" s="382">
        <v>4</v>
      </c>
      <c r="G363" s="16">
        <f>'WetLitterbags placem_collection'!E70</f>
        <v>42767</v>
      </c>
      <c r="H363" s="92" t="str">
        <f>'Final data_for_R_analysis_Wetse'!K509</f>
        <v>G477</v>
      </c>
      <c r="I363" t="str">
        <f>'Final data_for_R_analysis_Wetse'!K729</f>
        <v>R9</v>
      </c>
      <c r="J363">
        <f>IFERROR(INDEX('Green_rooibos initial weight'!$C$5:$C$2000,MATCH(H363, 'Green_rooibos initial weight'!$A$5:$A$2000,0)),"")</f>
        <v>2.073</v>
      </c>
      <c r="K363">
        <f>IFERROR(INDEX('Green_rooibos initial weight'!$C$5:$C$2000,MATCH(I363, 'Green_rooibos initial weight'!$A$5:$A$2000,0)),"")</f>
        <v>2.2679999999999998</v>
      </c>
      <c r="L363" s="194">
        <f t="shared" si="58"/>
        <v>1.8231999999999999</v>
      </c>
      <c r="M363" s="194">
        <f>AVERAGE(Ashed_controlls!$K$2:$K$11)</f>
        <v>5.5147656768714146</v>
      </c>
      <c r="N363" s="194">
        <f t="shared" si="55"/>
        <v>1.7226547921792803</v>
      </c>
      <c r="O363" s="194">
        <f t="shared" si="59"/>
        <v>2.0181999999999998</v>
      </c>
      <c r="P363" s="194">
        <f>AVERAGE(Ashed_controlls!$K$12:$K$14)</f>
        <v>2.2816647271287041</v>
      </c>
      <c r="Q363" s="194">
        <f t="shared" si="60"/>
        <v>1.9721514424770883</v>
      </c>
      <c r="R363" s="16">
        <f>IF('WetLitterbags placem_collection'!G70="","",'WetLitterbags placem_collection'!G70)</f>
        <v>42818</v>
      </c>
      <c r="S363" s="194">
        <f>IFERROR(INDEX('Both teabags AfterWet'!$C$3:$C$2000,MATCH(H363,'Both teabags AfterWet'!$A$3:$A$2000,0)),"")</f>
        <v>0.90500000000000003</v>
      </c>
      <c r="T363" s="194">
        <f>IFERROR(INDEX('Both teabags AfterWet'!$C$3:$C$2000,MATCH(I363,'Both teabags AfterWet'!$A$3:$A$2000,0)),"")</f>
        <v>1.7050000000000001</v>
      </c>
      <c r="U363" s="194">
        <f t="shared" si="61"/>
        <v>0.75439999999999996</v>
      </c>
      <c r="V363" s="194">
        <f t="shared" si="62"/>
        <v>1.5544</v>
      </c>
      <c r="W363" s="194">
        <f>IFERROR(INDEX('Ashed teabags wet'!$K$2:$K$2000,MATCH(H363,'Ashed teabags wet'!$A$2:$A$2000,0)),"")</f>
        <v>16.691358024691656</v>
      </c>
      <c r="X363" s="237">
        <f>IFERROR(INDEX('Ashed teabags wet'!$K$2:$K$2000,MATCH(I363,'Ashed teabags wet'!$A$2:$A$2000,0)),"")</f>
        <v>6.1938061938065374</v>
      </c>
      <c r="Y363" s="194">
        <f t="shared" si="67"/>
        <v>0.62848039506172615</v>
      </c>
      <c r="Z363" s="194">
        <f t="shared" si="67"/>
        <v>1.4581234765234712</v>
      </c>
      <c r="AA363" s="194">
        <f t="shared" si="63"/>
        <v>0.63516753448515706</v>
      </c>
      <c r="AB363" s="194">
        <f t="shared" si="64"/>
        <v>0.41640436940119568</v>
      </c>
      <c r="AC363" s="194">
        <f t="shared" si="56"/>
        <v>0.73935674772116855</v>
      </c>
      <c r="AD363">
        <f t="shared" si="57"/>
        <v>51</v>
      </c>
      <c r="AE363" s="194">
        <f t="shared" si="65"/>
        <v>0.24564425833116732</v>
      </c>
      <c r="AF363" s="194">
        <f t="shared" si="66"/>
        <v>1.928104503630089E-2</v>
      </c>
      <c r="AG363" s="252" t="str">
        <f>IF(ISNUMBER(SEARCH("C",'WetLitterbags placem_collection'!$Y70)),"YES","NO")</f>
        <v>NO</v>
      </c>
      <c r="AH363" s="252" t="str">
        <f>IF(ISNUMBER(SEARCH("H", 'WetLitterbags placem_collection'!$Y70)),"YES","NO")</f>
        <v>NO</v>
      </c>
      <c r="AI363" s="252" t="str">
        <f>IF(ISNUMBER(SEARCH("R", 'WetLitterbags placem_collection'!$Y70)),"YES","NO")</f>
        <v>NO</v>
      </c>
      <c r="AJ363" s="252" t="str">
        <f>IF(ISNUMBER(SEARCH("C", 'WetLitterbags placem_collection'!$W70)),"YES","NO")</f>
        <v>NO</v>
      </c>
      <c r="AK363" s="252" t="str">
        <f>IF(ISNUMBER(SEARCH("H", 'WetLitterbags placem_collection'!$W70)),"YES","NO")</f>
        <v>NO</v>
      </c>
      <c r="AL363" s="252" t="str">
        <f>IF(ISNUMBER(SEARCH("R", 'WetLitterbags placem_collection'!$W70)),"YES","NO")</f>
        <v>NO</v>
      </c>
    </row>
    <row r="364" spans="2:38">
      <c r="B364" t="str">
        <f>'Final data_for_R_analysis_Wetse'!A510</f>
        <v>Wet</v>
      </c>
      <c r="C364" s="260">
        <f>'Final data_for_R_analysis_Wetse'!B510</f>
        <v>69</v>
      </c>
      <c r="D364" t="s">
        <v>3810</v>
      </c>
      <c r="E364" t="s">
        <v>25</v>
      </c>
      <c r="F364" s="382">
        <v>5</v>
      </c>
      <c r="G364" s="16">
        <f>'WetLitterbags placem_collection'!E71</f>
        <v>42767</v>
      </c>
      <c r="H364" s="92" t="str">
        <f>'Final data_for_R_analysis_Wetse'!K510</f>
        <v>G386</v>
      </c>
      <c r="I364" t="str">
        <f>'Final data_for_R_analysis_Wetse'!K730</f>
        <v>R251</v>
      </c>
      <c r="J364">
        <f>IFERROR(INDEX('Green_rooibos initial weight'!$C$5:$C$2000,MATCH(H364, 'Green_rooibos initial weight'!$A$5:$A$2000,0)),"")</f>
        <v>1.897</v>
      </c>
      <c r="K364">
        <f>IFERROR(INDEX('Green_rooibos initial weight'!$C$5:$C$2000,MATCH(I364, 'Green_rooibos initial weight'!$A$5:$A$2000,0)),"")</f>
        <v>2.266</v>
      </c>
      <c r="L364" s="194">
        <f t="shared" si="58"/>
        <v>1.6472</v>
      </c>
      <c r="M364" s="194">
        <f>AVERAGE(Ashed_controlls!$K$2:$K$11)</f>
        <v>5.5147656768714146</v>
      </c>
      <c r="N364" s="194">
        <f t="shared" si="55"/>
        <v>1.5563607797705741</v>
      </c>
      <c r="O364" s="194">
        <f t="shared" si="59"/>
        <v>2.0162</v>
      </c>
      <c r="P364" s="194">
        <f>AVERAGE(Ashed_controlls!$K$12:$K$14)</f>
        <v>2.2816647271287041</v>
      </c>
      <c r="Q364" s="194">
        <f t="shared" si="60"/>
        <v>1.9701970757716312</v>
      </c>
      <c r="R364" s="16">
        <f>IF('WetLitterbags placem_collection'!G71="","",'WetLitterbags placem_collection'!G71)</f>
        <v>42818</v>
      </c>
      <c r="S364" s="194">
        <f>IFERROR(INDEX('Both teabags AfterWet'!$C$3:$C$2000,MATCH(H364,'Both teabags AfterWet'!$A$3:$A$2000,0)),"")</f>
        <v>0.98899999999999999</v>
      </c>
      <c r="T364" s="194">
        <f>IFERROR(INDEX('Both teabags AfterWet'!$C$3:$C$2000,MATCH(I364,'Both teabags AfterWet'!$A$3:$A$2000,0)),"")</f>
        <v>1.8979999999999999</v>
      </c>
      <c r="U364" s="194">
        <f t="shared" si="61"/>
        <v>0.83840000000000003</v>
      </c>
      <c r="V364" s="194">
        <f t="shared" si="62"/>
        <v>1.7473999999999998</v>
      </c>
      <c r="W364" s="194">
        <f>IFERROR(INDEX('Ashed teabags wet'!$K$2:$K$2000,MATCH(H364,'Ashed teabags wet'!$A$2:$A$2000,0)),"")</f>
        <v>28.64945382323781</v>
      </c>
      <c r="X364" s="237">
        <f>IFERROR(INDEX('Ashed teabags wet'!$K$2:$K$2000,MATCH(I364,'Ashed teabags wet'!$A$2:$A$2000,0)),"")</f>
        <v>14.026483570377628</v>
      </c>
      <c r="Y364" s="194">
        <f t="shared" si="67"/>
        <v>0.5982029791459742</v>
      </c>
      <c r="Z364" s="194">
        <f t="shared" si="67"/>
        <v>1.5023012260912212</v>
      </c>
      <c r="AA364" s="194">
        <f t="shared" si="63"/>
        <v>0.61563990372839106</v>
      </c>
      <c r="AB364" s="194">
        <f t="shared" si="64"/>
        <v>0.40360240719485974</v>
      </c>
      <c r="AC364" s="194">
        <f t="shared" si="56"/>
        <v>0.76251317422285902</v>
      </c>
      <c r="AD364">
        <f t="shared" si="57"/>
        <v>51</v>
      </c>
      <c r="AE364" s="194">
        <f t="shared" si="65"/>
        <v>0.26883621884989184</v>
      </c>
      <c r="AF364" s="194">
        <f t="shared" si="66"/>
        <v>1.7406792805858589E-2</v>
      </c>
      <c r="AG364" s="252" t="str">
        <f>IF(ISNUMBER(SEARCH("C",'WetLitterbags placem_collection'!$Y71)),"YES","NO")</f>
        <v>NO</v>
      </c>
      <c r="AH364" s="252" t="str">
        <f>IF(ISNUMBER(SEARCH("H", 'WetLitterbags placem_collection'!$Y71)),"YES","NO")</f>
        <v>NO</v>
      </c>
      <c r="AI364" s="252" t="str">
        <f>IF(ISNUMBER(SEARCH("R", 'WetLitterbags placem_collection'!$Y71)),"YES","NO")</f>
        <v>YES</v>
      </c>
      <c r="AJ364" s="252" t="str">
        <f>IF(ISNUMBER(SEARCH("C", 'WetLitterbags placem_collection'!$W71)),"YES","NO")</f>
        <v>NO</v>
      </c>
      <c r="AK364" s="252" t="str">
        <f>IF(ISNUMBER(SEARCH("H", 'WetLitterbags placem_collection'!$W71)),"YES","NO")</f>
        <v>NO</v>
      </c>
      <c r="AL364" s="252" t="str">
        <f>IF(ISNUMBER(SEARCH("R", 'WetLitterbags placem_collection'!$W71)),"YES","NO")</f>
        <v>NO</v>
      </c>
    </row>
    <row r="365" spans="2:38">
      <c r="B365" t="str">
        <f>'Final data_for_R_analysis_Wetse'!A511</f>
        <v>Wet</v>
      </c>
      <c r="C365" s="260">
        <f>'Final data_for_R_analysis_Wetse'!B511</f>
        <v>70</v>
      </c>
      <c r="D365" t="s">
        <v>3810</v>
      </c>
      <c r="E365" t="s">
        <v>25</v>
      </c>
      <c r="F365" s="382">
        <v>6</v>
      </c>
      <c r="G365" s="16">
        <f>'WetLitterbags placem_collection'!E72</f>
        <v>42767</v>
      </c>
      <c r="H365" s="92" t="str">
        <f>'Final data_for_R_analysis_Wetse'!K511</f>
        <v>G414</v>
      </c>
      <c r="I365" t="str">
        <f>'Final data_for_R_analysis_Wetse'!K731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58"/>
        <v>1.8092000000000001</v>
      </c>
      <c r="M365" s="194">
        <f>AVERAGE(Ashed_controlls!$K$2:$K$11)</f>
        <v>5.5147656768714146</v>
      </c>
      <c r="N365" s="194">
        <f t="shared" si="55"/>
        <v>1.7094268593740425</v>
      </c>
      <c r="O365" s="194">
        <f t="shared" si="59"/>
        <v>1.9222000000000001</v>
      </c>
      <c r="P365" s="194">
        <f>AVERAGE(Ashed_controlls!$K$12:$K$14)</f>
        <v>2.2816647271287041</v>
      </c>
      <c r="Q365" s="194">
        <f t="shared" si="60"/>
        <v>1.8783418406151322</v>
      </c>
      <c r="R365" s="16">
        <f>IF('WetLitterbags placem_collection'!G72="","",'WetLitterbags placem_collection'!G72)</f>
        <v>42818</v>
      </c>
      <c r="S365" s="194">
        <f>IFERROR(INDEX('Both teabags AfterWet'!$C$3:$C$2000,MATCH(H365,'Both teabags AfterWet'!$A$3:$A$2000,0)),"")</f>
        <v>0.84099999999999997</v>
      </c>
      <c r="T365" s="194">
        <f>IFERROR(INDEX('Both teabags AfterWet'!$C$3:$C$2000,MATCH(I365,'Both teabags AfterWet'!$A$3:$A$2000,0)),"")</f>
        <v>1.599</v>
      </c>
      <c r="U365" s="194">
        <f t="shared" si="61"/>
        <v>0.6903999999999999</v>
      </c>
      <c r="V365" s="194">
        <f t="shared" si="62"/>
        <v>1.4483999999999999</v>
      </c>
      <c r="W365" s="194">
        <f>IFERROR(INDEX('Ashed teabags wet'!$K$2:$K$2000,MATCH(H365,'Ashed teabags wet'!$A$2:$A$2000,0)),"")</f>
        <v>8.7493821057836652</v>
      </c>
      <c r="X365" s="237">
        <f>IFERROR(INDEX('Ashed teabags wet'!$K$2:$K$2000,MATCH(I365,'Ashed teabags wet'!$A$2:$A$2000,0)),"")</f>
        <v>2.9397110114603966</v>
      </c>
      <c r="Y365" s="194">
        <f t="shared" si="67"/>
        <v>0.62999426594166952</v>
      </c>
      <c r="Z365" s="194">
        <f t="shared" si="67"/>
        <v>1.4058212257100076</v>
      </c>
      <c r="AA365" s="194">
        <f t="shared" si="63"/>
        <v>0.63145877667304195</v>
      </c>
      <c r="AB365" s="194">
        <f t="shared" si="64"/>
        <v>0.41397297473102046</v>
      </c>
      <c r="AC365" s="194">
        <f t="shared" si="56"/>
        <v>0.7484373692328653</v>
      </c>
      <c r="AD365">
        <f t="shared" si="57"/>
        <v>51</v>
      </c>
      <c r="AE365" s="194">
        <f t="shared" si="65"/>
        <v>0.25004895882061517</v>
      </c>
      <c r="AF365" s="194">
        <f t="shared" si="66"/>
        <v>1.834656025900035E-2</v>
      </c>
      <c r="AG365" s="252" t="str">
        <f>IF(ISNUMBER(SEARCH("C",'WetLitterbags placem_collection'!$Y72)),"YES","NO")</f>
        <v>NO</v>
      </c>
      <c r="AH365" s="252" t="str">
        <f>IF(ISNUMBER(SEARCH("H", 'WetLitterbags placem_collection'!$Y72)),"YES","NO")</f>
        <v>NO</v>
      </c>
      <c r="AI365" s="252" t="str">
        <f>IF(ISNUMBER(SEARCH("R", 'WetLitterbags placem_collection'!$Y72)),"YES","NO")</f>
        <v>YES</v>
      </c>
      <c r="AJ365" s="252" t="str">
        <f>IF(ISNUMBER(SEARCH("C", 'WetLitterbags placem_collection'!$W72)),"YES","NO")</f>
        <v>YES</v>
      </c>
      <c r="AK365" s="252" t="str">
        <f>IF(ISNUMBER(SEARCH("H", 'WetLitterbags placem_collection'!$W72)),"YES","NO")</f>
        <v>YES</v>
      </c>
      <c r="AL365" s="252" t="str">
        <f>IF(ISNUMBER(SEARCH("R", 'WetLitterbags placem_collection'!$W72)),"YES","NO")</f>
        <v>YES</v>
      </c>
    </row>
    <row r="366" spans="2:38">
      <c r="B366" t="str">
        <f>'Final data_for_R_analysis_Wetse'!A512</f>
        <v>Wet</v>
      </c>
      <c r="C366" s="260">
        <f>'Final data_for_R_analysis_Wetse'!B512</f>
        <v>71</v>
      </c>
      <c r="D366" t="s">
        <v>3810</v>
      </c>
      <c r="E366" t="s">
        <v>25</v>
      </c>
      <c r="F366" s="382">
        <v>7</v>
      </c>
      <c r="G366" s="16">
        <f>'WetLitterbags placem_collection'!E73</f>
        <v>42767</v>
      </c>
      <c r="H366" s="92" t="str">
        <f>'Final data_for_R_analysis_Wetse'!K512</f>
        <v>G459</v>
      </c>
      <c r="I366" t="str">
        <f>'Final data_for_R_analysis_Wetse'!K732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58"/>
        <v>1.7951999999999999</v>
      </c>
      <c r="M366" s="194">
        <f>AVERAGE(Ashed_controlls!$K$2:$K$11)</f>
        <v>5.5147656768714146</v>
      </c>
      <c r="N366" s="194">
        <f t="shared" si="55"/>
        <v>1.6961989265688042</v>
      </c>
      <c r="O366" s="194">
        <f t="shared" si="59"/>
        <v>1.8521999999999998</v>
      </c>
      <c r="P366" s="194">
        <f>AVERAGE(Ashed_controlls!$K$12:$K$14)</f>
        <v>2.2816647271287041</v>
      </c>
      <c r="Q366" s="194">
        <f t="shared" si="60"/>
        <v>1.809939005924122</v>
      </c>
      <c r="R366" s="16">
        <f>IF('WetLitterbags placem_collection'!G73="","",'WetLitterbags placem_collection'!G73)</f>
        <v>42818</v>
      </c>
      <c r="S366" s="194">
        <f>IFERROR(INDEX('Both teabags AfterWet'!$C$3:$C$2000,MATCH(H366,'Both teabags AfterWet'!$A$3:$A$2000,0)),"")</f>
        <v>0.89149999999999996</v>
      </c>
      <c r="T366" s="194">
        <f>IFERROR(INDEX('Both teabags AfterWet'!$C$3:$C$2000,MATCH(I366,'Both teabags AfterWet'!$A$3:$A$2000,0)),"")</f>
        <v>1.5779000000000001</v>
      </c>
      <c r="U366" s="194">
        <f t="shared" si="61"/>
        <v>0.74089999999999989</v>
      </c>
      <c r="V366" s="194">
        <f t="shared" si="62"/>
        <v>1.4273</v>
      </c>
      <c r="W366" s="194">
        <f>IFERROR(INDEX('Ashed teabags wet'!$K$2:$K$2000,MATCH(H366,'Ashed teabags wet'!$A$2:$A$2000,0)),"")</f>
        <v>7.7519379844959557</v>
      </c>
      <c r="X366" s="237">
        <f>IFERROR(INDEX('Ashed teabags wet'!$K$2:$K$2000,MATCH(I366,'Ashed teabags wet'!$A$2:$A$2000,0)),"")</f>
        <v>2.689243027888772</v>
      </c>
      <c r="Y366" s="194">
        <f t="shared" si="67"/>
        <v>0.6834658914728694</v>
      </c>
      <c r="Z366" s="194">
        <f t="shared" si="67"/>
        <v>1.3889164342629436</v>
      </c>
      <c r="AA366" s="194">
        <f t="shared" si="63"/>
        <v>0.59706029713423159</v>
      </c>
      <c r="AB366" s="194">
        <f t="shared" si="64"/>
        <v>0.39142195251555328</v>
      </c>
      <c r="AC366" s="194">
        <f t="shared" si="56"/>
        <v>0.76738300556917838</v>
      </c>
      <c r="AD366">
        <f t="shared" si="57"/>
        <v>51</v>
      </c>
      <c r="AE366" s="194">
        <f t="shared" si="65"/>
        <v>0.29090225993559193</v>
      </c>
      <c r="AF366" s="194">
        <f t="shared" si="66"/>
        <v>1.7688419020203114E-2</v>
      </c>
      <c r="AG366" s="252" t="str">
        <f>IF(ISNUMBER(SEARCH("C",'WetLitterbags placem_collection'!$Y73)),"YES","NO")</f>
        <v>NO</v>
      </c>
      <c r="AH366" s="252" t="str">
        <f>IF(ISNUMBER(SEARCH("H", 'WetLitterbags placem_collection'!$Y73)),"YES","NO")</f>
        <v>NO</v>
      </c>
      <c r="AI366" s="252" t="str">
        <f>IF(ISNUMBER(SEARCH("R", 'WetLitterbags placem_collection'!$Y73)),"YES","NO")</f>
        <v>NO</v>
      </c>
      <c r="AJ366" s="252" t="str">
        <f>IF(ISNUMBER(SEARCH("C", 'WetLitterbags placem_collection'!$W73)),"YES","NO")</f>
        <v>NO</v>
      </c>
      <c r="AK366" s="252" t="str">
        <f>IF(ISNUMBER(SEARCH("H", 'WetLitterbags placem_collection'!$W73)),"YES","NO")</f>
        <v>NO</v>
      </c>
      <c r="AL366" s="252" t="str">
        <f>IF(ISNUMBER(SEARCH("R", 'WetLitterbags placem_collection'!$W73)),"YES","NO")</f>
        <v>YES</v>
      </c>
    </row>
    <row r="367" spans="2:38">
      <c r="B367" t="str">
        <f>'Final data_for_R_analysis_Wetse'!A513</f>
        <v>Wet</v>
      </c>
      <c r="C367" s="260">
        <f>'Final data_for_R_analysis_Wetse'!B513</f>
        <v>72</v>
      </c>
      <c r="D367" t="s">
        <v>3810</v>
      </c>
      <c r="E367" t="s">
        <v>25</v>
      </c>
      <c r="F367" s="382">
        <v>8</v>
      </c>
      <c r="G367" s="16">
        <f>'WetLitterbags placem_collection'!E74</f>
        <v>42767</v>
      </c>
      <c r="H367" s="92" t="str">
        <f>'Final data_for_R_analysis_Wetse'!K513</f>
        <v>G627</v>
      </c>
      <c r="I367" t="str">
        <f>'Final data_for_R_analysis_Wetse'!K733</f>
        <v>R14</v>
      </c>
      <c r="J367">
        <f>IFERROR(INDEX('Green_rooibos initial weight'!$C$5:$C$2000,MATCH(H367, 'Green_rooibos initial weight'!$A$5:$A$2000,0)),"")</f>
        <v>2.153</v>
      </c>
      <c r="K367">
        <f>IFERROR(INDEX('Green_rooibos initial weight'!$C$5:$C$2000,MATCH(I367, 'Green_rooibos initial weight'!$A$5:$A$2000,0)),"")</f>
        <v>2.181</v>
      </c>
      <c r="L367" s="194">
        <f t="shared" si="58"/>
        <v>1.9032</v>
      </c>
      <c r="M367" s="194">
        <f>AVERAGE(Ashed_controlls!$K$2:$K$11)</f>
        <v>5.5147656768714146</v>
      </c>
      <c r="N367" s="194">
        <f t="shared" si="55"/>
        <v>1.7982429796377832</v>
      </c>
      <c r="O367" s="194">
        <f t="shared" si="59"/>
        <v>1.9312</v>
      </c>
      <c r="P367" s="194">
        <f>AVERAGE(Ashed_controlls!$K$12:$K$14)</f>
        <v>2.2816647271287041</v>
      </c>
      <c r="Q367" s="194">
        <f t="shared" si="60"/>
        <v>1.8871364907896906</v>
      </c>
      <c r="R367" s="16">
        <f>IF('WetLitterbags placem_collection'!G74="","",'WetLitterbags placem_collection'!G74)</f>
        <v>42818</v>
      </c>
      <c r="S367" s="194">
        <f>IFERROR(INDEX('Both teabags AfterWet'!$C$3:$C$2000,MATCH(H367,'Both teabags AfterWet'!$A$3:$A$2000,0)),"")</f>
        <v>0.86350000000000005</v>
      </c>
      <c r="T367" s="194">
        <f>IFERROR(INDEX('Both teabags AfterWet'!$C$3:$C$2000,MATCH(I367,'Both teabags AfterWet'!$A$3:$A$2000,0)),"")</f>
        <v>1.5603</v>
      </c>
      <c r="U367" s="194">
        <f t="shared" si="61"/>
        <v>0.71290000000000009</v>
      </c>
      <c r="V367" s="194">
        <f t="shared" si="62"/>
        <v>1.4097</v>
      </c>
      <c r="W367" s="194">
        <f>IFERROR(INDEX('Ashed teabags wet'!$K$2:$K$2000,MATCH(H367,'Ashed teabags wet'!$A$2:$A$2000,0)),"")</f>
        <v>8.0899952130205044</v>
      </c>
      <c r="X367" s="237">
        <f>IFERROR(INDEX('Ashed teabags wet'!$K$2:$K$2000,MATCH(I367,'Ashed teabags wet'!$A$2:$A$2000,0)),"")</f>
        <v>3.0571992110453157</v>
      </c>
      <c r="Y367" s="194">
        <f t="shared" si="67"/>
        <v>0.65522642412637688</v>
      </c>
      <c r="Z367" s="194">
        <f t="shared" si="67"/>
        <v>1.3666026627218941</v>
      </c>
      <c r="AA367" s="194">
        <f t="shared" si="63"/>
        <v>0.63562964986057779</v>
      </c>
      <c r="AB367" s="194">
        <f t="shared" si="64"/>
        <v>0.4167073238990962</v>
      </c>
      <c r="AC367" s="194">
        <f t="shared" si="56"/>
        <v>0.72416736647916014</v>
      </c>
      <c r="AD367">
        <f t="shared" si="57"/>
        <v>51</v>
      </c>
      <c r="AE367" s="194">
        <f t="shared" si="65"/>
        <v>0.2450954277190287</v>
      </c>
      <c r="AF367" s="194">
        <f t="shared" si="66"/>
        <v>2.1264967445402353E-2</v>
      </c>
      <c r="AG367" s="252" t="str">
        <f>IF(ISNUMBER(SEARCH("C",'WetLitterbags placem_collection'!$Y74)),"YES","NO")</f>
        <v>NO</v>
      </c>
      <c r="AH367" s="252" t="str">
        <f>IF(ISNUMBER(SEARCH("H", 'WetLitterbags placem_collection'!$Y74)),"YES","NO")</f>
        <v>NO</v>
      </c>
      <c r="AI367" s="252" t="str">
        <f>IF(ISNUMBER(SEARCH("R", 'WetLitterbags placem_collection'!$Y74)),"YES","NO")</f>
        <v>NO</v>
      </c>
      <c r="AJ367" s="252" t="str">
        <f>IF(ISNUMBER(SEARCH("C", 'WetLitterbags placem_collection'!$W74)),"YES","NO")</f>
        <v>NO</v>
      </c>
      <c r="AK367" s="252" t="str">
        <f>IF(ISNUMBER(SEARCH("H", 'WetLitterbags placem_collection'!$W74)),"YES","NO")</f>
        <v>NO</v>
      </c>
      <c r="AL367" s="252" t="str">
        <f>IF(ISNUMBER(SEARCH("R", 'WetLitterbags placem_collection'!$W74)),"YES","NO")</f>
        <v>NO</v>
      </c>
    </row>
    <row r="368" spans="2:38">
      <c r="B368" t="str">
        <f>'Final data_for_R_analysis_Wetse'!A514</f>
        <v>Wet</v>
      </c>
      <c r="C368" s="260">
        <f>'Final data_for_R_analysis_Wetse'!B514</f>
        <v>73</v>
      </c>
      <c r="D368" t="s">
        <v>3812</v>
      </c>
      <c r="E368" t="s">
        <v>25</v>
      </c>
      <c r="F368" s="381">
        <v>1</v>
      </c>
      <c r="G368" s="16">
        <f>'WetLitterbags placem_collection'!E75</f>
        <v>42767</v>
      </c>
      <c r="H368" s="92" t="str">
        <f>'Final data_for_R_analysis_Wetse'!K514</f>
        <v>G498</v>
      </c>
      <c r="I368" t="str">
        <f>'Final data_for_R_analysis_Wetse'!K734</f>
        <v>R393</v>
      </c>
      <c r="J368">
        <f>IFERROR(INDEX('Green_rooibos initial weight'!$C$5:$C$2000,MATCH(H368, 'Green_rooibos initial weight'!$A$5:$A$2000,0)),"")</f>
        <v>1.744</v>
      </c>
      <c r="K368">
        <f>IFERROR(INDEX('Green_rooibos initial weight'!$C$5:$C$2000,MATCH(I368, 'Green_rooibos initial weight'!$A$5:$A$2000,0)),"")</f>
        <v>2.1829999999999998</v>
      </c>
      <c r="L368" s="194">
        <f t="shared" si="58"/>
        <v>1.4942</v>
      </c>
      <c r="M368" s="194">
        <f>AVERAGE(Ashed_controlls!$K$2:$K$11)</f>
        <v>5.5147656768714146</v>
      </c>
      <c r="N368" s="194">
        <f t="shared" si="55"/>
        <v>1.4117983712561872</v>
      </c>
      <c r="O368" s="194">
        <f t="shared" si="59"/>
        <v>1.9331999999999998</v>
      </c>
      <c r="P368" s="194">
        <f>AVERAGE(Ashed_controlls!$K$12:$K$14)</f>
        <v>2.2816647271287041</v>
      </c>
      <c r="Q368" s="194">
        <f t="shared" si="60"/>
        <v>1.8890908574951477</v>
      </c>
      <c r="R368" s="16">
        <f>IF('WetLitterbags placem_collection'!G75="","",'WetLitterbags placem_collection'!G75)</f>
        <v>42818</v>
      </c>
      <c r="S368" s="194">
        <f>IFERROR(INDEX('Both teabags AfterWet'!$C$3:$C$2000,MATCH(H368,'Both teabags AfterWet'!$A$3:$A$2000,0)),"")</f>
        <v>0.73209999999999997</v>
      </c>
      <c r="T368" s="194">
        <f>IFERROR(INDEX('Both teabags AfterWet'!$C$3:$C$2000,MATCH(I368,'Both teabags AfterWet'!$A$3:$A$2000,0)),"")</f>
        <v>1.6598999999999999</v>
      </c>
      <c r="U368" s="194">
        <f t="shared" si="61"/>
        <v>0.58149999999999991</v>
      </c>
      <c r="V368" s="194">
        <f t="shared" si="62"/>
        <v>1.5092999999999999</v>
      </c>
      <c r="W368" s="194">
        <f>IFERROR(INDEX('Ashed teabags wet'!$K$2:$K$2000,MATCH(H368,'Ashed teabags wet'!$A$2:$A$2000,0)),"")</f>
        <v>8.2123184777161153</v>
      </c>
      <c r="X368" s="237">
        <f>IFERROR(INDEX('Ashed teabags wet'!$K$2:$K$2000,MATCH(I368,'Ashed teabags wet'!$A$2:$A$2000,0)),"")</f>
        <v>2.4769305488104898</v>
      </c>
      <c r="Y368" s="194">
        <f t="shared" si="67"/>
        <v>0.53374536805208073</v>
      </c>
      <c r="Z368" s="194">
        <f t="shared" si="67"/>
        <v>1.4719156872268031</v>
      </c>
      <c r="AA368" s="194">
        <f t="shared" si="63"/>
        <v>0.62193937964585855</v>
      </c>
      <c r="AB368" s="194">
        <f t="shared" si="64"/>
        <v>0.40773222988659613</v>
      </c>
      <c r="AC368" s="194">
        <f t="shared" si="56"/>
        <v>0.77916616947609352</v>
      </c>
      <c r="AD368">
        <f t="shared" si="57"/>
        <v>51</v>
      </c>
      <c r="AE368" s="194">
        <f t="shared" si="65"/>
        <v>0.26135465600254326</v>
      </c>
      <c r="AF368" s="194">
        <f t="shared" si="66"/>
        <v>1.5295009987463941E-2</v>
      </c>
      <c r="AG368" s="252" t="str">
        <f>IF(ISNUMBER(SEARCH("C",'WetLitterbags placem_collection'!$Y75)),"YES","NO")</f>
        <v>NO</v>
      </c>
      <c r="AH368" s="252" t="str">
        <f>IF(ISNUMBER(SEARCH("H", 'WetLitterbags placem_collection'!$Y75)),"YES","NO")</f>
        <v>NO</v>
      </c>
      <c r="AI368" s="252" t="str">
        <f>IF(ISNUMBER(SEARCH("R", 'WetLitterbags placem_collection'!$Y75)),"YES","NO")</f>
        <v>YES</v>
      </c>
      <c r="AJ368" s="252" t="str">
        <f>IF(ISNUMBER(SEARCH("C", 'WetLitterbags placem_collection'!$W75)),"YES","NO")</f>
        <v>NO</v>
      </c>
      <c r="AK368" s="252" t="str">
        <f>IF(ISNUMBER(SEARCH("H", 'WetLitterbags placem_collection'!$W75)),"YES","NO")</f>
        <v>YES</v>
      </c>
      <c r="AL368" s="252" t="str">
        <f>IF(ISNUMBER(SEARCH("R", 'WetLitterbags placem_collection'!$W75)),"YES","NO")</f>
        <v>YES</v>
      </c>
    </row>
    <row r="369" spans="2:38">
      <c r="B369" t="str">
        <f>'Final data_for_R_analysis_Wetse'!A515</f>
        <v>Wet</v>
      </c>
      <c r="C369" s="260">
        <f>'Final data_for_R_analysis_Wetse'!B515</f>
        <v>74</v>
      </c>
      <c r="D369" t="s">
        <v>3812</v>
      </c>
      <c r="E369" t="s">
        <v>25</v>
      </c>
      <c r="F369" s="381">
        <v>2</v>
      </c>
      <c r="G369" s="16">
        <f>'WetLitterbags placem_collection'!E76</f>
        <v>42767</v>
      </c>
      <c r="H369" s="92" t="str">
        <f>'Final data_for_R_analysis_Wetse'!K515</f>
        <v>G579</v>
      </c>
      <c r="I369" t="str">
        <f>'Final data_for_R_analysis_Wetse'!K735</f>
        <v>R138</v>
      </c>
      <c r="J369">
        <f>IFERROR(INDEX('Green_rooibos initial weight'!$C$5:$C$2000,MATCH(H369, 'Green_rooibos initial weight'!$A$5:$A$2000,0)),"")</f>
        <v>2.012</v>
      </c>
      <c r="K369">
        <f>IFERROR(INDEX('Green_rooibos initial weight'!$C$5:$C$2000,MATCH(I369, 'Green_rooibos initial weight'!$A$5:$A$2000,0)),"")</f>
        <v>2.3140000000000001</v>
      </c>
      <c r="L369" s="194">
        <f t="shared" si="58"/>
        <v>1.7622</v>
      </c>
      <c r="M369" s="194">
        <f>AVERAGE(Ashed_controlls!$K$2:$K$11)</f>
        <v>5.5147656768714146</v>
      </c>
      <c r="N369" s="194">
        <f t="shared" si="55"/>
        <v>1.6650187992421719</v>
      </c>
      <c r="O369" s="194">
        <f t="shared" si="59"/>
        <v>2.0642</v>
      </c>
      <c r="P369" s="194">
        <f>AVERAGE(Ashed_controlls!$K$12:$K$14)</f>
        <v>2.2816647271287041</v>
      </c>
      <c r="Q369" s="194">
        <f t="shared" si="60"/>
        <v>2.0171018767026094</v>
      </c>
      <c r="R369" s="16">
        <f>IF('WetLitterbags placem_collection'!G76="","",'WetLitterbags placem_collection'!G76)</f>
        <v>42818</v>
      </c>
      <c r="S369" s="194">
        <f>IFERROR(INDEX('Both teabags AfterWet'!$C$3:$C$2000,MATCH(H369,'Both teabags AfterWet'!$A$3:$A$2000,0)),"")</f>
        <v>0.74199999999999999</v>
      </c>
      <c r="T369" s="194">
        <f>IFERROR(INDEX('Both teabags AfterWet'!$C$3:$C$2000,MATCH(I369,'Both teabags AfterWet'!$A$3:$A$2000,0)),"")</f>
        <v>1.6850000000000001</v>
      </c>
      <c r="U369" s="194">
        <f t="shared" si="61"/>
        <v>0.59139999999999993</v>
      </c>
      <c r="V369" s="194">
        <f t="shared" si="62"/>
        <v>1.5344</v>
      </c>
      <c r="W369" s="194">
        <f>IFERROR(INDEX('Ashed teabags wet'!$K$2:$K$2000,MATCH(H369,'Ashed teabags wet'!$A$2:$A$2000,0)),"")</f>
        <v>9.0817862518813506</v>
      </c>
      <c r="X369" s="237">
        <f>IFERROR(INDEX('Ashed teabags wet'!$K$2:$K$2000,MATCH(I369,'Ashed teabags wet'!$A$2:$A$2000,0)),"")</f>
        <v>3.6873156342174327</v>
      </c>
      <c r="Y369" s="194">
        <f t="shared" si="67"/>
        <v>0.53769031610637363</v>
      </c>
      <c r="Z369" s="194">
        <f t="shared" si="67"/>
        <v>1.4778218289085676</v>
      </c>
      <c r="AA369" s="194">
        <f t="shared" si="63"/>
        <v>0.67706651939839857</v>
      </c>
      <c r="AB369" s="194">
        <f t="shared" si="64"/>
        <v>0.4438725875390927</v>
      </c>
      <c r="AC369" s="194">
        <f t="shared" si="56"/>
        <v>0.73264610279595199</v>
      </c>
      <c r="AD369">
        <f t="shared" si="57"/>
        <v>51</v>
      </c>
      <c r="AE369" s="194">
        <f t="shared" si="65"/>
        <v>0.19588299358860028</v>
      </c>
      <c r="AF369" s="194">
        <f t="shared" si="66"/>
        <v>1.808060374963431E-2</v>
      </c>
      <c r="AG369" s="252" t="str">
        <f>IF(ISNUMBER(SEARCH("C",'WetLitterbags placem_collection'!$Y76)),"YES","NO")</f>
        <v>NO</v>
      </c>
      <c r="AH369" s="252" t="str">
        <f>IF(ISNUMBER(SEARCH("H", 'WetLitterbags placem_collection'!$Y76)),"YES","NO")</f>
        <v>NO</v>
      </c>
      <c r="AI369" s="252" t="str">
        <f>IF(ISNUMBER(SEARCH("R", 'WetLitterbags placem_collection'!$Y76)),"YES","NO")</f>
        <v>NO</v>
      </c>
      <c r="AJ369" s="252" t="str">
        <f>IF(ISNUMBER(SEARCH("C", 'WetLitterbags placem_collection'!$W76)),"YES","NO")</f>
        <v>YES</v>
      </c>
      <c r="AK369" s="252" t="str">
        <f>IF(ISNUMBER(SEARCH("H", 'WetLitterbags placem_collection'!$W76)),"YES","NO")</f>
        <v>YES</v>
      </c>
      <c r="AL369" s="252" t="str">
        <f>IF(ISNUMBER(SEARCH("R", 'WetLitterbags placem_collection'!$W76)),"YES","NO")</f>
        <v>NO</v>
      </c>
    </row>
    <row r="370" spans="2:38">
      <c r="B370" t="str">
        <f>'Final data_for_R_analysis_Wetse'!A516</f>
        <v>Wet</v>
      </c>
      <c r="C370" s="260">
        <f>'Final data_for_R_analysis_Wetse'!B516</f>
        <v>75</v>
      </c>
      <c r="D370" t="s">
        <v>3812</v>
      </c>
      <c r="E370" t="s">
        <v>25</v>
      </c>
      <c r="F370" s="381">
        <v>3</v>
      </c>
      <c r="G370" s="16">
        <f>'WetLitterbags placem_collection'!E77</f>
        <v>42767</v>
      </c>
      <c r="H370" s="92" t="str">
        <f>'Final data_for_R_analysis_Wetse'!K516</f>
        <v>G373</v>
      </c>
      <c r="I370" t="str">
        <f>'Final data_for_R_analysis_Wetse'!K736</f>
        <v>R311</v>
      </c>
      <c r="J370">
        <f>IFERROR(INDEX('Green_rooibos initial weight'!$C$5:$C$2000,MATCH(H370, 'Green_rooibos initial weight'!$A$5:$A$2000,0)),"")</f>
        <v>2.1</v>
      </c>
      <c r="K370">
        <f>IFERROR(INDEX('Green_rooibos initial weight'!$C$5:$C$2000,MATCH(I370, 'Green_rooibos initial weight'!$A$5:$A$2000,0)),"")</f>
        <v>2.2719999999999998</v>
      </c>
      <c r="L370" s="194">
        <f t="shared" si="58"/>
        <v>1.8502000000000001</v>
      </c>
      <c r="M370" s="194">
        <f>AVERAGE(Ashed_controlls!$K$2:$K$11)</f>
        <v>5.5147656768714146</v>
      </c>
      <c r="N370" s="194">
        <f t="shared" si="55"/>
        <v>1.7481658054465252</v>
      </c>
      <c r="O370" s="194">
        <f t="shared" si="59"/>
        <v>2.0221999999999998</v>
      </c>
      <c r="P370" s="194">
        <f>AVERAGE(Ashed_controlls!$K$12:$K$14)</f>
        <v>2.2816647271287041</v>
      </c>
      <c r="Q370" s="194">
        <f t="shared" si="60"/>
        <v>1.9760601758880032</v>
      </c>
      <c r="R370" s="16">
        <f>IF('WetLitterbags placem_collection'!G77="","",'WetLitterbags placem_collection'!G77)</f>
        <v>42818</v>
      </c>
      <c r="S370" s="194">
        <f>IFERROR(INDEX('Both teabags AfterWet'!$C$3:$C$2000,MATCH(H370,'Both teabags AfterWet'!$A$3:$A$2000,0)),"")</f>
        <v>0.93330000000000002</v>
      </c>
      <c r="T370" s="194">
        <f>IFERROR(INDEX('Both teabags AfterWet'!$C$3:$C$2000,MATCH(I370,'Both teabags AfterWet'!$A$3:$A$2000,0)),"")</f>
        <v>1.6715</v>
      </c>
      <c r="U370" s="194">
        <f t="shared" si="61"/>
        <v>0.78269999999999995</v>
      </c>
      <c r="V370" s="194">
        <f t="shared" si="62"/>
        <v>1.5208999999999999</v>
      </c>
      <c r="W370" s="194">
        <f>IFERROR(INDEX('Ashed teabags wet'!$K$2:$K$2000,MATCH(H370,'Ashed teabags wet'!$A$2:$A$2000,0)),"")</f>
        <v>10.547263681591955</v>
      </c>
      <c r="X370" s="237">
        <f>IFERROR(INDEX('Ashed teabags wet'!$K$2:$K$2000,MATCH(I370,'Ashed teabags wet'!$A$2:$A$2000,0)),"")</f>
        <v>3.5363457760311539</v>
      </c>
      <c r="Y370" s="194">
        <f t="shared" si="67"/>
        <v>0.70014656716417978</v>
      </c>
      <c r="Z370" s="194">
        <f t="shared" si="67"/>
        <v>1.4671157170923421</v>
      </c>
      <c r="AA370" s="194">
        <f t="shared" si="63"/>
        <v>0.59949647511533111</v>
      </c>
      <c r="AB370" s="194">
        <f t="shared" si="64"/>
        <v>0.39301906682145232</v>
      </c>
      <c r="AC370" s="194">
        <f t="shared" si="56"/>
        <v>0.74244485820531692</v>
      </c>
      <c r="AD370">
        <f t="shared" si="57"/>
        <v>51</v>
      </c>
      <c r="AE370" s="194">
        <f t="shared" si="65"/>
        <v>0.28800893691765894</v>
      </c>
      <c r="AF370" s="194">
        <f t="shared" si="66"/>
        <v>2.0885348193522491E-2</v>
      </c>
      <c r="AG370" s="252" t="str">
        <f>IF(ISNUMBER(SEARCH("C",'WetLitterbags placem_collection'!$Y77)),"YES","NO")</f>
        <v>NO</v>
      </c>
      <c r="AH370" s="252" t="str">
        <f>IF(ISNUMBER(SEARCH("H", 'WetLitterbags placem_collection'!$Y77)),"YES","NO")</f>
        <v>NO</v>
      </c>
      <c r="AI370" s="252" t="str">
        <f>IF(ISNUMBER(SEARCH("R", 'WetLitterbags placem_collection'!$Y77)),"YES","NO")</f>
        <v>NO</v>
      </c>
      <c r="AJ370" s="252" t="str">
        <f>IF(ISNUMBER(SEARCH("C", 'WetLitterbags placem_collection'!$W77)),"YES","NO")</f>
        <v>NO</v>
      </c>
      <c r="AK370" s="252" t="str">
        <f>IF(ISNUMBER(SEARCH("H", 'WetLitterbags placem_collection'!$W77)),"YES","NO")</f>
        <v>YES</v>
      </c>
      <c r="AL370" s="252" t="str">
        <f>IF(ISNUMBER(SEARCH("R", 'WetLitterbags placem_collection'!$W77)),"YES","NO")</f>
        <v>YES</v>
      </c>
    </row>
    <row r="371" spans="2:38">
      <c r="B371" t="str">
        <f>'Final data_for_R_analysis_Wetse'!A517</f>
        <v>Wet</v>
      </c>
      <c r="C371" s="260">
        <f>'Final data_for_R_analysis_Wetse'!B517</f>
        <v>76</v>
      </c>
      <c r="D371" t="s">
        <v>3812</v>
      </c>
      <c r="E371" t="s">
        <v>25</v>
      </c>
      <c r="F371" s="382">
        <v>4</v>
      </c>
      <c r="G371" s="16">
        <f>'WetLitterbags placem_collection'!E78</f>
        <v>42767</v>
      </c>
      <c r="H371" s="92" t="str">
        <f>'Final data_for_R_analysis_Wetse'!K517</f>
        <v>G603</v>
      </c>
      <c r="I371" t="str">
        <f>'Final data_for_R_analysis_Wetse'!K737</f>
        <v>R183</v>
      </c>
      <c r="J371">
        <f>IFERROR(INDEX('Green_rooibos initial weight'!$C$5:$C$2000,MATCH(H371, 'Green_rooibos initial weight'!$A$5:$A$2000,0)),"")</f>
        <v>2.0430000000000001</v>
      </c>
      <c r="K371">
        <f>IFERROR(INDEX('Green_rooibos initial weight'!$C$5:$C$2000,MATCH(I371, 'Green_rooibos initial weight'!$A$5:$A$2000,0)),"")</f>
        <v>2.262</v>
      </c>
      <c r="L371" s="194">
        <f t="shared" si="58"/>
        <v>1.7932000000000001</v>
      </c>
      <c r="M371" s="194">
        <f>AVERAGE(Ashed_controlls!$K$2:$K$11)</f>
        <v>5.5147656768714146</v>
      </c>
      <c r="N371" s="194">
        <f t="shared" si="55"/>
        <v>1.6943092218823419</v>
      </c>
      <c r="O371" s="194">
        <f t="shared" si="59"/>
        <v>2.0122</v>
      </c>
      <c r="P371" s="194">
        <f>AVERAGE(Ashed_controlls!$K$12:$K$14)</f>
        <v>2.2816647271287041</v>
      </c>
      <c r="Q371" s="194">
        <f t="shared" si="60"/>
        <v>1.9662883423607163</v>
      </c>
      <c r="R371" s="16">
        <f>IF('WetLitterbags placem_collection'!G78="","",'WetLitterbags placem_collection'!G78)</f>
        <v>42818</v>
      </c>
      <c r="S371" s="194">
        <f>IFERROR(INDEX('Both teabags AfterWet'!$C$3:$C$2000,MATCH(H371,'Both teabags AfterWet'!$A$3:$A$2000,0)),"")</f>
        <v>0.82299999999999995</v>
      </c>
      <c r="T371" s="194">
        <f>IFERROR(INDEX('Both teabags AfterWet'!$C$3:$C$2000,MATCH(I371,'Both teabags AfterWet'!$A$3:$A$2000,0)),"")</f>
        <v>1.7490000000000001</v>
      </c>
      <c r="U371" s="194">
        <f t="shared" si="61"/>
        <v>0.67239999999999989</v>
      </c>
      <c r="V371" s="194">
        <f t="shared" si="62"/>
        <v>1.5984</v>
      </c>
      <c r="W371" s="194">
        <f>IFERROR(INDEX('Ashed teabags wet'!$K$2:$K$2000,MATCH(H371,'Ashed teabags wet'!$A$2:$A$2000,0)),"")</f>
        <v>8.9330024813902469</v>
      </c>
      <c r="X371" s="237">
        <f>IFERROR(INDEX('Ashed teabags wet'!$K$2:$K$2000,MATCH(I371,'Ashed teabags wet'!$A$2:$A$2000,0)),"")</f>
        <v>2.262879152624262</v>
      </c>
      <c r="Y371" s="194">
        <f t="shared" si="67"/>
        <v>0.61233449131513185</v>
      </c>
      <c r="Z371" s="194">
        <f t="shared" si="67"/>
        <v>1.5622301396244538</v>
      </c>
      <c r="AA371" s="194">
        <f t="shared" si="63"/>
        <v>0.63859342591853385</v>
      </c>
      <c r="AB371" s="194">
        <f t="shared" si="64"/>
        <v>0.41865032197984647</v>
      </c>
      <c r="AC371" s="194">
        <f t="shared" si="56"/>
        <v>0.7945071462656631</v>
      </c>
      <c r="AD371">
        <f t="shared" si="57"/>
        <v>51</v>
      </c>
      <c r="AE371" s="194">
        <f t="shared" si="65"/>
        <v>0.24157550365969849</v>
      </c>
      <c r="AF371" s="194">
        <f t="shared" si="66"/>
        <v>1.3235388973182294E-2</v>
      </c>
      <c r="AG371" s="252" t="str">
        <f>IF(ISNUMBER(SEARCH("C",'WetLitterbags placem_collection'!$Y78)),"YES","NO")</f>
        <v>NO</v>
      </c>
      <c r="AH371" s="252" t="str">
        <f>IF(ISNUMBER(SEARCH("H", 'WetLitterbags placem_collection'!$Y78)),"YES","NO")</f>
        <v>NO</v>
      </c>
      <c r="AI371" s="252" t="str">
        <f>IF(ISNUMBER(SEARCH("R", 'WetLitterbags placem_collection'!$Y78)),"YES","NO")</f>
        <v>NO</v>
      </c>
      <c r="AJ371" s="252" t="str">
        <f>IF(ISNUMBER(SEARCH("C", 'WetLitterbags placem_collection'!$W78)),"YES","NO")</f>
        <v>NO</v>
      </c>
      <c r="AK371" s="252" t="str">
        <f>IF(ISNUMBER(SEARCH("H", 'WetLitterbags placem_collection'!$W78)),"YES","NO")</f>
        <v>YES</v>
      </c>
      <c r="AL371" s="252" t="str">
        <f>IF(ISNUMBER(SEARCH("R", 'WetLitterbags placem_collection'!$W78)),"YES","NO")</f>
        <v>NO</v>
      </c>
    </row>
    <row r="372" spans="2:38">
      <c r="B372" t="str">
        <f>'Final data_for_R_analysis_Wetse'!A518</f>
        <v>Wet</v>
      </c>
      <c r="C372" s="260">
        <f>'Final data_for_R_analysis_Wetse'!B518</f>
        <v>77</v>
      </c>
      <c r="D372" t="s">
        <v>3812</v>
      </c>
      <c r="E372" t="s">
        <v>25</v>
      </c>
      <c r="F372" s="382">
        <v>5</v>
      </c>
      <c r="G372" s="16">
        <f>'WetLitterbags placem_collection'!E79</f>
        <v>42767</v>
      </c>
      <c r="H372" s="92" t="str">
        <f>'Final data_for_R_analysis_Wetse'!K518</f>
        <v>G509</v>
      </c>
      <c r="I372" t="str">
        <f>'Final data_for_R_analysis_Wetse'!K738</f>
        <v>R228</v>
      </c>
      <c r="J372">
        <f>IFERROR(INDEX('Green_rooibos initial weight'!$C$5:$C$2000,MATCH(H372, 'Green_rooibos initial weight'!$A$5:$A$2000,0)),"")</f>
        <v>2.048</v>
      </c>
      <c r="K372">
        <f>IFERROR(INDEX('Green_rooibos initial weight'!$C$5:$C$2000,MATCH(I372, 'Green_rooibos initial weight'!$A$5:$A$2000,0)),"")</f>
        <v>2.2040000000000002</v>
      </c>
      <c r="L372" s="194">
        <f t="shared" si="58"/>
        <v>1.7982</v>
      </c>
      <c r="M372" s="194">
        <f>AVERAGE(Ashed_controlls!$K$2:$K$11)</f>
        <v>5.5147656768714146</v>
      </c>
      <c r="N372" s="194">
        <f t="shared" si="55"/>
        <v>1.6990334835984982</v>
      </c>
      <c r="O372" s="194">
        <f t="shared" si="59"/>
        <v>1.9542000000000002</v>
      </c>
      <c r="P372" s="194">
        <f>AVERAGE(Ashed_controlls!$K$12:$K$14)</f>
        <v>2.2816647271287041</v>
      </c>
      <c r="Q372" s="194">
        <f t="shared" si="60"/>
        <v>1.909611707902451</v>
      </c>
      <c r="R372" s="16">
        <f>IF('WetLitterbags placem_collection'!G79="","",'WetLitterbags placem_collection'!G79)</f>
        <v>42818</v>
      </c>
      <c r="S372" s="194">
        <f>IFERROR(INDEX('Both teabags AfterWet'!$C$3:$C$2000,MATCH(H372,'Both teabags AfterWet'!$A$3:$A$2000,0)),"")</f>
        <v>1.012</v>
      </c>
      <c r="T372" s="194">
        <f>IFERROR(INDEX('Both teabags AfterWet'!$C$3:$C$2000,MATCH(I372,'Both teabags AfterWet'!$A$3:$A$2000,0)),"")</f>
        <v>2.2429999999999999</v>
      </c>
      <c r="U372" s="194">
        <f t="shared" si="61"/>
        <v>0.86139999999999994</v>
      </c>
      <c r="V372" s="194">
        <f t="shared" si="62"/>
        <v>2.0924</v>
      </c>
      <c r="W372" s="194">
        <f>IFERROR(INDEX('Ashed teabags wet'!$K$2:$K$2000,MATCH(H372,'Ashed teabags wet'!$A$2:$A$2000,0)),"")</f>
        <v>0.1847000000000012</v>
      </c>
      <c r="X372" s="237">
        <f>IFERROR(INDEX('Ashed teabags wet'!$K$2:$K$2000,MATCH(I372,'Ashed teabags wet'!$A$2:$A$2000,0)),"")</f>
        <v>25.765054294176</v>
      </c>
      <c r="Y372" s="194">
        <f t="shared" si="67"/>
        <v>0.8598089941999999</v>
      </c>
      <c r="Z372" s="194">
        <f t="shared" si="67"/>
        <v>1.5532920039486613</v>
      </c>
      <c r="AA372" s="194">
        <f t="shared" si="63"/>
        <v>0.49394228983707122</v>
      </c>
      <c r="AB372" s="194">
        <f t="shared" si="64"/>
        <v>0.32381964844425576</v>
      </c>
      <c r="AC372" s="194">
        <f t="shared" si="56"/>
        <v>0.8134072479346196</v>
      </c>
      <c r="AD372">
        <f t="shared" si="57"/>
        <v>51</v>
      </c>
      <c r="AE372" s="194">
        <f t="shared" si="65"/>
        <v>0.41337020209373965</v>
      </c>
      <c r="AF372" s="194">
        <f t="shared" si="66"/>
        <v>1.6834333066283975E-2</v>
      </c>
      <c r="AG372" s="252" t="str">
        <f>IF(ISNUMBER(SEARCH("C",'WetLitterbags placem_collection'!$Y79)),"YES","NO")</f>
        <v>NO</v>
      </c>
      <c r="AH372" s="252" t="str">
        <f>IF(ISNUMBER(SEARCH("H", 'WetLitterbags placem_collection'!$Y79)),"YES","NO")</f>
        <v>NO</v>
      </c>
      <c r="AI372" s="252" t="str">
        <f>IF(ISNUMBER(SEARCH("R", 'WetLitterbags placem_collection'!$Y79)),"YES","NO")</f>
        <v>NO</v>
      </c>
      <c r="AJ372" s="252" t="str">
        <f>IF(ISNUMBER(SEARCH("C", 'WetLitterbags placem_collection'!$W79)),"YES","NO")</f>
        <v>NO</v>
      </c>
      <c r="AK372" s="252" t="str">
        <f>IF(ISNUMBER(SEARCH("H", 'WetLitterbags placem_collection'!$W79)),"YES","NO")</f>
        <v>NO</v>
      </c>
      <c r="AL372" s="252" t="str">
        <f>IF(ISNUMBER(SEARCH("R", 'WetLitterbags placem_collection'!$W79)),"YES","NO")</f>
        <v>YES</v>
      </c>
    </row>
    <row r="373" spans="2:38">
      <c r="B373" t="str">
        <f>'Final data_for_R_analysis_Wetse'!A519</f>
        <v>Wet</v>
      </c>
      <c r="C373" s="260">
        <f>'Final data_for_R_analysis_Wetse'!B519</f>
        <v>78</v>
      </c>
      <c r="D373" t="s">
        <v>3812</v>
      </c>
      <c r="E373" t="s">
        <v>25</v>
      </c>
      <c r="F373" s="382">
        <v>6</v>
      </c>
      <c r="G373" s="16">
        <f>'WetLitterbags placem_collection'!E80</f>
        <v>42767</v>
      </c>
      <c r="H373" s="92" t="str">
        <f>'Final data_for_R_analysis_Wetse'!K519</f>
        <v>G446</v>
      </c>
      <c r="I373" t="str">
        <f>'Final data_for_R_analysis_Wetse'!K739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58"/>
        <v>1.6821999999999999</v>
      </c>
      <c r="M373" s="194">
        <f>AVERAGE(Ashed_controlls!$K$2:$K$11)</f>
        <v>5.5147656768714146</v>
      </c>
      <c r="N373" s="194">
        <f t="shared" si="55"/>
        <v>1.589430611783669</v>
      </c>
      <c r="O373" s="194">
        <f t="shared" si="59"/>
        <v>2.0051999999999999</v>
      </c>
      <c r="P373" s="194">
        <f>AVERAGE(Ashed_controlls!$K$12:$K$14)</f>
        <v>2.2816647271287041</v>
      </c>
      <c r="Q373" s="194">
        <f t="shared" si="60"/>
        <v>1.959448058891615</v>
      </c>
      <c r="R373" s="16">
        <f>IF('WetLitterbags placem_collection'!G80="","",'WetLitterbags placem_collection'!G80)</f>
        <v>42818</v>
      </c>
      <c r="S373" s="194">
        <f>IFERROR(INDEX('Both teabags AfterWet'!$C$3:$C$2000,MATCH(H373,'Both teabags AfterWet'!$A$3:$A$2000,0)),"")</f>
        <v>0.77859999999999996</v>
      </c>
      <c r="T373" s="194">
        <f>IFERROR(INDEX('Both teabags AfterWet'!$C$3:$C$2000,MATCH(I373,'Both teabags AfterWet'!$A$3:$A$2000,0)),"")</f>
        <v>1.7222999999999999</v>
      </c>
      <c r="U373" s="194">
        <f t="shared" si="61"/>
        <v>0.62799999999999989</v>
      </c>
      <c r="V373" s="194">
        <f t="shared" si="62"/>
        <v>1.5716999999999999</v>
      </c>
      <c r="W373" s="194">
        <f>IFERROR(INDEX('Ashed teabags wet'!$K$2:$K$2000,MATCH(H373,'Ashed teabags wet'!$A$2:$A$2000,0)),"")</f>
        <v>9.6451774112936519</v>
      </c>
      <c r="X373" s="237">
        <f>IFERROR(INDEX('Ashed teabags wet'!$K$2:$K$2000,MATCH(I373,'Ashed teabags wet'!$A$2:$A$2000,0)),"")</f>
        <v>2.8361858190706335</v>
      </c>
      <c r="Y373" s="194">
        <f t="shared" si="67"/>
        <v>0.56742828585707572</v>
      </c>
      <c r="Z373" s="194">
        <f t="shared" si="67"/>
        <v>1.5271236674816668</v>
      </c>
      <c r="AA373" s="194">
        <f t="shared" si="63"/>
        <v>0.64299902012060528</v>
      </c>
      <c r="AB373" s="194">
        <f t="shared" si="64"/>
        <v>0.42153855000780777</v>
      </c>
      <c r="AC373" s="194">
        <f t="shared" si="56"/>
        <v>0.77936419929676648</v>
      </c>
      <c r="AD373">
        <f t="shared" si="57"/>
        <v>51</v>
      </c>
      <c r="AE373" s="194">
        <f t="shared" si="65"/>
        <v>0.23634320650759466</v>
      </c>
      <c r="AF373" s="194">
        <f t="shared" si="66"/>
        <v>1.4531181876179416E-2</v>
      </c>
      <c r="AG373" s="252" t="str">
        <f>IF(ISNUMBER(SEARCH("C",'WetLitterbags placem_collection'!$Y80)),"YES","NO")</f>
        <v>NO</v>
      </c>
      <c r="AH373" s="252" t="str">
        <f>IF(ISNUMBER(SEARCH("H", 'WetLitterbags placem_collection'!$Y80)),"YES","NO")</f>
        <v>NO</v>
      </c>
      <c r="AI373" s="252" t="str">
        <f>IF(ISNUMBER(SEARCH("R", 'WetLitterbags placem_collection'!$Y80)),"YES","NO")</f>
        <v>NO</v>
      </c>
      <c r="AJ373" s="252" t="str">
        <f>IF(ISNUMBER(SEARCH("C", 'WetLitterbags placem_collection'!$W80)),"YES","NO")</f>
        <v>NO</v>
      </c>
      <c r="AK373" s="252" t="str">
        <f>IF(ISNUMBER(SEARCH("H", 'WetLitterbags placem_collection'!$W80)),"YES","NO")</f>
        <v>NO</v>
      </c>
      <c r="AL373" s="252" t="str">
        <f>IF(ISNUMBER(SEARCH("R", 'WetLitterbags placem_collection'!$W80)),"YES","NO")</f>
        <v>YES</v>
      </c>
    </row>
    <row r="374" spans="2:38">
      <c r="B374" t="str">
        <f>'Final data_for_R_analysis_Wetse'!A520</f>
        <v>Wet</v>
      </c>
      <c r="C374" s="260">
        <f>'Final data_for_R_analysis_Wetse'!B520</f>
        <v>79</v>
      </c>
      <c r="D374" t="s">
        <v>3812</v>
      </c>
      <c r="E374" t="s">
        <v>25</v>
      </c>
      <c r="F374" s="382">
        <v>7</v>
      </c>
      <c r="G374" s="16">
        <f>'WetLitterbags placem_collection'!E81</f>
        <v>42767</v>
      </c>
      <c r="H374" s="92" t="str">
        <f>'Final data_for_R_analysis_Wetse'!K520</f>
        <v>G249</v>
      </c>
      <c r="I374" t="str">
        <f>'Final data_for_R_analysis_Wetse'!K740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58"/>
        <v>1.7721999999999998</v>
      </c>
      <c r="M374" s="194">
        <f>AVERAGE(Ashed_controlls!$K$2:$K$11)</f>
        <v>5.5147656768714146</v>
      </c>
      <c r="N374" s="194">
        <f t="shared" si="55"/>
        <v>1.6744673226744846</v>
      </c>
      <c r="O374" s="194">
        <f t="shared" si="59"/>
        <v>1.9331999999999998</v>
      </c>
      <c r="P374" s="194">
        <f>AVERAGE(Ashed_controlls!$K$12:$K$14)</f>
        <v>2.2816647271287041</v>
      </c>
      <c r="Q374" s="194">
        <f t="shared" si="60"/>
        <v>1.8890908574951477</v>
      </c>
      <c r="R374" s="16">
        <f>IF('WetLitterbags placem_collection'!G81="","",'WetLitterbags placem_collection'!G81)</f>
        <v>42818</v>
      </c>
      <c r="S374" s="194">
        <f>IFERROR(INDEX('Both teabags AfterWet'!$C$3:$C$2000,MATCH(H374,'Both teabags AfterWet'!$A$3:$A$2000,0)),"")</f>
        <v>0.97550000000000003</v>
      </c>
      <c r="T374" s="194">
        <f>IFERROR(INDEX('Both teabags AfterWet'!$C$3:$C$2000,MATCH(I374,'Both teabags AfterWet'!$A$3:$A$2000,0)),"")</f>
        <v>1.6438999999999999</v>
      </c>
      <c r="U374" s="194">
        <f t="shared" si="61"/>
        <v>0.82489999999999997</v>
      </c>
      <c r="V374" s="194">
        <f t="shared" si="62"/>
        <v>1.4932999999999998</v>
      </c>
      <c r="W374" s="194">
        <f>IFERROR(INDEX('Ashed teabags wet'!$K$2:$K$2000,MATCH(H374,'Ashed teabags wet'!$A$2:$A$2000,0)),"")</f>
        <v>18.702865761691211</v>
      </c>
      <c r="X374" s="237">
        <f>IFERROR(INDEX('Ashed teabags wet'!$K$2:$K$2000,MATCH(I374,'Ashed teabags wet'!$A$2:$A$2000,0)),"")</f>
        <v>1.8838304552590228</v>
      </c>
      <c r="Y374" s="194">
        <f t="shared" si="67"/>
        <v>0.6706200603318091</v>
      </c>
      <c r="Z374" s="194">
        <f t="shared" si="67"/>
        <v>1.4651687598116168</v>
      </c>
      <c r="AA374" s="194">
        <f t="shared" si="63"/>
        <v>0.59950244997275637</v>
      </c>
      <c r="AB374" s="194">
        <f t="shared" si="64"/>
        <v>0.39302298383012063</v>
      </c>
      <c r="AC374" s="194">
        <f t="shared" si="56"/>
        <v>0.77559464861016092</v>
      </c>
      <c r="AD374">
        <f t="shared" si="57"/>
        <v>51</v>
      </c>
      <c r="AE374" s="194">
        <f t="shared" si="65"/>
        <v>0.28800184088746272</v>
      </c>
      <c r="AF374" s="194">
        <f t="shared" si="66"/>
        <v>1.6592832776307225E-2</v>
      </c>
      <c r="AG374" s="252" t="str">
        <f>IF(ISNUMBER(SEARCH("C",'WetLitterbags placem_collection'!$Y81)),"YES","NO")</f>
        <v>NO</v>
      </c>
      <c r="AH374" s="252" t="str">
        <f>IF(ISNUMBER(SEARCH("H", 'WetLitterbags placem_collection'!$Y81)),"YES","NO")</f>
        <v>NO</v>
      </c>
      <c r="AI374" s="252" t="str">
        <f>IF(ISNUMBER(SEARCH("R", 'WetLitterbags placem_collection'!$Y81)),"YES","NO")</f>
        <v>NO</v>
      </c>
      <c r="AJ374" s="252" t="str">
        <f>IF(ISNUMBER(SEARCH("C", 'WetLitterbags placem_collection'!$W81)),"YES","NO")</f>
        <v>NO</v>
      </c>
      <c r="AK374" s="252" t="str">
        <f>IF(ISNUMBER(SEARCH("H", 'WetLitterbags placem_collection'!$W81)),"YES","NO")</f>
        <v>NO</v>
      </c>
      <c r="AL374" s="252" t="str">
        <f>IF(ISNUMBER(SEARCH("R", 'WetLitterbags placem_collection'!$W81)),"YES","NO")</f>
        <v>YES</v>
      </c>
    </row>
    <row r="375" spans="2:38">
      <c r="B375" t="str">
        <f>'Final data_for_R_analysis_Wetse'!A521</f>
        <v>Wet</v>
      </c>
      <c r="C375" s="260">
        <f>'Final data_for_R_analysis_Wetse'!B521</f>
        <v>80</v>
      </c>
      <c r="D375" t="s">
        <v>3812</v>
      </c>
      <c r="E375" t="s">
        <v>25</v>
      </c>
      <c r="F375" s="382">
        <v>8</v>
      </c>
      <c r="G375" s="16">
        <f>'WetLitterbags placem_collection'!E82</f>
        <v>42767</v>
      </c>
      <c r="H375" s="92" t="str">
        <f>'Final data_for_R_analysis_Wetse'!K521</f>
        <v>G474</v>
      </c>
      <c r="I375" t="str">
        <f>'Final data_for_R_analysis_Wetse'!K741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58"/>
        <v>1.9432</v>
      </c>
      <c r="M375" s="194">
        <f>AVERAGE(Ashed_controlls!$K$2:$K$11)</f>
        <v>5.5147656768714146</v>
      </c>
      <c r="N375" s="194">
        <f t="shared" si="55"/>
        <v>1.8360370733670348</v>
      </c>
      <c r="O375" s="194">
        <f t="shared" si="59"/>
        <v>1.9872000000000001</v>
      </c>
      <c r="P375" s="194">
        <f>AVERAGE(Ashed_controlls!$K$12:$K$14)</f>
        <v>2.2816647271287041</v>
      </c>
      <c r="Q375" s="194">
        <f t="shared" si="60"/>
        <v>1.9418587585424985</v>
      </c>
      <c r="R375" s="16">
        <f>IF('WetLitterbags placem_collection'!G82="","",'WetLitterbags placem_collection'!G82)</f>
        <v>42818</v>
      </c>
      <c r="S375" s="194">
        <f>IFERROR(INDEX('Both teabags AfterWet'!$C$3:$C$2000,MATCH(H375,'Both teabags AfterWet'!$A$3:$A$2000,0)),"")</f>
        <v>1.0009999999999999</v>
      </c>
      <c r="T375" s="194">
        <f>IFERROR(INDEX('Both teabags AfterWet'!$C$3:$C$2000,MATCH(I375,'Both teabags AfterWet'!$A$3:$A$2000,0)),"")</f>
        <v>1.639</v>
      </c>
      <c r="U375" s="194">
        <f t="shared" si="61"/>
        <v>0.85039999999999982</v>
      </c>
      <c r="V375" s="194">
        <f t="shared" si="62"/>
        <v>1.4883999999999999</v>
      </c>
      <c r="W375" s="194">
        <f>IFERROR(INDEX('Ashed teabags wet'!$K$2:$K$2000,MATCH(H375,'Ashed teabags wet'!$A$2:$A$2000,0)),"")</f>
        <v>5.8354114713218834</v>
      </c>
      <c r="X375" s="237">
        <f>IFERROR(INDEX('Ashed teabags wet'!$K$2:$K$2000,MATCH(I375,'Ashed teabags wet'!$A$2:$A$2000,0)),"")</f>
        <v>10.359922178988159</v>
      </c>
      <c r="Y375" s="194">
        <f t="shared" si="67"/>
        <v>0.80077566084787855</v>
      </c>
      <c r="Z375" s="194">
        <f t="shared" si="67"/>
        <v>1.3342029182879402</v>
      </c>
      <c r="AA375" s="194">
        <f t="shared" si="63"/>
        <v>0.56385648608970174</v>
      </c>
      <c r="AB375" s="194">
        <f t="shared" si="64"/>
        <v>0.3696541333984743</v>
      </c>
      <c r="AC375" s="194">
        <f t="shared" si="56"/>
        <v>0.68707516054841877</v>
      </c>
      <c r="AD375">
        <f t="shared" si="57"/>
        <v>51</v>
      </c>
      <c r="AE375" s="194">
        <f t="shared" si="65"/>
        <v>0.33033671485783644</v>
      </c>
      <c r="AF375" s="194">
        <f t="shared" si="66"/>
        <v>3.6750530754018282E-2</v>
      </c>
      <c r="AG375" s="252" t="str">
        <f>IF(ISNUMBER(SEARCH("C",'WetLitterbags placem_collection'!$Y82)),"YES","NO")</f>
        <v>NO</v>
      </c>
      <c r="AH375" s="252" t="str">
        <f>IF(ISNUMBER(SEARCH("H", 'WetLitterbags placem_collection'!$Y82)),"YES","NO")</f>
        <v>NO</v>
      </c>
      <c r="AI375" s="252" t="str">
        <f>IF(ISNUMBER(SEARCH("R", 'WetLitterbags placem_collection'!$Y82)),"YES","NO")</f>
        <v>NO</v>
      </c>
      <c r="AJ375" s="252" t="str">
        <f>IF(ISNUMBER(SEARCH("C", 'WetLitterbags placem_collection'!$W82)),"YES","NO")</f>
        <v>NO</v>
      </c>
      <c r="AK375" s="252" t="str">
        <f>IF(ISNUMBER(SEARCH("H", 'WetLitterbags placem_collection'!$W82)),"YES","NO")</f>
        <v>YES</v>
      </c>
      <c r="AL375" s="252" t="str">
        <f>IF(ISNUMBER(SEARCH("R", 'WetLitterbags placem_collection'!$W82)),"YES","NO")</f>
        <v>NO</v>
      </c>
    </row>
    <row r="376" spans="2:38">
      <c r="B376" t="str">
        <f>'Final data_for_R_analysis_Wetse'!A522</f>
        <v>Wet</v>
      </c>
      <c r="C376" s="260">
        <f>'Final data_for_R_analysis_Wetse'!B522</f>
        <v>81</v>
      </c>
      <c r="D376" t="s">
        <v>3813</v>
      </c>
      <c r="E376" t="s">
        <v>25</v>
      </c>
      <c r="F376" s="381">
        <v>1</v>
      </c>
      <c r="G376" s="16">
        <f>'WetLitterbags placem_collection'!E83</f>
        <v>42767</v>
      </c>
      <c r="H376" s="92" t="str">
        <f>'Final data_for_R_analysis_Wetse'!K522</f>
        <v>G475</v>
      </c>
      <c r="I376" t="str">
        <f>'Final data_for_R_analysis_Wetse'!K742</f>
        <v>R293</v>
      </c>
      <c r="J376">
        <f>IFERROR(INDEX('Green_rooibos initial weight'!$C$5:$C$2000,MATCH(H376, 'Green_rooibos initial weight'!$A$5:$A$2000,0)),"")</f>
        <v>2.0110000000000001</v>
      </c>
      <c r="K376">
        <f>IFERROR(INDEX('Green_rooibos initial weight'!$C$5:$C$2000,MATCH(I376, 'Green_rooibos initial weight'!$A$5:$A$2000,0)),"")</f>
        <v>2.165</v>
      </c>
      <c r="L376" s="194">
        <f t="shared" si="58"/>
        <v>1.7612000000000001</v>
      </c>
      <c r="M376" s="194">
        <f>AVERAGE(Ashed_controlls!$K$2:$K$11)</f>
        <v>5.5147656768714146</v>
      </c>
      <c r="N376" s="194">
        <f t="shared" si="55"/>
        <v>1.6640739468989407</v>
      </c>
      <c r="O376" s="194">
        <f t="shared" si="59"/>
        <v>1.9152</v>
      </c>
      <c r="P376" s="194">
        <f>AVERAGE(Ashed_controlls!$K$12:$K$14)</f>
        <v>2.2816647271287041</v>
      </c>
      <c r="Q376" s="194">
        <f t="shared" si="60"/>
        <v>1.8715015571460312</v>
      </c>
      <c r="R376" s="16">
        <f>IF('WetLitterbags placem_collection'!G83="","",'WetLitterbags placem_collection'!G83)</f>
        <v>42818</v>
      </c>
      <c r="S376" s="194">
        <f>IFERROR(INDEX('Both teabags AfterWet'!$C$3:$C$2000,MATCH(H376,'Both teabags AfterWet'!$A$3:$A$2000,0)),"")</f>
        <v>0.65200000000000002</v>
      </c>
      <c r="T376" s="194">
        <f>IFERROR(INDEX('Both teabags AfterWet'!$C$3:$C$2000,MATCH(I376,'Both teabags AfterWet'!$A$3:$A$2000,0)),"")</f>
        <v>1.736</v>
      </c>
      <c r="U376" s="194">
        <f t="shared" si="61"/>
        <v>0.50140000000000007</v>
      </c>
      <c r="V376" s="194">
        <f t="shared" si="62"/>
        <v>1.5853999999999999</v>
      </c>
      <c r="W376" s="194">
        <f>IFERROR(INDEX('Ashed teabags wet'!$K$2:$K$2000,MATCH(H376,'Ashed teabags wet'!$A$2:$A$2000,0)),"")</f>
        <v>11.582626060908067</v>
      </c>
      <c r="X376" s="237">
        <f>IFERROR(INDEX('Ashed teabags wet'!$K$2:$K$2000,MATCH(I376,'Ashed teabags wet'!$A$2:$A$2000,0)),"")</f>
        <v>2.1037181996090717</v>
      </c>
      <c r="Y376" s="194">
        <f t="shared" si="67"/>
        <v>0.44332471293060699</v>
      </c>
      <c r="Z376" s="194">
        <f t="shared" si="67"/>
        <v>1.5520476516633976</v>
      </c>
      <c r="AA376" s="194">
        <f t="shared" si="63"/>
        <v>0.73359073750492998</v>
      </c>
      <c r="AB376" s="194">
        <f t="shared" si="64"/>
        <v>0.48092884454004914</v>
      </c>
      <c r="AC376" s="194">
        <f t="shared" si="56"/>
        <v>0.82930609688095125</v>
      </c>
      <c r="AD376">
        <f t="shared" si="57"/>
        <v>51</v>
      </c>
      <c r="AE376" s="194">
        <f t="shared" si="65"/>
        <v>0.12875209322454872</v>
      </c>
      <c r="AF376" s="194">
        <f t="shared" si="66"/>
        <v>8.5958713887327905E-3</v>
      </c>
      <c r="AG376" s="252" t="str">
        <f>IF(ISNUMBER(SEARCH("C",'WetLitterbags placem_collection'!$Y83)),"YES","NO")</f>
        <v>NO</v>
      </c>
      <c r="AH376" s="252" t="str">
        <f>IF(ISNUMBER(SEARCH("H", 'WetLitterbags placem_collection'!$Y83)),"YES","NO")</f>
        <v>NO</v>
      </c>
      <c r="AI376" s="252" t="str">
        <f>IF(ISNUMBER(SEARCH("R", 'WetLitterbags placem_collection'!$Y83)),"YES","NO")</f>
        <v>YES</v>
      </c>
      <c r="AJ376" s="252" t="str">
        <f>IF(ISNUMBER(SEARCH("C", 'WetLitterbags placem_collection'!$W83)),"YES","NO")</f>
        <v>NO</v>
      </c>
      <c r="AK376" s="252" t="str">
        <f>IF(ISNUMBER(SEARCH("H", 'WetLitterbags placem_collection'!$W83)),"YES","NO")</f>
        <v>NO</v>
      </c>
      <c r="AL376" s="252" t="str">
        <f>IF(ISNUMBER(SEARCH("R", 'WetLitterbags placem_collection'!$W83)),"YES","NO")</f>
        <v>NO</v>
      </c>
    </row>
    <row r="377" spans="2:38">
      <c r="B377" t="str">
        <f>'Final data_for_R_analysis_Wetse'!A523</f>
        <v>Wet</v>
      </c>
      <c r="C377" s="260">
        <f>'Final data_for_R_analysis_Wetse'!B523</f>
        <v>82</v>
      </c>
      <c r="D377" t="s">
        <v>3813</v>
      </c>
      <c r="E377" t="s">
        <v>25</v>
      </c>
      <c r="F377" s="381">
        <v>2</v>
      </c>
      <c r="G377" s="16">
        <f>'WetLitterbags placem_collection'!E84</f>
        <v>42767</v>
      </c>
      <c r="H377" s="92" t="str">
        <f>'Final data_for_R_analysis_Wetse'!K523</f>
        <v>G840</v>
      </c>
      <c r="I377" t="str">
        <f>'Final data_for_R_analysis_Wetse'!K743</f>
        <v>R368</v>
      </c>
      <c r="J377">
        <f>IFERROR(INDEX('Green_rooibos initial weight'!$C$5:$C$2000,MATCH(H377, 'Green_rooibos initial weight'!$A$5:$A$2000,0)),"")</f>
        <v>2.056</v>
      </c>
      <c r="K377">
        <f>IFERROR(INDEX('Green_rooibos initial weight'!$C$5:$C$2000,MATCH(I377, 'Green_rooibos initial weight'!$A$5:$A$2000,0)),"")</f>
        <v>2.2549999999999999</v>
      </c>
      <c r="L377" s="194">
        <f t="shared" si="58"/>
        <v>1.8062</v>
      </c>
      <c r="M377" s="194">
        <f>AVERAGE(Ashed_controlls!$K$2:$K$11)</f>
        <v>5.5147656768714146</v>
      </c>
      <c r="N377" s="194">
        <f t="shared" si="55"/>
        <v>1.7065923023443486</v>
      </c>
      <c r="O377" s="194">
        <f t="shared" si="59"/>
        <v>2.0051999999999999</v>
      </c>
      <c r="P377" s="194">
        <f>AVERAGE(Ashed_controlls!$K$12:$K$14)</f>
        <v>2.2816647271287041</v>
      </c>
      <c r="Q377" s="194">
        <f t="shared" si="60"/>
        <v>1.959448058891615</v>
      </c>
      <c r="R377" s="16">
        <f>IF('WetLitterbags placem_collection'!G84="","",'WetLitterbags placem_collection'!G84)</f>
        <v>42819</v>
      </c>
      <c r="S377" s="194">
        <f>IFERROR(INDEX('Both teabags AfterWet'!$C$3:$C$2000,MATCH(H377,'Both teabags AfterWet'!$A$3:$A$2000,0)),"")</f>
        <v>0.74299999999999999</v>
      </c>
      <c r="T377" s="194">
        <f>IFERROR(INDEX('Both teabags AfterWet'!$C$3:$C$2000,MATCH(I377,'Both teabags AfterWet'!$A$3:$A$2000,0)),"")</f>
        <v>1.704</v>
      </c>
      <c r="U377" s="194">
        <f t="shared" si="61"/>
        <v>0.59240000000000004</v>
      </c>
      <c r="V377" s="194">
        <f t="shared" si="62"/>
        <v>1.5533999999999999</v>
      </c>
      <c r="W377" s="194">
        <f>IFERROR(INDEX('Ashed teabags wet'!$K$2:$K$2000,MATCH(H377,'Ashed teabags wet'!$A$2:$A$2000,0)),"")</f>
        <v>8.3909180651525794</v>
      </c>
      <c r="X377" s="237">
        <f>IFERROR(INDEX('Ashed teabags wet'!$K$2:$K$2000,MATCH(I377,'Ashed teabags wet'!$A$2:$A$2000,0)),"")</f>
        <v>4.0756914119362859</v>
      </c>
      <c r="Y377" s="194">
        <f t="shared" si="67"/>
        <v>0.54269220138203611</v>
      </c>
      <c r="Z377" s="194">
        <f t="shared" si="67"/>
        <v>1.4900882096069816</v>
      </c>
      <c r="AA377" s="194">
        <f t="shared" si="63"/>
        <v>0.68200243219394641</v>
      </c>
      <c r="AB377" s="194">
        <f t="shared" si="64"/>
        <v>0.44710848286348986</v>
      </c>
      <c r="AC377" s="194">
        <f t="shared" si="56"/>
        <v>0.7604632349631496</v>
      </c>
      <c r="AD377">
        <f t="shared" si="57"/>
        <v>52</v>
      </c>
      <c r="AE377" s="194">
        <f t="shared" si="65"/>
        <v>0.1900208643777358</v>
      </c>
      <c r="AF377" s="194">
        <f t="shared" si="66"/>
        <v>1.4756237463525721E-2</v>
      </c>
      <c r="AG377" s="252" t="str">
        <f>IF(ISNUMBER(SEARCH("C",'WetLitterbags placem_collection'!$Y84)),"YES","NO")</f>
        <v>NO</v>
      </c>
      <c r="AH377" s="252" t="str">
        <f>IF(ISNUMBER(SEARCH("H", 'WetLitterbags placem_collection'!$Y84)),"YES","NO")</f>
        <v>NO</v>
      </c>
      <c r="AI377" s="252" t="str">
        <f>IF(ISNUMBER(SEARCH("R", 'WetLitterbags placem_collection'!$Y84)),"YES","NO")</f>
        <v>NO</v>
      </c>
      <c r="AJ377" s="252" t="str">
        <f>IF(ISNUMBER(SEARCH("C", 'WetLitterbags placem_collection'!$W84)),"YES","NO")</f>
        <v>NO</v>
      </c>
      <c r="AK377" s="252" t="str">
        <f>IF(ISNUMBER(SEARCH("H", 'WetLitterbags placem_collection'!$W84)),"YES","NO")</f>
        <v>YES</v>
      </c>
      <c r="AL377" s="252" t="str">
        <f>IF(ISNUMBER(SEARCH("R", 'WetLitterbags placem_collection'!$W84)),"YES","NO")</f>
        <v>YES</v>
      </c>
    </row>
    <row r="378" spans="2:38">
      <c r="B378" t="str">
        <f>'Final data_for_R_analysis_Wetse'!A524</f>
        <v>Wet</v>
      </c>
      <c r="C378" s="260">
        <f>'Final data_for_R_analysis_Wetse'!B524</f>
        <v>83</v>
      </c>
      <c r="D378" t="s">
        <v>3813</v>
      </c>
      <c r="E378" t="s">
        <v>25</v>
      </c>
      <c r="F378" s="381">
        <v>3</v>
      </c>
      <c r="G378" s="16">
        <f>'WetLitterbags placem_collection'!E85</f>
        <v>42767</v>
      </c>
      <c r="H378" s="92" t="str">
        <f>'Final data_for_R_analysis_Wetse'!K524</f>
        <v>G298</v>
      </c>
      <c r="I378" t="str">
        <f>'Final data_for_R_analysis_Wetse'!K744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58"/>
        <v>1.8052000000000001</v>
      </c>
      <c r="M378" s="194">
        <f>AVERAGE(Ashed_controlls!$K$2:$K$11)</f>
        <v>5.5147656768714146</v>
      </c>
      <c r="N378" s="194">
        <f t="shared" si="55"/>
        <v>1.7056474500011174</v>
      </c>
      <c r="O378" s="194">
        <f t="shared" si="59"/>
        <v>1.8092000000000001</v>
      </c>
      <c r="P378" s="194">
        <f>AVERAGE(Ashed_controlls!$K$12:$K$14)</f>
        <v>2.2816647271287041</v>
      </c>
      <c r="Q378" s="194">
        <f t="shared" si="60"/>
        <v>1.7679201217567877</v>
      </c>
      <c r="R378" s="16">
        <f>IF('WetLitterbags placem_collection'!G85="","",'WetLitterbags placem_collection'!G85)</f>
        <v>42819</v>
      </c>
      <c r="S378" s="194">
        <f>IFERROR(INDEX('Both teabags AfterWet'!$C$3:$C$2000,MATCH(H378,'Both teabags AfterWet'!$A$3:$A$2000,0)),"")</f>
        <v>0.88800000000000001</v>
      </c>
      <c r="T378" s="194">
        <f>IFERROR(INDEX('Both teabags AfterWet'!$C$3:$C$2000,MATCH(I378,'Both teabags AfterWet'!$A$3:$A$2000,0)),"")</f>
        <v>1.637</v>
      </c>
      <c r="U378" s="194">
        <f t="shared" si="61"/>
        <v>0.73740000000000006</v>
      </c>
      <c r="V378" s="194">
        <f t="shared" si="62"/>
        <v>1.4863999999999999</v>
      </c>
      <c r="W378" s="194">
        <f>IFERROR(INDEX('Ashed teabags wet'!$K$2:$K$2000,MATCH(H378,'Ashed teabags wet'!$A$2:$A$2000,0)),"")</f>
        <v>14.849074975657658</v>
      </c>
      <c r="X378" s="237">
        <f>IFERROR(INDEX('Ashed teabags wet'!$K$2:$K$2000,MATCH(I378,'Ashed teabags wet'!$A$2:$A$2000,0)),"")</f>
        <v>7.3339940535177606</v>
      </c>
      <c r="Y378" s="194">
        <f t="shared" si="67"/>
        <v>0.62790292112950041</v>
      </c>
      <c r="Z378" s="194">
        <f t="shared" si="67"/>
        <v>1.377387512388512</v>
      </c>
      <c r="AA378" s="194">
        <f t="shared" si="63"/>
        <v>0.6318682848972752</v>
      </c>
      <c r="AB378" s="194">
        <f t="shared" si="64"/>
        <v>0.41424144093028026</v>
      </c>
      <c r="AC378" s="194">
        <f t="shared" si="56"/>
        <v>0.77910053482495445</v>
      </c>
      <c r="AD378">
        <f t="shared" si="57"/>
        <v>52</v>
      </c>
      <c r="AE378" s="194">
        <f t="shared" si="65"/>
        <v>0.24956260701036193</v>
      </c>
      <c r="AF378" s="194">
        <f t="shared" si="66"/>
        <v>1.4653624585251792E-2</v>
      </c>
      <c r="AG378" s="252" t="str">
        <f>IF(ISNUMBER(SEARCH("C",'WetLitterbags placem_collection'!$Y85)),"YES","NO")</f>
        <v>NO</v>
      </c>
      <c r="AH378" s="252" t="str">
        <f>IF(ISNUMBER(SEARCH("H", 'WetLitterbags placem_collection'!$Y85)),"YES","NO")</f>
        <v>NO</v>
      </c>
      <c r="AI378" s="252" t="str">
        <f>IF(ISNUMBER(SEARCH("R", 'WetLitterbags placem_collection'!$Y85)),"YES","NO")</f>
        <v>NO</v>
      </c>
      <c r="AJ378" s="252" t="str">
        <f>IF(ISNUMBER(SEARCH("C", 'WetLitterbags placem_collection'!$W85)),"YES","NO")</f>
        <v>NO</v>
      </c>
      <c r="AK378" s="252" t="str">
        <f>IF(ISNUMBER(SEARCH("H", 'WetLitterbags placem_collection'!$W85)),"YES","NO")</f>
        <v>YES</v>
      </c>
      <c r="AL378" s="252" t="str">
        <f>IF(ISNUMBER(SEARCH("R", 'WetLitterbags placem_collection'!$W85)),"YES","NO")</f>
        <v>NO</v>
      </c>
    </row>
    <row r="379" spans="2:38">
      <c r="B379" t="str">
        <f>'Final data_for_R_analysis_Wetse'!A525</f>
        <v>Wet</v>
      </c>
      <c r="C379" s="260">
        <f>'Final data_for_R_analysis_Wetse'!B525</f>
        <v>84</v>
      </c>
      <c r="D379" t="s">
        <v>3813</v>
      </c>
      <c r="E379" t="s">
        <v>25</v>
      </c>
      <c r="F379" s="382">
        <v>4</v>
      </c>
      <c r="G379" s="16">
        <f>'WetLitterbags placem_collection'!E86</f>
        <v>42767</v>
      </c>
      <c r="H379" s="92" t="str">
        <f>'Final data_for_R_analysis_Wetse'!K525</f>
        <v>G520</v>
      </c>
      <c r="I379" t="str">
        <f>'Final data_for_R_analysis_Wetse'!K745</f>
        <v>R417</v>
      </c>
      <c r="J379">
        <f>IFERROR(INDEX('Green_rooibos initial weight'!$C$5:$C$2000,MATCH(H379, 'Green_rooibos initial weight'!$A$5:$A$2000,0)),"")</f>
        <v>1.929</v>
      </c>
      <c r="K379">
        <f>IFERROR(INDEX('Green_rooibos initial weight'!$C$5:$C$2000,MATCH(I379, 'Green_rooibos initial weight'!$A$5:$A$2000,0)),"")</f>
        <v>2.2269999999999999</v>
      </c>
      <c r="L379" s="194">
        <f t="shared" si="58"/>
        <v>1.6792</v>
      </c>
      <c r="M379" s="194">
        <f>AVERAGE(Ashed_controlls!$K$2:$K$11)</f>
        <v>5.5147656768714146</v>
      </c>
      <c r="N379" s="194">
        <f t="shared" si="55"/>
        <v>1.5865960547539752</v>
      </c>
      <c r="O379" s="194">
        <f t="shared" si="59"/>
        <v>1.9771999999999998</v>
      </c>
      <c r="P379" s="194">
        <f>AVERAGE(Ashed_controlls!$K$12:$K$14)</f>
        <v>2.2816647271287041</v>
      </c>
      <c r="Q379" s="194">
        <f t="shared" si="60"/>
        <v>1.9320869250152111</v>
      </c>
      <c r="R379" s="16">
        <f>IF('WetLitterbags placem_collection'!G86="","",'WetLitterbags placem_collection'!G86)</f>
        <v>42819</v>
      </c>
      <c r="S379" s="194">
        <f>IFERROR(INDEX('Both teabags AfterWet'!$C$3:$C$2000,MATCH(H379,'Both teabags AfterWet'!$A$3:$A$2000,0)),"")</f>
        <v>0.81299999999999994</v>
      </c>
      <c r="T379" s="194">
        <f>IFERROR(INDEX('Both teabags AfterWet'!$C$3:$C$2000,MATCH(I379,'Both teabags AfterWet'!$A$3:$A$2000,0)),"")</f>
        <v>1.5820000000000001</v>
      </c>
      <c r="U379" s="194">
        <f t="shared" si="61"/>
        <v>0.66239999999999988</v>
      </c>
      <c r="V379" s="194">
        <f t="shared" si="62"/>
        <v>1.4314</v>
      </c>
      <c r="W379" s="194">
        <f>IFERROR(INDEX('Ashed teabags wet'!$K$2:$K$2000,MATCH(H379,'Ashed teabags wet'!$A$2:$A$2000,0)),"")</f>
        <v>10.723192019949995</v>
      </c>
      <c r="X379" s="237">
        <f>IFERROR(INDEX('Ashed teabags wet'!$K$2:$K$2000,MATCH(I379,'Ashed teabags wet'!$A$2:$A$2000,0)),"")</f>
        <v>7.3412698412690327</v>
      </c>
      <c r="Y379" s="194">
        <f t="shared" si="67"/>
        <v>0.59136957605985108</v>
      </c>
      <c r="Z379" s="194">
        <f t="shared" si="67"/>
        <v>1.3263170634920751</v>
      </c>
      <c r="AA379" s="194">
        <f t="shared" si="63"/>
        <v>0.62727149466437349</v>
      </c>
      <c r="AB379" s="194">
        <f t="shared" si="64"/>
        <v>0.41122786823602636</v>
      </c>
      <c r="AC379" s="194">
        <f t="shared" si="56"/>
        <v>0.68646862950104237</v>
      </c>
      <c r="AD379">
        <f t="shared" si="57"/>
        <v>52</v>
      </c>
      <c r="AE379" s="194">
        <f t="shared" si="65"/>
        <v>0.25502197783328562</v>
      </c>
      <c r="AF379" s="194">
        <f t="shared" si="66"/>
        <v>2.7640034105744286E-2</v>
      </c>
      <c r="AG379" s="252" t="str">
        <f>IF(ISNUMBER(SEARCH("C",'WetLitterbags placem_collection'!$Y86)),"YES","NO")</f>
        <v>NO</v>
      </c>
      <c r="AH379" s="252" t="str">
        <f>IF(ISNUMBER(SEARCH("H", 'WetLitterbags placem_collection'!$Y86)),"YES","NO")</f>
        <v>NO</v>
      </c>
      <c r="AI379" s="252" t="str">
        <f>IF(ISNUMBER(SEARCH("R", 'WetLitterbags placem_collection'!$Y86)),"YES","NO")</f>
        <v>YES</v>
      </c>
      <c r="AJ379" s="252" t="str">
        <f>IF(ISNUMBER(SEARCH("C", 'WetLitterbags placem_collection'!$W86)),"YES","NO")</f>
        <v>NO</v>
      </c>
      <c r="AK379" s="252" t="str">
        <f>IF(ISNUMBER(SEARCH("H", 'WetLitterbags placem_collection'!$W86)),"YES","NO")</f>
        <v>NO</v>
      </c>
      <c r="AL379" s="252" t="str">
        <f>IF(ISNUMBER(SEARCH("R", 'WetLitterbags placem_collection'!$W86)),"YES","NO")</f>
        <v>YES</v>
      </c>
    </row>
    <row r="380" spans="2:38">
      <c r="B380" t="str">
        <f>'Final data_for_R_analysis_Wetse'!A526</f>
        <v>Wet</v>
      </c>
      <c r="C380" s="260">
        <f>'Final data_for_R_analysis_Wetse'!B526</f>
        <v>85</v>
      </c>
      <c r="D380" t="s">
        <v>3813</v>
      </c>
      <c r="E380" t="s">
        <v>25</v>
      </c>
      <c r="F380" s="382">
        <v>5</v>
      </c>
      <c r="G380" s="16">
        <f>'WetLitterbags placem_collection'!E87</f>
        <v>42767</v>
      </c>
      <c r="H380" s="92" t="str">
        <f>'Final data_for_R_analysis_Wetse'!K526</f>
        <v>G441</v>
      </c>
      <c r="I380" t="str">
        <f>'Final data_for_R_analysis_Wetse'!K746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58"/>
        <v>1.8542000000000001</v>
      </c>
      <c r="M380" s="194">
        <f>AVERAGE(Ashed_controlls!$K$2:$K$11)</f>
        <v>5.5147656768714146</v>
      </c>
      <c r="N380" s="194">
        <f t="shared" si="55"/>
        <v>1.7519452148194503</v>
      </c>
      <c r="O380" s="194">
        <f t="shared" si="59"/>
        <v>1.9462000000000002</v>
      </c>
      <c r="P380" s="194">
        <f>AVERAGE(Ashed_controlls!$K$12:$K$14)</f>
        <v>2.2816647271287041</v>
      </c>
      <c r="Q380" s="194">
        <f t="shared" si="60"/>
        <v>1.9017942410806212</v>
      </c>
      <c r="R380" s="16">
        <f>IF('WetLitterbags placem_collection'!G87="","",'WetLitterbags placem_collection'!G87)</f>
        <v>42819</v>
      </c>
      <c r="S380" s="194">
        <f>IFERROR(INDEX('Both teabags AfterWet'!$C$3:$C$2000,MATCH(H380,'Both teabags AfterWet'!$A$3:$A$2000,0)),"")</f>
        <v>0.96599999999999997</v>
      </c>
      <c r="T380" s="194">
        <f>IFERROR(INDEX('Both teabags AfterWet'!$C$3:$C$2000,MATCH(I380,'Both teabags AfterWet'!$A$3:$A$2000,0)),"")</f>
        <v>1.6220000000000001</v>
      </c>
      <c r="U380" s="194">
        <f t="shared" si="61"/>
        <v>0.8153999999999999</v>
      </c>
      <c r="V380" s="194">
        <f t="shared" si="62"/>
        <v>1.4714</v>
      </c>
      <c r="W380" s="194">
        <f>IFERROR(INDEX('Ashed teabags wet'!$K$2:$K$2000,MATCH(H380,'Ashed teabags wet'!$A$2:$A$2000,0)),"")</f>
        <v>11.595639246779045</v>
      </c>
      <c r="X380" s="237">
        <f>IFERROR(INDEX('Ashed teabags wet'!$K$2:$K$2000,MATCH(I380,'Ashed teabags wet'!$A$2:$A$2000,0)),"")</f>
        <v>3.6463536463541599</v>
      </c>
      <c r="Y380" s="194">
        <f t="shared" si="67"/>
        <v>0.7208491575817636</v>
      </c>
      <c r="Z380" s="194">
        <f t="shared" si="67"/>
        <v>1.4177475524475449</v>
      </c>
      <c r="AA380" s="194">
        <f t="shared" si="63"/>
        <v>0.58854355062920627</v>
      </c>
      <c r="AB380" s="194">
        <f t="shared" si="64"/>
        <v>0.38583852725335138</v>
      </c>
      <c r="AC380" s="194">
        <f t="shared" si="56"/>
        <v>0.74547893869000492</v>
      </c>
      <c r="AD380">
        <f t="shared" si="57"/>
        <v>52</v>
      </c>
      <c r="AE380" s="194">
        <f t="shared" si="65"/>
        <v>0.30101716077291418</v>
      </c>
      <c r="AF380" s="194">
        <f t="shared" si="66"/>
        <v>2.0726945444708399E-2</v>
      </c>
      <c r="AG380" s="252" t="str">
        <f>IF(ISNUMBER(SEARCH("C",'WetLitterbags placem_collection'!$Y87)),"YES","NO")</f>
        <v>NO</v>
      </c>
      <c r="AH380" s="252" t="str">
        <f>IF(ISNUMBER(SEARCH("H", 'WetLitterbags placem_collection'!$Y87)),"YES","NO")</f>
        <v>NO</v>
      </c>
      <c r="AI380" s="252" t="str">
        <f>IF(ISNUMBER(SEARCH("R", 'WetLitterbags placem_collection'!$Y87)),"YES","NO")</f>
        <v>NO</v>
      </c>
      <c r="AJ380" s="252" t="str">
        <f>IF(ISNUMBER(SEARCH("C", 'WetLitterbags placem_collection'!$W87)),"YES","NO")</f>
        <v>YES</v>
      </c>
      <c r="AK380" s="252" t="str">
        <f>IF(ISNUMBER(SEARCH("H", 'WetLitterbags placem_collection'!$W87)),"YES","NO")</f>
        <v>YES</v>
      </c>
      <c r="AL380" s="252" t="str">
        <f>IF(ISNUMBER(SEARCH("R", 'WetLitterbags placem_collection'!$W87)),"YES","NO")</f>
        <v>YES</v>
      </c>
    </row>
    <row r="381" spans="2:38">
      <c r="B381" t="str">
        <f>'Final data_for_R_analysis_Wetse'!A527</f>
        <v>Wet</v>
      </c>
      <c r="C381" s="260">
        <f>'Final data_for_R_analysis_Wetse'!B527</f>
        <v>86</v>
      </c>
      <c r="D381" t="s">
        <v>3813</v>
      </c>
      <c r="E381" t="s">
        <v>25</v>
      </c>
      <c r="F381" s="382">
        <v>6</v>
      </c>
      <c r="G381" s="16">
        <f>'WetLitterbags placem_collection'!E88</f>
        <v>42767</v>
      </c>
      <c r="H381" s="92" t="str">
        <f>'Final data_for_R_analysis_Wetse'!K527</f>
        <v>G561</v>
      </c>
      <c r="I381" t="str">
        <f>'Final data_for_R_analysis_Wetse'!K747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58"/>
        <v>1.8761999999999999</v>
      </c>
      <c r="M381" s="194">
        <f>AVERAGE(Ashed_controlls!$K$2:$K$11)</f>
        <v>5.5147656768714146</v>
      </c>
      <c r="N381" s="194">
        <f t="shared" si="55"/>
        <v>1.7727319663705383</v>
      </c>
      <c r="O381" s="194">
        <f t="shared" si="59"/>
        <v>2.1162000000000001</v>
      </c>
      <c r="P381" s="194">
        <f>AVERAGE(Ashed_controlls!$K$12:$K$14)</f>
        <v>2.2816647271287041</v>
      </c>
      <c r="Q381" s="194">
        <f t="shared" si="60"/>
        <v>2.0679154110445026</v>
      </c>
      <c r="R381" s="16">
        <f>IF('WetLitterbags placem_collection'!G88="","",'WetLitterbags placem_collection'!G88)</f>
        <v>42819</v>
      </c>
      <c r="S381" s="194">
        <f>IFERROR(INDEX('Both teabags AfterWet'!$C$3:$C$2000,MATCH(H381,'Both teabags AfterWet'!$A$3:$A$2000,0)),"")</f>
        <v>0.74650000000000005</v>
      </c>
      <c r="T381" s="194">
        <f>IFERROR(INDEX('Both teabags AfterWet'!$C$3:$C$2000,MATCH(I381,'Both teabags AfterWet'!$A$3:$A$2000,0)),"")</f>
        <v>1.6786000000000001</v>
      </c>
      <c r="U381" s="194">
        <f t="shared" si="61"/>
        <v>0.5959000000000001</v>
      </c>
      <c r="V381" s="194">
        <f t="shared" si="62"/>
        <v>1.528</v>
      </c>
      <c r="W381" s="194">
        <f>IFERROR(INDEX('Ashed teabags wet'!$K$2:$K$2000,MATCH(H381,'Ashed teabags wet'!$A$2:$A$2000,0)),"")</f>
        <v>8.6978131212732563</v>
      </c>
      <c r="X381" s="237">
        <f>IFERROR(INDEX('Ashed teabags wet'!$K$2:$K$2000,MATCH(I381,'Ashed teabags wet'!$A$2:$A$2000,0)),"")</f>
        <v>28.338278931750832</v>
      </c>
      <c r="Y381" s="194">
        <f t="shared" si="67"/>
        <v>0.54406973161033279</v>
      </c>
      <c r="Z381" s="194">
        <f t="shared" si="67"/>
        <v>1.0949910979228474</v>
      </c>
      <c r="AA381" s="194">
        <f t="shared" si="63"/>
        <v>0.69308968195330056</v>
      </c>
      <c r="AB381" s="194">
        <f t="shared" si="64"/>
        <v>0.45437708365584556</v>
      </c>
      <c r="AC381" s="194">
        <f t="shared" si="56"/>
        <v>0.52951445309349876</v>
      </c>
      <c r="AD381">
        <f t="shared" si="57"/>
        <v>52</v>
      </c>
      <c r="AE381" s="194">
        <f t="shared" si="65"/>
        <v>0.17685310931912046</v>
      </c>
      <c r="AF381" s="194" t="str">
        <f t="shared" si="66"/>
        <v/>
      </c>
      <c r="AG381" s="252" t="str">
        <f>IF(ISNUMBER(SEARCH("C",'WetLitterbags placem_collection'!$Y88)),"YES","NO")</f>
        <v>NO</v>
      </c>
      <c r="AH381" s="252" t="str">
        <f>IF(ISNUMBER(SEARCH("H", 'WetLitterbags placem_collection'!$Y88)),"YES","NO")</f>
        <v>NO</v>
      </c>
      <c r="AI381" s="252" t="str">
        <f>IF(ISNUMBER(SEARCH("R", 'WetLitterbags placem_collection'!$Y88)),"YES","NO")</f>
        <v>NO</v>
      </c>
      <c r="AJ381" s="252" t="str">
        <f>IF(ISNUMBER(SEARCH("C", 'WetLitterbags placem_collection'!$W88)),"YES","NO")</f>
        <v>YES</v>
      </c>
      <c r="AK381" s="252" t="str">
        <f>IF(ISNUMBER(SEARCH("H", 'WetLitterbags placem_collection'!$W88)),"YES","NO")</f>
        <v>YES</v>
      </c>
      <c r="AL381" s="252" t="str">
        <f>IF(ISNUMBER(SEARCH("R", 'WetLitterbags placem_collection'!$W88)),"YES","NO")</f>
        <v>YES</v>
      </c>
    </row>
    <row r="382" spans="2:38">
      <c r="B382" t="str">
        <f>'Final data_for_R_analysis_Wetse'!A528</f>
        <v>Wet</v>
      </c>
      <c r="C382" s="260">
        <f>'Final data_for_R_analysis_Wetse'!B528</f>
        <v>87</v>
      </c>
      <c r="D382" t="s">
        <v>3813</v>
      </c>
      <c r="E382" t="s">
        <v>25</v>
      </c>
      <c r="F382" s="382">
        <v>7</v>
      </c>
      <c r="G382" s="16">
        <f>'WetLitterbags placem_collection'!E89</f>
        <v>42767</v>
      </c>
      <c r="H382" s="92" t="str">
        <f>'Final data_for_R_analysis_Wetse'!K528</f>
        <v>G632</v>
      </c>
      <c r="I382" t="str">
        <f>'Final data_for_R_analysis_Wetse'!K748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58"/>
        <v>1.8281999999999998</v>
      </c>
      <c r="M382" s="194">
        <f>AVERAGE(Ashed_controlls!$K$2:$K$11)</f>
        <v>5.5147656768714146</v>
      </c>
      <c r="N382" s="194">
        <f t="shared" si="55"/>
        <v>1.7273790538954366</v>
      </c>
      <c r="O382" s="194">
        <f t="shared" si="59"/>
        <v>1.9622000000000002</v>
      </c>
      <c r="P382" s="194">
        <f>AVERAGE(Ashed_controlls!$K$12:$K$14)</f>
        <v>2.2816647271287041</v>
      </c>
      <c r="Q382" s="194">
        <f t="shared" si="60"/>
        <v>1.9174291747242806</v>
      </c>
      <c r="R382" s="16">
        <f>IF('WetLitterbags placem_collection'!G89="","",'WetLitterbags placem_collection'!G89)</f>
        <v>42819</v>
      </c>
      <c r="S382" s="194">
        <f>IFERROR(INDEX('Both teabags AfterWet'!$C$3:$C$2000,MATCH(H382,'Both teabags AfterWet'!$A$3:$A$2000,0)),"")</f>
        <v>0.81640000000000001</v>
      </c>
      <c r="T382" s="194">
        <f>IFERROR(INDEX('Both teabags AfterWet'!$C$3:$C$2000,MATCH(I382,'Both teabags AfterWet'!$A$3:$A$2000,0)),"")</f>
        <v>1.7085999999999999</v>
      </c>
      <c r="U382" s="194">
        <f t="shared" si="61"/>
        <v>0.66579999999999995</v>
      </c>
      <c r="V382" s="194">
        <f t="shared" si="62"/>
        <v>1.5579999999999998</v>
      </c>
      <c r="W382" s="194">
        <f>IFERROR(INDEX('Ashed teabags wet'!$K$2:$K$2000,MATCH(H382,'Ashed teabags wet'!$A$2:$A$2000,0)),"")</f>
        <v>14.564493098524098</v>
      </c>
      <c r="X382" s="237">
        <f>IFERROR(INDEX('Ashed teabags wet'!$K$2:$K$2000,MATCH(I382,'Ashed teabags wet'!$A$2:$A$2000,0)),"")</f>
        <v>5.7663873829462604</v>
      </c>
      <c r="Y382" s="194">
        <f t="shared" si="67"/>
        <v>0.56882960495002655</v>
      </c>
      <c r="Z382" s="194">
        <f t="shared" si="67"/>
        <v>1.4681596845736971</v>
      </c>
      <c r="AA382" s="194">
        <f t="shared" si="63"/>
        <v>0.67069786815623877</v>
      </c>
      <c r="AB382" s="194">
        <f t="shared" si="64"/>
        <v>0.43969741475325874</v>
      </c>
      <c r="AC382" s="194">
        <f t="shared" si="56"/>
        <v>0.76569174180048294</v>
      </c>
      <c r="AD382">
        <f t="shared" si="57"/>
        <v>52</v>
      </c>
      <c r="AE382" s="194">
        <f t="shared" si="65"/>
        <v>0.20344671240351686</v>
      </c>
      <c r="AF382" s="194">
        <f t="shared" si="66"/>
        <v>1.4638082545197958E-2</v>
      </c>
      <c r="AG382" s="252" t="str">
        <f>IF(ISNUMBER(SEARCH("C",'WetLitterbags placem_collection'!$Y89)),"YES","NO")</f>
        <v>NO</v>
      </c>
      <c r="AH382" s="252" t="str">
        <f>IF(ISNUMBER(SEARCH("H", 'WetLitterbags placem_collection'!$Y89)),"YES","NO")</f>
        <v>NO</v>
      </c>
      <c r="AI382" s="252" t="str">
        <f>IF(ISNUMBER(SEARCH("R", 'WetLitterbags placem_collection'!$Y89)),"YES","NO")</f>
        <v>NO</v>
      </c>
      <c r="AJ382" s="252" t="str">
        <f>IF(ISNUMBER(SEARCH("C", 'WetLitterbags placem_collection'!$W89)),"YES","NO")</f>
        <v>YES</v>
      </c>
      <c r="AK382" s="252" t="str">
        <f>IF(ISNUMBER(SEARCH("H", 'WetLitterbags placem_collection'!$W89)),"YES","NO")</f>
        <v>NO</v>
      </c>
      <c r="AL382" s="252" t="str">
        <f>IF(ISNUMBER(SEARCH("R", 'WetLitterbags placem_collection'!$W89)),"YES","NO")</f>
        <v>YES</v>
      </c>
    </row>
    <row r="383" spans="2:38">
      <c r="B383" t="str">
        <f>'Final data_for_R_analysis_Wetse'!A529</f>
        <v>Wet</v>
      </c>
      <c r="C383" s="260">
        <f>'Final data_for_R_analysis_Wetse'!B529</f>
        <v>88</v>
      </c>
      <c r="D383" t="s">
        <v>3813</v>
      </c>
      <c r="E383" t="s">
        <v>25</v>
      </c>
      <c r="F383" s="382">
        <v>8</v>
      </c>
      <c r="G383" s="16">
        <f>'WetLitterbags placem_collection'!E90</f>
        <v>42767</v>
      </c>
      <c r="H383" s="92" t="str">
        <f>'Final data_for_R_analysis_Wetse'!K529</f>
        <v>G611</v>
      </c>
      <c r="I383" t="str">
        <f>'Final data_for_R_analysis_Wetse'!K749</f>
        <v>R288</v>
      </c>
      <c r="J383">
        <f>IFERROR(INDEX('Green_rooibos initial weight'!$C$5:$C$2000,MATCH(H383, 'Green_rooibos initial weight'!$A$5:$A$2000,0)),"")</f>
        <v>1.99</v>
      </c>
      <c r="K383">
        <f>IFERROR(INDEX('Green_rooibos initial weight'!$C$5:$C$2000,MATCH(I383, 'Green_rooibos initial weight'!$A$5:$A$2000,0)),"")</f>
        <v>2.2450000000000001</v>
      </c>
      <c r="L383" s="194">
        <f t="shared" si="58"/>
        <v>1.7402</v>
      </c>
      <c r="M383" s="194">
        <f>AVERAGE(Ashed_controlls!$K$2:$K$11)</f>
        <v>5.5147656768714146</v>
      </c>
      <c r="N383" s="194">
        <f t="shared" si="55"/>
        <v>1.6442320476910837</v>
      </c>
      <c r="O383" s="194">
        <f t="shared" si="59"/>
        <v>1.9952000000000001</v>
      </c>
      <c r="P383" s="194">
        <f>AVERAGE(Ashed_controlls!$K$12:$K$14)</f>
        <v>2.2816647271287041</v>
      </c>
      <c r="Q383" s="194">
        <f t="shared" si="60"/>
        <v>1.9496762253643283</v>
      </c>
      <c r="R383" s="16">
        <f>IF('WetLitterbags placem_collection'!G90="","",'WetLitterbags placem_collection'!G90)</f>
        <v>42819</v>
      </c>
      <c r="S383" s="194">
        <f>IFERROR(INDEX('Both teabags AfterWet'!$C$3:$C$2000,MATCH(H383,'Both teabags AfterWet'!$A$3:$A$2000,0)),"")</f>
        <v>0.89510000000000001</v>
      </c>
      <c r="T383" s="194">
        <f>IFERROR(INDEX('Both teabags AfterWet'!$C$3:$C$2000,MATCH(I383,'Both teabags AfterWet'!$A$3:$A$2000,0)),"")</f>
        <v>1.514</v>
      </c>
      <c r="U383" s="194">
        <f t="shared" si="61"/>
        <v>0.74449999999999994</v>
      </c>
      <c r="V383" s="194">
        <f t="shared" si="62"/>
        <v>1.3633999999999999</v>
      </c>
      <c r="W383" s="194">
        <f>IFERROR(INDEX('Ashed teabags wet'!$K$2:$K$2000,MATCH(H383,'Ashed teabags wet'!$A$2:$A$2000,0)),"")</f>
        <v>16.371681415929352</v>
      </c>
      <c r="X383" s="237">
        <f>IFERROR(INDEX('Ashed teabags wet'!$K$2:$K$2000,MATCH(I383,'Ashed teabags wet'!$A$2:$A$2000,0)),"")</f>
        <v>4.106972301815091</v>
      </c>
      <c r="Y383" s="194">
        <f t="shared" si="67"/>
        <v>0.62261283185840588</v>
      </c>
      <c r="Z383" s="194">
        <f t="shared" si="67"/>
        <v>1.307405539637053</v>
      </c>
      <c r="AA383" s="194">
        <f t="shared" si="63"/>
        <v>0.62133518031550883</v>
      </c>
      <c r="AB383" s="194">
        <f t="shared" si="64"/>
        <v>0.40733612771278016</v>
      </c>
      <c r="AC383" s="194">
        <f t="shared" si="56"/>
        <v>0.67057572053674874</v>
      </c>
      <c r="AD383">
        <f t="shared" si="57"/>
        <v>52</v>
      </c>
      <c r="AE383" s="194">
        <f t="shared" si="65"/>
        <v>0.26207223240438382</v>
      </c>
      <c r="AF383" s="194">
        <f t="shared" si="66"/>
        <v>3.180885912072802E-2</v>
      </c>
      <c r="AG383" s="252" t="str">
        <f>IF(ISNUMBER(SEARCH("C",'WetLitterbags placem_collection'!$Y90)),"YES","NO")</f>
        <v>NO</v>
      </c>
      <c r="AH383" s="252" t="str">
        <f>IF(ISNUMBER(SEARCH("H", 'WetLitterbags placem_collection'!$Y90)),"YES","NO")</f>
        <v>NO</v>
      </c>
      <c r="AI383" s="252" t="str">
        <f>IF(ISNUMBER(SEARCH("R", 'WetLitterbags placem_collection'!$Y90)),"YES","NO")</f>
        <v>NO</v>
      </c>
      <c r="AJ383" s="252" t="str">
        <f>IF(ISNUMBER(SEARCH("C", 'WetLitterbags placem_collection'!$W90)),"YES","NO")</f>
        <v>NO</v>
      </c>
      <c r="AK383" s="252" t="str">
        <f>IF(ISNUMBER(SEARCH("H", 'WetLitterbags placem_collection'!$W90)),"YES","NO")</f>
        <v>NO</v>
      </c>
      <c r="AL383" s="252" t="str">
        <f>IF(ISNUMBER(SEARCH("R", 'WetLitterbags placem_collection'!$W90)),"YES","NO")</f>
        <v>NO</v>
      </c>
    </row>
    <row r="384" spans="2:38">
      <c r="B384" t="str">
        <f>'Final data_for_R_analysis_Wetse'!A530</f>
        <v>Wet</v>
      </c>
      <c r="C384" s="260">
        <f>'Final data_for_R_analysis_Wetse'!B530</f>
        <v>89</v>
      </c>
      <c r="D384" t="s">
        <v>3814</v>
      </c>
      <c r="E384" t="s">
        <v>25</v>
      </c>
      <c r="F384" s="381">
        <v>1</v>
      </c>
      <c r="G384" s="16">
        <f>'WetLitterbags placem_collection'!E91</f>
        <v>42767</v>
      </c>
      <c r="H384" s="92" t="str">
        <f>'Final data_for_R_analysis_Wetse'!K530</f>
        <v>G469</v>
      </c>
      <c r="I384" t="str">
        <f>'Final data_for_R_analysis_Wetse'!K750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58"/>
        <v>1.7132000000000001</v>
      </c>
      <c r="M384" s="194">
        <f>AVERAGE(Ashed_controlls!$K$2:$K$11)</f>
        <v>5.5147656768714146</v>
      </c>
      <c r="N384" s="194">
        <f t="shared" si="55"/>
        <v>1.618721034423839</v>
      </c>
      <c r="O384" s="194">
        <f t="shared" si="59"/>
        <v>1.8662000000000001</v>
      </c>
      <c r="P384" s="194">
        <f>AVERAGE(Ashed_controlls!$K$12:$K$14)</f>
        <v>2.2816647271287041</v>
      </c>
      <c r="Q384" s="194">
        <f t="shared" si="60"/>
        <v>1.8236195728623241</v>
      </c>
      <c r="R384" s="16">
        <f>IF('WetLitterbags placem_collection'!G91="","",'WetLitterbags placem_collection'!G91)</f>
        <v>42819</v>
      </c>
      <c r="S384" s="194">
        <f>IFERROR(INDEX('Both teabags AfterWet'!$C$3:$C$2000,MATCH(H384,'Both teabags AfterWet'!$A$3:$A$2000,0)),"")</f>
        <v>1.5169999999999999</v>
      </c>
      <c r="T384" s="194">
        <f>IFERROR(INDEX('Both teabags AfterWet'!$C$3:$C$2000,MATCH(I384,'Both teabags AfterWet'!$A$3:$A$2000,0)),"")</f>
        <v>2.0529999999999999</v>
      </c>
      <c r="U384" s="194">
        <f t="shared" si="61"/>
        <v>1.3663999999999998</v>
      </c>
      <c r="V384" s="194">
        <f t="shared" si="62"/>
        <v>1.9023999999999999</v>
      </c>
      <c r="W384" s="194">
        <f>IFERROR(INDEX('Ashed teabags wet'!$K$2:$K$2000,MATCH(H384,'Ashed teabags wet'!$A$2:$A$2000,0)),"")</f>
        <v>48.044965786901678</v>
      </c>
      <c r="X384" s="237">
        <f>IFERROR(INDEX('Ashed teabags wet'!$K$2:$K$2000,MATCH(I384,'Ashed teabags wet'!$A$2:$A$2000,0)),"")</f>
        <v>19.890873015872916</v>
      </c>
      <c r="Y384" s="194">
        <f t="shared" si="67"/>
        <v>0.70991358748777544</v>
      </c>
      <c r="Z384" s="194">
        <f t="shared" si="67"/>
        <v>1.5239960317460335</v>
      </c>
      <c r="AA384" s="194">
        <f t="shared" si="63"/>
        <v>0.56143549605478549</v>
      </c>
      <c r="AB384" s="194">
        <f t="shared" si="64"/>
        <v>0.36806697603591643</v>
      </c>
      <c r="AC384" s="194">
        <f t="shared" si="56"/>
        <v>0.8356984397540731</v>
      </c>
      <c r="AD384">
        <f t="shared" si="57"/>
        <v>52</v>
      </c>
      <c r="AE384" s="194">
        <f t="shared" si="65"/>
        <v>0.33321199993493411</v>
      </c>
      <c r="AF384" s="194">
        <f t="shared" si="66"/>
        <v>1.1371067540936152E-2</v>
      </c>
      <c r="AG384" s="252" t="str">
        <f>IF(ISNUMBER(SEARCH("C",'WetLitterbags placem_collection'!$Y91)),"YES","NO")</f>
        <v>NO</v>
      </c>
      <c r="AH384" s="252" t="str">
        <f>IF(ISNUMBER(SEARCH("H", 'WetLitterbags placem_collection'!$Y91)),"YES","NO")</f>
        <v>NO</v>
      </c>
      <c r="AI384" s="252" t="str">
        <f>IF(ISNUMBER(SEARCH("R", 'WetLitterbags placem_collection'!$Y91)),"YES","NO")</f>
        <v>NO</v>
      </c>
      <c r="AJ384" s="252" t="str">
        <f>IF(ISNUMBER(SEARCH("C", 'WetLitterbags placem_collection'!$W91)),"YES","NO")</f>
        <v>NO</v>
      </c>
      <c r="AK384" s="252" t="str">
        <f>IF(ISNUMBER(SEARCH("H", 'WetLitterbags placem_collection'!$W91)),"YES","NO")</f>
        <v>YES</v>
      </c>
      <c r="AL384" s="252" t="str">
        <f>IF(ISNUMBER(SEARCH("R", 'WetLitterbags placem_collection'!$W91)),"YES","NO")</f>
        <v>YES</v>
      </c>
    </row>
    <row r="385" spans="2:38">
      <c r="B385" t="str">
        <f>'Final data_for_R_analysis_Wetse'!A531</f>
        <v>Wet</v>
      </c>
      <c r="C385" s="260">
        <f>'Final data_for_R_analysis_Wetse'!B531</f>
        <v>90</v>
      </c>
      <c r="D385" t="s">
        <v>3814</v>
      </c>
      <c r="E385" t="s">
        <v>25</v>
      </c>
      <c r="F385" s="381">
        <v>2</v>
      </c>
      <c r="G385" s="16">
        <f>'WetLitterbags placem_collection'!E92</f>
        <v>42767</v>
      </c>
      <c r="H385" s="92" t="str">
        <f>'Final data_for_R_analysis_Wetse'!K531</f>
        <v>G355</v>
      </c>
      <c r="I385" t="str">
        <f>'Final data_for_R_analysis_Wetse'!K751</f>
        <v>R517</v>
      </c>
      <c r="J385">
        <f>IFERROR(INDEX('Green_rooibos initial weight'!$C$5:$C$2000,MATCH(H385, 'Green_rooibos initial weight'!$A$5:$A$2000,0)),"")</f>
        <v>2.0489999999999999</v>
      </c>
      <c r="K385">
        <f>IFERROR(INDEX('Green_rooibos initial weight'!$C$5:$C$2000,MATCH(I385, 'Green_rooibos initial weight'!$A$5:$A$2000,0)),"")</f>
        <v>2.222</v>
      </c>
      <c r="L385" s="194">
        <f t="shared" si="58"/>
        <v>1.7991999999999999</v>
      </c>
      <c r="M385" s="194">
        <f>AVERAGE(Ashed_controlls!$K$2:$K$11)</f>
        <v>5.5147656768714146</v>
      </c>
      <c r="N385" s="194">
        <f t="shared" si="55"/>
        <v>1.6999783359417293</v>
      </c>
      <c r="O385" s="194">
        <f t="shared" si="59"/>
        <v>1.9722</v>
      </c>
      <c r="P385" s="194">
        <f>AVERAGE(Ashed_controlls!$K$12:$K$14)</f>
        <v>2.2816647271287041</v>
      </c>
      <c r="Q385" s="194">
        <f t="shared" si="60"/>
        <v>1.9272010082515676</v>
      </c>
      <c r="R385" s="16">
        <f>IF('WetLitterbags placem_collection'!G92="","",'WetLitterbags placem_collection'!G92)</f>
        <v>42819</v>
      </c>
      <c r="S385" s="194">
        <f>IFERROR(INDEX('Both teabags AfterWet'!$C$3:$C$2000,MATCH(H385,'Both teabags AfterWet'!$A$3:$A$2000,0)),"")</f>
        <v>0.78380000000000005</v>
      </c>
      <c r="T385" s="194">
        <f>IFERROR(INDEX('Both teabags AfterWet'!$C$3:$C$2000,MATCH(I385,'Both teabags AfterWet'!$A$3:$A$2000,0)),"")</f>
        <v>2.2749000000000001</v>
      </c>
      <c r="U385" s="194">
        <f t="shared" si="61"/>
        <v>0.63319999999999999</v>
      </c>
      <c r="V385" s="194">
        <f t="shared" si="62"/>
        <v>2.1243000000000003</v>
      </c>
      <c r="W385" s="194">
        <f>IFERROR(INDEX('Ashed teabags wet'!$K$2:$K$2000,MATCH(H385,'Ashed teabags wet'!$A$2:$A$2000,0)),"")</f>
        <v>6.6735644076571221</v>
      </c>
      <c r="X385" s="237">
        <f>IFERROR(INDEX('Ashed teabags wet'!$K$2:$K$2000,MATCH(I385,'Ashed teabags wet'!$A$2:$A$2000,0)),"")</f>
        <v>22.544750846637683</v>
      </c>
      <c r="Y385" s="194">
        <f t="shared" si="67"/>
        <v>0.59094299017071505</v>
      </c>
      <c r="Z385" s="194">
        <f t="shared" si="67"/>
        <v>1.645381857764876</v>
      </c>
      <c r="AA385" s="194">
        <f t="shared" si="63"/>
        <v>0.65238204647863762</v>
      </c>
      <c r="AB385" s="194">
        <f t="shared" si="64"/>
        <v>0.42768989270333491</v>
      </c>
      <c r="AC385" s="194">
        <f t="shared" si="56"/>
        <v>0.85376764059377019</v>
      </c>
      <c r="AD385">
        <f t="shared" si="57"/>
        <v>52</v>
      </c>
      <c r="AE385" s="194">
        <f t="shared" si="65"/>
        <v>0.22519946974033533</v>
      </c>
      <c r="AF385" s="194">
        <f t="shared" si="66"/>
        <v>8.0464770314540232E-3</v>
      </c>
      <c r="AG385" s="252" t="str">
        <f>IF(ISNUMBER(SEARCH("C",'WetLitterbags placem_collection'!$Y92)),"YES","NO")</f>
        <v>NO</v>
      </c>
      <c r="AH385" s="252" t="str">
        <f>IF(ISNUMBER(SEARCH("H", 'WetLitterbags placem_collection'!$Y92)),"YES","NO")</f>
        <v>NO</v>
      </c>
      <c r="AI385" s="252" t="str">
        <f>IF(ISNUMBER(SEARCH("R", 'WetLitterbags placem_collection'!$Y92)),"YES","NO")</f>
        <v>YES</v>
      </c>
      <c r="AJ385" s="252" t="str">
        <f>IF(ISNUMBER(SEARCH("C", 'WetLitterbags placem_collection'!$W92)),"YES","NO")</f>
        <v>NO</v>
      </c>
      <c r="AK385" s="252" t="str">
        <f>IF(ISNUMBER(SEARCH("H", 'WetLitterbags placem_collection'!$W92)),"YES","NO")</f>
        <v>NO</v>
      </c>
      <c r="AL385" s="252" t="str">
        <f>IF(ISNUMBER(SEARCH("R", 'WetLitterbags placem_collection'!$W92)),"YES","NO")</f>
        <v>YES</v>
      </c>
    </row>
    <row r="386" spans="2:38">
      <c r="B386" t="str">
        <f>'Final data_for_R_analysis_Wetse'!A532</f>
        <v>Wet</v>
      </c>
      <c r="C386" s="260">
        <f>'Final data_for_R_analysis_Wetse'!B532</f>
        <v>91</v>
      </c>
      <c r="D386" t="s">
        <v>3814</v>
      </c>
      <c r="E386" t="s">
        <v>25</v>
      </c>
      <c r="F386" s="381">
        <v>3</v>
      </c>
      <c r="G386" s="16">
        <f>'WetLitterbags placem_collection'!E93</f>
        <v>42767</v>
      </c>
      <c r="H386" s="92" t="str">
        <f>'Final data_for_R_analysis_Wetse'!K532</f>
        <v>G547</v>
      </c>
      <c r="I386" t="str">
        <f>'Final data_for_R_analysis_Wetse'!K752</f>
        <v>R73</v>
      </c>
      <c r="J386">
        <f>IFERROR(INDEX('Green_rooibos initial weight'!$C$5:$C$2000,MATCH(H386, 'Green_rooibos initial weight'!$A$5:$A$2000,0)),"")</f>
        <v>2.121</v>
      </c>
      <c r="K386">
        <f>IFERROR(INDEX('Green_rooibos initial weight'!$C$5:$C$2000,MATCH(I386, 'Green_rooibos initial weight'!$A$5:$A$2000,0)),"")</f>
        <v>2.1459999999999999</v>
      </c>
      <c r="L386" s="194">
        <f t="shared" si="58"/>
        <v>1.8712</v>
      </c>
      <c r="M386" s="194">
        <f>AVERAGE(Ashed_controlls!$K$2:$K$11)</f>
        <v>5.5147656768714146</v>
      </c>
      <c r="N386" s="194">
        <f t="shared" si="55"/>
        <v>1.7680077046543821</v>
      </c>
      <c r="O386" s="194">
        <f t="shared" si="59"/>
        <v>1.8961999999999999</v>
      </c>
      <c r="P386" s="194">
        <f>AVERAGE(Ashed_controlls!$K$12:$K$14)</f>
        <v>2.2816647271287041</v>
      </c>
      <c r="Q386" s="194">
        <f t="shared" si="60"/>
        <v>1.8529350734441854</v>
      </c>
      <c r="R386" s="16">
        <f>IF('WetLitterbags placem_collection'!G93="","",'WetLitterbags placem_collection'!G93)</f>
        <v>42819</v>
      </c>
      <c r="S386" s="194">
        <f>IFERROR(INDEX('Both teabags AfterWet'!$C$3:$C$2000,MATCH(H386,'Both teabags AfterWet'!$A$3:$A$2000,0)),"")</f>
        <v>1.069</v>
      </c>
      <c r="T386" s="194">
        <f>IFERROR(INDEX('Both teabags AfterWet'!$C$3:$C$2000,MATCH(I386,'Both teabags AfterWet'!$A$3:$A$2000,0)),"")</f>
        <v>1.663</v>
      </c>
      <c r="U386" s="194">
        <f t="shared" si="61"/>
        <v>0.91839999999999988</v>
      </c>
      <c r="V386" s="194">
        <f t="shared" si="62"/>
        <v>1.5124</v>
      </c>
      <c r="W386" s="194">
        <f>IFERROR(INDEX('Ashed teabags wet'!$K$2:$K$2000,MATCH(H386,'Ashed teabags wet'!$A$2:$A$2000,0)),"")</f>
        <v>26.348448687350785</v>
      </c>
      <c r="X386" s="237">
        <f>IFERROR(INDEX('Ashed teabags wet'!$K$2:$K$2000,MATCH(I386,'Ashed teabags wet'!$A$2:$A$2000,0)),"")</f>
        <v>3.2402791625130467</v>
      </c>
      <c r="Y386" s="194">
        <f t="shared" si="67"/>
        <v>0.67641584725537029</v>
      </c>
      <c r="Z386" s="194">
        <f t="shared" si="67"/>
        <v>1.4633940179461526</v>
      </c>
      <c r="AA386" s="194">
        <f t="shared" si="63"/>
        <v>0.61741351834911884</v>
      </c>
      <c r="AB386" s="194">
        <f t="shared" si="64"/>
        <v>0.40476515692246279</v>
      </c>
      <c r="AC386" s="194">
        <f t="shared" si="56"/>
        <v>0.78977080142696832</v>
      </c>
      <c r="AD386">
        <f t="shared" si="57"/>
        <v>52</v>
      </c>
      <c r="AE386" s="194">
        <f t="shared" si="65"/>
        <v>0.26672978818394433</v>
      </c>
      <c r="AF386" s="194">
        <f t="shared" si="66"/>
        <v>1.4090192647474981E-2</v>
      </c>
      <c r="AG386" s="252" t="str">
        <f>IF(ISNUMBER(SEARCH("C",'WetLitterbags placem_collection'!$Y93)),"YES","NO")</f>
        <v>NO</v>
      </c>
      <c r="AH386" s="252" t="str">
        <f>IF(ISNUMBER(SEARCH("H", 'WetLitterbags placem_collection'!$Y93)),"YES","NO")</f>
        <v>NO</v>
      </c>
      <c r="AI386" s="252" t="str">
        <f>IF(ISNUMBER(SEARCH("R", 'WetLitterbags placem_collection'!$Y93)),"YES","NO")</f>
        <v>NO</v>
      </c>
      <c r="AJ386" s="252" t="str">
        <f>IF(ISNUMBER(SEARCH("C", 'WetLitterbags placem_collection'!$W93)),"YES","NO")</f>
        <v>YES</v>
      </c>
      <c r="AK386" s="252" t="str">
        <f>IF(ISNUMBER(SEARCH("H", 'WetLitterbags placem_collection'!$W93)),"YES","NO")</f>
        <v>YES</v>
      </c>
      <c r="AL386" s="252" t="str">
        <f>IF(ISNUMBER(SEARCH("R", 'WetLitterbags placem_collection'!$W93)),"YES","NO")</f>
        <v>NO</v>
      </c>
    </row>
    <row r="387" spans="2:38">
      <c r="B387" t="str">
        <f>'Final data_for_R_analysis_Wetse'!A533</f>
        <v>Wet</v>
      </c>
      <c r="C387" s="260">
        <f>'Final data_for_R_analysis_Wetse'!B533</f>
        <v>92</v>
      </c>
      <c r="D387" t="s">
        <v>3814</v>
      </c>
      <c r="E387" t="s">
        <v>25</v>
      </c>
      <c r="F387" s="382">
        <v>4</v>
      </c>
      <c r="G387" s="16">
        <f>'WetLitterbags placem_collection'!E94</f>
        <v>42767</v>
      </c>
      <c r="H387" s="92" t="str">
        <f>'Final data_for_R_analysis_Wetse'!K533</f>
        <v>G763</v>
      </c>
      <c r="I387" t="str">
        <f>'Final data_for_R_analysis_Wetse'!K753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58"/>
        <v>1.8092000000000001</v>
      </c>
      <c r="M387" s="194">
        <f>AVERAGE(Ashed_controlls!$K$2:$K$11)</f>
        <v>5.5147656768714146</v>
      </c>
      <c r="N387" s="194">
        <f t="shared" si="55"/>
        <v>1.7094268593740425</v>
      </c>
      <c r="O387" s="194">
        <f t="shared" si="59"/>
        <v>1.9051999999999998</v>
      </c>
      <c r="P387" s="194">
        <f>AVERAGE(Ashed_controlls!$K$12:$K$14)</f>
        <v>2.2816647271287041</v>
      </c>
      <c r="Q387" s="194">
        <f t="shared" si="60"/>
        <v>1.8617297236187438</v>
      </c>
      <c r="R387" s="16">
        <f>IF('WetLitterbags placem_collection'!G94="","",'WetLitterbags placem_collection'!G94)</f>
        <v>42819</v>
      </c>
      <c r="S387" s="194">
        <f>IFERROR(INDEX('Both teabags AfterWet'!$C$3:$C$2000,MATCH(H387,'Both teabags AfterWet'!$A$3:$A$2000,0)),"")</f>
        <v>1.448</v>
      </c>
      <c r="T387" s="194">
        <f>IFERROR(INDEX('Both teabags AfterWet'!$C$3:$C$2000,MATCH(I387,'Both teabags AfterWet'!$A$3:$A$2000,0)),"")</f>
        <v>1.6779999999999999</v>
      </c>
      <c r="U387" s="194">
        <f t="shared" si="61"/>
        <v>1.2973999999999999</v>
      </c>
      <c r="V387" s="194">
        <f t="shared" si="62"/>
        <v>1.5273999999999999</v>
      </c>
      <c r="W387" s="194">
        <f>IFERROR(INDEX('Ashed teabags wet'!$K$2:$K$2000,MATCH(H387,'Ashed teabags wet'!$A$2:$A$2000,0)),"")</f>
        <v>39.468503937007327</v>
      </c>
      <c r="X387" s="237">
        <f>IFERROR(INDEX('Ashed teabags wet'!$K$2:$K$2000,MATCH(I387,'Ashed teabags wet'!$A$2:$A$2000,0)),"")</f>
        <v>2.4590163934421247</v>
      </c>
      <c r="Y387" s="194">
        <f t="shared" si="67"/>
        <v>0.78533562992126693</v>
      </c>
      <c r="Z387" s="194">
        <f t="shared" si="67"/>
        <v>1.4898409836065649</v>
      </c>
      <c r="AA387" s="194">
        <f t="shared" si="63"/>
        <v>0.54058541574054764</v>
      </c>
      <c r="AB387" s="194">
        <f t="shared" si="64"/>
        <v>0.35439803977290063</v>
      </c>
      <c r="AC387" s="194">
        <f t="shared" si="56"/>
        <v>0.8002455806048373</v>
      </c>
      <c r="AD387">
        <f t="shared" si="57"/>
        <v>52</v>
      </c>
      <c r="AE387" s="194">
        <f t="shared" si="65"/>
        <v>0.35797456562880325</v>
      </c>
      <c r="AF387" s="194">
        <f t="shared" si="66"/>
        <v>1.5948027717761257E-2</v>
      </c>
      <c r="AG387" s="252" t="str">
        <f>IF(ISNUMBER(SEARCH("C",'WetLitterbags placem_collection'!$Y94)),"YES","NO")</f>
        <v>NO</v>
      </c>
      <c r="AH387" s="252" t="str">
        <f>IF(ISNUMBER(SEARCH("H", 'WetLitterbags placem_collection'!$Y94)),"YES","NO")</f>
        <v>NO</v>
      </c>
      <c r="AI387" s="252" t="str">
        <f>IF(ISNUMBER(SEARCH("R", 'WetLitterbags placem_collection'!$Y94)),"YES","NO")</f>
        <v>YES</v>
      </c>
      <c r="AJ387" s="252" t="str">
        <f>IF(ISNUMBER(SEARCH("C", 'WetLitterbags placem_collection'!$W94)),"YES","NO")</f>
        <v>YES</v>
      </c>
      <c r="AK387" s="252" t="str">
        <f>IF(ISNUMBER(SEARCH("H", 'WetLitterbags placem_collection'!$W94)),"YES","NO")</f>
        <v>YES</v>
      </c>
      <c r="AL387" s="252" t="str">
        <f>IF(ISNUMBER(SEARCH("R", 'WetLitterbags placem_collection'!$W94)),"YES","NO")</f>
        <v>NO</v>
      </c>
    </row>
    <row r="388" spans="2:38">
      <c r="B388" t="str">
        <f>'Final data_for_R_analysis_Wetse'!A534</f>
        <v>Wet</v>
      </c>
      <c r="C388" s="260">
        <f>'Final data_for_R_analysis_Wetse'!B534</f>
        <v>93</v>
      </c>
      <c r="D388" t="s">
        <v>3814</v>
      </c>
      <c r="E388" t="s">
        <v>25</v>
      </c>
      <c r="F388" s="382">
        <v>5</v>
      </c>
      <c r="G388" s="16">
        <f>'WetLitterbags placem_collection'!E95</f>
        <v>42767</v>
      </c>
      <c r="H388" s="92" t="str">
        <f>'Final data_for_R_analysis_Wetse'!K534</f>
        <v>G424</v>
      </c>
      <c r="I388" t="str">
        <f>'Final data_for_R_analysis_Wetse'!K754</f>
        <v>R136</v>
      </c>
      <c r="J388">
        <f>IFERROR(INDEX('Green_rooibos initial weight'!$C$5:$C$2000,MATCH(H388, 'Green_rooibos initial weight'!$A$5:$A$2000,0)),"")</f>
        <v>1.9590000000000001</v>
      </c>
      <c r="K388">
        <f>IFERROR(INDEX('Green_rooibos initial weight'!$C$5:$C$2000,MATCH(I388, 'Green_rooibos initial weight'!$A$5:$A$2000,0)),"")</f>
        <v>2.21</v>
      </c>
      <c r="L388" s="194">
        <f t="shared" si="58"/>
        <v>1.7092000000000001</v>
      </c>
      <c r="M388" s="194">
        <f>AVERAGE(Ashed_controlls!$K$2:$K$11)</f>
        <v>5.5147656768714146</v>
      </c>
      <c r="N388" s="194">
        <f t="shared" si="55"/>
        <v>1.6149416250509139</v>
      </c>
      <c r="O388" s="194">
        <f t="shared" si="59"/>
        <v>1.9601999999999999</v>
      </c>
      <c r="P388" s="194">
        <f>AVERAGE(Ashed_controlls!$K$12:$K$14)</f>
        <v>2.2816647271287041</v>
      </c>
      <c r="Q388" s="194">
        <f t="shared" si="60"/>
        <v>1.9154748080188231</v>
      </c>
      <c r="R388" s="16">
        <f>IF('WetLitterbags placem_collection'!G95="","",'WetLitterbags placem_collection'!G95)</f>
        <v>42819</v>
      </c>
      <c r="S388" s="194">
        <f>IFERROR(INDEX('Both teabags AfterWet'!$C$3:$C$2000,MATCH(H388,'Both teabags AfterWet'!$A$3:$A$2000,0)),"")</f>
        <v>0.66039999999999999</v>
      </c>
      <c r="T388" s="194">
        <f>IFERROR(INDEX('Both teabags AfterWet'!$C$3:$C$2000,MATCH(I388,'Both teabags AfterWet'!$A$3:$A$2000,0)),"")</f>
        <v>1.6368</v>
      </c>
      <c r="U388" s="194">
        <f t="shared" si="61"/>
        <v>0.50980000000000003</v>
      </c>
      <c r="V388" s="194">
        <f t="shared" si="62"/>
        <v>1.4862</v>
      </c>
      <c r="W388" s="194">
        <f>IFERROR(INDEX('Ashed teabags wet'!$K$2:$K$2000,MATCH(H388,'Ashed teabags wet'!$A$2:$A$2000,0)),"")</f>
        <v>9.5166915794729583</v>
      </c>
      <c r="X388" s="237">
        <f>IFERROR(INDEX('Ashed teabags wet'!$K$2:$K$2000,MATCH(I388,'Ashed teabags wet'!$A$2:$A$2000,0)),"")</f>
        <v>2.2232962783957189</v>
      </c>
      <c r="Y388" s="194">
        <f t="shared" si="67"/>
        <v>0.46128390632784688</v>
      </c>
      <c r="Z388" s="194">
        <f t="shared" si="67"/>
        <v>1.4531573707104828</v>
      </c>
      <c r="AA388" s="194">
        <f t="shared" si="63"/>
        <v>0.71436496578425612</v>
      </c>
      <c r="AB388" s="194">
        <f t="shared" si="64"/>
        <v>0.46832477566853853</v>
      </c>
      <c r="AC388" s="194">
        <f t="shared" si="56"/>
        <v>0.75864081564898489</v>
      </c>
      <c r="AD388">
        <f t="shared" si="57"/>
        <v>52</v>
      </c>
      <c r="AE388" s="194">
        <f t="shared" si="65"/>
        <v>0.15158555132511142</v>
      </c>
      <c r="AF388" s="194">
        <f t="shared" si="66"/>
        <v>1.3930069123960775E-2</v>
      </c>
      <c r="AG388" s="252" t="str">
        <f>IF(ISNUMBER(SEARCH("C",'WetLitterbags placem_collection'!$Y95)),"YES","NO")</f>
        <v>NO</v>
      </c>
      <c r="AH388" s="252" t="str">
        <f>IF(ISNUMBER(SEARCH("H", 'WetLitterbags placem_collection'!$Y95)),"YES","NO")</f>
        <v>NO</v>
      </c>
      <c r="AI388" s="252" t="str">
        <f>IF(ISNUMBER(SEARCH("R", 'WetLitterbags placem_collection'!$Y95)),"YES","NO")</f>
        <v>YES</v>
      </c>
      <c r="AJ388" s="252" t="str">
        <f>IF(ISNUMBER(SEARCH("C", 'WetLitterbags placem_collection'!$W95)),"YES","NO")</f>
        <v>NO</v>
      </c>
      <c r="AK388" s="252" t="str">
        <f>IF(ISNUMBER(SEARCH("H", 'WetLitterbags placem_collection'!$W95)),"YES","NO")</f>
        <v>YES</v>
      </c>
      <c r="AL388" s="252" t="str">
        <f>IF(ISNUMBER(SEARCH("R", 'WetLitterbags placem_collection'!$W95)),"YES","NO")</f>
        <v>NO</v>
      </c>
    </row>
    <row r="389" spans="2:38">
      <c r="B389" t="str">
        <f>'Final data_for_R_analysis_Wetse'!A535</f>
        <v>Wet</v>
      </c>
      <c r="C389" s="260">
        <f>'Final data_for_R_analysis_Wetse'!B535</f>
        <v>94</v>
      </c>
      <c r="D389" t="s">
        <v>3814</v>
      </c>
      <c r="E389" t="s">
        <v>25</v>
      </c>
      <c r="F389" s="382">
        <v>6</v>
      </c>
      <c r="G389" s="16">
        <f>'WetLitterbags placem_collection'!E96</f>
        <v>42767</v>
      </c>
      <c r="H389" s="92" t="str">
        <f>'Final data_for_R_analysis_Wetse'!K535</f>
        <v>G588</v>
      </c>
      <c r="I389" t="str">
        <f>'Final data_for_R_analysis_Wetse'!K755</f>
        <v>R358</v>
      </c>
      <c r="J389">
        <f>IFERROR(INDEX('Green_rooibos initial weight'!$C$5:$C$2000,MATCH(H389, 'Green_rooibos initial weight'!$A$5:$A$2000,0)),"")</f>
        <v>2.14</v>
      </c>
      <c r="K389">
        <f>IFERROR(INDEX('Green_rooibos initial weight'!$C$5:$C$2000,MATCH(I389, 'Green_rooibos initial weight'!$A$5:$A$2000,0)),"")</f>
        <v>2.2210000000000001</v>
      </c>
      <c r="L389" s="194">
        <f t="shared" si="58"/>
        <v>1.8902000000000001</v>
      </c>
      <c r="M389" s="194">
        <f>AVERAGE(Ashed_controlls!$K$2:$K$11)</f>
        <v>5.5147656768714146</v>
      </c>
      <c r="N389" s="194">
        <f t="shared" si="55"/>
        <v>1.7859598991757766</v>
      </c>
      <c r="O389" s="194">
        <f t="shared" si="59"/>
        <v>1.9712000000000001</v>
      </c>
      <c r="P389" s="194">
        <f>AVERAGE(Ashed_controlls!$K$12:$K$14)</f>
        <v>2.2816647271287041</v>
      </c>
      <c r="Q389" s="194">
        <f t="shared" si="60"/>
        <v>1.926223824898839</v>
      </c>
      <c r="R389" s="16">
        <f>IF('WetLitterbags placem_collection'!G96="","",'WetLitterbags placem_collection'!G96)</f>
        <v>42819</v>
      </c>
      <c r="S389" s="194" t="str">
        <f>IFERROR(INDEX('Both teabags AfterWet'!$C$3:$C$2000,MATCH(H389,'Both teabags AfterWet'!$A$3:$A$2000,0)),"")</f>
        <v/>
      </c>
      <c r="T389" s="194" t="str">
        <f>IFERROR(INDEX('Both teabags AfterWet'!$C$3:$C$2000,MATCH(I389,'Both teabags AfterWet'!$A$3:$A$2000,0)),"")</f>
        <v/>
      </c>
      <c r="U389" s="194" t="str">
        <f t="shared" si="61"/>
        <v/>
      </c>
      <c r="V389" s="194" t="str">
        <f t="shared" si="62"/>
        <v/>
      </c>
      <c r="W389" s="194" t="str">
        <f>IFERROR(INDEX('Ashed teabags wet'!$K$2:$K$2000,MATCH(H389,'Ashed teabags wet'!$A$2:$A$2000,0)),"")</f>
        <v/>
      </c>
      <c r="X389" s="237" t="str">
        <f>IFERROR(INDEX('Ashed teabags wet'!$K$2:$K$2000,MATCH(I389,'Ashed teabags wet'!$A$2:$A$2000,0)),"")</f>
        <v/>
      </c>
      <c r="Y389" s="194" t="str">
        <f t="shared" si="67"/>
        <v/>
      </c>
      <c r="Z389" s="194" t="str">
        <f t="shared" si="67"/>
        <v/>
      </c>
      <c r="AA389" s="194" t="str">
        <f t="shared" si="63"/>
        <v/>
      </c>
      <c r="AB389" s="194" t="str">
        <f t="shared" si="64"/>
        <v/>
      </c>
      <c r="AC389" s="194" t="str">
        <f t="shared" si="56"/>
        <v/>
      </c>
      <c r="AD389">
        <f t="shared" si="57"/>
        <v>52</v>
      </c>
      <c r="AE389" s="194" t="str">
        <f t="shared" si="65"/>
        <v/>
      </c>
      <c r="AF389" s="194" t="str">
        <f t="shared" si="66"/>
        <v/>
      </c>
      <c r="AG389" s="252" t="str">
        <f>IF(ISNUMBER(SEARCH("C",'WetLitterbags placem_collection'!$Y96)),"YES","NO")</f>
        <v>NO</v>
      </c>
      <c r="AH389" s="252" t="str">
        <f>IF(ISNUMBER(SEARCH("H", 'WetLitterbags placem_collection'!$Y96)),"YES","NO")</f>
        <v>NO</v>
      </c>
      <c r="AI389" s="252" t="str">
        <f>IF(ISNUMBER(SEARCH("R", 'WetLitterbags placem_collection'!$Y96)),"YES","NO")</f>
        <v>NO</v>
      </c>
      <c r="AJ389" s="252" t="str">
        <f>IF(ISNUMBER(SEARCH("C", 'WetLitterbags placem_collection'!$W96)),"YES","NO")</f>
        <v>NO</v>
      </c>
      <c r="AK389" s="252" t="str">
        <f>IF(ISNUMBER(SEARCH("H", 'WetLitterbags placem_collection'!$W96)),"YES","NO")</f>
        <v>NO</v>
      </c>
      <c r="AL389" s="252" t="str">
        <f>IF(ISNUMBER(SEARCH("R", 'WetLitterbags placem_collection'!$W96)),"YES","NO")</f>
        <v>NO</v>
      </c>
    </row>
    <row r="390" spans="2:38">
      <c r="B390" t="str">
        <f>'Final data_for_R_analysis_Wetse'!A536</f>
        <v>Wet</v>
      </c>
      <c r="C390" s="260">
        <f>'Final data_for_R_analysis_Wetse'!B536</f>
        <v>95</v>
      </c>
      <c r="D390" t="s">
        <v>3814</v>
      </c>
      <c r="E390" t="s">
        <v>25</v>
      </c>
      <c r="F390" s="382">
        <v>7</v>
      </c>
      <c r="G390" s="16">
        <f>'WetLitterbags placem_collection'!E97</f>
        <v>42767</v>
      </c>
      <c r="H390" s="92" t="str">
        <f>'Final data_for_R_analysis_Wetse'!K536</f>
        <v>G486</v>
      </c>
      <c r="I390" t="str">
        <f>'Final data_for_R_analysis_Wetse'!K756</f>
        <v>R547</v>
      </c>
      <c r="J390">
        <f>IFERROR(INDEX('Green_rooibos initial weight'!$C$5:$C$2000,MATCH(H390, 'Green_rooibos initial weight'!$A$5:$A$2000,0)),"")</f>
        <v>2.0049999999999999</v>
      </c>
      <c r="K390">
        <f>IFERROR(INDEX('Green_rooibos initial weight'!$C$5:$C$2000,MATCH(I390, 'Green_rooibos initial weight'!$A$5:$A$2000,0)),"")</f>
        <v>2.194</v>
      </c>
      <c r="L390" s="194">
        <f t="shared" si="58"/>
        <v>1.7551999999999999</v>
      </c>
      <c r="M390" s="194">
        <f>AVERAGE(Ashed_controlls!$K$2:$K$11)</f>
        <v>5.5147656768714146</v>
      </c>
      <c r="N390" s="194">
        <f t="shared" si="55"/>
        <v>1.6584048328395529</v>
      </c>
      <c r="O390" s="194">
        <f t="shared" si="59"/>
        <v>1.9441999999999999</v>
      </c>
      <c r="P390" s="194">
        <f>AVERAGE(Ashed_controlls!$K$12:$K$14)</f>
        <v>2.2816647271287041</v>
      </c>
      <c r="Q390" s="194">
        <f t="shared" si="60"/>
        <v>1.8998398743751637</v>
      </c>
      <c r="R390" s="16">
        <f>IF('WetLitterbags placem_collection'!G97="","",'WetLitterbags placem_collection'!G97)</f>
        <v>42819</v>
      </c>
      <c r="S390" s="194">
        <f>IFERROR(INDEX('Both teabags AfterWet'!$C$3:$C$2000,MATCH(H390,'Both teabags AfterWet'!$A$3:$A$2000,0)),"")</f>
        <v>0.90400000000000003</v>
      </c>
      <c r="T390" s="194">
        <f>IFERROR(INDEX('Both teabags AfterWet'!$C$3:$C$2000,MATCH(I390,'Both teabags AfterWet'!$A$3:$A$2000,0)),"")</f>
        <v>1.5620000000000001</v>
      </c>
      <c r="U390" s="194">
        <f t="shared" si="61"/>
        <v>0.75340000000000007</v>
      </c>
      <c r="V390" s="194">
        <f t="shared" si="62"/>
        <v>1.4114</v>
      </c>
      <c r="W390" s="194">
        <f>IFERROR(INDEX('Ashed teabags wet'!$K$2:$K$2000,MATCH(H390,'Ashed teabags wet'!$A$2:$A$2000,0)),"")</f>
        <v>17.120622568093445</v>
      </c>
      <c r="X390" s="237">
        <f>IFERROR(INDEX('Ashed teabags wet'!$K$2:$K$2000,MATCH(I390,'Ashed teabags wet'!$A$2:$A$2000,0)),"")</f>
        <v>13.011335633317401</v>
      </c>
      <c r="Y390" s="194">
        <f t="shared" si="67"/>
        <v>0.62441322957198397</v>
      </c>
      <c r="Z390" s="194">
        <f t="shared" si="67"/>
        <v>1.2277580088713582</v>
      </c>
      <c r="AA390" s="194">
        <f t="shared" si="63"/>
        <v>0.62348564282530972</v>
      </c>
      <c r="AB390" s="194">
        <f t="shared" si="64"/>
        <v>0.40874593211350474</v>
      </c>
      <c r="AC390" s="194">
        <f t="shared" si="56"/>
        <v>0.64624288890407366</v>
      </c>
      <c r="AD390">
        <f t="shared" si="57"/>
        <v>52</v>
      </c>
      <c r="AE390" s="194">
        <f t="shared" si="65"/>
        <v>0.2595182389248103</v>
      </c>
      <c r="AF390" s="194">
        <f t="shared" si="66"/>
        <v>3.8576228073045511E-2</v>
      </c>
      <c r="AG390" s="252" t="str">
        <f>IF(ISNUMBER(SEARCH("C",'WetLitterbags placem_collection'!$Y97)),"YES","NO")</f>
        <v>NO</v>
      </c>
      <c r="AH390" s="252" t="str">
        <f>IF(ISNUMBER(SEARCH("H", 'WetLitterbags placem_collection'!$Y97)),"YES","NO")</f>
        <v>NO</v>
      </c>
      <c r="AI390" s="252" t="str">
        <f>IF(ISNUMBER(SEARCH("R", 'WetLitterbags placem_collection'!$Y97)),"YES","NO")</f>
        <v>YES</v>
      </c>
      <c r="AJ390" s="252" t="str">
        <f>IF(ISNUMBER(SEARCH("C", 'WetLitterbags placem_collection'!$W97)),"YES","NO")</f>
        <v>NO</v>
      </c>
      <c r="AK390" s="252" t="str">
        <f>IF(ISNUMBER(SEARCH("H", 'WetLitterbags placem_collection'!$W97)),"YES","NO")</f>
        <v>YES</v>
      </c>
      <c r="AL390" s="252" t="str">
        <f>IF(ISNUMBER(SEARCH("R", 'WetLitterbags placem_collection'!$W97)),"YES","NO")</f>
        <v>YES</v>
      </c>
    </row>
    <row r="391" spans="2:38">
      <c r="B391" t="str">
        <f>'Final data_for_R_analysis_Wetse'!A537</f>
        <v>Wet</v>
      </c>
      <c r="C391" s="260">
        <f>'Final data_for_R_analysis_Wetse'!B537</f>
        <v>96</v>
      </c>
      <c r="D391" t="s">
        <v>3814</v>
      </c>
      <c r="E391" t="s">
        <v>25</v>
      </c>
      <c r="F391" s="382">
        <v>8</v>
      </c>
      <c r="G391" s="16">
        <f>'WetLitterbags placem_collection'!E98</f>
        <v>42767</v>
      </c>
      <c r="H391" s="92" t="str">
        <f>'Final data_for_R_analysis_Wetse'!K537</f>
        <v>G545</v>
      </c>
      <c r="I391" t="str">
        <f>'Final data_for_R_analysis_Wetse'!K757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58"/>
        <v>1.8222</v>
      </c>
      <c r="M391" s="194">
        <f>AVERAGE(Ashed_controlls!$K$2:$K$11)</f>
        <v>5.5147656768714146</v>
      </c>
      <c r="N391" s="194">
        <f t="shared" si="55"/>
        <v>1.7217099398360491</v>
      </c>
      <c r="O391" s="194">
        <f t="shared" si="59"/>
        <v>1.8862000000000001</v>
      </c>
      <c r="P391" s="194">
        <f>AVERAGE(Ashed_controlls!$K$12:$K$14)</f>
        <v>2.2816647271287041</v>
      </c>
      <c r="Q391" s="194">
        <f t="shared" si="60"/>
        <v>1.8431632399168985</v>
      </c>
      <c r="R391" s="16">
        <f>IF('WetLitterbags placem_collection'!G98="","",'WetLitterbags placem_collection'!G98)</f>
        <v>42819</v>
      </c>
      <c r="S391" s="194">
        <f>IFERROR(INDEX('Both teabags AfterWet'!$C$3:$C$2000,MATCH(H391,'Both teabags AfterWet'!$A$3:$A$2000,0)),"")</f>
        <v>0.73950000000000005</v>
      </c>
      <c r="T391" s="194">
        <f>IFERROR(INDEX('Both teabags AfterWet'!$C$3:$C$2000,MATCH(I391,'Both teabags AfterWet'!$A$3:$A$2000,0)),"")</f>
        <v>0.87350000000000005</v>
      </c>
      <c r="U391" s="194">
        <f t="shared" si="61"/>
        <v>0.58889999999999998</v>
      </c>
      <c r="V391" s="194">
        <f t="shared" si="62"/>
        <v>0.7229000000000001</v>
      </c>
      <c r="W391" s="194">
        <f>IFERROR(INDEX('Ashed teabags wet'!$K$2:$K$2000,MATCH(H391,'Ashed teabags wet'!$A$2:$A$2000,0)),"")</f>
        <v>13.426156141222759</v>
      </c>
      <c r="X391" s="237">
        <f>IFERROR(INDEX('Ashed teabags wet'!$K$2:$K$2000,MATCH(I391,'Ashed teabags wet'!$A$2:$A$2000,0)),"")</f>
        <v>6.1660865241169791</v>
      </c>
      <c r="Y391" s="194">
        <f t="shared" si="67"/>
        <v>0.50983336648433919</v>
      </c>
      <c r="Z391" s="194">
        <f t="shared" si="67"/>
        <v>0.67832536051715842</v>
      </c>
      <c r="AA391" s="194">
        <f t="shared" si="63"/>
        <v>0.70387964041556939</v>
      </c>
      <c r="AB391" s="194">
        <f t="shared" si="64"/>
        <v>0.46145078564061087</v>
      </c>
      <c r="AC391" s="194">
        <f t="shared" si="56"/>
        <v>0.36802240074391979</v>
      </c>
      <c r="AD391">
        <f t="shared" si="57"/>
        <v>52</v>
      </c>
      <c r="AE391" s="194">
        <f t="shared" si="65"/>
        <v>0.16403843181048761</v>
      </c>
      <c r="AF391" s="194" t="str">
        <f t="shared" si="66"/>
        <v/>
      </c>
      <c r="AG391" s="252" t="str">
        <f>IF(ISNUMBER(SEARCH("C",'WetLitterbags placem_collection'!$Y98)),"YES","NO")</f>
        <v>NO</v>
      </c>
      <c r="AH391" s="252" t="str">
        <f>IF(ISNUMBER(SEARCH("H", 'WetLitterbags placem_collection'!$Y98)),"YES","NO")</f>
        <v>NO</v>
      </c>
      <c r="AI391" s="252" t="str">
        <f>IF(ISNUMBER(SEARCH("R", 'WetLitterbags placem_collection'!$Y98)),"YES","NO")</f>
        <v>NO</v>
      </c>
      <c r="AJ391" s="252" t="str">
        <f>IF(ISNUMBER(SEARCH("C", 'WetLitterbags placem_collection'!$W98)),"YES","NO")</f>
        <v>YES</v>
      </c>
      <c r="AK391" s="252" t="str">
        <f>IF(ISNUMBER(SEARCH("H", 'WetLitterbags placem_collection'!$W98)),"YES","NO")</f>
        <v>YES</v>
      </c>
      <c r="AL391" s="252" t="str">
        <f>IF(ISNUMBER(SEARCH("R", 'WetLitterbags placem_collection'!$W98)),"YES","NO")</f>
        <v>NO</v>
      </c>
    </row>
    <row r="392" spans="2:38">
      <c r="B392" t="str">
        <f>'Final data_for_R_analysis_Wetse'!A538</f>
        <v>Wet</v>
      </c>
      <c r="C392" s="260">
        <f>'Final data_for_R_analysis_Wetse'!B538</f>
        <v>97</v>
      </c>
      <c r="D392" t="s">
        <v>3815</v>
      </c>
      <c r="E392" t="s">
        <v>25</v>
      </c>
      <c r="F392" s="381">
        <v>1</v>
      </c>
      <c r="G392" s="16">
        <f>'WetLitterbags placem_collection'!E99</f>
        <v>42762</v>
      </c>
      <c r="H392" s="92" t="str">
        <f>'Final data_for_R_analysis_Wetse'!K538</f>
        <v>G847</v>
      </c>
      <c r="I392" t="str">
        <f>'Final data_for_R_analysis_Wetse'!K758</f>
        <v>R576</v>
      </c>
      <c r="J392">
        <f>IFERROR(INDEX('Green_rooibos initial weight'!$C$5:$C$2000,MATCH(H392, 'Green_rooibos initial weight'!$A$5:$A$2000,0)),"")</f>
        <v>2.1019999999999999</v>
      </c>
      <c r="K392">
        <f>IFERROR(INDEX('Green_rooibos initial weight'!$C$5:$C$2000,MATCH(I392, 'Green_rooibos initial weight'!$A$5:$A$2000,0)),"")</f>
        <v>2.109</v>
      </c>
      <c r="L392" s="194">
        <f t="shared" si="58"/>
        <v>1.8521999999999998</v>
      </c>
      <c r="M392" s="194">
        <f>AVERAGE(Ashed_controlls!$K$2:$K$11)</f>
        <v>5.5147656768714146</v>
      </c>
      <c r="N392" s="194">
        <f t="shared" si="55"/>
        <v>1.7500555101329875</v>
      </c>
      <c r="O392" s="194">
        <f t="shared" si="59"/>
        <v>1.8592</v>
      </c>
      <c r="P392" s="194">
        <f>AVERAGE(Ashed_controlls!$K$12:$K$14)</f>
        <v>2.2816647271287041</v>
      </c>
      <c r="Q392" s="194">
        <f t="shared" si="60"/>
        <v>1.8167792893932231</v>
      </c>
      <c r="R392" s="16">
        <f>IF('WetLitterbags placem_collection'!G99="","",'WetLitterbags placem_collection'!G99)</f>
        <v>42816</v>
      </c>
      <c r="S392" s="194">
        <f>IFERROR(INDEX('Both teabags AfterWet'!$C$3:$C$2000,MATCH(H392,'Both teabags AfterWet'!$A$3:$A$2000,0)),"")</f>
        <v>0.61809999999999998</v>
      </c>
      <c r="T392" s="194">
        <f>IFERROR(INDEX('Both teabags AfterWet'!$C$3:$C$2000,MATCH(I392,'Both teabags AfterWet'!$A$3:$A$2000,0)),"")</f>
        <v>1.6898</v>
      </c>
      <c r="U392" s="194">
        <f t="shared" si="61"/>
        <v>0.46749999999999997</v>
      </c>
      <c r="V392" s="194">
        <f t="shared" si="62"/>
        <v>1.5391999999999999</v>
      </c>
      <c r="W392" s="194">
        <f>IFERROR(INDEX('Ashed teabags wet'!$K$2:$K$2000,MATCH(H392,'Ashed teabags wet'!$A$2:$A$2000,0)),"")</f>
        <v>21.620325982741679</v>
      </c>
      <c r="X392" s="237">
        <f>IFERROR(INDEX('Ashed teabags wet'!$K$2:$K$2000,MATCH(I392,'Ashed teabags wet'!$A$2:$A$2000,0)),"")</f>
        <v>8.4409136047665729</v>
      </c>
      <c r="Y392" s="194">
        <f t="shared" si="67"/>
        <v>0.36642497603068264</v>
      </c>
      <c r="Z392" s="194">
        <f t="shared" si="67"/>
        <v>1.4092774577954328</v>
      </c>
      <c r="AA392" s="194">
        <f t="shared" si="63"/>
        <v>0.79062094093070345</v>
      </c>
      <c r="AB392" s="194">
        <f t="shared" si="64"/>
        <v>0.5183168163821239</v>
      </c>
      <c r="AC392" s="194">
        <f t="shared" si="56"/>
        <v>0.77570097040577246</v>
      </c>
      <c r="AD392">
        <f t="shared" si="57"/>
        <v>54</v>
      </c>
      <c r="AE392" s="194">
        <f t="shared" si="65"/>
        <v>6.1020260177311769E-2</v>
      </c>
      <c r="AF392" s="194">
        <f t="shared" si="66"/>
        <v>1.0499007502769451E-2</v>
      </c>
      <c r="AG392" s="252" t="str">
        <f>IF(ISNUMBER(SEARCH("C",'WetLitterbags placem_collection'!$Y99)),"YES","NO")</f>
        <v>NO</v>
      </c>
      <c r="AH392" s="252" t="str">
        <f>IF(ISNUMBER(SEARCH("H", 'WetLitterbags placem_collection'!$Y99)),"YES","NO")</f>
        <v>NO</v>
      </c>
      <c r="AI392" s="252" t="str">
        <f>IF(ISNUMBER(SEARCH("R", 'WetLitterbags placem_collection'!$Y99)),"YES","NO")</f>
        <v>NO</v>
      </c>
      <c r="AJ392" s="252" t="str">
        <f>IF(ISNUMBER(SEARCH("C", 'WetLitterbags placem_collection'!$W99)),"YES","NO")</f>
        <v>YES</v>
      </c>
      <c r="AK392" s="252" t="str">
        <f>IF(ISNUMBER(SEARCH("H", 'WetLitterbags placem_collection'!$W99)),"YES","NO")</f>
        <v>YES</v>
      </c>
      <c r="AL392" s="252" t="str">
        <f>IF(ISNUMBER(SEARCH("R", 'WetLitterbags placem_collection'!$W99)),"YES","NO")</f>
        <v>NO</v>
      </c>
    </row>
    <row r="393" spans="2:38">
      <c r="B393" t="str">
        <f>'Final data_for_R_analysis_Wetse'!A539</f>
        <v>Wet</v>
      </c>
      <c r="C393" s="260">
        <f>'Final data_for_R_analysis_Wetse'!B539</f>
        <v>98</v>
      </c>
      <c r="D393" t="s">
        <v>3815</v>
      </c>
      <c r="E393" t="s">
        <v>25</v>
      </c>
      <c r="F393" s="381">
        <v>2</v>
      </c>
      <c r="G393" s="16">
        <f>'WetLitterbags placem_collection'!E100</f>
        <v>42762</v>
      </c>
      <c r="H393" s="92" t="str">
        <f>'Final data_for_R_analysis_Wetse'!K539</f>
        <v>G730</v>
      </c>
      <c r="I393" t="str">
        <f>'Final data_for_R_analysis_Wetse'!K759</f>
        <v>R561</v>
      </c>
      <c r="J393">
        <f>IFERROR(INDEX('Green_rooibos initial weight'!$C$5:$C$2000,MATCH(H393, 'Green_rooibos initial weight'!$A$5:$A$2000,0)),"")</f>
        <v>2.048</v>
      </c>
      <c r="K393">
        <f>IFERROR(INDEX('Green_rooibos initial weight'!$C$5:$C$2000,MATCH(I393, 'Green_rooibos initial weight'!$A$5:$A$2000,0)),"")</f>
        <v>2.0760000000000001</v>
      </c>
      <c r="L393" s="194">
        <f t="shared" si="58"/>
        <v>1.7982</v>
      </c>
      <c r="M393" s="194">
        <f>AVERAGE(Ashed_controlls!$K$2:$K$11)</f>
        <v>5.5147656768714146</v>
      </c>
      <c r="N393" s="194">
        <f t="shared" si="55"/>
        <v>1.6990334835984982</v>
      </c>
      <c r="O393" s="194">
        <f t="shared" si="59"/>
        <v>1.8262</v>
      </c>
      <c r="P393" s="194">
        <f>AVERAGE(Ashed_controlls!$K$12:$K$14)</f>
        <v>2.2816647271287041</v>
      </c>
      <c r="Q393" s="194">
        <f t="shared" si="60"/>
        <v>1.7845322387531757</v>
      </c>
      <c r="R393" s="16">
        <f>IF('WetLitterbags placem_collection'!G100="","",'WetLitterbags placem_collection'!G100)</f>
        <v>42816</v>
      </c>
      <c r="S393" s="194">
        <f>IFERROR(INDEX('Both teabags AfterWet'!$C$3:$C$2000,MATCH(H393,'Both teabags AfterWet'!$A$3:$A$2000,0)),"")</f>
        <v>0.629</v>
      </c>
      <c r="T393" s="194">
        <f>IFERROR(INDEX('Both teabags AfterWet'!$C$3:$C$2000,MATCH(I393,'Both teabags AfterWet'!$A$3:$A$2000,0)),"")</f>
        <v>1.661</v>
      </c>
      <c r="U393" s="194">
        <f t="shared" si="61"/>
        <v>0.47839999999999999</v>
      </c>
      <c r="V393" s="194">
        <f t="shared" si="62"/>
        <v>1.5104</v>
      </c>
      <c r="W393" s="194">
        <f>IFERROR(INDEX('Ashed teabags wet'!$K$2:$K$2000,MATCH(H393,'Ashed teabags wet'!$A$2:$A$2000,0)),"")</f>
        <v>15.206692913385</v>
      </c>
      <c r="X393" s="237">
        <f>IFERROR(INDEX('Ashed teabags wet'!$K$2:$K$2000,MATCH(I393,'Ashed teabags wet'!$A$2:$A$2000,0)),"")</f>
        <v>12.28244654400746</v>
      </c>
      <c r="Y393" s="194">
        <f t="shared" si="67"/>
        <v>0.40565118110236614</v>
      </c>
      <c r="Z393" s="194">
        <f t="shared" si="67"/>
        <v>1.3248859273993112</v>
      </c>
      <c r="AA393" s="194">
        <f t="shared" si="63"/>
        <v>0.76124591715331591</v>
      </c>
      <c r="AB393" s="194">
        <f t="shared" si="64"/>
        <v>0.49905908107913349</v>
      </c>
      <c r="AC393" s="194">
        <f t="shared" si="56"/>
        <v>0.74242756652297182</v>
      </c>
      <c r="AD393">
        <f t="shared" si="57"/>
        <v>54</v>
      </c>
      <c r="AE393" s="194">
        <f t="shared" si="65"/>
        <v>9.5907461813164008E-2</v>
      </c>
      <c r="AF393" s="194">
        <f t="shared" si="66"/>
        <v>1.3442783436430749E-2</v>
      </c>
      <c r="AG393" s="252" t="str">
        <f>IF(ISNUMBER(SEARCH("C",'WetLitterbags placem_collection'!$Y100)),"YES","NO")</f>
        <v>NO</v>
      </c>
      <c r="AH393" s="252" t="str">
        <f>IF(ISNUMBER(SEARCH("H", 'WetLitterbags placem_collection'!$Y100)),"YES","NO")</f>
        <v>NO</v>
      </c>
      <c r="AI393" s="252" t="str">
        <f>IF(ISNUMBER(SEARCH("R", 'WetLitterbags placem_collection'!$Y100)),"YES","NO")</f>
        <v>NO</v>
      </c>
      <c r="AJ393" s="252" t="str">
        <f>IF(ISNUMBER(SEARCH("C", 'WetLitterbags placem_collection'!$W100)),"YES","NO")</f>
        <v>NO</v>
      </c>
      <c r="AK393" s="252" t="str">
        <f>IF(ISNUMBER(SEARCH("H", 'WetLitterbags placem_collection'!$W100)),"YES","NO")</f>
        <v>NO</v>
      </c>
      <c r="AL393" s="252" t="str">
        <f>IF(ISNUMBER(SEARCH("R", 'WetLitterbags placem_collection'!$W100)),"YES","NO")</f>
        <v>NO</v>
      </c>
    </row>
    <row r="394" spans="2:38">
      <c r="B394" t="str">
        <f>'Final data_for_R_analysis_Wetse'!A540</f>
        <v>Wet</v>
      </c>
      <c r="C394" s="260">
        <f>'Final data_for_R_analysis_Wetse'!B540</f>
        <v>99</v>
      </c>
      <c r="D394" t="s">
        <v>3815</v>
      </c>
      <c r="E394" t="s">
        <v>25</v>
      </c>
      <c r="F394" s="381">
        <v>3</v>
      </c>
      <c r="G394" s="16">
        <f>'WetLitterbags placem_collection'!E101</f>
        <v>42762</v>
      </c>
      <c r="H394" s="92" t="str">
        <f>'Final data_for_R_analysis_Wetse'!K540</f>
        <v>G691</v>
      </c>
      <c r="I394" t="str">
        <f>'Final data_for_R_analysis_Wetse'!K760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58"/>
        <v>1.8452000000000002</v>
      </c>
      <c r="M394" s="194">
        <f>AVERAGE(Ashed_controlls!$K$2:$K$11)</f>
        <v>5.5147656768714146</v>
      </c>
      <c r="N394" s="194">
        <f t="shared" si="55"/>
        <v>1.7434415437303687</v>
      </c>
      <c r="O394" s="194">
        <f t="shared" si="59"/>
        <v>1.9891999999999999</v>
      </c>
      <c r="P394" s="194">
        <f>AVERAGE(Ashed_controlls!$K$12:$K$14)</f>
        <v>2.2816647271287041</v>
      </c>
      <c r="Q394" s="194">
        <f t="shared" si="60"/>
        <v>1.9438131252479556</v>
      </c>
      <c r="R394" s="16">
        <f>IF('WetLitterbags placem_collection'!G101="","",'WetLitterbags placem_collection'!G101)</f>
        <v>42816</v>
      </c>
      <c r="S394" s="194">
        <f>IFERROR(INDEX('Both teabags AfterWet'!$C$3:$C$2000,MATCH(H394,'Both teabags AfterWet'!$A$3:$A$2000,0)),"")</f>
        <v>0.52829999999999999</v>
      </c>
      <c r="T394" s="194">
        <f>IFERROR(INDEX('Both teabags AfterWet'!$C$3:$C$2000,MATCH(I394,'Both teabags AfterWet'!$A$3:$A$2000,0)),"")</f>
        <v>1.5016</v>
      </c>
      <c r="U394" s="194">
        <f t="shared" si="61"/>
        <v>0.37769999999999998</v>
      </c>
      <c r="V394" s="194">
        <f t="shared" si="62"/>
        <v>1.351</v>
      </c>
      <c r="W394" s="194">
        <f>IFERROR(INDEX('Ashed teabags wet'!$K$2:$K$2000,MATCH(H394,'Ashed teabags wet'!$A$2:$A$2000,0)),"")</f>
        <v>10.554371002128548</v>
      </c>
      <c r="X394" s="237">
        <f>IFERROR(INDEX('Ashed teabags wet'!$K$2:$K$2000,MATCH(I394,'Ashed teabags wet'!$A$2:$A$2000,0)),"")</f>
        <v>7.3182711198407153</v>
      </c>
      <c r="Y394" s="194">
        <f t="shared" si="67"/>
        <v>0.33783614072496049</v>
      </c>
      <c r="Z394" s="194">
        <f t="shared" si="67"/>
        <v>1.252130157170952</v>
      </c>
      <c r="AA394" s="194">
        <f t="shared" si="63"/>
        <v>0.80622456661087316</v>
      </c>
      <c r="AB394" s="194">
        <f t="shared" si="64"/>
        <v>0.52854627169738955</v>
      </c>
      <c r="AC394" s="194">
        <f t="shared" si="56"/>
        <v>0.64416179770945237</v>
      </c>
      <c r="AD394">
        <f t="shared" si="57"/>
        <v>54</v>
      </c>
      <c r="AE394" s="194">
        <f t="shared" si="65"/>
        <v>4.2488638229366771E-2</v>
      </c>
      <c r="AF394" s="194">
        <f t="shared" si="66"/>
        <v>2.0713474912983417E-2</v>
      </c>
      <c r="AG394" s="252" t="str">
        <f>IF(ISNUMBER(SEARCH("C",'WetLitterbags placem_collection'!$Y101)),"YES","NO")</f>
        <v>NO</v>
      </c>
      <c r="AH394" s="252" t="str">
        <f>IF(ISNUMBER(SEARCH("H", 'WetLitterbags placem_collection'!$Y101)),"YES","NO")</f>
        <v>NO</v>
      </c>
      <c r="AI394" s="252" t="str">
        <f>IF(ISNUMBER(SEARCH("R", 'WetLitterbags placem_collection'!$Y101)),"YES","NO")</f>
        <v>NO</v>
      </c>
      <c r="AJ394" s="252" t="str">
        <f>IF(ISNUMBER(SEARCH("C", 'WetLitterbags placem_collection'!$W101)),"YES","NO")</f>
        <v>NO</v>
      </c>
      <c r="AK394" s="252" t="str">
        <f>IF(ISNUMBER(SEARCH("H", 'WetLitterbags placem_collection'!$W101)),"YES","NO")</f>
        <v>NO</v>
      </c>
      <c r="AL394" s="252" t="str">
        <f>IF(ISNUMBER(SEARCH("R", 'WetLitterbags placem_collection'!$W101)),"YES","NO")</f>
        <v>YES</v>
      </c>
    </row>
    <row r="395" spans="2:38">
      <c r="B395" t="str">
        <f>'Final data_for_R_analysis_Wetse'!A541</f>
        <v>Wet</v>
      </c>
      <c r="C395" s="260">
        <f>'Final data_for_R_analysis_Wetse'!B541</f>
        <v>100</v>
      </c>
      <c r="D395" t="s">
        <v>3815</v>
      </c>
      <c r="E395" t="s">
        <v>25</v>
      </c>
      <c r="F395" s="382">
        <v>4</v>
      </c>
      <c r="G395" s="16">
        <f>'WetLitterbags placem_collection'!E102</f>
        <v>42762</v>
      </c>
      <c r="H395" s="92" t="str">
        <f>'Final data_for_R_analysis_Wetse'!K541</f>
        <v>G828</v>
      </c>
      <c r="I395" t="str">
        <f>'Final data_for_R_analysis_Wetse'!K761</f>
        <v>R497</v>
      </c>
      <c r="J395">
        <f>IFERROR(INDEX('Green_rooibos initial weight'!$C$5:$C$2000,MATCH(H395, 'Green_rooibos initial weight'!$A$5:$A$2000,0)),"")</f>
        <v>1.986</v>
      </c>
      <c r="K395">
        <f>IFERROR(INDEX('Green_rooibos initial weight'!$C$5:$C$2000,MATCH(I395, 'Green_rooibos initial weight'!$A$5:$A$2000,0)),"")</f>
        <v>2.2240000000000002</v>
      </c>
      <c r="L395" s="194">
        <f t="shared" si="58"/>
        <v>1.7362</v>
      </c>
      <c r="M395" s="194">
        <f>AVERAGE(Ashed_controlls!$K$2:$K$11)</f>
        <v>5.5147656768714146</v>
      </c>
      <c r="N395" s="194">
        <f t="shared" si="55"/>
        <v>1.6404526383181586</v>
      </c>
      <c r="O395" s="194">
        <f t="shared" si="59"/>
        <v>1.9742000000000002</v>
      </c>
      <c r="P395" s="194">
        <f>AVERAGE(Ashed_controlls!$K$12:$K$14)</f>
        <v>2.2816647271287041</v>
      </c>
      <c r="Q395" s="194">
        <f t="shared" si="60"/>
        <v>1.9291553749570254</v>
      </c>
      <c r="R395" s="16">
        <f>IF('WetLitterbags placem_collection'!G102="","",'WetLitterbags placem_collection'!G102)</f>
        <v>42816</v>
      </c>
      <c r="S395" s="194">
        <f>IFERROR(INDEX('Both teabags AfterWet'!$C$3:$C$2000,MATCH(H395,'Both teabags AfterWet'!$A$3:$A$2000,0)),"")</f>
        <v>0.57399999999999995</v>
      </c>
      <c r="T395" s="194">
        <f>IFERROR(INDEX('Both teabags AfterWet'!$C$3:$C$2000,MATCH(I395,'Both teabags AfterWet'!$A$3:$A$2000,0)),"")</f>
        <v>1.66</v>
      </c>
      <c r="U395" s="194">
        <f t="shared" si="61"/>
        <v>0.42339999999999994</v>
      </c>
      <c r="V395" s="194">
        <f t="shared" si="62"/>
        <v>1.5093999999999999</v>
      </c>
      <c r="W395" s="194">
        <f>IFERROR(INDEX('Ashed teabags wet'!$K$2:$K$2000,MATCH(H395,'Ashed teabags wet'!$A$2:$A$2000,0)),"")</f>
        <v>14.012096774192942</v>
      </c>
      <c r="X395" s="237">
        <f>IFERROR(INDEX('Ashed teabags wet'!$K$2:$K$2000,MATCH(I395,'Ashed teabags wet'!$A$2:$A$2000,0)),"")</f>
        <v>7.3426573426567847</v>
      </c>
      <c r="Y395" s="194">
        <f t="shared" si="67"/>
        <v>0.36407278225806705</v>
      </c>
      <c r="Z395" s="194">
        <f t="shared" si="67"/>
        <v>1.3985699300699383</v>
      </c>
      <c r="AA395" s="194">
        <f t="shared" si="63"/>
        <v>0.77806565471385669</v>
      </c>
      <c r="AB395" s="194">
        <f t="shared" si="64"/>
        <v>0.5100857973896068</v>
      </c>
      <c r="AC395" s="194">
        <f t="shared" si="56"/>
        <v>0.72496489822707688</v>
      </c>
      <c r="AD395">
        <f t="shared" si="57"/>
        <v>54</v>
      </c>
      <c r="AE395" s="194">
        <f t="shared" si="65"/>
        <v>7.5931526468103638E-2</v>
      </c>
      <c r="AF395" s="194">
        <f t="shared" si="66"/>
        <v>1.4347735645145843E-2</v>
      </c>
      <c r="AG395" s="252" t="str">
        <f>IF(ISNUMBER(SEARCH("C",'WetLitterbags placem_collection'!$Y102)),"YES","NO")</f>
        <v>NO</v>
      </c>
      <c r="AH395" s="252" t="str">
        <f>IF(ISNUMBER(SEARCH("H", 'WetLitterbags placem_collection'!$Y102)),"YES","NO")</f>
        <v>NO</v>
      </c>
      <c r="AI395" s="252" t="str">
        <f>IF(ISNUMBER(SEARCH("R", 'WetLitterbags placem_collection'!$Y102)),"YES","NO")</f>
        <v>NO</v>
      </c>
      <c r="AJ395" s="252" t="str">
        <f>IF(ISNUMBER(SEARCH("C", 'WetLitterbags placem_collection'!$W102)),"YES","NO")</f>
        <v>YES</v>
      </c>
      <c r="AK395" s="252" t="str">
        <f>IF(ISNUMBER(SEARCH("H", 'WetLitterbags placem_collection'!$W102)),"YES","NO")</f>
        <v>YES</v>
      </c>
      <c r="AL395" s="252" t="str">
        <f>IF(ISNUMBER(SEARCH("R", 'WetLitterbags placem_collection'!$W102)),"YES","NO")</f>
        <v>NO</v>
      </c>
    </row>
    <row r="396" spans="2:38">
      <c r="B396" t="str">
        <f>'Final data_for_R_analysis_Wetse'!A542</f>
        <v>Wet</v>
      </c>
      <c r="C396" s="260">
        <f>'Final data_for_R_analysis_Wetse'!B542</f>
        <v>101</v>
      </c>
      <c r="D396" t="s">
        <v>3815</v>
      </c>
      <c r="E396" t="s">
        <v>25</v>
      </c>
      <c r="F396" s="382">
        <v>5</v>
      </c>
      <c r="G396" s="16">
        <f>'WetLitterbags placem_collection'!E103</f>
        <v>42762</v>
      </c>
      <c r="H396" s="92" t="str">
        <f>'Final data_for_R_analysis_Wetse'!K542</f>
        <v>G875</v>
      </c>
      <c r="I396" t="str">
        <f>'Final data_for_R_analysis_Wetse'!K762</f>
        <v>R10</v>
      </c>
      <c r="J396">
        <f>IFERROR(INDEX('Green_rooibos initial weight'!$C$5:$C$2000,MATCH(H396, 'Green_rooibos initial weight'!$A$5:$A$2000,0)),"")</f>
        <v>2.0880000000000001</v>
      </c>
      <c r="K396">
        <f>IFERROR(INDEX('Green_rooibos initial weight'!$C$5:$C$2000,MATCH(I396, 'Green_rooibos initial weight'!$A$5:$A$2000,0)),"")</f>
        <v>2.29</v>
      </c>
      <c r="L396" s="194">
        <f t="shared" si="58"/>
        <v>1.8382000000000001</v>
      </c>
      <c r="M396" s="194">
        <f>AVERAGE(Ashed_controlls!$K$2:$K$11)</f>
        <v>5.5147656768714146</v>
      </c>
      <c r="N396" s="194">
        <f t="shared" ref="N396:N459" si="68">IFERROR(L396-(M396/100)*L396,"")</f>
        <v>1.7368275773277497</v>
      </c>
      <c r="O396" s="194">
        <f t="shared" si="59"/>
        <v>2.0402</v>
      </c>
      <c r="P396" s="194">
        <f>AVERAGE(Ashed_controlls!$K$12:$K$14)</f>
        <v>2.2816647271287041</v>
      </c>
      <c r="Q396" s="194">
        <f t="shared" si="60"/>
        <v>1.9936494762371202</v>
      </c>
      <c r="R396" s="16">
        <f>IF('WetLitterbags placem_collection'!G103="","",'WetLitterbags placem_collection'!G103)</f>
        <v>42816</v>
      </c>
      <c r="S396" s="194">
        <f>IFERROR(INDEX('Both teabags AfterWet'!$C$3:$C$2000,MATCH(H396,'Both teabags AfterWet'!$A$3:$A$2000,0)),"")</f>
        <v>0.62450000000000006</v>
      </c>
      <c r="T396" s="194">
        <f>IFERROR(INDEX('Both teabags AfterWet'!$C$3:$C$2000,MATCH(I396,'Both teabags AfterWet'!$A$3:$A$2000,0)),"")</f>
        <v>1.5687</v>
      </c>
      <c r="U396" s="194">
        <f t="shared" si="61"/>
        <v>0.47390000000000004</v>
      </c>
      <c r="V396" s="194">
        <f t="shared" si="62"/>
        <v>1.4180999999999999</v>
      </c>
      <c r="W396" s="194">
        <f>IFERROR(INDEX('Ashed teabags wet'!$K$2:$K$2000,MATCH(H396,'Ashed teabags wet'!$A$2:$A$2000,0)),"")</f>
        <v>13.73786407767002</v>
      </c>
      <c r="X396" s="237">
        <f>IFERROR(INDEX('Ashed teabags wet'!$K$2:$K$2000,MATCH(I396,'Ashed teabags wet'!$A$2:$A$2000,0)),"")</f>
        <v>7.5048732943469902</v>
      </c>
      <c r="Y396" s="194">
        <f t="shared" si="67"/>
        <v>0.4087962621359218</v>
      </c>
      <c r="Z396" s="194">
        <f t="shared" si="67"/>
        <v>1.3116733918128651</v>
      </c>
      <c r="AA396" s="194">
        <f t="shared" si="63"/>
        <v>0.76463048636935627</v>
      </c>
      <c r="AB396" s="194">
        <f t="shared" si="64"/>
        <v>0.50127794355805788</v>
      </c>
      <c r="AC396" s="194">
        <f t="shared" ref="AC396:AC459" si="69">IFERROR(Z396/Q396,"")</f>
        <v>0.65792578256462653</v>
      </c>
      <c r="AD396">
        <f t="shared" ref="AD396:AD459" si="70">IFERROR(IF((R396-G396)&gt;0,(IFERROR(R396-G396,"")),""),"")</f>
        <v>54</v>
      </c>
      <c r="AE396" s="194">
        <f t="shared" si="65"/>
        <v>9.1887783409315582E-2</v>
      </c>
      <c r="AF396" s="194">
        <f t="shared" si="66"/>
        <v>2.1240297155260244E-2</v>
      </c>
      <c r="AG396" s="252" t="str">
        <f>IF(ISNUMBER(SEARCH("C",'WetLitterbags placem_collection'!$Y103)),"YES","NO")</f>
        <v>NO</v>
      </c>
      <c r="AH396" s="252" t="str">
        <f>IF(ISNUMBER(SEARCH("H", 'WetLitterbags placem_collection'!$Y103)),"YES","NO")</f>
        <v>NO</v>
      </c>
      <c r="AI396" s="252" t="str">
        <f>IF(ISNUMBER(SEARCH("R", 'WetLitterbags placem_collection'!$Y103)),"YES","NO")</f>
        <v>NO</v>
      </c>
      <c r="AJ396" s="252" t="str">
        <f>IF(ISNUMBER(SEARCH("C", 'WetLitterbags placem_collection'!$W103)),"YES","NO")</f>
        <v>NO</v>
      </c>
      <c r="AK396" s="252" t="str">
        <f>IF(ISNUMBER(SEARCH("H", 'WetLitterbags placem_collection'!$W103)),"YES","NO")</f>
        <v>NO</v>
      </c>
      <c r="AL396" s="252" t="str">
        <f>IF(ISNUMBER(SEARCH("R", 'WetLitterbags placem_collection'!$W103)),"YES","NO")</f>
        <v>NO</v>
      </c>
    </row>
    <row r="397" spans="2:38">
      <c r="B397" t="str">
        <f>'Final data_for_R_analysis_Wetse'!A543</f>
        <v>Wet</v>
      </c>
      <c r="C397" s="260">
        <f>'Final data_for_R_analysis_Wetse'!B543</f>
        <v>102</v>
      </c>
      <c r="D397" t="s">
        <v>3815</v>
      </c>
      <c r="E397" t="s">
        <v>25</v>
      </c>
      <c r="F397" s="382">
        <v>6</v>
      </c>
      <c r="G397" s="16">
        <f>'WetLitterbags placem_collection'!E104</f>
        <v>42762</v>
      </c>
      <c r="H397" s="92" t="str">
        <f>'Final data_for_R_analysis_Wetse'!K543</f>
        <v>G824</v>
      </c>
      <c r="I397" t="str">
        <f>'Final data_for_R_analysis_Wetse'!K763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71">IF(J397&gt;0,(J397*$F$31-($F$29+$F$30)),"")</f>
        <v>1.6812</v>
      </c>
      <c r="M397" s="194">
        <f>AVERAGE(Ashed_controlls!$K$2:$K$11)</f>
        <v>5.5147656768714146</v>
      </c>
      <c r="N397" s="194">
        <f t="shared" si="68"/>
        <v>1.5884857594404378</v>
      </c>
      <c r="O397" s="194">
        <f t="shared" ref="O397:O460" si="72">IF(K397&gt;0,(K397*$F$32-($F$29+$F$30)),"")</f>
        <v>2.0061999999999998</v>
      </c>
      <c r="P397" s="194">
        <f>AVERAGE(Ashed_controlls!$K$12:$K$14)</f>
        <v>2.2816647271287041</v>
      </c>
      <c r="Q397" s="194">
        <f t="shared" ref="Q397:Q460" si="73">IFERROR(O397-(P397/100)*O397,"")</f>
        <v>1.9604252422443438</v>
      </c>
      <c r="R397" s="16">
        <f>IF('WetLitterbags placem_collection'!G104="","",'WetLitterbags placem_collection'!G104)</f>
        <v>42816</v>
      </c>
      <c r="S397" s="194">
        <f>IFERROR(INDEX('Both teabags AfterWet'!$C$3:$C$2000,MATCH(H397,'Both teabags AfterWet'!$A$3:$A$2000,0)),"")</f>
        <v>0.56499999999999995</v>
      </c>
      <c r="T397" s="194">
        <f>IFERROR(INDEX('Both teabags AfterWet'!$C$3:$C$2000,MATCH(I397,'Both teabags AfterWet'!$A$3:$A$2000,0)),"")</f>
        <v>1.6240000000000001</v>
      </c>
      <c r="U397" s="194">
        <f t="shared" ref="U397:U460" si="74">IFERROR(IF(S397&gt;0,S397-($F$29),""),"")</f>
        <v>0.41439999999999994</v>
      </c>
      <c r="V397" s="194">
        <f t="shared" ref="V397:V460" si="75">IFERROR(IF(T397&gt;0,T397-($F$29),""),"")</f>
        <v>1.4734</v>
      </c>
      <c r="W397" s="194">
        <f>IFERROR(INDEX('Ashed teabags wet'!$K$2:$K$2000,MATCH(H397,'Ashed teabags wet'!$A$2:$A$2000,0)),"")</f>
        <v>12.710187932739478</v>
      </c>
      <c r="X397" s="237">
        <f>IFERROR(INDEX('Ashed teabags wet'!$K$2:$K$2000,MATCH(I397,'Ashed teabags wet'!$A$2:$A$2000,0)),"")</f>
        <v>5.4671968190859612</v>
      </c>
      <c r="Y397" s="194">
        <f t="shared" si="67"/>
        <v>0.36172898120672753</v>
      </c>
      <c r="Z397" s="194">
        <f t="shared" si="67"/>
        <v>1.3928463220675875</v>
      </c>
      <c r="AA397" s="194">
        <f t="shared" ref="AA397:AA460" si="76">IFERROR(1-Y397/N397,"")</f>
        <v>0.77228062697008326</v>
      </c>
      <c r="AB397" s="194">
        <f t="shared" ref="AB397:AB460" si="77">IFERROR($F$26*(1-AE397),"")</f>
        <v>0.5062932376335938</v>
      </c>
      <c r="AC397" s="194">
        <f t="shared" si="69"/>
        <v>0.71048173225571321</v>
      </c>
      <c r="AD397">
        <f t="shared" si="70"/>
        <v>54</v>
      </c>
      <c r="AE397" s="194">
        <f t="shared" ref="AE397:AE460" si="78">IFERROR(1-(AA397/$F$25),"")</f>
        <v>8.2802105736243137E-2</v>
      </c>
      <c r="AF397" s="194">
        <f t="shared" ref="AF397:AF460" si="79">IFERROR(LN(AB397/(AC397-(1-AB397)))/AD397,"")</f>
        <v>1.5708448371940388E-2</v>
      </c>
      <c r="AG397" s="252" t="str">
        <f>IF(ISNUMBER(SEARCH("C",'WetLitterbags placem_collection'!$Y104)),"YES","NO")</f>
        <v>NO</v>
      </c>
      <c r="AH397" s="252" t="str">
        <f>IF(ISNUMBER(SEARCH("H", 'WetLitterbags placem_collection'!$Y104)),"YES","NO")</f>
        <v>NO</v>
      </c>
      <c r="AI397" s="252" t="str">
        <f>IF(ISNUMBER(SEARCH("R", 'WetLitterbags placem_collection'!$Y104)),"YES","NO")</f>
        <v>NO</v>
      </c>
      <c r="AJ397" s="252" t="str">
        <f>IF(ISNUMBER(SEARCH("C", 'WetLitterbags placem_collection'!$W104)),"YES","NO")</f>
        <v>NO</v>
      </c>
      <c r="AK397" s="252" t="str">
        <f>IF(ISNUMBER(SEARCH("H", 'WetLitterbags placem_collection'!$W104)),"YES","NO")</f>
        <v>NO</v>
      </c>
      <c r="AL397" s="252" t="str">
        <f>IF(ISNUMBER(SEARCH("R", 'WetLitterbags placem_collection'!$W104)),"YES","NO")</f>
        <v>NO</v>
      </c>
    </row>
    <row r="398" spans="2:38">
      <c r="B398" t="str">
        <f>'Final data_for_R_analysis_Wetse'!A544</f>
        <v>Wet</v>
      </c>
      <c r="C398" s="260">
        <f>'Final data_for_R_analysis_Wetse'!B544</f>
        <v>103</v>
      </c>
      <c r="D398" t="s">
        <v>3815</v>
      </c>
      <c r="E398" t="s">
        <v>25</v>
      </c>
      <c r="F398" s="382">
        <v>7</v>
      </c>
      <c r="G398" s="16">
        <f>'WetLitterbags placem_collection'!E105</f>
        <v>42762</v>
      </c>
      <c r="H398" s="92" t="str">
        <f>'Final data_for_R_analysis_Wetse'!K544</f>
        <v>G692</v>
      </c>
      <c r="I398" t="str">
        <f>'Final data_for_R_analysis_Wetse'!K764</f>
        <v>R494</v>
      </c>
      <c r="J398">
        <f>IFERROR(INDEX('Green_rooibos initial weight'!$C$5:$C$2000,MATCH(H398, 'Green_rooibos initial weight'!$A$5:$A$2000,0)),"")</f>
        <v>2.028</v>
      </c>
      <c r="K398">
        <f>IFERROR(INDEX('Green_rooibos initial weight'!$C$5:$C$2000,MATCH(I398, 'Green_rooibos initial weight'!$A$5:$A$2000,0)),"")</f>
        <v>2.2130000000000001</v>
      </c>
      <c r="L398" s="194">
        <f t="shared" si="71"/>
        <v>1.7782</v>
      </c>
      <c r="M398" s="194">
        <f>AVERAGE(Ashed_controlls!$K$2:$K$11)</f>
        <v>5.5147656768714146</v>
      </c>
      <c r="N398" s="194">
        <f t="shared" si="68"/>
        <v>1.6801364367338725</v>
      </c>
      <c r="O398" s="194">
        <f t="shared" si="72"/>
        <v>1.9632000000000001</v>
      </c>
      <c r="P398" s="194">
        <f>AVERAGE(Ashed_controlls!$K$12:$K$14)</f>
        <v>2.2816647271287041</v>
      </c>
      <c r="Q398" s="194">
        <f t="shared" si="73"/>
        <v>1.9184063580770094</v>
      </c>
      <c r="R398" s="16">
        <f>IF('WetLitterbags placem_collection'!G105="","",'WetLitterbags placem_collection'!G105)</f>
        <v>42816</v>
      </c>
      <c r="S398" s="194">
        <f>IFERROR(INDEX('Both teabags AfterWet'!$C$3:$C$2000,MATCH(H398,'Both teabags AfterWet'!$A$3:$A$2000,0)),"")</f>
        <v>0.58699999999999997</v>
      </c>
      <c r="T398" s="194">
        <f>IFERROR(INDEX('Both teabags AfterWet'!$C$3:$C$2000,MATCH(I398,'Both teabags AfterWet'!$A$3:$A$2000,0)),"")</f>
        <v>1.6919999999999999</v>
      </c>
      <c r="U398" s="194">
        <f t="shared" si="74"/>
        <v>0.43639999999999995</v>
      </c>
      <c r="V398" s="194">
        <f t="shared" si="75"/>
        <v>1.5413999999999999</v>
      </c>
      <c r="W398" s="194">
        <f>IFERROR(INDEX('Ashed teabags wet'!$K$2:$K$2000,MATCH(H398,'Ashed teabags wet'!$A$2:$A$2000,0)),"")</f>
        <v>13.793103448275259</v>
      </c>
      <c r="X398" s="237">
        <f>IFERROR(INDEX('Ashed teabags wet'!$K$2:$K$2000,MATCH(I398,'Ashed teabags wet'!$A$2:$A$2000,0)),"")</f>
        <v>5.3175775480057332</v>
      </c>
      <c r="Y398" s="194">
        <f t="shared" ref="Y398:Z461" si="80">IFERROR(U398-(W398/100)*U398,"")</f>
        <v>0.37620689655172673</v>
      </c>
      <c r="Z398" s="194">
        <f t="shared" si="80"/>
        <v>1.4594348596750395</v>
      </c>
      <c r="AA398" s="194">
        <f t="shared" si="76"/>
        <v>0.77608550810131827</v>
      </c>
      <c r="AB398" s="194">
        <f t="shared" si="77"/>
        <v>0.50878764901654128</v>
      </c>
      <c r="AC398" s="194">
        <f t="shared" si="69"/>
        <v>0.76075376498332803</v>
      </c>
      <c r="AD398">
        <f t="shared" si="70"/>
        <v>54</v>
      </c>
      <c r="AE398" s="194">
        <f t="shared" si="78"/>
        <v>7.8283244535251484E-2</v>
      </c>
      <c r="AF398" s="194">
        <f t="shared" si="79"/>
        <v>1.176497571663415E-2</v>
      </c>
      <c r="AG398" s="252" t="str">
        <f>IF(ISNUMBER(SEARCH("C",'WetLitterbags placem_collection'!$Y105)),"YES","NO")</f>
        <v>NO</v>
      </c>
      <c r="AH398" s="252" t="str">
        <f>IF(ISNUMBER(SEARCH("H", 'WetLitterbags placem_collection'!$Y105)),"YES","NO")</f>
        <v>NO</v>
      </c>
      <c r="AI398" s="252" t="str">
        <f>IF(ISNUMBER(SEARCH("R", 'WetLitterbags placem_collection'!$Y105)),"YES","NO")</f>
        <v>YES</v>
      </c>
      <c r="AJ398" s="252" t="str">
        <f>IF(ISNUMBER(SEARCH("C", 'WetLitterbags placem_collection'!$W105)),"YES","NO")</f>
        <v>NO</v>
      </c>
      <c r="AK398" s="252" t="str">
        <f>IF(ISNUMBER(SEARCH("H", 'WetLitterbags placem_collection'!$W105)),"YES","NO")</f>
        <v>NO</v>
      </c>
      <c r="AL398" s="252" t="str">
        <f>IF(ISNUMBER(SEARCH("R", 'WetLitterbags placem_collection'!$W105)),"YES","NO")</f>
        <v>NO</v>
      </c>
    </row>
    <row r="399" spans="2:38">
      <c r="B399" t="str">
        <f>'Final data_for_R_analysis_Wetse'!A545</f>
        <v>Wet</v>
      </c>
      <c r="C399" s="260">
        <f>'Final data_for_R_analysis_Wetse'!B545</f>
        <v>104</v>
      </c>
      <c r="D399" t="s">
        <v>3815</v>
      </c>
      <c r="E399" t="s">
        <v>25</v>
      </c>
      <c r="F399" s="382">
        <v>8</v>
      </c>
      <c r="G399" s="16">
        <f>'WetLitterbags placem_collection'!E106</f>
        <v>42762</v>
      </c>
      <c r="H399" s="92" t="str">
        <f>'Final data_for_R_analysis_Wetse'!K545</f>
        <v>G806</v>
      </c>
      <c r="I399" t="str">
        <f>'Final data_for_R_analysis_Wetse'!K765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71"/>
        <v>1.7921999999999998</v>
      </c>
      <c r="M399" s="194">
        <f>AVERAGE(Ashed_controlls!$K$2:$K$11)</f>
        <v>5.5147656768714146</v>
      </c>
      <c r="N399" s="194">
        <f t="shared" si="68"/>
        <v>1.6933643695391103</v>
      </c>
      <c r="O399" s="194">
        <f t="shared" si="72"/>
        <v>1.9712000000000001</v>
      </c>
      <c r="P399" s="194">
        <f>AVERAGE(Ashed_controlls!$K$12:$K$14)</f>
        <v>2.2816647271287041</v>
      </c>
      <c r="Q399" s="194">
        <f t="shared" si="73"/>
        <v>1.926223824898839</v>
      </c>
      <c r="R399" s="16">
        <f>IF('WetLitterbags placem_collection'!G106="","",'WetLitterbags placem_collection'!G106)</f>
        <v>42816</v>
      </c>
      <c r="S399" s="194">
        <f>IFERROR(INDEX('Both teabags AfterWet'!$C$3:$C$2000,MATCH(H399,'Both teabags AfterWet'!$A$3:$A$2000,0)),"")</f>
        <v>0.72499999999999998</v>
      </c>
      <c r="T399" s="194">
        <f>IFERROR(INDEX('Both teabags AfterWet'!$C$3:$C$2000,MATCH(I399,'Both teabags AfterWet'!$A$3:$A$2000,0)),"")</f>
        <v>1.4970000000000001</v>
      </c>
      <c r="U399" s="194">
        <f t="shared" si="74"/>
        <v>0.57440000000000002</v>
      </c>
      <c r="V399" s="194">
        <f t="shared" si="75"/>
        <v>1.3464</v>
      </c>
      <c r="W399" s="194">
        <f>IFERROR(INDEX('Ashed teabags wet'!$K$2:$K$2000,MATCH(H399,'Ashed teabags wet'!$A$2:$A$2000,0)),"")</f>
        <v>16.853385289820611</v>
      </c>
      <c r="X399" s="237">
        <f>IFERROR(INDEX('Ashed teabags wet'!$K$2:$K$2000,MATCH(I399,'Ashed teabags wet'!$A$2:$A$2000,0)),"")</f>
        <v>9.2474176094433584</v>
      </c>
      <c r="Y399" s="194">
        <f t="shared" si="80"/>
        <v>0.47759415489527046</v>
      </c>
      <c r="Z399" s="194">
        <f t="shared" si="80"/>
        <v>1.2218927693064547</v>
      </c>
      <c r="AA399" s="194">
        <f t="shared" si="76"/>
        <v>0.7179613770748825</v>
      </c>
      <c r="AB399" s="194">
        <f t="shared" si="77"/>
        <v>0.47068251798733396</v>
      </c>
      <c r="AC399" s="194">
        <f t="shared" si="69"/>
        <v>0.63434620292406874</v>
      </c>
      <c r="AD399">
        <f t="shared" si="70"/>
        <v>54</v>
      </c>
      <c r="AE399" s="194">
        <f t="shared" si="78"/>
        <v>0.14731427900845306</v>
      </c>
      <c r="AF399" s="194">
        <f t="shared" si="79"/>
        <v>2.7776851148470998E-2</v>
      </c>
      <c r="AG399" s="252" t="str">
        <f>IF(ISNUMBER(SEARCH("C",'WetLitterbags placem_collection'!$Y106)),"YES","NO")</f>
        <v>NO</v>
      </c>
      <c r="AH399" s="252" t="str">
        <f>IF(ISNUMBER(SEARCH("H", 'WetLitterbags placem_collection'!$Y106)),"YES","NO")</f>
        <v>NO</v>
      </c>
      <c r="AI399" s="252" t="str">
        <f>IF(ISNUMBER(SEARCH("R", 'WetLitterbags placem_collection'!$Y106)),"YES","NO")</f>
        <v>NO</v>
      </c>
      <c r="AJ399" s="252" t="str">
        <f>IF(ISNUMBER(SEARCH("C", 'WetLitterbags placem_collection'!$W106)),"YES","NO")</f>
        <v>NO</v>
      </c>
      <c r="AK399" s="252" t="str">
        <f>IF(ISNUMBER(SEARCH("H", 'WetLitterbags placem_collection'!$W106)),"YES","NO")</f>
        <v>NO</v>
      </c>
      <c r="AL399" s="252" t="str">
        <f>IF(ISNUMBER(SEARCH("R", 'WetLitterbags placem_collection'!$W106)),"YES","NO")</f>
        <v>NO</v>
      </c>
    </row>
    <row r="400" spans="2:38">
      <c r="B400" t="str">
        <f>'Final data_for_R_analysis_Wetse'!A546</f>
        <v>Wet</v>
      </c>
      <c r="C400" s="260">
        <f>'Final data_for_R_analysis_Wetse'!B546</f>
        <v>105</v>
      </c>
      <c r="D400" t="s">
        <v>3817</v>
      </c>
      <c r="E400" t="s">
        <v>25</v>
      </c>
      <c r="F400" s="381">
        <v>1</v>
      </c>
      <c r="G400" s="16">
        <f>'WetLitterbags placem_collection'!E107</f>
        <v>42762</v>
      </c>
      <c r="H400" s="92" t="str">
        <f>'Final data_for_R_analysis_Wetse'!K546</f>
        <v>G861</v>
      </c>
      <c r="I400" t="str">
        <f>'Final data_for_R_analysis_Wetse'!K766</f>
        <v>R540</v>
      </c>
      <c r="J400">
        <f>IFERROR(INDEX('Green_rooibos initial weight'!$C$5:$C$2000,MATCH(H400, 'Green_rooibos initial weight'!$A$5:$A$2000,0)),"")</f>
        <v>1.9339999999999999</v>
      </c>
      <c r="K400">
        <f>IFERROR(INDEX('Green_rooibos initial weight'!$C$5:$C$2000,MATCH(I400, 'Green_rooibos initial weight'!$A$5:$A$2000,0)),"")</f>
        <v>2.194</v>
      </c>
      <c r="L400" s="194">
        <f t="shared" si="71"/>
        <v>1.6841999999999999</v>
      </c>
      <c r="M400" s="194">
        <f>AVERAGE(Ashed_controlls!$K$2:$K$11)</f>
        <v>5.5147656768714146</v>
      </c>
      <c r="N400" s="194">
        <f t="shared" si="68"/>
        <v>1.5913203164701315</v>
      </c>
      <c r="O400" s="194">
        <f t="shared" si="72"/>
        <v>1.9441999999999999</v>
      </c>
      <c r="P400" s="194">
        <f>AVERAGE(Ashed_controlls!$K$12:$K$14)</f>
        <v>2.2816647271287041</v>
      </c>
      <c r="Q400" s="194">
        <f t="shared" si="73"/>
        <v>1.8998398743751637</v>
      </c>
      <c r="R400" s="16">
        <f>IF('WetLitterbags placem_collection'!G107="","",'WetLitterbags placem_collection'!G107)</f>
        <v>42816</v>
      </c>
      <c r="S400" s="194">
        <f>IFERROR(INDEX('Both teabags AfterWet'!$C$3:$C$2000,MATCH(H400,'Both teabags AfterWet'!$A$3:$A$2000,0)),"")</f>
        <v>0.626</v>
      </c>
      <c r="T400" s="194">
        <f>IFERROR(INDEX('Both teabags AfterWet'!$C$3:$C$2000,MATCH(I400,'Both teabags AfterWet'!$A$3:$A$2000,0)),"")</f>
        <v>1.8080000000000001</v>
      </c>
      <c r="U400" s="194">
        <f t="shared" si="74"/>
        <v>0.47539999999999999</v>
      </c>
      <c r="V400" s="194">
        <f t="shared" si="75"/>
        <v>1.6574</v>
      </c>
      <c r="W400" s="194">
        <f>IFERROR(INDEX('Ashed teabags wet'!$K$2:$K$2000,MATCH(H400,'Ashed teabags wet'!$A$2:$A$2000,0)),"")</f>
        <v>20.431034482760303</v>
      </c>
      <c r="X400" s="237">
        <f>IFERROR(INDEX('Ashed teabags wet'!$K$2:$K$2000,MATCH(I400,'Ashed teabags wet'!$A$2:$A$2000,0)),"")</f>
        <v>5.7625434674605209</v>
      </c>
      <c r="Y400" s="194">
        <f t="shared" si="80"/>
        <v>0.37827086206895755</v>
      </c>
      <c r="Z400" s="194">
        <f t="shared" si="80"/>
        <v>1.5618916045703093</v>
      </c>
      <c r="AA400" s="194">
        <f t="shared" si="76"/>
        <v>0.76229118791869732</v>
      </c>
      <c r="AB400" s="194">
        <f t="shared" si="77"/>
        <v>0.49974434172342158</v>
      </c>
      <c r="AC400" s="194">
        <f t="shared" si="69"/>
        <v>0.82211749823600166</v>
      </c>
      <c r="AD400">
        <f t="shared" si="70"/>
        <v>54</v>
      </c>
      <c r="AE400" s="194">
        <f t="shared" si="78"/>
        <v>9.4666047602497194E-2</v>
      </c>
      <c r="AF400" s="194">
        <f t="shared" si="79"/>
        <v>8.1476715941285662E-3</v>
      </c>
      <c r="AG400" s="252" t="str">
        <f>IF(ISNUMBER(SEARCH("C",'WetLitterbags placem_collection'!$Y107)),"YES","NO")</f>
        <v>NO</v>
      </c>
      <c r="AH400" s="252" t="str">
        <f>IF(ISNUMBER(SEARCH("H", 'WetLitterbags placem_collection'!$Y107)),"YES","NO")</f>
        <v>NO</v>
      </c>
      <c r="AI400" s="252" t="str">
        <f>IF(ISNUMBER(SEARCH("R", 'WetLitterbags placem_collection'!$Y107)),"YES","NO")</f>
        <v>YES</v>
      </c>
      <c r="AJ400" s="252" t="str">
        <f>IF(ISNUMBER(SEARCH("C", 'WetLitterbags placem_collection'!$W107)),"YES","NO")</f>
        <v>NO</v>
      </c>
      <c r="AK400" s="252" t="str">
        <f>IF(ISNUMBER(SEARCH("H", 'WetLitterbags placem_collection'!$W107)),"YES","NO")</f>
        <v>NO</v>
      </c>
      <c r="AL400" s="252" t="str">
        <f>IF(ISNUMBER(SEARCH("R", 'WetLitterbags placem_collection'!$W107)),"YES","NO")</f>
        <v>YES</v>
      </c>
    </row>
    <row r="401" spans="2:38">
      <c r="B401" t="str">
        <f>'Final data_for_R_analysis_Wetse'!A547</f>
        <v>Wet</v>
      </c>
      <c r="C401" s="260">
        <f>'Final data_for_R_analysis_Wetse'!B547</f>
        <v>106</v>
      </c>
      <c r="D401" t="s">
        <v>3817</v>
      </c>
      <c r="E401" t="s">
        <v>25</v>
      </c>
      <c r="F401" s="381">
        <v>2</v>
      </c>
      <c r="G401" s="16">
        <f>'WetLitterbags placem_collection'!E108</f>
        <v>42762</v>
      </c>
      <c r="H401" s="92" t="str">
        <f>'Final data_for_R_analysis_Wetse'!K547</f>
        <v>G738</v>
      </c>
      <c r="I401" t="str">
        <f>'Final data_for_R_analysis_Wetse'!K767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71"/>
        <v>1.7591999999999999</v>
      </c>
      <c r="M401" s="194">
        <f>AVERAGE(Ashed_controlls!$K$2:$K$11)</f>
        <v>5.5147656768714146</v>
      </c>
      <c r="N401" s="194">
        <f t="shared" si="68"/>
        <v>1.662184242212478</v>
      </c>
      <c r="O401" s="194">
        <f t="shared" si="72"/>
        <v>1.9592000000000001</v>
      </c>
      <c r="P401" s="194">
        <f>AVERAGE(Ashed_controlls!$K$12:$K$14)</f>
        <v>2.2816647271287041</v>
      </c>
      <c r="Q401" s="194">
        <f t="shared" si="73"/>
        <v>1.9144976246660945</v>
      </c>
      <c r="R401" s="16">
        <f>IF('WetLitterbags placem_collection'!G108="","",'WetLitterbags placem_collection'!G108)</f>
        <v>42816</v>
      </c>
      <c r="S401" s="194">
        <f>IFERROR(INDEX('Both teabags AfterWet'!$C$3:$C$2000,MATCH(H401,'Both teabags AfterWet'!$A$3:$A$2000,0)),"")</f>
        <v>0.626</v>
      </c>
      <c r="T401" s="194">
        <f>IFERROR(INDEX('Both teabags AfterWet'!$C$3:$C$2000,MATCH(I401,'Both teabags AfterWet'!$A$3:$A$2000,0)),"")</f>
        <v>1.7729999999999999</v>
      </c>
      <c r="U401" s="194">
        <f t="shared" si="74"/>
        <v>0.47539999999999999</v>
      </c>
      <c r="V401" s="194">
        <f t="shared" si="75"/>
        <v>1.6223999999999998</v>
      </c>
      <c r="W401" s="194">
        <f>IFERROR(INDEX('Ashed teabags wet'!$K$2:$K$2000,MATCH(H401,'Ashed teabags wet'!$A$2:$A$2000,0)),"")</f>
        <v>15.46906187624684</v>
      </c>
      <c r="X401" s="237">
        <f>IFERROR(INDEX('Ashed teabags wet'!$K$2:$K$2000,MATCH(I401,'Ashed teabags wet'!$A$2:$A$2000,0)),"")</f>
        <v>5.062034739454969</v>
      </c>
      <c r="Y401" s="194">
        <f t="shared" si="80"/>
        <v>0.40186007984032251</v>
      </c>
      <c r="Z401" s="194">
        <f t="shared" si="80"/>
        <v>1.5402735483870824</v>
      </c>
      <c r="AA401" s="194">
        <f t="shared" si="76"/>
        <v>0.75823373267850258</v>
      </c>
      <c r="AB401" s="194">
        <f t="shared" si="77"/>
        <v>0.49708434731417278</v>
      </c>
      <c r="AC401" s="194">
        <f t="shared" si="69"/>
        <v>0.80453144916057018</v>
      </c>
      <c r="AD401">
        <f t="shared" si="70"/>
        <v>54</v>
      </c>
      <c r="AE401" s="194">
        <f t="shared" si="78"/>
        <v>9.9484878054034942E-2</v>
      </c>
      <c r="AF401" s="194">
        <f t="shared" si="79"/>
        <v>9.2519576715031134E-3</v>
      </c>
      <c r="AG401" s="252" t="str">
        <f>IF(ISNUMBER(SEARCH("C",'WetLitterbags placem_collection'!$Y108)),"YES","NO")</f>
        <v>NO</v>
      </c>
      <c r="AH401" s="252" t="str">
        <f>IF(ISNUMBER(SEARCH("H", 'WetLitterbags placem_collection'!$Y108)),"YES","NO")</f>
        <v>NO</v>
      </c>
      <c r="AI401" s="252" t="str">
        <f>IF(ISNUMBER(SEARCH("R", 'WetLitterbags placem_collection'!$Y108)),"YES","NO")</f>
        <v>YES</v>
      </c>
      <c r="AJ401" s="252" t="str">
        <f>IF(ISNUMBER(SEARCH("C", 'WetLitterbags placem_collection'!$W108)),"YES","NO")</f>
        <v>NO</v>
      </c>
      <c r="AK401" s="252" t="str">
        <f>IF(ISNUMBER(SEARCH("H", 'WetLitterbags placem_collection'!$W108)),"YES","NO")</f>
        <v>NO</v>
      </c>
      <c r="AL401" s="252" t="str">
        <f>IF(ISNUMBER(SEARCH("R", 'WetLitterbags placem_collection'!$W108)),"YES","NO")</f>
        <v>YES</v>
      </c>
    </row>
    <row r="402" spans="2:38">
      <c r="B402" t="str">
        <f>'Final data_for_R_analysis_Wetse'!A548</f>
        <v>Wet</v>
      </c>
      <c r="C402" s="260">
        <f>'Final data_for_R_analysis_Wetse'!B548</f>
        <v>107</v>
      </c>
      <c r="D402" t="s">
        <v>3817</v>
      </c>
      <c r="E402" t="s">
        <v>25</v>
      </c>
      <c r="F402" s="381">
        <v>3</v>
      </c>
      <c r="G402" s="16">
        <f>'WetLitterbags placem_collection'!E109</f>
        <v>42762</v>
      </c>
      <c r="H402" s="92" t="str">
        <f>'Final data_for_R_analysis_Wetse'!K548</f>
        <v>G676</v>
      </c>
      <c r="I402" t="str">
        <f>'Final data_for_R_analysis_Wetse'!K768</f>
        <v>R510</v>
      </c>
      <c r="J402">
        <f>IFERROR(INDEX('Green_rooibos initial weight'!$C$5:$C$2000,MATCH(H402, 'Green_rooibos initial weight'!$A$5:$A$2000,0)),"")</f>
        <v>2.048</v>
      </c>
      <c r="K402">
        <f>IFERROR(INDEX('Green_rooibos initial weight'!$C$5:$C$2000,MATCH(I402, 'Green_rooibos initial weight'!$A$5:$A$2000,0)),"")</f>
        <v>2.2349999999999999</v>
      </c>
      <c r="L402" s="194">
        <f t="shared" si="71"/>
        <v>1.7982</v>
      </c>
      <c r="M402" s="194">
        <f>AVERAGE(Ashed_controlls!$K$2:$K$11)</f>
        <v>5.5147656768714146</v>
      </c>
      <c r="N402" s="194">
        <f t="shared" si="68"/>
        <v>1.6990334835984982</v>
      </c>
      <c r="O402" s="194">
        <f t="shared" si="72"/>
        <v>1.9851999999999999</v>
      </c>
      <c r="P402" s="194">
        <f>AVERAGE(Ashed_controlls!$K$12:$K$14)</f>
        <v>2.2816647271287041</v>
      </c>
      <c r="Q402" s="194">
        <f t="shared" si="73"/>
        <v>1.9399043918370409</v>
      </c>
      <c r="R402" s="16">
        <f>IF('WetLitterbags placem_collection'!G109="","",'WetLitterbags placem_collection'!G109)</f>
        <v>42816</v>
      </c>
      <c r="S402" s="194">
        <f>IFERROR(INDEX('Both teabags AfterWet'!$C$3:$C$2000,MATCH(H402,'Both teabags AfterWet'!$A$3:$A$2000,0)),"")</f>
        <v>0.67630000000000001</v>
      </c>
      <c r="T402" s="194">
        <f>IFERROR(INDEX('Both teabags AfterWet'!$C$3:$C$2000,MATCH(I402,'Both teabags AfterWet'!$A$3:$A$2000,0)),"")</f>
        <v>1.5944</v>
      </c>
      <c r="U402" s="194">
        <f t="shared" si="74"/>
        <v>0.52570000000000006</v>
      </c>
      <c r="V402" s="194">
        <f t="shared" si="75"/>
        <v>1.4438</v>
      </c>
      <c r="W402" s="194">
        <f>IFERROR(INDEX('Ashed teabags wet'!$K$2:$K$2000,MATCH(H402,'Ashed teabags wet'!$A$2:$A$2000,0)),"")</f>
        <v>16.393442622950655</v>
      </c>
      <c r="X402" s="237">
        <f>IFERROR(INDEX('Ashed teabags wet'!$K$2:$K$2000,MATCH(I402,'Ashed teabags wet'!$A$2:$A$2000,0)),"")</f>
        <v>5.2605210420842559</v>
      </c>
      <c r="Y402" s="194">
        <f t="shared" si="80"/>
        <v>0.43951967213114845</v>
      </c>
      <c r="Z402" s="194">
        <f t="shared" si="80"/>
        <v>1.3678485971943874</v>
      </c>
      <c r="AA402" s="194">
        <f t="shared" si="76"/>
        <v>0.74131194212826235</v>
      </c>
      <c r="AB402" s="194">
        <f t="shared" si="77"/>
        <v>0.48599072690593931</v>
      </c>
      <c r="AC402" s="194">
        <f t="shared" si="69"/>
        <v>0.70511134618292659</v>
      </c>
      <c r="AD402">
        <f t="shared" si="70"/>
        <v>54</v>
      </c>
      <c r="AE402" s="194">
        <f t="shared" si="78"/>
        <v>0.11958201647474775</v>
      </c>
      <c r="AF402" s="194">
        <f t="shared" si="79"/>
        <v>1.7284848961146137E-2</v>
      </c>
      <c r="AG402" s="252" t="str">
        <f>IF(ISNUMBER(SEARCH("C",'WetLitterbags placem_collection'!$Y109)),"YES","NO")</f>
        <v>NO</v>
      </c>
      <c r="AH402" s="252" t="str">
        <f>IF(ISNUMBER(SEARCH("H", 'WetLitterbags placem_collection'!$Y109)),"YES","NO")</f>
        <v>NO</v>
      </c>
      <c r="AI402" s="252" t="str">
        <f>IF(ISNUMBER(SEARCH("R", 'WetLitterbags placem_collection'!$Y109)),"YES","NO")</f>
        <v>NO</v>
      </c>
      <c r="AJ402" s="252" t="str">
        <f>IF(ISNUMBER(SEARCH("C", 'WetLitterbags placem_collection'!$W109)),"YES","NO")</f>
        <v>NO</v>
      </c>
      <c r="AK402" s="252" t="str">
        <f>IF(ISNUMBER(SEARCH("H", 'WetLitterbags placem_collection'!$W109)),"YES","NO")</f>
        <v>NO</v>
      </c>
      <c r="AL402" s="252" t="str">
        <f>IF(ISNUMBER(SEARCH("R", 'WetLitterbags placem_collection'!$W109)),"YES","NO")</f>
        <v>NO</v>
      </c>
    </row>
    <row r="403" spans="2:38">
      <c r="B403" t="str">
        <f>'Final data_for_R_analysis_Wetse'!A549</f>
        <v>Wet</v>
      </c>
      <c r="C403" s="260">
        <f>'Final data_for_R_analysis_Wetse'!B549</f>
        <v>108</v>
      </c>
      <c r="D403" t="s">
        <v>3817</v>
      </c>
      <c r="E403" t="s">
        <v>25</v>
      </c>
      <c r="F403" s="382">
        <v>4</v>
      </c>
      <c r="G403" s="16">
        <f>'WetLitterbags placem_collection'!E110</f>
        <v>42762</v>
      </c>
      <c r="H403" s="92" t="str">
        <f>'Final data_for_R_analysis_Wetse'!K549</f>
        <v>G845</v>
      </c>
      <c r="I403" t="str">
        <f>'Final data_for_R_analysis_Wetse'!K769</f>
        <v>R509</v>
      </c>
      <c r="J403">
        <f>IFERROR(INDEX('Green_rooibos initial weight'!$C$5:$C$2000,MATCH(H403, 'Green_rooibos initial weight'!$A$5:$A$2000,0)),"")</f>
        <v>2.0459999999999998</v>
      </c>
      <c r="K403">
        <f>IFERROR(INDEX('Green_rooibos initial weight'!$C$5:$C$2000,MATCH(I403, 'Green_rooibos initial weight'!$A$5:$A$2000,0)),"")</f>
        <v>2.161</v>
      </c>
      <c r="L403" s="194">
        <f t="shared" si="71"/>
        <v>1.7961999999999998</v>
      </c>
      <c r="M403" s="194">
        <f>AVERAGE(Ashed_controlls!$K$2:$K$11)</f>
        <v>5.5147656768714146</v>
      </c>
      <c r="N403" s="194">
        <f t="shared" si="68"/>
        <v>1.6971437789120354</v>
      </c>
      <c r="O403" s="194">
        <f t="shared" si="72"/>
        <v>1.9112</v>
      </c>
      <c r="P403" s="194">
        <f>AVERAGE(Ashed_controlls!$K$12:$K$14)</f>
        <v>2.2816647271287041</v>
      </c>
      <c r="Q403" s="194">
        <f t="shared" si="73"/>
        <v>1.8675928237351163</v>
      </c>
      <c r="R403" s="16">
        <f>IF('WetLitterbags placem_collection'!G110="","",'WetLitterbags placem_collection'!G110)</f>
        <v>42816</v>
      </c>
      <c r="S403" s="194">
        <f>IFERROR(INDEX('Both teabags AfterWet'!$C$3:$C$2000,MATCH(H403,'Both teabags AfterWet'!$A$3:$A$2000,0)),"")</f>
        <v>0.57699999999999996</v>
      </c>
      <c r="T403" s="194">
        <f>IFERROR(INDEX('Both teabags AfterWet'!$C$3:$C$2000,MATCH(I403,'Both teabags AfterWet'!$A$3:$A$2000,0)),"")</f>
        <v>1.6739999999999999</v>
      </c>
      <c r="U403" s="194">
        <f t="shared" si="74"/>
        <v>0.42639999999999995</v>
      </c>
      <c r="V403" s="194">
        <f t="shared" si="75"/>
        <v>1.5233999999999999</v>
      </c>
      <c r="W403" s="194">
        <f>IFERROR(INDEX('Ashed teabags wet'!$K$2:$K$2000,MATCH(H403,'Ashed teabags wet'!$A$2:$A$2000,0)),"")</f>
        <v>13.078070611635859</v>
      </c>
      <c r="X403" s="237">
        <f>IFERROR(INDEX('Ashed teabags wet'!$K$2:$K$2000,MATCH(I403,'Ashed teabags wet'!$A$2:$A$2000,0)),"")</f>
        <v>5.6567593480338392</v>
      </c>
      <c r="Y403" s="194">
        <f t="shared" si="80"/>
        <v>0.37063510691198465</v>
      </c>
      <c r="Z403" s="194">
        <f t="shared" si="80"/>
        <v>1.4372249280920524</v>
      </c>
      <c r="AA403" s="194">
        <f t="shared" si="76"/>
        <v>0.78161242935493502</v>
      </c>
      <c r="AB403" s="194">
        <f t="shared" si="77"/>
        <v>0.51241099881701213</v>
      </c>
      <c r="AC403" s="194">
        <f t="shared" si="69"/>
        <v>0.76956010422960175</v>
      </c>
      <c r="AD403">
        <f t="shared" si="70"/>
        <v>54</v>
      </c>
      <c r="AE403" s="194">
        <f t="shared" si="78"/>
        <v>7.1719205041644862E-2</v>
      </c>
      <c r="AF403" s="194">
        <f t="shared" si="79"/>
        <v>1.1061526682690229E-2</v>
      </c>
      <c r="AG403" s="252" t="str">
        <f>IF(ISNUMBER(SEARCH("C",'WetLitterbags placem_collection'!$Y110)),"YES","NO")</f>
        <v>NO</v>
      </c>
      <c r="AH403" s="252" t="str">
        <f>IF(ISNUMBER(SEARCH("H", 'WetLitterbags placem_collection'!$Y110)),"YES","NO")</f>
        <v>NO</v>
      </c>
      <c r="AI403" s="252" t="str">
        <f>IF(ISNUMBER(SEARCH("R", 'WetLitterbags placem_collection'!$Y110)),"YES","NO")</f>
        <v>YES</v>
      </c>
      <c r="AJ403" s="252" t="str">
        <f>IF(ISNUMBER(SEARCH("C", 'WetLitterbags placem_collection'!$W110)),"YES","NO")</f>
        <v>NO</v>
      </c>
      <c r="AK403" s="252" t="str">
        <f>IF(ISNUMBER(SEARCH("H", 'WetLitterbags placem_collection'!$W110)),"YES","NO")</f>
        <v>YES</v>
      </c>
      <c r="AL403" s="252" t="str">
        <f>IF(ISNUMBER(SEARCH("R", 'WetLitterbags placem_collection'!$W110)),"YES","NO")</f>
        <v>NO</v>
      </c>
    </row>
    <row r="404" spans="2:38">
      <c r="B404" t="str">
        <f>'Final data_for_R_analysis_Wetse'!A550</f>
        <v>Wet</v>
      </c>
      <c r="C404" s="260">
        <f>'Final data_for_R_analysis_Wetse'!B550</f>
        <v>109</v>
      </c>
      <c r="D404" t="s">
        <v>3817</v>
      </c>
      <c r="E404" t="s">
        <v>25</v>
      </c>
      <c r="F404" s="382">
        <v>5</v>
      </c>
      <c r="G404" s="16">
        <f>'WetLitterbags placem_collection'!E111</f>
        <v>42762</v>
      </c>
      <c r="H404" s="92" t="str">
        <f>'Final data_for_R_analysis_Wetse'!K550</f>
        <v>G887</v>
      </c>
      <c r="I404" t="str">
        <f>'Final data_for_R_analysis_Wetse'!K770</f>
        <v>R33</v>
      </c>
      <c r="J404">
        <f>IFERROR(INDEX('Green_rooibos initial weight'!$C$5:$C$2000,MATCH(H404, 'Green_rooibos initial weight'!$A$5:$A$2000,0)),"")</f>
        <v>1.998</v>
      </c>
      <c r="K404">
        <f>IFERROR(INDEX('Green_rooibos initial weight'!$C$5:$C$2000,MATCH(I404, 'Green_rooibos initial weight'!$A$5:$A$2000,0)),"")</f>
        <v>2.1989999999999998</v>
      </c>
      <c r="L404" s="194">
        <f t="shared" si="71"/>
        <v>1.7482</v>
      </c>
      <c r="M404" s="194">
        <f>AVERAGE(Ashed_controlls!$K$2:$K$11)</f>
        <v>5.5147656768714146</v>
      </c>
      <c r="N404" s="194">
        <f t="shared" si="68"/>
        <v>1.6517908664369338</v>
      </c>
      <c r="O404" s="194">
        <f t="shared" si="72"/>
        <v>1.9491999999999998</v>
      </c>
      <c r="P404" s="194">
        <f>AVERAGE(Ashed_controlls!$K$12:$K$14)</f>
        <v>2.2816647271287041</v>
      </c>
      <c r="Q404" s="194">
        <f t="shared" si="73"/>
        <v>1.9047257911388071</v>
      </c>
      <c r="R404" s="16">
        <f>IF('WetLitterbags placem_collection'!G111="","",'WetLitterbags placem_collection'!G111)</f>
        <v>42816</v>
      </c>
      <c r="S404" s="194">
        <f>IFERROR(INDEX('Both teabags AfterWet'!$C$3:$C$2000,MATCH(H404,'Both teabags AfterWet'!$A$3:$A$2000,0)),"")</f>
        <v>0.64870000000000005</v>
      </c>
      <c r="T404" s="194">
        <f>IFERROR(INDEX('Both teabags AfterWet'!$C$3:$C$2000,MATCH(I404,'Both teabags AfterWet'!$A$3:$A$2000,0)),"")</f>
        <v>1.5922000000000001</v>
      </c>
      <c r="U404" s="194">
        <f t="shared" si="74"/>
        <v>0.49810000000000004</v>
      </c>
      <c r="V404" s="194">
        <f t="shared" si="75"/>
        <v>1.4416</v>
      </c>
      <c r="W404" s="194">
        <f>IFERROR(INDEX('Ashed teabags wet'!$K$2:$K$2000,MATCH(H404,'Ashed teabags wet'!$A$2:$A$2000,0)),"")</f>
        <v>12.548449612403372</v>
      </c>
      <c r="X404" s="237">
        <f>IFERROR(INDEX('Ashed teabags wet'!$K$2:$K$2000,MATCH(I404,'Ashed teabags wet'!$A$2:$A$2000,0)),"")</f>
        <v>7.2896281800392453</v>
      </c>
      <c r="Y404" s="194">
        <f t="shared" si="80"/>
        <v>0.43559617248061883</v>
      </c>
      <c r="Z404" s="194">
        <f t="shared" si="80"/>
        <v>1.3365127201565543</v>
      </c>
      <c r="AA404" s="194">
        <f t="shared" si="76"/>
        <v>0.73628854515932751</v>
      </c>
      <c r="AB404" s="194">
        <f t="shared" si="77"/>
        <v>0.48269747853675632</v>
      </c>
      <c r="AC404" s="194">
        <f t="shared" si="69"/>
        <v>0.70168248173794789</v>
      </c>
      <c r="AD404">
        <f t="shared" si="70"/>
        <v>54</v>
      </c>
      <c r="AE404" s="194">
        <f t="shared" si="78"/>
        <v>0.12554804612906467</v>
      </c>
      <c r="AF404" s="194">
        <f t="shared" si="79"/>
        <v>1.7822064612415926E-2</v>
      </c>
      <c r="AG404" s="252" t="str">
        <f>IF(ISNUMBER(SEARCH("C",'WetLitterbags placem_collection'!$Y111)),"YES","NO")</f>
        <v>NO</v>
      </c>
      <c r="AH404" s="252" t="str">
        <f>IF(ISNUMBER(SEARCH("H", 'WetLitterbags placem_collection'!$Y111)),"YES","NO")</f>
        <v>NO</v>
      </c>
      <c r="AI404" s="252" t="str">
        <f>IF(ISNUMBER(SEARCH("R", 'WetLitterbags placem_collection'!$Y111)),"YES","NO")</f>
        <v>NO</v>
      </c>
      <c r="AJ404" s="252" t="str">
        <f>IF(ISNUMBER(SEARCH("C", 'WetLitterbags placem_collection'!$W111)),"YES","NO")</f>
        <v>NO</v>
      </c>
      <c r="AK404" s="252" t="str">
        <f>IF(ISNUMBER(SEARCH("H", 'WetLitterbags placem_collection'!$W111)),"YES","NO")</f>
        <v>NO</v>
      </c>
      <c r="AL404" s="252" t="str">
        <f>IF(ISNUMBER(SEARCH("R", 'WetLitterbags placem_collection'!$W111)),"YES","NO")</f>
        <v>NO</v>
      </c>
    </row>
    <row r="405" spans="2:38">
      <c r="B405" t="str">
        <f>'Final data_for_R_analysis_Wetse'!A551</f>
        <v>Wet</v>
      </c>
      <c r="C405" s="260">
        <f>'Final data_for_R_analysis_Wetse'!B551</f>
        <v>110</v>
      </c>
      <c r="D405" t="s">
        <v>3817</v>
      </c>
      <c r="E405" t="s">
        <v>25</v>
      </c>
      <c r="F405" s="382">
        <v>6</v>
      </c>
      <c r="G405" s="16">
        <f>'WetLitterbags placem_collection'!E112</f>
        <v>42762</v>
      </c>
      <c r="H405" s="92" t="str">
        <f>'Final data_for_R_analysis_Wetse'!K551</f>
        <v>G882</v>
      </c>
      <c r="I405" t="str">
        <f>'Final data_for_R_analysis_Wetse'!K771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71"/>
        <v>1.8481999999999998</v>
      </c>
      <c r="M405" s="194">
        <f>AVERAGE(Ashed_controlls!$K$2:$K$11)</f>
        <v>5.5147656768714146</v>
      </c>
      <c r="N405" s="194">
        <f t="shared" si="68"/>
        <v>1.7462761007600625</v>
      </c>
      <c r="O405" s="194">
        <f t="shared" si="72"/>
        <v>1.9571999999999998</v>
      </c>
      <c r="P405" s="194">
        <f>AVERAGE(Ashed_controlls!$K$12:$K$14)</f>
        <v>2.2816647271287041</v>
      </c>
      <c r="Q405" s="194">
        <f t="shared" si="73"/>
        <v>1.9125432579606367</v>
      </c>
      <c r="R405" s="16">
        <f>IF('WetLitterbags placem_collection'!G112="","",'WetLitterbags placem_collection'!G112)</f>
        <v>42816</v>
      </c>
      <c r="S405" s="194">
        <f>IFERROR(INDEX('Both teabags AfterWet'!$C$3:$C$2000,MATCH(H405,'Both teabags AfterWet'!$A$3:$A$2000,0)),"")</f>
        <v>0.56669999999999998</v>
      </c>
      <c r="T405" s="194">
        <f>IFERROR(INDEX('Both teabags AfterWet'!$C$3:$C$2000,MATCH(I405,'Both teabags AfterWet'!$A$3:$A$2000,0)),"")</f>
        <v>1.4870000000000001</v>
      </c>
      <c r="U405" s="194">
        <f t="shared" si="74"/>
        <v>0.41609999999999997</v>
      </c>
      <c r="V405" s="194">
        <f t="shared" si="75"/>
        <v>1.3364</v>
      </c>
      <c r="W405" s="194">
        <f>IFERROR(INDEX('Ashed teabags wet'!$K$2:$K$2000,MATCH(H405,'Ashed teabags wet'!$A$2:$A$2000,0)),"")</f>
        <v>13.300248138958004</v>
      </c>
      <c r="X405" s="237">
        <f>IFERROR(INDEX('Ashed teabags wet'!$K$2:$K$2000,MATCH(I405,'Ashed teabags wet'!$A$2:$A$2000,0)),"")</f>
        <v>4.8934108527127869</v>
      </c>
      <c r="Y405" s="194">
        <f t="shared" si="80"/>
        <v>0.36075766749379573</v>
      </c>
      <c r="Z405" s="194">
        <f t="shared" si="80"/>
        <v>1.2710044573643464</v>
      </c>
      <c r="AA405" s="194">
        <f t="shared" si="76"/>
        <v>0.79341315652388711</v>
      </c>
      <c r="AB405" s="194">
        <f t="shared" si="77"/>
        <v>0.52014734251922301</v>
      </c>
      <c r="AC405" s="194">
        <f t="shared" si="69"/>
        <v>0.66456246261307084</v>
      </c>
      <c r="AD405">
        <f t="shared" si="70"/>
        <v>54</v>
      </c>
      <c r="AE405" s="194">
        <f t="shared" si="78"/>
        <v>5.7704089639088907E-2</v>
      </c>
      <c r="AF405" s="194">
        <f t="shared" si="79"/>
        <v>1.917270647851331E-2</v>
      </c>
      <c r="AG405" s="252" t="str">
        <f>IF(ISNUMBER(SEARCH("C",'WetLitterbags placem_collection'!$Y112)),"YES","NO")</f>
        <v>NO</v>
      </c>
      <c r="AH405" s="252" t="str">
        <f>IF(ISNUMBER(SEARCH("H", 'WetLitterbags placem_collection'!$Y112)),"YES","NO")</f>
        <v>NO</v>
      </c>
      <c r="AI405" s="252" t="str">
        <f>IF(ISNUMBER(SEARCH("R", 'WetLitterbags placem_collection'!$Y112)),"YES","NO")</f>
        <v>YES</v>
      </c>
      <c r="AJ405" s="252" t="str">
        <f>IF(ISNUMBER(SEARCH("C", 'WetLitterbags placem_collection'!$W112)),"YES","NO")</f>
        <v>NO</v>
      </c>
      <c r="AK405" s="252" t="str">
        <f>IF(ISNUMBER(SEARCH("H", 'WetLitterbags placem_collection'!$W112)),"YES","NO")</f>
        <v>NO</v>
      </c>
      <c r="AL405" s="252" t="str">
        <f>IF(ISNUMBER(SEARCH("R", 'WetLitterbags placem_collection'!$W112)),"YES","NO")</f>
        <v>NO</v>
      </c>
    </row>
    <row r="406" spans="2:38">
      <c r="B406" t="str">
        <f>'Final data_for_R_analysis_Wetse'!A552</f>
        <v>Wet</v>
      </c>
      <c r="C406" s="260">
        <f>'Final data_for_R_analysis_Wetse'!B552</f>
        <v>111</v>
      </c>
      <c r="D406" t="s">
        <v>3817</v>
      </c>
      <c r="E406" t="s">
        <v>25</v>
      </c>
      <c r="F406" s="382">
        <v>7</v>
      </c>
      <c r="G406" s="16">
        <f>'WetLitterbags placem_collection'!E113</f>
        <v>42762</v>
      </c>
      <c r="H406" s="92" t="str">
        <f>'Final data_for_R_analysis_Wetse'!K552</f>
        <v>G695</v>
      </c>
      <c r="I406" t="str">
        <f>'Final data_for_R_analysis_Wetse'!K772</f>
        <v>R487</v>
      </c>
      <c r="J406">
        <f>IFERROR(INDEX('Green_rooibos initial weight'!$C$5:$C$2000,MATCH(H406, 'Green_rooibos initial weight'!$A$5:$A$2000,0)),"")</f>
        <v>2.0190000000000001</v>
      </c>
      <c r="K406">
        <f>IFERROR(INDEX('Green_rooibos initial weight'!$C$5:$C$2000,MATCH(I406, 'Green_rooibos initial weight'!$A$5:$A$2000,0)),"")</f>
        <v>2.222</v>
      </c>
      <c r="L406" s="194">
        <f t="shared" si="71"/>
        <v>1.7692000000000001</v>
      </c>
      <c r="M406" s="194">
        <f>AVERAGE(Ashed_controlls!$K$2:$K$11)</f>
        <v>5.5147656768714146</v>
      </c>
      <c r="N406" s="194">
        <f t="shared" si="68"/>
        <v>1.6716327656447911</v>
      </c>
      <c r="O406" s="194">
        <f t="shared" si="72"/>
        <v>1.9722</v>
      </c>
      <c r="P406" s="194">
        <f>AVERAGE(Ashed_controlls!$K$12:$K$14)</f>
        <v>2.2816647271287041</v>
      </c>
      <c r="Q406" s="194">
        <f t="shared" si="73"/>
        <v>1.9272010082515676</v>
      </c>
      <c r="R406" s="16">
        <f>IF('WetLitterbags placem_collection'!G113="","",'WetLitterbags placem_collection'!G113)</f>
        <v>42816</v>
      </c>
      <c r="S406" s="194">
        <f>IFERROR(INDEX('Both teabags AfterWet'!$C$3:$C$2000,MATCH(H406,'Both teabags AfterWet'!$A$3:$A$2000,0)),"")</f>
        <v>0.621</v>
      </c>
      <c r="T406" s="194">
        <f>IFERROR(INDEX('Both teabags AfterWet'!$C$3:$C$2000,MATCH(I406,'Both teabags AfterWet'!$A$3:$A$2000,0)),"")</f>
        <v>1.609</v>
      </c>
      <c r="U406" s="194">
        <f t="shared" si="74"/>
        <v>0.47039999999999998</v>
      </c>
      <c r="V406" s="194">
        <f t="shared" si="75"/>
        <v>1.4583999999999999</v>
      </c>
      <c r="W406" s="194">
        <f>IFERROR(INDEX('Ashed teabags wet'!$K$2:$K$2000,MATCH(H406,'Ashed teabags wet'!$A$2:$A$2000,0)),"")</f>
        <v>13.185185185184883</v>
      </c>
      <c r="X406" s="237">
        <f>IFERROR(INDEX('Ashed teabags wet'!$K$2:$K$2000,MATCH(I406,'Ashed teabags wet'!$A$2:$A$2000,0)),"")</f>
        <v>6.2961141170683206</v>
      </c>
      <c r="Y406" s="194">
        <f t="shared" si="80"/>
        <v>0.40837688888889029</v>
      </c>
      <c r="Z406" s="194">
        <f t="shared" si="80"/>
        <v>1.3665774717166754</v>
      </c>
      <c r="AA406" s="194">
        <f t="shared" si="76"/>
        <v>0.75570179211498711</v>
      </c>
      <c r="AB406" s="194">
        <f t="shared" si="77"/>
        <v>0.49542445278797259</v>
      </c>
      <c r="AC406" s="194">
        <f t="shared" si="69"/>
        <v>0.70909960396735583</v>
      </c>
      <c r="AD406">
        <f t="shared" si="70"/>
        <v>54</v>
      </c>
      <c r="AE406" s="194">
        <f t="shared" si="78"/>
        <v>0.10249193335512219</v>
      </c>
      <c r="AF406" s="194">
        <f t="shared" si="79"/>
        <v>1.6383875370603946E-2</v>
      </c>
      <c r="AG406" s="252" t="str">
        <f>IF(ISNUMBER(SEARCH("C",'WetLitterbags placem_collection'!$Y113)),"YES","NO")</f>
        <v>NO</v>
      </c>
      <c r="AH406" s="252" t="str">
        <f>IF(ISNUMBER(SEARCH("H", 'WetLitterbags placem_collection'!$Y113)),"YES","NO")</f>
        <v>NO</v>
      </c>
      <c r="AI406" s="252" t="str">
        <f>IF(ISNUMBER(SEARCH("R", 'WetLitterbags placem_collection'!$Y113)),"YES","NO")</f>
        <v>NO</v>
      </c>
      <c r="AJ406" s="252" t="str">
        <f>IF(ISNUMBER(SEARCH("C", 'WetLitterbags placem_collection'!$W113)),"YES","NO")</f>
        <v>NO</v>
      </c>
      <c r="AK406" s="252" t="str">
        <f>IF(ISNUMBER(SEARCH("H", 'WetLitterbags placem_collection'!$W113)),"YES","NO")</f>
        <v>NO</v>
      </c>
      <c r="AL406" s="252" t="str">
        <f>IF(ISNUMBER(SEARCH("R", 'WetLitterbags placem_collection'!$W113)),"YES","NO")</f>
        <v>NO</v>
      </c>
    </row>
    <row r="407" spans="2:38">
      <c r="B407" t="str">
        <f>'Final data_for_R_analysis_Wetse'!A553</f>
        <v>Wet</v>
      </c>
      <c r="C407" s="260">
        <f>'Final data_for_R_analysis_Wetse'!B553</f>
        <v>112</v>
      </c>
      <c r="D407" t="s">
        <v>3817</v>
      </c>
      <c r="E407" t="s">
        <v>25</v>
      </c>
      <c r="F407" s="382">
        <v>8</v>
      </c>
      <c r="G407" s="16">
        <f>'WetLitterbags placem_collection'!E114</f>
        <v>42762</v>
      </c>
      <c r="H407" s="92" t="str">
        <f>'Final data_for_R_analysis_Wetse'!K553</f>
        <v>G852</v>
      </c>
      <c r="I407" t="str">
        <f>'Final data_for_R_analysis_Wetse'!K773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71"/>
        <v>1.8132000000000001</v>
      </c>
      <c r="M407" s="194">
        <f>AVERAGE(Ashed_controlls!$K$2:$K$11)</f>
        <v>5.5147656768714146</v>
      </c>
      <c r="N407" s="194">
        <f t="shared" si="68"/>
        <v>1.7132062687469676</v>
      </c>
      <c r="O407" s="194">
        <f t="shared" si="72"/>
        <v>1.9161999999999999</v>
      </c>
      <c r="P407" s="194">
        <f>AVERAGE(Ashed_controlls!$K$12:$K$14)</f>
        <v>2.2816647271287041</v>
      </c>
      <c r="Q407" s="194">
        <f t="shared" si="73"/>
        <v>1.8724787404987597</v>
      </c>
      <c r="R407" s="16">
        <f>IF('WetLitterbags placem_collection'!G114="","",'WetLitterbags placem_collection'!G114)</f>
        <v>42816</v>
      </c>
      <c r="S407" s="194">
        <f>IFERROR(INDEX('Both teabags AfterWet'!$C$3:$C$2000,MATCH(H407,'Both teabags AfterWet'!$A$3:$A$2000,0)),"")</f>
        <v>0.69799999999999995</v>
      </c>
      <c r="T407" s="194">
        <f>IFERROR(INDEX('Both teabags AfterWet'!$C$3:$C$2000,MATCH(I407,'Both teabags AfterWet'!$A$3:$A$2000,0)),"")</f>
        <v>1.627</v>
      </c>
      <c r="U407" s="194">
        <f t="shared" si="74"/>
        <v>0.54739999999999989</v>
      </c>
      <c r="V407" s="194">
        <f t="shared" si="75"/>
        <v>1.4763999999999999</v>
      </c>
      <c r="W407" s="194">
        <f>IFERROR(INDEX('Ashed teabags wet'!$K$2:$K$2000,MATCH(H407,'Ashed teabags wet'!$A$2:$A$2000,0)),"")</f>
        <v>13.745704467352656</v>
      </c>
      <c r="X407" s="237">
        <f>IFERROR(INDEX('Ashed teabags wet'!$K$2:$K$2000,MATCH(I407,'Ashed teabags wet'!$A$2:$A$2000,0)),"")</f>
        <v>4.6511627906973203</v>
      </c>
      <c r="Y407" s="194">
        <f t="shared" si="80"/>
        <v>0.47215601374571148</v>
      </c>
      <c r="Z407" s="194">
        <f t="shared" si="80"/>
        <v>1.4077302325581447</v>
      </c>
      <c r="AA407" s="194">
        <f t="shared" si="76"/>
        <v>0.72440212112284375</v>
      </c>
      <c r="AB407" s="194">
        <f t="shared" si="77"/>
        <v>0.4749049535152135</v>
      </c>
      <c r="AC407" s="194">
        <f t="shared" si="69"/>
        <v>0.75180038208774369</v>
      </c>
      <c r="AD407">
        <f t="shared" si="70"/>
        <v>54</v>
      </c>
      <c r="AE407" s="194">
        <f t="shared" si="78"/>
        <v>0.13966493928403356</v>
      </c>
      <c r="AF407" s="194">
        <f t="shared" si="79"/>
        <v>1.3693770239806072E-2</v>
      </c>
      <c r="AG407" s="252" t="str">
        <f>IF(ISNUMBER(SEARCH("C",'WetLitterbags placem_collection'!$Y114)),"YES","NO")</f>
        <v>NO</v>
      </c>
      <c r="AH407" s="252" t="str">
        <f>IF(ISNUMBER(SEARCH("H", 'WetLitterbags placem_collection'!$Y114)),"YES","NO")</f>
        <v>NO</v>
      </c>
      <c r="AI407" s="252" t="str">
        <f>IF(ISNUMBER(SEARCH("R", 'WetLitterbags placem_collection'!$Y114)),"YES","NO")</f>
        <v>NO</v>
      </c>
      <c r="AJ407" s="252" t="str">
        <f>IF(ISNUMBER(SEARCH("C", 'WetLitterbags placem_collection'!$W114)),"YES","NO")</f>
        <v>NO</v>
      </c>
      <c r="AK407" s="252" t="str">
        <f>IF(ISNUMBER(SEARCH("H", 'WetLitterbags placem_collection'!$W114)),"YES","NO")</f>
        <v>NO</v>
      </c>
      <c r="AL407" s="252" t="str">
        <f>IF(ISNUMBER(SEARCH("R", 'WetLitterbags placem_collection'!$W114)),"YES","NO")</f>
        <v>YES</v>
      </c>
    </row>
    <row r="408" spans="2:38">
      <c r="B408" t="str">
        <f>'Final data_for_R_analysis_Wetse'!A554</f>
        <v>Wet</v>
      </c>
      <c r="C408" s="260">
        <f>'Final data_for_R_analysis_Wetse'!B554</f>
        <v>113</v>
      </c>
      <c r="D408" t="s">
        <v>3818</v>
      </c>
      <c r="E408" t="s">
        <v>25</v>
      </c>
      <c r="F408" s="381">
        <v>1</v>
      </c>
      <c r="G408" s="16">
        <f>'WetLitterbags placem_collection'!E115</f>
        <v>42762</v>
      </c>
      <c r="H408" s="92" t="str">
        <f>'Final data_for_R_analysis_Wetse'!K554</f>
        <v>G769</v>
      </c>
      <c r="I408" t="str">
        <f>'Final data_for_R_analysis_Wetse'!K774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71"/>
        <v>1.8052000000000001</v>
      </c>
      <c r="M408" s="194">
        <f>AVERAGE(Ashed_controlls!$K$2:$K$11)</f>
        <v>5.5147656768714146</v>
      </c>
      <c r="N408" s="194">
        <f t="shared" si="68"/>
        <v>1.7056474500011174</v>
      </c>
      <c r="O408" s="194">
        <f t="shared" si="72"/>
        <v>1.8761999999999999</v>
      </c>
      <c r="P408" s="194">
        <f>AVERAGE(Ashed_controlls!$K$12:$K$14)</f>
        <v>2.2816647271287041</v>
      </c>
      <c r="Q408" s="194">
        <f t="shared" si="73"/>
        <v>1.8333914063896111</v>
      </c>
      <c r="R408" s="16">
        <f>IF('WetLitterbags placem_collection'!G115="","",'WetLitterbags placem_collection'!G115)</f>
        <v>42816</v>
      </c>
      <c r="S408" s="194">
        <f>IFERROR(INDEX('Both teabags AfterWet'!$C$3:$C$2000,MATCH(H408,'Both teabags AfterWet'!$A$3:$A$2000,0)),"")</f>
        <v>0.70799999999999996</v>
      </c>
      <c r="T408" s="194">
        <f>IFERROR(INDEX('Both teabags AfterWet'!$C$3:$C$2000,MATCH(I408,'Both teabags AfterWet'!$A$3:$A$2000,0)),"")</f>
        <v>1.421</v>
      </c>
      <c r="U408" s="194">
        <f t="shared" si="74"/>
        <v>0.5573999999999999</v>
      </c>
      <c r="V408" s="194">
        <f t="shared" si="75"/>
        <v>1.2704</v>
      </c>
      <c r="W408" s="194">
        <f>IFERROR(INDEX('Ashed teabags wet'!$K$2:$K$2000,MATCH(H408,'Ashed teabags wet'!$A$2:$A$2000,0)),"")</f>
        <v>20.028887818970457</v>
      </c>
      <c r="X408" s="237">
        <f>IFERROR(INDEX('Ashed teabags wet'!$K$2:$K$2000,MATCH(I408,'Ashed teabags wet'!$A$2:$A$2000,0)),"")</f>
        <v>12.371134020618721</v>
      </c>
      <c r="Y408" s="194">
        <f t="shared" si="80"/>
        <v>0.4457589792970586</v>
      </c>
      <c r="Z408" s="194">
        <f t="shared" si="80"/>
        <v>1.1132371134020598</v>
      </c>
      <c r="AA408" s="194">
        <f t="shared" si="76"/>
        <v>0.73865702475809614</v>
      </c>
      <c r="AB408" s="194">
        <f t="shared" si="77"/>
        <v>0.48425021100530774</v>
      </c>
      <c r="AC408" s="194">
        <f t="shared" si="69"/>
        <v>0.60720100984562353</v>
      </c>
      <c r="AD408">
        <f t="shared" si="70"/>
        <v>54</v>
      </c>
      <c r="AE408" s="194">
        <f t="shared" si="78"/>
        <v>0.12273512499038464</v>
      </c>
      <c r="AF408" s="194">
        <f t="shared" si="79"/>
        <v>3.0866592839766355E-2</v>
      </c>
      <c r="AG408" s="252" t="str">
        <f>IF(ISNUMBER(SEARCH("C",'WetLitterbags placem_collection'!$Y115)),"YES","NO")</f>
        <v>NO</v>
      </c>
      <c r="AH408" s="252" t="str">
        <f>IF(ISNUMBER(SEARCH("H", 'WetLitterbags placem_collection'!$Y115)),"YES","NO")</f>
        <v>NO</v>
      </c>
      <c r="AI408" s="252" t="str">
        <f>IF(ISNUMBER(SEARCH("R", 'WetLitterbags placem_collection'!$Y115)),"YES","NO")</f>
        <v>YES</v>
      </c>
      <c r="AJ408" s="252" t="str">
        <f>IF(ISNUMBER(SEARCH("C", 'WetLitterbags placem_collection'!$W115)),"YES","NO")</f>
        <v>NO</v>
      </c>
      <c r="AK408" s="252" t="str">
        <f>IF(ISNUMBER(SEARCH("H", 'WetLitterbags placem_collection'!$W115)),"YES","NO")</f>
        <v>YES</v>
      </c>
      <c r="AL408" s="252" t="str">
        <f>IF(ISNUMBER(SEARCH("R", 'WetLitterbags placem_collection'!$W115)),"YES","NO")</f>
        <v>YES</v>
      </c>
    </row>
    <row r="409" spans="2:38">
      <c r="B409" t="str">
        <f>'Final data_for_R_analysis_Wetse'!A555</f>
        <v>Wet</v>
      </c>
      <c r="C409" s="260">
        <f>'Final data_for_R_analysis_Wetse'!B555</f>
        <v>114</v>
      </c>
      <c r="D409" t="s">
        <v>3818</v>
      </c>
      <c r="E409" t="s">
        <v>25</v>
      </c>
      <c r="F409" s="381">
        <v>2</v>
      </c>
      <c r="G409" s="16">
        <f>'WetLitterbags placem_collection'!E116</f>
        <v>42762</v>
      </c>
      <c r="H409" s="92" t="str">
        <f>'Final data_for_R_analysis_Wetse'!K555</f>
        <v>G889</v>
      </c>
      <c r="I409" t="str">
        <f>'Final data_for_R_analysis_Wetse'!K775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71"/>
        <v>1.7332000000000001</v>
      </c>
      <c r="M409" s="194">
        <f>AVERAGE(Ashed_controlls!$K$2:$K$11)</f>
        <v>5.5147656768714146</v>
      </c>
      <c r="N409" s="194">
        <f t="shared" si="68"/>
        <v>1.6376180812884646</v>
      </c>
      <c r="O409" s="194">
        <f t="shared" si="72"/>
        <v>1.8481999999999998</v>
      </c>
      <c r="P409" s="194">
        <f>AVERAGE(Ashed_controlls!$K$12:$K$14)</f>
        <v>2.2816647271287041</v>
      </c>
      <c r="Q409" s="194">
        <f t="shared" si="73"/>
        <v>1.8060302725132071</v>
      </c>
      <c r="R409" s="16">
        <f>IF('WetLitterbags placem_collection'!G116="","",'WetLitterbags placem_collection'!G116)</f>
        <v>42816</v>
      </c>
      <c r="S409" s="194">
        <f>IFERROR(INDEX('Both teabags AfterWet'!$C$3:$C$2000,MATCH(H409,'Both teabags AfterWet'!$A$3:$A$2000,0)),"")</f>
        <v>0.65700000000000003</v>
      </c>
      <c r="T409" s="194">
        <f>IFERROR(INDEX('Both teabags AfterWet'!$C$3:$C$2000,MATCH(I409,'Both teabags AfterWet'!$A$3:$A$2000,0)),"")</f>
        <v>1.504</v>
      </c>
      <c r="U409" s="194">
        <f t="shared" si="74"/>
        <v>0.50639999999999996</v>
      </c>
      <c r="V409" s="194">
        <f t="shared" si="75"/>
        <v>1.3533999999999999</v>
      </c>
      <c r="W409" s="194">
        <f>IFERROR(INDEX('Ashed teabags wet'!$K$2:$K$2000,MATCH(H409,'Ashed teabags wet'!$A$2:$A$2000,0)),"")</f>
        <v>20.433734939759127</v>
      </c>
      <c r="X409" s="237">
        <f>IFERROR(INDEX('Ashed teabags wet'!$K$2:$K$2000,MATCH(I409,'Ashed teabags wet'!$A$2:$A$2000,0)),"")</f>
        <v>11.717576364547087</v>
      </c>
      <c r="Y409" s="194">
        <f t="shared" si="80"/>
        <v>0.40292356626505976</v>
      </c>
      <c r="Z409" s="194">
        <f t="shared" si="80"/>
        <v>1.1948143214822196</v>
      </c>
      <c r="AA409" s="194">
        <f t="shared" si="76"/>
        <v>0.75395754915697877</v>
      </c>
      <c r="AB409" s="194">
        <f t="shared" si="77"/>
        <v>0.49428095859222371</v>
      </c>
      <c r="AC409" s="194">
        <f t="shared" si="69"/>
        <v>0.66156937658611814</v>
      </c>
      <c r="AD409">
        <f t="shared" si="70"/>
        <v>54</v>
      </c>
      <c r="AE409" s="194">
        <f t="shared" si="78"/>
        <v>0.10456348081118905</v>
      </c>
      <c r="AF409" s="194">
        <f t="shared" si="79"/>
        <v>2.1374221124942253E-2</v>
      </c>
      <c r="AG409" s="252" t="str">
        <f>IF(ISNUMBER(SEARCH("C",'WetLitterbags placem_collection'!$Y116)),"YES","NO")</f>
        <v>NO</v>
      </c>
      <c r="AH409" s="252" t="str">
        <f>IF(ISNUMBER(SEARCH("H", 'WetLitterbags placem_collection'!$Y116)),"YES","NO")</f>
        <v>NO</v>
      </c>
      <c r="AI409" s="252" t="str">
        <f>IF(ISNUMBER(SEARCH("R", 'WetLitterbags placem_collection'!$Y116)),"YES","NO")</f>
        <v>NO</v>
      </c>
      <c r="AJ409" s="252" t="str">
        <f>IF(ISNUMBER(SEARCH("C", 'WetLitterbags placem_collection'!$W116)),"YES","NO")</f>
        <v>NO</v>
      </c>
      <c r="AK409" s="252" t="str">
        <f>IF(ISNUMBER(SEARCH("H", 'WetLitterbags placem_collection'!$W116)),"YES","NO")</f>
        <v>YES</v>
      </c>
      <c r="AL409" s="252" t="str">
        <f>IF(ISNUMBER(SEARCH("R", 'WetLitterbags placem_collection'!$W116)),"YES","NO")</f>
        <v>YES</v>
      </c>
    </row>
    <row r="410" spans="2:38">
      <c r="B410" t="str">
        <f>'Final data_for_R_analysis_Wetse'!A556</f>
        <v>Wet</v>
      </c>
      <c r="C410" s="260">
        <f>'Final data_for_R_analysis_Wetse'!B556</f>
        <v>115</v>
      </c>
      <c r="D410" t="s">
        <v>3818</v>
      </c>
      <c r="E410" t="s">
        <v>25</v>
      </c>
      <c r="F410" s="381">
        <v>3</v>
      </c>
      <c r="G410" s="16">
        <f>'WetLitterbags placem_collection'!E117</f>
        <v>42762</v>
      </c>
      <c r="H410" s="92" t="str">
        <f>'Final data_for_R_analysis_Wetse'!K556</f>
        <v>G778</v>
      </c>
      <c r="I410" t="str">
        <f>'Final data_for_R_analysis_Wetse'!K776</f>
        <v>R522</v>
      </c>
      <c r="J410">
        <f>IFERROR(INDEX('Green_rooibos initial weight'!$C$5:$C$2000,MATCH(H410, 'Green_rooibos initial weight'!$A$5:$A$2000,0)),"")</f>
        <v>1.992</v>
      </c>
      <c r="K410">
        <f>IFERROR(INDEX('Green_rooibos initial weight'!$C$5:$C$2000,MATCH(I410, 'Green_rooibos initial weight'!$A$5:$A$2000,0)),"")</f>
        <v>2.1819999999999999</v>
      </c>
      <c r="L410" s="194">
        <f t="shared" si="71"/>
        <v>1.7422</v>
      </c>
      <c r="M410" s="194">
        <f>AVERAGE(Ashed_controlls!$K$2:$K$11)</f>
        <v>5.5147656768714146</v>
      </c>
      <c r="N410" s="194">
        <f t="shared" si="68"/>
        <v>1.6461217523775462</v>
      </c>
      <c r="O410" s="194">
        <f t="shared" si="72"/>
        <v>1.9321999999999999</v>
      </c>
      <c r="P410" s="194">
        <f>AVERAGE(Ashed_controlls!$K$12:$K$14)</f>
        <v>2.2816647271287041</v>
      </c>
      <c r="Q410" s="194">
        <f t="shared" si="73"/>
        <v>1.8881136741424192</v>
      </c>
      <c r="R410" s="16">
        <f>IF('WetLitterbags placem_collection'!G117="","",'WetLitterbags placem_collection'!G117)</f>
        <v>42816</v>
      </c>
      <c r="S410" s="194">
        <f>IFERROR(INDEX('Both teabags AfterWet'!$C$3:$C$2000,MATCH(H410,'Both teabags AfterWet'!$A$3:$A$2000,0)),"")</f>
        <v>0.73709999999999998</v>
      </c>
      <c r="T410" s="194">
        <f>IFERROR(INDEX('Both teabags AfterWet'!$C$3:$C$2000,MATCH(I410,'Both teabags AfterWet'!$A$3:$A$2000,0)),"")</f>
        <v>1.401</v>
      </c>
      <c r="U410" s="194">
        <f t="shared" si="74"/>
        <v>0.58650000000000002</v>
      </c>
      <c r="V410" s="194">
        <f t="shared" si="75"/>
        <v>1.2504</v>
      </c>
      <c r="W410" s="194">
        <f>IFERROR(INDEX('Ashed teabags wet'!$K$2:$K$2000,MATCH(H410,'Ashed teabags wet'!$A$2:$A$2000,0)),"")</f>
        <v>26.575476306790591</v>
      </c>
      <c r="X410" s="237">
        <f>IFERROR(INDEX('Ashed teabags wet'!$K$2:$K$2000,MATCH(I410,'Ashed teabags wet'!$A$2:$A$2000,0)),"")</f>
        <v>3.9292730844799202</v>
      </c>
      <c r="Y410" s="194">
        <f t="shared" si="80"/>
        <v>0.43063483146067316</v>
      </c>
      <c r="Z410" s="194">
        <f t="shared" si="80"/>
        <v>1.201268369351663</v>
      </c>
      <c r="AA410" s="194">
        <f t="shared" si="76"/>
        <v>0.73839430112706217</v>
      </c>
      <c r="AB410" s="194">
        <f t="shared" si="77"/>
        <v>0.48407797413555631</v>
      </c>
      <c r="AC410" s="194">
        <f t="shared" si="69"/>
        <v>0.6362267197165864</v>
      </c>
      <c r="AD410">
        <f t="shared" si="70"/>
        <v>54</v>
      </c>
      <c r="AE410" s="194">
        <f t="shared" si="78"/>
        <v>0.12304714830515173</v>
      </c>
      <c r="AF410" s="194">
        <f t="shared" si="79"/>
        <v>2.5781821429952771E-2</v>
      </c>
      <c r="AG410" s="252" t="str">
        <f>IF(ISNUMBER(SEARCH("C",'WetLitterbags placem_collection'!$Y117)),"YES","NO")</f>
        <v>NO</v>
      </c>
      <c r="AH410" s="252" t="str">
        <f>IF(ISNUMBER(SEARCH("H", 'WetLitterbags placem_collection'!$Y117)),"YES","NO")</f>
        <v>NO</v>
      </c>
      <c r="AI410" s="252" t="str">
        <f>IF(ISNUMBER(SEARCH("R", 'WetLitterbags placem_collection'!$Y117)),"YES","NO")</f>
        <v>YES</v>
      </c>
      <c r="AJ410" s="252" t="str">
        <f>IF(ISNUMBER(SEARCH("C", 'WetLitterbags placem_collection'!$W117)),"YES","NO")</f>
        <v>NO</v>
      </c>
      <c r="AK410" s="252" t="str">
        <f>IF(ISNUMBER(SEARCH("H", 'WetLitterbags placem_collection'!$W117)),"YES","NO")</f>
        <v>YES</v>
      </c>
      <c r="AL410" s="252" t="str">
        <f>IF(ISNUMBER(SEARCH("R", 'WetLitterbags placem_collection'!$W117)),"YES","NO")</f>
        <v>YES</v>
      </c>
    </row>
    <row r="411" spans="2:38">
      <c r="B411" t="str">
        <f>'Final data_for_R_analysis_Wetse'!A557</f>
        <v>Wet</v>
      </c>
      <c r="C411" s="260">
        <f>'Final data_for_R_analysis_Wetse'!B557</f>
        <v>116</v>
      </c>
      <c r="D411" t="s">
        <v>3818</v>
      </c>
      <c r="E411" t="s">
        <v>25</v>
      </c>
      <c r="F411" s="382">
        <v>4</v>
      </c>
      <c r="G411" s="16">
        <f>'WetLitterbags placem_collection'!E118</f>
        <v>42762</v>
      </c>
      <c r="H411" s="92" t="str">
        <f>'Final data_for_R_analysis_Wetse'!K557</f>
        <v>G563</v>
      </c>
      <c r="I411" t="str">
        <f>'Final data_for_R_analysis_Wetse'!K777</f>
        <v>R480</v>
      </c>
      <c r="J411">
        <f>IFERROR(INDEX('Green_rooibos initial weight'!$C$5:$C$2000,MATCH(H411, 'Green_rooibos initial weight'!$A$5:$A$2000,0)),"")</f>
        <v>1.9390000000000001</v>
      </c>
      <c r="K411">
        <f>IFERROR(INDEX('Green_rooibos initial weight'!$C$5:$C$2000,MATCH(I411, 'Green_rooibos initial weight'!$A$5:$A$2000,0)),"")</f>
        <v>2.17</v>
      </c>
      <c r="L411" s="194">
        <f t="shared" si="71"/>
        <v>1.6892</v>
      </c>
      <c r="M411" s="194">
        <f>AVERAGE(Ashed_controlls!$K$2:$K$11)</f>
        <v>5.5147656768714146</v>
      </c>
      <c r="N411" s="194">
        <f t="shared" si="68"/>
        <v>1.5960445781862882</v>
      </c>
      <c r="O411" s="194">
        <f t="shared" si="72"/>
        <v>1.9201999999999999</v>
      </c>
      <c r="P411" s="194">
        <f>AVERAGE(Ashed_controlls!$K$12:$K$14)</f>
        <v>2.2816647271287041</v>
      </c>
      <c r="Q411" s="194">
        <f t="shared" si="73"/>
        <v>1.8763874739096746</v>
      </c>
      <c r="R411" s="16">
        <f>IF('WetLitterbags placem_collection'!G118="","",'WetLitterbags placem_collection'!G118)</f>
        <v>42816</v>
      </c>
      <c r="S411" s="194">
        <f>IFERROR(INDEX('Both teabags AfterWet'!$C$3:$C$2000,MATCH(H411,'Both teabags AfterWet'!$A$3:$A$2000,0)),"")</f>
        <v>0.61660000000000004</v>
      </c>
      <c r="T411" s="194">
        <f>IFERROR(INDEX('Both teabags AfterWet'!$C$3:$C$2000,MATCH(I411,'Both teabags AfterWet'!$A$3:$A$2000,0)),"")</f>
        <v>1.4859</v>
      </c>
      <c r="U411" s="194">
        <f t="shared" si="74"/>
        <v>0.46600000000000003</v>
      </c>
      <c r="V411" s="194">
        <f t="shared" si="75"/>
        <v>1.3352999999999999</v>
      </c>
      <c r="W411" s="194">
        <f>IFERROR(INDEX('Ashed teabags wet'!$K$2:$K$2000,MATCH(H411,'Ashed teabags wet'!$A$2:$A$2000,0)),"")</f>
        <v>16.467661691542546</v>
      </c>
      <c r="X411" s="237">
        <f>IFERROR(INDEX('Ashed teabags wet'!$K$2:$K$2000,MATCH(I411,'Ashed teabags wet'!$A$2:$A$2000,0)),"")</f>
        <v>9.0863704443334274</v>
      </c>
      <c r="Y411" s="194">
        <f t="shared" si="80"/>
        <v>0.38926069651741174</v>
      </c>
      <c r="Z411" s="194">
        <f t="shared" si="80"/>
        <v>1.2139696954568158</v>
      </c>
      <c r="AA411" s="194">
        <f t="shared" si="76"/>
        <v>0.75610913264104473</v>
      </c>
      <c r="AB411" s="194">
        <f t="shared" si="77"/>
        <v>0.4956914978834403</v>
      </c>
      <c r="AC411" s="194">
        <f t="shared" si="69"/>
        <v>0.64697175414807406</v>
      </c>
      <c r="AD411">
        <f t="shared" si="70"/>
        <v>54</v>
      </c>
      <c r="AE411" s="194">
        <f t="shared" si="78"/>
        <v>0.10200815600826041</v>
      </c>
      <c r="AF411" s="194">
        <f t="shared" si="79"/>
        <v>2.3064199645789939E-2</v>
      </c>
      <c r="AG411" s="252" t="str">
        <f>IF(ISNUMBER(SEARCH("C",'WetLitterbags placem_collection'!$Y118)),"YES","NO")</f>
        <v>NO</v>
      </c>
      <c r="AH411" s="252" t="str">
        <f>IF(ISNUMBER(SEARCH("H", 'WetLitterbags placem_collection'!$Y118)),"YES","NO")</f>
        <v>NO</v>
      </c>
      <c r="AI411" s="252" t="str">
        <f>IF(ISNUMBER(SEARCH("R", 'WetLitterbags placem_collection'!$Y118)),"YES","NO")</f>
        <v>YES</v>
      </c>
      <c r="AJ411" s="252" t="str">
        <f>IF(ISNUMBER(SEARCH("C", 'WetLitterbags placem_collection'!$W118)),"YES","NO")</f>
        <v>NO</v>
      </c>
      <c r="AK411" s="252" t="str">
        <f>IF(ISNUMBER(SEARCH("H", 'WetLitterbags placem_collection'!$W118)),"YES","NO")</f>
        <v>YES</v>
      </c>
      <c r="AL411" s="252" t="str">
        <f>IF(ISNUMBER(SEARCH("R", 'WetLitterbags placem_collection'!$W118)),"YES","NO")</f>
        <v>YES</v>
      </c>
    </row>
    <row r="412" spans="2:38">
      <c r="B412" t="str">
        <f>'Final data_for_R_analysis_Wetse'!A558</f>
        <v>Wet</v>
      </c>
      <c r="C412" s="260">
        <f>'Final data_for_R_analysis_Wetse'!B558</f>
        <v>117</v>
      </c>
      <c r="D412" t="s">
        <v>3818</v>
      </c>
      <c r="E412" t="s">
        <v>25</v>
      </c>
      <c r="F412" s="382">
        <v>5</v>
      </c>
      <c r="G412" s="16">
        <f>'WetLitterbags placem_collection'!E119</f>
        <v>42762</v>
      </c>
      <c r="H412" s="92" t="str">
        <f>'Final data_for_R_analysis_Wetse'!K558</f>
        <v>G901</v>
      </c>
      <c r="I412" t="str">
        <f>'Final data_for_R_analysis_Wetse'!K778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71"/>
        <v>1.7772000000000001</v>
      </c>
      <c r="M412" s="194">
        <f>AVERAGE(Ashed_controlls!$K$2:$K$11)</f>
        <v>5.5147656768714146</v>
      </c>
      <c r="N412" s="194">
        <f t="shared" si="68"/>
        <v>1.6791915843906413</v>
      </c>
      <c r="O412" s="194">
        <f t="shared" si="72"/>
        <v>1.8151999999999999</v>
      </c>
      <c r="P412" s="194">
        <f>AVERAGE(Ashed_controlls!$K$12:$K$14)</f>
        <v>2.2816647271287041</v>
      </c>
      <c r="Q412" s="194">
        <f t="shared" si="73"/>
        <v>1.7737832218731597</v>
      </c>
      <c r="R412" s="16">
        <f>IF('WetLitterbags placem_collection'!G119="","",'WetLitterbags placem_collection'!G119)</f>
        <v>42816</v>
      </c>
      <c r="S412" s="194">
        <f>IFERROR(INDEX('Both teabags AfterWet'!$C$3:$C$2000,MATCH(H412,'Both teabags AfterWet'!$A$3:$A$2000,0)),"")</f>
        <v>0.621</v>
      </c>
      <c r="T412" s="194">
        <f>IFERROR(INDEX('Both teabags AfterWet'!$C$3:$C$2000,MATCH(I412,'Both teabags AfterWet'!$A$3:$A$2000,0)),"")</f>
        <v>1.343</v>
      </c>
      <c r="U412" s="194">
        <f t="shared" si="74"/>
        <v>0.47039999999999998</v>
      </c>
      <c r="V412" s="194">
        <f t="shared" si="75"/>
        <v>1.1923999999999999</v>
      </c>
      <c r="W412" s="194">
        <f>IFERROR(INDEX('Ashed teabags wet'!$K$2:$K$2000,MATCH(H412,'Ashed teabags wet'!$A$2:$A$2000,0)),"")</f>
        <v>13.244047619047592</v>
      </c>
      <c r="X412" s="237">
        <f>IFERROR(INDEX('Ashed teabags wet'!$K$2:$K$2000,MATCH(I412,'Ashed teabags wet'!$A$2:$A$2000,0)),"")</f>
        <v>4.0755467196820945</v>
      </c>
      <c r="Y412" s="194">
        <f t="shared" si="80"/>
        <v>0.40810000000000013</v>
      </c>
      <c r="Z412" s="194">
        <f t="shared" si="80"/>
        <v>1.1438031809145106</v>
      </c>
      <c r="AA412" s="194">
        <f t="shared" si="76"/>
        <v>0.75696638561460228</v>
      </c>
      <c r="AB412" s="194">
        <f t="shared" si="77"/>
        <v>0.49625349745755404</v>
      </c>
      <c r="AC412" s="194">
        <f t="shared" si="69"/>
        <v>0.64483820052521734</v>
      </c>
      <c r="AD412">
        <f t="shared" si="70"/>
        <v>54</v>
      </c>
      <c r="AE412" s="194">
        <f t="shared" si="78"/>
        <v>0.10099004083776453</v>
      </c>
      <c r="AF412" s="194">
        <f t="shared" si="79"/>
        <v>2.3290312230519923E-2</v>
      </c>
      <c r="AG412" s="252" t="str">
        <f>IF(ISNUMBER(SEARCH("C",'WetLitterbags placem_collection'!$Y119)),"YES","NO")</f>
        <v>NO</v>
      </c>
      <c r="AH412" s="252" t="str">
        <f>IF(ISNUMBER(SEARCH("H", 'WetLitterbags placem_collection'!$Y119)),"YES","NO")</f>
        <v>NO</v>
      </c>
      <c r="AI412" s="252" t="str">
        <f>IF(ISNUMBER(SEARCH("R", 'WetLitterbags placem_collection'!$Y119)),"YES","NO")</f>
        <v>NO</v>
      </c>
      <c r="AJ412" s="252" t="str">
        <f>IF(ISNUMBER(SEARCH("C", 'WetLitterbags placem_collection'!$W119)),"YES","NO")</f>
        <v>NO</v>
      </c>
      <c r="AK412" s="252" t="str">
        <f>IF(ISNUMBER(SEARCH("H", 'WetLitterbags placem_collection'!$W119)),"YES","NO")</f>
        <v>YES</v>
      </c>
      <c r="AL412" s="252" t="str">
        <f>IF(ISNUMBER(SEARCH("R", 'WetLitterbags placem_collection'!$W119)),"YES","NO")</f>
        <v>YES</v>
      </c>
    </row>
    <row r="413" spans="2:38">
      <c r="B413" t="str">
        <f>'Final data_for_R_analysis_Wetse'!A559</f>
        <v>Wet</v>
      </c>
      <c r="C413" s="260">
        <f>'Final data_for_R_analysis_Wetse'!B559</f>
        <v>118</v>
      </c>
      <c r="D413" t="s">
        <v>3818</v>
      </c>
      <c r="E413" t="s">
        <v>25</v>
      </c>
      <c r="F413" s="382">
        <v>6</v>
      </c>
      <c r="G413" s="16">
        <f>'WetLitterbags placem_collection'!E120</f>
        <v>42762</v>
      </c>
      <c r="H413" s="92" t="str">
        <f>'Final data_for_R_analysis_Wetse'!K559</f>
        <v>G791</v>
      </c>
      <c r="I413" t="str">
        <f>'Final data_for_R_analysis_Wetse'!K779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71"/>
        <v>1.8182</v>
      </c>
      <c r="M413" s="194">
        <f>AVERAGE(Ashed_controlls!$K$2:$K$11)</f>
        <v>5.5147656768714146</v>
      </c>
      <c r="N413" s="194">
        <f t="shared" si="68"/>
        <v>1.7179305304631241</v>
      </c>
      <c r="O413" s="194">
        <f t="shared" si="72"/>
        <v>1.9611999999999998</v>
      </c>
      <c r="P413" s="194">
        <f>AVERAGE(Ashed_controlls!$K$12:$K$14)</f>
        <v>2.2816647271287041</v>
      </c>
      <c r="Q413" s="194">
        <f t="shared" si="73"/>
        <v>1.9164519913715516</v>
      </c>
      <c r="R413" s="16">
        <f>IF('WetLitterbags placem_collection'!G120="","",'WetLitterbags placem_collection'!G120)</f>
        <v>42816</v>
      </c>
      <c r="S413" s="194">
        <f>IFERROR(INDEX('Both teabags AfterWet'!$C$3:$C$2000,MATCH(H413,'Both teabags AfterWet'!$A$3:$A$2000,0)),"")</f>
        <v>0.64600000000000002</v>
      </c>
      <c r="T413" s="194">
        <f>IFERROR(INDEX('Both teabags AfterWet'!$C$3:$C$2000,MATCH(I413,'Both teabags AfterWet'!$A$3:$A$2000,0)),"")</f>
        <v>1.599</v>
      </c>
      <c r="U413" s="194">
        <f t="shared" si="74"/>
        <v>0.49540000000000001</v>
      </c>
      <c r="V413" s="194">
        <f t="shared" si="75"/>
        <v>1.4483999999999999</v>
      </c>
      <c r="W413" s="194">
        <f>IFERROR(INDEX('Ashed teabags wet'!$K$2:$K$2000,MATCH(H413,'Ashed teabags wet'!$A$2:$A$2000,0)),"")</f>
        <v>12.418952618454213</v>
      </c>
      <c r="X413" s="237">
        <f>IFERROR(INDEX('Ashed teabags wet'!$K$2:$K$2000,MATCH(I413,'Ashed teabags wet'!$A$2:$A$2000,0)),"")</f>
        <v>4.604604604605111</v>
      </c>
      <c r="Y413" s="194">
        <f t="shared" si="80"/>
        <v>0.43387650872817785</v>
      </c>
      <c r="Z413" s="194">
        <f t="shared" si="80"/>
        <v>1.3817069069068995</v>
      </c>
      <c r="AA413" s="194">
        <f t="shared" si="76"/>
        <v>0.74744234354388461</v>
      </c>
      <c r="AB413" s="194">
        <f t="shared" si="77"/>
        <v>0.49000970740644223</v>
      </c>
      <c r="AC413" s="194">
        <f t="shared" si="69"/>
        <v>0.72097131215796861</v>
      </c>
      <c r="AD413">
        <f t="shared" si="70"/>
        <v>54</v>
      </c>
      <c r="AE413" s="194">
        <f t="shared" si="78"/>
        <v>0.1123012546984743</v>
      </c>
      <c r="AF413" s="194">
        <f t="shared" si="79"/>
        <v>1.560475976265052E-2</v>
      </c>
      <c r="AG413" s="252" t="str">
        <f>IF(ISNUMBER(SEARCH("C",'WetLitterbags placem_collection'!$Y120)),"YES","NO")</f>
        <v>NO</v>
      </c>
      <c r="AH413" s="252" t="str">
        <f>IF(ISNUMBER(SEARCH("H", 'WetLitterbags placem_collection'!$Y120)),"YES","NO")</f>
        <v>NO</v>
      </c>
      <c r="AI413" s="252" t="str">
        <f>IF(ISNUMBER(SEARCH("R", 'WetLitterbags placem_collection'!$Y120)),"YES","NO")</f>
        <v>NO</v>
      </c>
      <c r="AJ413" s="252" t="str">
        <f>IF(ISNUMBER(SEARCH("C", 'WetLitterbags placem_collection'!$W120)),"YES","NO")</f>
        <v>NO</v>
      </c>
      <c r="AK413" s="252" t="str">
        <f>IF(ISNUMBER(SEARCH("H", 'WetLitterbags placem_collection'!$W120)),"YES","NO")</f>
        <v>YES</v>
      </c>
      <c r="AL413" s="252" t="str">
        <f>IF(ISNUMBER(SEARCH("R", 'WetLitterbags placem_collection'!$W120)),"YES","NO")</f>
        <v>NO</v>
      </c>
    </row>
    <row r="414" spans="2:38">
      <c r="B414" t="str">
        <f>'Final data_for_R_analysis_Wetse'!A560</f>
        <v>Wet</v>
      </c>
      <c r="C414" s="260">
        <f>'Final data_for_R_analysis_Wetse'!B560</f>
        <v>119</v>
      </c>
      <c r="D414" t="s">
        <v>3818</v>
      </c>
      <c r="E414" t="s">
        <v>25</v>
      </c>
      <c r="F414" s="382">
        <v>7</v>
      </c>
      <c r="G414" s="16">
        <f>'WetLitterbags placem_collection'!E121</f>
        <v>42762</v>
      </c>
      <c r="H414" s="92" t="str">
        <f>'Final data_for_R_analysis_Wetse'!K560</f>
        <v>G802</v>
      </c>
      <c r="I414" t="str">
        <f>'Final data_for_R_analysis_Wetse'!K780</f>
        <v>R526</v>
      </c>
      <c r="J414">
        <f>IFERROR(INDEX('Green_rooibos initial weight'!$C$5:$C$2000,MATCH(H414, 'Green_rooibos initial weight'!$A$5:$A$2000,0)),"")</f>
        <v>2.194</v>
      </c>
      <c r="K414">
        <f>IFERROR(INDEX('Green_rooibos initial weight'!$C$5:$C$2000,MATCH(I414, 'Green_rooibos initial weight'!$A$5:$A$2000,0)),"")</f>
        <v>2.0960000000000001</v>
      </c>
      <c r="L414" s="194">
        <f t="shared" si="71"/>
        <v>1.9441999999999999</v>
      </c>
      <c r="M414" s="194">
        <f>AVERAGE(Ashed_controlls!$K$2:$K$11)</f>
        <v>5.5147656768714146</v>
      </c>
      <c r="N414" s="194">
        <f t="shared" si="68"/>
        <v>1.836981925710266</v>
      </c>
      <c r="O414" s="194">
        <f t="shared" si="72"/>
        <v>1.8462000000000001</v>
      </c>
      <c r="P414" s="194">
        <f>AVERAGE(Ashed_controlls!$K$12:$K$14)</f>
        <v>2.2816647271287041</v>
      </c>
      <c r="Q414" s="194">
        <f t="shared" si="73"/>
        <v>1.80407590580775</v>
      </c>
      <c r="R414" s="16">
        <f>IF('WetLitterbags placem_collection'!G121="","",'WetLitterbags placem_collection'!G121)</f>
        <v>42816</v>
      </c>
      <c r="S414" s="194">
        <f>IFERROR(INDEX('Both teabags AfterWet'!$C$3:$C$2000,MATCH(H414,'Both teabags AfterWet'!$A$3:$A$2000,0)),"")</f>
        <v>0.65200000000000002</v>
      </c>
      <c r="T414" s="194">
        <f>IFERROR(INDEX('Both teabags AfterWet'!$C$3:$C$2000,MATCH(I414,'Both teabags AfterWet'!$A$3:$A$2000,0)),"")</f>
        <v>1.3</v>
      </c>
      <c r="U414" s="194">
        <f t="shared" si="74"/>
        <v>0.50140000000000007</v>
      </c>
      <c r="V414" s="194">
        <f t="shared" si="75"/>
        <v>1.1494</v>
      </c>
      <c r="W414" s="194">
        <f>IFERROR(INDEX('Ashed teabags wet'!$K$2:$K$2000,MATCH(H414,'Ashed teabags wet'!$A$2:$A$2000,0)),"")</f>
        <v>10.497512437810975</v>
      </c>
      <c r="X414" s="237">
        <f>IFERROR(INDEX('Ashed teabags wet'!$K$2:$K$2000,MATCH(I414,'Ashed teabags wet'!$A$2:$A$2000,0)),"")</f>
        <v>6.4671814671816925</v>
      </c>
      <c r="Y414" s="194">
        <f t="shared" si="80"/>
        <v>0.44876547263681582</v>
      </c>
      <c r="Z414" s="194">
        <f t="shared" si="80"/>
        <v>1.0750662162162137</v>
      </c>
      <c r="AA414" s="194">
        <f t="shared" si="76"/>
        <v>0.7557050146460742</v>
      </c>
      <c r="AB414" s="194">
        <f t="shared" si="77"/>
        <v>0.49542656542117935</v>
      </c>
      <c r="AC414" s="194">
        <f t="shared" si="69"/>
        <v>0.59590963592791157</v>
      </c>
      <c r="AD414">
        <f t="shared" si="70"/>
        <v>54</v>
      </c>
      <c r="AE414" s="194">
        <f t="shared" si="78"/>
        <v>0.10248810612105197</v>
      </c>
      <c r="AF414" s="194">
        <f t="shared" si="79"/>
        <v>3.1312442980427249E-2</v>
      </c>
      <c r="AG414" s="252" t="str">
        <f>IF(ISNUMBER(SEARCH("C",'WetLitterbags placem_collection'!$Y121)),"YES","NO")</f>
        <v>NO</v>
      </c>
      <c r="AH414" s="252" t="str">
        <f>IF(ISNUMBER(SEARCH("H", 'WetLitterbags placem_collection'!$Y121)),"YES","NO")</f>
        <v>NO</v>
      </c>
      <c r="AI414" s="252" t="str">
        <f>IF(ISNUMBER(SEARCH("R", 'WetLitterbags placem_collection'!$Y121)),"YES","NO")</f>
        <v>YES</v>
      </c>
      <c r="AJ414" s="252" t="str">
        <f>IF(ISNUMBER(SEARCH("C", 'WetLitterbags placem_collection'!$W121)),"YES","NO")</f>
        <v>NO</v>
      </c>
      <c r="AK414" s="252" t="str">
        <f>IF(ISNUMBER(SEARCH("H", 'WetLitterbags placem_collection'!$W121)),"YES","NO")</f>
        <v>YES</v>
      </c>
      <c r="AL414" s="252" t="str">
        <f>IF(ISNUMBER(SEARCH("R", 'WetLitterbags placem_collection'!$W121)),"YES","NO")</f>
        <v>NO</v>
      </c>
    </row>
    <row r="415" spans="2:38">
      <c r="B415" t="str">
        <f>'Final data_for_R_analysis_Wetse'!A561</f>
        <v>Wet</v>
      </c>
      <c r="C415" s="260">
        <f>'Final data_for_R_analysis_Wetse'!B561</f>
        <v>120</v>
      </c>
      <c r="D415" t="s">
        <v>3818</v>
      </c>
      <c r="E415" t="s">
        <v>25</v>
      </c>
      <c r="F415" s="382">
        <v>8</v>
      </c>
      <c r="G415" s="16">
        <f>'WetLitterbags placem_collection'!E122</f>
        <v>42762</v>
      </c>
      <c r="H415" s="92" t="str">
        <f>'Final data_for_R_analysis_Wetse'!K561</f>
        <v>G698</v>
      </c>
      <c r="I415" t="str">
        <f>'Final data_for_R_analysis_Wetse'!K781</f>
        <v>R594</v>
      </c>
      <c r="J415">
        <f>IFERROR(INDEX('Green_rooibos initial weight'!$C$5:$C$2000,MATCH(H415, 'Green_rooibos initial weight'!$A$5:$A$2000,0)),"")</f>
        <v>2.085</v>
      </c>
      <c r="K415">
        <f>IFERROR(INDEX('Green_rooibos initial weight'!$C$5:$C$2000,MATCH(I415, 'Green_rooibos initial weight'!$A$5:$A$2000,0)),"")</f>
        <v>2.2400000000000002</v>
      </c>
      <c r="L415" s="194">
        <f t="shared" si="71"/>
        <v>1.8351999999999999</v>
      </c>
      <c r="M415" s="194">
        <f>AVERAGE(Ashed_controlls!$K$2:$K$11)</f>
        <v>5.5147656768714146</v>
      </c>
      <c r="N415" s="194">
        <f t="shared" si="68"/>
        <v>1.7339930202980558</v>
      </c>
      <c r="O415" s="194">
        <f t="shared" si="72"/>
        <v>1.9902000000000002</v>
      </c>
      <c r="P415" s="194">
        <f>AVERAGE(Ashed_controlls!$K$12:$K$14)</f>
        <v>2.2816647271287041</v>
      </c>
      <c r="Q415" s="194">
        <f t="shared" si="73"/>
        <v>1.9447903086006848</v>
      </c>
      <c r="R415" s="16">
        <f>IF('WetLitterbags placem_collection'!G122="","",'WetLitterbags placem_collection'!G122)</f>
        <v>42816</v>
      </c>
      <c r="S415" s="194">
        <f>IFERROR(INDEX('Both teabags AfterWet'!$C$3:$C$2000,MATCH(H415,'Both teabags AfterWet'!$A$3:$A$2000,0)),"")</f>
        <v>0.55310000000000004</v>
      </c>
      <c r="T415" s="194">
        <f>IFERROR(INDEX('Both teabags AfterWet'!$C$3:$C$2000,MATCH(I415,'Both teabags AfterWet'!$A$3:$A$2000,0)),"")</f>
        <v>1.4142999999999999</v>
      </c>
      <c r="U415" s="194">
        <f t="shared" si="74"/>
        <v>0.40250000000000002</v>
      </c>
      <c r="V415" s="194">
        <f t="shared" si="75"/>
        <v>1.2636999999999998</v>
      </c>
      <c r="W415" s="194">
        <f>IFERROR(INDEX('Ashed teabags wet'!$K$2:$K$2000,MATCH(H415,'Ashed teabags wet'!$A$2:$A$2000,0)),"")</f>
        <v>14.853452558370487</v>
      </c>
      <c r="X415" s="237">
        <f>IFERROR(INDEX('Ashed teabags wet'!$K$2:$K$2000,MATCH(I415,'Ashed teabags wet'!$A$2:$A$2000,0)),"")</f>
        <v>4.3540669856461571</v>
      </c>
      <c r="Y415" s="194">
        <f t="shared" si="80"/>
        <v>0.34271485345255881</v>
      </c>
      <c r="Z415" s="194">
        <f t="shared" si="80"/>
        <v>1.2086776555023893</v>
      </c>
      <c r="AA415" s="194">
        <f t="shared" si="76"/>
        <v>0.80235511363612666</v>
      </c>
      <c r="AB415" s="194">
        <f t="shared" si="77"/>
        <v>0.52600952817950353</v>
      </c>
      <c r="AC415" s="194">
        <f t="shared" si="69"/>
        <v>0.62149510420589082</v>
      </c>
      <c r="AD415">
        <f t="shared" si="70"/>
        <v>54</v>
      </c>
      <c r="AE415" s="194">
        <f t="shared" si="78"/>
        <v>4.7084188080609657E-2</v>
      </c>
      <c r="AF415" s="194">
        <f t="shared" si="79"/>
        <v>2.354555084618442E-2</v>
      </c>
      <c r="AG415" s="252" t="str">
        <f>IF(ISNUMBER(SEARCH("C",'WetLitterbags placem_collection'!$Y122)),"YES","NO")</f>
        <v>NO</v>
      </c>
      <c r="AH415" s="252" t="str">
        <f>IF(ISNUMBER(SEARCH("H", 'WetLitterbags placem_collection'!$Y122)),"YES","NO")</f>
        <v>NO</v>
      </c>
      <c r="AI415" s="252" t="str">
        <f>IF(ISNUMBER(SEARCH("R", 'WetLitterbags placem_collection'!$Y122)),"YES","NO")</f>
        <v>YES</v>
      </c>
      <c r="AJ415" s="252" t="str">
        <f>IF(ISNUMBER(SEARCH("C", 'WetLitterbags placem_collection'!$W122)),"YES","NO")</f>
        <v>NO</v>
      </c>
      <c r="AK415" s="252" t="str">
        <f>IF(ISNUMBER(SEARCH("H", 'WetLitterbags placem_collection'!$W122)),"YES","NO")</f>
        <v>YES</v>
      </c>
      <c r="AL415" s="252" t="str">
        <f>IF(ISNUMBER(SEARCH("R", 'WetLitterbags placem_collection'!$W122)),"YES","NO")</f>
        <v>NO</v>
      </c>
    </row>
    <row r="416" spans="2:38">
      <c r="B416" t="str">
        <f>'Final data_for_R_analysis_Wetse'!A562</f>
        <v>Wet</v>
      </c>
      <c r="C416" s="260">
        <f>'Final data_for_R_analysis_Wetse'!B562</f>
        <v>121</v>
      </c>
      <c r="D416" t="s">
        <v>3819</v>
      </c>
      <c r="E416" t="s">
        <v>25</v>
      </c>
      <c r="F416" s="381">
        <v>1</v>
      </c>
      <c r="G416" s="16">
        <f>'WetLitterbags placem_collection'!E123</f>
        <v>42762</v>
      </c>
      <c r="H416" s="92" t="str">
        <f>'Final data_for_R_analysis_Wetse'!K562</f>
        <v>G825</v>
      </c>
      <c r="I416" t="str">
        <f>'Final data_for_R_analysis_Wetse'!K782</f>
        <v>R564</v>
      </c>
      <c r="J416">
        <f>IFERROR(INDEX('Green_rooibos initial weight'!$C$5:$C$2000,MATCH(H416, 'Green_rooibos initial weight'!$A$5:$A$2000,0)),"")</f>
        <v>2.1240000000000001</v>
      </c>
      <c r="K416">
        <f>IFERROR(INDEX('Green_rooibos initial weight'!$C$5:$C$2000,MATCH(I416, 'Green_rooibos initial weight'!$A$5:$A$2000,0)),"")</f>
        <v>2.145</v>
      </c>
      <c r="L416" s="194">
        <f t="shared" si="71"/>
        <v>1.8742000000000001</v>
      </c>
      <c r="M416" s="194">
        <f>AVERAGE(Ashed_controlls!$K$2:$K$11)</f>
        <v>5.5147656768714146</v>
      </c>
      <c r="N416" s="194">
        <f t="shared" si="68"/>
        <v>1.770842261684076</v>
      </c>
      <c r="O416" s="194">
        <f t="shared" si="72"/>
        <v>1.8952</v>
      </c>
      <c r="P416" s="194">
        <f>AVERAGE(Ashed_controlls!$K$12:$K$14)</f>
        <v>2.2816647271287041</v>
      </c>
      <c r="Q416" s="194">
        <f t="shared" si="73"/>
        <v>1.8519578900914568</v>
      </c>
      <c r="R416" s="16">
        <f>IF('WetLitterbags placem_collection'!G123="","",'WetLitterbags placem_collection'!G123)</f>
        <v>42816</v>
      </c>
      <c r="S416" s="194">
        <f>IFERROR(INDEX('Both teabags AfterWet'!$C$3:$C$2000,MATCH(H416,'Both teabags AfterWet'!$A$3:$A$2000,0)),"")</f>
        <v>0.61199999999999999</v>
      </c>
      <c r="T416" s="194">
        <f>IFERROR(INDEX('Both teabags AfterWet'!$C$3:$C$2000,MATCH(I416,'Both teabags AfterWet'!$A$3:$A$2000,0)),"")</f>
        <v>1.53</v>
      </c>
      <c r="U416" s="194">
        <f t="shared" si="74"/>
        <v>0.46139999999999998</v>
      </c>
      <c r="V416" s="194">
        <f t="shared" si="75"/>
        <v>1.3794</v>
      </c>
      <c r="W416" s="194">
        <f>IFERROR(INDEX('Ashed teabags wet'!$K$2:$K$2000,MATCH(H416,'Ashed teabags wet'!$A$2:$A$2000,0)),"")</f>
        <v>10.131514856308767</v>
      </c>
      <c r="X416" s="237">
        <f>IFERROR(INDEX('Ashed teabags wet'!$K$2:$K$2000,MATCH(I416,'Ashed teabags wet'!$A$2:$A$2000,0)),"")</f>
        <v>7.5161772025872624</v>
      </c>
      <c r="Y416" s="194">
        <f t="shared" si="80"/>
        <v>0.41465319045299132</v>
      </c>
      <c r="Z416" s="194">
        <f t="shared" si="80"/>
        <v>1.2757218516675113</v>
      </c>
      <c r="AA416" s="194">
        <f t="shared" si="76"/>
        <v>0.76584408480366006</v>
      </c>
      <c r="AB416" s="194">
        <f t="shared" si="77"/>
        <v>0.50207355678339716</v>
      </c>
      <c r="AC416" s="194">
        <f t="shared" si="69"/>
        <v>0.68885035588174803</v>
      </c>
      <c r="AD416">
        <f t="shared" si="70"/>
        <v>54</v>
      </c>
      <c r="AE416" s="194">
        <f t="shared" si="78"/>
        <v>9.0446455102541456E-2</v>
      </c>
      <c r="AF416" s="194">
        <f t="shared" si="79"/>
        <v>1.7905030569357407E-2</v>
      </c>
      <c r="AG416" s="252" t="str">
        <f>IF(ISNUMBER(SEARCH("C",'WetLitterbags placem_collection'!$Y123)),"YES","NO")</f>
        <v>NO</v>
      </c>
      <c r="AH416" s="252" t="str">
        <f>IF(ISNUMBER(SEARCH("H", 'WetLitterbags placem_collection'!$Y123)),"YES","NO")</f>
        <v>NO</v>
      </c>
      <c r="AI416" s="252" t="str">
        <f>IF(ISNUMBER(SEARCH("R", 'WetLitterbags placem_collection'!$Y123)),"YES","NO")</f>
        <v>YES</v>
      </c>
      <c r="AJ416" s="252" t="str">
        <f>IF(ISNUMBER(SEARCH("C", 'WetLitterbags placem_collection'!$W123)),"YES","NO")</f>
        <v>YES</v>
      </c>
      <c r="AK416" s="252" t="str">
        <f>IF(ISNUMBER(SEARCH("H", 'WetLitterbags placem_collection'!$W123)),"YES","NO")</f>
        <v>NO</v>
      </c>
      <c r="AL416" s="252" t="str">
        <f>IF(ISNUMBER(SEARCH("R", 'WetLitterbags placem_collection'!$W123)),"YES","NO")</f>
        <v>YES</v>
      </c>
    </row>
    <row r="417" spans="2:38">
      <c r="B417" t="str">
        <f>'Final data_for_R_analysis_Wetse'!A563</f>
        <v>Wet</v>
      </c>
      <c r="C417" s="260">
        <f>'Final data_for_R_analysis_Wetse'!B563</f>
        <v>122</v>
      </c>
      <c r="D417" t="s">
        <v>3819</v>
      </c>
      <c r="E417" t="s">
        <v>25</v>
      </c>
      <c r="F417" s="381">
        <v>2</v>
      </c>
      <c r="G417" s="16">
        <f>'WetLitterbags placem_collection'!E124</f>
        <v>42762</v>
      </c>
      <c r="H417" s="92" t="str">
        <f>'Final data_for_R_analysis_Wetse'!K563</f>
        <v>G839</v>
      </c>
      <c r="I417" t="str">
        <f>'Final data_for_R_analysis_Wetse'!K783</f>
        <v>R429</v>
      </c>
      <c r="J417">
        <f>IFERROR(INDEX('Green_rooibos initial weight'!$C$5:$C$2000,MATCH(H417, 'Green_rooibos initial weight'!$A$5:$A$2000,0)),"")</f>
        <v>2.0230000000000001</v>
      </c>
      <c r="K417">
        <f>IFERROR(INDEX('Green_rooibos initial weight'!$C$5:$C$2000,MATCH(I417, 'Green_rooibos initial weight'!$A$5:$A$2000,0)),"")</f>
        <v>2.21</v>
      </c>
      <c r="L417" s="194">
        <f t="shared" si="71"/>
        <v>1.7732000000000001</v>
      </c>
      <c r="M417" s="194">
        <f>AVERAGE(Ashed_controlls!$K$2:$K$11)</f>
        <v>5.5147656768714146</v>
      </c>
      <c r="N417" s="194">
        <f t="shared" si="68"/>
        <v>1.6754121750177162</v>
      </c>
      <c r="O417" s="194">
        <f t="shared" si="72"/>
        <v>1.9601999999999999</v>
      </c>
      <c r="P417" s="194">
        <f>AVERAGE(Ashed_controlls!$K$12:$K$14)</f>
        <v>2.2816647271287041</v>
      </c>
      <c r="Q417" s="194">
        <f t="shared" si="73"/>
        <v>1.9154748080188231</v>
      </c>
      <c r="R417" s="16">
        <f>IF('WetLitterbags placem_collection'!G124="","",'WetLitterbags placem_collection'!G124)</f>
        <v>42816</v>
      </c>
      <c r="S417" s="194">
        <f>IFERROR(INDEX('Both teabags AfterWet'!$C$3:$C$2000,MATCH(H417,'Both teabags AfterWet'!$A$3:$A$2000,0)),"")</f>
        <v>0.64200000000000002</v>
      </c>
      <c r="T417" s="194">
        <f>IFERROR(INDEX('Both teabags AfterWet'!$C$3:$C$2000,MATCH(I417,'Both teabags AfterWet'!$A$3:$A$2000,0)),"")</f>
        <v>1.2190000000000001</v>
      </c>
      <c r="U417" s="194">
        <f t="shared" si="74"/>
        <v>0.4914</v>
      </c>
      <c r="V417" s="194">
        <f t="shared" si="75"/>
        <v>1.0684</v>
      </c>
      <c r="W417" s="194">
        <f>IFERROR(INDEX('Ashed teabags wet'!$K$2:$K$2000,MATCH(H417,'Ashed teabags wet'!$A$2:$A$2000,0)),"")</f>
        <v>16.267465069859526</v>
      </c>
      <c r="X417" s="237">
        <f>IFERROR(INDEX('Ashed teabags wet'!$K$2:$K$2000,MATCH(I417,'Ashed teabags wet'!$A$2:$A$2000,0)),"")</f>
        <v>8.6138613861387903</v>
      </c>
      <c r="Y417" s="194">
        <f t="shared" si="80"/>
        <v>0.41146167664671029</v>
      </c>
      <c r="Z417" s="194">
        <f t="shared" si="80"/>
        <v>0.97636950495049313</v>
      </c>
      <c r="AA417" s="194">
        <f t="shared" si="76"/>
        <v>0.75441167088190741</v>
      </c>
      <c r="AB417" s="194">
        <f t="shared" si="77"/>
        <v>0.49457867259716498</v>
      </c>
      <c r="AC417" s="194">
        <f t="shared" si="69"/>
        <v>0.509727144864073</v>
      </c>
      <c r="AD417">
        <f t="shared" si="70"/>
        <v>54</v>
      </c>
      <c r="AE417" s="194">
        <f t="shared" si="78"/>
        <v>0.10402414384571568</v>
      </c>
      <c r="AF417" s="194">
        <f t="shared" si="79"/>
        <v>8.7847022728342009E-2</v>
      </c>
      <c r="AG417" s="252" t="str">
        <f>IF(ISNUMBER(SEARCH("C",'WetLitterbags placem_collection'!$Y124)),"YES","NO")</f>
        <v>NO</v>
      </c>
      <c r="AH417" s="252" t="str">
        <f>IF(ISNUMBER(SEARCH("H", 'WetLitterbags placem_collection'!$Y124)),"YES","NO")</f>
        <v>NO</v>
      </c>
      <c r="AI417" s="252" t="str">
        <f>IF(ISNUMBER(SEARCH("R", 'WetLitterbags placem_collection'!$Y124)),"YES","NO")</f>
        <v>YES</v>
      </c>
      <c r="AJ417" s="252" t="str">
        <f>IF(ISNUMBER(SEARCH("C", 'WetLitterbags placem_collection'!$W124)),"YES","NO")</f>
        <v>NO</v>
      </c>
      <c r="AK417" s="252" t="str">
        <f>IF(ISNUMBER(SEARCH("H", 'WetLitterbags placem_collection'!$W124)),"YES","NO")</f>
        <v>NO</v>
      </c>
      <c r="AL417" s="252" t="str">
        <f>IF(ISNUMBER(SEARCH("R", 'WetLitterbags placem_collection'!$W124)),"YES","NO")</f>
        <v>YES</v>
      </c>
    </row>
    <row r="418" spans="2:38">
      <c r="B418" t="str">
        <f>'Final data_for_R_analysis_Wetse'!A564</f>
        <v>Wet</v>
      </c>
      <c r="C418" s="260">
        <f>'Final data_for_R_analysis_Wetse'!B564</f>
        <v>123</v>
      </c>
      <c r="D418" t="s">
        <v>3819</v>
      </c>
      <c r="E418" t="s">
        <v>25</v>
      </c>
      <c r="F418" s="381">
        <v>3</v>
      </c>
      <c r="G418" s="16">
        <f>'WetLitterbags placem_collection'!E125</f>
        <v>42762</v>
      </c>
      <c r="H418" s="92" t="str">
        <f>'Final data_for_R_analysis_Wetse'!K564</f>
        <v>G895</v>
      </c>
      <c r="I418" t="str">
        <f>'Final data_for_R_analysis_Wetse'!K784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71"/>
        <v>1.6761999999999999</v>
      </c>
      <c r="M418" s="194">
        <f>AVERAGE(Ashed_controlls!$K$2:$K$11)</f>
        <v>5.5147656768714146</v>
      </c>
      <c r="N418" s="194">
        <f t="shared" si="68"/>
        <v>1.5837614977242813</v>
      </c>
      <c r="O418" s="194">
        <f t="shared" si="72"/>
        <v>1.9771999999999998</v>
      </c>
      <c r="P418" s="194">
        <f>AVERAGE(Ashed_controlls!$K$12:$K$14)</f>
        <v>2.2816647271287041</v>
      </c>
      <c r="Q418" s="194">
        <f t="shared" si="73"/>
        <v>1.9320869250152111</v>
      </c>
      <c r="R418" s="16">
        <f>IF('WetLitterbags placem_collection'!G125="","",'WetLitterbags placem_collection'!G125)</f>
        <v>42816</v>
      </c>
      <c r="S418" s="194">
        <f>IFERROR(INDEX('Both teabags AfterWet'!$C$3:$C$2000,MATCH(H418,'Both teabags AfterWet'!$A$3:$A$2000,0)),"")</f>
        <v>0.878</v>
      </c>
      <c r="T418" s="194">
        <f>IFERROR(INDEX('Both teabags AfterWet'!$C$3:$C$2000,MATCH(I418,'Both teabags AfterWet'!$A$3:$A$2000,0)),"")</f>
        <v>1.5760000000000001</v>
      </c>
      <c r="U418" s="194">
        <f t="shared" si="74"/>
        <v>0.72740000000000005</v>
      </c>
      <c r="V418" s="194">
        <f t="shared" si="75"/>
        <v>1.4254</v>
      </c>
      <c r="W418" s="194">
        <f>IFERROR(INDEX('Ashed teabags wet'!$K$2:$K$2000,MATCH(H418,'Ashed teabags wet'!$A$2:$A$2000,0)),"")</f>
        <v>13.555233960443902</v>
      </c>
      <c r="X418" s="237">
        <f>IFERROR(INDEX('Ashed teabags wet'!$K$2:$K$2000,MATCH(I418,'Ashed teabags wet'!$A$2:$A$2000,0)),"")</f>
        <v>3.9460539460533175</v>
      </c>
      <c r="Y418" s="194">
        <f t="shared" si="80"/>
        <v>0.62879922817173106</v>
      </c>
      <c r="Z418" s="194">
        <f t="shared" si="80"/>
        <v>1.369152947052956</v>
      </c>
      <c r="AA418" s="194">
        <f t="shared" si="76"/>
        <v>0.60297100979203155</v>
      </c>
      <c r="AB418" s="194">
        <f t="shared" si="77"/>
        <v>0.39529690903230574</v>
      </c>
      <c r="AC418" s="194">
        <f t="shared" si="69"/>
        <v>0.7086394143690905</v>
      </c>
      <c r="AD418">
        <f t="shared" si="70"/>
        <v>54</v>
      </c>
      <c r="AE418" s="194">
        <f t="shared" si="78"/>
        <v>0.28388241117335922</v>
      </c>
      <c r="AF418" s="194">
        <f t="shared" si="79"/>
        <v>2.473812433959597E-2</v>
      </c>
      <c r="AG418" s="252" t="str">
        <f>IF(ISNUMBER(SEARCH("C",'WetLitterbags placem_collection'!$Y125)),"YES","NO")</f>
        <v>NO</v>
      </c>
      <c r="AH418" s="252" t="str">
        <f>IF(ISNUMBER(SEARCH("H", 'WetLitterbags placem_collection'!$Y125)),"YES","NO")</f>
        <v>NO</v>
      </c>
      <c r="AI418" s="252" t="str">
        <f>IF(ISNUMBER(SEARCH("R", 'WetLitterbags placem_collection'!$Y125)),"YES","NO")</f>
        <v>NO</v>
      </c>
      <c r="AJ418" s="252" t="str">
        <f>IF(ISNUMBER(SEARCH("C", 'WetLitterbags placem_collection'!$W125)),"YES","NO")</f>
        <v>YES</v>
      </c>
      <c r="AK418" s="252" t="str">
        <f>IF(ISNUMBER(SEARCH("H", 'WetLitterbags placem_collection'!$W125)),"YES","NO")</f>
        <v>YES</v>
      </c>
      <c r="AL418" s="252" t="str">
        <f>IF(ISNUMBER(SEARCH("R", 'WetLitterbags placem_collection'!$W125)),"YES","NO")</f>
        <v>NO</v>
      </c>
    </row>
    <row r="419" spans="2:38">
      <c r="B419" t="str">
        <f>'Final data_for_R_analysis_Wetse'!A565</f>
        <v>Wet</v>
      </c>
      <c r="C419" s="260">
        <f>'Final data_for_R_analysis_Wetse'!B565</f>
        <v>124</v>
      </c>
      <c r="D419" t="s">
        <v>3819</v>
      </c>
      <c r="E419" t="s">
        <v>25</v>
      </c>
      <c r="F419" s="382">
        <v>4</v>
      </c>
      <c r="G419" s="16">
        <f>'WetLitterbags placem_collection'!E126</f>
        <v>42762</v>
      </c>
      <c r="H419" s="92" t="str">
        <f>'Final data_for_R_analysis_Wetse'!K565</f>
        <v>G682</v>
      </c>
      <c r="I419" t="str">
        <f>'Final data_for_R_analysis_Wetse'!K785</f>
        <v>R471</v>
      </c>
      <c r="J419">
        <f>IFERROR(INDEX('Green_rooibos initial weight'!$C$5:$C$2000,MATCH(H419, 'Green_rooibos initial weight'!$A$5:$A$2000,0)),"")</f>
        <v>2.0230000000000001</v>
      </c>
      <c r="K419">
        <f>IFERROR(INDEX('Green_rooibos initial weight'!$C$5:$C$2000,MATCH(I419, 'Green_rooibos initial weight'!$A$5:$A$2000,0)),"")</f>
        <v>2.238</v>
      </c>
      <c r="L419" s="194">
        <f t="shared" si="71"/>
        <v>1.7732000000000001</v>
      </c>
      <c r="M419" s="194">
        <f>AVERAGE(Ashed_controlls!$K$2:$K$11)</f>
        <v>5.5147656768714146</v>
      </c>
      <c r="N419" s="194">
        <f t="shared" si="68"/>
        <v>1.6754121750177162</v>
      </c>
      <c r="O419" s="194">
        <f t="shared" si="72"/>
        <v>1.9882</v>
      </c>
      <c r="P419" s="194">
        <f>AVERAGE(Ashed_controlls!$K$12:$K$14)</f>
        <v>2.2816647271287041</v>
      </c>
      <c r="Q419" s="194">
        <f t="shared" si="73"/>
        <v>1.942835941895227</v>
      </c>
      <c r="R419" s="16">
        <f>IF('WetLitterbags placem_collection'!G126="","",'WetLitterbags placem_collection'!G126)</f>
        <v>42816</v>
      </c>
      <c r="S419" s="194">
        <f>IFERROR(INDEX('Both teabags AfterWet'!$C$3:$C$2000,MATCH(H419,'Both teabags AfterWet'!$A$3:$A$2000,0)),"")</f>
        <v>0.61199999999999999</v>
      </c>
      <c r="T419" s="194">
        <f>IFERROR(INDEX('Both teabags AfterWet'!$C$3:$C$2000,MATCH(I419,'Both teabags AfterWet'!$A$3:$A$2000,0)),"")</f>
        <v>1.518</v>
      </c>
      <c r="U419" s="194">
        <f t="shared" si="74"/>
        <v>0.46139999999999998</v>
      </c>
      <c r="V419" s="194">
        <f t="shared" si="75"/>
        <v>1.3673999999999999</v>
      </c>
      <c r="W419" s="194">
        <f>IFERROR(INDEX('Ashed teabags wet'!$K$2:$K$2000,MATCH(H419,'Ashed teabags wet'!$A$2:$A$2000,0)),"")</f>
        <v>12.30079681274993</v>
      </c>
      <c r="X419" s="237">
        <f>IFERROR(INDEX('Ashed teabags wet'!$K$2:$K$2000,MATCH(I419,'Ashed teabags wet'!$A$2:$A$2000,0)),"")</f>
        <v>3.762376237623815</v>
      </c>
      <c r="Y419" s="194">
        <f t="shared" si="80"/>
        <v>0.40464412350597179</v>
      </c>
      <c r="Z419" s="194">
        <f t="shared" si="80"/>
        <v>1.3159532673267318</v>
      </c>
      <c r="AA419" s="194">
        <f t="shared" si="76"/>
        <v>0.75848085053954384</v>
      </c>
      <c r="AB419" s="194">
        <f t="shared" si="77"/>
        <v>0.4972463533228364</v>
      </c>
      <c r="AC419" s="194">
        <f t="shared" si="69"/>
        <v>0.67733627886409487</v>
      </c>
      <c r="AD419">
        <f t="shared" si="70"/>
        <v>54</v>
      </c>
      <c r="AE419" s="194">
        <f t="shared" si="78"/>
        <v>9.9191388907905131E-2</v>
      </c>
      <c r="AF419" s="194">
        <f t="shared" si="79"/>
        <v>1.9383100325378509E-2</v>
      </c>
      <c r="AG419" s="252" t="str">
        <f>IF(ISNUMBER(SEARCH("C",'WetLitterbags placem_collection'!$Y126)),"YES","NO")</f>
        <v>NO</v>
      </c>
      <c r="AH419" s="252" t="str">
        <f>IF(ISNUMBER(SEARCH("H", 'WetLitterbags placem_collection'!$Y126)),"YES","NO")</f>
        <v>NO</v>
      </c>
      <c r="AI419" s="252" t="str">
        <f>IF(ISNUMBER(SEARCH("R", 'WetLitterbags placem_collection'!$Y126)),"YES","NO")</f>
        <v>NO</v>
      </c>
      <c r="AJ419" s="252" t="str">
        <f>IF(ISNUMBER(SEARCH("C", 'WetLitterbags placem_collection'!$W126)),"YES","NO")</f>
        <v>NO</v>
      </c>
      <c r="AK419" s="252" t="str">
        <f>IF(ISNUMBER(SEARCH("H", 'WetLitterbags placem_collection'!$W126)),"YES","NO")</f>
        <v>NO</v>
      </c>
      <c r="AL419" s="252" t="str">
        <f>IF(ISNUMBER(SEARCH("R", 'WetLitterbags placem_collection'!$W126)),"YES","NO")</f>
        <v>YES</v>
      </c>
    </row>
    <row r="420" spans="2:38">
      <c r="B420" t="str">
        <f>'Final data_for_R_analysis_Wetse'!A566</f>
        <v>Wet</v>
      </c>
      <c r="C420" s="260">
        <f>'Final data_for_R_analysis_Wetse'!B566</f>
        <v>125</v>
      </c>
      <c r="D420" t="s">
        <v>3819</v>
      </c>
      <c r="E420" t="s">
        <v>25</v>
      </c>
      <c r="F420" s="382">
        <v>5</v>
      </c>
      <c r="G420" s="16">
        <f>'WetLitterbags placem_collection'!E127</f>
        <v>42762</v>
      </c>
      <c r="H420" s="92" t="str">
        <f>'Final data_for_R_analysis_Wetse'!K566</f>
        <v>G740</v>
      </c>
      <c r="I420" t="str">
        <f>'Final data_for_R_analysis_Wetse'!K786</f>
        <v>R486</v>
      </c>
      <c r="J420">
        <f>IFERROR(INDEX('Green_rooibos initial weight'!$C$5:$C$2000,MATCH(H420, 'Green_rooibos initial weight'!$A$5:$A$2000,0)),"")</f>
        <v>1.915</v>
      </c>
      <c r="K420">
        <f>IFERROR(INDEX('Green_rooibos initial weight'!$C$5:$C$2000,MATCH(I420, 'Green_rooibos initial weight'!$A$5:$A$2000,0)),"")</f>
        <v>2.218</v>
      </c>
      <c r="L420" s="194">
        <f t="shared" si="71"/>
        <v>1.6652</v>
      </c>
      <c r="M420" s="194">
        <f>AVERAGE(Ashed_controlls!$K$2:$K$11)</f>
        <v>5.5147656768714146</v>
      </c>
      <c r="N420" s="194">
        <f t="shared" si="68"/>
        <v>1.5733681219487372</v>
      </c>
      <c r="O420" s="194">
        <f t="shared" si="72"/>
        <v>1.9681999999999999</v>
      </c>
      <c r="P420" s="194">
        <f>AVERAGE(Ashed_controlls!$K$12:$K$14)</f>
        <v>2.2816647271287041</v>
      </c>
      <c r="Q420" s="194">
        <f t="shared" si="73"/>
        <v>1.9232922748406529</v>
      </c>
      <c r="R420" s="16">
        <f>IF('WetLitterbags placem_collection'!G127="","",'WetLitterbags placem_collection'!G127)</f>
        <v>42816</v>
      </c>
      <c r="S420" s="194">
        <f>IFERROR(INDEX('Both teabags AfterWet'!$C$3:$C$2000,MATCH(H420,'Both teabags AfterWet'!$A$3:$A$2000,0)),"")</f>
        <v>0.60099999999999998</v>
      </c>
      <c r="T420" s="194">
        <f>IFERROR(INDEX('Both teabags AfterWet'!$C$3:$C$2000,MATCH(I420,'Both teabags AfterWet'!$A$3:$A$2000,0)),"")</f>
        <v>1.389</v>
      </c>
      <c r="U420" s="194">
        <f t="shared" si="74"/>
        <v>0.45039999999999997</v>
      </c>
      <c r="V420" s="194">
        <f t="shared" si="75"/>
        <v>1.2383999999999999</v>
      </c>
      <c r="W420" s="194">
        <f>IFERROR(INDEX('Ashed teabags wet'!$K$2:$K$2000,MATCH(H420,'Ashed teabags wet'!$A$2:$A$2000,0)),"")</f>
        <v>14.222658165767069</v>
      </c>
      <c r="X420" s="237">
        <f>IFERROR(INDEX('Ashed teabags wet'!$K$2:$K$2000,MATCH(I420,'Ashed teabags wet'!$A$2:$A$2000,0)),"")</f>
        <v>4.2372881355932517</v>
      </c>
      <c r="Y420" s="194">
        <f t="shared" si="80"/>
        <v>0.38634114762138511</v>
      </c>
      <c r="Z420" s="194">
        <f t="shared" si="80"/>
        <v>1.185925423728813</v>
      </c>
      <c r="AA420" s="194">
        <f t="shared" si="76"/>
        <v>0.75444961529862953</v>
      </c>
      <c r="AB420" s="194">
        <f t="shared" si="77"/>
        <v>0.49460354827178571</v>
      </c>
      <c r="AC420" s="194">
        <f t="shared" si="69"/>
        <v>0.61661217030940785</v>
      </c>
      <c r="AD420">
        <f t="shared" si="70"/>
        <v>54</v>
      </c>
      <c r="AE420" s="194">
        <f t="shared" si="78"/>
        <v>0.1039790792177796</v>
      </c>
      <c r="AF420" s="194">
        <f t="shared" si="79"/>
        <v>2.7634903761300986E-2</v>
      </c>
      <c r="AG420" s="252" t="str">
        <f>IF(ISNUMBER(SEARCH("C",'WetLitterbags placem_collection'!$Y127)),"YES","NO")</f>
        <v>NO</v>
      </c>
      <c r="AH420" s="252" t="str">
        <f>IF(ISNUMBER(SEARCH("H", 'WetLitterbags placem_collection'!$Y127)),"YES","NO")</f>
        <v>NO</v>
      </c>
      <c r="AI420" s="252" t="str">
        <f>IF(ISNUMBER(SEARCH("R", 'WetLitterbags placem_collection'!$Y127)),"YES","NO")</f>
        <v>YES</v>
      </c>
      <c r="AJ420" s="252" t="str">
        <f>IF(ISNUMBER(SEARCH("C", 'WetLitterbags placem_collection'!$W127)),"YES","NO")</f>
        <v>NO</v>
      </c>
      <c r="AK420" s="252" t="str">
        <f>IF(ISNUMBER(SEARCH("H", 'WetLitterbags placem_collection'!$W127)),"YES","NO")</f>
        <v>YES</v>
      </c>
      <c r="AL420" s="252" t="str">
        <f>IF(ISNUMBER(SEARCH("R", 'WetLitterbags placem_collection'!$W127)),"YES","NO")</f>
        <v>YES</v>
      </c>
    </row>
    <row r="421" spans="2:38">
      <c r="B421" t="str">
        <f>'Final data_for_R_analysis_Wetse'!A567</f>
        <v>Wet</v>
      </c>
      <c r="C421" s="260">
        <f>'Final data_for_R_analysis_Wetse'!B567</f>
        <v>126</v>
      </c>
      <c r="D421" t="s">
        <v>3819</v>
      </c>
      <c r="E421" t="s">
        <v>25</v>
      </c>
      <c r="F421" s="382">
        <v>6</v>
      </c>
      <c r="G421" s="16">
        <f>'WetLitterbags placem_collection'!E128</f>
        <v>42762</v>
      </c>
      <c r="H421" s="92" t="str">
        <f>'Final data_for_R_analysis_Wetse'!K567</f>
        <v>G841</v>
      </c>
      <c r="I421" t="str">
        <f>'Final data_for_R_analysis_Wetse'!K787</f>
        <v>R55</v>
      </c>
      <c r="J421">
        <f>IFERROR(INDEX('Green_rooibos initial weight'!$C$5:$C$2000,MATCH(H421, 'Green_rooibos initial weight'!$A$5:$A$2000,0)),"")</f>
        <v>1.96</v>
      </c>
      <c r="K421">
        <f>IFERROR(INDEX('Green_rooibos initial weight'!$C$5:$C$2000,MATCH(I421, 'Green_rooibos initial weight'!$A$5:$A$2000,0)),"")</f>
        <v>2.2010000000000001</v>
      </c>
      <c r="L421" s="194">
        <f t="shared" si="71"/>
        <v>1.7101999999999999</v>
      </c>
      <c r="M421" s="194">
        <f>AVERAGE(Ashed_controlls!$K$2:$K$11)</f>
        <v>5.5147656768714146</v>
      </c>
      <c r="N421" s="194">
        <f t="shared" si="68"/>
        <v>1.615886477394145</v>
      </c>
      <c r="O421" s="194">
        <f t="shared" si="72"/>
        <v>1.9512</v>
      </c>
      <c r="P421" s="194">
        <f>AVERAGE(Ashed_controlls!$K$12:$K$14)</f>
        <v>2.2816647271287041</v>
      </c>
      <c r="Q421" s="194">
        <f t="shared" si="73"/>
        <v>1.9066801578442647</v>
      </c>
      <c r="R421" s="16">
        <f>IF('WetLitterbags placem_collection'!G128="","",'WetLitterbags placem_collection'!G128)</f>
        <v>42816</v>
      </c>
      <c r="S421" s="194">
        <f>IFERROR(INDEX('Both teabags AfterWet'!$C$3:$C$2000,MATCH(H421,'Both teabags AfterWet'!$A$3:$A$2000,0)),"")</f>
        <v>0.58499999999999996</v>
      </c>
      <c r="T421" s="194">
        <f>IFERROR(INDEX('Both teabags AfterWet'!$C$3:$C$2000,MATCH(I421,'Both teabags AfterWet'!$A$3:$A$2000,0)),"")</f>
        <v>1.4419999999999999</v>
      </c>
      <c r="U421" s="194">
        <f t="shared" si="74"/>
        <v>0.43439999999999995</v>
      </c>
      <c r="V421" s="194">
        <f t="shared" si="75"/>
        <v>1.2913999999999999</v>
      </c>
      <c r="W421" s="194">
        <f>IFERROR(INDEX('Ashed teabags wet'!$K$2:$K$2000,MATCH(H421,'Ashed teabags wet'!$A$2:$A$2000,0)),"")</f>
        <v>12.570260602963709</v>
      </c>
      <c r="X421" s="237">
        <f>IFERROR(INDEX('Ashed teabags wet'!$K$2:$K$2000,MATCH(I421,'Ashed teabags wet'!$A$2:$A$2000,0)),"")</f>
        <v>3.9111540318678832</v>
      </c>
      <c r="Y421" s="194">
        <f t="shared" si="80"/>
        <v>0.37979478794072563</v>
      </c>
      <c r="Z421" s="194">
        <f t="shared" si="80"/>
        <v>1.240891356832458</v>
      </c>
      <c r="AA421" s="194">
        <f t="shared" si="76"/>
        <v>0.76496196158952912</v>
      </c>
      <c r="AB421" s="194">
        <f t="shared" si="77"/>
        <v>0.50149525272852746</v>
      </c>
      <c r="AC421" s="194">
        <f t="shared" si="69"/>
        <v>0.65081254017739276</v>
      </c>
      <c r="AD421">
        <f t="shared" si="70"/>
        <v>54</v>
      </c>
      <c r="AE421" s="194">
        <f t="shared" si="78"/>
        <v>9.1494107375856171E-2</v>
      </c>
      <c r="AF421" s="194">
        <f t="shared" si="79"/>
        <v>2.2068346564674685E-2</v>
      </c>
      <c r="AG421" s="252" t="str">
        <f>IF(ISNUMBER(SEARCH("C",'WetLitterbags placem_collection'!$Y128)),"YES","NO")</f>
        <v>NO</v>
      </c>
      <c r="AH421" s="252" t="str">
        <f>IF(ISNUMBER(SEARCH("H", 'WetLitterbags placem_collection'!$Y128)),"YES","NO")</f>
        <v>NO</v>
      </c>
      <c r="AI421" s="252" t="str">
        <f>IF(ISNUMBER(SEARCH("R", 'WetLitterbags placem_collection'!$Y128)),"YES","NO")</f>
        <v>YES</v>
      </c>
      <c r="AJ421" s="252" t="str">
        <f>IF(ISNUMBER(SEARCH("C", 'WetLitterbags placem_collection'!$W128)),"YES","NO")</f>
        <v>NO</v>
      </c>
      <c r="AK421" s="252" t="str">
        <f>IF(ISNUMBER(SEARCH("H", 'WetLitterbags placem_collection'!$W128)),"YES","NO")</f>
        <v>NO</v>
      </c>
      <c r="AL421" s="252" t="str">
        <f>IF(ISNUMBER(SEARCH("R", 'WetLitterbags placem_collection'!$W128)),"YES","NO")</f>
        <v>NO</v>
      </c>
    </row>
    <row r="422" spans="2:38">
      <c r="B422" t="str">
        <f>'Final data_for_R_analysis_Wetse'!A568</f>
        <v>Wet</v>
      </c>
      <c r="C422" s="260">
        <f>'Final data_for_R_analysis_Wetse'!B568</f>
        <v>127</v>
      </c>
      <c r="D422" t="s">
        <v>3819</v>
      </c>
      <c r="E422" t="s">
        <v>25</v>
      </c>
      <c r="F422" s="382">
        <v>7</v>
      </c>
      <c r="G422" s="16">
        <f>'WetLitterbags placem_collection'!E129</f>
        <v>42762</v>
      </c>
      <c r="H422" s="92" t="str">
        <f>'Final data_for_R_analysis_Wetse'!K568</f>
        <v>G687</v>
      </c>
      <c r="I422" t="str">
        <f>'Final data_for_R_analysis_Wetse'!K788</f>
        <v>R424</v>
      </c>
      <c r="J422">
        <f>IFERROR(INDEX('Green_rooibos initial weight'!$C$5:$C$2000,MATCH(H422, 'Green_rooibos initial weight'!$A$5:$A$2000,0)),"")</f>
        <v>2.0649999999999999</v>
      </c>
      <c r="K422">
        <f>IFERROR(INDEX('Green_rooibos initial weight'!$C$5:$C$2000,MATCH(I422, 'Green_rooibos initial weight'!$A$5:$A$2000,0)),"")</f>
        <v>2.214</v>
      </c>
      <c r="L422" s="194">
        <f t="shared" si="71"/>
        <v>1.8151999999999999</v>
      </c>
      <c r="M422" s="194">
        <f>AVERAGE(Ashed_controlls!$K$2:$K$11)</f>
        <v>5.5147656768714146</v>
      </c>
      <c r="N422" s="194">
        <f t="shared" si="68"/>
        <v>1.7150959734334301</v>
      </c>
      <c r="O422" s="194">
        <f t="shared" si="72"/>
        <v>1.9641999999999999</v>
      </c>
      <c r="P422" s="194">
        <f>AVERAGE(Ashed_controlls!$K$12:$K$14)</f>
        <v>2.2816647271287041</v>
      </c>
      <c r="Q422" s="194">
        <f t="shared" si="73"/>
        <v>1.919383541429738</v>
      </c>
      <c r="R422" s="16">
        <f>IF('WetLitterbags placem_collection'!G129="","",'WetLitterbags placem_collection'!G129)</f>
        <v>42816</v>
      </c>
      <c r="S422" s="194">
        <f>IFERROR(INDEX('Both teabags AfterWet'!$C$3:$C$2000,MATCH(H422,'Both teabags AfterWet'!$A$3:$A$2000,0)),"")</f>
        <v>0.57699999999999996</v>
      </c>
      <c r="T422" s="194">
        <f>IFERROR(INDEX('Both teabags AfterWet'!$C$3:$C$2000,MATCH(I422,'Both teabags AfterWet'!$A$3:$A$2000,0)),"")</f>
        <v>1.552</v>
      </c>
      <c r="U422" s="194">
        <f t="shared" si="74"/>
        <v>0.42639999999999995</v>
      </c>
      <c r="V422" s="194">
        <f t="shared" si="75"/>
        <v>1.4014</v>
      </c>
      <c r="W422" s="194">
        <f>IFERROR(INDEX('Ashed teabags wet'!$K$2:$K$2000,MATCH(H422,'Ashed teabags wet'!$A$2:$A$2000,0)),"")</f>
        <v>17.513566847558284</v>
      </c>
      <c r="X422" s="237">
        <f>IFERROR(INDEX('Ashed teabags wet'!$K$2:$K$2000,MATCH(I422,'Ashed teabags wet'!$A$2:$A$2000,0)),"")</f>
        <v>7.3429951690818136</v>
      </c>
      <c r="Y422" s="194">
        <f t="shared" si="80"/>
        <v>0.35172215096201143</v>
      </c>
      <c r="Z422" s="194">
        <f t="shared" si="80"/>
        <v>1.2984952657004873</v>
      </c>
      <c r="AA422" s="194">
        <f t="shared" si="76"/>
        <v>0.79492567389222946</v>
      </c>
      <c r="AB422" s="194">
        <f t="shared" si="77"/>
        <v>0.52113892160155662</v>
      </c>
      <c r="AC422" s="194">
        <f t="shared" si="69"/>
        <v>0.67651682827979531</v>
      </c>
      <c r="AD422">
        <f t="shared" si="70"/>
        <v>54</v>
      </c>
      <c r="AE422" s="194">
        <f t="shared" si="78"/>
        <v>5.5907750721817751E-2</v>
      </c>
      <c r="AF422" s="194">
        <f t="shared" si="79"/>
        <v>1.7953514255754543E-2</v>
      </c>
      <c r="AG422" s="252" t="str">
        <f>IF(ISNUMBER(SEARCH("C",'WetLitterbags placem_collection'!$Y129)),"YES","NO")</f>
        <v>NO</v>
      </c>
      <c r="AH422" s="252" t="str">
        <f>IF(ISNUMBER(SEARCH("H", 'WetLitterbags placem_collection'!$Y129)),"YES","NO")</f>
        <v>NO</v>
      </c>
      <c r="AI422" s="252" t="str">
        <f>IF(ISNUMBER(SEARCH("R", 'WetLitterbags placem_collection'!$Y129)),"YES","NO")</f>
        <v>YES</v>
      </c>
      <c r="AJ422" s="252" t="str">
        <f>IF(ISNUMBER(SEARCH("C", 'WetLitterbags placem_collection'!$W129)),"YES","NO")</f>
        <v>NO</v>
      </c>
      <c r="AK422" s="252" t="str">
        <f>IF(ISNUMBER(SEARCH("H", 'WetLitterbags placem_collection'!$W129)),"YES","NO")</f>
        <v>NO</v>
      </c>
      <c r="AL422" s="252" t="str">
        <f>IF(ISNUMBER(SEARCH("R", 'WetLitterbags placem_collection'!$W129)),"YES","NO")</f>
        <v>NO</v>
      </c>
    </row>
    <row r="423" spans="2:38">
      <c r="B423" t="str">
        <f>'Final data_for_R_analysis_Wetse'!A569</f>
        <v>Wet</v>
      </c>
      <c r="C423" s="260">
        <f>'Final data_for_R_analysis_Wetse'!B569</f>
        <v>128</v>
      </c>
      <c r="D423" t="s">
        <v>3819</v>
      </c>
      <c r="E423" t="s">
        <v>25</v>
      </c>
      <c r="F423" s="382">
        <v>8</v>
      </c>
      <c r="G423" s="16">
        <f>'WetLitterbags placem_collection'!E130</f>
        <v>42762</v>
      </c>
      <c r="H423" s="92" t="str">
        <f>'Final data_for_R_analysis_Wetse'!K569</f>
        <v>G833</v>
      </c>
      <c r="I423" t="str">
        <f>'Final data_for_R_analysis_Wetse'!K789</f>
        <v>R418</v>
      </c>
      <c r="J423">
        <f>IFERROR(INDEX('Green_rooibos initial weight'!$C$5:$C$2000,MATCH(H423, 'Green_rooibos initial weight'!$A$5:$A$2000,0)),"")</f>
        <v>1.964</v>
      </c>
      <c r="K423">
        <f>IFERROR(INDEX('Green_rooibos initial weight'!$C$5:$C$2000,MATCH(I423, 'Green_rooibos initial weight'!$A$5:$A$2000,0)),"")</f>
        <v>2.2029999999999998</v>
      </c>
      <c r="L423" s="194">
        <f t="shared" si="71"/>
        <v>1.7141999999999999</v>
      </c>
      <c r="M423" s="194">
        <f>AVERAGE(Ashed_controlls!$K$2:$K$11)</f>
        <v>5.5147656768714146</v>
      </c>
      <c r="N423" s="194">
        <f t="shared" si="68"/>
        <v>1.6196658867670701</v>
      </c>
      <c r="O423" s="194">
        <f t="shared" si="72"/>
        <v>1.9531999999999998</v>
      </c>
      <c r="P423" s="194">
        <f>AVERAGE(Ashed_controlls!$K$12:$K$14)</f>
        <v>2.2816647271287041</v>
      </c>
      <c r="Q423" s="194">
        <f t="shared" si="73"/>
        <v>1.908634524549722</v>
      </c>
      <c r="R423" s="16">
        <f>IF('WetLitterbags placem_collection'!G130="","",'WetLitterbags placem_collection'!G130)</f>
        <v>42816</v>
      </c>
      <c r="S423" s="194">
        <f>IFERROR(INDEX('Both teabags AfterWet'!$C$3:$C$2000,MATCH(H423,'Both teabags AfterWet'!$A$3:$A$2000,0)),"")</f>
        <v>0.57199999999999995</v>
      </c>
      <c r="T423" s="194">
        <f>IFERROR(INDEX('Both teabags AfterWet'!$C$3:$C$2000,MATCH(I423,'Both teabags AfterWet'!$A$3:$A$2000,0)),"")</f>
        <v>1.4119999999999999</v>
      </c>
      <c r="U423" s="194">
        <f t="shared" si="74"/>
        <v>0.42139999999999994</v>
      </c>
      <c r="V423" s="194">
        <f t="shared" si="75"/>
        <v>1.2613999999999999</v>
      </c>
      <c r="W423" s="194">
        <f>IFERROR(INDEX('Ashed teabags wet'!$K$2:$K$2000,MATCH(H423,'Ashed teabags wet'!$A$2:$A$2000,0)),"")</f>
        <v>10.010111223457624</v>
      </c>
      <c r="X423" s="237">
        <f>IFERROR(INDEX('Ashed teabags wet'!$K$2:$K$2000,MATCH(I423,'Ashed teabags wet'!$A$2:$A$2000,0)),"")</f>
        <v>4.4282238442810895</v>
      </c>
      <c r="Y423" s="194">
        <f t="shared" si="80"/>
        <v>0.3792173913043495</v>
      </c>
      <c r="Z423" s="194">
        <f t="shared" si="80"/>
        <v>1.2055423844282382</v>
      </c>
      <c r="AA423" s="194">
        <f t="shared" si="76"/>
        <v>0.76586690230212517</v>
      </c>
      <c r="AB423" s="194">
        <f t="shared" si="77"/>
        <v>0.50208851552348355</v>
      </c>
      <c r="AC423" s="194">
        <f t="shared" si="69"/>
        <v>0.63162557782645434</v>
      </c>
      <c r="AD423">
        <f t="shared" si="70"/>
        <v>54</v>
      </c>
      <c r="AE423" s="194">
        <f t="shared" si="78"/>
        <v>9.041935593571826E-2</v>
      </c>
      <c r="AF423" s="194">
        <f t="shared" si="79"/>
        <v>2.4501343353577388E-2</v>
      </c>
      <c r="AG423" s="252" t="str">
        <f>IF(ISNUMBER(SEARCH("C",'WetLitterbags placem_collection'!$Y130)),"YES","NO")</f>
        <v>NO</v>
      </c>
      <c r="AH423" s="252" t="str">
        <f>IF(ISNUMBER(SEARCH("H", 'WetLitterbags placem_collection'!$Y130)),"YES","NO")</f>
        <v>NO</v>
      </c>
      <c r="AI423" s="252" t="str">
        <f>IF(ISNUMBER(SEARCH("R", 'WetLitterbags placem_collection'!$Y130)),"YES","NO")</f>
        <v>YES</v>
      </c>
      <c r="AJ423" s="252" t="str">
        <f>IF(ISNUMBER(SEARCH("C", 'WetLitterbags placem_collection'!$W130)),"YES","NO")</f>
        <v>YES</v>
      </c>
      <c r="AK423" s="252" t="str">
        <f>IF(ISNUMBER(SEARCH("H", 'WetLitterbags placem_collection'!$W130)),"YES","NO")</f>
        <v>YES</v>
      </c>
      <c r="AL423" s="252" t="str">
        <f>IF(ISNUMBER(SEARCH("R", 'WetLitterbags placem_collection'!$W130)),"YES","NO")</f>
        <v>YES</v>
      </c>
    </row>
    <row r="424" spans="2:38">
      <c r="B424" t="str">
        <f>'Final data_for_R_analysis_Wetse'!A570</f>
        <v>Wet</v>
      </c>
      <c r="C424" s="260">
        <f>'Final data_for_R_analysis_Wetse'!B570</f>
        <v>129</v>
      </c>
      <c r="D424" t="s">
        <v>3820</v>
      </c>
      <c r="E424" t="s">
        <v>25</v>
      </c>
      <c r="F424" s="381">
        <v>1</v>
      </c>
      <c r="G424" s="16">
        <f>'WetLitterbags placem_collection'!E131</f>
        <v>42762</v>
      </c>
      <c r="H424" s="92" t="str">
        <f>'Final data_for_R_analysis_Wetse'!K570</f>
        <v>G888</v>
      </c>
      <c r="I424" t="str">
        <f>'Final data_for_R_analysis_Wetse'!K790</f>
        <v>R520</v>
      </c>
      <c r="J424">
        <f>IFERROR(INDEX('Green_rooibos initial weight'!$C$5:$C$2000,MATCH(H424, 'Green_rooibos initial weight'!$A$5:$A$2000,0)),"")</f>
        <v>2.089</v>
      </c>
      <c r="K424">
        <f>IFERROR(INDEX('Green_rooibos initial weight'!$C$5:$C$2000,MATCH(I424, 'Green_rooibos initial weight'!$A$5:$A$2000,0)),"")</f>
        <v>2.2210000000000001</v>
      </c>
      <c r="L424" s="194">
        <f t="shared" si="71"/>
        <v>1.8391999999999999</v>
      </c>
      <c r="M424" s="194">
        <f>AVERAGE(Ashed_controlls!$K$2:$K$11)</f>
        <v>5.5147656768714146</v>
      </c>
      <c r="N424" s="194">
        <f t="shared" si="68"/>
        <v>1.7377724296709809</v>
      </c>
      <c r="O424" s="194">
        <f t="shared" si="72"/>
        <v>1.9712000000000001</v>
      </c>
      <c r="P424" s="194">
        <f>AVERAGE(Ashed_controlls!$K$12:$K$14)</f>
        <v>2.2816647271287041</v>
      </c>
      <c r="Q424" s="194">
        <f t="shared" si="73"/>
        <v>1.926223824898839</v>
      </c>
      <c r="R424" s="16">
        <f>IF('WetLitterbags placem_collection'!G131="","",'WetLitterbags placem_collection'!G131)</f>
        <v>42816</v>
      </c>
      <c r="S424" s="194">
        <f>IFERROR(INDEX('Both teabags AfterWet'!$C$3:$C$2000,MATCH(H424,'Both teabags AfterWet'!$A$3:$A$2000,0)),"")</f>
        <v>0.59440000000000004</v>
      </c>
      <c r="T424" s="194">
        <f>IFERROR(INDEX('Both teabags AfterWet'!$C$3:$C$2000,MATCH(I424,'Both teabags AfterWet'!$A$3:$A$2000,0)),"")</f>
        <v>1.5878000000000001</v>
      </c>
      <c r="U424" s="194">
        <f t="shared" si="74"/>
        <v>0.44380000000000003</v>
      </c>
      <c r="V424" s="194">
        <f t="shared" si="75"/>
        <v>1.4372</v>
      </c>
      <c r="W424" s="194">
        <f>IFERROR(INDEX('Ashed teabags wet'!$K$2:$K$2000,MATCH(H424,'Ashed teabags wet'!$A$2:$A$2000,0)),"")</f>
        <v>15.186104218362484</v>
      </c>
      <c r="X424" s="237">
        <f>IFERROR(INDEX('Ashed teabags wet'!$K$2:$K$2000,MATCH(I424,'Ashed teabags wet'!$A$2:$A$2000,0)),"")</f>
        <v>5.5940594059407749</v>
      </c>
      <c r="Y424" s="194">
        <f t="shared" si="80"/>
        <v>0.37640406947890731</v>
      </c>
      <c r="Z424" s="194">
        <f t="shared" si="80"/>
        <v>1.3568021782178192</v>
      </c>
      <c r="AA424" s="194">
        <f t="shared" si="76"/>
        <v>0.78339852615214212</v>
      </c>
      <c r="AB424" s="194">
        <f t="shared" si="77"/>
        <v>0.51358193163418353</v>
      </c>
      <c r="AC424" s="194">
        <f t="shared" si="69"/>
        <v>0.70438448568617174</v>
      </c>
      <c r="AD424">
        <f t="shared" si="70"/>
        <v>54</v>
      </c>
      <c r="AE424" s="194">
        <f t="shared" si="78"/>
        <v>6.9597949938073445E-2</v>
      </c>
      <c r="AF424" s="194">
        <f t="shared" si="79"/>
        <v>1.5871640184885412E-2</v>
      </c>
      <c r="AG424" s="252" t="str">
        <f>IF(ISNUMBER(SEARCH("C",'WetLitterbags placem_collection'!$Y131)),"YES","NO")</f>
        <v>NO</v>
      </c>
      <c r="AH424" s="252" t="str">
        <f>IF(ISNUMBER(SEARCH("H", 'WetLitterbags placem_collection'!$Y131)),"YES","NO")</f>
        <v>NO</v>
      </c>
      <c r="AI424" s="252" t="str">
        <f>IF(ISNUMBER(SEARCH("R", 'WetLitterbags placem_collection'!$Y131)),"YES","NO")</f>
        <v>NO</v>
      </c>
      <c r="AJ424" s="252" t="str">
        <f>IF(ISNUMBER(SEARCH("C", 'WetLitterbags placem_collection'!$W131)),"YES","NO")</f>
        <v>NO</v>
      </c>
      <c r="AK424" s="252" t="str">
        <f>IF(ISNUMBER(SEARCH("H", 'WetLitterbags placem_collection'!$W131)),"YES","NO")</f>
        <v>YES</v>
      </c>
      <c r="AL424" s="252" t="str">
        <f>IF(ISNUMBER(SEARCH("R", 'WetLitterbags placem_collection'!$W131)),"YES","NO")</f>
        <v>NO</v>
      </c>
    </row>
    <row r="425" spans="2:38">
      <c r="B425" t="str">
        <f>'Final data_for_R_analysis_Wetse'!A571</f>
        <v>Wet</v>
      </c>
      <c r="C425" s="260">
        <f>'Final data_for_R_analysis_Wetse'!B571</f>
        <v>130</v>
      </c>
      <c r="D425" t="s">
        <v>3820</v>
      </c>
      <c r="E425" t="s">
        <v>25</v>
      </c>
      <c r="F425" s="381">
        <v>2</v>
      </c>
      <c r="G425" s="16">
        <f>'WetLitterbags placem_collection'!E132</f>
        <v>42762</v>
      </c>
      <c r="H425" s="92" t="str">
        <f>'Final data_for_R_analysis_Wetse'!K571</f>
        <v>G708</v>
      </c>
      <c r="I425" t="str">
        <f>'Final data_for_R_analysis_Wetse'!K791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71"/>
        <v>1.7532000000000001</v>
      </c>
      <c r="M425" s="194">
        <f>AVERAGE(Ashed_controlls!$K$2:$K$11)</f>
        <v>5.5147656768714146</v>
      </c>
      <c r="N425" s="194">
        <f t="shared" si="68"/>
        <v>1.6565151281530905</v>
      </c>
      <c r="O425" s="194">
        <f t="shared" si="72"/>
        <v>1.8252000000000002</v>
      </c>
      <c r="P425" s="194">
        <f>AVERAGE(Ashed_controlls!$K$12:$K$14)</f>
        <v>2.2816647271287041</v>
      </c>
      <c r="Q425" s="194">
        <f t="shared" si="73"/>
        <v>1.7835550554004471</v>
      </c>
      <c r="R425" s="16">
        <f>IF('WetLitterbags placem_collection'!G132="","",'WetLitterbags placem_collection'!G132)</f>
        <v>42816</v>
      </c>
      <c r="S425" s="194">
        <f>IFERROR(INDEX('Both teabags AfterWet'!$C$3:$C$2000,MATCH(H425,'Both teabags AfterWet'!$A$3:$A$2000,0)),"")</f>
        <v>0.56599999999999995</v>
      </c>
      <c r="T425" s="194">
        <f>IFERROR(INDEX('Both teabags AfterWet'!$C$3:$C$2000,MATCH(I425,'Both teabags AfterWet'!$A$3:$A$2000,0)),"")</f>
        <v>1.5069999999999999</v>
      </c>
      <c r="U425" s="194">
        <f t="shared" si="74"/>
        <v>0.41539999999999994</v>
      </c>
      <c r="V425" s="194">
        <f t="shared" si="75"/>
        <v>1.3563999999999998</v>
      </c>
      <c r="W425" s="194">
        <f>IFERROR(INDEX('Ashed teabags wet'!$K$2:$K$2000,MATCH(H425,'Ashed teabags wet'!$A$2:$A$2000,0)),"")</f>
        <v>17.737917289487331</v>
      </c>
      <c r="X425" s="237">
        <f>IFERROR(INDEX('Ashed teabags wet'!$K$2:$K$2000,MATCH(I425,'Ashed teabags wet'!$A$2:$A$2000,0)),"")</f>
        <v>5.1420176297748439</v>
      </c>
      <c r="Y425" s="194">
        <f t="shared" si="80"/>
        <v>0.3417166915794696</v>
      </c>
      <c r="Z425" s="194">
        <f t="shared" si="80"/>
        <v>1.2866536728697338</v>
      </c>
      <c r="AA425" s="194">
        <f t="shared" si="76"/>
        <v>0.79371350990288747</v>
      </c>
      <c r="AB425" s="194">
        <f t="shared" si="77"/>
        <v>0.52034424877243934</v>
      </c>
      <c r="AC425" s="194">
        <f t="shared" si="69"/>
        <v>0.72139834931019375</v>
      </c>
      <c r="AD425">
        <f t="shared" si="70"/>
        <v>54</v>
      </c>
      <c r="AE425" s="194">
        <f t="shared" si="78"/>
        <v>5.7347375412247659E-2</v>
      </c>
      <c r="AF425" s="194">
        <f t="shared" si="79"/>
        <v>1.4196612844629967E-2</v>
      </c>
      <c r="AG425" s="252" t="str">
        <f>IF(ISNUMBER(SEARCH("C",'WetLitterbags placem_collection'!$Y132)),"YES","NO")</f>
        <v>NO</v>
      </c>
      <c r="AH425" s="252" t="str">
        <f>IF(ISNUMBER(SEARCH("H", 'WetLitterbags placem_collection'!$Y132)),"YES","NO")</f>
        <v>NO</v>
      </c>
      <c r="AI425" s="252" t="str">
        <f>IF(ISNUMBER(SEARCH("R", 'WetLitterbags placem_collection'!$Y132)),"YES","NO")</f>
        <v>NO</v>
      </c>
      <c r="AJ425" s="252" t="str">
        <f>IF(ISNUMBER(SEARCH("C", 'WetLitterbags placem_collection'!$W132)),"YES","NO")</f>
        <v>NO</v>
      </c>
      <c r="AK425" s="252" t="str">
        <f>IF(ISNUMBER(SEARCH("H", 'WetLitterbags placem_collection'!$W132)),"YES","NO")</f>
        <v>NO</v>
      </c>
      <c r="AL425" s="252" t="str">
        <f>IF(ISNUMBER(SEARCH("R", 'WetLitterbags placem_collection'!$W132)),"YES","NO")</f>
        <v>NO</v>
      </c>
    </row>
    <row r="426" spans="2:38">
      <c r="B426" t="str">
        <f>'Final data_for_R_analysis_Wetse'!A572</f>
        <v>Wet</v>
      </c>
      <c r="C426" s="260">
        <f>'Final data_for_R_analysis_Wetse'!B572</f>
        <v>131</v>
      </c>
      <c r="D426" t="s">
        <v>3820</v>
      </c>
      <c r="E426" t="s">
        <v>25</v>
      </c>
      <c r="F426" s="381">
        <v>3</v>
      </c>
      <c r="G426" s="16">
        <f>'WetLitterbags placem_collection'!E133</f>
        <v>42762</v>
      </c>
      <c r="H426" s="92" t="str">
        <f>'Final data_for_R_analysis_Wetse'!K572</f>
        <v>G768</v>
      </c>
      <c r="I426" t="str">
        <f>'Final data_for_R_analysis_Wetse'!K792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71"/>
        <v>1.7591999999999999</v>
      </c>
      <c r="M426" s="194">
        <f>AVERAGE(Ashed_controlls!$K$2:$K$11)</f>
        <v>5.5147656768714146</v>
      </c>
      <c r="N426" s="194">
        <f t="shared" si="68"/>
        <v>1.662184242212478</v>
      </c>
      <c r="O426" s="194">
        <f t="shared" si="72"/>
        <v>2.0051999999999999</v>
      </c>
      <c r="P426" s="194">
        <f>AVERAGE(Ashed_controlls!$K$12:$K$14)</f>
        <v>2.2816647271287041</v>
      </c>
      <c r="Q426" s="194">
        <f t="shared" si="73"/>
        <v>1.959448058891615</v>
      </c>
      <c r="R426" s="16">
        <f>IF('WetLitterbags placem_collection'!G133="","",'WetLitterbags placem_collection'!G133)</f>
        <v>42816</v>
      </c>
      <c r="S426" s="194">
        <f>IFERROR(INDEX('Both teabags AfterWet'!$C$3:$C$2000,MATCH(H426,'Both teabags AfterWet'!$A$3:$A$2000,0)),"")</f>
        <v>0.62819999999999998</v>
      </c>
      <c r="T426" s="194">
        <f>IFERROR(INDEX('Both teabags AfterWet'!$C$3:$C$2000,MATCH(I426,'Both teabags AfterWet'!$A$3:$A$2000,0)),"")</f>
        <v>1.6073999999999999</v>
      </c>
      <c r="U426" s="194">
        <f t="shared" si="74"/>
        <v>0.47759999999999997</v>
      </c>
      <c r="V426" s="194">
        <f t="shared" si="75"/>
        <v>1.4567999999999999</v>
      </c>
      <c r="W426" s="194">
        <f>IFERROR(INDEX('Ashed teabags wet'!$K$2:$K$2000,MATCH(H426,'Ashed teabags wet'!$A$2:$A$2000,0)),"")</f>
        <v>13.671875000000405</v>
      </c>
      <c r="X426" s="237">
        <f>IFERROR(INDEX('Ashed teabags wet'!$K$2:$K$2000,MATCH(I426,'Ashed teabags wet'!$A$2:$A$2000,0)),"")</f>
        <v>3.7601142313182434</v>
      </c>
      <c r="Y426" s="194">
        <f t="shared" si="80"/>
        <v>0.41230312499999805</v>
      </c>
      <c r="Z426" s="194">
        <f t="shared" si="80"/>
        <v>1.4020226558781557</v>
      </c>
      <c r="AA426" s="194">
        <f t="shared" si="76"/>
        <v>0.75195100848074747</v>
      </c>
      <c r="AB426" s="194">
        <f t="shared" si="77"/>
        <v>0.49296550674747347</v>
      </c>
      <c r="AC426" s="194">
        <f t="shared" si="69"/>
        <v>0.71551917363465423</v>
      </c>
      <c r="AD426">
        <f t="shared" si="70"/>
        <v>54</v>
      </c>
      <c r="AE426" s="194">
        <f t="shared" si="78"/>
        <v>0.10694654574733076</v>
      </c>
      <c r="AF426" s="194">
        <f t="shared" si="79"/>
        <v>1.5936548933547387E-2</v>
      </c>
      <c r="AG426" s="252" t="str">
        <f>IF(ISNUMBER(SEARCH("C",'WetLitterbags placem_collection'!$Y133)),"YES","NO")</f>
        <v>NO</v>
      </c>
      <c r="AH426" s="252" t="str">
        <f>IF(ISNUMBER(SEARCH("H", 'WetLitterbags placem_collection'!$Y133)),"YES","NO")</f>
        <v>NO</v>
      </c>
      <c r="AI426" s="252" t="str">
        <f>IF(ISNUMBER(SEARCH("R", 'WetLitterbags placem_collection'!$Y133)),"YES","NO")</f>
        <v>NO</v>
      </c>
      <c r="AJ426" s="252" t="str">
        <f>IF(ISNUMBER(SEARCH("C", 'WetLitterbags placem_collection'!$W133)),"YES","NO")</f>
        <v>YES</v>
      </c>
      <c r="AK426" s="252" t="str">
        <f>IF(ISNUMBER(SEARCH("H", 'WetLitterbags placem_collection'!$W133)),"YES","NO")</f>
        <v>YES</v>
      </c>
      <c r="AL426" s="252" t="str">
        <f>IF(ISNUMBER(SEARCH("R", 'WetLitterbags placem_collection'!$W133)),"YES","NO")</f>
        <v>NO</v>
      </c>
    </row>
    <row r="427" spans="2:38">
      <c r="B427" t="str">
        <f>'Final data_for_R_analysis_Wetse'!A573</f>
        <v>Wet</v>
      </c>
      <c r="C427" s="260">
        <f>'Final data_for_R_analysis_Wetse'!B573</f>
        <v>132</v>
      </c>
      <c r="D427" t="s">
        <v>3820</v>
      </c>
      <c r="E427" t="s">
        <v>25</v>
      </c>
      <c r="F427" s="382">
        <v>4</v>
      </c>
      <c r="G427" s="16">
        <f>'WetLitterbags placem_collection'!E134</f>
        <v>42762</v>
      </c>
      <c r="H427" s="92" t="str">
        <f>'Final data_for_R_analysis_Wetse'!K573</f>
        <v>G779</v>
      </c>
      <c r="I427" t="str">
        <f>'Final data_for_R_analysis_Wetse'!K793</f>
        <v>R477</v>
      </c>
      <c r="J427">
        <f>IFERROR(INDEX('Green_rooibos initial weight'!$C$5:$C$2000,MATCH(H427, 'Green_rooibos initial weight'!$A$5:$A$2000,0)),"")</f>
        <v>2.0110000000000001</v>
      </c>
      <c r="K427">
        <f>IFERROR(INDEX('Green_rooibos initial weight'!$C$5:$C$2000,MATCH(I427, 'Green_rooibos initial weight'!$A$5:$A$2000,0)),"")</f>
        <v>2.169</v>
      </c>
      <c r="L427" s="194">
        <f t="shared" si="71"/>
        <v>1.7612000000000001</v>
      </c>
      <c r="M427" s="194">
        <f>AVERAGE(Ashed_controlls!$K$2:$K$11)</f>
        <v>5.5147656768714146</v>
      </c>
      <c r="N427" s="194">
        <f t="shared" si="68"/>
        <v>1.6640739468989407</v>
      </c>
      <c r="O427" s="194">
        <f t="shared" si="72"/>
        <v>1.9192</v>
      </c>
      <c r="P427" s="194">
        <f>AVERAGE(Ashed_controlls!$K$12:$K$14)</f>
        <v>2.2816647271287041</v>
      </c>
      <c r="Q427" s="194">
        <f t="shared" si="73"/>
        <v>1.8754102905569459</v>
      </c>
      <c r="R427" s="16">
        <f>IF('WetLitterbags placem_collection'!G134="","",'WetLitterbags placem_collection'!G134)</f>
        <v>42816</v>
      </c>
      <c r="S427" s="194">
        <f>IFERROR(INDEX('Both teabags AfterWet'!$C$3:$C$2000,MATCH(H427,'Both teabags AfterWet'!$A$3:$A$2000,0)),"")</f>
        <v>0.63490000000000002</v>
      </c>
      <c r="T427" s="194">
        <f>IFERROR(INDEX('Both teabags AfterWet'!$C$3:$C$2000,MATCH(I427,'Both teabags AfterWet'!$A$3:$A$2000,0)),"")</f>
        <v>1.573</v>
      </c>
      <c r="U427" s="194">
        <f t="shared" si="74"/>
        <v>0.48430000000000001</v>
      </c>
      <c r="V427" s="194">
        <f t="shared" si="75"/>
        <v>1.4223999999999999</v>
      </c>
      <c r="W427" s="194">
        <f>IFERROR(INDEX('Ashed teabags wet'!$K$2:$K$2000,MATCH(H427,'Ashed teabags wet'!$A$2:$A$2000,0)),"")</f>
        <v>13.853028798411678</v>
      </c>
      <c r="X427" s="237">
        <f>IFERROR(INDEX('Ashed teabags wet'!$K$2:$K$2000,MATCH(I427,'Ashed teabags wet'!$A$2:$A$2000,0)),"")</f>
        <v>4.5098039215686896</v>
      </c>
      <c r="Y427" s="194">
        <f t="shared" si="80"/>
        <v>0.41720978152929222</v>
      </c>
      <c r="Z427" s="194">
        <f t="shared" si="80"/>
        <v>1.3582525490196069</v>
      </c>
      <c r="AA427" s="194">
        <f t="shared" si="76"/>
        <v>0.74928410945512547</v>
      </c>
      <c r="AB427" s="194">
        <f t="shared" si="77"/>
        <v>0.49121713588982108</v>
      </c>
      <c r="AC427" s="194">
        <f t="shared" si="69"/>
        <v>0.72424287946945354</v>
      </c>
      <c r="AD427">
        <f t="shared" si="70"/>
        <v>54</v>
      </c>
      <c r="AE427" s="194">
        <f t="shared" si="78"/>
        <v>0.11011388425757063</v>
      </c>
      <c r="AF427" s="194">
        <f t="shared" si="79"/>
        <v>1.5261313208177897E-2</v>
      </c>
      <c r="AG427" s="252" t="str">
        <f>IF(ISNUMBER(SEARCH("C",'WetLitterbags placem_collection'!$Y134)),"YES","NO")</f>
        <v>NO</v>
      </c>
      <c r="AH427" s="252" t="str">
        <f>IF(ISNUMBER(SEARCH("H", 'WetLitterbags placem_collection'!$Y134)),"YES","NO")</f>
        <v>NO</v>
      </c>
      <c r="AI427" s="252" t="str">
        <f>IF(ISNUMBER(SEARCH("R", 'WetLitterbags placem_collection'!$Y134)),"YES","NO")</f>
        <v>NO</v>
      </c>
      <c r="AJ427" s="252" t="str">
        <f>IF(ISNUMBER(SEARCH("C", 'WetLitterbags placem_collection'!$W134)),"YES","NO")</f>
        <v>YES</v>
      </c>
      <c r="AK427" s="252" t="str">
        <f>IF(ISNUMBER(SEARCH("H", 'WetLitterbags placem_collection'!$W134)),"YES","NO")</f>
        <v>YES</v>
      </c>
      <c r="AL427" s="252" t="str">
        <f>IF(ISNUMBER(SEARCH("R", 'WetLitterbags placem_collection'!$W134)),"YES","NO")</f>
        <v>NO</v>
      </c>
    </row>
    <row r="428" spans="2:38">
      <c r="B428" t="str">
        <f>'Final data_for_R_analysis_Wetse'!A574</f>
        <v>Wet</v>
      </c>
      <c r="C428" s="260">
        <f>'Final data_for_R_analysis_Wetse'!B574</f>
        <v>133</v>
      </c>
      <c r="D428" t="s">
        <v>3820</v>
      </c>
      <c r="E428" t="s">
        <v>25</v>
      </c>
      <c r="F428" s="382">
        <v>5</v>
      </c>
      <c r="G428" s="16">
        <f>'WetLitterbags placem_collection'!E135</f>
        <v>42762</v>
      </c>
      <c r="H428" s="92" t="str">
        <f>'Final data_for_R_analysis_Wetse'!K574</f>
        <v>G799</v>
      </c>
      <c r="I428" t="str">
        <f>'Final data_for_R_analysis_Wetse'!K794</f>
        <v>R597</v>
      </c>
      <c r="J428">
        <f>IFERROR(INDEX('Green_rooibos initial weight'!$C$5:$C$2000,MATCH(H428, 'Green_rooibos initial weight'!$A$5:$A$2000,0)),"")</f>
        <v>2.093</v>
      </c>
      <c r="K428">
        <f>IFERROR(INDEX('Green_rooibos initial weight'!$C$5:$C$2000,MATCH(I428, 'Green_rooibos initial weight'!$A$5:$A$2000,0)),"")</f>
        <v>2.165</v>
      </c>
      <c r="L428" s="194">
        <f t="shared" si="71"/>
        <v>1.8431999999999999</v>
      </c>
      <c r="M428" s="194">
        <f>AVERAGE(Ashed_controlls!$K$2:$K$11)</f>
        <v>5.5147656768714146</v>
      </c>
      <c r="N428" s="194">
        <f t="shared" si="68"/>
        <v>1.741551839043906</v>
      </c>
      <c r="O428" s="194">
        <f t="shared" si="72"/>
        <v>1.9152</v>
      </c>
      <c r="P428" s="194">
        <f>AVERAGE(Ashed_controlls!$K$12:$K$14)</f>
        <v>2.2816647271287041</v>
      </c>
      <c r="Q428" s="194">
        <f t="shared" si="73"/>
        <v>1.8715015571460312</v>
      </c>
      <c r="R428" s="16">
        <f>IF('WetLitterbags placem_collection'!G135="","",'WetLitterbags placem_collection'!G135)</f>
        <v>42816</v>
      </c>
      <c r="S428" s="194">
        <f>IFERROR(INDEX('Both teabags AfterWet'!$C$3:$C$2000,MATCH(H428,'Both teabags AfterWet'!$A$3:$A$2000,0)),"")</f>
        <v>0.63380000000000003</v>
      </c>
      <c r="T428" s="194">
        <f>IFERROR(INDEX('Both teabags AfterWet'!$C$3:$C$2000,MATCH(I428,'Both teabags AfterWet'!$A$3:$A$2000,0)),"")</f>
        <v>1.5714999999999999</v>
      </c>
      <c r="U428" s="194">
        <f t="shared" si="74"/>
        <v>0.48320000000000002</v>
      </c>
      <c r="V428" s="194">
        <f t="shared" si="75"/>
        <v>1.4208999999999998</v>
      </c>
      <c r="W428" s="194">
        <f>IFERROR(INDEX('Ashed teabags wet'!$K$2:$K$2000,MATCH(H428,'Ashed teabags wet'!$A$2:$A$2000,0)),"")</f>
        <v>14.024691358025066</v>
      </c>
      <c r="X428" s="237">
        <f>IFERROR(INDEX('Ashed teabags wet'!$K$2:$K$2000,MATCH(I428,'Ashed teabags wet'!$A$2:$A$2000,0)),"")</f>
        <v>7.7152812344452117</v>
      </c>
      <c r="Y428" s="194">
        <f t="shared" si="80"/>
        <v>0.41543269135802291</v>
      </c>
      <c r="Z428" s="194">
        <f t="shared" si="80"/>
        <v>1.3112735689397679</v>
      </c>
      <c r="AA428" s="194">
        <f t="shared" si="76"/>
        <v>0.76145832581929274</v>
      </c>
      <c r="AB428" s="194">
        <f t="shared" si="77"/>
        <v>0.49919833236609223</v>
      </c>
      <c r="AC428" s="194">
        <f t="shared" si="69"/>
        <v>0.7006532075449674</v>
      </c>
      <c r="AD428">
        <f t="shared" si="70"/>
        <v>54</v>
      </c>
      <c r="AE428" s="194">
        <f t="shared" si="78"/>
        <v>9.5655194988963466E-2</v>
      </c>
      <c r="AF428" s="194">
        <f t="shared" si="79"/>
        <v>1.6952383073609193E-2</v>
      </c>
      <c r="AG428" s="252" t="str">
        <f>IF(ISNUMBER(SEARCH("C",'WetLitterbags placem_collection'!$Y135)),"YES","NO")</f>
        <v>NO</v>
      </c>
      <c r="AH428" s="252" t="str">
        <f>IF(ISNUMBER(SEARCH("H", 'WetLitterbags placem_collection'!$Y135)),"YES","NO")</f>
        <v>NO</v>
      </c>
      <c r="AI428" s="252" t="str">
        <f>IF(ISNUMBER(SEARCH("R", 'WetLitterbags placem_collection'!$Y135)),"YES","NO")</f>
        <v>NO</v>
      </c>
      <c r="AJ428" s="252" t="str">
        <f>IF(ISNUMBER(SEARCH("C", 'WetLitterbags placem_collection'!$W135)),"YES","NO")</f>
        <v>NO</v>
      </c>
      <c r="AK428" s="252" t="str">
        <f>IF(ISNUMBER(SEARCH("H", 'WetLitterbags placem_collection'!$W135)),"YES","NO")</f>
        <v>NO</v>
      </c>
      <c r="AL428" s="252" t="str">
        <f>IF(ISNUMBER(SEARCH("R", 'WetLitterbags placem_collection'!$W135)),"YES","NO")</f>
        <v>NO</v>
      </c>
    </row>
    <row r="429" spans="2:38">
      <c r="B429" t="str">
        <f>'Final data_for_R_analysis_Wetse'!A575</f>
        <v>Wet</v>
      </c>
      <c r="C429" s="260">
        <f>'Final data_for_R_analysis_Wetse'!B575</f>
        <v>134</v>
      </c>
      <c r="D429" t="s">
        <v>3820</v>
      </c>
      <c r="E429" t="s">
        <v>25</v>
      </c>
      <c r="F429" s="382">
        <v>6</v>
      </c>
      <c r="G429" s="16">
        <f>'WetLitterbags placem_collection'!E136</f>
        <v>42762</v>
      </c>
      <c r="H429" s="92" t="str">
        <f>'Final data_for_R_analysis_Wetse'!K575</f>
        <v>G820</v>
      </c>
      <c r="I429" t="str">
        <f>'Final data_for_R_analysis_Wetse'!K795</f>
        <v>R467</v>
      </c>
      <c r="J429">
        <f>IFERROR(INDEX('Green_rooibos initial weight'!$C$5:$C$2000,MATCH(H429, 'Green_rooibos initial weight'!$A$5:$A$2000,0)),"")</f>
        <v>1.927</v>
      </c>
      <c r="K429">
        <f>IFERROR(INDEX('Green_rooibos initial weight'!$C$5:$C$2000,MATCH(I429, 'Green_rooibos initial weight'!$A$5:$A$2000,0)),"")</f>
        <v>2.3140000000000001</v>
      </c>
      <c r="L429" s="194">
        <f t="shared" si="71"/>
        <v>1.6772</v>
      </c>
      <c r="M429" s="194">
        <f>AVERAGE(Ashed_controlls!$K$2:$K$11)</f>
        <v>5.5147656768714146</v>
      </c>
      <c r="N429" s="194">
        <f t="shared" si="68"/>
        <v>1.5847063500675127</v>
      </c>
      <c r="O429" s="194">
        <f t="shared" si="72"/>
        <v>2.0642</v>
      </c>
      <c r="P429" s="194">
        <f>AVERAGE(Ashed_controlls!$K$12:$K$14)</f>
        <v>2.2816647271287041</v>
      </c>
      <c r="Q429" s="194">
        <f t="shared" si="73"/>
        <v>2.0171018767026094</v>
      </c>
      <c r="R429" s="16">
        <f>IF('WetLitterbags placem_collection'!G136="","",'WetLitterbags placem_collection'!G136)</f>
        <v>42816</v>
      </c>
      <c r="S429" s="194">
        <f>IFERROR(INDEX('Both teabags AfterWet'!$C$3:$C$2000,MATCH(H429,'Both teabags AfterWet'!$A$3:$A$2000,0)),"")</f>
        <v>0.53400000000000003</v>
      </c>
      <c r="T429" s="194">
        <f>IFERROR(INDEX('Both teabags AfterWet'!$C$3:$C$2000,MATCH(I429,'Both teabags AfterWet'!$A$3:$A$2000,0)),"")</f>
        <v>1.591</v>
      </c>
      <c r="U429" s="194">
        <f t="shared" si="74"/>
        <v>0.38340000000000002</v>
      </c>
      <c r="V429" s="194">
        <f t="shared" si="75"/>
        <v>1.4403999999999999</v>
      </c>
      <c r="W429" s="194">
        <f>IFERROR(INDEX('Ashed teabags wet'!$K$2:$K$2000,MATCH(H429,'Ashed teabags wet'!$A$2:$A$2000,0)),"")</f>
        <v>12.606303151575968</v>
      </c>
      <c r="X429" s="237">
        <f>IFERROR(INDEX('Ashed teabags wet'!$K$2:$K$2000,MATCH(I429,'Ashed teabags wet'!$A$2:$A$2000,0)),"")</f>
        <v>3.4619188921860404</v>
      </c>
      <c r="Y429" s="194">
        <f t="shared" si="80"/>
        <v>0.33506743371685777</v>
      </c>
      <c r="Z429" s="194">
        <f t="shared" si="80"/>
        <v>1.3905345202769521</v>
      </c>
      <c r="AA429" s="194">
        <f t="shared" si="76"/>
        <v>0.78856181544133841</v>
      </c>
      <c r="AB429" s="194">
        <f t="shared" si="77"/>
        <v>0.51696689088315784</v>
      </c>
      <c r="AC429" s="194">
        <f t="shared" si="69"/>
        <v>0.68937247857311124</v>
      </c>
      <c r="AD429">
        <f t="shared" si="70"/>
        <v>54</v>
      </c>
      <c r="AE429" s="194">
        <f t="shared" si="78"/>
        <v>6.3465777385583788E-2</v>
      </c>
      <c r="AF429" s="194">
        <f t="shared" si="79"/>
        <v>1.7008455440619904E-2</v>
      </c>
      <c r="AG429" s="252" t="str">
        <f>IF(ISNUMBER(SEARCH("C",'WetLitterbags placem_collection'!$Y136)),"YES","NO")</f>
        <v>NO</v>
      </c>
      <c r="AH429" s="252" t="str">
        <f>IF(ISNUMBER(SEARCH("H", 'WetLitterbags placem_collection'!$Y136)),"YES","NO")</f>
        <v>NO</v>
      </c>
      <c r="AI429" s="252" t="str">
        <f>IF(ISNUMBER(SEARCH("R", 'WetLitterbags placem_collection'!$Y136)),"YES","NO")</f>
        <v>NO</v>
      </c>
      <c r="AJ429" s="252" t="str">
        <f>IF(ISNUMBER(SEARCH("C", 'WetLitterbags placem_collection'!$W136)),"YES","NO")</f>
        <v>NO</v>
      </c>
      <c r="AK429" s="252" t="str">
        <f>IF(ISNUMBER(SEARCH("H", 'WetLitterbags placem_collection'!$W136)),"YES","NO")</f>
        <v>NO</v>
      </c>
      <c r="AL429" s="252" t="str">
        <f>IF(ISNUMBER(SEARCH("R", 'WetLitterbags placem_collection'!$W136)),"YES","NO")</f>
        <v>NO</v>
      </c>
    </row>
    <row r="430" spans="2:38">
      <c r="B430" t="str">
        <f>'Final data_for_R_analysis_Wetse'!A576</f>
        <v>Wet</v>
      </c>
      <c r="C430" s="260">
        <f>'Final data_for_R_analysis_Wetse'!B576</f>
        <v>135</v>
      </c>
      <c r="D430" t="s">
        <v>3820</v>
      </c>
      <c r="E430" t="s">
        <v>25</v>
      </c>
      <c r="F430" s="382">
        <v>7</v>
      </c>
      <c r="G430" s="16">
        <f>'WetLitterbags placem_collection'!E137</f>
        <v>42762</v>
      </c>
      <c r="H430" s="92" t="str">
        <f>'Final data_for_R_analysis_Wetse'!K576</f>
        <v>G842</v>
      </c>
      <c r="I430" t="str">
        <f>'Final data_for_R_analysis_Wetse'!K796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71"/>
        <v>1.7172000000000001</v>
      </c>
      <c r="M430" s="194">
        <f>AVERAGE(Ashed_controlls!$K$2:$K$11)</f>
        <v>5.5147656768714146</v>
      </c>
      <c r="N430" s="194">
        <f t="shared" si="68"/>
        <v>1.6225004437967641</v>
      </c>
      <c r="O430" s="194">
        <f t="shared" si="72"/>
        <v>1.9251999999999998</v>
      </c>
      <c r="P430" s="194">
        <f>AVERAGE(Ashed_controlls!$K$12:$K$14)</f>
        <v>2.2816647271287041</v>
      </c>
      <c r="Q430" s="194">
        <f t="shared" si="73"/>
        <v>1.8812733906733179</v>
      </c>
      <c r="R430" s="16">
        <f>IF('WetLitterbags placem_collection'!G137="","",'WetLitterbags placem_collection'!G137)</f>
        <v>42816</v>
      </c>
      <c r="S430" s="194">
        <f>IFERROR(INDEX('Both teabags AfterWet'!$C$3:$C$2000,MATCH(H430,'Both teabags AfterWet'!$A$3:$A$2000,0)),"")</f>
        <v>0.56399999999999995</v>
      </c>
      <c r="T430" s="194">
        <f>IFERROR(INDEX('Both teabags AfterWet'!$C$3:$C$2000,MATCH(I430,'Both teabags AfterWet'!$A$3:$A$2000,0)),"")</f>
        <v>1.512</v>
      </c>
      <c r="U430" s="194">
        <f t="shared" si="74"/>
        <v>0.41339999999999993</v>
      </c>
      <c r="V430" s="194">
        <f t="shared" si="75"/>
        <v>1.3613999999999999</v>
      </c>
      <c r="W430" s="194">
        <f>IFERROR(INDEX('Ashed teabags wet'!$K$2:$K$2000,MATCH(H430,'Ashed teabags wet'!$A$2:$A$2000,0)),"")</f>
        <v>14.385614385613385</v>
      </c>
      <c r="X430" s="237">
        <f>IFERROR(INDEX('Ashed teabags wet'!$K$2:$K$2000,MATCH(I430,'Ashed teabags wet'!$A$2:$A$2000,0)),"")</f>
        <v>6.95609274790369</v>
      </c>
      <c r="Y430" s="194">
        <f t="shared" si="80"/>
        <v>0.3539298701298742</v>
      </c>
      <c r="Z430" s="194">
        <f t="shared" si="80"/>
        <v>1.266699753330039</v>
      </c>
      <c r="AA430" s="194">
        <f t="shared" si="76"/>
        <v>0.78186146482545571</v>
      </c>
      <c r="AB430" s="194">
        <f t="shared" si="77"/>
        <v>0.51257426197583322</v>
      </c>
      <c r="AC430" s="194">
        <f t="shared" si="69"/>
        <v>0.67332040075083421</v>
      </c>
      <c r="AD430">
        <f t="shared" si="70"/>
        <v>54</v>
      </c>
      <c r="AE430" s="194">
        <f t="shared" si="78"/>
        <v>7.1423438449577548E-2</v>
      </c>
      <c r="AF430" s="194">
        <f t="shared" si="79"/>
        <v>1.8782692927222708E-2</v>
      </c>
      <c r="AG430" s="252" t="str">
        <f>IF(ISNUMBER(SEARCH("C",'WetLitterbags placem_collection'!$Y137)),"YES","NO")</f>
        <v>NO</v>
      </c>
      <c r="AH430" s="252" t="str">
        <f>IF(ISNUMBER(SEARCH("H", 'WetLitterbags placem_collection'!$Y137)),"YES","NO")</f>
        <v>NO</v>
      </c>
      <c r="AI430" s="252" t="str">
        <f>IF(ISNUMBER(SEARCH("R", 'WetLitterbags placem_collection'!$Y137)),"YES","NO")</f>
        <v>NO</v>
      </c>
      <c r="AJ430" s="252" t="str">
        <f>IF(ISNUMBER(SEARCH("C", 'WetLitterbags placem_collection'!$W137)),"YES","NO")</f>
        <v>NO</v>
      </c>
      <c r="AK430" s="252" t="str">
        <f>IF(ISNUMBER(SEARCH("H", 'WetLitterbags placem_collection'!$W137)),"YES","NO")</f>
        <v>NO</v>
      </c>
      <c r="AL430" s="252" t="str">
        <f>IF(ISNUMBER(SEARCH("R", 'WetLitterbags placem_collection'!$W137)),"YES","NO")</f>
        <v>YES</v>
      </c>
    </row>
    <row r="431" spans="2:38">
      <c r="B431" t="str">
        <f>'Final data_for_R_analysis_Wetse'!A577</f>
        <v>Wet</v>
      </c>
      <c r="C431" s="260">
        <f>'Final data_for_R_analysis_Wetse'!B577</f>
        <v>136</v>
      </c>
      <c r="D431" t="s">
        <v>3820</v>
      </c>
      <c r="E431" t="s">
        <v>25</v>
      </c>
      <c r="F431" s="382">
        <v>8</v>
      </c>
      <c r="G431" s="16">
        <f>'WetLitterbags placem_collection'!E138</f>
        <v>42762</v>
      </c>
      <c r="H431" s="92" t="str">
        <f>'Final data_for_R_analysis_Wetse'!K577</f>
        <v>G747</v>
      </c>
      <c r="I431" t="str">
        <f>'Final data_for_R_analysis_Wetse'!K797</f>
        <v>R543</v>
      </c>
      <c r="J431">
        <f>IFERROR(INDEX('Green_rooibos initial weight'!$C$5:$C$2000,MATCH(H431, 'Green_rooibos initial weight'!$A$5:$A$2000,0)),"")</f>
        <v>2.044</v>
      </c>
      <c r="K431">
        <f>IFERROR(INDEX('Green_rooibos initial weight'!$C$5:$C$2000,MATCH(I431, 'Green_rooibos initial weight'!$A$5:$A$2000,0)),"")</f>
        <v>2.2730000000000001</v>
      </c>
      <c r="L431" s="194">
        <f t="shared" si="71"/>
        <v>1.7942</v>
      </c>
      <c r="M431" s="194">
        <f>AVERAGE(Ashed_controlls!$K$2:$K$11)</f>
        <v>5.5147656768714146</v>
      </c>
      <c r="N431" s="194">
        <f t="shared" si="68"/>
        <v>1.6952540742255731</v>
      </c>
      <c r="O431" s="194">
        <f t="shared" si="72"/>
        <v>2.0232000000000001</v>
      </c>
      <c r="P431" s="194">
        <f>AVERAGE(Ashed_controlls!$K$12:$K$14)</f>
        <v>2.2816647271287041</v>
      </c>
      <c r="Q431" s="194">
        <f t="shared" si="73"/>
        <v>1.9770373592407322</v>
      </c>
      <c r="R431" s="16">
        <f>IF('WetLitterbags placem_collection'!G138="","",'WetLitterbags placem_collection'!G138)</f>
        <v>42816</v>
      </c>
      <c r="S431" s="194">
        <f>IFERROR(INDEX('Both teabags AfterWet'!$C$3:$C$2000,MATCH(H431,'Both teabags AfterWet'!$A$3:$A$2000,0)),"")</f>
        <v>0.59630000000000005</v>
      </c>
      <c r="T431" s="194">
        <f>IFERROR(INDEX('Both teabags AfterWet'!$C$3:$C$2000,MATCH(I431,'Both teabags AfterWet'!$A$3:$A$2000,0)),"")</f>
        <v>1.5604</v>
      </c>
      <c r="U431" s="194">
        <f t="shared" si="74"/>
        <v>0.44570000000000004</v>
      </c>
      <c r="V431" s="194">
        <f t="shared" si="75"/>
        <v>1.4097999999999999</v>
      </c>
      <c r="W431" s="194">
        <f>IFERROR(INDEX('Ashed teabags wet'!$K$2:$K$2000,MATCH(H431,'Ashed teabags wet'!$A$2:$A$2000,0)),"")</f>
        <v>12.676056338028079</v>
      </c>
      <c r="X431" s="237">
        <f>IFERROR(INDEX('Ashed teabags wet'!$K$2:$K$2000,MATCH(I431,'Ashed teabags wet'!$A$2:$A$2000,0)),"")</f>
        <v>6.5917968749991243</v>
      </c>
      <c r="Y431" s="194">
        <f t="shared" si="80"/>
        <v>0.3892028169014089</v>
      </c>
      <c r="Z431" s="194">
        <f t="shared" si="80"/>
        <v>1.3168688476562622</v>
      </c>
      <c r="AA431" s="194">
        <f t="shared" si="76"/>
        <v>0.77041623269408466</v>
      </c>
      <c r="AB431" s="194">
        <f t="shared" si="77"/>
        <v>0.50507097440277282</v>
      </c>
      <c r="AC431" s="194">
        <f t="shared" si="69"/>
        <v>0.66608192379429632</v>
      </c>
      <c r="AD431">
        <f t="shared" si="70"/>
        <v>54</v>
      </c>
      <c r="AE431" s="194">
        <f t="shared" si="78"/>
        <v>8.5016350719614442E-2</v>
      </c>
      <c r="AF431" s="194">
        <f t="shared" si="79"/>
        <v>2.0039660449486903E-2</v>
      </c>
      <c r="AG431" s="252" t="str">
        <f>IF(ISNUMBER(SEARCH("C",'WetLitterbags placem_collection'!$Y138)),"YES","NO")</f>
        <v>NO</v>
      </c>
      <c r="AH431" s="252" t="str">
        <f>IF(ISNUMBER(SEARCH("H", 'WetLitterbags placem_collection'!$Y138)),"YES","NO")</f>
        <v>NO</v>
      </c>
      <c r="AI431" s="252" t="str">
        <f>IF(ISNUMBER(SEARCH("R", 'WetLitterbags placem_collection'!$Y138)),"YES","NO")</f>
        <v>YES</v>
      </c>
      <c r="AJ431" s="252" t="str">
        <f>IF(ISNUMBER(SEARCH("C", 'WetLitterbags placem_collection'!$W138)),"YES","NO")</f>
        <v>NO</v>
      </c>
      <c r="AK431" s="252" t="str">
        <f>IF(ISNUMBER(SEARCH("H", 'WetLitterbags placem_collection'!$W138)),"YES","NO")</f>
        <v>NO</v>
      </c>
      <c r="AL431" s="252" t="str">
        <f>IF(ISNUMBER(SEARCH("R", 'WetLitterbags placem_collection'!$W138)),"YES","NO")</f>
        <v>YES</v>
      </c>
    </row>
    <row r="432" spans="2:38">
      <c r="B432" t="str">
        <f>'Final data_for_R_analysis_Wetse'!A578</f>
        <v>Wet</v>
      </c>
      <c r="C432" s="260">
        <f>'Final data_for_R_analysis_Wetse'!B578</f>
        <v>137</v>
      </c>
      <c r="D432" t="s">
        <v>3822</v>
      </c>
      <c r="E432" t="s">
        <v>25</v>
      </c>
      <c r="F432" s="381">
        <v>1</v>
      </c>
      <c r="G432" s="16">
        <f>'WetLitterbags placem_collection'!E139</f>
        <v>42762</v>
      </c>
      <c r="H432" s="92" t="str">
        <f>'Final data_for_R_analysis_Wetse'!K578</f>
        <v>G857</v>
      </c>
      <c r="I432" t="str">
        <f>'Final data_for_R_analysis_Wetse'!K798</f>
        <v>R483</v>
      </c>
      <c r="J432">
        <f>IFERROR(INDEX('Green_rooibos initial weight'!$C$5:$C$2000,MATCH(H432, 'Green_rooibos initial weight'!$A$5:$A$2000,0)),"")</f>
        <v>1.927</v>
      </c>
      <c r="K432">
        <f>IFERROR(INDEX('Green_rooibos initial weight'!$C$5:$C$2000,MATCH(I432, 'Green_rooibos initial weight'!$A$5:$A$2000,0)),"")</f>
        <v>2.1970000000000001</v>
      </c>
      <c r="L432" s="194">
        <f t="shared" si="71"/>
        <v>1.6772</v>
      </c>
      <c r="M432" s="194">
        <f>AVERAGE(Ashed_controlls!$K$2:$K$11)</f>
        <v>5.5147656768714146</v>
      </c>
      <c r="N432" s="194">
        <f t="shared" si="68"/>
        <v>1.5847063500675127</v>
      </c>
      <c r="O432" s="194">
        <f t="shared" si="72"/>
        <v>1.9472</v>
      </c>
      <c r="P432" s="194">
        <f>AVERAGE(Ashed_controlls!$K$12:$K$14)</f>
        <v>2.2816647271287041</v>
      </c>
      <c r="Q432" s="194">
        <f t="shared" si="73"/>
        <v>1.90277142443335</v>
      </c>
      <c r="R432" s="16">
        <f>IF('WetLitterbags placem_collection'!G139="","",'WetLitterbags placem_collection'!G139)</f>
        <v>42816</v>
      </c>
      <c r="S432" s="194">
        <f>IFERROR(INDEX('Both teabags AfterWet'!$C$3:$C$2000,MATCH(H432,'Both teabags AfterWet'!$A$3:$A$2000,0)),"")</f>
        <v>0.6</v>
      </c>
      <c r="T432" s="194">
        <f>IFERROR(INDEX('Both teabags AfterWet'!$C$3:$C$2000,MATCH(I432,'Both teabags AfterWet'!$A$3:$A$2000,0)),"")</f>
        <v>1.778</v>
      </c>
      <c r="U432" s="194">
        <f t="shared" si="74"/>
        <v>0.44939999999999997</v>
      </c>
      <c r="V432" s="194">
        <f t="shared" si="75"/>
        <v>1.6274</v>
      </c>
      <c r="W432" s="194">
        <f>IFERROR(INDEX('Ashed teabags wet'!$K$2:$K$2000,MATCH(H432,'Ashed teabags wet'!$A$2:$A$2000,0)),"")</f>
        <v>14.85963213939962</v>
      </c>
      <c r="X432" s="237">
        <f>IFERROR(INDEX('Ashed teabags wet'!$K$2:$K$2000,MATCH(I432,'Ashed teabags wet'!$A$2:$A$2000,0)),"")</f>
        <v>11.371400683259917</v>
      </c>
      <c r="Y432" s="194">
        <f t="shared" si="80"/>
        <v>0.38262081316553809</v>
      </c>
      <c r="Z432" s="194">
        <f t="shared" si="80"/>
        <v>1.4423418252806282</v>
      </c>
      <c r="AA432" s="194">
        <f t="shared" si="76"/>
        <v>0.75855412382916398</v>
      </c>
      <c r="AB432" s="194">
        <f t="shared" si="77"/>
        <v>0.49729438996876313</v>
      </c>
      <c r="AC432" s="194">
        <f t="shared" si="69"/>
        <v>0.75802159248327006</v>
      </c>
      <c r="AD432">
        <f t="shared" si="70"/>
        <v>54</v>
      </c>
      <c r="AE432" s="194">
        <f t="shared" si="78"/>
        <v>9.9104365998617605E-2</v>
      </c>
      <c r="AF432" s="194">
        <f t="shared" si="79"/>
        <v>1.2345930736240645E-2</v>
      </c>
      <c r="AG432" s="252" t="str">
        <f>IF(ISNUMBER(SEARCH("C",'WetLitterbags placem_collection'!$Y139)),"YES","NO")</f>
        <v>NO</v>
      </c>
      <c r="AH432" s="252" t="str">
        <f>IF(ISNUMBER(SEARCH("H", 'WetLitterbags placem_collection'!$Y139)),"YES","NO")</f>
        <v>NO</v>
      </c>
      <c r="AI432" s="252" t="str">
        <f>IF(ISNUMBER(SEARCH("R", 'WetLitterbags placem_collection'!$Y139)),"YES","NO")</f>
        <v>NO</v>
      </c>
      <c r="AJ432" s="252" t="str">
        <f>IF(ISNUMBER(SEARCH("C", 'WetLitterbags placem_collection'!$W139)),"YES","NO")</f>
        <v>YES</v>
      </c>
      <c r="AK432" s="252" t="str">
        <f>IF(ISNUMBER(SEARCH("H", 'WetLitterbags placem_collection'!$W139)),"YES","NO")</f>
        <v>NO</v>
      </c>
      <c r="AL432" s="252" t="str">
        <f>IF(ISNUMBER(SEARCH("R", 'WetLitterbags placem_collection'!$W139)),"YES","NO")</f>
        <v>NO</v>
      </c>
    </row>
    <row r="433" spans="2:38">
      <c r="B433" t="str">
        <f>'Final data_for_R_analysis_Wetse'!A579</f>
        <v>Wet</v>
      </c>
      <c r="C433" s="260">
        <f>'Final data_for_R_analysis_Wetse'!B579</f>
        <v>138</v>
      </c>
      <c r="D433" t="s">
        <v>3822</v>
      </c>
      <c r="E433" t="s">
        <v>25</v>
      </c>
      <c r="F433" s="381">
        <v>2</v>
      </c>
      <c r="G433" s="16">
        <f>'WetLitterbags placem_collection'!E140</f>
        <v>42762</v>
      </c>
      <c r="H433" s="92" t="str">
        <f>'Final data_for_R_analysis_Wetse'!K579</f>
        <v>G623</v>
      </c>
      <c r="I433" t="str">
        <f>'Final data_for_R_analysis_Wetse'!K799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71"/>
        <v>1.8542000000000001</v>
      </c>
      <c r="M433" s="194">
        <f>AVERAGE(Ashed_controlls!$K$2:$K$11)</f>
        <v>5.5147656768714146</v>
      </c>
      <c r="N433" s="194">
        <f t="shared" si="68"/>
        <v>1.7519452148194503</v>
      </c>
      <c r="O433" s="194">
        <f t="shared" si="72"/>
        <v>1.7751999999999999</v>
      </c>
      <c r="P433" s="194">
        <f>AVERAGE(Ashed_controlls!$K$12:$K$14)</f>
        <v>2.2816647271287041</v>
      </c>
      <c r="Q433" s="194">
        <f t="shared" si="73"/>
        <v>1.7346958877640111</v>
      </c>
      <c r="R433" s="16">
        <f>IF('WetLitterbags placem_collection'!G140="","",'WetLitterbags placem_collection'!G140)</f>
        <v>42816</v>
      </c>
      <c r="S433" s="194">
        <f>IFERROR(INDEX('Both teabags AfterWet'!$C$3:$C$2000,MATCH(H433,'Both teabags AfterWet'!$A$3:$A$2000,0)),"")</f>
        <v>0.64800000000000002</v>
      </c>
      <c r="T433" s="194">
        <f>IFERROR(INDEX('Both teabags AfterWet'!$C$3:$C$2000,MATCH(I433,'Both teabags AfterWet'!$A$3:$A$2000,0)),"")</f>
        <v>1.522</v>
      </c>
      <c r="U433" s="194">
        <f t="shared" si="74"/>
        <v>0.49740000000000001</v>
      </c>
      <c r="V433" s="194">
        <f t="shared" si="75"/>
        <v>1.3714</v>
      </c>
      <c r="W433" s="194">
        <f>IFERROR(INDEX('Ashed teabags wet'!$K$2:$K$2000,MATCH(H433,'Ashed teabags wet'!$A$2:$A$2000,0)),"")</f>
        <v>12.94176207068146</v>
      </c>
      <c r="X433" s="237">
        <f>IFERROR(INDEX('Ashed teabags wet'!$K$2:$K$2000,MATCH(I433,'Ashed teabags wet'!$A$2:$A$2000,0)),"")</f>
        <v>5.1369863013697721</v>
      </c>
      <c r="Y433" s="194">
        <f t="shared" si="80"/>
        <v>0.43302767546043042</v>
      </c>
      <c r="Z433" s="194">
        <f t="shared" si="80"/>
        <v>1.3009513698630149</v>
      </c>
      <c r="AA433" s="194">
        <f t="shared" si="76"/>
        <v>0.75283035576825563</v>
      </c>
      <c r="AB433" s="194">
        <f t="shared" si="77"/>
        <v>0.49354199095496104</v>
      </c>
      <c r="AC433" s="194">
        <f t="shared" si="69"/>
        <v>0.74995933237607171</v>
      </c>
      <c r="AD433">
        <f t="shared" si="70"/>
        <v>54</v>
      </c>
      <c r="AE433" s="194">
        <f t="shared" si="78"/>
        <v>0.10590219029898373</v>
      </c>
      <c r="AF433" s="194">
        <f t="shared" si="79"/>
        <v>1.3083066040298965E-2</v>
      </c>
      <c r="AG433" s="252" t="str">
        <f>IF(ISNUMBER(SEARCH("C",'WetLitterbags placem_collection'!$Y140)),"YES","NO")</f>
        <v>NO</v>
      </c>
      <c r="AH433" s="252" t="str">
        <f>IF(ISNUMBER(SEARCH("H", 'WetLitterbags placem_collection'!$Y140)),"YES","NO")</f>
        <v>NO</v>
      </c>
      <c r="AI433" s="252" t="str">
        <f>IF(ISNUMBER(SEARCH("R", 'WetLitterbags placem_collection'!$Y140)),"YES","NO")</f>
        <v>NO</v>
      </c>
      <c r="AJ433" s="252" t="str">
        <f>IF(ISNUMBER(SEARCH("C", 'WetLitterbags placem_collection'!$W140)),"YES","NO")</f>
        <v>NO</v>
      </c>
      <c r="AK433" s="252" t="str">
        <f>IF(ISNUMBER(SEARCH("H", 'WetLitterbags placem_collection'!$W140)),"YES","NO")</f>
        <v>NO</v>
      </c>
      <c r="AL433" s="252" t="str">
        <f>IF(ISNUMBER(SEARCH("R", 'WetLitterbags placem_collection'!$W140)),"YES","NO")</f>
        <v>NO</v>
      </c>
    </row>
    <row r="434" spans="2:38">
      <c r="B434" t="str">
        <f>'Final data_for_R_analysis_Wetse'!A580</f>
        <v>Wet</v>
      </c>
      <c r="C434" s="260">
        <f>'Final data_for_R_analysis_Wetse'!B580</f>
        <v>139</v>
      </c>
      <c r="D434" t="s">
        <v>3822</v>
      </c>
      <c r="E434" t="s">
        <v>25</v>
      </c>
      <c r="F434" s="381">
        <v>3</v>
      </c>
      <c r="G434" s="16">
        <f>'WetLitterbags placem_collection'!E141</f>
        <v>42762</v>
      </c>
      <c r="H434" s="92" t="str">
        <f>'Final data_for_R_analysis_Wetse'!K580</f>
        <v>G880</v>
      </c>
      <c r="I434" t="str">
        <f>'Final data_for_R_analysis_Wetse'!K800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71"/>
        <v>1.8532000000000002</v>
      </c>
      <c r="M434" s="194">
        <f>AVERAGE(Ashed_controlls!$K$2:$K$11)</f>
        <v>5.5147656768714146</v>
      </c>
      <c r="N434" s="194">
        <f t="shared" si="68"/>
        <v>1.7510003624762192</v>
      </c>
      <c r="O434" s="194">
        <f t="shared" si="72"/>
        <v>1.9502000000000002</v>
      </c>
      <c r="P434" s="194">
        <f>AVERAGE(Ashed_controlls!$K$12:$K$14)</f>
        <v>2.2816647271287041</v>
      </c>
      <c r="Q434" s="194">
        <f t="shared" si="73"/>
        <v>1.9057029744915361</v>
      </c>
      <c r="R434" s="16">
        <f>IF('WetLitterbags placem_collection'!G141="","",'WetLitterbags placem_collection'!G141)</f>
        <v>42816</v>
      </c>
      <c r="S434" s="194">
        <f>IFERROR(INDEX('Both teabags AfterWet'!$C$3:$C$2000,MATCH(H434,'Both teabags AfterWet'!$A$3:$A$2000,0)),"")</f>
        <v>0.73599999999999999</v>
      </c>
      <c r="T434" s="194">
        <f>IFERROR(INDEX('Both teabags AfterWet'!$C$3:$C$2000,MATCH(I434,'Both teabags AfterWet'!$A$3:$A$2000,0)),"")</f>
        <v>1.415</v>
      </c>
      <c r="U434" s="194">
        <f t="shared" si="74"/>
        <v>0.58539999999999992</v>
      </c>
      <c r="V434" s="194">
        <f t="shared" si="75"/>
        <v>1.2644</v>
      </c>
      <c r="W434" s="194">
        <f>IFERROR(INDEX('Ashed teabags wet'!$K$2:$K$2000,MATCH(H434,'Ashed teabags wet'!$A$2:$A$2000,0)),"")</f>
        <v>26.073926073925342</v>
      </c>
      <c r="X434" s="237">
        <f>IFERROR(INDEX('Ashed teabags wet'!$K$2:$K$2000,MATCH(I434,'Ashed teabags wet'!$A$2:$A$2000,0)),"")</f>
        <v>10.337972166998611</v>
      </c>
      <c r="Y434" s="194">
        <f t="shared" si="80"/>
        <v>0.43276323676324102</v>
      </c>
      <c r="Z434" s="194">
        <f t="shared" si="80"/>
        <v>1.1336866799204695</v>
      </c>
      <c r="AA434" s="194">
        <f t="shared" si="76"/>
        <v>0.75284800275470043</v>
      </c>
      <c r="AB434" s="194">
        <f t="shared" si="77"/>
        <v>0.49355356000070627</v>
      </c>
      <c r="AC434" s="194">
        <f t="shared" si="69"/>
        <v>0.59489159386076429</v>
      </c>
      <c r="AD434">
        <f t="shared" si="70"/>
        <v>54</v>
      </c>
      <c r="AE434" s="194">
        <f t="shared" si="78"/>
        <v>0.10588123188277854</v>
      </c>
      <c r="AF434" s="194">
        <f t="shared" si="79"/>
        <v>3.1837939895645644E-2</v>
      </c>
      <c r="AG434" s="252" t="str">
        <f>IF(ISNUMBER(SEARCH("C",'WetLitterbags placem_collection'!$Y141)),"YES","NO")</f>
        <v>NO</v>
      </c>
      <c r="AH434" s="252" t="str">
        <f>IF(ISNUMBER(SEARCH("H", 'WetLitterbags placem_collection'!$Y141)),"YES","NO")</f>
        <v>NO</v>
      </c>
      <c r="AI434" s="252" t="str">
        <f>IF(ISNUMBER(SEARCH("R", 'WetLitterbags placem_collection'!$Y141)),"YES","NO")</f>
        <v>NO</v>
      </c>
      <c r="AJ434" s="252" t="str">
        <f>IF(ISNUMBER(SEARCH("C", 'WetLitterbags placem_collection'!$W141)),"YES","NO")</f>
        <v>YES</v>
      </c>
      <c r="AK434" s="252" t="str">
        <f>IF(ISNUMBER(SEARCH("H", 'WetLitterbags placem_collection'!$W141)),"YES","NO")</f>
        <v>YES</v>
      </c>
      <c r="AL434" s="252" t="str">
        <f>IF(ISNUMBER(SEARCH("R", 'WetLitterbags placem_collection'!$W141)),"YES","NO")</f>
        <v>YES</v>
      </c>
    </row>
    <row r="435" spans="2:38">
      <c r="B435" t="str">
        <f>'Final data_for_R_analysis_Wetse'!A581</f>
        <v>Wet</v>
      </c>
      <c r="C435" s="260">
        <f>'Final data_for_R_analysis_Wetse'!B581</f>
        <v>140</v>
      </c>
      <c r="D435" t="s">
        <v>3822</v>
      </c>
      <c r="E435" t="s">
        <v>25</v>
      </c>
      <c r="F435" s="382">
        <v>4</v>
      </c>
      <c r="G435" s="16">
        <f>'WetLitterbags placem_collection'!E142</f>
        <v>42762</v>
      </c>
      <c r="H435" s="92" t="str">
        <f>'Final data_for_R_analysis_Wetse'!K581</f>
        <v>G706</v>
      </c>
      <c r="I435" t="str">
        <f>'Final data_for_R_analysis_Wetse'!K801</f>
        <v>R559</v>
      </c>
      <c r="J435">
        <f>IFERROR(INDEX('Green_rooibos initial weight'!$C$5:$C$2000,MATCH(H435, 'Green_rooibos initial weight'!$A$5:$A$2000,0)),"")</f>
        <v>1.9450000000000001</v>
      </c>
      <c r="K435">
        <f>IFERROR(INDEX('Green_rooibos initial weight'!$C$5:$C$2000,MATCH(I435, 'Green_rooibos initial weight'!$A$5:$A$2000,0)),"")</f>
        <v>2.161</v>
      </c>
      <c r="L435" s="194">
        <f t="shared" si="71"/>
        <v>1.6952</v>
      </c>
      <c r="M435" s="194">
        <f>AVERAGE(Ashed_controlls!$K$2:$K$11)</f>
        <v>5.5147656768714146</v>
      </c>
      <c r="N435" s="194">
        <f t="shared" si="68"/>
        <v>1.6017136922456758</v>
      </c>
      <c r="O435" s="194">
        <f t="shared" si="72"/>
        <v>1.9112</v>
      </c>
      <c r="P435" s="194">
        <f>AVERAGE(Ashed_controlls!$K$12:$K$14)</f>
        <v>2.2816647271287041</v>
      </c>
      <c r="Q435" s="194">
        <f t="shared" si="73"/>
        <v>1.8675928237351163</v>
      </c>
      <c r="R435" s="16">
        <f>IF('WetLitterbags placem_collection'!G142="","",'WetLitterbags placem_collection'!G142)</f>
        <v>42816</v>
      </c>
      <c r="S435" s="194">
        <f>IFERROR(INDEX('Both teabags AfterWet'!$C$3:$C$2000,MATCH(H435,'Both teabags AfterWet'!$A$3:$A$2000,0)),"")</f>
        <v>0.60780000000000001</v>
      </c>
      <c r="T435" s="194">
        <f>IFERROR(INDEX('Both teabags AfterWet'!$C$3:$C$2000,MATCH(I435,'Both teabags AfterWet'!$A$3:$A$2000,0)),"")</f>
        <v>1.6634</v>
      </c>
      <c r="U435" s="194">
        <f t="shared" si="74"/>
        <v>0.4572</v>
      </c>
      <c r="V435" s="194">
        <f t="shared" si="75"/>
        <v>1.5127999999999999</v>
      </c>
      <c r="W435" s="194">
        <f>IFERROR(INDEX('Ashed teabags wet'!$K$2:$K$2000,MATCH(H435,'Ashed teabags wet'!$A$2:$A$2000,0)),"")</f>
        <v>17.486338797814145</v>
      </c>
      <c r="X435" s="237">
        <f>IFERROR(INDEX('Ashed teabags wet'!$K$2:$K$2000,MATCH(I435,'Ashed teabags wet'!$A$2:$A$2000,0)),"")</f>
        <v>11.767508337303465</v>
      </c>
      <c r="Y435" s="194">
        <f t="shared" si="80"/>
        <v>0.3772524590163937</v>
      </c>
      <c r="Z435" s="194">
        <f t="shared" si="80"/>
        <v>1.3347811338732731</v>
      </c>
      <c r="AA435" s="194">
        <f t="shared" si="76"/>
        <v>0.76446947988097147</v>
      </c>
      <c r="AB435" s="194">
        <f t="shared" si="77"/>
        <v>0.50117239061080321</v>
      </c>
      <c r="AC435" s="194">
        <f t="shared" si="69"/>
        <v>0.71470671599806235</v>
      </c>
      <c r="AD435">
        <f t="shared" si="70"/>
        <v>54</v>
      </c>
      <c r="AE435" s="194">
        <f t="shared" si="78"/>
        <v>9.2079002516660902E-2</v>
      </c>
      <c r="AF435" s="194">
        <f t="shared" si="79"/>
        <v>1.5596881028912043E-2</v>
      </c>
      <c r="AG435" s="252" t="str">
        <f>IF(ISNUMBER(SEARCH("C",'WetLitterbags placem_collection'!$Y142)),"YES","NO")</f>
        <v>NO</v>
      </c>
      <c r="AH435" s="252" t="str">
        <f>IF(ISNUMBER(SEARCH("H", 'WetLitterbags placem_collection'!$Y142)),"YES","NO")</f>
        <v>NO</v>
      </c>
      <c r="AI435" s="252" t="str">
        <f>IF(ISNUMBER(SEARCH("R", 'WetLitterbags placem_collection'!$Y142)),"YES","NO")</f>
        <v>NO</v>
      </c>
      <c r="AJ435" s="252" t="str">
        <f>IF(ISNUMBER(SEARCH("C", 'WetLitterbags placem_collection'!$W142)),"YES","NO")</f>
        <v>NO</v>
      </c>
      <c r="AK435" s="252" t="str">
        <f>IF(ISNUMBER(SEARCH("H", 'WetLitterbags placem_collection'!$W142)),"YES","NO")</f>
        <v>NO</v>
      </c>
      <c r="AL435" s="252" t="str">
        <f>IF(ISNUMBER(SEARCH("R", 'WetLitterbags placem_collection'!$W142)),"YES","NO")</f>
        <v>YES</v>
      </c>
    </row>
    <row r="436" spans="2:38">
      <c r="B436" t="str">
        <f>'Final data_for_R_analysis_Wetse'!A582</f>
        <v>Wet</v>
      </c>
      <c r="C436" s="260">
        <f>'Final data_for_R_analysis_Wetse'!B582</f>
        <v>141</v>
      </c>
      <c r="D436" t="s">
        <v>3822</v>
      </c>
      <c r="E436" t="s">
        <v>25</v>
      </c>
      <c r="F436" s="382">
        <v>5</v>
      </c>
      <c r="G436" s="16">
        <f>'WetLitterbags placem_collection'!E143</f>
        <v>42762</v>
      </c>
      <c r="H436" s="92" t="str">
        <f>'Final data_for_R_analysis_Wetse'!K582</f>
        <v>G775</v>
      </c>
      <c r="I436" t="str">
        <f>'Final data_for_R_analysis_Wetse'!K802</f>
        <v>R465</v>
      </c>
      <c r="J436">
        <f>IFERROR(INDEX('Green_rooibos initial weight'!$C$5:$C$2000,MATCH(H436, 'Green_rooibos initial weight'!$A$5:$A$2000,0)),"")</f>
        <v>2.1389999999999998</v>
      </c>
      <c r="K436">
        <f>IFERROR(INDEX('Green_rooibos initial weight'!$C$5:$C$2000,MATCH(I436, 'Green_rooibos initial weight'!$A$5:$A$2000,0)),"")</f>
        <v>2.206</v>
      </c>
      <c r="L436" s="194">
        <f t="shared" si="71"/>
        <v>1.8891999999999998</v>
      </c>
      <c r="M436" s="194">
        <f>AVERAGE(Ashed_controlls!$K$2:$K$11)</f>
        <v>5.5147656768714146</v>
      </c>
      <c r="N436" s="194">
        <f t="shared" si="68"/>
        <v>1.785015046832545</v>
      </c>
      <c r="O436" s="194">
        <f t="shared" si="72"/>
        <v>1.9561999999999999</v>
      </c>
      <c r="P436" s="194">
        <f>AVERAGE(Ashed_controlls!$K$12:$K$14)</f>
        <v>2.2816647271287041</v>
      </c>
      <c r="Q436" s="194">
        <f t="shared" si="73"/>
        <v>1.9115660746079082</v>
      </c>
      <c r="R436" s="16">
        <f>IF('WetLitterbags placem_collection'!G143="","",'WetLitterbags placem_collection'!G143)</f>
        <v>42816</v>
      </c>
      <c r="S436" s="194">
        <f>IFERROR(INDEX('Both teabags AfterWet'!$C$3:$C$2000,MATCH(H436,'Both teabags AfterWet'!$A$3:$A$2000,0)),"")</f>
        <v>0.69099999999999995</v>
      </c>
      <c r="T436" s="194">
        <f>IFERROR(INDEX('Both teabags AfterWet'!$C$3:$C$2000,MATCH(I436,'Both teabags AfterWet'!$A$3:$A$2000,0)),"")</f>
        <v>1.6759999999999999</v>
      </c>
      <c r="U436" s="194">
        <f t="shared" si="74"/>
        <v>0.54039999999999999</v>
      </c>
      <c r="V436" s="194">
        <f t="shared" si="75"/>
        <v>1.5253999999999999</v>
      </c>
      <c r="W436" s="194">
        <f>IFERROR(INDEX('Ashed teabags wet'!$K$2:$K$2000,MATCH(H436,'Ashed teabags wet'!$A$2:$A$2000,0)),"")</f>
        <v>23.031496062992296</v>
      </c>
      <c r="X436" s="237">
        <f>IFERROR(INDEX('Ashed teabags wet'!$K$2:$K$2000,MATCH(I436,'Ashed teabags wet'!$A$2:$A$2000,0)),"")</f>
        <v>2.2604422604422161</v>
      </c>
      <c r="Y436" s="194">
        <f t="shared" si="80"/>
        <v>0.41593779527558961</v>
      </c>
      <c r="Z436" s="194">
        <f t="shared" si="80"/>
        <v>1.4909192137592142</v>
      </c>
      <c r="AA436" s="194">
        <f t="shared" si="76"/>
        <v>0.76698359153125428</v>
      </c>
      <c r="AB436" s="194">
        <f t="shared" si="77"/>
        <v>0.50282059682334013</v>
      </c>
      <c r="AC436" s="194">
        <f t="shared" si="69"/>
        <v>0.77994647088776403</v>
      </c>
      <c r="AD436">
        <f t="shared" si="70"/>
        <v>54</v>
      </c>
      <c r="AE436" s="194">
        <f t="shared" si="78"/>
        <v>8.9093121696847577E-2</v>
      </c>
      <c r="AF436" s="194">
        <f t="shared" si="79"/>
        <v>1.0659443772071734E-2</v>
      </c>
      <c r="AG436" s="252" t="str">
        <f>IF(ISNUMBER(SEARCH("C",'WetLitterbags placem_collection'!$Y143)),"YES","NO")</f>
        <v>NO</v>
      </c>
      <c r="AH436" s="252" t="str">
        <f>IF(ISNUMBER(SEARCH("H", 'WetLitterbags placem_collection'!$Y143)),"YES","NO")</f>
        <v>NO</v>
      </c>
      <c r="AI436" s="252" t="str">
        <f>IF(ISNUMBER(SEARCH("R", 'WetLitterbags placem_collection'!$Y143)),"YES","NO")</f>
        <v>NO</v>
      </c>
      <c r="AJ436" s="252" t="str">
        <f>IF(ISNUMBER(SEARCH("C", 'WetLitterbags placem_collection'!$W143)),"YES","NO")</f>
        <v>YES</v>
      </c>
      <c r="AK436" s="252" t="str">
        <f>IF(ISNUMBER(SEARCH("H", 'WetLitterbags placem_collection'!$W143)),"YES","NO")</f>
        <v>YES</v>
      </c>
      <c r="AL436" s="252" t="str">
        <f>IF(ISNUMBER(SEARCH("R", 'WetLitterbags placem_collection'!$W143)),"YES","NO")</f>
        <v>YES</v>
      </c>
    </row>
    <row r="437" spans="2:38">
      <c r="B437" t="str">
        <f>'Final data_for_R_analysis_Wetse'!A583</f>
        <v>Wet</v>
      </c>
      <c r="C437" s="260">
        <f>'Final data_for_R_analysis_Wetse'!B583</f>
        <v>142</v>
      </c>
      <c r="D437" t="s">
        <v>3822</v>
      </c>
      <c r="E437" t="s">
        <v>25</v>
      </c>
      <c r="F437" s="382">
        <v>6</v>
      </c>
      <c r="G437" s="16">
        <f>'WetLitterbags placem_collection'!E144</f>
        <v>42762</v>
      </c>
      <c r="H437" s="92" t="str">
        <f>'Final data_for_R_analysis_Wetse'!K583</f>
        <v>G850</v>
      </c>
      <c r="I437" t="str">
        <f>'Final data_for_R_analysis_Wetse'!K803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71"/>
        <v>1.7881999999999998</v>
      </c>
      <c r="M437" s="194">
        <f>AVERAGE(Ashed_controlls!$K$2:$K$11)</f>
        <v>5.5147656768714146</v>
      </c>
      <c r="N437" s="194">
        <f t="shared" si="68"/>
        <v>1.6895849601661852</v>
      </c>
      <c r="O437" s="194">
        <f t="shared" si="72"/>
        <v>1.9211999999999998</v>
      </c>
      <c r="P437" s="194">
        <f>AVERAGE(Ashed_controlls!$K$12:$K$14)</f>
        <v>2.2816647271287041</v>
      </c>
      <c r="Q437" s="194">
        <f t="shared" si="73"/>
        <v>1.8773646572624032</v>
      </c>
      <c r="R437" s="16">
        <f>IF('WetLitterbags placem_collection'!G144="","",'WetLitterbags placem_collection'!G144)</f>
        <v>42816</v>
      </c>
      <c r="S437" s="194">
        <f>IFERROR(INDEX('Both teabags AfterWet'!$C$3:$C$2000,MATCH(H437,'Both teabags AfterWet'!$A$3:$A$2000,0)),"")</f>
        <v>0.78500000000000003</v>
      </c>
      <c r="T437" s="194">
        <f>IFERROR(INDEX('Both teabags AfterWet'!$C$3:$C$2000,MATCH(I437,'Both teabags AfterWet'!$A$3:$A$2000,0)),"")</f>
        <v>1.0640000000000001</v>
      </c>
      <c r="U437" s="194">
        <f t="shared" si="74"/>
        <v>0.63440000000000007</v>
      </c>
      <c r="V437" s="194">
        <f t="shared" si="75"/>
        <v>0.91339999999999999</v>
      </c>
      <c r="W437" s="194">
        <f>IFERROR(INDEX('Ashed teabags wet'!$K$2:$K$2000,MATCH(H437,'Ashed teabags wet'!$A$2:$A$2000,0)),"")</f>
        <v>14.780029658923441</v>
      </c>
      <c r="X437" s="237">
        <f>IFERROR(INDEX('Ashed teabags wet'!$K$2:$K$2000,MATCH(I437,'Ashed teabags wet'!$A$2:$A$2000,0)),"")</f>
        <v>0</v>
      </c>
      <c r="Y437" s="194">
        <f t="shared" si="80"/>
        <v>0.54063549184378978</v>
      </c>
      <c r="Z437" s="194">
        <f t="shared" si="80"/>
        <v>0.91339999999999999</v>
      </c>
      <c r="AA437" s="194">
        <f t="shared" si="76"/>
        <v>0.68001875928712474</v>
      </c>
      <c r="AB437" s="194">
        <f t="shared" si="77"/>
        <v>0.44580802271554976</v>
      </c>
      <c r="AC437" s="194">
        <f t="shared" si="69"/>
        <v>0.48653307521615508</v>
      </c>
      <c r="AD437">
        <f t="shared" si="70"/>
        <v>54</v>
      </c>
      <c r="AE437" s="194">
        <f t="shared" si="78"/>
        <v>0.19237677044284474</v>
      </c>
      <c r="AF437" s="194" t="str">
        <f t="shared" si="79"/>
        <v/>
      </c>
      <c r="AG437" s="252" t="str">
        <f>IF(ISNUMBER(SEARCH("C",'WetLitterbags placem_collection'!$Y144)),"YES","NO")</f>
        <v>NO</v>
      </c>
      <c r="AH437" s="252" t="str">
        <f>IF(ISNUMBER(SEARCH("H", 'WetLitterbags placem_collection'!$Y144)),"YES","NO")</f>
        <v>NO</v>
      </c>
      <c r="AI437" s="252" t="str">
        <f>IF(ISNUMBER(SEARCH("R", 'WetLitterbags placem_collection'!$Y144)),"YES","NO")</f>
        <v>YES</v>
      </c>
      <c r="AJ437" s="252" t="str">
        <f>IF(ISNUMBER(SEARCH("C", 'WetLitterbags placem_collection'!$W144)),"YES","NO")</f>
        <v>NO</v>
      </c>
      <c r="AK437" s="252" t="str">
        <f>IF(ISNUMBER(SEARCH("H", 'WetLitterbags placem_collection'!$W144)),"YES","NO")</f>
        <v>YES</v>
      </c>
      <c r="AL437" s="252" t="str">
        <f>IF(ISNUMBER(SEARCH("R", 'WetLitterbags placem_collection'!$W144)),"YES","NO")</f>
        <v>NO</v>
      </c>
    </row>
    <row r="438" spans="2:38">
      <c r="B438" t="str">
        <f>'Final data_for_R_analysis_Wetse'!A584</f>
        <v>Wet</v>
      </c>
      <c r="C438" s="260">
        <f>'Final data_for_R_analysis_Wetse'!B584</f>
        <v>143</v>
      </c>
      <c r="D438" t="s">
        <v>3822</v>
      </c>
      <c r="E438" t="s">
        <v>25</v>
      </c>
      <c r="F438" s="382">
        <v>7</v>
      </c>
      <c r="G438" s="16">
        <f>'WetLitterbags placem_collection'!E145</f>
        <v>42762</v>
      </c>
      <c r="H438" s="92" t="str">
        <f>'Final data_for_R_analysis_Wetse'!K584</f>
        <v>G697</v>
      </c>
      <c r="I438" t="str">
        <f>'Final data_for_R_analysis_Wetse'!K804</f>
        <v>R567</v>
      </c>
      <c r="J438">
        <f>IFERROR(INDEX('Green_rooibos initial weight'!$C$5:$C$2000,MATCH(H438, 'Green_rooibos initial weight'!$A$5:$A$2000,0)),"")</f>
        <v>2.1110000000000002</v>
      </c>
      <c r="K438">
        <f>IFERROR(INDEX('Green_rooibos initial weight'!$C$5:$C$2000,MATCH(I438, 'Green_rooibos initial weight'!$A$5:$A$2000,0)),"")</f>
        <v>2.097</v>
      </c>
      <c r="L438" s="194">
        <f t="shared" si="71"/>
        <v>1.8612000000000002</v>
      </c>
      <c r="M438" s="194">
        <f>AVERAGE(Ashed_controlls!$K$2:$K$11)</f>
        <v>5.5147656768714146</v>
      </c>
      <c r="N438" s="194">
        <f t="shared" si="68"/>
        <v>1.7585591812220693</v>
      </c>
      <c r="O438" s="194">
        <f t="shared" si="72"/>
        <v>1.8472</v>
      </c>
      <c r="P438" s="194">
        <f>AVERAGE(Ashed_controlls!$K$12:$K$14)</f>
        <v>2.2816647271287041</v>
      </c>
      <c r="Q438" s="194">
        <f t="shared" si="73"/>
        <v>1.8050530891604786</v>
      </c>
      <c r="R438" s="16">
        <f>IF('WetLitterbags placem_collection'!G145="","",'WetLitterbags placem_collection'!G145)</f>
        <v>42816</v>
      </c>
      <c r="S438" s="194">
        <f>IFERROR(INDEX('Both teabags AfterWet'!$C$3:$C$2000,MATCH(H438,'Both teabags AfterWet'!$A$3:$A$2000,0)),"")</f>
        <v>0.67500000000000004</v>
      </c>
      <c r="T438" s="194">
        <f>IFERROR(INDEX('Both teabags AfterWet'!$C$3:$C$2000,MATCH(I438,'Both teabags AfterWet'!$A$3:$A$2000,0)),"")</f>
        <v>1.5908</v>
      </c>
      <c r="U438" s="194">
        <f t="shared" si="74"/>
        <v>0.52439999999999998</v>
      </c>
      <c r="V438" s="194">
        <f t="shared" si="75"/>
        <v>1.4401999999999999</v>
      </c>
      <c r="W438" s="194">
        <f>IFERROR(INDEX('Ashed teabags wet'!$K$2:$K$2000,MATCH(H438,'Ashed teabags wet'!$A$2:$A$2000,0)),"")</f>
        <v>17.52988047808789</v>
      </c>
      <c r="X438" s="237">
        <f>IFERROR(INDEX('Ashed teabags wet'!$K$2:$K$2000,MATCH(I438,'Ashed teabags wet'!$A$2:$A$2000,0)),"")</f>
        <v>3.9043435822355246</v>
      </c>
      <c r="Y438" s="194">
        <f t="shared" si="80"/>
        <v>0.43247330677290707</v>
      </c>
      <c r="Z438" s="194">
        <f t="shared" si="80"/>
        <v>1.383969643728644</v>
      </c>
      <c r="AA438" s="194">
        <f t="shared" si="76"/>
        <v>0.75407520463862354</v>
      </c>
      <c r="AB438" s="194">
        <f t="shared" si="77"/>
        <v>0.49435809140204306</v>
      </c>
      <c r="AC438" s="194">
        <f t="shared" si="69"/>
        <v>0.7667196339207516</v>
      </c>
      <c r="AD438">
        <f t="shared" si="70"/>
        <v>54</v>
      </c>
      <c r="AE438" s="194">
        <f t="shared" si="78"/>
        <v>0.104423747460067</v>
      </c>
      <c r="AF438" s="194">
        <f t="shared" si="79"/>
        <v>1.1822999533476234E-2</v>
      </c>
      <c r="AG438" s="252" t="str">
        <f>IF(ISNUMBER(SEARCH("C",'WetLitterbags placem_collection'!$Y145)),"YES","NO")</f>
        <v>NO</v>
      </c>
      <c r="AH438" s="252" t="str">
        <f>IF(ISNUMBER(SEARCH("H", 'WetLitterbags placem_collection'!$Y145)),"YES","NO")</f>
        <v>NO</v>
      </c>
      <c r="AI438" s="252" t="str">
        <f>IF(ISNUMBER(SEARCH("R", 'WetLitterbags placem_collection'!$Y145)),"YES","NO")</f>
        <v>NO</v>
      </c>
      <c r="AJ438" s="252" t="str">
        <f>IF(ISNUMBER(SEARCH("C", 'WetLitterbags placem_collection'!$W145)),"YES","NO")</f>
        <v>NO</v>
      </c>
      <c r="AK438" s="252" t="str">
        <f>IF(ISNUMBER(SEARCH("H", 'WetLitterbags placem_collection'!$W145)),"YES","NO")</f>
        <v>NO</v>
      </c>
      <c r="AL438" s="252" t="str">
        <f>IF(ISNUMBER(SEARCH("R", 'WetLitterbags placem_collection'!$W145)),"YES","NO")</f>
        <v>NO</v>
      </c>
    </row>
    <row r="439" spans="2:38">
      <c r="B439" t="str">
        <f>'Final data_for_R_analysis_Wetse'!A585</f>
        <v>Wet</v>
      </c>
      <c r="C439" s="260">
        <f>'Final data_for_R_analysis_Wetse'!B585</f>
        <v>144</v>
      </c>
      <c r="D439" t="s">
        <v>3822</v>
      </c>
      <c r="E439" t="s">
        <v>25</v>
      </c>
      <c r="F439" s="382">
        <v>8</v>
      </c>
      <c r="G439" s="16">
        <f>'WetLitterbags placem_collection'!E146</f>
        <v>42762</v>
      </c>
      <c r="H439" s="92" t="str">
        <f>'Final data_for_R_analysis_Wetse'!K585</f>
        <v>G894</v>
      </c>
      <c r="I439" t="str">
        <f>'Final data_for_R_analysis_Wetse'!K805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71"/>
        <v>1.7132000000000001</v>
      </c>
      <c r="M439" s="194">
        <f>AVERAGE(Ashed_controlls!$K$2:$K$11)</f>
        <v>5.5147656768714146</v>
      </c>
      <c r="N439" s="194">
        <f t="shared" si="68"/>
        <v>1.618721034423839</v>
      </c>
      <c r="O439" s="194">
        <f t="shared" si="72"/>
        <v>1.9771999999999998</v>
      </c>
      <c r="P439" s="194">
        <f>AVERAGE(Ashed_controlls!$K$12:$K$14)</f>
        <v>2.2816647271287041</v>
      </c>
      <c r="Q439" s="194">
        <f t="shared" si="73"/>
        <v>1.9320869250152111</v>
      </c>
      <c r="R439" s="16">
        <f>IF('WetLitterbags placem_collection'!G146="","",'WetLitterbags placem_collection'!G146)</f>
        <v>42816</v>
      </c>
      <c r="S439" s="194">
        <f>IFERROR(INDEX('Both teabags AfterWet'!$C$3:$C$2000,MATCH(H439,'Both teabags AfterWet'!$A$3:$A$2000,0)),"")</f>
        <v>0.68200000000000005</v>
      </c>
      <c r="T439" s="194">
        <f>IFERROR(INDEX('Both teabags AfterWet'!$C$3:$C$2000,MATCH(I439,'Both teabags AfterWet'!$A$3:$A$2000,0)),"")</f>
        <v>1.7290000000000001</v>
      </c>
      <c r="U439" s="194">
        <f t="shared" si="74"/>
        <v>0.53140000000000009</v>
      </c>
      <c r="V439" s="194">
        <f t="shared" si="75"/>
        <v>1.5784</v>
      </c>
      <c r="W439" s="194">
        <f>IFERROR(INDEX('Ashed teabags wet'!$K$2:$K$2000,MATCH(H439,'Ashed teabags wet'!$A$2:$A$2000,0)),"")</f>
        <v>21.010901883052647</v>
      </c>
      <c r="X439" s="237">
        <f>IFERROR(INDEX('Ashed teabags wet'!$K$2:$K$2000,MATCH(I439,'Ashed teabags wet'!$A$2:$A$2000,0)),"")</f>
        <v>11.138613861386148</v>
      </c>
      <c r="Y439" s="194">
        <f t="shared" si="80"/>
        <v>0.41974806739345832</v>
      </c>
      <c r="Z439" s="194">
        <f t="shared" si="80"/>
        <v>1.4025881188118812</v>
      </c>
      <c r="AA439" s="194">
        <f t="shared" si="76"/>
        <v>0.7406915345713897</v>
      </c>
      <c r="AB439" s="194">
        <f t="shared" si="77"/>
        <v>0.48558399891140991</v>
      </c>
      <c r="AC439" s="194">
        <f t="shared" si="69"/>
        <v>0.72594462529207315</v>
      </c>
      <c r="AD439">
        <f t="shared" si="70"/>
        <v>54</v>
      </c>
      <c r="AE439" s="194">
        <f t="shared" si="78"/>
        <v>0.1203188425517937</v>
      </c>
      <c r="AF439" s="194">
        <f t="shared" si="79"/>
        <v>1.5388739994057236E-2</v>
      </c>
      <c r="AG439" s="252" t="str">
        <f>IF(ISNUMBER(SEARCH("C",'WetLitterbags placem_collection'!$Y146)),"YES","NO")</f>
        <v>NO</v>
      </c>
      <c r="AH439" s="252" t="str">
        <f>IF(ISNUMBER(SEARCH("H", 'WetLitterbags placem_collection'!$Y146)),"YES","NO")</f>
        <v>NO</v>
      </c>
      <c r="AI439" s="252" t="str">
        <f>IF(ISNUMBER(SEARCH("R", 'WetLitterbags placem_collection'!$Y146)),"YES","NO")</f>
        <v>NO</v>
      </c>
      <c r="AJ439" s="252" t="str">
        <f>IF(ISNUMBER(SEARCH("C", 'WetLitterbags placem_collection'!$W146)),"YES","NO")</f>
        <v>NO</v>
      </c>
      <c r="AK439" s="252" t="str">
        <f>IF(ISNUMBER(SEARCH("H", 'WetLitterbags placem_collection'!$W146)),"YES","NO")</f>
        <v>YES</v>
      </c>
      <c r="AL439" s="252" t="str">
        <f>IF(ISNUMBER(SEARCH("R", 'WetLitterbags placem_collection'!$W146)),"YES","NO")</f>
        <v>NO</v>
      </c>
    </row>
    <row r="440" spans="2:38">
      <c r="B440" t="str">
        <f>'Final data_for_R_analysis_Wetse'!A586</f>
        <v>Wet</v>
      </c>
      <c r="C440" s="260">
        <f>'Final data_for_R_analysis_Wetse'!B586</f>
        <v>145</v>
      </c>
      <c r="D440" t="s">
        <v>3823</v>
      </c>
      <c r="E440" t="s">
        <v>25</v>
      </c>
      <c r="F440" s="381">
        <v>1</v>
      </c>
      <c r="G440" s="16">
        <f>'WetLitterbags placem_collection'!E147</f>
        <v>42762</v>
      </c>
      <c r="H440" s="92" t="str">
        <f>'Final data_for_R_analysis_Wetse'!K586</f>
        <v>G653</v>
      </c>
      <c r="I440" t="str">
        <f>'Final data_for_R_analysis_Wetse'!K806</f>
        <v>R40</v>
      </c>
      <c r="J440">
        <f>IFERROR(INDEX('Green_rooibos initial weight'!$C$5:$C$2000,MATCH(H440, 'Green_rooibos initial weight'!$A$5:$A$2000,0)),"")</f>
        <v>2.089</v>
      </c>
      <c r="K440">
        <f>IFERROR(INDEX('Green_rooibos initial weight'!$C$5:$C$2000,MATCH(I440, 'Green_rooibos initial weight'!$A$5:$A$2000,0)),"")</f>
        <v>2.121</v>
      </c>
      <c r="L440" s="194">
        <f t="shared" si="71"/>
        <v>1.8391999999999999</v>
      </c>
      <c r="M440" s="194">
        <f>AVERAGE(Ashed_controlls!$K$2:$K$11)</f>
        <v>5.5147656768714146</v>
      </c>
      <c r="N440" s="194">
        <f t="shared" si="68"/>
        <v>1.7377724296709809</v>
      </c>
      <c r="O440" s="194">
        <f t="shared" si="72"/>
        <v>1.8712</v>
      </c>
      <c r="P440" s="194">
        <f>AVERAGE(Ashed_controlls!$K$12:$K$14)</f>
        <v>2.2816647271287041</v>
      </c>
      <c r="Q440" s="194">
        <f t="shared" si="73"/>
        <v>1.8285054896259676</v>
      </c>
      <c r="R440" s="16">
        <f>IF('WetLitterbags placem_collection'!G147="","",'WetLitterbags placem_collection'!G147)</f>
        <v>42815</v>
      </c>
      <c r="S440" s="194">
        <f>IFERROR(INDEX('Both teabags AfterWet'!$C$3:$C$2000,MATCH(H440,'Both teabags AfterWet'!$A$3:$A$2000,0)),"")</f>
        <v>0.69799999999999995</v>
      </c>
      <c r="T440" s="194">
        <f>IFERROR(INDEX('Both teabags AfterWet'!$C$3:$C$2000,MATCH(I440,'Both teabags AfterWet'!$A$3:$A$2000,0)),"")</f>
        <v>1.589</v>
      </c>
      <c r="U440" s="194">
        <f t="shared" si="74"/>
        <v>0.54739999999999989</v>
      </c>
      <c r="V440" s="194">
        <f t="shared" si="75"/>
        <v>1.4383999999999999</v>
      </c>
      <c r="W440" s="194">
        <f>IFERROR(INDEX('Ashed teabags wet'!$K$2:$K$2000,MATCH(H440,'Ashed teabags wet'!$A$2:$A$2000,0)),"")</f>
        <v>19.630709426627803</v>
      </c>
      <c r="X440" s="237">
        <f>IFERROR(INDEX('Ashed teabags wet'!$K$2:$K$2000,MATCH(I440,'Ashed teabags wet'!$A$2:$A$2000,0)),"")</f>
        <v>8.3980582524276741</v>
      </c>
      <c r="Y440" s="194">
        <f t="shared" si="80"/>
        <v>0.43994149659863935</v>
      </c>
      <c r="Z440" s="194">
        <f t="shared" si="80"/>
        <v>1.3176023300970803</v>
      </c>
      <c r="AA440" s="194">
        <f t="shared" si="76"/>
        <v>0.74683595556759119</v>
      </c>
      <c r="AB440" s="194">
        <f t="shared" si="77"/>
        <v>0.48961217039585553</v>
      </c>
      <c r="AC440" s="194">
        <f t="shared" si="69"/>
        <v>0.72058975899853828</v>
      </c>
      <c r="AD440">
        <f t="shared" si="70"/>
        <v>53</v>
      </c>
      <c r="AE440" s="194">
        <f t="shared" si="78"/>
        <v>0.11302143044229074</v>
      </c>
      <c r="AF440" s="194">
        <f t="shared" si="79"/>
        <v>1.5953678329670248E-2</v>
      </c>
      <c r="AG440" s="252" t="str">
        <f>IF(ISNUMBER(SEARCH("C",'WetLitterbags placem_collection'!$Y147)),"YES","NO")</f>
        <v>NO</v>
      </c>
      <c r="AH440" s="252" t="str">
        <f>IF(ISNUMBER(SEARCH("H", 'WetLitterbags placem_collection'!$Y147)),"YES","NO")</f>
        <v>NO</v>
      </c>
      <c r="AI440" s="252" t="str">
        <f>IF(ISNUMBER(SEARCH("R", 'WetLitterbags placem_collection'!$Y147)),"YES","NO")</f>
        <v>NO</v>
      </c>
      <c r="AJ440" s="252" t="str">
        <f>IF(ISNUMBER(SEARCH("C", 'WetLitterbags placem_collection'!$W147)),"YES","NO")</f>
        <v>NO</v>
      </c>
      <c r="AK440" s="252" t="str">
        <f>IF(ISNUMBER(SEARCH("H", 'WetLitterbags placem_collection'!$W147)),"YES","NO")</f>
        <v>NO</v>
      </c>
      <c r="AL440" s="252" t="str">
        <f>IF(ISNUMBER(SEARCH("R", 'WetLitterbags placem_collection'!$W147)),"YES","NO")</f>
        <v>NO</v>
      </c>
    </row>
    <row r="441" spans="2:38">
      <c r="B441" t="str">
        <f>'Final data_for_R_analysis_Wetse'!A587</f>
        <v>Wet</v>
      </c>
      <c r="C441" s="260">
        <f>'Final data_for_R_analysis_Wetse'!B587</f>
        <v>146</v>
      </c>
      <c r="D441" t="s">
        <v>3823</v>
      </c>
      <c r="E441" t="s">
        <v>25</v>
      </c>
      <c r="F441" s="381">
        <v>2</v>
      </c>
      <c r="G441" s="16">
        <f>'WetLitterbags placem_collection'!E148</f>
        <v>42762</v>
      </c>
      <c r="H441" s="92" t="str">
        <f>'Final data_for_R_analysis_Wetse'!K587</f>
        <v>G762</v>
      </c>
      <c r="I441" t="str">
        <f>'Final data_for_R_analysis_Wetse'!K807</f>
        <v>R468</v>
      </c>
      <c r="J441">
        <f>IFERROR(INDEX('Green_rooibos initial weight'!$C$5:$C$2000,MATCH(H441, 'Green_rooibos initial weight'!$A$5:$A$2000,0)),"")</f>
        <v>2.016</v>
      </c>
      <c r="K441">
        <f>IFERROR(INDEX('Green_rooibos initial weight'!$C$5:$C$2000,MATCH(I441, 'Green_rooibos initial weight'!$A$5:$A$2000,0)),"")</f>
        <v>2.2869999999999999</v>
      </c>
      <c r="L441" s="194">
        <f t="shared" si="71"/>
        <v>1.7662</v>
      </c>
      <c r="M441" s="194">
        <f>AVERAGE(Ashed_controlls!$K$2:$K$11)</f>
        <v>5.5147656768714146</v>
      </c>
      <c r="N441" s="194">
        <f t="shared" si="68"/>
        <v>1.668798208615097</v>
      </c>
      <c r="O441" s="194">
        <f t="shared" si="72"/>
        <v>2.0371999999999999</v>
      </c>
      <c r="P441" s="194">
        <f>AVERAGE(Ashed_controlls!$K$12:$K$14)</f>
        <v>2.2816647271287041</v>
      </c>
      <c r="Q441" s="194">
        <f t="shared" si="73"/>
        <v>1.9907179261789338</v>
      </c>
      <c r="R441" s="16">
        <f>IF('WetLitterbags placem_collection'!G148="","",'WetLitterbags placem_collection'!G148)</f>
        <v>42815</v>
      </c>
      <c r="S441" s="194">
        <f>IFERROR(INDEX('Both teabags AfterWet'!$C$3:$C$2000,MATCH(H441,'Both teabags AfterWet'!$A$3:$A$2000,0)),"")</f>
        <v>0.59199999999999997</v>
      </c>
      <c r="T441" s="194">
        <f>IFERROR(INDEX('Both teabags AfterWet'!$C$3:$C$2000,MATCH(I441,'Both teabags AfterWet'!$A$3:$A$2000,0)),"")</f>
        <v>1.657</v>
      </c>
      <c r="U441" s="194">
        <f t="shared" si="74"/>
        <v>0.44139999999999996</v>
      </c>
      <c r="V441" s="194">
        <f t="shared" si="75"/>
        <v>1.5064</v>
      </c>
      <c r="W441" s="194">
        <f>IFERROR(INDEX('Ashed teabags wet'!$K$2:$K$2000,MATCH(H441,'Ashed teabags wet'!$A$2:$A$2000,0)),"")</f>
        <v>17.030567685589826</v>
      </c>
      <c r="X441" s="237">
        <f>IFERROR(INDEX('Ashed teabags wet'!$K$2:$K$2000,MATCH(I441,'Ashed teabags wet'!$A$2:$A$2000,0)),"")</f>
        <v>5.4683544303797067</v>
      </c>
      <c r="Y441" s="194">
        <f t="shared" si="80"/>
        <v>0.36622707423580647</v>
      </c>
      <c r="Z441" s="194">
        <f t="shared" si="80"/>
        <v>1.42402470886076</v>
      </c>
      <c r="AA441" s="194">
        <f t="shared" si="76"/>
        <v>0.78054442271978997</v>
      </c>
      <c r="AB441" s="194">
        <f t="shared" si="77"/>
        <v>0.51171083294694075</v>
      </c>
      <c r="AC441" s="194">
        <f t="shared" si="69"/>
        <v>0.71533223774906762</v>
      </c>
      <c r="AD441">
        <f t="shared" si="70"/>
        <v>53</v>
      </c>
      <c r="AE441" s="194">
        <f t="shared" si="78"/>
        <v>7.2987621472933473E-2</v>
      </c>
      <c r="AF441" s="194">
        <f t="shared" si="79"/>
        <v>1.5332451846392862E-2</v>
      </c>
      <c r="AG441" s="252" t="str">
        <f>IF(ISNUMBER(SEARCH("C",'WetLitterbags placem_collection'!$Y148)),"YES","NO")</f>
        <v>NO</v>
      </c>
      <c r="AH441" s="252" t="str">
        <f>IF(ISNUMBER(SEARCH("H", 'WetLitterbags placem_collection'!$Y148)),"YES","NO")</f>
        <v>NO</v>
      </c>
      <c r="AI441" s="252" t="str">
        <f>IF(ISNUMBER(SEARCH("R", 'WetLitterbags placem_collection'!$Y148)),"YES","NO")</f>
        <v>NO</v>
      </c>
      <c r="AJ441" s="252" t="str">
        <f>IF(ISNUMBER(SEARCH("C", 'WetLitterbags placem_collection'!$W148)),"YES","NO")</f>
        <v>NO</v>
      </c>
      <c r="AK441" s="252" t="str">
        <f>IF(ISNUMBER(SEARCH("H", 'WetLitterbags placem_collection'!$W148)),"YES","NO")</f>
        <v>NO</v>
      </c>
      <c r="AL441" s="252" t="str">
        <f>IF(ISNUMBER(SEARCH("R", 'WetLitterbags placem_collection'!$W148)),"YES","NO")</f>
        <v>NO</v>
      </c>
    </row>
    <row r="442" spans="2:38">
      <c r="B442" t="str">
        <f>'Final data_for_R_analysis_Wetse'!A588</f>
        <v>Wet</v>
      </c>
      <c r="C442" s="260">
        <f>'Final data_for_R_analysis_Wetse'!B588</f>
        <v>147</v>
      </c>
      <c r="D442" t="s">
        <v>3823</v>
      </c>
      <c r="E442" t="s">
        <v>25</v>
      </c>
      <c r="F442" s="381">
        <v>3</v>
      </c>
      <c r="G442" s="16">
        <f>'WetLitterbags placem_collection'!E149</f>
        <v>42762</v>
      </c>
      <c r="H442" s="92" t="str">
        <f>'Final data_for_R_analysis_Wetse'!K588</f>
        <v>G878</v>
      </c>
      <c r="I442" t="str">
        <f>'Final data_for_R_analysis_Wetse'!K808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71"/>
        <v>1.8441999999999998</v>
      </c>
      <c r="M442" s="194">
        <f>AVERAGE(Ashed_controlls!$K$2:$K$11)</f>
        <v>5.5147656768714146</v>
      </c>
      <c r="N442" s="194">
        <f t="shared" si="68"/>
        <v>1.7424966913871371</v>
      </c>
      <c r="O442" s="194">
        <f t="shared" si="72"/>
        <v>1.9862000000000002</v>
      </c>
      <c r="P442" s="194">
        <f>AVERAGE(Ashed_controlls!$K$12:$K$14)</f>
        <v>2.2816647271287041</v>
      </c>
      <c r="Q442" s="194">
        <f t="shared" si="73"/>
        <v>1.9408815751897699</v>
      </c>
      <c r="R442" s="16">
        <f>IF('WetLitterbags placem_collection'!G149="","",'WetLitterbags placem_collection'!G149)</f>
        <v>42816</v>
      </c>
      <c r="S442" s="194">
        <f>IFERROR(INDEX('Both teabags AfterWet'!$C$3:$C$2000,MATCH(H442,'Both teabags AfterWet'!$A$3:$A$2000,0)),"")</f>
        <v>0.628</v>
      </c>
      <c r="T442" s="194">
        <f>IFERROR(INDEX('Both teabags AfterWet'!$C$3:$C$2000,MATCH(I442,'Both teabags AfterWet'!$A$3:$A$2000,0)),"")</f>
        <v>1.742</v>
      </c>
      <c r="U442" s="194">
        <f t="shared" si="74"/>
        <v>0.47739999999999999</v>
      </c>
      <c r="V442" s="194">
        <f t="shared" si="75"/>
        <v>1.5913999999999999</v>
      </c>
      <c r="W442" s="194">
        <f>IFERROR(INDEX('Ashed teabags wet'!$K$2:$K$2000,MATCH(H442,'Ashed teabags wet'!$A$2:$A$2000,0)),"")</f>
        <v>18.664047151277249</v>
      </c>
      <c r="X442" s="237">
        <f>IFERROR(INDEX('Ashed teabags wet'!$K$2:$K$2000,MATCH(I442,'Ashed teabags wet'!$A$2:$A$2000,0)),"")</f>
        <v>1.3068731848979416</v>
      </c>
      <c r="Y442" s="194">
        <f t="shared" si="80"/>
        <v>0.38829783889980241</v>
      </c>
      <c r="Z442" s="194">
        <f t="shared" si="80"/>
        <v>1.570602420135534</v>
      </c>
      <c r="AA442" s="194">
        <f t="shared" si="76"/>
        <v>0.77716007105259244</v>
      </c>
      <c r="AB442" s="194">
        <f t="shared" si="77"/>
        <v>0.50949211308911058</v>
      </c>
      <c r="AC442" s="194">
        <f t="shared" si="69"/>
        <v>0.80922114992099303</v>
      </c>
      <c r="AD442">
        <f t="shared" si="70"/>
        <v>54</v>
      </c>
      <c r="AE442" s="194">
        <f t="shared" si="78"/>
        <v>7.700704150523463E-2</v>
      </c>
      <c r="AF442" s="194">
        <f t="shared" si="79"/>
        <v>8.6874543760518553E-3</v>
      </c>
      <c r="AG442" s="252" t="str">
        <f>IF(ISNUMBER(SEARCH("C",'WetLitterbags placem_collection'!$Y149)),"YES","NO")</f>
        <v>NO</v>
      </c>
      <c r="AH442" s="252" t="str">
        <f>IF(ISNUMBER(SEARCH("H", 'WetLitterbags placem_collection'!$Y149)),"YES","NO")</f>
        <v>NO</v>
      </c>
      <c r="AI442" s="252" t="str">
        <f>IF(ISNUMBER(SEARCH("R", 'WetLitterbags placem_collection'!$Y149)),"YES","NO")</f>
        <v>NO</v>
      </c>
      <c r="AJ442" s="252" t="str">
        <f>IF(ISNUMBER(SEARCH("C", 'WetLitterbags placem_collection'!$W149)),"YES","NO")</f>
        <v>NO</v>
      </c>
      <c r="AK442" s="252" t="str">
        <f>IF(ISNUMBER(SEARCH("H", 'WetLitterbags placem_collection'!$W149)),"YES","NO")</f>
        <v>NO</v>
      </c>
      <c r="AL442" s="252" t="str">
        <f>IF(ISNUMBER(SEARCH("R", 'WetLitterbags placem_collection'!$W149)),"YES","NO")</f>
        <v>NO</v>
      </c>
    </row>
    <row r="443" spans="2:38">
      <c r="B443" t="str">
        <f>'Final data_for_R_analysis_Wetse'!A589</f>
        <v>Wet</v>
      </c>
      <c r="C443" s="260">
        <f>'Final data_for_R_analysis_Wetse'!B589</f>
        <v>148</v>
      </c>
      <c r="D443" t="s">
        <v>3823</v>
      </c>
      <c r="E443" t="s">
        <v>25</v>
      </c>
      <c r="F443" s="382">
        <v>4</v>
      </c>
      <c r="G443" s="16">
        <f>'WetLitterbags placem_collection'!E150</f>
        <v>42762</v>
      </c>
      <c r="H443" s="92" t="str">
        <f>'Final data_for_R_analysis_Wetse'!K589</f>
        <v>G807</v>
      </c>
      <c r="I443" t="str">
        <f>'Final data_for_R_analysis_Wetse'!K809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71"/>
        <v>1.7812000000000001</v>
      </c>
      <c r="M443" s="194">
        <f>AVERAGE(Ashed_controlls!$K$2:$K$11)</f>
        <v>5.5147656768714146</v>
      </c>
      <c r="N443" s="194">
        <f t="shared" si="68"/>
        <v>1.6829709937635664</v>
      </c>
      <c r="O443" s="194">
        <f t="shared" si="72"/>
        <v>1.9902000000000002</v>
      </c>
      <c r="P443" s="194">
        <f>AVERAGE(Ashed_controlls!$K$12:$K$14)</f>
        <v>2.2816647271287041</v>
      </c>
      <c r="Q443" s="194">
        <f t="shared" si="73"/>
        <v>1.9447903086006848</v>
      </c>
      <c r="R443" s="16">
        <f>IF('WetLitterbags placem_collection'!G150="","",'WetLitterbags placem_collection'!G150)</f>
        <v>42816</v>
      </c>
      <c r="S443" s="194">
        <f>IFERROR(INDEX('Both teabags AfterWet'!$C$3:$C$2000,MATCH(H443,'Both teabags AfterWet'!$A$3:$A$2000,0)),"")</f>
        <v>0.74309999999999998</v>
      </c>
      <c r="T443" s="194">
        <f>IFERROR(INDEX('Both teabags AfterWet'!$C$3:$C$2000,MATCH(I443,'Both teabags AfterWet'!$A$3:$A$2000,0)),"")</f>
        <v>1.6375999999999999</v>
      </c>
      <c r="U443" s="194">
        <f t="shared" si="74"/>
        <v>0.59250000000000003</v>
      </c>
      <c r="V443" s="194">
        <f t="shared" si="75"/>
        <v>1.4869999999999999</v>
      </c>
      <c r="W443" s="194">
        <f>IFERROR(INDEX('Ashed teabags wet'!$K$2:$K$2000,MATCH(H443,'Ashed teabags wet'!$A$2:$A$2000,0)),"")</f>
        <v>19.203072491598501</v>
      </c>
      <c r="X443" s="237">
        <f>IFERROR(INDEX('Ashed teabags wet'!$K$2:$K$2000,MATCH(I443,'Ashed teabags wet'!$A$2:$A$2000,0)),"")</f>
        <v>56.818181818177493</v>
      </c>
      <c r="Y443" s="194">
        <f t="shared" si="80"/>
        <v>0.47872179548727889</v>
      </c>
      <c r="Z443" s="194">
        <f t="shared" si="80"/>
        <v>0.64211363636370067</v>
      </c>
      <c r="AA443" s="194">
        <f t="shared" si="76"/>
        <v>0.71554958626070508</v>
      </c>
      <c r="AB443" s="194">
        <f t="shared" si="77"/>
        <v>0.4691013914678257</v>
      </c>
      <c r="AC443" s="194">
        <f t="shared" si="69"/>
        <v>0.33017114160020378</v>
      </c>
      <c r="AD443">
        <f t="shared" si="70"/>
        <v>54</v>
      </c>
      <c r="AE443" s="194">
        <f t="shared" si="78"/>
        <v>0.15017863864524339</v>
      </c>
      <c r="AF443" s="194" t="str">
        <f t="shared" si="79"/>
        <v/>
      </c>
      <c r="AG443" s="252" t="str">
        <f>IF(ISNUMBER(SEARCH("C",'WetLitterbags placem_collection'!$Y150)),"YES","NO")</f>
        <v>NO</v>
      </c>
      <c r="AH443" s="252" t="str">
        <f>IF(ISNUMBER(SEARCH("H", 'WetLitterbags placem_collection'!$Y150)),"YES","NO")</f>
        <v>NO</v>
      </c>
      <c r="AI443" s="252" t="str">
        <f>IF(ISNUMBER(SEARCH("R", 'WetLitterbags placem_collection'!$Y150)),"YES","NO")</f>
        <v>NO</v>
      </c>
      <c r="AJ443" s="252" t="str">
        <f>IF(ISNUMBER(SEARCH("C", 'WetLitterbags placem_collection'!$W150)),"YES","NO")</f>
        <v>NO</v>
      </c>
      <c r="AK443" s="252" t="str">
        <f>IF(ISNUMBER(SEARCH("H", 'WetLitterbags placem_collection'!$W150)),"YES","NO")</f>
        <v>YES</v>
      </c>
      <c r="AL443" s="252" t="str">
        <f>IF(ISNUMBER(SEARCH("R", 'WetLitterbags placem_collection'!$W150)),"YES","NO")</f>
        <v>NO</v>
      </c>
    </row>
    <row r="444" spans="2:38">
      <c r="B444" t="str">
        <f>'Final data_for_R_analysis_Wetse'!A590</f>
        <v>Wet</v>
      </c>
      <c r="C444" s="260">
        <f>'Final data_for_R_analysis_Wetse'!B590</f>
        <v>149</v>
      </c>
      <c r="D444" t="s">
        <v>3823</v>
      </c>
      <c r="E444" t="s">
        <v>25</v>
      </c>
      <c r="F444" s="382">
        <v>5</v>
      </c>
      <c r="G444" s="16">
        <f>'WetLitterbags placem_collection'!E151</f>
        <v>42762</v>
      </c>
      <c r="H444" s="92" t="str">
        <f>'Final data_for_R_analysis_Wetse'!K590</f>
        <v>G696</v>
      </c>
      <c r="I444" t="str">
        <f>'Final data_for_R_analysis_Wetse'!K810</f>
        <v>R533</v>
      </c>
      <c r="J444">
        <f>IFERROR(INDEX('Green_rooibos initial weight'!$C$5:$C$2000,MATCH(H444, 'Green_rooibos initial weight'!$A$5:$A$2000,0)),"")</f>
        <v>2.036</v>
      </c>
      <c r="K444">
        <f>IFERROR(INDEX('Green_rooibos initial weight'!$C$5:$C$2000,MATCH(I444, 'Green_rooibos initial weight'!$A$5:$A$2000,0)),"")</f>
        <v>2.1970000000000001</v>
      </c>
      <c r="L444" s="194">
        <f t="shared" si="71"/>
        <v>1.7862</v>
      </c>
      <c r="M444" s="194">
        <f>AVERAGE(Ashed_controlls!$K$2:$K$11)</f>
        <v>5.5147656768714146</v>
      </c>
      <c r="N444" s="194">
        <f t="shared" si="68"/>
        <v>1.6876952554797229</v>
      </c>
      <c r="O444" s="194">
        <f t="shared" si="72"/>
        <v>1.9472</v>
      </c>
      <c r="P444" s="194">
        <f>AVERAGE(Ashed_controlls!$K$12:$K$14)</f>
        <v>2.2816647271287041</v>
      </c>
      <c r="Q444" s="194">
        <f t="shared" si="73"/>
        <v>1.90277142443335</v>
      </c>
      <c r="R444" s="16">
        <f>IF('WetLitterbags placem_collection'!G151="","",'WetLitterbags placem_collection'!G151)</f>
        <v>42816</v>
      </c>
      <c r="S444" s="194">
        <f>IFERROR(INDEX('Both teabags AfterWet'!$C$3:$C$2000,MATCH(H444,'Both teabags AfterWet'!$A$3:$A$2000,0)),"")</f>
        <v>0.82469999999999999</v>
      </c>
      <c r="T444" s="194">
        <f>IFERROR(INDEX('Both teabags AfterWet'!$C$3:$C$2000,MATCH(I444,'Both teabags AfterWet'!$A$3:$A$2000,0)),"")</f>
        <v>1.7899</v>
      </c>
      <c r="U444" s="194">
        <f t="shared" si="74"/>
        <v>0.67409999999999992</v>
      </c>
      <c r="V444" s="194">
        <f t="shared" si="75"/>
        <v>1.6393</v>
      </c>
      <c r="W444" s="194">
        <f>IFERROR(INDEX('Ashed teabags wet'!$K$2:$K$2000,MATCH(H444,'Ashed teabags wet'!$A$2:$A$2000,0)),"")</f>
        <v>31.23781676413266</v>
      </c>
      <c r="X444" s="237">
        <f>IFERROR(INDEX('Ashed teabags wet'!$K$2:$K$2000,MATCH(I444,'Ashed teabags wet'!$A$2:$A$2000,0)),"")</f>
        <v>11.542288557213293</v>
      </c>
      <c r="Y444" s="194">
        <f t="shared" si="80"/>
        <v>0.46352587719298166</v>
      </c>
      <c r="Z444" s="194">
        <f t="shared" si="80"/>
        <v>1.4500872636816025</v>
      </c>
      <c r="AA444" s="194">
        <f t="shared" si="76"/>
        <v>0.72534977764026143</v>
      </c>
      <c r="AB444" s="194">
        <f t="shared" si="77"/>
        <v>0.475526220020694</v>
      </c>
      <c r="AC444" s="194">
        <f t="shared" si="69"/>
        <v>0.76209220143898371</v>
      </c>
      <c r="AD444">
        <f t="shared" si="70"/>
        <v>54</v>
      </c>
      <c r="AE444" s="194">
        <f t="shared" si="78"/>
        <v>0.13853945648425003</v>
      </c>
      <c r="AF444" s="194">
        <f t="shared" si="79"/>
        <v>1.2847331603435199E-2</v>
      </c>
      <c r="AG444" s="252" t="str">
        <f>IF(ISNUMBER(SEARCH("C",'WetLitterbags placem_collection'!$Y151)),"YES","NO")</f>
        <v>NO</v>
      </c>
      <c r="AH444" s="252" t="str">
        <f>IF(ISNUMBER(SEARCH("H", 'WetLitterbags placem_collection'!$Y151)),"YES","NO")</f>
        <v>NO</v>
      </c>
      <c r="AI444" s="252" t="str">
        <f>IF(ISNUMBER(SEARCH("R", 'WetLitterbags placem_collection'!$Y151)),"YES","NO")</f>
        <v>NO</v>
      </c>
      <c r="AJ444" s="252" t="str">
        <f>IF(ISNUMBER(SEARCH("C", 'WetLitterbags placem_collection'!$W151)),"YES","NO")</f>
        <v>NO</v>
      </c>
      <c r="AK444" s="252" t="str">
        <f>IF(ISNUMBER(SEARCH("H", 'WetLitterbags placem_collection'!$W151)),"YES","NO")</f>
        <v>NO</v>
      </c>
      <c r="AL444" s="252" t="str">
        <f>IF(ISNUMBER(SEARCH("R", 'WetLitterbags placem_collection'!$W151)),"YES","NO")</f>
        <v>NO</v>
      </c>
    </row>
    <row r="445" spans="2:38">
      <c r="B445" t="str">
        <f>'Final data_for_R_analysis_Wetse'!A591</f>
        <v>Wet</v>
      </c>
      <c r="C445" s="260">
        <f>'Final data_for_R_analysis_Wetse'!B591</f>
        <v>150</v>
      </c>
      <c r="D445" t="s">
        <v>3823</v>
      </c>
      <c r="E445" t="s">
        <v>25</v>
      </c>
      <c r="F445" s="382">
        <v>6</v>
      </c>
      <c r="G445" s="16">
        <f>'WetLitterbags placem_collection'!E152</f>
        <v>42762</v>
      </c>
      <c r="H445" s="92" t="str">
        <f>'Final data_for_R_analysis_Wetse'!K591</f>
        <v>G801</v>
      </c>
      <c r="I445" t="str">
        <f>'Final data_for_R_analysis_Wetse'!K811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71"/>
        <v>1.8222</v>
      </c>
      <c r="M445" s="194">
        <f>AVERAGE(Ashed_controlls!$K$2:$K$11)</f>
        <v>5.5147656768714146</v>
      </c>
      <c r="N445" s="194">
        <f t="shared" si="68"/>
        <v>1.7217099398360491</v>
      </c>
      <c r="O445" s="194">
        <f t="shared" si="72"/>
        <v>1.8321999999999998</v>
      </c>
      <c r="P445" s="194">
        <f>AVERAGE(Ashed_controlls!$K$12:$K$14)</f>
        <v>2.2816647271287041</v>
      </c>
      <c r="Q445" s="194">
        <f t="shared" si="73"/>
        <v>1.7903953388695477</v>
      </c>
      <c r="R445" s="16">
        <f>IF('WetLitterbags placem_collection'!G152="","",'WetLitterbags placem_collection'!G152)</f>
        <v>42816</v>
      </c>
      <c r="S445" s="194">
        <f>IFERROR(INDEX('Both teabags AfterWet'!$C$3:$C$2000,MATCH(H445,'Both teabags AfterWet'!$A$3:$A$2000,0)),"")</f>
        <v>0.60099999999999998</v>
      </c>
      <c r="T445" s="194">
        <f>IFERROR(INDEX('Both teabags AfterWet'!$C$3:$C$2000,MATCH(I445,'Both teabags AfterWet'!$A$3:$A$2000,0)),"")</f>
        <v>1.5680000000000001</v>
      </c>
      <c r="U445" s="194">
        <f t="shared" si="74"/>
        <v>0.45039999999999997</v>
      </c>
      <c r="V445" s="194">
        <f t="shared" si="75"/>
        <v>1.4174</v>
      </c>
      <c r="W445" s="194">
        <f>IFERROR(INDEX('Ashed teabags wet'!$K$2:$K$2000,MATCH(H445,'Ashed teabags wet'!$A$2:$A$2000,0)),"")</f>
        <v>20.08862629246671</v>
      </c>
      <c r="X445" s="237">
        <f>IFERROR(INDEX('Ashed teabags wet'!$K$2:$K$2000,MATCH(I445,'Ashed teabags wet'!$A$2:$A$2000,0)),"")</f>
        <v>7.1853320118927355</v>
      </c>
      <c r="Y445" s="194">
        <f t="shared" si="80"/>
        <v>0.35992082717872992</v>
      </c>
      <c r="Z445" s="194">
        <f t="shared" si="80"/>
        <v>1.3155551040634323</v>
      </c>
      <c r="AA445" s="194">
        <f t="shared" si="76"/>
        <v>0.7909515308873668</v>
      </c>
      <c r="AB445" s="194">
        <f t="shared" si="77"/>
        <v>0.51853354518981776</v>
      </c>
      <c r="AC445" s="194">
        <f t="shared" si="69"/>
        <v>0.73478470117894268</v>
      </c>
      <c r="AD445">
        <f t="shared" si="70"/>
        <v>54</v>
      </c>
      <c r="AE445" s="194">
        <f t="shared" si="78"/>
        <v>6.0627635525692614E-2</v>
      </c>
      <c r="AF445" s="194">
        <f t="shared" si="79"/>
        <v>1.3265891354643415E-2</v>
      </c>
      <c r="AG445" s="252" t="str">
        <f>IF(ISNUMBER(SEARCH("C",'WetLitterbags placem_collection'!$Y152)),"YES","NO")</f>
        <v>NO</v>
      </c>
      <c r="AH445" s="252" t="str">
        <f>IF(ISNUMBER(SEARCH("H", 'WetLitterbags placem_collection'!$Y152)),"YES","NO")</f>
        <v>NO</v>
      </c>
      <c r="AI445" s="252" t="str">
        <f>IF(ISNUMBER(SEARCH("R", 'WetLitterbags placem_collection'!$Y152)),"YES","NO")</f>
        <v>NO</v>
      </c>
      <c r="AJ445" s="252" t="str">
        <f>IF(ISNUMBER(SEARCH("C", 'WetLitterbags placem_collection'!$W152)),"YES","NO")</f>
        <v>NO</v>
      </c>
      <c r="AK445" s="252" t="str">
        <f>IF(ISNUMBER(SEARCH("H", 'WetLitterbags placem_collection'!$W152)),"YES","NO")</f>
        <v>NO</v>
      </c>
      <c r="AL445" s="252" t="str">
        <f>IF(ISNUMBER(SEARCH("R", 'WetLitterbags placem_collection'!$W152)),"YES","NO")</f>
        <v>NO</v>
      </c>
    </row>
    <row r="446" spans="2:38">
      <c r="B446" t="str">
        <f>'Final data_for_R_analysis_Wetse'!A592</f>
        <v>Wet</v>
      </c>
      <c r="C446" s="260">
        <f>'Final data_for_R_analysis_Wetse'!B592</f>
        <v>151</v>
      </c>
      <c r="D446" t="s">
        <v>3823</v>
      </c>
      <c r="E446" t="s">
        <v>25</v>
      </c>
      <c r="F446" s="382">
        <v>7</v>
      </c>
      <c r="G446" s="16">
        <f>'WetLitterbags placem_collection'!E153</f>
        <v>42762</v>
      </c>
      <c r="H446" s="92" t="str">
        <f>'Final data_for_R_analysis_Wetse'!K592</f>
        <v>G647</v>
      </c>
      <c r="I446" t="str">
        <f>'Final data_for_R_analysis_Wetse'!K812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71"/>
        <v>1.8742000000000001</v>
      </c>
      <c r="M446" s="194">
        <f>AVERAGE(Ashed_controlls!$K$2:$K$11)</f>
        <v>5.5147656768714146</v>
      </c>
      <c r="N446" s="194">
        <f t="shared" si="68"/>
        <v>1.770842261684076</v>
      </c>
      <c r="O446" s="194">
        <f t="shared" si="72"/>
        <v>1.9131999999999998</v>
      </c>
      <c r="P446" s="194">
        <f>AVERAGE(Ashed_controlls!$K$12:$K$14)</f>
        <v>2.2816647271287041</v>
      </c>
      <c r="Q446" s="194">
        <f t="shared" si="73"/>
        <v>1.8695471904405734</v>
      </c>
      <c r="R446" s="16">
        <f>IF('WetLitterbags placem_collection'!G153="","",'WetLitterbags placem_collection'!G153)</f>
        <v>42816</v>
      </c>
      <c r="S446" s="194">
        <f>IFERROR(INDEX('Both teabags AfterWet'!$C$3:$C$2000,MATCH(H446,'Both teabags AfterWet'!$A$3:$A$2000,0)),"")</f>
        <v>0.78700000000000003</v>
      </c>
      <c r="T446" s="194">
        <f>IFERROR(INDEX('Both teabags AfterWet'!$C$3:$C$2000,MATCH(I446,'Both teabags AfterWet'!$A$3:$A$2000,0)),"")</f>
        <v>1.798</v>
      </c>
      <c r="U446" s="194">
        <f t="shared" si="74"/>
        <v>0.63640000000000008</v>
      </c>
      <c r="V446" s="194">
        <f t="shared" si="75"/>
        <v>1.6474</v>
      </c>
      <c r="W446" s="194">
        <f>IFERROR(INDEX('Ashed teabags wet'!$K$2:$K$2000,MATCH(H446,'Ashed teabags wet'!$A$2:$A$2000,0)),"")</f>
        <v>20.305781175346262</v>
      </c>
      <c r="X446" s="237">
        <f>IFERROR(INDEX('Ashed teabags wet'!$K$2:$K$2000,MATCH(I446,'Ashed teabags wet'!$A$2:$A$2000,0)),"")</f>
        <v>6.3484251968501049</v>
      </c>
      <c r="Y446" s="194">
        <f t="shared" si="80"/>
        <v>0.50717400860009643</v>
      </c>
      <c r="Z446" s="194">
        <f t="shared" si="80"/>
        <v>1.5428160433070914</v>
      </c>
      <c r="AA446" s="194">
        <f t="shared" si="76"/>
        <v>0.71359729797854921</v>
      </c>
      <c r="AB446" s="194">
        <f t="shared" si="77"/>
        <v>0.46782150651325322</v>
      </c>
      <c r="AC446" s="194">
        <f t="shared" si="69"/>
        <v>0.82523514313833113</v>
      </c>
      <c r="AD446">
        <f t="shared" si="70"/>
        <v>54</v>
      </c>
      <c r="AE446" s="194">
        <f t="shared" si="78"/>
        <v>0.15249727080932396</v>
      </c>
      <c r="AF446" s="194">
        <f t="shared" si="79"/>
        <v>8.6614980181292395E-3</v>
      </c>
      <c r="AG446" s="252" t="str">
        <f>IF(ISNUMBER(SEARCH("C",'WetLitterbags placem_collection'!$Y153)),"YES","NO")</f>
        <v>NO</v>
      </c>
      <c r="AH446" s="252" t="str">
        <f>IF(ISNUMBER(SEARCH("H", 'WetLitterbags placem_collection'!$Y153)),"YES","NO")</f>
        <v>NO</v>
      </c>
      <c r="AI446" s="252" t="str">
        <f>IF(ISNUMBER(SEARCH("R", 'WetLitterbags placem_collection'!$Y153)),"YES","NO")</f>
        <v>NO</v>
      </c>
      <c r="AJ446" s="252" t="str">
        <f>IF(ISNUMBER(SEARCH("C", 'WetLitterbags placem_collection'!$W153)),"YES","NO")</f>
        <v>NO</v>
      </c>
      <c r="AK446" s="252" t="str">
        <f>IF(ISNUMBER(SEARCH("H", 'WetLitterbags placem_collection'!$W153)),"YES","NO")</f>
        <v>NO</v>
      </c>
      <c r="AL446" s="252" t="str">
        <f>IF(ISNUMBER(SEARCH("R", 'WetLitterbags placem_collection'!$W153)),"YES","NO")</f>
        <v>NO</v>
      </c>
    </row>
    <row r="447" spans="2:38">
      <c r="B447" t="str">
        <f>'Final data_for_R_analysis_Wetse'!A593</f>
        <v>Wet</v>
      </c>
      <c r="C447" s="260">
        <f>'Final data_for_R_analysis_Wetse'!B593</f>
        <v>152</v>
      </c>
      <c r="D447" t="s">
        <v>3823</v>
      </c>
      <c r="E447" t="s">
        <v>25</v>
      </c>
      <c r="F447" s="382">
        <v>8</v>
      </c>
      <c r="G447" s="16">
        <f>'WetLitterbags placem_collection'!E154</f>
        <v>42762</v>
      </c>
      <c r="H447" s="92" t="str">
        <f>'Final data_for_R_analysis_Wetse'!K593</f>
        <v>G744</v>
      </c>
      <c r="I447" t="str">
        <f>'Final data_for_R_analysis_Wetse'!K813</f>
        <v>R579</v>
      </c>
      <c r="J447">
        <f>IFERROR(INDEX('Green_rooibos initial weight'!$C$5:$C$2000,MATCH(H447, 'Green_rooibos initial weight'!$A$5:$A$2000,0)),"")</f>
        <v>2.085</v>
      </c>
      <c r="K447">
        <f>IFERROR(INDEX('Green_rooibos initial weight'!$C$5:$C$2000,MATCH(I447, 'Green_rooibos initial weight'!$A$5:$A$2000,0)),"")</f>
        <v>2.1349999999999998</v>
      </c>
      <c r="L447" s="194">
        <f t="shared" si="71"/>
        <v>1.8351999999999999</v>
      </c>
      <c r="M447" s="194">
        <f>AVERAGE(Ashed_controlls!$K$2:$K$11)</f>
        <v>5.5147656768714146</v>
      </c>
      <c r="N447" s="194">
        <f t="shared" si="68"/>
        <v>1.7339930202980558</v>
      </c>
      <c r="O447" s="194">
        <f t="shared" si="72"/>
        <v>1.8851999999999998</v>
      </c>
      <c r="P447" s="194">
        <f>AVERAGE(Ashed_controlls!$K$12:$K$14)</f>
        <v>2.2816647271287041</v>
      </c>
      <c r="Q447" s="194">
        <f t="shared" si="73"/>
        <v>1.8421860565641694</v>
      </c>
      <c r="R447" s="16">
        <f>IF('WetLitterbags placem_collection'!G154="","",'WetLitterbags placem_collection'!G154)</f>
        <v>42816</v>
      </c>
      <c r="S447" s="194">
        <f>IFERROR(INDEX('Both teabags AfterWet'!$C$3:$C$2000,MATCH(H447,'Both teabags AfterWet'!$A$3:$A$2000,0)),"")</f>
        <v>0.62919999999999998</v>
      </c>
      <c r="T447" s="194">
        <f>IFERROR(INDEX('Both teabags AfterWet'!$C$3:$C$2000,MATCH(I447,'Both teabags AfterWet'!$A$3:$A$2000,0)),"")</f>
        <v>1.5234000000000001</v>
      </c>
      <c r="U447" s="194">
        <f t="shared" si="74"/>
        <v>0.47859999999999997</v>
      </c>
      <c r="V447" s="194">
        <f t="shared" si="75"/>
        <v>1.3728</v>
      </c>
      <c r="W447" s="194">
        <f>IFERROR(INDEX('Ashed teabags wet'!$K$2:$K$2000,MATCH(H447,'Ashed teabags wet'!$A$2:$A$2000,0)),"")</f>
        <v>13.529411764705387</v>
      </c>
      <c r="X447" s="237">
        <f>IFERROR(INDEX('Ashed teabags wet'!$K$2:$K$2000,MATCH(I447,'Ashed teabags wet'!$A$2:$A$2000,0)),"")</f>
        <v>5.1525762881442967</v>
      </c>
      <c r="Y447" s="194">
        <f t="shared" si="80"/>
        <v>0.41384823529411996</v>
      </c>
      <c r="Z447" s="194">
        <f t="shared" si="80"/>
        <v>1.302065432716355</v>
      </c>
      <c r="AA447" s="194">
        <f t="shared" si="76"/>
        <v>0.761332236952728</v>
      </c>
      <c r="AB447" s="194">
        <f t="shared" si="77"/>
        <v>0.49911567078136093</v>
      </c>
      <c r="AC447" s="194">
        <f t="shared" si="69"/>
        <v>0.7068045206817033</v>
      </c>
      <c r="AD447">
        <f t="shared" si="70"/>
        <v>54</v>
      </c>
      <c r="AE447" s="194">
        <f t="shared" si="78"/>
        <v>9.5804944236665079E-2</v>
      </c>
      <c r="AF447" s="194">
        <f t="shared" si="79"/>
        <v>1.639535556335369E-2</v>
      </c>
      <c r="AG447" s="252" t="str">
        <f>IF(ISNUMBER(SEARCH("C",'WetLitterbags placem_collection'!$Y154)),"YES","NO")</f>
        <v>NO</v>
      </c>
      <c r="AH447" s="252" t="str">
        <f>IF(ISNUMBER(SEARCH("H", 'WetLitterbags placem_collection'!$Y154)),"YES","NO")</f>
        <v>NO</v>
      </c>
      <c r="AI447" s="252" t="str">
        <f>IF(ISNUMBER(SEARCH("R", 'WetLitterbags placem_collection'!$Y154)),"YES","NO")</f>
        <v>NO</v>
      </c>
      <c r="AJ447" s="252" t="str">
        <f>IF(ISNUMBER(SEARCH("C", 'WetLitterbags placem_collection'!$W154)),"YES","NO")</f>
        <v>NO</v>
      </c>
      <c r="AK447" s="252" t="str">
        <f>IF(ISNUMBER(SEARCH("H", 'WetLitterbags placem_collection'!$W154)),"YES","NO")</f>
        <v>NO</v>
      </c>
      <c r="AL447" s="252" t="str">
        <f>IF(ISNUMBER(SEARCH("R", 'WetLitterbags placem_collection'!$W154)),"YES","NO")</f>
        <v>YES</v>
      </c>
    </row>
    <row r="448" spans="2:38">
      <c r="B448" t="str">
        <f>'Final data_for_R_analysis_Wetse'!A594</f>
        <v>Wet</v>
      </c>
      <c r="C448" s="260">
        <f>'Final data_for_R_analysis_Wetse'!B594</f>
        <v>153</v>
      </c>
      <c r="D448" t="s">
        <v>3824</v>
      </c>
      <c r="E448" t="s">
        <v>25</v>
      </c>
      <c r="F448" s="381">
        <v>1</v>
      </c>
      <c r="G448" s="16">
        <f>'WetLitterbags placem_collection'!E155</f>
        <v>42762</v>
      </c>
      <c r="H448" s="92" t="str">
        <f>'Final data_for_R_analysis_Wetse'!K594</f>
        <v>G885</v>
      </c>
      <c r="I448" t="str">
        <f>'Final data_for_R_analysis_Wetse'!K814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71"/>
        <v>1.6441999999999999</v>
      </c>
      <c r="M448" s="194">
        <f>AVERAGE(Ashed_controlls!$K$2:$K$11)</f>
        <v>5.5147656768714146</v>
      </c>
      <c r="N448" s="194">
        <f t="shared" si="68"/>
        <v>1.5535262227408801</v>
      </c>
      <c r="O448" s="194">
        <f t="shared" si="72"/>
        <v>1.8612000000000002</v>
      </c>
      <c r="P448" s="194">
        <f>AVERAGE(Ashed_controlls!$K$12:$K$14)</f>
        <v>2.2816647271287041</v>
      </c>
      <c r="Q448" s="194">
        <f t="shared" si="73"/>
        <v>1.8187336560986807</v>
      </c>
      <c r="R448" s="16">
        <f>IF('WetLitterbags placem_collection'!G155="","",'WetLitterbags placem_collection'!G155)</f>
        <v>42816</v>
      </c>
      <c r="S448" s="194">
        <f>IFERROR(INDEX('Both teabags AfterWet'!$C$3:$C$2000,MATCH(H448,'Both teabags AfterWet'!$A$3:$A$2000,0)),"")</f>
        <v>0.5756</v>
      </c>
      <c r="T448" s="194">
        <f>IFERROR(INDEX('Both teabags AfterWet'!$C$3:$C$2000,MATCH(I448,'Both teabags AfterWet'!$A$3:$A$2000,0)),"")</f>
        <v>1.6322000000000001</v>
      </c>
      <c r="U448" s="194">
        <f t="shared" si="74"/>
        <v>0.42499999999999999</v>
      </c>
      <c r="V448" s="194">
        <f t="shared" si="75"/>
        <v>1.4816</v>
      </c>
      <c r="W448" s="194">
        <f>IFERROR(INDEX('Ashed teabags wet'!$K$2:$K$2000,MATCH(H448,'Ashed teabags wet'!$A$2:$A$2000,0)),"")</f>
        <v>12.119700748128949</v>
      </c>
      <c r="X448" s="237">
        <f>IFERROR(INDEX('Ashed teabags wet'!$K$2:$K$2000,MATCH(I448,'Ashed teabags wet'!$A$2:$A$2000,0)),"")</f>
        <v>4.0218470705065492</v>
      </c>
      <c r="Y448" s="194">
        <f t="shared" si="80"/>
        <v>0.37349127182045194</v>
      </c>
      <c r="Z448" s="194">
        <f t="shared" si="80"/>
        <v>1.4220123138033749</v>
      </c>
      <c r="AA448" s="194">
        <f t="shared" si="76"/>
        <v>0.75958482943306693</v>
      </c>
      <c r="AB448" s="194">
        <f t="shared" si="77"/>
        <v>0.4979701019561199</v>
      </c>
      <c r="AC448" s="194">
        <f t="shared" si="69"/>
        <v>0.78186946672208035</v>
      </c>
      <c r="AD448">
        <f t="shared" si="70"/>
        <v>54</v>
      </c>
      <c r="AE448" s="194">
        <f t="shared" si="78"/>
        <v>9.788025007949297E-2</v>
      </c>
      <c r="AF448" s="194">
        <f t="shared" si="79"/>
        <v>1.0672658685858557E-2</v>
      </c>
      <c r="AG448" s="252" t="str">
        <f>IF(ISNUMBER(SEARCH("C",'WetLitterbags placem_collection'!$Y155)),"YES","NO")</f>
        <v>NO</v>
      </c>
      <c r="AH448" s="252" t="str">
        <f>IF(ISNUMBER(SEARCH("H", 'WetLitterbags placem_collection'!$Y155)),"YES","NO")</f>
        <v>NO</v>
      </c>
      <c r="AI448" s="252" t="str">
        <f>IF(ISNUMBER(SEARCH("R", 'WetLitterbags placem_collection'!$Y155)),"YES","NO")</f>
        <v>NO</v>
      </c>
      <c r="AJ448" s="252" t="str">
        <f>IF(ISNUMBER(SEARCH("C", 'WetLitterbags placem_collection'!$W155)),"YES","NO")</f>
        <v>NO</v>
      </c>
      <c r="AK448" s="252" t="str">
        <f>IF(ISNUMBER(SEARCH("H", 'WetLitterbags placem_collection'!$W155)),"YES","NO")</f>
        <v>YES</v>
      </c>
      <c r="AL448" s="252" t="str">
        <f>IF(ISNUMBER(SEARCH("R", 'WetLitterbags placem_collection'!$W155)),"YES","NO")</f>
        <v>YES</v>
      </c>
    </row>
    <row r="449" spans="2:38">
      <c r="B449" t="str">
        <f>'Final data_for_R_analysis_Wetse'!A595</f>
        <v>Wet</v>
      </c>
      <c r="C449" s="260">
        <f>'Final data_for_R_analysis_Wetse'!B595</f>
        <v>154</v>
      </c>
      <c r="D449" t="s">
        <v>3824</v>
      </c>
      <c r="E449" t="s">
        <v>25</v>
      </c>
      <c r="F449" s="381">
        <v>2</v>
      </c>
      <c r="G449" s="16">
        <f>'WetLitterbags placem_collection'!E156</f>
        <v>42762</v>
      </c>
      <c r="H449" s="92" t="str">
        <f>'Final data_for_R_analysis_Wetse'!K595</f>
        <v>G684</v>
      </c>
      <c r="I449" t="str">
        <f>'Final data_for_R_analysis_Wetse'!K815</f>
        <v>R485</v>
      </c>
      <c r="J449">
        <f>IFERROR(INDEX('Green_rooibos initial weight'!$C$5:$C$2000,MATCH(H449, 'Green_rooibos initial weight'!$A$5:$A$2000,0)),"")</f>
        <v>2.0819999999999999</v>
      </c>
      <c r="K449">
        <f>IFERROR(INDEX('Green_rooibos initial weight'!$C$5:$C$2000,MATCH(I449, 'Green_rooibos initial weight'!$A$5:$A$2000,0)),"")</f>
        <v>2.242</v>
      </c>
      <c r="L449" s="194">
        <f t="shared" si="71"/>
        <v>1.8321999999999998</v>
      </c>
      <c r="M449" s="194">
        <f>AVERAGE(Ashed_controlls!$K$2:$K$11)</f>
        <v>5.5147656768714146</v>
      </c>
      <c r="N449" s="194">
        <f t="shared" si="68"/>
        <v>1.7311584632683619</v>
      </c>
      <c r="O449" s="194">
        <f t="shared" si="72"/>
        <v>1.9922</v>
      </c>
      <c r="P449" s="194">
        <f>AVERAGE(Ashed_controlls!$K$12:$K$14)</f>
        <v>2.2816647271287041</v>
      </c>
      <c r="Q449" s="194">
        <f t="shared" si="73"/>
        <v>1.9467446753061419</v>
      </c>
      <c r="R449" s="16">
        <f>IF('WetLitterbags placem_collection'!G156="","",'WetLitterbags placem_collection'!G156)</f>
        <v>42816</v>
      </c>
      <c r="S449" s="194">
        <f>IFERROR(INDEX('Both teabags AfterWet'!$C$3:$C$2000,MATCH(H449,'Both teabags AfterWet'!$A$3:$A$2000,0)),"")</f>
        <v>0.60499999999999998</v>
      </c>
      <c r="T449" s="194">
        <f>IFERROR(INDEX('Both teabags AfterWet'!$C$3:$C$2000,MATCH(I449,'Both teabags AfterWet'!$A$3:$A$2000,0)),"")</f>
        <v>1.839</v>
      </c>
      <c r="U449" s="194">
        <f t="shared" si="74"/>
        <v>0.45439999999999997</v>
      </c>
      <c r="V449" s="194">
        <f t="shared" si="75"/>
        <v>1.6883999999999999</v>
      </c>
      <c r="W449" s="194">
        <f>IFERROR(INDEX('Ashed teabags wet'!$K$2:$K$2000,MATCH(H449,'Ashed teabags wet'!$A$2:$A$2000,0)),"")</f>
        <v>17.540322580645736</v>
      </c>
      <c r="X449" s="237">
        <f>IFERROR(INDEX('Ashed teabags wet'!$K$2:$K$2000,MATCH(I449,'Ashed teabags wet'!$A$2:$A$2000,0)),"")</f>
        <v>11.924381968008097</v>
      </c>
      <c r="Y449" s="194">
        <f t="shared" si="80"/>
        <v>0.37469677419354575</v>
      </c>
      <c r="Z449" s="194">
        <f t="shared" si="80"/>
        <v>1.4870687348521512</v>
      </c>
      <c r="AA449" s="194">
        <f t="shared" si="76"/>
        <v>0.78355720626167735</v>
      </c>
      <c r="AB449" s="194">
        <f t="shared" si="77"/>
        <v>0.51368595944946083</v>
      </c>
      <c r="AC449" s="194">
        <f t="shared" si="69"/>
        <v>0.76387456132032161</v>
      </c>
      <c r="AD449">
        <f t="shared" si="70"/>
        <v>54</v>
      </c>
      <c r="AE449" s="194">
        <f t="shared" si="78"/>
        <v>6.9409493750976936E-2</v>
      </c>
      <c r="AF449" s="194">
        <f t="shared" si="79"/>
        <v>1.1399501900538551E-2</v>
      </c>
      <c r="AG449" s="252" t="str">
        <f>IF(ISNUMBER(SEARCH("C",'WetLitterbags placem_collection'!$Y156)),"YES","NO")</f>
        <v>NO</v>
      </c>
      <c r="AH449" s="252" t="str">
        <f>IF(ISNUMBER(SEARCH("H", 'WetLitterbags placem_collection'!$Y156)),"YES","NO")</f>
        <v>NO</v>
      </c>
      <c r="AI449" s="252" t="str">
        <f>IF(ISNUMBER(SEARCH("R", 'WetLitterbags placem_collection'!$Y156)),"YES","NO")</f>
        <v>NO</v>
      </c>
      <c r="AJ449" s="252" t="str">
        <f>IF(ISNUMBER(SEARCH("C", 'WetLitterbags placem_collection'!$W156)),"YES","NO")</f>
        <v>YES</v>
      </c>
      <c r="AK449" s="252" t="str">
        <f>IF(ISNUMBER(SEARCH("H", 'WetLitterbags placem_collection'!$W156)),"YES","NO")</f>
        <v>YES</v>
      </c>
      <c r="AL449" s="252" t="str">
        <f>IF(ISNUMBER(SEARCH("R", 'WetLitterbags placem_collection'!$W156)),"YES","NO")</f>
        <v>NO</v>
      </c>
    </row>
    <row r="450" spans="2:38">
      <c r="B450" t="str">
        <f>'Final data_for_R_analysis_Wetse'!A596</f>
        <v>Wet</v>
      </c>
      <c r="C450" s="260">
        <f>'Final data_for_R_analysis_Wetse'!B596</f>
        <v>155</v>
      </c>
      <c r="D450" t="s">
        <v>3824</v>
      </c>
      <c r="E450" t="s">
        <v>25</v>
      </c>
      <c r="F450" s="381">
        <v>3</v>
      </c>
      <c r="G450" s="16">
        <f>'WetLitterbags placem_collection'!E157</f>
        <v>42762</v>
      </c>
      <c r="H450" s="92" t="str">
        <f>'Final data_for_R_analysis_Wetse'!K596</f>
        <v>G827</v>
      </c>
      <c r="I450" t="str">
        <f>'Final data_for_R_analysis_Wetse'!K816</f>
        <v>R556</v>
      </c>
      <c r="J450">
        <f>IFERROR(INDEX('Green_rooibos initial weight'!$C$5:$C$2000,MATCH(H450, 'Green_rooibos initial weight'!$A$5:$A$2000,0)),"")</f>
        <v>1.883</v>
      </c>
      <c r="K450">
        <f>IFERROR(INDEX('Green_rooibos initial weight'!$C$5:$C$2000,MATCH(I450, 'Green_rooibos initial weight'!$A$5:$A$2000,0)),"")</f>
        <v>2.0830000000000002</v>
      </c>
      <c r="L450" s="194">
        <f t="shared" si="71"/>
        <v>1.6332</v>
      </c>
      <c r="M450" s="194">
        <f>AVERAGE(Ashed_controlls!$K$2:$K$11)</f>
        <v>5.5147656768714146</v>
      </c>
      <c r="N450" s="194">
        <f t="shared" si="68"/>
        <v>1.543132846965336</v>
      </c>
      <c r="O450" s="194">
        <f t="shared" si="72"/>
        <v>1.8332000000000002</v>
      </c>
      <c r="P450" s="194">
        <f>AVERAGE(Ashed_controlls!$K$12:$K$14)</f>
        <v>2.2816647271287041</v>
      </c>
      <c r="Q450" s="194">
        <f t="shared" si="73"/>
        <v>1.7913725222222767</v>
      </c>
      <c r="R450" s="16">
        <f>IF('WetLitterbags placem_collection'!G157="","",'WetLitterbags placem_collection'!G157)</f>
        <v>42816</v>
      </c>
      <c r="S450" s="194">
        <f>IFERROR(INDEX('Both teabags AfterWet'!$C$3:$C$2000,MATCH(H450,'Both teabags AfterWet'!$A$3:$A$2000,0)),"")</f>
        <v>0.63800000000000001</v>
      </c>
      <c r="T450" s="194">
        <f>IFERROR(INDEX('Both teabags AfterWet'!$C$3:$C$2000,MATCH(I450,'Both teabags AfterWet'!$A$3:$A$2000,0)),"")</f>
        <v>1.643</v>
      </c>
      <c r="U450" s="194">
        <f t="shared" si="74"/>
        <v>0.4874</v>
      </c>
      <c r="V450" s="194">
        <f t="shared" si="75"/>
        <v>1.4923999999999999</v>
      </c>
      <c r="W450" s="194">
        <f>IFERROR(INDEX('Ashed teabags wet'!$K$2:$K$2000,MATCH(H450,'Ashed teabags wet'!$A$2:$A$2000,0)),"")</f>
        <v>19.219219219219006</v>
      </c>
      <c r="X450" s="237">
        <f>IFERROR(INDEX('Ashed teabags wet'!$K$2:$K$2000,MATCH(I450,'Ashed teabags wet'!$A$2:$A$2000,0)),"")</f>
        <v>7.5886170743882877</v>
      </c>
      <c r="Y450" s="194">
        <f t="shared" si="80"/>
        <v>0.39372552552552659</v>
      </c>
      <c r="Z450" s="194">
        <f t="shared" si="80"/>
        <v>1.3791474787818292</v>
      </c>
      <c r="AA450" s="194">
        <f t="shared" si="76"/>
        <v>0.74485312376065904</v>
      </c>
      <c r="AB450" s="194">
        <f t="shared" si="77"/>
        <v>0.48831226165781927</v>
      </c>
      <c r="AC450" s="194">
        <f t="shared" si="69"/>
        <v>0.76988312686126048</v>
      </c>
      <c r="AD450">
        <f t="shared" si="70"/>
        <v>54</v>
      </c>
      <c r="AE450" s="194">
        <f t="shared" si="78"/>
        <v>0.11537633757641441</v>
      </c>
      <c r="AF450" s="194">
        <f t="shared" si="79"/>
        <v>1.1800712287449158E-2</v>
      </c>
      <c r="AG450" s="252" t="str">
        <f>IF(ISNUMBER(SEARCH("C",'WetLitterbags placem_collection'!$Y157)),"YES","NO")</f>
        <v>NO</v>
      </c>
      <c r="AH450" s="252" t="str">
        <f>IF(ISNUMBER(SEARCH("H", 'WetLitterbags placem_collection'!$Y157)),"YES","NO")</f>
        <v>NO</v>
      </c>
      <c r="AI450" s="252" t="str">
        <f>IF(ISNUMBER(SEARCH("R", 'WetLitterbags placem_collection'!$Y157)),"YES","NO")</f>
        <v>NO</v>
      </c>
      <c r="AJ450" s="252" t="str">
        <f>IF(ISNUMBER(SEARCH("C", 'WetLitterbags placem_collection'!$W157)),"YES","NO")</f>
        <v>NO</v>
      </c>
      <c r="AK450" s="252" t="str">
        <f>IF(ISNUMBER(SEARCH("H", 'WetLitterbags placem_collection'!$W157)),"YES","NO")</f>
        <v>NO</v>
      </c>
      <c r="AL450" s="252" t="str">
        <f>IF(ISNUMBER(SEARCH("R", 'WetLitterbags placem_collection'!$W157)),"YES","NO")</f>
        <v>YES</v>
      </c>
    </row>
    <row r="451" spans="2:38">
      <c r="B451" t="str">
        <f>'Final data_for_R_analysis_Wetse'!A597</f>
        <v>Wet</v>
      </c>
      <c r="C451" s="260">
        <f>'Final data_for_R_analysis_Wetse'!B597</f>
        <v>156</v>
      </c>
      <c r="D451" t="s">
        <v>3824</v>
      </c>
      <c r="E451" t="s">
        <v>25</v>
      </c>
      <c r="F451" s="382">
        <v>4</v>
      </c>
      <c r="G451" s="16">
        <f>'WetLitterbags placem_collection'!E158</f>
        <v>42762</v>
      </c>
      <c r="H451" s="92" t="str">
        <f>'Final data_for_R_analysis_Wetse'!K597</f>
        <v>G667</v>
      </c>
      <c r="I451" t="str">
        <f>'Final data_for_R_analysis_Wetse'!K817</f>
        <v>R464</v>
      </c>
      <c r="J451">
        <f>IFERROR(INDEX('Green_rooibos initial weight'!$C$5:$C$2000,MATCH(H451, 'Green_rooibos initial weight'!$A$5:$A$2000,0)),"")</f>
        <v>2.048</v>
      </c>
      <c r="K451">
        <f>IFERROR(INDEX('Green_rooibos initial weight'!$C$5:$C$2000,MATCH(I451, 'Green_rooibos initial weight'!$A$5:$A$2000,0)),"")</f>
        <v>2.2040000000000002</v>
      </c>
      <c r="L451" s="194">
        <f t="shared" si="71"/>
        <v>1.7982</v>
      </c>
      <c r="M451" s="194">
        <f>AVERAGE(Ashed_controlls!$K$2:$K$11)</f>
        <v>5.5147656768714146</v>
      </c>
      <c r="N451" s="194">
        <f t="shared" si="68"/>
        <v>1.6990334835984982</v>
      </c>
      <c r="O451" s="194">
        <f t="shared" si="72"/>
        <v>1.9542000000000002</v>
      </c>
      <c r="P451" s="194">
        <f>AVERAGE(Ashed_controlls!$K$12:$K$14)</f>
        <v>2.2816647271287041</v>
      </c>
      <c r="Q451" s="194">
        <f t="shared" si="73"/>
        <v>1.909611707902451</v>
      </c>
      <c r="R451" s="16">
        <f>IF('WetLitterbags placem_collection'!G158="","",'WetLitterbags placem_collection'!G158)</f>
        <v>42816</v>
      </c>
      <c r="S451" s="194">
        <f>IFERROR(INDEX('Both teabags AfterWet'!$C$3:$C$2000,MATCH(H451,'Both teabags AfterWet'!$A$3:$A$2000,0)),"")</f>
        <v>0.65800000000000003</v>
      </c>
      <c r="T451" s="194">
        <f>IFERROR(INDEX('Both teabags AfterWet'!$C$3:$C$2000,MATCH(I451,'Both teabags AfterWet'!$A$3:$A$2000,0)),"")</f>
        <v>1.802</v>
      </c>
      <c r="U451" s="194">
        <f t="shared" si="74"/>
        <v>0.50740000000000007</v>
      </c>
      <c r="V451" s="194">
        <f t="shared" si="75"/>
        <v>1.6514</v>
      </c>
      <c r="W451" s="194">
        <f>IFERROR(INDEX('Ashed teabags wet'!$K$2:$K$2000,MATCH(H451,'Ashed teabags wet'!$A$2:$A$2000,0)),"")</f>
        <v>27.494061757718864</v>
      </c>
      <c r="X451" s="237">
        <f>IFERROR(INDEX('Ashed teabags wet'!$K$2:$K$2000,MATCH(I451,'Ashed teabags wet'!$A$2:$A$2000,0)),"")</f>
        <v>8.8737201365180916</v>
      </c>
      <c r="Y451" s="194">
        <f t="shared" si="80"/>
        <v>0.36789513064133456</v>
      </c>
      <c r="Z451" s="194">
        <f t="shared" si="80"/>
        <v>1.5048593856655401</v>
      </c>
      <c r="AA451" s="194">
        <f t="shared" si="76"/>
        <v>0.78346799271892831</v>
      </c>
      <c r="AB451" s="194">
        <f t="shared" si="77"/>
        <v>0.51362747266134023</v>
      </c>
      <c r="AC451" s="194">
        <f t="shared" si="69"/>
        <v>0.78804470010214922</v>
      </c>
      <c r="AD451">
        <f t="shared" si="70"/>
        <v>54</v>
      </c>
      <c r="AE451" s="194">
        <f t="shared" si="78"/>
        <v>6.9515448077282271E-2</v>
      </c>
      <c r="AF451" s="194">
        <f t="shared" si="79"/>
        <v>9.8547654483243322E-3</v>
      </c>
      <c r="AG451" s="252" t="str">
        <f>IF(ISNUMBER(SEARCH("C",'WetLitterbags placem_collection'!$Y158)),"YES","NO")</f>
        <v>NO</v>
      </c>
      <c r="AH451" s="252" t="str">
        <f>IF(ISNUMBER(SEARCH("H", 'WetLitterbags placem_collection'!$Y158)),"YES","NO")</f>
        <v>NO</v>
      </c>
      <c r="AI451" s="252" t="str">
        <f>IF(ISNUMBER(SEARCH("R", 'WetLitterbags placem_collection'!$Y158)),"YES","NO")</f>
        <v>YES</v>
      </c>
      <c r="AJ451" s="252" t="str">
        <f>IF(ISNUMBER(SEARCH("C", 'WetLitterbags placem_collection'!$W158)),"YES","NO")</f>
        <v>NO</v>
      </c>
      <c r="AK451" s="252" t="str">
        <f>IF(ISNUMBER(SEARCH("H", 'WetLitterbags placem_collection'!$W158)),"YES","NO")</f>
        <v>NO</v>
      </c>
      <c r="AL451" s="252" t="str">
        <f>IF(ISNUMBER(SEARCH("R", 'WetLitterbags placem_collection'!$W158)),"YES","NO")</f>
        <v>YES</v>
      </c>
    </row>
    <row r="452" spans="2:38">
      <c r="B452" t="str">
        <f>'Final data_for_R_analysis_Wetse'!A598</f>
        <v>Wet</v>
      </c>
      <c r="C452" s="260">
        <f>'Final data_for_R_analysis_Wetse'!B598</f>
        <v>157</v>
      </c>
      <c r="D452" t="s">
        <v>3824</v>
      </c>
      <c r="E452" t="s">
        <v>25</v>
      </c>
      <c r="F452" s="382">
        <v>5</v>
      </c>
      <c r="G452" s="16">
        <f>'WetLitterbags placem_collection'!E159</f>
        <v>42762</v>
      </c>
      <c r="H452" s="92" t="str">
        <f>'Final data_for_R_analysis_Wetse'!K598</f>
        <v>G777</v>
      </c>
      <c r="I452" t="str">
        <f>'Final data_for_R_analysis_Wetse'!K818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71"/>
        <v>1.7972000000000001</v>
      </c>
      <c r="M452" s="194">
        <f>AVERAGE(Ashed_controlls!$K$2:$K$11)</f>
        <v>5.5147656768714146</v>
      </c>
      <c r="N452" s="194">
        <f t="shared" si="68"/>
        <v>1.698088631255267</v>
      </c>
      <c r="O452" s="194">
        <f t="shared" si="72"/>
        <v>1.8132000000000001</v>
      </c>
      <c r="P452" s="194">
        <f>AVERAGE(Ashed_controlls!$K$12:$K$14)</f>
        <v>2.2816647271287041</v>
      </c>
      <c r="Q452" s="194">
        <f t="shared" si="73"/>
        <v>1.7718288551677024</v>
      </c>
      <c r="R452" s="16">
        <f>IF('WetLitterbags placem_collection'!G159="","",'WetLitterbags placem_collection'!G159)</f>
        <v>42816</v>
      </c>
      <c r="S452" s="194">
        <f>IFERROR(INDEX('Both teabags AfterWet'!$C$3:$C$2000,MATCH(H452,'Both teabags AfterWet'!$A$3:$A$2000,0)),"")</f>
        <v>0.70499999999999996</v>
      </c>
      <c r="T452" s="194">
        <f>IFERROR(INDEX('Both teabags AfterWet'!$C$3:$C$2000,MATCH(I452,'Both teabags AfterWet'!$A$3:$A$2000,0)),"")</f>
        <v>1.994</v>
      </c>
      <c r="U452" s="194">
        <f t="shared" si="74"/>
        <v>0.5544</v>
      </c>
      <c r="V452" s="194">
        <f t="shared" si="75"/>
        <v>1.8433999999999999</v>
      </c>
      <c r="W452" s="194">
        <f>IFERROR(INDEX('Ashed teabags wet'!$K$2:$K$2000,MATCH(H452,'Ashed teabags wet'!$A$2:$A$2000,0)),"")</f>
        <v>15.610972568578548</v>
      </c>
      <c r="X452" s="237">
        <f>IFERROR(INDEX('Ashed teabags wet'!$K$2:$K$2000,MATCH(I452,'Ashed teabags wet'!$A$2:$A$2000,0)),"")</f>
        <v>10.019743336623607</v>
      </c>
      <c r="Y452" s="194">
        <f t="shared" si="80"/>
        <v>0.46785276807980053</v>
      </c>
      <c r="Z452" s="194">
        <f t="shared" si="80"/>
        <v>1.6586960513326803</v>
      </c>
      <c r="AA452" s="194">
        <f t="shared" si="76"/>
        <v>0.72448271576145418</v>
      </c>
      <c r="AB452" s="194">
        <f t="shared" si="77"/>
        <v>0.47495778990537141</v>
      </c>
      <c r="AC452" s="194">
        <f t="shared" si="69"/>
        <v>0.93614913567692504</v>
      </c>
      <c r="AD452">
        <f t="shared" si="70"/>
        <v>54</v>
      </c>
      <c r="AE452" s="194">
        <f t="shared" si="78"/>
        <v>0.13956922118592141</v>
      </c>
      <c r="AF452" s="194">
        <f t="shared" si="79"/>
        <v>2.6735666018650444E-3</v>
      </c>
      <c r="AG452" s="252" t="str">
        <f>IF(ISNUMBER(SEARCH("C",'WetLitterbags placem_collection'!$Y159)),"YES","NO")</f>
        <v>NO</v>
      </c>
      <c r="AH452" s="252" t="str">
        <f>IF(ISNUMBER(SEARCH("H", 'WetLitterbags placem_collection'!$Y159)),"YES","NO")</f>
        <v>NO</v>
      </c>
      <c r="AI452" s="252" t="str">
        <f>IF(ISNUMBER(SEARCH("R", 'WetLitterbags placem_collection'!$Y159)),"YES","NO")</f>
        <v>NO</v>
      </c>
      <c r="AJ452" s="252" t="str">
        <f>IF(ISNUMBER(SEARCH("C", 'WetLitterbags placem_collection'!$W159)),"YES","NO")</f>
        <v>YES</v>
      </c>
      <c r="AK452" s="252" t="str">
        <f>IF(ISNUMBER(SEARCH("H", 'WetLitterbags placem_collection'!$W159)),"YES","NO")</f>
        <v>NO</v>
      </c>
      <c r="AL452" s="252" t="str">
        <f>IF(ISNUMBER(SEARCH("R", 'WetLitterbags placem_collection'!$W159)),"YES","NO")</f>
        <v>YES</v>
      </c>
    </row>
    <row r="453" spans="2:38">
      <c r="B453" t="str">
        <f>'Final data_for_R_analysis_Wetse'!A599</f>
        <v>Wet</v>
      </c>
      <c r="C453" s="260">
        <f>'Final data_for_R_analysis_Wetse'!B599</f>
        <v>158</v>
      </c>
      <c r="D453" t="s">
        <v>3824</v>
      </c>
      <c r="E453" t="s">
        <v>25</v>
      </c>
      <c r="F453" s="382">
        <v>6</v>
      </c>
      <c r="G453" s="16">
        <f>'WetLitterbags placem_collection'!E160</f>
        <v>42762</v>
      </c>
      <c r="H453" s="92" t="str">
        <f>'Final data_for_R_analysis_Wetse'!K599</f>
        <v>G884</v>
      </c>
      <c r="I453" t="str">
        <f>'Final data_for_R_analysis_Wetse'!K819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71"/>
        <v>1.8212000000000002</v>
      </c>
      <c r="M453" s="194">
        <f>AVERAGE(Ashed_controlls!$K$2:$K$11)</f>
        <v>5.5147656768714146</v>
      </c>
      <c r="N453" s="194">
        <f t="shared" si="68"/>
        <v>1.720765087492818</v>
      </c>
      <c r="O453" s="194">
        <f t="shared" si="72"/>
        <v>1.8412000000000002</v>
      </c>
      <c r="P453" s="194">
        <f>AVERAGE(Ashed_controlls!$K$12:$K$14)</f>
        <v>2.2816647271287041</v>
      </c>
      <c r="Q453" s="194">
        <f t="shared" si="73"/>
        <v>1.7991899890441065</v>
      </c>
      <c r="R453" s="16">
        <f>IF('WetLitterbags placem_collection'!G160="","",'WetLitterbags placem_collection'!G160)</f>
        <v>42816</v>
      </c>
      <c r="S453" s="194">
        <f>IFERROR(INDEX('Both teabags AfterWet'!$C$3:$C$2000,MATCH(H453,'Both teabags AfterWet'!$A$3:$A$2000,0)),"")</f>
        <v>0.629</v>
      </c>
      <c r="T453" s="194">
        <f>IFERROR(INDEX('Both teabags AfterWet'!$C$3:$C$2000,MATCH(I453,'Both teabags AfterWet'!$A$3:$A$2000,0)),"")</f>
        <v>1.718</v>
      </c>
      <c r="U453" s="194">
        <f t="shared" si="74"/>
        <v>0.47839999999999999</v>
      </c>
      <c r="V453" s="194">
        <f t="shared" si="75"/>
        <v>1.5673999999999999</v>
      </c>
      <c r="W453" s="194">
        <f>IFERROR(INDEX('Ashed teabags wet'!$K$2:$K$2000,MATCH(H453,'Ashed teabags wet'!$A$2:$A$2000,0)),"")</f>
        <v>11.313330054107281</v>
      </c>
      <c r="X453" s="237">
        <f>IFERROR(INDEX('Ashed teabags wet'!$K$2:$K$2000,MATCH(I453,'Ashed teabags wet'!$A$2:$A$2000,0)),"")</f>
        <v>4.5090180360722032</v>
      </c>
      <c r="Y453" s="194">
        <f t="shared" si="80"/>
        <v>0.42427702902115078</v>
      </c>
      <c r="Z453" s="194">
        <f t="shared" si="80"/>
        <v>1.4967256513026042</v>
      </c>
      <c r="AA453" s="194">
        <f t="shared" si="76"/>
        <v>0.75343698445246288</v>
      </c>
      <c r="AB453" s="194">
        <f t="shared" si="77"/>
        <v>0.49393968576931063</v>
      </c>
      <c r="AC453" s="194">
        <f t="shared" si="69"/>
        <v>0.83188860565959521</v>
      </c>
      <c r="AD453">
        <f t="shared" si="70"/>
        <v>54</v>
      </c>
      <c r="AE453" s="194">
        <f t="shared" si="78"/>
        <v>0.10518172867878517</v>
      </c>
      <c r="AF453" s="194">
        <f t="shared" si="79"/>
        <v>7.7044979065424846E-3</v>
      </c>
      <c r="AG453" s="252" t="str">
        <f>IF(ISNUMBER(SEARCH("C",'WetLitterbags placem_collection'!$Y160)),"YES","NO")</f>
        <v>NO</v>
      </c>
      <c r="AH453" s="252" t="str">
        <f>IF(ISNUMBER(SEARCH("H", 'WetLitterbags placem_collection'!$Y160)),"YES","NO")</f>
        <v>NO</v>
      </c>
      <c r="AI453" s="252" t="str">
        <f>IF(ISNUMBER(SEARCH("R", 'WetLitterbags placem_collection'!$Y160)),"YES","NO")</f>
        <v>NO</v>
      </c>
      <c r="AJ453" s="252" t="str">
        <f>IF(ISNUMBER(SEARCH("C", 'WetLitterbags placem_collection'!$W160)),"YES","NO")</f>
        <v>NO</v>
      </c>
      <c r="AK453" s="252" t="str">
        <f>IF(ISNUMBER(SEARCH("H", 'WetLitterbags placem_collection'!$W160)),"YES","NO")</f>
        <v>NO</v>
      </c>
      <c r="AL453" s="252" t="str">
        <f>IF(ISNUMBER(SEARCH("R", 'WetLitterbags placem_collection'!$W160)),"YES","NO")</f>
        <v>YES</v>
      </c>
    </row>
    <row r="454" spans="2:38">
      <c r="B454" t="str">
        <f>'Final data_for_R_analysis_Wetse'!A600</f>
        <v>Wet</v>
      </c>
      <c r="C454" s="260">
        <f>'Final data_for_R_analysis_Wetse'!B600</f>
        <v>159</v>
      </c>
      <c r="D454" t="s">
        <v>3824</v>
      </c>
      <c r="E454" t="s">
        <v>25</v>
      </c>
      <c r="F454" s="382">
        <v>7</v>
      </c>
      <c r="G454" s="16">
        <f>'WetLitterbags placem_collection'!E161</f>
        <v>42762</v>
      </c>
      <c r="H454" s="92" t="str">
        <f>'Final data_for_R_analysis_Wetse'!K600</f>
        <v>G731</v>
      </c>
      <c r="I454" t="str">
        <f>'Final data_for_R_analysis_Wetse'!K820</f>
        <v>R439</v>
      </c>
      <c r="J454">
        <f>IFERROR(INDEX('Green_rooibos initial weight'!$C$5:$C$2000,MATCH(H454, 'Green_rooibos initial weight'!$A$5:$A$2000,0)),"")</f>
        <v>2.14</v>
      </c>
      <c r="K454">
        <f>IFERROR(INDEX('Green_rooibos initial weight'!$C$5:$C$2000,MATCH(I454, 'Green_rooibos initial weight'!$A$5:$A$2000,0)),"")</f>
        <v>2.2450000000000001</v>
      </c>
      <c r="L454" s="194">
        <f t="shared" si="71"/>
        <v>1.8902000000000001</v>
      </c>
      <c r="M454" s="194">
        <f>AVERAGE(Ashed_controlls!$K$2:$K$11)</f>
        <v>5.5147656768714146</v>
      </c>
      <c r="N454" s="194">
        <f t="shared" si="68"/>
        <v>1.7859598991757766</v>
      </c>
      <c r="O454" s="194">
        <f t="shared" si="72"/>
        <v>1.9952000000000001</v>
      </c>
      <c r="P454" s="194">
        <f>AVERAGE(Ashed_controlls!$K$12:$K$14)</f>
        <v>2.2816647271287041</v>
      </c>
      <c r="Q454" s="194">
        <f t="shared" si="73"/>
        <v>1.9496762253643283</v>
      </c>
      <c r="R454" s="16">
        <f>IF('WetLitterbags placem_collection'!G161="","",'WetLitterbags placem_collection'!G161)</f>
        <v>42816</v>
      </c>
      <c r="S454" s="194" t="str">
        <f>IFERROR(INDEX('Both teabags AfterWet'!$C$3:$C$2000,MATCH(H454,'Both teabags AfterWet'!$A$3:$A$2000,0)),"")</f>
        <v/>
      </c>
      <c r="T454" s="194" t="str">
        <f>IFERROR(INDEX('Both teabags AfterWet'!$C$3:$C$2000,MATCH(I454,'Both teabags AfterWet'!$A$3:$A$2000,0)),"")</f>
        <v/>
      </c>
      <c r="U454" s="194" t="str">
        <f t="shared" si="74"/>
        <v/>
      </c>
      <c r="V454" s="194" t="str">
        <f t="shared" si="75"/>
        <v/>
      </c>
      <c r="W454" s="194" t="str">
        <f>IFERROR(INDEX('Ashed teabags wet'!$K$2:$K$2000,MATCH(H454,'Ashed teabags wet'!$A$2:$A$2000,0)),"")</f>
        <v/>
      </c>
      <c r="X454" s="237" t="str">
        <f>IFERROR(INDEX('Ashed teabags wet'!$K$2:$K$2000,MATCH(I454,'Ashed teabags wet'!$A$2:$A$2000,0)),"")</f>
        <v/>
      </c>
      <c r="Y454" s="194" t="str">
        <f t="shared" si="80"/>
        <v/>
      </c>
      <c r="Z454" s="194" t="str">
        <f t="shared" si="80"/>
        <v/>
      </c>
      <c r="AA454" s="194" t="str">
        <f t="shared" si="76"/>
        <v/>
      </c>
      <c r="AB454" s="194" t="str">
        <f t="shared" si="77"/>
        <v/>
      </c>
      <c r="AC454" s="194" t="str">
        <f t="shared" si="69"/>
        <v/>
      </c>
      <c r="AD454">
        <f t="shared" si="70"/>
        <v>54</v>
      </c>
      <c r="AE454" s="194" t="str">
        <f t="shared" si="78"/>
        <v/>
      </c>
      <c r="AF454" s="194" t="str">
        <f t="shared" si="79"/>
        <v/>
      </c>
      <c r="AG454" s="252" t="str">
        <f>IF(ISNUMBER(SEARCH("C",'WetLitterbags placem_collection'!$Y161)),"YES","NO")</f>
        <v>NO</v>
      </c>
      <c r="AH454" s="252" t="str">
        <f>IF(ISNUMBER(SEARCH("H", 'WetLitterbags placem_collection'!$Y161)),"YES","NO")</f>
        <v>NO</v>
      </c>
      <c r="AI454" s="252" t="str">
        <f>IF(ISNUMBER(SEARCH("R", 'WetLitterbags placem_collection'!$Y161)),"YES","NO")</f>
        <v>NO</v>
      </c>
      <c r="AJ454" s="252" t="str">
        <f>IF(ISNUMBER(SEARCH("C", 'WetLitterbags placem_collection'!$W161)),"YES","NO")</f>
        <v>NO</v>
      </c>
      <c r="AK454" s="252" t="str">
        <f>IF(ISNUMBER(SEARCH("H", 'WetLitterbags placem_collection'!$W161)),"YES","NO")</f>
        <v>NO</v>
      </c>
      <c r="AL454" s="252" t="str">
        <f>IF(ISNUMBER(SEARCH("R", 'WetLitterbags placem_collection'!$W161)),"YES","NO")</f>
        <v>NO</v>
      </c>
    </row>
    <row r="455" spans="2:38">
      <c r="B455" t="str">
        <f>'Final data_for_R_analysis_Wetse'!A601</f>
        <v>Wet</v>
      </c>
      <c r="C455" s="260">
        <f>'Final data_for_R_analysis_Wetse'!B601</f>
        <v>160</v>
      </c>
      <c r="D455" t="s">
        <v>3824</v>
      </c>
      <c r="E455" t="s">
        <v>25</v>
      </c>
      <c r="F455" s="382">
        <v>8</v>
      </c>
      <c r="G455" s="16">
        <f>'WetLitterbags placem_collection'!E162</f>
        <v>42762</v>
      </c>
      <c r="H455" s="92" t="str">
        <f>'Final data_for_R_analysis_Wetse'!K601</f>
        <v>G876</v>
      </c>
      <c r="I455" t="str">
        <f>'Final data_for_R_analysis_Wetse'!K821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71"/>
        <v>1.7052</v>
      </c>
      <c r="M455" s="194">
        <f>AVERAGE(Ashed_controlls!$K$2:$K$11)</f>
        <v>5.5147656768714146</v>
      </c>
      <c r="N455" s="194">
        <f t="shared" si="68"/>
        <v>1.6111622156779888</v>
      </c>
      <c r="O455" s="194">
        <f t="shared" si="72"/>
        <v>1.9432</v>
      </c>
      <c r="P455" s="194">
        <f>AVERAGE(Ashed_controlls!$K$12:$K$14)</f>
        <v>2.2816647271287041</v>
      </c>
      <c r="Q455" s="194">
        <f t="shared" si="73"/>
        <v>1.8988626910224351</v>
      </c>
      <c r="R455" s="16">
        <f>IF('WetLitterbags placem_collection'!G162="","",'WetLitterbags placem_collection'!G162)</f>
        <v>42816</v>
      </c>
      <c r="S455" s="194">
        <f>IFERROR(INDEX('Both teabags AfterWet'!$C$3:$C$2000,MATCH(H455,'Both teabags AfterWet'!$A$3:$A$2000,0)),"")</f>
        <v>0.68100000000000005</v>
      </c>
      <c r="T455" s="194">
        <f>IFERROR(INDEX('Both teabags AfterWet'!$C$3:$C$2000,MATCH(I455,'Both teabags AfterWet'!$A$3:$A$2000,0)),"")</f>
        <v>1.744</v>
      </c>
      <c r="U455" s="194">
        <f t="shared" si="74"/>
        <v>0.53039999999999998</v>
      </c>
      <c r="V455" s="194">
        <f t="shared" si="75"/>
        <v>1.5933999999999999</v>
      </c>
      <c r="W455" s="194">
        <f>IFERROR(INDEX('Ashed teabags wet'!$K$2:$K$2000,MATCH(H455,'Ashed teabags wet'!$A$2:$A$2000,0)),"")</f>
        <v>12.187812187811872</v>
      </c>
      <c r="X455" s="237">
        <f>IFERROR(INDEX('Ashed teabags wet'!$K$2:$K$2000,MATCH(I455,'Ashed teabags wet'!$A$2:$A$2000,0)),"")</f>
        <v>4.181184668989598</v>
      </c>
      <c r="Y455" s="194">
        <f t="shared" si="80"/>
        <v>0.46575584415584581</v>
      </c>
      <c r="Z455" s="194">
        <f t="shared" si="80"/>
        <v>1.5267770034843198</v>
      </c>
      <c r="AA455" s="194">
        <f t="shared" si="76"/>
        <v>0.71091933535702223</v>
      </c>
      <c r="AB455" s="194">
        <f t="shared" si="77"/>
        <v>0.46606588256184839</v>
      </c>
      <c r="AC455" s="194">
        <f t="shared" si="69"/>
        <v>0.80404813402396813</v>
      </c>
      <c r="AD455">
        <f t="shared" si="70"/>
        <v>54</v>
      </c>
      <c r="AE455" s="194">
        <f t="shared" si="78"/>
        <v>0.1556777489821588</v>
      </c>
      <c r="AF455" s="194">
        <f t="shared" si="79"/>
        <v>1.0101534250144074E-2</v>
      </c>
      <c r="AG455" s="252" t="str">
        <f>IF(ISNUMBER(SEARCH("C",'WetLitterbags placem_collection'!$Y162)),"YES","NO")</f>
        <v>NO</v>
      </c>
      <c r="AH455" s="252" t="str">
        <f>IF(ISNUMBER(SEARCH("H", 'WetLitterbags placem_collection'!$Y162)),"YES","NO")</f>
        <v>NO</v>
      </c>
      <c r="AI455" s="252" t="str">
        <f>IF(ISNUMBER(SEARCH("R", 'WetLitterbags placem_collection'!$Y162)),"YES","NO")</f>
        <v>NO</v>
      </c>
      <c r="AJ455" s="252" t="str">
        <f>IF(ISNUMBER(SEARCH("C", 'WetLitterbags placem_collection'!$W162)),"YES","NO")</f>
        <v>NO</v>
      </c>
      <c r="AK455" s="252" t="str">
        <f>IF(ISNUMBER(SEARCH("H", 'WetLitterbags placem_collection'!$W162)),"YES","NO")</f>
        <v>NO</v>
      </c>
      <c r="AL455" s="252" t="str">
        <f>IF(ISNUMBER(SEARCH("R", 'WetLitterbags placem_collection'!$W162)),"YES","NO")</f>
        <v>YES</v>
      </c>
    </row>
    <row r="456" spans="2:38">
      <c r="B456" t="str">
        <f>'Final data_for_R_analysis_Wetse'!A602</f>
        <v>Wet</v>
      </c>
      <c r="C456" s="260">
        <f>'Final data_for_R_analysis_Wetse'!B602</f>
        <v>161</v>
      </c>
      <c r="D456" t="s">
        <v>3825</v>
      </c>
      <c r="E456" t="s">
        <v>25</v>
      </c>
      <c r="F456" s="381">
        <v>1</v>
      </c>
      <c r="G456" s="16">
        <f>'WetLitterbags placem_collection'!E163</f>
        <v>42763</v>
      </c>
      <c r="H456" s="92" t="str">
        <f>'Final data_for_R_analysis_Wetse'!K602</f>
        <v>G351</v>
      </c>
      <c r="I456" t="str">
        <f>'Final data_for_R_analysis_Wetse'!K822</f>
        <v>R253</v>
      </c>
      <c r="J456">
        <f>IFERROR(INDEX('Green_rooibos initial weight'!$C$5:$C$2000,MATCH(H456, 'Green_rooibos initial weight'!$A$5:$A$2000,0)),"")</f>
        <v>1.909</v>
      </c>
      <c r="K456">
        <f>IFERROR(INDEX('Green_rooibos initial weight'!$C$5:$C$2000,MATCH(I456, 'Green_rooibos initial weight'!$A$5:$A$2000,0)),"")</f>
        <v>2.2130000000000001</v>
      </c>
      <c r="L456" s="194">
        <f t="shared" si="71"/>
        <v>1.6592</v>
      </c>
      <c r="M456" s="194">
        <f>AVERAGE(Ashed_controlls!$K$2:$K$11)</f>
        <v>5.5147656768714146</v>
      </c>
      <c r="N456" s="194">
        <f t="shared" si="68"/>
        <v>1.5676990078893496</v>
      </c>
      <c r="O456" s="194">
        <f t="shared" si="72"/>
        <v>1.9632000000000001</v>
      </c>
      <c r="P456" s="194">
        <f>AVERAGE(Ashed_controlls!$K$12:$K$14)</f>
        <v>2.2816647271287041</v>
      </c>
      <c r="Q456" s="194">
        <f t="shared" si="73"/>
        <v>1.9184063580770094</v>
      </c>
      <c r="R456" s="16">
        <f>IF('WetLitterbags placem_collection'!G163="","",'WetLitterbags placem_collection'!G163)</f>
        <v>42814</v>
      </c>
      <c r="S456" s="194">
        <f>IFERROR(INDEX('Both teabags AfterWet'!$C$3:$C$2000,MATCH(H456,'Both teabags AfterWet'!$A$3:$A$2000,0)),"")</f>
        <v>0.58709999999999996</v>
      </c>
      <c r="T456" s="194">
        <f>IFERROR(INDEX('Both teabags AfterWet'!$C$3:$C$2000,MATCH(I456,'Both teabags AfterWet'!$A$3:$A$2000,0)),"")</f>
        <v>1.7033</v>
      </c>
      <c r="U456" s="194">
        <f t="shared" si="74"/>
        <v>0.43649999999999994</v>
      </c>
      <c r="V456" s="194">
        <f t="shared" si="75"/>
        <v>1.5527</v>
      </c>
      <c r="W456" s="194">
        <f>IFERROR(INDEX('Ashed teabags wet'!$K$2:$K$2000,MATCH(H456,'Ashed teabags wet'!$A$2:$A$2000,0)),"")</f>
        <v>11.028315946348718</v>
      </c>
      <c r="X456" s="237">
        <f>IFERROR(INDEX('Ashed teabags wet'!$K$2:$K$2000,MATCH(I456,'Ashed teabags wet'!$A$2:$A$2000,0)),"")</f>
        <v>2.4952015355091484</v>
      </c>
      <c r="Y456" s="194">
        <f t="shared" si="80"/>
        <v>0.3883614008941878</v>
      </c>
      <c r="Z456" s="194">
        <f t="shared" si="80"/>
        <v>1.5139570057581495</v>
      </c>
      <c r="AA456" s="194">
        <f t="shared" si="76"/>
        <v>0.75227298165031509</v>
      </c>
      <c r="AB456" s="194">
        <f t="shared" si="77"/>
        <v>0.49317658654509972</v>
      </c>
      <c r="AC456" s="194">
        <f t="shared" si="69"/>
        <v>0.78917430573766667</v>
      </c>
      <c r="AD456">
        <f t="shared" si="70"/>
        <v>51</v>
      </c>
      <c r="AE456" s="194">
        <f t="shared" si="78"/>
        <v>0.10656415480960202</v>
      </c>
      <c r="AF456" s="194">
        <f t="shared" si="79"/>
        <v>1.0935621594355623E-2</v>
      </c>
      <c r="AG456" s="252" t="str">
        <f>IF(ISNUMBER(SEARCH("C",'WetLitterbags placem_collection'!$Y163)),"YES","NO")</f>
        <v>NO</v>
      </c>
      <c r="AH456" s="252" t="str">
        <f>IF(ISNUMBER(SEARCH("H", 'WetLitterbags placem_collection'!$Y163)),"YES","NO")</f>
        <v>NO</v>
      </c>
      <c r="AI456" s="252" t="str">
        <f>IF(ISNUMBER(SEARCH("R", 'WetLitterbags placem_collection'!$Y163)),"YES","NO")</f>
        <v>NO</v>
      </c>
      <c r="AJ456" s="252" t="str">
        <f>IF(ISNUMBER(SEARCH("C", 'WetLitterbags placem_collection'!$W163)),"YES","NO")</f>
        <v>NO</v>
      </c>
      <c r="AK456" s="252" t="str">
        <f>IF(ISNUMBER(SEARCH("H", 'WetLitterbags placem_collection'!$W163)),"YES","NO")</f>
        <v>NO</v>
      </c>
      <c r="AL456" s="252" t="str">
        <f>IF(ISNUMBER(SEARCH("R", 'WetLitterbags placem_collection'!$W163)),"YES","NO")</f>
        <v>NO</v>
      </c>
    </row>
    <row r="457" spans="2:38">
      <c r="B457" t="str">
        <f>'Final data_for_R_analysis_Wetse'!A603</f>
        <v>Wet</v>
      </c>
      <c r="C457" s="260">
        <f>'Final data_for_R_analysis_Wetse'!B603</f>
        <v>162</v>
      </c>
      <c r="D457" t="s">
        <v>3825</v>
      </c>
      <c r="E457" t="s">
        <v>25</v>
      </c>
      <c r="F457" s="381">
        <v>2</v>
      </c>
      <c r="G457" s="16">
        <f>'WetLitterbags placem_collection'!E164</f>
        <v>42763</v>
      </c>
      <c r="H457" s="92" t="str">
        <f>'Final data_for_R_analysis_Wetse'!K603</f>
        <v>G442</v>
      </c>
      <c r="I457" t="str">
        <f>'Final data_for_R_analysis_Wetse'!K823</f>
        <v>R285</v>
      </c>
      <c r="J457">
        <f>IFERROR(INDEX('Green_rooibos initial weight'!$C$5:$C$2000,MATCH(H457, 'Green_rooibos initial weight'!$A$5:$A$2000,0)),"")</f>
        <v>2.056</v>
      </c>
      <c r="K457">
        <f>IFERROR(INDEX('Green_rooibos initial weight'!$C$5:$C$2000,MATCH(I457, 'Green_rooibos initial weight'!$A$5:$A$2000,0)),"")</f>
        <v>2.2400000000000002</v>
      </c>
      <c r="L457" s="194">
        <f t="shared" si="71"/>
        <v>1.8062</v>
      </c>
      <c r="M457" s="194">
        <f>AVERAGE(Ashed_controlls!$K$2:$K$11)</f>
        <v>5.5147656768714146</v>
      </c>
      <c r="N457" s="194">
        <f t="shared" si="68"/>
        <v>1.7065923023443486</v>
      </c>
      <c r="O457" s="194">
        <f t="shared" si="72"/>
        <v>1.9902000000000002</v>
      </c>
      <c r="P457" s="194">
        <f>AVERAGE(Ashed_controlls!$K$12:$K$14)</f>
        <v>2.2816647271287041</v>
      </c>
      <c r="Q457" s="194">
        <f t="shared" si="73"/>
        <v>1.9447903086006848</v>
      </c>
      <c r="R457" s="16">
        <f>IF('WetLitterbags placem_collection'!G164="","",'WetLitterbags placem_collection'!G164)</f>
        <v>42814</v>
      </c>
      <c r="S457" s="194">
        <f>IFERROR(INDEX('Both teabags AfterWet'!$C$3:$C$2000,MATCH(H457,'Both teabags AfterWet'!$A$3:$A$2000,0)),"")</f>
        <v>0.66290000000000004</v>
      </c>
      <c r="T457" s="194">
        <f>IFERROR(INDEX('Both teabags AfterWet'!$C$3:$C$2000,MATCH(I457,'Both teabags AfterWet'!$A$3:$A$2000,0)),"")</f>
        <v>1.6621999999999999</v>
      </c>
      <c r="U457" s="194">
        <f t="shared" si="74"/>
        <v>0.51229999999999998</v>
      </c>
      <c r="V457" s="194">
        <f t="shared" si="75"/>
        <v>1.5115999999999998</v>
      </c>
      <c r="W457" s="194">
        <f>IFERROR(INDEX('Ashed teabags wet'!$K$2:$K$2000,MATCH(H457,'Ashed teabags wet'!$A$2:$A$2000,0)),"")</f>
        <v>7.6199901039089131</v>
      </c>
      <c r="X457" s="237">
        <f>IFERROR(INDEX('Ashed teabags wet'!$K$2:$K$2000,MATCH(I457,'Ashed teabags wet'!$A$2:$A$2000,0)),"")</f>
        <v>1.8419777023749115</v>
      </c>
      <c r="Y457" s="194">
        <f t="shared" si="80"/>
        <v>0.47326279069767463</v>
      </c>
      <c r="Z457" s="194">
        <f t="shared" si="80"/>
        <v>1.4837566650509006</v>
      </c>
      <c r="AA457" s="194">
        <f t="shared" si="76"/>
        <v>0.72268550019383493</v>
      </c>
      <c r="AB457" s="194">
        <f t="shared" si="77"/>
        <v>0.47377956782303671</v>
      </c>
      <c r="AC457" s="194">
        <f t="shared" si="69"/>
        <v>0.76293915004054758</v>
      </c>
      <c r="AD457">
        <f t="shared" si="70"/>
        <v>51</v>
      </c>
      <c r="AE457" s="194">
        <f t="shared" si="78"/>
        <v>0.14170368148000601</v>
      </c>
      <c r="AF457" s="194">
        <f t="shared" si="79"/>
        <v>1.3605285782752977E-2</v>
      </c>
      <c r="AG457" s="252" t="str">
        <f>IF(ISNUMBER(SEARCH("C",'WetLitterbags placem_collection'!$Y164)),"YES","NO")</f>
        <v>NO</v>
      </c>
      <c r="AH457" s="252" t="str">
        <f>IF(ISNUMBER(SEARCH("H", 'WetLitterbags placem_collection'!$Y164)),"YES","NO")</f>
        <v>NO</v>
      </c>
      <c r="AI457" s="252" t="str">
        <f>IF(ISNUMBER(SEARCH("R", 'WetLitterbags placem_collection'!$Y164)),"YES","NO")</f>
        <v>YES</v>
      </c>
      <c r="AJ457" s="252" t="str">
        <f>IF(ISNUMBER(SEARCH("C", 'WetLitterbags placem_collection'!$W164)),"YES","NO")</f>
        <v>NO</v>
      </c>
      <c r="AK457" s="252" t="str">
        <f>IF(ISNUMBER(SEARCH("H", 'WetLitterbags placem_collection'!$W164)),"YES","NO")</f>
        <v>YES</v>
      </c>
      <c r="AL457" s="252" t="str">
        <f>IF(ISNUMBER(SEARCH("R", 'WetLitterbags placem_collection'!$W164)),"YES","NO")</f>
        <v>NO</v>
      </c>
    </row>
    <row r="458" spans="2:38">
      <c r="B458" t="str">
        <f>'Final data_for_R_analysis_Wetse'!A604</f>
        <v>Wet</v>
      </c>
      <c r="C458" s="260">
        <f>'Final data_for_R_analysis_Wetse'!B604</f>
        <v>163</v>
      </c>
      <c r="D458" t="s">
        <v>3825</v>
      </c>
      <c r="E458" t="s">
        <v>25</v>
      </c>
      <c r="F458" s="381">
        <v>3</v>
      </c>
      <c r="G458" s="16">
        <f>'WetLitterbags placem_collection'!E165</f>
        <v>42763</v>
      </c>
      <c r="H458" s="92" t="str">
        <f>'Final data_for_R_analysis_Wetse'!K604</f>
        <v>G743</v>
      </c>
      <c r="I458" t="str">
        <f>'Final data_for_R_analysis_Wetse'!K824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71"/>
        <v>1.7841999999999998</v>
      </c>
      <c r="M458" s="194">
        <f>AVERAGE(Ashed_controlls!$K$2:$K$11)</f>
        <v>5.5147656768714146</v>
      </c>
      <c r="N458" s="194">
        <f t="shared" si="68"/>
        <v>1.6858055507932601</v>
      </c>
      <c r="O458" s="194">
        <f t="shared" si="72"/>
        <v>1.9062000000000001</v>
      </c>
      <c r="P458" s="194">
        <f>AVERAGE(Ashed_controlls!$K$12:$K$14)</f>
        <v>2.2816647271287041</v>
      </c>
      <c r="Q458" s="194">
        <f t="shared" si="73"/>
        <v>1.8627069069714728</v>
      </c>
      <c r="R458" s="16">
        <f>IF('WetLitterbags placem_collection'!G165="","",'WetLitterbags placem_collection'!G165)</f>
        <v>42814</v>
      </c>
      <c r="S458" s="194">
        <f>IFERROR(INDEX('Both teabags AfterWet'!$C$3:$C$2000,MATCH(H458,'Both teabags AfterWet'!$A$3:$A$2000,0)),"")</f>
        <v>0.68700000000000006</v>
      </c>
      <c r="T458" s="194">
        <f>IFERROR(INDEX('Both teabags AfterWet'!$C$3:$C$2000,MATCH(I458,'Both teabags AfterWet'!$A$3:$A$2000,0)),"")</f>
        <v>1.738</v>
      </c>
      <c r="U458" s="194">
        <f t="shared" si="74"/>
        <v>0.53639999999999999</v>
      </c>
      <c r="V458" s="194">
        <f t="shared" si="75"/>
        <v>1.5873999999999999</v>
      </c>
      <c r="W458" s="194">
        <f>IFERROR(INDEX('Ashed teabags wet'!$K$2:$K$2000,MATCH(H458,'Ashed teabags wet'!$A$2:$A$2000,0)),"")</f>
        <v>7.8343313373247501</v>
      </c>
      <c r="X458" s="237">
        <f>IFERROR(INDEX('Ashed teabags wet'!$K$2:$K$2000,MATCH(I458,'Ashed teabags wet'!$A$2:$A$2000,0)),"")</f>
        <v>2.2942643391521438</v>
      </c>
      <c r="Y458" s="194">
        <f t="shared" si="80"/>
        <v>0.49437664670659004</v>
      </c>
      <c r="Z458" s="194">
        <f t="shared" si="80"/>
        <v>1.5509808478802989</v>
      </c>
      <c r="AA458" s="194">
        <f t="shared" si="76"/>
        <v>0.70674159515374724</v>
      </c>
      <c r="AB458" s="194">
        <f t="shared" si="77"/>
        <v>0.46332703150221916</v>
      </c>
      <c r="AC458" s="194">
        <f t="shared" si="69"/>
        <v>0.83264889504382567</v>
      </c>
      <c r="AD458">
        <f t="shared" si="70"/>
        <v>51</v>
      </c>
      <c r="AE458" s="194">
        <f t="shared" si="78"/>
        <v>0.16063943568438566</v>
      </c>
      <c r="AF458" s="194">
        <f t="shared" si="79"/>
        <v>8.7873532256757189E-3</v>
      </c>
      <c r="AG458" s="252" t="str">
        <f>IF(ISNUMBER(SEARCH("C",'WetLitterbags placem_collection'!$Y165)),"YES","NO")</f>
        <v>NO</v>
      </c>
      <c r="AH458" s="252" t="str">
        <f>IF(ISNUMBER(SEARCH("H", 'WetLitterbags placem_collection'!$Y165)),"YES","NO")</f>
        <v>NO</v>
      </c>
      <c r="AI458" s="252" t="str">
        <f>IF(ISNUMBER(SEARCH("R", 'WetLitterbags placem_collection'!$Y165)),"YES","NO")</f>
        <v>NO</v>
      </c>
      <c r="AJ458" s="252" t="str">
        <f>IF(ISNUMBER(SEARCH("C", 'WetLitterbags placem_collection'!$W165)),"YES","NO")</f>
        <v>NO</v>
      </c>
      <c r="AK458" s="252" t="str">
        <f>IF(ISNUMBER(SEARCH("H", 'WetLitterbags placem_collection'!$W165)),"YES","NO")</f>
        <v>NO</v>
      </c>
      <c r="AL458" s="252" t="str">
        <f>IF(ISNUMBER(SEARCH("R", 'WetLitterbags placem_collection'!$W165)),"YES","NO")</f>
        <v>NO</v>
      </c>
    </row>
    <row r="459" spans="2:38">
      <c r="B459" t="str">
        <f>'Final data_for_R_analysis_Wetse'!A605</f>
        <v>Wet</v>
      </c>
      <c r="C459" s="260">
        <f>'Final data_for_R_analysis_Wetse'!B605</f>
        <v>164</v>
      </c>
      <c r="D459" t="s">
        <v>3825</v>
      </c>
      <c r="E459" t="s">
        <v>25</v>
      </c>
      <c r="F459" s="382">
        <v>4</v>
      </c>
      <c r="G459" s="16">
        <f>'WetLitterbags placem_collection'!E166</f>
        <v>42763</v>
      </c>
      <c r="H459" s="92" t="str">
        <f>'Final data_for_R_analysis_Wetse'!K605</f>
        <v>G390</v>
      </c>
      <c r="I459" t="str">
        <f>'Final data_for_R_analysis_Wetse'!K825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71"/>
        <v>1.8132000000000001</v>
      </c>
      <c r="M459" s="194">
        <f>AVERAGE(Ashed_controlls!$K$2:$K$11)</f>
        <v>5.5147656768714146</v>
      </c>
      <c r="N459" s="194">
        <f t="shared" si="68"/>
        <v>1.7132062687469676</v>
      </c>
      <c r="O459" s="194">
        <f t="shared" si="72"/>
        <v>1.9752000000000001</v>
      </c>
      <c r="P459" s="194">
        <f>AVERAGE(Ashed_controlls!$K$12:$K$14)</f>
        <v>2.2816647271287041</v>
      </c>
      <c r="Q459" s="194">
        <f t="shared" si="73"/>
        <v>1.9301325583097539</v>
      </c>
      <c r="R459" s="16">
        <f>IF('WetLitterbags placem_collection'!G166="","",'WetLitterbags placem_collection'!G166)</f>
        <v>42814</v>
      </c>
      <c r="S459" s="194">
        <f>IFERROR(INDEX('Both teabags AfterWet'!$C$3:$C$2000,MATCH(H459,'Both teabags AfterWet'!$A$3:$A$2000,0)),"")</f>
        <v>0.63800000000000001</v>
      </c>
      <c r="T459" s="194">
        <f>IFERROR(INDEX('Both teabags AfterWet'!$C$3:$C$2000,MATCH(I459,'Both teabags AfterWet'!$A$3:$A$2000,0)),"")</f>
        <v>1.7050000000000001</v>
      </c>
      <c r="U459" s="194">
        <f t="shared" si="74"/>
        <v>0.4874</v>
      </c>
      <c r="V459" s="194">
        <f t="shared" si="75"/>
        <v>1.5544</v>
      </c>
      <c r="W459" s="194">
        <f>IFERROR(INDEX('Ashed teabags wet'!$K$2:$K$2000,MATCH(H459,'Ashed teabags wet'!$A$2:$A$2000,0)),"")</f>
        <v>9.1180866965623011</v>
      </c>
      <c r="X459" s="237">
        <f>IFERROR(INDEX('Ashed teabags wet'!$K$2:$K$2000,MATCH(I459,'Ashed teabags wet'!$A$2:$A$2000,0)),"")</f>
        <v>1.9295706705255817</v>
      </c>
      <c r="Y459" s="194">
        <f t="shared" si="80"/>
        <v>0.44295844544095536</v>
      </c>
      <c r="Z459" s="194">
        <f t="shared" si="80"/>
        <v>1.5244067534973504</v>
      </c>
      <c r="AA459" s="194">
        <f t="shared" si="76"/>
        <v>0.74144476732218978</v>
      </c>
      <c r="AB459" s="194">
        <f t="shared" si="77"/>
        <v>0.48607780470528361</v>
      </c>
      <c r="AC459" s="194">
        <f t="shared" si="69"/>
        <v>0.78979381334942944</v>
      </c>
      <c r="AD459">
        <f t="shared" si="70"/>
        <v>51</v>
      </c>
      <c r="AE459" s="194">
        <f t="shared" si="78"/>
        <v>0.11942426683825436</v>
      </c>
      <c r="AF459" s="194">
        <f t="shared" si="79"/>
        <v>1.110653132448209E-2</v>
      </c>
      <c r="AG459" s="252" t="str">
        <f>IF(ISNUMBER(SEARCH("C",'WetLitterbags placem_collection'!$Y166)),"YES","NO")</f>
        <v>NO</v>
      </c>
      <c r="AH459" s="252" t="str">
        <f>IF(ISNUMBER(SEARCH("H", 'WetLitterbags placem_collection'!$Y166)),"YES","NO")</f>
        <v>NO</v>
      </c>
      <c r="AI459" s="252" t="str">
        <f>IF(ISNUMBER(SEARCH("R", 'WetLitterbags placem_collection'!$Y166)),"YES","NO")</f>
        <v>NO</v>
      </c>
      <c r="AJ459" s="252" t="str">
        <f>IF(ISNUMBER(SEARCH("C", 'WetLitterbags placem_collection'!$W166)),"YES","NO")</f>
        <v>NO</v>
      </c>
      <c r="AK459" s="252" t="str">
        <f>IF(ISNUMBER(SEARCH("H", 'WetLitterbags placem_collection'!$W166)),"YES","NO")</f>
        <v>NO</v>
      </c>
      <c r="AL459" s="252" t="str">
        <f>IF(ISNUMBER(SEARCH("R", 'WetLitterbags placem_collection'!$W166)),"YES","NO")</f>
        <v>NO</v>
      </c>
    </row>
    <row r="460" spans="2:38">
      <c r="B460" t="str">
        <f>'Final data_for_R_analysis_Wetse'!A606</f>
        <v>Wet</v>
      </c>
      <c r="C460" s="260">
        <f>'Final data_for_R_analysis_Wetse'!B606</f>
        <v>165</v>
      </c>
      <c r="D460" t="s">
        <v>3825</v>
      </c>
      <c r="E460" t="s">
        <v>25</v>
      </c>
      <c r="F460" s="382">
        <v>5</v>
      </c>
      <c r="G460" s="16">
        <f>'WetLitterbags placem_collection'!E167</f>
        <v>42763</v>
      </c>
      <c r="H460" s="92" t="str">
        <f>'Final data_for_R_analysis_Wetse'!K606</f>
        <v>G810</v>
      </c>
      <c r="I460" t="str">
        <f>'Final data_for_R_analysis_Wetse'!K826</f>
        <v>R411</v>
      </c>
      <c r="J460">
        <f>IFERROR(INDEX('Green_rooibos initial weight'!$C$5:$C$2000,MATCH(H460, 'Green_rooibos initial weight'!$A$5:$A$2000,0)),"")</f>
        <v>1.946</v>
      </c>
      <c r="K460">
        <f>IFERROR(INDEX('Green_rooibos initial weight'!$C$5:$C$2000,MATCH(I460, 'Green_rooibos initial weight'!$A$5:$A$2000,0)),"")</f>
        <v>2.2240000000000002</v>
      </c>
      <c r="L460" s="194">
        <f t="shared" si="71"/>
        <v>1.6961999999999999</v>
      </c>
      <c r="M460" s="194">
        <f>AVERAGE(Ashed_controlls!$K$2:$K$11)</f>
        <v>5.5147656768714146</v>
      </c>
      <c r="N460" s="194">
        <f t="shared" ref="N460:N515" si="81">IFERROR(L460-(M460/100)*L460,"")</f>
        <v>1.602658544588907</v>
      </c>
      <c r="O460" s="194">
        <f t="shared" si="72"/>
        <v>1.9742000000000002</v>
      </c>
      <c r="P460" s="194">
        <f>AVERAGE(Ashed_controlls!$K$12:$K$14)</f>
        <v>2.2816647271287041</v>
      </c>
      <c r="Q460" s="194">
        <f t="shared" si="73"/>
        <v>1.9291553749570254</v>
      </c>
      <c r="R460" s="16">
        <f>IF('WetLitterbags placem_collection'!G167="","",'WetLitterbags placem_collection'!G167)</f>
        <v>42814</v>
      </c>
      <c r="S460" s="194">
        <f>IFERROR(INDEX('Both teabags AfterWet'!$C$3:$C$2000,MATCH(H460,'Both teabags AfterWet'!$A$3:$A$2000,0)),"")</f>
        <v>0.64800000000000002</v>
      </c>
      <c r="T460" s="194">
        <f>IFERROR(INDEX('Both teabags AfterWet'!$C$3:$C$2000,MATCH(I460,'Both teabags AfterWet'!$A$3:$A$2000,0)),"")</f>
        <v>1.728</v>
      </c>
      <c r="U460" s="194">
        <f t="shared" si="74"/>
        <v>0.49740000000000001</v>
      </c>
      <c r="V460" s="194">
        <f t="shared" si="75"/>
        <v>1.5773999999999999</v>
      </c>
      <c r="W460" s="194">
        <f>IFERROR(INDEX('Ashed teabags wet'!$K$2:$K$2000,MATCH(H460,'Ashed teabags wet'!$A$2:$A$2000,0)),"")</f>
        <v>7.6693227091631231</v>
      </c>
      <c r="X460" s="237">
        <f>IFERROR(INDEX('Ashed teabags wet'!$K$2:$K$2000,MATCH(I460,'Ashed teabags wet'!$A$2:$A$2000,0)),"")</f>
        <v>1.9212295869364138</v>
      </c>
      <c r="Y460" s="194">
        <f t="shared" si="80"/>
        <v>0.45925278884462262</v>
      </c>
      <c r="Z460" s="194">
        <f t="shared" si="80"/>
        <v>1.5470945244956649</v>
      </c>
      <c r="AA460" s="194">
        <f t="shared" si="76"/>
        <v>0.71344314707882828</v>
      </c>
      <c r="AB460" s="194">
        <f t="shared" si="77"/>
        <v>0.4677204479661678</v>
      </c>
      <c r="AC460" s="194">
        <f t="shared" ref="AC460:AC515" si="82">IFERROR(Z460/Q460,"")</f>
        <v>0.80195433948918116</v>
      </c>
      <c r="AD460">
        <f t="shared" ref="AD460:AD515" si="83">IFERROR(IF((R460-G460)&gt;0,(IFERROR(R460-G460,"")),""),"")</f>
        <v>51</v>
      </c>
      <c r="AE460" s="194">
        <f t="shared" si="78"/>
        <v>0.15268034788737728</v>
      </c>
      <c r="AF460" s="194">
        <f t="shared" si="79"/>
        <v>1.0797138077005428E-2</v>
      </c>
      <c r="AG460" s="252" t="str">
        <f>IF(ISNUMBER(SEARCH("C",'WetLitterbags placem_collection'!$Y167)),"YES","NO")</f>
        <v>NO</v>
      </c>
      <c r="AH460" s="252" t="str">
        <f>IF(ISNUMBER(SEARCH("H", 'WetLitterbags placem_collection'!$Y167)),"YES","NO")</f>
        <v>NO</v>
      </c>
      <c r="AI460" s="252" t="str">
        <f>IF(ISNUMBER(SEARCH("R", 'WetLitterbags placem_collection'!$Y167)),"YES","NO")</f>
        <v>NO</v>
      </c>
      <c r="AJ460" s="252" t="str">
        <f>IF(ISNUMBER(SEARCH("C", 'WetLitterbags placem_collection'!$W167)),"YES","NO")</f>
        <v>NO</v>
      </c>
      <c r="AK460" s="252" t="str">
        <f>IF(ISNUMBER(SEARCH("H", 'WetLitterbags placem_collection'!$W167)),"YES","NO")</f>
        <v>YES</v>
      </c>
      <c r="AL460" s="252" t="str">
        <f>IF(ISNUMBER(SEARCH("R", 'WetLitterbags placem_collection'!$W167)),"YES","NO")</f>
        <v>NO</v>
      </c>
    </row>
    <row r="461" spans="2:38">
      <c r="B461" t="str">
        <f>'Final data_for_R_analysis_Wetse'!A607</f>
        <v>Wet</v>
      </c>
      <c r="C461" s="260">
        <f>'Final data_for_R_analysis_Wetse'!B607</f>
        <v>166</v>
      </c>
      <c r="D461" t="s">
        <v>3825</v>
      </c>
      <c r="E461" t="s">
        <v>25</v>
      </c>
      <c r="F461" s="382">
        <v>6</v>
      </c>
      <c r="G461" s="16">
        <f>'WetLitterbags placem_collection'!E168</f>
        <v>42763</v>
      </c>
      <c r="H461" s="92" t="str">
        <f>'Final data_for_R_analysis_Wetse'!K607</f>
        <v>G287</v>
      </c>
      <c r="I461" t="str">
        <f>'Final data_for_R_analysis_Wetse'!K827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84">IF(J461&gt;0,(J461*$F$31-($F$29+$F$30)),"")</f>
        <v>1.7472000000000001</v>
      </c>
      <c r="M461" s="194">
        <f>AVERAGE(Ashed_controlls!$K$2:$K$11)</f>
        <v>5.5147656768714146</v>
      </c>
      <c r="N461" s="194">
        <f t="shared" si="81"/>
        <v>1.6508460140937027</v>
      </c>
      <c r="O461" s="194">
        <f t="shared" ref="O461:O515" si="85">IF(K461&gt;0,(K461*$F$32-($F$29+$F$30)),"")</f>
        <v>1.9681999999999999</v>
      </c>
      <c r="P461" s="194">
        <f>AVERAGE(Ashed_controlls!$K$12:$K$14)</f>
        <v>2.2816647271287041</v>
      </c>
      <c r="Q461" s="194">
        <f t="shared" ref="Q461:Q515" si="86">IFERROR(O461-(P461/100)*O461,"")</f>
        <v>1.9232922748406529</v>
      </c>
      <c r="R461" s="16">
        <f>IF('WetLitterbags placem_collection'!G168="","",'WetLitterbags placem_collection'!G168)</f>
        <v>42814</v>
      </c>
      <c r="S461" s="194">
        <f>IFERROR(INDEX('Both teabags AfterWet'!$C$3:$C$2000,MATCH(H461,'Both teabags AfterWet'!$A$3:$A$2000,0)),"")</f>
        <v>0.72240000000000004</v>
      </c>
      <c r="T461" s="194">
        <f>IFERROR(INDEX('Both teabags AfterWet'!$C$3:$C$2000,MATCH(I461,'Both teabags AfterWet'!$A$3:$A$2000,0)),"")</f>
        <v>1.7169000000000001</v>
      </c>
      <c r="U461" s="194">
        <f t="shared" ref="U461:U515" si="87">IFERROR(IF(S461&gt;0,S461-($F$29),""),"")</f>
        <v>0.57180000000000009</v>
      </c>
      <c r="V461" s="194">
        <f t="shared" ref="V461:V515" si="88">IFERROR(IF(T461&gt;0,T461-($F$29),""),"")</f>
        <v>1.5663</v>
      </c>
      <c r="W461" s="194">
        <f>IFERROR(INDEX('Ashed teabags wet'!$K$2:$K$2000,MATCH(H461,'Ashed teabags wet'!$A$2:$A$2000,0)),"")</f>
        <v>8.1175298804781466</v>
      </c>
      <c r="X461" s="237">
        <f>IFERROR(INDEX('Ashed teabags wet'!$K$2:$K$2000,MATCH(I461,'Ashed teabags wet'!$A$2:$A$2000,0)),"")</f>
        <v>1.9326065411295223</v>
      </c>
      <c r="Y461" s="194">
        <f t="shared" si="80"/>
        <v>0.52538396414342603</v>
      </c>
      <c r="Z461" s="194">
        <f t="shared" si="80"/>
        <v>1.5360295837462883</v>
      </c>
      <c r="AA461" s="194">
        <f t="shared" ref="AA461:AA515" si="89">IFERROR(1-Y461/N461,"")</f>
        <v>0.68174865513919158</v>
      </c>
      <c r="AB461" s="194">
        <f t="shared" ref="AB461:AB515" si="90">IFERROR($F$26*(1-AE461),"")</f>
        <v>0.4469421112076411</v>
      </c>
      <c r="AC461" s="194">
        <f t="shared" si="82"/>
        <v>0.79864594884495654</v>
      </c>
      <c r="AD461">
        <f t="shared" si="83"/>
        <v>51</v>
      </c>
      <c r="AE461" s="194">
        <f t="shared" ref="AE461:AE515" si="91">IFERROR(1-(AA461/$F$25),"")</f>
        <v>0.19032226230499805</v>
      </c>
      <c r="AF461" s="194">
        <f t="shared" ref="AF461:AF515" si="92">IFERROR(LN(AB461/(AC461-(1-AB461)))/AD461,"")</f>
        <v>1.1740656890755609E-2</v>
      </c>
      <c r="AG461" s="252" t="str">
        <f>IF(ISNUMBER(SEARCH("C",'WetLitterbags placem_collection'!$Y168)),"YES","NO")</f>
        <v>NO</v>
      </c>
      <c r="AH461" s="252" t="str">
        <f>IF(ISNUMBER(SEARCH("H", 'WetLitterbags placem_collection'!$Y168)),"YES","NO")</f>
        <v>NO</v>
      </c>
      <c r="AI461" s="252" t="str">
        <f>IF(ISNUMBER(SEARCH("R", 'WetLitterbags placem_collection'!$Y168)),"YES","NO")</f>
        <v>NO</v>
      </c>
      <c r="AJ461" s="252" t="str">
        <f>IF(ISNUMBER(SEARCH("C", 'WetLitterbags placem_collection'!$W168)),"YES","NO")</f>
        <v>NO</v>
      </c>
      <c r="AK461" s="252" t="str">
        <f>IF(ISNUMBER(SEARCH("H", 'WetLitterbags placem_collection'!$W168)),"YES","NO")</f>
        <v>NO</v>
      </c>
      <c r="AL461" s="252" t="str">
        <f>IF(ISNUMBER(SEARCH("R", 'WetLitterbags placem_collection'!$W168)),"YES","NO")</f>
        <v>NO</v>
      </c>
    </row>
    <row r="462" spans="2:38">
      <c r="B462" t="str">
        <f>'Final data_for_R_analysis_Wetse'!A608</f>
        <v>Wet</v>
      </c>
      <c r="C462" s="260">
        <f>'Final data_for_R_analysis_Wetse'!B608</f>
        <v>167</v>
      </c>
      <c r="D462" t="s">
        <v>3825</v>
      </c>
      <c r="E462" t="s">
        <v>25</v>
      </c>
      <c r="F462" s="382">
        <v>7</v>
      </c>
      <c r="G462" s="16">
        <f>'WetLitterbags placem_collection'!E169</f>
        <v>42763</v>
      </c>
      <c r="H462" s="92" t="str">
        <f>'Final data_for_R_analysis_Wetse'!K608</f>
        <v>G443</v>
      </c>
      <c r="I462" t="str">
        <f>'Final data_for_R_analysis_Wetse'!K828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84"/>
        <v>1.7812000000000001</v>
      </c>
      <c r="M462" s="194">
        <f>AVERAGE(Ashed_controlls!$K$2:$K$11)</f>
        <v>5.5147656768714146</v>
      </c>
      <c r="N462" s="194">
        <f t="shared" si="81"/>
        <v>1.6829709937635664</v>
      </c>
      <c r="O462" s="194">
        <f t="shared" si="85"/>
        <v>1.9451999999999998</v>
      </c>
      <c r="P462" s="194">
        <f>AVERAGE(Ashed_controlls!$K$12:$K$14)</f>
        <v>2.2816647271287041</v>
      </c>
      <c r="Q462" s="194">
        <f t="shared" si="86"/>
        <v>1.9008170577278922</v>
      </c>
      <c r="R462" s="16">
        <f>IF('WetLitterbags placem_collection'!G169="","",'WetLitterbags placem_collection'!G169)</f>
        <v>42814</v>
      </c>
      <c r="S462" s="194">
        <f>IFERROR(INDEX('Both teabags AfterWet'!$C$3:$C$2000,MATCH(H462,'Both teabags AfterWet'!$A$3:$A$2000,0)),"")</f>
        <v>0.69789999999999996</v>
      </c>
      <c r="T462" s="194">
        <f>IFERROR(INDEX('Both teabags AfterWet'!$C$3:$C$2000,MATCH(I462,'Both teabags AfterWet'!$A$3:$A$2000,0)),"")</f>
        <v>1.7432000000000001</v>
      </c>
      <c r="U462" s="194">
        <f t="shared" si="87"/>
        <v>0.5472999999999999</v>
      </c>
      <c r="V462" s="194">
        <f t="shared" si="88"/>
        <v>1.5926</v>
      </c>
      <c r="W462" s="194">
        <f>IFERROR(INDEX('Ashed teabags wet'!$K$2:$K$2000,MATCH(H462,'Ashed teabags wet'!$A$2:$A$2000,0)),"")</f>
        <v>8.5487077534794818</v>
      </c>
      <c r="X462" s="237">
        <f>IFERROR(INDEX('Ashed teabags wet'!$K$2:$K$2000,MATCH(I462,'Ashed teabags wet'!$A$2:$A$2000,0)),"")</f>
        <v>1.8428709990296765</v>
      </c>
      <c r="Y462" s="194">
        <f t="shared" ref="Y462:Z515" si="93">IFERROR(U462-(W462/100)*U462,"")</f>
        <v>0.50051292246520673</v>
      </c>
      <c r="Z462" s="194">
        <f t="shared" si="93"/>
        <v>1.5632504364694535</v>
      </c>
      <c r="AA462" s="194">
        <f t="shared" si="89"/>
        <v>0.70260157523812805</v>
      </c>
      <c r="AB462" s="194">
        <f t="shared" si="90"/>
        <v>0.46061290918224079</v>
      </c>
      <c r="AC462" s="194">
        <f t="shared" si="82"/>
        <v>0.82240972644577226</v>
      </c>
      <c r="AD462">
        <f t="shared" si="83"/>
        <v>51</v>
      </c>
      <c r="AE462" s="194">
        <f t="shared" si="91"/>
        <v>0.16555632394521602</v>
      </c>
      <c r="AF462" s="194">
        <f t="shared" si="92"/>
        <v>9.5496300957012194E-3</v>
      </c>
      <c r="AG462" s="252" t="str">
        <f>IF(ISNUMBER(SEARCH("C",'WetLitterbags placem_collection'!$Y169)),"YES","NO")</f>
        <v>NO</v>
      </c>
      <c r="AH462" s="252" t="str">
        <f>IF(ISNUMBER(SEARCH("H", 'WetLitterbags placem_collection'!$Y169)),"YES","NO")</f>
        <v>NO</v>
      </c>
      <c r="AI462" s="252" t="str">
        <f>IF(ISNUMBER(SEARCH("R", 'WetLitterbags placem_collection'!$Y169)),"YES","NO")</f>
        <v>NO</v>
      </c>
      <c r="AJ462" s="252" t="str">
        <f>IF(ISNUMBER(SEARCH("C", 'WetLitterbags placem_collection'!$W169)),"YES","NO")</f>
        <v>NO</v>
      </c>
      <c r="AK462" s="252" t="str">
        <f>IF(ISNUMBER(SEARCH("H", 'WetLitterbags placem_collection'!$W169)),"YES","NO")</f>
        <v>NO</v>
      </c>
      <c r="AL462" s="252" t="str">
        <f>IF(ISNUMBER(SEARCH("R", 'WetLitterbags placem_collection'!$W169)),"YES","NO")</f>
        <v>NO</v>
      </c>
    </row>
    <row r="463" spans="2:38">
      <c r="B463" t="str">
        <f>'Final data_for_R_analysis_Wetse'!A609</f>
        <v>Wet</v>
      </c>
      <c r="C463" s="260">
        <f>'Final data_for_R_analysis_Wetse'!B609</f>
        <v>168</v>
      </c>
      <c r="D463" t="s">
        <v>3825</v>
      </c>
      <c r="E463" t="s">
        <v>25</v>
      </c>
      <c r="F463" s="382">
        <v>8</v>
      </c>
      <c r="G463" s="16">
        <f>'WetLitterbags placem_collection'!E170</f>
        <v>42763</v>
      </c>
      <c r="H463" s="92" t="str">
        <f>'Final data_for_R_analysis_Wetse'!K609</f>
        <v>G680</v>
      </c>
      <c r="I463" t="str">
        <f>'Final data_for_R_analysis_Wetse'!K829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84"/>
        <v>1.7551999999999999</v>
      </c>
      <c r="M463" s="194">
        <f>AVERAGE(Ashed_controlls!$K$2:$K$11)</f>
        <v>5.5147656768714146</v>
      </c>
      <c r="N463" s="194">
        <f t="shared" si="81"/>
        <v>1.6584048328395529</v>
      </c>
      <c r="O463" s="194">
        <f t="shared" si="85"/>
        <v>1.9411999999999998</v>
      </c>
      <c r="P463" s="194">
        <f>AVERAGE(Ashed_controlls!$K$12:$K$14)</f>
        <v>2.2816647271287041</v>
      </c>
      <c r="Q463" s="194">
        <f t="shared" si="86"/>
        <v>1.8969083243169773</v>
      </c>
      <c r="R463" s="16">
        <f>IF('WetLitterbags placem_collection'!G170="","",'WetLitterbags placem_collection'!G170)</f>
        <v>42814</v>
      </c>
      <c r="S463" s="194">
        <f>IFERROR(INDEX('Both teabags AfterWet'!$C$3:$C$2000,MATCH(H463,'Both teabags AfterWet'!$A$3:$A$2000,0)),"")</f>
        <v>0.998</v>
      </c>
      <c r="T463" s="194">
        <f>IFERROR(INDEX('Both teabags AfterWet'!$C$3:$C$2000,MATCH(I463,'Both teabags AfterWet'!$A$3:$A$2000,0)),"")</f>
        <v>1.6950000000000001</v>
      </c>
      <c r="U463" s="194">
        <f t="shared" si="87"/>
        <v>0.84739999999999993</v>
      </c>
      <c r="V463" s="194">
        <f t="shared" si="88"/>
        <v>1.5444</v>
      </c>
      <c r="W463" s="194">
        <f>IFERROR(INDEX('Ashed teabags wet'!$K$2:$K$2000,MATCH(H463,'Ashed teabags wet'!$A$2:$A$2000,0)),"")</f>
        <v>7.5706756109248428</v>
      </c>
      <c r="X463" s="237">
        <f>IFERROR(INDEX('Ashed teabags wet'!$K$2:$K$2000,MATCH(I463,'Ashed teabags wet'!$A$2:$A$2000,0)),"")</f>
        <v>2.1371769383691874</v>
      </c>
      <c r="Y463" s="194">
        <f t="shared" si="93"/>
        <v>0.78324609487302277</v>
      </c>
      <c r="Z463" s="194">
        <f t="shared" si="93"/>
        <v>1.5113934393638262</v>
      </c>
      <c r="AA463" s="194">
        <f t="shared" si="89"/>
        <v>0.52771115992713691</v>
      </c>
      <c r="AB463" s="194">
        <f t="shared" si="90"/>
        <v>0.34595791007099719</v>
      </c>
      <c r="AC463" s="194">
        <f t="shared" si="82"/>
        <v>0.79676672825400563</v>
      </c>
      <c r="AD463">
        <f t="shared" si="83"/>
        <v>51</v>
      </c>
      <c r="AE463" s="194">
        <f t="shared" si="91"/>
        <v>0.37326465566848344</v>
      </c>
      <c r="AF463" s="194">
        <f t="shared" si="92"/>
        <v>1.7360783386006599E-2</v>
      </c>
      <c r="AG463" s="252" t="str">
        <f>IF(ISNUMBER(SEARCH("C",'WetLitterbags placem_collection'!$Y170)),"YES","NO")</f>
        <v>NO</v>
      </c>
      <c r="AH463" s="252" t="str">
        <f>IF(ISNUMBER(SEARCH("H", 'WetLitterbags placem_collection'!$Y170)),"YES","NO")</f>
        <v>NO</v>
      </c>
      <c r="AI463" s="252" t="str">
        <f>IF(ISNUMBER(SEARCH("R", 'WetLitterbags placem_collection'!$Y170)),"YES","NO")</f>
        <v>NO</v>
      </c>
      <c r="AJ463" s="252" t="str">
        <f>IF(ISNUMBER(SEARCH("C", 'WetLitterbags placem_collection'!$W170)),"YES","NO")</f>
        <v>NO</v>
      </c>
      <c r="AK463" s="252" t="str">
        <f>IF(ISNUMBER(SEARCH("H", 'WetLitterbags placem_collection'!$W170)),"YES","NO")</f>
        <v>NO</v>
      </c>
      <c r="AL463" s="252" t="str">
        <f>IF(ISNUMBER(SEARCH("R", 'WetLitterbags placem_collection'!$W170)),"YES","NO")</f>
        <v>NO</v>
      </c>
    </row>
    <row r="464" spans="2:38">
      <c r="B464" t="str">
        <f>'Final data_for_R_analysis_Wetse'!A610</f>
        <v>Wet</v>
      </c>
      <c r="C464" s="260">
        <f>'Final data_for_R_analysis_Wetse'!B610</f>
        <v>169</v>
      </c>
      <c r="D464" t="s">
        <v>3827</v>
      </c>
      <c r="E464" t="s">
        <v>25</v>
      </c>
      <c r="F464" s="381">
        <v>1</v>
      </c>
      <c r="G464" s="16">
        <f>'WetLitterbags placem_collection'!E171</f>
        <v>42763</v>
      </c>
      <c r="H464" s="92" t="str">
        <f>'Final data_for_R_analysis_Wetse'!K610</f>
        <v>G496</v>
      </c>
      <c r="I464" t="str">
        <f>'Final data_for_R_analysis_Wetse'!K830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84"/>
        <v>1.5982000000000001</v>
      </c>
      <c r="M464" s="194">
        <f>AVERAGE(Ashed_controlls!$K$2:$K$11)</f>
        <v>5.5147656768714146</v>
      </c>
      <c r="N464" s="194">
        <f t="shared" si="81"/>
        <v>1.5100630149522412</v>
      </c>
      <c r="O464" s="194">
        <f t="shared" si="85"/>
        <v>2.0181999999999998</v>
      </c>
      <c r="P464" s="194">
        <f>AVERAGE(Ashed_controlls!$K$12:$K$14)</f>
        <v>2.2816647271287041</v>
      </c>
      <c r="Q464" s="194">
        <f t="shared" si="86"/>
        <v>1.9721514424770883</v>
      </c>
      <c r="R464" s="16">
        <f>IF('WetLitterbags placem_collection'!G171="","",'WetLitterbags placem_collection'!G171)</f>
        <v>42814</v>
      </c>
      <c r="S464" s="194">
        <f>IFERROR(INDEX('Both teabags AfterWet'!$C$3:$C$2000,MATCH(H464,'Both teabags AfterWet'!$A$3:$A$2000,0)),"")</f>
        <v>0.57199999999999995</v>
      </c>
      <c r="T464" s="194">
        <f>IFERROR(INDEX('Both teabags AfterWet'!$C$3:$C$2000,MATCH(I464,'Both teabags AfterWet'!$A$3:$A$2000,0)),"")</f>
        <v>1.736</v>
      </c>
      <c r="U464" s="194">
        <f t="shared" si="87"/>
        <v>0.42139999999999994</v>
      </c>
      <c r="V464" s="194">
        <f t="shared" si="88"/>
        <v>1.5853999999999999</v>
      </c>
      <c r="W464" s="194">
        <f>IFERROR(INDEX('Ashed teabags wet'!$K$2:$K$2000,MATCH(H464,'Ashed teabags wet'!$A$2:$A$2000,0)),"")</f>
        <v>9.4256259204713331</v>
      </c>
      <c r="X464" s="237">
        <f>IFERROR(INDEX('Ashed teabags wet'!$K$2:$K$2000,MATCH(I464,'Ashed teabags wet'!$A$2:$A$2000,0)),"")</f>
        <v>3.6768263183359386</v>
      </c>
      <c r="Y464" s="194">
        <f t="shared" si="93"/>
        <v>0.38168041237113376</v>
      </c>
      <c r="Z464" s="194">
        <f t="shared" si="93"/>
        <v>1.527107595549102</v>
      </c>
      <c r="AA464" s="194">
        <f t="shared" si="89"/>
        <v>0.74724206301867135</v>
      </c>
      <c r="AB464" s="194">
        <f t="shared" si="90"/>
        <v>0.48987840710962782</v>
      </c>
      <c r="AC464" s="194">
        <f t="shared" si="82"/>
        <v>0.77433586623094408</v>
      </c>
      <c r="AD464">
        <f t="shared" si="83"/>
        <v>51</v>
      </c>
      <c r="AE464" s="194">
        <f t="shared" si="91"/>
        <v>0.11253911755502211</v>
      </c>
      <c r="AF464" s="194">
        <f t="shared" si="92"/>
        <v>1.2105819532739891E-2</v>
      </c>
      <c r="AG464" s="252" t="str">
        <f>IF(ISNUMBER(SEARCH("C",'WetLitterbags placem_collection'!$Y171)),"YES","NO")</f>
        <v>NO</v>
      </c>
      <c r="AH464" s="252" t="str">
        <f>IF(ISNUMBER(SEARCH("H", 'WetLitterbags placem_collection'!$Y171)),"YES","NO")</f>
        <v>NO</v>
      </c>
      <c r="AI464" s="252" t="str">
        <f>IF(ISNUMBER(SEARCH("R", 'WetLitterbags placem_collection'!$Y171)),"YES","NO")</f>
        <v>NO</v>
      </c>
      <c r="AJ464" s="252" t="str">
        <f>IF(ISNUMBER(SEARCH("C", 'WetLitterbags placem_collection'!$W171)),"YES","NO")</f>
        <v>YES</v>
      </c>
      <c r="AK464" s="252" t="str">
        <f>IF(ISNUMBER(SEARCH("H", 'WetLitterbags placem_collection'!$W171)),"YES","NO")</f>
        <v>YES</v>
      </c>
      <c r="AL464" s="252" t="str">
        <f>IF(ISNUMBER(SEARCH("R", 'WetLitterbags placem_collection'!$W171)),"YES","NO")</f>
        <v>NO</v>
      </c>
    </row>
    <row r="465" spans="2:38">
      <c r="B465" t="str">
        <f>'Final data_for_R_analysis_Wetse'!A611</f>
        <v>Wet</v>
      </c>
      <c r="C465" s="260">
        <f>'Final data_for_R_analysis_Wetse'!B611</f>
        <v>170</v>
      </c>
      <c r="D465" t="s">
        <v>3827</v>
      </c>
      <c r="E465" t="s">
        <v>25</v>
      </c>
      <c r="F465" s="381">
        <v>2</v>
      </c>
      <c r="G465" s="16">
        <f>'WetLitterbags placem_collection'!E172</f>
        <v>42763</v>
      </c>
      <c r="H465" s="92" t="str">
        <f>'Final data_for_R_analysis_Wetse'!K611</f>
        <v>G674</v>
      </c>
      <c r="I465" t="str">
        <f>'Final data_for_R_analysis_Wetse'!K831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84"/>
        <v>1.7452000000000001</v>
      </c>
      <c r="M465" s="194">
        <f>AVERAGE(Ashed_controlls!$K$2:$K$11)</f>
        <v>5.5147656768714146</v>
      </c>
      <c r="N465" s="194">
        <f t="shared" si="81"/>
        <v>1.6489563094072401</v>
      </c>
      <c r="O465" s="194">
        <f t="shared" si="85"/>
        <v>2.0051999999999999</v>
      </c>
      <c r="P465" s="194">
        <f>AVERAGE(Ashed_controlls!$K$12:$K$14)</f>
        <v>2.2816647271287041</v>
      </c>
      <c r="Q465" s="194">
        <f t="shared" si="86"/>
        <v>1.959448058891615</v>
      </c>
      <c r="R465" s="16">
        <f>IF('WetLitterbags placem_collection'!G172="","",'WetLitterbags placem_collection'!G172)</f>
        <v>42814</v>
      </c>
      <c r="S465" s="194">
        <f>IFERROR(INDEX('Both teabags AfterWet'!$C$3:$C$2000,MATCH(H465,'Both teabags AfterWet'!$A$3:$A$2000,0)),"")</f>
        <v>0.61299999999999999</v>
      </c>
      <c r="T465" s="194">
        <f>IFERROR(INDEX('Both teabags AfterWet'!$C$3:$C$2000,MATCH(I465,'Both teabags AfterWet'!$A$3:$A$2000,0)),"")</f>
        <v>1.71</v>
      </c>
      <c r="U465" s="194">
        <f t="shared" si="87"/>
        <v>0.46239999999999998</v>
      </c>
      <c r="V465" s="194">
        <f t="shared" si="88"/>
        <v>1.5593999999999999</v>
      </c>
      <c r="W465" s="194">
        <f>IFERROR(INDEX('Ashed teabags wet'!$K$2:$K$2000,MATCH(H465,'Ashed teabags wet'!$A$2:$A$2000,0)),"")</f>
        <v>8.7857847976303241</v>
      </c>
      <c r="X465" s="237">
        <f>IFERROR(INDEX('Ashed teabags wet'!$K$2:$K$2000,MATCH(I465,'Ashed teabags wet'!$A$2:$A$2000,0)),"")</f>
        <v>2.3988005996999138</v>
      </c>
      <c r="Y465" s="194">
        <f t="shared" si="93"/>
        <v>0.42177453109575735</v>
      </c>
      <c r="Z465" s="194">
        <f t="shared" si="93"/>
        <v>1.5219931034482794</v>
      </c>
      <c r="AA465" s="194">
        <f t="shared" si="89"/>
        <v>0.74421727932417137</v>
      </c>
      <c r="AB465" s="194">
        <f t="shared" si="90"/>
        <v>0.48789541352368487</v>
      </c>
      <c r="AC465" s="194">
        <f t="shared" si="82"/>
        <v>0.7767458272454606</v>
      </c>
      <c r="AD465">
        <f t="shared" si="83"/>
        <v>51</v>
      </c>
      <c r="AE465" s="194">
        <f t="shared" si="91"/>
        <v>0.1161314972397014</v>
      </c>
      <c r="AF465" s="194">
        <f t="shared" si="92"/>
        <v>1.1994626784174262E-2</v>
      </c>
      <c r="AG465" s="252" t="str">
        <f>IF(ISNUMBER(SEARCH("C",'WetLitterbags placem_collection'!$Y172)),"YES","NO")</f>
        <v>NO</v>
      </c>
      <c r="AH465" s="252" t="str">
        <f>IF(ISNUMBER(SEARCH("H", 'WetLitterbags placem_collection'!$Y172)),"YES","NO")</f>
        <v>NO</v>
      </c>
      <c r="AI465" s="252" t="str">
        <f>IF(ISNUMBER(SEARCH("R", 'WetLitterbags placem_collection'!$Y172)),"YES","NO")</f>
        <v>NO</v>
      </c>
      <c r="AJ465" s="252" t="str">
        <f>IF(ISNUMBER(SEARCH("C", 'WetLitterbags placem_collection'!$W172)),"YES","NO")</f>
        <v>NO</v>
      </c>
      <c r="AK465" s="252" t="str">
        <f>IF(ISNUMBER(SEARCH("H", 'WetLitterbags placem_collection'!$W172)),"YES","NO")</f>
        <v>NO</v>
      </c>
      <c r="AL465" s="252" t="str">
        <f>IF(ISNUMBER(SEARCH("R", 'WetLitterbags placem_collection'!$W172)),"YES","NO")</f>
        <v>NO</v>
      </c>
    </row>
    <row r="466" spans="2:38">
      <c r="B466" t="str">
        <f>'Final data_for_R_analysis_Wetse'!A612</f>
        <v>Wet</v>
      </c>
      <c r="C466" s="260">
        <f>'Final data_for_R_analysis_Wetse'!B612</f>
        <v>171</v>
      </c>
      <c r="D466" t="s">
        <v>3827</v>
      </c>
      <c r="E466" t="s">
        <v>25</v>
      </c>
      <c r="F466" s="381">
        <v>3</v>
      </c>
      <c r="G466" s="16">
        <f>'WetLitterbags placem_collection'!E173</f>
        <v>42763</v>
      </c>
      <c r="H466" s="92" t="str">
        <f>'Final data_for_R_analysis_Wetse'!K612</f>
        <v>G504</v>
      </c>
      <c r="I466" t="str">
        <f>'Final data_for_R_analysis_Wetse'!K832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84"/>
        <v>1.7511999999999999</v>
      </c>
      <c r="M466" s="194">
        <f>AVERAGE(Ashed_controlls!$K$2:$K$11)</f>
        <v>5.5147656768714146</v>
      </c>
      <c r="N466" s="194">
        <f t="shared" si="81"/>
        <v>1.6546254234666278</v>
      </c>
      <c r="O466" s="194">
        <f t="shared" si="85"/>
        <v>1.9472</v>
      </c>
      <c r="P466" s="194">
        <f>AVERAGE(Ashed_controlls!$K$12:$K$14)</f>
        <v>2.2816647271287041</v>
      </c>
      <c r="Q466" s="194">
        <f t="shared" si="86"/>
        <v>1.90277142443335</v>
      </c>
      <c r="R466" s="16">
        <f>IF('WetLitterbags placem_collection'!G173="","",'WetLitterbags placem_collection'!G173)</f>
        <v>42814</v>
      </c>
      <c r="S466" s="194">
        <f>IFERROR(INDEX('Both teabags AfterWet'!$C$3:$C$2000,MATCH(H466,'Both teabags AfterWet'!$A$3:$A$2000,0)),"")</f>
        <v>0.53500000000000003</v>
      </c>
      <c r="T466" s="194">
        <f>IFERROR(INDEX('Both teabags AfterWet'!$C$3:$C$2000,MATCH(I466,'Both teabags AfterWet'!$A$3:$A$2000,0)),"")</f>
        <v>1.629</v>
      </c>
      <c r="U466" s="194">
        <f t="shared" si="87"/>
        <v>0.38440000000000002</v>
      </c>
      <c r="V466" s="194">
        <f t="shared" si="88"/>
        <v>1.4783999999999999</v>
      </c>
      <c r="W466" s="194">
        <f>IFERROR(INDEX('Ashed teabags wet'!$K$2:$K$2000,MATCH(H466,'Ashed teabags wet'!$A$2:$A$2000,0)),"")</f>
        <v>8.6370444333500629</v>
      </c>
      <c r="X466" s="237">
        <f>IFERROR(INDEX('Ashed teabags wet'!$K$2:$K$2000,MATCH(I466,'Ashed teabags wet'!$A$2:$A$2000,0)),"")</f>
        <v>1.7224409448818911</v>
      </c>
      <c r="Y466" s="194">
        <f t="shared" si="93"/>
        <v>0.35119920119820236</v>
      </c>
      <c r="Z466" s="194">
        <f t="shared" si="93"/>
        <v>1.4529354330708661</v>
      </c>
      <c r="AA466" s="194">
        <f t="shared" si="89"/>
        <v>0.78774700532377884</v>
      </c>
      <c r="AB466" s="194">
        <f t="shared" si="90"/>
        <v>0.51643271607924701</v>
      </c>
      <c r="AC466" s="194">
        <f t="shared" si="82"/>
        <v>0.76358905458313464</v>
      </c>
      <c r="AD466">
        <f t="shared" si="83"/>
        <v>51</v>
      </c>
      <c r="AE466" s="194">
        <f t="shared" si="91"/>
        <v>6.4433485363683096E-2</v>
      </c>
      <c r="AF466" s="194">
        <f t="shared" si="92"/>
        <v>1.2001522717568134E-2</v>
      </c>
      <c r="AG466" s="252" t="str">
        <f>IF(ISNUMBER(SEARCH("C",'WetLitterbags placem_collection'!$Y173)),"YES","NO")</f>
        <v>NO</v>
      </c>
      <c r="AH466" s="252" t="str">
        <f>IF(ISNUMBER(SEARCH("H", 'WetLitterbags placem_collection'!$Y173)),"YES","NO")</f>
        <v>NO</v>
      </c>
      <c r="AI466" s="252" t="str">
        <f>IF(ISNUMBER(SEARCH("R", 'WetLitterbags placem_collection'!$Y173)),"YES","NO")</f>
        <v>NO</v>
      </c>
      <c r="AJ466" s="252" t="str">
        <f>IF(ISNUMBER(SEARCH("C", 'WetLitterbags placem_collection'!$W173)),"YES","NO")</f>
        <v>NO</v>
      </c>
      <c r="AK466" s="252" t="str">
        <f>IF(ISNUMBER(SEARCH("H", 'WetLitterbags placem_collection'!$W173)),"YES","NO")</f>
        <v>NO</v>
      </c>
      <c r="AL466" s="252" t="str">
        <f>IF(ISNUMBER(SEARCH("R", 'WetLitterbags placem_collection'!$W173)),"YES","NO")</f>
        <v>NO</v>
      </c>
    </row>
    <row r="467" spans="2:38">
      <c r="B467" t="str">
        <f>'Final data_for_R_analysis_Wetse'!A613</f>
        <v>Wet</v>
      </c>
      <c r="C467" s="260">
        <f>'Final data_for_R_analysis_Wetse'!B613</f>
        <v>172</v>
      </c>
      <c r="D467" t="s">
        <v>3827</v>
      </c>
      <c r="E467" t="s">
        <v>25</v>
      </c>
      <c r="F467" s="382">
        <v>4</v>
      </c>
      <c r="G467" s="16">
        <f>'WetLitterbags placem_collection'!E174</f>
        <v>42763</v>
      </c>
      <c r="H467" s="92" t="str">
        <f>'Final data_for_R_analysis_Wetse'!K613</f>
        <v>G439</v>
      </c>
      <c r="I467" t="str">
        <f>'Final data_for_R_analysis_Wetse'!K833</f>
        <v>R353</v>
      </c>
      <c r="J467">
        <f>IFERROR(INDEX('Green_rooibos initial weight'!$C$5:$C$2000,MATCH(H467, 'Green_rooibos initial weight'!$A$5:$A$2000,0)),"")</f>
        <v>2.069</v>
      </c>
      <c r="K467">
        <f>IFERROR(INDEX('Green_rooibos initial weight'!$C$5:$C$2000,MATCH(I467, 'Green_rooibos initial weight'!$A$5:$A$2000,0)),"")</f>
        <v>2.2909999999999999</v>
      </c>
      <c r="L467" s="194">
        <f t="shared" si="84"/>
        <v>1.8191999999999999</v>
      </c>
      <c r="M467" s="194">
        <f>AVERAGE(Ashed_controlls!$K$2:$K$11)</f>
        <v>5.5147656768714146</v>
      </c>
      <c r="N467" s="194">
        <f t="shared" si="81"/>
        <v>1.7188753828063552</v>
      </c>
      <c r="O467" s="194">
        <f t="shared" si="85"/>
        <v>2.0411999999999999</v>
      </c>
      <c r="P467" s="194">
        <f>AVERAGE(Ashed_controlls!$K$12:$K$14)</f>
        <v>2.2816647271287041</v>
      </c>
      <c r="Q467" s="194">
        <f t="shared" si="86"/>
        <v>1.9946266595898487</v>
      </c>
      <c r="R467" s="16">
        <f>IF('WetLitterbags placem_collection'!G174="","",'WetLitterbags placem_collection'!G174)</f>
        <v>42814</v>
      </c>
      <c r="S467" s="194">
        <f>IFERROR(INDEX('Both teabags AfterWet'!$C$3:$C$2000,MATCH(H467,'Both teabags AfterWet'!$A$3:$A$2000,0)),"")</f>
        <v>0.59599999999999997</v>
      </c>
      <c r="T467" s="194">
        <f>IFERROR(INDEX('Both teabags AfterWet'!$C$3:$C$2000,MATCH(I467,'Both teabags AfterWet'!$A$3:$A$2000,0)),"")</f>
        <v>1.7694000000000001</v>
      </c>
      <c r="U467" s="194">
        <f t="shared" si="87"/>
        <v>0.44539999999999996</v>
      </c>
      <c r="V467" s="194">
        <f t="shared" si="88"/>
        <v>1.6188</v>
      </c>
      <c r="W467" s="194">
        <f>IFERROR(INDEX('Ashed teabags wet'!$K$2:$K$2000,MATCH(H467,'Ashed teabags wet'!$A$2:$A$2000,0)),"")</f>
        <v>9.0602409638559092</v>
      </c>
      <c r="X467" s="237">
        <f>IFERROR(INDEX('Ashed teabags wet'!$K$2:$K$2000,MATCH(I467,'Ashed teabags wet'!$A$2:$A$2000,0)),"")</f>
        <v>2.1371769383700703</v>
      </c>
      <c r="Y467" s="194">
        <f t="shared" si="93"/>
        <v>0.40504568674698577</v>
      </c>
      <c r="Z467" s="194">
        <f t="shared" si="93"/>
        <v>1.5842033797216653</v>
      </c>
      <c r="AA467" s="194">
        <f t="shared" si="89"/>
        <v>0.76435424534053187</v>
      </c>
      <c r="AB467" s="194">
        <f t="shared" si="90"/>
        <v>0.50109684492633455</v>
      </c>
      <c r="AC467" s="194">
        <f t="shared" si="82"/>
        <v>0.79423553881878928</v>
      </c>
      <c r="AD467">
        <f t="shared" si="83"/>
        <v>51</v>
      </c>
      <c r="AE467" s="194">
        <f t="shared" si="91"/>
        <v>9.2215860640698422E-2</v>
      </c>
      <c r="AF467" s="194">
        <f t="shared" si="92"/>
        <v>1.0366626255461543E-2</v>
      </c>
      <c r="AG467" s="252" t="str">
        <f>IF(ISNUMBER(SEARCH("C",'WetLitterbags placem_collection'!$Y174)),"YES","NO")</f>
        <v>NO</v>
      </c>
      <c r="AH467" s="252" t="str">
        <f>IF(ISNUMBER(SEARCH("H", 'WetLitterbags placem_collection'!$Y174)),"YES","NO")</f>
        <v>NO</v>
      </c>
      <c r="AI467" s="252" t="str">
        <f>IF(ISNUMBER(SEARCH("R", 'WetLitterbags placem_collection'!$Y174)),"YES","NO")</f>
        <v>NO</v>
      </c>
      <c r="AJ467" s="252" t="str">
        <f>IF(ISNUMBER(SEARCH("C", 'WetLitterbags placem_collection'!$W174)),"YES","NO")</f>
        <v>NO</v>
      </c>
      <c r="AK467" s="252" t="str">
        <f>IF(ISNUMBER(SEARCH("H", 'WetLitterbags placem_collection'!$W174)),"YES","NO")</f>
        <v>NO</v>
      </c>
      <c r="AL467" s="252" t="str">
        <f>IF(ISNUMBER(SEARCH("R", 'WetLitterbags placem_collection'!$W174)),"YES","NO")</f>
        <v>YES</v>
      </c>
    </row>
    <row r="468" spans="2:38">
      <c r="B468" t="str">
        <f>'Final data_for_R_analysis_Wetse'!A614</f>
        <v>Wet</v>
      </c>
      <c r="C468" s="260">
        <f>'Final data_for_R_analysis_Wetse'!B614</f>
        <v>173</v>
      </c>
      <c r="D468" t="s">
        <v>3827</v>
      </c>
      <c r="E468" t="s">
        <v>25</v>
      </c>
      <c r="F468" s="382">
        <v>5</v>
      </c>
      <c r="G468" s="16">
        <f>'WetLitterbags placem_collection'!E175</f>
        <v>42763</v>
      </c>
      <c r="H468" s="92" t="str">
        <f>'Final data_for_R_analysis_Wetse'!K614</f>
        <v>G865</v>
      </c>
      <c r="I468" t="str">
        <f>'Final data_for_R_analysis_Wetse'!K834</f>
        <v>R105</v>
      </c>
      <c r="J468">
        <f>IFERROR(INDEX('Green_rooibos initial weight'!$C$5:$C$2000,MATCH(H468, 'Green_rooibos initial weight'!$A$5:$A$2000,0)),"")</f>
        <v>2.036</v>
      </c>
      <c r="K468">
        <f>IFERROR(INDEX('Green_rooibos initial weight'!$C$5:$C$2000,MATCH(I468, 'Green_rooibos initial weight'!$A$5:$A$2000,0)),"")</f>
        <v>2.254</v>
      </c>
      <c r="L468" s="194">
        <f t="shared" si="84"/>
        <v>1.7862</v>
      </c>
      <c r="M468" s="194">
        <f>AVERAGE(Ashed_controlls!$K$2:$K$11)</f>
        <v>5.5147656768714146</v>
      </c>
      <c r="N468" s="194">
        <f t="shared" si="81"/>
        <v>1.6876952554797229</v>
      </c>
      <c r="O468" s="194">
        <f t="shared" si="85"/>
        <v>2.0042</v>
      </c>
      <c r="P468" s="194">
        <f>AVERAGE(Ashed_controlls!$K$12:$K$14)</f>
        <v>2.2816647271287041</v>
      </c>
      <c r="Q468" s="194">
        <f t="shared" si="86"/>
        <v>1.9584708755388864</v>
      </c>
      <c r="R468" s="16">
        <f>IF('WetLitterbags placem_collection'!G175="","",'WetLitterbags placem_collection'!G175)</f>
        <v>42814</v>
      </c>
      <c r="S468" s="194">
        <f>IFERROR(INDEX('Both teabags AfterWet'!$C$3:$C$2000,MATCH(H468,'Both teabags AfterWet'!$A$3:$A$2000,0)),"")</f>
        <v>0.65549999999999997</v>
      </c>
      <c r="T468" s="194">
        <f>IFERROR(INDEX('Both teabags AfterWet'!$C$3:$C$2000,MATCH(I468,'Both teabags AfterWet'!$A$3:$A$2000,0)),"")</f>
        <v>1.6919999999999999</v>
      </c>
      <c r="U468" s="194">
        <f t="shared" si="87"/>
        <v>0.5048999999999999</v>
      </c>
      <c r="V468" s="194">
        <f t="shared" si="88"/>
        <v>1.5413999999999999</v>
      </c>
      <c r="W468" s="194">
        <f>IFERROR(INDEX('Ashed teabags wet'!$K$2:$K$2000,MATCH(H468,'Ashed teabags wet'!$A$2:$A$2000,0)),"")</f>
        <v>9.1408591408588276</v>
      </c>
      <c r="X468" s="237">
        <f>IFERROR(INDEX('Ashed teabags wet'!$K$2:$K$2000,MATCH(I468,'Ashed teabags wet'!$A$2:$A$2000,0)),"")</f>
        <v>2.5628626692459697</v>
      </c>
      <c r="Y468" s="194">
        <f t="shared" si="93"/>
        <v>0.4587478021978037</v>
      </c>
      <c r="Z468" s="194">
        <f t="shared" si="93"/>
        <v>1.5018960348162425</v>
      </c>
      <c r="AA468" s="194">
        <f t="shared" si="89"/>
        <v>0.72818090190849893</v>
      </c>
      <c r="AB468" s="194">
        <f t="shared" si="90"/>
        <v>0.4773822539827689</v>
      </c>
      <c r="AC468" s="194">
        <f t="shared" si="82"/>
        <v>0.7668717740839448</v>
      </c>
      <c r="AD468">
        <f t="shared" si="83"/>
        <v>51</v>
      </c>
      <c r="AE468" s="194">
        <f t="shared" si="91"/>
        <v>0.13517707611817231</v>
      </c>
      <c r="AF468" s="194">
        <f t="shared" si="92"/>
        <v>1.3139387424218309E-2</v>
      </c>
      <c r="AG468" s="252" t="str">
        <f>IF(ISNUMBER(SEARCH("C",'WetLitterbags placem_collection'!$Y175)),"YES","NO")</f>
        <v>NO</v>
      </c>
      <c r="AH468" s="252" t="str">
        <f>IF(ISNUMBER(SEARCH("H", 'WetLitterbags placem_collection'!$Y175)),"YES","NO")</f>
        <v>NO</v>
      </c>
      <c r="AI468" s="252" t="str">
        <f>IF(ISNUMBER(SEARCH("R", 'WetLitterbags placem_collection'!$Y175)),"YES","NO")</f>
        <v>NO</v>
      </c>
      <c r="AJ468" s="252" t="str">
        <f>IF(ISNUMBER(SEARCH("C", 'WetLitterbags placem_collection'!$W175)),"YES","NO")</f>
        <v>YES</v>
      </c>
      <c r="AK468" s="252" t="str">
        <f>IF(ISNUMBER(SEARCH("H", 'WetLitterbags placem_collection'!$W175)),"YES","NO")</f>
        <v>YES</v>
      </c>
      <c r="AL468" s="252" t="str">
        <f>IF(ISNUMBER(SEARCH("R", 'WetLitterbags placem_collection'!$W175)),"YES","NO")</f>
        <v>NO</v>
      </c>
    </row>
    <row r="469" spans="2:38">
      <c r="B469" t="str">
        <f>'Final data_for_R_analysis_Wetse'!A615</f>
        <v>Wet</v>
      </c>
      <c r="C469" s="260">
        <f>'Final data_for_R_analysis_Wetse'!B615</f>
        <v>174</v>
      </c>
      <c r="D469" t="s">
        <v>3827</v>
      </c>
      <c r="E469" t="s">
        <v>25</v>
      </c>
      <c r="F469" s="382">
        <v>6</v>
      </c>
      <c r="G469" s="16">
        <f>'WetLitterbags placem_collection'!E176</f>
        <v>42763</v>
      </c>
      <c r="H469" s="92" t="str">
        <f>'Final data_for_R_analysis_Wetse'!K615</f>
        <v>G736</v>
      </c>
      <c r="I469" t="str">
        <f>'Final data_for_R_analysis_Wetse'!K835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84"/>
        <v>1.8262</v>
      </c>
      <c r="M469" s="194">
        <f>AVERAGE(Ashed_controlls!$K$2:$K$11)</f>
        <v>5.5147656768714146</v>
      </c>
      <c r="N469" s="194">
        <f t="shared" si="81"/>
        <v>1.7254893492089742</v>
      </c>
      <c r="O469" s="194">
        <f t="shared" si="85"/>
        <v>1.9742000000000002</v>
      </c>
      <c r="P469" s="194">
        <f>AVERAGE(Ashed_controlls!$K$12:$K$14)</f>
        <v>2.2816647271287041</v>
      </c>
      <c r="Q469" s="194">
        <f t="shared" si="86"/>
        <v>1.9291553749570254</v>
      </c>
      <c r="R469" s="16">
        <f>IF('WetLitterbags placem_collection'!G176="","",'WetLitterbags placem_collection'!G176)</f>
        <v>42814</v>
      </c>
      <c r="S469" s="194">
        <f>IFERROR(INDEX('Both teabags AfterWet'!$C$3:$C$2000,MATCH(H469,'Both teabags AfterWet'!$A$3:$A$2000,0)),"")</f>
        <v>0.63500000000000001</v>
      </c>
      <c r="T469" s="194">
        <f>IFERROR(INDEX('Both teabags AfterWet'!$C$3:$C$2000,MATCH(I469,'Both teabags AfterWet'!$A$3:$A$2000,0)),"")</f>
        <v>1.772</v>
      </c>
      <c r="U469" s="194">
        <f t="shared" si="87"/>
        <v>0.4844</v>
      </c>
      <c r="V469" s="194">
        <f t="shared" si="88"/>
        <v>1.6214</v>
      </c>
      <c r="W469" s="194">
        <f>IFERROR(INDEX('Ashed teabags wet'!$K$2:$K$2000,MATCH(H469,'Ashed teabags wet'!$A$2:$A$2000,0)),"")</f>
        <v>8.7727944800392965</v>
      </c>
      <c r="X469" s="237">
        <f>IFERROR(INDEX('Ashed teabags wet'!$K$2:$K$2000,MATCH(I469,'Ashed teabags wet'!$A$2:$A$2000,0)),"")</f>
        <v>2.1032504780120633</v>
      </c>
      <c r="Y469" s="194">
        <f t="shared" si="93"/>
        <v>0.44190458353868967</v>
      </c>
      <c r="Z469" s="194">
        <f t="shared" si="93"/>
        <v>1.5872978967495124</v>
      </c>
      <c r="AA469" s="194">
        <f t="shared" si="89"/>
        <v>0.74389608157171505</v>
      </c>
      <c r="AB469" s="194">
        <f t="shared" si="90"/>
        <v>0.48768484207551877</v>
      </c>
      <c r="AC469" s="194">
        <f t="shared" si="82"/>
        <v>0.82279422246374101</v>
      </c>
      <c r="AD469">
        <f t="shared" si="83"/>
        <v>51</v>
      </c>
      <c r="AE469" s="194">
        <f t="shared" si="91"/>
        <v>0.11651296725449511</v>
      </c>
      <c r="AF469" s="194">
        <f t="shared" si="92"/>
        <v>8.853978582342905E-3</v>
      </c>
      <c r="AG469" s="252" t="str">
        <f>IF(ISNUMBER(SEARCH("C",'WetLitterbags placem_collection'!$Y176)),"YES","NO")</f>
        <v>NO</v>
      </c>
      <c r="AH469" s="252" t="str">
        <f>IF(ISNUMBER(SEARCH("H", 'WetLitterbags placem_collection'!$Y176)),"YES","NO")</f>
        <v>NO</v>
      </c>
      <c r="AI469" s="252" t="str">
        <f>IF(ISNUMBER(SEARCH("R", 'WetLitterbags placem_collection'!$Y176)),"YES","NO")</f>
        <v>NO</v>
      </c>
      <c r="AJ469" s="252" t="str">
        <f>IF(ISNUMBER(SEARCH("C", 'WetLitterbags placem_collection'!$W176)),"YES","NO")</f>
        <v>NO</v>
      </c>
      <c r="AK469" s="252" t="str">
        <f>IF(ISNUMBER(SEARCH("H", 'WetLitterbags placem_collection'!$W176)),"YES","NO")</f>
        <v>NO</v>
      </c>
      <c r="AL469" s="252" t="str">
        <f>IF(ISNUMBER(SEARCH("R", 'WetLitterbags placem_collection'!$W176)),"YES","NO")</f>
        <v>YES</v>
      </c>
    </row>
    <row r="470" spans="2:38">
      <c r="B470" t="str">
        <f>'Final data_for_R_analysis_Wetse'!A616</f>
        <v>Wet</v>
      </c>
      <c r="C470" s="260">
        <f>'Final data_for_R_analysis_Wetse'!B616</f>
        <v>175</v>
      </c>
      <c r="D470" t="s">
        <v>3827</v>
      </c>
      <c r="E470" t="s">
        <v>25</v>
      </c>
      <c r="F470" s="382">
        <v>7</v>
      </c>
      <c r="G470" s="16">
        <f>'WetLitterbags placem_collection'!E177</f>
        <v>42763</v>
      </c>
      <c r="H470" s="92" t="str">
        <f>'Final data_for_R_analysis_Wetse'!K616</f>
        <v>G772</v>
      </c>
      <c r="I470" t="str">
        <f>'Final data_for_R_analysis_Wetse'!K836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84"/>
        <v>1.7921999999999998</v>
      </c>
      <c r="M470" s="194">
        <f>AVERAGE(Ashed_controlls!$K$2:$K$11)</f>
        <v>5.5147656768714146</v>
      </c>
      <c r="N470" s="194">
        <f t="shared" si="81"/>
        <v>1.6933643695391103</v>
      </c>
      <c r="O470" s="194">
        <f t="shared" si="85"/>
        <v>1.9091999999999998</v>
      </c>
      <c r="P470" s="194">
        <f>AVERAGE(Ashed_controlls!$K$12:$K$14)</f>
        <v>2.2816647271287041</v>
      </c>
      <c r="Q470" s="194">
        <f t="shared" si="86"/>
        <v>1.8656384570296585</v>
      </c>
      <c r="R470" s="16">
        <f>IF('WetLitterbags placem_collection'!G177="","",'WetLitterbags placem_collection'!G177)</f>
        <v>42814</v>
      </c>
      <c r="S470" s="194">
        <f>IFERROR(INDEX('Both teabags AfterWet'!$C$3:$C$2000,MATCH(H470,'Both teabags AfterWet'!$A$3:$A$2000,0)),"")</f>
        <v>0.58099999999999996</v>
      </c>
      <c r="T470" s="194">
        <f>IFERROR(INDEX('Both teabags AfterWet'!$C$3:$C$2000,MATCH(I470,'Both teabags AfterWet'!$A$3:$A$2000,0)),"")</f>
        <v>1.681</v>
      </c>
      <c r="U470" s="194">
        <f t="shared" si="87"/>
        <v>0.43039999999999995</v>
      </c>
      <c r="V470" s="194">
        <f t="shared" si="88"/>
        <v>1.5304</v>
      </c>
      <c r="W470" s="194">
        <f>IFERROR(INDEX('Ashed teabags wet'!$K$2:$K$2000,MATCH(H470,'Ashed teabags wet'!$A$2:$A$2000,0)),"")</f>
        <v>9.0770015298325593</v>
      </c>
      <c r="X470" s="237">
        <f>IFERROR(INDEX('Ashed teabags wet'!$K$2:$K$2000,MATCH(I470,'Ashed teabags wet'!$A$2:$A$2000,0)),"")</f>
        <v>22.390243902438794</v>
      </c>
      <c r="Y470" s="194">
        <f t="shared" si="93"/>
        <v>0.39133258541560062</v>
      </c>
      <c r="Z470" s="194">
        <f t="shared" si="93"/>
        <v>1.1877397073170766</v>
      </c>
      <c r="AA470" s="194">
        <f t="shared" si="89"/>
        <v>0.76890231514549279</v>
      </c>
      <c r="AB470" s="194">
        <f t="shared" si="90"/>
        <v>0.50407847738754408</v>
      </c>
      <c r="AC470" s="194">
        <f t="shared" si="82"/>
        <v>0.63663980705463918</v>
      </c>
      <c r="AD470">
        <f t="shared" si="83"/>
        <v>51</v>
      </c>
      <c r="AE470" s="194">
        <f t="shared" si="91"/>
        <v>8.6814352558797103E-2</v>
      </c>
      <c r="AF470" s="194">
        <f t="shared" si="92"/>
        <v>2.5019059921247203E-2</v>
      </c>
      <c r="AG470" s="252" t="str">
        <f>IF(ISNUMBER(SEARCH("C",'WetLitterbags placem_collection'!$Y177)),"YES","NO")</f>
        <v>NO</v>
      </c>
      <c r="AH470" s="252" t="str">
        <f>IF(ISNUMBER(SEARCH("H", 'WetLitterbags placem_collection'!$Y177)),"YES","NO")</f>
        <v>NO</v>
      </c>
      <c r="AI470" s="252" t="str">
        <f>IF(ISNUMBER(SEARCH("R", 'WetLitterbags placem_collection'!$Y177)),"YES","NO")</f>
        <v>NO</v>
      </c>
      <c r="AJ470" s="252" t="str">
        <f>IF(ISNUMBER(SEARCH("C", 'WetLitterbags placem_collection'!$W177)),"YES","NO")</f>
        <v>YES</v>
      </c>
      <c r="AK470" s="252" t="str">
        <f>IF(ISNUMBER(SEARCH("H", 'WetLitterbags placem_collection'!$W177)),"YES","NO")</f>
        <v>YES</v>
      </c>
      <c r="AL470" s="252" t="str">
        <f>IF(ISNUMBER(SEARCH("R", 'WetLitterbags placem_collection'!$W177)),"YES","NO")</f>
        <v>NO</v>
      </c>
    </row>
    <row r="471" spans="2:38">
      <c r="B471" t="str">
        <f>'Final data_for_R_analysis_Wetse'!A617</f>
        <v>Wet</v>
      </c>
      <c r="C471" s="260">
        <f>'Final data_for_R_analysis_Wetse'!B617</f>
        <v>176</v>
      </c>
      <c r="D471" t="s">
        <v>3827</v>
      </c>
      <c r="E471" t="s">
        <v>25</v>
      </c>
      <c r="F471" s="382">
        <v>8</v>
      </c>
      <c r="G471" s="16">
        <f>'WetLitterbags placem_collection'!E178</f>
        <v>42763</v>
      </c>
      <c r="H471" s="92" t="str">
        <f>'Final data_for_R_analysis_Wetse'!K617</f>
        <v>G470</v>
      </c>
      <c r="I471" t="str">
        <f>'Final data_for_R_analysis_Wetse'!K837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84"/>
        <v>1.7472000000000001</v>
      </c>
      <c r="M471" s="194">
        <f>AVERAGE(Ashed_controlls!$K$2:$K$11)</f>
        <v>5.5147656768714146</v>
      </c>
      <c r="N471" s="194">
        <f t="shared" si="81"/>
        <v>1.6508460140937027</v>
      </c>
      <c r="O471" s="194">
        <f t="shared" si="85"/>
        <v>1.9392</v>
      </c>
      <c r="P471" s="194">
        <f>AVERAGE(Ashed_controlls!$K$12:$K$14)</f>
        <v>2.2816647271287041</v>
      </c>
      <c r="Q471" s="194">
        <f t="shared" si="86"/>
        <v>1.8949539576115202</v>
      </c>
      <c r="R471" s="16">
        <f>IF('WetLitterbags placem_collection'!G178="","",'WetLitterbags placem_collection'!G178)</f>
        <v>42814</v>
      </c>
      <c r="S471" s="194">
        <f>IFERROR(INDEX('Both teabags AfterWet'!$C$3:$C$2000,MATCH(H471,'Both teabags AfterWet'!$A$3:$A$2000,0)),"")</f>
        <v>0.60299999999999998</v>
      </c>
      <c r="T471" s="194">
        <f>IFERROR(INDEX('Both teabags AfterWet'!$C$3:$C$2000,MATCH(I471,'Both teabags AfterWet'!$A$3:$A$2000,0)),"")</f>
        <v>1.7070000000000001</v>
      </c>
      <c r="U471" s="194">
        <f t="shared" si="87"/>
        <v>0.45239999999999997</v>
      </c>
      <c r="V471" s="194">
        <f t="shared" si="88"/>
        <v>1.5564</v>
      </c>
      <c r="W471" s="194">
        <f>IFERROR(INDEX('Ashed teabags wet'!$K$2:$K$2000,MATCH(H471,'Ashed teabags wet'!$A$2:$A$2000,0)),"")</f>
        <v>9.3558282208585464</v>
      </c>
      <c r="X471" s="237">
        <f>IFERROR(INDEX('Ashed teabags wet'!$K$2:$K$2000,MATCH(I471,'Ashed teabags wet'!$A$2:$A$2000,0)),"")</f>
        <v>2.6433915211971035</v>
      </c>
      <c r="Y471" s="194">
        <f t="shared" si="93"/>
        <v>0.4100742331288359</v>
      </c>
      <c r="Z471" s="194">
        <f t="shared" si="93"/>
        <v>1.5152582543640882</v>
      </c>
      <c r="AA471" s="194">
        <f t="shared" si="89"/>
        <v>0.75159752658459644</v>
      </c>
      <c r="AB471" s="194">
        <f t="shared" si="90"/>
        <v>0.49273377039750271</v>
      </c>
      <c r="AC471" s="194">
        <f t="shared" si="82"/>
        <v>0.79962800588251948</v>
      </c>
      <c r="AD471">
        <f t="shared" si="83"/>
        <v>51</v>
      </c>
      <c r="AE471" s="194">
        <f t="shared" si="91"/>
        <v>0.10736635797553862</v>
      </c>
      <c r="AF471" s="194">
        <f t="shared" si="92"/>
        <v>1.0234843400941558E-2</v>
      </c>
      <c r="AG471" s="252" t="str">
        <f>IF(ISNUMBER(SEARCH("C",'WetLitterbags placem_collection'!$Y178)),"YES","NO")</f>
        <v>NO</v>
      </c>
      <c r="AH471" s="252" t="str">
        <f>IF(ISNUMBER(SEARCH("H", 'WetLitterbags placem_collection'!$Y178)),"YES","NO")</f>
        <v>NO</v>
      </c>
      <c r="AI471" s="252" t="str">
        <f>IF(ISNUMBER(SEARCH("R", 'WetLitterbags placem_collection'!$Y178)),"YES","NO")</f>
        <v>NO</v>
      </c>
      <c r="AJ471" s="252" t="str">
        <f>IF(ISNUMBER(SEARCH("C", 'WetLitterbags placem_collection'!$W178)),"YES","NO")</f>
        <v>NO</v>
      </c>
      <c r="AK471" s="252" t="str">
        <f>IF(ISNUMBER(SEARCH("H", 'WetLitterbags placem_collection'!$W178)),"YES","NO")</f>
        <v>NO</v>
      </c>
      <c r="AL471" s="252" t="str">
        <f>IF(ISNUMBER(SEARCH("R", 'WetLitterbags placem_collection'!$W178)),"YES","NO")</f>
        <v>NO</v>
      </c>
    </row>
    <row r="472" spans="2:38">
      <c r="B472" t="str">
        <f>'Final data_for_R_analysis_Wetse'!A618</f>
        <v>Wet</v>
      </c>
      <c r="C472" s="260">
        <f>'Final data_for_R_analysis_Wetse'!B618</f>
        <v>177</v>
      </c>
      <c r="D472" t="s">
        <v>3828</v>
      </c>
      <c r="E472" t="s">
        <v>25</v>
      </c>
      <c r="F472" s="381">
        <v>1</v>
      </c>
      <c r="G472" s="16">
        <f>'WetLitterbags placem_collection'!E179</f>
        <v>42763</v>
      </c>
      <c r="H472" s="92" t="str">
        <f>'Final data_for_R_analysis_Wetse'!K618</f>
        <v>G483</v>
      </c>
      <c r="I472" t="str">
        <f>'Final data_for_R_analysis_Wetse'!K838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84"/>
        <v>1.7252000000000001</v>
      </c>
      <c r="M472" s="194">
        <f>AVERAGE(Ashed_controlls!$K$2:$K$11)</f>
        <v>5.5147656768714146</v>
      </c>
      <c r="N472" s="194">
        <f t="shared" si="81"/>
        <v>1.6300592625426145</v>
      </c>
      <c r="O472" s="194">
        <f t="shared" si="85"/>
        <v>1.8742000000000001</v>
      </c>
      <c r="P472" s="194">
        <f>AVERAGE(Ashed_controlls!$K$12:$K$14)</f>
        <v>2.2816647271287041</v>
      </c>
      <c r="Q472" s="194">
        <f t="shared" si="86"/>
        <v>1.8314370396841539</v>
      </c>
      <c r="R472" s="16">
        <f>IF('WetLitterbags placem_collection'!G179="","",'WetLitterbags placem_collection'!G179)</f>
        <v>42815</v>
      </c>
      <c r="S472" s="194">
        <f>IFERROR(INDEX('Both teabags AfterWet'!$C$3:$C$2000,MATCH(H472,'Both teabags AfterWet'!$A$3:$A$2000,0)),"")</f>
        <v>0.58399999999999996</v>
      </c>
      <c r="T472" s="194">
        <f>IFERROR(INDEX('Both teabags AfterWet'!$C$3:$C$2000,MATCH(I472,'Both teabags AfterWet'!$A$3:$A$2000,0)),"")</f>
        <v>1.677</v>
      </c>
      <c r="U472" s="194">
        <f t="shared" si="87"/>
        <v>0.43339999999999995</v>
      </c>
      <c r="V472" s="194">
        <f t="shared" si="88"/>
        <v>1.5264</v>
      </c>
      <c r="W472" s="194">
        <f>IFERROR(INDEX('Ashed teabags wet'!$K$2:$K$2000,MATCH(H472,'Ashed teabags wet'!$A$2:$A$2000,0)),"")</f>
        <v>8.5170340681363346</v>
      </c>
      <c r="X472" s="237">
        <f>IFERROR(INDEX('Ashed teabags wet'!$K$2:$K$2000,MATCH(I472,'Ashed teabags wet'!$A$2:$A$2000,0)),"")</f>
        <v>2.3705853894531068</v>
      </c>
      <c r="Y472" s="194">
        <f t="shared" si="93"/>
        <v>0.39648717434869707</v>
      </c>
      <c r="Z472" s="194">
        <f t="shared" si="93"/>
        <v>1.4902153846153878</v>
      </c>
      <c r="AA472" s="194">
        <f t="shared" si="89"/>
        <v>0.75676517813822008</v>
      </c>
      <c r="AB472" s="194">
        <f t="shared" si="90"/>
        <v>0.49612158946828688</v>
      </c>
      <c r="AC472" s="194">
        <f t="shared" si="82"/>
        <v>0.81368638524007764</v>
      </c>
      <c r="AD472">
        <f t="shared" si="83"/>
        <v>52</v>
      </c>
      <c r="AE472" s="194">
        <f t="shared" si="91"/>
        <v>0.10122900458643691</v>
      </c>
      <c r="AF472" s="194">
        <f t="shared" si="92"/>
        <v>9.0551609156824427E-3</v>
      </c>
      <c r="AG472" s="252" t="str">
        <f>IF(ISNUMBER(SEARCH("C",'WetLitterbags placem_collection'!$Y179)),"YES","NO")</f>
        <v>NO</v>
      </c>
      <c r="AH472" s="252" t="str">
        <f>IF(ISNUMBER(SEARCH("H", 'WetLitterbags placem_collection'!$Y179)),"YES","NO")</f>
        <v>NO</v>
      </c>
      <c r="AI472" s="252" t="str">
        <f>IF(ISNUMBER(SEARCH("R", 'WetLitterbags placem_collection'!$Y179)),"YES","NO")</f>
        <v>NO</v>
      </c>
      <c r="AJ472" s="252" t="str">
        <f>IF(ISNUMBER(SEARCH("C", 'WetLitterbags placem_collection'!$W179)),"YES","NO")</f>
        <v>YES</v>
      </c>
      <c r="AK472" s="252" t="str">
        <f>IF(ISNUMBER(SEARCH("H", 'WetLitterbags placem_collection'!$W179)),"YES","NO")</f>
        <v>NO</v>
      </c>
      <c r="AL472" s="252" t="str">
        <f>IF(ISNUMBER(SEARCH("R", 'WetLitterbags placem_collection'!$W179)),"YES","NO")</f>
        <v>YES</v>
      </c>
    </row>
    <row r="473" spans="2:38">
      <c r="B473" t="str">
        <f>'Final data_for_R_analysis_Wetse'!A619</f>
        <v>Wet</v>
      </c>
      <c r="C473" s="260">
        <f>'Final data_for_R_analysis_Wetse'!B619</f>
        <v>178</v>
      </c>
      <c r="D473" t="s">
        <v>3828</v>
      </c>
      <c r="E473" t="s">
        <v>25</v>
      </c>
      <c r="F473" s="381">
        <v>2</v>
      </c>
      <c r="G473" s="16">
        <f>'WetLitterbags placem_collection'!E180</f>
        <v>42763</v>
      </c>
      <c r="H473" s="92" t="str">
        <f>'Final data_for_R_analysis_Wetse'!K619</f>
        <v>G893</v>
      </c>
      <c r="I473" t="str">
        <f>'Final data_for_R_analysis_Wetse'!K839</f>
        <v>R488</v>
      </c>
      <c r="J473">
        <f>IFERROR(INDEX('Green_rooibos initial weight'!$C$5:$C$2000,MATCH(H473, 'Green_rooibos initial weight'!$A$5:$A$2000,0)),"")</f>
        <v>2.036</v>
      </c>
      <c r="K473">
        <f>IFERROR(INDEX('Green_rooibos initial weight'!$C$5:$C$2000,MATCH(I473, 'Green_rooibos initial weight'!$A$5:$A$2000,0)),"")</f>
        <v>2.1589999999999998</v>
      </c>
      <c r="L473" s="194">
        <f t="shared" si="84"/>
        <v>1.7862</v>
      </c>
      <c r="M473" s="194">
        <f>AVERAGE(Ashed_controlls!$K$2:$K$11)</f>
        <v>5.5147656768714146</v>
      </c>
      <c r="N473" s="194">
        <f t="shared" si="81"/>
        <v>1.6876952554797229</v>
      </c>
      <c r="O473" s="194">
        <f t="shared" si="85"/>
        <v>1.9091999999999998</v>
      </c>
      <c r="P473" s="194">
        <f>AVERAGE(Ashed_controlls!$K$12:$K$14)</f>
        <v>2.2816647271287041</v>
      </c>
      <c r="Q473" s="194">
        <f t="shared" si="86"/>
        <v>1.8656384570296585</v>
      </c>
      <c r="R473" s="16">
        <f>IF('WetLitterbags placem_collection'!G180="","",'WetLitterbags placem_collection'!G180)</f>
        <v>42815</v>
      </c>
      <c r="S473" s="194">
        <f>IFERROR(INDEX('Both teabags AfterWet'!$C$3:$C$2000,MATCH(H473,'Both teabags AfterWet'!$A$3:$A$2000,0)),"")</f>
        <v>0.60699999999999998</v>
      </c>
      <c r="T473" s="194">
        <f>IFERROR(INDEX('Both teabags AfterWet'!$C$3:$C$2000,MATCH(I473,'Both teabags AfterWet'!$A$3:$A$2000,0)),"")</f>
        <v>1.6446000000000001</v>
      </c>
      <c r="U473" s="194">
        <f t="shared" si="87"/>
        <v>0.45639999999999997</v>
      </c>
      <c r="V473" s="194">
        <f t="shared" si="88"/>
        <v>1.494</v>
      </c>
      <c r="W473" s="194">
        <f>IFERROR(INDEX('Ashed teabags wet'!$K$2:$K$2000,MATCH(H473,'Ashed teabags wet'!$A$2:$A$2000,0)),"")</f>
        <v>8.1265206812653794</v>
      </c>
      <c r="X473" s="237">
        <f>IFERROR(INDEX('Ashed teabags wet'!$K$2:$K$2000,MATCH(I473,'Ashed teabags wet'!$A$2:$A$2000,0)),"")</f>
        <v>2.0802377414560613</v>
      </c>
      <c r="Y473" s="194">
        <f t="shared" si="93"/>
        <v>0.41931055961070479</v>
      </c>
      <c r="Z473" s="194">
        <f t="shared" si="93"/>
        <v>1.4629212481426463</v>
      </c>
      <c r="AA473" s="194">
        <f t="shared" si="89"/>
        <v>0.7515484159540895</v>
      </c>
      <c r="AB473" s="194">
        <f t="shared" si="90"/>
        <v>0.49270157435470008</v>
      </c>
      <c r="AC473" s="194">
        <f t="shared" si="82"/>
        <v>0.7841397365231253</v>
      </c>
      <c r="AD473">
        <f t="shared" si="83"/>
        <v>52</v>
      </c>
      <c r="AE473" s="194">
        <f t="shared" si="91"/>
        <v>0.10742468414003614</v>
      </c>
      <c r="AF473" s="194">
        <f t="shared" si="92"/>
        <v>1.1085753996115709E-2</v>
      </c>
      <c r="AG473" s="252" t="str">
        <f>IF(ISNUMBER(SEARCH("C",'WetLitterbags placem_collection'!$Y180)),"YES","NO")</f>
        <v>NO</v>
      </c>
      <c r="AH473" s="252" t="str">
        <f>IF(ISNUMBER(SEARCH("H", 'WetLitterbags placem_collection'!$Y180)),"YES","NO")</f>
        <v>NO</v>
      </c>
      <c r="AI473" s="252" t="str">
        <f>IF(ISNUMBER(SEARCH("R", 'WetLitterbags placem_collection'!$Y180)),"YES","NO")</f>
        <v>NO</v>
      </c>
      <c r="AJ473" s="252" t="str">
        <f>IF(ISNUMBER(SEARCH("C", 'WetLitterbags placem_collection'!$W180)),"YES","NO")</f>
        <v>NO</v>
      </c>
      <c r="AK473" s="252" t="str">
        <f>IF(ISNUMBER(SEARCH("H", 'WetLitterbags placem_collection'!$W180)),"YES","NO")</f>
        <v>NO</v>
      </c>
      <c r="AL473" s="252" t="str">
        <f>IF(ISNUMBER(SEARCH("R", 'WetLitterbags placem_collection'!$W180)),"YES","NO")</f>
        <v>NO</v>
      </c>
    </row>
    <row r="474" spans="2:38">
      <c r="B474" t="str">
        <f>'Final data_for_R_analysis_Wetse'!A620</f>
        <v>Wet</v>
      </c>
      <c r="C474" s="260">
        <f>'Final data_for_R_analysis_Wetse'!B620</f>
        <v>179</v>
      </c>
      <c r="D474" t="s">
        <v>3828</v>
      </c>
      <c r="E474" t="s">
        <v>25</v>
      </c>
      <c r="F474" s="381">
        <v>3</v>
      </c>
      <c r="G474" s="16">
        <f>'WetLitterbags placem_collection'!E181</f>
        <v>42763</v>
      </c>
      <c r="H474" s="92" t="str">
        <f>'Final data_for_R_analysis_Wetse'!K620</f>
        <v>G826</v>
      </c>
      <c r="I474" t="str">
        <f>'Final data_for_R_analysis_Wetse'!K840</f>
        <v>R273</v>
      </c>
      <c r="J474">
        <f>IFERROR(INDEX('Green_rooibos initial weight'!$C$5:$C$2000,MATCH(H474, 'Green_rooibos initial weight'!$A$5:$A$2000,0)),"")</f>
        <v>2.15</v>
      </c>
      <c r="K474">
        <f>IFERROR(INDEX('Green_rooibos initial weight'!$C$5:$C$2000,MATCH(I474, 'Green_rooibos initial weight'!$A$5:$A$2000,0)),"")</f>
        <v>2.2090000000000001</v>
      </c>
      <c r="L474" s="194">
        <f t="shared" si="84"/>
        <v>1.9001999999999999</v>
      </c>
      <c r="M474" s="194">
        <f>AVERAGE(Ashed_controlls!$K$2:$K$11)</f>
        <v>5.5147656768714146</v>
      </c>
      <c r="N474" s="194">
        <f t="shared" si="81"/>
        <v>1.7954084226080893</v>
      </c>
      <c r="O474" s="194">
        <f t="shared" si="85"/>
        <v>1.9592000000000001</v>
      </c>
      <c r="P474" s="194">
        <f>AVERAGE(Ashed_controlls!$K$12:$K$14)</f>
        <v>2.2816647271287041</v>
      </c>
      <c r="Q474" s="194">
        <f t="shared" si="86"/>
        <v>1.9144976246660945</v>
      </c>
      <c r="R474" s="16">
        <f>IF('WetLitterbags placem_collection'!G181="","",'WetLitterbags placem_collection'!G181)</f>
        <v>42815</v>
      </c>
      <c r="S474" s="194">
        <f>IFERROR(INDEX('Both teabags AfterWet'!$C$3:$C$2000,MATCH(H474,'Both teabags AfterWet'!$A$3:$A$2000,0)),"")</f>
        <v>0.60060000000000002</v>
      </c>
      <c r="T474" s="194">
        <f>IFERROR(INDEX('Both teabags AfterWet'!$C$3:$C$2000,MATCH(I474,'Both teabags AfterWet'!$A$3:$A$2000,0)),"")</f>
        <v>1.655</v>
      </c>
      <c r="U474" s="194">
        <f t="shared" si="87"/>
        <v>0.45</v>
      </c>
      <c r="V474" s="194">
        <f t="shared" si="88"/>
        <v>1.5044</v>
      </c>
      <c r="W474" s="194">
        <f>IFERROR(INDEX('Ashed teabags wet'!$K$2:$K$2000,MATCH(H474,'Ashed teabags wet'!$A$2:$A$2000,0)),"")</f>
        <v>8.7676570871892565</v>
      </c>
      <c r="X474" s="237">
        <f>IFERROR(INDEX('Ashed teabags wet'!$K$2:$K$2000,MATCH(I474,'Ashed teabags wet'!$A$2:$A$2000,0)),"")</f>
        <v>1.9912578921804642</v>
      </c>
      <c r="Y474" s="194">
        <f t="shared" si="93"/>
        <v>0.41054554310764835</v>
      </c>
      <c r="Z474" s="194">
        <f t="shared" si="93"/>
        <v>1.4744435162700371</v>
      </c>
      <c r="AA474" s="194">
        <f t="shared" si="89"/>
        <v>0.77133584874728844</v>
      </c>
      <c r="AB474" s="194">
        <f t="shared" si="90"/>
        <v>0.50567385808610843</v>
      </c>
      <c r="AC474" s="194">
        <f t="shared" si="82"/>
        <v>0.77014643281534145</v>
      </c>
      <c r="AD474">
        <f t="shared" si="83"/>
        <v>52</v>
      </c>
      <c r="AE474" s="194">
        <f t="shared" si="91"/>
        <v>8.3924170133861664E-2</v>
      </c>
      <c r="AF474" s="194">
        <f t="shared" si="92"/>
        <v>1.1656584202214141E-2</v>
      </c>
      <c r="AG474" s="252" t="str">
        <f>IF(ISNUMBER(SEARCH("C",'WetLitterbags placem_collection'!$Y181)),"YES","NO")</f>
        <v>NO</v>
      </c>
      <c r="AH474" s="252" t="str">
        <f>IF(ISNUMBER(SEARCH("H", 'WetLitterbags placem_collection'!$Y181)),"YES","NO")</f>
        <v>NO</v>
      </c>
      <c r="AI474" s="252" t="str">
        <f>IF(ISNUMBER(SEARCH("R", 'WetLitterbags placem_collection'!$Y181)),"YES","NO")</f>
        <v>NO</v>
      </c>
      <c r="AJ474" s="252" t="str">
        <f>IF(ISNUMBER(SEARCH("C", 'WetLitterbags placem_collection'!$W181)),"YES","NO")</f>
        <v>NO</v>
      </c>
      <c r="AK474" s="252" t="str">
        <f>IF(ISNUMBER(SEARCH("H", 'WetLitterbags placem_collection'!$W181)),"YES","NO")</f>
        <v>NO</v>
      </c>
      <c r="AL474" s="252" t="str">
        <f>IF(ISNUMBER(SEARCH("R", 'WetLitterbags placem_collection'!$W181)),"YES","NO")</f>
        <v>YES</v>
      </c>
    </row>
    <row r="475" spans="2:38">
      <c r="B475" t="str">
        <f>'Final data_for_R_analysis_Wetse'!A621</f>
        <v>Wet</v>
      </c>
      <c r="C475" s="260">
        <f>'Final data_for_R_analysis_Wetse'!B621</f>
        <v>180</v>
      </c>
      <c r="D475" t="s">
        <v>3828</v>
      </c>
      <c r="E475" t="s">
        <v>25</v>
      </c>
      <c r="F475" s="382">
        <v>4</v>
      </c>
      <c r="G475" s="16">
        <f>'WetLitterbags placem_collection'!E182</f>
        <v>42763</v>
      </c>
      <c r="H475" s="92" t="str">
        <f>'Final data_for_R_analysis_Wetse'!K621</f>
        <v>G783</v>
      </c>
      <c r="I475" t="str">
        <f>'Final data_for_R_analysis_Wetse'!K841</f>
        <v>R301</v>
      </c>
      <c r="J475">
        <f>IFERROR(INDEX('Green_rooibos initial weight'!$C$5:$C$2000,MATCH(H475, 'Green_rooibos initial weight'!$A$5:$A$2000,0)),"")</f>
        <v>1.976</v>
      </c>
      <c r="K475">
        <f>IFERROR(INDEX('Green_rooibos initial weight'!$C$5:$C$2000,MATCH(I475, 'Green_rooibos initial weight'!$A$5:$A$2000,0)),"")</f>
        <v>2.2530000000000001</v>
      </c>
      <c r="L475" s="194">
        <f t="shared" si="84"/>
        <v>1.7262</v>
      </c>
      <c r="M475" s="194">
        <f>AVERAGE(Ashed_controlls!$K$2:$K$11)</f>
        <v>5.5147656768714146</v>
      </c>
      <c r="N475" s="194">
        <f t="shared" si="81"/>
        <v>1.6310041148858456</v>
      </c>
      <c r="O475" s="194">
        <f t="shared" si="85"/>
        <v>2.0032000000000001</v>
      </c>
      <c r="P475" s="194">
        <f>AVERAGE(Ashed_controlls!$K$12:$K$14)</f>
        <v>2.2816647271287041</v>
      </c>
      <c r="Q475" s="194">
        <f t="shared" si="86"/>
        <v>1.9574936921861579</v>
      </c>
      <c r="R475" s="16">
        <f>IF('WetLitterbags placem_collection'!G182="","",'WetLitterbags placem_collection'!G182)</f>
        <v>42815</v>
      </c>
      <c r="S475" s="194">
        <f>IFERROR(INDEX('Both teabags AfterWet'!$C$3:$C$2000,MATCH(H475,'Both teabags AfterWet'!$A$3:$A$2000,0)),"")</f>
        <v>0.627</v>
      </c>
      <c r="T475" s="194">
        <f>IFERROR(INDEX('Both teabags AfterWet'!$C$3:$C$2000,MATCH(I475,'Both teabags AfterWet'!$A$3:$A$2000,0)),"")</f>
        <v>1.6709000000000001</v>
      </c>
      <c r="U475" s="194">
        <f t="shared" si="87"/>
        <v>0.47639999999999999</v>
      </c>
      <c r="V475" s="194">
        <f t="shared" si="88"/>
        <v>1.5203</v>
      </c>
      <c r="W475" s="194">
        <f>IFERROR(INDEX('Ashed teabags wet'!$K$2:$K$2000,MATCH(H475,'Ashed teabags wet'!$A$2:$A$2000,0)),"")</f>
        <v>8.7719298245612158</v>
      </c>
      <c r="X475" s="237">
        <f>IFERROR(INDEX('Ashed teabags wet'!$K$2:$K$2000,MATCH(I475,'Ashed teabags wet'!$A$2:$A$2000,0)),"")</f>
        <v>1.9038076152294727</v>
      </c>
      <c r="Y475" s="194">
        <f t="shared" si="93"/>
        <v>0.43461052631579034</v>
      </c>
      <c r="Z475" s="194">
        <f t="shared" si="93"/>
        <v>1.4913564128256662</v>
      </c>
      <c r="AA475" s="194">
        <f t="shared" si="89"/>
        <v>0.73353192530344491</v>
      </c>
      <c r="AB475" s="194">
        <f t="shared" si="90"/>
        <v>0.48089028832244851</v>
      </c>
      <c r="AC475" s="194">
        <f t="shared" si="82"/>
        <v>0.7618703543101063</v>
      </c>
      <c r="AD475">
        <f t="shared" si="83"/>
        <v>52</v>
      </c>
      <c r="AE475" s="194">
        <f t="shared" si="91"/>
        <v>0.12882194144483972</v>
      </c>
      <c r="AF475" s="194">
        <f t="shared" si="92"/>
        <v>1.3145446252428843E-2</v>
      </c>
      <c r="AG475" s="252" t="str">
        <f>IF(ISNUMBER(SEARCH("C",'WetLitterbags placem_collection'!$Y182)),"YES","NO")</f>
        <v>NO</v>
      </c>
      <c r="AH475" s="252" t="str">
        <f>IF(ISNUMBER(SEARCH("H", 'WetLitterbags placem_collection'!$Y182)),"YES","NO")</f>
        <v>NO</v>
      </c>
      <c r="AI475" s="252" t="str">
        <f>IF(ISNUMBER(SEARCH("R", 'WetLitterbags placem_collection'!$Y182)),"YES","NO")</f>
        <v>YES</v>
      </c>
      <c r="AJ475" s="252" t="str">
        <f>IF(ISNUMBER(SEARCH("C", 'WetLitterbags placem_collection'!$W182)),"YES","NO")</f>
        <v>NO</v>
      </c>
      <c r="AK475" s="252" t="str">
        <f>IF(ISNUMBER(SEARCH("H", 'WetLitterbags placem_collection'!$W182)),"YES","NO")</f>
        <v>NO</v>
      </c>
      <c r="AL475" s="252" t="str">
        <f>IF(ISNUMBER(SEARCH("R", 'WetLitterbags placem_collection'!$W182)),"YES","NO")</f>
        <v>NO</v>
      </c>
    </row>
    <row r="476" spans="2:38">
      <c r="B476" t="str">
        <f>'Final data_for_R_analysis_Wetse'!A622</f>
        <v>Wet</v>
      </c>
      <c r="C476" s="260">
        <f>'Final data_for_R_analysis_Wetse'!B622</f>
        <v>181</v>
      </c>
      <c r="D476" t="s">
        <v>3828</v>
      </c>
      <c r="E476" t="s">
        <v>25</v>
      </c>
      <c r="F476" s="382">
        <v>5</v>
      </c>
      <c r="G476" s="16">
        <f>'WetLitterbags placem_collection'!E183</f>
        <v>42763</v>
      </c>
      <c r="H476" s="92" t="str">
        <f>'Final data_for_R_analysis_Wetse'!K622</f>
        <v>G551</v>
      </c>
      <c r="I476" t="str">
        <f>'Final data_for_R_analysis_Wetse'!K842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84"/>
        <v>1.8662000000000001</v>
      </c>
      <c r="M476" s="194">
        <f>AVERAGE(Ashed_controlls!$K$2:$K$11)</f>
        <v>5.5147656768714146</v>
      </c>
      <c r="N476" s="194">
        <f t="shared" si="81"/>
        <v>1.7632834429382258</v>
      </c>
      <c r="O476" s="194">
        <f t="shared" si="85"/>
        <v>1.9822000000000002</v>
      </c>
      <c r="P476" s="194">
        <f>AVERAGE(Ashed_controlls!$K$12:$K$14)</f>
        <v>2.2816647271287041</v>
      </c>
      <c r="Q476" s="194">
        <f t="shared" si="86"/>
        <v>1.936972841778855</v>
      </c>
      <c r="R476" s="16">
        <f>IF('WetLitterbags placem_collection'!G183="","",'WetLitterbags placem_collection'!G183)</f>
        <v>42815</v>
      </c>
      <c r="S476" s="194">
        <f>IFERROR(INDEX('Both teabags AfterWet'!$C$3:$C$2000,MATCH(H476,'Both teabags AfterWet'!$A$3:$A$2000,0)),"")</f>
        <v>0.61199999999999999</v>
      </c>
      <c r="T476" s="194">
        <f>IFERROR(INDEX('Both teabags AfterWet'!$C$3:$C$2000,MATCH(I476,'Both teabags AfterWet'!$A$3:$A$2000,0)),"")</f>
        <v>1.6970000000000001</v>
      </c>
      <c r="U476" s="194">
        <f t="shared" si="87"/>
        <v>0.46139999999999998</v>
      </c>
      <c r="V476" s="194">
        <f t="shared" si="88"/>
        <v>1.5464</v>
      </c>
      <c r="W476" s="194">
        <f>IFERROR(INDEX('Ashed teabags wet'!$K$2:$K$2000,MATCH(H476,'Ashed teabags wet'!$A$2:$A$2000,0)),"")</f>
        <v>8.5532746823073538</v>
      </c>
      <c r="X476" s="237">
        <f>IFERROR(INDEX('Ashed teabags wet'!$K$2:$K$2000,MATCH(I476,'Ashed teabags wet'!$A$2:$A$2000,0)),"")</f>
        <v>2.1348859776812832</v>
      </c>
      <c r="Y476" s="194">
        <f t="shared" si="93"/>
        <v>0.42193519061583384</v>
      </c>
      <c r="Z476" s="194">
        <f t="shared" si="93"/>
        <v>1.5133861232411365</v>
      </c>
      <c r="AA476" s="194">
        <f t="shared" si="89"/>
        <v>0.76071051293219916</v>
      </c>
      <c r="AB476" s="194">
        <f t="shared" si="90"/>
        <v>0.49870807973702375</v>
      </c>
      <c r="AC476" s="194">
        <f t="shared" si="82"/>
        <v>0.78131509673170751</v>
      </c>
      <c r="AD476">
        <f t="shared" si="83"/>
        <v>52</v>
      </c>
      <c r="AE476" s="194">
        <f t="shared" si="91"/>
        <v>9.6543333809739673E-2</v>
      </c>
      <c r="AF476" s="194">
        <f t="shared" si="92"/>
        <v>1.1099010407166885E-2</v>
      </c>
      <c r="AG476" s="252" t="str">
        <f>IF(ISNUMBER(SEARCH("C",'WetLitterbags placem_collection'!$Y183)),"YES","NO")</f>
        <v>NO</v>
      </c>
      <c r="AH476" s="252" t="str">
        <f>IF(ISNUMBER(SEARCH("H", 'WetLitterbags placem_collection'!$Y183)),"YES","NO")</f>
        <v>NO</v>
      </c>
      <c r="AI476" s="252" t="str">
        <f>IF(ISNUMBER(SEARCH("R", 'WetLitterbags placem_collection'!$Y183)),"YES","NO")</f>
        <v>NO</v>
      </c>
      <c r="AJ476" s="252" t="str">
        <f>IF(ISNUMBER(SEARCH("C", 'WetLitterbags placem_collection'!$W183)),"YES","NO")</f>
        <v>NO</v>
      </c>
      <c r="AK476" s="252" t="str">
        <f>IF(ISNUMBER(SEARCH("H", 'WetLitterbags placem_collection'!$W183)),"YES","NO")</f>
        <v>NO</v>
      </c>
      <c r="AL476" s="252" t="str">
        <f>IF(ISNUMBER(SEARCH("R", 'WetLitterbags placem_collection'!$W183)),"YES","NO")</f>
        <v>NO</v>
      </c>
    </row>
    <row r="477" spans="2:38">
      <c r="B477" t="str">
        <f>'Final data_for_R_analysis_Wetse'!A623</f>
        <v>Wet</v>
      </c>
      <c r="C477" s="260">
        <f>'Final data_for_R_analysis_Wetse'!B623</f>
        <v>182</v>
      </c>
      <c r="D477" t="s">
        <v>3828</v>
      </c>
      <c r="E477" t="s">
        <v>25</v>
      </c>
      <c r="F477" s="382">
        <v>6</v>
      </c>
      <c r="G477" s="16">
        <f>'WetLitterbags placem_collection'!E184</f>
        <v>42763</v>
      </c>
      <c r="H477" s="92" t="str">
        <f>'Final data_for_R_analysis_Wetse'!K623</f>
        <v>G818</v>
      </c>
      <c r="I477" t="str">
        <f>'Final data_for_R_analysis_Wetse'!K843</f>
        <v>R537</v>
      </c>
      <c r="J477">
        <f>IFERROR(INDEX('Green_rooibos initial weight'!$C$5:$C$2000,MATCH(H477, 'Green_rooibos initial weight'!$A$5:$A$2000,0)),"")</f>
        <v>2.0099999999999998</v>
      </c>
      <c r="K477">
        <f>IFERROR(INDEX('Green_rooibos initial weight'!$C$5:$C$2000,MATCH(I477, 'Green_rooibos initial weight'!$A$5:$A$2000,0)),"")</f>
        <v>2.145</v>
      </c>
      <c r="L477" s="194">
        <f t="shared" si="84"/>
        <v>1.7601999999999998</v>
      </c>
      <c r="M477" s="194">
        <f>AVERAGE(Ashed_controlls!$K$2:$K$11)</f>
        <v>5.5147656768714146</v>
      </c>
      <c r="N477" s="194">
        <f t="shared" si="81"/>
        <v>1.6631290945557091</v>
      </c>
      <c r="O477" s="194">
        <f t="shared" si="85"/>
        <v>1.8952</v>
      </c>
      <c r="P477" s="194">
        <f>AVERAGE(Ashed_controlls!$K$12:$K$14)</f>
        <v>2.2816647271287041</v>
      </c>
      <c r="Q477" s="194">
        <f t="shared" si="86"/>
        <v>1.8519578900914568</v>
      </c>
      <c r="R477" s="16">
        <f>IF('WetLitterbags placem_collection'!G184="","",'WetLitterbags placem_collection'!G184)</f>
        <v>42815</v>
      </c>
      <c r="S477" s="194">
        <f>IFERROR(INDEX('Both teabags AfterWet'!$C$3:$C$2000,MATCH(H477,'Both teabags AfterWet'!$A$3:$A$2000,0)),"")</f>
        <v>0.60450000000000004</v>
      </c>
      <c r="T477" s="194">
        <f>IFERROR(INDEX('Both teabags AfterWet'!$C$3:$C$2000,MATCH(I477,'Both teabags AfterWet'!$A$3:$A$2000,0)),"")</f>
        <v>1.7152000000000001</v>
      </c>
      <c r="U477" s="194">
        <f t="shared" si="87"/>
        <v>0.45390000000000003</v>
      </c>
      <c r="V477" s="194">
        <f t="shared" si="88"/>
        <v>1.5646</v>
      </c>
      <c r="W477" s="194">
        <f>IFERROR(INDEX('Ashed teabags wet'!$K$2:$K$2000,MATCH(H477,'Ashed teabags wet'!$A$2:$A$2000,0)),"")</f>
        <v>10.028790786949029</v>
      </c>
      <c r="X477" s="237">
        <f>IFERROR(INDEX('Ashed teabags wet'!$K$2:$K$2000,MATCH(I477,'Ashed teabags wet'!$A$2:$A$2000,0)),"")</f>
        <v>2.0958083832334542</v>
      </c>
      <c r="Y477" s="194">
        <f t="shared" si="93"/>
        <v>0.40837931861803839</v>
      </c>
      <c r="Z477" s="194">
        <f t="shared" si="93"/>
        <v>1.5318089820359293</v>
      </c>
      <c r="AA477" s="194">
        <f t="shared" si="89"/>
        <v>0.75445122092152839</v>
      </c>
      <c r="AB477" s="194">
        <f t="shared" si="90"/>
        <v>0.49460460088917307</v>
      </c>
      <c r="AC477" s="194">
        <f t="shared" si="82"/>
        <v>0.82712948832777333</v>
      </c>
      <c r="AD477">
        <f t="shared" si="83"/>
        <v>52</v>
      </c>
      <c r="AE477" s="194">
        <f t="shared" si="91"/>
        <v>0.10397717230222281</v>
      </c>
      <c r="AF477" s="194">
        <f t="shared" si="92"/>
        <v>8.269870438390203E-3</v>
      </c>
      <c r="AG477" s="252" t="str">
        <f>IF(ISNUMBER(SEARCH("C",'WetLitterbags placem_collection'!$Y184)),"YES","NO")</f>
        <v>NO</v>
      </c>
      <c r="AH477" s="252" t="str">
        <f>IF(ISNUMBER(SEARCH("H", 'WetLitterbags placem_collection'!$Y184)),"YES","NO")</f>
        <v>NO</v>
      </c>
      <c r="AI477" s="252" t="str">
        <f>IF(ISNUMBER(SEARCH("R", 'WetLitterbags placem_collection'!$Y184)),"YES","NO")</f>
        <v>NO</v>
      </c>
      <c r="AJ477" s="252" t="str">
        <f>IF(ISNUMBER(SEARCH("C", 'WetLitterbags placem_collection'!$W184)),"YES","NO")</f>
        <v>NO</v>
      </c>
      <c r="AK477" s="252" t="str">
        <f>IF(ISNUMBER(SEARCH("H", 'WetLitterbags placem_collection'!$W184)),"YES","NO")</f>
        <v>NO</v>
      </c>
      <c r="AL477" s="252" t="str">
        <f>IF(ISNUMBER(SEARCH("R", 'WetLitterbags placem_collection'!$W184)),"YES","NO")</f>
        <v>NO</v>
      </c>
    </row>
    <row r="478" spans="2:38">
      <c r="B478" t="str">
        <f>'Final data_for_R_analysis_Wetse'!A624</f>
        <v>Wet</v>
      </c>
      <c r="C478" s="260">
        <f>'Final data_for_R_analysis_Wetse'!B624</f>
        <v>183</v>
      </c>
      <c r="D478" t="s">
        <v>3828</v>
      </c>
      <c r="E478" t="s">
        <v>25</v>
      </c>
      <c r="F478" s="382">
        <v>7</v>
      </c>
      <c r="G478" s="16">
        <f>'WetLitterbags placem_collection'!E185</f>
        <v>42763</v>
      </c>
      <c r="H478" s="92" t="str">
        <f>'Final data_for_R_analysis_Wetse'!K624</f>
        <v>G896</v>
      </c>
      <c r="I478" t="str">
        <f>'Final data_for_R_analysis_Wetse'!K844</f>
        <v>R290</v>
      </c>
      <c r="J478">
        <f>IFERROR(INDEX('Green_rooibos initial weight'!$C$5:$C$2000,MATCH(H478, 'Green_rooibos initial weight'!$A$5:$A$2000,0)),"")</f>
        <v>1.982</v>
      </c>
      <c r="K478">
        <f>IFERROR(INDEX('Green_rooibos initial weight'!$C$5:$C$2000,MATCH(I478, 'Green_rooibos initial weight'!$A$5:$A$2000,0)),"")</f>
        <v>2.153</v>
      </c>
      <c r="L478" s="194">
        <f t="shared" si="84"/>
        <v>1.7322</v>
      </c>
      <c r="M478" s="194">
        <f>AVERAGE(Ashed_controlls!$K$2:$K$11)</f>
        <v>5.5147656768714146</v>
      </c>
      <c r="N478" s="194">
        <f t="shared" si="81"/>
        <v>1.6366732289452333</v>
      </c>
      <c r="O478" s="194">
        <f t="shared" si="85"/>
        <v>1.9032</v>
      </c>
      <c r="P478" s="194">
        <f>AVERAGE(Ashed_controlls!$K$12:$K$14)</f>
        <v>2.2816647271287041</v>
      </c>
      <c r="Q478" s="194">
        <f t="shared" si="86"/>
        <v>1.8597753569132864</v>
      </c>
      <c r="R478" s="16">
        <f>IF('WetLitterbags placem_collection'!G185="","",'WetLitterbags placem_collection'!G185)</f>
        <v>42815</v>
      </c>
      <c r="S478" s="194">
        <f>IFERROR(INDEX('Both teabags AfterWet'!$C$3:$C$2000,MATCH(H478,'Both teabags AfterWet'!$A$3:$A$2000,0)),"")</f>
        <v>0.61</v>
      </c>
      <c r="T478" s="194">
        <f>IFERROR(INDEX('Both teabags AfterWet'!$C$3:$C$2000,MATCH(I478,'Both teabags AfterWet'!$A$3:$A$2000,0)),"")</f>
        <v>1.7310000000000001</v>
      </c>
      <c r="U478" s="194">
        <f t="shared" si="87"/>
        <v>0.45939999999999998</v>
      </c>
      <c r="V478" s="194">
        <f t="shared" si="88"/>
        <v>1.5804</v>
      </c>
      <c r="W478" s="194">
        <f>IFERROR(INDEX('Ashed teabags wet'!$K$2:$K$2000,MATCH(H478,'Ashed teabags wet'!$A$2:$A$2000,0)),"")</f>
        <v>9.3827160493825037</v>
      </c>
      <c r="X478" s="237">
        <f>IFERROR(INDEX('Ashed teabags wet'!$K$2:$K$2000,MATCH(I478,'Ashed teabags wet'!$A$2:$A$2000,0)),"")</f>
        <v>2.639442231076139</v>
      </c>
      <c r="Y478" s="194">
        <f t="shared" si="93"/>
        <v>0.41629580246913678</v>
      </c>
      <c r="Z478" s="194">
        <f t="shared" si="93"/>
        <v>1.5386862549800728</v>
      </c>
      <c r="AA478" s="194">
        <f t="shared" si="89"/>
        <v>0.74564513239003616</v>
      </c>
      <c r="AB478" s="194">
        <f t="shared" si="90"/>
        <v>0.48883148821769595</v>
      </c>
      <c r="AC478" s="194">
        <f t="shared" si="82"/>
        <v>0.82735059869481609</v>
      </c>
      <c r="AD478">
        <f t="shared" si="83"/>
        <v>52</v>
      </c>
      <c r="AE478" s="194">
        <f t="shared" si="91"/>
        <v>0.11443570975055084</v>
      </c>
      <c r="AF478" s="194">
        <f t="shared" si="92"/>
        <v>8.3788375610215592E-3</v>
      </c>
      <c r="AG478" s="252" t="str">
        <f>IF(ISNUMBER(SEARCH("C",'WetLitterbags placem_collection'!$Y185)),"YES","NO")</f>
        <v>NO</v>
      </c>
      <c r="AH478" s="252" t="str">
        <f>IF(ISNUMBER(SEARCH("H", 'WetLitterbags placem_collection'!$Y185)),"YES","NO")</f>
        <v>NO</v>
      </c>
      <c r="AI478" s="252" t="str">
        <f>IF(ISNUMBER(SEARCH("R", 'WetLitterbags placem_collection'!$Y185)),"YES","NO")</f>
        <v>NO</v>
      </c>
      <c r="AJ478" s="252" t="str">
        <f>IF(ISNUMBER(SEARCH("C", 'WetLitterbags placem_collection'!$W185)),"YES","NO")</f>
        <v>YES</v>
      </c>
      <c r="AK478" s="252" t="str">
        <f>IF(ISNUMBER(SEARCH("H", 'WetLitterbags placem_collection'!$W185)),"YES","NO")</f>
        <v>YES</v>
      </c>
      <c r="AL478" s="252" t="str">
        <f>IF(ISNUMBER(SEARCH("R", 'WetLitterbags placem_collection'!$W185)),"YES","NO")</f>
        <v>NO</v>
      </c>
    </row>
    <row r="479" spans="2:38">
      <c r="B479" t="str">
        <f>'Final data_for_R_analysis_Wetse'!A625</f>
        <v>Wet</v>
      </c>
      <c r="C479" s="260">
        <f>'Final data_for_R_analysis_Wetse'!B625</f>
        <v>184</v>
      </c>
      <c r="D479" t="s">
        <v>3828</v>
      </c>
      <c r="E479" t="s">
        <v>25</v>
      </c>
      <c r="F479" s="382">
        <v>8</v>
      </c>
      <c r="G479" s="16">
        <f>'WetLitterbags placem_collection'!E186</f>
        <v>42763</v>
      </c>
      <c r="H479" s="92" t="str">
        <f>'Final data_for_R_analysis_Wetse'!K625</f>
        <v>G337</v>
      </c>
      <c r="I479" t="str">
        <f>'Final data_for_R_analysis_Wetse'!K845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84"/>
        <v>1.6182000000000001</v>
      </c>
      <c r="M479" s="194">
        <f>AVERAGE(Ashed_controlls!$K$2:$K$11)</f>
        <v>5.5147656768714146</v>
      </c>
      <c r="N479" s="194">
        <f t="shared" si="81"/>
        <v>1.5289600618168668</v>
      </c>
      <c r="O479" s="194">
        <f t="shared" si="85"/>
        <v>1.9291999999999998</v>
      </c>
      <c r="P479" s="194">
        <f>AVERAGE(Ashed_controlls!$K$12:$K$14)</f>
        <v>2.2816647271287041</v>
      </c>
      <c r="Q479" s="194">
        <f t="shared" si="86"/>
        <v>1.8851821240842328</v>
      </c>
      <c r="R479" s="16">
        <f>IF('WetLitterbags placem_collection'!G186="","",'WetLitterbags placem_collection'!G186)</f>
        <v>42815</v>
      </c>
      <c r="S479" s="194">
        <f>IFERROR(INDEX('Both teabags AfterWet'!$C$3:$C$2000,MATCH(H479,'Both teabags AfterWet'!$A$3:$A$2000,0)),"")</f>
        <v>0.63060000000000005</v>
      </c>
      <c r="T479" s="194">
        <f>IFERROR(INDEX('Both teabags AfterWet'!$C$3:$C$2000,MATCH(I479,'Both teabags AfterWet'!$A$3:$A$2000,0)),"")</f>
        <v>1.7096</v>
      </c>
      <c r="U479" s="194">
        <f t="shared" si="87"/>
        <v>0.48000000000000004</v>
      </c>
      <c r="V479" s="194">
        <f t="shared" si="88"/>
        <v>1.5589999999999999</v>
      </c>
      <c r="W479" s="194">
        <f>IFERROR(INDEX('Ashed teabags wet'!$K$2:$K$2000,MATCH(H479,'Ashed teabags wet'!$A$2:$A$2000,0)),"")</f>
        <v>10.824230387289536</v>
      </c>
      <c r="X479" s="237">
        <f>IFERROR(INDEX('Ashed teabags wet'!$K$2:$K$2000,MATCH(I479,'Ashed teabags wet'!$A$2:$A$2000,0)),"")</f>
        <v>2.750491159135366</v>
      </c>
      <c r="Y479" s="194">
        <f t="shared" si="93"/>
        <v>0.42804369414101029</v>
      </c>
      <c r="Z479" s="194">
        <f t="shared" si="93"/>
        <v>1.5161198428290796</v>
      </c>
      <c r="AA479" s="194">
        <f t="shared" si="89"/>
        <v>0.72004259311236363</v>
      </c>
      <c r="AB479" s="194">
        <f t="shared" si="90"/>
        <v>0.47204692565086076</v>
      </c>
      <c r="AC479" s="194">
        <f t="shared" si="82"/>
        <v>0.80422990620366031</v>
      </c>
      <c r="AD479">
        <f t="shared" si="83"/>
        <v>52</v>
      </c>
      <c r="AE479" s="194">
        <f t="shared" si="91"/>
        <v>0.14484252599481751</v>
      </c>
      <c r="AF479" s="194">
        <f t="shared" si="92"/>
        <v>1.0301442738370388E-2</v>
      </c>
      <c r="AG479" s="252" t="str">
        <f>IF(ISNUMBER(SEARCH("C",'WetLitterbags placem_collection'!$Y186)),"YES","NO")</f>
        <v>NO</v>
      </c>
      <c r="AH479" s="252" t="str">
        <f>IF(ISNUMBER(SEARCH("H", 'WetLitterbags placem_collection'!$Y186)),"YES","NO")</f>
        <v>NO</v>
      </c>
      <c r="AI479" s="252" t="str">
        <f>IF(ISNUMBER(SEARCH("R", 'WetLitterbags placem_collection'!$Y186)),"YES","NO")</f>
        <v>NO</v>
      </c>
      <c r="AJ479" s="252" t="str">
        <f>IF(ISNUMBER(SEARCH("C", 'WetLitterbags placem_collection'!$W186)),"YES","NO")</f>
        <v>NO</v>
      </c>
      <c r="AK479" s="252" t="str">
        <f>IF(ISNUMBER(SEARCH("H", 'WetLitterbags placem_collection'!$W186)),"YES","NO")</f>
        <v>NO</v>
      </c>
      <c r="AL479" s="252" t="str">
        <f>IF(ISNUMBER(SEARCH("R", 'WetLitterbags placem_collection'!$W186)),"YES","NO")</f>
        <v>NO</v>
      </c>
    </row>
    <row r="480" spans="2:38">
      <c r="B480" t="str">
        <f>'Final data_for_R_analysis_Wetse'!A626</f>
        <v>Wet</v>
      </c>
      <c r="C480" s="260">
        <f>'Final data_for_R_analysis_Wetse'!B626</f>
        <v>185</v>
      </c>
      <c r="D480" t="s">
        <v>3829</v>
      </c>
      <c r="E480" t="s">
        <v>25</v>
      </c>
      <c r="F480" s="381">
        <v>1</v>
      </c>
      <c r="G480" s="16">
        <f>'WetLitterbags placem_collection'!E187</f>
        <v>42763</v>
      </c>
      <c r="H480" s="92" t="str">
        <f>'Final data_for_R_analysis_Wetse'!K626</f>
        <v>G564</v>
      </c>
      <c r="I480" t="str">
        <f>'Final data_for_R_analysis_Wetse'!K846</f>
        <v>R539</v>
      </c>
      <c r="J480">
        <f>IFERROR(INDEX('Green_rooibos initial weight'!$C$5:$C$2000,MATCH(H480, 'Green_rooibos initial weight'!$A$5:$A$2000,0)),"")</f>
        <v>1.95</v>
      </c>
      <c r="K480">
        <f>IFERROR(INDEX('Green_rooibos initial weight'!$C$5:$C$2000,MATCH(I480, 'Green_rooibos initial weight'!$A$5:$A$2000,0)),"")</f>
        <v>2.16</v>
      </c>
      <c r="L480" s="194">
        <f t="shared" si="84"/>
        <v>1.7001999999999999</v>
      </c>
      <c r="M480" s="194">
        <f>AVERAGE(Ashed_controlls!$K$2:$K$11)</f>
        <v>5.5147656768714146</v>
      </c>
      <c r="N480" s="194">
        <f t="shared" si="81"/>
        <v>1.6064379539618321</v>
      </c>
      <c r="O480" s="194">
        <f t="shared" si="85"/>
        <v>1.9102000000000001</v>
      </c>
      <c r="P480" s="194">
        <f>AVERAGE(Ashed_controlls!$K$12:$K$14)</f>
        <v>2.2816647271287041</v>
      </c>
      <c r="Q480" s="194">
        <f t="shared" si="86"/>
        <v>1.8666156403823877</v>
      </c>
      <c r="R480" s="16">
        <f>IF('WetLitterbags placem_collection'!G187="","",'WetLitterbags placem_collection'!G187)</f>
        <v>42815</v>
      </c>
      <c r="S480" s="194">
        <f>IFERROR(INDEX('Both teabags AfterWet'!$C$3:$C$2000,MATCH(H480,'Both teabags AfterWet'!$A$3:$A$2000,0)),"")</f>
        <v>0.626</v>
      </c>
      <c r="T480" s="194">
        <f>IFERROR(INDEX('Both teabags AfterWet'!$C$3:$C$2000,MATCH(I480,'Both teabags AfterWet'!$A$3:$A$2000,0)),"")</f>
        <v>1.7513000000000001</v>
      </c>
      <c r="U480" s="194">
        <f t="shared" si="87"/>
        <v>0.47539999999999999</v>
      </c>
      <c r="V480" s="194">
        <f t="shared" si="88"/>
        <v>1.6007</v>
      </c>
      <c r="W480" s="194">
        <f>IFERROR(INDEX('Ashed teabags wet'!$K$2:$K$2000,MATCH(H480,'Ashed teabags wet'!$A$2:$A$2000,0)),"")</f>
        <v>8.4325396825389731</v>
      </c>
      <c r="X480" s="237">
        <f>IFERROR(INDEX('Ashed teabags wet'!$K$2:$K$2000,MATCH(I480,'Ashed teabags wet'!$A$2:$A$2000,0)),"")</f>
        <v>1.5944195316393635</v>
      </c>
      <c r="Y480" s="194">
        <f t="shared" si="93"/>
        <v>0.43531170634920974</v>
      </c>
      <c r="Z480" s="194">
        <f t="shared" si="93"/>
        <v>1.5751781265570488</v>
      </c>
      <c r="AA480" s="194">
        <f t="shared" si="89"/>
        <v>0.7290205293795291</v>
      </c>
      <c r="AB480" s="194">
        <f t="shared" si="90"/>
        <v>0.47793269859560583</v>
      </c>
      <c r="AC480" s="194">
        <f t="shared" si="82"/>
        <v>0.84386849251641538</v>
      </c>
      <c r="AD480">
        <f t="shared" si="83"/>
        <v>52</v>
      </c>
      <c r="AE480" s="194">
        <f t="shared" si="91"/>
        <v>0.13417989384854023</v>
      </c>
      <c r="AF480" s="194">
        <f t="shared" si="92"/>
        <v>7.6064613212549707E-3</v>
      </c>
      <c r="AG480" s="252" t="str">
        <f>IF(ISNUMBER(SEARCH("C",'WetLitterbags placem_collection'!$Y187)),"YES","NO")</f>
        <v>NO</v>
      </c>
      <c r="AH480" s="252" t="str">
        <f>IF(ISNUMBER(SEARCH("H", 'WetLitterbags placem_collection'!$Y187)),"YES","NO")</f>
        <v>NO</v>
      </c>
      <c r="AI480" s="252" t="str">
        <f>IF(ISNUMBER(SEARCH("R", 'WetLitterbags placem_collection'!$Y187)),"YES","NO")</f>
        <v>NO</v>
      </c>
      <c r="AJ480" s="252" t="str">
        <f>IF(ISNUMBER(SEARCH("C", 'WetLitterbags placem_collection'!$W187)),"YES","NO")</f>
        <v>YES</v>
      </c>
      <c r="AK480" s="252" t="str">
        <f>IF(ISNUMBER(SEARCH("H", 'WetLitterbags placem_collection'!$W187)),"YES","NO")</f>
        <v>YES</v>
      </c>
      <c r="AL480" s="252" t="str">
        <f>IF(ISNUMBER(SEARCH("R", 'WetLitterbags placem_collection'!$W187)),"YES","NO")</f>
        <v>NO</v>
      </c>
    </row>
    <row r="481" spans="2:38">
      <c r="B481" t="str">
        <f>'Final data_for_R_analysis_Wetse'!A627</f>
        <v>Wet</v>
      </c>
      <c r="C481" s="260">
        <f>'Final data_for_R_analysis_Wetse'!B627</f>
        <v>186</v>
      </c>
      <c r="D481" t="s">
        <v>3829</v>
      </c>
      <c r="E481" t="s">
        <v>25</v>
      </c>
      <c r="F481" s="381">
        <v>2</v>
      </c>
      <c r="G481" s="16">
        <f>'WetLitterbags placem_collection'!E188</f>
        <v>42763</v>
      </c>
      <c r="H481" s="92" t="str">
        <f>'Final data_for_R_analysis_Wetse'!K627</f>
        <v>G608</v>
      </c>
      <c r="I481" t="str">
        <f>'Final data_for_R_analysis_Wetse'!K847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84"/>
        <v>1.7761999999999998</v>
      </c>
      <c r="M481" s="194">
        <f>AVERAGE(Ashed_controlls!$K$2:$K$11)</f>
        <v>5.5147656768714146</v>
      </c>
      <c r="N481" s="194">
        <f t="shared" si="81"/>
        <v>1.6782467320474097</v>
      </c>
      <c r="O481" s="194">
        <f t="shared" si="85"/>
        <v>2.0032000000000001</v>
      </c>
      <c r="P481" s="194">
        <f>AVERAGE(Ashed_controlls!$K$12:$K$14)</f>
        <v>2.2816647271287041</v>
      </c>
      <c r="Q481" s="194">
        <f t="shared" si="86"/>
        <v>1.9574936921861579</v>
      </c>
      <c r="R481" s="16">
        <f>IF('WetLitterbags placem_collection'!G188="","",'WetLitterbags placem_collection'!G188)</f>
        <v>42815</v>
      </c>
      <c r="S481" s="194">
        <f>IFERROR(INDEX('Both teabags AfterWet'!$C$3:$C$2000,MATCH(H481,'Both teabags AfterWet'!$A$3:$A$2000,0)),"")</f>
        <v>0.61599999999999999</v>
      </c>
      <c r="T481" s="194">
        <f>IFERROR(INDEX('Both teabags AfterWet'!$C$3:$C$2000,MATCH(I481,'Both teabags AfterWet'!$A$3:$A$2000,0)),"")</f>
        <v>1.7809999999999999</v>
      </c>
      <c r="U481" s="194">
        <f t="shared" si="87"/>
        <v>0.46539999999999998</v>
      </c>
      <c r="V481" s="194">
        <f t="shared" si="88"/>
        <v>1.6303999999999998</v>
      </c>
      <c r="W481" s="194">
        <f>IFERROR(INDEX('Ashed teabags wet'!$K$2:$K$2000,MATCH(H481,'Ashed teabags wet'!$A$2:$A$2000,0)),"")</f>
        <v>9.0274314214466642</v>
      </c>
      <c r="X481" s="237">
        <f>IFERROR(INDEX('Ashed teabags wet'!$K$2:$K$2000,MATCH(I481,'Ashed teabags wet'!$A$2:$A$2000,0)),"")</f>
        <v>2.2783556215947218</v>
      </c>
      <c r="Y481" s="194">
        <f t="shared" si="93"/>
        <v>0.42338633416458721</v>
      </c>
      <c r="Z481" s="194">
        <f t="shared" si="93"/>
        <v>1.5932536899455194</v>
      </c>
      <c r="AA481" s="194">
        <f t="shared" si="89"/>
        <v>0.74772104358691716</v>
      </c>
      <c r="AB481" s="194">
        <f t="shared" si="90"/>
        <v>0.49019241812348968</v>
      </c>
      <c r="AC481" s="194">
        <f t="shared" si="82"/>
        <v>0.81392532517749783</v>
      </c>
      <c r="AD481">
        <f t="shared" si="83"/>
        <v>52</v>
      </c>
      <c r="AE481" s="194">
        <f t="shared" si="91"/>
        <v>0.11197025702266372</v>
      </c>
      <c r="AF481" s="194">
        <f t="shared" si="92"/>
        <v>9.1804435415432442E-3</v>
      </c>
      <c r="AG481" s="252" t="str">
        <f>IF(ISNUMBER(SEARCH("C",'WetLitterbags placem_collection'!$Y188)),"YES","NO")</f>
        <v>NO</v>
      </c>
      <c r="AH481" s="252" t="str">
        <f>IF(ISNUMBER(SEARCH("H", 'WetLitterbags placem_collection'!$Y188)),"YES","NO")</f>
        <v>NO</v>
      </c>
      <c r="AI481" s="252" t="str">
        <f>IF(ISNUMBER(SEARCH("R", 'WetLitterbags placem_collection'!$Y188)),"YES","NO")</f>
        <v>NO</v>
      </c>
      <c r="AJ481" s="252" t="str">
        <f>IF(ISNUMBER(SEARCH("C", 'WetLitterbags placem_collection'!$W188)),"YES","NO")</f>
        <v>NO</v>
      </c>
      <c r="AK481" s="252" t="str">
        <f>IF(ISNUMBER(SEARCH("H", 'WetLitterbags placem_collection'!$W188)),"YES","NO")</f>
        <v>YES</v>
      </c>
      <c r="AL481" s="252" t="str">
        <f>IF(ISNUMBER(SEARCH("R", 'WetLitterbags placem_collection'!$W188)),"YES","NO")</f>
        <v>NO</v>
      </c>
    </row>
    <row r="482" spans="2:38">
      <c r="B482" t="str">
        <f>'Final data_for_R_analysis_Wetse'!A628</f>
        <v>Wet</v>
      </c>
      <c r="C482" s="260">
        <f>'Final data_for_R_analysis_Wetse'!B628</f>
        <v>187</v>
      </c>
      <c r="D482" t="s">
        <v>3829</v>
      </c>
      <c r="E482" t="s">
        <v>25</v>
      </c>
      <c r="F482" s="381">
        <v>3</v>
      </c>
      <c r="G482" s="16">
        <f>'WetLitterbags placem_collection'!E189</f>
        <v>42763</v>
      </c>
      <c r="H482" s="92" t="str">
        <f>'Final data_for_R_analysis_Wetse'!K628</f>
        <v>G365</v>
      </c>
      <c r="I482" t="str">
        <f>'Final data_for_R_analysis_Wetse'!K848</f>
        <v>R580</v>
      </c>
      <c r="J482">
        <f>IFERROR(INDEX('Green_rooibos initial weight'!$C$5:$C$2000,MATCH(H482, 'Green_rooibos initial weight'!$A$5:$A$2000,0)),"")</f>
        <v>1.954</v>
      </c>
      <c r="K482">
        <f>IFERROR(INDEX('Green_rooibos initial weight'!$C$5:$C$2000,MATCH(I482, 'Green_rooibos initial weight'!$A$5:$A$2000,0)),"")</f>
        <v>2.0870000000000002</v>
      </c>
      <c r="L482" s="194">
        <f t="shared" si="84"/>
        <v>1.7041999999999999</v>
      </c>
      <c r="M482" s="194">
        <f>AVERAGE(Ashed_controlls!$K$2:$K$11)</f>
        <v>5.5147656768714146</v>
      </c>
      <c r="N482" s="194">
        <f t="shared" si="81"/>
        <v>1.6102173633347574</v>
      </c>
      <c r="O482" s="194">
        <f t="shared" si="85"/>
        <v>1.8372000000000002</v>
      </c>
      <c r="P482" s="194">
        <f>AVERAGE(Ashed_controlls!$K$12:$K$14)</f>
        <v>2.2816647271287041</v>
      </c>
      <c r="Q482" s="194">
        <f t="shared" si="86"/>
        <v>1.7952812556331916</v>
      </c>
      <c r="R482" s="16">
        <f>IF('WetLitterbags placem_collection'!G189="","",'WetLitterbags placem_collection'!G189)</f>
        <v>42815</v>
      </c>
      <c r="S482" s="194">
        <f>IFERROR(INDEX('Both teabags AfterWet'!$C$3:$C$2000,MATCH(H482,'Both teabags AfterWet'!$A$3:$A$2000,0)),"")</f>
        <v>0.6714</v>
      </c>
      <c r="T482" s="194">
        <f>IFERROR(INDEX('Both teabags AfterWet'!$C$3:$C$2000,MATCH(I482,'Both teabags AfterWet'!$A$3:$A$2000,0)),"")</f>
        <v>1.6225000000000001</v>
      </c>
      <c r="U482" s="194">
        <f t="shared" si="87"/>
        <v>0.52079999999999993</v>
      </c>
      <c r="V482" s="194">
        <f t="shared" si="88"/>
        <v>1.4719</v>
      </c>
      <c r="W482" s="194">
        <f>IFERROR(INDEX('Ashed teabags wet'!$K$2:$K$2000,MATCH(H482,'Ashed teabags wet'!$A$2:$A$2000,0)),"")</f>
        <v>8.8162456661709641</v>
      </c>
      <c r="X482" s="237">
        <f>IFERROR(INDEX('Ashed teabags wet'!$K$2:$K$2000,MATCH(I482,'Ashed teabags wet'!$A$2:$A$2000,0)),"")</f>
        <v>2.0914396887151829</v>
      </c>
      <c r="Y482" s="194">
        <f t="shared" si="93"/>
        <v>0.47488499257058153</v>
      </c>
      <c r="Z482" s="194">
        <f t="shared" si="93"/>
        <v>1.4411160992218013</v>
      </c>
      <c r="AA482" s="194">
        <f t="shared" si="89"/>
        <v>0.70508019390183718</v>
      </c>
      <c r="AB482" s="194">
        <f t="shared" si="90"/>
        <v>0.46223784683350855</v>
      </c>
      <c r="AC482" s="194">
        <f t="shared" si="82"/>
        <v>0.8027244169680382</v>
      </c>
      <c r="AD482">
        <f t="shared" si="83"/>
        <v>52</v>
      </c>
      <c r="AE482" s="194">
        <f t="shared" si="91"/>
        <v>0.1626125963161078</v>
      </c>
      <c r="AF482" s="194">
        <f t="shared" si="92"/>
        <v>1.070177237492214E-2</v>
      </c>
      <c r="AG482" s="252" t="str">
        <f>IF(ISNUMBER(SEARCH("C",'WetLitterbags placem_collection'!$Y189)),"YES","NO")</f>
        <v>NO</v>
      </c>
      <c r="AH482" s="252" t="str">
        <f>IF(ISNUMBER(SEARCH("H", 'WetLitterbags placem_collection'!$Y189)),"YES","NO")</f>
        <v>NO</v>
      </c>
      <c r="AI482" s="252" t="str">
        <f>IF(ISNUMBER(SEARCH("R", 'WetLitterbags placem_collection'!$Y189)),"YES","NO")</f>
        <v>NO</v>
      </c>
      <c r="AJ482" s="252" t="str">
        <f>IF(ISNUMBER(SEARCH("C", 'WetLitterbags placem_collection'!$W189)),"YES","NO")</f>
        <v>NO</v>
      </c>
      <c r="AK482" s="252" t="str">
        <f>IF(ISNUMBER(SEARCH("H", 'WetLitterbags placem_collection'!$W189)),"YES","NO")</f>
        <v>NO</v>
      </c>
      <c r="AL482" s="252" t="str">
        <f>IF(ISNUMBER(SEARCH("R", 'WetLitterbags placem_collection'!$W189)),"YES","NO")</f>
        <v>NO</v>
      </c>
    </row>
    <row r="483" spans="2:38">
      <c r="B483" t="str">
        <f>'Final data_for_R_analysis_Wetse'!A629</f>
        <v>Wet</v>
      </c>
      <c r="C483" s="260">
        <f>'Final data_for_R_analysis_Wetse'!B629</f>
        <v>188</v>
      </c>
      <c r="D483" t="s">
        <v>3829</v>
      </c>
      <c r="E483" t="s">
        <v>25</v>
      </c>
      <c r="F483" s="382">
        <v>4</v>
      </c>
      <c r="G483" s="16">
        <f>'WetLitterbags placem_collection'!E190</f>
        <v>42763</v>
      </c>
      <c r="H483" s="92" t="str">
        <f>'Final data_for_R_analysis_Wetse'!K629</f>
        <v>G375</v>
      </c>
      <c r="I483" t="str">
        <f>'Final data_for_R_analysis_Wetse'!K849</f>
        <v>R222</v>
      </c>
      <c r="J483">
        <f>IFERROR(INDEX('Green_rooibos initial weight'!$C$5:$C$2000,MATCH(H483, 'Green_rooibos initial weight'!$A$5:$A$2000,0)),"")</f>
        <v>1.9810000000000001</v>
      </c>
      <c r="K483">
        <f>IFERROR(INDEX('Green_rooibos initial weight'!$C$5:$C$2000,MATCH(I483, 'Green_rooibos initial weight'!$A$5:$A$2000,0)),"")</f>
        <v>2.194</v>
      </c>
      <c r="L483" s="194">
        <f t="shared" si="84"/>
        <v>1.7312000000000001</v>
      </c>
      <c r="M483" s="194">
        <f>AVERAGE(Ashed_controlls!$K$2:$K$11)</f>
        <v>5.5147656768714146</v>
      </c>
      <c r="N483" s="194">
        <f t="shared" si="81"/>
        <v>1.6357283766020021</v>
      </c>
      <c r="O483" s="194">
        <f t="shared" si="85"/>
        <v>1.9441999999999999</v>
      </c>
      <c r="P483" s="194">
        <f>AVERAGE(Ashed_controlls!$K$12:$K$14)</f>
        <v>2.2816647271287041</v>
      </c>
      <c r="Q483" s="194">
        <f t="shared" si="86"/>
        <v>1.8998398743751637</v>
      </c>
      <c r="R483" s="16">
        <f>IF('WetLitterbags placem_collection'!G190="","",'WetLitterbags placem_collection'!G190)</f>
        <v>42815</v>
      </c>
      <c r="S483" s="194">
        <f>IFERROR(INDEX('Both teabags AfterWet'!$C$3:$C$2000,MATCH(H483,'Both teabags AfterWet'!$A$3:$A$2000,0)),"")</f>
        <v>0.55700000000000005</v>
      </c>
      <c r="T483" s="194">
        <f>IFERROR(INDEX('Both teabags AfterWet'!$C$3:$C$2000,MATCH(I483,'Both teabags AfterWet'!$A$3:$A$2000,0)),"")</f>
        <v>1.5732999999999999</v>
      </c>
      <c r="U483" s="194">
        <f t="shared" si="87"/>
        <v>0.40640000000000004</v>
      </c>
      <c r="V483" s="194">
        <f t="shared" si="88"/>
        <v>1.4226999999999999</v>
      </c>
      <c r="W483" s="194">
        <f>IFERROR(INDEX('Ashed teabags wet'!$K$2:$K$2000,MATCH(H483,'Ashed teabags wet'!$A$2:$A$2000,0)),"")</f>
        <v>8.3130772970344644</v>
      </c>
      <c r="X483" s="237">
        <f>IFERROR(INDEX('Ashed teabags wet'!$K$2:$K$2000,MATCH(I483,'Ashed teabags wet'!$A$2:$A$2000,0)),"")</f>
        <v>3.2535885167466505</v>
      </c>
      <c r="Y483" s="194">
        <f t="shared" si="93"/>
        <v>0.37261565386485196</v>
      </c>
      <c r="Z483" s="194">
        <f t="shared" si="93"/>
        <v>1.3764111961722452</v>
      </c>
      <c r="AA483" s="194">
        <f t="shared" si="89"/>
        <v>0.77220199930815592</v>
      </c>
      <c r="AB483" s="194">
        <f t="shared" si="90"/>
        <v>0.50624169075784098</v>
      </c>
      <c r="AC483" s="194">
        <f t="shared" si="82"/>
        <v>0.7244880027717765</v>
      </c>
      <c r="AD483">
        <f t="shared" si="83"/>
        <v>52</v>
      </c>
      <c r="AE483" s="194">
        <f t="shared" si="91"/>
        <v>8.2895487757534525E-2</v>
      </c>
      <c r="AF483" s="194">
        <f t="shared" si="92"/>
        <v>1.5110910336464294E-2</v>
      </c>
      <c r="AG483" s="252" t="str">
        <f>IF(ISNUMBER(SEARCH("C",'WetLitterbags placem_collection'!$Y190)),"YES","NO")</f>
        <v>NO</v>
      </c>
      <c r="AH483" s="252" t="str">
        <f>IF(ISNUMBER(SEARCH("H", 'WetLitterbags placem_collection'!$Y190)),"YES","NO")</f>
        <v>NO</v>
      </c>
      <c r="AI483" s="252" t="str">
        <f>IF(ISNUMBER(SEARCH("R", 'WetLitterbags placem_collection'!$Y190)),"YES","NO")</f>
        <v>NO</v>
      </c>
      <c r="AJ483" s="252" t="str">
        <f>IF(ISNUMBER(SEARCH("C", 'WetLitterbags placem_collection'!$W190)),"YES","NO")</f>
        <v>YES</v>
      </c>
      <c r="AK483" s="252" t="str">
        <f>IF(ISNUMBER(SEARCH("H", 'WetLitterbags placem_collection'!$W190)),"YES","NO")</f>
        <v>YES</v>
      </c>
      <c r="AL483" s="252" t="str">
        <f>IF(ISNUMBER(SEARCH("R", 'WetLitterbags placem_collection'!$W190)),"YES","NO")</f>
        <v>YES</v>
      </c>
    </row>
    <row r="484" spans="2:38">
      <c r="B484" t="str">
        <f>'Final data_for_R_analysis_Wetse'!A630</f>
        <v>Wet</v>
      </c>
      <c r="C484" s="260">
        <f>'Final data_for_R_analysis_Wetse'!B630</f>
        <v>189</v>
      </c>
      <c r="D484" t="s">
        <v>3829</v>
      </c>
      <c r="E484" t="s">
        <v>25</v>
      </c>
      <c r="F484" s="382">
        <v>5</v>
      </c>
      <c r="G484" s="16">
        <f>'WetLitterbags placem_collection'!E191</f>
        <v>42763</v>
      </c>
      <c r="H484" s="92" t="str">
        <f>'Final data_for_R_analysis_Wetse'!K630</f>
        <v>G537</v>
      </c>
      <c r="I484" t="str">
        <f>'Final data_for_R_analysis_Wetse'!K850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84"/>
        <v>1.7132000000000001</v>
      </c>
      <c r="M484" s="194">
        <f>AVERAGE(Ashed_controlls!$K$2:$K$11)</f>
        <v>5.5147656768714146</v>
      </c>
      <c r="N484" s="194">
        <f t="shared" si="81"/>
        <v>1.618721034423839</v>
      </c>
      <c r="O484" s="194">
        <f t="shared" si="85"/>
        <v>1.9382000000000001</v>
      </c>
      <c r="P484" s="194">
        <f>AVERAGE(Ashed_controlls!$K$12:$K$14)</f>
        <v>2.2816647271287041</v>
      </c>
      <c r="Q484" s="194">
        <f t="shared" si="86"/>
        <v>1.8939767742587916</v>
      </c>
      <c r="R484" s="16">
        <f>IF('WetLitterbags placem_collection'!G191="","",'WetLitterbags placem_collection'!G191)</f>
        <v>42815</v>
      </c>
      <c r="S484" s="194">
        <f>IFERROR(INDEX('Both teabags AfterWet'!$C$3:$C$2000,MATCH(H484,'Both teabags AfterWet'!$A$3:$A$2000,0)),"")</f>
        <v>0.72030000000000005</v>
      </c>
      <c r="T484" s="194">
        <f>IFERROR(INDEX('Both teabags AfterWet'!$C$3:$C$2000,MATCH(I484,'Both teabags AfterWet'!$A$3:$A$2000,0)),"")</f>
        <v>1.6973</v>
      </c>
      <c r="U484" s="194">
        <f t="shared" si="87"/>
        <v>0.5697000000000001</v>
      </c>
      <c r="V484" s="194">
        <f t="shared" si="88"/>
        <v>1.5467</v>
      </c>
      <c r="W484" s="194">
        <f>IFERROR(INDEX('Ashed teabags wet'!$K$2:$K$2000,MATCH(H484,'Ashed teabags wet'!$A$2:$A$2000,0)),"")</f>
        <v>9.0167865707433048</v>
      </c>
      <c r="X484" s="237">
        <f>IFERROR(INDEX('Ashed teabags wet'!$K$2:$K$2000,MATCH(I484,'Ashed teabags wet'!$A$2:$A$2000,0)),"")</f>
        <v>2.7254707631314172</v>
      </c>
      <c r="Y484" s="194">
        <f t="shared" si="93"/>
        <v>0.51833136690647552</v>
      </c>
      <c r="Z484" s="194">
        <f t="shared" si="93"/>
        <v>1.5045451437066464</v>
      </c>
      <c r="AA484" s="194">
        <f t="shared" si="89"/>
        <v>0.67978956479615515</v>
      </c>
      <c r="AB484" s="194">
        <f t="shared" si="90"/>
        <v>0.44565776694474785</v>
      </c>
      <c r="AC484" s="194">
        <f t="shared" si="82"/>
        <v>0.79438415726900902</v>
      </c>
      <c r="AD484">
        <f t="shared" si="83"/>
        <v>52</v>
      </c>
      <c r="AE484" s="194">
        <f t="shared" si="91"/>
        <v>0.19264897292618155</v>
      </c>
      <c r="AF484" s="194">
        <f t="shared" si="92"/>
        <v>1.189880243203208E-2</v>
      </c>
      <c r="AG484" s="252" t="str">
        <f>IF(ISNUMBER(SEARCH("C",'WetLitterbags placem_collection'!$Y191)),"YES","NO")</f>
        <v>NO</v>
      </c>
      <c r="AH484" s="252" t="str">
        <f>IF(ISNUMBER(SEARCH("H", 'WetLitterbags placem_collection'!$Y191)),"YES","NO")</f>
        <v>NO</v>
      </c>
      <c r="AI484" s="252" t="str">
        <f>IF(ISNUMBER(SEARCH("R", 'WetLitterbags placem_collection'!$Y191)),"YES","NO")</f>
        <v>YES</v>
      </c>
      <c r="AJ484" s="252" t="str">
        <f>IF(ISNUMBER(SEARCH("C", 'WetLitterbags placem_collection'!$W191)),"YES","NO")</f>
        <v>NO</v>
      </c>
      <c r="AK484" s="252" t="str">
        <f>IF(ISNUMBER(SEARCH("H", 'WetLitterbags placem_collection'!$W191)),"YES","NO")</f>
        <v>NO</v>
      </c>
      <c r="AL484" s="252" t="str">
        <f>IF(ISNUMBER(SEARCH("R", 'WetLitterbags placem_collection'!$W191)),"YES","NO")</f>
        <v>YES</v>
      </c>
    </row>
    <row r="485" spans="2:38">
      <c r="B485" t="str">
        <f>'Final data_for_R_analysis_Wetse'!A631</f>
        <v>Wet</v>
      </c>
      <c r="C485" s="260">
        <f>'Final data_for_R_analysis_Wetse'!B631</f>
        <v>190</v>
      </c>
      <c r="D485" t="s">
        <v>3829</v>
      </c>
      <c r="E485" t="s">
        <v>25</v>
      </c>
      <c r="F485" s="382">
        <v>6</v>
      </c>
      <c r="G485" s="16">
        <f>'WetLitterbags placem_collection'!E192</f>
        <v>42763</v>
      </c>
      <c r="H485" s="92" t="str">
        <f>'Final data_for_R_analysis_Wetse'!K631</f>
        <v>G393</v>
      </c>
      <c r="I485" t="str">
        <f>'Final data_for_R_analysis_Wetse'!K851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84"/>
        <v>1.7591999999999999</v>
      </c>
      <c r="M485" s="194">
        <f>AVERAGE(Ashed_controlls!$K$2:$K$11)</f>
        <v>5.5147656768714146</v>
      </c>
      <c r="N485" s="194">
        <f t="shared" si="81"/>
        <v>1.662184242212478</v>
      </c>
      <c r="O485" s="194">
        <f t="shared" si="85"/>
        <v>1.9942000000000002</v>
      </c>
      <c r="P485" s="194">
        <f>AVERAGE(Ashed_controlls!$K$12:$K$14)</f>
        <v>2.2816647271287041</v>
      </c>
      <c r="Q485" s="194">
        <f t="shared" si="86"/>
        <v>1.9486990420115995</v>
      </c>
      <c r="R485" s="16">
        <f>IF('WetLitterbags placem_collection'!G192="","",'WetLitterbags placem_collection'!G192)</f>
        <v>42815</v>
      </c>
      <c r="S485" s="194">
        <f>IFERROR(INDEX('Both teabags AfterWet'!$C$3:$C$2000,MATCH(H485,'Both teabags AfterWet'!$A$3:$A$2000,0)),"")</f>
        <v>0.62090000000000001</v>
      </c>
      <c r="T485" s="194">
        <f>IFERROR(INDEX('Both teabags AfterWet'!$C$3:$C$2000,MATCH(I485,'Both teabags AfterWet'!$A$3:$A$2000,0)),"")</f>
        <v>1.7355</v>
      </c>
      <c r="U485" s="194">
        <f t="shared" si="87"/>
        <v>0.4703</v>
      </c>
      <c r="V485" s="194">
        <f t="shared" si="88"/>
        <v>1.5849</v>
      </c>
      <c r="W485" s="194">
        <f>IFERROR(INDEX('Ashed teabags wet'!$K$2:$K$2000,MATCH(H485,'Ashed teabags wet'!$A$2:$A$2000,0)),"")</f>
        <v>9.5497278574961424</v>
      </c>
      <c r="X485" s="237">
        <f>IFERROR(INDEX('Ashed teabags wet'!$K$2:$K$2000,MATCH(I485,'Ashed teabags wet'!$A$2:$A$2000,0)),"")</f>
        <v>2.2167487684728533</v>
      </c>
      <c r="Y485" s="194">
        <f t="shared" si="93"/>
        <v>0.42538762988619561</v>
      </c>
      <c r="Z485" s="194">
        <f t="shared" si="93"/>
        <v>1.5497667487684736</v>
      </c>
      <c r="AA485" s="194">
        <f t="shared" si="89"/>
        <v>0.74407913450077212</v>
      </c>
      <c r="AB485" s="194">
        <f t="shared" si="90"/>
        <v>0.48780484827129006</v>
      </c>
      <c r="AC485" s="194">
        <f t="shared" si="82"/>
        <v>0.79528275806441784</v>
      </c>
      <c r="AD485">
        <f t="shared" si="83"/>
        <v>52</v>
      </c>
      <c r="AE485" s="194">
        <f t="shared" si="91"/>
        <v>0.11629556472592384</v>
      </c>
      <c r="AF485" s="194">
        <f t="shared" si="92"/>
        <v>1.0464596385110951E-2</v>
      </c>
      <c r="AG485" s="252" t="str">
        <f>IF(ISNUMBER(SEARCH("C",'WetLitterbags placem_collection'!$Y192)),"YES","NO")</f>
        <v>NO</v>
      </c>
      <c r="AH485" s="252" t="str">
        <f>IF(ISNUMBER(SEARCH("H", 'WetLitterbags placem_collection'!$Y192)),"YES","NO")</f>
        <v>NO</v>
      </c>
      <c r="AI485" s="252" t="str">
        <f>IF(ISNUMBER(SEARCH("R", 'WetLitterbags placem_collection'!$Y192)),"YES","NO")</f>
        <v>NO</v>
      </c>
      <c r="AJ485" s="252" t="str">
        <f>IF(ISNUMBER(SEARCH("C", 'WetLitterbags placem_collection'!$W192)),"YES","NO")</f>
        <v>YES</v>
      </c>
      <c r="AK485" s="252" t="str">
        <f>IF(ISNUMBER(SEARCH("H", 'WetLitterbags placem_collection'!$W192)),"YES","NO")</f>
        <v>YES</v>
      </c>
      <c r="AL485" s="252" t="str">
        <f>IF(ISNUMBER(SEARCH("R", 'WetLitterbags placem_collection'!$W192)),"YES","NO")</f>
        <v>NO</v>
      </c>
    </row>
    <row r="486" spans="2:38">
      <c r="B486" t="str">
        <f>'Final data_for_R_analysis_Wetse'!A632</f>
        <v>Wet</v>
      </c>
      <c r="C486" s="260">
        <f>'Final data_for_R_analysis_Wetse'!B632</f>
        <v>191</v>
      </c>
      <c r="D486" t="s">
        <v>3829</v>
      </c>
      <c r="E486" t="s">
        <v>25</v>
      </c>
      <c r="F486" s="382">
        <v>7</v>
      </c>
      <c r="G486" s="16">
        <f>'WetLitterbags placem_collection'!E193</f>
        <v>42763</v>
      </c>
      <c r="H486" s="92" t="str">
        <f>'Final data_for_R_analysis_Wetse'!K632</f>
        <v>G417</v>
      </c>
      <c r="I486" t="str">
        <f>'Final data_for_R_analysis_Wetse'!K852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84"/>
        <v>1.7711999999999999</v>
      </c>
      <c r="M486" s="194">
        <f>AVERAGE(Ashed_controlls!$K$2:$K$11)</f>
        <v>5.5147656768714146</v>
      </c>
      <c r="N486" s="194">
        <f t="shared" si="81"/>
        <v>1.6735224703312535</v>
      </c>
      <c r="O486" s="194">
        <f t="shared" si="85"/>
        <v>1.8582000000000001</v>
      </c>
      <c r="P486" s="194">
        <f>AVERAGE(Ashed_controlls!$K$12:$K$14)</f>
        <v>2.2816647271287041</v>
      </c>
      <c r="Q486" s="194">
        <f t="shared" si="86"/>
        <v>1.8158021060404945</v>
      </c>
      <c r="R486" s="16">
        <f>IF('WetLitterbags placem_collection'!G193="","",'WetLitterbags placem_collection'!G193)</f>
        <v>42815</v>
      </c>
      <c r="S486" s="194">
        <f>IFERROR(INDEX('Both teabags AfterWet'!$C$3:$C$2000,MATCH(H486,'Both teabags AfterWet'!$A$3:$A$2000,0)),"")</f>
        <v>0.62309999999999999</v>
      </c>
      <c r="T486" s="194">
        <f>IFERROR(INDEX('Both teabags AfterWet'!$C$3:$C$2000,MATCH(I486,'Both teabags AfterWet'!$A$3:$A$2000,0)),"")</f>
        <v>1.6520999999999999</v>
      </c>
      <c r="U486" s="194">
        <f t="shared" si="87"/>
        <v>0.47249999999999998</v>
      </c>
      <c r="V486" s="194">
        <f t="shared" si="88"/>
        <v>1.5014999999999998</v>
      </c>
      <c r="W486" s="194">
        <f>IFERROR(INDEX('Ashed teabags wet'!$K$2:$K$2000,MATCH(H486,'Ashed teabags wet'!$A$2:$A$2000,0)),"")</f>
        <v>9.0547263681590628</v>
      </c>
      <c r="X486" s="237">
        <f>IFERROR(INDEX('Ashed teabags wet'!$K$2:$K$2000,MATCH(I486,'Ashed teabags wet'!$A$2:$A$2000,0)),"")</f>
        <v>2.1414342629480405</v>
      </c>
      <c r="Y486" s="194">
        <f t="shared" si="93"/>
        <v>0.4297164179104484</v>
      </c>
      <c r="Z486" s="194">
        <f t="shared" si="93"/>
        <v>1.469346364541835</v>
      </c>
      <c r="AA486" s="194">
        <f t="shared" si="89"/>
        <v>0.74322638295654841</v>
      </c>
      <c r="AB486" s="194">
        <f t="shared" si="90"/>
        <v>0.48724579975298671</v>
      </c>
      <c r="AC486" s="194">
        <f t="shared" si="82"/>
        <v>0.80919961467930301</v>
      </c>
      <c r="AD486">
        <f t="shared" si="83"/>
        <v>52</v>
      </c>
      <c r="AE486" s="194">
        <f t="shared" si="91"/>
        <v>0.11730833378082128</v>
      </c>
      <c r="AF486" s="194">
        <f t="shared" si="92"/>
        <v>9.5558772359932709E-3</v>
      </c>
      <c r="AG486" s="252" t="str">
        <f>IF(ISNUMBER(SEARCH("C",'WetLitterbags placem_collection'!$Y193)),"YES","NO")</f>
        <v>NO</v>
      </c>
      <c r="AH486" s="252" t="str">
        <f>IF(ISNUMBER(SEARCH("H", 'WetLitterbags placem_collection'!$Y193)),"YES","NO")</f>
        <v>NO</v>
      </c>
      <c r="AI486" s="252" t="str">
        <f>IF(ISNUMBER(SEARCH("R", 'WetLitterbags placem_collection'!$Y193)),"YES","NO")</f>
        <v>NO</v>
      </c>
      <c r="AJ486" s="252" t="str">
        <f>IF(ISNUMBER(SEARCH("C", 'WetLitterbags placem_collection'!$W193)),"YES","NO")</f>
        <v>YES</v>
      </c>
      <c r="AK486" s="252" t="str">
        <f>IF(ISNUMBER(SEARCH("H", 'WetLitterbags placem_collection'!$W193)),"YES","NO")</f>
        <v>YES</v>
      </c>
      <c r="AL486" s="252" t="str">
        <f>IF(ISNUMBER(SEARCH("R", 'WetLitterbags placem_collection'!$W193)),"YES","NO")</f>
        <v>NO</v>
      </c>
    </row>
    <row r="487" spans="2:38">
      <c r="B487" t="str">
        <f>'Final data_for_R_analysis_Wetse'!A633</f>
        <v>Wet</v>
      </c>
      <c r="C487" s="260">
        <f>'Final data_for_R_analysis_Wetse'!B633</f>
        <v>192</v>
      </c>
      <c r="D487" t="s">
        <v>3829</v>
      </c>
      <c r="E487" t="s">
        <v>25</v>
      </c>
      <c r="F487" s="382">
        <v>8</v>
      </c>
      <c r="G487" s="16">
        <f>'WetLitterbags placem_collection'!E194</f>
        <v>42763</v>
      </c>
      <c r="H487" s="92" t="str">
        <f>'Final data_for_R_analysis_Wetse'!K633</f>
        <v>G297</v>
      </c>
      <c r="I487" t="str">
        <f>'Final data_for_R_analysis_Wetse'!K853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84"/>
        <v>1.6921999999999999</v>
      </c>
      <c r="M487" s="194">
        <f>AVERAGE(Ashed_controlls!$K$2:$K$11)</f>
        <v>5.5147656768714146</v>
      </c>
      <c r="N487" s="194">
        <f t="shared" si="81"/>
        <v>1.5988791352159819</v>
      </c>
      <c r="O487" s="194">
        <f t="shared" si="85"/>
        <v>1.9851999999999999</v>
      </c>
      <c r="P487" s="194">
        <f>AVERAGE(Ashed_controlls!$K$12:$K$14)</f>
        <v>2.2816647271287041</v>
      </c>
      <c r="Q487" s="194">
        <f t="shared" si="86"/>
        <v>1.9399043918370409</v>
      </c>
      <c r="R487" s="16">
        <f>IF('WetLitterbags placem_collection'!G194="","",'WetLitterbags placem_collection'!G194)</f>
        <v>42815</v>
      </c>
      <c r="S487" s="194">
        <f>IFERROR(INDEX('Both teabags AfterWet'!$C$3:$C$2000,MATCH(H487,'Both teabags AfterWet'!$A$3:$A$2000,0)),"")</f>
        <v>0.60899999999999999</v>
      </c>
      <c r="T487" s="194">
        <f>IFERROR(INDEX('Both teabags AfterWet'!$C$3:$C$2000,MATCH(I487,'Both teabags AfterWet'!$A$3:$A$2000,0)),"")</f>
        <v>1.6679999999999999</v>
      </c>
      <c r="U487" s="194">
        <f t="shared" si="87"/>
        <v>0.45839999999999997</v>
      </c>
      <c r="V487" s="194">
        <f t="shared" si="88"/>
        <v>1.5173999999999999</v>
      </c>
      <c r="W487" s="194">
        <f>IFERROR(INDEX('Ashed teabags wet'!$K$2:$K$2000,MATCH(H487,'Ashed teabags wet'!$A$2:$A$2000,0)),"")</f>
        <v>9.3406593406594496</v>
      </c>
      <c r="X487" s="237">
        <f>IFERROR(INDEX('Ashed teabags wet'!$K$2:$K$2000,MATCH(I487,'Ashed teabags wet'!$A$2:$A$2000,0)),"")</f>
        <v>2.8640776699025032</v>
      </c>
      <c r="Y487" s="194">
        <f t="shared" si="93"/>
        <v>0.41558241758241704</v>
      </c>
      <c r="Z487" s="194">
        <f t="shared" si="93"/>
        <v>1.4739404854368994</v>
      </c>
      <c r="AA487" s="194">
        <f t="shared" si="89"/>
        <v>0.74007890375886431</v>
      </c>
      <c r="AB487" s="194">
        <f t="shared" si="90"/>
        <v>0.48518236921008689</v>
      </c>
      <c r="AC487" s="194">
        <f t="shared" si="82"/>
        <v>0.759800581739554</v>
      </c>
      <c r="AD487">
        <f t="shared" si="83"/>
        <v>52</v>
      </c>
      <c r="AE487" s="194">
        <f t="shared" si="91"/>
        <v>0.12104643259042236</v>
      </c>
      <c r="AF487" s="194">
        <f t="shared" si="92"/>
        <v>1.3141081136292424E-2</v>
      </c>
      <c r="AG487" s="252" t="str">
        <f>IF(ISNUMBER(SEARCH("C",'WetLitterbags placem_collection'!$Y194)),"YES","NO")</f>
        <v>NO</v>
      </c>
      <c r="AH487" s="252" t="str">
        <f>IF(ISNUMBER(SEARCH("H", 'WetLitterbags placem_collection'!$Y194)),"YES","NO")</f>
        <v>NO</v>
      </c>
      <c r="AI487" s="252" t="str">
        <f>IF(ISNUMBER(SEARCH("R", 'WetLitterbags placem_collection'!$Y194)),"YES","NO")</f>
        <v>NO</v>
      </c>
      <c r="AJ487" s="252" t="str">
        <f>IF(ISNUMBER(SEARCH("C", 'WetLitterbags placem_collection'!$W194)),"YES","NO")</f>
        <v>YES</v>
      </c>
      <c r="AK487" s="252" t="str">
        <f>IF(ISNUMBER(SEARCH("H", 'WetLitterbags placem_collection'!$W194)),"YES","NO")</f>
        <v>YES</v>
      </c>
      <c r="AL487" s="252" t="str">
        <f>IF(ISNUMBER(SEARCH("R", 'WetLitterbags placem_collection'!$W194)),"YES","NO")</f>
        <v>NO</v>
      </c>
    </row>
    <row r="488" spans="2:38">
      <c r="B488" t="str">
        <f>'Final data_for_R_analysis_Wetse'!A634</f>
        <v>Wet</v>
      </c>
      <c r="C488" s="260">
        <f>'Final data_for_R_analysis_Wetse'!B634</f>
        <v>193</v>
      </c>
      <c r="D488" t="s">
        <v>2440</v>
      </c>
      <c r="E488" t="s">
        <v>25</v>
      </c>
      <c r="F488" s="382">
        <v>1</v>
      </c>
      <c r="G488" s="16">
        <f>'WetLitterbags placem_collection'!E195</f>
        <v>42769</v>
      </c>
      <c r="H488" s="92" t="str">
        <f>'Final data_for_R_analysis_Wetse'!K634</f>
        <v>G584</v>
      </c>
      <c r="I488" t="str">
        <f>'Final data_for_R_analysis_Wetse'!K854</f>
        <v>R364</v>
      </c>
      <c r="J488">
        <f>IFERROR(INDEX('Green_rooibos initial weight'!$C$5:$C$2000,MATCH(H488, 'Green_rooibos initial weight'!$A$5:$A$2000,0)),"")</f>
        <v>2.1960000000000002</v>
      </c>
      <c r="K488">
        <f>IFERROR(INDEX('Green_rooibos initial weight'!$C$5:$C$2000,MATCH(I488, 'Green_rooibos initial weight'!$A$5:$A$2000,0)),"")</f>
        <v>2.234</v>
      </c>
      <c r="L488" s="194">
        <f t="shared" si="84"/>
        <v>1.9462000000000002</v>
      </c>
      <c r="M488" s="194">
        <f>AVERAGE(Ashed_controlls!$K$2:$K$11)</f>
        <v>5.5147656768714146</v>
      </c>
      <c r="N488" s="194">
        <f t="shared" si="81"/>
        <v>1.8388716303967287</v>
      </c>
      <c r="O488" s="194">
        <f t="shared" si="85"/>
        <v>1.9842</v>
      </c>
      <c r="P488" s="194">
        <f>AVERAGE(Ashed_controlls!$K$12:$K$14)</f>
        <v>2.2816647271287041</v>
      </c>
      <c r="Q488" s="194">
        <f t="shared" si="86"/>
        <v>1.9389272084843123</v>
      </c>
      <c r="R488" s="16">
        <f>IF('WetLitterbags placem_collection'!G195="","",'WetLitterbags placem_collection'!G195)</f>
        <v>42813</v>
      </c>
      <c r="S488" s="194">
        <f>IFERROR(INDEX('Both teabags AfterWet'!$C$3:$C$2000,MATCH(H488,'Both teabags AfterWet'!$A$3:$A$2000,0)),"")</f>
        <v>0.63959999999999995</v>
      </c>
      <c r="T488" s="194">
        <f>IFERROR(INDEX('Both teabags AfterWet'!$C$3:$C$2000,MATCH(I488,'Both teabags AfterWet'!$A$3:$A$2000,0)),"")</f>
        <v>1.3913</v>
      </c>
      <c r="U488" s="194">
        <f t="shared" si="87"/>
        <v>0.48899999999999993</v>
      </c>
      <c r="V488" s="194">
        <f t="shared" si="88"/>
        <v>1.2406999999999999</v>
      </c>
      <c r="W488" s="194">
        <f>IFERROR(INDEX('Ashed teabags wet'!$K$2:$K$2000,MATCH(H488,'Ashed teabags wet'!$A$2:$A$2000,0)),"")</f>
        <v>7.9232283464562308</v>
      </c>
      <c r="X488" s="237">
        <f>IFERROR(INDEX('Ashed teabags wet'!$K$2:$K$2000,MATCH(I488,'Ashed teabags wet'!$A$2:$A$2000,0)),"")</f>
        <v>3.461725987323931</v>
      </c>
      <c r="Y488" s="194">
        <f t="shared" si="93"/>
        <v>0.45025541338582897</v>
      </c>
      <c r="Z488" s="194">
        <f t="shared" si="93"/>
        <v>1.1977503656752719</v>
      </c>
      <c r="AA488" s="194">
        <f t="shared" si="89"/>
        <v>0.75514581554086613</v>
      </c>
      <c r="AB488" s="194">
        <f t="shared" si="90"/>
        <v>0.49505996458261059</v>
      </c>
      <c r="AC488" s="194">
        <f t="shared" si="82"/>
        <v>0.61773869613783539</v>
      </c>
      <c r="AD488">
        <f t="shared" si="83"/>
        <v>44</v>
      </c>
      <c r="AE488" s="194">
        <f t="shared" si="91"/>
        <v>0.10315223807498086</v>
      </c>
      <c r="AF488" s="194">
        <f t="shared" si="92"/>
        <v>3.3615327951248011E-2</v>
      </c>
      <c r="AG488" s="252" t="str">
        <f>IF(ISNUMBER(SEARCH("C",'WetLitterbags placem_collection'!$Y195)),"YES","NO")</f>
        <v>NO</v>
      </c>
      <c r="AH488" s="252" t="str">
        <f>IF(ISNUMBER(SEARCH("H", 'WetLitterbags placem_collection'!$Y195)),"YES","NO")</f>
        <v>NO</v>
      </c>
      <c r="AI488" s="252" t="str">
        <f>IF(ISNUMBER(SEARCH("R", 'WetLitterbags placem_collection'!$Y195)),"YES","NO")</f>
        <v>NO</v>
      </c>
      <c r="AJ488" s="252" t="str">
        <f>IF(ISNUMBER(SEARCH("C", 'WetLitterbags placem_collection'!$W195)),"YES","NO")</f>
        <v>NO</v>
      </c>
      <c r="AK488" s="252" t="str">
        <f>IF(ISNUMBER(SEARCH("H", 'WetLitterbags placem_collection'!$W195)),"YES","NO")</f>
        <v>NO</v>
      </c>
      <c r="AL488" s="252" t="str">
        <f>IF(ISNUMBER(SEARCH("R", 'WetLitterbags placem_collection'!$W195)),"YES","NO")</f>
        <v>NO</v>
      </c>
    </row>
    <row r="489" spans="2:38">
      <c r="B489" t="str">
        <f>'Final data_for_R_analysis_Wetse'!A635</f>
        <v>Wet</v>
      </c>
      <c r="C489" s="260">
        <f>'Final data_for_R_analysis_Wetse'!B635</f>
        <v>194</v>
      </c>
      <c r="D489" t="s">
        <v>2433</v>
      </c>
      <c r="E489" t="s">
        <v>25</v>
      </c>
      <c r="F489" s="382">
        <v>2</v>
      </c>
      <c r="G489" s="16">
        <f>'WetLitterbags placem_collection'!E196</f>
        <v>42769</v>
      </c>
      <c r="H489" s="92" t="str">
        <f>'Final data_for_R_analysis_Wetse'!K635</f>
        <v>G713</v>
      </c>
      <c r="I489" t="str">
        <f>'Final data_for_R_analysis_Wetse'!K855</f>
        <v>R167</v>
      </c>
      <c r="J489">
        <f>IFERROR(INDEX('Green_rooibos initial weight'!$C$5:$C$2000,MATCH(H489, 'Green_rooibos initial weight'!$A$5:$A$2000,0)),"")</f>
        <v>2.1779999999999999</v>
      </c>
      <c r="K489">
        <f>IFERROR(INDEX('Green_rooibos initial weight'!$C$5:$C$2000,MATCH(I489, 'Green_rooibos initial weight'!$A$5:$A$2000,0)),"")</f>
        <v>2.177</v>
      </c>
      <c r="L489" s="194">
        <f t="shared" si="84"/>
        <v>1.9281999999999999</v>
      </c>
      <c r="M489" s="194">
        <f>AVERAGE(Ashed_controlls!$K$2:$K$11)</f>
        <v>5.5147656768714146</v>
      </c>
      <c r="N489" s="194">
        <f t="shared" si="81"/>
        <v>1.8218642882185654</v>
      </c>
      <c r="O489" s="194">
        <f t="shared" si="85"/>
        <v>1.9272</v>
      </c>
      <c r="P489" s="194">
        <f>AVERAGE(Ashed_controlls!$K$12:$K$14)</f>
        <v>2.2816647271287041</v>
      </c>
      <c r="Q489" s="194">
        <f t="shared" si="86"/>
        <v>1.8832277573787757</v>
      </c>
      <c r="R489" s="16">
        <f>IF('WetLitterbags placem_collection'!G196="","",'WetLitterbags placem_collection'!G196)</f>
        <v>42813</v>
      </c>
      <c r="S489" s="194">
        <f>IFERROR(INDEX('Both teabags AfterWet'!$C$3:$C$2000,MATCH(H489,'Both teabags AfterWet'!$A$3:$A$2000,0)),"")</f>
        <v>0.63500000000000001</v>
      </c>
      <c r="T489" s="194">
        <f>IFERROR(INDEX('Both teabags AfterWet'!$C$3:$C$2000,MATCH(I489,'Both teabags AfterWet'!$A$3:$A$2000,0)),"")</f>
        <v>1.4750000000000001</v>
      </c>
      <c r="U489" s="194">
        <f t="shared" si="87"/>
        <v>0.4844</v>
      </c>
      <c r="V489" s="194">
        <f t="shared" si="88"/>
        <v>1.3244</v>
      </c>
      <c r="W489" s="194">
        <f>IFERROR(INDEX('Ashed teabags wet'!$K$2:$K$2000,MATCH(H489,'Ashed teabags wet'!$A$2:$A$2000,0)),"")</f>
        <v>8.6567164179103493</v>
      </c>
      <c r="X489" s="237">
        <f>IFERROR(INDEX('Ashed teabags wet'!$K$2:$K$2000,MATCH(I489,'Ashed teabags wet'!$A$2:$A$2000,0)),"")</f>
        <v>3.2435129740522455</v>
      </c>
      <c r="Y489" s="194">
        <f t="shared" si="93"/>
        <v>0.44246686567164228</v>
      </c>
      <c r="Z489" s="194">
        <f t="shared" si="93"/>
        <v>1.2814429141716521</v>
      </c>
      <c r="AA489" s="194">
        <f t="shared" si="89"/>
        <v>0.75713511235005859</v>
      </c>
      <c r="AB489" s="194">
        <f t="shared" si="90"/>
        <v>0.4963641116594209</v>
      </c>
      <c r="AC489" s="194">
        <f t="shared" si="82"/>
        <v>0.6804503115200814</v>
      </c>
      <c r="AD489">
        <f t="shared" si="83"/>
        <v>44</v>
      </c>
      <c r="AE489" s="194">
        <f t="shared" si="91"/>
        <v>0.10078965279090424</v>
      </c>
      <c r="AF489" s="194">
        <f t="shared" si="92"/>
        <v>2.3459296080681754E-2</v>
      </c>
      <c r="AG489" s="252" t="str">
        <f>IF(ISNUMBER(SEARCH("C",'WetLitterbags placem_collection'!$Y196)),"YES","NO")</f>
        <v>NO</v>
      </c>
      <c r="AH489" s="252" t="str">
        <f>IF(ISNUMBER(SEARCH("H", 'WetLitterbags placem_collection'!$Y196)),"YES","NO")</f>
        <v>NO</v>
      </c>
      <c r="AI489" s="252" t="str">
        <f>IF(ISNUMBER(SEARCH("R", 'WetLitterbags placem_collection'!$Y196)),"YES","NO")</f>
        <v>YES</v>
      </c>
      <c r="AJ489" s="252" t="str">
        <f>IF(ISNUMBER(SEARCH("C", 'WetLitterbags placem_collection'!$W196)),"YES","NO")</f>
        <v>NO</v>
      </c>
      <c r="AK489" s="252" t="str">
        <f>IF(ISNUMBER(SEARCH("H", 'WetLitterbags placem_collection'!$W196)),"YES","NO")</f>
        <v>NO</v>
      </c>
      <c r="AL489" s="252" t="str">
        <f>IF(ISNUMBER(SEARCH("R", 'WetLitterbags placem_collection'!$W196)),"YES","NO")</f>
        <v>YES</v>
      </c>
    </row>
    <row r="490" spans="2:38">
      <c r="B490" t="str">
        <f>'Final data_for_R_analysis_Wetse'!A636</f>
        <v>Wet</v>
      </c>
      <c r="C490" s="260">
        <f>'Final data_for_R_analysis_Wetse'!B636</f>
        <v>195</v>
      </c>
      <c r="D490" t="s">
        <v>2425</v>
      </c>
      <c r="E490" t="s">
        <v>25</v>
      </c>
      <c r="F490" s="382">
        <v>3</v>
      </c>
      <c r="G490" s="16">
        <f>'WetLitterbags placem_collection'!E197</f>
        <v>42769</v>
      </c>
      <c r="H490" s="92" t="str">
        <f>'Final data_for_R_analysis_Wetse'!K636</f>
        <v>G525</v>
      </c>
      <c r="I490" t="str">
        <f>'Final data_for_R_analysis_Wetse'!K856</f>
        <v>R25</v>
      </c>
      <c r="J490">
        <f>IFERROR(INDEX('Green_rooibos initial weight'!$C$5:$C$2000,MATCH(H490, 'Green_rooibos initial weight'!$A$5:$A$2000,0)),"")</f>
        <v>2.0790000000000002</v>
      </c>
      <c r="K490">
        <f>IFERROR(INDEX('Green_rooibos initial weight'!$C$5:$C$2000,MATCH(I490, 'Green_rooibos initial weight'!$A$5:$A$2000,0)),"")</f>
        <v>2.16</v>
      </c>
      <c r="L490" s="194">
        <f t="shared" si="84"/>
        <v>1.8292000000000002</v>
      </c>
      <c r="M490" s="194">
        <f>AVERAGE(Ashed_controlls!$K$2:$K$11)</f>
        <v>5.5147656768714146</v>
      </c>
      <c r="N490" s="194">
        <f t="shared" si="81"/>
        <v>1.7283239062386682</v>
      </c>
      <c r="O490" s="194">
        <f t="shared" si="85"/>
        <v>1.9102000000000001</v>
      </c>
      <c r="P490" s="194">
        <f>AVERAGE(Ashed_controlls!$K$12:$K$14)</f>
        <v>2.2816647271287041</v>
      </c>
      <c r="Q490" s="194">
        <f t="shared" si="86"/>
        <v>1.8666156403823877</v>
      </c>
      <c r="R490" s="16">
        <f>IF('WetLitterbags placem_collection'!G197="","",'WetLitterbags placem_collection'!G197)</f>
        <v>42814</v>
      </c>
      <c r="S490" s="194">
        <f>IFERROR(INDEX('Both teabags AfterWet'!$C$3:$C$2000,MATCH(H490,'Both teabags AfterWet'!$A$3:$A$2000,0)),"")</f>
        <v>0.67859999999999998</v>
      </c>
      <c r="T490" s="194">
        <f>IFERROR(INDEX('Both teabags AfterWet'!$C$3:$C$2000,MATCH(I490,'Both teabags AfterWet'!$A$3:$A$2000,0)),"")</f>
        <v>1.3527</v>
      </c>
      <c r="U490" s="194">
        <f t="shared" si="87"/>
        <v>0.52800000000000002</v>
      </c>
      <c r="V490" s="194">
        <f t="shared" si="88"/>
        <v>1.2020999999999999</v>
      </c>
      <c r="W490" s="194">
        <f>IFERROR(INDEX('Ashed teabags wet'!$K$2:$K$2000,MATCH(H490,'Ashed teabags wet'!$A$2:$A$2000,0)),"")</f>
        <v>12.793603198399861</v>
      </c>
      <c r="X490" s="237">
        <f>IFERROR(INDEX('Ashed teabags wet'!$K$2:$K$2000,MATCH(I490,'Ashed teabags wet'!$A$2:$A$2000,0)),"")</f>
        <v>4.592085979482369</v>
      </c>
      <c r="Y490" s="194">
        <f t="shared" si="93"/>
        <v>0.46044977511244878</v>
      </c>
      <c r="Z490" s="194">
        <f t="shared" si="93"/>
        <v>1.1468985344406424</v>
      </c>
      <c r="AA490" s="194">
        <f t="shared" si="89"/>
        <v>0.73358594795201304</v>
      </c>
      <c r="AB490" s="194">
        <f t="shared" si="90"/>
        <v>0.48092570459561906</v>
      </c>
      <c r="AC490" s="194">
        <f t="shared" si="82"/>
        <v>0.61442672483216376</v>
      </c>
      <c r="AD490">
        <f t="shared" si="83"/>
        <v>45</v>
      </c>
      <c r="AE490" s="194">
        <f t="shared" si="91"/>
        <v>0.12875778152967565</v>
      </c>
      <c r="AF490" s="194">
        <f t="shared" si="92"/>
        <v>3.5958510824437753E-2</v>
      </c>
      <c r="AG490" s="252" t="str">
        <f>IF(ISNUMBER(SEARCH("C",'WetLitterbags placem_collection'!$Y197)),"YES","NO")</f>
        <v>NO</v>
      </c>
      <c r="AH490" s="252" t="str">
        <f>IF(ISNUMBER(SEARCH("H", 'WetLitterbags placem_collection'!$Y197)),"YES","NO")</f>
        <v>NO</v>
      </c>
      <c r="AI490" s="252" t="str">
        <f>IF(ISNUMBER(SEARCH("R", 'WetLitterbags placem_collection'!$Y197)),"YES","NO")</f>
        <v>NO</v>
      </c>
      <c r="AJ490" s="252" t="str">
        <f>IF(ISNUMBER(SEARCH("C", 'WetLitterbags placem_collection'!$W197)),"YES","NO")</f>
        <v>YES</v>
      </c>
      <c r="AK490" s="252" t="str">
        <f>IF(ISNUMBER(SEARCH("H", 'WetLitterbags placem_collection'!$W197)),"YES","NO")</f>
        <v>NO</v>
      </c>
      <c r="AL490" s="252" t="str">
        <f>IF(ISNUMBER(SEARCH("R", 'WetLitterbags placem_collection'!$W197)),"YES","NO")</f>
        <v>YES</v>
      </c>
    </row>
    <row r="491" spans="2:38">
      <c r="B491" t="str">
        <f>'Final data_for_R_analysis_Wetse'!A637</f>
        <v>Wet</v>
      </c>
      <c r="C491" s="260">
        <f>'Final data_for_R_analysis_Wetse'!B637</f>
        <v>196</v>
      </c>
      <c r="D491" t="s">
        <v>2416</v>
      </c>
      <c r="E491" t="s">
        <v>25</v>
      </c>
      <c r="F491" s="382">
        <v>4</v>
      </c>
      <c r="G491" s="16">
        <f>'WetLitterbags placem_collection'!E198</f>
        <v>42769</v>
      </c>
      <c r="H491" s="92" t="str">
        <f>'Final data_for_R_analysis_Wetse'!K637</f>
        <v>G886</v>
      </c>
      <c r="I491" t="str">
        <f>'Final data_for_R_analysis_Wetse'!K857</f>
        <v>R362</v>
      </c>
      <c r="J491">
        <f>IFERROR(INDEX('Green_rooibos initial weight'!$C$5:$C$2000,MATCH(H491, 'Green_rooibos initial weight'!$A$5:$A$2000,0)),"")</f>
        <v>1.9590000000000001</v>
      </c>
      <c r="K491">
        <f>IFERROR(INDEX('Green_rooibos initial weight'!$C$5:$C$2000,MATCH(I491, 'Green_rooibos initial weight'!$A$5:$A$2000,0)),"")</f>
        <v>2.246</v>
      </c>
      <c r="L491" s="194">
        <f t="shared" si="84"/>
        <v>1.7092000000000001</v>
      </c>
      <c r="M491" s="194">
        <f>AVERAGE(Ashed_controlls!$K$2:$K$11)</f>
        <v>5.5147656768714146</v>
      </c>
      <c r="N491" s="194">
        <f t="shared" si="81"/>
        <v>1.6149416250509139</v>
      </c>
      <c r="O491" s="194">
        <f t="shared" si="85"/>
        <v>1.9962</v>
      </c>
      <c r="P491" s="194">
        <f>AVERAGE(Ashed_controlls!$K$12:$K$14)</f>
        <v>2.2816647271287041</v>
      </c>
      <c r="Q491" s="194">
        <f t="shared" si="86"/>
        <v>1.9506534087170568</v>
      </c>
      <c r="R491" s="16">
        <f>IF('WetLitterbags placem_collection'!G198="","",'WetLitterbags placem_collection'!G198)</f>
        <v>42814</v>
      </c>
      <c r="S491" s="194">
        <f>IFERROR(INDEX('Both teabags AfterWet'!$C$3:$C$2000,MATCH(H491,'Both teabags AfterWet'!$A$3:$A$2000,0)),"")</f>
        <v>0.58389999999999997</v>
      </c>
      <c r="T491" s="194">
        <f>IFERROR(INDEX('Both teabags AfterWet'!$C$3:$C$2000,MATCH(I491,'Both teabags AfterWet'!$A$3:$A$2000,0)),"")</f>
        <v>1.5253000000000001</v>
      </c>
      <c r="U491" s="194">
        <f t="shared" si="87"/>
        <v>0.43329999999999996</v>
      </c>
      <c r="V491" s="194">
        <f t="shared" si="88"/>
        <v>1.3747</v>
      </c>
      <c r="W491" s="194">
        <f>IFERROR(INDEX('Ashed teabags wet'!$K$2:$K$2000,MATCH(H491,'Ashed teabags wet'!$A$2:$A$2000,0)),"")</f>
        <v>11.60846040334461</v>
      </c>
      <c r="X491" s="237">
        <f>IFERROR(INDEX('Ashed teabags wet'!$K$2:$K$2000,MATCH(I491,'Ashed teabags wet'!$A$2:$A$2000,0)),"")</f>
        <v>3.690944881888675</v>
      </c>
      <c r="Y491" s="194">
        <f t="shared" si="93"/>
        <v>0.38300054107230774</v>
      </c>
      <c r="Z491" s="194">
        <f t="shared" si="93"/>
        <v>1.3239605807086765</v>
      </c>
      <c r="AA491" s="194">
        <f t="shared" si="89"/>
        <v>0.76283938990040401</v>
      </c>
      <c r="AB491" s="194">
        <f t="shared" si="90"/>
        <v>0.5001037330463457</v>
      </c>
      <c r="AC491" s="194">
        <f t="shared" si="82"/>
        <v>0.67872671525970585</v>
      </c>
      <c r="AD491">
        <f t="shared" si="83"/>
        <v>45</v>
      </c>
      <c r="AE491" s="194">
        <f t="shared" si="91"/>
        <v>9.4014976365315861E-2</v>
      </c>
      <c r="AF491" s="194">
        <f t="shared" si="92"/>
        <v>2.2852831160356579E-2</v>
      </c>
      <c r="AG491" s="252" t="str">
        <f>IF(ISNUMBER(SEARCH("C",'WetLitterbags placem_collection'!$Y198)),"YES","NO")</f>
        <v>NO</v>
      </c>
      <c r="AH491" s="252" t="str">
        <f>IF(ISNUMBER(SEARCH("H", 'WetLitterbags placem_collection'!$Y198)),"YES","NO")</f>
        <v>NO</v>
      </c>
      <c r="AI491" s="252" t="str">
        <f>IF(ISNUMBER(SEARCH("R", 'WetLitterbags placem_collection'!$Y198)),"YES","NO")</f>
        <v>NO</v>
      </c>
      <c r="AJ491" s="252" t="str">
        <f>IF(ISNUMBER(SEARCH("C", 'WetLitterbags placem_collection'!$W198)),"YES","NO")</f>
        <v>NO</v>
      </c>
      <c r="AK491" s="252" t="str">
        <f>IF(ISNUMBER(SEARCH("H", 'WetLitterbags placem_collection'!$W198)),"YES","NO")</f>
        <v>NO</v>
      </c>
      <c r="AL491" s="252" t="str">
        <f>IF(ISNUMBER(SEARCH("R", 'WetLitterbags placem_collection'!$W198)),"YES","NO")</f>
        <v>NO</v>
      </c>
    </row>
    <row r="492" spans="2:38">
      <c r="B492" t="str">
        <f>'Final data_for_R_analysis_Wetse'!A638</f>
        <v>Wet</v>
      </c>
      <c r="C492" s="260">
        <f>'Final data_for_R_analysis_Wetse'!B638</f>
        <v>197</v>
      </c>
      <c r="D492" t="s">
        <v>2426</v>
      </c>
      <c r="E492" t="s">
        <v>25</v>
      </c>
      <c r="F492" s="382">
        <v>1</v>
      </c>
      <c r="G492" s="16">
        <f>'WetLitterbags placem_collection'!E199</f>
        <v>42769</v>
      </c>
      <c r="H492" s="92" t="str">
        <f>'Final data_for_R_analysis_Wetse'!K638</f>
        <v>G388</v>
      </c>
      <c r="I492" t="str">
        <f>'Final data_for_R_analysis_Wetse'!K858</f>
        <v>R370</v>
      </c>
      <c r="J492">
        <f>IFERROR(INDEX('Green_rooibos initial weight'!$C$5:$C$2000,MATCH(H492, 'Green_rooibos initial weight'!$A$5:$A$2000,0)),"")</f>
        <v>2.024</v>
      </c>
      <c r="K492">
        <f>IFERROR(INDEX('Green_rooibos initial weight'!$C$5:$C$2000,MATCH(I492, 'Green_rooibos initial weight'!$A$5:$A$2000,0)),"")</f>
        <v>2.2290000000000001</v>
      </c>
      <c r="L492" s="194">
        <f t="shared" si="84"/>
        <v>1.7742</v>
      </c>
      <c r="M492" s="194">
        <f>AVERAGE(Ashed_controlls!$K$2:$K$11)</f>
        <v>5.5147656768714146</v>
      </c>
      <c r="N492" s="194">
        <f t="shared" si="81"/>
        <v>1.6763570273609474</v>
      </c>
      <c r="O492" s="194">
        <f t="shared" si="85"/>
        <v>1.9792000000000001</v>
      </c>
      <c r="P492" s="194">
        <f>AVERAGE(Ashed_controlls!$K$12:$K$14)</f>
        <v>2.2816647271287041</v>
      </c>
      <c r="Q492" s="194">
        <f t="shared" si="86"/>
        <v>1.9340412917206689</v>
      </c>
      <c r="R492" s="16">
        <f>IF('WetLitterbags placem_collection'!G199="","",'WetLitterbags placem_collection'!G199)</f>
        <v>42814</v>
      </c>
      <c r="S492" s="194">
        <f>IFERROR(INDEX('Both teabags AfterWet'!$C$3:$C$2000,MATCH(H492,'Both teabags AfterWet'!$A$3:$A$2000,0)),"")</f>
        <v>0.7046</v>
      </c>
      <c r="T492" s="194">
        <f>IFERROR(INDEX('Both teabags AfterWet'!$C$3:$C$2000,MATCH(I492,'Both teabags AfterWet'!$A$3:$A$2000,0)),"")</f>
        <v>1.488</v>
      </c>
      <c r="U492" s="194">
        <f t="shared" si="87"/>
        <v>0.55400000000000005</v>
      </c>
      <c r="V492" s="194">
        <f t="shared" si="88"/>
        <v>1.3373999999999999</v>
      </c>
      <c r="W492" s="194">
        <f>IFERROR(INDEX('Ashed teabags wet'!$K$2:$K$2000,MATCH(H492,'Ashed teabags wet'!$A$2:$A$2000,0)),"")</f>
        <v>10.565110565110372</v>
      </c>
      <c r="X492" s="237">
        <f>IFERROR(INDEX('Ashed teabags wet'!$K$2:$K$2000,MATCH(I492,'Ashed teabags wet'!$A$2:$A$2000,0)),"")</f>
        <v>5.0682261208581973</v>
      </c>
      <c r="Y492" s="194">
        <f t="shared" si="93"/>
        <v>0.49546928746928859</v>
      </c>
      <c r="Z492" s="194">
        <f t="shared" si="93"/>
        <v>1.2696175438596424</v>
      </c>
      <c r="AA492" s="194">
        <f t="shared" si="89"/>
        <v>0.70443689537347831</v>
      </c>
      <c r="AB492" s="194">
        <f t="shared" si="90"/>
        <v>0.46181611193130651</v>
      </c>
      <c r="AC492" s="194">
        <f t="shared" si="82"/>
        <v>0.65645834413912385</v>
      </c>
      <c r="AD492">
        <f t="shared" si="83"/>
        <v>45</v>
      </c>
      <c r="AE492" s="194">
        <f t="shared" si="91"/>
        <v>0.16337660882009697</v>
      </c>
      <c r="AF492" s="194">
        <f t="shared" si="92"/>
        <v>3.0270199179420448E-2</v>
      </c>
      <c r="AG492" s="252" t="str">
        <f>IF(ISNUMBER(SEARCH("C",'WetLitterbags placem_collection'!$Y199)),"YES","NO")</f>
        <v>NO</v>
      </c>
      <c r="AH492" s="252" t="str">
        <f>IF(ISNUMBER(SEARCH("H", 'WetLitterbags placem_collection'!$Y199)),"YES","NO")</f>
        <v>NO</v>
      </c>
      <c r="AI492" s="252" t="str">
        <f>IF(ISNUMBER(SEARCH("R", 'WetLitterbags placem_collection'!$Y199)),"YES","NO")</f>
        <v>YES</v>
      </c>
      <c r="AJ492" s="252" t="str">
        <f>IF(ISNUMBER(SEARCH("C", 'WetLitterbags placem_collection'!$W199)),"YES","NO")</f>
        <v>YES</v>
      </c>
      <c r="AK492" s="252" t="str">
        <f>IF(ISNUMBER(SEARCH("H", 'WetLitterbags placem_collection'!$W199)),"YES","NO")</f>
        <v>YES</v>
      </c>
      <c r="AL492" s="252" t="str">
        <f>IF(ISNUMBER(SEARCH("R", 'WetLitterbags placem_collection'!$W199)),"YES","NO")</f>
        <v>YES</v>
      </c>
    </row>
    <row r="493" spans="2:38">
      <c r="B493" t="str">
        <f>'Final data_for_R_analysis_Wetse'!A639</f>
        <v>Wet</v>
      </c>
      <c r="C493" s="260">
        <f>'Final data_for_R_analysis_Wetse'!B639</f>
        <v>198</v>
      </c>
      <c r="D493" t="s">
        <v>2434</v>
      </c>
      <c r="E493" t="s">
        <v>25</v>
      </c>
      <c r="F493" s="382">
        <v>2</v>
      </c>
      <c r="G493" s="16">
        <f>'WetLitterbags placem_collection'!E200</f>
        <v>42769</v>
      </c>
      <c r="H493" s="92" t="str">
        <f>'Final data_for_R_analysis_Wetse'!K639</f>
        <v>G462</v>
      </c>
      <c r="I493" t="str">
        <f>'Final data_for_R_analysis_Wetse'!K859</f>
        <v>R168</v>
      </c>
      <c r="J493">
        <f>IFERROR(INDEX('Green_rooibos initial weight'!$C$5:$C$2000,MATCH(H493, 'Green_rooibos initial weight'!$A$5:$A$2000,0)),"")</f>
        <v>2.169</v>
      </c>
      <c r="K493">
        <f>IFERROR(INDEX('Green_rooibos initial weight'!$C$5:$C$2000,MATCH(I493, 'Green_rooibos initial weight'!$A$5:$A$2000,0)),"")</f>
        <v>2.1459999999999999</v>
      </c>
      <c r="L493" s="194">
        <f t="shared" si="84"/>
        <v>1.9192</v>
      </c>
      <c r="M493" s="194">
        <f>AVERAGE(Ashed_controlls!$K$2:$K$11)</f>
        <v>5.5147656768714146</v>
      </c>
      <c r="N493" s="194">
        <f t="shared" si="81"/>
        <v>1.8133606171294838</v>
      </c>
      <c r="O493" s="194">
        <f t="shared" si="85"/>
        <v>1.8961999999999999</v>
      </c>
      <c r="P493" s="194">
        <f>AVERAGE(Ashed_controlls!$K$12:$K$14)</f>
        <v>2.2816647271287041</v>
      </c>
      <c r="Q493" s="194">
        <f t="shared" si="86"/>
        <v>1.8529350734441854</v>
      </c>
      <c r="R493" s="16">
        <f>IF('WetLitterbags placem_collection'!G200="","",'WetLitterbags placem_collection'!G200)</f>
        <v>42813</v>
      </c>
      <c r="S493" s="194">
        <f>IFERROR(INDEX('Both teabags AfterWet'!$C$3:$C$2000,MATCH(H493,'Both teabags AfterWet'!$A$3:$A$2000,0)),"")</f>
        <v>0.71250000000000002</v>
      </c>
      <c r="T493" s="194">
        <f>IFERROR(INDEX('Both teabags AfterWet'!$C$3:$C$2000,MATCH(I493,'Both teabags AfterWet'!$A$3:$A$2000,0)),"")</f>
        <v>1.5734999999999999</v>
      </c>
      <c r="U493" s="194">
        <f t="shared" si="87"/>
        <v>0.56190000000000007</v>
      </c>
      <c r="V493" s="194">
        <f t="shared" si="88"/>
        <v>1.4228999999999998</v>
      </c>
      <c r="W493" s="194">
        <f>IFERROR(INDEX('Ashed teabags wet'!$K$2:$K$2000,MATCH(H493,'Ashed teabags wet'!$A$2:$A$2000,0)),"")</f>
        <v>8.7537091988131088</v>
      </c>
      <c r="X493" s="237">
        <f>IFERROR(INDEX('Ashed teabags wet'!$K$2:$K$2000,MATCH(I493,'Ashed teabags wet'!$A$2:$A$2000,0)),"")</f>
        <v>3.118908382066123</v>
      </c>
      <c r="Y493" s="194">
        <f t="shared" si="93"/>
        <v>0.5127129080118692</v>
      </c>
      <c r="Z493" s="194">
        <f t="shared" si="93"/>
        <v>1.378521052631581</v>
      </c>
      <c r="AA493" s="194">
        <f t="shared" si="89"/>
        <v>0.71725816521620267</v>
      </c>
      <c r="AB493" s="194">
        <f t="shared" si="90"/>
        <v>0.47022150498734433</v>
      </c>
      <c r="AC493" s="194">
        <f t="shared" si="82"/>
        <v>0.74396619308912071</v>
      </c>
      <c r="AD493">
        <f t="shared" si="83"/>
        <v>44</v>
      </c>
      <c r="AE493" s="194">
        <f t="shared" si="91"/>
        <v>0.14814944748669512</v>
      </c>
      <c r="AF493" s="194">
        <f t="shared" si="92"/>
        <v>1.7871616965345217E-2</v>
      </c>
      <c r="AG493" s="252" t="str">
        <f>IF(ISNUMBER(SEARCH("C",'WetLitterbags placem_collection'!$Y200)),"YES","NO")</f>
        <v>NO</v>
      </c>
      <c r="AH493" s="252" t="str">
        <f>IF(ISNUMBER(SEARCH("H", 'WetLitterbags placem_collection'!$Y200)),"YES","NO")</f>
        <v>NO</v>
      </c>
      <c r="AI493" s="252" t="str">
        <f>IF(ISNUMBER(SEARCH("R", 'WetLitterbags placem_collection'!$Y200)),"YES","NO")</f>
        <v>YES</v>
      </c>
      <c r="AJ493" s="252" t="str">
        <f>IF(ISNUMBER(SEARCH("C", 'WetLitterbags placem_collection'!$W200)),"YES","NO")</f>
        <v>NO</v>
      </c>
      <c r="AK493" s="252" t="str">
        <f>IF(ISNUMBER(SEARCH("H", 'WetLitterbags placem_collection'!$W200)),"YES","NO")</f>
        <v>NO</v>
      </c>
      <c r="AL493" s="252" t="str">
        <f>IF(ISNUMBER(SEARCH("R", 'WetLitterbags placem_collection'!$W200)),"YES","NO")</f>
        <v>NO</v>
      </c>
    </row>
    <row r="494" spans="2:38">
      <c r="B494" t="str">
        <f>'Final data_for_R_analysis_Wetse'!A640</f>
        <v>Wet</v>
      </c>
      <c r="C494" s="260">
        <f>'Final data_for_R_analysis_Wetse'!B640</f>
        <v>199</v>
      </c>
      <c r="D494" t="s">
        <v>2418</v>
      </c>
      <c r="E494" t="s">
        <v>25</v>
      </c>
      <c r="F494" s="382">
        <v>3</v>
      </c>
      <c r="G494" s="16">
        <f>'WetLitterbags placem_collection'!E201</f>
        <v>42769</v>
      </c>
      <c r="H494" s="92" t="str">
        <f>'Final data_for_R_analysis_Wetse'!K640</f>
        <v>G712</v>
      </c>
      <c r="I494" t="str">
        <f>'Final data_for_R_analysis_Wetse'!K860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84"/>
        <v>1.8132000000000001</v>
      </c>
      <c r="M494" s="194">
        <f>AVERAGE(Ashed_controlls!$K$2:$K$11)</f>
        <v>5.5147656768714146</v>
      </c>
      <c r="N494" s="194">
        <f t="shared" si="81"/>
        <v>1.7132062687469676</v>
      </c>
      <c r="O494" s="194">
        <f t="shared" si="85"/>
        <v>1.9902000000000002</v>
      </c>
      <c r="P494" s="194">
        <f>AVERAGE(Ashed_controlls!$K$12:$K$14)</f>
        <v>2.2816647271287041</v>
      </c>
      <c r="Q494" s="194">
        <f t="shared" si="86"/>
        <v>1.9447903086006848</v>
      </c>
      <c r="R494" s="16">
        <f>IF('WetLitterbags placem_collection'!G201="","",'WetLitterbags placem_collection'!G201)</f>
        <v>42814</v>
      </c>
      <c r="S494" s="194">
        <f>IFERROR(INDEX('Both teabags AfterWet'!$C$3:$C$2000,MATCH(H494,'Both teabags AfterWet'!$A$3:$A$2000,0)),"")</f>
        <v>0.65500000000000003</v>
      </c>
      <c r="T494" s="194">
        <f>IFERROR(INDEX('Both teabags AfterWet'!$C$3:$C$2000,MATCH(I494,'Both teabags AfterWet'!$A$3:$A$2000,0)),"")</f>
        <v>1.667</v>
      </c>
      <c r="U494" s="194">
        <f t="shared" si="87"/>
        <v>0.50439999999999996</v>
      </c>
      <c r="V494" s="194">
        <f t="shared" si="88"/>
        <v>1.5164</v>
      </c>
      <c r="W494" s="194">
        <f>IFERROR(INDEX('Ashed teabags wet'!$K$2:$K$2000,MATCH(H494,'Ashed teabags wet'!$A$2:$A$2000,0)),"")</f>
        <v>8.8717454194792413</v>
      </c>
      <c r="X494" s="237">
        <f>IFERROR(INDEX('Ashed teabags wet'!$K$2:$K$2000,MATCH(I494,'Ashed teabags wet'!$A$2:$A$2000,0)),"")</f>
        <v>2.8245787908823141</v>
      </c>
      <c r="Y494" s="194">
        <f t="shared" si="93"/>
        <v>0.45965091610414666</v>
      </c>
      <c r="Z494" s="194">
        <f t="shared" si="93"/>
        <v>1.4735680872150605</v>
      </c>
      <c r="AA494" s="194">
        <f t="shared" si="89"/>
        <v>0.73170135757188559</v>
      </c>
      <c r="AB494" s="194">
        <f t="shared" si="90"/>
        <v>0.47969020116351652</v>
      </c>
      <c r="AC494" s="194">
        <f t="shared" si="82"/>
        <v>0.75770024187097162</v>
      </c>
      <c r="AD494">
        <f t="shared" si="83"/>
        <v>45</v>
      </c>
      <c r="AE494" s="194">
        <f t="shared" si="91"/>
        <v>0.13099601238493397</v>
      </c>
      <c r="AF494" s="194">
        <f t="shared" si="92"/>
        <v>1.5631872371769089E-2</v>
      </c>
      <c r="AG494" s="252" t="str">
        <f>IF(ISNUMBER(SEARCH("C",'WetLitterbags placem_collection'!$Y201)),"YES","NO")</f>
        <v>NO</v>
      </c>
      <c r="AH494" s="252" t="str">
        <f>IF(ISNUMBER(SEARCH("H", 'WetLitterbags placem_collection'!$Y201)),"YES","NO")</f>
        <v>NO</v>
      </c>
      <c r="AI494" s="252" t="str">
        <f>IF(ISNUMBER(SEARCH("R", 'WetLitterbags placem_collection'!$Y201)),"YES","NO")</f>
        <v>YES</v>
      </c>
      <c r="AJ494" s="252" t="str">
        <f>IF(ISNUMBER(SEARCH("C", 'WetLitterbags placem_collection'!$W201)),"YES","NO")</f>
        <v>NO</v>
      </c>
      <c r="AK494" s="252" t="str">
        <f>IF(ISNUMBER(SEARCH("H", 'WetLitterbags placem_collection'!$W201)),"YES","NO")</f>
        <v>NO</v>
      </c>
      <c r="AL494" s="252" t="str">
        <f>IF(ISNUMBER(SEARCH("R", 'WetLitterbags placem_collection'!$W201)),"YES","NO")</f>
        <v>YES</v>
      </c>
    </row>
    <row r="495" spans="2:38">
      <c r="B495" t="str">
        <f>'Final data_for_R_analysis_Wetse'!A641</f>
        <v>Wet</v>
      </c>
      <c r="C495" s="260">
        <f>'Final data_for_R_analysis_Wetse'!B641</f>
        <v>200</v>
      </c>
      <c r="D495" t="s">
        <v>2441</v>
      </c>
      <c r="E495" t="s">
        <v>25</v>
      </c>
      <c r="F495" s="382">
        <v>4</v>
      </c>
      <c r="G495" s="16">
        <f>'WetLitterbags placem_collection'!E202</f>
        <v>42769</v>
      </c>
      <c r="H495" s="92" t="str">
        <f>'Final data_for_R_analysis_Wetse'!K641</f>
        <v>G709</v>
      </c>
      <c r="I495" t="str">
        <f>'Final data_for_R_analysis_Wetse'!K861</f>
        <v>R359</v>
      </c>
      <c r="J495">
        <f>IFERROR(INDEX('Green_rooibos initial weight'!$C$5:$C$2000,MATCH(H495, 'Green_rooibos initial weight'!$A$5:$A$2000,0)),"")</f>
        <v>1.9670000000000001</v>
      </c>
      <c r="K495">
        <f>IFERROR(INDEX('Green_rooibos initial weight'!$C$5:$C$2000,MATCH(I495, 'Green_rooibos initial weight'!$A$5:$A$2000,0)),"")</f>
        <v>2.198</v>
      </c>
      <c r="L495" s="194">
        <f t="shared" si="84"/>
        <v>1.7172000000000001</v>
      </c>
      <c r="M495" s="194">
        <f>AVERAGE(Ashed_controlls!$K$2:$K$11)</f>
        <v>5.5147656768714146</v>
      </c>
      <c r="N495" s="194">
        <f t="shared" si="81"/>
        <v>1.6225004437967641</v>
      </c>
      <c r="O495" s="194">
        <f t="shared" si="85"/>
        <v>1.9481999999999999</v>
      </c>
      <c r="P495" s="194">
        <f>AVERAGE(Ashed_controlls!$K$12:$K$14)</f>
        <v>2.2816647271287041</v>
      </c>
      <c r="Q495" s="194">
        <f t="shared" si="86"/>
        <v>1.9037486077860786</v>
      </c>
      <c r="R495" s="16">
        <f>IF('WetLitterbags placem_collection'!G202="","",'WetLitterbags placem_collection'!G202)</f>
        <v>42813</v>
      </c>
      <c r="S495" s="194">
        <f>IFERROR(INDEX('Both teabags AfterWet'!$C$3:$C$2000,MATCH(H495,'Both teabags AfterWet'!$A$3:$A$2000,0)),"")</f>
        <v>0.56469999999999998</v>
      </c>
      <c r="T495" s="194">
        <f>IFERROR(INDEX('Both teabags AfterWet'!$C$3:$C$2000,MATCH(I495,'Both teabags AfterWet'!$A$3:$A$2000,0)),"")</f>
        <v>1.4882</v>
      </c>
      <c r="U495" s="194">
        <f t="shared" si="87"/>
        <v>0.41409999999999997</v>
      </c>
      <c r="V495" s="194">
        <f t="shared" si="88"/>
        <v>1.3375999999999999</v>
      </c>
      <c r="W495" s="194">
        <f>IFERROR(INDEX('Ashed teabags wet'!$K$2:$K$2000,MATCH(H495,'Ashed teabags wet'!$A$2:$A$2000,0)),"")</f>
        <v>9.8409542743538694</v>
      </c>
      <c r="X495" s="237">
        <f>IFERROR(INDEX('Ashed teabags wet'!$K$2:$K$2000,MATCH(I495,'Ashed teabags wet'!$A$2:$A$2000,0)),"")</f>
        <v>4.0291262135925576</v>
      </c>
      <c r="Y495" s="194">
        <f t="shared" si="93"/>
        <v>0.37334860834990058</v>
      </c>
      <c r="Z495" s="194">
        <f t="shared" si="93"/>
        <v>1.2837064077669857</v>
      </c>
      <c r="AA495" s="194">
        <f t="shared" si="89"/>
        <v>0.76989306241652611</v>
      </c>
      <c r="AB495" s="194">
        <f t="shared" si="90"/>
        <v>0.50472799341320951</v>
      </c>
      <c r="AC495" s="194">
        <f t="shared" si="82"/>
        <v>0.67430458124397163</v>
      </c>
      <c r="AD495">
        <f t="shared" si="83"/>
        <v>44</v>
      </c>
      <c r="AE495" s="194">
        <f t="shared" si="91"/>
        <v>8.5637693092011746E-2</v>
      </c>
      <c r="AF495" s="194">
        <f t="shared" si="92"/>
        <v>2.3555724696591972E-2</v>
      </c>
      <c r="AG495" s="252" t="str">
        <f>IF(ISNUMBER(SEARCH("C",'WetLitterbags placem_collection'!$Y202)),"YES","NO")</f>
        <v>NO</v>
      </c>
      <c r="AH495" s="252" t="str">
        <f>IF(ISNUMBER(SEARCH("H", 'WetLitterbags placem_collection'!$Y202)),"YES","NO")</f>
        <v>NO</v>
      </c>
      <c r="AI495" s="252" t="str">
        <f>IF(ISNUMBER(SEARCH("R", 'WetLitterbags placem_collection'!$Y202)),"YES","NO")</f>
        <v>YES</v>
      </c>
      <c r="AJ495" s="252" t="str">
        <f>IF(ISNUMBER(SEARCH("C", 'WetLitterbags placem_collection'!$W202)),"YES","NO")</f>
        <v>NO</v>
      </c>
      <c r="AK495" s="252" t="str">
        <f>IF(ISNUMBER(SEARCH("H", 'WetLitterbags placem_collection'!$W202)),"YES","NO")</f>
        <v>NO</v>
      </c>
      <c r="AL495" s="252" t="str">
        <f>IF(ISNUMBER(SEARCH("R", 'WetLitterbags placem_collection'!$W202)),"YES","NO")</f>
        <v>YES</v>
      </c>
    </row>
    <row r="496" spans="2:38">
      <c r="B496" t="str">
        <f>'Final data_for_R_analysis_Wetse'!A642</f>
        <v>Wet</v>
      </c>
      <c r="C496" s="260">
        <f>'Final data_for_R_analysis_Wetse'!B642</f>
        <v>201</v>
      </c>
      <c r="D496" t="s">
        <v>2442</v>
      </c>
      <c r="E496" t="s">
        <v>25</v>
      </c>
      <c r="F496" s="382">
        <v>1</v>
      </c>
      <c r="G496" s="16">
        <f>'WetLitterbags placem_collection'!E203</f>
        <v>42769</v>
      </c>
      <c r="H496" s="92" t="str">
        <f>'Final data_for_R_analysis_Wetse'!K642</f>
        <v>G707</v>
      </c>
      <c r="I496" t="str">
        <f>'Final data_for_R_analysis_Wetse'!K862</f>
        <v>R395</v>
      </c>
      <c r="J496">
        <f>IFERROR(INDEX('Green_rooibos initial weight'!$C$5:$C$2000,MATCH(H496, 'Green_rooibos initial weight'!$A$5:$A$2000,0)),"")</f>
        <v>2.008</v>
      </c>
      <c r="K496">
        <f>IFERROR(INDEX('Green_rooibos initial weight'!$C$5:$C$2000,MATCH(I496, 'Green_rooibos initial weight'!$A$5:$A$2000,0)),"")</f>
        <v>2.1280000000000001</v>
      </c>
      <c r="L496" s="194">
        <f t="shared" si="84"/>
        <v>1.7582</v>
      </c>
      <c r="M496" s="194">
        <f>AVERAGE(Ashed_controlls!$K$2:$K$11)</f>
        <v>5.5147656768714146</v>
      </c>
      <c r="N496" s="194">
        <f t="shared" si="81"/>
        <v>1.6612393898692468</v>
      </c>
      <c r="O496" s="194">
        <f t="shared" si="85"/>
        <v>1.8782000000000001</v>
      </c>
      <c r="P496" s="194">
        <f>AVERAGE(Ashed_controlls!$K$12:$K$14)</f>
        <v>2.2816647271287041</v>
      </c>
      <c r="Q496" s="194">
        <f t="shared" si="86"/>
        <v>1.8353457730950689</v>
      </c>
      <c r="R496" s="16">
        <f>IF('WetLitterbags placem_collection'!G203="","",'WetLitterbags placem_collection'!G203)</f>
        <v>42813</v>
      </c>
      <c r="S496" s="194">
        <f>IFERROR(INDEX('Both teabags AfterWet'!$C$3:$C$2000,MATCH(H496,'Both teabags AfterWet'!$A$3:$A$2000,0)),"")</f>
        <v>0.63959999999999995</v>
      </c>
      <c r="T496" s="194">
        <f>IFERROR(INDEX('Both teabags AfterWet'!$C$3:$C$2000,MATCH(I496,'Both teabags AfterWet'!$A$3:$A$2000,0)),"")</f>
        <v>1.5786</v>
      </c>
      <c r="U496" s="194">
        <f t="shared" si="87"/>
        <v>0.48899999999999993</v>
      </c>
      <c r="V496" s="194">
        <f t="shared" si="88"/>
        <v>1.4279999999999999</v>
      </c>
      <c r="W496" s="194">
        <f>IFERROR(INDEX('Ashed teabags wet'!$K$2:$K$2000,MATCH(H496,'Ashed teabags wet'!$A$2:$A$2000,0)),"")</f>
        <v>12.14457831325316</v>
      </c>
      <c r="X496" s="237">
        <f>IFERROR(INDEX('Ashed teabags wet'!$K$2:$K$2000,MATCH(I496,'Ashed teabags wet'!$A$2:$A$2000,0)),"")</f>
        <v>3.0123456790120686</v>
      </c>
      <c r="Y496" s="194">
        <f t="shared" si="93"/>
        <v>0.42961301204819197</v>
      </c>
      <c r="Z496" s="194">
        <f t="shared" si="93"/>
        <v>1.3849837037037076</v>
      </c>
      <c r="AA496" s="194">
        <f t="shared" si="89"/>
        <v>0.74139006414842712</v>
      </c>
      <c r="AB496" s="194">
        <f t="shared" si="90"/>
        <v>0.48604194229208053</v>
      </c>
      <c r="AC496" s="194">
        <f t="shared" si="82"/>
        <v>0.75461731735056936</v>
      </c>
      <c r="AD496">
        <f t="shared" si="83"/>
        <v>44</v>
      </c>
      <c r="AE496" s="194">
        <f t="shared" si="91"/>
        <v>0.11948923497811503</v>
      </c>
      <c r="AF496" s="194">
        <f t="shared" si="92"/>
        <v>1.5975292012415872E-2</v>
      </c>
      <c r="AG496" s="252" t="str">
        <f>IF(ISNUMBER(SEARCH("C",'WetLitterbags placem_collection'!$Y203)),"YES","NO")</f>
        <v>NO</v>
      </c>
      <c r="AH496" s="252" t="str">
        <f>IF(ISNUMBER(SEARCH("H", 'WetLitterbags placem_collection'!$Y203)),"YES","NO")</f>
        <v>NO</v>
      </c>
      <c r="AI496" s="252" t="str">
        <f>IF(ISNUMBER(SEARCH("R", 'WetLitterbags placem_collection'!$Y203)),"YES","NO")</f>
        <v>NO</v>
      </c>
      <c r="AJ496" s="252" t="str">
        <f>IF(ISNUMBER(SEARCH("C", 'WetLitterbags placem_collection'!$W203)),"YES","NO")</f>
        <v>NO</v>
      </c>
      <c r="AK496" s="252" t="str">
        <f>IF(ISNUMBER(SEARCH("H", 'WetLitterbags placem_collection'!$W203)),"YES","NO")</f>
        <v>NO</v>
      </c>
      <c r="AL496" s="252" t="str">
        <f>IF(ISNUMBER(SEARCH("R", 'WetLitterbags placem_collection'!$W203)),"YES","NO")</f>
        <v>YES</v>
      </c>
    </row>
    <row r="497" spans="2:38">
      <c r="B497" t="str">
        <f>'Final data_for_R_analysis_Wetse'!A643</f>
        <v>Wet</v>
      </c>
      <c r="C497" s="260">
        <f>'Final data_for_R_analysis_Wetse'!B643</f>
        <v>202</v>
      </c>
      <c r="D497" t="s">
        <v>2419</v>
      </c>
      <c r="E497" t="s">
        <v>25</v>
      </c>
      <c r="F497" s="382">
        <v>2</v>
      </c>
      <c r="G497" s="16">
        <f>'WetLitterbags placem_collection'!E204</f>
        <v>42769</v>
      </c>
      <c r="H497" s="92" t="str">
        <f>'Final data_for_R_analysis_Wetse'!K643</f>
        <v>G770</v>
      </c>
      <c r="I497" t="str">
        <f>'Final data_for_R_analysis_Wetse'!K863</f>
        <v>R182</v>
      </c>
      <c r="J497">
        <f>IFERROR(INDEX('Green_rooibos initial weight'!$C$5:$C$2000,MATCH(H497, 'Green_rooibos initial weight'!$A$5:$A$2000,0)),"")</f>
        <v>1.958</v>
      </c>
      <c r="K497">
        <f>IFERROR(INDEX('Green_rooibos initial weight'!$C$5:$C$2000,MATCH(I497, 'Green_rooibos initial weight'!$A$5:$A$2000,0)),"")</f>
        <v>2.161</v>
      </c>
      <c r="L497" s="194">
        <f t="shared" si="84"/>
        <v>1.7081999999999999</v>
      </c>
      <c r="M497" s="194">
        <f>AVERAGE(Ashed_controlls!$K$2:$K$11)</f>
        <v>5.5147656768714146</v>
      </c>
      <c r="N497" s="194">
        <f t="shared" si="81"/>
        <v>1.6139967727076825</v>
      </c>
      <c r="O497" s="194">
        <f t="shared" si="85"/>
        <v>1.9112</v>
      </c>
      <c r="P497" s="194">
        <f>AVERAGE(Ashed_controlls!$K$12:$K$14)</f>
        <v>2.2816647271287041</v>
      </c>
      <c r="Q497" s="194">
        <f t="shared" si="86"/>
        <v>1.8675928237351163</v>
      </c>
      <c r="R497" s="16">
        <f>IF('WetLitterbags placem_collection'!G204="","",'WetLitterbags placem_collection'!G204)</f>
        <v>42814</v>
      </c>
      <c r="S497" s="194">
        <f>IFERROR(INDEX('Both teabags AfterWet'!$C$3:$C$2000,MATCH(H497,'Both teabags AfterWet'!$A$3:$A$2000,0)),"")</f>
        <v>0.98199999999999998</v>
      </c>
      <c r="T497" s="194">
        <f>IFERROR(INDEX('Both teabags AfterWet'!$C$3:$C$2000,MATCH(I497,'Both teabags AfterWet'!$A$3:$A$2000,0)),"")</f>
        <v>1.679</v>
      </c>
      <c r="U497" s="194">
        <f t="shared" si="87"/>
        <v>0.83139999999999992</v>
      </c>
      <c r="V497" s="194">
        <f t="shared" si="88"/>
        <v>1.5284</v>
      </c>
      <c r="W497" s="194">
        <f>IFERROR(INDEX('Ashed teabags wet'!$K$2:$K$2000,MATCH(H497,'Ashed teabags wet'!$A$2:$A$2000,0)),"")</f>
        <v>31.965648854961913</v>
      </c>
      <c r="X497" s="237">
        <f>IFERROR(INDEX('Ashed teabags wet'!$K$2:$K$2000,MATCH(I497,'Ashed teabags wet'!$A$2:$A$2000,0)),"")</f>
        <v>3.9234919077970858</v>
      </c>
      <c r="Y497" s="194">
        <f t="shared" si="93"/>
        <v>0.56563759541984659</v>
      </c>
      <c r="Z497" s="194">
        <f t="shared" si="93"/>
        <v>1.4684333496812294</v>
      </c>
      <c r="AA497" s="194">
        <f t="shared" si="89"/>
        <v>0.64954230083687314</v>
      </c>
      <c r="AB497" s="194">
        <f t="shared" si="90"/>
        <v>0.42582820672441096</v>
      </c>
      <c r="AC497" s="194">
        <f t="shared" si="82"/>
        <v>0.78627061049871527</v>
      </c>
      <c r="AD497">
        <f t="shared" si="83"/>
        <v>45</v>
      </c>
      <c r="AE497" s="194">
        <f t="shared" si="91"/>
        <v>0.22857208926737149</v>
      </c>
      <c r="AF497" s="194">
        <f t="shared" si="92"/>
        <v>1.5488526872991596E-2</v>
      </c>
      <c r="AG497" s="252" t="str">
        <f>IF(ISNUMBER(SEARCH("C",'WetLitterbags placem_collection'!$Y204)),"YES","NO")</f>
        <v>NO</v>
      </c>
      <c r="AH497" s="252" t="str">
        <f>IF(ISNUMBER(SEARCH("H", 'WetLitterbags placem_collection'!$Y204)),"YES","NO")</f>
        <v>NO</v>
      </c>
      <c r="AI497" s="252" t="str">
        <f>IF(ISNUMBER(SEARCH("R", 'WetLitterbags placem_collection'!$Y204)),"YES","NO")</f>
        <v>NO</v>
      </c>
      <c r="AJ497" s="252" t="str">
        <f>IF(ISNUMBER(SEARCH("C", 'WetLitterbags placem_collection'!$W204)),"YES","NO")</f>
        <v>NO</v>
      </c>
      <c r="AK497" s="252" t="str">
        <f>IF(ISNUMBER(SEARCH("H", 'WetLitterbags placem_collection'!$W204)),"YES","NO")</f>
        <v>NO</v>
      </c>
      <c r="AL497" s="252" t="str">
        <f>IF(ISNUMBER(SEARCH("R", 'WetLitterbags placem_collection'!$W204)),"YES","NO")</f>
        <v>YES</v>
      </c>
    </row>
    <row r="498" spans="2:38">
      <c r="B498" t="str">
        <f>'Final data_for_R_analysis_Wetse'!A644</f>
        <v>Wet</v>
      </c>
      <c r="C498" s="260">
        <f>'Final data_for_R_analysis_Wetse'!B644</f>
        <v>203</v>
      </c>
      <c r="D498" t="s">
        <v>2428</v>
      </c>
      <c r="E498" t="s">
        <v>25</v>
      </c>
      <c r="F498" s="382">
        <v>3</v>
      </c>
      <c r="G498" s="16">
        <f>'WetLitterbags placem_collection'!E205</f>
        <v>42769</v>
      </c>
      <c r="H498" s="92" t="str">
        <f>'Final data_for_R_analysis_Wetse'!K644</f>
        <v>G753</v>
      </c>
      <c r="I498" t="str">
        <f>'Final data_for_R_analysis_Wetse'!K864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84"/>
        <v>1.8151999999999999</v>
      </c>
      <c r="M498" s="194">
        <f>AVERAGE(Ashed_controlls!$K$2:$K$11)</f>
        <v>5.5147656768714146</v>
      </c>
      <c r="N498" s="194">
        <f t="shared" si="81"/>
        <v>1.7150959734334301</v>
      </c>
      <c r="O498" s="194">
        <f t="shared" si="85"/>
        <v>1.9952000000000001</v>
      </c>
      <c r="P498" s="194">
        <f>AVERAGE(Ashed_controlls!$K$12:$K$14)</f>
        <v>2.2816647271287041</v>
      </c>
      <c r="Q498" s="194">
        <f t="shared" si="86"/>
        <v>1.9496762253643283</v>
      </c>
      <c r="R498" s="16">
        <f>IF('WetLitterbags placem_collection'!G205="","",'WetLitterbags placem_collection'!G205)</f>
        <v>42814</v>
      </c>
      <c r="S498" s="194">
        <f>IFERROR(INDEX('Both teabags AfterWet'!$C$3:$C$2000,MATCH(H498,'Both teabags AfterWet'!$A$3:$A$2000,0)),"")</f>
        <v>0.7681</v>
      </c>
      <c r="T498" s="194">
        <f>IFERROR(INDEX('Both teabags AfterWet'!$C$3:$C$2000,MATCH(I498,'Both teabags AfterWet'!$A$3:$A$2000,0)),"")</f>
        <v>1.5906</v>
      </c>
      <c r="U498" s="194">
        <f t="shared" si="87"/>
        <v>0.61749999999999994</v>
      </c>
      <c r="V498" s="194">
        <f t="shared" si="88"/>
        <v>1.44</v>
      </c>
      <c r="W498" s="194">
        <f>IFERROR(INDEX('Ashed teabags wet'!$K$2:$K$2000,MATCH(H498,'Ashed teabags wet'!$A$2:$A$2000,0)),"")</f>
        <v>9.4330155544412708</v>
      </c>
      <c r="X498" s="237">
        <f>IFERROR(INDEX('Ashed teabags wet'!$K$2:$K$2000,MATCH(I498,'Ashed teabags wet'!$A$2:$A$2000,0)),"")</f>
        <v>3.642714570858145</v>
      </c>
      <c r="Y498" s="194">
        <f t="shared" si="93"/>
        <v>0.55925112895132512</v>
      </c>
      <c r="Z498" s="194">
        <f t="shared" si="93"/>
        <v>1.3875449101796427</v>
      </c>
      <c r="AA498" s="194">
        <f t="shared" si="89"/>
        <v>0.67392429484178251</v>
      </c>
      <c r="AB498" s="194">
        <f t="shared" si="90"/>
        <v>0.44181260184401899</v>
      </c>
      <c r="AC498" s="194">
        <f t="shared" si="82"/>
        <v>0.7116796584624494</v>
      </c>
      <c r="AD498">
        <f t="shared" si="83"/>
        <v>45</v>
      </c>
      <c r="AE498" s="194">
        <f t="shared" si="91"/>
        <v>0.19961485173184967</v>
      </c>
      <c r="AF498" s="194">
        <f t="shared" si="92"/>
        <v>2.349412600323221E-2</v>
      </c>
      <c r="AG498" s="252" t="str">
        <f>IF(ISNUMBER(SEARCH("C",'WetLitterbags placem_collection'!$Y205)),"YES","NO")</f>
        <v>NO</v>
      </c>
      <c r="AH498" s="252" t="str">
        <f>IF(ISNUMBER(SEARCH("H", 'WetLitterbags placem_collection'!$Y205)),"YES","NO")</f>
        <v>NO</v>
      </c>
      <c r="AI498" s="252" t="str">
        <f>IF(ISNUMBER(SEARCH("R", 'WetLitterbags placem_collection'!$Y205)),"YES","NO")</f>
        <v>NO</v>
      </c>
      <c r="AJ498" s="252" t="str">
        <f>IF(ISNUMBER(SEARCH("C", 'WetLitterbags placem_collection'!$W205)),"YES","NO")</f>
        <v>NO</v>
      </c>
      <c r="AK498" s="252" t="str">
        <f>IF(ISNUMBER(SEARCH("H", 'WetLitterbags placem_collection'!$W205)),"YES","NO")</f>
        <v>YES</v>
      </c>
      <c r="AL498" s="252" t="str">
        <f>IF(ISNUMBER(SEARCH("R", 'WetLitterbags placem_collection'!$W205)),"YES","NO")</f>
        <v>NO</v>
      </c>
    </row>
    <row r="499" spans="2:38">
      <c r="B499" t="str">
        <f>'Final data_for_R_analysis_Wetse'!A645</f>
        <v>Wet</v>
      </c>
      <c r="C499" s="260">
        <f>'Final data_for_R_analysis_Wetse'!B645</f>
        <v>204</v>
      </c>
      <c r="D499" t="s">
        <v>2435</v>
      </c>
      <c r="E499" t="s">
        <v>25</v>
      </c>
      <c r="F499" s="382">
        <v>4</v>
      </c>
      <c r="G499" s="16">
        <f>'WetLitterbags placem_collection'!E206</f>
        <v>42769</v>
      </c>
      <c r="H499" s="92" t="str">
        <f>'Final data_for_R_analysis_Wetse'!K645</f>
        <v>G640</v>
      </c>
      <c r="I499" t="str">
        <f>'Final data_for_R_analysis_Wetse'!K865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84"/>
        <v>1.8142</v>
      </c>
      <c r="M499" s="194">
        <f>AVERAGE(Ashed_controlls!$K$2:$K$11)</f>
        <v>5.5147656768714146</v>
      </c>
      <c r="N499" s="194">
        <f t="shared" si="81"/>
        <v>1.7141511210901987</v>
      </c>
      <c r="O499" s="194">
        <f t="shared" si="85"/>
        <v>2.0331999999999999</v>
      </c>
      <c r="P499" s="194">
        <f>AVERAGE(Ashed_controlls!$K$12:$K$14)</f>
        <v>2.2816647271287041</v>
      </c>
      <c r="Q499" s="194">
        <f t="shared" si="86"/>
        <v>1.9868091927680191</v>
      </c>
      <c r="R499" s="16">
        <f>IF('WetLitterbags placem_collection'!G206="","",'WetLitterbags placem_collection'!G206)</f>
        <v>42813</v>
      </c>
      <c r="S499" s="194">
        <f>IFERROR(INDEX('Both teabags AfterWet'!$C$3:$C$2000,MATCH(H499,'Both teabags AfterWet'!$A$3:$A$2000,0)),"")</f>
        <v>0.72450000000000003</v>
      </c>
      <c r="T499" s="194">
        <f>IFERROR(INDEX('Both teabags AfterWet'!$C$3:$C$2000,MATCH(I499,'Both teabags AfterWet'!$A$3:$A$2000,0)),"")</f>
        <v>1.6255999999999999</v>
      </c>
      <c r="U499" s="194">
        <f t="shared" si="87"/>
        <v>0.57390000000000008</v>
      </c>
      <c r="V499" s="194">
        <f t="shared" si="88"/>
        <v>1.4749999999999999</v>
      </c>
      <c r="W499" s="194">
        <f>IFERROR(INDEX('Ashed teabags wet'!$K$2:$K$2000,MATCH(H499,'Ashed teabags wet'!$A$2:$A$2000,0)),"")</f>
        <v>11.573849878934253</v>
      </c>
      <c r="X499" s="237">
        <f>IFERROR(INDEX('Ashed teabags wet'!$K$2:$K$2000,MATCH(I499,'Ashed teabags wet'!$A$2:$A$2000,0)),"")</f>
        <v>2.9484029484021739</v>
      </c>
      <c r="Y499" s="194">
        <f t="shared" si="93"/>
        <v>0.50747767554479639</v>
      </c>
      <c r="Z499" s="194">
        <f t="shared" si="93"/>
        <v>1.4315110565110678</v>
      </c>
      <c r="AA499" s="194">
        <f t="shared" si="89"/>
        <v>0.70394811209991737</v>
      </c>
      <c r="AB499" s="194">
        <f t="shared" si="90"/>
        <v>0.46149567444080097</v>
      </c>
      <c r="AC499" s="194">
        <f t="shared" si="82"/>
        <v>0.7205075664647439</v>
      </c>
      <c r="AD499">
        <f t="shared" si="83"/>
        <v>44</v>
      </c>
      <c r="AE499" s="194">
        <f t="shared" si="91"/>
        <v>0.16395711152028813</v>
      </c>
      <c r="AF499" s="194">
        <f t="shared" si="92"/>
        <v>2.1146549704122924E-2</v>
      </c>
      <c r="AG499" s="252" t="str">
        <f>IF(ISNUMBER(SEARCH("C",'WetLitterbags placem_collection'!$Y206)),"YES","NO")</f>
        <v>NO</v>
      </c>
      <c r="AH499" s="252" t="str">
        <f>IF(ISNUMBER(SEARCH("H", 'WetLitterbags placem_collection'!$Y206)),"YES","NO")</f>
        <v>NO</v>
      </c>
      <c r="AI499" s="252" t="str">
        <f>IF(ISNUMBER(SEARCH("R", 'WetLitterbags placem_collection'!$Y206)),"YES","NO")</f>
        <v>NO</v>
      </c>
      <c r="AJ499" s="252" t="str">
        <f>IF(ISNUMBER(SEARCH("C", 'WetLitterbags placem_collection'!$W206)),"YES","NO")</f>
        <v>NO</v>
      </c>
      <c r="AK499" s="252" t="str">
        <f>IF(ISNUMBER(SEARCH("H", 'WetLitterbags placem_collection'!$W206)),"YES","NO")</f>
        <v>NO</v>
      </c>
      <c r="AL499" s="252" t="str">
        <f>IF(ISNUMBER(SEARCH("R", 'WetLitterbags placem_collection'!$W206)),"YES","NO")</f>
        <v>YES</v>
      </c>
    </row>
    <row r="500" spans="2:38">
      <c r="B500" t="str">
        <f>'Final data_for_R_analysis_Wetse'!A646</f>
        <v>Wet</v>
      </c>
      <c r="C500" s="260">
        <f>'Final data_for_R_analysis_Wetse'!B646</f>
        <v>205</v>
      </c>
      <c r="D500" t="s">
        <v>2429</v>
      </c>
      <c r="E500" t="s">
        <v>25</v>
      </c>
      <c r="F500" s="382">
        <v>1</v>
      </c>
      <c r="G500" s="16">
        <f>'WetLitterbags placem_collection'!E207</f>
        <v>42769</v>
      </c>
      <c r="H500" s="92" t="str">
        <f>'Final data_for_R_analysis_Wetse'!K646</f>
        <v>G668</v>
      </c>
      <c r="I500" t="str">
        <f>'Final data_for_R_analysis_Wetse'!K866</f>
        <v>R92</v>
      </c>
      <c r="J500">
        <f>IFERROR(INDEX('Green_rooibos initial weight'!$C$5:$C$2000,MATCH(H500, 'Green_rooibos initial weight'!$A$5:$A$2000,0)),"")</f>
        <v>2.0299999999999998</v>
      </c>
      <c r="K500">
        <f>IFERROR(INDEX('Green_rooibos initial weight'!$C$5:$C$2000,MATCH(I500, 'Green_rooibos initial weight'!$A$5:$A$2000,0)),"")</f>
        <v>2.246</v>
      </c>
      <c r="L500" s="194">
        <f t="shared" si="84"/>
        <v>1.7801999999999998</v>
      </c>
      <c r="M500" s="194">
        <f>AVERAGE(Ashed_controlls!$K$2:$K$11)</f>
        <v>5.5147656768714146</v>
      </c>
      <c r="N500" s="194">
        <f t="shared" si="81"/>
        <v>1.6820261414203348</v>
      </c>
      <c r="O500" s="194">
        <f t="shared" si="85"/>
        <v>1.9962</v>
      </c>
      <c r="P500" s="194">
        <f>AVERAGE(Ashed_controlls!$K$12:$K$14)</f>
        <v>2.2816647271287041</v>
      </c>
      <c r="Q500" s="194">
        <f t="shared" si="86"/>
        <v>1.9506534087170568</v>
      </c>
      <c r="R500" s="16">
        <f>IF('WetLitterbags placem_collection'!G207="","",'WetLitterbags placem_collection'!G207)</f>
        <v>42814</v>
      </c>
      <c r="S500" s="194">
        <f>IFERROR(INDEX('Both teabags AfterWet'!$C$3:$C$2000,MATCH(H500,'Both teabags AfterWet'!$A$3:$A$2000,0)),"")</f>
        <v>0.71</v>
      </c>
      <c r="T500" s="194">
        <f>IFERROR(INDEX('Both teabags AfterWet'!$C$3:$C$2000,MATCH(I500,'Both teabags AfterWet'!$A$3:$A$2000,0)),"")</f>
        <v>1.7204999999999999</v>
      </c>
      <c r="U500" s="194">
        <f t="shared" si="87"/>
        <v>0.5593999999999999</v>
      </c>
      <c r="V500" s="194">
        <f t="shared" si="88"/>
        <v>1.5698999999999999</v>
      </c>
      <c r="W500" s="194">
        <f>IFERROR(INDEX('Ashed teabags wet'!$K$2:$K$2000,MATCH(H500,'Ashed teabags wet'!$A$2:$A$2000,0)),"")</f>
        <v>17.813567593948214</v>
      </c>
      <c r="X500" s="237">
        <f>IFERROR(INDEX('Ashed teabags wet'!$K$2:$K$2000,MATCH(I500,'Ashed teabags wet'!$A$2:$A$2000,0)),"")</f>
        <v>4.6821094135039614</v>
      </c>
      <c r="Y500" s="194">
        <f t="shared" si="93"/>
        <v>0.45975090287945358</v>
      </c>
      <c r="Z500" s="194">
        <f t="shared" si="93"/>
        <v>1.4963955643174012</v>
      </c>
      <c r="AA500" s="194">
        <f t="shared" si="89"/>
        <v>0.72666839619315837</v>
      </c>
      <c r="AB500" s="194">
        <f t="shared" si="90"/>
        <v>0.47639068253993289</v>
      </c>
      <c r="AC500" s="194">
        <f t="shared" si="82"/>
        <v>0.76712529126411</v>
      </c>
      <c r="AD500">
        <f t="shared" si="83"/>
        <v>45</v>
      </c>
      <c r="AE500" s="194">
        <f t="shared" si="91"/>
        <v>0.13697340119577384</v>
      </c>
      <c r="AF500" s="194">
        <f t="shared" si="92"/>
        <v>1.4912349733785052E-2</v>
      </c>
      <c r="AG500" s="252" t="str">
        <f>IF(ISNUMBER(SEARCH("C",'WetLitterbags placem_collection'!$Y207)),"YES","NO")</f>
        <v>NO</v>
      </c>
      <c r="AH500" s="252" t="str">
        <f>IF(ISNUMBER(SEARCH("H", 'WetLitterbags placem_collection'!$Y207)),"YES","NO")</f>
        <v>NO</v>
      </c>
      <c r="AI500" s="252" t="str">
        <f>IF(ISNUMBER(SEARCH("R", 'WetLitterbags placem_collection'!$Y207)),"YES","NO")</f>
        <v>NO</v>
      </c>
      <c r="AJ500" s="252" t="str">
        <f>IF(ISNUMBER(SEARCH("C", 'WetLitterbags placem_collection'!$W207)),"YES","NO")</f>
        <v>NO</v>
      </c>
      <c r="AK500" s="252" t="str">
        <f>IF(ISNUMBER(SEARCH("H", 'WetLitterbags placem_collection'!$W207)),"YES","NO")</f>
        <v>NO</v>
      </c>
      <c r="AL500" s="252" t="str">
        <f>IF(ISNUMBER(SEARCH("R", 'WetLitterbags placem_collection'!$W207)),"YES","NO")</f>
        <v>YES</v>
      </c>
    </row>
    <row r="501" spans="2:38">
      <c r="B501" t="str">
        <f>'Final data_for_R_analysis_Wetse'!A647</f>
        <v>Wet</v>
      </c>
      <c r="C501" s="260">
        <f>'Final data_for_R_analysis_Wetse'!B647</f>
        <v>206</v>
      </c>
      <c r="D501" t="s">
        <v>2420</v>
      </c>
      <c r="E501" t="s">
        <v>25</v>
      </c>
      <c r="F501" s="382">
        <v>2</v>
      </c>
      <c r="G501" s="16">
        <f>'WetLitterbags placem_collection'!E208</f>
        <v>42769</v>
      </c>
      <c r="H501" s="92" t="str">
        <f>'Final data_for_R_analysis_Wetse'!K647</f>
        <v>G891</v>
      </c>
      <c r="I501" t="str">
        <f>'Final data_for_R_analysis_Wetse'!K867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84"/>
        <v>1.7671999999999999</v>
      </c>
      <c r="M501" s="194">
        <f>AVERAGE(Ashed_controlls!$K$2:$K$11)</f>
        <v>5.5147656768714146</v>
      </c>
      <c r="N501" s="194">
        <f t="shared" si="81"/>
        <v>1.6697430609583281</v>
      </c>
      <c r="O501" s="194">
        <f t="shared" si="85"/>
        <v>2.0051999999999999</v>
      </c>
      <c r="P501" s="194">
        <f>AVERAGE(Ashed_controlls!$K$12:$K$14)</f>
        <v>2.2816647271287041</v>
      </c>
      <c r="Q501" s="194">
        <f t="shared" si="86"/>
        <v>1.959448058891615</v>
      </c>
      <c r="R501" s="16">
        <f>IF('WetLitterbags placem_collection'!G208="","",'WetLitterbags placem_collection'!G208)</f>
        <v>42814</v>
      </c>
      <c r="S501" s="194">
        <f>IFERROR(INDEX('Both teabags AfterWet'!$C$3:$C$2000,MATCH(H501,'Both teabags AfterWet'!$A$3:$A$2000,0)),"")</f>
        <v>0.70199999999999996</v>
      </c>
      <c r="T501" s="194">
        <f>IFERROR(INDEX('Both teabags AfterWet'!$C$3:$C$2000,MATCH(I501,'Both teabags AfterWet'!$A$3:$A$2000,0)),"")</f>
        <v>1.609</v>
      </c>
      <c r="U501" s="194">
        <f t="shared" si="87"/>
        <v>0.55139999999999989</v>
      </c>
      <c r="V501" s="194">
        <f t="shared" si="88"/>
        <v>1.4583999999999999</v>
      </c>
      <c r="W501" s="194">
        <f>IFERROR(INDEX('Ashed teabags wet'!$K$2:$K$2000,MATCH(H501,'Ashed teabags wet'!$A$2:$A$2000,0)),"")</f>
        <v>13.415841584158834</v>
      </c>
      <c r="X501" s="237">
        <f>IFERROR(INDEX('Ashed teabags wet'!$K$2:$K$2000,MATCH(I501,'Ashed teabags wet'!$A$2:$A$2000,0)),"")</f>
        <v>5.8794708476237458</v>
      </c>
      <c r="Y501" s="194">
        <f t="shared" si="93"/>
        <v>0.47742504950494813</v>
      </c>
      <c r="Z501" s="194">
        <f t="shared" si="93"/>
        <v>1.3726537971582553</v>
      </c>
      <c r="AA501" s="194">
        <f t="shared" si="89"/>
        <v>0.71407274528157882</v>
      </c>
      <c r="AB501" s="194">
        <f t="shared" si="90"/>
        <v>0.46813320118222274</v>
      </c>
      <c r="AC501" s="194">
        <f t="shared" si="82"/>
        <v>0.70053084128941556</v>
      </c>
      <c r="AD501">
        <f t="shared" si="83"/>
        <v>45</v>
      </c>
      <c r="AE501" s="194">
        <f t="shared" si="91"/>
        <v>0.15193260655394436</v>
      </c>
      <c r="AF501" s="194">
        <f t="shared" si="92"/>
        <v>2.2685423362280244E-2</v>
      </c>
      <c r="AG501" s="252" t="str">
        <f>IF(ISNUMBER(SEARCH("C",'WetLitterbags placem_collection'!$Y208)),"YES","NO")</f>
        <v>NO</v>
      </c>
      <c r="AH501" s="252" t="str">
        <f>IF(ISNUMBER(SEARCH("H", 'WetLitterbags placem_collection'!$Y208)),"YES","NO")</f>
        <v>NO</v>
      </c>
      <c r="AI501" s="252" t="str">
        <f>IF(ISNUMBER(SEARCH("R", 'WetLitterbags placem_collection'!$Y208)),"YES","NO")</f>
        <v>YES</v>
      </c>
      <c r="AJ501" s="252" t="str">
        <f>IF(ISNUMBER(SEARCH("C", 'WetLitterbags placem_collection'!$W208)),"YES","NO")</f>
        <v>NO</v>
      </c>
      <c r="AK501" s="252" t="str">
        <f>IF(ISNUMBER(SEARCH("H", 'WetLitterbags placem_collection'!$W208)),"YES","NO")</f>
        <v>NO</v>
      </c>
      <c r="AL501" s="252" t="str">
        <f>IF(ISNUMBER(SEARCH("R", 'WetLitterbags placem_collection'!$W208)),"YES","NO")</f>
        <v>NO</v>
      </c>
    </row>
    <row r="502" spans="2:38">
      <c r="B502" t="str">
        <f>'Final data_for_R_analysis_Wetse'!A648</f>
        <v>Wet</v>
      </c>
      <c r="C502" s="260">
        <f>'Final data_for_R_analysis_Wetse'!B648</f>
        <v>207</v>
      </c>
      <c r="D502" t="s">
        <v>2443</v>
      </c>
      <c r="E502" t="s">
        <v>25</v>
      </c>
      <c r="F502" s="382">
        <v>3</v>
      </c>
      <c r="G502" s="16">
        <f>'WetLitterbags placem_collection'!E209</f>
        <v>42769</v>
      </c>
      <c r="H502" s="92" t="str">
        <f>'Final data_for_R_analysis_Wetse'!K648</f>
        <v>G540</v>
      </c>
      <c r="I502" t="str">
        <f>'Final data_for_R_analysis_Wetse'!K868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84"/>
        <v>1.8332000000000002</v>
      </c>
      <c r="M502" s="194">
        <f>AVERAGE(Ashed_controlls!$K$2:$K$11)</f>
        <v>5.5147656768714146</v>
      </c>
      <c r="N502" s="194">
        <f t="shared" si="81"/>
        <v>1.7321033156115935</v>
      </c>
      <c r="O502" s="194">
        <f t="shared" si="85"/>
        <v>1.9902000000000002</v>
      </c>
      <c r="P502" s="194">
        <f>AVERAGE(Ashed_controlls!$K$12:$K$14)</f>
        <v>2.2816647271287041</v>
      </c>
      <c r="Q502" s="194">
        <f t="shared" si="86"/>
        <v>1.9447903086006848</v>
      </c>
      <c r="R502" s="16">
        <f>IF('WetLitterbags placem_collection'!G209="","",'WetLitterbags placem_collection'!G209)</f>
        <v>42813</v>
      </c>
      <c r="S502" s="194">
        <f>IFERROR(INDEX('Both teabags AfterWet'!$C$3:$C$2000,MATCH(H502,'Both teabags AfterWet'!$A$3:$A$2000,0)),"")</f>
        <v>0.73299999999999998</v>
      </c>
      <c r="T502" s="194">
        <f>IFERROR(INDEX('Both teabags AfterWet'!$C$3:$C$2000,MATCH(I502,'Both teabags AfterWet'!$A$3:$A$2000,0)),"")</f>
        <v>1.401</v>
      </c>
      <c r="U502" s="194">
        <f t="shared" si="87"/>
        <v>0.58240000000000003</v>
      </c>
      <c r="V502" s="194">
        <f t="shared" si="88"/>
        <v>1.2504</v>
      </c>
      <c r="W502" s="194">
        <f>IFERROR(INDEX('Ashed teabags wet'!$K$2:$K$2000,MATCH(H502,'Ashed teabags wet'!$A$2:$A$2000,0)),"")</f>
        <v>21.550000000000765</v>
      </c>
      <c r="X502" s="237">
        <f>IFERROR(INDEX('Ashed teabags wet'!$K$2:$K$2000,MATCH(I502,'Ashed teabags wet'!$A$2:$A$2000,0)),"")</f>
        <v>9.4146341463411449</v>
      </c>
      <c r="Y502" s="194">
        <f t="shared" si="93"/>
        <v>0.45689279999999555</v>
      </c>
      <c r="Z502" s="194">
        <f t="shared" si="93"/>
        <v>1.1326794146341503</v>
      </c>
      <c r="AA502" s="194">
        <f t="shared" si="89"/>
        <v>0.73622081553566576</v>
      </c>
      <c r="AB502" s="194">
        <f t="shared" si="90"/>
        <v>0.48265307621815629</v>
      </c>
      <c r="AC502" s="194">
        <f t="shared" si="82"/>
        <v>0.58241724551226071</v>
      </c>
      <c r="AD502">
        <f t="shared" si="83"/>
        <v>44</v>
      </c>
      <c r="AE502" s="194">
        <f t="shared" si="91"/>
        <v>0.12562848511203584</v>
      </c>
      <c r="AF502" s="194">
        <f t="shared" si="92"/>
        <v>4.5541581113769831E-2</v>
      </c>
      <c r="AG502" s="252" t="str">
        <f>IF(ISNUMBER(SEARCH("C",'WetLitterbags placem_collection'!$Y209)),"YES","NO")</f>
        <v>NO</v>
      </c>
      <c r="AH502" s="252" t="str">
        <f>IF(ISNUMBER(SEARCH("H", 'WetLitterbags placem_collection'!$Y209)),"YES","NO")</f>
        <v>NO</v>
      </c>
      <c r="AI502" s="252" t="str">
        <f>IF(ISNUMBER(SEARCH("R", 'WetLitterbags placem_collection'!$Y209)),"YES","NO")</f>
        <v>NO</v>
      </c>
      <c r="AJ502" s="252" t="str">
        <f>IF(ISNUMBER(SEARCH("C", 'WetLitterbags placem_collection'!$W209)),"YES","NO")</f>
        <v>YES</v>
      </c>
      <c r="AK502" s="252" t="str">
        <f>IF(ISNUMBER(SEARCH("H", 'WetLitterbags placem_collection'!$W209)),"YES","NO")</f>
        <v>YES</v>
      </c>
      <c r="AL502" s="252" t="str">
        <f>IF(ISNUMBER(SEARCH("R", 'WetLitterbags placem_collection'!$W209)),"YES","NO")</f>
        <v>NO</v>
      </c>
    </row>
    <row r="503" spans="2:38">
      <c r="B503" t="str">
        <f>'Final data_for_R_analysis_Wetse'!A649</f>
        <v>Wet</v>
      </c>
      <c r="C503" s="260">
        <f>'Final data_for_R_analysis_Wetse'!B649</f>
        <v>208</v>
      </c>
      <c r="D503" t="s">
        <v>2436</v>
      </c>
      <c r="E503" t="s">
        <v>25</v>
      </c>
      <c r="F503" s="382">
        <v>4</v>
      </c>
      <c r="G503" s="16">
        <f>'WetLitterbags placem_collection'!E210</f>
        <v>42769</v>
      </c>
      <c r="H503" s="92" t="str">
        <f>'Final data_for_R_analysis_Wetse'!K649</f>
        <v>G508</v>
      </c>
      <c r="I503" t="str">
        <f>'Final data_for_R_analysis_Wetse'!K869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84"/>
        <v>1.7412000000000001</v>
      </c>
      <c r="M503" s="194">
        <f>AVERAGE(Ashed_controlls!$K$2:$K$11)</f>
        <v>5.5147656768714146</v>
      </c>
      <c r="N503" s="194">
        <f t="shared" si="81"/>
        <v>1.645176900034315</v>
      </c>
      <c r="O503" s="194">
        <f t="shared" si="85"/>
        <v>2.0211999999999999</v>
      </c>
      <c r="P503" s="194">
        <f>AVERAGE(Ashed_controlls!$K$12:$K$14)</f>
        <v>2.2816647271287041</v>
      </c>
      <c r="Q503" s="194">
        <f t="shared" si="86"/>
        <v>1.9750829925352744</v>
      </c>
      <c r="R503" s="16">
        <f>IF('WetLitterbags placem_collection'!G210="","",'WetLitterbags placem_collection'!G210)</f>
        <v>42813</v>
      </c>
      <c r="S503" s="194">
        <f>IFERROR(INDEX('Both teabags AfterWet'!$C$3:$C$2000,MATCH(H503,'Both teabags AfterWet'!$A$3:$A$2000,0)),"")</f>
        <v>0.84599999999999997</v>
      </c>
      <c r="T503" s="194">
        <f>IFERROR(INDEX('Both teabags AfterWet'!$C$3:$C$2000,MATCH(I503,'Both teabags AfterWet'!$A$3:$A$2000,0)),"")</f>
        <v>1.611</v>
      </c>
      <c r="U503" s="194">
        <f t="shared" si="87"/>
        <v>0.69540000000000002</v>
      </c>
      <c r="V503" s="194">
        <f t="shared" si="88"/>
        <v>1.4603999999999999</v>
      </c>
      <c r="W503" s="194">
        <f>IFERROR(INDEX('Ashed teabags wet'!$K$2:$K$2000,MATCH(H503,'Ashed teabags wet'!$A$2:$A$2000,0)),"")</f>
        <v>12.276341948309753</v>
      </c>
      <c r="X503" s="237">
        <f>IFERROR(INDEX('Ashed teabags wet'!$K$2:$K$2000,MATCH(I503,'Ashed teabags wet'!$A$2:$A$2000,0)),"")</f>
        <v>7.5425790754251629</v>
      </c>
      <c r="Y503" s="194">
        <f t="shared" si="93"/>
        <v>0.61003031809145403</v>
      </c>
      <c r="Z503" s="194">
        <f t="shared" si="93"/>
        <v>1.3502481751824909</v>
      </c>
      <c r="AA503" s="194">
        <f t="shared" si="89"/>
        <v>0.62920077586870438</v>
      </c>
      <c r="AB503" s="194">
        <f t="shared" si="90"/>
        <v>0.41249267016570651</v>
      </c>
      <c r="AC503" s="194">
        <f t="shared" si="82"/>
        <v>0.68364123446239222</v>
      </c>
      <c r="AD503">
        <f t="shared" si="83"/>
        <v>44</v>
      </c>
      <c r="AE503" s="194">
        <f t="shared" si="91"/>
        <v>0.2527306699896622</v>
      </c>
      <c r="AF503" s="194">
        <f t="shared" si="92"/>
        <v>3.3101735837800746E-2</v>
      </c>
      <c r="AG503" s="252" t="str">
        <f>IF(ISNUMBER(SEARCH("C",'WetLitterbags placem_collection'!$Y210)),"YES","NO")</f>
        <v>NO</v>
      </c>
      <c r="AH503" s="252" t="str">
        <f>IF(ISNUMBER(SEARCH("H", 'WetLitterbags placem_collection'!$Y210)),"YES","NO")</f>
        <v>NO</v>
      </c>
      <c r="AI503" s="252" t="str">
        <f>IF(ISNUMBER(SEARCH("R", 'WetLitterbags placem_collection'!$Y210)),"YES","NO")</f>
        <v>YES</v>
      </c>
      <c r="AJ503" s="252" t="str">
        <f>IF(ISNUMBER(SEARCH("C", 'WetLitterbags placem_collection'!$W210)),"YES","NO")</f>
        <v>NO</v>
      </c>
      <c r="AK503" s="252" t="str">
        <f>IF(ISNUMBER(SEARCH("H", 'WetLitterbags placem_collection'!$W210)),"YES","NO")</f>
        <v>NO</v>
      </c>
      <c r="AL503" s="252" t="str">
        <f>IF(ISNUMBER(SEARCH("R", 'WetLitterbags placem_collection'!$W210)),"YES","NO")</f>
        <v>YES</v>
      </c>
    </row>
    <row r="504" spans="2:38">
      <c r="B504" t="str">
        <f>'Final data_for_R_analysis_Wetse'!A650</f>
        <v>Wet</v>
      </c>
      <c r="C504" s="260">
        <f>'Final data_for_R_analysis_Wetse'!B650</f>
        <v>209</v>
      </c>
      <c r="D504" t="s">
        <v>2430</v>
      </c>
      <c r="E504" t="s">
        <v>25</v>
      </c>
      <c r="F504" s="382">
        <v>1</v>
      </c>
      <c r="G504" s="16">
        <f>'WetLitterbags placem_collection'!E211</f>
        <v>42769</v>
      </c>
      <c r="H504" s="92" t="str">
        <f>'Final data_for_R_analysis_Wetse'!K650</f>
        <v>G637</v>
      </c>
      <c r="I504" t="str">
        <f>'Final data_for_R_analysis_Wetse'!K870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84"/>
        <v>1.8612000000000002</v>
      </c>
      <c r="M504" s="194">
        <f>AVERAGE(Ashed_controlls!$K$2:$K$11)</f>
        <v>5.5147656768714146</v>
      </c>
      <c r="N504" s="194">
        <f t="shared" si="81"/>
        <v>1.7585591812220693</v>
      </c>
      <c r="O504" s="194">
        <f t="shared" si="85"/>
        <v>1.8372000000000002</v>
      </c>
      <c r="P504" s="194">
        <f>AVERAGE(Ashed_controlls!$K$12:$K$14)</f>
        <v>2.2816647271287041</v>
      </c>
      <c r="Q504" s="194">
        <f t="shared" si="86"/>
        <v>1.7952812556331916</v>
      </c>
      <c r="R504" s="16">
        <f>IF('WetLitterbags placem_collection'!G211="","",'WetLitterbags placem_collection'!G211)</f>
        <v>42814</v>
      </c>
      <c r="S504" s="194">
        <f>IFERROR(INDEX('Both teabags AfterWet'!$C$3:$C$2000,MATCH(H504,'Both teabags AfterWet'!$A$3:$A$2000,0)),"")</f>
        <v>0.86399999999999999</v>
      </c>
      <c r="T504" s="194">
        <f>IFERROR(INDEX('Both teabags AfterWet'!$C$3:$C$2000,MATCH(I504,'Both teabags AfterWet'!$A$3:$A$2000,0)),"")</f>
        <v>1.5780000000000001</v>
      </c>
      <c r="U504" s="194">
        <f t="shared" si="87"/>
        <v>0.71340000000000003</v>
      </c>
      <c r="V504" s="194">
        <f t="shared" si="88"/>
        <v>1.4274</v>
      </c>
      <c r="W504" s="194">
        <f>IFERROR(INDEX('Ashed teabags wet'!$K$2:$K$2000,MATCH(H504,'Ashed teabags wet'!$A$2:$A$2000,0)),"")</f>
        <v>17.471937530502561</v>
      </c>
      <c r="X504" s="237">
        <f>IFERROR(INDEX('Ashed teabags wet'!$K$2:$K$2000,MATCH(I504,'Ashed teabags wet'!$A$2:$A$2000,0)),"")</f>
        <v>6.2620423892102917</v>
      </c>
      <c r="Y504" s="194">
        <f t="shared" si="93"/>
        <v>0.5887551976573947</v>
      </c>
      <c r="Z504" s="194">
        <f t="shared" si="93"/>
        <v>1.3380156069364122</v>
      </c>
      <c r="AA504" s="194">
        <f t="shared" si="89"/>
        <v>0.66520592315337768</v>
      </c>
      <c r="AB504" s="194">
        <f t="shared" si="90"/>
        <v>0.43609699475138308</v>
      </c>
      <c r="AC504" s="194">
        <f t="shared" si="82"/>
        <v>0.74529581520333821</v>
      </c>
      <c r="AD504">
        <f t="shared" si="83"/>
        <v>45</v>
      </c>
      <c r="AE504" s="194">
        <f t="shared" si="91"/>
        <v>0.2099692124069148</v>
      </c>
      <c r="AF504" s="194">
        <f t="shared" si="92"/>
        <v>1.9493328514461269E-2</v>
      </c>
      <c r="AG504" s="252" t="str">
        <f>IF(ISNUMBER(SEARCH("C",'WetLitterbags placem_collection'!$Y211)),"YES","NO")</f>
        <v>NO</v>
      </c>
      <c r="AH504" s="252" t="str">
        <f>IF(ISNUMBER(SEARCH("H", 'WetLitterbags placem_collection'!$Y211)),"YES","NO")</f>
        <v>NO</v>
      </c>
      <c r="AI504" s="252" t="str">
        <f>IF(ISNUMBER(SEARCH("R", 'WetLitterbags placem_collection'!$Y211)),"YES","NO")</f>
        <v>YES</v>
      </c>
      <c r="AJ504" s="252" t="str">
        <f>IF(ISNUMBER(SEARCH("C", 'WetLitterbags placem_collection'!$W211)),"YES","NO")</f>
        <v>NO</v>
      </c>
      <c r="AK504" s="252" t="str">
        <f>IF(ISNUMBER(SEARCH("H", 'WetLitterbags placem_collection'!$W211)),"YES","NO")</f>
        <v>NO</v>
      </c>
      <c r="AL504" s="252" t="str">
        <f>IF(ISNUMBER(SEARCH("R", 'WetLitterbags placem_collection'!$W211)),"YES","NO")</f>
        <v>YES</v>
      </c>
    </row>
    <row r="505" spans="2:38">
      <c r="B505" t="str">
        <f>'Final data_for_R_analysis_Wetse'!A651</f>
        <v>Wet</v>
      </c>
      <c r="C505" s="260">
        <f>'Final data_for_R_analysis_Wetse'!B651</f>
        <v>210</v>
      </c>
      <c r="D505" t="s">
        <v>2444</v>
      </c>
      <c r="E505" t="s">
        <v>25</v>
      </c>
      <c r="F505" s="382">
        <v>2</v>
      </c>
      <c r="G505" s="16">
        <f>'WetLitterbags placem_collection'!E212</f>
        <v>42769</v>
      </c>
      <c r="H505" s="92" t="str">
        <f>'Final data_for_R_analysis_Wetse'!K651</f>
        <v>G720</v>
      </c>
      <c r="I505" t="str">
        <f>'Final data_for_R_analysis_Wetse'!K871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84"/>
        <v>1.7852000000000001</v>
      </c>
      <c r="M505" s="194">
        <f>AVERAGE(Ashed_controlls!$K$2:$K$11)</f>
        <v>5.5147656768714146</v>
      </c>
      <c r="N505" s="194">
        <f t="shared" si="81"/>
        <v>1.6867504031364917</v>
      </c>
      <c r="O505" s="194">
        <f t="shared" si="85"/>
        <v>1.9811999999999999</v>
      </c>
      <c r="P505" s="194">
        <f>AVERAGE(Ashed_controlls!$K$12:$K$14)</f>
        <v>2.2816647271287041</v>
      </c>
      <c r="Q505" s="194">
        <f t="shared" si="86"/>
        <v>1.935995658426126</v>
      </c>
      <c r="R505" s="16">
        <f>IF('WetLitterbags placem_collection'!G212="","",'WetLitterbags placem_collection'!G212)</f>
        <v>42813</v>
      </c>
      <c r="S505" s="194">
        <f>IFERROR(INDEX('Both teabags AfterWet'!$C$3:$C$2000,MATCH(H505,'Both teabags AfterWet'!$A$3:$A$2000,0)),"")</f>
        <v>0.72160000000000002</v>
      </c>
      <c r="T505" s="194">
        <f>IFERROR(INDEX('Both teabags AfterWet'!$C$3:$C$2000,MATCH(I505,'Both teabags AfterWet'!$A$3:$A$2000,0)),"")</f>
        <v>1.6165</v>
      </c>
      <c r="U505" s="194">
        <f t="shared" si="87"/>
        <v>0.57099999999999995</v>
      </c>
      <c r="V505" s="194">
        <f t="shared" si="88"/>
        <v>1.4659</v>
      </c>
      <c r="W505" s="194">
        <f>IFERROR(INDEX('Ashed teabags wet'!$K$2:$K$2000,MATCH(H505,'Ashed teabags wet'!$A$2:$A$2000,0)),"")</f>
        <v>16.057692307692367</v>
      </c>
      <c r="X505" s="237">
        <f>IFERROR(INDEX('Ashed teabags wet'!$K$2:$K$2000,MATCH(I505,'Ashed teabags wet'!$A$2:$A$2000,0)),"")</f>
        <v>8.4810733109723397</v>
      </c>
      <c r="Y505" s="194">
        <f t="shared" si="93"/>
        <v>0.47931057692307655</v>
      </c>
      <c r="Z505" s="194">
        <f t="shared" si="93"/>
        <v>1.3415759463344565</v>
      </c>
      <c r="AA505" s="194">
        <f t="shared" si="89"/>
        <v>0.71583787617195505</v>
      </c>
      <c r="AB505" s="194">
        <f t="shared" si="90"/>
        <v>0.46929038912935772</v>
      </c>
      <c r="AC505" s="194">
        <f t="shared" si="82"/>
        <v>0.6929643362036747</v>
      </c>
      <c r="AD505">
        <f t="shared" si="83"/>
        <v>44</v>
      </c>
      <c r="AE505" s="194">
        <f t="shared" si="91"/>
        <v>0.14983625157725056</v>
      </c>
      <c r="AF505" s="194">
        <f t="shared" si="92"/>
        <v>2.4137596920236825E-2</v>
      </c>
      <c r="AG505" s="252" t="str">
        <f>IF(ISNUMBER(SEARCH("C",'WetLitterbags placem_collection'!$Y212)),"YES","NO")</f>
        <v>NO</v>
      </c>
      <c r="AH505" s="252" t="str">
        <f>IF(ISNUMBER(SEARCH("H", 'WetLitterbags placem_collection'!$Y212)),"YES","NO")</f>
        <v>NO</v>
      </c>
      <c r="AI505" s="252" t="str">
        <f>IF(ISNUMBER(SEARCH("R", 'WetLitterbags placem_collection'!$Y212)),"YES","NO")</f>
        <v>NO</v>
      </c>
      <c r="AJ505" s="252" t="str">
        <f>IF(ISNUMBER(SEARCH("C", 'WetLitterbags placem_collection'!$W212)),"YES","NO")</f>
        <v>NO</v>
      </c>
      <c r="AK505" s="252" t="str">
        <f>IF(ISNUMBER(SEARCH("H", 'WetLitterbags placem_collection'!$W212)),"YES","NO")</f>
        <v>NO</v>
      </c>
      <c r="AL505" s="252" t="str">
        <f>IF(ISNUMBER(SEARCH("R", 'WetLitterbags placem_collection'!$W212)),"YES","NO")</f>
        <v>YES</v>
      </c>
    </row>
    <row r="506" spans="2:38">
      <c r="B506" t="str">
        <f>'Final data_for_R_analysis_Wetse'!A652</f>
        <v>Wet</v>
      </c>
      <c r="C506" s="260">
        <f>'Final data_for_R_analysis_Wetse'!B652</f>
        <v>211</v>
      </c>
      <c r="D506" t="s">
        <v>2421</v>
      </c>
      <c r="E506" t="s">
        <v>25</v>
      </c>
      <c r="F506" s="382">
        <v>3</v>
      </c>
      <c r="G506" s="16">
        <f>'WetLitterbags placem_collection'!E213</f>
        <v>42769</v>
      </c>
      <c r="H506" s="92" t="str">
        <f>'Final data_for_R_analysis_Wetse'!K652</f>
        <v>G796</v>
      </c>
      <c r="I506" t="str">
        <f>'Final data_for_R_analysis_Wetse'!K872</f>
        <v>R589</v>
      </c>
      <c r="J506">
        <f>IFERROR(INDEX('Green_rooibos initial weight'!$C$5:$C$2000,MATCH(H506, 'Green_rooibos initial weight'!$A$5:$A$2000,0)),"")</f>
        <v>2.1070000000000002</v>
      </c>
      <c r="K506">
        <f>IFERROR(INDEX('Green_rooibos initial weight'!$C$5:$C$2000,MATCH(I506, 'Green_rooibos initial weight'!$A$5:$A$2000,0)),"")</f>
        <v>2.157</v>
      </c>
      <c r="L506" s="194">
        <f t="shared" si="84"/>
        <v>1.8572000000000002</v>
      </c>
      <c r="M506" s="194">
        <f>AVERAGE(Ashed_controlls!$K$2:$K$11)</f>
        <v>5.5147656768714146</v>
      </c>
      <c r="N506" s="194">
        <f t="shared" si="81"/>
        <v>1.7547797718491442</v>
      </c>
      <c r="O506" s="194">
        <f t="shared" si="85"/>
        <v>1.9072</v>
      </c>
      <c r="P506" s="194">
        <f>AVERAGE(Ashed_controlls!$K$12:$K$14)</f>
        <v>2.2816647271287041</v>
      </c>
      <c r="Q506" s="194">
        <f t="shared" si="86"/>
        <v>1.8636840903242013</v>
      </c>
      <c r="R506" s="16">
        <f>IF('WetLitterbags placem_collection'!G213="","",'WetLitterbags placem_collection'!G213)</f>
        <v>42814</v>
      </c>
      <c r="S506" s="194">
        <f>IFERROR(INDEX('Both teabags AfterWet'!$C$3:$C$2000,MATCH(H506,'Both teabags AfterWet'!$A$3:$A$2000,0)),"")</f>
        <v>0.67200000000000004</v>
      </c>
      <c r="T506" s="194">
        <f>IFERROR(INDEX('Both teabags AfterWet'!$C$3:$C$2000,MATCH(I506,'Both teabags AfterWet'!$A$3:$A$2000,0)),"")</f>
        <v>1.5489999999999999</v>
      </c>
      <c r="U506" s="194">
        <f t="shared" si="87"/>
        <v>0.52140000000000009</v>
      </c>
      <c r="V506" s="194">
        <f t="shared" si="88"/>
        <v>1.3983999999999999</v>
      </c>
      <c r="W506" s="194">
        <f>IFERROR(INDEX('Ashed teabags wet'!$K$2:$K$2000,MATCH(H506,'Ashed teabags wet'!$A$2:$A$2000,0)),"")</f>
        <v>40.67127344521198</v>
      </c>
      <c r="X506" s="237">
        <f>IFERROR(INDEX('Ashed teabags wet'!$K$2:$K$2000,MATCH(I506,'Ashed teabags wet'!$A$2:$A$2000,0)),"")</f>
        <v>7.414730598121813</v>
      </c>
      <c r="Y506" s="194">
        <f t="shared" si="93"/>
        <v>0.30933998025666476</v>
      </c>
      <c r="Z506" s="194">
        <f t="shared" si="93"/>
        <v>1.2947124073158645</v>
      </c>
      <c r="AA506" s="194">
        <f t="shared" si="89"/>
        <v>0.82371578176406157</v>
      </c>
      <c r="AB506" s="194">
        <f t="shared" si="90"/>
        <v>0.54001319659591696</v>
      </c>
      <c r="AC506" s="194">
        <f t="shared" si="82"/>
        <v>0.69470593972320693</v>
      </c>
      <c r="AD506">
        <f t="shared" si="83"/>
        <v>45</v>
      </c>
      <c r="AE506" s="194">
        <f t="shared" si="91"/>
        <v>2.171522355812161E-2</v>
      </c>
      <c r="AF506" s="194">
        <f t="shared" si="92"/>
        <v>1.8515643169653335E-2</v>
      </c>
      <c r="AG506" s="252" t="str">
        <f>IF(ISNUMBER(SEARCH("C",'WetLitterbags placem_collection'!$Y213)),"YES","NO")</f>
        <v>NO</v>
      </c>
      <c r="AH506" s="252" t="str">
        <f>IF(ISNUMBER(SEARCH("H", 'WetLitterbags placem_collection'!$Y213)),"YES","NO")</f>
        <v>NO</v>
      </c>
      <c r="AI506" s="252" t="str">
        <f>IF(ISNUMBER(SEARCH("R", 'WetLitterbags placem_collection'!$Y213)),"YES","NO")</f>
        <v>YES</v>
      </c>
      <c r="AJ506" s="252" t="str">
        <f>IF(ISNUMBER(SEARCH("C", 'WetLitterbags placem_collection'!$W213)),"YES","NO")</f>
        <v>NO</v>
      </c>
      <c r="AK506" s="252" t="str">
        <f>IF(ISNUMBER(SEARCH("H", 'WetLitterbags placem_collection'!$W213)),"YES","NO")</f>
        <v>NO</v>
      </c>
      <c r="AL506" s="252" t="str">
        <f>IF(ISNUMBER(SEARCH("R", 'WetLitterbags placem_collection'!$W213)),"YES","NO")</f>
        <v>YES</v>
      </c>
    </row>
    <row r="507" spans="2:38">
      <c r="B507" t="str">
        <f>'Final data_for_R_analysis_Wetse'!A653</f>
        <v>Wet</v>
      </c>
      <c r="C507" s="260">
        <f>'Final data_for_R_analysis_Wetse'!B653</f>
        <v>215</v>
      </c>
      <c r="D507" t="s">
        <v>2422</v>
      </c>
      <c r="E507" t="s">
        <v>25</v>
      </c>
      <c r="F507" s="382">
        <v>3</v>
      </c>
      <c r="G507" s="16">
        <f>'WetLitterbags placem_collection'!E214</f>
        <v>42769</v>
      </c>
      <c r="H507" s="92" t="str">
        <f>'Final data_for_R_analysis_Wetse'!K653</f>
        <v>G560</v>
      </c>
      <c r="I507" t="str">
        <f>'Final data_for_R_analysis_Wetse'!K873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84"/>
        <v>1.8721999999999999</v>
      </c>
      <c r="M507" s="194">
        <f>AVERAGE(Ashed_controlls!$K$2:$K$11)</f>
        <v>5.5147656768714146</v>
      </c>
      <c r="N507" s="194">
        <f t="shared" si="81"/>
        <v>1.7689525569976132</v>
      </c>
      <c r="O507" s="194">
        <f t="shared" si="85"/>
        <v>1.9912000000000001</v>
      </c>
      <c r="P507" s="194">
        <f>AVERAGE(Ashed_controlls!$K$12:$K$14)</f>
        <v>2.2816647271287041</v>
      </c>
      <c r="Q507" s="194">
        <f t="shared" si="86"/>
        <v>1.9457674919534134</v>
      </c>
      <c r="R507" s="16">
        <f>IF('WetLitterbags placem_collection'!G214="","",'WetLitterbags placem_collection'!G214)</f>
        <v>42813</v>
      </c>
      <c r="S507" s="194">
        <f>IFERROR(INDEX('Both teabags AfterWet'!$C$3:$C$2000,MATCH(H507,'Both teabags AfterWet'!$A$3:$A$2000,0)),"")</f>
        <v>1.4097999999999999</v>
      </c>
      <c r="T507" s="194">
        <f>IFERROR(INDEX('Both teabags AfterWet'!$C$3:$C$2000,MATCH(I507,'Both teabags AfterWet'!$A$3:$A$2000,0)),"")</f>
        <v>1.6712</v>
      </c>
      <c r="U507" s="194">
        <f t="shared" si="87"/>
        <v>1.2591999999999999</v>
      </c>
      <c r="V507" s="194">
        <f t="shared" si="88"/>
        <v>1.5206</v>
      </c>
      <c r="W507" s="194">
        <f>IFERROR(INDEX('Ashed teabags wet'!$K$2:$K$2000,MATCH(H507,'Ashed teabags wet'!$A$2:$A$2000,0)),"")</f>
        <v>39.082656473960213</v>
      </c>
      <c r="X507" s="237">
        <f>IFERROR(INDEX('Ashed teabags wet'!$K$2:$K$2000,MATCH(I507,'Ashed teabags wet'!$A$2:$A$2000,0)),"")</f>
        <v>7.2700296735904999</v>
      </c>
      <c r="Y507" s="194">
        <f t="shared" si="93"/>
        <v>0.76707118967989296</v>
      </c>
      <c r="Z507" s="194">
        <f t="shared" si="93"/>
        <v>1.4100519287833828</v>
      </c>
      <c r="AA507" s="194">
        <f t="shared" si="89"/>
        <v>0.56636983471065028</v>
      </c>
      <c r="AB507" s="194">
        <f t="shared" si="90"/>
        <v>0.37130183938275413</v>
      </c>
      <c r="AC507" s="194">
        <f t="shared" si="82"/>
        <v>0.72467647579402727</v>
      </c>
      <c r="AD507">
        <f t="shared" si="83"/>
        <v>44</v>
      </c>
      <c r="AE507" s="194">
        <f t="shared" si="91"/>
        <v>0.32735174024863389</v>
      </c>
      <c r="AF507" s="194">
        <f t="shared" si="92"/>
        <v>3.0747568924836554E-2</v>
      </c>
      <c r="AG507" s="252" t="str">
        <f>IF(ISNUMBER(SEARCH("C",'WetLitterbags placem_collection'!$Y214)),"YES","NO")</f>
        <v>NO</v>
      </c>
      <c r="AH507" s="252" t="str">
        <f>IF(ISNUMBER(SEARCH("H", 'WetLitterbags placem_collection'!$Y214)),"YES","NO")</f>
        <v>NO</v>
      </c>
      <c r="AI507" s="252" t="str">
        <f>IF(ISNUMBER(SEARCH("R", 'WetLitterbags placem_collection'!$Y214)),"YES","NO")</f>
        <v>YES</v>
      </c>
      <c r="AJ507" s="252" t="str">
        <f>IF(ISNUMBER(SEARCH("C", 'WetLitterbags placem_collection'!$W214)),"YES","NO")</f>
        <v>YES</v>
      </c>
      <c r="AK507" s="252" t="str">
        <f>IF(ISNUMBER(SEARCH("H", 'WetLitterbags placem_collection'!$W214)),"YES","NO")</f>
        <v>NO</v>
      </c>
      <c r="AL507" s="252" t="str">
        <f>IF(ISNUMBER(SEARCH("R", 'WetLitterbags placem_collection'!$W214)),"YES","NO")</f>
        <v>YES</v>
      </c>
    </row>
    <row r="508" spans="2:38">
      <c r="B508" t="str">
        <f>'Final data_for_R_analysis_Wetse'!A654</f>
        <v>Wet</v>
      </c>
      <c r="C508" s="260">
        <f>'Final data_for_R_analysis_Wetse'!B654</f>
        <v>212</v>
      </c>
      <c r="D508" t="s">
        <v>2437</v>
      </c>
      <c r="E508" t="s">
        <v>25</v>
      </c>
      <c r="F508" s="382">
        <v>4</v>
      </c>
      <c r="G508" s="16">
        <f>'WetLitterbags placem_collection'!E215</f>
        <v>42769</v>
      </c>
      <c r="H508" s="92" t="str">
        <f>'Final data_for_R_analysis_Wetse'!K654</f>
        <v>G716</v>
      </c>
      <c r="I508" t="str">
        <f>'Final data_for_R_analysis_Wetse'!K874</f>
        <v>R111</v>
      </c>
      <c r="J508">
        <f>IFERROR(INDEX('Green_rooibos initial weight'!$C$5:$C$2000,MATCH(H508, 'Green_rooibos initial weight'!$A$5:$A$2000,0)),"")</f>
        <v>2.117</v>
      </c>
      <c r="K508">
        <f>IFERROR(INDEX('Green_rooibos initial weight'!$C$5:$C$2000,MATCH(I508, 'Green_rooibos initial weight'!$A$5:$A$2000,0)),"")</f>
        <v>2.3170000000000002</v>
      </c>
      <c r="L508" s="194">
        <f t="shared" si="84"/>
        <v>1.8672</v>
      </c>
      <c r="M508" s="194">
        <f>AVERAGE(Ashed_controlls!$K$2:$K$11)</f>
        <v>5.5147656768714146</v>
      </c>
      <c r="N508" s="194">
        <f t="shared" si="81"/>
        <v>1.764228295281457</v>
      </c>
      <c r="O508" s="194">
        <f t="shared" si="85"/>
        <v>2.0672000000000001</v>
      </c>
      <c r="P508" s="194">
        <f>AVERAGE(Ashed_controlls!$K$12:$K$14)</f>
        <v>2.2816647271287041</v>
      </c>
      <c r="Q508" s="194">
        <f t="shared" si="86"/>
        <v>2.0200334267607958</v>
      </c>
      <c r="R508" s="16">
        <f>IF('WetLitterbags placem_collection'!G215="","",'WetLitterbags placem_collection'!G215)</f>
        <v>42813</v>
      </c>
      <c r="S508" s="194">
        <f>IFERROR(INDEX('Both teabags AfterWet'!$C$3:$C$2000,MATCH(H508,'Both teabags AfterWet'!$A$3:$A$2000,0)),"")</f>
        <v>0.83</v>
      </c>
      <c r="T508" s="194">
        <f>IFERROR(INDEX('Both teabags AfterWet'!$C$3:$C$2000,MATCH(I508,'Both teabags AfterWet'!$A$3:$A$2000,0)),"")</f>
        <v>1.587</v>
      </c>
      <c r="U508" s="194">
        <f t="shared" si="87"/>
        <v>0.6794</v>
      </c>
      <c r="V508" s="194">
        <f t="shared" si="88"/>
        <v>1.4363999999999999</v>
      </c>
      <c r="W508" s="194">
        <f>IFERROR(INDEX('Ashed teabags wet'!$K$2:$K$2000,MATCH(H508,'Ashed teabags wet'!$A$2:$A$2000,0)),"")</f>
        <v>8.2922013820333618</v>
      </c>
      <c r="X508" s="237">
        <f>IFERROR(INDEX('Ashed teabags wet'!$K$2:$K$2000,MATCH(I508,'Ashed teabags wet'!$A$2:$A$2000,0)),"")</f>
        <v>3.4013605442175416</v>
      </c>
      <c r="Y508" s="194">
        <f t="shared" si="93"/>
        <v>0.62306278381046531</v>
      </c>
      <c r="Z508" s="194">
        <f t="shared" si="93"/>
        <v>1.3875428571428592</v>
      </c>
      <c r="AA508" s="194">
        <f t="shared" si="89"/>
        <v>0.64683551132419359</v>
      </c>
      <c r="AB508" s="194">
        <f t="shared" si="90"/>
        <v>0.42405368438355689</v>
      </c>
      <c r="AC508" s="194">
        <f t="shared" si="82"/>
        <v>0.68689103792101081</v>
      </c>
      <c r="AD508">
        <f t="shared" si="83"/>
        <v>44</v>
      </c>
      <c r="AE508" s="194">
        <f t="shared" si="91"/>
        <v>0.23178680365297666</v>
      </c>
      <c r="AF508" s="194">
        <f t="shared" si="92"/>
        <v>3.0473363211701344E-2</v>
      </c>
      <c r="AG508" s="252" t="str">
        <f>IF(ISNUMBER(SEARCH("C",'WetLitterbags placem_collection'!$Y215)),"YES","NO")</f>
        <v>NO</v>
      </c>
      <c r="AH508" s="252" t="str">
        <f>IF(ISNUMBER(SEARCH("H", 'WetLitterbags placem_collection'!$Y215)),"YES","NO")</f>
        <v>NO</v>
      </c>
      <c r="AI508" s="252" t="str">
        <f>IF(ISNUMBER(SEARCH("R", 'WetLitterbags placem_collection'!$Y215)),"YES","NO")</f>
        <v>NO</v>
      </c>
      <c r="AJ508" s="252" t="str">
        <f>IF(ISNUMBER(SEARCH("C", 'WetLitterbags placem_collection'!$W215)),"YES","NO")</f>
        <v>NO</v>
      </c>
      <c r="AK508" s="252" t="str">
        <f>IF(ISNUMBER(SEARCH("H", 'WetLitterbags placem_collection'!$W215)),"YES","NO")</f>
        <v>NO</v>
      </c>
      <c r="AL508" s="252" t="str">
        <f>IF(ISNUMBER(SEARCH("R", 'WetLitterbags placem_collection'!$W215)),"YES","NO")</f>
        <v>YES</v>
      </c>
    </row>
    <row r="509" spans="2:38">
      <c r="B509" t="str">
        <f>'Final data_for_R_analysis_Wetse'!A655</f>
        <v>Wet</v>
      </c>
      <c r="C509" s="260">
        <f>'Final data_for_R_analysis_Wetse'!B655</f>
        <v>213</v>
      </c>
      <c r="D509" t="s">
        <v>2445</v>
      </c>
      <c r="E509" t="s">
        <v>25</v>
      </c>
      <c r="F509" s="382">
        <v>1</v>
      </c>
      <c r="G509" s="16">
        <f>'WetLitterbags placem_collection'!E216</f>
        <v>42769</v>
      </c>
      <c r="H509" s="92" t="str">
        <f>'Final data_for_R_analysis_Wetse'!K655</f>
        <v>G581</v>
      </c>
      <c r="I509" t="str">
        <f>'Final data_for_R_analysis_Wetse'!K875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84"/>
        <v>1.7572000000000001</v>
      </c>
      <c r="M509" s="194">
        <f>AVERAGE(Ashed_controlls!$K$2:$K$11)</f>
        <v>5.5147656768714146</v>
      </c>
      <c r="N509" s="194">
        <f t="shared" si="81"/>
        <v>1.6602945375260156</v>
      </c>
      <c r="O509" s="194">
        <f t="shared" si="85"/>
        <v>2.0211999999999999</v>
      </c>
      <c r="P509" s="194">
        <f>AVERAGE(Ashed_controlls!$K$12:$K$14)</f>
        <v>2.2816647271287041</v>
      </c>
      <c r="Q509" s="194">
        <f t="shared" si="86"/>
        <v>1.9750829925352744</v>
      </c>
      <c r="R509" s="16">
        <f>IF('WetLitterbags placem_collection'!G216="","",'WetLitterbags placem_collection'!G216)</f>
        <v>42813</v>
      </c>
      <c r="S509" s="194">
        <f>IFERROR(INDEX('Both teabags AfterWet'!$C$3:$C$2000,MATCH(H509,'Both teabags AfterWet'!$A$3:$A$2000,0)),"")</f>
        <v>0.63400000000000001</v>
      </c>
      <c r="T509" s="194">
        <f>IFERROR(INDEX('Both teabags AfterWet'!$C$3:$C$2000,MATCH(I509,'Both teabags AfterWet'!$A$3:$A$2000,0)),"")</f>
        <v>1.4850000000000001</v>
      </c>
      <c r="U509" s="194">
        <f t="shared" si="87"/>
        <v>0.4834</v>
      </c>
      <c r="V509" s="194">
        <f t="shared" si="88"/>
        <v>1.3344</v>
      </c>
      <c r="W509" s="194">
        <f>IFERROR(INDEX('Ashed teabags wet'!$K$2:$K$2000,MATCH(H509,'Ashed teabags wet'!$A$2:$A$2000,0)),"")</f>
        <v>8.3576287657915547</v>
      </c>
      <c r="X509" s="237">
        <f>IFERROR(INDEX('Ashed teabags wet'!$K$2:$K$2000,MATCH(I509,'Ashed teabags wet'!$A$2:$A$2000,0)),"")</f>
        <v>5.5972013992993173</v>
      </c>
      <c r="Y509" s="194">
        <f t="shared" si="93"/>
        <v>0.44299922254616364</v>
      </c>
      <c r="Z509" s="194">
        <f t="shared" si="93"/>
        <v>1.2597109445277499</v>
      </c>
      <c r="AA509" s="194">
        <f t="shared" si="89"/>
        <v>0.73318034087718476</v>
      </c>
      <c r="AB509" s="194">
        <f t="shared" si="90"/>
        <v>0.4806597959194846</v>
      </c>
      <c r="AC509" s="194">
        <f t="shared" si="82"/>
        <v>0.63780152494288256</v>
      </c>
      <c r="AD509">
        <f t="shared" si="83"/>
        <v>44</v>
      </c>
      <c r="AE509" s="194">
        <f t="shared" si="91"/>
        <v>0.12923950014586127</v>
      </c>
      <c r="AF509" s="194">
        <f t="shared" si="92"/>
        <v>3.1831209859152804E-2</v>
      </c>
      <c r="AG509" s="252" t="str">
        <f>IF(ISNUMBER(SEARCH("C",'WetLitterbags placem_collection'!$Y216)),"YES","NO")</f>
        <v>NO</v>
      </c>
      <c r="AH509" s="252" t="str">
        <f>IF(ISNUMBER(SEARCH("H", 'WetLitterbags placem_collection'!$Y216)),"YES","NO")</f>
        <v>NO</v>
      </c>
      <c r="AI509" s="252" t="str">
        <f>IF(ISNUMBER(SEARCH("R", 'WetLitterbags placem_collection'!$Y216)),"YES","NO")</f>
        <v>YES</v>
      </c>
      <c r="AJ509" s="252" t="str">
        <f>IF(ISNUMBER(SEARCH("C", 'WetLitterbags placem_collection'!$W216)),"YES","NO")</f>
        <v>NO</v>
      </c>
      <c r="AK509" s="252" t="str">
        <f>IF(ISNUMBER(SEARCH("H", 'WetLitterbags placem_collection'!$W216)),"YES","NO")</f>
        <v>NO</v>
      </c>
      <c r="AL509" s="252" t="str">
        <f>IF(ISNUMBER(SEARCH("R", 'WetLitterbags placem_collection'!$W216)),"YES","NO")</f>
        <v>YES</v>
      </c>
    </row>
    <row r="510" spans="2:38">
      <c r="B510" t="str">
        <f>'Final data_for_R_analysis_Wetse'!A656</f>
        <v>Wet</v>
      </c>
      <c r="C510" s="260">
        <f>'Final data_for_R_analysis_Wetse'!B656</f>
        <v>214</v>
      </c>
      <c r="D510" t="s">
        <v>2438</v>
      </c>
      <c r="E510" t="s">
        <v>25</v>
      </c>
      <c r="F510" s="382">
        <v>2</v>
      </c>
      <c r="G510" s="16">
        <f>'WetLitterbags placem_collection'!E217</f>
        <v>42769</v>
      </c>
      <c r="H510" s="92" t="str">
        <f>'Final data_for_R_analysis_Wetse'!K656</f>
        <v>G718</v>
      </c>
      <c r="I510" t="str">
        <f>'Final data_for_R_analysis_Wetse'!K876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84"/>
        <v>1.7871999999999999</v>
      </c>
      <c r="M510" s="194">
        <f>AVERAGE(Ashed_controlls!$K$2:$K$11)</f>
        <v>5.5147656768714146</v>
      </c>
      <c r="N510" s="194">
        <f t="shared" si="81"/>
        <v>1.688640107822954</v>
      </c>
      <c r="O510" s="194">
        <f t="shared" si="85"/>
        <v>1.8342000000000001</v>
      </c>
      <c r="P510" s="194">
        <f>AVERAGE(Ashed_controlls!$K$12:$K$14)</f>
        <v>2.2816647271287041</v>
      </c>
      <c r="Q510" s="194">
        <f t="shared" si="86"/>
        <v>1.7923497055750053</v>
      </c>
      <c r="R510" s="16">
        <f>IF('WetLitterbags placem_collection'!G217="","",'WetLitterbags placem_collection'!G217)</f>
        <v>42814</v>
      </c>
      <c r="S510" s="194">
        <f>IFERROR(INDEX('Both teabags AfterWet'!$C$3:$C$2000,MATCH(H510,'Both teabags AfterWet'!$A$3:$A$2000,0)),"")</f>
        <v>0.67769999999999997</v>
      </c>
      <c r="T510" s="194">
        <f>IFERROR(INDEX('Both teabags AfterWet'!$C$3:$C$2000,MATCH(I510,'Both teabags AfterWet'!$A$3:$A$2000,0)),"")</f>
        <v>1.5467</v>
      </c>
      <c r="U510" s="194">
        <f t="shared" si="87"/>
        <v>0.5270999999999999</v>
      </c>
      <c r="V510" s="194">
        <f t="shared" si="88"/>
        <v>1.3960999999999999</v>
      </c>
      <c r="W510" s="194">
        <f>IFERROR(INDEX('Ashed teabags wet'!$K$2:$K$2000,MATCH(H510,'Ashed teabags wet'!$A$2:$A$2000,0)),"")</f>
        <v>7.2942336126168659</v>
      </c>
      <c r="X510" s="237">
        <f>IFERROR(INDEX('Ashed teabags wet'!$K$2:$K$2000,MATCH(I510,'Ashed teabags wet'!$A$2:$A$2000,0)),"")</f>
        <v>2.1484374999999396</v>
      </c>
      <c r="Y510" s="194">
        <f t="shared" si="93"/>
        <v>0.48865209462789638</v>
      </c>
      <c r="Z510" s="194">
        <f t="shared" si="93"/>
        <v>1.3661056640625007</v>
      </c>
      <c r="AA510" s="194">
        <f t="shared" si="89"/>
        <v>0.71062389649273383</v>
      </c>
      <c r="AB510" s="194">
        <f t="shared" si="90"/>
        <v>0.46587219817575909</v>
      </c>
      <c r="AC510" s="194">
        <f t="shared" si="82"/>
        <v>0.76218701061143601</v>
      </c>
      <c r="AD510">
        <f t="shared" si="83"/>
        <v>45</v>
      </c>
      <c r="AE510" s="194">
        <f t="shared" si="91"/>
        <v>0.15602862649319016</v>
      </c>
      <c r="AF510" s="194">
        <f t="shared" si="92"/>
        <v>1.5873468017003702E-2</v>
      </c>
      <c r="AG510" s="252" t="str">
        <f>IF(ISNUMBER(SEARCH("C",'WetLitterbags placem_collection'!$Y217)),"YES","NO")</f>
        <v>NO</v>
      </c>
      <c r="AH510" s="252" t="str">
        <f>IF(ISNUMBER(SEARCH("H", 'WetLitterbags placem_collection'!$Y217)),"YES","NO")</f>
        <v>NO</v>
      </c>
      <c r="AI510" s="252" t="str">
        <f>IF(ISNUMBER(SEARCH("R", 'WetLitterbags placem_collection'!$Y217)),"YES","NO")</f>
        <v>YES</v>
      </c>
      <c r="AJ510" s="252" t="str">
        <f>IF(ISNUMBER(SEARCH("C", 'WetLitterbags placem_collection'!$W217)),"YES","NO")</f>
        <v>NO</v>
      </c>
      <c r="AK510" s="252" t="str">
        <f>IF(ISNUMBER(SEARCH("H", 'WetLitterbags placem_collection'!$W217)),"YES","NO")</f>
        <v>NO</v>
      </c>
      <c r="AL510" s="252" t="str">
        <f>IF(ISNUMBER(SEARCH("R", 'WetLitterbags placem_collection'!$W217)),"YES","NO")</f>
        <v>NO</v>
      </c>
    </row>
    <row r="511" spans="2:38">
      <c r="B511" t="str">
        <f>'Final data_for_R_analysis_Wetse'!A657</f>
        <v>Wet</v>
      </c>
      <c r="C511" s="260">
        <f>'Final data_for_R_analysis_Wetse'!B657</f>
        <v>216</v>
      </c>
      <c r="D511" t="s">
        <v>2431</v>
      </c>
      <c r="E511" t="s">
        <v>25</v>
      </c>
      <c r="F511" s="382">
        <v>4</v>
      </c>
      <c r="G511" s="16">
        <f>'WetLitterbags placem_collection'!E218</f>
        <v>42769</v>
      </c>
      <c r="H511" s="92" t="str">
        <f>'Final data_for_R_analysis_Wetse'!K657</f>
        <v>G613</v>
      </c>
      <c r="I511" t="str">
        <f>'Final data_for_R_analysis_Wetse'!K877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84"/>
        <v>1.7841999999999998</v>
      </c>
      <c r="M511" s="194">
        <f>AVERAGE(Ashed_controlls!$K$2:$K$11)</f>
        <v>5.5147656768714146</v>
      </c>
      <c r="N511" s="194">
        <f t="shared" si="81"/>
        <v>1.6858055507932601</v>
      </c>
      <c r="O511" s="194">
        <f t="shared" si="85"/>
        <v>1.9912000000000001</v>
      </c>
      <c r="P511" s="194">
        <f>AVERAGE(Ashed_controlls!$K$12:$K$14)</f>
        <v>2.2816647271287041</v>
      </c>
      <c r="Q511" s="194">
        <f t="shared" si="86"/>
        <v>1.9457674919534134</v>
      </c>
      <c r="R511" s="16">
        <f>IF('WetLitterbags placem_collection'!G218="","",'WetLitterbags placem_collection'!G218)</f>
        <v>42814</v>
      </c>
      <c r="S511" s="194">
        <f>IFERROR(INDEX('Both teabags AfterWet'!$C$3:$C$2000,MATCH(H511,'Both teabags AfterWet'!$A$3:$A$2000,0)),"")</f>
        <v>0.82499999999999996</v>
      </c>
      <c r="T511" s="194">
        <f>IFERROR(INDEX('Both teabags AfterWet'!$C$3:$C$2000,MATCH(I511,'Both teabags AfterWet'!$A$3:$A$2000,0)),"")</f>
        <v>1.5940000000000001</v>
      </c>
      <c r="U511" s="194">
        <f t="shared" si="87"/>
        <v>0.67439999999999989</v>
      </c>
      <c r="V511" s="194">
        <f t="shared" si="88"/>
        <v>1.4434</v>
      </c>
      <c r="W511" s="194">
        <f>IFERROR(INDEX('Ashed teabags wet'!$K$2:$K$2000,MATCH(H511,'Ashed teabags wet'!$A$2:$A$2000,0)),"")</f>
        <v>7.3429951690818136</v>
      </c>
      <c r="X511" s="237">
        <f>IFERROR(INDEX('Ashed teabags wet'!$K$2:$K$2000,MATCH(I511,'Ashed teabags wet'!$A$2:$A$2000,0)),"")</f>
        <v>3.2951289398278099</v>
      </c>
      <c r="Y511" s="194">
        <f t="shared" si="93"/>
        <v>0.6248788405797121</v>
      </c>
      <c r="Z511" s="194">
        <f t="shared" si="93"/>
        <v>1.3958381088825254</v>
      </c>
      <c r="AA511" s="194">
        <f t="shared" si="89"/>
        <v>0.62932923059502688</v>
      </c>
      <c r="AB511" s="194">
        <f t="shared" si="90"/>
        <v>0.41257688276538584</v>
      </c>
      <c r="AC511" s="194">
        <f t="shared" si="82"/>
        <v>0.71737148177000443</v>
      </c>
      <c r="AD511">
        <f t="shared" si="83"/>
        <v>45</v>
      </c>
      <c r="AE511" s="194">
        <f t="shared" si="91"/>
        <v>0.25257811093227212</v>
      </c>
      <c r="AF511" s="194">
        <f t="shared" si="92"/>
        <v>2.5673008782187406E-2</v>
      </c>
      <c r="AG511" s="252" t="str">
        <f>IF(ISNUMBER(SEARCH("C",'WetLitterbags placem_collection'!$Y218)),"YES","NO")</f>
        <v>NO</v>
      </c>
      <c r="AH511" s="252" t="str">
        <f>IF(ISNUMBER(SEARCH("H", 'WetLitterbags placem_collection'!$Y218)),"YES","NO")</f>
        <v>NO</v>
      </c>
      <c r="AI511" s="252" t="str">
        <f>IF(ISNUMBER(SEARCH("R", 'WetLitterbags placem_collection'!$Y218)),"YES","NO")</f>
        <v>YES</v>
      </c>
      <c r="AJ511" s="252" t="str">
        <f>IF(ISNUMBER(SEARCH("C", 'WetLitterbags placem_collection'!$W218)),"YES","NO")</f>
        <v>NO</v>
      </c>
      <c r="AK511" s="252" t="str">
        <f>IF(ISNUMBER(SEARCH("H", 'WetLitterbags placem_collection'!$W218)),"YES","NO")</f>
        <v>YES</v>
      </c>
      <c r="AL511" s="252" t="str">
        <f>IF(ISNUMBER(SEARCH("R", 'WetLitterbags placem_collection'!$W218)),"YES","NO")</f>
        <v>NO</v>
      </c>
    </row>
    <row r="512" spans="2:38">
      <c r="B512" t="str">
        <f>'Final data_for_R_analysis_Wetse'!A658</f>
        <v>Wet</v>
      </c>
      <c r="C512" s="260">
        <f>'Final data_for_R_analysis_Wetse'!B658</f>
        <v>217</v>
      </c>
      <c r="D512" t="s">
        <v>2424</v>
      </c>
      <c r="E512" t="s">
        <v>25</v>
      </c>
      <c r="F512" s="382">
        <v>1</v>
      </c>
      <c r="G512" s="16">
        <f>'WetLitterbags placem_collection'!E219</f>
        <v>42769</v>
      </c>
      <c r="H512" s="92" t="str">
        <f>'Final data_for_R_analysis_Wetse'!K658</f>
        <v>G804</v>
      </c>
      <c r="I512" t="str">
        <f>'Final data_for_R_analysis_Wetse'!K878</f>
        <v>R410</v>
      </c>
      <c r="J512">
        <f>IFERROR(INDEX('Green_rooibos initial weight'!$C$5:$C$2000,MATCH(H512, 'Green_rooibos initial weight'!$A$5:$A$2000,0)),"")</f>
        <v>2.028</v>
      </c>
      <c r="K512">
        <f>IFERROR(INDEX('Green_rooibos initial weight'!$C$5:$C$2000,MATCH(I512, 'Green_rooibos initial weight'!$A$5:$A$2000,0)),"")</f>
        <v>2.1930000000000001</v>
      </c>
      <c r="L512" s="194">
        <f t="shared" si="84"/>
        <v>1.7782</v>
      </c>
      <c r="M512" s="194">
        <f>AVERAGE(Ashed_controlls!$K$2:$K$11)</f>
        <v>5.5147656768714146</v>
      </c>
      <c r="N512" s="194">
        <f t="shared" si="81"/>
        <v>1.6801364367338725</v>
      </c>
      <c r="O512" s="194">
        <f t="shared" si="85"/>
        <v>1.9432</v>
      </c>
      <c r="P512" s="194">
        <f>AVERAGE(Ashed_controlls!$K$12:$K$14)</f>
        <v>2.2816647271287041</v>
      </c>
      <c r="Q512" s="194">
        <f t="shared" si="86"/>
        <v>1.8988626910224351</v>
      </c>
      <c r="R512" s="16">
        <f>IF('WetLitterbags placem_collection'!G219="","",'WetLitterbags placem_collection'!G219)</f>
        <v>42814</v>
      </c>
      <c r="S512" s="194">
        <f>IFERROR(INDEX('Both teabags AfterWet'!$C$3:$C$2000,MATCH(H512,'Both teabags AfterWet'!$A$3:$A$2000,0)),"")</f>
        <v>0.66200000000000003</v>
      </c>
      <c r="T512" s="194">
        <f>IFERROR(INDEX('Both teabags AfterWet'!$C$3:$C$2000,MATCH(I512,'Both teabags AfterWet'!$A$3:$A$2000,0)),"")</f>
        <v>1.488</v>
      </c>
      <c r="U512" s="194">
        <f t="shared" si="87"/>
        <v>0.51140000000000008</v>
      </c>
      <c r="V512" s="194">
        <f t="shared" si="88"/>
        <v>1.3373999999999999</v>
      </c>
      <c r="W512" s="194">
        <f>IFERROR(INDEX('Ashed teabags wet'!$K$2:$K$2000,MATCH(H512,'Ashed teabags wet'!$A$2:$A$2000,0)),"")</f>
        <v>8.5770946950907749</v>
      </c>
      <c r="X512" s="237">
        <f>IFERROR(INDEX('Ashed teabags wet'!$K$2:$K$2000,MATCH(I512,'Ashed teabags wet'!$A$2:$A$2000,0)),"")</f>
        <v>4.277286135692731</v>
      </c>
      <c r="Y512" s="194">
        <f t="shared" si="93"/>
        <v>0.46753673772930582</v>
      </c>
      <c r="Z512" s="194">
        <f t="shared" si="93"/>
        <v>1.2801955752212453</v>
      </c>
      <c r="AA512" s="194">
        <f t="shared" si="89"/>
        <v>0.72172692198844213</v>
      </c>
      <c r="AB512" s="194">
        <f t="shared" si="90"/>
        <v>0.47315114125608093</v>
      </c>
      <c r="AC512" s="194">
        <f t="shared" si="82"/>
        <v>0.67419070440102702</v>
      </c>
      <c r="AD512">
        <f t="shared" si="83"/>
        <v>45</v>
      </c>
      <c r="AE512" s="194">
        <f t="shared" si="91"/>
        <v>0.14284213540565061</v>
      </c>
      <c r="AF512" s="194">
        <f t="shared" si="92"/>
        <v>2.5925766828802793E-2</v>
      </c>
      <c r="AG512" s="252" t="str">
        <f>IF(ISNUMBER(SEARCH("C",'WetLitterbags placem_collection'!$Y219)),"YES","NO")</f>
        <v>NO</v>
      </c>
      <c r="AH512" s="252" t="str">
        <f>IF(ISNUMBER(SEARCH("H", 'WetLitterbags placem_collection'!$Y219)),"YES","NO")</f>
        <v>NO</v>
      </c>
      <c r="AI512" s="252" t="str">
        <f>IF(ISNUMBER(SEARCH("R", 'WetLitterbags placem_collection'!$Y219)),"YES","NO")</f>
        <v>NO</v>
      </c>
      <c r="AJ512" s="252" t="str">
        <f>IF(ISNUMBER(SEARCH("C", 'WetLitterbags placem_collection'!$W219)),"YES","NO")</f>
        <v>NO</v>
      </c>
      <c r="AK512" s="252" t="str">
        <f>IF(ISNUMBER(SEARCH("H", 'WetLitterbags placem_collection'!$W219)),"YES","NO")</f>
        <v>NO</v>
      </c>
      <c r="AL512" s="252" t="str">
        <f>IF(ISNUMBER(SEARCH("R", 'WetLitterbags placem_collection'!$W219)),"YES","NO")</f>
        <v>YES</v>
      </c>
    </row>
    <row r="513" spans="2:38">
      <c r="B513" t="str">
        <f>'Final data_for_R_analysis_Wetse'!A659</f>
        <v>Wet</v>
      </c>
      <c r="C513" s="260">
        <f>'Final data_for_R_analysis_Wetse'!B659</f>
        <v>218</v>
      </c>
      <c r="D513" t="s">
        <v>2432</v>
      </c>
      <c r="E513" t="s">
        <v>25</v>
      </c>
      <c r="F513" s="382">
        <v>2</v>
      </c>
      <c r="G513" s="16">
        <f>'WetLitterbags placem_collection'!E220</f>
        <v>42769</v>
      </c>
      <c r="H513" s="92" t="str">
        <f>'Final data_for_R_analysis_Wetse'!K659</f>
        <v>G587</v>
      </c>
      <c r="I513" t="str">
        <f>'Final data_for_R_analysis_Wetse'!K879</f>
        <v>R103</v>
      </c>
      <c r="J513">
        <f>IFERROR(INDEX('Green_rooibos initial weight'!$C$5:$C$2000,MATCH(H513, 'Green_rooibos initial weight'!$A$5:$A$2000,0)),"")</f>
        <v>2.0640000000000001</v>
      </c>
      <c r="K513">
        <f>IFERROR(INDEX('Green_rooibos initial weight'!$C$5:$C$2000,MATCH(I513, 'Green_rooibos initial weight'!$A$5:$A$2000,0)),"")</f>
        <v>2.246</v>
      </c>
      <c r="L513" s="194">
        <f t="shared" si="84"/>
        <v>1.8142</v>
      </c>
      <c r="M513" s="194">
        <f>AVERAGE(Ashed_controlls!$K$2:$K$11)</f>
        <v>5.5147656768714146</v>
      </c>
      <c r="N513" s="194">
        <f t="shared" si="81"/>
        <v>1.7141511210901987</v>
      </c>
      <c r="O513" s="194">
        <f t="shared" si="85"/>
        <v>1.9962</v>
      </c>
      <c r="P513" s="194">
        <f>AVERAGE(Ashed_controlls!$K$12:$K$14)</f>
        <v>2.2816647271287041</v>
      </c>
      <c r="Q513" s="194">
        <f t="shared" si="86"/>
        <v>1.9506534087170568</v>
      </c>
      <c r="R513" s="16">
        <f>IF('WetLitterbags placem_collection'!G220="","",'WetLitterbags placem_collection'!G220)</f>
        <v>42814</v>
      </c>
      <c r="S513" s="194">
        <f>IFERROR(INDEX('Both teabags AfterWet'!$C$3:$C$2000,MATCH(H513,'Both teabags AfterWet'!$A$3:$A$2000,0)),"")</f>
        <v>0.7167</v>
      </c>
      <c r="T513" s="194">
        <f>IFERROR(INDEX('Both teabags AfterWet'!$C$3:$C$2000,MATCH(I513,'Both teabags AfterWet'!$A$3:$A$2000,0)),"")</f>
        <v>1.4296</v>
      </c>
      <c r="U513" s="194">
        <f t="shared" si="87"/>
        <v>0.56610000000000005</v>
      </c>
      <c r="V513" s="194">
        <f t="shared" si="88"/>
        <v>1.2789999999999999</v>
      </c>
      <c r="W513" s="194">
        <f>IFERROR(INDEX('Ashed teabags wet'!$K$2:$K$2000,MATCH(H513,'Ashed teabags wet'!$A$2:$A$2000,0)),"")</f>
        <v>13.067061143984493</v>
      </c>
      <c r="X513" s="237">
        <f>IFERROR(INDEX('Ashed teabags wet'!$K$2:$K$2000,MATCH(I513,'Ashed teabags wet'!$A$2:$A$2000,0)),"")</f>
        <v>5.6706114398422001</v>
      </c>
      <c r="Y513" s="194">
        <f t="shared" si="93"/>
        <v>0.49212736686390379</v>
      </c>
      <c r="Z513" s="194">
        <f t="shared" si="93"/>
        <v>1.2064728796844182</v>
      </c>
      <c r="AA513" s="194">
        <f t="shared" si="89"/>
        <v>0.71290316191555436</v>
      </c>
      <c r="AB513" s="194">
        <f t="shared" si="90"/>
        <v>0.46736644344107608</v>
      </c>
      <c r="AC513" s="194">
        <f t="shared" si="82"/>
        <v>0.61849679409624825</v>
      </c>
      <c r="AD513">
        <f t="shared" si="83"/>
        <v>45</v>
      </c>
      <c r="AE513" s="194">
        <f t="shared" si="91"/>
        <v>0.15332166043283324</v>
      </c>
      <c r="AF513" s="194">
        <f t="shared" si="92"/>
        <v>3.7652396804058443E-2</v>
      </c>
      <c r="AG513" s="252" t="str">
        <f>IF(ISNUMBER(SEARCH("C",'WetLitterbags placem_collection'!$Y220)),"YES","NO")</f>
        <v>NO</v>
      </c>
      <c r="AH513" s="252" t="str">
        <f>IF(ISNUMBER(SEARCH("H", 'WetLitterbags placem_collection'!$Y220)),"YES","NO")</f>
        <v>NO</v>
      </c>
      <c r="AI513" s="252" t="str">
        <f>IF(ISNUMBER(SEARCH("R", 'WetLitterbags placem_collection'!$Y220)),"YES","NO")</f>
        <v>YES</v>
      </c>
      <c r="AJ513" s="252" t="str">
        <f>IF(ISNUMBER(SEARCH("C", 'WetLitterbags placem_collection'!$W220)),"YES","NO")</f>
        <v>NO</v>
      </c>
      <c r="AK513" s="252" t="str">
        <f>IF(ISNUMBER(SEARCH("H", 'WetLitterbags placem_collection'!$W220)),"YES","NO")</f>
        <v>NO</v>
      </c>
      <c r="AL513" s="252" t="str">
        <f>IF(ISNUMBER(SEARCH("R", 'WetLitterbags placem_collection'!$W220)),"YES","NO")</f>
        <v>YES</v>
      </c>
    </row>
    <row r="514" spans="2:38">
      <c r="B514" t="str">
        <f>'Final data_for_R_analysis_Wetse'!A660</f>
        <v>Wet</v>
      </c>
      <c r="C514" s="260">
        <f>'Final data_for_R_analysis_Wetse'!B660</f>
        <v>219</v>
      </c>
      <c r="D514" t="s">
        <v>2439</v>
      </c>
      <c r="E514" t="s">
        <v>25</v>
      </c>
      <c r="F514" s="382">
        <v>3</v>
      </c>
      <c r="G514" s="16">
        <f>'WetLitterbags placem_collection'!E221</f>
        <v>42769</v>
      </c>
      <c r="H514" s="92" t="str">
        <f>'Final data_for_R_analysis_Wetse'!K660</f>
        <v>G491</v>
      </c>
      <c r="I514" t="str">
        <f>'Final data_for_R_analysis_Wetse'!K880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84"/>
        <v>1.7751999999999999</v>
      </c>
      <c r="M514" s="194">
        <f>AVERAGE(Ashed_controlls!$K$2:$K$11)</f>
        <v>5.5147656768714146</v>
      </c>
      <c r="N514" s="194">
        <f t="shared" si="81"/>
        <v>1.6773018797041785</v>
      </c>
      <c r="O514" s="194">
        <f t="shared" si="85"/>
        <v>1.9121999999999999</v>
      </c>
      <c r="P514" s="194">
        <f>AVERAGE(Ashed_controlls!$K$12:$K$14)</f>
        <v>2.2816647271287041</v>
      </c>
      <c r="Q514" s="194">
        <f t="shared" si="86"/>
        <v>1.8685700070878448</v>
      </c>
      <c r="R514" s="16">
        <f>IF('WetLitterbags placem_collection'!G221="","",'WetLitterbags placem_collection'!G221)</f>
        <v>42813</v>
      </c>
      <c r="S514" s="194">
        <f>IFERROR(INDEX('Both teabags AfterWet'!$C$3:$C$2000,MATCH(H514,'Both teabags AfterWet'!$A$3:$A$2000,0)),"")</f>
        <v>0.65569999999999995</v>
      </c>
      <c r="T514" s="194">
        <f>IFERROR(INDEX('Both teabags AfterWet'!$C$3:$C$2000,MATCH(I514,'Both teabags AfterWet'!$A$3:$A$2000,0)),"")</f>
        <v>1.4823</v>
      </c>
      <c r="U514" s="194">
        <f t="shared" si="87"/>
        <v>0.50509999999999988</v>
      </c>
      <c r="V514" s="194">
        <f t="shared" si="88"/>
        <v>1.3316999999999999</v>
      </c>
      <c r="W514" s="194">
        <f>IFERROR(INDEX('Ashed teabags wet'!$K$2:$K$2000,MATCH(H514,'Ashed teabags wet'!$A$2:$A$2000,0)),"")</f>
        <v>11.643835616438309</v>
      </c>
      <c r="X514" s="237">
        <f>IFERROR(INDEX('Ashed teabags wet'!$K$2:$K$2000,MATCH(I514,'Ashed teabags wet'!$A$2:$A$2000,0)),"")</f>
        <v>7.426928605653603</v>
      </c>
      <c r="Y514" s="194">
        <f t="shared" si="93"/>
        <v>0.44628698630136998</v>
      </c>
      <c r="Z514" s="194">
        <f t="shared" si="93"/>
        <v>1.2327955917585109</v>
      </c>
      <c r="AA514" s="194">
        <f t="shared" si="89"/>
        <v>0.73392566257656577</v>
      </c>
      <c r="AB514" s="194">
        <f t="shared" si="90"/>
        <v>0.48114841537086028</v>
      </c>
      <c r="AC514" s="194">
        <f t="shared" si="82"/>
        <v>0.65975349442743947</v>
      </c>
      <c r="AD514">
        <f t="shared" si="83"/>
        <v>44</v>
      </c>
      <c r="AE514" s="194">
        <f t="shared" si="91"/>
        <v>0.12835431998032565</v>
      </c>
      <c r="AF514" s="194">
        <f t="shared" si="92"/>
        <v>2.7911631938232505E-2</v>
      </c>
      <c r="AG514" s="252" t="str">
        <f>IF(ISNUMBER(SEARCH("C",'WetLitterbags placem_collection'!$Y221)),"YES","NO")</f>
        <v>NO</v>
      </c>
      <c r="AH514" s="252" t="str">
        <f>IF(ISNUMBER(SEARCH("H", 'WetLitterbags placem_collection'!$Y221)),"YES","NO")</f>
        <v>NO</v>
      </c>
      <c r="AI514" s="252" t="str">
        <f>IF(ISNUMBER(SEARCH("R", 'WetLitterbags placem_collection'!$Y221)),"YES","NO")</f>
        <v>NO</v>
      </c>
      <c r="AJ514" s="252" t="str">
        <f>IF(ISNUMBER(SEARCH("C", 'WetLitterbags placem_collection'!$W221)),"YES","NO")</f>
        <v>NO</v>
      </c>
      <c r="AK514" s="252" t="str">
        <f>IF(ISNUMBER(SEARCH("H", 'WetLitterbags placem_collection'!$W221)),"YES","NO")</f>
        <v>NO</v>
      </c>
      <c r="AL514" s="252" t="str">
        <f>IF(ISNUMBER(SEARCH("R", 'WetLitterbags placem_collection'!$W221)),"YES","NO")</f>
        <v>YES</v>
      </c>
    </row>
    <row r="515" spans="2:38">
      <c r="B515" t="str">
        <f>'Final data_for_R_analysis_Wetse'!A661</f>
        <v>Wet</v>
      </c>
      <c r="C515" s="381">
        <f>'Final data_for_R_analysis_Wetse'!B661</f>
        <v>220</v>
      </c>
      <c r="D515" t="s">
        <v>2446</v>
      </c>
      <c r="E515" t="s">
        <v>25</v>
      </c>
      <c r="F515" s="382">
        <v>4</v>
      </c>
      <c r="G515" s="383">
        <f>'WetLitterbags placem_collection'!E222</f>
        <v>42769</v>
      </c>
      <c r="H515" s="92" t="str">
        <f>'Final data_for_R_analysis_Wetse'!K661</f>
        <v>G849</v>
      </c>
      <c r="I515" s="92" t="str">
        <f>'Final data_for_R_analysis_Wetse'!K881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84"/>
        <v>1.8572000000000002</v>
      </c>
      <c r="M515" s="194">
        <f>AVERAGE(Ashed_controlls!$K$2:$K$11)</f>
        <v>5.5147656768714146</v>
      </c>
      <c r="N515" s="384">
        <f t="shared" si="81"/>
        <v>1.7547797718491442</v>
      </c>
      <c r="O515" s="194">
        <f t="shared" si="85"/>
        <v>1.9211999999999998</v>
      </c>
      <c r="P515" s="194">
        <f>AVERAGE(Ashed_controlls!$K$12:$K$14)</f>
        <v>2.2816647271287041</v>
      </c>
      <c r="Q515" s="194">
        <f t="shared" si="86"/>
        <v>1.8773646572624032</v>
      </c>
      <c r="R515" s="16">
        <f>IF('WetLitterbags placem_collection'!G222="","",'WetLitterbags placem_collection'!G222)</f>
        <v>42813</v>
      </c>
      <c r="S515" s="194">
        <f>IFERROR(INDEX('Both teabags AfterWet'!$C$3:$C$2000,MATCH(H515,'Both teabags AfterWet'!$A$3:$A$2000,0)),"")</f>
        <v>0.65239999999999998</v>
      </c>
      <c r="T515" s="194">
        <f>IFERROR(INDEX('Both teabags AfterWet'!$C$3:$C$2000,MATCH(I515,'Both teabags AfterWet'!$A$3:$A$2000,0)),"")</f>
        <v>1.5328999999999999</v>
      </c>
      <c r="U515" s="194">
        <f t="shared" si="87"/>
        <v>0.50180000000000002</v>
      </c>
      <c r="V515" s="194">
        <f t="shared" si="88"/>
        <v>1.3822999999999999</v>
      </c>
      <c r="W515" s="194">
        <f>IFERROR(INDEX('Ashed teabags wet'!$K$2:$K$2000,MATCH(H515,'Ashed teabags wet'!$A$2:$A$2000,0)),"")</f>
        <v>11.566979733070331</v>
      </c>
      <c r="X515" s="237">
        <f>IFERROR(INDEX('Ashed teabags wet'!$K$2:$K$2000,MATCH(I515,'Ashed teabags wet'!$A$2:$A$2000,0)),"")</f>
        <v>5.0223769269016794</v>
      </c>
      <c r="Y515" s="194">
        <f t="shared" si="93"/>
        <v>0.44375689569945309</v>
      </c>
      <c r="Z515" s="194">
        <f t="shared" si="93"/>
        <v>1.312875683739438</v>
      </c>
      <c r="AA515" s="194">
        <f t="shared" si="89"/>
        <v>0.74711533446055578</v>
      </c>
      <c r="AB515" s="194">
        <f t="shared" si="90"/>
        <v>0.4897953261546637</v>
      </c>
      <c r="AC515" s="194">
        <f t="shared" si="82"/>
        <v>0.69931841885949309</v>
      </c>
      <c r="AD515">
        <f t="shared" si="83"/>
        <v>44</v>
      </c>
      <c r="AE515" s="194">
        <f t="shared" si="91"/>
        <v>0.11268962653140646</v>
      </c>
      <c r="AF515" s="194">
        <f t="shared" si="92"/>
        <v>2.1628157786608673E-2</v>
      </c>
      <c r="AG515" s="252" t="str">
        <f>IF(ISNUMBER(SEARCH("C",'WetLitterbags placem_collection'!$Y222)),"YES","NO")</f>
        <v>NO</v>
      </c>
      <c r="AH515" s="252" t="str">
        <f>IF(ISNUMBER(SEARCH("H", 'WetLitterbags placem_collection'!$Y222)),"YES","NO")</f>
        <v>NO</v>
      </c>
      <c r="AI515" s="252" t="str">
        <f>IF(ISNUMBER(SEARCH("R", 'WetLitterbags placem_collection'!$Y222)),"YES","NO")</f>
        <v>NO</v>
      </c>
      <c r="AJ515" s="252" t="str">
        <f>IF(ISNUMBER(SEARCH("C", 'WetLitterbags placem_collection'!$W222)),"YES","NO")</f>
        <v>NO</v>
      </c>
      <c r="AK515" s="252" t="str">
        <f>IF(ISNUMBER(SEARCH("H", 'WetLitterbags placem_collection'!$W222)),"YES","NO")</f>
        <v>YES</v>
      </c>
      <c r="AL515" s="252" t="str">
        <f>IF(ISNUMBER(SEARCH("R", 'WetLitterbags placem_collection'!$W222)),"YES","NO")</f>
        <v>NO</v>
      </c>
    </row>
  </sheetData>
  <mergeCells count="51">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AG74:AL74"/>
    <mergeCell ref="L61:M61"/>
    <mergeCell ref="L62:M62"/>
    <mergeCell ref="B68:E68"/>
    <mergeCell ref="B69:E69"/>
    <mergeCell ref="B70:E70"/>
    <mergeCell ref="F70:N70"/>
  </mergeCells>
  <dataValidations disablePrompts="1" count="7">
    <dataValidation type="list" allowBlank="1" showInputMessage="1" showErrorMessage="1" sqref="K39:K63" xr:uid="{04C5D0C6-709A-49E8-B20D-AC94C23166B8}">
      <formula1>shading</formula1>
    </dataValidation>
    <dataValidation type="list" allowBlank="1" showInputMessage="1" showErrorMessage="1" sqref="L39:L63" xr:uid="{5DF79329-208C-4196-A5F4-BF59BC9FF46C}">
      <formula1>human_impact</formula1>
    </dataValidation>
    <dataValidation type="list" allowBlank="1" showInputMessage="1" showErrorMessage="1" sqref="O39:O63" xr:uid="{D0175685-8AEB-4829-A93E-D356BE612469}">
      <formula1>ecosystem</formula1>
    </dataValidation>
    <dataValidation type="list" allowBlank="1" showInputMessage="1" showErrorMessage="1" sqref="Q39:Q63" xr:uid="{09078CAA-42CD-4008-B0C5-5ECD86F8EA19}">
      <formula1>soildepth</formula1>
    </dataValidation>
    <dataValidation type="list" allowBlank="1" showInputMessage="1" showErrorMessage="1" sqref="R39:R63" xr:uid="{1ADEE0BA-1072-4526-8C7B-793FB5C0A003}">
      <formula1>rootingdepth</formula1>
    </dataValidation>
    <dataValidation type="list" allowBlank="1" showInputMessage="1" showErrorMessage="1" sqref="S39:S63" xr:uid="{974CFC6B-6793-4F34-A518-F04030A49BFF}">
      <formula1>slope</formula1>
    </dataValidation>
    <dataValidation type="list" allowBlank="1" showInputMessage="1" showErrorMessage="1" sqref="T39:T63" xr:uid="{DCF87E29-AB75-4765-B599-6170D4062CEC}">
      <formula1>aspect</formula1>
    </dataValidation>
  </dataValidations>
  <hyperlinks>
    <hyperlink ref="F16" r:id="rId1" xr:uid="{2FB7E28B-B08B-4E1B-92F5-0030177ADF2B}"/>
    <hyperlink ref="F15" r:id="rId2" xr:uid="{F2DCFF01-AC74-450C-A436-31E9E7429496}"/>
  </hyperlinks>
  <pageMargins left="0.7" right="0.7" top="0.75" bottom="0.75" header="0.3" footer="0.3"/>
  <pageSetup paperSize="9" orientation="portrait" r:id="rId3"/>
  <legacyDrawing r:id="rId4"/>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F986E-04DE-4E2E-851F-AD2E6FDC3A5A}">
  <dimension ref="A1:AH515"/>
  <sheetViews>
    <sheetView topLeftCell="E195" zoomScale="55" zoomScaleNormal="5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15.44140625" customWidth="1"/>
    <col min="15" max="15" width="15.21875" customWidth="1"/>
  </cols>
  <sheetData>
    <row r="1" spans="2:13" s="286" customFormat="1">
      <c r="B1" s="286" t="s">
        <v>3767</v>
      </c>
      <c r="D1" s="286" t="s">
        <v>3768</v>
      </c>
      <c r="E1" s="287"/>
      <c r="K1" s="287"/>
      <c r="L1" s="288"/>
      <c r="M1" s="288"/>
    </row>
    <row r="2" spans="2:13" s="286" customFormat="1">
      <c r="B2" s="289" t="s">
        <v>3769</v>
      </c>
      <c r="E2" s="287"/>
      <c r="K2" s="287"/>
      <c r="L2" s="288"/>
      <c r="M2" s="288"/>
    </row>
    <row r="3" spans="2:13" s="291" customFormat="1" ht="30" customHeight="1">
      <c r="B3" s="290" t="s">
        <v>3770</v>
      </c>
      <c r="E3" s="292"/>
      <c r="K3" s="292"/>
      <c r="L3" s="293"/>
      <c r="M3" s="293"/>
    </row>
    <row r="4" spans="2:13" s="295" customFormat="1">
      <c r="B4" s="294" t="s">
        <v>3771</v>
      </c>
      <c r="E4" s="296"/>
      <c r="K4" s="296"/>
      <c r="L4" s="297"/>
      <c r="M4" s="297"/>
    </row>
    <row r="5" spans="2:13" s="295" customFormat="1">
      <c r="B5" s="295" t="s">
        <v>3772</v>
      </c>
      <c r="E5" s="296"/>
      <c r="K5" s="296"/>
      <c r="L5" s="297"/>
      <c r="M5" s="297"/>
    </row>
    <row r="6" spans="2:13" s="294" customFormat="1">
      <c r="B6" s="294" t="s">
        <v>3773</v>
      </c>
      <c r="E6" s="298"/>
      <c r="K6" s="298"/>
      <c r="L6" s="299"/>
      <c r="M6" s="299"/>
    </row>
    <row r="7" spans="2:13" s="286" customFormat="1">
      <c r="B7" s="300" t="s">
        <v>3774</v>
      </c>
      <c r="C7" s="301"/>
      <c r="D7" s="301"/>
      <c r="E7" s="302"/>
      <c r="G7" s="301"/>
      <c r="K7" s="287"/>
      <c r="L7" s="288"/>
      <c r="M7" s="288"/>
    </row>
    <row r="8" spans="2:13" s="286" customFormat="1">
      <c r="B8" s="301"/>
      <c r="C8" s="301"/>
      <c r="D8" s="301"/>
      <c r="E8" s="302"/>
      <c r="G8" s="301"/>
      <c r="K8" s="287"/>
      <c r="L8" s="288"/>
      <c r="M8" s="288"/>
    </row>
    <row r="9" spans="2:13" s="286" customFormat="1">
      <c r="B9" s="301"/>
      <c r="C9" s="301"/>
      <c r="D9" s="301"/>
      <c r="E9" s="302"/>
      <c r="G9" s="301"/>
      <c r="K9" s="287"/>
      <c r="L9" s="288"/>
      <c r="M9" s="288"/>
    </row>
    <row r="10" spans="2:13" s="301" customFormat="1">
      <c r="B10" s="303" t="s">
        <v>3775</v>
      </c>
      <c r="C10" s="303"/>
      <c r="E10" s="302"/>
      <c r="K10" s="302"/>
      <c r="L10" s="304"/>
      <c r="M10" s="304"/>
    </row>
    <row r="11" spans="2:13" s="301" customFormat="1" ht="15" thickBot="1">
      <c r="B11" s="303" t="s">
        <v>3776</v>
      </c>
      <c r="C11" s="303"/>
      <c r="E11" s="302"/>
      <c r="F11" s="301" t="s">
        <v>3777</v>
      </c>
      <c r="K11" s="302"/>
      <c r="L11" s="304"/>
      <c r="M11" s="304"/>
    </row>
    <row r="12" spans="2:13" s="300" customFormat="1">
      <c r="B12" s="441" t="s">
        <v>0</v>
      </c>
      <c r="C12" s="442"/>
      <c r="D12" s="442"/>
      <c r="E12" s="442"/>
      <c r="F12" s="305" t="s">
        <v>3778</v>
      </c>
      <c r="G12" s="420"/>
      <c r="H12" s="420"/>
      <c r="I12" s="420"/>
      <c r="K12" s="307"/>
      <c r="L12" s="308"/>
      <c r="M12" s="308"/>
    </row>
    <row r="13" spans="2:13" s="300" customFormat="1">
      <c r="B13" s="439" t="s">
        <v>3779</v>
      </c>
      <c r="C13" s="440"/>
      <c r="D13" s="440"/>
      <c r="E13" s="440"/>
      <c r="F13" s="309" t="s">
        <v>3780</v>
      </c>
      <c r="G13" s="420"/>
      <c r="H13" s="420"/>
      <c r="I13" s="420"/>
      <c r="K13" s="307"/>
      <c r="L13" s="308"/>
      <c r="M13" s="308"/>
    </row>
    <row r="14" spans="2:13" s="300" customFormat="1">
      <c r="B14" s="439" t="s">
        <v>1</v>
      </c>
      <c r="C14" s="440"/>
      <c r="D14" s="440"/>
      <c r="E14" s="440"/>
      <c r="F14" s="310" t="s">
        <v>3781</v>
      </c>
      <c r="G14" s="311"/>
      <c r="H14" s="312"/>
      <c r="I14" s="312"/>
      <c r="J14" s="312"/>
      <c r="K14" s="307"/>
      <c r="L14" s="308"/>
      <c r="M14" s="308"/>
    </row>
    <row r="15" spans="2:13" s="300" customFormat="1">
      <c r="B15" s="439" t="s">
        <v>2</v>
      </c>
      <c r="C15" s="440"/>
      <c r="D15" s="440"/>
      <c r="E15" s="440"/>
      <c r="F15" s="313" t="s">
        <v>3782</v>
      </c>
      <c r="G15" s="314"/>
      <c r="H15" s="315"/>
      <c r="I15" s="315"/>
      <c r="K15" s="307"/>
      <c r="L15" s="308"/>
      <c r="M15" s="308"/>
    </row>
    <row r="16" spans="2:13" s="300" customFormat="1">
      <c r="B16" s="439" t="s">
        <v>3</v>
      </c>
      <c r="C16" s="440"/>
      <c r="D16" s="440"/>
      <c r="E16" s="440"/>
      <c r="F16" s="316" t="s">
        <v>3783</v>
      </c>
      <c r="G16" s="315"/>
      <c r="H16" s="315"/>
      <c r="I16" s="315"/>
      <c r="K16" s="307"/>
      <c r="L16" s="308"/>
      <c r="M16" s="308"/>
    </row>
    <row r="17" spans="2:13" s="300" customFormat="1">
      <c r="B17" s="439" t="s">
        <v>4</v>
      </c>
      <c r="C17" s="440"/>
      <c r="D17" s="440"/>
      <c r="E17" s="440"/>
      <c r="F17" s="317" t="s">
        <v>3784</v>
      </c>
      <c r="G17" s="315"/>
      <c r="H17" s="315"/>
      <c r="I17" s="315"/>
      <c r="K17" s="307"/>
      <c r="L17" s="308"/>
      <c r="M17" s="308"/>
    </row>
    <row r="18" spans="2:13" s="300" customFormat="1">
      <c r="B18" s="439" t="s">
        <v>5</v>
      </c>
      <c r="C18" s="440"/>
      <c r="D18" s="440"/>
      <c r="E18" s="440"/>
      <c r="F18" s="317" t="s">
        <v>3785</v>
      </c>
      <c r="G18" s="315"/>
      <c r="H18" s="315"/>
      <c r="I18" s="315"/>
      <c r="K18" s="307"/>
      <c r="L18" s="308"/>
      <c r="M18" s="308"/>
    </row>
    <row r="19" spans="2:13" s="300" customFormat="1">
      <c r="B19" s="439" t="s">
        <v>6</v>
      </c>
      <c r="C19" s="440"/>
      <c r="D19" s="440"/>
      <c r="E19" s="440"/>
      <c r="F19" s="310" t="s">
        <v>3786</v>
      </c>
      <c r="G19" s="314"/>
      <c r="H19" s="318"/>
      <c r="I19" s="318"/>
      <c r="J19" s="318"/>
      <c r="K19" s="318"/>
      <c r="L19" s="318"/>
      <c r="M19" s="318"/>
    </row>
    <row r="20" spans="2:13" s="300" customFormat="1" ht="15" thickBot="1">
      <c r="B20" s="443" t="s">
        <v>7</v>
      </c>
      <c r="C20" s="444"/>
      <c r="D20" s="444"/>
      <c r="E20" s="444"/>
      <c r="F20" s="319" t="s">
        <v>3787</v>
      </c>
      <c r="G20" s="315"/>
      <c r="H20" s="315"/>
      <c r="I20" s="315"/>
      <c r="K20" s="307"/>
      <c r="L20" s="308"/>
      <c r="M20" s="308"/>
    </row>
    <row r="21" spans="2:13">
      <c r="B21" s="420" t="s">
        <v>3788</v>
      </c>
      <c r="C21" s="420"/>
      <c r="D21" s="420"/>
      <c r="E21" s="420"/>
      <c r="F21" s="315"/>
    </row>
    <row r="23" spans="2:13">
      <c r="B23" s="320" t="s">
        <v>3789</v>
      </c>
      <c r="C23" s="420"/>
      <c r="D23" s="321"/>
      <c r="E23" s="322"/>
      <c r="F23" s="300"/>
      <c r="G23" s="300"/>
      <c r="H23" s="300"/>
      <c r="I23" s="300"/>
    </row>
    <row r="24" spans="2:13" ht="15" thickBot="1">
      <c r="B24" s="320" t="s">
        <v>3790</v>
      </c>
      <c r="C24" s="420"/>
      <c r="D24" s="321"/>
      <c r="E24" s="322"/>
      <c r="F24" s="300" t="s">
        <v>3777</v>
      </c>
      <c r="G24" s="300"/>
      <c r="H24" s="300"/>
      <c r="I24" s="300"/>
    </row>
    <row r="25" spans="2:13">
      <c r="B25" s="441" t="s">
        <v>8</v>
      </c>
      <c r="C25" s="442"/>
      <c r="D25" s="442"/>
      <c r="E25" s="442"/>
      <c r="F25" s="323">
        <v>0.84199999999999997</v>
      </c>
      <c r="G25" s="300"/>
      <c r="H25" s="300"/>
      <c r="I25" s="300"/>
    </row>
    <row r="26" spans="2:13">
      <c r="B26" s="439" t="s">
        <v>9</v>
      </c>
      <c r="C26" s="440"/>
      <c r="D26" s="440"/>
      <c r="E26" s="440"/>
      <c r="F26" s="324">
        <v>0.55200000000000005</v>
      </c>
      <c r="G26" s="300"/>
      <c r="H26" s="300"/>
      <c r="I26" s="300"/>
    </row>
    <row r="27" spans="2:13">
      <c r="B27" s="439" t="s">
        <v>10</v>
      </c>
      <c r="C27" s="440"/>
      <c r="D27" s="440"/>
      <c r="E27" s="440"/>
      <c r="F27" s="325">
        <v>0.12180000000000001</v>
      </c>
      <c r="G27" s="300"/>
      <c r="H27" s="300"/>
      <c r="I27" s="300"/>
    </row>
    <row r="28" spans="2:13">
      <c r="B28" s="439" t="s">
        <v>11</v>
      </c>
      <c r="C28" s="440"/>
      <c r="D28" s="440"/>
      <c r="E28" s="440"/>
      <c r="F28" s="325">
        <v>2.8799999999999999E-2</v>
      </c>
      <c r="G28" s="300"/>
      <c r="H28" s="300"/>
      <c r="I28" s="300"/>
    </row>
    <row r="29" spans="2:13">
      <c r="B29" s="439" t="s">
        <v>12</v>
      </c>
      <c r="C29" s="440"/>
      <c r="D29" s="440"/>
      <c r="E29" s="440"/>
      <c r="F29" s="326">
        <f>F27+F28</f>
        <v>0.15060000000000001</v>
      </c>
      <c r="G29" s="300"/>
      <c r="H29" s="300"/>
      <c r="I29" s="300"/>
    </row>
    <row r="30" spans="2:13">
      <c r="B30" s="439" t="s">
        <v>13</v>
      </c>
      <c r="C30" s="440"/>
      <c r="D30" s="440"/>
      <c r="E30" s="440"/>
      <c r="F30" s="325">
        <v>9.9199999999999997E-2</v>
      </c>
      <c r="G30" s="300"/>
      <c r="H30" s="300"/>
      <c r="I30" s="300"/>
    </row>
    <row r="31" spans="2:13">
      <c r="B31" s="439" t="s">
        <v>14</v>
      </c>
      <c r="C31" s="440"/>
      <c r="D31" s="440"/>
      <c r="E31" s="440"/>
      <c r="F31" s="325">
        <v>1</v>
      </c>
      <c r="G31" s="300" t="s">
        <v>3791</v>
      </c>
      <c r="H31" s="300"/>
      <c r="I31" s="300"/>
    </row>
    <row r="32" spans="2:13" ht="15" thickBot="1">
      <c r="B32" s="443" t="s">
        <v>15</v>
      </c>
      <c r="C32" s="444"/>
      <c r="D32" s="444"/>
      <c r="E32" s="444"/>
      <c r="F32" s="327">
        <v>1</v>
      </c>
      <c r="G32" s="300"/>
      <c r="H32" s="300"/>
      <c r="I32" s="300"/>
    </row>
    <row r="33" spans="1:19">
      <c r="A33" s="300"/>
      <c r="B33" s="420"/>
      <c r="C33" s="420"/>
      <c r="D33" s="420"/>
      <c r="E33" s="420"/>
      <c r="F33" s="328"/>
      <c r="G33" s="300"/>
      <c r="H33" s="300"/>
      <c r="I33" s="300"/>
      <c r="J33" s="300"/>
      <c r="K33" s="307"/>
      <c r="L33" s="308"/>
      <c r="M33" s="308"/>
      <c r="N33" s="300"/>
      <c r="O33" s="300"/>
      <c r="P33" s="300"/>
      <c r="Q33" s="300"/>
      <c r="R33" s="300"/>
      <c r="S33" s="300"/>
    </row>
    <row r="34" spans="1:19">
      <c r="A34" s="300"/>
      <c r="B34" s="329" t="s">
        <v>3792</v>
      </c>
      <c r="C34" s="315"/>
      <c r="D34" s="300"/>
      <c r="E34" s="307"/>
      <c r="F34" s="300"/>
      <c r="G34" s="300"/>
      <c r="H34" s="300"/>
      <c r="I34" s="300"/>
      <c r="J34" s="300"/>
      <c r="K34" s="307"/>
      <c r="L34" s="308"/>
      <c r="M34" s="308"/>
      <c r="N34" s="300"/>
      <c r="O34" s="300"/>
      <c r="P34" s="300"/>
      <c r="Q34" s="300"/>
      <c r="R34" s="300"/>
      <c r="S34" s="300"/>
    </row>
    <row r="35" spans="1:19">
      <c r="A35" s="286"/>
      <c r="B35" s="286"/>
      <c r="C35" s="286"/>
      <c r="D35" s="286"/>
      <c r="E35" s="286"/>
      <c r="F35" s="287"/>
      <c r="G35" s="286"/>
      <c r="H35" s="301"/>
      <c r="I35" s="301"/>
      <c r="J35" s="286"/>
      <c r="K35" s="286"/>
      <c r="L35" s="286"/>
      <c r="M35" s="286"/>
      <c r="N35" s="286"/>
      <c r="O35" s="286"/>
      <c r="P35" s="286"/>
      <c r="Q35" s="286"/>
      <c r="R35" s="286"/>
      <c r="S35" s="286"/>
    </row>
    <row r="36" spans="1:19" ht="15" thickBot="1">
      <c r="A36" s="300"/>
      <c r="B36" s="329" t="s">
        <v>3793</v>
      </c>
      <c r="C36" s="300"/>
      <c r="D36" s="300"/>
      <c r="E36" s="307"/>
      <c r="F36" s="307"/>
      <c r="G36" s="300"/>
      <c r="H36" s="300" t="s">
        <v>3794</v>
      </c>
      <c r="I36" s="300"/>
      <c r="J36" s="300"/>
      <c r="K36" s="300"/>
      <c r="L36" s="300"/>
      <c r="M36" s="300"/>
      <c r="N36" s="300"/>
      <c r="O36" s="300"/>
      <c r="P36" s="300"/>
      <c r="Q36" s="300"/>
      <c r="R36" s="300"/>
      <c r="S36" s="300"/>
    </row>
    <row r="37" spans="1:19" ht="15" customHeight="1" thickBot="1">
      <c r="A37" s="315"/>
      <c r="B37" s="451" t="s">
        <v>3795</v>
      </c>
      <c r="C37" s="452"/>
      <c r="D37" s="452"/>
      <c r="E37" s="453" t="s">
        <v>17</v>
      </c>
      <c r="F37" s="454"/>
      <c r="G37" s="330" t="s">
        <v>3796</v>
      </c>
      <c r="H37" s="331"/>
      <c r="I37" s="331"/>
      <c r="J37" s="332"/>
      <c r="K37" s="446" t="s">
        <v>3797</v>
      </c>
      <c r="L37" s="447"/>
      <c r="M37" s="447"/>
      <c r="N37" s="447"/>
      <c r="O37" s="448"/>
    </row>
    <row r="38" spans="1:19" ht="15" thickBot="1">
      <c r="A38" s="315"/>
      <c r="B38" s="449" t="s">
        <v>16</v>
      </c>
      <c r="C38" s="450"/>
      <c r="D38" s="450"/>
      <c r="E38" s="333" t="s">
        <v>18</v>
      </c>
      <c r="F38" s="334" t="s">
        <v>212</v>
      </c>
      <c r="G38" s="335" t="s">
        <v>2661</v>
      </c>
      <c r="H38" s="336" t="s">
        <v>2662</v>
      </c>
      <c r="I38" s="336" t="s">
        <v>2663</v>
      </c>
      <c r="J38" s="336" t="s">
        <v>2664</v>
      </c>
      <c r="K38" s="330" t="s">
        <v>204</v>
      </c>
      <c r="L38" s="332" t="s">
        <v>203</v>
      </c>
      <c r="M38" s="332"/>
      <c r="N38" s="419" t="s">
        <v>216</v>
      </c>
      <c r="O38" s="332" t="s">
        <v>207</v>
      </c>
      <c r="P38" s="332" t="s">
        <v>217</v>
      </c>
      <c r="Q38" s="323" t="s">
        <v>218</v>
      </c>
    </row>
    <row r="39" spans="1:19">
      <c r="A39" s="315"/>
      <c r="B39" s="337" t="s">
        <v>3798</v>
      </c>
      <c r="C39" s="338"/>
      <c r="D39" s="339" t="s">
        <v>3799</v>
      </c>
      <c r="E39" s="340">
        <v>-3.3978609999999998</v>
      </c>
      <c r="F39" s="341">
        <v>34.837608000000003</v>
      </c>
      <c r="G39" s="342">
        <v>12.565665055683967</v>
      </c>
      <c r="H39" s="343">
        <v>0.9665896196679955</v>
      </c>
      <c r="I39" s="343">
        <v>86.467745324648035</v>
      </c>
      <c r="J39" s="344">
        <v>1.0225726959093147</v>
      </c>
      <c r="K39" s="340" t="s">
        <v>229</v>
      </c>
      <c r="L39" s="345" t="s">
        <v>257</v>
      </c>
      <c r="M39" s="345"/>
      <c r="N39" s="345" t="s">
        <v>3800</v>
      </c>
      <c r="O39" s="345" t="s">
        <v>247</v>
      </c>
      <c r="P39" s="345" t="s">
        <v>234</v>
      </c>
      <c r="Q39" s="305" t="s">
        <v>3801</v>
      </c>
    </row>
    <row r="40" spans="1:19">
      <c r="A40" s="315"/>
      <c r="B40" s="346" t="s">
        <v>3802</v>
      </c>
      <c r="C40" s="347"/>
      <c r="D40" s="348" t="s">
        <v>3799</v>
      </c>
      <c r="E40" s="418">
        <v>-3.3978290019999999</v>
      </c>
      <c r="F40" s="350">
        <v>34.837011969999999</v>
      </c>
      <c r="G40" s="351">
        <v>21.13063730679653</v>
      </c>
      <c r="H40" s="352">
        <v>3.0912555579081076</v>
      </c>
      <c r="I40" s="352">
        <v>75.778107135295357</v>
      </c>
      <c r="J40" s="353">
        <v>0.46131099063578063</v>
      </c>
      <c r="K40" s="418" t="s">
        <v>229</v>
      </c>
      <c r="L40" s="445" t="s">
        <v>257</v>
      </c>
      <c r="M40" s="445"/>
      <c r="N40" s="416" t="s">
        <v>3800</v>
      </c>
      <c r="O40" s="416" t="s">
        <v>247</v>
      </c>
      <c r="P40" s="416" t="s">
        <v>234</v>
      </c>
      <c r="Q40" s="309" t="s">
        <v>3801</v>
      </c>
    </row>
    <row r="41" spans="1:19">
      <c r="A41" s="315"/>
      <c r="B41" s="346" t="s">
        <v>3803</v>
      </c>
      <c r="C41" s="347"/>
      <c r="D41" s="348" t="s">
        <v>3799</v>
      </c>
      <c r="E41" s="418">
        <v>-3.3854090330000002</v>
      </c>
      <c r="F41" s="350">
        <v>34.818901029999999</v>
      </c>
      <c r="G41" s="351">
        <v>54.080969906906262</v>
      </c>
      <c r="H41" s="352">
        <v>21.264484651351896</v>
      </c>
      <c r="I41" s="352">
        <v>24.654545441741845</v>
      </c>
      <c r="J41" s="353">
        <v>1.8433218334154755</v>
      </c>
      <c r="K41" s="418" t="s">
        <v>229</v>
      </c>
      <c r="L41" s="445" t="s">
        <v>257</v>
      </c>
      <c r="M41" s="445"/>
      <c r="N41" s="416" t="s">
        <v>3800</v>
      </c>
      <c r="O41" s="416" t="s">
        <v>247</v>
      </c>
      <c r="P41" s="416" t="s">
        <v>234</v>
      </c>
      <c r="Q41" s="309" t="s">
        <v>3801</v>
      </c>
    </row>
    <row r="42" spans="1:19">
      <c r="A42" s="315"/>
      <c r="B42" s="346" t="s">
        <v>3804</v>
      </c>
      <c r="C42" s="347"/>
      <c r="D42" s="348" t="s">
        <v>3799</v>
      </c>
      <c r="E42" s="418">
        <v>-3.3849129919999998</v>
      </c>
      <c r="F42" s="350">
        <v>34.818899020000003</v>
      </c>
      <c r="G42" s="351">
        <v>51.960000000000008</v>
      </c>
      <c r="H42" s="352">
        <v>18.919999999999995</v>
      </c>
      <c r="I42" s="352">
        <v>29.120000000000005</v>
      </c>
      <c r="J42" s="353">
        <v>1.85293247905372</v>
      </c>
      <c r="K42" s="418" t="s">
        <v>229</v>
      </c>
      <c r="L42" s="445" t="s">
        <v>257</v>
      </c>
      <c r="M42" s="445"/>
      <c r="N42" s="416" t="s">
        <v>3800</v>
      </c>
      <c r="O42" s="416" t="s">
        <v>247</v>
      </c>
      <c r="P42" s="416" t="s">
        <v>234</v>
      </c>
      <c r="Q42" s="309" t="s">
        <v>3801</v>
      </c>
    </row>
    <row r="43" spans="1:19">
      <c r="A43" s="315"/>
      <c r="B43" s="346" t="s">
        <v>3805</v>
      </c>
      <c r="C43" s="347"/>
      <c r="D43" s="348" t="s">
        <v>3806</v>
      </c>
      <c r="E43" s="418">
        <v>-3.4092039989999998</v>
      </c>
      <c r="F43" s="350">
        <v>34.852751009999999</v>
      </c>
      <c r="G43" s="351">
        <v>23.96</v>
      </c>
      <c r="H43" s="352">
        <v>0.91999999999999804</v>
      </c>
      <c r="I43" s="352">
        <v>75.12</v>
      </c>
      <c r="J43" s="353">
        <v>1.2493839329719072</v>
      </c>
      <c r="K43" s="418" t="s">
        <v>229</v>
      </c>
      <c r="L43" s="445" t="s">
        <v>244</v>
      </c>
      <c r="M43" s="445"/>
      <c r="N43" s="416" t="s">
        <v>3800</v>
      </c>
      <c r="O43" s="416" t="s">
        <v>247</v>
      </c>
      <c r="P43" s="416" t="s">
        <v>234</v>
      </c>
      <c r="Q43" s="309" t="s">
        <v>3801</v>
      </c>
    </row>
    <row r="44" spans="1:19">
      <c r="A44" s="315"/>
      <c r="B44" s="346" t="s">
        <v>3807</v>
      </c>
      <c r="C44" s="347"/>
      <c r="D44" s="348" t="s">
        <v>3806</v>
      </c>
      <c r="E44" s="418">
        <v>-3.4083420040000001</v>
      </c>
      <c r="F44" s="350">
        <v>34.850283040000001</v>
      </c>
      <c r="G44" s="351">
        <v>19.96</v>
      </c>
      <c r="H44" s="352">
        <v>4.9199999999999982</v>
      </c>
      <c r="I44" s="352">
        <v>75.12</v>
      </c>
      <c r="J44" s="353">
        <v>1.641498275012321</v>
      </c>
      <c r="K44" s="418" t="s">
        <v>229</v>
      </c>
      <c r="L44" s="445" t="s">
        <v>244</v>
      </c>
      <c r="M44" s="445"/>
      <c r="N44" s="416" t="s">
        <v>3800</v>
      </c>
      <c r="O44" s="416" t="s">
        <v>247</v>
      </c>
      <c r="P44" s="416" t="s">
        <v>234</v>
      </c>
      <c r="Q44" s="309" t="s">
        <v>3801</v>
      </c>
    </row>
    <row r="45" spans="1:19">
      <c r="A45" s="315"/>
      <c r="B45" s="346" t="s">
        <v>3808</v>
      </c>
      <c r="C45" s="347"/>
      <c r="D45" s="348" t="s">
        <v>3806</v>
      </c>
      <c r="E45" s="418">
        <v>-3.406225992</v>
      </c>
      <c r="F45" s="350">
        <v>34.85055998</v>
      </c>
      <c r="G45" s="351">
        <v>21.96</v>
      </c>
      <c r="H45" s="352">
        <v>8.9199999999999982</v>
      </c>
      <c r="I45" s="352">
        <v>69.12</v>
      </c>
      <c r="J45" s="353">
        <v>1.7491375061606702</v>
      </c>
      <c r="K45" s="418" t="s">
        <v>229</v>
      </c>
      <c r="L45" s="445" t="s">
        <v>244</v>
      </c>
      <c r="M45" s="445"/>
      <c r="N45" s="416" t="s">
        <v>3800</v>
      </c>
      <c r="O45" s="416" t="s">
        <v>247</v>
      </c>
      <c r="P45" s="416" t="s">
        <v>234</v>
      </c>
      <c r="Q45" s="309" t="s">
        <v>3801</v>
      </c>
    </row>
    <row r="46" spans="1:19">
      <c r="A46" s="315"/>
      <c r="B46" s="346" t="s">
        <v>3809</v>
      </c>
      <c r="C46" s="347"/>
      <c r="D46" s="348" t="s">
        <v>3806</v>
      </c>
      <c r="E46" s="418">
        <v>-3.4064239729999999</v>
      </c>
      <c r="F46" s="350">
        <v>34.851213010000002</v>
      </c>
      <c r="G46" s="351">
        <v>25.96</v>
      </c>
      <c r="H46" s="352">
        <v>6.9200000000000008</v>
      </c>
      <c r="I46" s="352">
        <v>67.12</v>
      </c>
      <c r="J46" s="353">
        <v>1.7568260226712666</v>
      </c>
      <c r="K46" s="418" t="s">
        <v>229</v>
      </c>
      <c r="L46" s="445" t="s">
        <v>244</v>
      </c>
      <c r="M46" s="445"/>
      <c r="N46" s="416" t="s">
        <v>3800</v>
      </c>
      <c r="O46" s="416" t="s">
        <v>247</v>
      </c>
      <c r="P46" s="416" t="s">
        <v>234</v>
      </c>
      <c r="Q46" s="309" t="s">
        <v>3801</v>
      </c>
    </row>
    <row r="47" spans="1:19">
      <c r="A47" s="315"/>
      <c r="B47" s="346" t="s">
        <v>3810</v>
      </c>
      <c r="C47" s="347"/>
      <c r="D47" s="348" t="s">
        <v>3811</v>
      </c>
      <c r="E47" s="418">
        <v>-3.2993960379999998</v>
      </c>
      <c r="F47" s="350">
        <v>34.848240959999998</v>
      </c>
      <c r="G47" s="351">
        <v>47.96</v>
      </c>
      <c r="H47" s="352">
        <v>22.919999999999995</v>
      </c>
      <c r="I47" s="352">
        <v>29.120000000000012</v>
      </c>
      <c r="J47" s="353">
        <v>2.8831936914736325</v>
      </c>
      <c r="K47" s="418" t="s">
        <v>229</v>
      </c>
      <c r="L47" s="445" t="s">
        <v>230</v>
      </c>
      <c r="M47" s="445"/>
      <c r="N47" s="416" t="s">
        <v>3800</v>
      </c>
      <c r="O47" s="416" t="s">
        <v>247</v>
      </c>
      <c r="P47" s="416" t="s">
        <v>234</v>
      </c>
      <c r="Q47" s="309" t="s">
        <v>3801</v>
      </c>
    </row>
    <row r="48" spans="1:19">
      <c r="A48" s="315"/>
      <c r="B48" s="346" t="s">
        <v>3812</v>
      </c>
      <c r="C48" s="347"/>
      <c r="D48" s="348" t="s">
        <v>3811</v>
      </c>
      <c r="E48" s="418">
        <v>-3.3025860229999999</v>
      </c>
      <c r="F48" s="350">
        <v>34.848048009999999</v>
      </c>
      <c r="G48" s="351">
        <v>45.272914521112256</v>
      </c>
      <c r="H48" s="352">
        <v>23.604531410916575</v>
      </c>
      <c r="I48" s="352">
        <v>31.122554067971166</v>
      </c>
      <c r="J48" s="353">
        <v>2.0547560374568752</v>
      </c>
      <c r="K48" s="418" t="s">
        <v>229</v>
      </c>
      <c r="L48" s="445" t="s">
        <v>230</v>
      </c>
      <c r="M48" s="445"/>
      <c r="N48" s="416" t="s">
        <v>3800</v>
      </c>
      <c r="O48" s="416" t="s">
        <v>247</v>
      </c>
      <c r="P48" s="416" t="s">
        <v>234</v>
      </c>
      <c r="Q48" s="309" t="s">
        <v>3801</v>
      </c>
    </row>
    <row r="49" spans="1:17">
      <c r="A49" s="315"/>
      <c r="B49" s="346" t="s">
        <v>3813</v>
      </c>
      <c r="C49" s="347"/>
      <c r="D49" s="348" t="s">
        <v>3811</v>
      </c>
      <c r="E49" s="418">
        <v>-3.2957159630000001</v>
      </c>
      <c r="F49" s="350">
        <v>34.852460999999998</v>
      </c>
      <c r="G49" s="351">
        <v>38.691629007962128</v>
      </c>
      <c r="H49" s="352">
        <v>26.81299763288143</v>
      </c>
      <c r="I49" s="352">
        <v>34.495373359156439</v>
      </c>
      <c r="J49" s="353">
        <v>2.5483587974371611</v>
      </c>
      <c r="K49" s="418" t="s">
        <v>229</v>
      </c>
      <c r="L49" s="445" t="s">
        <v>230</v>
      </c>
      <c r="M49" s="445"/>
      <c r="N49" s="416" t="s">
        <v>3800</v>
      </c>
      <c r="O49" s="416" t="s">
        <v>247</v>
      </c>
      <c r="P49" s="416" t="s">
        <v>234</v>
      </c>
      <c r="Q49" s="309" t="s">
        <v>3801</v>
      </c>
    </row>
    <row r="50" spans="1:17">
      <c r="A50" s="315"/>
      <c r="B50" s="346" t="s">
        <v>3814</v>
      </c>
      <c r="C50" s="347"/>
      <c r="D50" s="348" t="s">
        <v>3811</v>
      </c>
      <c r="E50" s="418">
        <v>-3.2966709980000002</v>
      </c>
      <c r="F50" s="350">
        <v>34.854407019999996</v>
      </c>
      <c r="G50" s="351">
        <v>28.145762029394</v>
      </c>
      <c r="H50" s="352">
        <v>25.085564727199518</v>
      </c>
      <c r="I50" s="352">
        <v>46.768673243406489</v>
      </c>
      <c r="J50" s="353">
        <v>2.1716214884179394</v>
      </c>
      <c r="K50" s="418" t="s">
        <v>229</v>
      </c>
      <c r="L50" s="445" t="s">
        <v>230</v>
      </c>
      <c r="M50" s="445"/>
      <c r="N50" s="416" t="s">
        <v>3800</v>
      </c>
      <c r="O50" s="416" t="s">
        <v>247</v>
      </c>
      <c r="P50" s="416" t="s">
        <v>234</v>
      </c>
      <c r="Q50" s="309" t="s">
        <v>3801</v>
      </c>
    </row>
    <row r="51" spans="1:17">
      <c r="A51" s="300"/>
      <c r="B51" s="346" t="s">
        <v>3815</v>
      </c>
      <c r="C51" s="347"/>
      <c r="D51" s="348" t="s">
        <v>3816</v>
      </c>
      <c r="E51" s="418">
        <v>-2.3691620310000001</v>
      </c>
      <c r="F51" s="350">
        <v>34.06028104</v>
      </c>
      <c r="G51" s="351">
        <v>45.96</v>
      </c>
      <c r="H51" s="352">
        <v>14.920000000000003</v>
      </c>
      <c r="I51" s="352">
        <v>39.119999999999997</v>
      </c>
      <c r="J51" s="353">
        <v>2.0374568753080333</v>
      </c>
      <c r="K51" s="418" t="s">
        <v>229</v>
      </c>
      <c r="L51" s="445" t="s">
        <v>257</v>
      </c>
      <c r="M51" s="445"/>
      <c r="N51" s="416" t="s">
        <v>3800</v>
      </c>
      <c r="O51" s="416" t="s">
        <v>247</v>
      </c>
      <c r="P51" s="416" t="s">
        <v>234</v>
      </c>
      <c r="Q51" s="309" t="s">
        <v>3801</v>
      </c>
    </row>
    <row r="52" spans="1:17">
      <c r="A52" s="300"/>
      <c r="B52" s="346" t="s">
        <v>3817</v>
      </c>
      <c r="C52" s="347"/>
      <c r="D52" s="348" t="s">
        <v>3816</v>
      </c>
      <c r="E52" s="418">
        <v>-2.3698080240000001</v>
      </c>
      <c r="F52" s="350">
        <v>34.059671010000002</v>
      </c>
      <c r="G52" s="351">
        <v>34.344660194174757</v>
      </c>
      <c r="H52" s="352">
        <v>19.22727272727273</v>
      </c>
      <c r="I52" s="352">
        <v>46.428067078552509</v>
      </c>
      <c r="J52" s="353">
        <v>1.7452932479053718</v>
      </c>
      <c r="K52" s="418" t="s">
        <v>229</v>
      </c>
      <c r="L52" s="445" t="s">
        <v>257</v>
      </c>
      <c r="M52" s="445"/>
      <c r="N52" s="416" t="s">
        <v>3800</v>
      </c>
      <c r="O52" s="416" t="s">
        <v>247</v>
      </c>
      <c r="P52" s="416" t="s">
        <v>234</v>
      </c>
      <c r="Q52" s="309" t="s">
        <v>3801</v>
      </c>
    </row>
    <row r="53" spans="1:17">
      <c r="A53" s="300"/>
      <c r="B53" s="346" t="s">
        <v>3818</v>
      </c>
      <c r="C53" s="347"/>
      <c r="D53" s="348" t="s">
        <v>3816</v>
      </c>
      <c r="E53" s="418">
        <v>-2.3487199940000001</v>
      </c>
      <c r="F53" s="350">
        <v>34.051391029999998</v>
      </c>
      <c r="G53" s="351">
        <v>27.96</v>
      </c>
      <c r="H53" s="352">
        <v>4.9200000000000017</v>
      </c>
      <c r="I53" s="352">
        <v>67.12</v>
      </c>
      <c r="J53" s="353">
        <v>0.88610152784622953</v>
      </c>
      <c r="K53" s="418" t="s">
        <v>229</v>
      </c>
      <c r="L53" s="445" t="s">
        <v>257</v>
      </c>
      <c r="M53" s="445"/>
      <c r="N53" s="416" t="s">
        <v>3800</v>
      </c>
      <c r="O53" s="416" t="s">
        <v>247</v>
      </c>
      <c r="P53" s="416" t="s">
        <v>234</v>
      </c>
      <c r="Q53" s="309" t="s">
        <v>3801</v>
      </c>
    </row>
    <row r="54" spans="1:17">
      <c r="A54" s="300"/>
      <c r="B54" s="346" t="s">
        <v>3819</v>
      </c>
      <c r="C54" s="347"/>
      <c r="D54" s="348" t="s">
        <v>3816</v>
      </c>
      <c r="E54" s="418">
        <v>-2.3492639789999998</v>
      </c>
      <c r="F54" s="350">
        <v>34.051464029999998</v>
      </c>
      <c r="G54" s="351">
        <v>17.96</v>
      </c>
      <c r="H54" s="352">
        <v>4.9199999999999982</v>
      </c>
      <c r="I54" s="352">
        <v>77.12</v>
      </c>
      <c r="J54" s="353">
        <v>2.0220798422868409</v>
      </c>
      <c r="K54" s="418" t="s">
        <v>229</v>
      </c>
      <c r="L54" s="445" t="s">
        <v>257</v>
      </c>
      <c r="M54" s="445"/>
      <c r="N54" s="416" t="s">
        <v>3800</v>
      </c>
      <c r="O54" s="416" t="s">
        <v>247</v>
      </c>
      <c r="P54" s="416" t="s">
        <v>234</v>
      </c>
      <c r="Q54" s="309" t="s">
        <v>3801</v>
      </c>
    </row>
    <row r="55" spans="1:17">
      <c r="B55" s="346" t="s">
        <v>3820</v>
      </c>
      <c r="C55" s="347"/>
      <c r="D55" s="348" t="s">
        <v>3821</v>
      </c>
      <c r="E55" s="418">
        <v>-2.3503360249999998</v>
      </c>
      <c r="F55" s="350">
        <v>34.049662009999999</v>
      </c>
      <c r="G55" s="351">
        <v>31.214836424255054</v>
      </c>
      <c r="H55" s="352">
        <v>11.377370285476141</v>
      </c>
      <c r="I55" s="352">
        <v>57.407793290268799</v>
      </c>
      <c r="J55" s="353">
        <v>1.7337604731394776</v>
      </c>
      <c r="K55" s="418" t="s">
        <v>229</v>
      </c>
      <c r="L55" s="445" t="s">
        <v>244</v>
      </c>
      <c r="M55" s="445"/>
      <c r="N55" s="416" t="s">
        <v>3800</v>
      </c>
      <c r="O55" s="416" t="s">
        <v>247</v>
      </c>
      <c r="P55" s="416" t="s">
        <v>234</v>
      </c>
      <c r="Q55" s="309" t="s">
        <v>3801</v>
      </c>
    </row>
    <row r="56" spans="1:17">
      <c r="B56" s="346" t="s">
        <v>3822</v>
      </c>
      <c r="C56" s="347"/>
      <c r="D56" s="348" t="s">
        <v>3821</v>
      </c>
      <c r="E56" s="418">
        <v>-2.348596025</v>
      </c>
      <c r="F56" s="350">
        <v>34.050070959999999</v>
      </c>
      <c r="G56" s="351">
        <v>33.96</v>
      </c>
      <c r="H56" s="352">
        <v>8.9200000000000017</v>
      </c>
      <c r="I56" s="352">
        <v>57.12</v>
      </c>
      <c r="J56" s="353">
        <v>2.072055199605717</v>
      </c>
      <c r="K56" s="418" t="s">
        <v>229</v>
      </c>
      <c r="L56" s="445" t="s">
        <v>244</v>
      </c>
      <c r="M56" s="445"/>
      <c r="N56" s="416" t="s">
        <v>3800</v>
      </c>
      <c r="O56" s="416" t="s">
        <v>247</v>
      </c>
      <c r="P56" s="416" t="s">
        <v>234</v>
      </c>
      <c r="Q56" s="309" t="s">
        <v>3801</v>
      </c>
    </row>
    <row r="57" spans="1:17">
      <c r="B57" s="346" t="s">
        <v>3823</v>
      </c>
      <c r="C57" s="347"/>
      <c r="D57" s="348" t="s">
        <v>3821</v>
      </c>
      <c r="E57" s="418">
        <v>-2.3675269729999999</v>
      </c>
      <c r="F57" s="350">
        <v>34.06035799</v>
      </c>
      <c r="G57" s="351">
        <v>39.96</v>
      </c>
      <c r="H57" s="352">
        <v>12.920000000000002</v>
      </c>
      <c r="I57" s="352">
        <v>47.12</v>
      </c>
      <c r="J57" s="353">
        <v>1.6549531789058647</v>
      </c>
      <c r="K57" s="418" t="s">
        <v>229</v>
      </c>
      <c r="L57" s="445" t="s">
        <v>244</v>
      </c>
      <c r="M57" s="445"/>
      <c r="N57" s="416" t="s">
        <v>3800</v>
      </c>
      <c r="O57" s="416" t="s">
        <v>247</v>
      </c>
      <c r="P57" s="416" t="s">
        <v>234</v>
      </c>
      <c r="Q57" s="309" t="s">
        <v>3801</v>
      </c>
    </row>
    <row r="58" spans="1:17">
      <c r="B58" s="346" t="s">
        <v>3824</v>
      </c>
      <c r="C58" s="347"/>
      <c r="D58" s="348" t="s">
        <v>3821</v>
      </c>
      <c r="E58" s="418">
        <v>-2.3676780150000001</v>
      </c>
      <c r="F58" s="350">
        <v>34.05937797</v>
      </c>
      <c r="G58" s="351">
        <v>27.96</v>
      </c>
      <c r="H58" s="352">
        <v>4.9200000000000017</v>
      </c>
      <c r="I58" s="352">
        <v>67.12</v>
      </c>
      <c r="J58" s="353">
        <v>1.0437161163134547</v>
      </c>
      <c r="K58" s="418" t="s">
        <v>229</v>
      </c>
      <c r="L58" s="445" t="s">
        <v>244</v>
      </c>
      <c r="M58" s="445"/>
      <c r="N58" s="416" t="s">
        <v>3800</v>
      </c>
      <c r="O58" s="416" t="s">
        <v>247</v>
      </c>
      <c r="P58" s="416" t="s">
        <v>234</v>
      </c>
      <c r="Q58" s="309" t="s">
        <v>3801</v>
      </c>
    </row>
    <row r="59" spans="1:17">
      <c r="B59" s="346" t="s">
        <v>3825</v>
      </c>
      <c r="C59" s="347"/>
      <c r="D59" s="348" t="s">
        <v>3826</v>
      </c>
      <c r="E59" s="418">
        <v>-2.272751033</v>
      </c>
      <c r="F59" s="350">
        <v>34.023176030000002</v>
      </c>
      <c r="G59" s="351">
        <v>21.96</v>
      </c>
      <c r="H59" s="352">
        <v>4.9199999999999982</v>
      </c>
      <c r="I59" s="352">
        <v>73.12</v>
      </c>
      <c r="J59" s="353">
        <v>1.2416954164613114</v>
      </c>
      <c r="K59" s="418" t="s">
        <v>229</v>
      </c>
      <c r="L59" s="445" t="s">
        <v>230</v>
      </c>
      <c r="M59" s="445"/>
      <c r="N59" s="416" t="s">
        <v>3800</v>
      </c>
      <c r="O59" s="416" t="s">
        <v>247</v>
      </c>
      <c r="P59" s="416" t="s">
        <v>234</v>
      </c>
      <c r="Q59" s="309" t="s">
        <v>3801</v>
      </c>
    </row>
    <row r="60" spans="1:17">
      <c r="B60" s="346" t="s">
        <v>3827</v>
      </c>
      <c r="C60" s="347"/>
      <c r="D60" s="348" t="s">
        <v>3826</v>
      </c>
      <c r="E60" s="418">
        <v>-2.2784290180000002</v>
      </c>
      <c r="F60" s="350">
        <v>34.024240030000001</v>
      </c>
      <c r="G60" s="351">
        <v>23.96</v>
      </c>
      <c r="H60" s="352">
        <v>4.9199999999999982</v>
      </c>
      <c r="I60" s="352">
        <v>71.12</v>
      </c>
      <c r="J60" s="353">
        <v>3.30913750616067</v>
      </c>
      <c r="K60" s="418" t="s">
        <v>229</v>
      </c>
      <c r="L60" s="445" t="s">
        <v>230</v>
      </c>
      <c r="M60" s="445"/>
      <c r="N60" s="416" t="s">
        <v>3800</v>
      </c>
      <c r="O60" s="416" t="s">
        <v>247</v>
      </c>
      <c r="P60" s="416" t="s">
        <v>234</v>
      </c>
      <c r="Q60" s="309" t="s">
        <v>3801</v>
      </c>
    </row>
    <row r="61" spans="1:17">
      <c r="B61" s="346" t="s">
        <v>3828</v>
      </c>
      <c r="C61" s="347"/>
      <c r="D61" s="348" t="s">
        <v>3826</v>
      </c>
      <c r="E61" s="418">
        <v>-2.277740026</v>
      </c>
      <c r="F61" s="350">
        <v>34.027640990000002</v>
      </c>
      <c r="G61" s="351">
        <v>25.96</v>
      </c>
      <c r="H61" s="352">
        <v>8.9200000000000017</v>
      </c>
      <c r="I61" s="352">
        <v>65.12</v>
      </c>
      <c r="J61" s="353">
        <v>1.614588467225234</v>
      </c>
      <c r="K61" s="418" t="s">
        <v>229</v>
      </c>
      <c r="L61" s="445" t="s">
        <v>230</v>
      </c>
      <c r="M61" s="445"/>
      <c r="N61" s="416" t="s">
        <v>3800</v>
      </c>
      <c r="O61" s="416" t="s">
        <v>247</v>
      </c>
      <c r="P61" s="416" t="s">
        <v>234</v>
      </c>
      <c r="Q61" s="309" t="s">
        <v>3801</v>
      </c>
    </row>
    <row r="62" spans="1:17">
      <c r="B62" s="346" t="s">
        <v>3829</v>
      </c>
      <c r="C62" s="347"/>
      <c r="D62" s="348" t="s">
        <v>3826</v>
      </c>
      <c r="E62" s="418">
        <v>-2.2787330300000002</v>
      </c>
      <c r="F62" s="350">
        <v>34.032136029999997</v>
      </c>
      <c r="G62" s="351">
        <v>25.96</v>
      </c>
      <c r="H62" s="352">
        <v>8.9200000000000017</v>
      </c>
      <c r="I62" s="352">
        <v>65.12</v>
      </c>
      <c r="J62" s="353">
        <v>1.6991621488417901</v>
      </c>
      <c r="K62" s="418" t="s">
        <v>229</v>
      </c>
      <c r="L62" s="445" t="s">
        <v>230</v>
      </c>
      <c r="M62" s="445"/>
      <c r="N62" s="416" t="s">
        <v>3800</v>
      </c>
      <c r="O62" s="416" t="s">
        <v>247</v>
      </c>
      <c r="P62" s="416" t="s">
        <v>234</v>
      </c>
      <c r="Q62" s="309" t="s">
        <v>3801</v>
      </c>
    </row>
    <row r="63" spans="1:17" ht="15" thickBot="1">
      <c r="B63" s="355" t="s">
        <v>2512</v>
      </c>
      <c r="C63" s="356"/>
      <c r="D63" s="357" t="s">
        <v>3830</v>
      </c>
      <c r="E63" s="358">
        <v>-2.439403972</v>
      </c>
      <c r="F63" s="359">
        <v>34.838404959999998</v>
      </c>
      <c r="G63" s="360">
        <v>22.017293559158162</v>
      </c>
      <c r="H63" s="361">
        <v>6.5855206693798616</v>
      </c>
      <c r="I63" s="361">
        <v>71.397185771461977</v>
      </c>
      <c r="J63" s="362">
        <v>1.1393420404139967</v>
      </c>
      <c r="K63" s="358" t="s">
        <v>229</v>
      </c>
      <c r="L63" s="363" t="s">
        <v>230</v>
      </c>
      <c r="M63" s="363"/>
      <c r="N63" s="363" t="s">
        <v>3800</v>
      </c>
      <c r="O63" s="363" t="s">
        <v>247</v>
      </c>
      <c r="P63" s="363" t="s">
        <v>234</v>
      </c>
      <c r="Q63" s="364" t="s">
        <v>3801</v>
      </c>
    </row>
    <row r="64" spans="1:17">
      <c r="B64" s="329" t="s">
        <v>3831</v>
      </c>
    </row>
    <row r="67" spans="2:34" ht="15" thickBot="1">
      <c r="B67" s="329" t="s">
        <v>3832</v>
      </c>
      <c r="C67" s="315"/>
      <c r="D67" s="315"/>
      <c r="E67" s="315"/>
      <c r="F67" s="365"/>
      <c r="G67" s="365"/>
      <c r="H67" s="365"/>
      <c r="I67" s="365"/>
      <c r="J67" s="315"/>
      <c r="K67" s="366"/>
      <c r="L67" s="367"/>
    </row>
    <row r="68" spans="2:34" ht="15" thickBot="1">
      <c r="B68" s="458" t="s">
        <v>21</v>
      </c>
      <c r="C68" s="459"/>
      <c r="D68" s="459"/>
      <c r="E68" s="459"/>
      <c r="F68" s="368" t="s">
        <v>3833</v>
      </c>
      <c r="G68" s="417"/>
      <c r="H68" s="417"/>
      <c r="I68" s="417"/>
      <c r="J68" s="417"/>
      <c r="K68" s="417"/>
      <c r="L68" s="370"/>
    </row>
    <row r="69" spans="2:34">
      <c r="B69" s="460" t="s">
        <v>22</v>
      </c>
      <c r="C69" s="461"/>
      <c r="D69" s="461"/>
      <c r="E69" s="461"/>
      <c r="F69" s="371" t="s">
        <v>3834</v>
      </c>
      <c r="G69" s="372"/>
      <c r="H69" s="372"/>
      <c r="I69" s="372"/>
      <c r="J69" s="372"/>
      <c r="K69" s="372"/>
      <c r="L69" s="373"/>
    </row>
    <row r="70" spans="2:34" ht="15" thickBot="1">
      <c r="B70" s="462" t="s">
        <v>25</v>
      </c>
      <c r="C70" s="463"/>
      <c r="D70" s="463"/>
      <c r="E70" s="463"/>
      <c r="F70" s="464" t="s">
        <v>3835</v>
      </c>
      <c r="G70" s="445"/>
      <c r="H70" s="445"/>
      <c r="I70" s="445"/>
      <c r="J70" s="445"/>
      <c r="K70" s="445"/>
      <c r="L70" s="445"/>
      <c r="M70" s="445"/>
    </row>
    <row r="71" spans="2:34">
      <c r="B71" s="329" t="s">
        <v>3836</v>
      </c>
    </row>
    <row r="72" spans="2:34" ht="18">
      <c r="AH72" s="374"/>
    </row>
    <row r="73" spans="2:34">
      <c r="D73" s="455" t="s">
        <v>3837</v>
      </c>
      <c r="E73" s="455"/>
      <c r="F73" s="455"/>
      <c r="G73" s="455"/>
      <c r="H73" s="455"/>
    </row>
    <row r="74" spans="2:34" ht="18.600000000000001" thickBot="1">
      <c r="B74" s="375" t="s">
        <v>3838</v>
      </c>
      <c r="D74" s="456"/>
      <c r="E74" s="456"/>
      <c r="F74" s="456"/>
      <c r="G74" s="456"/>
      <c r="H74" s="456"/>
      <c r="Z74" s="457" t="s">
        <v>3839</v>
      </c>
      <c r="AA74" s="457"/>
      <c r="AB74" s="457"/>
      <c r="AC74" s="457"/>
      <c r="AD74" s="457"/>
      <c r="AE74" s="457"/>
    </row>
    <row r="75" spans="2:34" ht="101.4" thickBot="1">
      <c r="B75" s="376" t="s">
        <v>2451</v>
      </c>
      <c r="C75" s="109" t="s">
        <v>23</v>
      </c>
      <c r="D75" s="109" t="s">
        <v>3840</v>
      </c>
      <c r="E75" s="109" t="s">
        <v>25</v>
      </c>
      <c r="F75" s="109" t="s">
        <v>26</v>
      </c>
      <c r="G75" s="377" t="s">
        <v>27</v>
      </c>
      <c r="H75" s="109" t="s">
        <v>3841</v>
      </c>
      <c r="I75" s="109" t="s">
        <v>3842</v>
      </c>
      <c r="J75" s="109" t="s">
        <v>3843</v>
      </c>
      <c r="K75" s="109" t="s">
        <v>28</v>
      </c>
      <c r="L75" s="109" t="s">
        <v>29</v>
      </c>
      <c r="M75" s="109" t="s">
        <v>3844</v>
      </c>
      <c r="N75" s="109" t="s">
        <v>30</v>
      </c>
      <c r="O75" s="377" t="s">
        <v>31</v>
      </c>
      <c r="P75" s="109" t="s">
        <v>3848</v>
      </c>
      <c r="Q75" s="109" t="s">
        <v>3849</v>
      </c>
      <c r="R75" s="109" t="s">
        <v>34</v>
      </c>
      <c r="S75" s="109" t="s">
        <v>35</v>
      </c>
      <c r="T75" s="109" t="s">
        <v>3854</v>
      </c>
      <c r="U75" s="109" t="s">
        <v>288</v>
      </c>
      <c r="V75" s="109" t="s">
        <v>291</v>
      </c>
      <c r="W75" s="109" t="s">
        <v>292</v>
      </c>
      <c r="X75" s="109" t="s">
        <v>40</v>
      </c>
      <c r="Y75" s="378" t="s">
        <v>41</v>
      </c>
      <c r="Z75" s="379" t="s">
        <v>3862</v>
      </c>
      <c r="AA75" s="379" t="s">
        <v>3855</v>
      </c>
      <c r="AB75" s="379" t="s">
        <v>3856</v>
      </c>
      <c r="AC75" s="379" t="s">
        <v>3861</v>
      </c>
      <c r="AD75" s="379" t="s">
        <v>3857</v>
      </c>
      <c r="AE75" s="380" t="s">
        <v>3858</v>
      </c>
    </row>
    <row r="76" spans="2:34">
      <c r="B76" t="str">
        <f>'Final data_for_R_analysis_Dryse'!A2</f>
        <v>Dry</v>
      </c>
      <c r="C76" s="260">
        <f>'Final data_for_R_analysis_Dryse'!B2</f>
        <v>1</v>
      </c>
      <c r="D76" t="s">
        <v>3798</v>
      </c>
      <c r="E76" t="s">
        <v>22</v>
      </c>
      <c r="F76" s="381">
        <v>1</v>
      </c>
      <c r="G76" s="16">
        <f>IF('Dry_Litterbag Placem_Collection'!E3="","",'Dry_Litterbag Placem_Collection'!E3)</f>
        <v>42938</v>
      </c>
      <c r="H76" t="str">
        <f>'Final data_for_R_analysis_Dryse'!K2</f>
        <v>G407</v>
      </c>
      <c r="I76" t="str">
        <f>'Final data_for_R_analysis_Dryse'!K222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7">
        <f>AVERAGE(Ashed_controlls!$K$1:$K$11)</f>
        <v>5.5147656768714146</v>
      </c>
      <c r="N76" s="194">
        <f>IFERROR(IF(K76&gt;0,(K76*$F$32-($F$29+$F$30)),""),"")</f>
        <v>1.9762</v>
      </c>
      <c r="O76" s="16">
        <f>IF('Dry_Litterbag Placem_Collection'!G3="","",'Dry_Litterbag Placem_Collection'!G3)</f>
        <v>43007</v>
      </c>
      <c r="P76" s="194">
        <f>IFERROR(INDEX('Both teabags AfterDry'!$D$3:$D$2000,MATCH(H76,'Both teabags AfterDry'!$A$3:$A$2000,0)),"")</f>
        <v>1.278</v>
      </c>
      <c r="Q76" s="194">
        <f>IFERROR(INDEX('Both teabags AfterDry'!$D$3:$D$2000,MATCH(I76,'Both teabags AfterDry'!$A$3:$A$2000,0)),"")</f>
        <v>1.8292999999999999</v>
      </c>
      <c r="R76" s="194">
        <f>IFERROR(IF(P76&gt;0,P76-($F$29),""),"")</f>
        <v>1.1274</v>
      </c>
      <c r="S76" s="194">
        <f>IFERROR(IF(Q76&gt;0,Q76-($F$29),""),"")</f>
        <v>1.6786999999999999</v>
      </c>
      <c r="T76" s="194">
        <f>IFERROR(1-R76/L76,"")</f>
        <v>0.34308355669502388</v>
      </c>
      <c r="U76" s="194">
        <f>IFERROR($F$26*(1-X76),"")</f>
        <v>0.22491938633688027</v>
      </c>
      <c r="V76" s="194">
        <f>IFERROR(S76/N76,"")</f>
        <v>0.84945855682623206</v>
      </c>
      <c r="W76">
        <f>IFERROR(IF((O76-G76)&gt;0,(IFERROR(O76-G76,"")),""),"")</f>
        <v>69</v>
      </c>
      <c r="X76" s="194">
        <f>IFERROR(1-(T76/$F$25),"")</f>
        <v>0.59253734359260823</v>
      </c>
      <c r="Y76" s="194">
        <f>IFERROR(LN(U76/(V76-(1-U76)))/W76,"")</f>
        <v>1.6037429275865225E-2</v>
      </c>
      <c r="Z76" s="252" t="str">
        <f>IF(ISNUMBER(SEARCH("C", 'Dry_Litterbag Placem_Collection'!$T3)),"YES","NO")</f>
        <v>NO</v>
      </c>
      <c r="AA76" s="252" t="str">
        <f>IF(ISNUMBER(SEARCH("H", 'Dry_Litterbag Placem_Collection'!$T3)),"YES","NO")</f>
        <v>YES</v>
      </c>
      <c r="AB76" s="252" t="str">
        <f>IF(ISNUMBER(SEARCH("R", 'Dry_Litterbag Placem_Collection'!$T3)),"YES","NO")</f>
        <v>NO</v>
      </c>
      <c r="AC76" s="252" t="str">
        <f>IF(ISNUMBER(SEARCH("C", 'Dry_Litterbag Placem_Collection'!$S3)),"YES","NO")</f>
        <v>NO</v>
      </c>
      <c r="AD76" s="252" t="str">
        <f>IF(ISNUMBER(SEARCH("H", 'Dry_Litterbag Placem_Collection'!$S3)),"YES","NO")</f>
        <v>YES</v>
      </c>
      <c r="AE76" s="252" t="str">
        <f>IF(ISNUMBER(SEARCH("R", 'Dry_Litterbag Placem_Collection'!$S3)),"YES","NO")</f>
        <v>NO</v>
      </c>
    </row>
    <row r="77" spans="2:34">
      <c r="B77" t="str">
        <f>'Final data_for_R_analysis_Dryse'!A3</f>
        <v>Dry</v>
      </c>
      <c r="C77" s="260">
        <f>'Final data_for_R_analysis_Dryse'!B3</f>
        <v>2</v>
      </c>
      <c r="D77" t="s">
        <v>3798</v>
      </c>
      <c r="E77" t="s">
        <v>22</v>
      </c>
      <c r="F77" s="381">
        <v>2</v>
      </c>
      <c r="G77" s="16" t="str">
        <f>IF('Dry_Litterbag Placem_Collection'!E4="","",'Dry_Litterbag Placem_Collection'!E4)</f>
        <v/>
      </c>
      <c r="H77" t="str">
        <f>'Final data_for_R_analysis_Dryse'!K3</f>
        <v/>
      </c>
      <c r="I77" t="str">
        <f>'Final data_for_R_analysis_Dryse'!K223</f>
        <v/>
      </c>
      <c r="J77" t="str">
        <f>IFERROR(INDEX('Green_rooibos initial weight'!$C$5:$C$2000,MATCH(H77, 'Green_rooibos initial weight'!$A$5:$A$2000,0)),"")</f>
        <v/>
      </c>
      <c r="K77" t="str">
        <f>IFERROR(INDEX('Green_rooibos initial weight'!$C$5:$C$2000,MATCH(I77, 'Green_rooibos initial weight'!$A$5:$A$2000,0)),"")</f>
        <v/>
      </c>
      <c r="L77" s="194" t="str">
        <f t="shared" ref="L77:L140" si="0">IFERROR(IF(J77&gt;0,(J77*$F$31-($F$29+$F$30)),""),"")</f>
        <v/>
      </c>
      <c r="M77" s="237">
        <f>AVERAGE(Ashed_controlls!$K$1:$K$11)</f>
        <v>5.5147656768714146</v>
      </c>
      <c r="N77" s="194" t="str">
        <f>IFERROR(IF(K77&gt;0,(K77*$F$32-($F$29+$F$30)),""),"")</f>
        <v/>
      </c>
      <c r="O77" s="16" t="str">
        <f>IF('Dry_Litterbag Placem_Collection'!G4="","",'Dry_Litterbag Placem_Collection'!G4)</f>
        <v/>
      </c>
      <c r="P77" s="194" t="str">
        <f>IFERROR(INDEX('Both teabags AfterDry'!$D$3:$D$2000,MATCH(H77,'Both teabags AfterDry'!$A$3:$A$2000,0)),"")</f>
        <v/>
      </c>
      <c r="Q77" s="194" t="str">
        <f>IFERROR(INDEX('Both teabags AfterDry'!$D$3:$D$2000,MATCH(I77,'Both teabags AfterDry'!$A$3:$A$2000,0)),"")</f>
        <v/>
      </c>
      <c r="R77" s="194" t="str">
        <f t="shared" ref="R77:S140" si="1">IFERROR(IF(P77&gt;0,P77-($F$29),""),"")</f>
        <v/>
      </c>
      <c r="S77" s="194" t="str">
        <f t="shared" si="1"/>
        <v/>
      </c>
      <c r="T77" s="194" t="str">
        <f t="shared" ref="T77:T140" si="2">IFERROR(1-R77/L77,"")</f>
        <v/>
      </c>
      <c r="U77" s="194" t="str">
        <f t="shared" ref="U77:U140" si="3">IFERROR($F$26*(1-X77),"")</f>
        <v/>
      </c>
      <c r="V77" s="194" t="str">
        <f t="shared" ref="V77:V140" si="4">IFERROR(S77/N77,"")</f>
        <v/>
      </c>
      <c r="W77" t="str">
        <f t="shared" ref="W77:W140" si="5">IFERROR(IF((O77-G77)&gt;0,(IFERROR(O77-G77,"")),""),"")</f>
        <v/>
      </c>
      <c r="X77" s="194" t="str">
        <f t="shared" ref="X77:X140" si="6">IFERROR(1-(T77/$F$25),"")</f>
        <v/>
      </c>
      <c r="Y77" s="194" t="str">
        <f t="shared" ref="Y77:Y140" si="7">IFERROR(LN(U77/(V77-(1-U77)))/W77,"")</f>
        <v/>
      </c>
      <c r="Z77" s="252" t="str">
        <f>IF(ISNUMBER(SEARCH("C", 'Dry_Litterbag Placem_Collection'!$T4)),"YES","NO")</f>
        <v>NO</v>
      </c>
      <c r="AA77" s="252" t="str">
        <f>IF(ISNUMBER(SEARCH("H", 'Dry_Litterbag Placem_Collection'!$T4)),"YES","NO")</f>
        <v>NO</v>
      </c>
      <c r="AB77" s="252" t="str">
        <f>IF(ISNUMBER(SEARCH("R", 'Dry_Litterbag Placem_Collection'!$T4)),"YES","NO")</f>
        <v>NO</v>
      </c>
      <c r="AC77" s="252" t="str">
        <f>IF(ISNUMBER(SEARCH("C", 'Dry_Litterbag Placem_Collection'!$S4)),"YES","NO")</f>
        <v>NO</v>
      </c>
      <c r="AD77" s="252" t="str">
        <f>IF(ISNUMBER(SEARCH("H", 'Dry_Litterbag Placem_Collection'!$S4)),"YES","NO")</f>
        <v>NO</v>
      </c>
      <c r="AE77" s="252" t="str">
        <f>IF(ISNUMBER(SEARCH("R", 'Dry_Litterbag Placem_Collection'!$S4)),"YES","NO")</f>
        <v>NO</v>
      </c>
    </row>
    <row r="78" spans="2:34">
      <c r="B78" t="str">
        <f>'Final data_for_R_analysis_Dryse'!A4</f>
        <v>Dry</v>
      </c>
      <c r="C78" s="260">
        <f>'Final data_for_R_analysis_Dryse'!B4</f>
        <v>3</v>
      </c>
      <c r="D78" t="s">
        <v>3798</v>
      </c>
      <c r="E78" t="s">
        <v>22</v>
      </c>
      <c r="F78" s="381">
        <v>3</v>
      </c>
      <c r="G78" s="16">
        <f>IF('Dry_Litterbag Placem_Collection'!E5="","",'Dry_Litterbag Placem_Collection'!E5)</f>
        <v>42938</v>
      </c>
      <c r="H78" t="str">
        <f>'Final data_for_R_analysis_Dryse'!K4</f>
        <v>G259</v>
      </c>
      <c r="I78" t="str">
        <f>'Final data_for_R_analysis_Dryse'!K224</f>
        <v>R742</v>
      </c>
      <c r="J78">
        <f>IFERROR(INDEX('Green_rooibos initial weight'!$C$5:$C$2000,MATCH(H78, 'Green_rooibos initial weight'!$A$5:$A$2000,0)),"")</f>
        <v>1.913</v>
      </c>
      <c r="K78">
        <f>IFERROR(INDEX('Green_rooibos initial weight'!$C$5:$C$2000,MATCH(I78, 'Green_rooibos initial weight'!$A$5:$A$2000,0)),"")</f>
        <v>2.1259999999999999</v>
      </c>
      <c r="L78" s="194">
        <f t="shared" si="0"/>
        <v>1.6632</v>
      </c>
      <c r="M78" s="237">
        <f>AVERAGE(Ashed_controlls!$K$1:$K$11)</f>
        <v>5.5147656768714146</v>
      </c>
      <c r="N78" s="194">
        <f>IFERROR(IF(K78&gt;0,(K78*$F$32-($F$29+$F$30)),""),"")</f>
        <v>1.8761999999999999</v>
      </c>
      <c r="O78" s="16">
        <f>IF('Dry_Litterbag Placem_Collection'!G5="","",'Dry_Litterbag Placem_Collection'!G5)</f>
        <v>43007</v>
      </c>
      <c r="P78" s="194">
        <f>IFERROR(INDEX('Both teabags AfterDry'!$D$3:$D$2000,MATCH(H78,'Both teabags AfterDry'!$A$3:$A$2000,0)),"")</f>
        <v>1.5964</v>
      </c>
      <c r="Q78" s="194">
        <f>IFERROR(INDEX('Both teabags AfterDry'!$D$3:$D$2000,MATCH(I78,'Both teabags AfterDry'!$A$3:$A$2000,0)),"")</f>
        <v>1.8767</v>
      </c>
      <c r="R78" s="194">
        <f t="shared" si="1"/>
        <v>1.4458</v>
      </c>
      <c r="S78" s="194">
        <f t="shared" si="1"/>
        <v>1.7261</v>
      </c>
      <c r="T78" s="194">
        <f t="shared" si="2"/>
        <v>0.13071188071188078</v>
      </c>
      <c r="U78" s="194">
        <f t="shared" si="3"/>
        <v>8.5692349350306674E-2</v>
      </c>
      <c r="V78" s="194">
        <f t="shared" si="4"/>
        <v>0.91999786803112682</v>
      </c>
      <c r="W78">
        <f t="shared" si="5"/>
        <v>69</v>
      </c>
      <c r="X78" s="194">
        <f t="shared" si="6"/>
        <v>0.84476023668422706</v>
      </c>
      <c r="Y78" s="194">
        <f t="shared" si="7"/>
        <v>3.9304566632367643E-2</v>
      </c>
      <c r="Z78" s="252" t="str">
        <f>IF(ISNUMBER(SEARCH("C", 'Dry_Litterbag Placem_Collection'!$T5)),"YES","NO")</f>
        <v>YES</v>
      </c>
      <c r="AA78" s="252" t="str">
        <f>IF(ISNUMBER(SEARCH("H", 'Dry_Litterbag Placem_Collection'!$T5)),"YES","NO")</f>
        <v>YES</v>
      </c>
      <c r="AB78" s="252" t="str">
        <f>IF(ISNUMBER(SEARCH("R", 'Dry_Litterbag Placem_Collection'!$T5)),"YES","NO")</f>
        <v>NO</v>
      </c>
      <c r="AC78" s="252" t="str">
        <f>IF(ISNUMBER(SEARCH("C", 'Dry_Litterbag Placem_Collection'!$S5)),"YES","NO")</f>
        <v>YES</v>
      </c>
      <c r="AD78" s="252" t="str">
        <f>IF(ISNUMBER(SEARCH("H", 'Dry_Litterbag Placem_Collection'!$S5)),"YES","NO")</f>
        <v>YES</v>
      </c>
      <c r="AE78" s="252" t="str">
        <f>IF(ISNUMBER(SEARCH("R", 'Dry_Litterbag Placem_Collection'!$S5)),"YES","NO")</f>
        <v>NO</v>
      </c>
    </row>
    <row r="79" spans="2:34">
      <c r="B79" t="str">
        <f>'Final data_for_R_analysis_Dryse'!A5</f>
        <v>Dry</v>
      </c>
      <c r="C79" s="260">
        <f>'Final data_for_R_analysis_Dryse'!B5</f>
        <v>4</v>
      </c>
      <c r="D79" t="s">
        <v>3798</v>
      </c>
      <c r="E79" t="s">
        <v>22</v>
      </c>
      <c r="F79" s="382">
        <v>4</v>
      </c>
      <c r="G79" s="16">
        <f>IF('Dry_Litterbag Placem_Collection'!E6="","",'Dry_Litterbag Placem_Collection'!E6)</f>
        <v>42938</v>
      </c>
      <c r="H79" t="str">
        <f>'Final data_for_R_analysis_Dryse'!K5</f>
        <v>G255</v>
      </c>
      <c r="I79" t="str">
        <f>'Final data_for_R_analysis_Dryse'!K225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0"/>
        <v>1.7812000000000001</v>
      </c>
      <c r="M79" s="237">
        <f>AVERAGE(Ashed_controlls!$K$1:$K$11)</f>
        <v>5.5147656768714146</v>
      </c>
      <c r="N79" s="194">
        <f>IFERROR(IF(K79&gt;0,(K79*$F$32-($F$29+$F$30)),""),"")</f>
        <v>1.9131999999999998</v>
      </c>
      <c r="O79" s="16">
        <f>IF('Dry_Litterbag Placem_Collection'!G6="","",'Dry_Litterbag Placem_Collection'!G6)</f>
        <v>43007</v>
      </c>
      <c r="P79" s="194">
        <f>IFERROR(INDEX('Both teabags AfterDry'!$D$3:$D$2000,MATCH(H79,'Both teabags AfterDry'!$A$3:$A$2000,0)),"")</f>
        <v>1.6215999999999999</v>
      </c>
      <c r="Q79" s="194">
        <f>IFERROR(INDEX('Both teabags AfterDry'!$D$3:$D$2000,MATCH(I79,'Both teabags AfterDry'!$A$3:$A$2000,0)),"")</f>
        <v>1.837</v>
      </c>
      <c r="R79" s="194">
        <f t="shared" si="1"/>
        <v>1.4709999999999999</v>
      </c>
      <c r="S79" s="194">
        <f t="shared" si="1"/>
        <v>1.6863999999999999</v>
      </c>
      <c r="T79" s="194">
        <f t="shared" si="2"/>
        <v>0.1741522569054571</v>
      </c>
      <c r="U79" s="194">
        <f t="shared" si="3"/>
        <v>0.11417107578600037</v>
      </c>
      <c r="V79" s="194">
        <f t="shared" si="4"/>
        <v>0.88145515366924532</v>
      </c>
      <c r="W79">
        <f t="shared" si="5"/>
        <v>69</v>
      </c>
      <c r="X79" s="194">
        <f t="shared" si="6"/>
        <v>0.79316834096739064</v>
      </c>
      <c r="Y79" s="194" t="str">
        <f t="shared" si="7"/>
        <v/>
      </c>
      <c r="Z79" s="252" t="str">
        <f>IF(ISNUMBER(SEARCH("C", 'Dry_Litterbag Placem_Collection'!$T6)),"YES","NO")</f>
        <v>NO</v>
      </c>
      <c r="AA79" s="252" t="str">
        <f>IF(ISNUMBER(SEARCH("H", 'Dry_Litterbag Placem_Collection'!$T6)),"YES","NO")</f>
        <v>YES</v>
      </c>
      <c r="AB79" s="252" t="str">
        <f>IF(ISNUMBER(SEARCH("R", 'Dry_Litterbag Placem_Collection'!$T6)),"YES","NO")</f>
        <v>NO</v>
      </c>
      <c r="AC79" s="252" t="str">
        <f>IF(ISNUMBER(SEARCH("C", 'Dry_Litterbag Placem_Collection'!$S6)),"YES","NO")</f>
        <v>NO</v>
      </c>
      <c r="AD79" s="252" t="str">
        <f>IF(ISNUMBER(SEARCH("H", 'Dry_Litterbag Placem_Collection'!$S6)),"YES","NO")</f>
        <v>NO</v>
      </c>
      <c r="AE79" s="252" t="str">
        <f>IF(ISNUMBER(SEARCH("R", 'Dry_Litterbag Placem_Collection'!$S6)),"YES","NO")</f>
        <v>NO</v>
      </c>
    </row>
    <row r="80" spans="2:34">
      <c r="B80" t="str">
        <f>'Final data_for_R_analysis_Dryse'!A6</f>
        <v>Dry</v>
      </c>
      <c r="C80" s="260">
        <f>'Final data_for_R_analysis_Dryse'!B6</f>
        <v>5</v>
      </c>
      <c r="D80" t="s">
        <v>3798</v>
      </c>
      <c r="E80" t="s">
        <v>22</v>
      </c>
      <c r="F80" s="382">
        <v>5</v>
      </c>
      <c r="G80" s="16">
        <f>IF('Dry_Litterbag Placem_Collection'!E7="","",'Dry_Litterbag Placem_Collection'!E7)</f>
        <v>42938</v>
      </c>
      <c r="H80" t="str">
        <f>'Final data_for_R_analysis_Dryse'!K6</f>
        <v>G122</v>
      </c>
      <c r="I80" t="str">
        <f>'Final data_for_R_analysis_Dryse'!K226</f>
        <v>R724</v>
      </c>
      <c r="J80">
        <f>IFERROR(INDEX('Green_rooibos initial weight'!$C$5:$C$2000,MATCH(H80, 'Green_rooibos initial weight'!$A$5:$A$2000,0)),"")</f>
        <v>1.95</v>
      </c>
      <c r="K80">
        <f>IFERROR(INDEX('Green_rooibos initial weight'!$C$5:$C$2000,MATCH(I80, 'Green_rooibos initial weight'!$A$5:$A$2000,0)),"")</f>
        <v>2.149</v>
      </c>
      <c r="L80" s="194">
        <f t="shared" si="0"/>
        <v>1.7001999999999999</v>
      </c>
      <c r="M80" s="237">
        <f>AVERAGE(Ashed_controlls!$K$1:$K$11)</f>
        <v>5.5147656768714146</v>
      </c>
      <c r="N80" s="194">
        <f>IFERROR(IF(K80&gt;0,(K80*$F$32-($F$29+$F$30)),""),"")</f>
        <v>1.8992</v>
      </c>
      <c r="O80" s="16" t="str">
        <f>IF('Dry_Litterbag Placem_Collection'!G7="","",'Dry_Litterbag Placem_Collection'!G7)</f>
        <v/>
      </c>
      <c r="P80" s="194" t="str">
        <f>IFERROR(INDEX('Both teabags AfterDry'!$D$3:$D$2000,MATCH(H80,'Both teabags AfterDry'!$A$3:$A$2000,0)),"")</f>
        <v/>
      </c>
      <c r="Q80" s="194" t="str">
        <f>IFERROR(INDEX('Both teabags AfterDry'!$D$3:$D$2000,MATCH(I80,'Both teabags AfterDry'!$A$3:$A$2000,0)),"")</f>
        <v/>
      </c>
      <c r="R80" s="194" t="str">
        <f t="shared" si="1"/>
        <v/>
      </c>
      <c r="S80" s="194" t="str">
        <f t="shared" si="1"/>
        <v/>
      </c>
      <c r="T80" s="194" t="str">
        <f t="shared" si="2"/>
        <v/>
      </c>
      <c r="U80" s="194" t="str">
        <f t="shared" si="3"/>
        <v/>
      </c>
      <c r="V80" s="194" t="str">
        <f t="shared" si="4"/>
        <v/>
      </c>
      <c r="W80" t="str">
        <f t="shared" si="5"/>
        <v/>
      </c>
      <c r="X80" s="194" t="str">
        <f t="shared" si="6"/>
        <v/>
      </c>
      <c r="Y80" s="194" t="str">
        <f t="shared" si="7"/>
        <v/>
      </c>
      <c r="Z80" s="252" t="str">
        <f>IF(ISNUMBER(SEARCH("C", 'Dry_Litterbag Placem_Collection'!$T7)),"YES","NO")</f>
        <v>NO</v>
      </c>
      <c r="AA80" s="252" t="str">
        <f>IF(ISNUMBER(SEARCH("H", 'Dry_Litterbag Placem_Collection'!$T7)),"YES","NO")</f>
        <v>NO</v>
      </c>
      <c r="AB80" s="252" t="str">
        <f>IF(ISNUMBER(SEARCH("R", 'Dry_Litterbag Placem_Collection'!$T7)),"YES","NO")</f>
        <v>NO</v>
      </c>
      <c r="AC80" s="252" t="str">
        <f>IF(ISNUMBER(SEARCH("C", 'Dry_Litterbag Placem_Collection'!$S7)),"YES","NO")</f>
        <v>NO</v>
      </c>
      <c r="AD80" s="252" t="str">
        <f>IF(ISNUMBER(SEARCH("H", 'Dry_Litterbag Placem_Collection'!$S7)),"YES","NO")</f>
        <v>NO</v>
      </c>
      <c r="AE80" s="252" t="str">
        <f>IF(ISNUMBER(SEARCH("R", 'Dry_Litterbag Placem_Collection'!$S7)),"YES","NO")</f>
        <v>NO</v>
      </c>
    </row>
    <row r="81" spans="2:31">
      <c r="B81" t="str">
        <f>'Final data_for_R_analysis_Dryse'!A7</f>
        <v>Dry</v>
      </c>
      <c r="C81" s="260">
        <f>'Final data_for_R_analysis_Dryse'!B7</f>
        <v>6</v>
      </c>
      <c r="D81" t="s">
        <v>3798</v>
      </c>
      <c r="E81" t="s">
        <v>22</v>
      </c>
      <c r="F81" s="382">
        <v>6</v>
      </c>
      <c r="G81" s="16">
        <f>IF('Dry_Litterbag Placem_Collection'!E8="","",'Dry_Litterbag Placem_Collection'!E8)</f>
        <v>42938</v>
      </c>
      <c r="H81" t="str">
        <f>'Final data_for_R_analysis_Dryse'!K7</f>
        <v>G478</v>
      </c>
      <c r="I81" t="str">
        <f>'Final data_for_R_analysis_Dryse'!K227</f>
        <v>R688</v>
      </c>
      <c r="J81">
        <f>IFERROR(INDEX('Green_rooibos initial weight'!$C$5:$C$2000,MATCH(H81, 'Green_rooibos initial weight'!$A$5:$A$2000,0)),"")</f>
        <v>2.056</v>
      </c>
      <c r="K81">
        <f>IFERROR(INDEX('Green_rooibos initial weight'!$C$5:$C$2000,MATCH(I81, 'Green_rooibos initial weight'!$A$5:$A$2000,0)),"")</f>
        <v>2.1709999999999998</v>
      </c>
      <c r="L81" s="194">
        <f t="shared" si="0"/>
        <v>1.8062</v>
      </c>
      <c r="M81" s="237">
        <f>AVERAGE(Ashed_controlls!$K$1:$K$11)</f>
        <v>5.5147656768714146</v>
      </c>
      <c r="N81" s="194">
        <f>IFERROR(IF(K81&gt;0,(K81*$F$32-($F$29+$F$30)),""),"")</f>
        <v>1.9211999999999998</v>
      </c>
      <c r="O81" s="16">
        <f>IF('Dry_Litterbag Placem_Collection'!G8="","",'Dry_Litterbag Placem_Collection'!G8)</f>
        <v>43007</v>
      </c>
      <c r="P81" s="194" t="str">
        <f>IFERROR(INDEX('Both teabags AfterDry'!$D$3:$D$2000,MATCH(H81,'Both teabags AfterDry'!$A$3:$A$2000,0)),"")</f>
        <v/>
      </c>
      <c r="Q81" s="194" t="str">
        <f>IFERROR(INDEX('Both teabags AfterDry'!$D$3:$D$2000,MATCH(I81,'Both teabags AfterDry'!$A$3:$A$2000,0)),"")</f>
        <v/>
      </c>
      <c r="R81" s="194" t="str">
        <f t="shared" si="1"/>
        <v/>
      </c>
      <c r="S81" s="194" t="str">
        <f t="shared" si="1"/>
        <v/>
      </c>
      <c r="T81" s="194" t="str">
        <f t="shared" si="2"/>
        <v/>
      </c>
      <c r="U81" s="194" t="str">
        <f t="shared" si="3"/>
        <v/>
      </c>
      <c r="V81" s="194" t="str">
        <f t="shared" si="4"/>
        <v/>
      </c>
      <c r="W81">
        <f t="shared" si="5"/>
        <v>69</v>
      </c>
      <c r="X81" s="194" t="str">
        <f t="shared" si="6"/>
        <v/>
      </c>
      <c r="Y81" s="194" t="str">
        <f t="shared" si="7"/>
        <v/>
      </c>
      <c r="Z81" s="252" t="str">
        <f>IF(ISNUMBER(SEARCH("C", 'Dry_Litterbag Placem_Collection'!$T8)),"YES","NO")</f>
        <v>NO</v>
      </c>
      <c r="AA81" s="252" t="str">
        <f>IF(ISNUMBER(SEARCH("H", 'Dry_Litterbag Placem_Collection'!$T8)),"YES","NO")</f>
        <v>NO</v>
      </c>
      <c r="AB81" s="252" t="str">
        <f>IF(ISNUMBER(SEARCH("R", 'Dry_Litterbag Placem_Collection'!$T8)),"YES","NO")</f>
        <v>NO</v>
      </c>
      <c r="AC81" s="252" t="str">
        <f>IF(ISNUMBER(SEARCH("C", 'Dry_Litterbag Placem_Collection'!$S8)),"YES","NO")</f>
        <v>NO</v>
      </c>
      <c r="AD81" s="252" t="str">
        <f>IF(ISNUMBER(SEARCH("H", 'Dry_Litterbag Placem_Collection'!$S8)),"YES","NO")</f>
        <v>NO</v>
      </c>
      <c r="AE81" s="252" t="str">
        <f>IF(ISNUMBER(SEARCH("R", 'Dry_Litterbag Placem_Collection'!$S8)),"YES","NO")</f>
        <v>NO</v>
      </c>
    </row>
    <row r="82" spans="2:31">
      <c r="B82" t="str">
        <f>'Final data_for_R_analysis_Dryse'!A8</f>
        <v>Dry</v>
      </c>
      <c r="C82" s="260">
        <f>'Final data_for_R_analysis_Dryse'!B8</f>
        <v>7</v>
      </c>
      <c r="D82" t="s">
        <v>3798</v>
      </c>
      <c r="E82" t="s">
        <v>22</v>
      </c>
      <c r="F82" s="382">
        <v>7</v>
      </c>
      <c r="G82" s="16">
        <f>IF('Dry_Litterbag Placem_Collection'!E9="","",'Dry_Litterbag Placem_Collection'!E9)</f>
        <v>42938</v>
      </c>
      <c r="H82" t="str">
        <f>'Final data_for_R_analysis_Dryse'!K8</f>
        <v>G106</v>
      </c>
      <c r="I82" t="str">
        <f>'Final data_for_R_analysis_Dryse'!K228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0"/>
        <v>1.8732000000000002</v>
      </c>
      <c r="M82" s="237">
        <f>AVERAGE(Ashed_controlls!$K$1:$K$11)</f>
        <v>5.5147656768714146</v>
      </c>
      <c r="N82" s="194">
        <f>IFERROR(IF(K82&gt;0,(K82*$F$32-($F$29+$F$30)),""),"")</f>
        <v>1.9451999999999998</v>
      </c>
      <c r="O82" s="16">
        <f>IF('Dry_Litterbag Placem_Collection'!G9="","",'Dry_Litterbag Placem_Collection'!G9)</f>
        <v>43007</v>
      </c>
      <c r="P82" s="194">
        <f>IFERROR(INDEX('Both teabags AfterDry'!$D$3:$D$2000,MATCH(H82,'Both teabags AfterDry'!$A$3:$A$2000,0)),"")</f>
        <v>2.0188999999999999</v>
      </c>
      <c r="Q82" s="194">
        <f>IFERROR(INDEX('Both teabags AfterDry'!$D$3:$D$2000,MATCH(I82,'Both teabags AfterDry'!$A$3:$A$2000,0)),"")</f>
        <v>1.7052</v>
      </c>
      <c r="R82" s="194">
        <f t="shared" si="1"/>
        <v>1.8682999999999998</v>
      </c>
      <c r="S82" s="194">
        <f t="shared" si="1"/>
        <v>1.5546</v>
      </c>
      <c r="T82" s="194">
        <f t="shared" si="2"/>
        <v>2.6158445440958022E-3</v>
      </c>
      <c r="U82" s="194">
        <f t="shared" si="3"/>
        <v>1.7149004612124401E-3</v>
      </c>
      <c r="V82" s="194">
        <f t="shared" si="4"/>
        <v>0.79919802590993216</v>
      </c>
      <c r="W82">
        <f t="shared" si="5"/>
        <v>69</v>
      </c>
      <c r="X82" s="194">
        <f t="shared" si="6"/>
        <v>0.99689329626591949</v>
      </c>
      <c r="Y82" s="194" t="str">
        <f t="shared" si="7"/>
        <v/>
      </c>
      <c r="Z82" s="252" t="str">
        <f>IF(ISNUMBER(SEARCH("C", 'Dry_Litterbag Placem_Collection'!$T9)),"YES","NO")</f>
        <v>NO</v>
      </c>
      <c r="AA82" s="252" t="str">
        <f>IF(ISNUMBER(SEARCH("H", 'Dry_Litterbag Placem_Collection'!$T9)),"YES","NO")</f>
        <v>YES</v>
      </c>
      <c r="AB82" s="252" t="str">
        <f>IF(ISNUMBER(SEARCH("R", 'Dry_Litterbag Placem_Collection'!$T9)),"YES","NO")</f>
        <v>NO</v>
      </c>
      <c r="AC82" s="252" t="str">
        <f>IF(ISNUMBER(SEARCH("C", 'Dry_Litterbag Placem_Collection'!$S9)),"YES","NO")</f>
        <v>NO</v>
      </c>
      <c r="AD82" s="252" t="str">
        <f>IF(ISNUMBER(SEARCH("H", 'Dry_Litterbag Placem_Collection'!$S9)),"YES","NO")</f>
        <v>YES</v>
      </c>
      <c r="AE82" s="252" t="str">
        <f>IF(ISNUMBER(SEARCH("R", 'Dry_Litterbag Placem_Collection'!$S9)),"YES","NO")</f>
        <v>NO</v>
      </c>
    </row>
    <row r="83" spans="2:31">
      <c r="B83" t="str">
        <f>'Final data_for_R_analysis_Dryse'!A9</f>
        <v>Dry</v>
      </c>
      <c r="C83" s="260">
        <f>'Final data_for_R_analysis_Dryse'!B9</f>
        <v>8</v>
      </c>
      <c r="D83" t="s">
        <v>3798</v>
      </c>
      <c r="E83" t="s">
        <v>22</v>
      </c>
      <c r="F83" s="382">
        <v>8</v>
      </c>
      <c r="G83" s="16">
        <f>IF('Dry_Litterbag Placem_Collection'!E10="","",'Dry_Litterbag Placem_Collection'!E10)</f>
        <v>42938</v>
      </c>
      <c r="H83" t="str">
        <f>'Final data_for_R_analysis_Dryse'!K9</f>
        <v>G228</v>
      </c>
      <c r="I83" t="str">
        <f>'Final data_for_R_analysis_Dryse'!K229</f>
        <v>R727</v>
      </c>
      <c r="J83">
        <f>IFERROR(INDEX('Green_rooibos initial weight'!$C$5:$C$2000,MATCH(H83, 'Green_rooibos initial weight'!$A$5:$A$2000,0)),"")</f>
        <v>1.976</v>
      </c>
      <c r="K83">
        <f>IFERROR(INDEX('Green_rooibos initial weight'!$C$5:$C$2000,MATCH(I83, 'Green_rooibos initial weight'!$A$5:$A$2000,0)),"")</f>
        <v>2.1629999999999998</v>
      </c>
      <c r="L83" s="194">
        <f t="shared" si="0"/>
        <v>1.7262</v>
      </c>
      <c r="M83" s="237">
        <f>AVERAGE(Ashed_controlls!$K$1:$K$11)</f>
        <v>5.5147656768714146</v>
      </c>
      <c r="N83" s="194">
        <f>IFERROR(IF(K83&gt;0,(K83*$F$32-($F$29+$F$30)),""),"")</f>
        <v>1.9131999999999998</v>
      </c>
      <c r="O83" s="16">
        <f>IF('Dry_Litterbag Placem_Collection'!G10="","",'Dry_Litterbag Placem_Collection'!G10)</f>
        <v>43007</v>
      </c>
      <c r="P83" s="194">
        <f>IFERROR(INDEX('Both teabags AfterDry'!$D$3:$D$2000,MATCH(H83,'Both teabags AfterDry'!$A$3:$A$2000,0)),"")</f>
        <v>0.83330000000000004</v>
      </c>
      <c r="Q83" s="194">
        <f>IFERROR(INDEX('Both teabags AfterDry'!$D$3:$D$2000,MATCH(I83,'Both teabags AfterDry'!$A$3:$A$2000,0)),"")</f>
        <v>0</v>
      </c>
      <c r="R83" s="194">
        <f t="shared" si="1"/>
        <v>0.68270000000000008</v>
      </c>
      <c r="S83" s="194" t="str">
        <f t="shared" si="1"/>
        <v/>
      </c>
      <c r="T83" s="194">
        <f t="shared" si="2"/>
        <v>0.60450700961649861</v>
      </c>
      <c r="U83" s="194">
        <f t="shared" si="3"/>
        <v>0.39630388278896356</v>
      </c>
      <c r="V83" s="194" t="str">
        <f t="shared" si="4"/>
        <v/>
      </c>
      <c r="W83">
        <f t="shared" si="5"/>
        <v>69</v>
      </c>
      <c r="X83" s="194">
        <f t="shared" si="6"/>
        <v>0.282058183353327</v>
      </c>
      <c r="Y83" s="194" t="str">
        <f t="shared" si="7"/>
        <v/>
      </c>
      <c r="Z83" s="252" t="str">
        <f>IF(ISNUMBER(SEARCH("C", 'Dry_Litterbag Placem_Collection'!$T10)),"YES","NO")</f>
        <v>NO</v>
      </c>
      <c r="AA83" s="252" t="str">
        <f>IF(ISNUMBER(SEARCH("H", 'Dry_Litterbag Placem_Collection'!$T10)),"YES","NO")</f>
        <v>NO</v>
      </c>
      <c r="AB83" s="252" t="str">
        <f>IF(ISNUMBER(SEARCH("R", 'Dry_Litterbag Placem_Collection'!$T10)),"YES","NO")</f>
        <v>NO</v>
      </c>
      <c r="AC83" s="252" t="str">
        <f>IF(ISNUMBER(SEARCH("C", 'Dry_Litterbag Placem_Collection'!$S10)),"YES","NO")</f>
        <v>NO</v>
      </c>
      <c r="AD83" s="252" t="str">
        <f>IF(ISNUMBER(SEARCH("H", 'Dry_Litterbag Placem_Collection'!$S10)),"YES","NO")</f>
        <v>NO</v>
      </c>
      <c r="AE83" s="252" t="str">
        <f>IF(ISNUMBER(SEARCH("R", 'Dry_Litterbag Placem_Collection'!$S10)),"YES","NO")</f>
        <v>YES</v>
      </c>
    </row>
    <row r="84" spans="2:31">
      <c r="B84" t="str">
        <f>'Final data_for_R_analysis_Dryse'!A10</f>
        <v>Dry</v>
      </c>
      <c r="C84" s="260">
        <f>'Final data_for_R_analysis_Dryse'!B10</f>
        <v>9</v>
      </c>
      <c r="D84" t="s">
        <v>3802</v>
      </c>
      <c r="E84" t="s">
        <v>22</v>
      </c>
      <c r="F84" s="381">
        <v>1</v>
      </c>
      <c r="G84" s="16">
        <f>IF('Dry_Litterbag Placem_Collection'!E11="","",'Dry_Litterbag Placem_Collection'!E11)</f>
        <v>42938</v>
      </c>
      <c r="H84" t="str">
        <f>'Final data_for_R_analysis_Dryse'!K10</f>
        <v>G277</v>
      </c>
      <c r="I84" t="str">
        <f>'Final data_for_R_analysis_Dryse'!K230</f>
        <v>R785</v>
      </c>
      <c r="J84">
        <f>IFERROR(INDEX('Green_rooibos initial weight'!$C$5:$C$2000,MATCH(H84, 'Green_rooibos initial weight'!$A$5:$A$2000,0)),"")</f>
        <v>1.93</v>
      </c>
      <c r="K84">
        <f>IFERROR(INDEX('Green_rooibos initial weight'!$C$5:$C$2000,MATCH(I84, 'Green_rooibos initial weight'!$A$5:$A$2000,0)),"")</f>
        <v>2.2549999999999999</v>
      </c>
      <c r="L84" s="194">
        <f t="shared" si="0"/>
        <v>1.6801999999999999</v>
      </c>
      <c r="M84" s="237">
        <f>AVERAGE(Ashed_controlls!$K$1:$K$11)</f>
        <v>5.5147656768714146</v>
      </c>
      <c r="N84" s="194">
        <f>IFERROR(IF(K84&gt;0,(K84*$F$32-($F$29+$F$30)),""),"")</f>
        <v>2.0051999999999999</v>
      </c>
      <c r="O84" s="16">
        <f>IF('Dry_Litterbag Placem_Collection'!G11="","",'Dry_Litterbag Placem_Collection'!G11)</f>
        <v>43007</v>
      </c>
      <c r="P84" s="194">
        <f>IFERROR(INDEX('Both teabags AfterDry'!$D$3:$D$2000,MATCH(H84,'Both teabags AfterDry'!$A$3:$A$2000,0)),"")</f>
        <v>1.9345000000000001</v>
      </c>
      <c r="Q84" s="194">
        <f>IFERROR(INDEX('Both teabags AfterDry'!$D$3:$D$2000,MATCH(I84,'Both teabags AfterDry'!$A$3:$A$2000,0)),"")</f>
        <v>3.7812999999999999</v>
      </c>
      <c r="R84" s="194">
        <f t="shared" si="1"/>
        <v>1.7839</v>
      </c>
      <c r="S84" s="194">
        <f t="shared" si="1"/>
        <v>3.6307</v>
      </c>
      <c r="T84" s="194">
        <f t="shared" si="2"/>
        <v>-6.1718842994881618E-2</v>
      </c>
      <c r="U84" s="194">
        <f t="shared" si="3"/>
        <v>-4.0461759303057822E-2</v>
      </c>
      <c r="V84" s="194">
        <f t="shared" si="4"/>
        <v>1.8106423299421506</v>
      </c>
      <c r="W84">
        <f t="shared" si="5"/>
        <v>69</v>
      </c>
      <c r="X84" s="194">
        <f t="shared" si="6"/>
        <v>1.073300288592496</v>
      </c>
      <c r="Y84" s="194" t="str">
        <f t="shared" si="7"/>
        <v/>
      </c>
      <c r="Z84" s="252" t="str">
        <f>IF(ISNUMBER(SEARCH("C", 'Dry_Litterbag Placem_Collection'!$T11)),"YES","NO")</f>
        <v>YES</v>
      </c>
      <c r="AA84" s="252" t="str">
        <f>IF(ISNUMBER(SEARCH("H", 'Dry_Litterbag Placem_Collection'!$T11)),"YES","NO")</f>
        <v>NO</v>
      </c>
      <c r="AB84" s="252" t="str">
        <f>IF(ISNUMBER(SEARCH("R", 'Dry_Litterbag Placem_Collection'!$T11)),"YES","NO")</f>
        <v>NO</v>
      </c>
      <c r="AC84" s="252" t="str">
        <f>IF(ISNUMBER(SEARCH("C", 'Dry_Litterbag Placem_Collection'!$S11)),"YES","NO")</f>
        <v>YES</v>
      </c>
      <c r="AD84" s="252" t="str">
        <f>IF(ISNUMBER(SEARCH("H", 'Dry_Litterbag Placem_Collection'!$S11)),"YES","NO")</f>
        <v>YES</v>
      </c>
      <c r="AE84" s="252" t="str">
        <f>IF(ISNUMBER(SEARCH("R", 'Dry_Litterbag Placem_Collection'!$S11)),"YES","NO")</f>
        <v>NO</v>
      </c>
    </row>
    <row r="85" spans="2:31">
      <c r="B85" t="str">
        <f>'Final data_for_R_analysis_Dryse'!A11</f>
        <v>Dry</v>
      </c>
      <c r="C85" s="260">
        <f>'Final data_for_R_analysis_Dryse'!B11</f>
        <v>10</v>
      </c>
      <c r="D85" t="s">
        <v>3802</v>
      </c>
      <c r="E85" t="s">
        <v>22</v>
      </c>
      <c r="F85" s="381">
        <v>2</v>
      </c>
      <c r="G85" s="16">
        <f>IF('Dry_Litterbag Placem_Collection'!E12="","",'Dry_Litterbag Placem_Collection'!E12)</f>
        <v>42938</v>
      </c>
      <c r="H85" t="str">
        <f>'Final data_for_R_analysis_Dryse'!K11</f>
        <v>G310</v>
      </c>
      <c r="I85" t="str">
        <f>'Final data_for_R_analysis_Dryse'!K231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0"/>
        <v>1.7961999999999998</v>
      </c>
      <c r="M85" s="237">
        <f>AVERAGE(Ashed_controlls!$K$1:$K$11)</f>
        <v>5.5147656768714146</v>
      </c>
      <c r="N85" s="194">
        <f>IFERROR(IF(K85&gt;0,(K85*$F$32-($F$29+$F$30)),""),"")</f>
        <v>1.9051999999999998</v>
      </c>
      <c r="O85" s="16" t="str">
        <f>IF('Dry_Litterbag Placem_Collection'!G12="","",'Dry_Litterbag Placem_Collection'!G12)</f>
        <v/>
      </c>
      <c r="P85" s="194" t="str">
        <f>IFERROR(INDEX('Both teabags AfterDry'!$D$3:$D$2000,MATCH(H85,'Both teabags AfterDry'!$A$3:$A$2000,0)),"")</f>
        <v/>
      </c>
      <c r="Q85" s="194" t="str">
        <f>IFERROR(INDEX('Both teabags AfterDry'!$D$3:$D$2000,MATCH(I85,'Both teabags AfterDry'!$A$3:$A$2000,0)),"")</f>
        <v/>
      </c>
      <c r="R85" s="194" t="str">
        <f t="shared" si="1"/>
        <v/>
      </c>
      <c r="S85" s="194" t="str">
        <f t="shared" si="1"/>
        <v/>
      </c>
      <c r="T85" s="194" t="str">
        <f t="shared" si="2"/>
        <v/>
      </c>
      <c r="U85" s="194" t="str">
        <f t="shared" si="3"/>
        <v/>
      </c>
      <c r="V85" s="194" t="str">
        <f t="shared" si="4"/>
        <v/>
      </c>
      <c r="W85" t="str">
        <f t="shared" si="5"/>
        <v/>
      </c>
      <c r="X85" s="194" t="str">
        <f t="shared" si="6"/>
        <v/>
      </c>
      <c r="Y85" s="194" t="str">
        <f t="shared" si="7"/>
        <v/>
      </c>
      <c r="Z85" s="252" t="str">
        <f>IF(ISNUMBER(SEARCH("C", 'Dry_Litterbag Placem_Collection'!$T12)),"YES","NO")</f>
        <v>NO</v>
      </c>
      <c r="AA85" s="252" t="str">
        <f>IF(ISNUMBER(SEARCH("H", 'Dry_Litterbag Placem_Collection'!$T12)),"YES","NO")</f>
        <v>NO</v>
      </c>
      <c r="AB85" s="252" t="str">
        <f>IF(ISNUMBER(SEARCH("R", 'Dry_Litterbag Placem_Collection'!$T12)),"YES","NO")</f>
        <v>NO</v>
      </c>
      <c r="AC85" s="252" t="str">
        <f>IF(ISNUMBER(SEARCH("C", 'Dry_Litterbag Placem_Collection'!$S12)),"YES","NO")</f>
        <v>NO</v>
      </c>
      <c r="AD85" s="252" t="str">
        <f>IF(ISNUMBER(SEARCH("H", 'Dry_Litterbag Placem_Collection'!$S12)),"YES","NO")</f>
        <v>NO</v>
      </c>
      <c r="AE85" s="252" t="str">
        <f>IF(ISNUMBER(SEARCH("R", 'Dry_Litterbag Placem_Collection'!$S12)),"YES","NO")</f>
        <v>NO</v>
      </c>
    </row>
    <row r="86" spans="2:31">
      <c r="B86" t="str">
        <f>'Final data_for_R_analysis_Dryse'!A12</f>
        <v>Dry</v>
      </c>
      <c r="C86" s="260">
        <f>'Final data_for_R_analysis_Dryse'!B12</f>
        <v>11</v>
      </c>
      <c r="D86" t="s">
        <v>3802</v>
      </c>
      <c r="E86" t="s">
        <v>22</v>
      </c>
      <c r="F86" s="381">
        <v>3</v>
      </c>
      <c r="G86" s="16">
        <f>IF('Dry_Litterbag Placem_Collection'!E13="","",'Dry_Litterbag Placem_Collection'!E13)</f>
        <v>42938</v>
      </c>
      <c r="H86" t="str">
        <f>'Final data_for_R_analysis_Dryse'!K12</f>
        <v>G435</v>
      </c>
      <c r="I86" t="str">
        <f>'Final data_for_R_analysis_Dryse'!K232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0"/>
        <v>1.7511999999999999</v>
      </c>
      <c r="M86" s="237">
        <f>AVERAGE(Ashed_controlls!$K$1:$K$11)</f>
        <v>5.5147656768714146</v>
      </c>
      <c r="N86" s="194">
        <f>IFERROR(IF(K86&gt;0,(K86*$F$32-($F$29+$F$30)),""),"")</f>
        <v>1.9331999999999998</v>
      </c>
      <c r="O86" s="16">
        <f>IF('Dry_Litterbag Placem_Collection'!G13="","",'Dry_Litterbag Placem_Collection'!G13)</f>
        <v>43007</v>
      </c>
      <c r="P86" s="194">
        <f>IFERROR(INDEX('Both teabags AfterDry'!$D$3:$D$2000,MATCH(H86,'Both teabags AfterDry'!$A$3:$A$2000,0)),"")</f>
        <v>1.7934000000000001</v>
      </c>
      <c r="Q86" s="194">
        <f>IFERROR(INDEX('Both teabags AfterDry'!$D$3:$D$2000,MATCH(I86,'Both teabags AfterDry'!$A$3:$A$2000,0)),"")</f>
        <v>0.98360000000000003</v>
      </c>
      <c r="R86" s="194">
        <f t="shared" si="1"/>
        <v>1.6428</v>
      </c>
      <c r="S86" s="194">
        <f t="shared" si="1"/>
        <v>0.83299999999999996</v>
      </c>
      <c r="T86" s="194">
        <f t="shared" si="2"/>
        <v>6.1900411146642242E-2</v>
      </c>
      <c r="U86" s="194">
        <f t="shared" si="3"/>
        <v>4.0580792105637205E-2</v>
      </c>
      <c r="V86" s="194">
        <f t="shared" si="4"/>
        <v>0.43089178564038899</v>
      </c>
      <c r="W86">
        <f t="shared" si="5"/>
        <v>69</v>
      </c>
      <c r="X86" s="194">
        <f t="shared" si="6"/>
        <v>0.92648407227239638</v>
      </c>
      <c r="Y86" s="194" t="str">
        <f t="shared" si="7"/>
        <v/>
      </c>
      <c r="Z86" s="252" t="str">
        <f>IF(ISNUMBER(SEARCH("C", 'Dry_Litterbag Placem_Collection'!$T13)),"YES","NO")</f>
        <v>YES</v>
      </c>
      <c r="AA86" s="252" t="str">
        <f>IF(ISNUMBER(SEARCH("H", 'Dry_Litterbag Placem_Collection'!$T13)),"YES","NO")</f>
        <v>YES</v>
      </c>
      <c r="AB86" s="252" t="str">
        <f>IF(ISNUMBER(SEARCH("R", 'Dry_Litterbag Placem_Collection'!$T13)),"YES","NO")</f>
        <v>NO</v>
      </c>
      <c r="AC86" s="252" t="str">
        <f>IF(ISNUMBER(SEARCH("C", 'Dry_Litterbag Placem_Collection'!$S13)),"YES","NO")</f>
        <v>YES</v>
      </c>
      <c r="AD86" s="252" t="str">
        <f>IF(ISNUMBER(SEARCH("H", 'Dry_Litterbag Placem_Collection'!$S13)),"YES","NO")</f>
        <v>YES</v>
      </c>
      <c r="AE86" s="252" t="str">
        <f>IF(ISNUMBER(SEARCH("R", 'Dry_Litterbag Placem_Collection'!$S13)),"YES","NO")</f>
        <v>NO</v>
      </c>
    </row>
    <row r="87" spans="2:31">
      <c r="B87" t="str">
        <f>'Final data_for_R_analysis_Dryse'!A13</f>
        <v>Dry</v>
      </c>
      <c r="C87" s="260">
        <f>'Final data_for_R_analysis_Dryse'!B13</f>
        <v>12</v>
      </c>
      <c r="D87" t="s">
        <v>3802</v>
      </c>
      <c r="E87" t="s">
        <v>22</v>
      </c>
      <c r="F87" s="382">
        <v>4</v>
      </c>
      <c r="G87" s="16" t="str">
        <f>IF('Dry_Litterbag Placem_Collection'!E14="","",'Dry_Litterbag Placem_Collection'!E14)</f>
        <v/>
      </c>
      <c r="H87" t="str">
        <f>'Final data_for_R_analysis_Dryse'!K13</f>
        <v/>
      </c>
      <c r="I87" t="str">
        <f>'Final data_for_R_analysis_Dryse'!K233</f>
        <v/>
      </c>
      <c r="J87" t="str">
        <f>IFERROR(INDEX('Green_rooibos initial weight'!$C$5:$C$2000,MATCH(H87, 'Green_rooibos initial weight'!$A$5:$A$2000,0)),"")</f>
        <v/>
      </c>
      <c r="K87" t="str">
        <f>IFERROR(INDEX('Green_rooibos initial weight'!$C$5:$C$2000,MATCH(I87, 'Green_rooibos initial weight'!$A$5:$A$2000,0)),"")</f>
        <v/>
      </c>
      <c r="L87" s="194" t="str">
        <f t="shared" si="0"/>
        <v/>
      </c>
      <c r="M87" s="237">
        <f>AVERAGE(Ashed_controlls!$K$1:$K$11)</f>
        <v>5.5147656768714146</v>
      </c>
      <c r="N87" s="194" t="str">
        <f>IFERROR(IF(K87&gt;0,(K87*$F$32-($F$29+$F$30)),""),"")</f>
        <v/>
      </c>
      <c r="O87" s="16" t="str">
        <f>IF('Dry_Litterbag Placem_Collection'!G14="","",'Dry_Litterbag Placem_Collection'!G14)</f>
        <v/>
      </c>
      <c r="P87" s="194" t="str">
        <f>IFERROR(INDEX('Both teabags AfterDry'!$D$3:$D$2000,MATCH(H87,'Both teabags AfterDry'!$A$3:$A$2000,0)),"")</f>
        <v/>
      </c>
      <c r="Q87" s="194" t="str">
        <f>IFERROR(INDEX('Both teabags AfterDry'!$D$3:$D$2000,MATCH(I87,'Both teabags AfterDry'!$A$3:$A$2000,0)),"")</f>
        <v/>
      </c>
      <c r="R87" s="194" t="str">
        <f t="shared" si="1"/>
        <v/>
      </c>
      <c r="S87" s="194" t="str">
        <f t="shared" si="1"/>
        <v/>
      </c>
      <c r="T87" s="194" t="str">
        <f t="shared" si="2"/>
        <v/>
      </c>
      <c r="U87" s="194" t="str">
        <f t="shared" si="3"/>
        <v/>
      </c>
      <c r="V87" s="194" t="str">
        <f t="shared" si="4"/>
        <v/>
      </c>
      <c r="W87" t="str">
        <f t="shared" si="5"/>
        <v/>
      </c>
      <c r="X87" s="194" t="str">
        <f t="shared" si="6"/>
        <v/>
      </c>
      <c r="Y87" s="194" t="str">
        <f t="shared" si="7"/>
        <v/>
      </c>
      <c r="Z87" s="252" t="str">
        <f>IF(ISNUMBER(SEARCH("C", 'Dry_Litterbag Placem_Collection'!$T14)),"YES","NO")</f>
        <v>NO</v>
      </c>
      <c r="AA87" s="252" t="str">
        <f>IF(ISNUMBER(SEARCH("H", 'Dry_Litterbag Placem_Collection'!$T14)),"YES","NO")</f>
        <v>NO</v>
      </c>
      <c r="AB87" s="252" t="str">
        <f>IF(ISNUMBER(SEARCH("R", 'Dry_Litterbag Placem_Collection'!$T14)),"YES","NO")</f>
        <v>NO</v>
      </c>
      <c r="AC87" s="252" t="str">
        <f>IF(ISNUMBER(SEARCH("C", 'Dry_Litterbag Placem_Collection'!$S14)),"YES","NO")</f>
        <v>NO</v>
      </c>
      <c r="AD87" s="252" t="str">
        <f>IF(ISNUMBER(SEARCH("H", 'Dry_Litterbag Placem_Collection'!$S14)),"YES","NO")</f>
        <v>NO</v>
      </c>
      <c r="AE87" s="252" t="str">
        <f>IF(ISNUMBER(SEARCH("R", 'Dry_Litterbag Placem_Collection'!$S14)),"YES","NO")</f>
        <v>NO</v>
      </c>
    </row>
    <row r="88" spans="2:31">
      <c r="B88" t="str">
        <f>'Final data_for_R_analysis_Dryse'!A14</f>
        <v>Dry</v>
      </c>
      <c r="C88" s="260">
        <f>'Final data_for_R_analysis_Dryse'!B14</f>
        <v>13</v>
      </c>
      <c r="D88" t="s">
        <v>3802</v>
      </c>
      <c r="E88" t="s">
        <v>22</v>
      </c>
      <c r="F88" s="382">
        <v>5</v>
      </c>
      <c r="G88" s="16">
        <f>IF('Dry_Litterbag Placem_Collection'!E15="","",'Dry_Litterbag Placem_Collection'!E15)</f>
        <v>42938</v>
      </c>
      <c r="H88" t="str">
        <f>'Final data_for_R_analysis_Dryse'!K14</f>
        <v>G2</v>
      </c>
      <c r="I88" t="str">
        <f>'Final data_for_R_analysis_Dryse'!K234</f>
        <v>R784</v>
      </c>
      <c r="J88">
        <f>IFERROR(INDEX('Green_rooibos initial weight'!$C$5:$C$2000,MATCH(H88, 'Green_rooibos initial weight'!$A$5:$A$2000,0)),"")</f>
        <v>2</v>
      </c>
      <c r="K88">
        <f>IFERROR(INDEX('Green_rooibos initial weight'!$C$5:$C$2000,MATCH(I88, 'Green_rooibos initial weight'!$A$5:$A$2000,0)),"")</f>
        <v>2.17</v>
      </c>
      <c r="L88" s="194">
        <f t="shared" si="0"/>
        <v>1.7502</v>
      </c>
      <c r="M88" s="237">
        <f>AVERAGE(Ashed_controlls!$K$1:$K$11)</f>
        <v>5.5147656768714146</v>
      </c>
      <c r="N88" s="194">
        <f>IFERROR(IF(K88&gt;0,(K88*$F$32-($F$29+$F$30)),""),"")</f>
        <v>1.9201999999999999</v>
      </c>
      <c r="O88" s="16">
        <f>IF('Dry_Litterbag Placem_Collection'!G15="","",'Dry_Litterbag Placem_Collection'!G15)</f>
        <v>43007</v>
      </c>
      <c r="P88" s="194">
        <f>IFERROR(INDEX('Both teabags AfterDry'!$D$3:$D$2000,MATCH(H88,'Both teabags AfterDry'!$A$3:$A$2000,0)),"")</f>
        <v>1.7587999999999999</v>
      </c>
      <c r="Q88" s="194">
        <f>IFERROR(INDEX('Both teabags AfterDry'!$D$3:$D$2000,MATCH(I88,'Both teabags AfterDry'!$A$3:$A$2000,0)),"")</f>
        <v>0</v>
      </c>
      <c r="R88" s="194">
        <f t="shared" si="1"/>
        <v>1.6081999999999999</v>
      </c>
      <c r="S88" s="194" t="str">
        <f t="shared" si="1"/>
        <v/>
      </c>
      <c r="T88" s="194">
        <f t="shared" si="2"/>
        <v>8.1133584733173447E-2</v>
      </c>
      <c r="U88" s="194">
        <f t="shared" si="3"/>
        <v>5.3189713506783559E-2</v>
      </c>
      <c r="V88" s="194" t="str">
        <f t="shared" si="4"/>
        <v/>
      </c>
      <c r="W88">
        <f t="shared" si="5"/>
        <v>69</v>
      </c>
      <c r="X88" s="194">
        <f t="shared" si="6"/>
        <v>0.90364182335727616</v>
      </c>
      <c r="Y88" s="194" t="str">
        <f t="shared" si="7"/>
        <v/>
      </c>
      <c r="Z88" s="252" t="str">
        <f>IF(ISNUMBER(SEARCH("C", 'Dry_Litterbag Placem_Collection'!$T15)),"YES","NO")</f>
        <v>YES</v>
      </c>
      <c r="AA88" s="252" t="str">
        <f>IF(ISNUMBER(SEARCH("H", 'Dry_Litterbag Placem_Collection'!$T15)),"YES","NO")</f>
        <v>YES</v>
      </c>
      <c r="AB88" s="252" t="str">
        <f>IF(ISNUMBER(SEARCH("R", 'Dry_Litterbag Placem_Collection'!$T15)),"YES","NO")</f>
        <v>NO</v>
      </c>
      <c r="AC88" s="252" t="str">
        <f>IF(ISNUMBER(SEARCH("C", 'Dry_Litterbag Placem_Collection'!$S15)),"YES","NO")</f>
        <v>YES</v>
      </c>
      <c r="AD88" s="252" t="str">
        <f>IF(ISNUMBER(SEARCH("H", 'Dry_Litterbag Placem_Collection'!$S15)),"YES","NO")</f>
        <v>NO</v>
      </c>
      <c r="AE88" s="252" t="str">
        <f>IF(ISNUMBER(SEARCH("R", 'Dry_Litterbag Placem_Collection'!$S15)),"YES","NO")</f>
        <v>NO</v>
      </c>
    </row>
    <row r="89" spans="2:31">
      <c r="B89" t="str">
        <f>'Final data_for_R_analysis_Dryse'!A15</f>
        <v>Dry</v>
      </c>
      <c r="C89" s="260">
        <f>'Final data_for_R_analysis_Dryse'!B15</f>
        <v>14</v>
      </c>
      <c r="D89" t="s">
        <v>3802</v>
      </c>
      <c r="E89" t="s">
        <v>22</v>
      </c>
      <c r="F89" s="382">
        <v>6</v>
      </c>
      <c r="G89" s="16">
        <f>IF('Dry_Litterbag Placem_Collection'!E16="","",'Dry_Litterbag Placem_Collection'!E16)</f>
        <v>42938</v>
      </c>
      <c r="H89" t="str">
        <f>'Final data_for_R_analysis_Dryse'!K15</f>
        <v>G225</v>
      </c>
      <c r="I89" t="str">
        <f>'Final data_for_R_analysis_Dryse'!K235</f>
        <v>R838</v>
      </c>
      <c r="J89">
        <f>IFERROR(INDEX('Green_rooibos initial weight'!$C$5:$C$2000,MATCH(H89, 'Green_rooibos initial weight'!$A$5:$A$2000,0)),"")</f>
        <v>2.117</v>
      </c>
      <c r="K89">
        <f>IFERROR(INDEX('Green_rooibos initial weight'!$C$5:$C$2000,MATCH(I89, 'Green_rooibos initial weight'!$A$5:$A$2000,0)),"")</f>
        <v>2.1589999999999998</v>
      </c>
      <c r="L89" s="194">
        <f t="shared" si="0"/>
        <v>1.8672</v>
      </c>
      <c r="M89" s="237">
        <f>AVERAGE(Ashed_controlls!$K$1:$K$11)</f>
        <v>5.5147656768714146</v>
      </c>
      <c r="N89" s="194">
        <f>IFERROR(IF(K89&gt;0,(K89*$F$32-($F$29+$F$30)),""),"")</f>
        <v>1.9091999999999998</v>
      </c>
      <c r="O89" s="16">
        <f>IF('Dry_Litterbag Placem_Collection'!G16="","",'Dry_Litterbag Placem_Collection'!G16)</f>
        <v>43007</v>
      </c>
      <c r="P89" s="194">
        <f>IFERROR(INDEX('Both teabags AfterDry'!$D$3:$D$2000,MATCH(H89,'Both teabags AfterDry'!$A$3:$A$2000,0)),"")</f>
        <v>1.25</v>
      </c>
      <c r="Q89" s="194">
        <f>IFERROR(INDEX('Both teabags AfterDry'!$D$3:$D$2000,MATCH(I89,'Both teabags AfterDry'!$A$3:$A$2000,0)),"")</f>
        <v>1.0848</v>
      </c>
      <c r="R89" s="194">
        <f t="shared" si="1"/>
        <v>1.0993999999999999</v>
      </c>
      <c r="S89" s="194">
        <f t="shared" si="1"/>
        <v>0.93419999999999992</v>
      </c>
      <c r="T89" s="194">
        <f t="shared" si="2"/>
        <v>0.411203941730934</v>
      </c>
      <c r="U89" s="194">
        <f t="shared" si="3"/>
        <v>0.26957788103975722</v>
      </c>
      <c r="V89" s="194">
        <f t="shared" si="4"/>
        <v>0.48931489629164049</v>
      </c>
      <c r="W89">
        <f t="shared" si="5"/>
        <v>69</v>
      </c>
      <c r="X89" s="194">
        <f t="shared" si="6"/>
        <v>0.51163427347870072</v>
      </c>
      <c r="Y89" s="194" t="str">
        <f t="shared" si="7"/>
        <v/>
      </c>
      <c r="Z89" s="252" t="str">
        <f>IF(ISNUMBER(SEARCH("C", 'Dry_Litterbag Placem_Collection'!$T16)),"YES","NO")</f>
        <v>YES</v>
      </c>
      <c r="AA89" s="252" t="str">
        <f>IF(ISNUMBER(SEARCH("H", 'Dry_Litterbag Placem_Collection'!$T16)),"YES","NO")</f>
        <v>YES</v>
      </c>
      <c r="AB89" s="252" t="str">
        <f>IF(ISNUMBER(SEARCH("R", 'Dry_Litterbag Placem_Collection'!$T16)),"YES","NO")</f>
        <v>NO</v>
      </c>
      <c r="AC89" s="252" t="str">
        <f>IF(ISNUMBER(SEARCH("C", 'Dry_Litterbag Placem_Collection'!$S16)),"YES","NO")</f>
        <v>NO</v>
      </c>
      <c r="AD89" s="252" t="str">
        <f>IF(ISNUMBER(SEARCH("H", 'Dry_Litterbag Placem_Collection'!$S16)),"YES","NO")</f>
        <v>YES</v>
      </c>
      <c r="AE89" s="252" t="str">
        <f>IF(ISNUMBER(SEARCH("R", 'Dry_Litterbag Placem_Collection'!$S16)),"YES","NO")</f>
        <v>NO</v>
      </c>
    </row>
    <row r="90" spans="2:31">
      <c r="B90" t="str">
        <f>'Final data_for_R_analysis_Dryse'!A16</f>
        <v>Dry</v>
      </c>
      <c r="C90" s="260">
        <f>'Final data_for_R_analysis_Dryse'!B16</f>
        <v>15</v>
      </c>
      <c r="D90" t="s">
        <v>3802</v>
      </c>
      <c r="E90" t="s">
        <v>22</v>
      </c>
      <c r="F90" s="382">
        <v>7</v>
      </c>
      <c r="G90" s="16">
        <f>IF('Dry_Litterbag Placem_Collection'!E17="","",'Dry_Litterbag Placem_Collection'!E17)</f>
        <v>42938</v>
      </c>
      <c r="H90" t="str">
        <f>'Final data_for_R_analysis_Dryse'!K16</f>
        <v>G444</v>
      </c>
      <c r="I90" t="str">
        <f>'Final data_for_R_analysis_Dryse'!K236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0"/>
        <v>1.7761999999999998</v>
      </c>
      <c r="M90" s="237">
        <f>AVERAGE(Ashed_controlls!$K$1:$K$11)</f>
        <v>5.5147656768714146</v>
      </c>
      <c r="N90" s="194">
        <f>IFERROR(IF(K90&gt;0,(K90*$F$32-($F$29+$F$30)),""),"")</f>
        <v>1.9552</v>
      </c>
      <c r="O90" s="16">
        <f>IF('Dry_Litterbag Placem_Collection'!G17="","",'Dry_Litterbag Placem_Collection'!G17)</f>
        <v>43007</v>
      </c>
      <c r="P90" s="194">
        <f>IFERROR(INDEX('Both teabags AfterDry'!$D$3:$D$2000,MATCH(H90,'Both teabags AfterDry'!$A$3:$A$2000,0)),"")</f>
        <v>1.3574999999999999</v>
      </c>
      <c r="Q90" s="194">
        <f>IFERROR(INDEX('Both teabags AfterDry'!$D$3:$D$2000,MATCH(I90,'Both teabags AfterDry'!$A$3:$A$2000,0)),"")</f>
        <v>0.24560000000000001</v>
      </c>
      <c r="R90" s="194">
        <f t="shared" si="1"/>
        <v>1.2068999999999999</v>
      </c>
      <c r="S90" s="194">
        <f t="shared" si="1"/>
        <v>9.5000000000000001E-2</v>
      </c>
      <c r="T90" s="194">
        <f t="shared" si="2"/>
        <v>0.32051570769057536</v>
      </c>
      <c r="U90" s="194">
        <f t="shared" si="3"/>
        <v>0.21012431193016345</v>
      </c>
      <c r="V90" s="194">
        <f t="shared" si="4"/>
        <v>4.8588379705400982E-2</v>
      </c>
      <c r="W90">
        <f t="shared" si="5"/>
        <v>69</v>
      </c>
      <c r="X90" s="194">
        <f t="shared" si="6"/>
        <v>0.61934001461926913</v>
      </c>
      <c r="Y90" s="194" t="str">
        <f t="shared" si="7"/>
        <v/>
      </c>
      <c r="Z90" s="252" t="str">
        <f>IF(ISNUMBER(SEARCH("C", 'Dry_Litterbag Placem_Collection'!$T17)),"YES","NO")</f>
        <v>YES</v>
      </c>
      <c r="AA90" s="252" t="str">
        <f>IF(ISNUMBER(SEARCH("H", 'Dry_Litterbag Placem_Collection'!$T17)),"YES","NO")</f>
        <v>YES</v>
      </c>
      <c r="AB90" s="252" t="str">
        <f>IF(ISNUMBER(SEARCH("R", 'Dry_Litterbag Placem_Collection'!$T17)),"YES","NO")</f>
        <v>NO</v>
      </c>
      <c r="AC90" s="252" t="str">
        <f>IF(ISNUMBER(SEARCH("C", 'Dry_Litterbag Placem_Collection'!$S17)),"YES","NO")</f>
        <v>YES</v>
      </c>
      <c r="AD90" s="252" t="str">
        <f>IF(ISNUMBER(SEARCH("H", 'Dry_Litterbag Placem_Collection'!$S17)),"YES","NO")</f>
        <v>YES</v>
      </c>
      <c r="AE90" s="252" t="str">
        <f>IF(ISNUMBER(SEARCH("R", 'Dry_Litterbag Placem_Collection'!$S17)),"YES","NO")</f>
        <v>NO</v>
      </c>
    </row>
    <row r="91" spans="2:31">
      <c r="B91" t="str">
        <f>'Final data_for_R_analysis_Dryse'!A17</f>
        <v>Dry</v>
      </c>
      <c r="C91" s="260">
        <f>'Final data_for_R_analysis_Dryse'!B17</f>
        <v>16</v>
      </c>
      <c r="D91" t="s">
        <v>3802</v>
      </c>
      <c r="E91" t="s">
        <v>22</v>
      </c>
      <c r="F91" s="382">
        <v>8</v>
      </c>
      <c r="G91" s="16">
        <f>IF('Dry_Litterbag Placem_Collection'!E18="","",'Dry_Litterbag Placem_Collection'!E18)</f>
        <v>42938</v>
      </c>
      <c r="H91" t="str">
        <f>'Final data_for_R_analysis_Dryse'!K17</f>
        <v>G376</v>
      </c>
      <c r="I91" t="str">
        <f>'Final data_for_R_analysis_Dryse'!K237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0"/>
        <v>1.7831999999999999</v>
      </c>
      <c r="M91" s="237">
        <f>AVERAGE(Ashed_controlls!$K$1:$K$11)</f>
        <v>5.5147656768714146</v>
      </c>
      <c r="N91" s="194">
        <f>IFERROR(IF(K91&gt;0,(K91*$F$32-($F$29+$F$30)),""),"")</f>
        <v>1.9622000000000002</v>
      </c>
      <c r="O91" s="16">
        <f>IF('Dry_Litterbag Placem_Collection'!G18="","",'Dry_Litterbag Placem_Collection'!G18)</f>
        <v>43007</v>
      </c>
      <c r="P91" s="194" t="str">
        <f>IFERROR(INDEX('Both teabags AfterDry'!$D$3:$D$2000,MATCH(H91,'Both teabags AfterDry'!$A$3:$A$2000,0)),"")</f>
        <v/>
      </c>
      <c r="Q91" s="194" t="str">
        <f>IFERROR(INDEX('Both teabags AfterDry'!$D$3:$D$2000,MATCH(I91,'Both teabags AfterDry'!$A$3:$A$2000,0)),"")</f>
        <v/>
      </c>
      <c r="R91" s="194" t="str">
        <f t="shared" si="1"/>
        <v/>
      </c>
      <c r="S91" s="194" t="str">
        <f t="shared" si="1"/>
        <v/>
      </c>
      <c r="T91" s="194" t="str">
        <f t="shared" si="2"/>
        <v/>
      </c>
      <c r="U91" s="194" t="str">
        <f t="shared" si="3"/>
        <v/>
      </c>
      <c r="V91" s="194" t="str">
        <f t="shared" si="4"/>
        <v/>
      </c>
      <c r="W91">
        <f t="shared" si="5"/>
        <v>69</v>
      </c>
      <c r="X91" s="194" t="str">
        <f t="shared" si="6"/>
        <v/>
      </c>
      <c r="Y91" s="194" t="str">
        <f t="shared" si="7"/>
        <v/>
      </c>
      <c r="Z91" s="252" t="str">
        <f>IF(ISNUMBER(SEARCH("C", 'Dry_Litterbag Placem_Collection'!$T18)),"YES","NO")</f>
        <v>YES</v>
      </c>
      <c r="AA91" s="252" t="str">
        <f>IF(ISNUMBER(SEARCH("H", 'Dry_Litterbag Placem_Collection'!$T18)),"YES","NO")</f>
        <v>YES</v>
      </c>
      <c r="AB91" s="252" t="str">
        <f>IF(ISNUMBER(SEARCH("R", 'Dry_Litterbag Placem_Collection'!$T18)),"YES","NO")</f>
        <v>NO</v>
      </c>
      <c r="AC91" s="252" t="str">
        <f>IF(ISNUMBER(SEARCH("C", 'Dry_Litterbag Placem_Collection'!$S18)),"YES","NO")</f>
        <v>YES</v>
      </c>
      <c r="AD91" s="252" t="str">
        <f>IF(ISNUMBER(SEARCH("H", 'Dry_Litterbag Placem_Collection'!$S18)),"YES","NO")</f>
        <v>YES</v>
      </c>
      <c r="AE91" s="252" t="str">
        <f>IF(ISNUMBER(SEARCH("R", 'Dry_Litterbag Placem_Collection'!$S18)),"YES","NO")</f>
        <v>NO</v>
      </c>
    </row>
    <row r="92" spans="2:31">
      <c r="B92" t="str">
        <f>'Final data_for_R_analysis_Dryse'!A18</f>
        <v>Dry</v>
      </c>
      <c r="C92" s="260">
        <f>'Final data_for_R_analysis_Dryse'!B18</f>
        <v>17</v>
      </c>
      <c r="D92" t="s">
        <v>3803</v>
      </c>
      <c r="E92" t="s">
        <v>22</v>
      </c>
      <c r="F92" s="381">
        <v>1</v>
      </c>
      <c r="G92" s="16">
        <f>IF('Dry_Litterbag Placem_Collection'!E19="","",'Dry_Litterbag Placem_Collection'!E19)</f>
        <v>42936</v>
      </c>
      <c r="H92" t="str">
        <f>'Final data_for_R_analysis_Dryse'!K18</f>
        <v>G209</v>
      </c>
      <c r="I92" t="str">
        <f>'Final data_for_R_analysis_Dryse'!K238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0"/>
        <v>1.8662000000000001</v>
      </c>
      <c r="M92" s="237">
        <f>AVERAGE(Ashed_controlls!$K$1:$K$11)</f>
        <v>5.5147656768714146</v>
      </c>
      <c r="N92" s="194">
        <f>IFERROR(IF(K92&gt;0,(K92*$F$32-($F$29+$F$30)),""),"")</f>
        <v>1.9161999999999999</v>
      </c>
      <c r="O92" s="16">
        <f>IF('Dry_Litterbag Placem_Collection'!G19="","",'Dry_Litterbag Placem_Collection'!G19)</f>
        <v>43007</v>
      </c>
      <c r="P92" s="194">
        <f>IFERROR(INDEX('Both teabags AfterDry'!$D$3:$D$2000,MATCH(H92,'Both teabags AfterDry'!$A$3:$A$2000,0)),"")</f>
        <v>1.9087000000000001</v>
      </c>
      <c r="Q92" s="194">
        <f>IFERROR(INDEX('Both teabags AfterDry'!$D$3:$D$2000,MATCH(I92,'Both teabags AfterDry'!$A$3:$A$2000,0)),"")</f>
        <v>1.9086000000000001</v>
      </c>
      <c r="R92" s="194">
        <f t="shared" si="1"/>
        <v>1.7581</v>
      </c>
      <c r="S92" s="194">
        <f t="shared" si="1"/>
        <v>1.758</v>
      </c>
      <c r="T92" s="194">
        <f t="shared" si="2"/>
        <v>5.7925195584610512E-2</v>
      </c>
      <c r="U92" s="194">
        <f t="shared" si="3"/>
        <v>3.7974712544780305E-2</v>
      </c>
      <c r="V92" s="194">
        <f t="shared" si="4"/>
        <v>0.9174407681870369</v>
      </c>
      <c r="W92">
        <f t="shared" si="5"/>
        <v>71</v>
      </c>
      <c r="X92" s="194">
        <f t="shared" si="6"/>
        <v>0.93120523089713714</v>
      </c>
      <c r="Y92" s="194" t="str">
        <f t="shared" si="7"/>
        <v/>
      </c>
      <c r="Z92" s="252" t="str">
        <f>IF(ISNUMBER(SEARCH("C", 'Dry_Litterbag Placem_Collection'!$T19)),"YES","NO")</f>
        <v>NO</v>
      </c>
      <c r="AA92" s="252" t="str">
        <f>IF(ISNUMBER(SEARCH("H", 'Dry_Litterbag Placem_Collection'!$T19)),"YES","NO")</f>
        <v>NO</v>
      </c>
      <c r="AB92" s="252" t="str">
        <f>IF(ISNUMBER(SEARCH("R", 'Dry_Litterbag Placem_Collection'!$T19)),"YES","NO")</f>
        <v>NO</v>
      </c>
      <c r="AC92" s="252" t="str">
        <f>IF(ISNUMBER(SEARCH("C", 'Dry_Litterbag Placem_Collection'!$S19)),"YES","NO")</f>
        <v>NO</v>
      </c>
      <c r="AD92" s="252" t="str">
        <f>IF(ISNUMBER(SEARCH("H", 'Dry_Litterbag Placem_Collection'!$S19)),"YES","NO")</f>
        <v>NO</v>
      </c>
      <c r="AE92" s="252" t="str">
        <f>IF(ISNUMBER(SEARCH("R", 'Dry_Litterbag Placem_Collection'!$S19)),"YES","NO")</f>
        <v>NO</v>
      </c>
    </row>
    <row r="93" spans="2:31">
      <c r="B93" t="str">
        <f>'Final data_for_R_analysis_Dryse'!A19</f>
        <v>Dry</v>
      </c>
      <c r="C93" s="260">
        <f>'Final data_for_R_analysis_Dryse'!B19</f>
        <v>18</v>
      </c>
      <c r="D93" t="s">
        <v>3803</v>
      </c>
      <c r="E93" t="s">
        <v>22</v>
      </c>
      <c r="F93" s="381">
        <v>2</v>
      </c>
      <c r="G93" s="16">
        <f>IF('Dry_Litterbag Placem_Collection'!E20="","",'Dry_Litterbag Placem_Collection'!E20)</f>
        <v>42936</v>
      </c>
      <c r="H93" t="str">
        <f>'Final data_for_R_analysis_Dryse'!K19</f>
        <v>G10</v>
      </c>
      <c r="I93" t="str">
        <f>'Final data_for_R_analysis_Dryse'!K239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0"/>
        <v>1.7212000000000001</v>
      </c>
      <c r="M93" s="237">
        <f>AVERAGE(Ashed_controlls!$K$1:$K$11)</f>
        <v>5.5147656768714146</v>
      </c>
      <c r="N93" s="194">
        <f>IFERROR(IF(K93&gt;0,(K93*$F$32-($F$29+$F$30)),""),"")</f>
        <v>1.9691999999999998</v>
      </c>
      <c r="O93" s="16">
        <f>IF('Dry_Litterbag Placem_Collection'!G20="","",'Dry_Litterbag Placem_Collection'!G20)</f>
        <v>43007</v>
      </c>
      <c r="P93" s="194">
        <f>IFERROR(INDEX('Both teabags AfterDry'!$D$3:$D$2000,MATCH(H93,'Both teabags AfterDry'!$A$3:$A$2000,0)),"")</f>
        <v>1.7706999999999999</v>
      </c>
      <c r="Q93" s="194">
        <f>IFERROR(INDEX('Both teabags AfterDry'!$D$3:$D$2000,MATCH(I93,'Both teabags AfterDry'!$A$3:$A$2000,0)),"")</f>
        <v>1.9874000000000001</v>
      </c>
      <c r="R93" s="194">
        <f t="shared" si="1"/>
        <v>1.6200999999999999</v>
      </c>
      <c r="S93" s="194">
        <f t="shared" si="1"/>
        <v>1.8368</v>
      </c>
      <c r="T93" s="194">
        <f t="shared" si="2"/>
        <v>5.8738089704857166E-2</v>
      </c>
      <c r="U93" s="194">
        <f t="shared" si="3"/>
        <v>3.8507631255440822E-2</v>
      </c>
      <c r="V93" s="194">
        <f t="shared" si="4"/>
        <v>0.93276457444647576</v>
      </c>
      <c r="W93">
        <f t="shared" si="5"/>
        <v>71</v>
      </c>
      <c r="X93" s="194">
        <f t="shared" si="6"/>
        <v>0.93023979845028837</v>
      </c>
      <c r="Y93" s="194" t="str">
        <f t="shared" si="7"/>
        <v/>
      </c>
      <c r="Z93" s="252" t="str">
        <f>IF(ISNUMBER(SEARCH("C", 'Dry_Litterbag Placem_Collection'!$T20)),"YES","NO")</f>
        <v>NO</v>
      </c>
      <c r="AA93" s="252" t="str">
        <f>IF(ISNUMBER(SEARCH("H", 'Dry_Litterbag Placem_Collection'!$T20)),"YES","NO")</f>
        <v>YES</v>
      </c>
      <c r="AB93" s="252" t="str">
        <f>IF(ISNUMBER(SEARCH("R", 'Dry_Litterbag Placem_Collection'!$T20)),"YES","NO")</f>
        <v>NO</v>
      </c>
      <c r="AC93" s="252" t="str">
        <f>IF(ISNUMBER(SEARCH("C", 'Dry_Litterbag Placem_Collection'!$S20)),"YES","NO")</f>
        <v>NO</v>
      </c>
      <c r="AD93" s="252" t="str">
        <f>IF(ISNUMBER(SEARCH("H", 'Dry_Litterbag Placem_Collection'!$S20)),"YES","NO")</f>
        <v>NO</v>
      </c>
      <c r="AE93" s="252" t="str">
        <f>IF(ISNUMBER(SEARCH("R", 'Dry_Litterbag Placem_Collection'!$S20)),"YES","NO")</f>
        <v>NO</v>
      </c>
    </row>
    <row r="94" spans="2:31">
      <c r="B94" t="str">
        <f>'Final data_for_R_analysis_Dryse'!A20</f>
        <v>Dry</v>
      </c>
      <c r="C94" s="260">
        <f>'Final data_for_R_analysis_Dryse'!B20</f>
        <v>19</v>
      </c>
      <c r="D94" t="s">
        <v>3803</v>
      </c>
      <c r="E94" t="s">
        <v>22</v>
      </c>
      <c r="F94" s="381">
        <v>3</v>
      </c>
      <c r="G94" s="16">
        <f>IF('Dry_Litterbag Placem_Collection'!E21="","",'Dry_Litterbag Placem_Collection'!E21)</f>
        <v>42936</v>
      </c>
      <c r="H94" t="str">
        <f>'Final data_for_R_analysis_Dryse'!K20</f>
        <v>G190</v>
      </c>
      <c r="I94" t="str">
        <f>'Final data_for_R_analysis_Dryse'!K240</f>
        <v>R749</v>
      </c>
      <c r="J94">
        <f>IFERROR(INDEX('Green_rooibos initial weight'!$C$5:$C$2000,MATCH(H94, 'Green_rooibos initial weight'!$A$5:$A$2000,0)),"")</f>
        <v>1.909</v>
      </c>
      <c r="K94">
        <f>IFERROR(INDEX('Green_rooibos initial weight'!$C$5:$C$2000,MATCH(I94, 'Green_rooibos initial weight'!$A$5:$A$2000,0)),"")</f>
        <v>2.2050000000000001</v>
      </c>
      <c r="L94" s="194">
        <f t="shared" si="0"/>
        <v>1.6592</v>
      </c>
      <c r="M94" s="237">
        <f>AVERAGE(Ashed_controlls!$K$1:$K$11)</f>
        <v>5.5147656768714146</v>
      </c>
      <c r="N94" s="194">
        <f>IFERROR(IF(K94&gt;0,(K94*$F$32-($F$29+$F$30)),""),"")</f>
        <v>1.9552</v>
      </c>
      <c r="O94" s="16">
        <f>IF('Dry_Litterbag Placem_Collection'!G21="","",'Dry_Litterbag Placem_Collection'!G21)</f>
        <v>43007</v>
      </c>
      <c r="P94" s="194">
        <f>IFERROR(INDEX('Both teabags AfterDry'!$D$3:$D$2000,MATCH(H94,'Both teabags AfterDry'!$A$3:$A$2000,0)),"")</f>
        <v>1.7041999999999999</v>
      </c>
      <c r="Q94" s="194">
        <f>IFERROR(INDEX('Both teabags AfterDry'!$D$3:$D$2000,MATCH(I94,'Both teabags AfterDry'!$A$3:$A$2000,0)),"")</f>
        <v>1.9492</v>
      </c>
      <c r="R94" s="194">
        <f t="shared" si="1"/>
        <v>1.5535999999999999</v>
      </c>
      <c r="S94" s="194">
        <f t="shared" si="1"/>
        <v>1.7986</v>
      </c>
      <c r="T94" s="194">
        <f t="shared" si="2"/>
        <v>6.3645130183220933E-2</v>
      </c>
      <c r="U94" s="194">
        <f t="shared" si="3"/>
        <v>4.1724598409902565E-2</v>
      </c>
      <c r="V94" s="194">
        <f t="shared" si="4"/>
        <v>0.91990589198035999</v>
      </c>
      <c r="W94">
        <f t="shared" si="5"/>
        <v>71</v>
      </c>
      <c r="X94" s="194">
        <f t="shared" si="6"/>
        <v>0.92441195940235044</v>
      </c>
      <c r="Y94" s="194" t="str">
        <f t="shared" si="7"/>
        <v/>
      </c>
      <c r="Z94" s="252" t="str">
        <f>IF(ISNUMBER(SEARCH("C", 'Dry_Litterbag Placem_Collection'!$T21)),"YES","NO")</f>
        <v>NO</v>
      </c>
      <c r="AA94" s="252" t="str">
        <f>IF(ISNUMBER(SEARCH("H", 'Dry_Litterbag Placem_Collection'!$T21)),"YES","NO")</f>
        <v>NO</v>
      </c>
      <c r="AB94" s="252" t="str">
        <f>IF(ISNUMBER(SEARCH("R", 'Dry_Litterbag Placem_Collection'!$T21)),"YES","NO")</f>
        <v>NO</v>
      </c>
      <c r="AC94" s="252" t="str">
        <f>IF(ISNUMBER(SEARCH("C", 'Dry_Litterbag Placem_Collection'!$S21)),"YES","NO")</f>
        <v>NO</v>
      </c>
      <c r="AD94" s="252" t="str">
        <f>IF(ISNUMBER(SEARCH("H", 'Dry_Litterbag Placem_Collection'!$S21)),"YES","NO")</f>
        <v>YES</v>
      </c>
      <c r="AE94" s="252" t="str">
        <f>IF(ISNUMBER(SEARCH("R", 'Dry_Litterbag Placem_Collection'!$S21)),"YES","NO")</f>
        <v>NO</v>
      </c>
    </row>
    <row r="95" spans="2:31">
      <c r="B95" t="str">
        <f>'Final data_for_R_analysis_Dryse'!A21</f>
        <v>Dry</v>
      </c>
      <c r="C95" s="260">
        <f>'Final data_for_R_analysis_Dryse'!B21</f>
        <v>20</v>
      </c>
      <c r="D95" t="s">
        <v>3803</v>
      </c>
      <c r="E95" t="s">
        <v>22</v>
      </c>
      <c r="F95" s="382">
        <v>4</v>
      </c>
      <c r="G95" s="16">
        <f>IF('Dry_Litterbag Placem_Collection'!E22="","",'Dry_Litterbag Placem_Collection'!E22)</f>
        <v>42936</v>
      </c>
      <c r="H95" t="str">
        <f>'Final data_for_R_analysis_Dryse'!K21</f>
        <v>G38</v>
      </c>
      <c r="I95" t="str">
        <f>'Final data_for_R_analysis_Dryse'!K241</f>
        <v>R632</v>
      </c>
      <c r="J95">
        <f>IFERROR(INDEX('Green_rooibos initial weight'!$C$5:$C$2000,MATCH(H95, 'Green_rooibos initial weight'!$A$5:$A$2000,0)),"")</f>
        <v>1.93</v>
      </c>
      <c r="K95">
        <f>IFERROR(INDEX('Green_rooibos initial weight'!$C$5:$C$2000,MATCH(I95, 'Green_rooibos initial weight'!$A$5:$A$2000,0)),"")</f>
        <v>2.1269999999999998</v>
      </c>
      <c r="L95" s="194">
        <f t="shared" si="0"/>
        <v>1.6801999999999999</v>
      </c>
      <c r="M95" s="237">
        <f>AVERAGE(Ashed_controlls!$K$1:$K$11)</f>
        <v>5.5147656768714146</v>
      </c>
      <c r="N95" s="194">
        <f>IFERROR(IF(K95&gt;0,(K95*$F$32-($F$29+$F$30)),""),"")</f>
        <v>1.8771999999999998</v>
      </c>
      <c r="O95" s="16">
        <f>IF('Dry_Litterbag Placem_Collection'!G22="","",'Dry_Litterbag Placem_Collection'!G22)</f>
        <v>43007</v>
      </c>
      <c r="P95" s="194">
        <f>IFERROR(INDEX('Both teabags AfterDry'!$D$3:$D$2000,MATCH(H95,'Both teabags AfterDry'!$A$3:$A$2000,0)),"")</f>
        <v>1.6738</v>
      </c>
      <c r="Q95" s="194">
        <f>IFERROR(INDEX('Both teabags AfterDry'!$D$3:$D$2000,MATCH(I95,'Both teabags AfterDry'!$A$3:$A$2000,0)),"")</f>
        <v>1.9161999999999999</v>
      </c>
      <c r="R95" s="194">
        <f t="shared" si="1"/>
        <v>1.5231999999999999</v>
      </c>
      <c r="S95" s="194">
        <f t="shared" si="1"/>
        <v>1.7655999999999998</v>
      </c>
      <c r="T95" s="194">
        <f t="shared" si="2"/>
        <v>9.3441256993215149E-2</v>
      </c>
      <c r="U95" s="194">
        <f t="shared" si="3"/>
        <v>6.1258401259209942E-2</v>
      </c>
      <c r="V95" s="194">
        <f t="shared" si="4"/>
        <v>0.94054975495418713</v>
      </c>
      <c r="W95">
        <f t="shared" si="5"/>
        <v>71</v>
      </c>
      <c r="X95" s="194">
        <f t="shared" si="6"/>
        <v>0.889024635399982</v>
      </c>
      <c r="Y95" s="194">
        <f t="shared" si="7"/>
        <v>4.9616807661713842E-2</v>
      </c>
      <c r="Z95" s="252" t="str">
        <f>IF(ISNUMBER(SEARCH("C", 'Dry_Litterbag Placem_Collection'!$T22)),"YES","NO")</f>
        <v>NO</v>
      </c>
      <c r="AA95" s="252" t="str">
        <f>IF(ISNUMBER(SEARCH("H", 'Dry_Litterbag Placem_Collection'!$T22)),"YES","NO")</f>
        <v>NO</v>
      </c>
      <c r="AB95" s="252" t="str">
        <f>IF(ISNUMBER(SEARCH("R", 'Dry_Litterbag Placem_Collection'!$T22)),"YES","NO")</f>
        <v>NO</v>
      </c>
      <c r="AC95" s="252" t="str">
        <f>IF(ISNUMBER(SEARCH("C", 'Dry_Litterbag Placem_Collection'!$S22)),"YES","NO")</f>
        <v>NO</v>
      </c>
      <c r="AD95" s="252" t="str">
        <f>IF(ISNUMBER(SEARCH("H", 'Dry_Litterbag Placem_Collection'!$S22)),"YES","NO")</f>
        <v>YES</v>
      </c>
      <c r="AE95" s="252" t="str">
        <f>IF(ISNUMBER(SEARCH("R", 'Dry_Litterbag Placem_Collection'!$S22)),"YES","NO")</f>
        <v>NO</v>
      </c>
    </row>
    <row r="96" spans="2:31">
      <c r="B96" t="str">
        <f>'Final data_for_R_analysis_Dryse'!A22</f>
        <v>Dry</v>
      </c>
      <c r="C96" s="260">
        <f>'Final data_for_R_analysis_Dryse'!B22</f>
        <v>21</v>
      </c>
      <c r="D96" t="s">
        <v>3803</v>
      </c>
      <c r="E96" t="s">
        <v>22</v>
      </c>
      <c r="F96" s="382">
        <v>5</v>
      </c>
      <c r="G96" s="16">
        <f>IF('Dry_Litterbag Placem_Collection'!E23="","",'Dry_Litterbag Placem_Collection'!E23)</f>
        <v>42936</v>
      </c>
      <c r="H96" t="str">
        <f>'Final data_for_R_analysis_Dryse'!K22</f>
        <v>G468</v>
      </c>
      <c r="I96" t="str">
        <f>'Final data_for_R_analysis_Dryse'!K242</f>
        <v>R630</v>
      </c>
      <c r="J96">
        <f>IFERROR(INDEX('Green_rooibos initial weight'!$C$5:$C$2000,MATCH(H96, 'Green_rooibos initial weight'!$A$5:$A$2000,0)),"")</f>
        <v>2.1309999999999998</v>
      </c>
      <c r="K96">
        <f>IFERROR(INDEX('Green_rooibos initial weight'!$C$5:$C$2000,MATCH(I96, 'Green_rooibos initial weight'!$A$5:$A$2000,0)),"")</f>
        <v>2.13</v>
      </c>
      <c r="L96" s="194">
        <f t="shared" si="0"/>
        <v>1.8811999999999998</v>
      </c>
      <c r="M96" s="237">
        <f>AVERAGE(Ashed_controlls!$K$1:$K$11)</f>
        <v>5.5147656768714146</v>
      </c>
      <c r="N96" s="194">
        <f>IFERROR(IF(K96&gt;0,(K96*$F$32-($F$29+$F$30)),""),"")</f>
        <v>1.8801999999999999</v>
      </c>
      <c r="O96" s="16">
        <f>IF('Dry_Litterbag Placem_Collection'!G23="","",'Dry_Litterbag Placem_Collection'!G23)</f>
        <v>43007</v>
      </c>
      <c r="P96" s="194" t="str">
        <f>IFERROR(INDEX('Both teabags AfterDry'!$D$3:$D$2000,MATCH(H96,'Both teabags AfterDry'!$A$3:$A$2000,0)),"")</f>
        <v/>
      </c>
      <c r="Q96" s="194" t="str">
        <f>IFERROR(INDEX('Both teabags AfterDry'!$D$3:$D$2000,MATCH(I96,'Both teabags AfterDry'!$A$3:$A$2000,0)),"")</f>
        <v/>
      </c>
      <c r="R96" s="194" t="str">
        <f t="shared" si="1"/>
        <v/>
      </c>
      <c r="S96" s="194" t="str">
        <f t="shared" si="1"/>
        <v/>
      </c>
      <c r="T96" s="194" t="str">
        <f t="shared" si="2"/>
        <v/>
      </c>
      <c r="U96" s="194" t="str">
        <f t="shared" si="3"/>
        <v/>
      </c>
      <c r="V96" s="194" t="str">
        <f t="shared" si="4"/>
        <v/>
      </c>
      <c r="W96">
        <f t="shared" si="5"/>
        <v>71</v>
      </c>
      <c r="X96" s="194" t="str">
        <f t="shared" si="6"/>
        <v/>
      </c>
      <c r="Y96" s="194" t="str">
        <f t="shared" si="7"/>
        <v/>
      </c>
      <c r="Z96" s="252" t="str">
        <f>IF(ISNUMBER(SEARCH("C", 'Dry_Litterbag Placem_Collection'!$T23)),"YES","NO")</f>
        <v>NO</v>
      </c>
      <c r="AA96" s="252" t="str">
        <f>IF(ISNUMBER(SEARCH("H", 'Dry_Litterbag Placem_Collection'!$T23)),"YES","NO")</f>
        <v>NO</v>
      </c>
      <c r="AB96" s="252" t="str">
        <f>IF(ISNUMBER(SEARCH("R", 'Dry_Litterbag Placem_Collection'!$T23)),"YES","NO")</f>
        <v>NO</v>
      </c>
      <c r="AC96" s="252" t="str">
        <f>IF(ISNUMBER(SEARCH("C", 'Dry_Litterbag Placem_Collection'!$S23)),"YES","NO")</f>
        <v>NO</v>
      </c>
      <c r="AD96" s="252" t="str">
        <f>IF(ISNUMBER(SEARCH("H", 'Dry_Litterbag Placem_Collection'!$S23)),"YES","NO")</f>
        <v>NO</v>
      </c>
      <c r="AE96" s="252" t="str">
        <f>IF(ISNUMBER(SEARCH("R", 'Dry_Litterbag Placem_Collection'!$S23)),"YES","NO")</f>
        <v>NO</v>
      </c>
    </row>
    <row r="97" spans="2:31">
      <c r="B97" t="str">
        <f>'Final data_for_R_analysis_Dryse'!A23</f>
        <v>Dry</v>
      </c>
      <c r="C97" s="260">
        <f>'Final data_for_R_analysis_Dryse'!B23</f>
        <v>22</v>
      </c>
      <c r="D97" t="s">
        <v>3803</v>
      </c>
      <c r="E97" t="s">
        <v>22</v>
      </c>
      <c r="F97" s="382">
        <v>6</v>
      </c>
      <c r="G97" s="16">
        <f>IF('Dry_Litterbag Placem_Collection'!E24="","",'Dry_Litterbag Placem_Collection'!E24)</f>
        <v>42936</v>
      </c>
      <c r="H97" t="str">
        <f>'Final data_for_R_analysis_Dryse'!K23</f>
        <v>G8</v>
      </c>
      <c r="I97" t="str">
        <f>'Final data_for_R_analysis_Dryse'!K243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0"/>
        <v>1.7711999999999999</v>
      </c>
      <c r="M97" s="237">
        <f>AVERAGE(Ashed_controlls!$K$1:$K$11)</f>
        <v>5.5147656768714146</v>
      </c>
      <c r="N97" s="194">
        <f>IFERROR(IF(K97&gt;0,(K97*$F$32-($F$29+$F$30)),""),"")</f>
        <v>2.0061999999999998</v>
      </c>
      <c r="O97" s="16">
        <f>IF('Dry_Litterbag Placem_Collection'!G24="","",'Dry_Litterbag Placem_Collection'!G24)</f>
        <v>43007</v>
      </c>
      <c r="P97" s="194">
        <f>IFERROR(INDEX('Both teabags AfterDry'!$D$3:$D$2000,MATCH(H97,'Both teabags AfterDry'!$A$3:$A$2000,0)),"")</f>
        <v>1.4722999999999999</v>
      </c>
      <c r="Q97" s="194">
        <f>IFERROR(INDEX('Both teabags AfterDry'!$D$3:$D$2000,MATCH(I97,'Both teabags AfterDry'!$A$3:$A$2000,0)),"")</f>
        <v>1.8997999999999999</v>
      </c>
      <c r="R97" s="194">
        <f t="shared" si="1"/>
        <v>1.3216999999999999</v>
      </c>
      <c r="S97" s="194">
        <f t="shared" si="1"/>
        <v>1.7491999999999999</v>
      </c>
      <c r="T97" s="194">
        <f t="shared" si="2"/>
        <v>0.25378274616079499</v>
      </c>
      <c r="U97" s="194">
        <f t="shared" si="3"/>
        <v>0.16637538703178012</v>
      </c>
      <c r="V97" s="194">
        <f t="shared" si="4"/>
        <v>0.87189711893131294</v>
      </c>
      <c r="W97">
        <f t="shared" si="5"/>
        <v>71</v>
      </c>
      <c r="X97" s="194">
        <f t="shared" si="6"/>
        <v>0.69859531334822444</v>
      </c>
      <c r="Y97" s="194">
        <f t="shared" si="7"/>
        <v>2.069739189498471E-2</v>
      </c>
      <c r="Z97" s="252" t="str">
        <f>IF(ISNUMBER(SEARCH("C", 'Dry_Litterbag Placem_Collection'!$T24)),"YES","NO")</f>
        <v>NO</v>
      </c>
      <c r="AA97" s="252" t="str">
        <f>IF(ISNUMBER(SEARCH("H", 'Dry_Litterbag Placem_Collection'!$T24)),"YES","NO")</f>
        <v>YES</v>
      </c>
      <c r="AB97" s="252" t="str">
        <f>IF(ISNUMBER(SEARCH("R", 'Dry_Litterbag Placem_Collection'!$T24)),"YES","NO")</f>
        <v>NO</v>
      </c>
      <c r="AC97" s="252" t="str">
        <f>IF(ISNUMBER(SEARCH("C", 'Dry_Litterbag Placem_Collection'!$S24)),"YES","NO")</f>
        <v>NO</v>
      </c>
      <c r="AD97" s="252" t="str">
        <f>IF(ISNUMBER(SEARCH("H", 'Dry_Litterbag Placem_Collection'!$S24)),"YES","NO")</f>
        <v>NO</v>
      </c>
      <c r="AE97" s="252" t="str">
        <f>IF(ISNUMBER(SEARCH("R", 'Dry_Litterbag Placem_Collection'!$S24)),"YES","NO")</f>
        <v>NO</v>
      </c>
    </row>
    <row r="98" spans="2:31">
      <c r="B98" t="str">
        <f>'Final data_for_R_analysis_Dryse'!A24</f>
        <v>Dry</v>
      </c>
      <c r="C98" s="260">
        <f>'Final data_for_R_analysis_Dryse'!B24</f>
        <v>23</v>
      </c>
      <c r="D98" t="s">
        <v>3803</v>
      </c>
      <c r="E98" t="s">
        <v>22</v>
      </c>
      <c r="F98" s="382">
        <v>7</v>
      </c>
      <c r="G98" s="16" t="str">
        <f>IF('Dry_Litterbag Placem_Collection'!E25="","",'Dry_Litterbag Placem_Collection'!E25)</f>
        <v/>
      </c>
      <c r="H98" t="str">
        <f>'Final data_for_R_analysis_Dryse'!K24</f>
        <v/>
      </c>
      <c r="I98" t="str">
        <f>'Final data_for_R_analysis_Dryse'!K244</f>
        <v/>
      </c>
      <c r="J98" t="str">
        <f>IFERROR(INDEX('Green_rooibos initial weight'!$C$5:$C$2000,MATCH(H98, 'Green_rooibos initial weight'!$A$5:$A$2000,0)),"")</f>
        <v/>
      </c>
      <c r="K98" t="str">
        <f>IFERROR(INDEX('Green_rooibos initial weight'!$C$5:$C$2000,MATCH(I98, 'Green_rooibos initial weight'!$A$5:$A$2000,0)),"")</f>
        <v/>
      </c>
      <c r="L98" s="194" t="str">
        <f t="shared" si="0"/>
        <v/>
      </c>
      <c r="M98" s="237">
        <f>AVERAGE(Ashed_controlls!$K$1:$K$11)</f>
        <v>5.5147656768714146</v>
      </c>
      <c r="N98" s="194" t="str">
        <f>IFERROR(IF(K98&gt;0,(K98*$F$32-($F$29+$F$30)),""),"")</f>
        <v/>
      </c>
      <c r="O98" s="16" t="str">
        <f>IF('Dry_Litterbag Placem_Collection'!G25="","",'Dry_Litterbag Placem_Collection'!G25)</f>
        <v/>
      </c>
      <c r="P98" s="194" t="str">
        <f>IFERROR(INDEX('Both teabags AfterDry'!$D$3:$D$2000,MATCH(H98,'Both teabags AfterDry'!$A$3:$A$2000,0)),"")</f>
        <v/>
      </c>
      <c r="Q98" s="194" t="str">
        <f>IFERROR(INDEX('Both teabags AfterDry'!$D$3:$D$2000,MATCH(I98,'Both teabags AfterDry'!$A$3:$A$2000,0)),"")</f>
        <v/>
      </c>
      <c r="R98" s="194" t="str">
        <f t="shared" si="1"/>
        <v/>
      </c>
      <c r="S98" s="194" t="str">
        <f t="shared" si="1"/>
        <v/>
      </c>
      <c r="T98" s="194" t="str">
        <f t="shared" si="2"/>
        <v/>
      </c>
      <c r="U98" s="194" t="str">
        <f t="shared" si="3"/>
        <v/>
      </c>
      <c r="V98" s="194" t="str">
        <f t="shared" si="4"/>
        <v/>
      </c>
      <c r="W98" t="str">
        <f t="shared" si="5"/>
        <v/>
      </c>
      <c r="X98" s="194" t="str">
        <f t="shared" si="6"/>
        <v/>
      </c>
      <c r="Y98" s="194" t="str">
        <f t="shared" si="7"/>
        <v/>
      </c>
      <c r="Z98" s="252" t="str">
        <f>IF(ISNUMBER(SEARCH("C", 'Dry_Litterbag Placem_Collection'!$T25)),"YES","NO")</f>
        <v>NO</v>
      </c>
      <c r="AA98" s="252" t="str">
        <f>IF(ISNUMBER(SEARCH("H", 'Dry_Litterbag Placem_Collection'!$T25)),"YES","NO")</f>
        <v>NO</v>
      </c>
      <c r="AB98" s="252" t="str">
        <f>IF(ISNUMBER(SEARCH("R", 'Dry_Litterbag Placem_Collection'!$T25)),"YES","NO")</f>
        <v>NO</v>
      </c>
      <c r="AC98" s="252" t="str">
        <f>IF(ISNUMBER(SEARCH("C", 'Dry_Litterbag Placem_Collection'!$S25)),"YES","NO")</f>
        <v>NO</v>
      </c>
      <c r="AD98" s="252" t="str">
        <f>IF(ISNUMBER(SEARCH("H", 'Dry_Litterbag Placem_Collection'!$S25)),"YES","NO")</f>
        <v>NO</v>
      </c>
      <c r="AE98" s="252" t="str">
        <f>IF(ISNUMBER(SEARCH("R", 'Dry_Litterbag Placem_Collection'!$S25)),"YES","NO")</f>
        <v>NO</v>
      </c>
    </row>
    <row r="99" spans="2:31">
      <c r="B99" t="str">
        <f>'Final data_for_R_analysis_Dryse'!A25</f>
        <v>Dry</v>
      </c>
      <c r="C99" s="260">
        <f>'Final data_for_R_analysis_Dryse'!B25</f>
        <v>24</v>
      </c>
      <c r="D99" t="s">
        <v>3803</v>
      </c>
      <c r="E99" t="s">
        <v>22</v>
      </c>
      <c r="F99" s="382">
        <v>8</v>
      </c>
      <c r="G99" s="16">
        <f>IF('Dry_Litterbag Placem_Collection'!E26="","",'Dry_Litterbag Placem_Collection'!E26)</f>
        <v>42936</v>
      </c>
      <c r="H99" t="str">
        <f>'Final data_for_R_analysis_Dryse'!K25</f>
        <v>G320</v>
      </c>
      <c r="I99" t="str">
        <f>'Final data_for_R_analysis_Dryse'!K245</f>
        <v>R225</v>
      </c>
      <c r="J99">
        <f>IFERROR(INDEX('Green_rooibos initial weight'!$C$5:$C$2000,MATCH(H99, 'Green_rooibos initial weight'!$A$5:$A$2000,0)),"")</f>
        <v>2.044</v>
      </c>
      <c r="K99">
        <f>IFERROR(INDEX('Green_rooibos initial weight'!$C$5:$C$2000,MATCH(I99, 'Green_rooibos initial weight'!$A$5:$A$2000,0)),"")</f>
        <v>2.214</v>
      </c>
      <c r="L99" s="194">
        <f t="shared" si="0"/>
        <v>1.7942</v>
      </c>
      <c r="M99" s="237">
        <f>AVERAGE(Ashed_controlls!$K$1:$K$11)</f>
        <v>5.5147656768714146</v>
      </c>
      <c r="N99" s="194">
        <f>IFERROR(IF(K99&gt;0,(K99*$F$32-($F$29+$F$30)),""),"")</f>
        <v>1.9641999999999999</v>
      </c>
      <c r="O99" s="16">
        <f>IF('Dry_Litterbag Placem_Collection'!G26="","",'Dry_Litterbag Placem_Collection'!G26)</f>
        <v>43007</v>
      </c>
      <c r="P99" s="194">
        <f>IFERROR(INDEX('Both teabags AfterDry'!$D$3:$D$2000,MATCH(H99,'Both teabags AfterDry'!$A$3:$A$2000,0)),"")</f>
        <v>1.7525999999999999</v>
      </c>
      <c r="Q99" s="194">
        <f>IFERROR(INDEX('Both teabags AfterDry'!$D$3:$D$2000,MATCH(I99,'Both teabags AfterDry'!$A$3:$A$2000,0)),"")</f>
        <v>1.9572000000000001</v>
      </c>
      <c r="R99" s="194">
        <f t="shared" si="1"/>
        <v>1.6019999999999999</v>
      </c>
      <c r="S99" s="194">
        <f t="shared" si="1"/>
        <v>1.8066</v>
      </c>
      <c r="T99" s="194">
        <f t="shared" si="2"/>
        <v>0.10712295173336317</v>
      </c>
      <c r="U99" s="194">
        <f t="shared" si="3"/>
        <v>7.0227873345387742E-2</v>
      </c>
      <c r="V99" s="194">
        <f t="shared" si="4"/>
        <v>0.91976377151002953</v>
      </c>
      <c r="W99">
        <f t="shared" si="5"/>
        <v>71</v>
      </c>
      <c r="X99" s="194">
        <f t="shared" si="6"/>
        <v>0.87277559176560193</v>
      </c>
      <c r="Y99" s="194" t="str">
        <f t="shared" si="7"/>
        <v/>
      </c>
      <c r="Z99" s="252" t="str">
        <f>IF(ISNUMBER(SEARCH("C", 'Dry_Litterbag Placem_Collection'!$T26)),"YES","NO")</f>
        <v>NO</v>
      </c>
      <c r="AA99" s="252" t="str">
        <f>IF(ISNUMBER(SEARCH("H", 'Dry_Litterbag Placem_Collection'!$T26)),"YES","NO")</f>
        <v>NO</v>
      </c>
      <c r="AB99" s="252" t="str">
        <f>IF(ISNUMBER(SEARCH("R", 'Dry_Litterbag Placem_Collection'!$T26)),"YES","NO")</f>
        <v>NO</v>
      </c>
      <c r="AC99" s="252" t="str">
        <f>IF(ISNUMBER(SEARCH("C", 'Dry_Litterbag Placem_Collection'!$S26)),"YES","NO")</f>
        <v>NO</v>
      </c>
      <c r="AD99" s="252" t="str">
        <f>IF(ISNUMBER(SEARCH("H", 'Dry_Litterbag Placem_Collection'!$S26)),"YES","NO")</f>
        <v>NO</v>
      </c>
      <c r="AE99" s="252" t="str">
        <f>IF(ISNUMBER(SEARCH("R", 'Dry_Litterbag Placem_Collection'!$S26)),"YES","NO")</f>
        <v>NO</v>
      </c>
    </row>
    <row r="100" spans="2:31">
      <c r="B100" t="str">
        <f>'Final data_for_R_analysis_Dryse'!A26</f>
        <v>Dry</v>
      </c>
      <c r="C100" s="260">
        <f>'Final data_for_R_analysis_Dryse'!B26</f>
        <v>25</v>
      </c>
      <c r="D100" t="s">
        <v>3804</v>
      </c>
      <c r="E100" t="s">
        <v>22</v>
      </c>
      <c r="F100" s="381">
        <v>1</v>
      </c>
      <c r="G100" s="16">
        <f>IF('Dry_Litterbag Placem_Collection'!E27="","",'Dry_Litterbag Placem_Collection'!E27)</f>
        <v>42936</v>
      </c>
      <c r="H100" t="str">
        <f>'Final data_for_R_analysis_Dryse'!K26</f>
        <v>G322</v>
      </c>
      <c r="I100" t="str">
        <f>'Final data_for_R_analysis_Dryse'!K246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0"/>
        <v>1.7671999999999999</v>
      </c>
      <c r="M100" s="237">
        <f>AVERAGE(Ashed_controlls!$K$1:$K$11)</f>
        <v>5.5147656768714146</v>
      </c>
      <c r="N100" s="194">
        <f>IFERROR(IF(K100&gt;0,(K100*$F$32-($F$29+$F$30)),""),"")</f>
        <v>2.0261999999999998</v>
      </c>
      <c r="O100" s="16">
        <f>IF('Dry_Litterbag Placem_Collection'!G27="","",'Dry_Litterbag Placem_Collection'!G27)</f>
        <v>43007</v>
      </c>
      <c r="P100" s="194">
        <f>IFERROR(INDEX('Both teabags AfterDry'!$D$3:$D$2000,MATCH(H100,'Both teabags AfterDry'!$A$3:$A$2000,0)),"")</f>
        <v>1.8697999999999999</v>
      </c>
      <c r="Q100" s="194">
        <f>IFERROR(INDEX('Both teabags AfterDry'!$D$3:$D$2000,MATCH(I100,'Both teabags AfterDry'!$A$3:$A$2000,0)),"")</f>
        <v>2.0165999999999999</v>
      </c>
      <c r="R100" s="194">
        <f t="shared" si="1"/>
        <v>1.7191999999999998</v>
      </c>
      <c r="S100" s="194">
        <f t="shared" si="1"/>
        <v>1.8659999999999999</v>
      </c>
      <c r="T100" s="194">
        <f t="shared" si="2"/>
        <v>2.7161611588954249E-2</v>
      </c>
      <c r="U100" s="194">
        <f t="shared" si="3"/>
        <v>1.7806662229338171E-2</v>
      </c>
      <c r="V100" s="194">
        <f t="shared" si="4"/>
        <v>0.92093574178264737</v>
      </c>
      <c r="W100">
        <f t="shared" si="5"/>
        <v>71</v>
      </c>
      <c r="X100" s="194">
        <f t="shared" si="6"/>
        <v>0.96774155393235839</v>
      </c>
      <c r="Y100" s="194" t="str">
        <f t="shared" si="7"/>
        <v/>
      </c>
      <c r="Z100" s="252" t="str">
        <f>IF(ISNUMBER(SEARCH("C", 'Dry_Litterbag Placem_Collection'!$T27)),"YES","NO")</f>
        <v>NO</v>
      </c>
      <c r="AA100" s="252" t="str">
        <f>IF(ISNUMBER(SEARCH("H", 'Dry_Litterbag Placem_Collection'!$T27)),"YES","NO")</f>
        <v>NO</v>
      </c>
      <c r="AB100" s="252" t="str">
        <f>IF(ISNUMBER(SEARCH("R", 'Dry_Litterbag Placem_Collection'!$T27)),"YES","NO")</f>
        <v>NO</v>
      </c>
      <c r="AC100" s="252" t="str">
        <f>IF(ISNUMBER(SEARCH("C", 'Dry_Litterbag Placem_Collection'!$S27)),"YES","NO")</f>
        <v>NO</v>
      </c>
      <c r="AD100" s="252" t="str">
        <f>IF(ISNUMBER(SEARCH("H", 'Dry_Litterbag Placem_Collection'!$S27)),"YES","NO")</f>
        <v>NO</v>
      </c>
      <c r="AE100" s="252" t="str">
        <f>IF(ISNUMBER(SEARCH("R", 'Dry_Litterbag Placem_Collection'!$S27)),"YES","NO")</f>
        <v>NO</v>
      </c>
    </row>
    <row r="101" spans="2:31">
      <c r="B101" t="str">
        <f>'Final data_for_R_analysis_Dryse'!A27</f>
        <v>Dry</v>
      </c>
      <c r="C101" s="260">
        <f>'Final data_for_R_analysis_Dryse'!B27</f>
        <v>26</v>
      </c>
      <c r="D101" t="s">
        <v>3804</v>
      </c>
      <c r="E101" t="s">
        <v>22</v>
      </c>
      <c r="F101" s="381">
        <v>2</v>
      </c>
      <c r="G101" s="16">
        <f>IF('Dry_Litterbag Placem_Collection'!E28="","",'Dry_Litterbag Placem_Collection'!E28)</f>
        <v>42936</v>
      </c>
      <c r="H101" t="str">
        <f>'Final data_for_R_analysis_Dryse'!K27</f>
        <v>G58</v>
      </c>
      <c r="I101" t="str">
        <f>'Final data_for_R_analysis_Dryse'!K247</f>
        <v>R602</v>
      </c>
      <c r="J101">
        <f>IFERROR(INDEX('Green_rooibos initial weight'!$C$5:$C$2000,MATCH(H101, 'Green_rooibos initial weight'!$A$5:$A$2000,0)),"")</f>
        <v>1.9370000000000001</v>
      </c>
      <c r="K101">
        <f>IFERROR(INDEX('Green_rooibos initial weight'!$C$5:$C$2000,MATCH(I101, 'Green_rooibos initial weight'!$A$5:$A$2000,0)),"")</f>
        <v>2.19</v>
      </c>
      <c r="L101" s="194">
        <f t="shared" si="0"/>
        <v>1.6872</v>
      </c>
      <c r="M101" s="237">
        <f>AVERAGE(Ashed_controlls!$K$1:$K$11)</f>
        <v>5.5147656768714146</v>
      </c>
      <c r="N101" s="194">
        <f>IFERROR(IF(K101&gt;0,(K101*$F$32-($F$29+$F$30)),""),"")</f>
        <v>1.9401999999999999</v>
      </c>
      <c r="O101" s="16">
        <f>IF('Dry_Litterbag Placem_Collection'!G28="","",'Dry_Litterbag Placem_Collection'!G28)</f>
        <v>43007</v>
      </c>
      <c r="P101" s="194">
        <f>IFERROR(INDEX('Both teabags AfterDry'!$D$3:$D$2000,MATCH(H101,'Both teabags AfterDry'!$A$3:$A$2000,0)),"")</f>
        <v>1.7357</v>
      </c>
      <c r="Q101" s="194">
        <f>IFERROR(INDEX('Both teabags AfterDry'!$D$3:$D$2000,MATCH(I101,'Both teabags AfterDry'!$A$3:$A$2000,0)),"")</f>
        <v>1.9849000000000001</v>
      </c>
      <c r="R101" s="194">
        <f t="shared" si="1"/>
        <v>1.5851</v>
      </c>
      <c r="S101" s="194">
        <f t="shared" si="1"/>
        <v>1.8343</v>
      </c>
      <c r="T101" s="194">
        <f t="shared" si="2"/>
        <v>6.0514461830251332E-2</v>
      </c>
      <c r="U101" s="194">
        <f t="shared" si="3"/>
        <v>3.9672188753323942E-2</v>
      </c>
      <c r="V101" s="194">
        <f t="shared" si="4"/>
        <v>0.94541799814452121</v>
      </c>
      <c r="W101">
        <f t="shared" si="5"/>
        <v>71</v>
      </c>
      <c r="X101" s="194">
        <f t="shared" si="6"/>
        <v>0.92813009283818126</v>
      </c>
      <c r="Y101" s="194" t="str">
        <f t="shared" si="7"/>
        <v/>
      </c>
      <c r="Z101" s="252" t="str">
        <f>IF(ISNUMBER(SEARCH("C", 'Dry_Litterbag Placem_Collection'!$T28)),"YES","NO")</f>
        <v>NO</v>
      </c>
      <c r="AA101" s="252" t="str">
        <f>IF(ISNUMBER(SEARCH("H", 'Dry_Litterbag Placem_Collection'!$T28)),"YES","NO")</f>
        <v>NO</v>
      </c>
      <c r="AB101" s="252" t="str">
        <f>IF(ISNUMBER(SEARCH("R", 'Dry_Litterbag Placem_Collection'!$T28)),"YES","NO")</f>
        <v>NO</v>
      </c>
      <c r="AC101" s="252" t="str">
        <f>IF(ISNUMBER(SEARCH("C", 'Dry_Litterbag Placem_Collection'!$S28)),"YES","NO")</f>
        <v>NO</v>
      </c>
      <c r="AD101" s="252" t="str">
        <f>IF(ISNUMBER(SEARCH("H", 'Dry_Litterbag Placem_Collection'!$S28)),"YES","NO")</f>
        <v>NO</v>
      </c>
      <c r="AE101" s="252" t="str">
        <f>IF(ISNUMBER(SEARCH("R", 'Dry_Litterbag Placem_Collection'!$S28)),"YES","NO")</f>
        <v>NO</v>
      </c>
    </row>
    <row r="102" spans="2:31">
      <c r="B102" t="str">
        <f>'Final data_for_R_analysis_Dryse'!A28</f>
        <v>Dry</v>
      </c>
      <c r="C102" s="260">
        <f>'Final data_for_R_analysis_Dryse'!B28</f>
        <v>27</v>
      </c>
      <c r="D102" t="s">
        <v>3804</v>
      </c>
      <c r="E102" t="s">
        <v>22</v>
      </c>
      <c r="F102" s="381">
        <v>3</v>
      </c>
      <c r="G102" s="16">
        <f>IF('Dry_Litterbag Placem_Collection'!E29="","",'Dry_Litterbag Placem_Collection'!E29)</f>
        <v>42936</v>
      </c>
      <c r="H102" t="str">
        <f>'Final data_for_R_analysis_Dryse'!K28</f>
        <v>G340</v>
      </c>
      <c r="I102" t="str">
        <f>'Final data_for_R_analysis_Dryse'!K248</f>
        <v>R666</v>
      </c>
      <c r="J102">
        <f>IFERROR(INDEX('Green_rooibos initial weight'!$C$5:$C$2000,MATCH(H102, 'Green_rooibos initial weight'!$A$5:$A$2000,0)),"")</f>
        <v>2.0150000000000001</v>
      </c>
      <c r="K102">
        <f>IFERROR(INDEX('Green_rooibos initial weight'!$C$5:$C$2000,MATCH(I102, 'Green_rooibos initial weight'!$A$5:$A$2000,0)),"")</f>
        <v>2.15</v>
      </c>
      <c r="L102" s="194">
        <f t="shared" si="0"/>
        <v>1.7652000000000001</v>
      </c>
      <c r="M102" s="237">
        <f>AVERAGE(Ashed_controlls!$K$1:$K$11)</f>
        <v>5.5147656768714146</v>
      </c>
      <c r="N102" s="194">
        <f>IFERROR(IF(K102&gt;0,(K102*$F$32-($F$29+$F$30)),""),"")</f>
        <v>1.9001999999999999</v>
      </c>
      <c r="O102" s="16">
        <f>IF('Dry_Litterbag Placem_Collection'!G29="","",'Dry_Litterbag Placem_Collection'!G29)</f>
        <v>43007</v>
      </c>
      <c r="P102" s="194" t="str">
        <f>IFERROR(INDEX('Both teabags AfterDry'!$D$3:$D$2000,MATCH(H102,'Both teabags AfterDry'!$A$3:$A$2000,0)),"")</f>
        <v/>
      </c>
      <c r="Q102" s="194" t="str">
        <f>IFERROR(INDEX('Both teabags AfterDry'!$D$3:$D$2000,MATCH(I102,'Both teabags AfterDry'!$A$3:$A$2000,0)),"")</f>
        <v/>
      </c>
      <c r="R102" s="194" t="str">
        <f t="shared" si="1"/>
        <v/>
      </c>
      <c r="S102" s="194" t="str">
        <f t="shared" si="1"/>
        <v/>
      </c>
      <c r="T102" s="194" t="str">
        <f t="shared" si="2"/>
        <v/>
      </c>
      <c r="U102" s="194" t="str">
        <f t="shared" si="3"/>
        <v/>
      </c>
      <c r="V102" s="194" t="str">
        <f t="shared" si="4"/>
        <v/>
      </c>
      <c r="W102">
        <f t="shared" si="5"/>
        <v>71</v>
      </c>
      <c r="X102" s="194" t="str">
        <f t="shared" si="6"/>
        <v/>
      </c>
      <c r="Y102" s="194" t="str">
        <f t="shared" si="7"/>
        <v/>
      </c>
      <c r="Z102" s="252" t="str">
        <f>IF(ISNUMBER(SEARCH("C", 'Dry_Litterbag Placem_Collection'!$T29)),"YES","NO")</f>
        <v>NO</v>
      </c>
      <c r="AA102" s="252" t="str">
        <f>IF(ISNUMBER(SEARCH("H", 'Dry_Litterbag Placem_Collection'!$T29)),"YES","NO")</f>
        <v>NO</v>
      </c>
      <c r="AB102" s="252" t="str">
        <f>IF(ISNUMBER(SEARCH("R", 'Dry_Litterbag Placem_Collection'!$T29)),"YES","NO")</f>
        <v>NO</v>
      </c>
      <c r="AC102" s="252" t="str">
        <f>IF(ISNUMBER(SEARCH("C", 'Dry_Litterbag Placem_Collection'!$S29)),"YES","NO")</f>
        <v>NO</v>
      </c>
      <c r="AD102" s="252" t="str">
        <f>IF(ISNUMBER(SEARCH("H", 'Dry_Litterbag Placem_Collection'!$S29)),"YES","NO")</f>
        <v>NO</v>
      </c>
      <c r="AE102" s="252" t="str">
        <f>IF(ISNUMBER(SEARCH("R", 'Dry_Litterbag Placem_Collection'!$S29)),"YES","NO")</f>
        <v>NO</v>
      </c>
    </row>
    <row r="103" spans="2:31">
      <c r="B103" t="str">
        <f>'Final data_for_R_analysis_Dryse'!A29</f>
        <v>Dry</v>
      </c>
      <c r="C103" s="260">
        <f>'Final data_for_R_analysis_Dryse'!B29</f>
        <v>28</v>
      </c>
      <c r="D103" t="s">
        <v>3804</v>
      </c>
      <c r="E103" t="s">
        <v>22</v>
      </c>
      <c r="F103" s="382">
        <v>4</v>
      </c>
      <c r="G103" s="16">
        <f>IF('Dry_Litterbag Placem_Collection'!E30="","",'Dry_Litterbag Placem_Collection'!E30)</f>
        <v>42936</v>
      </c>
      <c r="H103" t="str">
        <f>'Final data_for_R_analysis_Dryse'!K29</f>
        <v>G61</v>
      </c>
      <c r="I103" t="str">
        <f>'Final data_for_R_analysis_Dryse'!K249</f>
        <v>R705</v>
      </c>
      <c r="J103">
        <f>IFERROR(INDEX('Green_rooibos initial weight'!$C$5:$C$2000,MATCH(H103, 'Green_rooibos initial weight'!$A$5:$A$2000,0)),"")</f>
        <v>1.88</v>
      </c>
      <c r="K103">
        <f>IFERROR(INDEX('Green_rooibos initial weight'!$C$5:$C$2000,MATCH(I103, 'Green_rooibos initial weight'!$A$5:$A$2000,0)),"")</f>
        <v>2.1859999999999999</v>
      </c>
      <c r="L103" s="194">
        <f t="shared" si="0"/>
        <v>1.6301999999999999</v>
      </c>
      <c r="M103" s="237">
        <f>AVERAGE(Ashed_controlls!$K$1:$K$11)</f>
        <v>5.5147656768714146</v>
      </c>
      <c r="N103" s="194">
        <f>IFERROR(IF(K103&gt;0,(K103*$F$32-($F$29+$F$30)),""),"")</f>
        <v>1.9361999999999999</v>
      </c>
      <c r="O103" s="16">
        <f>IF('Dry_Litterbag Placem_Collection'!G30="","",'Dry_Litterbag Placem_Collection'!G30)</f>
        <v>43007</v>
      </c>
      <c r="P103" s="194">
        <f>IFERROR(INDEX('Both teabags AfterDry'!$D$3:$D$2000,MATCH(H103,'Both teabags AfterDry'!$A$3:$A$2000,0)),"")</f>
        <v>1.4991000000000001</v>
      </c>
      <c r="Q103" s="194">
        <f>IFERROR(INDEX('Both teabags AfterDry'!$D$3:$D$2000,MATCH(I103,'Both teabags AfterDry'!$A$3:$A$2000,0)),"")</f>
        <v>2.0167999999999999</v>
      </c>
      <c r="R103" s="194">
        <f t="shared" si="1"/>
        <v>1.3485</v>
      </c>
      <c r="S103" s="194">
        <f t="shared" si="1"/>
        <v>1.8661999999999999</v>
      </c>
      <c r="T103" s="194">
        <f t="shared" si="2"/>
        <v>0.17280088332719901</v>
      </c>
      <c r="U103" s="194">
        <f t="shared" si="3"/>
        <v>0.11328513966343692</v>
      </c>
      <c r="V103" s="194">
        <f t="shared" si="4"/>
        <v>0.96384671005061462</v>
      </c>
      <c r="W103">
        <f t="shared" si="5"/>
        <v>71</v>
      </c>
      <c r="X103" s="194">
        <f t="shared" si="6"/>
        <v>0.79477329771116501</v>
      </c>
      <c r="Y103" s="194">
        <f t="shared" si="7"/>
        <v>5.4139677297017153E-3</v>
      </c>
      <c r="Z103" s="252" t="str">
        <f>IF(ISNUMBER(SEARCH("C", 'Dry_Litterbag Placem_Collection'!$T30)),"YES","NO")</f>
        <v>NO</v>
      </c>
      <c r="AA103" s="252" t="str">
        <f>IF(ISNUMBER(SEARCH("H", 'Dry_Litterbag Placem_Collection'!$T30)),"YES","NO")</f>
        <v>NO</v>
      </c>
      <c r="AB103" s="252" t="str">
        <f>IF(ISNUMBER(SEARCH("R", 'Dry_Litterbag Placem_Collection'!$T30)),"YES","NO")</f>
        <v>NO</v>
      </c>
      <c r="AC103" s="252" t="str">
        <f>IF(ISNUMBER(SEARCH("C", 'Dry_Litterbag Placem_Collection'!$S30)),"YES","NO")</f>
        <v>NO</v>
      </c>
      <c r="AD103" s="252" t="str">
        <f>IF(ISNUMBER(SEARCH("H", 'Dry_Litterbag Placem_Collection'!$S30)),"YES","NO")</f>
        <v>NO</v>
      </c>
      <c r="AE103" s="252" t="str">
        <f>IF(ISNUMBER(SEARCH("R", 'Dry_Litterbag Placem_Collection'!$S30)),"YES","NO")</f>
        <v>NO</v>
      </c>
    </row>
    <row r="104" spans="2:31">
      <c r="B104" t="str">
        <f>'Final data_for_R_analysis_Dryse'!A30</f>
        <v>Dry</v>
      </c>
      <c r="C104" s="260">
        <f>'Final data_for_R_analysis_Dryse'!B30</f>
        <v>29</v>
      </c>
      <c r="D104" t="s">
        <v>3804</v>
      </c>
      <c r="E104" t="s">
        <v>22</v>
      </c>
      <c r="F104" s="382">
        <v>5</v>
      </c>
      <c r="G104" s="16">
        <f>IF('Dry_Litterbag Placem_Collection'!E31="","",'Dry_Litterbag Placem_Collection'!E31)</f>
        <v>42936</v>
      </c>
      <c r="H104" t="str">
        <f>'Final data_for_R_analysis_Dryse'!K30</f>
        <v>G319</v>
      </c>
      <c r="I104" t="str">
        <f>'Final data_for_R_analysis_Dryse'!K250</f>
        <v>R305</v>
      </c>
      <c r="J104">
        <f>IFERROR(INDEX('Green_rooibos initial weight'!$C$5:$C$2000,MATCH(H104, 'Green_rooibos initial weight'!$A$5:$A$2000,0)),"")</f>
        <v>2.012</v>
      </c>
      <c r="K104">
        <f>IFERROR(INDEX('Green_rooibos initial weight'!$C$5:$C$2000,MATCH(I104, 'Green_rooibos initial weight'!$A$5:$A$2000,0)),"")</f>
        <v>2.2829999999999999</v>
      </c>
      <c r="L104" s="194">
        <f t="shared" si="0"/>
        <v>1.7622</v>
      </c>
      <c r="M104" s="237">
        <f>AVERAGE(Ashed_controlls!$K$1:$K$11)</f>
        <v>5.5147656768714146</v>
      </c>
      <c r="N104" s="194">
        <f>IFERROR(IF(K104&gt;0,(K104*$F$32-($F$29+$F$30)),""),"")</f>
        <v>2.0331999999999999</v>
      </c>
      <c r="O104" s="16">
        <f>IF('Dry_Litterbag Placem_Collection'!G31="","",'Dry_Litterbag Placem_Collection'!G31)</f>
        <v>43007</v>
      </c>
      <c r="P104" s="194">
        <f>IFERROR(INDEX('Both teabags AfterDry'!$D$3:$D$2000,MATCH(H104,'Both teabags AfterDry'!$A$3:$A$2000,0)),"")</f>
        <v>1.8162</v>
      </c>
      <c r="Q104" s="194">
        <f>IFERROR(INDEX('Both teabags AfterDry'!$D$3:$D$2000,MATCH(I104,'Both teabags AfterDry'!$A$3:$A$2000,0)),"")</f>
        <v>2.0718999999999999</v>
      </c>
      <c r="R104" s="194">
        <f t="shared" si="1"/>
        <v>1.6656</v>
      </c>
      <c r="S104" s="194">
        <f t="shared" si="1"/>
        <v>1.9212999999999998</v>
      </c>
      <c r="T104" s="194">
        <f t="shared" si="2"/>
        <v>5.481784133469525E-2</v>
      </c>
      <c r="U104" s="194">
        <f t="shared" si="3"/>
        <v>3.5937587193291924E-2</v>
      </c>
      <c r="V104" s="194">
        <f t="shared" si="4"/>
        <v>0.94496360417076519</v>
      </c>
      <c r="W104">
        <f t="shared" si="5"/>
        <v>71</v>
      </c>
      <c r="X104" s="194">
        <f t="shared" si="6"/>
        <v>0.93489567537447116</v>
      </c>
      <c r="Y104" s="194" t="str">
        <f t="shared" si="7"/>
        <v/>
      </c>
      <c r="Z104" s="252" t="str">
        <f>IF(ISNUMBER(SEARCH("C", 'Dry_Litterbag Placem_Collection'!$T31)),"YES","NO")</f>
        <v>NO</v>
      </c>
      <c r="AA104" s="252" t="str">
        <f>IF(ISNUMBER(SEARCH("H", 'Dry_Litterbag Placem_Collection'!$T31)),"YES","NO")</f>
        <v>NO</v>
      </c>
      <c r="AB104" s="252" t="str">
        <f>IF(ISNUMBER(SEARCH("R", 'Dry_Litterbag Placem_Collection'!$T31)),"YES","NO")</f>
        <v>NO</v>
      </c>
      <c r="AC104" s="252" t="str">
        <f>IF(ISNUMBER(SEARCH("C", 'Dry_Litterbag Placem_Collection'!$S31)),"YES","NO")</f>
        <v>NO</v>
      </c>
      <c r="AD104" s="252" t="str">
        <f>IF(ISNUMBER(SEARCH("H", 'Dry_Litterbag Placem_Collection'!$S31)),"YES","NO")</f>
        <v>NO</v>
      </c>
      <c r="AE104" s="252" t="str">
        <f>IF(ISNUMBER(SEARCH("R", 'Dry_Litterbag Placem_Collection'!$S31)),"YES","NO")</f>
        <v>NO</v>
      </c>
    </row>
    <row r="105" spans="2:31">
      <c r="B105" t="str">
        <f>'Final data_for_R_analysis_Dryse'!A31</f>
        <v>Dry</v>
      </c>
      <c r="C105" s="260">
        <f>'Final data_for_R_analysis_Dryse'!B31</f>
        <v>30</v>
      </c>
      <c r="D105" t="s">
        <v>3804</v>
      </c>
      <c r="E105" t="s">
        <v>22</v>
      </c>
      <c r="F105" s="382">
        <v>6</v>
      </c>
      <c r="G105" s="16">
        <f>IF('Dry_Litterbag Placem_Collection'!E32="","",'Dry_Litterbag Placem_Collection'!E32)</f>
        <v>42936</v>
      </c>
      <c r="H105" t="str">
        <f>'Final data_for_R_analysis_Dryse'!K31</f>
        <v>G273</v>
      </c>
      <c r="I105" t="str">
        <f>'Final data_for_R_analysis_Dryse'!K251</f>
        <v>R667</v>
      </c>
      <c r="J105">
        <f>IFERROR(INDEX('Green_rooibos initial weight'!$C$5:$C$2000,MATCH(H105, 'Green_rooibos initial weight'!$A$5:$A$2000,0)),"")</f>
        <v>2.073</v>
      </c>
      <c r="K105">
        <f>IFERROR(INDEX('Green_rooibos initial weight'!$C$5:$C$2000,MATCH(I105, 'Green_rooibos initial weight'!$A$5:$A$2000,0)),"")</f>
        <v>2.1949999999999998</v>
      </c>
      <c r="L105" s="194">
        <f t="shared" si="0"/>
        <v>1.8231999999999999</v>
      </c>
      <c r="M105" s="237">
        <f>AVERAGE(Ashed_controlls!$K$1:$K$11)</f>
        <v>5.5147656768714146</v>
      </c>
      <c r="N105" s="194">
        <f>IFERROR(IF(K105&gt;0,(K105*$F$32-($F$29+$F$30)),""),"")</f>
        <v>1.9451999999999998</v>
      </c>
      <c r="O105" s="16">
        <f>IF('Dry_Litterbag Placem_Collection'!G32="","",'Dry_Litterbag Placem_Collection'!G32)</f>
        <v>43007</v>
      </c>
      <c r="P105" s="194">
        <f>IFERROR(INDEX('Both teabags AfterDry'!$D$3:$D$2000,MATCH(H105,'Both teabags AfterDry'!$A$3:$A$2000,0)),"")</f>
        <v>1.9318</v>
      </c>
      <c r="Q105" s="194">
        <f>IFERROR(INDEX('Both teabags AfterDry'!$D$3:$D$2000,MATCH(I105,'Both teabags AfterDry'!$A$3:$A$2000,0)),"")</f>
        <v>2.0158999999999998</v>
      </c>
      <c r="R105" s="194">
        <f t="shared" si="1"/>
        <v>1.7811999999999999</v>
      </c>
      <c r="S105" s="194">
        <f t="shared" si="1"/>
        <v>1.8652999999999997</v>
      </c>
      <c r="T105" s="194">
        <f t="shared" si="2"/>
        <v>2.303641948222912E-2</v>
      </c>
      <c r="U105" s="194">
        <f t="shared" si="3"/>
        <v>1.5102260753195361E-2</v>
      </c>
      <c r="V105" s="194">
        <f t="shared" si="4"/>
        <v>0.95892453218178075</v>
      </c>
      <c r="W105">
        <f t="shared" si="5"/>
        <v>71</v>
      </c>
      <c r="X105" s="194">
        <f t="shared" si="6"/>
        <v>0.97264083196884898</v>
      </c>
      <c r="Y105" s="194" t="str">
        <f t="shared" si="7"/>
        <v/>
      </c>
      <c r="Z105" s="252" t="str">
        <f>IF(ISNUMBER(SEARCH("C", 'Dry_Litterbag Placem_Collection'!$T32)),"YES","NO")</f>
        <v>NO</v>
      </c>
      <c r="AA105" s="252" t="str">
        <f>IF(ISNUMBER(SEARCH("H", 'Dry_Litterbag Placem_Collection'!$T32)),"YES","NO")</f>
        <v>NO</v>
      </c>
      <c r="AB105" s="252" t="str">
        <f>IF(ISNUMBER(SEARCH("R", 'Dry_Litterbag Placem_Collection'!$T32)),"YES","NO")</f>
        <v>NO</v>
      </c>
      <c r="AC105" s="252" t="str">
        <f>IF(ISNUMBER(SEARCH("C", 'Dry_Litterbag Placem_Collection'!$S32)),"YES","NO")</f>
        <v>NO</v>
      </c>
      <c r="AD105" s="252" t="str">
        <f>IF(ISNUMBER(SEARCH("H", 'Dry_Litterbag Placem_Collection'!$S32)),"YES","NO")</f>
        <v>NO</v>
      </c>
      <c r="AE105" s="252" t="str">
        <f>IF(ISNUMBER(SEARCH("R", 'Dry_Litterbag Placem_Collection'!$S32)),"YES","NO")</f>
        <v>NO</v>
      </c>
    </row>
    <row r="106" spans="2:31">
      <c r="B106" t="str">
        <f>'Final data_for_R_analysis_Dryse'!A32</f>
        <v>Dry</v>
      </c>
      <c r="C106" s="260">
        <f>'Final data_for_R_analysis_Dryse'!B32</f>
        <v>31</v>
      </c>
      <c r="D106" t="s">
        <v>3804</v>
      </c>
      <c r="E106" t="s">
        <v>22</v>
      </c>
      <c r="F106" s="382">
        <v>7</v>
      </c>
      <c r="G106" s="16" t="str">
        <f>IF('Dry_Litterbag Placem_Collection'!E33="","",'Dry_Litterbag Placem_Collection'!E33)</f>
        <v/>
      </c>
      <c r="H106" t="str">
        <f>'Final data_for_R_analysis_Dryse'!K32</f>
        <v/>
      </c>
      <c r="I106" t="str">
        <f>'Final data_for_R_analysis_Dryse'!K252</f>
        <v/>
      </c>
      <c r="J106" t="str">
        <f>IFERROR(INDEX('Green_rooibos initial weight'!$C$5:$C$2000,MATCH(H106, 'Green_rooibos initial weight'!$A$5:$A$2000,0)),"")</f>
        <v/>
      </c>
      <c r="K106" t="str">
        <f>IFERROR(INDEX('Green_rooibos initial weight'!$C$5:$C$2000,MATCH(I106, 'Green_rooibos initial weight'!$A$5:$A$2000,0)),"")</f>
        <v/>
      </c>
      <c r="L106" s="194" t="str">
        <f t="shared" si="0"/>
        <v/>
      </c>
      <c r="M106" s="237">
        <f>AVERAGE(Ashed_controlls!$K$1:$K$11)</f>
        <v>5.5147656768714146</v>
      </c>
      <c r="N106" s="194" t="str">
        <f>IFERROR(IF(K106&gt;0,(K106*$F$32-($F$29+$F$30)),""),"")</f>
        <v/>
      </c>
      <c r="O106" s="16" t="str">
        <f>IF('Dry_Litterbag Placem_Collection'!G33="","",'Dry_Litterbag Placem_Collection'!G33)</f>
        <v/>
      </c>
      <c r="P106" s="194" t="str">
        <f>IFERROR(INDEX('Both teabags AfterDry'!$D$3:$D$2000,MATCH(H106,'Both teabags AfterDry'!$A$3:$A$2000,0)),"")</f>
        <v/>
      </c>
      <c r="Q106" s="194" t="str">
        <f>IFERROR(INDEX('Both teabags AfterDry'!$D$3:$D$2000,MATCH(I106,'Both teabags AfterDry'!$A$3:$A$2000,0)),"")</f>
        <v/>
      </c>
      <c r="R106" s="194" t="str">
        <f t="shared" si="1"/>
        <v/>
      </c>
      <c r="S106" s="194" t="str">
        <f t="shared" si="1"/>
        <v/>
      </c>
      <c r="T106" s="194" t="str">
        <f t="shared" si="2"/>
        <v/>
      </c>
      <c r="U106" s="194" t="str">
        <f t="shared" si="3"/>
        <v/>
      </c>
      <c r="V106" s="194" t="str">
        <f t="shared" si="4"/>
        <v/>
      </c>
      <c r="W106" t="str">
        <f t="shared" si="5"/>
        <v/>
      </c>
      <c r="X106" s="194" t="str">
        <f t="shared" si="6"/>
        <v/>
      </c>
      <c r="Y106" s="194" t="str">
        <f t="shared" si="7"/>
        <v/>
      </c>
      <c r="Z106" s="252" t="str">
        <f>IF(ISNUMBER(SEARCH("C", 'Dry_Litterbag Placem_Collection'!$T33)),"YES","NO")</f>
        <v>NO</v>
      </c>
      <c r="AA106" s="252" t="str">
        <f>IF(ISNUMBER(SEARCH("H", 'Dry_Litterbag Placem_Collection'!$T33)),"YES","NO")</f>
        <v>NO</v>
      </c>
      <c r="AB106" s="252" t="str">
        <f>IF(ISNUMBER(SEARCH("R", 'Dry_Litterbag Placem_Collection'!$T33)),"YES","NO")</f>
        <v>NO</v>
      </c>
      <c r="AC106" s="252" t="str">
        <f>IF(ISNUMBER(SEARCH("C", 'Dry_Litterbag Placem_Collection'!$S33)),"YES","NO")</f>
        <v>NO</v>
      </c>
      <c r="AD106" s="252" t="str">
        <f>IF(ISNUMBER(SEARCH("H", 'Dry_Litterbag Placem_Collection'!$S33)),"YES","NO")</f>
        <v>NO</v>
      </c>
      <c r="AE106" s="252" t="str">
        <f>IF(ISNUMBER(SEARCH("R", 'Dry_Litterbag Placem_Collection'!$S33)),"YES","NO")</f>
        <v>NO</v>
      </c>
    </row>
    <row r="107" spans="2:31">
      <c r="B107" t="str">
        <f>'Final data_for_R_analysis_Dryse'!A33</f>
        <v>Dry</v>
      </c>
      <c r="C107" s="260">
        <f>'Final data_for_R_analysis_Dryse'!B33</f>
        <v>32</v>
      </c>
      <c r="D107" t="s">
        <v>3804</v>
      </c>
      <c r="E107" t="s">
        <v>22</v>
      </c>
      <c r="F107" s="382">
        <v>8</v>
      </c>
      <c r="G107" s="16">
        <f>IF('Dry_Litterbag Placem_Collection'!E34="","",'Dry_Litterbag Placem_Collection'!E34)</f>
        <v>42936</v>
      </c>
      <c r="H107" t="str">
        <f>'Final data_for_R_analysis_Dryse'!K33</f>
        <v>G193</v>
      </c>
      <c r="I107" t="str">
        <f>'Final data_for_R_analysis_Dryse'!K253</f>
        <v>R743</v>
      </c>
      <c r="J107">
        <f>IFERROR(INDEX('Green_rooibos initial weight'!$C$5:$C$2000,MATCH(H107, 'Green_rooibos initial weight'!$A$5:$A$2000,0)),"")</f>
        <v>2.177</v>
      </c>
      <c r="K107">
        <f>IFERROR(INDEX('Green_rooibos initial weight'!$C$5:$C$2000,MATCH(I107, 'Green_rooibos initial weight'!$A$5:$A$2000,0)),"")</f>
        <v>2.2480000000000002</v>
      </c>
      <c r="L107" s="194">
        <f t="shared" si="0"/>
        <v>1.9272</v>
      </c>
      <c r="M107" s="237">
        <f>AVERAGE(Ashed_controlls!$K$1:$K$11)</f>
        <v>5.5147656768714146</v>
      </c>
      <c r="N107" s="194">
        <f>IFERROR(IF(K107&gt;0,(K107*$F$32-($F$29+$F$30)),""),"")</f>
        <v>1.9982000000000002</v>
      </c>
      <c r="O107" s="16">
        <f>IF('Dry_Litterbag Placem_Collection'!G34="","",'Dry_Litterbag Placem_Collection'!G34)</f>
        <v>43007</v>
      </c>
      <c r="P107" s="194">
        <f>IFERROR(INDEX('Both teabags AfterDry'!$D$3:$D$2000,MATCH(H107,'Both teabags AfterDry'!$A$3:$A$2000,0)),"")</f>
        <v>1.8848</v>
      </c>
      <c r="Q107" s="194">
        <f>IFERROR(INDEX('Both teabags AfterDry'!$D$3:$D$2000,MATCH(I107,'Both teabags AfterDry'!$A$3:$A$2000,0)),"")</f>
        <v>1.9944999999999999</v>
      </c>
      <c r="R107" s="194">
        <f t="shared" si="1"/>
        <v>1.7342</v>
      </c>
      <c r="S107" s="194">
        <f t="shared" si="1"/>
        <v>1.8438999999999999</v>
      </c>
      <c r="T107" s="194">
        <f t="shared" si="2"/>
        <v>0.10014528850145288</v>
      </c>
      <c r="U107" s="194">
        <f t="shared" si="3"/>
        <v>6.5653443293114025E-2</v>
      </c>
      <c r="V107" s="194">
        <f t="shared" si="4"/>
        <v>0.92278050245220689</v>
      </c>
      <c r="W107">
        <f t="shared" si="5"/>
        <v>71</v>
      </c>
      <c r="X107" s="194">
        <f t="shared" si="6"/>
        <v>0.88106260272986592</v>
      </c>
      <c r="Y107" s="194" t="str">
        <f t="shared" si="7"/>
        <v/>
      </c>
      <c r="Z107" s="252" t="str">
        <f>IF(ISNUMBER(SEARCH("C", 'Dry_Litterbag Placem_Collection'!$T34)),"YES","NO")</f>
        <v>NO</v>
      </c>
      <c r="AA107" s="252" t="str">
        <f>IF(ISNUMBER(SEARCH("H", 'Dry_Litterbag Placem_Collection'!$T34)),"YES","NO")</f>
        <v>NO</v>
      </c>
      <c r="AB107" s="252" t="str">
        <f>IF(ISNUMBER(SEARCH("R", 'Dry_Litterbag Placem_Collection'!$T34)),"YES","NO")</f>
        <v>NO</v>
      </c>
      <c r="AC107" s="252" t="str">
        <f>IF(ISNUMBER(SEARCH("C", 'Dry_Litterbag Placem_Collection'!$S34)),"YES","NO")</f>
        <v>NO</v>
      </c>
      <c r="AD107" s="252" t="str">
        <f>IF(ISNUMBER(SEARCH("H", 'Dry_Litterbag Placem_Collection'!$S34)),"YES","NO")</f>
        <v>NO</v>
      </c>
      <c r="AE107" s="252" t="str">
        <f>IF(ISNUMBER(SEARCH("R", 'Dry_Litterbag Placem_Collection'!$S34)),"YES","NO")</f>
        <v>NO</v>
      </c>
    </row>
    <row r="108" spans="2:31">
      <c r="B108" t="str">
        <f>'Final data_for_R_analysis_Dryse'!A34</f>
        <v>Dry</v>
      </c>
      <c r="C108" s="260">
        <f>'Final data_for_R_analysis_Dryse'!B34</f>
        <v>33</v>
      </c>
      <c r="D108" t="s">
        <v>3805</v>
      </c>
      <c r="E108" t="s">
        <v>22</v>
      </c>
      <c r="F108" s="381">
        <v>1</v>
      </c>
      <c r="G108" s="16">
        <f>IF('Dry_Litterbag Placem_Collection'!E35="","",'Dry_Litterbag Placem_Collection'!E35)</f>
        <v>42938</v>
      </c>
      <c r="H108" t="str">
        <f>'Final data_for_R_analysis_Dryse'!K34</f>
        <v>G218</v>
      </c>
      <c r="I108" t="str">
        <f>'Final data_for_R_analysis_Dryse'!K254</f>
        <v>R769</v>
      </c>
      <c r="J108">
        <f>IFERROR(INDEX('Green_rooibos initial weight'!$C$5:$C$2000,MATCH(H108, 'Green_rooibos initial weight'!$A$5:$A$2000,0)),"")</f>
        <v>1.96</v>
      </c>
      <c r="K108">
        <f>IFERROR(INDEX('Green_rooibos initial weight'!$C$5:$C$2000,MATCH(I108, 'Green_rooibos initial weight'!$A$5:$A$2000,0)),"")</f>
        <v>2.2480000000000002</v>
      </c>
      <c r="L108" s="194">
        <f t="shared" si="0"/>
        <v>1.7101999999999999</v>
      </c>
      <c r="M108" s="237">
        <f>AVERAGE(Ashed_controlls!$K$1:$K$11)</f>
        <v>5.5147656768714146</v>
      </c>
      <c r="N108" s="194">
        <f>IFERROR(IF(K108&gt;0,(K108*$F$32-($F$29+$F$30)),""),"")</f>
        <v>1.9982000000000002</v>
      </c>
      <c r="O108" s="16">
        <f>IF('Dry_Litterbag Placem_Collection'!G35="","",'Dry_Litterbag Placem_Collection'!G35)</f>
        <v>43005</v>
      </c>
      <c r="P108" s="194">
        <f>IFERROR(INDEX('Both teabags AfterDry'!$D$3:$D$2000,MATCH(H108,'Both teabags AfterDry'!$A$3:$A$2000,0)),"")</f>
        <v>1.7766</v>
      </c>
      <c r="Q108" s="194">
        <f>IFERROR(INDEX('Both teabags AfterDry'!$D$3:$D$2000,MATCH(I108,'Both teabags AfterDry'!$A$3:$A$2000,0)),"")</f>
        <v>1.9911000000000001</v>
      </c>
      <c r="R108" s="194">
        <f t="shared" si="1"/>
        <v>1.6259999999999999</v>
      </c>
      <c r="S108" s="194">
        <f t="shared" si="1"/>
        <v>1.8405</v>
      </c>
      <c r="T108" s="194">
        <f t="shared" si="2"/>
        <v>4.9234007718395589E-2</v>
      </c>
      <c r="U108" s="194">
        <f t="shared" si="3"/>
        <v>3.2276926675242686E-2</v>
      </c>
      <c r="V108" s="194">
        <f t="shared" si="4"/>
        <v>0.92107897107396652</v>
      </c>
      <c r="W108">
        <f t="shared" si="5"/>
        <v>67</v>
      </c>
      <c r="X108" s="194">
        <f t="shared" si="6"/>
        <v>0.94152730674774876</v>
      </c>
      <c r="Y108" s="194" t="str">
        <f t="shared" si="7"/>
        <v/>
      </c>
      <c r="Z108" s="252" t="str">
        <f>IF(ISNUMBER(SEARCH("C", 'Dry_Litterbag Placem_Collection'!$T35)),"YES","NO")</f>
        <v>NO</v>
      </c>
      <c r="AA108" s="252" t="str">
        <f>IF(ISNUMBER(SEARCH("H", 'Dry_Litterbag Placem_Collection'!$T35)),"YES","NO")</f>
        <v>NO</v>
      </c>
      <c r="AB108" s="252" t="str">
        <f>IF(ISNUMBER(SEARCH("R", 'Dry_Litterbag Placem_Collection'!$T35)),"YES","NO")</f>
        <v>NO</v>
      </c>
      <c r="AC108" s="252" t="str">
        <f>IF(ISNUMBER(SEARCH("C", 'Dry_Litterbag Placem_Collection'!$S35)),"YES","NO")</f>
        <v>NO</v>
      </c>
      <c r="AD108" s="252" t="str">
        <f>IF(ISNUMBER(SEARCH("H", 'Dry_Litterbag Placem_Collection'!$S35)),"YES","NO")</f>
        <v>NO</v>
      </c>
      <c r="AE108" s="252" t="str">
        <f>IF(ISNUMBER(SEARCH("R", 'Dry_Litterbag Placem_Collection'!$S35)),"YES","NO")</f>
        <v>NO</v>
      </c>
    </row>
    <row r="109" spans="2:31">
      <c r="B109" t="str">
        <f>'Final data_for_R_analysis_Dryse'!A35</f>
        <v>Dry</v>
      </c>
      <c r="C109" s="260">
        <f>'Final data_for_R_analysis_Dryse'!B35</f>
        <v>34</v>
      </c>
      <c r="D109" t="s">
        <v>3805</v>
      </c>
      <c r="E109" t="s">
        <v>22</v>
      </c>
      <c r="F109" s="381">
        <v>2</v>
      </c>
      <c r="G109" s="16">
        <f>IF('Dry_Litterbag Placem_Collection'!E36="","",'Dry_Litterbag Placem_Collection'!E36)</f>
        <v>42938</v>
      </c>
      <c r="H109" t="str">
        <f>'Final data_for_R_analysis_Dryse'!K35</f>
        <v>G104</v>
      </c>
      <c r="I109" t="str">
        <f>'Final data_for_R_analysis_Dryse'!K255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0"/>
        <v>1.7761999999999998</v>
      </c>
      <c r="M109" s="237">
        <f>AVERAGE(Ashed_controlls!$K$1:$K$11)</f>
        <v>5.5147656768714146</v>
      </c>
      <c r="N109" s="194">
        <f>IFERROR(IF(K109&gt;0,(K109*$F$32-($F$29+$F$30)),""),"")</f>
        <v>1.9902000000000002</v>
      </c>
      <c r="O109" s="16">
        <f>IF('Dry_Litterbag Placem_Collection'!G36="","",'Dry_Litterbag Placem_Collection'!G36)</f>
        <v>43005</v>
      </c>
      <c r="P109" s="194" t="str">
        <f>IFERROR(INDEX('Both teabags AfterDry'!$D$3:$D$2000,MATCH(H109,'Both teabags AfterDry'!$A$3:$A$2000,0)),"")</f>
        <v/>
      </c>
      <c r="Q109" s="194" t="str">
        <f>IFERROR(INDEX('Both teabags AfterDry'!$D$3:$D$2000,MATCH(I109,'Both teabags AfterDry'!$A$3:$A$2000,0)),"")</f>
        <v/>
      </c>
      <c r="R109" s="194" t="str">
        <f t="shared" si="1"/>
        <v/>
      </c>
      <c r="S109" s="194" t="str">
        <f t="shared" si="1"/>
        <v/>
      </c>
      <c r="T109" s="194" t="str">
        <f t="shared" si="2"/>
        <v/>
      </c>
      <c r="U109" s="194" t="str">
        <f t="shared" si="3"/>
        <v/>
      </c>
      <c r="V109" s="194" t="str">
        <f t="shared" si="4"/>
        <v/>
      </c>
      <c r="W109">
        <f t="shared" si="5"/>
        <v>67</v>
      </c>
      <c r="X109" s="194" t="str">
        <f t="shared" si="6"/>
        <v/>
      </c>
      <c r="Y109" s="194" t="str">
        <f t="shared" si="7"/>
        <v/>
      </c>
      <c r="Z109" s="252" t="str">
        <f>IF(ISNUMBER(SEARCH("C", 'Dry_Litterbag Placem_Collection'!$T36)),"YES","NO")</f>
        <v>NO</v>
      </c>
      <c r="AA109" s="252" t="str">
        <f>IF(ISNUMBER(SEARCH("H", 'Dry_Litterbag Placem_Collection'!$T36)),"YES","NO")</f>
        <v>NO</v>
      </c>
      <c r="AB109" s="252" t="str">
        <f>IF(ISNUMBER(SEARCH("R", 'Dry_Litterbag Placem_Collection'!$T36)),"YES","NO")</f>
        <v>NO</v>
      </c>
      <c r="AC109" s="252" t="str">
        <f>IF(ISNUMBER(SEARCH("C", 'Dry_Litterbag Placem_Collection'!$S36)),"YES","NO")</f>
        <v>NO</v>
      </c>
      <c r="AD109" s="252" t="str">
        <f>IF(ISNUMBER(SEARCH("H", 'Dry_Litterbag Placem_Collection'!$S36)),"YES","NO")</f>
        <v>YES</v>
      </c>
      <c r="AE109" s="252" t="str">
        <f>IF(ISNUMBER(SEARCH("R", 'Dry_Litterbag Placem_Collection'!$S36)),"YES","NO")</f>
        <v>NO</v>
      </c>
    </row>
    <row r="110" spans="2:31">
      <c r="B110" t="str">
        <f>'Final data_for_R_analysis_Dryse'!A36</f>
        <v>Dry</v>
      </c>
      <c r="C110" s="260">
        <f>'Final data_for_R_analysis_Dryse'!B36</f>
        <v>35</v>
      </c>
      <c r="D110" t="s">
        <v>3805</v>
      </c>
      <c r="E110" t="s">
        <v>22</v>
      </c>
      <c r="F110" s="381">
        <v>3</v>
      </c>
      <c r="G110" s="16">
        <f>IF('Dry_Litterbag Placem_Collection'!E37="","",'Dry_Litterbag Placem_Collection'!E37)</f>
        <v>42938</v>
      </c>
      <c r="H110" t="str">
        <f>'Final data_for_R_analysis_Dryse'!K36</f>
        <v>G188</v>
      </c>
      <c r="I110" t="str">
        <f>'Final data_for_R_analysis_Dryse'!K256</f>
        <v>R776</v>
      </c>
      <c r="J110">
        <f>IFERROR(INDEX('Green_rooibos initial weight'!$C$5:$C$2000,MATCH(H110, 'Green_rooibos initial weight'!$A$5:$A$2000,0)),"")</f>
        <v>1.952</v>
      </c>
      <c r="K110">
        <f>IFERROR(INDEX('Green_rooibos initial weight'!$C$5:$C$2000,MATCH(I110, 'Green_rooibos initial weight'!$A$5:$A$2000,0)),"")</f>
        <v>2.1989999999999998</v>
      </c>
      <c r="L110" s="194">
        <f t="shared" si="0"/>
        <v>1.7021999999999999</v>
      </c>
      <c r="M110" s="237">
        <f>AVERAGE(Ashed_controlls!$K$1:$K$11)</f>
        <v>5.5147656768714146</v>
      </c>
      <c r="N110" s="194">
        <f>IFERROR(IF(K110&gt;0,(K110*$F$32-($F$29+$F$30)),""),"")</f>
        <v>1.9491999999999998</v>
      </c>
      <c r="O110" s="16">
        <f>IF('Dry_Litterbag Placem_Collection'!G37="","",'Dry_Litterbag Placem_Collection'!G37)</f>
        <v>43005</v>
      </c>
      <c r="P110" s="194">
        <f>IFERROR(INDEX('Both teabags AfterDry'!$D$3:$D$2000,MATCH(H110,'Both teabags AfterDry'!$A$3:$A$2000,0)),"")</f>
        <v>1.7849999999999999</v>
      </c>
      <c r="Q110" s="194">
        <f>IFERROR(INDEX('Both teabags AfterDry'!$D$3:$D$2000,MATCH(I110,'Both teabags AfterDry'!$A$3:$A$2000,0)),"")</f>
        <v>1.9447000000000001</v>
      </c>
      <c r="R110" s="194">
        <f t="shared" si="1"/>
        <v>1.6343999999999999</v>
      </c>
      <c r="S110" s="194">
        <f t="shared" si="1"/>
        <v>1.7941</v>
      </c>
      <c r="T110" s="194">
        <f t="shared" si="2"/>
        <v>3.9830807190694428E-2</v>
      </c>
      <c r="U110" s="194">
        <f t="shared" si="3"/>
        <v>2.611235815827E-2</v>
      </c>
      <c r="V110" s="194">
        <f t="shared" si="4"/>
        <v>0.920428893905192</v>
      </c>
      <c r="W110">
        <f t="shared" si="5"/>
        <v>67</v>
      </c>
      <c r="X110" s="194">
        <f t="shared" si="6"/>
        <v>0.95269500333646739</v>
      </c>
      <c r="Y110" s="194" t="str">
        <f t="shared" si="7"/>
        <v/>
      </c>
      <c r="Z110" s="252" t="str">
        <f>IF(ISNUMBER(SEARCH("C", 'Dry_Litterbag Placem_Collection'!$T37)),"YES","NO")</f>
        <v>NO</v>
      </c>
      <c r="AA110" s="252" t="str">
        <f>IF(ISNUMBER(SEARCH("H", 'Dry_Litterbag Placem_Collection'!$T37)),"YES","NO")</f>
        <v>NO</v>
      </c>
      <c r="AB110" s="252" t="str">
        <f>IF(ISNUMBER(SEARCH("R", 'Dry_Litterbag Placem_Collection'!$T37)),"YES","NO")</f>
        <v>NO</v>
      </c>
      <c r="AC110" s="252" t="str">
        <f>IF(ISNUMBER(SEARCH("C", 'Dry_Litterbag Placem_Collection'!$S37)),"YES","NO")</f>
        <v>NO</v>
      </c>
      <c r="AD110" s="252" t="str">
        <f>IF(ISNUMBER(SEARCH("H", 'Dry_Litterbag Placem_Collection'!$S37)),"YES","NO")</f>
        <v>NO</v>
      </c>
      <c r="AE110" s="252" t="str">
        <f>IF(ISNUMBER(SEARCH("R", 'Dry_Litterbag Placem_Collection'!$S37)),"YES","NO")</f>
        <v>NO</v>
      </c>
    </row>
    <row r="111" spans="2:31">
      <c r="B111" t="str">
        <f>'Final data_for_R_analysis_Dryse'!A37</f>
        <v>Dry</v>
      </c>
      <c r="C111" s="260">
        <f>'Final data_for_R_analysis_Dryse'!B37</f>
        <v>36</v>
      </c>
      <c r="D111" t="s">
        <v>3805</v>
      </c>
      <c r="E111" t="s">
        <v>22</v>
      </c>
      <c r="F111" s="382">
        <v>4</v>
      </c>
      <c r="G111" s="16">
        <f>IF('Dry_Litterbag Placem_Collection'!E38="","",'Dry_Litterbag Placem_Collection'!E38)</f>
        <v>42938</v>
      </c>
      <c r="H111" t="str">
        <f>'Final data_for_R_analysis_Dryse'!K37</f>
        <v>G379</v>
      </c>
      <c r="I111" t="str">
        <f>'Final data_for_R_analysis_Dryse'!K257</f>
        <v>R799</v>
      </c>
      <c r="J111">
        <f>IFERROR(INDEX('Green_rooibos initial weight'!$C$5:$C$2000,MATCH(H111, 'Green_rooibos initial weight'!$A$5:$A$2000,0)),"")</f>
        <v>2.052</v>
      </c>
      <c r="K111">
        <f>IFERROR(INDEX('Green_rooibos initial weight'!$C$5:$C$2000,MATCH(I111, 'Green_rooibos initial weight'!$A$5:$A$2000,0)),"")</f>
        <v>2.2040000000000002</v>
      </c>
      <c r="L111" s="194">
        <f t="shared" si="0"/>
        <v>1.8022</v>
      </c>
      <c r="M111" s="237">
        <f>AVERAGE(Ashed_controlls!$K$1:$K$11)</f>
        <v>5.5147656768714146</v>
      </c>
      <c r="N111" s="194">
        <f>IFERROR(IF(K111&gt;0,(K111*$F$32-($F$29+$F$30)),""),"")</f>
        <v>1.9542000000000002</v>
      </c>
      <c r="O111" s="16">
        <f>IF('Dry_Litterbag Placem_Collection'!G38="","",'Dry_Litterbag Placem_Collection'!G38)</f>
        <v>43005</v>
      </c>
      <c r="P111" s="194">
        <f>IFERROR(INDEX('Both teabags AfterDry'!$D$3:$D$2000,MATCH(H111,'Both teabags AfterDry'!$A$3:$A$2000,0)),"")</f>
        <v>1.65</v>
      </c>
      <c r="Q111" s="194">
        <f>IFERROR(INDEX('Both teabags AfterDry'!$D$3:$D$2000,MATCH(I111,'Both teabags AfterDry'!$A$3:$A$2000,0)),"")</f>
        <v>1.3494999999999999</v>
      </c>
      <c r="R111" s="194">
        <f t="shared" si="1"/>
        <v>1.4993999999999998</v>
      </c>
      <c r="S111" s="194">
        <f t="shared" si="1"/>
        <v>1.1988999999999999</v>
      </c>
      <c r="T111" s="194">
        <f t="shared" si="2"/>
        <v>0.16801686827211193</v>
      </c>
      <c r="U111" s="194">
        <f t="shared" si="3"/>
        <v>0.11014882575558888</v>
      </c>
      <c r="V111" s="194">
        <f t="shared" si="4"/>
        <v>0.61349913007880452</v>
      </c>
      <c r="W111">
        <f t="shared" si="5"/>
        <v>67</v>
      </c>
      <c r="X111" s="194">
        <f t="shared" si="6"/>
        <v>0.80045502580509265</v>
      </c>
      <c r="Y111" s="194" t="str">
        <f t="shared" si="7"/>
        <v/>
      </c>
      <c r="Z111" s="252" t="str">
        <f>IF(ISNUMBER(SEARCH("C", 'Dry_Litterbag Placem_Collection'!$T38)),"YES","NO")</f>
        <v>YES</v>
      </c>
      <c r="AA111" s="252" t="str">
        <f>IF(ISNUMBER(SEARCH("H", 'Dry_Litterbag Placem_Collection'!$T38)),"YES","NO")</f>
        <v>YES</v>
      </c>
      <c r="AB111" s="252" t="str">
        <f>IF(ISNUMBER(SEARCH("R", 'Dry_Litterbag Placem_Collection'!$T38)),"YES","NO")</f>
        <v>NO</v>
      </c>
      <c r="AC111" s="252" t="str">
        <f>IF(ISNUMBER(SEARCH("C", 'Dry_Litterbag Placem_Collection'!$S38)),"YES","NO")</f>
        <v>NO</v>
      </c>
      <c r="AD111" s="252" t="str">
        <f>IF(ISNUMBER(SEARCH("H", 'Dry_Litterbag Placem_Collection'!$S38)),"YES","NO")</f>
        <v>NO</v>
      </c>
      <c r="AE111" s="252" t="str">
        <f>IF(ISNUMBER(SEARCH("R", 'Dry_Litterbag Placem_Collection'!$S38)),"YES","NO")</f>
        <v>NO</v>
      </c>
    </row>
    <row r="112" spans="2:31">
      <c r="B112" t="str">
        <f>'Final data_for_R_analysis_Dryse'!A38</f>
        <v>Dry</v>
      </c>
      <c r="C112" s="260">
        <f>'Final data_for_R_analysis_Dryse'!B38</f>
        <v>37</v>
      </c>
      <c r="D112" t="s">
        <v>3805</v>
      </c>
      <c r="E112" t="s">
        <v>22</v>
      </c>
      <c r="F112" s="382">
        <v>5</v>
      </c>
      <c r="G112" s="16">
        <f>IF('Dry_Litterbag Placem_Collection'!E39="","",'Dry_Litterbag Placem_Collection'!E39)</f>
        <v>42938</v>
      </c>
      <c r="H112" t="str">
        <f>'Final data_for_R_analysis_Dryse'!K38</f>
        <v>G66</v>
      </c>
      <c r="I112" t="str">
        <f>'Final data_for_R_analysis_Dryse'!K258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0"/>
        <v>1.6992</v>
      </c>
      <c r="M112" s="237">
        <f>AVERAGE(Ashed_controlls!$K$1:$K$11)</f>
        <v>5.5147656768714146</v>
      </c>
      <c r="N112" s="194">
        <f>IFERROR(IF(K112&gt;0,(K112*$F$32-($F$29+$F$30)),""),"")</f>
        <v>1.9571999999999998</v>
      </c>
      <c r="O112" s="16">
        <f>IF('Dry_Litterbag Placem_Collection'!G39="","",'Dry_Litterbag Placem_Collection'!G39)</f>
        <v>43005</v>
      </c>
      <c r="P112" s="194">
        <f>IFERROR(INDEX('Both teabags AfterDry'!$D$3:$D$2000,MATCH(H112,'Both teabags AfterDry'!$A$3:$A$2000,0)),"")</f>
        <v>3.3298000000000001</v>
      </c>
      <c r="Q112" s="194">
        <f>IFERROR(INDEX('Both teabags AfterDry'!$D$3:$D$2000,MATCH(I112,'Both teabags AfterDry'!$A$3:$A$2000,0)),"")</f>
        <v>0.13320000000000001</v>
      </c>
      <c r="R112" s="194">
        <f t="shared" si="1"/>
        <v>3.1792000000000002</v>
      </c>
      <c r="S112" s="194">
        <f t="shared" si="1"/>
        <v>-1.7399999999999999E-2</v>
      </c>
      <c r="T112" s="194">
        <f t="shared" si="2"/>
        <v>-0.87099811676082872</v>
      </c>
      <c r="U112" s="194">
        <f t="shared" si="3"/>
        <v>-0.57101064186695683</v>
      </c>
      <c r="V112" s="194">
        <f t="shared" si="4"/>
        <v>-8.8902513795217665E-3</v>
      </c>
      <c r="W112">
        <f t="shared" si="5"/>
        <v>67</v>
      </c>
      <c r="X112" s="194">
        <f t="shared" si="6"/>
        <v>2.0344395685995593</v>
      </c>
      <c r="Y112" s="194">
        <f t="shared" si="7"/>
        <v>-1.5189694798997799E-2</v>
      </c>
      <c r="Z112" s="252" t="str">
        <f>IF(ISNUMBER(SEARCH("C", 'Dry_Litterbag Placem_Collection'!$T39)),"YES","NO")</f>
        <v>YES</v>
      </c>
      <c r="AA112" s="252" t="str">
        <f>IF(ISNUMBER(SEARCH("H", 'Dry_Litterbag Placem_Collection'!$T39)),"YES","NO")</f>
        <v>YES</v>
      </c>
      <c r="AB112" s="252" t="str">
        <f>IF(ISNUMBER(SEARCH("R", 'Dry_Litterbag Placem_Collection'!$T39)),"YES","NO")</f>
        <v>NO</v>
      </c>
      <c r="AC112" s="252" t="str">
        <f>IF(ISNUMBER(SEARCH("C", 'Dry_Litterbag Placem_Collection'!$S39)),"YES","NO")</f>
        <v>YES</v>
      </c>
      <c r="AD112" s="252" t="str">
        <f>IF(ISNUMBER(SEARCH("H", 'Dry_Litterbag Placem_Collection'!$S39)),"YES","NO")</f>
        <v>YES</v>
      </c>
      <c r="AE112" s="252" t="str">
        <f>IF(ISNUMBER(SEARCH("R", 'Dry_Litterbag Placem_Collection'!$S39)),"YES","NO")</f>
        <v>NO</v>
      </c>
    </row>
    <row r="113" spans="2:31">
      <c r="B113" t="str">
        <f>'Final data_for_R_analysis_Dryse'!A39</f>
        <v>Dry</v>
      </c>
      <c r="C113" s="260">
        <f>'Final data_for_R_analysis_Dryse'!B39</f>
        <v>38</v>
      </c>
      <c r="D113" t="s">
        <v>3805</v>
      </c>
      <c r="E113" t="s">
        <v>22</v>
      </c>
      <c r="F113" s="382">
        <v>6</v>
      </c>
      <c r="G113" s="16">
        <f>IF('Dry_Litterbag Placem_Collection'!E40="","",'Dry_Litterbag Placem_Collection'!E40)</f>
        <v>42938</v>
      </c>
      <c r="H113" t="str">
        <f>'Final data_for_R_analysis_Dryse'!K39</f>
        <v>G625</v>
      </c>
      <c r="I113" t="str">
        <f>'Final data_for_R_analysis_Dryse'!K259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0"/>
        <v>1.7152000000000001</v>
      </c>
      <c r="M113" s="237">
        <f>AVERAGE(Ashed_controlls!$K$1:$K$11)</f>
        <v>5.5147656768714146</v>
      </c>
      <c r="N113" s="194">
        <f>IFERROR(IF(K113&gt;0,(K113*$F$32-($F$29+$F$30)),""),"")</f>
        <v>1.9862000000000002</v>
      </c>
      <c r="O113" s="16">
        <f>IF('Dry_Litterbag Placem_Collection'!G40="","",'Dry_Litterbag Placem_Collection'!G40)</f>
        <v>43005</v>
      </c>
      <c r="P113" s="194">
        <f>IFERROR(INDEX('Both teabags AfterDry'!$D$3:$D$2000,MATCH(H113,'Both teabags AfterDry'!$A$3:$A$2000,0)),"")</f>
        <v>1.8379000000000001</v>
      </c>
      <c r="Q113" s="194">
        <f>IFERROR(INDEX('Both teabags AfterDry'!$D$3:$D$2000,MATCH(I113,'Both teabags AfterDry'!$A$3:$A$2000,0)),"")</f>
        <v>1.9076</v>
      </c>
      <c r="R113" s="194">
        <f t="shared" si="1"/>
        <v>1.6873</v>
      </c>
      <c r="S113" s="194">
        <f t="shared" si="1"/>
        <v>1.7569999999999999</v>
      </c>
      <c r="T113" s="194">
        <f t="shared" si="2"/>
        <v>1.6266324626865725E-2</v>
      </c>
      <c r="U113" s="194">
        <f t="shared" si="3"/>
        <v>1.0663908781508169E-2</v>
      </c>
      <c r="V113" s="194">
        <f t="shared" si="4"/>
        <v>0.88460376598529844</v>
      </c>
      <c r="W113">
        <f t="shared" si="5"/>
        <v>67</v>
      </c>
      <c r="X113" s="194">
        <f t="shared" si="6"/>
        <v>0.98068132467118085</v>
      </c>
      <c r="Y113" s="194" t="str">
        <f t="shared" si="7"/>
        <v/>
      </c>
      <c r="Z113" s="252" t="str">
        <f>IF(ISNUMBER(SEARCH("C", 'Dry_Litterbag Placem_Collection'!$T40)),"YES","NO")</f>
        <v>NO</v>
      </c>
      <c r="AA113" s="252" t="str">
        <f>IF(ISNUMBER(SEARCH("H", 'Dry_Litterbag Placem_Collection'!$T40)),"YES","NO")</f>
        <v>NO</v>
      </c>
      <c r="AB113" s="252" t="str">
        <f>IF(ISNUMBER(SEARCH("R", 'Dry_Litterbag Placem_Collection'!$T40)),"YES","NO")</f>
        <v>NO</v>
      </c>
      <c r="AC113" s="252" t="str">
        <f>IF(ISNUMBER(SEARCH("C", 'Dry_Litterbag Placem_Collection'!$S40)),"YES","NO")</f>
        <v>YES</v>
      </c>
      <c r="AD113" s="252" t="str">
        <f>IF(ISNUMBER(SEARCH("H", 'Dry_Litterbag Placem_Collection'!$S40)),"YES","NO")</f>
        <v>YES</v>
      </c>
      <c r="AE113" s="252" t="str">
        <f>IF(ISNUMBER(SEARCH("R", 'Dry_Litterbag Placem_Collection'!$S40)),"YES","NO")</f>
        <v>NO</v>
      </c>
    </row>
    <row r="114" spans="2:31">
      <c r="B114" t="str">
        <f>'Final data_for_R_analysis_Dryse'!A40</f>
        <v>Dry</v>
      </c>
      <c r="C114" s="260">
        <f>'Final data_for_R_analysis_Dryse'!B40</f>
        <v>39</v>
      </c>
      <c r="D114" t="s">
        <v>3805</v>
      </c>
      <c r="E114" t="s">
        <v>22</v>
      </c>
      <c r="F114" s="382">
        <v>7</v>
      </c>
      <c r="G114" s="16">
        <f>IF('Dry_Litterbag Placem_Collection'!E41="","",'Dry_Litterbag Placem_Collection'!E41)</f>
        <v>42938</v>
      </c>
      <c r="H114" t="str">
        <f>'Final data_for_R_analysis_Dryse'!K40</f>
        <v/>
      </c>
      <c r="I114" t="str">
        <f>'Final data_for_R_analysis_Dryse'!K260</f>
        <v/>
      </c>
      <c r="J114" t="str">
        <f>IFERROR(INDEX('Green_rooibos initial weight'!$C$5:$C$2000,MATCH(H114, 'Green_rooibos initial weight'!$A$5:$A$2000,0)),"")</f>
        <v/>
      </c>
      <c r="K114" t="str">
        <f>IFERROR(INDEX('Green_rooibos initial weight'!$C$5:$C$2000,MATCH(I114, 'Green_rooibos initial weight'!$A$5:$A$2000,0)),"")</f>
        <v/>
      </c>
      <c r="L114" s="194" t="str">
        <f t="shared" si="0"/>
        <v/>
      </c>
      <c r="M114" s="237">
        <f>AVERAGE(Ashed_controlls!$K$1:$K$11)</f>
        <v>5.5147656768714146</v>
      </c>
      <c r="N114" s="194" t="str">
        <f>IFERROR(IF(K114&gt;0,(K114*$F$32-($F$29+$F$30)),""),"")</f>
        <v/>
      </c>
      <c r="O114" s="16" t="str">
        <f>IF('Dry_Litterbag Placem_Collection'!G41="","",'Dry_Litterbag Placem_Collection'!G41)</f>
        <v/>
      </c>
      <c r="P114" s="194" t="str">
        <f>IFERROR(INDEX('Both teabags AfterDry'!$D$3:$D$2000,MATCH(H114,'Both teabags AfterDry'!$A$3:$A$2000,0)),"")</f>
        <v/>
      </c>
      <c r="Q114" s="194" t="str">
        <f>IFERROR(INDEX('Both teabags AfterDry'!$D$3:$D$2000,MATCH(I114,'Both teabags AfterDry'!$A$3:$A$2000,0)),"")</f>
        <v/>
      </c>
      <c r="R114" s="194" t="str">
        <f t="shared" si="1"/>
        <v/>
      </c>
      <c r="S114" s="194" t="str">
        <f t="shared" si="1"/>
        <v/>
      </c>
      <c r="T114" s="194" t="str">
        <f t="shared" si="2"/>
        <v/>
      </c>
      <c r="U114" s="194" t="str">
        <f t="shared" si="3"/>
        <v/>
      </c>
      <c r="V114" s="194" t="str">
        <f t="shared" si="4"/>
        <v/>
      </c>
      <c r="W114" t="str">
        <f t="shared" si="5"/>
        <v/>
      </c>
      <c r="X114" s="194" t="str">
        <f t="shared" si="6"/>
        <v/>
      </c>
      <c r="Y114" s="194" t="str">
        <f t="shared" si="7"/>
        <v/>
      </c>
      <c r="Z114" s="252" t="str">
        <f>IF(ISNUMBER(SEARCH("C", 'Dry_Litterbag Placem_Collection'!$T41)),"YES","NO")</f>
        <v>NO</v>
      </c>
      <c r="AA114" s="252" t="str">
        <f>IF(ISNUMBER(SEARCH("H", 'Dry_Litterbag Placem_Collection'!$T41)),"YES","NO")</f>
        <v>NO</v>
      </c>
      <c r="AB114" s="252" t="str">
        <f>IF(ISNUMBER(SEARCH("R", 'Dry_Litterbag Placem_Collection'!$T41)),"YES","NO")</f>
        <v>NO</v>
      </c>
      <c r="AC114" s="252" t="str">
        <f>IF(ISNUMBER(SEARCH("C", 'Dry_Litterbag Placem_Collection'!$S41)),"YES","NO")</f>
        <v>NO</v>
      </c>
      <c r="AD114" s="252" t="str">
        <f>IF(ISNUMBER(SEARCH("H", 'Dry_Litterbag Placem_Collection'!$S41)),"YES","NO")</f>
        <v>NO</v>
      </c>
      <c r="AE114" s="252" t="str">
        <f>IF(ISNUMBER(SEARCH("R", 'Dry_Litterbag Placem_Collection'!$S41)),"YES","NO")</f>
        <v>NO</v>
      </c>
    </row>
    <row r="115" spans="2:31">
      <c r="B115" t="str">
        <f>'Final data_for_R_analysis_Dryse'!A41</f>
        <v>Dry</v>
      </c>
      <c r="C115" s="260">
        <f>'Final data_for_R_analysis_Dryse'!B41</f>
        <v>40</v>
      </c>
      <c r="D115" t="s">
        <v>3805</v>
      </c>
      <c r="E115" t="s">
        <v>22</v>
      </c>
      <c r="F115" s="382">
        <v>8</v>
      </c>
      <c r="G115" s="16">
        <f>IF('Dry_Litterbag Placem_Collection'!E42="","",'Dry_Litterbag Placem_Collection'!E42)</f>
        <v>42938</v>
      </c>
      <c r="H115" t="str">
        <f>'Final data_for_R_analysis_Dryse'!K41</f>
        <v>G88</v>
      </c>
      <c r="I115" t="str">
        <f>'Final data_for_R_analysis_Dryse'!K261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0"/>
        <v>1.9051999999999998</v>
      </c>
      <c r="M115" s="237">
        <f>AVERAGE(Ashed_controlls!$K$1:$K$11)</f>
        <v>5.5147656768714146</v>
      </c>
      <c r="N115" s="194">
        <f>IFERROR(IF(K115&gt;0,(K115*$F$32-($F$29+$F$30)),""),"")</f>
        <v>1.9912000000000001</v>
      </c>
      <c r="O115" s="16">
        <f>IF('Dry_Litterbag Placem_Collection'!G42="","",'Dry_Litterbag Placem_Collection'!G42)</f>
        <v>43005</v>
      </c>
      <c r="P115" s="194">
        <f>IFERROR(INDEX('Both teabags AfterDry'!$D$3:$D$2000,MATCH(H115,'Both teabags AfterDry'!$A$3:$A$2000,0)),"")</f>
        <v>1.9495</v>
      </c>
      <c r="Q115" s="194">
        <f>IFERROR(INDEX('Both teabags AfterDry'!$D$3:$D$2000,MATCH(I115,'Both teabags AfterDry'!$A$3:$A$2000,0)),"")</f>
        <v>1.992</v>
      </c>
      <c r="R115" s="194">
        <f t="shared" si="1"/>
        <v>1.7988999999999999</v>
      </c>
      <c r="S115" s="194">
        <f t="shared" si="1"/>
        <v>1.8413999999999999</v>
      </c>
      <c r="T115" s="194">
        <f t="shared" si="2"/>
        <v>5.5794667226537809E-2</v>
      </c>
      <c r="U115" s="194">
        <f t="shared" si="3"/>
        <v>3.6577976614072305E-2</v>
      </c>
      <c r="V115" s="194">
        <f t="shared" si="4"/>
        <v>0.92476898352752102</v>
      </c>
      <c r="W115">
        <f t="shared" si="5"/>
        <v>67</v>
      </c>
      <c r="X115" s="194">
        <f t="shared" si="6"/>
        <v>0.93373554961218785</v>
      </c>
      <c r="Y115" s="194" t="str">
        <f t="shared" si="7"/>
        <v/>
      </c>
      <c r="Z115" s="252" t="str">
        <f>IF(ISNUMBER(SEARCH("C", 'Dry_Litterbag Placem_Collection'!$T42)),"YES","NO")</f>
        <v>NO</v>
      </c>
      <c r="AA115" s="252" t="str">
        <f>IF(ISNUMBER(SEARCH("H", 'Dry_Litterbag Placem_Collection'!$T42)),"YES","NO")</f>
        <v>NO</v>
      </c>
      <c r="AB115" s="252" t="str">
        <f>IF(ISNUMBER(SEARCH("R", 'Dry_Litterbag Placem_Collection'!$T42)),"YES","NO")</f>
        <v>NO</v>
      </c>
      <c r="AC115" s="252" t="str">
        <f>IF(ISNUMBER(SEARCH("C", 'Dry_Litterbag Placem_Collection'!$S42)),"YES","NO")</f>
        <v>YES</v>
      </c>
      <c r="AD115" s="252" t="str">
        <f>IF(ISNUMBER(SEARCH("H", 'Dry_Litterbag Placem_Collection'!$S42)),"YES","NO")</f>
        <v>YES</v>
      </c>
      <c r="AE115" s="252" t="str">
        <f>IF(ISNUMBER(SEARCH("R", 'Dry_Litterbag Placem_Collection'!$S42)),"YES","NO")</f>
        <v>NO</v>
      </c>
    </row>
    <row r="116" spans="2:31">
      <c r="B116" t="str">
        <f>'Final data_for_R_analysis_Dryse'!A42</f>
        <v>Dry</v>
      </c>
      <c r="C116" s="260">
        <f>'Final data_for_R_analysis_Dryse'!B42</f>
        <v>41</v>
      </c>
      <c r="D116" t="s">
        <v>3807</v>
      </c>
      <c r="E116" t="s">
        <v>22</v>
      </c>
      <c r="F116" s="381">
        <v>1</v>
      </c>
      <c r="G116" s="16">
        <f>IF('Dry_Litterbag Placem_Collection'!E43="","",'Dry_Litterbag Placem_Collection'!E43)</f>
        <v>42938</v>
      </c>
      <c r="H116" t="str">
        <f>'Final data_for_R_analysis_Dryse'!K42</f>
        <v>G256</v>
      </c>
      <c r="I116" t="str">
        <f>'Final data_for_R_analysis_Dryse'!K262</f>
        <v>R820</v>
      </c>
      <c r="J116">
        <f>IFERROR(INDEX('Green_rooibos initial weight'!$C$5:$C$2000,MATCH(H116, 'Green_rooibos initial weight'!$A$5:$A$2000,0)),"")</f>
        <v>2.11</v>
      </c>
      <c r="K116">
        <f>IFERROR(INDEX('Green_rooibos initial weight'!$C$5:$C$2000,MATCH(I116, 'Green_rooibos initial weight'!$A$5:$A$2000,0)),"")</f>
        <v>2.2170000000000001</v>
      </c>
      <c r="L116" s="194">
        <f t="shared" si="0"/>
        <v>1.8601999999999999</v>
      </c>
      <c r="M116" s="237">
        <f>AVERAGE(Ashed_controlls!$K$1:$K$11)</f>
        <v>5.5147656768714146</v>
      </c>
      <c r="N116" s="194">
        <f>IFERROR(IF(K116&gt;0,(K116*$F$32-($F$29+$F$30)),""),"")</f>
        <v>1.9672000000000001</v>
      </c>
      <c r="O116" s="16">
        <f>IF('Dry_Litterbag Placem_Collection'!G43="","",'Dry_Litterbag Placem_Collection'!G43)</f>
        <v>43005</v>
      </c>
      <c r="P116" s="194">
        <f>IFERROR(INDEX('Both teabags AfterDry'!$D$3:$D$2000,MATCH(H116,'Both teabags AfterDry'!$A$3:$A$2000,0)),"")</f>
        <v>1.6208</v>
      </c>
      <c r="Q116" s="194">
        <f>IFERROR(INDEX('Both teabags AfterDry'!$D$3:$D$2000,MATCH(I116,'Both teabags AfterDry'!$A$3:$A$2000,0)),"")</f>
        <v>1.2708999999999999</v>
      </c>
      <c r="R116" s="194">
        <f t="shared" si="1"/>
        <v>1.4702</v>
      </c>
      <c r="S116" s="194">
        <f t="shared" si="1"/>
        <v>1.1202999999999999</v>
      </c>
      <c r="T116" s="194">
        <f t="shared" si="2"/>
        <v>0.20965487581980424</v>
      </c>
      <c r="U116" s="194">
        <f t="shared" si="3"/>
        <v>0.13744595184386219</v>
      </c>
      <c r="V116" s="194">
        <f t="shared" si="4"/>
        <v>0.56948962993086616</v>
      </c>
      <c r="W116">
        <f t="shared" si="5"/>
        <v>67</v>
      </c>
      <c r="X116" s="194">
        <f t="shared" si="6"/>
        <v>0.75100371042778591</v>
      </c>
      <c r="Y116" s="194" t="str">
        <f t="shared" si="7"/>
        <v/>
      </c>
      <c r="Z116" s="252" t="str">
        <f>IF(ISNUMBER(SEARCH("C", 'Dry_Litterbag Placem_Collection'!$T43)),"YES","NO")</f>
        <v>NO</v>
      </c>
      <c r="AA116" s="252" t="str">
        <f>IF(ISNUMBER(SEARCH("H", 'Dry_Litterbag Placem_Collection'!$T43)),"YES","NO")</f>
        <v>YES</v>
      </c>
      <c r="AB116" s="252" t="str">
        <f>IF(ISNUMBER(SEARCH("R", 'Dry_Litterbag Placem_Collection'!$T43)),"YES","NO")</f>
        <v>NO</v>
      </c>
      <c r="AC116" s="252" t="str">
        <f>IF(ISNUMBER(SEARCH("C", 'Dry_Litterbag Placem_Collection'!$S43)),"YES","NO")</f>
        <v>NO</v>
      </c>
      <c r="AD116" s="252" t="str">
        <f>IF(ISNUMBER(SEARCH("H", 'Dry_Litterbag Placem_Collection'!$S43)),"YES","NO")</f>
        <v>YES</v>
      </c>
      <c r="AE116" s="252" t="str">
        <f>IF(ISNUMBER(SEARCH("R", 'Dry_Litterbag Placem_Collection'!$S43)),"YES","NO")</f>
        <v>NO</v>
      </c>
    </row>
    <row r="117" spans="2:31">
      <c r="B117" t="str">
        <f>'Final data_for_R_analysis_Dryse'!A43</f>
        <v>Dry</v>
      </c>
      <c r="C117" s="260">
        <f>'Final data_for_R_analysis_Dryse'!B43</f>
        <v>42</v>
      </c>
      <c r="D117" t="s">
        <v>3807</v>
      </c>
      <c r="E117" t="s">
        <v>22</v>
      </c>
      <c r="F117" s="381">
        <v>2</v>
      </c>
      <c r="G117" s="16">
        <f>IF('Dry_Litterbag Placem_Collection'!E44="","",'Dry_Litterbag Placem_Collection'!E44)</f>
        <v>42938</v>
      </c>
      <c r="H117" t="str">
        <f>'Final data_for_R_analysis_Dryse'!K43</f>
        <v>G341</v>
      </c>
      <c r="I117" t="str">
        <f>'Final data_for_R_analysis_Dryse'!K263</f>
        <v>R806</v>
      </c>
      <c r="J117">
        <f>IFERROR(INDEX('Green_rooibos initial weight'!$C$5:$C$2000,MATCH(H117, 'Green_rooibos initial weight'!$A$5:$A$2000,0)),"")</f>
        <v>1.954</v>
      </c>
      <c r="K117">
        <f>IFERROR(INDEX('Green_rooibos initial weight'!$C$5:$C$2000,MATCH(I117, 'Green_rooibos initial weight'!$A$5:$A$2000,0)),"")</f>
        <v>2.2389999999999999</v>
      </c>
      <c r="L117" s="194">
        <f t="shared" si="0"/>
        <v>1.7041999999999999</v>
      </c>
      <c r="M117" s="237">
        <f>AVERAGE(Ashed_controlls!$K$1:$K$11)</f>
        <v>5.5147656768714146</v>
      </c>
      <c r="N117" s="194">
        <f>IFERROR(IF(K117&gt;0,(K117*$F$32-($F$29+$F$30)),""),"")</f>
        <v>1.9891999999999999</v>
      </c>
      <c r="O117" s="16">
        <f>IF('Dry_Litterbag Placem_Collection'!G44="","",'Dry_Litterbag Placem_Collection'!G44)</f>
        <v>43005</v>
      </c>
      <c r="P117" s="194">
        <f>IFERROR(INDEX('Both teabags AfterDry'!$D$3:$D$2000,MATCH(H117,'Both teabags AfterDry'!$A$3:$A$2000,0)),"")</f>
        <v>1.7267999999999999</v>
      </c>
      <c r="Q117" s="194">
        <f>IFERROR(INDEX('Both teabags AfterDry'!$D$3:$D$2000,MATCH(I117,'Both teabags AfterDry'!$A$3:$A$2000,0)),"")</f>
        <v>0.14760000000000001</v>
      </c>
      <c r="R117" s="194">
        <f t="shared" si="1"/>
        <v>1.5761999999999998</v>
      </c>
      <c r="S117" s="194">
        <f t="shared" si="1"/>
        <v>-3.0000000000000027E-3</v>
      </c>
      <c r="T117" s="194">
        <f t="shared" si="2"/>
        <v>7.5108555333881055E-2</v>
      </c>
      <c r="U117" s="194">
        <f t="shared" si="3"/>
        <v>4.9239812997983759E-2</v>
      </c>
      <c r="V117" s="194">
        <f t="shared" si="4"/>
        <v>-1.5081439774783847E-3</v>
      </c>
      <c r="W117">
        <f t="shared" si="5"/>
        <v>67</v>
      </c>
      <c r="X117" s="194">
        <f t="shared" si="6"/>
        <v>0.91079744022104392</v>
      </c>
      <c r="Y117" s="194" t="str">
        <f t="shared" si="7"/>
        <v/>
      </c>
      <c r="Z117" s="252" t="str">
        <f>IF(ISNUMBER(SEARCH("C", 'Dry_Litterbag Placem_Collection'!$T44)),"YES","NO")</f>
        <v>YES</v>
      </c>
      <c r="AA117" s="252" t="str">
        <f>IF(ISNUMBER(SEARCH("H", 'Dry_Litterbag Placem_Collection'!$T44)),"YES","NO")</f>
        <v>YES</v>
      </c>
      <c r="AB117" s="252" t="str">
        <f>IF(ISNUMBER(SEARCH("R", 'Dry_Litterbag Placem_Collection'!$T44)),"YES","NO")</f>
        <v>NO</v>
      </c>
      <c r="AC117" s="252" t="str">
        <f>IF(ISNUMBER(SEARCH("C", 'Dry_Litterbag Placem_Collection'!$S44)),"YES","NO")</f>
        <v>YES</v>
      </c>
      <c r="AD117" s="252" t="str">
        <f>IF(ISNUMBER(SEARCH("H", 'Dry_Litterbag Placem_Collection'!$S44)),"YES","NO")</f>
        <v>YES</v>
      </c>
      <c r="AE117" s="252" t="str">
        <f>IF(ISNUMBER(SEARCH("R", 'Dry_Litterbag Placem_Collection'!$S44)),"YES","NO")</f>
        <v>NO</v>
      </c>
    </row>
    <row r="118" spans="2:31">
      <c r="B118" t="str">
        <f>'Final data_for_R_analysis_Dryse'!A44</f>
        <v>Dry</v>
      </c>
      <c r="C118" s="260">
        <f>'Final data_for_R_analysis_Dryse'!B44</f>
        <v>43</v>
      </c>
      <c r="D118" t="s">
        <v>3807</v>
      </c>
      <c r="E118" t="s">
        <v>22</v>
      </c>
      <c r="F118" s="381">
        <v>3</v>
      </c>
      <c r="G118" s="16">
        <f>IF('Dry_Litterbag Placem_Collection'!E45="","",'Dry_Litterbag Placem_Collection'!E45)</f>
        <v>42938</v>
      </c>
      <c r="H118" t="str">
        <f>'Final data_for_R_analysis_Dryse'!K44</f>
        <v>G246</v>
      </c>
      <c r="I118" t="str">
        <f>'Final data_for_R_analysis_Dryse'!K264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0"/>
        <v>1.9331999999999998</v>
      </c>
      <c r="M118" s="237">
        <f>AVERAGE(Ashed_controlls!$K$1:$K$11)</f>
        <v>5.5147656768714146</v>
      </c>
      <c r="N118" s="194">
        <f>IFERROR(IF(K118&gt;0,(K118*$F$32-($F$29+$F$30)),""),"")</f>
        <v>1.9702000000000002</v>
      </c>
      <c r="O118" s="16">
        <f>IF('Dry_Litterbag Placem_Collection'!G45="","",'Dry_Litterbag Placem_Collection'!G45)</f>
        <v>43005</v>
      </c>
      <c r="P118" s="194">
        <f>IFERROR(INDEX('Both teabags AfterDry'!$D$3:$D$2000,MATCH(H118,'Both teabags AfterDry'!$A$3:$A$2000,0)),"")</f>
        <v>1.9577</v>
      </c>
      <c r="Q118" s="194">
        <f>IFERROR(INDEX('Both teabags AfterDry'!$D$3:$D$2000,MATCH(I118,'Both teabags AfterDry'!$A$3:$A$2000,0)),"")</f>
        <v>1.6818</v>
      </c>
      <c r="R118" s="194">
        <f t="shared" si="1"/>
        <v>1.8070999999999999</v>
      </c>
      <c r="S118" s="194">
        <f t="shared" si="1"/>
        <v>1.5311999999999999</v>
      </c>
      <c r="T118" s="194">
        <f t="shared" si="2"/>
        <v>6.5228636457686728E-2</v>
      </c>
      <c r="U118" s="194">
        <f t="shared" si="3"/>
        <v>4.2762716537580847E-2</v>
      </c>
      <c r="V118" s="194">
        <f t="shared" si="4"/>
        <v>0.77717998172774327</v>
      </c>
      <c r="W118">
        <f t="shared" si="5"/>
        <v>67</v>
      </c>
      <c r="X118" s="194">
        <f t="shared" si="6"/>
        <v>0.92253131062032456</v>
      </c>
      <c r="Y118" s="194" t="str">
        <f t="shared" si="7"/>
        <v/>
      </c>
      <c r="Z118" s="252" t="str">
        <f>IF(ISNUMBER(SEARCH("C", 'Dry_Litterbag Placem_Collection'!$T45)),"YES","NO")</f>
        <v>YES</v>
      </c>
      <c r="AA118" s="252" t="str">
        <f>IF(ISNUMBER(SEARCH("H", 'Dry_Litterbag Placem_Collection'!$T45)),"YES","NO")</f>
        <v>YES</v>
      </c>
      <c r="AB118" s="252" t="str">
        <f>IF(ISNUMBER(SEARCH("R", 'Dry_Litterbag Placem_Collection'!$T45)),"YES","NO")</f>
        <v>NO</v>
      </c>
      <c r="AC118" s="252" t="str">
        <f>IF(ISNUMBER(SEARCH("C", 'Dry_Litterbag Placem_Collection'!$S45)),"YES","NO")</f>
        <v>YES</v>
      </c>
      <c r="AD118" s="252" t="str">
        <f>IF(ISNUMBER(SEARCH("H", 'Dry_Litterbag Placem_Collection'!$S45)),"YES","NO")</f>
        <v>YES</v>
      </c>
      <c r="AE118" s="252" t="str">
        <f>IF(ISNUMBER(SEARCH("R", 'Dry_Litterbag Placem_Collection'!$S45)),"YES","NO")</f>
        <v>NO</v>
      </c>
    </row>
    <row r="119" spans="2:31">
      <c r="B119" t="str">
        <f>'Final data_for_R_analysis_Dryse'!A45</f>
        <v>Dry</v>
      </c>
      <c r="C119" s="260">
        <f>'Final data_for_R_analysis_Dryse'!B45</f>
        <v>44</v>
      </c>
      <c r="D119" t="s">
        <v>3807</v>
      </c>
      <c r="E119" t="s">
        <v>22</v>
      </c>
      <c r="F119" s="382">
        <v>4</v>
      </c>
      <c r="G119" s="16">
        <f>IF('Dry_Litterbag Placem_Collection'!E46="","",'Dry_Litterbag Placem_Collection'!E46)</f>
        <v>42938</v>
      </c>
      <c r="H119" t="str">
        <f>'Final data_for_R_analysis_Dryse'!K45</f>
        <v>G115</v>
      </c>
      <c r="I119" t="str">
        <f>'Final data_for_R_analysis_Dryse'!K265</f>
        <v>R783</v>
      </c>
      <c r="J119">
        <f>IFERROR(INDEX('Green_rooibos initial weight'!$C$5:$C$2000,MATCH(H119, 'Green_rooibos initial weight'!$A$5:$A$2000,0)),"")</f>
        <v>2.048</v>
      </c>
      <c r="K119">
        <f>IFERROR(INDEX('Green_rooibos initial weight'!$C$5:$C$2000,MATCH(I119, 'Green_rooibos initial weight'!$A$5:$A$2000,0)),"")</f>
        <v>2.1989999999999998</v>
      </c>
      <c r="L119" s="194">
        <f t="shared" si="0"/>
        <v>1.7982</v>
      </c>
      <c r="M119" s="237">
        <f>AVERAGE(Ashed_controlls!$K$1:$K$11)</f>
        <v>5.5147656768714146</v>
      </c>
      <c r="N119" s="194">
        <f>IFERROR(IF(K119&gt;0,(K119*$F$32-($F$29+$F$30)),""),"")</f>
        <v>1.9491999999999998</v>
      </c>
      <c r="O119" s="16">
        <f>IF('Dry_Litterbag Placem_Collection'!G46="","",'Dry_Litterbag Placem_Collection'!G46)</f>
        <v>43005</v>
      </c>
      <c r="P119" s="194">
        <f>IFERROR(INDEX('Both teabags AfterDry'!$D$3:$D$2000,MATCH(H119,'Both teabags AfterDry'!$A$3:$A$2000,0)),"")</f>
        <v>1.7069000000000001</v>
      </c>
      <c r="Q119" s="194">
        <f>IFERROR(INDEX('Both teabags AfterDry'!$D$3:$D$2000,MATCH(I119,'Both teabags AfterDry'!$A$3:$A$2000,0)),"")</f>
        <v>1.8973</v>
      </c>
      <c r="R119" s="194">
        <f t="shared" si="1"/>
        <v>1.5563</v>
      </c>
      <c r="S119" s="194">
        <f t="shared" si="1"/>
        <v>1.7466999999999999</v>
      </c>
      <c r="T119" s="194">
        <f t="shared" si="2"/>
        <v>0.13452341230119003</v>
      </c>
      <c r="U119" s="194">
        <f t="shared" si="3"/>
        <v>8.8191120653511743E-2</v>
      </c>
      <c r="V119" s="194">
        <f t="shared" si="4"/>
        <v>0.89611122511799712</v>
      </c>
      <c r="W119">
        <f t="shared" si="5"/>
        <v>67</v>
      </c>
      <c r="X119" s="194">
        <f t="shared" si="6"/>
        <v>0.84023347707697149</v>
      </c>
      <c r="Y119" s="194" t="str">
        <f t="shared" si="7"/>
        <v/>
      </c>
      <c r="Z119" s="252" t="str">
        <f>IF(ISNUMBER(SEARCH("C", 'Dry_Litterbag Placem_Collection'!$T46)),"YES","NO")</f>
        <v>NO</v>
      </c>
      <c r="AA119" s="252" t="str">
        <f>IF(ISNUMBER(SEARCH("H", 'Dry_Litterbag Placem_Collection'!$T46)),"YES","NO")</f>
        <v>NO</v>
      </c>
      <c r="AB119" s="252" t="str">
        <f>IF(ISNUMBER(SEARCH("R", 'Dry_Litterbag Placem_Collection'!$T46)),"YES","NO")</f>
        <v>NO</v>
      </c>
      <c r="AC119" s="252" t="str">
        <f>IF(ISNUMBER(SEARCH("C", 'Dry_Litterbag Placem_Collection'!$S46)),"YES","NO")</f>
        <v>NO</v>
      </c>
      <c r="AD119" s="252" t="str">
        <f>IF(ISNUMBER(SEARCH("H", 'Dry_Litterbag Placem_Collection'!$S46)),"YES","NO")</f>
        <v>NO</v>
      </c>
      <c r="AE119" s="252" t="str">
        <f>IF(ISNUMBER(SEARCH("R", 'Dry_Litterbag Placem_Collection'!$S46)),"YES","NO")</f>
        <v>NO</v>
      </c>
    </row>
    <row r="120" spans="2:31">
      <c r="B120" t="str">
        <f>'Final data_for_R_analysis_Dryse'!A46</f>
        <v>Dry</v>
      </c>
      <c r="C120" s="260">
        <f>'Final data_for_R_analysis_Dryse'!B46</f>
        <v>45</v>
      </c>
      <c r="D120" t="s">
        <v>3807</v>
      </c>
      <c r="E120" t="s">
        <v>22</v>
      </c>
      <c r="F120" s="382">
        <v>5</v>
      </c>
      <c r="G120" s="16">
        <f>IF('Dry_Litterbag Placem_Collection'!E47="","",'Dry_Litterbag Placem_Collection'!E47)</f>
        <v>42938</v>
      </c>
      <c r="H120" t="str">
        <f>'Final data_for_R_analysis_Dryse'!K46</f>
        <v>G480</v>
      </c>
      <c r="I120" t="str">
        <f>'Final data_for_R_analysis_Dryse'!K266</f>
        <v>R827</v>
      </c>
      <c r="J120">
        <f>IFERROR(INDEX('Green_rooibos initial weight'!$C$5:$C$2000,MATCH(H120, 'Green_rooibos initial weight'!$A$5:$A$2000,0)),"")</f>
        <v>1.9850000000000001</v>
      </c>
      <c r="K120">
        <f>IFERROR(INDEX('Green_rooibos initial weight'!$C$5:$C$2000,MATCH(I120, 'Green_rooibos initial weight'!$A$5:$A$2000,0)),"")</f>
        <v>2.222</v>
      </c>
      <c r="L120" s="194">
        <f t="shared" si="0"/>
        <v>1.7352000000000001</v>
      </c>
      <c r="M120" s="237">
        <f>AVERAGE(Ashed_controlls!$K$1:$K$11)</f>
        <v>5.5147656768714146</v>
      </c>
      <c r="N120" s="194">
        <f>IFERROR(IF(K120&gt;0,(K120*$F$32-($F$29+$F$30)),""),"")</f>
        <v>1.9722</v>
      </c>
      <c r="O120" s="16">
        <f>IF('Dry_Litterbag Placem_Collection'!G47="","",'Dry_Litterbag Placem_Collection'!G47)</f>
        <v>43005</v>
      </c>
      <c r="P120" s="194" t="str">
        <f>IFERROR(INDEX('Both teabags AfterDry'!$D$3:$D$2000,MATCH(H120,'Both teabags AfterDry'!$A$3:$A$2000,0)),"")</f>
        <v/>
      </c>
      <c r="Q120" s="194" t="str">
        <f>IFERROR(INDEX('Both teabags AfterDry'!$D$3:$D$2000,MATCH(I120,'Both teabags AfterDry'!$A$3:$A$2000,0)),"")</f>
        <v/>
      </c>
      <c r="R120" s="194" t="str">
        <f t="shared" si="1"/>
        <v/>
      </c>
      <c r="S120" s="194" t="str">
        <f t="shared" si="1"/>
        <v/>
      </c>
      <c r="T120" s="194" t="str">
        <f t="shared" si="2"/>
        <v/>
      </c>
      <c r="U120" s="194" t="str">
        <f t="shared" si="3"/>
        <v/>
      </c>
      <c r="V120" s="194" t="str">
        <f t="shared" si="4"/>
        <v/>
      </c>
      <c r="W120">
        <f t="shared" si="5"/>
        <v>67</v>
      </c>
      <c r="X120" s="194" t="str">
        <f t="shared" si="6"/>
        <v/>
      </c>
      <c r="Y120" s="194" t="str">
        <f t="shared" si="7"/>
        <v/>
      </c>
      <c r="Z120" s="252" t="str">
        <f>IF(ISNUMBER(SEARCH("C", 'Dry_Litterbag Placem_Collection'!$T47)),"YES","NO")</f>
        <v>YES</v>
      </c>
      <c r="AA120" s="252" t="str">
        <f>IF(ISNUMBER(SEARCH("H", 'Dry_Litterbag Placem_Collection'!$T47)),"YES","NO")</f>
        <v>YES</v>
      </c>
      <c r="AB120" s="252" t="str">
        <f>IF(ISNUMBER(SEARCH("R", 'Dry_Litterbag Placem_Collection'!$T47)),"YES","NO")</f>
        <v>NO</v>
      </c>
      <c r="AC120" s="252" t="str">
        <f>IF(ISNUMBER(SEARCH("C", 'Dry_Litterbag Placem_Collection'!$S47)),"YES","NO")</f>
        <v>YES</v>
      </c>
      <c r="AD120" s="252" t="str">
        <f>IF(ISNUMBER(SEARCH("H", 'Dry_Litterbag Placem_Collection'!$S47)),"YES","NO")</f>
        <v>YES</v>
      </c>
      <c r="AE120" s="252" t="str">
        <f>IF(ISNUMBER(SEARCH("R", 'Dry_Litterbag Placem_Collection'!$S47)),"YES","NO")</f>
        <v>NO</v>
      </c>
    </row>
    <row r="121" spans="2:31">
      <c r="B121" t="str">
        <f>'Final data_for_R_analysis_Dryse'!A47</f>
        <v>Dry</v>
      </c>
      <c r="C121" s="260">
        <f>'Final data_for_R_analysis_Dryse'!B47</f>
        <v>46</v>
      </c>
      <c r="D121" t="s">
        <v>3807</v>
      </c>
      <c r="E121" t="s">
        <v>22</v>
      </c>
      <c r="F121" s="382">
        <v>6</v>
      </c>
      <c r="G121" s="16" t="str">
        <f>IF('Dry_Litterbag Placem_Collection'!E48="","",'Dry_Litterbag Placem_Collection'!E48)</f>
        <v/>
      </c>
      <c r="H121" t="str">
        <f>'Final data_for_R_analysis_Dryse'!K47</f>
        <v/>
      </c>
      <c r="I121" t="str">
        <f>'Final data_for_R_analysis_Dryse'!K267</f>
        <v/>
      </c>
      <c r="J121" t="str">
        <f>IFERROR(INDEX('Green_rooibos initial weight'!$C$5:$C$2000,MATCH(H121, 'Green_rooibos initial weight'!$A$5:$A$2000,0)),"")</f>
        <v/>
      </c>
      <c r="K121" t="str">
        <f>IFERROR(INDEX('Green_rooibos initial weight'!$C$5:$C$2000,MATCH(I121, 'Green_rooibos initial weight'!$A$5:$A$2000,0)),"")</f>
        <v/>
      </c>
      <c r="L121" s="194" t="str">
        <f t="shared" si="0"/>
        <v/>
      </c>
      <c r="M121" s="237">
        <f>AVERAGE(Ashed_controlls!$K$1:$K$11)</f>
        <v>5.5147656768714146</v>
      </c>
      <c r="N121" s="194" t="str">
        <f>IFERROR(IF(K121&gt;0,(K121*$F$32-($F$29+$F$30)),""),"")</f>
        <v/>
      </c>
      <c r="O121" s="16" t="str">
        <f>IF('Dry_Litterbag Placem_Collection'!G48="","",'Dry_Litterbag Placem_Collection'!G48)</f>
        <v/>
      </c>
      <c r="P121" s="194" t="str">
        <f>IFERROR(INDEX('Both teabags AfterDry'!$D$3:$D$2000,MATCH(H121,'Both teabags AfterDry'!$A$3:$A$2000,0)),"")</f>
        <v/>
      </c>
      <c r="Q121" s="194" t="str">
        <f>IFERROR(INDEX('Both teabags AfterDry'!$D$3:$D$2000,MATCH(I121,'Both teabags AfterDry'!$A$3:$A$2000,0)),"")</f>
        <v/>
      </c>
      <c r="R121" s="194" t="str">
        <f t="shared" si="1"/>
        <v/>
      </c>
      <c r="S121" s="194" t="str">
        <f t="shared" si="1"/>
        <v/>
      </c>
      <c r="T121" s="194" t="str">
        <f t="shared" si="2"/>
        <v/>
      </c>
      <c r="U121" s="194" t="str">
        <f t="shared" si="3"/>
        <v/>
      </c>
      <c r="V121" s="194" t="str">
        <f t="shared" si="4"/>
        <v/>
      </c>
      <c r="W121" t="str">
        <f t="shared" si="5"/>
        <v/>
      </c>
      <c r="X121" s="194" t="str">
        <f t="shared" si="6"/>
        <v/>
      </c>
      <c r="Y121" s="194" t="str">
        <f t="shared" si="7"/>
        <v/>
      </c>
      <c r="Z121" s="252" t="str">
        <f>IF(ISNUMBER(SEARCH("C", 'Dry_Litterbag Placem_Collection'!$T48)),"YES","NO")</f>
        <v>NO</v>
      </c>
      <c r="AA121" s="252" t="str">
        <f>IF(ISNUMBER(SEARCH("H", 'Dry_Litterbag Placem_Collection'!$T48)),"YES","NO")</f>
        <v>NO</v>
      </c>
      <c r="AB121" s="252" t="str">
        <f>IF(ISNUMBER(SEARCH("R", 'Dry_Litterbag Placem_Collection'!$T48)),"YES","NO")</f>
        <v>NO</v>
      </c>
      <c r="AC121" s="252" t="str">
        <f>IF(ISNUMBER(SEARCH("C", 'Dry_Litterbag Placem_Collection'!$S48)),"YES","NO")</f>
        <v>NO</v>
      </c>
      <c r="AD121" s="252" t="str">
        <f>IF(ISNUMBER(SEARCH("H", 'Dry_Litterbag Placem_Collection'!$S48)),"YES","NO")</f>
        <v>NO</v>
      </c>
      <c r="AE121" s="252" t="str">
        <f>IF(ISNUMBER(SEARCH("R", 'Dry_Litterbag Placem_Collection'!$S48)),"YES","NO")</f>
        <v>NO</v>
      </c>
    </row>
    <row r="122" spans="2:31">
      <c r="B122" t="str">
        <f>'Final data_for_R_analysis_Dryse'!A48</f>
        <v>Dry</v>
      </c>
      <c r="C122" s="260">
        <f>'Final data_for_R_analysis_Dryse'!B48</f>
        <v>47</v>
      </c>
      <c r="D122" t="s">
        <v>3807</v>
      </c>
      <c r="E122" t="s">
        <v>22</v>
      </c>
      <c r="F122" s="382">
        <v>7</v>
      </c>
      <c r="G122" s="16">
        <f>IF('Dry_Litterbag Placem_Collection'!E49="","",'Dry_Litterbag Placem_Collection'!E49)</f>
        <v>42938</v>
      </c>
      <c r="H122" t="str">
        <f>'Final data_for_R_analysis_Dryse'!K48</f>
        <v>G110</v>
      </c>
      <c r="I122" t="str">
        <f>'Final data_for_R_analysis_Dryse'!K268</f>
        <v>R831</v>
      </c>
      <c r="J122">
        <f>IFERROR(INDEX('Green_rooibos initial weight'!$C$5:$C$2000,MATCH(H122, 'Green_rooibos initial weight'!$A$5:$A$2000,0)),"")</f>
        <v>2.093</v>
      </c>
      <c r="K122">
        <f>IFERROR(INDEX('Green_rooibos initial weight'!$C$5:$C$2000,MATCH(I122, 'Green_rooibos initial weight'!$A$5:$A$2000,0)),"")</f>
        <v>2.2410000000000001</v>
      </c>
      <c r="L122" s="194">
        <f t="shared" si="0"/>
        <v>1.8431999999999999</v>
      </c>
      <c r="M122" s="237">
        <f>AVERAGE(Ashed_controlls!$K$1:$K$11)</f>
        <v>5.5147656768714146</v>
      </c>
      <c r="N122" s="194">
        <f>IFERROR(IF(K122&gt;0,(K122*$F$32-($F$29+$F$30)),""),"")</f>
        <v>1.9912000000000001</v>
      </c>
      <c r="O122" s="16">
        <f>IF('Dry_Litterbag Placem_Collection'!G49="","",'Dry_Litterbag Placem_Collection'!G49)</f>
        <v>43005</v>
      </c>
      <c r="P122" s="194">
        <f>IFERROR(INDEX('Both teabags AfterDry'!$D$3:$D$2000,MATCH(H122,'Both teabags AfterDry'!$A$3:$A$2000,0)),"")</f>
        <v>1.8372999999999999</v>
      </c>
      <c r="Q122" s="194">
        <f>IFERROR(INDEX('Both teabags AfterDry'!$D$3:$D$2000,MATCH(I122,'Both teabags AfterDry'!$A$3:$A$2000,0)),"")</f>
        <v>1.9105000000000001</v>
      </c>
      <c r="R122" s="194">
        <f t="shared" si="1"/>
        <v>1.6866999999999999</v>
      </c>
      <c r="S122" s="194">
        <f t="shared" si="1"/>
        <v>1.7599</v>
      </c>
      <c r="T122" s="194">
        <f t="shared" si="2"/>
        <v>8.490668402777779E-2</v>
      </c>
      <c r="U122" s="194">
        <f t="shared" si="3"/>
        <v>5.5663289291369794E-2</v>
      </c>
      <c r="V122" s="194">
        <f t="shared" si="4"/>
        <v>0.88383889112093206</v>
      </c>
      <c r="W122">
        <f t="shared" si="5"/>
        <v>67</v>
      </c>
      <c r="X122" s="194">
        <f t="shared" si="6"/>
        <v>0.89916070780548951</v>
      </c>
      <c r="Y122" s="194" t="str">
        <f t="shared" si="7"/>
        <v/>
      </c>
      <c r="Z122" s="252" t="str">
        <f>IF(ISNUMBER(SEARCH("C", 'Dry_Litterbag Placem_Collection'!$T49)),"YES","NO")</f>
        <v>NO</v>
      </c>
      <c r="AA122" s="252" t="str">
        <f>IF(ISNUMBER(SEARCH("H", 'Dry_Litterbag Placem_Collection'!$T49)),"YES","NO")</f>
        <v>YES</v>
      </c>
      <c r="AB122" s="252" t="str">
        <f>IF(ISNUMBER(SEARCH("R", 'Dry_Litterbag Placem_Collection'!$T49)),"YES","NO")</f>
        <v>NO</v>
      </c>
      <c r="AC122" s="252" t="str">
        <f>IF(ISNUMBER(SEARCH("C", 'Dry_Litterbag Placem_Collection'!$S49)),"YES","NO")</f>
        <v>NO</v>
      </c>
      <c r="AD122" s="252" t="str">
        <f>IF(ISNUMBER(SEARCH("H", 'Dry_Litterbag Placem_Collection'!$S49)),"YES","NO")</f>
        <v>NO</v>
      </c>
      <c r="AE122" s="252" t="str">
        <f>IF(ISNUMBER(SEARCH("R", 'Dry_Litterbag Placem_Collection'!$S49)),"YES","NO")</f>
        <v>NO</v>
      </c>
    </row>
    <row r="123" spans="2:31">
      <c r="B123" t="str">
        <f>'Final data_for_R_analysis_Dryse'!A49</f>
        <v>Dry</v>
      </c>
      <c r="C123" s="260">
        <f>'Final data_for_R_analysis_Dryse'!B49</f>
        <v>48</v>
      </c>
      <c r="D123" t="s">
        <v>3807</v>
      </c>
      <c r="E123" t="s">
        <v>22</v>
      </c>
      <c r="F123" s="382">
        <v>8</v>
      </c>
      <c r="G123" s="16">
        <f>IF('Dry_Litterbag Placem_Collection'!E50="","",'Dry_Litterbag Placem_Collection'!E50)</f>
        <v>42938</v>
      </c>
      <c r="H123" t="str">
        <f>'Final data_for_R_analysis_Dryse'!K49</f>
        <v>G233</v>
      </c>
      <c r="I123" t="str">
        <f>'Final data_for_R_analysis_Dryse'!K269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0"/>
        <v>1.6992</v>
      </c>
      <c r="M123" s="237">
        <f>AVERAGE(Ashed_controlls!$K$1:$K$11)</f>
        <v>5.5147656768714146</v>
      </c>
      <c r="N123" s="194">
        <f>IFERROR(IF(K123&gt;0,(K123*$F$32-($F$29+$F$30)),""),"")</f>
        <v>1.9832000000000001</v>
      </c>
      <c r="O123" s="16">
        <f>IF('Dry_Litterbag Placem_Collection'!G50="","",'Dry_Litterbag Placem_Collection'!G50)</f>
        <v>43005</v>
      </c>
      <c r="P123" s="194">
        <f>IFERROR(INDEX('Both teabags AfterDry'!$D$3:$D$2000,MATCH(H123,'Both teabags AfterDry'!$A$3:$A$2000,0)),"")</f>
        <v>1.6727000000000001</v>
      </c>
      <c r="Q123" s="194">
        <f>IFERROR(INDEX('Both teabags AfterDry'!$D$3:$D$2000,MATCH(I123,'Both teabags AfterDry'!$A$3:$A$2000,0)),"")</f>
        <v>1.7596000000000001</v>
      </c>
      <c r="R123" s="194">
        <f t="shared" si="1"/>
        <v>1.5221</v>
      </c>
      <c r="S123" s="194">
        <f t="shared" si="1"/>
        <v>1.609</v>
      </c>
      <c r="T123" s="194">
        <f t="shared" si="2"/>
        <v>0.10422551789077217</v>
      </c>
      <c r="U123" s="194">
        <f t="shared" si="3"/>
        <v>6.8328368023404099E-2</v>
      </c>
      <c r="V123" s="194">
        <f t="shared" si="4"/>
        <v>0.81131504638967322</v>
      </c>
      <c r="W123">
        <f t="shared" si="5"/>
        <v>67</v>
      </c>
      <c r="X123" s="194">
        <f t="shared" si="6"/>
        <v>0.87621672459528244</v>
      </c>
      <c r="Y123" s="194" t="str">
        <f t="shared" si="7"/>
        <v/>
      </c>
      <c r="Z123" s="252" t="str">
        <f>IF(ISNUMBER(SEARCH("C", 'Dry_Litterbag Placem_Collection'!$T50)),"YES","NO")</f>
        <v>NO</v>
      </c>
      <c r="AA123" s="252" t="str">
        <f>IF(ISNUMBER(SEARCH("H", 'Dry_Litterbag Placem_Collection'!$T50)),"YES","NO")</f>
        <v>NO</v>
      </c>
      <c r="AB123" s="252" t="str">
        <f>IF(ISNUMBER(SEARCH("R", 'Dry_Litterbag Placem_Collection'!$T50)),"YES","NO")</f>
        <v>NO</v>
      </c>
      <c r="AC123" s="252" t="str">
        <f>IF(ISNUMBER(SEARCH("C", 'Dry_Litterbag Placem_Collection'!$S50)),"YES","NO")</f>
        <v>NO</v>
      </c>
      <c r="AD123" s="252" t="str">
        <f>IF(ISNUMBER(SEARCH("H", 'Dry_Litterbag Placem_Collection'!$S50)),"YES","NO")</f>
        <v>NO</v>
      </c>
      <c r="AE123" s="252" t="str">
        <f>IF(ISNUMBER(SEARCH("R", 'Dry_Litterbag Placem_Collection'!$S50)),"YES","NO")</f>
        <v>NO</v>
      </c>
    </row>
    <row r="124" spans="2:31">
      <c r="B124" t="str">
        <f>'Final data_for_R_analysis_Dryse'!A50</f>
        <v>Dry</v>
      </c>
      <c r="C124" s="260">
        <f>'Final data_for_R_analysis_Dryse'!B50</f>
        <v>49</v>
      </c>
      <c r="D124" t="s">
        <v>3808</v>
      </c>
      <c r="E124" t="s">
        <v>22</v>
      </c>
      <c r="F124" s="381">
        <v>1</v>
      </c>
      <c r="G124" s="16">
        <f>IF('Dry_Litterbag Placem_Collection'!E51="","",'Dry_Litterbag Placem_Collection'!E51)</f>
        <v>42938</v>
      </c>
      <c r="H124" t="str">
        <f>'Final data_for_R_analysis_Dryse'!K50</f>
        <v>G54</v>
      </c>
      <c r="I124" t="str">
        <f>'Final data_for_R_analysis_Dryse'!K270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0"/>
        <v>1.8041999999999998</v>
      </c>
      <c r="M124" s="237">
        <f>AVERAGE(Ashed_controlls!$K$1:$K$11)</f>
        <v>5.5147656768714146</v>
      </c>
      <c r="N124" s="194">
        <f>IFERROR(IF(K124&gt;0,(K124*$F$32-($F$29+$F$30)),""),"")</f>
        <v>1.9971999999999999</v>
      </c>
      <c r="O124" s="16">
        <f>IF('Dry_Litterbag Placem_Collection'!G51="","",'Dry_Litterbag Placem_Collection'!G51)</f>
        <v>43005</v>
      </c>
      <c r="P124" s="194" t="str">
        <f>IFERROR(INDEX('Both teabags AfterDry'!$D$3:$D$2000,MATCH(H124,'Both teabags AfterDry'!$A$3:$A$2000,0)),"")</f>
        <v/>
      </c>
      <c r="Q124" s="194" t="str">
        <f>IFERROR(INDEX('Both teabags AfterDry'!$D$3:$D$2000,MATCH(I124,'Both teabags AfterDry'!$A$3:$A$2000,0)),"")</f>
        <v/>
      </c>
      <c r="R124" s="194" t="str">
        <f t="shared" si="1"/>
        <v/>
      </c>
      <c r="S124" s="194" t="str">
        <f t="shared" si="1"/>
        <v/>
      </c>
      <c r="T124" s="194" t="str">
        <f t="shared" si="2"/>
        <v/>
      </c>
      <c r="U124" s="194" t="str">
        <f t="shared" si="3"/>
        <v/>
      </c>
      <c r="V124" s="194" t="str">
        <f t="shared" si="4"/>
        <v/>
      </c>
      <c r="W124">
        <f t="shared" si="5"/>
        <v>67</v>
      </c>
      <c r="X124" s="194" t="str">
        <f t="shared" si="6"/>
        <v/>
      </c>
      <c r="Y124" s="194" t="str">
        <f t="shared" si="7"/>
        <v/>
      </c>
      <c r="Z124" s="252" t="str">
        <f>IF(ISNUMBER(SEARCH("C", 'Dry_Litterbag Placem_Collection'!$T51)),"YES","NO")</f>
        <v>NO</v>
      </c>
      <c r="AA124" s="252" t="str">
        <f>IF(ISNUMBER(SEARCH("H", 'Dry_Litterbag Placem_Collection'!$T51)),"YES","NO")</f>
        <v>NO</v>
      </c>
      <c r="AB124" s="252" t="str">
        <f>IF(ISNUMBER(SEARCH("R", 'Dry_Litterbag Placem_Collection'!$T51)),"YES","NO")</f>
        <v>NO</v>
      </c>
      <c r="AC124" s="252" t="str">
        <f>IF(ISNUMBER(SEARCH("C", 'Dry_Litterbag Placem_Collection'!$S51)),"YES","NO")</f>
        <v>NO</v>
      </c>
      <c r="AD124" s="252" t="str">
        <f>IF(ISNUMBER(SEARCH("H", 'Dry_Litterbag Placem_Collection'!$S51)),"YES","NO")</f>
        <v>NO</v>
      </c>
      <c r="AE124" s="252" t="str">
        <f>IF(ISNUMBER(SEARCH("R", 'Dry_Litterbag Placem_Collection'!$S51)),"YES","NO")</f>
        <v>NO</v>
      </c>
    </row>
    <row r="125" spans="2:31">
      <c r="B125" t="str">
        <f>'Final data_for_R_analysis_Dryse'!A51</f>
        <v>Dry</v>
      </c>
      <c r="C125" s="260">
        <f>'Final data_for_R_analysis_Dryse'!B51</f>
        <v>50</v>
      </c>
      <c r="D125" t="s">
        <v>3808</v>
      </c>
      <c r="E125" t="s">
        <v>22</v>
      </c>
      <c r="F125" s="381">
        <v>2</v>
      </c>
      <c r="G125" s="16">
        <f>IF('Dry_Litterbag Placem_Collection'!E52="","",'Dry_Litterbag Placem_Collection'!E52)</f>
        <v>42938</v>
      </c>
      <c r="H125" t="str">
        <f>'Final data_for_R_analysis_Dryse'!K51</f>
        <v>G276</v>
      </c>
      <c r="I125" t="str">
        <f>'Final data_for_R_analysis_Dryse'!K271</f>
        <v>R754</v>
      </c>
      <c r="J125">
        <f>IFERROR(INDEX('Green_rooibos initial weight'!$C$5:$C$2000,MATCH(H125, 'Green_rooibos initial weight'!$A$5:$A$2000,0)),"")</f>
        <v>1.966</v>
      </c>
      <c r="K125">
        <f>IFERROR(INDEX('Green_rooibos initial weight'!$C$5:$C$2000,MATCH(I125, 'Green_rooibos initial weight'!$A$5:$A$2000,0)),"")</f>
        <v>2.2069999999999999</v>
      </c>
      <c r="L125" s="194">
        <f t="shared" si="0"/>
        <v>1.7161999999999999</v>
      </c>
      <c r="M125" s="237">
        <f>AVERAGE(Ashed_controlls!$K$1:$K$11)</f>
        <v>5.5147656768714146</v>
      </c>
      <c r="N125" s="194">
        <f>IFERROR(IF(K125&gt;0,(K125*$F$32-($F$29+$F$30)),""),"")</f>
        <v>1.9571999999999998</v>
      </c>
      <c r="O125" s="16" t="str">
        <f>IF('Dry_Litterbag Placem_Collection'!G52="","",'Dry_Litterbag Placem_Collection'!G52)</f>
        <v/>
      </c>
      <c r="P125" s="194" t="str">
        <f>IFERROR(INDEX('Both teabags AfterDry'!$D$3:$D$2000,MATCH(H125,'Both teabags AfterDry'!$A$3:$A$2000,0)),"")</f>
        <v/>
      </c>
      <c r="Q125" s="194" t="str">
        <f>IFERROR(INDEX('Both teabags AfterDry'!$D$3:$D$2000,MATCH(I125,'Both teabags AfterDry'!$A$3:$A$2000,0)),"")</f>
        <v/>
      </c>
      <c r="R125" s="194" t="str">
        <f t="shared" si="1"/>
        <v/>
      </c>
      <c r="S125" s="194" t="str">
        <f t="shared" si="1"/>
        <v/>
      </c>
      <c r="T125" s="194" t="str">
        <f t="shared" si="2"/>
        <v/>
      </c>
      <c r="U125" s="194" t="str">
        <f t="shared" si="3"/>
        <v/>
      </c>
      <c r="V125" s="194" t="str">
        <f t="shared" si="4"/>
        <v/>
      </c>
      <c r="W125" t="str">
        <f t="shared" si="5"/>
        <v/>
      </c>
      <c r="X125" s="194" t="str">
        <f t="shared" si="6"/>
        <v/>
      </c>
      <c r="Y125" s="194" t="str">
        <f t="shared" si="7"/>
        <v/>
      </c>
      <c r="Z125" s="252" t="str">
        <f>IF(ISNUMBER(SEARCH("C", 'Dry_Litterbag Placem_Collection'!$T52)),"YES","NO")</f>
        <v>NO</v>
      </c>
      <c r="AA125" s="252" t="str">
        <f>IF(ISNUMBER(SEARCH("H", 'Dry_Litterbag Placem_Collection'!$T52)),"YES","NO")</f>
        <v>NO</v>
      </c>
      <c r="AB125" s="252" t="str">
        <f>IF(ISNUMBER(SEARCH("R", 'Dry_Litterbag Placem_Collection'!$T52)),"YES","NO")</f>
        <v>NO</v>
      </c>
      <c r="AC125" s="252" t="str">
        <f>IF(ISNUMBER(SEARCH("C", 'Dry_Litterbag Placem_Collection'!$S52)),"YES","NO")</f>
        <v>NO</v>
      </c>
      <c r="AD125" s="252" t="str">
        <f>IF(ISNUMBER(SEARCH("H", 'Dry_Litterbag Placem_Collection'!$S52)),"YES","NO")</f>
        <v>NO</v>
      </c>
      <c r="AE125" s="252" t="str">
        <f>IF(ISNUMBER(SEARCH("R", 'Dry_Litterbag Placem_Collection'!$S52)),"YES","NO")</f>
        <v>NO</v>
      </c>
    </row>
    <row r="126" spans="2:31">
      <c r="B126" t="str">
        <f>'Final data_for_R_analysis_Dryse'!A52</f>
        <v>Dry</v>
      </c>
      <c r="C126" s="260">
        <f>'Final data_for_R_analysis_Dryse'!B52</f>
        <v>51</v>
      </c>
      <c r="D126" t="s">
        <v>3808</v>
      </c>
      <c r="E126" t="s">
        <v>22</v>
      </c>
      <c r="F126" s="381">
        <v>3</v>
      </c>
      <c r="G126" s="16">
        <f>IF('Dry_Litterbag Placem_Collection'!E53="","",'Dry_Litterbag Placem_Collection'!E53)</f>
        <v>42938</v>
      </c>
      <c r="H126" t="str">
        <f>'Final data_for_R_analysis_Dryse'!K52</f>
        <v>G227</v>
      </c>
      <c r="I126" t="str">
        <f>'Final data_for_R_analysis_Dryse'!K272</f>
        <v>R798</v>
      </c>
      <c r="J126">
        <f>IFERROR(INDEX('Green_rooibos initial weight'!$C$5:$C$2000,MATCH(H126, 'Green_rooibos initial weight'!$A$5:$A$2000,0)),"")</f>
        <v>1.986</v>
      </c>
      <c r="K126">
        <f>IFERROR(INDEX('Green_rooibos initial weight'!$C$5:$C$2000,MATCH(I126, 'Green_rooibos initial weight'!$A$5:$A$2000,0)),"")</f>
        <v>2.1850000000000001</v>
      </c>
      <c r="L126" s="194">
        <f t="shared" si="0"/>
        <v>1.7362</v>
      </c>
      <c r="M126" s="237">
        <f>AVERAGE(Ashed_controlls!$K$1:$K$11)</f>
        <v>5.5147656768714146</v>
      </c>
      <c r="N126" s="194">
        <f>IFERROR(IF(K126&gt;0,(K126*$F$32-($F$29+$F$30)),""),"")</f>
        <v>1.9352</v>
      </c>
      <c r="O126" s="16">
        <f>IF('Dry_Litterbag Placem_Collection'!G53="","",'Dry_Litterbag Placem_Collection'!G53)</f>
        <v>43005</v>
      </c>
      <c r="P126" s="194">
        <f>IFERROR(INDEX('Both teabags AfterDry'!$D$3:$D$2000,MATCH(H126,'Both teabags AfterDry'!$A$3:$A$2000,0)),"")</f>
        <v>1.7715000000000001</v>
      </c>
      <c r="Q126" s="194">
        <f>IFERROR(INDEX('Both teabags AfterDry'!$D$3:$D$2000,MATCH(I126,'Both teabags AfterDry'!$A$3:$A$2000,0)),"")</f>
        <v>1.8956999999999999</v>
      </c>
      <c r="R126" s="194">
        <f t="shared" si="1"/>
        <v>1.6209</v>
      </c>
      <c r="S126" s="194">
        <f t="shared" si="1"/>
        <v>1.7450999999999999</v>
      </c>
      <c r="T126" s="194">
        <f t="shared" si="2"/>
        <v>6.6409399838728289E-2</v>
      </c>
      <c r="U126" s="194">
        <f t="shared" si="3"/>
        <v>4.353680369474823E-2</v>
      </c>
      <c r="V126" s="194">
        <f t="shared" si="4"/>
        <v>0.90176725919801559</v>
      </c>
      <c r="W126">
        <f t="shared" si="5"/>
        <v>67</v>
      </c>
      <c r="X126" s="194">
        <f t="shared" si="6"/>
        <v>0.92112897881386191</v>
      </c>
      <c r="Y126" s="194" t="str">
        <f t="shared" si="7"/>
        <v/>
      </c>
      <c r="Z126" s="252" t="str">
        <f>IF(ISNUMBER(SEARCH("C", 'Dry_Litterbag Placem_Collection'!$T53)),"YES","NO")</f>
        <v>NO</v>
      </c>
      <c r="AA126" s="252" t="str">
        <f>IF(ISNUMBER(SEARCH("H", 'Dry_Litterbag Placem_Collection'!$T53)),"YES","NO")</f>
        <v>NO</v>
      </c>
      <c r="AB126" s="252" t="str">
        <f>IF(ISNUMBER(SEARCH("R", 'Dry_Litterbag Placem_Collection'!$T53)),"YES","NO")</f>
        <v>NO</v>
      </c>
      <c r="AC126" s="252" t="str">
        <f>IF(ISNUMBER(SEARCH("C", 'Dry_Litterbag Placem_Collection'!$S53)),"YES","NO")</f>
        <v>NO</v>
      </c>
      <c r="AD126" s="252" t="str">
        <f>IF(ISNUMBER(SEARCH("H", 'Dry_Litterbag Placem_Collection'!$S53)),"YES","NO")</f>
        <v>NO</v>
      </c>
      <c r="AE126" s="252" t="str">
        <f>IF(ISNUMBER(SEARCH("R", 'Dry_Litterbag Placem_Collection'!$S53)),"YES","NO")</f>
        <v>NO</v>
      </c>
    </row>
    <row r="127" spans="2:31">
      <c r="B127" t="str">
        <f>'Final data_for_R_analysis_Dryse'!A53</f>
        <v>Dry</v>
      </c>
      <c r="C127" s="260">
        <f>'Final data_for_R_analysis_Dryse'!B53</f>
        <v>52</v>
      </c>
      <c r="D127" t="s">
        <v>3808</v>
      </c>
      <c r="E127" t="s">
        <v>22</v>
      </c>
      <c r="F127" s="382">
        <v>4</v>
      </c>
      <c r="G127" s="16">
        <f>IF('Dry_Litterbag Placem_Collection'!E54="","",'Dry_Litterbag Placem_Collection'!E54)</f>
        <v>42938</v>
      </c>
      <c r="H127" t="str">
        <f>'Final data_for_R_analysis_Dryse'!K53</f>
        <v>G237</v>
      </c>
      <c r="I127" t="str">
        <f>'Final data_for_R_analysis_Dryse'!K273</f>
        <v>R833</v>
      </c>
      <c r="J127">
        <f>IFERROR(INDEX('Green_rooibos initial weight'!$C$5:$C$2000,MATCH(H127, 'Green_rooibos initial weight'!$A$5:$A$2000,0)),"")</f>
        <v>1.988</v>
      </c>
      <c r="K127">
        <f>IFERROR(INDEX('Green_rooibos initial weight'!$C$5:$C$2000,MATCH(I127, 'Green_rooibos initial weight'!$A$5:$A$2000,0)),"")</f>
        <v>2.218</v>
      </c>
      <c r="L127" s="194">
        <f t="shared" si="0"/>
        <v>1.7382</v>
      </c>
      <c r="M127" s="237">
        <f>AVERAGE(Ashed_controlls!$K$1:$K$11)</f>
        <v>5.5147656768714146</v>
      </c>
      <c r="N127" s="194">
        <f>IFERROR(IF(K127&gt;0,(K127*$F$32-($F$29+$F$30)),""),"")</f>
        <v>1.9681999999999999</v>
      </c>
      <c r="O127" s="16">
        <f>IF('Dry_Litterbag Placem_Collection'!G54="","",'Dry_Litterbag Placem_Collection'!G54)</f>
        <v>43005</v>
      </c>
      <c r="P127" s="194">
        <f>IFERROR(INDEX('Both teabags AfterDry'!$D$3:$D$2000,MATCH(H127,'Both teabags AfterDry'!$A$3:$A$2000,0)),"")</f>
        <v>1.8220000000000001</v>
      </c>
      <c r="Q127" s="194">
        <f>IFERROR(INDEX('Both teabags AfterDry'!$D$3:$D$2000,MATCH(I127,'Both teabags AfterDry'!$A$3:$A$2000,0)),"")</f>
        <v>1.9791000000000001</v>
      </c>
      <c r="R127" s="194">
        <f t="shared" si="1"/>
        <v>1.6714</v>
      </c>
      <c r="S127" s="194">
        <f t="shared" si="1"/>
        <v>1.8285</v>
      </c>
      <c r="T127" s="194">
        <f t="shared" si="2"/>
        <v>3.8430560349787091E-2</v>
      </c>
      <c r="U127" s="194">
        <f t="shared" si="3"/>
        <v>2.5194381606986324E-2</v>
      </c>
      <c r="V127" s="194">
        <f t="shared" si="4"/>
        <v>0.92902144091047656</v>
      </c>
      <c r="W127">
        <f t="shared" si="5"/>
        <v>67</v>
      </c>
      <c r="X127" s="194">
        <f t="shared" si="6"/>
        <v>0.95435800433516971</v>
      </c>
      <c r="Y127" s="194" t="str">
        <f t="shared" si="7"/>
        <v/>
      </c>
      <c r="Z127" s="252" t="str">
        <f>IF(ISNUMBER(SEARCH("C", 'Dry_Litterbag Placem_Collection'!$T54)),"YES","NO")</f>
        <v>NO</v>
      </c>
      <c r="AA127" s="252" t="str">
        <f>IF(ISNUMBER(SEARCH("H", 'Dry_Litterbag Placem_Collection'!$T54)),"YES","NO")</f>
        <v>NO</v>
      </c>
      <c r="AB127" s="252" t="str">
        <f>IF(ISNUMBER(SEARCH("R", 'Dry_Litterbag Placem_Collection'!$T54)),"YES","NO")</f>
        <v>NO</v>
      </c>
      <c r="AC127" s="252" t="str">
        <f>IF(ISNUMBER(SEARCH("C", 'Dry_Litterbag Placem_Collection'!$S54)),"YES","NO")</f>
        <v>NO</v>
      </c>
      <c r="AD127" s="252" t="str">
        <f>IF(ISNUMBER(SEARCH("H", 'Dry_Litterbag Placem_Collection'!$S54)),"YES","NO")</f>
        <v>NO</v>
      </c>
      <c r="AE127" s="252" t="str">
        <f>IF(ISNUMBER(SEARCH("R", 'Dry_Litterbag Placem_Collection'!$S54)),"YES","NO")</f>
        <v>NO</v>
      </c>
    </row>
    <row r="128" spans="2:31">
      <c r="B128" t="str">
        <f>'Final data_for_R_analysis_Dryse'!A54</f>
        <v>Dry</v>
      </c>
      <c r="C128" s="260">
        <f>'Final data_for_R_analysis_Dryse'!B54</f>
        <v>53</v>
      </c>
      <c r="D128" t="s">
        <v>3808</v>
      </c>
      <c r="E128" t="s">
        <v>22</v>
      </c>
      <c r="F128" s="382">
        <v>5</v>
      </c>
      <c r="G128" s="16">
        <f>IF('Dry_Litterbag Placem_Collection'!E55="","",'Dry_Litterbag Placem_Collection'!E55)</f>
        <v>42938</v>
      </c>
      <c r="H128" t="str">
        <f>'Final data_for_R_analysis_Dryse'!K54</f>
        <v>G172</v>
      </c>
      <c r="I128" t="str">
        <f>'Final data_for_R_analysis_Dryse'!K274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0"/>
        <v>1.7372000000000001</v>
      </c>
      <c r="M128" s="237">
        <f>AVERAGE(Ashed_controlls!$K$1:$K$11)</f>
        <v>5.5147656768714146</v>
      </c>
      <c r="N128" s="194">
        <f>IFERROR(IF(K128&gt;0,(K128*$F$32-($F$29+$F$30)),""),"")</f>
        <v>1.9091999999999998</v>
      </c>
      <c r="O128" s="16">
        <f>IF('Dry_Litterbag Placem_Collection'!G55="","",'Dry_Litterbag Placem_Collection'!G55)</f>
        <v>43005</v>
      </c>
      <c r="P128" s="194">
        <f>IFERROR(INDEX('Both teabags AfterDry'!$D$3:$D$2000,MATCH(H128,'Both teabags AfterDry'!$A$3:$A$2000,0)),"")</f>
        <v>1.8197000000000001</v>
      </c>
      <c r="Q128" s="194">
        <f>IFERROR(INDEX('Both teabags AfterDry'!$D$3:$D$2000,MATCH(I128,'Both teabags AfterDry'!$A$3:$A$2000,0)),"")</f>
        <v>1.8914</v>
      </c>
      <c r="R128" s="194">
        <f t="shared" si="1"/>
        <v>1.6691</v>
      </c>
      <c r="S128" s="194">
        <f t="shared" si="1"/>
        <v>1.7407999999999999</v>
      </c>
      <c r="T128" s="194">
        <f t="shared" si="2"/>
        <v>3.9201013124568251E-2</v>
      </c>
      <c r="U128" s="194">
        <f t="shared" si="3"/>
        <v>2.5699476537721734E-2</v>
      </c>
      <c r="V128" s="194">
        <f t="shared" si="4"/>
        <v>0.91179551644667933</v>
      </c>
      <c r="W128">
        <f t="shared" si="5"/>
        <v>67</v>
      </c>
      <c r="X128" s="194">
        <f t="shared" si="6"/>
        <v>0.95344297728673599</v>
      </c>
      <c r="Y128" s="194" t="str">
        <f t="shared" si="7"/>
        <v/>
      </c>
      <c r="Z128" s="252" t="str">
        <f>IF(ISNUMBER(SEARCH("C", 'Dry_Litterbag Placem_Collection'!$T55)),"YES","NO")</f>
        <v>NO</v>
      </c>
      <c r="AA128" s="252" t="str">
        <f>IF(ISNUMBER(SEARCH("H", 'Dry_Litterbag Placem_Collection'!$T55)),"YES","NO")</f>
        <v>NO</v>
      </c>
      <c r="AB128" s="252" t="str">
        <f>IF(ISNUMBER(SEARCH("R", 'Dry_Litterbag Placem_Collection'!$T55)),"YES","NO")</f>
        <v>NO</v>
      </c>
      <c r="AC128" s="252" t="str">
        <f>IF(ISNUMBER(SEARCH("C", 'Dry_Litterbag Placem_Collection'!$S55)),"YES","NO")</f>
        <v>NO</v>
      </c>
      <c r="AD128" s="252" t="str">
        <f>IF(ISNUMBER(SEARCH("H", 'Dry_Litterbag Placem_Collection'!$S55)),"YES","NO")</f>
        <v>NO</v>
      </c>
      <c r="AE128" s="252" t="str">
        <f>IF(ISNUMBER(SEARCH("R", 'Dry_Litterbag Placem_Collection'!$S55)),"YES","NO")</f>
        <v>NO</v>
      </c>
    </row>
    <row r="129" spans="2:31">
      <c r="B129" t="str">
        <f>'Final data_for_R_analysis_Dryse'!A55</f>
        <v>Dry</v>
      </c>
      <c r="C129" s="260">
        <f>'Final data_for_R_analysis_Dryse'!B55</f>
        <v>54</v>
      </c>
      <c r="D129" t="s">
        <v>3808</v>
      </c>
      <c r="E129" t="s">
        <v>22</v>
      </c>
      <c r="F129" s="382">
        <v>6</v>
      </c>
      <c r="G129" s="16" t="str">
        <f>IF('Dry_Litterbag Placem_Collection'!E56="","",'Dry_Litterbag Placem_Collection'!E56)</f>
        <v/>
      </c>
      <c r="H129" t="str">
        <f>'Final data_for_R_analysis_Dryse'!K55</f>
        <v/>
      </c>
      <c r="I129" t="str">
        <f>'Final data_for_R_analysis_Dryse'!K275</f>
        <v/>
      </c>
      <c r="J129" t="str">
        <f>IFERROR(INDEX('Green_rooibos initial weight'!$C$5:$C$2000,MATCH(H129, 'Green_rooibos initial weight'!$A$5:$A$2000,0)),"")</f>
        <v/>
      </c>
      <c r="K129" t="str">
        <f>IFERROR(INDEX('Green_rooibos initial weight'!$C$5:$C$2000,MATCH(I129, 'Green_rooibos initial weight'!$A$5:$A$2000,0)),"")</f>
        <v/>
      </c>
      <c r="L129" s="194" t="str">
        <f t="shared" si="0"/>
        <v/>
      </c>
      <c r="M129" s="237">
        <f>AVERAGE(Ashed_controlls!$K$1:$K$11)</f>
        <v>5.5147656768714146</v>
      </c>
      <c r="N129" s="194" t="str">
        <f>IFERROR(IF(K129&gt;0,(K129*$F$32-($F$29+$F$30)),""),"")</f>
        <v/>
      </c>
      <c r="O129" s="16" t="str">
        <f>IF('Dry_Litterbag Placem_Collection'!G56="","",'Dry_Litterbag Placem_Collection'!G56)</f>
        <v/>
      </c>
      <c r="P129" s="194" t="str">
        <f>IFERROR(INDEX('Both teabags AfterDry'!$D$3:$D$2000,MATCH(H129,'Both teabags AfterDry'!$A$3:$A$2000,0)),"")</f>
        <v/>
      </c>
      <c r="Q129" s="194" t="str">
        <f>IFERROR(INDEX('Both teabags AfterDry'!$D$3:$D$2000,MATCH(I129,'Both teabags AfterDry'!$A$3:$A$2000,0)),"")</f>
        <v/>
      </c>
      <c r="R129" s="194" t="str">
        <f t="shared" si="1"/>
        <v/>
      </c>
      <c r="S129" s="194" t="str">
        <f t="shared" si="1"/>
        <v/>
      </c>
      <c r="T129" s="194" t="str">
        <f t="shared" si="2"/>
        <v/>
      </c>
      <c r="U129" s="194" t="str">
        <f t="shared" si="3"/>
        <v/>
      </c>
      <c r="V129" s="194" t="str">
        <f t="shared" si="4"/>
        <v/>
      </c>
      <c r="W129" t="str">
        <f t="shared" si="5"/>
        <v/>
      </c>
      <c r="X129" s="194" t="str">
        <f t="shared" si="6"/>
        <v/>
      </c>
      <c r="Y129" s="194" t="str">
        <f t="shared" si="7"/>
        <v/>
      </c>
      <c r="Z129" s="252" t="str">
        <f>IF(ISNUMBER(SEARCH("C", 'Dry_Litterbag Placem_Collection'!$T56)),"YES","NO")</f>
        <v>NO</v>
      </c>
      <c r="AA129" s="252" t="str">
        <f>IF(ISNUMBER(SEARCH("H", 'Dry_Litterbag Placem_Collection'!$T56)),"YES","NO")</f>
        <v>NO</v>
      </c>
      <c r="AB129" s="252" t="str">
        <f>IF(ISNUMBER(SEARCH("R", 'Dry_Litterbag Placem_Collection'!$T56)),"YES","NO")</f>
        <v>NO</v>
      </c>
      <c r="AC129" s="252" t="str">
        <f>IF(ISNUMBER(SEARCH("C", 'Dry_Litterbag Placem_Collection'!$S56)),"YES","NO")</f>
        <v>NO</v>
      </c>
      <c r="AD129" s="252" t="str">
        <f>IF(ISNUMBER(SEARCH("H", 'Dry_Litterbag Placem_Collection'!$S56)),"YES","NO")</f>
        <v>NO</v>
      </c>
      <c r="AE129" s="252" t="str">
        <f>IF(ISNUMBER(SEARCH("R", 'Dry_Litterbag Placem_Collection'!$S56)),"YES","NO")</f>
        <v>NO</v>
      </c>
    </row>
    <row r="130" spans="2:31">
      <c r="B130" t="str">
        <f>'Final data_for_R_analysis_Dryse'!A56</f>
        <v>Dry</v>
      </c>
      <c r="C130" s="260">
        <f>'Final data_for_R_analysis_Dryse'!B56</f>
        <v>55</v>
      </c>
      <c r="D130" t="s">
        <v>3808</v>
      </c>
      <c r="E130" t="s">
        <v>22</v>
      </c>
      <c r="F130" s="382">
        <v>7</v>
      </c>
      <c r="G130" s="16">
        <f>IF('Dry_Litterbag Placem_Collection'!E57="","",'Dry_Litterbag Placem_Collection'!E57)</f>
        <v>42938</v>
      </c>
      <c r="H130" t="str">
        <f>'Final data_for_R_analysis_Dryse'!K56</f>
        <v>G86</v>
      </c>
      <c r="I130" t="str">
        <f>'Final data_for_R_analysis_Dryse'!K276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0"/>
        <v>1.8532000000000002</v>
      </c>
      <c r="M130" s="237">
        <f>AVERAGE(Ashed_controlls!$K$1:$K$11)</f>
        <v>5.5147656768714146</v>
      </c>
      <c r="N130" s="194">
        <f>IFERROR(IF(K130&gt;0,(K130*$F$32-($F$29+$F$30)),""),"")</f>
        <v>1.9771999999999998</v>
      </c>
      <c r="O130" s="16">
        <f>IF('Dry_Litterbag Placem_Collection'!G57="","",'Dry_Litterbag Placem_Collection'!G57)</f>
        <v>43005</v>
      </c>
      <c r="P130" s="194">
        <f>IFERROR(INDEX('Both teabags AfterDry'!$D$3:$D$2000,MATCH(H130,'Both teabags AfterDry'!$A$3:$A$2000,0)),"")</f>
        <v>1.8914</v>
      </c>
      <c r="Q130" s="194">
        <f>IFERROR(INDEX('Both teabags AfterDry'!$D$3:$D$2000,MATCH(I130,'Both teabags AfterDry'!$A$3:$A$2000,0)),"")</f>
        <v>1.9775</v>
      </c>
      <c r="R130" s="194">
        <f t="shared" si="1"/>
        <v>1.7407999999999999</v>
      </c>
      <c r="S130" s="194">
        <f t="shared" si="1"/>
        <v>1.8269</v>
      </c>
      <c r="T130" s="194">
        <f t="shared" si="2"/>
        <v>6.0651845456507814E-2</v>
      </c>
      <c r="U130" s="194">
        <f t="shared" si="3"/>
        <v>3.976225497861318E-2</v>
      </c>
      <c r="V130" s="194">
        <f t="shared" si="4"/>
        <v>0.92398341088407854</v>
      </c>
      <c r="W130">
        <f t="shared" si="5"/>
        <v>67</v>
      </c>
      <c r="X130" s="194">
        <f t="shared" si="6"/>
        <v>0.92796692938657033</v>
      </c>
      <c r="Y130" s="194" t="str">
        <f t="shared" si="7"/>
        <v/>
      </c>
      <c r="Z130" s="252" t="str">
        <f>IF(ISNUMBER(SEARCH("C", 'Dry_Litterbag Placem_Collection'!$T57)),"YES","NO")</f>
        <v>YES</v>
      </c>
      <c r="AA130" s="252" t="str">
        <f>IF(ISNUMBER(SEARCH("H", 'Dry_Litterbag Placem_Collection'!$T57)),"YES","NO")</f>
        <v>YES</v>
      </c>
      <c r="AB130" s="252" t="str">
        <f>IF(ISNUMBER(SEARCH("R", 'Dry_Litterbag Placem_Collection'!$T57)),"YES","NO")</f>
        <v>NO</v>
      </c>
      <c r="AC130" s="252" t="str">
        <f>IF(ISNUMBER(SEARCH("C", 'Dry_Litterbag Placem_Collection'!$S57)),"YES","NO")</f>
        <v>YES</v>
      </c>
      <c r="AD130" s="252" t="str">
        <f>IF(ISNUMBER(SEARCH("H", 'Dry_Litterbag Placem_Collection'!$S57)),"YES","NO")</f>
        <v>YES</v>
      </c>
      <c r="AE130" s="252" t="str">
        <f>IF(ISNUMBER(SEARCH("R", 'Dry_Litterbag Placem_Collection'!$S57)),"YES","NO")</f>
        <v>NO</v>
      </c>
    </row>
    <row r="131" spans="2:31">
      <c r="B131" t="str">
        <f>'Final data_for_R_analysis_Dryse'!A57</f>
        <v>Dry</v>
      </c>
      <c r="C131" s="260">
        <f>'Final data_for_R_analysis_Dryse'!B57</f>
        <v>56</v>
      </c>
      <c r="D131" t="s">
        <v>3808</v>
      </c>
      <c r="E131" t="s">
        <v>22</v>
      </c>
      <c r="F131" s="382">
        <v>8</v>
      </c>
      <c r="G131" s="16">
        <f>IF('Dry_Litterbag Placem_Collection'!E58="","",'Dry_Litterbag Placem_Collection'!E58)</f>
        <v>42938</v>
      </c>
      <c r="H131" t="str">
        <f>'Final data_for_R_analysis_Dryse'!K57</f>
        <v>G107</v>
      </c>
      <c r="I131" t="str">
        <f>'Final data_for_R_analysis_Dryse'!K277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0"/>
        <v>1.9251999999999998</v>
      </c>
      <c r="M131" s="237">
        <f>AVERAGE(Ashed_controlls!$K$1:$K$11)</f>
        <v>5.5147656768714146</v>
      </c>
      <c r="N131" s="194">
        <f>IFERROR(IF(K131&gt;0,(K131*$F$32-($F$29+$F$30)),""),"")</f>
        <v>1.9822000000000002</v>
      </c>
      <c r="O131" s="16">
        <f>IF('Dry_Litterbag Placem_Collection'!G58="","",'Dry_Litterbag Placem_Collection'!G58)</f>
        <v>43005</v>
      </c>
      <c r="P131" s="194">
        <f>IFERROR(INDEX('Both teabags AfterDry'!$D$3:$D$2000,MATCH(H131,'Both teabags AfterDry'!$A$3:$A$2000,0)),"")</f>
        <v>2.0276000000000001</v>
      </c>
      <c r="Q131" s="194">
        <f>IFERROR(INDEX('Both teabags AfterDry'!$D$3:$D$2000,MATCH(I131,'Both teabags AfterDry'!$A$3:$A$2000,0)),"")</f>
        <v>1.9821</v>
      </c>
      <c r="R131" s="194">
        <f t="shared" si="1"/>
        <v>1.877</v>
      </c>
      <c r="S131" s="194">
        <f t="shared" si="1"/>
        <v>1.8314999999999999</v>
      </c>
      <c r="T131" s="194">
        <f t="shared" si="2"/>
        <v>2.5036359858715884E-2</v>
      </c>
      <c r="U131" s="194">
        <f t="shared" si="3"/>
        <v>1.641338556058336E-2</v>
      </c>
      <c r="V131" s="194">
        <f t="shared" si="4"/>
        <v>0.92397336293007759</v>
      </c>
      <c r="W131">
        <f t="shared" si="5"/>
        <v>67</v>
      </c>
      <c r="X131" s="194">
        <f t="shared" si="6"/>
        <v>0.97026560586850841</v>
      </c>
      <c r="Y131" s="194" t="str">
        <f t="shared" si="7"/>
        <v/>
      </c>
      <c r="Z131" s="252" t="str">
        <f>IF(ISNUMBER(SEARCH("C", 'Dry_Litterbag Placem_Collection'!$T58)),"YES","NO")</f>
        <v>NO</v>
      </c>
      <c r="AA131" s="252" t="str">
        <f>IF(ISNUMBER(SEARCH("H", 'Dry_Litterbag Placem_Collection'!$T58)),"YES","NO")</f>
        <v>NO</v>
      </c>
      <c r="AB131" s="252" t="str">
        <f>IF(ISNUMBER(SEARCH("R", 'Dry_Litterbag Placem_Collection'!$T58)),"YES","NO")</f>
        <v>NO</v>
      </c>
      <c r="AC131" s="252" t="str">
        <f>IF(ISNUMBER(SEARCH("C", 'Dry_Litterbag Placem_Collection'!$S58)),"YES","NO")</f>
        <v>NO</v>
      </c>
      <c r="AD131" s="252" t="str">
        <f>IF(ISNUMBER(SEARCH("H", 'Dry_Litterbag Placem_Collection'!$S58)),"YES","NO")</f>
        <v>NO</v>
      </c>
      <c r="AE131" s="252" t="str">
        <f>IF(ISNUMBER(SEARCH("R", 'Dry_Litterbag Placem_Collection'!$S58)),"YES","NO")</f>
        <v>NO</v>
      </c>
    </row>
    <row r="132" spans="2:31">
      <c r="B132" t="str">
        <f>'Final data_for_R_analysis_Dryse'!A58</f>
        <v>Dry</v>
      </c>
      <c r="C132" s="260">
        <f>'Final data_for_R_analysis_Dryse'!B58</f>
        <v>57</v>
      </c>
      <c r="D132" t="s">
        <v>3809</v>
      </c>
      <c r="E132" t="s">
        <v>22</v>
      </c>
      <c r="F132" s="381">
        <v>1</v>
      </c>
      <c r="G132" s="16">
        <f>IF('Dry_Litterbag Placem_Collection'!E59="","",'Dry_Litterbag Placem_Collection'!E59)</f>
        <v>42938</v>
      </c>
      <c r="H132" t="str">
        <f>'Final data_for_R_analysis_Dryse'!K58</f>
        <v>G41</v>
      </c>
      <c r="I132" t="str">
        <f>'Final data_for_R_analysis_Dryse'!K278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0"/>
        <v>1.7352000000000001</v>
      </c>
      <c r="M132" s="237">
        <f>AVERAGE(Ashed_controlls!$K$1:$K$11)</f>
        <v>5.5147656768714146</v>
      </c>
      <c r="N132" s="194">
        <f>IFERROR(IF(K132&gt;0,(K132*$F$32-($F$29+$F$30)),""),"")</f>
        <v>1.9662000000000002</v>
      </c>
      <c r="O132" s="16">
        <f>IF('Dry_Litterbag Placem_Collection'!G59="","",'Dry_Litterbag Placem_Collection'!G59)</f>
        <v>43005</v>
      </c>
      <c r="P132" s="194">
        <f>IFERROR(INDEX('Both teabags AfterDry'!$D$3:$D$2000,MATCH(H132,'Both teabags AfterDry'!$A$3:$A$2000,0)),"")</f>
        <v>1.7847</v>
      </c>
      <c r="Q132" s="194">
        <f>IFERROR(INDEX('Both teabags AfterDry'!$D$3:$D$2000,MATCH(I132,'Both teabags AfterDry'!$A$3:$A$2000,0)),"")</f>
        <v>1.9719</v>
      </c>
      <c r="R132" s="194">
        <f t="shared" si="1"/>
        <v>1.6340999999999999</v>
      </c>
      <c r="S132" s="194">
        <f t="shared" si="1"/>
        <v>1.8212999999999999</v>
      </c>
      <c r="T132" s="194">
        <f t="shared" si="2"/>
        <v>5.8264177040110776E-2</v>
      </c>
      <c r="U132" s="194">
        <f t="shared" si="3"/>
        <v>3.8196942667626056E-2</v>
      </c>
      <c r="V132" s="194">
        <f t="shared" si="4"/>
        <v>0.92630454684162333</v>
      </c>
      <c r="W132">
        <f t="shared" si="5"/>
        <v>67</v>
      </c>
      <c r="X132" s="194">
        <f t="shared" si="6"/>
        <v>0.93080264009488034</v>
      </c>
      <c r="Y132" s="194" t="str">
        <f t="shared" si="7"/>
        <v/>
      </c>
      <c r="Z132" s="252" t="str">
        <f>IF(ISNUMBER(SEARCH("C", 'Dry_Litterbag Placem_Collection'!$T59)),"YES","NO")</f>
        <v>NO</v>
      </c>
      <c r="AA132" s="252" t="str">
        <f>IF(ISNUMBER(SEARCH("H", 'Dry_Litterbag Placem_Collection'!$T59)),"YES","NO")</f>
        <v>NO</v>
      </c>
      <c r="AB132" s="252" t="str">
        <f>IF(ISNUMBER(SEARCH("R", 'Dry_Litterbag Placem_Collection'!$T59)),"YES","NO")</f>
        <v>NO</v>
      </c>
      <c r="AC132" s="252" t="str">
        <f>IF(ISNUMBER(SEARCH("C", 'Dry_Litterbag Placem_Collection'!$S59)),"YES","NO")</f>
        <v>NO</v>
      </c>
      <c r="AD132" s="252" t="str">
        <f>IF(ISNUMBER(SEARCH("H", 'Dry_Litterbag Placem_Collection'!$S59)),"YES","NO")</f>
        <v>NO</v>
      </c>
      <c r="AE132" s="252" t="str">
        <f>IF(ISNUMBER(SEARCH("R", 'Dry_Litterbag Placem_Collection'!$S59)),"YES","NO")</f>
        <v>NO</v>
      </c>
    </row>
    <row r="133" spans="2:31">
      <c r="B133" t="str">
        <f>'Final data_for_R_analysis_Dryse'!A59</f>
        <v>Dry</v>
      </c>
      <c r="C133" s="260">
        <f>'Final data_for_R_analysis_Dryse'!B59</f>
        <v>58</v>
      </c>
      <c r="D133" t="s">
        <v>3809</v>
      </c>
      <c r="E133" t="s">
        <v>22</v>
      </c>
      <c r="F133" s="381">
        <v>2</v>
      </c>
      <c r="G133" s="16">
        <f>IF('Dry_Litterbag Placem_Collection'!E60="","",'Dry_Litterbag Placem_Collection'!E60)</f>
        <v>42938</v>
      </c>
      <c r="H133" t="str">
        <f>'Final data_for_R_analysis_Dryse'!K59</f>
        <v>G481</v>
      </c>
      <c r="I133" t="str">
        <f>'Final data_for_R_analysis_Dryse'!K279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0"/>
        <v>1.8031999999999999</v>
      </c>
      <c r="M133" s="237">
        <f>AVERAGE(Ashed_controlls!$K$1:$K$11)</f>
        <v>5.5147656768714146</v>
      </c>
      <c r="N133" s="194">
        <f>IFERROR(IF(K133&gt;0,(K133*$F$32-($F$29+$F$30)),""),"")</f>
        <v>1.9432</v>
      </c>
      <c r="O133" s="16">
        <f>IF('Dry_Litterbag Placem_Collection'!G60="","",'Dry_Litterbag Placem_Collection'!G60)</f>
        <v>43005</v>
      </c>
      <c r="P133" s="194">
        <f>IFERROR(INDEX('Both teabags AfterDry'!$D$3:$D$2000,MATCH(H133,'Both teabags AfterDry'!$A$3:$A$2000,0)),"")</f>
        <v>1.7612000000000001</v>
      </c>
      <c r="Q133" s="194">
        <f>IFERROR(INDEX('Both teabags AfterDry'!$D$3:$D$2000,MATCH(I133,'Both teabags AfterDry'!$A$3:$A$2000,0)),"")</f>
        <v>1.3995000000000002</v>
      </c>
      <c r="R133" s="194">
        <f t="shared" si="1"/>
        <v>1.6106</v>
      </c>
      <c r="S133" s="194">
        <f t="shared" si="1"/>
        <v>1.2489000000000001</v>
      </c>
      <c r="T133" s="194">
        <f t="shared" si="2"/>
        <v>0.10681011535048801</v>
      </c>
      <c r="U133" s="194">
        <f t="shared" si="3"/>
        <v>7.0022783460177443E-2</v>
      </c>
      <c r="V133" s="194">
        <f t="shared" si="4"/>
        <v>0.64270275833676416</v>
      </c>
      <c r="W133">
        <f t="shared" si="5"/>
        <v>67</v>
      </c>
      <c r="X133" s="194">
        <f t="shared" si="6"/>
        <v>0.87314713141272204</v>
      </c>
      <c r="Y133" s="194" t="str">
        <f t="shared" si="7"/>
        <v/>
      </c>
      <c r="Z133" s="252" t="str">
        <f>IF(ISNUMBER(SEARCH("C", 'Dry_Litterbag Placem_Collection'!$T60)),"YES","NO")</f>
        <v>NO</v>
      </c>
      <c r="AA133" s="252" t="str">
        <f>IF(ISNUMBER(SEARCH("H", 'Dry_Litterbag Placem_Collection'!$T60)),"YES","NO")</f>
        <v>YES</v>
      </c>
      <c r="AB133" s="252" t="str">
        <f>IF(ISNUMBER(SEARCH("R", 'Dry_Litterbag Placem_Collection'!$T60)),"YES","NO")</f>
        <v>NO</v>
      </c>
      <c r="AC133" s="252" t="str">
        <f>IF(ISNUMBER(SEARCH("C", 'Dry_Litterbag Placem_Collection'!$S60)),"YES","NO")</f>
        <v>NO</v>
      </c>
      <c r="AD133" s="252" t="str">
        <f>IF(ISNUMBER(SEARCH("H", 'Dry_Litterbag Placem_Collection'!$S60)),"YES","NO")</f>
        <v>YES</v>
      </c>
      <c r="AE133" s="252" t="str">
        <f>IF(ISNUMBER(SEARCH("R", 'Dry_Litterbag Placem_Collection'!$S60)),"YES","NO")</f>
        <v>NO</v>
      </c>
    </row>
    <row r="134" spans="2:31">
      <c r="B134" t="str">
        <f>'Final data_for_R_analysis_Dryse'!A60</f>
        <v>Dry</v>
      </c>
      <c r="C134" s="260">
        <f>'Final data_for_R_analysis_Dryse'!B60</f>
        <v>59</v>
      </c>
      <c r="D134" t="s">
        <v>3809</v>
      </c>
      <c r="E134" t="s">
        <v>22</v>
      </c>
      <c r="F134" s="381">
        <v>3</v>
      </c>
      <c r="G134" s="16">
        <f>IF('Dry_Litterbag Placem_Collection'!E61="","",'Dry_Litterbag Placem_Collection'!E61)</f>
        <v>42938</v>
      </c>
      <c r="H134" t="str">
        <f>'Final data_for_R_analysis_Dryse'!K60</f>
        <v>G261</v>
      </c>
      <c r="I134" t="str">
        <f>'Final data_for_R_analysis_Dryse'!K280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0"/>
        <v>1.7352000000000001</v>
      </c>
      <c r="M134" s="237">
        <f>AVERAGE(Ashed_controlls!$K$1:$K$11)</f>
        <v>5.5147656768714146</v>
      </c>
      <c r="N134" s="194">
        <f>IFERROR(IF(K134&gt;0,(K134*$F$32-($F$29+$F$30)),""),"")</f>
        <v>1.9731999999999998</v>
      </c>
      <c r="O134" s="16">
        <f>IF('Dry_Litterbag Placem_Collection'!G61="","",'Dry_Litterbag Placem_Collection'!G61)</f>
        <v>43005</v>
      </c>
      <c r="P134" s="194">
        <f>IFERROR(INDEX('Both teabags AfterDry'!$D$3:$D$2000,MATCH(H134,'Both teabags AfterDry'!$A$3:$A$2000,0)),"")</f>
        <v>1.8041</v>
      </c>
      <c r="Q134" s="194">
        <f>IFERROR(INDEX('Both teabags AfterDry'!$D$3:$D$2000,MATCH(I134,'Both teabags AfterDry'!$A$3:$A$2000,0)),"")</f>
        <v>1.9549000000000001</v>
      </c>
      <c r="R134" s="194">
        <f t="shared" si="1"/>
        <v>1.6535</v>
      </c>
      <c r="S134" s="194">
        <f t="shared" si="1"/>
        <v>1.8043</v>
      </c>
      <c r="T134" s="194">
        <f t="shared" si="2"/>
        <v>4.708390963577691E-2</v>
      </c>
      <c r="U134" s="194">
        <f t="shared" si="3"/>
        <v>3.0867361186400082E-2</v>
      </c>
      <c r="V134" s="194">
        <f t="shared" si="4"/>
        <v>0.91440300020271648</v>
      </c>
      <c r="W134">
        <f t="shared" si="5"/>
        <v>67</v>
      </c>
      <c r="X134" s="194">
        <f t="shared" si="6"/>
        <v>0.94408086741594188</v>
      </c>
      <c r="Y134" s="194" t="str">
        <f t="shared" si="7"/>
        <v/>
      </c>
      <c r="Z134" s="252" t="str">
        <f>IF(ISNUMBER(SEARCH("C", 'Dry_Litterbag Placem_Collection'!$T61)),"YES","NO")</f>
        <v>NO</v>
      </c>
      <c r="AA134" s="252" t="str">
        <f>IF(ISNUMBER(SEARCH("H", 'Dry_Litterbag Placem_Collection'!$T61)),"YES","NO")</f>
        <v>NO</v>
      </c>
      <c r="AB134" s="252" t="str">
        <f>IF(ISNUMBER(SEARCH("R", 'Dry_Litterbag Placem_Collection'!$T61)),"YES","NO")</f>
        <v>NO</v>
      </c>
      <c r="AC134" s="252" t="str">
        <f>IF(ISNUMBER(SEARCH("C", 'Dry_Litterbag Placem_Collection'!$S61)),"YES","NO")</f>
        <v>NO</v>
      </c>
      <c r="AD134" s="252" t="str">
        <f>IF(ISNUMBER(SEARCH("H", 'Dry_Litterbag Placem_Collection'!$S61)),"YES","NO")</f>
        <v>NO</v>
      </c>
      <c r="AE134" s="252" t="str">
        <f>IF(ISNUMBER(SEARCH("R", 'Dry_Litterbag Placem_Collection'!$S61)),"YES","NO")</f>
        <v>NO</v>
      </c>
    </row>
    <row r="135" spans="2:31">
      <c r="B135" t="str">
        <f>'Final data_for_R_analysis_Dryse'!A61</f>
        <v>Dry</v>
      </c>
      <c r="C135" s="260">
        <f>'Final data_for_R_analysis_Dryse'!B61</f>
        <v>60</v>
      </c>
      <c r="D135" t="s">
        <v>3809</v>
      </c>
      <c r="E135" t="s">
        <v>22</v>
      </c>
      <c r="F135" s="382">
        <v>4</v>
      </c>
      <c r="G135" s="16">
        <f>IF('Dry_Litterbag Placem_Collection'!E62="","",'Dry_Litterbag Placem_Collection'!E62)</f>
        <v>42938</v>
      </c>
      <c r="H135" t="str">
        <f>'Final data_for_R_analysis_Dryse'!K61</f>
        <v>G152</v>
      </c>
      <c r="I135" t="str">
        <f>'Final data_for_R_analysis_Dryse'!K281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0"/>
        <v>1.7991999999999999</v>
      </c>
      <c r="M135" s="237">
        <f>AVERAGE(Ashed_controlls!$K$1:$K$11)</f>
        <v>5.5147656768714146</v>
      </c>
      <c r="N135" s="194">
        <f>IFERROR(IF(K135&gt;0,(K135*$F$32-($F$29+$F$30)),""),"")</f>
        <v>2.0091999999999999</v>
      </c>
      <c r="O135" s="16">
        <f>IF('Dry_Litterbag Placem_Collection'!G62="","",'Dry_Litterbag Placem_Collection'!G62)</f>
        <v>43005</v>
      </c>
      <c r="P135" s="194">
        <f>IFERROR(INDEX('Both teabags AfterDry'!$D$3:$D$2000,MATCH(H135,'Both teabags AfterDry'!$A$3:$A$2000,0)),"")</f>
        <v>1.8697999999999999</v>
      </c>
      <c r="Q135" s="194">
        <f>IFERROR(INDEX('Both teabags AfterDry'!$D$3:$D$2000,MATCH(I135,'Both teabags AfterDry'!$A$3:$A$2000,0)),"")</f>
        <v>1.9797</v>
      </c>
      <c r="R135" s="194">
        <f t="shared" si="1"/>
        <v>1.7191999999999998</v>
      </c>
      <c r="S135" s="194">
        <f t="shared" si="1"/>
        <v>1.8290999999999999</v>
      </c>
      <c r="T135" s="194">
        <f t="shared" si="2"/>
        <v>4.4464206313917343E-2</v>
      </c>
      <c r="U135" s="194">
        <f t="shared" si="3"/>
        <v>2.9149930980145344E-2</v>
      </c>
      <c r="V135" s="194">
        <f t="shared" si="4"/>
        <v>0.91036233326697191</v>
      </c>
      <c r="W135">
        <f t="shared" si="5"/>
        <v>67</v>
      </c>
      <c r="X135" s="194">
        <f t="shared" si="6"/>
        <v>0.94719215402147583</v>
      </c>
      <c r="Y135" s="194" t="str">
        <f t="shared" si="7"/>
        <v/>
      </c>
      <c r="Z135" s="252" t="str">
        <f>IF(ISNUMBER(SEARCH("C", 'Dry_Litterbag Placem_Collection'!$T62)),"YES","NO")</f>
        <v>NO</v>
      </c>
      <c r="AA135" s="252" t="str">
        <f>IF(ISNUMBER(SEARCH("H", 'Dry_Litterbag Placem_Collection'!$T62)),"YES","NO")</f>
        <v>NO</v>
      </c>
      <c r="AB135" s="252" t="str">
        <f>IF(ISNUMBER(SEARCH("R", 'Dry_Litterbag Placem_Collection'!$T62)),"YES","NO")</f>
        <v>NO</v>
      </c>
      <c r="AC135" s="252" t="str">
        <f>IF(ISNUMBER(SEARCH("C", 'Dry_Litterbag Placem_Collection'!$S62)),"YES","NO")</f>
        <v>NO</v>
      </c>
      <c r="AD135" s="252" t="str">
        <f>IF(ISNUMBER(SEARCH("H", 'Dry_Litterbag Placem_Collection'!$S62)),"YES","NO")</f>
        <v>NO</v>
      </c>
      <c r="AE135" s="252" t="str">
        <f>IF(ISNUMBER(SEARCH("R", 'Dry_Litterbag Placem_Collection'!$S62)),"YES","NO")</f>
        <v>NO</v>
      </c>
    </row>
    <row r="136" spans="2:31">
      <c r="B136" t="str">
        <f>'Final data_for_R_analysis_Dryse'!A62</f>
        <v>Dry</v>
      </c>
      <c r="C136" s="260">
        <f>'Final data_for_R_analysis_Dryse'!B62</f>
        <v>61</v>
      </c>
      <c r="D136" t="s">
        <v>3809</v>
      </c>
      <c r="E136" t="s">
        <v>22</v>
      </c>
      <c r="F136" s="382">
        <v>5</v>
      </c>
      <c r="G136" s="16">
        <f>IF('Dry_Litterbag Placem_Collection'!E63="","",'Dry_Litterbag Placem_Collection'!E63)</f>
        <v>42938</v>
      </c>
      <c r="H136" t="str">
        <f>'Final data_for_R_analysis_Dryse'!K62</f>
        <v>G191</v>
      </c>
      <c r="I136" t="str">
        <f>'Final data_for_R_analysis_Dryse'!K282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0"/>
        <v>1.8092000000000001</v>
      </c>
      <c r="M136" s="237">
        <f>AVERAGE(Ashed_controlls!$K$1:$K$11)</f>
        <v>5.5147656768714146</v>
      </c>
      <c r="N136" s="194">
        <f>IFERROR(IF(K136&gt;0,(K136*$F$32-($F$29+$F$30)),""),"")</f>
        <v>1.9792000000000001</v>
      </c>
      <c r="O136" s="16">
        <f>IF('Dry_Litterbag Placem_Collection'!G63="","",'Dry_Litterbag Placem_Collection'!G63)</f>
        <v>43005</v>
      </c>
      <c r="P136" s="194" t="str">
        <f>IFERROR(INDEX('Both teabags AfterDry'!$D$3:$D$2000,MATCH(H136,'Both teabags AfterDry'!$A$3:$A$2000,0)),"")</f>
        <v/>
      </c>
      <c r="Q136" s="194" t="str">
        <f>IFERROR(INDEX('Both teabags AfterDry'!$D$3:$D$2000,MATCH(I136,'Both teabags AfterDry'!$A$3:$A$2000,0)),"")</f>
        <v/>
      </c>
      <c r="R136" s="194" t="str">
        <f t="shared" si="1"/>
        <v/>
      </c>
      <c r="S136" s="194" t="str">
        <f t="shared" si="1"/>
        <v/>
      </c>
      <c r="T136" s="194" t="str">
        <f t="shared" si="2"/>
        <v/>
      </c>
      <c r="U136" s="194" t="str">
        <f t="shared" si="3"/>
        <v/>
      </c>
      <c r="V136" s="194" t="str">
        <f t="shared" si="4"/>
        <v/>
      </c>
      <c r="W136">
        <f t="shared" si="5"/>
        <v>67</v>
      </c>
      <c r="X136" s="194" t="str">
        <f t="shared" si="6"/>
        <v/>
      </c>
      <c r="Y136" s="194" t="str">
        <f t="shared" si="7"/>
        <v/>
      </c>
      <c r="Z136" s="252" t="str">
        <f>IF(ISNUMBER(SEARCH("C", 'Dry_Litterbag Placem_Collection'!$T63)),"YES","NO")</f>
        <v>NO</v>
      </c>
      <c r="AA136" s="252" t="str">
        <f>IF(ISNUMBER(SEARCH("H", 'Dry_Litterbag Placem_Collection'!$T63)),"YES","NO")</f>
        <v>NO</v>
      </c>
      <c r="AB136" s="252" t="str">
        <f>IF(ISNUMBER(SEARCH("R", 'Dry_Litterbag Placem_Collection'!$T63)),"YES","NO")</f>
        <v>NO</v>
      </c>
      <c r="AC136" s="252" t="str">
        <f>IF(ISNUMBER(SEARCH("C", 'Dry_Litterbag Placem_Collection'!$S63)),"YES","NO")</f>
        <v>NO</v>
      </c>
      <c r="AD136" s="252" t="str">
        <f>IF(ISNUMBER(SEARCH("H", 'Dry_Litterbag Placem_Collection'!$S63)),"YES","NO")</f>
        <v>NO</v>
      </c>
      <c r="AE136" s="252" t="str">
        <f>IF(ISNUMBER(SEARCH("R", 'Dry_Litterbag Placem_Collection'!$S63)),"YES","NO")</f>
        <v>NO</v>
      </c>
    </row>
    <row r="137" spans="2:31">
      <c r="B137" t="str">
        <f>'Final data_for_R_analysis_Dryse'!A63</f>
        <v>Dry</v>
      </c>
      <c r="C137" s="260">
        <f>'Final data_for_R_analysis_Dryse'!B63</f>
        <v>62</v>
      </c>
      <c r="D137" t="s">
        <v>3809</v>
      </c>
      <c r="E137" t="s">
        <v>22</v>
      </c>
      <c r="F137" s="382">
        <v>6</v>
      </c>
      <c r="G137" s="16" t="str">
        <f>IF('Dry_Litterbag Placem_Collection'!E64="","",'Dry_Litterbag Placem_Collection'!E64)</f>
        <v/>
      </c>
      <c r="H137" t="str">
        <f>'Final data_for_R_analysis_Dryse'!K63</f>
        <v/>
      </c>
      <c r="I137" t="str">
        <f>'Final data_for_R_analysis_Dryse'!K283</f>
        <v/>
      </c>
      <c r="J137" t="str">
        <f>IFERROR(INDEX('Green_rooibos initial weight'!$C$5:$C$2000,MATCH(H137, 'Green_rooibos initial weight'!$A$5:$A$2000,0)),"")</f>
        <v/>
      </c>
      <c r="K137" t="str">
        <f>IFERROR(INDEX('Green_rooibos initial weight'!$C$5:$C$2000,MATCH(I137, 'Green_rooibos initial weight'!$A$5:$A$2000,0)),"")</f>
        <v/>
      </c>
      <c r="L137" s="194" t="str">
        <f t="shared" si="0"/>
        <v/>
      </c>
      <c r="M137" s="237">
        <f>AVERAGE(Ashed_controlls!$K$1:$K$11)</f>
        <v>5.5147656768714146</v>
      </c>
      <c r="N137" s="194" t="str">
        <f>IFERROR(IF(K137&gt;0,(K137*$F$32-($F$29+$F$30)),""),"")</f>
        <v/>
      </c>
      <c r="O137" s="16" t="str">
        <f>IF('Dry_Litterbag Placem_Collection'!G64="","",'Dry_Litterbag Placem_Collection'!G64)</f>
        <v/>
      </c>
      <c r="P137" s="194" t="str">
        <f>IFERROR(INDEX('Both teabags AfterDry'!$D$3:$D$2000,MATCH(H137,'Both teabags AfterDry'!$A$3:$A$2000,0)),"")</f>
        <v/>
      </c>
      <c r="Q137" s="194" t="str">
        <f>IFERROR(INDEX('Both teabags AfterDry'!$D$3:$D$2000,MATCH(I137,'Both teabags AfterDry'!$A$3:$A$2000,0)),"")</f>
        <v/>
      </c>
      <c r="R137" s="194" t="str">
        <f t="shared" si="1"/>
        <v/>
      </c>
      <c r="S137" s="194" t="str">
        <f t="shared" si="1"/>
        <v/>
      </c>
      <c r="T137" s="194" t="str">
        <f t="shared" si="2"/>
        <v/>
      </c>
      <c r="U137" s="194" t="str">
        <f t="shared" si="3"/>
        <v/>
      </c>
      <c r="V137" s="194" t="str">
        <f t="shared" si="4"/>
        <v/>
      </c>
      <c r="W137" t="str">
        <f t="shared" si="5"/>
        <v/>
      </c>
      <c r="X137" s="194" t="str">
        <f t="shared" si="6"/>
        <v/>
      </c>
      <c r="Y137" s="194" t="str">
        <f t="shared" si="7"/>
        <v/>
      </c>
      <c r="Z137" s="252" t="str">
        <f>IF(ISNUMBER(SEARCH("C", 'Dry_Litterbag Placem_Collection'!$T64)),"YES","NO")</f>
        <v>NO</v>
      </c>
      <c r="AA137" s="252" t="str">
        <f>IF(ISNUMBER(SEARCH("H", 'Dry_Litterbag Placem_Collection'!$T64)),"YES","NO")</f>
        <v>NO</v>
      </c>
      <c r="AB137" s="252" t="str">
        <f>IF(ISNUMBER(SEARCH("R", 'Dry_Litterbag Placem_Collection'!$T64)),"YES","NO")</f>
        <v>NO</v>
      </c>
      <c r="AC137" s="252" t="str">
        <f>IF(ISNUMBER(SEARCH("C", 'Dry_Litterbag Placem_Collection'!$S64)),"YES","NO")</f>
        <v>NO</v>
      </c>
      <c r="AD137" s="252" t="str">
        <f>IF(ISNUMBER(SEARCH("H", 'Dry_Litterbag Placem_Collection'!$S64)),"YES","NO")</f>
        <v>NO</v>
      </c>
      <c r="AE137" s="252" t="str">
        <f>IF(ISNUMBER(SEARCH("R", 'Dry_Litterbag Placem_Collection'!$S64)),"YES","NO")</f>
        <v>NO</v>
      </c>
    </row>
    <row r="138" spans="2:31">
      <c r="B138" t="str">
        <f>'Final data_for_R_analysis_Dryse'!A64</f>
        <v>Dry</v>
      </c>
      <c r="C138" s="260">
        <f>'Final data_for_R_analysis_Dryse'!B64</f>
        <v>63</v>
      </c>
      <c r="D138" t="s">
        <v>3809</v>
      </c>
      <c r="E138" t="s">
        <v>22</v>
      </c>
      <c r="F138" s="382">
        <v>7</v>
      </c>
      <c r="G138" s="16">
        <f>IF('Dry_Litterbag Placem_Collection'!E65="","",'Dry_Litterbag Placem_Collection'!E65)</f>
        <v>42938</v>
      </c>
      <c r="H138" t="str">
        <f>'Final data_for_R_analysis_Dryse'!K64</f>
        <v>G49</v>
      </c>
      <c r="I138" t="str">
        <f>'Final data_for_R_analysis_Dryse'!K284</f>
        <v>R733</v>
      </c>
      <c r="J138">
        <f>IFERROR(INDEX('Green_rooibos initial weight'!$C$5:$C$2000,MATCH(H138, 'Green_rooibos initial weight'!$A$5:$A$2000,0)),"")</f>
        <v>2.0859999999999999</v>
      </c>
      <c r="K138">
        <f>IFERROR(INDEX('Green_rooibos initial weight'!$C$5:$C$2000,MATCH(I138, 'Green_rooibos initial weight'!$A$5:$A$2000,0)),"")</f>
        <v>2.181</v>
      </c>
      <c r="L138" s="194">
        <f t="shared" si="0"/>
        <v>1.8361999999999998</v>
      </c>
      <c r="M138" s="237">
        <f>AVERAGE(Ashed_controlls!$K$1:$K$11)</f>
        <v>5.5147656768714146</v>
      </c>
      <c r="N138" s="194">
        <f>IFERROR(IF(K138&gt;0,(K138*$F$32-($F$29+$F$30)),""),"")</f>
        <v>1.9312</v>
      </c>
      <c r="O138" s="16">
        <f>IF('Dry_Litterbag Placem_Collection'!G65="","",'Dry_Litterbag Placem_Collection'!G65)</f>
        <v>43005</v>
      </c>
      <c r="P138" s="194">
        <f>IFERROR(INDEX('Both teabags AfterDry'!$D$3:$D$2000,MATCH(H138,'Both teabags AfterDry'!$A$3:$A$2000,0)),"")</f>
        <v>1.9326000000000001</v>
      </c>
      <c r="Q138" s="194">
        <f>IFERROR(INDEX('Both teabags AfterDry'!$D$3:$D$2000,MATCH(I138,'Both teabags AfterDry'!$A$3:$A$2000,0)),"")</f>
        <v>1.9025000000000001</v>
      </c>
      <c r="R138" s="194">
        <f t="shared" si="1"/>
        <v>1.782</v>
      </c>
      <c r="S138" s="194">
        <f t="shared" si="1"/>
        <v>1.7519</v>
      </c>
      <c r="T138" s="194">
        <f t="shared" si="2"/>
        <v>2.9517481755799935E-2</v>
      </c>
      <c r="U138" s="194">
        <f t="shared" si="3"/>
        <v>1.9351128181949607E-2</v>
      </c>
      <c r="V138" s="194">
        <f t="shared" si="4"/>
        <v>0.90715617232808621</v>
      </c>
      <c r="W138">
        <f t="shared" si="5"/>
        <v>67</v>
      </c>
      <c r="X138" s="194">
        <f t="shared" si="6"/>
        <v>0.96494360836603332</v>
      </c>
      <c r="Y138" s="194" t="str">
        <f t="shared" si="7"/>
        <v/>
      </c>
      <c r="Z138" s="252" t="str">
        <f>IF(ISNUMBER(SEARCH("C", 'Dry_Litterbag Placem_Collection'!$T65)),"YES","NO")</f>
        <v>NO</v>
      </c>
      <c r="AA138" s="252" t="str">
        <f>IF(ISNUMBER(SEARCH("H", 'Dry_Litterbag Placem_Collection'!$T65)),"YES","NO")</f>
        <v>NO</v>
      </c>
      <c r="AB138" s="252" t="str">
        <f>IF(ISNUMBER(SEARCH("R", 'Dry_Litterbag Placem_Collection'!$T65)),"YES","NO")</f>
        <v>NO</v>
      </c>
      <c r="AC138" s="252" t="str">
        <f>IF(ISNUMBER(SEARCH("C", 'Dry_Litterbag Placem_Collection'!$S65)),"YES","NO")</f>
        <v>NO</v>
      </c>
      <c r="AD138" s="252" t="str">
        <f>IF(ISNUMBER(SEARCH("H", 'Dry_Litterbag Placem_Collection'!$S65)),"YES","NO")</f>
        <v>NO</v>
      </c>
      <c r="AE138" s="252" t="str">
        <f>IF(ISNUMBER(SEARCH("R", 'Dry_Litterbag Placem_Collection'!$S65)),"YES","NO")</f>
        <v>NO</v>
      </c>
    </row>
    <row r="139" spans="2:31">
      <c r="B139" t="str">
        <f>'Final data_for_R_analysis_Dryse'!A65</f>
        <v>Dry</v>
      </c>
      <c r="C139" s="260">
        <f>'Final data_for_R_analysis_Dryse'!B65</f>
        <v>64</v>
      </c>
      <c r="D139" t="s">
        <v>3809</v>
      </c>
      <c r="E139" t="s">
        <v>22</v>
      </c>
      <c r="F139" s="382">
        <v>8</v>
      </c>
      <c r="G139" s="16">
        <f>IF('Dry_Litterbag Placem_Collection'!E66="","",'Dry_Litterbag Placem_Collection'!E66)</f>
        <v>42938</v>
      </c>
      <c r="H139" t="str">
        <f>'Final data_for_R_analysis_Dryse'!K65</f>
        <v>G347</v>
      </c>
      <c r="I139" t="str">
        <f>'Final data_for_R_analysis_Dryse'!K285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0"/>
        <v>1.6421999999999999</v>
      </c>
      <c r="M139" s="237">
        <f>AVERAGE(Ashed_controlls!$K$1:$K$11)</f>
        <v>5.5147656768714146</v>
      </c>
      <c r="N139" s="194">
        <f>IFERROR(IF(K139&gt;0,(K139*$F$32-($F$29+$F$30)),""),"")</f>
        <v>1.9902000000000002</v>
      </c>
      <c r="O139" s="16">
        <f>IF('Dry_Litterbag Placem_Collection'!G66="","",'Dry_Litterbag Placem_Collection'!G66)</f>
        <v>43005</v>
      </c>
      <c r="P139" s="194">
        <f>IFERROR(INDEX('Both teabags AfterDry'!$D$3:$D$2000,MATCH(H139,'Both teabags AfterDry'!$A$3:$A$2000,0)),"")</f>
        <v>1.6924999999999999</v>
      </c>
      <c r="Q139" s="194">
        <f>IFERROR(INDEX('Both teabags AfterDry'!$D$3:$D$2000,MATCH(I139,'Both teabags AfterDry'!$A$3:$A$2000,0)),"")</f>
        <v>1.9783999999999999</v>
      </c>
      <c r="R139" s="194">
        <f t="shared" si="1"/>
        <v>1.5418999999999998</v>
      </c>
      <c r="S139" s="194">
        <f t="shared" si="1"/>
        <v>1.8277999999999999</v>
      </c>
      <c r="T139" s="194">
        <f t="shared" si="2"/>
        <v>6.107660455486541E-2</v>
      </c>
      <c r="U139" s="194">
        <f t="shared" si="3"/>
        <v>4.0040719375636254E-2</v>
      </c>
      <c r="V139" s="194">
        <f t="shared" si="4"/>
        <v>0.91840016078786035</v>
      </c>
      <c r="W139">
        <f t="shared" si="5"/>
        <v>67</v>
      </c>
      <c r="X139" s="194">
        <f t="shared" si="6"/>
        <v>0.92746246489920969</v>
      </c>
      <c r="Y139" s="194" t="str">
        <f t="shared" si="7"/>
        <v/>
      </c>
      <c r="Z139" s="252" t="str">
        <f>IF(ISNUMBER(SEARCH("C", 'Dry_Litterbag Placem_Collection'!$T66)),"YES","NO")</f>
        <v>NO</v>
      </c>
      <c r="AA139" s="252" t="str">
        <f>IF(ISNUMBER(SEARCH("H", 'Dry_Litterbag Placem_Collection'!$T66)),"YES","NO")</f>
        <v>NO</v>
      </c>
      <c r="AB139" s="252" t="str">
        <f>IF(ISNUMBER(SEARCH("R", 'Dry_Litterbag Placem_Collection'!$T66)),"YES","NO")</f>
        <v>NO</v>
      </c>
      <c r="AC139" s="252" t="str">
        <f>IF(ISNUMBER(SEARCH("C", 'Dry_Litterbag Placem_Collection'!$S66)),"YES","NO")</f>
        <v>NO</v>
      </c>
      <c r="AD139" s="252" t="str">
        <f>IF(ISNUMBER(SEARCH("H", 'Dry_Litterbag Placem_Collection'!$S66)),"YES","NO")</f>
        <v>NO</v>
      </c>
      <c r="AE139" s="252" t="str">
        <f>IF(ISNUMBER(SEARCH("R", 'Dry_Litterbag Placem_Collection'!$S66)),"YES","NO")</f>
        <v>NO</v>
      </c>
    </row>
    <row r="140" spans="2:31">
      <c r="B140" t="str">
        <f>'Final data_for_R_analysis_Dryse'!A66</f>
        <v>Dry</v>
      </c>
      <c r="C140" s="260">
        <f>'Final data_for_R_analysis_Dryse'!B66</f>
        <v>65</v>
      </c>
      <c r="D140" t="s">
        <v>3810</v>
      </c>
      <c r="E140" t="s">
        <v>22</v>
      </c>
      <c r="F140" s="381">
        <v>1</v>
      </c>
      <c r="G140" s="16">
        <f>IF('Dry_Litterbag Placem_Collection'!E67="","",'Dry_Litterbag Placem_Collection'!E67)</f>
        <v>42937</v>
      </c>
      <c r="H140" t="str">
        <f>'Final data_for_R_analysis_Dryse'!K66</f>
        <v>G495</v>
      </c>
      <c r="I140" t="str">
        <f>'Final data_for_R_analysis_Dryse'!K286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0"/>
        <v>1.7892000000000001</v>
      </c>
      <c r="M140" s="237">
        <f>AVERAGE(Ashed_controlls!$K$1:$K$11)</f>
        <v>5.5147656768714146</v>
      </c>
      <c r="N140" s="194">
        <f>IFERROR(IF(K140&gt;0,(K140*$F$32-($F$29+$F$30)),""),"")</f>
        <v>1.9982000000000002</v>
      </c>
      <c r="O140" s="16">
        <f>IF('Dry_Litterbag Placem_Collection'!G67="","",'Dry_Litterbag Placem_Collection'!G67)</f>
        <v>43005</v>
      </c>
      <c r="P140" s="194" t="str">
        <f>IFERROR(INDEX('Both teabags AfterDry'!$D$3:$D$2000,MATCH(H140,'Both teabags AfterDry'!$A$3:$A$2000,0)),"")</f>
        <v/>
      </c>
      <c r="Q140" s="194" t="str">
        <f>IFERROR(INDEX('Both teabags AfterDry'!$D$3:$D$2000,MATCH(I140,'Both teabags AfterDry'!$A$3:$A$2000,0)),"")</f>
        <v/>
      </c>
      <c r="R140" s="194" t="str">
        <f t="shared" si="1"/>
        <v/>
      </c>
      <c r="S140" s="194" t="str">
        <f t="shared" si="1"/>
        <v/>
      </c>
      <c r="T140" s="194" t="str">
        <f t="shared" si="2"/>
        <v/>
      </c>
      <c r="U140" s="194" t="str">
        <f t="shared" si="3"/>
        <v/>
      </c>
      <c r="V140" s="194" t="str">
        <f t="shared" si="4"/>
        <v/>
      </c>
      <c r="W140">
        <f t="shared" si="5"/>
        <v>68</v>
      </c>
      <c r="X140" s="194" t="str">
        <f t="shared" si="6"/>
        <v/>
      </c>
      <c r="Y140" s="194" t="str">
        <f t="shared" si="7"/>
        <v/>
      </c>
      <c r="Z140" s="252" t="str">
        <f>IF(ISNUMBER(SEARCH("C", 'Dry_Litterbag Placem_Collection'!$T67)),"YES","NO")</f>
        <v>NO</v>
      </c>
      <c r="AA140" s="252" t="str">
        <f>IF(ISNUMBER(SEARCH("H", 'Dry_Litterbag Placem_Collection'!$T67)),"YES","NO")</f>
        <v>NO</v>
      </c>
      <c r="AB140" s="252" t="str">
        <f>IF(ISNUMBER(SEARCH("R", 'Dry_Litterbag Placem_Collection'!$T67)),"YES","NO")</f>
        <v>NO</v>
      </c>
      <c r="AC140" s="252" t="str">
        <f>IF(ISNUMBER(SEARCH("C", 'Dry_Litterbag Placem_Collection'!$S67)),"YES","NO")</f>
        <v>NO</v>
      </c>
      <c r="AD140" s="252" t="str">
        <f>IF(ISNUMBER(SEARCH("H", 'Dry_Litterbag Placem_Collection'!$S67)),"YES","NO")</f>
        <v>NO</v>
      </c>
      <c r="AE140" s="252" t="str">
        <f>IF(ISNUMBER(SEARCH("R", 'Dry_Litterbag Placem_Collection'!$S67)),"YES","NO")</f>
        <v>NO</v>
      </c>
    </row>
    <row r="141" spans="2:31">
      <c r="B141" t="str">
        <f>'Final data_for_R_analysis_Dryse'!A67</f>
        <v>Dry</v>
      </c>
      <c r="C141" s="260">
        <f>'Final data_for_R_analysis_Dryse'!B67</f>
        <v>66</v>
      </c>
      <c r="D141" t="s">
        <v>3810</v>
      </c>
      <c r="E141" t="s">
        <v>22</v>
      </c>
      <c r="F141" s="381">
        <v>2</v>
      </c>
      <c r="G141" s="16">
        <f>IF('Dry_Litterbag Placem_Collection'!E68="","",'Dry_Litterbag Placem_Collection'!E68)</f>
        <v>42937</v>
      </c>
      <c r="H141" t="str">
        <f>'Final data_for_R_analysis_Dryse'!K67</f>
        <v>G247</v>
      </c>
      <c r="I141" t="str">
        <f>'Final data_for_R_analysis_Dryse'!K287</f>
        <v>R816</v>
      </c>
      <c r="J141">
        <f>IFERROR(INDEX('Green_rooibos initial weight'!$C$5:$C$2000,MATCH(H141, 'Green_rooibos initial weight'!$A$5:$A$2000,0)),"")</f>
        <v>2.13</v>
      </c>
      <c r="K141">
        <f>IFERROR(INDEX('Green_rooibos initial weight'!$C$5:$C$2000,MATCH(I141, 'Green_rooibos initial weight'!$A$5:$A$2000,0)),"")</f>
        <v>2.194</v>
      </c>
      <c r="L141" s="194">
        <f t="shared" ref="L141:L204" si="8">IFERROR(IF(J141&gt;0,(J141*$F$31-($F$29+$F$30)),""),"")</f>
        <v>1.8801999999999999</v>
      </c>
      <c r="M141" s="237">
        <f>AVERAGE(Ashed_controlls!$K$1:$K$11)</f>
        <v>5.5147656768714146</v>
      </c>
      <c r="N141" s="194">
        <f>IFERROR(IF(K141&gt;0,(K141*$F$32-($F$29+$F$30)),""),"")</f>
        <v>1.9441999999999999</v>
      </c>
      <c r="O141" s="16">
        <f>IF('Dry_Litterbag Placem_Collection'!G68="","",'Dry_Litterbag Placem_Collection'!G68)</f>
        <v>43005</v>
      </c>
      <c r="P141" s="194">
        <f>IFERROR(INDEX('Both teabags AfterDry'!$D$3:$D$2000,MATCH(H141,'Both teabags AfterDry'!$A$3:$A$2000,0)),"")</f>
        <v>1.9853000000000001</v>
      </c>
      <c r="Q141" s="194">
        <f>IFERROR(INDEX('Both teabags AfterDry'!$D$3:$D$2000,MATCH(I141,'Both teabags AfterDry'!$A$3:$A$2000,0)),"")</f>
        <v>1.9451000000000001</v>
      </c>
      <c r="R141" s="194">
        <f t="shared" ref="R141:S204" si="9">IFERROR(IF(P141&gt;0,P141-($F$29),""),"")</f>
        <v>1.8347</v>
      </c>
      <c r="S141" s="194">
        <f t="shared" si="9"/>
        <v>1.7945</v>
      </c>
      <c r="T141" s="194">
        <f t="shared" ref="T141:T204" si="10">IFERROR(1-R141/L141,"")</f>
        <v>2.4199553239017013E-2</v>
      </c>
      <c r="U141" s="194">
        <f t="shared" ref="U141:U204" si="11">IFERROR($F$26*(1-X141),"")</f>
        <v>1.5864790246956535E-2</v>
      </c>
      <c r="V141" s="194">
        <f t="shared" ref="V141:V204" si="12">IFERROR(S141/N141,"")</f>
        <v>0.92300174879127661</v>
      </c>
      <c r="W141">
        <f t="shared" ref="W141:W204" si="13">IFERROR(IF((O141-G141)&gt;0,(IFERROR(O141-G141,"")),""),"")</f>
        <v>68</v>
      </c>
      <c r="X141" s="194">
        <f t="shared" ref="X141:X204" si="14">IFERROR(1-(T141/$F$25),"")</f>
        <v>0.97125943795841208</v>
      </c>
      <c r="Y141" s="194" t="str">
        <f t="shared" ref="Y141:Y204" si="15">IFERROR(LN(U141/(V141-(1-U141)))/W141,"")</f>
        <v/>
      </c>
      <c r="Z141" s="252" t="str">
        <f>IF(ISNUMBER(SEARCH("C", 'Dry_Litterbag Placem_Collection'!$T68)),"YES","NO")</f>
        <v>NO</v>
      </c>
      <c r="AA141" s="252" t="str">
        <f>IF(ISNUMBER(SEARCH("H", 'Dry_Litterbag Placem_Collection'!$T68)),"YES","NO")</f>
        <v>NO</v>
      </c>
      <c r="AB141" s="252" t="str">
        <f>IF(ISNUMBER(SEARCH("R", 'Dry_Litterbag Placem_Collection'!$T68)),"YES","NO")</f>
        <v>NO</v>
      </c>
      <c r="AC141" s="252" t="str">
        <f>IF(ISNUMBER(SEARCH("C", 'Dry_Litterbag Placem_Collection'!$S68)),"YES","NO")</f>
        <v>YES</v>
      </c>
      <c r="AD141" s="252" t="str">
        <f>IF(ISNUMBER(SEARCH("H", 'Dry_Litterbag Placem_Collection'!$S68)),"YES","NO")</f>
        <v>YES</v>
      </c>
      <c r="AE141" s="252" t="str">
        <f>IF(ISNUMBER(SEARCH("R", 'Dry_Litterbag Placem_Collection'!$S68)),"YES","NO")</f>
        <v>NO</v>
      </c>
    </row>
    <row r="142" spans="2:31">
      <c r="B142" t="str">
        <f>'Final data_for_R_analysis_Dryse'!A68</f>
        <v>Dry</v>
      </c>
      <c r="C142" s="260">
        <f>'Final data_for_R_analysis_Dryse'!B68</f>
        <v>67</v>
      </c>
      <c r="D142" t="s">
        <v>3810</v>
      </c>
      <c r="E142" t="s">
        <v>22</v>
      </c>
      <c r="F142" s="381">
        <v>3</v>
      </c>
      <c r="G142" s="16" t="str">
        <f>IF('Dry_Litterbag Placem_Collection'!E69="","",'Dry_Litterbag Placem_Collection'!E69)</f>
        <v/>
      </c>
      <c r="H142" t="str">
        <f>'Final data_for_R_analysis_Dryse'!K68</f>
        <v/>
      </c>
      <c r="I142" t="str">
        <f>'Final data_for_R_analysis_Dryse'!K288</f>
        <v/>
      </c>
      <c r="J142" t="str">
        <f>IFERROR(INDEX('Green_rooibos initial weight'!$C$5:$C$2000,MATCH(H142, 'Green_rooibos initial weight'!$A$5:$A$2000,0)),"")</f>
        <v/>
      </c>
      <c r="K142" t="str">
        <f>IFERROR(INDEX('Green_rooibos initial weight'!$C$5:$C$2000,MATCH(I142, 'Green_rooibos initial weight'!$A$5:$A$2000,0)),"")</f>
        <v/>
      </c>
      <c r="L142" s="194" t="str">
        <f t="shared" si="8"/>
        <v/>
      </c>
      <c r="M142" s="237">
        <f>AVERAGE(Ashed_controlls!$K$1:$K$11)</f>
        <v>5.5147656768714146</v>
      </c>
      <c r="N142" s="194" t="str">
        <f>IFERROR(IF(K142&gt;0,(K142*$F$32-($F$29+$F$30)),""),"")</f>
        <v/>
      </c>
      <c r="O142" s="16" t="str">
        <f>IF('Dry_Litterbag Placem_Collection'!G69="","",'Dry_Litterbag Placem_Collection'!G69)</f>
        <v/>
      </c>
      <c r="P142" s="194" t="str">
        <f>IFERROR(INDEX('Both teabags AfterDry'!$D$3:$D$2000,MATCH(H142,'Both teabags AfterDry'!$A$3:$A$2000,0)),"")</f>
        <v/>
      </c>
      <c r="Q142" s="194" t="str">
        <f>IFERROR(INDEX('Both teabags AfterDry'!$D$3:$D$2000,MATCH(I142,'Both teabags AfterDry'!$A$3:$A$2000,0)),"")</f>
        <v/>
      </c>
      <c r="R142" s="194" t="str">
        <f t="shared" si="9"/>
        <v/>
      </c>
      <c r="S142" s="194" t="str">
        <f t="shared" si="9"/>
        <v/>
      </c>
      <c r="T142" s="194" t="str">
        <f t="shared" si="10"/>
        <v/>
      </c>
      <c r="U142" s="194" t="str">
        <f t="shared" si="11"/>
        <v/>
      </c>
      <c r="V142" s="194" t="str">
        <f t="shared" si="12"/>
        <v/>
      </c>
      <c r="W142" t="str">
        <f t="shared" si="13"/>
        <v/>
      </c>
      <c r="X142" s="194" t="str">
        <f t="shared" si="14"/>
        <v/>
      </c>
      <c r="Y142" s="194" t="str">
        <f t="shared" si="15"/>
        <v/>
      </c>
      <c r="Z142" s="252" t="str">
        <f>IF(ISNUMBER(SEARCH("C", 'Dry_Litterbag Placem_Collection'!$T69)),"YES","NO")</f>
        <v>NO</v>
      </c>
      <c r="AA142" s="252" t="str">
        <f>IF(ISNUMBER(SEARCH("H", 'Dry_Litterbag Placem_Collection'!$T69)),"YES","NO")</f>
        <v>NO</v>
      </c>
      <c r="AB142" s="252" t="str">
        <f>IF(ISNUMBER(SEARCH("R", 'Dry_Litterbag Placem_Collection'!$T69)),"YES","NO")</f>
        <v>NO</v>
      </c>
      <c r="AC142" s="252" t="str">
        <f>IF(ISNUMBER(SEARCH("C", 'Dry_Litterbag Placem_Collection'!$S69)),"YES","NO")</f>
        <v>NO</v>
      </c>
      <c r="AD142" s="252" t="str">
        <f>IF(ISNUMBER(SEARCH("H", 'Dry_Litterbag Placem_Collection'!$S69)),"YES","NO")</f>
        <v>NO</v>
      </c>
      <c r="AE142" s="252" t="str">
        <f>IF(ISNUMBER(SEARCH("R", 'Dry_Litterbag Placem_Collection'!$S69)),"YES","NO")</f>
        <v>NO</v>
      </c>
    </row>
    <row r="143" spans="2:31">
      <c r="B143" t="str">
        <f>'Final data_for_R_analysis_Dryse'!A69</f>
        <v>Dry</v>
      </c>
      <c r="C143" s="260">
        <f>'Final data_for_R_analysis_Dryse'!B69</f>
        <v>68</v>
      </c>
      <c r="D143" t="s">
        <v>3810</v>
      </c>
      <c r="E143" t="s">
        <v>22</v>
      </c>
      <c r="F143" s="382">
        <v>4</v>
      </c>
      <c r="G143" s="16">
        <f>IF('Dry_Litterbag Placem_Collection'!E70="","",'Dry_Litterbag Placem_Collection'!E70)</f>
        <v>42937</v>
      </c>
      <c r="H143" t="str">
        <f>'Final data_for_R_analysis_Dryse'!K69</f>
        <v>G63</v>
      </c>
      <c r="I143" t="str">
        <f>'Final data_for_R_analysis_Dryse'!K289</f>
        <v>R815</v>
      </c>
      <c r="J143">
        <f>IFERROR(INDEX('Green_rooibos initial weight'!$C$5:$C$2000,MATCH(H143, 'Green_rooibos initial weight'!$A$5:$A$2000,0)),"")</f>
        <v>2</v>
      </c>
      <c r="K143">
        <f>IFERROR(INDEX('Green_rooibos initial weight'!$C$5:$C$2000,MATCH(I143, 'Green_rooibos initial weight'!$A$5:$A$2000,0)),"")</f>
        <v>2.2130000000000001</v>
      </c>
      <c r="L143" s="194">
        <f t="shared" si="8"/>
        <v>1.7502</v>
      </c>
      <c r="M143" s="237">
        <f>AVERAGE(Ashed_controlls!$K$1:$K$11)</f>
        <v>5.5147656768714146</v>
      </c>
      <c r="N143" s="194">
        <f>IFERROR(IF(K143&gt;0,(K143*$F$32-($F$29+$F$30)),""),"")</f>
        <v>1.9632000000000001</v>
      </c>
      <c r="O143" s="16">
        <f>IF('Dry_Litterbag Placem_Collection'!G70="","",'Dry_Litterbag Placem_Collection'!G70)</f>
        <v>43005</v>
      </c>
      <c r="P143" s="194">
        <f>IFERROR(INDEX('Both teabags AfterDry'!$D$3:$D$2000,MATCH(H143,'Both teabags AfterDry'!$A$3:$A$2000,0)),"")</f>
        <v>1.8152999999999999</v>
      </c>
      <c r="Q143" s="194">
        <f>IFERROR(INDEX('Both teabags AfterDry'!$D$3:$D$2000,MATCH(I143,'Both teabags AfterDry'!$A$3:$A$2000,0)),"")</f>
        <v>1.9467000000000001</v>
      </c>
      <c r="R143" s="194">
        <f t="shared" si="9"/>
        <v>1.6646999999999998</v>
      </c>
      <c r="S143" s="194">
        <f t="shared" si="9"/>
        <v>1.7961</v>
      </c>
      <c r="T143" s="194">
        <f t="shared" si="10"/>
        <v>4.8851559821734725E-2</v>
      </c>
      <c r="U143" s="194">
        <f t="shared" si="11"/>
        <v>3.2026200738239405E-2</v>
      </c>
      <c r="V143" s="194">
        <f t="shared" si="12"/>
        <v>0.91488386308068459</v>
      </c>
      <c r="W143">
        <f t="shared" si="13"/>
        <v>68</v>
      </c>
      <c r="X143" s="194">
        <f t="shared" si="14"/>
        <v>0.94198152040174021</v>
      </c>
      <c r="Y143" s="194" t="str">
        <f t="shared" si="15"/>
        <v/>
      </c>
      <c r="Z143" s="252" t="str">
        <f>IF(ISNUMBER(SEARCH("C", 'Dry_Litterbag Placem_Collection'!$T70)),"YES","NO")</f>
        <v>NO</v>
      </c>
      <c r="AA143" s="252" t="str">
        <f>IF(ISNUMBER(SEARCH("H", 'Dry_Litterbag Placem_Collection'!$T70)),"YES","NO")</f>
        <v>NO</v>
      </c>
      <c r="AB143" s="252" t="str">
        <f>IF(ISNUMBER(SEARCH("R", 'Dry_Litterbag Placem_Collection'!$T70)),"YES","NO")</f>
        <v>NO</v>
      </c>
      <c r="AC143" s="252" t="str">
        <f>IF(ISNUMBER(SEARCH("C", 'Dry_Litterbag Placem_Collection'!$S70)),"YES","NO")</f>
        <v>NO</v>
      </c>
      <c r="AD143" s="252" t="str">
        <f>IF(ISNUMBER(SEARCH("H", 'Dry_Litterbag Placem_Collection'!$S70)),"YES","NO")</f>
        <v>NO</v>
      </c>
      <c r="AE143" s="252" t="str">
        <f>IF(ISNUMBER(SEARCH("R", 'Dry_Litterbag Placem_Collection'!$S70)),"YES","NO")</f>
        <v>NO</v>
      </c>
    </row>
    <row r="144" spans="2:31">
      <c r="B144" t="str">
        <f>'Final data_for_R_analysis_Dryse'!A70</f>
        <v>Dry</v>
      </c>
      <c r="C144" s="260">
        <f>'Final data_for_R_analysis_Dryse'!B70</f>
        <v>69</v>
      </c>
      <c r="D144" t="s">
        <v>3810</v>
      </c>
      <c r="E144" t="s">
        <v>22</v>
      </c>
      <c r="F144" s="382">
        <v>5</v>
      </c>
      <c r="G144" s="16">
        <f>IF('Dry_Litterbag Placem_Collection'!E71="","",'Dry_Litterbag Placem_Collection'!E71)</f>
        <v>42937</v>
      </c>
      <c r="H144" t="str">
        <f>'Final data_for_R_analysis_Dryse'!K70</f>
        <v>G382</v>
      </c>
      <c r="I144" t="str">
        <f>'Final data_for_R_analysis_Dryse'!K290</f>
        <v>R741</v>
      </c>
      <c r="J144">
        <f>IFERROR(INDEX('Green_rooibos initial weight'!$C$5:$C$2000,MATCH(H144, 'Green_rooibos initial weight'!$A$5:$A$2000,0)),"")</f>
        <v>2.0960000000000001</v>
      </c>
      <c r="K144">
        <f>IFERROR(INDEX('Green_rooibos initial weight'!$C$5:$C$2000,MATCH(I144, 'Green_rooibos initial weight'!$A$5:$A$2000,0)),"")</f>
        <v>2.262</v>
      </c>
      <c r="L144" s="194">
        <f t="shared" si="8"/>
        <v>1.8462000000000001</v>
      </c>
      <c r="M144" s="237">
        <f>AVERAGE(Ashed_controlls!$K$1:$K$11)</f>
        <v>5.5147656768714146</v>
      </c>
      <c r="N144" s="194">
        <f>IFERROR(IF(K144&gt;0,(K144*$F$32-($F$29+$F$30)),""),"")</f>
        <v>2.0122</v>
      </c>
      <c r="O144" s="16">
        <f>IF('Dry_Litterbag Placem_Collection'!G71="","",'Dry_Litterbag Placem_Collection'!G71)</f>
        <v>43006</v>
      </c>
      <c r="P144" s="194">
        <f>IFERROR(INDEX('Both teabags AfterDry'!$D$3:$D$2000,MATCH(H144,'Both teabags AfterDry'!$A$3:$A$2000,0)),"")</f>
        <v>1.8677999999999999</v>
      </c>
      <c r="Q144" s="194">
        <f>IFERROR(INDEX('Both teabags AfterDry'!$D$3:$D$2000,MATCH(I144,'Both teabags AfterDry'!$A$3:$A$2000,0)),"")</f>
        <v>1.9702999999999999</v>
      </c>
      <c r="R144" s="194">
        <f t="shared" si="9"/>
        <v>1.7171999999999998</v>
      </c>
      <c r="S144" s="194">
        <f t="shared" si="9"/>
        <v>1.8196999999999999</v>
      </c>
      <c r="T144" s="194">
        <f t="shared" si="10"/>
        <v>6.9873253168670879E-2</v>
      </c>
      <c r="U144" s="194">
        <f t="shared" si="11"/>
        <v>4.5807643407489697E-2</v>
      </c>
      <c r="V144" s="194">
        <f t="shared" si="12"/>
        <v>0.90433356525196296</v>
      </c>
      <c r="W144">
        <f t="shared" si="13"/>
        <v>69</v>
      </c>
      <c r="X144" s="194">
        <f t="shared" si="14"/>
        <v>0.91701513875454765</v>
      </c>
      <c r="Y144" s="194" t="str">
        <f t="shared" si="15"/>
        <v/>
      </c>
      <c r="Z144" s="252" t="str">
        <f>IF(ISNUMBER(SEARCH("C", 'Dry_Litterbag Placem_Collection'!$T71)),"YES","NO")</f>
        <v>YES</v>
      </c>
      <c r="AA144" s="252" t="str">
        <f>IF(ISNUMBER(SEARCH("H", 'Dry_Litterbag Placem_Collection'!$T71)),"YES","NO")</f>
        <v>NO</v>
      </c>
      <c r="AB144" s="252" t="str">
        <f>IF(ISNUMBER(SEARCH("R", 'Dry_Litterbag Placem_Collection'!$T71)),"YES","NO")</f>
        <v>NO</v>
      </c>
      <c r="AC144" s="252" t="str">
        <f>IF(ISNUMBER(SEARCH("C", 'Dry_Litterbag Placem_Collection'!$S71)),"YES","NO")</f>
        <v>NO</v>
      </c>
      <c r="AD144" s="252" t="str">
        <f>IF(ISNUMBER(SEARCH("H", 'Dry_Litterbag Placem_Collection'!$S71)),"YES","NO")</f>
        <v>NO</v>
      </c>
      <c r="AE144" s="252" t="str">
        <f>IF(ISNUMBER(SEARCH("R", 'Dry_Litterbag Placem_Collection'!$S71)),"YES","NO")</f>
        <v>NO</v>
      </c>
    </row>
    <row r="145" spans="2:31">
      <c r="B145" t="str">
        <f>'Final data_for_R_analysis_Dryse'!A71</f>
        <v>Dry</v>
      </c>
      <c r="C145" s="260">
        <f>'Final data_for_R_analysis_Dryse'!B71</f>
        <v>70</v>
      </c>
      <c r="D145" t="s">
        <v>3810</v>
      </c>
      <c r="E145" t="s">
        <v>22</v>
      </c>
      <c r="F145" s="382">
        <v>6</v>
      </c>
      <c r="G145" s="16">
        <f>IF('Dry_Litterbag Placem_Collection'!E72="","",'Dry_Litterbag Placem_Collection'!E72)</f>
        <v>42937</v>
      </c>
      <c r="H145" t="str">
        <f>'Final data_for_R_analysis_Dryse'!K71</f>
        <v>G278</v>
      </c>
      <c r="I145" t="str">
        <f>'Final data_for_R_analysis_Dryse'!K291</f>
        <v>R294</v>
      </c>
      <c r="J145">
        <f>IFERROR(INDEX('Green_rooibos initial weight'!$C$5:$C$2000,MATCH(H145, 'Green_rooibos initial weight'!$A$5:$A$2000,0)),"")</f>
        <v>2.0049999999999999</v>
      </c>
      <c r="K145">
        <f>IFERROR(INDEX('Green_rooibos initial weight'!$C$5:$C$2000,MATCH(I145, 'Green_rooibos initial weight'!$A$5:$A$2000,0)),"")</f>
        <v>2.226</v>
      </c>
      <c r="L145" s="194">
        <f t="shared" si="8"/>
        <v>1.7551999999999999</v>
      </c>
      <c r="M145" s="237">
        <f>AVERAGE(Ashed_controlls!$K$1:$K$11)</f>
        <v>5.5147656768714146</v>
      </c>
      <c r="N145" s="194">
        <f>IFERROR(IF(K145&gt;0,(K145*$F$32-($F$29+$F$30)),""),"")</f>
        <v>1.9762</v>
      </c>
      <c r="O145" s="16">
        <f>IF('Dry_Litterbag Placem_Collection'!G72="","",'Dry_Litterbag Placem_Collection'!G72)</f>
        <v>43006</v>
      </c>
      <c r="P145" s="194">
        <f>IFERROR(INDEX('Both teabags AfterDry'!$D$3:$D$2000,MATCH(H145,'Both teabags AfterDry'!$A$3:$A$2000,0)),"")</f>
        <v>1.8243</v>
      </c>
      <c r="Q145" s="194">
        <f>IFERROR(INDEX('Both teabags AfterDry'!$D$3:$D$2000,MATCH(I145,'Both teabags AfterDry'!$A$3:$A$2000,0)),"")</f>
        <v>0.51</v>
      </c>
      <c r="R145" s="194">
        <f t="shared" si="9"/>
        <v>1.6737</v>
      </c>
      <c r="S145" s="194">
        <f t="shared" si="9"/>
        <v>0.3594</v>
      </c>
      <c r="T145" s="194">
        <f t="shared" si="10"/>
        <v>4.6433454876937064E-2</v>
      </c>
      <c r="U145" s="194">
        <f t="shared" si="11"/>
        <v>3.0440934788680849E-2</v>
      </c>
      <c r="V145" s="194">
        <f t="shared" si="12"/>
        <v>0.18186418378706609</v>
      </c>
      <c r="W145">
        <f t="shared" si="13"/>
        <v>69</v>
      </c>
      <c r="X145" s="194">
        <f t="shared" si="14"/>
        <v>0.94485337900601296</v>
      </c>
      <c r="Y145" s="194" t="str">
        <f t="shared" si="15"/>
        <v/>
      </c>
      <c r="Z145" s="252" t="str">
        <f>IF(ISNUMBER(SEARCH("C", 'Dry_Litterbag Placem_Collection'!$T72)),"YES","NO")</f>
        <v>YES</v>
      </c>
      <c r="AA145" s="252" t="str">
        <f>IF(ISNUMBER(SEARCH("H", 'Dry_Litterbag Placem_Collection'!$T72)),"YES","NO")</f>
        <v>YES</v>
      </c>
      <c r="AB145" s="252" t="str">
        <f>IF(ISNUMBER(SEARCH("R", 'Dry_Litterbag Placem_Collection'!$T72)),"YES","NO")</f>
        <v>NO</v>
      </c>
      <c r="AC145" s="252" t="str">
        <f>IF(ISNUMBER(SEARCH("C", 'Dry_Litterbag Placem_Collection'!$S72)),"YES","NO")</f>
        <v>NO</v>
      </c>
      <c r="AD145" s="252" t="str">
        <f>IF(ISNUMBER(SEARCH("H", 'Dry_Litterbag Placem_Collection'!$S72)),"YES","NO")</f>
        <v>NO</v>
      </c>
      <c r="AE145" s="252" t="str">
        <f>IF(ISNUMBER(SEARCH("R", 'Dry_Litterbag Placem_Collection'!$S72)),"YES","NO")</f>
        <v>NO</v>
      </c>
    </row>
    <row r="146" spans="2:31">
      <c r="B146" t="str">
        <f>'Final data_for_R_analysis_Dryse'!A72</f>
        <v>Dry</v>
      </c>
      <c r="C146" s="260">
        <f>'Final data_for_R_analysis_Dryse'!B72</f>
        <v>71</v>
      </c>
      <c r="D146" t="s">
        <v>3810</v>
      </c>
      <c r="E146" t="s">
        <v>22</v>
      </c>
      <c r="F146" s="382">
        <v>7</v>
      </c>
      <c r="G146" s="16">
        <f>IF('Dry_Litterbag Placem_Collection'!E73="","",'Dry_Litterbag Placem_Collection'!E73)</f>
        <v>42937</v>
      </c>
      <c r="H146" t="str">
        <f>'Final data_for_R_analysis_Dryse'!K72</f>
        <v>G138</v>
      </c>
      <c r="I146" t="str">
        <f>'Final data_for_R_analysis_Dryse'!K292</f>
        <v>R761</v>
      </c>
      <c r="J146">
        <f>IFERROR(INDEX('Green_rooibos initial weight'!$C$5:$C$2000,MATCH(H146, 'Green_rooibos initial weight'!$A$5:$A$2000,0)),"")</f>
        <v>1.956</v>
      </c>
      <c r="K146">
        <f>IFERROR(INDEX('Green_rooibos initial weight'!$C$5:$C$2000,MATCH(I146, 'Green_rooibos initial weight'!$A$5:$A$2000,0)),"")</f>
        <v>2.1509999999999998</v>
      </c>
      <c r="L146" s="194">
        <f t="shared" si="8"/>
        <v>1.7061999999999999</v>
      </c>
      <c r="M146" s="237">
        <f>AVERAGE(Ashed_controlls!$K$1:$K$11)</f>
        <v>5.5147656768714146</v>
      </c>
      <c r="N146" s="194">
        <f>IFERROR(IF(K146&gt;0,(K146*$F$32-($F$29+$F$30)),""),"")</f>
        <v>1.9011999999999998</v>
      </c>
      <c r="O146" s="16">
        <f>IF('Dry_Litterbag Placem_Collection'!G73="","",'Dry_Litterbag Placem_Collection'!G73)</f>
        <v>43006</v>
      </c>
      <c r="P146" s="194">
        <f>IFERROR(INDEX('Both teabags AfterDry'!$D$3:$D$2000,MATCH(H146,'Both teabags AfterDry'!$A$3:$A$2000,0)),"")</f>
        <v>1.782</v>
      </c>
      <c r="Q146" s="194">
        <f>IFERROR(INDEX('Both teabags AfterDry'!$D$3:$D$2000,MATCH(I146,'Both teabags AfterDry'!$A$3:$A$2000,0)),"")</f>
        <v>1.9017999999999999</v>
      </c>
      <c r="R146" s="194">
        <f t="shared" si="9"/>
        <v>1.6314</v>
      </c>
      <c r="S146" s="194">
        <f t="shared" si="9"/>
        <v>1.7511999999999999</v>
      </c>
      <c r="T146" s="194">
        <f t="shared" si="10"/>
        <v>4.3840112530770137E-2</v>
      </c>
      <c r="U146" s="194">
        <f t="shared" si="11"/>
        <v>2.8740786362215082E-2</v>
      </c>
      <c r="V146" s="194">
        <f t="shared" si="12"/>
        <v>0.92110246160319798</v>
      </c>
      <c r="W146">
        <f t="shared" si="13"/>
        <v>69</v>
      </c>
      <c r="X146" s="194">
        <f t="shared" si="14"/>
        <v>0.94793335803946543</v>
      </c>
      <c r="Y146" s="194" t="str">
        <f t="shared" si="15"/>
        <v/>
      </c>
      <c r="Z146" s="252" t="str">
        <f>IF(ISNUMBER(SEARCH("C", 'Dry_Litterbag Placem_Collection'!$T73)),"YES","NO")</f>
        <v>NO</v>
      </c>
      <c r="AA146" s="252" t="str">
        <f>IF(ISNUMBER(SEARCH("H", 'Dry_Litterbag Placem_Collection'!$T73)),"YES","NO")</f>
        <v>NO</v>
      </c>
      <c r="AB146" s="252" t="str">
        <f>IF(ISNUMBER(SEARCH("R", 'Dry_Litterbag Placem_Collection'!$T73)),"YES","NO")</f>
        <v>NO</v>
      </c>
      <c r="AC146" s="252" t="str">
        <f>IF(ISNUMBER(SEARCH("C", 'Dry_Litterbag Placem_Collection'!$S73)),"YES","NO")</f>
        <v>NO</v>
      </c>
      <c r="AD146" s="252" t="str">
        <f>IF(ISNUMBER(SEARCH("H", 'Dry_Litterbag Placem_Collection'!$S73)),"YES","NO")</f>
        <v>NO</v>
      </c>
      <c r="AE146" s="252" t="str">
        <f>IF(ISNUMBER(SEARCH("R", 'Dry_Litterbag Placem_Collection'!$S73)),"YES","NO")</f>
        <v>NO</v>
      </c>
    </row>
    <row r="147" spans="2:31">
      <c r="B147" t="str">
        <f>'Final data_for_R_analysis_Dryse'!A73</f>
        <v>Dry</v>
      </c>
      <c r="C147" s="260">
        <f>'Final data_for_R_analysis_Dryse'!B73</f>
        <v>72</v>
      </c>
      <c r="D147" t="s">
        <v>3810</v>
      </c>
      <c r="E147" t="s">
        <v>22</v>
      </c>
      <c r="F147" s="382">
        <v>8</v>
      </c>
      <c r="G147" s="16">
        <f>IF('Dry_Litterbag Placem_Collection'!E74="","",'Dry_Litterbag Placem_Collection'!E74)</f>
        <v>42937</v>
      </c>
      <c r="H147" t="str">
        <f>'Final data_for_R_analysis_Dryse'!K73</f>
        <v>G431</v>
      </c>
      <c r="I147" t="str">
        <f>'Final data_for_R_analysis_Dryse'!K293</f>
        <v>R780</v>
      </c>
      <c r="J147">
        <f>IFERROR(INDEX('Green_rooibos initial weight'!$C$5:$C$2000,MATCH(H147, 'Green_rooibos initial weight'!$A$5:$A$2000,0)),"")</f>
        <v>2.08</v>
      </c>
      <c r="K147">
        <f>IFERROR(INDEX('Green_rooibos initial weight'!$C$5:$C$2000,MATCH(I147, 'Green_rooibos initial weight'!$A$5:$A$2000,0)),"")</f>
        <v>2.19</v>
      </c>
      <c r="L147" s="194">
        <f t="shared" si="8"/>
        <v>1.8302</v>
      </c>
      <c r="M147" s="237">
        <f>AVERAGE(Ashed_controlls!$K$1:$K$11)</f>
        <v>5.5147656768714146</v>
      </c>
      <c r="N147" s="194">
        <f>IFERROR(IF(K147&gt;0,(K147*$F$32-($F$29+$F$30)),""),"")</f>
        <v>1.9401999999999999</v>
      </c>
      <c r="O147" s="16">
        <f>IF('Dry_Litterbag Placem_Collection'!G74="","",'Dry_Litterbag Placem_Collection'!G74)</f>
        <v>43006</v>
      </c>
      <c r="P147" s="194">
        <f>IFERROR(INDEX('Both teabags AfterDry'!$D$3:$D$2000,MATCH(H147,'Both teabags AfterDry'!$A$3:$A$2000,0)),"")</f>
        <v>1.8758999999999999</v>
      </c>
      <c r="Q147" s="194">
        <f>IFERROR(INDEX('Both teabags AfterDry'!$D$3:$D$2000,MATCH(I147,'Both teabags AfterDry'!$A$3:$A$2000,0)),"")</f>
        <v>1.9477</v>
      </c>
      <c r="R147" s="194">
        <f t="shared" si="9"/>
        <v>1.7252999999999998</v>
      </c>
      <c r="S147" s="194">
        <f t="shared" si="9"/>
        <v>1.7970999999999999</v>
      </c>
      <c r="T147" s="194">
        <f t="shared" si="10"/>
        <v>5.7316140312534292E-2</v>
      </c>
      <c r="U147" s="194">
        <f t="shared" si="11"/>
        <v>3.7575426903229119E-2</v>
      </c>
      <c r="V147" s="194">
        <f t="shared" si="12"/>
        <v>0.92624471703948041</v>
      </c>
      <c r="W147">
        <f t="shared" si="13"/>
        <v>69</v>
      </c>
      <c r="X147" s="194">
        <f t="shared" si="14"/>
        <v>0.9319285744506719</v>
      </c>
      <c r="Y147" s="194" t="str">
        <f t="shared" si="15"/>
        <v/>
      </c>
      <c r="Z147" s="252" t="str">
        <f>IF(ISNUMBER(SEARCH("C", 'Dry_Litterbag Placem_Collection'!$T74)),"YES","NO")</f>
        <v>NO</v>
      </c>
      <c r="AA147" s="252" t="str">
        <f>IF(ISNUMBER(SEARCH("H", 'Dry_Litterbag Placem_Collection'!$T74)),"YES","NO")</f>
        <v>NO</v>
      </c>
      <c r="AB147" s="252" t="str">
        <f>IF(ISNUMBER(SEARCH("R", 'Dry_Litterbag Placem_Collection'!$T74)),"YES","NO")</f>
        <v>NO</v>
      </c>
      <c r="AC147" s="252" t="str">
        <f>IF(ISNUMBER(SEARCH("C", 'Dry_Litterbag Placem_Collection'!$S74)),"YES","NO")</f>
        <v>NO</v>
      </c>
      <c r="AD147" s="252" t="str">
        <f>IF(ISNUMBER(SEARCH("H", 'Dry_Litterbag Placem_Collection'!$S74)),"YES","NO")</f>
        <v>NO</v>
      </c>
      <c r="AE147" s="252" t="str">
        <f>IF(ISNUMBER(SEARCH("R", 'Dry_Litterbag Placem_Collection'!$S74)),"YES","NO")</f>
        <v>NO</v>
      </c>
    </row>
    <row r="148" spans="2:31">
      <c r="B148" t="str">
        <f>'Final data_for_R_analysis_Dryse'!A74</f>
        <v>Dry</v>
      </c>
      <c r="C148" s="260">
        <f>'Final data_for_R_analysis_Dryse'!B74</f>
        <v>73</v>
      </c>
      <c r="D148" t="s">
        <v>3812</v>
      </c>
      <c r="E148" t="s">
        <v>22</v>
      </c>
      <c r="F148" s="381">
        <v>1</v>
      </c>
      <c r="G148" s="16">
        <f>IF('Dry_Litterbag Placem_Collection'!E75="","",'Dry_Litterbag Placem_Collection'!E75)</f>
        <v>42937</v>
      </c>
      <c r="H148" t="str">
        <f>'Final data_for_R_analysis_Dryse'!K74</f>
        <v>G321</v>
      </c>
      <c r="I148" t="str">
        <f>'Final data_for_R_analysis_Dryse'!K294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8"/>
        <v>1.6681999999999999</v>
      </c>
      <c r="M148" s="237">
        <f>AVERAGE(Ashed_controlls!$K$1:$K$11)</f>
        <v>5.5147656768714146</v>
      </c>
      <c r="N148" s="194">
        <f>IFERROR(IF(K148&gt;0,(K148*$F$32-($F$29+$F$30)),""),"")</f>
        <v>1.9011999999999998</v>
      </c>
      <c r="O148" s="16">
        <f>IF('Dry_Litterbag Placem_Collection'!G75="","",'Dry_Litterbag Placem_Collection'!G75)</f>
        <v>43006</v>
      </c>
      <c r="P148" s="194" t="str">
        <f>IFERROR(INDEX('Both teabags AfterDry'!$D$3:$D$2000,MATCH(H148,'Both teabags AfterDry'!$A$3:$A$2000,0)),"")</f>
        <v/>
      </c>
      <c r="Q148" s="194" t="str">
        <f>IFERROR(INDEX('Both teabags AfterDry'!$D$3:$D$2000,MATCH(I148,'Both teabags AfterDry'!$A$3:$A$2000,0)),"")</f>
        <v/>
      </c>
      <c r="R148" s="194" t="str">
        <f t="shared" si="9"/>
        <v/>
      </c>
      <c r="S148" s="194" t="str">
        <f t="shared" si="9"/>
        <v/>
      </c>
      <c r="T148" s="194" t="str">
        <f t="shared" si="10"/>
        <v/>
      </c>
      <c r="U148" s="194" t="str">
        <f t="shared" si="11"/>
        <v/>
      </c>
      <c r="V148" s="194" t="str">
        <f t="shared" si="12"/>
        <v/>
      </c>
      <c r="W148">
        <f t="shared" si="13"/>
        <v>69</v>
      </c>
      <c r="X148" s="194" t="str">
        <f t="shared" si="14"/>
        <v/>
      </c>
      <c r="Y148" s="194" t="str">
        <f t="shared" si="15"/>
        <v/>
      </c>
      <c r="Z148" s="252" t="str">
        <f>IF(ISNUMBER(SEARCH("C", 'Dry_Litterbag Placem_Collection'!$T75)),"YES","NO")</f>
        <v>NO</v>
      </c>
      <c r="AA148" s="252" t="str">
        <f>IF(ISNUMBER(SEARCH("H", 'Dry_Litterbag Placem_Collection'!$T75)),"YES","NO")</f>
        <v>NO</v>
      </c>
      <c r="AB148" s="252" t="str">
        <f>IF(ISNUMBER(SEARCH("R", 'Dry_Litterbag Placem_Collection'!$T75)),"YES","NO")</f>
        <v>NO</v>
      </c>
      <c r="AC148" s="252" t="str">
        <f>IF(ISNUMBER(SEARCH("C", 'Dry_Litterbag Placem_Collection'!$S75)),"YES","NO")</f>
        <v>NO</v>
      </c>
      <c r="AD148" s="252" t="str">
        <f>IF(ISNUMBER(SEARCH("H", 'Dry_Litterbag Placem_Collection'!$S75)),"YES","NO")</f>
        <v>NO</v>
      </c>
      <c r="AE148" s="252" t="str">
        <f>IF(ISNUMBER(SEARCH("R", 'Dry_Litterbag Placem_Collection'!$S75)),"YES","NO")</f>
        <v>NO</v>
      </c>
    </row>
    <row r="149" spans="2:31">
      <c r="B149" t="str">
        <f>'Final data_for_R_analysis_Dryse'!A75</f>
        <v>Dry</v>
      </c>
      <c r="C149" s="260">
        <f>'Final data_for_R_analysis_Dryse'!B75</f>
        <v>74</v>
      </c>
      <c r="D149" t="s">
        <v>3812</v>
      </c>
      <c r="E149" t="s">
        <v>22</v>
      </c>
      <c r="F149" s="381">
        <v>2</v>
      </c>
      <c r="G149" s="16">
        <f>IF('Dry_Litterbag Placem_Collection'!E76="","",'Dry_Litterbag Placem_Collection'!E76)</f>
        <v>42937</v>
      </c>
      <c r="H149" t="str">
        <f>'Final data_for_R_analysis_Dryse'!K75</f>
        <v>G329</v>
      </c>
      <c r="I149" t="str">
        <f>'Final data_for_R_analysis_Dryse'!K295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8"/>
        <v>1.7052</v>
      </c>
      <c r="M149" s="237">
        <f>AVERAGE(Ashed_controlls!$K$1:$K$11)</f>
        <v>5.5147656768714146</v>
      </c>
      <c r="N149" s="194">
        <f>IFERROR(IF(K149&gt;0,(K149*$F$32-($F$29+$F$30)),""),"")</f>
        <v>1.8921999999999999</v>
      </c>
      <c r="O149" s="16">
        <f>IF('Dry_Litterbag Placem_Collection'!G76="","",'Dry_Litterbag Placem_Collection'!G76)</f>
        <v>43006</v>
      </c>
      <c r="P149" s="194">
        <f>IFERROR(INDEX('Both teabags AfterDry'!$D$3:$D$2000,MATCH(H149,'Both teabags AfterDry'!$A$3:$A$2000,0)),"")</f>
        <v>1.7850999999999999</v>
      </c>
      <c r="Q149" s="194">
        <f>IFERROR(INDEX('Both teabags AfterDry'!$D$3:$D$2000,MATCH(I149,'Both teabags AfterDry'!$A$3:$A$2000,0)),"")</f>
        <v>1.8925000000000001</v>
      </c>
      <c r="R149" s="194">
        <f t="shared" si="9"/>
        <v>1.6344999999999998</v>
      </c>
      <c r="S149" s="194">
        <f t="shared" si="9"/>
        <v>1.7419</v>
      </c>
      <c r="T149" s="194">
        <f t="shared" si="10"/>
        <v>4.1461412151067467E-2</v>
      </c>
      <c r="U149" s="194">
        <f t="shared" si="11"/>
        <v>2.718135333419153E-2</v>
      </c>
      <c r="V149" s="194">
        <f t="shared" si="12"/>
        <v>0.92056865024838819</v>
      </c>
      <c r="W149">
        <f t="shared" si="13"/>
        <v>69</v>
      </c>
      <c r="X149" s="194">
        <f t="shared" si="14"/>
        <v>0.95075841787284143</v>
      </c>
      <c r="Y149" s="194" t="str">
        <f t="shared" si="15"/>
        <v/>
      </c>
      <c r="Z149" s="252" t="str">
        <f>IF(ISNUMBER(SEARCH("C", 'Dry_Litterbag Placem_Collection'!$T76)),"YES","NO")</f>
        <v>NO</v>
      </c>
      <c r="AA149" s="252" t="str">
        <f>IF(ISNUMBER(SEARCH("H", 'Dry_Litterbag Placem_Collection'!$T76)),"YES","NO")</f>
        <v>NO</v>
      </c>
      <c r="AB149" s="252" t="str">
        <f>IF(ISNUMBER(SEARCH("R", 'Dry_Litterbag Placem_Collection'!$T76)),"YES","NO")</f>
        <v>NO</v>
      </c>
      <c r="AC149" s="252" t="str">
        <f>IF(ISNUMBER(SEARCH("C", 'Dry_Litterbag Placem_Collection'!$S76)),"YES","NO")</f>
        <v>NO</v>
      </c>
      <c r="AD149" s="252" t="str">
        <f>IF(ISNUMBER(SEARCH("H", 'Dry_Litterbag Placem_Collection'!$S76)),"YES","NO")</f>
        <v>NO</v>
      </c>
      <c r="AE149" s="252" t="str">
        <f>IF(ISNUMBER(SEARCH("R", 'Dry_Litterbag Placem_Collection'!$S76)),"YES","NO")</f>
        <v>NO</v>
      </c>
    </row>
    <row r="150" spans="2:31">
      <c r="B150" t="str">
        <f>'Final data_for_R_analysis_Dryse'!A76</f>
        <v>Dry</v>
      </c>
      <c r="C150" s="260">
        <f>'Final data_for_R_analysis_Dryse'!B76</f>
        <v>75</v>
      </c>
      <c r="D150" t="s">
        <v>3812</v>
      </c>
      <c r="E150" t="s">
        <v>22</v>
      </c>
      <c r="F150" s="381">
        <v>3</v>
      </c>
      <c r="G150" s="16">
        <f>IF('Dry_Litterbag Placem_Collection'!E77="","",'Dry_Litterbag Placem_Collection'!E77)</f>
        <v>42937</v>
      </c>
      <c r="H150" t="str">
        <f>'Final data_for_R_analysis_Dryse'!K76</f>
        <v>G215</v>
      </c>
      <c r="I150" t="str">
        <f>'Final data_for_R_analysis_Dryse'!K296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8"/>
        <v>1.8081999999999998</v>
      </c>
      <c r="M150" s="237">
        <f>AVERAGE(Ashed_controlls!$K$1:$K$11)</f>
        <v>5.5147656768714146</v>
      </c>
      <c r="N150" s="194">
        <f>IFERROR(IF(K150&gt;0,(K150*$F$32-($F$29+$F$30)),""),"")</f>
        <v>2.0512000000000001</v>
      </c>
      <c r="O150" s="16">
        <f>IF('Dry_Litterbag Placem_Collection'!G77="","",'Dry_Litterbag Placem_Collection'!G77)</f>
        <v>43006</v>
      </c>
      <c r="P150" s="194">
        <f>IFERROR(INDEX('Both teabags AfterDry'!$D$3:$D$2000,MATCH(H150,'Both teabags AfterDry'!$A$3:$A$2000,0)),"")</f>
        <v>1.9146000000000001</v>
      </c>
      <c r="Q150" s="194">
        <f>IFERROR(INDEX('Both teabags AfterDry'!$D$3:$D$2000,MATCH(I150,'Both teabags AfterDry'!$A$3:$A$2000,0)),"")</f>
        <v>2.0405000000000002</v>
      </c>
      <c r="R150" s="194">
        <f t="shared" si="9"/>
        <v>1.764</v>
      </c>
      <c r="S150" s="194">
        <f t="shared" si="9"/>
        <v>1.8899000000000001</v>
      </c>
      <c r="T150" s="194">
        <f t="shared" si="10"/>
        <v>2.4444198650591664E-2</v>
      </c>
      <c r="U150" s="194">
        <f t="shared" si="11"/>
        <v>1.602517536238315E-2</v>
      </c>
      <c r="V150" s="194">
        <f t="shared" si="12"/>
        <v>0.92136310452418102</v>
      </c>
      <c r="W150">
        <f t="shared" si="13"/>
        <v>69</v>
      </c>
      <c r="X150" s="194">
        <f t="shared" si="14"/>
        <v>0.97096888521307401</v>
      </c>
      <c r="Y150" s="194" t="str">
        <f t="shared" si="15"/>
        <v/>
      </c>
      <c r="Z150" s="252" t="str">
        <f>IF(ISNUMBER(SEARCH("C", 'Dry_Litterbag Placem_Collection'!$T77)),"YES","NO")</f>
        <v>NO</v>
      </c>
      <c r="AA150" s="252" t="str">
        <f>IF(ISNUMBER(SEARCH("H", 'Dry_Litterbag Placem_Collection'!$T77)),"YES","NO")</f>
        <v>NO</v>
      </c>
      <c r="AB150" s="252" t="str">
        <f>IF(ISNUMBER(SEARCH("R", 'Dry_Litterbag Placem_Collection'!$T77)),"YES","NO")</f>
        <v>NO</v>
      </c>
      <c r="AC150" s="252" t="str">
        <f>IF(ISNUMBER(SEARCH("C", 'Dry_Litterbag Placem_Collection'!$S77)),"YES","NO")</f>
        <v>NO</v>
      </c>
      <c r="AD150" s="252" t="str">
        <f>IF(ISNUMBER(SEARCH("H", 'Dry_Litterbag Placem_Collection'!$S77)),"YES","NO")</f>
        <v>YES</v>
      </c>
      <c r="AE150" s="252" t="str">
        <f>IF(ISNUMBER(SEARCH("R", 'Dry_Litterbag Placem_Collection'!$S77)),"YES","NO")</f>
        <v>NO</v>
      </c>
    </row>
    <row r="151" spans="2:31">
      <c r="B151" t="str">
        <f>'Final data_for_R_analysis_Dryse'!A77</f>
        <v>Dry</v>
      </c>
      <c r="C151" s="260">
        <f>'Final data_for_R_analysis_Dryse'!B77</f>
        <v>76</v>
      </c>
      <c r="D151" t="s">
        <v>3812</v>
      </c>
      <c r="E151" t="s">
        <v>22</v>
      </c>
      <c r="F151" s="382">
        <v>4</v>
      </c>
      <c r="G151" s="16">
        <f>IF('Dry_Litterbag Placem_Collection'!E78="","",'Dry_Litterbag Placem_Collection'!E78)</f>
        <v>42937</v>
      </c>
      <c r="H151" t="str">
        <f>'Final data_for_R_analysis_Dryse'!K77</f>
        <v>G60</v>
      </c>
      <c r="I151" t="str">
        <f>'Final data_for_R_analysis_Dryse'!K297</f>
        <v>R770</v>
      </c>
      <c r="J151">
        <f>IFERROR(INDEX('Green_rooibos initial weight'!$C$5:$C$2000,MATCH(H151, 'Green_rooibos initial weight'!$A$5:$A$2000,0)),"")</f>
        <v>2.1230000000000002</v>
      </c>
      <c r="K151">
        <f>IFERROR(INDEX('Green_rooibos initial weight'!$C$5:$C$2000,MATCH(I151, 'Green_rooibos initial weight'!$A$5:$A$2000,0)),"")</f>
        <v>2.206</v>
      </c>
      <c r="L151" s="194">
        <f t="shared" si="8"/>
        <v>1.8732000000000002</v>
      </c>
      <c r="M151" s="237">
        <f>AVERAGE(Ashed_controlls!$K$1:$K$11)</f>
        <v>5.5147656768714146</v>
      </c>
      <c r="N151" s="194">
        <f>IFERROR(IF(K151&gt;0,(K151*$F$32-($F$29+$F$30)),""),"")</f>
        <v>1.9561999999999999</v>
      </c>
      <c r="O151" s="16">
        <f>IF('Dry_Litterbag Placem_Collection'!G78="","",'Dry_Litterbag Placem_Collection'!G78)</f>
        <v>43006</v>
      </c>
      <c r="P151" s="194">
        <f>IFERROR(INDEX('Both teabags AfterDry'!$D$3:$D$2000,MATCH(H151,'Both teabags AfterDry'!$A$3:$A$2000,0)),"")</f>
        <v>1.9540999999999999</v>
      </c>
      <c r="Q151" s="194">
        <f>IFERROR(INDEX('Both teabags AfterDry'!$D$3:$D$2000,MATCH(I151,'Both teabags AfterDry'!$A$3:$A$2000,0)),"")</f>
        <v>1.9444999999999999</v>
      </c>
      <c r="R151" s="194">
        <f t="shared" si="9"/>
        <v>1.8034999999999999</v>
      </c>
      <c r="S151" s="194">
        <f t="shared" si="9"/>
        <v>1.7938999999999998</v>
      </c>
      <c r="T151" s="194">
        <f t="shared" si="10"/>
        <v>3.7209054025197696E-2</v>
      </c>
      <c r="U151" s="194">
        <f t="shared" si="11"/>
        <v>2.4393584111531062E-2</v>
      </c>
      <c r="V151" s="194">
        <f t="shared" si="12"/>
        <v>0.91703302320826086</v>
      </c>
      <c r="W151">
        <f t="shared" si="13"/>
        <v>69</v>
      </c>
      <c r="X151" s="194">
        <f t="shared" si="14"/>
        <v>0.95580872443563214</v>
      </c>
      <c r="Y151" s="194" t="str">
        <f t="shared" si="15"/>
        <v/>
      </c>
      <c r="Z151" s="252" t="str">
        <f>IF(ISNUMBER(SEARCH("C", 'Dry_Litterbag Placem_Collection'!$T78)),"YES","NO")</f>
        <v>NO</v>
      </c>
      <c r="AA151" s="252" t="str">
        <f>IF(ISNUMBER(SEARCH("H", 'Dry_Litterbag Placem_Collection'!$T78)),"YES","NO")</f>
        <v>NO</v>
      </c>
      <c r="AB151" s="252" t="str">
        <f>IF(ISNUMBER(SEARCH("R", 'Dry_Litterbag Placem_Collection'!$T78)),"YES","NO")</f>
        <v>NO</v>
      </c>
      <c r="AC151" s="252" t="str">
        <f>IF(ISNUMBER(SEARCH("C", 'Dry_Litterbag Placem_Collection'!$S78)),"YES","NO")</f>
        <v>NO</v>
      </c>
      <c r="AD151" s="252" t="str">
        <f>IF(ISNUMBER(SEARCH("H", 'Dry_Litterbag Placem_Collection'!$S78)),"YES","NO")</f>
        <v>NO</v>
      </c>
      <c r="AE151" s="252" t="str">
        <f>IF(ISNUMBER(SEARCH("R", 'Dry_Litterbag Placem_Collection'!$S78)),"YES","NO")</f>
        <v>NO</v>
      </c>
    </row>
    <row r="152" spans="2:31">
      <c r="B152" t="str">
        <f>'Final data_for_R_analysis_Dryse'!A78</f>
        <v>Dry</v>
      </c>
      <c r="C152" s="260">
        <f>'Final data_for_R_analysis_Dryse'!B78</f>
        <v>77</v>
      </c>
      <c r="D152" t="s">
        <v>3812</v>
      </c>
      <c r="E152" t="s">
        <v>22</v>
      </c>
      <c r="F152" s="382">
        <v>5</v>
      </c>
      <c r="G152" s="16" t="str">
        <f>IF('Dry_Litterbag Placem_Collection'!E79="","",'Dry_Litterbag Placem_Collection'!E79)</f>
        <v/>
      </c>
      <c r="H152" t="str">
        <f>'Final data_for_R_analysis_Dryse'!K78</f>
        <v/>
      </c>
      <c r="I152" t="str">
        <f>'Final data_for_R_analysis_Dryse'!K298</f>
        <v/>
      </c>
      <c r="J152" t="str">
        <f>IFERROR(INDEX('Green_rooibos initial weight'!$C$5:$C$2000,MATCH(H152, 'Green_rooibos initial weight'!$A$5:$A$2000,0)),"")</f>
        <v/>
      </c>
      <c r="K152" t="str">
        <f>IFERROR(INDEX('Green_rooibos initial weight'!$C$5:$C$2000,MATCH(I152, 'Green_rooibos initial weight'!$A$5:$A$2000,0)),"")</f>
        <v/>
      </c>
      <c r="L152" s="194" t="str">
        <f t="shared" si="8"/>
        <v/>
      </c>
      <c r="M152" s="237">
        <f>AVERAGE(Ashed_controlls!$K$1:$K$11)</f>
        <v>5.5147656768714146</v>
      </c>
      <c r="N152" s="194" t="str">
        <f>IFERROR(IF(K152&gt;0,(K152*$F$32-($F$29+$F$30)),""),"")</f>
        <v/>
      </c>
      <c r="O152" s="16" t="str">
        <f>IF('Dry_Litterbag Placem_Collection'!G79="","",'Dry_Litterbag Placem_Collection'!G79)</f>
        <v/>
      </c>
      <c r="P152" s="194" t="str">
        <f>IFERROR(INDEX('Both teabags AfterDry'!$D$3:$D$2000,MATCH(H152,'Both teabags AfterDry'!$A$3:$A$2000,0)),"")</f>
        <v/>
      </c>
      <c r="Q152" s="194" t="str">
        <f>IFERROR(INDEX('Both teabags AfterDry'!$D$3:$D$2000,MATCH(I152,'Both teabags AfterDry'!$A$3:$A$2000,0)),"")</f>
        <v/>
      </c>
      <c r="R152" s="194" t="str">
        <f t="shared" si="9"/>
        <v/>
      </c>
      <c r="S152" s="194" t="str">
        <f t="shared" si="9"/>
        <v/>
      </c>
      <c r="T152" s="194" t="str">
        <f t="shared" si="10"/>
        <v/>
      </c>
      <c r="U152" s="194" t="str">
        <f t="shared" si="11"/>
        <v/>
      </c>
      <c r="V152" s="194" t="str">
        <f t="shared" si="12"/>
        <v/>
      </c>
      <c r="W152" t="str">
        <f t="shared" si="13"/>
        <v/>
      </c>
      <c r="X152" s="194" t="str">
        <f t="shared" si="14"/>
        <v/>
      </c>
      <c r="Y152" s="194" t="str">
        <f t="shared" si="15"/>
        <v/>
      </c>
      <c r="Z152" s="252" t="str">
        <f>IF(ISNUMBER(SEARCH("C", 'Dry_Litterbag Placem_Collection'!$T79)),"YES","NO")</f>
        <v>NO</v>
      </c>
      <c r="AA152" s="252" t="str">
        <f>IF(ISNUMBER(SEARCH("H", 'Dry_Litterbag Placem_Collection'!$T79)),"YES","NO")</f>
        <v>NO</v>
      </c>
      <c r="AB152" s="252" t="str">
        <f>IF(ISNUMBER(SEARCH("R", 'Dry_Litterbag Placem_Collection'!$T79)),"YES","NO")</f>
        <v>NO</v>
      </c>
      <c r="AC152" s="252" t="str">
        <f>IF(ISNUMBER(SEARCH("C", 'Dry_Litterbag Placem_Collection'!$S79)),"YES","NO")</f>
        <v>NO</v>
      </c>
      <c r="AD152" s="252" t="str">
        <f>IF(ISNUMBER(SEARCH("H", 'Dry_Litterbag Placem_Collection'!$S79)),"YES","NO")</f>
        <v>NO</v>
      </c>
      <c r="AE152" s="252" t="str">
        <f>IF(ISNUMBER(SEARCH("R", 'Dry_Litterbag Placem_Collection'!$S79)),"YES","NO")</f>
        <v>NO</v>
      </c>
    </row>
    <row r="153" spans="2:31">
      <c r="B153" t="str">
        <f>'Final data_for_R_analysis_Dryse'!A79</f>
        <v>Dry</v>
      </c>
      <c r="C153" s="260">
        <f>'Final data_for_R_analysis_Dryse'!B79</f>
        <v>78</v>
      </c>
      <c r="D153" t="s">
        <v>3812</v>
      </c>
      <c r="E153" t="s">
        <v>22</v>
      </c>
      <c r="F153" s="382">
        <v>6</v>
      </c>
      <c r="G153" s="16">
        <f>IF('Dry_Litterbag Placem_Collection'!E80="","",'Dry_Litterbag Placem_Collection'!E80)</f>
        <v>42937</v>
      </c>
      <c r="H153" t="str">
        <f>'Final data_for_R_analysis_Dryse'!K79</f>
        <v>G97</v>
      </c>
      <c r="I153" t="str">
        <f>'Final data_for_R_analysis_Dryse'!K299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8"/>
        <v>1.8462000000000001</v>
      </c>
      <c r="M153" s="237">
        <f>AVERAGE(Ashed_controlls!$K$1:$K$11)</f>
        <v>5.5147656768714146</v>
      </c>
      <c r="N153" s="194">
        <f>IFERROR(IF(K153&gt;0,(K153*$F$32-($F$29+$F$30)),""),"")</f>
        <v>1.8891999999999998</v>
      </c>
      <c r="O153" s="16">
        <f>IF('Dry_Litterbag Placem_Collection'!G80="","",'Dry_Litterbag Placem_Collection'!G80)</f>
        <v>43006</v>
      </c>
      <c r="P153" s="194">
        <f>IFERROR(INDEX('Both teabags AfterDry'!$D$3:$D$2000,MATCH(H153,'Both teabags AfterDry'!$A$3:$A$2000,0)),"")</f>
        <v>1.7647999999999999</v>
      </c>
      <c r="Q153" s="194">
        <f>IFERROR(INDEX('Both teabags AfterDry'!$D$3:$D$2000,MATCH(I153,'Both teabags AfterDry'!$A$3:$A$2000,0)),"")</f>
        <v>1.9605999999999999</v>
      </c>
      <c r="R153" s="194">
        <f t="shared" si="9"/>
        <v>1.6141999999999999</v>
      </c>
      <c r="S153" s="194">
        <f t="shared" si="9"/>
        <v>1.8099999999999998</v>
      </c>
      <c r="T153" s="194">
        <f t="shared" si="10"/>
        <v>0.12566352507853984</v>
      </c>
      <c r="U153" s="194">
        <f t="shared" si="11"/>
        <v>8.2382738531299293E-2</v>
      </c>
      <c r="V153" s="194">
        <f t="shared" si="12"/>
        <v>0.95807749311878043</v>
      </c>
      <c r="W153">
        <f t="shared" si="13"/>
        <v>69</v>
      </c>
      <c r="X153" s="194">
        <f t="shared" si="14"/>
        <v>0.85075590845779114</v>
      </c>
      <c r="Y153" s="194">
        <f t="shared" si="15"/>
        <v>1.03051648404953E-2</v>
      </c>
      <c r="Z153" s="252" t="str">
        <f>IF(ISNUMBER(SEARCH("C", 'Dry_Litterbag Placem_Collection'!$T80)),"YES","NO")</f>
        <v>NO</v>
      </c>
      <c r="AA153" s="252" t="str">
        <f>IF(ISNUMBER(SEARCH("H", 'Dry_Litterbag Placem_Collection'!$T80)),"YES","NO")</f>
        <v>YES</v>
      </c>
      <c r="AB153" s="252" t="str">
        <f>IF(ISNUMBER(SEARCH("R", 'Dry_Litterbag Placem_Collection'!$T80)),"YES","NO")</f>
        <v>NO</v>
      </c>
      <c r="AC153" s="252" t="str">
        <f>IF(ISNUMBER(SEARCH("C", 'Dry_Litterbag Placem_Collection'!$S80)),"YES","NO")</f>
        <v>NO</v>
      </c>
      <c r="AD153" s="252" t="str">
        <f>IF(ISNUMBER(SEARCH("H", 'Dry_Litterbag Placem_Collection'!$S80)),"YES","NO")</f>
        <v>YES</v>
      </c>
      <c r="AE153" s="252" t="str">
        <f>IF(ISNUMBER(SEARCH("R", 'Dry_Litterbag Placem_Collection'!$S80)),"YES","NO")</f>
        <v>NO</v>
      </c>
    </row>
    <row r="154" spans="2:31">
      <c r="B154" t="str">
        <f>'Final data_for_R_analysis_Dryse'!A80</f>
        <v>Dry</v>
      </c>
      <c r="C154" s="260">
        <f>'Final data_for_R_analysis_Dryse'!B80</f>
        <v>79</v>
      </c>
      <c r="D154" t="s">
        <v>3812</v>
      </c>
      <c r="E154" t="s">
        <v>22</v>
      </c>
      <c r="F154" s="382">
        <v>7</v>
      </c>
      <c r="G154" s="16">
        <f>IF('Dry_Litterbag Placem_Collection'!E81="","",'Dry_Litterbag Placem_Collection'!E81)</f>
        <v>42937</v>
      </c>
      <c r="H154" t="str">
        <f>'Final data_for_R_analysis_Dryse'!K80</f>
        <v>G130</v>
      </c>
      <c r="I154" t="str">
        <f>'Final data_for_R_analysis_Dryse'!K300</f>
        <v>R270</v>
      </c>
      <c r="J154">
        <f>IFERROR(INDEX('Green_rooibos initial weight'!$C$5:$C$2000,MATCH(H154, 'Green_rooibos initial weight'!$A$5:$A$2000,0)),"")</f>
        <v>1.976</v>
      </c>
      <c r="K154">
        <f>IFERROR(INDEX('Green_rooibos initial weight'!$C$5:$C$2000,MATCH(I154, 'Green_rooibos initial weight'!$A$5:$A$2000,0)),"")</f>
        <v>2.2170000000000001</v>
      </c>
      <c r="L154" s="194">
        <f t="shared" si="8"/>
        <v>1.7262</v>
      </c>
      <c r="M154" s="237">
        <f>AVERAGE(Ashed_controlls!$K$1:$K$11)</f>
        <v>5.5147656768714146</v>
      </c>
      <c r="N154" s="194">
        <f>IFERROR(IF(K154&gt;0,(K154*$F$32-($F$29+$F$30)),""),"")</f>
        <v>1.9672000000000001</v>
      </c>
      <c r="O154" s="16">
        <f>IF('Dry_Litterbag Placem_Collection'!G81="","",'Dry_Litterbag Placem_Collection'!G81)</f>
        <v>43006</v>
      </c>
      <c r="P154" s="194">
        <f>IFERROR(INDEX('Both teabags AfterDry'!$D$3:$D$2000,MATCH(H154,'Both teabags AfterDry'!$A$3:$A$2000,0)),"")</f>
        <v>1.8545</v>
      </c>
      <c r="Q154" s="194">
        <f>IFERROR(INDEX('Both teabags AfterDry'!$D$3:$D$2000,MATCH(I154,'Both teabags AfterDry'!$A$3:$A$2000,0)),"")</f>
        <v>1.9970000000000001</v>
      </c>
      <c r="R154" s="194">
        <f t="shared" si="9"/>
        <v>1.7039</v>
      </c>
      <c r="S154" s="194">
        <f t="shared" si="9"/>
        <v>1.8464</v>
      </c>
      <c r="T154" s="194">
        <f t="shared" si="10"/>
        <v>1.2918549414899783E-2</v>
      </c>
      <c r="U154" s="194">
        <f t="shared" si="11"/>
        <v>8.4691677874402255E-3</v>
      </c>
      <c r="V154" s="194">
        <f t="shared" si="12"/>
        <v>0.93859292395282634</v>
      </c>
      <c r="W154">
        <f t="shared" si="13"/>
        <v>69</v>
      </c>
      <c r="X154" s="194">
        <f t="shared" si="14"/>
        <v>0.98465730473289814</v>
      </c>
      <c r="Y154" s="194" t="str">
        <f t="shared" si="15"/>
        <v/>
      </c>
      <c r="Z154" s="252" t="str">
        <f>IF(ISNUMBER(SEARCH("C", 'Dry_Litterbag Placem_Collection'!$T81)),"YES","NO")</f>
        <v>NO</v>
      </c>
      <c r="AA154" s="252" t="str">
        <f>IF(ISNUMBER(SEARCH("H", 'Dry_Litterbag Placem_Collection'!$T81)),"YES","NO")</f>
        <v>NO</v>
      </c>
      <c r="AB154" s="252" t="str">
        <f>IF(ISNUMBER(SEARCH("R", 'Dry_Litterbag Placem_Collection'!$T81)),"YES","NO")</f>
        <v>NO</v>
      </c>
      <c r="AC154" s="252" t="str">
        <f>IF(ISNUMBER(SEARCH("C", 'Dry_Litterbag Placem_Collection'!$S81)),"YES","NO")</f>
        <v>NO</v>
      </c>
      <c r="AD154" s="252" t="str">
        <f>IF(ISNUMBER(SEARCH("H", 'Dry_Litterbag Placem_Collection'!$S81)),"YES","NO")</f>
        <v>NO</v>
      </c>
      <c r="AE154" s="252" t="str">
        <f>IF(ISNUMBER(SEARCH("R", 'Dry_Litterbag Placem_Collection'!$S81)),"YES","NO")</f>
        <v>NO</v>
      </c>
    </row>
    <row r="155" spans="2:31">
      <c r="B155" t="str">
        <f>'Final data_for_R_analysis_Dryse'!A81</f>
        <v>Dry</v>
      </c>
      <c r="C155" s="260">
        <f>'Final data_for_R_analysis_Dryse'!B81</f>
        <v>80</v>
      </c>
      <c r="D155" t="s">
        <v>3812</v>
      </c>
      <c r="E155" t="s">
        <v>22</v>
      </c>
      <c r="F155" s="382">
        <v>8</v>
      </c>
      <c r="G155" s="16">
        <f>IF('Dry_Litterbag Placem_Collection'!E82="","",'Dry_Litterbag Placem_Collection'!E82)</f>
        <v>42937</v>
      </c>
      <c r="H155" t="str">
        <f>'Final data_for_R_analysis_Dryse'!K81</f>
        <v>G24</v>
      </c>
      <c r="I155" t="str">
        <f>'Final data_for_R_analysis_Dryse'!K301</f>
        <v>R726</v>
      </c>
      <c r="J155">
        <f>IFERROR(INDEX('Green_rooibos initial weight'!$C$5:$C$2000,MATCH(H155, 'Green_rooibos initial weight'!$A$5:$A$2000,0)),"")</f>
        <v>2.09</v>
      </c>
      <c r="K155">
        <f>IFERROR(INDEX('Green_rooibos initial weight'!$C$5:$C$2000,MATCH(I155, 'Green_rooibos initial weight'!$A$5:$A$2000,0)),"")</f>
        <v>2.2810000000000001</v>
      </c>
      <c r="L155" s="194">
        <f t="shared" si="8"/>
        <v>1.8401999999999998</v>
      </c>
      <c r="M155" s="237">
        <f>AVERAGE(Ashed_controlls!$K$1:$K$11)</f>
        <v>5.5147656768714146</v>
      </c>
      <c r="N155" s="194">
        <f>IFERROR(IF(K155&gt;0,(K155*$F$32-($F$29+$F$30)),""),"")</f>
        <v>2.0312000000000001</v>
      </c>
      <c r="O155" s="16">
        <f>IF('Dry_Litterbag Placem_Collection'!G82="","",'Dry_Litterbag Placem_Collection'!G82)</f>
        <v>43006</v>
      </c>
      <c r="P155" s="194">
        <f>IFERROR(INDEX('Both teabags AfterDry'!$D$3:$D$2000,MATCH(H155,'Both teabags AfterDry'!$A$3:$A$2000,0)),"")</f>
        <v>1.9084000000000001</v>
      </c>
      <c r="Q155" s="194">
        <f>IFERROR(INDEX('Both teabags AfterDry'!$D$3:$D$2000,MATCH(I155,'Both teabags AfterDry'!$A$3:$A$2000,0)),"")</f>
        <v>1.9471000000000001</v>
      </c>
      <c r="R155" s="194">
        <f t="shared" si="9"/>
        <v>1.7578</v>
      </c>
      <c r="S155" s="194">
        <f t="shared" si="9"/>
        <v>1.7965</v>
      </c>
      <c r="T155" s="194">
        <f t="shared" si="10"/>
        <v>4.4777741549831385E-2</v>
      </c>
      <c r="U155" s="194">
        <f t="shared" si="11"/>
        <v>2.9355479020792084E-2</v>
      </c>
      <c r="V155" s="194">
        <f t="shared" si="12"/>
        <v>0.88445254037022447</v>
      </c>
      <c r="W155">
        <f t="shared" si="13"/>
        <v>69</v>
      </c>
      <c r="X155" s="194">
        <f t="shared" si="14"/>
        <v>0.94681978438262304</v>
      </c>
      <c r="Y155" s="194" t="str">
        <f t="shared" si="15"/>
        <v/>
      </c>
      <c r="Z155" s="252" t="str">
        <f>IF(ISNUMBER(SEARCH("C", 'Dry_Litterbag Placem_Collection'!$T82)),"YES","NO")</f>
        <v>NO</v>
      </c>
      <c r="AA155" s="252" t="str">
        <f>IF(ISNUMBER(SEARCH("H", 'Dry_Litterbag Placem_Collection'!$T82)),"YES","NO")</f>
        <v>NO</v>
      </c>
      <c r="AB155" s="252" t="str">
        <f>IF(ISNUMBER(SEARCH("R", 'Dry_Litterbag Placem_Collection'!$T82)),"YES","NO")</f>
        <v>NO</v>
      </c>
      <c r="AC155" s="252" t="str">
        <f>IF(ISNUMBER(SEARCH("C", 'Dry_Litterbag Placem_Collection'!$S82)),"YES","NO")</f>
        <v>NO</v>
      </c>
      <c r="AD155" s="252" t="str">
        <f>IF(ISNUMBER(SEARCH("H", 'Dry_Litterbag Placem_Collection'!$S82)),"YES","NO")</f>
        <v>NO</v>
      </c>
      <c r="AE155" s="252" t="str">
        <f>IF(ISNUMBER(SEARCH("R", 'Dry_Litterbag Placem_Collection'!$S82)),"YES","NO")</f>
        <v>NO</v>
      </c>
    </row>
    <row r="156" spans="2:31">
      <c r="B156" t="str">
        <f>'Final data_for_R_analysis_Dryse'!A82</f>
        <v>Dry</v>
      </c>
      <c r="C156" s="260">
        <f>'Final data_for_R_analysis_Dryse'!B82</f>
        <v>81</v>
      </c>
      <c r="D156" t="s">
        <v>3813</v>
      </c>
      <c r="E156" t="s">
        <v>22</v>
      </c>
      <c r="F156" s="381">
        <v>1</v>
      </c>
      <c r="G156" s="16">
        <f>IF('Dry_Litterbag Placem_Collection'!E83="","",'Dry_Litterbag Placem_Collection'!E83)</f>
        <v>42937</v>
      </c>
      <c r="H156" t="str">
        <f>'Final data_for_R_analysis_Dryse'!K82</f>
        <v>G312</v>
      </c>
      <c r="I156" t="str">
        <f>'Final data_for_R_analysis_Dryse'!K302</f>
        <v>R739</v>
      </c>
      <c r="J156">
        <f>IFERROR(INDEX('Green_rooibos initial weight'!$C$5:$C$2000,MATCH(H156, 'Green_rooibos initial weight'!$A$5:$A$2000,0)),"")</f>
        <v>2.0179999999999998</v>
      </c>
      <c r="K156">
        <f>IFERROR(INDEX('Green_rooibos initial weight'!$C$5:$C$2000,MATCH(I156, 'Green_rooibos initial weight'!$A$5:$A$2000,0)),"")</f>
        <v>2.222</v>
      </c>
      <c r="L156" s="194">
        <f t="shared" si="8"/>
        <v>1.7681999999999998</v>
      </c>
      <c r="M156" s="237">
        <f>AVERAGE(Ashed_controlls!$K$1:$K$11)</f>
        <v>5.5147656768714146</v>
      </c>
      <c r="N156" s="194">
        <f>IFERROR(IF(K156&gt;0,(K156*$F$32-($F$29+$F$30)),""),"")</f>
        <v>1.9722</v>
      </c>
      <c r="O156" s="16">
        <f>IF('Dry_Litterbag Placem_Collection'!G83="","",'Dry_Litterbag Placem_Collection'!G83)</f>
        <v>43006</v>
      </c>
      <c r="P156" s="194">
        <f>IFERROR(INDEX('Both teabags AfterDry'!$D$3:$D$2000,MATCH(H156,'Both teabags AfterDry'!$A$3:$A$2000,0)),"")</f>
        <v>1.7978000000000001</v>
      </c>
      <c r="Q156" s="194">
        <f>IFERROR(INDEX('Both teabags AfterDry'!$D$3:$D$2000,MATCH(I156,'Both teabags AfterDry'!$A$3:$A$2000,0)),"")</f>
        <v>1.9457</v>
      </c>
      <c r="R156" s="194">
        <f t="shared" si="9"/>
        <v>1.6472</v>
      </c>
      <c r="S156" s="194">
        <f t="shared" si="9"/>
        <v>1.7950999999999999</v>
      </c>
      <c r="T156" s="194">
        <f t="shared" si="10"/>
        <v>6.8431172944236951E-2</v>
      </c>
      <c r="U156" s="194">
        <f t="shared" si="11"/>
        <v>4.486224164515297E-2</v>
      </c>
      <c r="V156" s="194">
        <f t="shared" si="12"/>
        <v>0.91020180509076154</v>
      </c>
      <c r="W156">
        <f t="shared" si="13"/>
        <v>69</v>
      </c>
      <c r="X156" s="194">
        <f t="shared" si="14"/>
        <v>0.91872782310660694</v>
      </c>
      <c r="Y156" s="194" t="str">
        <f t="shared" si="15"/>
        <v/>
      </c>
      <c r="Z156" s="252" t="str">
        <f>IF(ISNUMBER(SEARCH("C", 'Dry_Litterbag Placem_Collection'!$T83)),"YES","NO")</f>
        <v>NO</v>
      </c>
      <c r="AA156" s="252" t="str">
        <f>IF(ISNUMBER(SEARCH("H", 'Dry_Litterbag Placem_Collection'!$T83)),"YES","NO")</f>
        <v>NO</v>
      </c>
      <c r="AB156" s="252" t="str">
        <f>IF(ISNUMBER(SEARCH("R", 'Dry_Litterbag Placem_Collection'!$T83)),"YES","NO")</f>
        <v>NO</v>
      </c>
      <c r="AC156" s="252" t="str">
        <f>IF(ISNUMBER(SEARCH("C", 'Dry_Litterbag Placem_Collection'!$S83)),"YES","NO")</f>
        <v>NO</v>
      </c>
      <c r="AD156" s="252" t="str">
        <f>IF(ISNUMBER(SEARCH("H", 'Dry_Litterbag Placem_Collection'!$S83)),"YES","NO")</f>
        <v>NO</v>
      </c>
      <c r="AE156" s="252" t="str">
        <f>IF(ISNUMBER(SEARCH("R", 'Dry_Litterbag Placem_Collection'!$S83)),"YES","NO")</f>
        <v>NO</v>
      </c>
    </row>
    <row r="157" spans="2:31">
      <c r="B157" t="str">
        <f>'Final data_for_R_analysis_Dryse'!A83</f>
        <v>Dry</v>
      </c>
      <c r="C157" s="260">
        <f>'Final data_for_R_analysis_Dryse'!B83</f>
        <v>82</v>
      </c>
      <c r="D157" t="s">
        <v>3813</v>
      </c>
      <c r="E157" t="s">
        <v>22</v>
      </c>
      <c r="F157" s="381">
        <v>2</v>
      </c>
      <c r="G157" s="16">
        <f>IF('Dry_Litterbag Placem_Collection'!E84="","",'Dry_Litterbag Placem_Collection'!E84)</f>
        <v>42937</v>
      </c>
      <c r="H157" t="str">
        <f>'Final data_for_R_analysis_Dryse'!K83</f>
        <v>G356</v>
      </c>
      <c r="I157" t="str">
        <f>'Final data_for_R_analysis_Dryse'!K303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8"/>
        <v>1.7372000000000001</v>
      </c>
      <c r="M157" s="237">
        <f>AVERAGE(Ashed_controlls!$K$1:$K$11)</f>
        <v>5.5147656768714146</v>
      </c>
      <c r="N157" s="194">
        <f>IFERROR(IF(K157&gt;0,(K157*$F$32-($F$29+$F$30)),""),"")</f>
        <v>1.9081999999999999</v>
      </c>
      <c r="O157" s="16">
        <f>IF('Dry_Litterbag Placem_Collection'!G84="","",'Dry_Litterbag Placem_Collection'!G84)</f>
        <v>43006</v>
      </c>
      <c r="P157" s="194">
        <f>IFERROR(INDEX('Both teabags AfterDry'!$D$3:$D$2000,MATCH(H157,'Both teabags AfterDry'!$A$3:$A$2000,0)),"")</f>
        <v>1.7767999999999999</v>
      </c>
      <c r="Q157" s="194">
        <f>IFERROR(INDEX('Both teabags AfterDry'!$D$3:$D$2000,MATCH(I157,'Both teabags AfterDry'!$A$3:$A$2000,0)),"")</f>
        <v>1.8712</v>
      </c>
      <c r="R157" s="194">
        <f t="shared" si="9"/>
        <v>1.6261999999999999</v>
      </c>
      <c r="S157" s="194">
        <f t="shared" si="9"/>
        <v>1.7205999999999999</v>
      </c>
      <c r="T157" s="194">
        <f t="shared" si="10"/>
        <v>6.3895924476168653E-2</v>
      </c>
      <c r="U157" s="194">
        <f t="shared" si="11"/>
        <v>4.1889014620956198E-2</v>
      </c>
      <c r="V157" s="194">
        <f t="shared" si="12"/>
        <v>0.90168745414526774</v>
      </c>
      <c r="W157">
        <f t="shared" si="13"/>
        <v>69</v>
      </c>
      <c r="X157" s="194">
        <f t="shared" si="14"/>
        <v>0.92411410394754312</v>
      </c>
      <c r="Y157" s="194" t="str">
        <f t="shared" si="15"/>
        <v/>
      </c>
      <c r="Z157" s="252" t="str">
        <f>IF(ISNUMBER(SEARCH("C", 'Dry_Litterbag Placem_Collection'!$T84)),"YES","NO")</f>
        <v>NO</v>
      </c>
      <c r="AA157" s="252" t="str">
        <f>IF(ISNUMBER(SEARCH("H", 'Dry_Litterbag Placem_Collection'!$T84)),"YES","NO")</f>
        <v>NO</v>
      </c>
      <c r="AB157" s="252" t="str">
        <f>IF(ISNUMBER(SEARCH("R", 'Dry_Litterbag Placem_Collection'!$T84)),"YES","NO")</f>
        <v>NO</v>
      </c>
      <c r="AC157" s="252" t="str">
        <f>IF(ISNUMBER(SEARCH("C", 'Dry_Litterbag Placem_Collection'!$S84)),"YES","NO")</f>
        <v>NO</v>
      </c>
      <c r="AD157" s="252" t="str">
        <f>IF(ISNUMBER(SEARCH("H", 'Dry_Litterbag Placem_Collection'!$S84)),"YES","NO")</f>
        <v>NO</v>
      </c>
      <c r="AE157" s="252" t="str">
        <f>IF(ISNUMBER(SEARCH("R", 'Dry_Litterbag Placem_Collection'!$S84)),"YES","NO")</f>
        <v>NO</v>
      </c>
    </row>
    <row r="158" spans="2:31">
      <c r="B158" t="str">
        <f>'Final data_for_R_analysis_Dryse'!A84</f>
        <v>Dry</v>
      </c>
      <c r="C158" s="260">
        <f>'Final data_for_R_analysis_Dryse'!B84</f>
        <v>83</v>
      </c>
      <c r="D158" t="s">
        <v>3813</v>
      </c>
      <c r="E158" t="s">
        <v>22</v>
      </c>
      <c r="F158" s="381">
        <v>3</v>
      </c>
      <c r="G158" s="16">
        <f>IF('Dry_Litterbag Placem_Collection'!E85="","",'Dry_Litterbag Placem_Collection'!E85)</f>
        <v>42937</v>
      </c>
      <c r="H158" t="str">
        <f>'Final data_for_R_analysis_Dryse'!K84</f>
        <v>G331</v>
      </c>
      <c r="I158" t="str">
        <f>'Final data_for_R_analysis_Dryse'!K304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8"/>
        <v>1.8052000000000001</v>
      </c>
      <c r="M158" s="237">
        <f>AVERAGE(Ashed_controlls!$K$1:$K$11)</f>
        <v>5.5147656768714146</v>
      </c>
      <c r="N158" s="194">
        <f>IFERROR(IF(K158&gt;0,(K158*$F$32-($F$29+$F$30)),""),"")</f>
        <v>1.9662000000000002</v>
      </c>
      <c r="O158" s="16">
        <f>IF('Dry_Litterbag Placem_Collection'!G85="","",'Dry_Litterbag Placem_Collection'!G85)</f>
        <v>43006</v>
      </c>
      <c r="P158" s="194">
        <f>IFERROR(INDEX('Both teabags AfterDry'!$D$3:$D$2000,MATCH(H158,'Both teabags AfterDry'!$A$3:$A$2000,0)),"")</f>
        <v>1.8354999999999999</v>
      </c>
      <c r="Q158" s="194">
        <f>IFERROR(INDEX('Both teabags AfterDry'!$D$3:$D$2000,MATCH(I158,'Both teabags AfterDry'!$A$3:$A$2000,0)),"")</f>
        <v>1.9178999999999999</v>
      </c>
      <c r="R158" s="194">
        <f t="shared" si="9"/>
        <v>1.6848999999999998</v>
      </c>
      <c r="S158" s="194">
        <f t="shared" si="9"/>
        <v>1.7672999999999999</v>
      </c>
      <c r="T158" s="194">
        <f t="shared" si="10"/>
        <v>6.6640815422114086E-2</v>
      </c>
      <c r="U158" s="194">
        <f t="shared" si="11"/>
        <v>4.3688515573642478E-2</v>
      </c>
      <c r="V158" s="194">
        <f t="shared" si="12"/>
        <v>0.8988404028074457</v>
      </c>
      <c r="W158">
        <f t="shared" si="13"/>
        <v>69</v>
      </c>
      <c r="X158" s="194">
        <f t="shared" si="14"/>
        <v>0.92085413845354624</v>
      </c>
      <c r="Y158" s="194" t="str">
        <f t="shared" si="15"/>
        <v/>
      </c>
      <c r="Z158" s="252" t="str">
        <f>IF(ISNUMBER(SEARCH("C", 'Dry_Litterbag Placem_Collection'!$T85)),"YES","NO")</f>
        <v>NO</v>
      </c>
      <c r="AA158" s="252" t="str">
        <f>IF(ISNUMBER(SEARCH("H", 'Dry_Litterbag Placem_Collection'!$T85)),"YES","NO")</f>
        <v>NO</v>
      </c>
      <c r="AB158" s="252" t="str">
        <f>IF(ISNUMBER(SEARCH("R", 'Dry_Litterbag Placem_Collection'!$T85)),"YES","NO")</f>
        <v>NO</v>
      </c>
      <c r="AC158" s="252" t="str">
        <f>IF(ISNUMBER(SEARCH("C", 'Dry_Litterbag Placem_Collection'!$S85)),"YES","NO")</f>
        <v>NO</v>
      </c>
      <c r="AD158" s="252" t="str">
        <f>IF(ISNUMBER(SEARCH("H", 'Dry_Litterbag Placem_Collection'!$S85)),"YES","NO")</f>
        <v>YES</v>
      </c>
      <c r="AE158" s="252" t="str">
        <f>IF(ISNUMBER(SEARCH("R", 'Dry_Litterbag Placem_Collection'!$S85)),"YES","NO")</f>
        <v>NO</v>
      </c>
    </row>
    <row r="159" spans="2:31">
      <c r="B159" t="str">
        <f>'Final data_for_R_analysis_Dryse'!A85</f>
        <v>Dry</v>
      </c>
      <c r="C159" s="260">
        <f>'Final data_for_R_analysis_Dryse'!B85</f>
        <v>84</v>
      </c>
      <c r="D159" t="s">
        <v>3813</v>
      </c>
      <c r="E159" t="s">
        <v>22</v>
      </c>
      <c r="F159" s="382">
        <v>4</v>
      </c>
      <c r="G159" s="16">
        <f>IF('Dry_Litterbag Placem_Collection'!E86="","",'Dry_Litterbag Placem_Collection'!E86)</f>
        <v>42937</v>
      </c>
      <c r="H159" t="str">
        <f>'Final data_for_R_analysis_Dryse'!K85</f>
        <v>G101</v>
      </c>
      <c r="I159" t="str">
        <f>'Final data_for_R_analysis_Dryse'!K305</f>
        <v>R778</v>
      </c>
      <c r="J159">
        <f>IFERROR(INDEX('Green_rooibos initial weight'!$C$5:$C$2000,MATCH(H159, 'Green_rooibos initial weight'!$A$5:$A$2000,0)),"")</f>
        <v>2.173</v>
      </c>
      <c r="K159">
        <f>IFERROR(INDEX('Green_rooibos initial weight'!$C$5:$C$2000,MATCH(I159, 'Green_rooibos initial weight'!$A$5:$A$2000,0)),"")</f>
        <v>2.2450000000000001</v>
      </c>
      <c r="L159" s="194">
        <f t="shared" si="8"/>
        <v>1.9232</v>
      </c>
      <c r="M159" s="237">
        <f>AVERAGE(Ashed_controlls!$K$1:$K$11)</f>
        <v>5.5147656768714146</v>
      </c>
      <c r="N159" s="194">
        <f>IFERROR(IF(K159&gt;0,(K159*$F$32-($F$29+$F$30)),""),"")</f>
        <v>1.9952000000000001</v>
      </c>
      <c r="O159" s="16">
        <f>IF('Dry_Litterbag Placem_Collection'!G86="","",'Dry_Litterbag Placem_Collection'!G86)</f>
        <v>43006</v>
      </c>
      <c r="P159" s="194">
        <f>IFERROR(INDEX('Both teabags AfterDry'!$D$3:$D$2000,MATCH(H159,'Both teabags AfterDry'!$A$3:$A$2000,0)),"")</f>
        <v>1.9434</v>
      </c>
      <c r="Q159" s="194">
        <f>IFERROR(INDEX('Both teabags AfterDry'!$D$3:$D$2000,MATCH(I159,'Both teabags AfterDry'!$A$3:$A$2000,0)),"")</f>
        <v>1.9495</v>
      </c>
      <c r="R159" s="194">
        <f t="shared" si="9"/>
        <v>1.7927999999999999</v>
      </c>
      <c r="S159" s="194">
        <f t="shared" si="9"/>
        <v>1.7988999999999999</v>
      </c>
      <c r="T159" s="194">
        <f t="shared" si="10"/>
        <v>6.7803660565723844E-2</v>
      </c>
      <c r="U159" s="194">
        <f t="shared" si="11"/>
        <v>4.4450855857814206E-2</v>
      </c>
      <c r="V159" s="194">
        <f t="shared" si="12"/>
        <v>0.90161387329591014</v>
      </c>
      <c r="W159">
        <f t="shared" si="13"/>
        <v>69</v>
      </c>
      <c r="X159" s="194">
        <f t="shared" si="14"/>
        <v>0.9194730872141047</v>
      </c>
      <c r="Y159" s="194" t="str">
        <f t="shared" si="15"/>
        <v/>
      </c>
      <c r="Z159" s="252" t="str">
        <f>IF(ISNUMBER(SEARCH("C", 'Dry_Litterbag Placem_Collection'!$T86)),"YES","NO")</f>
        <v>NO</v>
      </c>
      <c r="AA159" s="252" t="str">
        <f>IF(ISNUMBER(SEARCH("H", 'Dry_Litterbag Placem_Collection'!$T86)),"YES","NO")</f>
        <v>NO</v>
      </c>
      <c r="AB159" s="252" t="str">
        <f>IF(ISNUMBER(SEARCH("R", 'Dry_Litterbag Placem_Collection'!$T86)),"YES","NO")</f>
        <v>NO</v>
      </c>
      <c r="AC159" s="252" t="str">
        <f>IF(ISNUMBER(SEARCH("C", 'Dry_Litterbag Placem_Collection'!$S86)),"YES","NO")</f>
        <v>NO</v>
      </c>
      <c r="AD159" s="252" t="str">
        <f>IF(ISNUMBER(SEARCH("H", 'Dry_Litterbag Placem_Collection'!$S86)),"YES","NO")</f>
        <v>YES</v>
      </c>
      <c r="AE159" s="252" t="str">
        <f>IF(ISNUMBER(SEARCH("R", 'Dry_Litterbag Placem_Collection'!$S86)),"YES","NO")</f>
        <v>NO</v>
      </c>
    </row>
    <row r="160" spans="2:31">
      <c r="B160" t="str">
        <f>'Final data_for_R_analysis_Dryse'!A86</f>
        <v>Dry</v>
      </c>
      <c r="C160" s="260">
        <f>'Final data_for_R_analysis_Dryse'!B86</f>
        <v>85</v>
      </c>
      <c r="D160" t="s">
        <v>3813</v>
      </c>
      <c r="E160" t="s">
        <v>22</v>
      </c>
      <c r="F160" s="382">
        <v>5</v>
      </c>
      <c r="G160" s="16" t="str">
        <f>IF('Dry_Litterbag Placem_Collection'!E87="","",'Dry_Litterbag Placem_Collection'!E87)</f>
        <v/>
      </c>
      <c r="H160" t="str">
        <f>'Final data_for_R_analysis_Dryse'!K86</f>
        <v/>
      </c>
      <c r="I160" t="str">
        <f>'Final data_for_R_analysis_Dryse'!K306</f>
        <v/>
      </c>
      <c r="J160" t="str">
        <f>IFERROR(INDEX('Green_rooibos initial weight'!$C$5:$C$2000,MATCH(H160, 'Green_rooibos initial weight'!$A$5:$A$2000,0)),"")</f>
        <v/>
      </c>
      <c r="K160" t="str">
        <f>IFERROR(INDEX('Green_rooibos initial weight'!$C$5:$C$2000,MATCH(I160, 'Green_rooibos initial weight'!$A$5:$A$2000,0)),"")</f>
        <v/>
      </c>
      <c r="L160" s="194" t="str">
        <f t="shared" si="8"/>
        <v/>
      </c>
      <c r="M160" s="237">
        <f>AVERAGE(Ashed_controlls!$K$1:$K$11)</f>
        <v>5.5147656768714146</v>
      </c>
      <c r="N160" s="194" t="str">
        <f>IFERROR(IF(K160&gt;0,(K160*$F$32-($F$29+$F$30)),""),"")</f>
        <v/>
      </c>
      <c r="O160" s="16" t="str">
        <f>IF('Dry_Litterbag Placem_Collection'!G87="","",'Dry_Litterbag Placem_Collection'!G87)</f>
        <v/>
      </c>
      <c r="P160" s="194" t="str">
        <f>IFERROR(INDEX('Both teabags AfterDry'!$D$3:$D$2000,MATCH(H160,'Both teabags AfterDry'!$A$3:$A$2000,0)),"")</f>
        <v/>
      </c>
      <c r="Q160" s="194" t="str">
        <f>IFERROR(INDEX('Both teabags AfterDry'!$D$3:$D$2000,MATCH(I160,'Both teabags AfterDry'!$A$3:$A$2000,0)),"")</f>
        <v/>
      </c>
      <c r="R160" s="194" t="str">
        <f t="shared" si="9"/>
        <v/>
      </c>
      <c r="S160" s="194" t="str">
        <f t="shared" si="9"/>
        <v/>
      </c>
      <c r="T160" s="194" t="str">
        <f t="shared" si="10"/>
        <v/>
      </c>
      <c r="U160" s="194" t="str">
        <f t="shared" si="11"/>
        <v/>
      </c>
      <c r="V160" s="194" t="str">
        <f t="shared" si="12"/>
        <v/>
      </c>
      <c r="W160" t="str">
        <f t="shared" si="13"/>
        <v/>
      </c>
      <c r="X160" s="194" t="str">
        <f t="shared" si="14"/>
        <v/>
      </c>
      <c r="Y160" s="194" t="str">
        <f t="shared" si="15"/>
        <v/>
      </c>
      <c r="Z160" s="252" t="str">
        <f>IF(ISNUMBER(SEARCH("C", 'Dry_Litterbag Placem_Collection'!$T87)),"YES","NO")</f>
        <v>NO</v>
      </c>
      <c r="AA160" s="252" t="str">
        <f>IF(ISNUMBER(SEARCH("H", 'Dry_Litterbag Placem_Collection'!$T87)),"YES","NO")</f>
        <v>NO</v>
      </c>
      <c r="AB160" s="252" t="str">
        <f>IF(ISNUMBER(SEARCH("R", 'Dry_Litterbag Placem_Collection'!$T87)),"YES","NO")</f>
        <v>NO</v>
      </c>
      <c r="AC160" s="252" t="str">
        <f>IF(ISNUMBER(SEARCH("C", 'Dry_Litterbag Placem_Collection'!$S87)),"YES","NO")</f>
        <v>NO</v>
      </c>
      <c r="AD160" s="252" t="str">
        <f>IF(ISNUMBER(SEARCH("H", 'Dry_Litterbag Placem_Collection'!$S87)),"YES","NO")</f>
        <v>NO</v>
      </c>
      <c r="AE160" s="252" t="str">
        <f>IF(ISNUMBER(SEARCH("R", 'Dry_Litterbag Placem_Collection'!$S87)),"YES","NO")</f>
        <v>NO</v>
      </c>
    </row>
    <row r="161" spans="2:31">
      <c r="B161" t="str">
        <f>'Final data_for_R_analysis_Dryse'!A87</f>
        <v>Dry</v>
      </c>
      <c r="C161" s="260">
        <f>'Final data_for_R_analysis_Dryse'!B87</f>
        <v>86</v>
      </c>
      <c r="D161" t="s">
        <v>3813</v>
      </c>
      <c r="E161" t="s">
        <v>22</v>
      </c>
      <c r="F161" s="382">
        <v>6</v>
      </c>
      <c r="G161" s="16">
        <f>IF('Dry_Litterbag Placem_Collection'!E88="","",'Dry_Litterbag Placem_Collection'!E88)</f>
        <v>42937</v>
      </c>
      <c r="H161" t="str">
        <f>'Final data_for_R_analysis_Dryse'!K87</f>
        <v>G31</v>
      </c>
      <c r="I161" t="str">
        <f>'Final data_for_R_analysis_Dryse'!K307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8"/>
        <v>1.6892</v>
      </c>
      <c r="M161" s="237">
        <f>AVERAGE(Ashed_controlls!$K$1:$K$11)</f>
        <v>5.5147656768714146</v>
      </c>
      <c r="N161" s="194">
        <f>IFERROR(IF(K161&gt;0,(K161*$F$32-($F$29+$F$30)),""),"")</f>
        <v>1.9392</v>
      </c>
      <c r="O161" s="16">
        <f>IF('Dry_Litterbag Placem_Collection'!G88="","",'Dry_Litterbag Placem_Collection'!G88)</f>
        <v>43006</v>
      </c>
      <c r="P161" s="194" t="str">
        <f>IFERROR(INDEX('Both teabags AfterDry'!$D$3:$D$2000,MATCH(H161,'Both teabags AfterDry'!$A$3:$A$2000,0)),"")</f>
        <v/>
      </c>
      <c r="Q161" s="194" t="str">
        <f>IFERROR(INDEX('Both teabags AfterDry'!$D$3:$D$2000,MATCH(I161,'Both teabags AfterDry'!$A$3:$A$2000,0)),"")</f>
        <v/>
      </c>
      <c r="R161" s="194" t="str">
        <f t="shared" si="9"/>
        <v/>
      </c>
      <c r="S161" s="194" t="str">
        <f t="shared" si="9"/>
        <v/>
      </c>
      <c r="T161" s="194" t="str">
        <f t="shared" si="10"/>
        <v/>
      </c>
      <c r="U161" s="194" t="str">
        <f t="shared" si="11"/>
        <v/>
      </c>
      <c r="V161" s="194" t="str">
        <f t="shared" si="12"/>
        <v/>
      </c>
      <c r="W161">
        <f t="shared" si="13"/>
        <v>69</v>
      </c>
      <c r="X161" s="194" t="str">
        <f t="shared" si="14"/>
        <v/>
      </c>
      <c r="Y161" s="194" t="str">
        <f t="shared" si="15"/>
        <v/>
      </c>
      <c r="Z161" s="252" t="str">
        <f>IF(ISNUMBER(SEARCH("C", 'Dry_Litterbag Placem_Collection'!$T88)),"YES","NO")</f>
        <v>NO</v>
      </c>
      <c r="AA161" s="252" t="str">
        <f>IF(ISNUMBER(SEARCH("H", 'Dry_Litterbag Placem_Collection'!$T88)),"YES","NO")</f>
        <v>NO</v>
      </c>
      <c r="AB161" s="252" t="str">
        <f>IF(ISNUMBER(SEARCH("R", 'Dry_Litterbag Placem_Collection'!$T88)),"YES","NO")</f>
        <v>NO</v>
      </c>
      <c r="AC161" s="252" t="str">
        <f>IF(ISNUMBER(SEARCH("C", 'Dry_Litterbag Placem_Collection'!$S88)),"YES","NO")</f>
        <v>NO</v>
      </c>
      <c r="AD161" s="252" t="str">
        <f>IF(ISNUMBER(SEARCH("H", 'Dry_Litterbag Placem_Collection'!$S88)),"YES","NO")</f>
        <v>YES</v>
      </c>
      <c r="AE161" s="252" t="str">
        <f>IF(ISNUMBER(SEARCH("R", 'Dry_Litterbag Placem_Collection'!$S88)),"YES","NO")</f>
        <v>NO</v>
      </c>
    </row>
    <row r="162" spans="2:31">
      <c r="B162" t="str">
        <f>'Final data_for_R_analysis_Dryse'!A88</f>
        <v>Dry</v>
      </c>
      <c r="C162" s="260">
        <f>'Final data_for_R_analysis_Dryse'!B88</f>
        <v>87</v>
      </c>
      <c r="D162" t="s">
        <v>3813</v>
      </c>
      <c r="E162" t="s">
        <v>22</v>
      </c>
      <c r="F162" s="382">
        <v>7</v>
      </c>
      <c r="G162" s="16">
        <f>IF('Dry_Litterbag Placem_Collection'!E89="","",'Dry_Litterbag Placem_Collection'!E89)</f>
        <v>42937</v>
      </c>
      <c r="H162" t="str">
        <f>'Final data_for_R_analysis_Dryse'!K88</f>
        <v>G220</v>
      </c>
      <c r="I162" t="str">
        <f>'Final data_for_R_analysis_Dryse'!K308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8"/>
        <v>1.8681999999999999</v>
      </c>
      <c r="M162" s="237">
        <f>AVERAGE(Ashed_controlls!$K$1:$K$11)</f>
        <v>5.5147656768714146</v>
      </c>
      <c r="N162" s="194">
        <f>IFERROR(IF(K162&gt;0,(K162*$F$32-($F$29+$F$30)),""),"")</f>
        <v>1.9302000000000001</v>
      </c>
      <c r="O162" s="16">
        <f>IF('Dry_Litterbag Placem_Collection'!G89="","",'Dry_Litterbag Placem_Collection'!G89)</f>
        <v>43006</v>
      </c>
      <c r="P162" s="194">
        <f>IFERROR(INDEX('Both teabags AfterDry'!$D$3:$D$2000,MATCH(H162,'Both teabags AfterDry'!$A$3:$A$2000,0)),"")</f>
        <v>1.9671000000000001</v>
      </c>
      <c r="Q162" s="194">
        <f>IFERROR(INDEX('Both teabags AfterDry'!$D$3:$D$2000,MATCH(I162,'Both teabags AfterDry'!$A$3:$A$2000,0)),"")</f>
        <v>1.9392</v>
      </c>
      <c r="R162" s="194">
        <f t="shared" si="9"/>
        <v>1.8165</v>
      </c>
      <c r="S162" s="194">
        <f t="shared" si="9"/>
        <v>1.7886</v>
      </c>
      <c r="T162" s="194">
        <f t="shared" si="10"/>
        <v>2.7673696606358988E-2</v>
      </c>
      <c r="U162" s="194">
        <f t="shared" si="11"/>
        <v>1.8142375922458636E-2</v>
      </c>
      <c r="V162" s="194">
        <f t="shared" si="12"/>
        <v>0.92663972645321724</v>
      </c>
      <c r="W162">
        <f t="shared" si="13"/>
        <v>69</v>
      </c>
      <c r="X162" s="194">
        <f t="shared" si="14"/>
        <v>0.96713337695206769</v>
      </c>
      <c r="Y162" s="194" t="str">
        <f t="shared" si="15"/>
        <v/>
      </c>
      <c r="Z162" s="252" t="str">
        <f>IF(ISNUMBER(SEARCH("C", 'Dry_Litterbag Placem_Collection'!$T89)),"YES","NO")</f>
        <v>NO</v>
      </c>
      <c r="AA162" s="252" t="str">
        <f>IF(ISNUMBER(SEARCH("H", 'Dry_Litterbag Placem_Collection'!$T89)),"YES","NO")</f>
        <v>NO</v>
      </c>
      <c r="AB162" s="252" t="str">
        <f>IF(ISNUMBER(SEARCH("R", 'Dry_Litterbag Placem_Collection'!$T89)),"YES","NO")</f>
        <v>NO</v>
      </c>
      <c r="AC162" s="252" t="str">
        <f>IF(ISNUMBER(SEARCH("C", 'Dry_Litterbag Placem_Collection'!$S89)),"YES","NO")</f>
        <v>NO</v>
      </c>
      <c r="AD162" s="252" t="str">
        <f>IF(ISNUMBER(SEARCH("H", 'Dry_Litterbag Placem_Collection'!$S89)),"YES","NO")</f>
        <v>NO</v>
      </c>
      <c r="AE162" s="252" t="str">
        <f>IF(ISNUMBER(SEARCH("R", 'Dry_Litterbag Placem_Collection'!$S89)),"YES","NO")</f>
        <v>NO</v>
      </c>
    </row>
    <row r="163" spans="2:31">
      <c r="B163" t="str">
        <f>'Final data_for_R_analysis_Dryse'!A89</f>
        <v>Dry</v>
      </c>
      <c r="C163" s="260">
        <f>'Final data_for_R_analysis_Dryse'!B89</f>
        <v>88</v>
      </c>
      <c r="D163" t="s">
        <v>3813</v>
      </c>
      <c r="E163" t="s">
        <v>22</v>
      </c>
      <c r="F163" s="382">
        <v>8</v>
      </c>
      <c r="G163" s="16">
        <f>IF('Dry_Litterbag Placem_Collection'!E90="","",'Dry_Litterbag Placem_Collection'!E90)</f>
        <v>42937</v>
      </c>
      <c r="H163" t="str">
        <f>'Final data_for_R_analysis_Dryse'!K89</f>
        <v>G531</v>
      </c>
      <c r="I163" t="str">
        <f>'Final data_for_R_analysis_Dryse'!K309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8"/>
        <v>1.7612000000000001</v>
      </c>
      <c r="M163" s="237">
        <f>AVERAGE(Ashed_controlls!$K$1:$K$11)</f>
        <v>5.5147656768714146</v>
      </c>
      <c r="N163" s="194">
        <f>IFERROR(IF(K163&gt;0,(K163*$F$32-($F$29+$F$30)),""),"")</f>
        <v>1.9611999999999998</v>
      </c>
      <c r="O163" s="16">
        <f>IF('Dry_Litterbag Placem_Collection'!G90="","",'Dry_Litterbag Placem_Collection'!G90)</f>
        <v>43006</v>
      </c>
      <c r="P163" s="194">
        <f>IFERROR(INDEX('Both teabags AfterDry'!$D$3:$D$2000,MATCH(H163,'Both teabags AfterDry'!$A$3:$A$2000,0)),"")</f>
        <v>1.8593999999999999</v>
      </c>
      <c r="Q163" s="194">
        <f>IFERROR(INDEX('Both teabags AfterDry'!$D$3:$D$2000,MATCH(I163,'Both teabags AfterDry'!$A$3:$A$2000,0)),"")</f>
        <v>1.9188000000000001</v>
      </c>
      <c r="R163" s="194">
        <f t="shared" si="9"/>
        <v>1.7087999999999999</v>
      </c>
      <c r="S163" s="194">
        <f t="shared" si="9"/>
        <v>1.7682</v>
      </c>
      <c r="T163" s="194">
        <f t="shared" si="10"/>
        <v>2.975244151714751E-2</v>
      </c>
      <c r="U163" s="194">
        <f t="shared" si="11"/>
        <v>1.9505163559935212E-2</v>
      </c>
      <c r="V163" s="194">
        <f t="shared" si="12"/>
        <v>0.90159086273709976</v>
      </c>
      <c r="W163">
        <f t="shared" si="13"/>
        <v>69</v>
      </c>
      <c r="X163" s="194">
        <f t="shared" si="14"/>
        <v>0.96466455876823332</v>
      </c>
      <c r="Y163" s="194" t="str">
        <f t="shared" si="15"/>
        <v/>
      </c>
      <c r="Z163" s="252" t="str">
        <f>IF(ISNUMBER(SEARCH("C", 'Dry_Litterbag Placem_Collection'!$T90)),"YES","NO")</f>
        <v>NO</v>
      </c>
      <c r="AA163" s="252" t="str">
        <f>IF(ISNUMBER(SEARCH("H", 'Dry_Litterbag Placem_Collection'!$T90)),"YES","NO")</f>
        <v>NO</v>
      </c>
      <c r="AB163" s="252" t="str">
        <f>IF(ISNUMBER(SEARCH("R", 'Dry_Litterbag Placem_Collection'!$T90)),"YES","NO")</f>
        <v>NO</v>
      </c>
      <c r="AC163" s="252" t="str">
        <f>IF(ISNUMBER(SEARCH("C", 'Dry_Litterbag Placem_Collection'!$S90)),"YES","NO")</f>
        <v>NO</v>
      </c>
      <c r="AD163" s="252" t="str">
        <f>IF(ISNUMBER(SEARCH("H", 'Dry_Litterbag Placem_Collection'!$S90)),"YES","NO")</f>
        <v>NO</v>
      </c>
      <c r="AE163" s="252" t="str">
        <f>IF(ISNUMBER(SEARCH("R", 'Dry_Litterbag Placem_Collection'!$S90)),"YES","NO")</f>
        <v>NO</v>
      </c>
    </row>
    <row r="164" spans="2:31">
      <c r="B164" t="str">
        <f>'Final data_for_R_analysis_Dryse'!A90</f>
        <v>Dry</v>
      </c>
      <c r="C164" s="260">
        <f>'Final data_for_R_analysis_Dryse'!B90</f>
        <v>89</v>
      </c>
      <c r="D164" t="s">
        <v>3814</v>
      </c>
      <c r="E164" t="s">
        <v>22</v>
      </c>
      <c r="F164" s="381">
        <v>1</v>
      </c>
      <c r="G164" s="16">
        <f>IF('Dry_Litterbag Placem_Collection'!E91="","",'Dry_Litterbag Placem_Collection'!E91)</f>
        <v>42937</v>
      </c>
      <c r="H164" t="str">
        <f>'Final data_for_R_analysis_Dryse'!K90</f>
        <v>G35</v>
      </c>
      <c r="I164" t="str">
        <f>'Final data_for_R_analysis_Dryse'!K310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8"/>
        <v>1.7801999999999998</v>
      </c>
      <c r="M164" s="237">
        <f>AVERAGE(Ashed_controlls!$K$1:$K$11)</f>
        <v>5.5147656768714146</v>
      </c>
      <c r="N164" s="194">
        <f>IFERROR(IF(K164&gt;0,(K164*$F$32-($F$29+$F$30)),""),"")</f>
        <v>1.9182000000000001</v>
      </c>
      <c r="O164" s="16">
        <f>IF('Dry_Litterbag Placem_Collection'!G91="","",'Dry_Litterbag Placem_Collection'!G91)</f>
        <v>43006</v>
      </c>
      <c r="P164" s="194">
        <f>IFERROR(INDEX('Both teabags AfterDry'!$D$3:$D$2000,MATCH(H164,'Both teabags AfterDry'!$A$3:$A$2000,0)),"")</f>
        <v>1.8633999999999999</v>
      </c>
      <c r="Q164" s="194">
        <f>IFERROR(INDEX('Both teabags AfterDry'!$D$3:$D$2000,MATCH(I164,'Both teabags AfterDry'!$A$3:$A$2000,0)),"")</f>
        <v>1.9155</v>
      </c>
      <c r="R164" s="194">
        <f t="shared" si="9"/>
        <v>1.7127999999999999</v>
      </c>
      <c r="S164" s="194">
        <f t="shared" si="9"/>
        <v>1.7648999999999999</v>
      </c>
      <c r="T164" s="194">
        <f t="shared" si="10"/>
        <v>3.7860914503988319E-2</v>
      </c>
      <c r="U164" s="194">
        <f t="shared" si="11"/>
        <v>2.4820932073873571E-2</v>
      </c>
      <c r="V164" s="194">
        <f t="shared" si="12"/>
        <v>0.92008132624335304</v>
      </c>
      <c r="W164">
        <f t="shared" si="13"/>
        <v>69</v>
      </c>
      <c r="X164" s="194">
        <f t="shared" si="14"/>
        <v>0.95503454334443194</v>
      </c>
      <c r="Y164" s="194" t="str">
        <f t="shared" si="15"/>
        <v/>
      </c>
      <c r="Z164" s="252" t="str">
        <f>IF(ISNUMBER(SEARCH("C", 'Dry_Litterbag Placem_Collection'!$T91)),"YES","NO")</f>
        <v>NO</v>
      </c>
      <c r="AA164" s="252" t="str">
        <f>IF(ISNUMBER(SEARCH("H", 'Dry_Litterbag Placem_Collection'!$T91)),"YES","NO")</f>
        <v>NO</v>
      </c>
      <c r="AB164" s="252" t="str">
        <f>IF(ISNUMBER(SEARCH("R", 'Dry_Litterbag Placem_Collection'!$T91)),"YES","NO")</f>
        <v>NO</v>
      </c>
      <c r="AC164" s="252" t="str">
        <f>IF(ISNUMBER(SEARCH("C", 'Dry_Litterbag Placem_Collection'!$S91)),"YES","NO")</f>
        <v>NO</v>
      </c>
      <c r="AD164" s="252" t="str">
        <f>IF(ISNUMBER(SEARCH("H", 'Dry_Litterbag Placem_Collection'!$S91)),"YES","NO")</f>
        <v>NO</v>
      </c>
      <c r="AE164" s="252" t="str">
        <f>IF(ISNUMBER(SEARCH("R", 'Dry_Litterbag Placem_Collection'!$S91)),"YES","NO")</f>
        <v>NO</v>
      </c>
    </row>
    <row r="165" spans="2:31">
      <c r="B165" t="str">
        <f>'Final data_for_R_analysis_Dryse'!A91</f>
        <v>Dry</v>
      </c>
      <c r="C165" s="260">
        <f>'Final data_for_R_analysis_Dryse'!B91</f>
        <v>90</v>
      </c>
      <c r="D165" t="s">
        <v>3814</v>
      </c>
      <c r="E165" t="s">
        <v>22</v>
      </c>
      <c r="F165" s="381">
        <v>2</v>
      </c>
      <c r="G165" s="16">
        <f>IF('Dry_Litterbag Placem_Collection'!E92="","",'Dry_Litterbag Placem_Collection'!E92)</f>
        <v>42937</v>
      </c>
      <c r="H165" t="str">
        <f>'Final data_for_R_analysis_Dryse'!K91</f>
        <v>G264</v>
      </c>
      <c r="I165" t="str">
        <f>'Final data_for_R_analysis_Dryse'!K311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8"/>
        <v>1.8572000000000002</v>
      </c>
      <c r="M165" s="237">
        <f>AVERAGE(Ashed_controlls!$K$1:$K$11)</f>
        <v>5.5147656768714146</v>
      </c>
      <c r="N165" s="194">
        <f>IFERROR(IF(K165&gt;0,(K165*$F$32-($F$29+$F$30)),""),"")</f>
        <v>1.9392</v>
      </c>
      <c r="O165" s="16">
        <f>IF('Dry_Litterbag Placem_Collection'!G92="","",'Dry_Litterbag Placem_Collection'!G92)</f>
        <v>43006</v>
      </c>
      <c r="P165" s="194" t="str">
        <f>IFERROR(INDEX('Both teabags AfterDry'!$D$3:$D$2000,MATCH(H165,'Both teabags AfterDry'!$A$3:$A$2000,0)),"")</f>
        <v/>
      </c>
      <c r="Q165" s="194" t="str">
        <f>IFERROR(INDEX('Both teabags AfterDry'!$D$3:$D$2000,MATCH(I165,'Both teabags AfterDry'!$A$3:$A$2000,0)),"")</f>
        <v/>
      </c>
      <c r="R165" s="194" t="str">
        <f t="shared" si="9"/>
        <v/>
      </c>
      <c r="S165" s="194" t="str">
        <f t="shared" si="9"/>
        <v/>
      </c>
      <c r="T165" s="194" t="str">
        <f t="shared" si="10"/>
        <v/>
      </c>
      <c r="U165" s="194" t="str">
        <f t="shared" si="11"/>
        <v/>
      </c>
      <c r="V165" s="194" t="str">
        <f t="shared" si="12"/>
        <v/>
      </c>
      <c r="W165">
        <f t="shared" si="13"/>
        <v>69</v>
      </c>
      <c r="X165" s="194" t="str">
        <f t="shared" si="14"/>
        <v/>
      </c>
      <c r="Y165" s="194" t="str">
        <f t="shared" si="15"/>
        <v/>
      </c>
      <c r="Z165" s="252" t="str">
        <f>IF(ISNUMBER(SEARCH("C", 'Dry_Litterbag Placem_Collection'!$T92)),"YES","NO")</f>
        <v>NO</v>
      </c>
      <c r="AA165" s="252" t="str">
        <f>IF(ISNUMBER(SEARCH("H", 'Dry_Litterbag Placem_Collection'!$T92)),"YES","NO")</f>
        <v>NO</v>
      </c>
      <c r="AB165" s="252" t="str">
        <f>IF(ISNUMBER(SEARCH("R", 'Dry_Litterbag Placem_Collection'!$T92)),"YES","NO")</f>
        <v>NO</v>
      </c>
      <c r="AC165" s="252" t="str">
        <f>IF(ISNUMBER(SEARCH("C", 'Dry_Litterbag Placem_Collection'!$S92)),"YES","NO")</f>
        <v>NO</v>
      </c>
      <c r="AD165" s="252" t="str">
        <f>IF(ISNUMBER(SEARCH("H", 'Dry_Litterbag Placem_Collection'!$S92)),"YES","NO")</f>
        <v>NO</v>
      </c>
      <c r="AE165" s="252" t="str">
        <f>IF(ISNUMBER(SEARCH("R", 'Dry_Litterbag Placem_Collection'!$S92)),"YES","NO")</f>
        <v>NO</v>
      </c>
    </row>
    <row r="166" spans="2:31">
      <c r="B166" t="str">
        <f>'Final data_for_R_analysis_Dryse'!A92</f>
        <v>Dry</v>
      </c>
      <c r="C166" s="260">
        <f>'Final data_for_R_analysis_Dryse'!B92</f>
        <v>91</v>
      </c>
      <c r="D166" t="s">
        <v>3814</v>
      </c>
      <c r="E166" t="s">
        <v>22</v>
      </c>
      <c r="F166" s="381">
        <v>3</v>
      </c>
      <c r="G166" s="16">
        <f>IF('Dry_Litterbag Placem_Collection'!E93="","",'Dry_Litterbag Placem_Collection'!E93)</f>
        <v>42937</v>
      </c>
      <c r="H166" t="str">
        <f>'Final data_for_R_analysis_Dryse'!K92</f>
        <v>G13</v>
      </c>
      <c r="I166" t="str">
        <f>'Final data_for_R_analysis_Dryse'!K312</f>
        <v>R787</v>
      </c>
      <c r="J166">
        <f>IFERROR(INDEX('Green_rooibos initial weight'!$C$5:$C$2000,MATCH(H166, 'Green_rooibos initial weight'!$A$5:$A$2000,0)),"")</f>
        <v>2.085</v>
      </c>
      <c r="K166">
        <f>IFERROR(INDEX('Green_rooibos initial weight'!$C$5:$C$2000,MATCH(I166, 'Green_rooibos initial weight'!$A$5:$A$2000,0)),"")</f>
        <v>2.1579999999999999</v>
      </c>
      <c r="L166" s="194">
        <f t="shared" si="8"/>
        <v>1.8351999999999999</v>
      </c>
      <c r="M166" s="237">
        <f>AVERAGE(Ashed_controlls!$K$1:$K$11)</f>
        <v>5.5147656768714146</v>
      </c>
      <c r="N166" s="194">
        <f>IFERROR(IF(K166&gt;0,(K166*$F$32-($F$29+$F$30)),""),"")</f>
        <v>1.9081999999999999</v>
      </c>
      <c r="O166" s="16">
        <f>IF('Dry_Litterbag Placem_Collection'!G93="","",'Dry_Litterbag Placem_Collection'!G93)</f>
        <v>43006</v>
      </c>
      <c r="P166" s="194">
        <f>IFERROR(INDEX('Both teabags AfterDry'!$D$3:$D$2000,MATCH(H166,'Both teabags AfterDry'!$A$3:$A$2000,0)),"")</f>
        <v>1.9104000000000001</v>
      </c>
      <c r="Q166" s="194">
        <f>IFERROR(INDEX('Both teabags AfterDry'!$D$3:$D$2000,MATCH(I166,'Both teabags AfterDry'!$A$3:$A$2000,0)),"")</f>
        <v>1.8551</v>
      </c>
      <c r="R166" s="194">
        <f t="shared" si="9"/>
        <v>1.7598</v>
      </c>
      <c r="S166" s="194">
        <f t="shared" si="9"/>
        <v>1.7044999999999999</v>
      </c>
      <c r="T166" s="194">
        <f t="shared" si="10"/>
        <v>4.1085440278988639E-2</v>
      </c>
      <c r="U166" s="194">
        <f t="shared" si="11"/>
        <v>2.6934872961997283E-2</v>
      </c>
      <c r="V166" s="194">
        <f t="shared" si="12"/>
        <v>0.89325018341892881</v>
      </c>
      <c r="W166">
        <f t="shared" si="13"/>
        <v>69</v>
      </c>
      <c r="X166" s="194">
        <f t="shared" si="14"/>
        <v>0.95120494028623681</v>
      </c>
      <c r="Y166" s="194" t="str">
        <f t="shared" si="15"/>
        <v/>
      </c>
      <c r="Z166" s="252" t="str">
        <f>IF(ISNUMBER(SEARCH("C", 'Dry_Litterbag Placem_Collection'!$T93)),"YES","NO")</f>
        <v>NO</v>
      </c>
      <c r="AA166" s="252" t="str">
        <f>IF(ISNUMBER(SEARCH("H", 'Dry_Litterbag Placem_Collection'!$T93)),"YES","NO")</f>
        <v>NO</v>
      </c>
      <c r="AB166" s="252" t="str">
        <f>IF(ISNUMBER(SEARCH("R", 'Dry_Litterbag Placem_Collection'!$T93)),"YES","NO")</f>
        <v>NO</v>
      </c>
      <c r="AC166" s="252" t="str">
        <f>IF(ISNUMBER(SEARCH("C", 'Dry_Litterbag Placem_Collection'!$S93)),"YES","NO")</f>
        <v>NO</v>
      </c>
      <c r="AD166" s="252" t="str">
        <f>IF(ISNUMBER(SEARCH("H", 'Dry_Litterbag Placem_Collection'!$S93)),"YES","NO")</f>
        <v>NO</v>
      </c>
      <c r="AE166" s="252" t="str">
        <f>IF(ISNUMBER(SEARCH("R", 'Dry_Litterbag Placem_Collection'!$S93)),"YES","NO")</f>
        <v>NO</v>
      </c>
    </row>
    <row r="167" spans="2:31">
      <c r="B167" t="str">
        <f>'Final data_for_R_analysis_Dryse'!A93</f>
        <v>Dry</v>
      </c>
      <c r="C167" s="260">
        <f>'Final data_for_R_analysis_Dryse'!B93</f>
        <v>92</v>
      </c>
      <c r="D167" t="s">
        <v>3814</v>
      </c>
      <c r="E167" t="s">
        <v>22</v>
      </c>
      <c r="F167" s="382">
        <v>4</v>
      </c>
      <c r="G167" s="16">
        <f>IF('Dry_Litterbag Placem_Collection'!E94="","",'Dry_Litterbag Placem_Collection'!E94)</f>
        <v>42937</v>
      </c>
      <c r="H167" t="str">
        <f>'Final data_for_R_analysis_Dryse'!K93</f>
        <v>G324</v>
      </c>
      <c r="I167" t="str">
        <f>'Final data_for_R_analysis_Dryse'!K313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8"/>
        <v>1.7932000000000001</v>
      </c>
      <c r="M167" s="237">
        <f>AVERAGE(Ashed_controlls!$K$1:$K$11)</f>
        <v>5.5147656768714146</v>
      </c>
      <c r="N167" s="194">
        <f>IFERROR(IF(K167&gt;0,(K167*$F$32-($F$29+$F$30)),""),"")</f>
        <v>1.9321999999999999</v>
      </c>
      <c r="O167" s="16">
        <f>IF('Dry_Litterbag Placem_Collection'!G94="","",'Dry_Litterbag Placem_Collection'!G94)</f>
        <v>43006</v>
      </c>
      <c r="P167" s="194">
        <f>IFERROR(INDEX('Both teabags AfterDry'!$D$3:$D$2000,MATCH(H167,'Both teabags AfterDry'!$A$3:$A$2000,0)),"")</f>
        <v>1.6847000000000001</v>
      </c>
      <c r="Q167" s="194">
        <f>IFERROR(INDEX('Both teabags AfterDry'!$D$3:$D$2000,MATCH(I167,'Both teabags AfterDry'!$A$3:$A$2000,0)),"")</f>
        <v>1.8855</v>
      </c>
      <c r="R167" s="194">
        <f t="shared" si="9"/>
        <v>1.5341</v>
      </c>
      <c r="S167" s="194">
        <f t="shared" si="9"/>
        <v>1.7348999999999999</v>
      </c>
      <c r="T167" s="194">
        <f t="shared" si="10"/>
        <v>0.14449029667633284</v>
      </c>
      <c r="U167" s="194">
        <f t="shared" si="11"/>
        <v>9.4725230125101798E-2</v>
      </c>
      <c r="V167" s="194">
        <f t="shared" si="12"/>
        <v>0.89788841734810054</v>
      </c>
      <c r="W167">
        <f t="shared" si="13"/>
        <v>69</v>
      </c>
      <c r="X167" s="194">
        <f t="shared" si="14"/>
        <v>0.82839632223713444</v>
      </c>
      <c r="Y167" s="194" t="str">
        <f t="shared" si="15"/>
        <v/>
      </c>
      <c r="Z167" s="252" t="str">
        <f>IF(ISNUMBER(SEARCH("C", 'Dry_Litterbag Placem_Collection'!$T94)),"YES","NO")</f>
        <v>NO</v>
      </c>
      <c r="AA167" s="252" t="str">
        <f>IF(ISNUMBER(SEARCH("H", 'Dry_Litterbag Placem_Collection'!$T94)),"YES","NO")</f>
        <v>NO</v>
      </c>
      <c r="AB167" s="252" t="str">
        <f>IF(ISNUMBER(SEARCH("R", 'Dry_Litterbag Placem_Collection'!$T94)),"YES","NO")</f>
        <v>NO</v>
      </c>
      <c r="AC167" s="252" t="str">
        <f>IF(ISNUMBER(SEARCH("C", 'Dry_Litterbag Placem_Collection'!$S94)),"YES","NO")</f>
        <v>NO</v>
      </c>
      <c r="AD167" s="252" t="str">
        <f>IF(ISNUMBER(SEARCH("H", 'Dry_Litterbag Placem_Collection'!$S94)),"YES","NO")</f>
        <v>YES</v>
      </c>
      <c r="AE167" s="252" t="str">
        <f>IF(ISNUMBER(SEARCH("R", 'Dry_Litterbag Placem_Collection'!$S94)),"YES","NO")</f>
        <v>NO</v>
      </c>
    </row>
    <row r="168" spans="2:31">
      <c r="B168" t="str">
        <f>'Final data_for_R_analysis_Dryse'!A94</f>
        <v>Dry</v>
      </c>
      <c r="C168" s="260">
        <f>'Final data_for_R_analysis_Dryse'!B94</f>
        <v>93</v>
      </c>
      <c r="D168" t="s">
        <v>3814</v>
      </c>
      <c r="E168" t="s">
        <v>22</v>
      </c>
      <c r="F168" s="382">
        <v>5</v>
      </c>
      <c r="G168" s="16">
        <f>IF('Dry_Litterbag Placem_Collection'!E95="","",'Dry_Litterbag Placem_Collection'!E95)</f>
        <v>42937</v>
      </c>
      <c r="H168" t="str">
        <f>'Final data_for_R_analysis_Dryse'!K94</f>
        <v>G99</v>
      </c>
      <c r="I168" t="str">
        <f>'Final data_for_R_analysis_Dryse'!K314</f>
        <v>R675</v>
      </c>
      <c r="J168">
        <f>IFERROR(INDEX('Green_rooibos initial weight'!$C$5:$C$2000,MATCH(H168, 'Green_rooibos initial weight'!$A$5:$A$2000,0)),"")</f>
        <v>2.097</v>
      </c>
      <c r="K168">
        <f>IFERROR(INDEX('Green_rooibos initial weight'!$C$5:$C$2000,MATCH(I168, 'Green_rooibos initial weight'!$A$5:$A$2000,0)),"")</f>
        <v>2.2069999999999999</v>
      </c>
      <c r="L168" s="194">
        <f t="shared" si="8"/>
        <v>1.8472</v>
      </c>
      <c r="M168" s="237">
        <f>AVERAGE(Ashed_controlls!$K$1:$K$11)</f>
        <v>5.5147656768714146</v>
      </c>
      <c r="N168" s="194">
        <f>IFERROR(IF(K168&gt;0,(K168*$F$32-($F$29+$F$30)),""),"")</f>
        <v>1.9571999999999998</v>
      </c>
      <c r="O168" s="16">
        <f>IF('Dry_Litterbag Placem_Collection'!G95="","",'Dry_Litterbag Placem_Collection'!G95)</f>
        <v>43006</v>
      </c>
      <c r="P168" s="194">
        <f>IFERROR(INDEX('Both teabags AfterDry'!$D$3:$D$2000,MATCH(H168,'Both teabags AfterDry'!$A$3:$A$2000,0)),"")</f>
        <v>1.9186000000000001</v>
      </c>
      <c r="Q168" s="194">
        <f>IFERROR(INDEX('Both teabags AfterDry'!$D$3:$D$2000,MATCH(I168,'Both teabags AfterDry'!$A$3:$A$2000,0)),"")</f>
        <v>2.0310000000000001</v>
      </c>
      <c r="R168" s="194">
        <f t="shared" si="9"/>
        <v>1.768</v>
      </c>
      <c r="S168" s="194">
        <f t="shared" si="9"/>
        <v>1.8804000000000001</v>
      </c>
      <c r="T168" s="194">
        <f t="shared" si="10"/>
        <v>4.287570376786487E-2</v>
      </c>
      <c r="U168" s="194">
        <f t="shared" si="11"/>
        <v>2.8108537387008806E-2</v>
      </c>
      <c r="V168" s="194">
        <f t="shared" si="12"/>
        <v>0.96076026977314544</v>
      </c>
      <c r="W168">
        <f t="shared" si="13"/>
        <v>69</v>
      </c>
      <c r="X168" s="194">
        <f t="shared" si="14"/>
        <v>0.94907873661773767</v>
      </c>
      <c r="Y168" s="194" t="str">
        <f t="shared" si="15"/>
        <v/>
      </c>
      <c r="Z168" s="252" t="str">
        <f>IF(ISNUMBER(SEARCH("C", 'Dry_Litterbag Placem_Collection'!$T95)),"YES","NO")</f>
        <v>NO</v>
      </c>
      <c r="AA168" s="252" t="str">
        <f>IF(ISNUMBER(SEARCH("H", 'Dry_Litterbag Placem_Collection'!$T95)),"YES","NO")</f>
        <v>YES</v>
      </c>
      <c r="AB168" s="252" t="str">
        <f>IF(ISNUMBER(SEARCH("R", 'Dry_Litterbag Placem_Collection'!$T95)),"YES","NO")</f>
        <v>NO</v>
      </c>
      <c r="AC168" s="252" t="str">
        <f>IF(ISNUMBER(SEARCH("C", 'Dry_Litterbag Placem_Collection'!$S95)),"YES","NO")</f>
        <v>NO</v>
      </c>
      <c r="AD168" s="252" t="str">
        <f>IF(ISNUMBER(SEARCH("H", 'Dry_Litterbag Placem_Collection'!$S95)),"YES","NO")</f>
        <v>YES</v>
      </c>
      <c r="AE168" s="252" t="str">
        <f>IF(ISNUMBER(SEARCH("R", 'Dry_Litterbag Placem_Collection'!$S95)),"YES","NO")</f>
        <v>NO</v>
      </c>
    </row>
    <row r="169" spans="2:31">
      <c r="B169" t="str">
        <f>'Final data_for_R_analysis_Dryse'!A95</f>
        <v>Dry</v>
      </c>
      <c r="C169" s="260">
        <f>'Final data_for_R_analysis_Dryse'!B95</f>
        <v>94</v>
      </c>
      <c r="D169" t="s">
        <v>3814</v>
      </c>
      <c r="E169" t="s">
        <v>22</v>
      </c>
      <c r="F169" s="382">
        <v>6</v>
      </c>
      <c r="G169" s="16" t="str">
        <f>IF('Dry_Litterbag Placem_Collection'!E96="","",'Dry_Litterbag Placem_Collection'!E96)</f>
        <v/>
      </c>
      <c r="H169" t="str">
        <f>'Final data_for_R_analysis_Dryse'!K95</f>
        <v/>
      </c>
      <c r="I169" t="str">
        <f>'Final data_for_R_analysis_Dryse'!K315</f>
        <v/>
      </c>
      <c r="J169" t="str">
        <f>IFERROR(INDEX('Green_rooibos initial weight'!$C$5:$C$2000,MATCH(H169, 'Green_rooibos initial weight'!$A$5:$A$2000,0)),"")</f>
        <v/>
      </c>
      <c r="K169" t="str">
        <f>IFERROR(INDEX('Green_rooibos initial weight'!$C$5:$C$2000,MATCH(I169, 'Green_rooibos initial weight'!$A$5:$A$2000,0)),"")</f>
        <v/>
      </c>
      <c r="L169" s="194" t="str">
        <f t="shared" si="8"/>
        <v/>
      </c>
      <c r="M169" s="237">
        <f>AVERAGE(Ashed_controlls!$K$1:$K$11)</f>
        <v>5.5147656768714146</v>
      </c>
      <c r="N169" s="194" t="str">
        <f>IFERROR(IF(K169&gt;0,(K169*$F$32-($F$29+$F$30)),""),"")</f>
        <v/>
      </c>
      <c r="O169" s="16" t="str">
        <f>IF('Dry_Litterbag Placem_Collection'!G96="","",'Dry_Litterbag Placem_Collection'!G96)</f>
        <v/>
      </c>
      <c r="P169" s="194" t="str">
        <f>IFERROR(INDEX('Both teabags AfterDry'!$D$3:$D$2000,MATCH(H169,'Both teabags AfterDry'!$A$3:$A$2000,0)),"")</f>
        <v/>
      </c>
      <c r="Q169" s="194" t="str">
        <f>IFERROR(INDEX('Both teabags AfterDry'!$D$3:$D$2000,MATCH(I169,'Both teabags AfterDry'!$A$3:$A$2000,0)),"")</f>
        <v/>
      </c>
      <c r="R169" s="194" t="str">
        <f t="shared" si="9"/>
        <v/>
      </c>
      <c r="S169" s="194" t="str">
        <f t="shared" si="9"/>
        <v/>
      </c>
      <c r="T169" s="194" t="str">
        <f t="shared" si="10"/>
        <v/>
      </c>
      <c r="U169" s="194" t="str">
        <f t="shared" si="11"/>
        <v/>
      </c>
      <c r="V169" s="194" t="str">
        <f t="shared" si="12"/>
        <v/>
      </c>
      <c r="W169" t="str">
        <f t="shared" si="13"/>
        <v/>
      </c>
      <c r="X169" s="194" t="str">
        <f t="shared" si="14"/>
        <v/>
      </c>
      <c r="Y169" s="194" t="str">
        <f t="shared" si="15"/>
        <v/>
      </c>
      <c r="Z169" s="252" t="str">
        <f>IF(ISNUMBER(SEARCH("C", 'Dry_Litterbag Placem_Collection'!$T96)),"YES","NO")</f>
        <v>NO</v>
      </c>
      <c r="AA169" s="252" t="str">
        <f>IF(ISNUMBER(SEARCH("H", 'Dry_Litterbag Placem_Collection'!$T96)),"YES","NO")</f>
        <v>NO</v>
      </c>
      <c r="AB169" s="252" t="str">
        <f>IF(ISNUMBER(SEARCH("R", 'Dry_Litterbag Placem_Collection'!$T96)),"YES","NO")</f>
        <v>NO</v>
      </c>
      <c r="AC169" s="252" t="str">
        <f>IF(ISNUMBER(SEARCH("C", 'Dry_Litterbag Placem_Collection'!$S96)),"YES","NO")</f>
        <v>NO</v>
      </c>
      <c r="AD169" s="252" t="str">
        <f>IF(ISNUMBER(SEARCH("H", 'Dry_Litterbag Placem_Collection'!$S96)),"YES","NO")</f>
        <v>NO</v>
      </c>
      <c r="AE169" s="252" t="str">
        <f>IF(ISNUMBER(SEARCH("R", 'Dry_Litterbag Placem_Collection'!$S96)),"YES","NO")</f>
        <v>NO</v>
      </c>
    </row>
    <row r="170" spans="2:31">
      <c r="B170" t="str">
        <f>'Final data_for_R_analysis_Dryse'!A96</f>
        <v>Dry</v>
      </c>
      <c r="C170" s="260">
        <f>'Final data_for_R_analysis_Dryse'!B96</f>
        <v>95</v>
      </c>
      <c r="D170" t="s">
        <v>3814</v>
      </c>
      <c r="E170" t="s">
        <v>22</v>
      </c>
      <c r="F170" s="382">
        <v>7</v>
      </c>
      <c r="G170" s="16">
        <f>IF('Dry_Litterbag Placem_Collection'!E97="","",'Dry_Litterbag Placem_Collection'!E97)</f>
        <v>42937</v>
      </c>
      <c r="H170" t="str">
        <f>'Final data_for_R_analysis_Dryse'!K96</f>
        <v>G126</v>
      </c>
      <c r="I170" t="str">
        <f>'Final data_for_R_analysis_Dryse'!K316</f>
        <v>R794</v>
      </c>
      <c r="J170">
        <f>IFERROR(INDEX('Green_rooibos initial weight'!$C$5:$C$2000,MATCH(H170, 'Green_rooibos initial weight'!$A$5:$A$2000,0)),"")</f>
        <v>2.093</v>
      </c>
      <c r="K170">
        <f>IFERROR(INDEX('Green_rooibos initial weight'!$C$5:$C$2000,MATCH(I170, 'Green_rooibos initial weight'!$A$5:$A$2000,0)),"")</f>
        <v>2.2000000000000002</v>
      </c>
      <c r="L170" s="194">
        <f t="shared" si="8"/>
        <v>1.8431999999999999</v>
      </c>
      <c r="M170" s="237">
        <f>AVERAGE(Ashed_controlls!$K$1:$K$11)</f>
        <v>5.5147656768714146</v>
      </c>
      <c r="N170" s="194">
        <f>IFERROR(IF(K170&gt;0,(K170*$F$32-($F$29+$F$30)),""),"")</f>
        <v>1.9502000000000002</v>
      </c>
      <c r="O170" s="16">
        <f>IF('Dry_Litterbag Placem_Collection'!G97="","",'Dry_Litterbag Placem_Collection'!G97)</f>
        <v>43006</v>
      </c>
      <c r="P170" s="194">
        <f>IFERROR(INDEX('Both teabags AfterDry'!$D$3:$D$2000,MATCH(H170,'Both teabags AfterDry'!$A$3:$A$2000,0)),"")</f>
        <v>1.8705000000000001</v>
      </c>
      <c r="Q170" s="194">
        <f>IFERROR(INDEX('Both teabags AfterDry'!$D$3:$D$2000,MATCH(I170,'Both teabags AfterDry'!$A$3:$A$2000,0)),"")</f>
        <v>1.9469000000000001</v>
      </c>
      <c r="R170" s="194">
        <f t="shared" si="9"/>
        <v>1.7199</v>
      </c>
      <c r="S170" s="194">
        <f t="shared" si="9"/>
        <v>1.7963</v>
      </c>
      <c r="T170" s="194">
        <f t="shared" si="10"/>
        <v>6.689453125E-2</v>
      </c>
      <c r="U170" s="194">
        <f t="shared" si="11"/>
        <v>4.3854847090261322E-2</v>
      </c>
      <c r="V170" s="194">
        <f t="shared" si="12"/>
        <v>0.92108501692134137</v>
      </c>
      <c r="W170">
        <f t="shared" si="13"/>
        <v>69</v>
      </c>
      <c r="X170" s="194">
        <f t="shared" si="14"/>
        <v>0.92055281324228022</v>
      </c>
      <c r="Y170" s="194" t="str">
        <f t="shared" si="15"/>
        <v/>
      </c>
      <c r="Z170" s="252" t="str">
        <f>IF(ISNUMBER(SEARCH("C", 'Dry_Litterbag Placem_Collection'!$T97)),"YES","NO")</f>
        <v>NO</v>
      </c>
      <c r="AA170" s="252" t="str">
        <f>IF(ISNUMBER(SEARCH("H", 'Dry_Litterbag Placem_Collection'!$T97)),"YES","NO")</f>
        <v>NO</v>
      </c>
      <c r="AB170" s="252" t="str">
        <f>IF(ISNUMBER(SEARCH("R", 'Dry_Litterbag Placem_Collection'!$T97)),"YES","NO")</f>
        <v>NO</v>
      </c>
      <c r="AC170" s="252" t="str">
        <f>IF(ISNUMBER(SEARCH("C", 'Dry_Litterbag Placem_Collection'!$S97)),"YES","NO")</f>
        <v>NO</v>
      </c>
      <c r="AD170" s="252" t="str">
        <f>IF(ISNUMBER(SEARCH("H", 'Dry_Litterbag Placem_Collection'!$S97)),"YES","NO")</f>
        <v>NO</v>
      </c>
      <c r="AE170" s="252" t="str">
        <f>IF(ISNUMBER(SEARCH("R", 'Dry_Litterbag Placem_Collection'!$S97)),"YES","NO")</f>
        <v>NO</v>
      </c>
    </row>
    <row r="171" spans="2:31">
      <c r="B171" t="str">
        <f>'Final data_for_R_analysis_Dryse'!A97</f>
        <v>Dry</v>
      </c>
      <c r="C171" s="260">
        <f>'Final data_for_R_analysis_Dryse'!B97</f>
        <v>96</v>
      </c>
      <c r="D171" t="s">
        <v>3814</v>
      </c>
      <c r="E171" t="s">
        <v>22</v>
      </c>
      <c r="F171" s="382">
        <v>8</v>
      </c>
      <c r="G171" s="16">
        <f>IF('Dry_Litterbag Placem_Collection'!E98="","",'Dry_Litterbag Placem_Collection'!E98)</f>
        <v>42937</v>
      </c>
      <c r="H171" t="str">
        <f>'Final data_for_R_analysis_Dryse'!K97</f>
        <v>G244</v>
      </c>
      <c r="I171" t="str">
        <f>'Final data_for_R_analysis_Dryse'!K317</f>
        <v>R737</v>
      </c>
      <c r="J171">
        <f>IFERROR(INDEX('Green_rooibos initial weight'!$C$5:$C$2000,MATCH(H171, 'Green_rooibos initial weight'!$A$5:$A$2000,0)),"")</f>
        <v>2.04</v>
      </c>
      <c r="K171">
        <f>IFERROR(INDEX('Green_rooibos initial weight'!$C$5:$C$2000,MATCH(I171, 'Green_rooibos initial weight'!$A$5:$A$2000,0)),"")</f>
        <v>2.222</v>
      </c>
      <c r="L171" s="194">
        <f t="shared" si="8"/>
        <v>1.7902</v>
      </c>
      <c r="M171" s="237">
        <f>AVERAGE(Ashed_controlls!$K$1:$K$11)</f>
        <v>5.5147656768714146</v>
      </c>
      <c r="N171" s="194">
        <f>IFERROR(IF(K171&gt;0,(K171*$F$32-($F$29+$F$30)),""),"")</f>
        <v>1.9722</v>
      </c>
      <c r="O171" s="16">
        <f>IF('Dry_Litterbag Placem_Collection'!G98="","",'Dry_Litterbag Placem_Collection'!G98)</f>
        <v>43006</v>
      </c>
      <c r="P171" s="194">
        <f>IFERROR(INDEX('Both teabags AfterDry'!$D$3:$D$2000,MATCH(H171,'Both teabags AfterDry'!$A$3:$A$2000,0)),"")</f>
        <v>1.8649</v>
      </c>
      <c r="Q171" s="194">
        <f>IFERROR(INDEX('Both teabags AfterDry'!$D$3:$D$2000,MATCH(I171,'Both teabags AfterDry'!$A$3:$A$2000,0)),"")</f>
        <v>1.9686999999999999</v>
      </c>
      <c r="R171" s="194">
        <f t="shared" si="9"/>
        <v>1.7142999999999999</v>
      </c>
      <c r="S171" s="194">
        <f t="shared" si="9"/>
        <v>1.8180999999999998</v>
      </c>
      <c r="T171" s="194">
        <f t="shared" si="10"/>
        <v>4.2397497486314384E-2</v>
      </c>
      <c r="U171" s="194">
        <f t="shared" si="11"/>
        <v>2.7795033981526763E-2</v>
      </c>
      <c r="V171" s="194">
        <f t="shared" si="12"/>
        <v>0.92186390832572751</v>
      </c>
      <c r="W171">
        <f t="shared" si="13"/>
        <v>69</v>
      </c>
      <c r="X171" s="194">
        <f t="shared" si="14"/>
        <v>0.94964667756969789</v>
      </c>
      <c r="Y171" s="194" t="str">
        <f t="shared" si="15"/>
        <v/>
      </c>
      <c r="Z171" s="252" t="str">
        <f>IF(ISNUMBER(SEARCH("C", 'Dry_Litterbag Placem_Collection'!$T98)),"YES","NO")</f>
        <v>NO</v>
      </c>
      <c r="AA171" s="252" t="str">
        <f>IF(ISNUMBER(SEARCH("H", 'Dry_Litterbag Placem_Collection'!$T98)),"YES","NO")</f>
        <v>NO</v>
      </c>
      <c r="AB171" s="252" t="str">
        <f>IF(ISNUMBER(SEARCH("R", 'Dry_Litterbag Placem_Collection'!$T98)),"YES","NO")</f>
        <v>NO</v>
      </c>
      <c r="AC171" s="252" t="str">
        <f>IF(ISNUMBER(SEARCH("C", 'Dry_Litterbag Placem_Collection'!$S98)),"YES","NO")</f>
        <v>NO</v>
      </c>
      <c r="AD171" s="252" t="str">
        <f>IF(ISNUMBER(SEARCH("H", 'Dry_Litterbag Placem_Collection'!$S98)),"YES","NO")</f>
        <v>NO</v>
      </c>
      <c r="AE171" s="252" t="str">
        <f>IF(ISNUMBER(SEARCH("R", 'Dry_Litterbag Placem_Collection'!$S98)),"YES","NO")</f>
        <v>NO</v>
      </c>
    </row>
    <row r="172" spans="2:31">
      <c r="B172" t="str">
        <f>'Final data_for_R_analysis_Dryse'!A98</f>
        <v>Dry</v>
      </c>
      <c r="C172" s="260">
        <f>'Final data_for_R_analysis_Dryse'!B98</f>
        <v>97</v>
      </c>
      <c r="D172" t="s">
        <v>3815</v>
      </c>
      <c r="E172" t="s">
        <v>22</v>
      </c>
      <c r="F172" s="381">
        <v>1</v>
      </c>
      <c r="G172" s="16">
        <f>IF('Dry_Litterbag Placem_Collection'!E99="","",'Dry_Litterbag Placem_Collection'!E99)</f>
        <v>42939</v>
      </c>
      <c r="H172" t="str">
        <f>'Final data_for_R_analysis_Dryse'!K98</f>
        <v>G432</v>
      </c>
      <c r="I172" t="str">
        <f>'Final data_for_R_analysis_Dryse'!K318</f>
        <v>R801</v>
      </c>
      <c r="J172">
        <f>IFERROR(INDEX('Green_rooibos initial weight'!$C$5:$C$2000,MATCH(H172, 'Green_rooibos initial weight'!$A$5:$A$2000,0)),"")</f>
        <v>2.0659999999999998</v>
      </c>
      <c r="K172">
        <f>IFERROR(INDEX('Green_rooibos initial weight'!$C$5:$C$2000,MATCH(I172, 'Green_rooibos initial weight'!$A$5:$A$2000,0)),"")</f>
        <v>2.17</v>
      </c>
      <c r="L172" s="194">
        <f t="shared" si="8"/>
        <v>1.8161999999999998</v>
      </c>
      <c r="M172" s="237">
        <f>AVERAGE(Ashed_controlls!$K$1:$K$11)</f>
        <v>5.5147656768714146</v>
      </c>
      <c r="N172" s="194">
        <f>IFERROR(IF(K172&gt;0,(K172*$F$32-($F$29+$F$30)),""),"")</f>
        <v>1.9201999999999999</v>
      </c>
      <c r="O172" s="16">
        <f>IF('Dry_Litterbag Placem_Collection'!G99="","",'Dry_Litterbag Placem_Collection'!G99)</f>
        <v>43010</v>
      </c>
      <c r="P172" s="194" t="str">
        <f>IFERROR(INDEX('Both teabags AfterDry'!$D$3:$D$2000,MATCH(H172,'Both teabags AfterDry'!$A$3:$A$2000,0)),"")</f>
        <v/>
      </c>
      <c r="Q172" s="194" t="str">
        <f>IFERROR(INDEX('Both teabags AfterDry'!$D$3:$D$2000,MATCH(I172,'Both teabags AfterDry'!$A$3:$A$2000,0)),"")</f>
        <v/>
      </c>
      <c r="R172" s="194" t="str">
        <f t="shared" si="9"/>
        <v/>
      </c>
      <c r="S172" s="194" t="str">
        <f t="shared" si="9"/>
        <v/>
      </c>
      <c r="T172" s="194" t="str">
        <f t="shared" si="10"/>
        <v/>
      </c>
      <c r="U172" s="194" t="str">
        <f t="shared" si="11"/>
        <v/>
      </c>
      <c r="V172" s="194" t="str">
        <f t="shared" si="12"/>
        <v/>
      </c>
      <c r="W172">
        <f t="shared" si="13"/>
        <v>71</v>
      </c>
      <c r="X172" s="194" t="str">
        <f t="shared" si="14"/>
        <v/>
      </c>
      <c r="Y172" s="194" t="str">
        <f t="shared" si="15"/>
        <v/>
      </c>
      <c r="Z172" s="252" t="str">
        <f>IF(ISNUMBER(SEARCH("C", 'Dry_Litterbag Placem_Collection'!$T99)),"YES","NO")</f>
        <v>YES</v>
      </c>
      <c r="AA172" s="252" t="str">
        <f>IF(ISNUMBER(SEARCH("H", 'Dry_Litterbag Placem_Collection'!$T99)),"YES","NO")</f>
        <v>YES</v>
      </c>
      <c r="AB172" s="252" t="str">
        <f>IF(ISNUMBER(SEARCH("R", 'Dry_Litterbag Placem_Collection'!$T99)),"YES","NO")</f>
        <v>NO</v>
      </c>
      <c r="AC172" s="252" t="str">
        <f>IF(ISNUMBER(SEARCH("C", 'Dry_Litterbag Placem_Collection'!$S99)),"YES","NO")</f>
        <v>YES</v>
      </c>
      <c r="AD172" s="252" t="str">
        <f>IF(ISNUMBER(SEARCH("H", 'Dry_Litterbag Placem_Collection'!$S99)),"YES","NO")</f>
        <v>YES</v>
      </c>
      <c r="AE172" s="252" t="str">
        <f>IF(ISNUMBER(SEARCH("R", 'Dry_Litterbag Placem_Collection'!$S99)),"YES","NO")</f>
        <v>NO</v>
      </c>
    </row>
    <row r="173" spans="2:31">
      <c r="B173" t="str">
        <f>'Final data_for_R_analysis_Dryse'!A99</f>
        <v>Dry</v>
      </c>
      <c r="C173" s="260">
        <f>'Final data_for_R_analysis_Dryse'!B99</f>
        <v>98</v>
      </c>
      <c r="D173" t="s">
        <v>3815</v>
      </c>
      <c r="E173" t="s">
        <v>22</v>
      </c>
      <c r="F173" s="381">
        <v>2</v>
      </c>
      <c r="G173" s="16">
        <f>IF('Dry_Litterbag Placem_Collection'!E100="","",'Dry_Litterbag Placem_Collection'!E100)</f>
        <v>42939</v>
      </c>
      <c r="H173" t="str">
        <f>'Final data_for_R_analysis_Dryse'!K99</f>
        <v>G184</v>
      </c>
      <c r="I173" t="str">
        <f>'Final data_for_R_analysis_Dryse'!K319</f>
        <v>R808</v>
      </c>
      <c r="J173">
        <f>IFERROR(INDEX('Green_rooibos initial weight'!$C$5:$C$2000,MATCH(H173, 'Green_rooibos initial weight'!$A$5:$A$2000,0)),"")</f>
        <v>1.925</v>
      </c>
      <c r="K173">
        <f>IFERROR(INDEX('Green_rooibos initial weight'!$C$5:$C$2000,MATCH(I173, 'Green_rooibos initial weight'!$A$5:$A$2000,0)),"")</f>
        <v>2.2309999999999999</v>
      </c>
      <c r="L173" s="194">
        <f t="shared" si="8"/>
        <v>1.6752</v>
      </c>
      <c r="M173" s="237">
        <f>AVERAGE(Ashed_controlls!$K$1:$K$11)</f>
        <v>5.5147656768714146</v>
      </c>
      <c r="N173" s="194">
        <f>IFERROR(IF(K173&gt;0,(K173*$F$32-($F$29+$F$30)),""),"")</f>
        <v>1.9811999999999999</v>
      </c>
      <c r="O173" s="16">
        <f>IF('Dry_Litterbag Placem_Collection'!G100="","",'Dry_Litterbag Placem_Collection'!G100)</f>
        <v>43010</v>
      </c>
      <c r="P173" s="194">
        <f>IFERROR(INDEX('Both teabags AfterDry'!$D$3:$D$2000,MATCH(H173,'Both teabags AfterDry'!$A$3:$A$2000,0)),"")</f>
        <v>0.99180000000000001</v>
      </c>
      <c r="Q173" s="194">
        <f>IFERROR(INDEX('Both teabags AfterDry'!$D$3:$D$2000,MATCH(I173,'Both teabags AfterDry'!$A$3:$A$2000,0)),"")</f>
        <v>0</v>
      </c>
      <c r="R173" s="194">
        <f t="shared" si="9"/>
        <v>0.84119999999999995</v>
      </c>
      <c r="S173" s="194" t="str">
        <f t="shared" si="9"/>
        <v/>
      </c>
      <c r="T173" s="194">
        <f t="shared" si="10"/>
        <v>0.49785100286532957</v>
      </c>
      <c r="U173" s="194">
        <f t="shared" si="11"/>
        <v>0.32638213014449163</v>
      </c>
      <c r="V173" s="194" t="str">
        <f t="shared" si="12"/>
        <v/>
      </c>
      <c r="W173">
        <f t="shared" si="13"/>
        <v>71</v>
      </c>
      <c r="X173" s="194">
        <f t="shared" si="14"/>
        <v>0.40872802510055872</v>
      </c>
      <c r="Y173" s="194" t="str">
        <f t="shared" si="15"/>
        <v/>
      </c>
      <c r="Z173" s="252" t="str">
        <f>IF(ISNUMBER(SEARCH("C", 'Dry_Litterbag Placem_Collection'!$T100)),"YES","NO")</f>
        <v>YES</v>
      </c>
      <c r="AA173" s="252" t="str">
        <f>IF(ISNUMBER(SEARCH("H", 'Dry_Litterbag Placem_Collection'!$T100)),"YES","NO")</f>
        <v>YES</v>
      </c>
      <c r="AB173" s="252" t="str">
        <f>IF(ISNUMBER(SEARCH("R", 'Dry_Litterbag Placem_Collection'!$T100)),"YES","NO")</f>
        <v>NO</v>
      </c>
      <c r="AC173" s="252" t="str">
        <f>IF(ISNUMBER(SEARCH("C", 'Dry_Litterbag Placem_Collection'!$S100)),"YES","NO")</f>
        <v>YES</v>
      </c>
      <c r="AD173" s="252" t="str">
        <f>IF(ISNUMBER(SEARCH("H", 'Dry_Litterbag Placem_Collection'!$S100)),"YES","NO")</f>
        <v>YES</v>
      </c>
      <c r="AE173" s="252" t="str">
        <f>IF(ISNUMBER(SEARCH("R", 'Dry_Litterbag Placem_Collection'!$S100)),"YES","NO")</f>
        <v>NO</v>
      </c>
    </row>
    <row r="174" spans="2:31">
      <c r="B174" t="str">
        <f>'Final data_for_R_analysis_Dryse'!A100</f>
        <v>Dry</v>
      </c>
      <c r="C174" s="260">
        <f>'Final data_for_R_analysis_Dryse'!B100</f>
        <v>99</v>
      </c>
      <c r="D174" t="s">
        <v>3815</v>
      </c>
      <c r="E174" t="s">
        <v>22</v>
      </c>
      <c r="F174" s="381">
        <v>3</v>
      </c>
      <c r="G174" s="16" t="str">
        <f>IF('Dry_Litterbag Placem_Collection'!E101="","",'Dry_Litterbag Placem_Collection'!E101)</f>
        <v/>
      </c>
      <c r="H174" t="str">
        <f>'Final data_for_R_analysis_Dryse'!K100</f>
        <v/>
      </c>
      <c r="I174" t="str">
        <f>'Final data_for_R_analysis_Dryse'!K320</f>
        <v/>
      </c>
      <c r="J174" t="str">
        <f>IFERROR(INDEX('Green_rooibos initial weight'!$C$5:$C$2000,MATCH(H174, 'Green_rooibos initial weight'!$A$5:$A$2000,0)),"")</f>
        <v/>
      </c>
      <c r="K174" t="str">
        <f>IFERROR(INDEX('Green_rooibos initial weight'!$C$5:$C$2000,MATCH(I174, 'Green_rooibos initial weight'!$A$5:$A$2000,0)),"")</f>
        <v/>
      </c>
      <c r="L174" s="194" t="str">
        <f t="shared" si="8"/>
        <v/>
      </c>
      <c r="M174" s="237">
        <f>AVERAGE(Ashed_controlls!$K$1:$K$11)</f>
        <v>5.5147656768714146</v>
      </c>
      <c r="N174" s="194" t="str">
        <f>IFERROR(IF(K174&gt;0,(K174*$F$32-($F$29+$F$30)),""),"")</f>
        <v/>
      </c>
      <c r="O174" s="16" t="str">
        <f>IF('Dry_Litterbag Placem_Collection'!G101="","",'Dry_Litterbag Placem_Collection'!G101)</f>
        <v/>
      </c>
      <c r="P174" s="194" t="str">
        <f>IFERROR(INDEX('Both teabags AfterDry'!$D$3:$D$2000,MATCH(H174,'Both teabags AfterDry'!$A$3:$A$2000,0)),"")</f>
        <v/>
      </c>
      <c r="Q174" s="194" t="str">
        <f>IFERROR(INDEX('Both teabags AfterDry'!$D$3:$D$2000,MATCH(I174,'Both teabags AfterDry'!$A$3:$A$2000,0)),"")</f>
        <v/>
      </c>
      <c r="R174" s="194" t="str">
        <f t="shared" si="9"/>
        <v/>
      </c>
      <c r="S174" s="194" t="str">
        <f t="shared" si="9"/>
        <v/>
      </c>
      <c r="T174" s="194" t="str">
        <f t="shared" si="10"/>
        <v/>
      </c>
      <c r="U174" s="194" t="str">
        <f t="shared" si="11"/>
        <v/>
      </c>
      <c r="V174" s="194" t="str">
        <f t="shared" si="12"/>
        <v/>
      </c>
      <c r="W174" t="str">
        <f t="shared" si="13"/>
        <v/>
      </c>
      <c r="X174" s="194" t="str">
        <f t="shared" si="14"/>
        <v/>
      </c>
      <c r="Y174" s="194" t="str">
        <f t="shared" si="15"/>
        <v/>
      </c>
      <c r="Z174" s="252" t="str">
        <f>IF(ISNUMBER(SEARCH("C", 'Dry_Litterbag Placem_Collection'!$T101)),"YES","NO")</f>
        <v>NO</v>
      </c>
      <c r="AA174" s="252" t="str">
        <f>IF(ISNUMBER(SEARCH("H", 'Dry_Litterbag Placem_Collection'!$T101)),"YES","NO")</f>
        <v>NO</v>
      </c>
      <c r="AB174" s="252" t="str">
        <f>IF(ISNUMBER(SEARCH("R", 'Dry_Litterbag Placem_Collection'!$T101)),"YES","NO")</f>
        <v>NO</v>
      </c>
      <c r="AC174" s="252" t="str">
        <f>IF(ISNUMBER(SEARCH("C", 'Dry_Litterbag Placem_Collection'!$S101)),"YES","NO")</f>
        <v>NO</v>
      </c>
      <c r="AD174" s="252" t="str">
        <f>IF(ISNUMBER(SEARCH("H", 'Dry_Litterbag Placem_Collection'!$S101)),"YES","NO")</f>
        <v>NO</v>
      </c>
      <c r="AE174" s="252" t="str">
        <f>IF(ISNUMBER(SEARCH("R", 'Dry_Litterbag Placem_Collection'!$S101)),"YES","NO")</f>
        <v>NO</v>
      </c>
    </row>
    <row r="175" spans="2:31">
      <c r="B175" t="str">
        <f>'Final data_for_R_analysis_Dryse'!A101</f>
        <v>Dry</v>
      </c>
      <c r="C175" s="260">
        <f>'Final data_for_R_analysis_Dryse'!B101</f>
        <v>100</v>
      </c>
      <c r="D175" t="s">
        <v>3815</v>
      </c>
      <c r="E175" t="s">
        <v>22</v>
      </c>
      <c r="F175" s="382">
        <v>4</v>
      </c>
      <c r="G175" s="16">
        <f>IF('Dry_Litterbag Placem_Collection'!E102="","",'Dry_Litterbag Placem_Collection'!E102)</f>
        <v>42939</v>
      </c>
      <c r="H175" t="str">
        <f>'Final data_for_R_analysis_Dryse'!K101</f>
        <v>G176</v>
      </c>
      <c r="I175" t="str">
        <f>'Final data_for_R_analysis_Dryse'!K321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8"/>
        <v>1.8092000000000001</v>
      </c>
      <c r="M175" s="237">
        <f>AVERAGE(Ashed_controlls!$K$1:$K$11)</f>
        <v>5.5147656768714146</v>
      </c>
      <c r="N175" s="194">
        <f>IFERROR(IF(K175&gt;0,(K175*$F$32-($F$29+$F$30)),""),"")</f>
        <v>1.9432</v>
      </c>
      <c r="O175" s="16">
        <f>IF('Dry_Litterbag Placem_Collection'!G102="","",'Dry_Litterbag Placem_Collection'!G102)</f>
        <v>43010</v>
      </c>
      <c r="P175" s="194">
        <f>IFERROR(INDEX('Both teabags AfterDry'!$D$3:$D$2000,MATCH(H175,'Both teabags AfterDry'!$A$3:$A$2000,0)),"")</f>
        <v>1.3146</v>
      </c>
      <c r="Q175" s="194">
        <f>IFERROR(INDEX('Both teabags AfterDry'!$D$3:$D$2000,MATCH(I175,'Both teabags AfterDry'!$A$3:$A$2000,0)),"")</f>
        <v>1.4581</v>
      </c>
      <c r="R175" s="194">
        <f t="shared" si="9"/>
        <v>1.1639999999999999</v>
      </c>
      <c r="S175" s="194">
        <f t="shared" si="9"/>
        <v>1.3074999999999999</v>
      </c>
      <c r="T175" s="194">
        <f t="shared" si="10"/>
        <v>0.35662171125359288</v>
      </c>
      <c r="U175" s="194">
        <f t="shared" si="11"/>
        <v>0.23379475607123906</v>
      </c>
      <c r="V175" s="194">
        <f t="shared" si="12"/>
        <v>0.6728592013174145</v>
      </c>
      <c r="W175">
        <f t="shared" si="13"/>
        <v>71</v>
      </c>
      <c r="X175" s="194">
        <f t="shared" si="14"/>
        <v>0.57645877523326261</v>
      </c>
      <c r="Y175" s="194" t="str">
        <f t="shared" si="15"/>
        <v/>
      </c>
      <c r="Z175" s="252" t="str">
        <f>IF(ISNUMBER(SEARCH("C", 'Dry_Litterbag Placem_Collection'!$T102)),"YES","NO")</f>
        <v>YES</v>
      </c>
      <c r="AA175" s="252" t="str">
        <f>IF(ISNUMBER(SEARCH("H", 'Dry_Litterbag Placem_Collection'!$T102)),"YES","NO")</f>
        <v>YES</v>
      </c>
      <c r="AB175" s="252" t="str">
        <f>IF(ISNUMBER(SEARCH("R", 'Dry_Litterbag Placem_Collection'!$T102)),"YES","NO")</f>
        <v>NO</v>
      </c>
      <c r="AC175" s="252" t="str">
        <f>IF(ISNUMBER(SEARCH("C", 'Dry_Litterbag Placem_Collection'!$S102)),"YES","NO")</f>
        <v>YES</v>
      </c>
      <c r="AD175" s="252" t="str">
        <f>IF(ISNUMBER(SEARCH("H", 'Dry_Litterbag Placem_Collection'!$S102)),"YES","NO")</f>
        <v>YES</v>
      </c>
      <c r="AE175" s="252" t="str">
        <f>IF(ISNUMBER(SEARCH("R", 'Dry_Litterbag Placem_Collection'!$S102)),"YES","NO")</f>
        <v>NO</v>
      </c>
    </row>
    <row r="176" spans="2:31">
      <c r="B176" t="str">
        <f>'Final data_for_R_analysis_Dryse'!A102</f>
        <v>Dry</v>
      </c>
      <c r="C176" s="260">
        <f>'Final data_for_R_analysis_Dryse'!B102</f>
        <v>101</v>
      </c>
      <c r="D176" t="s">
        <v>3815</v>
      </c>
      <c r="E176" t="s">
        <v>22</v>
      </c>
      <c r="F176" s="382">
        <v>5</v>
      </c>
      <c r="G176" s="16">
        <f>IF('Dry_Litterbag Placem_Collection'!E103="","",'Dry_Litterbag Placem_Collection'!E103)</f>
        <v>42939</v>
      </c>
      <c r="H176" t="str">
        <f>'Final data_for_R_analysis_Dryse'!K102</f>
        <v>G11</v>
      </c>
      <c r="I176" t="str">
        <f>'Final data_for_R_analysis_Dryse'!K322</f>
        <v>R624</v>
      </c>
      <c r="J176">
        <f>IFERROR(INDEX('Green_rooibos initial weight'!$C$5:$C$2000,MATCH(H176, 'Green_rooibos initial weight'!$A$5:$A$2000,0)),"")</f>
        <v>1.839</v>
      </c>
      <c r="K176">
        <f>IFERROR(INDEX('Green_rooibos initial weight'!$C$5:$C$2000,MATCH(I176, 'Green_rooibos initial weight'!$A$5:$A$2000,0)),"")</f>
        <v>2.0739999999999998</v>
      </c>
      <c r="L176" s="194">
        <f t="shared" si="8"/>
        <v>1.5891999999999999</v>
      </c>
      <c r="M176" s="237">
        <f>AVERAGE(Ashed_controlls!$K$1:$K$11)</f>
        <v>5.5147656768714146</v>
      </c>
      <c r="N176" s="194">
        <f>IFERROR(IF(K176&gt;0,(K176*$F$32-($F$29+$F$30)),""),"")</f>
        <v>1.8241999999999998</v>
      </c>
      <c r="O176" s="16">
        <f>IF('Dry_Litterbag Placem_Collection'!G103="","",'Dry_Litterbag Placem_Collection'!G103)</f>
        <v>43010</v>
      </c>
      <c r="P176" s="194">
        <f>IFERROR(INDEX('Both teabags AfterDry'!$D$3:$D$2000,MATCH(H176,'Both teabags AfterDry'!$A$3:$A$2000,0)),"")</f>
        <v>1.0169999999999999</v>
      </c>
      <c r="Q176" s="194">
        <f>IFERROR(INDEX('Both teabags AfterDry'!$D$3:$D$2000,MATCH(I176,'Both teabags AfterDry'!$A$3:$A$2000,0)),"")</f>
        <v>0</v>
      </c>
      <c r="R176" s="194">
        <f t="shared" si="9"/>
        <v>0.86639999999999984</v>
      </c>
      <c r="S176" s="194" t="str">
        <f t="shared" si="9"/>
        <v/>
      </c>
      <c r="T176" s="194">
        <f t="shared" si="10"/>
        <v>0.45482003523785564</v>
      </c>
      <c r="U176" s="194">
        <f t="shared" si="11"/>
        <v>0.29817180457398612</v>
      </c>
      <c r="V176" s="194" t="str">
        <f t="shared" si="12"/>
        <v/>
      </c>
      <c r="W176">
        <f t="shared" si="13"/>
        <v>71</v>
      </c>
      <c r="X176" s="194">
        <f t="shared" si="14"/>
        <v>0.45983368736596719</v>
      </c>
      <c r="Y176" s="194" t="str">
        <f t="shared" si="15"/>
        <v/>
      </c>
      <c r="Z176" s="252" t="str">
        <f>IF(ISNUMBER(SEARCH("C", 'Dry_Litterbag Placem_Collection'!$T103)),"YES","NO")</f>
        <v>YES</v>
      </c>
      <c r="AA176" s="252" t="str">
        <f>IF(ISNUMBER(SEARCH("H", 'Dry_Litterbag Placem_Collection'!$T103)),"YES","NO")</f>
        <v>YES</v>
      </c>
      <c r="AB176" s="252" t="str">
        <f>IF(ISNUMBER(SEARCH("R", 'Dry_Litterbag Placem_Collection'!$T103)),"YES","NO")</f>
        <v>NO</v>
      </c>
      <c r="AC176" s="252" t="str">
        <f>IF(ISNUMBER(SEARCH("C", 'Dry_Litterbag Placem_Collection'!$S103)),"YES","NO")</f>
        <v>YES</v>
      </c>
      <c r="AD176" s="252" t="str">
        <f>IF(ISNUMBER(SEARCH("H", 'Dry_Litterbag Placem_Collection'!$S103)),"YES","NO")</f>
        <v>NO</v>
      </c>
      <c r="AE176" s="252" t="str">
        <f>IF(ISNUMBER(SEARCH("R", 'Dry_Litterbag Placem_Collection'!$S103)),"YES","NO")</f>
        <v>NO</v>
      </c>
    </row>
    <row r="177" spans="2:31">
      <c r="B177" t="str">
        <f>'Final data_for_R_analysis_Dryse'!A103</f>
        <v>Dry</v>
      </c>
      <c r="C177" s="260">
        <f>'Final data_for_R_analysis_Dryse'!B103</f>
        <v>102</v>
      </c>
      <c r="D177" t="s">
        <v>3815</v>
      </c>
      <c r="E177" t="s">
        <v>22</v>
      </c>
      <c r="F177" s="382">
        <v>6</v>
      </c>
      <c r="G177" s="16">
        <f>IF('Dry_Litterbag Placem_Collection'!E104="","",'Dry_Litterbag Placem_Collection'!E104)</f>
        <v>42939</v>
      </c>
      <c r="H177" t="str">
        <f>'Final data_for_R_analysis_Dryse'!K103</f>
        <v>G284</v>
      </c>
      <c r="I177" t="str">
        <f>'Final data_for_R_analysis_Dryse'!K323</f>
        <v>R781</v>
      </c>
      <c r="J177">
        <f>IFERROR(INDEX('Green_rooibos initial weight'!$C$5:$C$2000,MATCH(H177, 'Green_rooibos initial weight'!$A$5:$A$2000,0)),"")</f>
        <v>2.0760000000000001</v>
      </c>
      <c r="K177">
        <f>IFERROR(INDEX('Green_rooibos initial weight'!$C$5:$C$2000,MATCH(I177, 'Green_rooibos initial weight'!$A$5:$A$2000,0)),"")</f>
        <v>2.194</v>
      </c>
      <c r="L177" s="194">
        <f t="shared" si="8"/>
        <v>1.8262</v>
      </c>
      <c r="M177" s="237">
        <f>AVERAGE(Ashed_controlls!$K$1:$K$11)</f>
        <v>5.5147656768714146</v>
      </c>
      <c r="N177" s="194">
        <f>IFERROR(IF(K177&gt;0,(K177*$F$32-($F$29+$F$30)),""),"")</f>
        <v>1.9441999999999999</v>
      </c>
      <c r="O177" s="16">
        <f>IF('Dry_Litterbag Placem_Collection'!G104="","",'Dry_Litterbag Placem_Collection'!G104)</f>
        <v>43010</v>
      </c>
      <c r="P177" s="194">
        <f>IFERROR(INDEX('Both teabags AfterDry'!$D$3:$D$2000,MATCH(H177,'Both teabags AfterDry'!$A$3:$A$2000,0)),"")</f>
        <v>1.1585000000000001</v>
      </c>
      <c r="Q177" s="194">
        <f>IFERROR(INDEX('Both teabags AfterDry'!$D$3:$D$2000,MATCH(I177,'Both teabags AfterDry'!$A$3:$A$2000,0)),"")</f>
        <v>1.8687</v>
      </c>
      <c r="R177" s="194">
        <f t="shared" si="9"/>
        <v>1.0079</v>
      </c>
      <c r="S177" s="194">
        <f t="shared" si="9"/>
        <v>1.7181</v>
      </c>
      <c r="T177" s="194">
        <f t="shared" si="10"/>
        <v>0.44808892782827725</v>
      </c>
      <c r="U177" s="194">
        <f t="shared" si="11"/>
        <v>0.2937590120679443</v>
      </c>
      <c r="V177" s="194">
        <f t="shared" si="12"/>
        <v>0.8837053801049275</v>
      </c>
      <c r="W177">
        <f t="shared" si="13"/>
        <v>71</v>
      </c>
      <c r="X177" s="194">
        <f t="shared" si="14"/>
        <v>0.46782787668850678</v>
      </c>
      <c r="Y177" s="194">
        <f t="shared" si="15"/>
        <v>7.0984473669532602E-3</v>
      </c>
      <c r="Z177" s="252" t="str">
        <f>IF(ISNUMBER(SEARCH("C", 'Dry_Litterbag Placem_Collection'!$T104)),"YES","NO")</f>
        <v>YES</v>
      </c>
      <c r="AA177" s="252" t="str">
        <f>IF(ISNUMBER(SEARCH("H", 'Dry_Litterbag Placem_Collection'!$T104)),"YES","NO")</f>
        <v>YES</v>
      </c>
      <c r="AB177" s="252" t="str">
        <f>IF(ISNUMBER(SEARCH("R", 'Dry_Litterbag Placem_Collection'!$T104)),"YES","NO")</f>
        <v>NO</v>
      </c>
      <c r="AC177" s="252" t="str">
        <f>IF(ISNUMBER(SEARCH("C", 'Dry_Litterbag Placem_Collection'!$S104)),"YES","NO")</f>
        <v>YES</v>
      </c>
      <c r="AD177" s="252" t="str">
        <f>IF(ISNUMBER(SEARCH("H", 'Dry_Litterbag Placem_Collection'!$S104)),"YES","NO")</f>
        <v>YES</v>
      </c>
      <c r="AE177" s="252" t="str">
        <f>IF(ISNUMBER(SEARCH("R", 'Dry_Litterbag Placem_Collection'!$S104)),"YES","NO")</f>
        <v>NO</v>
      </c>
    </row>
    <row r="178" spans="2:31">
      <c r="B178" t="str">
        <f>'Final data_for_R_analysis_Dryse'!A104</f>
        <v>Dry</v>
      </c>
      <c r="C178" s="260">
        <f>'Final data_for_R_analysis_Dryse'!B104</f>
        <v>103</v>
      </c>
      <c r="D178" t="s">
        <v>3815</v>
      </c>
      <c r="E178" t="s">
        <v>22</v>
      </c>
      <c r="F178" s="382">
        <v>7</v>
      </c>
      <c r="G178" s="16">
        <f>IF('Dry_Litterbag Placem_Collection'!E105="","",'Dry_Litterbag Placem_Collection'!E105)</f>
        <v>42939</v>
      </c>
      <c r="H178" t="str">
        <f>'Final data_for_R_analysis_Dryse'!K104</f>
        <v>G326</v>
      </c>
      <c r="I178" t="str">
        <f>'Final data_for_R_analysis_Dryse'!K324</f>
        <v>R772</v>
      </c>
      <c r="J178">
        <f>IFERROR(INDEX('Green_rooibos initial weight'!$C$5:$C$2000,MATCH(H178, 'Green_rooibos initial weight'!$A$5:$A$2000,0)),"")</f>
        <v>2.04</v>
      </c>
      <c r="K178">
        <f>IFERROR(INDEX('Green_rooibos initial weight'!$C$5:$C$2000,MATCH(I178, 'Green_rooibos initial weight'!$A$5:$A$2000,0)),"")</f>
        <v>2.1909999999999998</v>
      </c>
      <c r="L178" s="194">
        <f t="shared" si="8"/>
        <v>1.7902</v>
      </c>
      <c r="M178" s="237">
        <f>AVERAGE(Ashed_controlls!$K$1:$K$11)</f>
        <v>5.5147656768714146</v>
      </c>
      <c r="N178" s="194">
        <f>IFERROR(IF(K178&gt;0,(K178*$F$32-($F$29+$F$30)),""),"")</f>
        <v>1.9411999999999998</v>
      </c>
      <c r="O178" s="16">
        <f>IF('Dry_Litterbag Placem_Collection'!G105="","",'Dry_Litterbag Placem_Collection'!G105)</f>
        <v>43010</v>
      </c>
      <c r="P178" s="194">
        <f>IFERROR(INDEX('Both teabags AfterDry'!$D$3:$D$2000,MATCH(H178,'Both teabags AfterDry'!$A$3:$A$2000,0)),"")</f>
        <v>1.0625</v>
      </c>
      <c r="Q178" s="194">
        <f>IFERROR(INDEX('Both teabags AfterDry'!$D$3:$D$2000,MATCH(I178,'Both teabags AfterDry'!$A$3:$A$2000,0)),"")</f>
        <v>1.5579000000000001</v>
      </c>
      <c r="R178" s="194">
        <f t="shared" si="9"/>
        <v>0.91189999999999993</v>
      </c>
      <c r="S178" s="194">
        <f t="shared" si="9"/>
        <v>1.4073</v>
      </c>
      <c r="T178" s="194">
        <f t="shared" si="10"/>
        <v>0.49061557367891862</v>
      </c>
      <c r="U178" s="194">
        <f t="shared" si="11"/>
        <v>0.32163871338570443</v>
      </c>
      <c r="V178" s="194">
        <f t="shared" si="12"/>
        <v>0.72496393983103247</v>
      </c>
      <c r="W178">
        <f t="shared" si="13"/>
        <v>71</v>
      </c>
      <c r="X178" s="194">
        <f t="shared" si="14"/>
        <v>0.41732117140270941</v>
      </c>
      <c r="Y178" s="194">
        <f t="shared" si="15"/>
        <v>2.7208048338181027E-2</v>
      </c>
      <c r="Z178" s="252" t="str">
        <f>IF(ISNUMBER(SEARCH("C", 'Dry_Litterbag Placem_Collection'!$T105)),"YES","NO")</f>
        <v>YES</v>
      </c>
      <c r="AA178" s="252" t="str">
        <f>IF(ISNUMBER(SEARCH("H", 'Dry_Litterbag Placem_Collection'!$T105)),"YES","NO")</f>
        <v>YES</v>
      </c>
      <c r="AB178" s="252" t="str">
        <f>IF(ISNUMBER(SEARCH("R", 'Dry_Litterbag Placem_Collection'!$T105)),"YES","NO")</f>
        <v>NO</v>
      </c>
      <c r="AC178" s="252" t="str">
        <f>IF(ISNUMBER(SEARCH("C", 'Dry_Litterbag Placem_Collection'!$S105)),"YES","NO")</f>
        <v>YES</v>
      </c>
      <c r="AD178" s="252" t="str">
        <f>IF(ISNUMBER(SEARCH("H", 'Dry_Litterbag Placem_Collection'!$S105)),"YES","NO")</f>
        <v>YES</v>
      </c>
      <c r="AE178" s="252" t="str">
        <f>IF(ISNUMBER(SEARCH("R", 'Dry_Litterbag Placem_Collection'!$S105)),"YES","NO")</f>
        <v>NO</v>
      </c>
    </row>
    <row r="179" spans="2:31">
      <c r="B179" t="str">
        <f>'Final data_for_R_analysis_Dryse'!A105</f>
        <v>Dry</v>
      </c>
      <c r="C179" s="260">
        <f>'Final data_for_R_analysis_Dryse'!B105</f>
        <v>104</v>
      </c>
      <c r="D179" t="s">
        <v>3815</v>
      </c>
      <c r="E179" t="s">
        <v>22</v>
      </c>
      <c r="F179" s="382">
        <v>8</v>
      </c>
      <c r="G179" s="16">
        <f>IF('Dry_Litterbag Placem_Collection'!E106="","",'Dry_Litterbag Placem_Collection'!E106)</f>
        <v>42939</v>
      </c>
      <c r="H179" t="str">
        <f>'Final data_for_R_analysis_Dryse'!K105</f>
        <v>G162</v>
      </c>
      <c r="I179" t="str">
        <f>'Final data_for_R_analysis_Dryse'!K325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8"/>
        <v>1.7892000000000001</v>
      </c>
      <c r="M179" s="237">
        <f>AVERAGE(Ashed_controlls!$K$1:$K$11)</f>
        <v>5.5147656768714146</v>
      </c>
      <c r="N179" s="194">
        <f>IFERROR(IF(K179&gt;0,(K179*$F$32-($F$29+$F$30)),""),"")</f>
        <v>1.9782000000000002</v>
      </c>
      <c r="O179" s="16">
        <f>IF('Dry_Litterbag Placem_Collection'!G106="","",'Dry_Litterbag Placem_Collection'!G106)</f>
        <v>43010</v>
      </c>
      <c r="P179" s="194">
        <f>IFERROR(INDEX('Both teabags AfterDry'!$D$3:$D$2000,MATCH(H179,'Both teabags AfterDry'!$A$3:$A$2000,0)),"")</f>
        <v>1.4899</v>
      </c>
      <c r="Q179" s="194">
        <f>IFERROR(INDEX('Both teabags AfterDry'!$D$3:$D$2000,MATCH(I179,'Both teabags AfterDry'!$A$3:$A$2000,0)),"")</f>
        <v>0</v>
      </c>
      <c r="R179" s="194">
        <f t="shared" si="9"/>
        <v>1.3392999999999999</v>
      </c>
      <c r="S179" s="194" t="str">
        <f t="shared" si="9"/>
        <v/>
      </c>
      <c r="T179" s="194">
        <f t="shared" si="10"/>
        <v>0.25145316342499446</v>
      </c>
      <c r="U179" s="194">
        <f t="shared" si="11"/>
        <v>0.16484815464441444</v>
      </c>
      <c r="V179" s="194" t="str">
        <f t="shared" si="12"/>
        <v/>
      </c>
      <c r="W179">
        <f t="shared" si="13"/>
        <v>71</v>
      </c>
      <c r="X179" s="194">
        <f t="shared" si="14"/>
        <v>0.70136203868765501</v>
      </c>
      <c r="Y179" s="194" t="str">
        <f t="shared" si="15"/>
        <v/>
      </c>
      <c r="Z179" s="252" t="str">
        <f>IF(ISNUMBER(SEARCH("C", 'Dry_Litterbag Placem_Collection'!$T106)),"YES","NO")</f>
        <v>YES</v>
      </c>
      <c r="AA179" s="252" t="str">
        <f>IF(ISNUMBER(SEARCH("H", 'Dry_Litterbag Placem_Collection'!$T106)),"YES","NO")</f>
        <v>YES</v>
      </c>
      <c r="AB179" s="252" t="str">
        <f>IF(ISNUMBER(SEARCH("R", 'Dry_Litterbag Placem_Collection'!$T106)),"YES","NO")</f>
        <v>NO</v>
      </c>
      <c r="AC179" s="252" t="str">
        <f>IF(ISNUMBER(SEARCH("C", 'Dry_Litterbag Placem_Collection'!$S106)),"YES","NO")</f>
        <v>YES</v>
      </c>
      <c r="AD179" s="252" t="str">
        <f>IF(ISNUMBER(SEARCH("H", 'Dry_Litterbag Placem_Collection'!$S106)),"YES","NO")</f>
        <v>NO</v>
      </c>
      <c r="AE179" s="252" t="str">
        <f>IF(ISNUMBER(SEARCH("R", 'Dry_Litterbag Placem_Collection'!$S106)),"YES","NO")</f>
        <v>NO</v>
      </c>
    </row>
    <row r="180" spans="2:31">
      <c r="B180" t="str">
        <f>'Final data_for_R_analysis_Dryse'!A106</f>
        <v>Dry</v>
      </c>
      <c r="C180" s="260">
        <f>'Final data_for_R_analysis_Dryse'!B106</f>
        <v>105</v>
      </c>
      <c r="D180" t="s">
        <v>3817</v>
      </c>
      <c r="E180" t="s">
        <v>22</v>
      </c>
      <c r="F180" s="381">
        <v>1</v>
      </c>
      <c r="G180" s="16">
        <f>IF('Dry_Litterbag Placem_Collection'!E107="","",'Dry_Litterbag Placem_Collection'!E107)</f>
        <v>42939</v>
      </c>
      <c r="H180" t="str">
        <f>'Final data_for_R_analysis_Dryse'!K106</f>
        <v>G6</v>
      </c>
      <c r="I180" t="str">
        <f>'Final data_for_R_analysis_Dryse'!K326</f>
        <v>R824</v>
      </c>
      <c r="J180">
        <f>IFERROR(INDEX('Green_rooibos initial weight'!$C$5:$C$2000,MATCH(H180, 'Green_rooibos initial weight'!$A$5:$A$2000,0)),"")</f>
        <v>2.016</v>
      </c>
      <c r="K180">
        <f>IFERROR(INDEX('Green_rooibos initial weight'!$C$5:$C$2000,MATCH(I180, 'Green_rooibos initial weight'!$A$5:$A$2000,0)),"")</f>
        <v>2.173</v>
      </c>
      <c r="L180" s="194">
        <f t="shared" si="8"/>
        <v>1.7662</v>
      </c>
      <c r="M180" s="237">
        <f>AVERAGE(Ashed_controlls!$K$1:$K$11)</f>
        <v>5.5147656768714146</v>
      </c>
      <c r="N180" s="194">
        <f>IFERROR(IF(K180&gt;0,(K180*$F$32-($F$29+$F$30)),""),"")</f>
        <v>1.9232</v>
      </c>
      <c r="O180" s="16">
        <f>IF('Dry_Litterbag Placem_Collection'!G107="","",'Dry_Litterbag Placem_Collection'!G107)</f>
        <v>43010</v>
      </c>
      <c r="P180" s="194">
        <f>IFERROR(INDEX('Both teabags AfterDry'!$D$3:$D$2000,MATCH(H180,'Both teabags AfterDry'!$A$3:$A$2000,0)),"")</f>
        <v>1.1637</v>
      </c>
      <c r="Q180" s="194">
        <f>IFERROR(INDEX('Both teabags AfterDry'!$D$3:$D$2000,MATCH(I180,'Both teabags AfterDry'!$A$3:$A$2000,0)),"")</f>
        <v>1.7653000000000001</v>
      </c>
      <c r="R180" s="194">
        <f t="shared" si="9"/>
        <v>1.0130999999999999</v>
      </c>
      <c r="S180" s="194">
        <f t="shared" si="9"/>
        <v>1.6147</v>
      </c>
      <c r="T180" s="194">
        <f t="shared" si="10"/>
        <v>0.42639565168157634</v>
      </c>
      <c r="U180" s="194">
        <f t="shared" si="11"/>
        <v>0.27953729183875314</v>
      </c>
      <c r="V180" s="194">
        <f t="shared" si="12"/>
        <v>0.83959026622296173</v>
      </c>
      <c r="W180">
        <f t="shared" si="13"/>
        <v>71</v>
      </c>
      <c r="X180" s="194">
        <f t="shared" si="14"/>
        <v>0.49359186261095445</v>
      </c>
      <c r="Y180" s="194">
        <f t="shared" si="15"/>
        <v>1.2013251712468193E-2</v>
      </c>
      <c r="Z180" s="252" t="str">
        <f>IF(ISNUMBER(SEARCH("C", 'Dry_Litterbag Placem_Collection'!$T107)),"YES","NO")</f>
        <v>YES</v>
      </c>
      <c r="AA180" s="252" t="str">
        <f>IF(ISNUMBER(SEARCH("H", 'Dry_Litterbag Placem_Collection'!$T107)),"YES","NO")</f>
        <v>YES</v>
      </c>
      <c r="AB180" s="252" t="str">
        <f>IF(ISNUMBER(SEARCH("R", 'Dry_Litterbag Placem_Collection'!$T107)),"YES","NO")</f>
        <v>NO</v>
      </c>
      <c r="AC180" s="252" t="str">
        <f>IF(ISNUMBER(SEARCH("C", 'Dry_Litterbag Placem_Collection'!$S107)),"YES","NO")</f>
        <v>NO</v>
      </c>
      <c r="AD180" s="252" t="str">
        <f>IF(ISNUMBER(SEARCH("H", 'Dry_Litterbag Placem_Collection'!$S107)),"YES","NO")</f>
        <v>NO</v>
      </c>
      <c r="AE180" s="252" t="str">
        <f>IF(ISNUMBER(SEARCH("R", 'Dry_Litterbag Placem_Collection'!$S107)),"YES","NO")</f>
        <v>NO</v>
      </c>
    </row>
    <row r="181" spans="2:31">
      <c r="B181" t="str">
        <f>'Final data_for_R_analysis_Dryse'!A107</f>
        <v>Dry</v>
      </c>
      <c r="C181" s="260">
        <f>'Final data_for_R_analysis_Dryse'!B107</f>
        <v>106</v>
      </c>
      <c r="D181" t="s">
        <v>3817</v>
      </c>
      <c r="E181" t="s">
        <v>22</v>
      </c>
      <c r="F181" s="381">
        <v>2</v>
      </c>
      <c r="G181" s="16">
        <f>IF('Dry_Litterbag Placem_Collection'!E108="","",'Dry_Litterbag Placem_Collection'!E108)</f>
        <v>42939</v>
      </c>
      <c r="H181" t="str">
        <f>'Final data_for_R_analysis_Dryse'!K107</f>
        <v>G20</v>
      </c>
      <c r="I181" t="str">
        <f>'Final data_for_R_analysis_Dryse'!K327</f>
        <v>R790</v>
      </c>
      <c r="J181">
        <f>IFERROR(INDEX('Green_rooibos initial weight'!$C$5:$C$2000,MATCH(H181, 'Green_rooibos initial weight'!$A$5:$A$2000,0)),"")</f>
        <v>2.032</v>
      </c>
      <c r="K181">
        <f>IFERROR(INDEX('Green_rooibos initial weight'!$C$5:$C$2000,MATCH(I181, 'Green_rooibos initial weight'!$A$5:$A$2000,0)),"")</f>
        <v>2.266</v>
      </c>
      <c r="L181" s="194">
        <f t="shared" si="8"/>
        <v>1.7822</v>
      </c>
      <c r="M181" s="237">
        <f>AVERAGE(Ashed_controlls!$K$1:$K$11)</f>
        <v>5.5147656768714146</v>
      </c>
      <c r="N181" s="194">
        <f>IFERROR(IF(K181&gt;0,(K181*$F$32-($F$29+$F$30)),""),"")</f>
        <v>2.0162</v>
      </c>
      <c r="O181" s="16">
        <f>IF('Dry_Litterbag Placem_Collection'!G108="","",'Dry_Litterbag Placem_Collection'!G108)</f>
        <v>43010</v>
      </c>
      <c r="P181" s="194">
        <f>IFERROR(INDEX('Both teabags AfterDry'!$D$3:$D$2000,MATCH(H181,'Both teabags AfterDry'!$A$3:$A$2000,0)),"")</f>
        <v>1.0826</v>
      </c>
      <c r="Q181" s="194">
        <f>IFERROR(INDEX('Both teabags AfterDry'!$D$3:$D$2000,MATCH(I181,'Both teabags AfterDry'!$A$3:$A$2000,0)),"")</f>
        <v>2.2315</v>
      </c>
      <c r="R181" s="194">
        <f t="shared" si="9"/>
        <v>0.93199999999999994</v>
      </c>
      <c r="S181" s="194">
        <f t="shared" si="9"/>
        <v>2.0809000000000002</v>
      </c>
      <c r="T181" s="194">
        <f t="shared" si="10"/>
        <v>0.47705083604533727</v>
      </c>
      <c r="U181" s="194">
        <f t="shared" si="11"/>
        <v>0.31274591626725201</v>
      </c>
      <c r="V181" s="194">
        <f t="shared" si="12"/>
        <v>1.0320900704295211</v>
      </c>
      <c r="W181">
        <f t="shared" si="13"/>
        <v>71</v>
      </c>
      <c r="X181" s="194">
        <f t="shared" si="14"/>
        <v>0.43343131111005073</v>
      </c>
      <c r="Y181" s="194">
        <f t="shared" si="15"/>
        <v>-1.3757438218399991E-3</v>
      </c>
      <c r="Z181" s="252" t="str">
        <f>IF(ISNUMBER(SEARCH("C", 'Dry_Litterbag Placem_Collection'!$T108)),"YES","NO")</f>
        <v>YES</v>
      </c>
      <c r="AA181" s="252" t="str">
        <f>IF(ISNUMBER(SEARCH("H", 'Dry_Litterbag Placem_Collection'!$T108)),"YES","NO")</f>
        <v>YES</v>
      </c>
      <c r="AB181" s="252" t="str">
        <f>IF(ISNUMBER(SEARCH("R", 'Dry_Litterbag Placem_Collection'!$T108)),"YES","NO")</f>
        <v>NO</v>
      </c>
      <c r="AC181" s="252" t="str">
        <f>IF(ISNUMBER(SEARCH("C", 'Dry_Litterbag Placem_Collection'!$S108)),"YES","NO")</f>
        <v>NO</v>
      </c>
      <c r="AD181" s="252" t="str">
        <f>IF(ISNUMBER(SEARCH("H", 'Dry_Litterbag Placem_Collection'!$S108)),"YES","NO")</f>
        <v>YES</v>
      </c>
      <c r="AE181" s="252" t="str">
        <f>IF(ISNUMBER(SEARCH("R", 'Dry_Litterbag Placem_Collection'!$S108)),"YES","NO")</f>
        <v>NO</v>
      </c>
    </row>
    <row r="182" spans="2:31">
      <c r="B182" t="str">
        <f>'Final data_for_R_analysis_Dryse'!A108</f>
        <v>Dry</v>
      </c>
      <c r="C182" s="260">
        <f>'Final data_for_R_analysis_Dryse'!B108</f>
        <v>107</v>
      </c>
      <c r="D182" t="s">
        <v>3817</v>
      </c>
      <c r="E182" t="s">
        <v>22</v>
      </c>
      <c r="F182" s="381">
        <v>3</v>
      </c>
      <c r="G182" s="16">
        <f>IF('Dry_Litterbag Placem_Collection'!E109="","",'Dry_Litterbag Placem_Collection'!E109)</f>
        <v>42939</v>
      </c>
      <c r="H182" t="str">
        <f>'Final data_for_R_analysis_Dryse'!K108</f>
        <v>G129</v>
      </c>
      <c r="I182" t="str">
        <f>'Final data_for_R_analysis_Dryse'!K328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8"/>
        <v>1.7132000000000001</v>
      </c>
      <c r="M182" s="237">
        <f>AVERAGE(Ashed_controlls!$K$1:$K$11)</f>
        <v>5.5147656768714146</v>
      </c>
      <c r="N182" s="194">
        <f>IFERROR(IF(K182&gt;0,(K182*$F$32-($F$29+$F$30)),""),"")</f>
        <v>1.9712000000000001</v>
      </c>
      <c r="O182" s="16">
        <f>IF('Dry_Litterbag Placem_Collection'!G109="","",'Dry_Litterbag Placem_Collection'!G109)</f>
        <v>43010</v>
      </c>
      <c r="P182" s="194" t="str">
        <f>IFERROR(INDEX('Both teabags AfterDry'!$D$3:$D$2000,MATCH(H182,'Both teabags AfterDry'!$A$3:$A$2000,0)),"")</f>
        <v/>
      </c>
      <c r="Q182" s="194" t="str">
        <f>IFERROR(INDEX('Both teabags AfterDry'!$D$3:$D$2000,MATCH(I182,'Both teabags AfterDry'!$A$3:$A$2000,0)),"")</f>
        <v/>
      </c>
      <c r="R182" s="194" t="str">
        <f t="shared" si="9"/>
        <v/>
      </c>
      <c r="S182" s="194" t="str">
        <f t="shared" si="9"/>
        <v/>
      </c>
      <c r="T182" s="194" t="str">
        <f t="shared" si="10"/>
        <v/>
      </c>
      <c r="U182" s="194" t="str">
        <f t="shared" si="11"/>
        <v/>
      </c>
      <c r="V182" s="194" t="str">
        <f t="shared" si="12"/>
        <v/>
      </c>
      <c r="W182">
        <f t="shared" si="13"/>
        <v>71</v>
      </c>
      <c r="X182" s="194" t="str">
        <f t="shared" si="14"/>
        <v/>
      </c>
      <c r="Y182" s="194" t="str">
        <f t="shared" si="15"/>
        <v/>
      </c>
      <c r="Z182" s="252" t="str">
        <f>IF(ISNUMBER(SEARCH("C", 'Dry_Litterbag Placem_Collection'!$T109)),"YES","NO")</f>
        <v>YES</v>
      </c>
      <c r="AA182" s="252" t="str">
        <f>IF(ISNUMBER(SEARCH("H", 'Dry_Litterbag Placem_Collection'!$T109)),"YES","NO")</f>
        <v>YES</v>
      </c>
      <c r="AB182" s="252" t="str">
        <f>IF(ISNUMBER(SEARCH("R", 'Dry_Litterbag Placem_Collection'!$T109)),"YES","NO")</f>
        <v>NO</v>
      </c>
      <c r="AC182" s="252" t="str">
        <f>IF(ISNUMBER(SEARCH("C", 'Dry_Litterbag Placem_Collection'!$S109)),"YES","NO")</f>
        <v>YES</v>
      </c>
      <c r="AD182" s="252" t="str">
        <f>IF(ISNUMBER(SEARCH("H", 'Dry_Litterbag Placem_Collection'!$S109)),"YES","NO")</f>
        <v>YES</v>
      </c>
      <c r="AE182" s="252" t="str">
        <f>IF(ISNUMBER(SEARCH("R", 'Dry_Litterbag Placem_Collection'!$S109)),"YES","NO")</f>
        <v>NO</v>
      </c>
    </row>
    <row r="183" spans="2:31">
      <c r="B183" t="str">
        <f>'Final data_for_R_analysis_Dryse'!A109</f>
        <v>Dry</v>
      </c>
      <c r="C183" s="260">
        <f>'Final data_for_R_analysis_Dryse'!B109</f>
        <v>108</v>
      </c>
      <c r="D183" t="s">
        <v>3817</v>
      </c>
      <c r="E183" t="s">
        <v>22</v>
      </c>
      <c r="F183" s="382">
        <v>4</v>
      </c>
      <c r="G183" s="16">
        <f>IF('Dry_Litterbag Placem_Collection'!E110="","",'Dry_Litterbag Placem_Collection'!E110)</f>
        <v>42939</v>
      </c>
      <c r="H183" t="str">
        <f>'Final data_for_R_analysis_Dryse'!K109</f>
        <v>G258</v>
      </c>
      <c r="I183" t="str">
        <f>'Final data_for_R_analysis_Dryse'!K329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8"/>
        <v>1.8782000000000001</v>
      </c>
      <c r="M183" s="237">
        <f>AVERAGE(Ashed_controlls!$K$1:$K$11)</f>
        <v>5.5147656768714146</v>
      </c>
      <c r="N183" s="194">
        <f>IFERROR(IF(K183&gt;0,(K183*$F$32-($F$29+$F$30)),""),"")</f>
        <v>2.0051999999999999</v>
      </c>
      <c r="O183" s="16">
        <f>IF('Dry_Litterbag Placem_Collection'!G110="","",'Dry_Litterbag Placem_Collection'!G110)</f>
        <v>43010</v>
      </c>
      <c r="P183" s="194">
        <f>IFERROR(INDEX('Both teabags AfterDry'!$D$3:$D$2000,MATCH(H183,'Both teabags AfterDry'!$A$3:$A$2000,0)),"")</f>
        <v>0.92730000000000001</v>
      </c>
      <c r="Q183" s="194">
        <f>IFERROR(INDEX('Both teabags AfterDry'!$D$3:$D$2000,MATCH(I183,'Both teabags AfterDry'!$A$3:$A$2000,0)),"")</f>
        <v>1.8240000000000001</v>
      </c>
      <c r="R183" s="194">
        <f t="shared" si="9"/>
        <v>0.77669999999999995</v>
      </c>
      <c r="S183" s="194">
        <f t="shared" si="9"/>
        <v>1.6734</v>
      </c>
      <c r="T183" s="194">
        <f t="shared" si="10"/>
        <v>0.5864657650942392</v>
      </c>
      <c r="U183" s="194">
        <f t="shared" si="11"/>
        <v>0.38447636856534451</v>
      </c>
      <c r="V183" s="194">
        <f t="shared" si="12"/>
        <v>0.83453022142429689</v>
      </c>
      <c r="W183">
        <f t="shared" si="13"/>
        <v>71</v>
      </c>
      <c r="X183" s="194">
        <f t="shared" si="14"/>
        <v>0.3034848395555354</v>
      </c>
      <c r="Y183" s="194">
        <f t="shared" si="15"/>
        <v>7.9264860034946715E-3</v>
      </c>
      <c r="Z183" s="252" t="str">
        <f>IF(ISNUMBER(SEARCH("C", 'Dry_Litterbag Placem_Collection'!$T110)),"YES","NO")</f>
        <v>NO</v>
      </c>
      <c r="AA183" s="252" t="str">
        <f>IF(ISNUMBER(SEARCH("H", 'Dry_Litterbag Placem_Collection'!$T110)),"YES","NO")</f>
        <v>NO</v>
      </c>
      <c r="AB183" s="252" t="str">
        <f>IF(ISNUMBER(SEARCH("R", 'Dry_Litterbag Placem_Collection'!$T110)),"YES","NO")</f>
        <v>NO</v>
      </c>
      <c r="AC183" s="252" t="str">
        <f>IF(ISNUMBER(SEARCH("C", 'Dry_Litterbag Placem_Collection'!$S110)),"YES","NO")</f>
        <v>YES</v>
      </c>
      <c r="AD183" s="252" t="str">
        <f>IF(ISNUMBER(SEARCH("H", 'Dry_Litterbag Placem_Collection'!$S110)),"YES","NO")</f>
        <v>NO</v>
      </c>
      <c r="AE183" s="252" t="str">
        <f>IF(ISNUMBER(SEARCH("R", 'Dry_Litterbag Placem_Collection'!$S110)),"YES","NO")</f>
        <v>NO</v>
      </c>
    </row>
    <row r="184" spans="2:31">
      <c r="B184" t="str">
        <f>'Final data_for_R_analysis_Dryse'!A110</f>
        <v>Dry</v>
      </c>
      <c r="C184" s="260">
        <f>'Final data_for_R_analysis_Dryse'!B110</f>
        <v>109</v>
      </c>
      <c r="D184" t="s">
        <v>3817</v>
      </c>
      <c r="E184" t="s">
        <v>22</v>
      </c>
      <c r="F184" s="382">
        <v>5</v>
      </c>
      <c r="G184" s="16">
        <f>IF('Dry_Litterbag Placem_Collection'!E111="","",'Dry_Litterbag Placem_Collection'!E111)</f>
        <v>42939</v>
      </c>
      <c r="H184" t="str">
        <f>'Final data_for_R_analysis_Dryse'!K110</f>
        <v>G294</v>
      </c>
      <c r="I184" t="str">
        <f>'Final data_for_R_analysis_Dryse'!K330</f>
        <v>R804</v>
      </c>
      <c r="J184">
        <f>IFERROR(INDEX('Green_rooibos initial weight'!$C$5:$C$2000,MATCH(H184, 'Green_rooibos initial weight'!$A$5:$A$2000,0)),"")</f>
        <v>1.994</v>
      </c>
      <c r="K184">
        <f>IFERROR(INDEX('Green_rooibos initial weight'!$C$5:$C$2000,MATCH(I184, 'Green_rooibos initial weight'!$A$5:$A$2000,0)),"")</f>
        <v>2.1960000000000002</v>
      </c>
      <c r="L184" s="194">
        <f t="shared" si="8"/>
        <v>1.7442</v>
      </c>
      <c r="M184" s="237">
        <f>AVERAGE(Ashed_controlls!$K$1:$K$11)</f>
        <v>5.5147656768714146</v>
      </c>
      <c r="N184" s="194">
        <f>IFERROR(IF(K184&gt;0,(K184*$F$32-($F$29+$F$30)),""),"")</f>
        <v>1.9462000000000002</v>
      </c>
      <c r="O184" s="16">
        <f>IF('Dry_Litterbag Placem_Collection'!G111="","",'Dry_Litterbag Placem_Collection'!G111)</f>
        <v>43010</v>
      </c>
      <c r="P184" s="194">
        <f>IFERROR(INDEX('Both teabags AfterDry'!$D$3:$D$2000,MATCH(H184,'Both teabags AfterDry'!$A$3:$A$2000,0)),"")</f>
        <v>0.93010000000000004</v>
      </c>
      <c r="Q184" s="194">
        <f>IFERROR(INDEX('Both teabags AfterDry'!$D$3:$D$2000,MATCH(I184,'Both teabags AfterDry'!$A$3:$A$2000,0)),"")</f>
        <v>1.3936999999999999</v>
      </c>
      <c r="R184" s="194">
        <f t="shared" si="9"/>
        <v>0.77950000000000008</v>
      </c>
      <c r="S184" s="194">
        <f t="shared" si="9"/>
        <v>1.2430999999999999</v>
      </c>
      <c r="T184" s="194">
        <f t="shared" si="10"/>
        <v>0.553090241944731</v>
      </c>
      <c r="U184" s="194">
        <f t="shared" si="11"/>
        <v>0.36259597809203276</v>
      </c>
      <c r="V184" s="194">
        <f t="shared" si="12"/>
        <v>0.63873188778131729</v>
      </c>
      <c r="W184">
        <f t="shared" si="13"/>
        <v>71</v>
      </c>
      <c r="X184" s="194">
        <f t="shared" si="14"/>
        <v>0.34312322809414364</v>
      </c>
      <c r="Y184" s="194">
        <f t="shared" si="15"/>
        <v>7.9010086752541842E-2</v>
      </c>
      <c r="Z184" s="252" t="str">
        <f>IF(ISNUMBER(SEARCH("C", 'Dry_Litterbag Placem_Collection'!$T111)),"YES","NO")</f>
        <v>YES</v>
      </c>
      <c r="AA184" s="252" t="str">
        <f>IF(ISNUMBER(SEARCH("H", 'Dry_Litterbag Placem_Collection'!$T111)),"YES","NO")</f>
        <v>YES</v>
      </c>
      <c r="AB184" s="252" t="str">
        <f>IF(ISNUMBER(SEARCH("R", 'Dry_Litterbag Placem_Collection'!$T111)),"YES","NO")</f>
        <v>NO</v>
      </c>
      <c r="AC184" s="252" t="str">
        <f>IF(ISNUMBER(SEARCH("C", 'Dry_Litterbag Placem_Collection'!$S111)),"YES","NO")</f>
        <v>NO</v>
      </c>
      <c r="AD184" s="252" t="str">
        <f>IF(ISNUMBER(SEARCH("H", 'Dry_Litterbag Placem_Collection'!$S111)),"YES","NO")</f>
        <v>NO</v>
      </c>
      <c r="AE184" s="252" t="str">
        <f>IF(ISNUMBER(SEARCH("R", 'Dry_Litterbag Placem_Collection'!$S111)),"YES","NO")</f>
        <v>NO</v>
      </c>
    </row>
    <row r="185" spans="2:31">
      <c r="B185" t="str">
        <f>'Final data_for_R_analysis_Dryse'!A111</f>
        <v>Dry</v>
      </c>
      <c r="C185" s="260">
        <f>'Final data_for_R_analysis_Dryse'!B111</f>
        <v>110</v>
      </c>
      <c r="D185" t="s">
        <v>3817</v>
      </c>
      <c r="E185" t="s">
        <v>22</v>
      </c>
      <c r="F185" s="382">
        <v>6</v>
      </c>
      <c r="G185" s="16">
        <f>IF('Dry_Litterbag Placem_Collection'!E112="","",'Dry_Litterbag Placem_Collection'!E112)</f>
        <v>42939</v>
      </c>
      <c r="H185" t="str">
        <f>'Final data_for_R_analysis_Dryse'!K111</f>
        <v>G350</v>
      </c>
      <c r="I185" t="str">
        <f>'Final data_for_R_analysis_Dryse'!K331</f>
        <v>R786</v>
      </c>
      <c r="J185">
        <f>IFERROR(INDEX('Green_rooibos initial weight'!$C$5:$C$2000,MATCH(H185, 'Green_rooibos initial weight'!$A$5:$A$2000,0)),"")</f>
        <v>2.0640000000000001</v>
      </c>
      <c r="K185">
        <f>IFERROR(INDEX('Green_rooibos initial weight'!$C$5:$C$2000,MATCH(I185, 'Green_rooibos initial weight'!$A$5:$A$2000,0)),"")</f>
        <v>2.177</v>
      </c>
      <c r="L185" s="194">
        <f t="shared" si="8"/>
        <v>1.8142</v>
      </c>
      <c r="M185" s="237">
        <f>AVERAGE(Ashed_controlls!$K$1:$K$11)</f>
        <v>5.5147656768714146</v>
      </c>
      <c r="N185" s="194">
        <f>IFERROR(IF(K185&gt;0,(K185*$F$32-($F$29+$F$30)),""),"")</f>
        <v>1.9272</v>
      </c>
      <c r="O185" s="16">
        <f>IF('Dry_Litterbag Placem_Collection'!G112="","",'Dry_Litterbag Placem_Collection'!G112)</f>
        <v>43010</v>
      </c>
      <c r="P185" s="194">
        <f>IFERROR(INDEX('Both teabags AfterDry'!$D$3:$D$2000,MATCH(H185,'Both teabags AfterDry'!$A$3:$A$2000,0)),"")</f>
        <v>0.95640000000000003</v>
      </c>
      <c r="Q185" s="194">
        <f>IFERROR(INDEX('Both teabags AfterDry'!$D$3:$D$2000,MATCH(I185,'Both teabags AfterDry'!$A$3:$A$2000,0)),"")</f>
        <v>1.7806</v>
      </c>
      <c r="R185" s="194">
        <f t="shared" si="9"/>
        <v>0.80580000000000007</v>
      </c>
      <c r="S185" s="194">
        <f t="shared" si="9"/>
        <v>1.63</v>
      </c>
      <c r="T185" s="194">
        <f t="shared" si="10"/>
        <v>0.55583728365119611</v>
      </c>
      <c r="U185" s="194">
        <f t="shared" si="11"/>
        <v>0.36439688904448964</v>
      </c>
      <c r="V185" s="194">
        <f t="shared" si="12"/>
        <v>0.84578663345786631</v>
      </c>
      <c r="W185">
        <f t="shared" si="13"/>
        <v>71</v>
      </c>
      <c r="X185" s="194">
        <f t="shared" si="14"/>
        <v>0.33986070825273618</v>
      </c>
      <c r="Y185" s="194">
        <f t="shared" si="15"/>
        <v>7.7501769351735117E-3</v>
      </c>
      <c r="Z185" s="252" t="str">
        <f>IF(ISNUMBER(SEARCH("C", 'Dry_Litterbag Placem_Collection'!$T112)),"YES","NO")</f>
        <v>YES</v>
      </c>
      <c r="AA185" s="252" t="str">
        <f>IF(ISNUMBER(SEARCH("H", 'Dry_Litterbag Placem_Collection'!$T112)),"YES","NO")</f>
        <v>YES</v>
      </c>
      <c r="AB185" s="252" t="str">
        <f>IF(ISNUMBER(SEARCH("R", 'Dry_Litterbag Placem_Collection'!$T112)),"YES","NO")</f>
        <v>NO</v>
      </c>
      <c r="AC185" s="252" t="str">
        <f>IF(ISNUMBER(SEARCH("C", 'Dry_Litterbag Placem_Collection'!$S112)),"YES","NO")</f>
        <v>YES</v>
      </c>
      <c r="AD185" s="252" t="str">
        <f>IF(ISNUMBER(SEARCH("H", 'Dry_Litterbag Placem_Collection'!$S112)),"YES","NO")</f>
        <v>YES</v>
      </c>
      <c r="AE185" s="252" t="str">
        <f>IF(ISNUMBER(SEARCH("R", 'Dry_Litterbag Placem_Collection'!$S112)),"YES","NO")</f>
        <v>NO</v>
      </c>
    </row>
    <row r="186" spans="2:31">
      <c r="B186" t="str">
        <f>'Final data_for_R_analysis_Dryse'!A112</f>
        <v>Dry</v>
      </c>
      <c r="C186" s="260">
        <f>'Final data_for_R_analysis_Dryse'!B112</f>
        <v>111</v>
      </c>
      <c r="D186" t="s">
        <v>3817</v>
      </c>
      <c r="E186" t="s">
        <v>22</v>
      </c>
      <c r="F186" s="382">
        <v>7</v>
      </c>
      <c r="G186" s="16">
        <f>IF('Dry_Litterbag Placem_Collection'!E113="","",'Dry_Litterbag Placem_Collection'!E113)</f>
        <v>42939</v>
      </c>
      <c r="H186" t="str">
        <f>'Final data_for_R_analysis_Dryse'!K112</f>
        <v>G274</v>
      </c>
      <c r="I186" t="str">
        <f>'Final data_for_R_analysis_Dryse'!K332</f>
        <v>R835</v>
      </c>
      <c r="J186">
        <f>IFERROR(INDEX('Green_rooibos initial weight'!$C$5:$C$2000,MATCH(H186, 'Green_rooibos initial weight'!$A$5:$A$2000,0)),"")</f>
        <v>2.12</v>
      </c>
      <c r="K186">
        <f>IFERROR(INDEX('Green_rooibos initial weight'!$C$5:$C$2000,MATCH(I186, 'Green_rooibos initial weight'!$A$5:$A$2000,0)),"")</f>
        <v>2.15</v>
      </c>
      <c r="L186" s="194">
        <f t="shared" si="8"/>
        <v>1.8702000000000001</v>
      </c>
      <c r="M186" s="237">
        <f>AVERAGE(Ashed_controlls!$K$1:$K$11)</f>
        <v>5.5147656768714146</v>
      </c>
      <c r="N186" s="194">
        <f>IFERROR(IF(K186&gt;0,(K186*$F$32-($F$29+$F$30)),""),"")</f>
        <v>1.9001999999999999</v>
      </c>
      <c r="O186" s="16">
        <f>IF('Dry_Litterbag Placem_Collection'!G113="","",'Dry_Litterbag Placem_Collection'!G113)</f>
        <v>43010</v>
      </c>
      <c r="P186" s="194">
        <f>IFERROR(INDEX('Both teabags AfterDry'!$D$3:$D$2000,MATCH(H186,'Both teabags AfterDry'!$A$3:$A$2000,0)),"")</f>
        <v>1.0779000000000001</v>
      </c>
      <c r="Q186" s="194">
        <f>IFERROR(INDEX('Both teabags AfterDry'!$D$3:$D$2000,MATCH(I186,'Both teabags AfterDry'!$A$3:$A$2000,0)),"")</f>
        <v>1.7563</v>
      </c>
      <c r="R186" s="194">
        <f t="shared" si="9"/>
        <v>0.92730000000000001</v>
      </c>
      <c r="S186" s="194">
        <f t="shared" si="9"/>
        <v>1.6056999999999999</v>
      </c>
      <c r="T186" s="194">
        <f t="shared" si="10"/>
        <v>0.50417067693294837</v>
      </c>
      <c r="U186" s="194">
        <f t="shared" si="11"/>
        <v>0.33052519437884509</v>
      </c>
      <c r="V186" s="194">
        <f t="shared" si="12"/>
        <v>0.8450163140722029</v>
      </c>
      <c r="W186">
        <f t="shared" si="13"/>
        <v>71</v>
      </c>
      <c r="X186" s="194">
        <f t="shared" si="14"/>
        <v>0.40122247395136768</v>
      </c>
      <c r="Y186" s="194">
        <f t="shared" si="15"/>
        <v>8.912779678254077E-3</v>
      </c>
      <c r="Z186" s="252" t="str">
        <f>IF(ISNUMBER(SEARCH("C", 'Dry_Litterbag Placem_Collection'!$T113)),"YES","NO")</f>
        <v>NO</v>
      </c>
      <c r="AA186" s="252" t="str">
        <f>IF(ISNUMBER(SEARCH("H", 'Dry_Litterbag Placem_Collection'!$T113)),"YES","NO")</f>
        <v>NO</v>
      </c>
      <c r="AB186" s="252" t="str">
        <f>IF(ISNUMBER(SEARCH("R", 'Dry_Litterbag Placem_Collection'!$T113)),"YES","NO")</f>
        <v>NO</v>
      </c>
      <c r="AC186" s="252" t="str">
        <f>IF(ISNUMBER(SEARCH("C", 'Dry_Litterbag Placem_Collection'!$S113)),"YES","NO")</f>
        <v>YES</v>
      </c>
      <c r="AD186" s="252" t="str">
        <f>IF(ISNUMBER(SEARCH("H", 'Dry_Litterbag Placem_Collection'!$S113)),"YES","NO")</f>
        <v>NO</v>
      </c>
      <c r="AE186" s="252" t="str">
        <f>IF(ISNUMBER(SEARCH("R", 'Dry_Litterbag Placem_Collection'!$S113)),"YES","NO")</f>
        <v>NO</v>
      </c>
    </row>
    <row r="187" spans="2:31">
      <c r="B187" t="str">
        <f>'Final data_for_R_analysis_Dryse'!A113</f>
        <v>Dry</v>
      </c>
      <c r="C187" s="260">
        <f>'Final data_for_R_analysis_Dryse'!B113</f>
        <v>112</v>
      </c>
      <c r="D187" t="s">
        <v>3817</v>
      </c>
      <c r="E187" t="s">
        <v>22</v>
      </c>
      <c r="F187" s="382">
        <v>8</v>
      </c>
      <c r="G187" s="16" t="str">
        <f>IF('Dry_Litterbag Placem_Collection'!E114="","",'Dry_Litterbag Placem_Collection'!E114)</f>
        <v/>
      </c>
      <c r="H187" t="str">
        <f>'Final data_for_R_analysis_Dryse'!K113</f>
        <v/>
      </c>
      <c r="I187" t="str">
        <f>'Final data_for_R_analysis_Dryse'!K333</f>
        <v/>
      </c>
      <c r="J187" t="str">
        <f>IFERROR(INDEX('Green_rooibos initial weight'!$C$5:$C$2000,MATCH(H187, 'Green_rooibos initial weight'!$A$5:$A$2000,0)),"")</f>
        <v/>
      </c>
      <c r="K187" t="str">
        <f>IFERROR(INDEX('Green_rooibos initial weight'!$C$5:$C$2000,MATCH(I187, 'Green_rooibos initial weight'!$A$5:$A$2000,0)),"")</f>
        <v/>
      </c>
      <c r="L187" s="194" t="str">
        <f t="shared" si="8"/>
        <v/>
      </c>
      <c r="M187" s="237">
        <f>AVERAGE(Ashed_controlls!$K$1:$K$11)</f>
        <v>5.5147656768714146</v>
      </c>
      <c r="N187" s="194" t="str">
        <f>IFERROR(IF(K187&gt;0,(K187*$F$32-($F$29+$F$30)),""),"")</f>
        <v/>
      </c>
      <c r="O187" s="16" t="str">
        <f>IF('Dry_Litterbag Placem_Collection'!G114="","",'Dry_Litterbag Placem_Collection'!G114)</f>
        <v/>
      </c>
      <c r="P187" s="194" t="str">
        <f>IFERROR(INDEX('Both teabags AfterDry'!$D$3:$D$2000,MATCH(H187,'Both teabags AfterDry'!$A$3:$A$2000,0)),"")</f>
        <v/>
      </c>
      <c r="Q187" s="194" t="str">
        <f>IFERROR(INDEX('Both teabags AfterDry'!$D$3:$D$2000,MATCH(I187,'Both teabags AfterDry'!$A$3:$A$2000,0)),"")</f>
        <v/>
      </c>
      <c r="R187" s="194" t="str">
        <f t="shared" si="9"/>
        <v/>
      </c>
      <c r="S187" s="194" t="str">
        <f t="shared" si="9"/>
        <v/>
      </c>
      <c r="T187" s="194" t="str">
        <f t="shared" si="10"/>
        <v/>
      </c>
      <c r="U187" s="194" t="str">
        <f t="shared" si="11"/>
        <v/>
      </c>
      <c r="V187" s="194" t="str">
        <f t="shared" si="12"/>
        <v/>
      </c>
      <c r="W187" t="str">
        <f t="shared" si="13"/>
        <v/>
      </c>
      <c r="X187" s="194" t="str">
        <f t="shared" si="14"/>
        <v/>
      </c>
      <c r="Y187" s="194" t="str">
        <f t="shared" si="15"/>
        <v/>
      </c>
      <c r="Z187" s="252" t="str">
        <f>IF(ISNUMBER(SEARCH("C", 'Dry_Litterbag Placem_Collection'!$T114)),"YES","NO")</f>
        <v>NO</v>
      </c>
      <c r="AA187" s="252" t="str">
        <f>IF(ISNUMBER(SEARCH("H", 'Dry_Litterbag Placem_Collection'!$T114)),"YES","NO")</f>
        <v>NO</v>
      </c>
      <c r="AB187" s="252" t="str">
        <f>IF(ISNUMBER(SEARCH("R", 'Dry_Litterbag Placem_Collection'!$T114)),"YES","NO")</f>
        <v>NO</v>
      </c>
      <c r="AC187" s="252" t="str">
        <f>IF(ISNUMBER(SEARCH("C", 'Dry_Litterbag Placem_Collection'!$S114)),"YES","NO")</f>
        <v>NO</v>
      </c>
      <c r="AD187" s="252" t="str">
        <f>IF(ISNUMBER(SEARCH("H", 'Dry_Litterbag Placem_Collection'!$S114)),"YES","NO")</f>
        <v>NO</v>
      </c>
      <c r="AE187" s="252" t="str">
        <f>IF(ISNUMBER(SEARCH("R", 'Dry_Litterbag Placem_Collection'!$S114)),"YES","NO")</f>
        <v>NO</v>
      </c>
    </row>
    <row r="188" spans="2:31">
      <c r="B188" t="str">
        <f>'Final data_for_R_analysis_Dryse'!A114</f>
        <v>Dry</v>
      </c>
      <c r="C188" s="260">
        <f>'Final data_for_R_analysis_Dryse'!B114</f>
        <v>113</v>
      </c>
      <c r="D188" t="s">
        <v>3818</v>
      </c>
      <c r="E188" t="s">
        <v>22</v>
      </c>
      <c r="F188" s="381">
        <v>1</v>
      </c>
      <c r="G188" s="16">
        <f>IF('Dry_Litterbag Placem_Collection'!E115="","",'Dry_Litterbag Placem_Collection'!E115)</f>
        <v>42939</v>
      </c>
      <c r="H188" t="str">
        <f>'Final data_for_R_analysis_Dryse'!K114</f>
        <v>G314</v>
      </c>
      <c r="I188" t="str">
        <f>'Final data_for_R_analysis_Dryse'!K334</f>
        <v>R807</v>
      </c>
      <c r="J188">
        <f>IFERROR(INDEX('Green_rooibos initial weight'!$C$5:$C$2000,MATCH(H188, 'Green_rooibos initial weight'!$A$5:$A$2000,0)),"")</f>
        <v>2.0430000000000001</v>
      </c>
      <c r="K188">
        <f>IFERROR(INDEX('Green_rooibos initial weight'!$C$5:$C$2000,MATCH(I188, 'Green_rooibos initial weight'!$A$5:$A$2000,0)),"")</f>
        <v>2.21</v>
      </c>
      <c r="L188" s="194">
        <f t="shared" si="8"/>
        <v>1.7932000000000001</v>
      </c>
      <c r="M188" s="237">
        <f>AVERAGE(Ashed_controlls!$K$1:$K$11)</f>
        <v>5.5147656768714146</v>
      </c>
      <c r="N188" s="194">
        <f>IFERROR(IF(K188&gt;0,(K188*$F$32-($F$29+$F$30)),""),"")</f>
        <v>1.9601999999999999</v>
      </c>
      <c r="O188" s="16">
        <f>IF('Dry_Litterbag Placem_Collection'!G115="","",'Dry_Litterbag Placem_Collection'!G115)</f>
        <v>43008</v>
      </c>
      <c r="P188" s="194">
        <f>IFERROR(INDEX('Both teabags AfterDry'!$D$3:$D$2000,MATCH(H188,'Both teabags AfterDry'!$A$3:$A$2000,0)),"")</f>
        <v>0.78080000000000005</v>
      </c>
      <c r="Q188" s="194">
        <f>IFERROR(INDEX('Both teabags AfterDry'!$D$3:$D$2000,MATCH(I188,'Both teabags AfterDry'!$A$3:$A$2000,0)),"")</f>
        <v>1.5793999999999999</v>
      </c>
      <c r="R188" s="194">
        <f t="shared" si="9"/>
        <v>0.63020000000000009</v>
      </c>
      <c r="S188" s="194">
        <f t="shared" si="9"/>
        <v>1.4287999999999998</v>
      </c>
      <c r="T188" s="194">
        <f t="shared" si="10"/>
        <v>0.64856123131831356</v>
      </c>
      <c r="U188" s="194">
        <f t="shared" si="11"/>
        <v>0.42518503525856188</v>
      </c>
      <c r="V188" s="194">
        <f t="shared" si="12"/>
        <v>0.72890521375369854</v>
      </c>
      <c r="W188">
        <f t="shared" si="13"/>
        <v>69</v>
      </c>
      <c r="X188" s="194">
        <f t="shared" si="14"/>
        <v>0.22973725496637343</v>
      </c>
      <c r="Y188" s="194">
        <f t="shared" si="15"/>
        <v>1.4709941854253993E-2</v>
      </c>
      <c r="Z188" s="252" t="str">
        <f>IF(ISNUMBER(SEARCH("C", 'Dry_Litterbag Placem_Collection'!$T115)),"YES","NO")</f>
        <v>NO</v>
      </c>
      <c r="AA188" s="252" t="str">
        <f>IF(ISNUMBER(SEARCH("H", 'Dry_Litterbag Placem_Collection'!$T115)),"YES","NO")</f>
        <v>NO</v>
      </c>
      <c r="AB188" s="252" t="str">
        <f>IF(ISNUMBER(SEARCH("R", 'Dry_Litterbag Placem_Collection'!$T115)),"YES","NO")</f>
        <v>NO</v>
      </c>
      <c r="AC188" s="252" t="str">
        <f>IF(ISNUMBER(SEARCH("C", 'Dry_Litterbag Placem_Collection'!$S115)),"YES","NO")</f>
        <v>NO</v>
      </c>
      <c r="AD188" s="252" t="str">
        <f>IF(ISNUMBER(SEARCH("H", 'Dry_Litterbag Placem_Collection'!$S115)),"YES","NO")</f>
        <v>NO</v>
      </c>
      <c r="AE188" s="252" t="str">
        <f>IF(ISNUMBER(SEARCH("R", 'Dry_Litterbag Placem_Collection'!$S115)),"YES","NO")</f>
        <v>YES</v>
      </c>
    </row>
    <row r="189" spans="2:31">
      <c r="B189" t="str">
        <f>'Final data_for_R_analysis_Dryse'!A115</f>
        <v>Dry</v>
      </c>
      <c r="C189" s="260">
        <f>'Final data_for_R_analysis_Dryse'!B115</f>
        <v>114</v>
      </c>
      <c r="D189" t="s">
        <v>3818</v>
      </c>
      <c r="E189" t="s">
        <v>22</v>
      </c>
      <c r="F189" s="381">
        <v>2</v>
      </c>
      <c r="G189" s="16">
        <f>IF('Dry_Litterbag Placem_Collection'!E116="","",'Dry_Litterbag Placem_Collection'!E116)</f>
        <v>42939</v>
      </c>
      <c r="H189" t="str">
        <f>'Final data_for_R_analysis_Dryse'!K115</f>
        <v>G263</v>
      </c>
      <c r="I189" t="str">
        <f>'Final data_for_R_analysis_Dryse'!K335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8"/>
        <v>1.8462000000000001</v>
      </c>
      <c r="M189" s="237">
        <f>AVERAGE(Ashed_controlls!$K$1:$K$11)</f>
        <v>5.5147656768714146</v>
      </c>
      <c r="N189" s="194">
        <f>IFERROR(IF(K189&gt;0,(K189*$F$32-($F$29+$F$30)),""),"")</f>
        <v>1.9382000000000001</v>
      </c>
      <c r="O189" s="16">
        <f>IF('Dry_Litterbag Placem_Collection'!G116="","",'Dry_Litterbag Placem_Collection'!G116)</f>
        <v>43008</v>
      </c>
      <c r="P189" s="194">
        <f>IFERROR(INDEX('Both teabags AfterDry'!$D$3:$D$2000,MATCH(H189,'Both teabags AfterDry'!$A$3:$A$2000,0)),"")</f>
        <v>0.83330000000000004</v>
      </c>
      <c r="Q189" s="194">
        <f>IFERROR(INDEX('Both teabags AfterDry'!$D$3:$D$2000,MATCH(I189,'Both teabags AfterDry'!$A$3:$A$2000,0)),"")</f>
        <v>1.1127</v>
      </c>
      <c r="R189" s="194">
        <f t="shared" si="9"/>
        <v>0.68270000000000008</v>
      </c>
      <c r="S189" s="194">
        <f t="shared" si="9"/>
        <v>0.96209999999999996</v>
      </c>
      <c r="T189" s="194">
        <f t="shared" si="10"/>
        <v>0.63021341133138331</v>
      </c>
      <c r="U189" s="194">
        <f t="shared" si="11"/>
        <v>0.41315653569468369</v>
      </c>
      <c r="V189" s="194">
        <f t="shared" si="12"/>
        <v>0.49638840160974096</v>
      </c>
      <c r="W189">
        <f t="shared" si="13"/>
        <v>69</v>
      </c>
      <c r="X189" s="194">
        <f t="shared" si="14"/>
        <v>0.25152801504586297</v>
      </c>
      <c r="Y189" s="194" t="str">
        <f t="shared" si="15"/>
        <v/>
      </c>
      <c r="Z189" s="252" t="str">
        <f>IF(ISNUMBER(SEARCH("C", 'Dry_Litterbag Placem_Collection'!$T116)),"YES","NO")</f>
        <v>NO</v>
      </c>
      <c r="AA189" s="252" t="str">
        <f>IF(ISNUMBER(SEARCH("H", 'Dry_Litterbag Placem_Collection'!$T116)),"YES","NO")</f>
        <v>YES</v>
      </c>
      <c r="AB189" s="252" t="str">
        <f>IF(ISNUMBER(SEARCH("R", 'Dry_Litterbag Placem_Collection'!$T116)),"YES","NO")</f>
        <v>NO</v>
      </c>
      <c r="AC189" s="252" t="str">
        <f>IF(ISNUMBER(SEARCH("C", 'Dry_Litterbag Placem_Collection'!$S116)),"YES","NO")</f>
        <v>NO</v>
      </c>
      <c r="AD189" s="252" t="str">
        <f>IF(ISNUMBER(SEARCH("H", 'Dry_Litterbag Placem_Collection'!$S116)),"YES","NO")</f>
        <v>NO</v>
      </c>
      <c r="AE189" s="252" t="str">
        <f>IF(ISNUMBER(SEARCH("R", 'Dry_Litterbag Placem_Collection'!$S116)),"YES","NO")</f>
        <v>NO</v>
      </c>
    </row>
    <row r="190" spans="2:31">
      <c r="B190" t="str">
        <f>'Final data_for_R_analysis_Dryse'!A116</f>
        <v>Dry</v>
      </c>
      <c r="C190" s="260">
        <f>'Final data_for_R_analysis_Dryse'!B116</f>
        <v>115</v>
      </c>
      <c r="D190" t="s">
        <v>3818</v>
      </c>
      <c r="E190" t="s">
        <v>22</v>
      </c>
      <c r="F190" s="381">
        <v>3</v>
      </c>
      <c r="G190" s="16">
        <f>IF('Dry_Litterbag Placem_Collection'!E117="","",'Dry_Litterbag Placem_Collection'!E117)</f>
        <v>42939</v>
      </c>
      <c r="H190" t="str">
        <f>'Final data_for_R_analysis_Dryse'!K116</f>
        <v>G125</v>
      </c>
      <c r="I190" t="str">
        <f>'Final data_for_R_analysis_Dryse'!K336</f>
        <v>R766</v>
      </c>
      <c r="J190">
        <f>IFERROR(INDEX('Green_rooibos initial weight'!$C$5:$C$2000,MATCH(H190, 'Green_rooibos initial weight'!$A$5:$A$2000,0)),"")</f>
        <v>2.0979999999999999</v>
      </c>
      <c r="K190">
        <f>IFERROR(INDEX('Green_rooibos initial weight'!$C$5:$C$2000,MATCH(I190, 'Green_rooibos initial weight'!$A$5:$A$2000,0)),"")</f>
        <v>2.21</v>
      </c>
      <c r="L190" s="194">
        <f t="shared" si="8"/>
        <v>1.8481999999999998</v>
      </c>
      <c r="M190" s="237">
        <f>AVERAGE(Ashed_controlls!$K$1:$K$11)</f>
        <v>5.5147656768714146</v>
      </c>
      <c r="N190" s="194">
        <f>IFERROR(IF(K190&gt;0,(K190*$F$32-($F$29+$F$30)),""),"")</f>
        <v>1.9601999999999999</v>
      </c>
      <c r="O190" s="16">
        <f>IF('Dry_Litterbag Placem_Collection'!G117="","",'Dry_Litterbag Placem_Collection'!G117)</f>
        <v>43008</v>
      </c>
      <c r="P190" s="194">
        <f>IFERROR(INDEX('Both teabags AfterDry'!$D$3:$D$2000,MATCH(H190,'Both teabags AfterDry'!$A$3:$A$2000,0)),"")</f>
        <v>0.78120000000000001</v>
      </c>
      <c r="Q190" s="194">
        <f>IFERROR(INDEX('Both teabags AfterDry'!$D$3:$D$2000,MATCH(I190,'Both teabags AfterDry'!$A$3:$A$2000,0)),"")</f>
        <v>1.6694</v>
      </c>
      <c r="R190" s="194">
        <f t="shared" si="9"/>
        <v>0.63060000000000005</v>
      </c>
      <c r="S190" s="194">
        <f t="shared" si="9"/>
        <v>1.5187999999999999</v>
      </c>
      <c r="T190" s="194">
        <f t="shared" si="10"/>
        <v>0.65880315983118698</v>
      </c>
      <c r="U190" s="194">
        <f t="shared" si="11"/>
        <v>0.43189945870168078</v>
      </c>
      <c r="V190" s="194">
        <f t="shared" si="12"/>
        <v>0.77481889603101728</v>
      </c>
      <c r="W190">
        <f t="shared" si="13"/>
        <v>69</v>
      </c>
      <c r="X190" s="194">
        <f t="shared" si="14"/>
        <v>0.21757344438101311</v>
      </c>
      <c r="Y190" s="194">
        <f t="shared" si="15"/>
        <v>1.0678776304706145E-2</v>
      </c>
      <c r="Z190" s="252" t="str">
        <f>IF(ISNUMBER(SEARCH("C", 'Dry_Litterbag Placem_Collection'!$T117)),"YES","NO")</f>
        <v>NO</v>
      </c>
      <c r="AA190" s="252" t="str">
        <f>IF(ISNUMBER(SEARCH("H", 'Dry_Litterbag Placem_Collection'!$T117)),"YES","NO")</f>
        <v>YES</v>
      </c>
      <c r="AB190" s="252" t="str">
        <f>IF(ISNUMBER(SEARCH("R", 'Dry_Litterbag Placem_Collection'!$T117)),"YES","NO")</f>
        <v>YES</v>
      </c>
      <c r="AC190" s="252" t="str">
        <f>IF(ISNUMBER(SEARCH("C", 'Dry_Litterbag Placem_Collection'!$S117)),"YES","NO")</f>
        <v>NO</v>
      </c>
      <c r="AD190" s="252" t="str">
        <f>IF(ISNUMBER(SEARCH("H", 'Dry_Litterbag Placem_Collection'!$S117)),"YES","NO")</f>
        <v>NO</v>
      </c>
      <c r="AE190" s="252" t="str">
        <f>IF(ISNUMBER(SEARCH("R", 'Dry_Litterbag Placem_Collection'!$S117)),"YES","NO")</f>
        <v>YES</v>
      </c>
    </row>
    <row r="191" spans="2:31">
      <c r="B191" t="str">
        <f>'Final data_for_R_analysis_Dryse'!A117</f>
        <v>Dry</v>
      </c>
      <c r="C191" s="260">
        <f>'Final data_for_R_analysis_Dryse'!B117</f>
        <v>116</v>
      </c>
      <c r="D191" t="s">
        <v>3818</v>
      </c>
      <c r="E191" t="s">
        <v>22</v>
      </c>
      <c r="F191" s="382">
        <v>4</v>
      </c>
      <c r="G191" s="16">
        <f>IF('Dry_Litterbag Placem_Collection'!E118="","",'Dry_Litterbag Placem_Collection'!E118)</f>
        <v>42939</v>
      </c>
      <c r="H191" t="str">
        <f>'Final data_for_R_analysis_Dryse'!K117</f>
        <v>G189</v>
      </c>
      <c r="I191" t="str">
        <f>'Final data_for_R_analysis_Dryse'!K337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8"/>
        <v>1.7561999999999998</v>
      </c>
      <c r="M191" s="237">
        <f>AVERAGE(Ashed_controlls!$K$1:$K$11)</f>
        <v>5.5147656768714146</v>
      </c>
      <c r="N191" s="194">
        <f>IFERROR(IF(K191&gt;0,(K191*$F$32-($F$29+$F$30)),""),"")</f>
        <v>1.9552</v>
      </c>
      <c r="O191" s="16">
        <f>IF('Dry_Litterbag Placem_Collection'!G118="","",'Dry_Litterbag Placem_Collection'!G118)</f>
        <v>43008</v>
      </c>
      <c r="P191" s="194">
        <f>IFERROR(INDEX('Both teabags AfterDry'!$D$3:$D$2000,MATCH(H191,'Both teabags AfterDry'!$A$3:$A$2000,0)),"")</f>
        <v>0.76890000000000003</v>
      </c>
      <c r="Q191" s="194">
        <f>IFERROR(INDEX('Both teabags AfterDry'!$D$3:$D$2000,MATCH(I191,'Both teabags AfterDry'!$A$3:$A$2000,0)),"")</f>
        <v>1.7337</v>
      </c>
      <c r="R191" s="194">
        <f t="shared" si="9"/>
        <v>0.61830000000000007</v>
      </c>
      <c r="S191" s="194">
        <f t="shared" si="9"/>
        <v>1.5831</v>
      </c>
      <c r="T191" s="194">
        <f t="shared" si="10"/>
        <v>0.64793303723949425</v>
      </c>
      <c r="U191" s="194">
        <f t="shared" si="11"/>
        <v>0.42477320256080864</v>
      </c>
      <c r="V191" s="194">
        <f t="shared" si="12"/>
        <v>0.80968698854337151</v>
      </c>
      <c r="W191">
        <f t="shared" si="13"/>
        <v>69</v>
      </c>
      <c r="X191" s="194">
        <f t="shared" si="14"/>
        <v>0.23048332869418731</v>
      </c>
      <c r="Y191" s="194">
        <f t="shared" si="15"/>
        <v>8.6126025033100156E-3</v>
      </c>
      <c r="Z191" s="252" t="str">
        <f>IF(ISNUMBER(SEARCH("C", 'Dry_Litterbag Placem_Collection'!$T118)),"YES","NO")</f>
        <v>NO</v>
      </c>
      <c r="AA191" s="252" t="str">
        <f>IF(ISNUMBER(SEARCH("H", 'Dry_Litterbag Placem_Collection'!$T118)),"YES","NO")</f>
        <v>NO</v>
      </c>
      <c r="AB191" s="252" t="str">
        <f>IF(ISNUMBER(SEARCH("R", 'Dry_Litterbag Placem_Collection'!$T118)),"YES","NO")</f>
        <v>NO</v>
      </c>
      <c r="AC191" s="252" t="str">
        <f>IF(ISNUMBER(SEARCH("C", 'Dry_Litterbag Placem_Collection'!$S118)),"YES","NO")</f>
        <v>NO</v>
      </c>
      <c r="AD191" s="252" t="str">
        <f>IF(ISNUMBER(SEARCH("H", 'Dry_Litterbag Placem_Collection'!$S118)),"YES","NO")</f>
        <v>NO</v>
      </c>
      <c r="AE191" s="252" t="str">
        <f>IF(ISNUMBER(SEARCH("R", 'Dry_Litterbag Placem_Collection'!$S118)),"YES","NO")</f>
        <v>YES</v>
      </c>
    </row>
    <row r="192" spans="2:31">
      <c r="B192" t="str">
        <f>'Final data_for_R_analysis_Dryse'!A118</f>
        <v>Dry</v>
      </c>
      <c r="C192" s="260">
        <f>'Final data_for_R_analysis_Dryse'!B118</f>
        <v>117</v>
      </c>
      <c r="D192" t="s">
        <v>3818</v>
      </c>
      <c r="E192" t="s">
        <v>22</v>
      </c>
      <c r="F192" s="382">
        <v>5</v>
      </c>
      <c r="G192" s="16">
        <f>IF('Dry_Litterbag Placem_Collection'!E119="","",'Dry_Litterbag Placem_Collection'!E119)</f>
        <v>42939</v>
      </c>
      <c r="H192" t="str">
        <f>'Final data_for_R_analysis_Dryse'!K118</f>
        <v>G533</v>
      </c>
      <c r="I192" t="str">
        <f>'Final data_for_R_analysis_Dryse'!K338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8"/>
        <v>1.8572000000000002</v>
      </c>
      <c r="M192" s="237">
        <f>AVERAGE(Ashed_controlls!$K$1:$K$11)</f>
        <v>5.5147656768714146</v>
      </c>
      <c r="N192" s="194">
        <f>IFERROR(IF(K192&gt;0,(K192*$F$32-($F$29+$F$30)),""),"")</f>
        <v>2.0411999999999999</v>
      </c>
      <c r="O192" s="16">
        <f>IF('Dry_Litterbag Placem_Collection'!G119="","",'Dry_Litterbag Placem_Collection'!G119)</f>
        <v>43008</v>
      </c>
      <c r="P192" s="194" t="str">
        <f>IFERROR(INDEX('Both teabags AfterDry'!$D$3:$D$2000,MATCH(H192,'Both teabags AfterDry'!$A$3:$A$2000,0)),"")</f>
        <v/>
      </c>
      <c r="Q192" s="194" t="str">
        <f>IFERROR(INDEX('Both teabags AfterDry'!$D$3:$D$2000,MATCH(I192,'Both teabags AfterDry'!$A$3:$A$2000,0)),"")</f>
        <v/>
      </c>
      <c r="R192" s="194" t="str">
        <f t="shared" si="9"/>
        <v/>
      </c>
      <c r="S192" s="194" t="str">
        <f t="shared" si="9"/>
        <v/>
      </c>
      <c r="T192" s="194" t="str">
        <f t="shared" si="10"/>
        <v/>
      </c>
      <c r="U192" s="194" t="str">
        <f t="shared" si="11"/>
        <v/>
      </c>
      <c r="V192" s="194" t="str">
        <f t="shared" si="12"/>
        <v/>
      </c>
      <c r="W192">
        <f t="shared" si="13"/>
        <v>69</v>
      </c>
      <c r="X192" s="194" t="str">
        <f t="shared" si="14"/>
        <v/>
      </c>
      <c r="Y192" s="194" t="str">
        <f t="shared" si="15"/>
        <v/>
      </c>
      <c r="Z192" s="252" t="str">
        <f>IF(ISNUMBER(SEARCH("C", 'Dry_Litterbag Placem_Collection'!$T119)),"YES","NO")</f>
        <v>NO</v>
      </c>
      <c r="AA192" s="252" t="str">
        <f>IF(ISNUMBER(SEARCH("H", 'Dry_Litterbag Placem_Collection'!$T119)),"YES","NO")</f>
        <v>NO</v>
      </c>
      <c r="AB192" s="252" t="str">
        <f>IF(ISNUMBER(SEARCH("R", 'Dry_Litterbag Placem_Collection'!$T119)),"YES","NO")</f>
        <v>NO</v>
      </c>
      <c r="AC192" s="252" t="str">
        <f>IF(ISNUMBER(SEARCH("C", 'Dry_Litterbag Placem_Collection'!$S119)),"YES","NO")</f>
        <v>NO</v>
      </c>
      <c r="AD192" s="252" t="str">
        <f>IF(ISNUMBER(SEARCH("H", 'Dry_Litterbag Placem_Collection'!$S119)),"YES","NO")</f>
        <v>NO</v>
      </c>
      <c r="AE192" s="252" t="str">
        <f>IF(ISNUMBER(SEARCH("R", 'Dry_Litterbag Placem_Collection'!$S119)),"YES","NO")</f>
        <v>YES</v>
      </c>
    </row>
    <row r="193" spans="2:31">
      <c r="B193" t="str">
        <f>'Final data_for_R_analysis_Dryse'!A119</f>
        <v>Dry</v>
      </c>
      <c r="C193" s="260">
        <f>'Final data_for_R_analysis_Dryse'!B119</f>
        <v>118</v>
      </c>
      <c r="D193" t="s">
        <v>3818</v>
      </c>
      <c r="E193" t="s">
        <v>22</v>
      </c>
      <c r="F193" s="382">
        <v>6</v>
      </c>
      <c r="G193" s="16">
        <f>IF('Dry_Litterbag Placem_Collection'!E120="","",'Dry_Litterbag Placem_Collection'!E120)</f>
        <v>42939</v>
      </c>
      <c r="H193" t="str">
        <f>'Final data_for_R_analysis_Dryse'!K119</f>
        <v>G200</v>
      </c>
      <c r="I193" t="str">
        <f>'Final data_for_R_analysis_Dryse'!K339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8"/>
        <v>1.7652000000000001</v>
      </c>
      <c r="M193" s="237">
        <f>AVERAGE(Ashed_controlls!$K$1:$K$11)</f>
        <v>5.5147656768714146</v>
      </c>
      <c r="N193" s="194">
        <f>IFERROR(IF(K193&gt;0,(K193*$F$32-($F$29+$F$30)),""),"")</f>
        <v>1.9081999999999999</v>
      </c>
      <c r="O193" s="16">
        <f>IF('Dry_Litterbag Placem_Collection'!G120="","",'Dry_Litterbag Placem_Collection'!G120)</f>
        <v>43008</v>
      </c>
      <c r="P193" s="194">
        <f>IFERROR(INDEX('Both teabags AfterDry'!$D$3:$D$2000,MATCH(H193,'Both teabags AfterDry'!$A$3:$A$2000,0)),"")</f>
        <v>0.71760000000000002</v>
      </c>
      <c r="Q193" s="194">
        <f>IFERROR(INDEX('Both teabags AfterDry'!$D$3:$D$2000,MATCH(I193,'Both teabags AfterDry'!$A$3:$A$2000,0)),"")</f>
        <v>1.629</v>
      </c>
      <c r="R193" s="194">
        <f t="shared" si="9"/>
        <v>0.56699999999999995</v>
      </c>
      <c r="S193" s="194">
        <f t="shared" si="9"/>
        <v>1.4783999999999999</v>
      </c>
      <c r="T193" s="194">
        <f t="shared" si="10"/>
        <v>0.67878993881713123</v>
      </c>
      <c r="U193" s="194">
        <f t="shared" si="11"/>
        <v>0.44500243019840441</v>
      </c>
      <c r="V193" s="194">
        <f t="shared" si="12"/>
        <v>0.77476155539251657</v>
      </c>
      <c r="W193">
        <f t="shared" si="13"/>
        <v>69</v>
      </c>
      <c r="X193" s="194">
        <f t="shared" si="14"/>
        <v>0.19383617717680368</v>
      </c>
      <c r="Y193" s="194">
        <f t="shared" si="15"/>
        <v>1.0225008196254565E-2</v>
      </c>
      <c r="Z193" s="252" t="str">
        <f>IF(ISNUMBER(SEARCH("C", 'Dry_Litterbag Placem_Collection'!$T120)),"YES","NO")</f>
        <v>NO</v>
      </c>
      <c r="AA193" s="252" t="str">
        <f>IF(ISNUMBER(SEARCH("H", 'Dry_Litterbag Placem_Collection'!$T120)),"YES","NO")</f>
        <v>NO</v>
      </c>
      <c r="AB193" s="252" t="str">
        <f>IF(ISNUMBER(SEARCH("R", 'Dry_Litterbag Placem_Collection'!$T120)),"YES","NO")</f>
        <v>NO</v>
      </c>
      <c r="AC193" s="252" t="str">
        <f>IF(ISNUMBER(SEARCH("C", 'Dry_Litterbag Placem_Collection'!$S120)),"YES","NO")</f>
        <v>NO</v>
      </c>
      <c r="AD193" s="252" t="str">
        <f>IF(ISNUMBER(SEARCH("H", 'Dry_Litterbag Placem_Collection'!$S120)),"YES","NO")</f>
        <v>YES</v>
      </c>
      <c r="AE193" s="252" t="str">
        <f>IF(ISNUMBER(SEARCH("R", 'Dry_Litterbag Placem_Collection'!$S120)),"YES","NO")</f>
        <v>YES</v>
      </c>
    </row>
    <row r="194" spans="2:31">
      <c r="B194" t="str">
        <f>'Final data_for_R_analysis_Dryse'!A120</f>
        <v>Dry</v>
      </c>
      <c r="C194" s="260">
        <f>'Final data_for_R_analysis_Dryse'!B120</f>
        <v>119</v>
      </c>
      <c r="D194" t="s">
        <v>3818</v>
      </c>
      <c r="E194" t="s">
        <v>22</v>
      </c>
      <c r="F194" s="382">
        <v>7</v>
      </c>
      <c r="G194" s="16">
        <f>IF('Dry_Litterbag Placem_Collection'!E121="","",'Dry_Litterbag Placem_Collection'!E121)</f>
        <v>42939</v>
      </c>
      <c r="H194" t="str">
        <f>'Final data_for_R_analysis_Dryse'!K120</f>
        <v>G236</v>
      </c>
      <c r="I194" t="str">
        <f>'Final data_for_R_analysis_Dryse'!K340</f>
        <v>R802</v>
      </c>
      <c r="J194">
        <f>IFERROR(INDEX('Green_rooibos initial weight'!$C$5:$C$2000,MATCH(H194, 'Green_rooibos initial weight'!$A$5:$A$2000,0)),"")</f>
        <v>2.0529999999999999</v>
      </c>
      <c r="K194">
        <f>IFERROR(INDEX('Green_rooibos initial weight'!$C$5:$C$2000,MATCH(I194, 'Green_rooibos initial weight'!$A$5:$A$2000,0)),"")</f>
        <v>2.25</v>
      </c>
      <c r="L194" s="194">
        <f t="shared" si="8"/>
        <v>1.8031999999999999</v>
      </c>
      <c r="M194" s="237">
        <f>AVERAGE(Ashed_controlls!$K$1:$K$11)</f>
        <v>5.5147656768714146</v>
      </c>
      <c r="N194" s="194">
        <f>IFERROR(IF(K194&gt;0,(K194*$F$32-($F$29+$F$30)),""),"")</f>
        <v>2.0002</v>
      </c>
      <c r="O194" s="16">
        <f>IF('Dry_Litterbag Placem_Collection'!G121="","",'Dry_Litterbag Placem_Collection'!G121)</f>
        <v>43008</v>
      </c>
      <c r="P194" s="194">
        <f>IFERROR(INDEX('Both teabags AfterDry'!$D$3:$D$2000,MATCH(H194,'Both teabags AfterDry'!$A$3:$A$2000,0)),"")</f>
        <v>0.81489999999999996</v>
      </c>
      <c r="Q194" s="194">
        <f>IFERROR(INDEX('Both teabags AfterDry'!$D$3:$D$2000,MATCH(I194,'Both teabags AfterDry'!$A$3:$A$2000,0)),"")</f>
        <v>1.6778</v>
      </c>
      <c r="R194" s="194">
        <f t="shared" si="9"/>
        <v>0.66429999999999989</v>
      </c>
      <c r="S194" s="194">
        <f t="shared" si="9"/>
        <v>1.5271999999999999</v>
      </c>
      <c r="T194" s="194">
        <f t="shared" si="10"/>
        <v>0.63159937888198758</v>
      </c>
      <c r="U194" s="194">
        <f t="shared" si="11"/>
        <v>0.41406515100101804</v>
      </c>
      <c r="V194" s="194">
        <f t="shared" si="12"/>
        <v>0.76352364763523639</v>
      </c>
      <c r="W194">
        <f t="shared" si="13"/>
        <v>69</v>
      </c>
      <c r="X194" s="194">
        <f t="shared" si="14"/>
        <v>0.24988197282424274</v>
      </c>
      <c r="Y194" s="194">
        <f t="shared" si="15"/>
        <v>1.2268877872238886E-2</v>
      </c>
      <c r="Z194" s="252" t="str">
        <f>IF(ISNUMBER(SEARCH("C", 'Dry_Litterbag Placem_Collection'!$T121)),"YES","NO")</f>
        <v>NO</v>
      </c>
      <c r="AA194" s="252" t="str">
        <f>IF(ISNUMBER(SEARCH("H", 'Dry_Litterbag Placem_Collection'!$T121)),"YES","NO")</f>
        <v>NO</v>
      </c>
      <c r="AB194" s="252" t="str">
        <f>IF(ISNUMBER(SEARCH("R", 'Dry_Litterbag Placem_Collection'!$T121)),"YES","NO")</f>
        <v>NO</v>
      </c>
      <c r="AC194" s="252" t="str">
        <f>IF(ISNUMBER(SEARCH("C", 'Dry_Litterbag Placem_Collection'!$S121)),"YES","NO")</f>
        <v>NO</v>
      </c>
      <c r="AD194" s="252" t="str">
        <f>IF(ISNUMBER(SEARCH("H", 'Dry_Litterbag Placem_Collection'!$S121)),"YES","NO")</f>
        <v>YES</v>
      </c>
      <c r="AE194" s="252" t="str">
        <f>IF(ISNUMBER(SEARCH("R", 'Dry_Litterbag Placem_Collection'!$S121)),"YES","NO")</f>
        <v>NO</v>
      </c>
    </row>
    <row r="195" spans="2:31">
      <c r="B195" t="str">
        <f>'Final data_for_R_analysis_Dryse'!A121</f>
        <v>Dry</v>
      </c>
      <c r="C195" s="260">
        <f>'Final data_for_R_analysis_Dryse'!B121</f>
        <v>120</v>
      </c>
      <c r="D195" t="s">
        <v>3818</v>
      </c>
      <c r="E195" t="s">
        <v>22</v>
      </c>
      <c r="F195" s="382">
        <v>8</v>
      </c>
      <c r="G195" s="16" t="str">
        <f>IF('Dry_Litterbag Placem_Collection'!E122="","",'Dry_Litterbag Placem_Collection'!E122)</f>
        <v/>
      </c>
      <c r="H195" t="str">
        <f>'Final data_for_R_analysis_Dryse'!K121</f>
        <v/>
      </c>
      <c r="I195" t="str">
        <f>'Final data_for_R_analysis_Dryse'!K341</f>
        <v/>
      </c>
      <c r="J195" t="str">
        <f>IFERROR(INDEX('Green_rooibos initial weight'!$C$5:$C$2000,MATCH(H195, 'Green_rooibos initial weight'!$A$5:$A$2000,0)),"")</f>
        <v/>
      </c>
      <c r="K195" t="str">
        <f>IFERROR(INDEX('Green_rooibos initial weight'!$C$5:$C$2000,MATCH(I195, 'Green_rooibos initial weight'!$A$5:$A$2000,0)),"")</f>
        <v/>
      </c>
      <c r="L195" s="194" t="str">
        <f t="shared" si="8"/>
        <v/>
      </c>
      <c r="M195" s="237">
        <f>AVERAGE(Ashed_controlls!$K$1:$K$11)</f>
        <v>5.5147656768714146</v>
      </c>
      <c r="N195" s="194" t="str">
        <f>IFERROR(IF(K195&gt;0,(K195*$F$32-($F$29+$F$30)),""),"")</f>
        <v/>
      </c>
      <c r="O195" s="16" t="str">
        <f>IF('Dry_Litterbag Placem_Collection'!G122="","",'Dry_Litterbag Placem_Collection'!G122)</f>
        <v/>
      </c>
      <c r="P195" s="194" t="str">
        <f>IFERROR(INDEX('Both teabags AfterDry'!$D$3:$D$2000,MATCH(H195,'Both teabags AfterDry'!$A$3:$A$2000,0)),"")</f>
        <v/>
      </c>
      <c r="Q195" s="194" t="str">
        <f>IFERROR(INDEX('Both teabags AfterDry'!$D$3:$D$2000,MATCH(I195,'Both teabags AfterDry'!$A$3:$A$2000,0)),"")</f>
        <v/>
      </c>
      <c r="R195" s="194" t="str">
        <f t="shared" si="9"/>
        <v/>
      </c>
      <c r="S195" s="194" t="str">
        <f t="shared" si="9"/>
        <v/>
      </c>
      <c r="T195" s="194" t="str">
        <f t="shared" si="10"/>
        <v/>
      </c>
      <c r="U195" s="194" t="str">
        <f t="shared" si="11"/>
        <v/>
      </c>
      <c r="V195" s="194" t="str">
        <f t="shared" si="12"/>
        <v/>
      </c>
      <c r="W195" t="str">
        <f t="shared" si="13"/>
        <v/>
      </c>
      <c r="X195" s="194" t="str">
        <f t="shared" si="14"/>
        <v/>
      </c>
      <c r="Y195" s="194" t="str">
        <f t="shared" si="15"/>
        <v/>
      </c>
      <c r="Z195" s="252" t="str">
        <f>IF(ISNUMBER(SEARCH("C", 'Dry_Litterbag Placem_Collection'!$T122)),"YES","NO")</f>
        <v>NO</v>
      </c>
      <c r="AA195" s="252" t="str">
        <f>IF(ISNUMBER(SEARCH("H", 'Dry_Litterbag Placem_Collection'!$T122)),"YES","NO")</f>
        <v>NO</v>
      </c>
      <c r="AB195" s="252" t="str">
        <f>IF(ISNUMBER(SEARCH("R", 'Dry_Litterbag Placem_Collection'!$T122)),"YES","NO")</f>
        <v>NO</v>
      </c>
      <c r="AC195" s="252" t="str">
        <f>IF(ISNUMBER(SEARCH("C", 'Dry_Litterbag Placem_Collection'!$S122)),"YES","NO")</f>
        <v>NO</v>
      </c>
      <c r="AD195" s="252" t="str">
        <f>IF(ISNUMBER(SEARCH("H", 'Dry_Litterbag Placem_Collection'!$S122)),"YES","NO")</f>
        <v>NO</v>
      </c>
      <c r="AE195" s="252" t="str">
        <f>IF(ISNUMBER(SEARCH("R", 'Dry_Litterbag Placem_Collection'!$S122)),"YES","NO")</f>
        <v>NO</v>
      </c>
    </row>
    <row r="196" spans="2:31">
      <c r="B196" t="str">
        <f>'Final data_for_R_analysis_Dryse'!A122</f>
        <v>Dry</v>
      </c>
      <c r="C196" s="260">
        <f>'Final data_for_R_analysis_Dryse'!B122</f>
        <v>121</v>
      </c>
      <c r="D196" t="s">
        <v>3819</v>
      </c>
      <c r="E196" t="s">
        <v>22</v>
      </c>
      <c r="F196" s="381">
        <v>1</v>
      </c>
      <c r="G196" s="16">
        <f>IF('Dry_Litterbag Placem_Collection'!E123="","",'Dry_Litterbag Placem_Collection'!E123)</f>
        <v>42939</v>
      </c>
      <c r="H196" t="str">
        <f>'Final data_for_R_analysis_Dryse'!K122</f>
        <v>G280</v>
      </c>
      <c r="I196" t="str">
        <f>'Final data_for_R_analysis_Dryse'!K342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8"/>
        <v>1.6952</v>
      </c>
      <c r="M196" s="237">
        <f>AVERAGE(Ashed_controlls!$K$1:$K$11)</f>
        <v>5.5147656768714146</v>
      </c>
      <c r="N196" s="194">
        <f>IFERROR(IF(K196&gt;0,(K196*$F$32-($F$29+$F$30)),""),"")</f>
        <v>1.9382000000000001</v>
      </c>
      <c r="O196" s="16">
        <f>IF('Dry_Litterbag Placem_Collection'!G123="","",'Dry_Litterbag Placem_Collection'!G123)</f>
        <v>43008</v>
      </c>
      <c r="P196" s="194" t="str">
        <f>IFERROR(INDEX('Both teabags AfterDry'!$D$3:$D$2000,MATCH(H196,'Both teabags AfterDry'!$A$3:$A$2000,0)),"")</f>
        <v/>
      </c>
      <c r="Q196" s="194" t="str">
        <f>IFERROR(INDEX('Both teabags AfterDry'!$D$3:$D$2000,MATCH(I196,'Both teabags AfterDry'!$A$3:$A$2000,0)),"")</f>
        <v/>
      </c>
      <c r="R196" s="194" t="str">
        <f t="shared" si="9"/>
        <v/>
      </c>
      <c r="S196" s="194" t="str">
        <f t="shared" si="9"/>
        <v/>
      </c>
      <c r="T196" s="194" t="str">
        <f t="shared" si="10"/>
        <v/>
      </c>
      <c r="U196" s="194" t="str">
        <f t="shared" si="11"/>
        <v/>
      </c>
      <c r="V196" s="194" t="str">
        <f t="shared" si="12"/>
        <v/>
      </c>
      <c r="W196">
        <f t="shared" si="13"/>
        <v>69</v>
      </c>
      <c r="X196" s="194" t="str">
        <f t="shared" si="14"/>
        <v/>
      </c>
      <c r="Y196" s="194" t="str">
        <f t="shared" si="15"/>
        <v/>
      </c>
      <c r="Z196" s="252" t="str">
        <f>IF(ISNUMBER(SEARCH("C", 'Dry_Litterbag Placem_Collection'!$T123)),"YES","NO")</f>
        <v>NO</v>
      </c>
      <c r="AA196" s="252" t="str">
        <f>IF(ISNUMBER(SEARCH("H", 'Dry_Litterbag Placem_Collection'!$T123)),"YES","NO")</f>
        <v>NO</v>
      </c>
      <c r="AB196" s="252" t="str">
        <f>IF(ISNUMBER(SEARCH("R", 'Dry_Litterbag Placem_Collection'!$T123)),"YES","NO")</f>
        <v>NO</v>
      </c>
      <c r="AC196" s="252" t="str">
        <f>IF(ISNUMBER(SEARCH("C", 'Dry_Litterbag Placem_Collection'!$S123)),"YES","NO")</f>
        <v>NO</v>
      </c>
      <c r="AD196" s="252" t="str">
        <f>IF(ISNUMBER(SEARCH("H", 'Dry_Litterbag Placem_Collection'!$S123)),"YES","NO")</f>
        <v>NO</v>
      </c>
      <c r="AE196" s="252" t="str">
        <f>IF(ISNUMBER(SEARCH("R", 'Dry_Litterbag Placem_Collection'!$S123)),"YES","NO")</f>
        <v>NO</v>
      </c>
    </row>
    <row r="197" spans="2:31">
      <c r="B197" t="str">
        <f>'Final data_for_R_analysis_Dryse'!A123</f>
        <v>Dry</v>
      </c>
      <c r="C197" s="260">
        <f>'Final data_for_R_analysis_Dryse'!B123</f>
        <v>122</v>
      </c>
      <c r="D197" t="s">
        <v>3819</v>
      </c>
      <c r="E197" t="s">
        <v>22</v>
      </c>
      <c r="F197" s="381">
        <v>2</v>
      </c>
      <c r="G197" s="16">
        <f>IF('Dry_Litterbag Placem_Collection'!E124="","",'Dry_Litterbag Placem_Collection'!E124)</f>
        <v>42939</v>
      </c>
      <c r="H197" t="str">
        <f>'Final data_for_R_analysis_Dryse'!K123</f>
        <v>G231</v>
      </c>
      <c r="I197" t="str">
        <f>'Final data_for_R_analysis_Dryse'!K343</f>
        <v>R792</v>
      </c>
      <c r="J197">
        <f>IFERROR(INDEX('Green_rooibos initial weight'!$C$5:$C$2000,MATCH(H197, 'Green_rooibos initial weight'!$A$5:$A$2000,0)),"")</f>
        <v>2.085</v>
      </c>
      <c r="K197">
        <f>IFERROR(INDEX('Green_rooibos initial weight'!$C$5:$C$2000,MATCH(I197, 'Green_rooibos initial weight'!$A$5:$A$2000,0)),"")</f>
        <v>2.2389999999999999</v>
      </c>
      <c r="L197" s="194">
        <f t="shared" si="8"/>
        <v>1.8351999999999999</v>
      </c>
      <c r="M197" s="237">
        <f>AVERAGE(Ashed_controlls!$K$1:$K$11)</f>
        <v>5.5147656768714146</v>
      </c>
      <c r="N197" s="194">
        <f>IFERROR(IF(K197&gt;0,(K197*$F$32-($F$29+$F$30)),""),"")</f>
        <v>1.9891999999999999</v>
      </c>
      <c r="O197" s="16">
        <f>IF('Dry_Litterbag Placem_Collection'!G124="","",'Dry_Litterbag Placem_Collection'!G124)</f>
        <v>43008</v>
      </c>
      <c r="P197" s="194">
        <f>IFERROR(INDEX('Both teabags AfterDry'!$D$3:$D$2000,MATCH(H197,'Both teabags AfterDry'!$A$3:$A$2000,0)),"")</f>
        <v>0.78859999999999997</v>
      </c>
      <c r="Q197" s="194">
        <f>IFERROR(INDEX('Both teabags AfterDry'!$D$3:$D$2000,MATCH(I197,'Both teabags AfterDry'!$A$3:$A$2000,0)),"")</f>
        <v>0</v>
      </c>
      <c r="R197" s="194">
        <f t="shared" si="9"/>
        <v>0.6379999999999999</v>
      </c>
      <c r="S197" s="194" t="str">
        <f t="shared" si="9"/>
        <v/>
      </c>
      <c r="T197" s="194">
        <f t="shared" si="10"/>
        <v>0.65235396687009595</v>
      </c>
      <c r="U197" s="194">
        <f t="shared" si="11"/>
        <v>0.4276714842188753</v>
      </c>
      <c r="V197" s="194" t="str">
        <f t="shared" si="12"/>
        <v/>
      </c>
      <c r="W197">
        <f t="shared" si="13"/>
        <v>69</v>
      </c>
      <c r="X197" s="194">
        <f t="shared" si="14"/>
        <v>0.22523281844406651</v>
      </c>
      <c r="Y197" s="194" t="str">
        <f t="shared" si="15"/>
        <v/>
      </c>
      <c r="Z197" s="252" t="str">
        <f>IF(ISNUMBER(SEARCH("C", 'Dry_Litterbag Placem_Collection'!$T124)),"YES","NO")</f>
        <v>YES</v>
      </c>
      <c r="AA197" s="252" t="str">
        <f>IF(ISNUMBER(SEARCH("H", 'Dry_Litterbag Placem_Collection'!$T124)),"YES","NO")</f>
        <v>YES</v>
      </c>
      <c r="AB197" s="252" t="str">
        <f>IF(ISNUMBER(SEARCH("R", 'Dry_Litterbag Placem_Collection'!$T124)),"YES","NO")</f>
        <v>NO</v>
      </c>
      <c r="AC197" s="252" t="str">
        <f>IF(ISNUMBER(SEARCH("C", 'Dry_Litterbag Placem_Collection'!$S124)),"YES","NO")</f>
        <v>NO</v>
      </c>
      <c r="AD197" s="252" t="str">
        <f>IF(ISNUMBER(SEARCH("H", 'Dry_Litterbag Placem_Collection'!$S124)),"YES","NO")</f>
        <v>YES</v>
      </c>
      <c r="AE197" s="252" t="str">
        <f>IF(ISNUMBER(SEARCH("R", 'Dry_Litterbag Placem_Collection'!$S124)),"YES","NO")</f>
        <v>NO</v>
      </c>
    </row>
    <row r="198" spans="2:31">
      <c r="B198" t="str">
        <f>'Final data_for_R_analysis_Dryse'!A124</f>
        <v>Dry</v>
      </c>
      <c r="C198" s="260">
        <f>'Final data_for_R_analysis_Dryse'!B124</f>
        <v>123</v>
      </c>
      <c r="D198" t="s">
        <v>3819</v>
      </c>
      <c r="E198" t="s">
        <v>22</v>
      </c>
      <c r="F198" s="381">
        <v>3</v>
      </c>
      <c r="G198" s="16">
        <f>IF('Dry_Litterbag Placem_Collection'!E125="","",'Dry_Litterbag Placem_Collection'!E125)</f>
        <v>42939</v>
      </c>
      <c r="H198" t="str">
        <f>'Final data_for_R_analysis_Dryse'!K124</f>
        <v>G292</v>
      </c>
      <c r="I198" t="str">
        <f>'Final data_for_R_analysis_Dryse'!K344</f>
        <v>R740</v>
      </c>
      <c r="J198">
        <f>IFERROR(INDEX('Green_rooibos initial weight'!$C$5:$C$2000,MATCH(H198, 'Green_rooibos initial weight'!$A$5:$A$2000,0)),"")</f>
        <v>2.0289999999999999</v>
      </c>
      <c r="K198">
        <f>IFERROR(INDEX('Green_rooibos initial weight'!$C$5:$C$2000,MATCH(I198, 'Green_rooibos initial weight'!$A$5:$A$2000,0)),"")</f>
        <v>2.161</v>
      </c>
      <c r="L198" s="194">
        <f t="shared" si="8"/>
        <v>1.7791999999999999</v>
      </c>
      <c r="M198" s="237">
        <f>AVERAGE(Ashed_controlls!$K$1:$K$11)</f>
        <v>5.5147656768714146</v>
      </c>
      <c r="N198" s="194">
        <f>IFERROR(IF(K198&gt;0,(K198*$F$32-($F$29+$F$30)),""),"")</f>
        <v>1.9112</v>
      </c>
      <c r="O198" s="16">
        <f>IF('Dry_Litterbag Placem_Collection'!G125="","",'Dry_Litterbag Placem_Collection'!G125)</f>
        <v>43008</v>
      </c>
      <c r="P198" s="194">
        <f>IFERROR(INDEX('Both teabags AfterDry'!$D$3:$D$2000,MATCH(H198,'Both teabags AfterDry'!$A$3:$A$2000,0)),"")</f>
        <v>0.88980000000000004</v>
      </c>
      <c r="Q198" s="194">
        <f>IFERROR(INDEX('Both teabags AfterDry'!$D$3:$D$2000,MATCH(I198,'Both teabags AfterDry'!$A$3:$A$2000,0)),"")</f>
        <v>1.6575</v>
      </c>
      <c r="R198" s="194">
        <f t="shared" si="9"/>
        <v>0.73920000000000008</v>
      </c>
      <c r="S198" s="194">
        <f t="shared" si="9"/>
        <v>1.5068999999999999</v>
      </c>
      <c r="T198" s="194">
        <f t="shared" si="10"/>
        <v>0.58453237410071934</v>
      </c>
      <c r="U198" s="194">
        <f t="shared" si="11"/>
        <v>0.38320887233206308</v>
      </c>
      <c r="V198" s="194">
        <f t="shared" si="12"/>
        <v>0.78845751360401839</v>
      </c>
      <c r="W198">
        <f t="shared" si="13"/>
        <v>69</v>
      </c>
      <c r="X198" s="194">
        <f t="shared" si="14"/>
        <v>0.30578102838394372</v>
      </c>
      <c r="Y198" s="194">
        <f t="shared" si="15"/>
        <v>1.1638075687327087E-2</v>
      </c>
      <c r="Z198" s="252" t="str">
        <f>IF(ISNUMBER(SEARCH("C", 'Dry_Litterbag Placem_Collection'!$T125)),"YES","NO")</f>
        <v>NO</v>
      </c>
      <c r="AA198" s="252" t="str">
        <f>IF(ISNUMBER(SEARCH("H", 'Dry_Litterbag Placem_Collection'!$T125)),"YES","NO")</f>
        <v>NO</v>
      </c>
      <c r="AB198" s="252" t="str">
        <f>IF(ISNUMBER(SEARCH("R", 'Dry_Litterbag Placem_Collection'!$T125)),"YES","NO")</f>
        <v>NO</v>
      </c>
      <c r="AC198" s="252" t="str">
        <f>IF(ISNUMBER(SEARCH("C", 'Dry_Litterbag Placem_Collection'!$S125)),"YES","NO")</f>
        <v>NO</v>
      </c>
      <c r="AD198" s="252" t="str">
        <f>IF(ISNUMBER(SEARCH("H", 'Dry_Litterbag Placem_Collection'!$S125)),"YES","NO")</f>
        <v>NO</v>
      </c>
      <c r="AE198" s="252" t="str">
        <f>IF(ISNUMBER(SEARCH("R", 'Dry_Litterbag Placem_Collection'!$S125)),"YES","NO")</f>
        <v>YES</v>
      </c>
    </row>
    <row r="199" spans="2:31">
      <c r="B199" t="str">
        <f>'Final data_for_R_analysis_Dryse'!A125</f>
        <v>Dry</v>
      </c>
      <c r="C199" s="260">
        <f>'Final data_for_R_analysis_Dryse'!B125</f>
        <v>124</v>
      </c>
      <c r="D199" t="s">
        <v>3819</v>
      </c>
      <c r="E199" t="s">
        <v>22</v>
      </c>
      <c r="F199" s="382">
        <v>4</v>
      </c>
      <c r="G199" s="16">
        <f>IF('Dry_Litterbag Placem_Collection'!E126="","",'Dry_Litterbag Placem_Collection'!E126)</f>
        <v>42939</v>
      </c>
      <c r="H199" t="str">
        <f>'Final data_for_R_analysis_Dryse'!K125</f>
        <v>G116</v>
      </c>
      <c r="I199" t="str">
        <f>'Final data_for_R_analysis_Dryse'!K345</f>
        <v>R797</v>
      </c>
      <c r="J199">
        <f>IFERROR(INDEX('Green_rooibos initial weight'!$C$5:$C$2000,MATCH(H199, 'Green_rooibos initial weight'!$A$5:$A$2000,0)),"")</f>
        <v>1.925</v>
      </c>
      <c r="K199">
        <f>IFERROR(INDEX('Green_rooibos initial weight'!$C$5:$C$2000,MATCH(I199, 'Green_rooibos initial weight'!$A$5:$A$2000,0)),"")</f>
        <v>2.2130000000000001</v>
      </c>
      <c r="L199" s="194">
        <f t="shared" si="8"/>
        <v>1.6752</v>
      </c>
      <c r="M199" s="237">
        <f>AVERAGE(Ashed_controlls!$K$1:$K$11)</f>
        <v>5.5147656768714146</v>
      </c>
      <c r="N199" s="194">
        <f>IFERROR(IF(K199&gt;0,(K199*$F$32-($F$29+$F$30)),""),"")</f>
        <v>1.9632000000000001</v>
      </c>
      <c r="O199" s="16">
        <f>IF('Dry_Litterbag Placem_Collection'!G126="","",'Dry_Litterbag Placem_Collection'!G126)</f>
        <v>43008</v>
      </c>
      <c r="P199" s="194">
        <f>IFERROR(INDEX('Both teabags AfterDry'!$D$3:$D$2000,MATCH(H199,'Both teabags AfterDry'!$A$3:$A$2000,0)),"")</f>
        <v>0.63749999999999996</v>
      </c>
      <c r="Q199" s="194">
        <f>IFERROR(INDEX('Both teabags AfterDry'!$D$3:$D$2000,MATCH(I199,'Both teabags AfterDry'!$A$3:$A$2000,0)),"")</f>
        <v>1.5708</v>
      </c>
      <c r="R199" s="194">
        <f t="shared" si="9"/>
        <v>0.48689999999999994</v>
      </c>
      <c r="S199" s="194">
        <f t="shared" si="9"/>
        <v>1.4201999999999999</v>
      </c>
      <c r="T199" s="194">
        <f t="shared" si="10"/>
        <v>0.7093481375358166</v>
      </c>
      <c r="U199" s="194">
        <f t="shared" si="11"/>
        <v>0.46503583363393208</v>
      </c>
      <c r="V199" s="194">
        <f t="shared" si="12"/>
        <v>0.72341075794621024</v>
      </c>
      <c r="W199">
        <f t="shared" si="13"/>
        <v>69</v>
      </c>
      <c r="X199" s="194">
        <f t="shared" si="14"/>
        <v>0.15754377964867383</v>
      </c>
      <c r="Y199" s="194">
        <f t="shared" si="15"/>
        <v>1.3091301902137671E-2</v>
      </c>
      <c r="Z199" s="252" t="str">
        <f>IF(ISNUMBER(SEARCH("C", 'Dry_Litterbag Placem_Collection'!$T126)),"YES","NO")</f>
        <v>NO</v>
      </c>
      <c r="AA199" s="252" t="str">
        <f>IF(ISNUMBER(SEARCH("H", 'Dry_Litterbag Placem_Collection'!$T126)),"YES","NO")</f>
        <v>YES</v>
      </c>
      <c r="AB199" s="252" t="str">
        <f>IF(ISNUMBER(SEARCH("R", 'Dry_Litterbag Placem_Collection'!$T126)),"YES","NO")</f>
        <v>YES</v>
      </c>
      <c r="AC199" s="252" t="str">
        <f>IF(ISNUMBER(SEARCH("C", 'Dry_Litterbag Placem_Collection'!$S126)),"YES","NO")</f>
        <v>NO</v>
      </c>
      <c r="AD199" s="252" t="str">
        <f>IF(ISNUMBER(SEARCH("H", 'Dry_Litterbag Placem_Collection'!$S126)),"YES","NO")</f>
        <v>YES</v>
      </c>
      <c r="AE199" s="252" t="str">
        <f>IF(ISNUMBER(SEARCH("R", 'Dry_Litterbag Placem_Collection'!$S126)),"YES","NO")</f>
        <v>YES</v>
      </c>
    </row>
    <row r="200" spans="2:31">
      <c r="B200" t="str">
        <f>'Final data_for_R_analysis_Dryse'!A126</f>
        <v>Dry</v>
      </c>
      <c r="C200" s="260">
        <f>'Final data_for_R_analysis_Dryse'!B126</f>
        <v>125</v>
      </c>
      <c r="D200" t="s">
        <v>3819</v>
      </c>
      <c r="E200" t="s">
        <v>22</v>
      </c>
      <c r="F200" s="382">
        <v>5</v>
      </c>
      <c r="G200" s="16">
        <f>IF('Dry_Litterbag Placem_Collection'!E127="","",'Dry_Litterbag Placem_Collection'!E127)</f>
        <v>42939</v>
      </c>
      <c r="H200" t="str">
        <f>'Final data_for_R_analysis_Dryse'!K126</f>
        <v>G50</v>
      </c>
      <c r="I200" t="str">
        <f>'Final data_for_R_analysis_Dryse'!K346</f>
        <v>R795</v>
      </c>
      <c r="J200">
        <f>IFERROR(INDEX('Green_rooibos initial weight'!$C$5:$C$2000,MATCH(H200, 'Green_rooibos initial weight'!$A$5:$A$2000,0)),"")</f>
        <v>1.954</v>
      </c>
      <c r="K200">
        <f>IFERROR(INDEX('Green_rooibos initial weight'!$C$5:$C$2000,MATCH(I200, 'Green_rooibos initial weight'!$A$5:$A$2000,0)),"")</f>
        <v>2.2170000000000001</v>
      </c>
      <c r="L200" s="194">
        <f t="shared" si="8"/>
        <v>1.7041999999999999</v>
      </c>
      <c r="M200" s="237">
        <f>AVERAGE(Ashed_controlls!$K$1:$K$11)</f>
        <v>5.5147656768714146</v>
      </c>
      <c r="N200" s="194">
        <f>IFERROR(IF(K200&gt;0,(K200*$F$32-($F$29+$F$30)),""),"")</f>
        <v>1.9672000000000001</v>
      </c>
      <c r="O200" s="16">
        <f>IF('Dry_Litterbag Placem_Collection'!G127="","",'Dry_Litterbag Placem_Collection'!G127)</f>
        <v>43008</v>
      </c>
      <c r="P200" s="194">
        <f>IFERROR(INDEX('Both teabags AfterDry'!$D$3:$D$2000,MATCH(H200,'Both teabags AfterDry'!$A$3:$A$2000,0)),"")</f>
        <v>0.8911</v>
      </c>
      <c r="Q200" s="194">
        <f>IFERROR(INDEX('Both teabags AfterDry'!$D$3:$D$2000,MATCH(I200,'Both teabags AfterDry'!$A$3:$A$2000,0)),"")</f>
        <v>0.83220000000000005</v>
      </c>
      <c r="R200" s="194">
        <f t="shared" si="9"/>
        <v>0.74049999999999994</v>
      </c>
      <c r="S200" s="194">
        <f t="shared" si="9"/>
        <v>0.68159999999999998</v>
      </c>
      <c r="T200" s="194">
        <f t="shared" si="10"/>
        <v>0.56548527168172757</v>
      </c>
      <c r="U200" s="194">
        <f t="shared" si="11"/>
        <v>0.37072193582935115</v>
      </c>
      <c r="V200" s="194">
        <f t="shared" si="12"/>
        <v>0.34648230988206585</v>
      </c>
      <c r="W200">
        <f t="shared" si="13"/>
        <v>69</v>
      </c>
      <c r="X200" s="194">
        <f t="shared" si="14"/>
        <v>0.32840229016421896</v>
      </c>
      <c r="Y200" s="194" t="str">
        <f t="shared" si="15"/>
        <v/>
      </c>
      <c r="Z200" s="252" t="str">
        <f>IF(ISNUMBER(SEARCH("C", 'Dry_Litterbag Placem_Collection'!$T127)),"YES","NO")</f>
        <v>YES</v>
      </c>
      <c r="AA200" s="252" t="str">
        <f>IF(ISNUMBER(SEARCH("H", 'Dry_Litterbag Placem_Collection'!$T127)),"YES","NO")</f>
        <v>YES</v>
      </c>
      <c r="AB200" s="252" t="str">
        <f>IF(ISNUMBER(SEARCH("R", 'Dry_Litterbag Placem_Collection'!$T127)),"YES","NO")</f>
        <v>NO</v>
      </c>
      <c r="AC200" s="252" t="str">
        <f>IF(ISNUMBER(SEARCH("C", 'Dry_Litterbag Placem_Collection'!$S127)),"YES","NO")</f>
        <v>NO</v>
      </c>
      <c r="AD200" s="252" t="str">
        <f>IF(ISNUMBER(SEARCH("H", 'Dry_Litterbag Placem_Collection'!$S127)),"YES","NO")</f>
        <v>NO</v>
      </c>
      <c r="AE200" s="252" t="str">
        <f>IF(ISNUMBER(SEARCH("R", 'Dry_Litterbag Placem_Collection'!$S127)),"YES","NO")</f>
        <v>NO</v>
      </c>
    </row>
    <row r="201" spans="2:31">
      <c r="B201" t="str">
        <f>'Final data_for_R_analysis_Dryse'!A127</f>
        <v>Dry</v>
      </c>
      <c r="C201" s="260">
        <f>'Final data_for_R_analysis_Dryse'!B127</f>
        <v>126</v>
      </c>
      <c r="D201" t="s">
        <v>3819</v>
      </c>
      <c r="E201" t="s">
        <v>22</v>
      </c>
      <c r="F201" s="382">
        <v>6</v>
      </c>
      <c r="G201" s="16" t="str">
        <f>IF('Dry_Litterbag Placem_Collection'!E128="","",'Dry_Litterbag Placem_Collection'!E128)</f>
        <v/>
      </c>
      <c r="H201" t="str">
        <f>'Final data_for_R_analysis_Dryse'!K127</f>
        <v/>
      </c>
      <c r="I201" t="str">
        <f>'Final data_for_R_analysis_Dryse'!K347</f>
        <v/>
      </c>
      <c r="J201" t="str">
        <f>IFERROR(INDEX('Green_rooibos initial weight'!$C$5:$C$2000,MATCH(H201, 'Green_rooibos initial weight'!$A$5:$A$2000,0)),"")</f>
        <v/>
      </c>
      <c r="K201" t="str">
        <f>IFERROR(INDEX('Green_rooibos initial weight'!$C$5:$C$2000,MATCH(I201, 'Green_rooibos initial weight'!$A$5:$A$2000,0)),"")</f>
        <v/>
      </c>
      <c r="L201" s="194" t="str">
        <f t="shared" si="8"/>
        <v/>
      </c>
      <c r="M201" s="237">
        <f>AVERAGE(Ashed_controlls!$K$1:$K$11)</f>
        <v>5.5147656768714146</v>
      </c>
      <c r="N201" s="194" t="str">
        <f>IFERROR(IF(K201&gt;0,(K201*$F$32-($F$29+$F$30)),""),"")</f>
        <v/>
      </c>
      <c r="O201" s="16" t="str">
        <f>IF('Dry_Litterbag Placem_Collection'!G128="","",'Dry_Litterbag Placem_Collection'!G128)</f>
        <v/>
      </c>
      <c r="P201" s="194" t="str">
        <f>IFERROR(INDEX('Both teabags AfterDry'!$D$3:$D$2000,MATCH(H201,'Both teabags AfterDry'!$A$3:$A$2000,0)),"")</f>
        <v/>
      </c>
      <c r="Q201" s="194" t="str">
        <f>IFERROR(INDEX('Both teabags AfterDry'!$D$3:$D$2000,MATCH(I201,'Both teabags AfterDry'!$A$3:$A$2000,0)),"")</f>
        <v/>
      </c>
      <c r="R201" s="194" t="str">
        <f t="shared" si="9"/>
        <v/>
      </c>
      <c r="S201" s="194" t="str">
        <f t="shared" si="9"/>
        <v/>
      </c>
      <c r="T201" s="194" t="str">
        <f t="shared" si="10"/>
        <v/>
      </c>
      <c r="U201" s="194" t="str">
        <f t="shared" si="11"/>
        <v/>
      </c>
      <c r="V201" s="194" t="str">
        <f t="shared" si="12"/>
        <v/>
      </c>
      <c r="W201" t="str">
        <f t="shared" si="13"/>
        <v/>
      </c>
      <c r="X201" s="194" t="str">
        <f t="shared" si="14"/>
        <v/>
      </c>
      <c r="Y201" s="194" t="str">
        <f t="shared" si="15"/>
        <v/>
      </c>
      <c r="Z201" s="252" t="str">
        <f>IF(ISNUMBER(SEARCH("C", 'Dry_Litterbag Placem_Collection'!$T128)),"YES","NO")</f>
        <v>NO</v>
      </c>
      <c r="AA201" s="252" t="str">
        <f>IF(ISNUMBER(SEARCH("H", 'Dry_Litterbag Placem_Collection'!$T128)),"YES","NO")</f>
        <v>NO</v>
      </c>
      <c r="AB201" s="252" t="str">
        <f>IF(ISNUMBER(SEARCH("R", 'Dry_Litterbag Placem_Collection'!$T128)),"YES","NO")</f>
        <v>NO</v>
      </c>
      <c r="AC201" s="252" t="str">
        <f>IF(ISNUMBER(SEARCH("C", 'Dry_Litterbag Placem_Collection'!$S128)),"YES","NO")</f>
        <v>NO</v>
      </c>
      <c r="AD201" s="252" t="str">
        <f>IF(ISNUMBER(SEARCH("H", 'Dry_Litterbag Placem_Collection'!$S128)),"YES","NO")</f>
        <v>NO</v>
      </c>
      <c r="AE201" s="252" t="str">
        <f>IF(ISNUMBER(SEARCH("R", 'Dry_Litterbag Placem_Collection'!$S128)),"YES","NO")</f>
        <v>NO</v>
      </c>
    </row>
    <row r="202" spans="2:31">
      <c r="B202" t="str">
        <f>'Final data_for_R_analysis_Dryse'!A128</f>
        <v>Dry</v>
      </c>
      <c r="C202" s="260">
        <f>'Final data_for_R_analysis_Dryse'!B128</f>
        <v>127</v>
      </c>
      <c r="D202" t="s">
        <v>3819</v>
      </c>
      <c r="E202" t="s">
        <v>22</v>
      </c>
      <c r="F202" s="382">
        <v>7</v>
      </c>
      <c r="G202" s="16">
        <f>IF('Dry_Litterbag Placem_Collection'!E129="","",'Dry_Litterbag Placem_Collection'!E129)</f>
        <v>42939</v>
      </c>
      <c r="H202" t="str">
        <f>'Final data_for_R_analysis_Dryse'!K128</f>
        <v>G318</v>
      </c>
      <c r="I202" t="str">
        <f>'Final data_for_R_analysis_Dryse'!K348</f>
        <v>R751</v>
      </c>
      <c r="J202">
        <f>IFERROR(INDEX('Green_rooibos initial weight'!$C$5:$C$2000,MATCH(H202, 'Green_rooibos initial weight'!$A$5:$A$2000,0)),"")</f>
        <v>1.929</v>
      </c>
      <c r="K202">
        <f>IFERROR(INDEX('Green_rooibos initial weight'!$C$5:$C$2000,MATCH(I202, 'Green_rooibos initial weight'!$A$5:$A$2000,0)),"")</f>
        <v>2.262</v>
      </c>
      <c r="L202" s="194">
        <f t="shared" si="8"/>
        <v>1.6792</v>
      </c>
      <c r="M202" s="237">
        <f>AVERAGE(Ashed_controlls!$K$1:$K$11)</f>
        <v>5.5147656768714146</v>
      </c>
      <c r="N202" s="194">
        <f>IFERROR(IF(K202&gt;0,(K202*$F$32-($F$29+$F$30)),""),"")</f>
        <v>2.0122</v>
      </c>
      <c r="O202" s="16">
        <f>IF('Dry_Litterbag Placem_Collection'!G129="","",'Dry_Litterbag Placem_Collection'!G129)</f>
        <v>43008</v>
      </c>
      <c r="P202" s="194">
        <f>IFERROR(INDEX('Both teabags AfterDry'!$D$3:$D$2000,MATCH(H202,'Both teabags AfterDry'!$A$3:$A$2000,0)),"")</f>
        <v>0.70609999999999995</v>
      </c>
      <c r="Q202" s="194">
        <f>IFERROR(INDEX('Both teabags AfterDry'!$D$3:$D$2000,MATCH(I202,'Both teabags AfterDry'!$A$3:$A$2000,0)),"")</f>
        <v>1.6394</v>
      </c>
      <c r="R202" s="194">
        <f t="shared" si="9"/>
        <v>0.55549999999999988</v>
      </c>
      <c r="S202" s="194">
        <f t="shared" si="9"/>
        <v>1.4887999999999999</v>
      </c>
      <c r="T202" s="194">
        <f t="shared" si="10"/>
        <v>0.66918770843258701</v>
      </c>
      <c r="U202" s="194">
        <f t="shared" si="11"/>
        <v>0.43870738130022335</v>
      </c>
      <c r="V202" s="194">
        <f t="shared" si="12"/>
        <v>0.73988669118377892</v>
      </c>
      <c r="W202">
        <f t="shared" si="13"/>
        <v>69</v>
      </c>
      <c r="X202" s="194">
        <f t="shared" si="14"/>
        <v>0.20524025126771139</v>
      </c>
      <c r="Y202" s="194">
        <f t="shared" si="15"/>
        <v>1.3024886294378013E-2</v>
      </c>
      <c r="Z202" s="252" t="str">
        <f>IF(ISNUMBER(SEARCH("C", 'Dry_Litterbag Placem_Collection'!$T129)),"YES","NO")</f>
        <v>NO</v>
      </c>
      <c r="AA202" s="252" t="str">
        <f>IF(ISNUMBER(SEARCH("H", 'Dry_Litterbag Placem_Collection'!$T129)),"YES","NO")</f>
        <v>NO</v>
      </c>
      <c r="AB202" s="252" t="str">
        <f>IF(ISNUMBER(SEARCH("R", 'Dry_Litterbag Placem_Collection'!$T129)),"YES","NO")</f>
        <v>NO</v>
      </c>
      <c r="AC202" s="252" t="str">
        <f>IF(ISNUMBER(SEARCH("C", 'Dry_Litterbag Placem_Collection'!$S129)),"YES","NO")</f>
        <v>NO</v>
      </c>
      <c r="AD202" s="252" t="str">
        <f>IF(ISNUMBER(SEARCH("H", 'Dry_Litterbag Placem_Collection'!$S129)),"YES","NO")</f>
        <v>NO</v>
      </c>
      <c r="AE202" s="252" t="str">
        <f>IF(ISNUMBER(SEARCH("R", 'Dry_Litterbag Placem_Collection'!$S129)),"YES","NO")</f>
        <v>YES</v>
      </c>
    </row>
    <row r="203" spans="2:31">
      <c r="B203" t="str">
        <f>'Final data_for_R_analysis_Dryse'!A129</f>
        <v>Dry</v>
      </c>
      <c r="C203" s="260">
        <f>'Final data_for_R_analysis_Dryse'!B129</f>
        <v>128</v>
      </c>
      <c r="D203" t="s">
        <v>3819</v>
      </c>
      <c r="E203" t="s">
        <v>22</v>
      </c>
      <c r="F203" s="382">
        <v>8</v>
      </c>
      <c r="G203" s="16">
        <f>IF('Dry_Litterbag Placem_Collection'!E130="","",'Dry_Litterbag Placem_Collection'!E130)</f>
        <v>42939</v>
      </c>
      <c r="H203" t="str">
        <f>'Final data_for_R_analysis_Dryse'!K129</f>
        <v>G34</v>
      </c>
      <c r="I203" t="str">
        <f>'Final data_for_R_analysis_Dryse'!K349</f>
        <v>R819</v>
      </c>
      <c r="J203">
        <f>IFERROR(INDEX('Green_rooibos initial weight'!$C$5:$C$2000,MATCH(H203, 'Green_rooibos initial weight'!$A$5:$A$2000,0)),"")</f>
        <v>2.133</v>
      </c>
      <c r="K203">
        <f>IFERROR(INDEX('Green_rooibos initial weight'!$C$5:$C$2000,MATCH(I203, 'Green_rooibos initial weight'!$A$5:$A$2000,0)),"")</f>
        <v>2.16</v>
      </c>
      <c r="L203" s="194">
        <f t="shared" si="8"/>
        <v>1.8832</v>
      </c>
      <c r="M203" s="237">
        <f>AVERAGE(Ashed_controlls!$K$1:$K$11)</f>
        <v>5.5147656768714146</v>
      </c>
      <c r="N203" s="194">
        <f>IFERROR(IF(K203&gt;0,(K203*$F$32-($F$29+$F$30)),""),"")</f>
        <v>1.9102000000000001</v>
      </c>
      <c r="O203" s="16">
        <f>IF('Dry_Litterbag Placem_Collection'!G130="","",'Dry_Litterbag Placem_Collection'!G130)</f>
        <v>43008</v>
      </c>
      <c r="P203" s="194">
        <f>IFERROR(INDEX('Both teabags AfterDry'!$D$3:$D$2000,MATCH(H203,'Both teabags AfterDry'!$A$3:$A$2000,0)),"")</f>
        <v>0.92579999999999996</v>
      </c>
      <c r="Q203" s="194">
        <f>IFERROR(INDEX('Both teabags AfterDry'!$D$3:$D$2000,MATCH(I203,'Both teabags AfterDry'!$A$3:$A$2000,0)),"")</f>
        <v>2.8028</v>
      </c>
      <c r="R203" s="194">
        <f t="shared" si="9"/>
        <v>0.77519999999999989</v>
      </c>
      <c r="S203" s="194">
        <f t="shared" si="9"/>
        <v>2.6522000000000001</v>
      </c>
      <c r="T203" s="194">
        <f t="shared" si="10"/>
        <v>0.58836023789294822</v>
      </c>
      <c r="U203" s="194">
        <f t="shared" si="11"/>
        <v>0.38571835073266919</v>
      </c>
      <c r="V203" s="194">
        <f t="shared" si="12"/>
        <v>1.3884410009423096</v>
      </c>
      <c r="W203">
        <f t="shared" si="13"/>
        <v>69</v>
      </c>
      <c r="X203" s="194">
        <f t="shared" si="14"/>
        <v>0.30123487186110665</v>
      </c>
      <c r="Y203" s="194">
        <f t="shared" si="15"/>
        <v>-1.0096670888378331E-2</v>
      </c>
      <c r="Z203" s="252" t="str">
        <f>IF(ISNUMBER(SEARCH("C", 'Dry_Litterbag Placem_Collection'!$T130)),"YES","NO")</f>
        <v>YES</v>
      </c>
      <c r="AA203" s="252" t="str">
        <f>IF(ISNUMBER(SEARCH("H", 'Dry_Litterbag Placem_Collection'!$T130)),"YES","NO")</f>
        <v>YES</v>
      </c>
      <c r="AB203" s="252" t="str">
        <f>IF(ISNUMBER(SEARCH("R", 'Dry_Litterbag Placem_Collection'!$T130)),"YES","NO")</f>
        <v>NO</v>
      </c>
      <c r="AC203" s="252" t="str">
        <f>IF(ISNUMBER(SEARCH("C", 'Dry_Litterbag Placem_Collection'!$S130)),"YES","NO")</f>
        <v>NO</v>
      </c>
      <c r="AD203" s="252" t="str">
        <f>IF(ISNUMBER(SEARCH("H", 'Dry_Litterbag Placem_Collection'!$S130)),"YES","NO")</f>
        <v>NO</v>
      </c>
      <c r="AE203" s="252" t="str">
        <f>IF(ISNUMBER(SEARCH("R", 'Dry_Litterbag Placem_Collection'!$S130)),"YES","NO")</f>
        <v>NO</v>
      </c>
    </row>
    <row r="204" spans="2:31">
      <c r="B204" t="str">
        <f>'Final data_for_R_analysis_Dryse'!A130</f>
        <v>Dry</v>
      </c>
      <c r="C204" s="260">
        <f>'Final data_for_R_analysis_Dryse'!B130</f>
        <v>129</v>
      </c>
      <c r="D204" t="s">
        <v>3820</v>
      </c>
      <c r="E204" t="s">
        <v>22</v>
      </c>
      <c r="F204" s="381">
        <v>1</v>
      </c>
      <c r="G204" s="16">
        <f>IF('Dry_Litterbag Placem_Collection'!E131="","",'Dry_Litterbag Placem_Collection'!E131)</f>
        <v>42939</v>
      </c>
      <c r="H204" t="str">
        <f>'Final data_for_R_analysis_Dryse'!K130</f>
        <v>G80</v>
      </c>
      <c r="I204" t="str">
        <f>'Final data_for_R_analysis_Dryse'!K350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8"/>
        <v>1.7761999999999998</v>
      </c>
      <c r="M204" s="237">
        <f>AVERAGE(Ashed_controlls!$K$1:$K$11)</f>
        <v>5.5147656768714146</v>
      </c>
      <c r="N204" s="194">
        <f>IFERROR(IF(K204&gt;0,(K204*$F$32-($F$29+$F$30)),""),"")</f>
        <v>1.9622000000000002</v>
      </c>
      <c r="O204" s="16">
        <f>IF('Dry_Litterbag Placem_Collection'!G131="","",'Dry_Litterbag Placem_Collection'!G131)</f>
        <v>43008</v>
      </c>
      <c r="P204" s="194">
        <f>IFERROR(INDEX('Both teabags AfterDry'!$D$3:$D$2000,MATCH(H204,'Both teabags AfterDry'!$A$3:$A$2000,0)),"")</f>
        <v>0.72970000000000002</v>
      </c>
      <c r="Q204" s="194">
        <f>IFERROR(INDEX('Both teabags AfterDry'!$D$3:$D$2000,MATCH(I204,'Both teabags AfterDry'!$A$3:$A$2000,0)),"")</f>
        <v>0.67179999999999995</v>
      </c>
      <c r="R204" s="194">
        <f t="shared" si="9"/>
        <v>0.57909999999999995</v>
      </c>
      <c r="S204" s="194">
        <f t="shared" si="9"/>
        <v>0.52119999999999989</v>
      </c>
      <c r="T204" s="194">
        <f t="shared" si="10"/>
        <v>0.67396689561986256</v>
      </c>
      <c r="U204" s="194">
        <f t="shared" si="11"/>
        <v>0.44184053014508812</v>
      </c>
      <c r="V204" s="194">
        <f t="shared" si="12"/>
        <v>0.26562022219957182</v>
      </c>
      <c r="W204">
        <f t="shared" si="13"/>
        <v>69</v>
      </c>
      <c r="X204" s="194">
        <f t="shared" si="14"/>
        <v>0.19956425698353608</v>
      </c>
      <c r="Y204" s="194" t="str">
        <f t="shared" si="15"/>
        <v/>
      </c>
      <c r="Z204" s="252" t="str">
        <f>IF(ISNUMBER(SEARCH("C", 'Dry_Litterbag Placem_Collection'!$T131)),"YES","NO")</f>
        <v>YES</v>
      </c>
      <c r="AA204" s="252" t="str">
        <f>IF(ISNUMBER(SEARCH("H", 'Dry_Litterbag Placem_Collection'!$T131)),"YES","NO")</f>
        <v>YES</v>
      </c>
      <c r="AB204" s="252" t="str">
        <f>IF(ISNUMBER(SEARCH("R", 'Dry_Litterbag Placem_Collection'!$T131)),"YES","NO")</f>
        <v>NO</v>
      </c>
      <c r="AC204" s="252" t="str">
        <f>IF(ISNUMBER(SEARCH("C", 'Dry_Litterbag Placem_Collection'!$S131)),"YES","NO")</f>
        <v>YES</v>
      </c>
      <c r="AD204" s="252" t="str">
        <f>IF(ISNUMBER(SEARCH("H", 'Dry_Litterbag Placem_Collection'!$S131)),"YES","NO")</f>
        <v>YES</v>
      </c>
      <c r="AE204" s="252" t="str">
        <f>IF(ISNUMBER(SEARCH("R", 'Dry_Litterbag Placem_Collection'!$S131)),"YES","NO")</f>
        <v>NO</v>
      </c>
    </row>
    <row r="205" spans="2:31">
      <c r="B205" t="str">
        <f>'Final data_for_R_analysis_Dryse'!A131</f>
        <v>Dry</v>
      </c>
      <c r="C205" s="260">
        <f>'Final data_for_R_analysis_Dryse'!B131</f>
        <v>130</v>
      </c>
      <c r="D205" t="s">
        <v>3820</v>
      </c>
      <c r="E205" t="s">
        <v>22</v>
      </c>
      <c r="F205" s="381">
        <v>2</v>
      </c>
      <c r="G205" s="16">
        <f>IF('Dry_Litterbag Placem_Collection'!E132="","",'Dry_Litterbag Placem_Collection'!E132)</f>
        <v>42939</v>
      </c>
      <c r="H205" t="str">
        <f>'Final data_for_R_analysis_Dryse'!K131</f>
        <v>G64</v>
      </c>
      <c r="I205" t="str">
        <f>'Final data_for_R_analysis_Dryse'!K351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16">IFERROR(IF(J205&gt;0,(J205*$F$31-($F$29+$F$30)),""),"")</f>
        <v>1.8342000000000001</v>
      </c>
      <c r="M205" s="237">
        <f>AVERAGE(Ashed_controlls!$K$1:$K$11)</f>
        <v>5.5147656768714146</v>
      </c>
      <c r="N205" s="194">
        <f>IFERROR(IF(K205&gt;0,(K205*$F$32-($F$29+$F$30)),""),"")</f>
        <v>2.0051999999999999</v>
      </c>
      <c r="O205" s="16">
        <f>IF('Dry_Litterbag Placem_Collection'!G132="","",'Dry_Litterbag Placem_Collection'!G132)</f>
        <v>43008</v>
      </c>
      <c r="P205" s="194">
        <f>IFERROR(INDEX('Both teabags AfterDry'!$D$3:$D$2000,MATCH(H205,'Both teabags AfterDry'!$A$3:$A$2000,0)),"")</f>
        <v>0.83650000000000002</v>
      </c>
      <c r="Q205" s="194">
        <f>IFERROR(INDEX('Both teabags AfterDry'!$D$3:$D$2000,MATCH(I205,'Both teabags AfterDry'!$A$3:$A$2000,0)),"")</f>
        <v>2.4607999999999999</v>
      </c>
      <c r="R205" s="194">
        <f t="shared" ref="R205:S268" si="17">IFERROR(IF(P205&gt;0,P205-($F$29),""),"")</f>
        <v>0.68589999999999995</v>
      </c>
      <c r="S205" s="194">
        <f t="shared" si="17"/>
        <v>2.3102</v>
      </c>
      <c r="T205" s="194">
        <f t="shared" ref="T205:T268" si="18">IFERROR(1-R205/L205,"")</f>
        <v>0.62604950387089742</v>
      </c>
      <c r="U205" s="194">
        <f t="shared" ref="U205:U268" si="19">IFERROR($F$26*(1-X205),"")</f>
        <v>0.41042675313151472</v>
      </c>
      <c r="V205" s="194">
        <f t="shared" ref="V205:V268" si="20">IFERROR(S205/N205,"")</f>
        <v>1.1521045282266109</v>
      </c>
      <c r="W205">
        <f t="shared" ref="W205:W268" si="21">IFERROR(IF((O205-G205)&gt;0,(IFERROR(O205-G205,"")),""),"")</f>
        <v>69</v>
      </c>
      <c r="X205" s="194">
        <f t="shared" ref="X205:X268" si="22">IFERROR(1-(T205/$F$25),"")</f>
        <v>0.25647327331247338</v>
      </c>
      <c r="Y205" s="194">
        <f t="shared" ref="Y205:Y268" si="23">IFERROR(LN(U205/(V205-(1-U205)))/W205,"")</f>
        <v>-4.5688299153833732E-3</v>
      </c>
      <c r="Z205" s="252" t="str">
        <f>IF(ISNUMBER(SEARCH("C", 'Dry_Litterbag Placem_Collection'!$T132)),"YES","NO")</f>
        <v>YES</v>
      </c>
      <c r="AA205" s="252" t="str">
        <f>IF(ISNUMBER(SEARCH("H", 'Dry_Litterbag Placem_Collection'!$T132)),"YES","NO")</f>
        <v>YES</v>
      </c>
      <c r="AB205" s="252" t="str">
        <f>IF(ISNUMBER(SEARCH("R", 'Dry_Litterbag Placem_Collection'!$T132)),"YES","NO")</f>
        <v>NO</v>
      </c>
      <c r="AC205" s="252" t="str">
        <f>IF(ISNUMBER(SEARCH("C", 'Dry_Litterbag Placem_Collection'!$S132)),"YES","NO")</f>
        <v>YES</v>
      </c>
      <c r="AD205" s="252" t="str">
        <f>IF(ISNUMBER(SEARCH("H", 'Dry_Litterbag Placem_Collection'!$S132)),"YES","NO")</f>
        <v>NO</v>
      </c>
      <c r="AE205" s="252" t="str">
        <f>IF(ISNUMBER(SEARCH("R", 'Dry_Litterbag Placem_Collection'!$S132)),"YES","NO")</f>
        <v>NO</v>
      </c>
    </row>
    <row r="206" spans="2:31">
      <c r="B206" t="str">
        <f>'Final data_for_R_analysis_Dryse'!A132</f>
        <v>Dry</v>
      </c>
      <c r="C206" s="260">
        <f>'Final data_for_R_analysis_Dryse'!B132</f>
        <v>131</v>
      </c>
      <c r="D206" t="s">
        <v>3820</v>
      </c>
      <c r="E206" t="s">
        <v>22</v>
      </c>
      <c r="F206" s="381">
        <v>3</v>
      </c>
      <c r="G206" s="16">
        <f>IF('Dry_Litterbag Placem_Collection'!E133="","",'Dry_Litterbag Placem_Collection'!E133)</f>
        <v>42939</v>
      </c>
      <c r="H206" t="str">
        <f>'Final data_for_R_analysis_Dryse'!K132</f>
        <v>G118</v>
      </c>
      <c r="I206" t="str">
        <f>'Final data_for_R_analysis_Dryse'!K352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16"/>
        <v>1.8372000000000002</v>
      </c>
      <c r="M206" s="237">
        <f>AVERAGE(Ashed_controlls!$K$1:$K$11)</f>
        <v>5.5147656768714146</v>
      </c>
      <c r="N206" s="194">
        <f>IFERROR(IF(K206&gt;0,(K206*$F$32-($F$29+$F$30)),""),"")</f>
        <v>1.9022000000000001</v>
      </c>
      <c r="O206" s="16">
        <f>IF('Dry_Litterbag Placem_Collection'!G133="","",'Dry_Litterbag Placem_Collection'!G133)</f>
        <v>43008</v>
      </c>
      <c r="P206" s="194">
        <f>IFERROR(INDEX('Both teabags AfterDry'!$D$3:$D$2000,MATCH(H206,'Both teabags AfterDry'!$A$3:$A$2000,0)),"")</f>
        <v>0.87509999999999999</v>
      </c>
      <c r="Q206" s="194">
        <f>IFERROR(INDEX('Both teabags AfterDry'!$D$3:$D$2000,MATCH(I206,'Both teabags AfterDry'!$A$3:$A$2000,0)),"")</f>
        <v>2.2069000000000001</v>
      </c>
      <c r="R206" s="194">
        <f t="shared" si="17"/>
        <v>0.72449999999999992</v>
      </c>
      <c r="S206" s="194">
        <f t="shared" si="17"/>
        <v>2.0563000000000002</v>
      </c>
      <c r="T206" s="194">
        <f t="shared" si="18"/>
        <v>0.6056499020248205</v>
      </c>
      <c r="U206" s="194">
        <f t="shared" si="19"/>
        <v>0.39705314242007239</v>
      </c>
      <c r="V206" s="194">
        <f t="shared" si="20"/>
        <v>1.0810114604142573</v>
      </c>
      <c r="W206">
        <f t="shared" si="21"/>
        <v>69</v>
      </c>
      <c r="X206" s="194">
        <f t="shared" si="22"/>
        <v>0.28070082894914428</v>
      </c>
      <c r="Y206" s="194">
        <f t="shared" si="23"/>
        <v>-2.6909528116427417E-3</v>
      </c>
      <c r="Z206" s="252" t="str">
        <f>IF(ISNUMBER(SEARCH("C", 'Dry_Litterbag Placem_Collection'!$T133)),"YES","NO")</f>
        <v>YES</v>
      </c>
      <c r="AA206" s="252" t="str">
        <f>IF(ISNUMBER(SEARCH("H", 'Dry_Litterbag Placem_Collection'!$T133)),"YES","NO")</f>
        <v>YES</v>
      </c>
      <c r="AB206" s="252" t="str">
        <f>IF(ISNUMBER(SEARCH("R", 'Dry_Litterbag Placem_Collection'!$T133)),"YES","NO")</f>
        <v>NO</v>
      </c>
      <c r="AC206" s="252" t="str">
        <f>IF(ISNUMBER(SEARCH("C", 'Dry_Litterbag Placem_Collection'!$S133)),"YES","NO")</f>
        <v>YES</v>
      </c>
      <c r="AD206" s="252" t="str">
        <f>IF(ISNUMBER(SEARCH("H", 'Dry_Litterbag Placem_Collection'!$S133)),"YES","NO")</f>
        <v>NO</v>
      </c>
      <c r="AE206" s="252" t="str">
        <f>IF(ISNUMBER(SEARCH("R", 'Dry_Litterbag Placem_Collection'!$S133)),"YES","NO")</f>
        <v>NO</v>
      </c>
    </row>
    <row r="207" spans="2:31">
      <c r="B207" t="str">
        <f>'Final data_for_R_analysis_Dryse'!A133</f>
        <v>Dry</v>
      </c>
      <c r="C207" s="260">
        <f>'Final data_for_R_analysis_Dryse'!B133</f>
        <v>132</v>
      </c>
      <c r="D207" t="s">
        <v>3820</v>
      </c>
      <c r="E207" t="s">
        <v>22</v>
      </c>
      <c r="F207" s="382">
        <v>4</v>
      </c>
      <c r="G207" s="16" t="str">
        <f>IF('Dry_Litterbag Placem_Collection'!E134="","",'Dry_Litterbag Placem_Collection'!E134)</f>
        <v/>
      </c>
      <c r="H207" t="str">
        <f>'Final data_for_R_analysis_Dryse'!K133</f>
        <v/>
      </c>
      <c r="I207" t="str">
        <f>'Final data_for_R_analysis_Dryse'!K353</f>
        <v/>
      </c>
      <c r="J207" t="str">
        <f>IFERROR(INDEX('Green_rooibos initial weight'!$C$5:$C$2000,MATCH(H207, 'Green_rooibos initial weight'!$A$5:$A$2000,0)),"")</f>
        <v/>
      </c>
      <c r="K207" t="str">
        <f>IFERROR(INDEX('Green_rooibos initial weight'!$C$5:$C$2000,MATCH(I207, 'Green_rooibos initial weight'!$A$5:$A$2000,0)),"")</f>
        <v/>
      </c>
      <c r="L207" s="194" t="str">
        <f t="shared" si="16"/>
        <v/>
      </c>
      <c r="M207" s="237">
        <f>AVERAGE(Ashed_controlls!$K$1:$K$11)</f>
        <v>5.5147656768714146</v>
      </c>
      <c r="N207" s="194" t="str">
        <f>IFERROR(IF(K207&gt;0,(K207*$F$32-($F$29+$F$30)),""),"")</f>
        <v/>
      </c>
      <c r="O207" s="16" t="str">
        <f>IF('Dry_Litterbag Placem_Collection'!G134="","",'Dry_Litterbag Placem_Collection'!G134)</f>
        <v/>
      </c>
      <c r="P207" s="194" t="str">
        <f>IFERROR(INDEX('Both teabags AfterDry'!$D$3:$D$2000,MATCH(H207,'Both teabags AfterDry'!$A$3:$A$2000,0)),"")</f>
        <v/>
      </c>
      <c r="Q207" s="194" t="str">
        <f>IFERROR(INDEX('Both teabags AfterDry'!$D$3:$D$2000,MATCH(I207,'Both teabags AfterDry'!$A$3:$A$2000,0)),"")</f>
        <v/>
      </c>
      <c r="R207" s="194" t="str">
        <f t="shared" si="17"/>
        <v/>
      </c>
      <c r="S207" s="194" t="str">
        <f t="shared" si="17"/>
        <v/>
      </c>
      <c r="T207" s="194" t="str">
        <f t="shared" si="18"/>
        <v/>
      </c>
      <c r="U207" s="194" t="str">
        <f t="shared" si="19"/>
        <v/>
      </c>
      <c r="V207" s="194" t="str">
        <f t="shared" si="20"/>
        <v/>
      </c>
      <c r="W207" t="str">
        <f t="shared" si="21"/>
        <v/>
      </c>
      <c r="X207" s="194" t="str">
        <f t="shared" si="22"/>
        <v/>
      </c>
      <c r="Y207" s="194" t="str">
        <f t="shared" si="23"/>
        <v/>
      </c>
      <c r="Z207" s="252" t="str">
        <f>IF(ISNUMBER(SEARCH("C", 'Dry_Litterbag Placem_Collection'!$T134)),"YES","NO")</f>
        <v>NO</v>
      </c>
      <c r="AA207" s="252" t="str">
        <f>IF(ISNUMBER(SEARCH("H", 'Dry_Litterbag Placem_Collection'!$T134)),"YES","NO")</f>
        <v>NO</v>
      </c>
      <c r="AB207" s="252" t="str">
        <f>IF(ISNUMBER(SEARCH("R", 'Dry_Litterbag Placem_Collection'!$T134)),"YES","NO")</f>
        <v>NO</v>
      </c>
      <c r="AC207" s="252" t="str">
        <f>IF(ISNUMBER(SEARCH("C", 'Dry_Litterbag Placem_Collection'!$S134)),"YES","NO")</f>
        <v>NO</v>
      </c>
      <c r="AD207" s="252" t="str">
        <f>IF(ISNUMBER(SEARCH("H", 'Dry_Litterbag Placem_Collection'!$S134)),"YES","NO")</f>
        <v>NO</v>
      </c>
      <c r="AE207" s="252" t="str">
        <f>IF(ISNUMBER(SEARCH("R", 'Dry_Litterbag Placem_Collection'!$S134)),"YES","NO")</f>
        <v>NO</v>
      </c>
    </row>
    <row r="208" spans="2:31">
      <c r="B208" t="str">
        <f>'Final data_for_R_analysis_Dryse'!A134</f>
        <v>Dry</v>
      </c>
      <c r="C208" s="260">
        <f>'Final data_for_R_analysis_Dryse'!B134</f>
        <v>133</v>
      </c>
      <c r="D208" t="s">
        <v>3820</v>
      </c>
      <c r="E208" t="s">
        <v>22</v>
      </c>
      <c r="F208" s="382">
        <v>5</v>
      </c>
      <c r="G208" s="16">
        <f>IF('Dry_Litterbag Placem_Collection'!E135="","",'Dry_Litterbag Placem_Collection'!E135)</f>
        <v>42939</v>
      </c>
      <c r="H208" t="str">
        <f>'Final data_for_R_analysis_Dryse'!K134</f>
        <v>G270</v>
      </c>
      <c r="I208" t="str">
        <f>'Final data_for_R_analysis_Dryse'!K354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16"/>
        <v>1.7641999999999998</v>
      </c>
      <c r="M208" s="237">
        <f>AVERAGE(Ashed_controlls!$K$1:$K$11)</f>
        <v>5.5147656768714146</v>
      </c>
      <c r="N208" s="194">
        <f>IFERROR(IF(K208&gt;0,(K208*$F$32-($F$29+$F$30)),""),"")</f>
        <v>1.9251999999999998</v>
      </c>
      <c r="O208" s="16">
        <f>IF('Dry_Litterbag Placem_Collection'!G135="","",'Dry_Litterbag Placem_Collection'!G135)</f>
        <v>43008</v>
      </c>
      <c r="P208" s="194" t="str">
        <f>IFERROR(INDEX('Both teabags AfterDry'!$D$3:$D$2000,MATCH(H208,'Both teabags AfterDry'!$A$3:$A$2000,0)),"")</f>
        <v/>
      </c>
      <c r="Q208" s="194" t="str">
        <f>IFERROR(INDEX('Both teabags AfterDry'!$D$3:$D$2000,MATCH(I208,'Both teabags AfterDry'!$A$3:$A$2000,0)),"")</f>
        <v/>
      </c>
      <c r="R208" s="194" t="str">
        <f t="shared" si="17"/>
        <v/>
      </c>
      <c r="S208" s="194" t="str">
        <f t="shared" si="17"/>
        <v/>
      </c>
      <c r="T208" s="194" t="str">
        <f t="shared" si="18"/>
        <v/>
      </c>
      <c r="U208" s="194" t="str">
        <f t="shared" si="19"/>
        <v/>
      </c>
      <c r="V208" s="194" t="str">
        <f t="shared" si="20"/>
        <v/>
      </c>
      <c r="W208">
        <f t="shared" si="21"/>
        <v>69</v>
      </c>
      <c r="X208" s="194" t="str">
        <f t="shared" si="22"/>
        <v/>
      </c>
      <c r="Y208" s="194" t="str">
        <f t="shared" si="23"/>
        <v/>
      </c>
      <c r="Z208" s="252" t="str">
        <f>IF(ISNUMBER(SEARCH("C", 'Dry_Litterbag Placem_Collection'!$T135)),"YES","NO")</f>
        <v>YES</v>
      </c>
      <c r="AA208" s="252" t="str">
        <f>IF(ISNUMBER(SEARCH("H", 'Dry_Litterbag Placem_Collection'!$T135)),"YES","NO")</f>
        <v>NO</v>
      </c>
      <c r="AB208" s="252" t="str">
        <f>IF(ISNUMBER(SEARCH("R", 'Dry_Litterbag Placem_Collection'!$T135)),"YES","NO")</f>
        <v>NO</v>
      </c>
      <c r="AC208" s="252" t="str">
        <f>IF(ISNUMBER(SEARCH("C", 'Dry_Litterbag Placem_Collection'!$S135)),"YES","NO")</f>
        <v>YES</v>
      </c>
      <c r="AD208" s="252" t="str">
        <f>IF(ISNUMBER(SEARCH("H", 'Dry_Litterbag Placem_Collection'!$S135)),"YES","NO")</f>
        <v>NO</v>
      </c>
      <c r="AE208" s="252" t="str">
        <f>IF(ISNUMBER(SEARCH("R", 'Dry_Litterbag Placem_Collection'!$S135)),"YES","NO")</f>
        <v>NO</v>
      </c>
    </row>
    <row r="209" spans="2:31">
      <c r="B209" t="str">
        <f>'Final data_for_R_analysis_Dryse'!A135</f>
        <v>Dry</v>
      </c>
      <c r="C209" s="260">
        <f>'Final data_for_R_analysis_Dryse'!B135</f>
        <v>134</v>
      </c>
      <c r="D209" t="s">
        <v>3820</v>
      </c>
      <c r="E209" t="s">
        <v>22</v>
      </c>
      <c r="F209" s="382">
        <v>6</v>
      </c>
      <c r="G209" s="16">
        <f>IF('Dry_Litterbag Placem_Collection'!E136="","",'Dry_Litterbag Placem_Collection'!E136)</f>
        <v>42939</v>
      </c>
      <c r="H209" t="str">
        <f>'Final data_for_R_analysis_Dryse'!K135</f>
        <v>G316</v>
      </c>
      <c r="I209" t="str">
        <f>'Final data_for_R_analysis_Dryse'!K355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16"/>
        <v>1.8081999999999998</v>
      </c>
      <c r="M209" s="237">
        <f>AVERAGE(Ashed_controlls!$K$1:$K$11)</f>
        <v>5.5147656768714146</v>
      </c>
      <c r="N209" s="194">
        <f>IFERROR(IF(K209&gt;0,(K209*$F$32-($F$29+$F$30)),""),"")</f>
        <v>1.9411999999999998</v>
      </c>
      <c r="O209" s="16">
        <f>IF('Dry_Litterbag Placem_Collection'!G136="","",'Dry_Litterbag Placem_Collection'!G136)</f>
        <v>43008</v>
      </c>
      <c r="P209" s="194">
        <f>IFERROR(INDEX('Both teabags AfterDry'!$D$3:$D$2000,MATCH(H209,'Both teabags AfterDry'!$A$3:$A$2000,0)),"")</f>
        <v>0.6512</v>
      </c>
      <c r="Q209" s="194">
        <f>IFERROR(INDEX('Both teabags AfterDry'!$D$3:$D$2000,MATCH(I209,'Both teabags AfterDry'!$A$3:$A$2000,0)),"")</f>
        <v>1.7436</v>
      </c>
      <c r="R209" s="194">
        <f t="shared" si="17"/>
        <v>0.50059999999999993</v>
      </c>
      <c r="S209" s="194">
        <f t="shared" si="17"/>
        <v>1.593</v>
      </c>
      <c r="T209" s="194">
        <f t="shared" si="18"/>
        <v>0.7231500940161486</v>
      </c>
      <c r="U209" s="194">
        <f t="shared" si="19"/>
        <v>0.47408414714597868</v>
      </c>
      <c r="V209" s="194">
        <f t="shared" si="20"/>
        <v>0.82062641664949521</v>
      </c>
      <c r="W209">
        <f t="shared" si="21"/>
        <v>69</v>
      </c>
      <c r="X209" s="194">
        <f t="shared" si="22"/>
        <v>0.14115190734424155</v>
      </c>
      <c r="Y209" s="194">
        <f t="shared" si="23"/>
        <v>6.8897260367076175E-3</v>
      </c>
      <c r="Z209" s="252" t="str">
        <f>IF(ISNUMBER(SEARCH("C", 'Dry_Litterbag Placem_Collection'!$T136)),"YES","NO")</f>
        <v>YES</v>
      </c>
      <c r="AA209" s="252" t="str">
        <f>IF(ISNUMBER(SEARCH("H", 'Dry_Litterbag Placem_Collection'!$T136)),"YES","NO")</f>
        <v>NO</v>
      </c>
      <c r="AB209" s="252" t="str">
        <f>IF(ISNUMBER(SEARCH("R", 'Dry_Litterbag Placem_Collection'!$T136)),"YES","NO")</f>
        <v>NO</v>
      </c>
      <c r="AC209" s="252" t="str">
        <f>IF(ISNUMBER(SEARCH("C", 'Dry_Litterbag Placem_Collection'!$S136)),"YES","NO")</f>
        <v>NO</v>
      </c>
      <c r="AD209" s="252" t="str">
        <f>IF(ISNUMBER(SEARCH("H", 'Dry_Litterbag Placem_Collection'!$S136)),"YES","NO")</f>
        <v>NO</v>
      </c>
      <c r="AE209" s="252" t="str">
        <f>IF(ISNUMBER(SEARCH("R", 'Dry_Litterbag Placem_Collection'!$S136)),"YES","NO")</f>
        <v>YES</v>
      </c>
    </row>
    <row r="210" spans="2:31">
      <c r="B210" t="str">
        <f>'Final data_for_R_analysis_Dryse'!A136</f>
        <v>Dry</v>
      </c>
      <c r="C210" s="260">
        <f>'Final data_for_R_analysis_Dryse'!B136</f>
        <v>135</v>
      </c>
      <c r="D210" t="s">
        <v>3820</v>
      </c>
      <c r="E210" t="s">
        <v>22</v>
      </c>
      <c r="F210" s="382">
        <v>7</v>
      </c>
      <c r="G210" s="16">
        <f>IF('Dry_Litterbag Placem_Collection'!E137="","",'Dry_Litterbag Placem_Collection'!E137)</f>
        <v>42939</v>
      </c>
      <c r="H210" t="str">
        <f>'Final data_for_R_analysis_Dryse'!K136</f>
        <v>G77</v>
      </c>
      <c r="I210" t="str">
        <f>'Final data_for_R_analysis_Dryse'!K356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16"/>
        <v>1.7692000000000001</v>
      </c>
      <c r="M210" s="237">
        <f>AVERAGE(Ashed_controlls!$K$1:$K$11)</f>
        <v>5.5147656768714146</v>
      </c>
      <c r="N210" s="194">
        <f>IFERROR(IF(K210&gt;0,(K210*$F$32-($F$29+$F$30)),""),"")</f>
        <v>2.0192000000000001</v>
      </c>
      <c r="O210" s="16">
        <f>IF('Dry_Litterbag Placem_Collection'!G137="","",'Dry_Litterbag Placem_Collection'!G137)</f>
        <v>43008</v>
      </c>
      <c r="P210" s="194">
        <f>IFERROR(INDEX('Both teabags AfterDry'!$D$3:$D$2000,MATCH(H210,'Both teabags AfterDry'!$A$3:$A$2000,0)),"")</f>
        <v>0.94330000000000003</v>
      </c>
      <c r="Q210" s="194">
        <f>IFERROR(INDEX('Both teabags AfterDry'!$D$3:$D$2000,MATCH(I210,'Both teabags AfterDry'!$A$3:$A$2000,0)),"")</f>
        <v>2.0406</v>
      </c>
      <c r="R210" s="194">
        <f t="shared" si="17"/>
        <v>0.79269999999999996</v>
      </c>
      <c r="S210" s="194">
        <f t="shared" si="17"/>
        <v>1.89</v>
      </c>
      <c r="T210" s="194">
        <f t="shared" si="18"/>
        <v>0.5519443816414199</v>
      </c>
      <c r="U210" s="194">
        <f t="shared" si="19"/>
        <v>0.36184477276254612</v>
      </c>
      <c r="V210" s="194">
        <f t="shared" si="20"/>
        <v>0.93601426307448488</v>
      </c>
      <c r="W210">
        <f t="shared" si="21"/>
        <v>69</v>
      </c>
      <c r="X210" s="194">
        <f t="shared" si="22"/>
        <v>0.34448410731422807</v>
      </c>
      <c r="Y210" s="194">
        <f t="shared" si="23"/>
        <v>2.8202170268682995E-3</v>
      </c>
      <c r="Z210" s="252" t="str">
        <f>IF(ISNUMBER(SEARCH("C", 'Dry_Litterbag Placem_Collection'!$T137)),"YES","NO")</f>
        <v>YES</v>
      </c>
      <c r="AA210" s="252" t="str">
        <f>IF(ISNUMBER(SEARCH("H", 'Dry_Litterbag Placem_Collection'!$T137)),"YES","NO")</f>
        <v>YES</v>
      </c>
      <c r="AB210" s="252" t="str">
        <f>IF(ISNUMBER(SEARCH("R", 'Dry_Litterbag Placem_Collection'!$T137)),"YES","NO")</f>
        <v>NO</v>
      </c>
      <c r="AC210" s="252" t="str">
        <f>IF(ISNUMBER(SEARCH("C", 'Dry_Litterbag Placem_Collection'!$S137)),"YES","NO")</f>
        <v>YES</v>
      </c>
      <c r="AD210" s="252" t="str">
        <f>IF(ISNUMBER(SEARCH("H", 'Dry_Litterbag Placem_Collection'!$S137)),"YES","NO")</f>
        <v>YES</v>
      </c>
      <c r="AE210" s="252" t="str">
        <f>IF(ISNUMBER(SEARCH("R", 'Dry_Litterbag Placem_Collection'!$S137)),"YES","NO")</f>
        <v>NO</v>
      </c>
    </row>
    <row r="211" spans="2:31">
      <c r="B211" t="str">
        <f>'Final data_for_R_analysis_Dryse'!A137</f>
        <v>Dry</v>
      </c>
      <c r="C211" s="260">
        <f>'Final data_for_R_analysis_Dryse'!B137</f>
        <v>136</v>
      </c>
      <c r="D211" t="s">
        <v>3820</v>
      </c>
      <c r="E211" t="s">
        <v>22</v>
      </c>
      <c r="F211" s="382">
        <v>8</v>
      </c>
      <c r="G211" s="16">
        <f>IF('Dry_Litterbag Placem_Collection'!E138="","",'Dry_Litterbag Placem_Collection'!E138)</f>
        <v>42939</v>
      </c>
      <c r="H211" t="str">
        <f>'Final data_for_R_analysis_Dryse'!K137</f>
        <v>G332</v>
      </c>
      <c r="I211" t="str">
        <f>'Final data_for_R_analysis_Dryse'!K357</f>
        <v>R184</v>
      </c>
      <c r="J211">
        <f>IFERROR(INDEX('Green_rooibos initial weight'!$C$5:$C$2000,MATCH(H211, 'Green_rooibos initial weight'!$A$5:$A$2000,0)),"")</f>
        <v>2.121</v>
      </c>
      <c r="K211">
        <f>IFERROR(INDEX('Green_rooibos initial weight'!$C$5:$C$2000,MATCH(I211, 'Green_rooibos initial weight'!$A$5:$A$2000,0)),"")</f>
        <v>2.202</v>
      </c>
      <c r="L211" s="194">
        <f t="shared" si="16"/>
        <v>1.8712</v>
      </c>
      <c r="M211" s="237">
        <f>AVERAGE(Ashed_controlls!$K$1:$K$11)</f>
        <v>5.5147656768714146</v>
      </c>
      <c r="N211" s="194">
        <f>IFERROR(IF(K211&gt;0,(K211*$F$32-($F$29+$F$30)),""),"")</f>
        <v>1.9521999999999999</v>
      </c>
      <c r="O211" s="16">
        <f>IF('Dry_Litterbag Placem_Collection'!G138="","",'Dry_Litterbag Placem_Collection'!G138)</f>
        <v>43008</v>
      </c>
      <c r="P211" s="194">
        <f>IFERROR(INDEX('Both teabags AfterDry'!$D$3:$D$2000,MATCH(H211,'Both teabags AfterDry'!$A$3:$A$2000,0)),"")</f>
        <v>0.98260000000000003</v>
      </c>
      <c r="Q211" s="194">
        <f>IFERROR(INDEX('Both teabags AfterDry'!$D$3:$D$2000,MATCH(I211,'Both teabags AfterDry'!$A$3:$A$2000,0)),"")</f>
        <v>1.7850999999999999</v>
      </c>
      <c r="R211" s="194">
        <f t="shared" si="17"/>
        <v>0.83200000000000007</v>
      </c>
      <c r="S211" s="194">
        <f t="shared" si="17"/>
        <v>1.6344999999999998</v>
      </c>
      <c r="T211" s="194">
        <f t="shared" si="18"/>
        <v>0.55536554082941425</v>
      </c>
      <c r="U211" s="194">
        <f t="shared" si="19"/>
        <v>0.36408762296655189</v>
      </c>
      <c r="V211" s="194">
        <f t="shared" si="20"/>
        <v>0.83726052658539074</v>
      </c>
      <c r="W211">
        <f t="shared" si="21"/>
        <v>69</v>
      </c>
      <c r="X211" s="194">
        <f t="shared" si="22"/>
        <v>0.34042097288668138</v>
      </c>
      <c r="Y211" s="194">
        <f t="shared" si="23"/>
        <v>8.5849139718041541E-3</v>
      </c>
      <c r="Z211" s="252" t="str">
        <f>IF(ISNUMBER(SEARCH("C", 'Dry_Litterbag Placem_Collection'!$T138)),"YES","NO")</f>
        <v>NO</v>
      </c>
      <c r="AA211" s="252" t="str">
        <f>IF(ISNUMBER(SEARCH("H", 'Dry_Litterbag Placem_Collection'!$T138)),"YES","NO")</f>
        <v>NO</v>
      </c>
      <c r="AB211" s="252" t="str">
        <f>IF(ISNUMBER(SEARCH("R", 'Dry_Litterbag Placem_Collection'!$T138)),"YES","NO")</f>
        <v>NO</v>
      </c>
      <c r="AC211" s="252" t="str">
        <f>IF(ISNUMBER(SEARCH("C", 'Dry_Litterbag Placem_Collection'!$S138)),"YES","NO")</f>
        <v>YES</v>
      </c>
      <c r="AD211" s="252" t="str">
        <f>IF(ISNUMBER(SEARCH("H", 'Dry_Litterbag Placem_Collection'!$S138)),"YES","NO")</f>
        <v>NO</v>
      </c>
      <c r="AE211" s="252" t="str">
        <f>IF(ISNUMBER(SEARCH("R", 'Dry_Litterbag Placem_Collection'!$S138)),"YES","NO")</f>
        <v>NO</v>
      </c>
    </row>
    <row r="212" spans="2:31">
      <c r="B212" t="str">
        <f>'Final data_for_R_analysis_Dryse'!A138</f>
        <v>Dry</v>
      </c>
      <c r="C212" s="260">
        <f>'Final data_for_R_analysis_Dryse'!B138</f>
        <v>137</v>
      </c>
      <c r="D212" t="s">
        <v>3822</v>
      </c>
      <c r="E212" t="s">
        <v>22</v>
      </c>
      <c r="F212" s="381">
        <v>1</v>
      </c>
      <c r="G212" s="16">
        <f>IF('Dry_Litterbag Placem_Collection'!E139="","",'Dry_Litterbag Placem_Collection'!E139)</f>
        <v>42939</v>
      </c>
      <c r="H212" t="str">
        <f>'Final data_for_R_analysis_Dryse'!K138</f>
        <v>G30</v>
      </c>
      <c r="I212" t="str">
        <f>'Final data_for_R_analysis_Dryse'!K358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16"/>
        <v>1.8182</v>
      </c>
      <c r="M212" s="237">
        <f>AVERAGE(Ashed_controlls!$K$1:$K$11)</f>
        <v>5.5147656768714146</v>
      </c>
      <c r="N212" s="194">
        <f>IFERROR(IF(K212&gt;0,(K212*$F$32-($F$29+$F$30)),""),"")</f>
        <v>1.9792000000000001</v>
      </c>
      <c r="O212" s="16">
        <f>IF('Dry_Litterbag Placem_Collection'!G139="","",'Dry_Litterbag Placem_Collection'!G139)</f>
        <v>43008</v>
      </c>
      <c r="P212" s="194">
        <f>IFERROR(INDEX('Both teabags AfterDry'!$D$3:$D$2000,MATCH(H212,'Both teabags AfterDry'!$A$3:$A$2000,0)),"")</f>
        <v>0.80879999999999996</v>
      </c>
      <c r="Q212" s="194">
        <f>IFERROR(INDEX('Both teabags AfterDry'!$D$3:$D$2000,MATCH(I212,'Both teabags AfterDry'!$A$3:$A$2000,0)),"")</f>
        <v>5.0305999999999997</v>
      </c>
      <c r="R212" s="194">
        <f t="shared" si="17"/>
        <v>0.6581999999999999</v>
      </c>
      <c r="S212" s="194">
        <f t="shared" si="17"/>
        <v>4.88</v>
      </c>
      <c r="T212" s="194">
        <f t="shared" si="18"/>
        <v>0.63799362006379945</v>
      </c>
      <c r="U212" s="194">
        <f t="shared" si="19"/>
        <v>0.41825710008933176</v>
      </c>
      <c r="V212" s="194">
        <f t="shared" si="20"/>
        <v>2.4656426839126917</v>
      </c>
      <c r="W212">
        <f t="shared" si="21"/>
        <v>69</v>
      </c>
      <c r="X212" s="194">
        <f t="shared" si="22"/>
        <v>0.24228786215700771</v>
      </c>
      <c r="Y212" s="194">
        <f t="shared" si="23"/>
        <v>-2.1811636885319861E-2</v>
      </c>
      <c r="Z212" s="252" t="str">
        <f>IF(ISNUMBER(SEARCH("C", 'Dry_Litterbag Placem_Collection'!$T139)),"YES","NO")</f>
        <v>YES</v>
      </c>
      <c r="AA212" s="252" t="str">
        <f>IF(ISNUMBER(SEARCH("H", 'Dry_Litterbag Placem_Collection'!$T139)),"YES","NO")</f>
        <v>YES</v>
      </c>
      <c r="AB212" s="252" t="str">
        <f>IF(ISNUMBER(SEARCH("R", 'Dry_Litterbag Placem_Collection'!$T139)),"YES","NO")</f>
        <v>NO</v>
      </c>
      <c r="AC212" s="252" t="str">
        <f>IF(ISNUMBER(SEARCH("C", 'Dry_Litterbag Placem_Collection'!$S139)),"YES","NO")</f>
        <v>NO</v>
      </c>
      <c r="AD212" s="252" t="str">
        <f>IF(ISNUMBER(SEARCH("H", 'Dry_Litterbag Placem_Collection'!$S139)),"YES","NO")</f>
        <v>YES</v>
      </c>
      <c r="AE212" s="252" t="str">
        <f>IF(ISNUMBER(SEARCH("R", 'Dry_Litterbag Placem_Collection'!$S139)),"YES","NO")</f>
        <v>NO</v>
      </c>
    </row>
    <row r="213" spans="2:31">
      <c r="B213" t="str">
        <f>'Final data_for_R_analysis_Dryse'!A139</f>
        <v>Dry</v>
      </c>
      <c r="C213" s="260">
        <f>'Final data_for_R_analysis_Dryse'!B139</f>
        <v>138</v>
      </c>
      <c r="D213" t="s">
        <v>3822</v>
      </c>
      <c r="E213" t="s">
        <v>22</v>
      </c>
      <c r="F213" s="381">
        <v>2</v>
      </c>
      <c r="G213" s="16">
        <f>IF('Dry_Litterbag Placem_Collection'!E140="","",'Dry_Litterbag Placem_Collection'!E140)</f>
        <v>42939</v>
      </c>
      <c r="H213" t="str">
        <f>'Final data_for_R_analysis_Dryse'!K139</f>
        <v>G213</v>
      </c>
      <c r="I213" t="str">
        <f>'Final data_for_R_analysis_Dryse'!K359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16"/>
        <v>1.8172000000000001</v>
      </c>
      <c r="M213" s="237">
        <f>AVERAGE(Ashed_controlls!$K$1:$K$11)</f>
        <v>5.5147656768714146</v>
      </c>
      <c r="N213" s="194">
        <f>IFERROR(IF(K213&gt;0,(K213*$F$32-($F$29+$F$30)),""),"")</f>
        <v>1.9182000000000001</v>
      </c>
      <c r="O213" s="16">
        <f>IF('Dry_Litterbag Placem_Collection'!G140="","",'Dry_Litterbag Placem_Collection'!G140)</f>
        <v>43008</v>
      </c>
      <c r="P213" s="194">
        <f>IFERROR(INDEX('Both teabags AfterDry'!$D$3:$D$2000,MATCH(H213,'Both teabags AfterDry'!$A$3:$A$2000,0)),"")</f>
        <v>0.66200000000000003</v>
      </c>
      <c r="Q213" s="194">
        <f>IFERROR(INDEX('Both teabags AfterDry'!$D$3:$D$2000,MATCH(I213,'Both teabags AfterDry'!$A$3:$A$2000,0)),"")</f>
        <v>0.2059</v>
      </c>
      <c r="R213" s="194">
        <f t="shared" si="17"/>
        <v>0.51140000000000008</v>
      </c>
      <c r="S213" s="194">
        <f t="shared" si="17"/>
        <v>5.5299999999999988E-2</v>
      </c>
      <c r="T213" s="194">
        <f t="shared" si="18"/>
        <v>0.71857803213735416</v>
      </c>
      <c r="U213" s="194">
        <f t="shared" si="19"/>
        <v>0.471086785914275</v>
      </c>
      <c r="V213" s="194">
        <f t="shared" si="20"/>
        <v>2.8829110624543835E-2</v>
      </c>
      <c r="W213">
        <f t="shared" si="21"/>
        <v>69</v>
      </c>
      <c r="X213" s="194">
        <f t="shared" si="22"/>
        <v>0.14658190957558881</v>
      </c>
      <c r="Y213" s="194" t="str">
        <f t="shared" si="23"/>
        <v/>
      </c>
      <c r="Z213" s="252" t="str">
        <f>IF(ISNUMBER(SEARCH("C", 'Dry_Litterbag Placem_Collection'!$T140)),"YES","NO")</f>
        <v>YES</v>
      </c>
      <c r="AA213" s="252" t="str">
        <f>IF(ISNUMBER(SEARCH("H", 'Dry_Litterbag Placem_Collection'!$T140)),"YES","NO")</f>
        <v>YES</v>
      </c>
      <c r="AB213" s="252" t="str">
        <f>IF(ISNUMBER(SEARCH("R", 'Dry_Litterbag Placem_Collection'!$T140)),"YES","NO")</f>
        <v>NO</v>
      </c>
      <c r="AC213" s="252" t="str">
        <f>IF(ISNUMBER(SEARCH("C", 'Dry_Litterbag Placem_Collection'!$S140)),"YES","NO")</f>
        <v>YES</v>
      </c>
      <c r="AD213" s="252" t="str">
        <f>IF(ISNUMBER(SEARCH("H", 'Dry_Litterbag Placem_Collection'!$S140)),"YES","NO")</f>
        <v>YES</v>
      </c>
      <c r="AE213" s="252" t="str">
        <f>IF(ISNUMBER(SEARCH("R", 'Dry_Litterbag Placem_Collection'!$S140)),"YES","NO")</f>
        <v>NO</v>
      </c>
    </row>
    <row r="214" spans="2:31">
      <c r="B214" t="str">
        <f>'Final data_for_R_analysis_Dryse'!A140</f>
        <v>Dry</v>
      </c>
      <c r="C214" s="260">
        <f>'Final data_for_R_analysis_Dryse'!B140</f>
        <v>139</v>
      </c>
      <c r="D214" t="s">
        <v>3822</v>
      </c>
      <c r="E214" t="s">
        <v>22</v>
      </c>
      <c r="F214" s="381">
        <v>3</v>
      </c>
      <c r="G214" s="16">
        <f>IF('Dry_Litterbag Placem_Collection'!E141="","",'Dry_Litterbag Placem_Collection'!E141)</f>
        <v>42939</v>
      </c>
      <c r="H214" t="str">
        <f>'Final data_for_R_analysis_Dryse'!K140</f>
        <v>G17</v>
      </c>
      <c r="I214" t="str">
        <f>'Final data_for_R_analysis_Dryse'!K360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16"/>
        <v>1.7372000000000001</v>
      </c>
      <c r="M214" s="237">
        <f>AVERAGE(Ashed_controlls!$K$1:$K$11)</f>
        <v>5.5147656768714146</v>
      </c>
      <c r="N214" s="194">
        <f>IFERROR(IF(K214&gt;0,(K214*$F$32-($F$29+$F$30)),""),"")</f>
        <v>1.9811999999999999</v>
      </c>
      <c r="O214" s="16">
        <f>IF('Dry_Litterbag Placem_Collection'!G141="","",'Dry_Litterbag Placem_Collection'!G141)</f>
        <v>43008</v>
      </c>
      <c r="P214" s="194">
        <f>IFERROR(INDEX('Both teabags AfterDry'!$D$3:$D$2000,MATCH(H214,'Both teabags AfterDry'!$A$3:$A$2000,0)),"")</f>
        <v>0.73580000000000001</v>
      </c>
      <c r="Q214" s="194">
        <f>IFERROR(INDEX('Both teabags AfterDry'!$D$3:$D$2000,MATCH(I214,'Both teabags AfterDry'!$A$3:$A$2000,0)),"")</f>
        <v>2.1772999999999998</v>
      </c>
      <c r="R214" s="194">
        <f t="shared" si="17"/>
        <v>0.58519999999999994</v>
      </c>
      <c r="S214" s="194">
        <f t="shared" si="17"/>
        <v>2.0266999999999999</v>
      </c>
      <c r="T214" s="194">
        <f t="shared" si="18"/>
        <v>0.66313608104996558</v>
      </c>
      <c r="U214" s="194">
        <f t="shared" si="19"/>
        <v>0.43474004363370672</v>
      </c>
      <c r="V214" s="194">
        <f t="shared" si="20"/>
        <v>1.022965879265092</v>
      </c>
      <c r="W214">
        <f t="shared" si="21"/>
        <v>69</v>
      </c>
      <c r="X214" s="194">
        <f t="shared" si="22"/>
        <v>0.21242745718531397</v>
      </c>
      <c r="Y214" s="194">
        <f t="shared" si="23"/>
        <v>-7.4606719613905942E-4</v>
      </c>
      <c r="Z214" s="252" t="str">
        <f>IF(ISNUMBER(SEARCH("C", 'Dry_Litterbag Placem_Collection'!$T141)),"YES","NO")</f>
        <v>YES</v>
      </c>
      <c r="AA214" s="252" t="str">
        <f>IF(ISNUMBER(SEARCH("H", 'Dry_Litterbag Placem_Collection'!$T141)),"YES","NO")</f>
        <v>YES</v>
      </c>
      <c r="AB214" s="252" t="str">
        <f>IF(ISNUMBER(SEARCH("R", 'Dry_Litterbag Placem_Collection'!$T141)),"YES","NO")</f>
        <v>NO</v>
      </c>
      <c r="AC214" s="252" t="str">
        <f>IF(ISNUMBER(SEARCH("C", 'Dry_Litterbag Placem_Collection'!$S141)),"YES","NO")</f>
        <v>YES</v>
      </c>
      <c r="AD214" s="252" t="str">
        <f>IF(ISNUMBER(SEARCH("H", 'Dry_Litterbag Placem_Collection'!$S141)),"YES","NO")</f>
        <v>YES</v>
      </c>
      <c r="AE214" s="252" t="str">
        <f>IF(ISNUMBER(SEARCH("R", 'Dry_Litterbag Placem_Collection'!$S141)),"YES","NO")</f>
        <v>NO</v>
      </c>
    </row>
    <row r="215" spans="2:31">
      <c r="B215" t="str">
        <f>'Final data_for_R_analysis_Dryse'!A141</f>
        <v>Dry</v>
      </c>
      <c r="C215" s="260">
        <f>'Final data_for_R_analysis_Dryse'!B141</f>
        <v>140</v>
      </c>
      <c r="D215" t="s">
        <v>3822</v>
      </c>
      <c r="E215" t="s">
        <v>22</v>
      </c>
      <c r="F215" s="382">
        <v>4</v>
      </c>
      <c r="G215" s="16">
        <f>IF('Dry_Litterbag Placem_Collection'!E142="","",'Dry_Litterbag Placem_Collection'!E142)</f>
        <v>42939</v>
      </c>
      <c r="H215" t="str">
        <f>'Final data_for_R_analysis_Dryse'!K141</f>
        <v>G401</v>
      </c>
      <c r="I215" t="str">
        <f>'Final data_for_R_analysis_Dryse'!K361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16"/>
        <v>1.6892</v>
      </c>
      <c r="M215" s="237">
        <f>AVERAGE(Ashed_controlls!$K$1:$K$11)</f>
        <v>5.5147656768714146</v>
      </c>
      <c r="N215" s="194">
        <f>IFERROR(IF(K215&gt;0,(K215*$F$32-($F$29+$F$30)),""),"")</f>
        <v>1.9472</v>
      </c>
      <c r="O215" s="16">
        <f>IF('Dry_Litterbag Placem_Collection'!G142="","",'Dry_Litterbag Placem_Collection'!G142)</f>
        <v>43008</v>
      </c>
      <c r="P215" s="194">
        <f>IFERROR(INDEX('Both teabags AfterDry'!$D$3:$D$2000,MATCH(H215,'Both teabags AfterDry'!$A$3:$A$2000,0)),"")</f>
        <v>0.9304</v>
      </c>
      <c r="Q215" s="194">
        <f>IFERROR(INDEX('Both teabags AfterDry'!$D$3:$D$2000,MATCH(I215,'Both teabags AfterDry'!$A$3:$A$2000,0)),"")</f>
        <v>1.7859</v>
      </c>
      <c r="R215" s="194">
        <f t="shared" si="17"/>
        <v>0.77980000000000005</v>
      </c>
      <c r="S215" s="194">
        <f t="shared" si="17"/>
        <v>1.6353</v>
      </c>
      <c r="T215" s="194">
        <f t="shared" si="18"/>
        <v>0.53836135448733125</v>
      </c>
      <c r="U215" s="194">
        <f t="shared" si="19"/>
        <v>0.35293998536461629</v>
      </c>
      <c r="V215" s="194">
        <f t="shared" si="20"/>
        <v>0.83982128184059157</v>
      </c>
      <c r="W215">
        <f t="shared" si="21"/>
        <v>69</v>
      </c>
      <c r="X215" s="194">
        <f t="shared" si="22"/>
        <v>0.36061596854236189</v>
      </c>
      <c r="Y215" s="194">
        <f t="shared" si="23"/>
        <v>8.7658777332243962E-3</v>
      </c>
      <c r="Z215" s="252" t="str">
        <f>IF(ISNUMBER(SEARCH("C", 'Dry_Litterbag Placem_Collection'!$T142)),"YES","NO")</f>
        <v>YES</v>
      </c>
      <c r="AA215" s="252" t="str">
        <f>IF(ISNUMBER(SEARCH("H", 'Dry_Litterbag Placem_Collection'!$T142)),"YES","NO")</f>
        <v>YES</v>
      </c>
      <c r="AB215" s="252" t="str">
        <f>IF(ISNUMBER(SEARCH("R", 'Dry_Litterbag Placem_Collection'!$T142)),"YES","NO")</f>
        <v>NO</v>
      </c>
      <c r="AC215" s="252" t="str">
        <f>IF(ISNUMBER(SEARCH("C", 'Dry_Litterbag Placem_Collection'!$S142)),"YES","NO")</f>
        <v>NO</v>
      </c>
      <c r="AD215" s="252" t="str">
        <f>IF(ISNUMBER(SEARCH("H", 'Dry_Litterbag Placem_Collection'!$S142)),"YES","NO")</f>
        <v>NO</v>
      </c>
      <c r="AE215" s="252" t="str">
        <f>IF(ISNUMBER(SEARCH("R", 'Dry_Litterbag Placem_Collection'!$S142)),"YES","NO")</f>
        <v>YES</v>
      </c>
    </row>
    <row r="216" spans="2:31">
      <c r="B216" t="str">
        <f>'Final data_for_R_analysis_Dryse'!A142</f>
        <v>Dry</v>
      </c>
      <c r="C216" s="260">
        <f>'Final data_for_R_analysis_Dryse'!B142</f>
        <v>141</v>
      </c>
      <c r="D216" t="s">
        <v>3822</v>
      </c>
      <c r="E216" t="s">
        <v>22</v>
      </c>
      <c r="F216" s="382">
        <v>5</v>
      </c>
      <c r="G216" s="16" t="str">
        <f>IF('Dry_Litterbag Placem_Collection'!E143="","",'Dry_Litterbag Placem_Collection'!E143)</f>
        <v/>
      </c>
      <c r="H216" t="str">
        <f>'Final data_for_R_analysis_Dryse'!K142</f>
        <v/>
      </c>
      <c r="I216" t="str">
        <f>'Final data_for_R_analysis_Dryse'!K362</f>
        <v/>
      </c>
      <c r="J216" t="str">
        <f>IFERROR(INDEX('Green_rooibos initial weight'!$C$5:$C$2000,MATCH(H216, 'Green_rooibos initial weight'!$A$5:$A$2000,0)),"")</f>
        <v/>
      </c>
      <c r="K216" t="str">
        <f>IFERROR(INDEX('Green_rooibos initial weight'!$C$5:$C$2000,MATCH(I216, 'Green_rooibos initial weight'!$A$5:$A$2000,0)),"")</f>
        <v/>
      </c>
      <c r="L216" s="194" t="str">
        <f t="shared" si="16"/>
        <v/>
      </c>
      <c r="M216" s="237">
        <f>AVERAGE(Ashed_controlls!$K$1:$K$11)</f>
        <v>5.5147656768714146</v>
      </c>
      <c r="N216" s="194" t="str">
        <f>IFERROR(IF(K216&gt;0,(K216*$F$32-($F$29+$F$30)),""),"")</f>
        <v/>
      </c>
      <c r="O216" s="16" t="str">
        <f>IF('Dry_Litterbag Placem_Collection'!G143="","",'Dry_Litterbag Placem_Collection'!G143)</f>
        <v/>
      </c>
      <c r="P216" s="194" t="str">
        <f>IFERROR(INDEX('Both teabags AfterDry'!$D$3:$D$2000,MATCH(H216,'Both teabags AfterDry'!$A$3:$A$2000,0)),"")</f>
        <v/>
      </c>
      <c r="Q216" s="194" t="str">
        <f>IFERROR(INDEX('Both teabags AfterDry'!$D$3:$D$2000,MATCH(I216,'Both teabags AfterDry'!$A$3:$A$2000,0)),"")</f>
        <v/>
      </c>
      <c r="R216" s="194" t="str">
        <f t="shared" si="17"/>
        <v/>
      </c>
      <c r="S216" s="194" t="str">
        <f t="shared" si="17"/>
        <v/>
      </c>
      <c r="T216" s="194" t="str">
        <f t="shared" si="18"/>
        <v/>
      </c>
      <c r="U216" s="194" t="str">
        <f t="shared" si="19"/>
        <v/>
      </c>
      <c r="V216" s="194" t="str">
        <f t="shared" si="20"/>
        <v/>
      </c>
      <c r="W216" t="str">
        <f t="shared" si="21"/>
        <v/>
      </c>
      <c r="X216" s="194" t="str">
        <f t="shared" si="22"/>
        <v/>
      </c>
      <c r="Y216" s="194" t="str">
        <f t="shared" si="23"/>
        <v/>
      </c>
      <c r="Z216" s="252" t="str">
        <f>IF(ISNUMBER(SEARCH("C", 'Dry_Litterbag Placem_Collection'!$T143)),"YES","NO")</f>
        <v>NO</v>
      </c>
      <c r="AA216" s="252" t="str">
        <f>IF(ISNUMBER(SEARCH("H", 'Dry_Litterbag Placem_Collection'!$T143)),"YES","NO")</f>
        <v>NO</v>
      </c>
      <c r="AB216" s="252" t="str">
        <f>IF(ISNUMBER(SEARCH("R", 'Dry_Litterbag Placem_Collection'!$T143)),"YES","NO")</f>
        <v>NO</v>
      </c>
      <c r="AC216" s="252" t="str">
        <f>IF(ISNUMBER(SEARCH("C", 'Dry_Litterbag Placem_Collection'!$S143)),"YES","NO")</f>
        <v>NO</v>
      </c>
      <c r="AD216" s="252" t="str">
        <f>IF(ISNUMBER(SEARCH("H", 'Dry_Litterbag Placem_Collection'!$S143)),"YES","NO")</f>
        <v>NO</v>
      </c>
      <c r="AE216" s="252" t="str">
        <f>IF(ISNUMBER(SEARCH("R", 'Dry_Litterbag Placem_Collection'!$S143)),"YES","NO")</f>
        <v>NO</v>
      </c>
    </row>
    <row r="217" spans="2:31">
      <c r="B217" t="str">
        <f>'Final data_for_R_analysis_Dryse'!A143</f>
        <v>Dry</v>
      </c>
      <c r="C217" s="260">
        <f>'Final data_for_R_analysis_Dryse'!B143</f>
        <v>142</v>
      </c>
      <c r="D217" t="s">
        <v>3822</v>
      </c>
      <c r="E217" t="s">
        <v>22</v>
      </c>
      <c r="F217" s="382">
        <v>6</v>
      </c>
      <c r="G217" s="16">
        <f>IF('Dry_Litterbag Placem_Collection'!E144="","",'Dry_Litterbag Placem_Collection'!E144)</f>
        <v>42939</v>
      </c>
      <c r="H217" t="str">
        <f>'Final data_for_R_analysis_Dryse'!K143</f>
        <v>G87</v>
      </c>
      <c r="I217" t="str">
        <f>'Final data_for_R_analysis_Dryse'!K363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16"/>
        <v>1.7372000000000001</v>
      </c>
      <c r="M217" s="237">
        <f>AVERAGE(Ashed_controlls!$K$1:$K$11)</f>
        <v>5.5147656768714146</v>
      </c>
      <c r="N217" s="194">
        <f>IFERROR(IF(K217&gt;0,(K217*$F$32-($F$29+$F$30)),""),"")</f>
        <v>1.9342000000000001</v>
      </c>
      <c r="O217" s="16">
        <f>IF('Dry_Litterbag Placem_Collection'!G144="","",'Dry_Litterbag Placem_Collection'!G144)</f>
        <v>43008</v>
      </c>
      <c r="P217" s="194" t="str">
        <f>IFERROR(INDEX('Both teabags AfterDry'!$D$3:$D$2000,MATCH(H217,'Both teabags AfterDry'!$A$3:$A$2000,0)),"")</f>
        <v/>
      </c>
      <c r="Q217" s="194" t="str">
        <f>IFERROR(INDEX('Both teabags AfterDry'!$D$3:$D$2000,MATCH(I217,'Both teabags AfterDry'!$A$3:$A$2000,0)),"")</f>
        <v/>
      </c>
      <c r="R217" s="194" t="str">
        <f t="shared" si="17"/>
        <v/>
      </c>
      <c r="S217" s="194" t="str">
        <f t="shared" si="17"/>
        <v/>
      </c>
      <c r="T217" s="194" t="str">
        <f t="shared" si="18"/>
        <v/>
      </c>
      <c r="U217" s="194" t="str">
        <f t="shared" si="19"/>
        <v/>
      </c>
      <c r="V217" s="194" t="str">
        <f t="shared" si="20"/>
        <v/>
      </c>
      <c r="W217">
        <f t="shared" si="21"/>
        <v>69</v>
      </c>
      <c r="X217" s="194" t="str">
        <f t="shared" si="22"/>
        <v/>
      </c>
      <c r="Y217" s="194" t="str">
        <f t="shared" si="23"/>
        <v/>
      </c>
      <c r="Z217" s="252" t="str">
        <f>IF(ISNUMBER(SEARCH("C", 'Dry_Litterbag Placem_Collection'!$T144)),"YES","NO")</f>
        <v>NO</v>
      </c>
      <c r="AA217" s="252" t="str">
        <f>IF(ISNUMBER(SEARCH("H", 'Dry_Litterbag Placem_Collection'!$T144)),"YES","NO")</f>
        <v>NO</v>
      </c>
      <c r="AB217" s="252" t="str">
        <f>IF(ISNUMBER(SEARCH("R", 'Dry_Litterbag Placem_Collection'!$T144)),"YES","NO")</f>
        <v>NO</v>
      </c>
      <c r="AC217" s="252" t="str">
        <f>IF(ISNUMBER(SEARCH("C", 'Dry_Litterbag Placem_Collection'!$S144)),"YES","NO")</f>
        <v>YES</v>
      </c>
      <c r="AD217" s="252" t="str">
        <f>IF(ISNUMBER(SEARCH("H", 'Dry_Litterbag Placem_Collection'!$S144)),"YES","NO")</f>
        <v>NO</v>
      </c>
      <c r="AE217" s="252" t="str">
        <f>IF(ISNUMBER(SEARCH("R", 'Dry_Litterbag Placem_Collection'!$S144)),"YES","NO")</f>
        <v>YES</v>
      </c>
    </row>
    <row r="218" spans="2:31">
      <c r="B218" t="str">
        <f>'Final data_for_R_analysis_Dryse'!A144</f>
        <v>Dry</v>
      </c>
      <c r="C218" s="260">
        <f>'Final data_for_R_analysis_Dryse'!B144</f>
        <v>143</v>
      </c>
      <c r="D218" t="s">
        <v>3822</v>
      </c>
      <c r="E218" t="s">
        <v>22</v>
      </c>
      <c r="F218" s="382">
        <v>7</v>
      </c>
      <c r="G218" s="16">
        <f>IF('Dry_Litterbag Placem_Collection'!E145="","",'Dry_Litterbag Placem_Collection'!E145)</f>
        <v>42939</v>
      </c>
      <c r="H218" t="str">
        <f>'Final data_for_R_analysis_Dryse'!K144</f>
        <v>G501</v>
      </c>
      <c r="I218" t="str">
        <f>'Final data_for_R_analysis_Dryse'!K364</f>
        <v>R774</v>
      </c>
      <c r="J218">
        <f>IFERROR(INDEX('Green_rooibos initial weight'!$C$5:$C$2000,MATCH(H218, 'Green_rooibos initial weight'!$A$5:$A$2000,0)),"")</f>
        <v>1.917</v>
      </c>
      <c r="K218">
        <f>IFERROR(INDEX('Green_rooibos initial weight'!$C$5:$C$2000,MATCH(I218, 'Green_rooibos initial weight'!$A$5:$A$2000,0)),"")</f>
        <v>2.1629999999999998</v>
      </c>
      <c r="L218" s="194">
        <f t="shared" si="16"/>
        <v>1.6672</v>
      </c>
      <c r="M218" s="237">
        <f>AVERAGE(Ashed_controlls!$K$1:$K$11)</f>
        <v>5.5147656768714146</v>
      </c>
      <c r="N218" s="194">
        <f>IFERROR(IF(K218&gt;0,(K218*$F$32-($F$29+$F$30)),""),"")</f>
        <v>1.9131999999999998</v>
      </c>
      <c r="O218" s="16">
        <f>IF('Dry_Litterbag Placem_Collection'!G145="","",'Dry_Litterbag Placem_Collection'!G145)</f>
        <v>43008</v>
      </c>
      <c r="P218" s="194">
        <f>IFERROR(INDEX('Both teabags AfterDry'!$D$3:$D$2000,MATCH(H218,'Both teabags AfterDry'!$A$3:$A$2000,0)),"")</f>
        <v>0.78680000000000005</v>
      </c>
      <c r="Q218" s="194">
        <f>IFERROR(INDEX('Both teabags AfterDry'!$D$3:$D$2000,MATCH(I218,'Both teabags AfterDry'!$A$3:$A$2000,0)),"")</f>
        <v>1.5979000000000001</v>
      </c>
      <c r="R218" s="194">
        <f t="shared" si="17"/>
        <v>0.6362000000000001</v>
      </c>
      <c r="S218" s="194">
        <f t="shared" si="17"/>
        <v>1.4473</v>
      </c>
      <c r="T218" s="194">
        <f t="shared" si="18"/>
        <v>0.61840211132437617</v>
      </c>
      <c r="U218" s="194">
        <f t="shared" si="19"/>
        <v>0.40541326063070743</v>
      </c>
      <c r="V218" s="194">
        <f t="shared" si="20"/>
        <v>0.75648128789462687</v>
      </c>
      <c r="W218">
        <f t="shared" si="21"/>
        <v>69</v>
      </c>
      <c r="X218" s="194">
        <f t="shared" si="22"/>
        <v>0.26555568726321122</v>
      </c>
      <c r="Y218" s="194">
        <f t="shared" si="23"/>
        <v>1.3303793553933654E-2</v>
      </c>
      <c r="Z218" s="252" t="str">
        <f>IF(ISNUMBER(SEARCH("C", 'Dry_Litterbag Placem_Collection'!$T145)),"YES","NO")</f>
        <v>NO</v>
      </c>
      <c r="AA218" s="252" t="str">
        <f>IF(ISNUMBER(SEARCH("H", 'Dry_Litterbag Placem_Collection'!$T145)),"YES","NO")</f>
        <v>NO</v>
      </c>
      <c r="AB218" s="252" t="str">
        <f>IF(ISNUMBER(SEARCH("R", 'Dry_Litterbag Placem_Collection'!$T145)),"YES","NO")</f>
        <v>NO</v>
      </c>
      <c r="AC218" s="252" t="str">
        <f>IF(ISNUMBER(SEARCH("C", 'Dry_Litterbag Placem_Collection'!$S145)),"YES","NO")</f>
        <v>NO</v>
      </c>
      <c r="AD218" s="252" t="str">
        <f>IF(ISNUMBER(SEARCH("H", 'Dry_Litterbag Placem_Collection'!$S145)),"YES","NO")</f>
        <v>NO</v>
      </c>
      <c r="AE218" s="252" t="str">
        <f>IF(ISNUMBER(SEARCH("R", 'Dry_Litterbag Placem_Collection'!$S145)),"YES","NO")</f>
        <v>NO</v>
      </c>
    </row>
    <row r="219" spans="2:31">
      <c r="B219" t="str">
        <f>'Final data_for_R_analysis_Dryse'!A145</f>
        <v>Dry</v>
      </c>
      <c r="C219" s="260">
        <f>'Final data_for_R_analysis_Dryse'!B145</f>
        <v>144</v>
      </c>
      <c r="D219" t="s">
        <v>3822</v>
      </c>
      <c r="E219" t="s">
        <v>22</v>
      </c>
      <c r="F219" s="382">
        <v>8</v>
      </c>
      <c r="G219" s="16">
        <f>IF('Dry_Litterbag Placem_Collection'!E146="","",'Dry_Litterbag Placem_Collection'!E146)</f>
        <v>42939</v>
      </c>
      <c r="H219" t="str">
        <f>'Final data_for_R_analysis_Dryse'!K145</f>
        <v>G141</v>
      </c>
      <c r="I219" t="str">
        <f>'Final data_for_R_analysis_Dryse'!K365</f>
        <v>R779</v>
      </c>
      <c r="J219">
        <f>IFERROR(INDEX('Green_rooibos initial weight'!$C$5:$C$2000,MATCH(H219, 'Green_rooibos initial weight'!$A$5:$A$2000,0)),"")</f>
        <v>2.0310000000000001</v>
      </c>
      <c r="K219">
        <f>IFERROR(INDEX('Green_rooibos initial weight'!$C$5:$C$2000,MATCH(I219, 'Green_rooibos initial weight'!$A$5:$A$2000,0)),"")</f>
        <v>2.16</v>
      </c>
      <c r="L219" s="194">
        <f t="shared" si="16"/>
        <v>1.7812000000000001</v>
      </c>
      <c r="M219" s="237">
        <f>AVERAGE(Ashed_controlls!$K$1:$K$11)</f>
        <v>5.5147656768714146</v>
      </c>
      <c r="N219" s="194">
        <f>IFERROR(IF(K219&gt;0,(K219*$F$32-($F$29+$F$30)),""),"")</f>
        <v>1.9102000000000001</v>
      </c>
      <c r="O219" s="16">
        <f>IF('Dry_Litterbag Placem_Collection'!G146="","",'Dry_Litterbag Placem_Collection'!G146)</f>
        <v>43008</v>
      </c>
      <c r="P219" s="194">
        <f>IFERROR(INDEX('Both teabags AfterDry'!$D$3:$D$2000,MATCH(H219,'Both teabags AfterDry'!$A$3:$A$2000,0)),"")</f>
        <v>0.66180000000000005</v>
      </c>
      <c r="Q219" s="194">
        <f>IFERROR(INDEX('Both teabags AfterDry'!$D$3:$D$2000,MATCH(I219,'Both teabags AfterDry'!$A$3:$A$2000,0)),"")</f>
        <v>0.17680000000000001</v>
      </c>
      <c r="R219" s="194">
        <f t="shared" si="17"/>
        <v>0.5112000000000001</v>
      </c>
      <c r="S219" s="194">
        <f t="shared" si="17"/>
        <v>2.6200000000000001E-2</v>
      </c>
      <c r="T219" s="194">
        <f t="shared" si="18"/>
        <v>0.71300247024477881</v>
      </c>
      <c r="U219" s="194">
        <f t="shared" si="19"/>
        <v>0.46743154818897614</v>
      </c>
      <c r="V219" s="194">
        <f t="shared" si="20"/>
        <v>1.3715841273165113E-2</v>
      </c>
      <c r="W219">
        <f t="shared" si="21"/>
        <v>69</v>
      </c>
      <c r="X219" s="194">
        <f t="shared" si="22"/>
        <v>0.1532037170489563</v>
      </c>
      <c r="Y219" s="194" t="str">
        <f t="shared" si="23"/>
        <v/>
      </c>
      <c r="Z219" s="252" t="str">
        <f>IF(ISNUMBER(SEARCH("C", 'Dry_Litterbag Placem_Collection'!$T146)),"YES","NO")</f>
        <v>YES</v>
      </c>
      <c r="AA219" s="252" t="str">
        <f>IF(ISNUMBER(SEARCH("H", 'Dry_Litterbag Placem_Collection'!$T146)),"YES","NO")</f>
        <v>YES</v>
      </c>
      <c r="AB219" s="252" t="str">
        <f>IF(ISNUMBER(SEARCH("R", 'Dry_Litterbag Placem_Collection'!$T146)),"YES","NO")</f>
        <v>NO</v>
      </c>
      <c r="AC219" s="252" t="str">
        <f>IF(ISNUMBER(SEARCH("C", 'Dry_Litterbag Placem_Collection'!$S146)),"YES","NO")</f>
        <v>NO</v>
      </c>
      <c r="AD219" s="252" t="str">
        <f>IF(ISNUMBER(SEARCH("H", 'Dry_Litterbag Placem_Collection'!$S146)),"YES","NO")</f>
        <v>YES</v>
      </c>
      <c r="AE219" s="252" t="str">
        <f>IF(ISNUMBER(SEARCH("R", 'Dry_Litterbag Placem_Collection'!$S146)),"YES","NO")</f>
        <v>NO</v>
      </c>
    </row>
    <row r="220" spans="2:31">
      <c r="B220" t="str">
        <f>'Final data_for_R_analysis_Dryse'!A146</f>
        <v>Dry</v>
      </c>
      <c r="C220" s="260">
        <f>'Final data_for_R_analysis_Dryse'!B146</f>
        <v>145</v>
      </c>
      <c r="D220" t="s">
        <v>3823</v>
      </c>
      <c r="E220" t="s">
        <v>22</v>
      </c>
      <c r="F220" s="381">
        <v>1</v>
      </c>
      <c r="G220" s="16">
        <f>IF('Dry_Litterbag Placem_Collection'!E147="","",'Dry_Litterbag Placem_Collection'!E147)</f>
        <v>42939</v>
      </c>
      <c r="H220" t="str">
        <f>'Final data_for_R_analysis_Dryse'!K146</f>
        <v>G131</v>
      </c>
      <c r="I220" t="str">
        <f>'Final data_for_R_analysis_Dryse'!K366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16"/>
        <v>1.7172000000000001</v>
      </c>
      <c r="M220" s="237">
        <f>AVERAGE(Ashed_controlls!$K$1:$K$11)</f>
        <v>5.5147656768714146</v>
      </c>
      <c r="N220" s="194">
        <f>IFERROR(IF(K220&gt;0,(K220*$F$32-($F$29+$F$30)),""),"")</f>
        <v>1.9931999999999999</v>
      </c>
      <c r="O220" s="16">
        <f>IF('Dry_Litterbag Placem_Collection'!G147="","",'Dry_Litterbag Placem_Collection'!G147)</f>
        <v>43010</v>
      </c>
      <c r="P220" s="194">
        <f>IFERROR(INDEX('Both teabags AfterDry'!$D$3:$D$2000,MATCH(H220,'Both teabags AfterDry'!$A$3:$A$2000,0)),"")</f>
        <v>1.544</v>
      </c>
      <c r="Q220" s="194">
        <f>IFERROR(INDEX('Both teabags AfterDry'!$D$3:$D$2000,MATCH(I220,'Both teabags AfterDry'!$A$3:$A$2000,0)),"")</f>
        <v>1.9579</v>
      </c>
      <c r="R220" s="194">
        <f t="shared" si="17"/>
        <v>1.3934</v>
      </c>
      <c r="S220" s="194">
        <f t="shared" si="17"/>
        <v>1.8072999999999999</v>
      </c>
      <c r="T220" s="194">
        <f t="shared" si="18"/>
        <v>0.18856277661309118</v>
      </c>
      <c r="U220" s="194">
        <f t="shared" si="19"/>
        <v>0.12361835236392679</v>
      </c>
      <c r="V220" s="194">
        <f t="shared" si="20"/>
        <v>0.9067328918322296</v>
      </c>
      <c r="W220">
        <f t="shared" si="21"/>
        <v>71</v>
      </c>
      <c r="X220" s="194">
        <f t="shared" si="22"/>
        <v>0.7760537094856399</v>
      </c>
      <c r="Y220" s="194">
        <f t="shared" si="23"/>
        <v>1.9779739497377165E-2</v>
      </c>
      <c r="Z220" s="252" t="str">
        <f>IF(ISNUMBER(SEARCH("C", 'Dry_Litterbag Placem_Collection'!$T147)),"YES","NO")</f>
        <v>NO</v>
      </c>
      <c r="AA220" s="252" t="str">
        <f>IF(ISNUMBER(SEARCH("H", 'Dry_Litterbag Placem_Collection'!$T147)),"YES","NO")</f>
        <v>NO</v>
      </c>
      <c r="AB220" s="252" t="str">
        <f>IF(ISNUMBER(SEARCH("R", 'Dry_Litterbag Placem_Collection'!$T147)),"YES","NO")</f>
        <v>NO</v>
      </c>
      <c r="AC220" s="252" t="str">
        <f>IF(ISNUMBER(SEARCH("C", 'Dry_Litterbag Placem_Collection'!$S147)),"YES","NO")</f>
        <v>NO</v>
      </c>
      <c r="AD220" s="252" t="str">
        <f>IF(ISNUMBER(SEARCH("H", 'Dry_Litterbag Placem_Collection'!$S147)),"YES","NO")</f>
        <v>NO</v>
      </c>
      <c r="AE220" s="252" t="str">
        <f>IF(ISNUMBER(SEARCH("R", 'Dry_Litterbag Placem_Collection'!$S147)),"YES","NO")</f>
        <v>NO</v>
      </c>
    </row>
    <row r="221" spans="2:31">
      <c r="B221" t="str">
        <f>'Final data_for_R_analysis_Dryse'!A147</f>
        <v>Dry</v>
      </c>
      <c r="C221" s="260">
        <f>'Final data_for_R_analysis_Dryse'!B147</f>
        <v>146</v>
      </c>
      <c r="D221" t="s">
        <v>3823</v>
      </c>
      <c r="E221" t="s">
        <v>22</v>
      </c>
      <c r="F221" s="381">
        <v>2</v>
      </c>
      <c r="G221" s="16">
        <f>IF('Dry_Litterbag Placem_Collection'!E148="","",'Dry_Litterbag Placem_Collection'!E148)</f>
        <v>42939</v>
      </c>
      <c r="H221" t="str">
        <f>'Final data_for_R_analysis_Dryse'!K147</f>
        <v>G465</v>
      </c>
      <c r="I221" t="str">
        <f>'Final data_for_R_analysis_Dryse'!K367</f>
        <v>R13</v>
      </c>
      <c r="J221">
        <f>IFERROR(INDEX('Green_rooibos initial weight'!$C$5:$C$2000,MATCH(H221, 'Green_rooibos initial weight'!$A$5:$A$2000,0)),"")</f>
        <v>2.004</v>
      </c>
      <c r="K221">
        <f>IFERROR(INDEX('Green_rooibos initial weight'!$C$5:$C$2000,MATCH(I221, 'Green_rooibos initial weight'!$A$5:$A$2000,0)),"")</f>
        <v>2.2490000000000001</v>
      </c>
      <c r="L221" s="194">
        <f t="shared" si="16"/>
        <v>1.7542</v>
      </c>
      <c r="M221" s="237">
        <f>AVERAGE(Ashed_controlls!$K$1:$K$11)</f>
        <v>5.5147656768714146</v>
      </c>
      <c r="N221" s="194">
        <f>IFERROR(IF(K221&gt;0,(K221*$F$32-($F$29+$F$30)),""),"")</f>
        <v>1.9992000000000001</v>
      </c>
      <c r="O221" s="16">
        <f>IF('Dry_Litterbag Placem_Collection'!G148="","",'Dry_Litterbag Placem_Collection'!G148)</f>
        <v>43010</v>
      </c>
      <c r="P221" s="194">
        <f>IFERROR(INDEX('Both teabags AfterDry'!$D$3:$D$2000,MATCH(H221,'Both teabags AfterDry'!$A$3:$A$2000,0)),"")</f>
        <v>1.6845000000000001</v>
      </c>
      <c r="Q221" s="194">
        <f>IFERROR(INDEX('Both teabags AfterDry'!$D$3:$D$2000,MATCH(I221,'Both teabags AfterDry'!$A$3:$A$2000,0)),"")</f>
        <v>0.68400000000000005</v>
      </c>
      <c r="R221" s="194">
        <f t="shared" si="17"/>
        <v>1.5339</v>
      </c>
      <c r="S221" s="194">
        <f t="shared" si="17"/>
        <v>0.5334000000000001</v>
      </c>
      <c r="T221" s="194">
        <f t="shared" si="18"/>
        <v>0.12558431193706532</v>
      </c>
      <c r="U221" s="194">
        <f t="shared" si="19"/>
        <v>8.233080782572455E-2</v>
      </c>
      <c r="V221" s="194">
        <f t="shared" si="20"/>
        <v>0.26680672268907568</v>
      </c>
      <c r="W221">
        <f t="shared" si="21"/>
        <v>71</v>
      </c>
      <c r="X221" s="194">
        <f t="shared" si="22"/>
        <v>0.85084998582296278</v>
      </c>
      <c r="Y221" s="194" t="str">
        <f t="shared" si="23"/>
        <v/>
      </c>
      <c r="Z221" s="252" t="str">
        <f>IF(ISNUMBER(SEARCH("C", 'Dry_Litterbag Placem_Collection'!$T148)),"YES","NO")</f>
        <v>NO</v>
      </c>
      <c r="AA221" s="252" t="str">
        <f>IF(ISNUMBER(SEARCH("H", 'Dry_Litterbag Placem_Collection'!$T148)),"YES","NO")</f>
        <v>YES</v>
      </c>
      <c r="AB221" s="252" t="str">
        <f>IF(ISNUMBER(SEARCH("R", 'Dry_Litterbag Placem_Collection'!$T148)),"YES","NO")</f>
        <v>NO</v>
      </c>
      <c r="AC221" s="252" t="str">
        <f>IF(ISNUMBER(SEARCH("C", 'Dry_Litterbag Placem_Collection'!$S148)),"YES","NO")</f>
        <v>NO</v>
      </c>
      <c r="AD221" s="252" t="str">
        <f>IF(ISNUMBER(SEARCH("H", 'Dry_Litterbag Placem_Collection'!$S148)),"YES","NO")</f>
        <v>NO</v>
      </c>
      <c r="AE221" s="252" t="str">
        <f>IF(ISNUMBER(SEARCH("R", 'Dry_Litterbag Placem_Collection'!$S148)),"YES","NO")</f>
        <v>NO</v>
      </c>
    </row>
    <row r="222" spans="2:31">
      <c r="B222" t="str">
        <f>'Final data_for_R_analysis_Dryse'!A148</f>
        <v>Dry</v>
      </c>
      <c r="C222" s="260">
        <f>'Final data_for_R_analysis_Dryse'!B148</f>
        <v>147</v>
      </c>
      <c r="D222" t="s">
        <v>3823</v>
      </c>
      <c r="E222" t="s">
        <v>22</v>
      </c>
      <c r="F222" s="381">
        <v>3</v>
      </c>
      <c r="G222" s="16">
        <f>IF('Dry_Litterbag Placem_Collection'!E149="","",'Dry_Litterbag Placem_Collection'!E149)</f>
        <v>42939</v>
      </c>
      <c r="H222" t="str">
        <f>'Final data_for_R_analysis_Dryse'!K148</f>
        <v>G15</v>
      </c>
      <c r="I222" t="str">
        <f>'Final data_for_R_analysis_Dryse'!K368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16"/>
        <v>1.8012000000000001</v>
      </c>
      <c r="M222" s="237">
        <f>AVERAGE(Ashed_controlls!$K$1:$K$11)</f>
        <v>5.5147656768714146</v>
      </c>
      <c r="N222" s="194">
        <f>IFERROR(IF(K222&gt;0,(K222*$F$32-($F$29+$F$30)),""),"")</f>
        <v>1.9651999999999998</v>
      </c>
      <c r="O222" s="16">
        <f>IF('Dry_Litterbag Placem_Collection'!G149="","",'Dry_Litterbag Placem_Collection'!G149)</f>
        <v>43010</v>
      </c>
      <c r="P222" s="194">
        <f>IFERROR(INDEX('Both teabags AfterDry'!$D$3:$D$2000,MATCH(H222,'Both teabags AfterDry'!$A$3:$A$2000,0)),"")</f>
        <v>1.6711</v>
      </c>
      <c r="Q222" s="194">
        <f>IFERROR(INDEX('Both teabags AfterDry'!$D$3:$D$2000,MATCH(I222,'Both teabags AfterDry'!$A$3:$A$2000,0)),"")</f>
        <v>1.7279</v>
      </c>
      <c r="R222" s="194">
        <f t="shared" si="17"/>
        <v>1.5205</v>
      </c>
      <c r="S222" s="194">
        <f t="shared" si="17"/>
        <v>1.5772999999999999</v>
      </c>
      <c r="T222" s="194">
        <f t="shared" si="18"/>
        <v>0.15584055074394854</v>
      </c>
      <c r="U222" s="194">
        <f t="shared" si="19"/>
        <v>0.10216625179413252</v>
      </c>
      <c r="V222" s="194">
        <f t="shared" si="20"/>
        <v>0.80261550987176877</v>
      </c>
      <c r="W222">
        <f t="shared" si="21"/>
        <v>71</v>
      </c>
      <c r="X222" s="194">
        <f t="shared" si="22"/>
        <v>0.81491621051787588</v>
      </c>
      <c r="Y222" s="194" t="str">
        <f t="shared" si="23"/>
        <v/>
      </c>
      <c r="Z222" s="252" t="str">
        <f>IF(ISNUMBER(SEARCH("C", 'Dry_Litterbag Placem_Collection'!$T149)),"YES","NO")</f>
        <v>NO</v>
      </c>
      <c r="AA222" s="252" t="str">
        <f>IF(ISNUMBER(SEARCH("H", 'Dry_Litterbag Placem_Collection'!$T149)),"YES","NO")</f>
        <v>YES</v>
      </c>
      <c r="AB222" s="252" t="str">
        <f>IF(ISNUMBER(SEARCH("R", 'Dry_Litterbag Placem_Collection'!$T149)),"YES","NO")</f>
        <v>NO</v>
      </c>
      <c r="AC222" s="252" t="str">
        <f>IF(ISNUMBER(SEARCH("C", 'Dry_Litterbag Placem_Collection'!$S149)),"YES","NO")</f>
        <v>NO</v>
      </c>
      <c r="AD222" s="252" t="str">
        <f>IF(ISNUMBER(SEARCH("H", 'Dry_Litterbag Placem_Collection'!$S149)),"YES","NO")</f>
        <v>NO</v>
      </c>
      <c r="AE222" s="252" t="str">
        <f>IF(ISNUMBER(SEARCH("R", 'Dry_Litterbag Placem_Collection'!$S149)),"YES","NO")</f>
        <v>NO</v>
      </c>
    </row>
    <row r="223" spans="2:31">
      <c r="B223" t="str">
        <f>'Final data_for_R_analysis_Dryse'!A149</f>
        <v>Dry</v>
      </c>
      <c r="C223" s="260">
        <f>'Final data_for_R_analysis_Dryse'!B149</f>
        <v>148</v>
      </c>
      <c r="D223" t="s">
        <v>3823</v>
      </c>
      <c r="E223" t="s">
        <v>22</v>
      </c>
      <c r="F223" s="382">
        <v>4</v>
      </c>
      <c r="G223" s="16">
        <f>IF('Dry_Litterbag Placem_Collection'!E150="","",'Dry_Litterbag Placem_Collection'!E150)</f>
        <v>42939</v>
      </c>
      <c r="H223" t="str">
        <f>'Final data_for_R_analysis_Dryse'!K149</f>
        <v>G290</v>
      </c>
      <c r="I223" t="str">
        <f>'Final data_for_R_analysis_Dryse'!K369</f>
        <v>R823</v>
      </c>
      <c r="J223">
        <f>IFERROR(INDEX('Green_rooibos initial weight'!$C$5:$C$2000,MATCH(H223, 'Green_rooibos initial weight'!$A$5:$A$2000,0)),"")</f>
        <v>2.0539999999999998</v>
      </c>
      <c r="K223">
        <f>IFERROR(INDEX('Green_rooibos initial weight'!$C$5:$C$2000,MATCH(I223, 'Green_rooibos initial weight'!$A$5:$A$2000,0)),"")</f>
        <v>2.214</v>
      </c>
      <c r="L223" s="194">
        <f t="shared" si="16"/>
        <v>1.8041999999999998</v>
      </c>
      <c r="M223" s="237">
        <f>AVERAGE(Ashed_controlls!$K$1:$K$11)</f>
        <v>5.5147656768714146</v>
      </c>
      <c r="N223" s="194">
        <f>IFERROR(IF(K223&gt;0,(K223*$F$32-($F$29+$F$30)),""),"")</f>
        <v>1.9641999999999999</v>
      </c>
      <c r="O223" s="16">
        <f>IF('Dry_Litterbag Placem_Collection'!G150="","",'Dry_Litterbag Placem_Collection'!G150)</f>
        <v>43010</v>
      </c>
      <c r="P223" s="194">
        <f>IFERROR(INDEX('Both teabags AfterDry'!$D$3:$D$2000,MATCH(H223,'Both teabags AfterDry'!$A$3:$A$2000,0)),"")</f>
        <v>1.6564000000000001</v>
      </c>
      <c r="Q223" s="194">
        <f>IFERROR(INDEX('Both teabags AfterDry'!$D$3:$D$2000,MATCH(I223,'Both teabags AfterDry'!$A$3:$A$2000,0)),"")</f>
        <v>0</v>
      </c>
      <c r="R223" s="194">
        <f t="shared" si="17"/>
        <v>1.5058</v>
      </c>
      <c r="S223" s="194" t="str">
        <f t="shared" si="17"/>
        <v/>
      </c>
      <c r="T223" s="194">
        <f t="shared" si="18"/>
        <v>0.16539186342977485</v>
      </c>
      <c r="U223" s="194">
        <f t="shared" si="19"/>
        <v>0.10842791996821349</v>
      </c>
      <c r="V223" s="194" t="str">
        <f t="shared" si="20"/>
        <v/>
      </c>
      <c r="W223">
        <f t="shared" si="21"/>
        <v>71</v>
      </c>
      <c r="X223" s="194">
        <f t="shared" si="22"/>
        <v>0.80357260875323644</v>
      </c>
      <c r="Y223" s="194" t="str">
        <f t="shared" si="23"/>
        <v/>
      </c>
      <c r="Z223" s="252" t="str">
        <f>IF(ISNUMBER(SEARCH("C", 'Dry_Litterbag Placem_Collection'!$T150)),"YES","NO")</f>
        <v>YES</v>
      </c>
      <c r="AA223" s="252" t="str">
        <f>IF(ISNUMBER(SEARCH("H", 'Dry_Litterbag Placem_Collection'!$T150)),"YES","NO")</f>
        <v>YES</v>
      </c>
      <c r="AB223" s="252" t="str">
        <f>IF(ISNUMBER(SEARCH("R", 'Dry_Litterbag Placem_Collection'!$T150)),"YES","NO")</f>
        <v>NO</v>
      </c>
      <c r="AC223" s="252" t="str">
        <f>IF(ISNUMBER(SEARCH("C", 'Dry_Litterbag Placem_Collection'!$S150)),"YES","NO")</f>
        <v>NO</v>
      </c>
      <c r="AD223" s="252" t="str">
        <f>IF(ISNUMBER(SEARCH("H", 'Dry_Litterbag Placem_Collection'!$S150)),"YES","NO")</f>
        <v>NO</v>
      </c>
      <c r="AE223" s="252" t="str">
        <f>IF(ISNUMBER(SEARCH("R", 'Dry_Litterbag Placem_Collection'!$S150)),"YES","NO")</f>
        <v>NO</v>
      </c>
    </row>
    <row r="224" spans="2:31">
      <c r="B224" t="str">
        <f>'Final data_for_R_analysis_Dryse'!A150</f>
        <v>Dry</v>
      </c>
      <c r="C224" s="260">
        <f>'Final data_for_R_analysis_Dryse'!B150</f>
        <v>149</v>
      </c>
      <c r="D224" t="s">
        <v>3823</v>
      </c>
      <c r="E224" t="s">
        <v>22</v>
      </c>
      <c r="F224" s="382">
        <v>5</v>
      </c>
      <c r="G224" s="16">
        <f>IF('Dry_Litterbag Placem_Collection'!E151="","",'Dry_Litterbag Placem_Collection'!E151)</f>
        <v>42939</v>
      </c>
      <c r="H224" t="str">
        <f>'Final data_for_R_analysis_Dryse'!K150</f>
        <v>G194</v>
      </c>
      <c r="I224" t="str">
        <f>'Final data_for_R_analysis_Dryse'!K370</f>
        <v>R703</v>
      </c>
      <c r="J224">
        <f>IFERROR(INDEX('Green_rooibos initial weight'!$C$5:$C$2000,MATCH(H224, 'Green_rooibos initial weight'!$A$5:$A$2000,0)),"")</f>
        <v>2.032</v>
      </c>
      <c r="K224">
        <f>IFERROR(INDEX('Green_rooibos initial weight'!$C$5:$C$2000,MATCH(I224, 'Green_rooibos initial weight'!$A$5:$A$2000,0)),"")</f>
        <v>2.1379999999999999</v>
      </c>
      <c r="L224" s="194">
        <f t="shared" si="16"/>
        <v>1.7822</v>
      </c>
      <c r="M224" s="237">
        <f>AVERAGE(Ashed_controlls!$K$1:$K$11)</f>
        <v>5.5147656768714146</v>
      </c>
      <c r="N224" s="194">
        <f>IFERROR(IF(K224&gt;0,(K224*$F$32-($F$29+$F$30)),""),"")</f>
        <v>1.8881999999999999</v>
      </c>
      <c r="O224" s="16">
        <f>IF('Dry_Litterbag Placem_Collection'!G151="","",'Dry_Litterbag Placem_Collection'!G151)</f>
        <v>43010</v>
      </c>
      <c r="P224" s="194">
        <f>IFERROR(INDEX('Both teabags AfterDry'!$D$3:$D$2000,MATCH(H224,'Both teabags AfterDry'!$A$3:$A$2000,0)),"")</f>
        <v>1.56</v>
      </c>
      <c r="Q224" s="194">
        <f>IFERROR(INDEX('Both teabags AfterDry'!$D$3:$D$2000,MATCH(I224,'Both teabags AfterDry'!$A$3:$A$2000,0)),"")</f>
        <v>1.9032</v>
      </c>
      <c r="R224" s="194">
        <f t="shared" si="17"/>
        <v>1.4094</v>
      </c>
      <c r="S224" s="194">
        <f t="shared" si="17"/>
        <v>1.7525999999999999</v>
      </c>
      <c r="T224" s="194">
        <f t="shared" si="18"/>
        <v>0.20917966558186507</v>
      </c>
      <c r="U224" s="194">
        <f t="shared" si="19"/>
        <v>0.13713441259048639</v>
      </c>
      <c r="V224" s="194">
        <f t="shared" si="20"/>
        <v>0.92818557356212272</v>
      </c>
      <c r="W224">
        <f t="shared" si="21"/>
        <v>71</v>
      </c>
      <c r="X224" s="194">
        <f t="shared" si="22"/>
        <v>0.75156809313317685</v>
      </c>
      <c r="Y224" s="194">
        <f t="shared" si="23"/>
        <v>1.0445964824515555E-2</v>
      </c>
      <c r="Z224" s="252" t="str">
        <f>IF(ISNUMBER(SEARCH("C", 'Dry_Litterbag Placem_Collection'!$T151)),"YES","NO")</f>
        <v>NO</v>
      </c>
      <c r="AA224" s="252" t="str">
        <f>IF(ISNUMBER(SEARCH("H", 'Dry_Litterbag Placem_Collection'!$T151)),"YES","NO")</f>
        <v>NO</v>
      </c>
      <c r="AB224" s="252" t="str">
        <f>IF(ISNUMBER(SEARCH("R", 'Dry_Litterbag Placem_Collection'!$T151)),"YES","NO")</f>
        <v>NO</v>
      </c>
      <c r="AC224" s="252" t="str">
        <f>IF(ISNUMBER(SEARCH("C", 'Dry_Litterbag Placem_Collection'!$S151)),"YES","NO")</f>
        <v>NO</v>
      </c>
      <c r="AD224" s="252" t="str">
        <f>IF(ISNUMBER(SEARCH("H", 'Dry_Litterbag Placem_Collection'!$S151)),"YES","NO")</f>
        <v>NO</v>
      </c>
      <c r="AE224" s="252" t="str">
        <f>IF(ISNUMBER(SEARCH("R", 'Dry_Litterbag Placem_Collection'!$S151)),"YES","NO")</f>
        <v>NO</v>
      </c>
    </row>
    <row r="225" spans="2:31">
      <c r="B225" t="str">
        <f>'Final data_for_R_analysis_Dryse'!A151</f>
        <v>Dry</v>
      </c>
      <c r="C225" s="260">
        <f>'Final data_for_R_analysis_Dryse'!B151</f>
        <v>150</v>
      </c>
      <c r="D225" t="s">
        <v>3823</v>
      </c>
      <c r="E225" t="s">
        <v>22</v>
      </c>
      <c r="F225" s="382">
        <v>6</v>
      </c>
      <c r="G225" s="16">
        <f>IF('Dry_Litterbag Placem_Collection'!E152="","",'Dry_Litterbag Placem_Collection'!E152)</f>
        <v>42939</v>
      </c>
      <c r="H225" t="str">
        <f>'Final data_for_R_analysis_Dryse'!K151</f>
        <v>G272</v>
      </c>
      <c r="I225" t="str">
        <f>'Final data_for_R_analysis_Dryse'!K371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16"/>
        <v>1.8151999999999999</v>
      </c>
      <c r="M225" s="237">
        <f>AVERAGE(Ashed_controlls!$K$1:$K$11)</f>
        <v>5.5147656768714146</v>
      </c>
      <c r="N225" s="194">
        <f>IFERROR(IF(K225&gt;0,(K225*$F$32-($F$29+$F$30)),""),"")</f>
        <v>1.8921999999999999</v>
      </c>
      <c r="O225" s="16">
        <f>IF('Dry_Litterbag Placem_Collection'!G152="","",'Dry_Litterbag Placem_Collection'!G152)</f>
        <v>43010</v>
      </c>
      <c r="P225" s="194" t="str">
        <f>IFERROR(INDEX('Both teabags AfterDry'!$D$3:$D$2000,MATCH(H225,'Both teabags AfterDry'!$A$3:$A$2000,0)),"")</f>
        <v/>
      </c>
      <c r="Q225" s="194" t="str">
        <f>IFERROR(INDEX('Both teabags AfterDry'!$D$3:$D$2000,MATCH(I225,'Both teabags AfterDry'!$A$3:$A$2000,0)),"")</f>
        <v/>
      </c>
      <c r="R225" s="194" t="str">
        <f t="shared" si="17"/>
        <v/>
      </c>
      <c r="S225" s="194" t="str">
        <f t="shared" si="17"/>
        <v/>
      </c>
      <c r="T225" s="194" t="str">
        <f t="shared" si="18"/>
        <v/>
      </c>
      <c r="U225" s="194" t="str">
        <f t="shared" si="19"/>
        <v/>
      </c>
      <c r="V225" s="194" t="str">
        <f t="shared" si="20"/>
        <v/>
      </c>
      <c r="W225">
        <f t="shared" si="21"/>
        <v>71</v>
      </c>
      <c r="X225" s="194" t="str">
        <f t="shared" si="22"/>
        <v/>
      </c>
      <c r="Y225" s="194" t="str">
        <f t="shared" si="23"/>
        <v/>
      </c>
      <c r="Z225" s="252" t="str">
        <f>IF(ISNUMBER(SEARCH("C", 'Dry_Litterbag Placem_Collection'!$T152)),"YES","NO")</f>
        <v>NO</v>
      </c>
      <c r="AA225" s="252" t="str">
        <f>IF(ISNUMBER(SEARCH("H", 'Dry_Litterbag Placem_Collection'!$T152)),"YES","NO")</f>
        <v>YES</v>
      </c>
      <c r="AB225" s="252" t="str">
        <f>IF(ISNUMBER(SEARCH("R", 'Dry_Litterbag Placem_Collection'!$T152)),"YES","NO")</f>
        <v>NO</v>
      </c>
      <c r="AC225" s="252" t="str">
        <f>IF(ISNUMBER(SEARCH("C", 'Dry_Litterbag Placem_Collection'!$S152)),"YES","NO")</f>
        <v>NO</v>
      </c>
      <c r="AD225" s="252" t="str">
        <f>IF(ISNUMBER(SEARCH("H", 'Dry_Litterbag Placem_Collection'!$S152)),"YES","NO")</f>
        <v>YES</v>
      </c>
      <c r="AE225" s="252" t="str">
        <f>IF(ISNUMBER(SEARCH("R", 'Dry_Litterbag Placem_Collection'!$S152)),"YES","NO")</f>
        <v>NO</v>
      </c>
    </row>
    <row r="226" spans="2:31">
      <c r="B226" t="str">
        <f>'Final data_for_R_analysis_Dryse'!A152</f>
        <v>Dry</v>
      </c>
      <c r="C226" s="260">
        <f>'Final data_for_R_analysis_Dryse'!B152</f>
        <v>151</v>
      </c>
      <c r="D226" t="s">
        <v>3823</v>
      </c>
      <c r="E226" t="s">
        <v>22</v>
      </c>
      <c r="F226" s="382">
        <v>7</v>
      </c>
      <c r="G226" s="16" t="str">
        <f>IF('Dry_Litterbag Placem_Collection'!E153="","",'Dry_Litterbag Placem_Collection'!E153)</f>
        <v/>
      </c>
      <c r="H226" t="str">
        <f>'Final data_for_R_analysis_Dryse'!K152</f>
        <v/>
      </c>
      <c r="I226" t="str">
        <f>'Final data_for_R_analysis_Dryse'!K372</f>
        <v/>
      </c>
      <c r="J226" t="str">
        <f>IFERROR(INDEX('Green_rooibos initial weight'!$C$5:$C$2000,MATCH(H226, 'Green_rooibos initial weight'!$A$5:$A$2000,0)),"")</f>
        <v/>
      </c>
      <c r="K226" t="str">
        <f>IFERROR(INDEX('Green_rooibos initial weight'!$C$5:$C$2000,MATCH(I226, 'Green_rooibos initial weight'!$A$5:$A$2000,0)),"")</f>
        <v/>
      </c>
      <c r="L226" s="194" t="str">
        <f t="shared" si="16"/>
        <v/>
      </c>
      <c r="M226" s="237">
        <f>AVERAGE(Ashed_controlls!$K$1:$K$11)</f>
        <v>5.5147656768714146</v>
      </c>
      <c r="N226" s="194" t="str">
        <f>IFERROR(IF(K226&gt;0,(K226*$F$32-($F$29+$F$30)),""),"")</f>
        <v/>
      </c>
      <c r="O226" s="16" t="str">
        <f>IF('Dry_Litterbag Placem_Collection'!G153="","",'Dry_Litterbag Placem_Collection'!G153)</f>
        <v/>
      </c>
      <c r="P226" s="194" t="str">
        <f>IFERROR(INDEX('Both teabags AfterDry'!$D$3:$D$2000,MATCH(H226,'Both teabags AfterDry'!$A$3:$A$2000,0)),"")</f>
        <v/>
      </c>
      <c r="Q226" s="194" t="str">
        <f>IFERROR(INDEX('Both teabags AfterDry'!$D$3:$D$2000,MATCH(I226,'Both teabags AfterDry'!$A$3:$A$2000,0)),"")</f>
        <v/>
      </c>
      <c r="R226" s="194" t="str">
        <f t="shared" si="17"/>
        <v/>
      </c>
      <c r="S226" s="194" t="str">
        <f t="shared" si="17"/>
        <v/>
      </c>
      <c r="T226" s="194" t="str">
        <f t="shared" si="18"/>
        <v/>
      </c>
      <c r="U226" s="194" t="str">
        <f t="shared" si="19"/>
        <v/>
      </c>
      <c r="V226" s="194" t="str">
        <f t="shared" si="20"/>
        <v/>
      </c>
      <c r="W226" t="str">
        <f t="shared" si="21"/>
        <v/>
      </c>
      <c r="X226" s="194" t="str">
        <f t="shared" si="22"/>
        <v/>
      </c>
      <c r="Y226" s="194" t="str">
        <f t="shared" si="23"/>
        <v/>
      </c>
      <c r="Z226" s="252" t="str">
        <f>IF(ISNUMBER(SEARCH("C", 'Dry_Litterbag Placem_Collection'!$T153)),"YES","NO")</f>
        <v>NO</v>
      </c>
      <c r="AA226" s="252" t="str">
        <f>IF(ISNUMBER(SEARCH("H", 'Dry_Litterbag Placem_Collection'!$T153)),"YES","NO")</f>
        <v>NO</v>
      </c>
      <c r="AB226" s="252" t="str">
        <f>IF(ISNUMBER(SEARCH("R", 'Dry_Litterbag Placem_Collection'!$T153)),"YES","NO")</f>
        <v>NO</v>
      </c>
      <c r="AC226" s="252" t="str">
        <f>IF(ISNUMBER(SEARCH("C", 'Dry_Litterbag Placem_Collection'!$S153)),"YES","NO")</f>
        <v>NO</v>
      </c>
      <c r="AD226" s="252" t="str">
        <f>IF(ISNUMBER(SEARCH("H", 'Dry_Litterbag Placem_Collection'!$S153)),"YES","NO")</f>
        <v>NO</v>
      </c>
      <c r="AE226" s="252" t="str">
        <f>IF(ISNUMBER(SEARCH("R", 'Dry_Litterbag Placem_Collection'!$S153)),"YES","NO")</f>
        <v>NO</v>
      </c>
    </row>
    <row r="227" spans="2:31">
      <c r="B227" t="str">
        <f>'Final data_for_R_analysis_Dryse'!A153</f>
        <v>Dry</v>
      </c>
      <c r="C227" s="260">
        <f>'Final data_for_R_analysis_Dryse'!B153</f>
        <v>152</v>
      </c>
      <c r="D227" t="s">
        <v>3823</v>
      </c>
      <c r="E227" t="s">
        <v>22</v>
      </c>
      <c r="F227" s="382">
        <v>8</v>
      </c>
      <c r="G227" s="16">
        <f>IF('Dry_Litterbag Placem_Collection'!E154="","",'Dry_Litterbag Placem_Collection'!E154)</f>
        <v>42939</v>
      </c>
      <c r="H227" t="str">
        <f>'Final data_for_R_analysis_Dryse'!K153</f>
        <v>G198</v>
      </c>
      <c r="I227" t="str">
        <f>'Final data_for_R_analysis_Dryse'!K373</f>
        <v>R788</v>
      </c>
      <c r="J227">
        <f>IFERROR(INDEX('Green_rooibos initial weight'!$C$5:$C$2000,MATCH(H227, 'Green_rooibos initial weight'!$A$5:$A$2000,0)),"")</f>
        <v>1.931</v>
      </c>
      <c r="K227">
        <f>IFERROR(INDEX('Green_rooibos initial weight'!$C$5:$C$2000,MATCH(I227, 'Green_rooibos initial weight'!$A$5:$A$2000,0)),"")</f>
        <v>2.1869999999999998</v>
      </c>
      <c r="L227" s="194">
        <f t="shared" si="16"/>
        <v>1.6812</v>
      </c>
      <c r="M227" s="237">
        <f>AVERAGE(Ashed_controlls!$K$1:$K$11)</f>
        <v>5.5147656768714146</v>
      </c>
      <c r="N227" s="194">
        <f>IFERROR(IF(K227&gt;0,(K227*$F$32-($F$29+$F$30)),""),"")</f>
        <v>1.9371999999999998</v>
      </c>
      <c r="O227" s="16">
        <f>IF('Dry_Litterbag Placem_Collection'!G154="","",'Dry_Litterbag Placem_Collection'!G154)</f>
        <v>43010</v>
      </c>
      <c r="P227" s="194">
        <f>IFERROR(INDEX('Both teabags AfterDry'!$D$3:$D$2000,MATCH(H227,'Both teabags AfterDry'!$A$3:$A$2000,0)),"")</f>
        <v>1.3654999999999999</v>
      </c>
      <c r="Q227" s="194">
        <f>IFERROR(INDEX('Both teabags AfterDry'!$D$3:$D$2000,MATCH(I227,'Both teabags AfterDry'!$A$3:$A$2000,0)),"")</f>
        <v>0.43190000000000001</v>
      </c>
      <c r="R227" s="194">
        <f t="shared" si="17"/>
        <v>1.2148999999999999</v>
      </c>
      <c r="S227" s="194">
        <f t="shared" si="17"/>
        <v>0.28129999999999999</v>
      </c>
      <c r="T227" s="194">
        <f t="shared" si="18"/>
        <v>0.27736140851772551</v>
      </c>
      <c r="U227" s="194">
        <f t="shared" si="19"/>
        <v>0.18183313242492222</v>
      </c>
      <c r="V227" s="194">
        <f t="shared" si="20"/>
        <v>0.14520958083832336</v>
      </c>
      <c r="W227">
        <f t="shared" si="21"/>
        <v>71</v>
      </c>
      <c r="X227" s="194">
        <f t="shared" si="22"/>
        <v>0.67059215140412642</v>
      </c>
      <c r="Y227" s="194" t="str">
        <f t="shared" si="23"/>
        <v/>
      </c>
      <c r="Z227" s="252" t="str">
        <f>IF(ISNUMBER(SEARCH("C", 'Dry_Litterbag Placem_Collection'!$T154)),"YES","NO")</f>
        <v>NO</v>
      </c>
      <c r="AA227" s="252" t="str">
        <f>IF(ISNUMBER(SEARCH("H", 'Dry_Litterbag Placem_Collection'!$T154)),"YES","NO")</f>
        <v>YES</v>
      </c>
      <c r="AB227" s="252" t="str">
        <f>IF(ISNUMBER(SEARCH("R", 'Dry_Litterbag Placem_Collection'!$T154)),"YES","NO")</f>
        <v>NO</v>
      </c>
      <c r="AC227" s="252" t="str">
        <f>IF(ISNUMBER(SEARCH("C", 'Dry_Litterbag Placem_Collection'!$S154)),"YES","NO")</f>
        <v>YES</v>
      </c>
      <c r="AD227" s="252" t="str">
        <f>IF(ISNUMBER(SEARCH("H", 'Dry_Litterbag Placem_Collection'!$S154)),"YES","NO")</f>
        <v>YES</v>
      </c>
      <c r="AE227" s="252" t="str">
        <f>IF(ISNUMBER(SEARCH("R", 'Dry_Litterbag Placem_Collection'!$S154)),"YES","NO")</f>
        <v>NO</v>
      </c>
    </row>
    <row r="228" spans="2:31">
      <c r="B228" t="str">
        <f>'Final data_for_R_analysis_Dryse'!A154</f>
        <v>Dry</v>
      </c>
      <c r="C228" s="260">
        <f>'Final data_for_R_analysis_Dryse'!B154</f>
        <v>153</v>
      </c>
      <c r="D228" t="s">
        <v>3824</v>
      </c>
      <c r="E228" t="s">
        <v>22</v>
      </c>
      <c r="F228" s="381">
        <v>1</v>
      </c>
      <c r="G228" s="16">
        <f>IF('Dry_Litterbag Placem_Collection'!E155="","",'Dry_Litterbag Placem_Collection'!E155)</f>
        <v>42939</v>
      </c>
      <c r="H228" t="str">
        <f>'Final data_for_R_analysis_Dryse'!K154</f>
        <v>G197</v>
      </c>
      <c r="I228" t="str">
        <f>'Final data_for_R_analysis_Dryse'!K374</f>
        <v>R735</v>
      </c>
      <c r="J228">
        <f>IFERROR(INDEX('Green_rooibos initial weight'!$C$5:$C$2000,MATCH(H228, 'Green_rooibos initial weight'!$A$5:$A$2000,0)),"")</f>
        <v>2.1120000000000001</v>
      </c>
      <c r="K228">
        <f>IFERROR(INDEX('Green_rooibos initial weight'!$C$5:$C$2000,MATCH(I228, 'Green_rooibos initial weight'!$A$5:$A$2000,0)),"")</f>
        <v>2.12</v>
      </c>
      <c r="L228" s="194">
        <f t="shared" si="16"/>
        <v>1.8622000000000001</v>
      </c>
      <c r="M228" s="237">
        <f>AVERAGE(Ashed_controlls!$K$1:$K$11)</f>
        <v>5.5147656768714146</v>
      </c>
      <c r="N228" s="194">
        <f>IFERROR(IF(K228&gt;0,(K228*$F$32-($F$29+$F$30)),""),"")</f>
        <v>1.8702000000000001</v>
      </c>
      <c r="O228" s="16">
        <f>IF('Dry_Litterbag Placem_Collection'!G155="","",'Dry_Litterbag Placem_Collection'!G155)</f>
        <v>43010</v>
      </c>
      <c r="P228" s="194">
        <f>IFERROR(INDEX('Both teabags AfterDry'!$D$3:$D$2000,MATCH(H228,'Both teabags AfterDry'!$A$3:$A$2000,0)),"")</f>
        <v>1.2847</v>
      </c>
      <c r="Q228" s="194">
        <f>IFERROR(INDEX('Both teabags AfterDry'!$D$3:$D$2000,MATCH(I228,'Both teabags AfterDry'!$A$3:$A$2000,0)),"")</f>
        <v>1.0566</v>
      </c>
      <c r="R228" s="194">
        <f t="shared" si="17"/>
        <v>1.1340999999999999</v>
      </c>
      <c r="S228" s="194">
        <f t="shared" si="17"/>
        <v>0.90599999999999992</v>
      </c>
      <c r="T228" s="194">
        <f t="shared" si="18"/>
        <v>0.39098915261518641</v>
      </c>
      <c r="U228" s="194">
        <f t="shared" si="19"/>
        <v>0.25632543021803195</v>
      </c>
      <c r="V228" s="194">
        <f t="shared" si="20"/>
        <v>0.48444016682707725</v>
      </c>
      <c r="W228">
        <f t="shared" si="21"/>
        <v>71</v>
      </c>
      <c r="X228" s="194">
        <f t="shared" si="22"/>
        <v>0.53564233656153637</v>
      </c>
      <c r="Y228" s="194" t="str">
        <f t="shared" si="23"/>
        <v/>
      </c>
      <c r="Z228" s="252" t="str">
        <f>IF(ISNUMBER(SEARCH("C", 'Dry_Litterbag Placem_Collection'!$T155)),"YES","NO")</f>
        <v>YES</v>
      </c>
      <c r="AA228" s="252" t="str">
        <f>IF(ISNUMBER(SEARCH("H", 'Dry_Litterbag Placem_Collection'!$T155)),"YES","NO")</f>
        <v>YES</v>
      </c>
      <c r="AB228" s="252" t="str">
        <f>IF(ISNUMBER(SEARCH("R", 'Dry_Litterbag Placem_Collection'!$T155)),"YES","NO")</f>
        <v>NO</v>
      </c>
      <c r="AC228" s="252" t="str">
        <f>IF(ISNUMBER(SEARCH("C", 'Dry_Litterbag Placem_Collection'!$S155)),"YES","NO")</f>
        <v>YES</v>
      </c>
      <c r="AD228" s="252" t="str">
        <f>IF(ISNUMBER(SEARCH("H", 'Dry_Litterbag Placem_Collection'!$S155)),"YES","NO")</f>
        <v>YES</v>
      </c>
      <c r="AE228" s="252" t="str">
        <f>IF(ISNUMBER(SEARCH("R", 'Dry_Litterbag Placem_Collection'!$S155)),"YES","NO")</f>
        <v>NO</v>
      </c>
    </row>
    <row r="229" spans="2:31">
      <c r="B229" t="str">
        <f>'Final data_for_R_analysis_Dryse'!A155</f>
        <v>Dry</v>
      </c>
      <c r="C229" s="260">
        <f>'Final data_for_R_analysis_Dryse'!B155</f>
        <v>154</v>
      </c>
      <c r="D229" t="s">
        <v>3824</v>
      </c>
      <c r="E229" t="s">
        <v>22</v>
      </c>
      <c r="F229" s="381">
        <v>2</v>
      </c>
      <c r="G229" s="16">
        <f>IF('Dry_Litterbag Placem_Collection'!E156="","",'Dry_Litterbag Placem_Collection'!E156)</f>
        <v>42939</v>
      </c>
      <c r="H229" t="str">
        <f>'Final data_for_R_analysis_Dryse'!K155</f>
        <v>G127</v>
      </c>
      <c r="I229" t="str">
        <f>'Final data_for_R_analysis_Dryse'!K375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16"/>
        <v>1.6992</v>
      </c>
      <c r="M229" s="237">
        <f>AVERAGE(Ashed_controlls!$K$1:$K$11)</f>
        <v>5.5147656768714146</v>
      </c>
      <c r="N229" s="194">
        <f>IFERROR(IF(K229&gt;0,(K229*$F$32-($F$29+$F$30)),""),"")</f>
        <v>1.9502000000000002</v>
      </c>
      <c r="O229" s="16">
        <f>IF('Dry_Litterbag Placem_Collection'!G156="","",'Dry_Litterbag Placem_Collection'!G156)</f>
        <v>43010</v>
      </c>
      <c r="P229" s="194">
        <f>IFERROR(INDEX('Both teabags AfterDry'!$D$3:$D$2000,MATCH(H229,'Both teabags AfterDry'!$A$3:$A$2000,0)),"")</f>
        <v>1.1896</v>
      </c>
      <c r="Q229" s="194">
        <f>IFERROR(INDEX('Both teabags AfterDry'!$D$3:$D$2000,MATCH(I229,'Both teabags AfterDry'!$A$3:$A$2000,0)),"")</f>
        <v>0.62509999999999999</v>
      </c>
      <c r="R229" s="194">
        <f t="shared" si="17"/>
        <v>1.0389999999999999</v>
      </c>
      <c r="S229" s="194">
        <f t="shared" si="17"/>
        <v>0.47449999999999998</v>
      </c>
      <c r="T229" s="194">
        <f t="shared" si="18"/>
        <v>0.38853578154425616</v>
      </c>
      <c r="U229" s="194">
        <f t="shared" si="19"/>
        <v>0.25471704443281407</v>
      </c>
      <c r="V229" s="194">
        <f t="shared" si="20"/>
        <v>0.243308378627833</v>
      </c>
      <c r="W229">
        <f t="shared" si="21"/>
        <v>71</v>
      </c>
      <c r="X229" s="194">
        <f t="shared" si="22"/>
        <v>0.5385560789260615</v>
      </c>
      <c r="Y229" s="194" t="str">
        <f t="shared" si="23"/>
        <v/>
      </c>
      <c r="Z229" s="252" t="str">
        <f>IF(ISNUMBER(SEARCH("C", 'Dry_Litterbag Placem_Collection'!$T156)),"YES","NO")</f>
        <v>NO</v>
      </c>
      <c r="AA229" s="252" t="str">
        <f>IF(ISNUMBER(SEARCH("H", 'Dry_Litterbag Placem_Collection'!$T156)),"YES","NO")</f>
        <v>YES</v>
      </c>
      <c r="AB229" s="252" t="str">
        <f>IF(ISNUMBER(SEARCH("R", 'Dry_Litterbag Placem_Collection'!$T156)),"YES","NO")</f>
        <v>NO</v>
      </c>
      <c r="AC229" s="252" t="str">
        <f>IF(ISNUMBER(SEARCH("C", 'Dry_Litterbag Placem_Collection'!$S156)),"YES","NO")</f>
        <v>YES</v>
      </c>
      <c r="AD229" s="252" t="str">
        <f>IF(ISNUMBER(SEARCH("H", 'Dry_Litterbag Placem_Collection'!$S156)),"YES","NO")</f>
        <v>YES</v>
      </c>
      <c r="AE229" s="252" t="str">
        <f>IF(ISNUMBER(SEARCH("R", 'Dry_Litterbag Placem_Collection'!$S156)),"YES","NO")</f>
        <v>NO</v>
      </c>
    </row>
    <row r="230" spans="2:31">
      <c r="B230" t="str">
        <f>'Final data_for_R_analysis_Dryse'!A156</f>
        <v>Dry</v>
      </c>
      <c r="C230" s="260">
        <f>'Final data_for_R_analysis_Dryse'!B156</f>
        <v>155</v>
      </c>
      <c r="D230" t="s">
        <v>3824</v>
      </c>
      <c r="E230" t="s">
        <v>22</v>
      </c>
      <c r="F230" s="381">
        <v>3</v>
      </c>
      <c r="G230" s="16">
        <f>IF('Dry_Litterbag Placem_Collection'!E157="","",'Dry_Litterbag Placem_Collection'!E157)</f>
        <v>42939</v>
      </c>
      <c r="H230" t="str">
        <f>'Final data_for_R_analysis_Dryse'!K156</f>
        <v>G253</v>
      </c>
      <c r="I230" t="str">
        <f>'Final data_for_R_analysis_Dryse'!K376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16"/>
        <v>1.7671999999999999</v>
      </c>
      <c r="M230" s="237">
        <f>AVERAGE(Ashed_controlls!$K$1:$K$11)</f>
        <v>5.5147656768714146</v>
      </c>
      <c r="N230" s="194">
        <f>IFERROR(IF(K230&gt;0,(K230*$F$32-($F$29+$F$30)),""),"")</f>
        <v>1.9811999999999999</v>
      </c>
      <c r="O230" s="16">
        <f>IF('Dry_Litterbag Placem_Collection'!G157="","",'Dry_Litterbag Placem_Collection'!G157)</f>
        <v>43010</v>
      </c>
      <c r="P230" s="194">
        <f>IFERROR(INDEX('Both teabags AfterDry'!$D$3:$D$2000,MATCH(H230,'Both teabags AfterDry'!$A$3:$A$2000,0)),"")</f>
        <v>1.2484</v>
      </c>
      <c r="Q230" s="194">
        <f>IFERROR(INDEX('Both teabags AfterDry'!$D$3:$D$2000,MATCH(I230,'Both teabags AfterDry'!$A$3:$A$2000,0)),"")</f>
        <v>1.8893</v>
      </c>
      <c r="R230" s="194">
        <f t="shared" si="17"/>
        <v>1.0977999999999999</v>
      </c>
      <c r="S230" s="194">
        <f t="shared" si="17"/>
        <v>1.7386999999999999</v>
      </c>
      <c r="T230" s="194">
        <f t="shared" si="18"/>
        <v>0.37879130828429153</v>
      </c>
      <c r="U230" s="194">
        <f t="shared" si="19"/>
        <v>0.24832874367331229</v>
      </c>
      <c r="V230" s="194">
        <f t="shared" si="20"/>
        <v>0.87759943468604884</v>
      </c>
      <c r="W230">
        <f t="shared" si="21"/>
        <v>71</v>
      </c>
      <c r="X230" s="194">
        <f t="shared" si="22"/>
        <v>0.55012908754834733</v>
      </c>
      <c r="Y230" s="194">
        <f t="shared" si="23"/>
        <v>9.5639678348855475E-3</v>
      </c>
      <c r="Z230" s="252" t="str">
        <f>IF(ISNUMBER(SEARCH("C", 'Dry_Litterbag Placem_Collection'!$T157)),"YES","NO")</f>
        <v>YES</v>
      </c>
      <c r="AA230" s="252" t="str">
        <f>IF(ISNUMBER(SEARCH("H", 'Dry_Litterbag Placem_Collection'!$T157)),"YES","NO")</f>
        <v>YES</v>
      </c>
      <c r="AB230" s="252" t="str">
        <f>IF(ISNUMBER(SEARCH("R", 'Dry_Litterbag Placem_Collection'!$T157)),"YES","NO")</f>
        <v>NO</v>
      </c>
      <c r="AC230" s="252" t="str">
        <f>IF(ISNUMBER(SEARCH("C", 'Dry_Litterbag Placem_Collection'!$S157)),"YES","NO")</f>
        <v>NO</v>
      </c>
      <c r="AD230" s="252" t="str">
        <f>IF(ISNUMBER(SEARCH("H", 'Dry_Litterbag Placem_Collection'!$S157)),"YES","NO")</f>
        <v>YES</v>
      </c>
      <c r="AE230" s="252" t="str">
        <f>IF(ISNUMBER(SEARCH("R", 'Dry_Litterbag Placem_Collection'!$S157)),"YES","NO")</f>
        <v>NO</v>
      </c>
    </row>
    <row r="231" spans="2:31">
      <c r="B231" t="str">
        <f>'Final data_for_R_analysis_Dryse'!A157</f>
        <v>Dry</v>
      </c>
      <c r="C231" s="260">
        <f>'Final data_for_R_analysis_Dryse'!B157</f>
        <v>156</v>
      </c>
      <c r="D231" t="s">
        <v>3824</v>
      </c>
      <c r="E231" t="s">
        <v>22</v>
      </c>
      <c r="F231" s="382">
        <v>4</v>
      </c>
      <c r="G231" s="16">
        <f>IF('Dry_Litterbag Placem_Collection'!E158="","",'Dry_Litterbag Placem_Collection'!E158)</f>
        <v>42939</v>
      </c>
      <c r="H231" t="str">
        <f>'Final data_for_R_analysis_Dryse'!K157</f>
        <v>G47</v>
      </c>
      <c r="I231" t="str">
        <f>'Final data_for_R_analysis_Dryse'!K377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16"/>
        <v>1.8342000000000001</v>
      </c>
      <c r="M231" s="237">
        <f>AVERAGE(Ashed_controlls!$K$1:$K$11)</f>
        <v>5.5147656768714146</v>
      </c>
      <c r="N231" s="194">
        <f>IFERROR(IF(K231&gt;0,(K231*$F$32-($F$29+$F$30)),""),"")</f>
        <v>2.0832000000000002</v>
      </c>
      <c r="O231" s="16">
        <f>IF('Dry_Litterbag Placem_Collection'!G158="","",'Dry_Litterbag Placem_Collection'!G158)</f>
        <v>43010</v>
      </c>
      <c r="P231" s="194">
        <f>IFERROR(INDEX('Both teabags AfterDry'!$D$3:$D$2000,MATCH(H231,'Both teabags AfterDry'!$A$3:$A$2000,0)),"")</f>
        <v>1.1167</v>
      </c>
      <c r="Q231" s="194">
        <f>IFERROR(INDEX('Both teabags AfterDry'!$D$3:$D$2000,MATCH(I231,'Both teabags AfterDry'!$A$3:$A$2000,0)),"")</f>
        <v>0.79290000000000005</v>
      </c>
      <c r="R231" s="194">
        <f t="shared" si="17"/>
        <v>0.96609999999999996</v>
      </c>
      <c r="S231" s="194">
        <f t="shared" si="17"/>
        <v>0.64230000000000009</v>
      </c>
      <c r="T231" s="194">
        <f t="shared" si="18"/>
        <v>0.47328535601352095</v>
      </c>
      <c r="U231" s="194">
        <f t="shared" si="19"/>
        <v>0.31027733553380477</v>
      </c>
      <c r="V231" s="194">
        <f t="shared" si="20"/>
        <v>0.30832373271889402</v>
      </c>
      <c r="W231">
        <f t="shared" si="21"/>
        <v>71</v>
      </c>
      <c r="X231" s="194">
        <f t="shared" si="22"/>
        <v>0.43790337765615084</v>
      </c>
      <c r="Y231" s="194" t="str">
        <f t="shared" si="23"/>
        <v/>
      </c>
      <c r="Z231" s="252" t="str">
        <f>IF(ISNUMBER(SEARCH("C", 'Dry_Litterbag Placem_Collection'!$T158)),"YES","NO")</f>
        <v>YES</v>
      </c>
      <c r="AA231" s="252" t="str">
        <f>IF(ISNUMBER(SEARCH("H", 'Dry_Litterbag Placem_Collection'!$T158)),"YES","NO")</f>
        <v>YES</v>
      </c>
      <c r="AB231" s="252" t="str">
        <f>IF(ISNUMBER(SEARCH("R", 'Dry_Litterbag Placem_Collection'!$T158)),"YES","NO")</f>
        <v>NO</v>
      </c>
      <c r="AC231" s="252" t="str">
        <f>IF(ISNUMBER(SEARCH("C", 'Dry_Litterbag Placem_Collection'!$S158)),"YES","NO")</f>
        <v>NO</v>
      </c>
      <c r="AD231" s="252" t="str">
        <f>IF(ISNUMBER(SEARCH("H", 'Dry_Litterbag Placem_Collection'!$S158)),"YES","NO")</f>
        <v>YES</v>
      </c>
      <c r="AE231" s="252" t="str">
        <f>IF(ISNUMBER(SEARCH("R", 'Dry_Litterbag Placem_Collection'!$S158)),"YES","NO")</f>
        <v>YES</v>
      </c>
    </row>
    <row r="232" spans="2:31">
      <c r="B232" t="str">
        <f>'Final data_for_R_analysis_Dryse'!A158</f>
        <v>Dry</v>
      </c>
      <c r="C232" s="260">
        <f>'Final data_for_R_analysis_Dryse'!B158</f>
        <v>157</v>
      </c>
      <c r="D232" t="s">
        <v>3824</v>
      </c>
      <c r="E232" t="s">
        <v>22</v>
      </c>
      <c r="F232" s="382">
        <v>5</v>
      </c>
      <c r="G232" s="16">
        <f>IF('Dry_Litterbag Placem_Collection'!E159="","",'Dry_Litterbag Placem_Collection'!E159)</f>
        <v>42939</v>
      </c>
      <c r="H232" t="str">
        <f>'Final data_for_R_analysis_Dryse'!K158</f>
        <v>G328</v>
      </c>
      <c r="I232" t="str">
        <f>'Final data_for_R_analysis_Dryse'!K378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16"/>
        <v>1.8811999999999998</v>
      </c>
      <c r="M232" s="237">
        <f>AVERAGE(Ashed_controlls!$K$1:$K$11)</f>
        <v>5.5147656768714146</v>
      </c>
      <c r="N232" s="194">
        <f>IFERROR(IF(K232&gt;0,(K232*$F$32-($F$29+$F$30)),""),"")</f>
        <v>1.9142000000000001</v>
      </c>
      <c r="O232" s="16">
        <f>IF('Dry_Litterbag Placem_Collection'!G159="","",'Dry_Litterbag Placem_Collection'!G159)</f>
        <v>43010</v>
      </c>
      <c r="P232" s="194" t="str">
        <f>IFERROR(INDEX('Both teabags AfterDry'!$D$3:$D$2000,MATCH(H232,'Both teabags AfterDry'!$A$3:$A$2000,0)),"")</f>
        <v/>
      </c>
      <c r="Q232" s="194" t="str">
        <f>IFERROR(INDEX('Both teabags AfterDry'!$D$3:$D$2000,MATCH(I232,'Both teabags AfterDry'!$A$3:$A$2000,0)),"")</f>
        <v/>
      </c>
      <c r="R232" s="194" t="str">
        <f t="shared" si="17"/>
        <v/>
      </c>
      <c r="S232" s="194" t="str">
        <f t="shared" si="17"/>
        <v/>
      </c>
      <c r="T232" s="194" t="str">
        <f t="shared" si="18"/>
        <v/>
      </c>
      <c r="U232" s="194" t="str">
        <f t="shared" si="19"/>
        <v/>
      </c>
      <c r="V232" s="194" t="str">
        <f t="shared" si="20"/>
        <v/>
      </c>
      <c r="W232">
        <f t="shared" si="21"/>
        <v>71</v>
      </c>
      <c r="X232" s="194" t="str">
        <f t="shared" si="22"/>
        <v/>
      </c>
      <c r="Y232" s="194" t="str">
        <f t="shared" si="23"/>
        <v/>
      </c>
      <c r="Z232" s="252" t="str">
        <f>IF(ISNUMBER(SEARCH("C", 'Dry_Litterbag Placem_Collection'!$T159)),"YES","NO")</f>
        <v>YES</v>
      </c>
      <c r="AA232" s="252" t="str">
        <f>IF(ISNUMBER(SEARCH("H", 'Dry_Litterbag Placem_Collection'!$T159)),"YES","NO")</f>
        <v>NO</v>
      </c>
      <c r="AB232" s="252" t="str">
        <f>IF(ISNUMBER(SEARCH("R", 'Dry_Litterbag Placem_Collection'!$T159)),"YES","NO")</f>
        <v>YES</v>
      </c>
      <c r="AC232" s="252" t="str">
        <f>IF(ISNUMBER(SEARCH("C", 'Dry_Litterbag Placem_Collection'!$S159)),"YES","NO")</f>
        <v>YES</v>
      </c>
      <c r="AD232" s="252" t="str">
        <f>IF(ISNUMBER(SEARCH("H", 'Dry_Litterbag Placem_Collection'!$S159)),"YES","NO")</f>
        <v>YES</v>
      </c>
      <c r="AE232" s="252" t="str">
        <f>IF(ISNUMBER(SEARCH("R", 'Dry_Litterbag Placem_Collection'!$S159)),"YES","NO")</f>
        <v>YES</v>
      </c>
    </row>
    <row r="233" spans="2:31">
      <c r="B233" t="str">
        <f>'Final data_for_R_analysis_Dryse'!A159</f>
        <v>Dry</v>
      </c>
      <c r="C233" s="260">
        <f>'Final data_for_R_analysis_Dryse'!B159</f>
        <v>158</v>
      </c>
      <c r="D233" t="s">
        <v>3824</v>
      </c>
      <c r="E233" t="s">
        <v>22</v>
      </c>
      <c r="F233" s="382">
        <v>6</v>
      </c>
      <c r="G233" s="16">
        <f>IF('Dry_Litterbag Placem_Collection'!E160="","",'Dry_Litterbag Placem_Collection'!E160)</f>
        <v>42939</v>
      </c>
      <c r="H233" t="str">
        <f>'Final data_for_R_analysis_Dryse'!K159</f>
        <v>G21</v>
      </c>
      <c r="I233" t="str">
        <f>'Final data_for_R_analysis_Dryse'!K379</f>
        <v>R773</v>
      </c>
      <c r="J233">
        <f>IFERROR(INDEX('Green_rooibos initial weight'!$C$5:$C$2000,MATCH(H233, 'Green_rooibos initial weight'!$A$5:$A$2000,0)),"")</f>
        <v>2.04</v>
      </c>
      <c r="K233">
        <f>IFERROR(INDEX('Green_rooibos initial weight'!$C$5:$C$2000,MATCH(I233, 'Green_rooibos initial weight'!$A$5:$A$2000,0)),"")</f>
        <v>2.2320000000000002</v>
      </c>
      <c r="L233" s="194">
        <f t="shared" si="16"/>
        <v>1.7902</v>
      </c>
      <c r="M233" s="237">
        <f>AVERAGE(Ashed_controlls!$K$1:$K$11)</f>
        <v>5.5147656768714146</v>
      </c>
      <c r="N233" s="194">
        <f>IFERROR(IF(K233&gt;0,(K233*$F$32-($F$29+$F$30)),""),"")</f>
        <v>1.9822000000000002</v>
      </c>
      <c r="O233" s="16">
        <f>IF('Dry_Litterbag Placem_Collection'!G160="","",'Dry_Litterbag Placem_Collection'!G160)</f>
        <v>43010</v>
      </c>
      <c r="P233" s="194">
        <f>IFERROR(INDEX('Both teabags AfterDry'!$D$3:$D$2000,MATCH(H233,'Both teabags AfterDry'!$A$3:$A$2000,0)),"")</f>
        <v>0</v>
      </c>
      <c r="Q233" s="194">
        <f>IFERROR(INDEX('Both teabags AfterDry'!$D$3:$D$2000,MATCH(I233,'Both teabags AfterDry'!$A$3:$A$2000,0)),"")</f>
        <v>1.3551</v>
      </c>
      <c r="R233" s="194" t="str">
        <f t="shared" si="17"/>
        <v/>
      </c>
      <c r="S233" s="194">
        <f t="shared" si="17"/>
        <v>1.2044999999999999</v>
      </c>
      <c r="T233" s="194" t="str">
        <f t="shared" si="18"/>
        <v/>
      </c>
      <c r="U233" s="194" t="str">
        <f t="shared" si="19"/>
        <v/>
      </c>
      <c r="V233" s="194">
        <f t="shared" si="20"/>
        <v>0.60765815760266362</v>
      </c>
      <c r="W233">
        <f t="shared" si="21"/>
        <v>71</v>
      </c>
      <c r="X233" s="194" t="str">
        <f t="shared" si="22"/>
        <v/>
      </c>
      <c r="Y233" s="194" t="str">
        <f t="shared" si="23"/>
        <v/>
      </c>
      <c r="Z233" s="252" t="str">
        <f>IF(ISNUMBER(SEARCH("C", 'Dry_Litterbag Placem_Collection'!$T160)),"YES","NO")</f>
        <v>YES</v>
      </c>
      <c r="AA233" s="252" t="str">
        <f>IF(ISNUMBER(SEARCH("H", 'Dry_Litterbag Placem_Collection'!$T160)),"YES","NO")</f>
        <v>YES</v>
      </c>
      <c r="AB233" s="252" t="str">
        <f>IF(ISNUMBER(SEARCH("R", 'Dry_Litterbag Placem_Collection'!$T160)),"YES","NO")</f>
        <v>NO</v>
      </c>
      <c r="AC233" s="252" t="str">
        <f>IF(ISNUMBER(SEARCH("C", 'Dry_Litterbag Placem_Collection'!$S160)),"YES","NO")</f>
        <v>YES</v>
      </c>
      <c r="AD233" s="252" t="str">
        <f>IF(ISNUMBER(SEARCH("H", 'Dry_Litterbag Placem_Collection'!$S160)),"YES","NO")</f>
        <v>YES</v>
      </c>
      <c r="AE233" s="252" t="str">
        <f>IF(ISNUMBER(SEARCH("R", 'Dry_Litterbag Placem_Collection'!$S160)),"YES","NO")</f>
        <v>NO</v>
      </c>
    </row>
    <row r="234" spans="2:31">
      <c r="B234" t="str">
        <f>'Final data_for_R_analysis_Dryse'!A160</f>
        <v>Dry</v>
      </c>
      <c r="C234" s="260">
        <f>'Final data_for_R_analysis_Dryse'!B160</f>
        <v>159</v>
      </c>
      <c r="D234" t="s">
        <v>3824</v>
      </c>
      <c r="E234" t="s">
        <v>22</v>
      </c>
      <c r="F234" s="382">
        <v>7</v>
      </c>
      <c r="G234" s="16" t="str">
        <f>IF('Dry_Litterbag Placem_Collection'!E161="","",'Dry_Litterbag Placem_Collection'!E161)</f>
        <v/>
      </c>
      <c r="H234" t="str">
        <f>'Final data_for_R_analysis_Dryse'!K160</f>
        <v/>
      </c>
      <c r="I234" t="str">
        <f>'Final data_for_R_analysis_Dryse'!K380</f>
        <v/>
      </c>
      <c r="J234" t="str">
        <f>IFERROR(INDEX('Green_rooibos initial weight'!$C$5:$C$2000,MATCH(H234, 'Green_rooibos initial weight'!$A$5:$A$2000,0)),"")</f>
        <v/>
      </c>
      <c r="K234" t="str">
        <f>IFERROR(INDEX('Green_rooibos initial weight'!$C$5:$C$2000,MATCH(I234, 'Green_rooibos initial weight'!$A$5:$A$2000,0)),"")</f>
        <v/>
      </c>
      <c r="L234" s="194" t="str">
        <f t="shared" si="16"/>
        <v/>
      </c>
      <c r="M234" s="237">
        <f>AVERAGE(Ashed_controlls!$K$1:$K$11)</f>
        <v>5.5147656768714146</v>
      </c>
      <c r="N234" s="194" t="str">
        <f>IFERROR(IF(K234&gt;0,(K234*$F$32-($F$29+$F$30)),""),"")</f>
        <v/>
      </c>
      <c r="O234" s="16" t="str">
        <f>IF('Dry_Litterbag Placem_Collection'!G161="","",'Dry_Litterbag Placem_Collection'!G161)</f>
        <v/>
      </c>
      <c r="P234" s="194" t="str">
        <f>IFERROR(INDEX('Both teabags AfterDry'!$D$3:$D$2000,MATCH(H234,'Both teabags AfterDry'!$A$3:$A$2000,0)),"")</f>
        <v/>
      </c>
      <c r="Q234" s="194" t="str">
        <f>IFERROR(INDEX('Both teabags AfterDry'!$D$3:$D$2000,MATCH(I234,'Both teabags AfterDry'!$A$3:$A$2000,0)),"")</f>
        <v/>
      </c>
      <c r="R234" s="194" t="str">
        <f t="shared" si="17"/>
        <v/>
      </c>
      <c r="S234" s="194" t="str">
        <f t="shared" si="17"/>
        <v/>
      </c>
      <c r="T234" s="194" t="str">
        <f t="shared" si="18"/>
        <v/>
      </c>
      <c r="U234" s="194" t="str">
        <f t="shared" si="19"/>
        <v/>
      </c>
      <c r="V234" s="194" t="str">
        <f t="shared" si="20"/>
        <v/>
      </c>
      <c r="W234" t="str">
        <f t="shared" si="21"/>
        <v/>
      </c>
      <c r="X234" s="194" t="str">
        <f t="shared" si="22"/>
        <v/>
      </c>
      <c r="Y234" s="194" t="str">
        <f t="shared" si="23"/>
        <v/>
      </c>
      <c r="Z234" s="252" t="str">
        <f>IF(ISNUMBER(SEARCH("C", 'Dry_Litterbag Placem_Collection'!$T161)),"YES","NO")</f>
        <v>NO</v>
      </c>
      <c r="AA234" s="252" t="str">
        <f>IF(ISNUMBER(SEARCH("H", 'Dry_Litterbag Placem_Collection'!$T161)),"YES","NO")</f>
        <v>NO</v>
      </c>
      <c r="AB234" s="252" t="str">
        <f>IF(ISNUMBER(SEARCH("R", 'Dry_Litterbag Placem_Collection'!$T161)),"YES","NO")</f>
        <v>NO</v>
      </c>
      <c r="AC234" s="252" t="str">
        <f>IF(ISNUMBER(SEARCH("C", 'Dry_Litterbag Placem_Collection'!$S161)),"YES","NO")</f>
        <v>NO</v>
      </c>
      <c r="AD234" s="252" t="str">
        <f>IF(ISNUMBER(SEARCH("H", 'Dry_Litterbag Placem_Collection'!$S161)),"YES","NO")</f>
        <v>NO</v>
      </c>
      <c r="AE234" s="252" t="str">
        <f>IF(ISNUMBER(SEARCH("R", 'Dry_Litterbag Placem_Collection'!$S161)),"YES","NO")</f>
        <v>NO</v>
      </c>
    </row>
    <row r="235" spans="2:31">
      <c r="B235" t="str">
        <f>'Final data_for_R_analysis_Dryse'!A161</f>
        <v>Dry</v>
      </c>
      <c r="C235" s="260">
        <f>'Final data_for_R_analysis_Dryse'!B161</f>
        <v>160</v>
      </c>
      <c r="D235" t="s">
        <v>3824</v>
      </c>
      <c r="E235" t="s">
        <v>22</v>
      </c>
      <c r="F235" s="382">
        <v>8</v>
      </c>
      <c r="G235" s="16">
        <f>IF('Dry_Litterbag Placem_Collection'!E162="","",'Dry_Litterbag Placem_Collection'!E162)</f>
        <v>42939</v>
      </c>
      <c r="H235" t="str">
        <f>'Final data_for_R_analysis_Dryse'!K161</f>
        <v>G482</v>
      </c>
      <c r="I235" t="str">
        <f>'Final data_for_R_analysis_Dryse'!K381</f>
        <v>R401</v>
      </c>
      <c r="J235">
        <f>IFERROR(INDEX('Green_rooibos initial weight'!$C$5:$C$2000,MATCH(H235, 'Green_rooibos initial weight'!$A$5:$A$2000,0)),"")</f>
        <v>2.056</v>
      </c>
      <c r="K235">
        <f>IFERROR(INDEX('Green_rooibos initial weight'!$C$5:$C$2000,MATCH(I235, 'Green_rooibos initial weight'!$A$5:$A$2000,0)),"")</f>
        <v>2.214</v>
      </c>
      <c r="L235" s="194">
        <f t="shared" si="16"/>
        <v>1.8062</v>
      </c>
      <c r="M235" s="237">
        <f>AVERAGE(Ashed_controlls!$K$1:$K$11)</f>
        <v>5.5147656768714146</v>
      </c>
      <c r="N235" s="194">
        <f>IFERROR(IF(K235&gt;0,(K235*$F$32-($F$29+$F$30)),""),"")</f>
        <v>1.9641999999999999</v>
      </c>
      <c r="O235" s="16">
        <f>IF('Dry_Litterbag Placem_Collection'!G162="","",'Dry_Litterbag Placem_Collection'!G162)</f>
        <v>43010</v>
      </c>
      <c r="P235" s="194">
        <f>IFERROR(INDEX('Both teabags AfterDry'!$D$3:$D$2000,MATCH(H235,'Both teabags AfterDry'!$A$3:$A$2000,0)),"")</f>
        <v>1.4819</v>
      </c>
      <c r="Q235" s="194">
        <f>IFERROR(INDEX('Both teabags AfterDry'!$D$3:$D$2000,MATCH(I235,'Both teabags AfterDry'!$A$3:$A$2000,0)),"")</f>
        <v>1.7884</v>
      </c>
      <c r="R235" s="194">
        <f t="shared" si="17"/>
        <v>1.3312999999999999</v>
      </c>
      <c r="S235" s="194">
        <f t="shared" si="17"/>
        <v>1.6377999999999999</v>
      </c>
      <c r="T235" s="194">
        <f t="shared" si="18"/>
        <v>0.26292769350016609</v>
      </c>
      <c r="U235" s="194">
        <f t="shared" si="19"/>
        <v>0.17237064942053645</v>
      </c>
      <c r="V235" s="194">
        <f t="shared" si="20"/>
        <v>0.83382547602077184</v>
      </c>
      <c r="W235">
        <f t="shared" si="21"/>
        <v>71</v>
      </c>
      <c r="X235" s="194">
        <f t="shared" si="22"/>
        <v>0.68773433075989776</v>
      </c>
      <c r="Y235" s="194">
        <f t="shared" si="23"/>
        <v>4.6841168012322291E-2</v>
      </c>
      <c r="Z235" s="252" t="str">
        <f>IF(ISNUMBER(SEARCH("C", 'Dry_Litterbag Placem_Collection'!$T162)),"YES","NO")</f>
        <v>NO</v>
      </c>
      <c r="AA235" s="252" t="str">
        <f>IF(ISNUMBER(SEARCH("H", 'Dry_Litterbag Placem_Collection'!$T162)),"YES","NO")</f>
        <v>YES</v>
      </c>
      <c r="AB235" s="252" t="str">
        <f>IF(ISNUMBER(SEARCH("R", 'Dry_Litterbag Placem_Collection'!$T162)),"YES","NO")</f>
        <v>NO</v>
      </c>
      <c r="AC235" s="252" t="str">
        <f>IF(ISNUMBER(SEARCH("C", 'Dry_Litterbag Placem_Collection'!$S162)),"YES","NO")</f>
        <v>YES</v>
      </c>
      <c r="AD235" s="252" t="str">
        <f>IF(ISNUMBER(SEARCH("H", 'Dry_Litterbag Placem_Collection'!$S162)),"YES","NO")</f>
        <v>YES</v>
      </c>
      <c r="AE235" s="252" t="str">
        <f>IF(ISNUMBER(SEARCH("R", 'Dry_Litterbag Placem_Collection'!$S162)),"YES","NO")</f>
        <v>NO</v>
      </c>
    </row>
    <row r="236" spans="2:31">
      <c r="B236" t="str">
        <f>'Final data_for_R_analysis_Dryse'!A162</f>
        <v>Dry</v>
      </c>
      <c r="C236" s="260">
        <f>'Final data_for_R_analysis_Dryse'!B162</f>
        <v>161</v>
      </c>
      <c r="D236" t="s">
        <v>3825</v>
      </c>
      <c r="E236" t="s">
        <v>22</v>
      </c>
      <c r="F236" s="381">
        <v>1</v>
      </c>
      <c r="G236" s="16">
        <f>IF('Dry_Litterbag Placem_Collection'!E163="","",'Dry_Litterbag Placem_Collection'!E163)</f>
        <v>42940</v>
      </c>
      <c r="H236" t="str">
        <f>'Final data_for_R_analysis_Dryse'!K162</f>
        <v>G51</v>
      </c>
      <c r="I236" t="str">
        <f>'Final data_for_R_analysis_Dryse'!K382</f>
        <v>R673</v>
      </c>
      <c r="J236">
        <f>IFERROR(INDEX('Green_rooibos initial weight'!$C$5:$C$2000,MATCH(H236, 'Green_rooibos initial weight'!$A$5:$A$2000,0)),"")</f>
        <v>2.0259999999999998</v>
      </c>
      <c r="K236">
        <f>IFERROR(INDEX('Green_rooibos initial weight'!$C$5:$C$2000,MATCH(I236, 'Green_rooibos initial weight'!$A$5:$A$2000,0)),"")</f>
        <v>2.121</v>
      </c>
      <c r="L236" s="194">
        <f t="shared" si="16"/>
        <v>1.7761999999999998</v>
      </c>
      <c r="M236" s="237">
        <f>AVERAGE(Ashed_controlls!$K$1:$K$11)</f>
        <v>5.5147656768714146</v>
      </c>
      <c r="N236" s="194">
        <f>IFERROR(IF(K236&gt;0,(K236*$F$32-($F$29+$F$30)),""),"")</f>
        <v>1.8712</v>
      </c>
      <c r="O236" s="16">
        <f>IF('Dry_Litterbag Placem_Collection'!G163="","",'Dry_Litterbag Placem_Collection'!G163)</f>
        <v>43009</v>
      </c>
      <c r="P236" s="194">
        <f>IFERROR(INDEX('Both teabags AfterDry'!$D$3:$D$2000,MATCH(H236,'Both teabags AfterDry'!$A$3:$A$2000,0)),"")</f>
        <v>0.81589999999999996</v>
      </c>
      <c r="Q236" s="194">
        <f>IFERROR(INDEX('Both teabags AfterDry'!$D$3:$D$2000,MATCH(I236,'Both teabags AfterDry'!$A$3:$A$2000,0)),"")</f>
        <v>1.1623000000000001</v>
      </c>
      <c r="R236" s="194">
        <f t="shared" si="17"/>
        <v>0.6653</v>
      </c>
      <c r="S236" s="194">
        <f t="shared" si="17"/>
        <v>1.0117</v>
      </c>
      <c r="T236" s="194">
        <f t="shared" si="18"/>
        <v>0.6254363247382051</v>
      </c>
      <c r="U236" s="194">
        <f t="shared" si="19"/>
        <v>0.41002476396138865</v>
      </c>
      <c r="V236" s="194">
        <f t="shared" si="20"/>
        <v>0.54066908935442504</v>
      </c>
      <c r="W236">
        <f t="shared" si="21"/>
        <v>69</v>
      </c>
      <c r="X236" s="194">
        <f t="shared" si="22"/>
        <v>0.25720151456270179</v>
      </c>
      <c r="Y236" s="194" t="str">
        <f t="shared" si="23"/>
        <v/>
      </c>
      <c r="Z236" s="252" t="str">
        <f>IF(ISNUMBER(SEARCH("C", 'Dry_Litterbag Placem_Collection'!$T163)),"YES","NO")</f>
        <v>NO</v>
      </c>
      <c r="AA236" s="252" t="str">
        <f>IF(ISNUMBER(SEARCH("H", 'Dry_Litterbag Placem_Collection'!$T163)),"YES","NO")</f>
        <v>YES</v>
      </c>
      <c r="AB236" s="252" t="str">
        <f>IF(ISNUMBER(SEARCH("R", 'Dry_Litterbag Placem_Collection'!$T163)),"YES","NO")</f>
        <v>NO</v>
      </c>
      <c r="AC236" s="252" t="str">
        <f>IF(ISNUMBER(SEARCH("C", 'Dry_Litterbag Placem_Collection'!$S163)),"YES","NO")</f>
        <v>NO</v>
      </c>
      <c r="AD236" s="252" t="str">
        <f>IF(ISNUMBER(SEARCH("H", 'Dry_Litterbag Placem_Collection'!$S163)),"YES","NO")</f>
        <v>YES</v>
      </c>
      <c r="AE236" s="252" t="str">
        <f>IF(ISNUMBER(SEARCH("R", 'Dry_Litterbag Placem_Collection'!$S163)),"YES","NO")</f>
        <v>YES</v>
      </c>
    </row>
    <row r="237" spans="2:31">
      <c r="B237" t="str">
        <f>'Final data_for_R_analysis_Dryse'!A163</f>
        <v>Dry</v>
      </c>
      <c r="C237" s="260">
        <f>'Final data_for_R_analysis_Dryse'!B163</f>
        <v>162</v>
      </c>
      <c r="D237" t="s">
        <v>3825</v>
      </c>
      <c r="E237" t="s">
        <v>22</v>
      </c>
      <c r="F237" s="381">
        <v>2</v>
      </c>
      <c r="G237" s="16">
        <f>IF('Dry_Litterbag Placem_Collection'!E164="","",'Dry_Litterbag Placem_Collection'!E164)</f>
        <v>42940</v>
      </c>
      <c r="H237" t="str">
        <f>'Final data_for_R_analysis_Dryse'!K163</f>
        <v>G238</v>
      </c>
      <c r="I237" t="str">
        <f>'Final data_for_R_analysis_Dryse'!K383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16"/>
        <v>1.8662000000000001</v>
      </c>
      <c r="M237" s="237">
        <f>AVERAGE(Ashed_controlls!$K$1:$K$11)</f>
        <v>5.5147656768714146</v>
      </c>
      <c r="N237" s="194">
        <f>IFERROR(IF(K237&gt;0,(K237*$F$32-($F$29+$F$30)),""),"")</f>
        <v>1.9712000000000001</v>
      </c>
      <c r="O237" s="16">
        <f>IF('Dry_Litterbag Placem_Collection'!G164="","",'Dry_Litterbag Placem_Collection'!G164)</f>
        <v>43009</v>
      </c>
      <c r="P237" s="194">
        <f>IFERROR(INDEX('Both teabags AfterDry'!$D$3:$D$2000,MATCH(H237,'Both teabags AfterDry'!$A$3:$A$2000,0)),"")</f>
        <v>0.81089999999999995</v>
      </c>
      <c r="Q237" s="194">
        <f>IFERROR(INDEX('Both teabags AfterDry'!$D$3:$D$2000,MATCH(I237,'Both teabags AfterDry'!$A$3:$A$2000,0)),"")</f>
        <v>2.4714999999999998</v>
      </c>
      <c r="R237" s="194">
        <f t="shared" si="17"/>
        <v>0.66029999999999989</v>
      </c>
      <c r="S237" s="194">
        <f t="shared" si="17"/>
        <v>2.3209</v>
      </c>
      <c r="T237" s="194">
        <f t="shared" si="18"/>
        <v>0.64617940199335555</v>
      </c>
      <c r="U237" s="194">
        <f t="shared" si="19"/>
        <v>0.42362355095051341</v>
      </c>
      <c r="V237" s="194">
        <f t="shared" si="20"/>
        <v>1.1774046266233766</v>
      </c>
      <c r="W237">
        <f t="shared" si="21"/>
        <v>69</v>
      </c>
      <c r="X237" s="194">
        <f t="shared" si="22"/>
        <v>0.2325660308867511</v>
      </c>
      <c r="Y237" s="194">
        <f t="shared" si="23"/>
        <v>-5.0695160665504306E-3</v>
      </c>
      <c r="Z237" s="252" t="str">
        <f>IF(ISNUMBER(SEARCH("C", 'Dry_Litterbag Placem_Collection'!$T164)),"YES","NO")</f>
        <v>YES</v>
      </c>
      <c r="AA237" s="252" t="str">
        <f>IF(ISNUMBER(SEARCH("H", 'Dry_Litterbag Placem_Collection'!$T164)),"YES","NO")</f>
        <v>YES</v>
      </c>
      <c r="AB237" s="252" t="str">
        <f>IF(ISNUMBER(SEARCH("R", 'Dry_Litterbag Placem_Collection'!$T164)),"YES","NO")</f>
        <v>NO</v>
      </c>
      <c r="AC237" s="252" t="str">
        <f>IF(ISNUMBER(SEARCH("C", 'Dry_Litterbag Placem_Collection'!$S164)),"YES","NO")</f>
        <v>NO</v>
      </c>
      <c r="AD237" s="252" t="str">
        <f>IF(ISNUMBER(SEARCH("H", 'Dry_Litterbag Placem_Collection'!$S164)),"YES","NO")</f>
        <v>NO</v>
      </c>
      <c r="AE237" s="252" t="str">
        <f>IF(ISNUMBER(SEARCH("R", 'Dry_Litterbag Placem_Collection'!$S164)),"YES","NO")</f>
        <v>YES</v>
      </c>
    </row>
    <row r="238" spans="2:31">
      <c r="B238" t="str">
        <f>'Final data_for_R_analysis_Dryse'!A164</f>
        <v>Dry</v>
      </c>
      <c r="C238" s="260">
        <f>'Final data_for_R_analysis_Dryse'!B164</f>
        <v>163</v>
      </c>
      <c r="D238" t="s">
        <v>3825</v>
      </c>
      <c r="E238" t="s">
        <v>22</v>
      </c>
      <c r="F238" s="381">
        <v>3</v>
      </c>
      <c r="G238" s="16">
        <f>IF('Dry_Litterbag Placem_Collection'!E165="","",'Dry_Litterbag Placem_Collection'!E165)</f>
        <v>42940</v>
      </c>
      <c r="H238" t="str">
        <f>'Final data_for_R_analysis_Dryse'!K164</f>
        <v>G59</v>
      </c>
      <c r="I238" t="str">
        <f>'Final data_for_R_analysis_Dryse'!K384</f>
        <v>R615</v>
      </c>
      <c r="J238">
        <f>IFERROR(INDEX('Green_rooibos initial weight'!$C$5:$C$2000,MATCH(H238, 'Green_rooibos initial weight'!$A$5:$A$2000,0)),"")</f>
        <v>1.929</v>
      </c>
      <c r="K238">
        <f>IFERROR(INDEX('Green_rooibos initial weight'!$C$5:$C$2000,MATCH(I238, 'Green_rooibos initial weight'!$A$5:$A$2000,0)),"")</f>
        <v>2.157</v>
      </c>
      <c r="L238" s="194">
        <f t="shared" si="16"/>
        <v>1.6792</v>
      </c>
      <c r="M238" s="237">
        <f>AVERAGE(Ashed_controlls!$K$1:$K$11)</f>
        <v>5.5147656768714146</v>
      </c>
      <c r="N238" s="194">
        <f>IFERROR(IF(K238&gt;0,(K238*$F$32-($F$29+$F$30)),""),"")</f>
        <v>1.9072</v>
      </c>
      <c r="O238" s="16">
        <f>IF('Dry_Litterbag Placem_Collection'!G165="","",'Dry_Litterbag Placem_Collection'!G165)</f>
        <v>43009</v>
      </c>
      <c r="P238" s="194">
        <f>IFERROR(INDEX('Both teabags AfterDry'!$D$3:$D$2000,MATCH(H238,'Both teabags AfterDry'!$A$3:$A$2000,0)),"")</f>
        <v>0.95679999999999998</v>
      </c>
      <c r="Q238" s="194">
        <f>IFERROR(INDEX('Both teabags AfterDry'!$D$3:$D$2000,MATCH(I238,'Both teabags AfterDry'!$A$3:$A$2000,0)),"")</f>
        <v>1.4872000000000001</v>
      </c>
      <c r="R238" s="194">
        <f t="shared" si="17"/>
        <v>0.80620000000000003</v>
      </c>
      <c r="S238" s="194">
        <f t="shared" si="17"/>
        <v>1.3366</v>
      </c>
      <c r="T238" s="194">
        <f t="shared" si="18"/>
        <v>0.51989042401143393</v>
      </c>
      <c r="U238" s="194">
        <f t="shared" si="19"/>
        <v>0.34083077678659329</v>
      </c>
      <c r="V238" s="194">
        <f t="shared" si="20"/>
        <v>0.70081795302013428</v>
      </c>
      <c r="W238">
        <f t="shared" si="21"/>
        <v>69</v>
      </c>
      <c r="X238" s="194">
        <f t="shared" si="22"/>
        <v>0.38255294060399769</v>
      </c>
      <c r="Y238" s="194">
        <f t="shared" si="23"/>
        <v>3.046543807303689E-2</v>
      </c>
      <c r="Z238" s="252" t="str">
        <f>IF(ISNUMBER(SEARCH("C", 'Dry_Litterbag Placem_Collection'!$T165)),"YES","NO")</f>
        <v>NO</v>
      </c>
      <c r="AA238" s="252" t="str">
        <f>IF(ISNUMBER(SEARCH("H", 'Dry_Litterbag Placem_Collection'!$T165)),"YES","NO")</f>
        <v>YES</v>
      </c>
      <c r="AB238" s="252" t="str">
        <f>IF(ISNUMBER(SEARCH("R", 'Dry_Litterbag Placem_Collection'!$T165)),"YES","NO")</f>
        <v>NO</v>
      </c>
      <c r="AC238" s="252" t="str">
        <f>IF(ISNUMBER(SEARCH("C", 'Dry_Litterbag Placem_Collection'!$S165)),"YES","NO")</f>
        <v>NO</v>
      </c>
      <c r="AD238" s="252" t="str">
        <f>IF(ISNUMBER(SEARCH("H", 'Dry_Litterbag Placem_Collection'!$S165)),"YES","NO")</f>
        <v>NO</v>
      </c>
      <c r="AE238" s="252" t="str">
        <f>IF(ISNUMBER(SEARCH("R", 'Dry_Litterbag Placem_Collection'!$S165)),"YES","NO")</f>
        <v>YES</v>
      </c>
    </row>
    <row r="239" spans="2:31">
      <c r="B239" t="str">
        <f>'Final data_for_R_analysis_Dryse'!A165</f>
        <v>Dry</v>
      </c>
      <c r="C239" s="260">
        <f>'Final data_for_R_analysis_Dryse'!B165</f>
        <v>164</v>
      </c>
      <c r="D239" t="s">
        <v>3825</v>
      </c>
      <c r="E239" t="s">
        <v>22</v>
      </c>
      <c r="F239" s="382">
        <v>4</v>
      </c>
      <c r="G239" s="16">
        <f>IF('Dry_Litterbag Placem_Collection'!E166="","",'Dry_Litterbag Placem_Collection'!E166)</f>
        <v>42940</v>
      </c>
      <c r="H239" t="str">
        <f>'Final data_for_R_analysis_Dryse'!K165</f>
        <v>G7</v>
      </c>
      <c r="I239" t="str">
        <f>'Final data_for_R_analysis_Dryse'!K385</f>
        <v>R514</v>
      </c>
      <c r="J239">
        <f>IFERROR(INDEX('Green_rooibos initial weight'!$C$5:$C$2000,MATCH(H239, 'Green_rooibos initial weight'!$A$5:$A$2000,0)),"")</f>
        <v>1.974</v>
      </c>
      <c r="K239">
        <f>IFERROR(INDEX('Green_rooibos initial weight'!$C$5:$C$2000,MATCH(I239, 'Green_rooibos initial weight'!$A$5:$A$2000,0)),"")</f>
        <v>2.1059999999999999</v>
      </c>
      <c r="L239" s="194">
        <f t="shared" si="16"/>
        <v>1.7242</v>
      </c>
      <c r="M239" s="237">
        <f>AVERAGE(Ashed_controlls!$K$1:$K$11)</f>
        <v>5.5147656768714146</v>
      </c>
      <c r="N239" s="194">
        <f>IFERROR(IF(K239&gt;0,(K239*$F$32-($F$29+$F$30)),""),"")</f>
        <v>1.8561999999999999</v>
      </c>
      <c r="O239" s="16">
        <f>IF('Dry_Litterbag Placem_Collection'!G166="","",'Dry_Litterbag Placem_Collection'!G166)</f>
        <v>43009</v>
      </c>
      <c r="P239" s="194">
        <f>IFERROR(INDEX('Both teabags AfterDry'!$D$3:$D$2000,MATCH(H239,'Both teabags AfterDry'!$A$3:$A$2000,0)),"")</f>
        <v>0.82040000000000002</v>
      </c>
      <c r="Q239" s="194">
        <f>IFERROR(INDEX('Both teabags AfterDry'!$D$3:$D$2000,MATCH(I239,'Both teabags AfterDry'!$A$3:$A$2000,0)),"")</f>
        <v>1.8293999999999999</v>
      </c>
      <c r="R239" s="194">
        <f t="shared" si="17"/>
        <v>0.66979999999999995</v>
      </c>
      <c r="S239" s="194">
        <f t="shared" si="17"/>
        <v>1.6787999999999998</v>
      </c>
      <c r="T239" s="194">
        <f t="shared" si="18"/>
        <v>0.61152998492054289</v>
      </c>
      <c r="U239" s="194">
        <f t="shared" si="19"/>
        <v>0.40090801861774311</v>
      </c>
      <c r="V239" s="194">
        <f t="shared" si="20"/>
        <v>0.90442840211184139</v>
      </c>
      <c r="W239">
        <f t="shared" si="21"/>
        <v>69</v>
      </c>
      <c r="X239" s="194">
        <f t="shared" si="22"/>
        <v>0.27371735757655236</v>
      </c>
      <c r="Y239" s="194">
        <f t="shared" si="23"/>
        <v>3.946635267748552E-3</v>
      </c>
      <c r="Z239" s="252" t="str">
        <f>IF(ISNUMBER(SEARCH("C", 'Dry_Litterbag Placem_Collection'!$T166)),"YES","NO")</f>
        <v>NO</v>
      </c>
      <c r="AA239" s="252" t="str">
        <f>IF(ISNUMBER(SEARCH("H", 'Dry_Litterbag Placem_Collection'!$T166)),"YES","NO")</f>
        <v>NO</v>
      </c>
      <c r="AB239" s="252" t="str">
        <f>IF(ISNUMBER(SEARCH("R", 'Dry_Litterbag Placem_Collection'!$T166)),"YES","NO")</f>
        <v>NO</v>
      </c>
      <c r="AC239" s="252" t="str">
        <f>IF(ISNUMBER(SEARCH("C", 'Dry_Litterbag Placem_Collection'!$S166)),"YES","NO")</f>
        <v>NO</v>
      </c>
      <c r="AD239" s="252" t="str">
        <f>IF(ISNUMBER(SEARCH("H", 'Dry_Litterbag Placem_Collection'!$S166)),"YES","NO")</f>
        <v>NO</v>
      </c>
      <c r="AE239" s="252" t="str">
        <f>IF(ISNUMBER(SEARCH("R", 'Dry_Litterbag Placem_Collection'!$S166)),"YES","NO")</f>
        <v>YES</v>
      </c>
    </row>
    <row r="240" spans="2:31">
      <c r="B240" t="str">
        <f>'Final data_for_R_analysis_Dryse'!A166</f>
        <v>Dry</v>
      </c>
      <c r="C240" s="260">
        <f>'Final data_for_R_analysis_Dryse'!B166</f>
        <v>165</v>
      </c>
      <c r="D240" t="s">
        <v>3825</v>
      </c>
      <c r="E240" t="s">
        <v>22</v>
      </c>
      <c r="F240" s="382">
        <v>5</v>
      </c>
      <c r="G240" s="16">
        <f>IF('Dry_Litterbag Placem_Collection'!E167="","",'Dry_Litterbag Placem_Collection'!E167)</f>
        <v>42940</v>
      </c>
      <c r="H240" t="str">
        <f>'Final data_for_R_analysis_Dryse'!K166</f>
        <v>G85</v>
      </c>
      <c r="I240" t="str">
        <f>'Final data_for_R_analysis_Dryse'!K386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16"/>
        <v>1.8862000000000001</v>
      </c>
      <c r="M240" s="237">
        <f>AVERAGE(Ashed_controlls!$K$1:$K$11)</f>
        <v>5.5147656768714146</v>
      </c>
      <c r="N240" s="194">
        <f>IFERROR(IF(K240&gt;0,(K240*$F$32-($F$29+$F$30)),""),"")</f>
        <v>1.9371999999999998</v>
      </c>
      <c r="O240" s="16">
        <f>IF('Dry_Litterbag Placem_Collection'!G167="","",'Dry_Litterbag Placem_Collection'!G167)</f>
        <v>43009</v>
      </c>
      <c r="P240" s="194">
        <f>IFERROR(INDEX('Both teabags AfterDry'!$D$3:$D$2000,MATCH(H240,'Both teabags AfterDry'!$A$3:$A$2000,0)),"")</f>
        <v>0.84360000000000002</v>
      </c>
      <c r="Q240" s="194">
        <f>IFERROR(INDEX('Both teabags AfterDry'!$D$3:$D$2000,MATCH(I240,'Both teabags AfterDry'!$A$3:$A$2000,0)),"")</f>
        <v>1.7946</v>
      </c>
      <c r="R240" s="194">
        <f t="shared" si="17"/>
        <v>0.69300000000000006</v>
      </c>
      <c r="S240" s="194">
        <f t="shared" si="17"/>
        <v>1.6439999999999999</v>
      </c>
      <c r="T240" s="194">
        <f t="shared" si="18"/>
        <v>0.63259463471530064</v>
      </c>
      <c r="U240" s="194">
        <f t="shared" si="19"/>
        <v>0.41471762275872448</v>
      </c>
      <c r="V240" s="194">
        <f t="shared" si="20"/>
        <v>0.84864753252116465</v>
      </c>
      <c r="W240">
        <f t="shared" si="21"/>
        <v>69</v>
      </c>
      <c r="X240" s="194">
        <f t="shared" si="22"/>
        <v>0.24869995877042672</v>
      </c>
      <c r="Y240" s="194">
        <f t="shared" si="23"/>
        <v>6.5805270901542409E-3</v>
      </c>
      <c r="Z240" s="252" t="str">
        <f>IF(ISNUMBER(SEARCH("C", 'Dry_Litterbag Placem_Collection'!$T167)),"YES","NO")</f>
        <v>NO</v>
      </c>
      <c r="AA240" s="252" t="str">
        <f>IF(ISNUMBER(SEARCH("H", 'Dry_Litterbag Placem_Collection'!$T167)),"YES","NO")</f>
        <v>NO</v>
      </c>
      <c r="AB240" s="252" t="str">
        <f>IF(ISNUMBER(SEARCH("R", 'Dry_Litterbag Placem_Collection'!$T167)),"YES","NO")</f>
        <v>NO</v>
      </c>
      <c r="AC240" s="252" t="str">
        <f>IF(ISNUMBER(SEARCH("C", 'Dry_Litterbag Placem_Collection'!$S167)),"YES","NO")</f>
        <v>NO</v>
      </c>
      <c r="AD240" s="252" t="str">
        <f>IF(ISNUMBER(SEARCH("H", 'Dry_Litterbag Placem_Collection'!$S167)),"YES","NO")</f>
        <v>NO</v>
      </c>
      <c r="AE240" s="252" t="str">
        <f>IF(ISNUMBER(SEARCH("R", 'Dry_Litterbag Placem_Collection'!$S167)),"YES","NO")</f>
        <v>NO</v>
      </c>
    </row>
    <row r="241" spans="2:31">
      <c r="B241" t="str">
        <f>'Final data_for_R_analysis_Dryse'!A167</f>
        <v>Dry</v>
      </c>
      <c r="C241" s="260">
        <f>'Final data_for_R_analysis_Dryse'!B167</f>
        <v>166</v>
      </c>
      <c r="D241" t="s">
        <v>3825</v>
      </c>
      <c r="E241" t="s">
        <v>22</v>
      </c>
      <c r="F241" s="382">
        <v>6</v>
      </c>
      <c r="G241" s="16">
        <f>IF('Dry_Litterbag Placem_Collection'!E168="","",'Dry_Litterbag Placem_Collection'!E168)</f>
        <v>42940</v>
      </c>
      <c r="H241" t="str">
        <f>'Final data_for_R_analysis_Dryse'!K167</f>
        <v>G1</v>
      </c>
      <c r="I241" t="str">
        <f>'Final data_for_R_analysis_Dryse'!K387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16"/>
        <v>1.7372000000000001</v>
      </c>
      <c r="M241" s="237">
        <f>AVERAGE(Ashed_controlls!$K$1:$K$11)</f>
        <v>5.5147656768714146</v>
      </c>
      <c r="N241" s="194">
        <f>IFERROR(IF(K241&gt;0,(K241*$F$32-($F$29+$F$30)),""),"")</f>
        <v>1.9472</v>
      </c>
      <c r="O241" s="16">
        <f>IF('Dry_Litterbag Placem_Collection'!G168="","",'Dry_Litterbag Placem_Collection'!G168)</f>
        <v>43009</v>
      </c>
      <c r="P241" s="194" t="str">
        <f>IFERROR(INDEX('Both teabags AfterDry'!$D$3:$D$2000,MATCH(H241,'Both teabags AfterDry'!$A$3:$A$2000,0)),"")</f>
        <v/>
      </c>
      <c r="Q241" s="194">
        <f>IFERROR(INDEX('Both teabags AfterDry'!$D$3:$D$2000,MATCH(I241,'Both teabags AfterDry'!$A$3:$A$2000,0)),"")</f>
        <v>1.6897</v>
      </c>
      <c r="R241" s="194" t="str">
        <f t="shared" si="17"/>
        <v/>
      </c>
      <c r="S241" s="194">
        <f t="shared" si="17"/>
        <v>1.5390999999999999</v>
      </c>
      <c r="T241" s="194" t="str">
        <f t="shared" si="18"/>
        <v/>
      </c>
      <c r="U241" s="194" t="str">
        <f t="shared" si="19"/>
        <v/>
      </c>
      <c r="V241" s="194">
        <f t="shared" si="20"/>
        <v>0.79041700903861944</v>
      </c>
      <c r="W241">
        <f t="shared" si="21"/>
        <v>69</v>
      </c>
      <c r="X241" s="194" t="str">
        <f t="shared" si="22"/>
        <v/>
      </c>
      <c r="Y241" s="194" t="str">
        <f t="shared" si="23"/>
        <v/>
      </c>
      <c r="Z241" s="252" t="str">
        <f>IF(ISNUMBER(SEARCH("C", 'Dry_Litterbag Placem_Collection'!$T168)),"YES","NO")</f>
        <v>NO</v>
      </c>
      <c r="AA241" s="252" t="str">
        <f>IF(ISNUMBER(SEARCH("H", 'Dry_Litterbag Placem_Collection'!$T168)),"YES","NO")</f>
        <v>NO</v>
      </c>
      <c r="AB241" s="252" t="str">
        <f>IF(ISNUMBER(SEARCH("R", 'Dry_Litterbag Placem_Collection'!$T168)),"YES","NO")</f>
        <v>NO</v>
      </c>
      <c r="AC241" s="252" t="str">
        <f>IF(ISNUMBER(SEARCH("C", 'Dry_Litterbag Placem_Collection'!$S168)),"YES","NO")</f>
        <v>NO</v>
      </c>
      <c r="AD241" s="252" t="str">
        <f>IF(ISNUMBER(SEARCH("H", 'Dry_Litterbag Placem_Collection'!$S168)),"YES","NO")</f>
        <v>NO</v>
      </c>
      <c r="AE241" s="252" t="str">
        <f>IF(ISNUMBER(SEARCH("R", 'Dry_Litterbag Placem_Collection'!$S168)),"YES","NO")</f>
        <v>YES</v>
      </c>
    </row>
    <row r="242" spans="2:31">
      <c r="B242" t="str">
        <f>'Final data_for_R_analysis_Dryse'!A168</f>
        <v>Dry</v>
      </c>
      <c r="C242" s="260">
        <f>'Final data_for_R_analysis_Dryse'!B168</f>
        <v>167</v>
      </c>
      <c r="D242" t="s">
        <v>3825</v>
      </c>
      <c r="E242" t="s">
        <v>22</v>
      </c>
      <c r="F242" s="382">
        <v>7</v>
      </c>
      <c r="G242" s="16" t="str">
        <f>IF('Dry_Litterbag Placem_Collection'!E169="","",'Dry_Litterbag Placem_Collection'!E169)</f>
        <v/>
      </c>
      <c r="H242" t="str">
        <f>'Final data_for_R_analysis_Dryse'!K168</f>
        <v/>
      </c>
      <c r="I242" t="str">
        <f>'Final data_for_R_analysis_Dryse'!K388</f>
        <v/>
      </c>
      <c r="J242" t="str">
        <f>IFERROR(INDEX('Green_rooibos initial weight'!$C$5:$C$2000,MATCH(H242, 'Green_rooibos initial weight'!$A$5:$A$2000,0)),"")</f>
        <v/>
      </c>
      <c r="K242" t="str">
        <f>IFERROR(INDEX('Green_rooibos initial weight'!$C$5:$C$2000,MATCH(I242, 'Green_rooibos initial weight'!$A$5:$A$2000,0)),"")</f>
        <v/>
      </c>
      <c r="L242" s="194" t="str">
        <f t="shared" si="16"/>
        <v/>
      </c>
      <c r="M242" s="237">
        <f>AVERAGE(Ashed_controlls!$K$1:$K$11)</f>
        <v>5.5147656768714146</v>
      </c>
      <c r="N242" s="194" t="str">
        <f>IFERROR(IF(K242&gt;0,(K242*$F$32-($F$29+$F$30)),""),"")</f>
        <v/>
      </c>
      <c r="O242" s="16" t="str">
        <f>IF('Dry_Litterbag Placem_Collection'!G169="","",'Dry_Litterbag Placem_Collection'!G169)</f>
        <v/>
      </c>
      <c r="P242" s="194" t="str">
        <f>IFERROR(INDEX('Both teabags AfterDry'!$D$3:$D$2000,MATCH(H242,'Both teabags AfterDry'!$A$3:$A$2000,0)),"")</f>
        <v/>
      </c>
      <c r="Q242" s="194" t="str">
        <f>IFERROR(INDEX('Both teabags AfterDry'!$D$3:$D$2000,MATCH(I242,'Both teabags AfterDry'!$A$3:$A$2000,0)),"")</f>
        <v/>
      </c>
      <c r="R242" s="194" t="str">
        <f t="shared" si="17"/>
        <v/>
      </c>
      <c r="S242" s="194" t="str">
        <f t="shared" si="17"/>
        <v/>
      </c>
      <c r="T242" s="194" t="str">
        <f t="shared" si="18"/>
        <v/>
      </c>
      <c r="U242" s="194" t="str">
        <f t="shared" si="19"/>
        <v/>
      </c>
      <c r="V242" s="194" t="str">
        <f t="shared" si="20"/>
        <v/>
      </c>
      <c r="W242" t="str">
        <f t="shared" si="21"/>
        <v/>
      </c>
      <c r="X242" s="194" t="str">
        <f t="shared" si="22"/>
        <v/>
      </c>
      <c r="Y242" s="194" t="str">
        <f t="shared" si="23"/>
        <v/>
      </c>
      <c r="Z242" s="252" t="str">
        <f>IF(ISNUMBER(SEARCH("C", 'Dry_Litterbag Placem_Collection'!$T169)),"YES","NO")</f>
        <v>NO</v>
      </c>
      <c r="AA242" s="252" t="str">
        <f>IF(ISNUMBER(SEARCH("H", 'Dry_Litterbag Placem_Collection'!$T169)),"YES","NO")</f>
        <v>NO</v>
      </c>
      <c r="AB242" s="252" t="str">
        <f>IF(ISNUMBER(SEARCH("R", 'Dry_Litterbag Placem_Collection'!$T169)),"YES","NO")</f>
        <v>NO</v>
      </c>
      <c r="AC242" s="252" t="str">
        <f>IF(ISNUMBER(SEARCH("C", 'Dry_Litterbag Placem_Collection'!$S169)),"YES","NO")</f>
        <v>NO</v>
      </c>
      <c r="AD242" s="252" t="str">
        <f>IF(ISNUMBER(SEARCH("H", 'Dry_Litterbag Placem_Collection'!$S169)),"YES","NO")</f>
        <v>NO</v>
      </c>
      <c r="AE242" s="252" t="str">
        <f>IF(ISNUMBER(SEARCH("R", 'Dry_Litterbag Placem_Collection'!$S169)),"YES","NO")</f>
        <v>NO</v>
      </c>
    </row>
    <row r="243" spans="2:31">
      <c r="B243" t="str">
        <f>'Final data_for_R_analysis_Dryse'!A169</f>
        <v>Dry</v>
      </c>
      <c r="C243" s="260">
        <f>'Final data_for_R_analysis_Dryse'!B169</f>
        <v>168</v>
      </c>
      <c r="D243" t="s">
        <v>3825</v>
      </c>
      <c r="E243" t="s">
        <v>22</v>
      </c>
      <c r="F243" s="382">
        <v>8</v>
      </c>
      <c r="G243" s="16">
        <f>IF('Dry_Litterbag Placem_Collection'!E170="","",'Dry_Litterbag Placem_Collection'!E170)</f>
        <v>42940</v>
      </c>
      <c r="H243" t="str">
        <f>'Final data_for_R_analysis_Dryse'!K169</f>
        <v>G70</v>
      </c>
      <c r="I243" t="str">
        <f>'Final data_for_R_analysis_Dryse'!K389</f>
        <v>R690</v>
      </c>
      <c r="J243">
        <f>IFERROR(INDEX('Green_rooibos initial weight'!$C$5:$C$2000,MATCH(H243, 'Green_rooibos initial weight'!$A$5:$A$2000,0)),"")</f>
        <v>2.0939999999999999</v>
      </c>
      <c r="K243">
        <f>IFERROR(INDEX('Green_rooibos initial weight'!$C$5:$C$2000,MATCH(I243, 'Green_rooibos initial weight'!$A$5:$A$2000,0)),"")</f>
        <v>2.141</v>
      </c>
      <c r="L243" s="194">
        <f t="shared" si="16"/>
        <v>1.8441999999999998</v>
      </c>
      <c r="M243" s="237">
        <f>AVERAGE(Ashed_controlls!$K$1:$K$11)</f>
        <v>5.5147656768714146</v>
      </c>
      <c r="N243" s="194">
        <f>IFERROR(IF(K243&gt;0,(K243*$F$32-($F$29+$F$30)),""),"")</f>
        <v>1.8912</v>
      </c>
      <c r="O243" s="16">
        <f>IF('Dry_Litterbag Placem_Collection'!G170="","",'Dry_Litterbag Placem_Collection'!G170)</f>
        <v>43009</v>
      </c>
      <c r="P243" s="194" t="str">
        <f>IFERROR(INDEX('Both teabags AfterDry'!$D$3:$D$2000,MATCH(H243,'Both teabags AfterDry'!$A$3:$A$2000,0)),"")</f>
        <v/>
      </c>
      <c r="Q243" s="194" t="str">
        <f>IFERROR(INDEX('Both teabags AfterDry'!$D$3:$D$2000,MATCH(I243,'Both teabags AfterDry'!$A$3:$A$2000,0)),"")</f>
        <v/>
      </c>
      <c r="R243" s="194" t="str">
        <f t="shared" si="17"/>
        <v/>
      </c>
      <c r="S243" s="194" t="str">
        <f t="shared" si="17"/>
        <v/>
      </c>
      <c r="T243" s="194" t="str">
        <f t="shared" si="18"/>
        <v/>
      </c>
      <c r="U243" s="194" t="str">
        <f t="shared" si="19"/>
        <v/>
      </c>
      <c r="V243" s="194" t="str">
        <f t="shared" si="20"/>
        <v/>
      </c>
      <c r="W243">
        <f t="shared" si="21"/>
        <v>69</v>
      </c>
      <c r="X243" s="194" t="str">
        <f t="shared" si="22"/>
        <v/>
      </c>
      <c r="Y243" s="194" t="str">
        <f t="shared" si="23"/>
        <v/>
      </c>
      <c r="Z243" s="252" t="str">
        <f>IF(ISNUMBER(SEARCH("C", 'Dry_Litterbag Placem_Collection'!$T170)),"YES","NO")</f>
        <v>NO</v>
      </c>
      <c r="AA243" s="252" t="str">
        <f>IF(ISNUMBER(SEARCH("H", 'Dry_Litterbag Placem_Collection'!$T170)),"YES","NO")</f>
        <v>YES</v>
      </c>
      <c r="AB243" s="252" t="str">
        <f>IF(ISNUMBER(SEARCH("R", 'Dry_Litterbag Placem_Collection'!$T170)),"YES","NO")</f>
        <v>NO</v>
      </c>
      <c r="AC243" s="252" t="str">
        <f>IF(ISNUMBER(SEARCH("C", 'Dry_Litterbag Placem_Collection'!$S170)),"YES","NO")</f>
        <v>NO</v>
      </c>
      <c r="AD243" s="252" t="str">
        <f>IF(ISNUMBER(SEARCH("H", 'Dry_Litterbag Placem_Collection'!$S170)),"YES","NO")</f>
        <v>NO</v>
      </c>
      <c r="AE243" s="252" t="str">
        <f>IF(ISNUMBER(SEARCH("R", 'Dry_Litterbag Placem_Collection'!$S170)),"YES","NO")</f>
        <v>YES</v>
      </c>
    </row>
    <row r="244" spans="2:31">
      <c r="B244" t="str">
        <f>'Final data_for_R_analysis_Dryse'!A170</f>
        <v>Dry</v>
      </c>
      <c r="C244" s="260">
        <f>'Final data_for_R_analysis_Dryse'!B170</f>
        <v>169</v>
      </c>
      <c r="D244" t="s">
        <v>3827</v>
      </c>
      <c r="E244" t="s">
        <v>22</v>
      </c>
      <c r="F244" s="381">
        <v>1</v>
      </c>
      <c r="G244" s="16">
        <f>IF('Dry_Litterbag Placem_Collection'!E171="","",'Dry_Litterbag Placem_Collection'!E171)</f>
        <v>42940</v>
      </c>
      <c r="H244" t="str">
        <f>'Final data_for_R_analysis_Dryse'!K170</f>
        <v>G250</v>
      </c>
      <c r="I244" t="str">
        <f>'Final data_for_R_analysis_Dryse'!K390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16"/>
        <v>1.7641999999999998</v>
      </c>
      <c r="M244" s="237">
        <f>AVERAGE(Ashed_controlls!$K$1:$K$11)</f>
        <v>5.5147656768714146</v>
      </c>
      <c r="N244" s="194">
        <f>IFERROR(IF(K244&gt;0,(K244*$F$32-($F$29+$F$30)),""),"")</f>
        <v>1.8641999999999999</v>
      </c>
      <c r="O244" s="16">
        <f>IF('Dry_Litterbag Placem_Collection'!G171="","",'Dry_Litterbag Placem_Collection'!G171)</f>
        <v>43009</v>
      </c>
      <c r="P244" s="194">
        <f>IFERROR(INDEX('Both teabags AfterDry'!$D$3:$D$2000,MATCH(H244,'Both teabags AfterDry'!$A$3:$A$2000,0)),"")</f>
        <v>0.80610000000000004</v>
      </c>
      <c r="Q244" s="194">
        <f>IFERROR(INDEX('Both teabags AfterDry'!$D$3:$D$2000,MATCH(I244,'Both teabags AfterDry'!$A$3:$A$2000,0)),"")</f>
        <v>1.8154999999999999</v>
      </c>
      <c r="R244" s="194">
        <f t="shared" si="17"/>
        <v>0.65549999999999997</v>
      </c>
      <c r="S244" s="194">
        <f t="shared" si="17"/>
        <v>1.6648999999999998</v>
      </c>
      <c r="T244" s="194">
        <f t="shared" si="18"/>
        <v>0.62844348713297804</v>
      </c>
      <c r="U244" s="194">
        <f t="shared" si="19"/>
        <v>0.41199620534133485</v>
      </c>
      <c r="V244" s="194">
        <f t="shared" si="20"/>
        <v>0.89309087007831778</v>
      </c>
      <c r="W244">
        <f t="shared" si="21"/>
        <v>69</v>
      </c>
      <c r="X244" s="194">
        <f t="shared" si="22"/>
        <v>0.25363006278743694</v>
      </c>
      <c r="Y244" s="194">
        <f t="shared" si="23"/>
        <v>4.3538682598459029E-3</v>
      </c>
      <c r="Z244" s="252" t="str">
        <f>IF(ISNUMBER(SEARCH("C", 'Dry_Litterbag Placem_Collection'!$T171)),"YES","NO")</f>
        <v>YES</v>
      </c>
      <c r="AA244" s="252" t="str">
        <f>IF(ISNUMBER(SEARCH("H", 'Dry_Litterbag Placem_Collection'!$T171)),"YES","NO")</f>
        <v>NO</v>
      </c>
      <c r="AB244" s="252" t="str">
        <f>IF(ISNUMBER(SEARCH("R", 'Dry_Litterbag Placem_Collection'!$T171)),"YES","NO")</f>
        <v>NO</v>
      </c>
      <c r="AC244" s="252" t="str">
        <f>IF(ISNUMBER(SEARCH("C", 'Dry_Litterbag Placem_Collection'!$S171)),"YES","NO")</f>
        <v>NO</v>
      </c>
      <c r="AD244" s="252" t="str">
        <f>IF(ISNUMBER(SEARCH("H", 'Dry_Litterbag Placem_Collection'!$S171)),"YES","NO")</f>
        <v>NO</v>
      </c>
      <c r="AE244" s="252" t="str">
        <f>IF(ISNUMBER(SEARCH("R", 'Dry_Litterbag Placem_Collection'!$S171)),"YES","NO")</f>
        <v>YES</v>
      </c>
    </row>
    <row r="245" spans="2:31">
      <c r="B245" t="str">
        <f>'Final data_for_R_analysis_Dryse'!A171</f>
        <v>Dry</v>
      </c>
      <c r="C245" s="260">
        <f>'Final data_for_R_analysis_Dryse'!B171</f>
        <v>170</v>
      </c>
      <c r="D245" t="s">
        <v>3827</v>
      </c>
      <c r="E245" t="s">
        <v>22</v>
      </c>
      <c r="F245" s="381">
        <v>2</v>
      </c>
      <c r="G245" s="16">
        <f>IF('Dry_Litterbag Placem_Collection'!E172="","",'Dry_Litterbag Placem_Collection'!E172)</f>
        <v>42940</v>
      </c>
      <c r="H245" t="str">
        <f>'Final data_for_R_analysis_Dryse'!K171</f>
        <v>G624</v>
      </c>
      <c r="I245" t="str">
        <f>'Final data_for_R_analysis_Dryse'!K391</f>
        <v>R694</v>
      </c>
      <c r="J245">
        <f>IFERROR(INDEX('Green_rooibos initial weight'!$C$5:$C$2000,MATCH(H245, 'Green_rooibos initial weight'!$A$5:$A$2000,0)),"")</f>
        <v>2.024</v>
      </c>
      <c r="K245">
        <f>IFERROR(INDEX('Green_rooibos initial weight'!$C$5:$C$2000,MATCH(I245, 'Green_rooibos initial weight'!$A$5:$A$2000,0)),"")</f>
        <v>2.23</v>
      </c>
      <c r="L245" s="194">
        <f t="shared" si="16"/>
        <v>1.7742</v>
      </c>
      <c r="M245" s="237">
        <f>AVERAGE(Ashed_controlls!$K$1:$K$11)</f>
        <v>5.5147656768714146</v>
      </c>
      <c r="N245" s="194">
        <f>IFERROR(IF(K245&gt;0,(K245*$F$32-($F$29+$F$30)),""),"")</f>
        <v>1.9802</v>
      </c>
      <c r="O245" s="16">
        <f>IF('Dry_Litterbag Placem_Collection'!G172="","",'Dry_Litterbag Placem_Collection'!G172)</f>
        <v>43009</v>
      </c>
      <c r="P245" s="194">
        <f>IFERROR(INDEX('Both teabags AfterDry'!$D$3:$D$2000,MATCH(H245,'Both teabags AfterDry'!$A$3:$A$2000,0)),"")</f>
        <v>0.94779999999999998</v>
      </c>
      <c r="Q245" s="194">
        <f>IFERROR(INDEX('Both teabags AfterDry'!$D$3:$D$2000,MATCH(I245,'Both teabags AfterDry'!$A$3:$A$2000,0)),"")</f>
        <v>1.7605</v>
      </c>
      <c r="R245" s="194">
        <f t="shared" si="17"/>
        <v>0.79719999999999991</v>
      </c>
      <c r="S245" s="194">
        <f t="shared" si="17"/>
        <v>1.6098999999999999</v>
      </c>
      <c r="T245" s="194">
        <f t="shared" si="18"/>
        <v>0.55067072483372792</v>
      </c>
      <c r="U245" s="194">
        <f t="shared" si="19"/>
        <v>0.3610097863518027</v>
      </c>
      <c r="V245" s="194">
        <f t="shared" si="20"/>
        <v>0.81299868700131295</v>
      </c>
      <c r="W245">
        <f t="shared" si="21"/>
        <v>69</v>
      </c>
      <c r="X245" s="194">
        <f t="shared" si="22"/>
        <v>0.34599676385542999</v>
      </c>
      <c r="Y245" s="194">
        <f t="shared" si="23"/>
        <v>1.0576827123371818E-2</v>
      </c>
      <c r="Z245" s="252" t="str">
        <f>IF(ISNUMBER(SEARCH("C", 'Dry_Litterbag Placem_Collection'!$T172)),"YES","NO")</f>
        <v>NO</v>
      </c>
      <c r="AA245" s="252" t="str">
        <f>IF(ISNUMBER(SEARCH("H", 'Dry_Litterbag Placem_Collection'!$T172)),"YES","NO")</f>
        <v>NO</v>
      </c>
      <c r="AB245" s="252" t="str">
        <f>IF(ISNUMBER(SEARCH("R", 'Dry_Litterbag Placem_Collection'!$T172)),"YES","NO")</f>
        <v>YES</v>
      </c>
      <c r="AC245" s="252" t="str">
        <f>IF(ISNUMBER(SEARCH("C", 'Dry_Litterbag Placem_Collection'!$S172)),"YES","NO")</f>
        <v>NO</v>
      </c>
      <c r="AD245" s="252" t="str">
        <f>IF(ISNUMBER(SEARCH("H", 'Dry_Litterbag Placem_Collection'!$S172)),"YES","NO")</f>
        <v>YES</v>
      </c>
      <c r="AE245" s="252" t="str">
        <f>IF(ISNUMBER(SEARCH("R", 'Dry_Litterbag Placem_Collection'!$S172)),"YES","NO")</f>
        <v>YES</v>
      </c>
    </row>
    <row r="246" spans="2:31">
      <c r="B246" t="str">
        <f>'Final data_for_R_analysis_Dryse'!A172</f>
        <v>Dry</v>
      </c>
      <c r="C246" s="260">
        <f>'Final data_for_R_analysis_Dryse'!B172</f>
        <v>171</v>
      </c>
      <c r="D246" t="s">
        <v>3827</v>
      </c>
      <c r="E246" t="s">
        <v>22</v>
      </c>
      <c r="F246" s="381">
        <v>3</v>
      </c>
      <c r="G246" s="16">
        <f>IF('Dry_Litterbag Placem_Collection'!E173="","",'Dry_Litterbag Placem_Collection'!E173)</f>
        <v>42940</v>
      </c>
      <c r="H246" t="str">
        <f>'Final data_for_R_analysis_Dryse'!K172</f>
        <v>G149</v>
      </c>
      <c r="I246" t="str">
        <f>'Final data_for_R_analysis_Dryse'!K392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16"/>
        <v>1.9291999999999998</v>
      </c>
      <c r="M246" s="237">
        <f>AVERAGE(Ashed_controlls!$K$1:$K$11)</f>
        <v>5.5147656768714146</v>
      </c>
      <c r="N246" s="194">
        <f>IFERROR(IF(K246&gt;0,(K246*$F$32-($F$29+$F$30)),""),"")</f>
        <v>1.9281999999999999</v>
      </c>
      <c r="O246" s="16">
        <f>IF('Dry_Litterbag Placem_Collection'!G173="","",'Dry_Litterbag Placem_Collection'!G173)</f>
        <v>43009</v>
      </c>
      <c r="P246" s="194">
        <f>IFERROR(INDEX('Both teabags AfterDry'!$D$3:$D$2000,MATCH(H246,'Both teabags AfterDry'!$A$3:$A$2000,0)),"")</f>
        <v>0.75890000000000002</v>
      </c>
      <c r="Q246" s="194">
        <f>IFERROR(INDEX('Both teabags AfterDry'!$D$3:$D$2000,MATCH(I246,'Both teabags AfterDry'!$A$3:$A$2000,0)),"")</f>
        <v>3.7545000000000002</v>
      </c>
      <c r="R246" s="194">
        <f t="shared" si="17"/>
        <v>0.60830000000000006</v>
      </c>
      <c r="S246" s="194">
        <f t="shared" si="17"/>
        <v>3.6039000000000003</v>
      </c>
      <c r="T246" s="194">
        <f t="shared" si="18"/>
        <v>0.68468795355587808</v>
      </c>
      <c r="U246" s="194">
        <f t="shared" si="19"/>
        <v>0.44886906218865169</v>
      </c>
      <c r="V246" s="194">
        <f t="shared" si="20"/>
        <v>1.869048853853335</v>
      </c>
      <c r="W246">
        <f t="shared" si="21"/>
        <v>69</v>
      </c>
      <c r="X246" s="194">
        <f t="shared" si="22"/>
        <v>0.18683140907852958</v>
      </c>
      <c r="Y246" s="194">
        <f t="shared" si="23"/>
        <v>-1.5609814633218087E-2</v>
      </c>
      <c r="Z246" s="252" t="str">
        <f>IF(ISNUMBER(SEARCH("C", 'Dry_Litterbag Placem_Collection'!$T173)),"YES","NO")</f>
        <v>NO</v>
      </c>
      <c r="AA246" s="252" t="str">
        <f>IF(ISNUMBER(SEARCH("H", 'Dry_Litterbag Placem_Collection'!$T173)),"YES","NO")</f>
        <v>YES</v>
      </c>
      <c r="AB246" s="252" t="str">
        <f>IF(ISNUMBER(SEARCH("R", 'Dry_Litterbag Placem_Collection'!$T173)),"YES","NO")</f>
        <v>YES</v>
      </c>
      <c r="AC246" s="252" t="str">
        <f>IF(ISNUMBER(SEARCH("C", 'Dry_Litterbag Placem_Collection'!$S173)),"YES","NO")</f>
        <v>NO</v>
      </c>
      <c r="AD246" s="252" t="str">
        <f>IF(ISNUMBER(SEARCH("H", 'Dry_Litterbag Placem_Collection'!$S173)),"YES","NO")</f>
        <v>NO</v>
      </c>
      <c r="AE246" s="252" t="str">
        <f>IF(ISNUMBER(SEARCH("R", 'Dry_Litterbag Placem_Collection'!$S173)),"YES","NO")</f>
        <v>YES</v>
      </c>
    </row>
    <row r="247" spans="2:31">
      <c r="B247" t="str">
        <f>'Final data_for_R_analysis_Dryse'!A173</f>
        <v>Dry</v>
      </c>
      <c r="C247" s="260">
        <f>'Final data_for_R_analysis_Dryse'!B173</f>
        <v>172</v>
      </c>
      <c r="D247" t="s">
        <v>3827</v>
      </c>
      <c r="E247" t="s">
        <v>22</v>
      </c>
      <c r="F247" s="382">
        <v>4</v>
      </c>
      <c r="G247" s="16" t="str">
        <f>IF('Dry_Litterbag Placem_Collection'!E174="","",'Dry_Litterbag Placem_Collection'!E174)</f>
        <v/>
      </c>
      <c r="H247" t="str">
        <f>'Final data_for_R_analysis_Dryse'!K173</f>
        <v/>
      </c>
      <c r="I247" t="str">
        <f>'Final data_for_R_analysis_Dryse'!K393</f>
        <v/>
      </c>
      <c r="J247" t="str">
        <f>IFERROR(INDEX('Green_rooibos initial weight'!$C$5:$C$2000,MATCH(H247, 'Green_rooibos initial weight'!$A$5:$A$2000,0)),"")</f>
        <v/>
      </c>
      <c r="K247" t="str">
        <f>IFERROR(INDEX('Green_rooibos initial weight'!$C$5:$C$2000,MATCH(I247, 'Green_rooibos initial weight'!$A$5:$A$2000,0)),"")</f>
        <v/>
      </c>
      <c r="L247" s="194" t="str">
        <f t="shared" si="16"/>
        <v/>
      </c>
      <c r="M247" s="237">
        <f>AVERAGE(Ashed_controlls!$K$1:$K$11)</f>
        <v>5.5147656768714146</v>
      </c>
      <c r="N247" s="194" t="str">
        <f>IFERROR(IF(K247&gt;0,(K247*$F$32-($F$29+$F$30)),""),"")</f>
        <v/>
      </c>
      <c r="O247" s="16" t="str">
        <f>IF('Dry_Litterbag Placem_Collection'!G174="","",'Dry_Litterbag Placem_Collection'!G174)</f>
        <v/>
      </c>
      <c r="P247" s="194" t="str">
        <f>IFERROR(INDEX('Both teabags AfterDry'!$D$3:$D$2000,MATCH(H247,'Both teabags AfterDry'!$A$3:$A$2000,0)),"")</f>
        <v/>
      </c>
      <c r="Q247" s="194" t="str">
        <f>IFERROR(INDEX('Both teabags AfterDry'!$D$3:$D$2000,MATCH(I247,'Both teabags AfterDry'!$A$3:$A$2000,0)),"")</f>
        <v/>
      </c>
      <c r="R247" s="194" t="str">
        <f t="shared" si="17"/>
        <v/>
      </c>
      <c r="S247" s="194" t="str">
        <f t="shared" si="17"/>
        <v/>
      </c>
      <c r="T247" s="194" t="str">
        <f t="shared" si="18"/>
        <v/>
      </c>
      <c r="U247" s="194" t="str">
        <f t="shared" si="19"/>
        <v/>
      </c>
      <c r="V247" s="194" t="str">
        <f t="shared" si="20"/>
        <v/>
      </c>
      <c r="W247" t="str">
        <f t="shared" si="21"/>
        <v/>
      </c>
      <c r="X247" s="194" t="str">
        <f t="shared" si="22"/>
        <v/>
      </c>
      <c r="Y247" s="194" t="str">
        <f t="shared" si="23"/>
        <v/>
      </c>
      <c r="Z247" s="252" t="str">
        <f>IF(ISNUMBER(SEARCH("C", 'Dry_Litterbag Placem_Collection'!$T174)),"YES","NO")</f>
        <v>NO</v>
      </c>
      <c r="AA247" s="252" t="str">
        <f>IF(ISNUMBER(SEARCH("H", 'Dry_Litterbag Placem_Collection'!$T174)),"YES","NO")</f>
        <v>NO</v>
      </c>
      <c r="AB247" s="252" t="str">
        <f>IF(ISNUMBER(SEARCH("R", 'Dry_Litterbag Placem_Collection'!$T174)),"YES","NO")</f>
        <v>NO</v>
      </c>
      <c r="AC247" s="252" t="str">
        <f>IF(ISNUMBER(SEARCH("C", 'Dry_Litterbag Placem_Collection'!$S174)),"YES","NO")</f>
        <v>NO</v>
      </c>
      <c r="AD247" s="252" t="str">
        <f>IF(ISNUMBER(SEARCH("H", 'Dry_Litterbag Placem_Collection'!$S174)),"YES","NO")</f>
        <v>NO</v>
      </c>
      <c r="AE247" s="252" t="str">
        <f>IF(ISNUMBER(SEARCH("R", 'Dry_Litterbag Placem_Collection'!$S174)),"YES","NO")</f>
        <v>NO</v>
      </c>
    </row>
    <row r="248" spans="2:31">
      <c r="B248" t="str">
        <f>'Final data_for_R_analysis_Dryse'!A174</f>
        <v>Dry</v>
      </c>
      <c r="C248" s="260">
        <f>'Final data_for_R_analysis_Dryse'!B174</f>
        <v>173</v>
      </c>
      <c r="D248" t="s">
        <v>3827</v>
      </c>
      <c r="E248" t="s">
        <v>22</v>
      </c>
      <c r="F248" s="382">
        <v>5</v>
      </c>
      <c r="G248" s="16">
        <f>IF('Dry_Litterbag Placem_Collection'!E175="","",'Dry_Litterbag Placem_Collection'!E175)</f>
        <v>42940</v>
      </c>
      <c r="H248" t="str">
        <f>'Final data_for_R_analysis_Dryse'!K174</f>
        <v>G597</v>
      </c>
      <c r="I248" t="str">
        <f>'Final data_for_R_analysis_Dryse'!K394</f>
        <v>R405</v>
      </c>
      <c r="J248">
        <f>IFERROR(INDEX('Green_rooibos initial weight'!$C$5:$C$2000,MATCH(H248, 'Green_rooibos initial weight'!$A$5:$A$2000,0)),"")</f>
        <v>1.948</v>
      </c>
      <c r="K248">
        <f>IFERROR(INDEX('Green_rooibos initial weight'!$C$5:$C$2000,MATCH(I248, 'Green_rooibos initial weight'!$A$5:$A$2000,0)),"")</f>
        <v>2.2400000000000002</v>
      </c>
      <c r="L248" s="194">
        <f t="shared" si="16"/>
        <v>1.6981999999999999</v>
      </c>
      <c r="M248" s="237">
        <f>AVERAGE(Ashed_controlls!$K$1:$K$11)</f>
        <v>5.5147656768714146</v>
      </c>
      <c r="N248" s="194">
        <f>IFERROR(IF(K248&gt;0,(K248*$F$32-($F$29+$F$30)),""),"")</f>
        <v>1.9902000000000002</v>
      </c>
      <c r="O248" s="16">
        <f>IF('Dry_Litterbag Placem_Collection'!G175="","",'Dry_Litterbag Placem_Collection'!G175)</f>
        <v>43009</v>
      </c>
      <c r="P248" s="194" t="str">
        <f>IFERROR(INDEX('Both teabags AfterDry'!$D$3:$D$2000,MATCH(H248,'Both teabags AfterDry'!$A$3:$A$2000,0)),"")</f>
        <v/>
      </c>
      <c r="Q248" s="194" t="str">
        <f>IFERROR(INDEX('Both teabags AfterDry'!$D$3:$D$2000,MATCH(I248,'Both teabags AfterDry'!$A$3:$A$2000,0)),"")</f>
        <v/>
      </c>
      <c r="R248" s="194" t="str">
        <f t="shared" si="17"/>
        <v/>
      </c>
      <c r="S248" s="194" t="str">
        <f t="shared" si="17"/>
        <v/>
      </c>
      <c r="T248" s="194" t="str">
        <f t="shared" si="18"/>
        <v/>
      </c>
      <c r="U248" s="194" t="str">
        <f t="shared" si="19"/>
        <v/>
      </c>
      <c r="V248" s="194" t="str">
        <f t="shared" si="20"/>
        <v/>
      </c>
      <c r="W248">
        <f t="shared" si="21"/>
        <v>69</v>
      </c>
      <c r="X248" s="194" t="str">
        <f t="shared" si="22"/>
        <v/>
      </c>
      <c r="Y248" s="194" t="str">
        <f t="shared" si="23"/>
        <v/>
      </c>
      <c r="Z248" s="252" t="str">
        <f>IF(ISNUMBER(SEARCH("C", 'Dry_Litterbag Placem_Collection'!$T175)),"YES","NO")</f>
        <v>NO</v>
      </c>
      <c r="AA248" s="252" t="str">
        <f>IF(ISNUMBER(SEARCH("H", 'Dry_Litterbag Placem_Collection'!$T175)),"YES","NO")</f>
        <v>YES</v>
      </c>
      <c r="AB248" s="252" t="str">
        <f>IF(ISNUMBER(SEARCH("R", 'Dry_Litterbag Placem_Collection'!$T175)),"YES","NO")</f>
        <v>YES</v>
      </c>
      <c r="AC248" s="252" t="str">
        <f>IF(ISNUMBER(SEARCH("C", 'Dry_Litterbag Placem_Collection'!$S175)),"YES","NO")</f>
        <v>NO</v>
      </c>
      <c r="AD248" s="252" t="str">
        <f>IF(ISNUMBER(SEARCH("H", 'Dry_Litterbag Placem_Collection'!$S175)),"YES","NO")</f>
        <v>YES</v>
      </c>
      <c r="AE248" s="252" t="str">
        <f>IF(ISNUMBER(SEARCH("R", 'Dry_Litterbag Placem_Collection'!$S175)),"YES","NO")</f>
        <v>YES</v>
      </c>
    </row>
    <row r="249" spans="2:31">
      <c r="B249" t="str">
        <f>'Final data_for_R_analysis_Dryse'!A175</f>
        <v>Dry</v>
      </c>
      <c r="C249" s="260">
        <f>'Final data_for_R_analysis_Dryse'!B175</f>
        <v>174</v>
      </c>
      <c r="D249" t="s">
        <v>3827</v>
      </c>
      <c r="E249" t="s">
        <v>22</v>
      </c>
      <c r="F249" s="382">
        <v>6</v>
      </c>
      <c r="G249" s="16">
        <f>IF('Dry_Litterbag Placem_Collection'!E176="","",'Dry_Litterbag Placem_Collection'!E176)</f>
        <v>42940</v>
      </c>
      <c r="H249" t="str">
        <f>'Final data_for_R_analysis_Dryse'!K175</f>
        <v>G396</v>
      </c>
      <c r="I249" t="str">
        <f>'Final data_for_R_analysis_Dryse'!K395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16"/>
        <v>1.7572000000000001</v>
      </c>
      <c r="M249" s="237">
        <f>AVERAGE(Ashed_controlls!$K$1:$K$11)</f>
        <v>5.5147656768714146</v>
      </c>
      <c r="N249" s="194">
        <f>IFERROR(IF(K249&gt;0,(K249*$F$32-($F$29+$F$30)),""),"")</f>
        <v>1.9691999999999998</v>
      </c>
      <c r="O249" s="16">
        <f>IF('Dry_Litterbag Placem_Collection'!G176="","",'Dry_Litterbag Placem_Collection'!G176)</f>
        <v>43009</v>
      </c>
      <c r="P249" s="194">
        <f>IFERROR(INDEX('Both teabags AfterDry'!$D$3:$D$2000,MATCH(H249,'Both teabags AfterDry'!$A$3:$A$2000,0)),"")</f>
        <v>0.80349999999999999</v>
      </c>
      <c r="Q249" s="194">
        <f>IFERROR(INDEX('Both teabags AfterDry'!$D$3:$D$2000,MATCH(I249,'Both teabags AfterDry'!$A$3:$A$2000,0)),"")</f>
        <v>1.6238999999999999</v>
      </c>
      <c r="R249" s="194">
        <f t="shared" si="17"/>
        <v>0.65290000000000004</v>
      </c>
      <c r="S249" s="194">
        <f t="shared" si="17"/>
        <v>1.4732999999999998</v>
      </c>
      <c r="T249" s="194">
        <f t="shared" si="18"/>
        <v>0.62844297746414757</v>
      </c>
      <c r="U249" s="194">
        <f t="shared" si="19"/>
        <v>0.41199587121165027</v>
      </c>
      <c r="V249" s="194">
        <f t="shared" si="20"/>
        <v>0.74817184643510048</v>
      </c>
      <c r="W249">
        <f t="shared" si="21"/>
        <v>69</v>
      </c>
      <c r="X249" s="194">
        <f t="shared" si="22"/>
        <v>0.25363066809483659</v>
      </c>
      <c r="Y249" s="194">
        <f t="shared" si="23"/>
        <v>1.3692635166048265E-2</v>
      </c>
      <c r="Z249" s="252" t="str">
        <f>IF(ISNUMBER(SEARCH("C", 'Dry_Litterbag Placem_Collection'!$T176)),"YES","NO")</f>
        <v>NO</v>
      </c>
      <c r="AA249" s="252" t="str">
        <f>IF(ISNUMBER(SEARCH("H", 'Dry_Litterbag Placem_Collection'!$T176)),"YES","NO")</f>
        <v>NO</v>
      </c>
      <c r="AB249" s="252" t="str">
        <f>IF(ISNUMBER(SEARCH("R", 'Dry_Litterbag Placem_Collection'!$T176)),"YES","NO")</f>
        <v>YES</v>
      </c>
      <c r="AC249" s="252" t="str">
        <f>IF(ISNUMBER(SEARCH("C", 'Dry_Litterbag Placem_Collection'!$S176)),"YES","NO")</f>
        <v>NO</v>
      </c>
      <c r="AD249" s="252" t="str">
        <f>IF(ISNUMBER(SEARCH("H", 'Dry_Litterbag Placem_Collection'!$S176)),"YES","NO")</f>
        <v>YES</v>
      </c>
      <c r="AE249" s="252" t="str">
        <f>IF(ISNUMBER(SEARCH("R", 'Dry_Litterbag Placem_Collection'!$S176)),"YES","NO")</f>
        <v>YES</v>
      </c>
    </row>
    <row r="250" spans="2:31">
      <c r="B250" t="str">
        <f>'Final data_for_R_analysis_Dryse'!A176</f>
        <v>Dry</v>
      </c>
      <c r="C250" s="260">
        <f>'Final data_for_R_analysis_Dryse'!B176</f>
        <v>175</v>
      </c>
      <c r="D250" t="s">
        <v>3827</v>
      </c>
      <c r="E250" t="s">
        <v>22</v>
      </c>
      <c r="F250" s="382">
        <v>7</v>
      </c>
      <c r="G250" s="16">
        <f>IF('Dry_Litterbag Placem_Collection'!E177="","",'Dry_Litterbag Placem_Collection'!E177)</f>
        <v>42940</v>
      </c>
      <c r="H250" t="str">
        <f>'Final data_for_R_analysis_Dryse'!K176</f>
        <v>G612</v>
      </c>
      <c r="I250" t="str">
        <f>'Final data_for_R_analysis_Dryse'!K396</f>
        <v>R338</v>
      </c>
      <c r="J250">
        <f>IFERROR(INDEX('Green_rooibos initial weight'!$C$5:$C$2000,MATCH(H250, 'Green_rooibos initial weight'!$A$5:$A$2000,0)),"")</f>
        <v>2.004</v>
      </c>
      <c r="K250">
        <f>IFERROR(INDEX('Green_rooibos initial weight'!$C$5:$C$2000,MATCH(I250, 'Green_rooibos initial weight'!$A$5:$A$2000,0)),"")</f>
        <v>2.1709999999999998</v>
      </c>
      <c r="L250" s="194">
        <f t="shared" si="16"/>
        <v>1.7542</v>
      </c>
      <c r="M250" s="237">
        <f>AVERAGE(Ashed_controlls!$K$1:$K$11)</f>
        <v>5.5147656768714146</v>
      </c>
      <c r="N250" s="194">
        <f>IFERROR(IF(K250&gt;0,(K250*$F$32-($F$29+$F$30)),""),"")</f>
        <v>1.9211999999999998</v>
      </c>
      <c r="O250" s="16">
        <f>IF('Dry_Litterbag Placem_Collection'!G177="","",'Dry_Litterbag Placem_Collection'!G177)</f>
        <v>43009</v>
      </c>
      <c r="P250" s="194">
        <f>IFERROR(INDEX('Both teabags AfterDry'!$D$3:$D$2000,MATCH(H250,'Both teabags AfterDry'!$A$3:$A$2000,0)),"")</f>
        <v>0.83</v>
      </c>
      <c r="Q250" s="194">
        <f>IFERROR(INDEX('Both teabags AfterDry'!$D$3:$D$2000,MATCH(I250,'Both teabags AfterDry'!$A$3:$A$2000,0)),"")</f>
        <v>1.8117000000000001</v>
      </c>
      <c r="R250" s="194">
        <f t="shared" si="17"/>
        <v>0.6794</v>
      </c>
      <c r="S250" s="194">
        <f t="shared" si="17"/>
        <v>1.6611</v>
      </c>
      <c r="T250" s="194">
        <f t="shared" si="18"/>
        <v>0.6127009463003078</v>
      </c>
      <c r="U250" s="194">
        <f t="shared" si="19"/>
        <v>0.40167567975982177</v>
      </c>
      <c r="V250" s="194">
        <f t="shared" si="20"/>
        <v>0.86461586508432242</v>
      </c>
      <c r="W250">
        <f t="shared" si="21"/>
        <v>69</v>
      </c>
      <c r="X250" s="194">
        <f t="shared" si="22"/>
        <v>0.27232666710177222</v>
      </c>
      <c r="Y250" s="194">
        <f t="shared" si="23"/>
        <v>5.957293542268355E-3</v>
      </c>
      <c r="Z250" s="252" t="str">
        <f>IF(ISNUMBER(SEARCH("C", 'Dry_Litterbag Placem_Collection'!$T177)),"YES","NO")</f>
        <v>NO</v>
      </c>
      <c r="AA250" s="252" t="str">
        <f>IF(ISNUMBER(SEARCH("H", 'Dry_Litterbag Placem_Collection'!$T177)),"YES","NO")</f>
        <v>NO</v>
      </c>
      <c r="AB250" s="252" t="str">
        <f>IF(ISNUMBER(SEARCH("R", 'Dry_Litterbag Placem_Collection'!$T177)),"YES","NO")</f>
        <v>NO</v>
      </c>
      <c r="AC250" s="252" t="str">
        <f>IF(ISNUMBER(SEARCH("C", 'Dry_Litterbag Placem_Collection'!$S177)),"YES","NO")</f>
        <v>NO</v>
      </c>
      <c r="AD250" s="252" t="str">
        <f>IF(ISNUMBER(SEARCH("H", 'Dry_Litterbag Placem_Collection'!$S177)),"YES","NO")</f>
        <v>YES</v>
      </c>
      <c r="AE250" s="252" t="str">
        <f>IF(ISNUMBER(SEARCH("R", 'Dry_Litterbag Placem_Collection'!$S177)),"YES","NO")</f>
        <v>YES</v>
      </c>
    </row>
    <row r="251" spans="2:31">
      <c r="B251" t="str">
        <f>'Final data_for_R_analysis_Dryse'!A177</f>
        <v>Dry</v>
      </c>
      <c r="C251" s="260">
        <f>'Final data_for_R_analysis_Dryse'!B177</f>
        <v>176</v>
      </c>
      <c r="D251" t="s">
        <v>3827</v>
      </c>
      <c r="E251" t="s">
        <v>22</v>
      </c>
      <c r="F251" s="382">
        <v>8</v>
      </c>
      <c r="G251" s="16">
        <f>IF('Dry_Litterbag Placem_Collection'!E178="","",'Dry_Litterbag Placem_Collection'!E178)</f>
        <v>42940</v>
      </c>
      <c r="H251" t="str">
        <f>'Final data_for_R_analysis_Dryse'!K177</f>
        <v>G183</v>
      </c>
      <c r="I251" t="str">
        <f>'Final data_for_R_analysis_Dryse'!K397</f>
        <v>R52</v>
      </c>
      <c r="J251">
        <f>IFERROR(INDEX('Green_rooibos initial weight'!$C$5:$C$2000,MATCH(H251, 'Green_rooibos initial weight'!$A$5:$A$2000,0)),"")</f>
        <v>1.897</v>
      </c>
      <c r="K251">
        <f>IFERROR(INDEX('Green_rooibos initial weight'!$C$5:$C$2000,MATCH(I251, 'Green_rooibos initial weight'!$A$5:$A$2000,0)),"")</f>
        <v>2.1629999999999998</v>
      </c>
      <c r="L251" s="194">
        <f t="shared" si="16"/>
        <v>1.6472</v>
      </c>
      <c r="M251" s="237">
        <f>AVERAGE(Ashed_controlls!$K$1:$K$11)</f>
        <v>5.5147656768714146</v>
      </c>
      <c r="N251" s="194">
        <f>IFERROR(IF(K251&gt;0,(K251*$F$32-($F$29+$F$30)),""),"")</f>
        <v>1.9131999999999998</v>
      </c>
      <c r="O251" s="16">
        <f>IF('Dry_Litterbag Placem_Collection'!G178="","",'Dry_Litterbag Placem_Collection'!G178)</f>
        <v>43009</v>
      </c>
      <c r="P251" s="194">
        <f>IFERROR(INDEX('Both teabags AfterDry'!$D$3:$D$2000,MATCH(H251,'Both teabags AfterDry'!$A$3:$A$2000,0)),"")</f>
        <v>0.92459999999999998</v>
      </c>
      <c r="Q251" s="194">
        <f>IFERROR(INDEX('Both teabags AfterDry'!$D$3:$D$2000,MATCH(I251,'Both teabags AfterDry'!$A$3:$A$2000,0)),"")</f>
        <v>0</v>
      </c>
      <c r="R251" s="194">
        <f t="shared" si="17"/>
        <v>0.77400000000000002</v>
      </c>
      <c r="S251" s="194" t="str">
        <f t="shared" si="17"/>
        <v/>
      </c>
      <c r="T251" s="194">
        <f t="shared" si="18"/>
        <v>0.53011170471102476</v>
      </c>
      <c r="U251" s="194">
        <f t="shared" si="19"/>
        <v>0.34753166389606377</v>
      </c>
      <c r="V251" s="194" t="str">
        <f t="shared" si="20"/>
        <v/>
      </c>
      <c r="W251">
        <f t="shared" si="21"/>
        <v>69</v>
      </c>
      <c r="X251" s="194">
        <f t="shared" si="22"/>
        <v>0.37041365236220336</v>
      </c>
      <c r="Y251" s="194" t="str">
        <f t="shared" si="23"/>
        <v/>
      </c>
      <c r="Z251" s="252" t="str">
        <f>IF(ISNUMBER(SEARCH("C", 'Dry_Litterbag Placem_Collection'!$T178)),"YES","NO")</f>
        <v>NO</v>
      </c>
      <c r="AA251" s="252" t="str">
        <f>IF(ISNUMBER(SEARCH("H", 'Dry_Litterbag Placem_Collection'!$T178)),"YES","NO")</f>
        <v>YES</v>
      </c>
      <c r="AB251" s="252" t="str">
        <f>IF(ISNUMBER(SEARCH("R", 'Dry_Litterbag Placem_Collection'!$T178)),"YES","NO")</f>
        <v>YES</v>
      </c>
      <c r="AC251" s="252" t="str">
        <f>IF(ISNUMBER(SEARCH("C", 'Dry_Litterbag Placem_Collection'!$S178)),"YES","NO")</f>
        <v>NO</v>
      </c>
      <c r="AD251" s="252" t="str">
        <f>IF(ISNUMBER(SEARCH("H", 'Dry_Litterbag Placem_Collection'!$S178)),"YES","NO")</f>
        <v>YES</v>
      </c>
      <c r="AE251" s="252" t="str">
        <f>IF(ISNUMBER(SEARCH("R", 'Dry_Litterbag Placem_Collection'!$S178)),"YES","NO")</f>
        <v>YES</v>
      </c>
    </row>
    <row r="252" spans="2:31">
      <c r="B252" t="str">
        <f>'Final data_for_R_analysis_Dryse'!A178</f>
        <v>Dry</v>
      </c>
      <c r="C252" s="260">
        <f>'Final data_for_R_analysis_Dryse'!B178</f>
        <v>177</v>
      </c>
      <c r="D252" t="s">
        <v>3828</v>
      </c>
      <c r="E252" t="s">
        <v>22</v>
      </c>
      <c r="F252" s="381">
        <v>1</v>
      </c>
      <c r="G252" s="16">
        <f>IF('Dry_Litterbag Placem_Collection'!E179="","",'Dry_Litterbag Placem_Collection'!E179)</f>
        <v>42940</v>
      </c>
      <c r="H252" t="str">
        <f>'Final data_for_R_analysis_Dryse'!K178</f>
        <v>G98</v>
      </c>
      <c r="I252" t="str">
        <f>'Final data_for_R_analysis_Dryse'!K398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16"/>
        <v>1.8481999999999998</v>
      </c>
      <c r="M252" s="237">
        <f>AVERAGE(Ashed_controlls!$K$1:$K$11)</f>
        <v>5.5147656768714146</v>
      </c>
      <c r="N252" s="194">
        <f>IFERROR(IF(K252&gt;0,(K252*$F$32-($F$29+$F$30)),""),"")</f>
        <v>1.9531999999999998</v>
      </c>
      <c r="O252" s="16">
        <f>IF('Dry_Litterbag Placem_Collection'!G179="","",'Dry_Litterbag Placem_Collection'!G179)</f>
        <v>43009</v>
      </c>
      <c r="P252" s="194" t="str">
        <f>IFERROR(INDEX('Both teabags AfterDry'!$D$3:$D$2000,MATCH(H252,'Both teabags AfterDry'!$A$3:$A$2000,0)),"")</f>
        <v/>
      </c>
      <c r="Q252" s="194" t="str">
        <f>IFERROR(INDEX('Both teabags AfterDry'!$D$3:$D$2000,MATCH(I252,'Both teabags AfterDry'!$A$3:$A$2000,0)),"")</f>
        <v/>
      </c>
      <c r="R252" s="194" t="str">
        <f t="shared" si="17"/>
        <v/>
      </c>
      <c r="S252" s="194" t="str">
        <f t="shared" si="17"/>
        <v/>
      </c>
      <c r="T252" s="194" t="str">
        <f t="shared" si="18"/>
        <v/>
      </c>
      <c r="U252" s="194" t="str">
        <f t="shared" si="19"/>
        <v/>
      </c>
      <c r="V252" s="194" t="str">
        <f t="shared" si="20"/>
        <v/>
      </c>
      <c r="W252">
        <f t="shared" si="21"/>
        <v>69</v>
      </c>
      <c r="X252" s="194" t="str">
        <f t="shared" si="22"/>
        <v/>
      </c>
      <c r="Y252" s="194" t="str">
        <f t="shared" si="23"/>
        <v/>
      </c>
      <c r="Z252" s="252" t="str">
        <f>IF(ISNUMBER(SEARCH("C", 'Dry_Litterbag Placem_Collection'!$T179)),"YES","NO")</f>
        <v>YES</v>
      </c>
      <c r="AA252" s="252" t="str">
        <f>IF(ISNUMBER(SEARCH("H", 'Dry_Litterbag Placem_Collection'!$T179)),"YES","NO")</f>
        <v>YES</v>
      </c>
      <c r="AB252" s="252" t="str">
        <f>IF(ISNUMBER(SEARCH("R", 'Dry_Litterbag Placem_Collection'!$T179)),"YES","NO")</f>
        <v>YES</v>
      </c>
      <c r="AC252" s="252" t="str">
        <f>IF(ISNUMBER(SEARCH("C", 'Dry_Litterbag Placem_Collection'!$S179)),"YES","NO")</f>
        <v>NO</v>
      </c>
      <c r="AD252" s="252" t="str">
        <f>IF(ISNUMBER(SEARCH("H", 'Dry_Litterbag Placem_Collection'!$S179)),"YES","NO")</f>
        <v>YES</v>
      </c>
      <c r="AE252" s="252" t="str">
        <f>IF(ISNUMBER(SEARCH("R", 'Dry_Litterbag Placem_Collection'!$S179)),"YES","NO")</f>
        <v>YES</v>
      </c>
    </row>
    <row r="253" spans="2:31">
      <c r="B253" t="str">
        <f>'Final data_for_R_analysis_Dryse'!A179</f>
        <v>Dry</v>
      </c>
      <c r="C253" s="260">
        <f>'Final data_for_R_analysis_Dryse'!B179</f>
        <v>178</v>
      </c>
      <c r="D253" t="s">
        <v>3828</v>
      </c>
      <c r="E253" t="s">
        <v>22</v>
      </c>
      <c r="F253" s="381">
        <v>2</v>
      </c>
      <c r="G253" s="16">
        <f>IF('Dry_Litterbag Placem_Collection'!E180="","",'Dry_Litterbag Placem_Collection'!E180)</f>
        <v>42940</v>
      </c>
      <c r="H253" t="str">
        <f>'Final data_for_R_analysis_Dryse'!K179</f>
        <v>G353</v>
      </c>
      <c r="I253" t="str">
        <f>'Final data_for_R_analysis_Dryse'!K399</f>
        <v>R612</v>
      </c>
      <c r="J253">
        <f>IFERROR(INDEX('Green_rooibos initial weight'!$C$5:$C$2000,MATCH(H253, 'Green_rooibos initial weight'!$A$5:$A$2000,0)),"")</f>
        <v>1.988</v>
      </c>
      <c r="K253">
        <f>IFERROR(INDEX('Green_rooibos initial weight'!$C$5:$C$2000,MATCH(I253, 'Green_rooibos initial weight'!$A$5:$A$2000,0)),"")</f>
        <v>2.11</v>
      </c>
      <c r="L253" s="194">
        <f t="shared" si="16"/>
        <v>1.7382</v>
      </c>
      <c r="M253" s="237">
        <f>AVERAGE(Ashed_controlls!$K$1:$K$11)</f>
        <v>5.5147656768714146</v>
      </c>
      <c r="N253" s="194">
        <f>IFERROR(IF(K253&gt;0,(K253*$F$32-($F$29+$F$30)),""),"")</f>
        <v>1.8601999999999999</v>
      </c>
      <c r="O253" s="16">
        <f>IF('Dry_Litterbag Placem_Collection'!G180="","",'Dry_Litterbag Placem_Collection'!G180)</f>
        <v>43009</v>
      </c>
      <c r="P253" s="194">
        <f>IFERROR(INDEX('Both teabags AfterDry'!$D$3:$D$2000,MATCH(H253,'Both teabags AfterDry'!$A$3:$A$2000,0)),"")</f>
        <v>0.80569999999999997</v>
      </c>
      <c r="Q253" s="194">
        <f>IFERROR(INDEX('Both teabags AfterDry'!$D$3:$D$2000,MATCH(I253,'Both teabags AfterDry'!$A$3:$A$2000,0)),"")</f>
        <v>0</v>
      </c>
      <c r="R253" s="194">
        <f t="shared" si="17"/>
        <v>0.65510000000000002</v>
      </c>
      <c r="S253" s="194" t="str">
        <f t="shared" si="17"/>
        <v/>
      </c>
      <c r="T253" s="194">
        <f t="shared" si="18"/>
        <v>0.62311586698883903</v>
      </c>
      <c r="U253" s="194">
        <f t="shared" si="19"/>
        <v>0.40850351375040284</v>
      </c>
      <c r="V253" s="194" t="str">
        <f t="shared" si="20"/>
        <v/>
      </c>
      <c r="W253">
        <f t="shared" si="21"/>
        <v>69</v>
      </c>
      <c r="X253" s="194">
        <f t="shared" si="22"/>
        <v>0.25995740262608191</v>
      </c>
      <c r="Y253" s="194" t="str">
        <f t="shared" si="23"/>
        <v/>
      </c>
      <c r="Z253" s="252" t="str">
        <f>IF(ISNUMBER(SEARCH("C", 'Dry_Litterbag Placem_Collection'!$T180)),"YES","NO")</f>
        <v>YES</v>
      </c>
      <c r="AA253" s="252" t="str">
        <f>IF(ISNUMBER(SEARCH("H", 'Dry_Litterbag Placem_Collection'!$T180)),"YES","NO")</f>
        <v>YES</v>
      </c>
      <c r="AB253" s="252" t="str">
        <f>IF(ISNUMBER(SEARCH("R", 'Dry_Litterbag Placem_Collection'!$T180)),"YES","NO")</f>
        <v>NO</v>
      </c>
      <c r="AC253" s="252" t="str">
        <f>IF(ISNUMBER(SEARCH("C", 'Dry_Litterbag Placem_Collection'!$S180)),"YES","NO")</f>
        <v>NO</v>
      </c>
      <c r="AD253" s="252" t="str">
        <f>IF(ISNUMBER(SEARCH("H", 'Dry_Litterbag Placem_Collection'!$S180)),"YES","NO")</f>
        <v>NO</v>
      </c>
      <c r="AE253" s="252" t="str">
        <f>IF(ISNUMBER(SEARCH("R", 'Dry_Litterbag Placem_Collection'!$S180)),"YES","NO")</f>
        <v>YES</v>
      </c>
    </row>
    <row r="254" spans="2:31">
      <c r="B254" t="str">
        <f>'Final data_for_R_analysis_Dryse'!A180</f>
        <v>Dry</v>
      </c>
      <c r="C254" s="260">
        <f>'Final data_for_R_analysis_Dryse'!B180</f>
        <v>179</v>
      </c>
      <c r="D254" t="s">
        <v>3828</v>
      </c>
      <c r="E254" t="s">
        <v>22</v>
      </c>
      <c r="F254" s="381">
        <v>3</v>
      </c>
      <c r="G254" s="16">
        <f>IF('Dry_Litterbag Placem_Collection'!E181="","",'Dry_Litterbag Placem_Collection'!E181)</f>
        <v>42940</v>
      </c>
      <c r="H254" t="str">
        <f>'Final data_for_R_analysis_Dryse'!K180</f>
        <v>G42</v>
      </c>
      <c r="I254" t="str">
        <f>'Final data_for_R_analysis_Dryse'!K400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16"/>
        <v>1.7032</v>
      </c>
      <c r="M254" s="237">
        <f>AVERAGE(Ashed_controlls!$K$1:$K$11)</f>
        <v>5.5147656768714146</v>
      </c>
      <c r="N254" s="194">
        <f>IFERROR(IF(K254&gt;0,(K254*$F$32-($F$29+$F$30)),""),"")</f>
        <v>2.0192000000000001</v>
      </c>
      <c r="O254" s="16">
        <f>IF('Dry_Litterbag Placem_Collection'!G181="","",'Dry_Litterbag Placem_Collection'!G181)</f>
        <v>43009</v>
      </c>
      <c r="P254" s="194">
        <f>IFERROR(INDEX('Both teabags AfterDry'!$D$3:$D$2000,MATCH(H254,'Both teabags AfterDry'!$A$3:$A$2000,0)),"")</f>
        <v>1.0448</v>
      </c>
      <c r="Q254" s="194">
        <f>IFERROR(INDEX('Both teabags AfterDry'!$D$3:$D$2000,MATCH(I254,'Both teabags AfterDry'!$A$3:$A$2000,0)),"")</f>
        <v>2.0198</v>
      </c>
      <c r="R254" s="194">
        <f t="shared" si="17"/>
        <v>0.89419999999999988</v>
      </c>
      <c r="S254" s="194">
        <f t="shared" si="17"/>
        <v>1.8692</v>
      </c>
      <c r="T254" s="194">
        <f t="shared" si="18"/>
        <v>0.47498825739783945</v>
      </c>
      <c r="U254" s="194">
        <f t="shared" si="19"/>
        <v>0.31139372694015133</v>
      </c>
      <c r="V254" s="194">
        <f t="shared" si="20"/>
        <v>0.92571315372424712</v>
      </c>
      <c r="W254">
        <f t="shared" si="21"/>
        <v>69</v>
      </c>
      <c r="X254" s="194">
        <f t="shared" si="22"/>
        <v>0.43588092945624768</v>
      </c>
      <c r="Y254" s="194">
        <f t="shared" si="23"/>
        <v>3.9499579963967338E-3</v>
      </c>
      <c r="Z254" s="252" t="str">
        <f>IF(ISNUMBER(SEARCH("C", 'Dry_Litterbag Placem_Collection'!$T181)),"YES","NO")</f>
        <v>NO</v>
      </c>
      <c r="AA254" s="252" t="str">
        <f>IF(ISNUMBER(SEARCH("H", 'Dry_Litterbag Placem_Collection'!$T181)),"YES","NO")</f>
        <v>NO</v>
      </c>
      <c r="AB254" s="252" t="str">
        <f>IF(ISNUMBER(SEARCH("R", 'Dry_Litterbag Placem_Collection'!$T181)),"YES","NO")</f>
        <v>YES</v>
      </c>
      <c r="AC254" s="252" t="str">
        <f>IF(ISNUMBER(SEARCH("C", 'Dry_Litterbag Placem_Collection'!$S181)),"YES","NO")</f>
        <v>NO</v>
      </c>
      <c r="AD254" s="252" t="str">
        <f>IF(ISNUMBER(SEARCH("H", 'Dry_Litterbag Placem_Collection'!$S181)),"YES","NO")</f>
        <v>NO</v>
      </c>
      <c r="AE254" s="252" t="str">
        <f>IF(ISNUMBER(SEARCH("R", 'Dry_Litterbag Placem_Collection'!$S181)),"YES","NO")</f>
        <v>YES</v>
      </c>
    </row>
    <row r="255" spans="2:31">
      <c r="B255" t="str">
        <f>'Final data_for_R_analysis_Dryse'!A181</f>
        <v>Dry</v>
      </c>
      <c r="C255" s="260">
        <f>'Final data_for_R_analysis_Dryse'!B181</f>
        <v>180</v>
      </c>
      <c r="D255" t="s">
        <v>3828</v>
      </c>
      <c r="E255" t="s">
        <v>22</v>
      </c>
      <c r="F255" s="382">
        <v>4</v>
      </c>
      <c r="G255" s="16">
        <f>IF('Dry_Litterbag Placem_Collection'!E182="","",'Dry_Litterbag Placem_Collection'!E182)</f>
        <v>42940</v>
      </c>
      <c r="H255" t="str">
        <f>'Final data_for_R_analysis_Dryse'!K181</f>
        <v>G245</v>
      </c>
      <c r="I255" t="str">
        <f>'Final data_for_R_analysis_Dryse'!K401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16"/>
        <v>1.7652000000000001</v>
      </c>
      <c r="M255" s="237">
        <f>AVERAGE(Ashed_controlls!$K$1:$K$11)</f>
        <v>5.5147656768714146</v>
      </c>
      <c r="N255" s="194">
        <f>IFERROR(IF(K255&gt;0,(K255*$F$32-($F$29+$F$30)),""),"")</f>
        <v>1.9571999999999998</v>
      </c>
      <c r="O255" s="16">
        <f>IF('Dry_Litterbag Placem_Collection'!G182="","",'Dry_Litterbag Placem_Collection'!G182)</f>
        <v>43009</v>
      </c>
      <c r="P255" s="194">
        <f>IFERROR(INDEX('Both teabags AfterDry'!$D$3:$D$2000,MATCH(H255,'Both teabags AfterDry'!$A$3:$A$2000,0)),"")</f>
        <v>0.81240000000000001</v>
      </c>
      <c r="Q255" s="194">
        <f>IFERROR(INDEX('Both teabags AfterDry'!$D$3:$D$2000,MATCH(I255,'Both teabags AfterDry'!$A$3:$A$2000,0)),"")</f>
        <v>1.6720999999999999</v>
      </c>
      <c r="R255" s="194">
        <f t="shared" si="17"/>
        <v>0.66179999999999994</v>
      </c>
      <c r="S255" s="194">
        <f t="shared" si="17"/>
        <v>1.5214999999999999</v>
      </c>
      <c r="T255" s="194">
        <f t="shared" si="18"/>
        <v>0.62508497620666215</v>
      </c>
      <c r="U255" s="194">
        <f t="shared" si="19"/>
        <v>0.40979442620674295</v>
      </c>
      <c r="V255" s="194">
        <f t="shared" si="20"/>
        <v>0.77738606172082569</v>
      </c>
      <c r="W255">
        <f t="shared" si="21"/>
        <v>69</v>
      </c>
      <c r="X255" s="194">
        <f t="shared" si="22"/>
        <v>0.2576187931037266</v>
      </c>
      <c r="Y255" s="194">
        <f t="shared" si="23"/>
        <v>1.1356265318912274E-2</v>
      </c>
      <c r="Z255" s="252" t="str">
        <f>IF(ISNUMBER(SEARCH("C", 'Dry_Litterbag Placem_Collection'!$T182)),"YES","NO")</f>
        <v>NO</v>
      </c>
      <c r="AA255" s="252" t="str">
        <f>IF(ISNUMBER(SEARCH("H", 'Dry_Litterbag Placem_Collection'!$T182)),"YES","NO")</f>
        <v>NO</v>
      </c>
      <c r="AB255" s="252" t="str">
        <f>IF(ISNUMBER(SEARCH("R", 'Dry_Litterbag Placem_Collection'!$T182)),"YES","NO")</f>
        <v>NO</v>
      </c>
      <c r="AC255" s="252" t="str">
        <f>IF(ISNUMBER(SEARCH("C", 'Dry_Litterbag Placem_Collection'!$S182)),"YES","NO")</f>
        <v>NO</v>
      </c>
      <c r="AD255" s="252" t="str">
        <f>IF(ISNUMBER(SEARCH("H", 'Dry_Litterbag Placem_Collection'!$S182)),"YES","NO")</f>
        <v>NO</v>
      </c>
      <c r="AE255" s="252" t="str">
        <f>IF(ISNUMBER(SEARCH("R", 'Dry_Litterbag Placem_Collection'!$S182)),"YES","NO")</f>
        <v>YES</v>
      </c>
    </row>
    <row r="256" spans="2:31">
      <c r="B256" t="str">
        <f>'Final data_for_R_analysis_Dryse'!A182</f>
        <v>Dry</v>
      </c>
      <c r="C256" s="260">
        <f>'Final data_for_R_analysis_Dryse'!B182</f>
        <v>181</v>
      </c>
      <c r="D256" t="s">
        <v>3828</v>
      </c>
      <c r="E256" t="s">
        <v>22</v>
      </c>
      <c r="F256" s="382">
        <v>5</v>
      </c>
      <c r="G256" s="16">
        <f>IF('Dry_Litterbag Placem_Collection'!E183="","",'Dry_Litterbag Placem_Collection'!E183)</f>
        <v>42940</v>
      </c>
      <c r="H256" t="str">
        <f>'Final data_for_R_analysis_Dryse'!K182</f>
        <v>G411</v>
      </c>
      <c r="I256" t="str">
        <f>'Final data_for_R_analysis_Dryse'!K402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16"/>
        <v>1.8622000000000001</v>
      </c>
      <c r="M256" s="237">
        <f>AVERAGE(Ashed_controlls!$K$1:$K$11)</f>
        <v>5.5147656768714146</v>
      </c>
      <c r="N256" s="194">
        <f>IFERROR(IF(K256&gt;0,(K256*$F$32-($F$29+$F$30)),""),"")</f>
        <v>2.0411999999999999</v>
      </c>
      <c r="O256" s="16">
        <f>IF('Dry_Litterbag Placem_Collection'!G183="","",'Dry_Litterbag Placem_Collection'!G183)</f>
        <v>43009</v>
      </c>
      <c r="P256" s="194">
        <f>IFERROR(INDEX('Both teabags AfterDry'!$D$3:$D$2000,MATCH(H256,'Both teabags AfterDry'!$A$3:$A$2000,0)),"")</f>
        <v>0.76629999999999998</v>
      </c>
      <c r="Q256" s="194">
        <f>IFERROR(INDEX('Both teabags AfterDry'!$D$3:$D$2000,MATCH(I256,'Both teabags AfterDry'!$A$3:$A$2000,0)),"")</f>
        <v>2.0322</v>
      </c>
      <c r="R256" s="194">
        <f t="shared" si="17"/>
        <v>0.61569999999999991</v>
      </c>
      <c r="S256" s="194">
        <f t="shared" si="17"/>
        <v>1.8815999999999999</v>
      </c>
      <c r="T256" s="194">
        <f t="shared" si="18"/>
        <v>0.66936956288261196</v>
      </c>
      <c r="U256" s="194">
        <f t="shared" si="19"/>
        <v>0.43882660179477656</v>
      </c>
      <c r="V256" s="194">
        <f t="shared" si="20"/>
        <v>0.92181069958847739</v>
      </c>
      <c r="W256">
        <f t="shared" si="21"/>
        <v>69</v>
      </c>
      <c r="X256" s="194">
        <f t="shared" si="22"/>
        <v>0.20502427211091212</v>
      </c>
      <c r="Y256" s="194">
        <f t="shared" si="23"/>
        <v>2.8439362689485367E-3</v>
      </c>
      <c r="Z256" s="252" t="str">
        <f>IF(ISNUMBER(SEARCH("C", 'Dry_Litterbag Placem_Collection'!$T183)),"YES","NO")</f>
        <v>NO</v>
      </c>
      <c r="AA256" s="252" t="str">
        <f>IF(ISNUMBER(SEARCH("H", 'Dry_Litterbag Placem_Collection'!$T183)),"YES","NO")</f>
        <v>NO</v>
      </c>
      <c r="AB256" s="252" t="str">
        <f>IF(ISNUMBER(SEARCH("R", 'Dry_Litterbag Placem_Collection'!$T183)),"YES","NO")</f>
        <v>YES</v>
      </c>
      <c r="AC256" s="252" t="str">
        <f>IF(ISNUMBER(SEARCH("C", 'Dry_Litterbag Placem_Collection'!$S183)),"YES","NO")</f>
        <v>NO</v>
      </c>
      <c r="AD256" s="252" t="str">
        <f>IF(ISNUMBER(SEARCH("H", 'Dry_Litterbag Placem_Collection'!$S183)),"YES","NO")</f>
        <v>NO</v>
      </c>
      <c r="AE256" s="252" t="str">
        <f>IF(ISNUMBER(SEARCH("R", 'Dry_Litterbag Placem_Collection'!$S183)),"YES","NO")</f>
        <v>YES</v>
      </c>
    </row>
    <row r="257" spans="2:31">
      <c r="B257" t="str">
        <f>'Final data_for_R_analysis_Dryse'!A183</f>
        <v>Dry</v>
      </c>
      <c r="C257" s="260">
        <f>'Final data_for_R_analysis_Dryse'!B183</f>
        <v>182</v>
      </c>
      <c r="D257" t="s">
        <v>3828</v>
      </c>
      <c r="E257" t="s">
        <v>22</v>
      </c>
      <c r="F257" s="382">
        <v>6</v>
      </c>
      <c r="G257" s="16">
        <f>IF('Dry_Litterbag Placem_Collection'!E184="","",'Dry_Litterbag Placem_Collection'!E184)</f>
        <v>42940</v>
      </c>
      <c r="H257" t="str">
        <f>'Final data_for_R_analysis_Dryse'!K183</f>
        <v>G309</v>
      </c>
      <c r="I257" t="str">
        <f>'Final data_for_R_analysis_Dryse'!K403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16"/>
        <v>1.8081999999999998</v>
      </c>
      <c r="M257" s="237">
        <f>AVERAGE(Ashed_controlls!$K$1:$K$11)</f>
        <v>5.5147656768714146</v>
      </c>
      <c r="N257" s="194">
        <f>IFERROR(IF(K257&gt;0,(K257*$F$32-($F$29+$F$30)),""),"")</f>
        <v>1.9182000000000001</v>
      </c>
      <c r="O257" s="16">
        <f>IF('Dry_Litterbag Placem_Collection'!G184="","",'Dry_Litterbag Placem_Collection'!G184)</f>
        <v>43009</v>
      </c>
      <c r="P257" s="194">
        <f>IFERROR(INDEX('Both teabags AfterDry'!$D$3:$D$2000,MATCH(H257,'Both teabags AfterDry'!$A$3:$A$2000,0)),"")</f>
        <v>0.88170000000000004</v>
      </c>
      <c r="Q257" s="194">
        <f>IFERROR(INDEX('Both teabags AfterDry'!$D$3:$D$2000,MATCH(I257,'Both teabags AfterDry'!$A$3:$A$2000,0)),"")</f>
        <v>1.7827</v>
      </c>
      <c r="R257" s="194">
        <f t="shared" si="17"/>
        <v>0.73110000000000008</v>
      </c>
      <c r="S257" s="194">
        <f t="shared" si="17"/>
        <v>1.6320999999999999</v>
      </c>
      <c r="T257" s="194">
        <f t="shared" si="18"/>
        <v>0.59567525716181824</v>
      </c>
      <c r="U257" s="194">
        <f t="shared" si="19"/>
        <v>0.39051394531273603</v>
      </c>
      <c r="V257" s="194">
        <f t="shared" si="20"/>
        <v>0.85084975497862569</v>
      </c>
      <c r="W257">
        <f t="shared" si="21"/>
        <v>69</v>
      </c>
      <c r="X257" s="194">
        <f t="shared" si="22"/>
        <v>0.29254720052040584</v>
      </c>
      <c r="Y257" s="194">
        <f t="shared" si="23"/>
        <v>6.9733152801753386E-3</v>
      </c>
      <c r="Z257" s="252" t="str">
        <f>IF(ISNUMBER(SEARCH("C", 'Dry_Litterbag Placem_Collection'!$T184)),"YES","NO")</f>
        <v>YES</v>
      </c>
      <c r="AA257" s="252" t="str">
        <f>IF(ISNUMBER(SEARCH("H", 'Dry_Litterbag Placem_Collection'!$T184)),"YES","NO")</f>
        <v>YES</v>
      </c>
      <c r="AB257" s="252" t="str">
        <f>IF(ISNUMBER(SEARCH("R", 'Dry_Litterbag Placem_Collection'!$T184)),"YES","NO")</f>
        <v>YES</v>
      </c>
      <c r="AC257" s="252" t="str">
        <f>IF(ISNUMBER(SEARCH("C", 'Dry_Litterbag Placem_Collection'!$S184)),"YES","NO")</f>
        <v>NO</v>
      </c>
      <c r="AD257" s="252" t="str">
        <f>IF(ISNUMBER(SEARCH("H", 'Dry_Litterbag Placem_Collection'!$S184)),"YES","NO")</f>
        <v>NO</v>
      </c>
      <c r="AE257" s="252" t="str">
        <f>IF(ISNUMBER(SEARCH("R", 'Dry_Litterbag Placem_Collection'!$S184)),"YES","NO")</f>
        <v>NO</v>
      </c>
    </row>
    <row r="258" spans="2:31">
      <c r="B258" t="str">
        <f>'Final data_for_R_analysis_Dryse'!A184</f>
        <v>Dry</v>
      </c>
      <c r="C258" s="260">
        <f>'Final data_for_R_analysis_Dryse'!B184</f>
        <v>183</v>
      </c>
      <c r="D258" t="s">
        <v>3828</v>
      </c>
      <c r="E258" t="s">
        <v>22</v>
      </c>
      <c r="F258" s="382">
        <v>7</v>
      </c>
      <c r="G258" s="16" t="str">
        <f>IF('Dry_Litterbag Placem_Collection'!E185="","",'Dry_Litterbag Placem_Collection'!E185)</f>
        <v/>
      </c>
      <c r="H258" t="str">
        <f>'Final data_for_R_analysis_Dryse'!K184</f>
        <v/>
      </c>
      <c r="I258" t="str">
        <f>'Final data_for_R_analysis_Dryse'!K404</f>
        <v/>
      </c>
      <c r="J258" t="str">
        <f>IFERROR(INDEX('Green_rooibos initial weight'!$C$5:$C$2000,MATCH(H258, 'Green_rooibos initial weight'!$A$5:$A$2000,0)),"")</f>
        <v/>
      </c>
      <c r="K258" t="str">
        <f>IFERROR(INDEX('Green_rooibos initial weight'!$C$5:$C$2000,MATCH(I258, 'Green_rooibos initial weight'!$A$5:$A$2000,0)),"")</f>
        <v/>
      </c>
      <c r="L258" s="194" t="str">
        <f t="shared" si="16"/>
        <v/>
      </c>
      <c r="M258" s="237">
        <f>AVERAGE(Ashed_controlls!$K$1:$K$11)</f>
        <v>5.5147656768714146</v>
      </c>
      <c r="N258" s="194" t="str">
        <f>IFERROR(IF(K258&gt;0,(K258*$F$32-($F$29+$F$30)),""),"")</f>
        <v/>
      </c>
      <c r="O258" s="16" t="str">
        <f>IF('Dry_Litterbag Placem_Collection'!G185="","",'Dry_Litterbag Placem_Collection'!G185)</f>
        <v/>
      </c>
      <c r="P258" s="194" t="str">
        <f>IFERROR(INDEX('Both teabags AfterDry'!$D$3:$D$2000,MATCH(H258,'Both teabags AfterDry'!$A$3:$A$2000,0)),"")</f>
        <v/>
      </c>
      <c r="Q258" s="194" t="str">
        <f>IFERROR(INDEX('Both teabags AfterDry'!$D$3:$D$2000,MATCH(I258,'Both teabags AfterDry'!$A$3:$A$2000,0)),"")</f>
        <v/>
      </c>
      <c r="R258" s="194" t="str">
        <f t="shared" si="17"/>
        <v/>
      </c>
      <c r="S258" s="194" t="str">
        <f t="shared" si="17"/>
        <v/>
      </c>
      <c r="T258" s="194" t="str">
        <f t="shared" si="18"/>
        <v/>
      </c>
      <c r="U258" s="194" t="str">
        <f t="shared" si="19"/>
        <v/>
      </c>
      <c r="V258" s="194" t="str">
        <f t="shared" si="20"/>
        <v/>
      </c>
      <c r="W258" t="str">
        <f t="shared" si="21"/>
        <v/>
      </c>
      <c r="X258" s="194" t="str">
        <f t="shared" si="22"/>
        <v/>
      </c>
      <c r="Y258" s="194" t="str">
        <f t="shared" si="23"/>
        <v/>
      </c>
      <c r="Z258" s="252" t="str">
        <f>IF(ISNUMBER(SEARCH("C", 'Dry_Litterbag Placem_Collection'!$T185)),"YES","NO")</f>
        <v>NO</v>
      </c>
      <c r="AA258" s="252" t="str">
        <f>IF(ISNUMBER(SEARCH("H", 'Dry_Litterbag Placem_Collection'!$T185)),"YES","NO")</f>
        <v>NO</v>
      </c>
      <c r="AB258" s="252" t="str">
        <f>IF(ISNUMBER(SEARCH("R", 'Dry_Litterbag Placem_Collection'!$T185)),"YES","NO")</f>
        <v>NO</v>
      </c>
      <c r="AC258" s="252" t="str">
        <f>IF(ISNUMBER(SEARCH("C", 'Dry_Litterbag Placem_Collection'!$S185)),"YES","NO")</f>
        <v>NO</v>
      </c>
      <c r="AD258" s="252" t="str">
        <f>IF(ISNUMBER(SEARCH("H", 'Dry_Litterbag Placem_Collection'!$S185)),"YES","NO")</f>
        <v>NO</v>
      </c>
      <c r="AE258" s="252" t="str">
        <f>IF(ISNUMBER(SEARCH("R", 'Dry_Litterbag Placem_Collection'!$S185)),"YES","NO")</f>
        <v>NO</v>
      </c>
    </row>
    <row r="259" spans="2:31">
      <c r="B259" t="str">
        <f>'Final data_for_R_analysis_Dryse'!A185</f>
        <v>Dry</v>
      </c>
      <c r="C259" s="260">
        <f>'Final data_for_R_analysis_Dryse'!B185</f>
        <v>184</v>
      </c>
      <c r="D259" t="s">
        <v>3828</v>
      </c>
      <c r="E259" t="s">
        <v>22</v>
      </c>
      <c r="F259" s="382">
        <v>8</v>
      </c>
      <c r="G259" s="16">
        <f>IF('Dry_Litterbag Placem_Collection'!E186="","",'Dry_Litterbag Placem_Collection'!E186)</f>
        <v>42940</v>
      </c>
      <c r="H259" t="str">
        <f>'Final data_for_R_analysis_Dryse'!K185</f>
        <v>G235</v>
      </c>
      <c r="I259" t="str">
        <f>'Final data_for_R_analysis_Dryse'!K405</f>
        <v>R179</v>
      </c>
      <c r="J259">
        <f>IFERROR(INDEX('Green_rooibos initial weight'!$C$5:$C$2000,MATCH(H259, 'Green_rooibos initial weight'!$A$5:$A$2000,0)),"")</f>
        <v>1.9259999999999999</v>
      </c>
      <c r="K259">
        <f>IFERROR(INDEX('Green_rooibos initial weight'!$C$5:$C$2000,MATCH(I259, 'Green_rooibos initial weight'!$A$5:$A$2000,0)),"")</f>
        <v>2.177</v>
      </c>
      <c r="L259" s="194">
        <f t="shared" si="16"/>
        <v>1.6761999999999999</v>
      </c>
      <c r="M259" s="237">
        <f>AVERAGE(Ashed_controlls!$K$1:$K$11)</f>
        <v>5.5147656768714146</v>
      </c>
      <c r="N259" s="194">
        <f>IFERROR(IF(K259&gt;0,(K259*$F$32-($F$29+$F$30)),""),"")</f>
        <v>1.9272</v>
      </c>
      <c r="O259" s="16">
        <f>IF('Dry_Litterbag Placem_Collection'!G186="","",'Dry_Litterbag Placem_Collection'!G186)</f>
        <v>43009</v>
      </c>
      <c r="P259" s="194">
        <f>IFERROR(INDEX('Both teabags AfterDry'!$D$3:$D$2000,MATCH(H259,'Both teabags AfterDry'!$A$3:$A$2000,0)),"")</f>
        <v>0.66620000000000001</v>
      </c>
      <c r="Q259" s="194">
        <f>IFERROR(INDEX('Both teabags AfterDry'!$D$3:$D$2000,MATCH(I259,'Both teabags AfterDry'!$A$3:$A$2000,0)),"")</f>
        <v>1.7174</v>
      </c>
      <c r="R259" s="194">
        <f t="shared" si="17"/>
        <v>0.51560000000000006</v>
      </c>
      <c r="S259" s="194">
        <f t="shared" si="17"/>
        <v>1.5668</v>
      </c>
      <c r="T259" s="194">
        <f t="shared" si="18"/>
        <v>0.69239947500298293</v>
      </c>
      <c r="U259" s="194">
        <f t="shared" si="19"/>
        <v>0.45392459643901023</v>
      </c>
      <c r="V259" s="194">
        <f t="shared" si="20"/>
        <v>0.81299294312992942</v>
      </c>
      <c r="W259">
        <f t="shared" si="21"/>
        <v>69</v>
      </c>
      <c r="X259" s="194">
        <f t="shared" si="22"/>
        <v>0.17767283253802502</v>
      </c>
      <c r="Y259" s="194">
        <f t="shared" si="23"/>
        <v>7.695526477901401E-3</v>
      </c>
      <c r="Z259" s="252" t="str">
        <f>IF(ISNUMBER(SEARCH("C", 'Dry_Litterbag Placem_Collection'!$T186)),"YES","NO")</f>
        <v>NO</v>
      </c>
      <c r="AA259" s="252" t="str">
        <f>IF(ISNUMBER(SEARCH("H", 'Dry_Litterbag Placem_Collection'!$T186)),"YES","NO")</f>
        <v>NO</v>
      </c>
      <c r="AB259" s="252" t="str">
        <f>IF(ISNUMBER(SEARCH("R", 'Dry_Litterbag Placem_Collection'!$T186)),"YES","NO")</f>
        <v>YES</v>
      </c>
      <c r="AC259" s="252" t="str">
        <f>IF(ISNUMBER(SEARCH("C", 'Dry_Litterbag Placem_Collection'!$S186)),"YES","NO")</f>
        <v>NO</v>
      </c>
      <c r="AD259" s="252" t="str">
        <f>IF(ISNUMBER(SEARCH("H", 'Dry_Litterbag Placem_Collection'!$S186)),"YES","NO")</f>
        <v>NO</v>
      </c>
      <c r="AE259" s="252" t="str">
        <f>IF(ISNUMBER(SEARCH("R", 'Dry_Litterbag Placem_Collection'!$S186)),"YES","NO")</f>
        <v>YES</v>
      </c>
    </row>
    <row r="260" spans="2:31">
      <c r="B260" t="str">
        <f>'Final data_for_R_analysis_Dryse'!A186</f>
        <v>Dry</v>
      </c>
      <c r="C260" s="260">
        <f>'Final data_for_R_analysis_Dryse'!B186</f>
        <v>185</v>
      </c>
      <c r="D260" t="s">
        <v>3829</v>
      </c>
      <c r="E260" t="s">
        <v>22</v>
      </c>
      <c r="F260" s="381">
        <v>1</v>
      </c>
      <c r="G260" s="16">
        <f>IF('Dry_Litterbag Placem_Collection'!E187="","",'Dry_Litterbag Placem_Collection'!E187)</f>
        <v>42940</v>
      </c>
      <c r="H260" t="str">
        <f>'Final data_for_R_analysis_Dryse'!K186</f>
        <v>G369</v>
      </c>
      <c r="I260" t="str">
        <f>'Final data_for_R_analysis_Dryse'!K406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16"/>
        <v>1.8721999999999999</v>
      </c>
      <c r="M260" s="237">
        <f>AVERAGE(Ashed_controlls!$K$1:$K$11)</f>
        <v>5.5147656768714146</v>
      </c>
      <c r="N260" s="194">
        <f>IFERROR(IF(K260&gt;0,(K260*$F$32-($F$29+$F$30)),""),"")</f>
        <v>1.9832000000000001</v>
      </c>
      <c r="O260" s="16">
        <f>IF('Dry_Litterbag Placem_Collection'!G187="","",'Dry_Litterbag Placem_Collection'!G187)</f>
        <v>43009</v>
      </c>
      <c r="P260" s="194" t="str">
        <f>IFERROR(INDEX('Both teabags AfterDry'!$D$3:$D$2000,MATCH(H260,'Both teabags AfterDry'!$A$3:$A$2000,0)),"")</f>
        <v/>
      </c>
      <c r="Q260" s="194" t="str">
        <f>IFERROR(INDEX('Both teabags AfterDry'!$D$3:$D$2000,MATCH(I260,'Both teabags AfterDry'!$A$3:$A$2000,0)),"")</f>
        <v/>
      </c>
      <c r="R260" s="194" t="str">
        <f t="shared" si="17"/>
        <v/>
      </c>
      <c r="S260" s="194" t="str">
        <f t="shared" si="17"/>
        <v/>
      </c>
      <c r="T260" s="194" t="str">
        <f t="shared" si="18"/>
        <v/>
      </c>
      <c r="U260" s="194" t="str">
        <f t="shared" si="19"/>
        <v/>
      </c>
      <c r="V260" s="194" t="str">
        <f t="shared" si="20"/>
        <v/>
      </c>
      <c r="W260">
        <f t="shared" si="21"/>
        <v>69</v>
      </c>
      <c r="X260" s="194" t="str">
        <f t="shared" si="22"/>
        <v/>
      </c>
      <c r="Y260" s="194" t="str">
        <f t="shared" si="23"/>
        <v/>
      </c>
      <c r="Z260" s="252" t="str">
        <f>IF(ISNUMBER(SEARCH("C", 'Dry_Litterbag Placem_Collection'!$T187)),"YES","NO")</f>
        <v>NO</v>
      </c>
      <c r="AA260" s="252" t="str">
        <f>IF(ISNUMBER(SEARCH("H", 'Dry_Litterbag Placem_Collection'!$T187)),"YES","NO")</f>
        <v>YES</v>
      </c>
      <c r="AB260" s="252" t="str">
        <f>IF(ISNUMBER(SEARCH("R", 'Dry_Litterbag Placem_Collection'!$T187)),"YES","NO")</f>
        <v>NO</v>
      </c>
      <c r="AC260" s="252" t="str">
        <f>IF(ISNUMBER(SEARCH("C", 'Dry_Litterbag Placem_Collection'!$S187)),"YES","NO")</f>
        <v>NO</v>
      </c>
      <c r="AD260" s="252" t="str">
        <f>IF(ISNUMBER(SEARCH("H", 'Dry_Litterbag Placem_Collection'!$S187)),"YES","NO")</f>
        <v>NO</v>
      </c>
      <c r="AE260" s="252" t="str">
        <f>IF(ISNUMBER(SEARCH("R", 'Dry_Litterbag Placem_Collection'!$S187)),"YES","NO")</f>
        <v>NO</v>
      </c>
    </row>
    <row r="261" spans="2:31">
      <c r="B261" t="str">
        <f>'Final data_for_R_analysis_Dryse'!A187</f>
        <v>Dry</v>
      </c>
      <c r="C261" s="260">
        <f>'Final data_for_R_analysis_Dryse'!B187</f>
        <v>186</v>
      </c>
      <c r="D261" t="s">
        <v>3829</v>
      </c>
      <c r="E261" t="s">
        <v>22</v>
      </c>
      <c r="F261" s="381">
        <v>2</v>
      </c>
      <c r="G261" s="16">
        <f>IF('Dry_Litterbag Placem_Collection'!E188="","",'Dry_Litterbag Placem_Collection'!E188)</f>
        <v>42940</v>
      </c>
      <c r="H261" t="str">
        <f>'Final data_for_R_analysis_Dryse'!K187</f>
        <v>G295</v>
      </c>
      <c r="I261" t="str">
        <f>'Final data_for_R_analysis_Dryse'!K407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16"/>
        <v>1.7881999999999998</v>
      </c>
      <c r="M261" s="237">
        <f>AVERAGE(Ashed_controlls!$K$1:$K$11)</f>
        <v>5.5147656768714146</v>
      </c>
      <c r="N261" s="194">
        <f>IFERROR(IF(K261&gt;0,(K261*$F$32-($F$29+$F$30)),""),"")</f>
        <v>1.9121999999999999</v>
      </c>
      <c r="O261" s="16">
        <f>IF('Dry_Litterbag Placem_Collection'!G188="","",'Dry_Litterbag Placem_Collection'!G188)</f>
        <v>43009</v>
      </c>
      <c r="P261" s="194">
        <f>IFERROR(INDEX('Both teabags AfterDry'!$D$3:$D$2000,MATCH(H261,'Both teabags AfterDry'!$A$3:$A$2000,0)),"")</f>
        <v>0.92659999999999998</v>
      </c>
      <c r="Q261" s="194">
        <f>IFERROR(INDEX('Both teabags AfterDry'!$D$3:$D$2000,MATCH(I261,'Both teabags AfterDry'!$A$3:$A$2000,0)),"")</f>
        <v>1.7592000000000001</v>
      </c>
      <c r="R261" s="194">
        <f t="shared" si="17"/>
        <v>0.77600000000000002</v>
      </c>
      <c r="S261" s="194">
        <f t="shared" si="17"/>
        <v>1.6086</v>
      </c>
      <c r="T261" s="194">
        <f t="shared" si="18"/>
        <v>0.56604406665921037</v>
      </c>
      <c r="U261" s="194">
        <f t="shared" si="19"/>
        <v>0.3710882717290786</v>
      </c>
      <c r="V261" s="194">
        <f t="shared" si="20"/>
        <v>0.84122999686225297</v>
      </c>
      <c r="W261">
        <f t="shared" si="21"/>
        <v>69</v>
      </c>
      <c r="X261" s="194">
        <f t="shared" si="22"/>
        <v>0.32773863817195914</v>
      </c>
      <c r="Y261" s="194">
        <f t="shared" si="23"/>
        <v>8.0920804008411309E-3</v>
      </c>
      <c r="Z261" s="252" t="str">
        <f>IF(ISNUMBER(SEARCH("C", 'Dry_Litterbag Placem_Collection'!$T188)),"YES","NO")</f>
        <v>YES</v>
      </c>
      <c r="AA261" s="252" t="str">
        <f>IF(ISNUMBER(SEARCH("H", 'Dry_Litterbag Placem_Collection'!$T188)),"YES","NO")</f>
        <v>YES</v>
      </c>
      <c r="AB261" s="252" t="str">
        <f>IF(ISNUMBER(SEARCH("R", 'Dry_Litterbag Placem_Collection'!$T188)),"YES","NO")</f>
        <v>NO</v>
      </c>
      <c r="AC261" s="252" t="str">
        <f>IF(ISNUMBER(SEARCH("C", 'Dry_Litterbag Placem_Collection'!$S188)),"YES","NO")</f>
        <v>NO</v>
      </c>
      <c r="AD261" s="252" t="str">
        <f>IF(ISNUMBER(SEARCH("H", 'Dry_Litterbag Placem_Collection'!$S188)),"YES","NO")</f>
        <v>YES</v>
      </c>
      <c r="AE261" s="252" t="str">
        <f>IF(ISNUMBER(SEARCH("R", 'Dry_Litterbag Placem_Collection'!$S188)),"YES","NO")</f>
        <v>YES</v>
      </c>
    </row>
    <row r="262" spans="2:31">
      <c r="B262" t="str">
        <f>'Final data_for_R_analysis_Dryse'!A188</f>
        <v>Dry</v>
      </c>
      <c r="C262" s="260">
        <f>'Final data_for_R_analysis_Dryse'!B188</f>
        <v>187</v>
      </c>
      <c r="D262" t="s">
        <v>3829</v>
      </c>
      <c r="E262" t="s">
        <v>22</v>
      </c>
      <c r="F262" s="381">
        <v>3</v>
      </c>
      <c r="G262" s="16">
        <f>IF('Dry_Litterbag Placem_Collection'!E189="","",'Dry_Litterbag Placem_Collection'!E189)</f>
        <v>42940</v>
      </c>
      <c r="H262" t="str">
        <f>'Final data_for_R_analysis_Dryse'!K188</f>
        <v>G242</v>
      </c>
      <c r="I262" t="str">
        <f>'Final data_for_R_analysis_Dryse'!K408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16"/>
        <v>1.6972</v>
      </c>
      <c r="M262" s="237">
        <f>AVERAGE(Ashed_controlls!$K$1:$K$11)</f>
        <v>5.5147656768714146</v>
      </c>
      <c r="N262" s="194">
        <f>IFERROR(IF(K262&gt;0,(K262*$F$32-($F$29+$F$30)),""),"")</f>
        <v>1.9971999999999999</v>
      </c>
      <c r="O262" s="16">
        <f>IF('Dry_Litterbag Placem_Collection'!G189="","",'Dry_Litterbag Placem_Collection'!G189)</f>
        <v>43009</v>
      </c>
      <c r="P262" s="194">
        <f>IFERROR(INDEX('Both teabags AfterDry'!$D$3:$D$2000,MATCH(H262,'Both teabags AfterDry'!$A$3:$A$2000,0)),"")</f>
        <v>0.70840000000000003</v>
      </c>
      <c r="Q262" s="194">
        <f>IFERROR(INDEX('Both teabags AfterDry'!$D$3:$D$2000,MATCH(I262,'Both teabags AfterDry'!$A$3:$A$2000,0)),"")</f>
        <v>1.7075</v>
      </c>
      <c r="R262" s="194">
        <f t="shared" si="17"/>
        <v>0.55780000000000007</v>
      </c>
      <c r="S262" s="194">
        <f t="shared" si="17"/>
        <v>1.5569</v>
      </c>
      <c r="T262" s="194">
        <f t="shared" si="18"/>
        <v>0.67134103228847508</v>
      </c>
      <c r="U262" s="194">
        <f t="shared" si="19"/>
        <v>0.44011906154778896</v>
      </c>
      <c r="V262" s="194">
        <f t="shared" si="20"/>
        <v>0.77954135790106149</v>
      </c>
      <c r="W262">
        <f t="shared" si="21"/>
        <v>69</v>
      </c>
      <c r="X262" s="194">
        <f t="shared" si="22"/>
        <v>0.20268285951487519</v>
      </c>
      <c r="Y262" s="194">
        <f t="shared" si="23"/>
        <v>1.0071919983186493E-2</v>
      </c>
      <c r="Z262" s="252" t="str">
        <f>IF(ISNUMBER(SEARCH("C", 'Dry_Litterbag Placem_Collection'!$T189)),"YES","NO")</f>
        <v>NO</v>
      </c>
      <c r="AA262" s="252" t="str">
        <f>IF(ISNUMBER(SEARCH("H", 'Dry_Litterbag Placem_Collection'!$T189)),"YES","NO")</f>
        <v>NO</v>
      </c>
      <c r="AB262" s="252" t="str">
        <f>IF(ISNUMBER(SEARCH("R", 'Dry_Litterbag Placem_Collection'!$T189)),"YES","NO")</f>
        <v>NO</v>
      </c>
      <c r="AC262" s="252" t="str">
        <f>IF(ISNUMBER(SEARCH("C", 'Dry_Litterbag Placem_Collection'!$S189)),"YES","NO")</f>
        <v>NO</v>
      </c>
      <c r="AD262" s="252" t="str">
        <f>IF(ISNUMBER(SEARCH("H", 'Dry_Litterbag Placem_Collection'!$S189)),"YES","NO")</f>
        <v>NO</v>
      </c>
      <c r="AE262" s="252" t="str">
        <f>IF(ISNUMBER(SEARCH("R", 'Dry_Litterbag Placem_Collection'!$S189)),"YES","NO")</f>
        <v>YES</v>
      </c>
    </row>
    <row r="263" spans="2:31">
      <c r="B263" t="str">
        <f>'Final data_for_R_analysis_Dryse'!A189</f>
        <v>Dry</v>
      </c>
      <c r="C263" s="260">
        <f>'Final data_for_R_analysis_Dryse'!B189</f>
        <v>188</v>
      </c>
      <c r="D263" t="s">
        <v>3829</v>
      </c>
      <c r="E263" t="s">
        <v>22</v>
      </c>
      <c r="F263" s="382">
        <v>4</v>
      </c>
      <c r="G263" s="16">
        <f>IF('Dry_Litterbag Placem_Collection'!E190="","",'Dry_Litterbag Placem_Collection'!E190)</f>
        <v>42940</v>
      </c>
      <c r="H263" t="str">
        <f>'Final data_for_R_analysis_Dryse'!K189</f>
        <v>G146</v>
      </c>
      <c r="I263" t="str">
        <f>'Final data_for_R_analysis_Dryse'!K409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16"/>
        <v>1.8031999999999999</v>
      </c>
      <c r="M263" s="237">
        <f>AVERAGE(Ashed_controlls!$K$1:$K$11)</f>
        <v>5.5147656768714146</v>
      </c>
      <c r="N263" s="194">
        <f>IFERROR(IF(K263&gt;0,(K263*$F$32-($F$29+$F$30)),""),"")</f>
        <v>1.9592000000000001</v>
      </c>
      <c r="O263" s="16">
        <f>IF('Dry_Litterbag Placem_Collection'!G190="","",'Dry_Litterbag Placem_Collection'!G190)</f>
        <v>43009</v>
      </c>
      <c r="P263" s="194">
        <f>IFERROR(INDEX('Both teabags AfterDry'!$D$3:$D$2000,MATCH(H263,'Both teabags AfterDry'!$A$3:$A$2000,0)),"")</f>
        <v>0.91069999999999995</v>
      </c>
      <c r="Q263" s="194">
        <f>IFERROR(INDEX('Both teabags AfterDry'!$D$3:$D$2000,MATCH(I263,'Both teabags AfterDry'!$A$3:$A$2000,0)),"")</f>
        <v>0</v>
      </c>
      <c r="R263" s="194">
        <f t="shared" si="17"/>
        <v>0.7601</v>
      </c>
      <c r="S263" s="194" t="str">
        <f t="shared" si="17"/>
        <v/>
      </c>
      <c r="T263" s="194">
        <f t="shared" si="18"/>
        <v>0.57847160603371783</v>
      </c>
      <c r="U263" s="194">
        <f t="shared" si="19"/>
        <v>0.37923554219787681</v>
      </c>
      <c r="V263" s="194" t="str">
        <f t="shared" si="20"/>
        <v/>
      </c>
      <c r="W263">
        <f t="shared" si="21"/>
        <v>69</v>
      </c>
      <c r="X263" s="194">
        <f t="shared" si="22"/>
        <v>0.31297909022123771</v>
      </c>
      <c r="Y263" s="194" t="str">
        <f t="shared" si="23"/>
        <v/>
      </c>
      <c r="Z263" s="252" t="str">
        <f>IF(ISNUMBER(SEARCH("C", 'Dry_Litterbag Placem_Collection'!$T190)),"YES","NO")</f>
        <v>YES</v>
      </c>
      <c r="AA263" s="252" t="str">
        <f>IF(ISNUMBER(SEARCH("H", 'Dry_Litterbag Placem_Collection'!$T190)),"YES","NO")</f>
        <v>YES</v>
      </c>
      <c r="AB263" s="252" t="str">
        <f>IF(ISNUMBER(SEARCH("R", 'Dry_Litterbag Placem_Collection'!$T190)),"YES","NO")</f>
        <v>YES</v>
      </c>
      <c r="AC263" s="252" t="str">
        <f>IF(ISNUMBER(SEARCH("C", 'Dry_Litterbag Placem_Collection'!$S190)),"YES","NO")</f>
        <v>NO</v>
      </c>
      <c r="AD263" s="252" t="str">
        <f>IF(ISNUMBER(SEARCH("H", 'Dry_Litterbag Placem_Collection'!$S190)),"YES","NO")</f>
        <v>YES</v>
      </c>
      <c r="AE263" s="252" t="str">
        <f>IF(ISNUMBER(SEARCH("R", 'Dry_Litterbag Placem_Collection'!$S190)),"YES","NO")</f>
        <v>YES</v>
      </c>
    </row>
    <row r="264" spans="2:31">
      <c r="B264" t="str">
        <f>'Final data_for_R_analysis_Dryse'!A190</f>
        <v>Dry</v>
      </c>
      <c r="C264" s="260">
        <f>'Final data_for_R_analysis_Dryse'!B190</f>
        <v>189</v>
      </c>
      <c r="D264" t="s">
        <v>3829</v>
      </c>
      <c r="E264" t="s">
        <v>22</v>
      </c>
      <c r="F264" s="382">
        <v>5</v>
      </c>
      <c r="G264" s="16">
        <f>IF('Dry_Litterbag Placem_Collection'!E191="","",'Dry_Litterbag Placem_Collection'!E191)</f>
        <v>42940</v>
      </c>
      <c r="H264" t="str">
        <f>'Final data_for_R_analysis_Dryse'!K190</f>
        <v>G144</v>
      </c>
      <c r="I264" t="str">
        <f>'Final data_for_R_analysis_Dryse'!K410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16"/>
        <v>1.7732000000000001</v>
      </c>
      <c r="M264" s="237">
        <f>AVERAGE(Ashed_controlls!$K$1:$K$11)</f>
        <v>5.5147656768714146</v>
      </c>
      <c r="N264" s="194">
        <f>IFERROR(IF(K264&gt;0,(K264*$F$32-($F$29+$F$30)),""),"")</f>
        <v>2.0021999999999998</v>
      </c>
      <c r="O264" s="16">
        <f>IF('Dry_Litterbag Placem_Collection'!G191="","",'Dry_Litterbag Placem_Collection'!G191)</f>
        <v>43009</v>
      </c>
      <c r="P264" s="194">
        <f>IFERROR(INDEX('Both teabags AfterDry'!$D$3:$D$2000,MATCH(H264,'Both teabags AfterDry'!$A$3:$A$2000,0)),"")</f>
        <v>0.68520000000000003</v>
      </c>
      <c r="Q264" s="194">
        <f>IFERROR(INDEX('Both teabags AfterDry'!$D$3:$D$2000,MATCH(I264,'Both teabags AfterDry'!$A$3:$A$2000,0)),"")</f>
        <v>0</v>
      </c>
      <c r="R264" s="194">
        <f t="shared" si="17"/>
        <v>0.53459999999999996</v>
      </c>
      <c r="S264" s="194" t="str">
        <f t="shared" si="17"/>
        <v/>
      </c>
      <c r="T264" s="194">
        <f t="shared" si="18"/>
        <v>0.69851116625310183</v>
      </c>
      <c r="U264" s="194">
        <f t="shared" si="19"/>
        <v>0.45793131089276989</v>
      </c>
      <c r="V264" s="194" t="str">
        <f t="shared" si="20"/>
        <v/>
      </c>
      <c r="W264">
        <f t="shared" si="21"/>
        <v>69</v>
      </c>
      <c r="X264" s="194">
        <f t="shared" si="22"/>
        <v>0.17041429186092416</v>
      </c>
      <c r="Y264" s="194" t="str">
        <f t="shared" si="23"/>
        <v/>
      </c>
      <c r="Z264" s="252" t="str">
        <f>IF(ISNUMBER(SEARCH("C", 'Dry_Litterbag Placem_Collection'!$T191)),"YES","NO")</f>
        <v>NO</v>
      </c>
      <c r="AA264" s="252" t="str">
        <f>IF(ISNUMBER(SEARCH("H", 'Dry_Litterbag Placem_Collection'!$T191)),"YES","NO")</f>
        <v>YES</v>
      </c>
      <c r="AB264" s="252" t="str">
        <f>IF(ISNUMBER(SEARCH("R", 'Dry_Litterbag Placem_Collection'!$T191)),"YES","NO")</f>
        <v>YES</v>
      </c>
      <c r="AC264" s="252" t="str">
        <f>IF(ISNUMBER(SEARCH("C", 'Dry_Litterbag Placem_Collection'!$S191)),"YES","NO")</f>
        <v>NO</v>
      </c>
      <c r="AD264" s="252" t="str">
        <f>IF(ISNUMBER(SEARCH("H", 'Dry_Litterbag Placem_Collection'!$S191)),"YES","NO")</f>
        <v>NO</v>
      </c>
      <c r="AE264" s="252" t="str">
        <f>IF(ISNUMBER(SEARCH("R", 'Dry_Litterbag Placem_Collection'!$S191)),"YES","NO")</f>
        <v>YES</v>
      </c>
    </row>
    <row r="265" spans="2:31">
      <c r="B265" t="str">
        <f>'Final data_for_R_analysis_Dryse'!A191</f>
        <v>Dry</v>
      </c>
      <c r="C265" s="260">
        <f>'Final data_for_R_analysis_Dryse'!B191</f>
        <v>190</v>
      </c>
      <c r="D265" t="s">
        <v>3829</v>
      </c>
      <c r="E265" t="s">
        <v>22</v>
      </c>
      <c r="F265" s="382">
        <v>6</v>
      </c>
      <c r="G265" s="16">
        <f>IF('Dry_Litterbag Placem_Collection'!E192="","",'Dry_Litterbag Placem_Collection'!E192)</f>
        <v>42940</v>
      </c>
      <c r="H265" t="str">
        <f>'Final data_for_R_analysis_Dryse'!K191</f>
        <v>G171</v>
      </c>
      <c r="I265" t="str">
        <f>'Final data_for_R_analysis_Dryse'!K411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16"/>
        <v>1.6741999999999999</v>
      </c>
      <c r="M265" s="237">
        <f>AVERAGE(Ashed_controlls!$K$1:$K$11)</f>
        <v>5.5147656768714146</v>
      </c>
      <c r="N265" s="194">
        <f>IFERROR(IF(K265&gt;0,(K265*$F$32-($F$29+$F$30)),""),"")</f>
        <v>1.9472</v>
      </c>
      <c r="O265" s="16">
        <f>IF('Dry_Litterbag Placem_Collection'!G192="","",'Dry_Litterbag Placem_Collection'!G192)</f>
        <v>43009</v>
      </c>
      <c r="P265" s="194">
        <f>IFERROR(INDEX('Both teabags AfterDry'!$D$3:$D$2000,MATCH(H265,'Both teabags AfterDry'!$A$3:$A$2000,0)),"")</f>
        <v>0.75309999999999999</v>
      </c>
      <c r="Q265" s="194">
        <f>IFERROR(INDEX('Both teabags AfterDry'!$D$3:$D$2000,MATCH(I265,'Both teabags AfterDry'!$A$3:$A$2000,0)),"")</f>
        <v>1.7444999999999999</v>
      </c>
      <c r="R265" s="194">
        <f t="shared" si="17"/>
        <v>0.60250000000000004</v>
      </c>
      <c r="S265" s="194">
        <f t="shared" si="17"/>
        <v>1.5938999999999999</v>
      </c>
      <c r="T265" s="194">
        <f t="shared" si="18"/>
        <v>0.64012662764305328</v>
      </c>
      <c r="U265" s="194">
        <f t="shared" si="19"/>
        <v>0.41965546135269055</v>
      </c>
      <c r="V265" s="194">
        <f t="shared" si="20"/>
        <v>0.81855998356614623</v>
      </c>
      <c r="W265">
        <f t="shared" si="21"/>
        <v>69</v>
      </c>
      <c r="X265" s="194">
        <f t="shared" si="22"/>
        <v>0.23975459899874907</v>
      </c>
      <c r="Y265" s="194">
        <f t="shared" si="23"/>
        <v>8.206645645815561E-3</v>
      </c>
      <c r="Z265" s="252" t="str">
        <f>IF(ISNUMBER(SEARCH("C", 'Dry_Litterbag Placem_Collection'!$T192)),"YES","NO")</f>
        <v>NO</v>
      </c>
      <c r="AA265" s="252" t="str">
        <f>IF(ISNUMBER(SEARCH("H", 'Dry_Litterbag Placem_Collection'!$T192)),"YES","NO")</f>
        <v>NO</v>
      </c>
      <c r="AB265" s="252" t="str">
        <f>IF(ISNUMBER(SEARCH("R", 'Dry_Litterbag Placem_Collection'!$T192)),"YES","NO")</f>
        <v>NO</v>
      </c>
      <c r="AC265" s="252" t="str">
        <f>IF(ISNUMBER(SEARCH("C", 'Dry_Litterbag Placem_Collection'!$S192)),"YES","NO")</f>
        <v>NO</v>
      </c>
      <c r="AD265" s="252" t="str">
        <f>IF(ISNUMBER(SEARCH("H", 'Dry_Litterbag Placem_Collection'!$S192)),"YES","NO")</f>
        <v>NO</v>
      </c>
      <c r="AE265" s="252" t="str">
        <f>IF(ISNUMBER(SEARCH("R", 'Dry_Litterbag Placem_Collection'!$S192)),"YES","NO")</f>
        <v>NO</v>
      </c>
    </row>
    <row r="266" spans="2:31">
      <c r="B266" t="str">
        <f>'Final data_for_R_analysis_Dryse'!A192</f>
        <v>Dry</v>
      </c>
      <c r="C266" s="260">
        <f>'Final data_for_R_analysis_Dryse'!B192</f>
        <v>191</v>
      </c>
      <c r="D266" t="s">
        <v>3829</v>
      </c>
      <c r="E266" t="s">
        <v>22</v>
      </c>
      <c r="F266" s="382">
        <v>7</v>
      </c>
      <c r="G266" s="16">
        <f>IF('Dry_Litterbag Placem_Collection'!E193="","",'Dry_Litterbag Placem_Collection'!E193)</f>
        <v>42940</v>
      </c>
      <c r="H266" t="str">
        <f>'Final data_for_R_analysis_Dryse'!K192</f>
        <v>G232</v>
      </c>
      <c r="I266" t="str">
        <f>'Final data_for_R_analysis_Dryse'!K412</f>
        <v>R715</v>
      </c>
      <c r="J266">
        <f>IFERROR(INDEX('Green_rooibos initial weight'!$C$5:$C$2000,MATCH(H266, 'Green_rooibos initial weight'!$A$5:$A$2000,0)),"")</f>
        <v>2.04</v>
      </c>
      <c r="K266">
        <f>IFERROR(INDEX('Green_rooibos initial weight'!$C$5:$C$2000,MATCH(I266, 'Green_rooibos initial weight'!$A$5:$A$2000,0)),"")</f>
        <v>2.161</v>
      </c>
      <c r="L266" s="194">
        <f t="shared" si="16"/>
        <v>1.7902</v>
      </c>
      <c r="M266" s="237">
        <f>AVERAGE(Ashed_controlls!$K$1:$K$11)</f>
        <v>5.5147656768714146</v>
      </c>
      <c r="N266" s="194">
        <f>IFERROR(IF(K266&gt;0,(K266*$F$32-($F$29+$F$30)),""),"")</f>
        <v>1.9112</v>
      </c>
      <c r="O266" s="16">
        <f>IF('Dry_Litterbag Placem_Collection'!G193="","",'Dry_Litterbag Placem_Collection'!G193)</f>
        <v>43009</v>
      </c>
      <c r="P266" s="194">
        <f>IFERROR(INDEX('Both teabags AfterDry'!$D$3:$D$2000,MATCH(H266,'Both teabags AfterDry'!$A$3:$A$2000,0)),"")</f>
        <v>0.80369999999999997</v>
      </c>
      <c r="Q266" s="194">
        <f>IFERROR(INDEX('Both teabags AfterDry'!$D$3:$D$2000,MATCH(I266,'Both teabags AfterDry'!$A$3:$A$2000,0)),"")</f>
        <v>1.9014</v>
      </c>
      <c r="R266" s="194">
        <f t="shared" si="17"/>
        <v>0.65310000000000001</v>
      </c>
      <c r="S266" s="194">
        <f t="shared" si="17"/>
        <v>1.7507999999999999</v>
      </c>
      <c r="T266" s="194">
        <f t="shared" si="18"/>
        <v>0.63518042676795883</v>
      </c>
      <c r="U266" s="194">
        <f t="shared" si="19"/>
        <v>0.41641282134906571</v>
      </c>
      <c r="V266" s="194">
        <f t="shared" si="20"/>
        <v>0.91607367099204684</v>
      </c>
      <c r="W266">
        <f t="shared" si="21"/>
        <v>69</v>
      </c>
      <c r="X266" s="194">
        <f t="shared" si="22"/>
        <v>0.24562894683140279</v>
      </c>
      <c r="Y266" s="194">
        <f t="shared" si="23"/>
        <v>3.2619984417107521E-3</v>
      </c>
      <c r="Z266" s="252" t="str">
        <f>IF(ISNUMBER(SEARCH("C", 'Dry_Litterbag Placem_Collection'!$T193)),"YES","NO")</f>
        <v>NO</v>
      </c>
      <c r="AA266" s="252" t="str">
        <f>IF(ISNUMBER(SEARCH("H", 'Dry_Litterbag Placem_Collection'!$T193)),"YES","NO")</f>
        <v>NO</v>
      </c>
      <c r="AB266" s="252" t="str">
        <f>IF(ISNUMBER(SEARCH("R", 'Dry_Litterbag Placem_Collection'!$T193)),"YES","NO")</f>
        <v>NO</v>
      </c>
      <c r="AC266" s="252" t="str">
        <f>IF(ISNUMBER(SEARCH("C", 'Dry_Litterbag Placem_Collection'!$S193)),"YES","NO")</f>
        <v>NO</v>
      </c>
      <c r="AD266" s="252" t="str">
        <f>IF(ISNUMBER(SEARCH("H", 'Dry_Litterbag Placem_Collection'!$S193)),"YES","NO")</f>
        <v>NO</v>
      </c>
      <c r="AE266" s="252" t="str">
        <f>IF(ISNUMBER(SEARCH("R", 'Dry_Litterbag Placem_Collection'!$S193)),"YES","NO")</f>
        <v>NO</v>
      </c>
    </row>
    <row r="267" spans="2:31">
      <c r="B267" t="str">
        <f>'Final data_for_R_analysis_Dryse'!A193</f>
        <v>Dry</v>
      </c>
      <c r="C267" s="260">
        <f>'Final data_for_R_analysis_Dryse'!B193</f>
        <v>192</v>
      </c>
      <c r="D267" t="s">
        <v>3829</v>
      </c>
      <c r="E267" t="s">
        <v>22</v>
      </c>
      <c r="F267" s="382">
        <v>8</v>
      </c>
      <c r="G267" s="16" t="str">
        <f>IF('Dry_Litterbag Placem_Collection'!E194="","",'Dry_Litterbag Placem_Collection'!E194)</f>
        <v/>
      </c>
      <c r="H267" t="str">
        <f>'Final data_for_R_analysis_Dryse'!K193</f>
        <v/>
      </c>
      <c r="I267" t="str">
        <f>'Final data_for_R_analysis_Dryse'!K413</f>
        <v/>
      </c>
      <c r="J267" t="str">
        <f>IFERROR(INDEX('Green_rooibos initial weight'!$C$5:$C$2000,MATCH(H267, 'Green_rooibos initial weight'!$A$5:$A$2000,0)),"")</f>
        <v/>
      </c>
      <c r="K267" t="str">
        <f>IFERROR(INDEX('Green_rooibos initial weight'!$C$5:$C$2000,MATCH(I267, 'Green_rooibos initial weight'!$A$5:$A$2000,0)),"")</f>
        <v/>
      </c>
      <c r="L267" s="194" t="str">
        <f t="shared" si="16"/>
        <v/>
      </c>
      <c r="M267" s="237">
        <f>AVERAGE(Ashed_controlls!$K$1:$K$11)</f>
        <v>5.5147656768714146</v>
      </c>
      <c r="N267" s="194" t="str">
        <f>IFERROR(IF(K267&gt;0,(K267*$F$32-($F$29+$F$30)),""),"")</f>
        <v/>
      </c>
      <c r="O267" s="16" t="str">
        <f>IF('Dry_Litterbag Placem_Collection'!G194="","",'Dry_Litterbag Placem_Collection'!G194)</f>
        <v/>
      </c>
      <c r="P267" s="194" t="str">
        <f>IFERROR(INDEX('Both teabags AfterDry'!$D$3:$D$2000,MATCH(H267,'Both teabags AfterDry'!$A$3:$A$2000,0)),"")</f>
        <v/>
      </c>
      <c r="Q267" s="194" t="str">
        <f>IFERROR(INDEX('Both teabags AfterDry'!$D$3:$D$2000,MATCH(I267,'Both teabags AfterDry'!$A$3:$A$2000,0)),"")</f>
        <v/>
      </c>
      <c r="R267" s="194" t="str">
        <f t="shared" si="17"/>
        <v/>
      </c>
      <c r="S267" s="194" t="str">
        <f t="shared" si="17"/>
        <v/>
      </c>
      <c r="T267" s="194" t="str">
        <f t="shared" si="18"/>
        <v/>
      </c>
      <c r="U267" s="194" t="str">
        <f t="shared" si="19"/>
        <v/>
      </c>
      <c r="V267" s="194" t="str">
        <f t="shared" si="20"/>
        <v/>
      </c>
      <c r="W267" t="str">
        <f t="shared" si="21"/>
        <v/>
      </c>
      <c r="X267" s="194" t="str">
        <f t="shared" si="22"/>
        <v/>
      </c>
      <c r="Y267" s="194" t="str">
        <f t="shared" si="23"/>
        <v/>
      </c>
      <c r="Z267" s="252" t="str">
        <f>IF(ISNUMBER(SEARCH("C", 'Dry_Litterbag Placem_Collection'!$T194)),"YES","NO")</f>
        <v>NO</v>
      </c>
      <c r="AA267" s="252" t="str">
        <f>IF(ISNUMBER(SEARCH("H", 'Dry_Litterbag Placem_Collection'!$T194)),"YES","NO")</f>
        <v>NO</v>
      </c>
      <c r="AB267" s="252" t="str">
        <f>IF(ISNUMBER(SEARCH("R", 'Dry_Litterbag Placem_Collection'!$T194)),"YES","NO")</f>
        <v>NO</v>
      </c>
      <c r="AC267" s="252" t="str">
        <f>IF(ISNUMBER(SEARCH("C", 'Dry_Litterbag Placem_Collection'!$S194)),"YES","NO")</f>
        <v>NO</v>
      </c>
      <c r="AD267" s="252" t="str">
        <f>IF(ISNUMBER(SEARCH("H", 'Dry_Litterbag Placem_Collection'!$S194)),"YES","NO")</f>
        <v>NO</v>
      </c>
      <c r="AE267" s="252" t="str">
        <f>IF(ISNUMBER(SEARCH("R", 'Dry_Litterbag Placem_Collection'!$S194)),"YES","NO")</f>
        <v>NO</v>
      </c>
    </row>
    <row r="268" spans="2:31">
      <c r="B268" t="str">
        <f>'Final data_for_R_analysis_Dryse'!A194</f>
        <v>Dry</v>
      </c>
      <c r="C268" s="260">
        <f>'Final data_for_R_analysis_Dryse'!B194</f>
        <v>193</v>
      </c>
      <c r="D268" t="s">
        <v>2440</v>
      </c>
      <c r="E268" t="s">
        <v>22</v>
      </c>
      <c r="F268" s="382">
        <v>1</v>
      </c>
      <c r="G268" s="16">
        <f>IF('Dry_Litterbag Placem_Collection'!E195="","",'Dry_Litterbag Placem_Collection'!E195)</f>
        <v>42942</v>
      </c>
      <c r="H268" t="str">
        <f>'Final data_for_R_analysis_Dryse'!K194</f>
        <v>G257</v>
      </c>
      <c r="I268" t="str">
        <f>'Final data_for_R_analysis_Dryse'!K414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16"/>
        <v>1.6821999999999999</v>
      </c>
      <c r="M268" s="237">
        <f>AVERAGE(Ashed_controlls!$K$1:$K$11)</f>
        <v>5.5147656768714146</v>
      </c>
      <c r="N268" s="194">
        <f>IFERROR(IF(K268&gt;0,(K268*$F$32-($F$29+$F$30)),""),"")</f>
        <v>1.9291999999999998</v>
      </c>
      <c r="O268" s="16">
        <f>IF('Dry_Litterbag Placem_Collection'!G195="","",'Dry_Litterbag Placem_Collection'!G195)</f>
        <v>43004</v>
      </c>
      <c r="P268" s="194">
        <f>IFERROR(INDEX('Both teabags AfterDry'!$D$3:$D$2000,MATCH(H268,'Both teabags AfterDry'!$A$3:$A$2000,0)),"")</f>
        <v>0.67</v>
      </c>
      <c r="Q268" s="194">
        <f>IFERROR(INDEX('Both teabags AfterDry'!$D$3:$D$2000,MATCH(I268,'Both teabags AfterDry'!$A$3:$A$2000,0)),"")</f>
        <v>1.42</v>
      </c>
      <c r="R268" s="194">
        <f t="shared" si="17"/>
        <v>0.51940000000000008</v>
      </c>
      <c r="S268" s="194">
        <f t="shared" si="17"/>
        <v>1.2693999999999999</v>
      </c>
      <c r="T268" s="194">
        <f t="shared" si="18"/>
        <v>0.6912376649625489</v>
      </c>
      <c r="U268" s="194">
        <f t="shared" si="19"/>
        <v>0.45316293474979458</v>
      </c>
      <c r="V268" s="194">
        <f t="shared" si="20"/>
        <v>0.65799295044578066</v>
      </c>
      <c r="W268">
        <f t="shared" si="21"/>
        <v>62</v>
      </c>
      <c r="X268" s="194">
        <f t="shared" si="22"/>
        <v>0.17905265443877805</v>
      </c>
      <c r="Y268" s="194">
        <f t="shared" si="23"/>
        <v>2.2666421821556374E-2</v>
      </c>
      <c r="Z268" s="252" t="str">
        <f>IF(ISNUMBER(SEARCH("C", 'Dry_Litterbag Placem_Collection'!$T195)),"YES","NO")</f>
        <v>NO</v>
      </c>
      <c r="AA268" s="252" t="str">
        <f>IF(ISNUMBER(SEARCH("H", 'Dry_Litterbag Placem_Collection'!$T195)),"YES","NO")</f>
        <v>NO</v>
      </c>
      <c r="AB268" s="252" t="str">
        <f>IF(ISNUMBER(SEARCH("R", 'Dry_Litterbag Placem_Collection'!$T195)),"YES","NO")</f>
        <v>NO</v>
      </c>
      <c r="AC268" s="252" t="str">
        <f>IF(ISNUMBER(SEARCH("C", 'Dry_Litterbag Placem_Collection'!$S195)),"YES","NO")</f>
        <v>NO</v>
      </c>
      <c r="AD268" s="252" t="str">
        <f>IF(ISNUMBER(SEARCH("H", 'Dry_Litterbag Placem_Collection'!$S195)),"YES","NO")</f>
        <v>NO</v>
      </c>
      <c r="AE268" s="252" t="str">
        <f>IF(ISNUMBER(SEARCH("R", 'Dry_Litterbag Placem_Collection'!$S195)),"YES","NO")</f>
        <v>YES</v>
      </c>
    </row>
    <row r="269" spans="2:31">
      <c r="B269" t="str">
        <f>'Final data_for_R_analysis_Dryse'!A195</f>
        <v>Dry</v>
      </c>
      <c r="C269" s="260">
        <f>'Final data_for_R_analysis_Dryse'!B195</f>
        <v>194</v>
      </c>
      <c r="D269" t="s">
        <v>2433</v>
      </c>
      <c r="E269" t="s">
        <v>22</v>
      </c>
      <c r="F269" s="382">
        <v>2</v>
      </c>
      <c r="G269" s="16">
        <f>IF('Dry_Litterbag Placem_Collection'!E196="","",'Dry_Litterbag Placem_Collection'!E196)</f>
        <v>42942</v>
      </c>
      <c r="H269" t="str">
        <f>'Final data_for_R_analysis_Dryse'!K195</f>
        <v>G148</v>
      </c>
      <c r="I269" t="str">
        <f>'Final data_for_R_analysis_Dryse'!K415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24">IFERROR(IF(J269&gt;0,(J269*$F$31-($F$29+$F$30)),""),"")</f>
        <v>1.8212000000000002</v>
      </c>
      <c r="M269" s="237">
        <f>AVERAGE(Ashed_controlls!$K$1:$K$11)</f>
        <v>5.5147656768714146</v>
      </c>
      <c r="N269" s="194">
        <f>IFERROR(IF(K269&gt;0,(K269*$F$32-($F$29+$F$30)),""),"")</f>
        <v>1.9491999999999998</v>
      </c>
      <c r="O269" s="16">
        <f>IF('Dry_Litterbag Placem_Collection'!G196="","",'Dry_Litterbag Placem_Collection'!G196)</f>
        <v>43004</v>
      </c>
      <c r="P269" s="194">
        <f>IFERROR(INDEX('Both teabags AfterDry'!$D$3:$D$2000,MATCH(H269,'Both teabags AfterDry'!$A$3:$A$2000,0)),"")</f>
        <v>0.433</v>
      </c>
      <c r="Q269" s="194">
        <f>IFERROR(INDEX('Both teabags AfterDry'!$D$3:$D$2000,MATCH(I269,'Both teabags AfterDry'!$A$3:$A$2000,0)),"")</f>
        <v>1.613</v>
      </c>
      <c r="R269" s="194">
        <f t="shared" ref="R269:S332" si="25">IFERROR(IF(P269&gt;0,P269-($F$29),""),"")</f>
        <v>0.28239999999999998</v>
      </c>
      <c r="S269" s="194">
        <f t="shared" si="25"/>
        <v>1.4623999999999999</v>
      </c>
      <c r="T269" s="194">
        <f t="shared" ref="T269:T332" si="26">IFERROR(1-R269/L269,"")</f>
        <v>0.84493740390951022</v>
      </c>
      <c r="U269" s="194">
        <f t="shared" ref="U269:U332" si="27">IFERROR($F$26*(1-X269),"")</f>
        <v>0.55392570897630611</v>
      </c>
      <c r="V269" s="194">
        <f t="shared" ref="V269:V332" si="28">IFERROR(S269/N269,"")</f>
        <v>0.75025651549353589</v>
      </c>
      <c r="W269">
        <f t="shared" ref="W269:W332" si="29">IFERROR(IF((O269-G269)&gt;0,(IFERROR(O269-G269,"")),""),"")</f>
        <v>62</v>
      </c>
      <c r="X269" s="194">
        <f t="shared" ref="X269:X332" si="30">IFERROR(1-(T269/$F$25),"")</f>
        <v>-3.4886032179457516E-3</v>
      </c>
      <c r="Y269" s="194">
        <f t="shared" ref="Y269:Y332" si="31">IFERROR(LN(U269/(V269-(1-U269)))/W269,"")</f>
        <v>9.6678005485806174E-3</v>
      </c>
      <c r="Z269" s="252" t="str">
        <f>IF(ISNUMBER(SEARCH("C", 'Dry_Litterbag Placem_Collection'!$T196)),"YES","NO")</f>
        <v>NO</v>
      </c>
      <c r="AA269" s="252" t="str">
        <f>IF(ISNUMBER(SEARCH("H", 'Dry_Litterbag Placem_Collection'!$T196)),"YES","NO")</f>
        <v>NO</v>
      </c>
      <c r="AB269" s="252" t="str">
        <f>IF(ISNUMBER(SEARCH("R", 'Dry_Litterbag Placem_Collection'!$T196)),"YES","NO")</f>
        <v>YES</v>
      </c>
      <c r="AC269" s="252" t="str">
        <f>IF(ISNUMBER(SEARCH("C", 'Dry_Litterbag Placem_Collection'!$S196)),"YES","NO")</f>
        <v>NO</v>
      </c>
      <c r="AD269" s="252" t="str">
        <f>IF(ISNUMBER(SEARCH("H", 'Dry_Litterbag Placem_Collection'!$S196)),"YES","NO")</f>
        <v>YES</v>
      </c>
      <c r="AE269" s="252" t="str">
        <f>IF(ISNUMBER(SEARCH("R", 'Dry_Litterbag Placem_Collection'!$S196)),"YES","NO")</f>
        <v>YES</v>
      </c>
    </row>
    <row r="270" spans="2:31">
      <c r="B270" t="str">
        <f>'Final data_for_R_analysis_Dryse'!A196</f>
        <v>Dry</v>
      </c>
      <c r="C270" s="260">
        <f>'Final data_for_R_analysis_Dryse'!B196</f>
        <v>195</v>
      </c>
      <c r="D270" t="s">
        <v>2425</v>
      </c>
      <c r="E270" t="s">
        <v>22</v>
      </c>
      <c r="F270" s="382">
        <v>3</v>
      </c>
      <c r="G270" s="16">
        <f>IF('Dry_Litterbag Placem_Collection'!E197="","",'Dry_Litterbag Placem_Collection'!E197)</f>
        <v>42942</v>
      </c>
      <c r="H270" t="str">
        <f>'Final data_for_R_analysis_Dryse'!K196</f>
        <v>G105</v>
      </c>
      <c r="I270" t="str">
        <f>'Final data_for_R_analysis_Dryse'!K416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24"/>
        <v>1.8942000000000001</v>
      </c>
      <c r="M270" s="237">
        <f>AVERAGE(Ashed_controlls!$K$1:$K$11)</f>
        <v>5.5147656768714146</v>
      </c>
      <c r="N270" s="194">
        <f>IFERROR(IF(K270&gt;0,(K270*$F$32-($F$29+$F$30)),""),"")</f>
        <v>1.9851999999999999</v>
      </c>
      <c r="O270" s="16">
        <f>IF('Dry_Litterbag Placem_Collection'!G197="","",'Dry_Litterbag Placem_Collection'!G197)</f>
        <v>43004</v>
      </c>
      <c r="P270" s="194">
        <f>IFERROR(INDEX('Both teabags AfterDry'!$D$3:$D$2000,MATCH(H270,'Both teabags AfterDry'!$A$3:$A$2000,0)),"")</f>
        <v>1.2050000000000001</v>
      </c>
      <c r="Q270" s="194">
        <f>IFERROR(INDEX('Both teabags AfterDry'!$D$3:$D$2000,MATCH(I270,'Both teabags AfterDry'!$A$3:$A$2000,0)),"")</f>
        <v>0.78200000000000003</v>
      </c>
      <c r="R270" s="194">
        <f t="shared" si="25"/>
        <v>1.0544</v>
      </c>
      <c r="S270" s="194">
        <f t="shared" si="25"/>
        <v>0.63139999999999996</v>
      </c>
      <c r="T270" s="194">
        <f t="shared" si="26"/>
        <v>0.44335339457290679</v>
      </c>
      <c r="U270" s="194">
        <f t="shared" si="27"/>
        <v>0.29065448195278454</v>
      </c>
      <c r="V270" s="194">
        <f t="shared" si="28"/>
        <v>0.31805359661495064</v>
      </c>
      <c r="W270">
        <f t="shared" si="29"/>
        <v>62</v>
      </c>
      <c r="X270" s="194">
        <f t="shared" si="30"/>
        <v>0.47345202544785414</v>
      </c>
      <c r="Y270" s="194" t="str">
        <f t="shared" si="31"/>
        <v/>
      </c>
      <c r="Z270" s="252" t="str">
        <f>IF(ISNUMBER(SEARCH("C", 'Dry_Litterbag Placem_Collection'!$T197)),"YES","NO")</f>
        <v>NO</v>
      </c>
      <c r="AA270" s="252" t="str">
        <f>IF(ISNUMBER(SEARCH("H", 'Dry_Litterbag Placem_Collection'!$T197)),"YES","NO")</f>
        <v>NO</v>
      </c>
      <c r="AB270" s="252" t="str">
        <f>IF(ISNUMBER(SEARCH("R", 'Dry_Litterbag Placem_Collection'!$T197)),"YES","NO")</f>
        <v>YES</v>
      </c>
      <c r="AC270" s="252" t="str">
        <f>IF(ISNUMBER(SEARCH("C", 'Dry_Litterbag Placem_Collection'!$S197)),"YES","NO")</f>
        <v>NO</v>
      </c>
      <c r="AD270" s="252" t="str">
        <f>IF(ISNUMBER(SEARCH("H", 'Dry_Litterbag Placem_Collection'!$S197)),"YES","NO")</f>
        <v>YES</v>
      </c>
      <c r="AE270" s="252" t="str">
        <f>IF(ISNUMBER(SEARCH("R", 'Dry_Litterbag Placem_Collection'!$S197)),"YES","NO")</f>
        <v>YES</v>
      </c>
    </row>
    <row r="271" spans="2:31">
      <c r="B271" t="str">
        <f>'Final data_for_R_analysis_Dryse'!A197</f>
        <v>Dry</v>
      </c>
      <c r="C271" s="260">
        <f>'Final data_for_R_analysis_Dryse'!B197</f>
        <v>196</v>
      </c>
      <c r="D271" t="s">
        <v>2416</v>
      </c>
      <c r="E271" t="s">
        <v>22</v>
      </c>
      <c r="F271" s="382">
        <v>4</v>
      </c>
      <c r="G271" s="16">
        <f>IF('Dry_Litterbag Placem_Collection'!E198="","",'Dry_Litterbag Placem_Collection'!E198)</f>
        <v>42942</v>
      </c>
      <c r="H271" t="str">
        <f>'Final data_for_R_analysis_Dryse'!K197</f>
        <v>G12</v>
      </c>
      <c r="I271" t="str">
        <f>'Final data_for_R_analysis_Dryse'!K417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24"/>
        <v>1.7372000000000001</v>
      </c>
      <c r="M271" s="237">
        <f>AVERAGE(Ashed_controlls!$K$1:$K$11)</f>
        <v>5.5147656768714146</v>
      </c>
      <c r="N271" s="194">
        <f>IFERROR(IF(K271&gt;0,(K271*$F$32-($F$29+$F$30)),""),"")</f>
        <v>1.9352</v>
      </c>
      <c r="O271" s="16">
        <f>IF('Dry_Litterbag Placem_Collection'!G198="","",'Dry_Litterbag Placem_Collection'!G198)</f>
        <v>43004</v>
      </c>
      <c r="P271" s="194">
        <f>IFERROR(INDEX('Both teabags AfterDry'!$D$3:$D$2000,MATCH(H271,'Both teabags AfterDry'!$A$3:$A$2000,0)),"")</f>
        <v>0.748</v>
      </c>
      <c r="Q271" s="194">
        <f>IFERROR(INDEX('Both teabags AfterDry'!$D$3:$D$2000,MATCH(I271,'Both teabags AfterDry'!$A$3:$A$2000,0)),"")</f>
        <v>0.19900000000000001</v>
      </c>
      <c r="R271" s="194">
        <f t="shared" si="25"/>
        <v>0.59739999999999993</v>
      </c>
      <c r="S271" s="194">
        <f t="shared" si="25"/>
        <v>4.8399999999999999E-2</v>
      </c>
      <c r="T271" s="194">
        <f t="shared" si="26"/>
        <v>0.65611328574717942</v>
      </c>
      <c r="U271" s="194">
        <f t="shared" si="27"/>
        <v>0.43013602581050248</v>
      </c>
      <c r="V271" s="194">
        <f t="shared" si="28"/>
        <v>2.50103348491112E-2</v>
      </c>
      <c r="W271">
        <f t="shared" si="29"/>
        <v>62</v>
      </c>
      <c r="X271" s="194">
        <f t="shared" si="30"/>
        <v>0.22076806918387237</v>
      </c>
      <c r="Y271" s="194" t="str">
        <f t="shared" si="31"/>
        <v/>
      </c>
      <c r="Z271" s="252" t="str">
        <f>IF(ISNUMBER(SEARCH("C", 'Dry_Litterbag Placem_Collection'!$T198)),"YES","NO")</f>
        <v>NO</v>
      </c>
      <c r="AA271" s="252" t="str">
        <f>IF(ISNUMBER(SEARCH("H", 'Dry_Litterbag Placem_Collection'!$T198)),"YES","NO")</f>
        <v>YES</v>
      </c>
      <c r="AB271" s="252" t="str">
        <f>IF(ISNUMBER(SEARCH("R", 'Dry_Litterbag Placem_Collection'!$T198)),"YES","NO")</f>
        <v>NO</v>
      </c>
      <c r="AC271" s="252" t="str">
        <f>IF(ISNUMBER(SEARCH("C", 'Dry_Litterbag Placem_Collection'!$S198)),"YES","NO")</f>
        <v>NO</v>
      </c>
      <c r="AD271" s="252" t="str">
        <f>IF(ISNUMBER(SEARCH("H", 'Dry_Litterbag Placem_Collection'!$S198)),"YES","NO")</f>
        <v>YES</v>
      </c>
      <c r="AE271" s="252" t="str">
        <f>IF(ISNUMBER(SEARCH("R", 'Dry_Litterbag Placem_Collection'!$S198)),"YES","NO")</f>
        <v>NO</v>
      </c>
    </row>
    <row r="272" spans="2:31">
      <c r="B272" t="str">
        <f>'Final data_for_R_analysis_Dryse'!A198</f>
        <v>Dry</v>
      </c>
      <c r="C272" s="260">
        <f>'Final data_for_R_analysis_Dryse'!B198</f>
        <v>197</v>
      </c>
      <c r="D272" t="s">
        <v>2426</v>
      </c>
      <c r="E272" t="s">
        <v>22</v>
      </c>
      <c r="F272" s="382">
        <v>1</v>
      </c>
      <c r="G272" s="16">
        <f>IF('Dry_Litterbag Placem_Collection'!E199="","",'Dry_Litterbag Placem_Collection'!E199)</f>
        <v>42942</v>
      </c>
      <c r="H272" t="str">
        <f>'Final data_for_R_analysis_Dryse'!K198</f>
        <v>G399</v>
      </c>
      <c r="I272" t="str">
        <f>'Final data_for_R_analysis_Dryse'!K418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24"/>
        <v>1.7572000000000001</v>
      </c>
      <c r="M272" s="237">
        <f>AVERAGE(Ashed_controlls!$K$1:$K$11)</f>
        <v>5.5147656768714146</v>
      </c>
      <c r="N272" s="194">
        <f>IFERROR(IF(K272&gt;0,(K272*$F$32-($F$29+$F$30)),""),"")</f>
        <v>1.8921999999999999</v>
      </c>
      <c r="O272" s="16">
        <f>IF('Dry_Litterbag Placem_Collection'!G199="","",'Dry_Litterbag Placem_Collection'!G199)</f>
        <v>43004</v>
      </c>
      <c r="P272" s="194">
        <f>IFERROR(INDEX('Both teabags AfterDry'!$D$3:$D$2000,MATCH(H272,'Both teabags AfterDry'!$A$3:$A$2000,0)),"")</f>
        <v>0.69</v>
      </c>
      <c r="Q272" s="194">
        <f>IFERROR(INDEX('Both teabags AfterDry'!$D$3:$D$2000,MATCH(I272,'Both teabags AfterDry'!$A$3:$A$2000,0)),"")</f>
        <v>1.6160000000000001</v>
      </c>
      <c r="R272" s="194">
        <f t="shared" si="25"/>
        <v>0.53939999999999988</v>
      </c>
      <c r="S272" s="194">
        <f t="shared" si="25"/>
        <v>1.4654</v>
      </c>
      <c r="T272" s="194">
        <f t="shared" si="26"/>
        <v>0.69303437286592318</v>
      </c>
      <c r="U272" s="194">
        <f t="shared" si="27"/>
        <v>0.45434082401661474</v>
      </c>
      <c r="V272" s="194">
        <f t="shared" si="28"/>
        <v>0.77444244794419204</v>
      </c>
      <c r="W272">
        <f t="shared" si="29"/>
        <v>62</v>
      </c>
      <c r="X272" s="194">
        <f t="shared" si="30"/>
        <v>0.17691879707135016</v>
      </c>
      <c r="Y272" s="194">
        <f t="shared" si="31"/>
        <v>1.1065685247037747E-2</v>
      </c>
      <c r="Z272" s="252" t="str">
        <f>IF(ISNUMBER(SEARCH("C", 'Dry_Litterbag Placem_Collection'!$T199)),"YES","NO")</f>
        <v>NO</v>
      </c>
      <c r="AA272" s="252" t="str">
        <f>IF(ISNUMBER(SEARCH("H", 'Dry_Litterbag Placem_Collection'!$T199)),"YES","NO")</f>
        <v>NO</v>
      </c>
      <c r="AB272" s="252" t="str">
        <f>IF(ISNUMBER(SEARCH("R", 'Dry_Litterbag Placem_Collection'!$T199)),"YES","NO")</f>
        <v>YES</v>
      </c>
      <c r="AC272" s="252" t="str">
        <f>IF(ISNUMBER(SEARCH("C", 'Dry_Litterbag Placem_Collection'!$S199)),"YES","NO")</f>
        <v>NO</v>
      </c>
      <c r="AD272" s="252" t="str">
        <f>IF(ISNUMBER(SEARCH("H", 'Dry_Litterbag Placem_Collection'!$S199)),"YES","NO")</f>
        <v>NO</v>
      </c>
      <c r="AE272" s="252" t="str">
        <f>IF(ISNUMBER(SEARCH("R", 'Dry_Litterbag Placem_Collection'!$S199)),"YES","NO")</f>
        <v>YES</v>
      </c>
    </row>
    <row r="273" spans="2:31">
      <c r="B273" t="str">
        <f>'Final data_for_R_analysis_Dryse'!A199</f>
        <v>Dry</v>
      </c>
      <c r="C273" s="260">
        <f>'Final data_for_R_analysis_Dryse'!B199</f>
        <v>198</v>
      </c>
      <c r="D273" t="s">
        <v>2434</v>
      </c>
      <c r="E273" t="s">
        <v>22</v>
      </c>
      <c r="F273" s="382">
        <v>2</v>
      </c>
      <c r="G273" s="16">
        <f>IF('Dry_Litterbag Placem_Collection'!E200="","",'Dry_Litterbag Placem_Collection'!E200)</f>
        <v>42942</v>
      </c>
      <c r="H273" t="str">
        <f>'Final data_for_R_analysis_Dryse'!K199</f>
        <v>G27</v>
      </c>
      <c r="I273" t="str">
        <f>'Final data_for_R_analysis_Dryse'!K419</f>
        <v>R352</v>
      </c>
      <c r="J273">
        <f>IFERROR(INDEX('Green_rooibos initial weight'!$C$5:$C$2000,MATCH(H273, 'Green_rooibos initial weight'!$A$5:$A$2000,0)),"")</f>
        <v>1.966</v>
      </c>
      <c r="K273">
        <f>IFERROR(INDEX('Green_rooibos initial weight'!$C$5:$C$2000,MATCH(I273, 'Green_rooibos initial weight'!$A$5:$A$2000,0)),"")</f>
        <v>2.2789999999999999</v>
      </c>
      <c r="L273" s="194">
        <f t="shared" si="24"/>
        <v>1.7161999999999999</v>
      </c>
      <c r="M273" s="237">
        <f>AVERAGE(Ashed_controlls!$K$1:$K$11)</f>
        <v>5.5147656768714146</v>
      </c>
      <c r="N273" s="194">
        <f>IFERROR(IF(K273&gt;0,(K273*$F$32-($F$29+$F$30)),""),"")</f>
        <v>2.0291999999999999</v>
      </c>
      <c r="O273" s="16">
        <f>IF('Dry_Litterbag Placem_Collection'!G200="","",'Dry_Litterbag Placem_Collection'!G200)</f>
        <v>43004</v>
      </c>
      <c r="P273" s="194">
        <f>IFERROR(INDEX('Both teabags AfterDry'!$D$3:$D$2000,MATCH(H273,'Both teabags AfterDry'!$A$3:$A$2000,0)),"")</f>
        <v>0.73799999999999999</v>
      </c>
      <c r="Q273" s="194">
        <f>IFERROR(INDEX('Both teabags AfterDry'!$D$3:$D$2000,MATCH(I273,'Both teabags AfterDry'!$A$3:$A$2000,0)),"")</f>
        <v>1.615</v>
      </c>
      <c r="R273" s="194">
        <f t="shared" si="25"/>
        <v>0.58739999999999992</v>
      </c>
      <c r="S273" s="194">
        <f t="shared" si="25"/>
        <v>1.4643999999999999</v>
      </c>
      <c r="T273" s="194">
        <f t="shared" si="26"/>
        <v>0.6577321990444005</v>
      </c>
      <c r="U273" s="194">
        <f t="shared" si="27"/>
        <v>0.43119735614312243</v>
      </c>
      <c r="V273" s="194">
        <f t="shared" si="28"/>
        <v>0.72166370983638872</v>
      </c>
      <c r="W273">
        <f t="shared" si="29"/>
        <v>62</v>
      </c>
      <c r="X273" s="194">
        <f t="shared" si="30"/>
        <v>0.21884536930593768</v>
      </c>
      <c r="Y273" s="194">
        <f t="shared" si="31"/>
        <v>1.6726394271365769E-2</v>
      </c>
      <c r="Z273" s="252" t="str">
        <f>IF(ISNUMBER(SEARCH("C", 'Dry_Litterbag Placem_Collection'!$T200)),"YES","NO")</f>
        <v>NO</v>
      </c>
      <c r="AA273" s="252" t="str">
        <f>IF(ISNUMBER(SEARCH("H", 'Dry_Litterbag Placem_Collection'!$T200)),"YES","NO")</f>
        <v>YES</v>
      </c>
      <c r="AB273" s="252" t="str">
        <f>IF(ISNUMBER(SEARCH("R", 'Dry_Litterbag Placem_Collection'!$T200)),"YES","NO")</f>
        <v>YES</v>
      </c>
      <c r="AC273" s="252" t="str">
        <f>IF(ISNUMBER(SEARCH("C", 'Dry_Litterbag Placem_Collection'!$S200)),"YES","NO")</f>
        <v>NO</v>
      </c>
      <c r="AD273" s="252" t="str">
        <f>IF(ISNUMBER(SEARCH("H", 'Dry_Litterbag Placem_Collection'!$S200)),"YES","NO")</f>
        <v>NO</v>
      </c>
      <c r="AE273" s="252" t="str">
        <f>IF(ISNUMBER(SEARCH("R", 'Dry_Litterbag Placem_Collection'!$S200)),"YES","NO")</f>
        <v>YES</v>
      </c>
    </row>
    <row r="274" spans="2:31">
      <c r="B274" t="str">
        <f>'Final data_for_R_analysis_Dryse'!A200</f>
        <v>Dry</v>
      </c>
      <c r="C274" s="260">
        <f>'Final data_for_R_analysis_Dryse'!B200</f>
        <v>199</v>
      </c>
      <c r="D274" t="s">
        <v>2418</v>
      </c>
      <c r="E274" t="s">
        <v>22</v>
      </c>
      <c r="F274" s="382">
        <v>3</v>
      </c>
      <c r="G274" s="16">
        <f>IF('Dry_Litterbag Placem_Collection'!E201="","",'Dry_Litterbag Placem_Collection'!E201)</f>
        <v>42942</v>
      </c>
      <c r="H274" t="str">
        <f>'Final data_for_R_analysis_Dryse'!K200</f>
        <v>G224</v>
      </c>
      <c r="I274" t="str">
        <f>'Final data_for_R_analysis_Dryse'!K420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24"/>
        <v>1.7761999999999998</v>
      </c>
      <c r="M274" s="237">
        <f>AVERAGE(Ashed_controlls!$K$1:$K$11)</f>
        <v>5.5147656768714146</v>
      </c>
      <c r="N274" s="194">
        <f>IFERROR(IF(K274&gt;0,(K274*$F$32-($F$29+$F$30)),""),"")</f>
        <v>1.9731999999999998</v>
      </c>
      <c r="O274" s="16">
        <f>IF('Dry_Litterbag Placem_Collection'!G201="","",'Dry_Litterbag Placem_Collection'!G201)</f>
        <v>43004</v>
      </c>
      <c r="P274" s="194">
        <f>IFERROR(INDEX('Both teabags AfterDry'!$D$3:$D$2000,MATCH(H274,'Both teabags AfterDry'!$A$3:$A$2000,0)),"")</f>
        <v>0.53049999999999997</v>
      </c>
      <c r="Q274" s="194">
        <f>IFERROR(INDEX('Both teabags AfterDry'!$D$3:$D$2000,MATCH(I274,'Both teabags AfterDry'!$A$3:$A$2000,0)),"")</f>
        <v>1.5642</v>
      </c>
      <c r="R274" s="194">
        <f t="shared" si="25"/>
        <v>0.37989999999999996</v>
      </c>
      <c r="S274" s="194">
        <f t="shared" si="25"/>
        <v>1.4136</v>
      </c>
      <c r="T274" s="194">
        <f t="shared" si="26"/>
        <v>0.78611642833014295</v>
      </c>
      <c r="U274" s="194">
        <f t="shared" si="27"/>
        <v>0.51536373923781353</v>
      </c>
      <c r="V274" s="194">
        <f t="shared" si="28"/>
        <v>0.7163997567403203</v>
      </c>
      <c r="W274">
        <f t="shared" si="29"/>
        <v>62</v>
      </c>
      <c r="X274" s="194">
        <f t="shared" si="30"/>
        <v>6.6370037612656807E-2</v>
      </c>
      <c r="Y274" s="194">
        <f t="shared" si="31"/>
        <v>1.2889604892216593E-2</v>
      </c>
      <c r="Z274" s="252" t="str">
        <f>IF(ISNUMBER(SEARCH("C", 'Dry_Litterbag Placem_Collection'!$T201)),"YES","NO")</f>
        <v>NO</v>
      </c>
      <c r="AA274" s="252" t="str">
        <f>IF(ISNUMBER(SEARCH("H", 'Dry_Litterbag Placem_Collection'!$T201)),"YES","NO")</f>
        <v>YES</v>
      </c>
      <c r="AB274" s="252" t="str">
        <f>IF(ISNUMBER(SEARCH("R", 'Dry_Litterbag Placem_Collection'!$T201)),"YES","NO")</f>
        <v>NO</v>
      </c>
      <c r="AC274" s="252" t="str">
        <f>IF(ISNUMBER(SEARCH("C", 'Dry_Litterbag Placem_Collection'!$S201)),"YES","NO")</f>
        <v>NO</v>
      </c>
      <c r="AD274" s="252" t="str">
        <f>IF(ISNUMBER(SEARCH("H", 'Dry_Litterbag Placem_Collection'!$S201)),"YES","NO")</f>
        <v>YES</v>
      </c>
      <c r="AE274" s="252" t="str">
        <f>IF(ISNUMBER(SEARCH("R", 'Dry_Litterbag Placem_Collection'!$S201)),"YES","NO")</f>
        <v>NO</v>
      </c>
    </row>
    <row r="275" spans="2:31">
      <c r="B275" t="str">
        <f>'Final data_for_R_analysis_Dryse'!A201</f>
        <v>Dry</v>
      </c>
      <c r="C275" s="260">
        <f>'Final data_for_R_analysis_Dryse'!B201</f>
        <v>200</v>
      </c>
      <c r="D275" t="s">
        <v>2441</v>
      </c>
      <c r="E275" t="s">
        <v>22</v>
      </c>
      <c r="F275" s="382">
        <v>4</v>
      </c>
      <c r="G275" s="16">
        <f>IF('Dry_Litterbag Placem_Collection'!E202="","",'Dry_Litterbag Placem_Collection'!E202)</f>
        <v>42942</v>
      </c>
      <c r="H275" t="str">
        <f>'Final data_for_R_analysis_Dryse'!K201</f>
        <v>G158</v>
      </c>
      <c r="I275" t="str">
        <f>'Final data_for_R_analysis_Dryse'!K421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24"/>
        <v>1.8111999999999999</v>
      </c>
      <c r="M275" s="237">
        <f>AVERAGE(Ashed_controlls!$K$1:$K$11)</f>
        <v>5.5147656768714146</v>
      </c>
      <c r="N275" s="194">
        <f>IFERROR(IF(K275&gt;0,(K275*$F$32-($F$29+$F$30)),""),"")</f>
        <v>1.9321999999999999</v>
      </c>
      <c r="O275" s="16">
        <f>IF('Dry_Litterbag Placem_Collection'!G202="","",'Dry_Litterbag Placem_Collection'!G202)</f>
        <v>43004</v>
      </c>
      <c r="P275" s="194">
        <f>IFERROR(INDEX('Both teabags AfterDry'!$D$3:$D$2000,MATCH(H275,'Both teabags AfterDry'!$A$3:$A$2000,0)),"")</f>
        <v>0.71050000000000002</v>
      </c>
      <c r="Q275" s="194">
        <f>IFERROR(INDEX('Both teabags AfterDry'!$D$3:$D$2000,MATCH(I275,'Both teabags AfterDry'!$A$3:$A$2000,0)),"")</f>
        <v>0.1565</v>
      </c>
      <c r="R275" s="194">
        <f t="shared" si="25"/>
        <v>0.55990000000000006</v>
      </c>
      <c r="S275" s="194">
        <f t="shared" si="25"/>
        <v>5.8999999999999886E-3</v>
      </c>
      <c r="T275" s="194">
        <f t="shared" si="26"/>
        <v>0.69086793286219073</v>
      </c>
      <c r="U275" s="194">
        <f t="shared" si="27"/>
        <v>0.45292054505929852</v>
      </c>
      <c r="V275" s="194">
        <f t="shared" si="28"/>
        <v>3.0535141289721505E-3</v>
      </c>
      <c r="W275">
        <f t="shared" si="29"/>
        <v>62</v>
      </c>
      <c r="X275" s="194">
        <f t="shared" si="30"/>
        <v>0.17949176619692309</v>
      </c>
      <c r="Y275" s="194" t="str">
        <f t="shared" si="31"/>
        <v/>
      </c>
      <c r="Z275" s="252" t="str">
        <f>IF(ISNUMBER(SEARCH("C", 'Dry_Litterbag Placem_Collection'!$T202)),"YES","NO")</f>
        <v>NO</v>
      </c>
      <c r="AA275" s="252" t="str">
        <f>IF(ISNUMBER(SEARCH("H", 'Dry_Litterbag Placem_Collection'!$T202)),"YES","NO")</f>
        <v>YES</v>
      </c>
      <c r="AB275" s="252" t="str">
        <f>IF(ISNUMBER(SEARCH("R", 'Dry_Litterbag Placem_Collection'!$T202)),"YES","NO")</f>
        <v>YES</v>
      </c>
      <c r="AC275" s="252" t="str">
        <f>IF(ISNUMBER(SEARCH("C", 'Dry_Litterbag Placem_Collection'!$S202)),"YES","NO")</f>
        <v>NO</v>
      </c>
      <c r="AD275" s="252" t="str">
        <f>IF(ISNUMBER(SEARCH("H", 'Dry_Litterbag Placem_Collection'!$S202)),"YES","NO")</f>
        <v>NO</v>
      </c>
      <c r="AE275" s="252" t="str">
        <f>IF(ISNUMBER(SEARCH("R", 'Dry_Litterbag Placem_Collection'!$S202)),"YES","NO")</f>
        <v>YES</v>
      </c>
    </row>
    <row r="276" spans="2:31">
      <c r="B276" t="str">
        <f>'Final data_for_R_analysis_Dryse'!A202</f>
        <v>Dry</v>
      </c>
      <c r="C276" s="260">
        <f>'Final data_for_R_analysis_Dryse'!B202</f>
        <v>201</v>
      </c>
      <c r="D276" t="s">
        <v>2442</v>
      </c>
      <c r="E276" t="s">
        <v>22</v>
      </c>
      <c r="F276" s="382">
        <v>1</v>
      </c>
      <c r="G276" s="16">
        <f>IF('Dry_Litterbag Placem_Collection'!E203="","",'Dry_Litterbag Placem_Collection'!E203)</f>
        <v>42942</v>
      </c>
      <c r="H276" t="str">
        <f>'Final data_for_R_analysis_Dryse'!K202</f>
        <v>G211</v>
      </c>
      <c r="I276" t="str">
        <f>'Final data_for_R_analysis_Dryse'!K422</f>
        <v>R36</v>
      </c>
      <c r="J276">
        <f>IFERROR(INDEX('Green_rooibos initial weight'!$C$5:$C$2000,MATCH(H276, 'Green_rooibos initial weight'!$A$5:$A$2000,0)),"")</f>
        <v>2.06</v>
      </c>
      <c r="K276">
        <f>IFERROR(INDEX('Green_rooibos initial weight'!$C$5:$C$2000,MATCH(I276, 'Green_rooibos initial weight'!$A$5:$A$2000,0)),"")</f>
        <v>2.298</v>
      </c>
      <c r="L276" s="194">
        <f t="shared" si="24"/>
        <v>1.8102</v>
      </c>
      <c r="M276" s="237">
        <f>AVERAGE(Ashed_controlls!$K$1:$K$11)</f>
        <v>5.5147656768714146</v>
      </c>
      <c r="N276" s="194">
        <f>IFERROR(IF(K276&gt;0,(K276*$F$32-($F$29+$F$30)),""),"")</f>
        <v>2.0482</v>
      </c>
      <c r="O276" s="16">
        <f>IF('Dry_Litterbag Placem_Collection'!G203="","",'Dry_Litterbag Placem_Collection'!G203)</f>
        <v>43004</v>
      </c>
      <c r="P276" s="194">
        <f>IFERROR(INDEX('Both teabags AfterDry'!$D$3:$D$2000,MATCH(H276,'Both teabags AfterDry'!$A$3:$A$2000,0)),"")</f>
        <v>0.67300000000000004</v>
      </c>
      <c r="Q276" s="194">
        <f>IFERROR(INDEX('Both teabags AfterDry'!$D$3:$D$2000,MATCH(I276,'Both teabags AfterDry'!$A$3:$A$2000,0)),"")</f>
        <v>1.968</v>
      </c>
      <c r="R276" s="194">
        <f t="shared" si="25"/>
        <v>0.52239999999999998</v>
      </c>
      <c r="S276" s="194">
        <f t="shared" si="25"/>
        <v>1.8173999999999999</v>
      </c>
      <c r="T276" s="194">
        <f t="shared" si="26"/>
        <v>0.7114131035244724</v>
      </c>
      <c r="U276" s="194">
        <f t="shared" si="27"/>
        <v>0.4663895880587991</v>
      </c>
      <c r="V276" s="194">
        <f t="shared" si="28"/>
        <v>0.88731569182697001</v>
      </c>
      <c r="W276">
        <f t="shared" si="29"/>
        <v>62</v>
      </c>
      <c r="X276" s="194">
        <f t="shared" si="30"/>
        <v>0.15509132598043651</v>
      </c>
      <c r="Y276" s="194">
        <f t="shared" si="31"/>
        <v>4.4606014039653913E-3</v>
      </c>
      <c r="Z276" s="252" t="str">
        <f>IF(ISNUMBER(SEARCH("C", 'Dry_Litterbag Placem_Collection'!$T203)),"YES","NO")</f>
        <v>YES</v>
      </c>
      <c r="AA276" s="252" t="str">
        <f>IF(ISNUMBER(SEARCH("H", 'Dry_Litterbag Placem_Collection'!$T203)),"YES","NO")</f>
        <v>YES</v>
      </c>
      <c r="AB276" s="252" t="str">
        <f>IF(ISNUMBER(SEARCH("R", 'Dry_Litterbag Placem_Collection'!$T203)),"YES","NO")</f>
        <v>YES</v>
      </c>
      <c r="AC276" s="252" t="str">
        <f>IF(ISNUMBER(SEARCH("C", 'Dry_Litterbag Placem_Collection'!$S203)),"YES","NO")</f>
        <v>NO</v>
      </c>
      <c r="AD276" s="252" t="str">
        <f>IF(ISNUMBER(SEARCH("H", 'Dry_Litterbag Placem_Collection'!$S203)),"YES","NO")</f>
        <v>YES</v>
      </c>
      <c r="AE276" s="252" t="str">
        <f>IF(ISNUMBER(SEARCH("R", 'Dry_Litterbag Placem_Collection'!$S203)),"YES","NO")</f>
        <v>YES</v>
      </c>
    </row>
    <row r="277" spans="2:31">
      <c r="B277" t="str">
        <f>'Final data_for_R_analysis_Dryse'!A203</f>
        <v>Dry</v>
      </c>
      <c r="C277" s="260">
        <f>'Final data_for_R_analysis_Dryse'!B203</f>
        <v>202</v>
      </c>
      <c r="D277" t="s">
        <v>2419</v>
      </c>
      <c r="E277" t="s">
        <v>22</v>
      </c>
      <c r="F277" s="382">
        <v>2</v>
      </c>
      <c r="G277" s="16">
        <f>IF('Dry_Litterbag Placem_Collection'!E204="","",'Dry_Litterbag Placem_Collection'!E204)</f>
        <v>42942</v>
      </c>
      <c r="H277" t="str">
        <f>'Final data_for_R_analysis_Dryse'!K203</f>
        <v>G181</v>
      </c>
      <c r="I277" t="str">
        <f>'Final data_for_R_analysis_Dryse'!K423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24"/>
        <v>1.5131999999999999</v>
      </c>
      <c r="M277" s="237">
        <f>AVERAGE(Ashed_controlls!$K$1:$K$11)</f>
        <v>5.5147656768714146</v>
      </c>
      <c r="N277" s="194">
        <f>IFERROR(IF(K277&gt;0,(K277*$F$32-($F$29+$F$30)),""),"")</f>
        <v>1.8961999999999999</v>
      </c>
      <c r="O277" s="16">
        <f>IF('Dry_Litterbag Placem_Collection'!G204="","",'Dry_Litterbag Placem_Collection'!G204)</f>
        <v>43004</v>
      </c>
      <c r="P277" s="194">
        <f>IFERROR(INDEX('Both teabags AfterDry'!$D$3:$D$2000,MATCH(H277,'Both teabags AfterDry'!$A$3:$A$2000,0)),"")</f>
        <v>0.80740000000000001</v>
      </c>
      <c r="Q277" s="194">
        <f>IFERROR(INDEX('Both teabags AfterDry'!$D$3:$D$2000,MATCH(I277,'Both teabags AfterDry'!$A$3:$A$2000,0)),"")</f>
        <v>1.6712</v>
      </c>
      <c r="R277" s="194">
        <f t="shared" si="25"/>
        <v>0.65680000000000005</v>
      </c>
      <c r="S277" s="194">
        <f t="shared" si="25"/>
        <v>1.5206</v>
      </c>
      <c r="T277" s="194">
        <f t="shared" si="26"/>
        <v>0.56595294739624635</v>
      </c>
      <c r="U277" s="194">
        <f t="shared" si="27"/>
        <v>0.37102853558518767</v>
      </c>
      <c r="V277" s="194">
        <f t="shared" si="28"/>
        <v>0.80191962873114653</v>
      </c>
      <c r="W277">
        <f t="shared" si="29"/>
        <v>62</v>
      </c>
      <c r="X277" s="194">
        <f t="shared" si="30"/>
        <v>0.32784685582393547</v>
      </c>
      <c r="Y277" s="194">
        <f t="shared" si="31"/>
        <v>1.2311081509718854E-2</v>
      </c>
      <c r="Z277" s="252" t="str">
        <f>IF(ISNUMBER(SEARCH("C", 'Dry_Litterbag Placem_Collection'!$T204)),"YES","NO")</f>
        <v>NO</v>
      </c>
      <c r="AA277" s="252" t="str">
        <f>IF(ISNUMBER(SEARCH("H", 'Dry_Litterbag Placem_Collection'!$T204)),"YES","NO")</f>
        <v>YES</v>
      </c>
      <c r="AB277" s="252" t="str">
        <f>IF(ISNUMBER(SEARCH("R", 'Dry_Litterbag Placem_Collection'!$T204)),"YES","NO")</f>
        <v>YES</v>
      </c>
      <c r="AC277" s="252" t="str">
        <f>IF(ISNUMBER(SEARCH("C", 'Dry_Litterbag Placem_Collection'!$S204)),"YES","NO")</f>
        <v>NO</v>
      </c>
      <c r="AD277" s="252" t="str">
        <f>IF(ISNUMBER(SEARCH("H", 'Dry_Litterbag Placem_Collection'!$S204)),"YES","NO")</f>
        <v>NO</v>
      </c>
      <c r="AE277" s="252" t="str">
        <f>IF(ISNUMBER(SEARCH("R", 'Dry_Litterbag Placem_Collection'!$S204)),"YES","NO")</f>
        <v>YES</v>
      </c>
    </row>
    <row r="278" spans="2:31">
      <c r="B278" t="str">
        <f>'Final data_for_R_analysis_Dryse'!A204</f>
        <v>Dry</v>
      </c>
      <c r="C278" s="260">
        <f>'Final data_for_R_analysis_Dryse'!B204</f>
        <v>203</v>
      </c>
      <c r="D278" t="s">
        <v>2428</v>
      </c>
      <c r="E278" t="s">
        <v>22</v>
      </c>
      <c r="F278" s="382">
        <v>3</v>
      </c>
      <c r="G278" s="16">
        <f>IF('Dry_Litterbag Placem_Collection'!E205="","",'Dry_Litterbag Placem_Collection'!E205)</f>
        <v>42942</v>
      </c>
      <c r="H278" t="str">
        <f>'Final data_for_R_analysis_Dryse'!K204</f>
        <v>G179</v>
      </c>
      <c r="I278" t="str">
        <f>'Final data_for_R_analysis_Dryse'!K424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24"/>
        <v>1.7252000000000001</v>
      </c>
      <c r="M278" s="237">
        <f>AVERAGE(Ashed_controlls!$K$1:$K$11)</f>
        <v>5.5147656768714146</v>
      </c>
      <c r="N278" s="194">
        <f>IFERROR(IF(K278&gt;0,(K278*$F$32-($F$29+$F$30)),""),"")</f>
        <v>1.9131999999999998</v>
      </c>
      <c r="O278" s="16">
        <f>IF('Dry_Litterbag Placem_Collection'!G205="","",'Dry_Litterbag Placem_Collection'!G205)</f>
        <v>43004</v>
      </c>
      <c r="P278" s="194">
        <f>IFERROR(INDEX('Both teabags AfterDry'!$D$3:$D$2000,MATCH(H278,'Both teabags AfterDry'!$A$3:$A$2000,0)),"")</f>
        <v>0.59770000000000001</v>
      </c>
      <c r="Q278" s="194">
        <f>IFERROR(INDEX('Both teabags AfterDry'!$D$3:$D$2000,MATCH(I278,'Both teabags AfterDry'!$A$3:$A$2000,0)),"")</f>
        <v>1.7919</v>
      </c>
      <c r="R278" s="194">
        <f t="shared" si="25"/>
        <v>0.4471</v>
      </c>
      <c r="S278" s="194">
        <f t="shared" si="25"/>
        <v>1.6413</v>
      </c>
      <c r="T278" s="194">
        <f t="shared" si="26"/>
        <v>0.74084164154880594</v>
      </c>
      <c r="U278" s="194">
        <f t="shared" si="27"/>
        <v>0.48568240633603438</v>
      </c>
      <c r="V278" s="194">
        <f t="shared" si="28"/>
        <v>0.85788208237507846</v>
      </c>
      <c r="W278">
        <f t="shared" si="29"/>
        <v>62</v>
      </c>
      <c r="X278" s="194">
        <f t="shared" si="30"/>
        <v>0.12014056823182184</v>
      </c>
      <c r="Y278" s="194">
        <f t="shared" si="31"/>
        <v>5.583549859322235E-3</v>
      </c>
      <c r="Z278" s="252" t="str">
        <f>IF(ISNUMBER(SEARCH("C", 'Dry_Litterbag Placem_Collection'!$T205)),"YES","NO")</f>
        <v>NO</v>
      </c>
      <c r="AA278" s="252" t="str">
        <f>IF(ISNUMBER(SEARCH("H", 'Dry_Litterbag Placem_Collection'!$T205)),"YES","NO")</f>
        <v>NO</v>
      </c>
      <c r="AB278" s="252" t="str">
        <f>IF(ISNUMBER(SEARCH("R", 'Dry_Litterbag Placem_Collection'!$T205)),"YES","NO")</f>
        <v>YES</v>
      </c>
      <c r="AC278" s="252" t="str">
        <f>IF(ISNUMBER(SEARCH("C", 'Dry_Litterbag Placem_Collection'!$S205)),"YES","NO")</f>
        <v>NO</v>
      </c>
      <c r="AD278" s="252" t="str">
        <f>IF(ISNUMBER(SEARCH("H", 'Dry_Litterbag Placem_Collection'!$S205)),"YES","NO")</f>
        <v>YES</v>
      </c>
      <c r="AE278" s="252" t="str">
        <f>IF(ISNUMBER(SEARCH("R", 'Dry_Litterbag Placem_Collection'!$S205)),"YES","NO")</f>
        <v>YES</v>
      </c>
    </row>
    <row r="279" spans="2:31">
      <c r="B279" t="str">
        <f>'Final data_for_R_analysis_Dryse'!A205</f>
        <v>Dry</v>
      </c>
      <c r="C279" s="260">
        <f>'Final data_for_R_analysis_Dryse'!B205</f>
        <v>204</v>
      </c>
      <c r="D279" t="s">
        <v>2435</v>
      </c>
      <c r="E279" t="s">
        <v>22</v>
      </c>
      <c r="F279" s="382">
        <v>4</v>
      </c>
      <c r="G279" s="16">
        <f>IF('Dry_Litterbag Placem_Collection'!E206="","",'Dry_Litterbag Placem_Collection'!E206)</f>
        <v>42942</v>
      </c>
      <c r="H279" t="str">
        <f>'Final data_for_R_analysis_Dryse'!K205</f>
        <v>G248</v>
      </c>
      <c r="I279" t="str">
        <f>'Final data_for_R_analysis_Dryse'!K425</f>
        <v>R254</v>
      </c>
      <c r="J279">
        <f>IFERROR(INDEX('Green_rooibos initial weight'!$C$5:$C$2000,MATCH(H279, 'Green_rooibos initial weight'!$A$5:$A$2000,0)),"")</f>
        <v>1.9950000000000001</v>
      </c>
      <c r="K279">
        <f>IFERROR(INDEX('Green_rooibos initial weight'!$C$5:$C$2000,MATCH(I279, 'Green_rooibos initial weight'!$A$5:$A$2000,0)),"")</f>
        <v>2.266</v>
      </c>
      <c r="L279" s="194">
        <f t="shared" si="24"/>
        <v>1.7452000000000001</v>
      </c>
      <c r="M279" s="237">
        <f>AVERAGE(Ashed_controlls!$K$1:$K$11)</f>
        <v>5.5147656768714146</v>
      </c>
      <c r="N279" s="194">
        <f>IFERROR(IF(K279&gt;0,(K279*$F$32-($F$29+$F$30)),""),"")</f>
        <v>2.0162</v>
      </c>
      <c r="O279" s="16">
        <f>IF('Dry_Litterbag Placem_Collection'!G206="","",'Dry_Litterbag Placem_Collection'!G206)</f>
        <v>43004</v>
      </c>
      <c r="P279" s="194">
        <f>IFERROR(INDEX('Both teabags AfterDry'!$D$3:$D$2000,MATCH(H279,'Both teabags AfterDry'!$A$3:$A$2000,0)),"")</f>
        <v>1.7124999999999999</v>
      </c>
      <c r="Q279" s="194">
        <f>IFERROR(INDEX('Both teabags AfterDry'!$D$3:$D$2000,MATCH(I279,'Both teabags AfterDry'!$A$3:$A$2000,0)),"")</f>
        <v>1.8010999999999999</v>
      </c>
      <c r="R279" s="194">
        <f t="shared" si="25"/>
        <v>1.5618999999999998</v>
      </c>
      <c r="S279" s="194">
        <f t="shared" si="25"/>
        <v>1.6504999999999999</v>
      </c>
      <c r="T279" s="194">
        <f t="shared" si="26"/>
        <v>0.10503094201237695</v>
      </c>
      <c r="U279" s="194">
        <f t="shared" si="27"/>
        <v>6.8856389537805346E-2</v>
      </c>
      <c r="V279" s="194">
        <f t="shared" si="28"/>
        <v>0.81861918460470184</v>
      </c>
      <c r="W279">
        <f t="shared" si="29"/>
        <v>62</v>
      </c>
      <c r="X279" s="194">
        <f t="shared" si="30"/>
        <v>0.87526016388078742</v>
      </c>
      <c r="Y279" s="194" t="str">
        <f t="shared" si="31"/>
        <v/>
      </c>
      <c r="Z279" s="252" t="str">
        <f>IF(ISNUMBER(SEARCH("C", 'Dry_Litterbag Placem_Collection'!$T206)),"YES","NO")</f>
        <v>NO</v>
      </c>
      <c r="AA279" s="252" t="str">
        <f>IF(ISNUMBER(SEARCH("H", 'Dry_Litterbag Placem_Collection'!$T206)),"YES","NO")</f>
        <v>YES</v>
      </c>
      <c r="AB279" s="252" t="str">
        <f>IF(ISNUMBER(SEARCH("R", 'Dry_Litterbag Placem_Collection'!$T206)),"YES","NO")</f>
        <v>YES</v>
      </c>
      <c r="AC279" s="252" t="str">
        <f>IF(ISNUMBER(SEARCH("C", 'Dry_Litterbag Placem_Collection'!$S206)),"YES","NO")</f>
        <v>NO</v>
      </c>
      <c r="AD279" s="252" t="str">
        <f>IF(ISNUMBER(SEARCH("H", 'Dry_Litterbag Placem_Collection'!$S206)),"YES","NO")</f>
        <v>YES</v>
      </c>
      <c r="AE279" s="252" t="str">
        <f>IF(ISNUMBER(SEARCH("R", 'Dry_Litterbag Placem_Collection'!$S206)),"YES","NO")</f>
        <v>YES</v>
      </c>
    </row>
    <row r="280" spans="2:31">
      <c r="B280" t="str">
        <f>'Final data_for_R_analysis_Dryse'!A206</f>
        <v>Dry</v>
      </c>
      <c r="C280" s="260">
        <f>'Final data_for_R_analysis_Dryse'!B206</f>
        <v>205</v>
      </c>
      <c r="D280" t="s">
        <v>2429</v>
      </c>
      <c r="E280" t="s">
        <v>22</v>
      </c>
      <c r="F280" s="382">
        <v>1</v>
      </c>
      <c r="G280" s="16">
        <f>IF('Dry_Litterbag Placem_Collection'!E207="","",'Dry_Litterbag Placem_Collection'!E207)</f>
        <v>42942</v>
      </c>
      <c r="H280" t="str">
        <f>'Final data_for_R_analysis_Dryse'!K206</f>
        <v>G55</v>
      </c>
      <c r="I280" t="str">
        <f>'Final data_for_R_analysis_Dryse'!K426</f>
        <v>R348</v>
      </c>
      <c r="J280">
        <f>IFERROR(INDEX('Green_rooibos initial weight'!$C$5:$C$2000,MATCH(H280, 'Green_rooibos initial weight'!$A$5:$A$2000,0)),"")</f>
        <v>2.024</v>
      </c>
      <c r="K280">
        <f>IFERROR(INDEX('Green_rooibos initial weight'!$C$5:$C$2000,MATCH(I280, 'Green_rooibos initial weight'!$A$5:$A$2000,0)),"")</f>
        <v>2.31</v>
      </c>
      <c r="L280" s="194">
        <f t="shared" si="24"/>
        <v>1.7742</v>
      </c>
      <c r="M280" s="237">
        <f>AVERAGE(Ashed_controlls!$K$1:$K$11)</f>
        <v>5.5147656768714146</v>
      </c>
      <c r="N280" s="194">
        <f>IFERROR(IF(K280&gt;0,(K280*$F$32-($F$29+$F$30)),""),"")</f>
        <v>2.0602</v>
      </c>
      <c r="O280" s="16">
        <f>IF('Dry_Litterbag Placem_Collection'!G207="","",'Dry_Litterbag Placem_Collection'!G207)</f>
        <v>43004</v>
      </c>
      <c r="P280" s="194">
        <f>IFERROR(INDEX('Both teabags AfterDry'!$D$3:$D$2000,MATCH(H280,'Both teabags AfterDry'!$A$3:$A$2000,0)),"")</f>
        <v>0.86550000000000005</v>
      </c>
      <c r="Q280" s="194">
        <f>IFERROR(INDEX('Both teabags AfterDry'!$D$3:$D$2000,MATCH(I280,'Both teabags AfterDry'!$A$3:$A$2000,0)),"")</f>
        <v>1.7168000000000001</v>
      </c>
      <c r="R280" s="194">
        <f t="shared" si="25"/>
        <v>0.71490000000000009</v>
      </c>
      <c r="S280" s="194">
        <f t="shared" si="25"/>
        <v>1.5662</v>
      </c>
      <c r="T280" s="194">
        <f t="shared" si="26"/>
        <v>0.5970578288806222</v>
      </c>
      <c r="U280" s="194">
        <f t="shared" si="27"/>
        <v>0.39142033437304452</v>
      </c>
      <c r="V280" s="194">
        <f t="shared" si="28"/>
        <v>0.76021745461605672</v>
      </c>
      <c r="W280">
        <f t="shared" si="29"/>
        <v>62</v>
      </c>
      <c r="X280" s="194">
        <f t="shared" si="30"/>
        <v>0.29090519135318027</v>
      </c>
      <c r="Y280" s="194">
        <f t="shared" si="31"/>
        <v>1.5294956397556526E-2</v>
      </c>
      <c r="Z280" s="252" t="str">
        <f>IF(ISNUMBER(SEARCH("C", 'Dry_Litterbag Placem_Collection'!$T207)),"YES","NO")</f>
        <v>NO</v>
      </c>
      <c r="AA280" s="252" t="str">
        <f>IF(ISNUMBER(SEARCH("H", 'Dry_Litterbag Placem_Collection'!$T207)),"YES","NO")</f>
        <v>YES</v>
      </c>
      <c r="AB280" s="252" t="str">
        <f>IF(ISNUMBER(SEARCH("R", 'Dry_Litterbag Placem_Collection'!$T207)),"YES","NO")</f>
        <v>YES</v>
      </c>
      <c r="AC280" s="252" t="str">
        <f>IF(ISNUMBER(SEARCH("C", 'Dry_Litterbag Placem_Collection'!$S207)),"YES","NO")</f>
        <v>NO</v>
      </c>
      <c r="AD280" s="252" t="str">
        <f>IF(ISNUMBER(SEARCH("H", 'Dry_Litterbag Placem_Collection'!$S207)),"YES","NO")</f>
        <v>YES</v>
      </c>
      <c r="AE280" s="252" t="str">
        <f>IF(ISNUMBER(SEARCH("R", 'Dry_Litterbag Placem_Collection'!$S207)),"YES","NO")</f>
        <v>YES</v>
      </c>
    </row>
    <row r="281" spans="2:31">
      <c r="B281" t="str">
        <f>'Final data_for_R_analysis_Dryse'!A207</f>
        <v>Dry</v>
      </c>
      <c r="C281" s="260">
        <f>'Final data_for_R_analysis_Dryse'!B207</f>
        <v>206</v>
      </c>
      <c r="D281" t="s">
        <v>2420</v>
      </c>
      <c r="E281" t="s">
        <v>22</v>
      </c>
      <c r="F281" s="382">
        <v>2</v>
      </c>
      <c r="G281" s="16">
        <f>IF('Dry_Litterbag Placem_Collection'!E208="","",'Dry_Litterbag Placem_Collection'!E208)</f>
        <v>42942</v>
      </c>
      <c r="H281" t="str">
        <f>'Final data_for_R_analysis_Dryse'!K207</f>
        <v>G124</v>
      </c>
      <c r="I281" t="str">
        <f>'Final data_for_R_analysis_Dryse'!K427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24"/>
        <v>1.6892</v>
      </c>
      <c r="M281" s="237">
        <f>AVERAGE(Ashed_controlls!$K$1:$K$11)</f>
        <v>5.5147656768714146</v>
      </c>
      <c r="N281" s="194">
        <f>IFERROR(IF(K281&gt;0,(K281*$F$32-($F$29+$F$30)),""),"")</f>
        <v>1.9392</v>
      </c>
      <c r="O281" s="16">
        <f>IF('Dry_Litterbag Placem_Collection'!G208="","",'Dry_Litterbag Placem_Collection'!G208)</f>
        <v>43004</v>
      </c>
      <c r="P281" s="194">
        <f>IFERROR(INDEX('Both teabags AfterDry'!$D$3:$D$2000,MATCH(H281,'Both teabags AfterDry'!$A$3:$A$2000,0)),"")</f>
        <v>0.66969999999999996</v>
      </c>
      <c r="Q281" s="194">
        <f>IFERROR(INDEX('Both teabags AfterDry'!$D$3:$D$2000,MATCH(I281,'Both teabags AfterDry'!$A$3:$A$2000,0)),"")</f>
        <v>3.4599000000000002</v>
      </c>
      <c r="R281" s="194">
        <f t="shared" si="25"/>
        <v>0.51909999999999989</v>
      </c>
      <c r="S281" s="194">
        <f t="shared" si="25"/>
        <v>3.3093000000000004</v>
      </c>
      <c r="T281" s="194">
        <f t="shared" si="26"/>
        <v>0.69269476675349284</v>
      </c>
      <c r="U281" s="194">
        <f t="shared" si="27"/>
        <v>0.4541181843799621</v>
      </c>
      <c r="V281" s="194">
        <f t="shared" si="28"/>
        <v>1.7065284653465349</v>
      </c>
      <c r="W281">
        <f t="shared" si="29"/>
        <v>62</v>
      </c>
      <c r="X281" s="194">
        <f t="shared" si="30"/>
        <v>0.17732212974644557</v>
      </c>
      <c r="Y281" s="194">
        <f t="shared" si="31"/>
        <v>-1.5135082310611454E-2</v>
      </c>
      <c r="Z281" s="252" t="str">
        <f>IF(ISNUMBER(SEARCH("C", 'Dry_Litterbag Placem_Collection'!$T208)),"YES","NO")</f>
        <v>NO</v>
      </c>
      <c r="AA281" s="252" t="str">
        <f>IF(ISNUMBER(SEARCH("H", 'Dry_Litterbag Placem_Collection'!$T208)),"YES","NO")</f>
        <v>YES</v>
      </c>
      <c r="AB281" s="252" t="str">
        <f>IF(ISNUMBER(SEARCH("R", 'Dry_Litterbag Placem_Collection'!$T208)),"YES","NO")</f>
        <v>YES</v>
      </c>
      <c r="AC281" s="252" t="str">
        <f>IF(ISNUMBER(SEARCH("C", 'Dry_Litterbag Placem_Collection'!$S208)),"YES","NO")</f>
        <v>NO</v>
      </c>
      <c r="AD281" s="252" t="str">
        <f>IF(ISNUMBER(SEARCH("H", 'Dry_Litterbag Placem_Collection'!$S208)),"YES","NO")</f>
        <v>NO</v>
      </c>
      <c r="AE281" s="252" t="str">
        <f>IF(ISNUMBER(SEARCH("R", 'Dry_Litterbag Placem_Collection'!$S208)),"YES","NO")</f>
        <v>YES</v>
      </c>
    </row>
    <row r="282" spans="2:31">
      <c r="B282" t="str">
        <f>'Final data_for_R_analysis_Dryse'!A208</f>
        <v>Dry</v>
      </c>
      <c r="C282" s="260">
        <f>'Final data_for_R_analysis_Dryse'!B208</f>
        <v>207</v>
      </c>
      <c r="D282" t="s">
        <v>2443</v>
      </c>
      <c r="E282" t="s">
        <v>22</v>
      </c>
      <c r="F282" s="382">
        <v>3</v>
      </c>
      <c r="G282" s="16">
        <f>IF('Dry_Litterbag Placem_Collection'!E209="","",'Dry_Litterbag Placem_Collection'!E209)</f>
        <v>42942</v>
      </c>
      <c r="H282" t="str">
        <f>'Final data_for_R_analysis_Dryse'!K208</f>
        <v>G234</v>
      </c>
      <c r="I282" t="str">
        <f>'Final data_for_R_analysis_Dryse'!K428</f>
        <v>R551</v>
      </c>
      <c r="J282">
        <f>IFERROR(INDEX('Green_rooibos initial weight'!$C$5:$C$2000,MATCH(H282, 'Green_rooibos initial weight'!$A$5:$A$2000,0)),"")</f>
        <v>2.13</v>
      </c>
      <c r="K282">
        <f>IFERROR(INDEX('Green_rooibos initial weight'!$C$5:$C$2000,MATCH(I282, 'Green_rooibos initial weight'!$A$5:$A$2000,0)),"")</f>
        <v>2.1739999999999999</v>
      </c>
      <c r="L282" s="194">
        <f t="shared" si="24"/>
        <v>1.8801999999999999</v>
      </c>
      <c r="M282" s="237">
        <f>AVERAGE(Ashed_controlls!$K$1:$K$11)</f>
        <v>5.5147656768714146</v>
      </c>
      <c r="N282" s="194">
        <f>IFERROR(IF(K282&gt;0,(K282*$F$32-($F$29+$F$30)),""),"")</f>
        <v>1.9241999999999999</v>
      </c>
      <c r="O282" s="16">
        <f>IF('Dry_Litterbag Placem_Collection'!G209="","",'Dry_Litterbag Placem_Collection'!G209)</f>
        <v>43004</v>
      </c>
      <c r="P282" s="194">
        <f>IFERROR(INDEX('Both teabags AfterDry'!$D$3:$D$2000,MATCH(H282,'Both teabags AfterDry'!$A$3:$A$2000,0)),"")</f>
        <v>0.745</v>
      </c>
      <c r="Q282" s="194">
        <f>IFERROR(INDEX('Both teabags AfterDry'!$D$3:$D$2000,MATCH(I282,'Both teabags AfterDry'!$A$3:$A$2000,0)),"")</f>
        <v>8.3109999999999999</v>
      </c>
      <c r="R282" s="194">
        <f t="shared" si="25"/>
        <v>0.59440000000000004</v>
      </c>
      <c r="S282" s="194">
        <f t="shared" si="25"/>
        <v>8.1603999999999992</v>
      </c>
      <c r="T282" s="194">
        <f t="shared" si="26"/>
        <v>0.68386341878523549</v>
      </c>
      <c r="U282" s="194">
        <f t="shared" si="27"/>
        <v>0.44832851207773167</v>
      </c>
      <c r="V282" s="194">
        <f t="shared" si="28"/>
        <v>4.2409312961230636</v>
      </c>
      <c r="W282">
        <f t="shared" si="29"/>
        <v>62</v>
      </c>
      <c r="X282" s="194">
        <f t="shared" si="30"/>
        <v>0.18781066652584855</v>
      </c>
      <c r="Y282" s="194">
        <f t="shared" si="31"/>
        <v>-3.3994433441118438E-2</v>
      </c>
      <c r="Z282" s="252" t="str">
        <f>IF(ISNUMBER(SEARCH("C", 'Dry_Litterbag Placem_Collection'!$T209)),"YES","NO")</f>
        <v>NO</v>
      </c>
      <c r="AA282" s="252" t="str">
        <f>IF(ISNUMBER(SEARCH("H", 'Dry_Litterbag Placem_Collection'!$T209)),"YES","NO")</f>
        <v>NO</v>
      </c>
      <c r="AB282" s="252" t="str">
        <f>IF(ISNUMBER(SEARCH("R", 'Dry_Litterbag Placem_Collection'!$T209)),"YES","NO")</f>
        <v>YES</v>
      </c>
      <c r="AC282" s="252" t="str">
        <f>IF(ISNUMBER(SEARCH("C", 'Dry_Litterbag Placem_Collection'!$S209)),"YES","NO")</f>
        <v>NO</v>
      </c>
      <c r="AD282" s="252" t="str">
        <f>IF(ISNUMBER(SEARCH("H", 'Dry_Litterbag Placem_Collection'!$S209)),"YES","NO")</f>
        <v>NO</v>
      </c>
      <c r="AE282" s="252" t="str">
        <f>IF(ISNUMBER(SEARCH("R", 'Dry_Litterbag Placem_Collection'!$S209)),"YES","NO")</f>
        <v>YES</v>
      </c>
    </row>
    <row r="283" spans="2:31">
      <c r="B283" t="str">
        <f>'Final data_for_R_analysis_Dryse'!A209</f>
        <v>Dry</v>
      </c>
      <c r="C283" s="260">
        <f>'Final data_for_R_analysis_Dryse'!B209</f>
        <v>208</v>
      </c>
      <c r="D283" t="s">
        <v>2436</v>
      </c>
      <c r="E283" t="s">
        <v>22</v>
      </c>
      <c r="F283" s="382">
        <v>4</v>
      </c>
      <c r="G283" s="16">
        <f>IF('Dry_Litterbag Placem_Collection'!E210="","",'Dry_Litterbag Placem_Collection'!E210)</f>
        <v>42942</v>
      </c>
      <c r="H283" t="str">
        <f>'Final data_for_R_analysis_Dryse'!K209</f>
        <v>G412</v>
      </c>
      <c r="I283" t="str">
        <f>'Final data_for_R_analysis_Dryse'!K429</f>
        <v>R516</v>
      </c>
      <c r="J283">
        <f>IFERROR(INDEX('Green_rooibos initial weight'!$C$5:$C$2000,MATCH(H283, 'Green_rooibos initial weight'!$A$5:$A$2000,0)),"")</f>
        <v>2.0049999999999999</v>
      </c>
      <c r="K283">
        <f>IFERROR(INDEX('Green_rooibos initial weight'!$C$5:$C$2000,MATCH(I283, 'Green_rooibos initial weight'!$A$5:$A$2000,0)),"")</f>
        <v>2.141</v>
      </c>
      <c r="L283" s="194">
        <f t="shared" si="24"/>
        <v>1.7551999999999999</v>
      </c>
      <c r="M283" s="237">
        <f>AVERAGE(Ashed_controlls!$K$1:$K$11)</f>
        <v>5.5147656768714146</v>
      </c>
      <c r="N283" s="194">
        <f>IFERROR(IF(K283&gt;0,(K283*$F$32-($F$29+$F$30)),""),"")</f>
        <v>1.8912</v>
      </c>
      <c r="O283" s="16">
        <f>IF('Dry_Litterbag Placem_Collection'!G210="","",'Dry_Litterbag Placem_Collection'!G210)</f>
        <v>43004</v>
      </c>
      <c r="P283" s="194">
        <f>IFERROR(INDEX('Both teabags AfterDry'!$D$3:$D$2000,MATCH(H283,'Both teabags AfterDry'!$A$3:$A$2000,0)),"")</f>
        <v>0.72499999999999998</v>
      </c>
      <c r="Q283" s="194">
        <f>IFERROR(INDEX('Both teabags AfterDry'!$D$3:$D$2000,MATCH(I283,'Both teabags AfterDry'!$A$3:$A$2000,0)),"")</f>
        <v>1.7749999999999999</v>
      </c>
      <c r="R283" s="194">
        <f t="shared" si="25"/>
        <v>0.57440000000000002</v>
      </c>
      <c r="S283" s="194">
        <f t="shared" si="25"/>
        <v>1.6243999999999998</v>
      </c>
      <c r="T283" s="194">
        <f t="shared" si="26"/>
        <v>0.67274384685505928</v>
      </c>
      <c r="U283" s="194">
        <f t="shared" si="27"/>
        <v>0.44103872145367312</v>
      </c>
      <c r="V283" s="194">
        <f t="shared" si="28"/>
        <v>0.8589255499153976</v>
      </c>
      <c r="W283">
        <f t="shared" si="29"/>
        <v>62</v>
      </c>
      <c r="X283" s="194">
        <f t="shared" si="30"/>
        <v>0.20101680896073715</v>
      </c>
      <c r="Y283" s="194">
        <f t="shared" si="31"/>
        <v>6.2172468260452063E-3</v>
      </c>
      <c r="Z283" s="252" t="str">
        <f>IF(ISNUMBER(SEARCH("C", 'Dry_Litterbag Placem_Collection'!$T210)),"YES","NO")</f>
        <v>YES</v>
      </c>
      <c r="AA283" s="252" t="str">
        <f>IF(ISNUMBER(SEARCH("H", 'Dry_Litterbag Placem_Collection'!$T210)),"YES","NO")</f>
        <v>NO</v>
      </c>
      <c r="AB283" s="252" t="str">
        <f>IF(ISNUMBER(SEARCH("R", 'Dry_Litterbag Placem_Collection'!$T210)),"YES","NO")</f>
        <v>NO</v>
      </c>
      <c r="AC283" s="252" t="str">
        <f>IF(ISNUMBER(SEARCH("C", 'Dry_Litterbag Placem_Collection'!$S210)),"YES","NO")</f>
        <v>NO</v>
      </c>
      <c r="AD283" s="252" t="str">
        <f>IF(ISNUMBER(SEARCH("H", 'Dry_Litterbag Placem_Collection'!$S210)),"YES","NO")</f>
        <v>YES</v>
      </c>
      <c r="AE283" s="252" t="str">
        <f>IF(ISNUMBER(SEARCH("R", 'Dry_Litterbag Placem_Collection'!$S210)),"YES","NO")</f>
        <v>YES</v>
      </c>
    </row>
    <row r="284" spans="2:31">
      <c r="B284" t="str">
        <f>'Final data_for_R_analysis_Dryse'!A210</f>
        <v>Dry</v>
      </c>
      <c r="C284" s="260">
        <f>'Final data_for_R_analysis_Dryse'!B210</f>
        <v>209</v>
      </c>
      <c r="D284" t="s">
        <v>2430</v>
      </c>
      <c r="E284" t="s">
        <v>22</v>
      </c>
      <c r="F284" s="382">
        <v>1</v>
      </c>
      <c r="G284" s="16">
        <f>IF('Dry_Litterbag Placem_Collection'!E211="","",'Dry_Litterbag Placem_Collection'!E211)</f>
        <v>42942</v>
      </c>
      <c r="H284" t="str">
        <f>'Final data_for_R_analysis_Dryse'!K210</f>
        <v>G94</v>
      </c>
      <c r="I284" t="str">
        <f>'Final data_for_R_analysis_Dryse'!K430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24"/>
        <v>1.8132000000000001</v>
      </c>
      <c r="M284" s="237">
        <f>AVERAGE(Ashed_controlls!$K$1:$K$11)</f>
        <v>5.5147656768714146</v>
      </c>
      <c r="N284" s="194">
        <f>IFERROR(IF(K284&gt;0,(K284*$F$32-($F$29+$F$30)),""),"")</f>
        <v>1.8822000000000001</v>
      </c>
      <c r="O284" s="16">
        <f>IF('Dry_Litterbag Placem_Collection'!G211="","",'Dry_Litterbag Placem_Collection'!G211)</f>
        <v>43004</v>
      </c>
      <c r="P284" s="194">
        <f>IFERROR(INDEX('Both teabags AfterDry'!$D$3:$D$2000,MATCH(H284,'Both teabags AfterDry'!$A$3:$A$2000,0)),"")</f>
        <v>0.76</v>
      </c>
      <c r="Q284" s="194">
        <f>IFERROR(INDEX('Both teabags AfterDry'!$D$3:$D$2000,MATCH(I284,'Both teabags AfterDry'!$A$3:$A$2000,0)),"")</f>
        <v>1.6856</v>
      </c>
      <c r="R284" s="194">
        <f t="shared" si="25"/>
        <v>0.60939999999999994</v>
      </c>
      <c r="S284" s="194">
        <f t="shared" si="25"/>
        <v>1.5349999999999999</v>
      </c>
      <c r="T284" s="194">
        <f t="shared" si="26"/>
        <v>0.66390911096404159</v>
      </c>
      <c r="U284" s="194">
        <f t="shared" si="27"/>
        <v>0.43524682809044063</v>
      </c>
      <c r="V284" s="194">
        <f t="shared" si="28"/>
        <v>0.81553501221974278</v>
      </c>
      <c r="W284">
        <f t="shared" si="29"/>
        <v>62</v>
      </c>
      <c r="X284" s="194">
        <f t="shared" si="30"/>
        <v>0.21150936940137577</v>
      </c>
      <c r="Y284" s="194">
        <f t="shared" si="31"/>
        <v>8.8924176126341722E-3</v>
      </c>
      <c r="Z284" s="252" t="str">
        <f>IF(ISNUMBER(SEARCH("C", 'Dry_Litterbag Placem_Collection'!$T211)),"YES","NO")</f>
        <v>NO</v>
      </c>
      <c r="AA284" s="252" t="str">
        <f>IF(ISNUMBER(SEARCH("H", 'Dry_Litterbag Placem_Collection'!$T211)),"YES","NO")</f>
        <v>NO</v>
      </c>
      <c r="AB284" s="252" t="str">
        <f>IF(ISNUMBER(SEARCH("R", 'Dry_Litterbag Placem_Collection'!$T211)),"YES","NO")</f>
        <v>NO</v>
      </c>
      <c r="AC284" s="252" t="str">
        <f>IF(ISNUMBER(SEARCH("C", 'Dry_Litterbag Placem_Collection'!$S211)),"YES","NO")</f>
        <v>NO</v>
      </c>
      <c r="AD284" s="252" t="str">
        <f>IF(ISNUMBER(SEARCH("H", 'Dry_Litterbag Placem_Collection'!$S211)),"YES","NO")</f>
        <v>NO</v>
      </c>
      <c r="AE284" s="252" t="str">
        <f>IF(ISNUMBER(SEARCH("R", 'Dry_Litterbag Placem_Collection'!$S211)),"YES","NO")</f>
        <v>YES</v>
      </c>
    </row>
    <row r="285" spans="2:31">
      <c r="B285" t="str">
        <f>'Final data_for_R_analysis_Dryse'!A211</f>
        <v>Dry</v>
      </c>
      <c r="C285" s="260">
        <f>'Final data_for_R_analysis_Dryse'!B211</f>
        <v>210</v>
      </c>
      <c r="D285" t="s">
        <v>2444</v>
      </c>
      <c r="E285" t="s">
        <v>22</v>
      </c>
      <c r="F285" s="382">
        <v>2</v>
      </c>
      <c r="G285" s="16">
        <f>IF('Dry_Litterbag Placem_Collection'!E212="","",'Dry_Litterbag Placem_Collection'!E212)</f>
        <v>42942</v>
      </c>
      <c r="H285" t="str">
        <f>'Final data_for_R_analysis_Dryse'!K211</f>
        <v>G93</v>
      </c>
      <c r="I285" t="str">
        <f>'Final data_for_R_analysis_Dryse'!K431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24"/>
        <v>1.8732000000000002</v>
      </c>
      <c r="M285" s="237">
        <f>AVERAGE(Ashed_controlls!$K$1:$K$11)</f>
        <v>5.5147656768714146</v>
      </c>
      <c r="N285" s="194">
        <f>IFERROR(IF(K285&gt;0,(K285*$F$32-($F$29+$F$30)),""),"")</f>
        <v>1.9131999999999998</v>
      </c>
      <c r="O285" s="16">
        <f>IF('Dry_Litterbag Placem_Collection'!G212="","",'Dry_Litterbag Placem_Collection'!G212)</f>
        <v>43004</v>
      </c>
      <c r="P285" s="194">
        <f>IFERROR(INDEX('Both teabags AfterDry'!$D$3:$D$2000,MATCH(H285,'Both teabags AfterDry'!$A$3:$A$2000,0)),"")</f>
        <v>0.80600000000000005</v>
      </c>
      <c r="Q285" s="194">
        <f>IFERROR(INDEX('Both teabags AfterDry'!$D$3:$D$2000,MATCH(I285,'Both teabags AfterDry'!$A$3:$A$2000,0)),"")</f>
        <v>1.716</v>
      </c>
      <c r="R285" s="194">
        <f t="shared" si="25"/>
        <v>0.65539999999999998</v>
      </c>
      <c r="S285" s="194">
        <f t="shared" si="25"/>
        <v>1.5653999999999999</v>
      </c>
      <c r="T285" s="194">
        <f t="shared" si="26"/>
        <v>0.65011744608157174</v>
      </c>
      <c r="U285" s="194">
        <f t="shared" si="27"/>
        <v>0.42620526156416583</v>
      </c>
      <c r="V285" s="194">
        <f t="shared" si="28"/>
        <v>0.81821032824587081</v>
      </c>
      <c r="W285">
        <f t="shared" si="29"/>
        <v>62</v>
      </c>
      <c r="X285" s="194">
        <f t="shared" si="30"/>
        <v>0.22788901890549673</v>
      </c>
      <c r="Y285" s="194">
        <f t="shared" si="31"/>
        <v>8.9685653471852731E-3</v>
      </c>
      <c r="Z285" s="252" t="str">
        <f>IF(ISNUMBER(SEARCH("C", 'Dry_Litterbag Placem_Collection'!$T212)),"YES","NO")</f>
        <v>YES</v>
      </c>
      <c r="AA285" s="252" t="str">
        <f>IF(ISNUMBER(SEARCH("H", 'Dry_Litterbag Placem_Collection'!$T212)),"YES","NO")</f>
        <v>YES</v>
      </c>
      <c r="AB285" s="252" t="str">
        <f>IF(ISNUMBER(SEARCH("R", 'Dry_Litterbag Placem_Collection'!$T212)),"YES","NO")</f>
        <v>NO</v>
      </c>
      <c r="AC285" s="252" t="str">
        <f>IF(ISNUMBER(SEARCH("C", 'Dry_Litterbag Placem_Collection'!$S212)),"YES","NO")</f>
        <v>YES</v>
      </c>
      <c r="AD285" s="252" t="str">
        <f>IF(ISNUMBER(SEARCH("H", 'Dry_Litterbag Placem_Collection'!$S212)),"YES","NO")</f>
        <v>NO</v>
      </c>
      <c r="AE285" s="252" t="str">
        <f>IF(ISNUMBER(SEARCH("R", 'Dry_Litterbag Placem_Collection'!$S212)),"YES","NO")</f>
        <v>YES</v>
      </c>
    </row>
    <row r="286" spans="2:31">
      <c r="B286" t="str">
        <f>'Final data_for_R_analysis_Dryse'!A212</f>
        <v>Dry</v>
      </c>
      <c r="C286" s="260">
        <f>'Final data_for_R_analysis_Dryse'!B212</f>
        <v>211</v>
      </c>
      <c r="D286" t="s">
        <v>2421</v>
      </c>
      <c r="E286" t="s">
        <v>22</v>
      </c>
      <c r="F286" s="382">
        <v>3</v>
      </c>
      <c r="G286" s="16">
        <f>IF('Dry_Litterbag Placem_Collection'!E213="","",'Dry_Litterbag Placem_Collection'!E213)</f>
        <v>42942</v>
      </c>
      <c r="H286" t="str">
        <f>'Final data_for_R_analysis_Dryse'!K212</f>
        <v>G26</v>
      </c>
      <c r="I286" t="str">
        <f>'Final data_for_R_analysis_Dryse'!K432</f>
        <v>R249</v>
      </c>
      <c r="J286">
        <f>IFERROR(INDEX('Green_rooibos initial weight'!$C$5:$C$2000,MATCH(H286, 'Green_rooibos initial weight'!$A$5:$A$2000,0)),"")</f>
        <v>2.1059999999999999</v>
      </c>
      <c r="K286">
        <f>IFERROR(INDEX('Green_rooibos initial weight'!$C$5:$C$2000,MATCH(I286, 'Green_rooibos initial weight'!$A$5:$A$2000,0)),"")</f>
        <v>2.294</v>
      </c>
      <c r="L286" s="194">
        <f t="shared" si="24"/>
        <v>1.8561999999999999</v>
      </c>
      <c r="M286" s="237">
        <f>AVERAGE(Ashed_controlls!$K$1:$K$11)</f>
        <v>5.5147656768714146</v>
      </c>
      <c r="N286" s="194">
        <f>IFERROR(IF(K286&gt;0,(K286*$F$32-($F$29+$F$30)),""),"")</f>
        <v>2.0442</v>
      </c>
      <c r="O286" s="16">
        <f>IF('Dry_Litterbag Placem_Collection'!G213="","",'Dry_Litterbag Placem_Collection'!G213)</f>
        <v>43004</v>
      </c>
      <c r="P286" s="194">
        <f>IFERROR(INDEX('Both teabags AfterDry'!$D$3:$D$2000,MATCH(H286,'Both teabags AfterDry'!$A$3:$A$2000,0)),"")</f>
        <v>0.38400000000000001</v>
      </c>
      <c r="Q286" s="194">
        <f>IFERROR(INDEX('Both teabags AfterDry'!$D$3:$D$2000,MATCH(I286,'Both teabags AfterDry'!$A$3:$A$2000,0)),"")</f>
        <v>1.1160000000000001</v>
      </c>
      <c r="R286" s="194">
        <f t="shared" si="25"/>
        <v>0.2334</v>
      </c>
      <c r="S286" s="194">
        <f t="shared" si="25"/>
        <v>0.96540000000000004</v>
      </c>
      <c r="T286" s="194">
        <f t="shared" si="26"/>
        <v>0.87425923930610927</v>
      </c>
      <c r="U286" s="194">
        <f t="shared" si="27"/>
        <v>0.57314857493702176</v>
      </c>
      <c r="V286" s="194">
        <f t="shared" si="28"/>
        <v>0.47226298796595245</v>
      </c>
      <c r="W286">
        <f t="shared" si="29"/>
        <v>62</v>
      </c>
      <c r="X286" s="194">
        <f t="shared" si="30"/>
        <v>-3.8312635755474167E-2</v>
      </c>
      <c r="Y286" s="194">
        <f t="shared" si="31"/>
        <v>4.0893197001220037E-2</v>
      </c>
      <c r="Z286" s="252" t="str">
        <f>IF(ISNUMBER(SEARCH("C", 'Dry_Litterbag Placem_Collection'!$T213)),"YES","NO")</f>
        <v>YES</v>
      </c>
      <c r="AA286" s="252" t="str">
        <f>IF(ISNUMBER(SEARCH("H", 'Dry_Litterbag Placem_Collection'!$T213)),"YES","NO")</f>
        <v>YES</v>
      </c>
      <c r="AB286" s="252" t="str">
        <f>IF(ISNUMBER(SEARCH("R", 'Dry_Litterbag Placem_Collection'!$T213)),"YES","NO")</f>
        <v>YES</v>
      </c>
      <c r="AC286" s="252" t="str">
        <f>IF(ISNUMBER(SEARCH("C", 'Dry_Litterbag Placem_Collection'!$S213)),"YES","NO")</f>
        <v>NO</v>
      </c>
      <c r="AD286" s="252" t="str">
        <f>IF(ISNUMBER(SEARCH("H", 'Dry_Litterbag Placem_Collection'!$S213)),"YES","NO")</f>
        <v>YES</v>
      </c>
      <c r="AE286" s="252" t="str">
        <f>IF(ISNUMBER(SEARCH("R", 'Dry_Litterbag Placem_Collection'!$S213)),"YES","NO")</f>
        <v>NO</v>
      </c>
    </row>
    <row r="287" spans="2:31">
      <c r="B287" t="str">
        <f>'Final data_for_R_analysis_Dryse'!A213</f>
        <v>Dry</v>
      </c>
      <c r="C287" s="260">
        <f>'Final data_for_R_analysis_Dryse'!B213</f>
        <v>215</v>
      </c>
      <c r="D287" t="s">
        <v>2422</v>
      </c>
      <c r="E287" t="s">
        <v>22</v>
      </c>
      <c r="F287" s="382">
        <v>3</v>
      </c>
      <c r="G287" s="16">
        <f>IF('Dry_Litterbag Placem_Collection'!E214="","",'Dry_Litterbag Placem_Collection'!E214)</f>
        <v>42942</v>
      </c>
      <c r="H287" t="str">
        <f>'Final data_for_R_analysis_Dryse'!K213</f>
        <v>G169</v>
      </c>
      <c r="I287" t="str">
        <f>'Final data_for_R_analysis_Dryse'!K433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24"/>
        <v>1.8151999999999999</v>
      </c>
      <c r="M287" s="237">
        <f>AVERAGE(Ashed_controlls!$K$1:$K$11)</f>
        <v>5.5147656768714146</v>
      </c>
      <c r="N287" s="194">
        <f>IFERROR(IF(K287&gt;0,(K287*$F$32-($F$29+$F$30)),""),"")</f>
        <v>1.8931999999999998</v>
      </c>
      <c r="O287" s="16">
        <f>IF('Dry_Litterbag Placem_Collection'!G214="","",'Dry_Litterbag Placem_Collection'!G214)</f>
        <v>43004</v>
      </c>
      <c r="P287" s="194">
        <f>IFERROR(INDEX('Both teabags AfterDry'!$D$3:$D$2000,MATCH(H287,'Both teabags AfterDry'!$A$3:$A$2000,0)),"")</f>
        <v>0.70899999999999996</v>
      </c>
      <c r="Q287" s="194">
        <f>IFERROR(INDEX('Both teabags AfterDry'!$D$3:$D$2000,MATCH(I287,'Both teabags AfterDry'!$A$3:$A$2000,0)),"")</f>
        <v>1.7356</v>
      </c>
      <c r="R287" s="194">
        <f t="shared" si="25"/>
        <v>0.55840000000000001</v>
      </c>
      <c r="S287" s="194">
        <f t="shared" si="25"/>
        <v>1.585</v>
      </c>
      <c r="T287" s="194">
        <f t="shared" si="26"/>
        <v>0.69237549581313351</v>
      </c>
      <c r="U287" s="194">
        <f t="shared" si="27"/>
        <v>0.45390887611502345</v>
      </c>
      <c r="V287" s="194">
        <f t="shared" si="28"/>
        <v>0.8372068455525038</v>
      </c>
      <c r="W287">
        <f t="shared" si="29"/>
        <v>62</v>
      </c>
      <c r="X287" s="194">
        <f t="shared" si="30"/>
        <v>0.17770131138582712</v>
      </c>
      <c r="Y287" s="194">
        <f t="shared" si="31"/>
        <v>7.1641227001606926E-3</v>
      </c>
      <c r="Z287" s="252" t="str">
        <f>IF(ISNUMBER(SEARCH("C", 'Dry_Litterbag Placem_Collection'!$T214)),"YES","NO")</f>
        <v>NO</v>
      </c>
      <c r="AA287" s="252" t="str">
        <f>IF(ISNUMBER(SEARCH("H", 'Dry_Litterbag Placem_Collection'!$T214)),"YES","NO")</f>
        <v>NO</v>
      </c>
      <c r="AB287" s="252" t="str">
        <f>IF(ISNUMBER(SEARCH("R", 'Dry_Litterbag Placem_Collection'!$T214)),"YES","NO")</f>
        <v>YES</v>
      </c>
      <c r="AC287" s="252" t="str">
        <f>IF(ISNUMBER(SEARCH("C", 'Dry_Litterbag Placem_Collection'!$S214)),"YES","NO")</f>
        <v>NO</v>
      </c>
      <c r="AD287" s="252" t="str">
        <f>IF(ISNUMBER(SEARCH("H", 'Dry_Litterbag Placem_Collection'!$S214)),"YES","NO")</f>
        <v>NO</v>
      </c>
      <c r="AE287" s="252" t="str">
        <f>IF(ISNUMBER(SEARCH("R", 'Dry_Litterbag Placem_Collection'!$S214)),"YES","NO")</f>
        <v>NO</v>
      </c>
    </row>
    <row r="288" spans="2:31">
      <c r="B288" t="str">
        <f>'Final data_for_R_analysis_Dryse'!A214</f>
        <v>Dry</v>
      </c>
      <c r="C288" s="260">
        <f>'Final data_for_R_analysis_Dryse'!B214</f>
        <v>212</v>
      </c>
      <c r="D288" t="s">
        <v>2437</v>
      </c>
      <c r="E288" t="s">
        <v>22</v>
      </c>
      <c r="F288" s="382">
        <v>4</v>
      </c>
      <c r="G288" s="16">
        <f>IF('Dry_Litterbag Placem_Collection'!E215="","",'Dry_Litterbag Placem_Collection'!E215)</f>
        <v>42942</v>
      </c>
      <c r="H288" t="str">
        <f>'Final data_for_R_analysis_Dryse'!K214</f>
        <v>G68</v>
      </c>
      <c r="I288" t="str">
        <f>'Final data_for_R_analysis_Dryse'!K434</f>
        <v>R803</v>
      </c>
      <c r="J288">
        <f>IFERROR(INDEX('Green_rooibos initial weight'!$C$5:$C$2000,MATCH(H288, 'Green_rooibos initial weight'!$A$5:$A$2000,0)),"")</f>
        <v>1.921</v>
      </c>
      <c r="K288">
        <f>IFERROR(INDEX('Green_rooibos initial weight'!$C$5:$C$2000,MATCH(I288, 'Green_rooibos initial weight'!$A$5:$A$2000,0)),"")</f>
        <v>2.1930000000000001</v>
      </c>
      <c r="L288" s="194">
        <f t="shared" si="24"/>
        <v>1.6712</v>
      </c>
      <c r="M288" s="237">
        <f>AVERAGE(Ashed_controlls!$K$1:$K$11)</f>
        <v>5.5147656768714146</v>
      </c>
      <c r="N288" s="194">
        <f>IFERROR(IF(K288&gt;0,(K288*$F$32-($F$29+$F$30)),""),"")</f>
        <v>1.9432</v>
      </c>
      <c r="O288" s="16">
        <f>IF('Dry_Litterbag Placem_Collection'!G215="","",'Dry_Litterbag Placem_Collection'!G215)</f>
        <v>43004</v>
      </c>
      <c r="P288" s="194">
        <f>IFERROR(INDEX('Both teabags AfterDry'!$D$3:$D$2000,MATCH(H288,'Both teabags AfterDry'!$A$3:$A$2000,0)),"")</f>
        <v>0.71</v>
      </c>
      <c r="Q288" s="194">
        <f>IFERROR(INDEX('Both teabags AfterDry'!$D$3:$D$2000,MATCH(I288,'Both teabags AfterDry'!$A$3:$A$2000,0)),"")</f>
        <v>0.78500000000000003</v>
      </c>
      <c r="R288" s="194">
        <f t="shared" si="25"/>
        <v>0.5593999999999999</v>
      </c>
      <c r="S288" s="194">
        <f t="shared" si="25"/>
        <v>0.63440000000000007</v>
      </c>
      <c r="T288" s="194">
        <f t="shared" si="26"/>
        <v>0.66527046433700343</v>
      </c>
      <c r="U288" s="194">
        <f t="shared" si="27"/>
        <v>0.43613930678625412</v>
      </c>
      <c r="V288" s="194">
        <f t="shared" si="28"/>
        <v>0.32647179909427754</v>
      </c>
      <c r="W288">
        <f t="shared" si="29"/>
        <v>62</v>
      </c>
      <c r="X288" s="194">
        <f t="shared" si="30"/>
        <v>0.2098925601698296</v>
      </c>
      <c r="Y288" s="194" t="str">
        <f t="shared" si="31"/>
        <v/>
      </c>
      <c r="Z288" s="252" t="str">
        <f>IF(ISNUMBER(SEARCH("C", 'Dry_Litterbag Placem_Collection'!$T215)),"YES","NO")</f>
        <v>NO</v>
      </c>
      <c r="AA288" s="252" t="str">
        <f>IF(ISNUMBER(SEARCH("H", 'Dry_Litterbag Placem_Collection'!$T215)),"YES","NO")</f>
        <v>YES</v>
      </c>
      <c r="AB288" s="252" t="str">
        <f>IF(ISNUMBER(SEARCH("R", 'Dry_Litterbag Placem_Collection'!$T215)),"YES","NO")</f>
        <v>YES</v>
      </c>
      <c r="AC288" s="252" t="str">
        <f>IF(ISNUMBER(SEARCH("C", 'Dry_Litterbag Placem_Collection'!$S215)),"YES","NO")</f>
        <v>NO</v>
      </c>
      <c r="AD288" s="252" t="str">
        <f>IF(ISNUMBER(SEARCH("H", 'Dry_Litterbag Placem_Collection'!$S215)),"YES","NO")</f>
        <v>YES</v>
      </c>
      <c r="AE288" s="252" t="str">
        <f>IF(ISNUMBER(SEARCH("R", 'Dry_Litterbag Placem_Collection'!$S215)),"YES","NO")</f>
        <v>YES</v>
      </c>
    </row>
    <row r="289" spans="2:31">
      <c r="B289" t="str">
        <f>'Final data_for_R_analysis_Dryse'!A215</f>
        <v>Dry</v>
      </c>
      <c r="C289" s="260">
        <f>'Final data_for_R_analysis_Dryse'!B215</f>
        <v>213</v>
      </c>
      <c r="D289" t="s">
        <v>2445</v>
      </c>
      <c r="E289" t="s">
        <v>22</v>
      </c>
      <c r="F289" s="382">
        <v>1</v>
      </c>
      <c r="G289" s="16">
        <f>IF('Dry_Litterbag Placem_Collection'!E216="","",'Dry_Litterbag Placem_Collection'!E216)</f>
        <v>42942</v>
      </c>
      <c r="H289" t="str">
        <f>'Final data_for_R_analysis_Dryse'!K215</f>
        <v>G143</v>
      </c>
      <c r="I289" t="str">
        <f>'Final data_for_R_analysis_Dryse'!K435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24"/>
        <v>1.6952</v>
      </c>
      <c r="M289" s="237">
        <f>AVERAGE(Ashed_controlls!$K$1:$K$11)</f>
        <v>5.5147656768714146</v>
      </c>
      <c r="N289" s="194">
        <f>IFERROR(IF(K289&gt;0,(K289*$F$32-($F$29+$F$30)),""),"")</f>
        <v>1.9361999999999999</v>
      </c>
      <c r="O289" s="16">
        <f>IF('Dry_Litterbag Placem_Collection'!G216="","",'Dry_Litterbag Placem_Collection'!G216)</f>
        <v>43004</v>
      </c>
      <c r="P289" s="194">
        <f>IFERROR(INDEX('Both teabags AfterDry'!$D$3:$D$2000,MATCH(H289,'Both teabags AfterDry'!$A$3:$A$2000,0)),"")</f>
        <v>0.57899999999999996</v>
      </c>
      <c r="Q289" s="194">
        <f>IFERROR(INDEX('Both teabags AfterDry'!$D$3:$D$2000,MATCH(I289,'Both teabags AfterDry'!$A$3:$A$2000,0)),"")</f>
        <v>1.6859999999999999</v>
      </c>
      <c r="R289" s="194">
        <f t="shared" si="25"/>
        <v>0.42839999999999995</v>
      </c>
      <c r="S289" s="194">
        <f t="shared" si="25"/>
        <v>1.5353999999999999</v>
      </c>
      <c r="T289" s="194">
        <f t="shared" si="26"/>
        <v>0.74728645587541298</v>
      </c>
      <c r="U289" s="194">
        <f t="shared" si="27"/>
        <v>0.48990751026511642</v>
      </c>
      <c r="V289" s="194">
        <f t="shared" si="28"/>
        <v>0.79299659126123334</v>
      </c>
      <c r="W289">
        <f t="shared" si="29"/>
        <v>62</v>
      </c>
      <c r="X289" s="194">
        <f t="shared" si="30"/>
        <v>0.11248639444725295</v>
      </c>
      <c r="Y289" s="194">
        <f t="shared" si="31"/>
        <v>8.8565910060626613E-3</v>
      </c>
      <c r="Z289" s="252" t="str">
        <f>IF(ISNUMBER(SEARCH("C", 'Dry_Litterbag Placem_Collection'!$T216)),"YES","NO")</f>
        <v>NO</v>
      </c>
      <c r="AA289" s="252" t="str">
        <f>IF(ISNUMBER(SEARCH("H", 'Dry_Litterbag Placem_Collection'!$T216)),"YES","NO")</f>
        <v>NO</v>
      </c>
      <c r="AB289" s="252" t="str">
        <f>IF(ISNUMBER(SEARCH("R", 'Dry_Litterbag Placem_Collection'!$T216)),"YES","NO")</f>
        <v>YES</v>
      </c>
      <c r="AC289" s="252" t="str">
        <f>IF(ISNUMBER(SEARCH("C", 'Dry_Litterbag Placem_Collection'!$S216)),"YES","NO")</f>
        <v>NO</v>
      </c>
      <c r="AD289" s="252" t="str">
        <f>IF(ISNUMBER(SEARCH("H", 'Dry_Litterbag Placem_Collection'!$S216)),"YES","NO")</f>
        <v>NO</v>
      </c>
      <c r="AE289" s="252" t="str">
        <f>IF(ISNUMBER(SEARCH("R", 'Dry_Litterbag Placem_Collection'!$S216)),"YES","NO")</f>
        <v>YES</v>
      </c>
    </row>
    <row r="290" spans="2:31">
      <c r="B290" t="str">
        <f>'Final data_for_R_analysis_Dryse'!A216</f>
        <v>Dry</v>
      </c>
      <c r="C290" s="260">
        <f>'Final data_for_R_analysis_Dryse'!B216</f>
        <v>214</v>
      </c>
      <c r="D290" t="s">
        <v>2438</v>
      </c>
      <c r="E290" t="s">
        <v>22</v>
      </c>
      <c r="F290" s="382">
        <v>2</v>
      </c>
      <c r="G290" s="16">
        <f>IF('Dry_Litterbag Placem_Collection'!E217="","",'Dry_Litterbag Placem_Collection'!E217)</f>
        <v>42942</v>
      </c>
      <c r="H290" t="str">
        <f>'Final data_for_R_analysis_Dryse'!K216</f>
        <v>G128</v>
      </c>
      <c r="I290" t="str">
        <f>'Final data_for_R_analysis_Dryse'!K436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24"/>
        <v>1.7721999999999998</v>
      </c>
      <c r="M290" s="237">
        <f>AVERAGE(Ashed_controlls!$K$1:$K$11)</f>
        <v>5.5147656768714146</v>
      </c>
      <c r="N290" s="194">
        <f>IFERROR(IF(K290&gt;0,(K290*$F$32-($F$29+$F$30)),""),"")</f>
        <v>1.8742000000000001</v>
      </c>
      <c r="O290" s="16">
        <f>IF('Dry_Litterbag Placem_Collection'!G217="","",'Dry_Litterbag Placem_Collection'!G217)</f>
        <v>43004</v>
      </c>
      <c r="P290" s="194">
        <f>IFERROR(INDEX('Both teabags AfterDry'!$D$3:$D$2000,MATCH(H290,'Both teabags AfterDry'!$A$3:$A$2000,0)),"")</f>
        <v>0.70599999999999996</v>
      </c>
      <c r="Q290" s="194">
        <f>IFERROR(INDEX('Both teabags AfterDry'!$D$3:$D$2000,MATCH(I290,'Both teabags AfterDry'!$A$3:$A$2000,0)),"")</f>
        <v>1.7569999999999999</v>
      </c>
      <c r="R290" s="194">
        <f t="shared" si="25"/>
        <v>0.55539999999999989</v>
      </c>
      <c r="S290" s="194">
        <f t="shared" si="25"/>
        <v>1.6063999999999998</v>
      </c>
      <c r="T290" s="194">
        <f t="shared" si="26"/>
        <v>0.68660422074257987</v>
      </c>
      <c r="U290" s="194">
        <f t="shared" si="27"/>
        <v>0.4501253323633066</v>
      </c>
      <c r="V290" s="194">
        <f t="shared" si="28"/>
        <v>0.85711236794365586</v>
      </c>
      <c r="W290">
        <f t="shared" si="29"/>
        <v>62</v>
      </c>
      <c r="X290" s="194">
        <f t="shared" si="30"/>
        <v>0.18455555731285045</v>
      </c>
      <c r="Y290" s="194">
        <f t="shared" si="31"/>
        <v>6.1597474879298165E-3</v>
      </c>
      <c r="Z290" s="252" t="str">
        <f>IF(ISNUMBER(SEARCH("C", 'Dry_Litterbag Placem_Collection'!$T217)),"YES","NO")</f>
        <v>NO</v>
      </c>
      <c r="AA290" s="252" t="str">
        <f>IF(ISNUMBER(SEARCH("H", 'Dry_Litterbag Placem_Collection'!$T217)),"YES","NO")</f>
        <v>YES</v>
      </c>
      <c r="AB290" s="252" t="str">
        <f>IF(ISNUMBER(SEARCH("R", 'Dry_Litterbag Placem_Collection'!$T217)),"YES","NO")</f>
        <v>YES</v>
      </c>
      <c r="AC290" s="252" t="str">
        <f>IF(ISNUMBER(SEARCH("C", 'Dry_Litterbag Placem_Collection'!$S217)),"YES","NO")</f>
        <v>NO</v>
      </c>
      <c r="AD290" s="252" t="str">
        <f>IF(ISNUMBER(SEARCH("H", 'Dry_Litterbag Placem_Collection'!$S217)),"YES","NO")</f>
        <v>YES</v>
      </c>
      <c r="AE290" s="252" t="str">
        <f>IF(ISNUMBER(SEARCH("R", 'Dry_Litterbag Placem_Collection'!$S217)),"YES","NO")</f>
        <v>NO</v>
      </c>
    </row>
    <row r="291" spans="2:31">
      <c r="B291" t="str">
        <f>'Final data_for_R_analysis_Dryse'!A217</f>
        <v>Dry</v>
      </c>
      <c r="C291" s="260">
        <f>'Final data_for_R_analysis_Dryse'!B217</f>
        <v>216</v>
      </c>
      <c r="D291" t="s">
        <v>2431</v>
      </c>
      <c r="E291" t="s">
        <v>22</v>
      </c>
      <c r="F291" s="382">
        <v>4</v>
      </c>
      <c r="G291" s="16">
        <f>IF('Dry_Litterbag Placem_Collection'!E218="","",'Dry_Litterbag Placem_Collection'!E218)</f>
        <v>42942</v>
      </c>
      <c r="H291" t="str">
        <f>'Final data_for_R_analysis_Dryse'!K217</f>
        <v>G95</v>
      </c>
      <c r="I291" t="str">
        <f>'Final data_for_R_analysis_Dryse'!K437</f>
        <v>R379</v>
      </c>
      <c r="J291">
        <f>IFERROR(INDEX('Green_rooibos initial weight'!$C$5:$C$2000,MATCH(H291, 'Green_rooibos initial weight'!$A$5:$A$2000,0)),"")</f>
        <v>2.1110000000000002</v>
      </c>
      <c r="K291">
        <f>IFERROR(INDEX('Green_rooibos initial weight'!$C$5:$C$2000,MATCH(I291, 'Green_rooibos initial weight'!$A$5:$A$2000,0)),"")</f>
        <v>2.246</v>
      </c>
      <c r="L291" s="194">
        <f t="shared" si="24"/>
        <v>1.8612000000000002</v>
      </c>
      <c r="M291" s="237">
        <f>AVERAGE(Ashed_controlls!$K$1:$K$11)</f>
        <v>5.5147656768714146</v>
      </c>
      <c r="N291" s="194">
        <f>IFERROR(IF(K291&gt;0,(K291*$F$32-($F$29+$F$30)),""),"")</f>
        <v>1.9962</v>
      </c>
      <c r="O291" s="16">
        <f>IF('Dry_Litterbag Placem_Collection'!G218="","",'Dry_Litterbag Placem_Collection'!G218)</f>
        <v>43004</v>
      </c>
      <c r="P291" s="194">
        <f>IFERROR(INDEX('Both teabags AfterDry'!$D$3:$D$2000,MATCH(H291,'Both teabags AfterDry'!$A$3:$A$2000,0)),"")</f>
        <v>0.80600000000000005</v>
      </c>
      <c r="Q291" s="194">
        <f>IFERROR(INDEX('Both teabags AfterDry'!$D$3:$D$2000,MATCH(I291,'Both teabags AfterDry'!$A$3:$A$2000,0)),"")</f>
        <v>1.736</v>
      </c>
      <c r="R291" s="194">
        <f t="shared" si="25"/>
        <v>0.65539999999999998</v>
      </c>
      <c r="S291" s="194">
        <f t="shared" si="25"/>
        <v>1.5853999999999999</v>
      </c>
      <c r="T291" s="194">
        <f t="shared" si="26"/>
        <v>0.6478615946701054</v>
      </c>
      <c r="U291" s="194">
        <f t="shared" si="27"/>
        <v>0.42472636610201686</v>
      </c>
      <c r="V291" s="194">
        <f t="shared" si="28"/>
        <v>0.79420899709447945</v>
      </c>
      <c r="W291">
        <f t="shared" si="29"/>
        <v>62</v>
      </c>
      <c r="X291" s="194">
        <f t="shared" si="30"/>
        <v>0.23056817735141877</v>
      </c>
      <c r="Y291" s="194">
        <f t="shared" si="31"/>
        <v>1.0688202839848671E-2</v>
      </c>
      <c r="Z291" s="252" t="str">
        <f>IF(ISNUMBER(SEARCH("C", 'Dry_Litterbag Placem_Collection'!$T218)),"YES","NO")</f>
        <v>NO</v>
      </c>
      <c r="AA291" s="252" t="str">
        <f>IF(ISNUMBER(SEARCH("H", 'Dry_Litterbag Placem_Collection'!$T218)),"YES","NO")</f>
        <v>NO</v>
      </c>
      <c r="AB291" s="252" t="str">
        <f>IF(ISNUMBER(SEARCH("R", 'Dry_Litterbag Placem_Collection'!$T218)),"YES","NO")</f>
        <v>NO</v>
      </c>
      <c r="AC291" s="252" t="str">
        <f>IF(ISNUMBER(SEARCH("C", 'Dry_Litterbag Placem_Collection'!$S218)),"YES","NO")</f>
        <v>NO</v>
      </c>
      <c r="AD291" s="252" t="str">
        <f>IF(ISNUMBER(SEARCH("H", 'Dry_Litterbag Placem_Collection'!$S218)),"YES","NO")</f>
        <v>NO</v>
      </c>
      <c r="AE291" s="252" t="str">
        <f>IF(ISNUMBER(SEARCH("R", 'Dry_Litterbag Placem_Collection'!$S218)),"YES","NO")</f>
        <v>NO</v>
      </c>
    </row>
    <row r="292" spans="2:31">
      <c r="B292" t="str">
        <f>'Final data_for_R_analysis_Dryse'!A218</f>
        <v>Dry</v>
      </c>
      <c r="C292" s="260">
        <f>'Final data_for_R_analysis_Dryse'!B218</f>
        <v>217</v>
      </c>
      <c r="D292" t="s">
        <v>2424</v>
      </c>
      <c r="E292" t="s">
        <v>22</v>
      </c>
      <c r="F292" s="382">
        <v>1</v>
      </c>
      <c r="G292" s="16">
        <f>IF('Dry_Litterbag Placem_Collection'!E219="","",'Dry_Litterbag Placem_Collection'!E219)</f>
        <v>42942</v>
      </c>
      <c r="H292" t="str">
        <f>'Final data_for_R_analysis_Dryse'!K218</f>
        <v>G313</v>
      </c>
      <c r="I292" t="str">
        <f>'Final data_for_R_analysis_Dryse'!K438</f>
        <v>R771</v>
      </c>
      <c r="J292">
        <f>IFERROR(INDEX('Green_rooibos initial weight'!$C$5:$C$2000,MATCH(H292, 'Green_rooibos initial weight'!$A$5:$A$2000,0)),"")</f>
        <v>1.923</v>
      </c>
      <c r="K292">
        <f>IFERROR(INDEX('Green_rooibos initial weight'!$C$5:$C$2000,MATCH(I292, 'Green_rooibos initial weight'!$A$5:$A$2000,0)),"")</f>
        <v>2.2309999999999999</v>
      </c>
      <c r="L292" s="194">
        <f t="shared" si="24"/>
        <v>1.6732</v>
      </c>
      <c r="M292" s="237">
        <f>AVERAGE(Ashed_controlls!$K$1:$K$11)</f>
        <v>5.5147656768714146</v>
      </c>
      <c r="N292" s="194">
        <f>IFERROR(IF(K292&gt;0,(K292*$F$32-($F$29+$F$30)),""),"")</f>
        <v>1.9811999999999999</v>
      </c>
      <c r="O292" s="16">
        <f>IF('Dry_Litterbag Placem_Collection'!G219="","",'Dry_Litterbag Placem_Collection'!G219)</f>
        <v>43004</v>
      </c>
      <c r="P292" s="194">
        <f>IFERROR(INDEX('Both teabags AfterDry'!$D$3:$D$2000,MATCH(H292,'Both teabags AfterDry'!$A$3:$A$2000,0)),"")</f>
        <v>0.74719999999999998</v>
      </c>
      <c r="Q292" s="194">
        <f>IFERROR(INDEX('Both teabags AfterDry'!$D$3:$D$2000,MATCH(I292,'Both teabags AfterDry'!$A$3:$A$2000,0)),"")</f>
        <v>1.0895999999999999</v>
      </c>
      <c r="R292" s="194">
        <f t="shared" si="25"/>
        <v>0.59660000000000002</v>
      </c>
      <c r="S292" s="194">
        <f t="shared" si="25"/>
        <v>0.93899999999999983</v>
      </c>
      <c r="T292" s="194">
        <f t="shared" si="26"/>
        <v>0.64343772412144395</v>
      </c>
      <c r="U292" s="194">
        <f t="shared" si="27"/>
        <v>0.42182615643116045</v>
      </c>
      <c r="V292" s="194">
        <f t="shared" si="28"/>
        <v>0.47395517867958809</v>
      </c>
      <c r="W292">
        <f t="shared" si="29"/>
        <v>62</v>
      </c>
      <c r="X292" s="194">
        <f t="shared" si="30"/>
        <v>0.23582218037833258</v>
      </c>
      <c r="Y292" s="194" t="str">
        <f t="shared" si="31"/>
        <v/>
      </c>
      <c r="Z292" s="252" t="str">
        <f>IF(ISNUMBER(SEARCH("C", 'Dry_Litterbag Placem_Collection'!$T219)),"YES","NO")</f>
        <v>NO</v>
      </c>
      <c r="AA292" s="252" t="str">
        <f>IF(ISNUMBER(SEARCH("H", 'Dry_Litterbag Placem_Collection'!$T219)),"YES","NO")</f>
        <v>YES</v>
      </c>
      <c r="AB292" s="252" t="str">
        <f>IF(ISNUMBER(SEARCH("R", 'Dry_Litterbag Placem_Collection'!$T219)),"YES","NO")</f>
        <v>YES</v>
      </c>
      <c r="AC292" s="252" t="str">
        <f>IF(ISNUMBER(SEARCH("C", 'Dry_Litterbag Placem_Collection'!$S219)),"YES","NO")</f>
        <v>NO</v>
      </c>
      <c r="AD292" s="252" t="str">
        <f>IF(ISNUMBER(SEARCH("H", 'Dry_Litterbag Placem_Collection'!$S219)),"YES","NO")</f>
        <v>YES</v>
      </c>
      <c r="AE292" s="252" t="str">
        <f>IF(ISNUMBER(SEARCH("R", 'Dry_Litterbag Placem_Collection'!$S219)),"YES","NO")</f>
        <v>YES</v>
      </c>
    </row>
    <row r="293" spans="2:31">
      <c r="B293" t="str">
        <f>'Final data_for_R_analysis_Dryse'!A219</f>
        <v>Dry</v>
      </c>
      <c r="C293" s="260">
        <f>'Final data_for_R_analysis_Dryse'!B219</f>
        <v>218</v>
      </c>
      <c r="D293" t="s">
        <v>2432</v>
      </c>
      <c r="E293" t="s">
        <v>22</v>
      </c>
      <c r="F293" s="382">
        <v>2</v>
      </c>
      <c r="G293" s="16">
        <f>IF('Dry_Litterbag Placem_Collection'!E220="","",'Dry_Litterbag Placem_Collection'!E220)</f>
        <v>42942</v>
      </c>
      <c r="H293" t="str">
        <f>'Final data_for_R_analysis_Dryse'!K219</f>
        <v>G485</v>
      </c>
      <c r="I293" t="str">
        <f>'Final data_for_R_analysis_Dryse'!K439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24"/>
        <v>1.7392000000000001</v>
      </c>
      <c r="M293" s="237">
        <f>AVERAGE(Ashed_controlls!$K$1:$K$11)</f>
        <v>5.5147656768714146</v>
      </c>
      <c r="N293" s="194">
        <f>IFERROR(IF(K293&gt;0,(K293*$F$32-($F$29+$F$30)),""),"")</f>
        <v>1.8582000000000001</v>
      </c>
      <c r="O293" s="16">
        <f>IF('Dry_Litterbag Placem_Collection'!G220="","",'Dry_Litterbag Placem_Collection'!G220)</f>
        <v>43004</v>
      </c>
      <c r="P293" s="194">
        <f>IFERROR(INDEX('Both teabags AfterDry'!$D$3:$D$2000,MATCH(H293,'Both teabags AfterDry'!$A$3:$A$2000,0)),"")</f>
        <v>0.66900000000000004</v>
      </c>
      <c r="Q293" s="194">
        <f>IFERROR(INDEX('Both teabags AfterDry'!$D$3:$D$2000,MATCH(I293,'Both teabags AfterDry'!$A$3:$A$2000,0)),"")</f>
        <v>0.17100000000000001</v>
      </c>
      <c r="R293" s="194">
        <f t="shared" si="25"/>
        <v>0.51839999999999997</v>
      </c>
      <c r="S293" s="194">
        <f t="shared" si="25"/>
        <v>2.0400000000000001E-2</v>
      </c>
      <c r="T293" s="194">
        <f t="shared" si="26"/>
        <v>0.70193192272309113</v>
      </c>
      <c r="U293" s="194">
        <f t="shared" si="27"/>
        <v>0.46017389708212153</v>
      </c>
      <c r="V293" s="194">
        <f t="shared" si="28"/>
        <v>1.0978366160800775E-2</v>
      </c>
      <c r="W293">
        <f t="shared" si="29"/>
        <v>62</v>
      </c>
      <c r="X293" s="194">
        <f t="shared" si="30"/>
        <v>0.16635163572079437</v>
      </c>
      <c r="Y293" s="194" t="str">
        <f t="shared" si="31"/>
        <v/>
      </c>
      <c r="Z293" s="252" t="str">
        <f>IF(ISNUMBER(SEARCH("C", 'Dry_Litterbag Placem_Collection'!$T220)),"YES","NO")</f>
        <v>NO</v>
      </c>
      <c r="AA293" s="252" t="str">
        <f>IF(ISNUMBER(SEARCH("H", 'Dry_Litterbag Placem_Collection'!$T220)),"YES","NO")</f>
        <v>YES</v>
      </c>
      <c r="AB293" s="252" t="str">
        <f>IF(ISNUMBER(SEARCH("R", 'Dry_Litterbag Placem_Collection'!$T220)),"YES","NO")</f>
        <v>YES</v>
      </c>
      <c r="AC293" s="252" t="str">
        <f>IF(ISNUMBER(SEARCH("C", 'Dry_Litterbag Placem_Collection'!$S220)),"YES","NO")</f>
        <v>NO</v>
      </c>
      <c r="AD293" s="252" t="str">
        <f>IF(ISNUMBER(SEARCH("H", 'Dry_Litterbag Placem_Collection'!$S220)),"YES","NO")</f>
        <v>NO</v>
      </c>
      <c r="AE293" s="252" t="str">
        <f>IF(ISNUMBER(SEARCH("R", 'Dry_Litterbag Placem_Collection'!$S220)),"YES","NO")</f>
        <v>YES</v>
      </c>
    </row>
    <row r="294" spans="2:31">
      <c r="B294" t="str">
        <f>'Final data_for_R_analysis_Dryse'!A220</f>
        <v>Dry</v>
      </c>
      <c r="C294" s="381">
        <f>'Final data_for_R_analysis_Dryse'!B220</f>
        <v>219</v>
      </c>
      <c r="D294" t="s">
        <v>2439</v>
      </c>
      <c r="E294" t="s">
        <v>22</v>
      </c>
      <c r="F294" s="382">
        <v>3</v>
      </c>
      <c r="G294" s="16">
        <f>IF('Dry_Litterbag Placem_Collection'!E221="","",'Dry_Litterbag Placem_Collection'!E221)</f>
        <v>42942</v>
      </c>
      <c r="H294" s="92" t="str">
        <f>'Final data_for_R_analysis_Dryse'!K220</f>
        <v>G196</v>
      </c>
      <c r="I294" s="92" t="str">
        <f>'Final data_for_R_analysis_Dryse'!K440</f>
        <v>R178</v>
      </c>
      <c r="J294">
        <f>IFERROR(INDEX('Green_rooibos initial weight'!$C$5:$C$2000,MATCH(H294, 'Green_rooibos initial weight'!$A$5:$A$2000,0)),"")</f>
        <v>2.028</v>
      </c>
      <c r="K294">
        <f>IFERROR(INDEX('Green_rooibos initial weight'!$C$5:$C$2000,MATCH(I294, 'Green_rooibos initial weight'!$A$5:$A$2000,0)),"")</f>
        <v>2.222</v>
      </c>
      <c r="L294" s="194">
        <f t="shared" si="24"/>
        <v>1.7782</v>
      </c>
      <c r="M294" s="237">
        <f>AVERAGE(Ashed_controlls!$K$1:$K$11)</f>
        <v>5.5147656768714146</v>
      </c>
      <c r="N294" s="194">
        <f>IFERROR(IF(K294&gt;0,(K294*$F$32-($F$29+$F$30)),""),"")</f>
        <v>1.9722</v>
      </c>
      <c r="O294" s="16">
        <f>IF('Dry_Litterbag Placem_Collection'!G221="","",'Dry_Litterbag Placem_Collection'!G221)</f>
        <v>43004</v>
      </c>
      <c r="P294" s="194">
        <f>IFERROR(INDEX('Both teabags AfterDry'!$D$3:$D$2000,MATCH(H294,'Both teabags AfterDry'!$A$3:$A$2000,0)),"")</f>
        <v>0.5756</v>
      </c>
      <c r="Q294" s="194">
        <f>IFERROR(INDEX('Both teabags AfterDry'!$D$3:$D$2000,MATCH(I294,'Both teabags AfterDry'!$A$3:$A$2000,0)),"")</f>
        <v>1.8229</v>
      </c>
      <c r="R294" s="194">
        <f t="shared" si="25"/>
        <v>0.42499999999999999</v>
      </c>
      <c r="S294" s="194">
        <f t="shared" si="25"/>
        <v>1.6722999999999999</v>
      </c>
      <c r="T294" s="194">
        <f t="shared" si="26"/>
        <v>0.76099426386233271</v>
      </c>
      <c r="U294" s="194">
        <f t="shared" si="27"/>
        <v>0.49889410172447468</v>
      </c>
      <c r="V294" s="194">
        <f t="shared" si="28"/>
        <v>0.84793631477537768</v>
      </c>
      <c r="W294">
        <f t="shared" si="29"/>
        <v>62</v>
      </c>
      <c r="X294" s="194">
        <f t="shared" si="30"/>
        <v>9.6206337455661872E-2</v>
      </c>
      <c r="Y294" s="194">
        <f t="shared" si="31"/>
        <v>5.8638371775115664E-3</v>
      </c>
      <c r="Z294" s="252" t="str">
        <f>IF(ISNUMBER(SEARCH("C", 'Dry_Litterbag Placem_Collection'!$T221)),"YES","NO")</f>
        <v>NO</v>
      </c>
      <c r="AA294" s="252" t="str">
        <f>IF(ISNUMBER(SEARCH("H", 'Dry_Litterbag Placem_Collection'!$T221)),"YES","NO")</f>
        <v>NO</v>
      </c>
      <c r="AB294" s="252" t="str">
        <f>IF(ISNUMBER(SEARCH("R", 'Dry_Litterbag Placem_Collection'!$T221)),"YES","NO")</f>
        <v>YES</v>
      </c>
      <c r="AC294" s="252" t="str">
        <f>IF(ISNUMBER(SEARCH("C", 'Dry_Litterbag Placem_Collection'!$S221)),"YES","NO")</f>
        <v>NO</v>
      </c>
      <c r="AD294" s="252" t="str">
        <f>IF(ISNUMBER(SEARCH("H", 'Dry_Litterbag Placem_Collection'!$S221)),"YES","NO")</f>
        <v>YES</v>
      </c>
      <c r="AE294" s="252" t="str">
        <f>IF(ISNUMBER(SEARCH("R", 'Dry_Litterbag Placem_Collection'!$S221)),"YES","NO")</f>
        <v>YES</v>
      </c>
    </row>
    <row r="295" spans="2:31">
      <c r="B295" t="str">
        <f>'Final data_for_R_analysis_Dryse'!A221</f>
        <v>Dry</v>
      </c>
      <c r="C295" s="381">
        <f>'Final data_for_R_analysis_Dryse'!B221</f>
        <v>220</v>
      </c>
      <c r="D295" t="s">
        <v>2446</v>
      </c>
      <c r="E295" t="s">
        <v>22</v>
      </c>
      <c r="F295" s="382">
        <v>4</v>
      </c>
      <c r="G295" s="16">
        <f>IF('Dry_Litterbag Placem_Collection'!E222="","",'Dry_Litterbag Placem_Collection'!E222)</f>
        <v>42942</v>
      </c>
      <c r="H295" s="92" t="str">
        <f>'Final data_for_R_analysis_Dryse'!K221</f>
        <v>G39</v>
      </c>
      <c r="I295" s="92" t="str">
        <f>'Final data_for_R_analysis_Dryse'!K441</f>
        <v>R194</v>
      </c>
      <c r="J295">
        <f>IFERROR(INDEX('Green_rooibos initial weight'!$C$5:$C$2000,MATCH(H295, 'Green_rooibos initial weight'!$A$5:$A$2000,0)),"")</f>
        <v>2.0670000000000002</v>
      </c>
      <c r="K295">
        <f>IFERROR(INDEX('Green_rooibos initial weight'!$C$5:$C$2000,MATCH(I295, 'Green_rooibos initial weight'!$A$5:$A$2000,0)),"")</f>
        <v>2.149</v>
      </c>
      <c r="L295" s="194">
        <f t="shared" si="24"/>
        <v>1.8172000000000001</v>
      </c>
      <c r="M295" s="237">
        <f>AVERAGE(Ashed_controlls!$K$1:$K$11)</f>
        <v>5.5147656768714146</v>
      </c>
      <c r="N295" s="194">
        <f>IFERROR(IF(K295&gt;0,(K295*$F$32-($F$29+$F$30)),""),"")</f>
        <v>1.8992</v>
      </c>
      <c r="O295" s="16">
        <f>IF('Dry_Litterbag Placem_Collection'!G222="","",'Dry_Litterbag Placem_Collection'!G222)</f>
        <v>43004</v>
      </c>
      <c r="P295" s="194" t="str">
        <f>IFERROR(INDEX('Both teabags AfterDry'!$D$3:$D$2000,MATCH(H295,'Both teabags AfterDry'!$A$3:$A$2000,0)),"")</f>
        <v/>
      </c>
      <c r="Q295" s="194" t="str">
        <f>IFERROR(INDEX('Both teabags AfterDry'!$D$3:$D$2000,MATCH(I295,'Both teabags AfterDry'!$A$3:$A$2000,0)),"")</f>
        <v/>
      </c>
      <c r="R295" s="194" t="str">
        <f t="shared" si="25"/>
        <v/>
      </c>
      <c r="S295" s="194" t="str">
        <f t="shared" si="25"/>
        <v/>
      </c>
      <c r="T295" s="194" t="str">
        <f t="shared" si="26"/>
        <v/>
      </c>
      <c r="U295" s="194" t="str">
        <f t="shared" si="27"/>
        <v/>
      </c>
      <c r="V295" s="194" t="str">
        <f t="shared" si="28"/>
        <v/>
      </c>
      <c r="W295">
        <f t="shared" si="29"/>
        <v>62</v>
      </c>
      <c r="X295" s="194" t="str">
        <f t="shared" si="30"/>
        <v/>
      </c>
      <c r="Y295" s="194" t="str">
        <f t="shared" si="31"/>
        <v/>
      </c>
      <c r="Z295" s="252" t="str">
        <f>IF(ISNUMBER(SEARCH("C", 'Dry_Litterbag Placem_Collection'!$T222)),"YES","NO")</f>
        <v>YES</v>
      </c>
      <c r="AA295" s="252" t="str">
        <f>IF(ISNUMBER(SEARCH("H", 'Dry_Litterbag Placem_Collection'!$T222)),"YES","NO")</f>
        <v>YES</v>
      </c>
      <c r="AB295" s="252" t="str">
        <f>IF(ISNUMBER(SEARCH("R", 'Dry_Litterbag Placem_Collection'!$T222)),"YES","NO")</f>
        <v>YES</v>
      </c>
      <c r="AC295" s="252" t="str">
        <f>IF(ISNUMBER(SEARCH("C", 'Dry_Litterbag Placem_Collection'!$S222)),"YES","NO")</f>
        <v>NO</v>
      </c>
      <c r="AD295" s="252" t="str">
        <f>IF(ISNUMBER(SEARCH("H", 'Dry_Litterbag Placem_Collection'!$S222)),"YES","NO")</f>
        <v>NO</v>
      </c>
      <c r="AE295" s="252" t="str">
        <f>IF(ISNUMBER(SEARCH("R", 'Dry_Litterbag Placem_Collection'!$S222)),"YES","NO")</f>
        <v>YES</v>
      </c>
    </row>
    <row r="296" spans="2:31">
      <c r="B296" t="str">
        <f>'Final data_for_R_analysis_Dryse'!A442</f>
        <v>Dry</v>
      </c>
      <c r="C296" s="381">
        <f>'Final data_for_R_analysis_Dryse'!B442</f>
        <v>1</v>
      </c>
      <c r="D296" t="s">
        <v>3798</v>
      </c>
      <c r="E296" t="s">
        <v>25</v>
      </c>
      <c r="F296" s="381">
        <v>1</v>
      </c>
      <c r="G296" s="383">
        <f>IF('Dry_Litterbag Placem_Collection'!E3="","",'Dry_Litterbag Placem_Collection'!E3)</f>
        <v>42938</v>
      </c>
      <c r="H296" s="92" t="str">
        <f>'Final data_for_R_analysis_Dryse'!K442</f>
        <v>G377</v>
      </c>
      <c r="I296" s="92" t="str">
        <f>'Final data_for_R_analysis_Dryse'!K662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24"/>
        <v>1.8532000000000002</v>
      </c>
      <c r="M296" s="237">
        <f>AVERAGE(Ashed_controlls!$K$1:$K$11)</f>
        <v>5.5147656768714146</v>
      </c>
      <c r="N296" s="194">
        <f>IFERROR(IF(K296&gt;0,(K296*$F$32-($F$29+$F$30)),""),"")</f>
        <v>1.9792000000000001</v>
      </c>
      <c r="O296" s="383">
        <f>IF('Dry_Litterbag Placem_Collection'!G3="","",'Dry_Litterbag Placem_Collection'!G3)</f>
        <v>43007</v>
      </c>
      <c r="P296" s="194">
        <f>IFERROR(INDEX('Both teabags AfterDry'!$D$3:$D$2000,MATCH(H296,'Both teabags AfterDry'!$A$3:$A$2000,0)),"")</f>
        <v>1.3894</v>
      </c>
      <c r="Q296" s="194">
        <f>IFERROR(INDEX('Both teabags AfterDry'!$D$3:$D$2000,MATCH(I296,'Both teabags AfterDry'!$A$3:$A$2000,0)),"")</f>
        <v>1.8874</v>
      </c>
      <c r="R296" s="194">
        <f t="shared" si="25"/>
        <v>1.2387999999999999</v>
      </c>
      <c r="S296" s="194">
        <f t="shared" si="25"/>
        <v>1.7367999999999999</v>
      </c>
      <c r="T296" s="194">
        <f t="shared" si="26"/>
        <v>0.33153464278005629</v>
      </c>
      <c r="U296" s="194">
        <f t="shared" si="27"/>
        <v>0.21734812685818419</v>
      </c>
      <c r="V296" s="194">
        <f t="shared" si="28"/>
        <v>0.87752627324171373</v>
      </c>
      <c r="W296">
        <f t="shared" si="29"/>
        <v>69</v>
      </c>
      <c r="X296" s="194">
        <f t="shared" si="30"/>
        <v>0.60625339337285478</v>
      </c>
      <c r="Y296" s="194">
        <f t="shared" si="31"/>
        <v>1.2013716328547849E-2</v>
      </c>
      <c r="Z296" s="252" t="str">
        <f>IF(ISNUMBER(SEARCH("C", 'Dry_Litterbag Placem_Collection'!$V3)),"YES","NO")</f>
        <v>NO</v>
      </c>
      <c r="AA296" s="252" t="str">
        <f>IF(ISNUMBER(SEARCH("H", 'Dry_Litterbag Placem_Collection'!$V3)),"YES","NO")</f>
        <v>NO</v>
      </c>
      <c r="AB296" s="252" t="str">
        <f>IF(ISNUMBER(SEARCH("R", 'Dry_Litterbag Placem_Collection'!$V3)),"YES","NO")</f>
        <v>NO</v>
      </c>
      <c r="AC296" s="252" t="str">
        <f>IF(ISNUMBER(SEARCH("C", 'Dry_Litterbag Placem_Collection'!$U3)),"YES","NO")</f>
        <v>NO</v>
      </c>
      <c r="AD296" s="252" t="str">
        <f>IF(ISNUMBER(SEARCH("H", 'Dry_Litterbag Placem_Collection'!$U3)),"YES","NO")</f>
        <v>NO</v>
      </c>
      <c r="AE296" s="252" t="str">
        <f>IF(ISNUMBER(SEARCH("R", 'Dry_Litterbag Placem_Collection'!$U3)),"YES","NO")</f>
        <v>YES</v>
      </c>
    </row>
    <row r="297" spans="2:31">
      <c r="B297" t="str">
        <f>'Final data_for_R_analysis_Dryse'!A443</f>
        <v>Dry</v>
      </c>
      <c r="C297" s="381">
        <f>'Final data_for_R_analysis_Dryse'!B443</f>
        <v>2</v>
      </c>
      <c r="D297" t="s">
        <v>3798</v>
      </c>
      <c r="E297" t="s">
        <v>25</v>
      </c>
      <c r="F297" s="381">
        <v>2</v>
      </c>
      <c r="G297" s="383" t="str">
        <f>IF('Dry_Litterbag Placem_Collection'!E4="","",'Dry_Litterbag Placem_Collection'!E4)</f>
        <v/>
      </c>
      <c r="H297" s="92" t="str">
        <f>'Final data_for_R_analysis_Dryse'!K443</f>
        <v/>
      </c>
      <c r="I297" s="92" t="str">
        <f>'Final data_for_R_analysis_Dryse'!K663</f>
        <v/>
      </c>
      <c r="J297" t="str">
        <f>IFERROR(INDEX('Green_rooibos initial weight'!$C$5:$C$2000,MATCH(H297, 'Green_rooibos initial weight'!$A$5:$A$2000,0)),"")</f>
        <v/>
      </c>
      <c r="K297" t="str">
        <f>IFERROR(INDEX('Green_rooibos initial weight'!$C$5:$C$2000,MATCH(I297, 'Green_rooibos initial weight'!$A$5:$A$2000,0)),"")</f>
        <v/>
      </c>
      <c r="L297" s="194" t="str">
        <f t="shared" si="24"/>
        <v/>
      </c>
      <c r="M297" s="237">
        <f>AVERAGE(Ashed_controlls!$K$1:$K$11)</f>
        <v>5.5147656768714146</v>
      </c>
      <c r="N297" s="194" t="str">
        <f>IFERROR(IF(K297&gt;0,(K297*$F$32-($F$29+$F$30)),""),"")</f>
        <v/>
      </c>
      <c r="O297" s="383" t="str">
        <f>IF('Dry_Litterbag Placem_Collection'!G4="","",'Dry_Litterbag Placem_Collection'!G4)</f>
        <v/>
      </c>
      <c r="P297" s="194" t="str">
        <f>IFERROR(INDEX('Both teabags AfterDry'!$D$3:$D$2000,MATCH(H297,'Both teabags AfterDry'!$A$3:$A$2000,0)),"")</f>
        <v/>
      </c>
      <c r="Q297" s="194" t="str">
        <f>IFERROR(INDEX('Both teabags AfterDry'!$D$3:$D$2000,MATCH(I297,'Both teabags AfterDry'!$A$3:$A$2000,0)),"")</f>
        <v/>
      </c>
      <c r="R297" s="194" t="str">
        <f t="shared" si="25"/>
        <v/>
      </c>
      <c r="S297" s="194" t="str">
        <f t="shared" si="25"/>
        <v/>
      </c>
      <c r="T297" s="194" t="str">
        <f t="shared" si="26"/>
        <v/>
      </c>
      <c r="U297" s="194" t="str">
        <f t="shared" si="27"/>
        <v/>
      </c>
      <c r="V297" s="194" t="str">
        <f t="shared" si="28"/>
        <v/>
      </c>
      <c r="W297" t="str">
        <f t="shared" si="29"/>
        <v/>
      </c>
      <c r="X297" s="194" t="str">
        <f t="shared" si="30"/>
        <v/>
      </c>
      <c r="Y297" s="194" t="str">
        <f t="shared" si="31"/>
        <v/>
      </c>
      <c r="Z297" s="252" t="str">
        <f>IF(ISNUMBER(SEARCH("C", 'Dry_Litterbag Placem_Collection'!$V4)),"YES","NO")</f>
        <v>NO</v>
      </c>
      <c r="AA297" s="252" t="str">
        <f>IF(ISNUMBER(SEARCH("H", 'Dry_Litterbag Placem_Collection'!$V4)),"YES","NO")</f>
        <v>NO</v>
      </c>
      <c r="AB297" s="252" t="str">
        <f>IF(ISNUMBER(SEARCH("R", 'Dry_Litterbag Placem_Collection'!$V4)),"YES","NO")</f>
        <v>NO</v>
      </c>
      <c r="AC297" s="252" t="str">
        <f>IF(ISNUMBER(SEARCH("C", 'Dry_Litterbag Placem_Collection'!$U4)),"YES","NO")</f>
        <v>NO</v>
      </c>
      <c r="AD297" s="252" t="str">
        <f>IF(ISNUMBER(SEARCH("H", 'Dry_Litterbag Placem_Collection'!$U4)),"YES","NO")</f>
        <v>NO</v>
      </c>
      <c r="AE297" s="252" t="str">
        <f>IF(ISNUMBER(SEARCH("R", 'Dry_Litterbag Placem_Collection'!$U4)),"YES","NO")</f>
        <v>NO</v>
      </c>
    </row>
    <row r="298" spans="2:31">
      <c r="B298" t="str">
        <f>'Final data_for_R_analysis_Dryse'!A444</f>
        <v>Dry</v>
      </c>
      <c r="C298" s="260">
        <f>'Final data_for_R_analysis_Dryse'!B444</f>
        <v>3</v>
      </c>
      <c r="D298" t="s">
        <v>3798</v>
      </c>
      <c r="E298" t="s">
        <v>25</v>
      </c>
      <c r="F298" s="381">
        <v>3</v>
      </c>
      <c r="G298" s="383">
        <f>IF('Dry_Litterbag Placem_Collection'!E5="","",'Dry_Litterbag Placem_Collection'!E5)</f>
        <v>42938</v>
      </c>
      <c r="H298" s="92" t="str">
        <f>'Final data_for_R_analysis_Dryse'!K444</f>
        <v>G44</v>
      </c>
      <c r="I298" t="str">
        <f>'Final data_for_R_analysis_Dryse'!K664</f>
        <v>R283</v>
      </c>
      <c r="J298">
        <f>IFERROR(INDEX('Green_rooibos initial weight'!$C$5:$C$2000,MATCH(H298, 'Green_rooibos initial weight'!$A$5:$A$2000,0)),"")</f>
        <v>2.0680000000000001</v>
      </c>
      <c r="K298">
        <f>IFERROR(INDEX('Green_rooibos initial weight'!$C$5:$C$2000,MATCH(I298, 'Green_rooibos initial weight'!$A$5:$A$2000,0)),"")</f>
        <v>2.21</v>
      </c>
      <c r="L298" s="194">
        <f t="shared" si="24"/>
        <v>1.8182</v>
      </c>
      <c r="M298" s="237">
        <f>AVERAGE(Ashed_controlls!$K$1:$K$11)</f>
        <v>5.5147656768714146</v>
      </c>
      <c r="N298" s="194">
        <f>IFERROR(IF(K298&gt;0,(K298*$F$32-($F$29+$F$30)),""),"")</f>
        <v>1.9601999999999999</v>
      </c>
      <c r="O298" s="383">
        <f>IF('Dry_Litterbag Placem_Collection'!G5="","",'Dry_Litterbag Placem_Collection'!G5)</f>
        <v>43007</v>
      </c>
      <c r="P298" s="194">
        <f>IFERROR(INDEX('Both teabags AfterDry'!$D$3:$D$2000,MATCH(H298,'Both teabags AfterDry'!$A$3:$A$2000,0)),"")</f>
        <v>1.5553999999999999</v>
      </c>
      <c r="Q298" s="194">
        <f>IFERROR(INDEX('Both teabags AfterDry'!$D$3:$D$2000,MATCH(I298,'Both teabags AfterDry'!$A$3:$A$2000,0)),"")</f>
        <v>1.9180999999999999</v>
      </c>
      <c r="R298" s="194">
        <f t="shared" si="25"/>
        <v>1.4047999999999998</v>
      </c>
      <c r="S298" s="194">
        <f t="shared" si="25"/>
        <v>1.7674999999999998</v>
      </c>
      <c r="T298" s="194">
        <f t="shared" si="26"/>
        <v>0.22736772632273683</v>
      </c>
      <c r="U298" s="194">
        <f t="shared" si="27"/>
        <v>0.14905817687666362</v>
      </c>
      <c r="V298" s="194">
        <f t="shared" si="28"/>
        <v>0.90169370472400767</v>
      </c>
      <c r="W298">
        <f t="shared" si="29"/>
        <v>69</v>
      </c>
      <c r="X298" s="194">
        <f t="shared" si="30"/>
        <v>0.72996707087560941</v>
      </c>
      <c r="Y298" s="194">
        <f t="shared" si="31"/>
        <v>1.5614318629955293E-2</v>
      </c>
      <c r="Z298" s="252" t="str">
        <f>IF(ISNUMBER(SEARCH("C", 'Dry_Litterbag Placem_Collection'!$V5)),"YES","NO")</f>
        <v>NO</v>
      </c>
      <c r="AA298" s="252" t="str">
        <f>IF(ISNUMBER(SEARCH("H", 'Dry_Litterbag Placem_Collection'!$V5)),"YES","NO")</f>
        <v>NO</v>
      </c>
      <c r="AB298" s="252" t="str">
        <f>IF(ISNUMBER(SEARCH("R", 'Dry_Litterbag Placem_Collection'!$V5)),"YES","NO")</f>
        <v>NO</v>
      </c>
      <c r="AC298" s="252" t="str">
        <f>IF(ISNUMBER(SEARCH("C", 'Dry_Litterbag Placem_Collection'!$U5)),"YES","NO")</f>
        <v>NO</v>
      </c>
      <c r="AD298" s="252" t="str">
        <f>IF(ISNUMBER(SEARCH("H", 'Dry_Litterbag Placem_Collection'!$U5)),"YES","NO")</f>
        <v>NO</v>
      </c>
      <c r="AE298" s="252" t="str">
        <f>IF(ISNUMBER(SEARCH("R", 'Dry_Litterbag Placem_Collection'!$U5)),"YES","NO")</f>
        <v>YES</v>
      </c>
    </row>
    <row r="299" spans="2:31">
      <c r="B299" t="str">
        <f>'Final data_for_R_analysis_Dryse'!A445</f>
        <v>Dry</v>
      </c>
      <c r="C299" s="260">
        <f>'Final data_for_R_analysis_Dryse'!B445</f>
        <v>4</v>
      </c>
      <c r="D299" t="s">
        <v>3798</v>
      </c>
      <c r="E299" t="s">
        <v>25</v>
      </c>
      <c r="F299" s="382">
        <v>4</v>
      </c>
      <c r="G299" s="383">
        <f>IF('Dry_Litterbag Placem_Collection'!E6="","",'Dry_Litterbag Placem_Collection'!E6)</f>
        <v>42938</v>
      </c>
      <c r="H299" s="92" t="str">
        <f>'Final data_for_R_analysis_Dryse'!K445</f>
        <v>G357</v>
      </c>
      <c r="I299" t="str">
        <f>'Final data_for_R_analysis_Dryse'!K665</f>
        <v>R298</v>
      </c>
      <c r="J299">
        <f>IFERROR(INDEX('Green_rooibos initial weight'!$C$5:$C$2000,MATCH(H299, 'Green_rooibos initial weight'!$A$5:$A$2000,0)),"")</f>
        <v>1.996</v>
      </c>
      <c r="K299">
        <f>IFERROR(INDEX('Green_rooibos initial weight'!$C$5:$C$2000,MATCH(I299, 'Green_rooibos initial weight'!$A$5:$A$2000,0)),"")</f>
        <v>2.2229999999999999</v>
      </c>
      <c r="L299" s="194">
        <f t="shared" si="24"/>
        <v>1.7462</v>
      </c>
      <c r="M299" s="237">
        <f>AVERAGE(Ashed_controlls!$K$1:$K$11)</f>
        <v>5.5147656768714146</v>
      </c>
      <c r="N299" s="194">
        <f>IFERROR(IF(K299&gt;0,(K299*$F$32-($F$29+$F$30)),""),"")</f>
        <v>1.9731999999999998</v>
      </c>
      <c r="O299" s="383">
        <f>IF('Dry_Litterbag Placem_Collection'!G6="","",'Dry_Litterbag Placem_Collection'!G6)</f>
        <v>43007</v>
      </c>
      <c r="P299" s="194">
        <f>IFERROR(INDEX('Both teabags AfterDry'!$D$3:$D$2000,MATCH(H299,'Both teabags AfterDry'!$A$3:$A$2000,0)),"")</f>
        <v>1.6417999999999999</v>
      </c>
      <c r="Q299" s="194">
        <f>IFERROR(INDEX('Both teabags AfterDry'!$D$3:$D$2000,MATCH(I299,'Both teabags AfterDry'!$A$3:$A$2000,0)),"")</f>
        <v>1.9487000000000001</v>
      </c>
      <c r="R299" s="194">
        <f t="shared" si="25"/>
        <v>1.4911999999999999</v>
      </c>
      <c r="S299" s="194">
        <f t="shared" si="25"/>
        <v>1.7981</v>
      </c>
      <c r="T299" s="194">
        <f t="shared" si="26"/>
        <v>0.14603138243042046</v>
      </c>
      <c r="U299" s="194">
        <f t="shared" si="27"/>
        <v>9.5735538125406305E-2</v>
      </c>
      <c r="V299" s="194">
        <f t="shared" si="28"/>
        <v>0.91126089600648696</v>
      </c>
      <c r="W299">
        <f t="shared" si="29"/>
        <v>69</v>
      </c>
      <c r="X299" s="194">
        <f t="shared" si="30"/>
        <v>0.82656605412064077</v>
      </c>
      <c r="Y299" s="194">
        <f t="shared" si="31"/>
        <v>3.7915782163276145E-2</v>
      </c>
      <c r="Z299" s="252" t="str">
        <f>IF(ISNUMBER(SEARCH("C", 'Dry_Litterbag Placem_Collection'!$V6)),"YES","NO")</f>
        <v>NO</v>
      </c>
      <c r="AA299" s="252" t="str">
        <f>IF(ISNUMBER(SEARCH("H", 'Dry_Litterbag Placem_Collection'!$V6)),"YES","NO")</f>
        <v>NO</v>
      </c>
      <c r="AB299" s="252" t="str">
        <f>IF(ISNUMBER(SEARCH("R", 'Dry_Litterbag Placem_Collection'!$V6)),"YES","NO")</f>
        <v>NO</v>
      </c>
      <c r="AC299" s="252" t="str">
        <f>IF(ISNUMBER(SEARCH("C", 'Dry_Litterbag Placem_Collection'!$U6)),"YES","NO")</f>
        <v>NO</v>
      </c>
      <c r="AD299" s="252" t="str">
        <f>IF(ISNUMBER(SEARCH("H", 'Dry_Litterbag Placem_Collection'!$U6)),"YES","NO")</f>
        <v>NO</v>
      </c>
      <c r="AE299" s="252" t="str">
        <f>IF(ISNUMBER(SEARCH("R", 'Dry_Litterbag Placem_Collection'!$U6)),"YES","NO")</f>
        <v>NO</v>
      </c>
    </row>
    <row r="300" spans="2:31">
      <c r="B300" t="str">
        <f>'Final data_for_R_analysis_Dryse'!A446</f>
        <v>Dry</v>
      </c>
      <c r="C300" s="260">
        <f>'Final data_for_R_analysis_Dryse'!B446</f>
        <v>5</v>
      </c>
      <c r="D300" t="s">
        <v>3798</v>
      </c>
      <c r="E300" t="s">
        <v>25</v>
      </c>
      <c r="F300" s="382">
        <v>5</v>
      </c>
      <c r="G300" s="383">
        <f>IF('Dry_Litterbag Placem_Collection'!E7="","",'Dry_Litterbag Placem_Collection'!E7)</f>
        <v>42938</v>
      </c>
      <c r="H300" s="92" t="str">
        <f>'Final data_for_R_analysis_Dryse'!K446</f>
        <v>G734</v>
      </c>
      <c r="I300" t="str">
        <f>'Final data_for_R_analysis_Dryse'!K666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24"/>
        <v>1.7372000000000001</v>
      </c>
      <c r="M300" s="237">
        <f>AVERAGE(Ashed_controlls!$K$1:$K$11)</f>
        <v>5.5147656768714146</v>
      </c>
      <c r="N300" s="194">
        <f>IFERROR(IF(K300&gt;0,(K300*$F$32-($F$29+$F$30)),""),"")</f>
        <v>1.9912000000000001</v>
      </c>
      <c r="O300" s="383" t="str">
        <f>IF('Dry_Litterbag Placem_Collection'!G7="","",'Dry_Litterbag Placem_Collection'!G7)</f>
        <v/>
      </c>
      <c r="P300" s="194" t="str">
        <f>IFERROR(INDEX('Both teabags AfterDry'!$D$3:$D$2000,MATCH(H300,'Both teabags AfterDry'!$A$3:$A$2000,0)),"")</f>
        <v/>
      </c>
      <c r="Q300" s="194" t="str">
        <f>IFERROR(INDEX('Both teabags AfterDry'!$D$3:$D$2000,MATCH(I300,'Both teabags AfterDry'!$A$3:$A$2000,0)),"")</f>
        <v/>
      </c>
      <c r="R300" s="194" t="str">
        <f t="shared" si="25"/>
        <v/>
      </c>
      <c r="S300" s="194" t="str">
        <f t="shared" si="25"/>
        <v/>
      </c>
      <c r="T300" s="194" t="str">
        <f t="shared" si="26"/>
        <v/>
      </c>
      <c r="U300" s="194" t="str">
        <f t="shared" si="27"/>
        <v/>
      </c>
      <c r="V300" s="194" t="str">
        <f t="shared" si="28"/>
        <v/>
      </c>
      <c r="W300" t="str">
        <f t="shared" si="29"/>
        <v/>
      </c>
      <c r="X300" s="194" t="str">
        <f t="shared" si="30"/>
        <v/>
      </c>
      <c r="Y300" s="194" t="str">
        <f t="shared" si="31"/>
        <v/>
      </c>
      <c r="Z300" s="252" t="str">
        <f>IF(ISNUMBER(SEARCH("C", 'Dry_Litterbag Placem_Collection'!$V7)),"YES","NO")</f>
        <v>NO</v>
      </c>
      <c r="AA300" s="252" t="str">
        <f>IF(ISNUMBER(SEARCH("H", 'Dry_Litterbag Placem_Collection'!$V7)),"YES","NO")</f>
        <v>NO</v>
      </c>
      <c r="AB300" s="252" t="str">
        <f>IF(ISNUMBER(SEARCH("R", 'Dry_Litterbag Placem_Collection'!$V7)),"YES","NO")</f>
        <v>NO</v>
      </c>
      <c r="AC300" s="252" t="str">
        <f>IF(ISNUMBER(SEARCH("C", 'Dry_Litterbag Placem_Collection'!$U7)),"YES","NO")</f>
        <v>NO</v>
      </c>
      <c r="AD300" s="252" t="str">
        <f>IF(ISNUMBER(SEARCH("H", 'Dry_Litterbag Placem_Collection'!$U7)),"YES","NO")</f>
        <v>NO</v>
      </c>
      <c r="AE300" s="252" t="str">
        <f>IF(ISNUMBER(SEARCH("R", 'Dry_Litterbag Placem_Collection'!$U7)),"YES","NO")</f>
        <v>NO</v>
      </c>
    </row>
    <row r="301" spans="2:31">
      <c r="B301" t="str">
        <f>'Final data_for_R_analysis_Dryse'!A447</f>
        <v>Dry</v>
      </c>
      <c r="C301" s="260">
        <f>'Final data_for_R_analysis_Dryse'!B447</f>
        <v>6</v>
      </c>
      <c r="D301" t="s">
        <v>3798</v>
      </c>
      <c r="E301" t="s">
        <v>25</v>
      </c>
      <c r="F301" s="382">
        <v>6</v>
      </c>
      <c r="G301" s="383">
        <f>IF('Dry_Litterbag Placem_Collection'!E8="","",'Dry_Litterbag Placem_Collection'!E8)</f>
        <v>42938</v>
      </c>
      <c r="H301" s="92" t="str">
        <f>'Final data_for_R_analysis_Dryse'!K447</f>
        <v>G164</v>
      </c>
      <c r="I301" t="str">
        <f>'Final data_for_R_analysis_Dryse'!K667</f>
        <v>R286</v>
      </c>
      <c r="J301">
        <f>IFERROR(INDEX('Green_rooibos initial weight'!$C$5:$C$2000,MATCH(H301, 'Green_rooibos initial weight'!$A$5:$A$2000,0)),"")</f>
        <v>1.994</v>
      </c>
      <c r="K301">
        <f>IFERROR(INDEX('Green_rooibos initial weight'!$C$5:$C$2000,MATCH(I301, 'Green_rooibos initial weight'!$A$5:$A$2000,0)),"")</f>
        <v>2.2160000000000002</v>
      </c>
      <c r="L301" s="194">
        <f t="shared" si="24"/>
        <v>1.7442</v>
      </c>
      <c r="M301" s="237">
        <f>AVERAGE(Ashed_controlls!$K$1:$K$11)</f>
        <v>5.5147656768714146</v>
      </c>
      <c r="N301" s="194">
        <f>IFERROR(IF(K301&gt;0,(K301*$F$32-($F$29+$F$30)),""),"")</f>
        <v>1.9662000000000002</v>
      </c>
      <c r="O301" s="383">
        <f>IF('Dry_Litterbag Placem_Collection'!G8="","",'Dry_Litterbag Placem_Collection'!G8)</f>
        <v>43007</v>
      </c>
      <c r="P301" s="194" t="str">
        <f>IFERROR(INDEX('Both teabags AfterDry'!$D$3:$D$2000,MATCH(H301,'Both teabags AfterDry'!$A$3:$A$2000,0)),"")</f>
        <v/>
      </c>
      <c r="Q301" s="194" t="str">
        <f>IFERROR(INDEX('Both teabags AfterDry'!$D$3:$D$2000,MATCH(I301,'Both teabags AfterDry'!$A$3:$A$2000,0)),"")</f>
        <v/>
      </c>
      <c r="R301" s="194" t="str">
        <f t="shared" si="25"/>
        <v/>
      </c>
      <c r="S301" s="194" t="str">
        <f t="shared" si="25"/>
        <v/>
      </c>
      <c r="T301" s="194" t="str">
        <f t="shared" si="26"/>
        <v/>
      </c>
      <c r="U301" s="194" t="str">
        <f t="shared" si="27"/>
        <v/>
      </c>
      <c r="V301" s="194" t="str">
        <f t="shared" si="28"/>
        <v/>
      </c>
      <c r="W301">
        <f t="shared" si="29"/>
        <v>69</v>
      </c>
      <c r="X301" s="194" t="str">
        <f t="shared" si="30"/>
        <v/>
      </c>
      <c r="Y301" s="194" t="str">
        <f t="shared" si="31"/>
        <v/>
      </c>
      <c r="Z301" s="252" t="str">
        <f>IF(ISNUMBER(SEARCH("C", 'Dry_Litterbag Placem_Collection'!$V8)),"YES","NO")</f>
        <v>NO</v>
      </c>
      <c r="AA301" s="252" t="str">
        <f>IF(ISNUMBER(SEARCH("H", 'Dry_Litterbag Placem_Collection'!$V8)),"YES","NO")</f>
        <v>NO</v>
      </c>
      <c r="AB301" s="252" t="str">
        <f>IF(ISNUMBER(SEARCH("R", 'Dry_Litterbag Placem_Collection'!$V8)),"YES","NO")</f>
        <v>NO</v>
      </c>
      <c r="AC301" s="252" t="str">
        <f>IF(ISNUMBER(SEARCH("C", 'Dry_Litterbag Placem_Collection'!$U8)),"YES","NO")</f>
        <v>NO</v>
      </c>
      <c r="AD301" s="252" t="str">
        <f>IF(ISNUMBER(SEARCH("H", 'Dry_Litterbag Placem_Collection'!$U8)),"YES","NO")</f>
        <v>NO</v>
      </c>
      <c r="AE301" s="252" t="str">
        <f>IF(ISNUMBER(SEARCH("R", 'Dry_Litterbag Placem_Collection'!$U8)),"YES","NO")</f>
        <v>NO</v>
      </c>
    </row>
    <row r="302" spans="2:31">
      <c r="B302" t="str">
        <f>'Final data_for_R_analysis_Dryse'!A448</f>
        <v>Dry</v>
      </c>
      <c r="C302" s="260">
        <f>'Final data_for_R_analysis_Dryse'!B448</f>
        <v>7</v>
      </c>
      <c r="D302" t="s">
        <v>3798</v>
      </c>
      <c r="E302" t="s">
        <v>25</v>
      </c>
      <c r="F302" s="382">
        <v>7</v>
      </c>
      <c r="G302" s="383">
        <f>IF('Dry_Litterbag Placem_Collection'!E9="","",'Dry_Litterbag Placem_Collection'!E9)</f>
        <v>42938</v>
      </c>
      <c r="H302" s="92" t="str">
        <f>'Final data_for_R_analysis_Dryse'!K448</f>
        <v>G776</v>
      </c>
      <c r="I302" t="str">
        <f>'Final data_for_R_analysis_Dryse'!K668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24"/>
        <v>1.7292000000000001</v>
      </c>
      <c r="M302" s="237">
        <f>AVERAGE(Ashed_controlls!$K$1:$K$11)</f>
        <v>5.5147656768714146</v>
      </c>
      <c r="N302" s="194">
        <f>IFERROR(IF(K302&gt;0,(K302*$F$32-($F$29+$F$30)),""),"")</f>
        <v>1.9931999999999999</v>
      </c>
      <c r="O302" s="383">
        <f>IF('Dry_Litterbag Placem_Collection'!G9="","",'Dry_Litterbag Placem_Collection'!G9)</f>
        <v>43007</v>
      </c>
      <c r="P302" s="194">
        <f>IFERROR(INDEX('Both teabags AfterDry'!$D$3:$D$2000,MATCH(H302,'Both teabags AfterDry'!$A$3:$A$2000,0)),"")</f>
        <v>1.8093999999999999</v>
      </c>
      <c r="Q302" s="194">
        <f>IFERROR(INDEX('Both teabags AfterDry'!$D$3:$D$2000,MATCH(I302,'Both teabags AfterDry'!$A$3:$A$2000,0)),"")</f>
        <v>2.0261</v>
      </c>
      <c r="R302" s="194">
        <f t="shared" si="25"/>
        <v>1.6587999999999998</v>
      </c>
      <c r="S302" s="194">
        <f t="shared" si="25"/>
        <v>1.8754999999999999</v>
      </c>
      <c r="T302" s="194">
        <f t="shared" si="26"/>
        <v>4.0712468193384366E-2</v>
      </c>
      <c r="U302" s="194">
        <f t="shared" si="27"/>
        <v>2.6690359195662917E-2</v>
      </c>
      <c r="V302" s="194">
        <f t="shared" si="28"/>
        <v>0.94094922737306852</v>
      </c>
      <c r="W302">
        <f t="shared" si="29"/>
        <v>69</v>
      </c>
      <c r="X302" s="194">
        <f t="shared" si="30"/>
        <v>0.95164790000785704</v>
      </c>
      <c r="Y302" s="194" t="str">
        <f t="shared" si="31"/>
        <v/>
      </c>
      <c r="Z302" s="252" t="str">
        <f>IF(ISNUMBER(SEARCH("C", 'Dry_Litterbag Placem_Collection'!$V9)),"YES","NO")</f>
        <v>NO</v>
      </c>
      <c r="AA302" s="252" t="str">
        <f>IF(ISNUMBER(SEARCH("H", 'Dry_Litterbag Placem_Collection'!$V9)),"YES","NO")</f>
        <v>NO</v>
      </c>
      <c r="AB302" s="252" t="str">
        <f>IF(ISNUMBER(SEARCH("R", 'Dry_Litterbag Placem_Collection'!$V9)),"YES","NO")</f>
        <v>NO</v>
      </c>
      <c r="AC302" s="252" t="str">
        <f>IF(ISNUMBER(SEARCH("C", 'Dry_Litterbag Placem_Collection'!$U9)),"YES","NO")</f>
        <v>NO</v>
      </c>
      <c r="AD302" s="252" t="str">
        <f>IF(ISNUMBER(SEARCH("H", 'Dry_Litterbag Placem_Collection'!$U9)),"YES","NO")</f>
        <v>NO</v>
      </c>
      <c r="AE302" s="252" t="str">
        <f>IF(ISNUMBER(SEARCH("R", 'Dry_Litterbag Placem_Collection'!$U9)),"YES","NO")</f>
        <v>NO</v>
      </c>
    </row>
    <row r="303" spans="2:31">
      <c r="B303" t="str">
        <f>'Final data_for_R_analysis_Dryse'!A449</f>
        <v>Dry</v>
      </c>
      <c r="C303" s="260">
        <f>'Final data_for_R_analysis_Dryse'!B449</f>
        <v>8</v>
      </c>
      <c r="D303" t="s">
        <v>3798</v>
      </c>
      <c r="E303" t="s">
        <v>25</v>
      </c>
      <c r="F303" s="382">
        <v>8</v>
      </c>
      <c r="G303" s="383">
        <f>IF('Dry_Litterbag Placem_Collection'!E10="","",'Dry_Litterbag Placem_Collection'!E10)</f>
        <v>42938</v>
      </c>
      <c r="H303" s="92" t="str">
        <f>'Final data_for_R_analysis_Dryse'!K449</f>
        <v>G23</v>
      </c>
      <c r="I303" t="str">
        <f>'Final data_for_R_analysis_Dryse'!K669</f>
        <v>R213</v>
      </c>
      <c r="J303">
        <f>IFERROR(INDEX('Green_rooibos initial weight'!$C$5:$C$2000,MATCH(H303, 'Green_rooibos initial weight'!$A$5:$A$2000,0)),"")</f>
        <v>2.0750000000000002</v>
      </c>
      <c r="K303">
        <f>IFERROR(INDEX('Green_rooibos initial weight'!$C$5:$C$2000,MATCH(I303, 'Green_rooibos initial weight'!$A$5:$A$2000,0)),"")</f>
        <v>2.254</v>
      </c>
      <c r="L303" s="194">
        <f t="shared" si="24"/>
        <v>1.8252000000000002</v>
      </c>
      <c r="M303" s="237">
        <f>AVERAGE(Ashed_controlls!$K$1:$K$11)</f>
        <v>5.5147656768714146</v>
      </c>
      <c r="N303" s="194">
        <f>IFERROR(IF(K303&gt;0,(K303*$F$32-($F$29+$F$30)),""),"")</f>
        <v>2.0042</v>
      </c>
      <c r="O303" s="383">
        <f>IF('Dry_Litterbag Placem_Collection'!G10="","",'Dry_Litterbag Placem_Collection'!G10)</f>
        <v>43007</v>
      </c>
      <c r="P303" s="194">
        <f>IFERROR(INDEX('Both teabags AfterDry'!$D$3:$D$2000,MATCH(H303,'Both teabags AfterDry'!$A$3:$A$2000,0)),"")</f>
        <v>0.94159999999999999</v>
      </c>
      <c r="Q303" s="194">
        <f>IFERROR(INDEX('Both teabags AfterDry'!$D$3:$D$2000,MATCH(I303,'Both teabags AfterDry'!$A$3:$A$2000,0)),"")</f>
        <v>1.7698</v>
      </c>
      <c r="R303" s="194">
        <f t="shared" si="25"/>
        <v>0.79099999999999993</v>
      </c>
      <c r="S303" s="194">
        <f t="shared" si="25"/>
        <v>1.6192</v>
      </c>
      <c r="T303" s="194">
        <f t="shared" si="26"/>
        <v>0.56662283585360518</v>
      </c>
      <c r="U303" s="194">
        <f t="shared" si="27"/>
        <v>0.37146770236483384</v>
      </c>
      <c r="V303" s="194">
        <f t="shared" si="28"/>
        <v>0.80790340285400652</v>
      </c>
      <c r="W303">
        <f t="shared" si="29"/>
        <v>69</v>
      </c>
      <c r="X303" s="194">
        <f t="shared" si="30"/>
        <v>0.32705126383182281</v>
      </c>
      <c r="Y303" s="194">
        <f t="shared" si="31"/>
        <v>1.0550797807439484E-2</v>
      </c>
      <c r="Z303" s="252" t="str">
        <f>IF(ISNUMBER(SEARCH("C", 'Dry_Litterbag Placem_Collection'!$V10)),"YES","NO")</f>
        <v>NO</v>
      </c>
      <c r="AA303" s="252" t="str">
        <f>IF(ISNUMBER(SEARCH("H", 'Dry_Litterbag Placem_Collection'!$V10)),"YES","NO")</f>
        <v>NO</v>
      </c>
      <c r="AB303" s="252" t="str">
        <f>IF(ISNUMBER(SEARCH("R", 'Dry_Litterbag Placem_Collection'!$V10)),"YES","NO")</f>
        <v>NO</v>
      </c>
      <c r="AC303" s="252" t="str">
        <f>IF(ISNUMBER(SEARCH("C", 'Dry_Litterbag Placem_Collection'!$U10)),"YES","NO")</f>
        <v>NO</v>
      </c>
      <c r="AD303" s="252" t="str">
        <f>IF(ISNUMBER(SEARCH("H", 'Dry_Litterbag Placem_Collection'!$U10)),"YES","NO")</f>
        <v>NO</v>
      </c>
      <c r="AE303" s="252" t="str">
        <f>IF(ISNUMBER(SEARCH("R", 'Dry_Litterbag Placem_Collection'!$U10)),"YES","NO")</f>
        <v>YES</v>
      </c>
    </row>
    <row r="304" spans="2:31">
      <c r="B304" t="str">
        <f>'Final data_for_R_analysis_Dryse'!A450</f>
        <v>Dry</v>
      </c>
      <c r="C304" s="260">
        <f>'Final data_for_R_analysis_Dryse'!B450</f>
        <v>9</v>
      </c>
      <c r="D304" t="s">
        <v>3802</v>
      </c>
      <c r="E304" t="s">
        <v>25</v>
      </c>
      <c r="F304" s="381">
        <v>1</v>
      </c>
      <c r="G304" s="383">
        <f>IF('Dry_Litterbag Placem_Collection'!E11="","",'Dry_Litterbag Placem_Collection'!E11)</f>
        <v>42938</v>
      </c>
      <c r="H304" s="92" t="str">
        <f>'Final data_for_R_analysis_Dryse'!K450</f>
        <v>G570</v>
      </c>
      <c r="I304" t="str">
        <f>'Final data_for_R_analysis_Dryse'!K670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24"/>
        <v>1.8542000000000001</v>
      </c>
      <c r="M304" s="237">
        <f>AVERAGE(Ashed_controlls!$K$1:$K$11)</f>
        <v>5.5147656768714146</v>
      </c>
      <c r="N304" s="194">
        <f>IFERROR(IF(K304&gt;0,(K304*$F$32-($F$29+$F$30)),""),"")</f>
        <v>1.8982000000000001</v>
      </c>
      <c r="O304" s="383">
        <f>IF('Dry_Litterbag Placem_Collection'!G11="","",'Dry_Litterbag Placem_Collection'!G11)</f>
        <v>43007</v>
      </c>
      <c r="P304" s="194">
        <f>IFERROR(INDEX('Both teabags AfterDry'!$D$3:$D$2000,MATCH(H304,'Both teabags AfterDry'!$A$3:$A$2000,0)),"")</f>
        <v>1.9100999999999999</v>
      </c>
      <c r="Q304" s="194">
        <f>IFERROR(INDEX('Both teabags AfterDry'!$D$3:$D$2000,MATCH(I304,'Both teabags AfterDry'!$A$3:$A$2000,0)),"")</f>
        <v>1.9311</v>
      </c>
      <c r="R304" s="194">
        <f t="shared" si="25"/>
        <v>1.7594999999999998</v>
      </c>
      <c r="S304" s="194">
        <f t="shared" si="25"/>
        <v>1.7805</v>
      </c>
      <c r="T304" s="194">
        <f t="shared" si="26"/>
        <v>5.1073239132779724E-2</v>
      </c>
      <c r="U304" s="194">
        <f t="shared" si="27"/>
        <v>3.3482693588235621E-2</v>
      </c>
      <c r="V304" s="194">
        <f t="shared" si="28"/>
        <v>0.93799388894742386</v>
      </c>
      <c r="W304">
        <f t="shared" si="29"/>
        <v>69</v>
      </c>
      <c r="X304" s="194">
        <f t="shared" si="30"/>
        <v>0.93934294639812388</v>
      </c>
      <c r="Y304" s="194" t="str">
        <f t="shared" si="31"/>
        <v/>
      </c>
      <c r="Z304" s="252" t="str">
        <f>IF(ISNUMBER(SEARCH("C", 'Dry_Litterbag Placem_Collection'!$V11)),"YES","NO")</f>
        <v>NO</v>
      </c>
      <c r="AA304" s="252" t="str">
        <f>IF(ISNUMBER(SEARCH("H", 'Dry_Litterbag Placem_Collection'!$V11)),"YES","NO")</f>
        <v>NO</v>
      </c>
      <c r="AB304" s="252" t="str">
        <f>IF(ISNUMBER(SEARCH("R", 'Dry_Litterbag Placem_Collection'!$V11)),"YES","NO")</f>
        <v>NO</v>
      </c>
      <c r="AC304" s="252" t="str">
        <f>IF(ISNUMBER(SEARCH("C", 'Dry_Litterbag Placem_Collection'!$U11)),"YES","NO")</f>
        <v>NO</v>
      </c>
      <c r="AD304" s="252" t="str">
        <f>IF(ISNUMBER(SEARCH("H", 'Dry_Litterbag Placem_Collection'!$U11)),"YES","NO")</f>
        <v>NO</v>
      </c>
      <c r="AE304" s="252" t="str">
        <f>IF(ISNUMBER(SEARCH("R", 'Dry_Litterbag Placem_Collection'!$U11)),"YES","NO")</f>
        <v>NO</v>
      </c>
    </row>
    <row r="305" spans="2:31">
      <c r="B305" t="str">
        <f>'Final data_for_R_analysis_Dryse'!A451</f>
        <v>Dry</v>
      </c>
      <c r="C305" s="260">
        <f>'Final data_for_R_analysis_Dryse'!B451</f>
        <v>10</v>
      </c>
      <c r="D305" t="s">
        <v>3802</v>
      </c>
      <c r="E305" t="s">
        <v>25</v>
      </c>
      <c r="F305" s="381">
        <v>2</v>
      </c>
      <c r="G305" s="383">
        <f>IF('Dry_Litterbag Placem_Collection'!E12="","",'Dry_Litterbag Placem_Collection'!E12)</f>
        <v>42938</v>
      </c>
      <c r="H305" s="92" t="str">
        <f>'Final data_for_R_analysis_Dryse'!K451</f>
        <v>G642</v>
      </c>
      <c r="I305" t="str">
        <f>'Final data_for_R_analysis_Dryse'!K671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24"/>
        <v>1.8771999999999998</v>
      </c>
      <c r="M305" s="237">
        <f>AVERAGE(Ashed_controlls!$K$1:$K$11)</f>
        <v>5.5147656768714146</v>
      </c>
      <c r="N305" s="194">
        <f>IFERROR(IF(K305&gt;0,(K305*$F$32-($F$29+$F$30)),""),"")</f>
        <v>1.9352</v>
      </c>
      <c r="O305" s="383" t="str">
        <f>IF('Dry_Litterbag Placem_Collection'!G12="","",'Dry_Litterbag Placem_Collection'!G12)</f>
        <v/>
      </c>
      <c r="P305" s="194" t="str">
        <f>IFERROR(INDEX('Both teabags AfterDry'!$D$3:$D$2000,MATCH(H305,'Both teabags AfterDry'!$A$3:$A$2000,0)),"")</f>
        <v/>
      </c>
      <c r="Q305" s="194" t="str">
        <f>IFERROR(INDEX('Both teabags AfterDry'!$D$3:$D$2000,MATCH(I305,'Both teabags AfterDry'!$A$3:$A$2000,0)),"")</f>
        <v/>
      </c>
      <c r="R305" s="194" t="str">
        <f t="shared" si="25"/>
        <v/>
      </c>
      <c r="S305" s="194" t="str">
        <f t="shared" si="25"/>
        <v/>
      </c>
      <c r="T305" s="194" t="str">
        <f t="shared" si="26"/>
        <v/>
      </c>
      <c r="U305" s="194" t="str">
        <f t="shared" si="27"/>
        <v/>
      </c>
      <c r="V305" s="194" t="str">
        <f t="shared" si="28"/>
        <v/>
      </c>
      <c r="W305" t="str">
        <f t="shared" si="29"/>
        <v/>
      </c>
      <c r="X305" s="194" t="str">
        <f t="shared" si="30"/>
        <v/>
      </c>
      <c r="Y305" s="194" t="str">
        <f t="shared" si="31"/>
        <v/>
      </c>
      <c r="Z305" s="252" t="str">
        <f>IF(ISNUMBER(SEARCH("C", 'Dry_Litterbag Placem_Collection'!$V12)),"YES","NO")</f>
        <v>NO</v>
      </c>
      <c r="AA305" s="252" t="str">
        <f>IF(ISNUMBER(SEARCH("H", 'Dry_Litterbag Placem_Collection'!$V12)),"YES","NO")</f>
        <v>NO</v>
      </c>
      <c r="AB305" s="252" t="str">
        <f>IF(ISNUMBER(SEARCH("R", 'Dry_Litterbag Placem_Collection'!$V12)),"YES","NO")</f>
        <v>NO</v>
      </c>
      <c r="AC305" s="252" t="str">
        <f>IF(ISNUMBER(SEARCH("C", 'Dry_Litterbag Placem_Collection'!$U12)),"YES","NO")</f>
        <v>NO</v>
      </c>
      <c r="AD305" s="252" t="str">
        <f>IF(ISNUMBER(SEARCH("H", 'Dry_Litterbag Placem_Collection'!$U12)),"YES","NO")</f>
        <v>NO</v>
      </c>
      <c r="AE305" s="252" t="str">
        <f>IF(ISNUMBER(SEARCH("R", 'Dry_Litterbag Placem_Collection'!$U12)),"YES","NO")</f>
        <v>NO</v>
      </c>
    </row>
    <row r="306" spans="2:31">
      <c r="B306" t="str">
        <f>'Final data_for_R_analysis_Dryse'!A452</f>
        <v>Dry</v>
      </c>
      <c r="C306" s="260">
        <f>'Final data_for_R_analysis_Dryse'!B452</f>
        <v>11</v>
      </c>
      <c r="D306" t="s">
        <v>3802</v>
      </c>
      <c r="E306" t="s">
        <v>25</v>
      </c>
      <c r="F306" s="381">
        <v>3</v>
      </c>
      <c r="G306" s="383">
        <f>IF('Dry_Litterbag Placem_Collection'!E13="","",'Dry_Litterbag Placem_Collection'!E13)</f>
        <v>42938</v>
      </c>
      <c r="H306" s="92" t="str">
        <f>'Final data_for_R_analysis_Dryse'!K452</f>
        <v>G663</v>
      </c>
      <c r="I306" t="str">
        <f>'Final data_for_R_analysis_Dryse'!K672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24"/>
        <v>1.8262</v>
      </c>
      <c r="M306" s="237">
        <f>AVERAGE(Ashed_controlls!$K$1:$K$11)</f>
        <v>5.5147656768714146</v>
      </c>
      <c r="N306" s="194">
        <f>IFERROR(IF(K306&gt;0,(K306*$F$32-($F$29+$F$30)),""),"")</f>
        <v>1.9241999999999999</v>
      </c>
      <c r="O306" s="383">
        <f>IF('Dry_Litterbag Placem_Collection'!G13="","",'Dry_Litterbag Placem_Collection'!G13)</f>
        <v>43007</v>
      </c>
      <c r="P306" s="194">
        <f>IFERROR(INDEX('Both teabags AfterDry'!$D$3:$D$2000,MATCH(H306,'Both teabags AfterDry'!$A$3:$A$2000,0)),"")</f>
        <v>1.6718</v>
      </c>
      <c r="Q306" s="194">
        <f>IFERROR(INDEX('Both teabags AfterDry'!$D$3:$D$2000,MATCH(I306,'Both teabags AfterDry'!$A$3:$A$2000,0)),"")</f>
        <v>1.9423999999999999</v>
      </c>
      <c r="R306" s="194">
        <f t="shared" si="25"/>
        <v>1.5211999999999999</v>
      </c>
      <c r="S306" s="194">
        <f t="shared" si="25"/>
        <v>1.7917999999999998</v>
      </c>
      <c r="T306" s="194">
        <f t="shared" si="26"/>
        <v>0.16701347059467753</v>
      </c>
      <c r="U306" s="194">
        <f t="shared" si="27"/>
        <v>0.10949101635185514</v>
      </c>
      <c r="V306" s="194">
        <f t="shared" si="28"/>
        <v>0.93119218376468138</v>
      </c>
      <c r="W306">
        <f t="shared" si="29"/>
        <v>69</v>
      </c>
      <c r="X306" s="194">
        <f t="shared" si="30"/>
        <v>0.80164670950750883</v>
      </c>
      <c r="Y306" s="194">
        <f t="shared" si="31"/>
        <v>1.4348221300832653E-2</v>
      </c>
      <c r="Z306" s="252" t="str">
        <f>IF(ISNUMBER(SEARCH("C", 'Dry_Litterbag Placem_Collection'!$V13)),"YES","NO")</f>
        <v>NO</v>
      </c>
      <c r="AA306" s="252" t="str">
        <f>IF(ISNUMBER(SEARCH("H", 'Dry_Litterbag Placem_Collection'!$V13)),"YES","NO")</f>
        <v>NO</v>
      </c>
      <c r="AB306" s="252" t="str">
        <f>IF(ISNUMBER(SEARCH("R", 'Dry_Litterbag Placem_Collection'!$V13)),"YES","NO")</f>
        <v>NO</v>
      </c>
      <c r="AC306" s="252" t="str">
        <f>IF(ISNUMBER(SEARCH("C", 'Dry_Litterbag Placem_Collection'!$U13)),"YES","NO")</f>
        <v>NO</v>
      </c>
      <c r="AD306" s="252" t="str">
        <f>IF(ISNUMBER(SEARCH("H", 'Dry_Litterbag Placem_Collection'!$U13)),"YES","NO")</f>
        <v>NO</v>
      </c>
      <c r="AE306" s="252" t="str">
        <f>IF(ISNUMBER(SEARCH("R", 'Dry_Litterbag Placem_Collection'!$U13)),"YES","NO")</f>
        <v>NO</v>
      </c>
    </row>
    <row r="307" spans="2:31">
      <c r="B307" t="str">
        <f>'Final data_for_R_analysis_Dryse'!A453</f>
        <v>Dry</v>
      </c>
      <c r="C307" s="260">
        <f>'Final data_for_R_analysis_Dryse'!B453</f>
        <v>12</v>
      </c>
      <c r="D307" t="s">
        <v>3802</v>
      </c>
      <c r="E307" t="s">
        <v>25</v>
      </c>
      <c r="F307" s="382">
        <v>4</v>
      </c>
      <c r="G307" s="383" t="str">
        <f>IF('Dry_Litterbag Placem_Collection'!E14="","",'Dry_Litterbag Placem_Collection'!E14)</f>
        <v/>
      </c>
      <c r="H307" s="92" t="str">
        <f>'Final data_for_R_analysis_Dryse'!K453</f>
        <v/>
      </c>
      <c r="I307" t="str">
        <f>'Final data_for_R_analysis_Dryse'!K673</f>
        <v/>
      </c>
      <c r="J307" t="str">
        <f>IFERROR(INDEX('Green_rooibos initial weight'!$C$5:$C$2000,MATCH(H307, 'Green_rooibos initial weight'!$A$5:$A$2000,0)),"")</f>
        <v/>
      </c>
      <c r="K307" t="str">
        <f>IFERROR(INDEX('Green_rooibos initial weight'!$C$5:$C$2000,MATCH(I307, 'Green_rooibos initial weight'!$A$5:$A$2000,0)),"")</f>
        <v/>
      </c>
      <c r="L307" s="194" t="str">
        <f t="shared" si="24"/>
        <v/>
      </c>
      <c r="M307" s="237">
        <f>AVERAGE(Ashed_controlls!$K$1:$K$11)</f>
        <v>5.5147656768714146</v>
      </c>
      <c r="N307" s="194" t="str">
        <f>IFERROR(IF(K307&gt;0,(K307*$F$32-($F$29+$F$30)),""),"")</f>
        <v/>
      </c>
      <c r="O307" s="383" t="str">
        <f>IF('Dry_Litterbag Placem_Collection'!G14="","",'Dry_Litterbag Placem_Collection'!G14)</f>
        <v/>
      </c>
      <c r="P307" s="194" t="str">
        <f>IFERROR(INDEX('Both teabags AfterDry'!$D$3:$D$2000,MATCH(H307,'Both teabags AfterDry'!$A$3:$A$2000,0)),"")</f>
        <v/>
      </c>
      <c r="Q307" s="194" t="str">
        <f>IFERROR(INDEX('Both teabags AfterDry'!$D$3:$D$2000,MATCH(I307,'Both teabags AfterDry'!$A$3:$A$2000,0)),"")</f>
        <v/>
      </c>
      <c r="R307" s="194" t="str">
        <f t="shared" si="25"/>
        <v/>
      </c>
      <c r="S307" s="194" t="str">
        <f t="shared" si="25"/>
        <v/>
      </c>
      <c r="T307" s="194" t="str">
        <f t="shared" si="26"/>
        <v/>
      </c>
      <c r="U307" s="194" t="str">
        <f t="shared" si="27"/>
        <v/>
      </c>
      <c r="V307" s="194" t="str">
        <f t="shared" si="28"/>
        <v/>
      </c>
      <c r="W307" t="str">
        <f t="shared" si="29"/>
        <v/>
      </c>
      <c r="X307" s="194" t="str">
        <f t="shared" si="30"/>
        <v/>
      </c>
      <c r="Y307" s="194" t="str">
        <f t="shared" si="31"/>
        <v/>
      </c>
      <c r="Z307" s="252" t="str">
        <f>IF(ISNUMBER(SEARCH("C", 'Dry_Litterbag Placem_Collection'!$V14)),"YES","NO")</f>
        <v>NO</v>
      </c>
      <c r="AA307" s="252" t="str">
        <f>IF(ISNUMBER(SEARCH("H", 'Dry_Litterbag Placem_Collection'!$V14)),"YES","NO")</f>
        <v>NO</v>
      </c>
      <c r="AB307" s="252" t="str">
        <f>IF(ISNUMBER(SEARCH("R", 'Dry_Litterbag Placem_Collection'!$V14)),"YES","NO")</f>
        <v>NO</v>
      </c>
      <c r="AC307" s="252" t="str">
        <f>IF(ISNUMBER(SEARCH("C", 'Dry_Litterbag Placem_Collection'!$U14)),"YES","NO")</f>
        <v>NO</v>
      </c>
      <c r="AD307" s="252" t="str">
        <f>IF(ISNUMBER(SEARCH("H", 'Dry_Litterbag Placem_Collection'!$U14)),"YES","NO")</f>
        <v>NO</v>
      </c>
      <c r="AE307" s="252" t="str">
        <f>IF(ISNUMBER(SEARCH("R", 'Dry_Litterbag Placem_Collection'!$U14)),"YES","NO")</f>
        <v>NO</v>
      </c>
    </row>
    <row r="308" spans="2:31">
      <c r="B308" t="str">
        <f>'Final data_for_R_analysis_Dryse'!A454</f>
        <v>Dry</v>
      </c>
      <c r="C308" s="260">
        <f>'Final data_for_R_analysis_Dryse'!B454</f>
        <v>13</v>
      </c>
      <c r="D308" t="s">
        <v>3802</v>
      </c>
      <c r="E308" t="s">
        <v>25</v>
      </c>
      <c r="F308" s="382">
        <v>5</v>
      </c>
      <c r="G308" s="383">
        <f>IF('Dry_Litterbag Placem_Collection'!E15="","",'Dry_Litterbag Placem_Collection'!E15)</f>
        <v>42938</v>
      </c>
      <c r="H308" s="92" t="str">
        <f>'Final data_for_R_analysis_Dryse'!K454</f>
        <v>G874</v>
      </c>
      <c r="I308" t="str">
        <f>'Final data_for_R_analysis_Dryse'!K674</f>
        <v>R603</v>
      </c>
      <c r="J308">
        <f>IFERROR(INDEX('Green_rooibos initial weight'!$C$5:$C$2000,MATCH(H308, 'Green_rooibos initial weight'!$A$5:$A$2000,0)),"")</f>
        <v>2.032</v>
      </c>
      <c r="K308">
        <f>IFERROR(INDEX('Green_rooibos initial weight'!$C$5:$C$2000,MATCH(I308, 'Green_rooibos initial weight'!$A$5:$A$2000,0)),"")</f>
        <v>2.1440000000000001</v>
      </c>
      <c r="L308" s="194">
        <f t="shared" si="24"/>
        <v>1.7822</v>
      </c>
      <c r="M308" s="237">
        <f>AVERAGE(Ashed_controlls!$K$1:$K$11)</f>
        <v>5.5147656768714146</v>
      </c>
      <c r="N308" s="194">
        <f>IFERROR(IF(K308&gt;0,(K308*$F$32-($F$29+$F$30)),""),"")</f>
        <v>1.8942000000000001</v>
      </c>
      <c r="O308" s="383">
        <f>IF('Dry_Litterbag Placem_Collection'!G15="","",'Dry_Litterbag Placem_Collection'!G15)</f>
        <v>43007</v>
      </c>
      <c r="P308" s="194">
        <f>IFERROR(INDEX('Both teabags AfterDry'!$D$3:$D$2000,MATCH(H308,'Both teabags AfterDry'!$A$3:$A$2000,0)),"")</f>
        <v>1.361</v>
      </c>
      <c r="Q308" s="194">
        <f>IFERROR(INDEX('Both teabags AfterDry'!$D$3:$D$2000,MATCH(I308,'Both teabags AfterDry'!$A$3:$A$2000,0)),"")</f>
        <v>1.9094</v>
      </c>
      <c r="R308" s="194">
        <f t="shared" si="25"/>
        <v>1.2103999999999999</v>
      </c>
      <c r="S308" s="194">
        <f t="shared" si="25"/>
        <v>1.7587999999999999</v>
      </c>
      <c r="T308" s="194">
        <f t="shared" si="26"/>
        <v>0.32083941196274268</v>
      </c>
      <c r="U308" s="194">
        <f t="shared" si="27"/>
        <v>0.21033652660740379</v>
      </c>
      <c r="V308" s="194">
        <f t="shared" si="28"/>
        <v>0.92851863583570893</v>
      </c>
      <c r="W308">
        <f t="shared" si="29"/>
        <v>69</v>
      </c>
      <c r="X308" s="194">
        <f t="shared" si="30"/>
        <v>0.61895556774021054</v>
      </c>
      <c r="Y308" s="194">
        <f t="shared" si="31"/>
        <v>6.018512502377343E-3</v>
      </c>
      <c r="Z308" s="252" t="str">
        <f>IF(ISNUMBER(SEARCH("C", 'Dry_Litterbag Placem_Collection'!$V15)),"YES","NO")</f>
        <v>NO</v>
      </c>
      <c r="AA308" s="252" t="str">
        <f>IF(ISNUMBER(SEARCH("H", 'Dry_Litterbag Placem_Collection'!$V15)),"YES","NO")</f>
        <v>NO</v>
      </c>
      <c r="AB308" s="252" t="str">
        <f>IF(ISNUMBER(SEARCH("R", 'Dry_Litterbag Placem_Collection'!$V15)),"YES","NO")</f>
        <v>NO</v>
      </c>
      <c r="AC308" s="252" t="str">
        <f>IF(ISNUMBER(SEARCH("C", 'Dry_Litterbag Placem_Collection'!$U15)),"YES","NO")</f>
        <v>NO</v>
      </c>
      <c r="AD308" s="252" t="str">
        <f>IF(ISNUMBER(SEARCH("H", 'Dry_Litterbag Placem_Collection'!$U15)),"YES","NO")</f>
        <v>NO</v>
      </c>
      <c r="AE308" s="252" t="str">
        <f>IF(ISNUMBER(SEARCH("R", 'Dry_Litterbag Placem_Collection'!$U15)),"YES","NO")</f>
        <v>NO</v>
      </c>
    </row>
    <row r="309" spans="2:31">
      <c r="B309" t="str">
        <f>'Final data_for_R_analysis_Dryse'!A455</f>
        <v>Dry</v>
      </c>
      <c r="C309" s="260">
        <f>'Final data_for_R_analysis_Dryse'!B455</f>
        <v>14</v>
      </c>
      <c r="D309" t="s">
        <v>3802</v>
      </c>
      <c r="E309" t="s">
        <v>25</v>
      </c>
      <c r="F309" s="382">
        <v>6</v>
      </c>
      <c r="G309" s="383">
        <f>IF('Dry_Litterbag Placem_Collection'!E16="","",'Dry_Litterbag Placem_Collection'!E16)</f>
        <v>42938</v>
      </c>
      <c r="H309" s="92" t="str">
        <f>'Final data_for_R_analysis_Dryse'!K455</f>
        <v>G219</v>
      </c>
      <c r="I309" t="str">
        <f>'Final data_for_R_analysis_Dryse'!K675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24"/>
        <v>1.7612000000000001</v>
      </c>
      <c r="M309" s="237">
        <f>AVERAGE(Ashed_controlls!$K$1:$K$11)</f>
        <v>5.5147656768714146</v>
      </c>
      <c r="N309" s="194">
        <f>IFERROR(IF(K309&gt;0,(K309*$F$32-($F$29+$F$30)),""),"")</f>
        <v>1.9592000000000001</v>
      </c>
      <c r="O309" s="383">
        <f>IF('Dry_Litterbag Placem_Collection'!G16="","",'Dry_Litterbag Placem_Collection'!G16)</f>
        <v>43007</v>
      </c>
      <c r="P309" s="194">
        <f>IFERROR(INDEX('Both teabags AfterDry'!$D$3:$D$2000,MATCH(H309,'Both teabags AfterDry'!$A$3:$A$2000,0)),"")</f>
        <v>0.76939999999999997</v>
      </c>
      <c r="Q309" s="194">
        <f>IFERROR(INDEX('Both teabags AfterDry'!$D$3:$D$2000,MATCH(I309,'Both teabags AfterDry'!$A$3:$A$2000,0)),"")</f>
        <v>1.9245000000000001</v>
      </c>
      <c r="R309" s="194">
        <f t="shared" si="25"/>
        <v>0.61880000000000002</v>
      </c>
      <c r="S309" s="194">
        <f t="shared" si="25"/>
        <v>1.7739</v>
      </c>
      <c r="T309" s="194">
        <f t="shared" si="26"/>
        <v>0.64864864864864868</v>
      </c>
      <c r="U309" s="194">
        <f t="shared" si="27"/>
        <v>0.42524234448224957</v>
      </c>
      <c r="V309" s="194">
        <f t="shared" si="28"/>
        <v>0.90542057982850144</v>
      </c>
      <c r="W309">
        <f t="shared" si="29"/>
        <v>69</v>
      </c>
      <c r="X309" s="194">
        <f t="shared" si="30"/>
        <v>0.22963343390896829</v>
      </c>
      <c r="Y309" s="194">
        <f t="shared" si="31"/>
        <v>3.6457931561815174E-3</v>
      </c>
      <c r="Z309" s="252" t="str">
        <f>IF(ISNUMBER(SEARCH("C", 'Dry_Litterbag Placem_Collection'!$V16)),"YES","NO")</f>
        <v>NO</v>
      </c>
      <c r="AA309" s="252" t="str">
        <f>IF(ISNUMBER(SEARCH("H", 'Dry_Litterbag Placem_Collection'!$V16)),"YES","NO")</f>
        <v>NO</v>
      </c>
      <c r="AB309" s="252" t="str">
        <f>IF(ISNUMBER(SEARCH("R", 'Dry_Litterbag Placem_Collection'!$V16)),"YES","NO")</f>
        <v>NO</v>
      </c>
      <c r="AC309" s="252" t="str">
        <f>IF(ISNUMBER(SEARCH("C", 'Dry_Litterbag Placem_Collection'!$U16)),"YES","NO")</f>
        <v>NO</v>
      </c>
      <c r="AD309" s="252" t="str">
        <f>IF(ISNUMBER(SEARCH("H", 'Dry_Litterbag Placem_Collection'!$U16)),"YES","NO")</f>
        <v>NO</v>
      </c>
      <c r="AE309" s="252" t="str">
        <f>IF(ISNUMBER(SEARCH("R", 'Dry_Litterbag Placem_Collection'!$U16)),"YES","NO")</f>
        <v>YES</v>
      </c>
    </row>
    <row r="310" spans="2:31">
      <c r="B310" t="str">
        <f>'Final data_for_R_analysis_Dryse'!A456</f>
        <v>Dry</v>
      </c>
      <c r="C310" s="260">
        <f>'Final data_for_R_analysis_Dryse'!B456</f>
        <v>15</v>
      </c>
      <c r="D310" t="s">
        <v>3802</v>
      </c>
      <c r="E310" t="s">
        <v>25</v>
      </c>
      <c r="F310" s="382">
        <v>7</v>
      </c>
      <c r="G310" s="383">
        <f>IF('Dry_Litterbag Placem_Collection'!E17="","",'Dry_Litterbag Placem_Collection'!E17)</f>
        <v>42938</v>
      </c>
      <c r="H310" s="92" t="str">
        <f>'Final data_for_R_analysis_Dryse'!K456</f>
        <v>G630</v>
      </c>
      <c r="I310" t="str">
        <f>'Final data_for_R_analysis_Dryse'!K676</f>
        <v>R304</v>
      </c>
      <c r="J310">
        <f>IFERROR(INDEX('Green_rooibos initial weight'!$C$5:$C$2000,MATCH(H310, 'Green_rooibos initial weight'!$A$5:$A$2000,0)),"")</f>
        <v>2.12</v>
      </c>
      <c r="K310">
        <f>IFERROR(INDEX('Green_rooibos initial weight'!$C$5:$C$2000,MATCH(I310, 'Green_rooibos initial weight'!$A$5:$A$2000,0)),"")</f>
        <v>2.1930000000000001</v>
      </c>
      <c r="L310" s="194">
        <f t="shared" si="24"/>
        <v>1.8702000000000001</v>
      </c>
      <c r="M310" s="237">
        <f>AVERAGE(Ashed_controlls!$K$1:$K$11)</f>
        <v>5.5147656768714146</v>
      </c>
      <c r="N310" s="194">
        <f>IFERROR(IF(K310&gt;0,(K310*$F$32-($F$29+$F$30)),""),"")</f>
        <v>1.9432</v>
      </c>
      <c r="O310" s="383">
        <f>IF('Dry_Litterbag Placem_Collection'!G17="","",'Dry_Litterbag Placem_Collection'!G17)</f>
        <v>43007</v>
      </c>
      <c r="P310" s="194">
        <f>IFERROR(INDEX('Both teabags AfterDry'!$D$3:$D$2000,MATCH(H310,'Both teabags AfterDry'!$A$3:$A$2000,0)),"")</f>
        <v>1.8631</v>
      </c>
      <c r="Q310" s="194">
        <f>IFERROR(INDEX('Both teabags AfterDry'!$D$3:$D$2000,MATCH(I310,'Both teabags AfterDry'!$A$3:$A$2000,0)),"")</f>
        <v>1.8989</v>
      </c>
      <c r="R310" s="194">
        <f t="shared" si="25"/>
        <v>1.7124999999999999</v>
      </c>
      <c r="S310" s="194">
        <f t="shared" si="25"/>
        <v>1.7483</v>
      </c>
      <c r="T310" s="194">
        <f t="shared" si="26"/>
        <v>8.4322532349481394E-2</v>
      </c>
      <c r="U310" s="194">
        <f t="shared" si="27"/>
        <v>5.5280329996334629E-2</v>
      </c>
      <c r="V310" s="194">
        <f t="shared" si="28"/>
        <v>0.89970152326060104</v>
      </c>
      <c r="W310">
        <f t="shared" si="29"/>
        <v>69</v>
      </c>
      <c r="X310" s="194">
        <f t="shared" si="30"/>
        <v>0.89985447464432133</v>
      </c>
      <c r="Y310" s="194" t="str">
        <f t="shared" si="31"/>
        <v/>
      </c>
      <c r="Z310" s="252" t="str">
        <f>IF(ISNUMBER(SEARCH("C", 'Dry_Litterbag Placem_Collection'!$V17)),"YES","NO")</f>
        <v>NO</v>
      </c>
      <c r="AA310" s="252" t="str">
        <f>IF(ISNUMBER(SEARCH("H", 'Dry_Litterbag Placem_Collection'!$V17)),"YES","NO")</f>
        <v>NO</v>
      </c>
      <c r="AB310" s="252" t="str">
        <f>IF(ISNUMBER(SEARCH("R", 'Dry_Litterbag Placem_Collection'!$V17)),"YES","NO")</f>
        <v>NO</v>
      </c>
      <c r="AC310" s="252" t="str">
        <f>IF(ISNUMBER(SEARCH("C", 'Dry_Litterbag Placem_Collection'!$U17)),"YES","NO")</f>
        <v>NO</v>
      </c>
      <c r="AD310" s="252" t="str">
        <f>IF(ISNUMBER(SEARCH("H", 'Dry_Litterbag Placem_Collection'!$U17)),"YES","NO")</f>
        <v>NO</v>
      </c>
      <c r="AE310" s="252" t="str">
        <f>IF(ISNUMBER(SEARCH("R", 'Dry_Litterbag Placem_Collection'!$U17)),"YES","NO")</f>
        <v>NO</v>
      </c>
    </row>
    <row r="311" spans="2:31">
      <c r="B311" t="str">
        <f>'Final data_for_R_analysis_Dryse'!A457</f>
        <v>Dry</v>
      </c>
      <c r="C311" s="260">
        <f>'Final data_for_R_analysis_Dryse'!B457</f>
        <v>16</v>
      </c>
      <c r="D311" t="s">
        <v>3802</v>
      </c>
      <c r="E311" t="s">
        <v>25</v>
      </c>
      <c r="F311" s="382">
        <v>8</v>
      </c>
      <c r="G311" s="383">
        <f>IF('Dry_Litterbag Placem_Collection'!E18="","",'Dry_Litterbag Placem_Collection'!E18)</f>
        <v>42938</v>
      </c>
      <c r="H311" s="92" t="str">
        <f>'Final data_for_R_analysis_Dryse'!K457</f>
        <v>G662</v>
      </c>
      <c r="I311" t="str">
        <f>'Final data_for_R_analysis_Dryse'!K677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24"/>
        <v>1.8851999999999998</v>
      </c>
      <c r="M311" s="237">
        <f>AVERAGE(Ashed_controlls!$K$1:$K$11)</f>
        <v>5.5147656768714146</v>
      </c>
      <c r="N311" s="194">
        <f>IFERROR(IF(K311&gt;0,(K311*$F$32-($F$29+$F$30)),""),"")</f>
        <v>1.9531999999999998</v>
      </c>
      <c r="O311" s="383">
        <f>IF('Dry_Litterbag Placem_Collection'!G18="","",'Dry_Litterbag Placem_Collection'!G18)</f>
        <v>43007</v>
      </c>
      <c r="P311" s="194" t="str">
        <f>IFERROR(INDEX('Both teabags AfterDry'!$D$3:$D$2000,MATCH(H311,'Both teabags AfterDry'!$A$3:$A$2000,0)),"")</f>
        <v/>
      </c>
      <c r="Q311" s="194" t="str">
        <f>IFERROR(INDEX('Both teabags AfterDry'!$D$3:$D$2000,MATCH(I311,'Both teabags AfterDry'!$A$3:$A$2000,0)),"")</f>
        <v/>
      </c>
      <c r="R311" s="194" t="str">
        <f t="shared" si="25"/>
        <v/>
      </c>
      <c r="S311" s="194" t="str">
        <f t="shared" si="25"/>
        <v/>
      </c>
      <c r="T311" s="194" t="str">
        <f t="shared" si="26"/>
        <v/>
      </c>
      <c r="U311" s="194" t="str">
        <f t="shared" si="27"/>
        <v/>
      </c>
      <c r="V311" s="194" t="str">
        <f t="shared" si="28"/>
        <v/>
      </c>
      <c r="W311">
        <f t="shared" si="29"/>
        <v>69</v>
      </c>
      <c r="X311" s="194" t="str">
        <f t="shared" si="30"/>
        <v/>
      </c>
      <c r="Y311" s="194" t="str">
        <f t="shared" si="31"/>
        <v/>
      </c>
      <c r="Z311" s="252" t="str">
        <f>IF(ISNUMBER(SEARCH("C", 'Dry_Litterbag Placem_Collection'!$V18)),"YES","NO")</f>
        <v>NO</v>
      </c>
      <c r="AA311" s="252" t="str">
        <f>IF(ISNUMBER(SEARCH("H", 'Dry_Litterbag Placem_Collection'!$V18)),"YES","NO")</f>
        <v>NO</v>
      </c>
      <c r="AB311" s="252" t="str">
        <f>IF(ISNUMBER(SEARCH("R", 'Dry_Litterbag Placem_Collection'!$V18)),"YES","NO")</f>
        <v>NO</v>
      </c>
      <c r="AC311" s="252" t="str">
        <f>IF(ISNUMBER(SEARCH("C", 'Dry_Litterbag Placem_Collection'!$U18)),"YES","NO")</f>
        <v>NO</v>
      </c>
      <c r="AD311" s="252" t="str">
        <f>IF(ISNUMBER(SEARCH("H", 'Dry_Litterbag Placem_Collection'!$U18)),"YES","NO")</f>
        <v>NO</v>
      </c>
      <c r="AE311" s="252" t="str">
        <f>IF(ISNUMBER(SEARCH("R", 'Dry_Litterbag Placem_Collection'!$U18)),"YES","NO")</f>
        <v>YES</v>
      </c>
    </row>
    <row r="312" spans="2:31">
      <c r="B312" t="str">
        <f>'Final data_for_R_analysis_Dryse'!A458</f>
        <v>Dry</v>
      </c>
      <c r="C312" s="260">
        <f>'Final data_for_R_analysis_Dryse'!B458</f>
        <v>17</v>
      </c>
      <c r="D312" t="s">
        <v>3803</v>
      </c>
      <c r="E312" t="s">
        <v>25</v>
      </c>
      <c r="F312" s="381">
        <v>1</v>
      </c>
      <c r="G312" s="383">
        <f>IF('Dry_Litterbag Placem_Collection'!E19="","",'Dry_Litterbag Placem_Collection'!E19)</f>
        <v>42936</v>
      </c>
      <c r="H312" s="92" t="str">
        <f>'Final data_for_R_analysis_Dryse'!K458</f>
        <v>G349</v>
      </c>
      <c r="I312" t="str">
        <f>'Final data_for_R_analysis_Dryse'!K678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24"/>
        <v>1.6952</v>
      </c>
      <c r="M312" s="237">
        <f>AVERAGE(Ashed_controlls!$K$1:$K$11)</f>
        <v>5.5147656768714146</v>
      </c>
      <c r="N312" s="194">
        <f>IFERROR(IF(K312&gt;0,(K312*$F$32-($F$29+$F$30)),""),"")</f>
        <v>1.9361999999999999</v>
      </c>
      <c r="O312" s="383">
        <f>IF('Dry_Litterbag Placem_Collection'!G19="","",'Dry_Litterbag Placem_Collection'!G19)</f>
        <v>43007</v>
      </c>
      <c r="P312" s="194">
        <f>IFERROR(INDEX('Both teabags AfterDry'!$D$3:$D$2000,MATCH(H312,'Both teabags AfterDry'!$A$3:$A$2000,0)),"")</f>
        <v>1.7968</v>
      </c>
      <c r="Q312" s="194">
        <f>IFERROR(INDEX('Both teabags AfterDry'!$D$3:$D$2000,MATCH(I312,'Both teabags AfterDry'!$A$3:$A$2000,0)),"")</f>
        <v>2.0062000000000002</v>
      </c>
      <c r="R312" s="194">
        <f t="shared" si="25"/>
        <v>1.6461999999999999</v>
      </c>
      <c r="S312" s="194">
        <f t="shared" si="25"/>
        <v>1.8556000000000001</v>
      </c>
      <c r="T312" s="194">
        <f t="shared" si="26"/>
        <v>2.8905143935818889E-2</v>
      </c>
      <c r="U312" s="194">
        <f t="shared" si="27"/>
        <v>1.8949690561249458E-2</v>
      </c>
      <c r="V312" s="194">
        <f t="shared" si="28"/>
        <v>0.95837206900113636</v>
      </c>
      <c r="W312">
        <f t="shared" si="29"/>
        <v>71</v>
      </c>
      <c r="X312" s="194">
        <f t="shared" si="30"/>
        <v>0.9656708504325191</v>
      </c>
      <c r="Y312" s="194" t="str">
        <f t="shared" si="31"/>
        <v/>
      </c>
      <c r="Z312" s="252" t="str">
        <f>IF(ISNUMBER(SEARCH("C", 'Dry_Litterbag Placem_Collection'!$V19)),"YES","NO")</f>
        <v>NO</v>
      </c>
      <c r="AA312" s="252" t="str">
        <f>IF(ISNUMBER(SEARCH("H", 'Dry_Litterbag Placem_Collection'!$V19)),"YES","NO")</f>
        <v>NO</v>
      </c>
      <c r="AB312" s="252" t="str">
        <f>IF(ISNUMBER(SEARCH("R", 'Dry_Litterbag Placem_Collection'!$V19)),"YES","NO")</f>
        <v>NO</v>
      </c>
      <c r="AC312" s="252" t="str">
        <f>IF(ISNUMBER(SEARCH("C", 'Dry_Litterbag Placem_Collection'!$U19)),"YES","NO")</f>
        <v>NO</v>
      </c>
      <c r="AD312" s="252" t="str">
        <f>IF(ISNUMBER(SEARCH("H", 'Dry_Litterbag Placem_Collection'!$U19)),"YES","NO")</f>
        <v>NO</v>
      </c>
      <c r="AE312" s="252" t="str">
        <f>IF(ISNUMBER(SEARCH("R", 'Dry_Litterbag Placem_Collection'!$U19)),"YES","NO")</f>
        <v>NO</v>
      </c>
    </row>
    <row r="313" spans="2:31">
      <c r="B313" t="str">
        <f>'Final data_for_R_analysis_Dryse'!A459</f>
        <v>Dry</v>
      </c>
      <c r="C313" s="260">
        <f>'Final data_for_R_analysis_Dryse'!B459</f>
        <v>18</v>
      </c>
      <c r="D313" t="s">
        <v>3803</v>
      </c>
      <c r="E313" t="s">
        <v>25</v>
      </c>
      <c r="F313" s="381">
        <v>2</v>
      </c>
      <c r="G313" s="383">
        <f>IF('Dry_Litterbag Placem_Collection'!E20="","",'Dry_Litterbag Placem_Collection'!E20)</f>
        <v>42936</v>
      </c>
      <c r="H313" s="92" t="str">
        <f>'Final data_for_R_analysis_Dryse'!K459</f>
        <v>G113</v>
      </c>
      <c r="I313" t="str">
        <f>'Final data_for_R_analysis_Dryse'!K679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24"/>
        <v>1.8041999999999998</v>
      </c>
      <c r="M313" s="237">
        <f>AVERAGE(Ashed_controlls!$K$1:$K$11)</f>
        <v>5.5147656768714146</v>
      </c>
      <c r="N313" s="194">
        <f>IFERROR(IF(K313&gt;0,(K313*$F$32-($F$29+$F$30)),""),"")</f>
        <v>1.9712000000000001</v>
      </c>
      <c r="O313" s="383">
        <f>IF('Dry_Litterbag Placem_Collection'!G20="","",'Dry_Litterbag Placem_Collection'!G20)</f>
        <v>43007</v>
      </c>
      <c r="P313" s="194">
        <f>IFERROR(INDEX('Both teabags AfterDry'!$D$3:$D$2000,MATCH(H313,'Both teabags AfterDry'!$A$3:$A$2000,0)),"")</f>
        <v>1.8204</v>
      </c>
      <c r="Q313" s="194">
        <f>IFERROR(INDEX('Both teabags AfterDry'!$D$3:$D$2000,MATCH(I313,'Both teabags AfterDry'!$A$3:$A$2000,0)),"")</f>
        <v>2.0156999999999998</v>
      </c>
      <c r="R313" s="194">
        <f t="shared" si="25"/>
        <v>1.6698</v>
      </c>
      <c r="S313" s="194">
        <f t="shared" si="25"/>
        <v>1.8650999999999998</v>
      </c>
      <c r="T313" s="194">
        <f t="shared" si="26"/>
        <v>7.4492850016627754E-2</v>
      </c>
      <c r="U313" s="194">
        <f t="shared" si="27"/>
        <v>4.8836167706862853E-2</v>
      </c>
      <c r="V313" s="194">
        <f t="shared" si="28"/>
        <v>0.94617491883116867</v>
      </c>
      <c r="W313">
        <f t="shared" si="29"/>
        <v>71</v>
      </c>
      <c r="X313" s="194">
        <f t="shared" si="30"/>
        <v>0.91152868169046586</v>
      </c>
      <c r="Y313" s="194" t="str">
        <f t="shared" si="31"/>
        <v/>
      </c>
      <c r="Z313" s="252" t="str">
        <f>IF(ISNUMBER(SEARCH("C", 'Dry_Litterbag Placem_Collection'!$V20)),"YES","NO")</f>
        <v>NO</v>
      </c>
      <c r="AA313" s="252" t="str">
        <f>IF(ISNUMBER(SEARCH("H", 'Dry_Litterbag Placem_Collection'!$V20)),"YES","NO")</f>
        <v>NO</v>
      </c>
      <c r="AB313" s="252" t="str">
        <f>IF(ISNUMBER(SEARCH("R", 'Dry_Litterbag Placem_Collection'!$V20)),"YES","NO")</f>
        <v>NO</v>
      </c>
      <c r="AC313" s="252" t="str">
        <f>IF(ISNUMBER(SEARCH("C", 'Dry_Litterbag Placem_Collection'!$U20)),"YES","NO")</f>
        <v>NO</v>
      </c>
      <c r="AD313" s="252" t="str">
        <f>IF(ISNUMBER(SEARCH("H", 'Dry_Litterbag Placem_Collection'!$U20)),"YES","NO")</f>
        <v>NO</v>
      </c>
      <c r="AE313" s="252" t="str">
        <f>IF(ISNUMBER(SEARCH("R", 'Dry_Litterbag Placem_Collection'!$U20)),"YES","NO")</f>
        <v>NO</v>
      </c>
    </row>
    <row r="314" spans="2:31">
      <c r="B314" t="str">
        <f>'Final data_for_R_analysis_Dryse'!A460</f>
        <v>Dry</v>
      </c>
      <c r="C314" s="260">
        <f>'Final data_for_R_analysis_Dryse'!B460</f>
        <v>19</v>
      </c>
      <c r="D314" t="s">
        <v>3803</v>
      </c>
      <c r="E314" t="s">
        <v>25</v>
      </c>
      <c r="F314" s="381">
        <v>3</v>
      </c>
      <c r="G314" s="383">
        <f>IF('Dry_Litterbag Placem_Collection'!E21="","",'Dry_Litterbag Placem_Collection'!E21)</f>
        <v>42936</v>
      </c>
      <c r="H314" s="92" t="str">
        <f>'Final data_for_R_analysis_Dryse'!K460</f>
        <v>G394</v>
      </c>
      <c r="I314" t="str">
        <f>'Final data_for_R_analysis_Dryse'!K680</f>
        <v>R280</v>
      </c>
      <c r="J314">
        <f>IFERROR(INDEX('Green_rooibos initial weight'!$C$5:$C$2000,MATCH(H314, 'Green_rooibos initial weight'!$A$5:$A$2000,0)),"")</f>
        <v>2.056</v>
      </c>
      <c r="K314">
        <f>IFERROR(INDEX('Green_rooibos initial weight'!$C$5:$C$2000,MATCH(I314, 'Green_rooibos initial weight'!$A$5:$A$2000,0)),"")</f>
        <v>2.11</v>
      </c>
      <c r="L314" s="194">
        <f t="shared" si="24"/>
        <v>1.8062</v>
      </c>
      <c r="M314" s="237">
        <f>AVERAGE(Ashed_controlls!$K$1:$K$11)</f>
        <v>5.5147656768714146</v>
      </c>
      <c r="N314" s="194">
        <f>IFERROR(IF(K314&gt;0,(K314*$F$32-($F$29+$F$30)),""),"")</f>
        <v>1.8601999999999999</v>
      </c>
      <c r="O314" s="383">
        <f>IF('Dry_Litterbag Placem_Collection'!G21="","",'Dry_Litterbag Placem_Collection'!G21)</f>
        <v>43007</v>
      </c>
      <c r="P314" s="194">
        <f>IFERROR(INDEX('Both teabags AfterDry'!$D$3:$D$2000,MATCH(H314,'Both teabags AfterDry'!$A$3:$A$2000,0)),"")</f>
        <v>1.8532999999999999</v>
      </c>
      <c r="Q314" s="194">
        <f>IFERROR(INDEX('Both teabags AfterDry'!$D$3:$D$2000,MATCH(I314,'Both teabags AfterDry'!$A$3:$A$2000,0)),"")</f>
        <v>1.9007000000000001</v>
      </c>
      <c r="R314" s="194">
        <f t="shared" si="25"/>
        <v>1.7026999999999999</v>
      </c>
      <c r="S314" s="194">
        <f t="shared" si="25"/>
        <v>1.7501</v>
      </c>
      <c r="T314" s="194">
        <f t="shared" si="26"/>
        <v>5.7302624294098159E-2</v>
      </c>
      <c r="U314" s="194">
        <f t="shared" si="27"/>
        <v>3.7566566045537014E-2</v>
      </c>
      <c r="V314" s="194">
        <f t="shared" si="28"/>
        <v>0.94081281582625531</v>
      </c>
      <c r="W314">
        <f t="shared" si="29"/>
        <v>71</v>
      </c>
      <c r="X314" s="194">
        <f t="shared" si="30"/>
        <v>0.93194462672909961</v>
      </c>
      <c r="Y314" s="194" t="str">
        <f t="shared" si="31"/>
        <v/>
      </c>
      <c r="Z314" s="252" t="str">
        <f>IF(ISNUMBER(SEARCH("C", 'Dry_Litterbag Placem_Collection'!$V21)),"YES","NO")</f>
        <v>NO</v>
      </c>
      <c r="AA314" s="252" t="str">
        <f>IF(ISNUMBER(SEARCH("H", 'Dry_Litterbag Placem_Collection'!$V21)),"YES","NO")</f>
        <v>NO</v>
      </c>
      <c r="AB314" s="252" t="str">
        <f>IF(ISNUMBER(SEARCH("R", 'Dry_Litterbag Placem_Collection'!$V21)),"YES","NO")</f>
        <v>NO</v>
      </c>
      <c r="AC314" s="252" t="str">
        <f>IF(ISNUMBER(SEARCH("C", 'Dry_Litterbag Placem_Collection'!$U21)),"YES","NO")</f>
        <v>NO</v>
      </c>
      <c r="AD314" s="252" t="str">
        <f>IF(ISNUMBER(SEARCH("H", 'Dry_Litterbag Placem_Collection'!$U21)),"YES","NO")</f>
        <v>NO</v>
      </c>
      <c r="AE314" s="252" t="str">
        <f>IF(ISNUMBER(SEARCH("R", 'Dry_Litterbag Placem_Collection'!$U21)),"YES","NO")</f>
        <v>NO</v>
      </c>
    </row>
    <row r="315" spans="2:31">
      <c r="B315" t="str">
        <f>'Final data_for_R_analysis_Dryse'!A461</f>
        <v>Dry</v>
      </c>
      <c r="C315" s="260">
        <f>'Final data_for_R_analysis_Dryse'!B461</f>
        <v>20</v>
      </c>
      <c r="D315" t="s">
        <v>3803</v>
      </c>
      <c r="E315" t="s">
        <v>25</v>
      </c>
      <c r="F315" s="382">
        <v>4</v>
      </c>
      <c r="G315" s="383">
        <f>IF('Dry_Litterbag Placem_Collection'!E22="","",'Dry_Litterbag Placem_Collection'!E22)</f>
        <v>42936</v>
      </c>
      <c r="H315" s="92" t="str">
        <f>'Final data_for_R_analysis_Dryse'!K461</f>
        <v>G79</v>
      </c>
      <c r="I315" t="str">
        <f>'Final data_for_R_analysis_Dryse'!K681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24"/>
        <v>1.8622000000000001</v>
      </c>
      <c r="M315" s="237">
        <f>AVERAGE(Ashed_controlls!$K$1:$K$11)</f>
        <v>5.5147656768714146</v>
      </c>
      <c r="N315" s="194">
        <f>IFERROR(IF(K315&gt;0,(K315*$F$32-($F$29+$F$30)),""),"")</f>
        <v>1.8961999999999999</v>
      </c>
      <c r="O315" s="383">
        <f>IF('Dry_Litterbag Placem_Collection'!G22="","",'Dry_Litterbag Placem_Collection'!G22)</f>
        <v>43007</v>
      </c>
      <c r="P315" s="194">
        <f>IFERROR(INDEX('Both teabags AfterDry'!$D$3:$D$2000,MATCH(H315,'Both teabags AfterDry'!$A$3:$A$2000,0)),"")</f>
        <v>1.8559000000000001</v>
      </c>
      <c r="Q315" s="194">
        <f>IFERROR(INDEX('Both teabags AfterDry'!$D$3:$D$2000,MATCH(I315,'Both teabags AfterDry'!$A$3:$A$2000,0)),"")</f>
        <v>1.9332</v>
      </c>
      <c r="R315" s="194">
        <f t="shared" si="25"/>
        <v>1.7053</v>
      </c>
      <c r="S315" s="194">
        <f t="shared" si="25"/>
        <v>1.7826</v>
      </c>
      <c r="T315" s="194">
        <f t="shared" si="26"/>
        <v>8.425518204274518E-2</v>
      </c>
      <c r="U315" s="194">
        <f t="shared" si="27"/>
        <v>5.5236176351063329E-2</v>
      </c>
      <c r="V315" s="194">
        <f t="shared" si="28"/>
        <v>0.94009070773125203</v>
      </c>
      <c r="W315">
        <f t="shared" si="29"/>
        <v>71</v>
      </c>
      <c r="X315" s="194">
        <f t="shared" si="30"/>
        <v>0.89993446313213166</v>
      </c>
      <c r="Y315" s="194" t="str">
        <f t="shared" si="31"/>
        <v/>
      </c>
      <c r="Z315" s="252" t="str">
        <f>IF(ISNUMBER(SEARCH("C", 'Dry_Litterbag Placem_Collection'!$V22)),"YES","NO")</f>
        <v>NO</v>
      </c>
      <c r="AA315" s="252" t="str">
        <f>IF(ISNUMBER(SEARCH("H", 'Dry_Litterbag Placem_Collection'!$V22)),"YES","NO")</f>
        <v>NO</v>
      </c>
      <c r="AB315" s="252" t="str">
        <f>IF(ISNUMBER(SEARCH("R", 'Dry_Litterbag Placem_Collection'!$V22)),"YES","NO")</f>
        <v>NO</v>
      </c>
      <c r="AC315" s="252" t="str">
        <f>IF(ISNUMBER(SEARCH("C", 'Dry_Litterbag Placem_Collection'!$U22)),"YES","NO")</f>
        <v>NO</v>
      </c>
      <c r="AD315" s="252" t="str">
        <f>IF(ISNUMBER(SEARCH("H", 'Dry_Litterbag Placem_Collection'!$U22)),"YES","NO")</f>
        <v>NO</v>
      </c>
      <c r="AE315" s="252" t="str">
        <f>IF(ISNUMBER(SEARCH("R", 'Dry_Litterbag Placem_Collection'!$U22)),"YES","NO")</f>
        <v>NO</v>
      </c>
    </row>
    <row r="316" spans="2:31">
      <c r="B316" t="str">
        <f>'Final data_for_R_analysis_Dryse'!A462</f>
        <v>Dry</v>
      </c>
      <c r="C316" s="260">
        <f>'Final data_for_R_analysis_Dryse'!B462</f>
        <v>21</v>
      </c>
      <c r="D316" t="s">
        <v>3803</v>
      </c>
      <c r="E316" t="s">
        <v>25</v>
      </c>
      <c r="F316" s="382">
        <v>5</v>
      </c>
      <c r="G316" s="383">
        <f>IF('Dry_Litterbag Placem_Collection'!E23="","",'Dry_Litterbag Placem_Collection'!E23)</f>
        <v>42936</v>
      </c>
      <c r="H316" s="92" t="str">
        <f>'Final data_for_R_analysis_Dryse'!K462</f>
        <v>G488</v>
      </c>
      <c r="I316" t="str">
        <f>'Final data_for_R_analysis_Dryse'!K682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24"/>
        <v>1.7412000000000001</v>
      </c>
      <c r="M316" s="237">
        <f>AVERAGE(Ashed_controlls!$K$1:$K$11)</f>
        <v>5.5147656768714146</v>
      </c>
      <c r="N316" s="194">
        <f>IFERROR(IF(K316&gt;0,(K316*$F$32-($F$29+$F$30)),""),"")</f>
        <v>1.9571999999999998</v>
      </c>
      <c r="O316" s="383">
        <f>IF('Dry_Litterbag Placem_Collection'!G23="","",'Dry_Litterbag Placem_Collection'!G23)</f>
        <v>43007</v>
      </c>
      <c r="P316" s="194" t="str">
        <f>IFERROR(INDEX('Both teabags AfterDry'!$D$3:$D$2000,MATCH(H316,'Both teabags AfterDry'!$A$3:$A$2000,0)),"")</f>
        <v/>
      </c>
      <c r="Q316" s="194" t="str">
        <f>IFERROR(INDEX('Both teabags AfterDry'!$D$3:$D$2000,MATCH(I316,'Both teabags AfterDry'!$A$3:$A$2000,0)),"")</f>
        <v/>
      </c>
      <c r="R316" s="194" t="str">
        <f t="shared" si="25"/>
        <v/>
      </c>
      <c r="S316" s="194" t="str">
        <f t="shared" si="25"/>
        <v/>
      </c>
      <c r="T316" s="194" t="str">
        <f t="shared" si="26"/>
        <v/>
      </c>
      <c r="U316" s="194" t="str">
        <f t="shared" si="27"/>
        <v/>
      </c>
      <c r="V316" s="194" t="str">
        <f t="shared" si="28"/>
        <v/>
      </c>
      <c r="W316">
        <f t="shared" si="29"/>
        <v>71</v>
      </c>
      <c r="X316" s="194" t="str">
        <f t="shared" si="30"/>
        <v/>
      </c>
      <c r="Y316" s="194" t="str">
        <f t="shared" si="31"/>
        <v/>
      </c>
      <c r="Z316" s="252" t="str">
        <f>IF(ISNUMBER(SEARCH("C", 'Dry_Litterbag Placem_Collection'!$V23)),"YES","NO")</f>
        <v>NO</v>
      </c>
      <c r="AA316" s="252" t="str">
        <f>IF(ISNUMBER(SEARCH("H", 'Dry_Litterbag Placem_Collection'!$V23)),"YES","NO")</f>
        <v>NO</v>
      </c>
      <c r="AB316" s="252" t="str">
        <f>IF(ISNUMBER(SEARCH("R", 'Dry_Litterbag Placem_Collection'!$V23)),"YES","NO")</f>
        <v>NO</v>
      </c>
      <c r="AC316" s="252" t="str">
        <f>IF(ISNUMBER(SEARCH("C", 'Dry_Litterbag Placem_Collection'!$U23)),"YES","NO")</f>
        <v>NO</v>
      </c>
      <c r="AD316" s="252" t="str">
        <f>IF(ISNUMBER(SEARCH("H", 'Dry_Litterbag Placem_Collection'!$U23)),"YES","NO")</f>
        <v>NO</v>
      </c>
      <c r="AE316" s="252" t="str">
        <f>IF(ISNUMBER(SEARCH("R", 'Dry_Litterbag Placem_Collection'!$U23)),"YES","NO")</f>
        <v>NO</v>
      </c>
    </row>
    <row r="317" spans="2:31">
      <c r="B317" t="str">
        <f>'Final data_for_R_analysis_Dryse'!A463</f>
        <v>Dry</v>
      </c>
      <c r="C317" s="260">
        <f>'Final data_for_R_analysis_Dryse'!B463</f>
        <v>22</v>
      </c>
      <c r="D317" t="s">
        <v>3803</v>
      </c>
      <c r="E317" t="s">
        <v>25</v>
      </c>
      <c r="F317" s="382">
        <v>6</v>
      </c>
      <c r="G317" s="383">
        <f>IF('Dry_Litterbag Placem_Collection'!E24="","",'Dry_Litterbag Placem_Collection'!E24)</f>
        <v>42936</v>
      </c>
      <c r="H317" s="92" t="str">
        <f>'Final data_for_R_analysis_Dryse'!K463</f>
        <v>G750</v>
      </c>
      <c r="I317" t="str">
        <f>'Final data_for_R_analysis_Dryse'!K683</f>
        <v>R646</v>
      </c>
      <c r="J317">
        <f>IFERROR(INDEX('Green_rooibos initial weight'!$C$5:$C$2000,MATCH(H317, 'Green_rooibos initial weight'!$A$5:$A$2000,0)),"")</f>
        <v>1.966</v>
      </c>
      <c r="K317">
        <f>IFERROR(INDEX('Green_rooibos initial weight'!$C$5:$C$2000,MATCH(I317, 'Green_rooibos initial weight'!$A$5:$A$2000,0)),"")</f>
        <v>2.1480000000000001</v>
      </c>
      <c r="L317" s="194">
        <f t="shared" si="24"/>
        <v>1.7161999999999999</v>
      </c>
      <c r="M317" s="237">
        <f>AVERAGE(Ashed_controlls!$K$1:$K$11)</f>
        <v>5.5147656768714146</v>
      </c>
      <c r="N317" s="194">
        <f>IFERROR(IF(K317&gt;0,(K317*$F$32-($F$29+$F$30)),""),"")</f>
        <v>1.8982000000000001</v>
      </c>
      <c r="O317" s="383">
        <f>IF('Dry_Litterbag Placem_Collection'!G24="","",'Dry_Litterbag Placem_Collection'!G24)</f>
        <v>43007</v>
      </c>
      <c r="P317" s="194">
        <f>IFERROR(INDEX('Both teabags AfterDry'!$D$3:$D$2000,MATCH(H317,'Both teabags AfterDry'!$A$3:$A$2000,0)),"")</f>
        <v>1.3833</v>
      </c>
      <c r="Q317" s="194">
        <f>IFERROR(INDEX('Both teabags AfterDry'!$D$3:$D$2000,MATCH(I317,'Both teabags AfterDry'!$A$3:$A$2000,0)),"")</f>
        <v>1.8704000000000001</v>
      </c>
      <c r="R317" s="194">
        <f t="shared" si="25"/>
        <v>1.2326999999999999</v>
      </c>
      <c r="S317" s="194">
        <f t="shared" si="25"/>
        <v>1.7198</v>
      </c>
      <c r="T317" s="194">
        <f t="shared" si="26"/>
        <v>0.28172707143689546</v>
      </c>
      <c r="U317" s="194">
        <f t="shared" si="27"/>
        <v>0.18469518222466305</v>
      </c>
      <c r="V317" s="194">
        <f t="shared" si="28"/>
        <v>0.90601622589821929</v>
      </c>
      <c r="W317">
        <f t="shared" si="29"/>
        <v>71</v>
      </c>
      <c r="X317" s="194">
        <f t="shared" si="30"/>
        <v>0.66540727857850901</v>
      </c>
      <c r="Y317" s="194">
        <f t="shared" si="31"/>
        <v>1.0014417953282104E-2</v>
      </c>
      <c r="Z317" s="252" t="str">
        <f>IF(ISNUMBER(SEARCH("C", 'Dry_Litterbag Placem_Collection'!$V24)),"YES","NO")</f>
        <v>NO</v>
      </c>
      <c r="AA317" s="252" t="str">
        <f>IF(ISNUMBER(SEARCH("H", 'Dry_Litterbag Placem_Collection'!$V24)),"YES","NO")</f>
        <v>NO</v>
      </c>
      <c r="AB317" s="252" t="str">
        <f>IF(ISNUMBER(SEARCH("R", 'Dry_Litterbag Placem_Collection'!$V24)),"YES","NO")</f>
        <v>NO</v>
      </c>
      <c r="AC317" s="252" t="str">
        <f>IF(ISNUMBER(SEARCH("C", 'Dry_Litterbag Placem_Collection'!$U24)),"YES","NO")</f>
        <v>NO</v>
      </c>
      <c r="AD317" s="252" t="str">
        <f>IF(ISNUMBER(SEARCH("H", 'Dry_Litterbag Placem_Collection'!$U24)),"YES","NO")</f>
        <v>NO</v>
      </c>
      <c r="AE317" s="252" t="str">
        <f>IF(ISNUMBER(SEARCH("R", 'Dry_Litterbag Placem_Collection'!$U24)),"YES","NO")</f>
        <v>NO</v>
      </c>
    </row>
    <row r="318" spans="2:31">
      <c r="B318" t="str">
        <f>'Final data_for_R_analysis_Dryse'!A464</f>
        <v>Dry</v>
      </c>
      <c r="C318" s="260">
        <f>'Final data_for_R_analysis_Dryse'!B464</f>
        <v>23</v>
      </c>
      <c r="D318" t="s">
        <v>3803</v>
      </c>
      <c r="E318" t="s">
        <v>25</v>
      </c>
      <c r="F318" s="382">
        <v>7</v>
      </c>
      <c r="G318" s="383" t="str">
        <f>IF('Dry_Litterbag Placem_Collection'!E25="","",'Dry_Litterbag Placem_Collection'!E25)</f>
        <v/>
      </c>
      <c r="H318" s="92" t="str">
        <f>'Final data_for_R_analysis_Dryse'!K464</f>
        <v/>
      </c>
      <c r="I318" t="str">
        <f>'Final data_for_R_analysis_Dryse'!K684</f>
        <v/>
      </c>
      <c r="J318" t="str">
        <f>IFERROR(INDEX('Green_rooibos initial weight'!$C$5:$C$2000,MATCH(H318, 'Green_rooibos initial weight'!$A$5:$A$2000,0)),"")</f>
        <v/>
      </c>
      <c r="K318" t="str">
        <f>IFERROR(INDEX('Green_rooibos initial weight'!$C$5:$C$2000,MATCH(I318, 'Green_rooibos initial weight'!$A$5:$A$2000,0)),"")</f>
        <v/>
      </c>
      <c r="L318" s="194" t="str">
        <f t="shared" si="24"/>
        <v/>
      </c>
      <c r="M318" s="237">
        <f>AVERAGE(Ashed_controlls!$K$1:$K$11)</f>
        <v>5.5147656768714146</v>
      </c>
      <c r="N318" s="194" t="str">
        <f>IFERROR(IF(K318&gt;0,(K318*$F$32-($F$29+$F$30)),""),"")</f>
        <v/>
      </c>
      <c r="O318" s="383" t="str">
        <f>IF('Dry_Litterbag Placem_Collection'!G25="","",'Dry_Litterbag Placem_Collection'!G25)</f>
        <v/>
      </c>
      <c r="P318" s="194" t="str">
        <f>IFERROR(INDEX('Both teabags AfterDry'!$D$3:$D$2000,MATCH(H318,'Both teabags AfterDry'!$A$3:$A$2000,0)),"")</f>
        <v/>
      </c>
      <c r="Q318" s="194" t="str">
        <f>IFERROR(INDEX('Both teabags AfterDry'!$D$3:$D$2000,MATCH(I318,'Both teabags AfterDry'!$A$3:$A$2000,0)),"")</f>
        <v/>
      </c>
      <c r="R318" s="194" t="str">
        <f t="shared" si="25"/>
        <v/>
      </c>
      <c r="S318" s="194" t="str">
        <f t="shared" si="25"/>
        <v/>
      </c>
      <c r="T318" s="194" t="str">
        <f t="shared" si="26"/>
        <v/>
      </c>
      <c r="U318" s="194" t="str">
        <f t="shared" si="27"/>
        <v/>
      </c>
      <c r="V318" s="194" t="str">
        <f t="shared" si="28"/>
        <v/>
      </c>
      <c r="W318" t="str">
        <f t="shared" si="29"/>
        <v/>
      </c>
      <c r="X318" s="194" t="str">
        <f t="shared" si="30"/>
        <v/>
      </c>
      <c r="Y318" s="194" t="str">
        <f t="shared" si="31"/>
        <v/>
      </c>
      <c r="Z318" s="252" t="str">
        <f>IF(ISNUMBER(SEARCH("C", 'Dry_Litterbag Placem_Collection'!$V25)),"YES","NO")</f>
        <v>NO</v>
      </c>
      <c r="AA318" s="252" t="str">
        <f>IF(ISNUMBER(SEARCH("H", 'Dry_Litterbag Placem_Collection'!$V25)),"YES","NO")</f>
        <v>NO</v>
      </c>
      <c r="AB318" s="252" t="str">
        <f>IF(ISNUMBER(SEARCH("R", 'Dry_Litterbag Placem_Collection'!$V25)),"YES","NO")</f>
        <v>NO</v>
      </c>
      <c r="AC318" s="252" t="str">
        <f>IF(ISNUMBER(SEARCH("C", 'Dry_Litterbag Placem_Collection'!$U25)),"YES","NO")</f>
        <v>NO</v>
      </c>
      <c r="AD318" s="252" t="str">
        <f>IF(ISNUMBER(SEARCH("H", 'Dry_Litterbag Placem_Collection'!$U25)),"YES","NO")</f>
        <v>NO</v>
      </c>
      <c r="AE318" s="252" t="str">
        <f>IF(ISNUMBER(SEARCH("R", 'Dry_Litterbag Placem_Collection'!$U25)),"YES","NO")</f>
        <v>NO</v>
      </c>
    </row>
    <row r="319" spans="2:31">
      <c r="B319" t="str">
        <f>'Final data_for_R_analysis_Dryse'!A465</f>
        <v>Dry</v>
      </c>
      <c r="C319" s="260">
        <f>'Final data_for_R_analysis_Dryse'!B465</f>
        <v>24</v>
      </c>
      <c r="D319" t="s">
        <v>3803</v>
      </c>
      <c r="E319" t="s">
        <v>25</v>
      </c>
      <c r="F319" s="382">
        <v>8</v>
      </c>
      <c r="G319" s="383">
        <f>IF('Dry_Litterbag Placem_Collection'!E26="","",'Dry_Litterbag Placem_Collection'!E26)</f>
        <v>42936</v>
      </c>
      <c r="H319" s="92" t="str">
        <f>'Final data_for_R_analysis_Dryse'!K465</f>
        <v>G562</v>
      </c>
      <c r="I319" t="str">
        <f>'Final data_for_R_analysis_Dryse'!K685</f>
        <v>R650</v>
      </c>
      <c r="J319">
        <f>IFERROR(INDEX('Green_rooibos initial weight'!$C$5:$C$2000,MATCH(H319, 'Green_rooibos initial weight'!$A$5:$A$2000,0)),"")</f>
        <v>2.1419999999999999</v>
      </c>
      <c r="K319">
        <f>IFERROR(INDEX('Green_rooibos initial weight'!$C$5:$C$2000,MATCH(I319, 'Green_rooibos initial weight'!$A$5:$A$2000,0)),"")</f>
        <v>2.169</v>
      </c>
      <c r="L319" s="194">
        <f t="shared" si="24"/>
        <v>1.8921999999999999</v>
      </c>
      <c r="M319" s="237">
        <f>AVERAGE(Ashed_controlls!$K$1:$K$11)</f>
        <v>5.5147656768714146</v>
      </c>
      <c r="N319" s="194">
        <f>IFERROR(IF(K319&gt;0,(K319*$F$32-($F$29+$F$30)),""),"")</f>
        <v>1.9192</v>
      </c>
      <c r="O319" s="383">
        <f>IF('Dry_Litterbag Placem_Collection'!G26="","",'Dry_Litterbag Placem_Collection'!G26)</f>
        <v>43007</v>
      </c>
      <c r="P319" s="194">
        <f>IFERROR(INDEX('Both teabags AfterDry'!$D$3:$D$2000,MATCH(H319,'Both teabags AfterDry'!$A$3:$A$2000,0)),"")</f>
        <v>1.8862000000000001</v>
      </c>
      <c r="Q319" s="194">
        <f>IFERROR(INDEX('Both teabags AfterDry'!$D$3:$D$2000,MATCH(I319,'Both teabags AfterDry'!$A$3:$A$2000,0)),"")</f>
        <v>1.9756</v>
      </c>
      <c r="R319" s="194">
        <f t="shared" si="25"/>
        <v>1.7356</v>
      </c>
      <c r="S319" s="194">
        <f t="shared" si="25"/>
        <v>1.825</v>
      </c>
      <c r="T319" s="194">
        <f t="shared" si="26"/>
        <v>8.2760807525631419E-2</v>
      </c>
      <c r="U319" s="194">
        <f t="shared" si="27"/>
        <v>5.4256491394475699E-2</v>
      </c>
      <c r="V319" s="194">
        <f t="shared" si="28"/>
        <v>0.95091704877032091</v>
      </c>
      <c r="W319">
        <f t="shared" si="29"/>
        <v>71</v>
      </c>
      <c r="X319" s="194">
        <f t="shared" si="30"/>
        <v>0.90170925472015273</v>
      </c>
      <c r="Y319" s="194">
        <f t="shared" si="31"/>
        <v>3.3100921643758587E-2</v>
      </c>
      <c r="Z319" s="252" t="str">
        <f>IF(ISNUMBER(SEARCH("C", 'Dry_Litterbag Placem_Collection'!$V26)),"YES","NO")</f>
        <v>NO</v>
      </c>
      <c r="AA319" s="252" t="str">
        <f>IF(ISNUMBER(SEARCH("H", 'Dry_Litterbag Placem_Collection'!$V26)),"YES","NO")</f>
        <v>NO</v>
      </c>
      <c r="AB319" s="252" t="str">
        <f>IF(ISNUMBER(SEARCH("R", 'Dry_Litterbag Placem_Collection'!$V26)),"YES","NO")</f>
        <v>NO</v>
      </c>
      <c r="AC319" s="252" t="str">
        <f>IF(ISNUMBER(SEARCH("C", 'Dry_Litterbag Placem_Collection'!$U26)),"YES","NO")</f>
        <v>NO</v>
      </c>
      <c r="AD319" s="252" t="str">
        <f>IF(ISNUMBER(SEARCH("H", 'Dry_Litterbag Placem_Collection'!$U26)),"YES","NO")</f>
        <v>NO</v>
      </c>
      <c r="AE319" s="252" t="str">
        <f>IF(ISNUMBER(SEARCH("R", 'Dry_Litterbag Placem_Collection'!$U26)),"YES","NO")</f>
        <v>NO</v>
      </c>
    </row>
    <row r="320" spans="2:31">
      <c r="B320" t="str">
        <f>'Final data_for_R_analysis_Dryse'!A466</f>
        <v>Dry</v>
      </c>
      <c r="C320" s="260">
        <f>'Final data_for_R_analysis_Dryse'!B466</f>
        <v>25</v>
      </c>
      <c r="D320" t="s">
        <v>3804</v>
      </c>
      <c r="E320" t="s">
        <v>25</v>
      </c>
      <c r="F320" s="381">
        <v>1</v>
      </c>
      <c r="G320" s="383">
        <f>IF('Dry_Litterbag Placem_Collection'!E27="","",'Dry_Litterbag Placem_Collection'!E27)</f>
        <v>42936</v>
      </c>
      <c r="H320" s="92" t="str">
        <f>'Final data_for_R_analysis_Dryse'!K466</f>
        <v>G156</v>
      </c>
      <c r="I320" t="str">
        <f>'Final data_for_R_analysis_Dryse'!K686</f>
        <v>R230</v>
      </c>
      <c r="J320">
        <f>IFERROR(INDEX('Green_rooibos initial weight'!$C$5:$C$2000,MATCH(H320, 'Green_rooibos initial weight'!$A$5:$A$2000,0)),"")</f>
        <v>1.944</v>
      </c>
      <c r="K320">
        <f>IFERROR(INDEX('Green_rooibos initial weight'!$C$5:$C$2000,MATCH(I320, 'Green_rooibos initial weight'!$A$5:$A$2000,0)),"")</f>
        <v>2.2589999999999999</v>
      </c>
      <c r="L320" s="194">
        <f t="shared" si="24"/>
        <v>1.6941999999999999</v>
      </c>
      <c r="M320" s="237">
        <f>AVERAGE(Ashed_controlls!$K$1:$K$11)</f>
        <v>5.5147656768714146</v>
      </c>
      <c r="N320" s="194">
        <f>IFERROR(IF(K320&gt;0,(K320*$F$32-($F$29+$F$30)),""),"")</f>
        <v>2.0091999999999999</v>
      </c>
      <c r="O320" s="383">
        <f>IF('Dry_Litterbag Placem_Collection'!G27="","",'Dry_Litterbag Placem_Collection'!G27)</f>
        <v>43007</v>
      </c>
      <c r="P320" s="194">
        <f>IFERROR(INDEX('Both teabags AfterDry'!$D$3:$D$2000,MATCH(H320,'Both teabags AfterDry'!$A$3:$A$2000,0)),"")</f>
        <v>1.8079000000000001</v>
      </c>
      <c r="Q320" s="194">
        <f>IFERROR(INDEX('Both teabags AfterDry'!$D$3:$D$2000,MATCH(I320,'Both teabags AfterDry'!$A$3:$A$2000,0)),"")</f>
        <v>2.0360999999999998</v>
      </c>
      <c r="R320" s="194">
        <f t="shared" si="25"/>
        <v>1.6573</v>
      </c>
      <c r="S320" s="194">
        <f t="shared" si="25"/>
        <v>1.8854999999999997</v>
      </c>
      <c r="T320" s="194">
        <f t="shared" si="26"/>
        <v>2.1780191240703517E-2</v>
      </c>
      <c r="U320" s="194">
        <f t="shared" si="27"/>
        <v>1.4278700195805646E-2</v>
      </c>
      <c r="V320" s="194">
        <f t="shared" si="28"/>
        <v>0.93843320724666524</v>
      </c>
      <c r="W320">
        <f t="shared" si="29"/>
        <v>71</v>
      </c>
      <c r="X320" s="194">
        <f t="shared" si="30"/>
        <v>0.97413278950035209</v>
      </c>
      <c r="Y320" s="194" t="str">
        <f t="shared" si="31"/>
        <v/>
      </c>
      <c r="Z320" s="252" t="str">
        <f>IF(ISNUMBER(SEARCH("C", 'Dry_Litterbag Placem_Collection'!$V27)),"YES","NO")</f>
        <v>NO</v>
      </c>
      <c r="AA320" s="252" t="str">
        <f>IF(ISNUMBER(SEARCH("H", 'Dry_Litterbag Placem_Collection'!$V27)),"YES","NO")</f>
        <v>NO</v>
      </c>
      <c r="AB320" s="252" t="str">
        <f>IF(ISNUMBER(SEARCH("R", 'Dry_Litterbag Placem_Collection'!$V27)),"YES","NO")</f>
        <v>NO</v>
      </c>
      <c r="AC320" s="252" t="str">
        <f>IF(ISNUMBER(SEARCH("C", 'Dry_Litterbag Placem_Collection'!$U27)),"YES","NO")</f>
        <v>NO</v>
      </c>
      <c r="AD320" s="252" t="str">
        <f>IF(ISNUMBER(SEARCH("H", 'Dry_Litterbag Placem_Collection'!$U27)),"YES","NO")</f>
        <v>NO</v>
      </c>
      <c r="AE320" s="252" t="str">
        <f>IF(ISNUMBER(SEARCH("R", 'Dry_Litterbag Placem_Collection'!$U27)),"YES","NO")</f>
        <v>NO</v>
      </c>
    </row>
    <row r="321" spans="2:31">
      <c r="B321" t="str">
        <f>'Final data_for_R_analysis_Dryse'!A467</f>
        <v>Dry</v>
      </c>
      <c r="C321" s="260">
        <f>'Final data_for_R_analysis_Dryse'!B467</f>
        <v>26</v>
      </c>
      <c r="D321" t="s">
        <v>3804</v>
      </c>
      <c r="E321" t="s">
        <v>25</v>
      </c>
      <c r="F321" s="381">
        <v>2</v>
      </c>
      <c r="G321" s="383">
        <f>IF('Dry_Litterbag Placem_Collection'!E28="","",'Dry_Litterbag Placem_Collection'!E28)</f>
        <v>42936</v>
      </c>
      <c r="H321" s="92" t="str">
        <f>'Final data_for_R_analysis_Dryse'!K467</f>
        <v>G555</v>
      </c>
      <c r="I321" t="str">
        <f>'Final data_for_R_analysis_Dryse'!K687</f>
        <v>R642</v>
      </c>
      <c r="J321">
        <f>IFERROR(INDEX('Green_rooibos initial weight'!$C$5:$C$2000,MATCH(H321, 'Green_rooibos initial weight'!$A$5:$A$2000,0)),"")</f>
        <v>2.1469999999999998</v>
      </c>
      <c r="K321">
        <f>IFERROR(INDEX('Green_rooibos initial weight'!$C$5:$C$2000,MATCH(I321, 'Green_rooibos initial weight'!$A$5:$A$2000,0)),"")</f>
        <v>2.14</v>
      </c>
      <c r="L321" s="194">
        <f t="shared" si="24"/>
        <v>1.8971999999999998</v>
      </c>
      <c r="M321" s="237">
        <f>AVERAGE(Ashed_controlls!$K$1:$K$11)</f>
        <v>5.5147656768714146</v>
      </c>
      <c r="N321" s="194">
        <f>IFERROR(IF(K321&gt;0,(K321*$F$32-($F$29+$F$30)),""),"")</f>
        <v>1.8902000000000001</v>
      </c>
      <c r="O321" s="383">
        <f>IF('Dry_Litterbag Placem_Collection'!G28="","",'Dry_Litterbag Placem_Collection'!G28)</f>
        <v>43007</v>
      </c>
      <c r="P321" s="194">
        <f>IFERROR(INDEX('Both teabags AfterDry'!$D$3:$D$2000,MATCH(H321,'Both teabags AfterDry'!$A$3:$A$2000,0)),"")</f>
        <v>2.0030000000000001</v>
      </c>
      <c r="Q321" s="194">
        <f>IFERROR(INDEX('Both teabags AfterDry'!$D$3:$D$2000,MATCH(I321,'Both teabags AfterDry'!$A$3:$A$2000,0)),"")</f>
        <v>1.9686999999999999</v>
      </c>
      <c r="R321" s="194">
        <f t="shared" si="25"/>
        <v>1.8524</v>
      </c>
      <c r="S321" s="194">
        <f t="shared" si="25"/>
        <v>1.8180999999999998</v>
      </c>
      <c r="T321" s="194">
        <f t="shared" si="26"/>
        <v>2.3613746573898253E-2</v>
      </c>
      <c r="U321" s="194">
        <f t="shared" si="27"/>
        <v>1.5480745972436866E-2</v>
      </c>
      <c r="V321" s="194">
        <f t="shared" si="28"/>
        <v>0.96185588826579183</v>
      </c>
      <c r="W321">
        <f t="shared" si="29"/>
        <v>71</v>
      </c>
      <c r="X321" s="194">
        <f t="shared" si="30"/>
        <v>0.97195517033978829</v>
      </c>
      <c r="Y321" s="194" t="str">
        <f t="shared" si="31"/>
        <v/>
      </c>
      <c r="Z321" s="252" t="str">
        <f>IF(ISNUMBER(SEARCH("C", 'Dry_Litterbag Placem_Collection'!$V28)),"YES","NO")</f>
        <v>NO</v>
      </c>
      <c r="AA321" s="252" t="str">
        <f>IF(ISNUMBER(SEARCH("H", 'Dry_Litterbag Placem_Collection'!$V28)),"YES","NO")</f>
        <v>NO</v>
      </c>
      <c r="AB321" s="252" t="str">
        <f>IF(ISNUMBER(SEARCH("R", 'Dry_Litterbag Placem_Collection'!$V28)),"YES","NO")</f>
        <v>NO</v>
      </c>
      <c r="AC321" s="252" t="str">
        <f>IF(ISNUMBER(SEARCH("C", 'Dry_Litterbag Placem_Collection'!$U28)),"YES","NO")</f>
        <v>NO</v>
      </c>
      <c r="AD321" s="252" t="str">
        <f>IF(ISNUMBER(SEARCH("H", 'Dry_Litterbag Placem_Collection'!$U28)),"YES","NO")</f>
        <v>NO</v>
      </c>
      <c r="AE321" s="252" t="str">
        <f>IF(ISNUMBER(SEARCH("R", 'Dry_Litterbag Placem_Collection'!$U28)),"YES","NO")</f>
        <v>NO</v>
      </c>
    </row>
    <row r="322" spans="2:31">
      <c r="B322" t="str">
        <f>'Final data_for_R_analysis_Dryse'!A468</f>
        <v>Dry</v>
      </c>
      <c r="C322" s="260">
        <f>'Final data_for_R_analysis_Dryse'!B468</f>
        <v>27</v>
      </c>
      <c r="D322" t="s">
        <v>3804</v>
      </c>
      <c r="E322" t="s">
        <v>25</v>
      </c>
      <c r="F322" s="381">
        <v>3</v>
      </c>
      <c r="G322" s="383">
        <f>IF('Dry_Litterbag Placem_Collection'!E29="","",'Dry_Litterbag Placem_Collection'!E29)</f>
        <v>42936</v>
      </c>
      <c r="H322" s="92" t="str">
        <f>'Final data_for_R_analysis_Dryse'!K468</f>
        <v>G378</v>
      </c>
      <c r="I322" t="str">
        <f>'Final data_for_R_analysis_Dryse'!K688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24"/>
        <v>1.8332000000000002</v>
      </c>
      <c r="M322" s="237">
        <f>AVERAGE(Ashed_controlls!$K$1:$K$11)</f>
        <v>5.5147656768714146</v>
      </c>
      <c r="N322" s="194">
        <f>IFERROR(IF(K322&gt;0,(K322*$F$32-($F$29+$F$30)),""),"")</f>
        <v>1.9352</v>
      </c>
      <c r="O322" s="383">
        <f>IF('Dry_Litterbag Placem_Collection'!G29="","",'Dry_Litterbag Placem_Collection'!G29)</f>
        <v>43007</v>
      </c>
      <c r="P322" s="194" t="str">
        <f>IFERROR(INDEX('Both teabags AfterDry'!$D$3:$D$2000,MATCH(H322,'Both teabags AfterDry'!$A$3:$A$2000,0)),"")</f>
        <v/>
      </c>
      <c r="Q322" s="194" t="str">
        <f>IFERROR(INDEX('Both teabags AfterDry'!$D$3:$D$2000,MATCH(I322,'Both teabags AfterDry'!$A$3:$A$2000,0)),"")</f>
        <v/>
      </c>
      <c r="R322" s="194" t="str">
        <f t="shared" si="25"/>
        <v/>
      </c>
      <c r="S322" s="194" t="str">
        <f t="shared" si="25"/>
        <v/>
      </c>
      <c r="T322" s="194" t="str">
        <f t="shared" si="26"/>
        <v/>
      </c>
      <c r="U322" s="194" t="str">
        <f t="shared" si="27"/>
        <v/>
      </c>
      <c r="V322" s="194" t="str">
        <f t="shared" si="28"/>
        <v/>
      </c>
      <c r="W322">
        <f t="shared" si="29"/>
        <v>71</v>
      </c>
      <c r="X322" s="194" t="str">
        <f t="shared" si="30"/>
        <v/>
      </c>
      <c r="Y322" s="194" t="str">
        <f t="shared" si="31"/>
        <v/>
      </c>
      <c r="Z322" s="252" t="str">
        <f>IF(ISNUMBER(SEARCH("C", 'Dry_Litterbag Placem_Collection'!$V29)),"YES","NO")</f>
        <v>NO</v>
      </c>
      <c r="AA322" s="252" t="str">
        <f>IF(ISNUMBER(SEARCH("H", 'Dry_Litterbag Placem_Collection'!$V29)),"YES","NO")</f>
        <v>NO</v>
      </c>
      <c r="AB322" s="252" t="str">
        <f>IF(ISNUMBER(SEARCH("R", 'Dry_Litterbag Placem_Collection'!$V29)),"YES","NO")</f>
        <v>NO</v>
      </c>
      <c r="AC322" s="252" t="str">
        <f>IF(ISNUMBER(SEARCH("C", 'Dry_Litterbag Placem_Collection'!$U29)),"YES","NO")</f>
        <v>NO</v>
      </c>
      <c r="AD322" s="252" t="str">
        <f>IF(ISNUMBER(SEARCH("H", 'Dry_Litterbag Placem_Collection'!$U29)),"YES","NO")</f>
        <v>NO</v>
      </c>
      <c r="AE322" s="252" t="str">
        <f>IF(ISNUMBER(SEARCH("R", 'Dry_Litterbag Placem_Collection'!$U29)),"YES","NO")</f>
        <v>NO</v>
      </c>
    </row>
    <row r="323" spans="2:31">
      <c r="B323" t="str">
        <f>'Final data_for_R_analysis_Dryse'!A469</f>
        <v>Dry</v>
      </c>
      <c r="C323" s="260">
        <f>'Final data_for_R_analysis_Dryse'!B469</f>
        <v>28</v>
      </c>
      <c r="D323" t="s">
        <v>3804</v>
      </c>
      <c r="E323" t="s">
        <v>25</v>
      </c>
      <c r="F323" s="382">
        <v>4</v>
      </c>
      <c r="G323" s="383">
        <f>IF('Dry_Litterbag Placem_Collection'!E30="","",'Dry_Litterbag Placem_Collection'!E30)</f>
        <v>42936</v>
      </c>
      <c r="H323" s="92" t="str">
        <f>'Final data_for_R_analysis_Dryse'!K469</f>
        <v>G46</v>
      </c>
      <c r="I323" t="str">
        <f>'Final data_for_R_analysis_Dryse'!K689</f>
        <v>R162</v>
      </c>
      <c r="J323">
        <f>IFERROR(INDEX('Green_rooibos initial weight'!$C$5:$C$2000,MATCH(H323, 'Green_rooibos initial weight'!$A$5:$A$2000,0)),"")</f>
        <v>1.895</v>
      </c>
      <c r="K323">
        <f>IFERROR(INDEX('Green_rooibos initial weight'!$C$5:$C$2000,MATCH(I323, 'Green_rooibos initial weight'!$A$5:$A$2000,0)),"")</f>
        <v>2.242</v>
      </c>
      <c r="L323" s="194">
        <f t="shared" si="24"/>
        <v>1.6452</v>
      </c>
      <c r="M323" s="237">
        <f>AVERAGE(Ashed_controlls!$K$1:$K$11)</f>
        <v>5.5147656768714146</v>
      </c>
      <c r="N323" s="194">
        <f>IFERROR(IF(K323&gt;0,(K323*$F$32-($F$29+$F$30)),""),"")</f>
        <v>1.9922</v>
      </c>
      <c r="O323" s="383">
        <f>IF('Dry_Litterbag Placem_Collection'!G30="","",'Dry_Litterbag Placem_Collection'!G30)</f>
        <v>43007</v>
      </c>
      <c r="P323" s="194">
        <f>IFERROR(INDEX('Both teabags AfterDry'!$D$3:$D$2000,MATCH(H323,'Both teabags AfterDry'!$A$3:$A$2000,0)),"")</f>
        <v>1.5884</v>
      </c>
      <c r="Q323" s="194">
        <f>IFERROR(INDEX('Both teabags AfterDry'!$D$3:$D$2000,MATCH(I323,'Both teabags AfterDry'!$A$3:$A$2000,0)),"")</f>
        <v>1.964</v>
      </c>
      <c r="R323" s="194">
        <f t="shared" si="25"/>
        <v>1.4378</v>
      </c>
      <c r="S323" s="194">
        <f t="shared" si="25"/>
        <v>1.8133999999999999</v>
      </c>
      <c r="T323" s="194">
        <f t="shared" si="26"/>
        <v>0.12606370046194992</v>
      </c>
      <c r="U323" s="194">
        <f t="shared" si="27"/>
        <v>8.2645086288594224E-2</v>
      </c>
      <c r="V323" s="194">
        <f t="shared" si="28"/>
        <v>0.91024997490211823</v>
      </c>
      <c r="W323">
        <f t="shared" si="29"/>
        <v>71</v>
      </c>
      <c r="X323" s="194">
        <f t="shared" si="30"/>
        <v>0.8502806407815322</v>
      </c>
      <c r="Y323" s="194" t="str">
        <f t="shared" si="31"/>
        <v/>
      </c>
      <c r="Z323" s="252" t="str">
        <f>IF(ISNUMBER(SEARCH("C", 'Dry_Litterbag Placem_Collection'!$V30)),"YES","NO")</f>
        <v>NO</v>
      </c>
      <c r="AA323" s="252" t="str">
        <f>IF(ISNUMBER(SEARCH("H", 'Dry_Litterbag Placem_Collection'!$V30)),"YES","NO")</f>
        <v>NO</v>
      </c>
      <c r="AB323" s="252" t="str">
        <f>IF(ISNUMBER(SEARCH("R", 'Dry_Litterbag Placem_Collection'!$V30)),"YES","NO")</f>
        <v>NO</v>
      </c>
      <c r="AC323" s="252" t="str">
        <f>IF(ISNUMBER(SEARCH("C", 'Dry_Litterbag Placem_Collection'!$U30)),"YES","NO")</f>
        <v>NO</v>
      </c>
      <c r="AD323" s="252" t="str">
        <f>IF(ISNUMBER(SEARCH("H", 'Dry_Litterbag Placem_Collection'!$U30)),"YES","NO")</f>
        <v>NO</v>
      </c>
      <c r="AE323" s="252" t="str">
        <f>IF(ISNUMBER(SEARCH("R", 'Dry_Litterbag Placem_Collection'!$U30)),"YES","NO")</f>
        <v>NO</v>
      </c>
    </row>
    <row r="324" spans="2:31">
      <c r="B324" t="str">
        <f>'Final data_for_R_analysis_Dryse'!A470</f>
        <v>Dry</v>
      </c>
      <c r="C324" s="260">
        <f>'Final data_for_R_analysis_Dryse'!B470</f>
        <v>29</v>
      </c>
      <c r="D324" t="s">
        <v>3804</v>
      </c>
      <c r="E324" t="s">
        <v>25</v>
      </c>
      <c r="F324" s="382">
        <v>5</v>
      </c>
      <c r="G324" s="383">
        <f>IF('Dry_Litterbag Placem_Collection'!E31="","",'Dry_Litterbag Placem_Collection'!E31)</f>
        <v>42936</v>
      </c>
      <c r="H324" s="92" t="str">
        <f>'Final data_for_R_analysis_Dryse'!K470</f>
        <v>G397</v>
      </c>
      <c r="I324" t="str">
        <f>'Final data_for_R_analysis_Dryse'!K690</f>
        <v>R163</v>
      </c>
      <c r="J324">
        <f>IFERROR(INDEX('Green_rooibos initial weight'!$C$5:$C$2000,MATCH(H324, 'Green_rooibos initial weight'!$A$5:$A$2000,0)),"")</f>
        <v>1.968</v>
      </c>
      <c r="K324">
        <f>IFERROR(INDEX('Green_rooibos initial weight'!$C$5:$C$2000,MATCH(I324, 'Green_rooibos initial weight'!$A$5:$A$2000,0)),"")</f>
        <v>2.23</v>
      </c>
      <c r="L324" s="194">
        <f t="shared" si="24"/>
        <v>1.7181999999999999</v>
      </c>
      <c r="M324" s="237">
        <f>AVERAGE(Ashed_controlls!$K$1:$K$11)</f>
        <v>5.5147656768714146</v>
      </c>
      <c r="N324" s="194">
        <f>IFERROR(IF(K324&gt;0,(K324*$F$32-($F$29+$F$30)),""),"")</f>
        <v>1.9802</v>
      </c>
      <c r="O324" s="383">
        <f>IF('Dry_Litterbag Placem_Collection'!G31="","",'Dry_Litterbag Placem_Collection'!G31)</f>
        <v>43007</v>
      </c>
      <c r="P324" s="194">
        <f>IFERROR(INDEX('Both teabags AfterDry'!$D$3:$D$2000,MATCH(H324,'Both teabags AfterDry'!$A$3:$A$2000,0)),"")</f>
        <v>1.7436</v>
      </c>
      <c r="Q324" s="194">
        <f>IFERROR(INDEX('Both teabags AfterDry'!$D$3:$D$2000,MATCH(I324,'Both teabags AfterDry'!$A$3:$A$2000,0)),"")</f>
        <v>1.9955000000000001</v>
      </c>
      <c r="R324" s="194">
        <f t="shared" si="25"/>
        <v>1.593</v>
      </c>
      <c r="S324" s="194">
        <f t="shared" si="25"/>
        <v>1.8449</v>
      </c>
      <c r="T324" s="194">
        <f t="shared" si="26"/>
        <v>7.2866953788848776E-2</v>
      </c>
      <c r="U324" s="194">
        <f t="shared" si="27"/>
        <v>4.7770259491026743E-2</v>
      </c>
      <c r="V324" s="194">
        <f t="shared" si="28"/>
        <v>0.93167356832643167</v>
      </c>
      <c r="W324">
        <f t="shared" si="29"/>
        <v>71</v>
      </c>
      <c r="X324" s="194">
        <f t="shared" si="30"/>
        <v>0.91345967483509649</v>
      </c>
      <c r="Y324" s="194" t="str">
        <f t="shared" si="31"/>
        <v/>
      </c>
      <c r="Z324" s="252" t="str">
        <f>IF(ISNUMBER(SEARCH("C", 'Dry_Litterbag Placem_Collection'!$V31)),"YES","NO")</f>
        <v>NO</v>
      </c>
      <c r="AA324" s="252" t="str">
        <f>IF(ISNUMBER(SEARCH("H", 'Dry_Litterbag Placem_Collection'!$V31)),"YES","NO")</f>
        <v>NO</v>
      </c>
      <c r="AB324" s="252" t="str">
        <f>IF(ISNUMBER(SEARCH("R", 'Dry_Litterbag Placem_Collection'!$V31)),"YES","NO")</f>
        <v>NO</v>
      </c>
      <c r="AC324" s="252" t="str">
        <f>IF(ISNUMBER(SEARCH("C", 'Dry_Litterbag Placem_Collection'!$U31)),"YES","NO")</f>
        <v>NO</v>
      </c>
      <c r="AD324" s="252" t="str">
        <f>IF(ISNUMBER(SEARCH("H", 'Dry_Litterbag Placem_Collection'!$U31)),"YES","NO")</f>
        <v>NO</v>
      </c>
      <c r="AE324" s="252" t="str">
        <f>IF(ISNUMBER(SEARCH("R", 'Dry_Litterbag Placem_Collection'!$U31)),"YES","NO")</f>
        <v>NO</v>
      </c>
    </row>
    <row r="325" spans="2:31">
      <c r="B325" t="str">
        <f>'Final data_for_R_analysis_Dryse'!A471</f>
        <v>Dry</v>
      </c>
      <c r="C325" s="260">
        <f>'Final data_for_R_analysis_Dryse'!B471</f>
        <v>30</v>
      </c>
      <c r="D325" t="s">
        <v>3804</v>
      </c>
      <c r="E325" t="s">
        <v>25</v>
      </c>
      <c r="F325" s="382">
        <v>6</v>
      </c>
      <c r="G325" s="383">
        <f>IF('Dry_Litterbag Placem_Collection'!E32="","",'Dry_Litterbag Placem_Collection'!E32)</f>
        <v>42936</v>
      </c>
      <c r="H325" s="92" t="str">
        <f>'Final data_for_R_analysis_Dryse'!K471</f>
        <v>G166</v>
      </c>
      <c r="I325" t="str">
        <f>'Final data_for_R_analysis_Dryse'!K691</f>
        <v>R345</v>
      </c>
      <c r="J325">
        <f>IFERROR(INDEX('Green_rooibos initial weight'!$C$5:$C$2000,MATCH(H325, 'Green_rooibos initial weight'!$A$5:$A$2000,0)),"")</f>
        <v>2.032</v>
      </c>
      <c r="K325">
        <f>IFERROR(INDEX('Green_rooibos initial weight'!$C$5:$C$2000,MATCH(I325, 'Green_rooibos initial weight'!$A$5:$A$2000,0)),"")</f>
        <v>2.2599999999999998</v>
      </c>
      <c r="L325" s="194">
        <f t="shared" si="24"/>
        <v>1.7822</v>
      </c>
      <c r="M325" s="237">
        <f>AVERAGE(Ashed_controlls!$K$1:$K$11)</f>
        <v>5.5147656768714146</v>
      </c>
      <c r="N325" s="194">
        <f>IFERROR(IF(K325&gt;0,(K325*$F$32-($F$29+$F$30)),""),"")</f>
        <v>2.0101999999999998</v>
      </c>
      <c r="O325" s="383">
        <f>IF('Dry_Litterbag Placem_Collection'!G32="","",'Dry_Litterbag Placem_Collection'!G32)</f>
        <v>43007</v>
      </c>
      <c r="P325" s="194">
        <f>IFERROR(INDEX('Both teabags AfterDry'!$D$3:$D$2000,MATCH(H325,'Both teabags AfterDry'!$A$3:$A$2000,0)),"")</f>
        <v>1.8809</v>
      </c>
      <c r="Q325" s="194">
        <f>IFERROR(INDEX('Both teabags AfterDry'!$D$3:$D$2000,MATCH(I325,'Both teabags AfterDry'!$A$3:$A$2000,0)),"")</f>
        <v>2.0409000000000002</v>
      </c>
      <c r="R325" s="194">
        <f t="shared" si="25"/>
        <v>1.7302999999999999</v>
      </c>
      <c r="S325" s="194">
        <f t="shared" si="25"/>
        <v>1.8903000000000001</v>
      </c>
      <c r="T325" s="194">
        <f t="shared" si="26"/>
        <v>2.9121310739535389E-2</v>
      </c>
      <c r="U325" s="194">
        <f t="shared" si="27"/>
        <v>1.9091405615467367E-2</v>
      </c>
      <c r="V325" s="194">
        <f t="shared" si="28"/>
        <v>0.94035419361257599</v>
      </c>
      <c r="W325">
        <f t="shared" si="29"/>
        <v>71</v>
      </c>
      <c r="X325" s="194">
        <f t="shared" si="30"/>
        <v>0.96541412026183449</v>
      </c>
      <c r="Y325" s="194" t="str">
        <f t="shared" si="31"/>
        <v/>
      </c>
      <c r="Z325" s="252" t="str">
        <f>IF(ISNUMBER(SEARCH("C", 'Dry_Litterbag Placem_Collection'!$V32)),"YES","NO")</f>
        <v>NO</v>
      </c>
      <c r="AA325" s="252" t="str">
        <f>IF(ISNUMBER(SEARCH("H", 'Dry_Litterbag Placem_Collection'!$V32)),"YES","NO")</f>
        <v>NO</v>
      </c>
      <c r="AB325" s="252" t="str">
        <f>IF(ISNUMBER(SEARCH("R", 'Dry_Litterbag Placem_Collection'!$V32)),"YES","NO")</f>
        <v>NO</v>
      </c>
      <c r="AC325" s="252" t="str">
        <f>IF(ISNUMBER(SEARCH("C", 'Dry_Litterbag Placem_Collection'!$U32)),"YES","NO")</f>
        <v>NO</v>
      </c>
      <c r="AD325" s="252" t="str">
        <f>IF(ISNUMBER(SEARCH("H", 'Dry_Litterbag Placem_Collection'!$U32)),"YES","NO")</f>
        <v>NO</v>
      </c>
      <c r="AE325" s="252" t="str">
        <f>IF(ISNUMBER(SEARCH("R", 'Dry_Litterbag Placem_Collection'!$U32)),"YES","NO")</f>
        <v>NO</v>
      </c>
    </row>
    <row r="326" spans="2:31">
      <c r="B326" t="str">
        <f>'Final data_for_R_analysis_Dryse'!A472</f>
        <v>Dry</v>
      </c>
      <c r="C326" s="260">
        <f>'Final data_for_R_analysis_Dryse'!B472</f>
        <v>31</v>
      </c>
      <c r="D326" t="s">
        <v>3804</v>
      </c>
      <c r="E326" t="s">
        <v>25</v>
      </c>
      <c r="F326" s="382">
        <v>7</v>
      </c>
      <c r="G326" s="383" t="str">
        <f>IF('Dry_Litterbag Placem_Collection'!E33="","",'Dry_Litterbag Placem_Collection'!E33)</f>
        <v/>
      </c>
      <c r="H326" s="92" t="str">
        <f>'Final data_for_R_analysis_Dryse'!K472</f>
        <v/>
      </c>
      <c r="I326" t="str">
        <f>'Final data_for_R_analysis_Dryse'!K692</f>
        <v/>
      </c>
      <c r="J326" t="str">
        <f>IFERROR(INDEX('Green_rooibos initial weight'!$C$5:$C$2000,MATCH(H326, 'Green_rooibos initial weight'!$A$5:$A$2000,0)),"")</f>
        <v/>
      </c>
      <c r="K326" t="str">
        <f>IFERROR(INDEX('Green_rooibos initial weight'!$C$5:$C$2000,MATCH(I326, 'Green_rooibos initial weight'!$A$5:$A$2000,0)),"")</f>
        <v/>
      </c>
      <c r="L326" s="194" t="str">
        <f t="shared" si="24"/>
        <v/>
      </c>
      <c r="M326" s="237">
        <f>AVERAGE(Ashed_controlls!$K$1:$K$11)</f>
        <v>5.5147656768714146</v>
      </c>
      <c r="N326" s="194" t="str">
        <f>IFERROR(IF(K326&gt;0,(K326*$F$32-($F$29+$F$30)),""),"")</f>
        <v/>
      </c>
      <c r="O326" s="383" t="str">
        <f>IF('Dry_Litterbag Placem_Collection'!G33="","",'Dry_Litterbag Placem_Collection'!G33)</f>
        <v/>
      </c>
      <c r="P326" s="194" t="str">
        <f>IFERROR(INDEX('Both teabags AfterDry'!$D$3:$D$2000,MATCH(H326,'Both teabags AfterDry'!$A$3:$A$2000,0)),"")</f>
        <v/>
      </c>
      <c r="Q326" s="194" t="str">
        <f>IFERROR(INDEX('Both teabags AfterDry'!$D$3:$D$2000,MATCH(I326,'Both teabags AfterDry'!$A$3:$A$2000,0)),"")</f>
        <v/>
      </c>
      <c r="R326" s="194" t="str">
        <f t="shared" si="25"/>
        <v/>
      </c>
      <c r="S326" s="194" t="str">
        <f t="shared" si="25"/>
        <v/>
      </c>
      <c r="T326" s="194" t="str">
        <f t="shared" si="26"/>
        <v/>
      </c>
      <c r="U326" s="194" t="str">
        <f t="shared" si="27"/>
        <v/>
      </c>
      <c r="V326" s="194" t="str">
        <f t="shared" si="28"/>
        <v/>
      </c>
      <c r="W326" t="str">
        <f t="shared" si="29"/>
        <v/>
      </c>
      <c r="X326" s="194" t="str">
        <f t="shared" si="30"/>
        <v/>
      </c>
      <c r="Y326" s="194" t="str">
        <f t="shared" si="31"/>
        <v/>
      </c>
      <c r="Z326" s="252" t="str">
        <f>IF(ISNUMBER(SEARCH("C", 'Dry_Litterbag Placem_Collection'!$V33)),"YES","NO")</f>
        <v>NO</v>
      </c>
      <c r="AA326" s="252" t="str">
        <f>IF(ISNUMBER(SEARCH("H", 'Dry_Litterbag Placem_Collection'!$V33)),"YES","NO")</f>
        <v>NO</v>
      </c>
      <c r="AB326" s="252" t="str">
        <f>IF(ISNUMBER(SEARCH("R", 'Dry_Litterbag Placem_Collection'!$V33)),"YES","NO")</f>
        <v>NO</v>
      </c>
      <c r="AC326" s="252" t="str">
        <f>IF(ISNUMBER(SEARCH("C", 'Dry_Litterbag Placem_Collection'!$U33)),"YES","NO")</f>
        <v>NO</v>
      </c>
      <c r="AD326" s="252" t="str">
        <f>IF(ISNUMBER(SEARCH("H", 'Dry_Litterbag Placem_Collection'!$U33)),"YES","NO")</f>
        <v>NO</v>
      </c>
      <c r="AE326" s="252" t="str">
        <f>IF(ISNUMBER(SEARCH("R", 'Dry_Litterbag Placem_Collection'!$U33)),"YES","NO")</f>
        <v>NO</v>
      </c>
    </row>
    <row r="327" spans="2:31">
      <c r="B327" t="str">
        <f>'Final data_for_R_analysis_Dryse'!A473</f>
        <v>Dry</v>
      </c>
      <c r="C327" s="260">
        <f>'Final data_for_R_analysis_Dryse'!B473</f>
        <v>32</v>
      </c>
      <c r="D327" t="s">
        <v>3804</v>
      </c>
      <c r="E327" t="s">
        <v>25</v>
      </c>
      <c r="F327" s="382">
        <v>8</v>
      </c>
      <c r="G327" s="383">
        <f>IF('Dry_Litterbag Placem_Collection'!E34="","",'Dry_Litterbag Placem_Collection'!E34)</f>
        <v>42936</v>
      </c>
      <c r="H327" s="92" t="str">
        <f>'Final data_for_R_analysis_Dryse'!K473</f>
        <v>G293</v>
      </c>
      <c r="I327" t="str">
        <f>'Final data_for_R_analysis_Dryse'!K693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24"/>
        <v>1.8201999999999998</v>
      </c>
      <c r="M327" s="237">
        <f>AVERAGE(Ashed_controlls!$K$1:$K$11)</f>
        <v>5.5147656768714146</v>
      </c>
      <c r="N327" s="194">
        <f>IFERROR(IF(K327&gt;0,(K327*$F$32-($F$29+$F$30)),""),"")</f>
        <v>1.9582000000000002</v>
      </c>
      <c r="O327" s="383">
        <f>IF('Dry_Litterbag Placem_Collection'!G34="","",'Dry_Litterbag Placem_Collection'!G34)</f>
        <v>43007</v>
      </c>
      <c r="P327" s="194">
        <f>IFERROR(INDEX('Both teabags AfterDry'!$D$3:$D$2000,MATCH(H327,'Both teabags AfterDry'!$A$3:$A$2000,0)),"")</f>
        <v>1.8129</v>
      </c>
      <c r="Q327" s="194">
        <f>IFERROR(INDEX('Both teabags AfterDry'!$D$3:$D$2000,MATCH(I327,'Both teabags AfterDry'!$A$3:$A$2000,0)),"")</f>
        <v>2.0331000000000001</v>
      </c>
      <c r="R327" s="194">
        <f t="shared" si="25"/>
        <v>1.6622999999999999</v>
      </c>
      <c r="S327" s="194">
        <f t="shared" si="25"/>
        <v>1.8825000000000001</v>
      </c>
      <c r="T327" s="194">
        <f t="shared" si="26"/>
        <v>8.6748708933084284E-2</v>
      </c>
      <c r="U327" s="194">
        <f t="shared" si="27"/>
        <v>5.6870887566582595E-2</v>
      </c>
      <c r="V327" s="194">
        <f t="shared" si="28"/>
        <v>0.96134204882034513</v>
      </c>
      <c r="W327">
        <f t="shared" si="29"/>
        <v>71</v>
      </c>
      <c r="X327" s="194">
        <f t="shared" si="30"/>
        <v>0.89697302977068372</v>
      </c>
      <c r="Y327" s="194">
        <f t="shared" si="31"/>
        <v>1.6037344169772986E-2</v>
      </c>
      <c r="Z327" s="252" t="str">
        <f>IF(ISNUMBER(SEARCH("C", 'Dry_Litterbag Placem_Collection'!$V34)),"YES","NO")</f>
        <v>NO</v>
      </c>
      <c r="AA327" s="252" t="str">
        <f>IF(ISNUMBER(SEARCH("H", 'Dry_Litterbag Placem_Collection'!$V34)),"YES","NO")</f>
        <v>NO</v>
      </c>
      <c r="AB327" s="252" t="str">
        <f>IF(ISNUMBER(SEARCH("R", 'Dry_Litterbag Placem_Collection'!$V34)),"YES","NO")</f>
        <v>NO</v>
      </c>
      <c r="AC327" s="252" t="str">
        <f>IF(ISNUMBER(SEARCH("C", 'Dry_Litterbag Placem_Collection'!$U34)),"YES","NO")</f>
        <v>NO</v>
      </c>
      <c r="AD327" s="252" t="str">
        <f>IF(ISNUMBER(SEARCH("H", 'Dry_Litterbag Placem_Collection'!$U34)),"YES","NO")</f>
        <v>NO</v>
      </c>
      <c r="AE327" s="252" t="str">
        <f>IF(ISNUMBER(SEARCH("R", 'Dry_Litterbag Placem_Collection'!$U34)),"YES","NO")</f>
        <v>NO</v>
      </c>
    </row>
    <row r="328" spans="2:31">
      <c r="B328" t="str">
        <f>'Final data_for_R_analysis_Dryse'!A474</f>
        <v>Dry</v>
      </c>
      <c r="C328" s="260">
        <f>'Final data_for_R_analysis_Dryse'!B474</f>
        <v>33</v>
      </c>
      <c r="D328" t="s">
        <v>3805</v>
      </c>
      <c r="E328" t="s">
        <v>25</v>
      </c>
      <c r="F328" s="381">
        <v>1</v>
      </c>
      <c r="G328" s="383">
        <f>IF('Dry_Litterbag Placem_Collection'!E35="","",'Dry_Litterbag Placem_Collection'!E35)</f>
        <v>42938</v>
      </c>
      <c r="H328" s="92" t="str">
        <f>'Final data_for_R_analysis_Dryse'!K474</f>
        <v>G139</v>
      </c>
      <c r="I328" t="str">
        <f>'Final data_for_R_analysis_Dryse'!K694</f>
        <v>R712</v>
      </c>
      <c r="J328">
        <f>IFERROR(INDEX('Green_rooibos initial weight'!$C$5:$C$2000,MATCH(H328, 'Green_rooibos initial weight'!$A$5:$A$2000,0)),"")</f>
        <v>2.0059999999999998</v>
      </c>
      <c r="K328">
        <f>IFERROR(INDEX('Green_rooibos initial weight'!$C$5:$C$2000,MATCH(I328, 'Green_rooibos initial weight'!$A$5:$A$2000,0)),"")</f>
        <v>2.161</v>
      </c>
      <c r="L328" s="194">
        <f t="shared" si="24"/>
        <v>1.7561999999999998</v>
      </c>
      <c r="M328" s="237">
        <f>AVERAGE(Ashed_controlls!$K$1:$K$11)</f>
        <v>5.5147656768714146</v>
      </c>
      <c r="N328" s="194">
        <f>IFERROR(IF(K328&gt;0,(K328*$F$32-($F$29+$F$30)),""),"")</f>
        <v>1.9112</v>
      </c>
      <c r="O328" s="383">
        <f>IF('Dry_Litterbag Placem_Collection'!G35="","",'Dry_Litterbag Placem_Collection'!G35)</f>
        <v>43005</v>
      </c>
      <c r="P328" s="194">
        <f>IFERROR(INDEX('Both teabags AfterDry'!$D$3:$D$2000,MATCH(H328,'Both teabags AfterDry'!$A$3:$A$2000,0)),"")</f>
        <v>1.8048</v>
      </c>
      <c r="Q328" s="194">
        <f>IFERROR(INDEX('Both teabags AfterDry'!$D$3:$D$2000,MATCH(I328,'Both teabags AfterDry'!$A$3:$A$2000,0)),"")</f>
        <v>1.9524999999999999</v>
      </c>
      <c r="R328" s="194">
        <f t="shared" si="25"/>
        <v>1.6541999999999999</v>
      </c>
      <c r="S328" s="194">
        <f t="shared" si="25"/>
        <v>1.8018999999999998</v>
      </c>
      <c r="T328" s="194">
        <f t="shared" si="26"/>
        <v>5.8079945336521943E-2</v>
      </c>
      <c r="U328" s="194">
        <f t="shared" si="27"/>
        <v>3.8076163688551233E-2</v>
      </c>
      <c r="V328" s="194">
        <f t="shared" si="28"/>
        <v>0.94281079949769764</v>
      </c>
      <c r="W328">
        <f t="shared" si="29"/>
        <v>67</v>
      </c>
      <c r="X328" s="194">
        <f t="shared" si="30"/>
        <v>0.9310214425932043</v>
      </c>
      <c r="Y328" s="194" t="str">
        <f t="shared" si="31"/>
        <v/>
      </c>
      <c r="Z328" s="252" t="str">
        <f>IF(ISNUMBER(SEARCH("C", 'Dry_Litterbag Placem_Collection'!$V35)),"YES","NO")</f>
        <v>NO</v>
      </c>
      <c r="AA328" s="252" t="str">
        <f>IF(ISNUMBER(SEARCH("H", 'Dry_Litterbag Placem_Collection'!$V35)),"YES","NO")</f>
        <v>NO</v>
      </c>
      <c r="AB328" s="252" t="str">
        <f>IF(ISNUMBER(SEARCH("R", 'Dry_Litterbag Placem_Collection'!$V35)),"YES","NO")</f>
        <v>NO</v>
      </c>
      <c r="AC328" s="252" t="str">
        <f>IF(ISNUMBER(SEARCH("C", 'Dry_Litterbag Placem_Collection'!$U35)),"YES","NO")</f>
        <v>NO</v>
      </c>
      <c r="AD328" s="252" t="str">
        <f>IF(ISNUMBER(SEARCH("H", 'Dry_Litterbag Placem_Collection'!$U35)),"YES","NO")</f>
        <v>NO</v>
      </c>
      <c r="AE328" s="252" t="str">
        <f>IF(ISNUMBER(SEARCH("R", 'Dry_Litterbag Placem_Collection'!$U35)),"YES","NO")</f>
        <v>NO</v>
      </c>
    </row>
    <row r="329" spans="2:31">
      <c r="B329" t="str">
        <f>'Final data_for_R_analysis_Dryse'!A475</f>
        <v>Dry</v>
      </c>
      <c r="C329" s="260">
        <f>'Final data_for_R_analysis_Dryse'!B475</f>
        <v>34</v>
      </c>
      <c r="D329" t="s">
        <v>3805</v>
      </c>
      <c r="E329" t="s">
        <v>25</v>
      </c>
      <c r="F329" s="381">
        <v>2</v>
      </c>
      <c r="G329" s="383">
        <f>IF('Dry_Litterbag Placem_Collection'!E36="","",'Dry_Litterbag Placem_Collection'!E36)</f>
        <v>42938</v>
      </c>
      <c r="H329" s="92" t="str">
        <f>'Final data_for_R_analysis_Dryse'!K475</f>
        <v>G487</v>
      </c>
      <c r="I329" t="str">
        <f>'Final data_for_R_analysis_Dryse'!K695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24"/>
        <v>1.6761999999999999</v>
      </c>
      <c r="M329" s="237">
        <f>AVERAGE(Ashed_controlls!$K$1:$K$11)</f>
        <v>5.5147656768714146</v>
      </c>
      <c r="N329" s="194">
        <f>IFERROR(IF(K329&gt;0,(K329*$F$32-($F$29+$F$30)),""),"")</f>
        <v>1.9912000000000001</v>
      </c>
      <c r="O329" s="383">
        <f>IF('Dry_Litterbag Placem_Collection'!G36="","",'Dry_Litterbag Placem_Collection'!G36)</f>
        <v>43005</v>
      </c>
      <c r="P329" s="194" t="str">
        <f>IFERROR(INDEX('Both teabags AfterDry'!$D$3:$D$2000,MATCH(H329,'Both teabags AfterDry'!$A$3:$A$2000,0)),"")</f>
        <v/>
      </c>
      <c r="Q329" s="194" t="str">
        <f>IFERROR(INDEX('Both teabags AfterDry'!$D$3:$D$2000,MATCH(I329,'Both teabags AfterDry'!$A$3:$A$2000,0)),"")</f>
        <v/>
      </c>
      <c r="R329" s="194" t="str">
        <f t="shared" si="25"/>
        <v/>
      </c>
      <c r="S329" s="194" t="str">
        <f t="shared" si="25"/>
        <v/>
      </c>
      <c r="T329" s="194" t="str">
        <f t="shared" si="26"/>
        <v/>
      </c>
      <c r="U329" s="194" t="str">
        <f t="shared" si="27"/>
        <v/>
      </c>
      <c r="V329" s="194" t="str">
        <f t="shared" si="28"/>
        <v/>
      </c>
      <c r="W329">
        <f t="shared" si="29"/>
        <v>67</v>
      </c>
      <c r="X329" s="194" t="str">
        <f t="shared" si="30"/>
        <v/>
      </c>
      <c r="Y329" s="194" t="str">
        <f t="shared" si="31"/>
        <v/>
      </c>
      <c r="Z329" s="252" t="str">
        <f>IF(ISNUMBER(SEARCH("C", 'Dry_Litterbag Placem_Collection'!$V36)),"YES","NO")</f>
        <v>NO</v>
      </c>
      <c r="AA329" s="252" t="str">
        <f>IF(ISNUMBER(SEARCH("H", 'Dry_Litterbag Placem_Collection'!$V36)),"YES","NO")</f>
        <v>NO</v>
      </c>
      <c r="AB329" s="252" t="str">
        <f>IF(ISNUMBER(SEARCH("R", 'Dry_Litterbag Placem_Collection'!$V36)),"YES","NO")</f>
        <v>NO</v>
      </c>
      <c r="AC329" s="252" t="str">
        <f>IF(ISNUMBER(SEARCH("C", 'Dry_Litterbag Placem_Collection'!$U36)),"YES","NO")</f>
        <v>NO</v>
      </c>
      <c r="AD329" s="252" t="str">
        <f>IF(ISNUMBER(SEARCH("H", 'Dry_Litterbag Placem_Collection'!$U36)),"YES","NO")</f>
        <v>NO</v>
      </c>
      <c r="AE329" s="252" t="str">
        <f>IF(ISNUMBER(SEARCH("R", 'Dry_Litterbag Placem_Collection'!$U36)),"YES","NO")</f>
        <v>NO</v>
      </c>
    </row>
    <row r="330" spans="2:31">
      <c r="B330" t="str">
        <f>'Final data_for_R_analysis_Dryse'!A476</f>
        <v>Dry</v>
      </c>
      <c r="C330" s="260">
        <f>'Final data_for_R_analysis_Dryse'!B476</f>
        <v>35</v>
      </c>
      <c r="D330" t="s">
        <v>3805</v>
      </c>
      <c r="E330" t="s">
        <v>25</v>
      </c>
      <c r="F330" s="381">
        <v>3</v>
      </c>
      <c r="G330" s="383">
        <f>IF('Dry_Litterbag Placem_Collection'!E37="","",'Dry_Litterbag Placem_Collection'!E37)</f>
        <v>42938</v>
      </c>
      <c r="H330" s="92" t="str">
        <f>'Final data_for_R_analysis_Dryse'!K476</f>
        <v>G717</v>
      </c>
      <c r="I330" t="str">
        <f>'Final data_for_R_analysis_Dryse'!K696</f>
        <v>R108</v>
      </c>
      <c r="J330">
        <f>IFERROR(INDEX('Green_rooibos initial weight'!$C$5:$C$2000,MATCH(H330, 'Green_rooibos initial weight'!$A$5:$A$2000,0)),"")</f>
        <v>1.944</v>
      </c>
      <c r="K330">
        <f>IFERROR(INDEX('Green_rooibos initial weight'!$C$5:$C$2000,MATCH(I330, 'Green_rooibos initial weight'!$A$5:$A$2000,0)),"")</f>
        <v>2.1680000000000001</v>
      </c>
      <c r="L330" s="194">
        <f t="shared" si="24"/>
        <v>1.6941999999999999</v>
      </c>
      <c r="M330" s="237">
        <f>AVERAGE(Ashed_controlls!$K$1:$K$11)</f>
        <v>5.5147656768714146</v>
      </c>
      <c r="N330" s="194">
        <f>IFERROR(IF(K330&gt;0,(K330*$F$32-($F$29+$F$30)),""),"")</f>
        <v>1.9182000000000001</v>
      </c>
      <c r="O330" s="383">
        <f>IF('Dry_Litterbag Placem_Collection'!G37="","",'Dry_Litterbag Placem_Collection'!G37)</f>
        <v>43005</v>
      </c>
      <c r="P330" s="194">
        <f>IFERROR(INDEX('Both teabags AfterDry'!$D$3:$D$2000,MATCH(H330,'Both teabags AfterDry'!$A$3:$A$2000,0)),"")</f>
        <v>1.8165</v>
      </c>
      <c r="Q330" s="194">
        <f>IFERROR(INDEX('Both teabags AfterDry'!$D$3:$D$2000,MATCH(I330,'Both teabags AfterDry'!$A$3:$A$2000,0)),"")</f>
        <v>1.9638</v>
      </c>
      <c r="R330" s="194">
        <f t="shared" si="25"/>
        <v>1.6658999999999999</v>
      </c>
      <c r="S330" s="194">
        <f t="shared" si="25"/>
        <v>1.8131999999999999</v>
      </c>
      <c r="T330" s="194">
        <f t="shared" si="26"/>
        <v>1.6704049108723917E-2</v>
      </c>
      <c r="U330" s="194">
        <f t="shared" si="27"/>
        <v>1.0950873049899758E-2</v>
      </c>
      <c r="V330" s="194">
        <f t="shared" si="28"/>
        <v>0.94526118235846091</v>
      </c>
      <c r="W330">
        <f t="shared" si="29"/>
        <v>67</v>
      </c>
      <c r="X330" s="194">
        <f t="shared" si="30"/>
        <v>0.98016146186612363</v>
      </c>
      <c r="Y330" s="194" t="str">
        <f t="shared" si="31"/>
        <v/>
      </c>
      <c r="Z330" s="252" t="str">
        <f>IF(ISNUMBER(SEARCH("C", 'Dry_Litterbag Placem_Collection'!$V37)),"YES","NO")</f>
        <v>NO</v>
      </c>
      <c r="AA330" s="252" t="str">
        <f>IF(ISNUMBER(SEARCH("H", 'Dry_Litterbag Placem_Collection'!$V37)),"YES","NO")</f>
        <v>NO</v>
      </c>
      <c r="AB330" s="252" t="str">
        <f>IF(ISNUMBER(SEARCH("R", 'Dry_Litterbag Placem_Collection'!$V37)),"YES","NO")</f>
        <v>NO</v>
      </c>
      <c r="AC330" s="252" t="str">
        <f>IF(ISNUMBER(SEARCH("C", 'Dry_Litterbag Placem_Collection'!$U37)),"YES","NO")</f>
        <v>NO</v>
      </c>
      <c r="AD330" s="252" t="str">
        <f>IF(ISNUMBER(SEARCH("H", 'Dry_Litterbag Placem_Collection'!$U37)),"YES","NO")</f>
        <v>NO</v>
      </c>
      <c r="AE330" s="252" t="str">
        <f>IF(ISNUMBER(SEARCH("R", 'Dry_Litterbag Placem_Collection'!$U37)),"YES","NO")</f>
        <v>NO</v>
      </c>
    </row>
    <row r="331" spans="2:31">
      <c r="B331" t="str">
        <f>'Final data_for_R_analysis_Dryse'!A477</f>
        <v>Dry</v>
      </c>
      <c r="C331" s="260">
        <f>'Final data_for_R_analysis_Dryse'!B477</f>
        <v>36</v>
      </c>
      <c r="D331" t="s">
        <v>3805</v>
      </c>
      <c r="E331" t="s">
        <v>25</v>
      </c>
      <c r="F331" s="382">
        <v>4</v>
      </c>
      <c r="G331" s="383">
        <f>IF('Dry_Litterbag Placem_Collection'!E38="","",'Dry_Litterbag Placem_Collection'!E38)</f>
        <v>42938</v>
      </c>
      <c r="H331" s="92" t="str">
        <f>'Final data_for_R_analysis_Dryse'!K477</f>
        <v>G767</v>
      </c>
      <c r="I331" t="str">
        <f>'Final data_for_R_analysis_Dryse'!K697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24"/>
        <v>1.6381999999999999</v>
      </c>
      <c r="M331" s="237">
        <f>AVERAGE(Ashed_controlls!$K$1:$K$11)</f>
        <v>5.5147656768714146</v>
      </c>
      <c r="N331" s="194">
        <f>IFERROR(IF(K331&gt;0,(K331*$F$32-($F$29+$F$30)),""),"")</f>
        <v>1.9302000000000001</v>
      </c>
      <c r="O331" s="383">
        <f>IF('Dry_Litterbag Placem_Collection'!G38="","",'Dry_Litterbag Placem_Collection'!G38)</f>
        <v>43005</v>
      </c>
      <c r="P331" s="194">
        <f>IFERROR(INDEX('Both teabags AfterDry'!$D$3:$D$2000,MATCH(H331,'Both teabags AfterDry'!$A$3:$A$2000,0)),"")</f>
        <v>1.4665999999999999</v>
      </c>
      <c r="Q331" s="194" t="str">
        <f>IFERROR(INDEX('Both teabags AfterDry'!$D$3:$D$2000,MATCH(I331,'Both teabags AfterDry'!$A$3:$A$2000,0)),"")</f>
        <v/>
      </c>
      <c r="R331" s="194">
        <f t="shared" si="25"/>
        <v>1.3159999999999998</v>
      </c>
      <c r="S331" s="194" t="str">
        <f t="shared" si="25"/>
        <v/>
      </c>
      <c r="T331" s="194">
        <f t="shared" si="26"/>
        <v>0.19667928213893304</v>
      </c>
      <c r="U331" s="194">
        <f t="shared" si="27"/>
        <v>0.12893938686542877</v>
      </c>
      <c r="V331" s="194" t="str">
        <f t="shared" si="28"/>
        <v/>
      </c>
      <c r="W331">
        <f t="shared" si="29"/>
        <v>67</v>
      </c>
      <c r="X331" s="194">
        <f t="shared" si="30"/>
        <v>0.76641415422929571</v>
      </c>
      <c r="Y331" s="194" t="str">
        <f t="shared" si="31"/>
        <v/>
      </c>
      <c r="Z331" s="252" t="str">
        <f>IF(ISNUMBER(SEARCH("C", 'Dry_Litterbag Placem_Collection'!$V38)),"YES","NO")</f>
        <v>NO</v>
      </c>
      <c r="AA331" s="252" t="str">
        <f>IF(ISNUMBER(SEARCH("H", 'Dry_Litterbag Placem_Collection'!$V38)),"YES","NO")</f>
        <v>NO</v>
      </c>
      <c r="AB331" s="252" t="str">
        <f>IF(ISNUMBER(SEARCH("R", 'Dry_Litterbag Placem_Collection'!$V38)),"YES","NO")</f>
        <v>NO</v>
      </c>
      <c r="AC331" s="252" t="str">
        <f>IF(ISNUMBER(SEARCH("C", 'Dry_Litterbag Placem_Collection'!$U38)),"YES","NO")</f>
        <v>NO</v>
      </c>
      <c r="AD331" s="252" t="str">
        <f>IF(ISNUMBER(SEARCH("H", 'Dry_Litterbag Placem_Collection'!$U38)),"YES","NO")</f>
        <v>NO</v>
      </c>
      <c r="AE331" s="252" t="str">
        <f>IF(ISNUMBER(SEARCH("R", 'Dry_Litterbag Placem_Collection'!$U38)),"YES","NO")</f>
        <v>YES</v>
      </c>
    </row>
    <row r="332" spans="2:31">
      <c r="B332" t="str">
        <f>'Final data_for_R_analysis_Dryse'!A478</f>
        <v>Dry</v>
      </c>
      <c r="C332" s="260">
        <f>'Final data_for_R_analysis_Dryse'!B478</f>
        <v>37</v>
      </c>
      <c r="D332" t="s">
        <v>3805</v>
      </c>
      <c r="E332" t="s">
        <v>25</v>
      </c>
      <c r="F332" s="382">
        <v>5</v>
      </c>
      <c r="G332" s="383">
        <f>IF('Dry_Litterbag Placem_Collection'!E39="","",'Dry_Litterbag Placem_Collection'!E39)</f>
        <v>42938</v>
      </c>
      <c r="H332" s="92" t="str">
        <f>'Final data_for_R_analysis_Dryse'!K478</f>
        <v>G473</v>
      </c>
      <c r="I332" t="str">
        <f>'Final data_for_R_analysis_Dryse'!K698</f>
        <v>R681</v>
      </c>
      <c r="J332">
        <f>IFERROR(INDEX('Green_rooibos initial weight'!$C$5:$C$2000,MATCH(H332, 'Green_rooibos initial weight'!$A$5:$A$2000,0)),"")</f>
        <v>2.077</v>
      </c>
      <c r="K332">
        <f>IFERROR(INDEX('Green_rooibos initial weight'!$C$5:$C$2000,MATCH(I332, 'Green_rooibos initial weight'!$A$5:$A$2000,0)),"")</f>
        <v>2.1859999999999999</v>
      </c>
      <c r="L332" s="194">
        <f t="shared" si="24"/>
        <v>1.8271999999999999</v>
      </c>
      <c r="M332" s="237">
        <f>AVERAGE(Ashed_controlls!$K$1:$K$11)</f>
        <v>5.5147656768714146</v>
      </c>
      <c r="N332" s="194">
        <f>IFERROR(IF(K332&gt;0,(K332*$F$32-($F$29+$F$30)),""),"")</f>
        <v>1.9361999999999999</v>
      </c>
      <c r="O332" s="383">
        <f>IF('Dry_Litterbag Placem_Collection'!G39="","",'Dry_Litterbag Placem_Collection'!G39)</f>
        <v>43005</v>
      </c>
      <c r="P332" s="194">
        <f>IFERROR(INDEX('Both teabags AfterDry'!$D$3:$D$2000,MATCH(H332,'Both teabags AfterDry'!$A$3:$A$2000,0)),"")</f>
        <v>1.8992</v>
      </c>
      <c r="Q332" s="194">
        <f>IFERROR(INDEX('Both teabags AfterDry'!$D$3:$D$2000,MATCH(I332,'Both teabags AfterDry'!$A$3:$A$2000,0)),"")</f>
        <v>1.9663999999999999</v>
      </c>
      <c r="R332" s="194">
        <f t="shared" si="25"/>
        <v>1.7485999999999999</v>
      </c>
      <c r="S332" s="194">
        <f t="shared" si="25"/>
        <v>1.8157999999999999</v>
      </c>
      <c r="T332" s="194">
        <f t="shared" si="26"/>
        <v>4.3016637478108577E-2</v>
      </c>
      <c r="U332" s="194">
        <f t="shared" si="27"/>
        <v>2.820093098327309E-2</v>
      </c>
      <c r="V332" s="194">
        <f t="shared" si="28"/>
        <v>0.93781634128705704</v>
      </c>
      <c r="W332">
        <f t="shared" si="29"/>
        <v>67</v>
      </c>
      <c r="X332" s="194">
        <f t="shared" si="30"/>
        <v>0.94891135691436035</v>
      </c>
      <c r="Y332" s="194" t="str">
        <f t="shared" si="31"/>
        <v/>
      </c>
      <c r="Z332" s="252" t="str">
        <f>IF(ISNUMBER(SEARCH("C", 'Dry_Litterbag Placem_Collection'!$V39)),"YES","NO")</f>
        <v>NO</v>
      </c>
      <c r="AA332" s="252" t="str">
        <f>IF(ISNUMBER(SEARCH("H", 'Dry_Litterbag Placem_Collection'!$V39)),"YES","NO")</f>
        <v>NO</v>
      </c>
      <c r="AB332" s="252" t="str">
        <f>IF(ISNUMBER(SEARCH("R", 'Dry_Litterbag Placem_Collection'!$V39)),"YES","NO")</f>
        <v>NO</v>
      </c>
      <c r="AC332" s="252" t="str">
        <f>IF(ISNUMBER(SEARCH("C", 'Dry_Litterbag Placem_Collection'!$U39)),"YES","NO")</f>
        <v>NO</v>
      </c>
      <c r="AD332" s="252" t="str">
        <f>IF(ISNUMBER(SEARCH("H", 'Dry_Litterbag Placem_Collection'!$U39)),"YES","NO")</f>
        <v>NO</v>
      </c>
      <c r="AE332" s="252" t="str">
        <f>IF(ISNUMBER(SEARCH("R", 'Dry_Litterbag Placem_Collection'!$U39)),"YES","NO")</f>
        <v>NO</v>
      </c>
    </row>
    <row r="333" spans="2:31">
      <c r="B333" t="str">
        <f>'Final data_for_R_analysis_Dryse'!A479</f>
        <v>Dry</v>
      </c>
      <c r="C333" s="260">
        <f>'Final data_for_R_analysis_Dryse'!B479</f>
        <v>38</v>
      </c>
      <c r="D333" t="s">
        <v>3805</v>
      </c>
      <c r="E333" t="s">
        <v>25</v>
      </c>
      <c r="F333" s="382">
        <v>6</v>
      </c>
      <c r="G333" s="383">
        <f>IF('Dry_Litterbag Placem_Collection'!E40="","",'Dry_Litterbag Placem_Collection'!E40)</f>
        <v>42938</v>
      </c>
      <c r="H333" s="92" t="str">
        <f>'Final data_for_R_analysis_Dryse'!K479</f>
        <v>G111</v>
      </c>
      <c r="I333" t="str">
        <f>'Final data_for_R_analysis_Dryse'!K699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32">IFERROR(IF(J333&gt;0,(J333*$F$31-($F$29+$F$30)),""),"")</f>
        <v>1.8252000000000002</v>
      </c>
      <c r="M333" s="237">
        <f>AVERAGE(Ashed_controlls!$K$1:$K$11)</f>
        <v>5.5147656768714146</v>
      </c>
      <c r="N333" s="194">
        <f>IFERROR(IF(K333&gt;0,(K333*$F$32-($F$29+$F$30)),""),"")</f>
        <v>1.9281999999999999</v>
      </c>
      <c r="O333" s="383">
        <f>IF('Dry_Litterbag Placem_Collection'!G40="","",'Dry_Litterbag Placem_Collection'!G40)</f>
        <v>43005</v>
      </c>
      <c r="P333" s="194">
        <f>IFERROR(INDEX('Both teabags AfterDry'!$D$3:$D$2000,MATCH(H333,'Both teabags AfterDry'!$A$3:$A$2000,0)),"")</f>
        <v>1.8357000000000001</v>
      </c>
      <c r="Q333" s="194">
        <f>IFERROR(INDEX('Both teabags AfterDry'!$D$3:$D$2000,MATCH(I333,'Both teabags AfterDry'!$A$3:$A$2000,0)),"")</f>
        <v>1.8734</v>
      </c>
      <c r="R333" s="194">
        <f t="shared" ref="R333:S396" si="33">IFERROR(IF(P333&gt;0,P333-($F$29),""),"")</f>
        <v>1.6851</v>
      </c>
      <c r="S333" s="194">
        <f t="shared" si="33"/>
        <v>1.7227999999999999</v>
      </c>
      <c r="T333" s="194">
        <f t="shared" ref="T333:T396" si="34">IFERROR(1-R333/L333,"")</f>
        <v>7.6758711374096067E-2</v>
      </c>
      <c r="U333" s="194">
        <f t="shared" ref="U333:U396" si="35">IFERROR($F$26*(1-X333),"")</f>
        <v>5.0321625508908591E-2</v>
      </c>
      <c r="V333" s="194">
        <f t="shared" ref="V333:V396" si="36">IFERROR(S333/N333,"")</f>
        <v>0.89347578052069287</v>
      </c>
      <c r="W333">
        <f t="shared" ref="W333:W396" si="37">IFERROR(IF((O333-G333)&gt;0,(IFERROR(O333-G333,"")),""),"")</f>
        <v>67</v>
      </c>
      <c r="X333" s="194">
        <f t="shared" ref="X333:X396" si="38">IFERROR(1-(T333/$F$25),"")</f>
        <v>0.90883763494762937</v>
      </c>
      <c r="Y333" s="194" t="str">
        <f t="shared" ref="Y333:Y396" si="39">IFERROR(LN(U333/(V333-(1-U333)))/W333,"")</f>
        <v/>
      </c>
      <c r="Z333" s="252" t="str">
        <f>IF(ISNUMBER(SEARCH("C", 'Dry_Litterbag Placem_Collection'!$V40)),"YES","NO")</f>
        <v>NO</v>
      </c>
      <c r="AA333" s="252" t="str">
        <f>IF(ISNUMBER(SEARCH("H", 'Dry_Litterbag Placem_Collection'!$V40)),"YES","NO")</f>
        <v>NO</v>
      </c>
      <c r="AB333" s="252" t="str">
        <f>IF(ISNUMBER(SEARCH("R", 'Dry_Litterbag Placem_Collection'!$V40)),"YES","NO")</f>
        <v>NO</v>
      </c>
      <c r="AC333" s="252" t="str">
        <f>IF(ISNUMBER(SEARCH("C", 'Dry_Litterbag Placem_Collection'!$U40)),"YES","NO")</f>
        <v>NO</v>
      </c>
      <c r="AD333" s="252" t="str">
        <f>IF(ISNUMBER(SEARCH("H", 'Dry_Litterbag Placem_Collection'!$U40)),"YES","NO")</f>
        <v>NO</v>
      </c>
      <c r="AE333" s="252" t="str">
        <f>IF(ISNUMBER(SEARCH("R", 'Dry_Litterbag Placem_Collection'!$U40)),"YES","NO")</f>
        <v>NO</v>
      </c>
    </row>
    <row r="334" spans="2:31">
      <c r="B334" t="str">
        <f>'Final data_for_R_analysis_Dryse'!A480</f>
        <v>Dry</v>
      </c>
      <c r="C334" s="260">
        <f>'Final data_for_R_analysis_Dryse'!B480</f>
        <v>39</v>
      </c>
      <c r="D334" t="s">
        <v>3805</v>
      </c>
      <c r="E334" t="s">
        <v>25</v>
      </c>
      <c r="F334" s="382">
        <v>7</v>
      </c>
      <c r="G334" s="383">
        <f>IF('Dry_Litterbag Placem_Collection'!E41="","",'Dry_Litterbag Placem_Collection'!E41)</f>
        <v>42938</v>
      </c>
      <c r="H334" s="92" t="str">
        <f>'Final data_for_R_analysis_Dryse'!K480</f>
        <v/>
      </c>
      <c r="I334" t="str">
        <f>'Final data_for_R_analysis_Dryse'!K700</f>
        <v/>
      </c>
      <c r="J334" t="str">
        <f>IFERROR(INDEX('Green_rooibos initial weight'!$C$5:$C$2000,MATCH(H334, 'Green_rooibos initial weight'!$A$5:$A$2000,0)),"")</f>
        <v/>
      </c>
      <c r="K334" t="str">
        <f>IFERROR(INDEX('Green_rooibos initial weight'!$C$5:$C$2000,MATCH(I334, 'Green_rooibos initial weight'!$A$5:$A$2000,0)),"")</f>
        <v/>
      </c>
      <c r="L334" s="194" t="str">
        <f t="shared" si="32"/>
        <v/>
      </c>
      <c r="M334" s="237">
        <f>AVERAGE(Ashed_controlls!$K$1:$K$11)</f>
        <v>5.5147656768714146</v>
      </c>
      <c r="N334" s="194" t="str">
        <f>IFERROR(IF(K334&gt;0,(K334*$F$32-($F$29+$F$30)),""),"")</f>
        <v/>
      </c>
      <c r="O334" s="383" t="str">
        <f>IF('Dry_Litterbag Placem_Collection'!G41="","",'Dry_Litterbag Placem_Collection'!G41)</f>
        <v/>
      </c>
      <c r="P334" s="194" t="str">
        <f>IFERROR(INDEX('Both teabags AfterDry'!$D$3:$D$2000,MATCH(H334,'Both teabags AfterDry'!$A$3:$A$2000,0)),"")</f>
        <v/>
      </c>
      <c r="Q334" s="194" t="str">
        <f>IFERROR(INDEX('Both teabags AfterDry'!$D$3:$D$2000,MATCH(I334,'Both teabags AfterDry'!$A$3:$A$2000,0)),"")</f>
        <v/>
      </c>
      <c r="R334" s="194" t="str">
        <f t="shared" si="33"/>
        <v/>
      </c>
      <c r="S334" s="194" t="str">
        <f t="shared" si="33"/>
        <v/>
      </c>
      <c r="T334" s="194" t="str">
        <f t="shared" si="34"/>
        <v/>
      </c>
      <c r="U334" s="194" t="str">
        <f t="shared" si="35"/>
        <v/>
      </c>
      <c r="V334" s="194" t="str">
        <f t="shared" si="36"/>
        <v/>
      </c>
      <c r="W334" t="str">
        <f t="shared" si="37"/>
        <v/>
      </c>
      <c r="X334" s="194" t="str">
        <f t="shared" si="38"/>
        <v/>
      </c>
      <c r="Y334" s="194" t="str">
        <f t="shared" si="39"/>
        <v/>
      </c>
      <c r="Z334" s="252" t="str">
        <f>IF(ISNUMBER(SEARCH("C", 'Dry_Litterbag Placem_Collection'!$V41)),"YES","NO")</f>
        <v>NO</v>
      </c>
      <c r="AA334" s="252" t="str">
        <f>IF(ISNUMBER(SEARCH("H", 'Dry_Litterbag Placem_Collection'!$V41)),"YES","NO")</f>
        <v>NO</v>
      </c>
      <c r="AB334" s="252" t="str">
        <f>IF(ISNUMBER(SEARCH("R", 'Dry_Litterbag Placem_Collection'!$V41)),"YES","NO")</f>
        <v>NO</v>
      </c>
      <c r="AC334" s="252" t="str">
        <f>IF(ISNUMBER(SEARCH("C", 'Dry_Litterbag Placem_Collection'!$U41)),"YES","NO")</f>
        <v>NO</v>
      </c>
      <c r="AD334" s="252" t="str">
        <f>IF(ISNUMBER(SEARCH("H", 'Dry_Litterbag Placem_Collection'!$U41)),"YES","NO")</f>
        <v>NO</v>
      </c>
      <c r="AE334" s="252" t="str">
        <f>IF(ISNUMBER(SEARCH("R", 'Dry_Litterbag Placem_Collection'!$U41)),"YES","NO")</f>
        <v>NO</v>
      </c>
    </row>
    <row r="335" spans="2:31">
      <c r="B335" t="str">
        <f>'Final data_for_R_analysis_Dryse'!A481</f>
        <v>Dry</v>
      </c>
      <c r="C335" s="260">
        <f>'Final data_for_R_analysis_Dryse'!B481</f>
        <v>40</v>
      </c>
      <c r="D335" t="s">
        <v>3805</v>
      </c>
      <c r="E335" t="s">
        <v>25</v>
      </c>
      <c r="F335" s="382">
        <v>8</v>
      </c>
      <c r="G335" s="383">
        <f>IF('Dry_Litterbag Placem_Collection'!E42="","",'Dry_Litterbag Placem_Collection'!E42)</f>
        <v>42938</v>
      </c>
      <c r="H335" s="92" t="str">
        <f>'Final data_for_R_analysis_Dryse'!K481</f>
        <v>G646</v>
      </c>
      <c r="I335" t="str">
        <f>'Final data_for_R_analysis_Dryse'!K701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32"/>
        <v>1.9131999999999998</v>
      </c>
      <c r="M335" s="237">
        <f>AVERAGE(Ashed_controlls!$K$1:$K$11)</f>
        <v>5.5147656768714146</v>
      </c>
      <c r="N335" s="194">
        <f>IFERROR(IF(K335&gt;0,(K335*$F$32-($F$29+$F$30)),""),"")</f>
        <v>1.8961999999999999</v>
      </c>
      <c r="O335" s="383">
        <f>IF('Dry_Litterbag Placem_Collection'!G42="","",'Dry_Litterbag Placem_Collection'!G42)</f>
        <v>43005</v>
      </c>
      <c r="P335" s="194">
        <f>IFERROR(INDEX('Both teabags AfterDry'!$D$3:$D$2000,MATCH(H335,'Both teabags AfterDry'!$A$3:$A$2000,0)),"")</f>
        <v>1.9007000000000001</v>
      </c>
      <c r="Q335" s="194">
        <f>IFERROR(INDEX('Both teabags AfterDry'!$D$3:$D$2000,MATCH(I335,'Both teabags AfterDry'!$A$3:$A$2000,0)),"")</f>
        <v>1.9192</v>
      </c>
      <c r="R335" s="194">
        <f t="shared" si="33"/>
        <v>1.7501</v>
      </c>
      <c r="S335" s="194">
        <f t="shared" si="33"/>
        <v>1.7685999999999999</v>
      </c>
      <c r="T335" s="194">
        <f t="shared" si="34"/>
        <v>8.5249843194647568E-2</v>
      </c>
      <c r="U335" s="194">
        <f t="shared" si="35"/>
        <v>5.5888258246372301E-2</v>
      </c>
      <c r="V335" s="194">
        <f t="shared" si="36"/>
        <v>0.93270752030376547</v>
      </c>
      <c r="W335">
        <f t="shared" si="37"/>
        <v>67</v>
      </c>
      <c r="X335" s="194">
        <f t="shared" si="38"/>
        <v>0.89875315535077482</v>
      </c>
      <c r="Y335" s="194" t="str">
        <f t="shared" si="39"/>
        <v/>
      </c>
      <c r="Z335" s="252" t="str">
        <f>IF(ISNUMBER(SEARCH("C", 'Dry_Litterbag Placem_Collection'!$V42)),"YES","NO")</f>
        <v>NO</v>
      </c>
      <c r="AA335" s="252" t="str">
        <f>IF(ISNUMBER(SEARCH("H", 'Dry_Litterbag Placem_Collection'!$V42)),"YES","NO")</f>
        <v>NO</v>
      </c>
      <c r="AB335" s="252" t="str">
        <f>IF(ISNUMBER(SEARCH("R", 'Dry_Litterbag Placem_Collection'!$V42)),"YES","NO")</f>
        <v>NO</v>
      </c>
      <c r="AC335" s="252" t="str">
        <f>IF(ISNUMBER(SEARCH("C", 'Dry_Litterbag Placem_Collection'!$U42)),"YES","NO")</f>
        <v>NO</v>
      </c>
      <c r="AD335" s="252" t="str">
        <f>IF(ISNUMBER(SEARCH("H", 'Dry_Litterbag Placem_Collection'!$U42)),"YES","NO")</f>
        <v>NO</v>
      </c>
      <c r="AE335" s="252" t="str">
        <f>IF(ISNUMBER(SEARCH("R", 'Dry_Litterbag Placem_Collection'!$U42)),"YES","NO")</f>
        <v>NO</v>
      </c>
    </row>
    <row r="336" spans="2:31">
      <c r="B336" t="str">
        <f>'Final data_for_R_analysis_Dryse'!A482</f>
        <v>Dry</v>
      </c>
      <c r="C336" s="260">
        <f>'Final data_for_R_analysis_Dryse'!B482</f>
        <v>41</v>
      </c>
      <c r="D336" t="s">
        <v>3807</v>
      </c>
      <c r="E336" t="s">
        <v>25</v>
      </c>
      <c r="F336" s="381">
        <v>1</v>
      </c>
      <c r="G336" s="383">
        <f>IF('Dry_Litterbag Placem_Collection'!E43="","",'Dry_Litterbag Placem_Collection'!E43)</f>
        <v>42938</v>
      </c>
      <c r="H336" s="92" t="str">
        <f>'Final data_for_R_analysis_Dryse'!K482</f>
        <v>G43</v>
      </c>
      <c r="I336" t="str">
        <f>'Final data_for_R_analysis_Dryse'!K702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32"/>
        <v>1.7152000000000001</v>
      </c>
      <c r="M336" s="237">
        <f>AVERAGE(Ashed_controlls!$K$1:$K$11)</f>
        <v>5.5147656768714146</v>
      </c>
      <c r="N336" s="194">
        <f>IFERROR(IF(K336&gt;0,(K336*$F$32-($F$29+$F$30)),""),"")</f>
        <v>1.9422000000000001</v>
      </c>
      <c r="O336" s="383">
        <f>IF('Dry_Litterbag Placem_Collection'!G43="","",'Dry_Litterbag Placem_Collection'!G43)</f>
        <v>43005</v>
      </c>
      <c r="P336" s="194">
        <f>IFERROR(INDEX('Both teabags AfterDry'!$D$3:$D$2000,MATCH(H336,'Both teabags AfterDry'!$A$3:$A$2000,0)),"")</f>
        <v>1.7821</v>
      </c>
      <c r="Q336" s="194">
        <f>IFERROR(INDEX('Both teabags AfterDry'!$D$3:$D$2000,MATCH(I336,'Both teabags AfterDry'!$A$3:$A$2000,0)),"")</f>
        <v>1.9649000000000001</v>
      </c>
      <c r="R336" s="194">
        <f t="shared" si="33"/>
        <v>1.6315</v>
      </c>
      <c r="S336" s="194">
        <f t="shared" si="33"/>
        <v>1.8143</v>
      </c>
      <c r="T336" s="194">
        <f t="shared" si="34"/>
        <v>4.8798973880597063E-2</v>
      </c>
      <c r="U336" s="194">
        <f t="shared" si="35"/>
        <v>3.1991726344524449E-2</v>
      </c>
      <c r="V336" s="194">
        <f t="shared" si="36"/>
        <v>0.93414684378539792</v>
      </c>
      <c r="W336">
        <f t="shared" si="37"/>
        <v>67</v>
      </c>
      <c r="X336" s="194">
        <f t="shared" si="38"/>
        <v>0.94204397401354267</v>
      </c>
      <c r="Y336" s="194" t="str">
        <f t="shared" si="39"/>
        <v/>
      </c>
      <c r="Z336" s="252" t="str">
        <f>IF(ISNUMBER(SEARCH("C", 'Dry_Litterbag Placem_Collection'!$V43)),"YES","NO")</f>
        <v>NO</v>
      </c>
      <c r="AA336" s="252" t="str">
        <f>IF(ISNUMBER(SEARCH("H", 'Dry_Litterbag Placem_Collection'!$V43)),"YES","NO")</f>
        <v>NO</v>
      </c>
      <c r="AB336" s="252" t="str">
        <f>IF(ISNUMBER(SEARCH("R", 'Dry_Litterbag Placem_Collection'!$V43)),"YES","NO")</f>
        <v>NO</v>
      </c>
      <c r="AC336" s="252" t="str">
        <f>IF(ISNUMBER(SEARCH("C", 'Dry_Litterbag Placem_Collection'!$U43)),"YES","NO")</f>
        <v>NO</v>
      </c>
      <c r="AD336" s="252" t="str">
        <f>IF(ISNUMBER(SEARCH("H", 'Dry_Litterbag Placem_Collection'!$U43)),"YES","NO")</f>
        <v>NO</v>
      </c>
      <c r="AE336" s="252" t="str">
        <f>IF(ISNUMBER(SEARCH("R", 'Dry_Litterbag Placem_Collection'!$U43)),"YES","NO")</f>
        <v>NO</v>
      </c>
    </row>
    <row r="337" spans="2:31">
      <c r="B337" t="str">
        <f>'Final data_for_R_analysis_Dryse'!A483</f>
        <v>Dry</v>
      </c>
      <c r="C337" s="260">
        <f>'Final data_for_R_analysis_Dryse'!B483</f>
        <v>42</v>
      </c>
      <c r="D337" t="s">
        <v>3807</v>
      </c>
      <c r="E337" t="s">
        <v>25</v>
      </c>
      <c r="F337" s="381">
        <v>2</v>
      </c>
      <c r="G337" s="383">
        <f>IF('Dry_Litterbag Placem_Collection'!E44="","",'Dry_Litterbag Placem_Collection'!E44)</f>
        <v>42938</v>
      </c>
      <c r="H337" s="92" t="str">
        <f>'Final data_for_R_analysis_Dryse'!K483</f>
        <v>G268</v>
      </c>
      <c r="I337" t="str">
        <f>'Final data_for_R_analysis_Dryse'!K703</f>
        <v>R257</v>
      </c>
      <c r="J337">
        <f>IFERROR(INDEX('Green_rooibos initial weight'!$C$5:$C$2000,MATCH(H337, 'Green_rooibos initial weight'!$A$5:$A$2000,0)),"")</f>
        <v>2.1389999999999998</v>
      </c>
      <c r="K337">
        <f>IFERROR(INDEX('Green_rooibos initial weight'!$C$5:$C$2000,MATCH(I337, 'Green_rooibos initial weight'!$A$5:$A$2000,0)),"")</f>
        <v>2.222</v>
      </c>
      <c r="L337" s="194">
        <f t="shared" si="32"/>
        <v>1.8891999999999998</v>
      </c>
      <c r="M337" s="237">
        <f>AVERAGE(Ashed_controlls!$K$1:$K$11)</f>
        <v>5.5147656768714146</v>
      </c>
      <c r="N337" s="194">
        <f>IFERROR(IF(K337&gt;0,(K337*$F$32-($F$29+$F$30)),""),"")</f>
        <v>1.9722</v>
      </c>
      <c r="O337" s="383">
        <f>IF('Dry_Litterbag Placem_Collection'!G44="","",'Dry_Litterbag Placem_Collection'!G44)</f>
        <v>43005</v>
      </c>
      <c r="P337" s="194">
        <f>IFERROR(INDEX('Both teabags AfterDry'!$D$3:$D$2000,MATCH(H337,'Both teabags AfterDry'!$A$3:$A$2000,0)),"")</f>
        <v>1.7633000000000001</v>
      </c>
      <c r="Q337" s="194">
        <f>IFERROR(INDEX('Both teabags AfterDry'!$D$3:$D$2000,MATCH(I337,'Both teabags AfterDry'!$A$3:$A$2000,0)),"")</f>
        <v>1.956</v>
      </c>
      <c r="R337" s="194">
        <f t="shared" si="33"/>
        <v>1.6127</v>
      </c>
      <c r="S337" s="194">
        <f t="shared" si="33"/>
        <v>1.8053999999999999</v>
      </c>
      <c r="T337" s="194">
        <f t="shared" si="34"/>
        <v>0.14635824687698484</v>
      </c>
      <c r="U337" s="194">
        <f t="shared" si="35"/>
        <v>9.5949824555933094E-2</v>
      </c>
      <c r="V337" s="194">
        <f t="shared" si="36"/>
        <v>0.91542439914815943</v>
      </c>
      <c r="W337">
        <f t="shared" si="37"/>
        <v>67</v>
      </c>
      <c r="X337" s="194">
        <f t="shared" si="38"/>
        <v>0.82617785406533861</v>
      </c>
      <c r="Y337" s="194">
        <f t="shared" si="39"/>
        <v>3.1827995182734742E-2</v>
      </c>
      <c r="Z337" s="252" t="str">
        <f>IF(ISNUMBER(SEARCH("C", 'Dry_Litterbag Placem_Collection'!$V44)),"YES","NO")</f>
        <v>NO</v>
      </c>
      <c r="AA337" s="252" t="str">
        <f>IF(ISNUMBER(SEARCH("H", 'Dry_Litterbag Placem_Collection'!$V44)),"YES","NO")</f>
        <v>NO</v>
      </c>
      <c r="AB337" s="252" t="str">
        <f>IF(ISNUMBER(SEARCH("R", 'Dry_Litterbag Placem_Collection'!$V44)),"YES","NO")</f>
        <v>NO</v>
      </c>
      <c r="AC337" s="252" t="str">
        <f>IF(ISNUMBER(SEARCH("C", 'Dry_Litterbag Placem_Collection'!$U44)),"YES","NO")</f>
        <v>NO</v>
      </c>
      <c r="AD337" s="252" t="str">
        <f>IF(ISNUMBER(SEARCH("H", 'Dry_Litterbag Placem_Collection'!$U44)),"YES","NO")</f>
        <v>NO</v>
      </c>
      <c r="AE337" s="252" t="str">
        <f>IF(ISNUMBER(SEARCH("R", 'Dry_Litterbag Placem_Collection'!$U44)),"YES","NO")</f>
        <v>YES</v>
      </c>
    </row>
    <row r="338" spans="2:31">
      <c r="B338" t="str">
        <f>'Final data_for_R_analysis_Dryse'!A484</f>
        <v>Dry</v>
      </c>
      <c r="C338" s="260">
        <f>'Final data_for_R_analysis_Dryse'!B484</f>
        <v>43</v>
      </c>
      <c r="D338" t="s">
        <v>3807</v>
      </c>
      <c r="E338" t="s">
        <v>25</v>
      </c>
      <c r="F338" s="381">
        <v>3</v>
      </c>
      <c r="G338" s="383">
        <f>IF('Dry_Litterbag Placem_Collection'!E45="","",'Dry_Litterbag Placem_Collection'!E45)</f>
        <v>42938</v>
      </c>
      <c r="H338" s="92" t="str">
        <f>'Final data_for_R_analysis_Dryse'!K484</f>
        <v>G300</v>
      </c>
      <c r="I338" t="str">
        <f>'Final data_for_R_analysis_Dryse'!K704</f>
        <v>R691</v>
      </c>
      <c r="J338">
        <f>IFERROR(INDEX('Green_rooibos initial weight'!$C$5:$C$2000,MATCH(H338, 'Green_rooibos initial weight'!$A$5:$A$2000,0)),"")</f>
        <v>2.052</v>
      </c>
      <c r="K338">
        <f>IFERROR(INDEX('Green_rooibos initial weight'!$C$5:$C$2000,MATCH(I338, 'Green_rooibos initial weight'!$A$5:$A$2000,0)),"")</f>
        <v>2.1859999999999999</v>
      </c>
      <c r="L338" s="194">
        <f t="shared" si="32"/>
        <v>1.8022</v>
      </c>
      <c r="M338" s="237">
        <f>AVERAGE(Ashed_controlls!$K$1:$K$11)</f>
        <v>5.5147656768714146</v>
      </c>
      <c r="N338" s="194">
        <f>IFERROR(IF(K338&gt;0,(K338*$F$32-($F$29+$F$30)),""),"")</f>
        <v>1.9361999999999999</v>
      </c>
      <c r="O338" s="383">
        <f>IF('Dry_Litterbag Placem_Collection'!G45="","",'Dry_Litterbag Placem_Collection'!G45)</f>
        <v>43005</v>
      </c>
      <c r="P338" s="194">
        <f>IFERROR(INDEX('Both teabags AfterDry'!$D$3:$D$2000,MATCH(H338,'Both teabags AfterDry'!$A$3:$A$2000,0)),"")</f>
        <v>1.8340000000000001</v>
      </c>
      <c r="Q338" s="194">
        <f>IFERROR(INDEX('Both teabags AfterDry'!$D$3:$D$2000,MATCH(I338,'Both teabags AfterDry'!$A$3:$A$2000,0)),"")</f>
        <v>1.9609000000000001</v>
      </c>
      <c r="R338" s="194">
        <f t="shared" si="33"/>
        <v>1.6834</v>
      </c>
      <c r="S338" s="194">
        <f t="shared" si="33"/>
        <v>1.8103</v>
      </c>
      <c r="T338" s="194">
        <f t="shared" si="34"/>
        <v>6.5919431805571027E-2</v>
      </c>
      <c r="U338" s="194">
        <f t="shared" si="35"/>
        <v>4.3215589497238978E-2</v>
      </c>
      <c r="V338" s="194">
        <f t="shared" si="36"/>
        <v>0.93497572564817688</v>
      </c>
      <c r="W338">
        <f t="shared" si="37"/>
        <v>67</v>
      </c>
      <c r="X338" s="194">
        <f t="shared" si="38"/>
        <v>0.92171088859195838</v>
      </c>
      <c r="Y338" s="194" t="str">
        <f t="shared" si="39"/>
        <v/>
      </c>
      <c r="Z338" s="252" t="str">
        <f>IF(ISNUMBER(SEARCH("C", 'Dry_Litterbag Placem_Collection'!$V45)),"YES","NO")</f>
        <v>NO</v>
      </c>
      <c r="AA338" s="252" t="str">
        <f>IF(ISNUMBER(SEARCH("H", 'Dry_Litterbag Placem_Collection'!$V45)),"YES","NO")</f>
        <v>NO</v>
      </c>
      <c r="AB338" s="252" t="str">
        <f>IF(ISNUMBER(SEARCH("R", 'Dry_Litterbag Placem_Collection'!$V45)),"YES","NO")</f>
        <v>NO</v>
      </c>
      <c r="AC338" s="252" t="str">
        <f>IF(ISNUMBER(SEARCH("C", 'Dry_Litterbag Placem_Collection'!$U45)),"YES","NO")</f>
        <v>NO</v>
      </c>
      <c r="AD338" s="252" t="str">
        <f>IF(ISNUMBER(SEARCH("H", 'Dry_Litterbag Placem_Collection'!$U45)),"YES","NO")</f>
        <v>NO</v>
      </c>
      <c r="AE338" s="252" t="str">
        <f>IF(ISNUMBER(SEARCH("R", 'Dry_Litterbag Placem_Collection'!$U45)),"YES","NO")</f>
        <v>NO</v>
      </c>
    </row>
    <row r="339" spans="2:31">
      <c r="B339" t="str">
        <f>'Final data_for_R_analysis_Dryse'!A485</f>
        <v>Dry</v>
      </c>
      <c r="C339" s="260">
        <f>'Final data_for_R_analysis_Dryse'!B485</f>
        <v>44</v>
      </c>
      <c r="D339" t="s">
        <v>3807</v>
      </c>
      <c r="E339" t="s">
        <v>25</v>
      </c>
      <c r="F339" s="382">
        <v>4</v>
      </c>
      <c r="G339" s="383">
        <f>IF('Dry_Litterbag Placem_Collection'!E46="","",'Dry_Litterbag Placem_Collection'!E46)</f>
        <v>42938</v>
      </c>
      <c r="H339" s="92" t="str">
        <f>'Final data_for_R_analysis_Dryse'!K485</f>
        <v>G823</v>
      </c>
      <c r="I339" t="str">
        <f>'Final data_for_R_analysis_Dryse'!K705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32"/>
        <v>1.7132000000000001</v>
      </c>
      <c r="M339" s="237">
        <f>AVERAGE(Ashed_controlls!$K$1:$K$11)</f>
        <v>5.5147656768714146</v>
      </c>
      <c r="N339" s="194">
        <f>IFERROR(IF(K339&gt;0,(K339*$F$32-($F$29+$F$30)),""),"")</f>
        <v>1.9782000000000002</v>
      </c>
      <c r="O339" s="383">
        <f>IF('Dry_Litterbag Placem_Collection'!G46="","",'Dry_Litterbag Placem_Collection'!G46)</f>
        <v>43005</v>
      </c>
      <c r="P339" s="194">
        <f>IFERROR(INDEX('Both teabags AfterDry'!$D$3:$D$2000,MATCH(H339,'Both teabags AfterDry'!$A$3:$A$2000,0)),"")</f>
        <v>1.8245</v>
      </c>
      <c r="Q339" s="194">
        <f>IFERROR(INDEX('Both teabags AfterDry'!$D$3:$D$2000,MATCH(I339,'Both teabags AfterDry'!$A$3:$A$2000,0)),"")</f>
        <v>1.9879</v>
      </c>
      <c r="R339" s="194">
        <f t="shared" si="33"/>
        <v>1.6738999999999999</v>
      </c>
      <c r="S339" s="194">
        <f t="shared" si="33"/>
        <v>1.8372999999999999</v>
      </c>
      <c r="T339" s="194">
        <f t="shared" si="34"/>
        <v>2.2939528367966422E-2</v>
      </c>
      <c r="U339" s="194">
        <f t="shared" si="35"/>
        <v>1.5038740687787988E-2</v>
      </c>
      <c r="V339" s="194">
        <f t="shared" si="36"/>
        <v>0.92877363259528856</v>
      </c>
      <c r="W339">
        <f t="shared" si="37"/>
        <v>67</v>
      </c>
      <c r="X339" s="194">
        <f t="shared" si="38"/>
        <v>0.97275590455110872</v>
      </c>
      <c r="Y339" s="194" t="str">
        <f t="shared" si="39"/>
        <v/>
      </c>
      <c r="Z339" s="252" t="str">
        <f>IF(ISNUMBER(SEARCH("C", 'Dry_Litterbag Placem_Collection'!$V46)),"YES","NO")</f>
        <v>NO</v>
      </c>
      <c r="AA339" s="252" t="str">
        <f>IF(ISNUMBER(SEARCH("H", 'Dry_Litterbag Placem_Collection'!$V46)),"YES","NO")</f>
        <v>NO</v>
      </c>
      <c r="AB339" s="252" t="str">
        <f>IF(ISNUMBER(SEARCH("R", 'Dry_Litterbag Placem_Collection'!$V46)),"YES","NO")</f>
        <v>NO</v>
      </c>
      <c r="AC339" s="252" t="str">
        <f>IF(ISNUMBER(SEARCH("C", 'Dry_Litterbag Placem_Collection'!$U46)),"YES","NO")</f>
        <v>NO</v>
      </c>
      <c r="AD339" s="252" t="str">
        <f>IF(ISNUMBER(SEARCH("H", 'Dry_Litterbag Placem_Collection'!$U46)),"YES","NO")</f>
        <v>NO</v>
      </c>
      <c r="AE339" s="252" t="str">
        <f>IF(ISNUMBER(SEARCH("R", 'Dry_Litterbag Placem_Collection'!$U46)),"YES","NO")</f>
        <v>NO</v>
      </c>
    </row>
    <row r="340" spans="2:31">
      <c r="B340" t="str">
        <f>'Final data_for_R_analysis_Dryse'!A486</f>
        <v>Dry</v>
      </c>
      <c r="C340" s="260">
        <f>'Final data_for_R_analysis_Dryse'!B486</f>
        <v>45</v>
      </c>
      <c r="D340" t="s">
        <v>3807</v>
      </c>
      <c r="E340" t="s">
        <v>25</v>
      </c>
      <c r="F340" s="382">
        <v>5</v>
      </c>
      <c r="G340" s="383">
        <f>IF('Dry_Litterbag Placem_Collection'!E47="","",'Dry_Litterbag Placem_Collection'!E47)</f>
        <v>42938</v>
      </c>
      <c r="H340" s="92" t="str">
        <f>'Final data_for_R_analysis_Dryse'!K486</f>
        <v>G354</v>
      </c>
      <c r="I340" t="str">
        <f>'Final data_for_R_analysis_Dryse'!K706</f>
        <v>R631</v>
      </c>
      <c r="J340">
        <f>IFERROR(INDEX('Green_rooibos initial weight'!$C$5:$C$2000,MATCH(H340, 'Green_rooibos initial weight'!$A$5:$A$2000,0)),"")</f>
        <v>1.835</v>
      </c>
      <c r="K340">
        <f>IFERROR(INDEX('Green_rooibos initial weight'!$C$5:$C$2000,MATCH(I340, 'Green_rooibos initial weight'!$A$5:$A$2000,0)),"")</f>
        <v>2.133</v>
      </c>
      <c r="L340" s="194">
        <f t="shared" si="32"/>
        <v>1.5851999999999999</v>
      </c>
      <c r="M340" s="237">
        <f>AVERAGE(Ashed_controlls!$K$1:$K$11)</f>
        <v>5.5147656768714146</v>
      </c>
      <c r="N340" s="194">
        <f>IFERROR(IF(K340&gt;0,(K340*$F$32-($F$29+$F$30)),""),"")</f>
        <v>1.8832</v>
      </c>
      <c r="O340" s="383">
        <f>IF('Dry_Litterbag Placem_Collection'!G47="","",'Dry_Litterbag Placem_Collection'!G47)</f>
        <v>43005</v>
      </c>
      <c r="P340" s="194" t="str">
        <f>IFERROR(INDEX('Both teabags AfterDry'!$D$3:$D$2000,MATCH(H340,'Both teabags AfterDry'!$A$3:$A$2000,0)),"")</f>
        <v/>
      </c>
      <c r="Q340" s="194" t="str">
        <f>IFERROR(INDEX('Both teabags AfterDry'!$D$3:$D$2000,MATCH(I340,'Both teabags AfterDry'!$A$3:$A$2000,0)),"")</f>
        <v/>
      </c>
      <c r="R340" s="194" t="str">
        <f t="shared" si="33"/>
        <v/>
      </c>
      <c r="S340" s="194" t="str">
        <f t="shared" si="33"/>
        <v/>
      </c>
      <c r="T340" s="194" t="str">
        <f t="shared" si="34"/>
        <v/>
      </c>
      <c r="U340" s="194" t="str">
        <f t="shared" si="35"/>
        <v/>
      </c>
      <c r="V340" s="194" t="str">
        <f t="shared" si="36"/>
        <v/>
      </c>
      <c r="W340">
        <f t="shared" si="37"/>
        <v>67</v>
      </c>
      <c r="X340" s="194" t="str">
        <f t="shared" si="38"/>
        <v/>
      </c>
      <c r="Y340" s="194" t="str">
        <f t="shared" si="39"/>
        <v/>
      </c>
      <c r="Z340" s="252" t="str">
        <f>IF(ISNUMBER(SEARCH("C", 'Dry_Litterbag Placem_Collection'!$V47)),"YES","NO")</f>
        <v>NO</v>
      </c>
      <c r="AA340" s="252" t="str">
        <f>IF(ISNUMBER(SEARCH("H", 'Dry_Litterbag Placem_Collection'!$V47)),"YES","NO")</f>
        <v>NO</v>
      </c>
      <c r="AB340" s="252" t="str">
        <f>IF(ISNUMBER(SEARCH("R", 'Dry_Litterbag Placem_Collection'!$V47)),"YES","NO")</f>
        <v>NO</v>
      </c>
      <c r="AC340" s="252" t="str">
        <f>IF(ISNUMBER(SEARCH("C", 'Dry_Litterbag Placem_Collection'!$U47)),"YES","NO")</f>
        <v>NO</v>
      </c>
      <c r="AD340" s="252" t="str">
        <f>IF(ISNUMBER(SEARCH("H", 'Dry_Litterbag Placem_Collection'!$U47)),"YES","NO")</f>
        <v>NO</v>
      </c>
      <c r="AE340" s="252" t="str">
        <f>IF(ISNUMBER(SEARCH("R", 'Dry_Litterbag Placem_Collection'!$U47)),"YES","NO")</f>
        <v>NO</v>
      </c>
    </row>
    <row r="341" spans="2:31">
      <c r="B341" t="str">
        <f>'Final data_for_R_analysis_Dryse'!A487</f>
        <v>Dry</v>
      </c>
      <c r="C341" s="260">
        <f>'Final data_for_R_analysis_Dryse'!B487</f>
        <v>46</v>
      </c>
      <c r="D341" t="s">
        <v>3807</v>
      </c>
      <c r="E341" t="s">
        <v>25</v>
      </c>
      <c r="F341" s="382">
        <v>6</v>
      </c>
      <c r="G341" s="383" t="str">
        <f>IF('Dry_Litterbag Placem_Collection'!E48="","",'Dry_Litterbag Placem_Collection'!E48)</f>
        <v/>
      </c>
      <c r="H341" s="92" t="str">
        <f>'Final data_for_R_analysis_Dryse'!K487</f>
        <v/>
      </c>
      <c r="I341" t="str">
        <f>'Final data_for_R_analysis_Dryse'!K707</f>
        <v/>
      </c>
      <c r="J341" t="str">
        <f>IFERROR(INDEX('Green_rooibos initial weight'!$C$5:$C$2000,MATCH(H341, 'Green_rooibos initial weight'!$A$5:$A$2000,0)),"")</f>
        <v/>
      </c>
      <c r="K341" t="str">
        <f>IFERROR(INDEX('Green_rooibos initial weight'!$C$5:$C$2000,MATCH(I341, 'Green_rooibos initial weight'!$A$5:$A$2000,0)),"")</f>
        <v/>
      </c>
      <c r="L341" s="194" t="str">
        <f t="shared" si="32"/>
        <v/>
      </c>
      <c r="M341" s="237">
        <f>AVERAGE(Ashed_controlls!$K$1:$K$11)</f>
        <v>5.5147656768714146</v>
      </c>
      <c r="N341" s="194" t="str">
        <f>IFERROR(IF(K341&gt;0,(K341*$F$32-($F$29+$F$30)),""),"")</f>
        <v/>
      </c>
      <c r="O341" s="383" t="str">
        <f>IF('Dry_Litterbag Placem_Collection'!G48="","",'Dry_Litterbag Placem_Collection'!G48)</f>
        <v/>
      </c>
      <c r="P341" s="194" t="str">
        <f>IFERROR(INDEX('Both teabags AfterDry'!$D$3:$D$2000,MATCH(H341,'Both teabags AfterDry'!$A$3:$A$2000,0)),"")</f>
        <v/>
      </c>
      <c r="Q341" s="194" t="str">
        <f>IFERROR(INDEX('Both teabags AfterDry'!$D$3:$D$2000,MATCH(I341,'Both teabags AfterDry'!$A$3:$A$2000,0)),"")</f>
        <v/>
      </c>
      <c r="R341" s="194" t="str">
        <f t="shared" si="33"/>
        <v/>
      </c>
      <c r="S341" s="194" t="str">
        <f t="shared" si="33"/>
        <v/>
      </c>
      <c r="T341" s="194" t="str">
        <f t="shared" si="34"/>
        <v/>
      </c>
      <c r="U341" s="194" t="str">
        <f t="shared" si="35"/>
        <v/>
      </c>
      <c r="V341" s="194" t="str">
        <f t="shared" si="36"/>
        <v/>
      </c>
      <c r="W341" t="str">
        <f t="shared" si="37"/>
        <v/>
      </c>
      <c r="X341" s="194" t="str">
        <f t="shared" si="38"/>
        <v/>
      </c>
      <c r="Y341" s="194" t="str">
        <f t="shared" si="39"/>
        <v/>
      </c>
      <c r="Z341" s="252" t="str">
        <f>IF(ISNUMBER(SEARCH("C", 'Dry_Litterbag Placem_Collection'!$V48)),"YES","NO")</f>
        <v>NO</v>
      </c>
      <c r="AA341" s="252" t="str">
        <f>IF(ISNUMBER(SEARCH("H", 'Dry_Litterbag Placem_Collection'!$V48)),"YES","NO")</f>
        <v>NO</v>
      </c>
      <c r="AB341" s="252" t="str">
        <f>IF(ISNUMBER(SEARCH("R", 'Dry_Litterbag Placem_Collection'!$V48)),"YES","NO")</f>
        <v>NO</v>
      </c>
      <c r="AC341" s="252" t="str">
        <f>IF(ISNUMBER(SEARCH("C", 'Dry_Litterbag Placem_Collection'!$U48)),"YES","NO")</f>
        <v>NO</v>
      </c>
      <c r="AD341" s="252" t="str">
        <f>IF(ISNUMBER(SEARCH("H", 'Dry_Litterbag Placem_Collection'!$U48)),"YES","NO")</f>
        <v>NO</v>
      </c>
      <c r="AE341" s="252" t="str">
        <f>IF(ISNUMBER(SEARCH("R", 'Dry_Litterbag Placem_Collection'!$U48)),"YES","NO")</f>
        <v>NO</v>
      </c>
    </row>
    <row r="342" spans="2:31">
      <c r="B342" t="str">
        <f>'Final data_for_R_analysis_Dryse'!A488</f>
        <v>Dry</v>
      </c>
      <c r="C342" s="260">
        <f>'Final data_for_R_analysis_Dryse'!B488</f>
        <v>47</v>
      </c>
      <c r="D342" t="s">
        <v>3807</v>
      </c>
      <c r="E342" t="s">
        <v>25</v>
      </c>
      <c r="F342" s="382">
        <v>7</v>
      </c>
      <c r="G342" s="383">
        <f>IF('Dry_Litterbag Placem_Collection'!E49="","",'Dry_Litterbag Placem_Collection'!E49)</f>
        <v>42938</v>
      </c>
      <c r="H342" s="92" t="str">
        <f>'Final data_for_R_analysis_Dryse'!K488</f>
        <v>G659</v>
      </c>
      <c r="I342" t="str">
        <f>'Final data_for_R_analysis_Dryse'!K708</f>
        <v>R606</v>
      </c>
      <c r="J342">
        <f>IFERROR(INDEX('Green_rooibos initial weight'!$C$5:$C$2000,MATCH(H342, 'Green_rooibos initial weight'!$A$5:$A$2000,0)),"")</f>
        <v>2.0529999999999999</v>
      </c>
      <c r="K342">
        <f>IFERROR(INDEX('Green_rooibos initial weight'!$C$5:$C$2000,MATCH(I342, 'Green_rooibos initial weight'!$A$5:$A$2000,0)),"")</f>
        <v>2.15</v>
      </c>
      <c r="L342" s="194">
        <f t="shared" si="32"/>
        <v>1.8031999999999999</v>
      </c>
      <c r="M342" s="237">
        <f>AVERAGE(Ashed_controlls!$K$1:$K$11)</f>
        <v>5.5147656768714146</v>
      </c>
      <c r="N342" s="194">
        <f>IFERROR(IF(K342&gt;0,(K342*$F$32-($F$29+$F$30)),""),"")</f>
        <v>1.9001999999999999</v>
      </c>
      <c r="O342" s="383">
        <f>IF('Dry_Litterbag Placem_Collection'!G49="","",'Dry_Litterbag Placem_Collection'!G49)</f>
        <v>43005</v>
      </c>
      <c r="P342" s="194">
        <f>IFERROR(INDEX('Both teabags AfterDry'!$D$3:$D$2000,MATCH(H342,'Both teabags AfterDry'!$A$3:$A$2000,0)),"")</f>
        <v>1.8913</v>
      </c>
      <c r="Q342" s="194">
        <f>IFERROR(INDEX('Both teabags AfterDry'!$D$3:$D$2000,MATCH(I342,'Both teabags AfterDry'!$A$3:$A$2000,0)),"")</f>
        <v>1.9615</v>
      </c>
      <c r="R342" s="194">
        <f t="shared" si="33"/>
        <v>1.7406999999999999</v>
      </c>
      <c r="S342" s="194">
        <f t="shared" si="33"/>
        <v>1.8109</v>
      </c>
      <c r="T342" s="194">
        <f t="shared" si="34"/>
        <v>3.4660603371783449E-2</v>
      </c>
      <c r="U342" s="194">
        <f t="shared" si="35"/>
        <v>2.2722865868437619E-2</v>
      </c>
      <c r="V342" s="194">
        <f t="shared" si="36"/>
        <v>0.95300494684770032</v>
      </c>
      <c r="W342">
        <f t="shared" si="37"/>
        <v>67</v>
      </c>
      <c r="X342" s="194">
        <f t="shared" si="38"/>
        <v>0.95883538791949707</v>
      </c>
      <c r="Y342" s="194" t="str">
        <f t="shared" si="39"/>
        <v/>
      </c>
      <c r="Z342" s="252" t="str">
        <f>IF(ISNUMBER(SEARCH("C", 'Dry_Litterbag Placem_Collection'!$V49)),"YES","NO")</f>
        <v>NO</v>
      </c>
      <c r="AA342" s="252" t="str">
        <f>IF(ISNUMBER(SEARCH("H", 'Dry_Litterbag Placem_Collection'!$V49)),"YES","NO")</f>
        <v>NO</v>
      </c>
      <c r="AB342" s="252" t="str">
        <f>IF(ISNUMBER(SEARCH("R", 'Dry_Litterbag Placem_Collection'!$V49)),"YES","NO")</f>
        <v>NO</v>
      </c>
      <c r="AC342" s="252" t="str">
        <f>IF(ISNUMBER(SEARCH("C", 'Dry_Litterbag Placem_Collection'!$U49)),"YES","NO")</f>
        <v>NO</v>
      </c>
      <c r="AD342" s="252" t="str">
        <f>IF(ISNUMBER(SEARCH("H", 'Dry_Litterbag Placem_Collection'!$U49)),"YES","NO")</f>
        <v>NO</v>
      </c>
      <c r="AE342" s="252" t="str">
        <f>IF(ISNUMBER(SEARCH("R", 'Dry_Litterbag Placem_Collection'!$U49)),"YES","NO")</f>
        <v>NO</v>
      </c>
    </row>
    <row r="343" spans="2:31">
      <c r="B343" t="str">
        <f>'Final data_for_R_analysis_Dryse'!A489</f>
        <v>Dry</v>
      </c>
      <c r="C343" s="260">
        <f>'Final data_for_R_analysis_Dryse'!B489</f>
        <v>48</v>
      </c>
      <c r="D343" t="s">
        <v>3807</v>
      </c>
      <c r="E343" t="s">
        <v>25</v>
      </c>
      <c r="F343" s="382">
        <v>8</v>
      </c>
      <c r="G343" s="383">
        <f>IF('Dry_Litterbag Placem_Collection'!E50="","",'Dry_Litterbag Placem_Collection'!E50)</f>
        <v>42938</v>
      </c>
      <c r="H343" s="92" t="str">
        <f>'Final data_for_R_analysis_Dryse'!K489</f>
        <v>G267</v>
      </c>
      <c r="I343" t="str">
        <f>'Final data_for_R_analysis_Dryse'!K709</f>
        <v>R221</v>
      </c>
      <c r="J343">
        <f>IFERROR(INDEX('Green_rooibos initial weight'!$C$5:$C$2000,MATCH(H343, 'Green_rooibos initial weight'!$A$5:$A$2000,0)),"")</f>
        <v>2.069</v>
      </c>
      <c r="K343">
        <f>IFERROR(INDEX('Green_rooibos initial weight'!$C$5:$C$2000,MATCH(I343, 'Green_rooibos initial weight'!$A$5:$A$2000,0)),"")</f>
        <v>2.2210000000000001</v>
      </c>
      <c r="L343" s="194">
        <f t="shared" si="32"/>
        <v>1.8191999999999999</v>
      </c>
      <c r="M343" s="237">
        <f>AVERAGE(Ashed_controlls!$K$1:$K$11)</f>
        <v>5.5147656768714146</v>
      </c>
      <c r="N343" s="194">
        <f>IFERROR(IF(K343&gt;0,(K343*$F$32-($F$29+$F$30)),""),"")</f>
        <v>1.9712000000000001</v>
      </c>
      <c r="O343" s="383">
        <f>IF('Dry_Litterbag Placem_Collection'!G50="","",'Dry_Litterbag Placem_Collection'!G50)</f>
        <v>43005</v>
      </c>
      <c r="P343" s="194">
        <f>IFERROR(INDEX('Both teabags AfterDry'!$D$3:$D$2000,MATCH(H343,'Both teabags AfterDry'!$A$3:$A$2000,0)),"")</f>
        <v>1.8248</v>
      </c>
      <c r="Q343" s="194">
        <f>IFERROR(INDEX('Both teabags AfterDry'!$D$3:$D$2000,MATCH(I343,'Both teabags AfterDry'!$A$3:$A$2000,0)),"")</f>
        <v>1.8791</v>
      </c>
      <c r="R343" s="194">
        <f t="shared" si="33"/>
        <v>1.6741999999999999</v>
      </c>
      <c r="S343" s="194">
        <f t="shared" si="33"/>
        <v>1.7284999999999999</v>
      </c>
      <c r="T343" s="194">
        <f t="shared" si="34"/>
        <v>7.9705364995602435E-2</v>
      </c>
      <c r="U343" s="194">
        <f t="shared" si="35"/>
        <v>5.2253398429421075E-2</v>
      </c>
      <c r="V343" s="194">
        <f t="shared" si="36"/>
        <v>0.87687702922077915</v>
      </c>
      <c r="W343">
        <f t="shared" si="37"/>
        <v>67</v>
      </c>
      <c r="X343" s="194">
        <f t="shared" si="38"/>
        <v>0.90533804632351256</v>
      </c>
      <c r="Y343" s="194" t="str">
        <f t="shared" si="39"/>
        <v/>
      </c>
      <c r="Z343" s="252" t="str">
        <f>IF(ISNUMBER(SEARCH("C", 'Dry_Litterbag Placem_Collection'!$V50)),"YES","NO")</f>
        <v>NO</v>
      </c>
      <c r="AA343" s="252" t="str">
        <f>IF(ISNUMBER(SEARCH("H", 'Dry_Litterbag Placem_Collection'!$V50)),"YES","NO")</f>
        <v>NO</v>
      </c>
      <c r="AB343" s="252" t="str">
        <f>IF(ISNUMBER(SEARCH("R", 'Dry_Litterbag Placem_Collection'!$V50)),"YES","NO")</f>
        <v>NO</v>
      </c>
      <c r="AC343" s="252" t="str">
        <f>IF(ISNUMBER(SEARCH("C", 'Dry_Litterbag Placem_Collection'!$U50)),"YES","NO")</f>
        <v>NO</v>
      </c>
      <c r="AD343" s="252" t="str">
        <f>IF(ISNUMBER(SEARCH("H", 'Dry_Litterbag Placem_Collection'!$U50)),"YES","NO")</f>
        <v>NO</v>
      </c>
      <c r="AE343" s="252" t="str">
        <f>IF(ISNUMBER(SEARCH("R", 'Dry_Litterbag Placem_Collection'!$U50)),"YES","NO")</f>
        <v>NO</v>
      </c>
    </row>
    <row r="344" spans="2:31">
      <c r="B344" t="str">
        <f>'Final data_for_R_analysis_Dryse'!A490</f>
        <v>Dry</v>
      </c>
      <c r="C344" s="260">
        <f>'Final data_for_R_analysis_Dryse'!B490</f>
        <v>49</v>
      </c>
      <c r="D344" t="s">
        <v>3808</v>
      </c>
      <c r="E344" t="s">
        <v>25</v>
      </c>
      <c r="F344" s="381">
        <v>1</v>
      </c>
      <c r="G344" s="383">
        <f>IF('Dry_Litterbag Placem_Collection'!E51="","",'Dry_Litterbag Placem_Collection'!E51)</f>
        <v>42938</v>
      </c>
      <c r="H344" s="92" t="str">
        <f>'Final data_for_R_analysis_Dryse'!K490</f>
        <v>G812</v>
      </c>
      <c r="I344" t="str">
        <f>'Final data_for_R_analysis_Dryse'!K710</f>
        <v>R308</v>
      </c>
      <c r="J344">
        <f>IFERROR(INDEX('Green_rooibos initial weight'!$C$5:$C$2000,MATCH(H344, 'Green_rooibos initial weight'!$A$5:$A$2000,0)),"")</f>
        <v>2.0169999999999999</v>
      </c>
      <c r="K344">
        <f>IFERROR(INDEX('Green_rooibos initial weight'!$C$5:$C$2000,MATCH(I344, 'Green_rooibos initial weight'!$A$5:$A$2000,0)),"")</f>
        <v>2.173</v>
      </c>
      <c r="L344" s="194">
        <f t="shared" si="32"/>
        <v>1.7671999999999999</v>
      </c>
      <c r="M344" s="237">
        <f>AVERAGE(Ashed_controlls!$K$1:$K$11)</f>
        <v>5.5147656768714146</v>
      </c>
      <c r="N344" s="194">
        <f>IFERROR(IF(K344&gt;0,(K344*$F$32-($F$29+$F$30)),""),"")</f>
        <v>1.9232</v>
      </c>
      <c r="O344" s="383">
        <f>IF('Dry_Litterbag Placem_Collection'!G51="","",'Dry_Litterbag Placem_Collection'!G51)</f>
        <v>43005</v>
      </c>
      <c r="P344" s="194" t="str">
        <f>IFERROR(INDEX('Both teabags AfterDry'!$D$3:$D$2000,MATCH(H344,'Both teabags AfterDry'!$A$3:$A$2000,0)),"")</f>
        <v/>
      </c>
      <c r="Q344" s="194" t="str">
        <f>IFERROR(INDEX('Both teabags AfterDry'!$D$3:$D$2000,MATCH(I344,'Both teabags AfterDry'!$A$3:$A$2000,0)),"")</f>
        <v/>
      </c>
      <c r="R344" s="194" t="str">
        <f t="shared" si="33"/>
        <v/>
      </c>
      <c r="S344" s="194" t="str">
        <f t="shared" si="33"/>
        <v/>
      </c>
      <c r="T344" s="194" t="str">
        <f t="shared" si="34"/>
        <v/>
      </c>
      <c r="U344" s="194" t="str">
        <f t="shared" si="35"/>
        <v/>
      </c>
      <c r="V344" s="194" t="str">
        <f t="shared" si="36"/>
        <v/>
      </c>
      <c r="W344">
        <f t="shared" si="37"/>
        <v>67</v>
      </c>
      <c r="X344" s="194" t="str">
        <f t="shared" si="38"/>
        <v/>
      </c>
      <c r="Y344" s="194" t="str">
        <f t="shared" si="39"/>
        <v/>
      </c>
      <c r="Z344" s="252" t="str">
        <f>IF(ISNUMBER(SEARCH("C", 'Dry_Litterbag Placem_Collection'!$V51)),"YES","NO")</f>
        <v>NO</v>
      </c>
      <c r="AA344" s="252" t="str">
        <f>IF(ISNUMBER(SEARCH("H", 'Dry_Litterbag Placem_Collection'!$V51)),"YES","NO")</f>
        <v>NO</v>
      </c>
      <c r="AB344" s="252" t="str">
        <f>IF(ISNUMBER(SEARCH("R", 'Dry_Litterbag Placem_Collection'!$V51)),"YES","NO")</f>
        <v>NO</v>
      </c>
      <c r="AC344" s="252" t="str">
        <f>IF(ISNUMBER(SEARCH("C", 'Dry_Litterbag Placem_Collection'!$U51)),"YES","NO")</f>
        <v>NO</v>
      </c>
      <c r="AD344" s="252" t="str">
        <f>IF(ISNUMBER(SEARCH("H", 'Dry_Litterbag Placem_Collection'!$U51)),"YES","NO")</f>
        <v>NO</v>
      </c>
      <c r="AE344" s="252" t="str">
        <f>IF(ISNUMBER(SEARCH("R", 'Dry_Litterbag Placem_Collection'!$U51)),"YES","NO")</f>
        <v>NO</v>
      </c>
    </row>
    <row r="345" spans="2:31">
      <c r="B345" t="str">
        <f>'Final data_for_R_analysis_Dryse'!A491</f>
        <v>Dry</v>
      </c>
      <c r="C345" s="260">
        <f>'Final data_for_R_analysis_Dryse'!B491</f>
        <v>50</v>
      </c>
      <c r="D345" t="s">
        <v>3808</v>
      </c>
      <c r="E345" t="s">
        <v>25</v>
      </c>
      <c r="F345" s="381">
        <v>2</v>
      </c>
      <c r="G345" s="383">
        <f>IF('Dry_Litterbag Placem_Collection'!E52="","",'Dry_Litterbag Placem_Collection'!E52)</f>
        <v>42938</v>
      </c>
      <c r="H345" s="92" t="str">
        <f>'Final data_for_R_analysis_Dryse'!K491</f>
        <v>G212</v>
      </c>
      <c r="I345" t="str">
        <f>'Final data_for_R_analysis_Dryse'!K711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32"/>
        <v>1.7072000000000001</v>
      </c>
      <c r="M345" s="237">
        <f>AVERAGE(Ashed_controlls!$K$1:$K$11)</f>
        <v>5.5147656768714146</v>
      </c>
      <c r="N345" s="194">
        <f>IFERROR(IF(K345&gt;0,(K345*$F$32-($F$29+$F$30)),""),"")</f>
        <v>1.9742000000000002</v>
      </c>
      <c r="O345" s="383" t="str">
        <f>IF('Dry_Litterbag Placem_Collection'!G52="","",'Dry_Litterbag Placem_Collection'!G52)</f>
        <v/>
      </c>
      <c r="P345" s="194" t="str">
        <f>IFERROR(INDEX('Both teabags AfterDry'!$D$3:$D$2000,MATCH(H345,'Both teabags AfterDry'!$A$3:$A$2000,0)),"")</f>
        <v/>
      </c>
      <c r="Q345" s="194" t="str">
        <f>IFERROR(INDEX('Both teabags AfterDry'!$D$3:$D$2000,MATCH(I345,'Both teabags AfterDry'!$A$3:$A$2000,0)),"")</f>
        <v/>
      </c>
      <c r="R345" s="194" t="str">
        <f t="shared" si="33"/>
        <v/>
      </c>
      <c r="S345" s="194" t="str">
        <f t="shared" si="33"/>
        <v/>
      </c>
      <c r="T345" s="194" t="str">
        <f t="shared" si="34"/>
        <v/>
      </c>
      <c r="U345" s="194" t="str">
        <f t="shared" si="35"/>
        <v/>
      </c>
      <c r="V345" s="194" t="str">
        <f t="shared" si="36"/>
        <v/>
      </c>
      <c r="W345" t="str">
        <f t="shared" si="37"/>
        <v/>
      </c>
      <c r="X345" s="194" t="str">
        <f t="shared" si="38"/>
        <v/>
      </c>
      <c r="Y345" s="194" t="str">
        <f t="shared" si="39"/>
        <v/>
      </c>
      <c r="Z345" s="252" t="str">
        <f>IF(ISNUMBER(SEARCH("C", 'Dry_Litterbag Placem_Collection'!$V52)),"YES","NO")</f>
        <v>NO</v>
      </c>
      <c r="AA345" s="252" t="str">
        <f>IF(ISNUMBER(SEARCH("H", 'Dry_Litterbag Placem_Collection'!$V52)),"YES","NO")</f>
        <v>NO</v>
      </c>
      <c r="AB345" s="252" t="str">
        <f>IF(ISNUMBER(SEARCH("R", 'Dry_Litterbag Placem_Collection'!$V52)),"YES","NO")</f>
        <v>NO</v>
      </c>
      <c r="AC345" s="252" t="str">
        <f>IF(ISNUMBER(SEARCH("C", 'Dry_Litterbag Placem_Collection'!$U52)),"YES","NO")</f>
        <v>NO</v>
      </c>
      <c r="AD345" s="252" t="str">
        <f>IF(ISNUMBER(SEARCH("H", 'Dry_Litterbag Placem_Collection'!$U52)),"YES","NO")</f>
        <v>NO</v>
      </c>
      <c r="AE345" s="252" t="str">
        <f>IF(ISNUMBER(SEARCH("R", 'Dry_Litterbag Placem_Collection'!$U52)),"YES","NO")</f>
        <v>NO</v>
      </c>
    </row>
    <row r="346" spans="2:31">
      <c r="B346" t="str">
        <f>'Final data_for_R_analysis_Dryse'!A492</f>
        <v>Dry</v>
      </c>
      <c r="C346" s="260">
        <f>'Final data_for_R_analysis_Dryse'!B492</f>
        <v>51</v>
      </c>
      <c r="D346" t="s">
        <v>3808</v>
      </c>
      <c r="E346" t="s">
        <v>25</v>
      </c>
      <c r="F346" s="381">
        <v>3</v>
      </c>
      <c r="G346" s="383">
        <f>IF('Dry_Litterbag Placem_Collection'!E53="","",'Dry_Litterbag Placem_Collection'!E53)</f>
        <v>42938</v>
      </c>
      <c r="H346" s="92" t="str">
        <f>'Final data_for_R_analysis_Dryse'!K492</f>
        <v>G598</v>
      </c>
      <c r="I346" t="str">
        <f>'Final data_for_R_analysis_Dryse'!K712</f>
        <v>R242</v>
      </c>
      <c r="J346">
        <f>IFERROR(INDEX('Green_rooibos initial weight'!$C$5:$C$2000,MATCH(H346, 'Green_rooibos initial weight'!$A$5:$A$2000,0)),"")</f>
        <v>2.1680000000000001</v>
      </c>
      <c r="K346">
        <f>IFERROR(INDEX('Green_rooibos initial weight'!$C$5:$C$2000,MATCH(I346, 'Green_rooibos initial weight'!$A$5:$A$2000,0)),"")</f>
        <v>2.194</v>
      </c>
      <c r="L346" s="194">
        <f t="shared" si="32"/>
        <v>1.9182000000000001</v>
      </c>
      <c r="M346" s="237">
        <f>AVERAGE(Ashed_controlls!$K$1:$K$11)</f>
        <v>5.5147656768714146</v>
      </c>
      <c r="N346" s="194">
        <f>IFERROR(IF(K346&gt;0,(K346*$F$32-($F$29+$F$30)),""),"")</f>
        <v>1.9441999999999999</v>
      </c>
      <c r="O346" s="383">
        <f>IF('Dry_Litterbag Placem_Collection'!G53="","",'Dry_Litterbag Placem_Collection'!G53)</f>
        <v>43005</v>
      </c>
      <c r="P346" s="194">
        <f>IFERROR(INDEX('Both teabags AfterDry'!$D$3:$D$2000,MATCH(H346,'Both teabags AfterDry'!$A$3:$A$2000,0)),"")</f>
        <v>1.9169</v>
      </c>
      <c r="Q346" s="194">
        <f>IFERROR(INDEX('Both teabags AfterDry'!$D$3:$D$2000,MATCH(I346,'Both teabags AfterDry'!$A$3:$A$2000,0)),"")</f>
        <v>1.9262999999999999</v>
      </c>
      <c r="R346" s="194">
        <f t="shared" si="33"/>
        <v>1.7663</v>
      </c>
      <c r="S346" s="194">
        <f t="shared" si="33"/>
        <v>1.7756999999999998</v>
      </c>
      <c r="T346" s="194">
        <f t="shared" si="34"/>
        <v>7.91888228547597E-2</v>
      </c>
      <c r="U346" s="194">
        <f t="shared" si="35"/>
        <v>5.1914762726635845E-2</v>
      </c>
      <c r="V346" s="194">
        <f t="shared" si="36"/>
        <v>0.913331961732332</v>
      </c>
      <c r="W346">
        <f t="shared" si="37"/>
        <v>67</v>
      </c>
      <c r="X346" s="194">
        <f t="shared" si="38"/>
        <v>0.90595151679957275</v>
      </c>
      <c r="Y346" s="194" t="str">
        <f t="shared" si="39"/>
        <v/>
      </c>
      <c r="Z346" s="252" t="str">
        <f>IF(ISNUMBER(SEARCH("C", 'Dry_Litterbag Placem_Collection'!$V53)),"YES","NO")</f>
        <v>NO</v>
      </c>
      <c r="AA346" s="252" t="str">
        <f>IF(ISNUMBER(SEARCH("H", 'Dry_Litterbag Placem_Collection'!$V53)),"YES","NO")</f>
        <v>NO</v>
      </c>
      <c r="AB346" s="252" t="str">
        <f>IF(ISNUMBER(SEARCH("R", 'Dry_Litterbag Placem_Collection'!$V53)),"YES","NO")</f>
        <v>NO</v>
      </c>
      <c r="AC346" s="252" t="str">
        <f>IF(ISNUMBER(SEARCH("C", 'Dry_Litterbag Placem_Collection'!$U53)),"YES","NO")</f>
        <v>NO</v>
      </c>
      <c r="AD346" s="252" t="str">
        <f>IF(ISNUMBER(SEARCH("H", 'Dry_Litterbag Placem_Collection'!$U53)),"YES","NO")</f>
        <v>NO</v>
      </c>
      <c r="AE346" s="252" t="str">
        <f>IF(ISNUMBER(SEARCH("R", 'Dry_Litterbag Placem_Collection'!$U53)),"YES","NO")</f>
        <v>NO</v>
      </c>
    </row>
    <row r="347" spans="2:31">
      <c r="B347" t="str">
        <f>'Final data_for_R_analysis_Dryse'!A493</f>
        <v>Dry</v>
      </c>
      <c r="C347" s="260">
        <f>'Final data_for_R_analysis_Dryse'!B493</f>
        <v>52</v>
      </c>
      <c r="D347" t="s">
        <v>3808</v>
      </c>
      <c r="E347" t="s">
        <v>25</v>
      </c>
      <c r="F347" s="382">
        <v>4</v>
      </c>
      <c r="G347" s="383">
        <f>IF('Dry_Litterbag Placem_Collection'!E54="","",'Dry_Litterbag Placem_Collection'!E54)</f>
        <v>42938</v>
      </c>
      <c r="H347" s="92" t="str">
        <f>'Final data_for_R_analysis_Dryse'!K493</f>
        <v>G848</v>
      </c>
      <c r="I347" t="str">
        <f>'Final data_for_R_analysis_Dryse'!K713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32"/>
        <v>1.7612000000000001</v>
      </c>
      <c r="M347" s="237">
        <f>AVERAGE(Ashed_controlls!$K$1:$K$11)</f>
        <v>5.5147656768714146</v>
      </c>
      <c r="N347" s="194">
        <f>IFERROR(IF(K347&gt;0,(K347*$F$32-($F$29+$F$30)),""),"")</f>
        <v>1.8742000000000001</v>
      </c>
      <c r="O347" s="383">
        <f>IF('Dry_Litterbag Placem_Collection'!G54="","",'Dry_Litterbag Placem_Collection'!G54)</f>
        <v>43005</v>
      </c>
      <c r="P347" s="194">
        <f>IFERROR(INDEX('Both teabags AfterDry'!$D$3:$D$2000,MATCH(H347,'Both teabags AfterDry'!$A$3:$A$2000,0)),"")</f>
        <v>1.8361000000000001</v>
      </c>
      <c r="Q347" s="194">
        <f>IFERROR(INDEX('Both teabags AfterDry'!$D$3:$D$2000,MATCH(I347,'Both teabags AfterDry'!$A$3:$A$2000,0)),"")</f>
        <v>1.9595</v>
      </c>
      <c r="R347" s="194">
        <f t="shared" si="33"/>
        <v>1.6855</v>
      </c>
      <c r="S347" s="194">
        <f t="shared" si="33"/>
        <v>1.8089</v>
      </c>
      <c r="T347" s="194">
        <f t="shared" si="34"/>
        <v>4.2982057687940056E-2</v>
      </c>
      <c r="U347" s="194">
        <f t="shared" si="35"/>
        <v>2.8178261097081832E-2</v>
      </c>
      <c r="V347" s="194">
        <f t="shared" si="36"/>
        <v>0.96515846761284807</v>
      </c>
      <c r="W347">
        <f t="shared" si="37"/>
        <v>67</v>
      </c>
      <c r="X347" s="194">
        <f t="shared" si="38"/>
        <v>0.9489524255487648</v>
      </c>
      <c r="Y347" s="194" t="str">
        <f t="shared" si="39"/>
        <v/>
      </c>
      <c r="Z347" s="252" t="str">
        <f>IF(ISNUMBER(SEARCH("C", 'Dry_Litterbag Placem_Collection'!$V54)),"YES","NO")</f>
        <v>NO</v>
      </c>
      <c r="AA347" s="252" t="str">
        <f>IF(ISNUMBER(SEARCH("H", 'Dry_Litterbag Placem_Collection'!$V54)),"YES","NO")</f>
        <v>NO</v>
      </c>
      <c r="AB347" s="252" t="str">
        <f>IF(ISNUMBER(SEARCH("R", 'Dry_Litterbag Placem_Collection'!$V54)),"YES","NO")</f>
        <v>NO</v>
      </c>
      <c r="AC347" s="252" t="str">
        <f>IF(ISNUMBER(SEARCH("C", 'Dry_Litterbag Placem_Collection'!$U54)),"YES","NO")</f>
        <v>NO</v>
      </c>
      <c r="AD347" s="252" t="str">
        <f>IF(ISNUMBER(SEARCH("H", 'Dry_Litterbag Placem_Collection'!$U54)),"YES","NO")</f>
        <v>NO</v>
      </c>
      <c r="AE347" s="252" t="str">
        <f>IF(ISNUMBER(SEARCH("R", 'Dry_Litterbag Placem_Collection'!$U54)),"YES","NO")</f>
        <v>NO</v>
      </c>
    </row>
    <row r="348" spans="2:31">
      <c r="B348" t="str">
        <f>'Final data_for_R_analysis_Dryse'!A494</f>
        <v>Dry</v>
      </c>
      <c r="C348" s="260">
        <f>'Final data_for_R_analysis_Dryse'!B494</f>
        <v>53</v>
      </c>
      <c r="D348" t="s">
        <v>3808</v>
      </c>
      <c r="E348" t="s">
        <v>25</v>
      </c>
      <c r="F348" s="382">
        <v>5</v>
      </c>
      <c r="G348" s="383">
        <f>IF('Dry_Litterbag Placem_Collection'!E55="","",'Dry_Litterbag Placem_Collection'!E55)</f>
        <v>42938</v>
      </c>
      <c r="H348" s="92" t="str">
        <f>'Final data_for_R_analysis_Dryse'!K494</f>
        <v>G759</v>
      </c>
      <c r="I348" t="str">
        <f>'Final data_for_R_analysis_Dryse'!K714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32"/>
        <v>1.8041999999999998</v>
      </c>
      <c r="M348" s="237">
        <f>AVERAGE(Ashed_controlls!$K$1:$K$11)</f>
        <v>5.5147656768714146</v>
      </c>
      <c r="N348" s="194">
        <f>IFERROR(IF(K348&gt;0,(K348*$F$32-($F$29+$F$30)),""),"")</f>
        <v>1.9432</v>
      </c>
      <c r="O348" s="383">
        <f>IF('Dry_Litterbag Placem_Collection'!G55="","",'Dry_Litterbag Placem_Collection'!G55)</f>
        <v>43005</v>
      </c>
      <c r="P348" s="194">
        <f>IFERROR(INDEX('Both teabags AfterDry'!$D$3:$D$2000,MATCH(H348,'Both teabags AfterDry'!$A$3:$A$2000,0)),"")</f>
        <v>1.8980999999999999</v>
      </c>
      <c r="Q348" s="194">
        <f>IFERROR(INDEX('Both teabags AfterDry'!$D$3:$D$2000,MATCH(I348,'Both teabags AfterDry'!$A$3:$A$2000,0)),"")</f>
        <v>1.9561999999999999</v>
      </c>
      <c r="R348" s="194">
        <f t="shared" si="33"/>
        <v>1.7474999999999998</v>
      </c>
      <c r="S348" s="194">
        <f t="shared" si="33"/>
        <v>1.8055999999999999</v>
      </c>
      <c r="T348" s="194">
        <f t="shared" si="34"/>
        <v>3.1426671100764914E-2</v>
      </c>
      <c r="U348" s="194">
        <f t="shared" si="35"/>
        <v>2.060275825133279E-2</v>
      </c>
      <c r="V348" s="194">
        <f t="shared" si="36"/>
        <v>0.92918896665294348</v>
      </c>
      <c r="W348">
        <f t="shared" si="37"/>
        <v>67</v>
      </c>
      <c r="X348" s="194">
        <f t="shared" si="38"/>
        <v>0.96267616258816524</v>
      </c>
      <c r="Y348" s="194" t="str">
        <f t="shared" si="39"/>
        <v/>
      </c>
      <c r="Z348" s="252" t="str">
        <f>IF(ISNUMBER(SEARCH("C", 'Dry_Litterbag Placem_Collection'!$V55)),"YES","NO")</f>
        <v>NO</v>
      </c>
      <c r="AA348" s="252" t="str">
        <f>IF(ISNUMBER(SEARCH("H", 'Dry_Litterbag Placem_Collection'!$V55)),"YES","NO")</f>
        <v>NO</v>
      </c>
      <c r="AB348" s="252" t="str">
        <f>IF(ISNUMBER(SEARCH("R", 'Dry_Litterbag Placem_Collection'!$V55)),"YES","NO")</f>
        <v>NO</v>
      </c>
      <c r="AC348" s="252" t="str">
        <f>IF(ISNUMBER(SEARCH("C", 'Dry_Litterbag Placem_Collection'!$U55)),"YES","NO")</f>
        <v>NO</v>
      </c>
      <c r="AD348" s="252" t="str">
        <f>IF(ISNUMBER(SEARCH("H", 'Dry_Litterbag Placem_Collection'!$U55)),"YES","NO")</f>
        <v>NO</v>
      </c>
      <c r="AE348" s="252" t="str">
        <f>IF(ISNUMBER(SEARCH("R", 'Dry_Litterbag Placem_Collection'!$U55)),"YES","NO")</f>
        <v>NO</v>
      </c>
    </row>
    <row r="349" spans="2:31">
      <c r="B349" t="str">
        <f>'Final data_for_R_analysis_Dryse'!A495</f>
        <v>Dry</v>
      </c>
      <c r="C349" s="260">
        <f>'Final data_for_R_analysis_Dryse'!B495</f>
        <v>54</v>
      </c>
      <c r="D349" t="s">
        <v>3808</v>
      </c>
      <c r="E349" t="s">
        <v>25</v>
      </c>
      <c r="F349" s="382">
        <v>6</v>
      </c>
      <c r="G349" s="383" t="str">
        <f>IF('Dry_Litterbag Placem_Collection'!E56="","",'Dry_Litterbag Placem_Collection'!E56)</f>
        <v/>
      </c>
      <c r="H349" s="92" t="str">
        <f>'Final data_for_R_analysis_Dryse'!K495</f>
        <v/>
      </c>
      <c r="I349" t="str">
        <f>'Final data_for_R_analysis_Dryse'!K715</f>
        <v/>
      </c>
      <c r="J349" t="str">
        <f>IFERROR(INDEX('Green_rooibos initial weight'!$C$5:$C$2000,MATCH(H349, 'Green_rooibos initial weight'!$A$5:$A$2000,0)),"")</f>
        <v/>
      </c>
      <c r="K349" t="str">
        <f>IFERROR(INDEX('Green_rooibos initial weight'!$C$5:$C$2000,MATCH(I349, 'Green_rooibos initial weight'!$A$5:$A$2000,0)),"")</f>
        <v/>
      </c>
      <c r="L349" s="194" t="str">
        <f t="shared" si="32"/>
        <v/>
      </c>
      <c r="M349" s="237">
        <f>AVERAGE(Ashed_controlls!$K$1:$K$11)</f>
        <v>5.5147656768714146</v>
      </c>
      <c r="N349" s="194" t="str">
        <f>IFERROR(IF(K349&gt;0,(K349*$F$32-($F$29+$F$30)),""),"")</f>
        <v/>
      </c>
      <c r="O349" s="383" t="str">
        <f>IF('Dry_Litterbag Placem_Collection'!G56="","",'Dry_Litterbag Placem_Collection'!G56)</f>
        <v/>
      </c>
      <c r="P349" s="194" t="str">
        <f>IFERROR(INDEX('Both teabags AfterDry'!$D$3:$D$2000,MATCH(H349,'Both teabags AfterDry'!$A$3:$A$2000,0)),"")</f>
        <v/>
      </c>
      <c r="Q349" s="194" t="str">
        <f>IFERROR(INDEX('Both teabags AfterDry'!$D$3:$D$2000,MATCH(I349,'Both teabags AfterDry'!$A$3:$A$2000,0)),"")</f>
        <v/>
      </c>
      <c r="R349" s="194" t="str">
        <f t="shared" si="33"/>
        <v/>
      </c>
      <c r="S349" s="194" t="str">
        <f t="shared" si="33"/>
        <v/>
      </c>
      <c r="T349" s="194" t="str">
        <f t="shared" si="34"/>
        <v/>
      </c>
      <c r="U349" s="194" t="str">
        <f t="shared" si="35"/>
        <v/>
      </c>
      <c r="V349" s="194" t="str">
        <f t="shared" si="36"/>
        <v/>
      </c>
      <c r="W349" t="str">
        <f t="shared" si="37"/>
        <v/>
      </c>
      <c r="X349" s="194" t="str">
        <f t="shared" si="38"/>
        <v/>
      </c>
      <c r="Y349" s="194" t="str">
        <f t="shared" si="39"/>
        <v/>
      </c>
      <c r="Z349" s="252" t="str">
        <f>IF(ISNUMBER(SEARCH("C", 'Dry_Litterbag Placem_Collection'!$V56)),"YES","NO")</f>
        <v>NO</v>
      </c>
      <c r="AA349" s="252" t="str">
        <f>IF(ISNUMBER(SEARCH("H", 'Dry_Litterbag Placem_Collection'!$V56)),"YES","NO")</f>
        <v>NO</v>
      </c>
      <c r="AB349" s="252" t="str">
        <f>IF(ISNUMBER(SEARCH("R", 'Dry_Litterbag Placem_Collection'!$V56)),"YES","NO")</f>
        <v>NO</v>
      </c>
      <c r="AC349" s="252" t="str">
        <f>IF(ISNUMBER(SEARCH("C", 'Dry_Litterbag Placem_Collection'!$U56)),"YES","NO")</f>
        <v>NO</v>
      </c>
      <c r="AD349" s="252" t="str">
        <f>IF(ISNUMBER(SEARCH("H", 'Dry_Litterbag Placem_Collection'!$U56)),"YES","NO")</f>
        <v>NO</v>
      </c>
      <c r="AE349" s="252" t="str">
        <f>IF(ISNUMBER(SEARCH("R", 'Dry_Litterbag Placem_Collection'!$U56)),"YES","NO")</f>
        <v>NO</v>
      </c>
    </row>
    <row r="350" spans="2:31">
      <c r="B350" t="str">
        <f>'Final data_for_R_analysis_Dryse'!A496</f>
        <v>Dry</v>
      </c>
      <c r="C350" s="260">
        <f>'Final data_for_R_analysis_Dryse'!B496</f>
        <v>55</v>
      </c>
      <c r="D350" t="s">
        <v>3808</v>
      </c>
      <c r="E350" t="s">
        <v>25</v>
      </c>
      <c r="F350" s="382">
        <v>7</v>
      </c>
      <c r="G350" s="383">
        <f>IF('Dry_Litterbag Placem_Collection'!E57="","",'Dry_Litterbag Placem_Collection'!E57)</f>
        <v>42938</v>
      </c>
      <c r="H350" s="92" t="str">
        <f>'Final data_for_R_analysis_Dryse'!K496</f>
        <v>G260</v>
      </c>
      <c r="I350" t="str">
        <f>'Final data_for_R_analysis_Dryse'!K716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32"/>
        <v>1.9062000000000001</v>
      </c>
      <c r="M350" s="237">
        <f>AVERAGE(Ashed_controlls!$K$1:$K$11)</f>
        <v>5.5147656768714146</v>
      </c>
      <c r="N350" s="194">
        <f>IFERROR(IF(K350&gt;0,(K350*$F$32-($F$29+$F$30)),""),"")</f>
        <v>1.9472</v>
      </c>
      <c r="O350" s="383">
        <f>IF('Dry_Litterbag Placem_Collection'!G57="","",'Dry_Litterbag Placem_Collection'!G57)</f>
        <v>43005</v>
      </c>
      <c r="P350" s="194">
        <f>IFERROR(INDEX('Both teabags AfterDry'!$D$3:$D$2000,MATCH(H350,'Both teabags AfterDry'!$A$3:$A$2000,0)),"")</f>
        <v>1.9074</v>
      </c>
      <c r="Q350" s="194">
        <f>IFERROR(INDEX('Both teabags AfterDry'!$D$3:$D$2000,MATCH(I350,'Both teabags AfterDry'!$A$3:$A$2000,0)),"")</f>
        <v>1.9886999999999999</v>
      </c>
      <c r="R350" s="194">
        <f t="shared" si="33"/>
        <v>1.7567999999999999</v>
      </c>
      <c r="S350" s="194">
        <f t="shared" si="33"/>
        <v>1.8380999999999998</v>
      </c>
      <c r="T350" s="194">
        <f t="shared" si="34"/>
        <v>7.8375826251180447E-2</v>
      </c>
      <c r="U350" s="194">
        <f t="shared" si="35"/>
        <v>5.1381776829752521E-2</v>
      </c>
      <c r="V350" s="194">
        <f t="shared" si="36"/>
        <v>0.94397082990961367</v>
      </c>
      <c r="W350">
        <f t="shared" si="37"/>
        <v>67</v>
      </c>
      <c r="X350" s="194">
        <f t="shared" si="38"/>
        <v>0.90691707096059326</v>
      </c>
      <c r="Y350" s="194" t="str">
        <f t="shared" si="39"/>
        <v/>
      </c>
      <c r="Z350" s="252" t="str">
        <f>IF(ISNUMBER(SEARCH("C", 'Dry_Litterbag Placem_Collection'!$V57)),"YES","NO")</f>
        <v>NO</v>
      </c>
      <c r="AA350" s="252" t="str">
        <f>IF(ISNUMBER(SEARCH("H", 'Dry_Litterbag Placem_Collection'!$V57)),"YES","NO")</f>
        <v>NO</v>
      </c>
      <c r="AB350" s="252" t="str">
        <f>IF(ISNUMBER(SEARCH("R", 'Dry_Litterbag Placem_Collection'!$V57)),"YES","NO")</f>
        <v>NO</v>
      </c>
      <c r="AC350" s="252" t="str">
        <f>IF(ISNUMBER(SEARCH("C", 'Dry_Litterbag Placem_Collection'!$U57)),"YES","NO")</f>
        <v>NO</v>
      </c>
      <c r="AD350" s="252" t="str">
        <f>IF(ISNUMBER(SEARCH("H", 'Dry_Litterbag Placem_Collection'!$U57)),"YES","NO")</f>
        <v>NO</v>
      </c>
      <c r="AE350" s="252" t="str">
        <f>IF(ISNUMBER(SEARCH("R", 'Dry_Litterbag Placem_Collection'!$U57)),"YES","NO")</f>
        <v>NO</v>
      </c>
    </row>
    <row r="351" spans="2:31">
      <c r="B351" t="str">
        <f>'Final data_for_R_analysis_Dryse'!A497</f>
        <v>Dry</v>
      </c>
      <c r="C351" s="260">
        <f>'Final data_for_R_analysis_Dryse'!B497</f>
        <v>56</v>
      </c>
      <c r="D351" t="s">
        <v>3808</v>
      </c>
      <c r="E351" t="s">
        <v>25</v>
      </c>
      <c r="F351" s="382">
        <v>8</v>
      </c>
      <c r="G351" s="383">
        <f>IF('Dry_Litterbag Placem_Collection'!E58="","",'Dry_Litterbag Placem_Collection'!E58)</f>
        <v>42938</v>
      </c>
      <c r="H351" s="92" t="str">
        <f>'Final data_for_R_analysis_Dryse'!K497</f>
        <v>G493</v>
      </c>
      <c r="I351" t="str">
        <f>'Final data_for_R_analysis_Dryse'!K717</f>
        <v>R227</v>
      </c>
      <c r="J351">
        <f>IFERROR(INDEX('Green_rooibos initial weight'!$C$5:$C$2000,MATCH(H351, 'Green_rooibos initial weight'!$A$5:$A$2000,0)),"")</f>
        <v>2.0510000000000002</v>
      </c>
      <c r="K351">
        <f>IFERROR(INDEX('Green_rooibos initial weight'!$C$5:$C$2000,MATCH(I351, 'Green_rooibos initial weight'!$A$5:$A$2000,0)),"")</f>
        <v>2.254</v>
      </c>
      <c r="L351" s="194">
        <f t="shared" si="32"/>
        <v>1.8012000000000001</v>
      </c>
      <c r="M351" s="237">
        <f>AVERAGE(Ashed_controlls!$K$1:$K$11)</f>
        <v>5.5147656768714146</v>
      </c>
      <c r="N351" s="194">
        <f>IFERROR(IF(K351&gt;0,(K351*$F$32-($F$29+$F$30)),""),"")</f>
        <v>2.0042</v>
      </c>
      <c r="O351" s="383">
        <f>IF('Dry_Litterbag Placem_Collection'!G58="","",'Dry_Litterbag Placem_Collection'!G58)</f>
        <v>43005</v>
      </c>
      <c r="P351" s="194">
        <f>IFERROR(INDEX('Both teabags AfterDry'!$D$3:$D$2000,MATCH(H351,'Both teabags AfterDry'!$A$3:$A$2000,0)),"")</f>
        <v>1.8869</v>
      </c>
      <c r="Q351" s="194">
        <f>IFERROR(INDEX('Both teabags AfterDry'!$D$3:$D$2000,MATCH(I351,'Both teabags AfterDry'!$A$3:$A$2000,0)),"")</f>
        <v>2.0263</v>
      </c>
      <c r="R351" s="194">
        <f t="shared" si="33"/>
        <v>1.7363</v>
      </c>
      <c r="S351" s="194">
        <f t="shared" si="33"/>
        <v>1.8756999999999999</v>
      </c>
      <c r="T351" s="194">
        <f t="shared" si="34"/>
        <v>3.6031534532533938E-2</v>
      </c>
      <c r="U351" s="194">
        <f t="shared" si="35"/>
        <v>2.3621623589024629E-2</v>
      </c>
      <c r="V351" s="194">
        <f t="shared" si="36"/>
        <v>0.93588464225127233</v>
      </c>
      <c r="W351">
        <f t="shared" si="37"/>
        <v>67</v>
      </c>
      <c r="X351" s="194">
        <f t="shared" si="38"/>
        <v>0.95720720364307132</v>
      </c>
      <c r="Y351" s="194" t="str">
        <f t="shared" si="39"/>
        <v/>
      </c>
      <c r="Z351" s="252" t="str">
        <f>IF(ISNUMBER(SEARCH("C", 'Dry_Litterbag Placem_Collection'!$V58)),"YES","NO")</f>
        <v>NO</v>
      </c>
      <c r="AA351" s="252" t="str">
        <f>IF(ISNUMBER(SEARCH("H", 'Dry_Litterbag Placem_Collection'!$V58)),"YES","NO")</f>
        <v>NO</v>
      </c>
      <c r="AB351" s="252" t="str">
        <f>IF(ISNUMBER(SEARCH("R", 'Dry_Litterbag Placem_Collection'!$V58)),"YES","NO")</f>
        <v>NO</v>
      </c>
      <c r="AC351" s="252" t="str">
        <f>IF(ISNUMBER(SEARCH("C", 'Dry_Litterbag Placem_Collection'!$U58)),"YES","NO")</f>
        <v>NO</v>
      </c>
      <c r="AD351" s="252" t="str">
        <f>IF(ISNUMBER(SEARCH("H", 'Dry_Litterbag Placem_Collection'!$U58)),"YES","NO")</f>
        <v>NO</v>
      </c>
      <c r="AE351" s="252" t="str">
        <f>IF(ISNUMBER(SEARCH("R", 'Dry_Litterbag Placem_Collection'!$U58)),"YES","NO")</f>
        <v>NO</v>
      </c>
    </row>
    <row r="352" spans="2:31">
      <c r="B352" t="str">
        <f>'Final data_for_R_analysis_Dryse'!A498</f>
        <v>Dry</v>
      </c>
      <c r="C352" s="260">
        <f>'Final data_for_R_analysis_Dryse'!B498</f>
        <v>57</v>
      </c>
      <c r="D352" t="s">
        <v>3809</v>
      </c>
      <c r="E352" t="s">
        <v>25</v>
      </c>
      <c r="F352" s="381">
        <v>1</v>
      </c>
      <c r="G352" s="383">
        <f>IF('Dry_Litterbag Placem_Collection'!E59="","",'Dry_Litterbag Placem_Collection'!E59)</f>
        <v>42938</v>
      </c>
      <c r="H352" s="92" t="str">
        <f>'Final data_for_R_analysis_Dryse'!K498</f>
        <v>G342</v>
      </c>
      <c r="I352" t="str">
        <f>'Final data_for_R_analysis_Dryse'!K718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32"/>
        <v>1.6541999999999999</v>
      </c>
      <c r="M352" s="237">
        <f>AVERAGE(Ashed_controlls!$K$1:$K$11)</f>
        <v>5.5147656768714146</v>
      </c>
      <c r="N352" s="194">
        <f>IFERROR(IF(K352&gt;0,(K352*$F$32-($F$29+$F$30)),""),"")</f>
        <v>1.9971999999999999</v>
      </c>
      <c r="O352" s="383">
        <f>IF('Dry_Litterbag Placem_Collection'!G59="","",'Dry_Litterbag Placem_Collection'!G59)</f>
        <v>43005</v>
      </c>
      <c r="P352" s="194">
        <f>IFERROR(INDEX('Both teabags AfterDry'!$D$3:$D$2000,MATCH(H352,'Both teabags AfterDry'!$A$3:$A$2000,0)),"")</f>
        <v>1.7556</v>
      </c>
      <c r="Q352" s="194">
        <f>IFERROR(INDEX('Both teabags AfterDry'!$D$3:$D$2000,MATCH(I352,'Both teabags AfterDry'!$A$3:$A$2000,0)),"")</f>
        <v>2.0192999999999999</v>
      </c>
      <c r="R352" s="194">
        <f t="shared" si="33"/>
        <v>1.605</v>
      </c>
      <c r="S352" s="194">
        <f t="shared" si="33"/>
        <v>1.8686999999999998</v>
      </c>
      <c r="T352" s="194">
        <f t="shared" si="34"/>
        <v>2.9742473703300631E-2</v>
      </c>
      <c r="U352" s="194">
        <f t="shared" si="35"/>
        <v>1.949862884111872E-2</v>
      </c>
      <c r="V352" s="194">
        <f t="shared" si="36"/>
        <v>0.93565992389345076</v>
      </c>
      <c r="W352">
        <f t="shared" si="37"/>
        <v>67</v>
      </c>
      <c r="X352" s="194">
        <f t="shared" si="38"/>
        <v>0.96467639702695884</v>
      </c>
      <c r="Y352" s="194" t="str">
        <f t="shared" si="39"/>
        <v/>
      </c>
      <c r="Z352" s="252" t="str">
        <f>IF(ISNUMBER(SEARCH("C", 'Dry_Litterbag Placem_Collection'!$V59)),"YES","NO")</f>
        <v>NO</v>
      </c>
      <c r="AA352" s="252" t="str">
        <f>IF(ISNUMBER(SEARCH("H", 'Dry_Litterbag Placem_Collection'!$V59)),"YES","NO")</f>
        <v>NO</v>
      </c>
      <c r="AB352" s="252" t="str">
        <f>IF(ISNUMBER(SEARCH("R", 'Dry_Litterbag Placem_Collection'!$V59)),"YES","NO")</f>
        <v>NO</v>
      </c>
      <c r="AC352" s="252" t="str">
        <f>IF(ISNUMBER(SEARCH("C", 'Dry_Litterbag Placem_Collection'!$U59)),"YES","NO")</f>
        <v>NO</v>
      </c>
      <c r="AD352" s="252" t="str">
        <f>IF(ISNUMBER(SEARCH("H", 'Dry_Litterbag Placem_Collection'!$U59)),"YES","NO")</f>
        <v>NO</v>
      </c>
      <c r="AE352" s="252" t="str">
        <f>IF(ISNUMBER(SEARCH("R", 'Dry_Litterbag Placem_Collection'!$U59)),"YES","NO")</f>
        <v>NO</v>
      </c>
    </row>
    <row r="353" spans="2:31">
      <c r="B353" t="str">
        <f>'Final data_for_R_analysis_Dryse'!A499</f>
        <v>Dry</v>
      </c>
      <c r="C353" s="260">
        <f>'Final data_for_R_analysis_Dryse'!B499</f>
        <v>58</v>
      </c>
      <c r="D353" t="s">
        <v>3809</v>
      </c>
      <c r="E353" t="s">
        <v>25</v>
      </c>
      <c r="F353" s="381">
        <v>2</v>
      </c>
      <c r="G353" s="383">
        <f>IF('Dry_Litterbag Placem_Collection'!E60="","",'Dry_Litterbag Placem_Collection'!E60)</f>
        <v>42938</v>
      </c>
      <c r="H353" s="92" t="str">
        <f>'Final data_for_R_analysis_Dryse'!K499</f>
        <v>G735</v>
      </c>
      <c r="I353" t="str">
        <f>'Final data_for_R_analysis_Dryse'!K719</f>
        <v>R689</v>
      </c>
      <c r="J353">
        <f>IFERROR(INDEX('Green_rooibos initial weight'!$C$5:$C$2000,MATCH(H353, 'Green_rooibos initial weight'!$A$5:$A$2000,0)),"")</f>
        <v>2.0950000000000002</v>
      </c>
      <c r="K353">
        <f>IFERROR(INDEX('Green_rooibos initial weight'!$C$5:$C$2000,MATCH(I353, 'Green_rooibos initial weight'!$A$5:$A$2000,0)),"")</f>
        <v>2.11</v>
      </c>
      <c r="L353" s="194">
        <f t="shared" si="32"/>
        <v>1.8452000000000002</v>
      </c>
      <c r="M353" s="237">
        <f>AVERAGE(Ashed_controlls!$K$1:$K$11)</f>
        <v>5.5147656768714146</v>
      </c>
      <c r="N353" s="194">
        <f>IFERROR(IF(K353&gt;0,(K353*$F$32-($F$29+$F$30)),""),"")</f>
        <v>1.8601999999999999</v>
      </c>
      <c r="O353" s="383">
        <f>IF('Dry_Litterbag Placem_Collection'!G60="","",'Dry_Litterbag Placem_Collection'!G60)</f>
        <v>43005</v>
      </c>
      <c r="P353" s="194">
        <f>IFERROR(INDEX('Both teabags AfterDry'!$D$3:$D$2000,MATCH(H353,'Both teabags AfterDry'!$A$3:$A$2000,0)),"")</f>
        <v>1.9036</v>
      </c>
      <c r="Q353" s="194">
        <f>IFERROR(INDEX('Both teabags AfterDry'!$D$3:$D$2000,MATCH(I353,'Both teabags AfterDry'!$A$3:$A$2000,0)),"")</f>
        <v>1.9226000000000001</v>
      </c>
      <c r="R353" s="194">
        <f t="shared" si="33"/>
        <v>1.7529999999999999</v>
      </c>
      <c r="S353" s="194">
        <f t="shared" si="33"/>
        <v>1.772</v>
      </c>
      <c r="T353" s="194">
        <f t="shared" si="34"/>
        <v>4.9967483199653273E-2</v>
      </c>
      <c r="U353" s="194">
        <f t="shared" si="35"/>
        <v>3.2757779959867707E-2</v>
      </c>
      <c r="V353" s="194">
        <f t="shared" si="36"/>
        <v>0.95258574346844438</v>
      </c>
      <c r="W353">
        <f t="shared" si="37"/>
        <v>67</v>
      </c>
      <c r="X353" s="194">
        <f t="shared" si="38"/>
        <v>0.94065619572487735</v>
      </c>
      <c r="Y353" s="194" t="str">
        <f t="shared" si="39"/>
        <v/>
      </c>
      <c r="Z353" s="252" t="str">
        <f>IF(ISNUMBER(SEARCH("C", 'Dry_Litterbag Placem_Collection'!$V60)),"YES","NO")</f>
        <v>NO</v>
      </c>
      <c r="AA353" s="252" t="str">
        <f>IF(ISNUMBER(SEARCH("H", 'Dry_Litterbag Placem_Collection'!$V60)),"YES","NO")</f>
        <v>NO</v>
      </c>
      <c r="AB353" s="252" t="str">
        <f>IF(ISNUMBER(SEARCH("R", 'Dry_Litterbag Placem_Collection'!$V60)),"YES","NO")</f>
        <v>NO</v>
      </c>
      <c r="AC353" s="252" t="str">
        <f>IF(ISNUMBER(SEARCH("C", 'Dry_Litterbag Placem_Collection'!$U60)),"YES","NO")</f>
        <v>NO</v>
      </c>
      <c r="AD353" s="252" t="str">
        <f>IF(ISNUMBER(SEARCH("H", 'Dry_Litterbag Placem_Collection'!$U60)),"YES","NO")</f>
        <v>NO</v>
      </c>
      <c r="AE353" s="252" t="str">
        <f>IF(ISNUMBER(SEARCH("R", 'Dry_Litterbag Placem_Collection'!$U60)),"YES","NO")</f>
        <v>NO</v>
      </c>
    </row>
    <row r="354" spans="2:31">
      <c r="B354" t="str">
        <f>'Final data_for_R_analysis_Dryse'!A500</f>
        <v>Dry</v>
      </c>
      <c r="C354" s="260">
        <f>'Final data_for_R_analysis_Dryse'!B500</f>
        <v>59</v>
      </c>
      <c r="D354" t="s">
        <v>3809</v>
      </c>
      <c r="E354" t="s">
        <v>25</v>
      </c>
      <c r="F354" s="381">
        <v>3</v>
      </c>
      <c r="G354" s="383">
        <f>IF('Dry_Litterbag Placem_Collection'!E61="","",'Dry_Litterbag Placem_Collection'!E61)</f>
        <v>42938</v>
      </c>
      <c r="H354" s="92" t="str">
        <f>'Final data_for_R_analysis_Dryse'!K500</f>
        <v>G558</v>
      </c>
      <c r="I354" t="str">
        <f>'Final data_for_R_analysis_Dryse'!K720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32"/>
        <v>1.9291999999999998</v>
      </c>
      <c r="M354" s="237">
        <f>AVERAGE(Ashed_controlls!$K$1:$K$11)</f>
        <v>5.5147656768714146</v>
      </c>
      <c r="N354" s="194">
        <f>IFERROR(IF(K354&gt;0,(K354*$F$32-($F$29+$F$30)),""),"")</f>
        <v>1.8732000000000002</v>
      </c>
      <c r="O354" s="383">
        <f>IF('Dry_Litterbag Placem_Collection'!G61="","",'Dry_Litterbag Placem_Collection'!G61)</f>
        <v>43005</v>
      </c>
      <c r="P354" s="194">
        <f>IFERROR(INDEX('Both teabags AfterDry'!$D$3:$D$2000,MATCH(H354,'Both teabags AfterDry'!$A$3:$A$2000,0)),"")</f>
        <v>1.9415</v>
      </c>
      <c r="Q354" s="194">
        <f>IFERROR(INDEX('Both teabags AfterDry'!$D$3:$D$2000,MATCH(I354,'Both teabags AfterDry'!$A$3:$A$2000,0)),"")</f>
        <v>1.8747</v>
      </c>
      <c r="R354" s="194">
        <f t="shared" si="33"/>
        <v>1.7908999999999999</v>
      </c>
      <c r="S354" s="194">
        <f t="shared" si="33"/>
        <v>1.7241</v>
      </c>
      <c r="T354" s="194">
        <f t="shared" si="34"/>
        <v>7.1687746216048009E-2</v>
      </c>
      <c r="U354" s="194">
        <f t="shared" si="35"/>
        <v>4.6997192293656155E-2</v>
      </c>
      <c r="V354" s="194">
        <f t="shared" si="36"/>
        <v>0.92040358744394613</v>
      </c>
      <c r="W354">
        <f t="shared" si="37"/>
        <v>67</v>
      </c>
      <c r="X354" s="194">
        <f t="shared" si="38"/>
        <v>0.91486015888830408</v>
      </c>
      <c r="Y354" s="194" t="str">
        <f t="shared" si="39"/>
        <v/>
      </c>
      <c r="Z354" s="252" t="str">
        <f>IF(ISNUMBER(SEARCH("C", 'Dry_Litterbag Placem_Collection'!$V61)),"YES","NO")</f>
        <v>NO</v>
      </c>
      <c r="AA354" s="252" t="str">
        <f>IF(ISNUMBER(SEARCH("H", 'Dry_Litterbag Placem_Collection'!$V61)),"YES","NO")</f>
        <v>NO</v>
      </c>
      <c r="AB354" s="252" t="str">
        <f>IF(ISNUMBER(SEARCH("R", 'Dry_Litterbag Placem_Collection'!$V61)),"YES","NO")</f>
        <v>NO</v>
      </c>
      <c r="AC354" s="252" t="str">
        <f>IF(ISNUMBER(SEARCH("C", 'Dry_Litterbag Placem_Collection'!$U61)),"YES","NO")</f>
        <v>NO</v>
      </c>
      <c r="AD354" s="252" t="str">
        <f>IF(ISNUMBER(SEARCH("H", 'Dry_Litterbag Placem_Collection'!$U61)),"YES","NO")</f>
        <v>NO</v>
      </c>
      <c r="AE354" s="252" t="str">
        <f>IF(ISNUMBER(SEARCH("R", 'Dry_Litterbag Placem_Collection'!$U61)),"YES","NO")</f>
        <v>NO</v>
      </c>
    </row>
    <row r="355" spans="2:31">
      <c r="B355" t="str">
        <f>'Final data_for_R_analysis_Dryse'!A501</f>
        <v>Dry</v>
      </c>
      <c r="C355" s="260">
        <f>'Final data_for_R_analysis_Dryse'!B501</f>
        <v>60</v>
      </c>
      <c r="D355" t="s">
        <v>3809</v>
      </c>
      <c r="E355" t="s">
        <v>25</v>
      </c>
      <c r="F355" s="382">
        <v>4</v>
      </c>
      <c r="G355" s="383">
        <f>IF('Dry_Litterbag Placem_Collection'!E62="","",'Dry_Litterbag Placem_Collection'!E62)</f>
        <v>42938</v>
      </c>
      <c r="H355" s="92" t="str">
        <f>'Final data_for_R_analysis_Dryse'!K501</f>
        <v>G751</v>
      </c>
      <c r="I355" t="str">
        <f>'Final data_for_R_analysis_Dryse'!K721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32"/>
        <v>1.8252000000000002</v>
      </c>
      <c r="M355" s="237">
        <f>AVERAGE(Ashed_controlls!$K$1:$K$11)</f>
        <v>5.5147656768714146</v>
      </c>
      <c r="N355" s="194">
        <f>IFERROR(IF(K355&gt;0,(K355*$F$32-($F$29+$F$30)),""),"")</f>
        <v>1.9302000000000001</v>
      </c>
      <c r="O355" s="383">
        <f>IF('Dry_Litterbag Placem_Collection'!G62="","",'Dry_Litterbag Placem_Collection'!G62)</f>
        <v>43005</v>
      </c>
      <c r="P355" s="194" t="str">
        <f>IFERROR(INDEX('Both teabags AfterDry'!$D$3:$D$2000,MATCH(H355,'Both teabags AfterDry'!$A$3:$A$2000,0)),"")</f>
        <v/>
      </c>
      <c r="Q355" s="194">
        <f>IFERROR(INDEX('Both teabags AfterDry'!$D$3:$D$2000,MATCH(I355,'Both teabags AfterDry'!$A$3:$A$2000,0)),"")</f>
        <v>1.9569000000000001</v>
      </c>
      <c r="R355" s="194" t="str">
        <f t="shared" si="33"/>
        <v/>
      </c>
      <c r="S355" s="194">
        <f t="shared" si="33"/>
        <v>1.8063</v>
      </c>
      <c r="T355" s="194" t="str">
        <f t="shared" si="34"/>
        <v/>
      </c>
      <c r="U355" s="194" t="str">
        <f t="shared" si="35"/>
        <v/>
      </c>
      <c r="V355" s="194">
        <f t="shared" si="36"/>
        <v>0.93580976064656507</v>
      </c>
      <c r="W355">
        <f t="shared" si="37"/>
        <v>67</v>
      </c>
      <c r="X355" s="194" t="str">
        <f t="shared" si="38"/>
        <v/>
      </c>
      <c r="Y355" s="194" t="str">
        <f t="shared" si="39"/>
        <v/>
      </c>
      <c r="Z355" s="252" t="str">
        <f>IF(ISNUMBER(SEARCH("C", 'Dry_Litterbag Placem_Collection'!$V62)),"YES","NO")</f>
        <v>NO</v>
      </c>
      <c r="AA355" s="252" t="str">
        <f>IF(ISNUMBER(SEARCH("H", 'Dry_Litterbag Placem_Collection'!$V62)),"YES","NO")</f>
        <v>NO</v>
      </c>
      <c r="AB355" s="252" t="str">
        <f>IF(ISNUMBER(SEARCH("R", 'Dry_Litterbag Placem_Collection'!$V62)),"YES","NO")</f>
        <v>NO</v>
      </c>
      <c r="AC355" s="252" t="str">
        <f>IF(ISNUMBER(SEARCH("C", 'Dry_Litterbag Placem_Collection'!$U62)),"YES","NO")</f>
        <v>NO</v>
      </c>
      <c r="AD355" s="252" t="str">
        <f>IF(ISNUMBER(SEARCH("H", 'Dry_Litterbag Placem_Collection'!$U62)),"YES","NO")</f>
        <v>NO</v>
      </c>
      <c r="AE355" s="252" t="str">
        <f>IF(ISNUMBER(SEARCH("R", 'Dry_Litterbag Placem_Collection'!$U62)),"YES","NO")</f>
        <v>NO</v>
      </c>
    </row>
    <row r="356" spans="2:31">
      <c r="B356" t="str">
        <f>'Final data_for_R_analysis_Dryse'!A502</f>
        <v>Dry</v>
      </c>
      <c r="C356" s="260">
        <f>'Final data_for_R_analysis_Dryse'!B502</f>
        <v>61</v>
      </c>
      <c r="D356" t="s">
        <v>3809</v>
      </c>
      <c r="E356" t="s">
        <v>25</v>
      </c>
      <c r="F356" s="382">
        <v>5</v>
      </c>
      <c r="G356" s="383">
        <f>IF('Dry_Litterbag Placem_Collection'!E63="","",'Dry_Litterbag Placem_Collection'!E63)</f>
        <v>42938</v>
      </c>
      <c r="H356" s="92" t="str">
        <f>'Final data_for_R_analysis_Dryse'!K502</f>
        <v>G748</v>
      </c>
      <c r="I356" t="str">
        <f>'Final data_for_R_analysis_Dryse'!K722</f>
        <v>R200</v>
      </c>
      <c r="J356">
        <f>IFERROR(INDEX('Green_rooibos initial weight'!$C$5:$C$2000,MATCH(H356, 'Green_rooibos initial weight'!$A$5:$A$2000,0)),"")</f>
        <v>2.081</v>
      </c>
      <c r="K356">
        <f>IFERROR(INDEX('Green_rooibos initial weight'!$C$5:$C$2000,MATCH(I356, 'Green_rooibos initial weight'!$A$5:$A$2000,0)),"")</f>
        <v>2.242</v>
      </c>
      <c r="L356" s="194">
        <f t="shared" si="32"/>
        <v>1.8311999999999999</v>
      </c>
      <c r="M356" s="237">
        <f>AVERAGE(Ashed_controlls!$K$1:$K$11)</f>
        <v>5.5147656768714146</v>
      </c>
      <c r="N356" s="194">
        <f>IFERROR(IF(K356&gt;0,(K356*$F$32-($F$29+$F$30)),""),"")</f>
        <v>1.9922</v>
      </c>
      <c r="O356" s="383">
        <f>IF('Dry_Litterbag Placem_Collection'!G63="","",'Dry_Litterbag Placem_Collection'!G63)</f>
        <v>43005</v>
      </c>
      <c r="P356" s="194" t="str">
        <f>IFERROR(INDEX('Both teabags AfterDry'!$D$3:$D$2000,MATCH(H356,'Both teabags AfterDry'!$A$3:$A$2000,0)),"")</f>
        <v/>
      </c>
      <c r="Q356" s="194" t="str">
        <f>IFERROR(INDEX('Both teabags AfterDry'!$D$3:$D$2000,MATCH(I356,'Both teabags AfterDry'!$A$3:$A$2000,0)),"")</f>
        <v/>
      </c>
      <c r="R356" s="194" t="str">
        <f t="shared" si="33"/>
        <v/>
      </c>
      <c r="S356" s="194" t="str">
        <f t="shared" si="33"/>
        <v/>
      </c>
      <c r="T356" s="194" t="str">
        <f t="shared" si="34"/>
        <v/>
      </c>
      <c r="U356" s="194" t="str">
        <f t="shared" si="35"/>
        <v/>
      </c>
      <c r="V356" s="194" t="str">
        <f t="shared" si="36"/>
        <v/>
      </c>
      <c r="W356">
        <f t="shared" si="37"/>
        <v>67</v>
      </c>
      <c r="X356" s="194" t="str">
        <f t="shared" si="38"/>
        <v/>
      </c>
      <c r="Y356" s="194" t="str">
        <f t="shared" si="39"/>
        <v/>
      </c>
      <c r="Z356" s="252" t="str">
        <f>IF(ISNUMBER(SEARCH("C", 'Dry_Litterbag Placem_Collection'!$V63)),"YES","NO")</f>
        <v>NO</v>
      </c>
      <c r="AA356" s="252" t="str">
        <f>IF(ISNUMBER(SEARCH("H", 'Dry_Litterbag Placem_Collection'!$V63)),"YES","NO")</f>
        <v>NO</v>
      </c>
      <c r="AB356" s="252" t="str">
        <f>IF(ISNUMBER(SEARCH("R", 'Dry_Litterbag Placem_Collection'!$V63)),"YES","NO")</f>
        <v>NO</v>
      </c>
      <c r="AC356" s="252" t="str">
        <f>IF(ISNUMBER(SEARCH("C", 'Dry_Litterbag Placem_Collection'!$U63)),"YES","NO")</f>
        <v>NO</v>
      </c>
      <c r="AD356" s="252" t="str">
        <f>IF(ISNUMBER(SEARCH("H", 'Dry_Litterbag Placem_Collection'!$U63)),"YES","NO")</f>
        <v>NO</v>
      </c>
      <c r="AE356" s="252" t="str">
        <f>IF(ISNUMBER(SEARCH("R", 'Dry_Litterbag Placem_Collection'!$U63)),"YES","NO")</f>
        <v>NO</v>
      </c>
    </row>
    <row r="357" spans="2:31">
      <c r="B357" t="str">
        <f>'Final data_for_R_analysis_Dryse'!A503</f>
        <v>Dry</v>
      </c>
      <c r="C357" s="260">
        <f>'Final data_for_R_analysis_Dryse'!B503</f>
        <v>62</v>
      </c>
      <c r="D357" t="s">
        <v>3809</v>
      </c>
      <c r="E357" t="s">
        <v>25</v>
      </c>
      <c r="F357" s="382">
        <v>6</v>
      </c>
      <c r="G357" s="383" t="str">
        <f>IF('Dry_Litterbag Placem_Collection'!E64="","",'Dry_Litterbag Placem_Collection'!E64)</f>
        <v/>
      </c>
      <c r="H357" s="92" t="str">
        <f>'Final data_for_R_analysis_Dryse'!K503</f>
        <v/>
      </c>
      <c r="I357" t="str">
        <f>'Final data_for_R_analysis_Dryse'!K723</f>
        <v/>
      </c>
      <c r="J357" t="str">
        <f>IFERROR(INDEX('Green_rooibos initial weight'!$C$5:$C$2000,MATCH(H357, 'Green_rooibos initial weight'!$A$5:$A$2000,0)),"")</f>
        <v/>
      </c>
      <c r="K357" t="str">
        <f>IFERROR(INDEX('Green_rooibos initial weight'!$C$5:$C$2000,MATCH(I357, 'Green_rooibos initial weight'!$A$5:$A$2000,0)),"")</f>
        <v/>
      </c>
      <c r="L357" s="194" t="str">
        <f t="shared" si="32"/>
        <v/>
      </c>
      <c r="M357" s="237">
        <f>AVERAGE(Ashed_controlls!$K$1:$K$11)</f>
        <v>5.5147656768714146</v>
      </c>
      <c r="N357" s="194" t="str">
        <f>IFERROR(IF(K357&gt;0,(K357*$F$32-($F$29+$F$30)),""),"")</f>
        <v/>
      </c>
      <c r="O357" s="383" t="str">
        <f>IF('Dry_Litterbag Placem_Collection'!G64="","",'Dry_Litterbag Placem_Collection'!G64)</f>
        <v/>
      </c>
      <c r="P357" s="194" t="str">
        <f>IFERROR(INDEX('Both teabags AfterDry'!$D$3:$D$2000,MATCH(H357,'Both teabags AfterDry'!$A$3:$A$2000,0)),"")</f>
        <v/>
      </c>
      <c r="Q357" s="194" t="str">
        <f>IFERROR(INDEX('Both teabags AfterDry'!$D$3:$D$2000,MATCH(I357,'Both teabags AfterDry'!$A$3:$A$2000,0)),"")</f>
        <v/>
      </c>
      <c r="R357" s="194" t="str">
        <f t="shared" si="33"/>
        <v/>
      </c>
      <c r="S357" s="194" t="str">
        <f t="shared" si="33"/>
        <v/>
      </c>
      <c r="T357" s="194" t="str">
        <f t="shared" si="34"/>
        <v/>
      </c>
      <c r="U357" s="194" t="str">
        <f t="shared" si="35"/>
        <v/>
      </c>
      <c r="V357" s="194" t="str">
        <f t="shared" si="36"/>
        <v/>
      </c>
      <c r="W357" t="str">
        <f t="shared" si="37"/>
        <v/>
      </c>
      <c r="X357" s="194" t="str">
        <f t="shared" si="38"/>
        <v/>
      </c>
      <c r="Y357" s="194" t="str">
        <f t="shared" si="39"/>
        <v/>
      </c>
      <c r="Z357" s="252" t="str">
        <f>IF(ISNUMBER(SEARCH("C", 'Dry_Litterbag Placem_Collection'!$V64)),"YES","NO")</f>
        <v>NO</v>
      </c>
      <c r="AA357" s="252" t="str">
        <f>IF(ISNUMBER(SEARCH("H", 'Dry_Litterbag Placem_Collection'!$V64)),"YES","NO")</f>
        <v>NO</v>
      </c>
      <c r="AB357" s="252" t="str">
        <f>IF(ISNUMBER(SEARCH("R", 'Dry_Litterbag Placem_Collection'!$V64)),"YES","NO")</f>
        <v>NO</v>
      </c>
      <c r="AC357" s="252" t="str">
        <f>IF(ISNUMBER(SEARCH("C", 'Dry_Litterbag Placem_Collection'!$U64)),"YES","NO")</f>
        <v>NO</v>
      </c>
      <c r="AD357" s="252" t="str">
        <f>IF(ISNUMBER(SEARCH("H", 'Dry_Litterbag Placem_Collection'!$U64)),"YES","NO")</f>
        <v>NO</v>
      </c>
      <c r="AE357" s="252" t="str">
        <f>IF(ISNUMBER(SEARCH("R", 'Dry_Litterbag Placem_Collection'!$U64)),"YES","NO")</f>
        <v>NO</v>
      </c>
    </row>
    <row r="358" spans="2:31">
      <c r="B358" t="str">
        <f>'Final data_for_R_analysis_Dryse'!A504</f>
        <v>Dry</v>
      </c>
      <c r="C358" s="260">
        <f>'Final data_for_R_analysis_Dryse'!B504</f>
        <v>63</v>
      </c>
      <c r="D358" t="s">
        <v>3809</v>
      </c>
      <c r="E358" t="s">
        <v>25</v>
      </c>
      <c r="F358" s="382">
        <v>7</v>
      </c>
      <c r="G358" s="383">
        <f>IF('Dry_Litterbag Placem_Collection'!E65="","",'Dry_Litterbag Placem_Collection'!E65)</f>
        <v>42938</v>
      </c>
      <c r="H358" s="92" t="str">
        <f>'Final data_for_R_analysis_Dryse'!K504</f>
        <v>G629</v>
      </c>
      <c r="I358" t="str">
        <f>'Final data_for_R_analysis_Dryse'!K724</f>
        <v>R713</v>
      </c>
      <c r="J358">
        <f>IFERROR(INDEX('Green_rooibos initial weight'!$C$5:$C$2000,MATCH(H358, 'Green_rooibos initial weight'!$A$5:$A$2000,0)),"")</f>
        <v>1.978</v>
      </c>
      <c r="K358">
        <f>IFERROR(INDEX('Green_rooibos initial weight'!$C$5:$C$2000,MATCH(I358, 'Green_rooibos initial weight'!$A$5:$A$2000,0)),"")</f>
        <v>2.1619999999999999</v>
      </c>
      <c r="L358" s="194">
        <f t="shared" si="32"/>
        <v>1.7282</v>
      </c>
      <c r="M358" s="237">
        <f>AVERAGE(Ashed_controlls!$K$1:$K$11)</f>
        <v>5.5147656768714146</v>
      </c>
      <c r="N358" s="194">
        <f>IFERROR(IF(K358&gt;0,(K358*$F$32-($F$29+$F$30)),""),"")</f>
        <v>1.9121999999999999</v>
      </c>
      <c r="O358" s="383">
        <f>IF('Dry_Litterbag Placem_Collection'!G65="","",'Dry_Litterbag Placem_Collection'!G65)</f>
        <v>43005</v>
      </c>
      <c r="P358" s="194">
        <f>IFERROR(INDEX('Both teabags AfterDry'!$D$3:$D$2000,MATCH(H358,'Both teabags AfterDry'!$A$3:$A$2000,0)),"")</f>
        <v>1.8411</v>
      </c>
      <c r="Q358" s="194">
        <f>IFERROR(INDEX('Both teabags AfterDry'!$D$3:$D$2000,MATCH(I358,'Both teabags AfterDry'!$A$3:$A$2000,0)),"")</f>
        <v>1.9921</v>
      </c>
      <c r="R358" s="194">
        <f t="shared" si="33"/>
        <v>1.6904999999999999</v>
      </c>
      <c r="S358" s="194">
        <f t="shared" si="33"/>
        <v>1.8414999999999999</v>
      </c>
      <c r="T358" s="194">
        <f t="shared" si="34"/>
        <v>2.1814604791112191E-2</v>
      </c>
      <c r="U358" s="194">
        <f t="shared" si="35"/>
        <v>1.4301261098211324E-2</v>
      </c>
      <c r="V358" s="194">
        <f t="shared" si="36"/>
        <v>0.96302688003346926</v>
      </c>
      <c r="W358">
        <f t="shared" si="37"/>
        <v>67</v>
      </c>
      <c r="X358" s="194">
        <f t="shared" si="38"/>
        <v>0.97409191830034181</v>
      </c>
      <c r="Y358" s="194" t="str">
        <f t="shared" si="39"/>
        <v/>
      </c>
      <c r="Z358" s="252" t="str">
        <f>IF(ISNUMBER(SEARCH("C", 'Dry_Litterbag Placem_Collection'!$V65)),"YES","NO")</f>
        <v>NO</v>
      </c>
      <c r="AA358" s="252" t="str">
        <f>IF(ISNUMBER(SEARCH("H", 'Dry_Litterbag Placem_Collection'!$V65)),"YES","NO")</f>
        <v>NO</v>
      </c>
      <c r="AB358" s="252" t="str">
        <f>IF(ISNUMBER(SEARCH("R", 'Dry_Litterbag Placem_Collection'!$V65)),"YES","NO")</f>
        <v>NO</v>
      </c>
      <c r="AC358" s="252" t="str">
        <f>IF(ISNUMBER(SEARCH("C", 'Dry_Litterbag Placem_Collection'!$U65)),"YES","NO")</f>
        <v>NO</v>
      </c>
      <c r="AD358" s="252" t="str">
        <f>IF(ISNUMBER(SEARCH("H", 'Dry_Litterbag Placem_Collection'!$U65)),"YES","NO")</f>
        <v>NO</v>
      </c>
      <c r="AE358" s="252" t="str">
        <f>IF(ISNUMBER(SEARCH("R", 'Dry_Litterbag Placem_Collection'!$U65)),"YES","NO")</f>
        <v>NO</v>
      </c>
    </row>
    <row r="359" spans="2:31">
      <c r="B359" t="str">
        <f>'Final data_for_R_analysis_Dryse'!A505</f>
        <v>Dry</v>
      </c>
      <c r="C359" s="260">
        <f>'Final data_for_R_analysis_Dryse'!B505</f>
        <v>64</v>
      </c>
      <c r="D359" t="s">
        <v>3809</v>
      </c>
      <c r="E359" t="s">
        <v>25</v>
      </c>
      <c r="F359" s="382">
        <v>8</v>
      </c>
      <c r="G359" s="383">
        <f>IF('Dry_Litterbag Placem_Collection'!E66="","",'Dry_Litterbag Placem_Collection'!E66)</f>
        <v>42938</v>
      </c>
      <c r="H359" s="92" t="str">
        <f>'Final data_for_R_analysis_Dryse'!K505</f>
        <v>G84</v>
      </c>
      <c r="I359" t="str">
        <f>'Final data_for_R_analysis_Dryse'!K725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32"/>
        <v>1.8761999999999999</v>
      </c>
      <c r="M359" s="237">
        <f>AVERAGE(Ashed_controlls!$K$1:$K$11)</f>
        <v>5.5147656768714146</v>
      </c>
      <c r="N359" s="194">
        <f>IFERROR(IF(K359&gt;0,(K359*$F$32-($F$29+$F$30)),""),"")</f>
        <v>1.9491999999999998</v>
      </c>
      <c r="O359" s="383">
        <f>IF('Dry_Litterbag Placem_Collection'!G66="","",'Dry_Litterbag Placem_Collection'!G66)</f>
        <v>43005</v>
      </c>
      <c r="P359" s="194">
        <f>IFERROR(INDEX('Both teabags AfterDry'!$D$3:$D$2000,MATCH(H359,'Both teabags AfterDry'!$A$3:$A$2000,0)),"")</f>
        <v>1.9314</v>
      </c>
      <c r="Q359" s="194">
        <f>IFERROR(INDEX('Both teabags AfterDry'!$D$3:$D$2000,MATCH(I359,'Both teabags AfterDry'!$A$3:$A$2000,0)),"")</f>
        <v>1.9715</v>
      </c>
      <c r="R359" s="194">
        <f t="shared" si="33"/>
        <v>1.7807999999999999</v>
      </c>
      <c r="S359" s="194">
        <f t="shared" si="33"/>
        <v>1.8209</v>
      </c>
      <c r="T359" s="194">
        <f t="shared" si="34"/>
        <v>5.084745762711862E-2</v>
      </c>
      <c r="U359" s="194">
        <f t="shared" si="35"/>
        <v>3.3334675308989911E-2</v>
      </c>
      <c r="V359" s="194">
        <f t="shared" si="36"/>
        <v>0.93417812435871128</v>
      </c>
      <c r="W359">
        <f t="shared" si="37"/>
        <v>67</v>
      </c>
      <c r="X359" s="194">
        <f t="shared" si="38"/>
        <v>0.93961109545472843</v>
      </c>
      <c r="Y359" s="194" t="str">
        <f t="shared" si="39"/>
        <v/>
      </c>
      <c r="Z359" s="252" t="str">
        <f>IF(ISNUMBER(SEARCH("C", 'Dry_Litterbag Placem_Collection'!$V66)),"YES","NO")</f>
        <v>NO</v>
      </c>
      <c r="AA359" s="252" t="str">
        <f>IF(ISNUMBER(SEARCH("H", 'Dry_Litterbag Placem_Collection'!$V66)),"YES","NO")</f>
        <v>NO</v>
      </c>
      <c r="AB359" s="252" t="str">
        <f>IF(ISNUMBER(SEARCH("R", 'Dry_Litterbag Placem_Collection'!$V66)),"YES","NO")</f>
        <v>NO</v>
      </c>
      <c r="AC359" s="252" t="str">
        <f>IF(ISNUMBER(SEARCH("C", 'Dry_Litterbag Placem_Collection'!$U66)),"YES","NO")</f>
        <v>NO</v>
      </c>
      <c r="AD359" s="252" t="str">
        <f>IF(ISNUMBER(SEARCH("H", 'Dry_Litterbag Placem_Collection'!$U66)),"YES","NO")</f>
        <v>NO</v>
      </c>
      <c r="AE359" s="252" t="str">
        <f>IF(ISNUMBER(SEARCH("R", 'Dry_Litterbag Placem_Collection'!$U66)),"YES","NO")</f>
        <v>NO</v>
      </c>
    </row>
    <row r="360" spans="2:31">
      <c r="B360" t="str">
        <f>'Final data_for_R_analysis_Dryse'!A506</f>
        <v>Dry</v>
      </c>
      <c r="C360" s="260">
        <f>'Final data_for_R_analysis_Dryse'!B506</f>
        <v>65</v>
      </c>
      <c r="D360" t="s">
        <v>3810</v>
      </c>
      <c r="E360" t="s">
        <v>25</v>
      </c>
      <c r="F360" s="381">
        <v>1</v>
      </c>
      <c r="G360" s="383">
        <f>IF('Dry_Litterbag Placem_Collection'!E67="","",'Dry_Litterbag Placem_Collection'!E67)</f>
        <v>42937</v>
      </c>
      <c r="H360" s="92" t="str">
        <f>'Final data_for_R_analysis_Dryse'!K506</f>
        <v>G586</v>
      </c>
      <c r="I360" t="str">
        <f>'Final data_for_R_analysis_Dryse'!K726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32"/>
        <v>1.7092000000000001</v>
      </c>
      <c r="M360" s="237">
        <f>AVERAGE(Ashed_controlls!$K$1:$K$11)</f>
        <v>5.5147656768714146</v>
      </c>
      <c r="N360" s="194">
        <f>IFERROR(IF(K360&gt;0,(K360*$F$32-($F$29+$F$30)),""),"")</f>
        <v>1.9542000000000002</v>
      </c>
      <c r="O360" s="383">
        <f>IF('Dry_Litterbag Placem_Collection'!G67="","",'Dry_Litterbag Placem_Collection'!G67)</f>
        <v>43005</v>
      </c>
      <c r="P360" s="194" t="str">
        <f>IFERROR(INDEX('Both teabags AfterDry'!$D$3:$D$2000,MATCH(H360,'Both teabags AfterDry'!$A$3:$A$2000,0)),"")</f>
        <v/>
      </c>
      <c r="Q360" s="194" t="str">
        <f>IFERROR(INDEX('Both teabags AfterDry'!$D$3:$D$2000,MATCH(I360,'Both teabags AfterDry'!$A$3:$A$2000,0)),"")</f>
        <v/>
      </c>
      <c r="R360" s="194" t="str">
        <f t="shared" si="33"/>
        <v/>
      </c>
      <c r="S360" s="194" t="str">
        <f t="shared" si="33"/>
        <v/>
      </c>
      <c r="T360" s="194" t="str">
        <f t="shared" si="34"/>
        <v/>
      </c>
      <c r="U360" s="194" t="str">
        <f t="shared" si="35"/>
        <v/>
      </c>
      <c r="V360" s="194" t="str">
        <f t="shared" si="36"/>
        <v/>
      </c>
      <c r="W360">
        <f t="shared" si="37"/>
        <v>68</v>
      </c>
      <c r="X360" s="194" t="str">
        <f t="shared" si="38"/>
        <v/>
      </c>
      <c r="Y360" s="194" t="str">
        <f t="shared" si="39"/>
        <v/>
      </c>
      <c r="Z360" s="252" t="str">
        <f>IF(ISNUMBER(SEARCH("C", 'Dry_Litterbag Placem_Collection'!$V67)),"YES","NO")</f>
        <v>NO</v>
      </c>
      <c r="AA360" s="252" t="str">
        <f>IF(ISNUMBER(SEARCH("H", 'Dry_Litterbag Placem_Collection'!$V67)),"YES","NO")</f>
        <v>NO</v>
      </c>
      <c r="AB360" s="252" t="str">
        <f>IF(ISNUMBER(SEARCH("R", 'Dry_Litterbag Placem_Collection'!$V67)),"YES","NO")</f>
        <v>NO</v>
      </c>
      <c r="AC360" s="252" t="str">
        <f>IF(ISNUMBER(SEARCH("C", 'Dry_Litterbag Placem_Collection'!$U67)),"YES","NO")</f>
        <v>NO</v>
      </c>
      <c r="AD360" s="252" t="str">
        <f>IF(ISNUMBER(SEARCH("H", 'Dry_Litterbag Placem_Collection'!$U67)),"YES","NO")</f>
        <v>NO</v>
      </c>
      <c r="AE360" s="252" t="str">
        <f>IF(ISNUMBER(SEARCH("R", 'Dry_Litterbag Placem_Collection'!$U67)),"YES","NO")</f>
        <v>NO</v>
      </c>
    </row>
    <row r="361" spans="2:31">
      <c r="B361" t="str">
        <f>'Final data_for_R_analysis_Dryse'!A507</f>
        <v>Dry</v>
      </c>
      <c r="C361" s="260">
        <f>'Final data_for_R_analysis_Dryse'!B507</f>
        <v>66</v>
      </c>
      <c r="D361" t="s">
        <v>3810</v>
      </c>
      <c r="E361" t="s">
        <v>25</v>
      </c>
      <c r="F361" s="381">
        <v>2</v>
      </c>
      <c r="G361" s="383">
        <f>IF('Dry_Litterbag Placem_Collection'!E68="","",'Dry_Litterbag Placem_Collection'!E68)</f>
        <v>42937</v>
      </c>
      <c r="H361" s="92" t="str">
        <f>'Final data_for_R_analysis_Dryse'!K507</f>
        <v>G851</v>
      </c>
      <c r="I361" t="str">
        <f>'Final data_for_R_analysis_Dryse'!K727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32"/>
        <v>1.7432000000000001</v>
      </c>
      <c r="M361" s="237">
        <f>AVERAGE(Ashed_controlls!$K$1:$K$11)</f>
        <v>5.5147656768714146</v>
      </c>
      <c r="N361" s="194">
        <f>IFERROR(IF(K361&gt;0,(K361*$F$32-($F$29+$F$30)),""),"")</f>
        <v>1.8481999999999998</v>
      </c>
      <c r="O361" s="383">
        <f>IF('Dry_Litterbag Placem_Collection'!G68="","",'Dry_Litterbag Placem_Collection'!G68)</f>
        <v>43005</v>
      </c>
      <c r="P361" s="194">
        <f>IFERROR(INDEX('Both teabags AfterDry'!$D$3:$D$2000,MATCH(H361,'Both teabags AfterDry'!$A$3:$A$2000,0)),"")</f>
        <v>1.8367</v>
      </c>
      <c r="Q361" s="194">
        <f>IFERROR(INDEX('Both teabags AfterDry'!$D$3:$D$2000,MATCH(I361,'Both teabags AfterDry'!$A$3:$A$2000,0)),"")</f>
        <v>1.9177</v>
      </c>
      <c r="R361" s="194">
        <f t="shared" si="33"/>
        <v>1.6860999999999999</v>
      </c>
      <c r="S361" s="194">
        <f t="shared" si="33"/>
        <v>1.7670999999999999</v>
      </c>
      <c r="T361" s="194">
        <f t="shared" si="34"/>
        <v>3.2755851307939454E-2</v>
      </c>
      <c r="U361" s="194">
        <f t="shared" si="35"/>
        <v>2.147414480045436E-2</v>
      </c>
      <c r="V361" s="194">
        <f t="shared" si="36"/>
        <v>0.9561194675900877</v>
      </c>
      <c r="W361">
        <f t="shared" si="37"/>
        <v>68</v>
      </c>
      <c r="X361" s="194">
        <f t="shared" si="38"/>
        <v>0.96109756376729283</v>
      </c>
      <c r="Y361" s="194" t="str">
        <f t="shared" si="39"/>
        <v/>
      </c>
      <c r="Z361" s="252" t="str">
        <f>IF(ISNUMBER(SEARCH("C", 'Dry_Litterbag Placem_Collection'!$V68)),"YES","NO")</f>
        <v>NO</v>
      </c>
      <c r="AA361" s="252" t="str">
        <f>IF(ISNUMBER(SEARCH("H", 'Dry_Litterbag Placem_Collection'!$V68)),"YES","NO")</f>
        <v>NO</v>
      </c>
      <c r="AB361" s="252" t="str">
        <f>IF(ISNUMBER(SEARCH("R", 'Dry_Litterbag Placem_Collection'!$V68)),"YES","NO")</f>
        <v>NO</v>
      </c>
      <c r="AC361" s="252" t="str">
        <f>IF(ISNUMBER(SEARCH("C", 'Dry_Litterbag Placem_Collection'!$U68)),"YES","NO")</f>
        <v>NO</v>
      </c>
      <c r="AD361" s="252" t="str">
        <f>IF(ISNUMBER(SEARCH("H", 'Dry_Litterbag Placem_Collection'!$U68)),"YES","NO")</f>
        <v>NO</v>
      </c>
      <c r="AE361" s="252" t="str">
        <f>IF(ISNUMBER(SEARCH("R", 'Dry_Litterbag Placem_Collection'!$U68)),"YES","NO")</f>
        <v>NO</v>
      </c>
    </row>
    <row r="362" spans="2:31">
      <c r="B362" t="str">
        <f>'Final data_for_R_analysis_Dryse'!A508</f>
        <v>Dry</v>
      </c>
      <c r="C362" s="260">
        <f>'Final data_for_R_analysis_Dryse'!B508</f>
        <v>67</v>
      </c>
      <c r="D362" t="s">
        <v>3810</v>
      </c>
      <c r="E362" t="s">
        <v>25</v>
      </c>
      <c r="F362" s="381">
        <v>3</v>
      </c>
      <c r="G362" s="383" t="str">
        <f>IF('Dry_Litterbag Placem_Collection'!E69="","",'Dry_Litterbag Placem_Collection'!E69)</f>
        <v/>
      </c>
      <c r="H362" s="92" t="str">
        <f>'Final data_for_R_analysis_Dryse'!K508</f>
        <v/>
      </c>
      <c r="I362" t="str">
        <f>'Final data_for_R_analysis_Dryse'!K728</f>
        <v/>
      </c>
      <c r="J362" t="str">
        <f>IFERROR(INDEX('Green_rooibos initial weight'!$C$5:$C$2000,MATCH(H362, 'Green_rooibos initial weight'!$A$5:$A$2000,0)),"")</f>
        <v/>
      </c>
      <c r="K362" t="str">
        <f>IFERROR(INDEX('Green_rooibos initial weight'!$C$5:$C$2000,MATCH(I362, 'Green_rooibos initial weight'!$A$5:$A$2000,0)),"")</f>
        <v/>
      </c>
      <c r="L362" s="194" t="str">
        <f t="shared" si="32"/>
        <v/>
      </c>
      <c r="M362" s="237">
        <f>AVERAGE(Ashed_controlls!$K$1:$K$11)</f>
        <v>5.5147656768714146</v>
      </c>
      <c r="N362" s="194" t="str">
        <f>IFERROR(IF(K362&gt;0,(K362*$F$32-($F$29+$F$30)),""),"")</f>
        <v/>
      </c>
      <c r="O362" s="383" t="str">
        <f>IF('Dry_Litterbag Placem_Collection'!G69="","",'Dry_Litterbag Placem_Collection'!G69)</f>
        <v/>
      </c>
      <c r="P362" s="194" t="str">
        <f>IFERROR(INDEX('Both teabags AfterDry'!$D$3:$D$2000,MATCH(H362,'Both teabags AfterDry'!$A$3:$A$2000,0)),"")</f>
        <v/>
      </c>
      <c r="Q362" s="194" t="str">
        <f>IFERROR(INDEX('Both teabags AfterDry'!$D$3:$D$2000,MATCH(I362,'Both teabags AfterDry'!$A$3:$A$2000,0)),"")</f>
        <v/>
      </c>
      <c r="R362" s="194" t="str">
        <f t="shared" si="33"/>
        <v/>
      </c>
      <c r="S362" s="194" t="str">
        <f t="shared" si="33"/>
        <v/>
      </c>
      <c r="T362" s="194" t="str">
        <f t="shared" si="34"/>
        <v/>
      </c>
      <c r="U362" s="194" t="str">
        <f t="shared" si="35"/>
        <v/>
      </c>
      <c r="V362" s="194" t="str">
        <f t="shared" si="36"/>
        <v/>
      </c>
      <c r="W362" t="str">
        <f t="shared" si="37"/>
        <v/>
      </c>
      <c r="X362" s="194" t="str">
        <f t="shared" si="38"/>
        <v/>
      </c>
      <c r="Y362" s="194" t="str">
        <f t="shared" si="39"/>
        <v/>
      </c>
      <c r="Z362" s="252" t="str">
        <f>IF(ISNUMBER(SEARCH("C", 'Dry_Litterbag Placem_Collection'!$V69)),"YES","NO")</f>
        <v>NO</v>
      </c>
      <c r="AA362" s="252" t="str">
        <f>IF(ISNUMBER(SEARCH("H", 'Dry_Litterbag Placem_Collection'!$V69)),"YES","NO")</f>
        <v>NO</v>
      </c>
      <c r="AB362" s="252" t="str">
        <f>IF(ISNUMBER(SEARCH("R", 'Dry_Litterbag Placem_Collection'!$V69)),"YES","NO")</f>
        <v>NO</v>
      </c>
      <c r="AC362" s="252" t="str">
        <f>IF(ISNUMBER(SEARCH("C", 'Dry_Litterbag Placem_Collection'!$U69)),"YES","NO")</f>
        <v>NO</v>
      </c>
      <c r="AD362" s="252" t="str">
        <f>IF(ISNUMBER(SEARCH("H", 'Dry_Litterbag Placem_Collection'!$U69)),"YES","NO")</f>
        <v>NO</v>
      </c>
      <c r="AE362" s="252" t="str">
        <f>IF(ISNUMBER(SEARCH("R", 'Dry_Litterbag Placem_Collection'!$U69)),"YES","NO")</f>
        <v>NO</v>
      </c>
    </row>
    <row r="363" spans="2:31">
      <c r="B363" t="str">
        <f>'Final data_for_R_analysis_Dryse'!A509</f>
        <v>Dry</v>
      </c>
      <c r="C363" s="260">
        <f>'Final data_for_R_analysis_Dryse'!B509</f>
        <v>68</v>
      </c>
      <c r="D363" t="s">
        <v>3810</v>
      </c>
      <c r="E363" t="s">
        <v>25</v>
      </c>
      <c r="F363" s="382">
        <v>4</v>
      </c>
      <c r="G363" s="383">
        <f>IF('Dry_Litterbag Placem_Collection'!E70="","",'Dry_Litterbag Placem_Collection'!E70)</f>
        <v>42937</v>
      </c>
      <c r="H363" s="92" t="str">
        <f>'Final data_for_R_analysis_Dryse'!K509</f>
        <v>G467</v>
      </c>
      <c r="I363" t="str">
        <f>'Final data_for_R_analysis_Dryse'!K729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32"/>
        <v>1.7761999999999998</v>
      </c>
      <c r="M363" s="237">
        <f>AVERAGE(Ashed_controlls!$K$1:$K$11)</f>
        <v>5.5147656768714146</v>
      </c>
      <c r="N363" s="194">
        <f>IFERROR(IF(K363&gt;0,(K363*$F$32-($F$29+$F$30)),""),"")</f>
        <v>1.9851999999999999</v>
      </c>
      <c r="O363" s="383">
        <f>IF('Dry_Litterbag Placem_Collection'!G70="","",'Dry_Litterbag Placem_Collection'!G70)</f>
        <v>43005</v>
      </c>
      <c r="P363" s="194">
        <f>IFERROR(INDEX('Both teabags AfterDry'!$D$3:$D$2000,MATCH(H363,'Both teabags AfterDry'!$A$3:$A$2000,0)),"")</f>
        <v>1.8359000000000001</v>
      </c>
      <c r="Q363" s="194">
        <f>IFERROR(INDEX('Both teabags AfterDry'!$D$3:$D$2000,MATCH(I363,'Both teabags AfterDry'!$A$3:$A$2000,0)),"")</f>
        <v>2.0015000000000001</v>
      </c>
      <c r="R363" s="194">
        <f t="shared" si="33"/>
        <v>1.6853</v>
      </c>
      <c r="S363" s="194">
        <f t="shared" si="33"/>
        <v>1.8509</v>
      </c>
      <c r="T363" s="194">
        <f t="shared" si="34"/>
        <v>5.1176669293998334E-2</v>
      </c>
      <c r="U363" s="194">
        <f t="shared" si="35"/>
        <v>3.3550500534782757E-2</v>
      </c>
      <c r="V363" s="194">
        <f t="shared" si="36"/>
        <v>0.93234938545234747</v>
      </c>
      <c r="W363">
        <f t="shared" si="37"/>
        <v>68</v>
      </c>
      <c r="X363" s="194">
        <f t="shared" si="38"/>
        <v>0.93922010772684283</v>
      </c>
      <c r="Y363" s="194" t="str">
        <f t="shared" si="39"/>
        <v/>
      </c>
      <c r="Z363" s="252" t="str">
        <f>IF(ISNUMBER(SEARCH("C", 'Dry_Litterbag Placem_Collection'!$V70)),"YES","NO")</f>
        <v>NO</v>
      </c>
      <c r="AA363" s="252" t="str">
        <f>IF(ISNUMBER(SEARCH("H", 'Dry_Litterbag Placem_Collection'!$V70)),"YES","NO")</f>
        <v>NO</v>
      </c>
      <c r="AB363" s="252" t="str">
        <f>IF(ISNUMBER(SEARCH("R", 'Dry_Litterbag Placem_Collection'!$V70)),"YES","NO")</f>
        <v>NO</v>
      </c>
      <c r="AC363" s="252" t="str">
        <f>IF(ISNUMBER(SEARCH("C", 'Dry_Litterbag Placem_Collection'!$U70)),"YES","NO")</f>
        <v>NO</v>
      </c>
      <c r="AD363" s="252" t="str">
        <f>IF(ISNUMBER(SEARCH("H", 'Dry_Litterbag Placem_Collection'!$U70)),"YES","NO")</f>
        <v>NO</v>
      </c>
      <c r="AE363" s="252" t="str">
        <f>IF(ISNUMBER(SEARCH("R", 'Dry_Litterbag Placem_Collection'!$U70)),"YES","NO")</f>
        <v>NO</v>
      </c>
    </row>
    <row r="364" spans="2:31">
      <c r="B364" t="str">
        <f>'Final data_for_R_analysis_Dryse'!A510</f>
        <v>Dry</v>
      </c>
      <c r="C364" s="260">
        <f>'Final data_for_R_analysis_Dryse'!B510</f>
        <v>69</v>
      </c>
      <c r="D364" t="s">
        <v>3810</v>
      </c>
      <c r="E364" t="s">
        <v>25</v>
      </c>
      <c r="F364" s="382">
        <v>5</v>
      </c>
      <c r="G364" s="383">
        <f>IF('Dry_Litterbag Placem_Collection'!E71="","",'Dry_Litterbag Placem_Collection'!E71)</f>
        <v>42937</v>
      </c>
      <c r="H364" s="92" t="str">
        <f>'Final data_for_R_analysis_Dryse'!K510</f>
        <v>G766</v>
      </c>
      <c r="I364" t="str">
        <f>'Final data_for_R_analysis_Dryse'!K730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32"/>
        <v>1.7911999999999999</v>
      </c>
      <c r="M364" s="237">
        <f>AVERAGE(Ashed_controlls!$K$1:$K$11)</f>
        <v>5.5147656768714146</v>
      </c>
      <c r="N364" s="194">
        <f>IFERROR(IF(K364&gt;0,(K364*$F$32-($F$29+$F$30)),""),"")</f>
        <v>1.9912000000000001</v>
      </c>
      <c r="O364" s="383">
        <f>IF('Dry_Litterbag Placem_Collection'!G71="","",'Dry_Litterbag Placem_Collection'!G71)</f>
        <v>43006</v>
      </c>
      <c r="P364" s="194">
        <f>IFERROR(INDEX('Both teabags AfterDry'!$D$3:$D$2000,MATCH(H364,'Both teabags AfterDry'!$A$3:$A$2000,0)),"")</f>
        <v>1.8654999999999999</v>
      </c>
      <c r="Q364" s="194">
        <f>IFERROR(INDEX('Both teabags AfterDry'!$D$3:$D$2000,MATCH(I364,'Both teabags AfterDry'!$A$3:$A$2000,0)),"")</f>
        <v>1.9946999999999999</v>
      </c>
      <c r="R364" s="194">
        <f t="shared" si="33"/>
        <v>1.7148999999999999</v>
      </c>
      <c r="S364" s="194">
        <f t="shared" si="33"/>
        <v>1.8440999999999999</v>
      </c>
      <c r="T364" s="194">
        <f t="shared" si="34"/>
        <v>4.2597141581062981E-2</v>
      </c>
      <c r="U364" s="194">
        <f t="shared" si="35"/>
        <v>2.7925917046017538E-2</v>
      </c>
      <c r="V364" s="194">
        <f t="shared" si="36"/>
        <v>0.9261249497790276</v>
      </c>
      <c r="W364">
        <f t="shared" si="37"/>
        <v>69</v>
      </c>
      <c r="X364" s="194">
        <f t="shared" si="38"/>
        <v>0.94940957056880881</v>
      </c>
      <c r="Y364" s="194" t="str">
        <f t="shared" si="39"/>
        <v/>
      </c>
      <c r="Z364" s="252" t="str">
        <f>IF(ISNUMBER(SEARCH("C", 'Dry_Litterbag Placem_Collection'!$V71)),"YES","NO")</f>
        <v>NO</v>
      </c>
      <c r="AA364" s="252" t="str">
        <f>IF(ISNUMBER(SEARCH("H", 'Dry_Litterbag Placem_Collection'!$V71)),"YES","NO")</f>
        <v>NO</v>
      </c>
      <c r="AB364" s="252" t="str">
        <f>IF(ISNUMBER(SEARCH("R", 'Dry_Litterbag Placem_Collection'!$V71)),"YES","NO")</f>
        <v>NO</v>
      </c>
      <c r="AC364" s="252" t="str">
        <f>IF(ISNUMBER(SEARCH("C", 'Dry_Litterbag Placem_Collection'!$U71)),"YES","NO")</f>
        <v>NO</v>
      </c>
      <c r="AD364" s="252" t="str">
        <f>IF(ISNUMBER(SEARCH("H", 'Dry_Litterbag Placem_Collection'!$U71)),"YES","NO")</f>
        <v>NO</v>
      </c>
      <c r="AE364" s="252" t="str">
        <f>IF(ISNUMBER(SEARCH("R", 'Dry_Litterbag Placem_Collection'!$U71)),"YES","NO")</f>
        <v>NO</v>
      </c>
    </row>
    <row r="365" spans="2:31">
      <c r="B365" t="str">
        <f>'Final data_for_R_analysis_Dryse'!A511</f>
        <v>Dry</v>
      </c>
      <c r="C365" s="260">
        <f>'Final data_for_R_analysis_Dryse'!B511</f>
        <v>70</v>
      </c>
      <c r="D365" t="s">
        <v>3810</v>
      </c>
      <c r="E365" t="s">
        <v>25</v>
      </c>
      <c r="F365" s="382">
        <v>6</v>
      </c>
      <c r="G365" s="383">
        <f>IF('Dry_Litterbag Placem_Collection'!E72="","",'Dry_Litterbag Placem_Collection'!E72)</f>
        <v>42937</v>
      </c>
      <c r="H365" s="92" t="str">
        <f>'Final data_for_R_analysis_Dryse'!K511</f>
        <v>G430</v>
      </c>
      <c r="I365" t="str">
        <f>'Final data_for_R_analysis_Dryse'!K731</f>
        <v>R261</v>
      </c>
      <c r="J365">
        <f>IFERROR(INDEX('Green_rooibos initial weight'!$C$5:$C$2000,MATCH(H365, 'Green_rooibos initial weight'!$A$5:$A$2000,0)),"")</f>
        <v>2.09</v>
      </c>
      <c r="K365">
        <f>IFERROR(INDEX('Green_rooibos initial weight'!$C$5:$C$2000,MATCH(I365, 'Green_rooibos initial weight'!$A$5:$A$2000,0)),"")</f>
        <v>2.2080000000000002</v>
      </c>
      <c r="L365" s="194">
        <f t="shared" si="32"/>
        <v>1.8401999999999998</v>
      </c>
      <c r="M365" s="237">
        <f>AVERAGE(Ashed_controlls!$K$1:$K$11)</f>
        <v>5.5147656768714146</v>
      </c>
      <c r="N365" s="194">
        <f>IFERROR(IF(K365&gt;0,(K365*$F$32-($F$29+$F$30)),""),"")</f>
        <v>1.9582000000000002</v>
      </c>
      <c r="O365" s="383">
        <f>IF('Dry_Litterbag Placem_Collection'!G72="","",'Dry_Litterbag Placem_Collection'!G72)</f>
        <v>43006</v>
      </c>
      <c r="P365" s="194">
        <f>IFERROR(INDEX('Both teabags AfterDry'!$D$3:$D$2000,MATCH(H365,'Both teabags AfterDry'!$A$3:$A$2000,0)),"")</f>
        <v>1.8875999999999999</v>
      </c>
      <c r="Q365" s="194">
        <f>IFERROR(INDEX('Both teabags AfterDry'!$D$3:$D$2000,MATCH(I365,'Both teabags AfterDry'!$A$3:$A$2000,0)),"")</f>
        <v>1.9642999999999999</v>
      </c>
      <c r="R365" s="194">
        <f t="shared" si="33"/>
        <v>1.7369999999999999</v>
      </c>
      <c r="S365" s="194">
        <f t="shared" si="33"/>
        <v>1.8136999999999999</v>
      </c>
      <c r="T365" s="194">
        <f t="shared" si="34"/>
        <v>5.6080860776002606E-2</v>
      </c>
      <c r="U365" s="194">
        <f t="shared" si="35"/>
        <v>3.6765599938662054E-2</v>
      </c>
      <c r="V365" s="194">
        <f t="shared" si="36"/>
        <v>0.92620774180369714</v>
      </c>
      <c r="W365">
        <f t="shared" si="37"/>
        <v>69</v>
      </c>
      <c r="X365" s="194">
        <f t="shared" si="38"/>
        <v>0.93339565228503252</v>
      </c>
      <c r="Y365" s="194" t="str">
        <f t="shared" si="39"/>
        <v/>
      </c>
      <c r="Z365" s="252" t="str">
        <f>IF(ISNUMBER(SEARCH("C", 'Dry_Litterbag Placem_Collection'!$V72)),"YES","NO")</f>
        <v>NO</v>
      </c>
      <c r="AA365" s="252" t="str">
        <f>IF(ISNUMBER(SEARCH("H", 'Dry_Litterbag Placem_Collection'!$V72)),"YES","NO")</f>
        <v>NO</v>
      </c>
      <c r="AB365" s="252" t="str">
        <f>IF(ISNUMBER(SEARCH("R", 'Dry_Litterbag Placem_Collection'!$V72)),"YES","NO")</f>
        <v>NO</v>
      </c>
      <c r="AC365" s="252" t="str">
        <f>IF(ISNUMBER(SEARCH("C", 'Dry_Litterbag Placem_Collection'!$U72)),"YES","NO")</f>
        <v>NO</v>
      </c>
      <c r="AD365" s="252" t="str">
        <f>IF(ISNUMBER(SEARCH("H", 'Dry_Litterbag Placem_Collection'!$U72)),"YES","NO")</f>
        <v>NO</v>
      </c>
      <c r="AE365" s="252" t="str">
        <f>IF(ISNUMBER(SEARCH("R", 'Dry_Litterbag Placem_Collection'!$U72)),"YES","NO")</f>
        <v>NO</v>
      </c>
    </row>
    <row r="366" spans="2:31">
      <c r="B366" t="str">
        <f>'Final data_for_R_analysis_Dryse'!A512</f>
        <v>Dry</v>
      </c>
      <c r="C366" s="260">
        <f>'Final data_for_R_analysis_Dryse'!B512</f>
        <v>71</v>
      </c>
      <c r="D366" t="s">
        <v>3810</v>
      </c>
      <c r="E366" t="s">
        <v>25</v>
      </c>
      <c r="F366" s="382">
        <v>7</v>
      </c>
      <c r="G366" s="383">
        <f>IF('Dry_Litterbag Placem_Collection'!E73="","",'Dry_Litterbag Placem_Collection'!E73)</f>
        <v>42937</v>
      </c>
      <c r="H366" s="92" t="str">
        <f>'Final data_for_R_analysis_Dryse'!K512</f>
        <v>G174</v>
      </c>
      <c r="I366" t="str">
        <f>'Final data_for_R_analysis_Dryse'!K732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32"/>
        <v>1.8151999999999999</v>
      </c>
      <c r="M366" s="237">
        <f>AVERAGE(Ashed_controlls!$K$1:$K$11)</f>
        <v>5.5147656768714146</v>
      </c>
      <c r="N366" s="194">
        <f>IFERROR(IF(K366&gt;0,(K366*$F$32-($F$29+$F$30)),""),"")</f>
        <v>2.0341999999999998</v>
      </c>
      <c r="O366" s="383">
        <f>IF('Dry_Litterbag Placem_Collection'!G73="","",'Dry_Litterbag Placem_Collection'!G73)</f>
        <v>43006</v>
      </c>
      <c r="P366" s="194">
        <f>IFERROR(INDEX('Both teabags AfterDry'!$D$3:$D$2000,MATCH(H366,'Both teabags AfterDry'!$A$3:$A$2000,0)),"")</f>
        <v>1.8838999999999999</v>
      </c>
      <c r="Q366" s="194">
        <f>IFERROR(INDEX('Both teabags AfterDry'!$D$3:$D$2000,MATCH(I366,'Both teabags AfterDry'!$A$3:$A$2000,0)),"")</f>
        <v>2.0466000000000002</v>
      </c>
      <c r="R366" s="194">
        <f t="shared" si="33"/>
        <v>1.7332999999999998</v>
      </c>
      <c r="S366" s="194">
        <f t="shared" si="33"/>
        <v>1.8960000000000001</v>
      </c>
      <c r="T366" s="194">
        <f t="shared" si="34"/>
        <v>4.5118995152049424E-2</v>
      </c>
      <c r="U366" s="194">
        <f t="shared" si="35"/>
        <v>2.9579198722008652E-2</v>
      </c>
      <c r="V366" s="194">
        <f t="shared" si="36"/>
        <v>0.93206174417461429</v>
      </c>
      <c r="W366">
        <f t="shared" si="37"/>
        <v>69</v>
      </c>
      <c r="X366" s="194">
        <f t="shared" si="38"/>
        <v>0.94641449506882491</v>
      </c>
      <c r="Y366" s="194" t="str">
        <f t="shared" si="39"/>
        <v/>
      </c>
      <c r="Z366" s="252" t="str">
        <f>IF(ISNUMBER(SEARCH("C", 'Dry_Litterbag Placem_Collection'!$V73)),"YES","NO")</f>
        <v>NO</v>
      </c>
      <c r="AA366" s="252" t="str">
        <f>IF(ISNUMBER(SEARCH("H", 'Dry_Litterbag Placem_Collection'!$V73)),"YES","NO")</f>
        <v>NO</v>
      </c>
      <c r="AB366" s="252" t="str">
        <f>IF(ISNUMBER(SEARCH("R", 'Dry_Litterbag Placem_Collection'!$V73)),"YES","NO")</f>
        <v>NO</v>
      </c>
      <c r="AC366" s="252" t="str">
        <f>IF(ISNUMBER(SEARCH("C", 'Dry_Litterbag Placem_Collection'!$U73)),"YES","NO")</f>
        <v>NO</v>
      </c>
      <c r="AD366" s="252" t="str">
        <f>IF(ISNUMBER(SEARCH("H", 'Dry_Litterbag Placem_Collection'!$U73)),"YES","NO")</f>
        <v>NO</v>
      </c>
      <c r="AE366" s="252" t="str">
        <f>IF(ISNUMBER(SEARCH("R", 'Dry_Litterbag Placem_Collection'!$U73)),"YES","NO")</f>
        <v>NO</v>
      </c>
    </row>
    <row r="367" spans="2:31">
      <c r="B367" t="str">
        <f>'Final data_for_R_analysis_Dryse'!A513</f>
        <v>Dry</v>
      </c>
      <c r="C367" s="260">
        <f>'Final data_for_R_analysis_Dryse'!B513</f>
        <v>72</v>
      </c>
      <c r="D367" t="s">
        <v>3810</v>
      </c>
      <c r="E367" t="s">
        <v>25</v>
      </c>
      <c r="F367" s="382">
        <v>8</v>
      </c>
      <c r="G367" s="383">
        <f>IF('Dry_Litterbag Placem_Collection'!E74="","",'Dry_Litterbag Placem_Collection'!E74)</f>
        <v>42937</v>
      </c>
      <c r="H367" s="92" t="str">
        <f>'Final data_for_R_analysis_Dryse'!K513</f>
        <v>G714</v>
      </c>
      <c r="I367" t="str">
        <f>'Final data_for_R_analysis_Dryse'!K733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32"/>
        <v>1.7961999999999998</v>
      </c>
      <c r="M367" s="237">
        <f>AVERAGE(Ashed_controlls!$K$1:$K$11)</f>
        <v>5.5147656768714146</v>
      </c>
      <c r="N367" s="194">
        <f>IFERROR(IF(K367&gt;0,(K367*$F$32-($F$29+$F$30)),""),"")</f>
        <v>1.9291999999999998</v>
      </c>
      <c r="O367" s="383">
        <f>IF('Dry_Litterbag Placem_Collection'!G74="","",'Dry_Litterbag Placem_Collection'!G74)</f>
        <v>43006</v>
      </c>
      <c r="P367" s="194">
        <f>IFERROR(INDEX('Both teabags AfterDry'!$D$3:$D$2000,MATCH(H367,'Both teabags AfterDry'!$A$3:$A$2000,0)),"")</f>
        <v>1.8528</v>
      </c>
      <c r="Q367" s="194">
        <f>IFERROR(INDEX('Both teabags AfterDry'!$D$3:$D$2000,MATCH(I367,'Both teabags AfterDry'!$A$3:$A$2000,0)),"")</f>
        <v>1.9675</v>
      </c>
      <c r="R367" s="194">
        <f t="shared" si="33"/>
        <v>1.7021999999999999</v>
      </c>
      <c r="S367" s="194">
        <f t="shared" si="33"/>
        <v>1.8169</v>
      </c>
      <c r="T367" s="194">
        <f t="shared" si="34"/>
        <v>5.2332702371673423E-2</v>
      </c>
      <c r="U367" s="194">
        <f t="shared" si="35"/>
        <v>3.4308374951500853E-2</v>
      </c>
      <c r="V367" s="194">
        <f t="shared" si="36"/>
        <v>0.94178934273273907</v>
      </c>
      <c r="W367">
        <f t="shared" si="37"/>
        <v>69</v>
      </c>
      <c r="X367" s="194">
        <f t="shared" si="38"/>
        <v>0.93784714682699122</v>
      </c>
      <c r="Y367" s="194" t="str">
        <f t="shared" si="39"/>
        <v/>
      </c>
      <c r="Z367" s="252" t="str">
        <f>IF(ISNUMBER(SEARCH("C", 'Dry_Litterbag Placem_Collection'!$V74)),"YES","NO")</f>
        <v>NO</v>
      </c>
      <c r="AA367" s="252" t="str">
        <f>IF(ISNUMBER(SEARCH("H", 'Dry_Litterbag Placem_Collection'!$V74)),"YES","NO")</f>
        <v>NO</v>
      </c>
      <c r="AB367" s="252" t="str">
        <f>IF(ISNUMBER(SEARCH("R", 'Dry_Litterbag Placem_Collection'!$V74)),"YES","NO")</f>
        <v>NO</v>
      </c>
      <c r="AC367" s="252" t="str">
        <f>IF(ISNUMBER(SEARCH("C", 'Dry_Litterbag Placem_Collection'!$U74)),"YES","NO")</f>
        <v>NO</v>
      </c>
      <c r="AD367" s="252" t="str">
        <f>IF(ISNUMBER(SEARCH("H", 'Dry_Litterbag Placem_Collection'!$U74)),"YES","NO")</f>
        <v>NO</v>
      </c>
      <c r="AE367" s="252" t="str">
        <f>IF(ISNUMBER(SEARCH("R", 'Dry_Litterbag Placem_Collection'!$U74)),"YES","NO")</f>
        <v>NO</v>
      </c>
    </row>
    <row r="368" spans="2:31">
      <c r="B368" t="str">
        <f>'Final data_for_R_analysis_Dryse'!A514</f>
        <v>Dry</v>
      </c>
      <c r="C368" s="260">
        <f>'Final data_for_R_analysis_Dryse'!B514</f>
        <v>73</v>
      </c>
      <c r="D368" t="s">
        <v>3812</v>
      </c>
      <c r="E368" t="s">
        <v>25</v>
      </c>
      <c r="F368" s="381">
        <v>1</v>
      </c>
      <c r="G368" s="383">
        <f>IF('Dry_Litterbag Placem_Collection'!E75="","",'Dry_Litterbag Placem_Collection'!E75)</f>
        <v>42937</v>
      </c>
      <c r="H368" s="92" t="str">
        <f>'Final data_for_R_analysis_Dryse'!K514</f>
        <v>G726</v>
      </c>
      <c r="I368" t="str">
        <f>'Final data_for_R_analysis_Dryse'!K734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32"/>
        <v>1.7452000000000001</v>
      </c>
      <c r="M368" s="237">
        <f>AVERAGE(Ashed_controlls!$K$1:$K$11)</f>
        <v>5.5147656768714146</v>
      </c>
      <c r="N368" s="194">
        <f>IFERROR(IF(K368&gt;0,(K368*$F$32-($F$29+$F$30)),""),"")</f>
        <v>1.9382000000000001</v>
      </c>
      <c r="O368" s="383">
        <f>IF('Dry_Litterbag Placem_Collection'!G75="","",'Dry_Litterbag Placem_Collection'!G75)</f>
        <v>43006</v>
      </c>
      <c r="P368" s="194" t="str">
        <f>IFERROR(INDEX('Both teabags AfterDry'!$D$3:$D$2000,MATCH(H368,'Both teabags AfterDry'!$A$3:$A$2000,0)),"")</f>
        <v/>
      </c>
      <c r="Q368" s="194" t="str">
        <f>IFERROR(INDEX('Both teabags AfterDry'!$D$3:$D$2000,MATCH(I368,'Both teabags AfterDry'!$A$3:$A$2000,0)),"")</f>
        <v/>
      </c>
      <c r="R368" s="194" t="str">
        <f t="shared" si="33"/>
        <v/>
      </c>
      <c r="S368" s="194" t="str">
        <f t="shared" si="33"/>
        <v/>
      </c>
      <c r="T368" s="194" t="str">
        <f t="shared" si="34"/>
        <v/>
      </c>
      <c r="U368" s="194" t="str">
        <f t="shared" si="35"/>
        <v/>
      </c>
      <c r="V368" s="194" t="str">
        <f t="shared" si="36"/>
        <v/>
      </c>
      <c r="W368">
        <f t="shared" si="37"/>
        <v>69</v>
      </c>
      <c r="X368" s="194" t="str">
        <f t="shared" si="38"/>
        <v/>
      </c>
      <c r="Y368" s="194" t="str">
        <f t="shared" si="39"/>
        <v/>
      </c>
      <c r="Z368" s="252" t="str">
        <f>IF(ISNUMBER(SEARCH("C", 'Dry_Litterbag Placem_Collection'!$V75)),"YES","NO")</f>
        <v>NO</v>
      </c>
      <c r="AA368" s="252" t="str">
        <f>IF(ISNUMBER(SEARCH("H", 'Dry_Litterbag Placem_Collection'!$V75)),"YES","NO")</f>
        <v>NO</v>
      </c>
      <c r="AB368" s="252" t="str">
        <f>IF(ISNUMBER(SEARCH("R", 'Dry_Litterbag Placem_Collection'!$V75)),"YES","NO")</f>
        <v>NO</v>
      </c>
      <c r="AC368" s="252" t="str">
        <f>IF(ISNUMBER(SEARCH("C", 'Dry_Litterbag Placem_Collection'!$U75)),"YES","NO")</f>
        <v>NO</v>
      </c>
      <c r="AD368" s="252" t="str">
        <f>IF(ISNUMBER(SEARCH("H", 'Dry_Litterbag Placem_Collection'!$U75)),"YES","NO")</f>
        <v>NO</v>
      </c>
      <c r="AE368" s="252" t="str">
        <f>IF(ISNUMBER(SEARCH("R", 'Dry_Litterbag Placem_Collection'!$U75)),"YES","NO")</f>
        <v>NO</v>
      </c>
    </row>
    <row r="369" spans="2:31">
      <c r="B369" t="str">
        <f>'Final data_for_R_analysis_Dryse'!A515</f>
        <v>Dry</v>
      </c>
      <c r="C369" s="260">
        <f>'Final data_for_R_analysis_Dryse'!B515</f>
        <v>74</v>
      </c>
      <c r="D369" t="s">
        <v>3812</v>
      </c>
      <c r="E369" t="s">
        <v>25</v>
      </c>
      <c r="F369" s="381">
        <v>2</v>
      </c>
      <c r="G369" s="383">
        <f>IF('Dry_Litterbag Placem_Collection'!E76="","",'Dry_Litterbag Placem_Collection'!E76)</f>
        <v>42937</v>
      </c>
      <c r="H369" s="92" t="str">
        <f>'Final data_for_R_analysis_Dryse'!K515</f>
        <v>G866</v>
      </c>
      <c r="I369" t="str">
        <f>'Final data_for_R_analysis_Dryse'!K735</f>
        <v>R275</v>
      </c>
      <c r="J369">
        <f>IFERROR(INDEX('Green_rooibos initial weight'!$C$5:$C$2000,MATCH(H369, 'Green_rooibos initial weight'!$A$5:$A$2000,0)),"")</f>
        <v>2.0310000000000001</v>
      </c>
      <c r="K369">
        <f>IFERROR(INDEX('Green_rooibos initial weight'!$C$5:$C$2000,MATCH(I369, 'Green_rooibos initial weight'!$A$5:$A$2000,0)),"")</f>
        <v>0.22900000000000001</v>
      </c>
      <c r="L369" s="194">
        <f t="shared" si="32"/>
        <v>1.7812000000000001</v>
      </c>
      <c r="M369" s="237">
        <f>AVERAGE(Ashed_controlls!$K$1:$K$11)</f>
        <v>5.5147656768714146</v>
      </c>
      <c r="N369" s="194">
        <f>IFERROR(IF(K369&gt;0,(K369*$F$32-($F$29+$F$30)),""),"")</f>
        <v>-2.0800000000000013E-2</v>
      </c>
      <c r="O369" s="383">
        <f>IF('Dry_Litterbag Placem_Collection'!G76="","",'Dry_Litterbag Placem_Collection'!G76)</f>
        <v>43006</v>
      </c>
      <c r="P369" s="194">
        <f>IFERROR(INDEX('Both teabags AfterDry'!$D$3:$D$2000,MATCH(H369,'Both teabags AfterDry'!$A$3:$A$2000,0)),"")</f>
        <v>1.8541000000000001</v>
      </c>
      <c r="Q369" s="194">
        <f>IFERROR(INDEX('Both teabags AfterDry'!$D$3:$D$2000,MATCH(I369,'Both teabags AfterDry'!$A$3:$A$2000,0)),"")</f>
        <v>1.9981</v>
      </c>
      <c r="R369" s="194">
        <f t="shared" si="33"/>
        <v>1.7035</v>
      </c>
      <c r="S369" s="194">
        <f t="shared" si="33"/>
        <v>1.8474999999999999</v>
      </c>
      <c r="T369" s="194">
        <f t="shared" si="34"/>
        <v>4.3622277116550645E-2</v>
      </c>
      <c r="U369" s="194">
        <f t="shared" si="35"/>
        <v>2.859797739707361E-2</v>
      </c>
      <c r="V369" s="194">
        <f t="shared" si="36"/>
        <v>-88.82211538461533</v>
      </c>
      <c r="W369">
        <f t="shared" si="37"/>
        <v>69</v>
      </c>
      <c r="X369" s="194">
        <f t="shared" si="38"/>
        <v>0.94819206993283767</v>
      </c>
      <c r="Y369" s="194" t="str">
        <f t="shared" si="39"/>
        <v/>
      </c>
      <c r="Z369" s="252" t="str">
        <f>IF(ISNUMBER(SEARCH("C", 'Dry_Litterbag Placem_Collection'!$V76)),"YES","NO")</f>
        <v>NO</v>
      </c>
      <c r="AA369" s="252" t="str">
        <f>IF(ISNUMBER(SEARCH("H", 'Dry_Litterbag Placem_Collection'!$V76)),"YES","NO")</f>
        <v>NO</v>
      </c>
      <c r="AB369" s="252" t="str">
        <f>IF(ISNUMBER(SEARCH("R", 'Dry_Litterbag Placem_Collection'!$V76)),"YES","NO")</f>
        <v>NO</v>
      </c>
      <c r="AC369" s="252" t="str">
        <f>IF(ISNUMBER(SEARCH("C", 'Dry_Litterbag Placem_Collection'!$U76)),"YES","NO")</f>
        <v>NO</v>
      </c>
      <c r="AD369" s="252" t="str">
        <f>IF(ISNUMBER(SEARCH("H", 'Dry_Litterbag Placem_Collection'!$U76)),"YES","NO")</f>
        <v>NO</v>
      </c>
      <c r="AE369" s="252" t="str">
        <f>IF(ISNUMBER(SEARCH("R", 'Dry_Litterbag Placem_Collection'!$U76)),"YES","NO")</f>
        <v>NO</v>
      </c>
    </row>
    <row r="370" spans="2:31">
      <c r="B370" t="str">
        <f>'Final data_for_R_analysis_Dryse'!A516</f>
        <v>Dry</v>
      </c>
      <c r="C370" s="260">
        <f>'Final data_for_R_analysis_Dryse'!B516</f>
        <v>75</v>
      </c>
      <c r="D370" t="s">
        <v>3812</v>
      </c>
      <c r="E370" t="s">
        <v>25</v>
      </c>
      <c r="F370" s="381">
        <v>3</v>
      </c>
      <c r="G370" s="383">
        <f>IF('Dry_Litterbag Placem_Collection'!E77="","",'Dry_Litterbag Placem_Collection'!E77)</f>
        <v>42937</v>
      </c>
      <c r="H370" s="92" t="str">
        <f>'Final data_for_R_analysis_Dryse'!K516</f>
        <v>G705</v>
      </c>
      <c r="I370" t="str">
        <f>'Final data_for_R_analysis_Dryse'!K736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32"/>
        <v>1.7332000000000001</v>
      </c>
      <c r="M370" s="237">
        <f>AVERAGE(Ashed_controlls!$K$1:$K$11)</f>
        <v>5.5147656768714146</v>
      </c>
      <c r="N370" s="194">
        <f>IFERROR(IF(K370&gt;0,(K370*$F$32-($F$29+$F$30)),""),"")</f>
        <v>2.0011999999999999</v>
      </c>
      <c r="O370" s="383">
        <f>IF('Dry_Litterbag Placem_Collection'!G77="","",'Dry_Litterbag Placem_Collection'!G77)</f>
        <v>43006</v>
      </c>
      <c r="P370" s="194">
        <f>IFERROR(INDEX('Both teabags AfterDry'!$D$3:$D$2000,MATCH(H370,'Both teabags AfterDry'!$A$3:$A$2000,0)),"")</f>
        <v>1.8152999999999999</v>
      </c>
      <c r="Q370" s="194">
        <f>IFERROR(INDEX('Both teabags AfterDry'!$D$3:$D$2000,MATCH(I370,'Both teabags AfterDry'!$A$3:$A$2000,0)),"")</f>
        <v>2.0581999999999998</v>
      </c>
      <c r="R370" s="194">
        <f t="shared" si="33"/>
        <v>1.6646999999999998</v>
      </c>
      <c r="S370" s="194">
        <f t="shared" si="33"/>
        <v>1.9075999999999997</v>
      </c>
      <c r="T370" s="194">
        <f t="shared" si="34"/>
        <v>3.9522270943918913E-2</v>
      </c>
      <c r="U370" s="194">
        <f t="shared" si="35"/>
        <v>2.5910087364659457E-2</v>
      </c>
      <c r="V370" s="194">
        <f t="shared" si="36"/>
        <v>0.95322806316210262</v>
      </c>
      <c r="W370">
        <f t="shared" si="37"/>
        <v>69</v>
      </c>
      <c r="X370" s="194">
        <f t="shared" si="38"/>
        <v>0.95306143593358794</v>
      </c>
      <c r="Y370" s="194" t="str">
        <f t="shared" si="39"/>
        <v/>
      </c>
      <c r="Z370" s="252" t="str">
        <f>IF(ISNUMBER(SEARCH("C", 'Dry_Litterbag Placem_Collection'!$V77)),"YES","NO")</f>
        <v>NO</v>
      </c>
      <c r="AA370" s="252" t="str">
        <f>IF(ISNUMBER(SEARCH("H", 'Dry_Litterbag Placem_Collection'!$V77)),"YES","NO")</f>
        <v>NO</v>
      </c>
      <c r="AB370" s="252" t="str">
        <f>IF(ISNUMBER(SEARCH("R", 'Dry_Litterbag Placem_Collection'!$V77)),"YES","NO")</f>
        <v>NO</v>
      </c>
      <c r="AC370" s="252" t="str">
        <f>IF(ISNUMBER(SEARCH("C", 'Dry_Litterbag Placem_Collection'!$U77)),"YES","NO")</f>
        <v>NO</v>
      </c>
      <c r="AD370" s="252" t="str">
        <f>IF(ISNUMBER(SEARCH("H", 'Dry_Litterbag Placem_Collection'!$U77)),"YES","NO")</f>
        <v>NO</v>
      </c>
      <c r="AE370" s="252" t="str">
        <f>IF(ISNUMBER(SEARCH("R", 'Dry_Litterbag Placem_Collection'!$U77)),"YES","NO")</f>
        <v>NO</v>
      </c>
    </row>
    <row r="371" spans="2:31">
      <c r="B371" t="str">
        <f>'Final data_for_R_analysis_Dryse'!A517</f>
        <v>Dry</v>
      </c>
      <c r="C371" s="260">
        <f>'Final data_for_R_analysis_Dryse'!B517</f>
        <v>76</v>
      </c>
      <c r="D371" t="s">
        <v>3812</v>
      </c>
      <c r="E371" t="s">
        <v>25</v>
      </c>
      <c r="F371" s="382">
        <v>4</v>
      </c>
      <c r="G371" s="383">
        <f>IF('Dry_Litterbag Placem_Collection'!E78="","",'Dry_Litterbag Placem_Collection'!E78)</f>
        <v>42937</v>
      </c>
      <c r="H371" s="92" t="str">
        <f>'Final data_for_R_analysis_Dryse'!K517</f>
        <v>G601</v>
      </c>
      <c r="I371" t="str">
        <f>'Final data_for_R_analysis_Dryse'!K737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32"/>
        <v>1.7601999999999998</v>
      </c>
      <c r="M371" s="237">
        <f>AVERAGE(Ashed_controlls!$K$1:$K$11)</f>
        <v>5.5147656768714146</v>
      </c>
      <c r="N371" s="194">
        <f>IFERROR(IF(K371&gt;0,(K371*$F$32-($F$29+$F$30)),""),"")</f>
        <v>1.9942000000000002</v>
      </c>
      <c r="O371" s="383">
        <f>IF('Dry_Litterbag Placem_Collection'!G78="","",'Dry_Litterbag Placem_Collection'!G78)</f>
        <v>43006</v>
      </c>
      <c r="P371" s="194">
        <f>IFERROR(INDEX('Both teabags AfterDry'!$D$3:$D$2000,MATCH(H371,'Both teabags AfterDry'!$A$3:$A$2000,0)),"")</f>
        <v>1.8379000000000001</v>
      </c>
      <c r="Q371" s="194">
        <f>IFERROR(INDEX('Both teabags AfterDry'!$D$3:$D$2000,MATCH(I371,'Both teabags AfterDry'!$A$3:$A$2000,0)),"")</f>
        <v>2.0337999999999998</v>
      </c>
      <c r="R371" s="194">
        <f t="shared" si="33"/>
        <v>1.6873</v>
      </c>
      <c r="S371" s="194">
        <f t="shared" si="33"/>
        <v>1.8831999999999998</v>
      </c>
      <c r="T371" s="194">
        <f t="shared" si="34"/>
        <v>4.1415748210430481E-2</v>
      </c>
      <c r="U371" s="194">
        <f t="shared" si="35"/>
        <v>2.7151416879047059E-2</v>
      </c>
      <c r="V371" s="194">
        <f t="shared" si="36"/>
        <v>0.94433858188747344</v>
      </c>
      <c r="W371">
        <f t="shared" si="37"/>
        <v>69</v>
      </c>
      <c r="X371" s="194">
        <f t="shared" si="38"/>
        <v>0.95081265058143649</v>
      </c>
      <c r="Y371" s="194" t="str">
        <f t="shared" si="39"/>
        <v/>
      </c>
      <c r="Z371" s="252" t="str">
        <f>IF(ISNUMBER(SEARCH("C", 'Dry_Litterbag Placem_Collection'!$V78)),"YES","NO")</f>
        <v>NO</v>
      </c>
      <c r="AA371" s="252" t="str">
        <f>IF(ISNUMBER(SEARCH("H", 'Dry_Litterbag Placem_Collection'!$V78)),"YES","NO")</f>
        <v>NO</v>
      </c>
      <c r="AB371" s="252" t="str">
        <f>IF(ISNUMBER(SEARCH("R", 'Dry_Litterbag Placem_Collection'!$V78)),"YES","NO")</f>
        <v>NO</v>
      </c>
      <c r="AC371" s="252" t="str">
        <f>IF(ISNUMBER(SEARCH("C", 'Dry_Litterbag Placem_Collection'!$U78)),"YES","NO")</f>
        <v>NO</v>
      </c>
      <c r="AD371" s="252" t="str">
        <f>IF(ISNUMBER(SEARCH("H", 'Dry_Litterbag Placem_Collection'!$U78)),"YES","NO")</f>
        <v>NO</v>
      </c>
      <c r="AE371" s="252" t="str">
        <f>IF(ISNUMBER(SEARCH("R", 'Dry_Litterbag Placem_Collection'!$U78)),"YES","NO")</f>
        <v>NO</v>
      </c>
    </row>
    <row r="372" spans="2:31">
      <c r="B372" t="str">
        <f>'Final data_for_R_analysis_Dryse'!A518</f>
        <v>Dry</v>
      </c>
      <c r="C372" s="260">
        <f>'Final data_for_R_analysis_Dryse'!B518</f>
        <v>77</v>
      </c>
      <c r="D372" t="s">
        <v>3812</v>
      </c>
      <c r="E372" t="s">
        <v>25</v>
      </c>
      <c r="F372" s="382">
        <v>5</v>
      </c>
      <c r="G372" s="383" t="str">
        <f>IF('Dry_Litterbag Placem_Collection'!E79="","",'Dry_Litterbag Placem_Collection'!E79)</f>
        <v/>
      </c>
      <c r="H372" s="92" t="str">
        <f>'Final data_for_R_analysis_Dryse'!K518</f>
        <v/>
      </c>
      <c r="I372" t="str">
        <f>'Final data_for_R_analysis_Dryse'!K738</f>
        <v/>
      </c>
      <c r="J372" t="str">
        <f>IFERROR(INDEX('Green_rooibos initial weight'!$C$5:$C$2000,MATCH(H372, 'Green_rooibos initial weight'!$A$5:$A$2000,0)),"")</f>
        <v/>
      </c>
      <c r="K372" t="str">
        <f>IFERROR(INDEX('Green_rooibos initial weight'!$C$5:$C$2000,MATCH(I372, 'Green_rooibos initial weight'!$A$5:$A$2000,0)),"")</f>
        <v/>
      </c>
      <c r="L372" s="194" t="str">
        <f t="shared" si="32"/>
        <v/>
      </c>
      <c r="M372" s="237">
        <f>AVERAGE(Ashed_controlls!$K$1:$K$11)</f>
        <v>5.5147656768714146</v>
      </c>
      <c r="N372" s="194" t="str">
        <f>IFERROR(IF(K372&gt;0,(K372*$F$32-($F$29+$F$30)),""),"")</f>
        <v/>
      </c>
      <c r="O372" s="383" t="str">
        <f>IF('Dry_Litterbag Placem_Collection'!G79="","",'Dry_Litterbag Placem_Collection'!G79)</f>
        <v/>
      </c>
      <c r="P372" s="194" t="str">
        <f>IFERROR(INDEX('Both teabags AfterDry'!$D$3:$D$2000,MATCH(H372,'Both teabags AfterDry'!$A$3:$A$2000,0)),"")</f>
        <v/>
      </c>
      <c r="Q372" s="194" t="str">
        <f>IFERROR(INDEX('Both teabags AfterDry'!$D$3:$D$2000,MATCH(I372,'Both teabags AfterDry'!$A$3:$A$2000,0)),"")</f>
        <v/>
      </c>
      <c r="R372" s="194" t="str">
        <f t="shared" si="33"/>
        <v/>
      </c>
      <c r="S372" s="194" t="str">
        <f t="shared" si="33"/>
        <v/>
      </c>
      <c r="T372" s="194" t="str">
        <f t="shared" si="34"/>
        <v/>
      </c>
      <c r="U372" s="194" t="str">
        <f t="shared" si="35"/>
        <v/>
      </c>
      <c r="V372" s="194" t="str">
        <f t="shared" si="36"/>
        <v/>
      </c>
      <c r="W372" t="str">
        <f t="shared" si="37"/>
        <v/>
      </c>
      <c r="X372" s="194" t="str">
        <f t="shared" si="38"/>
        <v/>
      </c>
      <c r="Y372" s="194" t="str">
        <f t="shared" si="39"/>
        <v/>
      </c>
      <c r="Z372" s="252" t="str">
        <f>IF(ISNUMBER(SEARCH("C", 'Dry_Litterbag Placem_Collection'!$V79)),"YES","NO")</f>
        <v>NO</v>
      </c>
      <c r="AA372" s="252" t="str">
        <f>IF(ISNUMBER(SEARCH("H", 'Dry_Litterbag Placem_Collection'!$V79)),"YES","NO")</f>
        <v>NO</v>
      </c>
      <c r="AB372" s="252" t="str">
        <f>IF(ISNUMBER(SEARCH("R", 'Dry_Litterbag Placem_Collection'!$V79)),"YES","NO")</f>
        <v>NO</v>
      </c>
      <c r="AC372" s="252" t="str">
        <f>IF(ISNUMBER(SEARCH("C", 'Dry_Litterbag Placem_Collection'!$U79)),"YES","NO")</f>
        <v>NO</v>
      </c>
      <c r="AD372" s="252" t="str">
        <f>IF(ISNUMBER(SEARCH("H", 'Dry_Litterbag Placem_Collection'!$U79)),"YES","NO")</f>
        <v>NO</v>
      </c>
      <c r="AE372" s="252" t="str">
        <f>IF(ISNUMBER(SEARCH("R", 'Dry_Litterbag Placem_Collection'!$U79)),"YES","NO")</f>
        <v>NO</v>
      </c>
    </row>
    <row r="373" spans="2:31">
      <c r="B373" t="str">
        <f>'Final data_for_R_analysis_Dryse'!A519</f>
        <v>Dry</v>
      </c>
      <c r="C373" s="260">
        <f>'Final data_for_R_analysis_Dryse'!B519</f>
        <v>78</v>
      </c>
      <c r="D373" t="s">
        <v>3812</v>
      </c>
      <c r="E373" t="s">
        <v>25</v>
      </c>
      <c r="F373" s="382">
        <v>6</v>
      </c>
      <c r="G373" s="383">
        <f>IF('Dry_Litterbag Placem_Collection'!E80="","",'Dry_Litterbag Placem_Collection'!E80)</f>
        <v>42937</v>
      </c>
      <c r="H373" s="92" t="str">
        <f>'Final data_for_R_analysis_Dryse'!K519</f>
        <v>G157</v>
      </c>
      <c r="I373" t="str">
        <f>'Final data_for_R_analysis_Dryse'!K739</f>
        <v>R377</v>
      </c>
      <c r="J373">
        <f>IFERROR(INDEX('Green_rooibos initial weight'!$C$5:$C$2000,MATCH(H373, 'Green_rooibos initial weight'!$A$5:$A$2000,0)),"")</f>
        <v>1.994</v>
      </c>
      <c r="K373">
        <f>IFERROR(INDEX('Green_rooibos initial weight'!$C$5:$C$2000,MATCH(I373, 'Green_rooibos initial weight'!$A$5:$A$2000,0)),"")</f>
        <v>2.2309999999999999</v>
      </c>
      <c r="L373" s="194">
        <f t="shared" si="32"/>
        <v>1.7442</v>
      </c>
      <c r="M373" s="237">
        <f>AVERAGE(Ashed_controlls!$K$1:$K$11)</f>
        <v>5.5147656768714146</v>
      </c>
      <c r="N373" s="194">
        <f>IFERROR(IF(K373&gt;0,(K373*$F$32-($F$29+$F$30)),""),"")</f>
        <v>1.9811999999999999</v>
      </c>
      <c r="O373" s="383">
        <f>IF('Dry_Litterbag Placem_Collection'!G80="","",'Dry_Litterbag Placem_Collection'!G80)</f>
        <v>43006</v>
      </c>
      <c r="P373" s="194">
        <f>IFERROR(INDEX('Both teabags AfterDry'!$D$3:$D$2000,MATCH(H373,'Both teabags AfterDry'!$A$3:$A$2000,0)),"")</f>
        <v>1.8103</v>
      </c>
      <c r="Q373" s="194">
        <f>IFERROR(INDEX('Both teabags AfterDry'!$D$3:$D$2000,MATCH(I373,'Both teabags AfterDry'!$A$3:$A$2000,0)),"")</f>
        <v>1.9925999999999999</v>
      </c>
      <c r="R373" s="194">
        <f t="shared" si="33"/>
        <v>1.6597</v>
      </c>
      <c r="S373" s="194">
        <f t="shared" si="33"/>
        <v>1.8419999999999999</v>
      </c>
      <c r="T373" s="194">
        <f t="shared" si="34"/>
        <v>4.8446279096433953E-2</v>
      </c>
      <c r="U373" s="194">
        <f t="shared" si="35"/>
        <v>3.1760506010963849E-2</v>
      </c>
      <c r="V373" s="194">
        <f t="shared" si="36"/>
        <v>0.9297395517867959</v>
      </c>
      <c r="W373">
        <f t="shared" si="37"/>
        <v>69</v>
      </c>
      <c r="X373" s="194">
        <f t="shared" si="38"/>
        <v>0.94246285142941333</v>
      </c>
      <c r="Y373" s="194" t="str">
        <f t="shared" si="39"/>
        <v/>
      </c>
      <c r="Z373" s="252" t="str">
        <f>IF(ISNUMBER(SEARCH("C", 'Dry_Litterbag Placem_Collection'!$V80)),"YES","NO")</f>
        <v>NO</v>
      </c>
      <c r="AA373" s="252" t="str">
        <f>IF(ISNUMBER(SEARCH("H", 'Dry_Litterbag Placem_Collection'!$V80)),"YES","NO")</f>
        <v>NO</v>
      </c>
      <c r="AB373" s="252" t="str">
        <f>IF(ISNUMBER(SEARCH("R", 'Dry_Litterbag Placem_Collection'!$V80)),"YES","NO")</f>
        <v>NO</v>
      </c>
      <c r="AC373" s="252" t="str">
        <f>IF(ISNUMBER(SEARCH("C", 'Dry_Litterbag Placem_Collection'!$U80)),"YES","NO")</f>
        <v>NO</v>
      </c>
      <c r="AD373" s="252" t="str">
        <f>IF(ISNUMBER(SEARCH("H", 'Dry_Litterbag Placem_Collection'!$U80)),"YES","NO")</f>
        <v>NO</v>
      </c>
      <c r="AE373" s="252" t="str">
        <f>IF(ISNUMBER(SEARCH("R", 'Dry_Litterbag Placem_Collection'!$U80)),"YES","NO")</f>
        <v>NO</v>
      </c>
    </row>
    <row r="374" spans="2:31">
      <c r="B374" t="str">
        <f>'Final data_for_R_analysis_Dryse'!A520</f>
        <v>Dry</v>
      </c>
      <c r="C374" s="260">
        <f>'Final data_for_R_analysis_Dryse'!B520</f>
        <v>79</v>
      </c>
      <c r="D374" t="s">
        <v>3812</v>
      </c>
      <c r="E374" t="s">
        <v>25</v>
      </c>
      <c r="F374" s="382">
        <v>7</v>
      </c>
      <c r="G374" s="383">
        <f>IF('Dry_Litterbag Placem_Collection'!E81="","",'Dry_Litterbag Placem_Collection'!E81)</f>
        <v>42937</v>
      </c>
      <c r="H374" s="92" t="str">
        <f>'Final data_for_R_analysis_Dryse'!K520</f>
        <v>G226</v>
      </c>
      <c r="I374" t="str">
        <f>'Final data_for_R_analysis_Dryse'!K740</f>
        <v>R61</v>
      </c>
      <c r="J374">
        <f>IFERROR(INDEX('Green_rooibos initial weight'!$C$5:$C$2000,MATCH(H374, 'Green_rooibos initial weight'!$A$5:$A$2000,0)),"")</f>
        <v>1.929</v>
      </c>
      <c r="K374">
        <f>IFERROR(INDEX('Green_rooibos initial weight'!$C$5:$C$2000,MATCH(I374, 'Green_rooibos initial weight'!$A$5:$A$2000,0)),"")</f>
        <v>2.2450000000000001</v>
      </c>
      <c r="L374" s="194">
        <f t="shared" si="32"/>
        <v>1.6792</v>
      </c>
      <c r="M374" s="237">
        <f>AVERAGE(Ashed_controlls!$K$1:$K$11)</f>
        <v>5.5147656768714146</v>
      </c>
      <c r="N374" s="194">
        <f>IFERROR(IF(K374&gt;0,(K374*$F$32-($F$29+$F$30)),""),"")</f>
        <v>1.9952000000000001</v>
      </c>
      <c r="O374" s="383">
        <f>IF('Dry_Litterbag Placem_Collection'!G81="","",'Dry_Litterbag Placem_Collection'!G81)</f>
        <v>43006</v>
      </c>
      <c r="P374" s="194">
        <f>IFERROR(INDEX('Both teabags AfterDry'!$D$3:$D$2000,MATCH(H374,'Both teabags AfterDry'!$A$3:$A$2000,0)),"")</f>
        <v>1.7826</v>
      </c>
      <c r="Q374" s="194">
        <f>IFERROR(INDEX('Both teabags AfterDry'!$D$3:$D$2000,MATCH(I374,'Both teabags AfterDry'!$A$3:$A$2000,0)),"")</f>
        <v>1.9782999999999999</v>
      </c>
      <c r="R374" s="194">
        <f t="shared" si="33"/>
        <v>1.6319999999999999</v>
      </c>
      <c r="S374" s="194">
        <f t="shared" si="33"/>
        <v>1.8276999999999999</v>
      </c>
      <c r="T374" s="194">
        <f t="shared" si="34"/>
        <v>2.810862315388285E-2</v>
      </c>
      <c r="U374" s="194">
        <f t="shared" si="35"/>
        <v>1.842750591560964E-2</v>
      </c>
      <c r="V374" s="194">
        <f t="shared" si="36"/>
        <v>0.91604851643945462</v>
      </c>
      <c r="W374">
        <f t="shared" si="37"/>
        <v>69</v>
      </c>
      <c r="X374" s="194">
        <f t="shared" si="38"/>
        <v>0.96661683710940283</v>
      </c>
      <c r="Y374" s="194" t="str">
        <f t="shared" si="39"/>
        <v/>
      </c>
      <c r="Z374" s="252" t="str">
        <f>IF(ISNUMBER(SEARCH("C", 'Dry_Litterbag Placem_Collection'!$V81)),"YES","NO")</f>
        <v>NO</v>
      </c>
      <c r="AA374" s="252" t="str">
        <f>IF(ISNUMBER(SEARCH("H", 'Dry_Litterbag Placem_Collection'!$V81)),"YES","NO")</f>
        <v>NO</v>
      </c>
      <c r="AB374" s="252" t="str">
        <f>IF(ISNUMBER(SEARCH("R", 'Dry_Litterbag Placem_Collection'!$V81)),"YES","NO")</f>
        <v>NO</v>
      </c>
      <c r="AC374" s="252" t="str">
        <f>IF(ISNUMBER(SEARCH("C", 'Dry_Litterbag Placem_Collection'!$U81)),"YES","NO")</f>
        <v>NO</v>
      </c>
      <c r="AD374" s="252" t="str">
        <f>IF(ISNUMBER(SEARCH("H", 'Dry_Litterbag Placem_Collection'!$U81)),"YES","NO")</f>
        <v>NO</v>
      </c>
      <c r="AE374" s="252" t="str">
        <f>IF(ISNUMBER(SEARCH("R", 'Dry_Litterbag Placem_Collection'!$U81)),"YES","NO")</f>
        <v>NO</v>
      </c>
    </row>
    <row r="375" spans="2:31">
      <c r="B375" t="str">
        <f>'Final data_for_R_analysis_Dryse'!A521</f>
        <v>Dry</v>
      </c>
      <c r="C375" s="260">
        <f>'Final data_for_R_analysis_Dryse'!B521</f>
        <v>80</v>
      </c>
      <c r="D375" t="s">
        <v>3812</v>
      </c>
      <c r="E375" t="s">
        <v>25</v>
      </c>
      <c r="F375" s="382">
        <v>8</v>
      </c>
      <c r="G375" s="383">
        <f>IF('Dry_Litterbag Placem_Collection'!E82="","",'Dry_Litterbag Placem_Collection'!E82)</f>
        <v>42937</v>
      </c>
      <c r="H375" s="92" t="str">
        <f>'Final data_for_R_analysis_Dryse'!K521</f>
        <v>G855</v>
      </c>
      <c r="I375" t="str">
        <f>'Final data_for_R_analysis_Dryse'!K741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32"/>
        <v>1.7072000000000001</v>
      </c>
      <c r="M375" s="237">
        <f>AVERAGE(Ashed_controlls!$K$1:$K$11)</f>
        <v>5.5147656768714146</v>
      </c>
      <c r="N375" s="194">
        <f>IFERROR(IF(K375&gt;0,(K375*$F$32-($F$29+$F$30)),""),"")</f>
        <v>1.9302000000000001</v>
      </c>
      <c r="O375" s="383">
        <f>IF('Dry_Litterbag Placem_Collection'!G82="","",'Dry_Litterbag Placem_Collection'!G82)</f>
        <v>43006</v>
      </c>
      <c r="P375" s="194">
        <f>IFERROR(INDEX('Both teabags AfterDry'!$D$3:$D$2000,MATCH(H375,'Both teabags AfterDry'!$A$3:$A$2000,0)),"")</f>
        <v>1.7664</v>
      </c>
      <c r="Q375" s="194">
        <f>IFERROR(INDEX('Both teabags AfterDry'!$D$3:$D$2000,MATCH(I375,'Both teabags AfterDry'!$A$3:$A$2000,0)),"")</f>
        <v>2.0047999999999999</v>
      </c>
      <c r="R375" s="194">
        <f t="shared" si="33"/>
        <v>1.6157999999999999</v>
      </c>
      <c r="S375" s="194">
        <f t="shared" si="33"/>
        <v>1.8541999999999998</v>
      </c>
      <c r="T375" s="194">
        <f t="shared" si="34"/>
        <v>5.3537956888472404E-2</v>
      </c>
      <c r="U375" s="194">
        <f t="shared" si="35"/>
        <v>3.5098518055150588E-2</v>
      </c>
      <c r="V375" s="194">
        <f t="shared" si="36"/>
        <v>0.96062584188167011</v>
      </c>
      <c r="W375">
        <f t="shared" si="37"/>
        <v>69</v>
      </c>
      <c r="X375" s="194">
        <f t="shared" si="38"/>
        <v>0.93641572816095908</v>
      </c>
      <c r="Y375" s="194" t="str">
        <f t="shared" si="39"/>
        <v/>
      </c>
      <c r="Z375" s="252" t="str">
        <f>IF(ISNUMBER(SEARCH("C", 'Dry_Litterbag Placem_Collection'!$V82)),"YES","NO")</f>
        <v>NO</v>
      </c>
      <c r="AA375" s="252" t="str">
        <f>IF(ISNUMBER(SEARCH("H", 'Dry_Litterbag Placem_Collection'!$V82)),"YES","NO")</f>
        <v>NO</v>
      </c>
      <c r="AB375" s="252" t="str">
        <f>IF(ISNUMBER(SEARCH("R", 'Dry_Litterbag Placem_Collection'!$V82)),"YES","NO")</f>
        <v>NO</v>
      </c>
      <c r="AC375" s="252" t="str">
        <f>IF(ISNUMBER(SEARCH("C", 'Dry_Litterbag Placem_Collection'!$U82)),"YES","NO")</f>
        <v>NO</v>
      </c>
      <c r="AD375" s="252" t="str">
        <f>IF(ISNUMBER(SEARCH("H", 'Dry_Litterbag Placem_Collection'!$U82)),"YES","NO")</f>
        <v>NO</v>
      </c>
      <c r="AE375" s="252" t="str">
        <f>IF(ISNUMBER(SEARCH("R", 'Dry_Litterbag Placem_Collection'!$U82)),"YES","NO")</f>
        <v>NO</v>
      </c>
    </row>
    <row r="376" spans="2:31">
      <c r="B376" t="str">
        <f>'Final data_for_R_analysis_Dryse'!A522</f>
        <v>Dry</v>
      </c>
      <c r="C376" s="260">
        <f>'Final data_for_R_analysis_Dryse'!B522</f>
        <v>81</v>
      </c>
      <c r="D376" t="s">
        <v>3813</v>
      </c>
      <c r="E376" t="s">
        <v>25</v>
      </c>
      <c r="F376" s="381">
        <v>1</v>
      </c>
      <c r="G376" s="383">
        <f>IF('Dry_Litterbag Placem_Collection'!E83="","",'Dry_Litterbag Placem_Collection'!E83)</f>
        <v>42937</v>
      </c>
      <c r="H376" s="92" t="str">
        <f>'Final data_for_R_analysis_Dryse'!K522</f>
        <v>G413</v>
      </c>
      <c r="I376" t="str">
        <f>'Final data_for_R_analysis_Dryse'!K742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32"/>
        <v>1.9091999999999998</v>
      </c>
      <c r="M376" s="237">
        <f>AVERAGE(Ashed_controlls!$K$1:$K$11)</f>
        <v>5.5147656768714146</v>
      </c>
      <c r="N376" s="194">
        <f>IFERROR(IF(K376&gt;0,(K376*$F$32-($F$29+$F$30)),""),"")</f>
        <v>1.9832000000000001</v>
      </c>
      <c r="O376" s="383">
        <f>IF('Dry_Litterbag Placem_Collection'!G83="","",'Dry_Litterbag Placem_Collection'!G83)</f>
        <v>43006</v>
      </c>
      <c r="P376" s="194">
        <f>IFERROR(INDEX('Both teabags AfterDry'!$D$3:$D$2000,MATCH(H376,'Both teabags AfterDry'!$A$3:$A$2000,0)),"")</f>
        <v>1.9466000000000001</v>
      </c>
      <c r="Q376" s="194">
        <f>IFERROR(INDEX('Both teabags AfterDry'!$D$3:$D$2000,MATCH(I376,'Both teabags AfterDry'!$A$3:$A$2000,0)),"")</f>
        <v>1.9832000000000001</v>
      </c>
      <c r="R376" s="194">
        <f t="shared" si="33"/>
        <v>1.796</v>
      </c>
      <c r="S376" s="194">
        <f t="shared" si="33"/>
        <v>1.8326</v>
      </c>
      <c r="T376" s="194">
        <f t="shared" si="34"/>
        <v>5.9291849989524303E-2</v>
      </c>
      <c r="U376" s="194">
        <f t="shared" si="35"/>
        <v>3.8870666501445862E-2</v>
      </c>
      <c r="V376" s="194">
        <f t="shared" si="36"/>
        <v>0.92406212182331582</v>
      </c>
      <c r="W376">
        <f t="shared" si="37"/>
        <v>69</v>
      </c>
      <c r="X376" s="194">
        <f t="shared" si="38"/>
        <v>0.92958212590317779</v>
      </c>
      <c r="Y376" s="194" t="str">
        <f t="shared" si="39"/>
        <v/>
      </c>
      <c r="Z376" s="252" t="str">
        <f>IF(ISNUMBER(SEARCH("C", 'Dry_Litterbag Placem_Collection'!$V83)),"YES","NO")</f>
        <v>NO</v>
      </c>
      <c r="AA376" s="252" t="str">
        <f>IF(ISNUMBER(SEARCH("H", 'Dry_Litterbag Placem_Collection'!$V83)),"YES","NO")</f>
        <v>NO</v>
      </c>
      <c r="AB376" s="252" t="str">
        <f>IF(ISNUMBER(SEARCH("R", 'Dry_Litterbag Placem_Collection'!$V83)),"YES","NO")</f>
        <v>NO</v>
      </c>
      <c r="AC376" s="252" t="str">
        <f>IF(ISNUMBER(SEARCH("C", 'Dry_Litterbag Placem_Collection'!$U83)),"YES","NO")</f>
        <v>NO</v>
      </c>
      <c r="AD376" s="252" t="str">
        <f>IF(ISNUMBER(SEARCH("H", 'Dry_Litterbag Placem_Collection'!$U83)),"YES","NO")</f>
        <v>NO</v>
      </c>
      <c r="AE376" s="252" t="str">
        <f>IF(ISNUMBER(SEARCH("R", 'Dry_Litterbag Placem_Collection'!$U83)),"YES","NO")</f>
        <v>NO</v>
      </c>
    </row>
    <row r="377" spans="2:31">
      <c r="B377" t="str">
        <f>'Final data_for_R_analysis_Dryse'!A523</f>
        <v>Dry</v>
      </c>
      <c r="C377" s="260">
        <f>'Final data_for_R_analysis_Dryse'!B523</f>
        <v>82</v>
      </c>
      <c r="D377" t="s">
        <v>3813</v>
      </c>
      <c r="E377" t="s">
        <v>25</v>
      </c>
      <c r="F377" s="381">
        <v>2</v>
      </c>
      <c r="G377" s="383">
        <f>IF('Dry_Litterbag Placem_Collection'!E84="","",'Dry_Litterbag Placem_Collection'!E84)</f>
        <v>42937</v>
      </c>
      <c r="H377" s="92" t="str">
        <f>'Final data_for_R_analysis_Dryse'!K523</f>
        <v>G370</v>
      </c>
      <c r="I377" t="str">
        <f>'Final data_for_R_analysis_Dryse'!K743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32"/>
        <v>1.8121999999999998</v>
      </c>
      <c r="M377" s="237">
        <f>AVERAGE(Ashed_controlls!$K$1:$K$11)</f>
        <v>5.5147656768714146</v>
      </c>
      <c r="N377" s="194">
        <f>IFERROR(IF(K377&gt;0,(K377*$F$32-($F$29+$F$30)),""),"")</f>
        <v>1.8732000000000002</v>
      </c>
      <c r="O377" s="383">
        <f>IF('Dry_Litterbag Placem_Collection'!G84="","",'Dry_Litterbag Placem_Collection'!G84)</f>
        <v>43006</v>
      </c>
      <c r="P377" s="194">
        <f>IFERROR(INDEX('Both teabags AfterDry'!$D$3:$D$2000,MATCH(H377,'Both teabags AfterDry'!$A$3:$A$2000,0)),"")</f>
        <v>1.8433999999999999</v>
      </c>
      <c r="Q377" s="194">
        <f>IFERROR(INDEX('Both teabags AfterDry'!$D$3:$D$2000,MATCH(I377,'Both teabags AfterDry'!$A$3:$A$2000,0)),"")</f>
        <v>1.9097999999999999</v>
      </c>
      <c r="R377" s="194">
        <f t="shared" si="33"/>
        <v>1.6927999999999999</v>
      </c>
      <c r="S377" s="194">
        <f t="shared" si="33"/>
        <v>1.7591999999999999</v>
      </c>
      <c r="T377" s="194">
        <f t="shared" si="34"/>
        <v>6.5886767464959695E-2</v>
      </c>
      <c r="U377" s="194">
        <f t="shared" si="35"/>
        <v>4.3194175345199232E-2</v>
      </c>
      <c r="V377" s="194">
        <f t="shared" si="36"/>
        <v>0.93914157591287617</v>
      </c>
      <c r="W377">
        <f t="shared" si="37"/>
        <v>69</v>
      </c>
      <c r="X377" s="194">
        <f t="shared" si="38"/>
        <v>0.92174968234565358</v>
      </c>
      <c r="Y377" s="194" t="str">
        <f t="shared" si="39"/>
        <v/>
      </c>
      <c r="Z377" s="252" t="str">
        <f>IF(ISNUMBER(SEARCH("C", 'Dry_Litterbag Placem_Collection'!$V84)),"YES","NO")</f>
        <v>NO</v>
      </c>
      <c r="AA377" s="252" t="str">
        <f>IF(ISNUMBER(SEARCH("H", 'Dry_Litterbag Placem_Collection'!$V84)),"YES","NO")</f>
        <v>NO</v>
      </c>
      <c r="AB377" s="252" t="str">
        <f>IF(ISNUMBER(SEARCH("R", 'Dry_Litterbag Placem_Collection'!$V84)),"YES","NO")</f>
        <v>NO</v>
      </c>
      <c r="AC377" s="252" t="str">
        <f>IF(ISNUMBER(SEARCH("C", 'Dry_Litterbag Placem_Collection'!$U84)),"YES","NO")</f>
        <v>NO</v>
      </c>
      <c r="AD377" s="252" t="str">
        <f>IF(ISNUMBER(SEARCH("H", 'Dry_Litterbag Placem_Collection'!$U84)),"YES","NO")</f>
        <v>NO</v>
      </c>
      <c r="AE377" s="252" t="str">
        <f>IF(ISNUMBER(SEARCH("R", 'Dry_Litterbag Placem_Collection'!$U84)),"YES","NO")</f>
        <v>NO</v>
      </c>
    </row>
    <row r="378" spans="2:31">
      <c r="B378" t="str">
        <f>'Final data_for_R_analysis_Dryse'!A524</f>
        <v>Dry</v>
      </c>
      <c r="C378" s="260">
        <f>'Final data_for_R_analysis_Dryse'!B524</f>
        <v>83</v>
      </c>
      <c r="D378" t="s">
        <v>3813</v>
      </c>
      <c r="E378" t="s">
        <v>25</v>
      </c>
      <c r="F378" s="381">
        <v>3</v>
      </c>
      <c r="G378" s="383">
        <f>IF('Dry_Litterbag Placem_Collection'!E85="","",'Dry_Litterbag Placem_Collection'!E85)</f>
        <v>42937</v>
      </c>
      <c r="H378" s="92" t="str">
        <f>'Final data_for_R_analysis_Dryse'!K524</f>
        <v>G879</v>
      </c>
      <c r="I378" t="str">
        <f>'Final data_for_R_analysis_Dryse'!K744</f>
        <v>R614</v>
      </c>
      <c r="J378">
        <f>IFERROR(INDEX('Green_rooibos initial weight'!$C$5:$C$2000,MATCH(H378, 'Green_rooibos initial weight'!$A$5:$A$2000,0)),"")</f>
        <v>2.09</v>
      </c>
      <c r="K378">
        <f>IFERROR(INDEX('Green_rooibos initial weight'!$C$5:$C$2000,MATCH(I378, 'Green_rooibos initial weight'!$A$5:$A$2000,0)),"")</f>
        <v>2.1459999999999999</v>
      </c>
      <c r="L378" s="194">
        <f t="shared" si="32"/>
        <v>1.8401999999999998</v>
      </c>
      <c r="M378" s="237">
        <f>AVERAGE(Ashed_controlls!$K$1:$K$11)</f>
        <v>5.5147656768714146</v>
      </c>
      <c r="N378" s="194">
        <f>IFERROR(IF(K378&gt;0,(K378*$F$32-($F$29+$F$30)),""),"")</f>
        <v>1.8961999999999999</v>
      </c>
      <c r="O378" s="383">
        <f>IF('Dry_Litterbag Placem_Collection'!G85="","",'Dry_Litterbag Placem_Collection'!G85)</f>
        <v>43006</v>
      </c>
      <c r="P378" s="194">
        <f>IFERROR(INDEX('Both teabags AfterDry'!$D$3:$D$2000,MATCH(H378,'Both teabags AfterDry'!$A$3:$A$2000,0)),"")</f>
        <v>1.8814</v>
      </c>
      <c r="Q378" s="194">
        <f>IFERROR(INDEX('Both teabags AfterDry'!$D$3:$D$2000,MATCH(I378,'Both teabags AfterDry'!$A$3:$A$2000,0)),"")</f>
        <v>1.9262999999999999</v>
      </c>
      <c r="R378" s="194">
        <f t="shared" si="33"/>
        <v>1.7307999999999999</v>
      </c>
      <c r="S378" s="194">
        <f t="shared" si="33"/>
        <v>1.7756999999999998</v>
      </c>
      <c r="T378" s="194">
        <f t="shared" si="34"/>
        <v>5.9450059776111286E-2</v>
      </c>
      <c r="U378" s="194">
        <f t="shared" si="35"/>
        <v>3.8974385981488634E-2</v>
      </c>
      <c r="V378" s="194">
        <f t="shared" si="36"/>
        <v>0.93645185107056217</v>
      </c>
      <c r="W378">
        <f t="shared" si="37"/>
        <v>69</v>
      </c>
      <c r="X378" s="194">
        <f t="shared" si="38"/>
        <v>0.92939422829440466</v>
      </c>
      <c r="Y378" s="194" t="str">
        <f t="shared" si="39"/>
        <v/>
      </c>
      <c r="Z378" s="252" t="str">
        <f>IF(ISNUMBER(SEARCH("C", 'Dry_Litterbag Placem_Collection'!$V85)),"YES","NO")</f>
        <v>NO</v>
      </c>
      <c r="AA378" s="252" t="str">
        <f>IF(ISNUMBER(SEARCH("H", 'Dry_Litterbag Placem_Collection'!$V85)),"YES","NO")</f>
        <v>NO</v>
      </c>
      <c r="AB378" s="252" t="str">
        <f>IF(ISNUMBER(SEARCH("R", 'Dry_Litterbag Placem_Collection'!$V85)),"YES","NO")</f>
        <v>NO</v>
      </c>
      <c r="AC378" s="252" t="str">
        <f>IF(ISNUMBER(SEARCH("C", 'Dry_Litterbag Placem_Collection'!$U85)),"YES","NO")</f>
        <v>NO</v>
      </c>
      <c r="AD378" s="252" t="str">
        <f>IF(ISNUMBER(SEARCH("H", 'Dry_Litterbag Placem_Collection'!$U85)),"YES","NO")</f>
        <v>NO</v>
      </c>
      <c r="AE378" s="252" t="str">
        <f>IF(ISNUMBER(SEARCH("R", 'Dry_Litterbag Placem_Collection'!$U85)),"YES","NO")</f>
        <v>NO</v>
      </c>
    </row>
    <row r="379" spans="2:31">
      <c r="B379" t="str">
        <f>'Final data_for_R_analysis_Dryse'!A525</f>
        <v>Dry</v>
      </c>
      <c r="C379" s="260">
        <f>'Final data_for_R_analysis_Dryse'!B525</f>
        <v>84</v>
      </c>
      <c r="D379" t="s">
        <v>3813</v>
      </c>
      <c r="E379" t="s">
        <v>25</v>
      </c>
      <c r="F379" s="382">
        <v>4</v>
      </c>
      <c r="G379" s="383">
        <f>IF('Dry_Litterbag Placem_Collection'!E86="","",'Dry_Litterbag Placem_Collection'!E86)</f>
        <v>42937</v>
      </c>
      <c r="H379" s="92" t="str">
        <f>'Final data_for_R_analysis_Dryse'!K525</f>
        <v>G854</v>
      </c>
      <c r="I379" t="str">
        <f>'Final data_for_R_analysis_Dryse'!K745</f>
        <v>R720</v>
      </c>
      <c r="J379">
        <f>IFERROR(INDEX('Green_rooibos initial weight'!$C$5:$C$2000,MATCH(H379, 'Green_rooibos initial weight'!$A$5:$A$2000,0)),"")</f>
        <v>1.998</v>
      </c>
      <c r="K379">
        <f>IFERROR(INDEX('Green_rooibos initial weight'!$C$5:$C$2000,MATCH(I379, 'Green_rooibos initial weight'!$A$5:$A$2000,0)),"")</f>
        <v>2.2080000000000002</v>
      </c>
      <c r="L379" s="194">
        <f t="shared" si="32"/>
        <v>1.7482</v>
      </c>
      <c r="M379" s="237">
        <f>AVERAGE(Ashed_controlls!$K$1:$K$11)</f>
        <v>5.5147656768714146</v>
      </c>
      <c r="N379" s="194">
        <f>IFERROR(IF(K379&gt;0,(K379*$F$32-($F$29+$F$30)),""),"")</f>
        <v>1.9582000000000002</v>
      </c>
      <c r="O379" s="383">
        <f>IF('Dry_Litterbag Placem_Collection'!G86="","",'Dry_Litterbag Placem_Collection'!G86)</f>
        <v>43006</v>
      </c>
      <c r="P379" s="194">
        <f>IFERROR(INDEX('Both teabags AfterDry'!$D$3:$D$2000,MATCH(H379,'Both teabags AfterDry'!$A$3:$A$2000,0)),"")</f>
        <v>1.8062</v>
      </c>
      <c r="Q379" s="194">
        <f>IFERROR(INDEX('Both teabags AfterDry'!$D$3:$D$2000,MATCH(I379,'Both teabags AfterDry'!$A$3:$A$2000,0)),"")</f>
        <v>1.9978</v>
      </c>
      <c r="R379" s="194">
        <f t="shared" si="33"/>
        <v>1.6556</v>
      </c>
      <c r="S379" s="194">
        <f t="shared" si="33"/>
        <v>1.8472</v>
      </c>
      <c r="T379" s="194">
        <f t="shared" si="34"/>
        <v>5.2968767875529177E-2</v>
      </c>
      <c r="U379" s="194">
        <f t="shared" si="35"/>
        <v>3.472536801341107E-2</v>
      </c>
      <c r="V379" s="194">
        <f t="shared" si="36"/>
        <v>0.94331528955162891</v>
      </c>
      <c r="W379">
        <f t="shared" si="37"/>
        <v>69</v>
      </c>
      <c r="X379" s="194">
        <f t="shared" si="38"/>
        <v>0.93709172461338575</v>
      </c>
      <c r="Y379" s="194" t="str">
        <f t="shared" si="39"/>
        <v/>
      </c>
      <c r="Z379" s="252" t="str">
        <f>IF(ISNUMBER(SEARCH("C", 'Dry_Litterbag Placem_Collection'!$V86)),"YES","NO")</f>
        <v>NO</v>
      </c>
      <c r="AA379" s="252" t="str">
        <f>IF(ISNUMBER(SEARCH("H", 'Dry_Litterbag Placem_Collection'!$V86)),"YES","NO")</f>
        <v>NO</v>
      </c>
      <c r="AB379" s="252" t="str">
        <f>IF(ISNUMBER(SEARCH("R", 'Dry_Litterbag Placem_Collection'!$V86)),"YES","NO")</f>
        <v>NO</v>
      </c>
      <c r="AC379" s="252" t="str">
        <f>IF(ISNUMBER(SEARCH("C", 'Dry_Litterbag Placem_Collection'!$U86)),"YES","NO")</f>
        <v>NO</v>
      </c>
      <c r="AD379" s="252" t="str">
        <f>IF(ISNUMBER(SEARCH("H", 'Dry_Litterbag Placem_Collection'!$U86)),"YES","NO")</f>
        <v>NO</v>
      </c>
      <c r="AE379" s="252" t="str">
        <f>IF(ISNUMBER(SEARCH("R", 'Dry_Litterbag Placem_Collection'!$U86)),"YES","NO")</f>
        <v>NO</v>
      </c>
    </row>
    <row r="380" spans="2:31">
      <c r="B380" t="str">
        <f>'Final data_for_R_analysis_Dryse'!A526</f>
        <v>Dry</v>
      </c>
      <c r="C380" s="260">
        <f>'Final data_for_R_analysis_Dryse'!B526</f>
        <v>85</v>
      </c>
      <c r="D380" t="s">
        <v>3813</v>
      </c>
      <c r="E380" t="s">
        <v>25</v>
      </c>
      <c r="F380" s="382">
        <v>5</v>
      </c>
      <c r="G380" s="383" t="str">
        <f>IF('Dry_Litterbag Placem_Collection'!E87="","",'Dry_Litterbag Placem_Collection'!E87)</f>
        <v/>
      </c>
      <c r="H380" s="92" t="str">
        <f>'Final data_for_R_analysis_Dryse'!K526</f>
        <v/>
      </c>
      <c r="I380" t="str">
        <f>'Final data_for_R_analysis_Dryse'!K746</f>
        <v/>
      </c>
      <c r="J380" t="str">
        <f>IFERROR(INDEX('Green_rooibos initial weight'!$C$5:$C$2000,MATCH(H380, 'Green_rooibos initial weight'!$A$5:$A$2000,0)),"")</f>
        <v/>
      </c>
      <c r="K380" t="str">
        <f>IFERROR(INDEX('Green_rooibos initial weight'!$C$5:$C$2000,MATCH(I380, 'Green_rooibos initial weight'!$A$5:$A$2000,0)),"")</f>
        <v/>
      </c>
      <c r="L380" s="194" t="str">
        <f t="shared" si="32"/>
        <v/>
      </c>
      <c r="M380" s="237">
        <f>AVERAGE(Ashed_controlls!$K$1:$K$11)</f>
        <v>5.5147656768714146</v>
      </c>
      <c r="N380" s="194" t="str">
        <f>IFERROR(IF(K380&gt;0,(K380*$F$32-($F$29+$F$30)),""),"")</f>
        <v/>
      </c>
      <c r="O380" s="383" t="str">
        <f>IF('Dry_Litterbag Placem_Collection'!G87="","",'Dry_Litterbag Placem_Collection'!G87)</f>
        <v/>
      </c>
      <c r="P380" s="194" t="str">
        <f>IFERROR(INDEX('Both teabags AfterDry'!$D$3:$D$2000,MATCH(H380,'Both teabags AfterDry'!$A$3:$A$2000,0)),"")</f>
        <v/>
      </c>
      <c r="Q380" s="194" t="str">
        <f>IFERROR(INDEX('Both teabags AfterDry'!$D$3:$D$2000,MATCH(I380,'Both teabags AfterDry'!$A$3:$A$2000,0)),"")</f>
        <v/>
      </c>
      <c r="R380" s="194" t="str">
        <f t="shared" si="33"/>
        <v/>
      </c>
      <c r="S380" s="194" t="str">
        <f t="shared" si="33"/>
        <v/>
      </c>
      <c r="T380" s="194" t="str">
        <f t="shared" si="34"/>
        <v/>
      </c>
      <c r="U380" s="194" t="str">
        <f t="shared" si="35"/>
        <v/>
      </c>
      <c r="V380" s="194" t="str">
        <f t="shared" si="36"/>
        <v/>
      </c>
      <c r="W380" t="str">
        <f t="shared" si="37"/>
        <v/>
      </c>
      <c r="X380" s="194" t="str">
        <f t="shared" si="38"/>
        <v/>
      </c>
      <c r="Y380" s="194" t="str">
        <f t="shared" si="39"/>
        <v/>
      </c>
      <c r="Z380" s="252" t="str">
        <f>IF(ISNUMBER(SEARCH("C", 'Dry_Litterbag Placem_Collection'!$V87)),"YES","NO")</f>
        <v>NO</v>
      </c>
      <c r="AA380" s="252" t="str">
        <f>IF(ISNUMBER(SEARCH("H", 'Dry_Litterbag Placem_Collection'!$V87)),"YES","NO")</f>
        <v>NO</v>
      </c>
      <c r="AB380" s="252" t="str">
        <f>IF(ISNUMBER(SEARCH("R", 'Dry_Litterbag Placem_Collection'!$V87)),"YES","NO")</f>
        <v>NO</v>
      </c>
      <c r="AC380" s="252" t="str">
        <f>IF(ISNUMBER(SEARCH("C", 'Dry_Litterbag Placem_Collection'!$U87)),"YES","NO")</f>
        <v>NO</v>
      </c>
      <c r="AD380" s="252" t="str">
        <f>IF(ISNUMBER(SEARCH("H", 'Dry_Litterbag Placem_Collection'!$U87)),"YES","NO")</f>
        <v>NO</v>
      </c>
      <c r="AE380" s="252" t="str">
        <f>IF(ISNUMBER(SEARCH("R", 'Dry_Litterbag Placem_Collection'!$U87)),"YES","NO")</f>
        <v>NO</v>
      </c>
    </row>
    <row r="381" spans="2:31">
      <c r="B381" t="str">
        <f>'Final data_for_R_analysis_Dryse'!A527</f>
        <v>Dry</v>
      </c>
      <c r="C381" s="260">
        <f>'Final data_for_R_analysis_Dryse'!B527</f>
        <v>86</v>
      </c>
      <c r="D381" t="s">
        <v>3813</v>
      </c>
      <c r="E381" t="s">
        <v>25</v>
      </c>
      <c r="F381" s="382">
        <v>6</v>
      </c>
      <c r="G381" s="383">
        <f>IF('Dry_Litterbag Placem_Collection'!E88="","",'Dry_Litterbag Placem_Collection'!E88)</f>
        <v>42937</v>
      </c>
      <c r="H381" s="92" t="str">
        <f>'Final data_for_R_analysis_Dryse'!K527</f>
        <v>G788</v>
      </c>
      <c r="I381" t="str">
        <f>'Final data_for_R_analysis_Dryse'!K747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32"/>
        <v>1.8201999999999998</v>
      </c>
      <c r="M381" s="237">
        <f>AVERAGE(Ashed_controlls!$K$1:$K$11)</f>
        <v>5.5147656768714146</v>
      </c>
      <c r="N381" s="194">
        <f>IFERROR(IF(K381&gt;0,(K381*$F$32-($F$29+$F$30)),""),"")</f>
        <v>1.9432</v>
      </c>
      <c r="O381" s="383">
        <f>IF('Dry_Litterbag Placem_Collection'!G88="","",'Dry_Litterbag Placem_Collection'!G88)</f>
        <v>43006</v>
      </c>
      <c r="P381" s="194" t="str">
        <f>IFERROR(INDEX('Both teabags AfterDry'!$D$3:$D$2000,MATCH(H381,'Both teabags AfterDry'!$A$3:$A$2000,0)),"")</f>
        <v/>
      </c>
      <c r="Q381" s="194" t="str">
        <f>IFERROR(INDEX('Both teabags AfterDry'!$D$3:$D$2000,MATCH(I381,'Both teabags AfterDry'!$A$3:$A$2000,0)),"")</f>
        <v/>
      </c>
      <c r="R381" s="194" t="str">
        <f t="shared" si="33"/>
        <v/>
      </c>
      <c r="S381" s="194" t="str">
        <f t="shared" si="33"/>
        <v/>
      </c>
      <c r="T381" s="194" t="str">
        <f t="shared" si="34"/>
        <v/>
      </c>
      <c r="U381" s="194" t="str">
        <f t="shared" si="35"/>
        <v/>
      </c>
      <c r="V381" s="194" t="str">
        <f t="shared" si="36"/>
        <v/>
      </c>
      <c r="W381">
        <f t="shared" si="37"/>
        <v>69</v>
      </c>
      <c r="X381" s="194" t="str">
        <f t="shared" si="38"/>
        <v/>
      </c>
      <c r="Y381" s="194" t="str">
        <f t="shared" si="39"/>
        <v/>
      </c>
      <c r="Z381" s="252" t="str">
        <f>IF(ISNUMBER(SEARCH("C", 'Dry_Litterbag Placem_Collection'!$V88)),"YES","NO")</f>
        <v>NO</v>
      </c>
      <c r="AA381" s="252" t="str">
        <f>IF(ISNUMBER(SEARCH("H", 'Dry_Litterbag Placem_Collection'!$V88)),"YES","NO")</f>
        <v>NO</v>
      </c>
      <c r="AB381" s="252" t="str">
        <f>IF(ISNUMBER(SEARCH("R", 'Dry_Litterbag Placem_Collection'!$V88)),"YES","NO")</f>
        <v>NO</v>
      </c>
      <c r="AC381" s="252" t="str">
        <f>IF(ISNUMBER(SEARCH("C", 'Dry_Litterbag Placem_Collection'!$U88)),"YES","NO")</f>
        <v>NO</v>
      </c>
      <c r="AD381" s="252" t="str">
        <f>IF(ISNUMBER(SEARCH("H", 'Dry_Litterbag Placem_Collection'!$U88)),"YES","NO")</f>
        <v>NO</v>
      </c>
      <c r="AE381" s="252" t="str">
        <f>IF(ISNUMBER(SEARCH("R", 'Dry_Litterbag Placem_Collection'!$U88)),"YES","NO")</f>
        <v>NO</v>
      </c>
    </row>
    <row r="382" spans="2:31">
      <c r="B382" t="str">
        <f>'Final data_for_R_analysis_Dryse'!A528</f>
        <v>Dry</v>
      </c>
      <c r="C382" s="260">
        <f>'Final data_for_R_analysis_Dryse'!B528</f>
        <v>87</v>
      </c>
      <c r="D382" t="s">
        <v>3813</v>
      </c>
      <c r="E382" t="s">
        <v>25</v>
      </c>
      <c r="F382" s="382">
        <v>7</v>
      </c>
      <c r="G382" s="383">
        <f>IF('Dry_Litterbag Placem_Collection'!E89="","",'Dry_Litterbag Placem_Collection'!E89)</f>
        <v>42937</v>
      </c>
      <c r="H382" s="92" t="str">
        <f>'Final data_for_R_analysis_Dryse'!K528</f>
        <v>G91</v>
      </c>
      <c r="I382" t="str">
        <f>'Final data_for_R_analysis_Dryse'!K748</f>
        <v>R277</v>
      </c>
      <c r="J382">
        <f>IFERROR(INDEX('Green_rooibos initial weight'!$C$5:$C$2000,MATCH(H382, 'Green_rooibos initial weight'!$A$5:$A$2000,0)),"")</f>
        <v>2.044</v>
      </c>
      <c r="K382">
        <f>IFERROR(INDEX('Green_rooibos initial weight'!$C$5:$C$2000,MATCH(I382, 'Green_rooibos initial weight'!$A$5:$A$2000,0)),"")</f>
        <v>2.1949999999999998</v>
      </c>
      <c r="L382" s="194">
        <f t="shared" si="32"/>
        <v>1.7942</v>
      </c>
      <c r="M382" s="237">
        <f>AVERAGE(Ashed_controlls!$K$1:$K$11)</f>
        <v>5.5147656768714146</v>
      </c>
      <c r="N382" s="194">
        <f>IFERROR(IF(K382&gt;0,(K382*$F$32-($F$29+$F$30)),""),"")</f>
        <v>1.9451999999999998</v>
      </c>
      <c r="O382" s="383">
        <f>IF('Dry_Litterbag Placem_Collection'!G89="","",'Dry_Litterbag Placem_Collection'!G89)</f>
        <v>43006</v>
      </c>
      <c r="P382" s="194">
        <f>IFERROR(INDEX('Both teabags AfterDry'!$D$3:$D$2000,MATCH(H382,'Both teabags AfterDry'!$A$3:$A$2000,0)),"")</f>
        <v>1.8609</v>
      </c>
      <c r="Q382" s="194">
        <f>IFERROR(INDEX('Both teabags AfterDry'!$D$3:$D$2000,MATCH(I382,'Both teabags AfterDry'!$A$3:$A$2000,0)),"")</f>
        <v>1.9473</v>
      </c>
      <c r="R382" s="194">
        <f t="shared" si="33"/>
        <v>1.7102999999999999</v>
      </c>
      <c r="S382" s="194">
        <f t="shared" si="33"/>
        <v>1.7967</v>
      </c>
      <c r="T382" s="194">
        <f t="shared" si="34"/>
        <v>4.676178798350239E-2</v>
      </c>
      <c r="U382" s="194">
        <f t="shared" si="35"/>
        <v>3.0656184046191616E-2</v>
      </c>
      <c r="V382" s="194">
        <f t="shared" si="36"/>
        <v>0.92365823565700189</v>
      </c>
      <c r="W382">
        <f t="shared" si="37"/>
        <v>69</v>
      </c>
      <c r="X382" s="194">
        <f t="shared" si="38"/>
        <v>0.94446343469892824</v>
      </c>
      <c r="Y382" s="194" t="str">
        <f t="shared" si="39"/>
        <v/>
      </c>
      <c r="Z382" s="252" t="str">
        <f>IF(ISNUMBER(SEARCH("C", 'Dry_Litterbag Placem_Collection'!$V89)),"YES","NO")</f>
        <v>NO</v>
      </c>
      <c r="AA382" s="252" t="str">
        <f>IF(ISNUMBER(SEARCH("H", 'Dry_Litterbag Placem_Collection'!$V89)),"YES","NO")</f>
        <v>NO</v>
      </c>
      <c r="AB382" s="252" t="str">
        <f>IF(ISNUMBER(SEARCH("R", 'Dry_Litterbag Placem_Collection'!$V89)),"YES","NO")</f>
        <v>NO</v>
      </c>
      <c r="AC382" s="252" t="str">
        <f>IF(ISNUMBER(SEARCH("C", 'Dry_Litterbag Placem_Collection'!$U89)),"YES","NO")</f>
        <v>NO</v>
      </c>
      <c r="AD382" s="252" t="str">
        <f>IF(ISNUMBER(SEARCH("H", 'Dry_Litterbag Placem_Collection'!$U89)),"YES","NO")</f>
        <v>NO</v>
      </c>
      <c r="AE382" s="252" t="str">
        <f>IF(ISNUMBER(SEARCH("R", 'Dry_Litterbag Placem_Collection'!$U89)),"YES","NO")</f>
        <v>NO</v>
      </c>
    </row>
    <row r="383" spans="2:31">
      <c r="B383" t="str">
        <f>'Final data_for_R_analysis_Dryse'!A529</f>
        <v>Dry</v>
      </c>
      <c r="C383" s="260">
        <f>'Final data_for_R_analysis_Dryse'!B529</f>
        <v>88</v>
      </c>
      <c r="D383" t="s">
        <v>3813</v>
      </c>
      <c r="E383" t="s">
        <v>25</v>
      </c>
      <c r="F383" s="382">
        <v>8</v>
      </c>
      <c r="G383" s="383">
        <f>IF('Dry_Litterbag Placem_Collection'!E90="","",'Dry_Litterbag Placem_Collection'!E90)</f>
        <v>42937</v>
      </c>
      <c r="H383" s="92" t="str">
        <f>'Final data_for_R_analysis_Dryse'!K529</f>
        <v>G364</v>
      </c>
      <c r="I383" t="str">
        <f>'Final data_for_R_analysis_Dryse'!K749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32"/>
        <v>1.8071999999999999</v>
      </c>
      <c r="M383" s="237">
        <f>AVERAGE(Ashed_controlls!$K$1:$K$11)</f>
        <v>5.5147656768714146</v>
      </c>
      <c r="N383" s="194">
        <f>IFERROR(IF(K383&gt;0,(K383*$F$32-($F$29+$F$30)),""),"")</f>
        <v>1.9832000000000001</v>
      </c>
      <c r="O383" s="383">
        <f>IF('Dry_Litterbag Placem_Collection'!G90="","",'Dry_Litterbag Placem_Collection'!G90)</f>
        <v>43006</v>
      </c>
      <c r="P383" s="194">
        <f>IFERROR(INDEX('Both teabags AfterDry'!$D$3:$D$2000,MATCH(H383,'Both teabags AfterDry'!$A$3:$A$2000,0)),"")</f>
        <v>1.8589</v>
      </c>
      <c r="Q383" s="194">
        <f>IFERROR(INDEX('Both teabags AfterDry'!$D$3:$D$2000,MATCH(I383,'Both teabags AfterDry'!$A$3:$A$2000,0)),"")</f>
        <v>1.9945999999999999</v>
      </c>
      <c r="R383" s="194">
        <f t="shared" si="33"/>
        <v>1.7082999999999999</v>
      </c>
      <c r="S383" s="194">
        <f t="shared" si="33"/>
        <v>1.8439999999999999</v>
      </c>
      <c r="T383" s="194">
        <f t="shared" si="34"/>
        <v>5.4725542275343098E-2</v>
      </c>
      <c r="U383" s="194">
        <f t="shared" si="35"/>
        <v>3.587707759618694E-2</v>
      </c>
      <c r="V383" s="194">
        <f t="shared" si="36"/>
        <v>0.92981040742234766</v>
      </c>
      <c r="W383">
        <f t="shared" si="37"/>
        <v>69</v>
      </c>
      <c r="X383" s="194">
        <f t="shared" si="38"/>
        <v>0.93500529420980627</v>
      </c>
      <c r="Y383" s="194" t="str">
        <f t="shared" si="39"/>
        <v/>
      </c>
      <c r="Z383" s="252" t="str">
        <f>IF(ISNUMBER(SEARCH("C", 'Dry_Litterbag Placem_Collection'!$V90)),"YES","NO")</f>
        <v>NO</v>
      </c>
      <c r="AA383" s="252" t="str">
        <f>IF(ISNUMBER(SEARCH("H", 'Dry_Litterbag Placem_Collection'!$V90)),"YES","NO")</f>
        <v>NO</v>
      </c>
      <c r="AB383" s="252" t="str">
        <f>IF(ISNUMBER(SEARCH("R", 'Dry_Litterbag Placem_Collection'!$V90)),"YES","NO")</f>
        <v>NO</v>
      </c>
      <c r="AC383" s="252" t="str">
        <f>IF(ISNUMBER(SEARCH("C", 'Dry_Litterbag Placem_Collection'!$U90)),"YES","NO")</f>
        <v>NO</v>
      </c>
      <c r="AD383" s="252" t="str">
        <f>IF(ISNUMBER(SEARCH("H", 'Dry_Litterbag Placem_Collection'!$U90)),"YES","NO")</f>
        <v>NO</v>
      </c>
      <c r="AE383" s="252" t="str">
        <f>IF(ISNUMBER(SEARCH("R", 'Dry_Litterbag Placem_Collection'!$U90)),"YES","NO")</f>
        <v>NO</v>
      </c>
    </row>
    <row r="384" spans="2:31">
      <c r="B384" t="str">
        <f>'Final data_for_R_analysis_Dryse'!A530</f>
        <v>Dry</v>
      </c>
      <c r="C384" s="260">
        <f>'Final data_for_R_analysis_Dryse'!B530</f>
        <v>89</v>
      </c>
      <c r="D384" t="s">
        <v>3814</v>
      </c>
      <c r="E384" t="s">
        <v>25</v>
      </c>
      <c r="F384" s="381">
        <v>1</v>
      </c>
      <c r="G384" s="383">
        <f>IF('Dry_Litterbag Placem_Collection'!E91="","",'Dry_Litterbag Placem_Collection'!E91)</f>
        <v>42937</v>
      </c>
      <c r="H384" s="92" t="str">
        <f>'Final data_for_R_analysis_Dryse'!K530</f>
        <v>G862</v>
      </c>
      <c r="I384" t="str">
        <f>'Final data_for_R_analysis_Dryse'!K750</f>
        <v>R841</v>
      </c>
      <c r="J384">
        <f>IFERROR(INDEX('Green_rooibos initial weight'!$C$5:$C$2000,MATCH(H384, 'Green_rooibos initial weight'!$A$5:$A$2000,0)),"")</f>
        <v>1.996</v>
      </c>
      <c r="K384">
        <f>IFERROR(INDEX('Green_rooibos initial weight'!$C$5:$C$2000,MATCH(I384, 'Green_rooibos initial weight'!$A$5:$A$2000,0)),"")</f>
        <v>2.13</v>
      </c>
      <c r="L384" s="194">
        <f t="shared" si="32"/>
        <v>1.7462</v>
      </c>
      <c r="M384" s="237">
        <f>AVERAGE(Ashed_controlls!$K$1:$K$11)</f>
        <v>5.5147656768714146</v>
      </c>
      <c r="N384" s="194">
        <f>IFERROR(IF(K384&gt;0,(K384*$F$32-($F$29+$F$30)),""),"")</f>
        <v>1.8801999999999999</v>
      </c>
      <c r="O384" s="383">
        <f>IF('Dry_Litterbag Placem_Collection'!G91="","",'Dry_Litterbag Placem_Collection'!G91)</f>
        <v>43006</v>
      </c>
      <c r="P384" s="194">
        <f>IFERROR(INDEX('Both teabags AfterDry'!$D$3:$D$2000,MATCH(H384,'Both teabags AfterDry'!$A$3:$A$2000,0)),"")</f>
        <v>1.8160000000000001</v>
      </c>
      <c r="Q384" s="194">
        <f>IFERROR(INDEX('Both teabags AfterDry'!$D$3:$D$2000,MATCH(I384,'Both teabags AfterDry'!$A$3:$A$2000,0)),"")</f>
        <v>1.9592000000000001</v>
      </c>
      <c r="R384" s="194">
        <f t="shared" si="33"/>
        <v>1.6654</v>
      </c>
      <c r="S384" s="194">
        <f t="shared" si="33"/>
        <v>1.8086</v>
      </c>
      <c r="T384" s="194">
        <f t="shared" si="34"/>
        <v>4.6271904707364531E-2</v>
      </c>
      <c r="U384" s="194">
        <f t="shared" si="35"/>
        <v>3.0335025413854216E-2</v>
      </c>
      <c r="V384" s="194">
        <f t="shared" si="36"/>
        <v>0.96191894479310713</v>
      </c>
      <c r="W384">
        <f t="shared" si="37"/>
        <v>69</v>
      </c>
      <c r="X384" s="194">
        <f t="shared" si="38"/>
        <v>0.94504524381548149</v>
      </c>
      <c r="Y384" s="194" t="str">
        <f t="shared" si="39"/>
        <v/>
      </c>
      <c r="Z384" s="252" t="str">
        <f>IF(ISNUMBER(SEARCH("C", 'Dry_Litterbag Placem_Collection'!$V91)),"YES","NO")</f>
        <v>NO</v>
      </c>
      <c r="AA384" s="252" t="str">
        <f>IF(ISNUMBER(SEARCH("H", 'Dry_Litterbag Placem_Collection'!$V91)),"YES","NO")</f>
        <v>NO</v>
      </c>
      <c r="AB384" s="252" t="str">
        <f>IF(ISNUMBER(SEARCH("R", 'Dry_Litterbag Placem_Collection'!$V91)),"YES","NO")</f>
        <v>NO</v>
      </c>
      <c r="AC384" s="252" t="str">
        <f>IF(ISNUMBER(SEARCH("C", 'Dry_Litterbag Placem_Collection'!$U91)),"YES","NO")</f>
        <v>NO</v>
      </c>
      <c r="AD384" s="252" t="str">
        <f>IF(ISNUMBER(SEARCH("H", 'Dry_Litterbag Placem_Collection'!$U91)),"YES","NO")</f>
        <v>NO</v>
      </c>
      <c r="AE384" s="252" t="str">
        <f>IF(ISNUMBER(SEARCH("R", 'Dry_Litterbag Placem_Collection'!$U91)),"YES","NO")</f>
        <v>NO</v>
      </c>
    </row>
    <row r="385" spans="2:31">
      <c r="B385" t="str">
        <f>'Final data_for_R_analysis_Dryse'!A531</f>
        <v>Dry</v>
      </c>
      <c r="C385" s="260">
        <f>'Final data_for_R_analysis_Dryse'!B531</f>
        <v>90</v>
      </c>
      <c r="D385" t="s">
        <v>3814</v>
      </c>
      <c r="E385" t="s">
        <v>25</v>
      </c>
      <c r="F385" s="381">
        <v>2</v>
      </c>
      <c r="G385" s="383">
        <f>IF('Dry_Litterbag Placem_Collection'!E92="","",'Dry_Litterbag Placem_Collection'!E92)</f>
        <v>42937</v>
      </c>
      <c r="H385" s="92" t="str">
        <f>'Final data_for_R_analysis_Dryse'!K531</f>
        <v>G330</v>
      </c>
      <c r="I385" t="str">
        <f>'Final data_for_R_analysis_Dryse'!K751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32"/>
        <v>1.8881999999999999</v>
      </c>
      <c r="M385" s="237">
        <f>AVERAGE(Ashed_controlls!$K$1:$K$11)</f>
        <v>5.5147656768714146</v>
      </c>
      <c r="N385" s="194">
        <f>IFERROR(IF(K385&gt;0,(K385*$F$32-($F$29+$F$30)),""),"")</f>
        <v>1.9771999999999998</v>
      </c>
      <c r="O385" s="383">
        <f>IF('Dry_Litterbag Placem_Collection'!G92="","",'Dry_Litterbag Placem_Collection'!G92)</f>
        <v>43006</v>
      </c>
      <c r="P385" s="194" t="str">
        <f>IFERROR(INDEX('Both teabags AfterDry'!$D$3:$D$2000,MATCH(H385,'Both teabags AfterDry'!$A$3:$A$2000,0)),"")</f>
        <v/>
      </c>
      <c r="Q385" s="194" t="str">
        <f>IFERROR(INDEX('Both teabags AfterDry'!$D$3:$D$2000,MATCH(I385,'Both teabags AfterDry'!$A$3:$A$2000,0)),"")</f>
        <v/>
      </c>
      <c r="R385" s="194" t="str">
        <f t="shared" si="33"/>
        <v/>
      </c>
      <c r="S385" s="194" t="str">
        <f t="shared" si="33"/>
        <v/>
      </c>
      <c r="T385" s="194" t="str">
        <f t="shared" si="34"/>
        <v/>
      </c>
      <c r="U385" s="194" t="str">
        <f t="shared" si="35"/>
        <v/>
      </c>
      <c r="V385" s="194" t="str">
        <f t="shared" si="36"/>
        <v/>
      </c>
      <c r="W385">
        <f t="shared" si="37"/>
        <v>69</v>
      </c>
      <c r="X385" s="194" t="str">
        <f t="shared" si="38"/>
        <v/>
      </c>
      <c r="Y385" s="194" t="str">
        <f t="shared" si="39"/>
        <v/>
      </c>
      <c r="Z385" s="252" t="str">
        <f>IF(ISNUMBER(SEARCH("C", 'Dry_Litterbag Placem_Collection'!$V92)),"YES","NO")</f>
        <v>NO</v>
      </c>
      <c r="AA385" s="252" t="str">
        <f>IF(ISNUMBER(SEARCH("H", 'Dry_Litterbag Placem_Collection'!$V92)),"YES","NO")</f>
        <v>NO</v>
      </c>
      <c r="AB385" s="252" t="str">
        <f>IF(ISNUMBER(SEARCH("R", 'Dry_Litterbag Placem_Collection'!$V92)),"YES","NO")</f>
        <v>NO</v>
      </c>
      <c r="AC385" s="252" t="str">
        <f>IF(ISNUMBER(SEARCH("C", 'Dry_Litterbag Placem_Collection'!$U92)),"YES","NO")</f>
        <v>NO</v>
      </c>
      <c r="AD385" s="252" t="str">
        <f>IF(ISNUMBER(SEARCH("H", 'Dry_Litterbag Placem_Collection'!$U92)),"YES","NO")</f>
        <v>NO</v>
      </c>
      <c r="AE385" s="252" t="str">
        <f>IF(ISNUMBER(SEARCH("R", 'Dry_Litterbag Placem_Collection'!$U92)),"YES","NO")</f>
        <v>NO</v>
      </c>
    </row>
    <row r="386" spans="2:31">
      <c r="B386" t="str">
        <f>'Final data_for_R_analysis_Dryse'!A532</f>
        <v>Dry</v>
      </c>
      <c r="C386" s="260">
        <f>'Final data_for_R_analysis_Dryse'!B532</f>
        <v>91</v>
      </c>
      <c r="D386" t="s">
        <v>3814</v>
      </c>
      <c r="E386" t="s">
        <v>25</v>
      </c>
      <c r="F386" s="381">
        <v>3</v>
      </c>
      <c r="G386" s="383">
        <f>IF('Dry_Litterbag Placem_Collection'!E93="","",'Dry_Litterbag Placem_Collection'!E93)</f>
        <v>42937</v>
      </c>
      <c r="H386" s="92" t="str">
        <f>'Final data_for_R_analysis_Dryse'!K532</f>
        <v>G596</v>
      </c>
      <c r="I386" t="str">
        <f>'Final data_for_R_analysis_Dryse'!K752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32"/>
        <v>1.7681999999999998</v>
      </c>
      <c r="M386" s="237">
        <f>AVERAGE(Ashed_controlls!$K$1:$K$11)</f>
        <v>5.5147656768714146</v>
      </c>
      <c r="N386" s="194">
        <f>IFERROR(IF(K386&gt;0,(K386*$F$32-($F$29+$F$30)),""),"")</f>
        <v>1.9851999999999999</v>
      </c>
      <c r="O386" s="383">
        <f>IF('Dry_Litterbag Placem_Collection'!G93="","",'Dry_Litterbag Placem_Collection'!G93)</f>
        <v>43006</v>
      </c>
      <c r="P386" s="194">
        <f>IFERROR(INDEX('Both teabags AfterDry'!$D$3:$D$2000,MATCH(H386,'Both teabags AfterDry'!$A$3:$A$2000,0)),"")</f>
        <v>1.8642000000000001</v>
      </c>
      <c r="Q386" s="194">
        <f>IFERROR(INDEX('Both teabags AfterDry'!$D$3:$D$2000,MATCH(I386,'Both teabags AfterDry'!$A$3:$A$2000,0)),"")</f>
        <v>2.0495999999999999</v>
      </c>
      <c r="R386" s="194">
        <f t="shared" si="33"/>
        <v>1.7136</v>
      </c>
      <c r="S386" s="194">
        <f t="shared" si="33"/>
        <v>1.8989999999999998</v>
      </c>
      <c r="T386" s="194">
        <f t="shared" si="34"/>
        <v>3.0878859857482066E-2</v>
      </c>
      <c r="U386" s="194">
        <f t="shared" si="35"/>
        <v>2.0243623089465684E-2</v>
      </c>
      <c r="V386" s="194">
        <f t="shared" si="36"/>
        <v>0.95657868224863996</v>
      </c>
      <c r="W386">
        <f t="shared" si="37"/>
        <v>69</v>
      </c>
      <c r="X386" s="194">
        <f t="shared" si="38"/>
        <v>0.96332676976546072</v>
      </c>
      <c r="Y386" s="194" t="str">
        <f t="shared" si="39"/>
        <v/>
      </c>
      <c r="Z386" s="252" t="str">
        <f>IF(ISNUMBER(SEARCH("C", 'Dry_Litterbag Placem_Collection'!$V93)),"YES","NO")</f>
        <v>NO</v>
      </c>
      <c r="AA386" s="252" t="str">
        <f>IF(ISNUMBER(SEARCH("H", 'Dry_Litterbag Placem_Collection'!$V93)),"YES","NO")</f>
        <v>NO</v>
      </c>
      <c r="AB386" s="252" t="str">
        <f>IF(ISNUMBER(SEARCH("R", 'Dry_Litterbag Placem_Collection'!$V93)),"YES","NO")</f>
        <v>NO</v>
      </c>
      <c r="AC386" s="252" t="str">
        <f>IF(ISNUMBER(SEARCH("C", 'Dry_Litterbag Placem_Collection'!$U93)),"YES","NO")</f>
        <v>NO</v>
      </c>
      <c r="AD386" s="252" t="str">
        <f>IF(ISNUMBER(SEARCH("H", 'Dry_Litterbag Placem_Collection'!$U93)),"YES","NO")</f>
        <v>NO</v>
      </c>
      <c r="AE386" s="252" t="str">
        <f>IF(ISNUMBER(SEARCH("R", 'Dry_Litterbag Placem_Collection'!$U93)),"YES","NO")</f>
        <v>NO</v>
      </c>
    </row>
    <row r="387" spans="2:31">
      <c r="B387" t="str">
        <f>'Final data_for_R_analysis_Dryse'!A533</f>
        <v>Dry</v>
      </c>
      <c r="C387" s="260">
        <f>'Final data_for_R_analysis_Dryse'!B533</f>
        <v>92</v>
      </c>
      <c r="D387" t="s">
        <v>3814</v>
      </c>
      <c r="E387" t="s">
        <v>25</v>
      </c>
      <c r="F387" s="382">
        <v>4</v>
      </c>
      <c r="G387" s="383">
        <f>IF('Dry_Litterbag Placem_Collection'!E94="","",'Dry_Litterbag Placem_Collection'!E94)</f>
        <v>42937</v>
      </c>
      <c r="H387" s="92" t="str">
        <f>'Final data_for_R_analysis_Dryse'!K533</f>
        <v>G380</v>
      </c>
      <c r="I387" t="str">
        <f>'Final data_for_R_analysis_Dryse'!K753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32"/>
        <v>1.8121999999999998</v>
      </c>
      <c r="M387" s="237">
        <f>AVERAGE(Ashed_controlls!$K$1:$K$11)</f>
        <v>5.5147656768714146</v>
      </c>
      <c r="N387" s="194">
        <f>IFERROR(IF(K387&gt;0,(K387*$F$32-($F$29+$F$30)),""),"")</f>
        <v>1.8982000000000001</v>
      </c>
      <c r="O387" s="383">
        <f>IF('Dry_Litterbag Placem_Collection'!G94="","",'Dry_Litterbag Placem_Collection'!G94)</f>
        <v>43006</v>
      </c>
      <c r="P387" s="194">
        <f>IFERROR(INDEX('Both teabags AfterDry'!$D$3:$D$2000,MATCH(H387,'Both teabags AfterDry'!$A$3:$A$2000,0)),"")</f>
        <v>1.8685</v>
      </c>
      <c r="Q387" s="194">
        <f>IFERROR(INDEX('Both teabags AfterDry'!$D$3:$D$2000,MATCH(I387,'Both teabags AfterDry'!$A$3:$A$2000,0)),"")</f>
        <v>1.9713000000000001</v>
      </c>
      <c r="R387" s="194">
        <f t="shared" si="33"/>
        <v>1.7179</v>
      </c>
      <c r="S387" s="194">
        <f t="shared" si="33"/>
        <v>1.8207</v>
      </c>
      <c r="T387" s="194">
        <f t="shared" si="34"/>
        <v>5.2036199095022551E-2</v>
      </c>
      <c r="U387" s="194">
        <f t="shared" si="35"/>
        <v>3.4113992755881777E-2</v>
      </c>
      <c r="V387" s="194">
        <f t="shared" si="36"/>
        <v>0.95917184701295954</v>
      </c>
      <c r="W387">
        <f t="shared" si="37"/>
        <v>69</v>
      </c>
      <c r="X387" s="194">
        <f t="shared" si="38"/>
        <v>0.93819928848572143</v>
      </c>
      <c r="Y387" s="194" t="str">
        <f t="shared" si="39"/>
        <v/>
      </c>
      <c r="Z387" s="252" t="str">
        <f>IF(ISNUMBER(SEARCH("C", 'Dry_Litterbag Placem_Collection'!$V94)),"YES","NO")</f>
        <v>NO</v>
      </c>
      <c r="AA387" s="252" t="str">
        <f>IF(ISNUMBER(SEARCH("H", 'Dry_Litterbag Placem_Collection'!$V94)),"YES","NO")</f>
        <v>NO</v>
      </c>
      <c r="AB387" s="252" t="str">
        <f>IF(ISNUMBER(SEARCH("R", 'Dry_Litterbag Placem_Collection'!$V94)),"YES","NO")</f>
        <v>NO</v>
      </c>
      <c r="AC387" s="252" t="str">
        <f>IF(ISNUMBER(SEARCH("C", 'Dry_Litterbag Placem_Collection'!$U94)),"YES","NO")</f>
        <v>NO</v>
      </c>
      <c r="AD387" s="252" t="str">
        <f>IF(ISNUMBER(SEARCH("H", 'Dry_Litterbag Placem_Collection'!$U94)),"YES","NO")</f>
        <v>NO</v>
      </c>
      <c r="AE387" s="252" t="str">
        <f>IF(ISNUMBER(SEARCH("R", 'Dry_Litterbag Placem_Collection'!$U94)),"YES","NO")</f>
        <v>NO</v>
      </c>
    </row>
    <row r="388" spans="2:31">
      <c r="B388" t="str">
        <f>'Final data_for_R_analysis_Dryse'!A534</f>
        <v>Dry</v>
      </c>
      <c r="C388" s="260">
        <f>'Final data_for_R_analysis_Dryse'!B534</f>
        <v>93</v>
      </c>
      <c r="D388" t="s">
        <v>3814</v>
      </c>
      <c r="E388" t="s">
        <v>25</v>
      </c>
      <c r="F388" s="382">
        <v>5</v>
      </c>
      <c r="G388" s="383">
        <f>IF('Dry_Litterbag Placem_Collection'!E95="","",'Dry_Litterbag Placem_Collection'!E95)</f>
        <v>42937</v>
      </c>
      <c r="H388" s="92" t="str">
        <f>'Final data_for_R_analysis_Dryse'!K534</f>
        <v>G872</v>
      </c>
      <c r="I388" t="str">
        <f>'Final data_for_R_analysis_Dryse'!K754</f>
        <v>R106</v>
      </c>
      <c r="J388">
        <f>IFERROR(INDEX('Green_rooibos initial weight'!$C$5:$C$2000,MATCH(H388, 'Green_rooibos initial weight'!$A$5:$A$2000,0)),"")</f>
        <v>2.008</v>
      </c>
      <c r="K388">
        <f>IFERROR(INDEX('Green_rooibos initial weight'!$C$5:$C$2000,MATCH(I388, 'Green_rooibos initial weight'!$A$5:$A$2000,0)),"")</f>
        <v>2.2330000000000001</v>
      </c>
      <c r="L388" s="194">
        <f t="shared" si="32"/>
        <v>1.7582</v>
      </c>
      <c r="M388" s="237">
        <f>AVERAGE(Ashed_controlls!$K$1:$K$11)</f>
        <v>5.5147656768714146</v>
      </c>
      <c r="N388" s="194">
        <f>IFERROR(IF(K388&gt;0,(K388*$F$32-($F$29+$F$30)),""),"")</f>
        <v>1.9832000000000001</v>
      </c>
      <c r="O388" s="383">
        <f>IF('Dry_Litterbag Placem_Collection'!G95="","",'Dry_Litterbag Placem_Collection'!G95)</f>
        <v>43006</v>
      </c>
      <c r="P388" s="194">
        <f>IFERROR(INDEX('Both teabags AfterDry'!$D$3:$D$2000,MATCH(H388,'Both teabags AfterDry'!$A$3:$A$2000,0)),"")</f>
        <v>1.8389</v>
      </c>
      <c r="Q388" s="194">
        <f>IFERROR(INDEX('Both teabags AfterDry'!$D$3:$D$2000,MATCH(I388,'Both teabags AfterDry'!$A$3:$A$2000,0)),"")</f>
        <v>2.0352999999999999</v>
      </c>
      <c r="R388" s="194">
        <f t="shared" si="33"/>
        <v>1.6882999999999999</v>
      </c>
      <c r="S388" s="194">
        <f t="shared" si="33"/>
        <v>1.8846999999999998</v>
      </c>
      <c r="T388" s="194">
        <f t="shared" si="34"/>
        <v>3.9756569218519E-2</v>
      </c>
      <c r="U388" s="194">
        <f t="shared" si="35"/>
        <v>2.6063689083874703E-2</v>
      </c>
      <c r="V388" s="194">
        <f t="shared" si="36"/>
        <v>0.95033279548204908</v>
      </c>
      <c r="W388">
        <f t="shared" si="37"/>
        <v>69</v>
      </c>
      <c r="X388" s="194">
        <f t="shared" si="38"/>
        <v>0.95278317194950235</v>
      </c>
      <c r="Y388" s="194" t="str">
        <f t="shared" si="39"/>
        <v/>
      </c>
      <c r="Z388" s="252" t="str">
        <f>IF(ISNUMBER(SEARCH("C", 'Dry_Litterbag Placem_Collection'!$V95)),"YES","NO")</f>
        <v>NO</v>
      </c>
      <c r="AA388" s="252" t="str">
        <f>IF(ISNUMBER(SEARCH("H", 'Dry_Litterbag Placem_Collection'!$V95)),"YES","NO")</f>
        <v>NO</v>
      </c>
      <c r="AB388" s="252" t="str">
        <f>IF(ISNUMBER(SEARCH("R", 'Dry_Litterbag Placem_Collection'!$V95)),"YES","NO")</f>
        <v>NO</v>
      </c>
      <c r="AC388" s="252" t="str">
        <f>IF(ISNUMBER(SEARCH("C", 'Dry_Litterbag Placem_Collection'!$U95)),"YES","NO")</f>
        <v>NO</v>
      </c>
      <c r="AD388" s="252" t="str">
        <f>IF(ISNUMBER(SEARCH("H", 'Dry_Litterbag Placem_Collection'!$U95)),"YES","NO")</f>
        <v>NO</v>
      </c>
      <c r="AE388" s="252" t="str">
        <f>IF(ISNUMBER(SEARCH("R", 'Dry_Litterbag Placem_Collection'!$U95)),"YES","NO")</f>
        <v>NO</v>
      </c>
    </row>
    <row r="389" spans="2:31">
      <c r="B389" t="str">
        <f>'Final data_for_R_analysis_Dryse'!A535</f>
        <v>Dry</v>
      </c>
      <c r="C389" s="260">
        <f>'Final data_for_R_analysis_Dryse'!B535</f>
        <v>94</v>
      </c>
      <c r="D389" t="s">
        <v>3814</v>
      </c>
      <c r="E389" t="s">
        <v>25</v>
      </c>
      <c r="F389" s="382">
        <v>6</v>
      </c>
      <c r="G389" s="383" t="str">
        <f>IF('Dry_Litterbag Placem_Collection'!E96="","",'Dry_Litterbag Placem_Collection'!E96)</f>
        <v/>
      </c>
      <c r="H389" s="92" t="str">
        <f>'Final data_for_R_analysis_Dryse'!K535</f>
        <v/>
      </c>
      <c r="I389" t="str">
        <f>'Final data_for_R_analysis_Dryse'!K755</f>
        <v/>
      </c>
      <c r="J389" t="str">
        <f>IFERROR(INDEX('Green_rooibos initial weight'!$C$5:$C$2000,MATCH(H389, 'Green_rooibos initial weight'!$A$5:$A$2000,0)),"")</f>
        <v/>
      </c>
      <c r="K389" t="str">
        <f>IFERROR(INDEX('Green_rooibos initial weight'!$C$5:$C$2000,MATCH(I389, 'Green_rooibos initial weight'!$A$5:$A$2000,0)),"")</f>
        <v/>
      </c>
      <c r="L389" s="194" t="str">
        <f t="shared" si="32"/>
        <v/>
      </c>
      <c r="M389" s="237">
        <f>AVERAGE(Ashed_controlls!$K$1:$K$11)</f>
        <v>5.5147656768714146</v>
      </c>
      <c r="N389" s="194" t="str">
        <f>IFERROR(IF(K389&gt;0,(K389*$F$32-($F$29+$F$30)),""),"")</f>
        <v/>
      </c>
      <c r="O389" s="383" t="str">
        <f>IF('Dry_Litterbag Placem_Collection'!G96="","",'Dry_Litterbag Placem_Collection'!G96)</f>
        <v/>
      </c>
      <c r="P389" s="194" t="str">
        <f>IFERROR(INDEX('Both teabags AfterDry'!$D$3:$D$2000,MATCH(H389,'Both teabags AfterDry'!$A$3:$A$2000,0)),"")</f>
        <v/>
      </c>
      <c r="Q389" s="194" t="str">
        <f>IFERROR(INDEX('Both teabags AfterDry'!$D$3:$D$2000,MATCH(I389,'Both teabags AfterDry'!$A$3:$A$2000,0)),"")</f>
        <v/>
      </c>
      <c r="R389" s="194" t="str">
        <f t="shared" si="33"/>
        <v/>
      </c>
      <c r="S389" s="194" t="str">
        <f t="shared" si="33"/>
        <v/>
      </c>
      <c r="T389" s="194" t="str">
        <f t="shared" si="34"/>
        <v/>
      </c>
      <c r="U389" s="194" t="str">
        <f t="shared" si="35"/>
        <v/>
      </c>
      <c r="V389" s="194" t="str">
        <f t="shared" si="36"/>
        <v/>
      </c>
      <c r="W389" t="str">
        <f t="shared" si="37"/>
        <v/>
      </c>
      <c r="X389" s="194" t="str">
        <f t="shared" si="38"/>
        <v/>
      </c>
      <c r="Y389" s="194" t="str">
        <f t="shared" si="39"/>
        <v/>
      </c>
      <c r="Z389" s="252" t="str">
        <f>IF(ISNUMBER(SEARCH("C", 'Dry_Litterbag Placem_Collection'!$V96)),"YES","NO")</f>
        <v>NO</v>
      </c>
      <c r="AA389" s="252" t="str">
        <f>IF(ISNUMBER(SEARCH("H", 'Dry_Litterbag Placem_Collection'!$V96)),"YES","NO")</f>
        <v>NO</v>
      </c>
      <c r="AB389" s="252" t="str">
        <f>IF(ISNUMBER(SEARCH("R", 'Dry_Litterbag Placem_Collection'!$V96)),"YES","NO")</f>
        <v>NO</v>
      </c>
      <c r="AC389" s="252" t="str">
        <f>IF(ISNUMBER(SEARCH("C", 'Dry_Litterbag Placem_Collection'!$U96)),"YES","NO")</f>
        <v>NO</v>
      </c>
      <c r="AD389" s="252" t="str">
        <f>IF(ISNUMBER(SEARCH("H", 'Dry_Litterbag Placem_Collection'!$U96)),"YES","NO")</f>
        <v>NO</v>
      </c>
      <c r="AE389" s="252" t="str">
        <f>IF(ISNUMBER(SEARCH("R", 'Dry_Litterbag Placem_Collection'!$U96)),"YES","NO")</f>
        <v>NO</v>
      </c>
    </row>
    <row r="390" spans="2:31">
      <c r="B390" t="str">
        <f>'Final data_for_R_analysis_Dryse'!A536</f>
        <v>Dry</v>
      </c>
      <c r="C390" s="260">
        <f>'Final data_for_R_analysis_Dryse'!B536</f>
        <v>95</v>
      </c>
      <c r="D390" t="s">
        <v>3814</v>
      </c>
      <c r="E390" t="s">
        <v>25</v>
      </c>
      <c r="F390" s="382">
        <v>7</v>
      </c>
      <c r="G390" s="383">
        <f>IF('Dry_Litterbag Placem_Collection'!E97="","",'Dry_Litterbag Placem_Collection'!E97)</f>
        <v>42937</v>
      </c>
      <c r="H390" s="92" t="str">
        <f>'Final data_for_R_analysis_Dryse'!K536</f>
        <v>G844</v>
      </c>
      <c r="I390" t="str">
        <f>'Final data_for_R_analysis_Dryse'!K756</f>
        <v>R233</v>
      </c>
      <c r="J390">
        <f>IFERROR(INDEX('Green_rooibos initial weight'!$C$5:$C$2000,MATCH(H390, 'Green_rooibos initial weight'!$A$5:$A$2000,0)),"")</f>
        <v>1.95</v>
      </c>
      <c r="K390">
        <f>IFERROR(INDEX('Green_rooibos initial weight'!$C$5:$C$2000,MATCH(I390, 'Green_rooibos initial weight'!$A$5:$A$2000,0)),"")</f>
        <v>2.1749999999999998</v>
      </c>
      <c r="L390" s="194">
        <f t="shared" si="32"/>
        <v>1.7001999999999999</v>
      </c>
      <c r="M390" s="237">
        <f>AVERAGE(Ashed_controlls!$K$1:$K$11)</f>
        <v>5.5147656768714146</v>
      </c>
      <c r="N390" s="194">
        <f>IFERROR(IF(K390&gt;0,(K390*$F$32-($F$29+$F$30)),""),"")</f>
        <v>1.9251999999999998</v>
      </c>
      <c r="O390" s="383">
        <f>IF('Dry_Litterbag Placem_Collection'!G97="","",'Dry_Litterbag Placem_Collection'!G97)</f>
        <v>43006</v>
      </c>
      <c r="P390" s="194">
        <f>IFERROR(INDEX('Both teabags AfterDry'!$D$3:$D$2000,MATCH(H390,'Both teabags AfterDry'!$A$3:$A$2000,0)),"")</f>
        <v>1.7751999999999999</v>
      </c>
      <c r="Q390" s="194">
        <f>IFERROR(INDEX('Both teabags AfterDry'!$D$3:$D$2000,MATCH(I390,'Both teabags AfterDry'!$A$3:$A$2000,0)),"")</f>
        <v>1.9479</v>
      </c>
      <c r="R390" s="194">
        <f t="shared" si="33"/>
        <v>1.6245999999999998</v>
      </c>
      <c r="S390" s="194">
        <f t="shared" si="33"/>
        <v>1.7972999999999999</v>
      </c>
      <c r="T390" s="194">
        <f t="shared" si="34"/>
        <v>4.4465357016821638E-2</v>
      </c>
      <c r="U390" s="194">
        <f t="shared" si="35"/>
        <v>2.9150685360196597E-2</v>
      </c>
      <c r="V390" s="194">
        <f t="shared" si="36"/>
        <v>0.93356534386037815</v>
      </c>
      <c r="W390">
        <f t="shared" si="37"/>
        <v>69</v>
      </c>
      <c r="X390" s="194">
        <f t="shared" si="38"/>
        <v>0.9471907873909482</v>
      </c>
      <c r="Y390" s="194" t="str">
        <f t="shared" si="39"/>
        <v/>
      </c>
      <c r="Z390" s="252" t="str">
        <f>IF(ISNUMBER(SEARCH("C", 'Dry_Litterbag Placem_Collection'!$V97)),"YES","NO")</f>
        <v>NO</v>
      </c>
      <c r="AA390" s="252" t="str">
        <f>IF(ISNUMBER(SEARCH("H", 'Dry_Litterbag Placem_Collection'!$V97)),"YES","NO")</f>
        <v>NO</v>
      </c>
      <c r="AB390" s="252" t="str">
        <f>IF(ISNUMBER(SEARCH("R", 'Dry_Litterbag Placem_Collection'!$V97)),"YES","NO")</f>
        <v>NO</v>
      </c>
      <c r="AC390" s="252" t="str">
        <f>IF(ISNUMBER(SEARCH("C", 'Dry_Litterbag Placem_Collection'!$U97)),"YES","NO")</f>
        <v>NO</v>
      </c>
      <c r="AD390" s="252" t="str">
        <f>IF(ISNUMBER(SEARCH("H", 'Dry_Litterbag Placem_Collection'!$U97)),"YES","NO")</f>
        <v>NO</v>
      </c>
      <c r="AE390" s="252" t="str">
        <f>IF(ISNUMBER(SEARCH("R", 'Dry_Litterbag Placem_Collection'!$U97)),"YES","NO")</f>
        <v>NO</v>
      </c>
    </row>
    <row r="391" spans="2:31">
      <c r="B391" t="str">
        <f>'Final data_for_R_analysis_Dryse'!A537</f>
        <v>Dry</v>
      </c>
      <c r="C391" s="260">
        <f>'Final data_for_R_analysis_Dryse'!B537</f>
        <v>96</v>
      </c>
      <c r="D391" t="s">
        <v>3814</v>
      </c>
      <c r="E391" t="s">
        <v>25</v>
      </c>
      <c r="F391" s="382">
        <v>8</v>
      </c>
      <c r="G391" s="383">
        <f>IF('Dry_Litterbag Placem_Collection'!E98="","",'Dry_Litterbag Placem_Collection'!E98)</f>
        <v>42937</v>
      </c>
      <c r="H391" s="92" t="str">
        <f>'Final data_for_R_analysis_Dryse'!K537</f>
        <v>G372</v>
      </c>
      <c r="I391" t="str">
        <f>'Final data_for_R_analysis_Dryse'!K757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32"/>
        <v>1.9041999999999999</v>
      </c>
      <c r="M391" s="237">
        <f>AVERAGE(Ashed_controlls!$K$1:$K$11)</f>
        <v>5.5147656768714146</v>
      </c>
      <c r="N391" s="194">
        <f>IFERROR(IF(K391&gt;0,(K391*$F$32-($F$29+$F$30)),""),"")</f>
        <v>1.9281999999999999</v>
      </c>
      <c r="O391" s="383">
        <f>IF('Dry_Litterbag Placem_Collection'!G98="","",'Dry_Litterbag Placem_Collection'!G98)</f>
        <v>43006</v>
      </c>
      <c r="P391" s="194">
        <f>IFERROR(INDEX('Both teabags AfterDry'!$D$3:$D$2000,MATCH(H391,'Both teabags AfterDry'!$A$3:$A$2000,0)),"")</f>
        <v>1.9605999999999999</v>
      </c>
      <c r="Q391" s="194">
        <f>IFERROR(INDEX('Both teabags AfterDry'!$D$3:$D$2000,MATCH(I391,'Both teabags AfterDry'!$A$3:$A$2000,0)),"")</f>
        <v>2.0065</v>
      </c>
      <c r="R391" s="194">
        <f t="shared" si="33"/>
        <v>1.8099999999999998</v>
      </c>
      <c r="S391" s="194">
        <f t="shared" si="33"/>
        <v>1.8558999999999999</v>
      </c>
      <c r="T391" s="194">
        <f t="shared" si="34"/>
        <v>4.9469593530091394E-2</v>
      </c>
      <c r="U391" s="194">
        <f t="shared" si="35"/>
        <v>3.2431372480534973E-2</v>
      </c>
      <c r="V391" s="194">
        <f t="shared" si="36"/>
        <v>0.96250388963800437</v>
      </c>
      <c r="W391">
        <f t="shared" si="37"/>
        <v>69</v>
      </c>
      <c r="X391" s="194">
        <f t="shared" si="38"/>
        <v>0.94124751362221926</v>
      </c>
      <c r="Y391" s="194" t="str">
        <f t="shared" si="39"/>
        <v/>
      </c>
      <c r="Z391" s="252" t="str">
        <f>IF(ISNUMBER(SEARCH("C", 'Dry_Litterbag Placem_Collection'!$V98)),"YES","NO")</f>
        <v>NO</v>
      </c>
      <c r="AA391" s="252" t="str">
        <f>IF(ISNUMBER(SEARCH("H", 'Dry_Litterbag Placem_Collection'!$V98)),"YES","NO")</f>
        <v>NO</v>
      </c>
      <c r="AB391" s="252" t="str">
        <f>IF(ISNUMBER(SEARCH("R", 'Dry_Litterbag Placem_Collection'!$V98)),"YES","NO")</f>
        <v>NO</v>
      </c>
      <c r="AC391" s="252" t="str">
        <f>IF(ISNUMBER(SEARCH("C", 'Dry_Litterbag Placem_Collection'!$U98)),"YES","NO")</f>
        <v>NO</v>
      </c>
      <c r="AD391" s="252" t="str">
        <f>IF(ISNUMBER(SEARCH("H", 'Dry_Litterbag Placem_Collection'!$U98)),"YES","NO")</f>
        <v>NO</v>
      </c>
      <c r="AE391" s="252" t="str">
        <f>IF(ISNUMBER(SEARCH("R", 'Dry_Litterbag Placem_Collection'!$U98)),"YES","NO")</f>
        <v>NO</v>
      </c>
    </row>
    <row r="392" spans="2:31">
      <c r="B392" t="str">
        <f>'Final data_for_R_analysis_Dryse'!A538</f>
        <v>Dry</v>
      </c>
      <c r="C392" s="260">
        <f>'Final data_for_R_analysis_Dryse'!B538</f>
        <v>97</v>
      </c>
      <c r="D392" t="s">
        <v>3815</v>
      </c>
      <c r="E392" t="s">
        <v>25</v>
      </c>
      <c r="F392" s="381">
        <v>1</v>
      </c>
      <c r="G392" s="383">
        <f>IF('Dry_Litterbag Placem_Collection'!E99="","",'Dry_Litterbag Placem_Collection'!E99)</f>
        <v>42939</v>
      </c>
      <c r="H392" s="92" t="str">
        <f>'Final data_for_R_analysis_Dryse'!K538</f>
        <v>G3</v>
      </c>
      <c r="I392" t="str">
        <f>'Final data_for_R_analysis_Dryse'!K758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32"/>
        <v>1.7972000000000001</v>
      </c>
      <c r="M392" s="237">
        <f>AVERAGE(Ashed_controlls!$K$1:$K$11)</f>
        <v>5.5147656768714146</v>
      </c>
      <c r="N392" s="194">
        <f>IFERROR(IF(K392&gt;0,(K392*$F$32-($F$29+$F$30)),""),"")</f>
        <v>1.9352</v>
      </c>
      <c r="O392" s="383">
        <f>IF('Dry_Litterbag Placem_Collection'!G99="","",'Dry_Litterbag Placem_Collection'!G99)</f>
        <v>43010</v>
      </c>
      <c r="P392" s="194" t="str">
        <f>IFERROR(INDEX('Both teabags AfterDry'!$D$3:$D$2000,MATCH(H392,'Both teabags AfterDry'!$A$3:$A$2000,0)),"")</f>
        <v/>
      </c>
      <c r="Q392" s="194" t="str">
        <f>IFERROR(INDEX('Both teabags AfterDry'!$D$3:$D$2000,MATCH(I392,'Both teabags AfterDry'!$A$3:$A$2000,0)),"")</f>
        <v/>
      </c>
      <c r="R392" s="194" t="str">
        <f t="shared" si="33"/>
        <v/>
      </c>
      <c r="S392" s="194" t="str">
        <f t="shared" si="33"/>
        <v/>
      </c>
      <c r="T392" s="194" t="str">
        <f t="shared" si="34"/>
        <v/>
      </c>
      <c r="U392" s="194" t="str">
        <f t="shared" si="35"/>
        <v/>
      </c>
      <c r="V392" s="194" t="str">
        <f t="shared" si="36"/>
        <v/>
      </c>
      <c r="W392">
        <f t="shared" si="37"/>
        <v>71</v>
      </c>
      <c r="X392" s="194" t="str">
        <f t="shared" si="38"/>
        <v/>
      </c>
      <c r="Y392" s="194" t="str">
        <f t="shared" si="39"/>
        <v/>
      </c>
      <c r="Z392" s="252" t="str">
        <f>IF(ISNUMBER(SEARCH("C", 'Dry_Litterbag Placem_Collection'!$V99)),"YES","NO")</f>
        <v>NO</v>
      </c>
      <c r="AA392" s="252" t="str">
        <f>IF(ISNUMBER(SEARCH("H", 'Dry_Litterbag Placem_Collection'!$V99)),"YES","NO")</f>
        <v>NO</v>
      </c>
      <c r="AB392" s="252" t="str">
        <f>IF(ISNUMBER(SEARCH("R", 'Dry_Litterbag Placem_Collection'!$V99)),"YES","NO")</f>
        <v>NO</v>
      </c>
      <c r="AC392" s="252" t="str">
        <f>IF(ISNUMBER(SEARCH("C", 'Dry_Litterbag Placem_Collection'!$U99)),"YES","NO")</f>
        <v>NO</v>
      </c>
      <c r="AD392" s="252" t="str">
        <f>IF(ISNUMBER(SEARCH("H", 'Dry_Litterbag Placem_Collection'!$U99)),"YES","NO")</f>
        <v>NO</v>
      </c>
      <c r="AE392" s="252" t="str">
        <f>IF(ISNUMBER(SEARCH("R", 'Dry_Litterbag Placem_Collection'!$U99)),"YES","NO")</f>
        <v>NO</v>
      </c>
    </row>
    <row r="393" spans="2:31">
      <c r="B393" t="str">
        <f>'Final data_for_R_analysis_Dryse'!A539</f>
        <v>Dry</v>
      </c>
      <c r="C393" s="260">
        <f>'Final data_for_R_analysis_Dryse'!B539</f>
        <v>98</v>
      </c>
      <c r="D393" t="s">
        <v>3815</v>
      </c>
      <c r="E393" t="s">
        <v>25</v>
      </c>
      <c r="F393" s="381">
        <v>2</v>
      </c>
      <c r="G393" s="383">
        <f>IF('Dry_Litterbag Placem_Collection'!E100="","",'Dry_Litterbag Placem_Collection'!E100)</f>
        <v>42939</v>
      </c>
      <c r="H393" s="92" t="str">
        <f>'Final data_for_R_analysis_Dryse'!K539</f>
        <v>G25</v>
      </c>
      <c r="I393" t="str">
        <f>'Final data_for_R_analysis_Dryse'!K759</f>
        <v>R707</v>
      </c>
      <c r="J393">
        <f>IFERROR(INDEX('Green_rooibos initial weight'!$C$5:$C$2000,MATCH(H393, 'Green_rooibos initial weight'!$A$5:$A$2000,0)),"")</f>
        <v>2.0230000000000001</v>
      </c>
      <c r="K393">
        <f>IFERROR(INDEX('Green_rooibos initial weight'!$C$5:$C$2000,MATCH(I393, 'Green_rooibos initial weight'!$A$5:$A$2000,0)),"")</f>
        <v>2.145</v>
      </c>
      <c r="L393" s="194">
        <f t="shared" si="32"/>
        <v>1.7732000000000001</v>
      </c>
      <c r="M393" s="237">
        <f>AVERAGE(Ashed_controlls!$K$1:$K$11)</f>
        <v>5.5147656768714146</v>
      </c>
      <c r="N393" s="194">
        <f>IFERROR(IF(K393&gt;0,(K393*$F$32-($F$29+$F$30)),""),"")</f>
        <v>1.8952</v>
      </c>
      <c r="O393" s="383">
        <f>IF('Dry_Litterbag Placem_Collection'!G100="","",'Dry_Litterbag Placem_Collection'!G100)</f>
        <v>43010</v>
      </c>
      <c r="P393" s="194">
        <f>IFERROR(INDEX('Both teabags AfterDry'!$D$3:$D$2000,MATCH(H393,'Both teabags AfterDry'!$A$3:$A$2000,0)),"")</f>
        <v>0.995</v>
      </c>
      <c r="Q393" s="194">
        <f>IFERROR(INDEX('Both teabags AfterDry'!$D$3:$D$2000,MATCH(I393,'Both teabags AfterDry'!$A$3:$A$2000,0)),"")</f>
        <v>1.8146</v>
      </c>
      <c r="R393" s="194">
        <f t="shared" si="33"/>
        <v>0.84440000000000004</v>
      </c>
      <c r="S393" s="194">
        <f t="shared" si="33"/>
        <v>1.6639999999999999</v>
      </c>
      <c r="T393" s="194">
        <f t="shared" si="34"/>
        <v>0.52379878186329798</v>
      </c>
      <c r="U393" s="194">
        <f t="shared" si="35"/>
        <v>0.34339302563959684</v>
      </c>
      <c r="V393" s="194">
        <f t="shared" si="36"/>
        <v>0.87800759814267615</v>
      </c>
      <c r="W393">
        <f t="shared" si="37"/>
        <v>71</v>
      </c>
      <c r="X393" s="194">
        <f t="shared" si="38"/>
        <v>0.37791118543551305</v>
      </c>
      <c r="Y393" s="194">
        <f t="shared" si="39"/>
        <v>6.1817155044274286E-3</v>
      </c>
      <c r="Z393" s="252" t="str">
        <f>IF(ISNUMBER(SEARCH("C", 'Dry_Litterbag Placem_Collection'!$V100)),"YES","NO")</f>
        <v>NO</v>
      </c>
      <c r="AA393" s="252" t="str">
        <f>IF(ISNUMBER(SEARCH("H", 'Dry_Litterbag Placem_Collection'!$V100)),"YES","NO")</f>
        <v>NO</v>
      </c>
      <c r="AB393" s="252" t="str">
        <f>IF(ISNUMBER(SEARCH("R", 'Dry_Litterbag Placem_Collection'!$V100)),"YES","NO")</f>
        <v>NO</v>
      </c>
      <c r="AC393" s="252" t="str">
        <f>IF(ISNUMBER(SEARCH("C", 'Dry_Litterbag Placem_Collection'!$U100)),"YES","NO")</f>
        <v>NO</v>
      </c>
      <c r="AD393" s="252" t="str">
        <f>IF(ISNUMBER(SEARCH("H", 'Dry_Litterbag Placem_Collection'!$U100)),"YES","NO")</f>
        <v>NO</v>
      </c>
      <c r="AE393" s="252" t="str">
        <f>IF(ISNUMBER(SEARCH("R", 'Dry_Litterbag Placem_Collection'!$U100)),"YES","NO")</f>
        <v>NO</v>
      </c>
    </row>
    <row r="394" spans="2:31">
      <c r="B394" t="str">
        <f>'Final data_for_R_analysis_Dryse'!A540</f>
        <v>Dry</v>
      </c>
      <c r="C394" s="260">
        <f>'Final data_for_R_analysis_Dryse'!B540</f>
        <v>99</v>
      </c>
      <c r="D394" t="s">
        <v>3815</v>
      </c>
      <c r="E394" t="s">
        <v>25</v>
      </c>
      <c r="F394" s="381">
        <v>3</v>
      </c>
      <c r="G394" s="383" t="str">
        <f>IF('Dry_Litterbag Placem_Collection'!E101="","",'Dry_Litterbag Placem_Collection'!E101)</f>
        <v/>
      </c>
      <c r="H394" s="92" t="str">
        <f>'Final data_for_R_analysis_Dryse'!K540</f>
        <v/>
      </c>
      <c r="I394" t="str">
        <f>'Final data_for_R_analysis_Dryse'!K760</f>
        <v/>
      </c>
      <c r="J394" t="str">
        <f>IFERROR(INDEX('Green_rooibos initial weight'!$C$5:$C$2000,MATCH(H394, 'Green_rooibos initial weight'!$A$5:$A$2000,0)),"")</f>
        <v/>
      </c>
      <c r="K394" t="str">
        <f>IFERROR(INDEX('Green_rooibos initial weight'!$C$5:$C$2000,MATCH(I394, 'Green_rooibos initial weight'!$A$5:$A$2000,0)),"")</f>
        <v/>
      </c>
      <c r="L394" s="194" t="str">
        <f t="shared" si="32"/>
        <v/>
      </c>
      <c r="M394" s="237">
        <f>AVERAGE(Ashed_controlls!$K$1:$K$11)</f>
        <v>5.5147656768714146</v>
      </c>
      <c r="N394" s="194" t="str">
        <f>IFERROR(IF(K394&gt;0,(K394*$F$32-($F$29+$F$30)),""),"")</f>
        <v/>
      </c>
      <c r="O394" s="383" t="str">
        <f>IF('Dry_Litterbag Placem_Collection'!G101="","",'Dry_Litterbag Placem_Collection'!G101)</f>
        <v/>
      </c>
      <c r="P394" s="194" t="str">
        <f>IFERROR(INDEX('Both teabags AfterDry'!$D$3:$D$2000,MATCH(H394,'Both teabags AfterDry'!$A$3:$A$2000,0)),"")</f>
        <v/>
      </c>
      <c r="Q394" s="194" t="str">
        <f>IFERROR(INDEX('Both teabags AfterDry'!$D$3:$D$2000,MATCH(I394,'Both teabags AfterDry'!$A$3:$A$2000,0)),"")</f>
        <v/>
      </c>
      <c r="R394" s="194" t="str">
        <f t="shared" si="33"/>
        <v/>
      </c>
      <c r="S394" s="194" t="str">
        <f t="shared" si="33"/>
        <v/>
      </c>
      <c r="T394" s="194" t="str">
        <f t="shared" si="34"/>
        <v/>
      </c>
      <c r="U394" s="194" t="str">
        <f t="shared" si="35"/>
        <v/>
      </c>
      <c r="V394" s="194" t="str">
        <f t="shared" si="36"/>
        <v/>
      </c>
      <c r="W394" t="str">
        <f t="shared" si="37"/>
        <v/>
      </c>
      <c r="X394" s="194" t="str">
        <f t="shared" si="38"/>
        <v/>
      </c>
      <c r="Y394" s="194" t="str">
        <f t="shared" si="39"/>
        <v/>
      </c>
      <c r="Z394" s="252" t="str">
        <f>IF(ISNUMBER(SEARCH("C", 'Dry_Litterbag Placem_Collection'!$V101)),"YES","NO")</f>
        <v>NO</v>
      </c>
      <c r="AA394" s="252" t="str">
        <f>IF(ISNUMBER(SEARCH("H", 'Dry_Litterbag Placem_Collection'!$V101)),"YES","NO")</f>
        <v>NO</v>
      </c>
      <c r="AB394" s="252" t="str">
        <f>IF(ISNUMBER(SEARCH("R", 'Dry_Litterbag Placem_Collection'!$V101)),"YES","NO")</f>
        <v>NO</v>
      </c>
      <c r="AC394" s="252" t="str">
        <f>IF(ISNUMBER(SEARCH("C", 'Dry_Litterbag Placem_Collection'!$U101)),"YES","NO")</f>
        <v>NO</v>
      </c>
      <c r="AD394" s="252" t="str">
        <f>IF(ISNUMBER(SEARCH("H", 'Dry_Litterbag Placem_Collection'!$U101)),"YES","NO")</f>
        <v>NO</v>
      </c>
      <c r="AE394" s="252" t="str">
        <f>IF(ISNUMBER(SEARCH("R", 'Dry_Litterbag Placem_Collection'!$U101)),"YES","NO")</f>
        <v>NO</v>
      </c>
    </row>
    <row r="395" spans="2:31">
      <c r="B395" t="str">
        <f>'Final data_for_R_analysis_Dryse'!A541</f>
        <v>Dry</v>
      </c>
      <c r="C395" s="260">
        <f>'Final data_for_R_analysis_Dryse'!B541</f>
        <v>100</v>
      </c>
      <c r="D395" t="s">
        <v>3815</v>
      </c>
      <c r="E395" t="s">
        <v>25</v>
      </c>
      <c r="F395" s="382">
        <v>4</v>
      </c>
      <c r="G395" s="383">
        <f>IF('Dry_Litterbag Placem_Collection'!E102="","",'Dry_Litterbag Placem_Collection'!E102)</f>
        <v>42939</v>
      </c>
      <c r="H395" s="92" t="str">
        <f>'Final data_for_R_analysis_Dryse'!K541</f>
        <v>G187</v>
      </c>
      <c r="I395" t="str">
        <f>'Final data_for_R_analysis_Dryse'!K761</f>
        <v>R641</v>
      </c>
      <c r="J395">
        <f>IFERROR(INDEX('Green_rooibos initial weight'!$C$5:$C$2000,MATCH(H395, 'Green_rooibos initial weight'!$A$5:$A$2000,0)),"")</f>
        <v>1.996</v>
      </c>
      <c r="K395">
        <f>IFERROR(INDEX('Green_rooibos initial weight'!$C$5:$C$2000,MATCH(I395, 'Green_rooibos initial weight'!$A$5:$A$2000,0)),"")</f>
        <v>2.1459999999999999</v>
      </c>
      <c r="L395" s="194">
        <f t="shared" si="32"/>
        <v>1.7462</v>
      </c>
      <c r="M395" s="237">
        <f>AVERAGE(Ashed_controlls!$K$1:$K$11)</f>
        <v>5.5147656768714146</v>
      </c>
      <c r="N395" s="194">
        <f>IFERROR(IF(K395&gt;0,(K395*$F$32-($F$29+$F$30)),""),"")</f>
        <v>1.8961999999999999</v>
      </c>
      <c r="O395" s="383">
        <f>IF('Dry_Litterbag Placem_Collection'!G102="","",'Dry_Litterbag Placem_Collection'!G102)</f>
        <v>43010</v>
      </c>
      <c r="P395" s="194">
        <f>IFERROR(INDEX('Both teabags AfterDry'!$D$3:$D$2000,MATCH(H395,'Both teabags AfterDry'!$A$3:$A$2000,0)),"")</f>
        <v>1.1655</v>
      </c>
      <c r="Q395" s="194">
        <f>IFERROR(INDEX('Both teabags AfterDry'!$D$3:$D$2000,MATCH(I395,'Both teabags AfterDry'!$A$3:$A$2000,0)),"")</f>
        <v>1.9777</v>
      </c>
      <c r="R395" s="194">
        <f t="shared" si="33"/>
        <v>1.0148999999999999</v>
      </c>
      <c r="S395" s="194">
        <f t="shared" si="33"/>
        <v>1.8270999999999999</v>
      </c>
      <c r="T395" s="194">
        <f t="shared" si="34"/>
        <v>0.41879509792692704</v>
      </c>
      <c r="U395" s="194">
        <f t="shared" si="35"/>
        <v>0.27455450600435122</v>
      </c>
      <c r="V395" s="194">
        <f t="shared" si="36"/>
        <v>0.96355869634004854</v>
      </c>
      <c r="W395">
        <f t="shared" si="37"/>
        <v>71</v>
      </c>
      <c r="X395" s="194">
        <f t="shared" si="38"/>
        <v>0.50261864854284199</v>
      </c>
      <c r="Y395" s="194">
        <f t="shared" si="39"/>
        <v>2.005684580619812E-3</v>
      </c>
      <c r="Z395" s="252" t="str">
        <f>IF(ISNUMBER(SEARCH("C", 'Dry_Litterbag Placem_Collection'!$V102)),"YES","NO")</f>
        <v>NO</v>
      </c>
      <c r="AA395" s="252" t="str">
        <f>IF(ISNUMBER(SEARCH("H", 'Dry_Litterbag Placem_Collection'!$V102)),"YES","NO")</f>
        <v>NO</v>
      </c>
      <c r="AB395" s="252" t="str">
        <f>IF(ISNUMBER(SEARCH("R", 'Dry_Litterbag Placem_Collection'!$V102)),"YES","NO")</f>
        <v>NO</v>
      </c>
      <c r="AC395" s="252" t="str">
        <f>IF(ISNUMBER(SEARCH("C", 'Dry_Litterbag Placem_Collection'!$U102)),"YES","NO")</f>
        <v>NO</v>
      </c>
      <c r="AD395" s="252" t="str">
        <f>IF(ISNUMBER(SEARCH("H", 'Dry_Litterbag Placem_Collection'!$U102)),"YES","NO")</f>
        <v>NO</v>
      </c>
      <c r="AE395" s="252" t="str">
        <f>IF(ISNUMBER(SEARCH("R", 'Dry_Litterbag Placem_Collection'!$U102)),"YES","NO")</f>
        <v>NO</v>
      </c>
    </row>
    <row r="396" spans="2:31">
      <c r="B396" t="str">
        <f>'Final data_for_R_analysis_Dryse'!A542</f>
        <v>Dry</v>
      </c>
      <c r="C396" s="260">
        <f>'Final data_for_R_analysis_Dryse'!B542</f>
        <v>101</v>
      </c>
      <c r="D396" t="s">
        <v>3815</v>
      </c>
      <c r="E396" t="s">
        <v>25</v>
      </c>
      <c r="F396" s="382">
        <v>5</v>
      </c>
      <c r="G396" s="383">
        <f>IF('Dry_Litterbag Placem_Collection'!E103="","",'Dry_Litterbag Placem_Collection'!E103)</f>
        <v>42939</v>
      </c>
      <c r="H396" s="92" t="str">
        <f>'Final data_for_R_analysis_Dryse'!K542</f>
        <v>G398</v>
      </c>
      <c r="I396" t="str">
        <f>'Final data_for_R_analysis_Dryse'!K762</f>
        <v>R245</v>
      </c>
      <c r="J396">
        <f>IFERROR(INDEX('Green_rooibos initial weight'!$C$5:$C$2000,MATCH(H396, 'Green_rooibos initial weight'!$A$5:$A$2000,0)),"")</f>
        <v>1.9870000000000001</v>
      </c>
      <c r="K396">
        <f>IFERROR(INDEX('Green_rooibos initial weight'!$C$5:$C$2000,MATCH(I396, 'Green_rooibos initial weight'!$A$5:$A$2000,0)),"")</f>
        <v>2.258</v>
      </c>
      <c r="L396" s="194">
        <f t="shared" si="32"/>
        <v>1.7372000000000001</v>
      </c>
      <c r="M396" s="237">
        <f>AVERAGE(Ashed_controlls!$K$1:$K$11)</f>
        <v>5.5147656768714146</v>
      </c>
      <c r="N396" s="194">
        <f>IFERROR(IF(K396&gt;0,(K396*$F$32-($F$29+$F$30)),""),"")</f>
        <v>2.0082</v>
      </c>
      <c r="O396" s="383">
        <f>IF('Dry_Litterbag Placem_Collection'!G103="","",'Dry_Litterbag Placem_Collection'!G103)</f>
        <v>43010</v>
      </c>
      <c r="P396" s="194">
        <f>IFERROR(INDEX('Both teabags AfterDry'!$D$3:$D$2000,MATCH(H396,'Both teabags AfterDry'!$A$3:$A$2000,0)),"")</f>
        <v>1.0217000000000001</v>
      </c>
      <c r="Q396" s="194">
        <f>IFERROR(INDEX('Both teabags AfterDry'!$D$3:$D$2000,MATCH(I396,'Both teabags AfterDry'!$A$3:$A$2000,0)),"")</f>
        <v>1.8418000000000001</v>
      </c>
      <c r="R396" s="194">
        <f t="shared" si="33"/>
        <v>0.87109999999999999</v>
      </c>
      <c r="S396" s="194">
        <f t="shared" si="33"/>
        <v>1.6912</v>
      </c>
      <c r="T396" s="194">
        <f t="shared" si="34"/>
        <v>0.49856090260188812</v>
      </c>
      <c r="U396" s="194">
        <f t="shared" si="35"/>
        <v>0.32684752759648728</v>
      </c>
      <c r="V396" s="194">
        <f t="shared" si="36"/>
        <v>0.84214719649437308</v>
      </c>
      <c r="W396">
        <f t="shared" si="37"/>
        <v>71</v>
      </c>
      <c r="X396" s="194">
        <f t="shared" si="38"/>
        <v>0.40788491377447966</v>
      </c>
      <c r="Y396" s="194">
        <f t="shared" si="39"/>
        <v>9.2905111218978178E-3</v>
      </c>
      <c r="Z396" s="252" t="str">
        <f>IF(ISNUMBER(SEARCH("C", 'Dry_Litterbag Placem_Collection'!$V103)),"YES","NO")</f>
        <v>NO</v>
      </c>
      <c r="AA396" s="252" t="str">
        <f>IF(ISNUMBER(SEARCH("H", 'Dry_Litterbag Placem_Collection'!$V103)),"YES","NO")</f>
        <v>NO</v>
      </c>
      <c r="AB396" s="252" t="str">
        <f>IF(ISNUMBER(SEARCH("R", 'Dry_Litterbag Placem_Collection'!$V103)),"YES","NO")</f>
        <v>NO</v>
      </c>
      <c r="AC396" s="252" t="str">
        <f>IF(ISNUMBER(SEARCH("C", 'Dry_Litterbag Placem_Collection'!$U103)),"YES","NO")</f>
        <v>NO</v>
      </c>
      <c r="AD396" s="252" t="str">
        <f>IF(ISNUMBER(SEARCH("H", 'Dry_Litterbag Placem_Collection'!$U103)),"YES","NO")</f>
        <v>NO</v>
      </c>
      <c r="AE396" s="252" t="str">
        <f>IF(ISNUMBER(SEARCH("R", 'Dry_Litterbag Placem_Collection'!$U103)),"YES","NO")</f>
        <v>NO</v>
      </c>
    </row>
    <row r="397" spans="2:31">
      <c r="B397" t="str">
        <f>'Final data_for_R_analysis_Dryse'!A543</f>
        <v>Dry</v>
      </c>
      <c r="C397" s="260">
        <f>'Final data_for_R_analysis_Dryse'!B543</f>
        <v>102</v>
      </c>
      <c r="D397" t="s">
        <v>3815</v>
      </c>
      <c r="E397" t="s">
        <v>25</v>
      </c>
      <c r="F397" s="382">
        <v>6</v>
      </c>
      <c r="G397" s="383">
        <f>IF('Dry_Litterbag Placem_Collection'!E104="","",'Dry_Litterbag Placem_Collection'!E104)</f>
        <v>42939</v>
      </c>
      <c r="H397" s="92" t="str">
        <f>'Final data_for_R_analysis_Dryse'!K543</f>
        <v>G120</v>
      </c>
      <c r="I397" t="str">
        <f>'Final data_for_R_analysis_Dryse'!K763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40">IFERROR(IF(J397&gt;0,(J397*$F$31-($F$29+$F$30)),""),"")</f>
        <v>1.7951999999999999</v>
      </c>
      <c r="M397" s="237">
        <f>AVERAGE(Ashed_controlls!$K$1:$K$11)</f>
        <v>5.5147656768714146</v>
      </c>
      <c r="N397" s="194">
        <f>IFERROR(IF(K397&gt;0,(K397*$F$32-($F$29+$F$30)),""),"")</f>
        <v>1.9062000000000001</v>
      </c>
      <c r="O397" s="383">
        <f>IF('Dry_Litterbag Placem_Collection'!G104="","",'Dry_Litterbag Placem_Collection'!G104)</f>
        <v>43010</v>
      </c>
      <c r="P397" s="194">
        <f>IFERROR(INDEX('Both teabags AfterDry'!$D$3:$D$2000,MATCH(H397,'Both teabags AfterDry'!$A$3:$A$2000,0)),"")</f>
        <v>1.0569999999999999</v>
      </c>
      <c r="Q397" s="194">
        <f>IFERROR(INDEX('Both teabags AfterDry'!$D$3:$D$2000,MATCH(I397,'Both teabags AfterDry'!$A$3:$A$2000,0)),"")</f>
        <v>1.8105</v>
      </c>
      <c r="R397" s="194">
        <f t="shared" ref="R397:S460" si="41">IFERROR(IF(P397&gt;0,P397-($F$29),""),"")</f>
        <v>0.90639999999999987</v>
      </c>
      <c r="S397" s="194">
        <f t="shared" si="41"/>
        <v>1.6598999999999999</v>
      </c>
      <c r="T397" s="194">
        <f t="shared" ref="T397:T460" si="42">IFERROR(1-R397/L397,"")</f>
        <v>0.49509803921568629</v>
      </c>
      <c r="U397" s="194">
        <f t="shared" ref="U397:U460" si="43">IFERROR($F$26*(1-X397),"")</f>
        <v>0.32457733687299151</v>
      </c>
      <c r="V397" s="194">
        <f t="shared" ref="V397:V460" si="44">IFERROR(S397/N397,"")</f>
        <v>0.87079005350960015</v>
      </c>
      <c r="W397">
        <f t="shared" ref="W397:W460" si="45">IFERROR(IF((O397-G397)&gt;0,(IFERROR(O397-G397,"")),""),"")</f>
        <v>71</v>
      </c>
      <c r="X397" s="194">
        <f t="shared" ref="X397:X460" si="46">IFERROR(1-(T397/$F$25),"")</f>
        <v>0.41199757812863858</v>
      </c>
      <c r="Y397" s="194">
        <f t="shared" ref="Y397:Y460" si="47">IFERROR(LN(U397/(V397-(1-U397)))/W397,"")</f>
        <v>7.1498872508218786E-3</v>
      </c>
      <c r="Z397" s="252" t="str">
        <f>IF(ISNUMBER(SEARCH("C", 'Dry_Litterbag Placem_Collection'!$V104)),"YES","NO")</f>
        <v>NO</v>
      </c>
      <c r="AA397" s="252" t="str">
        <f>IF(ISNUMBER(SEARCH("H", 'Dry_Litterbag Placem_Collection'!$V104)),"YES","NO")</f>
        <v>NO</v>
      </c>
      <c r="AB397" s="252" t="str">
        <f>IF(ISNUMBER(SEARCH("R", 'Dry_Litterbag Placem_Collection'!$V104)),"YES","NO")</f>
        <v>NO</v>
      </c>
      <c r="AC397" s="252" t="str">
        <f>IF(ISNUMBER(SEARCH("C", 'Dry_Litterbag Placem_Collection'!$U104)),"YES","NO")</f>
        <v>NO</v>
      </c>
      <c r="AD397" s="252" t="str">
        <f>IF(ISNUMBER(SEARCH("H", 'Dry_Litterbag Placem_Collection'!$U104)),"YES","NO")</f>
        <v>NO</v>
      </c>
      <c r="AE397" s="252" t="str">
        <f>IF(ISNUMBER(SEARCH("R", 'Dry_Litterbag Placem_Collection'!$U104)),"YES","NO")</f>
        <v>NO</v>
      </c>
    </row>
    <row r="398" spans="2:31">
      <c r="B398" t="str">
        <f>'Final data_for_R_analysis_Dryse'!A544</f>
        <v>Dry</v>
      </c>
      <c r="C398" s="260">
        <f>'Final data_for_R_analysis_Dryse'!B544</f>
        <v>103</v>
      </c>
      <c r="D398" t="s">
        <v>3815</v>
      </c>
      <c r="E398" t="s">
        <v>25</v>
      </c>
      <c r="F398" s="382">
        <v>7</v>
      </c>
      <c r="G398" s="383">
        <f>IF('Dry_Litterbag Placem_Collection'!E105="","",'Dry_Litterbag Placem_Collection'!E105)</f>
        <v>42939</v>
      </c>
      <c r="H398" s="92" t="str">
        <f>'Final data_for_R_analysis_Dryse'!K544</f>
        <v>G145</v>
      </c>
      <c r="I398" t="str">
        <f>'Final data_for_R_analysis_Dryse'!K764</f>
        <v>R701</v>
      </c>
      <c r="J398">
        <f>IFERROR(INDEX('Green_rooibos initial weight'!$C$5:$C$2000,MATCH(H398, 'Green_rooibos initial weight'!$A$5:$A$2000,0)),"")</f>
        <v>2.044</v>
      </c>
      <c r="K398">
        <f>IFERROR(INDEX('Green_rooibos initial weight'!$C$5:$C$2000,MATCH(I398, 'Green_rooibos initial weight'!$A$5:$A$2000,0)),"")</f>
        <v>2.1549999999999998</v>
      </c>
      <c r="L398" s="194">
        <f t="shared" si="40"/>
        <v>1.7942</v>
      </c>
      <c r="M398" s="237">
        <f>AVERAGE(Ashed_controlls!$K$1:$K$11)</f>
        <v>5.5147656768714146</v>
      </c>
      <c r="N398" s="194">
        <f>IFERROR(IF(K398&gt;0,(K398*$F$32-($F$29+$F$30)),""),"")</f>
        <v>1.9051999999999998</v>
      </c>
      <c r="O398" s="383">
        <f>IF('Dry_Litterbag Placem_Collection'!G105="","",'Dry_Litterbag Placem_Collection'!G105)</f>
        <v>43010</v>
      </c>
      <c r="P398" s="194">
        <f>IFERROR(INDEX('Both teabags AfterDry'!$D$3:$D$2000,MATCH(H398,'Both teabags AfterDry'!$A$3:$A$2000,0)),"")</f>
        <v>1.0654999999999999</v>
      </c>
      <c r="Q398" s="194">
        <f>IFERROR(INDEX('Both teabags AfterDry'!$D$3:$D$2000,MATCH(I398,'Both teabags AfterDry'!$A$3:$A$2000,0)),"")</f>
        <v>1.8272999999999999</v>
      </c>
      <c r="R398" s="194">
        <f t="shared" si="41"/>
        <v>0.91489999999999982</v>
      </c>
      <c r="S398" s="194">
        <f t="shared" si="41"/>
        <v>1.6766999999999999</v>
      </c>
      <c r="T398" s="194">
        <f t="shared" si="42"/>
        <v>0.49007914390814855</v>
      </c>
      <c r="U398" s="194">
        <f t="shared" si="43"/>
        <v>0.32128703971175537</v>
      </c>
      <c r="V398" s="194">
        <f t="shared" si="44"/>
        <v>0.88006508503044301</v>
      </c>
      <c r="W398">
        <f t="shared" si="45"/>
        <v>71</v>
      </c>
      <c r="X398" s="194">
        <f t="shared" si="46"/>
        <v>0.41795826139174752</v>
      </c>
      <c r="Y398" s="194">
        <f t="shared" si="47"/>
        <v>6.5814040641289174E-3</v>
      </c>
      <c r="Z398" s="252" t="str">
        <f>IF(ISNUMBER(SEARCH("C", 'Dry_Litterbag Placem_Collection'!$V105)),"YES","NO")</f>
        <v>NO</v>
      </c>
      <c r="AA398" s="252" t="str">
        <f>IF(ISNUMBER(SEARCH("H", 'Dry_Litterbag Placem_Collection'!$V105)),"YES","NO")</f>
        <v>NO</v>
      </c>
      <c r="AB398" s="252" t="str">
        <f>IF(ISNUMBER(SEARCH("R", 'Dry_Litterbag Placem_Collection'!$V105)),"YES","NO")</f>
        <v>NO</v>
      </c>
      <c r="AC398" s="252" t="str">
        <f>IF(ISNUMBER(SEARCH("C", 'Dry_Litterbag Placem_Collection'!$U105)),"YES","NO")</f>
        <v>NO</v>
      </c>
      <c r="AD398" s="252" t="str">
        <f>IF(ISNUMBER(SEARCH("H", 'Dry_Litterbag Placem_Collection'!$U105)),"YES","NO")</f>
        <v>NO</v>
      </c>
      <c r="AE398" s="252" t="str">
        <f>IF(ISNUMBER(SEARCH("R", 'Dry_Litterbag Placem_Collection'!$U105)),"YES","NO")</f>
        <v>NO</v>
      </c>
    </row>
    <row r="399" spans="2:31">
      <c r="B399" t="str">
        <f>'Final data_for_R_analysis_Dryse'!A545</f>
        <v>Dry</v>
      </c>
      <c r="C399" s="260">
        <f>'Final data_for_R_analysis_Dryse'!B545</f>
        <v>104</v>
      </c>
      <c r="D399" t="s">
        <v>3815</v>
      </c>
      <c r="E399" t="s">
        <v>25</v>
      </c>
      <c r="F399" s="382">
        <v>8</v>
      </c>
      <c r="G399" s="383">
        <f>IF('Dry_Litterbag Placem_Collection'!E106="","",'Dry_Litterbag Placem_Collection'!E106)</f>
        <v>42939</v>
      </c>
      <c r="H399" s="92" t="str">
        <f>'Final data_for_R_analysis_Dryse'!K545</f>
        <v>G76</v>
      </c>
      <c r="I399" t="str">
        <f>'Final data_for_R_analysis_Dryse'!K765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40"/>
        <v>1.7631999999999999</v>
      </c>
      <c r="M399" s="237">
        <f>AVERAGE(Ashed_controlls!$K$1:$K$11)</f>
        <v>5.5147656768714146</v>
      </c>
      <c r="N399" s="194">
        <f>IFERROR(IF(K399&gt;0,(K399*$F$32-($F$29+$F$30)),""),"")</f>
        <v>1.9632000000000001</v>
      </c>
      <c r="O399" s="383">
        <f>IF('Dry_Litterbag Placem_Collection'!G106="","",'Dry_Litterbag Placem_Collection'!G106)</f>
        <v>43010</v>
      </c>
      <c r="P399" s="194">
        <f>IFERROR(INDEX('Both teabags AfterDry'!$D$3:$D$2000,MATCH(H399,'Both teabags AfterDry'!$A$3:$A$2000,0)),"")</f>
        <v>1.2876000000000001</v>
      </c>
      <c r="Q399" s="194">
        <f>IFERROR(INDEX('Both teabags AfterDry'!$D$3:$D$2000,MATCH(I399,'Both teabags AfterDry'!$A$3:$A$2000,0)),"")</f>
        <v>1.9468000000000001</v>
      </c>
      <c r="R399" s="194">
        <f t="shared" si="41"/>
        <v>1.137</v>
      </c>
      <c r="S399" s="194">
        <f t="shared" si="41"/>
        <v>1.7962</v>
      </c>
      <c r="T399" s="194">
        <f t="shared" si="42"/>
        <v>0.35514972776769504</v>
      </c>
      <c r="U399" s="194">
        <f t="shared" si="43"/>
        <v>0.23282975027050795</v>
      </c>
      <c r="V399" s="194">
        <f t="shared" si="44"/>
        <v>0.91493480032599839</v>
      </c>
      <c r="W399">
        <f t="shared" si="45"/>
        <v>71</v>
      </c>
      <c r="X399" s="194">
        <f t="shared" si="46"/>
        <v>0.57820697414763056</v>
      </c>
      <c r="Y399" s="194">
        <f t="shared" si="47"/>
        <v>6.404047441108938E-3</v>
      </c>
      <c r="Z399" s="252" t="str">
        <f>IF(ISNUMBER(SEARCH("C", 'Dry_Litterbag Placem_Collection'!$V106)),"YES","NO")</f>
        <v>NO</v>
      </c>
      <c r="AA399" s="252" t="str">
        <f>IF(ISNUMBER(SEARCH("H", 'Dry_Litterbag Placem_Collection'!$V106)),"YES","NO")</f>
        <v>NO</v>
      </c>
      <c r="AB399" s="252" t="str">
        <f>IF(ISNUMBER(SEARCH("R", 'Dry_Litterbag Placem_Collection'!$V106)),"YES","NO")</f>
        <v>NO</v>
      </c>
      <c r="AC399" s="252" t="str">
        <f>IF(ISNUMBER(SEARCH("C", 'Dry_Litterbag Placem_Collection'!$U106)),"YES","NO")</f>
        <v>NO</v>
      </c>
      <c r="AD399" s="252" t="str">
        <f>IF(ISNUMBER(SEARCH("H", 'Dry_Litterbag Placem_Collection'!$U106)),"YES","NO")</f>
        <v>NO</v>
      </c>
      <c r="AE399" s="252" t="str">
        <f>IF(ISNUMBER(SEARCH("R", 'Dry_Litterbag Placem_Collection'!$U106)),"YES","NO")</f>
        <v>NO</v>
      </c>
    </row>
    <row r="400" spans="2:31">
      <c r="B400" t="str">
        <f>'Final data_for_R_analysis_Dryse'!A546</f>
        <v>Dry</v>
      </c>
      <c r="C400" s="260">
        <f>'Final data_for_R_analysis_Dryse'!B546</f>
        <v>105</v>
      </c>
      <c r="D400" t="s">
        <v>3817</v>
      </c>
      <c r="E400" t="s">
        <v>25</v>
      </c>
      <c r="F400" s="381">
        <v>1</v>
      </c>
      <c r="G400" s="383">
        <f>IF('Dry_Litterbag Placem_Collection'!E107="","",'Dry_Litterbag Placem_Collection'!E107)</f>
        <v>42939</v>
      </c>
      <c r="H400" s="92" t="str">
        <f>'Final data_for_R_analysis_Dryse'!K546</f>
        <v>G57</v>
      </c>
      <c r="I400" t="str">
        <f>'Final data_for_R_analysis_Dryse'!K766</f>
        <v>R212</v>
      </c>
      <c r="J400">
        <f>IFERROR(INDEX('Green_rooibos initial weight'!$C$5:$C$2000,MATCH(H400, 'Green_rooibos initial weight'!$A$5:$A$2000,0)),"")</f>
        <v>2.077</v>
      </c>
      <c r="K400">
        <f>IFERROR(INDEX('Green_rooibos initial weight'!$C$5:$C$2000,MATCH(I400, 'Green_rooibos initial weight'!$A$5:$A$2000,0)),"")</f>
        <v>2.2519999999999998</v>
      </c>
      <c r="L400" s="194">
        <f t="shared" si="40"/>
        <v>1.8271999999999999</v>
      </c>
      <c r="M400" s="237">
        <f>AVERAGE(Ashed_controlls!$K$1:$K$11)</f>
        <v>5.5147656768714146</v>
      </c>
      <c r="N400" s="194">
        <f>IFERROR(IF(K400&gt;0,(K400*$F$32-($F$29+$F$30)),""),"")</f>
        <v>2.0021999999999998</v>
      </c>
      <c r="O400" s="383">
        <f>IF('Dry_Litterbag Placem_Collection'!G107="","",'Dry_Litterbag Placem_Collection'!G107)</f>
        <v>43010</v>
      </c>
      <c r="P400" s="194">
        <f>IFERROR(INDEX('Both teabags AfterDry'!$D$3:$D$2000,MATCH(H400,'Both teabags AfterDry'!$A$3:$A$2000,0)),"")</f>
        <v>1.0114000000000001</v>
      </c>
      <c r="Q400" s="194">
        <f>IFERROR(INDEX('Both teabags AfterDry'!$D$3:$D$2000,MATCH(I400,'Both teabags AfterDry'!$A$3:$A$2000,0)),"")</f>
        <v>1.9135</v>
      </c>
      <c r="R400" s="194">
        <f t="shared" si="41"/>
        <v>0.86080000000000001</v>
      </c>
      <c r="S400" s="194">
        <f t="shared" si="41"/>
        <v>1.7628999999999999</v>
      </c>
      <c r="T400" s="194">
        <f t="shared" si="42"/>
        <v>0.52889667250437822</v>
      </c>
      <c r="U400" s="194">
        <f t="shared" si="43"/>
        <v>0.34673511071545937</v>
      </c>
      <c r="V400" s="194">
        <f t="shared" si="44"/>
        <v>0.88048147038257918</v>
      </c>
      <c r="W400">
        <f t="shared" si="45"/>
        <v>71</v>
      </c>
      <c r="X400" s="194">
        <f t="shared" si="46"/>
        <v>0.37185668348648671</v>
      </c>
      <c r="Y400" s="194">
        <f t="shared" si="47"/>
        <v>5.9529218924882256E-3</v>
      </c>
      <c r="Z400" s="252" t="str">
        <f>IF(ISNUMBER(SEARCH("C", 'Dry_Litterbag Placem_Collection'!$V107)),"YES","NO")</f>
        <v>NO</v>
      </c>
      <c r="AA400" s="252" t="str">
        <f>IF(ISNUMBER(SEARCH("H", 'Dry_Litterbag Placem_Collection'!$V107)),"YES","NO")</f>
        <v>NO</v>
      </c>
      <c r="AB400" s="252" t="str">
        <f>IF(ISNUMBER(SEARCH("R", 'Dry_Litterbag Placem_Collection'!$V107)),"YES","NO")</f>
        <v>NO</v>
      </c>
      <c r="AC400" s="252" t="str">
        <f>IF(ISNUMBER(SEARCH("C", 'Dry_Litterbag Placem_Collection'!$U107)),"YES","NO")</f>
        <v>NO</v>
      </c>
      <c r="AD400" s="252" t="str">
        <f>IF(ISNUMBER(SEARCH("H", 'Dry_Litterbag Placem_Collection'!$U107)),"YES","NO")</f>
        <v>NO</v>
      </c>
      <c r="AE400" s="252" t="str">
        <f>IF(ISNUMBER(SEARCH("R", 'Dry_Litterbag Placem_Collection'!$U107)),"YES","NO")</f>
        <v>NO</v>
      </c>
    </row>
    <row r="401" spans="2:31">
      <c r="B401" t="str">
        <f>'Final data_for_R_analysis_Dryse'!A547</f>
        <v>Dry</v>
      </c>
      <c r="C401" s="260">
        <f>'Final data_for_R_analysis_Dryse'!B547</f>
        <v>106</v>
      </c>
      <c r="D401" t="s">
        <v>3817</v>
      </c>
      <c r="E401" t="s">
        <v>25</v>
      </c>
      <c r="F401" s="381">
        <v>2</v>
      </c>
      <c r="G401" s="383">
        <f>IF('Dry_Litterbag Placem_Collection'!E108="","",'Dry_Litterbag Placem_Collection'!E108)</f>
        <v>42939</v>
      </c>
      <c r="H401" s="92" t="str">
        <f>'Final data_for_R_analysis_Dryse'!K547</f>
        <v>G167</v>
      </c>
      <c r="I401" t="str">
        <f>'Final data_for_R_analysis_Dryse'!K767</f>
        <v>R66</v>
      </c>
      <c r="J401">
        <f>IFERROR(INDEX('Green_rooibos initial weight'!$C$5:$C$2000,MATCH(H401, 'Green_rooibos initial weight'!$A$5:$A$2000,0)),"")</f>
        <v>1.996</v>
      </c>
      <c r="K401">
        <f>IFERROR(INDEX('Green_rooibos initial weight'!$C$5:$C$2000,MATCH(I401, 'Green_rooibos initial weight'!$A$5:$A$2000,0)),"")</f>
        <v>2.1120000000000001</v>
      </c>
      <c r="L401" s="194">
        <f t="shared" si="40"/>
        <v>1.7462</v>
      </c>
      <c r="M401" s="237">
        <f>AVERAGE(Ashed_controlls!$K$1:$K$11)</f>
        <v>5.5147656768714146</v>
      </c>
      <c r="N401" s="194">
        <f>IFERROR(IF(K401&gt;0,(K401*$F$32-($F$29+$F$30)),""),"")</f>
        <v>1.8622000000000001</v>
      </c>
      <c r="O401" s="383">
        <f>IF('Dry_Litterbag Placem_Collection'!G108="","",'Dry_Litterbag Placem_Collection'!G108)</f>
        <v>43010</v>
      </c>
      <c r="P401" s="194">
        <f>IFERROR(INDEX('Both teabags AfterDry'!$D$3:$D$2000,MATCH(H401,'Both teabags AfterDry'!$A$3:$A$2000,0)),"")</f>
        <v>0.98309999999999997</v>
      </c>
      <c r="Q401" s="194">
        <f>IFERROR(INDEX('Both teabags AfterDry'!$D$3:$D$2000,MATCH(I401,'Both teabags AfterDry'!$A$3:$A$2000,0)),"")</f>
        <v>1.7972999999999999</v>
      </c>
      <c r="R401" s="194">
        <f t="shared" si="41"/>
        <v>0.83250000000000002</v>
      </c>
      <c r="S401" s="194">
        <f t="shared" si="41"/>
        <v>1.6466999999999998</v>
      </c>
      <c r="T401" s="194">
        <f t="shared" si="42"/>
        <v>0.52325048677127473</v>
      </c>
      <c r="U401" s="194">
        <f t="shared" si="43"/>
        <v>0.34303357327523004</v>
      </c>
      <c r="V401" s="194">
        <f t="shared" si="44"/>
        <v>0.88427666201267308</v>
      </c>
      <c r="W401">
        <f t="shared" si="45"/>
        <v>71</v>
      </c>
      <c r="X401" s="194">
        <f t="shared" si="46"/>
        <v>0.37856236725501813</v>
      </c>
      <c r="Y401" s="194">
        <f t="shared" si="47"/>
        <v>5.795951604745061E-3</v>
      </c>
      <c r="Z401" s="252" t="str">
        <f>IF(ISNUMBER(SEARCH("C", 'Dry_Litterbag Placem_Collection'!$V108)),"YES","NO")</f>
        <v>NO</v>
      </c>
      <c r="AA401" s="252" t="str">
        <f>IF(ISNUMBER(SEARCH("H", 'Dry_Litterbag Placem_Collection'!$V108)),"YES","NO")</f>
        <v>NO</v>
      </c>
      <c r="AB401" s="252" t="str">
        <f>IF(ISNUMBER(SEARCH("R", 'Dry_Litterbag Placem_Collection'!$V108)),"YES","NO")</f>
        <v>NO</v>
      </c>
      <c r="AC401" s="252" t="str">
        <f>IF(ISNUMBER(SEARCH("C", 'Dry_Litterbag Placem_Collection'!$U108)),"YES","NO")</f>
        <v>NO</v>
      </c>
      <c r="AD401" s="252" t="str">
        <f>IF(ISNUMBER(SEARCH("H", 'Dry_Litterbag Placem_Collection'!$U108)),"YES","NO")</f>
        <v>NO</v>
      </c>
      <c r="AE401" s="252" t="str">
        <f>IF(ISNUMBER(SEARCH("R", 'Dry_Litterbag Placem_Collection'!$U108)),"YES","NO")</f>
        <v>NO</v>
      </c>
    </row>
    <row r="402" spans="2:31">
      <c r="B402" t="str">
        <f>'Final data_for_R_analysis_Dryse'!A548</f>
        <v>Dry</v>
      </c>
      <c r="C402" s="260">
        <f>'Final data_for_R_analysis_Dryse'!B548</f>
        <v>107</v>
      </c>
      <c r="D402" t="s">
        <v>3817</v>
      </c>
      <c r="E402" t="s">
        <v>25</v>
      </c>
      <c r="F402" s="381">
        <v>3</v>
      </c>
      <c r="G402" s="383">
        <f>IF('Dry_Litterbag Placem_Collection'!E109="","",'Dry_Litterbag Placem_Collection'!E109)</f>
        <v>42939</v>
      </c>
      <c r="H402" s="92" t="str">
        <f>'Final data_for_R_analysis_Dryse'!K548</f>
        <v>G208</v>
      </c>
      <c r="I402" t="str">
        <f>'Final data_for_R_analysis_Dryse'!K768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40"/>
        <v>1.7521999999999998</v>
      </c>
      <c r="M402" s="237">
        <f>AVERAGE(Ashed_controlls!$K$1:$K$11)</f>
        <v>5.5147656768714146</v>
      </c>
      <c r="N402" s="194">
        <f>IFERROR(IF(K402&gt;0,(K402*$F$32-($F$29+$F$30)),""),"")</f>
        <v>1.9902000000000002</v>
      </c>
      <c r="O402" s="383">
        <f>IF('Dry_Litterbag Placem_Collection'!G109="","",'Dry_Litterbag Placem_Collection'!G109)</f>
        <v>43010</v>
      </c>
      <c r="P402" s="194" t="str">
        <f>IFERROR(INDEX('Both teabags AfterDry'!$D$3:$D$2000,MATCH(H402,'Both teabags AfterDry'!$A$3:$A$2000,0)),"")</f>
        <v/>
      </c>
      <c r="Q402" s="194" t="str">
        <f>IFERROR(INDEX('Both teabags AfterDry'!$D$3:$D$2000,MATCH(I402,'Both teabags AfterDry'!$A$3:$A$2000,0)),"")</f>
        <v/>
      </c>
      <c r="R402" s="194" t="str">
        <f t="shared" si="41"/>
        <v/>
      </c>
      <c r="S402" s="194" t="str">
        <f t="shared" si="41"/>
        <v/>
      </c>
      <c r="T402" s="194" t="str">
        <f t="shared" si="42"/>
        <v/>
      </c>
      <c r="U402" s="194" t="str">
        <f t="shared" si="43"/>
        <v/>
      </c>
      <c r="V402" s="194" t="str">
        <f t="shared" si="44"/>
        <v/>
      </c>
      <c r="W402">
        <f t="shared" si="45"/>
        <v>71</v>
      </c>
      <c r="X402" s="194" t="str">
        <f t="shared" si="46"/>
        <v/>
      </c>
      <c r="Y402" s="194" t="str">
        <f t="shared" si="47"/>
        <v/>
      </c>
      <c r="Z402" s="252" t="str">
        <f>IF(ISNUMBER(SEARCH("C", 'Dry_Litterbag Placem_Collection'!$V109)),"YES","NO")</f>
        <v>NO</v>
      </c>
      <c r="AA402" s="252" t="str">
        <f>IF(ISNUMBER(SEARCH("H", 'Dry_Litterbag Placem_Collection'!$V109)),"YES","NO")</f>
        <v>NO</v>
      </c>
      <c r="AB402" s="252" t="str">
        <f>IF(ISNUMBER(SEARCH("R", 'Dry_Litterbag Placem_Collection'!$V109)),"YES","NO")</f>
        <v>NO</v>
      </c>
      <c r="AC402" s="252" t="str">
        <f>IF(ISNUMBER(SEARCH("C", 'Dry_Litterbag Placem_Collection'!$U109)),"YES","NO")</f>
        <v>NO</v>
      </c>
      <c r="AD402" s="252" t="str">
        <f>IF(ISNUMBER(SEARCH("H", 'Dry_Litterbag Placem_Collection'!$U109)),"YES","NO")</f>
        <v>NO</v>
      </c>
      <c r="AE402" s="252" t="str">
        <f>IF(ISNUMBER(SEARCH("R", 'Dry_Litterbag Placem_Collection'!$U109)),"YES","NO")</f>
        <v>NO</v>
      </c>
    </row>
    <row r="403" spans="2:31">
      <c r="B403" t="str">
        <f>'Final data_for_R_analysis_Dryse'!A549</f>
        <v>Dry</v>
      </c>
      <c r="C403" s="260">
        <f>'Final data_for_R_analysis_Dryse'!B549</f>
        <v>108</v>
      </c>
      <c r="D403" t="s">
        <v>3817</v>
      </c>
      <c r="E403" t="s">
        <v>25</v>
      </c>
      <c r="F403" s="382">
        <v>4</v>
      </c>
      <c r="G403" s="383">
        <f>IF('Dry_Litterbag Placem_Collection'!E110="","",'Dry_Litterbag Placem_Collection'!E110)</f>
        <v>42939</v>
      </c>
      <c r="H403" s="92" t="str">
        <f>'Final data_for_R_analysis_Dryse'!K549</f>
        <v>G62</v>
      </c>
      <c r="I403" t="str">
        <f>'Final data_for_R_analysis_Dryse'!K769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40"/>
        <v>1.8321999999999998</v>
      </c>
      <c r="M403" s="237">
        <f>AVERAGE(Ashed_controlls!$K$1:$K$11)</f>
        <v>5.5147656768714146</v>
      </c>
      <c r="N403" s="194">
        <f>IFERROR(IF(K403&gt;0,(K403*$F$32-($F$29+$F$30)),""),"")</f>
        <v>2.0051999999999999</v>
      </c>
      <c r="O403" s="383">
        <f>IF('Dry_Litterbag Placem_Collection'!G110="","",'Dry_Litterbag Placem_Collection'!G110)</f>
        <v>43010</v>
      </c>
      <c r="P403" s="194">
        <f>IFERROR(INDEX('Both teabags AfterDry'!$D$3:$D$2000,MATCH(H403,'Both teabags AfterDry'!$A$3:$A$2000,0)),"")</f>
        <v>1.0947</v>
      </c>
      <c r="Q403" s="194">
        <f>IFERROR(INDEX('Both teabags AfterDry'!$D$3:$D$2000,MATCH(I403,'Both teabags AfterDry'!$A$3:$A$2000,0)),"")</f>
        <v>1.9655</v>
      </c>
      <c r="R403" s="194">
        <f t="shared" si="41"/>
        <v>0.94409999999999994</v>
      </c>
      <c r="S403" s="194">
        <f t="shared" si="41"/>
        <v>1.8149</v>
      </c>
      <c r="T403" s="194">
        <f t="shared" si="42"/>
        <v>0.48471782556489462</v>
      </c>
      <c r="U403" s="194">
        <f t="shared" si="43"/>
        <v>0.31777225618981214</v>
      </c>
      <c r="V403" s="194">
        <f t="shared" si="44"/>
        <v>0.90509674845401955</v>
      </c>
      <c r="W403">
        <f t="shared" si="45"/>
        <v>71</v>
      </c>
      <c r="X403" s="194">
        <f t="shared" si="46"/>
        <v>0.42432562284454323</v>
      </c>
      <c r="Y403" s="194">
        <f t="shared" si="47"/>
        <v>4.9964897882045917E-3</v>
      </c>
      <c r="Z403" s="252" t="str">
        <f>IF(ISNUMBER(SEARCH("C", 'Dry_Litterbag Placem_Collection'!$V110)),"YES","NO")</f>
        <v>NO</v>
      </c>
      <c r="AA403" s="252" t="str">
        <f>IF(ISNUMBER(SEARCH("H", 'Dry_Litterbag Placem_Collection'!$V110)),"YES","NO")</f>
        <v>NO</v>
      </c>
      <c r="AB403" s="252" t="str">
        <f>IF(ISNUMBER(SEARCH("R", 'Dry_Litterbag Placem_Collection'!$V110)),"YES","NO")</f>
        <v>NO</v>
      </c>
      <c r="AC403" s="252" t="str">
        <f>IF(ISNUMBER(SEARCH("C", 'Dry_Litterbag Placem_Collection'!$U110)),"YES","NO")</f>
        <v>NO</v>
      </c>
      <c r="AD403" s="252" t="str">
        <f>IF(ISNUMBER(SEARCH("H", 'Dry_Litterbag Placem_Collection'!$U110)),"YES","NO")</f>
        <v>NO</v>
      </c>
      <c r="AE403" s="252" t="str">
        <f>IF(ISNUMBER(SEARCH("R", 'Dry_Litterbag Placem_Collection'!$U110)),"YES","NO")</f>
        <v>NO</v>
      </c>
    </row>
    <row r="404" spans="2:31">
      <c r="B404" t="str">
        <f>'Final data_for_R_analysis_Dryse'!A550</f>
        <v>Dry</v>
      </c>
      <c r="C404" s="260">
        <f>'Final data_for_R_analysis_Dryse'!B550</f>
        <v>109</v>
      </c>
      <c r="D404" t="s">
        <v>3817</v>
      </c>
      <c r="E404" t="s">
        <v>25</v>
      </c>
      <c r="F404" s="382">
        <v>5</v>
      </c>
      <c r="G404" s="383">
        <f>IF('Dry_Litterbag Placem_Collection'!E111="","",'Dry_Litterbag Placem_Collection'!E111)</f>
        <v>42939</v>
      </c>
      <c r="H404" s="92" t="str">
        <f>'Final data_for_R_analysis_Dryse'!K550</f>
        <v>G102</v>
      </c>
      <c r="I404" t="str">
        <f>'Final data_for_R_analysis_Dryse'!K770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40"/>
        <v>1.8422000000000001</v>
      </c>
      <c r="M404" s="237">
        <f>AVERAGE(Ashed_controlls!$K$1:$K$11)</f>
        <v>5.5147656768714146</v>
      </c>
      <c r="N404" s="194">
        <f>IFERROR(IF(K404&gt;0,(K404*$F$32-($F$29+$F$30)),""),"")</f>
        <v>2.0421999999999998</v>
      </c>
      <c r="O404" s="383">
        <f>IF('Dry_Litterbag Placem_Collection'!G111="","",'Dry_Litterbag Placem_Collection'!G111)</f>
        <v>43010</v>
      </c>
      <c r="P404" s="194">
        <f>IFERROR(INDEX('Both teabags AfterDry'!$D$3:$D$2000,MATCH(H404,'Both teabags AfterDry'!$A$3:$A$2000,0)),"")</f>
        <v>1.0327999999999999</v>
      </c>
      <c r="Q404" s="194">
        <f>IFERROR(INDEX('Both teabags AfterDry'!$D$3:$D$2000,MATCH(I404,'Both teabags AfterDry'!$A$3:$A$2000,0)),"")</f>
        <v>1.8811</v>
      </c>
      <c r="R404" s="194">
        <f t="shared" si="41"/>
        <v>0.88219999999999987</v>
      </c>
      <c r="S404" s="194">
        <f t="shared" si="41"/>
        <v>1.7304999999999999</v>
      </c>
      <c r="T404" s="194">
        <f t="shared" si="42"/>
        <v>0.52111605688850293</v>
      </c>
      <c r="U404" s="194">
        <f t="shared" si="43"/>
        <v>0.34163427957536063</v>
      </c>
      <c r="V404" s="194">
        <f t="shared" si="44"/>
        <v>0.84737048281265304</v>
      </c>
      <c r="W404">
        <f t="shared" si="45"/>
        <v>71</v>
      </c>
      <c r="X404" s="194">
        <f t="shared" si="46"/>
        <v>0.38109731960985394</v>
      </c>
      <c r="Y404" s="194">
        <f t="shared" si="47"/>
        <v>8.3375858360886165E-3</v>
      </c>
      <c r="Z404" s="252" t="str">
        <f>IF(ISNUMBER(SEARCH("C", 'Dry_Litterbag Placem_Collection'!$V111)),"YES","NO")</f>
        <v>NO</v>
      </c>
      <c r="AA404" s="252" t="str">
        <f>IF(ISNUMBER(SEARCH("H", 'Dry_Litterbag Placem_Collection'!$V111)),"YES","NO")</f>
        <v>NO</v>
      </c>
      <c r="AB404" s="252" t="str">
        <f>IF(ISNUMBER(SEARCH("R", 'Dry_Litterbag Placem_Collection'!$V111)),"YES","NO")</f>
        <v>NO</v>
      </c>
      <c r="AC404" s="252" t="str">
        <f>IF(ISNUMBER(SEARCH("C", 'Dry_Litterbag Placem_Collection'!$U111)),"YES","NO")</f>
        <v>NO</v>
      </c>
      <c r="AD404" s="252" t="str">
        <f>IF(ISNUMBER(SEARCH("H", 'Dry_Litterbag Placem_Collection'!$U111)),"YES","NO")</f>
        <v>NO</v>
      </c>
      <c r="AE404" s="252" t="str">
        <f>IF(ISNUMBER(SEARCH("R", 'Dry_Litterbag Placem_Collection'!$U111)),"YES","NO")</f>
        <v>NO</v>
      </c>
    </row>
    <row r="405" spans="2:31">
      <c r="B405" t="str">
        <f>'Final data_for_R_analysis_Dryse'!A551</f>
        <v>Dry</v>
      </c>
      <c r="C405" s="260">
        <f>'Final data_for_R_analysis_Dryse'!B551</f>
        <v>110</v>
      </c>
      <c r="D405" t="s">
        <v>3817</v>
      </c>
      <c r="E405" t="s">
        <v>25</v>
      </c>
      <c r="F405" s="382">
        <v>6</v>
      </c>
      <c r="G405" s="383">
        <f>IF('Dry_Litterbag Placem_Collection'!E112="","",'Dry_Litterbag Placem_Collection'!E112)</f>
        <v>42939</v>
      </c>
      <c r="H405" s="92" t="str">
        <f>'Final data_for_R_analysis_Dryse'!K551</f>
        <v>G265</v>
      </c>
      <c r="I405" t="str">
        <f>'Final data_for_R_analysis_Dryse'!K771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40"/>
        <v>1.7292000000000001</v>
      </c>
      <c r="M405" s="237">
        <f>AVERAGE(Ashed_controlls!$K$1:$K$11)</f>
        <v>5.5147656768714146</v>
      </c>
      <c r="N405" s="194">
        <f>IFERROR(IF(K405&gt;0,(K405*$F$32-($F$29+$F$30)),""),"")</f>
        <v>1.8582000000000001</v>
      </c>
      <c r="O405" s="383">
        <f>IF('Dry_Litterbag Placem_Collection'!G112="","",'Dry_Litterbag Placem_Collection'!G112)</f>
        <v>43010</v>
      </c>
      <c r="P405" s="194">
        <f>IFERROR(INDEX('Both teabags AfterDry'!$D$3:$D$2000,MATCH(H405,'Both teabags AfterDry'!$A$3:$A$2000,0)),"")</f>
        <v>0.93579999999999997</v>
      </c>
      <c r="Q405" s="194">
        <f>IFERROR(INDEX('Both teabags AfterDry'!$D$3:$D$2000,MATCH(I405,'Both teabags AfterDry'!$A$3:$A$2000,0)),"")</f>
        <v>1.8521000000000001</v>
      </c>
      <c r="R405" s="194">
        <f t="shared" si="41"/>
        <v>0.7851999999999999</v>
      </c>
      <c r="S405" s="194">
        <f t="shared" si="41"/>
        <v>1.7015</v>
      </c>
      <c r="T405" s="194">
        <f t="shared" si="42"/>
        <v>0.5459171871385613</v>
      </c>
      <c r="U405" s="194">
        <f t="shared" si="43"/>
        <v>0.35789345285093332</v>
      </c>
      <c r="V405" s="194">
        <f t="shared" si="44"/>
        <v>0.91567107953933913</v>
      </c>
      <c r="W405">
        <f t="shared" si="45"/>
        <v>71</v>
      </c>
      <c r="X405" s="194">
        <f t="shared" si="46"/>
        <v>0.35164229555990345</v>
      </c>
      <c r="Y405" s="194">
        <f t="shared" si="47"/>
        <v>3.7844757760579942E-3</v>
      </c>
      <c r="Z405" s="252" t="str">
        <f>IF(ISNUMBER(SEARCH("C", 'Dry_Litterbag Placem_Collection'!$V112)),"YES","NO")</f>
        <v>NO</v>
      </c>
      <c r="AA405" s="252" t="str">
        <f>IF(ISNUMBER(SEARCH("H", 'Dry_Litterbag Placem_Collection'!$V112)),"YES","NO")</f>
        <v>NO</v>
      </c>
      <c r="AB405" s="252" t="str">
        <f>IF(ISNUMBER(SEARCH("R", 'Dry_Litterbag Placem_Collection'!$V112)),"YES","NO")</f>
        <v>NO</v>
      </c>
      <c r="AC405" s="252" t="str">
        <f>IF(ISNUMBER(SEARCH("C", 'Dry_Litterbag Placem_Collection'!$U112)),"YES","NO")</f>
        <v>NO</v>
      </c>
      <c r="AD405" s="252" t="str">
        <f>IF(ISNUMBER(SEARCH("H", 'Dry_Litterbag Placem_Collection'!$U112)),"YES","NO")</f>
        <v>NO</v>
      </c>
      <c r="AE405" s="252" t="str">
        <f>IF(ISNUMBER(SEARCH("R", 'Dry_Litterbag Placem_Collection'!$U112)),"YES","NO")</f>
        <v>NO</v>
      </c>
    </row>
    <row r="406" spans="2:31">
      <c r="B406" t="str">
        <f>'Final data_for_R_analysis_Dryse'!A552</f>
        <v>Dry</v>
      </c>
      <c r="C406" s="260">
        <f>'Final data_for_R_analysis_Dryse'!B552</f>
        <v>111</v>
      </c>
      <c r="D406" t="s">
        <v>3817</v>
      </c>
      <c r="E406" t="s">
        <v>25</v>
      </c>
      <c r="F406" s="382">
        <v>7</v>
      </c>
      <c r="G406" s="383">
        <f>IF('Dry_Litterbag Placem_Collection'!E113="","",'Dry_Litterbag Placem_Collection'!E113)</f>
        <v>42939</v>
      </c>
      <c r="H406" s="92" t="str">
        <f>'Final data_for_R_analysis_Dryse'!K552</f>
        <v>G455</v>
      </c>
      <c r="I406" t="str">
        <f>'Final data_for_R_analysis_Dryse'!K772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40"/>
        <v>1.7801999999999998</v>
      </c>
      <c r="M406" s="237">
        <f>AVERAGE(Ashed_controlls!$K$1:$K$11)</f>
        <v>5.5147656768714146</v>
      </c>
      <c r="N406" s="194">
        <f>IFERROR(IF(K406&gt;0,(K406*$F$32-($F$29+$F$30)),""),"")</f>
        <v>1.9691999999999998</v>
      </c>
      <c r="O406" s="383">
        <f>IF('Dry_Litterbag Placem_Collection'!G113="","",'Dry_Litterbag Placem_Collection'!G113)</f>
        <v>43010</v>
      </c>
      <c r="P406" s="194">
        <f>IFERROR(INDEX('Both teabags AfterDry'!$D$3:$D$2000,MATCH(H406,'Both teabags AfterDry'!$A$3:$A$2000,0)),"")</f>
        <v>0.92169999999999996</v>
      </c>
      <c r="Q406" s="194">
        <f>IFERROR(INDEX('Both teabags AfterDry'!$D$3:$D$2000,MATCH(I406,'Both teabags AfterDry'!$A$3:$A$2000,0)),"")</f>
        <v>1.8743000000000001</v>
      </c>
      <c r="R406" s="194">
        <f t="shared" si="41"/>
        <v>0.7710999999999999</v>
      </c>
      <c r="S406" s="194">
        <f t="shared" si="41"/>
        <v>1.7237</v>
      </c>
      <c r="T406" s="194">
        <f t="shared" si="42"/>
        <v>0.56684642175036515</v>
      </c>
      <c r="U406" s="194">
        <f t="shared" si="43"/>
        <v>0.37161428124251966</v>
      </c>
      <c r="V406" s="194">
        <f t="shared" si="44"/>
        <v>0.87533008328255135</v>
      </c>
      <c r="W406">
        <f t="shared" si="45"/>
        <v>71</v>
      </c>
      <c r="X406" s="194">
        <f t="shared" si="46"/>
        <v>0.32678572238673975</v>
      </c>
      <c r="Y406" s="194">
        <f t="shared" si="47"/>
        <v>5.7562446696306779E-3</v>
      </c>
      <c r="Z406" s="252" t="str">
        <f>IF(ISNUMBER(SEARCH("C", 'Dry_Litterbag Placem_Collection'!$V113)),"YES","NO")</f>
        <v>NO</v>
      </c>
      <c r="AA406" s="252" t="str">
        <f>IF(ISNUMBER(SEARCH("H", 'Dry_Litterbag Placem_Collection'!$V113)),"YES","NO")</f>
        <v>NO</v>
      </c>
      <c r="AB406" s="252" t="str">
        <f>IF(ISNUMBER(SEARCH("R", 'Dry_Litterbag Placem_Collection'!$V113)),"YES","NO")</f>
        <v>NO</v>
      </c>
      <c r="AC406" s="252" t="str">
        <f>IF(ISNUMBER(SEARCH("C", 'Dry_Litterbag Placem_Collection'!$U113)),"YES","NO")</f>
        <v>NO</v>
      </c>
      <c r="AD406" s="252" t="str">
        <f>IF(ISNUMBER(SEARCH("H", 'Dry_Litterbag Placem_Collection'!$U113)),"YES","NO")</f>
        <v>NO</v>
      </c>
      <c r="AE406" s="252" t="str">
        <f>IF(ISNUMBER(SEARCH("R", 'Dry_Litterbag Placem_Collection'!$U113)),"YES","NO")</f>
        <v>NO</v>
      </c>
    </row>
    <row r="407" spans="2:31">
      <c r="B407" t="str">
        <f>'Final data_for_R_analysis_Dryse'!A553</f>
        <v>Dry</v>
      </c>
      <c r="C407" s="260">
        <f>'Final data_for_R_analysis_Dryse'!B553</f>
        <v>112</v>
      </c>
      <c r="D407" t="s">
        <v>3817</v>
      </c>
      <c r="E407" t="s">
        <v>25</v>
      </c>
      <c r="F407" s="382">
        <v>8</v>
      </c>
      <c r="G407" s="383" t="str">
        <f>IF('Dry_Litterbag Placem_Collection'!E114="","",'Dry_Litterbag Placem_Collection'!E114)</f>
        <v/>
      </c>
      <c r="H407" s="92" t="str">
        <f>'Final data_for_R_analysis_Dryse'!K553</f>
        <v/>
      </c>
      <c r="I407" t="str">
        <f>'Final data_for_R_analysis_Dryse'!K773</f>
        <v/>
      </c>
      <c r="J407" t="str">
        <f>IFERROR(INDEX('Green_rooibos initial weight'!$C$5:$C$2000,MATCH(H407, 'Green_rooibos initial weight'!$A$5:$A$2000,0)),"")</f>
        <v/>
      </c>
      <c r="K407" t="str">
        <f>IFERROR(INDEX('Green_rooibos initial weight'!$C$5:$C$2000,MATCH(I407, 'Green_rooibos initial weight'!$A$5:$A$2000,0)),"")</f>
        <v/>
      </c>
      <c r="L407" s="194" t="str">
        <f t="shared" si="40"/>
        <v/>
      </c>
      <c r="M407" s="237">
        <f>AVERAGE(Ashed_controlls!$K$1:$K$11)</f>
        <v>5.5147656768714146</v>
      </c>
      <c r="N407" s="194" t="str">
        <f>IFERROR(IF(K407&gt;0,(K407*$F$32-($F$29+$F$30)),""),"")</f>
        <v/>
      </c>
      <c r="O407" s="383" t="str">
        <f>IF('Dry_Litterbag Placem_Collection'!G114="","",'Dry_Litterbag Placem_Collection'!G114)</f>
        <v/>
      </c>
      <c r="P407" s="194" t="str">
        <f>IFERROR(INDEX('Both teabags AfterDry'!$D$3:$D$2000,MATCH(H407,'Both teabags AfterDry'!$A$3:$A$2000,0)),"")</f>
        <v/>
      </c>
      <c r="Q407" s="194" t="str">
        <f>IFERROR(INDEX('Both teabags AfterDry'!$D$3:$D$2000,MATCH(I407,'Both teabags AfterDry'!$A$3:$A$2000,0)),"")</f>
        <v/>
      </c>
      <c r="R407" s="194" t="str">
        <f t="shared" si="41"/>
        <v/>
      </c>
      <c r="S407" s="194" t="str">
        <f t="shared" si="41"/>
        <v/>
      </c>
      <c r="T407" s="194" t="str">
        <f t="shared" si="42"/>
        <v/>
      </c>
      <c r="U407" s="194" t="str">
        <f t="shared" si="43"/>
        <v/>
      </c>
      <c r="V407" s="194" t="str">
        <f t="shared" si="44"/>
        <v/>
      </c>
      <c r="W407" t="str">
        <f t="shared" si="45"/>
        <v/>
      </c>
      <c r="X407" s="194" t="str">
        <f t="shared" si="46"/>
        <v/>
      </c>
      <c r="Y407" s="194" t="str">
        <f t="shared" si="47"/>
        <v/>
      </c>
      <c r="Z407" s="252" t="str">
        <f>IF(ISNUMBER(SEARCH("C", 'Dry_Litterbag Placem_Collection'!$V114)),"YES","NO")</f>
        <v>NO</v>
      </c>
      <c r="AA407" s="252" t="str">
        <f>IF(ISNUMBER(SEARCH("H", 'Dry_Litterbag Placem_Collection'!$V114)),"YES","NO")</f>
        <v>NO</v>
      </c>
      <c r="AB407" s="252" t="str">
        <f>IF(ISNUMBER(SEARCH("R", 'Dry_Litterbag Placem_Collection'!$V114)),"YES","NO")</f>
        <v>NO</v>
      </c>
      <c r="AC407" s="252" t="str">
        <f>IF(ISNUMBER(SEARCH("C", 'Dry_Litterbag Placem_Collection'!$U114)),"YES","NO")</f>
        <v>NO</v>
      </c>
      <c r="AD407" s="252" t="str">
        <f>IF(ISNUMBER(SEARCH("H", 'Dry_Litterbag Placem_Collection'!$U114)),"YES","NO")</f>
        <v>NO</v>
      </c>
      <c r="AE407" s="252" t="str">
        <f>IF(ISNUMBER(SEARCH("R", 'Dry_Litterbag Placem_Collection'!$U114)),"YES","NO")</f>
        <v>NO</v>
      </c>
    </row>
    <row r="408" spans="2:31">
      <c r="B408" t="str">
        <f>'Final data_for_R_analysis_Dryse'!A554</f>
        <v>Dry</v>
      </c>
      <c r="C408" s="260">
        <f>'Final data_for_R_analysis_Dryse'!B554</f>
        <v>113</v>
      </c>
      <c r="D408" t="s">
        <v>3818</v>
      </c>
      <c r="E408" t="s">
        <v>25</v>
      </c>
      <c r="F408" s="381">
        <v>1</v>
      </c>
      <c r="G408" s="383">
        <f>IF('Dry_Litterbag Placem_Collection'!E115="","",'Dry_Litterbag Placem_Collection'!E115)</f>
        <v>42939</v>
      </c>
      <c r="H408" s="92" t="str">
        <f>'Final data_for_R_analysis_Dryse'!K554</f>
        <v>G490</v>
      </c>
      <c r="I408" t="str">
        <f>'Final data_for_R_analysis_Dryse'!K774</f>
        <v>R313</v>
      </c>
      <c r="J408">
        <f>IFERROR(INDEX('Green_rooibos initial weight'!$C$5:$C$2000,MATCH(H408, 'Green_rooibos initial weight'!$A$5:$A$2000,0)),"")</f>
        <v>1.881</v>
      </c>
      <c r="K408">
        <f>IFERROR(INDEX('Green_rooibos initial weight'!$C$5:$C$2000,MATCH(I408, 'Green_rooibos initial weight'!$A$5:$A$2000,0)),"")</f>
        <v>2.2450000000000001</v>
      </c>
      <c r="L408" s="194">
        <f t="shared" si="40"/>
        <v>1.6312</v>
      </c>
      <c r="M408" s="237">
        <f>AVERAGE(Ashed_controlls!$K$1:$K$11)</f>
        <v>5.5147656768714146</v>
      </c>
      <c r="N408" s="194">
        <f>IFERROR(IF(K408&gt;0,(K408*$F$32-($F$29+$F$30)),""),"")</f>
        <v>1.9952000000000001</v>
      </c>
      <c r="O408" s="383">
        <f>IF('Dry_Litterbag Placem_Collection'!G115="","",'Dry_Litterbag Placem_Collection'!G115)</f>
        <v>43008</v>
      </c>
      <c r="P408" s="194">
        <f>IFERROR(INDEX('Both teabags AfterDry'!$D$3:$D$2000,MATCH(H408,'Both teabags AfterDry'!$A$3:$A$2000,0)),"")</f>
        <v>0.72760000000000002</v>
      </c>
      <c r="Q408" s="194">
        <f>IFERROR(INDEX('Both teabags AfterDry'!$D$3:$D$2000,MATCH(I408,'Both teabags AfterDry'!$A$3:$A$2000,0)),"")</f>
        <v>1.6048</v>
      </c>
      <c r="R408" s="194">
        <f t="shared" si="41"/>
        <v>0.57699999999999996</v>
      </c>
      <c r="S408" s="194">
        <f t="shared" si="41"/>
        <v>1.4541999999999999</v>
      </c>
      <c r="T408" s="194">
        <f t="shared" si="42"/>
        <v>0.64627268268759197</v>
      </c>
      <c r="U408" s="194">
        <f t="shared" si="43"/>
        <v>0.4236847040897278</v>
      </c>
      <c r="V408" s="194">
        <f t="shared" si="44"/>
        <v>0.72884923817161185</v>
      </c>
      <c r="W408">
        <f t="shared" si="45"/>
        <v>69</v>
      </c>
      <c r="X408" s="194">
        <f t="shared" si="46"/>
        <v>0.23245524621426128</v>
      </c>
      <c r="Y408" s="194">
        <f t="shared" si="47"/>
        <v>1.4805832067975555E-2</v>
      </c>
      <c r="Z408" s="252" t="str">
        <f>IF(ISNUMBER(SEARCH("C", 'Dry_Litterbag Placem_Collection'!$V115)),"YES","NO")</f>
        <v>NO</v>
      </c>
      <c r="AA408" s="252" t="str">
        <f>IF(ISNUMBER(SEARCH("H", 'Dry_Litterbag Placem_Collection'!$V115)),"YES","NO")</f>
        <v>NO</v>
      </c>
      <c r="AB408" s="252" t="str">
        <f>IF(ISNUMBER(SEARCH("R", 'Dry_Litterbag Placem_Collection'!$V115)),"YES","NO")</f>
        <v>NO</v>
      </c>
      <c r="AC408" s="252" t="str">
        <f>IF(ISNUMBER(SEARCH("C", 'Dry_Litterbag Placem_Collection'!$U115)),"YES","NO")</f>
        <v>NO</v>
      </c>
      <c r="AD408" s="252" t="str">
        <f>IF(ISNUMBER(SEARCH("H", 'Dry_Litterbag Placem_Collection'!$U115)),"YES","NO")</f>
        <v>NO</v>
      </c>
      <c r="AE408" s="252" t="str">
        <f>IF(ISNUMBER(SEARCH("R", 'Dry_Litterbag Placem_Collection'!$U115)),"YES","NO")</f>
        <v>NO</v>
      </c>
    </row>
    <row r="409" spans="2:31">
      <c r="B409" t="str">
        <f>'Final data_for_R_analysis_Dryse'!A555</f>
        <v>Dry</v>
      </c>
      <c r="C409" s="260">
        <f>'Final data_for_R_analysis_Dryse'!B555</f>
        <v>114</v>
      </c>
      <c r="D409" t="s">
        <v>3818</v>
      </c>
      <c r="E409" t="s">
        <v>25</v>
      </c>
      <c r="F409" s="381">
        <v>2</v>
      </c>
      <c r="G409" s="383">
        <f>IF('Dry_Litterbag Placem_Collection'!E116="","",'Dry_Litterbag Placem_Collection'!E116)</f>
        <v>42939</v>
      </c>
      <c r="H409" s="92" t="str">
        <f>'Final data_for_R_analysis_Dryse'!K555</f>
        <v>G650</v>
      </c>
      <c r="I409" t="str">
        <f>'Final data_for_R_analysis_Dryse'!K775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40"/>
        <v>1.7772000000000001</v>
      </c>
      <c r="M409" s="237">
        <f>AVERAGE(Ashed_controlls!$K$1:$K$11)</f>
        <v>5.5147656768714146</v>
      </c>
      <c r="N409" s="194">
        <f>IFERROR(IF(K409&gt;0,(K409*$F$32-($F$29+$F$30)),""),"")</f>
        <v>1.9832000000000001</v>
      </c>
      <c r="O409" s="383">
        <f>IF('Dry_Litterbag Placem_Collection'!G116="","",'Dry_Litterbag Placem_Collection'!G116)</f>
        <v>43008</v>
      </c>
      <c r="P409" s="194">
        <f>IFERROR(INDEX('Both teabags AfterDry'!$D$3:$D$2000,MATCH(H409,'Both teabags AfterDry'!$A$3:$A$2000,0)),"")</f>
        <v>0.86890000000000001</v>
      </c>
      <c r="Q409" s="194">
        <f>IFERROR(INDEX('Both teabags AfterDry'!$D$3:$D$2000,MATCH(I409,'Both teabags AfterDry'!$A$3:$A$2000,0)),"")</f>
        <v>1.7551000000000001</v>
      </c>
      <c r="R409" s="194">
        <f t="shared" si="41"/>
        <v>0.71829999999999994</v>
      </c>
      <c r="S409" s="194">
        <f t="shared" si="41"/>
        <v>1.6045</v>
      </c>
      <c r="T409" s="194">
        <f t="shared" si="42"/>
        <v>0.59582489309025433</v>
      </c>
      <c r="U409" s="194">
        <f t="shared" si="43"/>
        <v>0.39061204392615256</v>
      </c>
      <c r="V409" s="194">
        <f t="shared" si="44"/>
        <v>0.8090459862847923</v>
      </c>
      <c r="W409">
        <f t="shared" si="45"/>
        <v>69</v>
      </c>
      <c r="X409" s="194">
        <f t="shared" si="46"/>
        <v>0.29236948564102805</v>
      </c>
      <c r="Y409" s="194">
        <f t="shared" si="47"/>
        <v>9.726214467375989E-3</v>
      </c>
      <c r="Z409" s="252" t="str">
        <f>IF(ISNUMBER(SEARCH("C", 'Dry_Litterbag Placem_Collection'!$V116)),"YES","NO")</f>
        <v>NO</v>
      </c>
      <c r="AA409" s="252" t="str">
        <f>IF(ISNUMBER(SEARCH("H", 'Dry_Litterbag Placem_Collection'!$V116)),"YES","NO")</f>
        <v>NO</v>
      </c>
      <c r="AB409" s="252" t="str">
        <f>IF(ISNUMBER(SEARCH("R", 'Dry_Litterbag Placem_Collection'!$V116)),"YES","NO")</f>
        <v>NO</v>
      </c>
      <c r="AC409" s="252" t="str">
        <f>IF(ISNUMBER(SEARCH("C", 'Dry_Litterbag Placem_Collection'!$U116)),"YES","NO")</f>
        <v>NO</v>
      </c>
      <c r="AD409" s="252" t="str">
        <f>IF(ISNUMBER(SEARCH("H", 'Dry_Litterbag Placem_Collection'!$U116)),"YES","NO")</f>
        <v>NO</v>
      </c>
      <c r="AE409" s="252" t="str">
        <f>IF(ISNUMBER(SEARCH("R", 'Dry_Litterbag Placem_Collection'!$U116)),"YES","NO")</f>
        <v>NO</v>
      </c>
    </row>
    <row r="410" spans="2:31">
      <c r="B410" t="str">
        <f>'Final data_for_R_analysis_Dryse'!A556</f>
        <v>Dry</v>
      </c>
      <c r="C410" s="260">
        <f>'Final data_for_R_analysis_Dryse'!B556</f>
        <v>115</v>
      </c>
      <c r="D410" t="s">
        <v>3818</v>
      </c>
      <c r="E410" t="s">
        <v>25</v>
      </c>
      <c r="F410" s="381">
        <v>3</v>
      </c>
      <c r="G410" s="383">
        <f>IF('Dry_Litterbag Placem_Collection'!E117="","",'Dry_Litterbag Placem_Collection'!E117)</f>
        <v>42939</v>
      </c>
      <c r="H410" s="92" t="str">
        <f>'Final data_for_R_analysis_Dryse'!K556</f>
        <v>G873</v>
      </c>
      <c r="I410" t="str">
        <f>'Final data_for_R_analysis_Dryse'!K776</f>
        <v>R671</v>
      </c>
      <c r="J410">
        <f>IFERROR(INDEX('Green_rooibos initial weight'!$C$5:$C$2000,MATCH(H410, 'Green_rooibos initial weight'!$A$5:$A$2000,0)),"")</f>
        <v>2.0089999999999999</v>
      </c>
      <c r="K410">
        <f>IFERROR(INDEX('Green_rooibos initial weight'!$C$5:$C$2000,MATCH(I410, 'Green_rooibos initial weight'!$A$5:$A$2000,0)),"")</f>
        <v>2.202</v>
      </c>
      <c r="L410" s="194">
        <f t="shared" si="40"/>
        <v>1.7591999999999999</v>
      </c>
      <c r="M410" s="237">
        <f>AVERAGE(Ashed_controlls!$K$1:$K$11)</f>
        <v>5.5147656768714146</v>
      </c>
      <c r="N410" s="194">
        <f>IFERROR(IF(K410&gt;0,(K410*$F$32-($F$29+$F$30)),""),"")</f>
        <v>1.9521999999999999</v>
      </c>
      <c r="O410" s="383">
        <f>IF('Dry_Litterbag Placem_Collection'!G117="","",'Dry_Litterbag Placem_Collection'!G117)</f>
        <v>43008</v>
      </c>
      <c r="P410" s="194">
        <f>IFERROR(INDEX('Both teabags AfterDry'!$D$3:$D$2000,MATCH(H410,'Both teabags AfterDry'!$A$3:$A$2000,0)),"")</f>
        <v>0.68469999999999998</v>
      </c>
      <c r="Q410" s="194">
        <f>IFERROR(INDEX('Both teabags AfterDry'!$D$3:$D$2000,MATCH(I410,'Both teabags AfterDry'!$A$3:$A$2000,0)),"")</f>
        <v>1.6099000000000001</v>
      </c>
      <c r="R410" s="194">
        <f t="shared" si="41"/>
        <v>0.53410000000000002</v>
      </c>
      <c r="S410" s="194">
        <f t="shared" si="41"/>
        <v>1.4593</v>
      </c>
      <c r="T410" s="194">
        <f t="shared" si="42"/>
        <v>0.69639608913142337</v>
      </c>
      <c r="U410" s="194">
        <f t="shared" si="43"/>
        <v>0.45654470451371232</v>
      </c>
      <c r="V410" s="194">
        <f t="shared" si="44"/>
        <v>0.74751562339924194</v>
      </c>
      <c r="W410">
        <f t="shared" si="45"/>
        <v>69</v>
      </c>
      <c r="X410" s="194">
        <f t="shared" si="46"/>
        <v>0.17292625993892707</v>
      </c>
      <c r="Y410" s="194">
        <f t="shared" si="47"/>
        <v>1.1670593462127527E-2</v>
      </c>
      <c r="Z410" s="252" t="str">
        <f>IF(ISNUMBER(SEARCH("C", 'Dry_Litterbag Placem_Collection'!$V117)),"YES","NO")</f>
        <v>NO</v>
      </c>
      <c r="AA410" s="252" t="str">
        <f>IF(ISNUMBER(SEARCH("H", 'Dry_Litterbag Placem_Collection'!$V117)),"YES","NO")</f>
        <v>NO</v>
      </c>
      <c r="AB410" s="252" t="str">
        <f>IF(ISNUMBER(SEARCH("R", 'Dry_Litterbag Placem_Collection'!$V117)),"YES","NO")</f>
        <v>NO</v>
      </c>
      <c r="AC410" s="252" t="str">
        <f>IF(ISNUMBER(SEARCH("C", 'Dry_Litterbag Placem_Collection'!$U117)),"YES","NO")</f>
        <v>NO</v>
      </c>
      <c r="AD410" s="252" t="str">
        <f>IF(ISNUMBER(SEARCH("H", 'Dry_Litterbag Placem_Collection'!$U117)),"YES","NO")</f>
        <v>NO</v>
      </c>
      <c r="AE410" s="252" t="str">
        <f>IF(ISNUMBER(SEARCH("R", 'Dry_Litterbag Placem_Collection'!$U117)),"YES","NO")</f>
        <v>NO</v>
      </c>
    </row>
    <row r="411" spans="2:31">
      <c r="B411" t="str">
        <f>'Final data_for_R_analysis_Dryse'!A557</f>
        <v>Dry</v>
      </c>
      <c r="C411" s="260">
        <f>'Final data_for_R_analysis_Dryse'!B557</f>
        <v>116</v>
      </c>
      <c r="D411" t="s">
        <v>3818</v>
      </c>
      <c r="E411" t="s">
        <v>25</v>
      </c>
      <c r="F411" s="382">
        <v>4</v>
      </c>
      <c r="G411" s="383">
        <f>IF('Dry_Litterbag Placem_Collection'!E118="","",'Dry_Litterbag Placem_Collection'!E118)</f>
        <v>42939</v>
      </c>
      <c r="H411" s="92" t="str">
        <f>'Final data_for_R_analysis_Dryse'!K557</f>
        <v>G206</v>
      </c>
      <c r="I411" t="str">
        <f>'Final data_for_R_analysis_Dryse'!K777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40"/>
        <v>1.7751999999999999</v>
      </c>
      <c r="M411" s="237">
        <f>AVERAGE(Ashed_controlls!$K$1:$K$11)</f>
        <v>5.5147656768714146</v>
      </c>
      <c r="N411" s="194">
        <f>IFERROR(IF(K411&gt;0,(K411*$F$32-($F$29+$F$30)),""),"")</f>
        <v>1.9161999999999999</v>
      </c>
      <c r="O411" s="383">
        <f>IF('Dry_Litterbag Placem_Collection'!G118="","",'Dry_Litterbag Placem_Collection'!G118)</f>
        <v>43008</v>
      </c>
      <c r="P411" s="194">
        <f>IFERROR(INDEX('Both teabags AfterDry'!$D$3:$D$2000,MATCH(H411,'Both teabags AfterDry'!$A$3:$A$2000,0)),"")</f>
        <v>0.75260000000000005</v>
      </c>
      <c r="Q411" s="194">
        <f>IFERROR(INDEX('Both teabags AfterDry'!$D$3:$D$2000,MATCH(I411,'Both teabags AfterDry'!$A$3:$A$2000,0)),"")</f>
        <v>1.5814999999999999</v>
      </c>
      <c r="R411" s="194">
        <f t="shared" si="41"/>
        <v>0.60200000000000009</v>
      </c>
      <c r="S411" s="194">
        <f t="shared" si="41"/>
        <v>1.4308999999999998</v>
      </c>
      <c r="T411" s="194">
        <f t="shared" si="42"/>
        <v>0.66088328075709768</v>
      </c>
      <c r="U411" s="194">
        <f t="shared" si="43"/>
        <v>0.43326314842983132</v>
      </c>
      <c r="V411" s="194">
        <f t="shared" si="44"/>
        <v>0.74673833629057507</v>
      </c>
      <c r="W411">
        <f t="shared" si="45"/>
        <v>69</v>
      </c>
      <c r="X411" s="194">
        <f t="shared" si="46"/>
        <v>0.21510299197494331</v>
      </c>
      <c r="Y411" s="194">
        <f t="shared" si="47"/>
        <v>1.2730147495636572E-2</v>
      </c>
      <c r="Z411" s="252" t="str">
        <f>IF(ISNUMBER(SEARCH("C", 'Dry_Litterbag Placem_Collection'!$V118)),"YES","NO")</f>
        <v>NO</v>
      </c>
      <c r="AA411" s="252" t="str">
        <f>IF(ISNUMBER(SEARCH("H", 'Dry_Litterbag Placem_Collection'!$V118)),"YES","NO")</f>
        <v>NO</v>
      </c>
      <c r="AB411" s="252" t="str">
        <f>IF(ISNUMBER(SEARCH("R", 'Dry_Litterbag Placem_Collection'!$V118)),"YES","NO")</f>
        <v>NO</v>
      </c>
      <c r="AC411" s="252" t="str">
        <f>IF(ISNUMBER(SEARCH("C", 'Dry_Litterbag Placem_Collection'!$U118)),"YES","NO")</f>
        <v>NO</v>
      </c>
      <c r="AD411" s="252" t="str">
        <f>IF(ISNUMBER(SEARCH("H", 'Dry_Litterbag Placem_Collection'!$U118)),"YES","NO")</f>
        <v>NO</v>
      </c>
      <c r="AE411" s="252" t="str">
        <f>IF(ISNUMBER(SEARCH("R", 'Dry_Litterbag Placem_Collection'!$U118)),"YES","NO")</f>
        <v>NO</v>
      </c>
    </row>
    <row r="412" spans="2:31">
      <c r="B412" t="str">
        <f>'Final data_for_R_analysis_Dryse'!A558</f>
        <v>Dry</v>
      </c>
      <c r="C412" s="260">
        <f>'Final data_for_R_analysis_Dryse'!B558</f>
        <v>117</v>
      </c>
      <c r="D412" t="s">
        <v>3818</v>
      </c>
      <c r="E412" t="s">
        <v>25</v>
      </c>
      <c r="F412" s="382">
        <v>5</v>
      </c>
      <c r="G412" s="383">
        <f>IF('Dry_Litterbag Placem_Collection'!E119="","",'Dry_Litterbag Placem_Collection'!E119)</f>
        <v>42939</v>
      </c>
      <c r="H412" s="92" t="str">
        <f>'Final data_for_R_analysis_Dryse'!K558</f>
        <v>G163</v>
      </c>
      <c r="I412" t="str">
        <f>'Final data_for_R_analysis_Dryse'!K778</f>
        <v>R719</v>
      </c>
      <c r="J412">
        <f>IFERROR(INDEX('Green_rooibos initial weight'!$C$5:$C$2000,MATCH(H412, 'Green_rooibos initial weight'!$A$5:$A$2000,0)),"")</f>
        <v>2.04</v>
      </c>
      <c r="K412">
        <f>IFERROR(INDEX('Green_rooibos initial weight'!$C$5:$C$2000,MATCH(I412, 'Green_rooibos initial weight'!$A$5:$A$2000,0)),"")</f>
        <v>2.2050000000000001</v>
      </c>
      <c r="L412" s="194">
        <f t="shared" si="40"/>
        <v>1.7902</v>
      </c>
      <c r="M412" s="237">
        <f>AVERAGE(Ashed_controlls!$K$1:$K$11)</f>
        <v>5.5147656768714146</v>
      </c>
      <c r="N412" s="194">
        <f>IFERROR(IF(K412&gt;0,(K412*$F$32-($F$29+$F$30)),""),"")</f>
        <v>1.9552</v>
      </c>
      <c r="O412" s="383">
        <f>IF('Dry_Litterbag Placem_Collection'!G119="","",'Dry_Litterbag Placem_Collection'!G119)</f>
        <v>43008</v>
      </c>
      <c r="P412" s="194" t="str">
        <f>IFERROR(INDEX('Both teabags AfterDry'!$D$3:$D$2000,MATCH(H412,'Both teabags AfterDry'!$A$3:$A$2000,0)),"")</f>
        <v/>
      </c>
      <c r="Q412" s="194" t="str">
        <f>IFERROR(INDEX('Both teabags AfterDry'!$D$3:$D$2000,MATCH(I412,'Both teabags AfterDry'!$A$3:$A$2000,0)),"")</f>
        <v/>
      </c>
      <c r="R412" s="194" t="str">
        <f t="shared" si="41"/>
        <v/>
      </c>
      <c r="S412" s="194" t="str">
        <f t="shared" si="41"/>
        <v/>
      </c>
      <c r="T412" s="194" t="str">
        <f t="shared" si="42"/>
        <v/>
      </c>
      <c r="U412" s="194" t="str">
        <f t="shared" si="43"/>
        <v/>
      </c>
      <c r="V412" s="194" t="str">
        <f t="shared" si="44"/>
        <v/>
      </c>
      <c r="W412">
        <f t="shared" si="45"/>
        <v>69</v>
      </c>
      <c r="X412" s="194" t="str">
        <f t="shared" si="46"/>
        <v/>
      </c>
      <c r="Y412" s="194" t="str">
        <f t="shared" si="47"/>
        <v/>
      </c>
      <c r="Z412" s="252" t="str">
        <f>IF(ISNUMBER(SEARCH("C", 'Dry_Litterbag Placem_Collection'!$V119)),"YES","NO")</f>
        <v>NO</v>
      </c>
      <c r="AA412" s="252" t="str">
        <f>IF(ISNUMBER(SEARCH("H", 'Dry_Litterbag Placem_Collection'!$V119)),"YES","NO")</f>
        <v>NO</v>
      </c>
      <c r="AB412" s="252" t="str">
        <f>IF(ISNUMBER(SEARCH("R", 'Dry_Litterbag Placem_Collection'!$V119)),"YES","NO")</f>
        <v>NO</v>
      </c>
      <c r="AC412" s="252" t="str">
        <f>IF(ISNUMBER(SEARCH("C", 'Dry_Litterbag Placem_Collection'!$U119)),"YES","NO")</f>
        <v>NO</v>
      </c>
      <c r="AD412" s="252" t="str">
        <f>IF(ISNUMBER(SEARCH("H", 'Dry_Litterbag Placem_Collection'!$U119)),"YES","NO")</f>
        <v>NO</v>
      </c>
      <c r="AE412" s="252" t="str">
        <f>IF(ISNUMBER(SEARCH("R", 'Dry_Litterbag Placem_Collection'!$U119)),"YES","NO")</f>
        <v>NO</v>
      </c>
    </row>
    <row r="413" spans="2:31">
      <c r="B413" t="str">
        <f>'Final data_for_R_analysis_Dryse'!A559</f>
        <v>Dry</v>
      </c>
      <c r="C413" s="260">
        <f>'Final data_for_R_analysis_Dryse'!B559</f>
        <v>118</v>
      </c>
      <c r="D413" t="s">
        <v>3818</v>
      </c>
      <c r="E413" t="s">
        <v>25</v>
      </c>
      <c r="F413" s="382">
        <v>6</v>
      </c>
      <c r="G413" s="383">
        <f>IF('Dry_Litterbag Placem_Collection'!E120="","",'Dry_Litterbag Placem_Collection'!E120)</f>
        <v>42939</v>
      </c>
      <c r="H413" s="92" t="str">
        <f>'Final data_for_R_analysis_Dryse'!K559</f>
        <v>G83</v>
      </c>
      <c r="I413" t="str">
        <f>'Final data_for_R_analysis_Dryse'!K779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40"/>
        <v>1.7711999999999999</v>
      </c>
      <c r="M413" s="237">
        <f>AVERAGE(Ashed_controlls!$K$1:$K$11)</f>
        <v>5.5147656768714146</v>
      </c>
      <c r="N413" s="194">
        <f>IFERROR(IF(K413&gt;0,(K413*$F$32-($F$29+$F$30)),""),"")</f>
        <v>1.9542000000000002</v>
      </c>
      <c r="O413" s="383">
        <f>IF('Dry_Litterbag Placem_Collection'!G120="","",'Dry_Litterbag Placem_Collection'!G120)</f>
        <v>43008</v>
      </c>
      <c r="P413" s="194">
        <f>IFERROR(INDEX('Both teabags AfterDry'!$D$3:$D$2000,MATCH(H413,'Both teabags AfterDry'!$A$3:$A$2000,0)),"")</f>
        <v>0.81779999999999997</v>
      </c>
      <c r="Q413" s="194">
        <f>IFERROR(INDEX('Both teabags AfterDry'!$D$3:$D$2000,MATCH(I413,'Both teabags AfterDry'!$A$3:$A$2000,0)),"")</f>
        <v>1.5261</v>
      </c>
      <c r="R413" s="194">
        <f t="shared" si="41"/>
        <v>0.66720000000000002</v>
      </c>
      <c r="S413" s="194">
        <f t="shared" si="41"/>
        <v>1.3754999999999999</v>
      </c>
      <c r="T413" s="194">
        <f t="shared" si="42"/>
        <v>0.62330623306233057</v>
      </c>
      <c r="U413" s="194">
        <f t="shared" si="43"/>
        <v>0.40862831431164665</v>
      </c>
      <c r="V413" s="194">
        <f t="shared" si="44"/>
        <v>0.70386859072766339</v>
      </c>
      <c r="W413">
        <f t="shared" si="45"/>
        <v>69</v>
      </c>
      <c r="X413" s="194">
        <f t="shared" si="46"/>
        <v>0.25973131465281407</v>
      </c>
      <c r="Y413" s="194">
        <f t="shared" si="47"/>
        <v>1.8693916889785722E-2</v>
      </c>
      <c r="Z413" s="252" t="str">
        <f>IF(ISNUMBER(SEARCH("C", 'Dry_Litterbag Placem_Collection'!$V120)),"YES","NO")</f>
        <v>NO</v>
      </c>
      <c r="AA413" s="252" t="str">
        <f>IF(ISNUMBER(SEARCH("H", 'Dry_Litterbag Placem_Collection'!$V120)),"YES","NO")</f>
        <v>NO</v>
      </c>
      <c r="AB413" s="252" t="str">
        <f>IF(ISNUMBER(SEARCH("R", 'Dry_Litterbag Placem_Collection'!$V120)),"YES","NO")</f>
        <v>NO</v>
      </c>
      <c r="AC413" s="252" t="str">
        <f>IF(ISNUMBER(SEARCH("C", 'Dry_Litterbag Placem_Collection'!$U120)),"YES","NO")</f>
        <v>NO</v>
      </c>
      <c r="AD413" s="252" t="str">
        <f>IF(ISNUMBER(SEARCH("H", 'Dry_Litterbag Placem_Collection'!$U120)),"YES","NO")</f>
        <v>NO</v>
      </c>
      <c r="AE413" s="252" t="str">
        <f>IF(ISNUMBER(SEARCH("R", 'Dry_Litterbag Placem_Collection'!$U120)),"YES","NO")</f>
        <v>YES</v>
      </c>
    </row>
    <row r="414" spans="2:31">
      <c r="B414" t="str">
        <f>'Final data_for_R_analysis_Dryse'!A560</f>
        <v>Dry</v>
      </c>
      <c r="C414" s="260">
        <f>'Final data_for_R_analysis_Dryse'!B560</f>
        <v>119</v>
      </c>
      <c r="D414" t="s">
        <v>3818</v>
      </c>
      <c r="E414" t="s">
        <v>25</v>
      </c>
      <c r="F414" s="382">
        <v>7</v>
      </c>
      <c r="G414" s="383">
        <f>IF('Dry_Litterbag Placem_Collection'!E121="","",'Dry_Litterbag Placem_Collection'!E121)</f>
        <v>42939</v>
      </c>
      <c r="H414" s="92" t="str">
        <f>'Final data_for_R_analysis_Dryse'!K560</f>
        <v>G159</v>
      </c>
      <c r="I414" t="str">
        <f>'Final data_for_R_analysis_Dryse'!K780</f>
        <v>R373</v>
      </c>
      <c r="J414">
        <f>IFERROR(INDEX('Green_rooibos initial weight'!$C$5:$C$2000,MATCH(H414, 'Green_rooibos initial weight'!$A$5:$A$2000,0)),"")</f>
        <v>2.1419999999999999</v>
      </c>
      <c r="K414">
        <f>IFERROR(INDEX('Green_rooibos initial weight'!$C$5:$C$2000,MATCH(I414, 'Green_rooibos initial weight'!$A$5:$A$2000,0)),"")</f>
        <v>2.226</v>
      </c>
      <c r="L414" s="194">
        <f t="shared" si="40"/>
        <v>1.8921999999999999</v>
      </c>
      <c r="M414" s="237">
        <f>AVERAGE(Ashed_controlls!$K$1:$K$11)</f>
        <v>5.5147656768714146</v>
      </c>
      <c r="N414" s="194">
        <f>IFERROR(IF(K414&gt;0,(K414*$F$32-($F$29+$F$30)),""),"")</f>
        <v>1.9762</v>
      </c>
      <c r="O414" s="383">
        <f>IF('Dry_Litterbag Placem_Collection'!G121="","",'Dry_Litterbag Placem_Collection'!G121)</f>
        <v>43008</v>
      </c>
      <c r="P414" s="194">
        <f>IFERROR(INDEX('Both teabags AfterDry'!$D$3:$D$2000,MATCH(H414,'Both teabags AfterDry'!$A$3:$A$2000,0)),"")</f>
        <v>0.76990000000000003</v>
      </c>
      <c r="Q414" s="194">
        <f>IFERROR(INDEX('Both teabags AfterDry'!$D$3:$D$2000,MATCH(I414,'Both teabags AfterDry'!$A$3:$A$2000,0)),"")</f>
        <v>1.5419</v>
      </c>
      <c r="R414" s="194">
        <f t="shared" si="41"/>
        <v>0.61929999999999996</v>
      </c>
      <c r="S414" s="194">
        <f t="shared" si="41"/>
        <v>1.3913</v>
      </c>
      <c r="T414" s="194">
        <f t="shared" si="42"/>
        <v>0.67270901596025789</v>
      </c>
      <c r="U414" s="194">
        <f t="shared" si="43"/>
        <v>0.44101588694781763</v>
      </c>
      <c r="V414" s="194">
        <f t="shared" si="44"/>
        <v>0.70402793239550654</v>
      </c>
      <c r="W414">
        <f t="shared" si="45"/>
        <v>69</v>
      </c>
      <c r="X414" s="194">
        <f t="shared" si="46"/>
        <v>0.20105817581917107</v>
      </c>
      <c r="Y414" s="194">
        <f t="shared" si="47"/>
        <v>1.6116594209979157E-2</v>
      </c>
      <c r="Z414" s="252" t="str">
        <f>IF(ISNUMBER(SEARCH("C", 'Dry_Litterbag Placem_Collection'!$V121)),"YES","NO")</f>
        <v>NO</v>
      </c>
      <c r="AA414" s="252" t="str">
        <f>IF(ISNUMBER(SEARCH("H", 'Dry_Litterbag Placem_Collection'!$V121)),"YES","NO")</f>
        <v>NO</v>
      </c>
      <c r="AB414" s="252" t="str">
        <f>IF(ISNUMBER(SEARCH("R", 'Dry_Litterbag Placem_Collection'!$V121)),"YES","NO")</f>
        <v>NO</v>
      </c>
      <c r="AC414" s="252" t="str">
        <f>IF(ISNUMBER(SEARCH("C", 'Dry_Litterbag Placem_Collection'!$U121)),"YES","NO")</f>
        <v>NO</v>
      </c>
      <c r="AD414" s="252" t="str">
        <f>IF(ISNUMBER(SEARCH("H", 'Dry_Litterbag Placem_Collection'!$U121)),"YES","NO")</f>
        <v>NO</v>
      </c>
      <c r="AE414" s="252" t="str">
        <f>IF(ISNUMBER(SEARCH("R", 'Dry_Litterbag Placem_Collection'!$U121)),"YES","NO")</f>
        <v>YES</v>
      </c>
    </row>
    <row r="415" spans="2:31">
      <c r="B415" t="str">
        <f>'Final data_for_R_analysis_Dryse'!A561</f>
        <v>Dry</v>
      </c>
      <c r="C415" s="260">
        <f>'Final data_for_R_analysis_Dryse'!B561</f>
        <v>120</v>
      </c>
      <c r="D415" t="s">
        <v>3818</v>
      </c>
      <c r="E415" t="s">
        <v>25</v>
      </c>
      <c r="F415" s="382">
        <v>8</v>
      </c>
      <c r="G415" s="383" t="str">
        <f>IF('Dry_Litterbag Placem_Collection'!E122="","",'Dry_Litterbag Placem_Collection'!E122)</f>
        <v/>
      </c>
      <c r="H415" s="92" t="str">
        <f>'Final data_for_R_analysis_Dryse'!K561</f>
        <v/>
      </c>
      <c r="I415" t="str">
        <f>'Final data_for_R_analysis_Dryse'!K781</f>
        <v/>
      </c>
      <c r="J415" t="str">
        <f>IFERROR(INDEX('Green_rooibos initial weight'!$C$5:$C$2000,MATCH(H415, 'Green_rooibos initial weight'!$A$5:$A$2000,0)),"")</f>
        <v/>
      </c>
      <c r="K415" t="str">
        <f>IFERROR(INDEX('Green_rooibos initial weight'!$C$5:$C$2000,MATCH(I415, 'Green_rooibos initial weight'!$A$5:$A$2000,0)),"")</f>
        <v/>
      </c>
      <c r="L415" s="194" t="str">
        <f t="shared" si="40"/>
        <v/>
      </c>
      <c r="M415" s="237">
        <f>AVERAGE(Ashed_controlls!$K$1:$K$11)</f>
        <v>5.5147656768714146</v>
      </c>
      <c r="N415" s="194" t="str">
        <f>IFERROR(IF(K415&gt;0,(K415*$F$32-($F$29+$F$30)),""),"")</f>
        <v/>
      </c>
      <c r="O415" s="383" t="str">
        <f>IF('Dry_Litterbag Placem_Collection'!G122="","",'Dry_Litterbag Placem_Collection'!G122)</f>
        <v/>
      </c>
      <c r="P415" s="194" t="str">
        <f>IFERROR(INDEX('Both teabags AfterDry'!$D$3:$D$2000,MATCH(H415,'Both teabags AfterDry'!$A$3:$A$2000,0)),"")</f>
        <v/>
      </c>
      <c r="Q415" s="194" t="str">
        <f>IFERROR(INDEX('Both teabags AfterDry'!$D$3:$D$2000,MATCH(I415,'Both teabags AfterDry'!$A$3:$A$2000,0)),"")</f>
        <v/>
      </c>
      <c r="R415" s="194" t="str">
        <f t="shared" si="41"/>
        <v/>
      </c>
      <c r="S415" s="194" t="str">
        <f t="shared" si="41"/>
        <v/>
      </c>
      <c r="T415" s="194" t="str">
        <f t="shared" si="42"/>
        <v/>
      </c>
      <c r="U415" s="194" t="str">
        <f t="shared" si="43"/>
        <v/>
      </c>
      <c r="V415" s="194" t="str">
        <f t="shared" si="44"/>
        <v/>
      </c>
      <c r="W415" t="str">
        <f t="shared" si="45"/>
        <v/>
      </c>
      <c r="X415" s="194" t="str">
        <f t="shared" si="46"/>
        <v/>
      </c>
      <c r="Y415" s="194" t="str">
        <f t="shared" si="47"/>
        <v/>
      </c>
      <c r="Z415" s="252" t="str">
        <f>IF(ISNUMBER(SEARCH("C", 'Dry_Litterbag Placem_Collection'!$V122)),"YES","NO")</f>
        <v>NO</v>
      </c>
      <c r="AA415" s="252" t="str">
        <f>IF(ISNUMBER(SEARCH("H", 'Dry_Litterbag Placem_Collection'!$V122)),"YES","NO")</f>
        <v>NO</v>
      </c>
      <c r="AB415" s="252" t="str">
        <f>IF(ISNUMBER(SEARCH("R", 'Dry_Litterbag Placem_Collection'!$V122)),"YES","NO")</f>
        <v>NO</v>
      </c>
      <c r="AC415" s="252" t="str">
        <f>IF(ISNUMBER(SEARCH("C", 'Dry_Litterbag Placem_Collection'!$U122)),"YES","NO")</f>
        <v>NO</v>
      </c>
      <c r="AD415" s="252" t="str">
        <f>IF(ISNUMBER(SEARCH("H", 'Dry_Litterbag Placem_Collection'!$U122)),"YES","NO")</f>
        <v>NO</v>
      </c>
      <c r="AE415" s="252" t="str">
        <f>IF(ISNUMBER(SEARCH("R", 'Dry_Litterbag Placem_Collection'!$U122)),"YES","NO")</f>
        <v>NO</v>
      </c>
    </row>
    <row r="416" spans="2:31">
      <c r="B416" t="str">
        <f>'Final data_for_R_analysis_Dryse'!A562</f>
        <v>Dry</v>
      </c>
      <c r="C416" s="260">
        <f>'Final data_for_R_analysis_Dryse'!B562</f>
        <v>121</v>
      </c>
      <c r="D416" t="s">
        <v>3819</v>
      </c>
      <c r="E416" t="s">
        <v>25</v>
      </c>
      <c r="F416" s="381">
        <v>1</v>
      </c>
      <c r="G416" s="383">
        <f>IF('Dry_Litterbag Placem_Collection'!E123="","",'Dry_Litterbag Placem_Collection'!E123)</f>
        <v>42939</v>
      </c>
      <c r="H416" s="92" t="str">
        <f>'Final data_for_R_analysis_Dryse'!K562</f>
        <v>G16</v>
      </c>
      <c r="I416" t="str">
        <f>'Final data_for_R_analysis_Dryse'!K782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40"/>
        <v>1.6912</v>
      </c>
      <c r="M416" s="237">
        <f>AVERAGE(Ashed_controlls!$K$1:$K$11)</f>
        <v>5.5147656768714146</v>
      </c>
      <c r="N416" s="194">
        <f>IFERROR(IF(K416&gt;0,(K416*$F$32-($F$29+$F$30)),""),"")</f>
        <v>1.9592000000000001</v>
      </c>
      <c r="O416" s="383">
        <f>IF('Dry_Litterbag Placem_Collection'!G123="","",'Dry_Litterbag Placem_Collection'!G123)</f>
        <v>43008</v>
      </c>
      <c r="P416" s="194" t="str">
        <f>IFERROR(INDEX('Both teabags AfterDry'!$D$3:$D$2000,MATCH(H416,'Both teabags AfterDry'!$A$3:$A$2000,0)),"")</f>
        <v/>
      </c>
      <c r="Q416" s="194" t="str">
        <f>IFERROR(INDEX('Both teabags AfterDry'!$D$3:$D$2000,MATCH(I416,'Both teabags AfterDry'!$A$3:$A$2000,0)),"")</f>
        <v/>
      </c>
      <c r="R416" s="194" t="str">
        <f t="shared" si="41"/>
        <v/>
      </c>
      <c r="S416" s="194" t="str">
        <f t="shared" si="41"/>
        <v/>
      </c>
      <c r="T416" s="194" t="str">
        <f t="shared" si="42"/>
        <v/>
      </c>
      <c r="U416" s="194" t="str">
        <f t="shared" si="43"/>
        <v/>
      </c>
      <c r="V416" s="194" t="str">
        <f t="shared" si="44"/>
        <v/>
      </c>
      <c r="W416">
        <f t="shared" si="45"/>
        <v>69</v>
      </c>
      <c r="X416" s="194" t="str">
        <f t="shared" si="46"/>
        <v/>
      </c>
      <c r="Y416" s="194" t="str">
        <f t="shared" si="47"/>
        <v/>
      </c>
      <c r="Z416" s="252" t="str">
        <f>IF(ISNUMBER(SEARCH("C", 'Dry_Litterbag Placem_Collection'!$V123)),"YES","NO")</f>
        <v>NO</v>
      </c>
      <c r="AA416" s="252" t="str">
        <f>IF(ISNUMBER(SEARCH("H", 'Dry_Litterbag Placem_Collection'!$V123)),"YES","NO")</f>
        <v>NO</v>
      </c>
      <c r="AB416" s="252" t="str">
        <f>IF(ISNUMBER(SEARCH("R", 'Dry_Litterbag Placem_Collection'!$V123)),"YES","NO")</f>
        <v>NO</v>
      </c>
      <c r="AC416" s="252" t="str">
        <f>IF(ISNUMBER(SEARCH("C", 'Dry_Litterbag Placem_Collection'!$U123)),"YES","NO")</f>
        <v>NO</v>
      </c>
      <c r="AD416" s="252" t="str">
        <f>IF(ISNUMBER(SEARCH("H", 'Dry_Litterbag Placem_Collection'!$U123)),"YES","NO")</f>
        <v>NO</v>
      </c>
      <c r="AE416" s="252" t="str">
        <f>IF(ISNUMBER(SEARCH("R", 'Dry_Litterbag Placem_Collection'!$U123)),"YES","NO")</f>
        <v>NO</v>
      </c>
    </row>
    <row r="417" spans="2:31">
      <c r="B417" t="str">
        <f>'Final data_for_R_analysis_Dryse'!A563</f>
        <v>Dry</v>
      </c>
      <c r="C417" s="260">
        <f>'Final data_for_R_analysis_Dryse'!B563</f>
        <v>122</v>
      </c>
      <c r="D417" t="s">
        <v>3819</v>
      </c>
      <c r="E417" t="s">
        <v>25</v>
      </c>
      <c r="F417" s="381">
        <v>2</v>
      </c>
      <c r="G417" s="383">
        <f>IF('Dry_Litterbag Placem_Collection'!E124="","",'Dry_Litterbag Placem_Collection'!E124)</f>
        <v>42939</v>
      </c>
      <c r="H417" s="92" t="str">
        <f>'Final data_for_R_analysis_Dryse'!K563</f>
        <v>G109</v>
      </c>
      <c r="I417" t="str">
        <f>'Final data_for_R_analysis_Dryse'!K783</f>
        <v>R388</v>
      </c>
      <c r="J417">
        <f>IFERROR(INDEX('Green_rooibos initial weight'!$C$5:$C$2000,MATCH(H417, 'Green_rooibos initial weight'!$A$5:$A$2000,0)),"")</f>
        <v>1.992</v>
      </c>
      <c r="K417">
        <f>IFERROR(INDEX('Green_rooibos initial weight'!$C$5:$C$2000,MATCH(I417, 'Green_rooibos initial weight'!$A$5:$A$2000,0)),"")</f>
        <v>2.2349999999999999</v>
      </c>
      <c r="L417" s="194">
        <f t="shared" si="40"/>
        <v>1.7422</v>
      </c>
      <c r="M417" s="237">
        <f>AVERAGE(Ashed_controlls!$K$1:$K$11)</f>
        <v>5.5147656768714146</v>
      </c>
      <c r="N417" s="194">
        <f>IFERROR(IF(K417&gt;0,(K417*$F$32-($F$29+$F$30)),""),"")</f>
        <v>1.9851999999999999</v>
      </c>
      <c r="O417" s="383">
        <f>IF('Dry_Litterbag Placem_Collection'!G124="","",'Dry_Litterbag Placem_Collection'!G124)</f>
        <v>43008</v>
      </c>
      <c r="P417" s="194">
        <f>IFERROR(INDEX('Both teabags AfterDry'!$D$3:$D$2000,MATCH(H417,'Both teabags AfterDry'!$A$3:$A$2000,0)),"")</f>
        <v>0.67359999999999998</v>
      </c>
      <c r="Q417" s="194">
        <f>IFERROR(INDEX('Both teabags AfterDry'!$D$3:$D$2000,MATCH(I417,'Both teabags AfterDry'!$A$3:$A$2000,0)),"")</f>
        <v>1.4536</v>
      </c>
      <c r="R417" s="194">
        <f t="shared" si="41"/>
        <v>0.52299999999999991</v>
      </c>
      <c r="S417" s="194">
        <f t="shared" si="41"/>
        <v>1.3029999999999999</v>
      </c>
      <c r="T417" s="194">
        <f t="shared" si="42"/>
        <v>0.6998048444495466</v>
      </c>
      <c r="U417" s="194">
        <f t="shared" si="43"/>
        <v>0.45877942296454838</v>
      </c>
      <c r="V417" s="194">
        <f t="shared" si="44"/>
        <v>0.65635704211162604</v>
      </c>
      <c r="W417">
        <f t="shared" si="45"/>
        <v>69</v>
      </c>
      <c r="X417" s="194">
        <f t="shared" si="46"/>
        <v>0.16887785694828195</v>
      </c>
      <c r="Y417" s="194">
        <f t="shared" si="47"/>
        <v>2.0035528360593132E-2</v>
      </c>
      <c r="Z417" s="252" t="str">
        <f>IF(ISNUMBER(SEARCH("C", 'Dry_Litterbag Placem_Collection'!$V124)),"YES","NO")</f>
        <v>NO</v>
      </c>
      <c r="AA417" s="252" t="str">
        <f>IF(ISNUMBER(SEARCH("H", 'Dry_Litterbag Placem_Collection'!$V124)),"YES","NO")</f>
        <v>NO</v>
      </c>
      <c r="AB417" s="252" t="str">
        <f>IF(ISNUMBER(SEARCH("R", 'Dry_Litterbag Placem_Collection'!$V124)),"YES","NO")</f>
        <v>NO</v>
      </c>
      <c r="AC417" s="252" t="str">
        <f>IF(ISNUMBER(SEARCH("C", 'Dry_Litterbag Placem_Collection'!$U124)),"YES","NO")</f>
        <v>NO</v>
      </c>
      <c r="AD417" s="252" t="str">
        <f>IF(ISNUMBER(SEARCH("H", 'Dry_Litterbag Placem_Collection'!$U124)),"YES","NO")</f>
        <v>NO</v>
      </c>
      <c r="AE417" s="252" t="str">
        <f>IF(ISNUMBER(SEARCH("R", 'Dry_Litterbag Placem_Collection'!$U124)),"YES","NO")</f>
        <v>NO</v>
      </c>
    </row>
    <row r="418" spans="2:31">
      <c r="B418" t="str">
        <f>'Final data_for_R_analysis_Dryse'!A564</f>
        <v>Dry</v>
      </c>
      <c r="C418" s="260">
        <f>'Final data_for_R_analysis_Dryse'!B564</f>
        <v>123</v>
      </c>
      <c r="D418" t="s">
        <v>3819</v>
      </c>
      <c r="E418" t="s">
        <v>25</v>
      </c>
      <c r="F418" s="381">
        <v>3</v>
      </c>
      <c r="G418" s="383">
        <f>IF('Dry_Litterbag Placem_Collection'!E125="","",'Dry_Litterbag Placem_Collection'!E125)</f>
        <v>42939</v>
      </c>
      <c r="H418" s="92" t="str">
        <f>'Final data_for_R_analysis_Dryse'!K564</f>
        <v>G344</v>
      </c>
      <c r="I418" t="str">
        <f>'Final data_for_R_analysis_Dryse'!K784</f>
        <v>R281</v>
      </c>
      <c r="J418">
        <f>IFERROR(INDEX('Green_rooibos initial weight'!$C$5:$C$2000,MATCH(H418, 'Green_rooibos initial weight'!$A$5:$A$2000,0)),"")</f>
        <v>1.93</v>
      </c>
      <c r="K418">
        <f>IFERROR(INDEX('Green_rooibos initial weight'!$C$5:$C$2000,MATCH(I418, 'Green_rooibos initial weight'!$A$5:$A$2000,0)),"")</f>
        <v>2.17</v>
      </c>
      <c r="L418" s="194">
        <f t="shared" si="40"/>
        <v>1.6801999999999999</v>
      </c>
      <c r="M418" s="237">
        <f>AVERAGE(Ashed_controlls!$K$1:$K$11)</f>
        <v>5.5147656768714146</v>
      </c>
      <c r="N418" s="194">
        <f>IFERROR(IF(K418&gt;0,(K418*$F$32-($F$29+$F$30)),""),"")</f>
        <v>1.9201999999999999</v>
      </c>
      <c r="O418" s="383">
        <f>IF('Dry_Litterbag Placem_Collection'!G125="","",'Dry_Litterbag Placem_Collection'!G125)</f>
        <v>43008</v>
      </c>
      <c r="P418" s="194">
        <f>IFERROR(INDEX('Both teabags AfterDry'!$D$3:$D$2000,MATCH(H418,'Both teabags AfterDry'!$A$3:$A$2000,0)),"")</f>
        <v>0.78580000000000005</v>
      </c>
      <c r="Q418" s="194">
        <f>IFERROR(INDEX('Both teabags AfterDry'!$D$3:$D$2000,MATCH(I418,'Both teabags AfterDry'!$A$3:$A$2000,0)),"")</f>
        <v>1.7361</v>
      </c>
      <c r="R418" s="194">
        <f t="shared" si="41"/>
        <v>0.63519999999999999</v>
      </c>
      <c r="S418" s="194">
        <f t="shared" si="41"/>
        <v>1.5854999999999999</v>
      </c>
      <c r="T418" s="194">
        <f t="shared" si="42"/>
        <v>0.62194976788477563</v>
      </c>
      <c r="U418" s="194">
        <f t="shared" si="43"/>
        <v>0.40773904022849905</v>
      </c>
      <c r="V418" s="194">
        <f t="shared" si="44"/>
        <v>0.8256952400791584</v>
      </c>
      <c r="W418">
        <f t="shared" si="45"/>
        <v>69</v>
      </c>
      <c r="X418" s="194">
        <f t="shared" si="46"/>
        <v>0.26134231842663225</v>
      </c>
      <c r="Y418" s="194">
        <f t="shared" si="47"/>
        <v>8.0829968083643913E-3</v>
      </c>
      <c r="Z418" s="252" t="str">
        <f>IF(ISNUMBER(SEARCH("C", 'Dry_Litterbag Placem_Collection'!$V125)),"YES","NO")</f>
        <v>NO</v>
      </c>
      <c r="AA418" s="252" t="str">
        <f>IF(ISNUMBER(SEARCH("H", 'Dry_Litterbag Placem_Collection'!$V125)),"YES","NO")</f>
        <v>NO</v>
      </c>
      <c r="AB418" s="252" t="str">
        <f>IF(ISNUMBER(SEARCH("R", 'Dry_Litterbag Placem_Collection'!$V125)),"YES","NO")</f>
        <v>NO</v>
      </c>
      <c r="AC418" s="252" t="str">
        <f>IF(ISNUMBER(SEARCH("C", 'Dry_Litterbag Placem_Collection'!$U125)),"YES","NO")</f>
        <v>NO</v>
      </c>
      <c r="AD418" s="252" t="str">
        <f>IF(ISNUMBER(SEARCH("H", 'Dry_Litterbag Placem_Collection'!$U125)),"YES","NO")</f>
        <v>NO</v>
      </c>
      <c r="AE418" s="252" t="str">
        <f>IF(ISNUMBER(SEARCH("R", 'Dry_Litterbag Placem_Collection'!$U125)),"YES","NO")</f>
        <v>NO</v>
      </c>
    </row>
    <row r="419" spans="2:31">
      <c r="B419" t="str">
        <f>'Final data_for_R_analysis_Dryse'!A565</f>
        <v>Dry</v>
      </c>
      <c r="C419" s="260">
        <f>'Final data_for_R_analysis_Dryse'!B565</f>
        <v>124</v>
      </c>
      <c r="D419" t="s">
        <v>3819</v>
      </c>
      <c r="E419" t="s">
        <v>25</v>
      </c>
      <c r="F419" s="382">
        <v>4</v>
      </c>
      <c r="G419" s="383">
        <f>IF('Dry_Litterbag Placem_Collection'!E126="","",'Dry_Litterbag Placem_Collection'!E126)</f>
        <v>42939</v>
      </c>
      <c r="H419" s="92" t="str">
        <f>'Final data_for_R_analysis_Dryse'!K565</f>
        <v>G221</v>
      </c>
      <c r="I419" t="str">
        <f>'Final data_for_R_analysis_Dryse'!K785</f>
        <v>R443</v>
      </c>
      <c r="J419">
        <f>IFERROR(INDEX('Green_rooibos initial weight'!$C$5:$C$2000,MATCH(H419, 'Green_rooibos initial weight'!$A$5:$A$2000,0)),"")</f>
        <v>2.004</v>
      </c>
      <c r="K419">
        <f>IFERROR(INDEX('Green_rooibos initial weight'!$C$5:$C$2000,MATCH(I419, 'Green_rooibos initial weight'!$A$5:$A$2000,0)),"")</f>
        <v>2.2149999999999999</v>
      </c>
      <c r="L419" s="194">
        <f t="shared" si="40"/>
        <v>1.7542</v>
      </c>
      <c r="M419" s="237">
        <f>AVERAGE(Ashed_controlls!$K$1:$K$11)</f>
        <v>5.5147656768714146</v>
      </c>
      <c r="N419" s="194">
        <f>IFERROR(IF(K419&gt;0,(K419*$F$32-($F$29+$F$30)),""),"")</f>
        <v>1.9651999999999998</v>
      </c>
      <c r="O419" s="383">
        <f>IF('Dry_Litterbag Placem_Collection'!G126="","",'Dry_Litterbag Placem_Collection'!G126)</f>
        <v>43008</v>
      </c>
      <c r="P419" s="194">
        <f>IFERROR(INDEX('Both teabags AfterDry'!$D$3:$D$2000,MATCH(H419,'Both teabags AfterDry'!$A$3:$A$2000,0)),"")</f>
        <v>0.66700000000000004</v>
      </c>
      <c r="Q419" s="194">
        <f>IFERROR(INDEX('Both teabags AfterDry'!$D$3:$D$2000,MATCH(I419,'Both teabags AfterDry'!$A$3:$A$2000,0)),"")</f>
        <v>1.5766</v>
      </c>
      <c r="R419" s="194">
        <f t="shared" si="41"/>
        <v>0.51639999999999997</v>
      </c>
      <c r="S419" s="194">
        <f t="shared" si="41"/>
        <v>1.4259999999999999</v>
      </c>
      <c r="T419" s="194">
        <f t="shared" si="42"/>
        <v>0.70562079580435522</v>
      </c>
      <c r="U419" s="194">
        <f t="shared" si="43"/>
        <v>0.46259225568171508</v>
      </c>
      <c r="V419" s="194">
        <f t="shared" si="44"/>
        <v>0.72562589049460613</v>
      </c>
      <c r="W419">
        <f t="shared" si="45"/>
        <v>69</v>
      </c>
      <c r="X419" s="194">
        <f t="shared" si="46"/>
        <v>0.16197055130124083</v>
      </c>
      <c r="Y419" s="194">
        <f t="shared" si="47"/>
        <v>1.3032527053062206E-2</v>
      </c>
      <c r="Z419" s="252" t="str">
        <f>IF(ISNUMBER(SEARCH("C", 'Dry_Litterbag Placem_Collection'!$V126)),"YES","NO")</f>
        <v>NO</v>
      </c>
      <c r="AA419" s="252" t="str">
        <f>IF(ISNUMBER(SEARCH("H", 'Dry_Litterbag Placem_Collection'!$V126)),"YES","NO")</f>
        <v>NO</v>
      </c>
      <c r="AB419" s="252" t="str">
        <f>IF(ISNUMBER(SEARCH("R", 'Dry_Litterbag Placem_Collection'!$V126)),"YES","NO")</f>
        <v>NO</v>
      </c>
      <c r="AC419" s="252" t="str">
        <f>IF(ISNUMBER(SEARCH("C", 'Dry_Litterbag Placem_Collection'!$U126)),"YES","NO")</f>
        <v>NO</v>
      </c>
      <c r="AD419" s="252" t="str">
        <f>IF(ISNUMBER(SEARCH("H", 'Dry_Litterbag Placem_Collection'!$U126)),"YES","NO")</f>
        <v>NO</v>
      </c>
      <c r="AE419" s="252" t="str">
        <f>IF(ISNUMBER(SEARCH("R", 'Dry_Litterbag Placem_Collection'!$U126)),"YES","NO")</f>
        <v>NO</v>
      </c>
    </row>
    <row r="420" spans="2:31">
      <c r="B420" t="str">
        <f>'Final data_for_R_analysis_Dryse'!A566</f>
        <v>Dry</v>
      </c>
      <c r="C420" s="260">
        <f>'Final data_for_R_analysis_Dryse'!B566</f>
        <v>125</v>
      </c>
      <c r="D420" t="s">
        <v>3819</v>
      </c>
      <c r="E420" t="s">
        <v>25</v>
      </c>
      <c r="F420" s="382">
        <v>5</v>
      </c>
      <c r="G420" s="383">
        <f>IF('Dry_Litterbag Placem_Collection'!E127="","",'Dry_Litterbag Placem_Collection'!E127)</f>
        <v>42939</v>
      </c>
      <c r="H420" s="92" t="str">
        <f>'Final data_for_R_analysis_Dryse'!K566</f>
        <v>G757</v>
      </c>
      <c r="I420" t="str">
        <f>'Final data_for_R_analysis_Dryse'!K786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40"/>
        <v>1.8172000000000001</v>
      </c>
      <c r="M420" s="237">
        <f>AVERAGE(Ashed_controlls!$K$1:$K$11)</f>
        <v>5.5147656768714146</v>
      </c>
      <c r="N420" s="194">
        <f>IFERROR(IF(K420&gt;0,(K420*$F$32-($F$29+$F$30)),""),"")</f>
        <v>1.9512</v>
      </c>
      <c r="O420" s="383">
        <f>IF('Dry_Litterbag Placem_Collection'!G127="","",'Dry_Litterbag Placem_Collection'!G127)</f>
        <v>43008</v>
      </c>
      <c r="P420" s="194">
        <f>IFERROR(INDEX('Both teabags AfterDry'!$D$3:$D$2000,MATCH(H420,'Both teabags AfterDry'!$A$3:$A$2000,0)),"")</f>
        <v>0.92230000000000001</v>
      </c>
      <c r="Q420" s="194">
        <f>IFERROR(INDEX('Both teabags AfterDry'!$D$3:$D$2000,MATCH(I420,'Both teabags AfterDry'!$A$3:$A$2000,0)),"")</f>
        <v>1.595</v>
      </c>
      <c r="R420" s="194">
        <f t="shared" si="41"/>
        <v>0.77170000000000005</v>
      </c>
      <c r="S420" s="194">
        <f t="shared" si="41"/>
        <v>1.4443999999999999</v>
      </c>
      <c r="T420" s="194">
        <f t="shared" si="42"/>
        <v>0.5753356812678847</v>
      </c>
      <c r="U420" s="194">
        <f t="shared" si="43"/>
        <v>0.37717968653191497</v>
      </c>
      <c r="V420" s="194">
        <f t="shared" si="44"/>
        <v>0.74026240262402621</v>
      </c>
      <c r="W420">
        <f t="shared" si="45"/>
        <v>69</v>
      </c>
      <c r="X420" s="194">
        <f t="shared" si="46"/>
        <v>0.31670346642769032</v>
      </c>
      <c r="Y420" s="194">
        <f t="shared" si="47"/>
        <v>1.6909802060260697E-2</v>
      </c>
      <c r="Z420" s="252" t="str">
        <f>IF(ISNUMBER(SEARCH("C", 'Dry_Litterbag Placem_Collection'!$V127)),"YES","NO")</f>
        <v>NO</v>
      </c>
      <c r="AA420" s="252" t="str">
        <f>IF(ISNUMBER(SEARCH("H", 'Dry_Litterbag Placem_Collection'!$V127)),"YES","NO")</f>
        <v>NO</v>
      </c>
      <c r="AB420" s="252" t="str">
        <f>IF(ISNUMBER(SEARCH("R", 'Dry_Litterbag Placem_Collection'!$V127)),"YES","NO")</f>
        <v>NO</v>
      </c>
      <c r="AC420" s="252" t="str">
        <f>IF(ISNUMBER(SEARCH("C", 'Dry_Litterbag Placem_Collection'!$U127)),"YES","NO")</f>
        <v>NO</v>
      </c>
      <c r="AD420" s="252" t="str">
        <f>IF(ISNUMBER(SEARCH("H", 'Dry_Litterbag Placem_Collection'!$U127)),"YES","NO")</f>
        <v>NO</v>
      </c>
      <c r="AE420" s="252" t="str">
        <f>IF(ISNUMBER(SEARCH("R", 'Dry_Litterbag Placem_Collection'!$U127)),"YES","NO")</f>
        <v>NO</v>
      </c>
    </row>
    <row r="421" spans="2:31">
      <c r="B421" t="str">
        <f>'Final data_for_R_analysis_Dryse'!A567</f>
        <v>Dry</v>
      </c>
      <c r="C421" s="260">
        <f>'Final data_for_R_analysis_Dryse'!B567</f>
        <v>126</v>
      </c>
      <c r="D421" t="s">
        <v>3819</v>
      </c>
      <c r="E421" t="s">
        <v>25</v>
      </c>
      <c r="F421" s="382">
        <v>6</v>
      </c>
      <c r="G421" s="383" t="str">
        <f>IF('Dry_Litterbag Placem_Collection'!E128="","",'Dry_Litterbag Placem_Collection'!E128)</f>
        <v/>
      </c>
      <c r="H421" s="92" t="str">
        <f>'Final data_for_R_analysis_Dryse'!K567</f>
        <v/>
      </c>
      <c r="I421" t="str">
        <f>'Final data_for_R_analysis_Dryse'!K787</f>
        <v/>
      </c>
      <c r="J421" t="str">
        <f>IFERROR(INDEX('Green_rooibos initial weight'!$C$5:$C$2000,MATCH(H421, 'Green_rooibos initial weight'!$A$5:$A$2000,0)),"")</f>
        <v/>
      </c>
      <c r="K421" t="str">
        <f>IFERROR(INDEX('Green_rooibos initial weight'!$C$5:$C$2000,MATCH(I421, 'Green_rooibos initial weight'!$A$5:$A$2000,0)),"")</f>
        <v/>
      </c>
      <c r="L421" s="194" t="str">
        <f t="shared" si="40"/>
        <v/>
      </c>
      <c r="M421" s="237">
        <f>AVERAGE(Ashed_controlls!$K$1:$K$11)</f>
        <v>5.5147656768714146</v>
      </c>
      <c r="N421" s="194" t="str">
        <f>IFERROR(IF(K421&gt;0,(K421*$F$32-($F$29+$F$30)),""),"")</f>
        <v/>
      </c>
      <c r="O421" s="383" t="str">
        <f>IF('Dry_Litterbag Placem_Collection'!G128="","",'Dry_Litterbag Placem_Collection'!G128)</f>
        <v/>
      </c>
      <c r="P421" s="194" t="str">
        <f>IFERROR(INDEX('Both teabags AfterDry'!$D$3:$D$2000,MATCH(H421,'Both teabags AfterDry'!$A$3:$A$2000,0)),"")</f>
        <v/>
      </c>
      <c r="Q421" s="194" t="str">
        <f>IFERROR(INDEX('Both teabags AfterDry'!$D$3:$D$2000,MATCH(I421,'Both teabags AfterDry'!$A$3:$A$2000,0)),"")</f>
        <v/>
      </c>
      <c r="R421" s="194" t="str">
        <f t="shared" si="41"/>
        <v/>
      </c>
      <c r="S421" s="194" t="str">
        <f t="shared" si="41"/>
        <v/>
      </c>
      <c r="T421" s="194" t="str">
        <f t="shared" si="42"/>
        <v/>
      </c>
      <c r="U421" s="194" t="str">
        <f t="shared" si="43"/>
        <v/>
      </c>
      <c r="V421" s="194" t="str">
        <f t="shared" si="44"/>
        <v/>
      </c>
      <c r="W421" t="str">
        <f t="shared" si="45"/>
        <v/>
      </c>
      <c r="X421" s="194" t="str">
        <f t="shared" si="46"/>
        <v/>
      </c>
      <c r="Y421" s="194" t="str">
        <f t="shared" si="47"/>
        <v/>
      </c>
      <c r="Z421" s="252" t="str">
        <f>IF(ISNUMBER(SEARCH("C", 'Dry_Litterbag Placem_Collection'!$V128)),"YES","NO")</f>
        <v>NO</v>
      </c>
      <c r="AA421" s="252" t="str">
        <f>IF(ISNUMBER(SEARCH("H", 'Dry_Litterbag Placem_Collection'!$V128)),"YES","NO")</f>
        <v>NO</v>
      </c>
      <c r="AB421" s="252" t="str">
        <f>IF(ISNUMBER(SEARCH("R", 'Dry_Litterbag Placem_Collection'!$V128)),"YES","NO")</f>
        <v>NO</v>
      </c>
      <c r="AC421" s="252" t="str">
        <f>IF(ISNUMBER(SEARCH("C", 'Dry_Litterbag Placem_Collection'!$U128)),"YES","NO")</f>
        <v>NO</v>
      </c>
      <c r="AD421" s="252" t="str">
        <f>IF(ISNUMBER(SEARCH("H", 'Dry_Litterbag Placem_Collection'!$U128)),"YES","NO")</f>
        <v>NO</v>
      </c>
      <c r="AE421" s="252" t="str">
        <f>IF(ISNUMBER(SEARCH("R", 'Dry_Litterbag Placem_Collection'!$U128)),"YES","NO")</f>
        <v>NO</v>
      </c>
    </row>
    <row r="422" spans="2:31">
      <c r="B422" t="str">
        <f>'Final data_for_R_analysis_Dryse'!A568</f>
        <v>Dry</v>
      </c>
      <c r="C422" s="260">
        <f>'Final data_for_R_analysis_Dryse'!B568</f>
        <v>127</v>
      </c>
      <c r="D422" t="s">
        <v>3819</v>
      </c>
      <c r="E422" t="s">
        <v>25</v>
      </c>
      <c r="F422" s="382">
        <v>7</v>
      </c>
      <c r="G422" s="383">
        <f>IF('Dry_Litterbag Placem_Collection'!E129="","",'Dry_Litterbag Placem_Collection'!E129)</f>
        <v>42939</v>
      </c>
      <c r="H422" s="92" t="str">
        <f>'Final data_for_R_analysis_Dryse'!K568</f>
        <v>G96</v>
      </c>
      <c r="I422" t="str">
        <f>'Final data_for_R_analysis_Dryse'!K788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40"/>
        <v>1.9851999999999999</v>
      </c>
      <c r="M422" s="237">
        <f>AVERAGE(Ashed_controlls!$K$1:$K$11)</f>
        <v>5.5147656768714146</v>
      </c>
      <c r="N422" s="194">
        <f>IFERROR(IF(K422&gt;0,(K422*$F$32-($F$29+$F$30)),""),"")</f>
        <v>2.0032000000000001</v>
      </c>
      <c r="O422" s="383">
        <f>IF('Dry_Litterbag Placem_Collection'!G129="","",'Dry_Litterbag Placem_Collection'!G129)</f>
        <v>43008</v>
      </c>
      <c r="P422" s="194">
        <f>IFERROR(INDEX('Both teabags AfterDry'!$D$3:$D$2000,MATCH(H422,'Both teabags AfterDry'!$A$3:$A$2000,0)),"")</f>
        <v>0.77790000000000004</v>
      </c>
      <c r="Q422" s="194">
        <f>IFERROR(INDEX('Both teabags AfterDry'!$D$3:$D$2000,MATCH(I422,'Both teabags AfterDry'!$A$3:$A$2000,0)),"")</f>
        <v>1.5876999999999999</v>
      </c>
      <c r="R422" s="194">
        <f t="shared" si="41"/>
        <v>0.62729999999999997</v>
      </c>
      <c r="S422" s="194">
        <f t="shared" si="41"/>
        <v>1.4370999999999998</v>
      </c>
      <c r="T422" s="194">
        <f t="shared" si="42"/>
        <v>0.6840116864799517</v>
      </c>
      <c r="U422" s="194">
        <f t="shared" si="43"/>
        <v>0.44842571370182116</v>
      </c>
      <c r="V422" s="194">
        <f t="shared" si="44"/>
        <v>0.71740215654952066</v>
      </c>
      <c r="W422">
        <f t="shared" si="45"/>
        <v>69</v>
      </c>
      <c r="X422" s="194">
        <f t="shared" si="46"/>
        <v>0.18763457662713567</v>
      </c>
      <c r="Y422" s="194">
        <f t="shared" si="47"/>
        <v>1.4417285664180577E-2</v>
      </c>
      <c r="Z422" s="252" t="str">
        <f>IF(ISNUMBER(SEARCH("C", 'Dry_Litterbag Placem_Collection'!$V129)),"YES","NO")</f>
        <v>NO</v>
      </c>
      <c r="AA422" s="252" t="str">
        <f>IF(ISNUMBER(SEARCH("H", 'Dry_Litterbag Placem_Collection'!$V129)),"YES","NO")</f>
        <v>NO</v>
      </c>
      <c r="AB422" s="252" t="str">
        <f>IF(ISNUMBER(SEARCH("R", 'Dry_Litterbag Placem_Collection'!$V129)),"YES","NO")</f>
        <v>NO</v>
      </c>
      <c r="AC422" s="252" t="str">
        <f>IF(ISNUMBER(SEARCH("C", 'Dry_Litterbag Placem_Collection'!$U129)),"YES","NO")</f>
        <v>NO</v>
      </c>
      <c r="AD422" s="252" t="str">
        <f>IF(ISNUMBER(SEARCH("H", 'Dry_Litterbag Placem_Collection'!$U129)),"YES","NO")</f>
        <v>NO</v>
      </c>
      <c r="AE422" s="252" t="str">
        <f>IF(ISNUMBER(SEARCH("R", 'Dry_Litterbag Placem_Collection'!$U129)),"YES","NO")</f>
        <v>YES</v>
      </c>
    </row>
    <row r="423" spans="2:31">
      <c r="B423" t="str">
        <f>'Final data_for_R_analysis_Dryse'!A569</f>
        <v>Dry</v>
      </c>
      <c r="C423" s="260">
        <f>'Final data_for_R_analysis_Dryse'!B569</f>
        <v>128</v>
      </c>
      <c r="D423" t="s">
        <v>3819</v>
      </c>
      <c r="E423" t="s">
        <v>25</v>
      </c>
      <c r="F423" s="382">
        <v>8</v>
      </c>
      <c r="G423" s="383">
        <f>IF('Dry_Litterbag Placem_Collection'!E130="","",'Dry_Litterbag Placem_Collection'!E130)</f>
        <v>42939</v>
      </c>
      <c r="H423" s="92" t="str">
        <f>'Final data_for_R_analysis_Dryse'!K569</f>
        <v>G134</v>
      </c>
      <c r="I423" t="str">
        <f>'Final data_for_R_analysis_Dryse'!K789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40"/>
        <v>1.7591999999999999</v>
      </c>
      <c r="M423" s="237">
        <f>AVERAGE(Ashed_controlls!$K$1:$K$11)</f>
        <v>5.5147656768714146</v>
      </c>
      <c r="N423" s="194">
        <f>IFERROR(IF(K423&gt;0,(K423*$F$32-($F$29+$F$30)),""),"")</f>
        <v>2.0501999999999998</v>
      </c>
      <c r="O423" s="383">
        <f>IF('Dry_Litterbag Placem_Collection'!G130="","",'Dry_Litterbag Placem_Collection'!G130)</f>
        <v>43008</v>
      </c>
      <c r="P423" s="194">
        <f>IFERROR(INDEX('Both teabags AfterDry'!$D$3:$D$2000,MATCH(H423,'Both teabags AfterDry'!$A$3:$A$2000,0)),"")</f>
        <v>0.82289999999999996</v>
      </c>
      <c r="Q423" s="194">
        <f>IFERROR(INDEX('Both teabags AfterDry'!$D$3:$D$2000,MATCH(I423,'Both teabags AfterDry'!$A$3:$A$2000,0)),"")</f>
        <v>1.6163000000000001</v>
      </c>
      <c r="R423" s="194">
        <f t="shared" si="41"/>
        <v>0.6722999999999999</v>
      </c>
      <c r="S423" s="194">
        <f t="shared" si="41"/>
        <v>1.4657</v>
      </c>
      <c r="T423" s="194">
        <f t="shared" si="42"/>
        <v>0.61783765347885411</v>
      </c>
      <c r="U423" s="194">
        <f t="shared" si="43"/>
        <v>0.40504321225692103</v>
      </c>
      <c r="V423" s="194">
        <f t="shared" si="44"/>
        <v>0.71490586284264956</v>
      </c>
      <c r="W423">
        <f t="shared" si="45"/>
        <v>69</v>
      </c>
      <c r="X423" s="194">
        <f t="shared" si="46"/>
        <v>0.26622606475195476</v>
      </c>
      <c r="Y423" s="194">
        <f t="shared" si="47"/>
        <v>1.763661564936083E-2</v>
      </c>
      <c r="Z423" s="252" t="str">
        <f>IF(ISNUMBER(SEARCH("C", 'Dry_Litterbag Placem_Collection'!$V130)),"YES","NO")</f>
        <v>NO</v>
      </c>
      <c r="AA423" s="252" t="str">
        <f>IF(ISNUMBER(SEARCH("H", 'Dry_Litterbag Placem_Collection'!$V130)),"YES","NO")</f>
        <v>NO</v>
      </c>
      <c r="AB423" s="252" t="str">
        <f>IF(ISNUMBER(SEARCH("R", 'Dry_Litterbag Placem_Collection'!$V130)),"YES","NO")</f>
        <v>NO</v>
      </c>
      <c r="AC423" s="252" t="str">
        <f>IF(ISNUMBER(SEARCH("C", 'Dry_Litterbag Placem_Collection'!$U130)),"YES","NO")</f>
        <v>NO</v>
      </c>
      <c r="AD423" s="252" t="str">
        <f>IF(ISNUMBER(SEARCH("H", 'Dry_Litterbag Placem_Collection'!$U130)),"YES","NO")</f>
        <v>NO</v>
      </c>
      <c r="AE423" s="252" t="str">
        <f>IF(ISNUMBER(SEARCH("R", 'Dry_Litterbag Placem_Collection'!$U130)),"YES","NO")</f>
        <v>NO</v>
      </c>
    </row>
    <row r="424" spans="2:31">
      <c r="B424" t="str">
        <f>'Final data_for_R_analysis_Dryse'!A570</f>
        <v>Dry</v>
      </c>
      <c r="C424" s="260">
        <f>'Final data_for_R_analysis_Dryse'!B570</f>
        <v>129</v>
      </c>
      <c r="D424" t="s">
        <v>3820</v>
      </c>
      <c r="E424" t="s">
        <v>25</v>
      </c>
      <c r="F424" s="381">
        <v>1</v>
      </c>
      <c r="G424" s="383">
        <f>IF('Dry_Litterbag Placem_Collection'!E131="","",'Dry_Litterbag Placem_Collection'!E131)</f>
        <v>42939</v>
      </c>
      <c r="H424" s="92" t="str">
        <f>'Final data_for_R_analysis_Dryse'!K570</f>
        <v>G671</v>
      </c>
      <c r="I424" t="str">
        <f>'Final data_for_R_analysis_Dryse'!K790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40"/>
        <v>1.8012000000000001</v>
      </c>
      <c r="M424" s="237">
        <f>AVERAGE(Ashed_controlls!$K$1:$K$11)</f>
        <v>5.5147656768714146</v>
      </c>
      <c r="N424" s="194">
        <f>IFERROR(IF(K424&gt;0,(K424*$F$32-($F$29+$F$30)),""),"")</f>
        <v>1.9302000000000001</v>
      </c>
      <c r="O424" s="383">
        <f>IF('Dry_Litterbag Placem_Collection'!G131="","",'Dry_Litterbag Placem_Collection'!G131)</f>
        <v>43008</v>
      </c>
      <c r="P424" s="194">
        <f>IFERROR(INDEX('Both teabags AfterDry'!$D$3:$D$2000,MATCH(H424,'Both teabags AfterDry'!$A$3:$A$2000,0)),"")</f>
        <v>0.68540000000000001</v>
      </c>
      <c r="Q424" s="194">
        <f>IFERROR(INDEX('Both teabags AfterDry'!$D$3:$D$2000,MATCH(I424,'Both teabags AfterDry'!$A$3:$A$2000,0)),"")</f>
        <v>1.6962999999999999</v>
      </c>
      <c r="R424" s="194">
        <f t="shared" si="41"/>
        <v>0.53479999999999994</v>
      </c>
      <c r="S424" s="194">
        <f t="shared" si="41"/>
        <v>1.5456999999999999</v>
      </c>
      <c r="T424" s="194">
        <f t="shared" si="42"/>
        <v>0.70308683100155456</v>
      </c>
      <c r="U424" s="194">
        <f t="shared" si="43"/>
        <v>0.46093103410078168</v>
      </c>
      <c r="V424" s="194">
        <f t="shared" si="44"/>
        <v>0.80079784478292393</v>
      </c>
      <c r="W424">
        <f t="shared" si="45"/>
        <v>69</v>
      </c>
      <c r="X424" s="194">
        <f t="shared" si="46"/>
        <v>0.16498001068698975</v>
      </c>
      <c r="Y424" s="194">
        <f t="shared" si="47"/>
        <v>8.2020185015251219E-3</v>
      </c>
      <c r="Z424" s="252" t="str">
        <f>IF(ISNUMBER(SEARCH("C", 'Dry_Litterbag Placem_Collection'!$V131)),"YES","NO")</f>
        <v>NO</v>
      </c>
      <c r="AA424" s="252" t="str">
        <f>IF(ISNUMBER(SEARCH("H", 'Dry_Litterbag Placem_Collection'!$V131)),"YES","NO")</f>
        <v>NO</v>
      </c>
      <c r="AB424" s="252" t="str">
        <f>IF(ISNUMBER(SEARCH("R", 'Dry_Litterbag Placem_Collection'!$V131)),"YES","NO")</f>
        <v>NO</v>
      </c>
      <c r="AC424" s="252" t="str">
        <f>IF(ISNUMBER(SEARCH("C", 'Dry_Litterbag Placem_Collection'!$U131)),"YES","NO")</f>
        <v>NO</v>
      </c>
      <c r="AD424" s="252" t="str">
        <f>IF(ISNUMBER(SEARCH("H", 'Dry_Litterbag Placem_Collection'!$U131)),"YES","NO")</f>
        <v>NO</v>
      </c>
      <c r="AE424" s="252" t="str">
        <f>IF(ISNUMBER(SEARCH("R", 'Dry_Litterbag Placem_Collection'!$U131)),"YES","NO")</f>
        <v>NO</v>
      </c>
    </row>
    <row r="425" spans="2:31">
      <c r="B425" t="str">
        <f>'Final data_for_R_analysis_Dryse'!A571</f>
        <v>Dry</v>
      </c>
      <c r="C425" s="260">
        <f>'Final data_for_R_analysis_Dryse'!B571</f>
        <v>130</v>
      </c>
      <c r="D425" t="s">
        <v>3820</v>
      </c>
      <c r="E425" t="s">
        <v>25</v>
      </c>
      <c r="F425" s="381">
        <v>2</v>
      </c>
      <c r="G425" s="383">
        <f>IF('Dry_Litterbag Placem_Collection'!E132="","",'Dry_Litterbag Placem_Collection'!E132)</f>
        <v>42939</v>
      </c>
      <c r="H425" s="92" t="str">
        <f>'Final data_for_R_analysis_Dryse'!K571</f>
        <v>G400</v>
      </c>
      <c r="I425" t="str">
        <f>'Final data_for_R_analysis_Dryse'!K791</f>
        <v>R193</v>
      </c>
      <c r="J425">
        <f>IFERROR(INDEX('Green_rooibos initial weight'!$C$5:$C$2000,MATCH(H425, 'Green_rooibos initial weight'!$A$5:$A$2000,0)),"")</f>
        <v>2.0089999999999999</v>
      </c>
      <c r="K425">
        <f>IFERROR(INDEX('Green_rooibos initial weight'!$C$5:$C$2000,MATCH(I425, 'Green_rooibos initial weight'!$A$5:$A$2000,0)),"")</f>
        <v>2.198</v>
      </c>
      <c r="L425" s="194">
        <f t="shared" si="40"/>
        <v>1.7591999999999999</v>
      </c>
      <c r="M425" s="237">
        <f>AVERAGE(Ashed_controlls!$K$1:$K$11)</f>
        <v>5.5147656768714146</v>
      </c>
      <c r="N425" s="194">
        <f>IFERROR(IF(K425&gt;0,(K425*$F$32-($F$29+$F$30)),""),"")</f>
        <v>1.9481999999999999</v>
      </c>
      <c r="O425" s="383">
        <f>IF('Dry_Litterbag Placem_Collection'!G132="","",'Dry_Litterbag Placem_Collection'!G132)</f>
        <v>43008</v>
      </c>
      <c r="P425" s="194">
        <f>IFERROR(INDEX('Both teabags AfterDry'!$D$3:$D$2000,MATCH(H425,'Both teabags AfterDry'!$A$3:$A$2000,0)),"")</f>
        <v>0.86</v>
      </c>
      <c r="Q425" s="194">
        <f>IFERROR(INDEX('Both teabags AfterDry'!$D$3:$D$2000,MATCH(I425,'Both teabags AfterDry'!$A$3:$A$2000,0)),"")</f>
        <v>1.7978000000000001</v>
      </c>
      <c r="R425" s="194">
        <f t="shared" si="41"/>
        <v>0.70940000000000003</v>
      </c>
      <c r="S425" s="194">
        <f t="shared" si="41"/>
        <v>1.6472</v>
      </c>
      <c r="T425" s="194">
        <f t="shared" si="42"/>
        <v>0.59674852205547979</v>
      </c>
      <c r="U425" s="194">
        <f t="shared" si="43"/>
        <v>0.39121755840216732</v>
      </c>
      <c r="V425" s="194">
        <f t="shared" si="44"/>
        <v>0.84549840878759885</v>
      </c>
      <c r="W425">
        <f t="shared" si="45"/>
        <v>69</v>
      </c>
      <c r="X425" s="194">
        <f t="shared" si="46"/>
        <v>0.29127253912650852</v>
      </c>
      <c r="Y425" s="194">
        <f t="shared" si="47"/>
        <v>7.281200707997309E-3</v>
      </c>
      <c r="Z425" s="252" t="str">
        <f>IF(ISNUMBER(SEARCH("C", 'Dry_Litterbag Placem_Collection'!$V132)),"YES","NO")</f>
        <v>NO</v>
      </c>
      <c r="AA425" s="252" t="str">
        <f>IF(ISNUMBER(SEARCH("H", 'Dry_Litterbag Placem_Collection'!$V132)),"YES","NO")</f>
        <v>NO</v>
      </c>
      <c r="AB425" s="252" t="str">
        <f>IF(ISNUMBER(SEARCH("R", 'Dry_Litterbag Placem_Collection'!$V132)),"YES","NO")</f>
        <v>NO</v>
      </c>
      <c r="AC425" s="252" t="str">
        <f>IF(ISNUMBER(SEARCH("C", 'Dry_Litterbag Placem_Collection'!$U132)),"YES","NO")</f>
        <v>NO</v>
      </c>
      <c r="AD425" s="252" t="str">
        <f>IF(ISNUMBER(SEARCH("H", 'Dry_Litterbag Placem_Collection'!$U132)),"YES","NO")</f>
        <v>NO</v>
      </c>
      <c r="AE425" s="252" t="str">
        <f>IF(ISNUMBER(SEARCH("R", 'Dry_Litterbag Placem_Collection'!$U132)),"YES","NO")</f>
        <v>YES</v>
      </c>
    </row>
    <row r="426" spans="2:31">
      <c r="B426" t="str">
        <f>'Final data_for_R_analysis_Dryse'!A572</f>
        <v>Dry</v>
      </c>
      <c r="C426" s="260">
        <f>'Final data_for_R_analysis_Dryse'!B572</f>
        <v>131</v>
      </c>
      <c r="D426" t="s">
        <v>3820</v>
      </c>
      <c r="E426" t="s">
        <v>25</v>
      </c>
      <c r="F426" s="381">
        <v>3</v>
      </c>
      <c r="G426" s="383">
        <f>IF('Dry_Litterbag Placem_Collection'!E133="","",'Dry_Litterbag Placem_Collection'!E133)</f>
        <v>42939</v>
      </c>
      <c r="H426" s="92" t="str">
        <f>'Final data_for_R_analysis_Dryse'!K572</f>
        <v>G48</v>
      </c>
      <c r="I426" t="str">
        <f>'Final data_for_R_analysis_Dryse'!K792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40"/>
        <v>1.8092000000000001</v>
      </c>
      <c r="M426" s="237">
        <f>AVERAGE(Ashed_controlls!$K$1:$K$11)</f>
        <v>5.5147656768714146</v>
      </c>
      <c r="N426" s="194">
        <f>IFERROR(IF(K426&gt;0,(K426*$F$32-($F$29+$F$30)),""),"")</f>
        <v>1.9942000000000002</v>
      </c>
      <c r="O426" s="383">
        <f>IF('Dry_Litterbag Placem_Collection'!G133="","",'Dry_Litterbag Placem_Collection'!G133)</f>
        <v>43008</v>
      </c>
      <c r="P426" s="194">
        <f>IFERROR(INDEX('Both teabags AfterDry'!$D$3:$D$2000,MATCH(H426,'Both teabags AfterDry'!$A$3:$A$2000,0)),"")</f>
        <v>0.84750000000000003</v>
      </c>
      <c r="Q426" s="194">
        <f>IFERROR(INDEX('Both teabags AfterDry'!$D$3:$D$2000,MATCH(I426,'Both teabags AfterDry'!$A$3:$A$2000,0)),"")</f>
        <v>1.7876000000000001</v>
      </c>
      <c r="R426" s="194">
        <f t="shared" si="41"/>
        <v>0.69690000000000007</v>
      </c>
      <c r="S426" s="194">
        <f t="shared" si="41"/>
        <v>1.637</v>
      </c>
      <c r="T426" s="194">
        <f t="shared" si="42"/>
        <v>0.61480212248507626</v>
      </c>
      <c r="U426" s="194">
        <f t="shared" si="43"/>
        <v>0.40305317293558446</v>
      </c>
      <c r="V426" s="194">
        <f t="shared" si="44"/>
        <v>0.82088055360545575</v>
      </c>
      <c r="W426">
        <f t="shared" si="45"/>
        <v>69</v>
      </c>
      <c r="X426" s="194">
        <f t="shared" si="46"/>
        <v>0.26983120845002817</v>
      </c>
      <c r="Y426" s="194">
        <f t="shared" si="47"/>
        <v>8.5176572693988154E-3</v>
      </c>
      <c r="Z426" s="252" t="str">
        <f>IF(ISNUMBER(SEARCH("C", 'Dry_Litterbag Placem_Collection'!$V133)),"YES","NO")</f>
        <v>NO</v>
      </c>
      <c r="AA426" s="252" t="str">
        <f>IF(ISNUMBER(SEARCH("H", 'Dry_Litterbag Placem_Collection'!$V133)),"YES","NO")</f>
        <v>NO</v>
      </c>
      <c r="AB426" s="252" t="str">
        <f>IF(ISNUMBER(SEARCH("R", 'Dry_Litterbag Placem_Collection'!$V133)),"YES","NO")</f>
        <v>YES</v>
      </c>
      <c r="AC426" s="252" t="str">
        <f>IF(ISNUMBER(SEARCH("C", 'Dry_Litterbag Placem_Collection'!$U133)),"YES","NO")</f>
        <v>NO</v>
      </c>
      <c r="AD426" s="252" t="str">
        <f>IF(ISNUMBER(SEARCH("H", 'Dry_Litterbag Placem_Collection'!$U133)),"YES","NO")</f>
        <v>NO</v>
      </c>
      <c r="AE426" s="252" t="str">
        <f>IF(ISNUMBER(SEARCH("R", 'Dry_Litterbag Placem_Collection'!$U133)),"YES","NO")</f>
        <v>YES</v>
      </c>
    </row>
    <row r="427" spans="2:31">
      <c r="B427" t="str">
        <f>'Final data_for_R_analysis_Dryse'!A573</f>
        <v>Dry</v>
      </c>
      <c r="C427" s="260">
        <f>'Final data_for_R_analysis_Dryse'!B573</f>
        <v>132</v>
      </c>
      <c r="D427" t="s">
        <v>3820</v>
      </c>
      <c r="E427" t="s">
        <v>25</v>
      </c>
      <c r="F427" s="382">
        <v>4</v>
      </c>
      <c r="G427" s="383" t="str">
        <f>IF('Dry_Litterbag Placem_Collection'!E134="","",'Dry_Litterbag Placem_Collection'!E134)</f>
        <v/>
      </c>
      <c r="H427" s="92" t="str">
        <f>'Final data_for_R_analysis_Dryse'!K573</f>
        <v/>
      </c>
      <c r="I427" t="str">
        <f>'Final data_for_R_analysis_Dryse'!K793</f>
        <v/>
      </c>
      <c r="J427" t="str">
        <f>IFERROR(INDEX('Green_rooibos initial weight'!$C$5:$C$2000,MATCH(H427, 'Green_rooibos initial weight'!$A$5:$A$2000,0)),"")</f>
        <v/>
      </c>
      <c r="K427" t="str">
        <f>IFERROR(INDEX('Green_rooibos initial weight'!$C$5:$C$2000,MATCH(I427, 'Green_rooibos initial weight'!$A$5:$A$2000,0)),"")</f>
        <v/>
      </c>
      <c r="L427" s="194" t="str">
        <f t="shared" si="40"/>
        <v/>
      </c>
      <c r="M427" s="237">
        <f>AVERAGE(Ashed_controlls!$K$1:$K$11)</f>
        <v>5.5147656768714146</v>
      </c>
      <c r="N427" s="194" t="str">
        <f>IFERROR(IF(K427&gt;0,(K427*$F$32-($F$29+$F$30)),""),"")</f>
        <v/>
      </c>
      <c r="O427" s="383" t="str">
        <f>IF('Dry_Litterbag Placem_Collection'!G134="","",'Dry_Litterbag Placem_Collection'!G134)</f>
        <v/>
      </c>
      <c r="P427" s="194" t="str">
        <f>IFERROR(INDEX('Both teabags AfterDry'!$D$3:$D$2000,MATCH(H427,'Both teabags AfterDry'!$A$3:$A$2000,0)),"")</f>
        <v/>
      </c>
      <c r="Q427" s="194" t="str">
        <f>IFERROR(INDEX('Both teabags AfterDry'!$D$3:$D$2000,MATCH(I427,'Both teabags AfterDry'!$A$3:$A$2000,0)),"")</f>
        <v/>
      </c>
      <c r="R427" s="194" t="str">
        <f t="shared" si="41"/>
        <v/>
      </c>
      <c r="S427" s="194" t="str">
        <f t="shared" si="41"/>
        <v/>
      </c>
      <c r="T427" s="194" t="str">
        <f t="shared" si="42"/>
        <v/>
      </c>
      <c r="U427" s="194" t="str">
        <f t="shared" si="43"/>
        <v/>
      </c>
      <c r="V427" s="194" t="str">
        <f t="shared" si="44"/>
        <v/>
      </c>
      <c r="W427" t="str">
        <f t="shared" si="45"/>
        <v/>
      </c>
      <c r="X427" s="194" t="str">
        <f t="shared" si="46"/>
        <v/>
      </c>
      <c r="Y427" s="194" t="str">
        <f t="shared" si="47"/>
        <v/>
      </c>
      <c r="Z427" s="252" t="str">
        <f>IF(ISNUMBER(SEARCH("C", 'Dry_Litterbag Placem_Collection'!$V134)),"YES","NO")</f>
        <v>NO</v>
      </c>
      <c r="AA427" s="252" t="str">
        <f>IF(ISNUMBER(SEARCH("H", 'Dry_Litterbag Placem_Collection'!$V134)),"YES","NO")</f>
        <v>NO</v>
      </c>
      <c r="AB427" s="252" t="str">
        <f>IF(ISNUMBER(SEARCH("R", 'Dry_Litterbag Placem_Collection'!$V134)),"YES","NO")</f>
        <v>NO</v>
      </c>
      <c r="AC427" s="252" t="str">
        <f>IF(ISNUMBER(SEARCH("C", 'Dry_Litterbag Placem_Collection'!$U134)),"YES","NO")</f>
        <v>NO</v>
      </c>
      <c r="AD427" s="252" t="str">
        <f>IF(ISNUMBER(SEARCH("H", 'Dry_Litterbag Placem_Collection'!$U134)),"YES","NO")</f>
        <v>NO</v>
      </c>
      <c r="AE427" s="252" t="str">
        <f>IF(ISNUMBER(SEARCH("R", 'Dry_Litterbag Placem_Collection'!$U134)),"YES","NO")</f>
        <v>NO</v>
      </c>
    </row>
    <row r="428" spans="2:31">
      <c r="B428" t="str">
        <f>'Final data_for_R_analysis_Dryse'!A574</f>
        <v>Dry</v>
      </c>
      <c r="C428" s="260">
        <f>'Final data_for_R_analysis_Dryse'!B574</f>
        <v>133</v>
      </c>
      <c r="D428" t="s">
        <v>3820</v>
      </c>
      <c r="E428" t="s">
        <v>25</v>
      </c>
      <c r="F428" s="382">
        <v>5</v>
      </c>
      <c r="G428" s="383">
        <f>IF('Dry_Litterbag Placem_Collection'!E135="","",'Dry_Litterbag Placem_Collection'!E135)</f>
        <v>42939</v>
      </c>
      <c r="H428" s="92" t="str">
        <f>'Final data_for_R_analysis_Dryse'!K574</f>
        <v>G210</v>
      </c>
      <c r="I428" t="str">
        <f>'Final data_for_R_analysis_Dryse'!K794</f>
        <v>R683</v>
      </c>
      <c r="J428">
        <f>IFERROR(INDEX('Green_rooibos initial weight'!$C$5:$C$2000,MATCH(H428, 'Green_rooibos initial weight'!$A$5:$A$2000,0)),"")</f>
        <v>1.923</v>
      </c>
      <c r="K428">
        <f>IFERROR(INDEX('Green_rooibos initial weight'!$C$5:$C$2000,MATCH(I428, 'Green_rooibos initial weight'!$A$5:$A$2000,0)),"")</f>
        <v>2.141</v>
      </c>
      <c r="L428" s="194">
        <f t="shared" si="40"/>
        <v>1.6732</v>
      </c>
      <c r="M428" s="237">
        <f>AVERAGE(Ashed_controlls!$K$1:$K$11)</f>
        <v>5.5147656768714146</v>
      </c>
      <c r="N428" s="194">
        <f>IFERROR(IF(K428&gt;0,(K428*$F$32-($F$29+$F$30)),""),"")</f>
        <v>1.8912</v>
      </c>
      <c r="O428" s="383">
        <f>IF('Dry_Litterbag Placem_Collection'!G135="","",'Dry_Litterbag Placem_Collection'!G135)</f>
        <v>43008</v>
      </c>
      <c r="P428" s="194" t="str">
        <f>IFERROR(INDEX('Both teabags AfterDry'!$D$3:$D$2000,MATCH(H428,'Both teabags AfterDry'!$A$3:$A$2000,0)),"")</f>
        <v/>
      </c>
      <c r="Q428" s="194" t="str">
        <f>IFERROR(INDEX('Both teabags AfterDry'!$D$3:$D$2000,MATCH(I428,'Both teabags AfterDry'!$A$3:$A$2000,0)),"")</f>
        <v/>
      </c>
      <c r="R428" s="194" t="str">
        <f t="shared" si="41"/>
        <v/>
      </c>
      <c r="S428" s="194" t="str">
        <f t="shared" si="41"/>
        <v/>
      </c>
      <c r="T428" s="194" t="str">
        <f t="shared" si="42"/>
        <v/>
      </c>
      <c r="U428" s="194" t="str">
        <f t="shared" si="43"/>
        <v/>
      </c>
      <c r="V428" s="194" t="str">
        <f t="shared" si="44"/>
        <v/>
      </c>
      <c r="W428">
        <f t="shared" si="45"/>
        <v>69</v>
      </c>
      <c r="X428" s="194" t="str">
        <f t="shared" si="46"/>
        <v/>
      </c>
      <c r="Y428" s="194" t="str">
        <f t="shared" si="47"/>
        <v/>
      </c>
      <c r="Z428" s="252" t="str">
        <f>IF(ISNUMBER(SEARCH("C", 'Dry_Litterbag Placem_Collection'!$V135)),"YES","NO")</f>
        <v>NO</v>
      </c>
      <c r="AA428" s="252" t="str">
        <f>IF(ISNUMBER(SEARCH("H", 'Dry_Litterbag Placem_Collection'!$V135)),"YES","NO")</f>
        <v>NO</v>
      </c>
      <c r="AB428" s="252" t="str">
        <f>IF(ISNUMBER(SEARCH("R", 'Dry_Litterbag Placem_Collection'!$V135)),"YES","NO")</f>
        <v>NO</v>
      </c>
      <c r="AC428" s="252" t="str">
        <f>IF(ISNUMBER(SEARCH("C", 'Dry_Litterbag Placem_Collection'!$U135)),"YES","NO")</f>
        <v>NO</v>
      </c>
      <c r="AD428" s="252" t="str">
        <f>IF(ISNUMBER(SEARCH("H", 'Dry_Litterbag Placem_Collection'!$U135)),"YES","NO")</f>
        <v>NO</v>
      </c>
      <c r="AE428" s="252" t="str">
        <f>IF(ISNUMBER(SEARCH("R", 'Dry_Litterbag Placem_Collection'!$U135)),"YES","NO")</f>
        <v>YES</v>
      </c>
    </row>
    <row r="429" spans="2:31">
      <c r="B429" t="str">
        <f>'Final data_for_R_analysis_Dryse'!A575</f>
        <v>Dry</v>
      </c>
      <c r="C429" s="260">
        <f>'Final data_for_R_analysis_Dryse'!B575</f>
        <v>134</v>
      </c>
      <c r="D429" t="s">
        <v>3820</v>
      </c>
      <c r="E429" t="s">
        <v>25</v>
      </c>
      <c r="F429" s="382">
        <v>6</v>
      </c>
      <c r="G429" s="383">
        <f>IF('Dry_Litterbag Placem_Collection'!E136="","",'Dry_Litterbag Placem_Collection'!E136)</f>
        <v>42939</v>
      </c>
      <c r="H429" s="92" t="str">
        <f>'Final data_for_R_analysis_Dryse'!K575</f>
        <v>G40</v>
      </c>
      <c r="I429" t="str">
        <f>'Final data_for_R_analysis_Dryse'!K795</f>
        <v>R649</v>
      </c>
      <c r="J429">
        <f>IFERROR(INDEX('Green_rooibos initial weight'!$C$5:$C$2000,MATCH(H429, 'Green_rooibos initial weight'!$A$5:$A$2000,0)),"")</f>
        <v>2.0369999999999999</v>
      </c>
      <c r="K429">
        <f>IFERROR(INDEX('Green_rooibos initial weight'!$C$5:$C$2000,MATCH(I429, 'Green_rooibos initial weight'!$A$5:$A$2000,0)),"")</f>
        <v>2.161</v>
      </c>
      <c r="L429" s="194">
        <f t="shared" si="40"/>
        <v>1.7871999999999999</v>
      </c>
      <c r="M429" s="237">
        <f>AVERAGE(Ashed_controlls!$K$1:$K$11)</f>
        <v>5.5147656768714146</v>
      </c>
      <c r="N429" s="194">
        <f>IFERROR(IF(K429&gt;0,(K429*$F$32-($F$29+$F$30)),""),"")</f>
        <v>1.9112</v>
      </c>
      <c r="O429" s="383">
        <f>IF('Dry_Litterbag Placem_Collection'!G136="","",'Dry_Litterbag Placem_Collection'!G136)</f>
        <v>43008</v>
      </c>
      <c r="P429" s="194">
        <f>IFERROR(INDEX('Both teabags AfterDry'!$D$3:$D$2000,MATCH(H429,'Both teabags AfterDry'!$A$3:$A$2000,0)),"")</f>
        <v>0.68400000000000005</v>
      </c>
      <c r="Q429" s="194">
        <f>IFERROR(INDEX('Both teabags AfterDry'!$D$3:$D$2000,MATCH(I429,'Both teabags AfterDry'!$A$3:$A$2000,0)),"")</f>
        <v>1.7554000000000001</v>
      </c>
      <c r="R429" s="194">
        <f t="shared" si="41"/>
        <v>0.5334000000000001</v>
      </c>
      <c r="S429" s="194">
        <f t="shared" si="41"/>
        <v>1.6048</v>
      </c>
      <c r="T429" s="194">
        <f t="shared" si="42"/>
        <v>0.70154431512981197</v>
      </c>
      <c r="U429" s="194">
        <f t="shared" si="43"/>
        <v>0.45991978854115945</v>
      </c>
      <c r="V429" s="194">
        <f t="shared" si="44"/>
        <v>0.83968187526161575</v>
      </c>
      <c r="W429">
        <f t="shared" si="45"/>
        <v>69</v>
      </c>
      <c r="X429" s="194">
        <f t="shared" si="46"/>
        <v>0.16681197728050834</v>
      </c>
      <c r="Y429" s="194">
        <f t="shared" si="47"/>
        <v>6.2115695144984205E-3</v>
      </c>
      <c r="Z429" s="252" t="str">
        <f>IF(ISNUMBER(SEARCH("C", 'Dry_Litterbag Placem_Collection'!$V136)),"YES","NO")</f>
        <v>NO</v>
      </c>
      <c r="AA429" s="252" t="str">
        <f>IF(ISNUMBER(SEARCH("H", 'Dry_Litterbag Placem_Collection'!$V136)),"YES","NO")</f>
        <v>NO</v>
      </c>
      <c r="AB429" s="252" t="str">
        <f>IF(ISNUMBER(SEARCH("R", 'Dry_Litterbag Placem_Collection'!$V136)),"YES","NO")</f>
        <v>YES</v>
      </c>
      <c r="AC429" s="252" t="str">
        <f>IF(ISNUMBER(SEARCH("C", 'Dry_Litterbag Placem_Collection'!$U136)),"YES","NO")</f>
        <v>NO</v>
      </c>
      <c r="AD429" s="252" t="str">
        <f>IF(ISNUMBER(SEARCH("H", 'Dry_Litterbag Placem_Collection'!$U136)),"YES","NO")</f>
        <v>NO</v>
      </c>
      <c r="AE429" s="252" t="str">
        <f>IF(ISNUMBER(SEARCH("R", 'Dry_Litterbag Placem_Collection'!$U136)),"YES","NO")</f>
        <v>YES</v>
      </c>
    </row>
    <row r="430" spans="2:31">
      <c r="B430" t="str">
        <f>'Final data_for_R_analysis_Dryse'!A576</f>
        <v>Dry</v>
      </c>
      <c r="C430" s="260">
        <f>'Final data_for_R_analysis_Dryse'!B576</f>
        <v>135</v>
      </c>
      <c r="D430" t="s">
        <v>3820</v>
      </c>
      <c r="E430" t="s">
        <v>25</v>
      </c>
      <c r="F430" s="382">
        <v>7</v>
      </c>
      <c r="G430" s="383">
        <f>IF('Dry_Litterbag Placem_Collection'!E137="","",'Dry_Litterbag Placem_Collection'!E137)</f>
        <v>42939</v>
      </c>
      <c r="H430" s="92" t="str">
        <f>'Final data_for_R_analysis_Dryse'!K576</f>
        <v>G517</v>
      </c>
      <c r="I430" t="str">
        <f>'Final data_for_R_analysis_Dryse'!K796</f>
        <v>R223</v>
      </c>
      <c r="J430">
        <f>IFERROR(INDEX('Green_rooibos initial weight'!$C$5:$C$2000,MATCH(H430, 'Green_rooibos initial weight'!$A$5:$A$2000,0)),"")</f>
        <v>2.069</v>
      </c>
      <c r="K430">
        <f>IFERROR(INDEX('Green_rooibos initial weight'!$C$5:$C$2000,MATCH(I430, 'Green_rooibos initial weight'!$A$5:$A$2000,0)),"")</f>
        <v>2.2170000000000001</v>
      </c>
      <c r="L430" s="194">
        <f t="shared" si="40"/>
        <v>1.8191999999999999</v>
      </c>
      <c r="M430" s="237">
        <f>AVERAGE(Ashed_controlls!$K$1:$K$11)</f>
        <v>5.5147656768714146</v>
      </c>
      <c r="N430" s="194">
        <f>IFERROR(IF(K430&gt;0,(K430*$F$32-($F$29+$F$30)),""),"")</f>
        <v>1.9672000000000001</v>
      </c>
      <c r="O430" s="383">
        <f>IF('Dry_Litterbag Placem_Collection'!G137="","",'Dry_Litterbag Placem_Collection'!G137)</f>
        <v>43008</v>
      </c>
      <c r="P430" s="194">
        <f>IFERROR(INDEX('Both teabags AfterDry'!$D$3:$D$2000,MATCH(H430,'Both teabags AfterDry'!$A$3:$A$2000,0)),"")</f>
        <v>0.7097</v>
      </c>
      <c r="Q430" s="194">
        <f>IFERROR(INDEX('Both teabags AfterDry'!$D$3:$D$2000,MATCH(I430,'Both teabags AfterDry'!$A$3:$A$2000,0)),"")</f>
        <v>1.7884</v>
      </c>
      <c r="R430" s="194">
        <f t="shared" si="41"/>
        <v>0.55909999999999993</v>
      </c>
      <c r="S430" s="194">
        <f t="shared" si="41"/>
        <v>1.6377999999999999</v>
      </c>
      <c r="T430" s="194">
        <f t="shared" si="42"/>
        <v>0.69266710642040463</v>
      </c>
      <c r="U430" s="194">
        <f t="shared" si="43"/>
        <v>0.45410005076492088</v>
      </c>
      <c r="V430" s="194">
        <f t="shared" si="44"/>
        <v>0.83255388369255789</v>
      </c>
      <c r="W430">
        <f t="shared" si="45"/>
        <v>69</v>
      </c>
      <c r="X430" s="194">
        <f t="shared" si="46"/>
        <v>0.17735498049833176</v>
      </c>
      <c r="Y430" s="194">
        <f t="shared" si="47"/>
        <v>6.667273405600185E-3</v>
      </c>
      <c r="Z430" s="252" t="str">
        <f>IF(ISNUMBER(SEARCH("C", 'Dry_Litterbag Placem_Collection'!$V137)),"YES","NO")</f>
        <v>NO</v>
      </c>
      <c r="AA430" s="252" t="str">
        <f>IF(ISNUMBER(SEARCH("H", 'Dry_Litterbag Placem_Collection'!$V137)),"YES","NO")</f>
        <v>NO</v>
      </c>
      <c r="AB430" s="252" t="str">
        <f>IF(ISNUMBER(SEARCH("R", 'Dry_Litterbag Placem_Collection'!$V137)),"YES","NO")</f>
        <v>NO</v>
      </c>
      <c r="AC430" s="252" t="str">
        <f>IF(ISNUMBER(SEARCH("C", 'Dry_Litterbag Placem_Collection'!$U137)),"YES","NO")</f>
        <v>NO</v>
      </c>
      <c r="AD430" s="252" t="str">
        <f>IF(ISNUMBER(SEARCH("H", 'Dry_Litterbag Placem_Collection'!$U137)),"YES","NO")</f>
        <v>NO</v>
      </c>
      <c r="AE430" s="252" t="str">
        <f>IF(ISNUMBER(SEARCH("R", 'Dry_Litterbag Placem_Collection'!$U137)),"YES","NO")</f>
        <v>NO</v>
      </c>
    </row>
    <row r="431" spans="2:31">
      <c r="B431" t="str">
        <f>'Final data_for_R_analysis_Dryse'!A577</f>
        <v>Dry</v>
      </c>
      <c r="C431" s="260">
        <f>'Final data_for_R_analysis_Dryse'!B577</f>
        <v>136</v>
      </c>
      <c r="D431" t="s">
        <v>3820</v>
      </c>
      <c r="E431" t="s">
        <v>25</v>
      </c>
      <c r="F431" s="382">
        <v>8</v>
      </c>
      <c r="G431" s="383">
        <f>IF('Dry_Litterbag Placem_Collection'!E138="","",'Dry_Litterbag Placem_Collection'!E138)</f>
        <v>42939</v>
      </c>
      <c r="H431" s="92" t="str">
        <f>'Final data_for_R_analysis_Dryse'!K577</f>
        <v>G67</v>
      </c>
      <c r="I431" t="str">
        <f>'Final data_for_R_analysis_Dryse'!K797</f>
        <v>R214</v>
      </c>
      <c r="J431">
        <f>IFERROR(INDEX('Green_rooibos initial weight'!$C$5:$C$2000,MATCH(H431, 'Green_rooibos initial weight'!$A$5:$A$2000,0)),"")</f>
        <v>1.984</v>
      </c>
      <c r="K431">
        <f>IFERROR(INDEX('Green_rooibos initial weight'!$C$5:$C$2000,MATCH(I431, 'Green_rooibos initial weight'!$A$5:$A$2000,0)),"")</f>
        <v>2.1960000000000002</v>
      </c>
      <c r="L431" s="194">
        <f t="shared" si="40"/>
        <v>1.7342</v>
      </c>
      <c r="M431" s="237">
        <f>AVERAGE(Ashed_controlls!$K$1:$K$11)</f>
        <v>5.5147656768714146</v>
      </c>
      <c r="N431" s="194">
        <f>IFERROR(IF(K431&gt;0,(K431*$F$32-($F$29+$F$30)),""),"")</f>
        <v>1.9462000000000002</v>
      </c>
      <c r="O431" s="383">
        <f>IF('Dry_Litterbag Placem_Collection'!G138="","",'Dry_Litterbag Placem_Collection'!G138)</f>
        <v>43008</v>
      </c>
      <c r="P431" s="194">
        <f>IFERROR(INDEX('Both teabags AfterDry'!$D$3:$D$2000,MATCH(H431,'Both teabags AfterDry'!$A$3:$A$2000,0)),"")</f>
        <v>0.77739999999999998</v>
      </c>
      <c r="Q431" s="194">
        <f>IFERROR(INDEX('Both teabags AfterDry'!$D$3:$D$2000,MATCH(I431,'Both teabags AfterDry'!$A$3:$A$2000,0)),"")</f>
        <v>1.7265999999999999</v>
      </c>
      <c r="R431" s="194">
        <f t="shared" si="41"/>
        <v>0.62680000000000002</v>
      </c>
      <c r="S431" s="194">
        <f t="shared" si="41"/>
        <v>1.5759999999999998</v>
      </c>
      <c r="T431" s="194">
        <f t="shared" si="42"/>
        <v>0.63856533271825622</v>
      </c>
      <c r="U431" s="194">
        <f t="shared" si="43"/>
        <v>0.41863190458489014</v>
      </c>
      <c r="V431" s="194">
        <f t="shared" si="44"/>
        <v>0.80978316719761567</v>
      </c>
      <c r="W431">
        <f t="shared" si="45"/>
        <v>69</v>
      </c>
      <c r="X431" s="194">
        <f t="shared" si="46"/>
        <v>0.2416088685056339</v>
      </c>
      <c r="Y431" s="194">
        <f t="shared" si="47"/>
        <v>8.7801095698280818E-3</v>
      </c>
      <c r="Z431" s="252" t="str">
        <f>IF(ISNUMBER(SEARCH("C", 'Dry_Litterbag Placem_Collection'!$V138)),"YES","NO")</f>
        <v>NO</v>
      </c>
      <c r="AA431" s="252" t="str">
        <f>IF(ISNUMBER(SEARCH("H", 'Dry_Litterbag Placem_Collection'!$V138)),"YES","NO")</f>
        <v>NO</v>
      </c>
      <c r="AB431" s="252" t="str">
        <f>IF(ISNUMBER(SEARCH("R", 'Dry_Litterbag Placem_Collection'!$V138)),"YES","NO")</f>
        <v>NO</v>
      </c>
      <c r="AC431" s="252" t="str">
        <f>IF(ISNUMBER(SEARCH("C", 'Dry_Litterbag Placem_Collection'!$U138)),"YES","NO")</f>
        <v>NO</v>
      </c>
      <c r="AD431" s="252" t="str">
        <f>IF(ISNUMBER(SEARCH("H", 'Dry_Litterbag Placem_Collection'!$U138)),"YES","NO")</f>
        <v>NO</v>
      </c>
      <c r="AE431" s="252" t="str">
        <f>IF(ISNUMBER(SEARCH("R", 'Dry_Litterbag Placem_Collection'!$U138)),"YES","NO")</f>
        <v>YES</v>
      </c>
    </row>
    <row r="432" spans="2:31">
      <c r="B432" t="str">
        <f>'Final data_for_R_analysis_Dryse'!A578</f>
        <v>Dry</v>
      </c>
      <c r="C432" s="260">
        <f>'Final data_for_R_analysis_Dryse'!B578</f>
        <v>137</v>
      </c>
      <c r="D432" t="s">
        <v>3822</v>
      </c>
      <c r="E432" t="s">
        <v>25</v>
      </c>
      <c r="F432" s="381">
        <v>1</v>
      </c>
      <c r="G432" s="383">
        <f>IF('Dry_Litterbag Placem_Collection'!E139="","",'Dry_Litterbag Placem_Collection'!E139)</f>
        <v>42939</v>
      </c>
      <c r="H432" s="92" t="str">
        <f>'Final data_for_R_analysis_Dryse'!K578</f>
        <v>G335</v>
      </c>
      <c r="I432" t="str">
        <f>'Final data_for_R_analysis_Dryse'!K798</f>
        <v>R628</v>
      </c>
      <c r="J432">
        <f>IFERROR(INDEX('Green_rooibos initial weight'!$C$5:$C$2000,MATCH(H432, 'Green_rooibos initial weight'!$A$5:$A$2000,0)),"")</f>
        <v>1.956</v>
      </c>
      <c r="K432">
        <f>IFERROR(INDEX('Green_rooibos initial weight'!$C$5:$C$2000,MATCH(I432, 'Green_rooibos initial weight'!$A$5:$A$2000,0)),"")</f>
        <v>2.0110000000000001</v>
      </c>
      <c r="L432" s="194">
        <f t="shared" si="40"/>
        <v>1.7061999999999999</v>
      </c>
      <c r="M432" s="237">
        <f>AVERAGE(Ashed_controlls!$K$1:$K$11)</f>
        <v>5.5147656768714146</v>
      </c>
      <c r="N432" s="194">
        <f>IFERROR(IF(K432&gt;0,(K432*$F$32-($F$29+$F$30)),""),"")</f>
        <v>1.7612000000000001</v>
      </c>
      <c r="O432" s="383">
        <f>IF('Dry_Litterbag Placem_Collection'!G139="","",'Dry_Litterbag Placem_Collection'!G139)</f>
        <v>43008</v>
      </c>
      <c r="P432" s="194">
        <f>IFERROR(INDEX('Both teabags AfterDry'!$D$3:$D$2000,MATCH(H432,'Both teabags AfterDry'!$A$3:$A$2000,0)),"")</f>
        <v>0.85829999999999995</v>
      </c>
      <c r="Q432" s="194">
        <f>IFERROR(INDEX('Both teabags AfterDry'!$D$3:$D$2000,MATCH(I432,'Both teabags AfterDry'!$A$3:$A$2000,0)),"")</f>
        <v>1.7652000000000001</v>
      </c>
      <c r="R432" s="194">
        <f t="shared" si="41"/>
        <v>0.7077</v>
      </c>
      <c r="S432" s="194">
        <f t="shared" si="41"/>
        <v>1.6146</v>
      </c>
      <c r="T432" s="194">
        <f t="shared" si="42"/>
        <v>0.58521861446489276</v>
      </c>
      <c r="U432" s="194">
        <f t="shared" si="43"/>
        <v>0.38365875912662806</v>
      </c>
      <c r="V432" s="194">
        <f t="shared" si="44"/>
        <v>0.91676129911424031</v>
      </c>
      <c r="W432">
        <f t="shared" si="45"/>
        <v>69</v>
      </c>
      <c r="X432" s="194">
        <f t="shared" si="46"/>
        <v>0.30496601607494922</v>
      </c>
      <c r="Y432" s="194">
        <f t="shared" si="47"/>
        <v>3.5445191299054274E-3</v>
      </c>
      <c r="Z432" s="252" t="str">
        <f>IF(ISNUMBER(SEARCH("C", 'Dry_Litterbag Placem_Collection'!$V139)),"YES","NO")</f>
        <v>NO</v>
      </c>
      <c r="AA432" s="252" t="str">
        <f>IF(ISNUMBER(SEARCH("H", 'Dry_Litterbag Placem_Collection'!$V139)),"YES","NO")</f>
        <v>NO</v>
      </c>
      <c r="AB432" s="252" t="str">
        <f>IF(ISNUMBER(SEARCH("R", 'Dry_Litterbag Placem_Collection'!$V139)),"YES","NO")</f>
        <v>NO</v>
      </c>
      <c r="AC432" s="252" t="str">
        <f>IF(ISNUMBER(SEARCH("C", 'Dry_Litterbag Placem_Collection'!$U139)),"YES","NO")</f>
        <v>NO</v>
      </c>
      <c r="AD432" s="252" t="str">
        <f>IF(ISNUMBER(SEARCH("H", 'Dry_Litterbag Placem_Collection'!$U139)),"YES","NO")</f>
        <v>NO</v>
      </c>
      <c r="AE432" s="252" t="str">
        <f>IF(ISNUMBER(SEARCH("R", 'Dry_Litterbag Placem_Collection'!$U139)),"YES","NO")</f>
        <v>NO</v>
      </c>
    </row>
    <row r="433" spans="2:31">
      <c r="B433" t="str">
        <f>'Final data_for_R_analysis_Dryse'!A579</f>
        <v>Dry</v>
      </c>
      <c r="C433" s="260">
        <f>'Final data_for_R_analysis_Dryse'!B579</f>
        <v>138</v>
      </c>
      <c r="D433" t="s">
        <v>3822</v>
      </c>
      <c r="E433" t="s">
        <v>25</v>
      </c>
      <c r="F433" s="381">
        <v>2</v>
      </c>
      <c r="G433" s="383">
        <f>IF('Dry_Litterbag Placem_Collection'!E140="","",'Dry_Litterbag Placem_Collection'!E140)</f>
        <v>42939</v>
      </c>
      <c r="H433" s="92" t="str">
        <f>'Final data_for_R_analysis_Dryse'!K579</f>
        <v>G484</v>
      </c>
      <c r="I433" t="str">
        <f>'Final data_for_R_analysis_Dryse'!K799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40"/>
        <v>1.7511999999999999</v>
      </c>
      <c r="M433" s="237">
        <f>AVERAGE(Ashed_controlls!$K$1:$K$11)</f>
        <v>5.5147656768714146</v>
      </c>
      <c r="N433" s="194">
        <f>IFERROR(IF(K433&gt;0,(K433*$F$32-($F$29+$F$30)),""),"")</f>
        <v>1.9472</v>
      </c>
      <c r="O433" s="383">
        <f>IF('Dry_Litterbag Placem_Collection'!G140="","",'Dry_Litterbag Placem_Collection'!G140)</f>
        <v>43008</v>
      </c>
      <c r="P433" s="194">
        <f>IFERROR(INDEX('Both teabags AfterDry'!$D$3:$D$2000,MATCH(H433,'Both teabags AfterDry'!$A$3:$A$2000,0)),"")</f>
        <v>0.66439999999999999</v>
      </c>
      <c r="Q433" s="194">
        <f>IFERROR(INDEX('Both teabags AfterDry'!$D$3:$D$2000,MATCH(I433,'Both teabags AfterDry'!$A$3:$A$2000,0)),"")</f>
        <v>1.7765</v>
      </c>
      <c r="R433" s="194">
        <f t="shared" si="41"/>
        <v>0.51380000000000003</v>
      </c>
      <c r="S433" s="194">
        <f t="shared" si="41"/>
        <v>1.6258999999999999</v>
      </c>
      <c r="T433" s="194">
        <f t="shared" si="42"/>
        <v>0.70660118775696668</v>
      </c>
      <c r="U433" s="194">
        <f t="shared" si="43"/>
        <v>0.46323498294756016</v>
      </c>
      <c r="V433" s="194">
        <f t="shared" si="44"/>
        <v>0.83499383730484789</v>
      </c>
      <c r="W433">
        <f t="shared" si="45"/>
        <v>69</v>
      </c>
      <c r="X433" s="194">
        <f t="shared" si="46"/>
        <v>0.16080619031239107</v>
      </c>
      <c r="Y433" s="194">
        <f t="shared" si="47"/>
        <v>6.3822232297417415E-3</v>
      </c>
      <c r="Z433" s="252" t="str">
        <f>IF(ISNUMBER(SEARCH("C", 'Dry_Litterbag Placem_Collection'!$V140)),"YES","NO")</f>
        <v>NO</v>
      </c>
      <c r="AA433" s="252" t="str">
        <f>IF(ISNUMBER(SEARCH("H", 'Dry_Litterbag Placem_Collection'!$V140)),"YES","NO")</f>
        <v>NO</v>
      </c>
      <c r="AB433" s="252" t="str">
        <f>IF(ISNUMBER(SEARCH("R", 'Dry_Litterbag Placem_Collection'!$V140)),"YES","NO")</f>
        <v>NO</v>
      </c>
      <c r="AC433" s="252" t="str">
        <f>IF(ISNUMBER(SEARCH("C", 'Dry_Litterbag Placem_Collection'!$U140)),"YES","NO")</f>
        <v>NO</v>
      </c>
      <c r="AD433" s="252" t="str">
        <f>IF(ISNUMBER(SEARCH("H", 'Dry_Litterbag Placem_Collection'!$U140)),"YES","NO")</f>
        <v>NO</v>
      </c>
      <c r="AE433" s="252" t="str">
        <f>IF(ISNUMBER(SEARCH("R", 'Dry_Litterbag Placem_Collection'!$U140)),"YES","NO")</f>
        <v>NO</v>
      </c>
    </row>
    <row r="434" spans="2:31">
      <c r="B434" t="str">
        <f>'Final data_for_R_analysis_Dryse'!A580</f>
        <v>Dry</v>
      </c>
      <c r="C434" s="260">
        <f>'Final data_for_R_analysis_Dryse'!B580</f>
        <v>139</v>
      </c>
      <c r="D434" t="s">
        <v>3822</v>
      </c>
      <c r="E434" t="s">
        <v>25</v>
      </c>
      <c r="F434" s="381">
        <v>3</v>
      </c>
      <c r="G434" s="383">
        <f>IF('Dry_Litterbag Placem_Collection'!E141="","",'Dry_Litterbag Placem_Collection'!E141)</f>
        <v>42939</v>
      </c>
      <c r="H434" s="92" t="str">
        <f>'Final data_for_R_analysis_Dryse'!K580</f>
        <v>G868</v>
      </c>
      <c r="I434" t="str">
        <f>'Final data_for_R_analysis_Dryse'!K800</f>
        <v>R706</v>
      </c>
      <c r="J434">
        <f>IFERROR(INDEX('Green_rooibos initial weight'!$C$5:$C$2000,MATCH(H434, 'Green_rooibos initial weight'!$A$5:$A$2000,0)),"")</f>
        <v>1.95</v>
      </c>
      <c r="K434">
        <f>IFERROR(INDEX('Green_rooibos initial weight'!$C$5:$C$2000,MATCH(I434, 'Green_rooibos initial weight'!$A$5:$A$2000,0)),"")</f>
        <v>2.1480000000000001</v>
      </c>
      <c r="L434" s="194">
        <f t="shared" si="40"/>
        <v>1.7001999999999999</v>
      </c>
      <c r="M434" s="237">
        <f>AVERAGE(Ashed_controlls!$K$1:$K$11)</f>
        <v>5.5147656768714146</v>
      </c>
      <c r="N434" s="194">
        <f>IFERROR(IF(K434&gt;0,(K434*$F$32-($F$29+$F$30)),""),"")</f>
        <v>1.8982000000000001</v>
      </c>
      <c r="O434" s="383">
        <f>IF('Dry_Litterbag Placem_Collection'!G141="","",'Dry_Litterbag Placem_Collection'!G141)</f>
        <v>43008</v>
      </c>
      <c r="P434" s="194">
        <f>IFERROR(INDEX('Both teabags AfterDry'!$D$3:$D$2000,MATCH(H434,'Both teabags AfterDry'!$A$3:$A$2000,0)),"")</f>
        <v>0.71699999999999997</v>
      </c>
      <c r="Q434" s="194">
        <f>IFERROR(INDEX('Both teabags AfterDry'!$D$3:$D$2000,MATCH(I434,'Both teabags AfterDry'!$A$3:$A$2000,0)),"")</f>
        <v>1.5846</v>
      </c>
      <c r="R434" s="194">
        <f t="shared" si="41"/>
        <v>0.56640000000000001</v>
      </c>
      <c r="S434" s="194">
        <f t="shared" si="41"/>
        <v>1.4339999999999999</v>
      </c>
      <c r="T434" s="194">
        <f t="shared" si="42"/>
        <v>0.66686272203270203</v>
      </c>
      <c r="U434" s="194">
        <f t="shared" si="43"/>
        <v>0.4371831621877097</v>
      </c>
      <c r="V434" s="194">
        <f t="shared" si="44"/>
        <v>0.75545253397955947</v>
      </c>
      <c r="W434">
        <f t="shared" si="45"/>
        <v>69</v>
      </c>
      <c r="X434" s="194">
        <f t="shared" si="46"/>
        <v>0.20800151777588827</v>
      </c>
      <c r="Y434" s="194">
        <f t="shared" si="47"/>
        <v>1.1877556843150106E-2</v>
      </c>
      <c r="Z434" s="252" t="str">
        <f>IF(ISNUMBER(SEARCH("C", 'Dry_Litterbag Placem_Collection'!$V141)),"YES","NO")</f>
        <v>NO</v>
      </c>
      <c r="AA434" s="252" t="str">
        <f>IF(ISNUMBER(SEARCH("H", 'Dry_Litterbag Placem_Collection'!$V141)),"YES","NO")</f>
        <v>NO</v>
      </c>
      <c r="AB434" s="252" t="str">
        <f>IF(ISNUMBER(SEARCH("R", 'Dry_Litterbag Placem_Collection'!$V141)),"YES","NO")</f>
        <v>NO</v>
      </c>
      <c r="AC434" s="252" t="str">
        <f>IF(ISNUMBER(SEARCH("C", 'Dry_Litterbag Placem_Collection'!$U141)),"YES","NO")</f>
        <v>NO</v>
      </c>
      <c r="AD434" s="252" t="str">
        <f>IF(ISNUMBER(SEARCH("H", 'Dry_Litterbag Placem_Collection'!$U141)),"YES","NO")</f>
        <v>NO</v>
      </c>
      <c r="AE434" s="252" t="str">
        <f>IF(ISNUMBER(SEARCH("R", 'Dry_Litterbag Placem_Collection'!$U141)),"YES","NO")</f>
        <v>NO</v>
      </c>
    </row>
    <row r="435" spans="2:31">
      <c r="B435" t="str">
        <f>'Final data_for_R_analysis_Dryse'!A581</f>
        <v>Dry</v>
      </c>
      <c r="C435" s="260">
        <f>'Final data_for_R_analysis_Dryse'!B581</f>
        <v>140</v>
      </c>
      <c r="D435" t="s">
        <v>3822</v>
      </c>
      <c r="E435" t="s">
        <v>25</v>
      </c>
      <c r="F435" s="382">
        <v>4</v>
      </c>
      <c r="G435" s="383">
        <f>IF('Dry_Litterbag Placem_Collection'!E142="","",'Dry_Litterbag Placem_Collection'!E142)</f>
        <v>42939</v>
      </c>
      <c r="H435" s="92" t="str">
        <f>'Final data_for_R_analysis_Dryse'!K581</f>
        <v>G792</v>
      </c>
      <c r="I435" t="str">
        <f>'Final data_for_R_analysis_Dryse'!K801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40"/>
        <v>1.8052000000000001</v>
      </c>
      <c r="M435" s="237">
        <f>AVERAGE(Ashed_controlls!$K$1:$K$11)</f>
        <v>5.5147656768714146</v>
      </c>
      <c r="N435" s="194">
        <f>IFERROR(IF(K435&gt;0,(K435*$F$32-($F$29+$F$30)),""),"")</f>
        <v>1.8572000000000002</v>
      </c>
      <c r="O435" s="383">
        <f>IF('Dry_Litterbag Placem_Collection'!G142="","",'Dry_Litterbag Placem_Collection'!G142)</f>
        <v>43008</v>
      </c>
      <c r="P435" s="194">
        <f>IFERROR(INDEX('Both teabags AfterDry'!$D$3:$D$2000,MATCH(H435,'Both teabags AfterDry'!$A$3:$A$2000,0)),"")</f>
        <v>0.87409999999999999</v>
      </c>
      <c r="Q435" s="194">
        <f>IFERROR(INDEX('Both teabags AfterDry'!$D$3:$D$2000,MATCH(I435,'Both teabags AfterDry'!$A$3:$A$2000,0)),"")</f>
        <v>1.7403999999999999</v>
      </c>
      <c r="R435" s="194">
        <f t="shared" si="41"/>
        <v>0.72350000000000003</v>
      </c>
      <c r="S435" s="194">
        <f t="shared" si="41"/>
        <v>1.5897999999999999</v>
      </c>
      <c r="T435" s="194">
        <f t="shared" si="42"/>
        <v>0.59921338355860843</v>
      </c>
      <c r="U435" s="194">
        <f t="shared" si="43"/>
        <v>0.39283347710730626</v>
      </c>
      <c r="V435" s="194">
        <f t="shared" si="44"/>
        <v>0.85601981477492983</v>
      </c>
      <c r="W435">
        <f t="shared" si="45"/>
        <v>69</v>
      </c>
      <c r="X435" s="194">
        <f t="shared" si="46"/>
        <v>0.2883451501679235</v>
      </c>
      <c r="Y435" s="194">
        <f t="shared" si="47"/>
        <v>6.6162647261412211E-3</v>
      </c>
      <c r="Z435" s="252" t="str">
        <f>IF(ISNUMBER(SEARCH("C", 'Dry_Litterbag Placem_Collection'!$V142)),"YES","NO")</f>
        <v>NO</v>
      </c>
      <c r="AA435" s="252" t="str">
        <f>IF(ISNUMBER(SEARCH("H", 'Dry_Litterbag Placem_Collection'!$V142)),"YES","NO")</f>
        <v>NO</v>
      </c>
      <c r="AB435" s="252" t="str">
        <f>IF(ISNUMBER(SEARCH("R", 'Dry_Litterbag Placem_Collection'!$V142)),"YES","NO")</f>
        <v>NO</v>
      </c>
      <c r="AC435" s="252" t="str">
        <f>IF(ISNUMBER(SEARCH("C", 'Dry_Litterbag Placem_Collection'!$U142)),"YES","NO")</f>
        <v>NO</v>
      </c>
      <c r="AD435" s="252" t="str">
        <f>IF(ISNUMBER(SEARCH("H", 'Dry_Litterbag Placem_Collection'!$U142)),"YES","NO")</f>
        <v>NO</v>
      </c>
      <c r="AE435" s="252" t="str">
        <f>IF(ISNUMBER(SEARCH("R", 'Dry_Litterbag Placem_Collection'!$U142)),"YES","NO")</f>
        <v>NO</v>
      </c>
    </row>
    <row r="436" spans="2:31">
      <c r="B436" t="str">
        <f>'Final data_for_R_analysis_Dryse'!A582</f>
        <v>Dry</v>
      </c>
      <c r="C436" s="260">
        <f>'Final data_for_R_analysis_Dryse'!B582</f>
        <v>141</v>
      </c>
      <c r="D436" t="s">
        <v>3822</v>
      </c>
      <c r="E436" t="s">
        <v>25</v>
      </c>
      <c r="F436" s="382">
        <v>5</v>
      </c>
      <c r="G436" s="383" t="str">
        <f>IF('Dry_Litterbag Placem_Collection'!E143="","",'Dry_Litterbag Placem_Collection'!E143)</f>
        <v/>
      </c>
      <c r="H436" s="92" t="str">
        <f>'Final data_for_R_analysis_Dryse'!K582</f>
        <v/>
      </c>
      <c r="I436" t="str">
        <f>'Final data_for_R_analysis_Dryse'!K802</f>
        <v/>
      </c>
      <c r="J436" t="str">
        <f>IFERROR(INDEX('Green_rooibos initial weight'!$C$5:$C$2000,MATCH(H436, 'Green_rooibos initial weight'!$A$5:$A$2000,0)),"")</f>
        <v/>
      </c>
      <c r="K436" t="str">
        <f>IFERROR(INDEX('Green_rooibos initial weight'!$C$5:$C$2000,MATCH(I436, 'Green_rooibos initial weight'!$A$5:$A$2000,0)),"")</f>
        <v/>
      </c>
      <c r="L436" s="194" t="str">
        <f t="shared" si="40"/>
        <v/>
      </c>
      <c r="M436" s="237">
        <f>AVERAGE(Ashed_controlls!$K$1:$K$11)</f>
        <v>5.5147656768714146</v>
      </c>
      <c r="N436" s="194" t="str">
        <f>IFERROR(IF(K436&gt;0,(K436*$F$32-($F$29+$F$30)),""),"")</f>
        <v/>
      </c>
      <c r="O436" s="383" t="str">
        <f>IF('Dry_Litterbag Placem_Collection'!G143="","",'Dry_Litterbag Placem_Collection'!G143)</f>
        <v/>
      </c>
      <c r="P436" s="194" t="str">
        <f>IFERROR(INDEX('Both teabags AfterDry'!$D$3:$D$2000,MATCH(H436,'Both teabags AfterDry'!$A$3:$A$2000,0)),"")</f>
        <v/>
      </c>
      <c r="Q436" s="194" t="str">
        <f>IFERROR(INDEX('Both teabags AfterDry'!$D$3:$D$2000,MATCH(I436,'Both teabags AfterDry'!$A$3:$A$2000,0)),"")</f>
        <v/>
      </c>
      <c r="R436" s="194" t="str">
        <f t="shared" si="41"/>
        <v/>
      </c>
      <c r="S436" s="194" t="str">
        <f t="shared" si="41"/>
        <v/>
      </c>
      <c r="T436" s="194" t="str">
        <f t="shared" si="42"/>
        <v/>
      </c>
      <c r="U436" s="194" t="str">
        <f t="shared" si="43"/>
        <v/>
      </c>
      <c r="V436" s="194" t="str">
        <f t="shared" si="44"/>
        <v/>
      </c>
      <c r="W436" t="str">
        <f t="shared" si="45"/>
        <v/>
      </c>
      <c r="X436" s="194" t="str">
        <f t="shared" si="46"/>
        <v/>
      </c>
      <c r="Y436" s="194" t="str">
        <f t="shared" si="47"/>
        <v/>
      </c>
      <c r="Z436" s="252" t="str">
        <f>IF(ISNUMBER(SEARCH("C", 'Dry_Litterbag Placem_Collection'!$V143)),"YES","NO")</f>
        <v>NO</v>
      </c>
      <c r="AA436" s="252" t="str">
        <f>IF(ISNUMBER(SEARCH("H", 'Dry_Litterbag Placem_Collection'!$V143)),"YES","NO")</f>
        <v>NO</v>
      </c>
      <c r="AB436" s="252" t="str">
        <f>IF(ISNUMBER(SEARCH("R", 'Dry_Litterbag Placem_Collection'!$V143)),"YES","NO")</f>
        <v>NO</v>
      </c>
      <c r="AC436" s="252" t="str">
        <f>IF(ISNUMBER(SEARCH("C", 'Dry_Litterbag Placem_Collection'!$U143)),"YES","NO")</f>
        <v>NO</v>
      </c>
      <c r="AD436" s="252" t="str">
        <f>IF(ISNUMBER(SEARCH("H", 'Dry_Litterbag Placem_Collection'!$U143)),"YES","NO")</f>
        <v>NO</v>
      </c>
      <c r="AE436" s="252" t="str">
        <f>IF(ISNUMBER(SEARCH("R", 'Dry_Litterbag Placem_Collection'!$U143)),"YES","NO")</f>
        <v>NO</v>
      </c>
    </row>
    <row r="437" spans="2:31">
      <c r="B437" t="str">
        <f>'Final data_for_R_analysis_Dryse'!A583</f>
        <v>Dry</v>
      </c>
      <c r="C437" s="260">
        <f>'Final data_for_R_analysis_Dryse'!B583</f>
        <v>142</v>
      </c>
      <c r="D437" t="s">
        <v>3822</v>
      </c>
      <c r="E437" t="s">
        <v>25</v>
      </c>
      <c r="F437" s="382">
        <v>6</v>
      </c>
      <c r="G437" s="383">
        <f>IF('Dry_Litterbag Placem_Collection'!E144="","",'Dry_Litterbag Placem_Collection'!E144)</f>
        <v>42939</v>
      </c>
      <c r="H437" s="92" t="str">
        <f>'Final data_for_R_analysis_Dryse'!K583</f>
        <v>G711</v>
      </c>
      <c r="I437" t="str">
        <f>'Final data_for_R_analysis_Dryse'!K803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40"/>
        <v>1.8572000000000002</v>
      </c>
      <c r="M437" s="237">
        <f>AVERAGE(Ashed_controlls!$K$1:$K$11)</f>
        <v>5.5147656768714146</v>
      </c>
      <c r="N437" s="194">
        <f>IFERROR(IF(K437&gt;0,(K437*$F$32-($F$29+$F$30)),""),"")</f>
        <v>1.8201999999999998</v>
      </c>
      <c r="O437" s="383">
        <f>IF('Dry_Litterbag Placem_Collection'!G144="","",'Dry_Litterbag Placem_Collection'!G144)</f>
        <v>43008</v>
      </c>
      <c r="P437" s="194" t="str">
        <f>IFERROR(INDEX('Both teabags AfterDry'!$D$3:$D$2000,MATCH(H437,'Both teabags AfterDry'!$A$3:$A$2000,0)),"")</f>
        <v/>
      </c>
      <c r="Q437" s="194" t="str">
        <f>IFERROR(INDEX('Both teabags AfterDry'!$D$3:$D$2000,MATCH(I437,'Both teabags AfterDry'!$A$3:$A$2000,0)),"")</f>
        <v/>
      </c>
      <c r="R437" s="194" t="str">
        <f t="shared" si="41"/>
        <v/>
      </c>
      <c r="S437" s="194" t="str">
        <f t="shared" si="41"/>
        <v/>
      </c>
      <c r="T437" s="194" t="str">
        <f t="shared" si="42"/>
        <v/>
      </c>
      <c r="U437" s="194" t="str">
        <f t="shared" si="43"/>
        <v/>
      </c>
      <c r="V437" s="194" t="str">
        <f t="shared" si="44"/>
        <v/>
      </c>
      <c r="W437">
        <f t="shared" si="45"/>
        <v>69</v>
      </c>
      <c r="X437" s="194" t="str">
        <f t="shared" si="46"/>
        <v/>
      </c>
      <c r="Y437" s="194" t="str">
        <f t="shared" si="47"/>
        <v/>
      </c>
      <c r="Z437" s="252" t="str">
        <f>IF(ISNUMBER(SEARCH("C", 'Dry_Litterbag Placem_Collection'!$V144)),"YES","NO")</f>
        <v>NO</v>
      </c>
      <c r="AA437" s="252" t="str">
        <f>IF(ISNUMBER(SEARCH("H", 'Dry_Litterbag Placem_Collection'!$V144)),"YES","NO")</f>
        <v>NO</v>
      </c>
      <c r="AB437" s="252" t="str">
        <f>IF(ISNUMBER(SEARCH("R", 'Dry_Litterbag Placem_Collection'!$V144)),"YES","NO")</f>
        <v>NO</v>
      </c>
      <c r="AC437" s="252" t="str">
        <f>IF(ISNUMBER(SEARCH("C", 'Dry_Litterbag Placem_Collection'!$U144)),"YES","NO")</f>
        <v>NO</v>
      </c>
      <c r="AD437" s="252" t="str">
        <f>IF(ISNUMBER(SEARCH("H", 'Dry_Litterbag Placem_Collection'!$U144)),"YES","NO")</f>
        <v>NO</v>
      </c>
      <c r="AE437" s="252" t="str">
        <f>IF(ISNUMBER(SEARCH("R", 'Dry_Litterbag Placem_Collection'!$U144)),"YES","NO")</f>
        <v>YES</v>
      </c>
    </row>
    <row r="438" spans="2:31">
      <c r="B438" t="str">
        <f>'Final data_for_R_analysis_Dryse'!A584</f>
        <v>Dry</v>
      </c>
      <c r="C438" s="260">
        <f>'Final data_for_R_analysis_Dryse'!B584</f>
        <v>143</v>
      </c>
      <c r="D438" t="s">
        <v>3822</v>
      </c>
      <c r="E438" t="s">
        <v>25</v>
      </c>
      <c r="F438" s="382">
        <v>7</v>
      </c>
      <c r="G438" s="383">
        <f>IF('Dry_Litterbag Placem_Collection'!E145="","",'Dry_Litterbag Placem_Collection'!E145)</f>
        <v>42939</v>
      </c>
      <c r="H438" s="92" t="str">
        <f>'Final data_for_R_analysis_Dryse'!K584</f>
        <v>G205</v>
      </c>
      <c r="I438" t="str">
        <f>'Final data_for_R_analysis_Dryse'!K804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40"/>
        <v>1.8742000000000001</v>
      </c>
      <c r="M438" s="237">
        <f>AVERAGE(Ashed_controlls!$K$1:$K$11)</f>
        <v>5.5147656768714146</v>
      </c>
      <c r="N438" s="194">
        <f>IFERROR(IF(K438&gt;0,(K438*$F$32-($F$29+$F$30)),""),"")</f>
        <v>1.9142000000000001</v>
      </c>
      <c r="O438" s="383">
        <f>IF('Dry_Litterbag Placem_Collection'!G145="","",'Dry_Litterbag Placem_Collection'!G145)</f>
        <v>43008</v>
      </c>
      <c r="P438" s="194">
        <f>IFERROR(INDEX('Both teabags AfterDry'!$D$3:$D$2000,MATCH(H438,'Both teabags AfterDry'!$A$3:$A$2000,0)),"")</f>
        <v>0.82040000000000002</v>
      </c>
      <c r="Q438" s="194">
        <f>IFERROR(INDEX('Both teabags AfterDry'!$D$3:$D$2000,MATCH(I438,'Both teabags AfterDry'!$A$3:$A$2000,0)),"")</f>
        <v>1.6592</v>
      </c>
      <c r="R438" s="194">
        <f t="shared" si="41"/>
        <v>0.66979999999999995</v>
      </c>
      <c r="S438" s="194">
        <f t="shared" si="41"/>
        <v>1.5085999999999999</v>
      </c>
      <c r="T438" s="194">
        <f t="shared" si="42"/>
        <v>0.64262085156333371</v>
      </c>
      <c r="U438" s="194">
        <f t="shared" si="43"/>
        <v>0.42129062952845631</v>
      </c>
      <c r="V438" s="194">
        <f t="shared" si="44"/>
        <v>0.78810991536934483</v>
      </c>
      <c r="W438">
        <f t="shared" si="45"/>
        <v>69</v>
      </c>
      <c r="X438" s="194">
        <f t="shared" si="46"/>
        <v>0.23679233781076758</v>
      </c>
      <c r="Y438" s="194">
        <f t="shared" si="47"/>
        <v>1.0131507627760267E-2</v>
      </c>
      <c r="Z438" s="252" t="str">
        <f>IF(ISNUMBER(SEARCH("C", 'Dry_Litterbag Placem_Collection'!$V145)),"YES","NO")</f>
        <v>NO</v>
      </c>
      <c r="AA438" s="252" t="str">
        <f>IF(ISNUMBER(SEARCH("H", 'Dry_Litterbag Placem_Collection'!$V145)),"YES","NO")</f>
        <v>NO</v>
      </c>
      <c r="AB438" s="252" t="str">
        <f>IF(ISNUMBER(SEARCH("R", 'Dry_Litterbag Placem_Collection'!$V145)),"YES","NO")</f>
        <v>NO</v>
      </c>
      <c r="AC438" s="252" t="str">
        <f>IF(ISNUMBER(SEARCH("C", 'Dry_Litterbag Placem_Collection'!$U145)),"YES","NO")</f>
        <v>NO</v>
      </c>
      <c r="AD438" s="252" t="str">
        <f>IF(ISNUMBER(SEARCH("H", 'Dry_Litterbag Placem_Collection'!$U145)),"YES","NO")</f>
        <v>NO</v>
      </c>
      <c r="AE438" s="252" t="str">
        <f>IF(ISNUMBER(SEARCH("R", 'Dry_Litterbag Placem_Collection'!$U145)),"YES","NO")</f>
        <v>YES</v>
      </c>
    </row>
    <row r="439" spans="2:31">
      <c r="B439" t="str">
        <f>'Final data_for_R_analysis_Dryse'!A585</f>
        <v>Dry</v>
      </c>
      <c r="C439" s="260">
        <f>'Final data_for_R_analysis_Dryse'!B585</f>
        <v>144</v>
      </c>
      <c r="D439" t="s">
        <v>3822</v>
      </c>
      <c r="E439" t="s">
        <v>25</v>
      </c>
      <c r="F439" s="382">
        <v>8</v>
      </c>
      <c r="G439" s="383">
        <f>IF('Dry_Litterbag Placem_Collection'!E146="","",'Dry_Litterbag Placem_Collection'!E146)</f>
        <v>42939</v>
      </c>
      <c r="H439" s="92" t="str">
        <f>'Final data_for_R_analysis_Dryse'!K585</f>
        <v>G384</v>
      </c>
      <c r="I439" t="str">
        <f>'Final data_for_R_analysis_Dryse'!K805</f>
        <v>R295</v>
      </c>
      <c r="J439">
        <f>IFERROR(INDEX('Green_rooibos initial weight'!$C$5:$C$2000,MATCH(H439, 'Green_rooibos initial weight'!$A$5:$A$2000,0)),"")</f>
        <v>2.0499999999999998</v>
      </c>
      <c r="K439">
        <f>IFERROR(INDEX('Green_rooibos initial weight'!$C$5:$C$2000,MATCH(I439, 'Green_rooibos initial weight'!$A$5:$A$2000,0)),"")</f>
        <v>2.194</v>
      </c>
      <c r="L439" s="194">
        <f t="shared" si="40"/>
        <v>1.8001999999999998</v>
      </c>
      <c r="M439" s="237">
        <f>AVERAGE(Ashed_controlls!$K$1:$K$11)</f>
        <v>5.5147656768714146</v>
      </c>
      <c r="N439" s="194">
        <f>IFERROR(IF(K439&gt;0,(K439*$F$32-($F$29+$F$30)),""),"")</f>
        <v>1.9441999999999999</v>
      </c>
      <c r="O439" s="383">
        <f>IF('Dry_Litterbag Placem_Collection'!G146="","",'Dry_Litterbag Placem_Collection'!G146)</f>
        <v>43008</v>
      </c>
      <c r="P439" s="194">
        <f>IFERROR(INDEX('Both teabags AfterDry'!$D$3:$D$2000,MATCH(H439,'Both teabags AfterDry'!$A$3:$A$2000,0)),"")</f>
        <v>0.73660000000000003</v>
      </c>
      <c r="Q439" s="194">
        <f>IFERROR(INDEX('Both teabags AfterDry'!$D$3:$D$2000,MATCH(I439,'Both teabags AfterDry'!$A$3:$A$2000,0)),"")</f>
        <v>1.7096</v>
      </c>
      <c r="R439" s="194">
        <f t="shared" si="41"/>
        <v>0.58600000000000008</v>
      </c>
      <c r="S439" s="194">
        <f t="shared" si="41"/>
        <v>1.5589999999999999</v>
      </c>
      <c r="T439" s="194">
        <f t="shared" si="42"/>
        <v>0.6744806132651926</v>
      </c>
      <c r="U439" s="194">
        <f t="shared" si="43"/>
        <v>0.44217731415960371</v>
      </c>
      <c r="V439" s="194">
        <f t="shared" si="44"/>
        <v>0.8018722353667318</v>
      </c>
      <c r="W439">
        <f t="shared" si="45"/>
        <v>69</v>
      </c>
      <c r="X439" s="194">
        <f t="shared" si="46"/>
        <v>0.19895414101521069</v>
      </c>
      <c r="Y439" s="194">
        <f t="shared" si="47"/>
        <v>8.6136186722333523E-3</v>
      </c>
      <c r="Z439" s="252" t="str">
        <f>IF(ISNUMBER(SEARCH("C", 'Dry_Litterbag Placem_Collection'!$V146)),"YES","NO")</f>
        <v>NO</v>
      </c>
      <c r="AA439" s="252" t="str">
        <f>IF(ISNUMBER(SEARCH("H", 'Dry_Litterbag Placem_Collection'!$V146)),"YES","NO")</f>
        <v>NO</v>
      </c>
      <c r="AB439" s="252" t="str">
        <f>IF(ISNUMBER(SEARCH("R", 'Dry_Litterbag Placem_Collection'!$V146)),"YES","NO")</f>
        <v>NO</v>
      </c>
      <c r="AC439" s="252" t="str">
        <f>IF(ISNUMBER(SEARCH("C", 'Dry_Litterbag Placem_Collection'!$U146)),"YES","NO")</f>
        <v>NO</v>
      </c>
      <c r="AD439" s="252" t="str">
        <f>IF(ISNUMBER(SEARCH("H", 'Dry_Litterbag Placem_Collection'!$U146)),"YES","NO")</f>
        <v>NO</v>
      </c>
      <c r="AE439" s="252" t="str">
        <f>IF(ISNUMBER(SEARCH("R", 'Dry_Litterbag Placem_Collection'!$U146)),"YES","NO")</f>
        <v>NO</v>
      </c>
    </row>
    <row r="440" spans="2:31">
      <c r="B440" t="str">
        <f>'Final data_for_R_analysis_Dryse'!A586</f>
        <v>Dry</v>
      </c>
      <c r="C440" s="260">
        <f>'Final data_for_R_analysis_Dryse'!B586</f>
        <v>145</v>
      </c>
      <c r="D440" t="s">
        <v>3823</v>
      </c>
      <c r="E440" t="s">
        <v>25</v>
      </c>
      <c r="F440" s="381">
        <v>1</v>
      </c>
      <c r="G440" s="383">
        <f>IF('Dry_Litterbag Placem_Collection'!E147="","",'Dry_Litterbag Placem_Collection'!E147)</f>
        <v>42939</v>
      </c>
      <c r="H440" s="92" t="str">
        <f>'Final data_for_R_analysis_Dryse'!K586</f>
        <v>G72</v>
      </c>
      <c r="I440" t="str">
        <f>'Final data_for_R_analysis_Dryse'!K806</f>
        <v>R609</v>
      </c>
      <c r="J440">
        <f>IFERROR(INDEX('Green_rooibos initial weight'!$C$5:$C$2000,MATCH(H440, 'Green_rooibos initial weight'!$A$5:$A$2000,0)),"")</f>
        <v>2.0190000000000001</v>
      </c>
      <c r="K440">
        <f>IFERROR(INDEX('Green_rooibos initial weight'!$C$5:$C$2000,MATCH(I440, 'Green_rooibos initial weight'!$A$5:$A$2000,0)),"")</f>
        <v>2.165</v>
      </c>
      <c r="L440" s="194">
        <f t="shared" si="40"/>
        <v>1.7692000000000001</v>
      </c>
      <c r="M440" s="237">
        <f>AVERAGE(Ashed_controlls!$K$1:$K$11)</f>
        <v>5.5147656768714146</v>
      </c>
      <c r="N440" s="194">
        <f>IFERROR(IF(K440&gt;0,(K440*$F$32-($F$29+$F$30)),""),"")</f>
        <v>1.9152</v>
      </c>
      <c r="O440" s="383">
        <f>IF('Dry_Litterbag Placem_Collection'!G147="","",'Dry_Litterbag Placem_Collection'!G147)</f>
        <v>43010</v>
      </c>
      <c r="P440" s="194">
        <f>IFERROR(INDEX('Both teabags AfterDry'!$D$3:$D$2000,MATCH(H440,'Both teabags AfterDry'!$A$3:$A$2000,0)),"")</f>
        <v>1.7161999999999999</v>
      </c>
      <c r="Q440" s="194">
        <f>IFERROR(INDEX('Both teabags AfterDry'!$D$3:$D$2000,MATCH(I440,'Both teabags AfterDry'!$A$3:$A$2000,0)),"")</f>
        <v>1.9753000000000001</v>
      </c>
      <c r="R440" s="194">
        <f t="shared" si="41"/>
        <v>1.5655999999999999</v>
      </c>
      <c r="S440" s="194">
        <f t="shared" si="41"/>
        <v>1.8247</v>
      </c>
      <c r="T440" s="194">
        <f t="shared" si="42"/>
        <v>0.11508026226543078</v>
      </c>
      <c r="U440" s="194">
        <f t="shared" si="43"/>
        <v>7.544454248280022E-2</v>
      </c>
      <c r="V440" s="194">
        <f t="shared" si="44"/>
        <v>0.95274644945697573</v>
      </c>
      <c r="W440">
        <f t="shared" si="45"/>
        <v>71</v>
      </c>
      <c r="X440" s="194">
        <f t="shared" si="46"/>
        <v>0.86332510419782571</v>
      </c>
      <c r="Y440" s="194">
        <f t="shared" si="47"/>
        <v>1.386472334570287E-2</v>
      </c>
      <c r="Z440" s="252" t="str">
        <f>IF(ISNUMBER(SEARCH("C", 'Dry_Litterbag Placem_Collection'!$V147)),"YES","NO")</f>
        <v>NO</v>
      </c>
      <c r="AA440" s="252" t="str">
        <f>IF(ISNUMBER(SEARCH("H", 'Dry_Litterbag Placem_Collection'!$V147)),"YES","NO")</f>
        <v>NO</v>
      </c>
      <c r="AB440" s="252" t="str">
        <f>IF(ISNUMBER(SEARCH("R", 'Dry_Litterbag Placem_Collection'!$V147)),"YES","NO")</f>
        <v>NO</v>
      </c>
      <c r="AC440" s="252" t="str">
        <f>IF(ISNUMBER(SEARCH("C", 'Dry_Litterbag Placem_Collection'!$U147)),"YES","NO")</f>
        <v>NO</v>
      </c>
      <c r="AD440" s="252" t="str">
        <f>IF(ISNUMBER(SEARCH("H", 'Dry_Litterbag Placem_Collection'!$U147)),"YES","NO")</f>
        <v>NO</v>
      </c>
      <c r="AE440" s="252" t="str">
        <f>IF(ISNUMBER(SEARCH("R", 'Dry_Litterbag Placem_Collection'!$U147)),"YES","NO")</f>
        <v>NO</v>
      </c>
    </row>
    <row r="441" spans="2:31">
      <c r="B441" t="str">
        <f>'Final data_for_R_analysis_Dryse'!A587</f>
        <v>Dry</v>
      </c>
      <c r="C441" s="260">
        <f>'Final data_for_R_analysis_Dryse'!B587</f>
        <v>146</v>
      </c>
      <c r="D441" t="s">
        <v>3823</v>
      </c>
      <c r="E441" t="s">
        <v>25</v>
      </c>
      <c r="F441" s="381">
        <v>2</v>
      </c>
      <c r="G441" s="383">
        <f>IF('Dry_Litterbag Placem_Collection'!E148="","",'Dry_Litterbag Placem_Collection'!E148)</f>
        <v>42939</v>
      </c>
      <c r="H441" s="92" t="str">
        <f>'Final data_for_R_analysis_Dryse'!K587</f>
        <v>G336</v>
      </c>
      <c r="I441" t="str">
        <f>'Final data_for_R_analysis_Dryse'!K807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40"/>
        <v>1.7452000000000001</v>
      </c>
      <c r="M441" s="237">
        <f>AVERAGE(Ashed_controlls!$K$1:$K$11)</f>
        <v>5.5147656768714146</v>
      </c>
      <c r="N441" s="194">
        <f>IFERROR(IF(K441&gt;0,(K441*$F$32-($F$29+$F$30)),""),"")</f>
        <v>1.9872000000000001</v>
      </c>
      <c r="O441" s="383">
        <f>IF('Dry_Litterbag Placem_Collection'!G148="","",'Dry_Litterbag Placem_Collection'!G148)</f>
        <v>43010</v>
      </c>
      <c r="P441" s="194">
        <f>IFERROR(INDEX('Both teabags AfterDry'!$D$3:$D$2000,MATCH(H441,'Both teabags AfterDry'!$A$3:$A$2000,0)),"")</f>
        <v>1.6466000000000001</v>
      </c>
      <c r="Q441" s="194">
        <f>IFERROR(INDEX('Both teabags AfterDry'!$D$3:$D$2000,MATCH(I441,'Both teabags AfterDry'!$A$3:$A$2000,0)),"")</f>
        <v>2.0505</v>
      </c>
      <c r="R441" s="194">
        <f t="shared" si="41"/>
        <v>1.496</v>
      </c>
      <c r="S441" s="194">
        <f t="shared" si="41"/>
        <v>1.8998999999999999</v>
      </c>
      <c r="T441" s="194">
        <f t="shared" si="42"/>
        <v>0.14279165711666286</v>
      </c>
      <c r="U441" s="194">
        <f t="shared" si="43"/>
        <v>9.3611632694059255E-2</v>
      </c>
      <c r="V441" s="194">
        <f t="shared" si="44"/>
        <v>0.95606884057971009</v>
      </c>
      <c r="W441">
        <f t="shared" si="45"/>
        <v>71</v>
      </c>
      <c r="X441" s="194">
        <f t="shared" si="46"/>
        <v>0.83041370888757382</v>
      </c>
      <c r="Y441" s="194">
        <f t="shared" si="47"/>
        <v>8.9231365162854882E-3</v>
      </c>
      <c r="Z441" s="252" t="str">
        <f>IF(ISNUMBER(SEARCH("C", 'Dry_Litterbag Placem_Collection'!$V148)),"YES","NO")</f>
        <v>NO</v>
      </c>
      <c r="AA441" s="252" t="str">
        <f>IF(ISNUMBER(SEARCH("H", 'Dry_Litterbag Placem_Collection'!$V148)),"YES","NO")</f>
        <v>NO</v>
      </c>
      <c r="AB441" s="252" t="str">
        <f>IF(ISNUMBER(SEARCH("R", 'Dry_Litterbag Placem_Collection'!$V148)),"YES","NO")</f>
        <v>NO</v>
      </c>
      <c r="AC441" s="252" t="str">
        <f>IF(ISNUMBER(SEARCH("C", 'Dry_Litterbag Placem_Collection'!$U148)),"YES","NO")</f>
        <v>NO</v>
      </c>
      <c r="AD441" s="252" t="str">
        <f>IF(ISNUMBER(SEARCH("H", 'Dry_Litterbag Placem_Collection'!$U148)),"YES","NO")</f>
        <v>NO</v>
      </c>
      <c r="AE441" s="252" t="str">
        <f>IF(ISNUMBER(SEARCH("R", 'Dry_Litterbag Placem_Collection'!$U148)),"YES","NO")</f>
        <v>NO</v>
      </c>
    </row>
    <row r="442" spans="2:31">
      <c r="B442" t="str">
        <f>'Final data_for_R_analysis_Dryse'!A588</f>
        <v>Dry</v>
      </c>
      <c r="C442" s="260">
        <f>'Final data_for_R_analysis_Dryse'!B588</f>
        <v>147</v>
      </c>
      <c r="D442" t="s">
        <v>3823</v>
      </c>
      <c r="E442" t="s">
        <v>25</v>
      </c>
      <c r="F442" s="381">
        <v>3</v>
      </c>
      <c r="G442" s="383">
        <f>IF('Dry_Litterbag Placem_Collection'!E149="","",'Dry_Litterbag Placem_Collection'!E149)</f>
        <v>42939</v>
      </c>
      <c r="H442" s="92" t="str">
        <f>'Final data_for_R_analysis_Dryse'!K588</f>
        <v>G303</v>
      </c>
      <c r="I442" t="str">
        <f>'Final data_for_R_analysis_Dryse'!K808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40"/>
        <v>1.7352000000000001</v>
      </c>
      <c r="M442" s="237">
        <f>AVERAGE(Ashed_controlls!$K$1:$K$11)</f>
        <v>5.5147656768714146</v>
      </c>
      <c r="N442" s="194">
        <f>IFERROR(IF(K442&gt;0,(K442*$F$32-($F$29+$F$30)),""),"")</f>
        <v>1.9182000000000001</v>
      </c>
      <c r="O442" s="383">
        <f>IF('Dry_Litterbag Placem_Collection'!G149="","",'Dry_Litterbag Placem_Collection'!G149)</f>
        <v>43010</v>
      </c>
      <c r="P442" s="194">
        <f>IFERROR(INDEX('Both teabags AfterDry'!$D$3:$D$2000,MATCH(H442,'Both teabags AfterDry'!$A$3:$A$2000,0)),"")</f>
        <v>1.6654</v>
      </c>
      <c r="Q442" s="194">
        <f>IFERROR(INDEX('Both teabags AfterDry'!$D$3:$D$2000,MATCH(I442,'Both teabags AfterDry'!$A$3:$A$2000,0)),"")</f>
        <v>1.9182999999999999</v>
      </c>
      <c r="R442" s="194">
        <f t="shared" si="41"/>
        <v>1.5147999999999999</v>
      </c>
      <c r="S442" s="194">
        <f t="shared" si="41"/>
        <v>1.7676999999999998</v>
      </c>
      <c r="T442" s="194">
        <f t="shared" si="42"/>
        <v>0.12701705855232837</v>
      </c>
      <c r="U442" s="194">
        <f t="shared" si="43"/>
        <v>8.3270090642381542E-2</v>
      </c>
      <c r="V442" s="194">
        <f t="shared" si="44"/>
        <v>0.92154102804712734</v>
      </c>
      <c r="W442">
        <f t="shared" si="45"/>
        <v>71</v>
      </c>
      <c r="X442" s="194">
        <f t="shared" si="46"/>
        <v>0.84914838651742475</v>
      </c>
      <c r="Y442" s="194">
        <f t="shared" si="47"/>
        <v>4.015718022430155E-2</v>
      </c>
      <c r="Z442" s="252" t="str">
        <f>IF(ISNUMBER(SEARCH("C", 'Dry_Litterbag Placem_Collection'!$V149)),"YES","NO")</f>
        <v>NO</v>
      </c>
      <c r="AA442" s="252" t="str">
        <f>IF(ISNUMBER(SEARCH("H", 'Dry_Litterbag Placem_Collection'!$V149)),"YES","NO")</f>
        <v>NO</v>
      </c>
      <c r="AB442" s="252" t="str">
        <f>IF(ISNUMBER(SEARCH("R", 'Dry_Litterbag Placem_Collection'!$V149)),"YES","NO")</f>
        <v>NO</v>
      </c>
      <c r="AC442" s="252" t="str">
        <f>IF(ISNUMBER(SEARCH("C", 'Dry_Litterbag Placem_Collection'!$U149)),"YES","NO")</f>
        <v>NO</v>
      </c>
      <c r="AD442" s="252" t="str">
        <f>IF(ISNUMBER(SEARCH("H", 'Dry_Litterbag Placem_Collection'!$U149)),"YES","NO")</f>
        <v>NO</v>
      </c>
      <c r="AE442" s="252" t="str">
        <f>IF(ISNUMBER(SEARCH("R", 'Dry_Litterbag Placem_Collection'!$U149)),"YES","NO")</f>
        <v>NO</v>
      </c>
    </row>
    <row r="443" spans="2:31">
      <c r="B443" t="str">
        <f>'Final data_for_R_analysis_Dryse'!A589</f>
        <v>Dry</v>
      </c>
      <c r="C443" s="260">
        <f>'Final data_for_R_analysis_Dryse'!B589</f>
        <v>148</v>
      </c>
      <c r="D443" t="s">
        <v>3823</v>
      </c>
      <c r="E443" t="s">
        <v>25</v>
      </c>
      <c r="F443" s="382">
        <v>4</v>
      </c>
      <c r="G443" s="383">
        <f>IF('Dry_Litterbag Placem_Collection'!E150="","",'Dry_Litterbag Placem_Collection'!E150)</f>
        <v>42939</v>
      </c>
      <c r="H443" s="92" t="str">
        <f>'Final data_for_R_analysis_Dryse'!K589</f>
        <v>G161</v>
      </c>
      <c r="I443" t="str">
        <f>'Final data_for_R_analysis_Dryse'!K809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40"/>
        <v>1.8481999999999998</v>
      </c>
      <c r="M443" s="237">
        <f>AVERAGE(Ashed_controlls!$K$1:$K$11)</f>
        <v>5.5147656768714146</v>
      </c>
      <c r="N443" s="194">
        <f>IFERROR(IF(K443&gt;0,(K443*$F$32-($F$29+$F$30)),""),"")</f>
        <v>1.9262000000000001</v>
      </c>
      <c r="O443" s="383">
        <f>IF('Dry_Litterbag Placem_Collection'!G150="","",'Dry_Litterbag Placem_Collection'!G150)</f>
        <v>43010</v>
      </c>
      <c r="P443" s="194">
        <f>IFERROR(INDEX('Both teabags AfterDry'!$D$3:$D$2000,MATCH(H443,'Both teabags AfterDry'!$A$3:$A$2000,0)),"")</f>
        <v>1.7174</v>
      </c>
      <c r="Q443" s="194">
        <f>IFERROR(INDEX('Both teabags AfterDry'!$D$3:$D$2000,MATCH(I443,'Both teabags AfterDry'!$A$3:$A$2000,0)),"")</f>
        <v>1.9601999999999999</v>
      </c>
      <c r="R443" s="194">
        <f t="shared" si="41"/>
        <v>1.5668</v>
      </c>
      <c r="S443" s="194">
        <f t="shared" si="41"/>
        <v>1.8095999999999999</v>
      </c>
      <c r="T443" s="194">
        <f t="shared" si="42"/>
        <v>0.15225624932366622</v>
      </c>
      <c r="U443" s="194">
        <f t="shared" si="43"/>
        <v>9.981644848772421E-2</v>
      </c>
      <c r="V443" s="194">
        <f t="shared" si="44"/>
        <v>0.93946630671789</v>
      </c>
      <c r="W443">
        <f t="shared" si="45"/>
        <v>71</v>
      </c>
      <c r="X443" s="194">
        <f t="shared" si="46"/>
        <v>0.81917310056571702</v>
      </c>
      <c r="Y443" s="194">
        <f t="shared" si="47"/>
        <v>1.3134469866306408E-2</v>
      </c>
      <c r="Z443" s="252" t="str">
        <f>IF(ISNUMBER(SEARCH("C", 'Dry_Litterbag Placem_Collection'!$V150)),"YES","NO")</f>
        <v>NO</v>
      </c>
      <c r="AA443" s="252" t="str">
        <f>IF(ISNUMBER(SEARCH("H", 'Dry_Litterbag Placem_Collection'!$V150)),"YES","NO")</f>
        <v>NO</v>
      </c>
      <c r="AB443" s="252" t="str">
        <f>IF(ISNUMBER(SEARCH("R", 'Dry_Litterbag Placem_Collection'!$V150)),"YES","NO")</f>
        <v>NO</v>
      </c>
      <c r="AC443" s="252" t="str">
        <f>IF(ISNUMBER(SEARCH("C", 'Dry_Litterbag Placem_Collection'!$U150)),"YES","NO")</f>
        <v>YES</v>
      </c>
      <c r="AD443" s="252" t="str">
        <f>IF(ISNUMBER(SEARCH("H", 'Dry_Litterbag Placem_Collection'!$U150)),"YES","NO")</f>
        <v>NO</v>
      </c>
      <c r="AE443" s="252" t="str">
        <f>IF(ISNUMBER(SEARCH("R", 'Dry_Litterbag Placem_Collection'!$U150)),"YES","NO")</f>
        <v>NO</v>
      </c>
    </row>
    <row r="444" spans="2:31">
      <c r="B444" t="str">
        <f>'Final data_for_R_analysis_Dryse'!A590</f>
        <v>Dry</v>
      </c>
      <c r="C444" s="260">
        <f>'Final data_for_R_analysis_Dryse'!B590</f>
        <v>149</v>
      </c>
      <c r="D444" t="s">
        <v>3823</v>
      </c>
      <c r="E444" t="s">
        <v>25</v>
      </c>
      <c r="F444" s="382">
        <v>5</v>
      </c>
      <c r="G444" s="383">
        <f>IF('Dry_Litterbag Placem_Collection'!E151="","",'Dry_Litterbag Placem_Collection'!E151)</f>
        <v>42939</v>
      </c>
      <c r="H444" s="92" t="str">
        <f>'Final data_for_R_analysis_Dryse'!K590</f>
        <v>G464</v>
      </c>
      <c r="I444" t="str">
        <f>'Final data_for_R_analysis_Dryse'!K810</f>
        <v>R664</v>
      </c>
      <c r="J444">
        <f>IFERROR(INDEX('Green_rooibos initial weight'!$C$5:$C$2000,MATCH(H444, 'Green_rooibos initial weight'!$A$5:$A$2000,0)),"")</f>
        <v>1.964</v>
      </c>
      <c r="K444">
        <f>IFERROR(INDEX('Green_rooibos initial weight'!$C$5:$C$2000,MATCH(I444, 'Green_rooibos initial weight'!$A$5:$A$2000,0)),"")</f>
        <v>2.09</v>
      </c>
      <c r="L444" s="194">
        <f t="shared" si="40"/>
        <v>1.7141999999999999</v>
      </c>
      <c r="M444" s="237">
        <f>AVERAGE(Ashed_controlls!$K$1:$K$11)</f>
        <v>5.5147656768714146</v>
      </c>
      <c r="N444" s="194">
        <f>IFERROR(IF(K444&gt;0,(K444*$F$32-($F$29+$F$30)),""),"")</f>
        <v>1.8401999999999998</v>
      </c>
      <c r="O444" s="383">
        <f>IF('Dry_Litterbag Placem_Collection'!G151="","",'Dry_Litterbag Placem_Collection'!G151)</f>
        <v>43010</v>
      </c>
      <c r="P444" s="194">
        <f>IFERROR(INDEX('Both teabags AfterDry'!$D$3:$D$2000,MATCH(H444,'Both teabags AfterDry'!$A$3:$A$2000,0)),"")</f>
        <v>1.571</v>
      </c>
      <c r="Q444" s="194">
        <f>IFERROR(INDEX('Both teabags AfterDry'!$D$3:$D$2000,MATCH(I444,'Both teabags AfterDry'!$A$3:$A$2000,0)),"")</f>
        <v>1.8895999999999999</v>
      </c>
      <c r="R444" s="194">
        <f t="shared" si="41"/>
        <v>1.4203999999999999</v>
      </c>
      <c r="S444" s="194">
        <f t="shared" si="41"/>
        <v>1.7389999999999999</v>
      </c>
      <c r="T444" s="194">
        <f t="shared" si="42"/>
        <v>0.17139190292847983</v>
      </c>
      <c r="U444" s="194">
        <f t="shared" si="43"/>
        <v>0.1123614375493122</v>
      </c>
      <c r="V444" s="194">
        <f t="shared" si="44"/>
        <v>0.94500597761112926</v>
      </c>
      <c r="W444">
        <f t="shared" si="45"/>
        <v>71</v>
      </c>
      <c r="X444" s="194">
        <f t="shared" si="46"/>
        <v>0.7964466711063185</v>
      </c>
      <c r="Y444" s="194">
        <f t="shared" si="47"/>
        <v>9.4682300604145755E-3</v>
      </c>
      <c r="Z444" s="252" t="str">
        <f>IF(ISNUMBER(SEARCH("C", 'Dry_Litterbag Placem_Collection'!$V151)),"YES","NO")</f>
        <v>NO</v>
      </c>
      <c r="AA444" s="252" t="str">
        <f>IF(ISNUMBER(SEARCH("H", 'Dry_Litterbag Placem_Collection'!$V151)),"YES","NO")</f>
        <v>NO</v>
      </c>
      <c r="AB444" s="252" t="str">
        <f>IF(ISNUMBER(SEARCH("R", 'Dry_Litterbag Placem_Collection'!$V151)),"YES","NO")</f>
        <v>NO</v>
      </c>
      <c r="AC444" s="252" t="str">
        <f>IF(ISNUMBER(SEARCH("C", 'Dry_Litterbag Placem_Collection'!$U151)),"YES","NO")</f>
        <v>NO</v>
      </c>
      <c r="AD444" s="252" t="str">
        <f>IF(ISNUMBER(SEARCH("H", 'Dry_Litterbag Placem_Collection'!$U151)),"YES","NO")</f>
        <v>NO</v>
      </c>
      <c r="AE444" s="252" t="str">
        <f>IF(ISNUMBER(SEARCH("R", 'Dry_Litterbag Placem_Collection'!$U151)),"YES","NO")</f>
        <v>NO</v>
      </c>
    </row>
    <row r="445" spans="2:31">
      <c r="B445" t="str">
        <f>'Final data_for_R_analysis_Dryse'!A591</f>
        <v>Dry</v>
      </c>
      <c r="C445" s="260">
        <f>'Final data_for_R_analysis_Dryse'!B591</f>
        <v>150</v>
      </c>
      <c r="D445" t="s">
        <v>3823</v>
      </c>
      <c r="E445" t="s">
        <v>25</v>
      </c>
      <c r="F445" s="382">
        <v>6</v>
      </c>
      <c r="G445" s="383">
        <f>IF('Dry_Litterbag Placem_Collection'!E152="","",'Dry_Litterbag Placem_Collection'!E152)</f>
        <v>42939</v>
      </c>
      <c r="H445" s="92" t="str">
        <f>'Final data_for_R_analysis_Dryse'!K591</f>
        <v>G843</v>
      </c>
      <c r="I445" t="str">
        <f>'Final data_for_R_analysis_Dryse'!K811</f>
        <v>R316</v>
      </c>
      <c r="J445">
        <f>IFERROR(INDEX('Green_rooibos initial weight'!$C$5:$C$2000,MATCH(H445, 'Green_rooibos initial weight'!$A$5:$A$2000,0)),"")</f>
        <v>1.964</v>
      </c>
      <c r="K445">
        <f>IFERROR(INDEX('Green_rooibos initial weight'!$C$5:$C$2000,MATCH(I445, 'Green_rooibos initial weight'!$A$5:$A$2000,0)),"")</f>
        <v>2.1779999999999999</v>
      </c>
      <c r="L445" s="194">
        <f t="shared" si="40"/>
        <v>1.7141999999999999</v>
      </c>
      <c r="M445" s="237">
        <f>AVERAGE(Ashed_controlls!$K$1:$K$11)</f>
        <v>5.5147656768714146</v>
      </c>
      <c r="N445" s="194">
        <f>IFERROR(IF(K445&gt;0,(K445*$F$32-($F$29+$F$30)),""),"")</f>
        <v>1.9281999999999999</v>
      </c>
      <c r="O445" s="383">
        <f>IF('Dry_Litterbag Placem_Collection'!G152="","",'Dry_Litterbag Placem_Collection'!G152)</f>
        <v>43010</v>
      </c>
      <c r="P445" s="194" t="str">
        <f>IFERROR(INDEX('Both teabags AfterDry'!$D$3:$D$2000,MATCH(H445,'Both teabags AfterDry'!$A$3:$A$2000,0)),"")</f>
        <v/>
      </c>
      <c r="Q445" s="194" t="str">
        <f>IFERROR(INDEX('Both teabags AfterDry'!$D$3:$D$2000,MATCH(I445,'Both teabags AfterDry'!$A$3:$A$2000,0)),"")</f>
        <v/>
      </c>
      <c r="R445" s="194" t="str">
        <f t="shared" si="41"/>
        <v/>
      </c>
      <c r="S445" s="194" t="str">
        <f t="shared" si="41"/>
        <v/>
      </c>
      <c r="T445" s="194" t="str">
        <f t="shared" si="42"/>
        <v/>
      </c>
      <c r="U445" s="194" t="str">
        <f t="shared" si="43"/>
        <v/>
      </c>
      <c r="V445" s="194" t="str">
        <f t="shared" si="44"/>
        <v/>
      </c>
      <c r="W445">
        <f t="shared" si="45"/>
        <v>71</v>
      </c>
      <c r="X445" s="194" t="str">
        <f t="shared" si="46"/>
        <v/>
      </c>
      <c r="Y445" s="194" t="str">
        <f t="shared" si="47"/>
        <v/>
      </c>
      <c r="Z445" s="252" t="str">
        <f>IF(ISNUMBER(SEARCH("C", 'Dry_Litterbag Placem_Collection'!$V152)),"YES","NO")</f>
        <v>NO</v>
      </c>
      <c r="AA445" s="252" t="str">
        <f>IF(ISNUMBER(SEARCH("H", 'Dry_Litterbag Placem_Collection'!$V152)),"YES","NO")</f>
        <v>NO</v>
      </c>
      <c r="AB445" s="252" t="str">
        <f>IF(ISNUMBER(SEARCH("R", 'Dry_Litterbag Placem_Collection'!$V152)),"YES","NO")</f>
        <v>NO</v>
      </c>
      <c r="AC445" s="252" t="str">
        <f>IF(ISNUMBER(SEARCH("C", 'Dry_Litterbag Placem_Collection'!$U152)),"YES","NO")</f>
        <v>NO</v>
      </c>
      <c r="AD445" s="252" t="str">
        <f>IF(ISNUMBER(SEARCH("H", 'Dry_Litterbag Placem_Collection'!$U152)),"YES","NO")</f>
        <v>NO</v>
      </c>
      <c r="AE445" s="252" t="str">
        <f>IF(ISNUMBER(SEARCH("R", 'Dry_Litterbag Placem_Collection'!$U152)),"YES","NO")</f>
        <v>NO</v>
      </c>
    </row>
    <row r="446" spans="2:31">
      <c r="B446" t="str">
        <f>'Final data_for_R_analysis_Dryse'!A592</f>
        <v>Dry</v>
      </c>
      <c r="C446" s="260">
        <f>'Final data_for_R_analysis_Dryse'!B592</f>
        <v>151</v>
      </c>
      <c r="D446" t="s">
        <v>3823</v>
      </c>
      <c r="E446" t="s">
        <v>25</v>
      </c>
      <c r="F446" s="382">
        <v>7</v>
      </c>
      <c r="G446" s="383" t="str">
        <f>IF('Dry_Litterbag Placem_Collection'!E153="","",'Dry_Litterbag Placem_Collection'!E153)</f>
        <v/>
      </c>
      <c r="H446" s="92" t="str">
        <f>'Final data_for_R_analysis_Dryse'!K592</f>
        <v/>
      </c>
      <c r="I446" t="str">
        <f>'Final data_for_R_analysis_Dryse'!K812</f>
        <v/>
      </c>
      <c r="J446" t="str">
        <f>IFERROR(INDEX('Green_rooibos initial weight'!$C$5:$C$2000,MATCH(H446, 'Green_rooibos initial weight'!$A$5:$A$2000,0)),"")</f>
        <v/>
      </c>
      <c r="K446" t="str">
        <f>IFERROR(INDEX('Green_rooibos initial weight'!$C$5:$C$2000,MATCH(I446, 'Green_rooibos initial weight'!$A$5:$A$2000,0)),"")</f>
        <v/>
      </c>
      <c r="L446" s="194" t="str">
        <f t="shared" si="40"/>
        <v/>
      </c>
      <c r="M446" s="237">
        <f>AVERAGE(Ashed_controlls!$K$1:$K$11)</f>
        <v>5.5147656768714146</v>
      </c>
      <c r="N446" s="194" t="str">
        <f>IFERROR(IF(K446&gt;0,(K446*$F$32-($F$29+$F$30)),""),"")</f>
        <v/>
      </c>
      <c r="O446" s="383" t="str">
        <f>IF('Dry_Litterbag Placem_Collection'!G153="","",'Dry_Litterbag Placem_Collection'!G153)</f>
        <v/>
      </c>
      <c r="P446" s="194" t="str">
        <f>IFERROR(INDEX('Both teabags AfterDry'!$D$3:$D$2000,MATCH(H446,'Both teabags AfterDry'!$A$3:$A$2000,0)),"")</f>
        <v/>
      </c>
      <c r="Q446" s="194" t="str">
        <f>IFERROR(INDEX('Both teabags AfterDry'!$D$3:$D$2000,MATCH(I446,'Both teabags AfterDry'!$A$3:$A$2000,0)),"")</f>
        <v/>
      </c>
      <c r="R446" s="194" t="str">
        <f t="shared" si="41"/>
        <v/>
      </c>
      <c r="S446" s="194" t="str">
        <f t="shared" si="41"/>
        <v/>
      </c>
      <c r="T446" s="194" t="str">
        <f t="shared" si="42"/>
        <v/>
      </c>
      <c r="U446" s="194" t="str">
        <f t="shared" si="43"/>
        <v/>
      </c>
      <c r="V446" s="194" t="str">
        <f t="shared" si="44"/>
        <v/>
      </c>
      <c r="W446" t="str">
        <f t="shared" si="45"/>
        <v/>
      </c>
      <c r="X446" s="194" t="str">
        <f t="shared" si="46"/>
        <v/>
      </c>
      <c r="Y446" s="194" t="str">
        <f t="shared" si="47"/>
        <v/>
      </c>
      <c r="Z446" s="252" t="str">
        <f>IF(ISNUMBER(SEARCH("C", 'Dry_Litterbag Placem_Collection'!$V153)),"YES","NO")</f>
        <v>NO</v>
      </c>
      <c r="AA446" s="252" t="str">
        <f>IF(ISNUMBER(SEARCH("H", 'Dry_Litterbag Placem_Collection'!$V153)),"YES","NO")</f>
        <v>NO</v>
      </c>
      <c r="AB446" s="252" t="str">
        <f>IF(ISNUMBER(SEARCH("R", 'Dry_Litterbag Placem_Collection'!$V153)),"YES","NO")</f>
        <v>NO</v>
      </c>
      <c r="AC446" s="252" t="str">
        <f>IF(ISNUMBER(SEARCH("C", 'Dry_Litterbag Placem_Collection'!$U153)),"YES","NO")</f>
        <v>NO</v>
      </c>
      <c r="AD446" s="252" t="str">
        <f>IF(ISNUMBER(SEARCH("H", 'Dry_Litterbag Placem_Collection'!$U153)),"YES","NO")</f>
        <v>NO</v>
      </c>
      <c r="AE446" s="252" t="str">
        <f>IF(ISNUMBER(SEARCH("R", 'Dry_Litterbag Placem_Collection'!$U153)),"YES","NO")</f>
        <v>NO</v>
      </c>
    </row>
    <row r="447" spans="2:31">
      <c r="B447" t="str">
        <f>'Final data_for_R_analysis_Dryse'!A593</f>
        <v>Dry</v>
      </c>
      <c r="C447" s="260">
        <f>'Final data_for_R_analysis_Dryse'!B593</f>
        <v>152</v>
      </c>
      <c r="D447" t="s">
        <v>3823</v>
      </c>
      <c r="E447" t="s">
        <v>25</v>
      </c>
      <c r="F447" s="382">
        <v>8</v>
      </c>
      <c r="G447" s="383">
        <f>IF('Dry_Litterbag Placem_Collection'!E154="","",'Dry_Litterbag Placem_Collection'!E154)</f>
        <v>42939</v>
      </c>
      <c r="H447" s="92" t="str">
        <f>'Final data_for_R_analysis_Dryse'!K593</f>
        <v>G617</v>
      </c>
      <c r="I447" t="str">
        <f>'Final data_for_R_analysis_Dryse'!K813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40"/>
        <v>1.8382000000000001</v>
      </c>
      <c r="M447" s="237">
        <f>AVERAGE(Ashed_controlls!$K$1:$K$11)</f>
        <v>5.5147656768714146</v>
      </c>
      <c r="N447" s="194">
        <f>IFERROR(IF(K447&gt;0,(K447*$F$32-($F$29+$F$30)),""),"")</f>
        <v>1.8822000000000001</v>
      </c>
      <c r="O447" s="383">
        <f>IF('Dry_Litterbag Placem_Collection'!G154="","",'Dry_Litterbag Placem_Collection'!G154)</f>
        <v>43010</v>
      </c>
      <c r="P447" s="194">
        <f>IFERROR(INDEX('Both teabags AfterDry'!$D$3:$D$2000,MATCH(H447,'Both teabags AfterDry'!$A$3:$A$2000,0)),"")</f>
        <v>1.3632</v>
      </c>
      <c r="Q447" s="194">
        <f>IFERROR(INDEX('Both teabags AfterDry'!$D$3:$D$2000,MATCH(I447,'Both teabags AfterDry'!$A$3:$A$2000,0)),"")</f>
        <v>1.9524999999999999</v>
      </c>
      <c r="R447" s="194">
        <f t="shared" si="41"/>
        <v>1.2125999999999999</v>
      </c>
      <c r="S447" s="194">
        <f t="shared" si="41"/>
        <v>1.8018999999999998</v>
      </c>
      <c r="T447" s="194">
        <f t="shared" si="42"/>
        <v>0.34033293439234036</v>
      </c>
      <c r="U447" s="194">
        <f t="shared" si="43"/>
        <v>0.22311612801018038</v>
      </c>
      <c r="V447" s="194">
        <f t="shared" si="44"/>
        <v>0.95733715864413971</v>
      </c>
      <c r="W447">
        <f t="shared" si="45"/>
        <v>71</v>
      </c>
      <c r="X447" s="194">
        <f t="shared" si="46"/>
        <v>0.59580411592358629</v>
      </c>
      <c r="Y447" s="194">
        <f t="shared" si="47"/>
        <v>2.9890203485146674E-3</v>
      </c>
      <c r="Z447" s="252" t="str">
        <f>IF(ISNUMBER(SEARCH("C", 'Dry_Litterbag Placem_Collection'!$V154)),"YES","NO")</f>
        <v>NO</v>
      </c>
      <c r="AA447" s="252" t="str">
        <f>IF(ISNUMBER(SEARCH("H", 'Dry_Litterbag Placem_Collection'!$V154)),"YES","NO")</f>
        <v>NO</v>
      </c>
      <c r="AB447" s="252" t="str">
        <f>IF(ISNUMBER(SEARCH("R", 'Dry_Litterbag Placem_Collection'!$V154)),"YES","NO")</f>
        <v>NO</v>
      </c>
      <c r="AC447" s="252" t="str">
        <f>IF(ISNUMBER(SEARCH("C", 'Dry_Litterbag Placem_Collection'!$U154)),"YES","NO")</f>
        <v>NO</v>
      </c>
      <c r="AD447" s="252" t="str">
        <f>IF(ISNUMBER(SEARCH("H", 'Dry_Litterbag Placem_Collection'!$U154)),"YES","NO")</f>
        <v>NO</v>
      </c>
      <c r="AE447" s="252" t="str">
        <f>IF(ISNUMBER(SEARCH("R", 'Dry_Litterbag Placem_Collection'!$U154)),"YES","NO")</f>
        <v>NO</v>
      </c>
    </row>
    <row r="448" spans="2:31">
      <c r="B448" t="str">
        <f>'Final data_for_R_analysis_Dryse'!A594</f>
        <v>Dry</v>
      </c>
      <c r="C448" s="260">
        <f>'Final data_for_R_analysis_Dryse'!B594</f>
        <v>153</v>
      </c>
      <c r="D448" t="s">
        <v>3824</v>
      </c>
      <c r="E448" t="s">
        <v>25</v>
      </c>
      <c r="F448" s="381">
        <v>1</v>
      </c>
      <c r="G448" s="383">
        <f>IF('Dry_Litterbag Placem_Collection'!E155="","",'Dry_Litterbag Placem_Collection'!E155)</f>
        <v>42939</v>
      </c>
      <c r="H448" s="92" t="str">
        <f>'Final data_for_R_analysis_Dryse'!K594</f>
        <v>G19</v>
      </c>
      <c r="I448" t="str">
        <f>'Final data_for_R_analysis_Dryse'!K814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40"/>
        <v>1.8161999999999998</v>
      </c>
      <c r="M448" s="237">
        <f>AVERAGE(Ashed_controlls!$K$1:$K$11)</f>
        <v>5.5147656768714146</v>
      </c>
      <c r="N448" s="194">
        <f>IFERROR(IF(K448&gt;0,(K448*$F$32-($F$29+$F$30)),""),"")</f>
        <v>1.9851999999999999</v>
      </c>
      <c r="O448" s="383">
        <f>IF('Dry_Litterbag Placem_Collection'!G155="","",'Dry_Litterbag Placem_Collection'!G155)</f>
        <v>43010</v>
      </c>
      <c r="P448" s="194">
        <f>IFERROR(INDEX('Both teabags AfterDry'!$D$3:$D$2000,MATCH(H448,'Both teabags AfterDry'!$A$3:$A$2000,0)),"")</f>
        <v>1.0404</v>
      </c>
      <c r="Q448" s="194">
        <f>IFERROR(INDEX('Both teabags AfterDry'!$D$3:$D$2000,MATCH(I448,'Both teabags AfterDry'!$A$3:$A$2000,0)),"")</f>
        <v>2.0049000000000001</v>
      </c>
      <c r="R448" s="194">
        <f t="shared" si="41"/>
        <v>0.88979999999999992</v>
      </c>
      <c r="S448" s="194">
        <f t="shared" si="41"/>
        <v>1.8543000000000001</v>
      </c>
      <c r="T448" s="194">
        <f t="shared" si="42"/>
        <v>0.5100759828212752</v>
      </c>
      <c r="U448" s="194">
        <f t="shared" si="43"/>
        <v>0.33439660631513535</v>
      </c>
      <c r="V448" s="194">
        <f t="shared" si="44"/>
        <v>0.93406205923836394</v>
      </c>
      <c r="W448">
        <f t="shared" si="45"/>
        <v>71</v>
      </c>
      <c r="X448" s="194">
        <f t="shared" si="46"/>
        <v>0.394209046530552</v>
      </c>
      <c r="Y448" s="194">
        <f t="shared" si="47"/>
        <v>3.0933912151955337E-3</v>
      </c>
      <c r="Z448" s="252" t="str">
        <f>IF(ISNUMBER(SEARCH("C", 'Dry_Litterbag Placem_Collection'!$V155)),"YES","NO")</f>
        <v>NO</v>
      </c>
      <c r="AA448" s="252" t="str">
        <f>IF(ISNUMBER(SEARCH("H", 'Dry_Litterbag Placem_Collection'!$V155)),"YES","NO")</f>
        <v>NO</v>
      </c>
      <c r="AB448" s="252" t="str">
        <f>IF(ISNUMBER(SEARCH("R", 'Dry_Litterbag Placem_Collection'!$V155)),"YES","NO")</f>
        <v>NO</v>
      </c>
      <c r="AC448" s="252" t="str">
        <f>IF(ISNUMBER(SEARCH("C", 'Dry_Litterbag Placem_Collection'!$U155)),"YES","NO")</f>
        <v>NO</v>
      </c>
      <c r="AD448" s="252" t="str">
        <f>IF(ISNUMBER(SEARCH("H", 'Dry_Litterbag Placem_Collection'!$U155)),"YES","NO")</f>
        <v>NO</v>
      </c>
      <c r="AE448" s="252" t="str">
        <f>IF(ISNUMBER(SEARCH("R", 'Dry_Litterbag Placem_Collection'!$U155)),"YES","NO")</f>
        <v>NO</v>
      </c>
    </row>
    <row r="449" spans="2:31">
      <c r="B449" t="str">
        <f>'Final data_for_R_analysis_Dryse'!A595</f>
        <v>Dry</v>
      </c>
      <c r="C449" s="260">
        <f>'Final data_for_R_analysis_Dryse'!B595</f>
        <v>154</v>
      </c>
      <c r="D449" t="s">
        <v>3824</v>
      </c>
      <c r="E449" t="s">
        <v>25</v>
      </c>
      <c r="F449" s="381">
        <v>2</v>
      </c>
      <c r="G449" s="383">
        <f>IF('Dry_Litterbag Placem_Collection'!E156="","",'Dry_Litterbag Placem_Collection'!E156)</f>
        <v>42939</v>
      </c>
      <c r="H449" s="92" t="str">
        <f>'Final data_for_R_analysis_Dryse'!K595</f>
        <v>G275</v>
      </c>
      <c r="I449" t="str">
        <f>'Final data_for_R_analysis_Dryse'!K815</f>
        <v>R367</v>
      </c>
      <c r="J449">
        <f>IFERROR(INDEX('Green_rooibos initial weight'!$C$5:$C$2000,MATCH(H449, 'Green_rooibos initial weight'!$A$5:$A$2000,0)),"")</f>
        <v>2.097</v>
      </c>
      <c r="K449">
        <f>IFERROR(INDEX('Green_rooibos initial weight'!$C$5:$C$2000,MATCH(I449, 'Green_rooibos initial weight'!$A$5:$A$2000,0)),"")</f>
        <v>2.165</v>
      </c>
      <c r="L449" s="194">
        <f t="shared" si="40"/>
        <v>1.8472</v>
      </c>
      <c r="M449" s="237">
        <f>AVERAGE(Ashed_controlls!$K$1:$K$11)</f>
        <v>5.5147656768714146</v>
      </c>
      <c r="N449" s="194">
        <f>IFERROR(IF(K449&gt;0,(K449*$F$32-($F$29+$F$30)),""),"")</f>
        <v>1.9152</v>
      </c>
      <c r="O449" s="383">
        <f>IF('Dry_Litterbag Placem_Collection'!G156="","",'Dry_Litterbag Placem_Collection'!G156)</f>
        <v>43010</v>
      </c>
      <c r="P449" s="194">
        <f>IFERROR(INDEX('Both teabags AfterDry'!$D$3:$D$2000,MATCH(H449,'Both teabags AfterDry'!$A$3:$A$2000,0)),"")</f>
        <v>1.2171000000000001</v>
      </c>
      <c r="Q449" s="194">
        <f>IFERROR(INDEX('Both teabags AfterDry'!$D$3:$D$2000,MATCH(I449,'Both teabags AfterDry'!$A$3:$A$2000,0)),"")</f>
        <v>1.8496999999999999</v>
      </c>
      <c r="R449" s="194">
        <f t="shared" si="41"/>
        <v>1.0665</v>
      </c>
      <c r="S449" s="194">
        <f t="shared" si="41"/>
        <v>1.6990999999999998</v>
      </c>
      <c r="T449" s="194">
        <f t="shared" si="42"/>
        <v>0.42263967085318321</v>
      </c>
      <c r="U449" s="194">
        <f t="shared" si="43"/>
        <v>0.27707493861158811</v>
      </c>
      <c r="V449" s="194">
        <f t="shared" si="44"/>
        <v>0.88716583124477855</v>
      </c>
      <c r="W449">
        <f t="shared" si="45"/>
        <v>71</v>
      </c>
      <c r="X449" s="194">
        <f t="shared" si="46"/>
        <v>0.49805264744277522</v>
      </c>
      <c r="Y449" s="194">
        <f t="shared" si="47"/>
        <v>7.3655569861496529E-3</v>
      </c>
      <c r="Z449" s="252" t="str">
        <f>IF(ISNUMBER(SEARCH("C", 'Dry_Litterbag Placem_Collection'!$V156)),"YES","NO")</f>
        <v>NO</v>
      </c>
      <c r="AA449" s="252" t="str">
        <f>IF(ISNUMBER(SEARCH("H", 'Dry_Litterbag Placem_Collection'!$V156)),"YES","NO")</f>
        <v>NO</v>
      </c>
      <c r="AB449" s="252" t="str">
        <f>IF(ISNUMBER(SEARCH("R", 'Dry_Litterbag Placem_Collection'!$V156)),"YES","NO")</f>
        <v>NO</v>
      </c>
      <c r="AC449" s="252" t="str">
        <f>IF(ISNUMBER(SEARCH("C", 'Dry_Litterbag Placem_Collection'!$U156)),"YES","NO")</f>
        <v>NO</v>
      </c>
      <c r="AD449" s="252" t="str">
        <f>IF(ISNUMBER(SEARCH("H", 'Dry_Litterbag Placem_Collection'!$U156)),"YES","NO")</f>
        <v>NO</v>
      </c>
      <c r="AE449" s="252" t="str">
        <f>IF(ISNUMBER(SEARCH("R", 'Dry_Litterbag Placem_Collection'!$U156)),"YES","NO")</f>
        <v>NO</v>
      </c>
    </row>
    <row r="450" spans="2:31">
      <c r="B450" t="str">
        <f>'Final data_for_R_analysis_Dryse'!A596</f>
        <v>Dry</v>
      </c>
      <c r="C450" s="260">
        <f>'Final data_for_R_analysis_Dryse'!B596</f>
        <v>155</v>
      </c>
      <c r="D450" t="s">
        <v>3824</v>
      </c>
      <c r="E450" t="s">
        <v>25</v>
      </c>
      <c r="F450" s="381">
        <v>3</v>
      </c>
      <c r="G450" s="383">
        <f>IF('Dry_Litterbag Placem_Collection'!E157="","",'Dry_Litterbag Placem_Collection'!E157)</f>
        <v>42939</v>
      </c>
      <c r="H450" s="92" t="str">
        <f>'Final data_for_R_analysis_Dryse'!K596</f>
        <v>G289</v>
      </c>
      <c r="I450" t="str">
        <f>'Final data_for_R_analysis_Dryse'!K816</f>
        <v>R617</v>
      </c>
      <c r="J450">
        <f>IFERROR(INDEX('Green_rooibos initial weight'!$C$5:$C$2000,MATCH(H450, 'Green_rooibos initial weight'!$A$5:$A$2000,0)),"")</f>
        <v>2.093</v>
      </c>
      <c r="K450">
        <f>IFERROR(INDEX('Green_rooibos initial weight'!$C$5:$C$2000,MATCH(I450, 'Green_rooibos initial weight'!$A$5:$A$2000,0)),"")</f>
        <v>2.2010000000000001</v>
      </c>
      <c r="L450" s="194">
        <f t="shared" si="40"/>
        <v>1.8431999999999999</v>
      </c>
      <c r="M450" s="237">
        <f>AVERAGE(Ashed_controlls!$K$1:$K$11)</f>
        <v>5.5147656768714146</v>
      </c>
      <c r="N450" s="194">
        <f>IFERROR(IF(K450&gt;0,(K450*$F$32-($F$29+$F$30)),""),"")</f>
        <v>1.9512</v>
      </c>
      <c r="O450" s="383">
        <f>IF('Dry_Litterbag Placem_Collection'!G157="","",'Dry_Litterbag Placem_Collection'!G157)</f>
        <v>43010</v>
      </c>
      <c r="P450" s="194">
        <f>IFERROR(INDEX('Both teabags AfterDry'!$D$3:$D$2000,MATCH(H450,'Both teabags AfterDry'!$A$3:$A$2000,0)),"")</f>
        <v>1.2491000000000001</v>
      </c>
      <c r="Q450" s="194">
        <f>IFERROR(INDEX('Both teabags AfterDry'!$D$3:$D$2000,MATCH(I450,'Both teabags AfterDry'!$A$3:$A$2000,0)),"")</f>
        <v>1.8621000000000001</v>
      </c>
      <c r="R450" s="194">
        <f t="shared" si="41"/>
        <v>1.0985</v>
      </c>
      <c r="S450" s="194">
        <f t="shared" si="41"/>
        <v>1.7115</v>
      </c>
      <c r="T450" s="194">
        <f t="shared" si="42"/>
        <v>0.40402560763888884</v>
      </c>
      <c r="U450" s="194">
        <f t="shared" si="43"/>
        <v>0.26487189479414086</v>
      </c>
      <c r="V450" s="194">
        <f t="shared" si="44"/>
        <v>0.87715252152521528</v>
      </c>
      <c r="W450">
        <f t="shared" si="45"/>
        <v>71</v>
      </c>
      <c r="X450" s="194">
        <f t="shared" si="46"/>
        <v>0.52015961088017959</v>
      </c>
      <c r="Y450" s="194">
        <f t="shared" si="47"/>
        <v>8.7781310493058803E-3</v>
      </c>
      <c r="Z450" s="252" t="str">
        <f>IF(ISNUMBER(SEARCH("C", 'Dry_Litterbag Placem_Collection'!$V157)),"YES","NO")</f>
        <v>NO</v>
      </c>
      <c r="AA450" s="252" t="str">
        <f>IF(ISNUMBER(SEARCH("H", 'Dry_Litterbag Placem_Collection'!$V157)),"YES","NO")</f>
        <v>NO</v>
      </c>
      <c r="AB450" s="252" t="str">
        <f>IF(ISNUMBER(SEARCH("R", 'Dry_Litterbag Placem_Collection'!$V157)),"YES","NO")</f>
        <v>NO</v>
      </c>
      <c r="AC450" s="252" t="str">
        <f>IF(ISNUMBER(SEARCH("C", 'Dry_Litterbag Placem_Collection'!$U157)),"YES","NO")</f>
        <v>NO</v>
      </c>
      <c r="AD450" s="252" t="str">
        <f>IF(ISNUMBER(SEARCH("H", 'Dry_Litterbag Placem_Collection'!$U157)),"YES","NO")</f>
        <v>NO</v>
      </c>
      <c r="AE450" s="252" t="str">
        <f>IF(ISNUMBER(SEARCH("R", 'Dry_Litterbag Placem_Collection'!$U157)),"YES","NO")</f>
        <v>NO</v>
      </c>
    </row>
    <row r="451" spans="2:31">
      <c r="B451" t="str">
        <f>'Final data_for_R_analysis_Dryse'!A597</f>
        <v>Dry</v>
      </c>
      <c r="C451" s="260">
        <f>'Final data_for_R_analysis_Dryse'!B597</f>
        <v>156</v>
      </c>
      <c r="D451" t="s">
        <v>3824</v>
      </c>
      <c r="E451" t="s">
        <v>25</v>
      </c>
      <c r="F451" s="382">
        <v>4</v>
      </c>
      <c r="G451" s="383">
        <f>IF('Dry_Litterbag Placem_Collection'!E158="","",'Dry_Litterbag Placem_Collection'!E158)</f>
        <v>42939</v>
      </c>
      <c r="H451" s="92" t="str">
        <f>'Final data_for_R_analysis_Dryse'!K597</f>
        <v>G65</v>
      </c>
      <c r="I451" t="str">
        <f>'Final data_for_R_analysis_Dryse'!K817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40"/>
        <v>1.8252000000000002</v>
      </c>
      <c r="M451" s="237">
        <f>AVERAGE(Ashed_controlls!$K$1:$K$11)</f>
        <v>5.5147656768714146</v>
      </c>
      <c r="N451" s="194">
        <f>IFERROR(IF(K451&gt;0,(K451*$F$32-($F$29+$F$30)),""),"")</f>
        <v>1.9131999999999998</v>
      </c>
      <c r="O451" s="383">
        <f>IF('Dry_Litterbag Placem_Collection'!G158="","",'Dry_Litterbag Placem_Collection'!G158)</f>
        <v>43010</v>
      </c>
      <c r="P451" s="194">
        <f>IFERROR(INDEX('Both teabags AfterDry'!$D$3:$D$2000,MATCH(H451,'Both teabags AfterDry'!$A$3:$A$2000,0)),"")</f>
        <v>1.0561</v>
      </c>
      <c r="Q451" s="194">
        <f>IFERROR(INDEX('Both teabags AfterDry'!$D$3:$D$2000,MATCH(I451,'Both teabags AfterDry'!$A$3:$A$2000,0)),"")</f>
        <v>1.8827</v>
      </c>
      <c r="R451" s="194">
        <f t="shared" si="41"/>
        <v>0.90549999999999997</v>
      </c>
      <c r="S451" s="194">
        <f t="shared" si="41"/>
        <v>1.7321</v>
      </c>
      <c r="T451" s="194">
        <f t="shared" si="42"/>
        <v>0.50388998465921553</v>
      </c>
      <c r="U451" s="194">
        <f t="shared" si="43"/>
        <v>0.33034117759131476</v>
      </c>
      <c r="V451" s="194">
        <f t="shared" si="44"/>
        <v>0.90534183566799087</v>
      </c>
      <c r="W451">
        <f t="shared" si="45"/>
        <v>71</v>
      </c>
      <c r="X451" s="194">
        <f t="shared" si="46"/>
        <v>0.40155583769689362</v>
      </c>
      <c r="Y451" s="194">
        <f t="shared" si="47"/>
        <v>4.7554683641648386E-3</v>
      </c>
      <c r="Z451" s="252" t="str">
        <f>IF(ISNUMBER(SEARCH("C", 'Dry_Litterbag Placem_Collection'!$V158)),"YES","NO")</f>
        <v>NO</v>
      </c>
      <c r="AA451" s="252" t="str">
        <f>IF(ISNUMBER(SEARCH("H", 'Dry_Litterbag Placem_Collection'!$V158)),"YES","NO")</f>
        <v>NO</v>
      </c>
      <c r="AB451" s="252" t="str">
        <f>IF(ISNUMBER(SEARCH("R", 'Dry_Litterbag Placem_Collection'!$V158)),"YES","NO")</f>
        <v>NO</v>
      </c>
      <c r="AC451" s="252" t="str">
        <f>IF(ISNUMBER(SEARCH("C", 'Dry_Litterbag Placem_Collection'!$U158)),"YES","NO")</f>
        <v>NO</v>
      </c>
      <c r="AD451" s="252" t="str">
        <f>IF(ISNUMBER(SEARCH("H", 'Dry_Litterbag Placem_Collection'!$U158)),"YES","NO")</f>
        <v>NO</v>
      </c>
      <c r="AE451" s="252" t="str">
        <f>IF(ISNUMBER(SEARCH("R", 'Dry_Litterbag Placem_Collection'!$U158)),"YES","NO")</f>
        <v>NO</v>
      </c>
    </row>
    <row r="452" spans="2:31">
      <c r="B452" t="str">
        <f>'Final data_for_R_analysis_Dryse'!A598</f>
        <v>Dry</v>
      </c>
      <c r="C452" s="260">
        <f>'Final data_for_R_analysis_Dryse'!B598</f>
        <v>157</v>
      </c>
      <c r="D452" t="s">
        <v>3824</v>
      </c>
      <c r="E452" t="s">
        <v>25</v>
      </c>
      <c r="F452" s="382">
        <v>5</v>
      </c>
      <c r="G452" s="383">
        <f>IF('Dry_Litterbag Placem_Collection'!E159="","",'Dry_Litterbag Placem_Collection'!E159)</f>
        <v>42939</v>
      </c>
      <c r="H452" s="92" t="str">
        <f>'Final data_for_R_analysis_Dryse'!K598</f>
        <v>G33</v>
      </c>
      <c r="I452" t="str">
        <f>'Final data_for_R_analysis_Dryse'!K818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40"/>
        <v>1.8081999999999998</v>
      </c>
      <c r="M452" s="237">
        <f>AVERAGE(Ashed_controlls!$K$1:$K$11)</f>
        <v>5.5147656768714146</v>
      </c>
      <c r="N452" s="194">
        <f>IFERROR(IF(K452&gt;0,(K452*$F$32-($F$29+$F$30)),""),"")</f>
        <v>1.9331999999999998</v>
      </c>
      <c r="O452" s="383">
        <f>IF('Dry_Litterbag Placem_Collection'!G159="","",'Dry_Litterbag Placem_Collection'!G159)</f>
        <v>43010</v>
      </c>
      <c r="P452" s="194" t="str">
        <f>IFERROR(INDEX('Both teabags AfterDry'!$D$3:$D$2000,MATCH(H452,'Both teabags AfterDry'!$A$3:$A$2000,0)),"")</f>
        <v/>
      </c>
      <c r="Q452" s="194" t="str">
        <f>IFERROR(INDEX('Both teabags AfterDry'!$D$3:$D$2000,MATCH(I452,'Both teabags AfterDry'!$A$3:$A$2000,0)),"")</f>
        <v/>
      </c>
      <c r="R452" s="194" t="str">
        <f t="shared" si="41"/>
        <v/>
      </c>
      <c r="S452" s="194" t="str">
        <f t="shared" si="41"/>
        <v/>
      </c>
      <c r="T452" s="194" t="str">
        <f t="shared" si="42"/>
        <v/>
      </c>
      <c r="U452" s="194" t="str">
        <f t="shared" si="43"/>
        <v/>
      </c>
      <c r="V452" s="194" t="str">
        <f t="shared" si="44"/>
        <v/>
      </c>
      <c r="W452">
        <f t="shared" si="45"/>
        <v>71</v>
      </c>
      <c r="X452" s="194" t="str">
        <f t="shared" si="46"/>
        <v/>
      </c>
      <c r="Y452" s="194" t="str">
        <f t="shared" si="47"/>
        <v/>
      </c>
      <c r="Z452" s="252" t="str">
        <f>IF(ISNUMBER(SEARCH("C", 'Dry_Litterbag Placem_Collection'!$V159)),"YES","NO")</f>
        <v>NO</v>
      </c>
      <c r="AA452" s="252" t="str">
        <f>IF(ISNUMBER(SEARCH("H", 'Dry_Litterbag Placem_Collection'!$V159)),"YES","NO")</f>
        <v>NO</v>
      </c>
      <c r="AB452" s="252" t="str">
        <f>IF(ISNUMBER(SEARCH("R", 'Dry_Litterbag Placem_Collection'!$V159)),"YES","NO")</f>
        <v>NO</v>
      </c>
      <c r="AC452" s="252" t="str">
        <f>IF(ISNUMBER(SEARCH("C", 'Dry_Litterbag Placem_Collection'!$U159)),"YES","NO")</f>
        <v>NO</v>
      </c>
      <c r="AD452" s="252" t="str">
        <f>IF(ISNUMBER(SEARCH("H", 'Dry_Litterbag Placem_Collection'!$U159)),"YES","NO")</f>
        <v>NO</v>
      </c>
      <c r="AE452" s="252" t="str">
        <f>IF(ISNUMBER(SEARCH("R", 'Dry_Litterbag Placem_Collection'!$U159)),"YES","NO")</f>
        <v>NO</v>
      </c>
    </row>
    <row r="453" spans="2:31">
      <c r="B453" t="str">
        <f>'Final data_for_R_analysis_Dryse'!A599</f>
        <v>Dry</v>
      </c>
      <c r="C453" s="260">
        <f>'Final data_for_R_analysis_Dryse'!B599</f>
        <v>158</v>
      </c>
      <c r="D453" t="s">
        <v>3824</v>
      </c>
      <c r="E453" t="s">
        <v>25</v>
      </c>
      <c r="F453" s="382">
        <v>6</v>
      </c>
      <c r="G453" s="383">
        <f>IF('Dry_Litterbag Placem_Collection'!E160="","",'Dry_Litterbag Placem_Collection'!E160)</f>
        <v>42939</v>
      </c>
      <c r="H453" s="92" t="str">
        <f>'Final data_for_R_analysis_Dryse'!K599</f>
        <v>G153</v>
      </c>
      <c r="I453" t="str">
        <f>'Final data_for_R_analysis_Dryse'!K819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40"/>
        <v>1.8031999999999999</v>
      </c>
      <c r="M453" s="237">
        <f>AVERAGE(Ashed_controlls!$K$1:$K$11)</f>
        <v>5.5147656768714146</v>
      </c>
      <c r="N453" s="194">
        <f>IFERROR(IF(K453&gt;0,(K453*$F$32-($F$29+$F$30)),""),"")</f>
        <v>1.9891999999999999</v>
      </c>
      <c r="O453" s="383">
        <f>IF('Dry_Litterbag Placem_Collection'!G160="","",'Dry_Litterbag Placem_Collection'!G160)</f>
        <v>43010</v>
      </c>
      <c r="P453" s="194">
        <f>IFERROR(INDEX('Both teabags AfterDry'!$D$3:$D$2000,MATCH(H453,'Both teabags AfterDry'!$A$3:$A$2000,0)),"")</f>
        <v>0.87609999999999999</v>
      </c>
      <c r="Q453" s="194">
        <f>IFERROR(INDEX('Both teabags AfterDry'!$D$3:$D$2000,MATCH(I453,'Both teabags AfterDry'!$A$3:$A$2000,0)),"")</f>
        <v>1.7898000000000001</v>
      </c>
      <c r="R453" s="194">
        <f t="shared" si="41"/>
        <v>0.72550000000000003</v>
      </c>
      <c r="S453" s="194">
        <f t="shared" si="41"/>
        <v>1.6392</v>
      </c>
      <c r="T453" s="194">
        <f t="shared" si="42"/>
        <v>0.59765971606033719</v>
      </c>
      <c r="U453" s="194">
        <f t="shared" si="43"/>
        <v>0.3918149207426439</v>
      </c>
      <c r="V453" s="194">
        <f t="shared" si="44"/>
        <v>0.82404986929418866</v>
      </c>
      <c r="W453">
        <f t="shared" si="45"/>
        <v>71</v>
      </c>
      <c r="X453" s="194">
        <f t="shared" si="46"/>
        <v>0.29019036097347128</v>
      </c>
      <c r="Y453" s="194">
        <f t="shared" si="47"/>
        <v>8.3963006718876E-3</v>
      </c>
      <c r="Z453" s="252" t="str">
        <f>IF(ISNUMBER(SEARCH("C", 'Dry_Litterbag Placem_Collection'!$V160)),"YES","NO")</f>
        <v>NO</v>
      </c>
      <c r="AA453" s="252" t="str">
        <f>IF(ISNUMBER(SEARCH("H", 'Dry_Litterbag Placem_Collection'!$V160)),"YES","NO")</f>
        <v>NO</v>
      </c>
      <c r="AB453" s="252" t="str">
        <f>IF(ISNUMBER(SEARCH("R", 'Dry_Litterbag Placem_Collection'!$V160)),"YES","NO")</f>
        <v>NO</v>
      </c>
      <c r="AC453" s="252" t="str">
        <f>IF(ISNUMBER(SEARCH("C", 'Dry_Litterbag Placem_Collection'!$U160)),"YES","NO")</f>
        <v>NO</v>
      </c>
      <c r="AD453" s="252" t="str">
        <f>IF(ISNUMBER(SEARCH("H", 'Dry_Litterbag Placem_Collection'!$U160)),"YES","NO")</f>
        <v>NO</v>
      </c>
      <c r="AE453" s="252" t="str">
        <f>IF(ISNUMBER(SEARCH("R", 'Dry_Litterbag Placem_Collection'!$U160)),"YES","NO")</f>
        <v>NO</v>
      </c>
    </row>
    <row r="454" spans="2:31">
      <c r="B454" t="str">
        <f>'Final data_for_R_analysis_Dryse'!A600</f>
        <v>Dry</v>
      </c>
      <c r="C454" s="260">
        <f>'Final data_for_R_analysis_Dryse'!B600</f>
        <v>159</v>
      </c>
      <c r="D454" t="s">
        <v>3824</v>
      </c>
      <c r="E454" t="s">
        <v>25</v>
      </c>
      <c r="F454" s="382">
        <v>7</v>
      </c>
      <c r="G454" s="383" t="str">
        <f>IF('Dry_Litterbag Placem_Collection'!E161="","",'Dry_Litterbag Placem_Collection'!E161)</f>
        <v/>
      </c>
      <c r="H454" s="92" t="str">
        <f>'Final data_for_R_analysis_Dryse'!K600</f>
        <v/>
      </c>
      <c r="I454" t="str">
        <f>'Final data_for_R_analysis_Dryse'!K820</f>
        <v/>
      </c>
      <c r="J454" t="str">
        <f>IFERROR(INDEX('Green_rooibos initial weight'!$C$5:$C$2000,MATCH(H454, 'Green_rooibos initial weight'!$A$5:$A$2000,0)),"")</f>
        <v/>
      </c>
      <c r="K454" t="str">
        <f>IFERROR(INDEX('Green_rooibos initial weight'!$C$5:$C$2000,MATCH(I454, 'Green_rooibos initial weight'!$A$5:$A$2000,0)),"")</f>
        <v/>
      </c>
      <c r="L454" s="194" t="str">
        <f t="shared" si="40"/>
        <v/>
      </c>
      <c r="M454" s="237">
        <f>AVERAGE(Ashed_controlls!$K$1:$K$11)</f>
        <v>5.5147656768714146</v>
      </c>
      <c r="N454" s="194" t="str">
        <f>IFERROR(IF(K454&gt;0,(K454*$F$32-($F$29+$F$30)),""),"")</f>
        <v/>
      </c>
      <c r="O454" s="383" t="str">
        <f>IF('Dry_Litterbag Placem_Collection'!G161="","",'Dry_Litterbag Placem_Collection'!G161)</f>
        <v/>
      </c>
      <c r="P454" s="194" t="str">
        <f>IFERROR(INDEX('Both teabags AfterDry'!$D$3:$D$2000,MATCH(H454,'Both teabags AfterDry'!$A$3:$A$2000,0)),"")</f>
        <v/>
      </c>
      <c r="Q454" s="194" t="str">
        <f>IFERROR(INDEX('Both teabags AfterDry'!$D$3:$D$2000,MATCH(I454,'Both teabags AfterDry'!$A$3:$A$2000,0)),"")</f>
        <v/>
      </c>
      <c r="R454" s="194" t="str">
        <f t="shared" si="41"/>
        <v/>
      </c>
      <c r="S454" s="194" t="str">
        <f t="shared" si="41"/>
        <v/>
      </c>
      <c r="T454" s="194" t="str">
        <f t="shared" si="42"/>
        <v/>
      </c>
      <c r="U454" s="194" t="str">
        <f t="shared" si="43"/>
        <v/>
      </c>
      <c r="V454" s="194" t="str">
        <f t="shared" si="44"/>
        <v/>
      </c>
      <c r="W454" t="str">
        <f t="shared" si="45"/>
        <v/>
      </c>
      <c r="X454" s="194" t="str">
        <f t="shared" si="46"/>
        <v/>
      </c>
      <c r="Y454" s="194" t="str">
        <f t="shared" si="47"/>
        <v/>
      </c>
      <c r="Z454" s="252" t="str">
        <f>IF(ISNUMBER(SEARCH("C", 'Dry_Litterbag Placem_Collection'!$V161)),"YES","NO")</f>
        <v>NO</v>
      </c>
      <c r="AA454" s="252" t="str">
        <f>IF(ISNUMBER(SEARCH("H", 'Dry_Litterbag Placem_Collection'!$V161)),"YES","NO")</f>
        <v>NO</v>
      </c>
      <c r="AB454" s="252" t="str">
        <f>IF(ISNUMBER(SEARCH("R", 'Dry_Litterbag Placem_Collection'!$V161)),"YES","NO")</f>
        <v>NO</v>
      </c>
      <c r="AC454" s="252" t="str">
        <f>IF(ISNUMBER(SEARCH("C", 'Dry_Litterbag Placem_Collection'!$U161)),"YES","NO")</f>
        <v>NO</v>
      </c>
      <c r="AD454" s="252" t="str">
        <f>IF(ISNUMBER(SEARCH("H", 'Dry_Litterbag Placem_Collection'!$U161)),"YES","NO")</f>
        <v>NO</v>
      </c>
      <c r="AE454" s="252" t="str">
        <f>IF(ISNUMBER(SEARCH("R", 'Dry_Litterbag Placem_Collection'!$U161)),"YES","NO")</f>
        <v>NO</v>
      </c>
    </row>
    <row r="455" spans="2:31">
      <c r="B455" t="str">
        <f>'Final data_for_R_analysis_Dryse'!A601</f>
        <v>Dry</v>
      </c>
      <c r="C455" s="260">
        <f>'Final data_for_R_analysis_Dryse'!B601</f>
        <v>160</v>
      </c>
      <c r="D455" t="s">
        <v>3824</v>
      </c>
      <c r="E455" t="s">
        <v>25</v>
      </c>
      <c r="F455" s="382">
        <v>8</v>
      </c>
      <c r="G455" s="383">
        <f>IF('Dry_Litterbag Placem_Collection'!E162="","",'Dry_Litterbag Placem_Collection'!E162)</f>
        <v>42939</v>
      </c>
      <c r="H455" s="92" t="str">
        <f>'Final data_for_R_analysis_Dryse'!K601</f>
        <v>G175</v>
      </c>
      <c r="I455" t="str">
        <f>'Final data_for_R_analysis_Dryse'!K821</f>
        <v>R350</v>
      </c>
      <c r="J455">
        <f>IFERROR(INDEX('Green_rooibos initial weight'!$C$5:$C$2000,MATCH(H455, 'Green_rooibos initial weight'!$A$5:$A$2000,0)),"")</f>
        <v>1.9930000000000001</v>
      </c>
      <c r="K455">
        <f>IFERROR(INDEX('Green_rooibos initial weight'!$C$5:$C$2000,MATCH(I455, 'Green_rooibos initial weight'!$A$5:$A$2000,0)),"")</f>
        <v>2.21</v>
      </c>
      <c r="L455" s="194">
        <f t="shared" si="40"/>
        <v>1.7432000000000001</v>
      </c>
      <c r="M455" s="237">
        <f>AVERAGE(Ashed_controlls!$K$1:$K$11)</f>
        <v>5.5147656768714146</v>
      </c>
      <c r="N455" s="194">
        <f>IFERROR(IF(K455&gt;0,(K455*$F$32-($F$29+$F$30)),""),"")</f>
        <v>1.9601999999999999</v>
      </c>
      <c r="O455" s="383">
        <f>IF('Dry_Litterbag Placem_Collection'!G162="","",'Dry_Litterbag Placem_Collection'!G162)</f>
        <v>43010</v>
      </c>
      <c r="P455" s="194">
        <f>IFERROR(INDEX('Both teabags AfterDry'!$D$3:$D$2000,MATCH(H455,'Both teabags AfterDry'!$A$3:$A$2000,0)),"")</f>
        <v>1.2042999999999999</v>
      </c>
      <c r="Q455" s="194">
        <f>IFERROR(INDEX('Both teabags AfterDry'!$D$3:$D$2000,MATCH(I455,'Both teabags AfterDry'!$A$3:$A$2000,0)),"")</f>
        <v>1.9824999999999999</v>
      </c>
      <c r="R455" s="194">
        <f t="shared" si="41"/>
        <v>1.0536999999999999</v>
      </c>
      <c r="S455" s="194">
        <f t="shared" si="41"/>
        <v>1.8318999999999999</v>
      </c>
      <c r="T455" s="194">
        <f t="shared" si="42"/>
        <v>0.39553694355208824</v>
      </c>
      <c r="U455" s="194">
        <f t="shared" si="43"/>
        <v>0.25930687985837614</v>
      </c>
      <c r="V455" s="194">
        <f t="shared" si="44"/>
        <v>0.93454749515355573</v>
      </c>
      <c r="W455">
        <f t="shared" si="45"/>
        <v>71</v>
      </c>
      <c r="X455" s="194">
        <f t="shared" si="46"/>
        <v>0.53024115967685481</v>
      </c>
      <c r="Y455" s="194">
        <f t="shared" si="47"/>
        <v>4.0972534042167941E-3</v>
      </c>
      <c r="Z455" s="252" t="str">
        <f>IF(ISNUMBER(SEARCH("C", 'Dry_Litterbag Placem_Collection'!$V162)),"YES","NO")</f>
        <v>NO</v>
      </c>
      <c r="AA455" s="252" t="str">
        <f>IF(ISNUMBER(SEARCH("H", 'Dry_Litterbag Placem_Collection'!$V162)),"YES","NO")</f>
        <v>NO</v>
      </c>
      <c r="AB455" s="252" t="str">
        <f>IF(ISNUMBER(SEARCH("R", 'Dry_Litterbag Placem_Collection'!$V162)),"YES","NO")</f>
        <v>NO</v>
      </c>
      <c r="AC455" s="252" t="str">
        <f>IF(ISNUMBER(SEARCH("C", 'Dry_Litterbag Placem_Collection'!$U162)),"YES","NO")</f>
        <v>NO</v>
      </c>
      <c r="AD455" s="252" t="str">
        <f>IF(ISNUMBER(SEARCH("H", 'Dry_Litterbag Placem_Collection'!$U162)),"YES","NO")</f>
        <v>NO</v>
      </c>
      <c r="AE455" s="252" t="str">
        <f>IF(ISNUMBER(SEARCH("R", 'Dry_Litterbag Placem_Collection'!$U162)),"YES","NO")</f>
        <v>NO</v>
      </c>
    </row>
    <row r="456" spans="2:31">
      <c r="B456" t="str">
        <f>'Final data_for_R_analysis_Dryse'!A602</f>
        <v>Dry</v>
      </c>
      <c r="C456" s="260">
        <f>'Final data_for_R_analysis_Dryse'!B602</f>
        <v>161</v>
      </c>
      <c r="D456" t="s">
        <v>3825</v>
      </c>
      <c r="E456" t="s">
        <v>25</v>
      </c>
      <c r="F456" s="381">
        <v>1</v>
      </c>
      <c r="G456" s="383">
        <f>IF('Dry_Litterbag Placem_Collection'!E163="","",'Dry_Litterbag Placem_Collection'!E163)</f>
        <v>42940</v>
      </c>
      <c r="H456" s="92" t="str">
        <f>'Final data_for_R_analysis_Dryse'!K602</f>
        <v>G207</v>
      </c>
      <c r="I456" t="str">
        <f>'Final data_for_R_analysis_Dryse'!K822</f>
        <v>R314</v>
      </c>
      <c r="J456">
        <f>IFERROR(INDEX('Green_rooibos initial weight'!$C$5:$C$2000,MATCH(H456, 'Green_rooibos initial weight'!$A$5:$A$2000,0)),"")</f>
        <v>2.1539999999999999</v>
      </c>
      <c r="K456">
        <f>IFERROR(INDEX('Green_rooibos initial weight'!$C$5:$C$2000,MATCH(I456, 'Green_rooibos initial weight'!$A$5:$A$2000,0)),"")</f>
        <v>2.17</v>
      </c>
      <c r="L456" s="194">
        <f t="shared" si="40"/>
        <v>1.9041999999999999</v>
      </c>
      <c r="M456" s="237">
        <f>AVERAGE(Ashed_controlls!$K$1:$K$11)</f>
        <v>5.5147656768714146</v>
      </c>
      <c r="N456" s="194">
        <f>IFERROR(IF(K456&gt;0,(K456*$F$32-($F$29+$F$30)),""),"")</f>
        <v>1.9201999999999999</v>
      </c>
      <c r="O456" s="383">
        <f>IF('Dry_Litterbag Placem_Collection'!G163="","",'Dry_Litterbag Placem_Collection'!G163)</f>
        <v>43009</v>
      </c>
      <c r="P456" s="194">
        <f>IFERROR(INDEX('Both teabags AfterDry'!$D$3:$D$2000,MATCH(H456,'Both teabags AfterDry'!$A$3:$A$2000,0)),"")</f>
        <v>0.76570000000000005</v>
      </c>
      <c r="Q456" s="194">
        <f>IFERROR(INDEX('Both teabags AfterDry'!$D$3:$D$2000,MATCH(I456,'Both teabags AfterDry'!$A$3:$A$2000,0)),"")</f>
        <v>1.7397</v>
      </c>
      <c r="R456" s="194">
        <f t="shared" si="41"/>
        <v>0.61509999999999998</v>
      </c>
      <c r="S456" s="194">
        <f t="shared" si="41"/>
        <v>1.5891</v>
      </c>
      <c r="T456" s="194">
        <f t="shared" si="42"/>
        <v>0.67697720827644159</v>
      </c>
      <c r="U456" s="194">
        <f t="shared" si="43"/>
        <v>0.44381403677980502</v>
      </c>
      <c r="V456" s="194">
        <f t="shared" si="44"/>
        <v>0.82757004478700136</v>
      </c>
      <c r="W456">
        <f t="shared" si="45"/>
        <v>69</v>
      </c>
      <c r="X456" s="194">
        <f t="shared" si="46"/>
        <v>0.19598906380470116</v>
      </c>
      <c r="Y456" s="194">
        <f t="shared" si="47"/>
        <v>7.1285586372014428E-3</v>
      </c>
      <c r="Z456" s="252" t="str">
        <f>IF(ISNUMBER(SEARCH("C", 'Dry_Litterbag Placem_Collection'!$V163)),"YES","NO")</f>
        <v>NO</v>
      </c>
      <c r="AA456" s="252" t="str">
        <f>IF(ISNUMBER(SEARCH("H", 'Dry_Litterbag Placem_Collection'!$V163)),"YES","NO")</f>
        <v>NO</v>
      </c>
      <c r="AB456" s="252" t="str">
        <f>IF(ISNUMBER(SEARCH("R", 'Dry_Litterbag Placem_Collection'!$V163)),"YES","NO")</f>
        <v>NO</v>
      </c>
      <c r="AC456" s="252" t="str">
        <f>IF(ISNUMBER(SEARCH("C", 'Dry_Litterbag Placem_Collection'!$U163)),"YES","NO")</f>
        <v>NO</v>
      </c>
      <c r="AD456" s="252" t="str">
        <f>IF(ISNUMBER(SEARCH("H", 'Dry_Litterbag Placem_Collection'!$U163)),"YES","NO")</f>
        <v>NO</v>
      </c>
      <c r="AE456" s="252" t="str">
        <f>IF(ISNUMBER(SEARCH("R", 'Dry_Litterbag Placem_Collection'!$U163)),"YES","NO")</f>
        <v>NO</v>
      </c>
    </row>
    <row r="457" spans="2:31">
      <c r="B457" t="str">
        <f>'Final data_for_R_analysis_Dryse'!A603</f>
        <v>Dry</v>
      </c>
      <c r="C457" s="260">
        <f>'Final data_for_R_analysis_Dryse'!B603</f>
        <v>162</v>
      </c>
      <c r="D457" t="s">
        <v>3825</v>
      </c>
      <c r="E457" t="s">
        <v>25</v>
      </c>
      <c r="F457" s="381">
        <v>2</v>
      </c>
      <c r="G457" s="383">
        <f>IF('Dry_Litterbag Placem_Collection'!E164="","",'Dry_Litterbag Placem_Collection'!E164)</f>
        <v>42940</v>
      </c>
      <c r="H457" s="92" t="str">
        <f>'Final data_for_R_analysis_Dryse'!K603</f>
        <v>G580</v>
      </c>
      <c r="I457" t="str">
        <f>'Final data_for_R_analysis_Dryse'!K823</f>
        <v>R425</v>
      </c>
      <c r="J457">
        <f>IFERROR(INDEX('Green_rooibos initial weight'!$C$5:$C$2000,MATCH(H457, 'Green_rooibos initial weight'!$A$5:$A$2000,0)),"")</f>
        <v>2.1440000000000001</v>
      </c>
      <c r="K457">
        <f>IFERROR(INDEX('Green_rooibos initial weight'!$C$5:$C$2000,MATCH(I457, 'Green_rooibos initial weight'!$A$5:$A$2000,0)),"")</f>
        <v>2.25</v>
      </c>
      <c r="L457" s="194">
        <f t="shared" si="40"/>
        <v>1.8942000000000001</v>
      </c>
      <c r="M457" s="237">
        <f>AVERAGE(Ashed_controlls!$K$1:$K$11)</f>
        <v>5.5147656768714146</v>
      </c>
      <c r="N457" s="194">
        <f>IFERROR(IF(K457&gt;0,(K457*$F$32-($F$29+$F$30)),""),"")</f>
        <v>2.0002</v>
      </c>
      <c r="O457" s="383">
        <f>IF('Dry_Litterbag Placem_Collection'!G164="","",'Dry_Litterbag Placem_Collection'!G164)</f>
        <v>43009</v>
      </c>
      <c r="P457" s="194">
        <f>IFERROR(INDEX('Both teabags AfterDry'!$D$3:$D$2000,MATCH(H457,'Both teabags AfterDry'!$A$3:$A$2000,0)),"")</f>
        <v>0.84409999999999996</v>
      </c>
      <c r="Q457" s="194">
        <f>IFERROR(INDEX('Both teabags AfterDry'!$D$3:$D$2000,MATCH(I457,'Both teabags AfterDry'!$A$3:$A$2000,0)),"")</f>
        <v>1.8856999999999999</v>
      </c>
      <c r="R457" s="194">
        <f t="shared" si="41"/>
        <v>0.69350000000000001</v>
      </c>
      <c r="S457" s="194">
        <f t="shared" si="41"/>
        <v>1.7350999999999999</v>
      </c>
      <c r="T457" s="194">
        <f t="shared" si="42"/>
        <v>0.63388237778481682</v>
      </c>
      <c r="U457" s="194">
        <f t="shared" si="43"/>
        <v>0.41556184386843104</v>
      </c>
      <c r="V457" s="194">
        <f t="shared" si="44"/>
        <v>0.86746325367463251</v>
      </c>
      <c r="W457">
        <f t="shared" si="45"/>
        <v>69</v>
      </c>
      <c r="X457" s="194">
        <f t="shared" si="46"/>
        <v>0.24717057270211773</v>
      </c>
      <c r="Y457" s="194">
        <f t="shared" si="47"/>
        <v>5.5666067775764225E-3</v>
      </c>
      <c r="Z457" s="252" t="str">
        <f>IF(ISNUMBER(SEARCH("C", 'Dry_Litterbag Placem_Collection'!$V164)),"YES","NO")</f>
        <v>NO</v>
      </c>
      <c r="AA457" s="252" t="str">
        <f>IF(ISNUMBER(SEARCH("H", 'Dry_Litterbag Placem_Collection'!$V164)),"YES","NO")</f>
        <v>NO</v>
      </c>
      <c r="AB457" s="252" t="str">
        <f>IF(ISNUMBER(SEARCH("R", 'Dry_Litterbag Placem_Collection'!$V164)),"YES","NO")</f>
        <v>NO</v>
      </c>
      <c r="AC457" s="252" t="str">
        <f>IF(ISNUMBER(SEARCH("C", 'Dry_Litterbag Placem_Collection'!$U164)),"YES","NO")</f>
        <v>NO</v>
      </c>
      <c r="AD457" s="252" t="str">
        <f>IF(ISNUMBER(SEARCH("H", 'Dry_Litterbag Placem_Collection'!$U164)),"YES","NO")</f>
        <v>NO</v>
      </c>
      <c r="AE457" s="252" t="str">
        <f>IF(ISNUMBER(SEARCH("R", 'Dry_Litterbag Placem_Collection'!$U164)),"YES","NO")</f>
        <v>NO</v>
      </c>
    </row>
    <row r="458" spans="2:31">
      <c r="B458" t="str">
        <f>'Final data_for_R_analysis_Dryse'!A604</f>
        <v>Dry</v>
      </c>
      <c r="C458" s="260">
        <f>'Final data_for_R_analysis_Dryse'!B604</f>
        <v>163</v>
      </c>
      <c r="D458" t="s">
        <v>3825</v>
      </c>
      <c r="E458" t="s">
        <v>25</v>
      </c>
      <c r="F458" s="381">
        <v>3</v>
      </c>
      <c r="G458" s="383">
        <f>IF('Dry_Litterbag Placem_Collection'!E165="","",'Dry_Litterbag Placem_Collection'!E165)</f>
        <v>42940</v>
      </c>
      <c r="H458" s="92" t="str">
        <f>'Final data_for_R_analysis_Dryse'!K604</f>
        <v>G722</v>
      </c>
      <c r="I458" t="str">
        <f>'Final data_for_R_analysis_Dryse'!K824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40"/>
        <v>1.8292000000000002</v>
      </c>
      <c r="M458" s="237">
        <f>AVERAGE(Ashed_controlls!$K$1:$K$11)</f>
        <v>5.5147656768714146</v>
      </c>
      <c r="N458" s="194">
        <f>IFERROR(IF(K458&gt;0,(K458*$F$32-($F$29+$F$30)),""),"")</f>
        <v>1.9432</v>
      </c>
      <c r="O458" s="383">
        <f>IF('Dry_Litterbag Placem_Collection'!G165="","",'Dry_Litterbag Placem_Collection'!G165)</f>
        <v>43009</v>
      </c>
      <c r="P458" s="194">
        <f>IFERROR(INDEX('Both teabags AfterDry'!$D$3:$D$2000,MATCH(H458,'Both teabags AfterDry'!$A$3:$A$2000,0)),"")</f>
        <v>0.86109999999999998</v>
      </c>
      <c r="Q458" s="194">
        <f>IFERROR(INDEX('Both teabags AfterDry'!$D$3:$D$2000,MATCH(I458,'Both teabags AfterDry'!$A$3:$A$2000,0)),"")</f>
        <v>1.7754000000000001</v>
      </c>
      <c r="R458" s="194">
        <f t="shared" si="41"/>
        <v>0.71049999999999991</v>
      </c>
      <c r="S458" s="194">
        <f t="shared" si="41"/>
        <v>1.6248</v>
      </c>
      <c r="T458" s="194">
        <f t="shared" si="42"/>
        <v>0.61157883227640508</v>
      </c>
      <c r="U458" s="194">
        <f t="shared" si="43"/>
        <v>0.40094004206244138</v>
      </c>
      <c r="V458" s="194">
        <f t="shared" si="44"/>
        <v>0.83614656237134621</v>
      </c>
      <c r="W458">
        <f t="shared" si="45"/>
        <v>69</v>
      </c>
      <c r="X458" s="194">
        <f t="shared" si="46"/>
        <v>0.27365934408978021</v>
      </c>
      <c r="Y458" s="194">
        <f t="shared" si="47"/>
        <v>7.6142956688170556E-3</v>
      </c>
      <c r="Z458" s="252" t="str">
        <f>IF(ISNUMBER(SEARCH("C", 'Dry_Litterbag Placem_Collection'!$V165)),"YES","NO")</f>
        <v>NO</v>
      </c>
      <c r="AA458" s="252" t="str">
        <f>IF(ISNUMBER(SEARCH("H", 'Dry_Litterbag Placem_Collection'!$V165)),"YES","NO")</f>
        <v>NO</v>
      </c>
      <c r="AB458" s="252" t="str">
        <f>IF(ISNUMBER(SEARCH("R", 'Dry_Litterbag Placem_Collection'!$V165)),"YES","NO")</f>
        <v>NO</v>
      </c>
      <c r="AC458" s="252" t="str">
        <f>IF(ISNUMBER(SEARCH("C", 'Dry_Litterbag Placem_Collection'!$U165)),"YES","NO")</f>
        <v>NO</v>
      </c>
      <c r="AD458" s="252" t="str">
        <f>IF(ISNUMBER(SEARCH("H", 'Dry_Litterbag Placem_Collection'!$U165)),"YES","NO")</f>
        <v>NO</v>
      </c>
      <c r="AE458" s="252" t="str">
        <f>IF(ISNUMBER(SEARCH("R", 'Dry_Litterbag Placem_Collection'!$U165)),"YES","NO")</f>
        <v>NO</v>
      </c>
    </row>
    <row r="459" spans="2:31">
      <c r="B459" t="str">
        <f>'Final data_for_R_analysis_Dryse'!A605</f>
        <v>Dry</v>
      </c>
      <c r="C459" s="260">
        <f>'Final data_for_R_analysis_Dryse'!B605</f>
        <v>164</v>
      </c>
      <c r="D459" t="s">
        <v>3825</v>
      </c>
      <c r="E459" t="s">
        <v>25</v>
      </c>
      <c r="F459" s="382">
        <v>4</v>
      </c>
      <c r="G459" s="383">
        <f>IF('Dry_Litterbag Placem_Collection'!E166="","",'Dry_Litterbag Placem_Collection'!E166)</f>
        <v>42940</v>
      </c>
      <c r="H459" s="92" t="str">
        <f>'Final data_for_R_analysis_Dryse'!K605</f>
        <v>G239</v>
      </c>
      <c r="I459" t="str">
        <f>'Final data_for_R_analysis_Dryse'!K825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40"/>
        <v>1.8521999999999998</v>
      </c>
      <c r="M459" s="237">
        <f>AVERAGE(Ashed_controlls!$K$1:$K$11)</f>
        <v>5.5147656768714146</v>
      </c>
      <c r="N459" s="194">
        <f>IFERROR(IF(K459&gt;0,(K459*$F$32-($F$29+$F$30)),""),"")</f>
        <v>1.9891999999999999</v>
      </c>
      <c r="O459" s="383">
        <f>IF('Dry_Litterbag Placem_Collection'!G166="","",'Dry_Litterbag Placem_Collection'!G166)</f>
        <v>43009</v>
      </c>
      <c r="P459" s="194">
        <f>IFERROR(INDEX('Both teabags AfterDry'!$D$3:$D$2000,MATCH(H459,'Both teabags AfterDry'!$A$3:$A$2000,0)),"")</f>
        <v>0.73950000000000005</v>
      </c>
      <c r="Q459" s="194">
        <f>IFERROR(INDEX('Both teabags AfterDry'!$D$3:$D$2000,MATCH(I459,'Both teabags AfterDry'!$A$3:$A$2000,0)),"")</f>
        <v>1.7732000000000001</v>
      </c>
      <c r="R459" s="194">
        <f t="shared" si="41"/>
        <v>0.58889999999999998</v>
      </c>
      <c r="S459" s="194">
        <f t="shared" si="41"/>
        <v>1.6226</v>
      </c>
      <c r="T459" s="194">
        <f t="shared" si="42"/>
        <v>0.68205377389050859</v>
      </c>
      <c r="U459" s="194">
        <f t="shared" si="43"/>
        <v>0.44714214155292259</v>
      </c>
      <c r="V459" s="194">
        <f t="shared" si="44"/>
        <v>0.81570480595214168</v>
      </c>
      <c r="W459">
        <f t="shared" si="45"/>
        <v>69</v>
      </c>
      <c r="X459" s="194">
        <f t="shared" si="46"/>
        <v>0.18995988849108236</v>
      </c>
      <c r="Y459" s="194">
        <f t="shared" si="47"/>
        <v>7.7000669563297014E-3</v>
      </c>
      <c r="Z459" s="252" t="str">
        <f>IF(ISNUMBER(SEARCH("C", 'Dry_Litterbag Placem_Collection'!$V166)),"YES","NO")</f>
        <v>NO</v>
      </c>
      <c r="AA459" s="252" t="str">
        <f>IF(ISNUMBER(SEARCH("H", 'Dry_Litterbag Placem_Collection'!$V166)),"YES","NO")</f>
        <v>NO</v>
      </c>
      <c r="AB459" s="252" t="str">
        <f>IF(ISNUMBER(SEARCH("R", 'Dry_Litterbag Placem_Collection'!$V166)),"YES","NO")</f>
        <v>YES</v>
      </c>
      <c r="AC459" s="252" t="str">
        <f>IF(ISNUMBER(SEARCH("C", 'Dry_Litterbag Placem_Collection'!$U166)),"YES","NO")</f>
        <v>NO</v>
      </c>
      <c r="AD459" s="252" t="str">
        <f>IF(ISNUMBER(SEARCH("H", 'Dry_Litterbag Placem_Collection'!$U166)),"YES","NO")</f>
        <v>NO</v>
      </c>
      <c r="AE459" s="252" t="str">
        <f>IF(ISNUMBER(SEARCH("R", 'Dry_Litterbag Placem_Collection'!$U166)),"YES","NO")</f>
        <v>YES</v>
      </c>
    </row>
    <row r="460" spans="2:31">
      <c r="B460" t="str">
        <f>'Final data_for_R_analysis_Dryse'!A606</f>
        <v>Dry</v>
      </c>
      <c r="C460" s="260">
        <f>'Final data_for_R_analysis_Dryse'!B606</f>
        <v>165</v>
      </c>
      <c r="D460" t="s">
        <v>3825</v>
      </c>
      <c r="E460" t="s">
        <v>25</v>
      </c>
      <c r="F460" s="382">
        <v>5</v>
      </c>
      <c r="G460" s="383">
        <f>IF('Dry_Litterbag Placem_Collection'!E167="","",'Dry_Litterbag Placem_Collection'!E167)</f>
        <v>42940</v>
      </c>
      <c r="H460" s="92" t="str">
        <f>'Final data_for_R_analysis_Dryse'!K606</f>
        <v>G343</v>
      </c>
      <c r="I460" t="str">
        <f>'Final data_for_R_analysis_Dryse'!K826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40"/>
        <v>1.5842000000000001</v>
      </c>
      <c r="M460" s="237">
        <f>AVERAGE(Ashed_controlls!$K$1:$K$11)</f>
        <v>5.5147656768714146</v>
      </c>
      <c r="N460" s="194">
        <f>IFERROR(IF(K460&gt;0,(K460*$F$32-($F$29+$F$30)),""),"")</f>
        <v>1.9672000000000001</v>
      </c>
      <c r="O460" s="383">
        <f>IF('Dry_Litterbag Placem_Collection'!G167="","",'Dry_Litterbag Placem_Collection'!G167)</f>
        <v>43009</v>
      </c>
      <c r="P460" s="194">
        <f>IFERROR(INDEX('Both teabags AfterDry'!$D$3:$D$2000,MATCH(H460,'Both teabags AfterDry'!$A$3:$A$2000,0)),"")</f>
        <v>0.68059999999999998</v>
      </c>
      <c r="Q460" s="194">
        <f>IFERROR(INDEX('Both teabags AfterDry'!$D$3:$D$2000,MATCH(I460,'Both teabags AfterDry'!$A$3:$A$2000,0)),"")</f>
        <v>1.7559</v>
      </c>
      <c r="R460" s="194">
        <f t="shared" si="41"/>
        <v>0.53</v>
      </c>
      <c r="S460" s="194">
        <f t="shared" si="41"/>
        <v>1.6052999999999999</v>
      </c>
      <c r="T460" s="194">
        <f t="shared" si="42"/>
        <v>0.66544628203509659</v>
      </c>
      <c r="U460" s="194">
        <f t="shared" si="43"/>
        <v>0.43625456969521775</v>
      </c>
      <c r="V460" s="194">
        <f t="shared" si="44"/>
        <v>0.81603294021960138</v>
      </c>
      <c r="W460">
        <f t="shared" si="45"/>
        <v>69</v>
      </c>
      <c r="X460" s="194">
        <f t="shared" si="46"/>
        <v>0.20968375055214183</v>
      </c>
      <c r="Y460" s="194">
        <f t="shared" si="47"/>
        <v>7.9370521577088651E-3</v>
      </c>
      <c r="Z460" s="252" t="str">
        <f>IF(ISNUMBER(SEARCH("C", 'Dry_Litterbag Placem_Collection'!$V167)),"YES","NO")</f>
        <v>NO</v>
      </c>
      <c r="AA460" s="252" t="str">
        <f>IF(ISNUMBER(SEARCH("H", 'Dry_Litterbag Placem_Collection'!$V167)),"YES","NO")</f>
        <v>NO</v>
      </c>
      <c r="AB460" s="252" t="str">
        <f>IF(ISNUMBER(SEARCH("R", 'Dry_Litterbag Placem_Collection'!$V167)),"YES","NO")</f>
        <v>NO</v>
      </c>
      <c r="AC460" s="252" t="str">
        <f>IF(ISNUMBER(SEARCH("C", 'Dry_Litterbag Placem_Collection'!$U167)),"YES","NO")</f>
        <v>NO</v>
      </c>
      <c r="AD460" s="252" t="str">
        <f>IF(ISNUMBER(SEARCH("H", 'Dry_Litterbag Placem_Collection'!$U167)),"YES","NO")</f>
        <v>NO</v>
      </c>
      <c r="AE460" s="252" t="str">
        <f>IF(ISNUMBER(SEARCH("R", 'Dry_Litterbag Placem_Collection'!$U167)),"YES","NO")</f>
        <v>NO</v>
      </c>
    </row>
    <row r="461" spans="2:31">
      <c r="B461" t="str">
        <f>'Final data_for_R_analysis_Dryse'!A607</f>
        <v>Dry</v>
      </c>
      <c r="C461" s="260">
        <f>'Final data_for_R_analysis_Dryse'!B607</f>
        <v>166</v>
      </c>
      <c r="D461" t="s">
        <v>3825</v>
      </c>
      <c r="E461" t="s">
        <v>25</v>
      </c>
      <c r="F461" s="382">
        <v>6</v>
      </c>
      <c r="G461" s="383">
        <f>IF('Dry_Litterbag Placem_Collection'!E168="","",'Dry_Litterbag Placem_Collection'!E168)</f>
        <v>42940</v>
      </c>
      <c r="H461" s="92" t="str">
        <f>'Final data_for_R_analysis_Dryse'!K607</f>
        <v>G409</v>
      </c>
      <c r="I461" t="str">
        <f>'Final data_for_R_analysis_Dryse'!K827</f>
        <v>R269</v>
      </c>
      <c r="J461">
        <f>IFERROR(INDEX('Green_rooibos initial weight'!$C$5:$C$2000,MATCH(H461, 'Green_rooibos initial weight'!$A$5:$A$2000,0)),"")</f>
        <v>1.968</v>
      </c>
      <c r="K461">
        <f>IFERROR(INDEX('Green_rooibos initial weight'!$C$5:$C$2000,MATCH(I461, 'Green_rooibos initial weight'!$A$5:$A$2000,0)),"")</f>
        <v>2.278</v>
      </c>
      <c r="L461" s="194">
        <f t="shared" ref="L461:L515" si="48">IFERROR(IF(J461&gt;0,(J461*$F$31-($F$29+$F$30)),""),"")</f>
        <v>1.7181999999999999</v>
      </c>
      <c r="M461" s="237">
        <f>AVERAGE(Ashed_controlls!$K$1:$K$11)</f>
        <v>5.5147656768714146</v>
      </c>
      <c r="N461" s="194">
        <f>IFERROR(IF(K461&gt;0,(K461*$F$32-($F$29+$F$30)),""),"")</f>
        <v>2.0282</v>
      </c>
      <c r="O461" s="383">
        <f>IF('Dry_Litterbag Placem_Collection'!G168="","",'Dry_Litterbag Placem_Collection'!G168)</f>
        <v>43009</v>
      </c>
      <c r="P461" s="194">
        <f>IFERROR(INDEX('Both teabags AfterDry'!$D$3:$D$2000,MATCH(H461,'Both teabags AfterDry'!$A$3:$A$2000,0)),"")</f>
        <v>0.77039999999999997</v>
      </c>
      <c r="Q461" s="194">
        <f>IFERROR(INDEX('Both teabags AfterDry'!$D$3:$D$2000,MATCH(I461,'Both teabags AfterDry'!$A$3:$A$2000,0)),"")</f>
        <v>1.8042</v>
      </c>
      <c r="R461" s="194">
        <f t="shared" ref="R461:S515" si="49">IFERROR(IF(P461&gt;0,P461-($F$29),""),"")</f>
        <v>0.61979999999999991</v>
      </c>
      <c r="S461" s="194">
        <f t="shared" si="49"/>
        <v>1.6536</v>
      </c>
      <c r="T461" s="194">
        <f t="shared" ref="T461:T515" si="50">IFERROR(1-R461/L461,"")</f>
        <v>0.63927365847980444</v>
      </c>
      <c r="U461" s="194">
        <f t="shared" ref="U461:U515" si="51">IFERROR($F$26*(1-X461),"")</f>
        <v>0.41909627016728279</v>
      </c>
      <c r="V461" s="194">
        <f t="shared" ref="V461:V515" si="52">IFERROR(S461/N461,"")</f>
        <v>0.81530421063011538</v>
      </c>
      <c r="W461">
        <f t="shared" ref="W461:W515" si="53">IFERROR(IF((O461-G461)&gt;0,(IFERROR(O461-G461,"")),""),"")</f>
        <v>69</v>
      </c>
      <c r="X461" s="194">
        <f t="shared" ref="X461:X515" si="54">IFERROR(1-(T461/$F$25),"")</f>
        <v>0.24076762650854577</v>
      </c>
      <c r="Y461" s="194">
        <f t="shared" ref="Y461:Y515" si="55">IFERROR(LN(U461/(V461-(1-U461)))/W461,"")</f>
        <v>8.4212977736596792E-3</v>
      </c>
      <c r="Z461" s="252" t="str">
        <f>IF(ISNUMBER(SEARCH("C", 'Dry_Litterbag Placem_Collection'!$V168)),"YES","NO")</f>
        <v>NO</v>
      </c>
      <c r="AA461" s="252" t="str">
        <f>IF(ISNUMBER(SEARCH("H", 'Dry_Litterbag Placem_Collection'!$V168)),"YES","NO")</f>
        <v>NO</v>
      </c>
      <c r="AB461" s="252" t="str">
        <f>IF(ISNUMBER(SEARCH("R", 'Dry_Litterbag Placem_Collection'!$V168)),"YES","NO")</f>
        <v>NO</v>
      </c>
      <c r="AC461" s="252" t="str">
        <f>IF(ISNUMBER(SEARCH("C", 'Dry_Litterbag Placem_Collection'!$U168)),"YES","NO")</f>
        <v>NO</v>
      </c>
      <c r="AD461" s="252" t="str">
        <f>IF(ISNUMBER(SEARCH("H", 'Dry_Litterbag Placem_Collection'!$U168)),"YES","NO")</f>
        <v>NO</v>
      </c>
      <c r="AE461" s="252" t="str">
        <f>IF(ISNUMBER(SEARCH("R", 'Dry_Litterbag Placem_Collection'!$U168)),"YES","NO")</f>
        <v>NO</v>
      </c>
    </row>
    <row r="462" spans="2:31">
      <c r="B462" t="str">
        <f>'Final data_for_R_analysis_Dryse'!A608</f>
        <v>Dry</v>
      </c>
      <c r="C462" s="260">
        <f>'Final data_for_R_analysis_Dryse'!B608</f>
        <v>167</v>
      </c>
      <c r="D462" t="s">
        <v>3825</v>
      </c>
      <c r="E462" t="s">
        <v>25</v>
      </c>
      <c r="F462" s="382">
        <v>7</v>
      </c>
      <c r="G462" s="383" t="str">
        <f>IF('Dry_Litterbag Placem_Collection'!E169="","",'Dry_Litterbag Placem_Collection'!E169)</f>
        <v/>
      </c>
      <c r="H462" s="92" t="str">
        <f>'Final data_for_R_analysis_Dryse'!K608</f>
        <v/>
      </c>
      <c r="I462" t="str">
        <f>'Final data_for_R_analysis_Dryse'!K828</f>
        <v/>
      </c>
      <c r="J462" t="str">
        <f>IFERROR(INDEX('Green_rooibos initial weight'!$C$5:$C$2000,MATCH(H462, 'Green_rooibos initial weight'!$A$5:$A$2000,0)),"")</f>
        <v/>
      </c>
      <c r="K462" t="str">
        <f>IFERROR(INDEX('Green_rooibos initial weight'!$C$5:$C$2000,MATCH(I462, 'Green_rooibos initial weight'!$A$5:$A$2000,0)),"")</f>
        <v/>
      </c>
      <c r="L462" s="194" t="str">
        <f t="shared" si="48"/>
        <v/>
      </c>
      <c r="M462" s="237">
        <f>AVERAGE(Ashed_controlls!$K$1:$K$11)</f>
        <v>5.5147656768714146</v>
      </c>
      <c r="N462" s="194" t="str">
        <f>IFERROR(IF(K462&gt;0,(K462*$F$32-($F$29+$F$30)),""),"")</f>
        <v/>
      </c>
      <c r="O462" s="383" t="str">
        <f>IF('Dry_Litterbag Placem_Collection'!G169="","",'Dry_Litterbag Placem_Collection'!G169)</f>
        <v/>
      </c>
      <c r="P462" s="194" t="str">
        <f>IFERROR(INDEX('Both teabags AfterDry'!$D$3:$D$2000,MATCH(H462,'Both teabags AfterDry'!$A$3:$A$2000,0)),"")</f>
        <v/>
      </c>
      <c r="Q462" s="194" t="str">
        <f>IFERROR(INDEX('Both teabags AfterDry'!$D$3:$D$2000,MATCH(I462,'Both teabags AfterDry'!$A$3:$A$2000,0)),"")</f>
        <v/>
      </c>
      <c r="R462" s="194" t="str">
        <f t="shared" si="49"/>
        <v/>
      </c>
      <c r="S462" s="194" t="str">
        <f t="shared" si="49"/>
        <v/>
      </c>
      <c r="T462" s="194" t="str">
        <f t="shared" si="50"/>
        <v/>
      </c>
      <c r="U462" s="194" t="str">
        <f t="shared" si="51"/>
        <v/>
      </c>
      <c r="V462" s="194" t="str">
        <f t="shared" si="52"/>
        <v/>
      </c>
      <c r="W462" t="str">
        <f t="shared" si="53"/>
        <v/>
      </c>
      <c r="X462" s="194" t="str">
        <f t="shared" si="54"/>
        <v/>
      </c>
      <c r="Y462" s="194" t="str">
        <f t="shared" si="55"/>
        <v/>
      </c>
      <c r="Z462" s="252" t="str">
        <f>IF(ISNUMBER(SEARCH("C", 'Dry_Litterbag Placem_Collection'!$V169)),"YES","NO")</f>
        <v>NO</v>
      </c>
      <c r="AA462" s="252" t="str">
        <f>IF(ISNUMBER(SEARCH("H", 'Dry_Litterbag Placem_Collection'!$V169)),"YES","NO")</f>
        <v>NO</v>
      </c>
      <c r="AB462" s="252" t="str">
        <f>IF(ISNUMBER(SEARCH("R", 'Dry_Litterbag Placem_Collection'!$V169)),"YES","NO")</f>
        <v>NO</v>
      </c>
      <c r="AC462" s="252" t="str">
        <f>IF(ISNUMBER(SEARCH("C", 'Dry_Litterbag Placem_Collection'!$U169)),"YES","NO")</f>
        <v>NO</v>
      </c>
      <c r="AD462" s="252" t="str">
        <f>IF(ISNUMBER(SEARCH("H", 'Dry_Litterbag Placem_Collection'!$U169)),"YES","NO")</f>
        <v>NO</v>
      </c>
      <c r="AE462" s="252" t="str">
        <f>IF(ISNUMBER(SEARCH("R", 'Dry_Litterbag Placem_Collection'!$U169)),"YES","NO")</f>
        <v>NO</v>
      </c>
    </row>
    <row r="463" spans="2:31">
      <c r="B463" t="str">
        <f>'Final data_for_R_analysis_Dryse'!A609</f>
        <v>Dry</v>
      </c>
      <c r="C463" s="260">
        <f>'Final data_for_R_analysis_Dryse'!B609</f>
        <v>168</v>
      </c>
      <c r="D463" t="s">
        <v>3825</v>
      </c>
      <c r="E463" t="s">
        <v>25</v>
      </c>
      <c r="F463" s="382">
        <v>8</v>
      </c>
      <c r="G463" s="383">
        <f>IF('Dry_Litterbag Placem_Collection'!E170="","",'Dry_Litterbag Placem_Collection'!E170)</f>
        <v>42940</v>
      </c>
      <c r="H463" s="92" t="str">
        <f>'Final data_for_R_analysis_Dryse'!K609</f>
        <v>G304</v>
      </c>
      <c r="I463" t="str">
        <f>'Final data_for_R_analysis_Dryse'!K829</f>
        <v>R413</v>
      </c>
      <c r="J463">
        <f>IFERROR(INDEX('Green_rooibos initial weight'!$C$5:$C$2000,MATCH(H463, 'Green_rooibos initial weight'!$A$5:$A$2000,0)),"")</f>
        <v>1.9490000000000001</v>
      </c>
      <c r="K463">
        <f>IFERROR(INDEX('Green_rooibos initial weight'!$C$5:$C$2000,MATCH(I463, 'Green_rooibos initial weight'!$A$5:$A$2000,0)),"")</f>
        <v>2.214</v>
      </c>
      <c r="L463" s="194">
        <f t="shared" si="48"/>
        <v>1.6992</v>
      </c>
      <c r="M463" s="237">
        <f>AVERAGE(Ashed_controlls!$K$1:$K$11)</f>
        <v>5.5147656768714146</v>
      </c>
      <c r="N463" s="194">
        <f>IFERROR(IF(K463&gt;0,(K463*$F$32-($F$29+$F$30)),""),"")</f>
        <v>1.9641999999999999</v>
      </c>
      <c r="O463" s="383">
        <f>IF('Dry_Litterbag Placem_Collection'!G170="","",'Dry_Litterbag Placem_Collection'!G170)</f>
        <v>43009</v>
      </c>
      <c r="P463" s="194" t="str">
        <f>IFERROR(INDEX('Both teabags AfterDry'!$D$3:$D$2000,MATCH(H463,'Both teabags AfterDry'!$A$3:$A$2000,0)),"")</f>
        <v/>
      </c>
      <c r="Q463" s="194" t="str">
        <f>IFERROR(INDEX('Both teabags AfterDry'!$D$3:$D$2000,MATCH(I463,'Both teabags AfterDry'!$A$3:$A$2000,0)),"")</f>
        <v/>
      </c>
      <c r="R463" s="194" t="str">
        <f t="shared" si="49"/>
        <v/>
      </c>
      <c r="S463" s="194" t="str">
        <f t="shared" si="49"/>
        <v/>
      </c>
      <c r="T463" s="194" t="str">
        <f t="shared" si="50"/>
        <v/>
      </c>
      <c r="U463" s="194" t="str">
        <f t="shared" si="51"/>
        <v/>
      </c>
      <c r="V463" s="194" t="str">
        <f t="shared" si="52"/>
        <v/>
      </c>
      <c r="W463">
        <f t="shared" si="53"/>
        <v>69</v>
      </c>
      <c r="X463" s="194" t="str">
        <f t="shared" si="54"/>
        <v/>
      </c>
      <c r="Y463" s="194" t="str">
        <f t="shared" si="55"/>
        <v/>
      </c>
      <c r="Z463" s="252" t="str">
        <f>IF(ISNUMBER(SEARCH("C", 'Dry_Litterbag Placem_Collection'!$V170)),"YES","NO")</f>
        <v>NO</v>
      </c>
      <c r="AA463" s="252" t="str">
        <f>IF(ISNUMBER(SEARCH("H", 'Dry_Litterbag Placem_Collection'!$V170)),"YES","NO")</f>
        <v>NO</v>
      </c>
      <c r="AB463" s="252" t="str">
        <f>IF(ISNUMBER(SEARCH("R", 'Dry_Litterbag Placem_Collection'!$V170)),"YES","NO")</f>
        <v>YES</v>
      </c>
      <c r="AC463" s="252" t="str">
        <f>IF(ISNUMBER(SEARCH("C", 'Dry_Litterbag Placem_Collection'!$U170)),"YES","NO")</f>
        <v>NO</v>
      </c>
      <c r="AD463" s="252" t="str">
        <f>IF(ISNUMBER(SEARCH("H", 'Dry_Litterbag Placem_Collection'!$U170)),"YES","NO")</f>
        <v>NO</v>
      </c>
      <c r="AE463" s="252" t="str">
        <f>IF(ISNUMBER(SEARCH("R", 'Dry_Litterbag Placem_Collection'!$U170)),"YES","NO")</f>
        <v>NO</v>
      </c>
    </row>
    <row r="464" spans="2:31">
      <c r="B464" t="str">
        <f>'Final data_for_R_analysis_Dryse'!A610</f>
        <v>Dry</v>
      </c>
      <c r="C464" s="260">
        <f>'Final data_for_R_analysis_Dryse'!B610</f>
        <v>169</v>
      </c>
      <c r="D464" t="s">
        <v>3827</v>
      </c>
      <c r="E464" t="s">
        <v>25</v>
      </c>
      <c r="F464" s="381">
        <v>1</v>
      </c>
      <c r="G464" s="383">
        <f>IF('Dry_Litterbag Placem_Collection'!E171="","",'Dry_Litterbag Placem_Collection'!E171)</f>
        <v>42940</v>
      </c>
      <c r="H464" s="92" t="str">
        <f>'Final data_for_R_analysis_Dryse'!K610</f>
        <v>G135</v>
      </c>
      <c r="I464" t="str">
        <f>'Final data_for_R_analysis_Dryse'!K830</f>
        <v>R80</v>
      </c>
      <c r="J464">
        <f>IFERROR(INDEX('Green_rooibos initial weight'!$C$5:$C$2000,MATCH(H464, 'Green_rooibos initial weight'!$A$5:$A$2000,0)),"")</f>
        <v>2.0049999999999999</v>
      </c>
      <c r="K464">
        <f>IFERROR(INDEX('Green_rooibos initial weight'!$C$5:$C$2000,MATCH(I464, 'Green_rooibos initial weight'!$A$5:$A$2000,0)),"")</f>
        <v>2.177</v>
      </c>
      <c r="L464" s="194">
        <f t="shared" si="48"/>
        <v>1.7551999999999999</v>
      </c>
      <c r="M464" s="237">
        <f>AVERAGE(Ashed_controlls!$K$1:$K$11)</f>
        <v>5.5147656768714146</v>
      </c>
      <c r="N464" s="194">
        <f>IFERROR(IF(K464&gt;0,(K464*$F$32-($F$29+$F$30)),""),"")</f>
        <v>1.9272</v>
      </c>
      <c r="O464" s="383">
        <f>IF('Dry_Litterbag Placem_Collection'!G171="","",'Dry_Litterbag Placem_Collection'!G171)</f>
        <v>43009</v>
      </c>
      <c r="P464" s="194">
        <f>IFERROR(INDEX('Both teabags AfterDry'!$D$3:$D$2000,MATCH(H464,'Both teabags AfterDry'!$A$3:$A$2000,0)),"")</f>
        <v>0.78129999999999999</v>
      </c>
      <c r="Q464" s="194">
        <f>IFERROR(INDEX('Both teabags AfterDry'!$D$3:$D$2000,MATCH(I464,'Both teabags AfterDry'!$A$3:$A$2000,0)),"")</f>
        <v>1.8815999999999999</v>
      </c>
      <c r="R464" s="194">
        <f t="shared" si="49"/>
        <v>0.63070000000000004</v>
      </c>
      <c r="S464" s="194">
        <f t="shared" si="49"/>
        <v>1.7309999999999999</v>
      </c>
      <c r="T464" s="194">
        <f t="shared" si="50"/>
        <v>0.64066773017319956</v>
      </c>
      <c r="U464" s="194">
        <f t="shared" si="51"/>
        <v>0.42001019840333281</v>
      </c>
      <c r="V464" s="194">
        <f t="shared" si="52"/>
        <v>0.89819427148194264</v>
      </c>
      <c r="W464">
        <f t="shared" si="53"/>
        <v>69</v>
      </c>
      <c r="X464" s="194">
        <f t="shared" si="54"/>
        <v>0.23911195941425223</v>
      </c>
      <c r="Y464" s="194">
        <f t="shared" si="55"/>
        <v>4.0229685461178385E-3</v>
      </c>
      <c r="Z464" s="252" t="str">
        <f>IF(ISNUMBER(SEARCH("C", 'Dry_Litterbag Placem_Collection'!$V171)),"YES","NO")</f>
        <v>NO</v>
      </c>
      <c r="AA464" s="252" t="str">
        <f>IF(ISNUMBER(SEARCH("H", 'Dry_Litterbag Placem_Collection'!$V171)),"YES","NO")</f>
        <v>NO</v>
      </c>
      <c r="AB464" s="252" t="str">
        <f>IF(ISNUMBER(SEARCH("R", 'Dry_Litterbag Placem_Collection'!$V171)),"YES","NO")</f>
        <v>YES</v>
      </c>
      <c r="AC464" s="252" t="str">
        <f>IF(ISNUMBER(SEARCH("C", 'Dry_Litterbag Placem_Collection'!$U171)),"YES","NO")</f>
        <v>NO</v>
      </c>
      <c r="AD464" s="252" t="str">
        <f>IF(ISNUMBER(SEARCH("H", 'Dry_Litterbag Placem_Collection'!$U171)),"YES","NO")</f>
        <v>NO</v>
      </c>
      <c r="AE464" s="252" t="str">
        <f>IF(ISNUMBER(SEARCH("R", 'Dry_Litterbag Placem_Collection'!$U171)),"YES","NO")</f>
        <v>YES</v>
      </c>
    </row>
    <row r="465" spans="2:31">
      <c r="B465" t="str">
        <f>'Final data_for_R_analysis_Dryse'!A611</f>
        <v>Dry</v>
      </c>
      <c r="C465" s="260">
        <f>'Final data_for_R_analysis_Dryse'!B611</f>
        <v>170</v>
      </c>
      <c r="D465" t="s">
        <v>3827</v>
      </c>
      <c r="E465" t="s">
        <v>25</v>
      </c>
      <c r="F465" s="381">
        <v>2</v>
      </c>
      <c r="G465" s="383">
        <f>IF('Dry_Litterbag Placem_Collection'!E172="","",'Dry_Litterbag Placem_Collection'!E172)</f>
        <v>42940</v>
      </c>
      <c r="H465" s="92" t="str">
        <f>'Final data_for_R_analysis_Dryse'!K611</f>
        <v>G515</v>
      </c>
      <c r="I465" t="str">
        <f>'Final data_for_R_analysis_Dryse'!K831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48"/>
        <v>1.7392000000000001</v>
      </c>
      <c r="M465" s="237">
        <f>AVERAGE(Ashed_controlls!$K$1:$K$11)</f>
        <v>5.5147656768714146</v>
      </c>
      <c r="N465" s="194">
        <f>IFERROR(IF(K465&gt;0,(K465*$F$32-($F$29+$F$30)),""),"")</f>
        <v>1.9752000000000001</v>
      </c>
      <c r="O465" s="383">
        <f>IF('Dry_Litterbag Placem_Collection'!G172="","",'Dry_Litterbag Placem_Collection'!G172)</f>
        <v>43009</v>
      </c>
      <c r="P465" s="194">
        <f>IFERROR(INDEX('Both teabags AfterDry'!$D$3:$D$2000,MATCH(H465,'Both teabags AfterDry'!$A$3:$A$2000,0)),"")</f>
        <v>0.77959999999999996</v>
      </c>
      <c r="Q465" s="194">
        <f>IFERROR(INDEX('Both teabags AfterDry'!$D$3:$D$2000,MATCH(I465,'Both teabags AfterDry'!$A$3:$A$2000,0)),"")</f>
        <v>1.8463000000000001</v>
      </c>
      <c r="R465" s="194">
        <f t="shared" si="49"/>
        <v>0.629</v>
      </c>
      <c r="S465" s="194">
        <f t="shared" si="49"/>
        <v>1.6957</v>
      </c>
      <c r="T465" s="194">
        <f t="shared" si="50"/>
        <v>0.63833946642134309</v>
      </c>
      <c r="U465" s="194">
        <f t="shared" si="51"/>
        <v>0.41848383071803019</v>
      </c>
      <c r="V465" s="194">
        <f t="shared" si="52"/>
        <v>0.8584953422438234</v>
      </c>
      <c r="W465">
        <f t="shared" si="53"/>
        <v>69</v>
      </c>
      <c r="X465" s="194">
        <f t="shared" si="54"/>
        <v>0.24187711826443814</v>
      </c>
      <c r="Y465" s="194">
        <f t="shared" si="55"/>
        <v>5.9811005421561833E-3</v>
      </c>
      <c r="Z465" s="252" t="str">
        <f>IF(ISNUMBER(SEARCH("C", 'Dry_Litterbag Placem_Collection'!$V172)),"YES","NO")</f>
        <v>NO</v>
      </c>
      <c r="AA465" s="252" t="str">
        <f>IF(ISNUMBER(SEARCH("H", 'Dry_Litterbag Placem_Collection'!$V172)),"YES","NO")</f>
        <v>NO</v>
      </c>
      <c r="AB465" s="252" t="str">
        <f>IF(ISNUMBER(SEARCH("R", 'Dry_Litterbag Placem_Collection'!$V172)),"YES","NO")</f>
        <v>NO</v>
      </c>
      <c r="AC465" s="252" t="str">
        <f>IF(ISNUMBER(SEARCH("C", 'Dry_Litterbag Placem_Collection'!$U172)),"YES","NO")</f>
        <v>NO</v>
      </c>
      <c r="AD465" s="252" t="str">
        <f>IF(ISNUMBER(SEARCH("H", 'Dry_Litterbag Placem_Collection'!$U172)),"YES","NO")</f>
        <v>NO</v>
      </c>
      <c r="AE465" s="252" t="str">
        <f>IF(ISNUMBER(SEARCH("R", 'Dry_Litterbag Placem_Collection'!$U172)),"YES","NO")</f>
        <v>YES</v>
      </c>
    </row>
    <row r="466" spans="2:31">
      <c r="B466" t="str">
        <f>'Final data_for_R_analysis_Dryse'!A612</f>
        <v>Dry</v>
      </c>
      <c r="C466" s="260">
        <f>'Final data_for_R_analysis_Dryse'!B612</f>
        <v>171</v>
      </c>
      <c r="D466" t="s">
        <v>3827</v>
      </c>
      <c r="E466" t="s">
        <v>25</v>
      </c>
      <c r="F466" s="381">
        <v>3</v>
      </c>
      <c r="G466" s="383">
        <f>IF('Dry_Litterbag Placem_Collection'!E173="","",'Dry_Litterbag Placem_Collection'!E173)</f>
        <v>42940</v>
      </c>
      <c r="H466" s="92" t="str">
        <f>'Final data_for_R_analysis_Dryse'!K612</f>
        <v>G348</v>
      </c>
      <c r="I466" t="str">
        <f>'Final data_for_R_analysis_Dryse'!K832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48"/>
        <v>1.7641999999999998</v>
      </c>
      <c r="M466" s="237">
        <f>AVERAGE(Ashed_controlls!$K$1:$K$11)</f>
        <v>5.5147656768714146</v>
      </c>
      <c r="N466" s="194">
        <f>IFERROR(IF(K466&gt;0,(K466*$F$32-($F$29+$F$30)),""),"")</f>
        <v>1.8262</v>
      </c>
      <c r="O466" s="383">
        <f>IF('Dry_Litterbag Placem_Collection'!G173="","",'Dry_Litterbag Placem_Collection'!G173)</f>
        <v>43009</v>
      </c>
      <c r="P466" s="194">
        <f>IFERROR(INDEX('Both teabags AfterDry'!$D$3:$D$2000,MATCH(H466,'Both teabags AfterDry'!$A$3:$A$2000,0)),"")</f>
        <v>0.69310000000000005</v>
      </c>
      <c r="Q466" s="194">
        <f>IFERROR(INDEX('Both teabags AfterDry'!$D$3:$D$2000,MATCH(I466,'Both teabags AfterDry'!$A$3:$A$2000,0)),"")</f>
        <v>1.6096999999999999</v>
      </c>
      <c r="R466" s="194">
        <f t="shared" si="49"/>
        <v>0.54249999999999998</v>
      </c>
      <c r="S466" s="194">
        <f t="shared" si="49"/>
        <v>1.4590999999999998</v>
      </c>
      <c r="T466" s="194">
        <f t="shared" si="50"/>
        <v>0.69249518195215964</v>
      </c>
      <c r="U466" s="194">
        <f t="shared" si="51"/>
        <v>0.45398734018716408</v>
      </c>
      <c r="V466" s="194">
        <f t="shared" si="52"/>
        <v>0.79898149162194709</v>
      </c>
      <c r="W466">
        <f t="shared" si="53"/>
        <v>69</v>
      </c>
      <c r="X466" s="194">
        <f t="shared" si="54"/>
        <v>0.17755916632760138</v>
      </c>
      <c r="Y466" s="194">
        <f t="shared" si="55"/>
        <v>8.4754061723794297E-3</v>
      </c>
      <c r="Z466" s="252" t="str">
        <f>IF(ISNUMBER(SEARCH("C", 'Dry_Litterbag Placem_Collection'!$V173)),"YES","NO")</f>
        <v>NO</v>
      </c>
      <c r="AA466" s="252" t="str">
        <f>IF(ISNUMBER(SEARCH("H", 'Dry_Litterbag Placem_Collection'!$V173)),"YES","NO")</f>
        <v>NO</v>
      </c>
      <c r="AB466" s="252" t="str">
        <f>IF(ISNUMBER(SEARCH("R", 'Dry_Litterbag Placem_Collection'!$V173)),"YES","NO")</f>
        <v>NO</v>
      </c>
      <c r="AC466" s="252" t="str">
        <f>IF(ISNUMBER(SEARCH("C", 'Dry_Litterbag Placem_Collection'!$U173)),"YES","NO")</f>
        <v>NO</v>
      </c>
      <c r="AD466" s="252" t="str">
        <f>IF(ISNUMBER(SEARCH("H", 'Dry_Litterbag Placem_Collection'!$U173)),"YES","NO")</f>
        <v>NO</v>
      </c>
      <c r="AE466" s="252" t="str">
        <f>IF(ISNUMBER(SEARCH("R", 'Dry_Litterbag Placem_Collection'!$U173)),"YES","NO")</f>
        <v>YES</v>
      </c>
    </row>
    <row r="467" spans="2:31">
      <c r="B467" t="str">
        <f>'Final data_for_R_analysis_Dryse'!A613</f>
        <v>Dry</v>
      </c>
      <c r="C467" s="260">
        <f>'Final data_for_R_analysis_Dryse'!B613</f>
        <v>172</v>
      </c>
      <c r="D467" t="s">
        <v>3827</v>
      </c>
      <c r="E467" t="s">
        <v>25</v>
      </c>
      <c r="F467" s="382">
        <v>4</v>
      </c>
      <c r="G467" s="383" t="str">
        <f>IF('Dry_Litterbag Placem_Collection'!E174="","",'Dry_Litterbag Placem_Collection'!E174)</f>
        <v/>
      </c>
      <c r="H467" s="92" t="str">
        <f>'Final data_for_R_analysis_Dryse'!K613</f>
        <v/>
      </c>
      <c r="I467" t="str">
        <f>'Final data_for_R_analysis_Dryse'!K833</f>
        <v/>
      </c>
      <c r="J467" t="str">
        <f>IFERROR(INDEX('Green_rooibos initial weight'!$C$5:$C$2000,MATCH(H467, 'Green_rooibos initial weight'!$A$5:$A$2000,0)),"")</f>
        <v/>
      </c>
      <c r="K467" t="str">
        <f>IFERROR(INDEX('Green_rooibos initial weight'!$C$5:$C$2000,MATCH(I467, 'Green_rooibos initial weight'!$A$5:$A$2000,0)),"")</f>
        <v/>
      </c>
      <c r="L467" s="194" t="str">
        <f t="shared" si="48"/>
        <v/>
      </c>
      <c r="M467" s="237">
        <f>AVERAGE(Ashed_controlls!$K$1:$K$11)</f>
        <v>5.5147656768714146</v>
      </c>
      <c r="N467" s="194" t="str">
        <f>IFERROR(IF(K467&gt;0,(K467*$F$32-($F$29+$F$30)),""),"")</f>
        <v/>
      </c>
      <c r="O467" s="383" t="str">
        <f>IF('Dry_Litterbag Placem_Collection'!G174="","",'Dry_Litterbag Placem_Collection'!G174)</f>
        <v/>
      </c>
      <c r="P467" s="194" t="str">
        <f>IFERROR(INDEX('Both teabags AfterDry'!$D$3:$D$2000,MATCH(H467,'Both teabags AfterDry'!$A$3:$A$2000,0)),"")</f>
        <v/>
      </c>
      <c r="Q467" s="194" t="str">
        <f>IFERROR(INDEX('Both teabags AfterDry'!$D$3:$D$2000,MATCH(I467,'Both teabags AfterDry'!$A$3:$A$2000,0)),"")</f>
        <v/>
      </c>
      <c r="R467" s="194" t="str">
        <f t="shared" si="49"/>
        <v/>
      </c>
      <c r="S467" s="194" t="str">
        <f t="shared" si="49"/>
        <v/>
      </c>
      <c r="T467" s="194" t="str">
        <f t="shared" si="50"/>
        <v/>
      </c>
      <c r="U467" s="194" t="str">
        <f t="shared" si="51"/>
        <v/>
      </c>
      <c r="V467" s="194" t="str">
        <f t="shared" si="52"/>
        <v/>
      </c>
      <c r="W467" t="str">
        <f t="shared" si="53"/>
        <v/>
      </c>
      <c r="X467" s="194" t="str">
        <f t="shared" si="54"/>
        <v/>
      </c>
      <c r="Y467" s="194" t="str">
        <f t="shared" si="55"/>
        <v/>
      </c>
      <c r="Z467" s="252" t="str">
        <f>IF(ISNUMBER(SEARCH("C", 'Dry_Litterbag Placem_Collection'!$V174)),"YES","NO")</f>
        <v>NO</v>
      </c>
      <c r="AA467" s="252" t="str">
        <f>IF(ISNUMBER(SEARCH("H", 'Dry_Litterbag Placem_Collection'!$V174)),"YES","NO")</f>
        <v>NO</v>
      </c>
      <c r="AB467" s="252" t="str">
        <f>IF(ISNUMBER(SEARCH("R", 'Dry_Litterbag Placem_Collection'!$V174)),"YES","NO")</f>
        <v>NO</v>
      </c>
      <c r="AC467" s="252" t="str">
        <f>IF(ISNUMBER(SEARCH("C", 'Dry_Litterbag Placem_Collection'!$U174)),"YES","NO")</f>
        <v>NO</v>
      </c>
      <c r="AD467" s="252" t="str">
        <f>IF(ISNUMBER(SEARCH("H", 'Dry_Litterbag Placem_Collection'!$U174)),"YES","NO")</f>
        <v>NO</v>
      </c>
      <c r="AE467" s="252" t="str">
        <f>IF(ISNUMBER(SEARCH("R", 'Dry_Litterbag Placem_Collection'!$U174)),"YES","NO")</f>
        <v>NO</v>
      </c>
    </row>
    <row r="468" spans="2:31">
      <c r="B468" t="str">
        <f>'Final data_for_R_analysis_Dryse'!A614</f>
        <v>Dry</v>
      </c>
      <c r="C468" s="260">
        <f>'Final data_for_R_analysis_Dryse'!B614</f>
        <v>173</v>
      </c>
      <c r="D468" t="s">
        <v>3827</v>
      </c>
      <c r="E468" t="s">
        <v>25</v>
      </c>
      <c r="F468" s="382">
        <v>5</v>
      </c>
      <c r="G468" s="383">
        <f>IF('Dry_Litterbag Placem_Collection'!E175="","",'Dry_Litterbag Placem_Collection'!E175)</f>
        <v>42940</v>
      </c>
      <c r="H468" s="92" t="str">
        <f>'Final data_for_R_analysis_Dryse'!K614</f>
        <v>G307</v>
      </c>
      <c r="I468" t="str">
        <f>'Final data_for_R_analysis_Dryse'!K834</f>
        <v>R473</v>
      </c>
      <c r="J468">
        <f>IFERROR(INDEX('Green_rooibos initial weight'!$C$5:$C$2000,MATCH(H468, 'Green_rooibos initial weight'!$A$5:$A$2000,0)),"")</f>
        <v>1.9810000000000001</v>
      </c>
      <c r="K468">
        <f>IFERROR(INDEX('Green_rooibos initial weight'!$C$5:$C$2000,MATCH(I468, 'Green_rooibos initial weight'!$A$5:$A$2000,0)),"")</f>
        <v>2.302</v>
      </c>
      <c r="L468" s="194">
        <f t="shared" si="48"/>
        <v>1.7312000000000001</v>
      </c>
      <c r="M468" s="237">
        <f>AVERAGE(Ashed_controlls!$K$1:$K$11)</f>
        <v>5.5147656768714146</v>
      </c>
      <c r="N468" s="194">
        <f>IFERROR(IF(K468&gt;0,(K468*$F$32-($F$29+$F$30)),""),"")</f>
        <v>2.0522</v>
      </c>
      <c r="O468" s="383">
        <f>IF('Dry_Litterbag Placem_Collection'!G175="","",'Dry_Litterbag Placem_Collection'!G175)</f>
        <v>43009</v>
      </c>
      <c r="P468" s="194" t="str">
        <f>IFERROR(INDEX('Both teabags AfterDry'!$D$3:$D$2000,MATCH(H468,'Both teabags AfterDry'!$A$3:$A$2000,0)),"")</f>
        <v/>
      </c>
      <c r="Q468" s="194" t="str">
        <f>IFERROR(INDEX('Both teabags AfterDry'!$D$3:$D$2000,MATCH(I468,'Both teabags AfterDry'!$A$3:$A$2000,0)),"")</f>
        <v/>
      </c>
      <c r="R468" s="194" t="str">
        <f t="shared" si="49"/>
        <v/>
      </c>
      <c r="S468" s="194" t="str">
        <f t="shared" si="49"/>
        <v/>
      </c>
      <c r="T468" s="194" t="str">
        <f t="shared" si="50"/>
        <v/>
      </c>
      <c r="U468" s="194" t="str">
        <f t="shared" si="51"/>
        <v/>
      </c>
      <c r="V468" s="194" t="str">
        <f t="shared" si="52"/>
        <v/>
      </c>
      <c r="W468">
        <f t="shared" si="53"/>
        <v>69</v>
      </c>
      <c r="X468" s="194" t="str">
        <f t="shared" si="54"/>
        <v/>
      </c>
      <c r="Y468" s="194" t="str">
        <f t="shared" si="55"/>
        <v/>
      </c>
      <c r="Z468" s="252" t="str">
        <f>IF(ISNUMBER(SEARCH("C", 'Dry_Litterbag Placem_Collection'!$V175)),"YES","NO")</f>
        <v>NO</v>
      </c>
      <c r="AA468" s="252" t="str">
        <f>IF(ISNUMBER(SEARCH("H", 'Dry_Litterbag Placem_Collection'!$V175)),"YES","NO")</f>
        <v>NO</v>
      </c>
      <c r="AB468" s="252" t="str">
        <f>IF(ISNUMBER(SEARCH("R", 'Dry_Litterbag Placem_Collection'!$V175)),"YES","NO")</f>
        <v>NO</v>
      </c>
      <c r="AC468" s="252" t="str">
        <f>IF(ISNUMBER(SEARCH("C", 'Dry_Litterbag Placem_Collection'!$U175)),"YES","NO")</f>
        <v>NO</v>
      </c>
      <c r="AD468" s="252" t="str">
        <f>IF(ISNUMBER(SEARCH("H", 'Dry_Litterbag Placem_Collection'!$U175)),"YES","NO")</f>
        <v>NO</v>
      </c>
      <c r="AE468" s="252" t="str">
        <f>IF(ISNUMBER(SEARCH("R", 'Dry_Litterbag Placem_Collection'!$U175)),"YES","NO")</f>
        <v>NO</v>
      </c>
    </row>
    <row r="469" spans="2:31">
      <c r="B469" t="str">
        <f>'Final data_for_R_analysis_Dryse'!A615</f>
        <v>Dry</v>
      </c>
      <c r="C469" s="260">
        <f>'Final data_for_R_analysis_Dryse'!B615</f>
        <v>174</v>
      </c>
      <c r="D469" t="s">
        <v>3827</v>
      </c>
      <c r="E469" t="s">
        <v>25</v>
      </c>
      <c r="F469" s="382">
        <v>6</v>
      </c>
      <c r="G469" s="383">
        <f>IF('Dry_Litterbag Placem_Collection'!E176="","",'Dry_Litterbag Placem_Collection'!E176)</f>
        <v>42940</v>
      </c>
      <c r="H469" s="92" t="str">
        <f>'Final data_for_R_analysis_Dryse'!K615</f>
        <v>G155</v>
      </c>
      <c r="I469" t="str">
        <f>'Final data_for_R_analysis_Dryse'!K835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48"/>
        <v>1.7881999999999998</v>
      </c>
      <c r="M469" s="237">
        <f>AVERAGE(Ashed_controlls!$K$1:$K$11)</f>
        <v>5.5147656768714146</v>
      </c>
      <c r="N469" s="194">
        <f>IFERROR(IF(K469&gt;0,(K469*$F$32-($F$29+$F$30)),""),"")</f>
        <v>1.9512</v>
      </c>
      <c r="O469" s="383">
        <f>IF('Dry_Litterbag Placem_Collection'!G176="","",'Dry_Litterbag Placem_Collection'!G176)</f>
        <v>43009</v>
      </c>
      <c r="P469" s="194">
        <f>IFERROR(INDEX('Both teabags AfterDry'!$D$3:$D$2000,MATCH(H469,'Both teabags AfterDry'!$A$3:$A$2000,0)),"")</f>
        <v>0.78239999999999998</v>
      </c>
      <c r="Q469" s="194">
        <f>IFERROR(INDEX('Both teabags AfterDry'!$D$3:$D$2000,MATCH(I469,'Both teabags AfterDry'!$A$3:$A$2000,0)),"")</f>
        <v>1.7047000000000001</v>
      </c>
      <c r="R469" s="194">
        <f t="shared" si="49"/>
        <v>0.63179999999999992</v>
      </c>
      <c r="S469" s="194">
        <f t="shared" si="49"/>
        <v>1.5541</v>
      </c>
      <c r="T469" s="194">
        <f t="shared" si="50"/>
        <v>0.6466838161279499</v>
      </c>
      <c r="U469" s="194">
        <f t="shared" si="51"/>
        <v>0.42395423575134017</v>
      </c>
      <c r="V469" s="194">
        <f t="shared" si="52"/>
        <v>0.79648421484214837</v>
      </c>
      <c r="W469">
        <f t="shared" si="53"/>
        <v>69</v>
      </c>
      <c r="X469" s="194">
        <f t="shared" si="54"/>
        <v>0.23196696421858676</v>
      </c>
      <c r="Y469" s="194">
        <f t="shared" si="55"/>
        <v>9.4783622401016995E-3</v>
      </c>
      <c r="Z469" s="252" t="str">
        <f>IF(ISNUMBER(SEARCH("C", 'Dry_Litterbag Placem_Collection'!$V176)),"YES","NO")</f>
        <v>NO</v>
      </c>
      <c r="AA469" s="252" t="str">
        <f>IF(ISNUMBER(SEARCH("H", 'Dry_Litterbag Placem_Collection'!$V176)),"YES","NO")</f>
        <v>NO</v>
      </c>
      <c r="AB469" s="252" t="str">
        <f>IF(ISNUMBER(SEARCH("R", 'Dry_Litterbag Placem_Collection'!$V176)),"YES","NO")</f>
        <v>NO</v>
      </c>
      <c r="AC469" s="252" t="str">
        <f>IF(ISNUMBER(SEARCH("C", 'Dry_Litterbag Placem_Collection'!$U176)),"YES","NO")</f>
        <v>NO</v>
      </c>
      <c r="AD469" s="252" t="str">
        <f>IF(ISNUMBER(SEARCH("H", 'Dry_Litterbag Placem_Collection'!$U176)),"YES","NO")</f>
        <v>NO</v>
      </c>
      <c r="AE469" s="252" t="str">
        <f>IF(ISNUMBER(SEARCH("R", 'Dry_Litterbag Placem_Collection'!$U176)),"YES","NO")</f>
        <v>NO</v>
      </c>
    </row>
    <row r="470" spans="2:31">
      <c r="B470" t="str">
        <f>'Final data_for_R_analysis_Dryse'!A616</f>
        <v>Dry</v>
      </c>
      <c r="C470" s="260">
        <f>'Final data_for_R_analysis_Dryse'!B616</f>
        <v>175</v>
      </c>
      <c r="D470" t="s">
        <v>3827</v>
      </c>
      <c r="E470" t="s">
        <v>25</v>
      </c>
      <c r="F470" s="382">
        <v>7</v>
      </c>
      <c r="G470" s="383">
        <f>IF('Dry_Litterbag Placem_Collection'!E177="","",'Dry_Litterbag Placem_Collection'!E177)</f>
        <v>42940</v>
      </c>
      <c r="H470" s="92" t="str">
        <f>'Final data_for_R_analysis_Dryse'!K616</f>
        <v>G719</v>
      </c>
      <c r="I470" t="str">
        <f>'Final data_for_R_analysis_Dryse'!K836</f>
        <v>R175</v>
      </c>
      <c r="J470">
        <f>IFERROR(INDEX('Green_rooibos initial weight'!$C$5:$C$2000,MATCH(H470, 'Green_rooibos initial weight'!$A$5:$A$2000,0)),"")</f>
        <v>2.02</v>
      </c>
      <c r="K470">
        <f>IFERROR(INDEX('Green_rooibos initial weight'!$C$5:$C$2000,MATCH(I470, 'Green_rooibos initial weight'!$A$5:$A$2000,0)),"")</f>
        <v>2.2330000000000001</v>
      </c>
      <c r="L470" s="194">
        <f t="shared" si="48"/>
        <v>1.7702</v>
      </c>
      <c r="M470" s="237">
        <f>AVERAGE(Ashed_controlls!$K$1:$K$11)</f>
        <v>5.5147656768714146</v>
      </c>
      <c r="N470" s="194">
        <f>IFERROR(IF(K470&gt;0,(K470*$F$32-($F$29+$F$30)),""),"")</f>
        <v>1.9832000000000001</v>
      </c>
      <c r="O470" s="383">
        <f>IF('Dry_Litterbag Placem_Collection'!G177="","",'Dry_Litterbag Placem_Collection'!G177)</f>
        <v>43009</v>
      </c>
      <c r="P470" s="194">
        <f>IFERROR(INDEX('Both teabags AfterDry'!$D$3:$D$2000,MATCH(H470,'Both teabags AfterDry'!$A$3:$A$2000,0)),"")</f>
        <v>0.80269999999999997</v>
      </c>
      <c r="Q470" s="194">
        <f>IFERROR(INDEX('Both teabags AfterDry'!$D$3:$D$2000,MATCH(I470,'Both teabags AfterDry'!$A$3:$A$2000,0)),"")</f>
        <v>1.8721000000000001</v>
      </c>
      <c r="R470" s="194">
        <f t="shared" si="49"/>
        <v>0.6520999999999999</v>
      </c>
      <c r="S470" s="194">
        <f t="shared" si="49"/>
        <v>1.7215</v>
      </c>
      <c r="T470" s="194">
        <f t="shared" si="50"/>
        <v>0.63162354536210596</v>
      </c>
      <c r="U470" s="194">
        <f t="shared" si="51"/>
        <v>0.41408099410912419</v>
      </c>
      <c r="V470" s="194">
        <f t="shared" si="52"/>
        <v>0.86804154901169828</v>
      </c>
      <c r="W470">
        <f t="shared" si="53"/>
        <v>69</v>
      </c>
      <c r="X470" s="194">
        <f t="shared" si="54"/>
        <v>0.24985327154144177</v>
      </c>
      <c r="Y470" s="194">
        <f t="shared" si="55"/>
        <v>5.5611603770005713E-3</v>
      </c>
      <c r="Z470" s="252" t="str">
        <f>IF(ISNUMBER(SEARCH("C", 'Dry_Litterbag Placem_Collection'!$V177)),"YES","NO")</f>
        <v>NO</v>
      </c>
      <c r="AA470" s="252" t="str">
        <f>IF(ISNUMBER(SEARCH("H", 'Dry_Litterbag Placem_Collection'!$V177)),"YES","NO")</f>
        <v>NO</v>
      </c>
      <c r="AB470" s="252" t="str">
        <f>IF(ISNUMBER(SEARCH("R", 'Dry_Litterbag Placem_Collection'!$V177)),"YES","NO")</f>
        <v>YES</v>
      </c>
      <c r="AC470" s="252" t="str">
        <f>IF(ISNUMBER(SEARCH("C", 'Dry_Litterbag Placem_Collection'!$U177)),"YES","NO")</f>
        <v>NO</v>
      </c>
      <c r="AD470" s="252" t="str">
        <f>IF(ISNUMBER(SEARCH("H", 'Dry_Litterbag Placem_Collection'!$U177)),"YES","NO")</f>
        <v>NO</v>
      </c>
      <c r="AE470" s="252" t="str">
        <f>IF(ISNUMBER(SEARCH("R", 'Dry_Litterbag Placem_Collection'!$U177)),"YES","NO")</f>
        <v>NO</v>
      </c>
    </row>
    <row r="471" spans="2:31">
      <c r="B471" t="str">
        <f>'Final data_for_R_analysis_Dryse'!A617</f>
        <v>Dry</v>
      </c>
      <c r="C471" s="260">
        <f>'Final data_for_R_analysis_Dryse'!B617</f>
        <v>176</v>
      </c>
      <c r="D471" t="s">
        <v>3827</v>
      </c>
      <c r="E471" t="s">
        <v>25</v>
      </c>
      <c r="F471" s="382">
        <v>8</v>
      </c>
      <c r="G471" s="383">
        <f>IF('Dry_Litterbag Placem_Collection'!E178="","",'Dry_Litterbag Placem_Collection'!E178)</f>
        <v>42940</v>
      </c>
      <c r="H471" s="92" t="str">
        <f>'Final data_for_R_analysis_Dryse'!K617</f>
        <v>G323</v>
      </c>
      <c r="I471" t="str">
        <f>'Final data_for_R_analysis_Dryse'!K837</f>
        <v>R332</v>
      </c>
      <c r="J471">
        <f>IFERROR(INDEX('Green_rooibos initial weight'!$C$5:$C$2000,MATCH(H471, 'Green_rooibos initial weight'!$A$5:$A$2000,0)),"")</f>
        <v>1.97</v>
      </c>
      <c r="K471">
        <f>IFERROR(INDEX('Green_rooibos initial weight'!$C$5:$C$2000,MATCH(I471, 'Green_rooibos initial weight'!$A$5:$A$2000,0)),"")</f>
        <v>2.1880000000000002</v>
      </c>
      <c r="L471" s="194">
        <f t="shared" si="48"/>
        <v>1.7202</v>
      </c>
      <c r="M471" s="237">
        <f>AVERAGE(Ashed_controlls!$K$1:$K$11)</f>
        <v>5.5147656768714146</v>
      </c>
      <c r="N471" s="194">
        <f>IFERROR(IF(K471&gt;0,(K471*$F$32-($F$29+$F$30)),""),"")</f>
        <v>1.9382000000000001</v>
      </c>
      <c r="O471" s="383">
        <f>IF('Dry_Litterbag Placem_Collection'!G178="","",'Dry_Litterbag Placem_Collection'!G178)</f>
        <v>43009</v>
      </c>
      <c r="P471" s="194">
        <f>IFERROR(INDEX('Both teabags AfterDry'!$D$3:$D$2000,MATCH(H471,'Both teabags AfterDry'!$A$3:$A$2000,0)),"")</f>
        <v>0.74829999999999997</v>
      </c>
      <c r="Q471" s="194">
        <f>IFERROR(INDEX('Both teabags AfterDry'!$D$3:$D$2000,MATCH(I471,'Both teabags AfterDry'!$A$3:$A$2000,0)),"")</f>
        <v>1.8720000000000001</v>
      </c>
      <c r="R471" s="194">
        <f t="shared" si="49"/>
        <v>0.5976999999999999</v>
      </c>
      <c r="S471" s="194">
        <f t="shared" si="49"/>
        <v>1.7214</v>
      </c>
      <c r="T471" s="194">
        <f t="shared" si="50"/>
        <v>0.65254040227880483</v>
      </c>
      <c r="U471" s="194">
        <f t="shared" si="51"/>
        <v>0.42779370790724502</v>
      </c>
      <c r="V471" s="194">
        <f t="shared" si="52"/>
        <v>0.88814363842740685</v>
      </c>
      <c r="W471">
        <f t="shared" si="53"/>
        <v>69</v>
      </c>
      <c r="X471" s="194">
        <f t="shared" si="54"/>
        <v>0.22501139871875908</v>
      </c>
      <c r="Y471" s="194">
        <f t="shared" si="55"/>
        <v>4.3927125460899909E-3</v>
      </c>
      <c r="Z471" s="252" t="str">
        <f>IF(ISNUMBER(SEARCH("C", 'Dry_Litterbag Placem_Collection'!$V178)),"YES","NO")</f>
        <v>NO</v>
      </c>
      <c r="AA471" s="252" t="str">
        <f>IF(ISNUMBER(SEARCH("H", 'Dry_Litterbag Placem_Collection'!$V178)),"YES","NO")</f>
        <v>NO</v>
      </c>
      <c r="AB471" s="252" t="str">
        <f>IF(ISNUMBER(SEARCH("R", 'Dry_Litterbag Placem_Collection'!$V178)),"YES","NO")</f>
        <v>YES</v>
      </c>
      <c r="AC471" s="252" t="str">
        <f>IF(ISNUMBER(SEARCH("C", 'Dry_Litterbag Placem_Collection'!$U178)),"YES","NO")</f>
        <v>NO</v>
      </c>
      <c r="AD471" s="252" t="str">
        <f>IF(ISNUMBER(SEARCH("H", 'Dry_Litterbag Placem_Collection'!$U178)),"YES","NO")</f>
        <v>NO</v>
      </c>
      <c r="AE471" s="252" t="str">
        <f>IF(ISNUMBER(SEARCH("R", 'Dry_Litterbag Placem_Collection'!$U178)),"YES","NO")</f>
        <v>YES</v>
      </c>
    </row>
    <row r="472" spans="2:31">
      <c r="B472" t="str">
        <f>'Final data_for_R_analysis_Dryse'!A618</f>
        <v>Dry</v>
      </c>
      <c r="C472" s="260">
        <f>'Final data_for_R_analysis_Dryse'!B618</f>
        <v>177</v>
      </c>
      <c r="D472" t="s">
        <v>3828</v>
      </c>
      <c r="E472" t="s">
        <v>25</v>
      </c>
      <c r="F472" s="381">
        <v>1</v>
      </c>
      <c r="G472" s="383">
        <f>IF('Dry_Litterbag Placem_Collection'!E179="","",'Dry_Litterbag Placem_Collection'!E179)</f>
        <v>42940</v>
      </c>
      <c r="H472" s="92" t="str">
        <f>'Final data_for_R_analysis_Dryse'!K618</f>
        <v>G14</v>
      </c>
      <c r="I472" t="str">
        <f>'Final data_for_R_analysis_Dryse'!K838</f>
        <v>R70</v>
      </c>
      <c r="J472">
        <f>IFERROR(INDEX('Green_rooibos initial weight'!$C$5:$C$2000,MATCH(H472, 'Green_rooibos initial weight'!$A$5:$A$2000,0)),"")</f>
        <v>2.0750000000000002</v>
      </c>
      <c r="K472">
        <f>IFERROR(INDEX('Green_rooibos initial weight'!$C$5:$C$2000,MATCH(I472, 'Green_rooibos initial weight'!$A$5:$A$2000,0)),"")</f>
        <v>2.23</v>
      </c>
      <c r="L472" s="194">
        <f t="shared" si="48"/>
        <v>1.8252000000000002</v>
      </c>
      <c r="M472" s="237">
        <f>AVERAGE(Ashed_controlls!$K$1:$K$11)</f>
        <v>5.5147656768714146</v>
      </c>
      <c r="N472" s="194">
        <f>IFERROR(IF(K472&gt;0,(K472*$F$32-($F$29+$F$30)),""),"")</f>
        <v>1.9802</v>
      </c>
      <c r="O472" s="383">
        <f>IF('Dry_Litterbag Placem_Collection'!G179="","",'Dry_Litterbag Placem_Collection'!G179)</f>
        <v>43009</v>
      </c>
      <c r="P472" s="194" t="str">
        <f>IFERROR(INDEX('Both teabags AfterDry'!$D$3:$D$2000,MATCH(H472,'Both teabags AfterDry'!$A$3:$A$2000,0)),"")</f>
        <v/>
      </c>
      <c r="Q472" s="194" t="str">
        <f>IFERROR(INDEX('Both teabags AfterDry'!$D$3:$D$2000,MATCH(I472,'Both teabags AfterDry'!$A$3:$A$2000,0)),"")</f>
        <v/>
      </c>
      <c r="R472" s="194" t="str">
        <f t="shared" si="49"/>
        <v/>
      </c>
      <c r="S472" s="194" t="str">
        <f t="shared" si="49"/>
        <v/>
      </c>
      <c r="T472" s="194" t="str">
        <f t="shared" si="50"/>
        <v/>
      </c>
      <c r="U472" s="194" t="str">
        <f t="shared" si="51"/>
        <v/>
      </c>
      <c r="V472" s="194" t="str">
        <f t="shared" si="52"/>
        <v/>
      </c>
      <c r="W472">
        <f t="shared" si="53"/>
        <v>69</v>
      </c>
      <c r="X472" s="194" t="str">
        <f t="shared" si="54"/>
        <v/>
      </c>
      <c r="Y472" s="194" t="str">
        <f t="shared" si="55"/>
        <v/>
      </c>
      <c r="Z472" s="252" t="str">
        <f>IF(ISNUMBER(SEARCH("C", 'Dry_Litterbag Placem_Collection'!$V179)),"YES","NO")</f>
        <v>NO</v>
      </c>
      <c r="AA472" s="252" t="str">
        <f>IF(ISNUMBER(SEARCH("H", 'Dry_Litterbag Placem_Collection'!$V179)),"YES","NO")</f>
        <v>NO</v>
      </c>
      <c r="AB472" s="252" t="str">
        <f>IF(ISNUMBER(SEARCH("R", 'Dry_Litterbag Placem_Collection'!$V179)),"YES","NO")</f>
        <v>YES</v>
      </c>
      <c r="AC472" s="252" t="str">
        <f>IF(ISNUMBER(SEARCH("C", 'Dry_Litterbag Placem_Collection'!$U179)),"YES","NO")</f>
        <v>NO</v>
      </c>
      <c r="AD472" s="252" t="str">
        <f>IF(ISNUMBER(SEARCH("H", 'Dry_Litterbag Placem_Collection'!$U179)),"YES","NO")</f>
        <v>NO</v>
      </c>
      <c r="AE472" s="252" t="str">
        <f>IF(ISNUMBER(SEARCH("R", 'Dry_Litterbag Placem_Collection'!$U179)),"YES","NO")</f>
        <v>NO</v>
      </c>
    </row>
    <row r="473" spans="2:31">
      <c r="B473" t="str">
        <f>'Final data_for_R_analysis_Dryse'!A619</f>
        <v>Dry</v>
      </c>
      <c r="C473" s="260">
        <f>'Final data_for_R_analysis_Dryse'!B619</f>
        <v>178</v>
      </c>
      <c r="D473" t="s">
        <v>3828</v>
      </c>
      <c r="E473" t="s">
        <v>25</v>
      </c>
      <c r="F473" s="381">
        <v>2</v>
      </c>
      <c r="G473" s="383">
        <f>IF('Dry_Litterbag Placem_Collection'!E180="","",'Dry_Litterbag Placem_Collection'!E180)</f>
        <v>42940</v>
      </c>
      <c r="H473" s="92" t="str">
        <f>'Final data_for_R_analysis_Dryse'!K619</f>
        <v>G410</v>
      </c>
      <c r="I473" t="str">
        <f>'Final data_for_R_analysis_Dryse'!K839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48"/>
        <v>1.8612000000000002</v>
      </c>
      <c r="M473" s="237">
        <f>AVERAGE(Ashed_controlls!$K$1:$K$11)</f>
        <v>5.5147656768714146</v>
      </c>
      <c r="N473" s="194">
        <f>IFERROR(IF(K473&gt;0,(K473*$F$32-($F$29+$F$30)),""),"")</f>
        <v>1.9552</v>
      </c>
      <c r="O473" s="383">
        <f>IF('Dry_Litterbag Placem_Collection'!G180="","",'Dry_Litterbag Placem_Collection'!G180)</f>
        <v>43009</v>
      </c>
      <c r="P473" s="194">
        <f>IFERROR(INDEX('Both teabags AfterDry'!$D$3:$D$2000,MATCH(H473,'Both teabags AfterDry'!$A$3:$A$2000,0)),"")</f>
        <v>0.71050000000000002</v>
      </c>
      <c r="Q473" s="194">
        <f>IFERROR(INDEX('Both teabags AfterDry'!$D$3:$D$2000,MATCH(I473,'Both teabags AfterDry'!$A$3:$A$2000,0)),"")</f>
        <v>1.8359000000000001</v>
      </c>
      <c r="R473" s="194">
        <f t="shared" si="49"/>
        <v>0.55990000000000006</v>
      </c>
      <c r="S473" s="194">
        <f t="shared" si="49"/>
        <v>1.6853</v>
      </c>
      <c r="T473" s="194">
        <f t="shared" si="50"/>
        <v>0.69917257683215128</v>
      </c>
      <c r="U473" s="194">
        <f t="shared" si="51"/>
        <v>0.45836491972844129</v>
      </c>
      <c r="V473" s="194">
        <f t="shared" si="52"/>
        <v>0.86195785597381336</v>
      </c>
      <c r="W473">
        <f t="shared" si="53"/>
        <v>69</v>
      </c>
      <c r="X473" s="194">
        <f t="shared" si="54"/>
        <v>0.16962876860789633</v>
      </c>
      <c r="Y473" s="194">
        <f t="shared" si="55"/>
        <v>5.1932822222561011E-3</v>
      </c>
      <c r="Z473" s="252" t="str">
        <f>IF(ISNUMBER(SEARCH("C", 'Dry_Litterbag Placem_Collection'!$V180)),"YES","NO")</f>
        <v>NO</v>
      </c>
      <c r="AA473" s="252" t="str">
        <f>IF(ISNUMBER(SEARCH("H", 'Dry_Litterbag Placem_Collection'!$V180)),"YES","NO")</f>
        <v>NO</v>
      </c>
      <c r="AB473" s="252" t="str">
        <f>IF(ISNUMBER(SEARCH("R", 'Dry_Litterbag Placem_Collection'!$V180)),"YES","NO")</f>
        <v>NO</v>
      </c>
      <c r="AC473" s="252" t="str">
        <f>IF(ISNUMBER(SEARCH("C", 'Dry_Litterbag Placem_Collection'!$U180)),"YES","NO")</f>
        <v>NO</v>
      </c>
      <c r="AD473" s="252" t="str">
        <f>IF(ISNUMBER(SEARCH("H", 'Dry_Litterbag Placem_Collection'!$U180)),"YES","NO")</f>
        <v>NO</v>
      </c>
      <c r="AE473" s="252" t="str">
        <f>IF(ISNUMBER(SEARCH("R", 'Dry_Litterbag Placem_Collection'!$U180)),"YES","NO")</f>
        <v>NO</v>
      </c>
    </row>
    <row r="474" spans="2:31">
      <c r="B474" t="str">
        <f>'Final data_for_R_analysis_Dryse'!A620</f>
        <v>Dry</v>
      </c>
      <c r="C474" s="260">
        <f>'Final data_for_R_analysis_Dryse'!B620</f>
        <v>179</v>
      </c>
      <c r="D474" t="s">
        <v>3828</v>
      </c>
      <c r="E474" t="s">
        <v>25</v>
      </c>
      <c r="F474" s="381">
        <v>3</v>
      </c>
      <c r="G474" s="383">
        <f>IF('Dry_Litterbag Placem_Collection'!E181="","",'Dry_Litterbag Placem_Collection'!E181)</f>
        <v>42940</v>
      </c>
      <c r="H474" s="92" t="str">
        <f>'Final data_for_R_analysis_Dryse'!K620</f>
        <v>G78</v>
      </c>
      <c r="I474" t="str">
        <f>'Final data_for_R_analysis_Dryse'!K840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48"/>
        <v>1.7881999999999998</v>
      </c>
      <c r="M474" s="237">
        <f>AVERAGE(Ashed_controlls!$K$1:$K$11)</f>
        <v>5.5147656768714146</v>
      </c>
      <c r="N474" s="194">
        <f>IFERROR(IF(K474&gt;0,(K474*$F$32-($F$29+$F$30)),""),"")</f>
        <v>1.8521999999999998</v>
      </c>
      <c r="O474" s="383">
        <f>IF('Dry_Litterbag Placem_Collection'!G181="","",'Dry_Litterbag Placem_Collection'!G181)</f>
        <v>43009</v>
      </c>
      <c r="P474" s="194">
        <f>IFERROR(INDEX('Both teabags AfterDry'!$D$3:$D$2000,MATCH(H474,'Both teabags AfterDry'!$A$3:$A$2000,0)),"")</f>
        <v>0.871</v>
      </c>
      <c r="Q474" s="194">
        <f>IFERROR(INDEX('Both teabags AfterDry'!$D$3:$D$2000,MATCH(I474,'Both teabags AfterDry'!$A$3:$A$2000,0)),"")</f>
        <v>1.6580999999999999</v>
      </c>
      <c r="R474" s="194">
        <f t="shared" si="49"/>
        <v>0.72039999999999993</v>
      </c>
      <c r="S474" s="194">
        <f t="shared" si="49"/>
        <v>1.5074999999999998</v>
      </c>
      <c r="T474" s="194">
        <f t="shared" si="50"/>
        <v>0.59713678559445249</v>
      </c>
      <c r="U474" s="194">
        <f t="shared" si="51"/>
        <v>0.39147209696928481</v>
      </c>
      <c r="V474" s="194">
        <f t="shared" si="52"/>
        <v>0.81389698736637506</v>
      </c>
      <c r="W474">
        <f t="shared" si="53"/>
        <v>69</v>
      </c>
      <c r="X474" s="194">
        <f t="shared" si="54"/>
        <v>0.29081141853390435</v>
      </c>
      <c r="Y474" s="194">
        <f t="shared" si="55"/>
        <v>9.3493546238809459E-3</v>
      </c>
      <c r="Z474" s="252" t="str">
        <f>IF(ISNUMBER(SEARCH("C", 'Dry_Litterbag Placem_Collection'!$V181)),"YES","NO")</f>
        <v>NO</v>
      </c>
      <c r="AA474" s="252" t="str">
        <f>IF(ISNUMBER(SEARCH("H", 'Dry_Litterbag Placem_Collection'!$V181)),"YES","NO")</f>
        <v>NO</v>
      </c>
      <c r="AB474" s="252" t="str">
        <f>IF(ISNUMBER(SEARCH("R", 'Dry_Litterbag Placem_Collection'!$V181)),"YES","NO")</f>
        <v>NO</v>
      </c>
      <c r="AC474" s="252" t="str">
        <f>IF(ISNUMBER(SEARCH("C", 'Dry_Litterbag Placem_Collection'!$U181)),"YES","NO")</f>
        <v>NO</v>
      </c>
      <c r="AD474" s="252" t="str">
        <f>IF(ISNUMBER(SEARCH("H", 'Dry_Litterbag Placem_Collection'!$U181)),"YES","NO")</f>
        <v>NO</v>
      </c>
      <c r="AE474" s="252" t="str">
        <f>IF(ISNUMBER(SEARCH("R", 'Dry_Litterbag Placem_Collection'!$U181)),"YES","NO")</f>
        <v>YES</v>
      </c>
    </row>
    <row r="475" spans="2:31">
      <c r="B475" t="str">
        <f>'Final data_for_R_analysis_Dryse'!A621</f>
        <v>Dry</v>
      </c>
      <c r="C475" s="260">
        <f>'Final data_for_R_analysis_Dryse'!B621</f>
        <v>180</v>
      </c>
      <c r="D475" t="s">
        <v>3828</v>
      </c>
      <c r="E475" t="s">
        <v>25</v>
      </c>
      <c r="F475" s="382">
        <v>4</v>
      </c>
      <c r="G475" s="383">
        <f>IF('Dry_Litterbag Placem_Collection'!E182="","",'Dry_Litterbag Placem_Collection'!E182)</f>
        <v>42940</v>
      </c>
      <c r="H475" s="92" t="str">
        <f>'Final data_for_R_analysis_Dryse'!K621</f>
        <v>G422</v>
      </c>
      <c r="I475" t="str">
        <f>'Final data_for_R_analysis_Dryse'!K841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48"/>
        <v>1.7551999999999999</v>
      </c>
      <c r="M475" s="237">
        <f>AVERAGE(Ashed_controlls!$K$1:$K$11)</f>
        <v>5.5147656768714146</v>
      </c>
      <c r="N475" s="194">
        <f>IFERROR(IF(K475&gt;0,(K475*$F$32-($F$29+$F$30)),""),"")</f>
        <v>1.8982000000000001</v>
      </c>
      <c r="O475" s="383">
        <f>IF('Dry_Litterbag Placem_Collection'!G182="","",'Dry_Litterbag Placem_Collection'!G182)</f>
        <v>43009</v>
      </c>
      <c r="P475" s="194">
        <f>IFERROR(INDEX('Both teabags AfterDry'!$D$3:$D$2000,MATCH(H475,'Both teabags AfterDry'!$A$3:$A$2000,0)),"")</f>
        <v>0.751</v>
      </c>
      <c r="Q475" s="194">
        <f>IFERROR(INDEX('Both teabags AfterDry'!$D$3:$D$2000,MATCH(I475,'Both teabags AfterDry'!$A$3:$A$2000,0)),"")</f>
        <v>1.6716</v>
      </c>
      <c r="R475" s="194">
        <f t="shared" si="49"/>
        <v>0.60040000000000004</v>
      </c>
      <c r="S475" s="194">
        <f t="shared" si="49"/>
        <v>1.5209999999999999</v>
      </c>
      <c r="T475" s="194">
        <f t="shared" si="50"/>
        <v>0.6579307201458523</v>
      </c>
      <c r="U475" s="194">
        <f t="shared" si="51"/>
        <v>0.43132750299348038</v>
      </c>
      <c r="V475" s="194">
        <f t="shared" si="52"/>
        <v>0.8012854283004951</v>
      </c>
      <c r="W475">
        <f t="shared" si="53"/>
        <v>69</v>
      </c>
      <c r="X475" s="194">
        <f t="shared" si="54"/>
        <v>0.2186095960263037</v>
      </c>
      <c r="Y475" s="194">
        <f t="shared" si="55"/>
        <v>8.9491570462087167E-3</v>
      </c>
      <c r="Z475" s="252" t="str">
        <f>IF(ISNUMBER(SEARCH("C", 'Dry_Litterbag Placem_Collection'!$V182)),"YES","NO")</f>
        <v>NO</v>
      </c>
      <c r="AA475" s="252" t="str">
        <f>IF(ISNUMBER(SEARCH("H", 'Dry_Litterbag Placem_Collection'!$V182)),"YES","NO")</f>
        <v>NO</v>
      </c>
      <c r="AB475" s="252" t="str">
        <f>IF(ISNUMBER(SEARCH("R", 'Dry_Litterbag Placem_Collection'!$V182)),"YES","NO")</f>
        <v>NO</v>
      </c>
      <c r="AC475" s="252" t="str">
        <f>IF(ISNUMBER(SEARCH("C", 'Dry_Litterbag Placem_Collection'!$U182)),"YES","NO")</f>
        <v>NO</v>
      </c>
      <c r="AD475" s="252" t="str">
        <f>IF(ISNUMBER(SEARCH("H", 'Dry_Litterbag Placem_Collection'!$U182)),"YES","NO")</f>
        <v>NO</v>
      </c>
      <c r="AE475" s="252" t="str">
        <f>IF(ISNUMBER(SEARCH("R", 'Dry_Litterbag Placem_Collection'!$U182)),"YES","NO")</f>
        <v>YES</v>
      </c>
    </row>
    <row r="476" spans="2:31">
      <c r="B476" t="str">
        <f>'Final data_for_R_analysis_Dryse'!A622</f>
        <v>Dry</v>
      </c>
      <c r="C476" s="260">
        <f>'Final data_for_R_analysis_Dryse'!B622</f>
        <v>181</v>
      </c>
      <c r="D476" t="s">
        <v>3828</v>
      </c>
      <c r="E476" t="s">
        <v>25</v>
      </c>
      <c r="F476" s="382">
        <v>5</v>
      </c>
      <c r="G476" s="383">
        <f>IF('Dry_Litterbag Placem_Collection'!E183="","",'Dry_Litterbag Placem_Collection'!E183)</f>
        <v>42940</v>
      </c>
      <c r="H476" s="92" t="str">
        <f>'Final data_for_R_analysis_Dryse'!K622</f>
        <v>G870</v>
      </c>
      <c r="I476" t="str">
        <f>'Final data_for_R_analysis_Dryse'!K842</f>
        <v>R170</v>
      </c>
      <c r="J476">
        <f>IFERROR(INDEX('Green_rooibos initial weight'!$C$5:$C$2000,MATCH(H476, 'Green_rooibos initial weight'!$A$5:$A$2000,0)),"")</f>
        <v>1.972</v>
      </c>
      <c r="K476">
        <f>IFERROR(INDEX('Green_rooibos initial weight'!$C$5:$C$2000,MATCH(I476, 'Green_rooibos initial weight'!$A$5:$A$2000,0)),"")</f>
        <v>2.1120000000000001</v>
      </c>
      <c r="L476" s="194">
        <f t="shared" si="48"/>
        <v>1.7222</v>
      </c>
      <c r="M476" s="237">
        <f>AVERAGE(Ashed_controlls!$K$1:$K$11)</f>
        <v>5.5147656768714146</v>
      </c>
      <c r="N476" s="194">
        <f>IFERROR(IF(K476&gt;0,(K476*$F$32-($F$29+$F$30)),""),"")</f>
        <v>1.8622000000000001</v>
      </c>
      <c r="O476" s="383">
        <f>IF('Dry_Litterbag Placem_Collection'!G183="","",'Dry_Litterbag Placem_Collection'!G183)</f>
        <v>43009</v>
      </c>
      <c r="P476" s="194">
        <f>IFERROR(INDEX('Both teabags AfterDry'!$D$3:$D$2000,MATCH(H476,'Both teabags AfterDry'!$A$3:$A$2000,0)),"")</f>
        <v>0.75219999999999998</v>
      </c>
      <c r="Q476" s="194">
        <f>IFERROR(INDEX('Both teabags AfterDry'!$D$3:$D$2000,MATCH(I476,'Both teabags AfterDry'!$A$3:$A$2000,0)),"")</f>
        <v>1.7410000000000001</v>
      </c>
      <c r="R476" s="194">
        <f t="shared" si="49"/>
        <v>0.60159999999999991</v>
      </c>
      <c r="S476" s="194">
        <f t="shared" si="49"/>
        <v>1.5904</v>
      </c>
      <c r="T476" s="194">
        <f t="shared" si="50"/>
        <v>0.6506793636046917</v>
      </c>
      <c r="U476" s="194">
        <f t="shared" si="51"/>
        <v>0.42657364454844404</v>
      </c>
      <c r="V476" s="194">
        <f t="shared" si="52"/>
        <v>0.85404360433895388</v>
      </c>
      <c r="W476">
        <f t="shared" si="53"/>
        <v>69</v>
      </c>
      <c r="X476" s="194">
        <f t="shared" si="54"/>
        <v>0.22722165842673192</v>
      </c>
      <c r="Y476" s="194">
        <f t="shared" si="55"/>
        <v>6.0694693719159816E-3</v>
      </c>
      <c r="Z476" s="252" t="str">
        <f>IF(ISNUMBER(SEARCH("C", 'Dry_Litterbag Placem_Collection'!$V183)),"YES","NO")</f>
        <v>NO</v>
      </c>
      <c r="AA476" s="252" t="str">
        <f>IF(ISNUMBER(SEARCH("H", 'Dry_Litterbag Placem_Collection'!$V183)),"YES","NO")</f>
        <v>NO</v>
      </c>
      <c r="AB476" s="252" t="str">
        <f>IF(ISNUMBER(SEARCH("R", 'Dry_Litterbag Placem_Collection'!$V183)),"YES","NO")</f>
        <v>NO</v>
      </c>
      <c r="AC476" s="252" t="str">
        <f>IF(ISNUMBER(SEARCH("C", 'Dry_Litterbag Placem_Collection'!$U183)),"YES","NO")</f>
        <v>NO</v>
      </c>
      <c r="AD476" s="252" t="str">
        <f>IF(ISNUMBER(SEARCH("H", 'Dry_Litterbag Placem_Collection'!$U183)),"YES","NO")</f>
        <v>NO</v>
      </c>
      <c r="AE476" s="252" t="str">
        <f>IF(ISNUMBER(SEARCH("R", 'Dry_Litterbag Placem_Collection'!$U183)),"YES","NO")</f>
        <v>NO</v>
      </c>
    </row>
    <row r="477" spans="2:31">
      <c r="B477" t="str">
        <f>'Final data_for_R_analysis_Dryse'!A623</f>
        <v>Dry</v>
      </c>
      <c r="C477" s="260">
        <f>'Final data_for_R_analysis_Dryse'!B623</f>
        <v>182</v>
      </c>
      <c r="D477" t="s">
        <v>3828</v>
      </c>
      <c r="E477" t="s">
        <v>25</v>
      </c>
      <c r="F477" s="382">
        <v>6</v>
      </c>
      <c r="G477" s="383">
        <f>IF('Dry_Litterbag Placem_Collection'!E184="","",'Dry_Litterbag Placem_Collection'!E184)</f>
        <v>42940</v>
      </c>
      <c r="H477" s="92" t="str">
        <f>'Final data_for_R_analysis_Dryse'!K623</f>
        <v>G136</v>
      </c>
      <c r="I477" t="str">
        <f>'Final data_for_R_analysis_Dryse'!K843</f>
        <v>R697</v>
      </c>
      <c r="J477">
        <f>IFERROR(INDEX('Green_rooibos initial weight'!$C$5:$C$2000,MATCH(H477, 'Green_rooibos initial weight'!$A$5:$A$2000,0)),"")</f>
        <v>1.9430000000000001</v>
      </c>
      <c r="K477">
        <f>IFERROR(INDEX('Green_rooibos initial weight'!$C$5:$C$2000,MATCH(I477, 'Green_rooibos initial weight'!$A$5:$A$2000,0)),"")</f>
        <v>2.133</v>
      </c>
      <c r="L477" s="194">
        <f t="shared" si="48"/>
        <v>1.6932</v>
      </c>
      <c r="M477" s="237">
        <f>AVERAGE(Ashed_controlls!$K$1:$K$11)</f>
        <v>5.5147656768714146</v>
      </c>
      <c r="N477" s="194">
        <f>IFERROR(IF(K477&gt;0,(K477*$F$32-($F$29+$F$30)),""),"")</f>
        <v>1.8832</v>
      </c>
      <c r="O477" s="383">
        <f>IF('Dry_Litterbag Placem_Collection'!G184="","",'Dry_Litterbag Placem_Collection'!G184)</f>
        <v>43009</v>
      </c>
      <c r="P477" s="194">
        <f>IFERROR(INDEX('Both teabags AfterDry'!$D$3:$D$2000,MATCH(H477,'Both teabags AfterDry'!$A$3:$A$2000,0)),"")</f>
        <v>0.71589999999999998</v>
      </c>
      <c r="Q477" s="194">
        <f>IFERROR(INDEX('Both teabags AfterDry'!$D$3:$D$2000,MATCH(I477,'Both teabags AfterDry'!$A$3:$A$2000,0)),"")</f>
        <v>1.8089</v>
      </c>
      <c r="R477" s="194">
        <f t="shared" si="49"/>
        <v>0.56529999999999991</v>
      </c>
      <c r="S477" s="194">
        <f t="shared" si="49"/>
        <v>1.6582999999999999</v>
      </c>
      <c r="T477" s="194">
        <f t="shared" si="50"/>
        <v>0.66613512875029535</v>
      </c>
      <c r="U477" s="194">
        <f t="shared" si="51"/>
        <v>0.43670616516646449</v>
      </c>
      <c r="V477" s="194">
        <f t="shared" si="52"/>
        <v>0.8805756159728122</v>
      </c>
      <c r="W477">
        <f t="shared" si="53"/>
        <v>69</v>
      </c>
      <c r="X477" s="194">
        <f t="shared" si="54"/>
        <v>0.20886564281437603</v>
      </c>
      <c r="Y477" s="194">
        <f t="shared" si="55"/>
        <v>4.6300043403323552E-3</v>
      </c>
      <c r="Z477" s="252" t="str">
        <f>IF(ISNUMBER(SEARCH("C", 'Dry_Litterbag Placem_Collection'!$V184)),"YES","NO")</f>
        <v>NO</v>
      </c>
      <c r="AA477" s="252" t="str">
        <f>IF(ISNUMBER(SEARCH("H", 'Dry_Litterbag Placem_Collection'!$V184)),"YES","NO")</f>
        <v>NO</v>
      </c>
      <c r="AB477" s="252" t="str">
        <f>IF(ISNUMBER(SEARCH("R", 'Dry_Litterbag Placem_Collection'!$V184)),"YES","NO")</f>
        <v>NO</v>
      </c>
      <c r="AC477" s="252" t="str">
        <f>IF(ISNUMBER(SEARCH("C", 'Dry_Litterbag Placem_Collection'!$U184)),"YES","NO")</f>
        <v>NO</v>
      </c>
      <c r="AD477" s="252" t="str">
        <f>IF(ISNUMBER(SEARCH("H", 'Dry_Litterbag Placem_Collection'!$U184)),"YES","NO")</f>
        <v>NO</v>
      </c>
      <c r="AE477" s="252" t="str">
        <f>IF(ISNUMBER(SEARCH("R", 'Dry_Litterbag Placem_Collection'!$U184)),"YES","NO")</f>
        <v>YES</v>
      </c>
    </row>
    <row r="478" spans="2:31">
      <c r="B478" t="str">
        <f>'Final data_for_R_analysis_Dryse'!A624</f>
        <v>Dry</v>
      </c>
      <c r="C478" s="260">
        <f>'Final data_for_R_analysis_Dryse'!B624</f>
        <v>183</v>
      </c>
      <c r="D478" t="s">
        <v>3828</v>
      </c>
      <c r="E478" t="s">
        <v>25</v>
      </c>
      <c r="F478" s="382">
        <v>7</v>
      </c>
      <c r="G478" s="383" t="str">
        <f>IF('Dry_Litterbag Placem_Collection'!E185="","",'Dry_Litterbag Placem_Collection'!E185)</f>
        <v/>
      </c>
      <c r="H478" s="92" t="str">
        <f>'Final data_for_R_analysis_Dryse'!K624</f>
        <v/>
      </c>
      <c r="I478" t="str">
        <f>'Final data_for_R_analysis_Dryse'!K844</f>
        <v/>
      </c>
      <c r="J478" t="str">
        <f>IFERROR(INDEX('Green_rooibos initial weight'!$C$5:$C$2000,MATCH(H478, 'Green_rooibos initial weight'!$A$5:$A$2000,0)),"")</f>
        <v/>
      </c>
      <c r="K478" t="str">
        <f>IFERROR(INDEX('Green_rooibos initial weight'!$C$5:$C$2000,MATCH(I478, 'Green_rooibos initial weight'!$A$5:$A$2000,0)),"")</f>
        <v/>
      </c>
      <c r="L478" s="194" t="str">
        <f t="shared" si="48"/>
        <v/>
      </c>
      <c r="M478" s="237">
        <f>AVERAGE(Ashed_controlls!$K$1:$K$11)</f>
        <v>5.5147656768714146</v>
      </c>
      <c r="N478" s="194" t="str">
        <f>IFERROR(IF(K478&gt;0,(K478*$F$32-($F$29+$F$30)),""),"")</f>
        <v/>
      </c>
      <c r="O478" s="383" t="str">
        <f>IF('Dry_Litterbag Placem_Collection'!G185="","",'Dry_Litterbag Placem_Collection'!G185)</f>
        <v/>
      </c>
      <c r="P478" s="194" t="str">
        <f>IFERROR(INDEX('Both teabags AfterDry'!$D$3:$D$2000,MATCH(H478,'Both teabags AfterDry'!$A$3:$A$2000,0)),"")</f>
        <v/>
      </c>
      <c r="Q478" s="194" t="str">
        <f>IFERROR(INDEX('Both teabags AfterDry'!$D$3:$D$2000,MATCH(I478,'Both teabags AfterDry'!$A$3:$A$2000,0)),"")</f>
        <v/>
      </c>
      <c r="R478" s="194" t="str">
        <f t="shared" si="49"/>
        <v/>
      </c>
      <c r="S478" s="194" t="str">
        <f t="shared" si="49"/>
        <v/>
      </c>
      <c r="T478" s="194" t="str">
        <f t="shared" si="50"/>
        <v/>
      </c>
      <c r="U478" s="194" t="str">
        <f t="shared" si="51"/>
        <v/>
      </c>
      <c r="V478" s="194" t="str">
        <f t="shared" si="52"/>
        <v/>
      </c>
      <c r="W478" t="str">
        <f t="shared" si="53"/>
        <v/>
      </c>
      <c r="X478" s="194" t="str">
        <f t="shared" si="54"/>
        <v/>
      </c>
      <c r="Y478" s="194" t="str">
        <f t="shared" si="55"/>
        <v/>
      </c>
      <c r="Z478" s="252" t="str">
        <f>IF(ISNUMBER(SEARCH("C", 'Dry_Litterbag Placem_Collection'!$V185)),"YES","NO")</f>
        <v>NO</v>
      </c>
      <c r="AA478" s="252" t="str">
        <f>IF(ISNUMBER(SEARCH("H", 'Dry_Litterbag Placem_Collection'!$V185)),"YES","NO")</f>
        <v>NO</v>
      </c>
      <c r="AB478" s="252" t="str">
        <f>IF(ISNUMBER(SEARCH("R", 'Dry_Litterbag Placem_Collection'!$V185)),"YES","NO")</f>
        <v>NO</v>
      </c>
      <c r="AC478" s="252" t="str">
        <f>IF(ISNUMBER(SEARCH("C", 'Dry_Litterbag Placem_Collection'!$U185)),"YES","NO")</f>
        <v>NO</v>
      </c>
      <c r="AD478" s="252" t="str">
        <f>IF(ISNUMBER(SEARCH("H", 'Dry_Litterbag Placem_Collection'!$U185)),"YES","NO")</f>
        <v>NO</v>
      </c>
      <c r="AE478" s="252" t="str">
        <f>IF(ISNUMBER(SEARCH("R", 'Dry_Litterbag Placem_Collection'!$U185)),"YES","NO")</f>
        <v>NO</v>
      </c>
    </row>
    <row r="479" spans="2:31">
      <c r="B479" t="str">
        <f>'Final data_for_R_analysis_Dryse'!A625</f>
        <v>Dry</v>
      </c>
      <c r="C479" s="260">
        <f>'Final data_for_R_analysis_Dryse'!B625</f>
        <v>184</v>
      </c>
      <c r="D479" t="s">
        <v>3828</v>
      </c>
      <c r="E479" t="s">
        <v>25</v>
      </c>
      <c r="F479" s="382">
        <v>8</v>
      </c>
      <c r="G479" s="383">
        <f>IF('Dry_Litterbag Placem_Collection'!E186="","",'Dry_Litterbag Placem_Collection'!E186)</f>
        <v>42940</v>
      </c>
      <c r="H479" s="92" t="str">
        <f>'Final data_for_R_analysis_Dryse'!K625</f>
        <v>G266</v>
      </c>
      <c r="I479" t="str">
        <f>'Final data_for_R_analysis_Dryse'!K845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48"/>
        <v>1.7072000000000001</v>
      </c>
      <c r="M479" s="237">
        <f>AVERAGE(Ashed_controlls!$K$1:$K$11)</f>
        <v>5.5147656768714146</v>
      </c>
      <c r="N479" s="194">
        <f>IFERROR(IF(K479&gt;0,(K479*$F$32-($F$29+$F$30)),""),"")</f>
        <v>1.9131999999999998</v>
      </c>
      <c r="O479" s="383">
        <f>IF('Dry_Litterbag Placem_Collection'!G186="","",'Dry_Litterbag Placem_Collection'!G186)</f>
        <v>43009</v>
      </c>
      <c r="P479" s="194">
        <f>IFERROR(INDEX('Both teabags AfterDry'!$D$3:$D$2000,MATCH(H479,'Both teabags AfterDry'!$A$3:$A$2000,0)),"")</f>
        <v>0.69879999999999998</v>
      </c>
      <c r="Q479" s="194">
        <f>IFERROR(INDEX('Both teabags AfterDry'!$D$3:$D$2000,MATCH(I479,'Both teabags AfterDry'!$A$3:$A$2000,0)),"")</f>
        <v>1.6498999999999999</v>
      </c>
      <c r="R479" s="194">
        <f t="shared" si="49"/>
        <v>0.54820000000000002</v>
      </c>
      <c r="S479" s="194">
        <f t="shared" si="49"/>
        <v>1.4992999999999999</v>
      </c>
      <c r="T479" s="194">
        <f t="shared" si="50"/>
        <v>0.6788894095595126</v>
      </c>
      <c r="U479" s="194">
        <f t="shared" si="51"/>
        <v>0.44506764142143823</v>
      </c>
      <c r="V479" s="194">
        <f t="shared" si="52"/>
        <v>0.78366088229144892</v>
      </c>
      <c r="W479">
        <f t="shared" si="53"/>
        <v>69</v>
      </c>
      <c r="X479" s="194">
        <f t="shared" si="54"/>
        <v>0.19371804090319167</v>
      </c>
      <c r="Y479" s="194">
        <f t="shared" si="55"/>
        <v>9.6476878183940837E-3</v>
      </c>
      <c r="Z479" s="252" t="str">
        <f>IF(ISNUMBER(SEARCH("C", 'Dry_Litterbag Placem_Collection'!$V186)),"YES","NO")</f>
        <v>NO</v>
      </c>
      <c r="AA479" s="252" t="str">
        <f>IF(ISNUMBER(SEARCH("H", 'Dry_Litterbag Placem_Collection'!$V186)),"YES","NO")</f>
        <v>NO</v>
      </c>
      <c r="AB479" s="252" t="str">
        <f>IF(ISNUMBER(SEARCH("R", 'Dry_Litterbag Placem_Collection'!$V186)),"YES","NO")</f>
        <v>NO</v>
      </c>
      <c r="AC479" s="252" t="str">
        <f>IF(ISNUMBER(SEARCH("C", 'Dry_Litterbag Placem_Collection'!$U186)),"YES","NO")</f>
        <v>NO</v>
      </c>
      <c r="AD479" s="252" t="str">
        <f>IF(ISNUMBER(SEARCH("H", 'Dry_Litterbag Placem_Collection'!$U186)),"YES","NO")</f>
        <v>NO</v>
      </c>
      <c r="AE479" s="252" t="str">
        <f>IF(ISNUMBER(SEARCH("R", 'Dry_Litterbag Placem_Collection'!$U186)),"YES","NO")</f>
        <v>YES</v>
      </c>
    </row>
    <row r="480" spans="2:31">
      <c r="B480" t="str">
        <f>'Final data_for_R_analysis_Dryse'!A626</f>
        <v>Dry</v>
      </c>
      <c r="C480" s="260">
        <f>'Final data_for_R_analysis_Dryse'!B626</f>
        <v>185</v>
      </c>
      <c r="D480" t="s">
        <v>3829</v>
      </c>
      <c r="E480" t="s">
        <v>25</v>
      </c>
      <c r="F480" s="381">
        <v>1</v>
      </c>
      <c r="G480" s="383">
        <f>IF('Dry_Litterbag Placem_Collection'!E187="","",'Dry_Litterbag Placem_Collection'!E187)</f>
        <v>42940</v>
      </c>
      <c r="H480" s="92" t="str">
        <f>'Final data_for_R_analysis_Dryse'!K626</f>
        <v>G165</v>
      </c>
      <c r="I480" t="str">
        <f>'Final data_for_R_analysis_Dryse'!K846</f>
        <v>R607</v>
      </c>
      <c r="J480">
        <f>IFERROR(INDEX('Green_rooibos initial weight'!$C$5:$C$2000,MATCH(H480, 'Green_rooibos initial weight'!$A$5:$A$2000,0)),"")</f>
        <v>2.0089999999999999</v>
      </c>
      <c r="K480">
        <f>IFERROR(INDEX('Green_rooibos initial weight'!$C$5:$C$2000,MATCH(I480, 'Green_rooibos initial weight'!$A$5:$A$2000,0)),"")</f>
        <v>2.14</v>
      </c>
      <c r="L480" s="194">
        <f t="shared" si="48"/>
        <v>1.7591999999999999</v>
      </c>
      <c r="M480" s="237">
        <f>AVERAGE(Ashed_controlls!$K$1:$K$11)</f>
        <v>5.5147656768714146</v>
      </c>
      <c r="N480" s="194">
        <f>IFERROR(IF(K480&gt;0,(K480*$F$32-($F$29+$F$30)),""),"")</f>
        <v>1.8902000000000001</v>
      </c>
      <c r="O480" s="383">
        <f>IF('Dry_Litterbag Placem_Collection'!G187="","",'Dry_Litterbag Placem_Collection'!G187)</f>
        <v>43009</v>
      </c>
      <c r="P480" s="194" t="str">
        <f>IFERROR(INDEX('Both teabags AfterDry'!$D$3:$D$2000,MATCH(H480,'Both teabags AfterDry'!$A$3:$A$2000,0)),"")</f>
        <v/>
      </c>
      <c r="Q480" s="194" t="str">
        <f>IFERROR(INDEX('Both teabags AfterDry'!$D$3:$D$2000,MATCH(I480,'Both teabags AfterDry'!$A$3:$A$2000,0)),"")</f>
        <v/>
      </c>
      <c r="R480" s="194" t="str">
        <f t="shared" si="49"/>
        <v/>
      </c>
      <c r="S480" s="194" t="str">
        <f t="shared" si="49"/>
        <v/>
      </c>
      <c r="T480" s="194" t="str">
        <f t="shared" si="50"/>
        <v/>
      </c>
      <c r="U480" s="194" t="str">
        <f t="shared" si="51"/>
        <v/>
      </c>
      <c r="V480" s="194" t="str">
        <f t="shared" si="52"/>
        <v/>
      </c>
      <c r="W480">
        <f t="shared" si="53"/>
        <v>69</v>
      </c>
      <c r="X480" s="194" t="str">
        <f t="shared" si="54"/>
        <v/>
      </c>
      <c r="Y480" s="194" t="str">
        <f t="shared" si="55"/>
        <v/>
      </c>
      <c r="Z480" s="252" t="str">
        <f>IF(ISNUMBER(SEARCH("C", 'Dry_Litterbag Placem_Collection'!$V187)),"YES","NO")</f>
        <v>NO</v>
      </c>
      <c r="AA480" s="252" t="str">
        <f>IF(ISNUMBER(SEARCH("H", 'Dry_Litterbag Placem_Collection'!$V187)),"YES","NO")</f>
        <v>NO</v>
      </c>
      <c r="AB480" s="252" t="str">
        <f>IF(ISNUMBER(SEARCH("R", 'Dry_Litterbag Placem_Collection'!$V187)),"YES","NO")</f>
        <v>NO</v>
      </c>
      <c r="AC480" s="252" t="str">
        <f>IF(ISNUMBER(SEARCH("C", 'Dry_Litterbag Placem_Collection'!$U187)),"YES","NO")</f>
        <v>NO</v>
      </c>
      <c r="AD480" s="252" t="str">
        <f>IF(ISNUMBER(SEARCH("H", 'Dry_Litterbag Placem_Collection'!$U187)),"YES","NO")</f>
        <v>NO</v>
      </c>
      <c r="AE480" s="252" t="str">
        <f>IF(ISNUMBER(SEARCH("R", 'Dry_Litterbag Placem_Collection'!$U187)),"YES","NO")</f>
        <v>YES</v>
      </c>
    </row>
    <row r="481" spans="2:31">
      <c r="B481" t="str">
        <f>'Final data_for_R_analysis_Dryse'!A627</f>
        <v>Dry</v>
      </c>
      <c r="C481" s="260">
        <f>'Final data_for_R_analysis_Dryse'!B627</f>
        <v>186</v>
      </c>
      <c r="D481" t="s">
        <v>3829</v>
      </c>
      <c r="E481" t="s">
        <v>25</v>
      </c>
      <c r="F481" s="381">
        <v>2</v>
      </c>
      <c r="G481" s="383">
        <f>IF('Dry_Litterbag Placem_Collection'!E188="","",'Dry_Litterbag Placem_Collection'!E188)</f>
        <v>42940</v>
      </c>
      <c r="H481" s="92" t="str">
        <f>'Final data_for_R_analysis_Dryse'!K627</f>
        <v>G22</v>
      </c>
      <c r="I481" t="str">
        <f>'Final data_for_R_analysis_Dryse'!K847</f>
        <v>R629</v>
      </c>
      <c r="J481">
        <f>IFERROR(INDEX('Green_rooibos initial weight'!$C$5:$C$2000,MATCH(H481, 'Green_rooibos initial weight'!$A$5:$A$2000,0)),"")</f>
        <v>2.1</v>
      </c>
      <c r="K481">
        <f>IFERROR(INDEX('Green_rooibos initial weight'!$C$5:$C$2000,MATCH(I481, 'Green_rooibos initial weight'!$A$5:$A$2000,0)),"")</f>
        <v>2.1669999999999998</v>
      </c>
      <c r="L481" s="194">
        <f t="shared" si="48"/>
        <v>1.8502000000000001</v>
      </c>
      <c r="M481" s="237">
        <f>AVERAGE(Ashed_controlls!$K$1:$K$11)</f>
        <v>5.5147656768714146</v>
      </c>
      <c r="N481" s="194">
        <f>IFERROR(IF(K481&gt;0,(K481*$F$32-($F$29+$F$30)),""),"")</f>
        <v>1.9171999999999998</v>
      </c>
      <c r="O481" s="383">
        <f>IF('Dry_Litterbag Placem_Collection'!G188="","",'Dry_Litterbag Placem_Collection'!G188)</f>
        <v>43009</v>
      </c>
      <c r="P481" s="194">
        <f>IFERROR(INDEX('Both teabags AfterDry'!$D$3:$D$2000,MATCH(H481,'Both teabags AfterDry'!$A$3:$A$2000,0)),"")</f>
        <v>0.7238</v>
      </c>
      <c r="Q481" s="194">
        <f>IFERROR(INDEX('Both teabags AfterDry'!$D$3:$D$2000,MATCH(I481,'Both teabags AfterDry'!$A$3:$A$2000,0)),"")</f>
        <v>1.8498000000000001</v>
      </c>
      <c r="R481" s="194">
        <f t="shared" si="49"/>
        <v>0.57319999999999993</v>
      </c>
      <c r="S481" s="194">
        <f t="shared" si="49"/>
        <v>1.6992</v>
      </c>
      <c r="T481" s="194">
        <f t="shared" si="50"/>
        <v>0.69019565452383524</v>
      </c>
      <c r="U481" s="194">
        <f t="shared" si="51"/>
        <v>0.45247981151681366</v>
      </c>
      <c r="V481" s="194">
        <f t="shared" si="52"/>
        <v>0.88629250991028596</v>
      </c>
      <c r="W481">
        <f t="shared" si="53"/>
        <v>69</v>
      </c>
      <c r="X481" s="194">
        <f t="shared" si="54"/>
        <v>0.18029019652751155</v>
      </c>
      <c r="Y481" s="194">
        <f t="shared" si="55"/>
        <v>4.1944185967748571E-3</v>
      </c>
      <c r="Z481" s="252" t="str">
        <f>IF(ISNUMBER(SEARCH("C", 'Dry_Litterbag Placem_Collection'!$V188)),"YES","NO")</f>
        <v>NO</v>
      </c>
      <c r="AA481" s="252" t="str">
        <f>IF(ISNUMBER(SEARCH("H", 'Dry_Litterbag Placem_Collection'!$V188)),"YES","NO")</f>
        <v>NO</v>
      </c>
      <c r="AB481" s="252" t="str">
        <f>IF(ISNUMBER(SEARCH("R", 'Dry_Litterbag Placem_Collection'!$V188)),"YES","NO")</f>
        <v>NO</v>
      </c>
      <c r="AC481" s="252" t="str">
        <f>IF(ISNUMBER(SEARCH("C", 'Dry_Litterbag Placem_Collection'!$U188)),"YES","NO")</f>
        <v>NO</v>
      </c>
      <c r="AD481" s="252" t="str">
        <f>IF(ISNUMBER(SEARCH("H", 'Dry_Litterbag Placem_Collection'!$U188)),"YES","NO")</f>
        <v>NO</v>
      </c>
      <c r="AE481" s="252" t="str">
        <f>IF(ISNUMBER(SEARCH("R", 'Dry_Litterbag Placem_Collection'!$U188)),"YES","NO")</f>
        <v>NO</v>
      </c>
    </row>
    <row r="482" spans="2:31">
      <c r="B482" t="str">
        <f>'Final data_for_R_analysis_Dryse'!A628</f>
        <v>Dry</v>
      </c>
      <c r="C482" s="260">
        <f>'Final data_for_R_analysis_Dryse'!B628</f>
        <v>187</v>
      </c>
      <c r="D482" t="s">
        <v>3829</v>
      </c>
      <c r="E482" t="s">
        <v>25</v>
      </c>
      <c r="F482" s="381">
        <v>3</v>
      </c>
      <c r="G482" s="383">
        <f>IF('Dry_Litterbag Placem_Collection'!E189="","",'Dry_Litterbag Placem_Collection'!E189)</f>
        <v>42940</v>
      </c>
      <c r="H482" s="92" t="str">
        <f>'Final data_for_R_analysis_Dryse'!K628</f>
        <v>G371</v>
      </c>
      <c r="I482" t="str">
        <f>'Final data_for_R_analysis_Dryse'!K848</f>
        <v>R679</v>
      </c>
      <c r="J482">
        <f>IFERROR(INDEX('Green_rooibos initial weight'!$C$5:$C$2000,MATCH(H482, 'Green_rooibos initial weight'!$A$5:$A$2000,0)),"")</f>
        <v>2.06</v>
      </c>
      <c r="K482">
        <f>IFERROR(INDEX('Green_rooibos initial weight'!$C$5:$C$2000,MATCH(I482, 'Green_rooibos initial weight'!$A$5:$A$2000,0)),"")</f>
        <v>2.149</v>
      </c>
      <c r="L482" s="194">
        <f t="shared" si="48"/>
        <v>1.8102</v>
      </c>
      <c r="M482" s="237">
        <f>AVERAGE(Ashed_controlls!$K$1:$K$11)</f>
        <v>5.5147656768714146</v>
      </c>
      <c r="N482" s="194">
        <f>IFERROR(IF(K482&gt;0,(K482*$F$32-($F$29+$F$30)),""),"")</f>
        <v>1.8992</v>
      </c>
      <c r="O482" s="383">
        <f>IF('Dry_Litterbag Placem_Collection'!G189="","",'Dry_Litterbag Placem_Collection'!G189)</f>
        <v>43009</v>
      </c>
      <c r="P482" s="194">
        <f>IFERROR(INDEX('Both teabags AfterDry'!$D$3:$D$2000,MATCH(H482,'Both teabags AfterDry'!$A$3:$A$2000,0)),"")</f>
        <v>0.81369999999999998</v>
      </c>
      <c r="Q482" s="194">
        <f>IFERROR(INDEX('Both teabags AfterDry'!$D$3:$D$2000,MATCH(I482,'Both teabags AfterDry'!$A$3:$A$2000,0)),"")</f>
        <v>1.7021999999999999</v>
      </c>
      <c r="R482" s="194">
        <f t="shared" si="49"/>
        <v>0.66310000000000002</v>
      </c>
      <c r="S482" s="194">
        <f t="shared" si="49"/>
        <v>1.5515999999999999</v>
      </c>
      <c r="T482" s="194">
        <f t="shared" si="50"/>
        <v>0.63368688542702456</v>
      </c>
      <c r="U482" s="194">
        <f t="shared" si="51"/>
        <v>0.41543368260774061</v>
      </c>
      <c r="V482" s="194">
        <f t="shared" si="52"/>
        <v>0.81697556866048859</v>
      </c>
      <c r="W482">
        <f t="shared" si="53"/>
        <v>69</v>
      </c>
      <c r="X482" s="194">
        <f t="shared" si="54"/>
        <v>0.2474027488990207</v>
      </c>
      <c r="Y482" s="194">
        <f t="shared" si="55"/>
        <v>8.4177269739579494E-3</v>
      </c>
      <c r="Z482" s="252" t="str">
        <f>IF(ISNUMBER(SEARCH("C", 'Dry_Litterbag Placem_Collection'!$V189)),"YES","NO")</f>
        <v>NO</v>
      </c>
      <c r="AA482" s="252" t="str">
        <f>IF(ISNUMBER(SEARCH("H", 'Dry_Litterbag Placem_Collection'!$V189)),"YES","NO")</f>
        <v>NO</v>
      </c>
      <c r="AB482" s="252" t="str">
        <f>IF(ISNUMBER(SEARCH("R", 'Dry_Litterbag Placem_Collection'!$V189)),"YES","NO")</f>
        <v>NO</v>
      </c>
      <c r="AC482" s="252" t="str">
        <f>IF(ISNUMBER(SEARCH("C", 'Dry_Litterbag Placem_Collection'!$U189)),"YES","NO")</f>
        <v>NO</v>
      </c>
      <c r="AD482" s="252" t="str">
        <f>IF(ISNUMBER(SEARCH("H", 'Dry_Litterbag Placem_Collection'!$U189)),"YES","NO")</f>
        <v>NO</v>
      </c>
      <c r="AE482" s="252" t="str">
        <f>IF(ISNUMBER(SEARCH("R", 'Dry_Litterbag Placem_Collection'!$U189)),"YES","NO")</f>
        <v>NO</v>
      </c>
    </row>
    <row r="483" spans="2:31">
      <c r="B483" t="str">
        <f>'Final data_for_R_analysis_Dryse'!A629</f>
        <v>Dry</v>
      </c>
      <c r="C483" s="260">
        <f>'Final data_for_R_analysis_Dryse'!B629</f>
        <v>188</v>
      </c>
      <c r="D483" t="s">
        <v>3829</v>
      </c>
      <c r="E483" t="s">
        <v>25</v>
      </c>
      <c r="F483" s="382">
        <v>4</v>
      </c>
      <c r="G483" s="383">
        <f>IF('Dry_Litterbag Placem_Collection'!E190="","",'Dry_Litterbag Placem_Collection'!E190)</f>
        <v>42940</v>
      </c>
      <c r="H483" s="92" t="str">
        <f>'Final data_for_R_analysis_Dryse'!K629</f>
        <v>G185</v>
      </c>
      <c r="I483" t="str">
        <f>'Final data_for_R_analysis_Dryse'!K849</f>
        <v>R682</v>
      </c>
      <c r="J483">
        <f>IFERROR(INDEX('Green_rooibos initial weight'!$C$5:$C$2000,MATCH(H483, 'Green_rooibos initial weight'!$A$5:$A$2000,0)),"")</f>
        <v>2.13</v>
      </c>
      <c r="K483">
        <f>IFERROR(INDEX('Green_rooibos initial weight'!$C$5:$C$2000,MATCH(I483, 'Green_rooibos initial weight'!$A$5:$A$2000,0)),"")</f>
        <v>2.1720000000000002</v>
      </c>
      <c r="L483" s="194">
        <f t="shared" si="48"/>
        <v>1.8801999999999999</v>
      </c>
      <c r="M483" s="237">
        <f>AVERAGE(Ashed_controlls!$K$1:$K$11)</f>
        <v>5.5147656768714146</v>
      </c>
      <c r="N483" s="194">
        <f>IFERROR(IF(K483&gt;0,(K483*$F$32-($F$29+$F$30)),""),"")</f>
        <v>1.9222000000000001</v>
      </c>
      <c r="O483" s="383">
        <f>IF('Dry_Litterbag Placem_Collection'!G190="","",'Dry_Litterbag Placem_Collection'!G190)</f>
        <v>43009</v>
      </c>
      <c r="P483" s="194">
        <f>IFERROR(INDEX('Both teabags AfterDry'!$D$3:$D$2000,MATCH(H483,'Both teabags AfterDry'!$A$3:$A$2000,0)),"")</f>
        <v>0.74670000000000003</v>
      </c>
      <c r="Q483" s="194">
        <f>IFERROR(INDEX('Both teabags AfterDry'!$D$3:$D$2000,MATCH(I483,'Both teabags AfterDry'!$A$3:$A$2000,0)),"")</f>
        <v>1.7353000000000001</v>
      </c>
      <c r="R483" s="194">
        <f t="shared" si="49"/>
        <v>0.59610000000000007</v>
      </c>
      <c r="S483" s="194">
        <f t="shared" si="49"/>
        <v>1.5847</v>
      </c>
      <c r="T483" s="194">
        <f t="shared" si="50"/>
        <v>0.68295925965322835</v>
      </c>
      <c r="U483" s="194">
        <f t="shared" si="51"/>
        <v>0.44773576167290036</v>
      </c>
      <c r="V483" s="194">
        <f t="shared" si="52"/>
        <v>0.82441993549058368</v>
      </c>
      <c r="W483">
        <f t="shared" si="53"/>
        <v>69</v>
      </c>
      <c r="X483" s="194">
        <f t="shared" si="54"/>
        <v>0.18888448972300664</v>
      </c>
      <c r="Y483" s="194">
        <f t="shared" si="55"/>
        <v>7.2149119150584917E-3</v>
      </c>
      <c r="Z483" s="252" t="str">
        <f>IF(ISNUMBER(SEARCH("C", 'Dry_Litterbag Placem_Collection'!$V190)),"YES","NO")</f>
        <v>NO</v>
      </c>
      <c r="AA483" s="252" t="str">
        <f>IF(ISNUMBER(SEARCH("H", 'Dry_Litterbag Placem_Collection'!$V190)),"YES","NO")</f>
        <v>NO</v>
      </c>
      <c r="AB483" s="252" t="str">
        <f>IF(ISNUMBER(SEARCH("R", 'Dry_Litterbag Placem_Collection'!$V190)),"YES","NO")</f>
        <v>NO</v>
      </c>
      <c r="AC483" s="252" t="str">
        <f>IF(ISNUMBER(SEARCH("C", 'Dry_Litterbag Placem_Collection'!$U190)),"YES","NO")</f>
        <v>NO</v>
      </c>
      <c r="AD483" s="252" t="str">
        <f>IF(ISNUMBER(SEARCH("H", 'Dry_Litterbag Placem_Collection'!$U190)),"YES","NO")</f>
        <v>NO</v>
      </c>
      <c r="AE483" s="252" t="str">
        <f>IF(ISNUMBER(SEARCH("R", 'Dry_Litterbag Placem_Collection'!$U190)),"YES","NO")</f>
        <v>NO</v>
      </c>
    </row>
    <row r="484" spans="2:31">
      <c r="B484" t="str">
        <f>'Final data_for_R_analysis_Dryse'!A630</f>
        <v>Dry</v>
      </c>
      <c r="C484" s="260">
        <f>'Final data_for_R_analysis_Dryse'!B630</f>
        <v>189</v>
      </c>
      <c r="D484" t="s">
        <v>3829</v>
      </c>
      <c r="E484" t="s">
        <v>25</v>
      </c>
      <c r="F484" s="382">
        <v>5</v>
      </c>
      <c r="G484" s="383">
        <f>IF('Dry_Litterbag Placem_Collection'!E191="","",'Dry_Litterbag Placem_Collection'!E191)</f>
        <v>42940</v>
      </c>
      <c r="H484" s="92" t="str">
        <f>'Final data_for_R_analysis_Dryse'!K630</f>
        <v>G301</v>
      </c>
      <c r="I484" t="str">
        <f>'Final data_for_R_analysis_Dryse'!K850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48"/>
        <v>1.6881999999999999</v>
      </c>
      <c r="M484" s="237">
        <f>AVERAGE(Ashed_controlls!$K$1:$K$11)</f>
        <v>5.5147656768714146</v>
      </c>
      <c r="N484" s="194">
        <f>IFERROR(IF(K484&gt;0,(K484*$F$32-($F$29+$F$30)),""),"")</f>
        <v>1.9291999999999998</v>
      </c>
      <c r="O484" s="383">
        <f>IF('Dry_Litterbag Placem_Collection'!G191="","",'Dry_Litterbag Placem_Collection'!G191)</f>
        <v>43009</v>
      </c>
      <c r="P484" s="194">
        <f>IFERROR(INDEX('Both teabags AfterDry'!$D$3:$D$2000,MATCH(H484,'Both teabags AfterDry'!$A$3:$A$2000,0)),"")</f>
        <v>0.66849999999999998</v>
      </c>
      <c r="Q484" s="194">
        <f>IFERROR(INDEX('Both teabags AfterDry'!$D$3:$D$2000,MATCH(I484,'Both teabags AfterDry'!$A$3:$A$2000,0)),"")</f>
        <v>1.919</v>
      </c>
      <c r="R484" s="194">
        <f t="shared" si="49"/>
        <v>0.51790000000000003</v>
      </c>
      <c r="S484" s="194">
        <f t="shared" si="49"/>
        <v>1.7684</v>
      </c>
      <c r="T484" s="194">
        <f t="shared" si="50"/>
        <v>0.69322355171188244</v>
      </c>
      <c r="U484" s="194">
        <f t="shared" si="51"/>
        <v>0.45446484625292061</v>
      </c>
      <c r="V484" s="194">
        <f t="shared" si="52"/>
        <v>0.91664938834750165</v>
      </c>
      <c r="W484">
        <f t="shared" si="53"/>
        <v>69</v>
      </c>
      <c r="X484" s="194">
        <f t="shared" si="54"/>
        <v>0.17669411910702792</v>
      </c>
      <c r="Y484" s="194">
        <f t="shared" si="55"/>
        <v>2.9363860791439848E-3</v>
      </c>
      <c r="Z484" s="252" t="str">
        <f>IF(ISNUMBER(SEARCH("C", 'Dry_Litterbag Placem_Collection'!$V191)),"YES","NO")</f>
        <v>NO</v>
      </c>
      <c r="AA484" s="252" t="str">
        <f>IF(ISNUMBER(SEARCH("H", 'Dry_Litterbag Placem_Collection'!$V191)),"YES","NO")</f>
        <v>NO</v>
      </c>
      <c r="AB484" s="252" t="str">
        <f>IF(ISNUMBER(SEARCH("R", 'Dry_Litterbag Placem_Collection'!$V191)),"YES","NO")</f>
        <v>NO</v>
      </c>
      <c r="AC484" s="252" t="str">
        <f>IF(ISNUMBER(SEARCH("C", 'Dry_Litterbag Placem_Collection'!$U191)),"YES","NO")</f>
        <v>NO</v>
      </c>
      <c r="AD484" s="252" t="str">
        <f>IF(ISNUMBER(SEARCH("H", 'Dry_Litterbag Placem_Collection'!$U191)),"YES","NO")</f>
        <v>NO</v>
      </c>
      <c r="AE484" s="252" t="str">
        <f>IF(ISNUMBER(SEARCH("R", 'Dry_Litterbag Placem_Collection'!$U191)),"YES","NO")</f>
        <v>YES</v>
      </c>
    </row>
    <row r="485" spans="2:31">
      <c r="B485" t="str">
        <f>'Final data_for_R_analysis_Dryse'!A631</f>
        <v>Dry</v>
      </c>
      <c r="C485" s="260">
        <f>'Final data_for_R_analysis_Dryse'!B631</f>
        <v>190</v>
      </c>
      <c r="D485" t="s">
        <v>3829</v>
      </c>
      <c r="E485" t="s">
        <v>25</v>
      </c>
      <c r="F485" s="382">
        <v>6</v>
      </c>
      <c r="G485" s="383">
        <f>IF('Dry_Litterbag Placem_Collection'!E192="","",'Dry_Litterbag Placem_Collection'!E192)</f>
        <v>42940</v>
      </c>
      <c r="H485" s="92" t="str">
        <f>'Final data_for_R_analysis_Dryse'!K631</f>
        <v>G466</v>
      </c>
      <c r="I485" t="str">
        <f>'Final data_for_R_analysis_Dryse'!K851</f>
        <v>R605</v>
      </c>
      <c r="J485">
        <f>IFERROR(INDEX('Green_rooibos initial weight'!$C$5:$C$2000,MATCH(H485, 'Green_rooibos initial weight'!$A$5:$A$2000,0)),"")</f>
        <v>1.9319999999999999</v>
      </c>
      <c r="K485">
        <f>IFERROR(INDEX('Green_rooibos initial weight'!$C$5:$C$2000,MATCH(I485, 'Green_rooibos initial weight'!$A$5:$A$2000,0)),"")</f>
        <v>2.165</v>
      </c>
      <c r="L485" s="194">
        <f t="shared" si="48"/>
        <v>1.6821999999999999</v>
      </c>
      <c r="M485" s="237">
        <f>AVERAGE(Ashed_controlls!$K$1:$K$11)</f>
        <v>5.5147656768714146</v>
      </c>
      <c r="N485" s="194">
        <f>IFERROR(IF(K485&gt;0,(K485*$F$32-($F$29+$F$30)),""),"")</f>
        <v>1.9152</v>
      </c>
      <c r="O485" s="383">
        <f>IF('Dry_Litterbag Placem_Collection'!G192="","",'Dry_Litterbag Placem_Collection'!G192)</f>
        <v>43009</v>
      </c>
      <c r="P485" s="194">
        <f>IFERROR(INDEX('Both teabags AfterDry'!$D$3:$D$2000,MATCH(H485,'Both teabags AfterDry'!$A$3:$A$2000,0)),"")</f>
        <v>0.81599999999999995</v>
      </c>
      <c r="Q485" s="194">
        <f>IFERROR(INDEX('Both teabags AfterDry'!$D$3:$D$2000,MATCH(I485,'Both teabags AfterDry'!$A$3:$A$2000,0)),"")</f>
        <v>1.8051999999999999</v>
      </c>
      <c r="R485" s="194">
        <f t="shared" si="49"/>
        <v>0.66539999999999999</v>
      </c>
      <c r="S485" s="194">
        <f t="shared" si="49"/>
        <v>1.6545999999999998</v>
      </c>
      <c r="T485" s="194">
        <f t="shared" si="50"/>
        <v>0.6044465580787064</v>
      </c>
      <c r="U485" s="194">
        <f t="shared" si="51"/>
        <v>0.39626425185207359</v>
      </c>
      <c r="V485" s="194">
        <f t="shared" si="52"/>
        <v>0.86393065998329144</v>
      </c>
      <c r="W485">
        <f t="shared" si="53"/>
        <v>69</v>
      </c>
      <c r="X485" s="194">
        <f t="shared" si="54"/>
        <v>0.28212997852885224</v>
      </c>
      <c r="Y485" s="194">
        <f t="shared" si="55"/>
        <v>6.096380873890089E-3</v>
      </c>
      <c r="Z485" s="252" t="str">
        <f>IF(ISNUMBER(SEARCH("C", 'Dry_Litterbag Placem_Collection'!$V192)),"YES","NO")</f>
        <v>NO</v>
      </c>
      <c r="AA485" s="252" t="str">
        <f>IF(ISNUMBER(SEARCH("H", 'Dry_Litterbag Placem_Collection'!$V192)),"YES","NO")</f>
        <v>NO</v>
      </c>
      <c r="AB485" s="252" t="str">
        <f>IF(ISNUMBER(SEARCH("R", 'Dry_Litterbag Placem_Collection'!$V192)),"YES","NO")</f>
        <v>NO</v>
      </c>
      <c r="AC485" s="252" t="str">
        <f>IF(ISNUMBER(SEARCH("C", 'Dry_Litterbag Placem_Collection'!$U192)),"YES","NO")</f>
        <v>NO</v>
      </c>
      <c r="AD485" s="252" t="str">
        <f>IF(ISNUMBER(SEARCH("H", 'Dry_Litterbag Placem_Collection'!$U192)),"YES","NO")</f>
        <v>NO</v>
      </c>
      <c r="AE485" s="252" t="str">
        <f>IF(ISNUMBER(SEARCH("R", 'Dry_Litterbag Placem_Collection'!$U192)),"YES","NO")</f>
        <v>NO</v>
      </c>
    </row>
    <row r="486" spans="2:31">
      <c r="B486" t="str">
        <f>'Final data_for_R_analysis_Dryse'!A632</f>
        <v>Dry</v>
      </c>
      <c r="C486" s="260">
        <f>'Final data_for_R_analysis_Dryse'!B632</f>
        <v>191</v>
      </c>
      <c r="D486" t="s">
        <v>3829</v>
      </c>
      <c r="E486" t="s">
        <v>25</v>
      </c>
      <c r="F486" s="382">
        <v>7</v>
      </c>
      <c r="G486" s="383">
        <f>IF('Dry_Litterbag Placem_Collection'!E193="","",'Dry_Litterbag Placem_Collection'!E193)</f>
        <v>42940</v>
      </c>
      <c r="H486" s="92" t="str">
        <f>'Final data_for_R_analysis_Dryse'!K632</f>
        <v>G32</v>
      </c>
      <c r="I486" t="str">
        <f>'Final data_for_R_analysis_Dryse'!K852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48"/>
        <v>1.8012000000000001</v>
      </c>
      <c r="M486" s="237">
        <f>AVERAGE(Ashed_controlls!$K$1:$K$11)</f>
        <v>5.5147656768714146</v>
      </c>
      <c r="N486" s="194">
        <f>IFERROR(IF(K486&gt;0,(K486*$F$32-($F$29+$F$30)),""),"")</f>
        <v>1.9302000000000001</v>
      </c>
      <c r="O486" s="383">
        <f>IF('Dry_Litterbag Placem_Collection'!G193="","",'Dry_Litterbag Placem_Collection'!G193)</f>
        <v>43009</v>
      </c>
      <c r="P486" s="194">
        <f>IFERROR(INDEX('Both teabags AfterDry'!$D$3:$D$2000,MATCH(H486,'Both teabags AfterDry'!$A$3:$A$2000,0)),"")</f>
        <v>0.77580000000000005</v>
      </c>
      <c r="Q486" s="194">
        <f>IFERROR(INDEX('Both teabags AfterDry'!$D$3:$D$2000,MATCH(I486,'Both teabags AfterDry'!$A$3:$A$2000,0)),"")</f>
        <v>1.7597</v>
      </c>
      <c r="R486" s="194">
        <f t="shared" si="49"/>
        <v>0.62519999999999998</v>
      </c>
      <c r="S486" s="194">
        <f t="shared" si="49"/>
        <v>1.6091</v>
      </c>
      <c r="T486" s="194">
        <f t="shared" si="50"/>
        <v>0.65289806795469696</v>
      </c>
      <c r="U486" s="194">
        <f t="shared" si="51"/>
        <v>0.42802818706768736</v>
      </c>
      <c r="V486" s="194">
        <f t="shared" si="52"/>
        <v>0.83364418195005696</v>
      </c>
      <c r="W486">
        <f t="shared" si="53"/>
        <v>69</v>
      </c>
      <c r="X486" s="194">
        <f t="shared" si="54"/>
        <v>0.22458661763100118</v>
      </c>
      <c r="Y486" s="194">
        <f t="shared" si="55"/>
        <v>7.1318236195175855E-3</v>
      </c>
      <c r="Z486" s="252" t="str">
        <f>IF(ISNUMBER(SEARCH("C", 'Dry_Litterbag Placem_Collection'!$V193)),"YES","NO")</f>
        <v>NO</v>
      </c>
      <c r="AA486" s="252" t="str">
        <f>IF(ISNUMBER(SEARCH("H", 'Dry_Litterbag Placem_Collection'!$V193)),"YES","NO")</f>
        <v>NO</v>
      </c>
      <c r="AB486" s="252" t="str">
        <f>IF(ISNUMBER(SEARCH("R", 'Dry_Litterbag Placem_Collection'!$V193)),"YES","NO")</f>
        <v>NO</v>
      </c>
      <c r="AC486" s="252" t="str">
        <f>IF(ISNUMBER(SEARCH("C", 'Dry_Litterbag Placem_Collection'!$U193)),"YES","NO")</f>
        <v>NO</v>
      </c>
      <c r="AD486" s="252" t="str">
        <f>IF(ISNUMBER(SEARCH("H", 'Dry_Litterbag Placem_Collection'!$U193)),"YES","NO")</f>
        <v>NO</v>
      </c>
      <c r="AE486" s="252" t="str">
        <f>IF(ISNUMBER(SEARCH("R", 'Dry_Litterbag Placem_Collection'!$U193)),"YES","NO")</f>
        <v>NO</v>
      </c>
    </row>
    <row r="487" spans="2:31">
      <c r="B487" t="str">
        <f>'Final data_for_R_analysis_Dryse'!A633</f>
        <v>Dry</v>
      </c>
      <c r="C487" s="260">
        <f>'Final data_for_R_analysis_Dryse'!B633</f>
        <v>192</v>
      </c>
      <c r="D487" t="s">
        <v>3829</v>
      </c>
      <c r="E487" t="s">
        <v>25</v>
      </c>
      <c r="F487" s="382">
        <v>8</v>
      </c>
      <c r="G487" s="383" t="str">
        <f>IF('Dry_Litterbag Placem_Collection'!E194="","",'Dry_Litterbag Placem_Collection'!E194)</f>
        <v/>
      </c>
      <c r="H487" s="92" t="str">
        <f>'Final data_for_R_analysis_Dryse'!K633</f>
        <v/>
      </c>
      <c r="I487" t="str">
        <f>'Final data_for_R_analysis_Dryse'!K853</f>
        <v/>
      </c>
      <c r="J487" t="str">
        <f>IFERROR(INDEX('Green_rooibos initial weight'!$C$5:$C$2000,MATCH(H487, 'Green_rooibos initial weight'!$A$5:$A$2000,0)),"")</f>
        <v/>
      </c>
      <c r="K487" t="str">
        <f>IFERROR(INDEX('Green_rooibos initial weight'!$C$5:$C$2000,MATCH(I487, 'Green_rooibos initial weight'!$A$5:$A$2000,0)),"")</f>
        <v/>
      </c>
      <c r="L487" s="194" t="str">
        <f t="shared" si="48"/>
        <v/>
      </c>
      <c r="M487" s="237">
        <f>AVERAGE(Ashed_controlls!$K$1:$K$11)</f>
        <v>5.5147656768714146</v>
      </c>
      <c r="N487" s="194" t="str">
        <f>IFERROR(IF(K487&gt;0,(K487*$F$32-($F$29+$F$30)),""),"")</f>
        <v/>
      </c>
      <c r="O487" s="383" t="str">
        <f>IF('Dry_Litterbag Placem_Collection'!G194="","",'Dry_Litterbag Placem_Collection'!G194)</f>
        <v/>
      </c>
      <c r="P487" s="194" t="str">
        <f>IFERROR(INDEX('Both teabags AfterDry'!$D$3:$D$2000,MATCH(H487,'Both teabags AfterDry'!$A$3:$A$2000,0)),"")</f>
        <v/>
      </c>
      <c r="Q487" s="194" t="str">
        <f>IFERROR(INDEX('Both teabags AfterDry'!$D$3:$D$2000,MATCH(I487,'Both teabags AfterDry'!$A$3:$A$2000,0)),"")</f>
        <v/>
      </c>
      <c r="R487" s="194" t="str">
        <f t="shared" si="49"/>
        <v/>
      </c>
      <c r="S487" s="194" t="str">
        <f t="shared" si="49"/>
        <v/>
      </c>
      <c r="T487" s="194" t="str">
        <f t="shared" si="50"/>
        <v/>
      </c>
      <c r="U487" s="194" t="str">
        <f t="shared" si="51"/>
        <v/>
      </c>
      <c r="V487" s="194" t="str">
        <f t="shared" si="52"/>
        <v/>
      </c>
      <c r="W487" t="str">
        <f t="shared" si="53"/>
        <v/>
      </c>
      <c r="X487" s="194" t="str">
        <f t="shared" si="54"/>
        <v/>
      </c>
      <c r="Y487" s="194" t="str">
        <f t="shared" si="55"/>
        <v/>
      </c>
      <c r="Z487" s="252" t="str">
        <f>IF(ISNUMBER(SEARCH("C", 'Dry_Litterbag Placem_Collection'!$V194)),"YES","NO")</f>
        <v>NO</v>
      </c>
      <c r="AA487" s="252" t="str">
        <f>IF(ISNUMBER(SEARCH("H", 'Dry_Litterbag Placem_Collection'!$V194)),"YES","NO")</f>
        <v>NO</v>
      </c>
      <c r="AB487" s="252" t="str">
        <f>IF(ISNUMBER(SEARCH("R", 'Dry_Litterbag Placem_Collection'!$V194)),"YES","NO")</f>
        <v>NO</v>
      </c>
      <c r="AC487" s="252" t="str">
        <f>IF(ISNUMBER(SEARCH("C", 'Dry_Litterbag Placem_Collection'!$U194)),"YES","NO")</f>
        <v>NO</v>
      </c>
      <c r="AD487" s="252" t="str">
        <f>IF(ISNUMBER(SEARCH("H", 'Dry_Litterbag Placem_Collection'!$U194)),"YES","NO")</f>
        <v>NO</v>
      </c>
      <c r="AE487" s="252" t="str">
        <f>IF(ISNUMBER(SEARCH("R", 'Dry_Litterbag Placem_Collection'!$U194)),"YES","NO")</f>
        <v>NO</v>
      </c>
    </row>
    <row r="488" spans="2:31">
      <c r="B488" t="str">
        <f>'Final data_for_R_analysis_Dryse'!A634</f>
        <v>Dry</v>
      </c>
      <c r="C488" s="260">
        <f>'Final data_for_R_analysis_Dryse'!B634</f>
        <v>193</v>
      </c>
      <c r="D488" t="s">
        <v>2440</v>
      </c>
      <c r="E488" t="s">
        <v>25</v>
      </c>
      <c r="F488" s="382">
        <v>1</v>
      </c>
      <c r="G488" s="383">
        <f>IF('Dry_Litterbag Placem_Collection'!E195="","",'Dry_Litterbag Placem_Collection'!E195)</f>
        <v>42942</v>
      </c>
      <c r="H488" s="92" t="str">
        <f>'Final data_for_R_analysis_Dryse'!K634</f>
        <v>G45</v>
      </c>
      <c r="I488" t="str">
        <f>'Final data_for_R_analysis_Dryse'!K854</f>
        <v>R623</v>
      </c>
      <c r="J488">
        <f>IFERROR(INDEX('Green_rooibos initial weight'!$C$5:$C$2000,MATCH(H488, 'Green_rooibos initial weight'!$A$5:$A$2000,0)),"")</f>
        <v>2.0779999999999998</v>
      </c>
      <c r="K488">
        <f>IFERROR(INDEX('Green_rooibos initial weight'!$C$5:$C$2000,MATCH(I488, 'Green_rooibos initial weight'!$A$5:$A$2000,0)),"")</f>
        <v>2.056</v>
      </c>
      <c r="L488" s="194">
        <f t="shared" si="48"/>
        <v>1.8281999999999998</v>
      </c>
      <c r="M488" s="237">
        <f>AVERAGE(Ashed_controlls!$K$1:$K$11)</f>
        <v>5.5147656768714146</v>
      </c>
      <c r="N488" s="194">
        <f>IFERROR(IF(K488&gt;0,(K488*$F$32-($F$29+$F$30)),""),"")</f>
        <v>1.8062</v>
      </c>
      <c r="O488" s="383">
        <f>IF('Dry_Litterbag Placem_Collection'!G195="","",'Dry_Litterbag Placem_Collection'!G195)</f>
        <v>43004</v>
      </c>
      <c r="P488" s="194">
        <f>IFERROR(INDEX('Both teabags AfterDry'!$D$3:$D$2000,MATCH(H488,'Both teabags AfterDry'!$A$3:$A$2000,0)),"")</f>
        <v>0.82699999999999996</v>
      </c>
      <c r="Q488" s="194">
        <f>IFERROR(INDEX('Both teabags AfterDry'!$D$3:$D$2000,MATCH(I488,'Both teabags AfterDry'!$A$3:$A$2000,0)),"")</f>
        <v>1.397</v>
      </c>
      <c r="R488" s="194">
        <f t="shared" si="49"/>
        <v>0.67639999999999989</v>
      </c>
      <c r="S488" s="194">
        <f t="shared" si="49"/>
        <v>1.2464</v>
      </c>
      <c r="T488" s="194">
        <f t="shared" si="50"/>
        <v>0.6300185975276229</v>
      </c>
      <c r="U488" s="194">
        <f t="shared" si="51"/>
        <v>0.4130288192817671</v>
      </c>
      <c r="V488" s="194">
        <f t="shared" si="52"/>
        <v>0.69006754512235624</v>
      </c>
      <c r="W488">
        <f t="shared" si="53"/>
        <v>62</v>
      </c>
      <c r="X488" s="194">
        <f t="shared" si="54"/>
        <v>0.25175938535911768</v>
      </c>
      <c r="Y488" s="194">
        <f t="shared" si="55"/>
        <v>2.2384729730325809E-2</v>
      </c>
      <c r="Z488" s="252" t="str">
        <f>IF(ISNUMBER(SEARCH("C", 'Dry_Litterbag Placem_Collection'!$V195)),"YES","NO")</f>
        <v>NO</v>
      </c>
      <c r="AA488" s="252" t="str">
        <f>IF(ISNUMBER(SEARCH("H", 'Dry_Litterbag Placem_Collection'!$V195)),"YES","NO")</f>
        <v>NO</v>
      </c>
      <c r="AB488" s="252" t="str">
        <f>IF(ISNUMBER(SEARCH("R", 'Dry_Litterbag Placem_Collection'!$V195)),"YES","NO")</f>
        <v>NO</v>
      </c>
      <c r="AC488" s="252" t="str">
        <f>IF(ISNUMBER(SEARCH("C", 'Dry_Litterbag Placem_Collection'!$U195)),"YES","NO")</f>
        <v>NO</v>
      </c>
      <c r="AD488" s="252" t="str">
        <f>IF(ISNUMBER(SEARCH("H", 'Dry_Litterbag Placem_Collection'!$U195)),"YES","NO")</f>
        <v>NO</v>
      </c>
      <c r="AE488" s="252" t="str">
        <f>IF(ISNUMBER(SEARCH("R", 'Dry_Litterbag Placem_Collection'!$U195)),"YES","NO")</f>
        <v>YES</v>
      </c>
    </row>
    <row r="489" spans="2:31">
      <c r="B489" t="str">
        <f>'Final data_for_R_analysis_Dryse'!A635</f>
        <v>Dry</v>
      </c>
      <c r="C489" s="260">
        <f>'Final data_for_R_analysis_Dryse'!B635</f>
        <v>194</v>
      </c>
      <c r="D489" t="s">
        <v>2433</v>
      </c>
      <c r="E489" t="s">
        <v>25</v>
      </c>
      <c r="F489" s="382">
        <v>2</v>
      </c>
      <c r="G489" s="383">
        <f>IF('Dry_Litterbag Placem_Collection'!E196="","",'Dry_Litterbag Placem_Collection'!E196)</f>
        <v>42942</v>
      </c>
      <c r="H489" s="92" t="str">
        <f>'Final data_for_R_analysis_Dryse'!K635</f>
        <v>G90</v>
      </c>
      <c r="I489" t="str">
        <f>'Final data_for_R_analysis_Dryse'!K855</f>
        <v>R611</v>
      </c>
      <c r="J489">
        <f>IFERROR(INDEX('Green_rooibos initial weight'!$C$5:$C$2000,MATCH(H489, 'Green_rooibos initial weight'!$A$5:$A$2000,0)),"")</f>
        <v>2.0409999999999999</v>
      </c>
      <c r="K489">
        <f>IFERROR(INDEX('Green_rooibos initial weight'!$C$5:$C$2000,MATCH(I489, 'Green_rooibos initial weight'!$A$5:$A$2000,0)),"")</f>
        <v>2.157</v>
      </c>
      <c r="L489" s="194">
        <f t="shared" si="48"/>
        <v>1.7911999999999999</v>
      </c>
      <c r="M489" s="237">
        <f>AVERAGE(Ashed_controlls!$K$1:$K$11)</f>
        <v>5.5147656768714146</v>
      </c>
      <c r="N489" s="194">
        <f>IFERROR(IF(K489&gt;0,(K489*$F$32-($F$29+$F$30)),""),"")</f>
        <v>1.9072</v>
      </c>
      <c r="O489" s="383">
        <f>IF('Dry_Litterbag Placem_Collection'!G196="","",'Dry_Litterbag Placem_Collection'!G196)</f>
        <v>43004</v>
      </c>
      <c r="P489" s="194">
        <f>IFERROR(INDEX('Both teabags AfterDry'!$D$3:$D$2000,MATCH(H489,'Both teabags AfterDry'!$A$3:$A$2000,0)),"")</f>
        <v>0.74199999999999999</v>
      </c>
      <c r="Q489" s="194">
        <f>IFERROR(INDEX('Both teabags AfterDry'!$D$3:$D$2000,MATCH(I489,'Both teabags AfterDry'!$A$3:$A$2000,0)),"")</f>
        <v>1.593</v>
      </c>
      <c r="R489" s="194">
        <f t="shared" si="49"/>
        <v>0.59139999999999993</v>
      </c>
      <c r="S489" s="194">
        <f t="shared" si="49"/>
        <v>1.4423999999999999</v>
      </c>
      <c r="T489" s="194">
        <f t="shared" si="50"/>
        <v>0.66983028137561407</v>
      </c>
      <c r="U489" s="194">
        <f t="shared" si="51"/>
        <v>0.4391286405217803</v>
      </c>
      <c r="V489" s="194">
        <f t="shared" si="52"/>
        <v>0.75629194630872476</v>
      </c>
      <c r="W489">
        <f t="shared" si="53"/>
        <v>62</v>
      </c>
      <c r="X489" s="194">
        <f t="shared" si="54"/>
        <v>0.20447710050402124</v>
      </c>
      <c r="Y489" s="194">
        <f t="shared" si="55"/>
        <v>1.3058682411617516E-2</v>
      </c>
      <c r="Z489" s="252" t="str">
        <f>IF(ISNUMBER(SEARCH("C", 'Dry_Litterbag Placem_Collection'!$V196)),"YES","NO")</f>
        <v>NO</v>
      </c>
      <c r="AA489" s="252" t="str">
        <f>IF(ISNUMBER(SEARCH("H", 'Dry_Litterbag Placem_Collection'!$V196)),"YES","NO")</f>
        <v>NO</v>
      </c>
      <c r="AB489" s="252" t="str">
        <f>IF(ISNUMBER(SEARCH("R", 'Dry_Litterbag Placem_Collection'!$V196)),"YES","NO")</f>
        <v>YES</v>
      </c>
      <c r="AC489" s="252" t="str">
        <f>IF(ISNUMBER(SEARCH("C", 'Dry_Litterbag Placem_Collection'!$U196)),"YES","NO")</f>
        <v>NO</v>
      </c>
      <c r="AD489" s="252" t="str">
        <f>IF(ISNUMBER(SEARCH("H", 'Dry_Litterbag Placem_Collection'!$U196)),"YES","NO")</f>
        <v>NO</v>
      </c>
      <c r="AE489" s="252" t="str">
        <f>IF(ISNUMBER(SEARCH("R", 'Dry_Litterbag Placem_Collection'!$U196)),"YES","NO")</f>
        <v>YES</v>
      </c>
    </row>
    <row r="490" spans="2:31">
      <c r="B490" t="str">
        <f>'Final data_for_R_analysis_Dryse'!A636</f>
        <v>Dry</v>
      </c>
      <c r="C490" s="260">
        <f>'Final data_for_R_analysis_Dryse'!B636</f>
        <v>195</v>
      </c>
      <c r="D490" t="s">
        <v>2425</v>
      </c>
      <c r="E490" t="s">
        <v>25</v>
      </c>
      <c r="F490" s="382">
        <v>3</v>
      </c>
      <c r="G490" s="383">
        <f>IF('Dry_Litterbag Placem_Collection'!E197="","",'Dry_Litterbag Placem_Collection'!E197)</f>
        <v>42942</v>
      </c>
      <c r="H490" s="92" t="str">
        <f>'Final data_for_R_analysis_Dryse'!K636</f>
        <v>G338</v>
      </c>
      <c r="I490" t="str">
        <f>'Final data_for_R_analysis_Dryse'!K856</f>
        <v>R645</v>
      </c>
      <c r="J490">
        <f>IFERROR(INDEX('Green_rooibos initial weight'!$C$5:$C$2000,MATCH(H490, 'Green_rooibos initial weight'!$A$5:$A$2000,0)),"")</f>
        <v>1.946</v>
      </c>
      <c r="K490">
        <f>IFERROR(INDEX('Green_rooibos initial weight'!$C$5:$C$2000,MATCH(I490, 'Green_rooibos initial weight'!$A$5:$A$2000,0)),"")</f>
        <v>2.2469999999999999</v>
      </c>
      <c r="L490" s="194">
        <f t="shared" si="48"/>
        <v>1.6961999999999999</v>
      </c>
      <c r="M490" s="237">
        <f>AVERAGE(Ashed_controlls!$K$1:$K$11)</f>
        <v>5.5147656768714146</v>
      </c>
      <c r="N490" s="194">
        <f>IFERROR(IF(K490&gt;0,(K490*$F$32-($F$29+$F$30)),""),"")</f>
        <v>1.9971999999999999</v>
      </c>
      <c r="O490" s="383">
        <f>IF('Dry_Litterbag Placem_Collection'!G197="","",'Dry_Litterbag Placem_Collection'!G197)</f>
        <v>43004</v>
      </c>
      <c r="P490" s="194">
        <f>IFERROR(INDEX('Both teabags AfterDry'!$D$3:$D$2000,MATCH(H490,'Both teabags AfterDry'!$A$3:$A$2000,0)),"")</f>
        <v>0.83299999999999996</v>
      </c>
      <c r="Q490" s="194">
        <f>IFERROR(INDEX('Both teabags AfterDry'!$D$3:$D$2000,MATCH(I490,'Both teabags AfterDry'!$A$3:$A$2000,0)),"")</f>
        <v>1.7509999999999999</v>
      </c>
      <c r="R490" s="194">
        <f t="shared" si="49"/>
        <v>0.6823999999999999</v>
      </c>
      <c r="S490" s="194">
        <f t="shared" si="49"/>
        <v>1.6003999999999998</v>
      </c>
      <c r="T490" s="194">
        <f t="shared" si="50"/>
        <v>0.59768895177455494</v>
      </c>
      <c r="U490" s="194">
        <f t="shared" si="51"/>
        <v>0.39183408714911444</v>
      </c>
      <c r="V490" s="194">
        <f t="shared" si="52"/>
        <v>0.80132185059082717</v>
      </c>
      <c r="W490">
        <f t="shared" si="53"/>
        <v>62</v>
      </c>
      <c r="X490" s="194">
        <f t="shared" si="54"/>
        <v>0.29015563922261878</v>
      </c>
      <c r="Y490" s="194">
        <f t="shared" si="55"/>
        <v>1.1408720530456258E-2</v>
      </c>
      <c r="Z490" s="252" t="str">
        <f>IF(ISNUMBER(SEARCH("C", 'Dry_Litterbag Placem_Collection'!$V197)),"YES","NO")</f>
        <v>NO</v>
      </c>
      <c r="AA490" s="252" t="str">
        <f>IF(ISNUMBER(SEARCH("H", 'Dry_Litterbag Placem_Collection'!$V197)),"YES","NO")</f>
        <v>NO</v>
      </c>
      <c r="AB490" s="252" t="str">
        <f>IF(ISNUMBER(SEARCH("R", 'Dry_Litterbag Placem_Collection'!$V197)),"YES","NO")</f>
        <v>NO</v>
      </c>
      <c r="AC490" s="252" t="str">
        <f>IF(ISNUMBER(SEARCH("C", 'Dry_Litterbag Placem_Collection'!$U197)),"YES","NO")</f>
        <v>NO</v>
      </c>
      <c r="AD490" s="252" t="str">
        <f>IF(ISNUMBER(SEARCH("H", 'Dry_Litterbag Placem_Collection'!$U197)),"YES","NO")</f>
        <v>NO</v>
      </c>
      <c r="AE490" s="252" t="str">
        <f>IF(ISNUMBER(SEARCH("R", 'Dry_Litterbag Placem_Collection'!$U197)),"YES","NO")</f>
        <v>YES</v>
      </c>
    </row>
    <row r="491" spans="2:31">
      <c r="B491" t="str">
        <f>'Final data_for_R_analysis_Dryse'!A637</f>
        <v>Dry</v>
      </c>
      <c r="C491" s="260">
        <f>'Final data_for_R_analysis_Dryse'!B637</f>
        <v>196</v>
      </c>
      <c r="D491" t="s">
        <v>2416</v>
      </c>
      <c r="E491" t="s">
        <v>25</v>
      </c>
      <c r="F491" s="382">
        <v>4</v>
      </c>
      <c r="G491" s="383">
        <f>IF('Dry_Litterbag Placem_Collection'!E198="","",'Dry_Litterbag Placem_Collection'!E198)</f>
        <v>42942</v>
      </c>
      <c r="H491" s="92" t="str">
        <f>'Final data_for_R_analysis_Dryse'!K637</f>
        <v>G243</v>
      </c>
      <c r="I491" t="str">
        <f>'Final data_for_R_analysis_Dryse'!K857</f>
        <v>R709</v>
      </c>
      <c r="J491">
        <f>IFERROR(INDEX('Green_rooibos initial weight'!$C$5:$C$2000,MATCH(H491, 'Green_rooibos initial weight'!$A$5:$A$2000,0)),"")</f>
        <v>2.13</v>
      </c>
      <c r="K491">
        <f>IFERROR(INDEX('Green_rooibos initial weight'!$C$5:$C$2000,MATCH(I491, 'Green_rooibos initial weight'!$A$5:$A$2000,0)),"")</f>
        <v>2.157</v>
      </c>
      <c r="L491" s="194">
        <f t="shared" si="48"/>
        <v>1.8801999999999999</v>
      </c>
      <c r="M491" s="237">
        <f>AVERAGE(Ashed_controlls!$K$1:$K$11)</f>
        <v>5.5147656768714146</v>
      </c>
      <c r="N491" s="194">
        <f>IFERROR(IF(K491&gt;0,(K491*$F$32-($F$29+$F$30)),""),"")</f>
        <v>1.9072</v>
      </c>
      <c r="O491" s="383">
        <f>IF('Dry_Litterbag Placem_Collection'!G198="","",'Dry_Litterbag Placem_Collection'!G198)</f>
        <v>43004</v>
      </c>
      <c r="P491" s="194">
        <f>IFERROR(INDEX('Both teabags AfterDry'!$D$3:$D$2000,MATCH(H491,'Both teabags AfterDry'!$A$3:$A$2000,0)),"")</f>
        <v>1.04</v>
      </c>
      <c r="Q491" s="194">
        <f>IFERROR(INDEX('Both teabags AfterDry'!$D$3:$D$2000,MATCH(I491,'Both teabags AfterDry'!$A$3:$A$2000,0)),"")</f>
        <v>1.863</v>
      </c>
      <c r="R491" s="194">
        <f t="shared" si="49"/>
        <v>0.88939999999999997</v>
      </c>
      <c r="S491" s="194">
        <f t="shared" si="49"/>
        <v>1.7123999999999999</v>
      </c>
      <c r="T491" s="194">
        <f t="shared" si="50"/>
        <v>0.52696521646633343</v>
      </c>
      <c r="U491" s="194">
        <f t="shared" si="51"/>
        <v>0.34546888300405709</v>
      </c>
      <c r="V491" s="194">
        <f t="shared" si="52"/>
        <v>0.89786073825503354</v>
      </c>
      <c r="W491">
        <f t="shared" si="53"/>
        <v>62</v>
      </c>
      <c r="X491" s="194">
        <f t="shared" si="54"/>
        <v>0.37415057426801257</v>
      </c>
      <c r="Y491" s="194">
        <f t="shared" si="55"/>
        <v>5.6529933101503284E-3</v>
      </c>
      <c r="Z491" s="252" t="str">
        <f>IF(ISNUMBER(SEARCH("C", 'Dry_Litterbag Placem_Collection'!$V198)),"YES","NO")</f>
        <v>NO</v>
      </c>
      <c r="AA491" s="252" t="str">
        <f>IF(ISNUMBER(SEARCH("H", 'Dry_Litterbag Placem_Collection'!$V198)),"YES","NO")</f>
        <v>NO</v>
      </c>
      <c r="AB491" s="252" t="str">
        <f>IF(ISNUMBER(SEARCH("R", 'Dry_Litterbag Placem_Collection'!$V198)),"YES","NO")</f>
        <v>NO</v>
      </c>
      <c r="AC491" s="252" t="str">
        <f>IF(ISNUMBER(SEARCH("C", 'Dry_Litterbag Placem_Collection'!$U198)),"YES","NO")</f>
        <v>NO</v>
      </c>
      <c r="AD491" s="252" t="str">
        <f>IF(ISNUMBER(SEARCH("H", 'Dry_Litterbag Placem_Collection'!$U198)),"YES","NO")</f>
        <v>NO</v>
      </c>
      <c r="AE491" s="252" t="str">
        <f>IF(ISNUMBER(SEARCH("R", 'Dry_Litterbag Placem_Collection'!$U198)),"YES","NO")</f>
        <v>YES</v>
      </c>
    </row>
    <row r="492" spans="2:31">
      <c r="B492" t="str">
        <f>'Final data_for_R_analysis_Dryse'!A638</f>
        <v>Dry</v>
      </c>
      <c r="C492" s="260">
        <f>'Final data_for_R_analysis_Dryse'!B638</f>
        <v>197</v>
      </c>
      <c r="D492" t="s">
        <v>2426</v>
      </c>
      <c r="E492" t="s">
        <v>25</v>
      </c>
      <c r="F492" s="382">
        <v>1</v>
      </c>
      <c r="G492" s="383">
        <f>IF('Dry_Litterbag Placem_Collection'!E199="","",'Dry_Litterbag Placem_Collection'!E199)</f>
        <v>42942</v>
      </c>
      <c r="H492" s="92" t="str">
        <f>'Final data_for_R_analysis_Dryse'!K638</f>
        <v>G254</v>
      </c>
      <c r="I492" t="str">
        <f>'Final data_for_R_analysis_Dryse'!K858</f>
        <v>R131</v>
      </c>
      <c r="J492">
        <f>IFERROR(INDEX('Green_rooibos initial weight'!$C$5:$C$2000,MATCH(H492, 'Green_rooibos initial weight'!$A$5:$A$2000,0)),"")</f>
        <v>1.917</v>
      </c>
      <c r="K492">
        <f>IFERROR(INDEX('Green_rooibos initial weight'!$C$5:$C$2000,MATCH(I492, 'Green_rooibos initial weight'!$A$5:$A$2000,0)),"")</f>
        <v>2.1560000000000001</v>
      </c>
      <c r="L492" s="194">
        <f t="shared" si="48"/>
        <v>1.6672</v>
      </c>
      <c r="M492" s="237">
        <f>AVERAGE(Ashed_controlls!$K$1:$K$11)</f>
        <v>5.5147656768714146</v>
      </c>
      <c r="N492" s="194">
        <f>IFERROR(IF(K492&gt;0,(K492*$F$32-($F$29+$F$30)),""),"")</f>
        <v>1.9062000000000001</v>
      </c>
      <c r="O492" s="383">
        <f>IF('Dry_Litterbag Placem_Collection'!G199="","",'Dry_Litterbag Placem_Collection'!G199)</f>
        <v>43004</v>
      </c>
      <c r="P492" s="194">
        <f>IFERROR(INDEX('Both teabags AfterDry'!$D$3:$D$2000,MATCH(H492,'Both teabags AfterDry'!$A$3:$A$2000,0)),"")</f>
        <v>0.82399999999999995</v>
      </c>
      <c r="Q492" s="194">
        <f>IFERROR(INDEX('Both teabags AfterDry'!$D$3:$D$2000,MATCH(I492,'Both teabags AfterDry'!$A$3:$A$2000,0)),"")</f>
        <v>1.577</v>
      </c>
      <c r="R492" s="194">
        <f t="shared" si="49"/>
        <v>0.6734</v>
      </c>
      <c r="S492" s="194">
        <f t="shared" si="49"/>
        <v>1.4263999999999999</v>
      </c>
      <c r="T492" s="194">
        <f t="shared" si="50"/>
        <v>0.59608925143953928</v>
      </c>
      <c r="U492" s="194">
        <f t="shared" si="51"/>
        <v>0.39078535248767904</v>
      </c>
      <c r="V492" s="194">
        <f t="shared" si="52"/>
        <v>0.74829503724687851</v>
      </c>
      <c r="W492">
        <f t="shared" si="53"/>
        <v>62</v>
      </c>
      <c r="X492" s="194">
        <f t="shared" si="54"/>
        <v>0.292055520855654</v>
      </c>
      <c r="Y492" s="194">
        <f t="shared" si="55"/>
        <v>1.6663005310603263E-2</v>
      </c>
      <c r="Z492" s="252" t="str">
        <f>IF(ISNUMBER(SEARCH("C", 'Dry_Litterbag Placem_Collection'!$V199)),"YES","NO")</f>
        <v>NO</v>
      </c>
      <c r="AA492" s="252" t="str">
        <f>IF(ISNUMBER(SEARCH("H", 'Dry_Litterbag Placem_Collection'!$V199)),"YES","NO")</f>
        <v>NO</v>
      </c>
      <c r="AB492" s="252" t="str">
        <f>IF(ISNUMBER(SEARCH("R", 'Dry_Litterbag Placem_Collection'!$V199)),"YES","NO")</f>
        <v>YES</v>
      </c>
      <c r="AC492" s="252" t="str">
        <f>IF(ISNUMBER(SEARCH("C", 'Dry_Litterbag Placem_Collection'!$U199)),"YES","NO")</f>
        <v>NO</v>
      </c>
      <c r="AD492" s="252" t="str">
        <f>IF(ISNUMBER(SEARCH("H", 'Dry_Litterbag Placem_Collection'!$U199)),"YES","NO")</f>
        <v>NO</v>
      </c>
      <c r="AE492" s="252" t="str">
        <f>IF(ISNUMBER(SEARCH("R", 'Dry_Litterbag Placem_Collection'!$U199)),"YES","NO")</f>
        <v>YES</v>
      </c>
    </row>
    <row r="493" spans="2:31">
      <c r="B493" t="str">
        <f>'Final data_for_R_analysis_Dryse'!A639</f>
        <v>Dry</v>
      </c>
      <c r="C493" s="260">
        <f>'Final data_for_R_analysis_Dryse'!B639</f>
        <v>198</v>
      </c>
      <c r="D493" t="s">
        <v>2434</v>
      </c>
      <c r="E493" t="s">
        <v>25</v>
      </c>
      <c r="F493" s="382">
        <v>2</v>
      </c>
      <c r="G493" s="383">
        <f>IF('Dry_Litterbag Placem_Collection'!E200="","",'Dry_Litterbag Placem_Collection'!E200)</f>
        <v>42942</v>
      </c>
      <c r="H493" s="92" t="str">
        <f>'Final data_for_R_analysis_Dryse'!K639</f>
        <v>G780</v>
      </c>
      <c r="I493" t="str">
        <f>'Final data_for_R_analysis_Dryse'!K859</f>
        <v>R711</v>
      </c>
      <c r="J493">
        <f>IFERROR(INDEX('Green_rooibos initial weight'!$C$5:$C$2000,MATCH(H493, 'Green_rooibos initial weight'!$A$5:$A$2000,0)),"")</f>
        <v>1.962</v>
      </c>
      <c r="K493">
        <f>IFERROR(INDEX('Green_rooibos initial weight'!$C$5:$C$2000,MATCH(I493, 'Green_rooibos initial weight'!$A$5:$A$2000,0)),"")</f>
        <v>2.13</v>
      </c>
      <c r="L493" s="194">
        <f t="shared" si="48"/>
        <v>1.7121999999999999</v>
      </c>
      <c r="M493" s="237">
        <f>AVERAGE(Ashed_controlls!$K$1:$K$11)</f>
        <v>5.5147656768714146</v>
      </c>
      <c r="N493" s="194">
        <f>IFERROR(IF(K493&gt;0,(K493*$F$32-($F$29+$F$30)),""),"")</f>
        <v>1.8801999999999999</v>
      </c>
      <c r="O493" s="383">
        <f>IF('Dry_Litterbag Placem_Collection'!G200="","",'Dry_Litterbag Placem_Collection'!G200)</f>
        <v>43004</v>
      </c>
      <c r="P493" s="194">
        <f>IFERROR(INDEX('Both teabags AfterDry'!$D$3:$D$2000,MATCH(H493,'Both teabags AfterDry'!$A$3:$A$2000,0)),"")</f>
        <v>0.69899999999999995</v>
      </c>
      <c r="Q493" s="194">
        <f>IFERROR(INDEX('Both teabags AfterDry'!$D$3:$D$2000,MATCH(I493,'Both teabags AfterDry'!$A$3:$A$2000,0)),"")</f>
        <v>1.7210000000000001</v>
      </c>
      <c r="R493" s="194">
        <f t="shared" si="49"/>
        <v>0.5484</v>
      </c>
      <c r="S493" s="194">
        <f t="shared" si="49"/>
        <v>1.5704</v>
      </c>
      <c r="T493" s="194">
        <f t="shared" si="50"/>
        <v>0.679710314215629</v>
      </c>
      <c r="U493" s="194">
        <f t="shared" si="51"/>
        <v>0.44560581169480673</v>
      </c>
      <c r="V493" s="194">
        <f t="shared" si="52"/>
        <v>0.83523029464950549</v>
      </c>
      <c r="W493">
        <f t="shared" si="53"/>
        <v>62</v>
      </c>
      <c r="X493" s="194">
        <f t="shared" si="54"/>
        <v>0.19274309475578499</v>
      </c>
      <c r="Y493" s="194">
        <f t="shared" si="55"/>
        <v>7.4461852128768144E-3</v>
      </c>
      <c r="Z493" s="252" t="str">
        <f>IF(ISNUMBER(SEARCH("C", 'Dry_Litterbag Placem_Collection'!$V200)),"YES","NO")</f>
        <v>NO</v>
      </c>
      <c r="AA493" s="252" t="str">
        <f>IF(ISNUMBER(SEARCH("H", 'Dry_Litterbag Placem_Collection'!$V200)),"YES","NO")</f>
        <v>NO</v>
      </c>
      <c r="AB493" s="252" t="str">
        <f>IF(ISNUMBER(SEARCH("R", 'Dry_Litterbag Placem_Collection'!$V200)),"YES","NO")</f>
        <v>YES</v>
      </c>
      <c r="AC493" s="252" t="str">
        <f>IF(ISNUMBER(SEARCH("C", 'Dry_Litterbag Placem_Collection'!$U200)),"YES","NO")</f>
        <v>NO</v>
      </c>
      <c r="AD493" s="252" t="str">
        <f>IF(ISNUMBER(SEARCH("H", 'Dry_Litterbag Placem_Collection'!$U200)),"YES","NO")</f>
        <v>NO</v>
      </c>
      <c r="AE493" s="252" t="str">
        <f>IF(ISNUMBER(SEARCH("R", 'Dry_Litterbag Placem_Collection'!$U200)),"YES","NO")</f>
        <v>YES</v>
      </c>
    </row>
    <row r="494" spans="2:31">
      <c r="B494" t="str">
        <f>'Final data_for_R_analysis_Dryse'!A640</f>
        <v>Dry</v>
      </c>
      <c r="C494" s="260">
        <f>'Final data_for_R_analysis_Dryse'!B640</f>
        <v>199</v>
      </c>
      <c r="D494" t="s">
        <v>2418</v>
      </c>
      <c r="E494" t="s">
        <v>25</v>
      </c>
      <c r="F494" s="382">
        <v>3</v>
      </c>
      <c r="G494" s="383">
        <f>IF('Dry_Litterbag Placem_Collection'!E201="","",'Dry_Litterbag Placem_Collection'!E201)</f>
        <v>42942</v>
      </c>
      <c r="H494" s="92" t="str">
        <f>'Final data_for_R_analysis_Dryse'!K640</f>
        <v>G182</v>
      </c>
      <c r="I494" t="str">
        <f>'Final data_for_R_analysis_Dryse'!K860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48"/>
        <v>1.6421999999999999</v>
      </c>
      <c r="M494" s="237">
        <f>AVERAGE(Ashed_controlls!$K$1:$K$11)</f>
        <v>5.5147656768714146</v>
      </c>
      <c r="N494" s="194">
        <f>IFERROR(IF(K494&gt;0,(K494*$F$32-($F$29+$F$30)),""),"")</f>
        <v>1.9942000000000002</v>
      </c>
      <c r="O494" s="383">
        <f>IF('Dry_Litterbag Placem_Collection'!G201="","",'Dry_Litterbag Placem_Collection'!G201)</f>
        <v>43004</v>
      </c>
      <c r="P494" s="194">
        <f>IFERROR(INDEX('Both teabags AfterDry'!$D$3:$D$2000,MATCH(H494,'Both teabags AfterDry'!$A$3:$A$2000,0)),"")</f>
        <v>0.62490000000000001</v>
      </c>
      <c r="Q494" s="194">
        <f>IFERROR(INDEX('Both teabags AfterDry'!$D$3:$D$2000,MATCH(I494,'Both teabags AfterDry'!$A$3:$A$2000,0)),"")</f>
        <v>1.62</v>
      </c>
      <c r="R494" s="194">
        <f t="shared" si="49"/>
        <v>0.4743</v>
      </c>
      <c r="S494" s="194">
        <f t="shared" si="49"/>
        <v>1.4694</v>
      </c>
      <c r="T494" s="194">
        <f t="shared" si="50"/>
        <v>0.71118012422360244</v>
      </c>
      <c r="U494" s="194">
        <f t="shared" si="51"/>
        <v>0.46623685103495083</v>
      </c>
      <c r="V494" s="194">
        <f t="shared" si="52"/>
        <v>0.73683682679771334</v>
      </c>
      <c r="W494">
        <f t="shared" si="53"/>
        <v>62</v>
      </c>
      <c r="X494" s="194">
        <f t="shared" si="54"/>
        <v>0.15536802348740797</v>
      </c>
      <c r="Y494" s="194">
        <f t="shared" si="55"/>
        <v>1.3405240497500906E-2</v>
      </c>
      <c r="Z494" s="252" t="str">
        <f>IF(ISNUMBER(SEARCH("C", 'Dry_Litterbag Placem_Collection'!$V201)),"YES","NO")</f>
        <v>NO</v>
      </c>
      <c r="AA494" s="252" t="str">
        <f>IF(ISNUMBER(SEARCH("H", 'Dry_Litterbag Placem_Collection'!$V201)),"YES","NO")</f>
        <v>NO</v>
      </c>
      <c r="AB494" s="252" t="str">
        <f>IF(ISNUMBER(SEARCH("R", 'Dry_Litterbag Placem_Collection'!$V201)),"YES","NO")</f>
        <v>YES</v>
      </c>
      <c r="AC494" s="252" t="str">
        <f>IF(ISNUMBER(SEARCH("C", 'Dry_Litterbag Placem_Collection'!$U201)),"YES","NO")</f>
        <v>NO</v>
      </c>
      <c r="AD494" s="252" t="str">
        <f>IF(ISNUMBER(SEARCH("H", 'Dry_Litterbag Placem_Collection'!$U201)),"YES","NO")</f>
        <v>NO</v>
      </c>
      <c r="AE494" s="252" t="str">
        <f>IF(ISNUMBER(SEARCH("R", 'Dry_Litterbag Placem_Collection'!$U201)),"YES","NO")</f>
        <v>YES</v>
      </c>
    </row>
    <row r="495" spans="2:31">
      <c r="B495" t="str">
        <f>'Final data_for_R_analysis_Dryse'!A641</f>
        <v>Dry</v>
      </c>
      <c r="C495" s="260">
        <f>'Final data_for_R_analysis_Dryse'!B641</f>
        <v>200</v>
      </c>
      <c r="D495" t="s">
        <v>2441</v>
      </c>
      <c r="E495" t="s">
        <v>25</v>
      </c>
      <c r="F495" s="382">
        <v>4</v>
      </c>
      <c r="G495" s="383">
        <f>IF('Dry_Litterbag Placem_Collection'!E202="","",'Dry_Litterbag Placem_Collection'!E202)</f>
        <v>42942</v>
      </c>
      <c r="H495" s="92" t="str">
        <f>'Final data_for_R_analysis_Dryse'!K641</f>
        <v>G186</v>
      </c>
      <c r="I495" t="str">
        <f>'Final data_for_R_analysis_Dryse'!K861</f>
        <v>R205</v>
      </c>
      <c r="J495">
        <f>IFERROR(INDEX('Green_rooibos initial weight'!$C$5:$C$2000,MATCH(H495, 'Green_rooibos initial weight'!$A$5:$A$2000,0)),"")</f>
        <v>2.0419999999999998</v>
      </c>
      <c r="K495">
        <f>IFERROR(INDEX('Green_rooibos initial weight'!$C$5:$C$2000,MATCH(I495, 'Green_rooibos initial weight'!$A$5:$A$2000,0)),"")</f>
        <v>2.181</v>
      </c>
      <c r="L495" s="194">
        <f t="shared" si="48"/>
        <v>1.7921999999999998</v>
      </c>
      <c r="M495" s="237">
        <f>AVERAGE(Ashed_controlls!$K$1:$K$11)</f>
        <v>5.5147656768714146</v>
      </c>
      <c r="N495" s="194">
        <f>IFERROR(IF(K495&gt;0,(K495*$F$32-($F$29+$F$30)),""),"")</f>
        <v>1.9312</v>
      </c>
      <c r="O495" s="383">
        <f>IF('Dry_Litterbag Placem_Collection'!G202="","",'Dry_Litterbag Placem_Collection'!G202)</f>
        <v>43004</v>
      </c>
      <c r="P495" s="194">
        <f>IFERROR(INDEX('Both teabags AfterDry'!$D$3:$D$2000,MATCH(H495,'Both teabags AfterDry'!$A$3:$A$2000,0)),"")</f>
        <v>0.6643</v>
      </c>
      <c r="Q495" s="194">
        <f>IFERROR(INDEX('Both teabags AfterDry'!$D$3:$D$2000,MATCH(I495,'Both teabags AfterDry'!$A$3:$A$2000,0)),"")</f>
        <v>1.6595</v>
      </c>
      <c r="R495" s="194">
        <f t="shared" si="49"/>
        <v>0.51370000000000005</v>
      </c>
      <c r="S495" s="194">
        <f t="shared" si="49"/>
        <v>1.5088999999999999</v>
      </c>
      <c r="T495" s="194">
        <f t="shared" si="50"/>
        <v>0.71336904363352294</v>
      </c>
      <c r="U495" s="194">
        <f t="shared" si="51"/>
        <v>0.46767186708515995</v>
      </c>
      <c r="V495" s="194">
        <f t="shared" si="52"/>
        <v>0.7813276719138359</v>
      </c>
      <c r="W495">
        <f t="shared" si="53"/>
        <v>62</v>
      </c>
      <c r="X495" s="194">
        <f t="shared" si="54"/>
        <v>0.15276835672978273</v>
      </c>
      <c r="Y495" s="194">
        <f t="shared" si="55"/>
        <v>1.016638493943047E-2</v>
      </c>
      <c r="Z495" s="252" t="str">
        <f>IF(ISNUMBER(SEARCH("C", 'Dry_Litterbag Placem_Collection'!$V202)),"YES","NO")</f>
        <v>NO</v>
      </c>
      <c r="AA495" s="252" t="str">
        <f>IF(ISNUMBER(SEARCH("H", 'Dry_Litterbag Placem_Collection'!$V202)),"YES","NO")</f>
        <v>NO</v>
      </c>
      <c r="AB495" s="252" t="str">
        <f>IF(ISNUMBER(SEARCH("R", 'Dry_Litterbag Placem_Collection'!$V202)),"YES","NO")</f>
        <v>YES</v>
      </c>
      <c r="AC495" s="252" t="str">
        <f>IF(ISNUMBER(SEARCH("C", 'Dry_Litterbag Placem_Collection'!$U202)),"YES","NO")</f>
        <v>NO</v>
      </c>
      <c r="AD495" s="252" t="str">
        <f>IF(ISNUMBER(SEARCH("H", 'Dry_Litterbag Placem_Collection'!$U202)),"YES","NO")</f>
        <v>NO</v>
      </c>
      <c r="AE495" s="252" t="str">
        <f>IF(ISNUMBER(SEARCH("R", 'Dry_Litterbag Placem_Collection'!$U202)),"YES","NO")</f>
        <v>YES</v>
      </c>
    </row>
    <row r="496" spans="2:31">
      <c r="B496" t="str">
        <f>'Final data_for_R_analysis_Dryse'!A642</f>
        <v>Dry</v>
      </c>
      <c r="C496" s="260">
        <f>'Final data_for_R_analysis_Dryse'!B642</f>
        <v>201</v>
      </c>
      <c r="D496" t="s">
        <v>2442</v>
      </c>
      <c r="E496" t="s">
        <v>25</v>
      </c>
      <c r="F496" s="382">
        <v>1</v>
      </c>
      <c r="G496" s="383">
        <f>IF('Dry_Litterbag Placem_Collection'!E203="","",'Dry_Litterbag Placem_Collection'!E203)</f>
        <v>42942</v>
      </c>
      <c r="H496" s="92" t="str">
        <f>'Final data_for_R_analysis_Dryse'!K642</f>
        <v>G315</v>
      </c>
      <c r="I496" t="str">
        <f>'Final data_for_R_analysis_Dryse'!K862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48"/>
        <v>1.8462000000000001</v>
      </c>
      <c r="M496" s="237">
        <f>AVERAGE(Ashed_controlls!$K$1:$K$11)</f>
        <v>5.5147656768714146</v>
      </c>
      <c r="N496" s="194">
        <f>IFERROR(IF(K496&gt;0,(K496*$F$32-($F$29+$F$30)),""),"")</f>
        <v>1.9081999999999999</v>
      </c>
      <c r="O496" s="383">
        <f>IF('Dry_Litterbag Placem_Collection'!G203="","",'Dry_Litterbag Placem_Collection'!G203)</f>
        <v>43004</v>
      </c>
      <c r="P496" s="194">
        <f>IFERROR(INDEX('Both teabags AfterDry'!$D$3:$D$2000,MATCH(H496,'Both teabags AfterDry'!$A$3:$A$2000,0)),"")</f>
        <v>0.84</v>
      </c>
      <c r="Q496" s="194">
        <f>IFERROR(INDEX('Both teabags AfterDry'!$D$3:$D$2000,MATCH(I496,'Both teabags AfterDry'!$A$3:$A$2000,0)),"")</f>
        <v>1.7869999999999999</v>
      </c>
      <c r="R496" s="194">
        <f t="shared" si="49"/>
        <v>0.68940000000000001</v>
      </c>
      <c r="S496" s="194">
        <f t="shared" si="49"/>
        <v>1.6363999999999999</v>
      </c>
      <c r="T496" s="194">
        <f t="shared" si="50"/>
        <v>0.62658433539161518</v>
      </c>
      <c r="U496" s="194">
        <f t="shared" si="51"/>
        <v>0.41077737902158146</v>
      </c>
      <c r="V496" s="194">
        <f t="shared" si="52"/>
        <v>0.85756210040876213</v>
      </c>
      <c r="W496">
        <f t="shared" si="53"/>
        <v>62</v>
      </c>
      <c r="X496" s="194">
        <f t="shared" si="54"/>
        <v>0.25583808148264231</v>
      </c>
      <c r="Y496" s="194">
        <f t="shared" si="55"/>
        <v>6.8677180269008887E-3</v>
      </c>
      <c r="Z496" s="252" t="str">
        <f>IF(ISNUMBER(SEARCH("C", 'Dry_Litterbag Placem_Collection'!$V203)),"YES","NO")</f>
        <v>NO</v>
      </c>
      <c r="AA496" s="252" t="str">
        <f>IF(ISNUMBER(SEARCH("H", 'Dry_Litterbag Placem_Collection'!$V203)),"YES","NO")</f>
        <v>NO</v>
      </c>
      <c r="AB496" s="252" t="str">
        <f>IF(ISNUMBER(SEARCH("R", 'Dry_Litterbag Placem_Collection'!$V203)),"YES","NO")</f>
        <v>YES</v>
      </c>
      <c r="AC496" s="252" t="str">
        <f>IF(ISNUMBER(SEARCH("C", 'Dry_Litterbag Placem_Collection'!$U203)),"YES","NO")</f>
        <v>NO</v>
      </c>
      <c r="AD496" s="252" t="str">
        <f>IF(ISNUMBER(SEARCH("H", 'Dry_Litterbag Placem_Collection'!$U203)),"YES","NO")</f>
        <v>NO</v>
      </c>
      <c r="AE496" s="252" t="str">
        <f>IF(ISNUMBER(SEARCH("R", 'Dry_Litterbag Placem_Collection'!$U203)),"YES","NO")</f>
        <v>YES</v>
      </c>
    </row>
    <row r="497" spans="2:31">
      <c r="B497" t="str">
        <f>'Final data_for_R_analysis_Dryse'!A643</f>
        <v>Dry</v>
      </c>
      <c r="C497" s="260">
        <f>'Final data_for_R_analysis_Dryse'!B643</f>
        <v>202</v>
      </c>
      <c r="D497" t="s">
        <v>2419</v>
      </c>
      <c r="E497" t="s">
        <v>25</v>
      </c>
      <c r="F497" s="382">
        <v>2</v>
      </c>
      <c r="G497" s="383">
        <f>IF('Dry_Litterbag Placem_Collection'!E204="","",'Dry_Litterbag Placem_Collection'!E204)</f>
        <v>42942</v>
      </c>
      <c r="H497" s="92" t="str">
        <f>'Final data_for_R_analysis_Dryse'!K643</f>
        <v>G147</v>
      </c>
      <c r="I497" t="str">
        <f>'Final data_for_R_analysis_Dryse'!K863</f>
        <v>R224</v>
      </c>
      <c r="J497">
        <f>IFERROR(INDEX('Green_rooibos initial weight'!$C$5:$C$2000,MATCH(H497, 'Green_rooibos initial weight'!$A$5:$A$2000,0)),"")</f>
        <v>2.0369999999999999</v>
      </c>
      <c r="K497">
        <f>IFERROR(INDEX('Green_rooibos initial weight'!$C$5:$C$2000,MATCH(I497, 'Green_rooibos initial weight'!$A$5:$A$2000,0)),"")</f>
        <v>2.298</v>
      </c>
      <c r="L497" s="194">
        <f t="shared" si="48"/>
        <v>1.7871999999999999</v>
      </c>
      <c r="M497" s="237">
        <f>AVERAGE(Ashed_controlls!$K$1:$K$11)</f>
        <v>5.5147656768714146</v>
      </c>
      <c r="N497" s="194">
        <f>IFERROR(IF(K497&gt;0,(K497*$F$32-($F$29+$F$30)),""),"")</f>
        <v>2.0482</v>
      </c>
      <c r="O497" s="383">
        <f>IF('Dry_Litterbag Placem_Collection'!G204="","",'Dry_Litterbag Placem_Collection'!G204)</f>
        <v>43004</v>
      </c>
      <c r="P497" s="194">
        <f>IFERROR(INDEX('Both teabags AfterDry'!$D$3:$D$2000,MATCH(H497,'Both teabags AfterDry'!$A$3:$A$2000,0)),"")</f>
        <v>0.71709999999999996</v>
      </c>
      <c r="Q497" s="194">
        <f>IFERROR(INDEX('Both teabags AfterDry'!$D$3:$D$2000,MATCH(I497,'Both teabags AfterDry'!$A$3:$A$2000,0)),"")</f>
        <v>1.8384</v>
      </c>
      <c r="R497" s="194">
        <f t="shared" si="49"/>
        <v>0.5665</v>
      </c>
      <c r="S497" s="194">
        <f t="shared" si="49"/>
        <v>1.6878</v>
      </c>
      <c r="T497" s="194">
        <f t="shared" si="50"/>
        <v>0.68302372426141456</v>
      </c>
      <c r="U497" s="194">
        <f t="shared" si="51"/>
        <v>0.44777802350629559</v>
      </c>
      <c r="V497" s="194">
        <f t="shared" si="52"/>
        <v>0.82404062103310216</v>
      </c>
      <c r="W497">
        <f t="shared" si="53"/>
        <v>62</v>
      </c>
      <c r="X497" s="194">
        <f t="shared" si="54"/>
        <v>0.18880792843062399</v>
      </c>
      <c r="Y497" s="194">
        <f t="shared" si="55"/>
        <v>8.0510085560315543E-3</v>
      </c>
      <c r="Z497" s="252" t="str">
        <f>IF(ISNUMBER(SEARCH("C", 'Dry_Litterbag Placem_Collection'!$V204)),"YES","NO")</f>
        <v>NO</v>
      </c>
      <c r="AA497" s="252" t="str">
        <f>IF(ISNUMBER(SEARCH("H", 'Dry_Litterbag Placem_Collection'!$V204)),"YES","NO")</f>
        <v>NO</v>
      </c>
      <c r="AB497" s="252" t="str">
        <f>IF(ISNUMBER(SEARCH("R", 'Dry_Litterbag Placem_Collection'!$V204)),"YES","NO")</f>
        <v>YES</v>
      </c>
      <c r="AC497" s="252" t="str">
        <f>IF(ISNUMBER(SEARCH("C", 'Dry_Litterbag Placem_Collection'!$U204)),"YES","NO")</f>
        <v>NO</v>
      </c>
      <c r="AD497" s="252" t="str">
        <f>IF(ISNUMBER(SEARCH("H", 'Dry_Litterbag Placem_Collection'!$U204)),"YES","NO")</f>
        <v>NO</v>
      </c>
      <c r="AE497" s="252" t="str">
        <f>IF(ISNUMBER(SEARCH("R", 'Dry_Litterbag Placem_Collection'!$U204)),"YES","NO")</f>
        <v>YES</v>
      </c>
    </row>
    <row r="498" spans="2:31">
      <c r="B498" t="str">
        <f>'Final data_for_R_analysis_Dryse'!A644</f>
        <v>Dry</v>
      </c>
      <c r="C498" s="260">
        <f>'Final data_for_R_analysis_Dryse'!B644</f>
        <v>203</v>
      </c>
      <c r="D498" t="s">
        <v>2428</v>
      </c>
      <c r="E498" t="s">
        <v>25</v>
      </c>
      <c r="F498" s="382">
        <v>3</v>
      </c>
      <c r="G498" s="383">
        <f>IF('Dry_Litterbag Placem_Collection'!E205="","",'Dry_Litterbag Placem_Collection'!E205)</f>
        <v>42942</v>
      </c>
      <c r="H498" s="92" t="str">
        <f>'Final data_for_R_analysis_Dryse'!K644</f>
        <v>G168</v>
      </c>
      <c r="I498" t="str">
        <f>'Final data_for_R_analysis_Dryse'!K864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48"/>
        <v>1.8001999999999998</v>
      </c>
      <c r="M498" s="237">
        <f>AVERAGE(Ashed_controlls!$K$1:$K$11)</f>
        <v>5.5147656768714146</v>
      </c>
      <c r="N498" s="194">
        <f>IFERROR(IF(K498&gt;0,(K498*$F$32-($F$29+$F$30)),""),"")</f>
        <v>1.7961999999999998</v>
      </c>
      <c r="O498" s="383">
        <f>IF('Dry_Litterbag Placem_Collection'!G205="","",'Dry_Litterbag Placem_Collection'!G205)</f>
        <v>43004</v>
      </c>
      <c r="P498" s="194">
        <f>IFERROR(INDEX('Both teabags AfterDry'!$D$3:$D$2000,MATCH(H498,'Both teabags AfterDry'!$A$3:$A$2000,0)),"")</f>
        <v>0.72609999999999997</v>
      </c>
      <c r="Q498" s="194">
        <f>IFERROR(INDEX('Both teabags AfterDry'!$D$3:$D$2000,MATCH(I498,'Both teabags AfterDry'!$A$3:$A$2000,0)),"")</f>
        <v>1.6888000000000001</v>
      </c>
      <c r="R498" s="194">
        <f t="shared" si="49"/>
        <v>0.5754999999999999</v>
      </c>
      <c r="S498" s="194">
        <f t="shared" si="49"/>
        <v>1.5382</v>
      </c>
      <c r="T498" s="194">
        <f t="shared" si="50"/>
        <v>0.68031329852238642</v>
      </c>
      <c r="U498" s="194">
        <f t="shared" si="51"/>
        <v>0.44600111732108949</v>
      </c>
      <c r="V498" s="194">
        <f t="shared" si="52"/>
        <v>0.85636343391604508</v>
      </c>
      <c r="W498">
        <f t="shared" si="53"/>
        <v>62</v>
      </c>
      <c r="X498" s="194">
        <f t="shared" si="54"/>
        <v>0.19202696137483799</v>
      </c>
      <c r="Y498" s="194">
        <f t="shared" si="55"/>
        <v>6.2691620085817343E-3</v>
      </c>
      <c r="Z498" s="252" t="str">
        <f>IF(ISNUMBER(SEARCH("C", 'Dry_Litterbag Placem_Collection'!$V205)),"YES","NO")</f>
        <v>NO</v>
      </c>
      <c r="AA498" s="252" t="str">
        <f>IF(ISNUMBER(SEARCH("H", 'Dry_Litterbag Placem_Collection'!$V205)),"YES","NO")</f>
        <v>NO</v>
      </c>
      <c r="AB498" s="252" t="str">
        <f>IF(ISNUMBER(SEARCH("R", 'Dry_Litterbag Placem_Collection'!$V205)),"YES","NO")</f>
        <v>YES</v>
      </c>
      <c r="AC498" s="252" t="str">
        <f>IF(ISNUMBER(SEARCH("C", 'Dry_Litterbag Placem_Collection'!$U205)),"YES","NO")</f>
        <v>NO</v>
      </c>
      <c r="AD498" s="252" t="str">
        <f>IF(ISNUMBER(SEARCH("H", 'Dry_Litterbag Placem_Collection'!$U205)),"YES","NO")</f>
        <v>NO</v>
      </c>
      <c r="AE498" s="252" t="str">
        <f>IF(ISNUMBER(SEARCH("R", 'Dry_Litterbag Placem_Collection'!$U205)),"YES","NO")</f>
        <v>YES</v>
      </c>
    </row>
    <row r="499" spans="2:31">
      <c r="B499" t="str">
        <f>'Final data_for_R_analysis_Dryse'!A645</f>
        <v>Dry</v>
      </c>
      <c r="C499" s="260">
        <f>'Final data_for_R_analysis_Dryse'!B645</f>
        <v>204</v>
      </c>
      <c r="D499" t="s">
        <v>2435</v>
      </c>
      <c r="E499" t="s">
        <v>25</v>
      </c>
      <c r="F499" s="382">
        <v>4</v>
      </c>
      <c r="G499" s="383">
        <f>IF('Dry_Litterbag Placem_Collection'!E206="","",'Dry_Litterbag Placem_Collection'!E206)</f>
        <v>42942</v>
      </c>
      <c r="H499" s="92" t="str">
        <f>'Final data_for_R_analysis_Dryse'!K645</f>
        <v>G672</v>
      </c>
      <c r="I499" t="str">
        <f>'Final data_for_R_analysis_Dryse'!K865</f>
        <v>R708</v>
      </c>
      <c r="J499">
        <f>IFERROR(INDEX('Green_rooibos initial weight'!$C$5:$C$2000,MATCH(H499, 'Green_rooibos initial weight'!$A$5:$A$2000,0)),"")</f>
        <v>2.0350000000000001</v>
      </c>
      <c r="K499">
        <f>IFERROR(INDEX('Green_rooibos initial weight'!$C$5:$C$2000,MATCH(I499, 'Green_rooibos initial weight'!$A$5:$A$2000,0)),"")</f>
        <v>2.157</v>
      </c>
      <c r="L499" s="194">
        <f t="shared" si="48"/>
        <v>1.7852000000000001</v>
      </c>
      <c r="M499" s="237">
        <f>AVERAGE(Ashed_controlls!$K$1:$K$11)</f>
        <v>5.5147656768714146</v>
      </c>
      <c r="N499" s="194">
        <f>IFERROR(IF(K499&gt;0,(K499*$F$32-($F$29+$F$30)),""),"")</f>
        <v>1.9072</v>
      </c>
      <c r="O499" s="383">
        <f>IF('Dry_Litterbag Placem_Collection'!G206="","",'Dry_Litterbag Placem_Collection'!G206)</f>
        <v>43004</v>
      </c>
      <c r="P499" s="194">
        <f>IFERROR(INDEX('Both teabags AfterDry'!$D$3:$D$2000,MATCH(H499,'Both teabags AfterDry'!$A$3:$A$2000,0)),"")</f>
        <v>0.75690000000000002</v>
      </c>
      <c r="Q499" s="194">
        <f>IFERROR(INDEX('Both teabags AfterDry'!$D$3:$D$2000,MATCH(I499,'Both teabags AfterDry'!$A$3:$A$2000,0)),"")</f>
        <v>1.7259</v>
      </c>
      <c r="R499" s="194">
        <f t="shared" si="49"/>
        <v>0.60630000000000006</v>
      </c>
      <c r="S499" s="194">
        <f t="shared" si="49"/>
        <v>1.5752999999999999</v>
      </c>
      <c r="T499" s="194">
        <f t="shared" si="50"/>
        <v>0.66037418776607659</v>
      </c>
      <c r="U499" s="194">
        <f t="shared" si="51"/>
        <v>0.43292939625519516</v>
      </c>
      <c r="V499" s="194">
        <f t="shared" si="52"/>
        <v>0.82597525167785235</v>
      </c>
      <c r="W499">
        <f t="shared" si="53"/>
        <v>62</v>
      </c>
      <c r="X499" s="194">
        <f t="shared" si="54"/>
        <v>0.21570761547971895</v>
      </c>
      <c r="Y499" s="194">
        <f t="shared" si="55"/>
        <v>8.2921744894285734E-3</v>
      </c>
      <c r="Z499" s="252" t="str">
        <f>IF(ISNUMBER(SEARCH("C", 'Dry_Litterbag Placem_Collection'!$V206)),"YES","NO")</f>
        <v>NO</v>
      </c>
      <c r="AA499" s="252" t="str">
        <f>IF(ISNUMBER(SEARCH("H", 'Dry_Litterbag Placem_Collection'!$V206)),"YES","NO")</f>
        <v>NO</v>
      </c>
      <c r="AB499" s="252" t="str">
        <f>IF(ISNUMBER(SEARCH("R", 'Dry_Litterbag Placem_Collection'!$V206)),"YES","NO")</f>
        <v>NO</v>
      </c>
      <c r="AC499" s="252" t="str">
        <f>IF(ISNUMBER(SEARCH("C", 'Dry_Litterbag Placem_Collection'!$U206)),"YES","NO")</f>
        <v>NO</v>
      </c>
      <c r="AD499" s="252" t="str">
        <f>IF(ISNUMBER(SEARCH("H", 'Dry_Litterbag Placem_Collection'!$U206)),"YES","NO")</f>
        <v>NO</v>
      </c>
      <c r="AE499" s="252" t="str">
        <f>IF(ISNUMBER(SEARCH("R", 'Dry_Litterbag Placem_Collection'!$U206)),"YES","NO")</f>
        <v>NO</v>
      </c>
    </row>
    <row r="500" spans="2:31">
      <c r="B500" t="str">
        <f>'Final data_for_R_analysis_Dryse'!A646</f>
        <v>Dry</v>
      </c>
      <c r="C500" s="260">
        <f>'Final data_for_R_analysis_Dryse'!B646</f>
        <v>205</v>
      </c>
      <c r="D500" t="s">
        <v>2429</v>
      </c>
      <c r="E500" t="s">
        <v>25</v>
      </c>
      <c r="F500" s="382">
        <v>1</v>
      </c>
      <c r="G500" s="383">
        <f>IF('Dry_Litterbag Placem_Collection'!E207="","",'Dry_Litterbag Placem_Collection'!E207)</f>
        <v>42942</v>
      </c>
      <c r="H500" s="92" t="str">
        <f>'Final data_for_R_analysis_Dryse'!K646</f>
        <v>G173</v>
      </c>
      <c r="I500" t="str">
        <f>'Final data_for_R_analysis_Dryse'!K866</f>
        <v>R637</v>
      </c>
      <c r="J500">
        <f>IFERROR(INDEX('Green_rooibos initial weight'!$C$5:$C$2000,MATCH(H500, 'Green_rooibos initial weight'!$A$5:$A$2000,0)),"")</f>
        <v>2.1419999999999999</v>
      </c>
      <c r="K500">
        <f>IFERROR(INDEX('Green_rooibos initial weight'!$C$5:$C$2000,MATCH(I500, 'Green_rooibos initial weight'!$A$5:$A$2000,0)),"")</f>
        <v>2.129</v>
      </c>
      <c r="L500" s="194">
        <f t="shared" si="48"/>
        <v>1.8921999999999999</v>
      </c>
      <c r="M500" s="237">
        <f>AVERAGE(Ashed_controlls!$K$1:$K$11)</f>
        <v>5.5147656768714146</v>
      </c>
      <c r="N500" s="194">
        <f>IFERROR(IF(K500&gt;0,(K500*$F$32-($F$29+$F$30)),""),"")</f>
        <v>1.8792</v>
      </c>
      <c r="O500" s="383">
        <f>IF('Dry_Litterbag Placem_Collection'!G207="","",'Dry_Litterbag Placem_Collection'!G207)</f>
        <v>43004</v>
      </c>
      <c r="P500" s="194">
        <f>IFERROR(INDEX('Both teabags AfterDry'!$D$3:$D$2000,MATCH(H500,'Both teabags AfterDry'!$A$3:$A$2000,0)),"")</f>
        <v>0.79190000000000005</v>
      </c>
      <c r="Q500" s="194">
        <f>IFERROR(INDEX('Both teabags AfterDry'!$D$3:$D$2000,MATCH(I500,'Both teabags AfterDry'!$A$3:$A$2000,0)),"")</f>
        <v>1.6534</v>
      </c>
      <c r="R500" s="194">
        <f t="shared" si="49"/>
        <v>0.64129999999999998</v>
      </c>
      <c r="S500" s="194">
        <f t="shared" si="49"/>
        <v>1.5027999999999999</v>
      </c>
      <c r="T500" s="194">
        <f t="shared" si="50"/>
        <v>0.66108233801923688</v>
      </c>
      <c r="U500" s="194">
        <f t="shared" si="51"/>
        <v>0.43339364677745701</v>
      </c>
      <c r="V500" s="194">
        <f t="shared" si="52"/>
        <v>0.79970200085142606</v>
      </c>
      <c r="W500">
        <f t="shared" si="53"/>
        <v>62</v>
      </c>
      <c r="X500" s="194">
        <f t="shared" si="54"/>
        <v>0.21486658192489683</v>
      </c>
      <c r="Y500" s="194">
        <f t="shared" si="55"/>
        <v>1.0003186383719796E-2</v>
      </c>
      <c r="Z500" s="252" t="str">
        <f>IF(ISNUMBER(SEARCH("C", 'Dry_Litterbag Placem_Collection'!$V207)),"YES","NO")</f>
        <v>NO</v>
      </c>
      <c r="AA500" s="252" t="str">
        <f>IF(ISNUMBER(SEARCH("H", 'Dry_Litterbag Placem_Collection'!$V207)),"YES","NO")</f>
        <v>NO</v>
      </c>
      <c r="AB500" s="252" t="str">
        <f>IF(ISNUMBER(SEARCH("R", 'Dry_Litterbag Placem_Collection'!$V207)),"YES","NO")</f>
        <v>YES</v>
      </c>
      <c r="AC500" s="252" t="str">
        <f>IF(ISNUMBER(SEARCH("C", 'Dry_Litterbag Placem_Collection'!$U207)),"YES","NO")</f>
        <v>NO</v>
      </c>
      <c r="AD500" s="252" t="str">
        <f>IF(ISNUMBER(SEARCH("H", 'Dry_Litterbag Placem_Collection'!$U207)),"YES","NO")</f>
        <v>NO</v>
      </c>
      <c r="AE500" s="252" t="str">
        <f>IF(ISNUMBER(SEARCH("R", 'Dry_Litterbag Placem_Collection'!$U207)),"YES","NO")</f>
        <v>YES</v>
      </c>
    </row>
    <row r="501" spans="2:31">
      <c r="B501" t="str">
        <f>'Final data_for_R_analysis_Dryse'!A647</f>
        <v>Dry</v>
      </c>
      <c r="C501" s="260">
        <f>'Final data_for_R_analysis_Dryse'!B647</f>
        <v>206</v>
      </c>
      <c r="D501" t="s">
        <v>2420</v>
      </c>
      <c r="E501" t="s">
        <v>25</v>
      </c>
      <c r="F501" s="382">
        <v>2</v>
      </c>
      <c r="G501" s="383">
        <f>IF('Dry_Litterbag Placem_Collection'!E208="","",'Dry_Litterbag Placem_Collection'!E208)</f>
        <v>42942</v>
      </c>
      <c r="H501" s="92" t="str">
        <f>'Final data_for_R_analysis_Dryse'!K647</f>
        <v>G262</v>
      </c>
      <c r="I501" t="str">
        <f>'Final data_for_R_analysis_Dryse'!K867</f>
        <v>R284</v>
      </c>
      <c r="J501">
        <f>IFERROR(INDEX('Green_rooibos initial weight'!$C$5:$C$2000,MATCH(H501, 'Green_rooibos initial weight'!$A$5:$A$2000,0)),"")</f>
        <v>2.012</v>
      </c>
      <c r="K501">
        <f>IFERROR(INDEX('Green_rooibos initial weight'!$C$5:$C$2000,MATCH(I501, 'Green_rooibos initial weight'!$A$5:$A$2000,0)),"")</f>
        <v>2.2480000000000002</v>
      </c>
      <c r="L501" s="194">
        <f t="shared" si="48"/>
        <v>1.7622</v>
      </c>
      <c r="M501" s="237">
        <f>AVERAGE(Ashed_controlls!$K$1:$K$11)</f>
        <v>5.5147656768714146</v>
      </c>
      <c r="N501" s="194">
        <f>IFERROR(IF(K501&gt;0,(K501*$F$32-($F$29+$F$30)),""),"")</f>
        <v>1.9982000000000002</v>
      </c>
      <c r="O501" s="383">
        <f>IF('Dry_Litterbag Placem_Collection'!G208="","",'Dry_Litterbag Placem_Collection'!G208)</f>
        <v>43004</v>
      </c>
      <c r="P501" s="194">
        <f>IFERROR(INDEX('Both teabags AfterDry'!$D$3:$D$2000,MATCH(H501,'Both teabags AfterDry'!$A$3:$A$2000,0)),"")</f>
        <v>0.59640000000000004</v>
      </c>
      <c r="Q501" s="194">
        <f>IFERROR(INDEX('Both teabags AfterDry'!$D$3:$D$2000,MATCH(I501,'Both teabags AfterDry'!$A$3:$A$2000,0)),"")</f>
        <v>1.6192</v>
      </c>
      <c r="R501" s="194">
        <f t="shared" si="49"/>
        <v>0.44580000000000003</v>
      </c>
      <c r="S501" s="194">
        <f t="shared" si="49"/>
        <v>1.4685999999999999</v>
      </c>
      <c r="T501" s="194">
        <f t="shared" si="50"/>
        <v>0.74702076949267959</v>
      </c>
      <c r="U501" s="194">
        <f t="shared" si="51"/>
        <v>0.48973333106883515</v>
      </c>
      <c r="V501" s="194">
        <f t="shared" si="52"/>
        <v>0.73496146531878681</v>
      </c>
      <c r="W501">
        <f t="shared" si="53"/>
        <v>62</v>
      </c>
      <c r="X501" s="194">
        <f t="shared" si="54"/>
        <v>0.11280193646950165</v>
      </c>
      <c r="Y501" s="194">
        <f t="shared" si="55"/>
        <v>1.2566419351191051E-2</v>
      </c>
      <c r="Z501" s="252" t="str">
        <f>IF(ISNUMBER(SEARCH("C", 'Dry_Litterbag Placem_Collection'!$V208)),"YES","NO")</f>
        <v>NO</v>
      </c>
      <c r="AA501" s="252" t="str">
        <f>IF(ISNUMBER(SEARCH("H", 'Dry_Litterbag Placem_Collection'!$V208)),"YES","NO")</f>
        <v>NO</v>
      </c>
      <c r="AB501" s="252" t="str">
        <f>IF(ISNUMBER(SEARCH("R", 'Dry_Litterbag Placem_Collection'!$V208)),"YES","NO")</f>
        <v>YES</v>
      </c>
      <c r="AC501" s="252" t="str">
        <f>IF(ISNUMBER(SEARCH("C", 'Dry_Litterbag Placem_Collection'!$U208)),"YES","NO")</f>
        <v>NO</v>
      </c>
      <c r="AD501" s="252" t="str">
        <f>IF(ISNUMBER(SEARCH("H", 'Dry_Litterbag Placem_Collection'!$U208)),"YES","NO")</f>
        <v>NO</v>
      </c>
      <c r="AE501" s="252" t="str">
        <f>IF(ISNUMBER(SEARCH("R", 'Dry_Litterbag Placem_Collection'!$U208)),"YES","NO")</f>
        <v>YES</v>
      </c>
    </row>
    <row r="502" spans="2:31">
      <c r="B502" t="str">
        <f>'Final data_for_R_analysis_Dryse'!A648</f>
        <v>Dry</v>
      </c>
      <c r="C502" s="260">
        <f>'Final data_for_R_analysis_Dryse'!B648</f>
        <v>207</v>
      </c>
      <c r="D502" t="s">
        <v>2443</v>
      </c>
      <c r="E502" t="s">
        <v>25</v>
      </c>
      <c r="F502" s="382">
        <v>3</v>
      </c>
      <c r="G502" s="383">
        <f>IF('Dry_Litterbag Placem_Collection'!E209="","",'Dry_Litterbag Placem_Collection'!E209)</f>
        <v>42942</v>
      </c>
      <c r="H502" s="92" t="str">
        <f>'Final data_for_R_analysis_Dryse'!K648</f>
        <v>G230</v>
      </c>
      <c r="I502" t="str">
        <f>'Final data_for_R_analysis_Dryse'!K868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48"/>
        <v>1.7532000000000001</v>
      </c>
      <c r="M502" s="237">
        <f>AVERAGE(Ashed_controlls!$K$1:$K$11)</f>
        <v>5.5147656768714146</v>
      </c>
      <c r="N502" s="194">
        <f>IFERROR(IF(K502&gt;0,(K502*$F$32-($F$29+$F$30)),""),"")</f>
        <v>1.8732000000000002</v>
      </c>
      <c r="O502" s="383">
        <f>IF('Dry_Litterbag Placem_Collection'!G209="","",'Dry_Litterbag Placem_Collection'!G209)</f>
        <v>43004</v>
      </c>
      <c r="P502" s="194">
        <f>IFERROR(INDEX('Both teabags AfterDry'!$D$3:$D$2000,MATCH(H502,'Both teabags AfterDry'!$A$3:$A$2000,0)),"")</f>
        <v>0.73299999999999998</v>
      </c>
      <c r="Q502" s="194">
        <f>IFERROR(INDEX('Both teabags AfterDry'!$D$3:$D$2000,MATCH(I502,'Both teabags AfterDry'!$A$3:$A$2000,0)),"")</f>
        <v>1.615</v>
      </c>
      <c r="R502" s="194">
        <f t="shared" si="49"/>
        <v>0.58240000000000003</v>
      </c>
      <c r="S502" s="194">
        <f t="shared" si="49"/>
        <v>1.4643999999999999</v>
      </c>
      <c r="T502" s="194">
        <f t="shared" si="50"/>
        <v>0.66780743782797169</v>
      </c>
      <c r="U502" s="194">
        <f t="shared" si="51"/>
        <v>0.43780250080883659</v>
      </c>
      <c r="V502" s="194">
        <f t="shared" si="52"/>
        <v>0.78176382660687582</v>
      </c>
      <c r="W502">
        <f t="shared" si="53"/>
        <v>62</v>
      </c>
      <c r="X502" s="194">
        <f t="shared" si="54"/>
        <v>0.20687952752022365</v>
      </c>
      <c r="Y502" s="194">
        <f t="shared" si="55"/>
        <v>1.1130863474287026E-2</v>
      </c>
      <c r="Z502" s="252" t="str">
        <f>IF(ISNUMBER(SEARCH("C", 'Dry_Litterbag Placem_Collection'!$V209)),"YES","NO")</f>
        <v>NO</v>
      </c>
      <c r="AA502" s="252" t="str">
        <f>IF(ISNUMBER(SEARCH("H", 'Dry_Litterbag Placem_Collection'!$V209)),"YES","NO")</f>
        <v>NO</v>
      </c>
      <c r="AB502" s="252" t="str">
        <f>IF(ISNUMBER(SEARCH("R", 'Dry_Litterbag Placem_Collection'!$V209)),"YES","NO")</f>
        <v>YES</v>
      </c>
      <c r="AC502" s="252" t="str">
        <f>IF(ISNUMBER(SEARCH("C", 'Dry_Litterbag Placem_Collection'!$U209)),"YES","NO")</f>
        <v>NO</v>
      </c>
      <c r="AD502" s="252" t="str">
        <f>IF(ISNUMBER(SEARCH("H", 'Dry_Litterbag Placem_Collection'!$U209)),"YES","NO")</f>
        <v>NO</v>
      </c>
      <c r="AE502" s="252" t="str">
        <f>IF(ISNUMBER(SEARCH("R", 'Dry_Litterbag Placem_Collection'!$U209)),"YES","NO")</f>
        <v>NO</v>
      </c>
    </row>
    <row r="503" spans="2:31">
      <c r="B503" t="str">
        <f>'Final data_for_R_analysis_Dryse'!A649</f>
        <v>Dry</v>
      </c>
      <c r="C503" s="260">
        <f>'Final data_for_R_analysis_Dryse'!B649</f>
        <v>208</v>
      </c>
      <c r="D503" t="s">
        <v>2436</v>
      </c>
      <c r="E503" t="s">
        <v>25</v>
      </c>
      <c r="F503" s="382">
        <v>4</v>
      </c>
      <c r="G503" s="383">
        <f>IF('Dry_Litterbag Placem_Collection'!E210="","",'Dry_Litterbag Placem_Collection'!E210)</f>
        <v>42942</v>
      </c>
      <c r="H503" s="92" t="str">
        <f>'Final data_for_R_analysis_Dryse'!K649</f>
        <v>G140</v>
      </c>
      <c r="I503" t="str">
        <f>'Final data_for_R_analysis_Dryse'!K869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48"/>
        <v>1.8092000000000001</v>
      </c>
      <c r="M503" s="237">
        <f>AVERAGE(Ashed_controlls!$K$1:$K$11)</f>
        <v>5.5147656768714146</v>
      </c>
      <c r="N503" s="194">
        <f>IFERROR(IF(K503&gt;0,(K503*$F$32-($F$29+$F$30)),""),"")</f>
        <v>1.9091999999999998</v>
      </c>
      <c r="O503" s="383">
        <f>IF('Dry_Litterbag Placem_Collection'!G210="","",'Dry_Litterbag Placem_Collection'!G210)</f>
        <v>43004</v>
      </c>
      <c r="P503" s="194">
        <f>IFERROR(INDEX('Both teabags AfterDry'!$D$3:$D$2000,MATCH(H503,'Both teabags AfterDry'!$A$3:$A$2000,0)),"")</f>
        <v>0.74199999999999999</v>
      </c>
      <c r="Q503" s="194">
        <f>IFERROR(INDEX('Both teabags AfterDry'!$D$3:$D$2000,MATCH(I503,'Both teabags AfterDry'!$A$3:$A$2000,0)),"")</f>
        <v>1.6539999999999999</v>
      </c>
      <c r="R503" s="194">
        <f t="shared" si="49"/>
        <v>0.59139999999999993</v>
      </c>
      <c r="S503" s="194">
        <f t="shared" si="49"/>
        <v>1.5033999999999998</v>
      </c>
      <c r="T503" s="194">
        <f t="shared" si="50"/>
        <v>0.67311518903382717</v>
      </c>
      <c r="U503" s="194">
        <f t="shared" si="51"/>
        <v>0.44128216668250902</v>
      </c>
      <c r="V503" s="194">
        <f t="shared" si="52"/>
        <v>0.78745024093861304</v>
      </c>
      <c r="W503">
        <f t="shared" si="53"/>
        <v>62</v>
      </c>
      <c r="X503" s="194">
        <f t="shared" si="54"/>
        <v>0.2005757849954547</v>
      </c>
      <c r="Y503" s="194">
        <f t="shared" si="55"/>
        <v>1.059889854780407E-2</v>
      </c>
      <c r="Z503" s="252" t="str">
        <f>IF(ISNUMBER(SEARCH("C", 'Dry_Litterbag Placem_Collection'!$V210)),"YES","NO")</f>
        <v>NO</v>
      </c>
      <c r="AA503" s="252" t="str">
        <f>IF(ISNUMBER(SEARCH("H", 'Dry_Litterbag Placem_Collection'!$V210)),"YES","NO")</f>
        <v>NO</v>
      </c>
      <c r="AB503" s="252" t="str">
        <f>IF(ISNUMBER(SEARCH("R", 'Dry_Litterbag Placem_Collection'!$V210)),"YES","NO")</f>
        <v>YES</v>
      </c>
      <c r="AC503" s="252" t="str">
        <f>IF(ISNUMBER(SEARCH("C", 'Dry_Litterbag Placem_Collection'!$U210)),"YES","NO")</f>
        <v>NO</v>
      </c>
      <c r="AD503" s="252" t="str">
        <f>IF(ISNUMBER(SEARCH("H", 'Dry_Litterbag Placem_Collection'!$U210)),"YES","NO")</f>
        <v>NO</v>
      </c>
      <c r="AE503" s="252" t="str">
        <f>IF(ISNUMBER(SEARCH("R", 'Dry_Litterbag Placem_Collection'!$U210)),"YES","NO")</f>
        <v>YES</v>
      </c>
    </row>
    <row r="504" spans="2:31">
      <c r="B504" t="str">
        <f>'Final data_for_R_analysis_Dryse'!A650</f>
        <v>Dry</v>
      </c>
      <c r="C504" s="260">
        <f>'Final data_for_R_analysis_Dryse'!B650</f>
        <v>209</v>
      </c>
      <c r="D504" t="s">
        <v>2430</v>
      </c>
      <c r="E504" t="s">
        <v>25</v>
      </c>
      <c r="F504" s="382">
        <v>1</v>
      </c>
      <c r="G504" s="383">
        <f>IF('Dry_Litterbag Placem_Collection'!E211="","",'Dry_Litterbag Placem_Collection'!E211)</f>
        <v>42942</v>
      </c>
      <c r="H504" s="92" t="str">
        <f>'Final data_for_R_analysis_Dryse'!K650</f>
        <v>G92</v>
      </c>
      <c r="I504" t="str">
        <f>'Final data_for_R_analysis_Dryse'!K870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48"/>
        <v>1.9432</v>
      </c>
      <c r="M504" s="237">
        <f>AVERAGE(Ashed_controlls!$K$1:$K$11)</f>
        <v>5.5147656768714146</v>
      </c>
      <c r="N504" s="194">
        <f>IFERROR(IF(K504&gt;0,(K504*$F$32-($F$29+$F$30)),""),"")</f>
        <v>1.9142000000000001</v>
      </c>
      <c r="O504" s="383">
        <f>IF('Dry_Litterbag Placem_Collection'!G211="","",'Dry_Litterbag Placem_Collection'!G211)</f>
        <v>43004</v>
      </c>
      <c r="P504" s="194">
        <f>IFERROR(INDEX('Both teabags AfterDry'!$D$3:$D$2000,MATCH(H504,'Both teabags AfterDry'!$A$3:$A$2000,0)),"")</f>
        <v>0.73619999999999997</v>
      </c>
      <c r="Q504" s="194">
        <f>IFERROR(INDEX('Both teabags AfterDry'!$D$3:$D$2000,MATCH(I504,'Both teabags AfterDry'!$A$3:$A$2000,0)),"")</f>
        <v>1.6881999999999999</v>
      </c>
      <c r="R504" s="194">
        <f t="shared" si="49"/>
        <v>0.5855999999999999</v>
      </c>
      <c r="S504" s="194">
        <f t="shared" si="49"/>
        <v>1.5375999999999999</v>
      </c>
      <c r="T504" s="194">
        <f t="shared" si="50"/>
        <v>0.698641416220667</v>
      </c>
      <c r="U504" s="194">
        <f t="shared" si="51"/>
        <v>0.45801670042019982</v>
      </c>
      <c r="V504" s="194">
        <f t="shared" si="52"/>
        <v>0.8032598474558561</v>
      </c>
      <c r="W504">
        <f t="shared" si="53"/>
        <v>62</v>
      </c>
      <c r="X504" s="194">
        <f t="shared" si="54"/>
        <v>0.17025960068804391</v>
      </c>
      <c r="Y504" s="194">
        <f t="shared" si="55"/>
        <v>9.0536488785231736E-3</v>
      </c>
      <c r="Z504" s="252" t="str">
        <f>IF(ISNUMBER(SEARCH("C", 'Dry_Litterbag Placem_Collection'!$V211)),"YES","NO")</f>
        <v>NO</v>
      </c>
      <c r="AA504" s="252" t="str">
        <f>IF(ISNUMBER(SEARCH("H", 'Dry_Litterbag Placem_Collection'!$V211)),"YES","NO")</f>
        <v>NO</v>
      </c>
      <c r="AB504" s="252" t="str">
        <f>IF(ISNUMBER(SEARCH("R", 'Dry_Litterbag Placem_Collection'!$V211)),"YES","NO")</f>
        <v>YES</v>
      </c>
      <c r="AC504" s="252" t="str">
        <f>IF(ISNUMBER(SEARCH("C", 'Dry_Litterbag Placem_Collection'!$U211)),"YES","NO")</f>
        <v>NO</v>
      </c>
      <c r="AD504" s="252" t="str">
        <f>IF(ISNUMBER(SEARCH("H", 'Dry_Litterbag Placem_Collection'!$U211)),"YES","NO")</f>
        <v>NO</v>
      </c>
      <c r="AE504" s="252" t="str">
        <f>IF(ISNUMBER(SEARCH("R", 'Dry_Litterbag Placem_Collection'!$U211)),"YES","NO")</f>
        <v>YES</v>
      </c>
    </row>
    <row r="505" spans="2:31">
      <c r="B505" t="str">
        <f>'Final data_for_R_analysis_Dryse'!A651</f>
        <v>Dry</v>
      </c>
      <c r="C505" s="260">
        <f>'Final data_for_R_analysis_Dryse'!B651</f>
        <v>210</v>
      </c>
      <c r="D505" t="s">
        <v>2444</v>
      </c>
      <c r="E505" t="s">
        <v>25</v>
      </c>
      <c r="F505" s="382">
        <v>2</v>
      </c>
      <c r="G505" s="383">
        <f>IF('Dry_Litterbag Placem_Collection'!E212="","",'Dry_Litterbag Placem_Collection'!E212)</f>
        <v>42942</v>
      </c>
      <c r="H505" s="92" t="str">
        <f>'Final data_for_R_analysis_Dryse'!K651</f>
        <v>G36</v>
      </c>
      <c r="I505" t="str">
        <f>'Final data_for_R_analysis_Dryse'!K871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48"/>
        <v>1.8931999999999998</v>
      </c>
      <c r="M505" s="237">
        <f>AVERAGE(Ashed_controlls!$K$1:$K$11)</f>
        <v>5.5147656768714146</v>
      </c>
      <c r="N505" s="194">
        <f>IFERROR(IF(K505&gt;0,(K505*$F$32-($F$29+$F$30)),""),"")</f>
        <v>1.9262000000000001</v>
      </c>
      <c r="O505" s="383">
        <f>IF('Dry_Litterbag Placem_Collection'!G212="","",'Dry_Litterbag Placem_Collection'!G212)</f>
        <v>43004</v>
      </c>
      <c r="P505" s="194">
        <f>IFERROR(INDEX('Both teabags AfterDry'!$D$3:$D$2000,MATCH(H505,'Both teabags AfterDry'!$A$3:$A$2000,0)),"")</f>
        <v>0.84599999999999997</v>
      </c>
      <c r="Q505" s="194">
        <f>IFERROR(INDEX('Both teabags AfterDry'!$D$3:$D$2000,MATCH(I505,'Both teabags AfterDry'!$A$3:$A$2000,0)),"")</f>
        <v>1.742</v>
      </c>
      <c r="R505" s="194">
        <f t="shared" si="49"/>
        <v>0.69540000000000002</v>
      </c>
      <c r="S505" s="194">
        <f t="shared" si="49"/>
        <v>1.5913999999999999</v>
      </c>
      <c r="T505" s="194">
        <f t="shared" si="50"/>
        <v>0.6326854003803084</v>
      </c>
      <c r="U505" s="194">
        <f t="shared" si="51"/>
        <v>0.41477712709017844</v>
      </c>
      <c r="V505" s="194">
        <f t="shared" si="52"/>
        <v>0.82618627349184914</v>
      </c>
      <c r="W505">
        <f t="shared" si="53"/>
        <v>62</v>
      </c>
      <c r="X505" s="194">
        <f t="shared" si="54"/>
        <v>0.24859216106851734</v>
      </c>
      <c r="Y505" s="194">
        <f t="shared" si="55"/>
        <v>8.7596173493872838E-3</v>
      </c>
      <c r="Z505" s="252" t="str">
        <f>IF(ISNUMBER(SEARCH("C", 'Dry_Litterbag Placem_Collection'!$V212)),"YES","NO")</f>
        <v>NO</v>
      </c>
      <c r="AA505" s="252" t="str">
        <f>IF(ISNUMBER(SEARCH("H", 'Dry_Litterbag Placem_Collection'!$V212)),"YES","NO")</f>
        <v>NO</v>
      </c>
      <c r="AB505" s="252" t="str">
        <f>IF(ISNUMBER(SEARCH("R", 'Dry_Litterbag Placem_Collection'!$V212)),"YES","NO")</f>
        <v>NO</v>
      </c>
      <c r="AC505" s="252" t="str">
        <f>IF(ISNUMBER(SEARCH("C", 'Dry_Litterbag Placem_Collection'!$U212)),"YES","NO")</f>
        <v>NO</v>
      </c>
      <c r="AD505" s="252" t="str">
        <f>IF(ISNUMBER(SEARCH("H", 'Dry_Litterbag Placem_Collection'!$U212)),"YES","NO")</f>
        <v>NO</v>
      </c>
      <c r="AE505" s="252" t="str">
        <f>IF(ISNUMBER(SEARCH("R", 'Dry_Litterbag Placem_Collection'!$U212)),"YES","NO")</f>
        <v>NO</v>
      </c>
    </row>
    <row r="506" spans="2:31">
      <c r="B506" t="str">
        <f>'Final data_for_R_analysis_Dryse'!A652</f>
        <v>Dry</v>
      </c>
      <c r="C506" s="260">
        <f>'Final data_for_R_analysis_Dryse'!B652</f>
        <v>211</v>
      </c>
      <c r="D506" t="s">
        <v>2421</v>
      </c>
      <c r="E506" t="s">
        <v>25</v>
      </c>
      <c r="F506" s="382">
        <v>3</v>
      </c>
      <c r="G506" s="383">
        <f>IF('Dry_Litterbag Placem_Collection'!E213="","",'Dry_Litterbag Placem_Collection'!E213)</f>
        <v>42942</v>
      </c>
      <c r="H506" s="92" t="str">
        <f>'Final data_for_R_analysis_Dryse'!K652</f>
        <v>G434</v>
      </c>
      <c r="I506" t="str">
        <f>'Final data_for_R_analysis_Dryse'!K872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48"/>
        <v>1.7841999999999998</v>
      </c>
      <c r="M506" s="237">
        <f>AVERAGE(Ashed_controlls!$K$1:$K$11)</f>
        <v>5.5147656768714146</v>
      </c>
      <c r="N506" s="194">
        <f>IFERROR(IF(K506&gt;0,(K506*$F$32-($F$29+$F$30)),""),"")</f>
        <v>1.8561999999999999</v>
      </c>
      <c r="O506" s="383">
        <f>IF('Dry_Litterbag Placem_Collection'!G213="","",'Dry_Litterbag Placem_Collection'!G213)</f>
        <v>43004</v>
      </c>
      <c r="P506" s="194">
        <f>IFERROR(INDEX('Both teabags AfterDry'!$D$3:$D$2000,MATCH(H506,'Both teabags AfterDry'!$A$3:$A$2000,0)),"")</f>
        <v>0.74099999999999999</v>
      </c>
      <c r="Q506" s="194">
        <f>IFERROR(INDEX('Both teabags AfterDry'!$D$3:$D$2000,MATCH(I506,'Both teabags AfterDry'!$A$3:$A$2000,0)),"")</f>
        <v>1.4770000000000001</v>
      </c>
      <c r="R506" s="194">
        <f t="shared" si="49"/>
        <v>0.59040000000000004</v>
      </c>
      <c r="S506" s="194">
        <f t="shared" si="49"/>
        <v>1.3264</v>
      </c>
      <c r="T506" s="194">
        <f t="shared" si="50"/>
        <v>0.66909539289317332</v>
      </c>
      <c r="U506" s="194">
        <f t="shared" si="51"/>
        <v>0.43864686089908755</v>
      </c>
      <c r="V506" s="194">
        <f t="shared" si="52"/>
        <v>0.71457817045576988</v>
      </c>
      <c r="W506">
        <f t="shared" si="53"/>
        <v>62</v>
      </c>
      <c r="X506" s="194">
        <f t="shared" si="54"/>
        <v>0.20534988967556611</v>
      </c>
      <c r="Y506" s="194">
        <f t="shared" si="55"/>
        <v>1.696430706882612E-2</v>
      </c>
      <c r="Z506" s="252" t="str">
        <f>IF(ISNUMBER(SEARCH("C", 'Dry_Litterbag Placem_Collection'!$V213)),"YES","NO")</f>
        <v>NO</v>
      </c>
      <c r="AA506" s="252" t="str">
        <f>IF(ISNUMBER(SEARCH("H", 'Dry_Litterbag Placem_Collection'!$V213)),"YES","NO")</f>
        <v>NO</v>
      </c>
      <c r="AB506" s="252" t="str">
        <f>IF(ISNUMBER(SEARCH("R", 'Dry_Litterbag Placem_Collection'!$V213)),"YES","NO")</f>
        <v>NO</v>
      </c>
      <c r="AC506" s="252" t="str">
        <f>IF(ISNUMBER(SEARCH("C", 'Dry_Litterbag Placem_Collection'!$U213)),"YES","NO")</f>
        <v>NO</v>
      </c>
      <c r="AD506" s="252" t="str">
        <f>IF(ISNUMBER(SEARCH("H", 'Dry_Litterbag Placem_Collection'!$U213)),"YES","NO")</f>
        <v>NO</v>
      </c>
      <c r="AE506" s="252" t="str">
        <f>IF(ISNUMBER(SEARCH("R", 'Dry_Litterbag Placem_Collection'!$U213)),"YES","NO")</f>
        <v>YES</v>
      </c>
    </row>
    <row r="507" spans="2:31">
      <c r="B507" t="str">
        <f>'Final data_for_R_analysis_Dryse'!A653</f>
        <v>Dry</v>
      </c>
      <c r="C507" s="260">
        <f>'Final data_for_R_analysis_Dryse'!B653</f>
        <v>215</v>
      </c>
      <c r="D507" t="s">
        <v>2422</v>
      </c>
      <c r="E507" t="s">
        <v>25</v>
      </c>
      <c r="F507" s="382">
        <v>3</v>
      </c>
      <c r="G507" s="383">
        <f>IF('Dry_Litterbag Placem_Collection'!E214="","",'Dry_Litterbag Placem_Collection'!E214)</f>
        <v>42942</v>
      </c>
      <c r="H507" s="92" t="str">
        <f>'Final data_for_R_analysis_Dryse'!K653</f>
        <v>G56</v>
      </c>
      <c r="I507" t="str">
        <f>'Final data_for_R_analysis_Dryse'!K873</f>
        <v>R256</v>
      </c>
      <c r="J507">
        <f>IFERROR(INDEX('Green_rooibos initial weight'!$C$5:$C$2000,MATCH(H507, 'Green_rooibos initial weight'!$A$5:$A$2000,0)),"")</f>
        <v>2.02</v>
      </c>
      <c r="K507">
        <f>IFERROR(INDEX('Green_rooibos initial weight'!$C$5:$C$2000,MATCH(I507, 'Green_rooibos initial weight'!$A$5:$A$2000,0)),"")</f>
        <v>2.2000000000000002</v>
      </c>
      <c r="L507" s="194">
        <f t="shared" si="48"/>
        <v>1.7702</v>
      </c>
      <c r="M507" s="237">
        <f>AVERAGE(Ashed_controlls!$K$1:$K$11)</f>
        <v>5.5147656768714146</v>
      </c>
      <c r="N507" s="194">
        <f>IFERROR(IF(K507&gt;0,(K507*$F$32-($F$29+$F$30)),""),"")</f>
        <v>1.9502000000000002</v>
      </c>
      <c r="O507" s="383">
        <f>IF('Dry_Litterbag Placem_Collection'!G214="","",'Dry_Litterbag Placem_Collection'!G214)</f>
        <v>43004</v>
      </c>
      <c r="P507" s="194">
        <f>IFERROR(INDEX('Both teabags AfterDry'!$D$3:$D$2000,MATCH(H507,'Both teabags AfterDry'!$A$3:$A$2000,0)),"")</f>
        <v>0.7238</v>
      </c>
      <c r="Q507" s="194">
        <f>IFERROR(INDEX('Both teabags AfterDry'!$D$3:$D$2000,MATCH(I507,'Both teabags AfterDry'!$A$3:$A$2000,0)),"")</f>
        <v>1.5882000000000001</v>
      </c>
      <c r="R507" s="194">
        <f t="shared" si="49"/>
        <v>0.57319999999999993</v>
      </c>
      <c r="S507" s="194">
        <f t="shared" si="49"/>
        <v>1.4376</v>
      </c>
      <c r="T507" s="194">
        <f t="shared" si="50"/>
        <v>0.67619478025081914</v>
      </c>
      <c r="U507" s="194">
        <f t="shared" si="51"/>
        <v>0.44330109109079835</v>
      </c>
      <c r="V507" s="194">
        <f t="shared" si="52"/>
        <v>0.73715516357296684</v>
      </c>
      <c r="W507">
        <f t="shared" si="53"/>
        <v>62</v>
      </c>
      <c r="X507" s="194">
        <f t="shared" si="54"/>
        <v>0.19691831324130737</v>
      </c>
      <c r="Y507" s="194">
        <f t="shared" si="55"/>
        <v>1.4496142114091398E-2</v>
      </c>
      <c r="Z507" s="252" t="str">
        <f>IF(ISNUMBER(SEARCH("C", 'Dry_Litterbag Placem_Collection'!$V214)),"YES","NO")</f>
        <v>NO</v>
      </c>
      <c r="AA507" s="252" t="str">
        <f>IF(ISNUMBER(SEARCH("H", 'Dry_Litterbag Placem_Collection'!$V214)),"YES","NO")</f>
        <v>NO</v>
      </c>
      <c r="AB507" s="252" t="str">
        <f>IF(ISNUMBER(SEARCH("R", 'Dry_Litterbag Placem_Collection'!$V214)),"YES","NO")</f>
        <v>YES</v>
      </c>
      <c r="AC507" s="252" t="str">
        <f>IF(ISNUMBER(SEARCH("C", 'Dry_Litterbag Placem_Collection'!$U214)),"YES","NO")</f>
        <v>NO</v>
      </c>
      <c r="AD507" s="252" t="str">
        <f>IF(ISNUMBER(SEARCH("H", 'Dry_Litterbag Placem_Collection'!$U214)),"YES","NO")</f>
        <v>NO</v>
      </c>
      <c r="AE507" s="252" t="str">
        <f>IF(ISNUMBER(SEARCH("R", 'Dry_Litterbag Placem_Collection'!$U214)),"YES","NO")</f>
        <v>YES</v>
      </c>
    </row>
    <row r="508" spans="2:31">
      <c r="B508" t="str">
        <f>'Final data_for_R_analysis_Dryse'!A654</f>
        <v>Dry</v>
      </c>
      <c r="C508" s="260">
        <f>'Final data_for_R_analysis_Dryse'!B654</f>
        <v>212</v>
      </c>
      <c r="D508" t="s">
        <v>2437</v>
      </c>
      <c r="E508" t="s">
        <v>25</v>
      </c>
      <c r="F508" s="382">
        <v>4</v>
      </c>
      <c r="G508" s="383">
        <f>IF('Dry_Litterbag Placem_Collection'!E215="","",'Dry_Litterbag Placem_Collection'!E215)</f>
        <v>42942</v>
      </c>
      <c r="H508" s="92" t="str">
        <f>'Final data_for_R_analysis_Dryse'!K654</f>
        <v>G363</v>
      </c>
      <c r="I508" t="str">
        <f>'Final data_for_R_analysis_Dryse'!K874</f>
        <v>R658</v>
      </c>
      <c r="J508">
        <f>IFERROR(INDEX('Green_rooibos initial weight'!$C$5:$C$2000,MATCH(H508, 'Green_rooibos initial weight'!$A$5:$A$2000,0)),"")</f>
        <v>2.02</v>
      </c>
      <c r="K508">
        <f>IFERROR(INDEX('Green_rooibos initial weight'!$C$5:$C$2000,MATCH(I508, 'Green_rooibos initial weight'!$A$5:$A$2000,0)),"")</f>
        <v>2.2080000000000002</v>
      </c>
      <c r="L508" s="194">
        <f t="shared" si="48"/>
        <v>1.7702</v>
      </c>
      <c r="M508" s="237">
        <f>AVERAGE(Ashed_controlls!$K$1:$K$11)</f>
        <v>5.5147656768714146</v>
      </c>
      <c r="N508" s="194">
        <f>IFERROR(IF(K508&gt;0,(K508*$F$32-($F$29+$F$30)),""),"")</f>
        <v>1.9582000000000002</v>
      </c>
      <c r="O508" s="383">
        <f>IF('Dry_Litterbag Placem_Collection'!G215="","",'Dry_Litterbag Placem_Collection'!G215)</f>
        <v>43004</v>
      </c>
      <c r="P508" s="194">
        <f>IFERROR(INDEX('Both teabags AfterDry'!$D$3:$D$2000,MATCH(H508,'Both teabags AfterDry'!$A$3:$A$2000,0)),"")</f>
        <v>0.753</v>
      </c>
      <c r="Q508" s="194">
        <f>IFERROR(INDEX('Both teabags AfterDry'!$D$3:$D$2000,MATCH(I508,'Both teabags AfterDry'!$A$3:$A$2000,0)),"")</f>
        <v>1.655</v>
      </c>
      <c r="R508" s="194">
        <f t="shared" si="49"/>
        <v>0.60240000000000005</v>
      </c>
      <c r="S508" s="194">
        <f t="shared" si="49"/>
        <v>1.5044</v>
      </c>
      <c r="T508" s="194">
        <f t="shared" si="50"/>
        <v>0.65969946898655518</v>
      </c>
      <c r="U508" s="194">
        <f t="shared" si="51"/>
        <v>0.43248706280353744</v>
      </c>
      <c r="V508" s="194">
        <f t="shared" si="52"/>
        <v>0.76825656214891214</v>
      </c>
      <c r="W508">
        <f t="shared" si="53"/>
        <v>62</v>
      </c>
      <c r="X508" s="194">
        <f t="shared" si="54"/>
        <v>0.21650894419649025</v>
      </c>
      <c r="Y508" s="194">
        <f t="shared" si="55"/>
        <v>1.237941640582442E-2</v>
      </c>
      <c r="Z508" s="252" t="str">
        <f>IF(ISNUMBER(SEARCH("C", 'Dry_Litterbag Placem_Collection'!$V215)),"YES","NO")</f>
        <v>NO</v>
      </c>
      <c r="AA508" s="252" t="str">
        <f>IF(ISNUMBER(SEARCH("H", 'Dry_Litterbag Placem_Collection'!$V215)),"YES","NO")</f>
        <v>NO</v>
      </c>
      <c r="AB508" s="252" t="str">
        <f>IF(ISNUMBER(SEARCH("R", 'Dry_Litterbag Placem_Collection'!$V215)),"YES","NO")</f>
        <v>YES</v>
      </c>
      <c r="AC508" s="252" t="str">
        <f>IF(ISNUMBER(SEARCH("C", 'Dry_Litterbag Placem_Collection'!$U215)),"YES","NO")</f>
        <v>NO</v>
      </c>
      <c r="AD508" s="252" t="str">
        <f>IF(ISNUMBER(SEARCH("H", 'Dry_Litterbag Placem_Collection'!$U215)),"YES","NO")</f>
        <v>NO</v>
      </c>
      <c r="AE508" s="252" t="str">
        <f>IF(ISNUMBER(SEARCH("R", 'Dry_Litterbag Placem_Collection'!$U215)),"YES","NO")</f>
        <v>YES</v>
      </c>
    </row>
    <row r="509" spans="2:31">
      <c r="B509" t="str">
        <f>'Final data_for_R_analysis_Dryse'!A655</f>
        <v>Dry</v>
      </c>
      <c r="C509" s="260">
        <f>'Final data_for_R_analysis_Dryse'!B655</f>
        <v>213</v>
      </c>
      <c r="D509" t="s">
        <v>2445</v>
      </c>
      <c r="E509" t="s">
        <v>25</v>
      </c>
      <c r="F509" s="382">
        <v>1</v>
      </c>
      <c r="G509" s="383">
        <f>IF('Dry_Litterbag Placem_Collection'!E216="","",'Dry_Litterbag Placem_Collection'!E216)</f>
        <v>42942</v>
      </c>
      <c r="H509" s="92" t="str">
        <f>'Final data_for_R_analysis_Dryse'!K655</f>
        <v>G5</v>
      </c>
      <c r="I509" t="str">
        <f>'Final data_for_R_analysis_Dryse'!K875</f>
        <v>R699</v>
      </c>
      <c r="J509">
        <f>IFERROR(INDEX('Green_rooibos initial weight'!$C$5:$C$2000,MATCH(H509, 'Green_rooibos initial weight'!$A$5:$A$2000,0)),"")</f>
        <v>2.0139999999999998</v>
      </c>
      <c r="K509">
        <f>IFERROR(INDEX('Green_rooibos initial weight'!$C$5:$C$2000,MATCH(I509, 'Green_rooibos initial weight'!$A$5:$A$2000,0)),"")</f>
        <v>2.157</v>
      </c>
      <c r="L509" s="194">
        <f t="shared" si="48"/>
        <v>1.7641999999999998</v>
      </c>
      <c r="M509" s="237">
        <f>AVERAGE(Ashed_controlls!$K$1:$K$11)</f>
        <v>5.5147656768714146</v>
      </c>
      <c r="N509" s="194">
        <f>IFERROR(IF(K509&gt;0,(K509*$F$32-($F$29+$F$30)),""),"")</f>
        <v>1.9072</v>
      </c>
      <c r="O509" s="383">
        <f>IF('Dry_Litterbag Placem_Collection'!G216="","",'Dry_Litterbag Placem_Collection'!G216)</f>
        <v>43004</v>
      </c>
      <c r="P509" s="194">
        <f>IFERROR(INDEX('Both teabags AfterDry'!$D$3:$D$2000,MATCH(H509,'Both teabags AfterDry'!$A$3:$A$2000,0)),"")</f>
        <v>0.67</v>
      </c>
      <c r="Q509" s="194">
        <f>IFERROR(INDEX('Both teabags AfterDry'!$D$3:$D$2000,MATCH(I509,'Both teabags AfterDry'!$A$3:$A$2000,0)),"")</f>
        <v>1.748</v>
      </c>
      <c r="R509" s="194">
        <f t="shared" si="49"/>
        <v>0.51940000000000008</v>
      </c>
      <c r="S509" s="194">
        <f t="shared" si="49"/>
        <v>1.5973999999999999</v>
      </c>
      <c r="T509" s="194">
        <f t="shared" si="50"/>
        <v>0.7055889354948417</v>
      </c>
      <c r="U509" s="194">
        <f t="shared" si="51"/>
        <v>0.46257136863794857</v>
      </c>
      <c r="V509" s="194">
        <f t="shared" si="52"/>
        <v>0.83756291946308725</v>
      </c>
      <c r="W509">
        <f t="shared" si="53"/>
        <v>62</v>
      </c>
      <c r="X509" s="194">
        <f t="shared" si="54"/>
        <v>0.16200839014864399</v>
      </c>
      <c r="Y509" s="194">
        <f t="shared" si="55"/>
        <v>6.9769492598676227E-3</v>
      </c>
      <c r="Z509" s="252" t="str">
        <f>IF(ISNUMBER(SEARCH("C", 'Dry_Litterbag Placem_Collection'!$V216)),"YES","NO")</f>
        <v>NO</v>
      </c>
      <c r="AA509" s="252" t="str">
        <f>IF(ISNUMBER(SEARCH("H", 'Dry_Litterbag Placem_Collection'!$V216)),"YES","NO")</f>
        <v>NO</v>
      </c>
      <c r="AB509" s="252" t="str">
        <f>IF(ISNUMBER(SEARCH("R", 'Dry_Litterbag Placem_Collection'!$V216)),"YES","NO")</f>
        <v>NO</v>
      </c>
      <c r="AC509" s="252" t="str">
        <f>IF(ISNUMBER(SEARCH("C", 'Dry_Litterbag Placem_Collection'!$U216)),"YES","NO")</f>
        <v>NO</v>
      </c>
      <c r="AD509" s="252" t="str">
        <f>IF(ISNUMBER(SEARCH("H", 'Dry_Litterbag Placem_Collection'!$U216)),"YES","NO")</f>
        <v>NO</v>
      </c>
      <c r="AE509" s="252" t="str">
        <f>IF(ISNUMBER(SEARCH("R", 'Dry_Litterbag Placem_Collection'!$U216)),"YES","NO")</f>
        <v>NO</v>
      </c>
    </row>
    <row r="510" spans="2:31">
      <c r="B510" t="str">
        <f>'Final data_for_R_analysis_Dryse'!A656</f>
        <v>Dry</v>
      </c>
      <c r="C510" s="260">
        <f>'Final data_for_R_analysis_Dryse'!B656</f>
        <v>214</v>
      </c>
      <c r="D510" t="s">
        <v>2438</v>
      </c>
      <c r="E510" t="s">
        <v>25</v>
      </c>
      <c r="F510" s="382">
        <v>2</v>
      </c>
      <c r="G510" s="383">
        <f>IF('Dry_Litterbag Placem_Collection'!E217="","",'Dry_Litterbag Placem_Collection'!E217)</f>
        <v>42942</v>
      </c>
      <c r="H510" s="92" t="str">
        <f>'Final data_for_R_analysis_Dryse'!K656</f>
        <v>G771</v>
      </c>
      <c r="I510" t="str">
        <f>'Final data_for_R_analysis_Dryse'!K876</f>
        <v>R663</v>
      </c>
      <c r="J510">
        <f>IFERROR(INDEX('Green_rooibos initial weight'!$C$5:$C$2000,MATCH(H510, 'Green_rooibos initial weight'!$A$5:$A$2000,0)),"")</f>
        <v>1.9910000000000001</v>
      </c>
      <c r="K510">
        <f>IFERROR(INDEX('Green_rooibos initial weight'!$C$5:$C$2000,MATCH(I510, 'Green_rooibos initial weight'!$A$5:$A$2000,0)),"")</f>
        <v>2.105</v>
      </c>
      <c r="L510" s="194">
        <f t="shared" si="48"/>
        <v>1.7412000000000001</v>
      </c>
      <c r="M510" s="237">
        <f>AVERAGE(Ashed_controlls!$K$1:$K$11)</f>
        <v>5.5147656768714146</v>
      </c>
      <c r="N510" s="194">
        <f>IFERROR(IF(K510&gt;0,(K510*$F$32-($F$29+$F$30)),""),"")</f>
        <v>1.8552</v>
      </c>
      <c r="O510" s="383">
        <f>IF('Dry_Litterbag Placem_Collection'!G217="","",'Dry_Litterbag Placem_Collection'!G217)</f>
        <v>43004</v>
      </c>
      <c r="P510" s="194">
        <f>IFERROR(INDEX('Both teabags AfterDry'!$D$3:$D$2000,MATCH(H510,'Both teabags AfterDry'!$A$3:$A$2000,0)),"")</f>
        <v>0.65300000000000002</v>
      </c>
      <c r="Q510" s="194">
        <f>IFERROR(INDEX('Both teabags AfterDry'!$D$3:$D$2000,MATCH(I510,'Both teabags AfterDry'!$A$3:$A$2000,0)),"")</f>
        <v>1.6679999999999999</v>
      </c>
      <c r="R510" s="194">
        <f t="shared" si="49"/>
        <v>0.50239999999999996</v>
      </c>
      <c r="S510" s="194">
        <f t="shared" si="49"/>
        <v>1.5173999999999999</v>
      </c>
      <c r="T510" s="194">
        <f t="shared" si="50"/>
        <v>0.71146335860326215</v>
      </c>
      <c r="U510" s="194">
        <f t="shared" si="51"/>
        <v>0.46642253438123604</v>
      </c>
      <c r="V510" s="194">
        <f t="shared" si="52"/>
        <v>0.81791720569210857</v>
      </c>
      <c r="W510">
        <f t="shared" si="53"/>
        <v>62</v>
      </c>
      <c r="X510" s="194">
        <f t="shared" si="54"/>
        <v>0.15503164061370289</v>
      </c>
      <c r="Y510" s="194">
        <f t="shared" si="55"/>
        <v>7.9826154575965442E-3</v>
      </c>
      <c r="Z510" s="252" t="str">
        <f>IF(ISNUMBER(SEARCH("C", 'Dry_Litterbag Placem_Collection'!$V217)),"YES","NO")</f>
        <v>NO</v>
      </c>
      <c r="AA510" s="252" t="str">
        <f>IF(ISNUMBER(SEARCH("H", 'Dry_Litterbag Placem_Collection'!$V217)),"YES","NO")</f>
        <v>NO</v>
      </c>
      <c r="AB510" s="252" t="str">
        <f>IF(ISNUMBER(SEARCH("R", 'Dry_Litterbag Placem_Collection'!$V217)),"YES","NO")</f>
        <v>NO</v>
      </c>
      <c r="AC510" s="252" t="str">
        <f>IF(ISNUMBER(SEARCH("C", 'Dry_Litterbag Placem_Collection'!$U217)),"YES","NO")</f>
        <v>NO</v>
      </c>
      <c r="AD510" s="252" t="str">
        <f>IF(ISNUMBER(SEARCH("H", 'Dry_Litterbag Placem_Collection'!$U217)),"YES","NO")</f>
        <v>NO</v>
      </c>
      <c r="AE510" s="252" t="str">
        <f>IF(ISNUMBER(SEARCH("R", 'Dry_Litterbag Placem_Collection'!$U217)),"YES","NO")</f>
        <v>YES</v>
      </c>
    </row>
    <row r="511" spans="2:31">
      <c r="B511" t="str">
        <f>'Final data_for_R_analysis_Dryse'!A657</f>
        <v>Dry</v>
      </c>
      <c r="C511" s="260">
        <f>'Final data_for_R_analysis_Dryse'!B657</f>
        <v>216</v>
      </c>
      <c r="D511" t="s">
        <v>2431</v>
      </c>
      <c r="E511" t="s">
        <v>25</v>
      </c>
      <c r="F511" s="382">
        <v>4</v>
      </c>
      <c r="G511" s="383">
        <f>IF('Dry_Litterbag Placem_Collection'!E218="","",'Dry_Litterbag Placem_Collection'!E218)</f>
        <v>42942</v>
      </c>
      <c r="H511" s="92" t="str">
        <f>'Final data_for_R_analysis_Dryse'!K657</f>
        <v>G361</v>
      </c>
      <c r="I511" t="str">
        <f>'Final data_for_R_analysis_Dryse'!K877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48"/>
        <v>1.8092000000000001</v>
      </c>
      <c r="M511" s="237">
        <f>AVERAGE(Ashed_controlls!$K$1:$K$11)</f>
        <v>5.5147656768714146</v>
      </c>
      <c r="N511" s="194">
        <f>IFERROR(IF(K511&gt;0,(K511*$F$32-($F$29+$F$30)),""),"")</f>
        <v>1.9142000000000001</v>
      </c>
      <c r="O511" s="383">
        <f>IF('Dry_Litterbag Placem_Collection'!G218="","",'Dry_Litterbag Placem_Collection'!G218)</f>
        <v>43004</v>
      </c>
      <c r="P511" s="194">
        <f>IFERROR(INDEX('Both teabags AfterDry'!$D$3:$D$2000,MATCH(H511,'Both teabags AfterDry'!$A$3:$A$2000,0)),"")</f>
        <v>0.73499999999999999</v>
      </c>
      <c r="Q511" s="194">
        <f>IFERROR(INDEX('Both teabags AfterDry'!$D$3:$D$2000,MATCH(I511,'Both teabags AfterDry'!$A$3:$A$2000,0)),"")</f>
        <v>1.6419999999999999</v>
      </c>
      <c r="R511" s="194">
        <f t="shared" si="49"/>
        <v>0.58440000000000003</v>
      </c>
      <c r="S511" s="194">
        <f t="shared" si="49"/>
        <v>1.4913999999999998</v>
      </c>
      <c r="T511" s="194">
        <f t="shared" si="50"/>
        <v>0.67698430245412333</v>
      </c>
      <c r="U511" s="194">
        <f t="shared" si="51"/>
        <v>0.44381868759462723</v>
      </c>
      <c r="V511" s="194">
        <f t="shared" si="52"/>
        <v>0.77912443840768975</v>
      </c>
      <c r="W511">
        <f t="shared" si="53"/>
        <v>62</v>
      </c>
      <c r="X511" s="194">
        <f t="shared" si="54"/>
        <v>0.19598063841553048</v>
      </c>
      <c r="Y511" s="194">
        <f t="shared" si="55"/>
        <v>1.1104829341503992E-2</v>
      </c>
      <c r="Z511" s="252" t="str">
        <f>IF(ISNUMBER(SEARCH("C", 'Dry_Litterbag Placem_Collection'!$V218)),"YES","NO")</f>
        <v>NO</v>
      </c>
      <c r="AA511" s="252" t="str">
        <f>IF(ISNUMBER(SEARCH("H", 'Dry_Litterbag Placem_Collection'!$V218)),"YES","NO")</f>
        <v>NO</v>
      </c>
      <c r="AB511" s="252" t="str">
        <f>IF(ISNUMBER(SEARCH("R", 'Dry_Litterbag Placem_Collection'!$V218)),"YES","NO")</f>
        <v>NO</v>
      </c>
      <c r="AC511" s="252" t="str">
        <f>IF(ISNUMBER(SEARCH("C", 'Dry_Litterbag Placem_Collection'!$U218)),"YES","NO")</f>
        <v>NO</v>
      </c>
      <c r="AD511" s="252" t="str">
        <f>IF(ISNUMBER(SEARCH("H", 'Dry_Litterbag Placem_Collection'!$U218)),"YES","NO")</f>
        <v>NO</v>
      </c>
      <c r="AE511" s="252" t="str">
        <f>IF(ISNUMBER(SEARCH("R", 'Dry_Litterbag Placem_Collection'!$U218)),"YES","NO")</f>
        <v>NO</v>
      </c>
    </row>
    <row r="512" spans="2:31">
      <c r="B512" t="str">
        <f>'Final data_for_R_analysis_Dryse'!A658</f>
        <v>Dry</v>
      </c>
      <c r="C512" s="260">
        <f>'Final data_for_R_analysis_Dryse'!B658</f>
        <v>217</v>
      </c>
      <c r="D512" t="s">
        <v>2424</v>
      </c>
      <c r="E512" t="s">
        <v>25</v>
      </c>
      <c r="F512" s="382">
        <v>1</v>
      </c>
      <c r="G512" s="383">
        <f>IF('Dry_Litterbag Placem_Collection'!E219="","",'Dry_Litterbag Placem_Collection'!E219)</f>
        <v>42942</v>
      </c>
      <c r="H512" s="92" t="str">
        <f>'Final data_for_R_analysis_Dryse'!K658</f>
        <v>G204</v>
      </c>
      <c r="I512" t="str">
        <f>'Final data_for_R_analysis_Dryse'!K878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48"/>
        <v>1.9472</v>
      </c>
      <c r="M512" s="237">
        <f>AVERAGE(Ashed_controlls!$K$1:$K$11)</f>
        <v>5.5147656768714146</v>
      </c>
      <c r="N512" s="194">
        <f>IFERROR(IF(K512&gt;0,(K512*$F$32-($F$29+$F$30)),""),"")</f>
        <v>1.8942000000000001</v>
      </c>
      <c r="O512" s="383">
        <f>IF('Dry_Litterbag Placem_Collection'!G219="","",'Dry_Litterbag Placem_Collection'!G219)</f>
        <v>43004</v>
      </c>
      <c r="P512" s="194">
        <f>IFERROR(INDEX('Both teabags AfterDry'!$D$3:$D$2000,MATCH(H512,'Both teabags AfterDry'!$A$3:$A$2000,0)),"")</f>
        <v>0.80579999999999996</v>
      </c>
      <c r="Q512" s="194">
        <f>IFERROR(INDEX('Both teabags AfterDry'!$D$3:$D$2000,MATCH(I512,'Both teabags AfterDry'!$A$3:$A$2000,0)),"")</f>
        <v>1.6455</v>
      </c>
      <c r="R512" s="194">
        <f t="shared" si="49"/>
        <v>0.6552</v>
      </c>
      <c r="S512" s="194">
        <f t="shared" si="49"/>
        <v>1.4948999999999999</v>
      </c>
      <c r="T512" s="194">
        <f t="shared" si="50"/>
        <v>0.6635168447000821</v>
      </c>
      <c r="U512" s="194">
        <f t="shared" si="51"/>
        <v>0.43498966540908002</v>
      </c>
      <c r="V512" s="194">
        <f t="shared" si="52"/>
        <v>0.78919860627177696</v>
      </c>
      <c r="W512">
        <f t="shared" si="53"/>
        <v>62</v>
      </c>
      <c r="X512" s="194">
        <f t="shared" si="54"/>
        <v>0.21197524382413047</v>
      </c>
      <c r="Y512" s="194">
        <f t="shared" si="55"/>
        <v>1.069090444704884E-2</v>
      </c>
      <c r="Z512" s="252" t="str">
        <f>IF(ISNUMBER(SEARCH("C", 'Dry_Litterbag Placem_Collection'!$V219)),"YES","NO")</f>
        <v>NO</v>
      </c>
      <c r="AA512" s="252" t="str">
        <f>IF(ISNUMBER(SEARCH("H", 'Dry_Litterbag Placem_Collection'!$V219)),"YES","NO")</f>
        <v>NO</v>
      </c>
      <c r="AB512" s="252" t="str">
        <f>IF(ISNUMBER(SEARCH("R", 'Dry_Litterbag Placem_Collection'!$V219)),"YES","NO")</f>
        <v>NO</v>
      </c>
      <c r="AC512" s="252" t="str">
        <f>IF(ISNUMBER(SEARCH("C", 'Dry_Litterbag Placem_Collection'!$U219)),"YES","NO")</f>
        <v>NO</v>
      </c>
      <c r="AD512" s="252" t="str">
        <f>IF(ISNUMBER(SEARCH("H", 'Dry_Litterbag Placem_Collection'!$U219)),"YES","NO")</f>
        <v>NO</v>
      </c>
      <c r="AE512" s="252" t="str">
        <f>IF(ISNUMBER(SEARCH("R", 'Dry_Litterbag Placem_Collection'!$U219)),"YES","NO")</f>
        <v>YES</v>
      </c>
    </row>
    <row r="513" spans="2:31">
      <c r="B513" t="str">
        <f>'Final data_for_R_analysis_Dryse'!A659</f>
        <v>Dry</v>
      </c>
      <c r="C513" s="260">
        <f>'Final data_for_R_analysis_Dryse'!B659</f>
        <v>218</v>
      </c>
      <c r="D513" t="s">
        <v>2432</v>
      </c>
      <c r="E513" t="s">
        <v>25</v>
      </c>
      <c r="F513" s="382">
        <v>2</v>
      </c>
      <c r="G513" s="383">
        <f>IF('Dry_Litterbag Placem_Collection'!E220="","",'Dry_Litterbag Placem_Collection'!E220)</f>
        <v>42942</v>
      </c>
      <c r="H513" s="92" t="str">
        <f>'Final data_for_R_analysis_Dryse'!K659</f>
        <v>G170</v>
      </c>
      <c r="I513" t="str">
        <f>'Final data_for_R_analysis_Dryse'!K879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48"/>
        <v>1.7892000000000001</v>
      </c>
      <c r="M513" s="237">
        <f>AVERAGE(Ashed_controlls!$K$1:$K$11)</f>
        <v>5.5147656768714146</v>
      </c>
      <c r="N513" s="194">
        <f>IFERROR(IF(K513&gt;0,(K513*$F$32-($F$29+$F$30)),""),"")</f>
        <v>1.8342000000000001</v>
      </c>
      <c r="O513" s="383">
        <f>IF('Dry_Litterbag Placem_Collection'!G220="","",'Dry_Litterbag Placem_Collection'!G220)</f>
        <v>43004</v>
      </c>
      <c r="P513" s="194">
        <f>IFERROR(INDEX('Both teabags AfterDry'!$D$3:$D$2000,MATCH(H513,'Both teabags AfterDry'!$A$3:$A$2000,0)),"")</f>
        <v>0.66100000000000003</v>
      </c>
      <c r="Q513" s="194">
        <f>IFERROR(INDEX('Both teabags AfterDry'!$D$3:$D$2000,MATCH(I513,'Both teabags AfterDry'!$A$3:$A$2000,0)),"")</f>
        <v>1.6519999999999999</v>
      </c>
      <c r="R513" s="194">
        <f t="shared" si="49"/>
        <v>0.51039999999999996</v>
      </c>
      <c r="S513" s="194">
        <f t="shared" si="49"/>
        <v>1.5013999999999998</v>
      </c>
      <c r="T513" s="194">
        <f t="shared" si="50"/>
        <v>0.71473284149340488</v>
      </c>
      <c r="U513" s="194">
        <f t="shared" si="51"/>
        <v>0.46856594834246978</v>
      </c>
      <c r="V513" s="194">
        <f t="shared" si="52"/>
        <v>0.81855849961836213</v>
      </c>
      <c r="W513">
        <f t="shared" si="53"/>
        <v>62</v>
      </c>
      <c r="X513" s="194">
        <f t="shared" si="54"/>
        <v>0.15114864430712005</v>
      </c>
      <c r="Y513" s="194">
        <f t="shared" si="55"/>
        <v>7.8993728754922343E-3</v>
      </c>
      <c r="Z513" s="252" t="str">
        <f>IF(ISNUMBER(SEARCH("C", 'Dry_Litterbag Placem_Collection'!$V220)),"YES","NO")</f>
        <v>NO</v>
      </c>
      <c r="AA513" s="252" t="str">
        <f>IF(ISNUMBER(SEARCH("H", 'Dry_Litterbag Placem_Collection'!$V220)),"YES","NO")</f>
        <v>NO</v>
      </c>
      <c r="AB513" s="252" t="str">
        <f>IF(ISNUMBER(SEARCH("R", 'Dry_Litterbag Placem_Collection'!$V220)),"YES","NO")</f>
        <v>YES</v>
      </c>
      <c r="AC513" s="252" t="str">
        <f>IF(ISNUMBER(SEARCH("C", 'Dry_Litterbag Placem_Collection'!$U220)),"YES","NO")</f>
        <v>NO</v>
      </c>
      <c r="AD513" s="252" t="str">
        <f>IF(ISNUMBER(SEARCH("H", 'Dry_Litterbag Placem_Collection'!$U220)),"YES","NO")</f>
        <v>NO</v>
      </c>
      <c r="AE513" s="252" t="str">
        <f>IF(ISNUMBER(SEARCH("R", 'Dry_Litterbag Placem_Collection'!$U220)),"YES","NO")</f>
        <v>YES</v>
      </c>
    </row>
    <row r="514" spans="2:31">
      <c r="B514" t="str">
        <f>'Final data_for_R_analysis_Dryse'!A660</f>
        <v>Dry</v>
      </c>
      <c r="C514" s="260">
        <f>'Final data_for_R_analysis_Dryse'!B660</f>
        <v>219</v>
      </c>
      <c r="D514" t="s">
        <v>2439</v>
      </c>
      <c r="E514" t="s">
        <v>25</v>
      </c>
      <c r="F514" s="382">
        <v>3</v>
      </c>
      <c r="G514" s="383">
        <f>IF('Dry_Litterbag Placem_Collection'!E221="","",'Dry_Litterbag Placem_Collection'!E221)</f>
        <v>42942</v>
      </c>
      <c r="H514" s="92" t="str">
        <f>'Final data_for_R_analysis_Dryse'!K660</f>
        <v>G123</v>
      </c>
      <c r="I514" t="str">
        <f>'Final data_for_R_analysis_Dryse'!K880</f>
        <v>R246</v>
      </c>
      <c r="J514">
        <f>IFERROR(INDEX('Green_rooibos initial weight'!$C$5:$C$2000,MATCH(H514, 'Green_rooibos initial weight'!$A$5:$A$2000,0)),"")</f>
        <v>2.133</v>
      </c>
      <c r="K514">
        <f>IFERROR(INDEX('Green_rooibos initial weight'!$C$5:$C$2000,MATCH(I514, 'Green_rooibos initial weight'!$A$5:$A$2000,0)),"")</f>
        <v>2.2170000000000001</v>
      </c>
      <c r="L514" s="194">
        <f t="shared" si="48"/>
        <v>1.8832</v>
      </c>
      <c r="M514" s="237">
        <f>AVERAGE(Ashed_controlls!$K$1:$K$11)</f>
        <v>5.5147656768714146</v>
      </c>
      <c r="N514" s="194">
        <f>IFERROR(IF(K514&gt;0,(K514*$F$32-($F$29+$F$30)),""),"")</f>
        <v>1.9672000000000001</v>
      </c>
      <c r="O514" s="383">
        <f>IF('Dry_Litterbag Placem_Collection'!G221="","",'Dry_Litterbag Placem_Collection'!G221)</f>
        <v>43004</v>
      </c>
      <c r="P514" s="194">
        <f>IFERROR(INDEX('Both teabags AfterDry'!$D$3:$D$2000,MATCH(H514,'Both teabags AfterDry'!$A$3:$A$2000,0)),"")</f>
        <v>0.82250000000000001</v>
      </c>
      <c r="Q514" s="194">
        <f>IFERROR(INDEX('Both teabags AfterDry'!$D$3:$D$2000,MATCH(I514,'Both teabags AfterDry'!$A$3:$A$2000,0)),"")</f>
        <v>1.639</v>
      </c>
      <c r="R514" s="194">
        <f t="shared" si="49"/>
        <v>0.67189999999999994</v>
      </c>
      <c r="S514" s="194">
        <f t="shared" si="49"/>
        <v>1.4883999999999999</v>
      </c>
      <c r="T514" s="194">
        <f t="shared" si="50"/>
        <v>0.64321367884451996</v>
      </c>
      <c r="U514" s="194">
        <f t="shared" si="51"/>
        <v>0.42167927639213187</v>
      </c>
      <c r="V514" s="194">
        <f t="shared" si="52"/>
        <v>0.75660837738918252</v>
      </c>
      <c r="W514">
        <f t="shared" si="53"/>
        <v>62</v>
      </c>
      <c r="X514" s="194">
        <f t="shared" si="54"/>
        <v>0.23608826740555822</v>
      </c>
      <c r="Y514" s="194">
        <f t="shared" si="55"/>
        <v>1.3884624808672117E-2</v>
      </c>
      <c r="Z514" s="252" t="str">
        <f>IF(ISNUMBER(SEARCH("C", 'Dry_Litterbag Placem_Collection'!$V221)),"YES","NO")</f>
        <v>NO</v>
      </c>
      <c r="AA514" s="252" t="str">
        <f>IF(ISNUMBER(SEARCH("H", 'Dry_Litterbag Placem_Collection'!$V221)),"YES","NO")</f>
        <v>NO</v>
      </c>
      <c r="AB514" s="252" t="str">
        <f>IF(ISNUMBER(SEARCH("R", 'Dry_Litterbag Placem_Collection'!$V221)),"YES","NO")</f>
        <v>NO</v>
      </c>
      <c r="AC514" s="252" t="str">
        <f>IF(ISNUMBER(SEARCH("C", 'Dry_Litterbag Placem_Collection'!$U221)),"YES","NO")</f>
        <v>NO</v>
      </c>
      <c r="AD514" s="252" t="str">
        <f>IF(ISNUMBER(SEARCH("H", 'Dry_Litterbag Placem_Collection'!$U221)),"YES","NO")</f>
        <v>NO</v>
      </c>
      <c r="AE514" s="252" t="str">
        <f>IF(ISNUMBER(SEARCH("R", 'Dry_Litterbag Placem_Collection'!$U221)),"YES","NO")</f>
        <v>YES</v>
      </c>
    </row>
    <row r="515" spans="2:31">
      <c r="B515" t="str">
        <f>'Final data_for_R_analysis_Dryse'!A661</f>
        <v>Dry</v>
      </c>
      <c r="C515" s="381">
        <f>'Final data_for_R_analysis_Dryse'!B661</f>
        <v>220</v>
      </c>
      <c r="D515" t="s">
        <v>2446</v>
      </c>
      <c r="E515" t="s">
        <v>25</v>
      </c>
      <c r="F515" s="382">
        <v>4</v>
      </c>
      <c r="G515" s="383">
        <f>IF('Dry_Litterbag Placem_Collection'!E222="","",'Dry_Litterbag Placem_Collection'!E222)</f>
        <v>42942</v>
      </c>
      <c r="H515" s="92" t="str">
        <f>'Final data_for_R_analysis_Dryse'!K661</f>
        <v>G53</v>
      </c>
      <c r="I515" s="92" t="str">
        <f>'Final data_for_R_analysis_Dryse'!K881</f>
        <v>R672</v>
      </c>
      <c r="J515">
        <f>IFERROR(INDEX('Green_rooibos initial weight'!$C$5:$C$2000,MATCH(H515, 'Green_rooibos initial weight'!$A$5:$A$2000,0)),"")</f>
        <v>1.907</v>
      </c>
      <c r="K515">
        <f>IFERROR(INDEX('Green_rooibos initial weight'!$C$5:$C$2000,MATCH(I515, 'Green_rooibos initial weight'!$A$5:$A$2000,0)),"")</f>
        <v>2.161</v>
      </c>
      <c r="L515" s="194">
        <f t="shared" si="48"/>
        <v>1.6572</v>
      </c>
      <c r="M515" s="237">
        <f>AVERAGE(Ashed_controlls!$K$1:$K$11)</f>
        <v>5.5147656768714146</v>
      </c>
      <c r="N515" s="194">
        <f>IFERROR(IF(K515&gt;0,(K515*$F$32-($F$29+$F$30)),""),"")</f>
        <v>1.9112</v>
      </c>
      <c r="O515" s="383">
        <f>IF('Dry_Litterbag Placem_Collection'!G222="","",'Dry_Litterbag Placem_Collection'!G222)</f>
        <v>43004</v>
      </c>
      <c r="P515" s="194" t="str">
        <f>IFERROR(INDEX('Both teabags AfterDry'!$D$3:$D$2000,MATCH(H515,'Both teabags AfterDry'!$A$3:$A$2000,0)),"")</f>
        <v/>
      </c>
      <c r="Q515" s="194" t="str">
        <f>IFERROR(INDEX('Both teabags AfterDry'!$D$3:$D$2000,MATCH(I515,'Both teabags AfterDry'!$A$3:$A$2000,0)),"")</f>
        <v/>
      </c>
      <c r="R515" s="194" t="str">
        <f t="shared" si="49"/>
        <v/>
      </c>
      <c r="S515" s="194" t="str">
        <f t="shared" si="49"/>
        <v/>
      </c>
      <c r="T515" s="194" t="str">
        <f t="shared" si="50"/>
        <v/>
      </c>
      <c r="U515" s="194" t="str">
        <f t="shared" si="51"/>
        <v/>
      </c>
      <c r="V515" s="194" t="str">
        <f t="shared" si="52"/>
        <v/>
      </c>
      <c r="W515">
        <f t="shared" si="53"/>
        <v>62</v>
      </c>
      <c r="X515" s="194" t="str">
        <f t="shared" si="54"/>
        <v/>
      </c>
      <c r="Y515" s="194" t="str">
        <f t="shared" si="55"/>
        <v/>
      </c>
      <c r="Z515" s="252" t="str">
        <f>IF(ISNUMBER(SEARCH("C", 'Dry_Litterbag Placem_Collection'!$V222)),"YES","NO")</f>
        <v>NO</v>
      </c>
      <c r="AA515" s="252" t="str">
        <f>IF(ISNUMBER(SEARCH("H", 'Dry_Litterbag Placem_Collection'!$V222)),"YES","NO")</f>
        <v>NO</v>
      </c>
      <c r="AB515" s="252" t="str">
        <f>IF(ISNUMBER(SEARCH("R", 'Dry_Litterbag Placem_Collection'!$V222)),"YES","NO")</f>
        <v>NO</v>
      </c>
      <c r="AC515" s="252" t="str">
        <f>IF(ISNUMBER(SEARCH("C", 'Dry_Litterbag Placem_Collection'!$U222)),"YES","NO")</f>
        <v>NO</v>
      </c>
      <c r="AD515" s="252" t="str">
        <f>IF(ISNUMBER(SEARCH("H", 'Dry_Litterbag Placem_Collection'!$U222)),"YES","NO")</f>
        <v>NO</v>
      </c>
      <c r="AE515" s="252" t="str">
        <f>IF(ISNUMBER(SEARCH("R", 'Dry_Litterbag Placem_Collection'!$U222)),"YES","NO")</f>
        <v>YES</v>
      </c>
    </row>
  </sheetData>
  <mergeCells count="50">
    <mergeCell ref="D73:H74"/>
    <mergeCell ref="Z74:AE74"/>
    <mergeCell ref="L61:M61"/>
    <mergeCell ref="L62:M62"/>
    <mergeCell ref="B68:E68"/>
    <mergeCell ref="B69:E69"/>
    <mergeCell ref="B70:E70"/>
    <mergeCell ref="F70:M70"/>
    <mergeCell ref="L55:M55"/>
    <mergeCell ref="L56:M56"/>
    <mergeCell ref="L57:M57"/>
    <mergeCell ref="L58:M58"/>
    <mergeCell ref="L59:M59"/>
    <mergeCell ref="L60:M60"/>
    <mergeCell ref="L49:M49"/>
    <mergeCell ref="L50:M50"/>
    <mergeCell ref="L51:M51"/>
    <mergeCell ref="L52:M52"/>
    <mergeCell ref="L53:M53"/>
    <mergeCell ref="L54:M54"/>
    <mergeCell ref="L43:M43"/>
    <mergeCell ref="L44:M44"/>
    <mergeCell ref="L45:M45"/>
    <mergeCell ref="L46:M46"/>
    <mergeCell ref="L47:M47"/>
    <mergeCell ref="L48:M48"/>
    <mergeCell ref="K37:O37"/>
    <mergeCell ref="B38:D38"/>
    <mergeCell ref="L40:M40"/>
    <mergeCell ref="L41:M41"/>
    <mergeCell ref="L42:M42"/>
    <mergeCell ref="B28:E28"/>
    <mergeCell ref="B29:E29"/>
    <mergeCell ref="B30:E30"/>
    <mergeCell ref="B31:E31"/>
    <mergeCell ref="B32:E32"/>
    <mergeCell ref="B37:D37"/>
    <mergeCell ref="E37:F37"/>
    <mergeCell ref="B18:E18"/>
    <mergeCell ref="B19:E19"/>
    <mergeCell ref="B20:E20"/>
    <mergeCell ref="B25:E25"/>
    <mergeCell ref="B26:E26"/>
    <mergeCell ref="B27:E27"/>
    <mergeCell ref="B12:E12"/>
    <mergeCell ref="B13:E13"/>
    <mergeCell ref="B14:E14"/>
    <mergeCell ref="B15:E15"/>
    <mergeCell ref="B16:E16"/>
    <mergeCell ref="B17:E17"/>
  </mergeCells>
  <dataValidations count="6">
    <dataValidation type="list" allowBlank="1" showInputMessage="1" showErrorMessage="1" sqref="K39:K63" xr:uid="{51BE3194-F2F4-4E30-A961-F835EBBFE607}">
      <formula1>shading</formula1>
    </dataValidation>
    <dataValidation type="list" allowBlank="1" showInputMessage="1" showErrorMessage="1" sqref="L39:L63" xr:uid="{2B5E21AF-2955-423E-B275-0262676FB936}">
      <formula1>human_impact</formula1>
    </dataValidation>
    <dataValidation type="list" allowBlank="1" showInputMessage="1" showErrorMessage="1" sqref="N39:N63" xr:uid="{260FC13E-A96D-4140-B5CC-FC506D632E8F}">
      <formula1>ecosystem</formula1>
    </dataValidation>
    <dataValidation type="list" allowBlank="1" showInputMessage="1" showErrorMessage="1" sqref="O39:O63" xr:uid="{23525BE7-80F0-4B83-8213-F7C2C5AD885D}">
      <formula1>rootingdepth</formula1>
    </dataValidation>
    <dataValidation type="list" allowBlank="1" showInputMessage="1" showErrorMessage="1" sqref="P39:P63" xr:uid="{3060F2CC-0B90-4458-9423-261DCBC0EF5B}">
      <formula1>slope</formula1>
    </dataValidation>
    <dataValidation type="list" allowBlank="1" showInputMessage="1" showErrorMessage="1" sqref="Q39:Q63" xr:uid="{B99DAD6C-331C-4C0C-9E47-01BE04206866}">
      <formula1>aspect</formula1>
    </dataValidation>
  </dataValidations>
  <hyperlinks>
    <hyperlink ref="F16" r:id="rId1" xr:uid="{C691EDAD-398A-4F61-9596-3EB890E2E6B7}"/>
    <hyperlink ref="F15" r:id="rId2" xr:uid="{14B771EC-BECB-4768-A48D-CDAC8AA94D88}"/>
  </hyperlinks>
  <pageMargins left="0.7" right="0.7" top="0.75" bottom="0.75" header="0.3" footer="0.3"/>
  <pageSetup paperSize="9" orientation="portrait" r:id="rId3"/>
  <legacyDrawing r:id="rId4"/>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A439-458E-4322-954E-EE77842F672D}">
  <dimension ref="A1:AO515"/>
  <sheetViews>
    <sheetView topLeftCell="M155" zoomScale="55" zoomScaleNormal="5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6" customFormat="1">
      <c r="B1" s="286" t="s">
        <v>3767</v>
      </c>
      <c r="D1" s="286" t="s">
        <v>3768</v>
      </c>
      <c r="E1" s="287"/>
      <c r="K1" s="287"/>
      <c r="L1" s="288"/>
      <c r="M1" s="288"/>
    </row>
    <row r="2" spans="2:13" s="286" customFormat="1">
      <c r="B2" s="289" t="s">
        <v>3769</v>
      </c>
      <c r="E2" s="287"/>
      <c r="K2" s="287"/>
      <c r="L2" s="288"/>
      <c r="M2" s="288"/>
    </row>
    <row r="3" spans="2:13" s="291" customFormat="1" ht="30" customHeight="1">
      <c r="B3" s="290" t="s">
        <v>3770</v>
      </c>
      <c r="E3" s="292"/>
      <c r="K3" s="292"/>
      <c r="L3" s="293"/>
      <c r="M3" s="293"/>
    </row>
    <row r="4" spans="2:13" s="295" customFormat="1">
      <c r="B4" s="294" t="s">
        <v>3771</v>
      </c>
      <c r="E4" s="296"/>
      <c r="K4" s="296"/>
      <c r="L4" s="297"/>
      <c r="M4" s="297"/>
    </row>
    <row r="5" spans="2:13" s="295" customFormat="1">
      <c r="B5" s="295" t="s">
        <v>3772</v>
      </c>
      <c r="E5" s="296"/>
      <c r="K5" s="296"/>
      <c r="L5" s="297"/>
      <c r="M5" s="297"/>
    </row>
    <row r="6" spans="2:13" s="294" customFormat="1">
      <c r="B6" s="294" t="s">
        <v>3773</v>
      </c>
      <c r="E6" s="298"/>
      <c r="K6" s="298"/>
      <c r="L6" s="299"/>
      <c r="M6" s="299"/>
    </row>
    <row r="7" spans="2:13" s="286" customFormat="1">
      <c r="B7" s="300" t="s">
        <v>3774</v>
      </c>
      <c r="C7" s="301"/>
      <c r="D7" s="301"/>
      <c r="E7" s="302"/>
      <c r="G7" s="301"/>
      <c r="K7" s="287"/>
      <c r="L7" s="288"/>
      <c r="M7" s="288"/>
    </row>
    <row r="8" spans="2:13" s="286" customFormat="1">
      <c r="B8" s="301"/>
      <c r="C8" s="301"/>
      <c r="D8" s="301"/>
      <c r="E8" s="302"/>
      <c r="G8" s="301"/>
      <c r="K8" s="287"/>
      <c r="L8" s="288"/>
      <c r="M8" s="288"/>
    </row>
    <row r="9" spans="2:13" s="286" customFormat="1">
      <c r="B9" s="301"/>
      <c r="C9" s="301"/>
      <c r="D9" s="301"/>
      <c r="E9" s="302"/>
      <c r="G9" s="301"/>
      <c r="K9" s="287"/>
      <c r="L9" s="288"/>
      <c r="M9" s="288"/>
    </row>
    <row r="10" spans="2:13" s="301" customFormat="1">
      <c r="B10" s="303" t="s">
        <v>3775</v>
      </c>
      <c r="C10" s="303"/>
      <c r="E10" s="302"/>
      <c r="K10" s="302"/>
      <c r="L10" s="304"/>
      <c r="M10" s="304"/>
    </row>
    <row r="11" spans="2:13" s="301" customFormat="1" ht="15" thickBot="1">
      <c r="B11" s="303" t="s">
        <v>3776</v>
      </c>
      <c r="C11" s="303"/>
      <c r="E11" s="302"/>
      <c r="F11" s="301" t="s">
        <v>3777</v>
      </c>
      <c r="K11" s="302"/>
      <c r="L11" s="304"/>
      <c r="M11" s="304"/>
    </row>
    <row r="12" spans="2:13" s="300" customFormat="1">
      <c r="B12" s="441" t="s">
        <v>0</v>
      </c>
      <c r="C12" s="442"/>
      <c r="D12" s="442"/>
      <c r="E12" s="442"/>
      <c r="F12" s="305" t="s">
        <v>3778</v>
      </c>
      <c r="G12" s="306"/>
      <c r="H12" s="306"/>
      <c r="I12" s="306"/>
      <c r="K12" s="307"/>
      <c r="L12" s="308"/>
      <c r="M12" s="308"/>
    </row>
    <row r="13" spans="2:13" s="300" customFormat="1">
      <c r="B13" s="439" t="s">
        <v>3779</v>
      </c>
      <c r="C13" s="440"/>
      <c r="D13" s="440"/>
      <c r="E13" s="440"/>
      <c r="F13" s="309" t="s">
        <v>3780</v>
      </c>
      <c r="G13" s="306"/>
      <c r="H13" s="306"/>
      <c r="I13" s="306"/>
      <c r="K13" s="307"/>
      <c r="L13" s="308"/>
      <c r="M13" s="308"/>
    </row>
    <row r="14" spans="2:13" s="300" customFormat="1">
      <c r="B14" s="439" t="s">
        <v>1</v>
      </c>
      <c r="C14" s="440"/>
      <c r="D14" s="440"/>
      <c r="E14" s="440"/>
      <c r="F14" s="310" t="s">
        <v>3781</v>
      </c>
      <c r="G14" s="311"/>
      <c r="H14" s="312"/>
      <c r="I14" s="312"/>
      <c r="J14" s="312"/>
      <c r="K14" s="307"/>
      <c r="L14" s="308"/>
      <c r="M14" s="308"/>
    </row>
    <row r="15" spans="2:13" s="300" customFormat="1">
      <c r="B15" s="439" t="s">
        <v>2</v>
      </c>
      <c r="C15" s="440"/>
      <c r="D15" s="440"/>
      <c r="E15" s="440"/>
      <c r="F15" s="313" t="s">
        <v>3782</v>
      </c>
      <c r="G15" s="314"/>
      <c r="H15" s="315"/>
      <c r="I15" s="315"/>
      <c r="K15" s="307"/>
      <c r="L15" s="308"/>
      <c r="M15" s="308"/>
    </row>
    <row r="16" spans="2:13" s="300" customFormat="1">
      <c r="B16" s="439" t="s">
        <v>3</v>
      </c>
      <c r="C16" s="440"/>
      <c r="D16" s="440"/>
      <c r="E16" s="440"/>
      <c r="F16" s="316" t="s">
        <v>3783</v>
      </c>
      <c r="G16" s="315"/>
      <c r="H16" s="315"/>
      <c r="I16" s="315"/>
      <c r="K16" s="307"/>
      <c r="L16" s="308"/>
      <c r="M16" s="308"/>
    </row>
    <row r="17" spans="2:14" s="300" customFormat="1">
      <c r="B17" s="439" t="s">
        <v>4</v>
      </c>
      <c r="C17" s="440"/>
      <c r="D17" s="440"/>
      <c r="E17" s="440"/>
      <c r="F17" s="317" t="s">
        <v>3784</v>
      </c>
      <c r="G17" s="315"/>
      <c r="H17" s="315"/>
      <c r="I17" s="315"/>
      <c r="K17" s="307"/>
      <c r="L17" s="308"/>
      <c r="M17" s="308"/>
    </row>
    <row r="18" spans="2:14" s="300" customFormat="1">
      <c r="B18" s="439" t="s">
        <v>5</v>
      </c>
      <c r="C18" s="440"/>
      <c r="D18" s="440"/>
      <c r="E18" s="440"/>
      <c r="F18" s="317" t="s">
        <v>3785</v>
      </c>
      <c r="G18" s="315"/>
      <c r="H18" s="315"/>
      <c r="I18" s="315"/>
      <c r="K18" s="307"/>
      <c r="L18" s="308"/>
      <c r="M18" s="308"/>
    </row>
    <row r="19" spans="2:14" s="300" customFormat="1">
      <c r="B19" s="439" t="s">
        <v>6</v>
      </c>
      <c r="C19" s="440"/>
      <c r="D19" s="440"/>
      <c r="E19" s="440"/>
      <c r="F19" s="310" t="s">
        <v>3786</v>
      </c>
      <c r="G19" s="314"/>
      <c r="H19" s="318"/>
      <c r="I19" s="318"/>
      <c r="J19" s="318"/>
      <c r="K19" s="318"/>
      <c r="L19" s="318"/>
      <c r="M19" s="318"/>
      <c r="N19" s="318"/>
    </row>
    <row r="20" spans="2:14" s="300" customFormat="1" ht="15" thickBot="1">
      <c r="B20" s="443" t="s">
        <v>7</v>
      </c>
      <c r="C20" s="444"/>
      <c r="D20" s="444"/>
      <c r="E20" s="444"/>
      <c r="F20" s="319" t="s">
        <v>3787</v>
      </c>
      <c r="G20" s="315"/>
      <c r="H20" s="315"/>
      <c r="I20" s="315"/>
      <c r="K20" s="307"/>
      <c r="L20" s="308"/>
      <c r="M20" s="308"/>
    </row>
    <row r="21" spans="2:14">
      <c r="B21" s="306" t="s">
        <v>3788</v>
      </c>
      <c r="C21" s="306"/>
      <c r="D21" s="306"/>
      <c r="E21" s="306"/>
      <c r="F21" s="315"/>
    </row>
    <row r="23" spans="2:14">
      <c r="B23" s="320" t="s">
        <v>3789</v>
      </c>
      <c r="C23" s="306"/>
      <c r="D23" s="321"/>
      <c r="E23" s="322"/>
      <c r="F23" s="300"/>
      <c r="G23" s="300"/>
      <c r="H23" s="300"/>
      <c r="I23" s="300"/>
    </row>
    <row r="24" spans="2:14" ht="15" thickBot="1">
      <c r="B24" s="320" t="s">
        <v>3790</v>
      </c>
      <c r="C24" s="306"/>
      <c r="D24" s="321"/>
      <c r="E24" s="322"/>
      <c r="F24" s="300" t="s">
        <v>3777</v>
      </c>
      <c r="G24" s="300"/>
      <c r="H24" s="300"/>
      <c r="I24" s="300"/>
    </row>
    <row r="25" spans="2:14">
      <c r="B25" s="441" t="s">
        <v>8</v>
      </c>
      <c r="C25" s="442"/>
      <c r="D25" s="442"/>
      <c r="E25" s="442"/>
      <c r="F25" s="323">
        <v>0.84199999999999997</v>
      </c>
      <c r="G25" s="300"/>
      <c r="H25" s="300"/>
      <c r="I25" s="300"/>
    </row>
    <row r="26" spans="2:14">
      <c r="B26" s="439" t="s">
        <v>9</v>
      </c>
      <c r="C26" s="440"/>
      <c r="D26" s="440"/>
      <c r="E26" s="440"/>
      <c r="F26" s="324">
        <v>0.55200000000000005</v>
      </c>
      <c r="G26" s="300"/>
      <c r="H26" s="300"/>
      <c r="I26" s="300"/>
    </row>
    <row r="27" spans="2:14">
      <c r="B27" s="439" t="s">
        <v>10</v>
      </c>
      <c r="C27" s="440"/>
      <c r="D27" s="440"/>
      <c r="E27" s="440"/>
      <c r="F27" s="325">
        <v>0.12180000000000001</v>
      </c>
      <c r="G27" s="300"/>
      <c r="H27" s="300"/>
      <c r="I27" s="300"/>
    </row>
    <row r="28" spans="2:14">
      <c r="B28" s="439" t="s">
        <v>11</v>
      </c>
      <c r="C28" s="440"/>
      <c r="D28" s="440"/>
      <c r="E28" s="440"/>
      <c r="F28" s="325">
        <v>2.8799999999999999E-2</v>
      </c>
      <c r="G28" s="300"/>
      <c r="H28" s="300"/>
      <c r="I28" s="300"/>
    </row>
    <row r="29" spans="2:14">
      <c r="B29" s="439" t="s">
        <v>12</v>
      </c>
      <c r="C29" s="440"/>
      <c r="D29" s="440"/>
      <c r="E29" s="440"/>
      <c r="F29" s="326">
        <f>F27+F28</f>
        <v>0.15060000000000001</v>
      </c>
      <c r="G29" s="300"/>
      <c r="H29" s="300"/>
      <c r="I29" s="300"/>
    </row>
    <row r="30" spans="2:14">
      <c r="B30" s="439" t="s">
        <v>13</v>
      </c>
      <c r="C30" s="440"/>
      <c r="D30" s="440"/>
      <c r="E30" s="440"/>
      <c r="F30" s="325">
        <v>9.9199999999999997E-2</v>
      </c>
      <c r="G30" s="300"/>
      <c r="H30" s="300"/>
      <c r="I30" s="300"/>
    </row>
    <row r="31" spans="2:14">
      <c r="B31" s="439" t="s">
        <v>14</v>
      </c>
      <c r="C31" s="440"/>
      <c r="D31" s="440"/>
      <c r="E31" s="440"/>
      <c r="F31" s="325">
        <v>1</v>
      </c>
      <c r="G31" s="300" t="s">
        <v>3791</v>
      </c>
      <c r="H31" s="300"/>
      <c r="I31" s="300"/>
    </row>
    <row r="32" spans="2:14" ht="15" thickBot="1">
      <c r="B32" s="443" t="s">
        <v>15</v>
      </c>
      <c r="C32" s="444"/>
      <c r="D32" s="444"/>
      <c r="E32" s="444"/>
      <c r="F32" s="327">
        <v>1</v>
      </c>
      <c r="G32" s="300"/>
      <c r="H32" s="300"/>
      <c r="I32" s="300"/>
    </row>
    <row r="33" spans="1:24">
      <c r="A33" s="300"/>
      <c r="B33" s="306"/>
      <c r="C33" s="306"/>
      <c r="D33" s="306"/>
      <c r="E33" s="306"/>
      <c r="F33" s="328"/>
      <c r="G33" s="300"/>
      <c r="H33" s="300"/>
      <c r="I33" s="300"/>
      <c r="J33" s="300"/>
      <c r="K33" s="307"/>
      <c r="L33" s="308"/>
      <c r="M33" s="308"/>
      <c r="N33" s="300"/>
      <c r="O33" s="300"/>
      <c r="P33" s="300"/>
      <c r="Q33" s="300"/>
      <c r="R33" s="300"/>
      <c r="S33" s="300"/>
      <c r="T33" s="300"/>
      <c r="U33" s="300"/>
      <c r="V33" s="300"/>
      <c r="W33" s="300"/>
      <c r="X33" s="300"/>
    </row>
    <row r="34" spans="1:24">
      <c r="A34" s="300"/>
      <c r="B34" s="329" t="s">
        <v>3792</v>
      </c>
      <c r="C34" s="315"/>
      <c r="D34" s="300"/>
      <c r="E34" s="307"/>
      <c r="F34" s="300"/>
      <c r="G34" s="300"/>
      <c r="H34" s="300"/>
      <c r="I34" s="300"/>
      <c r="J34" s="300"/>
      <c r="K34" s="307"/>
      <c r="L34" s="308"/>
      <c r="M34" s="308"/>
      <c r="N34" s="300"/>
      <c r="O34" s="300"/>
      <c r="P34" s="300"/>
      <c r="Q34" s="300"/>
      <c r="R34" s="300"/>
      <c r="S34" s="300"/>
      <c r="T34" s="300"/>
      <c r="U34" s="300"/>
      <c r="V34" s="300"/>
      <c r="W34" s="300"/>
      <c r="X34" s="300"/>
    </row>
    <row r="35" spans="1:24">
      <c r="A35" s="286"/>
      <c r="B35" s="286"/>
      <c r="C35" s="286"/>
      <c r="D35" s="286"/>
      <c r="E35" s="286"/>
      <c r="F35" s="287"/>
      <c r="G35" s="286"/>
      <c r="H35" s="301"/>
      <c r="I35" s="301"/>
      <c r="J35" s="286"/>
      <c r="K35" s="286"/>
      <c r="L35" s="286"/>
      <c r="M35" s="286"/>
      <c r="N35" s="286"/>
      <c r="O35" s="286"/>
      <c r="P35" s="286"/>
      <c r="Q35" s="286"/>
      <c r="R35" s="286"/>
      <c r="S35" s="286"/>
      <c r="T35" s="286"/>
      <c r="U35" s="286"/>
      <c r="V35" s="286"/>
      <c r="W35" s="286"/>
      <c r="X35" s="286"/>
    </row>
    <row r="36" spans="1:24" ht="15" thickBot="1">
      <c r="A36" s="300"/>
      <c r="B36" s="329" t="s">
        <v>3793</v>
      </c>
      <c r="C36" s="300"/>
      <c r="D36" s="300"/>
      <c r="E36" s="307"/>
      <c r="F36" s="307"/>
      <c r="G36" s="300"/>
      <c r="H36" s="300" t="s">
        <v>3794</v>
      </c>
      <c r="I36" s="300"/>
      <c r="J36" s="300"/>
      <c r="K36" s="300"/>
      <c r="L36" s="300"/>
      <c r="M36" s="300"/>
      <c r="N36" s="300"/>
      <c r="O36" s="300"/>
      <c r="P36" s="300"/>
      <c r="Q36" s="300"/>
      <c r="R36" s="300"/>
      <c r="S36" s="300"/>
      <c r="T36" s="300"/>
      <c r="U36" s="300"/>
      <c r="V36" s="300"/>
      <c r="W36" s="300"/>
      <c r="X36" s="300"/>
    </row>
    <row r="37" spans="1:24" ht="15" customHeight="1" thickBot="1">
      <c r="A37" s="315"/>
      <c r="B37" s="451" t="s">
        <v>3795</v>
      </c>
      <c r="C37" s="452"/>
      <c r="D37" s="452"/>
      <c r="E37" s="453" t="s">
        <v>17</v>
      </c>
      <c r="F37" s="454"/>
      <c r="G37" s="330" t="s">
        <v>3796</v>
      </c>
      <c r="H37" s="331"/>
      <c r="I37" s="331"/>
      <c r="J37" s="332"/>
      <c r="K37" s="446" t="s">
        <v>3797</v>
      </c>
      <c r="L37" s="447"/>
      <c r="M37" s="447"/>
      <c r="N37" s="447"/>
      <c r="O37" s="447"/>
      <c r="P37" s="447"/>
      <c r="Q37" s="447"/>
      <c r="R37" s="448"/>
    </row>
    <row r="38" spans="1:24" ht="15" thickBot="1">
      <c r="A38" s="315"/>
      <c r="B38" s="449" t="s">
        <v>16</v>
      </c>
      <c r="C38" s="450"/>
      <c r="D38" s="450"/>
      <c r="E38" s="333" t="s">
        <v>18</v>
      </c>
      <c r="F38" s="334" t="s">
        <v>212</v>
      </c>
      <c r="G38" s="335" t="s">
        <v>2661</v>
      </c>
      <c r="H38" s="336" t="s">
        <v>2662</v>
      </c>
      <c r="I38" s="336" t="s">
        <v>2663</v>
      </c>
      <c r="J38" s="336" t="s">
        <v>2664</v>
      </c>
      <c r="K38" s="330" t="s">
        <v>204</v>
      </c>
      <c r="L38" s="332" t="s">
        <v>203</v>
      </c>
      <c r="M38" s="332"/>
      <c r="N38" s="332" t="s">
        <v>205</v>
      </c>
      <c r="O38" s="442" t="s">
        <v>216</v>
      </c>
      <c r="P38" s="442"/>
      <c r="Q38" s="332" t="s">
        <v>206</v>
      </c>
      <c r="R38" s="332" t="s">
        <v>207</v>
      </c>
      <c r="S38" s="332" t="s">
        <v>217</v>
      </c>
      <c r="T38" s="323" t="s">
        <v>218</v>
      </c>
    </row>
    <row r="39" spans="1:24">
      <c r="A39" s="315"/>
      <c r="B39" s="337" t="s">
        <v>3798</v>
      </c>
      <c r="C39" s="338"/>
      <c r="D39" s="339" t="s">
        <v>3799</v>
      </c>
      <c r="E39" s="340">
        <v>-3.3978609999999998</v>
      </c>
      <c r="F39" s="341">
        <v>34.837608000000003</v>
      </c>
      <c r="G39" s="342">
        <v>12.565665055683967</v>
      </c>
      <c r="H39" s="343">
        <v>0.9665896196679955</v>
      </c>
      <c r="I39" s="343">
        <v>86.467745324648035</v>
      </c>
      <c r="J39" s="344">
        <v>1.0225726959093147</v>
      </c>
      <c r="K39" s="340" t="s">
        <v>229</v>
      </c>
      <c r="L39" s="345" t="s">
        <v>257</v>
      </c>
      <c r="M39" s="345"/>
      <c r="N39" s="345" t="s">
        <v>2656</v>
      </c>
      <c r="O39" s="345" t="s">
        <v>3800</v>
      </c>
      <c r="P39" s="345"/>
      <c r="Q39" s="345" t="s">
        <v>247</v>
      </c>
      <c r="R39" s="345" t="s">
        <v>247</v>
      </c>
      <c r="S39" s="345" t="s">
        <v>234</v>
      </c>
      <c r="T39" s="305" t="s">
        <v>3801</v>
      </c>
    </row>
    <row r="40" spans="1:24">
      <c r="A40" s="315"/>
      <c r="B40" s="346" t="s">
        <v>3802</v>
      </c>
      <c r="C40" s="347"/>
      <c r="D40" s="348" t="s">
        <v>3799</v>
      </c>
      <c r="E40" s="349">
        <v>-3.3978290019999999</v>
      </c>
      <c r="F40" s="350">
        <v>34.837011969999999</v>
      </c>
      <c r="G40" s="351">
        <v>21.13063730679653</v>
      </c>
      <c r="H40" s="352">
        <v>3.0912555579081076</v>
      </c>
      <c r="I40" s="352">
        <v>75.778107135295357</v>
      </c>
      <c r="J40" s="353">
        <v>0.46131099063578063</v>
      </c>
      <c r="K40" s="349" t="s">
        <v>229</v>
      </c>
      <c r="L40" s="445" t="s">
        <v>257</v>
      </c>
      <c r="M40" s="445"/>
      <c r="N40" s="354" t="s">
        <v>2654</v>
      </c>
      <c r="O40" s="354" t="s">
        <v>3800</v>
      </c>
      <c r="P40" s="354"/>
      <c r="Q40" s="354" t="s">
        <v>247</v>
      </c>
      <c r="R40" s="354" t="s">
        <v>247</v>
      </c>
      <c r="S40" s="354" t="s">
        <v>234</v>
      </c>
      <c r="T40" s="309" t="s">
        <v>3801</v>
      </c>
    </row>
    <row r="41" spans="1:24">
      <c r="A41" s="315"/>
      <c r="B41" s="346" t="s">
        <v>3803</v>
      </c>
      <c r="C41" s="347"/>
      <c r="D41" s="348" t="s">
        <v>3799</v>
      </c>
      <c r="E41" s="349">
        <v>-3.3854090330000002</v>
      </c>
      <c r="F41" s="350">
        <v>34.818901029999999</v>
      </c>
      <c r="G41" s="351">
        <v>54.080969906906262</v>
      </c>
      <c r="H41" s="352">
        <v>21.264484651351896</v>
      </c>
      <c r="I41" s="352">
        <v>24.654545441741845</v>
      </c>
      <c r="J41" s="353">
        <v>1.8433218334154755</v>
      </c>
      <c r="K41" s="349" t="s">
        <v>229</v>
      </c>
      <c r="L41" s="445" t="s">
        <v>257</v>
      </c>
      <c r="M41" s="445"/>
      <c r="N41" s="354" t="s">
        <v>2657</v>
      </c>
      <c r="O41" s="354" t="s">
        <v>3800</v>
      </c>
      <c r="P41" s="354"/>
      <c r="Q41" s="354" t="s">
        <v>247</v>
      </c>
      <c r="R41" s="354" t="s">
        <v>247</v>
      </c>
      <c r="S41" s="354" t="s">
        <v>234</v>
      </c>
      <c r="T41" s="309" t="s">
        <v>3801</v>
      </c>
    </row>
    <row r="42" spans="1:24">
      <c r="A42" s="315"/>
      <c r="B42" s="346" t="s">
        <v>3804</v>
      </c>
      <c r="C42" s="347"/>
      <c r="D42" s="348" t="s">
        <v>3799</v>
      </c>
      <c r="E42" s="349">
        <v>-3.3849129919999998</v>
      </c>
      <c r="F42" s="350">
        <v>34.818899020000003</v>
      </c>
      <c r="G42" s="351">
        <v>51.960000000000008</v>
      </c>
      <c r="H42" s="352">
        <v>18.919999999999995</v>
      </c>
      <c r="I42" s="352">
        <v>29.120000000000005</v>
      </c>
      <c r="J42" s="353">
        <v>1.85293247905372</v>
      </c>
      <c r="K42" s="349" t="s">
        <v>229</v>
      </c>
      <c r="L42" s="445" t="s">
        <v>257</v>
      </c>
      <c r="M42" s="445"/>
      <c r="N42" s="354" t="s">
        <v>2657</v>
      </c>
      <c r="O42" s="354" t="s">
        <v>3800</v>
      </c>
      <c r="P42" s="354"/>
      <c r="Q42" s="354" t="s">
        <v>247</v>
      </c>
      <c r="R42" s="354" t="s">
        <v>247</v>
      </c>
      <c r="S42" s="354" t="s">
        <v>234</v>
      </c>
      <c r="T42" s="309" t="s">
        <v>3801</v>
      </c>
    </row>
    <row r="43" spans="1:24">
      <c r="A43" s="315"/>
      <c r="B43" s="346" t="s">
        <v>3805</v>
      </c>
      <c r="C43" s="347"/>
      <c r="D43" s="348" t="s">
        <v>3806</v>
      </c>
      <c r="E43" s="349">
        <v>-3.4092039989999998</v>
      </c>
      <c r="F43" s="350">
        <v>34.852751009999999</v>
      </c>
      <c r="G43" s="351">
        <v>23.96</v>
      </c>
      <c r="H43" s="352">
        <v>0.91999999999999804</v>
      </c>
      <c r="I43" s="352">
        <v>75.12</v>
      </c>
      <c r="J43" s="353">
        <v>1.2493839329719072</v>
      </c>
      <c r="K43" s="349" t="s">
        <v>229</v>
      </c>
      <c r="L43" s="445" t="s">
        <v>244</v>
      </c>
      <c r="M43" s="445"/>
      <c r="N43" s="354" t="s">
        <v>2654</v>
      </c>
      <c r="O43" s="354" t="s">
        <v>3800</v>
      </c>
      <c r="P43" s="354"/>
      <c r="Q43" s="354" t="s">
        <v>247</v>
      </c>
      <c r="R43" s="354" t="s">
        <v>247</v>
      </c>
      <c r="S43" s="354" t="s">
        <v>234</v>
      </c>
      <c r="T43" s="309" t="s">
        <v>3801</v>
      </c>
    </row>
    <row r="44" spans="1:24">
      <c r="A44" s="315"/>
      <c r="B44" s="346" t="s">
        <v>3807</v>
      </c>
      <c r="C44" s="347"/>
      <c r="D44" s="348" t="s">
        <v>3806</v>
      </c>
      <c r="E44" s="349">
        <v>-3.4083420040000001</v>
      </c>
      <c r="F44" s="350">
        <v>34.850283040000001</v>
      </c>
      <c r="G44" s="351">
        <v>19.96</v>
      </c>
      <c r="H44" s="352">
        <v>4.9199999999999982</v>
      </c>
      <c r="I44" s="352">
        <v>75.12</v>
      </c>
      <c r="J44" s="353">
        <v>1.641498275012321</v>
      </c>
      <c r="K44" s="349" t="s">
        <v>229</v>
      </c>
      <c r="L44" s="445" t="s">
        <v>244</v>
      </c>
      <c r="M44" s="445"/>
      <c r="N44" s="354" t="s">
        <v>2655</v>
      </c>
      <c r="O44" s="354" t="s">
        <v>3800</v>
      </c>
      <c r="P44" s="354"/>
      <c r="Q44" s="354" t="s">
        <v>247</v>
      </c>
      <c r="R44" s="354" t="s">
        <v>247</v>
      </c>
      <c r="S44" s="354" t="s">
        <v>234</v>
      </c>
      <c r="T44" s="309" t="s">
        <v>3801</v>
      </c>
    </row>
    <row r="45" spans="1:24">
      <c r="A45" s="315"/>
      <c r="B45" s="346" t="s">
        <v>3808</v>
      </c>
      <c r="C45" s="347"/>
      <c r="D45" s="348" t="s">
        <v>3806</v>
      </c>
      <c r="E45" s="349">
        <v>-3.406225992</v>
      </c>
      <c r="F45" s="350">
        <v>34.85055998</v>
      </c>
      <c r="G45" s="351">
        <v>21.96</v>
      </c>
      <c r="H45" s="352">
        <v>8.9199999999999982</v>
      </c>
      <c r="I45" s="352">
        <v>69.12</v>
      </c>
      <c r="J45" s="353">
        <v>1.7491375061606702</v>
      </c>
      <c r="K45" s="349" t="s">
        <v>229</v>
      </c>
      <c r="L45" s="445" t="s">
        <v>244</v>
      </c>
      <c r="M45" s="445"/>
      <c r="N45" s="354" t="s">
        <v>2654</v>
      </c>
      <c r="O45" s="354" t="s">
        <v>3800</v>
      </c>
      <c r="P45" s="354"/>
      <c r="Q45" s="354" t="s">
        <v>247</v>
      </c>
      <c r="R45" s="354" t="s">
        <v>247</v>
      </c>
      <c r="S45" s="354" t="s">
        <v>234</v>
      </c>
      <c r="T45" s="309" t="s">
        <v>3801</v>
      </c>
    </row>
    <row r="46" spans="1:24">
      <c r="A46" s="315"/>
      <c r="B46" s="346" t="s">
        <v>3809</v>
      </c>
      <c r="C46" s="347"/>
      <c r="D46" s="348" t="s">
        <v>3806</v>
      </c>
      <c r="E46" s="349">
        <v>-3.4064239729999999</v>
      </c>
      <c r="F46" s="350">
        <v>34.851213010000002</v>
      </c>
      <c r="G46" s="351">
        <v>25.96</v>
      </c>
      <c r="H46" s="352">
        <v>6.9200000000000008</v>
      </c>
      <c r="I46" s="352">
        <v>67.12</v>
      </c>
      <c r="J46" s="353">
        <v>1.7568260226712666</v>
      </c>
      <c r="K46" s="349" t="s">
        <v>229</v>
      </c>
      <c r="L46" s="445" t="s">
        <v>244</v>
      </c>
      <c r="M46" s="445"/>
      <c r="N46" s="354" t="s">
        <v>2654</v>
      </c>
      <c r="O46" s="354" t="s">
        <v>3800</v>
      </c>
      <c r="P46" s="354"/>
      <c r="Q46" s="354" t="s">
        <v>247</v>
      </c>
      <c r="R46" s="354" t="s">
        <v>247</v>
      </c>
      <c r="S46" s="354" t="s">
        <v>234</v>
      </c>
      <c r="T46" s="309" t="s">
        <v>3801</v>
      </c>
    </row>
    <row r="47" spans="1:24">
      <c r="A47" s="315"/>
      <c r="B47" s="346" t="s">
        <v>3810</v>
      </c>
      <c r="C47" s="347"/>
      <c r="D47" s="348" t="s">
        <v>3811</v>
      </c>
      <c r="E47" s="349">
        <v>-3.2993960379999998</v>
      </c>
      <c r="F47" s="350">
        <v>34.848240959999998</v>
      </c>
      <c r="G47" s="351">
        <v>47.96</v>
      </c>
      <c r="H47" s="352">
        <v>22.919999999999995</v>
      </c>
      <c r="I47" s="352">
        <v>29.120000000000012</v>
      </c>
      <c r="J47" s="353">
        <v>2.8831936914736325</v>
      </c>
      <c r="K47" s="349" t="s">
        <v>229</v>
      </c>
      <c r="L47" s="445" t="s">
        <v>230</v>
      </c>
      <c r="M47" s="445"/>
      <c r="N47" s="354" t="s">
        <v>2657</v>
      </c>
      <c r="O47" s="354" t="s">
        <v>3800</v>
      </c>
      <c r="P47" s="354"/>
      <c r="Q47" s="354" t="s">
        <v>247</v>
      </c>
      <c r="R47" s="354" t="s">
        <v>247</v>
      </c>
      <c r="S47" s="354" t="s">
        <v>234</v>
      </c>
      <c r="T47" s="309" t="s">
        <v>3801</v>
      </c>
    </row>
    <row r="48" spans="1:24">
      <c r="A48" s="315"/>
      <c r="B48" s="346" t="s">
        <v>3812</v>
      </c>
      <c r="C48" s="347"/>
      <c r="D48" s="348" t="s">
        <v>3811</v>
      </c>
      <c r="E48" s="349">
        <v>-3.3025860229999999</v>
      </c>
      <c r="F48" s="350">
        <v>34.848048009999999</v>
      </c>
      <c r="G48" s="351">
        <v>45.272914521112256</v>
      </c>
      <c r="H48" s="352">
        <v>23.604531410916575</v>
      </c>
      <c r="I48" s="352">
        <v>31.122554067971166</v>
      </c>
      <c r="J48" s="353">
        <v>2.0547560374568752</v>
      </c>
      <c r="K48" s="349" t="s">
        <v>229</v>
      </c>
      <c r="L48" s="445" t="s">
        <v>230</v>
      </c>
      <c r="M48" s="445"/>
      <c r="N48" s="354" t="s">
        <v>2657</v>
      </c>
      <c r="O48" s="354" t="s">
        <v>3800</v>
      </c>
      <c r="P48" s="354"/>
      <c r="Q48" s="354" t="s">
        <v>247</v>
      </c>
      <c r="R48" s="354" t="s">
        <v>247</v>
      </c>
      <c r="S48" s="354" t="s">
        <v>234</v>
      </c>
      <c r="T48" s="309" t="s">
        <v>3801</v>
      </c>
    </row>
    <row r="49" spans="1:20">
      <c r="A49" s="315"/>
      <c r="B49" s="346" t="s">
        <v>3813</v>
      </c>
      <c r="C49" s="347"/>
      <c r="D49" s="348" t="s">
        <v>3811</v>
      </c>
      <c r="E49" s="349">
        <v>-3.2957159630000001</v>
      </c>
      <c r="F49" s="350">
        <v>34.852460999999998</v>
      </c>
      <c r="G49" s="351">
        <v>38.691629007962128</v>
      </c>
      <c r="H49" s="352">
        <v>26.81299763288143</v>
      </c>
      <c r="I49" s="352">
        <v>34.495373359156439</v>
      </c>
      <c r="J49" s="353">
        <v>2.5483587974371611</v>
      </c>
      <c r="K49" s="349" t="s">
        <v>229</v>
      </c>
      <c r="L49" s="445" t="s">
        <v>230</v>
      </c>
      <c r="M49" s="445"/>
      <c r="N49" s="354" t="s">
        <v>2659</v>
      </c>
      <c r="O49" s="354" t="s">
        <v>3800</v>
      </c>
      <c r="P49" s="354"/>
      <c r="Q49" s="354" t="s">
        <v>247</v>
      </c>
      <c r="R49" s="354" t="s">
        <v>247</v>
      </c>
      <c r="S49" s="354" t="s">
        <v>234</v>
      </c>
      <c r="T49" s="309" t="s">
        <v>3801</v>
      </c>
    </row>
    <row r="50" spans="1:20">
      <c r="A50" s="315"/>
      <c r="B50" s="346" t="s">
        <v>3814</v>
      </c>
      <c r="C50" s="347"/>
      <c r="D50" s="348" t="s">
        <v>3811</v>
      </c>
      <c r="E50" s="349">
        <v>-3.2966709980000002</v>
      </c>
      <c r="F50" s="350">
        <v>34.854407019999996</v>
      </c>
      <c r="G50" s="351">
        <v>28.145762029394</v>
      </c>
      <c r="H50" s="352">
        <v>25.085564727199518</v>
      </c>
      <c r="I50" s="352">
        <v>46.768673243406489</v>
      </c>
      <c r="J50" s="353">
        <v>2.1716214884179394</v>
      </c>
      <c r="K50" s="349" t="s">
        <v>229</v>
      </c>
      <c r="L50" s="445" t="s">
        <v>230</v>
      </c>
      <c r="M50" s="445"/>
      <c r="N50" s="354" t="s">
        <v>2654</v>
      </c>
      <c r="O50" s="354" t="s">
        <v>3800</v>
      </c>
      <c r="P50" s="354"/>
      <c r="Q50" s="354" t="s">
        <v>247</v>
      </c>
      <c r="R50" s="354" t="s">
        <v>247</v>
      </c>
      <c r="S50" s="354" t="s">
        <v>234</v>
      </c>
      <c r="T50" s="309" t="s">
        <v>3801</v>
      </c>
    </row>
    <row r="51" spans="1:20">
      <c r="A51" s="300"/>
      <c r="B51" s="346" t="s">
        <v>3815</v>
      </c>
      <c r="C51" s="347"/>
      <c r="D51" s="348" t="s">
        <v>3816</v>
      </c>
      <c r="E51" s="349">
        <v>-2.3691620310000001</v>
      </c>
      <c r="F51" s="350">
        <v>34.06028104</v>
      </c>
      <c r="G51" s="351">
        <v>45.96</v>
      </c>
      <c r="H51" s="352">
        <v>14.920000000000003</v>
      </c>
      <c r="I51" s="352">
        <v>39.119999999999997</v>
      </c>
      <c r="J51" s="353">
        <v>2.0374568753080333</v>
      </c>
      <c r="K51" s="349" t="s">
        <v>229</v>
      </c>
      <c r="L51" s="445" t="s">
        <v>257</v>
      </c>
      <c r="M51" s="445"/>
      <c r="N51" s="354" t="s">
        <v>2657</v>
      </c>
      <c r="O51" s="354" t="s">
        <v>3800</v>
      </c>
      <c r="P51" s="354"/>
      <c r="Q51" s="354" t="s">
        <v>247</v>
      </c>
      <c r="R51" s="354" t="s">
        <v>247</v>
      </c>
      <c r="S51" s="354" t="s">
        <v>234</v>
      </c>
      <c r="T51" s="309" t="s">
        <v>3801</v>
      </c>
    </row>
    <row r="52" spans="1:20">
      <c r="A52" s="300"/>
      <c r="B52" s="346" t="s">
        <v>3817</v>
      </c>
      <c r="C52" s="347"/>
      <c r="D52" s="348" t="s">
        <v>3816</v>
      </c>
      <c r="E52" s="349">
        <v>-2.3698080240000001</v>
      </c>
      <c r="F52" s="350">
        <v>34.059671010000002</v>
      </c>
      <c r="G52" s="351">
        <v>34.344660194174757</v>
      </c>
      <c r="H52" s="352">
        <v>19.22727272727273</v>
      </c>
      <c r="I52" s="352">
        <v>46.428067078552509</v>
      </c>
      <c r="J52" s="353">
        <v>1.7452932479053718</v>
      </c>
      <c r="K52" s="349" t="s">
        <v>229</v>
      </c>
      <c r="L52" s="445" t="s">
        <v>257</v>
      </c>
      <c r="M52" s="445"/>
      <c r="N52" s="354" t="s">
        <v>2654</v>
      </c>
      <c r="O52" s="354" t="s">
        <v>3800</v>
      </c>
      <c r="P52" s="354"/>
      <c r="Q52" s="354" t="s">
        <v>247</v>
      </c>
      <c r="R52" s="354" t="s">
        <v>247</v>
      </c>
      <c r="S52" s="354" t="s">
        <v>234</v>
      </c>
      <c r="T52" s="309" t="s">
        <v>3801</v>
      </c>
    </row>
    <row r="53" spans="1:20">
      <c r="A53" s="300"/>
      <c r="B53" s="346" t="s">
        <v>3818</v>
      </c>
      <c r="C53" s="347"/>
      <c r="D53" s="348" t="s">
        <v>3816</v>
      </c>
      <c r="E53" s="349">
        <v>-2.3487199940000001</v>
      </c>
      <c r="F53" s="350">
        <v>34.051391029999998</v>
      </c>
      <c r="G53" s="351">
        <v>27.96</v>
      </c>
      <c r="H53" s="352">
        <v>4.9200000000000017</v>
      </c>
      <c r="I53" s="352">
        <v>67.12</v>
      </c>
      <c r="J53" s="353">
        <v>0.88610152784622953</v>
      </c>
      <c r="K53" s="349" t="s">
        <v>229</v>
      </c>
      <c r="L53" s="445" t="s">
        <v>257</v>
      </c>
      <c r="M53" s="445"/>
      <c r="N53" s="354" t="s">
        <v>2654</v>
      </c>
      <c r="O53" s="354" t="s">
        <v>3800</v>
      </c>
      <c r="P53" s="354"/>
      <c r="Q53" s="354" t="s">
        <v>247</v>
      </c>
      <c r="R53" s="354" t="s">
        <v>247</v>
      </c>
      <c r="S53" s="354" t="s">
        <v>234</v>
      </c>
      <c r="T53" s="309" t="s">
        <v>3801</v>
      </c>
    </row>
    <row r="54" spans="1:20">
      <c r="A54" s="300"/>
      <c r="B54" s="346" t="s">
        <v>3819</v>
      </c>
      <c r="C54" s="347"/>
      <c r="D54" s="348" t="s">
        <v>3816</v>
      </c>
      <c r="E54" s="349">
        <v>-2.3492639789999998</v>
      </c>
      <c r="F54" s="350">
        <v>34.051464029999998</v>
      </c>
      <c r="G54" s="351">
        <v>17.96</v>
      </c>
      <c r="H54" s="352">
        <v>4.9199999999999982</v>
      </c>
      <c r="I54" s="352">
        <v>77.12</v>
      </c>
      <c r="J54" s="353">
        <v>2.0220798422868409</v>
      </c>
      <c r="K54" s="349" t="s">
        <v>229</v>
      </c>
      <c r="L54" s="445" t="s">
        <v>257</v>
      </c>
      <c r="M54" s="445"/>
      <c r="N54" s="354" t="s">
        <v>2655</v>
      </c>
      <c r="O54" s="354" t="s">
        <v>3800</v>
      </c>
      <c r="P54" s="354"/>
      <c r="Q54" s="354" t="s">
        <v>247</v>
      </c>
      <c r="R54" s="354" t="s">
        <v>247</v>
      </c>
      <c r="S54" s="354" t="s">
        <v>234</v>
      </c>
      <c r="T54" s="309" t="s">
        <v>3801</v>
      </c>
    </row>
    <row r="55" spans="1:20">
      <c r="B55" s="346" t="s">
        <v>3820</v>
      </c>
      <c r="C55" s="347"/>
      <c r="D55" s="348" t="s">
        <v>3821</v>
      </c>
      <c r="E55" s="349">
        <v>-2.3503360249999998</v>
      </c>
      <c r="F55" s="350">
        <v>34.049662009999999</v>
      </c>
      <c r="G55" s="351">
        <v>31.214836424255054</v>
      </c>
      <c r="H55" s="352">
        <v>11.377370285476141</v>
      </c>
      <c r="I55" s="352">
        <v>57.407793290268799</v>
      </c>
      <c r="J55" s="353">
        <v>1.7337604731394776</v>
      </c>
      <c r="K55" s="349" t="s">
        <v>229</v>
      </c>
      <c r="L55" s="445" t="s">
        <v>244</v>
      </c>
      <c r="M55" s="445"/>
      <c r="N55" s="354" t="s">
        <v>2654</v>
      </c>
      <c r="O55" s="354" t="s">
        <v>3800</v>
      </c>
      <c r="P55" s="354"/>
      <c r="Q55" s="354" t="s">
        <v>247</v>
      </c>
      <c r="R55" s="354" t="s">
        <v>247</v>
      </c>
      <c r="S55" s="354" t="s">
        <v>234</v>
      </c>
      <c r="T55" s="309" t="s">
        <v>3801</v>
      </c>
    </row>
    <row r="56" spans="1:20">
      <c r="B56" s="346" t="s">
        <v>3822</v>
      </c>
      <c r="C56" s="347"/>
      <c r="D56" s="348" t="s">
        <v>3821</v>
      </c>
      <c r="E56" s="349">
        <v>-2.348596025</v>
      </c>
      <c r="F56" s="350">
        <v>34.050070959999999</v>
      </c>
      <c r="G56" s="351">
        <v>33.96</v>
      </c>
      <c r="H56" s="352">
        <v>8.9200000000000017</v>
      </c>
      <c r="I56" s="352">
        <v>57.12</v>
      </c>
      <c r="J56" s="353">
        <v>2.072055199605717</v>
      </c>
      <c r="K56" s="349" t="s">
        <v>229</v>
      </c>
      <c r="L56" s="445" t="s">
        <v>244</v>
      </c>
      <c r="M56" s="445"/>
      <c r="N56" s="354" t="s">
        <v>2654</v>
      </c>
      <c r="O56" s="354" t="s">
        <v>3800</v>
      </c>
      <c r="P56" s="354"/>
      <c r="Q56" s="354" t="s">
        <v>247</v>
      </c>
      <c r="R56" s="354" t="s">
        <v>247</v>
      </c>
      <c r="S56" s="354" t="s">
        <v>234</v>
      </c>
      <c r="T56" s="309" t="s">
        <v>3801</v>
      </c>
    </row>
    <row r="57" spans="1:20">
      <c r="B57" s="346" t="s">
        <v>3823</v>
      </c>
      <c r="C57" s="347"/>
      <c r="D57" s="348" t="s">
        <v>3821</v>
      </c>
      <c r="E57" s="349">
        <v>-2.3675269729999999</v>
      </c>
      <c r="F57" s="350">
        <v>34.06035799</v>
      </c>
      <c r="G57" s="351">
        <v>39.96</v>
      </c>
      <c r="H57" s="352">
        <v>12.920000000000002</v>
      </c>
      <c r="I57" s="352">
        <v>47.12</v>
      </c>
      <c r="J57" s="353">
        <v>1.6549531789058647</v>
      </c>
      <c r="K57" s="349" t="s">
        <v>229</v>
      </c>
      <c r="L57" s="445" t="s">
        <v>244</v>
      </c>
      <c r="M57" s="445"/>
      <c r="N57" s="354" t="s">
        <v>2658</v>
      </c>
      <c r="O57" s="354" t="s">
        <v>3800</v>
      </c>
      <c r="P57" s="354"/>
      <c r="Q57" s="354" t="s">
        <v>247</v>
      </c>
      <c r="R57" s="354" t="s">
        <v>247</v>
      </c>
      <c r="S57" s="354" t="s">
        <v>234</v>
      </c>
      <c r="T57" s="309" t="s">
        <v>3801</v>
      </c>
    </row>
    <row r="58" spans="1:20">
      <c r="B58" s="346" t="s">
        <v>3824</v>
      </c>
      <c r="C58" s="347"/>
      <c r="D58" s="348" t="s">
        <v>3821</v>
      </c>
      <c r="E58" s="349">
        <v>-2.3676780150000001</v>
      </c>
      <c r="F58" s="350">
        <v>34.05937797</v>
      </c>
      <c r="G58" s="351">
        <v>27.96</v>
      </c>
      <c r="H58" s="352">
        <v>4.9200000000000017</v>
      </c>
      <c r="I58" s="352">
        <v>67.12</v>
      </c>
      <c r="J58" s="353">
        <v>1.0437161163134547</v>
      </c>
      <c r="K58" s="349" t="s">
        <v>229</v>
      </c>
      <c r="L58" s="445" t="s">
        <v>244</v>
      </c>
      <c r="M58" s="445"/>
      <c r="N58" s="354" t="s">
        <v>2654</v>
      </c>
      <c r="O58" s="354" t="s">
        <v>3800</v>
      </c>
      <c r="P58" s="354"/>
      <c r="Q58" s="354" t="s">
        <v>247</v>
      </c>
      <c r="R58" s="354" t="s">
        <v>247</v>
      </c>
      <c r="S58" s="354" t="s">
        <v>234</v>
      </c>
      <c r="T58" s="309" t="s">
        <v>3801</v>
      </c>
    </row>
    <row r="59" spans="1:20">
      <c r="B59" s="346" t="s">
        <v>3825</v>
      </c>
      <c r="C59" s="347"/>
      <c r="D59" s="348" t="s">
        <v>3826</v>
      </c>
      <c r="E59" s="349">
        <v>-2.272751033</v>
      </c>
      <c r="F59" s="350">
        <v>34.023176030000002</v>
      </c>
      <c r="G59" s="351">
        <v>21.96</v>
      </c>
      <c r="H59" s="352">
        <v>4.9199999999999982</v>
      </c>
      <c r="I59" s="352">
        <v>73.12</v>
      </c>
      <c r="J59" s="353">
        <v>1.2416954164613114</v>
      </c>
      <c r="K59" s="349" t="s">
        <v>229</v>
      </c>
      <c r="L59" s="445" t="s">
        <v>230</v>
      </c>
      <c r="M59" s="445"/>
      <c r="N59" s="354" t="s">
        <v>2654</v>
      </c>
      <c r="O59" s="354" t="s">
        <v>3800</v>
      </c>
      <c r="P59" s="354"/>
      <c r="Q59" s="354" t="s">
        <v>247</v>
      </c>
      <c r="R59" s="354" t="s">
        <v>247</v>
      </c>
      <c r="S59" s="354" t="s">
        <v>234</v>
      </c>
      <c r="T59" s="309" t="s">
        <v>3801</v>
      </c>
    </row>
    <row r="60" spans="1:20">
      <c r="B60" s="346" t="s">
        <v>3827</v>
      </c>
      <c r="C60" s="347"/>
      <c r="D60" s="348" t="s">
        <v>3826</v>
      </c>
      <c r="E60" s="349">
        <v>-2.2784290180000002</v>
      </c>
      <c r="F60" s="350">
        <v>34.024240030000001</v>
      </c>
      <c r="G60" s="351">
        <v>23.96</v>
      </c>
      <c r="H60" s="352">
        <v>4.9199999999999982</v>
      </c>
      <c r="I60" s="352">
        <v>71.12</v>
      </c>
      <c r="J60" s="353">
        <v>3.30913750616067</v>
      </c>
      <c r="K60" s="349" t="s">
        <v>229</v>
      </c>
      <c r="L60" s="445" t="s">
        <v>230</v>
      </c>
      <c r="M60" s="445"/>
      <c r="N60" s="354" t="s">
        <v>2654</v>
      </c>
      <c r="O60" s="354" t="s">
        <v>3800</v>
      </c>
      <c r="P60" s="354"/>
      <c r="Q60" s="354" t="s">
        <v>247</v>
      </c>
      <c r="R60" s="354" t="s">
        <v>247</v>
      </c>
      <c r="S60" s="354" t="s">
        <v>234</v>
      </c>
      <c r="T60" s="309" t="s">
        <v>3801</v>
      </c>
    </row>
    <row r="61" spans="1:20">
      <c r="B61" s="346" t="s">
        <v>3828</v>
      </c>
      <c r="C61" s="347"/>
      <c r="D61" s="348" t="s">
        <v>3826</v>
      </c>
      <c r="E61" s="349">
        <v>-2.277740026</v>
      </c>
      <c r="F61" s="350">
        <v>34.027640990000002</v>
      </c>
      <c r="G61" s="351">
        <v>25.96</v>
      </c>
      <c r="H61" s="352">
        <v>8.9200000000000017</v>
      </c>
      <c r="I61" s="352">
        <v>65.12</v>
      </c>
      <c r="J61" s="353">
        <v>1.614588467225234</v>
      </c>
      <c r="K61" s="349" t="s">
        <v>229</v>
      </c>
      <c r="L61" s="445" t="s">
        <v>230</v>
      </c>
      <c r="M61" s="445"/>
      <c r="N61" s="354" t="s">
        <v>2654</v>
      </c>
      <c r="O61" s="354" t="s">
        <v>3800</v>
      </c>
      <c r="P61" s="354"/>
      <c r="Q61" s="354" t="s">
        <v>247</v>
      </c>
      <c r="R61" s="354" t="s">
        <v>247</v>
      </c>
      <c r="S61" s="354" t="s">
        <v>234</v>
      </c>
      <c r="T61" s="309" t="s">
        <v>3801</v>
      </c>
    </row>
    <row r="62" spans="1:20">
      <c r="B62" s="346" t="s">
        <v>3829</v>
      </c>
      <c r="C62" s="347"/>
      <c r="D62" s="348" t="s">
        <v>3826</v>
      </c>
      <c r="E62" s="349">
        <v>-2.2787330300000002</v>
      </c>
      <c r="F62" s="350">
        <v>34.032136029999997</v>
      </c>
      <c r="G62" s="351">
        <v>25.96</v>
      </c>
      <c r="H62" s="352">
        <v>8.9200000000000017</v>
      </c>
      <c r="I62" s="352">
        <v>65.12</v>
      </c>
      <c r="J62" s="353">
        <v>1.6991621488417901</v>
      </c>
      <c r="K62" s="349" t="s">
        <v>229</v>
      </c>
      <c r="L62" s="445" t="s">
        <v>230</v>
      </c>
      <c r="M62" s="445"/>
      <c r="N62" s="354" t="s">
        <v>2654</v>
      </c>
      <c r="O62" s="354" t="s">
        <v>3800</v>
      </c>
      <c r="P62" s="354"/>
      <c r="Q62" s="354" t="s">
        <v>247</v>
      </c>
      <c r="R62" s="354" t="s">
        <v>247</v>
      </c>
      <c r="S62" s="354" t="s">
        <v>234</v>
      </c>
      <c r="T62" s="309" t="s">
        <v>3801</v>
      </c>
    </row>
    <row r="63" spans="1:20" ht="15" thickBot="1">
      <c r="B63" s="355" t="s">
        <v>2512</v>
      </c>
      <c r="C63" s="356"/>
      <c r="D63" s="357" t="s">
        <v>3830</v>
      </c>
      <c r="E63" s="358">
        <v>-2.439403972</v>
      </c>
      <c r="F63" s="359">
        <v>34.838404959999998</v>
      </c>
      <c r="G63" s="360">
        <v>22.017293559158162</v>
      </c>
      <c r="H63" s="361">
        <v>6.5855206693798616</v>
      </c>
      <c r="I63" s="361">
        <v>71.397185771461977</v>
      </c>
      <c r="J63" s="362">
        <v>1.1393420404139967</v>
      </c>
      <c r="K63" s="358" t="s">
        <v>229</v>
      </c>
      <c r="L63" s="363" t="s">
        <v>230</v>
      </c>
      <c r="M63" s="363"/>
      <c r="N63" s="363" t="s">
        <v>2654</v>
      </c>
      <c r="O63" s="363" t="s">
        <v>3800</v>
      </c>
      <c r="P63" s="363"/>
      <c r="Q63" s="363" t="s">
        <v>247</v>
      </c>
      <c r="R63" s="363" t="s">
        <v>247</v>
      </c>
      <c r="S63" s="363" t="s">
        <v>234</v>
      </c>
      <c r="T63" s="364" t="s">
        <v>3801</v>
      </c>
    </row>
    <row r="64" spans="1:20">
      <c r="B64" s="329" t="s">
        <v>3831</v>
      </c>
    </row>
    <row r="67" spans="2:41" ht="15" thickBot="1">
      <c r="B67" s="329" t="s">
        <v>3832</v>
      </c>
      <c r="C67" s="315"/>
      <c r="D67" s="315"/>
      <c r="E67" s="315"/>
      <c r="F67" s="365"/>
      <c r="G67" s="365"/>
      <c r="H67" s="365"/>
      <c r="I67" s="365"/>
      <c r="J67" s="315"/>
      <c r="K67" s="366"/>
      <c r="L67" s="367"/>
    </row>
    <row r="68" spans="2:41" ht="15" thickBot="1">
      <c r="B68" s="458" t="s">
        <v>21</v>
      </c>
      <c r="C68" s="459"/>
      <c r="D68" s="459"/>
      <c r="E68" s="459"/>
      <c r="F68" s="368" t="s">
        <v>3833</v>
      </c>
      <c r="G68" s="369"/>
      <c r="H68" s="369"/>
      <c r="I68" s="369"/>
      <c r="J68" s="369"/>
      <c r="K68" s="369"/>
      <c r="L68" s="370"/>
    </row>
    <row r="69" spans="2:41">
      <c r="B69" s="460" t="s">
        <v>22</v>
      </c>
      <c r="C69" s="461"/>
      <c r="D69" s="461"/>
      <c r="E69" s="461"/>
      <c r="F69" s="371" t="s">
        <v>3834</v>
      </c>
      <c r="G69" s="372"/>
      <c r="H69" s="372"/>
      <c r="I69" s="372"/>
      <c r="J69" s="372"/>
      <c r="K69" s="372"/>
      <c r="L69" s="373"/>
    </row>
    <row r="70" spans="2:41" ht="15" thickBot="1">
      <c r="B70" s="462" t="s">
        <v>25</v>
      </c>
      <c r="C70" s="463"/>
      <c r="D70" s="463"/>
      <c r="E70" s="463"/>
      <c r="F70" s="464" t="s">
        <v>3835</v>
      </c>
      <c r="G70" s="445"/>
      <c r="H70" s="445"/>
      <c r="I70" s="445"/>
      <c r="J70" s="445"/>
      <c r="K70" s="445"/>
      <c r="L70" s="445"/>
      <c r="M70" s="445"/>
      <c r="N70" s="445"/>
    </row>
    <row r="71" spans="2:41">
      <c r="B71" s="329" t="s">
        <v>3836</v>
      </c>
    </row>
    <row r="72" spans="2:41" ht="18">
      <c r="AO72" s="374"/>
    </row>
    <row r="73" spans="2:41">
      <c r="D73" s="455" t="s">
        <v>3837</v>
      </c>
      <c r="E73" s="455"/>
      <c r="F73" s="455"/>
      <c r="G73" s="455"/>
      <c r="H73" s="455"/>
    </row>
    <row r="74" spans="2:41" ht="18.600000000000001" thickBot="1">
      <c r="B74" s="375" t="s">
        <v>3838</v>
      </c>
      <c r="D74" s="456"/>
      <c r="E74" s="456"/>
      <c r="F74" s="456"/>
      <c r="G74" s="456"/>
      <c r="H74" s="456"/>
      <c r="AG74" s="457" t="s">
        <v>3839</v>
      </c>
      <c r="AH74" s="457"/>
      <c r="AI74" s="457"/>
      <c r="AJ74" s="457"/>
      <c r="AK74" s="457"/>
      <c r="AL74" s="457"/>
    </row>
    <row r="75" spans="2:41" ht="101.4" thickBot="1">
      <c r="B75" s="376" t="s">
        <v>2451</v>
      </c>
      <c r="C75" s="109" t="s">
        <v>23</v>
      </c>
      <c r="D75" s="109" t="s">
        <v>3840</v>
      </c>
      <c r="E75" s="109" t="s">
        <v>25</v>
      </c>
      <c r="F75" s="109" t="s">
        <v>26</v>
      </c>
      <c r="G75" s="377" t="s">
        <v>27</v>
      </c>
      <c r="H75" s="109" t="s">
        <v>3841</v>
      </c>
      <c r="I75" s="109" t="s">
        <v>3842</v>
      </c>
      <c r="J75" s="109" t="s">
        <v>3843</v>
      </c>
      <c r="K75" s="109" t="s">
        <v>28</v>
      </c>
      <c r="L75" s="109" t="s">
        <v>29</v>
      </c>
      <c r="M75" s="109" t="s">
        <v>3844</v>
      </c>
      <c r="N75" s="109" t="s">
        <v>3845</v>
      </c>
      <c r="O75" s="109" t="s">
        <v>30</v>
      </c>
      <c r="P75" s="109" t="s">
        <v>3860</v>
      </c>
      <c r="Q75" s="109" t="s">
        <v>3847</v>
      </c>
      <c r="R75" s="377" t="s">
        <v>31</v>
      </c>
      <c r="S75" s="109" t="s">
        <v>3848</v>
      </c>
      <c r="T75" s="109" t="s">
        <v>3849</v>
      </c>
      <c r="U75" s="109" t="s">
        <v>34</v>
      </c>
      <c r="V75" s="109" t="s">
        <v>35</v>
      </c>
      <c r="W75" s="109" t="s">
        <v>3850</v>
      </c>
      <c r="X75" s="109" t="s">
        <v>3851</v>
      </c>
      <c r="Y75" s="109" t="s">
        <v>3852</v>
      </c>
      <c r="Z75" s="109" t="s">
        <v>3853</v>
      </c>
      <c r="AA75" s="109" t="s">
        <v>3854</v>
      </c>
      <c r="AB75" s="109" t="s">
        <v>288</v>
      </c>
      <c r="AC75" s="109" t="s">
        <v>291</v>
      </c>
      <c r="AD75" s="109" t="s">
        <v>292</v>
      </c>
      <c r="AE75" s="109" t="s">
        <v>40</v>
      </c>
      <c r="AF75" s="378" t="s">
        <v>41</v>
      </c>
      <c r="AG75" s="379" t="s">
        <v>3862</v>
      </c>
      <c r="AH75" s="379" t="s">
        <v>3855</v>
      </c>
      <c r="AI75" s="379" t="s">
        <v>3856</v>
      </c>
      <c r="AJ75" s="379" t="s">
        <v>3861</v>
      </c>
      <c r="AK75" s="379" t="s">
        <v>3857</v>
      </c>
      <c r="AL75" s="380" t="s">
        <v>3858</v>
      </c>
    </row>
    <row r="76" spans="2:41">
      <c r="B76" t="str">
        <f>'Final data_for_R_analysis_Dryse'!A2</f>
        <v>Dry</v>
      </c>
      <c r="C76" s="260">
        <f>'Final data_for_R_analysis_Dryse'!B2</f>
        <v>1</v>
      </c>
      <c r="D76" t="s">
        <v>3798</v>
      </c>
      <c r="E76" t="s">
        <v>22</v>
      </c>
      <c r="F76" s="381">
        <v>1</v>
      </c>
      <c r="G76" s="16">
        <f>IF('Dry_Litterbag Placem_Collection'!E3="","",'Dry_Litterbag Placem_Collection'!E3)</f>
        <v>42938</v>
      </c>
      <c r="H76" t="str">
        <f>'Final data_for_R_analysis_Dryse'!K2</f>
        <v>G407</v>
      </c>
      <c r="I76" t="str">
        <f>'Final data_for_R_analysis_Dryse'!K222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7">
        <f>AVERAGE(Ashed_controlls!$K$1:$K$11)</f>
        <v>5.5147656768714146</v>
      </c>
      <c r="N76" s="194">
        <f t="shared" ref="N76:N139" si="0">IFERROR(L76-(M76/100)*L76,"")</f>
        <v>1.6215555914535327</v>
      </c>
      <c r="O76" s="194">
        <f>IFERROR(IF(K76&gt;0,(K76*$F$32-($F$29+$F$30)),""),"")</f>
        <v>1.9762</v>
      </c>
      <c r="P76" s="237">
        <f>AVERAGE(Ashed_controlls!$K$12:$K$14)</f>
        <v>2.2816647271287041</v>
      </c>
      <c r="Q76" s="194">
        <f t="shared" ref="Q76:Q139" si="1">IFERROR(O76-(P76/100)*O76,"")</f>
        <v>1.9311097416624825</v>
      </c>
      <c r="R76" s="16">
        <f>IF('Dry_Litterbag Placem_Collection'!G3="","",'Dry_Litterbag Placem_Collection'!G3)</f>
        <v>43007</v>
      </c>
      <c r="S76" s="194">
        <f>IFERROR(INDEX('Both teabags AfterDry'!$D$3:$D$2000,MATCH(H76,'Both teabags AfterDry'!$A$3:$A$2000,0)),"")</f>
        <v>1.278</v>
      </c>
      <c r="T76" s="194">
        <f>IFERROR(INDEX('Both teabags AfterDry'!$D$3:$D$2000,MATCH(I76,'Both teabags AfterDry'!$A$3:$A$2000,0)),"")</f>
        <v>1.8292999999999999</v>
      </c>
      <c r="U76" s="194">
        <f>IFERROR(IF(S76&gt;0,S76-($F$29),""),"")</f>
        <v>1.1274</v>
      </c>
      <c r="V76" s="194">
        <f>IFERROR(IF(T76&gt;0,T76-($F$29),""),"")</f>
        <v>1.6786999999999999</v>
      </c>
      <c r="W76" s="194">
        <f>IFERROR(INDEX('Ashed teabags dry'!$K$2:$K$2000,MATCH(H76,'Ashed teabags dry'!$A$2:$A$2000,0)),"")</f>
        <v>21.67931688804563</v>
      </c>
      <c r="X76" s="194">
        <f>IFERROR(INDEX('Ashed teabags dry'!$K$2:$K$2000,MATCH(I76,'Ashed teabags dry'!$A$2:$A$2000,0)),"")</f>
        <v>3.9233576642330181</v>
      </c>
      <c r="Y76" s="194">
        <f t="shared" ref="Y76:Z139" si="2">IFERROR(U76-(W76/100)*U76,"")</f>
        <v>0.88298738140417354</v>
      </c>
      <c r="Z76" s="194">
        <f t="shared" si="2"/>
        <v>1.6128385948905202</v>
      </c>
      <c r="AA76" s="194">
        <f>IFERROR(1-Y76/N76,"")</f>
        <v>0.45546894225644163</v>
      </c>
      <c r="AB76" s="194">
        <f>IFERROR($F$26*(1-AE76),"")</f>
        <v>0.29859721630113517</v>
      </c>
      <c r="AC76" s="194">
        <f t="shared" ref="AC76:AC139" si="3">IFERROR(Z76/Q76,"")</f>
        <v>0.83518743657832495</v>
      </c>
      <c r="AD76">
        <f>IFERROR(IF((R76-G76)&gt;0,(IFERROR(R76-G76,"")),""),"")</f>
        <v>69</v>
      </c>
      <c r="AE76" s="194">
        <f>IFERROR(1-(AA76/$F$25),"")</f>
        <v>0.45906301394721893</v>
      </c>
      <c r="AF76" s="194">
        <f>IFERROR(LN(AB76/(AC76-(1-AB76)))/AD76,"")</f>
        <v>1.1635711933221597E-2</v>
      </c>
      <c r="AG76" s="252" t="str">
        <f>IF(ISNUMBER(SEARCH("C", 'Dry_Litterbag Placem_Collection'!$T3)),"YES","NO")</f>
        <v>NO</v>
      </c>
      <c r="AH76" s="252" t="str">
        <f>IF(ISNUMBER(SEARCH("H", 'Dry_Litterbag Placem_Collection'!$T3)),"YES","NO")</f>
        <v>YES</v>
      </c>
      <c r="AI76" s="252" t="str">
        <f>IF(ISNUMBER(SEARCH("R", 'Dry_Litterbag Placem_Collection'!$T3)),"YES","NO")</f>
        <v>NO</v>
      </c>
      <c r="AJ76" s="252" t="str">
        <f>IF(ISNUMBER(SEARCH("C", 'Dry_Litterbag Placem_Collection'!$S3)),"YES","NO")</f>
        <v>NO</v>
      </c>
      <c r="AK76" s="252" t="str">
        <f>IF(ISNUMBER(SEARCH("H", 'Dry_Litterbag Placem_Collection'!$S3)),"YES","NO")</f>
        <v>YES</v>
      </c>
      <c r="AL76" s="252" t="str">
        <f>IF(ISNUMBER(SEARCH("R", 'Dry_Litterbag Placem_Collection'!$S3)),"YES","NO")</f>
        <v>NO</v>
      </c>
    </row>
    <row r="77" spans="2:41">
      <c r="B77" t="str">
        <f>'Final data_for_R_analysis_Dryse'!A3</f>
        <v>Dry</v>
      </c>
      <c r="C77" s="260">
        <f>'Final data_for_R_analysis_Dryse'!B3</f>
        <v>2</v>
      </c>
      <c r="D77" t="s">
        <v>3798</v>
      </c>
      <c r="E77" t="s">
        <v>22</v>
      </c>
      <c r="F77" s="381">
        <v>2</v>
      </c>
      <c r="G77" s="16" t="str">
        <f>IF('Dry_Litterbag Placem_Collection'!E4="","",'Dry_Litterbag Placem_Collection'!E4)</f>
        <v/>
      </c>
      <c r="H77" t="str">
        <f>'Final data_for_R_analysis_Dryse'!K3</f>
        <v/>
      </c>
      <c r="I77" t="str">
        <f>'Final data_for_R_analysis_Dryse'!K223</f>
        <v/>
      </c>
      <c r="J77" t="str">
        <f>IFERROR(INDEX('Green_rooibos initial weight'!$C$5:$C$2000,MATCH(H77, 'Green_rooibos initial weight'!$A$5:$A$2000,0)),"")</f>
        <v/>
      </c>
      <c r="K77" t="str">
        <f>IFERROR(INDEX('Green_rooibos initial weight'!$C$5:$C$2000,MATCH(I77, 'Green_rooibos initial weight'!$A$5:$A$2000,0)),"")</f>
        <v/>
      </c>
      <c r="L77" s="194" t="str">
        <f t="shared" ref="L77:L140" si="4">IFERROR(IF(J77&gt;0,(J77*$F$31-($F$29+$F$30)),""),"")</f>
        <v/>
      </c>
      <c r="M77" s="237">
        <f>AVERAGE(Ashed_controlls!$K$1:$K$11)</f>
        <v>5.5147656768714146</v>
      </c>
      <c r="N77" s="194" t="str">
        <f t="shared" si="0"/>
        <v/>
      </c>
      <c r="O77" s="194" t="str">
        <f t="shared" ref="O77:O140" si="5">IFERROR(IF(K77&gt;0,(K77*$F$32-($F$29+$F$30)),""),"")</f>
        <v/>
      </c>
      <c r="P77" s="237">
        <f>AVERAGE(Ashed_controlls!$K$12:$K$14)</f>
        <v>2.2816647271287041</v>
      </c>
      <c r="Q77" s="194" t="str">
        <f t="shared" si="1"/>
        <v/>
      </c>
      <c r="R77" s="16" t="str">
        <f>IF('Dry_Litterbag Placem_Collection'!G4="","",'Dry_Litterbag Placem_Collection'!G4)</f>
        <v/>
      </c>
      <c r="S77" s="194" t="str">
        <f>IFERROR(INDEX('Both teabags AfterDry'!$D$3:$D$2000,MATCH(H77,'Both teabags AfterDry'!$A$3:$A$2000,0)),"")</f>
        <v/>
      </c>
      <c r="T77" s="194" t="str">
        <f>IFERROR(INDEX('Both teabags AfterDry'!$D$3:$D$2000,MATCH(I77,'Both teabags AfterDry'!$A$3:$A$2000,0)),"")</f>
        <v/>
      </c>
      <c r="U77" s="194" t="str">
        <f t="shared" ref="U77:U140" si="6">IFERROR(IF(S77&gt;0,S77-($F$29),""),"")</f>
        <v/>
      </c>
      <c r="V77" s="194" t="str">
        <f t="shared" ref="V77:V140" si="7">IFERROR(IF(T77&gt;0,T77-($F$29),""),"")</f>
        <v/>
      </c>
      <c r="W77" s="194" t="str">
        <f>IFERROR(INDEX('Ashed teabags dry'!$K$2:$K$2000,MATCH(H77,'Ashed teabags dry'!$A$2:$A$2000,0)),"")</f>
        <v/>
      </c>
      <c r="X77" s="194" t="str">
        <f>IFERROR(INDEX('Ashed teabags dry'!$K$2:$K$2000,MATCH(I77,'Ashed teabags dry'!$A$2:$A$2000,0)),"")</f>
        <v/>
      </c>
      <c r="Y77" s="194" t="str">
        <f t="shared" si="2"/>
        <v/>
      </c>
      <c r="Z77" s="194" t="str">
        <f t="shared" si="2"/>
        <v/>
      </c>
      <c r="AA77" s="194" t="str">
        <f t="shared" ref="AA77:AA140" si="8">IFERROR(1-Y77/N77,"")</f>
        <v/>
      </c>
      <c r="AB77" s="194" t="str">
        <f t="shared" ref="AB77:AB140" si="9">IFERROR($F$26*(1-AE77),"")</f>
        <v/>
      </c>
      <c r="AC77" s="194" t="str">
        <f t="shared" si="3"/>
        <v/>
      </c>
      <c r="AD77" t="str">
        <f t="shared" ref="AD77:AD140" si="10">IFERROR(IF((R77-G77)&gt;0,(IFERROR(R77-G77,"")),""),"")</f>
        <v/>
      </c>
      <c r="AE77" s="194" t="str">
        <f t="shared" ref="AE77:AE140" si="11">IFERROR(1-(AA77/$F$25),"")</f>
        <v/>
      </c>
      <c r="AF77" s="194" t="str">
        <f t="shared" ref="AF77:AF140" si="12">IFERROR(LN(AB77/(AC77-(1-AB77)))/AD77,"")</f>
        <v/>
      </c>
      <c r="AG77" s="252" t="str">
        <f>IF(ISNUMBER(SEARCH("C", 'Dry_Litterbag Placem_Collection'!$T4)),"YES","NO")</f>
        <v>NO</v>
      </c>
      <c r="AH77" s="252" t="str">
        <f>IF(ISNUMBER(SEARCH("H", 'Dry_Litterbag Placem_Collection'!$T4)),"YES","NO")</f>
        <v>NO</v>
      </c>
      <c r="AI77" s="252" t="str">
        <f>IF(ISNUMBER(SEARCH("R", 'Dry_Litterbag Placem_Collection'!$T4)),"YES","NO")</f>
        <v>NO</v>
      </c>
      <c r="AJ77" s="252" t="str">
        <f>IF(ISNUMBER(SEARCH("C", 'Dry_Litterbag Placem_Collection'!$S4)),"YES","NO")</f>
        <v>NO</v>
      </c>
      <c r="AK77" s="252" t="str">
        <f>IF(ISNUMBER(SEARCH("H", 'Dry_Litterbag Placem_Collection'!$S4)),"YES","NO")</f>
        <v>NO</v>
      </c>
      <c r="AL77" s="252" t="str">
        <f>IF(ISNUMBER(SEARCH("R", 'Dry_Litterbag Placem_Collection'!$S4)),"YES","NO")</f>
        <v>NO</v>
      </c>
    </row>
    <row r="78" spans="2:41">
      <c r="B78" t="str">
        <f>'Final data_for_R_analysis_Dryse'!A4</f>
        <v>Dry</v>
      </c>
      <c r="C78" s="260">
        <f>'Final data_for_R_analysis_Dryse'!B4</f>
        <v>3</v>
      </c>
      <c r="D78" t="s">
        <v>3798</v>
      </c>
      <c r="E78" t="s">
        <v>22</v>
      </c>
      <c r="F78" s="381">
        <v>3</v>
      </c>
      <c r="G78" s="16">
        <f>IF('Dry_Litterbag Placem_Collection'!E5="","",'Dry_Litterbag Placem_Collection'!E5)</f>
        <v>42938</v>
      </c>
      <c r="H78" t="str">
        <f>'Final data_for_R_analysis_Dryse'!K4</f>
        <v>G259</v>
      </c>
      <c r="I78" t="str">
        <f>'Final data_for_R_analysis_Dryse'!K224</f>
        <v>R742</v>
      </c>
      <c r="J78">
        <f>IFERROR(INDEX('Green_rooibos initial weight'!$C$5:$C$2000,MATCH(H78, 'Green_rooibos initial weight'!$A$5:$A$2000,0)),"")</f>
        <v>1.913</v>
      </c>
      <c r="K78">
        <f>IFERROR(INDEX('Green_rooibos initial weight'!$C$5:$C$2000,MATCH(I78, 'Green_rooibos initial weight'!$A$5:$A$2000,0)),"")</f>
        <v>2.1259999999999999</v>
      </c>
      <c r="L78" s="194">
        <f t="shared" si="4"/>
        <v>1.6632</v>
      </c>
      <c r="M78" s="237">
        <f>AVERAGE(Ashed_controlls!$K$1:$K$11)</f>
        <v>5.5147656768714146</v>
      </c>
      <c r="N78" s="194">
        <f t="shared" si="0"/>
        <v>1.5714784172622747</v>
      </c>
      <c r="O78" s="194">
        <f t="shared" si="5"/>
        <v>1.8761999999999999</v>
      </c>
      <c r="P78" s="237">
        <f>AVERAGE(Ashed_controlls!$K$12:$K$14)</f>
        <v>2.2816647271287041</v>
      </c>
      <c r="Q78" s="194">
        <f t="shared" si="1"/>
        <v>1.8333914063896111</v>
      </c>
      <c r="R78" s="16">
        <f>IF('Dry_Litterbag Placem_Collection'!G5="","",'Dry_Litterbag Placem_Collection'!G5)</f>
        <v>43007</v>
      </c>
      <c r="S78" s="194">
        <f>IFERROR(INDEX('Both teabags AfterDry'!$D$3:$D$2000,MATCH(H78,'Both teabags AfterDry'!$A$3:$A$2000,0)),"")</f>
        <v>1.5964</v>
      </c>
      <c r="T78" s="194">
        <f>IFERROR(INDEX('Both teabags AfterDry'!$D$3:$D$2000,MATCH(I78,'Both teabags AfterDry'!$A$3:$A$2000,0)),"")</f>
        <v>1.8767</v>
      </c>
      <c r="U78" s="194">
        <f t="shared" si="6"/>
        <v>1.4458</v>
      </c>
      <c r="V78" s="194">
        <f t="shared" si="7"/>
        <v>1.7261</v>
      </c>
      <c r="W78" s="194">
        <f>IFERROR(INDEX('Ashed teabags dry'!$K$2:$K$2000,MATCH(H78,'Ashed teabags dry'!$A$2:$A$2000,0)),"")</f>
        <v>10.613993336505917</v>
      </c>
      <c r="X78" s="194">
        <f>IFERROR(INDEX('Ashed teabags dry'!$K$2:$K$2000,MATCH(I78,'Ashed teabags dry'!$A$2:$A$2000,0)),"")</f>
        <v>2.7142857142857459</v>
      </c>
      <c r="Y78" s="194">
        <f t="shared" si="2"/>
        <v>1.2923428843407974</v>
      </c>
      <c r="Z78" s="194">
        <f t="shared" si="2"/>
        <v>1.6792487142857138</v>
      </c>
      <c r="AA78" s="194">
        <f t="shared" si="8"/>
        <v>0.17762606845582307</v>
      </c>
      <c r="AB78" s="194">
        <f t="shared" si="9"/>
        <v>0.11644844392828307</v>
      </c>
      <c r="AC78" s="194">
        <f t="shared" si="3"/>
        <v>0.91592483112624523</v>
      </c>
      <c r="AD78">
        <f t="shared" si="10"/>
        <v>69</v>
      </c>
      <c r="AE78" s="194">
        <f t="shared" si="11"/>
        <v>0.78904267404296546</v>
      </c>
      <c r="AF78" s="194">
        <f t="shared" si="12"/>
        <v>1.8552397032406274E-2</v>
      </c>
      <c r="AG78" s="252" t="str">
        <f>IF(ISNUMBER(SEARCH("C", 'Dry_Litterbag Placem_Collection'!$T5)),"YES","NO")</f>
        <v>YES</v>
      </c>
      <c r="AH78" s="252" t="str">
        <f>IF(ISNUMBER(SEARCH("H", 'Dry_Litterbag Placem_Collection'!$T5)),"YES","NO")</f>
        <v>YES</v>
      </c>
      <c r="AI78" s="252" t="str">
        <f>IF(ISNUMBER(SEARCH("R", 'Dry_Litterbag Placem_Collection'!$T5)),"YES","NO")</f>
        <v>NO</v>
      </c>
      <c r="AJ78" s="252" t="str">
        <f>IF(ISNUMBER(SEARCH("C", 'Dry_Litterbag Placem_Collection'!$S5)),"YES","NO")</f>
        <v>YES</v>
      </c>
      <c r="AK78" s="252" t="str">
        <f>IF(ISNUMBER(SEARCH("H", 'Dry_Litterbag Placem_Collection'!$S5)),"YES","NO")</f>
        <v>YES</v>
      </c>
      <c r="AL78" s="252" t="str">
        <f>IF(ISNUMBER(SEARCH("R", 'Dry_Litterbag Placem_Collection'!$S5)),"YES","NO")</f>
        <v>NO</v>
      </c>
    </row>
    <row r="79" spans="2:41">
      <c r="B79" t="str">
        <f>'Final data_for_R_analysis_Dryse'!A5</f>
        <v>Dry</v>
      </c>
      <c r="C79" s="260">
        <f>'Final data_for_R_analysis_Dryse'!B5</f>
        <v>4</v>
      </c>
      <c r="D79" t="s">
        <v>3798</v>
      </c>
      <c r="E79" t="s">
        <v>22</v>
      </c>
      <c r="F79" s="382">
        <v>4</v>
      </c>
      <c r="G79" s="16">
        <f>IF('Dry_Litterbag Placem_Collection'!E6="","",'Dry_Litterbag Placem_Collection'!E6)</f>
        <v>42938</v>
      </c>
      <c r="H79" t="str">
        <f>'Final data_for_R_analysis_Dryse'!K5</f>
        <v>G255</v>
      </c>
      <c r="I79" t="str">
        <f>'Final data_for_R_analysis_Dryse'!K225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4"/>
        <v>1.7812000000000001</v>
      </c>
      <c r="M79" s="237">
        <f>AVERAGE(Ashed_controlls!$K$1:$K$11)</f>
        <v>5.5147656768714146</v>
      </c>
      <c r="N79" s="194">
        <f t="shared" si="0"/>
        <v>1.6829709937635664</v>
      </c>
      <c r="O79" s="194">
        <f t="shared" si="5"/>
        <v>1.9131999999999998</v>
      </c>
      <c r="P79" s="237">
        <f>AVERAGE(Ashed_controlls!$K$12:$K$14)</f>
        <v>2.2816647271287041</v>
      </c>
      <c r="Q79" s="194">
        <f t="shared" si="1"/>
        <v>1.8695471904405734</v>
      </c>
      <c r="R79" s="16">
        <f>IF('Dry_Litterbag Placem_Collection'!G6="","",'Dry_Litterbag Placem_Collection'!G6)</f>
        <v>43007</v>
      </c>
      <c r="S79" s="194">
        <f>IFERROR(INDEX('Both teabags AfterDry'!$D$3:$D$2000,MATCH(H79,'Both teabags AfterDry'!$A$3:$A$2000,0)),"")</f>
        <v>1.6215999999999999</v>
      </c>
      <c r="T79" s="194">
        <f>IFERROR(INDEX('Both teabags AfterDry'!$D$3:$D$2000,MATCH(I79,'Both teabags AfterDry'!$A$3:$A$2000,0)),"")</f>
        <v>1.837</v>
      </c>
      <c r="U79" s="194">
        <f t="shared" si="6"/>
        <v>1.4709999999999999</v>
      </c>
      <c r="V79" s="194">
        <f t="shared" si="7"/>
        <v>1.6863999999999999</v>
      </c>
      <c r="W79" s="194">
        <f>IFERROR(INDEX('Ashed teabags dry'!$K$2:$K$2000,MATCH(H79,'Ashed teabags dry'!$A$2:$A$2000,0)),"")</f>
        <v>8.5846867749423765</v>
      </c>
      <c r="X79" s="194">
        <f>IFERROR(INDEX('Ashed teabags dry'!$K$2:$K$2000,MATCH(I79,'Ashed teabags dry'!$A$2:$A$2000,0)),"")</f>
        <v>2.5594149908590014</v>
      </c>
      <c r="Y79" s="194">
        <f t="shared" si="2"/>
        <v>1.3447192575405975</v>
      </c>
      <c r="Z79" s="194">
        <f t="shared" si="2"/>
        <v>1.6432380255941537</v>
      </c>
      <c r="AA79" s="194">
        <f t="shared" si="8"/>
        <v>0.20098488772319767</v>
      </c>
      <c r="AB79" s="194">
        <f t="shared" si="9"/>
        <v>0.13176206416057618</v>
      </c>
      <c r="AC79" s="194">
        <f t="shared" si="3"/>
        <v>0.8789497446207345</v>
      </c>
      <c r="AD79">
        <f t="shared" si="10"/>
        <v>69</v>
      </c>
      <c r="AE79" s="194">
        <f t="shared" si="11"/>
        <v>0.76130060840475333</v>
      </c>
      <c r="AF79" s="194">
        <f t="shared" si="12"/>
        <v>3.6371753542998125E-2</v>
      </c>
      <c r="AG79" s="252" t="str">
        <f>IF(ISNUMBER(SEARCH("C", 'Dry_Litterbag Placem_Collection'!$T6)),"YES","NO")</f>
        <v>NO</v>
      </c>
      <c r="AH79" s="252" t="str">
        <f>IF(ISNUMBER(SEARCH("H", 'Dry_Litterbag Placem_Collection'!$T6)),"YES","NO")</f>
        <v>YES</v>
      </c>
      <c r="AI79" s="252" t="str">
        <f>IF(ISNUMBER(SEARCH("R", 'Dry_Litterbag Placem_Collection'!$T6)),"YES","NO")</f>
        <v>NO</v>
      </c>
      <c r="AJ79" s="252" t="str">
        <f>IF(ISNUMBER(SEARCH("C", 'Dry_Litterbag Placem_Collection'!$S6)),"YES","NO")</f>
        <v>NO</v>
      </c>
      <c r="AK79" s="252" t="str">
        <f>IF(ISNUMBER(SEARCH("H", 'Dry_Litterbag Placem_Collection'!$S6)),"YES","NO")</f>
        <v>NO</v>
      </c>
      <c r="AL79" s="252" t="str">
        <f>IF(ISNUMBER(SEARCH("R", 'Dry_Litterbag Placem_Collection'!$S6)),"YES","NO")</f>
        <v>NO</v>
      </c>
    </row>
    <row r="80" spans="2:41">
      <c r="B80" t="str">
        <f>'Final data_for_R_analysis_Dryse'!A6</f>
        <v>Dry</v>
      </c>
      <c r="C80" s="260">
        <f>'Final data_for_R_analysis_Dryse'!B6</f>
        <v>5</v>
      </c>
      <c r="D80" t="s">
        <v>3798</v>
      </c>
      <c r="E80" t="s">
        <v>22</v>
      </c>
      <c r="F80" s="382">
        <v>5</v>
      </c>
      <c r="G80" s="16">
        <f>IF('Dry_Litterbag Placem_Collection'!E7="","",'Dry_Litterbag Placem_Collection'!E7)</f>
        <v>42938</v>
      </c>
      <c r="H80" t="str">
        <f>'Final data_for_R_analysis_Dryse'!K6</f>
        <v>G122</v>
      </c>
      <c r="I80" t="str">
        <f>'Final data_for_R_analysis_Dryse'!K226</f>
        <v>R724</v>
      </c>
      <c r="J80">
        <f>IFERROR(INDEX('Green_rooibos initial weight'!$C$5:$C$2000,MATCH(H80, 'Green_rooibos initial weight'!$A$5:$A$2000,0)),"")</f>
        <v>1.95</v>
      </c>
      <c r="K80">
        <f>IFERROR(INDEX('Green_rooibos initial weight'!$C$5:$C$2000,MATCH(I80, 'Green_rooibos initial weight'!$A$5:$A$2000,0)),"")</f>
        <v>2.149</v>
      </c>
      <c r="L80" s="194">
        <f t="shared" si="4"/>
        <v>1.7001999999999999</v>
      </c>
      <c r="M80" s="237">
        <f>AVERAGE(Ashed_controlls!$K$1:$K$11)</f>
        <v>5.5147656768714146</v>
      </c>
      <c r="N80" s="194">
        <f t="shared" si="0"/>
        <v>1.6064379539618321</v>
      </c>
      <c r="O80" s="194">
        <f t="shared" si="5"/>
        <v>1.8992</v>
      </c>
      <c r="P80" s="237">
        <f>AVERAGE(Ashed_controlls!$K$12:$K$14)</f>
        <v>2.2816647271287041</v>
      </c>
      <c r="Q80" s="194">
        <f t="shared" si="1"/>
        <v>1.8558666235023717</v>
      </c>
      <c r="R80" s="16" t="str">
        <f>IF('Dry_Litterbag Placem_Collection'!G7="","",'Dry_Litterbag Placem_Collection'!G7)</f>
        <v/>
      </c>
      <c r="S80" s="194" t="str">
        <f>IFERROR(INDEX('Both teabags AfterDry'!$D$3:$D$2000,MATCH(H80,'Both teabags AfterDry'!$A$3:$A$2000,0)),"")</f>
        <v/>
      </c>
      <c r="T80" s="194" t="str">
        <f>IFERROR(INDEX('Both teabags AfterDry'!$D$3:$D$2000,MATCH(I80,'Both teabags AfterDry'!$A$3:$A$2000,0)),"")</f>
        <v/>
      </c>
      <c r="U80" s="194" t="str">
        <f t="shared" si="6"/>
        <v/>
      </c>
      <c r="V80" s="194" t="str">
        <f t="shared" si="7"/>
        <v/>
      </c>
      <c r="W80" s="194" t="str">
        <f>IFERROR(INDEX('Ashed teabags dry'!$K$2:$K$2000,MATCH(H80,'Ashed teabags dry'!$A$2:$A$2000,0)),"")</f>
        <v/>
      </c>
      <c r="X80" s="194" t="str">
        <f>IFERROR(INDEX('Ashed teabags dry'!$K$2:$K$2000,MATCH(I80,'Ashed teabags dry'!$A$2:$A$2000,0)),"")</f>
        <v/>
      </c>
      <c r="Y80" s="194" t="str">
        <f t="shared" si="2"/>
        <v/>
      </c>
      <c r="Z80" s="194" t="str">
        <f t="shared" si="2"/>
        <v/>
      </c>
      <c r="AA80" s="194" t="str">
        <f t="shared" si="8"/>
        <v/>
      </c>
      <c r="AB80" s="194" t="str">
        <f t="shared" si="9"/>
        <v/>
      </c>
      <c r="AC80" s="194" t="str">
        <f t="shared" si="3"/>
        <v/>
      </c>
      <c r="AD80" t="str">
        <f t="shared" si="10"/>
        <v/>
      </c>
      <c r="AE80" s="194" t="str">
        <f t="shared" si="11"/>
        <v/>
      </c>
      <c r="AF80" s="194" t="str">
        <f t="shared" si="12"/>
        <v/>
      </c>
      <c r="AG80" s="252" t="str">
        <f>IF(ISNUMBER(SEARCH("C", 'Dry_Litterbag Placem_Collection'!$T7)),"YES","NO")</f>
        <v>NO</v>
      </c>
      <c r="AH80" s="252" t="str">
        <f>IF(ISNUMBER(SEARCH("H", 'Dry_Litterbag Placem_Collection'!$T7)),"YES","NO")</f>
        <v>NO</v>
      </c>
      <c r="AI80" s="252" t="str">
        <f>IF(ISNUMBER(SEARCH("R", 'Dry_Litterbag Placem_Collection'!$T7)),"YES","NO")</f>
        <v>NO</v>
      </c>
      <c r="AJ80" s="252" t="str">
        <f>IF(ISNUMBER(SEARCH("C", 'Dry_Litterbag Placem_Collection'!$S7)),"YES","NO")</f>
        <v>NO</v>
      </c>
      <c r="AK80" s="252" t="str">
        <f>IF(ISNUMBER(SEARCH("H", 'Dry_Litterbag Placem_Collection'!$S7)),"YES","NO")</f>
        <v>NO</v>
      </c>
      <c r="AL80" s="252" t="str">
        <f>IF(ISNUMBER(SEARCH("R", 'Dry_Litterbag Placem_Collection'!$S7)),"YES","NO")</f>
        <v>NO</v>
      </c>
    </row>
    <row r="81" spans="2:38">
      <c r="B81" t="str">
        <f>'Final data_for_R_analysis_Dryse'!A7</f>
        <v>Dry</v>
      </c>
      <c r="C81" s="260">
        <f>'Final data_for_R_analysis_Dryse'!B7</f>
        <v>6</v>
      </c>
      <c r="D81" t="s">
        <v>3798</v>
      </c>
      <c r="E81" t="s">
        <v>22</v>
      </c>
      <c r="F81" s="382">
        <v>6</v>
      </c>
      <c r="G81" s="16">
        <f>IF('Dry_Litterbag Placem_Collection'!E8="","",'Dry_Litterbag Placem_Collection'!E8)</f>
        <v>42938</v>
      </c>
      <c r="H81" t="str">
        <f>'Final data_for_R_analysis_Dryse'!K7</f>
        <v>G478</v>
      </c>
      <c r="I81" t="str">
        <f>'Final data_for_R_analysis_Dryse'!K227</f>
        <v>R688</v>
      </c>
      <c r="J81">
        <f>IFERROR(INDEX('Green_rooibos initial weight'!$C$5:$C$2000,MATCH(H81, 'Green_rooibos initial weight'!$A$5:$A$2000,0)),"")</f>
        <v>2.056</v>
      </c>
      <c r="K81">
        <f>IFERROR(INDEX('Green_rooibos initial weight'!$C$5:$C$2000,MATCH(I81, 'Green_rooibos initial weight'!$A$5:$A$2000,0)),"")</f>
        <v>2.1709999999999998</v>
      </c>
      <c r="L81" s="194">
        <f t="shared" si="4"/>
        <v>1.8062</v>
      </c>
      <c r="M81" s="237">
        <f>AVERAGE(Ashed_controlls!$K$1:$K$11)</f>
        <v>5.5147656768714146</v>
      </c>
      <c r="N81" s="194">
        <f t="shared" si="0"/>
        <v>1.7065923023443486</v>
      </c>
      <c r="O81" s="194">
        <f t="shared" si="5"/>
        <v>1.9211999999999998</v>
      </c>
      <c r="P81" s="237">
        <f>AVERAGE(Ashed_controlls!$K$12:$K$14)</f>
        <v>2.2816647271287041</v>
      </c>
      <c r="Q81" s="194">
        <f t="shared" si="1"/>
        <v>1.8773646572624032</v>
      </c>
      <c r="R81" s="16">
        <f>IF('Dry_Litterbag Placem_Collection'!G8="","",'Dry_Litterbag Placem_Collection'!G8)</f>
        <v>43007</v>
      </c>
      <c r="S81" s="194" t="str">
        <f>IFERROR(INDEX('Both teabags AfterDry'!$D$3:$D$2000,MATCH(H81,'Both teabags AfterDry'!$A$3:$A$2000,0)),"")</f>
        <v/>
      </c>
      <c r="T81" s="194" t="str">
        <f>IFERROR(INDEX('Both teabags AfterDry'!$D$3:$D$2000,MATCH(I81,'Both teabags AfterDry'!$A$3:$A$2000,0)),"")</f>
        <v/>
      </c>
      <c r="U81" s="194" t="str">
        <f t="shared" si="6"/>
        <v/>
      </c>
      <c r="V81" s="194" t="str">
        <f t="shared" si="7"/>
        <v/>
      </c>
      <c r="W81" s="194" t="str">
        <f>IFERROR(INDEX('Ashed teabags dry'!$K$2:$K$2000,MATCH(H81,'Ashed teabags dry'!$A$2:$A$2000,0)),"")</f>
        <v/>
      </c>
      <c r="X81" s="194" t="str">
        <f>IFERROR(INDEX('Ashed teabags dry'!$K$2:$K$2000,MATCH(I81,'Ashed teabags dry'!$A$2:$A$2000,0)),"")</f>
        <v/>
      </c>
      <c r="Y81" s="194" t="str">
        <f t="shared" si="2"/>
        <v/>
      </c>
      <c r="Z81" s="194" t="str">
        <f t="shared" si="2"/>
        <v/>
      </c>
      <c r="AA81" s="194" t="str">
        <f t="shared" si="8"/>
        <v/>
      </c>
      <c r="AB81" s="194" t="str">
        <f t="shared" si="9"/>
        <v/>
      </c>
      <c r="AC81" s="194" t="str">
        <f t="shared" si="3"/>
        <v/>
      </c>
      <c r="AD81">
        <f t="shared" si="10"/>
        <v>69</v>
      </c>
      <c r="AE81" s="194" t="str">
        <f t="shared" si="11"/>
        <v/>
      </c>
      <c r="AF81" s="194" t="str">
        <f t="shared" si="12"/>
        <v/>
      </c>
      <c r="AG81" s="252" t="str">
        <f>IF(ISNUMBER(SEARCH("C", 'Dry_Litterbag Placem_Collection'!$T8)),"YES","NO")</f>
        <v>NO</v>
      </c>
      <c r="AH81" s="252" t="str">
        <f>IF(ISNUMBER(SEARCH("H", 'Dry_Litterbag Placem_Collection'!$T8)),"YES","NO")</f>
        <v>NO</v>
      </c>
      <c r="AI81" s="252" t="str">
        <f>IF(ISNUMBER(SEARCH("R", 'Dry_Litterbag Placem_Collection'!$T8)),"YES","NO")</f>
        <v>NO</v>
      </c>
      <c r="AJ81" s="252" t="str">
        <f>IF(ISNUMBER(SEARCH("C", 'Dry_Litterbag Placem_Collection'!$S8)),"YES","NO")</f>
        <v>NO</v>
      </c>
      <c r="AK81" s="252" t="str">
        <f>IF(ISNUMBER(SEARCH("H", 'Dry_Litterbag Placem_Collection'!$S8)),"YES","NO")</f>
        <v>NO</v>
      </c>
      <c r="AL81" s="252" t="str">
        <f>IF(ISNUMBER(SEARCH("R", 'Dry_Litterbag Placem_Collection'!$S8)),"YES","NO")</f>
        <v>NO</v>
      </c>
    </row>
    <row r="82" spans="2:38">
      <c r="B82" t="str">
        <f>'Final data_for_R_analysis_Dryse'!A8</f>
        <v>Dry</v>
      </c>
      <c r="C82" s="260">
        <f>'Final data_for_R_analysis_Dryse'!B8</f>
        <v>7</v>
      </c>
      <c r="D82" t="s">
        <v>3798</v>
      </c>
      <c r="E82" t="s">
        <v>22</v>
      </c>
      <c r="F82" s="382">
        <v>7</v>
      </c>
      <c r="G82" s="16">
        <f>IF('Dry_Litterbag Placem_Collection'!E9="","",'Dry_Litterbag Placem_Collection'!E9)</f>
        <v>42938</v>
      </c>
      <c r="H82" t="str">
        <f>'Final data_for_R_analysis_Dryse'!K8</f>
        <v>G106</v>
      </c>
      <c r="I82" t="str">
        <f>'Final data_for_R_analysis_Dryse'!K228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4"/>
        <v>1.8732000000000002</v>
      </c>
      <c r="M82" s="237">
        <f>AVERAGE(Ashed_controlls!$K$1:$K$11)</f>
        <v>5.5147656768714146</v>
      </c>
      <c r="N82" s="194">
        <f t="shared" si="0"/>
        <v>1.7698974093408448</v>
      </c>
      <c r="O82" s="194">
        <f t="shared" si="5"/>
        <v>1.9451999999999998</v>
      </c>
      <c r="P82" s="237">
        <f>AVERAGE(Ashed_controlls!$K$12:$K$14)</f>
        <v>2.2816647271287041</v>
      </c>
      <c r="Q82" s="194">
        <f t="shared" si="1"/>
        <v>1.9008170577278922</v>
      </c>
      <c r="R82" s="16">
        <f>IF('Dry_Litterbag Placem_Collection'!G9="","",'Dry_Litterbag Placem_Collection'!G9)</f>
        <v>43007</v>
      </c>
      <c r="S82" s="194">
        <f>IFERROR(INDEX('Both teabags AfterDry'!$D$3:$D$2000,MATCH(H82,'Both teabags AfterDry'!$A$3:$A$2000,0)),"")</f>
        <v>2.0188999999999999</v>
      </c>
      <c r="T82" s="194">
        <f>IFERROR(INDEX('Both teabags AfterDry'!$D$3:$D$2000,MATCH(I82,'Both teabags AfterDry'!$A$3:$A$2000,0)),"")</f>
        <v>1.7052</v>
      </c>
      <c r="U82" s="194">
        <f t="shared" si="6"/>
        <v>1.8682999999999998</v>
      </c>
      <c r="V82" s="194">
        <f t="shared" si="7"/>
        <v>1.5546</v>
      </c>
      <c r="W82" s="194">
        <f>IFERROR(INDEX('Ashed teabags dry'!$K$2:$K$2000,MATCH(H82,'Ashed teabags dry'!$A$2:$A$2000,0)),"")</f>
        <v>8.482523444160524</v>
      </c>
      <c r="X82" s="194">
        <f>IFERROR(INDEX('Ashed teabags dry'!$K$2:$K$2000,MATCH(I82,'Ashed teabags dry'!$A$2:$A$2000,0)),"")</f>
        <v>6.2499999999996207</v>
      </c>
      <c r="Y82" s="194">
        <f t="shared" si="2"/>
        <v>1.7098210144927488</v>
      </c>
      <c r="Z82" s="194">
        <f t="shared" si="2"/>
        <v>1.4574375000000059</v>
      </c>
      <c r="AA82" s="194">
        <f t="shared" si="8"/>
        <v>3.3943433405255963E-2</v>
      </c>
      <c r="AB82" s="194">
        <f t="shared" si="9"/>
        <v>2.2252702184918424E-2</v>
      </c>
      <c r="AC82" s="194">
        <f t="shared" si="3"/>
        <v>0.76674264578734785</v>
      </c>
      <c r="AD82">
        <f t="shared" si="10"/>
        <v>69</v>
      </c>
      <c r="AE82" s="194">
        <f t="shared" si="11"/>
        <v>0.95968713372297387</v>
      </c>
      <c r="AF82" s="194" t="str">
        <f t="shared" si="12"/>
        <v/>
      </c>
      <c r="AG82" s="252" t="str">
        <f>IF(ISNUMBER(SEARCH("C", 'Dry_Litterbag Placem_Collection'!$T9)),"YES","NO")</f>
        <v>NO</v>
      </c>
      <c r="AH82" s="252" t="str">
        <f>IF(ISNUMBER(SEARCH("H", 'Dry_Litterbag Placem_Collection'!$T9)),"YES","NO")</f>
        <v>YES</v>
      </c>
      <c r="AI82" s="252" t="str">
        <f>IF(ISNUMBER(SEARCH("R", 'Dry_Litterbag Placem_Collection'!$T9)),"YES","NO")</f>
        <v>NO</v>
      </c>
      <c r="AJ82" s="252" t="str">
        <f>IF(ISNUMBER(SEARCH("C", 'Dry_Litterbag Placem_Collection'!$S9)),"YES","NO")</f>
        <v>NO</v>
      </c>
      <c r="AK82" s="252" t="str">
        <f>IF(ISNUMBER(SEARCH("H", 'Dry_Litterbag Placem_Collection'!$S9)),"YES","NO")</f>
        <v>YES</v>
      </c>
      <c r="AL82" s="252" t="str">
        <f>IF(ISNUMBER(SEARCH("R", 'Dry_Litterbag Placem_Collection'!$S9)),"YES","NO")</f>
        <v>NO</v>
      </c>
    </row>
    <row r="83" spans="2:38">
      <c r="B83" t="str">
        <f>'Final data_for_R_analysis_Dryse'!A9</f>
        <v>Dry</v>
      </c>
      <c r="C83" s="260">
        <f>'Final data_for_R_analysis_Dryse'!B9</f>
        <v>8</v>
      </c>
      <c r="D83" t="s">
        <v>3798</v>
      </c>
      <c r="E83" t="s">
        <v>22</v>
      </c>
      <c r="F83" s="382">
        <v>8</v>
      </c>
      <c r="G83" s="16">
        <f>IF('Dry_Litterbag Placem_Collection'!E10="","",'Dry_Litterbag Placem_Collection'!E10)</f>
        <v>42938</v>
      </c>
      <c r="H83" t="str">
        <f>'Final data_for_R_analysis_Dryse'!K9</f>
        <v>G228</v>
      </c>
      <c r="I83" t="str">
        <f>'Final data_for_R_analysis_Dryse'!K229</f>
        <v>R727</v>
      </c>
      <c r="J83">
        <f>IFERROR(INDEX('Green_rooibos initial weight'!$C$5:$C$2000,MATCH(H83, 'Green_rooibos initial weight'!$A$5:$A$2000,0)),"")</f>
        <v>1.976</v>
      </c>
      <c r="K83">
        <f>IFERROR(INDEX('Green_rooibos initial weight'!$C$5:$C$2000,MATCH(I83, 'Green_rooibos initial weight'!$A$5:$A$2000,0)),"")</f>
        <v>2.1629999999999998</v>
      </c>
      <c r="L83" s="194">
        <f t="shared" si="4"/>
        <v>1.7262</v>
      </c>
      <c r="M83" s="237">
        <f>AVERAGE(Ashed_controlls!$K$1:$K$11)</f>
        <v>5.5147656768714146</v>
      </c>
      <c r="N83" s="194">
        <f t="shared" si="0"/>
        <v>1.6310041148858456</v>
      </c>
      <c r="O83" s="194">
        <f t="shared" si="5"/>
        <v>1.9131999999999998</v>
      </c>
      <c r="P83" s="237">
        <f>AVERAGE(Ashed_controlls!$K$12:$K$14)</f>
        <v>2.2816647271287041</v>
      </c>
      <c r="Q83" s="194">
        <f t="shared" si="1"/>
        <v>1.8695471904405734</v>
      </c>
      <c r="R83" s="16">
        <f>IF('Dry_Litterbag Placem_Collection'!G10="","",'Dry_Litterbag Placem_Collection'!G10)</f>
        <v>43007</v>
      </c>
      <c r="S83" s="194">
        <f>IFERROR(INDEX('Both teabags AfterDry'!$D$3:$D$2000,MATCH(H83,'Both teabags AfterDry'!$A$3:$A$2000,0)),"")</f>
        <v>0.83330000000000004</v>
      </c>
      <c r="T83" s="194">
        <f>IFERROR(INDEX('Both teabags AfterDry'!$D$3:$D$2000,MATCH(I83,'Both teabags AfterDry'!$A$3:$A$2000,0)),"")</f>
        <v>0</v>
      </c>
      <c r="U83" s="194">
        <f t="shared" si="6"/>
        <v>0.68270000000000008</v>
      </c>
      <c r="V83" s="194" t="str">
        <f t="shared" si="7"/>
        <v/>
      </c>
      <c r="W83" s="194">
        <f>IFERROR(INDEX('Ashed teabags dry'!$K$2:$K$2000,MATCH(H83,'Ashed teabags dry'!$A$2:$A$2000,0)),"")</f>
        <v>14.545454545454678</v>
      </c>
      <c r="X83" s="194">
        <f>IFERROR(INDEX('Ashed teabags dry'!$K$2:$K$2000,MATCH(I83,'Ashed teabags dry'!$A$2:$A$2000,0)),"")</f>
        <v>91.762114537445356</v>
      </c>
      <c r="Y83" s="194">
        <f t="shared" si="2"/>
        <v>0.58339818181818104</v>
      </c>
      <c r="Z83" s="194" t="str">
        <f t="shared" si="2"/>
        <v/>
      </c>
      <c r="AA83" s="194">
        <f t="shared" si="8"/>
        <v>0.64230735134655792</v>
      </c>
      <c r="AB83" s="194">
        <f t="shared" si="9"/>
        <v>0.4210851044457245</v>
      </c>
      <c r="AC83" s="194" t="str">
        <f t="shared" si="3"/>
        <v/>
      </c>
      <c r="AD83">
        <f t="shared" si="10"/>
        <v>69</v>
      </c>
      <c r="AE83" s="194">
        <f t="shared" si="11"/>
        <v>0.23716466585919482</v>
      </c>
      <c r="AF83" s="194" t="str">
        <f t="shared" si="12"/>
        <v/>
      </c>
      <c r="AG83" s="252" t="str">
        <f>IF(ISNUMBER(SEARCH("C", 'Dry_Litterbag Placem_Collection'!$T10)),"YES","NO")</f>
        <v>NO</v>
      </c>
      <c r="AH83" s="252" t="str">
        <f>IF(ISNUMBER(SEARCH("H", 'Dry_Litterbag Placem_Collection'!$T10)),"YES","NO")</f>
        <v>NO</v>
      </c>
      <c r="AI83" s="252" t="str">
        <f>IF(ISNUMBER(SEARCH("R", 'Dry_Litterbag Placem_Collection'!$T10)),"YES","NO")</f>
        <v>NO</v>
      </c>
      <c r="AJ83" s="252" t="str">
        <f>IF(ISNUMBER(SEARCH("C", 'Dry_Litterbag Placem_Collection'!$S10)),"YES","NO")</f>
        <v>NO</v>
      </c>
      <c r="AK83" s="252" t="str">
        <f>IF(ISNUMBER(SEARCH("H", 'Dry_Litterbag Placem_Collection'!$S10)),"YES","NO")</f>
        <v>NO</v>
      </c>
      <c r="AL83" s="252" t="str">
        <f>IF(ISNUMBER(SEARCH("R", 'Dry_Litterbag Placem_Collection'!$S10)),"YES","NO")</f>
        <v>YES</v>
      </c>
    </row>
    <row r="84" spans="2:38">
      <c r="B84" t="str">
        <f>'Final data_for_R_analysis_Dryse'!A10</f>
        <v>Dry</v>
      </c>
      <c r="C84" s="260">
        <f>'Final data_for_R_analysis_Dryse'!B10</f>
        <v>9</v>
      </c>
      <c r="D84" t="s">
        <v>3802</v>
      </c>
      <c r="E84" t="s">
        <v>22</v>
      </c>
      <c r="F84" s="381">
        <v>1</v>
      </c>
      <c r="G84" s="16">
        <f>IF('Dry_Litterbag Placem_Collection'!E11="","",'Dry_Litterbag Placem_Collection'!E11)</f>
        <v>42938</v>
      </c>
      <c r="H84" t="str">
        <f>'Final data_for_R_analysis_Dryse'!K10</f>
        <v>G277</v>
      </c>
      <c r="I84" t="str">
        <f>'Final data_for_R_analysis_Dryse'!K230</f>
        <v>R785</v>
      </c>
      <c r="J84">
        <f>IFERROR(INDEX('Green_rooibos initial weight'!$C$5:$C$2000,MATCH(H84, 'Green_rooibos initial weight'!$A$5:$A$2000,0)),"")</f>
        <v>1.93</v>
      </c>
      <c r="K84">
        <f>IFERROR(INDEX('Green_rooibos initial weight'!$C$5:$C$2000,MATCH(I84, 'Green_rooibos initial weight'!$A$5:$A$2000,0)),"")</f>
        <v>2.2549999999999999</v>
      </c>
      <c r="L84" s="194">
        <f t="shared" si="4"/>
        <v>1.6801999999999999</v>
      </c>
      <c r="M84" s="237">
        <f>AVERAGE(Ashed_controlls!$K$1:$K$11)</f>
        <v>5.5147656768714146</v>
      </c>
      <c r="N84" s="194">
        <f t="shared" si="0"/>
        <v>1.5875409070972064</v>
      </c>
      <c r="O84" s="194">
        <f t="shared" si="5"/>
        <v>2.0051999999999999</v>
      </c>
      <c r="P84" s="237">
        <f>AVERAGE(Ashed_controlls!$K$12:$K$14)</f>
        <v>2.2816647271287041</v>
      </c>
      <c r="Q84" s="194">
        <f t="shared" si="1"/>
        <v>1.959448058891615</v>
      </c>
      <c r="R84" s="16">
        <f>IF('Dry_Litterbag Placem_Collection'!G11="","",'Dry_Litterbag Placem_Collection'!G11)</f>
        <v>43007</v>
      </c>
      <c r="S84" s="194">
        <f>IFERROR(INDEX('Both teabags AfterDry'!$D$3:$D$2000,MATCH(H84,'Both teabags AfterDry'!$A$3:$A$2000,0)),"")</f>
        <v>1.9345000000000001</v>
      </c>
      <c r="T84" s="194">
        <f>IFERROR(INDEX('Both teabags AfterDry'!$D$3:$D$2000,MATCH(I84,'Both teabags AfterDry'!$A$3:$A$2000,0)),"")</f>
        <v>3.7812999999999999</v>
      </c>
      <c r="U84" s="194">
        <f t="shared" si="6"/>
        <v>1.7839</v>
      </c>
      <c r="V84" s="194">
        <f t="shared" si="7"/>
        <v>3.6307</v>
      </c>
      <c r="W84" s="194">
        <f>IFERROR(INDEX('Ashed teabags dry'!$K$2:$K$2000,MATCH(H84,'Ashed teabags dry'!$A$2:$A$2000,0)),"")</f>
        <v>22.768222768222728</v>
      </c>
      <c r="X84" s="194">
        <f>IFERROR(INDEX('Ashed teabags dry'!$K$2:$K$2000,MATCH(I84,'Ashed teabags dry'!$A$2:$A$2000,0)),"")</f>
        <v>96.078431372548579</v>
      </c>
      <c r="Y84" s="194">
        <f t="shared" si="2"/>
        <v>1.3777376740376748</v>
      </c>
      <c r="Z84" s="194">
        <f t="shared" si="2"/>
        <v>0.1423803921568787</v>
      </c>
      <c r="AA84" s="194">
        <f t="shared" si="8"/>
        <v>0.13215611145614736</v>
      </c>
      <c r="AB84" s="194">
        <f t="shared" si="9"/>
        <v>8.6639160954623914E-2</v>
      </c>
      <c r="AC84" s="194">
        <f t="shared" si="3"/>
        <v>7.266351945936135E-2</v>
      </c>
      <c r="AD84">
        <f t="shared" si="10"/>
        <v>69</v>
      </c>
      <c r="AE84" s="194">
        <f t="shared" si="11"/>
        <v>0.84304499827060886</v>
      </c>
      <c r="AF84" s="194" t="str">
        <f t="shared" si="12"/>
        <v/>
      </c>
      <c r="AG84" s="252" t="str">
        <f>IF(ISNUMBER(SEARCH("C", 'Dry_Litterbag Placem_Collection'!$T11)),"YES","NO")</f>
        <v>YES</v>
      </c>
      <c r="AH84" s="252" t="str">
        <f>IF(ISNUMBER(SEARCH("H", 'Dry_Litterbag Placem_Collection'!$T11)),"YES","NO")</f>
        <v>NO</v>
      </c>
      <c r="AI84" s="252" t="str">
        <f>IF(ISNUMBER(SEARCH("R", 'Dry_Litterbag Placem_Collection'!$T11)),"YES","NO")</f>
        <v>NO</v>
      </c>
      <c r="AJ84" s="252" t="str">
        <f>IF(ISNUMBER(SEARCH("C", 'Dry_Litterbag Placem_Collection'!$S11)),"YES","NO")</f>
        <v>YES</v>
      </c>
      <c r="AK84" s="252" t="str">
        <f>IF(ISNUMBER(SEARCH("H", 'Dry_Litterbag Placem_Collection'!$S11)),"YES","NO")</f>
        <v>YES</v>
      </c>
      <c r="AL84" s="252" t="str">
        <f>IF(ISNUMBER(SEARCH("R", 'Dry_Litterbag Placem_Collection'!$S11)),"YES","NO")</f>
        <v>NO</v>
      </c>
    </row>
    <row r="85" spans="2:38">
      <c r="B85" t="str">
        <f>'Final data_for_R_analysis_Dryse'!A11</f>
        <v>Dry</v>
      </c>
      <c r="C85" s="260">
        <f>'Final data_for_R_analysis_Dryse'!B11</f>
        <v>10</v>
      </c>
      <c r="D85" t="s">
        <v>3802</v>
      </c>
      <c r="E85" t="s">
        <v>22</v>
      </c>
      <c r="F85" s="381">
        <v>2</v>
      </c>
      <c r="G85" s="16">
        <f>IF('Dry_Litterbag Placem_Collection'!E12="","",'Dry_Litterbag Placem_Collection'!E12)</f>
        <v>42938</v>
      </c>
      <c r="H85" t="str">
        <f>'Final data_for_R_analysis_Dryse'!K11</f>
        <v>G310</v>
      </c>
      <c r="I85" t="str">
        <f>'Final data_for_R_analysis_Dryse'!K231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4"/>
        <v>1.7961999999999998</v>
      </c>
      <c r="M85" s="237">
        <f>AVERAGE(Ashed_controlls!$K$1:$K$11)</f>
        <v>5.5147656768714146</v>
      </c>
      <c r="N85" s="194">
        <f t="shared" si="0"/>
        <v>1.6971437789120354</v>
      </c>
      <c r="O85" s="194">
        <f t="shared" si="5"/>
        <v>1.9051999999999998</v>
      </c>
      <c r="P85" s="237">
        <f>AVERAGE(Ashed_controlls!$K$12:$K$14)</f>
        <v>2.2816647271287041</v>
      </c>
      <c r="Q85" s="194">
        <f t="shared" si="1"/>
        <v>1.8617297236187438</v>
      </c>
      <c r="R85" s="16" t="str">
        <f>IF('Dry_Litterbag Placem_Collection'!G12="","",'Dry_Litterbag Placem_Collection'!G12)</f>
        <v/>
      </c>
      <c r="S85" s="194" t="str">
        <f>IFERROR(INDEX('Both teabags AfterDry'!$D$3:$D$2000,MATCH(H85,'Both teabags AfterDry'!$A$3:$A$2000,0)),"")</f>
        <v/>
      </c>
      <c r="T85" s="194" t="str">
        <f>IFERROR(INDEX('Both teabags AfterDry'!$D$3:$D$2000,MATCH(I85,'Both teabags AfterDry'!$A$3:$A$2000,0)),"")</f>
        <v/>
      </c>
      <c r="U85" s="194" t="str">
        <f t="shared" si="6"/>
        <v/>
      </c>
      <c r="V85" s="194" t="str">
        <f t="shared" si="7"/>
        <v/>
      </c>
      <c r="W85" s="194" t="str">
        <f>IFERROR(INDEX('Ashed teabags dry'!$K$2:$K$2000,MATCH(H85,'Ashed teabags dry'!$A$2:$A$2000,0)),"")</f>
        <v/>
      </c>
      <c r="X85" s="194" t="str">
        <f>IFERROR(INDEX('Ashed teabags dry'!$K$2:$K$2000,MATCH(I85,'Ashed teabags dry'!$A$2:$A$2000,0)),"")</f>
        <v/>
      </c>
      <c r="Y85" s="194" t="str">
        <f t="shared" si="2"/>
        <v/>
      </c>
      <c r="Z85" s="194" t="str">
        <f t="shared" si="2"/>
        <v/>
      </c>
      <c r="AA85" s="194" t="str">
        <f t="shared" si="8"/>
        <v/>
      </c>
      <c r="AB85" s="194" t="str">
        <f t="shared" si="9"/>
        <v/>
      </c>
      <c r="AC85" s="194" t="str">
        <f t="shared" si="3"/>
        <v/>
      </c>
      <c r="AD85" t="str">
        <f t="shared" si="10"/>
        <v/>
      </c>
      <c r="AE85" s="194" t="str">
        <f t="shared" si="11"/>
        <v/>
      </c>
      <c r="AF85" s="194" t="str">
        <f t="shared" si="12"/>
        <v/>
      </c>
      <c r="AG85" s="252" t="str">
        <f>IF(ISNUMBER(SEARCH("C", 'Dry_Litterbag Placem_Collection'!$T12)),"YES","NO")</f>
        <v>NO</v>
      </c>
      <c r="AH85" s="252" t="str">
        <f>IF(ISNUMBER(SEARCH("H", 'Dry_Litterbag Placem_Collection'!$T12)),"YES","NO")</f>
        <v>NO</v>
      </c>
      <c r="AI85" s="252" t="str">
        <f>IF(ISNUMBER(SEARCH("R", 'Dry_Litterbag Placem_Collection'!$T12)),"YES","NO")</f>
        <v>NO</v>
      </c>
      <c r="AJ85" s="252" t="str">
        <f>IF(ISNUMBER(SEARCH("C", 'Dry_Litterbag Placem_Collection'!$S12)),"YES","NO")</f>
        <v>NO</v>
      </c>
      <c r="AK85" s="252" t="str">
        <f>IF(ISNUMBER(SEARCH("H", 'Dry_Litterbag Placem_Collection'!$S12)),"YES","NO")</f>
        <v>NO</v>
      </c>
      <c r="AL85" s="252" t="str">
        <f>IF(ISNUMBER(SEARCH("R", 'Dry_Litterbag Placem_Collection'!$S12)),"YES","NO")</f>
        <v>NO</v>
      </c>
    </row>
    <row r="86" spans="2:38">
      <c r="B86" t="str">
        <f>'Final data_for_R_analysis_Dryse'!A12</f>
        <v>Dry</v>
      </c>
      <c r="C86" s="260">
        <f>'Final data_for_R_analysis_Dryse'!B12</f>
        <v>11</v>
      </c>
      <c r="D86" t="s">
        <v>3802</v>
      </c>
      <c r="E86" t="s">
        <v>22</v>
      </c>
      <c r="F86" s="381">
        <v>3</v>
      </c>
      <c r="G86" s="16">
        <f>IF('Dry_Litterbag Placem_Collection'!E13="","",'Dry_Litterbag Placem_Collection'!E13)</f>
        <v>42938</v>
      </c>
      <c r="H86" t="str">
        <f>'Final data_for_R_analysis_Dryse'!K12</f>
        <v>G435</v>
      </c>
      <c r="I86" t="str">
        <f>'Final data_for_R_analysis_Dryse'!K232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4"/>
        <v>1.7511999999999999</v>
      </c>
      <c r="M86" s="237">
        <f>AVERAGE(Ashed_controlls!$K$1:$K$11)</f>
        <v>5.5147656768714146</v>
      </c>
      <c r="N86" s="194">
        <f t="shared" si="0"/>
        <v>1.6546254234666278</v>
      </c>
      <c r="O86" s="194">
        <f t="shared" si="5"/>
        <v>1.9331999999999998</v>
      </c>
      <c r="P86" s="237">
        <f>AVERAGE(Ashed_controlls!$K$12:$K$14)</f>
        <v>2.2816647271287041</v>
      </c>
      <c r="Q86" s="194">
        <f t="shared" si="1"/>
        <v>1.8890908574951477</v>
      </c>
      <c r="R86" s="16">
        <f>IF('Dry_Litterbag Placem_Collection'!G13="","",'Dry_Litterbag Placem_Collection'!G13)</f>
        <v>43007</v>
      </c>
      <c r="S86" s="194">
        <f>IFERROR(INDEX('Both teabags AfterDry'!$D$3:$D$2000,MATCH(H86,'Both teabags AfterDry'!$A$3:$A$2000,0)),"")</f>
        <v>1.7934000000000001</v>
      </c>
      <c r="T86" s="194">
        <f>IFERROR(INDEX('Both teabags AfterDry'!$D$3:$D$2000,MATCH(I86,'Both teabags AfterDry'!$A$3:$A$2000,0)),"")</f>
        <v>0.98360000000000003</v>
      </c>
      <c r="U86" s="194">
        <f t="shared" si="6"/>
        <v>1.6428</v>
      </c>
      <c r="V86" s="194">
        <f t="shared" si="7"/>
        <v>0.83299999999999996</v>
      </c>
      <c r="W86" s="194">
        <f>IFERROR(INDEX('Ashed teabags dry'!$K$2:$K$2000,MATCH(H86,'Ashed teabags dry'!$A$2:$A$2000,0)),"")</f>
        <v>10.240078392944513</v>
      </c>
      <c r="X86" s="194">
        <f>IFERROR(INDEX('Ashed teabags dry'!$K$2:$K$2000,MATCH(I86,'Ashed teabags dry'!$A$2:$A$2000,0)),"")</f>
        <v>89.951923076922583</v>
      </c>
      <c r="Y86" s="194">
        <f t="shared" si="2"/>
        <v>1.4745759921607076</v>
      </c>
      <c r="Z86" s="194">
        <f t="shared" si="2"/>
        <v>8.3700480769234864E-2</v>
      </c>
      <c r="AA86" s="194">
        <f t="shared" si="8"/>
        <v>0.10881582547468438</v>
      </c>
      <c r="AB86" s="194">
        <f t="shared" si="9"/>
        <v>7.1337690810006849E-2</v>
      </c>
      <c r="AC86" s="194">
        <f t="shared" si="3"/>
        <v>4.4307281694337383E-2</v>
      </c>
      <c r="AD86">
        <f t="shared" si="10"/>
        <v>69</v>
      </c>
      <c r="AE86" s="194">
        <f t="shared" si="11"/>
        <v>0.87076505288042239</v>
      </c>
      <c r="AF86" s="194" t="str">
        <f t="shared" si="12"/>
        <v/>
      </c>
      <c r="AG86" s="252" t="str">
        <f>IF(ISNUMBER(SEARCH("C", 'Dry_Litterbag Placem_Collection'!$T13)),"YES","NO")</f>
        <v>YES</v>
      </c>
      <c r="AH86" s="252" t="str">
        <f>IF(ISNUMBER(SEARCH("H", 'Dry_Litterbag Placem_Collection'!$T13)),"YES","NO")</f>
        <v>YES</v>
      </c>
      <c r="AI86" s="252" t="str">
        <f>IF(ISNUMBER(SEARCH("R", 'Dry_Litterbag Placem_Collection'!$T13)),"YES","NO")</f>
        <v>NO</v>
      </c>
      <c r="AJ86" s="252" t="str">
        <f>IF(ISNUMBER(SEARCH("C", 'Dry_Litterbag Placem_Collection'!$S13)),"YES","NO")</f>
        <v>YES</v>
      </c>
      <c r="AK86" s="252" t="str">
        <f>IF(ISNUMBER(SEARCH("H", 'Dry_Litterbag Placem_Collection'!$S13)),"YES","NO")</f>
        <v>YES</v>
      </c>
      <c r="AL86" s="252" t="str">
        <f>IF(ISNUMBER(SEARCH("R", 'Dry_Litterbag Placem_Collection'!$S13)),"YES","NO")</f>
        <v>NO</v>
      </c>
    </row>
    <row r="87" spans="2:38">
      <c r="B87" t="str">
        <f>'Final data_for_R_analysis_Dryse'!A13</f>
        <v>Dry</v>
      </c>
      <c r="C87" s="260">
        <f>'Final data_for_R_analysis_Dryse'!B13</f>
        <v>12</v>
      </c>
      <c r="D87" t="s">
        <v>3802</v>
      </c>
      <c r="E87" t="s">
        <v>22</v>
      </c>
      <c r="F87" s="382">
        <v>4</v>
      </c>
      <c r="G87" s="16" t="str">
        <f>IF('Dry_Litterbag Placem_Collection'!E14="","",'Dry_Litterbag Placem_Collection'!E14)</f>
        <v/>
      </c>
      <c r="H87" t="str">
        <f>'Final data_for_R_analysis_Dryse'!K13</f>
        <v/>
      </c>
      <c r="I87" t="str">
        <f>'Final data_for_R_analysis_Dryse'!K233</f>
        <v/>
      </c>
      <c r="J87" t="str">
        <f>IFERROR(INDEX('Green_rooibos initial weight'!$C$5:$C$2000,MATCH(H87, 'Green_rooibos initial weight'!$A$5:$A$2000,0)),"")</f>
        <v/>
      </c>
      <c r="K87" t="str">
        <f>IFERROR(INDEX('Green_rooibos initial weight'!$C$5:$C$2000,MATCH(I87, 'Green_rooibos initial weight'!$A$5:$A$2000,0)),"")</f>
        <v/>
      </c>
      <c r="L87" s="194" t="str">
        <f t="shared" si="4"/>
        <v/>
      </c>
      <c r="M87" s="237">
        <f>AVERAGE(Ashed_controlls!$K$1:$K$11)</f>
        <v>5.5147656768714146</v>
      </c>
      <c r="N87" s="194" t="str">
        <f t="shared" si="0"/>
        <v/>
      </c>
      <c r="O87" s="194" t="str">
        <f t="shared" si="5"/>
        <v/>
      </c>
      <c r="P87" s="237">
        <f>AVERAGE(Ashed_controlls!$K$12:$K$14)</f>
        <v>2.2816647271287041</v>
      </c>
      <c r="Q87" s="194" t="str">
        <f t="shared" si="1"/>
        <v/>
      </c>
      <c r="R87" s="16" t="str">
        <f>IF('Dry_Litterbag Placem_Collection'!G14="","",'Dry_Litterbag Placem_Collection'!G14)</f>
        <v/>
      </c>
      <c r="S87" s="194" t="str">
        <f>IFERROR(INDEX('Both teabags AfterDry'!$D$3:$D$2000,MATCH(H87,'Both teabags AfterDry'!$A$3:$A$2000,0)),"")</f>
        <v/>
      </c>
      <c r="T87" s="194" t="str">
        <f>IFERROR(INDEX('Both teabags AfterDry'!$D$3:$D$2000,MATCH(I87,'Both teabags AfterDry'!$A$3:$A$2000,0)),"")</f>
        <v/>
      </c>
      <c r="U87" s="194" t="str">
        <f t="shared" si="6"/>
        <v/>
      </c>
      <c r="V87" s="194" t="str">
        <f t="shared" si="7"/>
        <v/>
      </c>
      <c r="W87" s="194" t="str">
        <f>IFERROR(INDEX('Ashed teabags dry'!$K$2:$K$2000,MATCH(H87,'Ashed teabags dry'!$A$2:$A$2000,0)),"")</f>
        <v/>
      </c>
      <c r="X87" s="194" t="str">
        <f>IFERROR(INDEX('Ashed teabags dry'!$K$2:$K$2000,MATCH(I87,'Ashed teabags dry'!$A$2:$A$2000,0)),"")</f>
        <v/>
      </c>
      <c r="Y87" s="194" t="str">
        <f t="shared" si="2"/>
        <v/>
      </c>
      <c r="Z87" s="194" t="str">
        <f t="shared" si="2"/>
        <v/>
      </c>
      <c r="AA87" s="194" t="str">
        <f t="shared" si="8"/>
        <v/>
      </c>
      <c r="AB87" s="194" t="str">
        <f t="shared" si="9"/>
        <v/>
      </c>
      <c r="AC87" s="194" t="str">
        <f t="shared" si="3"/>
        <v/>
      </c>
      <c r="AD87" t="str">
        <f t="shared" si="10"/>
        <v/>
      </c>
      <c r="AE87" s="194" t="str">
        <f t="shared" si="11"/>
        <v/>
      </c>
      <c r="AF87" s="194" t="str">
        <f t="shared" si="12"/>
        <v/>
      </c>
      <c r="AG87" s="252" t="str">
        <f>IF(ISNUMBER(SEARCH("C", 'Dry_Litterbag Placem_Collection'!$T14)),"YES","NO")</f>
        <v>NO</v>
      </c>
      <c r="AH87" s="252" t="str">
        <f>IF(ISNUMBER(SEARCH("H", 'Dry_Litterbag Placem_Collection'!$T14)),"YES","NO")</f>
        <v>NO</v>
      </c>
      <c r="AI87" s="252" t="str">
        <f>IF(ISNUMBER(SEARCH("R", 'Dry_Litterbag Placem_Collection'!$T14)),"YES","NO")</f>
        <v>NO</v>
      </c>
      <c r="AJ87" s="252" t="str">
        <f>IF(ISNUMBER(SEARCH("C", 'Dry_Litterbag Placem_Collection'!$S14)),"YES","NO")</f>
        <v>NO</v>
      </c>
      <c r="AK87" s="252" t="str">
        <f>IF(ISNUMBER(SEARCH("H", 'Dry_Litterbag Placem_Collection'!$S14)),"YES","NO")</f>
        <v>NO</v>
      </c>
      <c r="AL87" s="252" t="str">
        <f>IF(ISNUMBER(SEARCH("R", 'Dry_Litterbag Placem_Collection'!$S14)),"YES","NO")</f>
        <v>NO</v>
      </c>
    </row>
    <row r="88" spans="2:38">
      <c r="B88" t="str">
        <f>'Final data_for_R_analysis_Dryse'!A14</f>
        <v>Dry</v>
      </c>
      <c r="C88" s="260">
        <f>'Final data_for_R_analysis_Dryse'!B14</f>
        <v>13</v>
      </c>
      <c r="D88" t="s">
        <v>3802</v>
      </c>
      <c r="E88" t="s">
        <v>22</v>
      </c>
      <c r="F88" s="382">
        <v>5</v>
      </c>
      <c r="G88" s="16">
        <f>IF('Dry_Litterbag Placem_Collection'!E15="","",'Dry_Litterbag Placem_Collection'!E15)</f>
        <v>42938</v>
      </c>
      <c r="H88" t="str">
        <f>'Final data_for_R_analysis_Dryse'!K14</f>
        <v>G2</v>
      </c>
      <c r="I88" t="str">
        <f>'Final data_for_R_analysis_Dryse'!K234</f>
        <v>R784</v>
      </c>
      <c r="J88">
        <f>IFERROR(INDEX('Green_rooibos initial weight'!$C$5:$C$2000,MATCH(H88, 'Green_rooibos initial weight'!$A$5:$A$2000,0)),"")</f>
        <v>2</v>
      </c>
      <c r="K88">
        <f>IFERROR(INDEX('Green_rooibos initial weight'!$C$5:$C$2000,MATCH(I88, 'Green_rooibos initial weight'!$A$5:$A$2000,0)),"")</f>
        <v>2.17</v>
      </c>
      <c r="L88" s="194">
        <f t="shared" si="4"/>
        <v>1.7502</v>
      </c>
      <c r="M88" s="237">
        <f>AVERAGE(Ashed_controlls!$K$1:$K$11)</f>
        <v>5.5147656768714146</v>
      </c>
      <c r="N88" s="194">
        <f t="shared" si="0"/>
        <v>1.6536805711233964</v>
      </c>
      <c r="O88" s="194">
        <f t="shared" si="5"/>
        <v>1.9201999999999999</v>
      </c>
      <c r="P88" s="237">
        <f>AVERAGE(Ashed_controlls!$K$12:$K$14)</f>
        <v>2.2816647271287041</v>
      </c>
      <c r="Q88" s="194">
        <f t="shared" si="1"/>
        <v>1.8763874739096746</v>
      </c>
      <c r="R88" s="16">
        <f>IF('Dry_Litterbag Placem_Collection'!G15="","",'Dry_Litterbag Placem_Collection'!G15)</f>
        <v>43007</v>
      </c>
      <c r="S88" s="194">
        <f>IFERROR(INDEX('Both teabags AfterDry'!$D$3:$D$2000,MATCH(H88,'Both teabags AfterDry'!$A$3:$A$2000,0)),"")</f>
        <v>1.7587999999999999</v>
      </c>
      <c r="T88" s="194">
        <f>IFERROR(INDEX('Both teabags AfterDry'!$D$3:$D$2000,MATCH(I88,'Both teabags AfterDry'!$A$3:$A$2000,0)),"")</f>
        <v>0</v>
      </c>
      <c r="U88" s="194">
        <f t="shared" si="6"/>
        <v>1.6081999999999999</v>
      </c>
      <c r="V88" s="194" t="str">
        <f t="shared" si="7"/>
        <v/>
      </c>
      <c r="W88" s="194">
        <f>IFERROR(INDEX('Ashed teabags dry'!$K$2:$K$2000,MATCH(H88,'Ashed teabags dry'!$A$2:$A$2000,0)),"")</f>
        <v>27.976482116609386</v>
      </c>
      <c r="X88" s="194">
        <f>IFERROR(INDEX('Ashed teabags dry'!$K$2:$K$2000,MATCH(I88,'Ashed teabags dry'!$A$2:$A$2000,0)),"")</f>
        <v>92.742616033754956</v>
      </c>
      <c r="Y88" s="194">
        <f t="shared" si="2"/>
        <v>1.1582822146006877</v>
      </c>
      <c r="Z88" s="194" t="str">
        <f t="shared" si="2"/>
        <v/>
      </c>
      <c r="AA88" s="194">
        <f t="shared" si="8"/>
        <v>0.29957318551923806</v>
      </c>
      <c r="AB88" s="194">
        <f t="shared" si="9"/>
        <v>0.19639477245441733</v>
      </c>
      <c r="AC88" s="194" t="str">
        <f t="shared" si="3"/>
        <v/>
      </c>
      <c r="AD88">
        <f t="shared" si="10"/>
        <v>69</v>
      </c>
      <c r="AE88" s="194">
        <f t="shared" si="11"/>
        <v>0.64421236874199761</v>
      </c>
      <c r="AF88" s="194" t="str">
        <f t="shared" si="12"/>
        <v/>
      </c>
      <c r="AG88" s="252" t="str">
        <f>IF(ISNUMBER(SEARCH("C", 'Dry_Litterbag Placem_Collection'!$T15)),"YES","NO")</f>
        <v>YES</v>
      </c>
      <c r="AH88" s="252" t="str">
        <f>IF(ISNUMBER(SEARCH("H", 'Dry_Litterbag Placem_Collection'!$T15)),"YES","NO")</f>
        <v>YES</v>
      </c>
      <c r="AI88" s="252" t="str">
        <f>IF(ISNUMBER(SEARCH("R", 'Dry_Litterbag Placem_Collection'!$T15)),"YES","NO")</f>
        <v>NO</v>
      </c>
      <c r="AJ88" s="252" t="str">
        <f>IF(ISNUMBER(SEARCH("C", 'Dry_Litterbag Placem_Collection'!$S15)),"YES","NO")</f>
        <v>YES</v>
      </c>
      <c r="AK88" s="252" t="str">
        <f>IF(ISNUMBER(SEARCH("H", 'Dry_Litterbag Placem_Collection'!$S15)),"YES","NO")</f>
        <v>NO</v>
      </c>
      <c r="AL88" s="252" t="str">
        <f>IF(ISNUMBER(SEARCH("R", 'Dry_Litterbag Placem_Collection'!$S15)),"YES","NO")</f>
        <v>NO</v>
      </c>
    </row>
    <row r="89" spans="2:38">
      <c r="B89" t="str">
        <f>'Final data_for_R_analysis_Dryse'!A15</f>
        <v>Dry</v>
      </c>
      <c r="C89" s="260">
        <f>'Final data_for_R_analysis_Dryse'!B15</f>
        <v>14</v>
      </c>
      <c r="D89" t="s">
        <v>3802</v>
      </c>
      <c r="E89" t="s">
        <v>22</v>
      </c>
      <c r="F89" s="382">
        <v>6</v>
      </c>
      <c r="G89" s="16">
        <f>IF('Dry_Litterbag Placem_Collection'!E16="","",'Dry_Litterbag Placem_Collection'!E16)</f>
        <v>42938</v>
      </c>
      <c r="H89" t="str">
        <f>'Final data_for_R_analysis_Dryse'!K15</f>
        <v>G225</v>
      </c>
      <c r="I89" t="str">
        <f>'Final data_for_R_analysis_Dryse'!K235</f>
        <v>R838</v>
      </c>
      <c r="J89">
        <f>IFERROR(INDEX('Green_rooibos initial weight'!$C$5:$C$2000,MATCH(H89, 'Green_rooibos initial weight'!$A$5:$A$2000,0)),"")</f>
        <v>2.117</v>
      </c>
      <c r="K89">
        <f>IFERROR(INDEX('Green_rooibos initial weight'!$C$5:$C$2000,MATCH(I89, 'Green_rooibos initial weight'!$A$5:$A$2000,0)),"")</f>
        <v>2.1589999999999998</v>
      </c>
      <c r="L89" s="194">
        <f t="shared" si="4"/>
        <v>1.8672</v>
      </c>
      <c r="M89" s="237">
        <f>AVERAGE(Ashed_controlls!$K$1:$K$11)</f>
        <v>5.5147656768714146</v>
      </c>
      <c r="N89" s="194">
        <f t="shared" si="0"/>
        <v>1.764228295281457</v>
      </c>
      <c r="O89" s="194">
        <f t="shared" si="5"/>
        <v>1.9091999999999998</v>
      </c>
      <c r="P89" s="237">
        <f>AVERAGE(Ashed_controlls!$K$12:$K$14)</f>
        <v>2.2816647271287041</v>
      </c>
      <c r="Q89" s="194">
        <f t="shared" si="1"/>
        <v>1.8656384570296585</v>
      </c>
      <c r="R89" s="16">
        <f>IF('Dry_Litterbag Placem_Collection'!G16="","",'Dry_Litterbag Placem_Collection'!G16)</f>
        <v>43007</v>
      </c>
      <c r="S89" s="194">
        <f>IFERROR(INDEX('Both teabags AfterDry'!$D$3:$D$2000,MATCH(H89,'Both teabags AfterDry'!$A$3:$A$2000,0)),"")</f>
        <v>1.25</v>
      </c>
      <c r="T89" s="194">
        <f>IFERROR(INDEX('Both teabags AfterDry'!$D$3:$D$2000,MATCH(I89,'Both teabags AfterDry'!$A$3:$A$2000,0)),"")</f>
        <v>1.0848</v>
      </c>
      <c r="U89" s="194">
        <f t="shared" si="6"/>
        <v>1.0993999999999999</v>
      </c>
      <c r="V89" s="194">
        <f t="shared" si="7"/>
        <v>0.93419999999999992</v>
      </c>
      <c r="W89" s="194">
        <f>IFERROR(INDEX('Ashed teabags dry'!$K$2:$K$2000,MATCH(H89,'Ashed teabags dry'!$A$2:$A$2000,0)),"")</f>
        <v>30.8701993193968</v>
      </c>
      <c r="X89" s="194">
        <f>IFERROR(INDEX('Ashed teabags dry'!$K$2:$K$2000,MATCH(I89,'Ashed teabags dry'!$A$2:$A$2000,0)),"")</f>
        <v>96.944824441403483</v>
      </c>
      <c r="Y89" s="194">
        <f t="shared" si="2"/>
        <v>0.76001302868255149</v>
      </c>
      <c r="Z89" s="194">
        <f t="shared" si="2"/>
        <v>2.854145006840858E-2</v>
      </c>
      <c r="AA89" s="194">
        <f t="shared" si="8"/>
        <v>0.56920936439164049</v>
      </c>
      <c r="AB89" s="194">
        <f t="shared" si="9"/>
        <v>0.37316338378169306</v>
      </c>
      <c r="AC89" s="194">
        <f t="shared" si="3"/>
        <v>1.5298489351388221E-2</v>
      </c>
      <c r="AD89">
        <f t="shared" si="10"/>
        <v>69</v>
      </c>
      <c r="AE89" s="194">
        <f t="shared" si="11"/>
        <v>0.32397937720707781</v>
      </c>
      <c r="AF89" s="194" t="str">
        <f t="shared" si="12"/>
        <v/>
      </c>
      <c r="AG89" s="252" t="str">
        <f>IF(ISNUMBER(SEARCH("C", 'Dry_Litterbag Placem_Collection'!$T16)),"YES","NO")</f>
        <v>YES</v>
      </c>
      <c r="AH89" s="252" t="str">
        <f>IF(ISNUMBER(SEARCH("H", 'Dry_Litterbag Placem_Collection'!$T16)),"YES","NO")</f>
        <v>YES</v>
      </c>
      <c r="AI89" s="252" t="str">
        <f>IF(ISNUMBER(SEARCH("R", 'Dry_Litterbag Placem_Collection'!$T16)),"YES","NO")</f>
        <v>NO</v>
      </c>
      <c r="AJ89" s="252" t="str">
        <f>IF(ISNUMBER(SEARCH("C", 'Dry_Litterbag Placem_Collection'!$S16)),"YES","NO")</f>
        <v>NO</v>
      </c>
      <c r="AK89" s="252" t="str">
        <f>IF(ISNUMBER(SEARCH("H", 'Dry_Litterbag Placem_Collection'!$S16)),"YES","NO")</f>
        <v>YES</v>
      </c>
      <c r="AL89" s="252" t="str">
        <f>IF(ISNUMBER(SEARCH("R", 'Dry_Litterbag Placem_Collection'!$S16)),"YES","NO")</f>
        <v>NO</v>
      </c>
    </row>
    <row r="90" spans="2:38">
      <c r="B90" t="str">
        <f>'Final data_for_R_analysis_Dryse'!A16</f>
        <v>Dry</v>
      </c>
      <c r="C90" s="260">
        <f>'Final data_for_R_analysis_Dryse'!B16</f>
        <v>15</v>
      </c>
      <c r="D90" t="s">
        <v>3802</v>
      </c>
      <c r="E90" t="s">
        <v>22</v>
      </c>
      <c r="F90" s="382">
        <v>7</v>
      </c>
      <c r="G90" s="16">
        <f>IF('Dry_Litterbag Placem_Collection'!E17="","",'Dry_Litterbag Placem_Collection'!E17)</f>
        <v>42938</v>
      </c>
      <c r="H90" t="str">
        <f>'Final data_for_R_analysis_Dryse'!K16</f>
        <v>G444</v>
      </c>
      <c r="I90" t="str">
        <f>'Final data_for_R_analysis_Dryse'!K236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4"/>
        <v>1.7761999999999998</v>
      </c>
      <c r="M90" s="237">
        <f>AVERAGE(Ashed_controlls!$K$1:$K$11)</f>
        <v>5.5147656768714146</v>
      </c>
      <c r="N90" s="194">
        <f t="shared" si="0"/>
        <v>1.6782467320474097</v>
      </c>
      <c r="O90" s="194">
        <f t="shared" si="5"/>
        <v>1.9552</v>
      </c>
      <c r="P90" s="237">
        <f>AVERAGE(Ashed_controlls!$K$12:$K$14)</f>
        <v>2.2816647271287041</v>
      </c>
      <c r="Q90" s="194">
        <f t="shared" si="1"/>
        <v>1.9105888912551796</v>
      </c>
      <c r="R90" s="16">
        <f>IF('Dry_Litterbag Placem_Collection'!G17="","",'Dry_Litterbag Placem_Collection'!G17)</f>
        <v>43007</v>
      </c>
      <c r="S90" s="194">
        <f>IFERROR(INDEX('Both teabags AfterDry'!$D$3:$D$2000,MATCH(H90,'Both teabags AfterDry'!$A$3:$A$2000,0)),"")</f>
        <v>1.3574999999999999</v>
      </c>
      <c r="T90" s="194">
        <f>IFERROR(INDEX('Both teabags AfterDry'!$D$3:$D$2000,MATCH(I90,'Both teabags AfterDry'!$A$3:$A$2000,0)),"")</f>
        <v>0.24560000000000001</v>
      </c>
      <c r="U90" s="194">
        <f t="shared" si="6"/>
        <v>1.2068999999999999</v>
      </c>
      <c r="V90" s="194">
        <f t="shared" si="7"/>
        <v>9.5000000000000001E-2</v>
      </c>
      <c r="W90" s="194">
        <f>IFERROR(INDEX('Ashed teabags dry'!$K$2:$K$2000,MATCH(H90,'Ashed teabags dry'!$A$2:$A$2000,0)),"")</f>
        <v>10.790345480359514</v>
      </c>
      <c r="X90" s="194">
        <f>IFERROR(INDEX('Ashed teabags dry'!$K$2:$K$2000,MATCH(I90,'Ashed teabags dry'!$A$2:$A$2000,0)),"")</f>
        <v>0</v>
      </c>
      <c r="Y90" s="194">
        <f t="shared" si="2"/>
        <v>1.0766713203975409</v>
      </c>
      <c r="Z90" s="194">
        <f t="shared" si="2"/>
        <v>9.5000000000000001E-2</v>
      </c>
      <c r="AA90" s="194">
        <f t="shared" si="8"/>
        <v>0.35845468974395989</v>
      </c>
      <c r="AB90" s="194">
        <f t="shared" si="9"/>
        <v>0.23499642368012572</v>
      </c>
      <c r="AC90" s="194">
        <f t="shared" si="3"/>
        <v>4.9722889332612444E-2</v>
      </c>
      <c r="AD90">
        <f t="shared" si="10"/>
        <v>69</v>
      </c>
      <c r="AE90" s="194">
        <f t="shared" si="11"/>
        <v>0.57428184115919256</v>
      </c>
      <c r="AF90" s="194" t="str">
        <f t="shared" si="12"/>
        <v/>
      </c>
      <c r="AG90" s="252" t="str">
        <f>IF(ISNUMBER(SEARCH("C", 'Dry_Litterbag Placem_Collection'!$T17)),"YES","NO")</f>
        <v>YES</v>
      </c>
      <c r="AH90" s="252" t="str">
        <f>IF(ISNUMBER(SEARCH("H", 'Dry_Litterbag Placem_Collection'!$T17)),"YES","NO")</f>
        <v>YES</v>
      </c>
      <c r="AI90" s="252" t="str">
        <f>IF(ISNUMBER(SEARCH("R", 'Dry_Litterbag Placem_Collection'!$T17)),"YES","NO")</f>
        <v>NO</v>
      </c>
      <c r="AJ90" s="252" t="str">
        <f>IF(ISNUMBER(SEARCH("C", 'Dry_Litterbag Placem_Collection'!$S17)),"YES","NO")</f>
        <v>YES</v>
      </c>
      <c r="AK90" s="252" t="str">
        <f>IF(ISNUMBER(SEARCH("H", 'Dry_Litterbag Placem_Collection'!$S17)),"YES","NO")</f>
        <v>YES</v>
      </c>
      <c r="AL90" s="252" t="str">
        <f>IF(ISNUMBER(SEARCH("R", 'Dry_Litterbag Placem_Collection'!$S17)),"YES","NO")</f>
        <v>NO</v>
      </c>
    </row>
    <row r="91" spans="2:38">
      <c r="B91" t="str">
        <f>'Final data_for_R_analysis_Dryse'!A17</f>
        <v>Dry</v>
      </c>
      <c r="C91" s="260">
        <f>'Final data_for_R_analysis_Dryse'!B17</f>
        <v>16</v>
      </c>
      <c r="D91" t="s">
        <v>3802</v>
      </c>
      <c r="E91" t="s">
        <v>22</v>
      </c>
      <c r="F91" s="382">
        <v>8</v>
      </c>
      <c r="G91" s="16">
        <f>IF('Dry_Litterbag Placem_Collection'!E18="","",'Dry_Litterbag Placem_Collection'!E18)</f>
        <v>42938</v>
      </c>
      <c r="H91" t="str">
        <f>'Final data_for_R_analysis_Dryse'!K17</f>
        <v>G376</v>
      </c>
      <c r="I91" t="str">
        <f>'Final data_for_R_analysis_Dryse'!K237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4"/>
        <v>1.7831999999999999</v>
      </c>
      <c r="M91" s="237">
        <f>AVERAGE(Ashed_controlls!$K$1:$K$11)</f>
        <v>5.5147656768714146</v>
      </c>
      <c r="N91" s="194">
        <f t="shared" si="0"/>
        <v>1.6848606984500289</v>
      </c>
      <c r="O91" s="194">
        <f t="shared" si="5"/>
        <v>1.9622000000000002</v>
      </c>
      <c r="P91" s="237">
        <f>AVERAGE(Ashed_controlls!$K$12:$K$14)</f>
        <v>2.2816647271287041</v>
      </c>
      <c r="Q91" s="194">
        <f t="shared" si="1"/>
        <v>1.9174291747242806</v>
      </c>
      <c r="R91" s="16">
        <f>IF('Dry_Litterbag Placem_Collection'!G18="","",'Dry_Litterbag Placem_Collection'!G18)</f>
        <v>43007</v>
      </c>
      <c r="S91" s="194" t="str">
        <f>IFERROR(INDEX('Both teabags AfterDry'!$D$3:$D$2000,MATCH(H91,'Both teabags AfterDry'!$A$3:$A$2000,0)),"")</f>
        <v/>
      </c>
      <c r="T91" s="194" t="str">
        <f>IFERROR(INDEX('Both teabags AfterDry'!$D$3:$D$2000,MATCH(I91,'Both teabags AfterDry'!$A$3:$A$2000,0)),"")</f>
        <v/>
      </c>
      <c r="U91" s="194" t="str">
        <f t="shared" si="6"/>
        <v/>
      </c>
      <c r="V91" s="194" t="str">
        <f t="shared" si="7"/>
        <v/>
      </c>
      <c r="W91" s="194" t="str">
        <f>IFERROR(INDEX('Ashed teabags dry'!$K$2:$K$2000,MATCH(H91,'Ashed teabags dry'!$A$2:$A$2000,0)),"")</f>
        <v/>
      </c>
      <c r="X91" s="194" t="str">
        <f>IFERROR(INDEX('Ashed teabags dry'!$K$2:$K$2000,MATCH(I91,'Ashed teabags dry'!$A$2:$A$2000,0)),"")</f>
        <v/>
      </c>
      <c r="Y91" s="194" t="str">
        <f t="shared" si="2"/>
        <v/>
      </c>
      <c r="Z91" s="194" t="str">
        <f t="shared" si="2"/>
        <v/>
      </c>
      <c r="AA91" s="194" t="str">
        <f t="shared" si="8"/>
        <v/>
      </c>
      <c r="AB91" s="194" t="str">
        <f t="shared" si="9"/>
        <v/>
      </c>
      <c r="AC91" s="194" t="str">
        <f t="shared" si="3"/>
        <v/>
      </c>
      <c r="AD91">
        <f t="shared" si="10"/>
        <v>69</v>
      </c>
      <c r="AE91" s="194" t="str">
        <f t="shared" si="11"/>
        <v/>
      </c>
      <c r="AF91" s="194" t="str">
        <f t="shared" si="12"/>
        <v/>
      </c>
      <c r="AG91" s="252" t="str">
        <f>IF(ISNUMBER(SEARCH("C", 'Dry_Litterbag Placem_Collection'!$T18)),"YES","NO")</f>
        <v>YES</v>
      </c>
      <c r="AH91" s="252" t="str">
        <f>IF(ISNUMBER(SEARCH("H", 'Dry_Litterbag Placem_Collection'!$T18)),"YES","NO")</f>
        <v>YES</v>
      </c>
      <c r="AI91" s="252" t="str">
        <f>IF(ISNUMBER(SEARCH("R", 'Dry_Litterbag Placem_Collection'!$T18)),"YES","NO")</f>
        <v>NO</v>
      </c>
      <c r="AJ91" s="252" t="str">
        <f>IF(ISNUMBER(SEARCH("C", 'Dry_Litterbag Placem_Collection'!$S18)),"YES","NO")</f>
        <v>YES</v>
      </c>
      <c r="AK91" s="252" t="str">
        <f>IF(ISNUMBER(SEARCH("H", 'Dry_Litterbag Placem_Collection'!$S18)),"YES","NO")</f>
        <v>YES</v>
      </c>
      <c r="AL91" s="252" t="str">
        <f>IF(ISNUMBER(SEARCH("R", 'Dry_Litterbag Placem_Collection'!$S18)),"YES","NO")</f>
        <v>NO</v>
      </c>
    </row>
    <row r="92" spans="2:38">
      <c r="B92" t="str">
        <f>'Final data_for_R_analysis_Dryse'!A18</f>
        <v>Dry</v>
      </c>
      <c r="C92" s="260">
        <f>'Final data_for_R_analysis_Dryse'!B18</f>
        <v>17</v>
      </c>
      <c r="D92" t="s">
        <v>3803</v>
      </c>
      <c r="E92" t="s">
        <v>22</v>
      </c>
      <c r="F92" s="381">
        <v>1</v>
      </c>
      <c r="G92" s="16">
        <f>IF('Dry_Litterbag Placem_Collection'!E19="","",'Dry_Litterbag Placem_Collection'!E19)</f>
        <v>42936</v>
      </c>
      <c r="H92" t="str">
        <f>'Final data_for_R_analysis_Dryse'!K18</f>
        <v>G209</v>
      </c>
      <c r="I92" t="str">
        <f>'Final data_for_R_analysis_Dryse'!K238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4"/>
        <v>1.8662000000000001</v>
      </c>
      <c r="M92" s="237">
        <f>AVERAGE(Ashed_controlls!$K$1:$K$11)</f>
        <v>5.5147656768714146</v>
      </c>
      <c r="N92" s="194">
        <f t="shared" si="0"/>
        <v>1.7632834429382258</v>
      </c>
      <c r="O92" s="194">
        <f t="shared" si="5"/>
        <v>1.9161999999999999</v>
      </c>
      <c r="P92" s="237">
        <f>AVERAGE(Ashed_controlls!$K$12:$K$14)</f>
        <v>2.2816647271287041</v>
      </c>
      <c r="Q92" s="194">
        <f t="shared" si="1"/>
        <v>1.8724787404987597</v>
      </c>
      <c r="R92" s="16">
        <f>IF('Dry_Litterbag Placem_Collection'!G19="","",'Dry_Litterbag Placem_Collection'!G19)</f>
        <v>43007</v>
      </c>
      <c r="S92" s="194">
        <f>IFERROR(INDEX('Both teabags AfterDry'!$D$3:$D$2000,MATCH(H92,'Both teabags AfterDry'!$A$3:$A$2000,0)),"")</f>
        <v>1.9087000000000001</v>
      </c>
      <c r="T92" s="194">
        <f>IFERROR(INDEX('Both teabags AfterDry'!$D$3:$D$2000,MATCH(I92,'Both teabags AfterDry'!$A$3:$A$2000,0)),"")</f>
        <v>1.9086000000000001</v>
      </c>
      <c r="U92" s="194">
        <f t="shared" si="6"/>
        <v>1.7581</v>
      </c>
      <c r="V92" s="194">
        <f t="shared" si="7"/>
        <v>1.758</v>
      </c>
      <c r="W92" s="194">
        <f>IFERROR(INDEX('Ashed teabags dry'!$K$2:$K$2000,MATCH(H92,'Ashed teabags dry'!$A$2:$A$2000,0)),"")</f>
        <v>5.4283290924516674</v>
      </c>
      <c r="X92" s="194">
        <f>IFERROR(INDEX('Ashed teabags dry'!$K$2:$K$2000,MATCH(I92,'Ashed teabags dry'!$A$2:$A$2000,0)),"")</f>
        <v>3.214971209212738</v>
      </c>
      <c r="Y92" s="194">
        <f t="shared" si="2"/>
        <v>1.6626645462256073</v>
      </c>
      <c r="Z92" s="194">
        <f t="shared" si="2"/>
        <v>1.7014808061420401</v>
      </c>
      <c r="AA92" s="194">
        <f t="shared" si="8"/>
        <v>5.7063370676783243E-2</v>
      </c>
      <c r="AB92" s="194">
        <f t="shared" si="9"/>
        <v>3.7409715693093072E-2</v>
      </c>
      <c r="AC92" s="194">
        <f t="shared" si="3"/>
        <v>0.90867830397306837</v>
      </c>
      <c r="AD92">
        <f t="shared" si="10"/>
        <v>71</v>
      </c>
      <c r="AE92" s="194">
        <f t="shared" si="11"/>
        <v>0.93222877591830966</v>
      </c>
      <c r="AF92" s="194" t="str">
        <f t="shared" si="12"/>
        <v/>
      </c>
      <c r="AG92" s="252" t="str">
        <f>IF(ISNUMBER(SEARCH("C", 'Dry_Litterbag Placem_Collection'!$T19)),"YES","NO")</f>
        <v>NO</v>
      </c>
      <c r="AH92" s="252" t="str">
        <f>IF(ISNUMBER(SEARCH("H", 'Dry_Litterbag Placem_Collection'!$T19)),"YES","NO")</f>
        <v>NO</v>
      </c>
      <c r="AI92" s="252" t="str">
        <f>IF(ISNUMBER(SEARCH("R", 'Dry_Litterbag Placem_Collection'!$T19)),"YES","NO")</f>
        <v>NO</v>
      </c>
      <c r="AJ92" s="252" t="str">
        <f>IF(ISNUMBER(SEARCH("C", 'Dry_Litterbag Placem_Collection'!$S19)),"YES","NO")</f>
        <v>NO</v>
      </c>
      <c r="AK92" s="252" t="str">
        <f>IF(ISNUMBER(SEARCH("H", 'Dry_Litterbag Placem_Collection'!$S19)),"YES","NO")</f>
        <v>NO</v>
      </c>
      <c r="AL92" s="252" t="str">
        <f>IF(ISNUMBER(SEARCH("R", 'Dry_Litterbag Placem_Collection'!$S19)),"YES","NO")</f>
        <v>NO</v>
      </c>
    </row>
    <row r="93" spans="2:38">
      <c r="B93" t="str">
        <f>'Final data_for_R_analysis_Dryse'!A19</f>
        <v>Dry</v>
      </c>
      <c r="C93" s="260">
        <f>'Final data_for_R_analysis_Dryse'!B19</f>
        <v>18</v>
      </c>
      <c r="D93" t="s">
        <v>3803</v>
      </c>
      <c r="E93" t="s">
        <v>22</v>
      </c>
      <c r="F93" s="381">
        <v>2</v>
      </c>
      <c r="G93" s="16">
        <f>IF('Dry_Litterbag Placem_Collection'!E20="","",'Dry_Litterbag Placem_Collection'!E20)</f>
        <v>42936</v>
      </c>
      <c r="H93" t="str">
        <f>'Final data_for_R_analysis_Dryse'!K19</f>
        <v>G10</v>
      </c>
      <c r="I93" t="str">
        <f>'Final data_for_R_analysis_Dryse'!K239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4"/>
        <v>1.7212000000000001</v>
      </c>
      <c r="M93" s="237">
        <f>AVERAGE(Ashed_controlls!$K$1:$K$11)</f>
        <v>5.5147656768714146</v>
      </c>
      <c r="N93" s="194">
        <f t="shared" si="0"/>
        <v>1.6262798531696894</v>
      </c>
      <c r="O93" s="194">
        <f t="shared" si="5"/>
        <v>1.9691999999999998</v>
      </c>
      <c r="P93" s="237">
        <f>AVERAGE(Ashed_controlls!$K$12:$K$14)</f>
        <v>2.2816647271287041</v>
      </c>
      <c r="Q93" s="194">
        <f t="shared" si="1"/>
        <v>1.9242694581933815</v>
      </c>
      <c r="R93" s="16">
        <f>IF('Dry_Litterbag Placem_Collection'!G20="","",'Dry_Litterbag Placem_Collection'!G20)</f>
        <v>43007</v>
      </c>
      <c r="S93" s="194">
        <f>IFERROR(INDEX('Both teabags AfterDry'!$D$3:$D$2000,MATCH(H93,'Both teabags AfterDry'!$A$3:$A$2000,0)),"")</f>
        <v>1.7706999999999999</v>
      </c>
      <c r="T93" s="194">
        <f>IFERROR(INDEX('Both teabags AfterDry'!$D$3:$D$2000,MATCH(I93,'Both teabags AfterDry'!$A$3:$A$2000,0)),"")</f>
        <v>1.9874000000000001</v>
      </c>
      <c r="U93" s="194">
        <f t="shared" si="6"/>
        <v>1.6200999999999999</v>
      </c>
      <c r="V93" s="194">
        <f t="shared" si="7"/>
        <v>1.8368</v>
      </c>
      <c r="W93" s="194">
        <f>IFERROR(INDEX('Ashed teabags dry'!$K$2:$K$2000,MATCH(H93,'Ashed teabags dry'!$A$2:$A$2000,0)),"")</f>
        <v>5.8337384540594233</v>
      </c>
      <c r="X93" s="194">
        <f>IFERROR(INDEX('Ashed teabags dry'!$K$2:$K$2000,MATCH(I93,'Ashed teabags dry'!$A$2:$A$2000,0)),"")</f>
        <v>2.4777006937559349</v>
      </c>
      <c r="Y93" s="194">
        <f t="shared" si="2"/>
        <v>1.5255876033057831</v>
      </c>
      <c r="Z93" s="194">
        <f t="shared" si="2"/>
        <v>1.791289593657091</v>
      </c>
      <c r="AA93" s="194">
        <f t="shared" si="8"/>
        <v>6.1915696531351982E-2</v>
      </c>
      <c r="AB93" s="194">
        <f t="shared" si="9"/>
        <v>4.0590812927917212E-2</v>
      </c>
      <c r="AC93" s="194">
        <f t="shared" si="3"/>
        <v>0.93089332475237641</v>
      </c>
      <c r="AD93">
        <f t="shared" si="10"/>
        <v>71</v>
      </c>
      <c r="AE93" s="194">
        <f t="shared" si="11"/>
        <v>0.92646591860884564</v>
      </c>
      <c r="AF93" s="194" t="str">
        <f t="shared" si="12"/>
        <v/>
      </c>
      <c r="AG93" s="252" t="str">
        <f>IF(ISNUMBER(SEARCH("C", 'Dry_Litterbag Placem_Collection'!$T20)),"YES","NO")</f>
        <v>NO</v>
      </c>
      <c r="AH93" s="252" t="str">
        <f>IF(ISNUMBER(SEARCH("H", 'Dry_Litterbag Placem_Collection'!$T20)),"YES","NO")</f>
        <v>YES</v>
      </c>
      <c r="AI93" s="252" t="str">
        <f>IF(ISNUMBER(SEARCH("R", 'Dry_Litterbag Placem_Collection'!$T20)),"YES","NO")</f>
        <v>NO</v>
      </c>
      <c r="AJ93" s="252" t="str">
        <f>IF(ISNUMBER(SEARCH("C", 'Dry_Litterbag Placem_Collection'!$S20)),"YES","NO")</f>
        <v>NO</v>
      </c>
      <c r="AK93" s="252" t="str">
        <f>IF(ISNUMBER(SEARCH("H", 'Dry_Litterbag Placem_Collection'!$S20)),"YES","NO")</f>
        <v>NO</v>
      </c>
      <c r="AL93" s="252" t="str">
        <f>IF(ISNUMBER(SEARCH("R", 'Dry_Litterbag Placem_Collection'!$S20)),"YES","NO")</f>
        <v>NO</v>
      </c>
    </row>
    <row r="94" spans="2:38">
      <c r="B94" t="str">
        <f>'Final data_for_R_analysis_Dryse'!A20</f>
        <v>Dry</v>
      </c>
      <c r="C94" s="260">
        <f>'Final data_for_R_analysis_Dryse'!B20</f>
        <v>19</v>
      </c>
      <c r="D94" t="s">
        <v>3803</v>
      </c>
      <c r="E94" t="s">
        <v>22</v>
      </c>
      <c r="F94" s="381">
        <v>3</v>
      </c>
      <c r="G94" s="16">
        <f>IF('Dry_Litterbag Placem_Collection'!E21="","",'Dry_Litterbag Placem_Collection'!E21)</f>
        <v>42936</v>
      </c>
      <c r="H94" t="str">
        <f>'Final data_for_R_analysis_Dryse'!K20</f>
        <v>G190</v>
      </c>
      <c r="I94" t="str">
        <f>'Final data_for_R_analysis_Dryse'!K240</f>
        <v>R749</v>
      </c>
      <c r="J94">
        <f>IFERROR(INDEX('Green_rooibos initial weight'!$C$5:$C$2000,MATCH(H94, 'Green_rooibos initial weight'!$A$5:$A$2000,0)),"")</f>
        <v>1.909</v>
      </c>
      <c r="K94">
        <f>IFERROR(INDEX('Green_rooibos initial weight'!$C$5:$C$2000,MATCH(I94, 'Green_rooibos initial weight'!$A$5:$A$2000,0)),"")</f>
        <v>2.2050000000000001</v>
      </c>
      <c r="L94" s="194">
        <f t="shared" si="4"/>
        <v>1.6592</v>
      </c>
      <c r="M94" s="237">
        <f>AVERAGE(Ashed_controlls!$K$1:$K$11)</f>
        <v>5.5147656768714146</v>
      </c>
      <c r="N94" s="194">
        <f t="shared" si="0"/>
        <v>1.5676990078893496</v>
      </c>
      <c r="O94" s="194">
        <f t="shared" si="5"/>
        <v>1.9552</v>
      </c>
      <c r="P94" s="237">
        <f>AVERAGE(Ashed_controlls!$K$12:$K$14)</f>
        <v>2.2816647271287041</v>
      </c>
      <c r="Q94" s="194">
        <f t="shared" si="1"/>
        <v>1.9105888912551796</v>
      </c>
      <c r="R94" s="16">
        <f>IF('Dry_Litterbag Placem_Collection'!G21="","",'Dry_Litterbag Placem_Collection'!G21)</f>
        <v>43007</v>
      </c>
      <c r="S94" s="194">
        <f>IFERROR(INDEX('Both teabags AfterDry'!$D$3:$D$2000,MATCH(H94,'Both teabags AfterDry'!$A$3:$A$2000,0)),"")</f>
        <v>1.7041999999999999</v>
      </c>
      <c r="T94" s="194">
        <f>IFERROR(INDEX('Both teabags AfterDry'!$D$3:$D$2000,MATCH(I94,'Both teabags AfterDry'!$A$3:$A$2000,0)),"")</f>
        <v>1.9492</v>
      </c>
      <c r="U94" s="194">
        <f t="shared" si="6"/>
        <v>1.5535999999999999</v>
      </c>
      <c r="V94" s="194">
        <f t="shared" si="7"/>
        <v>1.7986</v>
      </c>
      <c r="W94" s="194">
        <f>IFERROR(INDEX('Ashed teabags dry'!$K$2:$K$2000,MATCH(H94,'Ashed teabags dry'!$A$2:$A$2000,0)),"")</f>
        <v>6.0311284046705405</v>
      </c>
      <c r="X94" s="194">
        <f>IFERROR(INDEX('Ashed teabags dry'!$K$2:$K$2000,MATCH(I94,'Ashed teabags dry'!$A$2:$A$2000,0)),"")</f>
        <v>3.2445520581110632</v>
      </c>
      <c r="Y94" s="194">
        <f t="shared" si="2"/>
        <v>1.4599003891050384</v>
      </c>
      <c r="Z94" s="194">
        <f t="shared" si="2"/>
        <v>1.7402434866828145</v>
      </c>
      <c r="AA94" s="194">
        <f t="shared" si="8"/>
        <v>6.8762318686062307E-2</v>
      </c>
      <c r="AB94" s="194">
        <f t="shared" si="9"/>
        <v>4.5079334815565759E-2</v>
      </c>
      <c r="AC94" s="194">
        <f t="shared" si="3"/>
        <v>0.91084141368557048</v>
      </c>
      <c r="AD94">
        <f t="shared" si="10"/>
        <v>71</v>
      </c>
      <c r="AE94" s="194">
        <f t="shared" si="11"/>
        <v>0.91833453837759826</v>
      </c>
      <c r="AF94" s="194" t="str">
        <f t="shared" si="12"/>
        <v/>
      </c>
      <c r="AG94" s="252" t="str">
        <f>IF(ISNUMBER(SEARCH("C", 'Dry_Litterbag Placem_Collection'!$T21)),"YES","NO")</f>
        <v>NO</v>
      </c>
      <c r="AH94" s="252" t="str">
        <f>IF(ISNUMBER(SEARCH("H", 'Dry_Litterbag Placem_Collection'!$T21)),"YES","NO")</f>
        <v>NO</v>
      </c>
      <c r="AI94" s="252" t="str">
        <f>IF(ISNUMBER(SEARCH("R", 'Dry_Litterbag Placem_Collection'!$T21)),"YES","NO")</f>
        <v>NO</v>
      </c>
      <c r="AJ94" s="252" t="str">
        <f>IF(ISNUMBER(SEARCH("C", 'Dry_Litterbag Placem_Collection'!$S21)),"YES","NO")</f>
        <v>NO</v>
      </c>
      <c r="AK94" s="252" t="str">
        <f>IF(ISNUMBER(SEARCH("H", 'Dry_Litterbag Placem_Collection'!$S21)),"YES","NO")</f>
        <v>YES</v>
      </c>
      <c r="AL94" s="252" t="str">
        <f>IF(ISNUMBER(SEARCH("R", 'Dry_Litterbag Placem_Collection'!$S21)),"YES","NO")</f>
        <v>NO</v>
      </c>
    </row>
    <row r="95" spans="2:38">
      <c r="B95" t="str">
        <f>'Final data_for_R_analysis_Dryse'!A21</f>
        <v>Dry</v>
      </c>
      <c r="C95" s="260">
        <f>'Final data_for_R_analysis_Dryse'!B21</f>
        <v>20</v>
      </c>
      <c r="D95" t="s">
        <v>3803</v>
      </c>
      <c r="E95" t="s">
        <v>22</v>
      </c>
      <c r="F95" s="382">
        <v>4</v>
      </c>
      <c r="G95" s="16">
        <f>IF('Dry_Litterbag Placem_Collection'!E22="","",'Dry_Litterbag Placem_Collection'!E22)</f>
        <v>42936</v>
      </c>
      <c r="H95" t="str">
        <f>'Final data_for_R_analysis_Dryse'!K21</f>
        <v>G38</v>
      </c>
      <c r="I95" t="str">
        <f>'Final data_for_R_analysis_Dryse'!K241</f>
        <v>R632</v>
      </c>
      <c r="J95">
        <f>IFERROR(INDEX('Green_rooibos initial weight'!$C$5:$C$2000,MATCH(H95, 'Green_rooibos initial weight'!$A$5:$A$2000,0)),"")</f>
        <v>1.93</v>
      </c>
      <c r="K95">
        <f>IFERROR(INDEX('Green_rooibos initial weight'!$C$5:$C$2000,MATCH(I95, 'Green_rooibos initial weight'!$A$5:$A$2000,0)),"")</f>
        <v>2.1269999999999998</v>
      </c>
      <c r="L95" s="194">
        <f t="shared" si="4"/>
        <v>1.6801999999999999</v>
      </c>
      <c r="M95" s="237">
        <f>AVERAGE(Ashed_controlls!$K$1:$K$11)</f>
        <v>5.5147656768714146</v>
      </c>
      <c r="N95" s="194">
        <f t="shared" si="0"/>
        <v>1.5875409070972064</v>
      </c>
      <c r="O95" s="194">
        <f t="shared" si="5"/>
        <v>1.8771999999999998</v>
      </c>
      <c r="P95" s="237">
        <f>AVERAGE(Ashed_controlls!$K$12:$K$14)</f>
        <v>2.2816647271287041</v>
      </c>
      <c r="Q95" s="194">
        <f t="shared" si="1"/>
        <v>1.8343685897423396</v>
      </c>
      <c r="R95" s="16">
        <f>IF('Dry_Litterbag Placem_Collection'!G22="","",'Dry_Litterbag Placem_Collection'!G22)</f>
        <v>43007</v>
      </c>
      <c r="S95" s="194">
        <f>IFERROR(INDEX('Both teabags AfterDry'!$D$3:$D$2000,MATCH(H95,'Both teabags AfterDry'!$A$3:$A$2000,0)),"")</f>
        <v>1.6738</v>
      </c>
      <c r="T95" s="194">
        <f>IFERROR(INDEX('Both teabags AfterDry'!$D$3:$D$2000,MATCH(I95,'Both teabags AfterDry'!$A$3:$A$2000,0)),"")</f>
        <v>1.9161999999999999</v>
      </c>
      <c r="U95" s="194">
        <f t="shared" si="6"/>
        <v>1.5231999999999999</v>
      </c>
      <c r="V95" s="194">
        <f t="shared" si="7"/>
        <v>1.7655999999999998</v>
      </c>
      <c r="W95" s="194">
        <f>IFERROR(INDEX('Ashed teabags dry'!$K$2:$K$2000,MATCH(H95,'Ashed teabags dry'!$A$2:$A$2000,0)),"")</f>
        <v>6.723084156088639</v>
      </c>
      <c r="X95" s="194">
        <f>IFERROR(INDEX('Ashed teabags dry'!$K$2:$K$2000,MATCH(I95,'Ashed teabags dry'!$A$2:$A$2000,0)),"")</f>
        <v>3.0104712041882107</v>
      </c>
      <c r="Y95" s="194">
        <f t="shared" si="2"/>
        <v>1.4207939821344577</v>
      </c>
      <c r="Z95" s="194">
        <f t="shared" si="2"/>
        <v>1.7124471204188527</v>
      </c>
      <c r="AA95" s="194">
        <f t="shared" si="8"/>
        <v>0.10503472648628809</v>
      </c>
      <c r="AB95" s="194">
        <f t="shared" si="9"/>
        <v>6.8858870570583167E-2</v>
      </c>
      <c r="AC95" s="194">
        <f t="shared" si="3"/>
        <v>0.93353491222796592</v>
      </c>
      <c r="AD95">
        <f t="shared" si="10"/>
        <v>71</v>
      </c>
      <c r="AE95" s="194">
        <f t="shared" si="11"/>
        <v>0.87525566925618992</v>
      </c>
      <c r="AF95" s="194">
        <f t="shared" si="12"/>
        <v>4.7312453244476721E-2</v>
      </c>
      <c r="AG95" s="252" t="str">
        <f>IF(ISNUMBER(SEARCH("C", 'Dry_Litterbag Placem_Collection'!$T22)),"YES","NO")</f>
        <v>NO</v>
      </c>
      <c r="AH95" s="252" t="str">
        <f>IF(ISNUMBER(SEARCH("H", 'Dry_Litterbag Placem_Collection'!$T22)),"YES","NO")</f>
        <v>NO</v>
      </c>
      <c r="AI95" s="252" t="str">
        <f>IF(ISNUMBER(SEARCH("R", 'Dry_Litterbag Placem_Collection'!$T22)),"YES","NO")</f>
        <v>NO</v>
      </c>
      <c r="AJ95" s="252" t="str">
        <f>IF(ISNUMBER(SEARCH("C", 'Dry_Litterbag Placem_Collection'!$S22)),"YES","NO")</f>
        <v>NO</v>
      </c>
      <c r="AK95" s="252" t="str">
        <f>IF(ISNUMBER(SEARCH("H", 'Dry_Litterbag Placem_Collection'!$S22)),"YES","NO")</f>
        <v>YES</v>
      </c>
      <c r="AL95" s="252" t="str">
        <f>IF(ISNUMBER(SEARCH("R", 'Dry_Litterbag Placem_Collection'!$S22)),"YES","NO")</f>
        <v>NO</v>
      </c>
    </row>
    <row r="96" spans="2:38">
      <c r="B96" t="str">
        <f>'Final data_for_R_analysis_Dryse'!A22</f>
        <v>Dry</v>
      </c>
      <c r="C96" s="260">
        <f>'Final data_for_R_analysis_Dryse'!B22</f>
        <v>21</v>
      </c>
      <c r="D96" t="s">
        <v>3803</v>
      </c>
      <c r="E96" t="s">
        <v>22</v>
      </c>
      <c r="F96" s="382">
        <v>5</v>
      </c>
      <c r="G96" s="16">
        <f>IF('Dry_Litterbag Placem_Collection'!E23="","",'Dry_Litterbag Placem_Collection'!E23)</f>
        <v>42936</v>
      </c>
      <c r="H96" t="str">
        <f>'Final data_for_R_analysis_Dryse'!K22</f>
        <v>G468</v>
      </c>
      <c r="I96" t="str">
        <f>'Final data_for_R_analysis_Dryse'!K242</f>
        <v>R630</v>
      </c>
      <c r="J96">
        <f>IFERROR(INDEX('Green_rooibos initial weight'!$C$5:$C$2000,MATCH(H96, 'Green_rooibos initial weight'!$A$5:$A$2000,0)),"")</f>
        <v>2.1309999999999998</v>
      </c>
      <c r="K96">
        <f>IFERROR(INDEX('Green_rooibos initial weight'!$C$5:$C$2000,MATCH(I96, 'Green_rooibos initial weight'!$A$5:$A$2000,0)),"")</f>
        <v>2.13</v>
      </c>
      <c r="L96" s="194">
        <f t="shared" si="4"/>
        <v>1.8811999999999998</v>
      </c>
      <c r="M96" s="237">
        <f>AVERAGE(Ashed_controlls!$K$1:$K$11)</f>
        <v>5.5147656768714146</v>
      </c>
      <c r="N96" s="194">
        <f t="shared" si="0"/>
        <v>1.7774562280866948</v>
      </c>
      <c r="O96" s="194">
        <f t="shared" si="5"/>
        <v>1.8801999999999999</v>
      </c>
      <c r="P96" s="237">
        <f>AVERAGE(Ashed_controlls!$K$12:$K$14)</f>
        <v>2.2816647271287041</v>
      </c>
      <c r="Q96" s="194">
        <f t="shared" si="1"/>
        <v>1.837300139800526</v>
      </c>
      <c r="R96" s="16">
        <f>IF('Dry_Litterbag Placem_Collection'!G23="","",'Dry_Litterbag Placem_Collection'!G23)</f>
        <v>43007</v>
      </c>
      <c r="S96" s="194" t="str">
        <f>IFERROR(INDEX('Both teabags AfterDry'!$D$3:$D$2000,MATCH(H96,'Both teabags AfterDry'!$A$3:$A$2000,0)),"")</f>
        <v/>
      </c>
      <c r="T96" s="194" t="str">
        <f>IFERROR(INDEX('Both teabags AfterDry'!$D$3:$D$2000,MATCH(I96,'Both teabags AfterDry'!$A$3:$A$2000,0)),"")</f>
        <v/>
      </c>
      <c r="U96" s="194" t="str">
        <f t="shared" si="6"/>
        <v/>
      </c>
      <c r="V96" s="194" t="str">
        <f t="shared" si="7"/>
        <v/>
      </c>
      <c r="W96" s="194" t="str">
        <f>IFERROR(INDEX('Ashed teabags dry'!$K$2:$K$2000,MATCH(H96,'Ashed teabags dry'!$A$2:$A$2000,0)),"")</f>
        <v/>
      </c>
      <c r="X96" s="194" t="str">
        <f>IFERROR(INDEX('Ashed teabags dry'!$K$2:$K$2000,MATCH(I96,'Ashed teabags dry'!$A$2:$A$2000,0)),"")</f>
        <v/>
      </c>
      <c r="Y96" s="194" t="str">
        <f t="shared" si="2"/>
        <v/>
      </c>
      <c r="Z96" s="194" t="str">
        <f t="shared" si="2"/>
        <v/>
      </c>
      <c r="AA96" s="194" t="str">
        <f t="shared" si="8"/>
        <v/>
      </c>
      <c r="AB96" s="194" t="str">
        <f t="shared" si="9"/>
        <v/>
      </c>
      <c r="AC96" s="194" t="str">
        <f t="shared" si="3"/>
        <v/>
      </c>
      <c r="AD96">
        <f t="shared" si="10"/>
        <v>71</v>
      </c>
      <c r="AE96" s="194" t="str">
        <f t="shared" si="11"/>
        <v/>
      </c>
      <c r="AF96" s="194" t="str">
        <f t="shared" si="12"/>
        <v/>
      </c>
      <c r="AG96" s="252" t="str">
        <f>IF(ISNUMBER(SEARCH("C", 'Dry_Litterbag Placem_Collection'!$T23)),"YES","NO")</f>
        <v>NO</v>
      </c>
      <c r="AH96" s="252" t="str">
        <f>IF(ISNUMBER(SEARCH("H", 'Dry_Litterbag Placem_Collection'!$T23)),"YES","NO")</f>
        <v>NO</v>
      </c>
      <c r="AI96" s="252" t="str">
        <f>IF(ISNUMBER(SEARCH("R", 'Dry_Litterbag Placem_Collection'!$T23)),"YES","NO")</f>
        <v>NO</v>
      </c>
      <c r="AJ96" s="252" t="str">
        <f>IF(ISNUMBER(SEARCH("C", 'Dry_Litterbag Placem_Collection'!$S23)),"YES","NO")</f>
        <v>NO</v>
      </c>
      <c r="AK96" s="252" t="str">
        <f>IF(ISNUMBER(SEARCH("H", 'Dry_Litterbag Placem_Collection'!$S23)),"YES","NO")</f>
        <v>NO</v>
      </c>
      <c r="AL96" s="252" t="str">
        <f>IF(ISNUMBER(SEARCH("R", 'Dry_Litterbag Placem_Collection'!$S23)),"YES","NO")</f>
        <v>NO</v>
      </c>
    </row>
    <row r="97" spans="2:38">
      <c r="B97" t="str">
        <f>'Final data_for_R_analysis_Dryse'!A23</f>
        <v>Dry</v>
      </c>
      <c r="C97" s="260">
        <f>'Final data_for_R_analysis_Dryse'!B23</f>
        <v>22</v>
      </c>
      <c r="D97" t="s">
        <v>3803</v>
      </c>
      <c r="E97" t="s">
        <v>22</v>
      </c>
      <c r="F97" s="382">
        <v>6</v>
      </c>
      <c r="G97" s="16">
        <f>IF('Dry_Litterbag Placem_Collection'!E24="","",'Dry_Litterbag Placem_Collection'!E24)</f>
        <v>42936</v>
      </c>
      <c r="H97" t="str">
        <f>'Final data_for_R_analysis_Dryse'!K23</f>
        <v>G8</v>
      </c>
      <c r="I97" t="str">
        <f>'Final data_for_R_analysis_Dryse'!K243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4"/>
        <v>1.7711999999999999</v>
      </c>
      <c r="M97" s="237">
        <f>AVERAGE(Ashed_controlls!$K$1:$K$11)</f>
        <v>5.5147656768714146</v>
      </c>
      <c r="N97" s="194">
        <f t="shared" si="0"/>
        <v>1.6735224703312535</v>
      </c>
      <c r="O97" s="194">
        <f t="shared" si="5"/>
        <v>2.0061999999999998</v>
      </c>
      <c r="P97" s="237">
        <f>AVERAGE(Ashed_controlls!$K$12:$K$14)</f>
        <v>2.2816647271287041</v>
      </c>
      <c r="Q97" s="194">
        <f t="shared" si="1"/>
        <v>1.9604252422443438</v>
      </c>
      <c r="R97" s="16">
        <f>IF('Dry_Litterbag Placem_Collection'!G24="","",'Dry_Litterbag Placem_Collection'!G24)</f>
        <v>43007</v>
      </c>
      <c r="S97" s="194">
        <f>IFERROR(INDEX('Both teabags AfterDry'!$D$3:$D$2000,MATCH(H97,'Both teabags AfterDry'!$A$3:$A$2000,0)),"")</f>
        <v>1.4722999999999999</v>
      </c>
      <c r="T97" s="194">
        <f>IFERROR(INDEX('Both teabags AfterDry'!$D$3:$D$2000,MATCH(I97,'Both teabags AfterDry'!$A$3:$A$2000,0)),"")</f>
        <v>1.8997999999999999</v>
      </c>
      <c r="U97" s="194">
        <f t="shared" si="6"/>
        <v>1.3216999999999999</v>
      </c>
      <c r="V97" s="194">
        <f t="shared" si="7"/>
        <v>1.7491999999999999</v>
      </c>
      <c r="W97" s="194">
        <f>IFERROR(INDEX('Ashed teabags dry'!$K$2:$K$2000,MATCH(H97,'Ashed teabags dry'!$A$2:$A$2000,0)),"")</f>
        <v>8.7882822902793247</v>
      </c>
      <c r="X97" s="194">
        <f>IFERROR(INDEX('Ashed teabags dry'!$K$2:$K$2000,MATCH(I97,'Ashed teabags dry'!$A$2:$A$2000,0)),"")</f>
        <v>3.508771929824448</v>
      </c>
      <c r="Y97" s="194">
        <f t="shared" si="2"/>
        <v>1.2055452729693781</v>
      </c>
      <c r="Z97" s="194">
        <f t="shared" si="2"/>
        <v>1.6878245614035106</v>
      </c>
      <c r="AA97" s="194">
        <f t="shared" si="8"/>
        <v>0.27963604054222524</v>
      </c>
      <c r="AB97" s="194">
        <f t="shared" si="9"/>
        <v>0.18332434011794338</v>
      </c>
      <c r="AC97" s="194">
        <f t="shared" si="3"/>
        <v>0.86094818870585799</v>
      </c>
      <c r="AD97">
        <f t="shared" si="10"/>
        <v>71</v>
      </c>
      <c r="AE97" s="194">
        <f t="shared" si="11"/>
        <v>0.6678906881921316</v>
      </c>
      <c r="AF97" s="194">
        <f t="shared" si="12"/>
        <v>2.001257136053796E-2</v>
      </c>
      <c r="AG97" s="252" t="str">
        <f>IF(ISNUMBER(SEARCH("C", 'Dry_Litterbag Placem_Collection'!$T24)),"YES","NO")</f>
        <v>NO</v>
      </c>
      <c r="AH97" s="252" t="str">
        <f>IF(ISNUMBER(SEARCH("H", 'Dry_Litterbag Placem_Collection'!$T24)),"YES","NO")</f>
        <v>YES</v>
      </c>
      <c r="AI97" s="252" t="str">
        <f>IF(ISNUMBER(SEARCH("R", 'Dry_Litterbag Placem_Collection'!$T24)),"YES","NO")</f>
        <v>NO</v>
      </c>
      <c r="AJ97" s="252" t="str">
        <f>IF(ISNUMBER(SEARCH("C", 'Dry_Litterbag Placem_Collection'!$S24)),"YES","NO")</f>
        <v>NO</v>
      </c>
      <c r="AK97" s="252" t="str">
        <f>IF(ISNUMBER(SEARCH("H", 'Dry_Litterbag Placem_Collection'!$S24)),"YES","NO")</f>
        <v>NO</v>
      </c>
      <c r="AL97" s="252" t="str">
        <f>IF(ISNUMBER(SEARCH("R", 'Dry_Litterbag Placem_Collection'!$S24)),"YES","NO")</f>
        <v>NO</v>
      </c>
    </row>
    <row r="98" spans="2:38">
      <c r="B98" t="str">
        <f>'Final data_for_R_analysis_Dryse'!A24</f>
        <v>Dry</v>
      </c>
      <c r="C98" s="260">
        <f>'Final data_for_R_analysis_Dryse'!B24</f>
        <v>23</v>
      </c>
      <c r="D98" t="s">
        <v>3803</v>
      </c>
      <c r="E98" t="s">
        <v>22</v>
      </c>
      <c r="F98" s="382">
        <v>7</v>
      </c>
      <c r="G98" s="16" t="str">
        <f>IF('Dry_Litterbag Placem_Collection'!E25="","",'Dry_Litterbag Placem_Collection'!E25)</f>
        <v/>
      </c>
      <c r="H98" t="str">
        <f>'Final data_for_R_analysis_Dryse'!K24</f>
        <v/>
      </c>
      <c r="I98" t="str">
        <f>'Final data_for_R_analysis_Dryse'!K244</f>
        <v/>
      </c>
      <c r="J98" t="str">
        <f>IFERROR(INDEX('Green_rooibos initial weight'!$C$5:$C$2000,MATCH(H98, 'Green_rooibos initial weight'!$A$5:$A$2000,0)),"")</f>
        <v/>
      </c>
      <c r="K98" t="str">
        <f>IFERROR(INDEX('Green_rooibos initial weight'!$C$5:$C$2000,MATCH(I98, 'Green_rooibos initial weight'!$A$5:$A$2000,0)),"")</f>
        <v/>
      </c>
      <c r="L98" s="194" t="str">
        <f t="shared" si="4"/>
        <v/>
      </c>
      <c r="M98" s="237">
        <f>AVERAGE(Ashed_controlls!$K$1:$K$11)</f>
        <v>5.5147656768714146</v>
      </c>
      <c r="N98" s="194" t="str">
        <f t="shared" si="0"/>
        <v/>
      </c>
      <c r="O98" s="194" t="str">
        <f t="shared" si="5"/>
        <v/>
      </c>
      <c r="P98" s="237">
        <f>AVERAGE(Ashed_controlls!$K$12:$K$14)</f>
        <v>2.2816647271287041</v>
      </c>
      <c r="Q98" s="194" t="str">
        <f t="shared" si="1"/>
        <v/>
      </c>
      <c r="R98" s="16" t="str">
        <f>IF('Dry_Litterbag Placem_Collection'!G25="","",'Dry_Litterbag Placem_Collection'!G25)</f>
        <v/>
      </c>
      <c r="S98" s="194" t="str">
        <f>IFERROR(INDEX('Both teabags AfterDry'!$D$3:$D$2000,MATCH(H98,'Both teabags AfterDry'!$A$3:$A$2000,0)),"")</f>
        <v/>
      </c>
      <c r="T98" s="194" t="str">
        <f>IFERROR(INDEX('Both teabags AfterDry'!$D$3:$D$2000,MATCH(I98,'Both teabags AfterDry'!$A$3:$A$2000,0)),"")</f>
        <v/>
      </c>
      <c r="U98" s="194" t="str">
        <f t="shared" si="6"/>
        <v/>
      </c>
      <c r="V98" s="194" t="str">
        <f t="shared" si="7"/>
        <v/>
      </c>
      <c r="W98" s="194" t="str">
        <f>IFERROR(INDEX('Ashed teabags dry'!$K$2:$K$2000,MATCH(H98,'Ashed teabags dry'!$A$2:$A$2000,0)),"")</f>
        <v/>
      </c>
      <c r="X98" s="194" t="str">
        <f>IFERROR(INDEX('Ashed teabags dry'!$K$2:$K$2000,MATCH(I98,'Ashed teabags dry'!$A$2:$A$2000,0)),"")</f>
        <v/>
      </c>
      <c r="Y98" s="194" t="str">
        <f t="shared" si="2"/>
        <v/>
      </c>
      <c r="Z98" s="194" t="str">
        <f t="shared" si="2"/>
        <v/>
      </c>
      <c r="AA98" s="194" t="str">
        <f t="shared" si="8"/>
        <v/>
      </c>
      <c r="AB98" s="194" t="str">
        <f t="shared" si="9"/>
        <v/>
      </c>
      <c r="AC98" s="194" t="str">
        <f t="shared" si="3"/>
        <v/>
      </c>
      <c r="AD98" t="str">
        <f t="shared" si="10"/>
        <v/>
      </c>
      <c r="AE98" s="194" t="str">
        <f t="shared" si="11"/>
        <v/>
      </c>
      <c r="AF98" s="194" t="str">
        <f t="shared" si="12"/>
        <v/>
      </c>
      <c r="AG98" s="252" t="str">
        <f>IF(ISNUMBER(SEARCH("C", 'Dry_Litterbag Placem_Collection'!$T25)),"YES","NO")</f>
        <v>NO</v>
      </c>
      <c r="AH98" s="252" t="str">
        <f>IF(ISNUMBER(SEARCH("H", 'Dry_Litterbag Placem_Collection'!$T25)),"YES","NO")</f>
        <v>NO</v>
      </c>
      <c r="AI98" s="252" t="str">
        <f>IF(ISNUMBER(SEARCH("R", 'Dry_Litterbag Placem_Collection'!$T25)),"YES","NO")</f>
        <v>NO</v>
      </c>
      <c r="AJ98" s="252" t="str">
        <f>IF(ISNUMBER(SEARCH("C", 'Dry_Litterbag Placem_Collection'!$S25)),"YES","NO")</f>
        <v>NO</v>
      </c>
      <c r="AK98" s="252" t="str">
        <f>IF(ISNUMBER(SEARCH("H", 'Dry_Litterbag Placem_Collection'!$S25)),"YES","NO")</f>
        <v>NO</v>
      </c>
      <c r="AL98" s="252" t="str">
        <f>IF(ISNUMBER(SEARCH("R", 'Dry_Litterbag Placem_Collection'!$S25)),"YES","NO")</f>
        <v>NO</v>
      </c>
    </row>
    <row r="99" spans="2:38">
      <c r="B99" t="str">
        <f>'Final data_for_R_analysis_Dryse'!A25</f>
        <v>Dry</v>
      </c>
      <c r="C99" s="260">
        <f>'Final data_for_R_analysis_Dryse'!B25</f>
        <v>24</v>
      </c>
      <c r="D99" t="s">
        <v>3803</v>
      </c>
      <c r="E99" t="s">
        <v>22</v>
      </c>
      <c r="F99" s="382">
        <v>8</v>
      </c>
      <c r="G99" s="16">
        <f>IF('Dry_Litterbag Placem_Collection'!E26="","",'Dry_Litterbag Placem_Collection'!E26)</f>
        <v>42936</v>
      </c>
      <c r="H99" t="str">
        <f>'Final data_for_R_analysis_Dryse'!K25</f>
        <v>G320</v>
      </c>
      <c r="I99" t="str">
        <f>'Final data_for_R_analysis_Dryse'!K245</f>
        <v>R225</v>
      </c>
      <c r="J99">
        <f>IFERROR(INDEX('Green_rooibos initial weight'!$C$5:$C$2000,MATCH(H99, 'Green_rooibos initial weight'!$A$5:$A$2000,0)),"")</f>
        <v>2.044</v>
      </c>
      <c r="K99">
        <f>IFERROR(INDEX('Green_rooibos initial weight'!$C$5:$C$2000,MATCH(I99, 'Green_rooibos initial weight'!$A$5:$A$2000,0)),"")</f>
        <v>2.214</v>
      </c>
      <c r="L99" s="194">
        <f t="shared" si="4"/>
        <v>1.7942</v>
      </c>
      <c r="M99" s="237">
        <f>AVERAGE(Ashed_controlls!$K$1:$K$11)</f>
        <v>5.5147656768714146</v>
      </c>
      <c r="N99" s="194">
        <f t="shared" si="0"/>
        <v>1.6952540742255731</v>
      </c>
      <c r="O99" s="194">
        <f t="shared" si="5"/>
        <v>1.9641999999999999</v>
      </c>
      <c r="P99" s="237">
        <f>AVERAGE(Ashed_controlls!$K$12:$K$14)</f>
        <v>2.2816647271287041</v>
      </c>
      <c r="Q99" s="194">
        <f t="shared" si="1"/>
        <v>1.919383541429738</v>
      </c>
      <c r="R99" s="16">
        <f>IF('Dry_Litterbag Placem_Collection'!G26="","",'Dry_Litterbag Placem_Collection'!G26)</f>
        <v>43007</v>
      </c>
      <c r="S99" s="194">
        <f>IFERROR(INDEX('Both teabags AfterDry'!$D$3:$D$2000,MATCH(H99,'Both teabags AfterDry'!$A$3:$A$2000,0)),"")</f>
        <v>1.7525999999999999</v>
      </c>
      <c r="T99" s="194">
        <f>IFERROR(INDEX('Both teabags AfterDry'!$D$3:$D$2000,MATCH(I99,'Both teabags AfterDry'!$A$3:$A$2000,0)),"")</f>
        <v>1.9572000000000001</v>
      </c>
      <c r="U99" s="194">
        <f t="shared" si="6"/>
        <v>1.6019999999999999</v>
      </c>
      <c r="V99" s="194">
        <f t="shared" si="7"/>
        <v>1.8066</v>
      </c>
      <c r="W99" s="194">
        <f>IFERROR(INDEX('Ashed teabags dry'!$K$2:$K$2000,MATCH(H99,'Ashed teabags dry'!$A$2:$A$2000,0)),"")</f>
        <v>6.2730627306273838</v>
      </c>
      <c r="X99" s="194">
        <f>IFERROR(INDEX('Ashed teabags dry'!$K$2:$K$2000,MATCH(I99,'Ashed teabags dry'!$A$2:$A$2000,0)),"")</f>
        <v>2.4928092042184851</v>
      </c>
      <c r="Y99" s="194">
        <f t="shared" si="2"/>
        <v>1.5015055350553492</v>
      </c>
      <c r="Z99" s="194">
        <f t="shared" si="2"/>
        <v>1.7615649089165888</v>
      </c>
      <c r="AA99" s="194">
        <f t="shared" si="8"/>
        <v>0.11428879134753422</v>
      </c>
      <c r="AB99" s="194">
        <f t="shared" si="9"/>
        <v>7.4925668436863324E-2</v>
      </c>
      <c r="AC99" s="194">
        <f t="shared" si="3"/>
        <v>0.91777639585489468</v>
      </c>
      <c r="AD99">
        <f t="shared" si="10"/>
        <v>71</v>
      </c>
      <c r="AE99" s="194">
        <f t="shared" si="11"/>
        <v>0.8642650934114795</v>
      </c>
      <c r="AF99" s="194" t="str">
        <f t="shared" si="12"/>
        <v/>
      </c>
      <c r="AG99" s="252" t="str">
        <f>IF(ISNUMBER(SEARCH("C", 'Dry_Litterbag Placem_Collection'!$T26)),"YES","NO")</f>
        <v>NO</v>
      </c>
      <c r="AH99" s="252" t="str">
        <f>IF(ISNUMBER(SEARCH("H", 'Dry_Litterbag Placem_Collection'!$T26)),"YES","NO")</f>
        <v>NO</v>
      </c>
      <c r="AI99" s="252" t="str">
        <f>IF(ISNUMBER(SEARCH("R", 'Dry_Litterbag Placem_Collection'!$T26)),"YES","NO")</f>
        <v>NO</v>
      </c>
      <c r="AJ99" s="252" t="str">
        <f>IF(ISNUMBER(SEARCH("C", 'Dry_Litterbag Placem_Collection'!$S26)),"YES","NO")</f>
        <v>NO</v>
      </c>
      <c r="AK99" s="252" t="str">
        <f>IF(ISNUMBER(SEARCH("H", 'Dry_Litterbag Placem_Collection'!$S26)),"YES","NO")</f>
        <v>NO</v>
      </c>
      <c r="AL99" s="252" t="str">
        <f>IF(ISNUMBER(SEARCH("R", 'Dry_Litterbag Placem_Collection'!$S26)),"YES","NO")</f>
        <v>NO</v>
      </c>
    </row>
    <row r="100" spans="2:38">
      <c r="B100" t="str">
        <f>'Final data_for_R_analysis_Dryse'!A26</f>
        <v>Dry</v>
      </c>
      <c r="C100" s="260">
        <f>'Final data_for_R_analysis_Dryse'!B26</f>
        <v>25</v>
      </c>
      <c r="D100" t="s">
        <v>3804</v>
      </c>
      <c r="E100" t="s">
        <v>22</v>
      </c>
      <c r="F100" s="381">
        <v>1</v>
      </c>
      <c r="G100" s="16">
        <f>IF('Dry_Litterbag Placem_Collection'!E27="","",'Dry_Litterbag Placem_Collection'!E27)</f>
        <v>42936</v>
      </c>
      <c r="H100" t="str">
        <f>'Final data_for_R_analysis_Dryse'!K26</f>
        <v>G322</v>
      </c>
      <c r="I100" t="str">
        <f>'Final data_for_R_analysis_Dryse'!K246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4"/>
        <v>1.7671999999999999</v>
      </c>
      <c r="M100" s="237">
        <f>AVERAGE(Ashed_controlls!$K$1:$K$11)</f>
        <v>5.5147656768714146</v>
      </c>
      <c r="N100" s="194">
        <f t="shared" si="0"/>
        <v>1.6697430609583281</v>
      </c>
      <c r="O100" s="194">
        <f t="shared" si="5"/>
        <v>2.0261999999999998</v>
      </c>
      <c r="P100" s="237">
        <f>AVERAGE(Ashed_controlls!$K$12:$K$14)</f>
        <v>2.2816647271287041</v>
      </c>
      <c r="Q100" s="194">
        <f t="shared" si="1"/>
        <v>1.9799689092989179</v>
      </c>
      <c r="R100" s="16">
        <f>IF('Dry_Litterbag Placem_Collection'!G27="","",'Dry_Litterbag Placem_Collection'!G27)</f>
        <v>43007</v>
      </c>
      <c r="S100" s="194">
        <f>IFERROR(INDEX('Both teabags AfterDry'!$D$3:$D$2000,MATCH(H100,'Both teabags AfterDry'!$A$3:$A$2000,0)),"")</f>
        <v>1.8697999999999999</v>
      </c>
      <c r="T100" s="194">
        <f>IFERROR(INDEX('Both teabags AfterDry'!$D$3:$D$2000,MATCH(I100,'Both teabags AfterDry'!$A$3:$A$2000,0)),"")</f>
        <v>2.0165999999999999</v>
      </c>
      <c r="U100" s="194">
        <f t="shared" si="6"/>
        <v>1.7191999999999998</v>
      </c>
      <c r="V100" s="194">
        <f t="shared" si="7"/>
        <v>1.8659999999999999</v>
      </c>
      <c r="W100" s="194">
        <f>IFERROR(INDEX('Ashed teabags dry'!$K$2:$K$2000,MATCH(H100,'Ashed teabags dry'!$A$2:$A$2000,0)),"")</f>
        <v>6.1076102762959152</v>
      </c>
      <c r="X100" s="194">
        <f>IFERROR(INDEX('Ashed teabags dry'!$K$2:$K$2000,MATCH(I100,'Ashed teabags dry'!$A$2:$A$2000,0)),"")</f>
        <v>3.4160037435664092</v>
      </c>
      <c r="Y100" s="194">
        <f t="shared" si="2"/>
        <v>1.6141979641299204</v>
      </c>
      <c r="Z100" s="194">
        <f t="shared" si="2"/>
        <v>1.8022573701450506</v>
      </c>
      <c r="AA100" s="194">
        <f t="shared" si="8"/>
        <v>3.3265655134106842E-2</v>
      </c>
      <c r="AB100" s="194">
        <f t="shared" si="9"/>
        <v>2.1808362985780233E-2</v>
      </c>
      <c r="AC100" s="194">
        <f t="shared" si="3"/>
        <v>0.91024528803495575</v>
      </c>
      <c r="AD100">
        <f t="shared" si="10"/>
        <v>71</v>
      </c>
      <c r="AE100" s="194">
        <f t="shared" si="11"/>
        <v>0.96049209604025321</v>
      </c>
      <c r="AF100" s="194" t="str">
        <f t="shared" si="12"/>
        <v/>
      </c>
      <c r="AG100" s="252" t="str">
        <f>IF(ISNUMBER(SEARCH("C", 'Dry_Litterbag Placem_Collection'!$T27)),"YES","NO")</f>
        <v>NO</v>
      </c>
      <c r="AH100" s="252" t="str">
        <f>IF(ISNUMBER(SEARCH("H", 'Dry_Litterbag Placem_Collection'!$T27)),"YES","NO")</f>
        <v>NO</v>
      </c>
      <c r="AI100" s="252" t="str">
        <f>IF(ISNUMBER(SEARCH("R", 'Dry_Litterbag Placem_Collection'!$T27)),"YES","NO")</f>
        <v>NO</v>
      </c>
      <c r="AJ100" s="252" t="str">
        <f>IF(ISNUMBER(SEARCH("C", 'Dry_Litterbag Placem_Collection'!$S27)),"YES","NO")</f>
        <v>NO</v>
      </c>
      <c r="AK100" s="252" t="str">
        <f>IF(ISNUMBER(SEARCH("H", 'Dry_Litterbag Placem_Collection'!$S27)),"YES","NO")</f>
        <v>NO</v>
      </c>
      <c r="AL100" s="252" t="str">
        <f>IF(ISNUMBER(SEARCH("R", 'Dry_Litterbag Placem_Collection'!$S27)),"YES","NO")</f>
        <v>NO</v>
      </c>
    </row>
    <row r="101" spans="2:38">
      <c r="B101" t="str">
        <f>'Final data_for_R_analysis_Dryse'!A27</f>
        <v>Dry</v>
      </c>
      <c r="C101" s="260">
        <f>'Final data_for_R_analysis_Dryse'!B27</f>
        <v>26</v>
      </c>
      <c r="D101" t="s">
        <v>3804</v>
      </c>
      <c r="E101" t="s">
        <v>22</v>
      </c>
      <c r="F101" s="381">
        <v>2</v>
      </c>
      <c r="G101" s="16">
        <f>IF('Dry_Litterbag Placem_Collection'!E28="","",'Dry_Litterbag Placem_Collection'!E28)</f>
        <v>42936</v>
      </c>
      <c r="H101" t="str">
        <f>'Final data_for_R_analysis_Dryse'!K27</f>
        <v>G58</v>
      </c>
      <c r="I101" t="str">
        <f>'Final data_for_R_analysis_Dryse'!K247</f>
        <v>R602</v>
      </c>
      <c r="J101">
        <f>IFERROR(INDEX('Green_rooibos initial weight'!$C$5:$C$2000,MATCH(H101, 'Green_rooibos initial weight'!$A$5:$A$2000,0)),"")</f>
        <v>1.9370000000000001</v>
      </c>
      <c r="K101">
        <f>IFERROR(INDEX('Green_rooibos initial weight'!$C$5:$C$2000,MATCH(I101, 'Green_rooibos initial weight'!$A$5:$A$2000,0)),"")</f>
        <v>2.19</v>
      </c>
      <c r="L101" s="194">
        <f t="shared" si="4"/>
        <v>1.6872</v>
      </c>
      <c r="M101" s="237">
        <f>AVERAGE(Ashed_controlls!$K$1:$K$11)</f>
        <v>5.5147656768714146</v>
      </c>
      <c r="N101" s="194">
        <f t="shared" si="0"/>
        <v>1.5941548734998254</v>
      </c>
      <c r="O101" s="194">
        <f t="shared" si="5"/>
        <v>1.9401999999999999</v>
      </c>
      <c r="P101" s="237">
        <f>AVERAGE(Ashed_controlls!$K$12:$K$14)</f>
        <v>2.2816647271287041</v>
      </c>
      <c r="Q101" s="194">
        <f t="shared" si="1"/>
        <v>1.8959311409642488</v>
      </c>
      <c r="R101" s="16">
        <f>IF('Dry_Litterbag Placem_Collection'!G28="","",'Dry_Litterbag Placem_Collection'!G28)</f>
        <v>43007</v>
      </c>
      <c r="S101" s="194">
        <f>IFERROR(INDEX('Both teabags AfterDry'!$D$3:$D$2000,MATCH(H101,'Both teabags AfterDry'!$A$3:$A$2000,0)),"")</f>
        <v>1.7357</v>
      </c>
      <c r="T101" s="194">
        <f>IFERROR(INDEX('Both teabags AfterDry'!$D$3:$D$2000,MATCH(I101,'Both teabags AfterDry'!$A$3:$A$2000,0)),"")</f>
        <v>1.9849000000000001</v>
      </c>
      <c r="U101" s="194">
        <f t="shared" si="6"/>
        <v>1.5851</v>
      </c>
      <c r="V101" s="194">
        <f t="shared" si="7"/>
        <v>1.8343</v>
      </c>
      <c r="W101" s="194">
        <f>IFERROR(INDEX('Ashed teabags dry'!$K$2:$K$2000,MATCH(H101,'Ashed teabags dry'!$A$2:$A$2000,0)),"")</f>
        <v>5.724049551473775</v>
      </c>
      <c r="X101" s="194">
        <f>IFERROR(INDEX('Ashed teabags dry'!$K$2:$K$2000,MATCH(I101,'Ashed teabags dry'!$A$2:$A$2000,0)),"")</f>
        <v>2.2760290556907226</v>
      </c>
      <c r="Y101" s="194">
        <f t="shared" si="2"/>
        <v>1.4943680905595891</v>
      </c>
      <c r="Z101" s="194">
        <f t="shared" si="2"/>
        <v>1.7925507990314651</v>
      </c>
      <c r="AA101" s="194">
        <f t="shared" si="8"/>
        <v>6.2595413155287272E-2</v>
      </c>
      <c r="AB101" s="194">
        <f t="shared" si="9"/>
        <v>4.1036422876150336E-2</v>
      </c>
      <c r="AC101" s="194">
        <f t="shared" si="3"/>
        <v>0.94547252286799532</v>
      </c>
      <c r="AD101">
        <f t="shared" si="10"/>
        <v>71</v>
      </c>
      <c r="AE101" s="194">
        <f t="shared" si="11"/>
        <v>0.92565865420987259</v>
      </c>
      <c r="AF101" s="194" t="str">
        <f t="shared" si="12"/>
        <v/>
      </c>
      <c r="AG101" s="252" t="str">
        <f>IF(ISNUMBER(SEARCH("C", 'Dry_Litterbag Placem_Collection'!$T28)),"YES","NO")</f>
        <v>NO</v>
      </c>
      <c r="AH101" s="252" t="str">
        <f>IF(ISNUMBER(SEARCH("H", 'Dry_Litterbag Placem_Collection'!$T28)),"YES","NO")</f>
        <v>NO</v>
      </c>
      <c r="AI101" s="252" t="str">
        <f>IF(ISNUMBER(SEARCH("R", 'Dry_Litterbag Placem_Collection'!$T28)),"YES","NO")</f>
        <v>NO</v>
      </c>
      <c r="AJ101" s="252" t="str">
        <f>IF(ISNUMBER(SEARCH("C", 'Dry_Litterbag Placem_Collection'!$S28)),"YES","NO")</f>
        <v>NO</v>
      </c>
      <c r="AK101" s="252" t="str">
        <f>IF(ISNUMBER(SEARCH("H", 'Dry_Litterbag Placem_Collection'!$S28)),"YES","NO")</f>
        <v>NO</v>
      </c>
      <c r="AL101" s="252" t="str">
        <f>IF(ISNUMBER(SEARCH("R", 'Dry_Litterbag Placem_Collection'!$S28)),"YES","NO")</f>
        <v>NO</v>
      </c>
    </row>
    <row r="102" spans="2:38">
      <c r="B102" t="str">
        <f>'Final data_for_R_analysis_Dryse'!A28</f>
        <v>Dry</v>
      </c>
      <c r="C102" s="260">
        <f>'Final data_for_R_analysis_Dryse'!B28</f>
        <v>27</v>
      </c>
      <c r="D102" t="s">
        <v>3804</v>
      </c>
      <c r="E102" t="s">
        <v>22</v>
      </c>
      <c r="F102" s="381">
        <v>3</v>
      </c>
      <c r="G102" s="16">
        <f>IF('Dry_Litterbag Placem_Collection'!E29="","",'Dry_Litterbag Placem_Collection'!E29)</f>
        <v>42936</v>
      </c>
      <c r="H102" t="str">
        <f>'Final data_for_R_analysis_Dryse'!K28</f>
        <v>G340</v>
      </c>
      <c r="I102" t="str">
        <f>'Final data_for_R_analysis_Dryse'!K248</f>
        <v>R666</v>
      </c>
      <c r="J102">
        <f>IFERROR(INDEX('Green_rooibos initial weight'!$C$5:$C$2000,MATCH(H102, 'Green_rooibos initial weight'!$A$5:$A$2000,0)),"")</f>
        <v>2.0150000000000001</v>
      </c>
      <c r="K102">
        <f>IFERROR(INDEX('Green_rooibos initial weight'!$C$5:$C$2000,MATCH(I102, 'Green_rooibos initial weight'!$A$5:$A$2000,0)),"")</f>
        <v>2.15</v>
      </c>
      <c r="L102" s="194">
        <f t="shared" si="4"/>
        <v>1.7652000000000001</v>
      </c>
      <c r="M102" s="237">
        <f>AVERAGE(Ashed_controlls!$K$1:$K$11)</f>
        <v>5.5147656768714146</v>
      </c>
      <c r="N102" s="194">
        <f t="shared" si="0"/>
        <v>1.6678533562718658</v>
      </c>
      <c r="O102" s="194">
        <f t="shared" si="5"/>
        <v>1.9001999999999999</v>
      </c>
      <c r="P102" s="237">
        <f>AVERAGE(Ashed_controlls!$K$12:$K$14)</f>
        <v>2.2816647271287041</v>
      </c>
      <c r="Q102" s="194">
        <f t="shared" si="1"/>
        <v>1.8568438068551003</v>
      </c>
      <c r="R102" s="16">
        <f>IF('Dry_Litterbag Placem_Collection'!G29="","",'Dry_Litterbag Placem_Collection'!G29)</f>
        <v>43007</v>
      </c>
      <c r="S102" s="194" t="str">
        <f>IFERROR(INDEX('Both teabags AfterDry'!$D$3:$D$2000,MATCH(H102,'Both teabags AfterDry'!$A$3:$A$2000,0)),"")</f>
        <v/>
      </c>
      <c r="T102" s="194" t="str">
        <f>IFERROR(INDEX('Both teabags AfterDry'!$D$3:$D$2000,MATCH(I102,'Both teabags AfterDry'!$A$3:$A$2000,0)),"")</f>
        <v/>
      </c>
      <c r="U102" s="194" t="str">
        <f t="shared" si="6"/>
        <v/>
      </c>
      <c r="V102" s="194" t="str">
        <f t="shared" si="7"/>
        <v/>
      </c>
      <c r="W102" s="194" t="str">
        <f>IFERROR(INDEX('Ashed teabags dry'!$K$2:$K$2000,MATCH(H102,'Ashed teabags dry'!$A$2:$A$2000,0)),"")</f>
        <v/>
      </c>
      <c r="X102" s="194" t="str">
        <f>IFERROR(INDEX('Ashed teabags dry'!$K$2:$K$2000,MATCH(I102,'Ashed teabags dry'!$A$2:$A$2000,0)),"")</f>
        <v/>
      </c>
      <c r="Y102" s="194" t="str">
        <f t="shared" si="2"/>
        <v/>
      </c>
      <c r="Z102" s="194" t="str">
        <f t="shared" si="2"/>
        <v/>
      </c>
      <c r="AA102" s="194" t="str">
        <f t="shared" si="8"/>
        <v/>
      </c>
      <c r="AB102" s="194" t="str">
        <f t="shared" si="9"/>
        <v/>
      </c>
      <c r="AC102" s="194" t="str">
        <f t="shared" si="3"/>
        <v/>
      </c>
      <c r="AD102">
        <f t="shared" si="10"/>
        <v>71</v>
      </c>
      <c r="AE102" s="194" t="str">
        <f t="shared" si="11"/>
        <v/>
      </c>
      <c r="AF102" s="194" t="str">
        <f t="shared" si="12"/>
        <v/>
      </c>
      <c r="AG102" s="252" t="str">
        <f>IF(ISNUMBER(SEARCH("C", 'Dry_Litterbag Placem_Collection'!$T29)),"YES","NO")</f>
        <v>NO</v>
      </c>
      <c r="AH102" s="252" t="str">
        <f>IF(ISNUMBER(SEARCH("H", 'Dry_Litterbag Placem_Collection'!$T29)),"YES","NO")</f>
        <v>NO</v>
      </c>
      <c r="AI102" s="252" t="str">
        <f>IF(ISNUMBER(SEARCH("R", 'Dry_Litterbag Placem_Collection'!$T29)),"YES","NO")</f>
        <v>NO</v>
      </c>
      <c r="AJ102" s="252" t="str">
        <f>IF(ISNUMBER(SEARCH("C", 'Dry_Litterbag Placem_Collection'!$S29)),"YES","NO")</f>
        <v>NO</v>
      </c>
      <c r="AK102" s="252" t="str">
        <f>IF(ISNUMBER(SEARCH("H", 'Dry_Litterbag Placem_Collection'!$S29)),"YES","NO")</f>
        <v>NO</v>
      </c>
      <c r="AL102" s="252" t="str">
        <f>IF(ISNUMBER(SEARCH("R", 'Dry_Litterbag Placem_Collection'!$S29)),"YES","NO")</f>
        <v>NO</v>
      </c>
    </row>
    <row r="103" spans="2:38">
      <c r="B103" t="str">
        <f>'Final data_for_R_analysis_Dryse'!A29</f>
        <v>Dry</v>
      </c>
      <c r="C103" s="260">
        <f>'Final data_for_R_analysis_Dryse'!B29</f>
        <v>28</v>
      </c>
      <c r="D103" t="s">
        <v>3804</v>
      </c>
      <c r="E103" t="s">
        <v>22</v>
      </c>
      <c r="F103" s="382">
        <v>4</v>
      </c>
      <c r="G103" s="16">
        <f>IF('Dry_Litterbag Placem_Collection'!E30="","",'Dry_Litterbag Placem_Collection'!E30)</f>
        <v>42936</v>
      </c>
      <c r="H103" t="str">
        <f>'Final data_for_R_analysis_Dryse'!K29</f>
        <v>G61</v>
      </c>
      <c r="I103" t="str">
        <f>'Final data_for_R_analysis_Dryse'!K249</f>
        <v>R705</v>
      </c>
      <c r="J103">
        <f>IFERROR(INDEX('Green_rooibos initial weight'!$C$5:$C$2000,MATCH(H103, 'Green_rooibos initial weight'!$A$5:$A$2000,0)),"")</f>
        <v>1.88</v>
      </c>
      <c r="K103">
        <f>IFERROR(INDEX('Green_rooibos initial weight'!$C$5:$C$2000,MATCH(I103, 'Green_rooibos initial weight'!$A$5:$A$2000,0)),"")</f>
        <v>2.1859999999999999</v>
      </c>
      <c r="L103" s="194">
        <f t="shared" si="4"/>
        <v>1.6301999999999999</v>
      </c>
      <c r="M103" s="237">
        <f>AVERAGE(Ashed_controlls!$K$1:$K$11)</f>
        <v>5.5147656768714146</v>
      </c>
      <c r="N103" s="194">
        <f t="shared" si="0"/>
        <v>1.5402982899356421</v>
      </c>
      <c r="O103" s="194">
        <f t="shared" si="5"/>
        <v>1.9361999999999999</v>
      </c>
      <c r="P103" s="237">
        <f>AVERAGE(Ashed_controlls!$K$12:$K$14)</f>
        <v>2.2816647271287041</v>
      </c>
      <c r="Q103" s="194">
        <f t="shared" si="1"/>
        <v>1.8920224075533341</v>
      </c>
      <c r="R103" s="16">
        <f>IF('Dry_Litterbag Placem_Collection'!G30="","",'Dry_Litterbag Placem_Collection'!G30)</f>
        <v>43007</v>
      </c>
      <c r="S103" s="194">
        <f>IFERROR(INDEX('Both teabags AfterDry'!$D$3:$D$2000,MATCH(H103,'Both teabags AfterDry'!$A$3:$A$2000,0)),"")</f>
        <v>1.4991000000000001</v>
      </c>
      <c r="T103" s="194">
        <f>IFERROR(INDEX('Both teabags AfterDry'!$D$3:$D$2000,MATCH(I103,'Both teabags AfterDry'!$A$3:$A$2000,0)),"")</f>
        <v>2.0167999999999999</v>
      </c>
      <c r="U103" s="194">
        <f t="shared" si="6"/>
        <v>1.3485</v>
      </c>
      <c r="V103" s="194">
        <f t="shared" si="7"/>
        <v>1.8661999999999999</v>
      </c>
      <c r="W103" s="194">
        <f>IFERROR(INDEX('Ashed teabags dry'!$K$2:$K$2000,MATCH(H103,'Ashed teabags dry'!$A$2:$A$2000,0)),"")</f>
        <v>6.888472352389627</v>
      </c>
      <c r="X103" s="194">
        <f>IFERROR(INDEX('Ashed teabags dry'!$K$2:$K$2000,MATCH(I103,'Ashed teabags dry'!$A$2:$A$2000,0)),"")</f>
        <v>3.6201222378937139</v>
      </c>
      <c r="Y103" s="194">
        <f t="shared" si="2"/>
        <v>1.2556089503280259</v>
      </c>
      <c r="Z103" s="194">
        <f t="shared" si="2"/>
        <v>1.7986412787964274</v>
      </c>
      <c r="AA103" s="194">
        <f t="shared" si="8"/>
        <v>0.1848274074364592</v>
      </c>
      <c r="AB103" s="194">
        <f t="shared" si="9"/>
        <v>0.12116951176356945</v>
      </c>
      <c r="AC103" s="194">
        <f t="shared" si="3"/>
        <v>0.95064480823054187</v>
      </c>
      <c r="AD103">
        <f t="shared" si="10"/>
        <v>71</v>
      </c>
      <c r="AE103" s="194">
        <f t="shared" si="11"/>
        <v>0.78049001492106984</v>
      </c>
      <c r="AF103" s="194">
        <f t="shared" si="12"/>
        <v>7.3676984493174103E-3</v>
      </c>
      <c r="AG103" s="252" t="str">
        <f>IF(ISNUMBER(SEARCH("C", 'Dry_Litterbag Placem_Collection'!$T30)),"YES","NO")</f>
        <v>NO</v>
      </c>
      <c r="AH103" s="252" t="str">
        <f>IF(ISNUMBER(SEARCH("H", 'Dry_Litterbag Placem_Collection'!$T30)),"YES","NO")</f>
        <v>NO</v>
      </c>
      <c r="AI103" s="252" t="str">
        <f>IF(ISNUMBER(SEARCH("R", 'Dry_Litterbag Placem_Collection'!$T30)),"YES","NO")</f>
        <v>NO</v>
      </c>
      <c r="AJ103" s="252" t="str">
        <f>IF(ISNUMBER(SEARCH("C", 'Dry_Litterbag Placem_Collection'!$S30)),"YES","NO")</f>
        <v>NO</v>
      </c>
      <c r="AK103" s="252" t="str">
        <f>IF(ISNUMBER(SEARCH("H", 'Dry_Litterbag Placem_Collection'!$S30)),"YES","NO")</f>
        <v>NO</v>
      </c>
      <c r="AL103" s="252" t="str">
        <f>IF(ISNUMBER(SEARCH("R", 'Dry_Litterbag Placem_Collection'!$S30)),"YES","NO")</f>
        <v>NO</v>
      </c>
    </row>
    <row r="104" spans="2:38">
      <c r="B104" t="str">
        <f>'Final data_for_R_analysis_Dryse'!A30</f>
        <v>Dry</v>
      </c>
      <c r="C104" s="260">
        <f>'Final data_for_R_analysis_Dryse'!B30</f>
        <v>29</v>
      </c>
      <c r="D104" t="s">
        <v>3804</v>
      </c>
      <c r="E104" t="s">
        <v>22</v>
      </c>
      <c r="F104" s="382">
        <v>5</v>
      </c>
      <c r="G104" s="16">
        <f>IF('Dry_Litterbag Placem_Collection'!E31="","",'Dry_Litterbag Placem_Collection'!E31)</f>
        <v>42936</v>
      </c>
      <c r="H104" t="str">
        <f>'Final data_for_R_analysis_Dryse'!K30</f>
        <v>G319</v>
      </c>
      <c r="I104" t="str">
        <f>'Final data_for_R_analysis_Dryse'!K250</f>
        <v>R305</v>
      </c>
      <c r="J104">
        <f>IFERROR(INDEX('Green_rooibos initial weight'!$C$5:$C$2000,MATCH(H104, 'Green_rooibos initial weight'!$A$5:$A$2000,0)),"")</f>
        <v>2.012</v>
      </c>
      <c r="K104">
        <f>IFERROR(INDEX('Green_rooibos initial weight'!$C$5:$C$2000,MATCH(I104, 'Green_rooibos initial weight'!$A$5:$A$2000,0)),"")</f>
        <v>2.2829999999999999</v>
      </c>
      <c r="L104" s="194">
        <f t="shared" si="4"/>
        <v>1.7622</v>
      </c>
      <c r="M104" s="237">
        <f>AVERAGE(Ashed_controlls!$K$1:$K$11)</f>
        <v>5.5147656768714146</v>
      </c>
      <c r="N104" s="194">
        <f t="shared" si="0"/>
        <v>1.6650187992421719</v>
      </c>
      <c r="O104" s="194">
        <f t="shared" si="5"/>
        <v>2.0331999999999999</v>
      </c>
      <c r="P104" s="237">
        <f>AVERAGE(Ashed_controlls!$K$12:$K$14)</f>
        <v>2.2816647271287041</v>
      </c>
      <c r="Q104" s="194">
        <f t="shared" si="1"/>
        <v>1.9868091927680191</v>
      </c>
      <c r="R104" s="16">
        <f>IF('Dry_Litterbag Placem_Collection'!G31="","",'Dry_Litterbag Placem_Collection'!G31)</f>
        <v>43007</v>
      </c>
      <c r="S104" s="194">
        <f>IFERROR(INDEX('Both teabags AfterDry'!$D$3:$D$2000,MATCH(H104,'Both teabags AfterDry'!$A$3:$A$2000,0)),"")</f>
        <v>1.8162</v>
      </c>
      <c r="T104" s="194">
        <f>IFERROR(INDEX('Both teabags AfterDry'!$D$3:$D$2000,MATCH(I104,'Both teabags AfterDry'!$A$3:$A$2000,0)),"")</f>
        <v>2.0718999999999999</v>
      </c>
      <c r="U104" s="194">
        <f t="shared" si="6"/>
        <v>1.6656</v>
      </c>
      <c r="V104" s="194">
        <f t="shared" si="7"/>
        <v>1.9212999999999998</v>
      </c>
      <c r="W104" s="194">
        <f>IFERROR(INDEX('Ashed teabags dry'!$K$2:$K$2000,MATCH(H104,'Ashed teabags dry'!$A$2:$A$2000,0)),"")</f>
        <v>6.3172671970048668</v>
      </c>
      <c r="X104" s="194">
        <f>IFERROR(INDEX('Ashed teabags dry'!$K$2:$K$2000,MATCH(I104,'Ashed teabags dry'!$A$2:$A$2000,0)),"")</f>
        <v>2.7534965034964429</v>
      </c>
      <c r="Y104" s="194">
        <f t="shared" si="2"/>
        <v>1.560379597566687</v>
      </c>
      <c r="Z104" s="194">
        <f t="shared" si="2"/>
        <v>1.8683970716783227</v>
      </c>
      <c r="AA104" s="194">
        <f t="shared" si="8"/>
        <v>6.2845657792639398E-2</v>
      </c>
      <c r="AB104" s="194">
        <f t="shared" si="9"/>
        <v>4.1200478742918004E-2</v>
      </c>
      <c r="AC104" s="194">
        <f t="shared" si="3"/>
        <v>0.94040085906552262</v>
      </c>
      <c r="AD104">
        <f t="shared" si="10"/>
        <v>71</v>
      </c>
      <c r="AE104" s="194">
        <f t="shared" si="11"/>
        <v>0.92536145155268479</v>
      </c>
      <c r="AF104" s="194" t="str">
        <f t="shared" si="12"/>
        <v/>
      </c>
      <c r="AG104" s="252" t="str">
        <f>IF(ISNUMBER(SEARCH("C", 'Dry_Litterbag Placem_Collection'!$T31)),"YES","NO")</f>
        <v>NO</v>
      </c>
      <c r="AH104" s="252" t="str">
        <f>IF(ISNUMBER(SEARCH("H", 'Dry_Litterbag Placem_Collection'!$T31)),"YES","NO")</f>
        <v>NO</v>
      </c>
      <c r="AI104" s="252" t="str">
        <f>IF(ISNUMBER(SEARCH("R", 'Dry_Litterbag Placem_Collection'!$T31)),"YES","NO")</f>
        <v>NO</v>
      </c>
      <c r="AJ104" s="252" t="str">
        <f>IF(ISNUMBER(SEARCH("C", 'Dry_Litterbag Placem_Collection'!$S31)),"YES","NO")</f>
        <v>NO</v>
      </c>
      <c r="AK104" s="252" t="str">
        <f>IF(ISNUMBER(SEARCH("H", 'Dry_Litterbag Placem_Collection'!$S31)),"YES","NO")</f>
        <v>NO</v>
      </c>
      <c r="AL104" s="252" t="str">
        <f>IF(ISNUMBER(SEARCH("R", 'Dry_Litterbag Placem_Collection'!$S31)),"YES","NO")</f>
        <v>NO</v>
      </c>
    </row>
    <row r="105" spans="2:38">
      <c r="B105" t="str">
        <f>'Final data_for_R_analysis_Dryse'!A31</f>
        <v>Dry</v>
      </c>
      <c r="C105" s="260">
        <f>'Final data_for_R_analysis_Dryse'!B31</f>
        <v>30</v>
      </c>
      <c r="D105" t="s">
        <v>3804</v>
      </c>
      <c r="E105" t="s">
        <v>22</v>
      </c>
      <c r="F105" s="382">
        <v>6</v>
      </c>
      <c r="G105" s="16">
        <f>IF('Dry_Litterbag Placem_Collection'!E32="","",'Dry_Litterbag Placem_Collection'!E32)</f>
        <v>42936</v>
      </c>
      <c r="H105" t="str">
        <f>'Final data_for_R_analysis_Dryse'!K31</f>
        <v>G273</v>
      </c>
      <c r="I105" t="str">
        <f>'Final data_for_R_analysis_Dryse'!K251</f>
        <v>R667</v>
      </c>
      <c r="J105">
        <f>IFERROR(INDEX('Green_rooibos initial weight'!$C$5:$C$2000,MATCH(H105, 'Green_rooibos initial weight'!$A$5:$A$2000,0)),"")</f>
        <v>2.073</v>
      </c>
      <c r="K105">
        <f>IFERROR(INDEX('Green_rooibos initial weight'!$C$5:$C$2000,MATCH(I105, 'Green_rooibos initial weight'!$A$5:$A$2000,0)),"")</f>
        <v>2.1949999999999998</v>
      </c>
      <c r="L105" s="194">
        <f t="shared" si="4"/>
        <v>1.8231999999999999</v>
      </c>
      <c r="M105" s="237">
        <f>AVERAGE(Ashed_controlls!$K$1:$K$11)</f>
        <v>5.5147656768714146</v>
      </c>
      <c r="N105" s="194">
        <f t="shared" si="0"/>
        <v>1.7226547921792803</v>
      </c>
      <c r="O105" s="194">
        <f t="shared" si="5"/>
        <v>1.9451999999999998</v>
      </c>
      <c r="P105" s="237">
        <f>AVERAGE(Ashed_controlls!$K$12:$K$14)</f>
        <v>2.2816647271287041</v>
      </c>
      <c r="Q105" s="194">
        <f t="shared" si="1"/>
        <v>1.9008170577278922</v>
      </c>
      <c r="R105" s="16">
        <f>IF('Dry_Litterbag Placem_Collection'!G32="","",'Dry_Litterbag Placem_Collection'!G32)</f>
        <v>43007</v>
      </c>
      <c r="S105" s="194">
        <f>IFERROR(INDEX('Both teabags AfterDry'!$D$3:$D$2000,MATCH(H105,'Both teabags AfterDry'!$A$3:$A$2000,0)),"")</f>
        <v>1.9318</v>
      </c>
      <c r="T105" s="194">
        <f>IFERROR(INDEX('Both teabags AfterDry'!$D$3:$D$2000,MATCH(I105,'Both teabags AfterDry'!$A$3:$A$2000,0)),"")</f>
        <v>2.0158999999999998</v>
      </c>
      <c r="U105" s="194">
        <f t="shared" si="6"/>
        <v>1.7811999999999999</v>
      </c>
      <c r="V105" s="194">
        <f t="shared" si="7"/>
        <v>1.8652999999999997</v>
      </c>
      <c r="W105" s="194">
        <f>IFERROR(INDEX('Ashed teabags dry'!$K$2:$K$2000,MATCH(H105,'Ashed teabags dry'!$A$2:$A$2000,0)),"")</f>
        <v>5.1138805328754682</v>
      </c>
      <c r="X105" s="194">
        <f>IFERROR(INDEX('Ashed teabags dry'!$K$2:$K$2000,MATCH(I105,'Ashed teabags dry'!$A$2:$A$2000,0)),"")</f>
        <v>2.0813623462635014</v>
      </c>
      <c r="Y105" s="194">
        <f t="shared" si="2"/>
        <v>1.690111559948422</v>
      </c>
      <c r="Z105" s="194">
        <f t="shared" si="2"/>
        <v>1.8264763481551467</v>
      </c>
      <c r="AA105" s="194">
        <f t="shared" si="8"/>
        <v>1.8891325399959413E-2</v>
      </c>
      <c r="AB105" s="194">
        <f t="shared" si="9"/>
        <v>1.2384811901161063E-2</v>
      </c>
      <c r="AC105" s="194">
        <f t="shared" si="3"/>
        <v>0.9608901291839167</v>
      </c>
      <c r="AD105">
        <f t="shared" si="10"/>
        <v>71</v>
      </c>
      <c r="AE105" s="194">
        <f t="shared" si="11"/>
        <v>0.97756374655586764</v>
      </c>
      <c r="AF105" s="194" t="str">
        <f t="shared" si="12"/>
        <v/>
      </c>
      <c r="AG105" s="252" t="str">
        <f>IF(ISNUMBER(SEARCH("C", 'Dry_Litterbag Placem_Collection'!$T32)),"YES","NO")</f>
        <v>NO</v>
      </c>
      <c r="AH105" s="252" t="str">
        <f>IF(ISNUMBER(SEARCH("H", 'Dry_Litterbag Placem_Collection'!$T32)),"YES","NO")</f>
        <v>NO</v>
      </c>
      <c r="AI105" s="252" t="str">
        <f>IF(ISNUMBER(SEARCH("R", 'Dry_Litterbag Placem_Collection'!$T32)),"YES","NO")</f>
        <v>NO</v>
      </c>
      <c r="AJ105" s="252" t="str">
        <f>IF(ISNUMBER(SEARCH("C", 'Dry_Litterbag Placem_Collection'!$S32)),"YES","NO")</f>
        <v>NO</v>
      </c>
      <c r="AK105" s="252" t="str">
        <f>IF(ISNUMBER(SEARCH("H", 'Dry_Litterbag Placem_Collection'!$S32)),"YES","NO")</f>
        <v>NO</v>
      </c>
      <c r="AL105" s="252" t="str">
        <f>IF(ISNUMBER(SEARCH("R", 'Dry_Litterbag Placem_Collection'!$S32)),"YES","NO")</f>
        <v>NO</v>
      </c>
    </row>
    <row r="106" spans="2:38">
      <c r="B106" t="str">
        <f>'Final data_for_R_analysis_Dryse'!A32</f>
        <v>Dry</v>
      </c>
      <c r="C106" s="260">
        <f>'Final data_for_R_analysis_Dryse'!B32</f>
        <v>31</v>
      </c>
      <c r="D106" t="s">
        <v>3804</v>
      </c>
      <c r="E106" t="s">
        <v>22</v>
      </c>
      <c r="F106" s="382">
        <v>7</v>
      </c>
      <c r="G106" s="16" t="str">
        <f>IF('Dry_Litterbag Placem_Collection'!E33="","",'Dry_Litterbag Placem_Collection'!E33)</f>
        <v/>
      </c>
      <c r="H106" t="str">
        <f>'Final data_for_R_analysis_Dryse'!K32</f>
        <v/>
      </c>
      <c r="I106" t="str">
        <f>'Final data_for_R_analysis_Dryse'!K252</f>
        <v/>
      </c>
      <c r="J106" t="str">
        <f>IFERROR(INDEX('Green_rooibos initial weight'!$C$5:$C$2000,MATCH(H106, 'Green_rooibos initial weight'!$A$5:$A$2000,0)),"")</f>
        <v/>
      </c>
      <c r="K106" t="str">
        <f>IFERROR(INDEX('Green_rooibos initial weight'!$C$5:$C$2000,MATCH(I106, 'Green_rooibos initial weight'!$A$5:$A$2000,0)),"")</f>
        <v/>
      </c>
      <c r="L106" s="194" t="str">
        <f t="shared" si="4"/>
        <v/>
      </c>
      <c r="M106" s="237">
        <f>AVERAGE(Ashed_controlls!$K$1:$K$11)</f>
        <v>5.5147656768714146</v>
      </c>
      <c r="N106" s="194" t="str">
        <f t="shared" si="0"/>
        <v/>
      </c>
      <c r="O106" s="194" t="str">
        <f t="shared" si="5"/>
        <v/>
      </c>
      <c r="P106" s="237">
        <f>AVERAGE(Ashed_controlls!$K$12:$K$14)</f>
        <v>2.2816647271287041</v>
      </c>
      <c r="Q106" s="194" t="str">
        <f t="shared" si="1"/>
        <v/>
      </c>
      <c r="R106" s="16" t="str">
        <f>IF('Dry_Litterbag Placem_Collection'!G33="","",'Dry_Litterbag Placem_Collection'!G33)</f>
        <v/>
      </c>
      <c r="S106" s="194" t="str">
        <f>IFERROR(INDEX('Both teabags AfterDry'!$D$3:$D$2000,MATCH(H106,'Both teabags AfterDry'!$A$3:$A$2000,0)),"")</f>
        <v/>
      </c>
      <c r="T106" s="194" t="str">
        <f>IFERROR(INDEX('Both teabags AfterDry'!$D$3:$D$2000,MATCH(I106,'Both teabags AfterDry'!$A$3:$A$2000,0)),"")</f>
        <v/>
      </c>
      <c r="U106" s="194" t="str">
        <f t="shared" si="6"/>
        <v/>
      </c>
      <c r="V106" s="194" t="str">
        <f t="shared" si="7"/>
        <v/>
      </c>
      <c r="W106" s="194" t="str">
        <f>IFERROR(INDEX('Ashed teabags dry'!$K$2:$K$2000,MATCH(H106,'Ashed teabags dry'!$A$2:$A$2000,0)),"")</f>
        <v/>
      </c>
      <c r="X106" s="194" t="str">
        <f>IFERROR(INDEX('Ashed teabags dry'!$K$2:$K$2000,MATCH(I106,'Ashed teabags dry'!$A$2:$A$2000,0)),"")</f>
        <v/>
      </c>
      <c r="Y106" s="194" t="str">
        <f t="shared" si="2"/>
        <v/>
      </c>
      <c r="Z106" s="194" t="str">
        <f t="shared" si="2"/>
        <v/>
      </c>
      <c r="AA106" s="194" t="str">
        <f t="shared" si="8"/>
        <v/>
      </c>
      <c r="AB106" s="194" t="str">
        <f t="shared" si="9"/>
        <v/>
      </c>
      <c r="AC106" s="194" t="str">
        <f t="shared" si="3"/>
        <v/>
      </c>
      <c r="AD106" t="str">
        <f t="shared" si="10"/>
        <v/>
      </c>
      <c r="AE106" s="194" t="str">
        <f t="shared" si="11"/>
        <v/>
      </c>
      <c r="AF106" s="194" t="str">
        <f t="shared" si="12"/>
        <v/>
      </c>
      <c r="AG106" s="252" t="str">
        <f>IF(ISNUMBER(SEARCH("C", 'Dry_Litterbag Placem_Collection'!$T33)),"YES","NO")</f>
        <v>NO</v>
      </c>
      <c r="AH106" s="252" t="str">
        <f>IF(ISNUMBER(SEARCH("H", 'Dry_Litterbag Placem_Collection'!$T33)),"YES","NO")</f>
        <v>NO</v>
      </c>
      <c r="AI106" s="252" t="str">
        <f>IF(ISNUMBER(SEARCH("R", 'Dry_Litterbag Placem_Collection'!$T33)),"YES","NO")</f>
        <v>NO</v>
      </c>
      <c r="AJ106" s="252" t="str">
        <f>IF(ISNUMBER(SEARCH("C", 'Dry_Litterbag Placem_Collection'!$S33)),"YES","NO")</f>
        <v>NO</v>
      </c>
      <c r="AK106" s="252" t="str">
        <f>IF(ISNUMBER(SEARCH("H", 'Dry_Litterbag Placem_Collection'!$S33)),"YES","NO")</f>
        <v>NO</v>
      </c>
      <c r="AL106" s="252" t="str">
        <f>IF(ISNUMBER(SEARCH("R", 'Dry_Litterbag Placem_Collection'!$S33)),"YES","NO")</f>
        <v>NO</v>
      </c>
    </row>
    <row r="107" spans="2:38">
      <c r="B107" t="str">
        <f>'Final data_for_R_analysis_Dryse'!A33</f>
        <v>Dry</v>
      </c>
      <c r="C107" s="260">
        <f>'Final data_for_R_analysis_Dryse'!B33</f>
        <v>32</v>
      </c>
      <c r="D107" t="s">
        <v>3804</v>
      </c>
      <c r="E107" t="s">
        <v>22</v>
      </c>
      <c r="F107" s="382">
        <v>8</v>
      </c>
      <c r="G107" s="16">
        <f>IF('Dry_Litterbag Placem_Collection'!E34="","",'Dry_Litterbag Placem_Collection'!E34)</f>
        <v>42936</v>
      </c>
      <c r="H107" t="str">
        <f>'Final data_for_R_analysis_Dryse'!K33</f>
        <v>G193</v>
      </c>
      <c r="I107" t="str">
        <f>'Final data_for_R_analysis_Dryse'!K253</f>
        <v>R743</v>
      </c>
      <c r="J107">
        <f>IFERROR(INDEX('Green_rooibos initial weight'!$C$5:$C$2000,MATCH(H107, 'Green_rooibos initial weight'!$A$5:$A$2000,0)),"")</f>
        <v>2.177</v>
      </c>
      <c r="K107">
        <f>IFERROR(INDEX('Green_rooibos initial weight'!$C$5:$C$2000,MATCH(I107, 'Green_rooibos initial weight'!$A$5:$A$2000,0)),"")</f>
        <v>2.2480000000000002</v>
      </c>
      <c r="L107" s="194">
        <f t="shared" si="4"/>
        <v>1.9272</v>
      </c>
      <c r="M107" s="237">
        <f>AVERAGE(Ashed_controlls!$K$1:$K$11)</f>
        <v>5.5147656768714146</v>
      </c>
      <c r="N107" s="194">
        <f t="shared" si="0"/>
        <v>1.8209194358753342</v>
      </c>
      <c r="O107" s="194">
        <f t="shared" si="5"/>
        <v>1.9982000000000002</v>
      </c>
      <c r="P107" s="237">
        <f>AVERAGE(Ashed_controlls!$K$12:$K$14)</f>
        <v>2.2816647271287041</v>
      </c>
      <c r="Q107" s="194">
        <f t="shared" si="1"/>
        <v>1.9526077754225144</v>
      </c>
      <c r="R107" s="16">
        <f>IF('Dry_Litterbag Placem_Collection'!G34="","",'Dry_Litterbag Placem_Collection'!G34)</f>
        <v>43007</v>
      </c>
      <c r="S107" s="194">
        <f>IFERROR(INDEX('Both teabags AfterDry'!$D$3:$D$2000,MATCH(H107,'Both teabags AfterDry'!$A$3:$A$2000,0)),"")</f>
        <v>1.8848</v>
      </c>
      <c r="T107" s="194">
        <f>IFERROR(INDEX('Both teabags AfterDry'!$D$3:$D$2000,MATCH(I107,'Both teabags AfterDry'!$A$3:$A$2000,0)),"")</f>
        <v>1.9944999999999999</v>
      </c>
      <c r="U107" s="194">
        <f t="shared" si="6"/>
        <v>1.7342</v>
      </c>
      <c r="V107" s="194">
        <f t="shared" si="7"/>
        <v>1.8438999999999999</v>
      </c>
      <c r="W107" s="194">
        <f>IFERROR(INDEX('Ashed teabags dry'!$K$2:$K$2000,MATCH(H107,'Ashed teabags dry'!$A$2:$A$2000,0)),"")</f>
        <v>6.5004452359746852</v>
      </c>
      <c r="X107" s="194">
        <f>IFERROR(INDEX('Ashed teabags dry'!$K$2:$K$2000,MATCH(I107,'Ashed teabags dry'!$A$2:$A$2000,0)),"")</f>
        <v>3.3151904997520401</v>
      </c>
      <c r="Y107" s="194">
        <f t="shared" si="2"/>
        <v>1.6214692787177269</v>
      </c>
      <c r="Z107" s="194">
        <f t="shared" si="2"/>
        <v>1.7827712023750719</v>
      </c>
      <c r="AA107" s="194">
        <f t="shared" si="8"/>
        <v>0.10953266422889796</v>
      </c>
      <c r="AB107" s="194">
        <f t="shared" si="9"/>
        <v>7.1807637356712195E-2</v>
      </c>
      <c r="AC107" s="194">
        <f t="shared" si="3"/>
        <v>0.91302064081420942</v>
      </c>
      <c r="AD107">
        <f t="shared" si="10"/>
        <v>71</v>
      </c>
      <c r="AE107" s="194">
        <f t="shared" si="11"/>
        <v>0.86991370044073879</v>
      </c>
      <c r="AF107" s="194" t="str">
        <f t="shared" si="12"/>
        <v/>
      </c>
      <c r="AG107" s="252" t="str">
        <f>IF(ISNUMBER(SEARCH("C", 'Dry_Litterbag Placem_Collection'!$T34)),"YES","NO")</f>
        <v>NO</v>
      </c>
      <c r="AH107" s="252" t="str">
        <f>IF(ISNUMBER(SEARCH("H", 'Dry_Litterbag Placem_Collection'!$T34)),"YES","NO")</f>
        <v>NO</v>
      </c>
      <c r="AI107" s="252" t="str">
        <f>IF(ISNUMBER(SEARCH("R", 'Dry_Litterbag Placem_Collection'!$T34)),"YES","NO")</f>
        <v>NO</v>
      </c>
      <c r="AJ107" s="252" t="str">
        <f>IF(ISNUMBER(SEARCH("C", 'Dry_Litterbag Placem_Collection'!$S34)),"YES","NO")</f>
        <v>NO</v>
      </c>
      <c r="AK107" s="252" t="str">
        <f>IF(ISNUMBER(SEARCH("H", 'Dry_Litterbag Placem_Collection'!$S34)),"YES","NO")</f>
        <v>NO</v>
      </c>
      <c r="AL107" s="252" t="str">
        <f>IF(ISNUMBER(SEARCH("R", 'Dry_Litterbag Placem_Collection'!$S34)),"YES","NO")</f>
        <v>NO</v>
      </c>
    </row>
    <row r="108" spans="2:38">
      <c r="B108" t="str">
        <f>'Final data_for_R_analysis_Dryse'!A34</f>
        <v>Dry</v>
      </c>
      <c r="C108" s="260">
        <f>'Final data_for_R_analysis_Dryse'!B34</f>
        <v>33</v>
      </c>
      <c r="D108" t="s">
        <v>3805</v>
      </c>
      <c r="E108" t="s">
        <v>22</v>
      </c>
      <c r="F108" s="381">
        <v>1</v>
      </c>
      <c r="G108" s="16">
        <f>IF('Dry_Litterbag Placem_Collection'!E35="","",'Dry_Litterbag Placem_Collection'!E35)</f>
        <v>42938</v>
      </c>
      <c r="H108" t="str">
        <f>'Final data_for_R_analysis_Dryse'!K34</f>
        <v>G218</v>
      </c>
      <c r="I108" t="str">
        <f>'Final data_for_R_analysis_Dryse'!K254</f>
        <v>R769</v>
      </c>
      <c r="J108">
        <f>IFERROR(INDEX('Green_rooibos initial weight'!$C$5:$C$2000,MATCH(H108, 'Green_rooibos initial weight'!$A$5:$A$2000,0)),"")</f>
        <v>1.96</v>
      </c>
      <c r="K108">
        <f>IFERROR(INDEX('Green_rooibos initial weight'!$C$5:$C$2000,MATCH(I108, 'Green_rooibos initial weight'!$A$5:$A$2000,0)),"")</f>
        <v>2.2480000000000002</v>
      </c>
      <c r="L108" s="194">
        <f t="shared" si="4"/>
        <v>1.7101999999999999</v>
      </c>
      <c r="M108" s="237">
        <f>AVERAGE(Ashed_controlls!$K$1:$K$11)</f>
        <v>5.5147656768714146</v>
      </c>
      <c r="N108" s="194">
        <f t="shared" si="0"/>
        <v>1.615886477394145</v>
      </c>
      <c r="O108" s="194">
        <f t="shared" si="5"/>
        <v>1.9982000000000002</v>
      </c>
      <c r="P108" s="237">
        <f>AVERAGE(Ashed_controlls!$K$12:$K$14)</f>
        <v>2.2816647271287041</v>
      </c>
      <c r="Q108" s="194">
        <f t="shared" si="1"/>
        <v>1.9526077754225144</v>
      </c>
      <c r="R108" s="16">
        <f>IF('Dry_Litterbag Placem_Collection'!G35="","",'Dry_Litterbag Placem_Collection'!G35)</f>
        <v>43005</v>
      </c>
      <c r="S108" s="194">
        <f>IFERROR(INDEX('Both teabags AfterDry'!$D$3:$D$2000,MATCH(H108,'Both teabags AfterDry'!$A$3:$A$2000,0)),"")</f>
        <v>1.7766</v>
      </c>
      <c r="T108" s="194">
        <f>IFERROR(INDEX('Both teabags AfterDry'!$D$3:$D$2000,MATCH(I108,'Both teabags AfterDry'!$A$3:$A$2000,0)),"")</f>
        <v>1.9911000000000001</v>
      </c>
      <c r="U108" s="194">
        <f t="shared" si="6"/>
        <v>1.6259999999999999</v>
      </c>
      <c r="V108" s="194">
        <f t="shared" si="7"/>
        <v>1.8405</v>
      </c>
      <c r="W108" s="194">
        <f>IFERROR(INDEX('Ashed teabags dry'!$K$2:$K$2000,MATCH(H108,'Ashed teabags dry'!$A$2:$A$2000,0)),"")</f>
        <v>5.8311575282857895</v>
      </c>
      <c r="X108" s="194">
        <f>IFERROR(INDEX('Ashed teabags dry'!$K$2:$K$2000,MATCH(I108,'Ashed teabags dry'!$A$2:$A$2000,0)),"")</f>
        <v>2.7544351073765245</v>
      </c>
      <c r="Y108" s="194">
        <f t="shared" si="2"/>
        <v>1.5311853785900729</v>
      </c>
      <c r="Z108" s="194">
        <f t="shared" si="2"/>
        <v>1.7898046218487351</v>
      </c>
      <c r="AA108" s="194">
        <f t="shared" si="8"/>
        <v>5.2417728589860602E-2</v>
      </c>
      <c r="AB108" s="194">
        <f t="shared" si="9"/>
        <v>3.4364116605229277E-2</v>
      </c>
      <c r="AC108" s="194">
        <f t="shared" si="3"/>
        <v>0.91662270547982883</v>
      </c>
      <c r="AD108">
        <f t="shared" si="10"/>
        <v>67</v>
      </c>
      <c r="AE108" s="194">
        <f t="shared" si="11"/>
        <v>0.93774616557023682</v>
      </c>
      <c r="AF108" s="194" t="str">
        <f t="shared" si="12"/>
        <v/>
      </c>
      <c r="AG108" s="252" t="str">
        <f>IF(ISNUMBER(SEARCH("C", 'Dry_Litterbag Placem_Collection'!$T35)),"YES","NO")</f>
        <v>NO</v>
      </c>
      <c r="AH108" s="252" t="str">
        <f>IF(ISNUMBER(SEARCH("H", 'Dry_Litterbag Placem_Collection'!$T35)),"YES","NO")</f>
        <v>NO</v>
      </c>
      <c r="AI108" s="252" t="str">
        <f>IF(ISNUMBER(SEARCH("R", 'Dry_Litterbag Placem_Collection'!$T35)),"YES","NO")</f>
        <v>NO</v>
      </c>
      <c r="AJ108" s="252" t="str">
        <f>IF(ISNUMBER(SEARCH("C", 'Dry_Litterbag Placem_Collection'!$S35)),"YES","NO")</f>
        <v>NO</v>
      </c>
      <c r="AK108" s="252" t="str">
        <f>IF(ISNUMBER(SEARCH("H", 'Dry_Litterbag Placem_Collection'!$S35)),"YES","NO")</f>
        <v>NO</v>
      </c>
      <c r="AL108" s="252" t="str">
        <f>IF(ISNUMBER(SEARCH("R", 'Dry_Litterbag Placem_Collection'!$S35)),"YES","NO")</f>
        <v>NO</v>
      </c>
    </row>
    <row r="109" spans="2:38">
      <c r="B109" t="str">
        <f>'Final data_for_R_analysis_Dryse'!A35</f>
        <v>Dry</v>
      </c>
      <c r="C109" s="260">
        <f>'Final data_for_R_analysis_Dryse'!B35</f>
        <v>34</v>
      </c>
      <c r="D109" t="s">
        <v>3805</v>
      </c>
      <c r="E109" t="s">
        <v>22</v>
      </c>
      <c r="F109" s="381">
        <v>2</v>
      </c>
      <c r="G109" s="16">
        <f>IF('Dry_Litterbag Placem_Collection'!E36="","",'Dry_Litterbag Placem_Collection'!E36)</f>
        <v>42938</v>
      </c>
      <c r="H109" t="str">
        <f>'Final data_for_R_analysis_Dryse'!K35</f>
        <v>G104</v>
      </c>
      <c r="I109" t="str">
        <f>'Final data_for_R_analysis_Dryse'!K255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4"/>
        <v>1.7761999999999998</v>
      </c>
      <c r="M109" s="237">
        <f>AVERAGE(Ashed_controlls!$K$1:$K$11)</f>
        <v>5.5147656768714146</v>
      </c>
      <c r="N109" s="194">
        <f t="shared" si="0"/>
        <v>1.6782467320474097</v>
      </c>
      <c r="O109" s="194">
        <f t="shared" si="5"/>
        <v>1.9902000000000002</v>
      </c>
      <c r="P109" s="237">
        <f>AVERAGE(Ashed_controlls!$K$12:$K$14)</f>
        <v>2.2816647271287041</v>
      </c>
      <c r="Q109" s="194">
        <f t="shared" si="1"/>
        <v>1.9447903086006848</v>
      </c>
      <c r="R109" s="16">
        <f>IF('Dry_Litterbag Placem_Collection'!G36="","",'Dry_Litterbag Placem_Collection'!G36)</f>
        <v>43005</v>
      </c>
      <c r="S109" s="194" t="str">
        <f>IFERROR(INDEX('Both teabags AfterDry'!$D$3:$D$2000,MATCH(H109,'Both teabags AfterDry'!$A$3:$A$2000,0)),"")</f>
        <v/>
      </c>
      <c r="T109" s="194" t="str">
        <f>IFERROR(INDEX('Both teabags AfterDry'!$D$3:$D$2000,MATCH(I109,'Both teabags AfterDry'!$A$3:$A$2000,0)),"")</f>
        <v/>
      </c>
      <c r="U109" s="194" t="str">
        <f t="shared" si="6"/>
        <v/>
      </c>
      <c r="V109" s="194" t="str">
        <f t="shared" si="7"/>
        <v/>
      </c>
      <c r="W109" s="194" t="str">
        <f>IFERROR(INDEX('Ashed teabags dry'!$K$2:$K$2000,MATCH(H109,'Ashed teabags dry'!$A$2:$A$2000,0)),"")</f>
        <v/>
      </c>
      <c r="X109" s="194" t="str">
        <f>IFERROR(INDEX('Ashed teabags dry'!$K$2:$K$2000,MATCH(I109,'Ashed teabags dry'!$A$2:$A$2000,0)),"")</f>
        <v/>
      </c>
      <c r="Y109" s="194" t="str">
        <f t="shared" si="2"/>
        <v/>
      </c>
      <c r="Z109" s="194" t="str">
        <f t="shared" si="2"/>
        <v/>
      </c>
      <c r="AA109" s="194" t="str">
        <f t="shared" si="8"/>
        <v/>
      </c>
      <c r="AB109" s="194" t="str">
        <f t="shared" si="9"/>
        <v/>
      </c>
      <c r="AC109" s="194" t="str">
        <f t="shared" si="3"/>
        <v/>
      </c>
      <c r="AD109">
        <f t="shared" si="10"/>
        <v>67</v>
      </c>
      <c r="AE109" s="194" t="str">
        <f t="shared" si="11"/>
        <v/>
      </c>
      <c r="AF109" s="194" t="str">
        <f t="shared" si="12"/>
        <v/>
      </c>
      <c r="AG109" s="252" t="str">
        <f>IF(ISNUMBER(SEARCH("C", 'Dry_Litterbag Placem_Collection'!$T36)),"YES","NO")</f>
        <v>NO</v>
      </c>
      <c r="AH109" s="252" t="str">
        <f>IF(ISNUMBER(SEARCH("H", 'Dry_Litterbag Placem_Collection'!$T36)),"YES","NO")</f>
        <v>NO</v>
      </c>
      <c r="AI109" s="252" t="str">
        <f>IF(ISNUMBER(SEARCH("R", 'Dry_Litterbag Placem_Collection'!$T36)),"YES","NO")</f>
        <v>NO</v>
      </c>
      <c r="AJ109" s="252" t="str">
        <f>IF(ISNUMBER(SEARCH("C", 'Dry_Litterbag Placem_Collection'!$S36)),"YES","NO")</f>
        <v>NO</v>
      </c>
      <c r="AK109" s="252" t="str">
        <f>IF(ISNUMBER(SEARCH("H", 'Dry_Litterbag Placem_Collection'!$S36)),"YES","NO")</f>
        <v>YES</v>
      </c>
      <c r="AL109" s="252" t="str">
        <f>IF(ISNUMBER(SEARCH("R", 'Dry_Litterbag Placem_Collection'!$S36)),"YES","NO")</f>
        <v>NO</v>
      </c>
    </row>
    <row r="110" spans="2:38">
      <c r="B110" t="str">
        <f>'Final data_for_R_analysis_Dryse'!A36</f>
        <v>Dry</v>
      </c>
      <c r="C110" s="260">
        <f>'Final data_for_R_analysis_Dryse'!B36</f>
        <v>35</v>
      </c>
      <c r="D110" t="s">
        <v>3805</v>
      </c>
      <c r="E110" t="s">
        <v>22</v>
      </c>
      <c r="F110" s="381">
        <v>3</v>
      </c>
      <c r="G110" s="16">
        <f>IF('Dry_Litterbag Placem_Collection'!E37="","",'Dry_Litterbag Placem_Collection'!E37)</f>
        <v>42938</v>
      </c>
      <c r="H110" t="str">
        <f>'Final data_for_R_analysis_Dryse'!K36</f>
        <v>G188</v>
      </c>
      <c r="I110" t="str">
        <f>'Final data_for_R_analysis_Dryse'!K256</f>
        <v>R776</v>
      </c>
      <c r="J110">
        <f>IFERROR(INDEX('Green_rooibos initial weight'!$C$5:$C$2000,MATCH(H110, 'Green_rooibos initial weight'!$A$5:$A$2000,0)),"")</f>
        <v>1.952</v>
      </c>
      <c r="K110">
        <f>IFERROR(INDEX('Green_rooibos initial weight'!$C$5:$C$2000,MATCH(I110, 'Green_rooibos initial weight'!$A$5:$A$2000,0)),"")</f>
        <v>2.1989999999999998</v>
      </c>
      <c r="L110" s="194">
        <f t="shared" si="4"/>
        <v>1.7021999999999999</v>
      </c>
      <c r="M110" s="237">
        <f>AVERAGE(Ashed_controlls!$K$1:$K$11)</f>
        <v>5.5147656768714146</v>
      </c>
      <c r="N110" s="194">
        <f t="shared" si="0"/>
        <v>1.6083276586482946</v>
      </c>
      <c r="O110" s="194">
        <f t="shared" si="5"/>
        <v>1.9491999999999998</v>
      </c>
      <c r="P110" s="237">
        <f>AVERAGE(Ashed_controlls!$K$12:$K$14)</f>
        <v>2.2816647271287041</v>
      </c>
      <c r="Q110" s="194">
        <f t="shared" si="1"/>
        <v>1.9047257911388071</v>
      </c>
      <c r="R110" s="16">
        <f>IF('Dry_Litterbag Placem_Collection'!G37="","",'Dry_Litterbag Placem_Collection'!G37)</f>
        <v>43005</v>
      </c>
      <c r="S110" s="194">
        <f>IFERROR(INDEX('Both teabags AfterDry'!$D$3:$D$2000,MATCH(H110,'Both teabags AfterDry'!$A$3:$A$2000,0)),"")</f>
        <v>1.7849999999999999</v>
      </c>
      <c r="T110" s="194">
        <f>IFERROR(INDEX('Both teabags AfterDry'!$D$3:$D$2000,MATCH(I110,'Both teabags AfterDry'!$A$3:$A$2000,0)),"")</f>
        <v>1.9447000000000001</v>
      </c>
      <c r="U110" s="194">
        <f t="shared" si="6"/>
        <v>1.6343999999999999</v>
      </c>
      <c r="V110" s="194">
        <f t="shared" si="7"/>
        <v>1.7941</v>
      </c>
      <c r="W110" s="194">
        <f>IFERROR(INDEX('Ashed teabags dry'!$K$2:$K$2000,MATCH(H110,'Ashed teabags dry'!$A$2:$A$2000,0)),"")</f>
        <v>5.9055118110234908</v>
      </c>
      <c r="X110" s="194">
        <f>IFERROR(INDEX('Ashed teabags dry'!$K$2:$K$2000,MATCH(I110,'Ashed teabags dry'!$A$2:$A$2000,0)),"")</f>
        <v>3.3316506814742248</v>
      </c>
      <c r="Y110" s="194">
        <f t="shared" si="2"/>
        <v>1.5378803149606319</v>
      </c>
      <c r="Z110" s="194">
        <f t="shared" si="2"/>
        <v>1.734326855123671</v>
      </c>
      <c r="AA110" s="194">
        <f t="shared" si="8"/>
        <v>4.3801611760422965E-2</v>
      </c>
      <c r="AB110" s="194">
        <f t="shared" si="9"/>
        <v>2.8715545952201289E-2</v>
      </c>
      <c r="AC110" s="194">
        <f t="shared" si="3"/>
        <v>0.91053886244000659</v>
      </c>
      <c r="AD110">
        <f t="shared" si="10"/>
        <v>67</v>
      </c>
      <c r="AE110" s="194">
        <f t="shared" si="11"/>
        <v>0.94797908341992521</v>
      </c>
      <c r="AF110" s="194" t="str">
        <f t="shared" si="12"/>
        <v/>
      </c>
      <c r="AG110" s="252" t="str">
        <f>IF(ISNUMBER(SEARCH("C", 'Dry_Litterbag Placem_Collection'!$T37)),"YES","NO")</f>
        <v>NO</v>
      </c>
      <c r="AH110" s="252" t="str">
        <f>IF(ISNUMBER(SEARCH("H", 'Dry_Litterbag Placem_Collection'!$T37)),"YES","NO")</f>
        <v>NO</v>
      </c>
      <c r="AI110" s="252" t="str">
        <f>IF(ISNUMBER(SEARCH("R", 'Dry_Litterbag Placem_Collection'!$T37)),"YES","NO")</f>
        <v>NO</v>
      </c>
      <c r="AJ110" s="252" t="str">
        <f>IF(ISNUMBER(SEARCH("C", 'Dry_Litterbag Placem_Collection'!$S37)),"YES","NO")</f>
        <v>NO</v>
      </c>
      <c r="AK110" s="252" t="str">
        <f>IF(ISNUMBER(SEARCH("H", 'Dry_Litterbag Placem_Collection'!$S37)),"YES","NO")</f>
        <v>NO</v>
      </c>
      <c r="AL110" s="252" t="str">
        <f>IF(ISNUMBER(SEARCH("R", 'Dry_Litterbag Placem_Collection'!$S37)),"YES","NO")</f>
        <v>NO</v>
      </c>
    </row>
    <row r="111" spans="2:38">
      <c r="B111" t="str">
        <f>'Final data_for_R_analysis_Dryse'!A37</f>
        <v>Dry</v>
      </c>
      <c r="C111" s="260">
        <f>'Final data_for_R_analysis_Dryse'!B37</f>
        <v>36</v>
      </c>
      <c r="D111" t="s">
        <v>3805</v>
      </c>
      <c r="E111" t="s">
        <v>22</v>
      </c>
      <c r="F111" s="382">
        <v>4</v>
      </c>
      <c r="G111" s="16">
        <f>IF('Dry_Litterbag Placem_Collection'!E38="","",'Dry_Litterbag Placem_Collection'!E38)</f>
        <v>42938</v>
      </c>
      <c r="H111" t="str">
        <f>'Final data_for_R_analysis_Dryse'!K37</f>
        <v>G379</v>
      </c>
      <c r="I111" t="str">
        <f>'Final data_for_R_analysis_Dryse'!K257</f>
        <v>R799</v>
      </c>
      <c r="J111">
        <f>IFERROR(INDEX('Green_rooibos initial weight'!$C$5:$C$2000,MATCH(H111, 'Green_rooibos initial weight'!$A$5:$A$2000,0)),"")</f>
        <v>2.052</v>
      </c>
      <c r="K111">
        <f>IFERROR(INDEX('Green_rooibos initial weight'!$C$5:$C$2000,MATCH(I111, 'Green_rooibos initial weight'!$A$5:$A$2000,0)),"")</f>
        <v>2.2040000000000002</v>
      </c>
      <c r="L111" s="194">
        <f t="shared" si="4"/>
        <v>1.8022</v>
      </c>
      <c r="M111" s="237">
        <f>AVERAGE(Ashed_controlls!$K$1:$K$11)</f>
        <v>5.5147656768714146</v>
      </c>
      <c r="N111" s="194">
        <f t="shared" si="0"/>
        <v>1.7028128929714235</v>
      </c>
      <c r="O111" s="194">
        <f t="shared" si="5"/>
        <v>1.9542000000000002</v>
      </c>
      <c r="P111" s="237">
        <f>AVERAGE(Ashed_controlls!$K$12:$K$14)</f>
        <v>2.2816647271287041</v>
      </c>
      <c r="Q111" s="194">
        <f t="shared" si="1"/>
        <v>1.909611707902451</v>
      </c>
      <c r="R111" s="16">
        <f>IF('Dry_Litterbag Placem_Collection'!G38="","",'Dry_Litterbag Placem_Collection'!G38)</f>
        <v>43005</v>
      </c>
      <c r="S111" s="194">
        <f>IFERROR(INDEX('Both teabags AfterDry'!$D$3:$D$2000,MATCH(H111,'Both teabags AfterDry'!$A$3:$A$2000,0)),"")</f>
        <v>1.65</v>
      </c>
      <c r="T111" s="194">
        <f>IFERROR(INDEX('Both teabags AfterDry'!$D$3:$D$2000,MATCH(I111,'Both teabags AfterDry'!$A$3:$A$2000,0)),"")</f>
        <v>1.3494999999999999</v>
      </c>
      <c r="U111" s="194">
        <f t="shared" si="6"/>
        <v>1.4993999999999998</v>
      </c>
      <c r="V111" s="194">
        <f t="shared" si="7"/>
        <v>1.1988999999999999</v>
      </c>
      <c r="W111" s="194">
        <f>IFERROR(INDEX('Ashed teabags dry'!$K$2:$K$2000,MATCH(H111,'Ashed teabags dry'!$A$2:$A$2000,0)),"")</f>
        <v>8.6725663716812598</v>
      </c>
      <c r="X111" s="194">
        <f>IFERROR(INDEX('Ashed teabags dry'!$K$2:$K$2000,MATCH(I111,'Ashed teabags dry'!$A$2:$A$2000,0)),"")</f>
        <v>96.616541353382999</v>
      </c>
      <c r="Y111" s="194">
        <f t="shared" si="2"/>
        <v>1.3693635398230111</v>
      </c>
      <c r="Z111" s="194">
        <f t="shared" si="2"/>
        <v>4.0564285714291159E-2</v>
      </c>
      <c r="AA111" s="194">
        <f t="shared" si="8"/>
        <v>0.19582266174091523</v>
      </c>
      <c r="AB111" s="194">
        <f t="shared" si="9"/>
        <v>0.12837780199641949</v>
      </c>
      <c r="AC111" s="194">
        <f t="shared" si="3"/>
        <v>2.1242164334469672E-2</v>
      </c>
      <c r="AD111">
        <f t="shared" si="10"/>
        <v>67</v>
      </c>
      <c r="AE111" s="194">
        <f t="shared" si="11"/>
        <v>0.76743151812242849</v>
      </c>
      <c r="AF111" s="194" t="str">
        <f t="shared" si="12"/>
        <v/>
      </c>
      <c r="AG111" s="252" t="str">
        <f>IF(ISNUMBER(SEARCH("C", 'Dry_Litterbag Placem_Collection'!$T38)),"YES","NO")</f>
        <v>YES</v>
      </c>
      <c r="AH111" s="252" t="str">
        <f>IF(ISNUMBER(SEARCH("H", 'Dry_Litterbag Placem_Collection'!$T38)),"YES","NO")</f>
        <v>YES</v>
      </c>
      <c r="AI111" s="252" t="str">
        <f>IF(ISNUMBER(SEARCH("R", 'Dry_Litterbag Placem_Collection'!$T38)),"YES","NO")</f>
        <v>NO</v>
      </c>
      <c r="AJ111" s="252" t="str">
        <f>IF(ISNUMBER(SEARCH("C", 'Dry_Litterbag Placem_Collection'!$S38)),"YES","NO")</f>
        <v>NO</v>
      </c>
      <c r="AK111" s="252" t="str">
        <f>IF(ISNUMBER(SEARCH("H", 'Dry_Litterbag Placem_Collection'!$S38)),"YES","NO")</f>
        <v>NO</v>
      </c>
      <c r="AL111" s="252" t="str">
        <f>IF(ISNUMBER(SEARCH("R", 'Dry_Litterbag Placem_Collection'!$S38)),"YES","NO")</f>
        <v>NO</v>
      </c>
    </row>
    <row r="112" spans="2:38">
      <c r="B112" t="str">
        <f>'Final data_for_R_analysis_Dryse'!A38</f>
        <v>Dry</v>
      </c>
      <c r="C112" s="260">
        <f>'Final data_for_R_analysis_Dryse'!B38</f>
        <v>37</v>
      </c>
      <c r="D112" t="s">
        <v>3805</v>
      </c>
      <c r="E112" t="s">
        <v>22</v>
      </c>
      <c r="F112" s="382">
        <v>5</v>
      </c>
      <c r="G112" s="16">
        <f>IF('Dry_Litterbag Placem_Collection'!E39="","",'Dry_Litterbag Placem_Collection'!E39)</f>
        <v>42938</v>
      </c>
      <c r="H112" t="str">
        <f>'Final data_for_R_analysis_Dryse'!K38</f>
        <v>G66</v>
      </c>
      <c r="I112" t="str">
        <f>'Final data_for_R_analysis_Dryse'!K258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4"/>
        <v>1.6992</v>
      </c>
      <c r="M112" s="237">
        <f>AVERAGE(Ashed_controlls!$K$1:$K$11)</f>
        <v>5.5147656768714146</v>
      </c>
      <c r="N112" s="194">
        <f t="shared" si="0"/>
        <v>1.6054931016186009</v>
      </c>
      <c r="O112" s="194">
        <f t="shared" si="5"/>
        <v>1.9571999999999998</v>
      </c>
      <c r="P112" s="237">
        <f>AVERAGE(Ashed_controlls!$K$12:$K$14)</f>
        <v>2.2816647271287041</v>
      </c>
      <c r="Q112" s="194">
        <f t="shared" si="1"/>
        <v>1.9125432579606367</v>
      </c>
      <c r="R112" s="16">
        <f>IF('Dry_Litterbag Placem_Collection'!G39="","",'Dry_Litterbag Placem_Collection'!G39)</f>
        <v>43005</v>
      </c>
      <c r="S112" s="194">
        <f>IFERROR(INDEX('Both teabags AfterDry'!$D$3:$D$2000,MATCH(H112,'Both teabags AfterDry'!$A$3:$A$2000,0)),"")</f>
        <v>3.3298000000000001</v>
      </c>
      <c r="T112" s="194">
        <f>IFERROR(INDEX('Both teabags AfterDry'!$D$3:$D$2000,MATCH(I112,'Both teabags AfterDry'!$A$3:$A$2000,0)),"")</f>
        <v>0.13320000000000001</v>
      </c>
      <c r="U112" s="194">
        <f t="shared" si="6"/>
        <v>3.1792000000000002</v>
      </c>
      <c r="V112" s="194">
        <f t="shared" si="7"/>
        <v>-1.7399999999999999E-2</v>
      </c>
      <c r="W112" s="194">
        <f>IFERROR(INDEX('Ashed teabags dry'!$K$2:$K$2000,MATCH(H112,'Ashed teabags dry'!$A$2:$A$2000,0)),"")</f>
        <v>73.511543134872284</v>
      </c>
      <c r="X112" s="194">
        <f>IFERROR(INDEX('Ashed teabags dry'!$K$2:$K$2000,MATCH(I112,'Ashed teabags dry'!$A$2:$A$2000,0)),"")</f>
        <v>96.545105566220045</v>
      </c>
      <c r="Y112" s="194">
        <f t="shared" si="2"/>
        <v>0.84212102065614047</v>
      </c>
      <c r="Z112" s="194">
        <f t="shared" si="2"/>
        <v>-6.0115163147771156E-4</v>
      </c>
      <c r="AA112" s="194">
        <f t="shared" si="8"/>
        <v>0.47547515476264324</v>
      </c>
      <c r="AB112" s="194">
        <f t="shared" si="9"/>
        <v>0.31171292806292056</v>
      </c>
      <c r="AC112" s="194">
        <f t="shared" si="3"/>
        <v>-3.1432054097365898E-4</v>
      </c>
      <c r="AD112">
        <f t="shared" si="10"/>
        <v>67</v>
      </c>
      <c r="AE112" s="194">
        <f t="shared" si="11"/>
        <v>0.43530266655268024</v>
      </c>
      <c r="AF112" s="194" t="str">
        <f t="shared" si="12"/>
        <v/>
      </c>
      <c r="AG112" s="252" t="str">
        <f>IF(ISNUMBER(SEARCH("C", 'Dry_Litterbag Placem_Collection'!$T39)),"YES","NO")</f>
        <v>YES</v>
      </c>
      <c r="AH112" s="252" t="str">
        <f>IF(ISNUMBER(SEARCH("H", 'Dry_Litterbag Placem_Collection'!$T39)),"YES","NO")</f>
        <v>YES</v>
      </c>
      <c r="AI112" s="252" t="str">
        <f>IF(ISNUMBER(SEARCH("R", 'Dry_Litterbag Placem_Collection'!$T39)),"YES","NO")</f>
        <v>NO</v>
      </c>
      <c r="AJ112" s="252" t="str">
        <f>IF(ISNUMBER(SEARCH("C", 'Dry_Litterbag Placem_Collection'!$S39)),"YES","NO")</f>
        <v>YES</v>
      </c>
      <c r="AK112" s="252" t="str">
        <f>IF(ISNUMBER(SEARCH("H", 'Dry_Litterbag Placem_Collection'!$S39)),"YES","NO")</f>
        <v>YES</v>
      </c>
      <c r="AL112" s="252" t="str">
        <f>IF(ISNUMBER(SEARCH("R", 'Dry_Litterbag Placem_Collection'!$S39)),"YES","NO")</f>
        <v>NO</v>
      </c>
    </row>
    <row r="113" spans="2:38">
      <c r="B113" t="str">
        <f>'Final data_for_R_analysis_Dryse'!A39</f>
        <v>Dry</v>
      </c>
      <c r="C113" s="260">
        <f>'Final data_for_R_analysis_Dryse'!B39</f>
        <v>38</v>
      </c>
      <c r="D113" t="s">
        <v>3805</v>
      </c>
      <c r="E113" t="s">
        <v>22</v>
      </c>
      <c r="F113" s="382">
        <v>6</v>
      </c>
      <c r="G113" s="16">
        <f>IF('Dry_Litterbag Placem_Collection'!E40="","",'Dry_Litterbag Placem_Collection'!E40)</f>
        <v>42938</v>
      </c>
      <c r="H113" t="str">
        <f>'Final data_for_R_analysis_Dryse'!K39</f>
        <v>G625</v>
      </c>
      <c r="I113" t="str">
        <f>'Final data_for_R_analysis_Dryse'!K259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4"/>
        <v>1.7152000000000001</v>
      </c>
      <c r="M113" s="237">
        <f>AVERAGE(Ashed_controlls!$K$1:$K$11)</f>
        <v>5.5147656768714146</v>
      </c>
      <c r="N113" s="194">
        <f t="shared" si="0"/>
        <v>1.6206107391103015</v>
      </c>
      <c r="O113" s="194">
        <f t="shared" si="5"/>
        <v>1.9862000000000002</v>
      </c>
      <c r="P113" s="237">
        <f>AVERAGE(Ashed_controlls!$K$12:$K$14)</f>
        <v>2.2816647271287041</v>
      </c>
      <c r="Q113" s="194">
        <f t="shared" si="1"/>
        <v>1.9408815751897699</v>
      </c>
      <c r="R113" s="16">
        <f>IF('Dry_Litterbag Placem_Collection'!G40="","",'Dry_Litterbag Placem_Collection'!G40)</f>
        <v>43005</v>
      </c>
      <c r="S113" s="194">
        <f>IFERROR(INDEX('Both teabags AfterDry'!$D$3:$D$2000,MATCH(H113,'Both teabags AfterDry'!$A$3:$A$2000,0)),"")</f>
        <v>1.8379000000000001</v>
      </c>
      <c r="T113" s="194">
        <f>IFERROR(INDEX('Both teabags AfterDry'!$D$3:$D$2000,MATCH(I113,'Both teabags AfterDry'!$A$3:$A$2000,0)),"")</f>
        <v>1.9076</v>
      </c>
      <c r="U113" s="194">
        <f t="shared" si="6"/>
        <v>1.6873</v>
      </c>
      <c r="V113" s="194">
        <f t="shared" si="7"/>
        <v>1.7569999999999999</v>
      </c>
      <c r="W113" s="194">
        <f>IFERROR(INDEX('Ashed teabags dry'!$K$2:$K$2000,MATCH(H113,'Ashed teabags dry'!$A$2:$A$2000,0)),"")</f>
        <v>9.99592003263969</v>
      </c>
      <c r="X113" s="194">
        <f>IFERROR(INDEX('Ashed teabags dry'!$K$2:$K$2000,MATCH(I113,'Ashed teabags dry'!$A$2:$A$2000,0)),"")</f>
        <v>4.810004810006216</v>
      </c>
      <c r="Y113" s="194">
        <f t="shared" si="2"/>
        <v>1.5186388412892706</v>
      </c>
      <c r="Z113" s="194">
        <f t="shared" si="2"/>
        <v>1.6724882154881906</v>
      </c>
      <c r="AA113" s="194">
        <f t="shared" si="8"/>
        <v>6.2921894419268432E-2</v>
      </c>
      <c r="AB113" s="194">
        <f t="shared" si="9"/>
        <v>4.1250458099092856E-2</v>
      </c>
      <c r="AC113" s="194">
        <f t="shared" si="3"/>
        <v>0.86171574652856542</v>
      </c>
      <c r="AD113">
        <f t="shared" si="10"/>
        <v>67</v>
      </c>
      <c r="AE113" s="194">
        <f t="shared" si="11"/>
        <v>0.92527090924077382</v>
      </c>
      <c r="AF113" s="194" t="str">
        <f t="shared" si="12"/>
        <v/>
      </c>
      <c r="AG113" s="252" t="str">
        <f>IF(ISNUMBER(SEARCH("C", 'Dry_Litterbag Placem_Collection'!$T40)),"YES","NO")</f>
        <v>NO</v>
      </c>
      <c r="AH113" s="252" t="str">
        <f>IF(ISNUMBER(SEARCH("H", 'Dry_Litterbag Placem_Collection'!$T40)),"YES","NO")</f>
        <v>NO</v>
      </c>
      <c r="AI113" s="252" t="str">
        <f>IF(ISNUMBER(SEARCH("R", 'Dry_Litterbag Placem_Collection'!$T40)),"YES","NO")</f>
        <v>NO</v>
      </c>
      <c r="AJ113" s="252" t="str">
        <f>IF(ISNUMBER(SEARCH("C", 'Dry_Litterbag Placem_Collection'!$S40)),"YES","NO")</f>
        <v>YES</v>
      </c>
      <c r="AK113" s="252" t="str">
        <f>IF(ISNUMBER(SEARCH("H", 'Dry_Litterbag Placem_Collection'!$S40)),"YES","NO")</f>
        <v>YES</v>
      </c>
      <c r="AL113" s="252" t="str">
        <f>IF(ISNUMBER(SEARCH("R", 'Dry_Litterbag Placem_Collection'!$S40)),"YES","NO")</f>
        <v>NO</v>
      </c>
    </row>
    <row r="114" spans="2:38">
      <c r="B114" t="str">
        <f>'Final data_for_R_analysis_Dryse'!A40</f>
        <v>Dry</v>
      </c>
      <c r="C114" s="260">
        <f>'Final data_for_R_analysis_Dryse'!B40</f>
        <v>39</v>
      </c>
      <c r="D114" t="s">
        <v>3805</v>
      </c>
      <c r="E114" t="s">
        <v>22</v>
      </c>
      <c r="F114" s="382">
        <v>7</v>
      </c>
      <c r="G114" s="16">
        <f>IF('Dry_Litterbag Placem_Collection'!E41="","",'Dry_Litterbag Placem_Collection'!E41)</f>
        <v>42938</v>
      </c>
      <c r="H114" t="str">
        <f>'Final data_for_R_analysis_Dryse'!K40</f>
        <v/>
      </c>
      <c r="I114" t="str">
        <f>'Final data_for_R_analysis_Dryse'!K260</f>
        <v/>
      </c>
      <c r="J114" t="str">
        <f>IFERROR(INDEX('Green_rooibos initial weight'!$C$5:$C$2000,MATCH(H114, 'Green_rooibos initial weight'!$A$5:$A$2000,0)),"")</f>
        <v/>
      </c>
      <c r="K114" t="str">
        <f>IFERROR(INDEX('Green_rooibos initial weight'!$C$5:$C$2000,MATCH(I114, 'Green_rooibos initial weight'!$A$5:$A$2000,0)),"")</f>
        <v/>
      </c>
      <c r="L114" s="194" t="str">
        <f t="shared" si="4"/>
        <v/>
      </c>
      <c r="M114" s="237">
        <f>AVERAGE(Ashed_controlls!$K$1:$K$11)</f>
        <v>5.5147656768714146</v>
      </c>
      <c r="N114" s="194" t="str">
        <f t="shared" si="0"/>
        <v/>
      </c>
      <c r="O114" s="194" t="str">
        <f t="shared" si="5"/>
        <v/>
      </c>
      <c r="P114" s="237">
        <f>AVERAGE(Ashed_controlls!$K$12:$K$14)</f>
        <v>2.2816647271287041</v>
      </c>
      <c r="Q114" s="194" t="str">
        <f t="shared" si="1"/>
        <v/>
      </c>
      <c r="R114" s="16" t="str">
        <f>IF('Dry_Litterbag Placem_Collection'!G41="","",'Dry_Litterbag Placem_Collection'!G41)</f>
        <v/>
      </c>
      <c r="S114" s="194" t="str">
        <f>IFERROR(INDEX('Both teabags AfterDry'!$D$3:$D$2000,MATCH(H114,'Both teabags AfterDry'!$A$3:$A$2000,0)),"")</f>
        <v/>
      </c>
      <c r="T114" s="194" t="str">
        <f>IFERROR(INDEX('Both teabags AfterDry'!$D$3:$D$2000,MATCH(I114,'Both teabags AfterDry'!$A$3:$A$2000,0)),"")</f>
        <v/>
      </c>
      <c r="U114" s="194" t="str">
        <f t="shared" si="6"/>
        <v/>
      </c>
      <c r="V114" s="194" t="str">
        <f t="shared" si="7"/>
        <v/>
      </c>
      <c r="W114" s="194" t="str">
        <f>IFERROR(INDEX('Ashed teabags dry'!$K$2:$K$2000,MATCH(H114,'Ashed teabags dry'!$A$2:$A$2000,0)),"")</f>
        <v/>
      </c>
      <c r="X114" s="194" t="str">
        <f>IFERROR(INDEX('Ashed teabags dry'!$K$2:$K$2000,MATCH(I114,'Ashed teabags dry'!$A$2:$A$2000,0)),"")</f>
        <v/>
      </c>
      <c r="Y114" s="194" t="str">
        <f t="shared" si="2"/>
        <v/>
      </c>
      <c r="Z114" s="194" t="str">
        <f t="shared" si="2"/>
        <v/>
      </c>
      <c r="AA114" s="194" t="str">
        <f t="shared" si="8"/>
        <v/>
      </c>
      <c r="AB114" s="194" t="str">
        <f t="shared" si="9"/>
        <v/>
      </c>
      <c r="AC114" s="194" t="str">
        <f t="shared" si="3"/>
        <v/>
      </c>
      <c r="AD114" t="str">
        <f t="shared" si="10"/>
        <v/>
      </c>
      <c r="AE114" s="194" t="str">
        <f t="shared" si="11"/>
        <v/>
      </c>
      <c r="AF114" s="194" t="str">
        <f t="shared" si="12"/>
        <v/>
      </c>
      <c r="AG114" s="252" t="str">
        <f>IF(ISNUMBER(SEARCH("C", 'Dry_Litterbag Placem_Collection'!$T41)),"YES","NO")</f>
        <v>NO</v>
      </c>
      <c r="AH114" s="252" t="str">
        <f>IF(ISNUMBER(SEARCH("H", 'Dry_Litterbag Placem_Collection'!$T41)),"YES","NO")</f>
        <v>NO</v>
      </c>
      <c r="AI114" s="252" t="str">
        <f>IF(ISNUMBER(SEARCH("R", 'Dry_Litterbag Placem_Collection'!$T41)),"YES","NO")</f>
        <v>NO</v>
      </c>
      <c r="AJ114" s="252" t="str">
        <f>IF(ISNUMBER(SEARCH("C", 'Dry_Litterbag Placem_Collection'!$S41)),"YES","NO")</f>
        <v>NO</v>
      </c>
      <c r="AK114" s="252" t="str">
        <f>IF(ISNUMBER(SEARCH("H", 'Dry_Litterbag Placem_Collection'!$S41)),"YES","NO")</f>
        <v>NO</v>
      </c>
      <c r="AL114" s="252" t="str">
        <f>IF(ISNUMBER(SEARCH("R", 'Dry_Litterbag Placem_Collection'!$S41)),"YES","NO")</f>
        <v>NO</v>
      </c>
    </row>
    <row r="115" spans="2:38">
      <c r="B115" t="str">
        <f>'Final data_for_R_analysis_Dryse'!A41</f>
        <v>Dry</v>
      </c>
      <c r="C115" s="260">
        <f>'Final data_for_R_analysis_Dryse'!B41</f>
        <v>40</v>
      </c>
      <c r="D115" t="s">
        <v>3805</v>
      </c>
      <c r="E115" t="s">
        <v>22</v>
      </c>
      <c r="F115" s="382">
        <v>8</v>
      </c>
      <c r="G115" s="16">
        <f>IF('Dry_Litterbag Placem_Collection'!E42="","",'Dry_Litterbag Placem_Collection'!E42)</f>
        <v>42938</v>
      </c>
      <c r="H115" t="str">
        <f>'Final data_for_R_analysis_Dryse'!K41</f>
        <v>G88</v>
      </c>
      <c r="I115" t="str">
        <f>'Final data_for_R_analysis_Dryse'!K261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4"/>
        <v>1.9051999999999998</v>
      </c>
      <c r="M115" s="237">
        <f>AVERAGE(Ashed_controlls!$K$1:$K$11)</f>
        <v>5.5147656768714146</v>
      </c>
      <c r="N115" s="194">
        <f t="shared" si="0"/>
        <v>1.8001326843242456</v>
      </c>
      <c r="O115" s="194">
        <f t="shared" si="5"/>
        <v>1.9912000000000001</v>
      </c>
      <c r="P115" s="237">
        <f>AVERAGE(Ashed_controlls!$K$12:$K$14)</f>
        <v>2.2816647271287041</v>
      </c>
      <c r="Q115" s="194">
        <f t="shared" si="1"/>
        <v>1.9457674919534134</v>
      </c>
      <c r="R115" s="16">
        <f>IF('Dry_Litterbag Placem_Collection'!G42="","",'Dry_Litterbag Placem_Collection'!G42)</f>
        <v>43005</v>
      </c>
      <c r="S115" s="194">
        <f>IFERROR(INDEX('Both teabags AfterDry'!$D$3:$D$2000,MATCH(H115,'Both teabags AfterDry'!$A$3:$A$2000,0)),"")</f>
        <v>1.9495</v>
      </c>
      <c r="T115" s="194">
        <f>IFERROR(INDEX('Both teabags AfterDry'!$D$3:$D$2000,MATCH(I115,'Both teabags AfterDry'!$A$3:$A$2000,0)),"")</f>
        <v>1.992</v>
      </c>
      <c r="U115" s="194">
        <f t="shared" si="6"/>
        <v>1.7988999999999999</v>
      </c>
      <c r="V115" s="194">
        <f t="shared" si="7"/>
        <v>1.8413999999999999</v>
      </c>
      <c r="W115" s="194">
        <f>IFERROR(INDEX('Ashed teabags dry'!$K$2:$K$2000,MATCH(H115,'Ashed teabags dry'!$A$2:$A$2000,0)),"")</f>
        <v>6.6945606694563358</v>
      </c>
      <c r="X115" s="194">
        <f>IFERROR(INDEX('Ashed teabags dry'!$K$2:$K$2000,MATCH(I115,'Ashed teabags dry'!$A$2:$A$2000,0)),"")</f>
        <v>3.5485460818134884</v>
      </c>
      <c r="Y115" s="194">
        <f t="shared" si="2"/>
        <v>1.6784715481171499</v>
      </c>
      <c r="Z115" s="194">
        <f t="shared" si="2"/>
        <v>1.7760570724494864</v>
      </c>
      <c r="AA115" s="194">
        <f t="shared" si="8"/>
        <v>6.7584538221284629E-2</v>
      </c>
      <c r="AB115" s="194">
        <f t="shared" si="9"/>
        <v>4.4307203204452646E-2</v>
      </c>
      <c r="AC115" s="194">
        <f t="shared" si="3"/>
        <v>0.91277970250517981</v>
      </c>
      <c r="AD115">
        <f t="shared" si="10"/>
        <v>67</v>
      </c>
      <c r="AE115" s="194">
        <f t="shared" si="11"/>
        <v>0.9197333275281655</v>
      </c>
      <c r="AF115" s="194" t="str">
        <f t="shared" si="12"/>
        <v/>
      </c>
      <c r="AG115" s="252" t="str">
        <f>IF(ISNUMBER(SEARCH("C", 'Dry_Litterbag Placem_Collection'!$T42)),"YES","NO")</f>
        <v>NO</v>
      </c>
      <c r="AH115" s="252" t="str">
        <f>IF(ISNUMBER(SEARCH("H", 'Dry_Litterbag Placem_Collection'!$T42)),"YES","NO")</f>
        <v>NO</v>
      </c>
      <c r="AI115" s="252" t="str">
        <f>IF(ISNUMBER(SEARCH("R", 'Dry_Litterbag Placem_Collection'!$T42)),"YES","NO")</f>
        <v>NO</v>
      </c>
      <c r="AJ115" s="252" t="str">
        <f>IF(ISNUMBER(SEARCH("C", 'Dry_Litterbag Placem_Collection'!$S42)),"YES","NO")</f>
        <v>YES</v>
      </c>
      <c r="AK115" s="252" t="str">
        <f>IF(ISNUMBER(SEARCH("H", 'Dry_Litterbag Placem_Collection'!$S42)),"YES","NO")</f>
        <v>YES</v>
      </c>
      <c r="AL115" s="252" t="str">
        <f>IF(ISNUMBER(SEARCH("R", 'Dry_Litterbag Placem_Collection'!$S42)),"YES","NO")</f>
        <v>NO</v>
      </c>
    </row>
    <row r="116" spans="2:38">
      <c r="B116" t="str">
        <f>'Final data_for_R_analysis_Dryse'!A42</f>
        <v>Dry</v>
      </c>
      <c r="C116" s="260">
        <f>'Final data_for_R_analysis_Dryse'!B42</f>
        <v>41</v>
      </c>
      <c r="D116" t="s">
        <v>3807</v>
      </c>
      <c r="E116" t="s">
        <v>22</v>
      </c>
      <c r="F116" s="381">
        <v>1</v>
      </c>
      <c r="G116" s="16">
        <f>IF('Dry_Litterbag Placem_Collection'!E43="","",'Dry_Litterbag Placem_Collection'!E43)</f>
        <v>42938</v>
      </c>
      <c r="H116" t="str">
        <f>'Final data_for_R_analysis_Dryse'!K42</f>
        <v>G256</v>
      </c>
      <c r="I116" t="str">
        <f>'Final data_for_R_analysis_Dryse'!K262</f>
        <v>R820</v>
      </c>
      <c r="J116">
        <f>IFERROR(INDEX('Green_rooibos initial weight'!$C$5:$C$2000,MATCH(H116, 'Green_rooibos initial weight'!$A$5:$A$2000,0)),"")</f>
        <v>2.11</v>
      </c>
      <c r="K116">
        <f>IFERROR(INDEX('Green_rooibos initial weight'!$C$5:$C$2000,MATCH(I116, 'Green_rooibos initial weight'!$A$5:$A$2000,0)),"")</f>
        <v>2.2170000000000001</v>
      </c>
      <c r="L116" s="194">
        <f t="shared" si="4"/>
        <v>1.8601999999999999</v>
      </c>
      <c r="M116" s="237">
        <f>AVERAGE(Ashed_controlls!$K$1:$K$11)</f>
        <v>5.5147656768714146</v>
      </c>
      <c r="N116" s="194">
        <f t="shared" si="0"/>
        <v>1.7576143288788377</v>
      </c>
      <c r="O116" s="194">
        <f t="shared" si="5"/>
        <v>1.9672000000000001</v>
      </c>
      <c r="P116" s="237">
        <f>AVERAGE(Ashed_controlls!$K$12:$K$14)</f>
        <v>2.2816647271287041</v>
      </c>
      <c r="Q116" s="194">
        <f t="shared" si="1"/>
        <v>1.9223150914879241</v>
      </c>
      <c r="R116" s="16">
        <f>IF('Dry_Litterbag Placem_Collection'!G43="","",'Dry_Litterbag Placem_Collection'!G43)</f>
        <v>43005</v>
      </c>
      <c r="S116" s="194">
        <f>IFERROR(INDEX('Both teabags AfterDry'!$D$3:$D$2000,MATCH(H116,'Both teabags AfterDry'!$A$3:$A$2000,0)),"")</f>
        <v>1.6208</v>
      </c>
      <c r="T116" s="194">
        <f>IFERROR(INDEX('Both teabags AfterDry'!$D$3:$D$2000,MATCH(I116,'Both teabags AfterDry'!$A$3:$A$2000,0)),"")</f>
        <v>1.2708999999999999</v>
      </c>
      <c r="U116" s="194">
        <f t="shared" si="6"/>
        <v>1.4702</v>
      </c>
      <c r="V116" s="194">
        <f t="shared" si="7"/>
        <v>1.1202999999999999</v>
      </c>
      <c r="W116" s="194">
        <f>IFERROR(INDEX('Ashed teabags dry'!$K$2:$K$2000,MATCH(H116,'Ashed teabags dry'!$A$2:$A$2000,0)),"")</f>
        <v>6.3627730294394693</v>
      </c>
      <c r="X116" s="194">
        <f>IFERROR(INDEX('Ashed teabags dry'!$K$2:$K$2000,MATCH(I116,'Ashed teabags dry'!$A$2:$A$2000,0)),"")</f>
        <v>3.1920199501252777</v>
      </c>
      <c r="Y116" s="194">
        <f t="shared" si="2"/>
        <v>1.376654510921181</v>
      </c>
      <c r="Z116" s="194">
        <f t="shared" si="2"/>
        <v>1.0845398004987463</v>
      </c>
      <c r="AA116" s="194">
        <f t="shared" si="8"/>
        <v>0.21674824317156471</v>
      </c>
      <c r="AB116" s="194">
        <f t="shared" si="9"/>
        <v>0.14209623542838923</v>
      </c>
      <c r="AC116" s="194">
        <f t="shared" si="3"/>
        <v>0.5641841991987292</v>
      </c>
      <c r="AD116">
        <f t="shared" si="10"/>
        <v>67</v>
      </c>
      <c r="AE116" s="194">
        <f t="shared" si="11"/>
        <v>0.74257928364422243</v>
      </c>
      <c r="AF116" s="194" t="str">
        <f t="shared" si="12"/>
        <v/>
      </c>
      <c r="AG116" s="252" t="str">
        <f>IF(ISNUMBER(SEARCH("C", 'Dry_Litterbag Placem_Collection'!$T43)),"YES","NO")</f>
        <v>NO</v>
      </c>
      <c r="AH116" s="252" t="str">
        <f>IF(ISNUMBER(SEARCH("H", 'Dry_Litterbag Placem_Collection'!$T43)),"YES","NO")</f>
        <v>YES</v>
      </c>
      <c r="AI116" s="252" t="str">
        <f>IF(ISNUMBER(SEARCH("R", 'Dry_Litterbag Placem_Collection'!$T43)),"YES","NO")</f>
        <v>NO</v>
      </c>
      <c r="AJ116" s="252" t="str">
        <f>IF(ISNUMBER(SEARCH("C", 'Dry_Litterbag Placem_Collection'!$S43)),"YES","NO")</f>
        <v>NO</v>
      </c>
      <c r="AK116" s="252" t="str">
        <f>IF(ISNUMBER(SEARCH("H", 'Dry_Litterbag Placem_Collection'!$S43)),"YES","NO")</f>
        <v>YES</v>
      </c>
      <c r="AL116" s="252" t="str">
        <f>IF(ISNUMBER(SEARCH("R", 'Dry_Litterbag Placem_Collection'!$S43)),"YES","NO")</f>
        <v>NO</v>
      </c>
    </row>
    <row r="117" spans="2:38">
      <c r="B117" t="str">
        <f>'Final data_for_R_analysis_Dryse'!A43</f>
        <v>Dry</v>
      </c>
      <c r="C117" s="260">
        <f>'Final data_for_R_analysis_Dryse'!B43</f>
        <v>42</v>
      </c>
      <c r="D117" t="s">
        <v>3807</v>
      </c>
      <c r="E117" t="s">
        <v>22</v>
      </c>
      <c r="F117" s="381">
        <v>2</v>
      </c>
      <c r="G117" s="16">
        <f>IF('Dry_Litterbag Placem_Collection'!E44="","",'Dry_Litterbag Placem_Collection'!E44)</f>
        <v>42938</v>
      </c>
      <c r="H117" t="str">
        <f>'Final data_for_R_analysis_Dryse'!K43</f>
        <v>G341</v>
      </c>
      <c r="I117" t="str">
        <f>'Final data_for_R_analysis_Dryse'!K263</f>
        <v>R806</v>
      </c>
      <c r="J117">
        <f>IFERROR(INDEX('Green_rooibos initial weight'!$C$5:$C$2000,MATCH(H117, 'Green_rooibos initial weight'!$A$5:$A$2000,0)),"")</f>
        <v>1.954</v>
      </c>
      <c r="K117">
        <f>IFERROR(INDEX('Green_rooibos initial weight'!$C$5:$C$2000,MATCH(I117, 'Green_rooibos initial weight'!$A$5:$A$2000,0)),"")</f>
        <v>2.2389999999999999</v>
      </c>
      <c r="L117" s="194">
        <f t="shared" si="4"/>
        <v>1.7041999999999999</v>
      </c>
      <c r="M117" s="237">
        <f>AVERAGE(Ashed_controlls!$K$1:$K$11)</f>
        <v>5.5147656768714146</v>
      </c>
      <c r="N117" s="194">
        <f t="shared" si="0"/>
        <v>1.6102173633347574</v>
      </c>
      <c r="O117" s="194">
        <f t="shared" si="5"/>
        <v>1.9891999999999999</v>
      </c>
      <c r="P117" s="237">
        <f>AVERAGE(Ashed_controlls!$K$12:$K$14)</f>
        <v>2.2816647271287041</v>
      </c>
      <c r="Q117" s="194">
        <f t="shared" si="1"/>
        <v>1.9438131252479556</v>
      </c>
      <c r="R117" s="16">
        <f>IF('Dry_Litterbag Placem_Collection'!G44="","",'Dry_Litterbag Placem_Collection'!G44)</f>
        <v>43005</v>
      </c>
      <c r="S117" s="194">
        <f>IFERROR(INDEX('Both teabags AfterDry'!$D$3:$D$2000,MATCH(H117,'Both teabags AfterDry'!$A$3:$A$2000,0)),"")</f>
        <v>1.7267999999999999</v>
      </c>
      <c r="T117" s="194">
        <f>IFERROR(INDEX('Both teabags AfterDry'!$D$3:$D$2000,MATCH(I117,'Both teabags AfterDry'!$A$3:$A$2000,0)),"")</f>
        <v>0.14760000000000001</v>
      </c>
      <c r="U117" s="194">
        <f t="shared" si="6"/>
        <v>1.5761999999999998</v>
      </c>
      <c r="V117" s="194">
        <f t="shared" si="7"/>
        <v>-3.0000000000000027E-3</v>
      </c>
      <c r="W117" s="194">
        <f>IFERROR(INDEX('Ashed teabags dry'!$K$2:$K$2000,MATCH(H117,'Ashed teabags dry'!$A$2:$A$2000,0)),"")</f>
        <v>7.1704594246447426</v>
      </c>
      <c r="X117" s="194">
        <f>IFERROR(INDEX('Ashed teabags dry'!$K$2:$K$2000,MATCH(I117,'Ashed teabags dry'!$A$2:$A$2000,0)),"")</f>
        <v>0</v>
      </c>
      <c r="Y117" s="194">
        <f t="shared" si="2"/>
        <v>1.4631792185487493</v>
      </c>
      <c r="Z117" s="194">
        <f t="shared" si="2"/>
        <v>-3.0000000000000027E-3</v>
      </c>
      <c r="AA117" s="194">
        <f t="shared" si="8"/>
        <v>9.1315711862336557E-2</v>
      </c>
      <c r="AB117" s="194">
        <f t="shared" si="9"/>
        <v>5.9864932242291925E-2</v>
      </c>
      <c r="AC117" s="194">
        <f t="shared" si="3"/>
        <v>-1.5433582380082543E-3</v>
      </c>
      <c r="AD117">
        <f t="shared" si="10"/>
        <v>67</v>
      </c>
      <c r="AE117" s="194">
        <f t="shared" si="11"/>
        <v>0.89154903579294942</v>
      </c>
      <c r="AF117" s="194" t="str">
        <f t="shared" si="12"/>
        <v/>
      </c>
      <c r="AG117" s="252" t="str">
        <f>IF(ISNUMBER(SEARCH("C", 'Dry_Litterbag Placem_Collection'!$T44)),"YES","NO")</f>
        <v>YES</v>
      </c>
      <c r="AH117" s="252" t="str">
        <f>IF(ISNUMBER(SEARCH("H", 'Dry_Litterbag Placem_Collection'!$T44)),"YES","NO")</f>
        <v>YES</v>
      </c>
      <c r="AI117" s="252" t="str">
        <f>IF(ISNUMBER(SEARCH("R", 'Dry_Litterbag Placem_Collection'!$T44)),"YES","NO")</f>
        <v>NO</v>
      </c>
      <c r="AJ117" s="252" t="str">
        <f>IF(ISNUMBER(SEARCH("C", 'Dry_Litterbag Placem_Collection'!$S44)),"YES","NO")</f>
        <v>YES</v>
      </c>
      <c r="AK117" s="252" t="str">
        <f>IF(ISNUMBER(SEARCH("H", 'Dry_Litterbag Placem_Collection'!$S44)),"YES","NO")</f>
        <v>YES</v>
      </c>
      <c r="AL117" s="252" t="str">
        <f>IF(ISNUMBER(SEARCH("R", 'Dry_Litterbag Placem_Collection'!$S44)),"YES","NO")</f>
        <v>NO</v>
      </c>
    </row>
    <row r="118" spans="2:38">
      <c r="B118" t="str">
        <f>'Final data_for_R_analysis_Dryse'!A44</f>
        <v>Dry</v>
      </c>
      <c r="C118" s="260">
        <f>'Final data_for_R_analysis_Dryse'!B44</f>
        <v>43</v>
      </c>
      <c r="D118" t="s">
        <v>3807</v>
      </c>
      <c r="E118" t="s">
        <v>22</v>
      </c>
      <c r="F118" s="381">
        <v>3</v>
      </c>
      <c r="G118" s="16">
        <f>IF('Dry_Litterbag Placem_Collection'!E45="","",'Dry_Litterbag Placem_Collection'!E45)</f>
        <v>42938</v>
      </c>
      <c r="H118" t="str">
        <f>'Final data_for_R_analysis_Dryse'!K44</f>
        <v>G246</v>
      </c>
      <c r="I118" t="str">
        <f>'Final data_for_R_analysis_Dryse'!K264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4"/>
        <v>1.9331999999999998</v>
      </c>
      <c r="M118" s="237">
        <f>AVERAGE(Ashed_controlls!$K$1:$K$11)</f>
        <v>5.5147656768714146</v>
      </c>
      <c r="N118" s="194">
        <f t="shared" si="0"/>
        <v>1.8265885499347216</v>
      </c>
      <c r="O118" s="194">
        <f t="shared" si="5"/>
        <v>1.9702000000000002</v>
      </c>
      <c r="P118" s="237">
        <f>AVERAGE(Ashed_controlls!$K$12:$K$14)</f>
        <v>2.2816647271287041</v>
      </c>
      <c r="Q118" s="194">
        <f t="shared" si="1"/>
        <v>1.9252466415461105</v>
      </c>
      <c r="R118" s="16">
        <f>IF('Dry_Litterbag Placem_Collection'!G45="","",'Dry_Litterbag Placem_Collection'!G45)</f>
        <v>43005</v>
      </c>
      <c r="S118" s="194">
        <f>IFERROR(INDEX('Both teabags AfterDry'!$D$3:$D$2000,MATCH(H118,'Both teabags AfterDry'!$A$3:$A$2000,0)),"")</f>
        <v>1.9577</v>
      </c>
      <c r="T118" s="194">
        <f>IFERROR(INDEX('Both teabags AfterDry'!$D$3:$D$2000,MATCH(I118,'Both teabags AfterDry'!$A$3:$A$2000,0)),"")</f>
        <v>1.6818</v>
      </c>
      <c r="U118" s="194">
        <f t="shared" si="6"/>
        <v>1.8070999999999999</v>
      </c>
      <c r="V118" s="194">
        <f t="shared" si="7"/>
        <v>1.5311999999999999</v>
      </c>
      <c r="W118" s="194">
        <f>IFERROR(INDEX('Ashed teabags dry'!$K$2:$K$2000,MATCH(H118,'Ashed teabags dry'!$A$2:$A$2000,0)),"")</f>
        <v>8.1468218442253786</v>
      </c>
      <c r="X118" s="194">
        <f>IFERROR(INDEX('Ashed teabags dry'!$K$2:$K$2000,MATCH(I118,'Ashed teabags dry'!$A$2:$A$2000,0)),"")</f>
        <v>92.062122519413393</v>
      </c>
      <c r="Y118" s="194">
        <f t="shared" si="2"/>
        <v>1.6598787824530032</v>
      </c>
      <c r="Z118" s="194">
        <f t="shared" si="2"/>
        <v>0.12154477998274205</v>
      </c>
      <c r="AA118" s="194">
        <f t="shared" si="8"/>
        <v>9.1268374307764244E-2</v>
      </c>
      <c r="AB118" s="194">
        <f t="shared" si="9"/>
        <v>5.9833898596064E-2</v>
      </c>
      <c r="AC118" s="194">
        <f t="shared" si="3"/>
        <v>6.3132056620617147E-2</v>
      </c>
      <c r="AD118">
        <f t="shared" si="10"/>
        <v>67</v>
      </c>
      <c r="AE118" s="194">
        <f t="shared" si="11"/>
        <v>0.89160525616655073</v>
      </c>
      <c r="AF118" s="194" t="str">
        <f t="shared" si="12"/>
        <v/>
      </c>
      <c r="AG118" s="252" t="str">
        <f>IF(ISNUMBER(SEARCH("C", 'Dry_Litterbag Placem_Collection'!$T45)),"YES","NO")</f>
        <v>YES</v>
      </c>
      <c r="AH118" s="252" t="str">
        <f>IF(ISNUMBER(SEARCH("H", 'Dry_Litterbag Placem_Collection'!$T45)),"YES","NO")</f>
        <v>YES</v>
      </c>
      <c r="AI118" s="252" t="str">
        <f>IF(ISNUMBER(SEARCH("R", 'Dry_Litterbag Placem_Collection'!$T45)),"YES","NO")</f>
        <v>NO</v>
      </c>
      <c r="AJ118" s="252" t="str">
        <f>IF(ISNUMBER(SEARCH("C", 'Dry_Litterbag Placem_Collection'!$S45)),"YES","NO")</f>
        <v>YES</v>
      </c>
      <c r="AK118" s="252" t="str">
        <f>IF(ISNUMBER(SEARCH("H", 'Dry_Litterbag Placem_Collection'!$S45)),"YES","NO")</f>
        <v>YES</v>
      </c>
      <c r="AL118" s="252" t="str">
        <f>IF(ISNUMBER(SEARCH("R", 'Dry_Litterbag Placem_Collection'!$S45)),"YES","NO")</f>
        <v>NO</v>
      </c>
    </row>
    <row r="119" spans="2:38">
      <c r="B119" t="str">
        <f>'Final data_for_R_analysis_Dryse'!A45</f>
        <v>Dry</v>
      </c>
      <c r="C119" s="260">
        <f>'Final data_for_R_analysis_Dryse'!B45</f>
        <v>44</v>
      </c>
      <c r="D119" t="s">
        <v>3807</v>
      </c>
      <c r="E119" t="s">
        <v>22</v>
      </c>
      <c r="F119" s="382">
        <v>4</v>
      </c>
      <c r="G119" s="16">
        <f>IF('Dry_Litterbag Placem_Collection'!E46="","",'Dry_Litterbag Placem_Collection'!E46)</f>
        <v>42938</v>
      </c>
      <c r="H119" t="str">
        <f>'Final data_for_R_analysis_Dryse'!K45</f>
        <v>G115</v>
      </c>
      <c r="I119" t="str">
        <f>'Final data_for_R_analysis_Dryse'!K265</f>
        <v>R783</v>
      </c>
      <c r="J119">
        <f>IFERROR(INDEX('Green_rooibos initial weight'!$C$5:$C$2000,MATCH(H119, 'Green_rooibos initial weight'!$A$5:$A$2000,0)),"")</f>
        <v>2.048</v>
      </c>
      <c r="K119">
        <f>IFERROR(INDEX('Green_rooibos initial weight'!$C$5:$C$2000,MATCH(I119, 'Green_rooibos initial weight'!$A$5:$A$2000,0)),"")</f>
        <v>2.1989999999999998</v>
      </c>
      <c r="L119" s="194">
        <f t="shared" si="4"/>
        <v>1.7982</v>
      </c>
      <c r="M119" s="237">
        <f>AVERAGE(Ashed_controlls!$K$1:$K$11)</f>
        <v>5.5147656768714146</v>
      </c>
      <c r="N119" s="194">
        <f t="shared" si="0"/>
        <v>1.6990334835984982</v>
      </c>
      <c r="O119" s="194">
        <f t="shared" si="5"/>
        <v>1.9491999999999998</v>
      </c>
      <c r="P119" s="237">
        <f>AVERAGE(Ashed_controlls!$K$12:$K$14)</f>
        <v>2.2816647271287041</v>
      </c>
      <c r="Q119" s="194">
        <f t="shared" si="1"/>
        <v>1.9047257911388071</v>
      </c>
      <c r="R119" s="16">
        <f>IF('Dry_Litterbag Placem_Collection'!G46="","",'Dry_Litterbag Placem_Collection'!G46)</f>
        <v>43005</v>
      </c>
      <c r="S119" s="194">
        <f>IFERROR(INDEX('Both teabags AfterDry'!$D$3:$D$2000,MATCH(H119,'Both teabags AfterDry'!$A$3:$A$2000,0)),"")</f>
        <v>1.7069000000000001</v>
      </c>
      <c r="T119" s="194">
        <f>IFERROR(INDEX('Both teabags AfterDry'!$D$3:$D$2000,MATCH(I119,'Both teabags AfterDry'!$A$3:$A$2000,0)),"")</f>
        <v>1.8973</v>
      </c>
      <c r="U119" s="194">
        <f t="shared" si="6"/>
        <v>1.5563</v>
      </c>
      <c r="V119" s="194">
        <f t="shared" si="7"/>
        <v>1.7466999999999999</v>
      </c>
      <c r="W119" s="194">
        <f>IFERROR(INDEX('Ashed teabags dry'!$K$2:$K$2000,MATCH(H119,'Ashed teabags dry'!$A$2:$A$2000,0)),"")</f>
        <v>5.939159826170572</v>
      </c>
      <c r="X119" s="194">
        <f>IFERROR(INDEX('Ashed teabags dry'!$K$2:$K$2000,MATCH(I119,'Ashed teabags dry'!$A$2:$A$2000,0)),"")</f>
        <v>3.6579572446556408</v>
      </c>
      <c r="Y119" s="194">
        <f t="shared" si="2"/>
        <v>1.4638688556253074</v>
      </c>
      <c r="Z119" s="194">
        <f t="shared" si="2"/>
        <v>1.6828064608075999</v>
      </c>
      <c r="AA119" s="194">
        <f t="shared" si="8"/>
        <v>0.13841082606277988</v>
      </c>
      <c r="AB119" s="194">
        <f t="shared" si="9"/>
        <v>9.0739638939019582E-2</v>
      </c>
      <c r="AC119" s="194">
        <f t="shared" si="3"/>
        <v>0.88349014258975045</v>
      </c>
      <c r="AD119">
        <f t="shared" si="10"/>
        <v>67</v>
      </c>
      <c r="AE119" s="194">
        <f t="shared" si="11"/>
        <v>0.83561659612496453</v>
      </c>
      <c r="AF119" s="194" t="str">
        <f t="shared" si="12"/>
        <v/>
      </c>
      <c r="AG119" s="252" t="str">
        <f>IF(ISNUMBER(SEARCH("C", 'Dry_Litterbag Placem_Collection'!$T46)),"YES","NO")</f>
        <v>NO</v>
      </c>
      <c r="AH119" s="252" t="str">
        <f>IF(ISNUMBER(SEARCH("H", 'Dry_Litterbag Placem_Collection'!$T46)),"YES","NO")</f>
        <v>NO</v>
      </c>
      <c r="AI119" s="252" t="str">
        <f>IF(ISNUMBER(SEARCH("R", 'Dry_Litterbag Placem_Collection'!$T46)),"YES","NO")</f>
        <v>NO</v>
      </c>
      <c r="AJ119" s="252" t="str">
        <f>IF(ISNUMBER(SEARCH("C", 'Dry_Litterbag Placem_Collection'!$S46)),"YES","NO")</f>
        <v>NO</v>
      </c>
      <c r="AK119" s="252" t="str">
        <f>IF(ISNUMBER(SEARCH("H", 'Dry_Litterbag Placem_Collection'!$S46)),"YES","NO")</f>
        <v>NO</v>
      </c>
      <c r="AL119" s="252" t="str">
        <f>IF(ISNUMBER(SEARCH("R", 'Dry_Litterbag Placem_Collection'!$S46)),"YES","NO")</f>
        <v>NO</v>
      </c>
    </row>
    <row r="120" spans="2:38">
      <c r="B120" t="str">
        <f>'Final data_for_R_analysis_Dryse'!A46</f>
        <v>Dry</v>
      </c>
      <c r="C120" s="260">
        <f>'Final data_for_R_analysis_Dryse'!B46</f>
        <v>45</v>
      </c>
      <c r="D120" t="s">
        <v>3807</v>
      </c>
      <c r="E120" t="s">
        <v>22</v>
      </c>
      <c r="F120" s="382">
        <v>5</v>
      </c>
      <c r="G120" s="16">
        <f>IF('Dry_Litterbag Placem_Collection'!E47="","",'Dry_Litterbag Placem_Collection'!E47)</f>
        <v>42938</v>
      </c>
      <c r="H120" t="str">
        <f>'Final data_for_R_analysis_Dryse'!K46</f>
        <v>G480</v>
      </c>
      <c r="I120" t="str">
        <f>'Final data_for_R_analysis_Dryse'!K266</f>
        <v>R827</v>
      </c>
      <c r="J120">
        <f>IFERROR(INDEX('Green_rooibos initial weight'!$C$5:$C$2000,MATCH(H120, 'Green_rooibos initial weight'!$A$5:$A$2000,0)),"")</f>
        <v>1.9850000000000001</v>
      </c>
      <c r="K120">
        <f>IFERROR(INDEX('Green_rooibos initial weight'!$C$5:$C$2000,MATCH(I120, 'Green_rooibos initial weight'!$A$5:$A$2000,0)),"")</f>
        <v>2.222</v>
      </c>
      <c r="L120" s="194">
        <f t="shared" si="4"/>
        <v>1.7352000000000001</v>
      </c>
      <c r="M120" s="237">
        <f>AVERAGE(Ashed_controlls!$K$1:$K$11)</f>
        <v>5.5147656768714146</v>
      </c>
      <c r="N120" s="194">
        <f t="shared" si="0"/>
        <v>1.6395077859749272</v>
      </c>
      <c r="O120" s="194">
        <f t="shared" si="5"/>
        <v>1.9722</v>
      </c>
      <c r="P120" s="237">
        <f>AVERAGE(Ashed_controlls!$K$12:$K$14)</f>
        <v>2.2816647271287041</v>
      </c>
      <c r="Q120" s="194">
        <f t="shared" si="1"/>
        <v>1.9272010082515676</v>
      </c>
      <c r="R120" s="16">
        <f>IF('Dry_Litterbag Placem_Collection'!G47="","",'Dry_Litterbag Placem_Collection'!G47)</f>
        <v>43005</v>
      </c>
      <c r="S120" s="194" t="str">
        <f>IFERROR(INDEX('Both teabags AfterDry'!$D$3:$D$2000,MATCH(H120,'Both teabags AfterDry'!$A$3:$A$2000,0)),"")</f>
        <v/>
      </c>
      <c r="T120" s="194" t="str">
        <f>IFERROR(INDEX('Both teabags AfterDry'!$D$3:$D$2000,MATCH(I120,'Both teabags AfterDry'!$A$3:$A$2000,0)),"")</f>
        <v/>
      </c>
      <c r="U120" s="194" t="str">
        <f t="shared" si="6"/>
        <v/>
      </c>
      <c r="V120" s="194" t="str">
        <f t="shared" si="7"/>
        <v/>
      </c>
      <c r="W120" s="194" t="str">
        <f>IFERROR(INDEX('Ashed teabags dry'!$K$2:$K$2000,MATCH(H120,'Ashed teabags dry'!$A$2:$A$2000,0)),"")</f>
        <v/>
      </c>
      <c r="X120" s="194" t="str">
        <f>IFERROR(INDEX('Ashed teabags dry'!$K$2:$K$2000,MATCH(I120,'Ashed teabags dry'!$A$2:$A$2000,0)),"")</f>
        <v/>
      </c>
      <c r="Y120" s="194" t="str">
        <f t="shared" si="2"/>
        <v/>
      </c>
      <c r="Z120" s="194" t="str">
        <f t="shared" si="2"/>
        <v/>
      </c>
      <c r="AA120" s="194" t="str">
        <f t="shared" si="8"/>
        <v/>
      </c>
      <c r="AB120" s="194" t="str">
        <f t="shared" si="9"/>
        <v/>
      </c>
      <c r="AC120" s="194" t="str">
        <f t="shared" si="3"/>
        <v/>
      </c>
      <c r="AD120">
        <f t="shared" si="10"/>
        <v>67</v>
      </c>
      <c r="AE120" s="194" t="str">
        <f t="shared" si="11"/>
        <v/>
      </c>
      <c r="AF120" s="194" t="str">
        <f t="shared" si="12"/>
        <v/>
      </c>
      <c r="AG120" s="252" t="str">
        <f>IF(ISNUMBER(SEARCH("C", 'Dry_Litterbag Placem_Collection'!$T47)),"YES","NO")</f>
        <v>YES</v>
      </c>
      <c r="AH120" s="252" t="str">
        <f>IF(ISNUMBER(SEARCH("H", 'Dry_Litterbag Placem_Collection'!$T47)),"YES","NO")</f>
        <v>YES</v>
      </c>
      <c r="AI120" s="252" t="str">
        <f>IF(ISNUMBER(SEARCH("R", 'Dry_Litterbag Placem_Collection'!$T47)),"YES","NO")</f>
        <v>NO</v>
      </c>
      <c r="AJ120" s="252" t="str">
        <f>IF(ISNUMBER(SEARCH("C", 'Dry_Litterbag Placem_Collection'!$S47)),"YES","NO")</f>
        <v>YES</v>
      </c>
      <c r="AK120" s="252" t="str">
        <f>IF(ISNUMBER(SEARCH("H", 'Dry_Litterbag Placem_Collection'!$S47)),"YES","NO")</f>
        <v>YES</v>
      </c>
      <c r="AL120" s="252" t="str">
        <f>IF(ISNUMBER(SEARCH("R", 'Dry_Litterbag Placem_Collection'!$S47)),"YES","NO")</f>
        <v>NO</v>
      </c>
    </row>
    <row r="121" spans="2:38">
      <c r="B121" t="str">
        <f>'Final data_for_R_analysis_Dryse'!A47</f>
        <v>Dry</v>
      </c>
      <c r="C121" s="260">
        <f>'Final data_for_R_analysis_Dryse'!B47</f>
        <v>46</v>
      </c>
      <c r="D121" t="s">
        <v>3807</v>
      </c>
      <c r="E121" t="s">
        <v>22</v>
      </c>
      <c r="F121" s="382">
        <v>6</v>
      </c>
      <c r="G121" s="16" t="str">
        <f>IF('Dry_Litterbag Placem_Collection'!E48="","",'Dry_Litterbag Placem_Collection'!E48)</f>
        <v/>
      </c>
      <c r="H121" t="str">
        <f>'Final data_for_R_analysis_Dryse'!K47</f>
        <v/>
      </c>
      <c r="I121" t="str">
        <f>'Final data_for_R_analysis_Dryse'!K267</f>
        <v/>
      </c>
      <c r="J121" t="str">
        <f>IFERROR(INDEX('Green_rooibos initial weight'!$C$5:$C$2000,MATCH(H121, 'Green_rooibos initial weight'!$A$5:$A$2000,0)),"")</f>
        <v/>
      </c>
      <c r="K121" t="str">
        <f>IFERROR(INDEX('Green_rooibos initial weight'!$C$5:$C$2000,MATCH(I121, 'Green_rooibos initial weight'!$A$5:$A$2000,0)),"")</f>
        <v/>
      </c>
      <c r="L121" s="194" t="str">
        <f t="shared" si="4"/>
        <v/>
      </c>
      <c r="M121" s="237">
        <f>AVERAGE(Ashed_controlls!$K$1:$K$11)</f>
        <v>5.5147656768714146</v>
      </c>
      <c r="N121" s="194" t="str">
        <f t="shared" si="0"/>
        <v/>
      </c>
      <c r="O121" s="194" t="str">
        <f t="shared" si="5"/>
        <v/>
      </c>
      <c r="P121" s="237">
        <f>AVERAGE(Ashed_controlls!$K$12:$K$14)</f>
        <v>2.2816647271287041</v>
      </c>
      <c r="Q121" s="194" t="str">
        <f t="shared" si="1"/>
        <v/>
      </c>
      <c r="R121" s="16" t="str">
        <f>IF('Dry_Litterbag Placem_Collection'!G48="","",'Dry_Litterbag Placem_Collection'!G48)</f>
        <v/>
      </c>
      <c r="S121" s="194" t="str">
        <f>IFERROR(INDEX('Both teabags AfterDry'!$D$3:$D$2000,MATCH(H121,'Both teabags AfterDry'!$A$3:$A$2000,0)),"")</f>
        <v/>
      </c>
      <c r="T121" s="194" t="str">
        <f>IFERROR(INDEX('Both teabags AfterDry'!$D$3:$D$2000,MATCH(I121,'Both teabags AfterDry'!$A$3:$A$2000,0)),"")</f>
        <v/>
      </c>
      <c r="U121" s="194" t="str">
        <f t="shared" si="6"/>
        <v/>
      </c>
      <c r="V121" s="194" t="str">
        <f t="shared" si="7"/>
        <v/>
      </c>
      <c r="W121" s="194" t="str">
        <f>IFERROR(INDEX('Ashed teabags dry'!$K$2:$K$2000,MATCH(H121,'Ashed teabags dry'!$A$2:$A$2000,0)),"")</f>
        <v/>
      </c>
      <c r="X121" s="194" t="str">
        <f>IFERROR(INDEX('Ashed teabags dry'!$K$2:$K$2000,MATCH(I121,'Ashed teabags dry'!$A$2:$A$2000,0)),"")</f>
        <v/>
      </c>
      <c r="Y121" s="194" t="str">
        <f t="shared" si="2"/>
        <v/>
      </c>
      <c r="Z121" s="194" t="str">
        <f t="shared" si="2"/>
        <v/>
      </c>
      <c r="AA121" s="194" t="str">
        <f t="shared" si="8"/>
        <v/>
      </c>
      <c r="AB121" s="194" t="str">
        <f t="shared" si="9"/>
        <v/>
      </c>
      <c r="AC121" s="194" t="str">
        <f t="shared" si="3"/>
        <v/>
      </c>
      <c r="AD121" t="str">
        <f t="shared" si="10"/>
        <v/>
      </c>
      <c r="AE121" s="194" t="str">
        <f t="shared" si="11"/>
        <v/>
      </c>
      <c r="AF121" s="194" t="str">
        <f t="shared" si="12"/>
        <v/>
      </c>
      <c r="AG121" s="252" t="str">
        <f>IF(ISNUMBER(SEARCH("C", 'Dry_Litterbag Placem_Collection'!$T48)),"YES","NO")</f>
        <v>NO</v>
      </c>
      <c r="AH121" s="252" t="str">
        <f>IF(ISNUMBER(SEARCH("H", 'Dry_Litterbag Placem_Collection'!$T48)),"YES","NO")</f>
        <v>NO</v>
      </c>
      <c r="AI121" s="252" t="str">
        <f>IF(ISNUMBER(SEARCH("R", 'Dry_Litterbag Placem_Collection'!$T48)),"YES","NO")</f>
        <v>NO</v>
      </c>
      <c r="AJ121" s="252" t="str">
        <f>IF(ISNUMBER(SEARCH("C", 'Dry_Litterbag Placem_Collection'!$S48)),"YES","NO")</f>
        <v>NO</v>
      </c>
      <c r="AK121" s="252" t="str">
        <f>IF(ISNUMBER(SEARCH("H", 'Dry_Litterbag Placem_Collection'!$S48)),"YES","NO")</f>
        <v>NO</v>
      </c>
      <c r="AL121" s="252" t="str">
        <f>IF(ISNUMBER(SEARCH("R", 'Dry_Litterbag Placem_Collection'!$S48)),"YES","NO")</f>
        <v>NO</v>
      </c>
    </row>
    <row r="122" spans="2:38">
      <c r="B122" t="str">
        <f>'Final data_for_R_analysis_Dryse'!A48</f>
        <v>Dry</v>
      </c>
      <c r="C122" s="260">
        <f>'Final data_for_R_analysis_Dryse'!B48</f>
        <v>47</v>
      </c>
      <c r="D122" t="s">
        <v>3807</v>
      </c>
      <c r="E122" t="s">
        <v>22</v>
      </c>
      <c r="F122" s="382">
        <v>7</v>
      </c>
      <c r="G122" s="16">
        <f>IF('Dry_Litterbag Placem_Collection'!E49="","",'Dry_Litterbag Placem_Collection'!E49)</f>
        <v>42938</v>
      </c>
      <c r="H122" t="str">
        <f>'Final data_for_R_analysis_Dryse'!K48</f>
        <v>G110</v>
      </c>
      <c r="I122" t="str">
        <f>'Final data_for_R_analysis_Dryse'!K268</f>
        <v>R831</v>
      </c>
      <c r="J122">
        <f>IFERROR(INDEX('Green_rooibos initial weight'!$C$5:$C$2000,MATCH(H122, 'Green_rooibos initial weight'!$A$5:$A$2000,0)),"")</f>
        <v>2.093</v>
      </c>
      <c r="K122">
        <f>IFERROR(INDEX('Green_rooibos initial weight'!$C$5:$C$2000,MATCH(I122, 'Green_rooibos initial weight'!$A$5:$A$2000,0)),"")</f>
        <v>2.2410000000000001</v>
      </c>
      <c r="L122" s="194">
        <f t="shared" si="4"/>
        <v>1.8431999999999999</v>
      </c>
      <c r="M122" s="237">
        <f>AVERAGE(Ashed_controlls!$K$1:$K$11)</f>
        <v>5.5147656768714146</v>
      </c>
      <c r="N122" s="194">
        <f t="shared" si="0"/>
        <v>1.741551839043906</v>
      </c>
      <c r="O122" s="194">
        <f t="shared" si="5"/>
        <v>1.9912000000000001</v>
      </c>
      <c r="P122" s="237">
        <f>AVERAGE(Ashed_controlls!$K$12:$K$14)</f>
        <v>2.2816647271287041</v>
      </c>
      <c r="Q122" s="194">
        <f t="shared" si="1"/>
        <v>1.9457674919534134</v>
      </c>
      <c r="R122" s="16">
        <f>IF('Dry_Litterbag Placem_Collection'!G49="","",'Dry_Litterbag Placem_Collection'!G49)</f>
        <v>43005</v>
      </c>
      <c r="S122" s="194">
        <f>IFERROR(INDEX('Both teabags AfterDry'!$D$3:$D$2000,MATCH(H122,'Both teabags AfterDry'!$A$3:$A$2000,0)),"")</f>
        <v>1.8372999999999999</v>
      </c>
      <c r="T122" s="194">
        <f>IFERROR(INDEX('Both teabags AfterDry'!$D$3:$D$2000,MATCH(I122,'Both teabags AfterDry'!$A$3:$A$2000,0)),"")</f>
        <v>1.9105000000000001</v>
      </c>
      <c r="U122" s="194">
        <f t="shared" si="6"/>
        <v>1.6866999999999999</v>
      </c>
      <c r="V122" s="194">
        <f t="shared" si="7"/>
        <v>1.7599</v>
      </c>
      <c r="W122" s="194">
        <f>IFERROR(INDEX('Ashed teabags dry'!$K$2:$K$2000,MATCH(H122,'Ashed teabags dry'!$A$2:$A$2000,0)),"")</f>
        <v>6.3440422936146827</v>
      </c>
      <c r="X122" s="194">
        <f>IFERROR(INDEX('Ashed teabags dry'!$K$2:$K$2000,MATCH(I122,'Ashed teabags dry'!$A$2:$A$2000,0)),"")</f>
        <v>4.5857988165679391</v>
      </c>
      <c r="Y122" s="194">
        <f t="shared" si="2"/>
        <v>1.5796950386336011</v>
      </c>
      <c r="Z122" s="194">
        <f t="shared" si="2"/>
        <v>1.6791945266272208</v>
      </c>
      <c r="AA122" s="194">
        <f t="shared" si="8"/>
        <v>9.293826160188412E-2</v>
      </c>
      <c r="AB122" s="194">
        <f t="shared" si="9"/>
        <v>6.0928646560855164E-2</v>
      </c>
      <c r="AC122" s="194">
        <f t="shared" si="3"/>
        <v>0.8629985512510685</v>
      </c>
      <c r="AD122">
        <f t="shared" si="10"/>
        <v>67</v>
      </c>
      <c r="AE122" s="194">
        <f t="shared" si="11"/>
        <v>0.88962201709990008</v>
      </c>
      <c r="AF122" s="194" t="str">
        <f t="shared" si="12"/>
        <v/>
      </c>
      <c r="AG122" s="252" t="str">
        <f>IF(ISNUMBER(SEARCH("C", 'Dry_Litterbag Placem_Collection'!$T49)),"YES","NO")</f>
        <v>NO</v>
      </c>
      <c r="AH122" s="252" t="str">
        <f>IF(ISNUMBER(SEARCH("H", 'Dry_Litterbag Placem_Collection'!$T49)),"YES","NO")</f>
        <v>YES</v>
      </c>
      <c r="AI122" s="252" t="str">
        <f>IF(ISNUMBER(SEARCH("R", 'Dry_Litterbag Placem_Collection'!$T49)),"YES","NO")</f>
        <v>NO</v>
      </c>
      <c r="AJ122" s="252" t="str">
        <f>IF(ISNUMBER(SEARCH("C", 'Dry_Litterbag Placem_Collection'!$S49)),"YES","NO")</f>
        <v>NO</v>
      </c>
      <c r="AK122" s="252" t="str">
        <f>IF(ISNUMBER(SEARCH("H", 'Dry_Litterbag Placem_Collection'!$S49)),"YES","NO")</f>
        <v>NO</v>
      </c>
      <c r="AL122" s="252" t="str">
        <f>IF(ISNUMBER(SEARCH("R", 'Dry_Litterbag Placem_Collection'!$S49)),"YES","NO")</f>
        <v>NO</v>
      </c>
    </row>
    <row r="123" spans="2:38">
      <c r="B123" t="str">
        <f>'Final data_for_R_analysis_Dryse'!A49</f>
        <v>Dry</v>
      </c>
      <c r="C123" s="260">
        <f>'Final data_for_R_analysis_Dryse'!B49</f>
        <v>48</v>
      </c>
      <c r="D123" t="s">
        <v>3807</v>
      </c>
      <c r="E123" t="s">
        <v>22</v>
      </c>
      <c r="F123" s="382">
        <v>8</v>
      </c>
      <c r="G123" s="16">
        <f>IF('Dry_Litterbag Placem_Collection'!E50="","",'Dry_Litterbag Placem_Collection'!E50)</f>
        <v>42938</v>
      </c>
      <c r="H123" t="str">
        <f>'Final data_for_R_analysis_Dryse'!K49</f>
        <v>G233</v>
      </c>
      <c r="I123" t="str">
        <f>'Final data_for_R_analysis_Dryse'!K269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4"/>
        <v>1.6992</v>
      </c>
      <c r="M123" s="237">
        <f>AVERAGE(Ashed_controlls!$K$1:$K$11)</f>
        <v>5.5147656768714146</v>
      </c>
      <c r="N123" s="194">
        <f t="shared" si="0"/>
        <v>1.6054931016186009</v>
      </c>
      <c r="O123" s="194">
        <f t="shared" si="5"/>
        <v>1.9832000000000001</v>
      </c>
      <c r="P123" s="237">
        <f>AVERAGE(Ashed_controlls!$K$12:$K$14)</f>
        <v>2.2816647271287041</v>
      </c>
      <c r="Q123" s="194">
        <f t="shared" si="1"/>
        <v>1.9379500251315835</v>
      </c>
      <c r="R123" s="16">
        <f>IF('Dry_Litterbag Placem_Collection'!G50="","",'Dry_Litterbag Placem_Collection'!G50)</f>
        <v>43005</v>
      </c>
      <c r="S123" s="194">
        <f>IFERROR(INDEX('Both teabags AfterDry'!$D$3:$D$2000,MATCH(H123,'Both teabags AfterDry'!$A$3:$A$2000,0)),"")</f>
        <v>1.6727000000000001</v>
      </c>
      <c r="T123" s="194">
        <f>IFERROR(INDEX('Both teabags AfterDry'!$D$3:$D$2000,MATCH(I123,'Both teabags AfterDry'!$A$3:$A$2000,0)),"")</f>
        <v>1.7596000000000001</v>
      </c>
      <c r="U123" s="194">
        <f t="shared" si="6"/>
        <v>1.5221</v>
      </c>
      <c r="V123" s="194">
        <f t="shared" si="7"/>
        <v>1.609</v>
      </c>
      <c r="W123" s="194">
        <f>IFERROR(INDEX('Ashed teabags dry'!$K$2:$K$2000,MATCH(H123,'Ashed teabags dry'!$A$2:$A$2000,0)),"")</f>
        <v>6.3352826510722657</v>
      </c>
      <c r="X123" s="194">
        <f>IFERROR(INDEX('Ashed teabags dry'!$K$2:$K$2000,MATCH(I123,'Ashed teabags dry'!$A$2:$A$2000,0)),"")</f>
        <v>2.0276953511382803</v>
      </c>
      <c r="Y123" s="194">
        <f t="shared" si="2"/>
        <v>1.4256706627680291</v>
      </c>
      <c r="Z123" s="194">
        <f t="shared" si="2"/>
        <v>1.576374381800185</v>
      </c>
      <c r="AA123" s="194">
        <f t="shared" si="8"/>
        <v>0.1120044917472901</v>
      </c>
      <c r="AB123" s="194">
        <f t="shared" si="9"/>
        <v>7.3428122855705658E-2</v>
      </c>
      <c r="AC123" s="194">
        <f t="shared" si="3"/>
        <v>0.81342364940146061</v>
      </c>
      <c r="AD123">
        <f t="shared" si="10"/>
        <v>67</v>
      </c>
      <c r="AE123" s="194">
        <f t="shared" si="11"/>
        <v>0.86697803830488107</v>
      </c>
      <c r="AF123" s="194" t="str">
        <f t="shared" si="12"/>
        <v/>
      </c>
      <c r="AG123" s="252" t="str">
        <f>IF(ISNUMBER(SEARCH("C", 'Dry_Litterbag Placem_Collection'!$T50)),"YES","NO")</f>
        <v>NO</v>
      </c>
      <c r="AH123" s="252" t="str">
        <f>IF(ISNUMBER(SEARCH("H", 'Dry_Litterbag Placem_Collection'!$T50)),"YES","NO")</f>
        <v>NO</v>
      </c>
      <c r="AI123" s="252" t="str">
        <f>IF(ISNUMBER(SEARCH("R", 'Dry_Litterbag Placem_Collection'!$T50)),"YES","NO")</f>
        <v>NO</v>
      </c>
      <c r="AJ123" s="252" t="str">
        <f>IF(ISNUMBER(SEARCH("C", 'Dry_Litterbag Placem_Collection'!$S50)),"YES","NO")</f>
        <v>NO</v>
      </c>
      <c r="AK123" s="252" t="str">
        <f>IF(ISNUMBER(SEARCH("H", 'Dry_Litterbag Placem_Collection'!$S50)),"YES","NO")</f>
        <v>NO</v>
      </c>
      <c r="AL123" s="252" t="str">
        <f>IF(ISNUMBER(SEARCH("R", 'Dry_Litterbag Placem_Collection'!$S50)),"YES","NO")</f>
        <v>NO</v>
      </c>
    </row>
    <row r="124" spans="2:38">
      <c r="B124" t="str">
        <f>'Final data_for_R_analysis_Dryse'!A50</f>
        <v>Dry</v>
      </c>
      <c r="C124" s="260">
        <f>'Final data_for_R_analysis_Dryse'!B50</f>
        <v>49</v>
      </c>
      <c r="D124" t="s">
        <v>3808</v>
      </c>
      <c r="E124" t="s">
        <v>22</v>
      </c>
      <c r="F124" s="381">
        <v>1</v>
      </c>
      <c r="G124" s="16">
        <f>IF('Dry_Litterbag Placem_Collection'!E51="","",'Dry_Litterbag Placem_Collection'!E51)</f>
        <v>42938</v>
      </c>
      <c r="H124" t="str">
        <f>'Final data_for_R_analysis_Dryse'!K50</f>
        <v>G54</v>
      </c>
      <c r="I124" t="str">
        <f>'Final data_for_R_analysis_Dryse'!K270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4"/>
        <v>1.8041999999999998</v>
      </c>
      <c r="M124" s="237">
        <f>AVERAGE(Ashed_controlls!$K$1:$K$11)</f>
        <v>5.5147656768714146</v>
      </c>
      <c r="N124" s="194">
        <f t="shared" si="0"/>
        <v>1.7047025976578858</v>
      </c>
      <c r="O124" s="194">
        <f t="shared" si="5"/>
        <v>1.9971999999999999</v>
      </c>
      <c r="P124" s="237">
        <f>AVERAGE(Ashed_controlls!$K$12:$K$14)</f>
        <v>2.2816647271287041</v>
      </c>
      <c r="Q124" s="194">
        <f t="shared" si="1"/>
        <v>1.9516305920697854</v>
      </c>
      <c r="R124" s="16">
        <f>IF('Dry_Litterbag Placem_Collection'!G51="","",'Dry_Litterbag Placem_Collection'!G51)</f>
        <v>43005</v>
      </c>
      <c r="S124" s="194" t="str">
        <f>IFERROR(INDEX('Both teabags AfterDry'!$D$3:$D$2000,MATCH(H124,'Both teabags AfterDry'!$A$3:$A$2000,0)),"")</f>
        <v/>
      </c>
      <c r="T124" s="194" t="str">
        <f>IFERROR(INDEX('Both teabags AfterDry'!$D$3:$D$2000,MATCH(I124,'Both teabags AfterDry'!$A$3:$A$2000,0)),"")</f>
        <v/>
      </c>
      <c r="U124" s="194" t="str">
        <f t="shared" si="6"/>
        <v/>
      </c>
      <c r="V124" s="194" t="str">
        <f t="shared" si="7"/>
        <v/>
      </c>
      <c r="W124" s="194" t="str">
        <f>IFERROR(INDEX('Ashed teabags dry'!$K$2:$K$2000,MATCH(H124,'Ashed teabags dry'!$A$2:$A$2000,0)),"")</f>
        <v/>
      </c>
      <c r="X124" s="194" t="str">
        <f>IFERROR(INDEX('Ashed teabags dry'!$K$2:$K$2000,MATCH(I124,'Ashed teabags dry'!$A$2:$A$2000,0)),"")</f>
        <v/>
      </c>
      <c r="Y124" s="194" t="str">
        <f t="shared" si="2"/>
        <v/>
      </c>
      <c r="Z124" s="194" t="str">
        <f t="shared" si="2"/>
        <v/>
      </c>
      <c r="AA124" s="194" t="str">
        <f t="shared" si="8"/>
        <v/>
      </c>
      <c r="AB124" s="194" t="str">
        <f t="shared" si="9"/>
        <v/>
      </c>
      <c r="AC124" s="194" t="str">
        <f t="shared" si="3"/>
        <v/>
      </c>
      <c r="AD124">
        <f t="shared" si="10"/>
        <v>67</v>
      </c>
      <c r="AE124" s="194" t="str">
        <f t="shared" si="11"/>
        <v/>
      </c>
      <c r="AF124" s="194" t="str">
        <f t="shared" si="12"/>
        <v/>
      </c>
      <c r="AG124" s="252" t="str">
        <f>IF(ISNUMBER(SEARCH("C", 'Dry_Litterbag Placem_Collection'!$T51)),"YES","NO")</f>
        <v>NO</v>
      </c>
      <c r="AH124" s="252" t="str">
        <f>IF(ISNUMBER(SEARCH("H", 'Dry_Litterbag Placem_Collection'!$T51)),"YES","NO")</f>
        <v>NO</v>
      </c>
      <c r="AI124" s="252" t="str">
        <f>IF(ISNUMBER(SEARCH("R", 'Dry_Litterbag Placem_Collection'!$T51)),"YES","NO")</f>
        <v>NO</v>
      </c>
      <c r="AJ124" s="252" t="str">
        <f>IF(ISNUMBER(SEARCH("C", 'Dry_Litterbag Placem_Collection'!$S51)),"YES","NO")</f>
        <v>NO</v>
      </c>
      <c r="AK124" s="252" t="str">
        <f>IF(ISNUMBER(SEARCH("H", 'Dry_Litterbag Placem_Collection'!$S51)),"YES","NO")</f>
        <v>NO</v>
      </c>
      <c r="AL124" s="252" t="str">
        <f>IF(ISNUMBER(SEARCH("R", 'Dry_Litterbag Placem_Collection'!$S51)),"YES","NO")</f>
        <v>NO</v>
      </c>
    </row>
    <row r="125" spans="2:38">
      <c r="B125" t="str">
        <f>'Final data_for_R_analysis_Dryse'!A51</f>
        <v>Dry</v>
      </c>
      <c r="C125" s="260">
        <f>'Final data_for_R_analysis_Dryse'!B51</f>
        <v>50</v>
      </c>
      <c r="D125" t="s">
        <v>3808</v>
      </c>
      <c r="E125" t="s">
        <v>22</v>
      </c>
      <c r="F125" s="381">
        <v>2</v>
      </c>
      <c r="G125" s="16">
        <f>IF('Dry_Litterbag Placem_Collection'!E52="","",'Dry_Litterbag Placem_Collection'!E52)</f>
        <v>42938</v>
      </c>
      <c r="H125" t="str">
        <f>'Final data_for_R_analysis_Dryse'!K51</f>
        <v>G276</v>
      </c>
      <c r="I125" t="str">
        <f>'Final data_for_R_analysis_Dryse'!K271</f>
        <v>R754</v>
      </c>
      <c r="J125">
        <f>IFERROR(INDEX('Green_rooibos initial weight'!$C$5:$C$2000,MATCH(H125, 'Green_rooibos initial weight'!$A$5:$A$2000,0)),"")</f>
        <v>1.966</v>
      </c>
      <c r="K125">
        <f>IFERROR(INDEX('Green_rooibos initial weight'!$C$5:$C$2000,MATCH(I125, 'Green_rooibos initial weight'!$A$5:$A$2000,0)),"")</f>
        <v>2.2069999999999999</v>
      </c>
      <c r="L125" s="194">
        <f t="shared" si="4"/>
        <v>1.7161999999999999</v>
      </c>
      <c r="M125" s="237">
        <f>AVERAGE(Ashed_controlls!$K$1:$K$11)</f>
        <v>5.5147656768714146</v>
      </c>
      <c r="N125" s="194">
        <f t="shared" si="0"/>
        <v>1.6215555914535327</v>
      </c>
      <c r="O125" s="194">
        <f t="shared" si="5"/>
        <v>1.9571999999999998</v>
      </c>
      <c r="P125" s="237">
        <f>AVERAGE(Ashed_controlls!$K$12:$K$14)</f>
        <v>2.2816647271287041</v>
      </c>
      <c r="Q125" s="194">
        <f t="shared" si="1"/>
        <v>1.9125432579606367</v>
      </c>
      <c r="R125" s="16" t="str">
        <f>IF('Dry_Litterbag Placem_Collection'!G52="","",'Dry_Litterbag Placem_Collection'!G52)</f>
        <v/>
      </c>
      <c r="S125" s="194" t="str">
        <f>IFERROR(INDEX('Both teabags AfterDry'!$D$3:$D$2000,MATCH(H125,'Both teabags AfterDry'!$A$3:$A$2000,0)),"")</f>
        <v/>
      </c>
      <c r="T125" s="194" t="str">
        <f>IFERROR(INDEX('Both teabags AfterDry'!$D$3:$D$2000,MATCH(I125,'Both teabags AfterDry'!$A$3:$A$2000,0)),"")</f>
        <v/>
      </c>
      <c r="U125" s="194" t="str">
        <f t="shared" si="6"/>
        <v/>
      </c>
      <c r="V125" s="194" t="str">
        <f t="shared" si="7"/>
        <v/>
      </c>
      <c r="W125" s="194" t="str">
        <f>IFERROR(INDEX('Ashed teabags dry'!$K$2:$K$2000,MATCH(H125,'Ashed teabags dry'!$A$2:$A$2000,0)),"")</f>
        <v/>
      </c>
      <c r="X125" s="194" t="str">
        <f>IFERROR(INDEX('Ashed teabags dry'!$K$2:$K$2000,MATCH(I125,'Ashed teabags dry'!$A$2:$A$2000,0)),"")</f>
        <v/>
      </c>
      <c r="Y125" s="194" t="str">
        <f t="shared" si="2"/>
        <v/>
      </c>
      <c r="Z125" s="194" t="str">
        <f t="shared" si="2"/>
        <v/>
      </c>
      <c r="AA125" s="194" t="str">
        <f t="shared" si="8"/>
        <v/>
      </c>
      <c r="AB125" s="194" t="str">
        <f t="shared" si="9"/>
        <v/>
      </c>
      <c r="AC125" s="194" t="str">
        <f t="shared" si="3"/>
        <v/>
      </c>
      <c r="AD125" t="str">
        <f t="shared" si="10"/>
        <v/>
      </c>
      <c r="AE125" s="194" t="str">
        <f t="shared" si="11"/>
        <v/>
      </c>
      <c r="AF125" s="194" t="str">
        <f t="shared" si="12"/>
        <v/>
      </c>
      <c r="AG125" s="252" t="str">
        <f>IF(ISNUMBER(SEARCH("C", 'Dry_Litterbag Placem_Collection'!$T52)),"YES","NO")</f>
        <v>NO</v>
      </c>
      <c r="AH125" s="252" t="str">
        <f>IF(ISNUMBER(SEARCH("H", 'Dry_Litterbag Placem_Collection'!$T52)),"YES","NO")</f>
        <v>NO</v>
      </c>
      <c r="AI125" s="252" t="str">
        <f>IF(ISNUMBER(SEARCH("R", 'Dry_Litterbag Placem_Collection'!$T52)),"YES","NO")</f>
        <v>NO</v>
      </c>
      <c r="AJ125" s="252" t="str">
        <f>IF(ISNUMBER(SEARCH("C", 'Dry_Litterbag Placem_Collection'!$S52)),"YES","NO")</f>
        <v>NO</v>
      </c>
      <c r="AK125" s="252" t="str">
        <f>IF(ISNUMBER(SEARCH("H", 'Dry_Litterbag Placem_Collection'!$S52)),"YES","NO")</f>
        <v>NO</v>
      </c>
      <c r="AL125" s="252" t="str">
        <f>IF(ISNUMBER(SEARCH("R", 'Dry_Litterbag Placem_Collection'!$S52)),"YES","NO")</f>
        <v>NO</v>
      </c>
    </row>
    <row r="126" spans="2:38">
      <c r="B126" t="str">
        <f>'Final data_for_R_analysis_Dryse'!A52</f>
        <v>Dry</v>
      </c>
      <c r="C126" s="260">
        <f>'Final data_for_R_analysis_Dryse'!B52</f>
        <v>51</v>
      </c>
      <c r="D126" t="s">
        <v>3808</v>
      </c>
      <c r="E126" t="s">
        <v>22</v>
      </c>
      <c r="F126" s="381">
        <v>3</v>
      </c>
      <c r="G126" s="16">
        <f>IF('Dry_Litterbag Placem_Collection'!E53="","",'Dry_Litterbag Placem_Collection'!E53)</f>
        <v>42938</v>
      </c>
      <c r="H126" t="str">
        <f>'Final data_for_R_analysis_Dryse'!K52</f>
        <v>G227</v>
      </c>
      <c r="I126" t="str">
        <f>'Final data_for_R_analysis_Dryse'!K272</f>
        <v>R798</v>
      </c>
      <c r="J126">
        <f>IFERROR(INDEX('Green_rooibos initial weight'!$C$5:$C$2000,MATCH(H126, 'Green_rooibos initial weight'!$A$5:$A$2000,0)),"")</f>
        <v>1.986</v>
      </c>
      <c r="K126">
        <f>IFERROR(INDEX('Green_rooibos initial weight'!$C$5:$C$2000,MATCH(I126, 'Green_rooibos initial weight'!$A$5:$A$2000,0)),"")</f>
        <v>2.1850000000000001</v>
      </c>
      <c r="L126" s="194">
        <f t="shared" si="4"/>
        <v>1.7362</v>
      </c>
      <c r="M126" s="237">
        <f>AVERAGE(Ashed_controlls!$K$1:$K$11)</f>
        <v>5.5147656768714146</v>
      </c>
      <c r="N126" s="194">
        <f t="shared" si="0"/>
        <v>1.6404526383181586</v>
      </c>
      <c r="O126" s="194">
        <f t="shared" si="5"/>
        <v>1.9352</v>
      </c>
      <c r="P126" s="237">
        <f>AVERAGE(Ashed_controlls!$K$12:$K$14)</f>
        <v>2.2816647271287041</v>
      </c>
      <c r="Q126" s="194">
        <f t="shared" si="1"/>
        <v>1.8910452242006053</v>
      </c>
      <c r="R126" s="16">
        <f>IF('Dry_Litterbag Placem_Collection'!G53="","",'Dry_Litterbag Placem_Collection'!G53)</f>
        <v>43005</v>
      </c>
      <c r="S126" s="194">
        <f>IFERROR(INDEX('Both teabags AfterDry'!$D$3:$D$2000,MATCH(H126,'Both teabags AfterDry'!$A$3:$A$2000,0)),"")</f>
        <v>1.7715000000000001</v>
      </c>
      <c r="T126" s="194">
        <f>IFERROR(INDEX('Both teabags AfterDry'!$D$3:$D$2000,MATCH(I126,'Both teabags AfterDry'!$A$3:$A$2000,0)),"")</f>
        <v>1.8956999999999999</v>
      </c>
      <c r="U126" s="194">
        <f t="shared" si="6"/>
        <v>1.6209</v>
      </c>
      <c r="V126" s="194">
        <f t="shared" si="7"/>
        <v>1.7450999999999999</v>
      </c>
      <c r="W126" s="194">
        <f>IFERROR(INDEX('Ashed teabags dry'!$K$2:$K$2000,MATCH(H126,'Ashed teabags dry'!$A$2:$A$2000,0)),"")</f>
        <v>5.9108954565503948</v>
      </c>
      <c r="X126" s="194">
        <f>IFERROR(INDEX('Ashed teabags dry'!$K$2:$K$2000,MATCH(I126,'Ashed teabags dry'!$A$2:$A$2000,0)),"")</f>
        <v>3.1954887218038985</v>
      </c>
      <c r="Y126" s="194">
        <f t="shared" si="2"/>
        <v>1.5250902955447747</v>
      </c>
      <c r="Z126" s="194">
        <f t="shared" si="2"/>
        <v>1.6893355263158001</v>
      </c>
      <c r="AA126" s="194">
        <f t="shared" si="8"/>
        <v>7.0323482725875519E-2</v>
      </c>
      <c r="AB126" s="194">
        <f t="shared" si="9"/>
        <v>4.6102805777533583E-2</v>
      </c>
      <c r="AC126" s="194">
        <f t="shared" si="3"/>
        <v>0.89333428132578208</v>
      </c>
      <c r="AD126">
        <f t="shared" si="10"/>
        <v>67</v>
      </c>
      <c r="AE126" s="194">
        <f t="shared" si="11"/>
        <v>0.91648042431606236</v>
      </c>
      <c r="AF126" s="194" t="str">
        <f t="shared" si="12"/>
        <v/>
      </c>
      <c r="AG126" s="252" t="str">
        <f>IF(ISNUMBER(SEARCH("C", 'Dry_Litterbag Placem_Collection'!$T53)),"YES","NO")</f>
        <v>NO</v>
      </c>
      <c r="AH126" s="252" t="str">
        <f>IF(ISNUMBER(SEARCH("H", 'Dry_Litterbag Placem_Collection'!$T53)),"YES","NO")</f>
        <v>NO</v>
      </c>
      <c r="AI126" s="252" t="str">
        <f>IF(ISNUMBER(SEARCH("R", 'Dry_Litterbag Placem_Collection'!$T53)),"YES","NO")</f>
        <v>NO</v>
      </c>
      <c r="AJ126" s="252" t="str">
        <f>IF(ISNUMBER(SEARCH("C", 'Dry_Litterbag Placem_Collection'!$S53)),"YES","NO")</f>
        <v>NO</v>
      </c>
      <c r="AK126" s="252" t="str">
        <f>IF(ISNUMBER(SEARCH("H", 'Dry_Litterbag Placem_Collection'!$S53)),"YES","NO")</f>
        <v>NO</v>
      </c>
      <c r="AL126" s="252" t="str">
        <f>IF(ISNUMBER(SEARCH("R", 'Dry_Litterbag Placem_Collection'!$S53)),"YES","NO")</f>
        <v>NO</v>
      </c>
    </row>
    <row r="127" spans="2:38">
      <c r="B127" t="str">
        <f>'Final data_for_R_analysis_Dryse'!A53</f>
        <v>Dry</v>
      </c>
      <c r="C127" s="260">
        <f>'Final data_for_R_analysis_Dryse'!B53</f>
        <v>52</v>
      </c>
      <c r="D127" t="s">
        <v>3808</v>
      </c>
      <c r="E127" t="s">
        <v>22</v>
      </c>
      <c r="F127" s="382">
        <v>4</v>
      </c>
      <c r="G127" s="16">
        <f>IF('Dry_Litterbag Placem_Collection'!E54="","",'Dry_Litterbag Placem_Collection'!E54)</f>
        <v>42938</v>
      </c>
      <c r="H127" t="str">
        <f>'Final data_for_R_analysis_Dryse'!K53</f>
        <v>G237</v>
      </c>
      <c r="I127" t="str">
        <f>'Final data_for_R_analysis_Dryse'!K273</f>
        <v>R833</v>
      </c>
      <c r="J127">
        <f>IFERROR(INDEX('Green_rooibos initial weight'!$C$5:$C$2000,MATCH(H127, 'Green_rooibos initial weight'!$A$5:$A$2000,0)),"")</f>
        <v>1.988</v>
      </c>
      <c r="K127">
        <f>IFERROR(INDEX('Green_rooibos initial weight'!$C$5:$C$2000,MATCH(I127, 'Green_rooibos initial weight'!$A$5:$A$2000,0)),"")</f>
        <v>2.218</v>
      </c>
      <c r="L127" s="194">
        <f t="shared" si="4"/>
        <v>1.7382</v>
      </c>
      <c r="M127" s="237">
        <f>AVERAGE(Ashed_controlls!$K$1:$K$11)</f>
        <v>5.5147656768714146</v>
      </c>
      <c r="N127" s="194">
        <f t="shared" si="0"/>
        <v>1.6423423430046211</v>
      </c>
      <c r="O127" s="194">
        <f t="shared" si="5"/>
        <v>1.9681999999999999</v>
      </c>
      <c r="P127" s="237">
        <f>AVERAGE(Ashed_controlls!$K$12:$K$14)</f>
        <v>2.2816647271287041</v>
      </c>
      <c r="Q127" s="194">
        <f t="shared" si="1"/>
        <v>1.9232922748406529</v>
      </c>
      <c r="R127" s="16">
        <f>IF('Dry_Litterbag Placem_Collection'!G54="","",'Dry_Litterbag Placem_Collection'!G54)</f>
        <v>43005</v>
      </c>
      <c r="S127" s="194">
        <f>IFERROR(INDEX('Both teabags AfterDry'!$D$3:$D$2000,MATCH(H127,'Both teabags AfterDry'!$A$3:$A$2000,0)),"")</f>
        <v>1.8220000000000001</v>
      </c>
      <c r="T127" s="194">
        <f>IFERROR(INDEX('Both teabags AfterDry'!$D$3:$D$2000,MATCH(I127,'Both teabags AfterDry'!$A$3:$A$2000,0)),"")</f>
        <v>1.9791000000000001</v>
      </c>
      <c r="U127" s="194">
        <f t="shared" si="6"/>
        <v>1.6714</v>
      </c>
      <c r="V127" s="194">
        <f t="shared" si="7"/>
        <v>1.8285</v>
      </c>
      <c r="W127" s="194">
        <f>IFERROR(INDEX('Ashed teabags dry'!$K$2:$K$2000,MATCH(H127,'Ashed teabags dry'!$A$2:$A$2000,0)),"")</f>
        <v>5.8161350844273088</v>
      </c>
      <c r="X127" s="194">
        <f>IFERROR(INDEX('Ashed teabags dry'!$K$2:$K$2000,MATCH(I127,'Ashed teabags dry'!$A$2:$A$2000,0)),"")</f>
        <v>3.0042918454938667</v>
      </c>
      <c r="Y127" s="194">
        <f t="shared" si="2"/>
        <v>1.5741891181988819</v>
      </c>
      <c r="Z127" s="194">
        <f t="shared" si="2"/>
        <v>1.7735665236051446</v>
      </c>
      <c r="AA127" s="194">
        <f t="shared" si="8"/>
        <v>4.1497575152970145E-2</v>
      </c>
      <c r="AB127" s="194">
        <f t="shared" si="9"/>
        <v>2.720506114541513E-2</v>
      </c>
      <c r="AC127" s="194">
        <f t="shared" si="3"/>
        <v>0.92215132707902481</v>
      </c>
      <c r="AD127">
        <f t="shared" si="10"/>
        <v>67</v>
      </c>
      <c r="AE127" s="194">
        <f t="shared" si="11"/>
        <v>0.95071546893946535</v>
      </c>
      <c r="AF127" s="194" t="str">
        <f t="shared" si="12"/>
        <v/>
      </c>
      <c r="AG127" s="252" t="str">
        <f>IF(ISNUMBER(SEARCH("C", 'Dry_Litterbag Placem_Collection'!$T54)),"YES","NO")</f>
        <v>NO</v>
      </c>
      <c r="AH127" s="252" t="str">
        <f>IF(ISNUMBER(SEARCH("H", 'Dry_Litterbag Placem_Collection'!$T54)),"YES","NO")</f>
        <v>NO</v>
      </c>
      <c r="AI127" s="252" t="str">
        <f>IF(ISNUMBER(SEARCH("R", 'Dry_Litterbag Placem_Collection'!$T54)),"YES","NO")</f>
        <v>NO</v>
      </c>
      <c r="AJ127" s="252" t="str">
        <f>IF(ISNUMBER(SEARCH("C", 'Dry_Litterbag Placem_Collection'!$S54)),"YES","NO")</f>
        <v>NO</v>
      </c>
      <c r="AK127" s="252" t="str">
        <f>IF(ISNUMBER(SEARCH("H", 'Dry_Litterbag Placem_Collection'!$S54)),"YES","NO")</f>
        <v>NO</v>
      </c>
      <c r="AL127" s="252" t="str">
        <f>IF(ISNUMBER(SEARCH("R", 'Dry_Litterbag Placem_Collection'!$S54)),"YES","NO")</f>
        <v>NO</v>
      </c>
    </row>
    <row r="128" spans="2:38">
      <c r="B128" t="str">
        <f>'Final data_for_R_analysis_Dryse'!A54</f>
        <v>Dry</v>
      </c>
      <c r="C128" s="260">
        <f>'Final data_for_R_analysis_Dryse'!B54</f>
        <v>53</v>
      </c>
      <c r="D128" t="s">
        <v>3808</v>
      </c>
      <c r="E128" t="s">
        <v>22</v>
      </c>
      <c r="F128" s="382">
        <v>5</v>
      </c>
      <c r="G128" s="16">
        <f>IF('Dry_Litterbag Placem_Collection'!E55="","",'Dry_Litterbag Placem_Collection'!E55)</f>
        <v>42938</v>
      </c>
      <c r="H128" t="str">
        <f>'Final data_for_R_analysis_Dryse'!K54</f>
        <v>G172</v>
      </c>
      <c r="I128" t="str">
        <f>'Final data_for_R_analysis_Dryse'!K274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4"/>
        <v>1.7372000000000001</v>
      </c>
      <c r="M128" s="237">
        <f>AVERAGE(Ashed_controlls!$K$1:$K$11)</f>
        <v>5.5147656768714146</v>
      </c>
      <c r="N128" s="194">
        <f t="shared" si="0"/>
        <v>1.64139749066139</v>
      </c>
      <c r="O128" s="194">
        <f t="shared" si="5"/>
        <v>1.9091999999999998</v>
      </c>
      <c r="P128" s="237">
        <f>AVERAGE(Ashed_controlls!$K$12:$K$14)</f>
        <v>2.2816647271287041</v>
      </c>
      <c r="Q128" s="194">
        <f t="shared" si="1"/>
        <v>1.8656384570296585</v>
      </c>
      <c r="R128" s="16">
        <f>IF('Dry_Litterbag Placem_Collection'!G55="","",'Dry_Litterbag Placem_Collection'!G55)</f>
        <v>43005</v>
      </c>
      <c r="S128" s="194">
        <f>IFERROR(INDEX('Both teabags AfterDry'!$D$3:$D$2000,MATCH(H128,'Both teabags AfterDry'!$A$3:$A$2000,0)),"")</f>
        <v>1.8197000000000001</v>
      </c>
      <c r="T128" s="194">
        <f>IFERROR(INDEX('Both teabags AfterDry'!$D$3:$D$2000,MATCH(I128,'Both teabags AfterDry'!$A$3:$A$2000,0)),"")</f>
        <v>1.8914</v>
      </c>
      <c r="U128" s="194">
        <f t="shared" si="6"/>
        <v>1.6691</v>
      </c>
      <c r="V128" s="194">
        <f t="shared" si="7"/>
        <v>1.7407999999999999</v>
      </c>
      <c r="W128" s="194">
        <f>IFERROR(INDEX('Ashed teabags dry'!$K$2:$K$2000,MATCH(H128,'Ashed teabags dry'!$A$2:$A$2000,0)),"")</f>
        <v>5.6308213378488601</v>
      </c>
      <c r="X128" s="194">
        <f>IFERROR(INDEX('Ashed teabags dry'!$K$2:$K$2000,MATCH(I128,'Ashed teabags dry'!$A$2:$A$2000,0)),"")</f>
        <v>2.63419483101393</v>
      </c>
      <c r="Y128" s="194">
        <f t="shared" si="2"/>
        <v>1.5751159610499648</v>
      </c>
      <c r="Z128" s="194">
        <f t="shared" si="2"/>
        <v>1.6949439363817094</v>
      </c>
      <c r="AA128" s="194">
        <f t="shared" si="8"/>
        <v>4.0381156903509963E-2</v>
      </c>
      <c r="AB128" s="194">
        <f t="shared" si="9"/>
        <v>2.6473157494937682E-2</v>
      </c>
      <c r="AC128" s="194">
        <f t="shared" si="3"/>
        <v>0.9085061095279322</v>
      </c>
      <c r="AD128">
        <f t="shared" si="10"/>
        <v>67</v>
      </c>
      <c r="AE128" s="194">
        <f t="shared" si="11"/>
        <v>0.95204138134975058</v>
      </c>
      <c r="AF128" s="194" t="str">
        <f t="shared" si="12"/>
        <v/>
      </c>
      <c r="AG128" s="252" t="str">
        <f>IF(ISNUMBER(SEARCH("C", 'Dry_Litterbag Placem_Collection'!$T55)),"YES","NO")</f>
        <v>NO</v>
      </c>
      <c r="AH128" s="252" t="str">
        <f>IF(ISNUMBER(SEARCH("H", 'Dry_Litterbag Placem_Collection'!$T55)),"YES","NO")</f>
        <v>NO</v>
      </c>
      <c r="AI128" s="252" t="str">
        <f>IF(ISNUMBER(SEARCH("R", 'Dry_Litterbag Placem_Collection'!$T55)),"YES","NO")</f>
        <v>NO</v>
      </c>
      <c r="AJ128" s="252" t="str">
        <f>IF(ISNUMBER(SEARCH("C", 'Dry_Litterbag Placem_Collection'!$S55)),"YES","NO")</f>
        <v>NO</v>
      </c>
      <c r="AK128" s="252" t="str">
        <f>IF(ISNUMBER(SEARCH("H", 'Dry_Litterbag Placem_Collection'!$S55)),"YES","NO")</f>
        <v>NO</v>
      </c>
      <c r="AL128" s="252" t="str">
        <f>IF(ISNUMBER(SEARCH("R", 'Dry_Litterbag Placem_Collection'!$S55)),"YES","NO")</f>
        <v>NO</v>
      </c>
    </row>
    <row r="129" spans="2:38">
      <c r="B129" t="str">
        <f>'Final data_for_R_analysis_Dryse'!A55</f>
        <v>Dry</v>
      </c>
      <c r="C129" s="260">
        <f>'Final data_for_R_analysis_Dryse'!B55</f>
        <v>54</v>
      </c>
      <c r="D129" t="s">
        <v>3808</v>
      </c>
      <c r="E129" t="s">
        <v>22</v>
      </c>
      <c r="F129" s="382">
        <v>6</v>
      </c>
      <c r="G129" s="16" t="str">
        <f>IF('Dry_Litterbag Placem_Collection'!E56="","",'Dry_Litterbag Placem_Collection'!E56)</f>
        <v/>
      </c>
      <c r="H129" t="str">
        <f>'Final data_for_R_analysis_Dryse'!K55</f>
        <v/>
      </c>
      <c r="I129" t="str">
        <f>'Final data_for_R_analysis_Dryse'!K275</f>
        <v/>
      </c>
      <c r="J129" t="str">
        <f>IFERROR(INDEX('Green_rooibos initial weight'!$C$5:$C$2000,MATCH(H129, 'Green_rooibos initial weight'!$A$5:$A$2000,0)),"")</f>
        <v/>
      </c>
      <c r="K129" t="str">
        <f>IFERROR(INDEX('Green_rooibos initial weight'!$C$5:$C$2000,MATCH(I129, 'Green_rooibos initial weight'!$A$5:$A$2000,0)),"")</f>
        <v/>
      </c>
      <c r="L129" s="194" t="str">
        <f t="shared" si="4"/>
        <v/>
      </c>
      <c r="M129" s="237">
        <f>AVERAGE(Ashed_controlls!$K$1:$K$11)</f>
        <v>5.5147656768714146</v>
      </c>
      <c r="N129" s="194" t="str">
        <f t="shared" si="0"/>
        <v/>
      </c>
      <c r="O129" s="194" t="str">
        <f t="shared" si="5"/>
        <v/>
      </c>
      <c r="P129" s="237">
        <f>AVERAGE(Ashed_controlls!$K$12:$K$14)</f>
        <v>2.2816647271287041</v>
      </c>
      <c r="Q129" s="194" t="str">
        <f t="shared" si="1"/>
        <v/>
      </c>
      <c r="R129" s="16" t="str">
        <f>IF('Dry_Litterbag Placem_Collection'!G56="","",'Dry_Litterbag Placem_Collection'!G56)</f>
        <v/>
      </c>
      <c r="S129" s="194" t="str">
        <f>IFERROR(INDEX('Both teabags AfterDry'!$D$3:$D$2000,MATCH(H129,'Both teabags AfterDry'!$A$3:$A$2000,0)),"")</f>
        <v/>
      </c>
      <c r="T129" s="194" t="str">
        <f>IFERROR(INDEX('Both teabags AfterDry'!$D$3:$D$2000,MATCH(I129,'Both teabags AfterDry'!$A$3:$A$2000,0)),"")</f>
        <v/>
      </c>
      <c r="U129" s="194" t="str">
        <f t="shared" si="6"/>
        <v/>
      </c>
      <c r="V129" s="194" t="str">
        <f t="shared" si="7"/>
        <v/>
      </c>
      <c r="W129" s="194" t="str">
        <f>IFERROR(INDEX('Ashed teabags dry'!$K$2:$K$2000,MATCH(H129,'Ashed teabags dry'!$A$2:$A$2000,0)),"")</f>
        <v/>
      </c>
      <c r="X129" s="194" t="str">
        <f>IFERROR(INDEX('Ashed teabags dry'!$K$2:$K$2000,MATCH(I129,'Ashed teabags dry'!$A$2:$A$2000,0)),"")</f>
        <v/>
      </c>
      <c r="Y129" s="194" t="str">
        <f t="shared" si="2"/>
        <v/>
      </c>
      <c r="Z129" s="194" t="str">
        <f t="shared" si="2"/>
        <v/>
      </c>
      <c r="AA129" s="194" t="str">
        <f t="shared" si="8"/>
        <v/>
      </c>
      <c r="AB129" s="194" t="str">
        <f t="shared" si="9"/>
        <v/>
      </c>
      <c r="AC129" s="194" t="str">
        <f t="shared" si="3"/>
        <v/>
      </c>
      <c r="AD129" t="str">
        <f t="shared" si="10"/>
        <v/>
      </c>
      <c r="AE129" s="194" t="str">
        <f t="shared" si="11"/>
        <v/>
      </c>
      <c r="AF129" s="194" t="str">
        <f t="shared" si="12"/>
        <v/>
      </c>
      <c r="AG129" s="252" t="str">
        <f>IF(ISNUMBER(SEARCH("C", 'Dry_Litterbag Placem_Collection'!$T56)),"YES","NO")</f>
        <v>NO</v>
      </c>
      <c r="AH129" s="252" t="str">
        <f>IF(ISNUMBER(SEARCH("H", 'Dry_Litterbag Placem_Collection'!$T56)),"YES","NO")</f>
        <v>NO</v>
      </c>
      <c r="AI129" s="252" t="str">
        <f>IF(ISNUMBER(SEARCH("R", 'Dry_Litterbag Placem_Collection'!$T56)),"YES","NO")</f>
        <v>NO</v>
      </c>
      <c r="AJ129" s="252" t="str">
        <f>IF(ISNUMBER(SEARCH("C", 'Dry_Litterbag Placem_Collection'!$S56)),"YES","NO")</f>
        <v>NO</v>
      </c>
      <c r="AK129" s="252" t="str">
        <f>IF(ISNUMBER(SEARCH("H", 'Dry_Litterbag Placem_Collection'!$S56)),"YES","NO")</f>
        <v>NO</v>
      </c>
      <c r="AL129" s="252" t="str">
        <f>IF(ISNUMBER(SEARCH("R", 'Dry_Litterbag Placem_Collection'!$S56)),"YES","NO")</f>
        <v>NO</v>
      </c>
    </row>
    <row r="130" spans="2:38">
      <c r="B130" t="str">
        <f>'Final data_for_R_analysis_Dryse'!A56</f>
        <v>Dry</v>
      </c>
      <c r="C130" s="260">
        <f>'Final data_for_R_analysis_Dryse'!B56</f>
        <v>55</v>
      </c>
      <c r="D130" t="s">
        <v>3808</v>
      </c>
      <c r="E130" t="s">
        <v>22</v>
      </c>
      <c r="F130" s="382">
        <v>7</v>
      </c>
      <c r="G130" s="16">
        <f>IF('Dry_Litterbag Placem_Collection'!E57="","",'Dry_Litterbag Placem_Collection'!E57)</f>
        <v>42938</v>
      </c>
      <c r="H130" t="str">
        <f>'Final data_for_R_analysis_Dryse'!K56</f>
        <v>G86</v>
      </c>
      <c r="I130" t="str">
        <f>'Final data_for_R_analysis_Dryse'!K276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4"/>
        <v>1.8532000000000002</v>
      </c>
      <c r="M130" s="237">
        <f>AVERAGE(Ashed_controlls!$K$1:$K$11)</f>
        <v>5.5147656768714146</v>
      </c>
      <c r="N130" s="194">
        <f t="shared" si="0"/>
        <v>1.7510003624762192</v>
      </c>
      <c r="O130" s="194">
        <f t="shared" si="5"/>
        <v>1.9771999999999998</v>
      </c>
      <c r="P130" s="237">
        <f>AVERAGE(Ashed_controlls!$K$12:$K$14)</f>
        <v>2.2816647271287041</v>
      </c>
      <c r="Q130" s="194">
        <f t="shared" si="1"/>
        <v>1.9320869250152111</v>
      </c>
      <c r="R130" s="16">
        <f>IF('Dry_Litterbag Placem_Collection'!G57="","",'Dry_Litterbag Placem_Collection'!G57)</f>
        <v>43005</v>
      </c>
      <c r="S130" s="194">
        <f>IFERROR(INDEX('Both teabags AfterDry'!$D$3:$D$2000,MATCH(H130,'Both teabags AfterDry'!$A$3:$A$2000,0)),"")</f>
        <v>1.8914</v>
      </c>
      <c r="T130" s="194">
        <f>IFERROR(INDEX('Both teabags AfterDry'!$D$3:$D$2000,MATCH(I130,'Both teabags AfterDry'!$A$3:$A$2000,0)),"")</f>
        <v>1.9775</v>
      </c>
      <c r="U130" s="194">
        <f t="shared" si="6"/>
        <v>1.7407999999999999</v>
      </c>
      <c r="V130" s="194">
        <f t="shared" si="7"/>
        <v>1.8269</v>
      </c>
      <c r="W130" s="194">
        <f>IFERROR(INDEX('Ashed teabags dry'!$K$2:$K$2000,MATCH(H130,'Ashed teabags dry'!$A$2:$A$2000,0)),"")</f>
        <v>6.1160714285713613</v>
      </c>
      <c r="X130" s="194">
        <f>IFERROR(INDEX('Ashed teabags dry'!$K$2:$K$2000,MATCH(I130,'Ashed teabags dry'!$A$2:$A$2000,0)),"")</f>
        <v>2.7226580526069402</v>
      </c>
      <c r="Y130" s="194">
        <f t="shared" si="2"/>
        <v>1.6343314285714297</v>
      </c>
      <c r="Z130" s="194">
        <f t="shared" si="2"/>
        <v>1.7771597600369238</v>
      </c>
      <c r="AA130" s="194">
        <f t="shared" si="8"/>
        <v>6.6629874216473262E-2</v>
      </c>
      <c r="AB130" s="194">
        <f t="shared" si="9"/>
        <v>4.3681342716737834E-2</v>
      </c>
      <c r="AC130" s="194">
        <f t="shared" si="3"/>
        <v>0.91981356378307488</v>
      </c>
      <c r="AD130">
        <f t="shared" si="10"/>
        <v>67</v>
      </c>
      <c r="AE130" s="194">
        <f t="shared" si="11"/>
        <v>0.92086713275953291</v>
      </c>
      <c r="AF130" s="194" t="str">
        <f t="shared" si="12"/>
        <v/>
      </c>
      <c r="AG130" s="252" t="str">
        <f>IF(ISNUMBER(SEARCH("C", 'Dry_Litterbag Placem_Collection'!$T57)),"YES","NO")</f>
        <v>YES</v>
      </c>
      <c r="AH130" s="252" t="str">
        <f>IF(ISNUMBER(SEARCH("H", 'Dry_Litterbag Placem_Collection'!$T57)),"YES","NO")</f>
        <v>YES</v>
      </c>
      <c r="AI130" s="252" t="str">
        <f>IF(ISNUMBER(SEARCH("R", 'Dry_Litterbag Placem_Collection'!$T57)),"YES","NO")</f>
        <v>NO</v>
      </c>
      <c r="AJ130" s="252" t="str">
        <f>IF(ISNUMBER(SEARCH("C", 'Dry_Litterbag Placem_Collection'!$S57)),"YES","NO")</f>
        <v>YES</v>
      </c>
      <c r="AK130" s="252" t="str">
        <f>IF(ISNUMBER(SEARCH("H", 'Dry_Litterbag Placem_Collection'!$S57)),"YES","NO")</f>
        <v>YES</v>
      </c>
      <c r="AL130" s="252" t="str">
        <f>IF(ISNUMBER(SEARCH("R", 'Dry_Litterbag Placem_Collection'!$S57)),"YES","NO")</f>
        <v>NO</v>
      </c>
    </row>
    <row r="131" spans="2:38">
      <c r="B131" t="str">
        <f>'Final data_for_R_analysis_Dryse'!A57</f>
        <v>Dry</v>
      </c>
      <c r="C131" s="260">
        <f>'Final data_for_R_analysis_Dryse'!B57</f>
        <v>56</v>
      </c>
      <c r="D131" t="s">
        <v>3808</v>
      </c>
      <c r="E131" t="s">
        <v>22</v>
      </c>
      <c r="F131" s="382">
        <v>8</v>
      </c>
      <c r="G131" s="16">
        <f>IF('Dry_Litterbag Placem_Collection'!E58="","",'Dry_Litterbag Placem_Collection'!E58)</f>
        <v>42938</v>
      </c>
      <c r="H131" t="str">
        <f>'Final data_for_R_analysis_Dryse'!K57</f>
        <v>G107</v>
      </c>
      <c r="I131" t="str">
        <f>'Final data_for_R_analysis_Dryse'!K277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4"/>
        <v>1.9251999999999998</v>
      </c>
      <c r="M131" s="237">
        <f>AVERAGE(Ashed_controlls!$K$1:$K$11)</f>
        <v>5.5147656768714146</v>
      </c>
      <c r="N131" s="194">
        <f t="shared" si="0"/>
        <v>1.8190297311888712</v>
      </c>
      <c r="O131" s="194">
        <f t="shared" si="5"/>
        <v>1.9822000000000002</v>
      </c>
      <c r="P131" s="237">
        <f>AVERAGE(Ashed_controlls!$K$12:$K$14)</f>
        <v>2.2816647271287041</v>
      </c>
      <c r="Q131" s="194">
        <f t="shared" si="1"/>
        <v>1.936972841778855</v>
      </c>
      <c r="R131" s="16">
        <f>IF('Dry_Litterbag Placem_Collection'!G58="","",'Dry_Litterbag Placem_Collection'!G58)</f>
        <v>43005</v>
      </c>
      <c r="S131" s="194">
        <f>IFERROR(INDEX('Both teabags AfterDry'!$D$3:$D$2000,MATCH(H131,'Both teabags AfterDry'!$A$3:$A$2000,0)),"")</f>
        <v>2.0276000000000001</v>
      </c>
      <c r="T131" s="194">
        <f>IFERROR(INDEX('Both teabags AfterDry'!$D$3:$D$2000,MATCH(I131,'Both teabags AfterDry'!$A$3:$A$2000,0)),"")</f>
        <v>1.9821</v>
      </c>
      <c r="U131" s="194">
        <f t="shared" si="6"/>
        <v>1.877</v>
      </c>
      <c r="V131" s="194">
        <f t="shared" si="7"/>
        <v>1.8314999999999999</v>
      </c>
      <c r="W131" s="194">
        <f>IFERROR(INDEX('Ashed teabags dry'!$K$2:$K$2000,MATCH(H131,'Ashed teabags dry'!$A$2:$A$2000,0)),"")</f>
        <v>5.6218057921633493</v>
      </c>
      <c r="X131" s="194">
        <f>IFERROR(INDEX('Ashed teabags dry'!$K$2:$K$2000,MATCH(I131,'Ashed teabags dry'!$A$2:$A$2000,0)),"")</f>
        <v>2.8949950932292219</v>
      </c>
      <c r="Y131" s="194">
        <f t="shared" si="2"/>
        <v>1.7714787052810939</v>
      </c>
      <c r="Z131" s="194">
        <f t="shared" si="2"/>
        <v>1.7784781648675068</v>
      </c>
      <c r="AA131" s="194">
        <f t="shared" si="8"/>
        <v>2.614087339666471E-2</v>
      </c>
      <c r="AB131" s="194">
        <f t="shared" si="9"/>
        <v>1.7137484697100851E-2</v>
      </c>
      <c r="AC131" s="194">
        <f t="shared" si="3"/>
        <v>0.91817403244240037</v>
      </c>
      <c r="AD131">
        <f t="shared" si="10"/>
        <v>67</v>
      </c>
      <c r="AE131" s="194">
        <f t="shared" si="11"/>
        <v>0.96895383207046948</v>
      </c>
      <c r="AF131" s="194" t="str">
        <f t="shared" si="12"/>
        <v/>
      </c>
      <c r="AG131" s="252" t="str">
        <f>IF(ISNUMBER(SEARCH("C", 'Dry_Litterbag Placem_Collection'!$T58)),"YES","NO")</f>
        <v>NO</v>
      </c>
      <c r="AH131" s="252" t="str">
        <f>IF(ISNUMBER(SEARCH("H", 'Dry_Litterbag Placem_Collection'!$T58)),"YES","NO")</f>
        <v>NO</v>
      </c>
      <c r="AI131" s="252" t="str">
        <f>IF(ISNUMBER(SEARCH("R", 'Dry_Litterbag Placem_Collection'!$T58)),"YES","NO")</f>
        <v>NO</v>
      </c>
      <c r="AJ131" s="252" t="str">
        <f>IF(ISNUMBER(SEARCH("C", 'Dry_Litterbag Placem_Collection'!$S58)),"YES","NO")</f>
        <v>NO</v>
      </c>
      <c r="AK131" s="252" t="str">
        <f>IF(ISNUMBER(SEARCH("H", 'Dry_Litterbag Placem_Collection'!$S58)),"YES","NO")</f>
        <v>NO</v>
      </c>
      <c r="AL131" s="252" t="str">
        <f>IF(ISNUMBER(SEARCH("R", 'Dry_Litterbag Placem_Collection'!$S58)),"YES","NO")</f>
        <v>NO</v>
      </c>
    </row>
    <row r="132" spans="2:38">
      <c r="B132" t="str">
        <f>'Final data_for_R_analysis_Dryse'!A58</f>
        <v>Dry</v>
      </c>
      <c r="C132" s="260">
        <f>'Final data_for_R_analysis_Dryse'!B58</f>
        <v>57</v>
      </c>
      <c r="D132" t="s">
        <v>3809</v>
      </c>
      <c r="E132" t="s">
        <v>22</v>
      </c>
      <c r="F132" s="381">
        <v>1</v>
      </c>
      <c r="G132" s="16">
        <f>IF('Dry_Litterbag Placem_Collection'!E59="","",'Dry_Litterbag Placem_Collection'!E59)</f>
        <v>42938</v>
      </c>
      <c r="H132" t="str">
        <f>'Final data_for_R_analysis_Dryse'!K58</f>
        <v>G41</v>
      </c>
      <c r="I132" t="str">
        <f>'Final data_for_R_analysis_Dryse'!K278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4"/>
        <v>1.7352000000000001</v>
      </c>
      <c r="M132" s="237">
        <f>AVERAGE(Ashed_controlls!$K$1:$K$11)</f>
        <v>5.5147656768714146</v>
      </c>
      <c r="N132" s="194">
        <f t="shared" si="0"/>
        <v>1.6395077859749272</v>
      </c>
      <c r="O132" s="194">
        <f t="shared" si="5"/>
        <v>1.9662000000000002</v>
      </c>
      <c r="P132" s="237">
        <f>AVERAGE(Ashed_controlls!$K$12:$K$14)</f>
        <v>2.2816647271287041</v>
      </c>
      <c r="Q132" s="194">
        <f t="shared" si="1"/>
        <v>1.9213379081351956</v>
      </c>
      <c r="R132" s="16">
        <f>IF('Dry_Litterbag Placem_Collection'!G59="","",'Dry_Litterbag Placem_Collection'!G59)</f>
        <v>43005</v>
      </c>
      <c r="S132" s="194">
        <f>IFERROR(INDEX('Both teabags AfterDry'!$D$3:$D$2000,MATCH(H132,'Both teabags AfterDry'!$A$3:$A$2000,0)),"")</f>
        <v>1.7847</v>
      </c>
      <c r="T132" s="194">
        <f>IFERROR(INDEX('Both teabags AfterDry'!$D$3:$D$2000,MATCH(I132,'Both teabags AfterDry'!$A$3:$A$2000,0)),"")</f>
        <v>1.9719</v>
      </c>
      <c r="U132" s="194">
        <f t="shared" si="6"/>
        <v>1.6340999999999999</v>
      </c>
      <c r="V132" s="194">
        <f t="shared" si="7"/>
        <v>1.8212999999999999</v>
      </c>
      <c r="W132" s="194">
        <f>IFERROR(INDEX('Ashed teabags dry'!$K$2:$K$2000,MATCH(H132,'Ashed teabags dry'!$A$2:$A$2000,0)),"")</f>
        <v>6.1166429587480353</v>
      </c>
      <c r="X132" s="194">
        <f>IFERROR(INDEX('Ashed teabags dry'!$K$2:$K$2000,MATCH(I132,'Ashed teabags dry'!$A$2:$A$2000,0)),"")</f>
        <v>2.183219178082795</v>
      </c>
      <c r="Y132" s="194">
        <f t="shared" si="2"/>
        <v>1.5341479374110982</v>
      </c>
      <c r="Z132" s="194">
        <f t="shared" si="2"/>
        <v>1.781537029109578</v>
      </c>
      <c r="AA132" s="194">
        <f t="shared" si="8"/>
        <v>6.4263097415653392E-2</v>
      </c>
      <c r="AB132" s="194">
        <f t="shared" si="9"/>
        <v>4.2129726571782267E-2</v>
      </c>
      <c r="AC132" s="194">
        <f t="shared" si="3"/>
        <v>0.92723774488928656</v>
      </c>
      <c r="AD132">
        <f t="shared" si="10"/>
        <v>67</v>
      </c>
      <c r="AE132" s="194">
        <f t="shared" si="11"/>
        <v>0.92367803157285822</v>
      </c>
      <c r="AF132" s="194" t="str">
        <f t="shared" si="12"/>
        <v/>
      </c>
      <c r="AG132" s="252" t="str">
        <f>IF(ISNUMBER(SEARCH("C", 'Dry_Litterbag Placem_Collection'!$T59)),"YES","NO")</f>
        <v>NO</v>
      </c>
      <c r="AH132" s="252" t="str">
        <f>IF(ISNUMBER(SEARCH("H", 'Dry_Litterbag Placem_Collection'!$T59)),"YES","NO")</f>
        <v>NO</v>
      </c>
      <c r="AI132" s="252" t="str">
        <f>IF(ISNUMBER(SEARCH("R", 'Dry_Litterbag Placem_Collection'!$T59)),"YES","NO")</f>
        <v>NO</v>
      </c>
      <c r="AJ132" s="252" t="str">
        <f>IF(ISNUMBER(SEARCH("C", 'Dry_Litterbag Placem_Collection'!$S59)),"YES","NO")</f>
        <v>NO</v>
      </c>
      <c r="AK132" s="252" t="str">
        <f>IF(ISNUMBER(SEARCH("H", 'Dry_Litterbag Placem_Collection'!$S59)),"YES","NO")</f>
        <v>NO</v>
      </c>
      <c r="AL132" s="252" t="str">
        <f>IF(ISNUMBER(SEARCH("R", 'Dry_Litterbag Placem_Collection'!$S59)),"YES","NO")</f>
        <v>NO</v>
      </c>
    </row>
    <row r="133" spans="2:38">
      <c r="B133" t="str">
        <f>'Final data_for_R_analysis_Dryse'!A59</f>
        <v>Dry</v>
      </c>
      <c r="C133" s="260">
        <f>'Final data_for_R_analysis_Dryse'!B59</f>
        <v>58</v>
      </c>
      <c r="D133" t="s">
        <v>3809</v>
      </c>
      <c r="E133" t="s">
        <v>22</v>
      </c>
      <c r="F133" s="381">
        <v>2</v>
      </c>
      <c r="G133" s="16">
        <f>IF('Dry_Litterbag Placem_Collection'!E60="","",'Dry_Litterbag Placem_Collection'!E60)</f>
        <v>42938</v>
      </c>
      <c r="H133" t="str">
        <f>'Final data_for_R_analysis_Dryse'!K59</f>
        <v>G481</v>
      </c>
      <c r="I133" t="str">
        <f>'Final data_for_R_analysis_Dryse'!K279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4"/>
        <v>1.8031999999999999</v>
      </c>
      <c r="M133" s="237">
        <f>AVERAGE(Ashed_controlls!$K$1:$K$11)</f>
        <v>5.5147656768714146</v>
      </c>
      <c r="N133" s="194">
        <f t="shared" si="0"/>
        <v>1.7037577453146546</v>
      </c>
      <c r="O133" s="194">
        <f t="shared" si="5"/>
        <v>1.9432</v>
      </c>
      <c r="P133" s="237">
        <f>AVERAGE(Ashed_controlls!$K$12:$K$14)</f>
        <v>2.2816647271287041</v>
      </c>
      <c r="Q133" s="194">
        <f t="shared" si="1"/>
        <v>1.8988626910224351</v>
      </c>
      <c r="R133" s="16">
        <f>IF('Dry_Litterbag Placem_Collection'!G60="","",'Dry_Litterbag Placem_Collection'!G60)</f>
        <v>43005</v>
      </c>
      <c r="S133" s="194">
        <f>IFERROR(INDEX('Both teabags AfterDry'!$D$3:$D$2000,MATCH(H133,'Both teabags AfterDry'!$A$3:$A$2000,0)),"")</f>
        <v>1.7612000000000001</v>
      </c>
      <c r="T133" s="194">
        <f>IFERROR(INDEX('Both teabags AfterDry'!$D$3:$D$2000,MATCH(I133,'Both teabags AfterDry'!$A$3:$A$2000,0)),"")</f>
        <v>1.3995000000000002</v>
      </c>
      <c r="U133" s="194">
        <f t="shared" si="6"/>
        <v>1.6106</v>
      </c>
      <c r="V133" s="194">
        <f t="shared" si="7"/>
        <v>1.2489000000000001</v>
      </c>
      <c r="W133" s="194">
        <f>IFERROR(INDEX('Ashed teabags dry'!$K$2:$K$2000,MATCH(H133,'Ashed teabags dry'!$A$2:$A$2000,0)),"")</f>
        <v>5.8618976651769072</v>
      </c>
      <c r="X133" s="194">
        <f>IFERROR(INDEX('Ashed teabags dry'!$K$2:$K$2000,MATCH(I133,'Ashed teabags dry'!$A$2:$A$2000,0)),"")</f>
        <v>3.528360875390312</v>
      </c>
      <c r="Y133" s="194">
        <f t="shared" si="2"/>
        <v>1.5161882762046608</v>
      </c>
      <c r="Z133" s="194">
        <f t="shared" si="2"/>
        <v>1.2048343010272504</v>
      </c>
      <c r="AA133" s="194">
        <f t="shared" si="8"/>
        <v>0.11009163105835384</v>
      </c>
      <c r="AB133" s="194">
        <f t="shared" si="9"/>
        <v>7.2174085919490885E-2</v>
      </c>
      <c r="AC133" s="194">
        <f t="shared" si="3"/>
        <v>0.63450311953757554</v>
      </c>
      <c r="AD133">
        <f t="shared" si="10"/>
        <v>67</v>
      </c>
      <c r="AE133" s="194">
        <f t="shared" si="11"/>
        <v>0.86924984434874841</v>
      </c>
      <c r="AF133" s="194" t="str">
        <f t="shared" si="12"/>
        <v/>
      </c>
      <c r="AG133" s="252" t="str">
        <f>IF(ISNUMBER(SEARCH("C", 'Dry_Litterbag Placem_Collection'!$T60)),"YES","NO")</f>
        <v>NO</v>
      </c>
      <c r="AH133" s="252" t="str">
        <f>IF(ISNUMBER(SEARCH("H", 'Dry_Litterbag Placem_Collection'!$T60)),"YES","NO")</f>
        <v>YES</v>
      </c>
      <c r="AI133" s="252" t="str">
        <f>IF(ISNUMBER(SEARCH("R", 'Dry_Litterbag Placem_Collection'!$T60)),"YES","NO")</f>
        <v>NO</v>
      </c>
      <c r="AJ133" s="252" t="str">
        <f>IF(ISNUMBER(SEARCH("C", 'Dry_Litterbag Placem_Collection'!$S60)),"YES","NO")</f>
        <v>NO</v>
      </c>
      <c r="AK133" s="252" t="str">
        <f>IF(ISNUMBER(SEARCH("H", 'Dry_Litterbag Placem_Collection'!$S60)),"YES","NO")</f>
        <v>YES</v>
      </c>
      <c r="AL133" s="252" t="str">
        <f>IF(ISNUMBER(SEARCH("R", 'Dry_Litterbag Placem_Collection'!$S60)),"YES","NO")</f>
        <v>NO</v>
      </c>
    </row>
    <row r="134" spans="2:38">
      <c r="B134" t="str">
        <f>'Final data_for_R_analysis_Dryse'!A60</f>
        <v>Dry</v>
      </c>
      <c r="C134" s="260">
        <f>'Final data_for_R_analysis_Dryse'!B60</f>
        <v>59</v>
      </c>
      <c r="D134" t="s">
        <v>3809</v>
      </c>
      <c r="E134" t="s">
        <v>22</v>
      </c>
      <c r="F134" s="381">
        <v>3</v>
      </c>
      <c r="G134" s="16">
        <f>IF('Dry_Litterbag Placem_Collection'!E61="","",'Dry_Litterbag Placem_Collection'!E61)</f>
        <v>42938</v>
      </c>
      <c r="H134" t="str">
        <f>'Final data_for_R_analysis_Dryse'!K60</f>
        <v>G261</v>
      </c>
      <c r="I134" t="str">
        <f>'Final data_for_R_analysis_Dryse'!K280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4"/>
        <v>1.7352000000000001</v>
      </c>
      <c r="M134" s="237">
        <f>AVERAGE(Ashed_controlls!$K$1:$K$11)</f>
        <v>5.5147656768714146</v>
      </c>
      <c r="N134" s="194">
        <f t="shared" si="0"/>
        <v>1.6395077859749272</v>
      </c>
      <c r="O134" s="194">
        <f t="shared" si="5"/>
        <v>1.9731999999999998</v>
      </c>
      <c r="P134" s="237">
        <f>AVERAGE(Ashed_controlls!$K$12:$K$14)</f>
        <v>2.2816647271287041</v>
      </c>
      <c r="Q134" s="194">
        <f t="shared" si="1"/>
        <v>1.9281781916042962</v>
      </c>
      <c r="R134" s="16">
        <f>IF('Dry_Litterbag Placem_Collection'!G61="","",'Dry_Litterbag Placem_Collection'!G61)</f>
        <v>43005</v>
      </c>
      <c r="S134" s="194">
        <f>IFERROR(INDEX('Both teabags AfterDry'!$D$3:$D$2000,MATCH(H134,'Both teabags AfterDry'!$A$3:$A$2000,0)),"")</f>
        <v>1.8041</v>
      </c>
      <c r="T134" s="194">
        <f>IFERROR(INDEX('Both teabags AfterDry'!$D$3:$D$2000,MATCH(I134,'Both teabags AfterDry'!$A$3:$A$2000,0)),"")</f>
        <v>1.9549000000000001</v>
      </c>
      <c r="U134" s="194">
        <f t="shared" si="6"/>
        <v>1.6535</v>
      </c>
      <c r="V134" s="194">
        <f t="shared" si="7"/>
        <v>1.8043</v>
      </c>
      <c r="W134" s="194">
        <f>IFERROR(INDEX('Ashed teabags dry'!$K$2:$K$2000,MATCH(H134,'Ashed teabags dry'!$A$2:$A$2000,0)),"")</f>
        <v>5.7350933090575786</v>
      </c>
      <c r="X134" s="194">
        <f>IFERROR(INDEX('Ashed teabags dry'!$K$2:$K$2000,MATCH(I134,'Ashed teabags dry'!$A$2:$A$2000,0)),"")</f>
        <v>2.6871401151632113</v>
      </c>
      <c r="Y134" s="194">
        <f t="shared" si="2"/>
        <v>1.558670232134733</v>
      </c>
      <c r="Z134" s="194">
        <f t="shared" si="2"/>
        <v>1.7558159309021102</v>
      </c>
      <c r="AA134" s="194">
        <f t="shared" si="8"/>
        <v>4.9305989597435484E-2</v>
      </c>
      <c r="AB134" s="194">
        <f t="shared" si="9"/>
        <v>3.232411669570591E-2</v>
      </c>
      <c r="AC134" s="194">
        <f t="shared" si="3"/>
        <v>0.91060874899804989</v>
      </c>
      <c r="AD134">
        <f t="shared" si="10"/>
        <v>67</v>
      </c>
      <c r="AE134" s="194">
        <f t="shared" si="11"/>
        <v>0.94144181758024292</v>
      </c>
      <c r="AF134" s="194" t="str">
        <f t="shared" si="12"/>
        <v/>
      </c>
      <c r="AG134" s="252" t="str">
        <f>IF(ISNUMBER(SEARCH("C", 'Dry_Litterbag Placem_Collection'!$T61)),"YES","NO")</f>
        <v>NO</v>
      </c>
      <c r="AH134" s="252" t="str">
        <f>IF(ISNUMBER(SEARCH("H", 'Dry_Litterbag Placem_Collection'!$T61)),"YES","NO")</f>
        <v>NO</v>
      </c>
      <c r="AI134" s="252" t="str">
        <f>IF(ISNUMBER(SEARCH("R", 'Dry_Litterbag Placem_Collection'!$T61)),"YES","NO")</f>
        <v>NO</v>
      </c>
      <c r="AJ134" s="252" t="str">
        <f>IF(ISNUMBER(SEARCH("C", 'Dry_Litterbag Placem_Collection'!$S61)),"YES","NO")</f>
        <v>NO</v>
      </c>
      <c r="AK134" s="252" t="str">
        <f>IF(ISNUMBER(SEARCH("H", 'Dry_Litterbag Placem_Collection'!$S61)),"YES","NO")</f>
        <v>NO</v>
      </c>
      <c r="AL134" s="252" t="str">
        <f>IF(ISNUMBER(SEARCH("R", 'Dry_Litterbag Placem_Collection'!$S61)),"YES","NO")</f>
        <v>NO</v>
      </c>
    </row>
    <row r="135" spans="2:38">
      <c r="B135" t="str">
        <f>'Final data_for_R_analysis_Dryse'!A61</f>
        <v>Dry</v>
      </c>
      <c r="C135" s="260">
        <f>'Final data_for_R_analysis_Dryse'!B61</f>
        <v>60</v>
      </c>
      <c r="D135" t="s">
        <v>3809</v>
      </c>
      <c r="E135" t="s">
        <v>22</v>
      </c>
      <c r="F135" s="382">
        <v>4</v>
      </c>
      <c r="G135" s="16">
        <f>IF('Dry_Litterbag Placem_Collection'!E62="","",'Dry_Litterbag Placem_Collection'!E62)</f>
        <v>42938</v>
      </c>
      <c r="H135" t="str">
        <f>'Final data_for_R_analysis_Dryse'!K61</f>
        <v>G152</v>
      </c>
      <c r="I135" t="str">
        <f>'Final data_for_R_analysis_Dryse'!K281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4"/>
        <v>1.7991999999999999</v>
      </c>
      <c r="M135" s="237">
        <f>AVERAGE(Ashed_controlls!$K$1:$K$11)</f>
        <v>5.5147656768714146</v>
      </c>
      <c r="N135" s="194">
        <f t="shared" si="0"/>
        <v>1.6999783359417293</v>
      </c>
      <c r="O135" s="194">
        <f t="shared" si="5"/>
        <v>2.0091999999999999</v>
      </c>
      <c r="P135" s="237">
        <f>AVERAGE(Ashed_controlls!$K$12:$K$14)</f>
        <v>2.2816647271287041</v>
      </c>
      <c r="Q135" s="194">
        <f t="shared" si="1"/>
        <v>1.9633567923025299</v>
      </c>
      <c r="R135" s="16">
        <f>IF('Dry_Litterbag Placem_Collection'!G62="","",'Dry_Litterbag Placem_Collection'!G62)</f>
        <v>43005</v>
      </c>
      <c r="S135" s="194">
        <f>IFERROR(INDEX('Both teabags AfterDry'!$D$3:$D$2000,MATCH(H135,'Both teabags AfterDry'!$A$3:$A$2000,0)),"")</f>
        <v>1.8697999999999999</v>
      </c>
      <c r="T135" s="194">
        <f>IFERROR(INDEX('Both teabags AfterDry'!$D$3:$D$2000,MATCH(I135,'Both teabags AfterDry'!$A$3:$A$2000,0)),"")</f>
        <v>1.9797</v>
      </c>
      <c r="U135" s="194">
        <f t="shared" si="6"/>
        <v>1.7191999999999998</v>
      </c>
      <c r="V135" s="194">
        <f t="shared" si="7"/>
        <v>1.8290999999999999</v>
      </c>
      <c r="W135" s="194">
        <f>IFERROR(INDEX('Ashed teabags dry'!$K$2:$K$2000,MATCH(H135,'Ashed teabags dry'!$A$2:$A$2000,0)),"")</f>
        <v>5.545536519386725</v>
      </c>
      <c r="X135" s="194">
        <f>IFERROR(INDEX('Ashed teabags dry'!$K$2:$K$2000,MATCH(I135,'Ashed teabags dry'!$A$2:$A$2000,0)),"")</f>
        <v>2.8315946348738801</v>
      </c>
      <c r="Y135" s="194">
        <f t="shared" si="2"/>
        <v>1.6238611361587032</v>
      </c>
      <c r="Z135" s="194">
        <f t="shared" si="2"/>
        <v>1.7773073025335218</v>
      </c>
      <c r="AA135" s="194">
        <f t="shared" si="8"/>
        <v>4.4775393999865187E-2</v>
      </c>
      <c r="AB135" s="194">
        <f t="shared" si="9"/>
        <v>2.9353940009412785E-2</v>
      </c>
      <c r="AC135" s="194">
        <f t="shared" si="3"/>
        <v>0.90523908313637769</v>
      </c>
      <c r="AD135">
        <f t="shared" si="10"/>
        <v>67</v>
      </c>
      <c r="AE135" s="194">
        <f t="shared" si="11"/>
        <v>0.94682257244671597</v>
      </c>
      <c r="AF135" s="194" t="str">
        <f t="shared" si="12"/>
        <v/>
      </c>
      <c r="AG135" s="252" t="str">
        <f>IF(ISNUMBER(SEARCH("C", 'Dry_Litterbag Placem_Collection'!$T62)),"YES","NO")</f>
        <v>NO</v>
      </c>
      <c r="AH135" s="252" t="str">
        <f>IF(ISNUMBER(SEARCH("H", 'Dry_Litterbag Placem_Collection'!$T62)),"YES","NO")</f>
        <v>NO</v>
      </c>
      <c r="AI135" s="252" t="str">
        <f>IF(ISNUMBER(SEARCH("R", 'Dry_Litterbag Placem_Collection'!$T62)),"YES","NO")</f>
        <v>NO</v>
      </c>
      <c r="AJ135" s="252" t="str">
        <f>IF(ISNUMBER(SEARCH("C", 'Dry_Litterbag Placem_Collection'!$S62)),"YES","NO")</f>
        <v>NO</v>
      </c>
      <c r="AK135" s="252" t="str">
        <f>IF(ISNUMBER(SEARCH("H", 'Dry_Litterbag Placem_Collection'!$S62)),"YES","NO")</f>
        <v>NO</v>
      </c>
      <c r="AL135" s="252" t="str">
        <f>IF(ISNUMBER(SEARCH("R", 'Dry_Litterbag Placem_Collection'!$S62)),"YES","NO")</f>
        <v>NO</v>
      </c>
    </row>
    <row r="136" spans="2:38">
      <c r="B136" t="str">
        <f>'Final data_for_R_analysis_Dryse'!A62</f>
        <v>Dry</v>
      </c>
      <c r="C136" s="260">
        <f>'Final data_for_R_analysis_Dryse'!B62</f>
        <v>61</v>
      </c>
      <c r="D136" t="s">
        <v>3809</v>
      </c>
      <c r="E136" t="s">
        <v>22</v>
      </c>
      <c r="F136" s="382">
        <v>5</v>
      </c>
      <c r="G136" s="16">
        <f>IF('Dry_Litterbag Placem_Collection'!E63="","",'Dry_Litterbag Placem_Collection'!E63)</f>
        <v>42938</v>
      </c>
      <c r="H136" t="str">
        <f>'Final data_for_R_analysis_Dryse'!K62</f>
        <v>G191</v>
      </c>
      <c r="I136" t="str">
        <f>'Final data_for_R_analysis_Dryse'!K282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4"/>
        <v>1.8092000000000001</v>
      </c>
      <c r="M136" s="237">
        <f>AVERAGE(Ashed_controlls!$K$1:$K$11)</f>
        <v>5.5147656768714146</v>
      </c>
      <c r="N136" s="194">
        <f t="shared" si="0"/>
        <v>1.7094268593740425</v>
      </c>
      <c r="O136" s="194">
        <f t="shared" si="5"/>
        <v>1.9792000000000001</v>
      </c>
      <c r="P136" s="237">
        <f>AVERAGE(Ashed_controlls!$K$12:$K$14)</f>
        <v>2.2816647271287041</v>
      </c>
      <c r="Q136" s="194">
        <f t="shared" si="1"/>
        <v>1.9340412917206689</v>
      </c>
      <c r="R136" s="16">
        <f>IF('Dry_Litterbag Placem_Collection'!G63="","",'Dry_Litterbag Placem_Collection'!G63)</f>
        <v>43005</v>
      </c>
      <c r="S136" s="194" t="str">
        <f>IFERROR(INDEX('Both teabags AfterDry'!$D$3:$D$2000,MATCH(H136,'Both teabags AfterDry'!$A$3:$A$2000,0)),"")</f>
        <v/>
      </c>
      <c r="T136" s="194" t="str">
        <f>IFERROR(INDEX('Both teabags AfterDry'!$D$3:$D$2000,MATCH(I136,'Both teabags AfterDry'!$A$3:$A$2000,0)),"")</f>
        <v/>
      </c>
      <c r="U136" s="194" t="str">
        <f t="shared" si="6"/>
        <v/>
      </c>
      <c r="V136" s="194" t="str">
        <f t="shared" si="7"/>
        <v/>
      </c>
      <c r="W136" s="194" t="str">
        <f>IFERROR(INDEX('Ashed teabags dry'!$K$2:$K$2000,MATCH(H136,'Ashed teabags dry'!$A$2:$A$2000,0)),"")</f>
        <v/>
      </c>
      <c r="X136" s="194" t="str">
        <f>IFERROR(INDEX('Ashed teabags dry'!$K$2:$K$2000,MATCH(I136,'Ashed teabags dry'!$A$2:$A$2000,0)),"")</f>
        <v/>
      </c>
      <c r="Y136" s="194" t="str">
        <f t="shared" si="2"/>
        <v/>
      </c>
      <c r="Z136" s="194" t="str">
        <f t="shared" si="2"/>
        <v/>
      </c>
      <c r="AA136" s="194" t="str">
        <f t="shared" si="8"/>
        <v/>
      </c>
      <c r="AB136" s="194" t="str">
        <f t="shared" si="9"/>
        <v/>
      </c>
      <c r="AC136" s="194" t="str">
        <f t="shared" si="3"/>
        <v/>
      </c>
      <c r="AD136">
        <f t="shared" si="10"/>
        <v>67</v>
      </c>
      <c r="AE136" s="194" t="str">
        <f t="shared" si="11"/>
        <v/>
      </c>
      <c r="AF136" s="194" t="str">
        <f t="shared" si="12"/>
        <v/>
      </c>
      <c r="AG136" s="252" t="str">
        <f>IF(ISNUMBER(SEARCH("C", 'Dry_Litterbag Placem_Collection'!$T63)),"YES","NO")</f>
        <v>NO</v>
      </c>
      <c r="AH136" s="252" t="str">
        <f>IF(ISNUMBER(SEARCH("H", 'Dry_Litterbag Placem_Collection'!$T63)),"YES","NO")</f>
        <v>NO</v>
      </c>
      <c r="AI136" s="252" t="str">
        <f>IF(ISNUMBER(SEARCH("R", 'Dry_Litterbag Placem_Collection'!$T63)),"YES","NO")</f>
        <v>NO</v>
      </c>
      <c r="AJ136" s="252" t="str">
        <f>IF(ISNUMBER(SEARCH("C", 'Dry_Litterbag Placem_Collection'!$S63)),"YES","NO")</f>
        <v>NO</v>
      </c>
      <c r="AK136" s="252" t="str">
        <f>IF(ISNUMBER(SEARCH("H", 'Dry_Litterbag Placem_Collection'!$S63)),"YES","NO")</f>
        <v>NO</v>
      </c>
      <c r="AL136" s="252" t="str">
        <f>IF(ISNUMBER(SEARCH("R", 'Dry_Litterbag Placem_Collection'!$S63)),"YES","NO")</f>
        <v>NO</v>
      </c>
    </row>
    <row r="137" spans="2:38">
      <c r="B137" t="str">
        <f>'Final data_for_R_analysis_Dryse'!A63</f>
        <v>Dry</v>
      </c>
      <c r="C137" s="260">
        <f>'Final data_for_R_analysis_Dryse'!B63</f>
        <v>62</v>
      </c>
      <c r="D137" t="s">
        <v>3809</v>
      </c>
      <c r="E137" t="s">
        <v>22</v>
      </c>
      <c r="F137" s="382">
        <v>6</v>
      </c>
      <c r="G137" s="16" t="str">
        <f>IF('Dry_Litterbag Placem_Collection'!E64="","",'Dry_Litterbag Placem_Collection'!E64)</f>
        <v/>
      </c>
      <c r="H137" t="str">
        <f>'Final data_for_R_analysis_Dryse'!K63</f>
        <v/>
      </c>
      <c r="I137" t="str">
        <f>'Final data_for_R_analysis_Dryse'!K283</f>
        <v/>
      </c>
      <c r="J137" t="str">
        <f>IFERROR(INDEX('Green_rooibos initial weight'!$C$5:$C$2000,MATCH(H137, 'Green_rooibos initial weight'!$A$5:$A$2000,0)),"")</f>
        <v/>
      </c>
      <c r="K137" t="str">
        <f>IFERROR(INDEX('Green_rooibos initial weight'!$C$5:$C$2000,MATCH(I137, 'Green_rooibos initial weight'!$A$5:$A$2000,0)),"")</f>
        <v/>
      </c>
      <c r="L137" s="194" t="str">
        <f t="shared" si="4"/>
        <v/>
      </c>
      <c r="M137" s="237">
        <f>AVERAGE(Ashed_controlls!$K$1:$K$11)</f>
        <v>5.5147656768714146</v>
      </c>
      <c r="N137" s="194" t="str">
        <f t="shared" si="0"/>
        <v/>
      </c>
      <c r="O137" s="194" t="str">
        <f t="shared" si="5"/>
        <v/>
      </c>
      <c r="P137" s="237">
        <f>AVERAGE(Ashed_controlls!$K$12:$K$14)</f>
        <v>2.2816647271287041</v>
      </c>
      <c r="Q137" s="194" t="str">
        <f t="shared" si="1"/>
        <v/>
      </c>
      <c r="R137" s="16" t="str">
        <f>IF('Dry_Litterbag Placem_Collection'!G64="","",'Dry_Litterbag Placem_Collection'!G64)</f>
        <v/>
      </c>
      <c r="S137" s="194" t="str">
        <f>IFERROR(INDEX('Both teabags AfterDry'!$D$3:$D$2000,MATCH(H137,'Both teabags AfterDry'!$A$3:$A$2000,0)),"")</f>
        <v/>
      </c>
      <c r="T137" s="194" t="str">
        <f>IFERROR(INDEX('Both teabags AfterDry'!$D$3:$D$2000,MATCH(I137,'Both teabags AfterDry'!$A$3:$A$2000,0)),"")</f>
        <v/>
      </c>
      <c r="U137" s="194" t="str">
        <f t="shared" si="6"/>
        <v/>
      </c>
      <c r="V137" s="194" t="str">
        <f t="shared" si="7"/>
        <v/>
      </c>
      <c r="W137" s="194" t="str">
        <f>IFERROR(INDEX('Ashed teabags dry'!$K$2:$K$2000,MATCH(H137,'Ashed teabags dry'!$A$2:$A$2000,0)),"")</f>
        <v/>
      </c>
      <c r="X137" s="194" t="str">
        <f>IFERROR(INDEX('Ashed teabags dry'!$K$2:$K$2000,MATCH(I137,'Ashed teabags dry'!$A$2:$A$2000,0)),"")</f>
        <v/>
      </c>
      <c r="Y137" s="194" t="str">
        <f t="shared" si="2"/>
        <v/>
      </c>
      <c r="Z137" s="194" t="str">
        <f t="shared" si="2"/>
        <v/>
      </c>
      <c r="AA137" s="194" t="str">
        <f t="shared" si="8"/>
        <v/>
      </c>
      <c r="AB137" s="194" t="str">
        <f t="shared" si="9"/>
        <v/>
      </c>
      <c r="AC137" s="194" t="str">
        <f t="shared" si="3"/>
        <v/>
      </c>
      <c r="AD137" t="str">
        <f t="shared" si="10"/>
        <v/>
      </c>
      <c r="AE137" s="194" t="str">
        <f t="shared" si="11"/>
        <v/>
      </c>
      <c r="AF137" s="194" t="str">
        <f t="shared" si="12"/>
        <v/>
      </c>
      <c r="AG137" s="252" t="str">
        <f>IF(ISNUMBER(SEARCH("C", 'Dry_Litterbag Placem_Collection'!$T64)),"YES","NO")</f>
        <v>NO</v>
      </c>
      <c r="AH137" s="252" t="str">
        <f>IF(ISNUMBER(SEARCH("H", 'Dry_Litterbag Placem_Collection'!$T64)),"YES","NO")</f>
        <v>NO</v>
      </c>
      <c r="AI137" s="252" t="str">
        <f>IF(ISNUMBER(SEARCH("R", 'Dry_Litterbag Placem_Collection'!$T64)),"YES","NO")</f>
        <v>NO</v>
      </c>
      <c r="AJ137" s="252" t="str">
        <f>IF(ISNUMBER(SEARCH("C", 'Dry_Litterbag Placem_Collection'!$S64)),"YES","NO")</f>
        <v>NO</v>
      </c>
      <c r="AK137" s="252" t="str">
        <f>IF(ISNUMBER(SEARCH("H", 'Dry_Litterbag Placem_Collection'!$S64)),"YES","NO")</f>
        <v>NO</v>
      </c>
      <c r="AL137" s="252" t="str">
        <f>IF(ISNUMBER(SEARCH("R", 'Dry_Litterbag Placem_Collection'!$S64)),"YES","NO")</f>
        <v>NO</v>
      </c>
    </row>
    <row r="138" spans="2:38">
      <c r="B138" t="str">
        <f>'Final data_for_R_analysis_Dryse'!A64</f>
        <v>Dry</v>
      </c>
      <c r="C138" s="260">
        <f>'Final data_for_R_analysis_Dryse'!B64</f>
        <v>63</v>
      </c>
      <c r="D138" t="s">
        <v>3809</v>
      </c>
      <c r="E138" t="s">
        <v>22</v>
      </c>
      <c r="F138" s="382">
        <v>7</v>
      </c>
      <c r="G138" s="16">
        <f>IF('Dry_Litterbag Placem_Collection'!E65="","",'Dry_Litterbag Placem_Collection'!E65)</f>
        <v>42938</v>
      </c>
      <c r="H138" t="str">
        <f>'Final data_for_R_analysis_Dryse'!K64</f>
        <v>G49</v>
      </c>
      <c r="I138" t="str">
        <f>'Final data_for_R_analysis_Dryse'!K284</f>
        <v>R733</v>
      </c>
      <c r="J138">
        <f>IFERROR(INDEX('Green_rooibos initial weight'!$C$5:$C$2000,MATCH(H138, 'Green_rooibos initial weight'!$A$5:$A$2000,0)),"")</f>
        <v>2.0859999999999999</v>
      </c>
      <c r="K138">
        <f>IFERROR(INDEX('Green_rooibos initial weight'!$C$5:$C$2000,MATCH(I138, 'Green_rooibos initial weight'!$A$5:$A$2000,0)),"")</f>
        <v>2.181</v>
      </c>
      <c r="L138" s="194">
        <f t="shared" si="4"/>
        <v>1.8361999999999998</v>
      </c>
      <c r="M138" s="237">
        <f>AVERAGE(Ashed_controlls!$K$1:$K$11)</f>
        <v>5.5147656768714146</v>
      </c>
      <c r="N138" s="194">
        <f t="shared" si="0"/>
        <v>1.734937872641287</v>
      </c>
      <c r="O138" s="194">
        <f t="shared" si="5"/>
        <v>1.9312</v>
      </c>
      <c r="P138" s="237">
        <f>AVERAGE(Ashed_controlls!$K$12:$K$14)</f>
        <v>2.2816647271287041</v>
      </c>
      <c r="Q138" s="194">
        <f t="shared" si="1"/>
        <v>1.8871364907896906</v>
      </c>
      <c r="R138" s="16">
        <f>IF('Dry_Litterbag Placem_Collection'!G65="","",'Dry_Litterbag Placem_Collection'!G65)</f>
        <v>43005</v>
      </c>
      <c r="S138" s="194">
        <f>IFERROR(INDEX('Both teabags AfterDry'!$D$3:$D$2000,MATCH(H138,'Both teabags AfterDry'!$A$3:$A$2000,0)),"")</f>
        <v>1.9326000000000001</v>
      </c>
      <c r="T138" s="194">
        <f>IFERROR(INDEX('Both teabags AfterDry'!$D$3:$D$2000,MATCH(I138,'Both teabags AfterDry'!$A$3:$A$2000,0)),"")</f>
        <v>1.9025000000000001</v>
      </c>
      <c r="U138" s="194">
        <f t="shared" si="6"/>
        <v>1.782</v>
      </c>
      <c r="V138" s="194">
        <f t="shared" si="7"/>
        <v>1.7519</v>
      </c>
      <c r="W138" s="194">
        <f>IFERROR(INDEX('Ashed teabags dry'!$K$2:$K$2000,MATCH(H138,'Ashed teabags dry'!$A$2:$A$2000,0)),"")</f>
        <v>4.9388753056235117</v>
      </c>
      <c r="X138" s="194">
        <f>IFERROR(INDEX('Ashed teabags dry'!$K$2:$K$2000,MATCH(I138,'Ashed teabags dry'!$A$2:$A$2000,0)),"")</f>
        <v>2.0627417275461966</v>
      </c>
      <c r="Y138" s="194">
        <f t="shared" si="2"/>
        <v>1.693989242053789</v>
      </c>
      <c r="Z138" s="194">
        <f t="shared" si="2"/>
        <v>1.7157628276751182</v>
      </c>
      <c r="AA138" s="194">
        <f t="shared" si="8"/>
        <v>2.3602361348627032E-2</v>
      </c>
      <c r="AB138" s="194">
        <f t="shared" si="9"/>
        <v>1.5473282024278029E-2</v>
      </c>
      <c r="AC138" s="194">
        <f t="shared" si="3"/>
        <v>0.90918851712582838</v>
      </c>
      <c r="AD138">
        <f t="shared" si="10"/>
        <v>67</v>
      </c>
      <c r="AE138" s="194">
        <f t="shared" si="11"/>
        <v>0.97196869198500357</v>
      </c>
      <c r="AF138" s="194" t="str">
        <f t="shared" si="12"/>
        <v/>
      </c>
      <c r="AG138" s="252" t="str">
        <f>IF(ISNUMBER(SEARCH("C", 'Dry_Litterbag Placem_Collection'!$T65)),"YES","NO")</f>
        <v>NO</v>
      </c>
      <c r="AH138" s="252" t="str">
        <f>IF(ISNUMBER(SEARCH("H", 'Dry_Litterbag Placem_Collection'!$T65)),"YES","NO")</f>
        <v>NO</v>
      </c>
      <c r="AI138" s="252" t="str">
        <f>IF(ISNUMBER(SEARCH("R", 'Dry_Litterbag Placem_Collection'!$T65)),"YES","NO")</f>
        <v>NO</v>
      </c>
      <c r="AJ138" s="252" t="str">
        <f>IF(ISNUMBER(SEARCH("C", 'Dry_Litterbag Placem_Collection'!$S65)),"YES","NO")</f>
        <v>NO</v>
      </c>
      <c r="AK138" s="252" t="str">
        <f>IF(ISNUMBER(SEARCH("H", 'Dry_Litterbag Placem_Collection'!$S65)),"YES","NO")</f>
        <v>NO</v>
      </c>
      <c r="AL138" s="252" t="str">
        <f>IF(ISNUMBER(SEARCH("R", 'Dry_Litterbag Placem_Collection'!$S65)),"YES","NO")</f>
        <v>NO</v>
      </c>
    </row>
    <row r="139" spans="2:38">
      <c r="B139" t="str">
        <f>'Final data_for_R_analysis_Dryse'!A65</f>
        <v>Dry</v>
      </c>
      <c r="C139" s="260">
        <f>'Final data_for_R_analysis_Dryse'!B65</f>
        <v>64</v>
      </c>
      <c r="D139" t="s">
        <v>3809</v>
      </c>
      <c r="E139" t="s">
        <v>22</v>
      </c>
      <c r="F139" s="382">
        <v>8</v>
      </c>
      <c r="G139" s="16">
        <f>IF('Dry_Litterbag Placem_Collection'!E66="","",'Dry_Litterbag Placem_Collection'!E66)</f>
        <v>42938</v>
      </c>
      <c r="H139" t="str">
        <f>'Final data_for_R_analysis_Dryse'!K65</f>
        <v>G347</v>
      </c>
      <c r="I139" t="str">
        <f>'Final data_for_R_analysis_Dryse'!K285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4"/>
        <v>1.6421999999999999</v>
      </c>
      <c r="M139" s="237">
        <f>AVERAGE(Ashed_controlls!$K$1:$K$11)</f>
        <v>5.5147656768714146</v>
      </c>
      <c r="N139" s="194">
        <f t="shared" si="0"/>
        <v>1.5516365180544176</v>
      </c>
      <c r="O139" s="194">
        <f t="shared" si="5"/>
        <v>1.9902000000000002</v>
      </c>
      <c r="P139" s="237">
        <f>AVERAGE(Ashed_controlls!$K$12:$K$14)</f>
        <v>2.2816647271287041</v>
      </c>
      <c r="Q139" s="194">
        <f t="shared" si="1"/>
        <v>1.9447903086006848</v>
      </c>
      <c r="R139" s="16">
        <f>IF('Dry_Litterbag Placem_Collection'!G66="","",'Dry_Litterbag Placem_Collection'!G66)</f>
        <v>43005</v>
      </c>
      <c r="S139" s="194">
        <f>IFERROR(INDEX('Both teabags AfterDry'!$D$3:$D$2000,MATCH(H139,'Both teabags AfterDry'!$A$3:$A$2000,0)),"")</f>
        <v>1.6924999999999999</v>
      </c>
      <c r="T139" s="194">
        <f>IFERROR(INDEX('Both teabags AfterDry'!$D$3:$D$2000,MATCH(I139,'Both teabags AfterDry'!$A$3:$A$2000,0)),"")</f>
        <v>1.9783999999999999</v>
      </c>
      <c r="U139" s="194">
        <f t="shared" si="6"/>
        <v>1.5418999999999998</v>
      </c>
      <c r="V139" s="194">
        <f t="shared" si="7"/>
        <v>1.8277999999999999</v>
      </c>
      <c r="W139" s="194">
        <f>IFERROR(INDEX('Ashed teabags dry'!$K$2:$K$2000,MATCH(H139,'Ashed teabags dry'!$A$2:$A$2000,0)),"")</f>
        <v>6.3334982681843854</v>
      </c>
      <c r="X139" s="194">
        <f>IFERROR(INDEX('Ashed teabags dry'!$K$2:$K$2000,MATCH(I139,'Ashed teabags dry'!$A$2:$A$2000,0)),"")</f>
        <v>2.2874191944304623</v>
      </c>
      <c r="Y139" s="194">
        <f t="shared" si="2"/>
        <v>1.4442437902028649</v>
      </c>
      <c r="Z139" s="194">
        <f t="shared" si="2"/>
        <v>1.7859905519641999</v>
      </c>
      <c r="AA139" s="194">
        <f t="shared" si="8"/>
        <v>6.9212555003675402E-2</v>
      </c>
      <c r="AB139" s="194">
        <f t="shared" si="9"/>
        <v>4.5374501617611467E-2</v>
      </c>
      <c r="AC139" s="194">
        <f t="shared" si="3"/>
        <v>0.91834607775748101</v>
      </c>
      <c r="AD139">
        <f t="shared" si="10"/>
        <v>67</v>
      </c>
      <c r="AE139" s="194">
        <f t="shared" si="11"/>
        <v>0.91779981591012416</v>
      </c>
      <c r="AF139" s="194" t="str">
        <f t="shared" si="12"/>
        <v/>
      </c>
      <c r="AG139" s="252" t="str">
        <f>IF(ISNUMBER(SEARCH("C", 'Dry_Litterbag Placem_Collection'!$T66)),"YES","NO")</f>
        <v>NO</v>
      </c>
      <c r="AH139" s="252" t="str">
        <f>IF(ISNUMBER(SEARCH("H", 'Dry_Litterbag Placem_Collection'!$T66)),"YES","NO")</f>
        <v>NO</v>
      </c>
      <c r="AI139" s="252" t="str">
        <f>IF(ISNUMBER(SEARCH("R", 'Dry_Litterbag Placem_Collection'!$T66)),"YES","NO")</f>
        <v>NO</v>
      </c>
      <c r="AJ139" s="252" t="str">
        <f>IF(ISNUMBER(SEARCH("C", 'Dry_Litterbag Placem_Collection'!$S66)),"YES","NO")</f>
        <v>NO</v>
      </c>
      <c r="AK139" s="252" t="str">
        <f>IF(ISNUMBER(SEARCH("H", 'Dry_Litterbag Placem_Collection'!$S66)),"YES","NO")</f>
        <v>NO</v>
      </c>
      <c r="AL139" s="252" t="str">
        <f>IF(ISNUMBER(SEARCH("R", 'Dry_Litterbag Placem_Collection'!$S66)),"YES","NO")</f>
        <v>NO</v>
      </c>
    </row>
    <row r="140" spans="2:38">
      <c r="B140" t="str">
        <f>'Final data_for_R_analysis_Dryse'!A66</f>
        <v>Dry</v>
      </c>
      <c r="C140" s="260">
        <f>'Final data_for_R_analysis_Dryse'!B66</f>
        <v>65</v>
      </c>
      <c r="D140" t="s">
        <v>3810</v>
      </c>
      <c r="E140" t="s">
        <v>22</v>
      </c>
      <c r="F140" s="381">
        <v>1</v>
      </c>
      <c r="G140" s="16">
        <f>IF('Dry_Litterbag Placem_Collection'!E67="","",'Dry_Litterbag Placem_Collection'!E67)</f>
        <v>42937</v>
      </c>
      <c r="H140" t="str">
        <f>'Final data_for_R_analysis_Dryse'!K66</f>
        <v>G495</v>
      </c>
      <c r="I140" t="str">
        <f>'Final data_for_R_analysis_Dryse'!K286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4"/>
        <v>1.7892000000000001</v>
      </c>
      <c r="M140" s="237">
        <f>AVERAGE(Ashed_controlls!$K$1:$K$11)</f>
        <v>5.5147656768714146</v>
      </c>
      <c r="N140" s="194">
        <f t="shared" ref="N140:N203" si="13">IFERROR(L140-(M140/100)*L140,"")</f>
        <v>1.6905298125094168</v>
      </c>
      <c r="O140" s="194">
        <f t="shared" si="5"/>
        <v>1.9982000000000002</v>
      </c>
      <c r="P140" s="237">
        <f>AVERAGE(Ashed_controlls!$K$12:$K$14)</f>
        <v>2.2816647271287041</v>
      </c>
      <c r="Q140" s="194">
        <f t="shared" ref="Q140:Q203" si="14">IFERROR(O140-(P140/100)*O140,"")</f>
        <v>1.9526077754225144</v>
      </c>
      <c r="R140" s="16">
        <f>IF('Dry_Litterbag Placem_Collection'!G67="","",'Dry_Litterbag Placem_Collection'!G67)</f>
        <v>43005</v>
      </c>
      <c r="S140" s="194" t="str">
        <f>IFERROR(INDEX('Both teabags AfterDry'!$D$3:$D$2000,MATCH(H140,'Both teabags AfterDry'!$A$3:$A$2000,0)),"")</f>
        <v/>
      </c>
      <c r="T140" s="194" t="str">
        <f>IFERROR(INDEX('Both teabags AfterDry'!$D$3:$D$2000,MATCH(I140,'Both teabags AfterDry'!$A$3:$A$2000,0)),"")</f>
        <v/>
      </c>
      <c r="U140" s="194" t="str">
        <f t="shared" si="6"/>
        <v/>
      </c>
      <c r="V140" s="194" t="str">
        <f t="shared" si="7"/>
        <v/>
      </c>
      <c r="W140" s="194" t="str">
        <f>IFERROR(INDEX('Ashed teabags dry'!$K$2:$K$2000,MATCH(H140,'Ashed teabags dry'!$A$2:$A$2000,0)),"")</f>
        <v/>
      </c>
      <c r="X140" s="194" t="str">
        <f>IFERROR(INDEX('Ashed teabags dry'!$K$2:$K$2000,MATCH(I140,'Ashed teabags dry'!$A$2:$A$2000,0)),"")</f>
        <v/>
      </c>
      <c r="Y140" s="194" t="str">
        <f t="shared" ref="Y140:Z203" si="15">IFERROR(U140-(W140/100)*U140,"")</f>
        <v/>
      </c>
      <c r="Z140" s="194" t="str">
        <f t="shared" si="15"/>
        <v/>
      </c>
      <c r="AA140" s="194" t="str">
        <f t="shared" si="8"/>
        <v/>
      </c>
      <c r="AB140" s="194" t="str">
        <f t="shared" si="9"/>
        <v/>
      </c>
      <c r="AC140" s="194" t="str">
        <f t="shared" ref="AC140:AC203" si="16">IFERROR(Z140/Q140,"")</f>
        <v/>
      </c>
      <c r="AD140">
        <f t="shared" si="10"/>
        <v>68</v>
      </c>
      <c r="AE140" s="194" t="str">
        <f t="shared" si="11"/>
        <v/>
      </c>
      <c r="AF140" s="194" t="str">
        <f t="shared" si="12"/>
        <v/>
      </c>
      <c r="AG140" s="252" t="str">
        <f>IF(ISNUMBER(SEARCH("C", 'Dry_Litterbag Placem_Collection'!$T67)),"YES","NO")</f>
        <v>NO</v>
      </c>
      <c r="AH140" s="252" t="str">
        <f>IF(ISNUMBER(SEARCH("H", 'Dry_Litterbag Placem_Collection'!$T67)),"YES","NO")</f>
        <v>NO</v>
      </c>
      <c r="AI140" s="252" t="str">
        <f>IF(ISNUMBER(SEARCH("R", 'Dry_Litterbag Placem_Collection'!$T67)),"YES","NO")</f>
        <v>NO</v>
      </c>
      <c r="AJ140" s="252" t="str">
        <f>IF(ISNUMBER(SEARCH("C", 'Dry_Litterbag Placem_Collection'!$S67)),"YES","NO")</f>
        <v>NO</v>
      </c>
      <c r="AK140" s="252" t="str">
        <f>IF(ISNUMBER(SEARCH("H", 'Dry_Litterbag Placem_Collection'!$S67)),"YES","NO")</f>
        <v>NO</v>
      </c>
      <c r="AL140" s="252" t="str">
        <f>IF(ISNUMBER(SEARCH("R", 'Dry_Litterbag Placem_Collection'!$S67)),"YES","NO")</f>
        <v>NO</v>
      </c>
    </row>
    <row r="141" spans="2:38">
      <c r="B141" t="str">
        <f>'Final data_for_R_analysis_Dryse'!A67</f>
        <v>Dry</v>
      </c>
      <c r="C141" s="260">
        <f>'Final data_for_R_analysis_Dryse'!B67</f>
        <v>66</v>
      </c>
      <c r="D141" t="s">
        <v>3810</v>
      </c>
      <c r="E141" t="s">
        <v>22</v>
      </c>
      <c r="F141" s="381">
        <v>2</v>
      </c>
      <c r="G141" s="16">
        <f>IF('Dry_Litterbag Placem_Collection'!E68="","",'Dry_Litterbag Placem_Collection'!E68)</f>
        <v>42937</v>
      </c>
      <c r="H141" t="str">
        <f>'Final data_for_R_analysis_Dryse'!K67</f>
        <v>G247</v>
      </c>
      <c r="I141" t="str">
        <f>'Final data_for_R_analysis_Dryse'!K287</f>
        <v>R816</v>
      </c>
      <c r="J141">
        <f>IFERROR(INDEX('Green_rooibos initial weight'!$C$5:$C$2000,MATCH(H141, 'Green_rooibos initial weight'!$A$5:$A$2000,0)),"")</f>
        <v>2.13</v>
      </c>
      <c r="K141">
        <f>IFERROR(INDEX('Green_rooibos initial weight'!$C$5:$C$2000,MATCH(I141, 'Green_rooibos initial weight'!$A$5:$A$2000,0)),"")</f>
        <v>2.194</v>
      </c>
      <c r="L141" s="194">
        <f t="shared" ref="L141:L204" si="17">IFERROR(IF(J141&gt;0,(J141*$F$31-($F$29+$F$30)),""),"")</f>
        <v>1.8801999999999999</v>
      </c>
      <c r="M141" s="237">
        <f>AVERAGE(Ashed_controlls!$K$1:$K$11)</f>
        <v>5.5147656768714146</v>
      </c>
      <c r="N141" s="194">
        <f t="shared" si="13"/>
        <v>1.7765113757434636</v>
      </c>
      <c r="O141" s="194">
        <f t="shared" ref="O141:O204" si="18">IFERROR(IF(K141&gt;0,(K141*$F$32-($F$29+$F$30)),""),"")</f>
        <v>1.9441999999999999</v>
      </c>
      <c r="P141" s="237">
        <f>AVERAGE(Ashed_controlls!$K$12:$K$14)</f>
        <v>2.2816647271287041</v>
      </c>
      <c r="Q141" s="194">
        <f t="shared" si="14"/>
        <v>1.8998398743751637</v>
      </c>
      <c r="R141" s="16">
        <f>IF('Dry_Litterbag Placem_Collection'!G68="","",'Dry_Litterbag Placem_Collection'!G68)</f>
        <v>43005</v>
      </c>
      <c r="S141" s="194">
        <f>IFERROR(INDEX('Both teabags AfterDry'!$D$3:$D$2000,MATCH(H141,'Both teabags AfterDry'!$A$3:$A$2000,0)),"")</f>
        <v>1.9853000000000001</v>
      </c>
      <c r="T141" s="194">
        <f>IFERROR(INDEX('Both teabags AfterDry'!$D$3:$D$2000,MATCH(I141,'Both teabags AfterDry'!$A$3:$A$2000,0)),"")</f>
        <v>1.9451000000000001</v>
      </c>
      <c r="U141" s="194">
        <f t="shared" ref="U141:U204" si="19">IFERROR(IF(S141&gt;0,S141-($F$29),""),"")</f>
        <v>1.8347</v>
      </c>
      <c r="V141" s="194">
        <f t="shared" ref="V141:V204" si="20">IFERROR(IF(T141&gt;0,T141-($F$29),""),"")</f>
        <v>1.7945</v>
      </c>
      <c r="W141" s="194">
        <f>IFERROR(INDEX('Ashed teabags dry'!$K$2:$K$2000,MATCH(H141,'Ashed teabags dry'!$A$2:$A$2000,0)),"")</f>
        <v>6.078147612156255</v>
      </c>
      <c r="X141" s="194">
        <f>IFERROR(INDEX('Ashed teabags dry'!$K$2:$K$2000,MATCH(I141,'Ashed teabags dry'!$A$2:$A$2000,0)),"")</f>
        <v>3.3524481693872197</v>
      </c>
      <c r="Y141" s="194">
        <f t="shared" si="15"/>
        <v>1.7231842257597692</v>
      </c>
      <c r="Z141" s="194">
        <f t="shared" si="15"/>
        <v>1.7343403176003462</v>
      </c>
      <c r="AA141" s="194">
        <f t="shared" ref="AA141:AA204" si="21">IFERROR(1-Y141/N141,"")</f>
        <v>3.0017905154914759E-2</v>
      </c>
      <c r="AB141" s="194">
        <f t="shared" ref="AB141:AB204" si="22">IFERROR($F$26*(1-AE141),"")</f>
        <v>1.9679196728637719E-2</v>
      </c>
      <c r="AC141" s="194">
        <f t="shared" si="16"/>
        <v>0.91288762858014627</v>
      </c>
      <c r="AD141">
        <f t="shared" ref="AD141:AD204" si="23">IFERROR(IF((R141-G141)&gt;0,(IFERROR(R141-G141,"")),""),"")</f>
        <v>68</v>
      </c>
      <c r="AE141" s="194">
        <f t="shared" ref="AE141:AE204" si="24">IFERROR(1-(AA141/$F$25),"")</f>
        <v>0.96434928128869979</v>
      </c>
      <c r="AF141" s="194" t="str">
        <f t="shared" ref="AF141:AF204" si="25">IFERROR(LN(AB141/(AC141-(1-AB141)))/AD141,"")</f>
        <v/>
      </c>
      <c r="AG141" s="252" t="str">
        <f>IF(ISNUMBER(SEARCH("C", 'Dry_Litterbag Placem_Collection'!$T68)),"YES","NO")</f>
        <v>NO</v>
      </c>
      <c r="AH141" s="252" t="str">
        <f>IF(ISNUMBER(SEARCH("H", 'Dry_Litterbag Placem_Collection'!$T68)),"YES","NO")</f>
        <v>NO</v>
      </c>
      <c r="AI141" s="252" t="str">
        <f>IF(ISNUMBER(SEARCH("R", 'Dry_Litterbag Placem_Collection'!$T68)),"YES","NO")</f>
        <v>NO</v>
      </c>
      <c r="AJ141" s="252" t="str">
        <f>IF(ISNUMBER(SEARCH("C", 'Dry_Litterbag Placem_Collection'!$S68)),"YES","NO")</f>
        <v>YES</v>
      </c>
      <c r="AK141" s="252" t="str">
        <f>IF(ISNUMBER(SEARCH("H", 'Dry_Litterbag Placem_Collection'!$S68)),"YES","NO")</f>
        <v>YES</v>
      </c>
      <c r="AL141" s="252" t="str">
        <f>IF(ISNUMBER(SEARCH("R", 'Dry_Litterbag Placem_Collection'!$S68)),"YES","NO")</f>
        <v>NO</v>
      </c>
    </row>
    <row r="142" spans="2:38">
      <c r="B142" t="str">
        <f>'Final data_for_R_analysis_Dryse'!A68</f>
        <v>Dry</v>
      </c>
      <c r="C142" s="260">
        <f>'Final data_for_R_analysis_Dryse'!B68</f>
        <v>67</v>
      </c>
      <c r="D142" t="s">
        <v>3810</v>
      </c>
      <c r="E142" t="s">
        <v>22</v>
      </c>
      <c r="F142" s="381">
        <v>3</v>
      </c>
      <c r="G142" s="16" t="str">
        <f>IF('Dry_Litterbag Placem_Collection'!E69="","",'Dry_Litterbag Placem_Collection'!E69)</f>
        <v/>
      </c>
      <c r="H142" t="str">
        <f>'Final data_for_R_analysis_Dryse'!K68</f>
        <v/>
      </c>
      <c r="I142" t="str">
        <f>'Final data_for_R_analysis_Dryse'!K288</f>
        <v/>
      </c>
      <c r="J142" t="str">
        <f>IFERROR(INDEX('Green_rooibos initial weight'!$C$5:$C$2000,MATCH(H142, 'Green_rooibos initial weight'!$A$5:$A$2000,0)),"")</f>
        <v/>
      </c>
      <c r="K142" t="str">
        <f>IFERROR(INDEX('Green_rooibos initial weight'!$C$5:$C$2000,MATCH(I142, 'Green_rooibos initial weight'!$A$5:$A$2000,0)),"")</f>
        <v/>
      </c>
      <c r="L142" s="194" t="str">
        <f t="shared" si="17"/>
        <v/>
      </c>
      <c r="M142" s="237">
        <f>AVERAGE(Ashed_controlls!$K$1:$K$11)</f>
        <v>5.5147656768714146</v>
      </c>
      <c r="N142" s="194" t="str">
        <f t="shared" si="13"/>
        <v/>
      </c>
      <c r="O142" s="194" t="str">
        <f t="shared" si="18"/>
        <v/>
      </c>
      <c r="P142" s="237">
        <f>AVERAGE(Ashed_controlls!$K$12:$K$14)</f>
        <v>2.2816647271287041</v>
      </c>
      <c r="Q142" s="194" t="str">
        <f t="shared" si="14"/>
        <v/>
      </c>
      <c r="R142" s="16" t="str">
        <f>IF('Dry_Litterbag Placem_Collection'!G69="","",'Dry_Litterbag Placem_Collection'!G69)</f>
        <v/>
      </c>
      <c r="S142" s="194" t="str">
        <f>IFERROR(INDEX('Both teabags AfterDry'!$D$3:$D$2000,MATCH(H142,'Both teabags AfterDry'!$A$3:$A$2000,0)),"")</f>
        <v/>
      </c>
      <c r="T142" s="194" t="str">
        <f>IFERROR(INDEX('Both teabags AfterDry'!$D$3:$D$2000,MATCH(I142,'Both teabags AfterDry'!$A$3:$A$2000,0)),"")</f>
        <v/>
      </c>
      <c r="U142" s="194" t="str">
        <f t="shared" si="19"/>
        <v/>
      </c>
      <c r="V142" s="194" t="str">
        <f t="shared" si="20"/>
        <v/>
      </c>
      <c r="W142" s="194" t="str">
        <f>IFERROR(INDEX('Ashed teabags dry'!$K$2:$K$2000,MATCH(H142,'Ashed teabags dry'!$A$2:$A$2000,0)),"")</f>
        <v/>
      </c>
      <c r="X142" s="194" t="str">
        <f>IFERROR(INDEX('Ashed teabags dry'!$K$2:$K$2000,MATCH(I142,'Ashed teabags dry'!$A$2:$A$2000,0)),"")</f>
        <v/>
      </c>
      <c r="Y142" s="194" t="str">
        <f t="shared" si="15"/>
        <v/>
      </c>
      <c r="Z142" s="194" t="str">
        <f t="shared" si="15"/>
        <v/>
      </c>
      <c r="AA142" s="194" t="str">
        <f t="shared" si="21"/>
        <v/>
      </c>
      <c r="AB142" s="194" t="str">
        <f t="shared" si="22"/>
        <v/>
      </c>
      <c r="AC142" s="194" t="str">
        <f t="shared" si="16"/>
        <v/>
      </c>
      <c r="AD142" t="str">
        <f t="shared" si="23"/>
        <v/>
      </c>
      <c r="AE142" s="194" t="str">
        <f t="shared" si="24"/>
        <v/>
      </c>
      <c r="AF142" s="194" t="str">
        <f t="shared" si="25"/>
        <v/>
      </c>
      <c r="AG142" s="252" t="str">
        <f>IF(ISNUMBER(SEARCH("C", 'Dry_Litterbag Placem_Collection'!$T69)),"YES","NO")</f>
        <v>NO</v>
      </c>
      <c r="AH142" s="252" t="str">
        <f>IF(ISNUMBER(SEARCH("H", 'Dry_Litterbag Placem_Collection'!$T69)),"YES","NO")</f>
        <v>NO</v>
      </c>
      <c r="AI142" s="252" t="str">
        <f>IF(ISNUMBER(SEARCH("R", 'Dry_Litterbag Placem_Collection'!$T69)),"YES","NO")</f>
        <v>NO</v>
      </c>
      <c r="AJ142" s="252" t="str">
        <f>IF(ISNUMBER(SEARCH("C", 'Dry_Litterbag Placem_Collection'!$S69)),"YES","NO")</f>
        <v>NO</v>
      </c>
      <c r="AK142" s="252" t="str">
        <f>IF(ISNUMBER(SEARCH("H", 'Dry_Litterbag Placem_Collection'!$S69)),"YES","NO")</f>
        <v>NO</v>
      </c>
      <c r="AL142" s="252" t="str">
        <f>IF(ISNUMBER(SEARCH("R", 'Dry_Litterbag Placem_Collection'!$S69)),"YES","NO")</f>
        <v>NO</v>
      </c>
    </row>
    <row r="143" spans="2:38">
      <c r="B143" t="str">
        <f>'Final data_for_R_analysis_Dryse'!A69</f>
        <v>Dry</v>
      </c>
      <c r="C143" s="260">
        <f>'Final data_for_R_analysis_Dryse'!B69</f>
        <v>68</v>
      </c>
      <c r="D143" t="s">
        <v>3810</v>
      </c>
      <c r="E143" t="s">
        <v>22</v>
      </c>
      <c r="F143" s="382">
        <v>4</v>
      </c>
      <c r="G143" s="16">
        <f>IF('Dry_Litterbag Placem_Collection'!E70="","",'Dry_Litterbag Placem_Collection'!E70)</f>
        <v>42937</v>
      </c>
      <c r="H143" t="str">
        <f>'Final data_for_R_analysis_Dryse'!K69</f>
        <v>G63</v>
      </c>
      <c r="I143" t="str">
        <f>'Final data_for_R_analysis_Dryse'!K289</f>
        <v>R815</v>
      </c>
      <c r="J143">
        <f>IFERROR(INDEX('Green_rooibos initial weight'!$C$5:$C$2000,MATCH(H143, 'Green_rooibos initial weight'!$A$5:$A$2000,0)),"")</f>
        <v>2</v>
      </c>
      <c r="K143">
        <f>IFERROR(INDEX('Green_rooibos initial weight'!$C$5:$C$2000,MATCH(I143, 'Green_rooibos initial weight'!$A$5:$A$2000,0)),"")</f>
        <v>2.2130000000000001</v>
      </c>
      <c r="L143" s="194">
        <f t="shared" si="17"/>
        <v>1.7502</v>
      </c>
      <c r="M143" s="237">
        <f>AVERAGE(Ashed_controlls!$K$1:$K$11)</f>
        <v>5.5147656768714146</v>
      </c>
      <c r="N143" s="194">
        <f t="shared" si="13"/>
        <v>1.6536805711233964</v>
      </c>
      <c r="O143" s="194">
        <f t="shared" si="18"/>
        <v>1.9632000000000001</v>
      </c>
      <c r="P143" s="237">
        <f>AVERAGE(Ashed_controlls!$K$12:$K$14)</f>
        <v>2.2816647271287041</v>
      </c>
      <c r="Q143" s="194">
        <f t="shared" si="14"/>
        <v>1.9184063580770094</v>
      </c>
      <c r="R143" s="16">
        <f>IF('Dry_Litterbag Placem_Collection'!G70="","",'Dry_Litterbag Placem_Collection'!G70)</f>
        <v>43005</v>
      </c>
      <c r="S143" s="194">
        <f>IFERROR(INDEX('Both teabags AfterDry'!$D$3:$D$2000,MATCH(H143,'Both teabags AfterDry'!$A$3:$A$2000,0)),"")</f>
        <v>1.8152999999999999</v>
      </c>
      <c r="T143" s="194">
        <f>IFERROR(INDEX('Both teabags AfterDry'!$D$3:$D$2000,MATCH(I143,'Both teabags AfterDry'!$A$3:$A$2000,0)),"")</f>
        <v>1.9467000000000001</v>
      </c>
      <c r="U143" s="194">
        <f t="shared" si="19"/>
        <v>1.6646999999999998</v>
      </c>
      <c r="V143" s="194">
        <f t="shared" si="20"/>
        <v>1.7961</v>
      </c>
      <c r="W143" s="194">
        <f>IFERROR(INDEX('Ashed teabags dry'!$K$2:$K$2000,MATCH(H143,'Ashed teabags dry'!$A$2:$A$2000,0)),"")</f>
        <v>5.6851311953349883</v>
      </c>
      <c r="X143" s="194">
        <f>IFERROR(INDEX('Ashed teabags dry'!$K$2:$K$2000,MATCH(I143,'Ashed teabags dry'!$A$2:$A$2000,0)),"")</f>
        <v>2.8207461328482384</v>
      </c>
      <c r="Y143" s="194">
        <f t="shared" si="15"/>
        <v>1.5700596209912583</v>
      </c>
      <c r="Z143" s="194">
        <f t="shared" si="15"/>
        <v>1.7454365787079129</v>
      </c>
      <c r="AA143" s="194">
        <f t="shared" si="21"/>
        <v>5.0566567444964128E-2</v>
      </c>
      <c r="AB143" s="194">
        <f t="shared" si="22"/>
        <v>3.3150528776271053E-2</v>
      </c>
      <c r="AC143" s="194">
        <f t="shared" si="16"/>
        <v>0.909836735767244</v>
      </c>
      <c r="AD143">
        <f t="shared" si="23"/>
        <v>68</v>
      </c>
      <c r="AE143" s="194">
        <f t="shared" si="24"/>
        <v>0.93994469424588578</v>
      </c>
      <c r="AF143" s="194" t="str">
        <f t="shared" si="25"/>
        <v/>
      </c>
      <c r="AG143" s="252" t="str">
        <f>IF(ISNUMBER(SEARCH("C", 'Dry_Litterbag Placem_Collection'!$T70)),"YES","NO")</f>
        <v>NO</v>
      </c>
      <c r="AH143" s="252" t="str">
        <f>IF(ISNUMBER(SEARCH("H", 'Dry_Litterbag Placem_Collection'!$T70)),"YES","NO")</f>
        <v>NO</v>
      </c>
      <c r="AI143" s="252" t="str">
        <f>IF(ISNUMBER(SEARCH("R", 'Dry_Litterbag Placem_Collection'!$T70)),"YES","NO")</f>
        <v>NO</v>
      </c>
      <c r="AJ143" s="252" t="str">
        <f>IF(ISNUMBER(SEARCH("C", 'Dry_Litterbag Placem_Collection'!$S70)),"YES","NO")</f>
        <v>NO</v>
      </c>
      <c r="AK143" s="252" t="str">
        <f>IF(ISNUMBER(SEARCH("H", 'Dry_Litterbag Placem_Collection'!$S70)),"YES","NO")</f>
        <v>NO</v>
      </c>
      <c r="AL143" s="252" t="str">
        <f>IF(ISNUMBER(SEARCH("R", 'Dry_Litterbag Placem_Collection'!$S70)),"YES","NO")</f>
        <v>NO</v>
      </c>
    </row>
    <row r="144" spans="2:38">
      <c r="B144" t="str">
        <f>'Final data_for_R_analysis_Dryse'!A70</f>
        <v>Dry</v>
      </c>
      <c r="C144" s="260">
        <f>'Final data_for_R_analysis_Dryse'!B70</f>
        <v>69</v>
      </c>
      <c r="D144" t="s">
        <v>3810</v>
      </c>
      <c r="E144" t="s">
        <v>22</v>
      </c>
      <c r="F144" s="382">
        <v>5</v>
      </c>
      <c r="G144" s="16">
        <f>IF('Dry_Litterbag Placem_Collection'!E71="","",'Dry_Litterbag Placem_Collection'!E71)</f>
        <v>42937</v>
      </c>
      <c r="H144" t="str">
        <f>'Final data_for_R_analysis_Dryse'!K70</f>
        <v>G382</v>
      </c>
      <c r="I144" t="str">
        <f>'Final data_for_R_analysis_Dryse'!K290</f>
        <v>R741</v>
      </c>
      <c r="J144">
        <f>IFERROR(INDEX('Green_rooibos initial weight'!$C$5:$C$2000,MATCH(H144, 'Green_rooibos initial weight'!$A$5:$A$2000,0)),"")</f>
        <v>2.0960000000000001</v>
      </c>
      <c r="K144">
        <f>IFERROR(INDEX('Green_rooibos initial weight'!$C$5:$C$2000,MATCH(I144, 'Green_rooibos initial weight'!$A$5:$A$2000,0)),"")</f>
        <v>2.262</v>
      </c>
      <c r="L144" s="194">
        <f t="shared" si="17"/>
        <v>1.8462000000000001</v>
      </c>
      <c r="M144" s="237">
        <f>AVERAGE(Ashed_controlls!$K$1:$K$11)</f>
        <v>5.5147656768714146</v>
      </c>
      <c r="N144" s="194">
        <f t="shared" si="13"/>
        <v>1.7443863960735999</v>
      </c>
      <c r="O144" s="194">
        <f t="shared" si="18"/>
        <v>2.0122</v>
      </c>
      <c r="P144" s="237">
        <f>AVERAGE(Ashed_controlls!$K$12:$K$14)</f>
        <v>2.2816647271287041</v>
      </c>
      <c r="Q144" s="194">
        <f t="shared" si="14"/>
        <v>1.9662883423607163</v>
      </c>
      <c r="R144" s="16">
        <f>IF('Dry_Litterbag Placem_Collection'!G71="","",'Dry_Litterbag Placem_Collection'!G71)</f>
        <v>43006</v>
      </c>
      <c r="S144" s="194">
        <f>IFERROR(INDEX('Both teabags AfterDry'!$D$3:$D$2000,MATCH(H144,'Both teabags AfterDry'!$A$3:$A$2000,0)),"")</f>
        <v>1.8677999999999999</v>
      </c>
      <c r="T144" s="194">
        <f>IFERROR(INDEX('Both teabags AfterDry'!$D$3:$D$2000,MATCH(I144,'Both teabags AfterDry'!$A$3:$A$2000,0)),"")</f>
        <v>1.9702999999999999</v>
      </c>
      <c r="U144" s="194">
        <f t="shared" si="19"/>
        <v>1.7171999999999998</v>
      </c>
      <c r="V144" s="194">
        <f t="shared" si="20"/>
        <v>1.8196999999999999</v>
      </c>
      <c r="W144" s="194">
        <f>IFERROR(INDEX('Ashed teabags dry'!$K$2:$K$2000,MATCH(H144,'Ashed teabags dry'!$A$2:$A$2000,0)),"")</f>
        <v>5.5063913470994565</v>
      </c>
      <c r="X144" s="194">
        <f>IFERROR(INDEX('Ashed teabags dry'!$K$2:$K$2000,MATCH(I144,'Ashed teabags dry'!$A$2:$A$2000,0)),"")</f>
        <v>3.5535535535533986</v>
      </c>
      <c r="Y144" s="194">
        <f t="shared" si="15"/>
        <v>1.622644247787608</v>
      </c>
      <c r="Z144" s="194">
        <f t="shared" si="15"/>
        <v>1.7550359859859888</v>
      </c>
      <c r="AA144" s="194">
        <f t="shared" si="21"/>
        <v>6.9790815016683605E-2</v>
      </c>
      <c r="AB144" s="194">
        <f t="shared" si="22"/>
        <v>4.5753598443241492E-2</v>
      </c>
      <c r="AC144" s="194">
        <f t="shared" si="16"/>
        <v>0.89256288011091045</v>
      </c>
      <c r="AD144">
        <f t="shared" si="23"/>
        <v>69</v>
      </c>
      <c r="AE144" s="194">
        <f t="shared" si="24"/>
        <v>0.91711304629847556</v>
      </c>
      <c r="AF144" s="194" t="str">
        <f t="shared" si="25"/>
        <v/>
      </c>
      <c r="AG144" s="252" t="str">
        <f>IF(ISNUMBER(SEARCH("C", 'Dry_Litterbag Placem_Collection'!$T71)),"YES","NO")</f>
        <v>YES</v>
      </c>
      <c r="AH144" s="252" t="str">
        <f>IF(ISNUMBER(SEARCH("H", 'Dry_Litterbag Placem_Collection'!$T71)),"YES","NO")</f>
        <v>NO</v>
      </c>
      <c r="AI144" s="252" t="str">
        <f>IF(ISNUMBER(SEARCH("R", 'Dry_Litterbag Placem_Collection'!$T71)),"YES","NO")</f>
        <v>NO</v>
      </c>
      <c r="AJ144" s="252" t="str">
        <f>IF(ISNUMBER(SEARCH("C", 'Dry_Litterbag Placem_Collection'!$S71)),"YES","NO")</f>
        <v>NO</v>
      </c>
      <c r="AK144" s="252" t="str">
        <f>IF(ISNUMBER(SEARCH("H", 'Dry_Litterbag Placem_Collection'!$S71)),"YES","NO")</f>
        <v>NO</v>
      </c>
      <c r="AL144" s="252" t="str">
        <f>IF(ISNUMBER(SEARCH("R", 'Dry_Litterbag Placem_Collection'!$S71)),"YES","NO")</f>
        <v>NO</v>
      </c>
    </row>
    <row r="145" spans="2:38">
      <c r="B145" t="str">
        <f>'Final data_for_R_analysis_Dryse'!A71</f>
        <v>Dry</v>
      </c>
      <c r="C145" s="260">
        <f>'Final data_for_R_analysis_Dryse'!B71</f>
        <v>70</v>
      </c>
      <c r="D145" t="s">
        <v>3810</v>
      </c>
      <c r="E145" t="s">
        <v>22</v>
      </c>
      <c r="F145" s="382">
        <v>6</v>
      </c>
      <c r="G145" s="16">
        <f>IF('Dry_Litterbag Placem_Collection'!E72="","",'Dry_Litterbag Placem_Collection'!E72)</f>
        <v>42937</v>
      </c>
      <c r="H145" t="str">
        <f>'Final data_for_R_analysis_Dryse'!K71</f>
        <v>G278</v>
      </c>
      <c r="I145" t="str">
        <f>'Final data_for_R_analysis_Dryse'!K291</f>
        <v>R294</v>
      </c>
      <c r="J145">
        <f>IFERROR(INDEX('Green_rooibos initial weight'!$C$5:$C$2000,MATCH(H145, 'Green_rooibos initial weight'!$A$5:$A$2000,0)),"")</f>
        <v>2.0049999999999999</v>
      </c>
      <c r="K145">
        <f>IFERROR(INDEX('Green_rooibos initial weight'!$C$5:$C$2000,MATCH(I145, 'Green_rooibos initial weight'!$A$5:$A$2000,0)),"")</f>
        <v>2.226</v>
      </c>
      <c r="L145" s="194">
        <f t="shared" si="17"/>
        <v>1.7551999999999999</v>
      </c>
      <c r="M145" s="237">
        <f>AVERAGE(Ashed_controlls!$K$1:$K$11)</f>
        <v>5.5147656768714146</v>
      </c>
      <c r="N145" s="194">
        <f t="shared" si="13"/>
        <v>1.6584048328395529</v>
      </c>
      <c r="O145" s="194">
        <f t="shared" si="18"/>
        <v>1.9762</v>
      </c>
      <c r="P145" s="237">
        <f>AVERAGE(Ashed_controlls!$K$12:$K$14)</f>
        <v>2.2816647271287041</v>
      </c>
      <c r="Q145" s="194">
        <f t="shared" si="14"/>
        <v>1.9311097416624825</v>
      </c>
      <c r="R145" s="16">
        <f>IF('Dry_Litterbag Placem_Collection'!G72="","",'Dry_Litterbag Placem_Collection'!G72)</f>
        <v>43006</v>
      </c>
      <c r="S145" s="194">
        <f>IFERROR(INDEX('Both teabags AfterDry'!$D$3:$D$2000,MATCH(H145,'Both teabags AfterDry'!$A$3:$A$2000,0)),"")</f>
        <v>1.8243</v>
      </c>
      <c r="T145" s="194">
        <f>IFERROR(INDEX('Both teabags AfterDry'!$D$3:$D$2000,MATCH(I145,'Both teabags AfterDry'!$A$3:$A$2000,0)),"")</f>
        <v>0.51</v>
      </c>
      <c r="U145" s="194">
        <f t="shared" si="19"/>
        <v>1.6737</v>
      </c>
      <c r="V145" s="194">
        <f t="shared" si="20"/>
        <v>0.3594</v>
      </c>
      <c r="W145" s="194">
        <f>IFERROR(INDEX('Ashed teabags dry'!$K$2:$K$2000,MATCH(H145,'Ashed teabags dry'!$A$2:$A$2000,0)),"")</f>
        <v>5.9292476332832429</v>
      </c>
      <c r="X145" s="194">
        <f>IFERROR(INDEX('Ashed teabags dry'!$K$2:$K$2000,MATCH(I145,'Ashed teabags dry'!$A$2:$A$2000,0)),"")</f>
        <v>66.450324513230314</v>
      </c>
      <c r="Y145" s="194">
        <f t="shared" si="15"/>
        <v>1.5744621823617384</v>
      </c>
      <c r="Z145" s="194">
        <f t="shared" si="15"/>
        <v>0.12057753369945023</v>
      </c>
      <c r="AA145" s="194">
        <f t="shared" si="21"/>
        <v>5.0616501360579269E-2</v>
      </c>
      <c r="AB145" s="194">
        <f t="shared" si="22"/>
        <v>3.3183264549928482E-2</v>
      </c>
      <c r="AC145" s="194">
        <f t="shared" si="16"/>
        <v>6.2439503617047497E-2</v>
      </c>
      <c r="AD145">
        <f t="shared" si="23"/>
        <v>69</v>
      </c>
      <c r="AE145" s="194">
        <f t="shared" si="24"/>
        <v>0.93988539030810059</v>
      </c>
      <c r="AF145" s="194" t="str">
        <f t="shared" si="25"/>
        <v/>
      </c>
      <c r="AG145" s="252" t="str">
        <f>IF(ISNUMBER(SEARCH("C", 'Dry_Litterbag Placem_Collection'!$T72)),"YES","NO")</f>
        <v>YES</v>
      </c>
      <c r="AH145" s="252" t="str">
        <f>IF(ISNUMBER(SEARCH("H", 'Dry_Litterbag Placem_Collection'!$T72)),"YES","NO")</f>
        <v>YES</v>
      </c>
      <c r="AI145" s="252" t="str">
        <f>IF(ISNUMBER(SEARCH("R", 'Dry_Litterbag Placem_Collection'!$T72)),"YES","NO")</f>
        <v>NO</v>
      </c>
      <c r="AJ145" s="252" t="str">
        <f>IF(ISNUMBER(SEARCH("C", 'Dry_Litterbag Placem_Collection'!$S72)),"YES","NO")</f>
        <v>NO</v>
      </c>
      <c r="AK145" s="252" t="str">
        <f>IF(ISNUMBER(SEARCH("H", 'Dry_Litterbag Placem_Collection'!$S72)),"YES","NO")</f>
        <v>NO</v>
      </c>
      <c r="AL145" s="252" t="str">
        <f>IF(ISNUMBER(SEARCH("R", 'Dry_Litterbag Placem_Collection'!$S72)),"YES","NO")</f>
        <v>NO</v>
      </c>
    </row>
    <row r="146" spans="2:38">
      <c r="B146" t="str">
        <f>'Final data_for_R_analysis_Dryse'!A72</f>
        <v>Dry</v>
      </c>
      <c r="C146" s="260">
        <f>'Final data_for_R_analysis_Dryse'!B72</f>
        <v>71</v>
      </c>
      <c r="D146" t="s">
        <v>3810</v>
      </c>
      <c r="E146" t="s">
        <v>22</v>
      </c>
      <c r="F146" s="382">
        <v>7</v>
      </c>
      <c r="G146" s="16">
        <f>IF('Dry_Litterbag Placem_Collection'!E73="","",'Dry_Litterbag Placem_Collection'!E73)</f>
        <v>42937</v>
      </c>
      <c r="H146" t="str">
        <f>'Final data_for_R_analysis_Dryse'!K72</f>
        <v>G138</v>
      </c>
      <c r="I146" t="str">
        <f>'Final data_for_R_analysis_Dryse'!K292</f>
        <v>R761</v>
      </c>
      <c r="J146">
        <f>IFERROR(INDEX('Green_rooibos initial weight'!$C$5:$C$2000,MATCH(H146, 'Green_rooibos initial weight'!$A$5:$A$2000,0)),"")</f>
        <v>1.956</v>
      </c>
      <c r="K146">
        <f>IFERROR(INDEX('Green_rooibos initial weight'!$C$5:$C$2000,MATCH(I146, 'Green_rooibos initial weight'!$A$5:$A$2000,0)),"")</f>
        <v>2.1509999999999998</v>
      </c>
      <c r="L146" s="194">
        <f t="shared" si="17"/>
        <v>1.7061999999999999</v>
      </c>
      <c r="M146" s="237">
        <f>AVERAGE(Ashed_controlls!$K$1:$K$11)</f>
        <v>5.5147656768714146</v>
      </c>
      <c r="N146" s="194">
        <f t="shared" si="13"/>
        <v>1.6121070680212199</v>
      </c>
      <c r="O146" s="194">
        <f t="shared" si="18"/>
        <v>1.9011999999999998</v>
      </c>
      <c r="P146" s="237">
        <f>AVERAGE(Ashed_controlls!$K$12:$K$14)</f>
        <v>2.2816647271287041</v>
      </c>
      <c r="Q146" s="194">
        <f t="shared" si="14"/>
        <v>1.8578209902078289</v>
      </c>
      <c r="R146" s="16">
        <f>IF('Dry_Litterbag Placem_Collection'!G73="","",'Dry_Litterbag Placem_Collection'!G73)</f>
        <v>43006</v>
      </c>
      <c r="S146" s="194">
        <f>IFERROR(INDEX('Both teabags AfterDry'!$D$3:$D$2000,MATCH(H146,'Both teabags AfterDry'!$A$3:$A$2000,0)),"")</f>
        <v>1.782</v>
      </c>
      <c r="T146" s="194">
        <f>IFERROR(INDEX('Both teabags AfterDry'!$D$3:$D$2000,MATCH(I146,'Both teabags AfterDry'!$A$3:$A$2000,0)),"")</f>
        <v>1.9017999999999999</v>
      </c>
      <c r="U146" s="194">
        <f t="shared" si="19"/>
        <v>1.6314</v>
      </c>
      <c r="V146" s="194">
        <f t="shared" si="20"/>
        <v>1.7511999999999999</v>
      </c>
      <c r="W146" s="194">
        <f>IFERROR(INDEX('Ashed teabags dry'!$K$2:$K$2000,MATCH(H146,'Ashed teabags dry'!$A$2:$A$2000,0)),"")</f>
        <v>5.177372962607877</v>
      </c>
      <c r="X146" s="194">
        <f>IFERROR(INDEX('Ashed teabags dry'!$K$2:$K$2000,MATCH(I146,'Ashed teabags dry'!$A$2:$A$2000,0)),"")</f>
        <v>2.5515210991172763</v>
      </c>
      <c r="Y146" s="194">
        <f t="shared" si="15"/>
        <v>1.546936337488015</v>
      </c>
      <c r="Z146" s="194">
        <f t="shared" si="15"/>
        <v>1.7065177625122581</v>
      </c>
      <c r="AA146" s="194">
        <f t="shared" si="21"/>
        <v>4.0425807829996496E-2</v>
      </c>
      <c r="AB146" s="194">
        <f t="shared" si="22"/>
        <v>2.6502429836292241E-2</v>
      </c>
      <c r="AC146" s="194">
        <f t="shared" si="16"/>
        <v>0.91855876939002346</v>
      </c>
      <c r="AD146">
        <f t="shared" si="23"/>
        <v>69</v>
      </c>
      <c r="AE146" s="194">
        <f t="shared" si="24"/>
        <v>0.95198835174584739</v>
      </c>
      <c r="AF146" s="194" t="str">
        <f t="shared" si="25"/>
        <v/>
      </c>
      <c r="AG146" s="252" t="str">
        <f>IF(ISNUMBER(SEARCH("C", 'Dry_Litterbag Placem_Collection'!$T73)),"YES","NO")</f>
        <v>NO</v>
      </c>
      <c r="AH146" s="252" t="str">
        <f>IF(ISNUMBER(SEARCH("H", 'Dry_Litterbag Placem_Collection'!$T73)),"YES","NO")</f>
        <v>NO</v>
      </c>
      <c r="AI146" s="252" t="str">
        <f>IF(ISNUMBER(SEARCH("R", 'Dry_Litterbag Placem_Collection'!$T73)),"YES","NO")</f>
        <v>NO</v>
      </c>
      <c r="AJ146" s="252" t="str">
        <f>IF(ISNUMBER(SEARCH("C", 'Dry_Litterbag Placem_Collection'!$S73)),"YES","NO")</f>
        <v>NO</v>
      </c>
      <c r="AK146" s="252" t="str">
        <f>IF(ISNUMBER(SEARCH("H", 'Dry_Litterbag Placem_Collection'!$S73)),"YES","NO")</f>
        <v>NO</v>
      </c>
      <c r="AL146" s="252" t="str">
        <f>IF(ISNUMBER(SEARCH("R", 'Dry_Litterbag Placem_Collection'!$S73)),"YES","NO")</f>
        <v>NO</v>
      </c>
    </row>
    <row r="147" spans="2:38">
      <c r="B147" t="str">
        <f>'Final data_for_R_analysis_Dryse'!A73</f>
        <v>Dry</v>
      </c>
      <c r="C147" s="260">
        <f>'Final data_for_R_analysis_Dryse'!B73</f>
        <v>72</v>
      </c>
      <c r="D147" t="s">
        <v>3810</v>
      </c>
      <c r="E147" t="s">
        <v>22</v>
      </c>
      <c r="F147" s="382">
        <v>8</v>
      </c>
      <c r="G147" s="16">
        <f>IF('Dry_Litterbag Placem_Collection'!E74="","",'Dry_Litterbag Placem_Collection'!E74)</f>
        <v>42937</v>
      </c>
      <c r="H147" t="str">
        <f>'Final data_for_R_analysis_Dryse'!K73</f>
        <v>G431</v>
      </c>
      <c r="I147" t="str">
        <f>'Final data_for_R_analysis_Dryse'!K293</f>
        <v>R780</v>
      </c>
      <c r="J147">
        <f>IFERROR(INDEX('Green_rooibos initial weight'!$C$5:$C$2000,MATCH(H147, 'Green_rooibos initial weight'!$A$5:$A$2000,0)),"")</f>
        <v>2.08</v>
      </c>
      <c r="K147">
        <f>IFERROR(INDEX('Green_rooibos initial weight'!$C$5:$C$2000,MATCH(I147, 'Green_rooibos initial weight'!$A$5:$A$2000,0)),"")</f>
        <v>2.19</v>
      </c>
      <c r="L147" s="194">
        <f t="shared" si="17"/>
        <v>1.8302</v>
      </c>
      <c r="M147" s="237">
        <f>AVERAGE(Ashed_controlls!$K$1:$K$11)</f>
        <v>5.5147656768714146</v>
      </c>
      <c r="N147" s="194">
        <f t="shared" si="13"/>
        <v>1.7292687585818993</v>
      </c>
      <c r="O147" s="194">
        <f t="shared" si="18"/>
        <v>1.9401999999999999</v>
      </c>
      <c r="P147" s="237">
        <f>AVERAGE(Ashed_controlls!$K$12:$K$14)</f>
        <v>2.2816647271287041</v>
      </c>
      <c r="Q147" s="194">
        <f t="shared" si="14"/>
        <v>1.8959311409642488</v>
      </c>
      <c r="R147" s="16">
        <f>IF('Dry_Litterbag Placem_Collection'!G74="","",'Dry_Litterbag Placem_Collection'!G74)</f>
        <v>43006</v>
      </c>
      <c r="S147" s="194">
        <f>IFERROR(INDEX('Both teabags AfterDry'!$D$3:$D$2000,MATCH(H147,'Both teabags AfterDry'!$A$3:$A$2000,0)),"")</f>
        <v>1.8758999999999999</v>
      </c>
      <c r="T147" s="194">
        <f>IFERROR(INDEX('Both teabags AfterDry'!$D$3:$D$2000,MATCH(I147,'Both teabags AfterDry'!$A$3:$A$2000,0)),"")</f>
        <v>1.9477</v>
      </c>
      <c r="U147" s="194">
        <f t="shared" si="19"/>
        <v>1.7252999999999998</v>
      </c>
      <c r="V147" s="194">
        <f t="shared" si="20"/>
        <v>1.7970999999999999</v>
      </c>
      <c r="W147" s="194">
        <f>IFERROR(INDEX('Ashed teabags dry'!$K$2:$K$2000,MATCH(H147,'Ashed teabags dry'!$A$2:$A$2000,0)),"")</f>
        <v>5.6922334780507073</v>
      </c>
      <c r="X147" s="194">
        <f>IFERROR(INDEX('Ashed teabags dry'!$K$2:$K$2000,MATCH(I147,'Ashed teabags dry'!$A$2:$A$2000,0)),"")</f>
        <v>2.0045558086562076</v>
      </c>
      <c r="Y147" s="194">
        <f t="shared" si="15"/>
        <v>1.627091895803191</v>
      </c>
      <c r="Z147" s="194">
        <f t="shared" si="15"/>
        <v>1.7610761275626392</v>
      </c>
      <c r="AA147" s="194">
        <f t="shared" si="21"/>
        <v>5.9086745349230307E-2</v>
      </c>
      <c r="AB147" s="194">
        <f t="shared" si="22"/>
        <v>3.8736203601870689E-2</v>
      </c>
      <c r="AC147" s="194">
        <f t="shared" si="16"/>
        <v>0.92887135482514205</v>
      </c>
      <c r="AD147">
        <f t="shared" si="23"/>
        <v>69</v>
      </c>
      <c r="AE147" s="194">
        <f t="shared" si="24"/>
        <v>0.9298257181125531</v>
      </c>
      <c r="AF147" s="194" t="str">
        <f t="shared" si="25"/>
        <v/>
      </c>
      <c r="AG147" s="252" t="str">
        <f>IF(ISNUMBER(SEARCH("C", 'Dry_Litterbag Placem_Collection'!$T74)),"YES","NO")</f>
        <v>NO</v>
      </c>
      <c r="AH147" s="252" t="str">
        <f>IF(ISNUMBER(SEARCH("H", 'Dry_Litterbag Placem_Collection'!$T74)),"YES","NO")</f>
        <v>NO</v>
      </c>
      <c r="AI147" s="252" t="str">
        <f>IF(ISNUMBER(SEARCH("R", 'Dry_Litterbag Placem_Collection'!$T74)),"YES","NO")</f>
        <v>NO</v>
      </c>
      <c r="AJ147" s="252" t="str">
        <f>IF(ISNUMBER(SEARCH("C", 'Dry_Litterbag Placem_Collection'!$S74)),"YES","NO")</f>
        <v>NO</v>
      </c>
      <c r="AK147" s="252" t="str">
        <f>IF(ISNUMBER(SEARCH("H", 'Dry_Litterbag Placem_Collection'!$S74)),"YES","NO")</f>
        <v>NO</v>
      </c>
      <c r="AL147" s="252" t="str">
        <f>IF(ISNUMBER(SEARCH("R", 'Dry_Litterbag Placem_Collection'!$S74)),"YES","NO")</f>
        <v>NO</v>
      </c>
    </row>
    <row r="148" spans="2:38">
      <c r="B148" t="str">
        <f>'Final data_for_R_analysis_Dryse'!A74</f>
        <v>Dry</v>
      </c>
      <c r="C148" s="260">
        <f>'Final data_for_R_analysis_Dryse'!B74</f>
        <v>73</v>
      </c>
      <c r="D148" t="s">
        <v>3812</v>
      </c>
      <c r="E148" t="s">
        <v>22</v>
      </c>
      <c r="F148" s="381">
        <v>1</v>
      </c>
      <c r="G148" s="16">
        <f>IF('Dry_Litterbag Placem_Collection'!E75="","",'Dry_Litterbag Placem_Collection'!E75)</f>
        <v>42937</v>
      </c>
      <c r="H148" t="str">
        <f>'Final data_for_R_analysis_Dryse'!K74</f>
        <v>G321</v>
      </c>
      <c r="I148" t="str">
        <f>'Final data_for_R_analysis_Dryse'!K294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7"/>
        <v>1.6681999999999999</v>
      </c>
      <c r="M148" s="237">
        <f>AVERAGE(Ashed_controlls!$K$1:$K$11)</f>
        <v>5.5147656768714146</v>
      </c>
      <c r="N148" s="194">
        <f t="shared" si="13"/>
        <v>1.5762026789784309</v>
      </c>
      <c r="O148" s="194">
        <f t="shared" si="18"/>
        <v>1.9011999999999998</v>
      </c>
      <c r="P148" s="237">
        <f>AVERAGE(Ashed_controlls!$K$12:$K$14)</f>
        <v>2.2816647271287041</v>
      </c>
      <c r="Q148" s="194">
        <f t="shared" si="14"/>
        <v>1.8578209902078289</v>
      </c>
      <c r="R148" s="16">
        <f>IF('Dry_Litterbag Placem_Collection'!G75="","",'Dry_Litterbag Placem_Collection'!G75)</f>
        <v>43006</v>
      </c>
      <c r="S148" s="194" t="str">
        <f>IFERROR(INDEX('Both teabags AfterDry'!$D$3:$D$2000,MATCH(H148,'Both teabags AfterDry'!$A$3:$A$2000,0)),"")</f>
        <v/>
      </c>
      <c r="T148" s="194" t="str">
        <f>IFERROR(INDEX('Both teabags AfterDry'!$D$3:$D$2000,MATCH(I148,'Both teabags AfterDry'!$A$3:$A$2000,0)),"")</f>
        <v/>
      </c>
      <c r="U148" s="194" t="str">
        <f t="shared" si="19"/>
        <v/>
      </c>
      <c r="V148" s="194" t="str">
        <f t="shared" si="20"/>
        <v/>
      </c>
      <c r="W148" s="194" t="str">
        <f>IFERROR(INDEX('Ashed teabags dry'!$K$2:$K$2000,MATCH(H148,'Ashed teabags dry'!$A$2:$A$2000,0)),"")</f>
        <v/>
      </c>
      <c r="X148" s="194" t="str">
        <f>IFERROR(INDEX('Ashed teabags dry'!$K$2:$K$2000,MATCH(I148,'Ashed teabags dry'!$A$2:$A$2000,0)),"")</f>
        <v/>
      </c>
      <c r="Y148" s="194" t="str">
        <f t="shared" si="15"/>
        <v/>
      </c>
      <c r="Z148" s="194" t="str">
        <f t="shared" si="15"/>
        <v/>
      </c>
      <c r="AA148" s="194" t="str">
        <f t="shared" si="21"/>
        <v/>
      </c>
      <c r="AB148" s="194" t="str">
        <f t="shared" si="22"/>
        <v/>
      </c>
      <c r="AC148" s="194" t="str">
        <f t="shared" si="16"/>
        <v/>
      </c>
      <c r="AD148">
        <f t="shared" si="23"/>
        <v>69</v>
      </c>
      <c r="AE148" s="194" t="str">
        <f t="shared" si="24"/>
        <v/>
      </c>
      <c r="AF148" s="194" t="str">
        <f t="shared" si="25"/>
        <v/>
      </c>
      <c r="AG148" s="252" t="str">
        <f>IF(ISNUMBER(SEARCH("C", 'Dry_Litterbag Placem_Collection'!$T75)),"YES","NO")</f>
        <v>NO</v>
      </c>
      <c r="AH148" s="252" t="str">
        <f>IF(ISNUMBER(SEARCH("H", 'Dry_Litterbag Placem_Collection'!$T75)),"YES","NO")</f>
        <v>NO</v>
      </c>
      <c r="AI148" s="252" t="str">
        <f>IF(ISNUMBER(SEARCH("R", 'Dry_Litterbag Placem_Collection'!$T75)),"YES","NO")</f>
        <v>NO</v>
      </c>
      <c r="AJ148" s="252" t="str">
        <f>IF(ISNUMBER(SEARCH("C", 'Dry_Litterbag Placem_Collection'!$S75)),"YES","NO")</f>
        <v>NO</v>
      </c>
      <c r="AK148" s="252" t="str">
        <f>IF(ISNUMBER(SEARCH("H", 'Dry_Litterbag Placem_Collection'!$S75)),"YES","NO")</f>
        <v>NO</v>
      </c>
      <c r="AL148" s="252" t="str">
        <f>IF(ISNUMBER(SEARCH("R", 'Dry_Litterbag Placem_Collection'!$S75)),"YES","NO")</f>
        <v>NO</v>
      </c>
    </row>
    <row r="149" spans="2:38">
      <c r="B149" t="str">
        <f>'Final data_for_R_analysis_Dryse'!A75</f>
        <v>Dry</v>
      </c>
      <c r="C149" s="260">
        <f>'Final data_for_R_analysis_Dryse'!B75</f>
        <v>74</v>
      </c>
      <c r="D149" t="s">
        <v>3812</v>
      </c>
      <c r="E149" t="s">
        <v>22</v>
      </c>
      <c r="F149" s="381">
        <v>2</v>
      </c>
      <c r="G149" s="16">
        <f>IF('Dry_Litterbag Placem_Collection'!E76="","",'Dry_Litterbag Placem_Collection'!E76)</f>
        <v>42937</v>
      </c>
      <c r="H149" t="str">
        <f>'Final data_for_R_analysis_Dryse'!K75</f>
        <v>G329</v>
      </c>
      <c r="I149" t="str">
        <f>'Final data_for_R_analysis_Dryse'!K295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7"/>
        <v>1.7052</v>
      </c>
      <c r="M149" s="237">
        <f>AVERAGE(Ashed_controlls!$K$1:$K$11)</f>
        <v>5.5147656768714146</v>
      </c>
      <c r="N149" s="194">
        <f t="shared" si="13"/>
        <v>1.6111622156779888</v>
      </c>
      <c r="O149" s="194">
        <f t="shared" si="18"/>
        <v>1.8921999999999999</v>
      </c>
      <c r="P149" s="237">
        <f>AVERAGE(Ashed_controlls!$K$12:$K$14)</f>
        <v>2.2816647271287041</v>
      </c>
      <c r="Q149" s="194">
        <f t="shared" si="14"/>
        <v>1.8490263400332705</v>
      </c>
      <c r="R149" s="16">
        <f>IF('Dry_Litterbag Placem_Collection'!G76="","",'Dry_Litterbag Placem_Collection'!G76)</f>
        <v>43006</v>
      </c>
      <c r="S149" s="194">
        <f>IFERROR(INDEX('Both teabags AfterDry'!$D$3:$D$2000,MATCH(H149,'Both teabags AfterDry'!$A$3:$A$2000,0)),"")</f>
        <v>1.7850999999999999</v>
      </c>
      <c r="T149" s="194">
        <f>IFERROR(INDEX('Both teabags AfterDry'!$D$3:$D$2000,MATCH(I149,'Both teabags AfterDry'!$A$3:$A$2000,0)),"")</f>
        <v>1.8925000000000001</v>
      </c>
      <c r="U149" s="194">
        <f t="shared" si="19"/>
        <v>1.6344999999999998</v>
      </c>
      <c r="V149" s="194">
        <f t="shared" si="20"/>
        <v>1.7419</v>
      </c>
      <c r="W149" s="194">
        <f>IFERROR(INDEX('Ashed teabags dry'!$K$2:$K$2000,MATCH(H149,'Ashed teabags dry'!$A$2:$A$2000,0)),"")</f>
        <v>5.4652880354504347</v>
      </c>
      <c r="X149" s="194">
        <f>IFERROR(INDEX('Ashed teabags dry'!$K$2:$K$2000,MATCH(I149,'Ashed teabags dry'!$A$2:$A$2000,0)),"")</f>
        <v>2.7741655830084477</v>
      </c>
      <c r="Y149" s="194">
        <f t="shared" si="15"/>
        <v>1.5451698670605625</v>
      </c>
      <c r="Z149" s="194">
        <f t="shared" si="15"/>
        <v>1.6935768097095758</v>
      </c>
      <c r="AA149" s="194">
        <f t="shared" si="21"/>
        <v>4.0959468869902871E-2</v>
      </c>
      <c r="AB149" s="194">
        <f t="shared" si="22"/>
        <v>2.6852288380268895E-2</v>
      </c>
      <c r="AC149" s="194">
        <f t="shared" si="16"/>
        <v>0.91592898004854939</v>
      </c>
      <c r="AD149">
        <f t="shared" si="23"/>
        <v>69</v>
      </c>
      <c r="AE149" s="194">
        <f t="shared" si="24"/>
        <v>0.95135455003574476</v>
      </c>
      <c r="AF149" s="194" t="str">
        <f t="shared" si="25"/>
        <v/>
      </c>
      <c r="AG149" s="252" t="str">
        <f>IF(ISNUMBER(SEARCH("C", 'Dry_Litterbag Placem_Collection'!$T76)),"YES","NO")</f>
        <v>NO</v>
      </c>
      <c r="AH149" s="252" t="str">
        <f>IF(ISNUMBER(SEARCH("H", 'Dry_Litterbag Placem_Collection'!$T76)),"YES","NO")</f>
        <v>NO</v>
      </c>
      <c r="AI149" s="252" t="str">
        <f>IF(ISNUMBER(SEARCH("R", 'Dry_Litterbag Placem_Collection'!$T76)),"YES","NO")</f>
        <v>NO</v>
      </c>
      <c r="AJ149" s="252" t="str">
        <f>IF(ISNUMBER(SEARCH("C", 'Dry_Litterbag Placem_Collection'!$S76)),"YES","NO")</f>
        <v>NO</v>
      </c>
      <c r="AK149" s="252" t="str">
        <f>IF(ISNUMBER(SEARCH("H", 'Dry_Litterbag Placem_Collection'!$S76)),"YES","NO")</f>
        <v>NO</v>
      </c>
      <c r="AL149" s="252" t="str">
        <f>IF(ISNUMBER(SEARCH("R", 'Dry_Litterbag Placem_Collection'!$S76)),"YES","NO")</f>
        <v>NO</v>
      </c>
    </row>
    <row r="150" spans="2:38">
      <c r="B150" t="str">
        <f>'Final data_for_R_analysis_Dryse'!A76</f>
        <v>Dry</v>
      </c>
      <c r="C150" s="260">
        <f>'Final data_for_R_analysis_Dryse'!B76</f>
        <v>75</v>
      </c>
      <c r="D150" t="s">
        <v>3812</v>
      </c>
      <c r="E150" t="s">
        <v>22</v>
      </c>
      <c r="F150" s="381">
        <v>3</v>
      </c>
      <c r="G150" s="16">
        <f>IF('Dry_Litterbag Placem_Collection'!E77="","",'Dry_Litterbag Placem_Collection'!E77)</f>
        <v>42937</v>
      </c>
      <c r="H150" t="str">
        <f>'Final data_for_R_analysis_Dryse'!K76</f>
        <v>G215</v>
      </c>
      <c r="I150" t="str">
        <f>'Final data_for_R_analysis_Dryse'!K296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7"/>
        <v>1.8081999999999998</v>
      </c>
      <c r="M150" s="237">
        <f>AVERAGE(Ashed_controlls!$K$1:$K$11)</f>
        <v>5.5147656768714146</v>
      </c>
      <c r="N150" s="194">
        <f t="shared" si="13"/>
        <v>1.7084820070308109</v>
      </c>
      <c r="O150" s="194">
        <f t="shared" si="18"/>
        <v>2.0512000000000001</v>
      </c>
      <c r="P150" s="237">
        <f>AVERAGE(Ashed_controlls!$K$12:$K$14)</f>
        <v>2.2816647271287041</v>
      </c>
      <c r="Q150" s="194">
        <f t="shared" si="14"/>
        <v>2.0043984931171361</v>
      </c>
      <c r="R150" s="16">
        <f>IF('Dry_Litterbag Placem_Collection'!G77="","",'Dry_Litterbag Placem_Collection'!G77)</f>
        <v>43006</v>
      </c>
      <c r="S150" s="194">
        <f>IFERROR(INDEX('Both teabags AfterDry'!$D$3:$D$2000,MATCH(H150,'Both teabags AfterDry'!$A$3:$A$2000,0)),"")</f>
        <v>1.9146000000000001</v>
      </c>
      <c r="T150" s="194">
        <f>IFERROR(INDEX('Both teabags AfterDry'!$D$3:$D$2000,MATCH(I150,'Both teabags AfterDry'!$A$3:$A$2000,0)),"")</f>
        <v>2.0405000000000002</v>
      </c>
      <c r="U150" s="194">
        <f t="shared" si="19"/>
        <v>1.764</v>
      </c>
      <c r="V150" s="194">
        <f t="shared" si="20"/>
        <v>1.8899000000000001</v>
      </c>
      <c r="W150" s="194">
        <f>IFERROR(INDEX('Ashed teabags dry'!$K$2:$K$2000,MATCH(H150,'Ashed teabags dry'!$A$2:$A$2000,0)),"")</f>
        <v>5.0223769269016794</v>
      </c>
      <c r="X150" s="194">
        <f>IFERROR(INDEX('Ashed teabags dry'!$K$2:$K$2000,MATCH(I150,'Ashed teabags dry'!$A$2:$A$2000,0)),"")</f>
        <v>3.2504780114727398</v>
      </c>
      <c r="Y150" s="194">
        <f t="shared" si="15"/>
        <v>1.6754052710094545</v>
      </c>
      <c r="Z150" s="194">
        <f t="shared" si="15"/>
        <v>1.8284692160611768</v>
      </c>
      <c r="AA150" s="194">
        <f t="shared" si="21"/>
        <v>1.9360306918795644E-2</v>
      </c>
      <c r="AB150" s="194">
        <f t="shared" si="22"/>
        <v>1.2692267718735375E-2</v>
      </c>
      <c r="AC150" s="194">
        <f t="shared" si="16"/>
        <v>0.91222839287692581</v>
      </c>
      <c r="AD150">
        <f t="shared" si="23"/>
        <v>69</v>
      </c>
      <c r="AE150" s="194">
        <f t="shared" si="24"/>
        <v>0.97700676137910258</v>
      </c>
      <c r="AF150" s="194" t="str">
        <f t="shared" si="25"/>
        <v/>
      </c>
      <c r="AG150" s="252" t="str">
        <f>IF(ISNUMBER(SEARCH("C", 'Dry_Litterbag Placem_Collection'!$T77)),"YES","NO")</f>
        <v>NO</v>
      </c>
      <c r="AH150" s="252" t="str">
        <f>IF(ISNUMBER(SEARCH("H", 'Dry_Litterbag Placem_Collection'!$T77)),"YES","NO")</f>
        <v>NO</v>
      </c>
      <c r="AI150" s="252" t="str">
        <f>IF(ISNUMBER(SEARCH("R", 'Dry_Litterbag Placem_Collection'!$T77)),"YES","NO")</f>
        <v>NO</v>
      </c>
      <c r="AJ150" s="252" t="str">
        <f>IF(ISNUMBER(SEARCH("C", 'Dry_Litterbag Placem_Collection'!$S77)),"YES","NO")</f>
        <v>NO</v>
      </c>
      <c r="AK150" s="252" t="str">
        <f>IF(ISNUMBER(SEARCH("H", 'Dry_Litterbag Placem_Collection'!$S77)),"YES","NO")</f>
        <v>YES</v>
      </c>
      <c r="AL150" s="252" t="str">
        <f>IF(ISNUMBER(SEARCH("R", 'Dry_Litterbag Placem_Collection'!$S77)),"YES","NO")</f>
        <v>NO</v>
      </c>
    </row>
    <row r="151" spans="2:38">
      <c r="B151" t="str">
        <f>'Final data_for_R_analysis_Dryse'!A77</f>
        <v>Dry</v>
      </c>
      <c r="C151" s="260">
        <f>'Final data_for_R_analysis_Dryse'!B77</f>
        <v>76</v>
      </c>
      <c r="D151" t="s">
        <v>3812</v>
      </c>
      <c r="E151" t="s">
        <v>22</v>
      </c>
      <c r="F151" s="382">
        <v>4</v>
      </c>
      <c r="G151" s="16">
        <f>IF('Dry_Litterbag Placem_Collection'!E78="","",'Dry_Litterbag Placem_Collection'!E78)</f>
        <v>42937</v>
      </c>
      <c r="H151" t="str">
        <f>'Final data_for_R_analysis_Dryse'!K77</f>
        <v>G60</v>
      </c>
      <c r="I151" t="str">
        <f>'Final data_for_R_analysis_Dryse'!K297</f>
        <v>R770</v>
      </c>
      <c r="J151">
        <f>IFERROR(INDEX('Green_rooibos initial weight'!$C$5:$C$2000,MATCH(H151, 'Green_rooibos initial weight'!$A$5:$A$2000,0)),"")</f>
        <v>2.1230000000000002</v>
      </c>
      <c r="K151">
        <f>IFERROR(INDEX('Green_rooibos initial weight'!$C$5:$C$2000,MATCH(I151, 'Green_rooibos initial weight'!$A$5:$A$2000,0)),"")</f>
        <v>2.206</v>
      </c>
      <c r="L151" s="194">
        <f t="shared" si="17"/>
        <v>1.8732000000000002</v>
      </c>
      <c r="M151" s="237">
        <f>AVERAGE(Ashed_controlls!$K$1:$K$11)</f>
        <v>5.5147656768714146</v>
      </c>
      <c r="N151" s="194">
        <f t="shared" si="13"/>
        <v>1.7698974093408448</v>
      </c>
      <c r="O151" s="194">
        <f t="shared" si="18"/>
        <v>1.9561999999999999</v>
      </c>
      <c r="P151" s="237">
        <f>AVERAGE(Ashed_controlls!$K$12:$K$14)</f>
        <v>2.2816647271287041</v>
      </c>
      <c r="Q151" s="194">
        <f t="shared" si="14"/>
        <v>1.9115660746079082</v>
      </c>
      <c r="R151" s="16">
        <f>IF('Dry_Litterbag Placem_Collection'!G78="","",'Dry_Litterbag Placem_Collection'!G78)</f>
        <v>43006</v>
      </c>
      <c r="S151" s="194">
        <f>IFERROR(INDEX('Both teabags AfterDry'!$D$3:$D$2000,MATCH(H151,'Both teabags AfterDry'!$A$3:$A$2000,0)),"")</f>
        <v>1.9540999999999999</v>
      </c>
      <c r="T151" s="194">
        <f>IFERROR(INDEX('Both teabags AfterDry'!$D$3:$D$2000,MATCH(I151,'Both teabags AfterDry'!$A$3:$A$2000,0)),"")</f>
        <v>1.9444999999999999</v>
      </c>
      <c r="U151" s="194">
        <f t="shared" si="19"/>
        <v>1.8034999999999999</v>
      </c>
      <c r="V151" s="194">
        <f t="shared" si="20"/>
        <v>1.7938999999999998</v>
      </c>
      <c r="W151" s="194">
        <f>IFERROR(INDEX('Ashed teabags dry'!$K$2:$K$2000,MATCH(H151,'Ashed teabags dry'!$A$2:$A$2000,0)),"")</f>
        <v>5.8748403575990409</v>
      </c>
      <c r="X151" s="194">
        <f>IFERROR(INDEX('Ashed teabags dry'!$K$2:$K$2000,MATCH(I151,'Ashed teabags dry'!$A$2:$A$2000,0)),"")</f>
        <v>2.8059990324146233</v>
      </c>
      <c r="Y151" s="194">
        <f t="shared" si="15"/>
        <v>1.6975472541507013</v>
      </c>
      <c r="Z151" s="194">
        <f t="shared" si="15"/>
        <v>1.7435631833575138</v>
      </c>
      <c r="AA151" s="194">
        <f t="shared" si="21"/>
        <v>4.0878163224776221E-2</v>
      </c>
      <c r="AB151" s="194">
        <f t="shared" si="22"/>
        <v>2.6798985867074195E-2</v>
      </c>
      <c r="AC151" s="194">
        <f t="shared" si="16"/>
        <v>0.91211243310809731</v>
      </c>
      <c r="AD151">
        <f t="shared" si="23"/>
        <v>69</v>
      </c>
      <c r="AE151" s="194">
        <f t="shared" si="24"/>
        <v>0.9514511125596482</v>
      </c>
      <c r="AF151" s="194" t="str">
        <f t="shared" si="25"/>
        <v/>
      </c>
      <c r="AG151" s="252" t="str">
        <f>IF(ISNUMBER(SEARCH("C", 'Dry_Litterbag Placem_Collection'!$T78)),"YES","NO")</f>
        <v>NO</v>
      </c>
      <c r="AH151" s="252" t="str">
        <f>IF(ISNUMBER(SEARCH("H", 'Dry_Litterbag Placem_Collection'!$T78)),"YES","NO")</f>
        <v>NO</v>
      </c>
      <c r="AI151" s="252" t="str">
        <f>IF(ISNUMBER(SEARCH("R", 'Dry_Litterbag Placem_Collection'!$T78)),"YES","NO")</f>
        <v>NO</v>
      </c>
      <c r="AJ151" s="252" t="str">
        <f>IF(ISNUMBER(SEARCH("C", 'Dry_Litterbag Placem_Collection'!$S78)),"YES","NO")</f>
        <v>NO</v>
      </c>
      <c r="AK151" s="252" t="str">
        <f>IF(ISNUMBER(SEARCH("H", 'Dry_Litterbag Placem_Collection'!$S78)),"YES","NO")</f>
        <v>NO</v>
      </c>
      <c r="AL151" s="252" t="str">
        <f>IF(ISNUMBER(SEARCH("R", 'Dry_Litterbag Placem_Collection'!$S78)),"YES","NO")</f>
        <v>NO</v>
      </c>
    </row>
    <row r="152" spans="2:38">
      <c r="B152" t="str">
        <f>'Final data_for_R_analysis_Dryse'!A78</f>
        <v>Dry</v>
      </c>
      <c r="C152" s="260">
        <f>'Final data_for_R_analysis_Dryse'!B78</f>
        <v>77</v>
      </c>
      <c r="D152" t="s">
        <v>3812</v>
      </c>
      <c r="E152" t="s">
        <v>22</v>
      </c>
      <c r="F152" s="382">
        <v>5</v>
      </c>
      <c r="G152" s="16" t="str">
        <f>IF('Dry_Litterbag Placem_Collection'!E79="","",'Dry_Litterbag Placem_Collection'!E79)</f>
        <v/>
      </c>
      <c r="H152" t="str">
        <f>'Final data_for_R_analysis_Dryse'!K78</f>
        <v/>
      </c>
      <c r="I152" t="str">
        <f>'Final data_for_R_analysis_Dryse'!K298</f>
        <v/>
      </c>
      <c r="J152" t="str">
        <f>IFERROR(INDEX('Green_rooibos initial weight'!$C$5:$C$2000,MATCH(H152, 'Green_rooibos initial weight'!$A$5:$A$2000,0)),"")</f>
        <v/>
      </c>
      <c r="K152" t="str">
        <f>IFERROR(INDEX('Green_rooibos initial weight'!$C$5:$C$2000,MATCH(I152, 'Green_rooibos initial weight'!$A$5:$A$2000,0)),"")</f>
        <v/>
      </c>
      <c r="L152" s="194" t="str">
        <f t="shared" si="17"/>
        <v/>
      </c>
      <c r="M152" s="237">
        <f>AVERAGE(Ashed_controlls!$K$1:$K$11)</f>
        <v>5.5147656768714146</v>
      </c>
      <c r="N152" s="194" t="str">
        <f t="shared" si="13"/>
        <v/>
      </c>
      <c r="O152" s="194" t="str">
        <f t="shared" si="18"/>
        <v/>
      </c>
      <c r="P152" s="237">
        <f>AVERAGE(Ashed_controlls!$K$12:$K$14)</f>
        <v>2.2816647271287041</v>
      </c>
      <c r="Q152" s="194" t="str">
        <f t="shared" si="14"/>
        <v/>
      </c>
      <c r="R152" s="16" t="str">
        <f>IF('Dry_Litterbag Placem_Collection'!G79="","",'Dry_Litterbag Placem_Collection'!G79)</f>
        <v/>
      </c>
      <c r="S152" s="194" t="str">
        <f>IFERROR(INDEX('Both teabags AfterDry'!$D$3:$D$2000,MATCH(H152,'Both teabags AfterDry'!$A$3:$A$2000,0)),"")</f>
        <v/>
      </c>
      <c r="T152" s="194" t="str">
        <f>IFERROR(INDEX('Both teabags AfterDry'!$D$3:$D$2000,MATCH(I152,'Both teabags AfterDry'!$A$3:$A$2000,0)),"")</f>
        <v/>
      </c>
      <c r="U152" s="194" t="str">
        <f t="shared" si="19"/>
        <v/>
      </c>
      <c r="V152" s="194" t="str">
        <f t="shared" si="20"/>
        <v/>
      </c>
      <c r="W152" s="194" t="str">
        <f>IFERROR(INDEX('Ashed teabags dry'!$K$2:$K$2000,MATCH(H152,'Ashed teabags dry'!$A$2:$A$2000,0)),"")</f>
        <v/>
      </c>
      <c r="X152" s="194" t="str">
        <f>IFERROR(INDEX('Ashed teabags dry'!$K$2:$K$2000,MATCH(I152,'Ashed teabags dry'!$A$2:$A$2000,0)),"")</f>
        <v/>
      </c>
      <c r="Y152" s="194" t="str">
        <f t="shared" si="15"/>
        <v/>
      </c>
      <c r="Z152" s="194" t="str">
        <f t="shared" si="15"/>
        <v/>
      </c>
      <c r="AA152" s="194" t="str">
        <f t="shared" si="21"/>
        <v/>
      </c>
      <c r="AB152" s="194" t="str">
        <f t="shared" si="22"/>
        <v/>
      </c>
      <c r="AC152" s="194" t="str">
        <f t="shared" si="16"/>
        <v/>
      </c>
      <c r="AD152" t="str">
        <f t="shared" si="23"/>
        <v/>
      </c>
      <c r="AE152" s="194" t="str">
        <f t="shared" si="24"/>
        <v/>
      </c>
      <c r="AF152" s="194" t="str">
        <f t="shared" si="25"/>
        <v/>
      </c>
      <c r="AG152" s="252" t="str">
        <f>IF(ISNUMBER(SEARCH("C", 'Dry_Litterbag Placem_Collection'!$T79)),"YES","NO")</f>
        <v>NO</v>
      </c>
      <c r="AH152" s="252" t="str">
        <f>IF(ISNUMBER(SEARCH("H", 'Dry_Litterbag Placem_Collection'!$T79)),"YES","NO")</f>
        <v>NO</v>
      </c>
      <c r="AI152" s="252" t="str">
        <f>IF(ISNUMBER(SEARCH("R", 'Dry_Litterbag Placem_Collection'!$T79)),"YES","NO")</f>
        <v>NO</v>
      </c>
      <c r="AJ152" s="252" t="str">
        <f>IF(ISNUMBER(SEARCH("C", 'Dry_Litterbag Placem_Collection'!$S79)),"YES","NO")</f>
        <v>NO</v>
      </c>
      <c r="AK152" s="252" t="str">
        <f>IF(ISNUMBER(SEARCH("H", 'Dry_Litterbag Placem_Collection'!$S79)),"YES","NO")</f>
        <v>NO</v>
      </c>
      <c r="AL152" s="252" t="str">
        <f>IF(ISNUMBER(SEARCH("R", 'Dry_Litterbag Placem_Collection'!$S79)),"YES","NO")</f>
        <v>NO</v>
      </c>
    </row>
    <row r="153" spans="2:38">
      <c r="B153" t="str">
        <f>'Final data_for_R_analysis_Dryse'!A79</f>
        <v>Dry</v>
      </c>
      <c r="C153" s="260">
        <f>'Final data_for_R_analysis_Dryse'!B79</f>
        <v>78</v>
      </c>
      <c r="D153" t="s">
        <v>3812</v>
      </c>
      <c r="E153" t="s">
        <v>22</v>
      </c>
      <c r="F153" s="382">
        <v>6</v>
      </c>
      <c r="G153" s="16">
        <f>IF('Dry_Litterbag Placem_Collection'!E80="","",'Dry_Litterbag Placem_Collection'!E80)</f>
        <v>42937</v>
      </c>
      <c r="H153" t="str">
        <f>'Final data_for_R_analysis_Dryse'!K79</f>
        <v>G97</v>
      </c>
      <c r="I153" t="str">
        <f>'Final data_for_R_analysis_Dryse'!K299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7"/>
        <v>1.8462000000000001</v>
      </c>
      <c r="M153" s="237">
        <f>AVERAGE(Ashed_controlls!$K$1:$K$11)</f>
        <v>5.5147656768714146</v>
      </c>
      <c r="N153" s="194">
        <f t="shared" si="13"/>
        <v>1.7443863960735999</v>
      </c>
      <c r="O153" s="194">
        <f t="shared" si="18"/>
        <v>1.8891999999999998</v>
      </c>
      <c r="P153" s="237">
        <f>AVERAGE(Ashed_controlls!$K$12:$K$14)</f>
        <v>2.2816647271287041</v>
      </c>
      <c r="Q153" s="194">
        <f t="shared" si="14"/>
        <v>1.8460947899750844</v>
      </c>
      <c r="R153" s="16">
        <f>IF('Dry_Litterbag Placem_Collection'!G80="","",'Dry_Litterbag Placem_Collection'!G80)</f>
        <v>43006</v>
      </c>
      <c r="S153" s="194">
        <f>IFERROR(INDEX('Both teabags AfterDry'!$D$3:$D$2000,MATCH(H153,'Both teabags AfterDry'!$A$3:$A$2000,0)),"")</f>
        <v>1.7647999999999999</v>
      </c>
      <c r="T153" s="194">
        <f>IFERROR(INDEX('Both teabags AfterDry'!$D$3:$D$2000,MATCH(I153,'Both teabags AfterDry'!$A$3:$A$2000,0)),"")</f>
        <v>1.9605999999999999</v>
      </c>
      <c r="U153" s="194">
        <f t="shared" si="19"/>
        <v>1.6141999999999999</v>
      </c>
      <c r="V153" s="194">
        <f t="shared" si="20"/>
        <v>1.8099999999999998</v>
      </c>
      <c r="W153" s="194">
        <f>IFERROR(INDEX('Ashed teabags dry'!$K$2:$K$2000,MATCH(H153,'Ashed teabags dry'!$A$2:$A$2000,0)),"")</f>
        <v>5.6475170399223327</v>
      </c>
      <c r="X153" s="194">
        <f>IFERROR(INDEX('Ashed teabags dry'!$K$2:$K$2000,MATCH(I153,'Ashed teabags dry'!$A$2:$A$2000,0)),"")</f>
        <v>2.2848808945063115</v>
      </c>
      <c r="Y153" s="194">
        <f t="shared" si="15"/>
        <v>1.5230377799415735</v>
      </c>
      <c r="Z153" s="194">
        <f t="shared" si="15"/>
        <v>1.7686436558094356</v>
      </c>
      <c r="AA153" s="194">
        <f t="shared" si="21"/>
        <v>0.12689196420601245</v>
      </c>
      <c r="AB153" s="194">
        <f t="shared" si="22"/>
        <v>8.3188081047172097E-2</v>
      </c>
      <c r="AC153" s="194">
        <f t="shared" si="16"/>
        <v>0.95804596026908562</v>
      </c>
      <c r="AD153">
        <f t="shared" si="23"/>
        <v>69</v>
      </c>
      <c r="AE153" s="194">
        <f t="shared" si="24"/>
        <v>0.84929695462468824</v>
      </c>
      <c r="AF153" s="194">
        <f t="shared" si="25"/>
        <v>1.0171593046052297E-2</v>
      </c>
      <c r="AG153" s="252" t="str">
        <f>IF(ISNUMBER(SEARCH("C", 'Dry_Litterbag Placem_Collection'!$T80)),"YES","NO")</f>
        <v>NO</v>
      </c>
      <c r="AH153" s="252" t="str">
        <f>IF(ISNUMBER(SEARCH("H", 'Dry_Litterbag Placem_Collection'!$T80)),"YES","NO")</f>
        <v>YES</v>
      </c>
      <c r="AI153" s="252" t="str">
        <f>IF(ISNUMBER(SEARCH("R", 'Dry_Litterbag Placem_Collection'!$T80)),"YES","NO")</f>
        <v>NO</v>
      </c>
      <c r="AJ153" s="252" t="str">
        <f>IF(ISNUMBER(SEARCH("C", 'Dry_Litterbag Placem_Collection'!$S80)),"YES","NO")</f>
        <v>NO</v>
      </c>
      <c r="AK153" s="252" t="str">
        <f>IF(ISNUMBER(SEARCH("H", 'Dry_Litterbag Placem_Collection'!$S80)),"YES","NO")</f>
        <v>YES</v>
      </c>
      <c r="AL153" s="252" t="str">
        <f>IF(ISNUMBER(SEARCH("R", 'Dry_Litterbag Placem_Collection'!$S80)),"YES","NO")</f>
        <v>NO</v>
      </c>
    </row>
    <row r="154" spans="2:38">
      <c r="B154" t="str">
        <f>'Final data_for_R_analysis_Dryse'!A80</f>
        <v>Dry</v>
      </c>
      <c r="C154" s="260">
        <f>'Final data_for_R_analysis_Dryse'!B80</f>
        <v>79</v>
      </c>
      <c r="D154" t="s">
        <v>3812</v>
      </c>
      <c r="E154" t="s">
        <v>22</v>
      </c>
      <c r="F154" s="382">
        <v>7</v>
      </c>
      <c r="G154" s="16">
        <f>IF('Dry_Litterbag Placem_Collection'!E81="","",'Dry_Litterbag Placem_Collection'!E81)</f>
        <v>42937</v>
      </c>
      <c r="H154" t="str">
        <f>'Final data_for_R_analysis_Dryse'!K80</f>
        <v>G130</v>
      </c>
      <c r="I154" t="str">
        <f>'Final data_for_R_analysis_Dryse'!K300</f>
        <v>R270</v>
      </c>
      <c r="J154">
        <f>IFERROR(INDEX('Green_rooibos initial weight'!$C$5:$C$2000,MATCH(H154, 'Green_rooibos initial weight'!$A$5:$A$2000,0)),"")</f>
        <v>1.976</v>
      </c>
      <c r="K154">
        <f>IFERROR(INDEX('Green_rooibos initial weight'!$C$5:$C$2000,MATCH(I154, 'Green_rooibos initial weight'!$A$5:$A$2000,0)),"")</f>
        <v>2.2170000000000001</v>
      </c>
      <c r="L154" s="194">
        <f t="shared" si="17"/>
        <v>1.7262</v>
      </c>
      <c r="M154" s="237">
        <f>AVERAGE(Ashed_controlls!$K$1:$K$11)</f>
        <v>5.5147656768714146</v>
      </c>
      <c r="N154" s="194">
        <f t="shared" si="13"/>
        <v>1.6310041148858456</v>
      </c>
      <c r="O154" s="194">
        <f t="shared" si="18"/>
        <v>1.9672000000000001</v>
      </c>
      <c r="P154" s="237">
        <f>AVERAGE(Ashed_controlls!$K$12:$K$14)</f>
        <v>2.2816647271287041</v>
      </c>
      <c r="Q154" s="194">
        <f t="shared" si="14"/>
        <v>1.9223150914879241</v>
      </c>
      <c r="R154" s="16">
        <f>IF('Dry_Litterbag Placem_Collection'!G81="","",'Dry_Litterbag Placem_Collection'!G81)</f>
        <v>43006</v>
      </c>
      <c r="S154" s="194">
        <f>IFERROR(INDEX('Both teabags AfterDry'!$D$3:$D$2000,MATCH(H154,'Both teabags AfterDry'!$A$3:$A$2000,0)),"")</f>
        <v>1.8545</v>
      </c>
      <c r="T154" s="194">
        <f>IFERROR(INDEX('Both teabags AfterDry'!$D$3:$D$2000,MATCH(I154,'Both teabags AfterDry'!$A$3:$A$2000,0)),"")</f>
        <v>1.9970000000000001</v>
      </c>
      <c r="U154" s="194">
        <f t="shared" si="19"/>
        <v>1.7039</v>
      </c>
      <c r="V154" s="194">
        <f t="shared" si="20"/>
        <v>1.8464</v>
      </c>
      <c r="W154" s="194">
        <f>IFERROR(INDEX('Ashed teabags dry'!$K$2:$K$2000,MATCH(H154,'Ashed teabags dry'!$A$2:$A$2000,0)),"")</f>
        <v>5.8363970588233842</v>
      </c>
      <c r="X154" s="194">
        <f>IFERROR(INDEX('Ashed teabags dry'!$K$2:$K$2000,MATCH(I154,'Ashed teabags dry'!$A$2:$A$2000,0)),"")</f>
        <v>2.6437847866422564</v>
      </c>
      <c r="Y154" s="194">
        <f t="shared" si="15"/>
        <v>1.6044536305147084</v>
      </c>
      <c r="Z154" s="194">
        <f t="shared" si="15"/>
        <v>1.7975851576994375</v>
      </c>
      <c r="AA154" s="194">
        <f t="shared" si="21"/>
        <v>1.627861274463771E-2</v>
      </c>
      <c r="AB154" s="194">
        <f t="shared" si="22"/>
        <v>1.0671964649691232E-2</v>
      </c>
      <c r="AC154" s="194">
        <f t="shared" si="16"/>
        <v>0.93511472997283585</v>
      </c>
      <c r="AD154">
        <f t="shared" si="23"/>
        <v>69</v>
      </c>
      <c r="AE154" s="194">
        <f t="shared" si="24"/>
        <v>0.9806667307070811</v>
      </c>
      <c r="AF154" s="194" t="str">
        <f t="shared" si="25"/>
        <v/>
      </c>
      <c r="AG154" s="252" t="str">
        <f>IF(ISNUMBER(SEARCH("C", 'Dry_Litterbag Placem_Collection'!$T81)),"YES","NO")</f>
        <v>NO</v>
      </c>
      <c r="AH154" s="252" t="str">
        <f>IF(ISNUMBER(SEARCH("H", 'Dry_Litterbag Placem_Collection'!$T81)),"YES","NO")</f>
        <v>NO</v>
      </c>
      <c r="AI154" s="252" t="str">
        <f>IF(ISNUMBER(SEARCH("R", 'Dry_Litterbag Placem_Collection'!$T81)),"YES","NO")</f>
        <v>NO</v>
      </c>
      <c r="AJ154" s="252" t="str">
        <f>IF(ISNUMBER(SEARCH("C", 'Dry_Litterbag Placem_Collection'!$S81)),"YES","NO")</f>
        <v>NO</v>
      </c>
      <c r="AK154" s="252" t="str">
        <f>IF(ISNUMBER(SEARCH("H", 'Dry_Litterbag Placem_Collection'!$S81)),"YES","NO")</f>
        <v>NO</v>
      </c>
      <c r="AL154" s="252" t="str">
        <f>IF(ISNUMBER(SEARCH("R", 'Dry_Litterbag Placem_Collection'!$S81)),"YES","NO")</f>
        <v>NO</v>
      </c>
    </row>
    <row r="155" spans="2:38">
      <c r="B155" t="str">
        <f>'Final data_for_R_analysis_Dryse'!A81</f>
        <v>Dry</v>
      </c>
      <c r="C155" s="260">
        <f>'Final data_for_R_analysis_Dryse'!B81</f>
        <v>80</v>
      </c>
      <c r="D155" t="s">
        <v>3812</v>
      </c>
      <c r="E155" t="s">
        <v>22</v>
      </c>
      <c r="F155" s="382">
        <v>8</v>
      </c>
      <c r="G155" s="16">
        <f>IF('Dry_Litterbag Placem_Collection'!E82="","",'Dry_Litterbag Placem_Collection'!E82)</f>
        <v>42937</v>
      </c>
      <c r="H155" t="str">
        <f>'Final data_for_R_analysis_Dryse'!K81</f>
        <v>G24</v>
      </c>
      <c r="I155" t="str">
        <f>'Final data_for_R_analysis_Dryse'!K301</f>
        <v>R726</v>
      </c>
      <c r="J155">
        <f>IFERROR(INDEX('Green_rooibos initial weight'!$C$5:$C$2000,MATCH(H155, 'Green_rooibos initial weight'!$A$5:$A$2000,0)),"")</f>
        <v>2.09</v>
      </c>
      <c r="K155">
        <f>IFERROR(INDEX('Green_rooibos initial weight'!$C$5:$C$2000,MATCH(I155, 'Green_rooibos initial weight'!$A$5:$A$2000,0)),"")</f>
        <v>2.2810000000000001</v>
      </c>
      <c r="L155" s="194">
        <f t="shared" si="17"/>
        <v>1.8401999999999998</v>
      </c>
      <c r="M155" s="237">
        <f>AVERAGE(Ashed_controlls!$K$1:$K$11)</f>
        <v>5.5147656768714146</v>
      </c>
      <c r="N155" s="194">
        <f t="shared" si="13"/>
        <v>1.7387172820142121</v>
      </c>
      <c r="O155" s="194">
        <f t="shared" si="18"/>
        <v>2.0312000000000001</v>
      </c>
      <c r="P155" s="237">
        <f>AVERAGE(Ashed_controlls!$K$12:$K$14)</f>
        <v>2.2816647271287041</v>
      </c>
      <c r="Q155" s="194">
        <f t="shared" si="14"/>
        <v>1.9848548260625618</v>
      </c>
      <c r="R155" s="16">
        <f>IF('Dry_Litterbag Placem_Collection'!G82="","",'Dry_Litterbag Placem_Collection'!G82)</f>
        <v>43006</v>
      </c>
      <c r="S155" s="194">
        <f>IFERROR(INDEX('Both teabags AfterDry'!$D$3:$D$2000,MATCH(H155,'Both teabags AfterDry'!$A$3:$A$2000,0)),"")</f>
        <v>1.9084000000000001</v>
      </c>
      <c r="T155" s="194">
        <f>IFERROR(INDEX('Both teabags AfterDry'!$D$3:$D$2000,MATCH(I155,'Both teabags AfterDry'!$A$3:$A$2000,0)),"")</f>
        <v>1.9471000000000001</v>
      </c>
      <c r="U155" s="194">
        <f t="shared" si="19"/>
        <v>1.7578</v>
      </c>
      <c r="V155" s="194">
        <f t="shared" si="20"/>
        <v>1.7965</v>
      </c>
      <c r="W155" s="194">
        <f>IFERROR(INDEX('Ashed teabags dry'!$K$2:$K$2000,MATCH(H155,'Ashed teabags dry'!$A$2:$A$2000,0)),"")</f>
        <v>5.4078826764434664</v>
      </c>
      <c r="X155" s="194">
        <f>IFERROR(INDEX('Ashed teabags dry'!$K$2:$K$2000,MATCH(I155,'Ashed teabags dry'!$A$2:$A$2000,0)),"")</f>
        <v>2.8653295128930178</v>
      </c>
      <c r="Y155" s="194">
        <f t="shared" si="15"/>
        <v>1.6627402383134768</v>
      </c>
      <c r="Z155" s="194">
        <f t="shared" si="15"/>
        <v>1.7450243553008769</v>
      </c>
      <c r="AA155" s="194">
        <f t="shared" si="21"/>
        <v>4.3697180954410109E-2</v>
      </c>
      <c r="AB155" s="194">
        <f t="shared" si="22"/>
        <v>2.8647083000990968E-2</v>
      </c>
      <c r="AC155" s="194">
        <f t="shared" si="16"/>
        <v>0.87916976717262163</v>
      </c>
      <c r="AD155">
        <f t="shared" si="23"/>
        <v>69</v>
      </c>
      <c r="AE155" s="194">
        <f t="shared" si="24"/>
        <v>0.94810311050545115</v>
      </c>
      <c r="AF155" s="194" t="str">
        <f t="shared" si="25"/>
        <v/>
      </c>
      <c r="AG155" s="252" t="str">
        <f>IF(ISNUMBER(SEARCH("C", 'Dry_Litterbag Placem_Collection'!$T82)),"YES","NO")</f>
        <v>NO</v>
      </c>
      <c r="AH155" s="252" t="str">
        <f>IF(ISNUMBER(SEARCH("H", 'Dry_Litterbag Placem_Collection'!$T82)),"YES","NO")</f>
        <v>NO</v>
      </c>
      <c r="AI155" s="252" t="str">
        <f>IF(ISNUMBER(SEARCH("R", 'Dry_Litterbag Placem_Collection'!$T82)),"YES","NO")</f>
        <v>NO</v>
      </c>
      <c r="AJ155" s="252" t="str">
        <f>IF(ISNUMBER(SEARCH("C", 'Dry_Litterbag Placem_Collection'!$S82)),"YES","NO")</f>
        <v>NO</v>
      </c>
      <c r="AK155" s="252" t="str">
        <f>IF(ISNUMBER(SEARCH("H", 'Dry_Litterbag Placem_Collection'!$S82)),"YES","NO")</f>
        <v>NO</v>
      </c>
      <c r="AL155" s="252" t="str">
        <f>IF(ISNUMBER(SEARCH("R", 'Dry_Litterbag Placem_Collection'!$S82)),"YES","NO")</f>
        <v>NO</v>
      </c>
    </row>
    <row r="156" spans="2:38">
      <c r="B156" t="str">
        <f>'Final data_for_R_analysis_Dryse'!A82</f>
        <v>Dry</v>
      </c>
      <c r="C156" s="260">
        <f>'Final data_for_R_analysis_Dryse'!B82</f>
        <v>81</v>
      </c>
      <c r="D156" t="s">
        <v>3813</v>
      </c>
      <c r="E156" t="s">
        <v>22</v>
      </c>
      <c r="F156" s="381">
        <v>1</v>
      </c>
      <c r="G156" s="16">
        <f>IF('Dry_Litterbag Placem_Collection'!E83="","",'Dry_Litterbag Placem_Collection'!E83)</f>
        <v>42937</v>
      </c>
      <c r="H156" t="str">
        <f>'Final data_for_R_analysis_Dryse'!K82</f>
        <v>G312</v>
      </c>
      <c r="I156" t="str">
        <f>'Final data_for_R_analysis_Dryse'!K302</f>
        <v>R739</v>
      </c>
      <c r="J156">
        <f>IFERROR(INDEX('Green_rooibos initial weight'!$C$5:$C$2000,MATCH(H156, 'Green_rooibos initial weight'!$A$5:$A$2000,0)),"")</f>
        <v>2.0179999999999998</v>
      </c>
      <c r="K156">
        <f>IFERROR(INDEX('Green_rooibos initial weight'!$C$5:$C$2000,MATCH(I156, 'Green_rooibos initial weight'!$A$5:$A$2000,0)),"")</f>
        <v>2.222</v>
      </c>
      <c r="L156" s="194">
        <f t="shared" si="17"/>
        <v>1.7681999999999998</v>
      </c>
      <c r="M156" s="237">
        <f>AVERAGE(Ashed_controlls!$K$1:$K$11)</f>
        <v>5.5147656768714146</v>
      </c>
      <c r="N156" s="194">
        <f t="shared" si="13"/>
        <v>1.6706879133015595</v>
      </c>
      <c r="O156" s="194">
        <f t="shared" si="18"/>
        <v>1.9722</v>
      </c>
      <c r="P156" s="237">
        <f>AVERAGE(Ashed_controlls!$K$12:$K$14)</f>
        <v>2.2816647271287041</v>
      </c>
      <c r="Q156" s="194">
        <f t="shared" si="14"/>
        <v>1.9272010082515676</v>
      </c>
      <c r="R156" s="16">
        <f>IF('Dry_Litterbag Placem_Collection'!G83="","",'Dry_Litterbag Placem_Collection'!G83)</f>
        <v>43006</v>
      </c>
      <c r="S156" s="194">
        <f>IFERROR(INDEX('Both teabags AfterDry'!$D$3:$D$2000,MATCH(H156,'Both teabags AfterDry'!$A$3:$A$2000,0)),"")</f>
        <v>1.7978000000000001</v>
      </c>
      <c r="T156" s="194">
        <f>IFERROR(INDEX('Both teabags AfterDry'!$D$3:$D$2000,MATCH(I156,'Both teabags AfterDry'!$A$3:$A$2000,0)),"")</f>
        <v>1.9457</v>
      </c>
      <c r="U156" s="194">
        <f t="shared" si="19"/>
        <v>1.6472</v>
      </c>
      <c r="V156" s="194">
        <f t="shared" si="20"/>
        <v>1.7950999999999999</v>
      </c>
      <c r="W156" s="194">
        <f>IFERROR(INDEX('Ashed teabags dry'!$K$2:$K$2000,MATCH(H156,'Ashed teabags dry'!$A$2:$A$2000,0)),"")</f>
        <v>5.5148853099064077</v>
      </c>
      <c r="X156" s="194">
        <f>IFERROR(INDEX('Ashed teabags dry'!$K$2:$K$2000,MATCH(I156,'Ashed teabags dry'!$A$2:$A$2000,0)),"")</f>
        <v>2.6627218934911183</v>
      </c>
      <c r="Y156" s="194">
        <f t="shared" si="15"/>
        <v>1.5563588091752216</v>
      </c>
      <c r="Z156" s="194">
        <f t="shared" si="15"/>
        <v>1.7473014792899408</v>
      </c>
      <c r="AA156" s="194">
        <f t="shared" si="21"/>
        <v>6.8432352455584877E-2</v>
      </c>
      <c r="AB156" s="194">
        <f t="shared" si="22"/>
        <v>4.486301491149982E-2</v>
      </c>
      <c r="AC156" s="194">
        <f t="shared" si="16"/>
        <v>0.90665243106901516</v>
      </c>
      <c r="AD156">
        <f t="shared" si="23"/>
        <v>69</v>
      </c>
      <c r="AE156" s="194">
        <f t="shared" si="24"/>
        <v>0.9187264222617757</v>
      </c>
      <c r="AF156" s="194" t="str">
        <f t="shared" si="25"/>
        <v/>
      </c>
      <c r="AG156" s="252" t="str">
        <f>IF(ISNUMBER(SEARCH("C", 'Dry_Litterbag Placem_Collection'!$T83)),"YES","NO")</f>
        <v>NO</v>
      </c>
      <c r="AH156" s="252" t="str">
        <f>IF(ISNUMBER(SEARCH("H", 'Dry_Litterbag Placem_Collection'!$T83)),"YES","NO")</f>
        <v>NO</v>
      </c>
      <c r="AI156" s="252" t="str">
        <f>IF(ISNUMBER(SEARCH("R", 'Dry_Litterbag Placem_Collection'!$T83)),"YES","NO")</f>
        <v>NO</v>
      </c>
      <c r="AJ156" s="252" t="str">
        <f>IF(ISNUMBER(SEARCH("C", 'Dry_Litterbag Placem_Collection'!$S83)),"YES","NO")</f>
        <v>NO</v>
      </c>
      <c r="AK156" s="252" t="str">
        <f>IF(ISNUMBER(SEARCH("H", 'Dry_Litterbag Placem_Collection'!$S83)),"YES","NO")</f>
        <v>NO</v>
      </c>
      <c r="AL156" s="252" t="str">
        <f>IF(ISNUMBER(SEARCH("R", 'Dry_Litterbag Placem_Collection'!$S83)),"YES","NO")</f>
        <v>NO</v>
      </c>
    </row>
    <row r="157" spans="2:38">
      <c r="B157" t="str">
        <f>'Final data_for_R_analysis_Dryse'!A83</f>
        <v>Dry</v>
      </c>
      <c r="C157" s="260">
        <f>'Final data_for_R_analysis_Dryse'!B83</f>
        <v>82</v>
      </c>
      <c r="D157" t="s">
        <v>3813</v>
      </c>
      <c r="E157" t="s">
        <v>22</v>
      </c>
      <c r="F157" s="381">
        <v>2</v>
      </c>
      <c r="G157" s="16">
        <f>IF('Dry_Litterbag Placem_Collection'!E84="","",'Dry_Litterbag Placem_Collection'!E84)</f>
        <v>42937</v>
      </c>
      <c r="H157" t="str">
        <f>'Final data_for_R_analysis_Dryse'!K83</f>
        <v>G356</v>
      </c>
      <c r="I157" t="str">
        <f>'Final data_for_R_analysis_Dryse'!K303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7"/>
        <v>1.7372000000000001</v>
      </c>
      <c r="M157" s="237">
        <f>AVERAGE(Ashed_controlls!$K$1:$K$11)</f>
        <v>5.5147656768714146</v>
      </c>
      <c r="N157" s="194">
        <f t="shared" si="13"/>
        <v>1.64139749066139</v>
      </c>
      <c r="O157" s="194">
        <f t="shared" si="18"/>
        <v>1.9081999999999999</v>
      </c>
      <c r="P157" s="237">
        <f>AVERAGE(Ashed_controlls!$K$12:$K$14)</f>
        <v>2.2816647271287041</v>
      </c>
      <c r="Q157" s="194">
        <f t="shared" si="14"/>
        <v>1.8646612736769299</v>
      </c>
      <c r="R157" s="16">
        <f>IF('Dry_Litterbag Placem_Collection'!G84="","",'Dry_Litterbag Placem_Collection'!G84)</f>
        <v>43006</v>
      </c>
      <c r="S157" s="194">
        <f>IFERROR(INDEX('Both teabags AfterDry'!$D$3:$D$2000,MATCH(H157,'Both teabags AfterDry'!$A$3:$A$2000,0)),"")</f>
        <v>1.7767999999999999</v>
      </c>
      <c r="T157" s="194">
        <f>IFERROR(INDEX('Both teabags AfterDry'!$D$3:$D$2000,MATCH(I157,'Both teabags AfterDry'!$A$3:$A$2000,0)),"")</f>
        <v>1.8712</v>
      </c>
      <c r="U157" s="194">
        <f t="shared" si="19"/>
        <v>1.6261999999999999</v>
      </c>
      <c r="V157" s="194">
        <f t="shared" si="20"/>
        <v>1.7205999999999999</v>
      </c>
      <c r="W157" s="194">
        <f>IFERROR(INDEX('Ashed teabags dry'!$K$2:$K$2000,MATCH(H157,'Ashed teabags dry'!$A$2:$A$2000,0)),"")</f>
        <v>5.2706552706550589</v>
      </c>
      <c r="X157" s="194">
        <f>IFERROR(INDEX('Ashed teabags dry'!$K$2:$K$2000,MATCH(I157,'Ashed teabags dry'!$A$2:$A$2000,0)),"")</f>
        <v>2.8725314183131179</v>
      </c>
      <c r="Y157" s="194">
        <f t="shared" si="15"/>
        <v>1.5404886039886074</v>
      </c>
      <c r="Z157" s="194">
        <f t="shared" si="15"/>
        <v>1.6711752244165043</v>
      </c>
      <c r="AA157" s="194">
        <f t="shared" si="21"/>
        <v>6.1477422286128847E-2</v>
      </c>
      <c r="AB157" s="194">
        <f t="shared" si="22"/>
        <v>4.0303488244588029E-2</v>
      </c>
      <c r="AC157" s="194">
        <f t="shared" si="16"/>
        <v>0.89623528305551714</v>
      </c>
      <c r="AD157">
        <f t="shared" si="23"/>
        <v>69</v>
      </c>
      <c r="AE157" s="194">
        <f t="shared" si="24"/>
        <v>0.92698643433951444</v>
      </c>
      <c r="AF157" s="194" t="str">
        <f t="shared" si="25"/>
        <v/>
      </c>
      <c r="AG157" s="252" t="str">
        <f>IF(ISNUMBER(SEARCH("C", 'Dry_Litterbag Placem_Collection'!$T84)),"YES","NO")</f>
        <v>NO</v>
      </c>
      <c r="AH157" s="252" t="str">
        <f>IF(ISNUMBER(SEARCH("H", 'Dry_Litterbag Placem_Collection'!$T84)),"YES","NO")</f>
        <v>NO</v>
      </c>
      <c r="AI157" s="252" t="str">
        <f>IF(ISNUMBER(SEARCH("R", 'Dry_Litterbag Placem_Collection'!$T84)),"YES","NO")</f>
        <v>NO</v>
      </c>
      <c r="AJ157" s="252" t="str">
        <f>IF(ISNUMBER(SEARCH("C", 'Dry_Litterbag Placem_Collection'!$S84)),"YES","NO")</f>
        <v>NO</v>
      </c>
      <c r="AK157" s="252" t="str">
        <f>IF(ISNUMBER(SEARCH("H", 'Dry_Litterbag Placem_Collection'!$S84)),"YES","NO")</f>
        <v>NO</v>
      </c>
      <c r="AL157" s="252" t="str">
        <f>IF(ISNUMBER(SEARCH("R", 'Dry_Litterbag Placem_Collection'!$S84)),"YES","NO")</f>
        <v>NO</v>
      </c>
    </row>
    <row r="158" spans="2:38">
      <c r="B158" t="str">
        <f>'Final data_for_R_analysis_Dryse'!A84</f>
        <v>Dry</v>
      </c>
      <c r="C158" s="260">
        <f>'Final data_for_R_analysis_Dryse'!B84</f>
        <v>83</v>
      </c>
      <c r="D158" t="s">
        <v>3813</v>
      </c>
      <c r="E158" t="s">
        <v>22</v>
      </c>
      <c r="F158" s="381">
        <v>3</v>
      </c>
      <c r="G158" s="16">
        <f>IF('Dry_Litterbag Placem_Collection'!E85="","",'Dry_Litterbag Placem_Collection'!E85)</f>
        <v>42937</v>
      </c>
      <c r="H158" t="str">
        <f>'Final data_for_R_analysis_Dryse'!K84</f>
        <v>G331</v>
      </c>
      <c r="I158" t="str">
        <f>'Final data_for_R_analysis_Dryse'!K304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7"/>
        <v>1.8052000000000001</v>
      </c>
      <c r="M158" s="237">
        <f>AVERAGE(Ashed_controlls!$K$1:$K$11)</f>
        <v>5.5147656768714146</v>
      </c>
      <c r="N158" s="194">
        <f t="shared" si="13"/>
        <v>1.7056474500011174</v>
      </c>
      <c r="O158" s="194">
        <f t="shared" si="18"/>
        <v>1.9662000000000002</v>
      </c>
      <c r="P158" s="237">
        <f>AVERAGE(Ashed_controlls!$K$12:$K$14)</f>
        <v>2.2816647271287041</v>
      </c>
      <c r="Q158" s="194">
        <f t="shared" si="14"/>
        <v>1.9213379081351956</v>
      </c>
      <c r="R158" s="16">
        <f>IF('Dry_Litterbag Placem_Collection'!G85="","",'Dry_Litterbag Placem_Collection'!G85)</f>
        <v>43006</v>
      </c>
      <c r="S158" s="194">
        <f>IFERROR(INDEX('Both teabags AfterDry'!$D$3:$D$2000,MATCH(H158,'Both teabags AfterDry'!$A$3:$A$2000,0)),"")</f>
        <v>1.8354999999999999</v>
      </c>
      <c r="T158" s="194">
        <f>IFERROR(INDEX('Both teabags AfterDry'!$D$3:$D$2000,MATCH(I158,'Both teabags AfterDry'!$A$3:$A$2000,0)),"")</f>
        <v>1.9178999999999999</v>
      </c>
      <c r="U158" s="194">
        <f t="shared" si="19"/>
        <v>1.6848999999999998</v>
      </c>
      <c r="V158" s="194">
        <f t="shared" si="20"/>
        <v>1.7672999999999999</v>
      </c>
      <c r="W158" s="194">
        <f>IFERROR(INDEX('Ashed teabags dry'!$K$2:$K$2000,MATCH(H158,'Ashed teabags dry'!$A$2:$A$2000,0)),"")</f>
        <v>5.6902523503216829</v>
      </c>
      <c r="X158" s="194">
        <f>IFERROR(INDEX('Ashed teabags dry'!$K$2:$K$2000,MATCH(I158,'Ashed teabags dry'!$A$2:$A$2000,0)),"")</f>
        <v>2.3591718825229306</v>
      </c>
      <c r="Y158" s="194">
        <f t="shared" si="15"/>
        <v>1.5890249381494299</v>
      </c>
      <c r="Z158" s="194">
        <f t="shared" si="15"/>
        <v>1.7256063553201721</v>
      </c>
      <c r="AA158" s="194">
        <f t="shared" si="21"/>
        <v>6.8374336004554226E-2</v>
      </c>
      <c r="AB158" s="194">
        <f t="shared" si="22"/>
        <v>4.4824980373532018E-2</v>
      </c>
      <c r="AC158" s="194">
        <f t="shared" si="16"/>
        <v>0.89812747045365082</v>
      </c>
      <c r="AD158">
        <f t="shared" si="23"/>
        <v>69</v>
      </c>
      <c r="AE158" s="194">
        <f t="shared" si="24"/>
        <v>0.91879532541026809</v>
      </c>
      <c r="AF158" s="194" t="str">
        <f t="shared" si="25"/>
        <v/>
      </c>
      <c r="AG158" s="252" t="str">
        <f>IF(ISNUMBER(SEARCH("C", 'Dry_Litterbag Placem_Collection'!$T85)),"YES","NO")</f>
        <v>NO</v>
      </c>
      <c r="AH158" s="252" t="str">
        <f>IF(ISNUMBER(SEARCH("H", 'Dry_Litterbag Placem_Collection'!$T85)),"YES","NO")</f>
        <v>NO</v>
      </c>
      <c r="AI158" s="252" t="str">
        <f>IF(ISNUMBER(SEARCH("R", 'Dry_Litterbag Placem_Collection'!$T85)),"YES","NO")</f>
        <v>NO</v>
      </c>
      <c r="AJ158" s="252" t="str">
        <f>IF(ISNUMBER(SEARCH("C", 'Dry_Litterbag Placem_Collection'!$S85)),"YES","NO")</f>
        <v>NO</v>
      </c>
      <c r="AK158" s="252" t="str">
        <f>IF(ISNUMBER(SEARCH("H", 'Dry_Litterbag Placem_Collection'!$S85)),"YES","NO")</f>
        <v>YES</v>
      </c>
      <c r="AL158" s="252" t="str">
        <f>IF(ISNUMBER(SEARCH("R", 'Dry_Litterbag Placem_Collection'!$S85)),"YES","NO")</f>
        <v>NO</v>
      </c>
    </row>
    <row r="159" spans="2:38">
      <c r="B159" t="str">
        <f>'Final data_for_R_analysis_Dryse'!A85</f>
        <v>Dry</v>
      </c>
      <c r="C159" s="260">
        <f>'Final data_for_R_analysis_Dryse'!B85</f>
        <v>84</v>
      </c>
      <c r="D159" t="s">
        <v>3813</v>
      </c>
      <c r="E159" t="s">
        <v>22</v>
      </c>
      <c r="F159" s="382">
        <v>4</v>
      </c>
      <c r="G159" s="16">
        <f>IF('Dry_Litterbag Placem_Collection'!E86="","",'Dry_Litterbag Placem_Collection'!E86)</f>
        <v>42937</v>
      </c>
      <c r="H159" t="str">
        <f>'Final data_for_R_analysis_Dryse'!K85</f>
        <v>G101</v>
      </c>
      <c r="I159" t="str">
        <f>'Final data_for_R_analysis_Dryse'!K305</f>
        <v>R778</v>
      </c>
      <c r="J159">
        <f>IFERROR(INDEX('Green_rooibos initial weight'!$C$5:$C$2000,MATCH(H159, 'Green_rooibos initial weight'!$A$5:$A$2000,0)),"")</f>
        <v>2.173</v>
      </c>
      <c r="K159">
        <f>IFERROR(INDEX('Green_rooibos initial weight'!$C$5:$C$2000,MATCH(I159, 'Green_rooibos initial weight'!$A$5:$A$2000,0)),"")</f>
        <v>2.2450000000000001</v>
      </c>
      <c r="L159" s="194">
        <f t="shared" si="17"/>
        <v>1.9232</v>
      </c>
      <c r="M159" s="237">
        <f>AVERAGE(Ashed_controlls!$K$1:$K$11)</f>
        <v>5.5147656768714146</v>
      </c>
      <c r="N159" s="194">
        <f t="shared" si="13"/>
        <v>1.8171400265024089</v>
      </c>
      <c r="O159" s="194">
        <f t="shared" si="18"/>
        <v>1.9952000000000001</v>
      </c>
      <c r="P159" s="237">
        <f>AVERAGE(Ashed_controlls!$K$12:$K$14)</f>
        <v>2.2816647271287041</v>
      </c>
      <c r="Q159" s="194">
        <f t="shared" si="14"/>
        <v>1.9496762253643283</v>
      </c>
      <c r="R159" s="16">
        <f>IF('Dry_Litterbag Placem_Collection'!G86="","",'Dry_Litterbag Placem_Collection'!G86)</f>
        <v>43006</v>
      </c>
      <c r="S159" s="194">
        <f>IFERROR(INDEX('Both teabags AfterDry'!$D$3:$D$2000,MATCH(H159,'Both teabags AfterDry'!$A$3:$A$2000,0)),"")</f>
        <v>1.9434</v>
      </c>
      <c r="T159" s="194">
        <f>IFERROR(INDEX('Both teabags AfterDry'!$D$3:$D$2000,MATCH(I159,'Both teabags AfterDry'!$A$3:$A$2000,0)),"")</f>
        <v>1.9495</v>
      </c>
      <c r="U159" s="194">
        <f t="shared" si="19"/>
        <v>1.7927999999999999</v>
      </c>
      <c r="V159" s="194">
        <f t="shared" si="20"/>
        <v>1.7988999999999999</v>
      </c>
      <c r="W159" s="194">
        <f>IFERROR(INDEX('Ashed teabags dry'!$K$2:$K$2000,MATCH(H159,'Ashed teabags dry'!$A$2:$A$2000,0)),"")</f>
        <v>5.5508112724168974</v>
      </c>
      <c r="X159" s="194">
        <f>IFERROR(INDEX('Ashed teabags dry'!$K$2:$K$2000,MATCH(I159,'Ashed teabags dry'!$A$2:$A$2000,0)),"")</f>
        <v>2.5398406374508733</v>
      </c>
      <c r="Y159" s="194">
        <f t="shared" si="15"/>
        <v>1.6932850555081098</v>
      </c>
      <c r="Z159" s="194">
        <f t="shared" si="15"/>
        <v>1.7532108067728962</v>
      </c>
      <c r="AA159" s="194">
        <f t="shared" si="21"/>
        <v>6.8159288325563172E-2</v>
      </c>
      <c r="AB159" s="194">
        <f t="shared" si="22"/>
        <v>4.468399899728133E-2</v>
      </c>
      <c r="AC159" s="194">
        <f t="shared" si="16"/>
        <v>0.89923177190370707</v>
      </c>
      <c r="AD159">
        <f t="shared" si="23"/>
        <v>69</v>
      </c>
      <c r="AE159" s="194">
        <f t="shared" si="24"/>
        <v>0.9190507264542005</v>
      </c>
      <c r="AF159" s="194" t="str">
        <f t="shared" si="25"/>
        <v/>
      </c>
      <c r="AG159" s="252" t="str">
        <f>IF(ISNUMBER(SEARCH("C", 'Dry_Litterbag Placem_Collection'!$T86)),"YES","NO")</f>
        <v>NO</v>
      </c>
      <c r="AH159" s="252" t="str">
        <f>IF(ISNUMBER(SEARCH("H", 'Dry_Litterbag Placem_Collection'!$T86)),"YES","NO")</f>
        <v>NO</v>
      </c>
      <c r="AI159" s="252" t="str">
        <f>IF(ISNUMBER(SEARCH("R", 'Dry_Litterbag Placem_Collection'!$T86)),"YES","NO")</f>
        <v>NO</v>
      </c>
      <c r="AJ159" s="252" t="str">
        <f>IF(ISNUMBER(SEARCH("C", 'Dry_Litterbag Placem_Collection'!$S86)),"YES","NO")</f>
        <v>NO</v>
      </c>
      <c r="AK159" s="252" t="str">
        <f>IF(ISNUMBER(SEARCH("H", 'Dry_Litterbag Placem_Collection'!$S86)),"YES","NO")</f>
        <v>YES</v>
      </c>
      <c r="AL159" s="252" t="str">
        <f>IF(ISNUMBER(SEARCH("R", 'Dry_Litterbag Placem_Collection'!$S86)),"YES","NO")</f>
        <v>NO</v>
      </c>
    </row>
    <row r="160" spans="2:38">
      <c r="B160" t="str">
        <f>'Final data_for_R_analysis_Dryse'!A86</f>
        <v>Dry</v>
      </c>
      <c r="C160" s="260">
        <f>'Final data_for_R_analysis_Dryse'!B86</f>
        <v>85</v>
      </c>
      <c r="D160" t="s">
        <v>3813</v>
      </c>
      <c r="E160" t="s">
        <v>22</v>
      </c>
      <c r="F160" s="382">
        <v>5</v>
      </c>
      <c r="G160" s="16" t="str">
        <f>IF('Dry_Litterbag Placem_Collection'!E87="","",'Dry_Litterbag Placem_Collection'!E87)</f>
        <v/>
      </c>
      <c r="H160" t="str">
        <f>'Final data_for_R_analysis_Dryse'!K86</f>
        <v/>
      </c>
      <c r="I160" t="str">
        <f>'Final data_for_R_analysis_Dryse'!K306</f>
        <v/>
      </c>
      <c r="J160" t="str">
        <f>IFERROR(INDEX('Green_rooibos initial weight'!$C$5:$C$2000,MATCH(H160, 'Green_rooibos initial weight'!$A$5:$A$2000,0)),"")</f>
        <v/>
      </c>
      <c r="K160" t="str">
        <f>IFERROR(INDEX('Green_rooibos initial weight'!$C$5:$C$2000,MATCH(I160, 'Green_rooibos initial weight'!$A$5:$A$2000,0)),"")</f>
        <v/>
      </c>
      <c r="L160" s="194" t="str">
        <f t="shared" si="17"/>
        <v/>
      </c>
      <c r="M160" s="237">
        <f>AVERAGE(Ashed_controlls!$K$1:$K$11)</f>
        <v>5.5147656768714146</v>
      </c>
      <c r="N160" s="194" t="str">
        <f t="shared" si="13"/>
        <v/>
      </c>
      <c r="O160" s="194" t="str">
        <f t="shared" si="18"/>
        <v/>
      </c>
      <c r="P160" s="237">
        <f>AVERAGE(Ashed_controlls!$K$12:$K$14)</f>
        <v>2.2816647271287041</v>
      </c>
      <c r="Q160" s="194" t="str">
        <f t="shared" si="14"/>
        <v/>
      </c>
      <c r="R160" s="16" t="str">
        <f>IF('Dry_Litterbag Placem_Collection'!G87="","",'Dry_Litterbag Placem_Collection'!G87)</f>
        <v/>
      </c>
      <c r="S160" s="194" t="str">
        <f>IFERROR(INDEX('Both teabags AfterDry'!$D$3:$D$2000,MATCH(H160,'Both teabags AfterDry'!$A$3:$A$2000,0)),"")</f>
        <v/>
      </c>
      <c r="T160" s="194" t="str">
        <f>IFERROR(INDEX('Both teabags AfterDry'!$D$3:$D$2000,MATCH(I160,'Both teabags AfterDry'!$A$3:$A$2000,0)),"")</f>
        <v/>
      </c>
      <c r="U160" s="194" t="str">
        <f t="shared" si="19"/>
        <v/>
      </c>
      <c r="V160" s="194" t="str">
        <f t="shared" si="20"/>
        <v/>
      </c>
      <c r="W160" s="194" t="str">
        <f>IFERROR(INDEX('Ashed teabags dry'!$K$2:$K$2000,MATCH(H160,'Ashed teabags dry'!$A$2:$A$2000,0)),"")</f>
        <v/>
      </c>
      <c r="X160" s="194" t="str">
        <f>IFERROR(INDEX('Ashed teabags dry'!$K$2:$K$2000,MATCH(I160,'Ashed teabags dry'!$A$2:$A$2000,0)),"")</f>
        <v/>
      </c>
      <c r="Y160" s="194" t="str">
        <f t="shared" si="15"/>
        <v/>
      </c>
      <c r="Z160" s="194" t="str">
        <f t="shared" si="15"/>
        <v/>
      </c>
      <c r="AA160" s="194" t="str">
        <f t="shared" si="21"/>
        <v/>
      </c>
      <c r="AB160" s="194" t="str">
        <f t="shared" si="22"/>
        <v/>
      </c>
      <c r="AC160" s="194" t="str">
        <f t="shared" si="16"/>
        <v/>
      </c>
      <c r="AD160" t="str">
        <f t="shared" si="23"/>
        <v/>
      </c>
      <c r="AE160" s="194" t="str">
        <f t="shared" si="24"/>
        <v/>
      </c>
      <c r="AF160" s="194" t="str">
        <f t="shared" si="25"/>
        <v/>
      </c>
      <c r="AG160" s="252" t="str">
        <f>IF(ISNUMBER(SEARCH("C", 'Dry_Litterbag Placem_Collection'!$T87)),"YES","NO")</f>
        <v>NO</v>
      </c>
      <c r="AH160" s="252" t="str">
        <f>IF(ISNUMBER(SEARCH("H", 'Dry_Litterbag Placem_Collection'!$T87)),"YES","NO")</f>
        <v>NO</v>
      </c>
      <c r="AI160" s="252" t="str">
        <f>IF(ISNUMBER(SEARCH("R", 'Dry_Litterbag Placem_Collection'!$T87)),"YES","NO")</f>
        <v>NO</v>
      </c>
      <c r="AJ160" s="252" t="str">
        <f>IF(ISNUMBER(SEARCH("C", 'Dry_Litterbag Placem_Collection'!$S87)),"YES","NO")</f>
        <v>NO</v>
      </c>
      <c r="AK160" s="252" t="str">
        <f>IF(ISNUMBER(SEARCH("H", 'Dry_Litterbag Placem_Collection'!$S87)),"YES","NO")</f>
        <v>NO</v>
      </c>
      <c r="AL160" s="252" t="str">
        <f>IF(ISNUMBER(SEARCH("R", 'Dry_Litterbag Placem_Collection'!$S87)),"YES","NO")</f>
        <v>NO</v>
      </c>
    </row>
    <row r="161" spans="2:38">
      <c r="B161" t="str">
        <f>'Final data_for_R_analysis_Dryse'!A87</f>
        <v>Dry</v>
      </c>
      <c r="C161" s="260">
        <f>'Final data_for_R_analysis_Dryse'!B87</f>
        <v>86</v>
      </c>
      <c r="D161" t="s">
        <v>3813</v>
      </c>
      <c r="E161" t="s">
        <v>22</v>
      </c>
      <c r="F161" s="382">
        <v>6</v>
      </c>
      <c r="G161" s="16">
        <f>IF('Dry_Litterbag Placem_Collection'!E88="","",'Dry_Litterbag Placem_Collection'!E88)</f>
        <v>42937</v>
      </c>
      <c r="H161" t="str">
        <f>'Final data_for_R_analysis_Dryse'!K87</f>
        <v>G31</v>
      </c>
      <c r="I161" t="str">
        <f>'Final data_for_R_analysis_Dryse'!K307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7"/>
        <v>1.6892</v>
      </c>
      <c r="M161" s="237">
        <f>AVERAGE(Ashed_controlls!$K$1:$K$11)</f>
        <v>5.5147656768714146</v>
      </c>
      <c r="N161" s="194">
        <f t="shared" si="13"/>
        <v>1.5960445781862882</v>
      </c>
      <c r="O161" s="194">
        <f t="shared" si="18"/>
        <v>1.9392</v>
      </c>
      <c r="P161" s="237">
        <f>AVERAGE(Ashed_controlls!$K$12:$K$14)</f>
        <v>2.2816647271287041</v>
      </c>
      <c r="Q161" s="194">
        <f t="shared" si="14"/>
        <v>1.8949539576115202</v>
      </c>
      <c r="R161" s="16">
        <f>IF('Dry_Litterbag Placem_Collection'!G88="","",'Dry_Litterbag Placem_Collection'!G88)</f>
        <v>43006</v>
      </c>
      <c r="S161" s="194" t="str">
        <f>IFERROR(INDEX('Both teabags AfterDry'!$D$3:$D$2000,MATCH(H161,'Both teabags AfterDry'!$A$3:$A$2000,0)),"")</f>
        <v/>
      </c>
      <c r="T161" s="194" t="str">
        <f>IFERROR(INDEX('Both teabags AfterDry'!$D$3:$D$2000,MATCH(I161,'Both teabags AfterDry'!$A$3:$A$2000,0)),"")</f>
        <v/>
      </c>
      <c r="U161" s="194" t="str">
        <f t="shared" si="19"/>
        <v/>
      </c>
      <c r="V161" s="194" t="str">
        <f t="shared" si="20"/>
        <v/>
      </c>
      <c r="W161" s="194" t="str">
        <f>IFERROR(INDEX('Ashed teabags dry'!$K$2:$K$2000,MATCH(H161,'Ashed teabags dry'!$A$2:$A$2000,0)),"")</f>
        <v/>
      </c>
      <c r="X161" s="194" t="str">
        <f>IFERROR(INDEX('Ashed teabags dry'!$K$2:$K$2000,MATCH(I161,'Ashed teabags dry'!$A$2:$A$2000,0)),"")</f>
        <v/>
      </c>
      <c r="Y161" s="194" t="str">
        <f t="shared" si="15"/>
        <v/>
      </c>
      <c r="Z161" s="194" t="str">
        <f t="shared" si="15"/>
        <v/>
      </c>
      <c r="AA161" s="194" t="str">
        <f t="shared" si="21"/>
        <v/>
      </c>
      <c r="AB161" s="194" t="str">
        <f t="shared" si="22"/>
        <v/>
      </c>
      <c r="AC161" s="194" t="str">
        <f t="shared" si="16"/>
        <v/>
      </c>
      <c r="AD161">
        <f t="shared" si="23"/>
        <v>69</v>
      </c>
      <c r="AE161" s="194" t="str">
        <f t="shared" si="24"/>
        <v/>
      </c>
      <c r="AF161" s="194" t="str">
        <f t="shared" si="25"/>
        <v/>
      </c>
      <c r="AG161" s="252" t="str">
        <f>IF(ISNUMBER(SEARCH("C", 'Dry_Litterbag Placem_Collection'!$T88)),"YES","NO")</f>
        <v>NO</v>
      </c>
      <c r="AH161" s="252" t="str">
        <f>IF(ISNUMBER(SEARCH("H", 'Dry_Litterbag Placem_Collection'!$T88)),"YES","NO")</f>
        <v>NO</v>
      </c>
      <c r="AI161" s="252" t="str">
        <f>IF(ISNUMBER(SEARCH("R", 'Dry_Litterbag Placem_Collection'!$T88)),"YES","NO")</f>
        <v>NO</v>
      </c>
      <c r="AJ161" s="252" t="str">
        <f>IF(ISNUMBER(SEARCH("C", 'Dry_Litterbag Placem_Collection'!$S88)),"YES","NO")</f>
        <v>NO</v>
      </c>
      <c r="AK161" s="252" t="str">
        <f>IF(ISNUMBER(SEARCH("H", 'Dry_Litterbag Placem_Collection'!$S88)),"YES","NO")</f>
        <v>YES</v>
      </c>
      <c r="AL161" s="252" t="str">
        <f>IF(ISNUMBER(SEARCH("R", 'Dry_Litterbag Placem_Collection'!$S88)),"YES","NO")</f>
        <v>NO</v>
      </c>
    </row>
    <row r="162" spans="2:38">
      <c r="B162" t="str">
        <f>'Final data_for_R_analysis_Dryse'!A88</f>
        <v>Dry</v>
      </c>
      <c r="C162" s="260">
        <f>'Final data_for_R_analysis_Dryse'!B88</f>
        <v>87</v>
      </c>
      <c r="D162" t="s">
        <v>3813</v>
      </c>
      <c r="E162" t="s">
        <v>22</v>
      </c>
      <c r="F162" s="382">
        <v>7</v>
      </c>
      <c r="G162" s="16">
        <f>IF('Dry_Litterbag Placem_Collection'!E89="","",'Dry_Litterbag Placem_Collection'!E89)</f>
        <v>42937</v>
      </c>
      <c r="H162" t="str">
        <f>'Final data_for_R_analysis_Dryse'!K88</f>
        <v>G220</v>
      </c>
      <c r="I162" t="str">
        <f>'Final data_for_R_analysis_Dryse'!K308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7"/>
        <v>1.8681999999999999</v>
      </c>
      <c r="M162" s="237">
        <f>AVERAGE(Ashed_controlls!$K$1:$K$11)</f>
        <v>5.5147656768714146</v>
      </c>
      <c r="N162" s="194">
        <f t="shared" si="13"/>
        <v>1.7651731476246881</v>
      </c>
      <c r="O162" s="194">
        <f t="shared" si="18"/>
        <v>1.9302000000000001</v>
      </c>
      <c r="P162" s="237">
        <f>AVERAGE(Ashed_controlls!$K$12:$K$14)</f>
        <v>2.2816647271287041</v>
      </c>
      <c r="Q162" s="194">
        <f t="shared" si="14"/>
        <v>1.8861593074369618</v>
      </c>
      <c r="R162" s="16">
        <f>IF('Dry_Litterbag Placem_Collection'!G89="","",'Dry_Litterbag Placem_Collection'!G89)</f>
        <v>43006</v>
      </c>
      <c r="S162" s="194">
        <f>IFERROR(INDEX('Both teabags AfterDry'!$D$3:$D$2000,MATCH(H162,'Both teabags AfterDry'!$A$3:$A$2000,0)),"")</f>
        <v>1.9671000000000001</v>
      </c>
      <c r="T162" s="194">
        <f>IFERROR(INDEX('Both teabags AfterDry'!$D$3:$D$2000,MATCH(I162,'Both teabags AfterDry'!$A$3:$A$2000,0)),"")</f>
        <v>1.9392</v>
      </c>
      <c r="U162" s="194">
        <f t="shared" si="19"/>
        <v>1.8165</v>
      </c>
      <c r="V162" s="194">
        <f t="shared" si="20"/>
        <v>1.7886</v>
      </c>
      <c r="W162" s="194">
        <f>IFERROR(INDEX('Ashed teabags dry'!$K$2:$K$2000,MATCH(H162,'Ashed teabags dry'!$A$2:$A$2000,0)),"")</f>
        <v>5.9062218214606252</v>
      </c>
      <c r="X162" s="194">
        <f>IFERROR(INDEX('Ashed teabags dry'!$K$2:$K$2000,MATCH(I162,'Ashed teabags dry'!$A$2:$A$2000,0)),"")</f>
        <v>3.1437125748499946</v>
      </c>
      <c r="Y162" s="194">
        <f t="shared" si="15"/>
        <v>1.7092134806131678</v>
      </c>
      <c r="Z162" s="194">
        <f t="shared" si="15"/>
        <v>1.732371556886233</v>
      </c>
      <c r="AA162" s="194">
        <f t="shared" si="21"/>
        <v>3.1702083779612589E-2</v>
      </c>
      <c r="AB162" s="194">
        <f t="shared" si="22"/>
        <v>2.0783313831765019E-2</v>
      </c>
      <c r="AC162" s="194">
        <f t="shared" si="16"/>
        <v>0.91846513179223144</v>
      </c>
      <c r="AD162">
        <f t="shared" si="23"/>
        <v>69</v>
      </c>
      <c r="AE162" s="194">
        <f t="shared" si="24"/>
        <v>0.96234906914535323</v>
      </c>
      <c r="AF162" s="194" t="str">
        <f t="shared" si="25"/>
        <v/>
      </c>
      <c r="AG162" s="252" t="str">
        <f>IF(ISNUMBER(SEARCH("C", 'Dry_Litterbag Placem_Collection'!$T89)),"YES","NO")</f>
        <v>NO</v>
      </c>
      <c r="AH162" s="252" t="str">
        <f>IF(ISNUMBER(SEARCH("H", 'Dry_Litterbag Placem_Collection'!$T89)),"YES","NO")</f>
        <v>NO</v>
      </c>
      <c r="AI162" s="252" t="str">
        <f>IF(ISNUMBER(SEARCH("R", 'Dry_Litterbag Placem_Collection'!$T89)),"YES","NO")</f>
        <v>NO</v>
      </c>
      <c r="AJ162" s="252" t="str">
        <f>IF(ISNUMBER(SEARCH("C", 'Dry_Litterbag Placem_Collection'!$S89)),"YES","NO")</f>
        <v>NO</v>
      </c>
      <c r="AK162" s="252" t="str">
        <f>IF(ISNUMBER(SEARCH("H", 'Dry_Litterbag Placem_Collection'!$S89)),"YES","NO")</f>
        <v>NO</v>
      </c>
      <c r="AL162" s="252" t="str">
        <f>IF(ISNUMBER(SEARCH("R", 'Dry_Litterbag Placem_Collection'!$S89)),"YES","NO")</f>
        <v>NO</v>
      </c>
    </row>
    <row r="163" spans="2:38">
      <c r="B163" t="str">
        <f>'Final data_for_R_analysis_Dryse'!A89</f>
        <v>Dry</v>
      </c>
      <c r="C163" s="260">
        <f>'Final data_for_R_analysis_Dryse'!B89</f>
        <v>88</v>
      </c>
      <c r="D163" t="s">
        <v>3813</v>
      </c>
      <c r="E163" t="s">
        <v>22</v>
      </c>
      <c r="F163" s="382">
        <v>8</v>
      </c>
      <c r="G163" s="16">
        <f>IF('Dry_Litterbag Placem_Collection'!E90="","",'Dry_Litterbag Placem_Collection'!E90)</f>
        <v>42937</v>
      </c>
      <c r="H163" t="str">
        <f>'Final data_for_R_analysis_Dryse'!K89</f>
        <v>G531</v>
      </c>
      <c r="I163" t="str">
        <f>'Final data_for_R_analysis_Dryse'!K309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7"/>
        <v>1.7612000000000001</v>
      </c>
      <c r="M163" s="237">
        <f>AVERAGE(Ashed_controlls!$K$1:$K$11)</f>
        <v>5.5147656768714146</v>
      </c>
      <c r="N163" s="194">
        <f t="shared" si="13"/>
        <v>1.6640739468989407</v>
      </c>
      <c r="O163" s="194">
        <f t="shared" si="18"/>
        <v>1.9611999999999998</v>
      </c>
      <c r="P163" s="237">
        <f>AVERAGE(Ashed_controlls!$K$12:$K$14)</f>
        <v>2.2816647271287041</v>
      </c>
      <c r="Q163" s="194">
        <f t="shared" si="14"/>
        <v>1.9164519913715516</v>
      </c>
      <c r="R163" s="16">
        <f>IF('Dry_Litterbag Placem_Collection'!G90="","",'Dry_Litterbag Placem_Collection'!G90)</f>
        <v>43006</v>
      </c>
      <c r="S163" s="194">
        <f>IFERROR(INDEX('Both teabags AfterDry'!$D$3:$D$2000,MATCH(H163,'Both teabags AfterDry'!$A$3:$A$2000,0)),"")</f>
        <v>1.8593999999999999</v>
      </c>
      <c r="T163" s="194">
        <f>IFERROR(INDEX('Both teabags AfterDry'!$D$3:$D$2000,MATCH(I163,'Both teabags AfterDry'!$A$3:$A$2000,0)),"")</f>
        <v>1.9188000000000001</v>
      </c>
      <c r="U163" s="194">
        <f t="shared" si="19"/>
        <v>1.7087999999999999</v>
      </c>
      <c r="V163" s="194">
        <f t="shared" si="20"/>
        <v>1.7682</v>
      </c>
      <c r="W163" s="194">
        <f>IFERROR(INDEX('Ashed teabags dry'!$K$2:$K$2000,MATCH(H163,'Ashed teabags dry'!$A$2:$A$2000,0)),"")</f>
        <v>7.2600696171056427</v>
      </c>
      <c r="X163" s="194">
        <f>IFERROR(INDEX('Ashed teabags dry'!$K$2:$K$2000,MATCH(I163,'Ashed teabags dry'!$A$2:$A$2000,0)),"")</f>
        <v>2.6202953787519343</v>
      </c>
      <c r="Y163" s="194">
        <f t="shared" si="15"/>
        <v>1.5847399303828986</v>
      </c>
      <c r="Z163" s="194">
        <f t="shared" si="15"/>
        <v>1.7218679371129082</v>
      </c>
      <c r="AA163" s="194">
        <f t="shared" si="21"/>
        <v>4.7674573995875491E-2</v>
      </c>
      <c r="AB163" s="194">
        <f t="shared" si="22"/>
        <v>3.1254590078056116E-2</v>
      </c>
      <c r="AC163" s="194">
        <f t="shared" si="16"/>
        <v>0.89846651252694043</v>
      </c>
      <c r="AD163">
        <f t="shared" si="23"/>
        <v>69</v>
      </c>
      <c r="AE163" s="194">
        <f t="shared" si="24"/>
        <v>0.94337936580062298</v>
      </c>
      <c r="AF163" s="194" t="str">
        <f t="shared" si="25"/>
        <v/>
      </c>
      <c r="AG163" s="252" t="str">
        <f>IF(ISNUMBER(SEARCH("C", 'Dry_Litterbag Placem_Collection'!$T90)),"YES","NO")</f>
        <v>NO</v>
      </c>
      <c r="AH163" s="252" t="str">
        <f>IF(ISNUMBER(SEARCH("H", 'Dry_Litterbag Placem_Collection'!$T90)),"YES","NO")</f>
        <v>NO</v>
      </c>
      <c r="AI163" s="252" t="str">
        <f>IF(ISNUMBER(SEARCH("R", 'Dry_Litterbag Placem_Collection'!$T90)),"YES","NO")</f>
        <v>NO</v>
      </c>
      <c r="AJ163" s="252" t="str">
        <f>IF(ISNUMBER(SEARCH("C", 'Dry_Litterbag Placem_Collection'!$S90)),"YES","NO")</f>
        <v>NO</v>
      </c>
      <c r="AK163" s="252" t="str">
        <f>IF(ISNUMBER(SEARCH("H", 'Dry_Litterbag Placem_Collection'!$S90)),"YES","NO")</f>
        <v>NO</v>
      </c>
      <c r="AL163" s="252" t="str">
        <f>IF(ISNUMBER(SEARCH("R", 'Dry_Litterbag Placem_Collection'!$S90)),"YES","NO")</f>
        <v>NO</v>
      </c>
    </row>
    <row r="164" spans="2:38">
      <c r="B164" t="str">
        <f>'Final data_for_R_analysis_Dryse'!A90</f>
        <v>Dry</v>
      </c>
      <c r="C164" s="260">
        <f>'Final data_for_R_analysis_Dryse'!B90</f>
        <v>89</v>
      </c>
      <c r="D164" t="s">
        <v>3814</v>
      </c>
      <c r="E164" t="s">
        <v>22</v>
      </c>
      <c r="F164" s="381">
        <v>1</v>
      </c>
      <c r="G164" s="16">
        <f>IF('Dry_Litterbag Placem_Collection'!E91="","",'Dry_Litterbag Placem_Collection'!E91)</f>
        <v>42937</v>
      </c>
      <c r="H164" t="str">
        <f>'Final data_for_R_analysis_Dryse'!K90</f>
        <v>G35</v>
      </c>
      <c r="I164" t="str">
        <f>'Final data_for_R_analysis_Dryse'!K310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7"/>
        <v>1.7801999999999998</v>
      </c>
      <c r="M164" s="237">
        <f>AVERAGE(Ashed_controlls!$K$1:$K$11)</f>
        <v>5.5147656768714146</v>
      </c>
      <c r="N164" s="194">
        <f t="shared" si="13"/>
        <v>1.6820261414203348</v>
      </c>
      <c r="O164" s="194">
        <f t="shared" si="18"/>
        <v>1.9182000000000001</v>
      </c>
      <c r="P164" s="237">
        <f>AVERAGE(Ashed_controlls!$K$12:$K$14)</f>
        <v>2.2816647271287041</v>
      </c>
      <c r="Q164" s="194">
        <f t="shared" si="14"/>
        <v>1.8744331072042173</v>
      </c>
      <c r="R164" s="16">
        <f>IF('Dry_Litterbag Placem_Collection'!G91="","",'Dry_Litterbag Placem_Collection'!G91)</f>
        <v>43006</v>
      </c>
      <c r="S164" s="194">
        <f>IFERROR(INDEX('Both teabags AfterDry'!$D$3:$D$2000,MATCH(H164,'Both teabags AfterDry'!$A$3:$A$2000,0)),"")</f>
        <v>1.8633999999999999</v>
      </c>
      <c r="T164" s="194">
        <f>IFERROR(INDEX('Both teabags AfterDry'!$D$3:$D$2000,MATCH(I164,'Both teabags AfterDry'!$A$3:$A$2000,0)),"")</f>
        <v>1.9155</v>
      </c>
      <c r="U164" s="194">
        <f t="shared" si="19"/>
        <v>1.7127999999999999</v>
      </c>
      <c r="V164" s="194">
        <f t="shared" si="20"/>
        <v>1.7648999999999999</v>
      </c>
      <c r="W164" s="194">
        <f>IFERROR(INDEX('Ashed teabags dry'!$K$2:$K$2000,MATCH(H164,'Ashed teabags dry'!$A$2:$A$2000,0)),"")</f>
        <v>5.6105610561053325</v>
      </c>
      <c r="X164" s="194">
        <f>IFERROR(INDEX('Ashed teabags dry'!$K$2:$K$2000,MATCH(I164,'Ashed teabags dry'!$A$2:$A$2000,0)),"")</f>
        <v>2.8114396509937518</v>
      </c>
      <c r="Y164" s="194">
        <f t="shared" si="15"/>
        <v>1.6167023102310278</v>
      </c>
      <c r="Z164" s="194">
        <f t="shared" si="15"/>
        <v>1.7152809015996111</v>
      </c>
      <c r="AA164" s="194">
        <f t="shared" si="21"/>
        <v>3.8836394738875013E-2</v>
      </c>
      <c r="AB164" s="194">
        <f t="shared" si="22"/>
        <v>2.546043930624586E-2</v>
      </c>
      <c r="AC164" s="194">
        <f t="shared" si="16"/>
        <v>0.91509315270151881</v>
      </c>
      <c r="AD164">
        <f t="shared" si="23"/>
        <v>69</v>
      </c>
      <c r="AE164" s="194">
        <f t="shared" si="24"/>
        <v>0.95387601574955461</v>
      </c>
      <c r="AF164" s="194" t="str">
        <f t="shared" si="25"/>
        <v/>
      </c>
      <c r="AG164" s="252" t="str">
        <f>IF(ISNUMBER(SEARCH("C", 'Dry_Litterbag Placem_Collection'!$T91)),"YES","NO")</f>
        <v>NO</v>
      </c>
      <c r="AH164" s="252" t="str">
        <f>IF(ISNUMBER(SEARCH("H", 'Dry_Litterbag Placem_Collection'!$T91)),"YES","NO")</f>
        <v>NO</v>
      </c>
      <c r="AI164" s="252" t="str">
        <f>IF(ISNUMBER(SEARCH("R", 'Dry_Litterbag Placem_Collection'!$T91)),"YES","NO")</f>
        <v>NO</v>
      </c>
      <c r="AJ164" s="252" t="str">
        <f>IF(ISNUMBER(SEARCH("C", 'Dry_Litterbag Placem_Collection'!$S91)),"YES","NO")</f>
        <v>NO</v>
      </c>
      <c r="AK164" s="252" t="str">
        <f>IF(ISNUMBER(SEARCH("H", 'Dry_Litterbag Placem_Collection'!$S91)),"YES","NO")</f>
        <v>NO</v>
      </c>
      <c r="AL164" s="252" t="str">
        <f>IF(ISNUMBER(SEARCH("R", 'Dry_Litterbag Placem_Collection'!$S91)),"YES","NO")</f>
        <v>NO</v>
      </c>
    </row>
    <row r="165" spans="2:38">
      <c r="B165" t="str">
        <f>'Final data_for_R_analysis_Dryse'!A91</f>
        <v>Dry</v>
      </c>
      <c r="C165" s="260">
        <f>'Final data_for_R_analysis_Dryse'!B91</f>
        <v>90</v>
      </c>
      <c r="D165" t="s">
        <v>3814</v>
      </c>
      <c r="E165" t="s">
        <v>22</v>
      </c>
      <c r="F165" s="381">
        <v>2</v>
      </c>
      <c r="G165" s="16">
        <f>IF('Dry_Litterbag Placem_Collection'!E92="","",'Dry_Litterbag Placem_Collection'!E92)</f>
        <v>42937</v>
      </c>
      <c r="H165" t="str">
        <f>'Final data_for_R_analysis_Dryse'!K91</f>
        <v>G264</v>
      </c>
      <c r="I165" t="str">
        <f>'Final data_for_R_analysis_Dryse'!K311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7"/>
        <v>1.8572000000000002</v>
      </c>
      <c r="M165" s="237">
        <f>AVERAGE(Ashed_controlls!$K$1:$K$11)</f>
        <v>5.5147656768714146</v>
      </c>
      <c r="N165" s="194">
        <f t="shared" si="13"/>
        <v>1.7547797718491442</v>
      </c>
      <c r="O165" s="194">
        <f t="shared" si="18"/>
        <v>1.9392</v>
      </c>
      <c r="P165" s="237">
        <f>AVERAGE(Ashed_controlls!$K$12:$K$14)</f>
        <v>2.2816647271287041</v>
      </c>
      <c r="Q165" s="194">
        <f t="shared" si="14"/>
        <v>1.8949539576115202</v>
      </c>
      <c r="R165" s="16">
        <f>IF('Dry_Litterbag Placem_Collection'!G92="","",'Dry_Litterbag Placem_Collection'!G92)</f>
        <v>43006</v>
      </c>
      <c r="S165" s="194" t="str">
        <f>IFERROR(INDEX('Both teabags AfterDry'!$D$3:$D$2000,MATCH(H165,'Both teabags AfterDry'!$A$3:$A$2000,0)),"")</f>
        <v/>
      </c>
      <c r="T165" s="194" t="str">
        <f>IFERROR(INDEX('Both teabags AfterDry'!$D$3:$D$2000,MATCH(I165,'Both teabags AfterDry'!$A$3:$A$2000,0)),"")</f>
        <v/>
      </c>
      <c r="U165" s="194" t="str">
        <f t="shared" si="19"/>
        <v/>
      </c>
      <c r="V165" s="194" t="str">
        <f t="shared" si="20"/>
        <v/>
      </c>
      <c r="W165" s="194" t="str">
        <f>IFERROR(INDEX('Ashed teabags dry'!$K$2:$K$2000,MATCH(H165,'Ashed teabags dry'!$A$2:$A$2000,0)),"")</f>
        <v/>
      </c>
      <c r="X165" s="194" t="str">
        <f>IFERROR(INDEX('Ashed teabags dry'!$K$2:$K$2000,MATCH(I165,'Ashed teabags dry'!$A$2:$A$2000,0)),"")</f>
        <v/>
      </c>
      <c r="Y165" s="194" t="str">
        <f t="shared" si="15"/>
        <v/>
      </c>
      <c r="Z165" s="194" t="str">
        <f t="shared" si="15"/>
        <v/>
      </c>
      <c r="AA165" s="194" t="str">
        <f t="shared" si="21"/>
        <v/>
      </c>
      <c r="AB165" s="194" t="str">
        <f t="shared" si="22"/>
        <v/>
      </c>
      <c r="AC165" s="194" t="str">
        <f t="shared" si="16"/>
        <v/>
      </c>
      <c r="AD165">
        <f t="shared" si="23"/>
        <v>69</v>
      </c>
      <c r="AE165" s="194" t="str">
        <f t="shared" si="24"/>
        <v/>
      </c>
      <c r="AF165" s="194" t="str">
        <f t="shared" si="25"/>
        <v/>
      </c>
      <c r="AG165" s="252" t="str">
        <f>IF(ISNUMBER(SEARCH("C", 'Dry_Litterbag Placem_Collection'!$T92)),"YES","NO")</f>
        <v>NO</v>
      </c>
      <c r="AH165" s="252" t="str">
        <f>IF(ISNUMBER(SEARCH("H", 'Dry_Litterbag Placem_Collection'!$T92)),"YES","NO")</f>
        <v>NO</v>
      </c>
      <c r="AI165" s="252" t="str">
        <f>IF(ISNUMBER(SEARCH("R", 'Dry_Litterbag Placem_Collection'!$T92)),"YES","NO")</f>
        <v>NO</v>
      </c>
      <c r="AJ165" s="252" t="str">
        <f>IF(ISNUMBER(SEARCH("C", 'Dry_Litterbag Placem_Collection'!$S92)),"YES","NO")</f>
        <v>NO</v>
      </c>
      <c r="AK165" s="252" t="str">
        <f>IF(ISNUMBER(SEARCH("H", 'Dry_Litterbag Placem_Collection'!$S92)),"YES","NO")</f>
        <v>NO</v>
      </c>
      <c r="AL165" s="252" t="str">
        <f>IF(ISNUMBER(SEARCH("R", 'Dry_Litterbag Placem_Collection'!$S92)),"YES","NO")</f>
        <v>NO</v>
      </c>
    </row>
    <row r="166" spans="2:38">
      <c r="B166" t="str">
        <f>'Final data_for_R_analysis_Dryse'!A92</f>
        <v>Dry</v>
      </c>
      <c r="C166" s="260">
        <f>'Final data_for_R_analysis_Dryse'!B92</f>
        <v>91</v>
      </c>
      <c r="D166" t="s">
        <v>3814</v>
      </c>
      <c r="E166" t="s">
        <v>22</v>
      </c>
      <c r="F166" s="381">
        <v>3</v>
      </c>
      <c r="G166" s="16">
        <f>IF('Dry_Litterbag Placem_Collection'!E93="","",'Dry_Litterbag Placem_Collection'!E93)</f>
        <v>42937</v>
      </c>
      <c r="H166" t="str">
        <f>'Final data_for_R_analysis_Dryse'!K92</f>
        <v>G13</v>
      </c>
      <c r="I166" t="str">
        <f>'Final data_for_R_analysis_Dryse'!K312</f>
        <v>R787</v>
      </c>
      <c r="J166">
        <f>IFERROR(INDEX('Green_rooibos initial weight'!$C$5:$C$2000,MATCH(H166, 'Green_rooibos initial weight'!$A$5:$A$2000,0)),"")</f>
        <v>2.085</v>
      </c>
      <c r="K166">
        <f>IFERROR(INDEX('Green_rooibos initial weight'!$C$5:$C$2000,MATCH(I166, 'Green_rooibos initial weight'!$A$5:$A$2000,0)),"")</f>
        <v>2.1579999999999999</v>
      </c>
      <c r="L166" s="194">
        <f t="shared" si="17"/>
        <v>1.8351999999999999</v>
      </c>
      <c r="M166" s="237">
        <f>AVERAGE(Ashed_controlls!$K$1:$K$11)</f>
        <v>5.5147656768714146</v>
      </c>
      <c r="N166" s="194">
        <f t="shared" si="13"/>
        <v>1.7339930202980558</v>
      </c>
      <c r="O166" s="194">
        <f t="shared" si="18"/>
        <v>1.9081999999999999</v>
      </c>
      <c r="P166" s="237">
        <f>AVERAGE(Ashed_controlls!$K$12:$K$14)</f>
        <v>2.2816647271287041</v>
      </c>
      <c r="Q166" s="194">
        <f t="shared" si="14"/>
        <v>1.8646612736769299</v>
      </c>
      <c r="R166" s="16">
        <f>IF('Dry_Litterbag Placem_Collection'!G93="","",'Dry_Litterbag Placem_Collection'!G93)</f>
        <v>43006</v>
      </c>
      <c r="S166" s="194">
        <f>IFERROR(INDEX('Both teabags AfterDry'!$D$3:$D$2000,MATCH(H166,'Both teabags AfterDry'!$A$3:$A$2000,0)),"")</f>
        <v>1.9104000000000001</v>
      </c>
      <c r="T166" s="194">
        <f>IFERROR(INDEX('Both teabags AfterDry'!$D$3:$D$2000,MATCH(I166,'Both teabags AfterDry'!$A$3:$A$2000,0)),"")</f>
        <v>1.8551</v>
      </c>
      <c r="U166" s="194">
        <f t="shared" si="19"/>
        <v>1.7598</v>
      </c>
      <c r="V166" s="194">
        <f t="shared" si="20"/>
        <v>1.7044999999999999</v>
      </c>
      <c r="W166" s="194">
        <f>IFERROR(INDEX('Ashed teabags dry'!$K$2:$K$2000,MATCH(H166,'Ashed teabags dry'!$A$2:$A$2000,0)),"")</f>
        <v>5.9558517284466683</v>
      </c>
      <c r="X166" s="194">
        <f>IFERROR(INDEX('Ashed teabags dry'!$K$2:$K$2000,MATCH(I166,'Ashed teabags dry'!$A$2:$A$2000,0)),"")</f>
        <v>3.5746606334838318</v>
      </c>
      <c r="Y166" s="194">
        <f t="shared" si="15"/>
        <v>1.6549889212827955</v>
      </c>
      <c r="Z166" s="194">
        <f t="shared" si="15"/>
        <v>1.643569909502268</v>
      </c>
      <c r="AA166" s="194">
        <f t="shared" si="21"/>
        <v>4.5561947534068059E-2</v>
      </c>
      <c r="AB166" s="194">
        <f t="shared" si="22"/>
        <v>2.9869590307370037E-2</v>
      </c>
      <c r="AC166" s="194">
        <f t="shared" si="16"/>
        <v>0.88143081679457458</v>
      </c>
      <c r="AD166">
        <f t="shared" si="23"/>
        <v>69</v>
      </c>
      <c r="AE166" s="194">
        <f t="shared" si="24"/>
        <v>0.9458884233562137</v>
      </c>
      <c r="AF166" s="194" t="str">
        <f t="shared" si="25"/>
        <v/>
      </c>
      <c r="AG166" s="252" t="str">
        <f>IF(ISNUMBER(SEARCH("C", 'Dry_Litterbag Placem_Collection'!$T93)),"YES","NO")</f>
        <v>NO</v>
      </c>
      <c r="AH166" s="252" t="str">
        <f>IF(ISNUMBER(SEARCH("H", 'Dry_Litterbag Placem_Collection'!$T93)),"YES","NO")</f>
        <v>NO</v>
      </c>
      <c r="AI166" s="252" t="str">
        <f>IF(ISNUMBER(SEARCH("R", 'Dry_Litterbag Placem_Collection'!$T93)),"YES","NO")</f>
        <v>NO</v>
      </c>
      <c r="AJ166" s="252" t="str">
        <f>IF(ISNUMBER(SEARCH("C", 'Dry_Litterbag Placem_Collection'!$S93)),"YES","NO")</f>
        <v>NO</v>
      </c>
      <c r="AK166" s="252" t="str">
        <f>IF(ISNUMBER(SEARCH("H", 'Dry_Litterbag Placem_Collection'!$S93)),"YES","NO")</f>
        <v>NO</v>
      </c>
      <c r="AL166" s="252" t="str">
        <f>IF(ISNUMBER(SEARCH("R", 'Dry_Litterbag Placem_Collection'!$S93)),"YES","NO")</f>
        <v>NO</v>
      </c>
    </row>
    <row r="167" spans="2:38">
      <c r="B167" t="str">
        <f>'Final data_for_R_analysis_Dryse'!A93</f>
        <v>Dry</v>
      </c>
      <c r="C167" s="260">
        <f>'Final data_for_R_analysis_Dryse'!B93</f>
        <v>92</v>
      </c>
      <c r="D167" t="s">
        <v>3814</v>
      </c>
      <c r="E167" t="s">
        <v>22</v>
      </c>
      <c r="F167" s="382">
        <v>4</v>
      </c>
      <c r="G167" s="16">
        <f>IF('Dry_Litterbag Placem_Collection'!E94="","",'Dry_Litterbag Placem_Collection'!E94)</f>
        <v>42937</v>
      </c>
      <c r="H167" t="str">
        <f>'Final data_for_R_analysis_Dryse'!K93</f>
        <v>G324</v>
      </c>
      <c r="I167" t="str">
        <f>'Final data_for_R_analysis_Dryse'!K313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7"/>
        <v>1.7932000000000001</v>
      </c>
      <c r="M167" s="237">
        <f>AVERAGE(Ashed_controlls!$K$1:$K$11)</f>
        <v>5.5147656768714146</v>
      </c>
      <c r="N167" s="194">
        <f t="shared" si="13"/>
        <v>1.6943092218823419</v>
      </c>
      <c r="O167" s="194">
        <f t="shared" si="18"/>
        <v>1.9321999999999999</v>
      </c>
      <c r="P167" s="237">
        <f>AVERAGE(Ashed_controlls!$K$12:$K$14)</f>
        <v>2.2816647271287041</v>
      </c>
      <c r="Q167" s="194">
        <f t="shared" si="14"/>
        <v>1.8881136741424192</v>
      </c>
      <c r="R167" s="16">
        <f>IF('Dry_Litterbag Placem_Collection'!G94="","",'Dry_Litterbag Placem_Collection'!G94)</f>
        <v>43006</v>
      </c>
      <c r="S167" s="194">
        <f>IFERROR(INDEX('Both teabags AfterDry'!$D$3:$D$2000,MATCH(H167,'Both teabags AfterDry'!$A$3:$A$2000,0)),"")</f>
        <v>1.6847000000000001</v>
      </c>
      <c r="T167" s="194">
        <f>IFERROR(INDEX('Both teabags AfterDry'!$D$3:$D$2000,MATCH(I167,'Both teabags AfterDry'!$A$3:$A$2000,0)),"")</f>
        <v>1.8855</v>
      </c>
      <c r="U167" s="194">
        <f t="shared" si="19"/>
        <v>1.5341</v>
      </c>
      <c r="V167" s="194">
        <f t="shared" si="20"/>
        <v>1.7348999999999999</v>
      </c>
      <c r="W167" s="194">
        <f>IFERROR(INDEX('Ashed teabags dry'!$K$2:$K$2000,MATCH(H167,'Ashed teabags dry'!$A$2:$A$2000,0)),"")</f>
        <v>7.5962018990501106</v>
      </c>
      <c r="X167" s="194">
        <f>IFERROR(INDEX('Ashed teabags dry'!$K$2:$K$2000,MATCH(I167,'Ashed teabags dry'!$A$2:$A$2000,0)),"")</f>
        <v>1.8952618453866015</v>
      </c>
      <c r="Y167" s="194">
        <f t="shared" si="15"/>
        <v>1.4175666666666722</v>
      </c>
      <c r="Z167" s="194">
        <f t="shared" si="15"/>
        <v>1.7020191022443878</v>
      </c>
      <c r="AA167" s="194">
        <f t="shared" si="21"/>
        <v>0.16333651003104055</v>
      </c>
      <c r="AB167" s="194">
        <f t="shared" si="22"/>
        <v>0.10708046738377007</v>
      </c>
      <c r="AC167" s="194">
        <f t="shared" si="16"/>
        <v>0.90143889404193023</v>
      </c>
      <c r="AD167">
        <f t="shared" si="23"/>
        <v>69</v>
      </c>
      <c r="AE167" s="194">
        <f t="shared" si="24"/>
        <v>0.8060136460438948</v>
      </c>
      <c r="AF167" s="194">
        <f t="shared" si="25"/>
        <v>3.6684626021082307E-2</v>
      </c>
      <c r="AG167" s="252" t="str">
        <f>IF(ISNUMBER(SEARCH("C", 'Dry_Litterbag Placem_Collection'!$T94)),"YES","NO")</f>
        <v>NO</v>
      </c>
      <c r="AH167" s="252" t="str">
        <f>IF(ISNUMBER(SEARCH("H", 'Dry_Litterbag Placem_Collection'!$T94)),"YES","NO")</f>
        <v>NO</v>
      </c>
      <c r="AI167" s="252" t="str">
        <f>IF(ISNUMBER(SEARCH("R", 'Dry_Litterbag Placem_Collection'!$T94)),"YES","NO")</f>
        <v>NO</v>
      </c>
      <c r="AJ167" s="252" t="str">
        <f>IF(ISNUMBER(SEARCH("C", 'Dry_Litterbag Placem_Collection'!$S94)),"YES","NO")</f>
        <v>NO</v>
      </c>
      <c r="AK167" s="252" t="str">
        <f>IF(ISNUMBER(SEARCH("H", 'Dry_Litterbag Placem_Collection'!$S94)),"YES","NO")</f>
        <v>YES</v>
      </c>
      <c r="AL167" s="252" t="str">
        <f>IF(ISNUMBER(SEARCH("R", 'Dry_Litterbag Placem_Collection'!$S94)),"YES","NO")</f>
        <v>NO</v>
      </c>
    </row>
    <row r="168" spans="2:38">
      <c r="B168" t="str">
        <f>'Final data_for_R_analysis_Dryse'!A94</f>
        <v>Dry</v>
      </c>
      <c r="C168" s="260">
        <f>'Final data_for_R_analysis_Dryse'!B94</f>
        <v>93</v>
      </c>
      <c r="D168" t="s">
        <v>3814</v>
      </c>
      <c r="E168" t="s">
        <v>22</v>
      </c>
      <c r="F168" s="382">
        <v>5</v>
      </c>
      <c r="G168" s="16">
        <f>IF('Dry_Litterbag Placem_Collection'!E95="","",'Dry_Litterbag Placem_Collection'!E95)</f>
        <v>42937</v>
      </c>
      <c r="H168" t="str">
        <f>'Final data_for_R_analysis_Dryse'!K94</f>
        <v>G99</v>
      </c>
      <c r="I168" t="str">
        <f>'Final data_for_R_analysis_Dryse'!K314</f>
        <v>R675</v>
      </c>
      <c r="J168">
        <f>IFERROR(INDEX('Green_rooibos initial weight'!$C$5:$C$2000,MATCH(H168, 'Green_rooibos initial weight'!$A$5:$A$2000,0)),"")</f>
        <v>2.097</v>
      </c>
      <c r="K168">
        <f>IFERROR(INDEX('Green_rooibos initial weight'!$C$5:$C$2000,MATCH(I168, 'Green_rooibos initial weight'!$A$5:$A$2000,0)),"")</f>
        <v>2.2069999999999999</v>
      </c>
      <c r="L168" s="194">
        <f t="shared" si="17"/>
        <v>1.8472</v>
      </c>
      <c r="M168" s="237">
        <f>AVERAGE(Ashed_controlls!$K$1:$K$11)</f>
        <v>5.5147656768714146</v>
      </c>
      <c r="N168" s="194">
        <f t="shared" si="13"/>
        <v>1.7453312484168313</v>
      </c>
      <c r="O168" s="194">
        <f t="shared" si="18"/>
        <v>1.9571999999999998</v>
      </c>
      <c r="P168" s="237">
        <f>AVERAGE(Ashed_controlls!$K$12:$K$14)</f>
        <v>2.2816647271287041</v>
      </c>
      <c r="Q168" s="194">
        <f t="shared" si="14"/>
        <v>1.9125432579606367</v>
      </c>
      <c r="R168" s="16">
        <f>IF('Dry_Litterbag Placem_Collection'!G95="","",'Dry_Litterbag Placem_Collection'!G95)</f>
        <v>43006</v>
      </c>
      <c r="S168" s="194">
        <f>IFERROR(INDEX('Both teabags AfterDry'!$D$3:$D$2000,MATCH(H168,'Both teabags AfterDry'!$A$3:$A$2000,0)),"")</f>
        <v>1.9186000000000001</v>
      </c>
      <c r="T168" s="194">
        <f>IFERROR(INDEX('Both teabags AfterDry'!$D$3:$D$2000,MATCH(I168,'Both teabags AfterDry'!$A$3:$A$2000,0)),"")</f>
        <v>2.0310000000000001</v>
      </c>
      <c r="U168" s="194">
        <f t="shared" si="19"/>
        <v>1.768</v>
      </c>
      <c r="V168" s="194">
        <f t="shared" si="20"/>
        <v>1.8804000000000001</v>
      </c>
      <c r="W168" s="194">
        <f>IFERROR(INDEX('Ashed teabags dry'!$K$2:$K$2000,MATCH(H168,'Ashed teabags dry'!$A$2:$A$2000,0)),"")</f>
        <v>6.1659712563742239</v>
      </c>
      <c r="X168" s="194">
        <f>IFERROR(INDEX('Ashed teabags dry'!$K$2:$K$2000,MATCH(I168,'Ashed teabags dry'!$A$2:$A$2000,0)),"")</f>
        <v>3.8099506947561541</v>
      </c>
      <c r="Y168" s="194">
        <f t="shared" si="15"/>
        <v>1.6589856281873037</v>
      </c>
      <c r="Z168" s="194">
        <f t="shared" si="15"/>
        <v>1.8087576871358053</v>
      </c>
      <c r="AA168" s="194">
        <f t="shared" si="21"/>
        <v>4.947233959619457E-2</v>
      </c>
      <c r="AB168" s="194">
        <f t="shared" si="22"/>
        <v>3.2433172751899532E-2</v>
      </c>
      <c r="AC168" s="194">
        <f t="shared" si="16"/>
        <v>0.9457342622746745</v>
      </c>
      <c r="AD168">
        <f t="shared" si="23"/>
        <v>69</v>
      </c>
      <c r="AE168" s="194">
        <f t="shared" si="24"/>
        <v>0.94124425226105157</v>
      </c>
      <c r="AF168" s="194" t="str">
        <f t="shared" si="25"/>
        <v/>
      </c>
      <c r="AG168" s="252" t="str">
        <f>IF(ISNUMBER(SEARCH("C", 'Dry_Litterbag Placem_Collection'!$T95)),"YES","NO")</f>
        <v>NO</v>
      </c>
      <c r="AH168" s="252" t="str">
        <f>IF(ISNUMBER(SEARCH("H", 'Dry_Litterbag Placem_Collection'!$T95)),"YES","NO")</f>
        <v>YES</v>
      </c>
      <c r="AI168" s="252" t="str">
        <f>IF(ISNUMBER(SEARCH("R", 'Dry_Litterbag Placem_Collection'!$T95)),"YES","NO")</f>
        <v>NO</v>
      </c>
      <c r="AJ168" s="252" t="str">
        <f>IF(ISNUMBER(SEARCH("C", 'Dry_Litterbag Placem_Collection'!$S95)),"YES","NO")</f>
        <v>NO</v>
      </c>
      <c r="AK168" s="252" t="str">
        <f>IF(ISNUMBER(SEARCH("H", 'Dry_Litterbag Placem_Collection'!$S95)),"YES","NO")</f>
        <v>YES</v>
      </c>
      <c r="AL168" s="252" t="str">
        <f>IF(ISNUMBER(SEARCH("R", 'Dry_Litterbag Placem_Collection'!$S95)),"YES","NO")</f>
        <v>NO</v>
      </c>
    </row>
    <row r="169" spans="2:38">
      <c r="B169" t="str">
        <f>'Final data_for_R_analysis_Dryse'!A95</f>
        <v>Dry</v>
      </c>
      <c r="C169" s="260">
        <f>'Final data_for_R_analysis_Dryse'!B95</f>
        <v>94</v>
      </c>
      <c r="D169" t="s">
        <v>3814</v>
      </c>
      <c r="E169" t="s">
        <v>22</v>
      </c>
      <c r="F169" s="382">
        <v>6</v>
      </c>
      <c r="G169" s="16" t="str">
        <f>IF('Dry_Litterbag Placem_Collection'!E96="","",'Dry_Litterbag Placem_Collection'!E96)</f>
        <v/>
      </c>
      <c r="H169" t="str">
        <f>'Final data_for_R_analysis_Dryse'!K95</f>
        <v/>
      </c>
      <c r="I169" t="str">
        <f>'Final data_for_R_analysis_Dryse'!K315</f>
        <v/>
      </c>
      <c r="J169" t="str">
        <f>IFERROR(INDEX('Green_rooibos initial weight'!$C$5:$C$2000,MATCH(H169, 'Green_rooibos initial weight'!$A$5:$A$2000,0)),"")</f>
        <v/>
      </c>
      <c r="K169" t="str">
        <f>IFERROR(INDEX('Green_rooibos initial weight'!$C$5:$C$2000,MATCH(I169, 'Green_rooibos initial weight'!$A$5:$A$2000,0)),"")</f>
        <v/>
      </c>
      <c r="L169" s="194" t="str">
        <f t="shared" si="17"/>
        <v/>
      </c>
      <c r="M169" s="237">
        <f>AVERAGE(Ashed_controlls!$K$1:$K$11)</f>
        <v>5.5147656768714146</v>
      </c>
      <c r="N169" s="194" t="str">
        <f t="shared" si="13"/>
        <v/>
      </c>
      <c r="O169" s="194" t="str">
        <f t="shared" si="18"/>
        <v/>
      </c>
      <c r="P169" s="237">
        <f>AVERAGE(Ashed_controlls!$K$12:$K$14)</f>
        <v>2.2816647271287041</v>
      </c>
      <c r="Q169" s="194" t="str">
        <f t="shared" si="14"/>
        <v/>
      </c>
      <c r="R169" s="16" t="str">
        <f>IF('Dry_Litterbag Placem_Collection'!G96="","",'Dry_Litterbag Placem_Collection'!G96)</f>
        <v/>
      </c>
      <c r="S169" s="194" t="str">
        <f>IFERROR(INDEX('Both teabags AfterDry'!$D$3:$D$2000,MATCH(H169,'Both teabags AfterDry'!$A$3:$A$2000,0)),"")</f>
        <v/>
      </c>
      <c r="T169" s="194" t="str">
        <f>IFERROR(INDEX('Both teabags AfterDry'!$D$3:$D$2000,MATCH(I169,'Both teabags AfterDry'!$A$3:$A$2000,0)),"")</f>
        <v/>
      </c>
      <c r="U169" s="194" t="str">
        <f t="shared" si="19"/>
        <v/>
      </c>
      <c r="V169" s="194" t="str">
        <f t="shared" si="20"/>
        <v/>
      </c>
      <c r="W169" s="194" t="str">
        <f>IFERROR(INDEX('Ashed teabags dry'!$K$2:$K$2000,MATCH(H169,'Ashed teabags dry'!$A$2:$A$2000,0)),"")</f>
        <v/>
      </c>
      <c r="X169" s="194" t="str">
        <f>IFERROR(INDEX('Ashed teabags dry'!$K$2:$K$2000,MATCH(I169,'Ashed teabags dry'!$A$2:$A$2000,0)),"")</f>
        <v/>
      </c>
      <c r="Y169" s="194" t="str">
        <f t="shared" si="15"/>
        <v/>
      </c>
      <c r="Z169" s="194" t="str">
        <f t="shared" si="15"/>
        <v/>
      </c>
      <c r="AA169" s="194" t="str">
        <f t="shared" si="21"/>
        <v/>
      </c>
      <c r="AB169" s="194" t="str">
        <f t="shared" si="22"/>
        <v/>
      </c>
      <c r="AC169" s="194" t="str">
        <f t="shared" si="16"/>
        <v/>
      </c>
      <c r="AD169" t="str">
        <f t="shared" si="23"/>
        <v/>
      </c>
      <c r="AE169" s="194" t="str">
        <f t="shared" si="24"/>
        <v/>
      </c>
      <c r="AF169" s="194" t="str">
        <f t="shared" si="25"/>
        <v/>
      </c>
      <c r="AG169" s="252" t="str">
        <f>IF(ISNUMBER(SEARCH("C", 'Dry_Litterbag Placem_Collection'!$T96)),"YES","NO")</f>
        <v>NO</v>
      </c>
      <c r="AH169" s="252" t="str">
        <f>IF(ISNUMBER(SEARCH("H", 'Dry_Litterbag Placem_Collection'!$T96)),"YES","NO")</f>
        <v>NO</v>
      </c>
      <c r="AI169" s="252" t="str">
        <f>IF(ISNUMBER(SEARCH("R", 'Dry_Litterbag Placem_Collection'!$T96)),"YES","NO")</f>
        <v>NO</v>
      </c>
      <c r="AJ169" s="252" t="str">
        <f>IF(ISNUMBER(SEARCH("C", 'Dry_Litterbag Placem_Collection'!$S96)),"YES","NO")</f>
        <v>NO</v>
      </c>
      <c r="AK169" s="252" t="str">
        <f>IF(ISNUMBER(SEARCH("H", 'Dry_Litterbag Placem_Collection'!$S96)),"YES","NO")</f>
        <v>NO</v>
      </c>
      <c r="AL169" s="252" t="str">
        <f>IF(ISNUMBER(SEARCH("R", 'Dry_Litterbag Placem_Collection'!$S96)),"YES","NO")</f>
        <v>NO</v>
      </c>
    </row>
    <row r="170" spans="2:38">
      <c r="B170" t="str">
        <f>'Final data_for_R_analysis_Dryse'!A96</f>
        <v>Dry</v>
      </c>
      <c r="C170" s="260">
        <f>'Final data_for_R_analysis_Dryse'!B96</f>
        <v>95</v>
      </c>
      <c r="D170" t="s">
        <v>3814</v>
      </c>
      <c r="E170" t="s">
        <v>22</v>
      </c>
      <c r="F170" s="382">
        <v>7</v>
      </c>
      <c r="G170" s="16">
        <f>IF('Dry_Litterbag Placem_Collection'!E97="","",'Dry_Litterbag Placem_Collection'!E97)</f>
        <v>42937</v>
      </c>
      <c r="H170" t="str">
        <f>'Final data_for_R_analysis_Dryse'!K96</f>
        <v>G126</v>
      </c>
      <c r="I170" t="str">
        <f>'Final data_for_R_analysis_Dryse'!K316</f>
        <v>R794</v>
      </c>
      <c r="J170">
        <f>IFERROR(INDEX('Green_rooibos initial weight'!$C$5:$C$2000,MATCH(H170, 'Green_rooibos initial weight'!$A$5:$A$2000,0)),"")</f>
        <v>2.093</v>
      </c>
      <c r="K170">
        <f>IFERROR(INDEX('Green_rooibos initial weight'!$C$5:$C$2000,MATCH(I170, 'Green_rooibos initial weight'!$A$5:$A$2000,0)),"")</f>
        <v>2.2000000000000002</v>
      </c>
      <c r="L170" s="194">
        <f t="shared" si="17"/>
        <v>1.8431999999999999</v>
      </c>
      <c r="M170" s="237">
        <f>AVERAGE(Ashed_controlls!$K$1:$K$11)</f>
        <v>5.5147656768714146</v>
      </c>
      <c r="N170" s="194">
        <f t="shared" si="13"/>
        <v>1.741551839043906</v>
      </c>
      <c r="O170" s="194">
        <f t="shared" si="18"/>
        <v>1.9502000000000002</v>
      </c>
      <c r="P170" s="237">
        <f>AVERAGE(Ashed_controlls!$K$12:$K$14)</f>
        <v>2.2816647271287041</v>
      </c>
      <c r="Q170" s="194">
        <f t="shared" si="14"/>
        <v>1.9057029744915361</v>
      </c>
      <c r="R170" s="16">
        <f>IF('Dry_Litterbag Placem_Collection'!G97="","",'Dry_Litterbag Placem_Collection'!G97)</f>
        <v>43006</v>
      </c>
      <c r="S170" s="194">
        <f>IFERROR(INDEX('Both teabags AfterDry'!$D$3:$D$2000,MATCH(H170,'Both teabags AfterDry'!$A$3:$A$2000,0)),"")</f>
        <v>1.8705000000000001</v>
      </c>
      <c r="T170" s="194">
        <f>IFERROR(INDEX('Both teabags AfterDry'!$D$3:$D$2000,MATCH(I170,'Both teabags AfterDry'!$A$3:$A$2000,0)),"")</f>
        <v>1.9469000000000001</v>
      </c>
      <c r="U170" s="194">
        <f t="shared" si="19"/>
        <v>1.7199</v>
      </c>
      <c r="V170" s="194">
        <f t="shared" si="20"/>
        <v>1.7963</v>
      </c>
      <c r="W170" s="194">
        <f>IFERROR(INDEX('Ashed teabags dry'!$K$2:$K$2000,MATCH(H170,'Ashed teabags dry'!$A$2:$A$2000,0)),"")</f>
        <v>5.4866412213739713</v>
      </c>
      <c r="X170" s="194">
        <f>IFERROR(INDEX('Ashed teabags dry'!$K$2:$K$2000,MATCH(I170,'Ashed teabags dry'!$A$2:$A$2000,0)),"")</f>
        <v>2.6693030153240724</v>
      </c>
      <c r="Y170" s="194">
        <f t="shared" si="15"/>
        <v>1.6255352576335891</v>
      </c>
      <c r="Z170" s="194">
        <f t="shared" si="15"/>
        <v>1.7483513099357337</v>
      </c>
      <c r="AA170" s="194">
        <f t="shared" si="21"/>
        <v>6.6616783267277713E-2</v>
      </c>
      <c r="AB170" s="194">
        <f t="shared" si="22"/>
        <v>4.367276052676642E-2</v>
      </c>
      <c r="AC170" s="194">
        <f t="shared" si="16"/>
        <v>0.91743117019703158</v>
      </c>
      <c r="AD170">
        <f t="shared" si="23"/>
        <v>69</v>
      </c>
      <c r="AE170" s="194">
        <f t="shared" si="24"/>
        <v>0.92088268020513331</v>
      </c>
      <c r="AF170" s="194" t="str">
        <f t="shared" si="25"/>
        <v/>
      </c>
      <c r="AG170" s="252" t="str">
        <f>IF(ISNUMBER(SEARCH("C", 'Dry_Litterbag Placem_Collection'!$T97)),"YES","NO")</f>
        <v>NO</v>
      </c>
      <c r="AH170" s="252" t="str">
        <f>IF(ISNUMBER(SEARCH("H", 'Dry_Litterbag Placem_Collection'!$T97)),"YES","NO")</f>
        <v>NO</v>
      </c>
      <c r="AI170" s="252" t="str">
        <f>IF(ISNUMBER(SEARCH("R", 'Dry_Litterbag Placem_Collection'!$T97)),"YES","NO")</f>
        <v>NO</v>
      </c>
      <c r="AJ170" s="252" t="str">
        <f>IF(ISNUMBER(SEARCH("C", 'Dry_Litterbag Placem_Collection'!$S97)),"YES","NO")</f>
        <v>NO</v>
      </c>
      <c r="AK170" s="252" t="str">
        <f>IF(ISNUMBER(SEARCH("H", 'Dry_Litterbag Placem_Collection'!$S97)),"YES","NO")</f>
        <v>NO</v>
      </c>
      <c r="AL170" s="252" t="str">
        <f>IF(ISNUMBER(SEARCH("R", 'Dry_Litterbag Placem_Collection'!$S97)),"YES","NO")</f>
        <v>NO</v>
      </c>
    </row>
    <row r="171" spans="2:38">
      <c r="B171" t="str">
        <f>'Final data_for_R_analysis_Dryse'!A97</f>
        <v>Dry</v>
      </c>
      <c r="C171" s="260">
        <f>'Final data_for_R_analysis_Dryse'!B97</f>
        <v>96</v>
      </c>
      <c r="D171" t="s">
        <v>3814</v>
      </c>
      <c r="E171" t="s">
        <v>22</v>
      </c>
      <c r="F171" s="382">
        <v>8</v>
      </c>
      <c r="G171" s="16">
        <f>IF('Dry_Litterbag Placem_Collection'!E98="","",'Dry_Litterbag Placem_Collection'!E98)</f>
        <v>42937</v>
      </c>
      <c r="H171" t="str">
        <f>'Final data_for_R_analysis_Dryse'!K97</f>
        <v>G244</v>
      </c>
      <c r="I171" t="str">
        <f>'Final data_for_R_analysis_Dryse'!K317</f>
        <v>R737</v>
      </c>
      <c r="J171">
        <f>IFERROR(INDEX('Green_rooibos initial weight'!$C$5:$C$2000,MATCH(H171, 'Green_rooibos initial weight'!$A$5:$A$2000,0)),"")</f>
        <v>2.04</v>
      </c>
      <c r="K171">
        <f>IFERROR(INDEX('Green_rooibos initial weight'!$C$5:$C$2000,MATCH(I171, 'Green_rooibos initial weight'!$A$5:$A$2000,0)),"")</f>
        <v>2.222</v>
      </c>
      <c r="L171" s="194">
        <f t="shared" si="17"/>
        <v>1.7902</v>
      </c>
      <c r="M171" s="237">
        <f>AVERAGE(Ashed_controlls!$K$1:$K$11)</f>
        <v>5.5147656768714146</v>
      </c>
      <c r="N171" s="194">
        <f t="shared" si="13"/>
        <v>1.691474664852648</v>
      </c>
      <c r="O171" s="194">
        <f t="shared" si="18"/>
        <v>1.9722</v>
      </c>
      <c r="P171" s="237">
        <f>AVERAGE(Ashed_controlls!$K$12:$K$14)</f>
        <v>2.2816647271287041</v>
      </c>
      <c r="Q171" s="194">
        <f t="shared" si="14"/>
        <v>1.9272010082515676</v>
      </c>
      <c r="R171" s="16">
        <f>IF('Dry_Litterbag Placem_Collection'!G98="","",'Dry_Litterbag Placem_Collection'!G98)</f>
        <v>43006</v>
      </c>
      <c r="S171" s="194">
        <f>IFERROR(INDEX('Both teabags AfterDry'!$D$3:$D$2000,MATCH(H171,'Both teabags AfterDry'!$A$3:$A$2000,0)),"")</f>
        <v>1.8649</v>
      </c>
      <c r="T171" s="194">
        <f>IFERROR(INDEX('Both teabags AfterDry'!$D$3:$D$2000,MATCH(I171,'Both teabags AfterDry'!$A$3:$A$2000,0)),"")</f>
        <v>1.9686999999999999</v>
      </c>
      <c r="U171" s="194">
        <f t="shared" si="19"/>
        <v>1.7142999999999999</v>
      </c>
      <c r="V171" s="194">
        <f t="shared" si="20"/>
        <v>1.8180999999999998</v>
      </c>
      <c r="W171" s="194">
        <f>IFERROR(INDEX('Ashed teabags dry'!$K$2:$K$2000,MATCH(H171,'Ashed teabags dry'!$A$2:$A$2000,0)),"")</f>
        <v>5.8795180722893514</v>
      </c>
      <c r="X171" s="194">
        <f>IFERROR(INDEX('Ashed teabags dry'!$K$2:$K$2000,MATCH(I171,'Ashed teabags dry'!$A$2:$A$2000,0)),"")</f>
        <v>3.1531531531539305</v>
      </c>
      <c r="Y171" s="194">
        <f t="shared" si="15"/>
        <v>1.6135074216867435</v>
      </c>
      <c r="Z171" s="194">
        <f t="shared" si="15"/>
        <v>1.7607725225225082</v>
      </c>
      <c r="AA171" s="194">
        <f t="shared" si="21"/>
        <v>4.6094242370870231E-2</v>
      </c>
      <c r="AB171" s="194">
        <f t="shared" si="22"/>
        <v>3.0218553193254619E-2</v>
      </c>
      <c r="AC171" s="194">
        <f t="shared" si="16"/>
        <v>0.91364238342732607</v>
      </c>
      <c r="AD171">
        <f t="shared" si="23"/>
        <v>69</v>
      </c>
      <c r="AE171" s="194">
        <f t="shared" si="24"/>
        <v>0.94525624421511845</v>
      </c>
      <c r="AF171" s="194" t="str">
        <f t="shared" si="25"/>
        <v/>
      </c>
      <c r="AG171" s="252" t="str">
        <f>IF(ISNUMBER(SEARCH("C", 'Dry_Litterbag Placem_Collection'!$T98)),"YES","NO")</f>
        <v>NO</v>
      </c>
      <c r="AH171" s="252" t="str">
        <f>IF(ISNUMBER(SEARCH("H", 'Dry_Litterbag Placem_Collection'!$T98)),"YES","NO")</f>
        <v>NO</v>
      </c>
      <c r="AI171" s="252" t="str">
        <f>IF(ISNUMBER(SEARCH("R", 'Dry_Litterbag Placem_Collection'!$T98)),"YES","NO")</f>
        <v>NO</v>
      </c>
      <c r="AJ171" s="252" t="str">
        <f>IF(ISNUMBER(SEARCH("C", 'Dry_Litterbag Placem_Collection'!$S98)),"YES","NO")</f>
        <v>NO</v>
      </c>
      <c r="AK171" s="252" t="str">
        <f>IF(ISNUMBER(SEARCH("H", 'Dry_Litterbag Placem_Collection'!$S98)),"YES","NO")</f>
        <v>NO</v>
      </c>
      <c r="AL171" s="252" t="str">
        <f>IF(ISNUMBER(SEARCH("R", 'Dry_Litterbag Placem_Collection'!$S98)),"YES","NO")</f>
        <v>NO</v>
      </c>
    </row>
    <row r="172" spans="2:38">
      <c r="B172" t="str">
        <f>'Final data_for_R_analysis_Dryse'!A98</f>
        <v>Dry</v>
      </c>
      <c r="C172" s="260">
        <f>'Final data_for_R_analysis_Dryse'!B98</f>
        <v>97</v>
      </c>
      <c r="D172" t="s">
        <v>3815</v>
      </c>
      <c r="E172" t="s">
        <v>22</v>
      </c>
      <c r="F172" s="381">
        <v>1</v>
      </c>
      <c r="G172" s="16">
        <f>IF('Dry_Litterbag Placem_Collection'!E99="","",'Dry_Litterbag Placem_Collection'!E99)</f>
        <v>42939</v>
      </c>
      <c r="H172" t="str">
        <f>'Final data_for_R_analysis_Dryse'!K98</f>
        <v>G432</v>
      </c>
      <c r="I172" t="str">
        <f>'Final data_for_R_analysis_Dryse'!K318</f>
        <v>R801</v>
      </c>
      <c r="J172">
        <f>IFERROR(INDEX('Green_rooibos initial weight'!$C$5:$C$2000,MATCH(H172, 'Green_rooibos initial weight'!$A$5:$A$2000,0)),"")</f>
        <v>2.0659999999999998</v>
      </c>
      <c r="K172">
        <f>IFERROR(INDEX('Green_rooibos initial weight'!$C$5:$C$2000,MATCH(I172, 'Green_rooibos initial weight'!$A$5:$A$2000,0)),"")</f>
        <v>2.17</v>
      </c>
      <c r="L172" s="194">
        <f t="shared" si="17"/>
        <v>1.8161999999999998</v>
      </c>
      <c r="M172" s="237">
        <f>AVERAGE(Ashed_controlls!$K$1:$K$11)</f>
        <v>5.5147656768714146</v>
      </c>
      <c r="N172" s="194">
        <f t="shared" si="13"/>
        <v>1.7160408257766613</v>
      </c>
      <c r="O172" s="194">
        <f t="shared" si="18"/>
        <v>1.9201999999999999</v>
      </c>
      <c r="P172" s="237">
        <f>AVERAGE(Ashed_controlls!$K$12:$K$14)</f>
        <v>2.2816647271287041</v>
      </c>
      <c r="Q172" s="194">
        <f t="shared" si="14"/>
        <v>1.8763874739096746</v>
      </c>
      <c r="R172" s="16">
        <f>IF('Dry_Litterbag Placem_Collection'!G99="","",'Dry_Litterbag Placem_Collection'!G99)</f>
        <v>43010</v>
      </c>
      <c r="S172" s="194" t="str">
        <f>IFERROR(INDEX('Both teabags AfterDry'!$D$3:$D$2000,MATCH(H172,'Both teabags AfterDry'!$A$3:$A$2000,0)),"")</f>
        <v/>
      </c>
      <c r="T172" s="194" t="str">
        <f>IFERROR(INDEX('Both teabags AfterDry'!$D$3:$D$2000,MATCH(I172,'Both teabags AfterDry'!$A$3:$A$2000,0)),"")</f>
        <v/>
      </c>
      <c r="U172" s="194" t="str">
        <f t="shared" si="19"/>
        <v/>
      </c>
      <c r="V172" s="194" t="str">
        <f t="shared" si="20"/>
        <v/>
      </c>
      <c r="W172" s="194" t="str">
        <f>IFERROR(INDEX('Ashed teabags dry'!$K$2:$K$2000,MATCH(H172,'Ashed teabags dry'!$A$2:$A$2000,0)),"")</f>
        <v/>
      </c>
      <c r="X172" s="194" t="str">
        <f>IFERROR(INDEX('Ashed teabags dry'!$K$2:$K$2000,MATCH(I172,'Ashed teabags dry'!$A$2:$A$2000,0)),"")</f>
        <v/>
      </c>
      <c r="Y172" s="194" t="str">
        <f t="shared" si="15"/>
        <v/>
      </c>
      <c r="Z172" s="194" t="str">
        <f t="shared" si="15"/>
        <v/>
      </c>
      <c r="AA172" s="194" t="str">
        <f t="shared" si="21"/>
        <v/>
      </c>
      <c r="AB172" s="194" t="str">
        <f t="shared" si="22"/>
        <v/>
      </c>
      <c r="AC172" s="194" t="str">
        <f t="shared" si="16"/>
        <v/>
      </c>
      <c r="AD172">
        <f t="shared" si="23"/>
        <v>71</v>
      </c>
      <c r="AE172" s="194" t="str">
        <f t="shared" si="24"/>
        <v/>
      </c>
      <c r="AF172" s="194" t="str">
        <f t="shared" si="25"/>
        <v/>
      </c>
      <c r="AG172" s="252" t="str">
        <f>IF(ISNUMBER(SEARCH("C", 'Dry_Litterbag Placem_Collection'!$T99)),"YES","NO")</f>
        <v>YES</v>
      </c>
      <c r="AH172" s="252" t="str">
        <f>IF(ISNUMBER(SEARCH("H", 'Dry_Litterbag Placem_Collection'!$T99)),"YES","NO")</f>
        <v>YES</v>
      </c>
      <c r="AI172" s="252" t="str">
        <f>IF(ISNUMBER(SEARCH("R", 'Dry_Litterbag Placem_Collection'!$T99)),"YES","NO")</f>
        <v>NO</v>
      </c>
      <c r="AJ172" s="252" t="str">
        <f>IF(ISNUMBER(SEARCH("C", 'Dry_Litterbag Placem_Collection'!$S99)),"YES","NO")</f>
        <v>YES</v>
      </c>
      <c r="AK172" s="252" t="str">
        <f>IF(ISNUMBER(SEARCH("H", 'Dry_Litterbag Placem_Collection'!$S99)),"YES","NO")</f>
        <v>YES</v>
      </c>
      <c r="AL172" s="252" t="str">
        <f>IF(ISNUMBER(SEARCH("R", 'Dry_Litterbag Placem_Collection'!$S99)),"YES","NO")</f>
        <v>NO</v>
      </c>
    </row>
    <row r="173" spans="2:38">
      <c r="B173" t="str">
        <f>'Final data_for_R_analysis_Dryse'!A99</f>
        <v>Dry</v>
      </c>
      <c r="C173" s="260">
        <f>'Final data_for_R_analysis_Dryse'!B99</f>
        <v>98</v>
      </c>
      <c r="D173" t="s">
        <v>3815</v>
      </c>
      <c r="E173" t="s">
        <v>22</v>
      </c>
      <c r="F173" s="381">
        <v>2</v>
      </c>
      <c r="G173" s="16">
        <f>IF('Dry_Litterbag Placem_Collection'!E100="","",'Dry_Litterbag Placem_Collection'!E100)</f>
        <v>42939</v>
      </c>
      <c r="H173" t="str">
        <f>'Final data_for_R_analysis_Dryse'!K99</f>
        <v>G184</v>
      </c>
      <c r="I173" t="str">
        <f>'Final data_for_R_analysis_Dryse'!K319</f>
        <v>R808</v>
      </c>
      <c r="J173">
        <f>IFERROR(INDEX('Green_rooibos initial weight'!$C$5:$C$2000,MATCH(H173, 'Green_rooibos initial weight'!$A$5:$A$2000,0)),"")</f>
        <v>1.925</v>
      </c>
      <c r="K173">
        <f>IFERROR(INDEX('Green_rooibos initial weight'!$C$5:$C$2000,MATCH(I173, 'Green_rooibos initial weight'!$A$5:$A$2000,0)),"")</f>
        <v>2.2309999999999999</v>
      </c>
      <c r="L173" s="194">
        <f t="shared" si="17"/>
        <v>1.6752</v>
      </c>
      <c r="M173" s="237">
        <f>AVERAGE(Ashed_controlls!$K$1:$K$11)</f>
        <v>5.5147656768714146</v>
      </c>
      <c r="N173" s="194">
        <f t="shared" si="13"/>
        <v>1.5828166453810502</v>
      </c>
      <c r="O173" s="194">
        <f t="shared" si="18"/>
        <v>1.9811999999999999</v>
      </c>
      <c r="P173" s="237">
        <f>AVERAGE(Ashed_controlls!$K$12:$K$14)</f>
        <v>2.2816647271287041</v>
      </c>
      <c r="Q173" s="194">
        <f t="shared" si="14"/>
        <v>1.935995658426126</v>
      </c>
      <c r="R173" s="16">
        <f>IF('Dry_Litterbag Placem_Collection'!G100="","",'Dry_Litterbag Placem_Collection'!G100)</f>
        <v>43010</v>
      </c>
      <c r="S173" s="194">
        <f>IFERROR(INDEX('Both teabags AfterDry'!$D$3:$D$2000,MATCH(H173,'Both teabags AfterDry'!$A$3:$A$2000,0)),"")</f>
        <v>0.99180000000000001</v>
      </c>
      <c r="T173" s="194">
        <f>IFERROR(INDEX('Both teabags AfterDry'!$D$3:$D$2000,MATCH(I173,'Both teabags AfterDry'!$A$3:$A$2000,0)),"")</f>
        <v>0</v>
      </c>
      <c r="U173" s="194">
        <f t="shared" si="19"/>
        <v>0.84119999999999995</v>
      </c>
      <c r="V173" s="194" t="str">
        <f t="shared" si="20"/>
        <v/>
      </c>
      <c r="W173" s="194">
        <f>IFERROR(INDEX('Ashed teabags dry'!$K$2:$K$2000,MATCH(H173,'Ashed teabags dry'!$A$2:$A$2000,0)),"")</f>
        <v>12.153918348193013</v>
      </c>
      <c r="X173" s="194">
        <f>IFERROR(INDEX('Ashed teabags dry'!$K$2:$K$2000,MATCH(I173,'Ashed teabags dry'!$A$2:$A$2000,0)),"")</f>
        <v>0</v>
      </c>
      <c r="Y173" s="194">
        <f t="shared" si="15"/>
        <v>0.73896123885500031</v>
      </c>
      <c r="Z173" s="194" t="str">
        <f t="shared" si="15"/>
        <v/>
      </c>
      <c r="AA173" s="194">
        <f t="shared" si="21"/>
        <v>0.53313528701418134</v>
      </c>
      <c r="AB173" s="194">
        <f t="shared" si="22"/>
        <v>0.34951386987152983</v>
      </c>
      <c r="AC173" s="194" t="str">
        <f t="shared" si="16"/>
        <v/>
      </c>
      <c r="AD173">
        <f t="shared" si="23"/>
        <v>71</v>
      </c>
      <c r="AE173" s="194">
        <f t="shared" si="24"/>
        <v>0.3668226995080982</v>
      </c>
      <c r="AF173" s="194" t="str">
        <f t="shared" si="25"/>
        <v/>
      </c>
      <c r="AG173" s="252" t="str">
        <f>IF(ISNUMBER(SEARCH("C", 'Dry_Litterbag Placem_Collection'!$T100)),"YES","NO")</f>
        <v>YES</v>
      </c>
      <c r="AH173" s="252" t="str">
        <f>IF(ISNUMBER(SEARCH("H", 'Dry_Litterbag Placem_Collection'!$T100)),"YES","NO")</f>
        <v>YES</v>
      </c>
      <c r="AI173" s="252" t="str">
        <f>IF(ISNUMBER(SEARCH("R", 'Dry_Litterbag Placem_Collection'!$T100)),"YES","NO")</f>
        <v>NO</v>
      </c>
      <c r="AJ173" s="252" t="str">
        <f>IF(ISNUMBER(SEARCH("C", 'Dry_Litterbag Placem_Collection'!$S100)),"YES","NO")</f>
        <v>YES</v>
      </c>
      <c r="AK173" s="252" t="str">
        <f>IF(ISNUMBER(SEARCH("H", 'Dry_Litterbag Placem_Collection'!$S100)),"YES","NO")</f>
        <v>YES</v>
      </c>
      <c r="AL173" s="252" t="str">
        <f>IF(ISNUMBER(SEARCH("R", 'Dry_Litterbag Placem_Collection'!$S100)),"YES","NO")</f>
        <v>NO</v>
      </c>
    </row>
    <row r="174" spans="2:38">
      <c r="B174" t="str">
        <f>'Final data_for_R_analysis_Dryse'!A100</f>
        <v>Dry</v>
      </c>
      <c r="C174" s="260">
        <f>'Final data_for_R_analysis_Dryse'!B100</f>
        <v>99</v>
      </c>
      <c r="D174" t="s">
        <v>3815</v>
      </c>
      <c r="E174" t="s">
        <v>22</v>
      </c>
      <c r="F174" s="381">
        <v>3</v>
      </c>
      <c r="G174" s="16" t="str">
        <f>IF('Dry_Litterbag Placem_Collection'!E101="","",'Dry_Litterbag Placem_Collection'!E101)</f>
        <v/>
      </c>
      <c r="H174" t="str">
        <f>'Final data_for_R_analysis_Dryse'!K100</f>
        <v/>
      </c>
      <c r="I174" t="str">
        <f>'Final data_for_R_analysis_Dryse'!K320</f>
        <v/>
      </c>
      <c r="J174" t="str">
        <f>IFERROR(INDEX('Green_rooibos initial weight'!$C$5:$C$2000,MATCH(H174, 'Green_rooibos initial weight'!$A$5:$A$2000,0)),"")</f>
        <v/>
      </c>
      <c r="K174" t="str">
        <f>IFERROR(INDEX('Green_rooibos initial weight'!$C$5:$C$2000,MATCH(I174, 'Green_rooibos initial weight'!$A$5:$A$2000,0)),"")</f>
        <v/>
      </c>
      <c r="L174" s="194" t="str">
        <f t="shared" si="17"/>
        <v/>
      </c>
      <c r="M174" s="237">
        <f>AVERAGE(Ashed_controlls!$K$1:$K$11)</f>
        <v>5.5147656768714146</v>
      </c>
      <c r="N174" s="194" t="str">
        <f t="shared" si="13"/>
        <v/>
      </c>
      <c r="O174" s="194" t="str">
        <f t="shared" si="18"/>
        <v/>
      </c>
      <c r="P174" s="237">
        <f>AVERAGE(Ashed_controlls!$K$12:$K$14)</f>
        <v>2.2816647271287041</v>
      </c>
      <c r="Q174" s="194" t="str">
        <f t="shared" si="14"/>
        <v/>
      </c>
      <c r="R174" s="16" t="str">
        <f>IF('Dry_Litterbag Placem_Collection'!G101="","",'Dry_Litterbag Placem_Collection'!G101)</f>
        <v/>
      </c>
      <c r="S174" s="194" t="str">
        <f>IFERROR(INDEX('Both teabags AfterDry'!$D$3:$D$2000,MATCH(H174,'Both teabags AfterDry'!$A$3:$A$2000,0)),"")</f>
        <v/>
      </c>
      <c r="T174" s="194" t="str">
        <f>IFERROR(INDEX('Both teabags AfterDry'!$D$3:$D$2000,MATCH(I174,'Both teabags AfterDry'!$A$3:$A$2000,0)),"")</f>
        <v/>
      </c>
      <c r="U174" s="194" t="str">
        <f t="shared" si="19"/>
        <v/>
      </c>
      <c r="V174" s="194" t="str">
        <f t="shared" si="20"/>
        <v/>
      </c>
      <c r="W174" s="194" t="str">
        <f>IFERROR(INDEX('Ashed teabags dry'!$K$2:$K$2000,MATCH(H174,'Ashed teabags dry'!$A$2:$A$2000,0)),"")</f>
        <v/>
      </c>
      <c r="X174" s="194" t="str">
        <f>IFERROR(INDEX('Ashed teabags dry'!$K$2:$K$2000,MATCH(I174,'Ashed teabags dry'!$A$2:$A$2000,0)),"")</f>
        <v/>
      </c>
      <c r="Y174" s="194" t="str">
        <f t="shared" si="15"/>
        <v/>
      </c>
      <c r="Z174" s="194" t="str">
        <f t="shared" si="15"/>
        <v/>
      </c>
      <c r="AA174" s="194" t="str">
        <f t="shared" si="21"/>
        <v/>
      </c>
      <c r="AB174" s="194" t="str">
        <f t="shared" si="22"/>
        <v/>
      </c>
      <c r="AC174" s="194" t="str">
        <f t="shared" si="16"/>
        <v/>
      </c>
      <c r="AD174" t="str">
        <f t="shared" si="23"/>
        <v/>
      </c>
      <c r="AE174" s="194" t="str">
        <f t="shared" si="24"/>
        <v/>
      </c>
      <c r="AF174" s="194" t="str">
        <f t="shared" si="25"/>
        <v/>
      </c>
      <c r="AG174" s="252" t="str">
        <f>IF(ISNUMBER(SEARCH("C", 'Dry_Litterbag Placem_Collection'!$T101)),"YES","NO")</f>
        <v>NO</v>
      </c>
      <c r="AH174" s="252" t="str">
        <f>IF(ISNUMBER(SEARCH("H", 'Dry_Litterbag Placem_Collection'!$T101)),"YES","NO")</f>
        <v>NO</v>
      </c>
      <c r="AI174" s="252" t="str">
        <f>IF(ISNUMBER(SEARCH("R", 'Dry_Litterbag Placem_Collection'!$T101)),"YES","NO")</f>
        <v>NO</v>
      </c>
      <c r="AJ174" s="252" t="str">
        <f>IF(ISNUMBER(SEARCH("C", 'Dry_Litterbag Placem_Collection'!$S101)),"YES","NO")</f>
        <v>NO</v>
      </c>
      <c r="AK174" s="252" t="str">
        <f>IF(ISNUMBER(SEARCH("H", 'Dry_Litterbag Placem_Collection'!$S101)),"YES","NO")</f>
        <v>NO</v>
      </c>
      <c r="AL174" s="252" t="str">
        <f>IF(ISNUMBER(SEARCH("R", 'Dry_Litterbag Placem_Collection'!$S101)),"YES","NO")</f>
        <v>NO</v>
      </c>
    </row>
    <row r="175" spans="2:38">
      <c r="B175" t="str">
        <f>'Final data_for_R_analysis_Dryse'!A101</f>
        <v>Dry</v>
      </c>
      <c r="C175" s="260">
        <f>'Final data_for_R_analysis_Dryse'!B101</f>
        <v>100</v>
      </c>
      <c r="D175" t="s">
        <v>3815</v>
      </c>
      <c r="E175" t="s">
        <v>22</v>
      </c>
      <c r="F175" s="382">
        <v>4</v>
      </c>
      <c r="G175" s="16">
        <f>IF('Dry_Litterbag Placem_Collection'!E102="","",'Dry_Litterbag Placem_Collection'!E102)</f>
        <v>42939</v>
      </c>
      <c r="H175" t="str">
        <f>'Final data_for_R_analysis_Dryse'!K101</f>
        <v>G176</v>
      </c>
      <c r="I175" t="str">
        <f>'Final data_for_R_analysis_Dryse'!K321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7"/>
        <v>1.8092000000000001</v>
      </c>
      <c r="M175" s="237">
        <f>AVERAGE(Ashed_controlls!$K$1:$K$11)</f>
        <v>5.5147656768714146</v>
      </c>
      <c r="N175" s="194">
        <f t="shared" si="13"/>
        <v>1.7094268593740425</v>
      </c>
      <c r="O175" s="194">
        <f t="shared" si="18"/>
        <v>1.9432</v>
      </c>
      <c r="P175" s="237">
        <f>AVERAGE(Ashed_controlls!$K$12:$K$14)</f>
        <v>2.2816647271287041</v>
      </c>
      <c r="Q175" s="194">
        <f t="shared" si="14"/>
        <v>1.8988626910224351</v>
      </c>
      <c r="R175" s="16">
        <f>IF('Dry_Litterbag Placem_Collection'!G102="","",'Dry_Litterbag Placem_Collection'!G102)</f>
        <v>43010</v>
      </c>
      <c r="S175" s="194">
        <f>IFERROR(INDEX('Both teabags AfterDry'!$D$3:$D$2000,MATCH(H175,'Both teabags AfterDry'!$A$3:$A$2000,0)),"")</f>
        <v>1.3146</v>
      </c>
      <c r="T175" s="194">
        <f>IFERROR(INDEX('Both teabags AfterDry'!$D$3:$D$2000,MATCH(I175,'Both teabags AfterDry'!$A$3:$A$2000,0)),"")</f>
        <v>1.4581</v>
      </c>
      <c r="U175" s="194">
        <f t="shared" si="19"/>
        <v>1.1639999999999999</v>
      </c>
      <c r="V175" s="194">
        <f t="shared" si="20"/>
        <v>1.3074999999999999</v>
      </c>
      <c r="W175" s="194">
        <f>IFERROR(INDEX('Ashed teabags dry'!$K$2:$K$2000,MATCH(H175,'Ashed teabags dry'!$A$2:$A$2000,0)),"")</f>
        <v>14.190157668418236</v>
      </c>
      <c r="X175" s="194">
        <f>IFERROR(INDEX('Ashed teabags dry'!$K$2:$K$2000,MATCH(I175,'Ashed teabags dry'!$A$2:$A$2000,0)),"")</f>
        <v>88.392857142857224</v>
      </c>
      <c r="Y175" s="194">
        <f t="shared" si="15"/>
        <v>0.99882656473961173</v>
      </c>
      <c r="Z175" s="194">
        <f t="shared" si="15"/>
        <v>0.1517633928571418</v>
      </c>
      <c r="AA175" s="194">
        <f t="shared" si="21"/>
        <v>0.4156950563504298</v>
      </c>
      <c r="AB175" s="194">
        <f t="shared" si="22"/>
        <v>0.27252217470954548</v>
      </c>
      <c r="AC175" s="194">
        <f t="shared" si="16"/>
        <v>7.9923310713649026E-2</v>
      </c>
      <c r="AD175">
        <f t="shared" si="23"/>
        <v>71</v>
      </c>
      <c r="AE175" s="194">
        <f t="shared" si="24"/>
        <v>0.50630040813488142</v>
      </c>
      <c r="AF175" s="194" t="str">
        <f t="shared" si="25"/>
        <v/>
      </c>
      <c r="AG175" s="252" t="str">
        <f>IF(ISNUMBER(SEARCH("C", 'Dry_Litterbag Placem_Collection'!$T102)),"YES","NO")</f>
        <v>YES</v>
      </c>
      <c r="AH175" s="252" t="str">
        <f>IF(ISNUMBER(SEARCH("H", 'Dry_Litterbag Placem_Collection'!$T102)),"YES","NO")</f>
        <v>YES</v>
      </c>
      <c r="AI175" s="252" t="str">
        <f>IF(ISNUMBER(SEARCH("R", 'Dry_Litterbag Placem_Collection'!$T102)),"YES","NO")</f>
        <v>NO</v>
      </c>
      <c r="AJ175" s="252" t="str">
        <f>IF(ISNUMBER(SEARCH("C", 'Dry_Litterbag Placem_Collection'!$S102)),"YES","NO")</f>
        <v>YES</v>
      </c>
      <c r="AK175" s="252" t="str">
        <f>IF(ISNUMBER(SEARCH("H", 'Dry_Litterbag Placem_Collection'!$S102)),"YES","NO")</f>
        <v>YES</v>
      </c>
      <c r="AL175" s="252" t="str">
        <f>IF(ISNUMBER(SEARCH("R", 'Dry_Litterbag Placem_Collection'!$S102)),"YES","NO")</f>
        <v>NO</v>
      </c>
    </row>
    <row r="176" spans="2:38">
      <c r="B176" t="str">
        <f>'Final data_for_R_analysis_Dryse'!A102</f>
        <v>Dry</v>
      </c>
      <c r="C176" s="260">
        <f>'Final data_for_R_analysis_Dryse'!B102</f>
        <v>101</v>
      </c>
      <c r="D176" t="s">
        <v>3815</v>
      </c>
      <c r="E176" t="s">
        <v>22</v>
      </c>
      <c r="F176" s="382">
        <v>5</v>
      </c>
      <c r="G176" s="16">
        <f>IF('Dry_Litterbag Placem_Collection'!E103="","",'Dry_Litterbag Placem_Collection'!E103)</f>
        <v>42939</v>
      </c>
      <c r="H176" t="str">
        <f>'Final data_for_R_analysis_Dryse'!K102</f>
        <v>G11</v>
      </c>
      <c r="I176" t="str">
        <f>'Final data_for_R_analysis_Dryse'!K322</f>
        <v>R624</v>
      </c>
      <c r="J176">
        <f>IFERROR(INDEX('Green_rooibos initial weight'!$C$5:$C$2000,MATCH(H176, 'Green_rooibos initial weight'!$A$5:$A$2000,0)),"")</f>
        <v>1.839</v>
      </c>
      <c r="K176">
        <f>IFERROR(INDEX('Green_rooibos initial weight'!$C$5:$C$2000,MATCH(I176, 'Green_rooibos initial weight'!$A$5:$A$2000,0)),"")</f>
        <v>2.0739999999999998</v>
      </c>
      <c r="L176" s="194">
        <f t="shared" si="17"/>
        <v>1.5891999999999999</v>
      </c>
      <c r="M176" s="237">
        <f>AVERAGE(Ashed_controlls!$K$1:$K$11)</f>
        <v>5.5147656768714146</v>
      </c>
      <c r="N176" s="194">
        <f t="shared" si="13"/>
        <v>1.5015593438631594</v>
      </c>
      <c r="O176" s="194">
        <f t="shared" si="18"/>
        <v>1.8241999999999998</v>
      </c>
      <c r="P176" s="237">
        <f>AVERAGE(Ashed_controlls!$K$12:$K$14)</f>
        <v>2.2816647271287041</v>
      </c>
      <c r="Q176" s="194">
        <f t="shared" si="14"/>
        <v>1.7825778720477179</v>
      </c>
      <c r="R176" s="16">
        <f>IF('Dry_Litterbag Placem_Collection'!G103="","",'Dry_Litterbag Placem_Collection'!G103)</f>
        <v>43010</v>
      </c>
      <c r="S176" s="194">
        <f>IFERROR(INDEX('Both teabags AfterDry'!$D$3:$D$2000,MATCH(H176,'Both teabags AfterDry'!$A$3:$A$2000,0)),"")</f>
        <v>1.0169999999999999</v>
      </c>
      <c r="T176" s="194">
        <f>IFERROR(INDEX('Both teabags AfterDry'!$D$3:$D$2000,MATCH(I176,'Both teabags AfterDry'!$A$3:$A$2000,0)),"")</f>
        <v>0</v>
      </c>
      <c r="U176" s="194">
        <f t="shared" si="19"/>
        <v>0.86639999999999984</v>
      </c>
      <c r="V176" s="194" t="str">
        <f t="shared" si="20"/>
        <v/>
      </c>
      <c r="W176" s="194">
        <f>IFERROR(INDEX('Ashed teabags dry'!$K$2:$K$2000,MATCH(H176,'Ashed teabags dry'!$A$2:$A$2000,0)),"")</f>
        <v>15.774099318403096</v>
      </c>
      <c r="X176" s="194">
        <f>IFERROR(INDEX('Ashed teabags dry'!$K$2:$K$2000,MATCH(I176,'Ashed teabags dry'!$A$2:$A$2000,0)),"")</f>
        <v>86.281234688877774</v>
      </c>
      <c r="Y176" s="194">
        <f t="shared" si="15"/>
        <v>0.72973320350535542</v>
      </c>
      <c r="Z176" s="194" t="str">
        <f t="shared" si="15"/>
        <v/>
      </c>
      <c r="AA176" s="194">
        <f t="shared" si="21"/>
        <v>0.51401640801759907</v>
      </c>
      <c r="AB176" s="194">
        <f t="shared" si="22"/>
        <v>0.33697987794027873</v>
      </c>
      <c r="AC176" s="194" t="str">
        <f t="shared" si="16"/>
        <v/>
      </c>
      <c r="AD176">
        <f t="shared" si="23"/>
        <v>71</v>
      </c>
      <c r="AE176" s="194">
        <f t="shared" si="24"/>
        <v>0.38952920662992985</v>
      </c>
      <c r="AF176" s="194" t="str">
        <f t="shared" si="25"/>
        <v/>
      </c>
      <c r="AG176" s="252" t="str">
        <f>IF(ISNUMBER(SEARCH("C", 'Dry_Litterbag Placem_Collection'!$T103)),"YES","NO")</f>
        <v>YES</v>
      </c>
      <c r="AH176" s="252" t="str">
        <f>IF(ISNUMBER(SEARCH("H", 'Dry_Litterbag Placem_Collection'!$T103)),"YES","NO")</f>
        <v>YES</v>
      </c>
      <c r="AI176" s="252" t="str">
        <f>IF(ISNUMBER(SEARCH("R", 'Dry_Litterbag Placem_Collection'!$T103)),"YES","NO")</f>
        <v>NO</v>
      </c>
      <c r="AJ176" s="252" t="str">
        <f>IF(ISNUMBER(SEARCH("C", 'Dry_Litterbag Placem_Collection'!$S103)),"YES","NO")</f>
        <v>YES</v>
      </c>
      <c r="AK176" s="252" t="str">
        <f>IF(ISNUMBER(SEARCH("H", 'Dry_Litterbag Placem_Collection'!$S103)),"YES","NO")</f>
        <v>NO</v>
      </c>
      <c r="AL176" s="252" t="str">
        <f>IF(ISNUMBER(SEARCH("R", 'Dry_Litterbag Placem_Collection'!$S103)),"YES","NO")</f>
        <v>NO</v>
      </c>
    </row>
    <row r="177" spans="2:38">
      <c r="B177" t="str">
        <f>'Final data_for_R_analysis_Dryse'!A103</f>
        <v>Dry</v>
      </c>
      <c r="C177" s="260">
        <f>'Final data_for_R_analysis_Dryse'!B103</f>
        <v>102</v>
      </c>
      <c r="D177" t="s">
        <v>3815</v>
      </c>
      <c r="E177" t="s">
        <v>22</v>
      </c>
      <c r="F177" s="382">
        <v>6</v>
      </c>
      <c r="G177" s="16">
        <f>IF('Dry_Litterbag Placem_Collection'!E104="","",'Dry_Litterbag Placem_Collection'!E104)</f>
        <v>42939</v>
      </c>
      <c r="H177" t="str">
        <f>'Final data_for_R_analysis_Dryse'!K103</f>
        <v>G284</v>
      </c>
      <c r="I177" t="str">
        <f>'Final data_for_R_analysis_Dryse'!K323</f>
        <v>R781</v>
      </c>
      <c r="J177">
        <f>IFERROR(INDEX('Green_rooibos initial weight'!$C$5:$C$2000,MATCH(H177, 'Green_rooibos initial weight'!$A$5:$A$2000,0)),"")</f>
        <v>2.0760000000000001</v>
      </c>
      <c r="K177">
        <f>IFERROR(INDEX('Green_rooibos initial weight'!$C$5:$C$2000,MATCH(I177, 'Green_rooibos initial weight'!$A$5:$A$2000,0)),"")</f>
        <v>2.194</v>
      </c>
      <c r="L177" s="194">
        <f t="shared" si="17"/>
        <v>1.8262</v>
      </c>
      <c r="M177" s="237">
        <f>AVERAGE(Ashed_controlls!$K$1:$K$11)</f>
        <v>5.5147656768714146</v>
      </c>
      <c r="N177" s="194">
        <f t="shared" si="13"/>
        <v>1.7254893492089742</v>
      </c>
      <c r="O177" s="194">
        <f t="shared" si="18"/>
        <v>1.9441999999999999</v>
      </c>
      <c r="P177" s="237">
        <f>AVERAGE(Ashed_controlls!$K$12:$K$14)</f>
        <v>2.2816647271287041</v>
      </c>
      <c r="Q177" s="194">
        <f t="shared" si="14"/>
        <v>1.8998398743751637</v>
      </c>
      <c r="R177" s="16">
        <f>IF('Dry_Litterbag Placem_Collection'!G104="","",'Dry_Litterbag Placem_Collection'!G104)</f>
        <v>43010</v>
      </c>
      <c r="S177" s="194">
        <f>IFERROR(INDEX('Both teabags AfterDry'!$D$3:$D$2000,MATCH(H177,'Both teabags AfterDry'!$A$3:$A$2000,0)),"")</f>
        <v>1.1585000000000001</v>
      </c>
      <c r="T177" s="194">
        <f>IFERROR(INDEX('Both teabags AfterDry'!$D$3:$D$2000,MATCH(I177,'Both teabags AfterDry'!$A$3:$A$2000,0)),"")</f>
        <v>1.8687</v>
      </c>
      <c r="U177" s="194">
        <f t="shared" si="19"/>
        <v>1.0079</v>
      </c>
      <c r="V177" s="194">
        <f t="shared" si="20"/>
        <v>1.7181</v>
      </c>
      <c r="W177" s="194">
        <f>IFERROR(INDEX('Ashed teabags dry'!$K$2:$K$2000,MATCH(H177,'Ashed teabags dry'!$A$2:$A$2000,0)),"")</f>
        <v>12.200736648250626</v>
      </c>
      <c r="X177" s="194">
        <f>IFERROR(INDEX('Ashed teabags dry'!$K$2:$K$2000,MATCH(I177,'Ashed teabags dry'!$A$2:$A$2000,0)),"")</f>
        <v>3.9305301645336419</v>
      </c>
      <c r="Y177" s="194">
        <f t="shared" si="15"/>
        <v>0.88492877532228198</v>
      </c>
      <c r="Z177" s="194">
        <f t="shared" si="15"/>
        <v>1.6505695612431475</v>
      </c>
      <c r="AA177" s="194">
        <f t="shared" si="21"/>
        <v>0.48714329895576303</v>
      </c>
      <c r="AB177" s="194">
        <f t="shared" si="22"/>
        <v>0.31936235275959768</v>
      </c>
      <c r="AC177" s="194">
        <f t="shared" si="16"/>
        <v>0.86879404075356692</v>
      </c>
      <c r="AD177">
        <f t="shared" si="23"/>
        <v>71</v>
      </c>
      <c r="AE177" s="194">
        <f t="shared" si="24"/>
        <v>0.42144501311667093</v>
      </c>
      <c r="AF177" s="194">
        <f t="shared" si="25"/>
        <v>7.4514487719086605E-3</v>
      </c>
      <c r="AG177" s="252" t="str">
        <f>IF(ISNUMBER(SEARCH("C", 'Dry_Litterbag Placem_Collection'!$T104)),"YES","NO")</f>
        <v>YES</v>
      </c>
      <c r="AH177" s="252" t="str">
        <f>IF(ISNUMBER(SEARCH("H", 'Dry_Litterbag Placem_Collection'!$T104)),"YES","NO")</f>
        <v>YES</v>
      </c>
      <c r="AI177" s="252" t="str">
        <f>IF(ISNUMBER(SEARCH("R", 'Dry_Litterbag Placem_Collection'!$T104)),"YES","NO")</f>
        <v>NO</v>
      </c>
      <c r="AJ177" s="252" t="str">
        <f>IF(ISNUMBER(SEARCH("C", 'Dry_Litterbag Placem_Collection'!$S104)),"YES","NO")</f>
        <v>YES</v>
      </c>
      <c r="AK177" s="252" t="str">
        <f>IF(ISNUMBER(SEARCH("H", 'Dry_Litterbag Placem_Collection'!$S104)),"YES","NO")</f>
        <v>YES</v>
      </c>
      <c r="AL177" s="252" t="str">
        <f>IF(ISNUMBER(SEARCH("R", 'Dry_Litterbag Placem_Collection'!$S104)),"YES","NO")</f>
        <v>NO</v>
      </c>
    </row>
    <row r="178" spans="2:38">
      <c r="B178" t="str">
        <f>'Final data_for_R_analysis_Dryse'!A104</f>
        <v>Dry</v>
      </c>
      <c r="C178" s="260">
        <f>'Final data_for_R_analysis_Dryse'!B104</f>
        <v>103</v>
      </c>
      <c r="D178" t="s">
        <v>3815</v>
      </c>
      <c r="E178" t="s">
        <v>22</v>
      </c>
      <c r="F178" s="382">
        <v>7</v>
      </c>
      <c r="G178" s="16">
        <f>IF('Dry_Litterbag Placem_Collection'!E105="","",'Dry_Litterbag Placem_Collection'!E105)</f>
        <v>42939</v>
      </c>
      <c r="H178" t="str">
        <f>'Final data_for_R_analysis_Dryse'!K104</f>
        <v>G326</v>
      </c>
      <c r="I178" t="str">
        <f>'Final data_for_R_analysis_Dryse'!K324</f>
        <v>R772</v>
      </c>
      <c r="J178">
        <f>IFERROR(INDEX('Green_rooibos initial weight'!$C$5:$C$2000,MATCH(H178, 'Green_rooibos initial weight'!$A$5:$A$2000,0)),"")</f>
        <v>2.04</v>
      </c>
      <c r="K178">
        <f>IFERROR(INDEX('Green_rooibos initial weight'!$C$5:$C$2000,MATCH(I178, 'Green_rooibos initial weight'!$A$5:$A$2000,0)),"")</f>
        <v>2.1909999999999998</v>
      </c>
      <c r="L178" s="194">
        <f t="shared" si="17"/>
        <v>1.7902</v>
      </c>
      <c r="M178" s="237">
        <f>AVERAGE(Ashed_controlls!$K$1:$K$11)</f>
        <v>5.5147656768714146</v>
      </c>
      <c r="N178" s="194">
        <f t="shared" si="13"/>
        <v>1.691474664852648</v>
      </c>
      <c r="O178" s="194">
        <f t="shared" si="18"/>
        <v>1.9411999999999998</v>
      </c>
      <c r="P178" s="237">
        <f>AVERAGE(Ashed_controlls!$K$12:$K$14)</f>
        <v>2.2816647271287041</v>
      </c>
      <c r="Q178" s="194">
        <f t="shared" si="14"/>
        <v>1.8969083243169773</v>
      </c>
      <c r="R178" s="16">
        <f>IF('Dry_Litterbag Placem_Collection'!G105="","",'Dry_Litterbag Placem_Collection'!G105)</f>
        <v>43010</v>
      </c>
      <c r="S178" s="194">
        <f>IFERROR(INDEX('Both teabags AfterDry'!$D$3:$D$2000,MATCH(H178,'Both teabags AfterDry'!$A$3:$A$2000,0)),"")</f>
        <v>1.0625</v>
      </c>
      <c r="T178" s="194">
        <f>IFERROR(INDEX('Both teabags AfterDry'!$D$3:$D$2000,MATCH(I178,'Both teabags AfterDry'!$A$3:$A$2000,0)),"")</f>
        <v>1.5579000000000001</v>
      </c>
      <c r="U178" s="194">
        <f t="shared" si="19"/>
        <v>0.91189999999999993</v>
      </c>
      <c r="V178" s="194">
        <f t="shared" si="20"/>
        <v>1.4073</v>
      </c>
      <c r="W178" s="194">
        <f>IFERROR(INDEX('Ashed teabags dry'!$K$2:$K$2000,MATCH(H178,'Ashed teabags dry'!$A$2:$A$2000,0)),"")</f>
        <v>16.846473029045587</v>
      </c>
      <c r="X178" s="194">
        <f>IFERROR(INDEX('Ashed teabags dry'!$K$2:$K$2000,MATCH(I178,'Ashed teabags dry'!$A$2:$A$2000,0)),"")</f>
        <v>79.426490669094463</v>
      </c>
      <c r="Y178" s="194">
        <f t="shared" si="15"/>
        <v>0.75827701244813328</v>
      </c>
      <c r="Z178" s="194">
        <f t="shared" si="15"/>
        <v>0.28953099681383354</v>
      </c>
      <c r="AA178" s="194">
        <f t="shared" si="21"/>
        <v>0.55170655038206551</v>
      </c>
      <c r="AB178" s="194">
        <f t="shared" si="22"/>
        <v>0.36168885488230429</v>
      </c>
      <c r="AC178" s="194">
        <f t="shared" si="16"/>
        <v>0.15263309939771888</v>
      </c>
      <c r="AD178">
        <f t="shared" si="23"/>
        <v>71</v>
      </c>
      <c r="AE178" s="194">
        <f t="shared" si="24"/>
        <v>0.34476656724220245</v>
      </c>
      <c r="AF178" s="194" t="str">
        <f t="shared" si="25"/>
        <v/>
      </c>
      <c r="AG178" s="252" t="str">
        <f>IF(ISNUMBER(SEARCH("C", 'Dry_Litterbag Placem_Collection'!$T105)),"YES","NO")</f>
        <v>YES</v>
      </c>
      <c r="AH178" s="252" t="str">
        <f>IF(ISNUMBER(SEARCH("H", 'Dry_Litterbag Placem_Collection'!$T105)),"YES","NO")</f>
        <v>YES</v>
      </c>
      <c r="AI178" s="252" t="str">
        <f>IF(ISNUMBER(SEARCH("R", 'Dry_Litterbag Placem_Collection'!$T105)),"YES","NO")</f>
        <v>NO</v>
      </c>
      <c r="AJ178" s="252" t="str">
        <f>IF(ISNUMBER(SEARCH("C", 'Dry_Litterbag Placem_Collection'!$S105)),"YES","NO")</f>
        <v>YES</v>
      </c>
      <c r="AK178" s="252" t="str">
        <f>IF(ISNUMBER(SEARCH("H", 'Dry_Litterbag Placem_Collection'!$S105)),"YES","NO")</f>
        <v>YES</v>
      </c>
      <c r="AL178" s="252" t="str">
        <f>IF(ISNUMBER(SEARCH("R", 'Dry_Litterbag Placem_Collection'!$S105)),"YES","NO")</f>
        <v>NO</v>
      </c>
    </row>
    <row r="179" spans="2:38">
      <c r="B179" t="str">
        <f>'Final data_for_R_analysis_Dryse'!A105</f>
        <v>Dry</v>
      </c>
      <c r="C179" s="260">
        <f>'Final data_for_R_analysis_Dryse'!B105</f>
        <v>104</v>
      </c>
      <c r="D179" t="s">
        <v>3815</v>
      </c>
      <c r="E179" t="s">
        <v>22</v>
      </c>
      <c r="F179" s="382">
        <v>8</v>
      </c>
      <c r="G179" s="16">
        <f>IF('Dry_Litterbag Placem_Collection'!E106="","",'Dry_Litterbag Placem_Collection'!E106)</f>
        <v>42939</v>
      </c>
      <c r="H179" t="str">
        <f>'Final data_for_R_analysis_Dryse'!K105</f>
        <v>G162</v>
      </c>
      <c r="I179" t="str">
        <f>'Final data_for_R_analysis_Dryse'!K325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7"/>
        <v>1.7892000000000001</v>
      </c>
      <c r="M179" s="237">
        <f>AVERAGE(Ashed_controlls!$K$1:$K$11)</f>
        <v>5.5147656768714146</v>
      </c>
      <c r="N179" s="194">
        <f t="shared" si="13"/>
        <v>1.6905298125094168</v>
      </c>
      <c r="O179" s="194">
        <f t="shared" si="18"/>
        <v>1.9782000000000002</v>
      </c>
      <c r="P179" s="237">
        <f>AVERAGE(Ashed_controlls!$K$12:$K$14)</f>
        <v>2.2816647271287041</v>
      </c>
      <c r="Q179" s="194">
        <f t="shared" si="14"/>
        <v>1.9330641083679401</v>
      </c>
      <c r="R179" s="16">
        <f>IF('Dry_Litterbag Placem_Collection'!G106="","",'Dry_Litterbag Placem_Collection'!G106)</f>
        <v>43010</v>
      </c>
      <c r="S179" s="194">
        <f>IFERROR(INDEX('Both teabags AfterDry'!$D$3:$D$2000,MATCH(H179,'Both teabags AfterDry'!$A$3:$A$2000,0)),"")</f>
        <v>1.4899</v>
      </c>
      <c r="T179" s="194">
        <f>IFERROR(INDEX('Both teabags AfterDry'!$D$3:$D$2000,MATCH(I179,'Both teabags AfterDry'!$A$3:$A$2000,0)),"")</f>
        <v>0</v>
      </c>
      <c r="U179" s="194">
        <f t="shared" si="19"/>
        <v>1.3392999999999999</v>
      </c>
      <c r="V179" s="194" t="str">
        <f t="shared" si="20"/>
        <v/>
      </c>
      <c r="W179" s="194">
        <f>IFERROR(INDEX('Ashed teabags dry'!$K$2:$K$2000,MATCH(H179,'Ashed teabags dry'!$A$2:$A$2000,0)),"")</f>
        <v>11.975524475524661</v>
      </c>
      <c r="X179" s="194">
        <f>IFERROR(INDEX('Ashed teabags dry'!$K$2:$K$2000,MATCH(I179,'Ashed teabags dry'!$A$2:$A$2000,0)),"")</f>
        <v>84.528487229861895</v>
      </c>
      <c r="Y179" s="194">
        <f t="shared" si="15"/>
        <v>1.1789118006992982</v>
      </c>
      <c r="Z179" s="194" t="str">
        <f t="shared" si="15"/>
        <v/>
      </c>
      <c r="AA179" s="194">
        <f t="shared" si="21"/>
        <v>0.30263767490185489</v>
      </c>
      <c r="AB179" s="194">
        <f t="shared" si="22"/>
        <v>0.19840379637271249</v>
      </c>
      <c r="AC179" s="194" t="str">
        <f t="shared" si="16"/>
        <v/>
      </c>
      <c r="AD179">
        <f t="shared" si="23"/>
        <v>71</v>
      </c>
      <c r="AE179" s="194">
        <f t="shared" si="24"/>
        <v>0.64057283265812959</v>
      </c>
      <c r="AF179" s="194" t="str">
        <f t="shared" si="25"/>
        <v/>
      </c>
      <c r="AG179" s="252" t="str">
        <f>IF(ISNUMBER(SEARCH("C", 'Dry_Litterbag Placem_Collection'!$T106)),"YES","NO")</f>
        <v>YES</v>
      </c>
      <c r="AH179" s="252" t="str">
        <f>IF(ISNUMBER(SEARCH("H", 'Dry_Litterbag Placem_Collection'!$T106)),"YES","NO")</f>
        <v>YES</v>
      </c>
      <c r="AI179" s="252" t="str">
        <f>IF(ISNUMBER(SEARCH("R", 'Dry_Litterbag Placem_Collection'!$T106)),"YES","NO")</f>
        <v>NO</v>
      </c>
      <c r="AJ179" s="252" t="str">
        <f>IF(ISNUMBER(SEARCH("C", 'Dry_Litterbag Placem_Collection'!$S106)),"YES","NO")</f>
        <v>YES</v>
      </c>
      <c r="AK179" s="252" t="str">
        <f>IF(ISNUMBER(SEARCH("H", 'Dry_Litterbag Placem_Collection'!$S106)),"YES","NO")</f>
        <v>NO</v>
      </c>
      <c r="AL179" s="252" t="str">
        <f>IF(ISNUMBER(SEARCH("R", 'Dry_Litterbag Placem_Collection'!$S106)),"YES","NO")</f>
        <v>NO</v>
      </c>
    </row>
    <row r="180" spans="2:38">
      <c r="B180" t="str">
        <f>'Final data_for_R_analysis_Dryse'!A106</f>
        <v>Dry</v>
      </c>
      <c r="C180" s="260">
        <f>'Final data_for_R_analysis_Dryse'!B106</f>
        <v>105</v>
      </c>
      <c r="D180" t="s">
        <v>3817</v>
      </c>
      <c r="E180" t="s">
        <v>22</v>
      </c>
      <c r="F180" s="381">
        <v>1</v>
      </c>
      <c r="G180" s="16">
        <f>IF('Dry_Litterbag Placem_Collection'!E107="","",'Dry_Litterbag Placem_Collection'!E107)</f>
        <v>42939</v>
      </c>
      <c r="H180" t="str">
        <f>'Final data_for_R_analysis_Dryse'!K106</f>
        <v>G6</v>
      </c>
      <c r="I180" t="str">
        <f>'Final data_for_R_analysis_Dryse'!K326</f>
        <v>R824</v>
      </c>
      <c r="J180">
        <f>IFERROR(INDEX('Green_rooibos initial weight'!$C$5:$C$2000,MATCH(H180, 'Green_rooibos initial weight'!$A$5:$A$2000,0)),"")</f>
        <v>2.016</v>
      </c>
      <c r="K180">
        <f>IFERROR(INDEX('Green_rooibos initial weight'!$C$5:$C$2000,MATCH(I180, 'Green_rooibos initial weight'!$A$5:$A$2000,0)),"")</f>
        <v>2.173</v>
      </c>
      <c r="L180" s="194">
        <f t="shared" si="17"/>
        <v>1.7662</v>
      </c>
      <c r="M180" s="237">
        <f>AVERAGE(Ashed_controlls!$K$1:$K$11)</f>
        <v>5.5147656768714146</v>
      </c>
      <c r="N180" s="194">
        <f t="shared" si="13"/>
        <v>1.668798208615097</v>
      </c>
      <c r="O180" s="194">
        <f t="shared" si="18"/>
        <v>1.9232</v>
      </c>
      <c r="P180" s="237">
        <f>AVERAGE(Ashed_controlls!$K$12:$K$14)</f>
        <v>2.2816647271287041</v>
      </c>
      <c r="Q180" s="194">
        <f t="shared" si="14"/>
        <v>1.8793190239678608</v>
      </c>
      <c r="R180" s="16">
        <f>IF('Dry_Litterbag Placem_Collection'!G107="","",'Dry_Litterbag Placem_Collection'!G107)</f>
        <v>43010</v>
      </c>
      <c r="S180" s="194">
        <f>IFERROR(INDEX('Both teabags AfterDry'!$D$3:$D$2000,MATCH(H180,'Both teabags AfterDry'!$A$3:$A$2000,0)),"")</f>
        <v>1.1637</v>
      </c>
      <c r="T180" s="194">
        <f>IFERROR(INDEX('Both teabags AfterDry'!$D$3:$D$2000,MATCH(I180,'Both teabags AfterDry'!$A$3:$A$2000,0)),"")</f>
        <v>1.7653000000000001</v>
      </c>
      <c r="U180" s="194">
        <f t="shared" si="19"/>
        <v>1.0130999999999999</v>
      </c>
      <c r="V180" s="194">
        <f t="shared" si="20"/>
        <v>1.6147</v>
      </c>
      <c r="W180" s="194">
        <f>IFERROR(INDEX('Ashed teabags dry'!$K$2:$K$2000,MATCH(H180,'Ashed teabags dry'!$A$2:$A$2000,0)),"")</f>
        <v>24.114832535885235</v>
      </c>
      <c r="X180" s="194">
        <f>IFERROR(INDEX('Ashed teabags dry'!$K$2:$K$2000,MATCH(I180,'Ashed teabags dry'!$A$2:$A$2000,0)),"")</f>
        <v>83.348375451263863</v>
      </c>
      <c r="Y180" s="194">
        <f t="shared" si="15"/>
        <v>0.76879263157894662</v>
      </c>
      <c r="Z180" s="194">
        <f t="shared" si="15"/>
        <v>0.26887378158844233</v>
      </c>
      <c r="AA180" s="194">
        <f t="shared" si="21"/>
        <v>0.53931360447890664</v>
      </c>
      <c r="AB180" s="194">
        <f t="shared" si="22"/>
        <v>0.353564263268832</v>
      </c>
      <c r="AC180" s="194">
        <f t="shared" si="16"/>
        <v>0.1430697918551164</v>
      </c>
      <c r="AD180">
        <f t="shared" si="23"/>
        <v>71</v>
      </c>
      <c r="AE180" s="194">
        <f t="shared" si="24"/>
        <v>0.35948503031008705</v>
      </c>
      <c r="AF180" s="194" t="str">
        <f t="shared" si="25"/>
        <v/>
      </c>
      <c r="AG180" s="252" t="str">
        <f>IF(ISNUMBER(SEARCH("C", 'Dry_Litterbag Placem_Collection'!$T107)),"YES","NO")</f>
        <v>YES</v>
      </c>
      <c r="AH180" s="252" t="str">
        <f>IF(ISNUMBER(SEARCH("H", 'Dry_Litterbag Placem_Collection'!$T107)),"YES","NO")</f>
        <v>YES</v>
      </c>
      <c r="AI180" s="252" t="str">
        <f>IF(ISNUMBER(SEARCH("R", 'Dry_Litterbag Placem_Collection'!$T107)),"YES","NO")</f>
        <v>NO</v>
      </c>
      <c r="AJ180" s="252" t="str">
        <f>IF(ISNUMBER(SEARCH("C", 'Dry_Litterbag Placem_Collection'!$S107)),"YES","NO")</f>
        <v>NO</v>
      </c>
      <c r="AK180" s="252" t="str">
        <f>IF(ISNUMBER(SEARCH("H", 'Dry_Litterbag Placem_Collection'!$S107)),"YES","NO")</f>
        <v>NO</v>
      </c>
      <c r="AL180" s="252" t="str">
        <f>IF(ISNUMBER(SEARCH("R", 'Dry_Litterbag Placem_Collection'!$S107)),"YES","NO")</f>
        <v>NO</v>
      </c>
    </row>
    <row r="181" spans="2:38">
      <c r="B181" t="str">
        <f>'Final data_for_R_analysis_Dryse'!A107</f>
        <v>Dry</v>
      </c>
      <c r="C181" s="260">
        <f>'Final data_for_R_analysis_Dryse'!B107</f>
        <v>106</v>
      </c>
      <c r="D181" t="s">
        <v>3817</v>
      </c>
      <c r="E181" t="s">
        <v>22</v>
      </c>
      <c r="F181" s="381">
        <v>2</v>
      </c>
      <c r="G181" s="16">
        <f>IF('Dry_Litterbag Placem_Collection'!E108="","",'Dry_Litterbag Placem_Collection'!E108)</f>
        <v>42939</v>
      </c>
      <c r="H181" t="str">
        <f>'Final data_for_R_analysis_Dryse'!K107</f>
        <v>G20</v>
      </c>
      <c r="I181" t="str">
        <f>'Final data_for_R_analysis_Dryse'!K327</f>
        <v>R790</v>
      </c>
      <c r="J181">
        <f>IFERROR(INDEX('Green_rooibos initial weight'!$C$5:$C$2000,MATCH(H181, 'Green_rooibos initial weight'!$A$5:$A$2000,0)),"")</f>
        <v>2.032</v>
      </c>
      <c r="K181">
        <f>IFERROR(INDEX('Green_rooibos initial weight'!$C$5:$C$2000,MATCH(I181, 'Green_rooibos initial weight'!$A$5:$A$2000,0)),"")</f>
        <v>2.266</v>
      </c>
      <c r="L181" s="194">
        <f t="shared" si="17"/>
        <v>1.7822</v>
      </c>
      <c r="M181" s="237">
        <f>AVERAGE(Ashed_controlls!$K$1:$K$11)</f>
        <v>5.5147656768714146</v>
      </c>
      <c r="N181" s="194">
        <f t="shared" si="13"/>
        <v>1.6839158461067976</v>
      </c>
      <c r="O181" s="194">
        <f t="shared" si="18"/>
        <v>2.0162</v>
      </c>
      <c r="P181" s="237">
        <f>AVERAGE(Ashed_controlls!$K$12:$K$14)</f>
        <v>2.2816647271287041</v>
      </c>
      <c r="Q181" s="194">
        <f t="shared" si="14"/>
        <v>1.9701970757716312</v>
      </c>
      <c r="R181" s="16">
        <f>IF('Dry_Litterbag Placem_Collection'!G108="","",'Dry_Litterbag Placem_Collection'!G108)</f>
        <v>43010</v>
      </c>
      <c r="S181" s="194">
        <f>IFERROR(INDEX('Both teabags AfterDry'!$D$3:$D$2000,MATCH(H181,'Both teabags AfterDry'!$A$3:$A$2000,0)),"")</f>
        <v>1.0826</v>
      </c>
      <c r="T181" s="194">
        <f>IFERROR(INDEX('Both teabags AfterDry'!$D$3:$D$2000,MATCH(I181,'Both teabags AfterDry'!$A$3:$A$2000,0)),"")</f>
        <v>2.2315</v>
      </c>
      <c r="U181" s="194">
        <f t="shared" si="19"/>
        <v>0.93199999999999994</v>
      </c>
      <c r="V181" s="194">
        <f t="shared" si="20"/>
        <v>2.0809000000000002</v>
      </c>
      <c r="W181" s="194">
        <f>IFERROR(INDEX('Ashed teabags dry'!$K$2:$K$2000,MATCH(H181,'Ashed teabags dry'!$A$2:$A$2000,0)),"")</f>
        <v>11.814345991561</v>
      </c>
      <c r="X181" s="194">
        <f>IFERROR(INDEX('Ashed teabags dry'!$K$2:$K$2000,MATCH(I181,'Ashed teabags dry'!$A$2:$A$2000,0)),"")</f>
        <v>81.485100146555695</v>
      </c>
      <c r="Y181" s="194">
        <f t="shared" si="15"/>
        <v>0.82189029535865143</v>
      </c>
      <c r="Z181" s="194">
        <f t="shared" si="15"/>
        <v>0.38527655105032244</v>
      </c>
      <c r="AA181" s="194">
        <f t="shared" si="21"/>
        <v>0.51191723905986364</v>
      </c>
      <c r="AB181" s="194">
        <f t="shared" si="22"/>
        <v>0.33560370066632395</v>
      </c>
      <c r="AC181" s="194">
        <f t="shared" si="16"/>
        <v>0.1955522905744991</v>
      </c>
      <c r="AD181">
        <f t="shared" si="23"/>
        <v>71</v>
      </c>
      <c r="AE181" s="194">
        <f t="shared" si="24"/>
        <v>0.39202228140158712</v>
      </c>
      <c r="AF181" s="194" t="str">
        <f t="shared" si="25"/>
        <v/>
      </c>
      <c r="AG181" s="252" t="str">
        <f>IF(ISNUMBER(SEARCH("C", 'Dry_Litterbag Placem_Collection'!$T108)),"YES","NO")</f>
        <v>YES</v>
      </c>
      <c r="AH181" s="252" t="str">
        <f>IF(ISNUMBER(SEARCH("H", 'Dry_Litterbag Placem_Collection'!$T108)),"YES","NO")</f>
        <v>YES</v>
      </c>
      <c r="AI181" s="252" t="str">
        <f>IF(ISNUMBER(SEARCH("R", 'Dry_Litterbag Placem_Collection'!$T108)),"YES","NO")</f>
        <v>NO</v>
      </c>
      <c r="AJ181" s="252" t="str">
        <f>IF(ISNUMBER(SEARCH("C", 'Dry_Litterbag Placem_Collection'!$S108)),"YES","NO")</f>
        <v>NO</v>
      </c>
      <c r="AK181" s="252" t="str">
        <f>IF(ISNUMBER(SEARCH("H", 'Dry_Litterbag Placem_Collection'!$S108)),"YES","NO")</f>
        <v>YES</v>
      </c>
      <c r="AL181" s="252" t="str">
        <f>IF(ISNUMBER(SEARCH("R", 'Dry_Litterbag Placem_Collection'!$S108)),"YES","NO")</f>
        <v>NO</v>
      </c>
    </row>
    <row r="182" spans="2:38">
      <c r="B182" t="str">
        <f>'Final data_for_R_analysis_Dryse'!A108</f>
        <v>Dry</v>
      </c>
      <c r="C182" s="260">
        <f>'Final data_for_R_analysis_Dryse'!B108</f>
        <v>107</v>
      </c>
      <c r="D182" t="s">
        <v>3817</v>
      </c>
      <c r="E182" t="s">
        <v>22</v>
      </c>
      <c r="F182" s="381">
        <v>3</v>
      </c>
      <c r="G182" s="16">
        <f>IF('Dry_Litterbag Placem_Collection'!E109="","",'Dry_Litterbag Placem_Collection'!E109)</f>
        <v>42939</v>
      </c>
      <c r="H182" t="str">
        <f>'Final data_for_R_analysis_Dryse'!K108</f>
        <v>G129</v>
      </c>
      <c r="I182" t="str">
        <f>'Final data_for_R_analysis_Dryse'!K328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7"/>
        <v>1.7132000000000001</v>
      </c>
      <c r="M182" s="237">
        <f>AVERAGE(Ashed_controlls!$K$1:$K$11)</f>
        <v>5.5147656768714146</v>
      </c>
      <c r="N182" s="194">
        <f t="shared" si="13"/>
        <v>1.618721034423839</v>
      </c>
      <c r="O182" s="194">
        <f t="shared" si="18"/>
        <v>1.9712000000000001</v>
      </c>
      <c r="P182" s="237">
        <f>AVERAGE(Ashed_controlls!$K$12:$K$14)</f>
        <v>2.2816647271287041</v>
      </c>
      <c r="Q182" s="194">
        <f t="shared" si="14"/>
        <v>1.926223824898839</v>
      </c>
      <c r="R182" s="16">
        <f>IF('Dry_Litterbag Placem_Collection'!G109="","",'Dry_Litterbag Placem_Collection'!G109)</f>
        <v>43010</v>
      </c>
      <c r="S182" s="194" t="str">
        <f>IFERROR(INDEX('Both teabags AfterDry'!$D$3:$D$2000,MATCH(H182,'Both teabags AfterDry'!$A$3:$A$2000,0)),"")</f>
        <v/>
      </c>
      <c r="T182" s="194" t="str">
        <f>IFERROR(INDEX('Both teabags AfterDry'!$D$3:$D$2000,MATCH(I182,'Both teabags AfterDry'!$A$3:$A$2000,0)),"")</f>
        <v/>
      </c>
      <c r="U182" s="194" t="str">
        <f t="shared" si="19"/>
        <v/>
      </c>
      <c r="V182" s="194" t="str">
        <f t="shared" si="20"/>
        <v/>
      </c>
      <c r="W182" s="194" t="str">
        <f>IFERROR(INDEX('Ashed teabags dry'!$K$2:$K$2000,MATCH(H182,'Ashed teabags dry'!$A$2:$A$2000,0)),"")</f>
        <v/>
      </c>
      <c r="X182" s="194" t="str">
        <f>IFERROR(INDEX('Ashed teabags dry'!$K$2:$K$2000,MATCH(I182,'Ashed teabags dry'!$A$2:$A$2000,0)),"")</f>
        <v/>
      </c>
      <c r="Y182" s="194" t="str">
        <f t="shared" si="15"/>
        <v/>
      </c>
      <c r="Z182" s="194" t="str">
        <f t="shared" si="15"/>
        <v/>
      </c>
      <c r="AA182" s="194" t="str">
        <f t="shared" si="21"/>
        <v/>
      </c>
      <c r="AB182" s="194" t="str">
        <f t="shared" si="22"/>
        <v/>
      </c>
      <c r="AC182" s="194" t="str">
        <f t="shared" si="16"/>
        <v/>
      </c>
      <c r="AD182">
        <f t="shared" si="23"/>
        <v>71</v>
      </c>
      <c r="AE182" s="194" t="str">
        <f t="shared" si="24"/>
        <v/>
      </c>
      <c r="AF182" s="194" t="str">
        <f t="shared" si="25"/>
        <v/>
      </c>
      <c r="AG182" s="252" t="str">
        <f>IF(ISNUMBER(SEARCH("C", 'Dry_Litterbag Placem_Collection'!$T109)),"YES","NO")</f>
        <v>YES</v>
      </c>
      <c r="AH182" s="252" t="str">
        <f>IF(ISNUMBER(SEARCH("H", 'Dry_Litterbag Placem_Collection'!$T109)),"YES","NO")</f>
        <v>YES</v>
      </c>
      <c r="AI182" s="252" t="str">
        <f>IF(ISNUMBER(SEARCH("R", 'Dry_Litterbag Placem_Collection'!$T109)),"YES","NO")</f>
        <v>NO</v>
      </c>
      <c r="AJ182" s="252" t="str">
        <f>IF(ISNUMBER(SEARCH("C", 'Dry_Litterbag Placem_Collection'!$S109)),"YES","NO")</f>
        <v>YES</v>
      </c>
      <c r="AK182" s="252" t="str">
        <f>IF(ISNUMBER(SEARCH("H", 'Dry_Litterbag Placem_Collection'!$S109)),"YES","NO")</f>
        <v>YES</v>
      </c>
      <c r="AL182" s="252" t="str">
        <f>IF(ISNUMBER(SEARCH("R", 'Dry_Litterbag Placem_Collection'!$S109)),"YES","NO")</f>
        <v>NO</v>
      </c>
    </row>
    <row r="183" spans="2:38">
      <c r="B183" t="str">
        <f>'Final data_for_R_analysis_Dryse'!A109</f>
        <v>Dry</v>
      </c>
      <c r="C183" s="260">
        <f>'Final data_for_R_analysis_Dryse'!B109</f>
        <v>108</v>
      </c>
      <c r="D183" t="s">
        <v>3817</v>
      </c>
      <c r="E183" t="s">
        <v>22</v>
      </c>
      <c r="F183" s="382">
        <v>4</v>
      </c>
      <c r="G183" s="16">
        <f>IF('Dry_Litterbag Placem_Collection'!E110="","",'Dry_Litterbag Placem_Collection'!E110)</f>
        <v>42939</v>
      </c>
      <c r="H183" t="str">
        <f>'Final data_for_R_analysis_Dryse'!K109</f>
        <v>G258</v>
      </c>
      <c r="I183" t="str">
        <f>'Final data_for_R_analysis_Dryse'!K329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7"/>
        <v>1.8782000000000001</v>
      </c>
      <c r="M183" s="237">
        <f>AVERAGE(Ashed_controlls!$K$1:$K$11)</f>
        <v>5.5147656768714146</v>
      </c>
      <c r="N183" s="194">
        <f t="shared" si="13"/>
        <v>1.7746216710570011</v>
      </c>
      <c r="O183" s="194">
        <f t="shared" si="18"/>
        <v>2.0051999999999999</v>
      </c>
      <c r="P183" s="237">
        <f>AVERAGE(Ashed_controlls!$K$12:$K$14)</f>
        <v>2.2816647271287041</v>
      </c>
      <c r="Q183" s="194">
        <f t="shared" si="14"/>
        <v>1.959448058891615</v>
      </c>
      <c r="R183" s="16">
        <f>IF('Dry_Litterbag Placem_Collection'!G110="","",'Dry_Litterbag Placem_Collection'!G110)</f>
        <v>43010</v>
      </c>
      <c r="S183" s="194">
        <f>IFERROR(INDEX('Both teabags AfterDry'!$D$3:$D$2000,MATCH(H183,'Both teabags AfterDry'!$A$3:$A$2000,0)),"")</f>
        <v>0.92730000000000001</v>
      </c>
      <c r="T183" s="194">
        <f>IFERROR(INDEX('Both teabags AfterDry'!$D$3:$D$2000,MATCH(I183,'Both teabags AfterDry'!$A$3:$A$2000,0)),"")</f>
        <v>1.8240000000000001</v>
      </c>
      <c r="U183" s="194">
        <f t="shared" si="19"/>
        <v>0.77669999999999995</v>
      </c>
      <c r="V183" s="194">
        <f t="shared" si="20"/>
        <v>1.6734</v>
      </c>
      <c r="W183" s="194">
        <f>IFERROR(INDEX('Ashed teabags dry'!$K$2:$K$2000,MATCH(H183,'Ashed teabags dry'!$A$2:$A$2000,0)),"")</f>
        <v>20.211233797408489</v>
      </c>
      <c r="X183" s="194">
        <f>IFERROR(INDEX('Ashed teabags dry'!$K$2:$K$2000,MATCH(I183,'Ashed teabags dry'!$A$2:$A$2000,0)),"")</f>
        <v>4.6835443037977491</v>
      </c>
      <c r="Y183" s="194">
        <f t="shared" si="15"/>
        <v>0.61971934709552823</v>
      </c>
      <c r="Z183" s="194">
        <f t="shared" si="15"/>
        <v>1.5950255696202484</v>
      </c>
      <c r="AA183" s="194">
        <f t="shared" si="21"/>
        <v>0.65078790752825044</v>
      </c>
      <c r="AB183" s="194">
        <f t="shared" si="22"/>
        <v>0.42664480398526639</v>
      </c>
      <c r="AC183" s="194">
        <f t="shared" si="16"/>
        <v>0.81401778545867332</v>
      </c>
      <c r="AD183">
        <f t="shared" si="23"/>
        <v>71</v>
      </c>
      <c r="AE183" s="194">
        <f t="shared" si="24"/>
        <v>0.22709274640350297</v>
      </c>
      <c r="AF183" s="194">
        <f t="shared" si="25"/>
        <v>8.0641678529666978E-3</v>
      </c>
      <c r="AG183" s="252" t="str">
        <f>IF(ISNUMBER(SEARCH("C", 'Dry_Litterbag Placem_Collection'!$T110)),"YES","NO")</f>
        <v>NO</v>
      </c>
      <c r="AH183" s="252" t="str">
        <f>IF(ISNUMBER(SEARCH("H", 'Dry_Litterbag Placem_Collection'!$T110)),"YES","NO")</f>
        <v>NO</v>
      </c>
      <c r="AI183" s="252" t="str">
        <f>IF(ISNUMBER(SEARCH("R", 'Dry_Litterbag Placem_Collection'!$T110)),"YES","NO")</f>
        <v>NO</v>
      </c>
      <c r="AJ183" s="252" t="str">
        <f>IF(ISNUMBER(SEARCH("C", 'Dry_Litterbag Placem_Collection'!$S110)),"YES","NO")</f>
        <v>YES</v>
      </c>
      <c r="AK183" s="252" t="str">
        <f>IF(ISNUMBER(SEARCH("H", 'Dry_Litterbag Placem_Collection'!$S110)),"YES","NO")</f>
        <v>NO</v>
      </c>
      <c r="AL183" s="252" t="str">
        <f>IF(ISNUMBER(SEARCH("R", 'Dry_Litterbag Placem_Collection'!$S110)),"YES","NO")</f>
        <v>NO</v>
      </c>
    </row>
    <row r="184" spans="2:38">
      <c r="B184" t="str">
        <f>'Final data_for_R_analysis_Dryse'!A110</f>
        <v>Dry</v>
      </c>
      <c r="C184" s="260">
        <f>'Final data_for_R_analysis_Dryse'!B110</f>
        <v>109</v>
      </c>
      <c r="D184" t="s">
        <v>3817</v>
      </c>
      <c r="E184" t="s">
        <v>22</v>
      </c>
      <c r="F184" s="382">
        <v>5</v>
      </c>
      <c r="G184" s="16">
        <f>IF('Dry_Litterbag Placem_Collection'!E111="","",'Dry_Litterbag Placem_Collection'!E111)</f>
        <v>42939</v>
      </c>
      <c r="H184" t="str">
        <f>'Final data_for_R_analysis_Dryse'!K110</f>
        <v>G294</v>
      </c>
      <c r="I184" t="str">
        <f>'Final data_for_R_analysis_Dryse'!K330</f>
        <v>R804</v>
      </c>
      <c r="J184">
        <f>IFERROR(INDEX('Green_rooibos initial weight'!$C$5:$C$2000,MATCH(H184, 'Green_rooibos initial weight'!$A$5:$A$2000,0)),"")</f>
        <v>1.994</v>
      </c>
      <c r="K184">
        <f>IFERROR(INDEX('Green_rooibos initial weight'!$C$5:$C$2000,MATCH(I184, 'Green_rooibos initial weight'!$A$5:$A$2000,0)),"")</f>
        <v>2.1960000000000002</v>
      </c>
      <c r="L184" s="194">
        <f t="shared" si="17"/>
        <v>1.7442</v>
      </c>
      <c r="M184" s="237">
        <f>AVERAGE(Ashed_controlls!$K$1:$K$11)</f>
        <v>5.5147656768714146</v>
      </c>
      <c r="N184" s="194">
        <f t="shared" si="13"/>
        <v>1.6480114570640088</v>
      </c>
      <c r="O184" s="194">
        <f t="shared" si="18"/>
        <v>1.9462000000000002</v>
      </c>
      <c r="P184" s="237">
        <f>AVERAGE(Ashed_controlls!$K$12:$K$14)</f>
        <v>2.2816647271287041</v>
      </c>
      <c r="Q184" s="194">
        <f t="shared" si="14"/>
        <v>1.9017942410806212</v>
      </c>
      <c r="R184" s="16">
        <f>IF('Dry_Litterbag Placem_Collection'!G111="","",'Dry_Litterbag Placem_Collection'!G111)</f>
        <v>43010</v>
      </c>
      <c r="S184" s="194">
        <f>IFERROR(INDEX('Both teabags AfterDry'!$D$3:$D$2000,MATCH(H184,'Both teabags AfterDry'!$A$3:$A$2000,0)),"")</f>
        <v>0.93010000000000004</v>
      </c>
      <c r="T184" s="194">
        <f>IFERROR(INDEX('Both teabags AfterDry'!$D$3:$D$2000,MATCH(I184,'Both teabags AfterDry'!$A$3:$A$2000,0)),"")</f>
        <v>1.3936999999999999</v>
      </c>
      <c r="U184" s="194">
        <f t="shared" si="19"/>
        <v>0.77950000000000008</v>
      </c>
      <c r="V184" s="194">
        <f t="shared" si="20"/>
        <v>1.2430999999999999</v>
      </c>
      <c r="W184" s="194">
        <f>IFERROR(INDEX('Ashed teabags dry'!$K$2:$K$2000,MATCH(H184,'Ashed teabags dry'!$A$2:$A$2000,0)),"")</f>
        <v>29.671832269827163</v>
      </c>
      <c r="X184" s="194">
        <f>IFERROR(INDEX('Ashed teabags dry'!$K$2:$K$2000,MATCH(I184,'Ashed teabags dry'!$A$2:$A$2000,0)),"")</f>
        <v>71.520554730063893</v>
      </c>
      <c r="Y184" s="194">
        <f t="shared" si="15"/>
        <v>0.54820806745669737</v>
      </c>
      <c r="Z184" s="194">
        <f t="shared" si="15"/>
        <v>0.35402798415057579</v>
      </c>
      <c r="AA184" s="194">
        <f t="shared" si="21"/>
        <v>0.6673517862349394</v>
      </c>
      <c r="AB184" s="194">
        <f t="shared" si="22"/>
        <v>0.43750378384998412</v>
      </c>
      <c r="AC184" s="194">
        <f t="shared" si="16"/>
        <v>0.18615472510286551</v>
      </c>
      <c r="AD184">
        <f t="shared" si="23"/>
        <v>71</v>
      </c>
      <c r="AE184" s="194">
        <f t="shared" si="24"/>
        <v>0.2074206814311883</v>
      </c>
      <c r="AF184" s="194" t="str">
        <f t="shared" si="25"/>
        <v/>
      </c>
      <c r="AG184" s="252" t="str">
        <f>IF(ISNUMBER(SEARCH("C", 'Dry_Litterbag Placem_Collection'!$T111)),"YES","NO")</f>
        <v>YES</v>
      </c>
      <c r="AH184" s="252" t="str">
        <f>IF(ISNUMBER(SEARCH("H", 'Dry_Litterbag Placem_Collection'!$T111)),"YES","NO")</f>
        <v>YES</v>
      </c>
      <c r="AI184" s="252" t="str">
        <f>IF(ISNUMBER(SEARCH("R", 'Dry_Litterbag Placem_Collection'!$T111)),"YES","NO")</f>
        <v>NO</v>
      </c>
      <c r="AJ184" s="252" t="str">
        <f>IF(ISNUMBER(SEARCH("C", 'Dry_Litterbag Placem_Collection'!$S111)),"YES","NO")</f>
        <v>NO</v>
      </c>
      <c r="AK184" s="252" t="str">
        <f>IF(ISNUMBER(SEARCH("H", 'Dry_Litterbag Placem_Collection'!$S111)),"YES","NO")</f>
        <v>NO</v>
      </c>
      <c r="AL184" s="252" t="str">
        <f>IF(ISNUMBER(SEARCH("R", 'Dry_Litterbag Placem_Collection'!$S111)),"YES","NO")</f>
        <v>NO</v>
      </c>
    </row>
    <row r="185" spans="2:38">
      <c r="B185" t="str">
        <f>'Final data_for_R_analysis_Dryse'!A111</f>
        <v>Dry</v>
      </c>
      <c r="C185" s="260">
        <f>'Final data_for_R_analysis_Dryse'!B111</f>
        <v>110</v>
      </c>
      <c r="D185" t="s">
        <v>3817</v>
      </c>
      <c r="E185" t="s">
        <v>22</v>
      </c>
      <c r="F185" s="382">
        <v>6</v>
      </c>
      <c r="G185" s="16">
        <f>IF('Dry_Litterbag Placem_Collection'!E112="","",'Dry_Litterbag Placem_Collection'!E112)</f>
        <v>42939</v>
      </c>
      <c r="H185" t="str">
        <f>'Final data_for_R_analysis_Dryse'!K111</f>
        <v>G350</v>
      </c>
      <c r="I185" t="str">
        <f>'Final data_for_R_analysis_Dryse'!K331</f>
        <v>R786</v>
      </c>
      <c r="J185">
        <f>IFERROR(INDEX('Green_rooibos initial weight'!$C$5:$C$2000,MATCH(H185, 'Green_rooibos initial weight'!$A$5:$A$2000,0)),"")</f>
        <v>2.0640000000000001</v>
      </c>
      <c r="K185">
        <f>IFERROR(INDEX('Green_rooibos initial weight'!$C$5:$C$2000,MATCH(I185, 'Green_rooibos initial weight'!$A$5:$A$2000,0)),"")</f>
        <v>2.177</v>
      </c>
      <c r="L185" s="194">
        <f t="shared" si="17"/>
        <v>1.8142</v>
      </c>
      <c r="M185" s="237">
        <f>AVERAGE(Ashed_controlls!$K$1:$K$11)</f>
        <v>5.5147656768714146</v>
      </c>
      <c r="N185" s="194">
        <f t="shared" si="13"/>
        <v>1.7141511210901987</v>
      </c>
      <c r="O185" s="194">
        <f t="shared" si="18"/>
        <v>1.9272</v>
      </c>
      <c r="P185" s="237">
        <f>AVERAGE(Ashed_controlls!$K$12:$K$14)</f>
        <v>2.2816647271287041</v>
      </c>
      <c r="Q185" s="194">
        <f t="shared" si="14"/>
        <v>1.8832277573787757</v>
      </c>
      <c r="R185" s="16">
        <f>IF('Dry_Litterbag Placem_Collection'!G112="","",'Dry_Litterbag Placem_Collection'!G112)</f>
        <v>43010</v>
      </c>
      <c r="S185" s="194">
        <f>IFERROR(INDEX('Both teabags AfterDry'!$D$3:$D$2000,MATCH(H185,'Both teabags AfterDry'!$A$3:$A$2000,0)),"")</f>
        <v>0.95640000000000003</v>
      </c>
      <c r="T185" s="194">
        <f>IFERROR(INDEX('Both teabags AfterDry'!$D$3:$D$2000,MATCH(I185,'Both teabags AfterDry'!$A$3:$A$2000,0)),"")</f>
        <v>1.7806</v>
      </c>
      <c r="U185" s="194">
        <f t="shared" si="19"/>
        <v>0.80580000000000007</v>
      </c>
      <c r="V185" s="194">
        <f t="shared" si="20"/>
        <v>1.63</v>
      </c>
      <c r="W185" s="194">
        <f>IFERROR(INDEX('Ashed teabags dry'!$K$2:$K$2000,MATCH(H185,'Ashed teabags dry'!$A$2:$A$2000,0)),"")</f>
        <v>19.624497094323072</v>
      </c>
      <c r="X185" s="194">
        <f>IFERROR(INDEX('Ashed teabags dry'!$K$2:$K$2000,MATCH(I185,'Ashed teabags dry'!$A$2:$A$2000,0)),"")</f>
        <v>88.700312639571393</v>
      </c>
      <c r="Y185" s="194">
        <f t="shared" si="15"/>
        <v>0.64766580241394478</v>
      </c>
      <c r="Z185" s="194">
        <f t="shared" si="15"/>
        <v>0.18418490397498632</v>
      </c>
      <c r="AA185" s="194">
        <f t="shared" si="21"/>
        <v>0.62216528376912894</v>
      </c>
      <c r="AB185" s="194">
        <f t="shared" si="22"/>
        <v>0.40788032855173301</v>
      </c>
      <c r="AC185" s="194">
        <f t="shared" si="16"/>
        <v>9.7802776776904216E-2</v>
      </c>
      <c r="AD185">
        <f t="shared" si="23"/>
        <v>71</v>
      </c>
      <c r="AE185" s="194">
        <f t="shared" si="24"/>
        <v>0.26108636131932428</v>
      </c>
      <c r="AF185" s="194" t="str">
        <f t="shared" si="25"/>
        <v/>
      </c>
      <c r="AG185" s="252" t="str">
        <f>IF(ISNUMBER(SEARCH("C", 'Dry_Litterbag Placem_Collection'!$T112)),"YES","NO")</f>
        <v>YES</v>
      </c>
      <c r="AH185" s="252" t="str">
        <f>IF(ISNUMBER(SEARCH("H", 'Dry_Litterbag Placem_Collection'!$T112)),"YES","NO")</f>
        <v>YES</v>
      </c>
      <c r="AI185" s="252" t="str">
        <f>IF(ISNUMBER(SEARCH("R", 'Dry_Litterbag Placem_Collection'!$T112)),"YES","NO")</f>
        <v>NO</v>
      </c>
      <c r="AJ185" s="252" t="str">
        <f>IF(ISNUMBER(SEARCH("C", 'Dry_Litterbag Placem_Collection'!$S112)),"YES","NO")</f>
        <v>YES</v>
      </c>
      <c r="AK185" s="252" t="str">
        <f>IF(ISNUMBER(SEARCH("H", 'Dry_Litterbag Placem_Collection'!$S112)),"YES","NO")</f>
        <v>YES</v>
      </c>
      <c r="AL185" s="252" t="str">
        <f>IF(ISNUMBER(SEARCH("R", 'Dry_Litterbag Placem_Collection'!$S112)),"YES","NO")</f>
        <v>NO</v>
      </c>
    </row>
    <row r="186" spans="2:38">
      <c r="B186" t="str">
        <f>'Final data_for_R_analysis_Dryse'!A112</f>
        <v>Dry</v>
      </c>
      <c r="C186" s="260">
        <f>'Final data_for_R_analysis_Dryse'!B112</f>
        <v>111</v>
      </c>
      <c r="D186" t="s">
        <v>3817</v>
      </c>
      <c r="E186" t="s">
        <v>22</v>
      </c>
      <c r="F186" s="382">
        <v>7</v>
      </c>
      <c r="G186" s="16">
        <f>IF('Dry_Litterbag Placem_Collection'!E113="","",'Dry_Litterbag Placem_Collection'!E113)</f>
        <v>42939</v>
      </c>
      <c r="H186" t="str">
        <f>'Final data_for_R_analysis_Dryse'!K112</f>
        <v>G274</v>
      </c>
      <c r="I186" t="str">
        <f>'Final data_for_R_analysis_Dryse'!K332</f>
        <v>R835</v>
      </c>
      <c r="J186">
        <f>IFERROR(INDEX('Green_rooibos initial weight'!$C$5:$C$2000,MATCH(H186, 'Green_rooibos initial weight'!$A$5:$A$2000,0)),"")</f>
        <v>2.12</v>
      </c>
      <c r="K186">
        <f>IFERROR(INDEX('Green_rooibos initial weight'!$C$5:$C$2000,MATCH(I186, 'Green_rooibos initial weight'!$A$5:$A$2000,0)),"")</f>
        <v>2.15</v>
      </c>
      <c r="L186" s="194">
        <f t="shared" si="17"/>
        <v>1.8702000000000001</v>
      </c>
      <c r="M186" s="237">
        <f>AVERAGE(Ashed_controlls!$K$1:$K$11)</f>
        <v>5.5147656768714146</v>
      </c>
      <c r="N186" s="194">
        <f t="shared" si="13"/>
        <v>1.7670628523111509</v>
      </c>
      <c r="O186" s="194">
        <f t="shared" si="18"/>
        <v>1.9001999999999999</v>
      </c>
      <c r="P186" s="237">
        <f>AVERAGE(Ashed_controlls!$K$12:$K$14)</f>
        <v>2.2816647271287041</v>
      </c>
      <c r="Q186" s="194">
        <f t="shared" si="14"/>
        <v>1.8568438068551003</v>
      </c>
      <c r="R186" s="16">
        <f>IF('Dry_Litterbag Placem_Collection'!G113="","",'Dry_Litterbag Placem_Collection'!G113)</f>
        <v>43010</v>
      </c>
      <c r="S186" s="194">
        <f>IFERROR(INDEX('Both teabags AfterDry'!$D$3:$D$2000,MATCH(H186,'Both teabags AfterDry'!$A$3:$A$2000,0)),"")</f>
        <v>1.0779000000000001</v>
      </c>
      <c r="T186" s="194">
        <f>IFERROR(INDEX('Both teabags AfterDry'!$D$3:$D$2000,MATCH(I186,'Both teabags AfterDry'!$A$3:$A$2000,0)),"")</f>
        <v>1.7563</v>
      </c>
      <c r="U186" s="194">
        <f t="shared" si="19"/>
        <v>0.92730000000000001</v>
      </c>
      <c r="V186" s="194">
        <f t="shared" si="20"/>
        <v>1.6056999999999999</v>
      </c>
      <c r="W186" s="194">
        <f>IFERROR(INDEX('Ashed teabags dry'!$K$2:$K$2000,MATCH(H186,'Ashed teabags dry'!$A$2:$A$2000,0)),"")</f>
        <v>17.275747508306221</v>
      </c>
      <c r="X186" s="194">
        <f>IFERROR(INDEX('Ashed teabags dry'!$K$2:$K$2000,MATCH(I186,'Ashed teabags dry'!$A$2:$A$2000,0)),"")</f>
        <v>4.065040650406667</v>
      </c>
      <c r="Y186" s="194">
        <f t="shared" si="15"/>
        <v>0.76710199335547635</v>
      </c>
      <c r="Z186" s="194">
        <f t="shared" si="15"/>
        <v>1.54042764227642</v>
      </c>
      <c r="AA186" s="194">
        <f t="shared" si="21"/>
        <v>0.56588867659564035</v>
      </c>
      <c r="AB186" s="194">
        <f t="shared" si="22"/>
        <v>0.37098640080854334</v>
      </c>
      <c r="AC186" s="194">
        <f t="shared" si="16"/>
        <v>0.82959462534730477</v>
      </c>
      <c r="AD186">
        <f t="shared" si="23"/>
        <v>71</v>
      </c>
      <c r="AE186" s="194">
        <f t="shared" si="24"/>
        <v>0.32792318694104472</v>
      </c>
      <c r="AF186" s="194">
        <f t="shared" si="25"/>
        <v>8.6612270541274062E-3</v>
      </c>
      <c r="AG186" s="252" t="str">
        <f>IF(ISNUMBER(SEARCH("C", 'Dry_Litterbag Placem_Collection'!$T113)),"YES","NO")</f>
        <v>NO</v>
      </c>
      <c r="AH186" s="252" t="str">
        <f>IF(ISNUMBER(SEARCH("H", 'Dry_Litterbag Placem_Collection'!$T113)),"YES","NO")</f>
        <v>NO</v>
      </c>
      <c r="AI186" s="252" t="str">
        <f>IF(ISNUMBER(SEARCH("R", 'Dry_Litterbag Placem_Collection'!$T113)),"YES","NO")</f>
        <v>NO</v>
      </c>
      <c r="AJ186" s="252" t="str">
        <f>IF(ISNUMBER(SEARCH("C", 'Dry_Litterbag Placem_Collection'!$S113)),"YES","NO")</f>
        <v>YES</v>
      </c>
      <c r="AK186" s="252" t="str">
        <f>IF(ISNUMBER(SEARCH("H", 'Dry_Litterbag Placem_Collection'!$S113)),"YES","NO")</f>
        <v>NO</v>
      </c>
      <c r="AL186" s="252" t="str">
        <f>IF(ISNUMBER(SEARCH("R", 'Dry_Litterbag Placem_Collection'!$S113)),"YES","NO")</f>
        <v>NO</v>
      </c>
    </row>
    <row r="187" spans="2:38">
      <c r="B187" t="str">
        <f>'Final data_for_R_analysis_Dryse'!A113</f>
        <v>Dry</v>
      </c>
      <c r="C187" s="260">
        <f>'Final data_for_R_analysis_Dryse'!B113</f>
        <v>112</v>
      </c>
      <c r="D187" t="s">
        <v>3817</v>
      </c>
      <c r="E187" t="s">
        <v>22</v>
      </c>
      <c r="F187" s="382">
        <v>8</v>
      </c>
      <c r="G187" s="16" t="str">
        <f>IF('Dry_Litterbag Placem_Collection'!E114="","",'Dry_Litterbag Placem_Collection'!E114)</f>
        <v/>
      </c>
      <c r="H187" t="str">
        <f>'Final data_for_R_analysis_Dryse'!K113</f>
        <v/>
      </c>
      <c r="I187" t="str">
        <f>'Final data_for_R_analysis_Dryse'!K333</f>
        <v/>
      </c>
      <c r="J187" t="str">
        <f>IFERROR(INDEX('Green_rooibos initial weight'!$C$5:$C$2000,MATCH(H187, 'Green_rooibos initial weight'!$A$5:$A$2000,0)),"")</f>
        <v/>
      </c>
      <c r="K187" t="str">
        <f>IFERROR(INDEX('Green_rooibos initial weight'!$C$5:$C$2000,MATCH(I187, 'Green_rooibos initial weight'!$A$5:$A$2000,0)),"")</f>
        <v/>
      </c>
      <c r="L187" s="194" t="str">
        <f t="shared" si="17"/>
        <v/>
      </c>
      <c r="M187" s="237">
        <f>AVERAGE(Ashed_controlls!$K$1:$K$11)</f>
        <v>5.5147656768714146</v>
      </c>
      <c r="N187" s="194" t="str">
        <f t="shared" si="13"/>
        <v/>
      </c>
      <c r="O187" s="194" t="str">
        <f t="shared" si="18"/>
        <v/>
      </c>
      <c r="P187" s="237">
        <f>AVERAGE(Ashed_controlls!$K$12:$K$14)</f>
        <v>2.2816647271287041</v>
      </c>
      <c r="Q187" s="194" t="str">
        <f t="shared" si="14"/>
        <v/>
      </c>
      <c r="R187" s="16" t="str">
        <f>IF('Dry_Litterbag Placem_Collection'!G114="","",'Dry_Litterbag Placem_Collection'!G114)</f>
        <v/>
      </c>
      <c r="S187" s="194" t="str">
        <f>IFERROR(INDEX('Both teabags AfterDry'!$D$3:$D$2000,MATCH(H187,'Both teabags AfterDry'!$A$3:$A$2000,0)),"")</f>
        <v/>
      </c>
      <c r="T187" s="194" t="str">
        <f>IFERROR(INDEX('Both teabags AfterDry'!$D$3:$D$2000,MATCH(I187,'Both teabags AfterDry'!$A$3:$A$2000,0)),"")</f>
        <v/>
      </c>
      <c r="U187" s="194" t="str">
        <f t="shared" si="19"/>
        <v/>
      </c>
      <c r="V187" s="194" t="str">
        <f t="shared" si="20"/>
        <v/>
      </c>
      <c r="W187" s="194" t="str">
        <f>IFERROR(INDEX('Ashed teabags dry'!$K$2:$K$2000,MATCH(H187,'Ashed teabags dry'!$A$2:$A$2000,0)),"")</f>
        <v/>
      </c>
      <c r="X187" s="194" t="str">
        <f>IFERROR(INDEX('Ashed teabags dry'!$K$2:$K$2000,MATCH(I187,'Ashed teabags dry'!$A$2:$A$2000,0)),"")</f>
        <v/>
      </c>
      <c r="Y187" s="194" t="str">
        <f t="shared" si="15"/>
        <v/>
      </c>
      <c r="Z187" s="194" t="str">
        <f t="shared" si="15"/>
        <v/>
      </c>
      <c r="AA187" s="194" t="str">
        <f t="shared" si="21"/>
        <v/>
      </c>
      <c r="AB187" s="194" t="str">
        <f t="shared" si="22"/>
        <v/>
      </c>
      <c r="AC187" s="194" t="str">
        <f t="shared" si="16"/>
        <v/>
      </c>
      <c r="AD187" t="str">
        <f t="shared" si="23"/>
        <v/>
      </c>
      <c r="AE187" s="194" t="str">
        <f t="shared" si="24"/>
        <v/>
      </c>
      <c r="AF187" s="194" t="str">
        <f t="shared" si="25"/>
        <v/>
      </c>
      <c r="AG187" s="252" t="str">
        <f>IF(ISNUMBER(SEARCH("C", 'Dry_Litterbag Placem_Collection'!$T114)),"YES","NO")</f>
        <v>NO</v>
      </c>
      <c r="AH187" s="252" t="str">
        <f>IF(ISNUMBER(SEARCH("H", 'Dry_Litterbag Placem_Collection'!$T114)),"YES","NO")</f>
        <v>NO</v>
      </c>
      <c r="AI187" s="252" t="str">
        <f>IF(ISNUMBER(SEARCH("R", 'Dry_Litterbag Placem_Collection'!$T114)),"YES","NO")</f>
        <v>NO</v>
      </c>
      <c r="AJ187" s="252" t="str">
        <f>IF(ISNUMBER(SEARCH("C", 'Dry_Litterbag Placem_Collection'!$S114)),"YES","NO")</f>
        <v>NO</v>
      </c>
      <c r="AK187" s="252" t="str">
        <f>IF(ISNUMBER(SEARCH("H", 'Dry_Litterbag Placem_Collection'!$S114)),"YES","NO")</f>
        <v>NO</v>
      </c>
      <c r="AL187" s="252" t="str">
        <f>IF(ISNUMBER(SEARCH("R", 'Dry_Litterbag Placem_Collection'!$S114)),"YES","NO")</f>
        <v>NO</v>
      </c>
    </row>
    <row r="188" spans="2:38">
      <c r="B188" t="str">
        <f>'Final data_for_R_analysis_Dryse'!A114</f>
        <v>Dry</v>
      </c>
      <c r="C188" s="260">
        <f>'Final data_for_R_analysis_Dryse'!B114</f>
        <v>113</v>
      </c>
      <c r="D188" t="s">
        <v>3818</v>
      </c>
      <c r="E188" t="s">
        <v>22</v>
      </c>
      <c r="F188" s="381">
        <v>1</v>
      </c>
      <c r="G188" s="16">
        <f>IF('Dry_Litterbag Placem_Collection'!E115="","",'Dry_Litterbag Placem_Collection'!E115)</f>
        <v>42939</v>
      </c>
      <c r="H188" t="str">
        <f>'Final data_for_R_analysis_Dryse'!K114</f>
        <v>G314</v>
      </c>
      <c r="I188" t="str">
        <f>'Final data_for_R_analysis_Dryse'!K334</f>
        <v>R807</v>
      </c>
      <c r="J188">
        <f>IFERROR(INDEX('Green_rooibos initial weight'!$C$5:$C$2000,MATCH(H188, 'Green_rooibos initial weight'!$A$5:$A$2000,0)),"")</f>
        <v>2.0430000000000001</v>
      </c>
      <c r="K188">
        <f>IFERROR(INDEX('Green_rooibos initial weight'!$C$5:$C$2000,MATCH(I188, 'Green_rooibos initial weight'!$A$5:$A$2000,0)),"")</f>
        <v>2.21</v>
      </c>
      <c r="L188" s="194">
        <f t="shared" si="17"/>
        <v>1.7932000000000001</v>
      </c>
      <c r="M188" s="237">
        <f>AVERAGE(Ashed_controlls!$K$1:$K$11)</f>
        <v>5.5147656768714146</v>
      </c>
      <c r="N188" s="194">
        <f t="shared" si="13"/>
        <v>1.6943092218823419</v>
      </c>
      <c r="O188" s="194">
        <f t="shared" si="18"/>
        <v>1.9601999999999999</v>
      </c>
      <c r="P188" s="237">
        <f>AVERAGE(Ashed_controlls!$K$12:$K$14)</f>
        <v>2.2816647271287041</v>
      </c>
      <c r="Q188" s="194">
        <f t="shared" si="14"/>
        <v>1.9154748080188231</v>
      </c>
      <c r="R188" s="16">
        <f>IF('Dry_Litterbag Placem_Collection'!G115="","",'Dry_Litterbag Placem_Collection'!G115)</f>
        <v>43008</v>
      </c>
      <c r="S188" s="194">
        <f>IFERROR(INDEX('Both teabags AfterDry'!$D$3:$D$2000,MATCH(H188,'Both teabags AfterDry'!$A$3:$A$2000,0)),"")</f>
        <v>0.78080000000000005</v>
      </c>
      <c r="T188" s="194">
        <f>IFERROR(INDEX('Both teabags AfterDry'!$D$3:$D$2000,MATCH(I188,'Both teabags AfterDry'!$A$3:$A$2000,0)),"")</f>
        <v>1.5793999999999999</v>
      </c>
      <c r="U188" s="194">
        <f t="shared" si="19"/>
        <v>0.63020000000000009</v>
      </c>
      <c r="V188" s="194">
        <f t="shared" si="20"/>
        <v>1.4287999999999998</v>
      </c>
      <c r="W188" s="194">
        <f>IFERROR(INDEX('Ashed teabags dry'!$K$2:$K$2000,MATCH(H188,'Ashed teabags dry'!$A$2:$A$2000,0)),"")</f>
        <v>21.798134011874424</v>
      </c>
      <c r="X188" s="194">
        <f>IFERROR(INDEX('Ashed teabags dry'!$K$2:$K$2000,MATCH(I188,'Ashed teabags dry'!$A$2:$A$2000,0)),"")</f>
        <v>9.4054580896693931</v>
      </c>
      <c r="Y188" s="194">
        <f t="shared" si="15"/>
        <v>0.49282815945716746</v>
      </c>
      <c r="Z188" s="194">
        <f t="shared" si="15"/>
        <v>1.2944148148148036</v>
      </c>
      <c r="AA188" s="194">
        <f t="shared" si="21"/>
        <v>0.70912738177176082</v>
      </c>
      <c r="AB188" s="194">
        <f t="shared" si="22"/>
        <v>0.46489111014015677</v>
      </c>
      <c r="AC188" s="194">
        <f t="shared" si="16"/>
        <v>0.67576707842668926</v>
      </c>
      <c r="AD188">
        <f t="shared" si="23"/>
        <v>69</v>
      </c>
      <c r="AE188" s="194">
        <f t="shared" si="24"/>
        <v>0.15780595989102042</v>
      </c>
      <c r="AF188" s="194">
        <f t="shared" si="25"/>
        <v>1.7325658749616508E-2</v>
      </c>
      <c r="AG188" s="252" t="str">
        <f>IF(ISNUMBER(SEARCH("C", 'Dry_Litterbag Placem_Collection'!$T115)),"YES","NO")</f>
        <v>NO</v>
      </c>
      <c r="AH188" s="252" t="str">
        <f>IF(ISNUMBER(SEARCH("H", 'Dry_Litterbag Placem_Collection'!$T115)),"YES","NO")</f>
        <v>NO</v>
      </c>
      <c r="AI188" s="252" t="str">
        <f>IF(ISNUMBER(SEARCH("R", 'Dry_Litterbag Placem_Collection'!$T115)),"YES","NO")</f>
        <v>NO</v>
      </c>
      <c r="AJ188" s="252" t="str">
        <f>IF(ISNUMBER(SEARCH("C", 'Dry_Litterbag Placem_Collection'!$S115)),"YES","NO")</f>
        <v>NO</v>
      </c>
      <c r="AK188" s="252" t="str">
        <f>IF(ISNUMBER(SEARCH("H", 'Dry_Litterbag Placem_Collection'!$S115)),"YES","NO")</f>
        <v>NO</v>
      </c>
      <c r="AL188" s="252" t="str">
        <f>IF(ISNUMBER(SEARCH("R", 'Dry_Litterbag Placem_Collection'!$S115)),"YES","NO")</f>
        <v>YES</v>
      </c>
    </row>
    <row r="189" spans="2:38">
      <c r="B189" t="str">
        <f>'Final data_for_R_analysis_Dryse'!A115</f>
        <v>Dry</v>
      </c>
      <c r="C189" s="260">
        <f>'Final data_for_R_analysis_Dryse'!B115</f>
        <v>114</v>
      </c>
      <c r="D189" t="s">
        <v>3818</v>
      </c>
      <c r="E189" t="s">
        <v>22</v>
      </c>
      <c r="F189" s="381">
        <v>2</v>
      </c>
      <c r="G189" s="16">
        <f>IF('Dry_Litterbag Placem_Collection'!E116="","",'Dry_Litterbag Placem_Collection'!E116)</f>
        <v>42939</v>
      </c>
      <c r="H189" t="str">
        <f>'Final data_for_R_analysis_Dryse'!K115</f>
        <v>G263</v>
      </c>
      <c r="I189" t="str">
        <f>'Final data_for_R_analysis_Dryse'!K335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7"/>
        <v>1.8462000000000001</v>
      </c>
      <c r="M189" s="237">
        <f>AVERAGE(Ashed_controlls!$K$1:$K$11)</f>
        <v>5.5147656768714146</v>
      </c>
      <c r="N189" s="194">
        <f t="shared" si="13"/>
        <v>1.7443863960735999</v>
      </c>
      <c r="O189" s="194">
        <f t="shared" si="18"/>
        <v>1.9382000000000001</v>
      </c>
      <c r="P189" s="237">
        <f>AVERAGE(Ashed_controlls!$K$12:$K$14)</f>
        <v>2.2816647271287041</v>
      </c>
      <c r="Q189" s="194">
        <f t="shared" si="14"/>
        <v>1.8939767742587916</v>
      </c>
      <c r="R189" s="16">
        <f>IF('Dry_Litterbag Placem_Collection'!G116="","",'Dry_Litterbag Placem_Collection'!G116)</f>
        <v>43008</v>
      </c>
      <c r="S189" s="194">
        <f>IFERROR(INDEX('Both teabags AfterDry'!$D$3:$D$2000,MATCH(H189,'Both teabags AfterDry'!$A$3:$A$2000,0)),"")</f>
        <v>0.83330000000000004</v>
      </c>
      <c r="T189" s="194">
        <f>IFERROR(INDEX('Both teabags AfterDry'!$D$3:$D$2000,MATCH(I189,'Both teabags AfterDry'!$A$3:$A$2000,0)),"")</f>
        <v>1.1127</v>
      </c>
      <c r="U189" s="194">
        <f t="shared" si="19"/>
        <v>0.68270000000000008</v>
      </c>
      <c r="V189" s="194">
        <f t="shared" si="20"/>
        <v>0.96209999999999996</v>
      </c>
      <c r="W189" s="194">
        <f>IFERROR(INDEX('Ashed teabags dry'!$K$2:$K$2000,MATCH(H189,'Ashed teabags dry'!$A$2:$A$2000,0)),"")</f>
        <v>29.125376992675438</v>
      </c>
      <c r="X189" s="194">
        <f>IFERROR(INDEX('Ashed teabags dry'!$K$2:$K$2000,MATCH(I189,'Ashed teabags dry'!$A$2:$A$2000,0)),"")</f>
        <v>88.557650153441656</v>
      </c>
      <c r="Y189" s="194">
        <f t="shared" si="15"/>
        <v>0.48386105127100487</v>
      </c>
      <c r="Z189" s="194">
        <f t="shared" si="15"/>
        <v>0.11008684787373779</v>
      </c>
      <c r="AA189" s="194">
        <f t="shared" si="21"/>
        <v>0.72261819264348959</v>
      </c>
      <c r="AB189" s="194">
        <f t="shared" si="22"/>
        <v>0.47373544220808345</v>
      </c>
      <c r="AC189" s="194">
        <f t="shared" si="16"/>
        <v>5.8124708481084891E-2</v>
      </c>
      <c r="AD189">
        <f t="shared" si="23"/>
        <v>69</v>
      </c>
      <c r="AE189" s="194">
        <f t="shared" si="24"/>
        <v>0.14178361918825466</v>
      </c>
      <c r="AF189" s="194" t="str">
        <f t="shared" si="25"/>
        <v/>
      </c>
      <c r="AG189" s="252" t="str">
        <f>IF(ISNUMBER(SEARCH("C", 'Dry_Litterbag Placem_Collection'!$T116)),"YES","NO")</f>
        <v>NO</v>
      </c>
      <c r="AH189" s="252" t="str">
        <f>IF(ISNUMBER(SEARCH("H", 'Dry_Litterbag Placem_Collection'!$T116)),"YES","NO")</f>
        <v>YES</v>
      </c>
      <c r="AI189" s="252" t="str">
        <f>IF(ISNUMBER(SEARCH("R", 'Dry_Litterbag Placem_Collection'!$T116)),"YES","NO")</f>
        <v>NO</v>
      </c>
      <c r="AJ189" s="252" t="str">
        <f>IF(ISNUMBER(SEARCH("C", 'Dry_Litterbag Placem_Collection'!$S116)),"YES","NO")</f>
        <v>NO</v>
      </c>
      <c r="AK189" s="252" t="str">
        <f>IF(ISNUMBER(SEARCH("H", 'Dry_Litterbag Placem_Collection'!$S116)),"YES","NO")</f>
        <v>NO</v>
      </c>
      <c r="AL189" s="252" t="str">
        <f>IF(ISNUMBER(SEARCH("R", 'Dry_Litterbag Placem_Collection'!$S116)),"YES","NO")</f>
        <v>NO</v>
      </c>
    </row>
    <row r="190" spans="2:38">
      <c r="B190" t="str">
        <f>'Final data_for_R_analysis_Dryse'!A116</f>
        <v>Dry</v>
      </c>
      <c r="C190" s="260">
        <f>'Final data_for_R_analysis_Dryse'!B116</f>
        <v>115</v>
      </c>
      <c r="D190" t="s">
        <v>3818</v>
      </c>
      <c r="E190" t="s">
        <v>22</v>
      </c>
      <c r="F190" s="381">
        <v>3</v>
      </c>
      <c r="G190" s="16">
        <f>IF('Dry_Litterbag Placem_Collection'!E117="","",'Dry_Litterbag Placem_Collection'!E117)</f>
        <v>42939</v>
      </c>
      <c r="H190" t="str">
        <f>'Final data_for_R_analysis_Dryse'!K116</f>
        <v>G125</v>
      </c>
      <c r="I190" t="str">
        <f>'Final data_for_R_analysis_Dryse'!K336</f>
        <v>R766</v>
      </c>
      <c r="J190">
        <f>IFERROR(INDEX('Green_rooibos initial weight'!$C$5:$C$2000,MATCH(H190, 'Green_rooibos initial weight'!$A$5:$A$2000,0)),"")</f>
        <v>2.0979999999999999</v>
      </c>
      <c r="K190">
        <f>IFERROR(INDEX('Green_rooibos initial weight'!$C$5:$C$2000,MATCH(I190, 'Green_rooibos initial weight'!$A$5:$A$2000,0)),"")</f>
        <v>2.21</v>
      </c>
      <c r="L190" s="194">
        <f t="shared" si="17"/>
        <v>1.8481999999999998</v>
      </c>
      <c r="M190" s="237">
        <f>AVERAGE(Ashed_controlls!$K$1:$K$11)</f>
        <v>5.5147656768714146</v>
      </c>
      <c r="N190" s="194">
        <f t="shared" si="13"/>
        <v>1.7462761007600625</v>
      </c>
      <c r="O190" s="194">
        <f t="shared" si="18"/>
        <v>1.9601999999999999</v>
      </c>
      <c r="P190" s="237">
        <f>AVERAGE(Ashed_controlls!$K$12:$K$14)</f>
        <v>2.2816647271287041</v>
      </c>
      <c r="Q190" s="194">
        <f t="shared" si="14"/>
        <v>1.9154748080188231</v>
      </c>
      <c r="R190" s="16">
        <f>IF('Dry_Litterbag Placem_Collection'!G117="","",'Dry_Litterbag Placem_Collection'!G117)</f>
        <v>43008</v>
      </c>
      <c r="S190" s="194">
        <f>IFERROR(INDEX('Both teabags AfterDry'!$D$3:$D$2000,MATCH(H190,'Both teabags AfterDry'!$A$3:$A$2000,0)),"")</f>
        <v>0.78120000000000001</v>
      </c>
      <c r="T190" s="194">
        <f>IFERROR(INDEX('Both teabags AfterDry'!$D$3:$D$2000,MATCH(I190,'Both teabags AfterDry'!$A$3:$A$2000,0)),"")</f>
        <v>1.6694</v>
      </c>
      <c r="U190" s="194">
        <f t="shared" si="19"/>
        <v>0.63060000000000005</v>
      </c>
      <c r="V190" s="194">
        <f t="shared" si="20"/>
        <v>1.5187999999999999</v>
      </c>
      <c r="W190" s="194">
        <f>IFERROR(INDEX('Ashed teabags dry'!$K$2:$K$2000,MATCH(H190,'Ashed teabags dry'!$A$2:$A$2000,0)),"")</f>
        <v>18.503937007873372</v>
      </c>
      <c r="X190" s="194">
        <f>IFERROR(INDEX('Ashed teabags dry'!$K$2:$K$2000,MATCH(I190,'Ashed teabags dry'!$A$2:$A$2000,0)),"")</f>
        <v>23.045267489711783</v>
      </c>
      <c r="Y190" s="194">
        <f t="shared" si="15"/>
        <v>0.51391417322835053</v>
      </c>
      <c r="Z190" s="194">
        <f t="shared" si="15"/>
        <v>1.1687884773662574</v>
      </c>
      <c r="AA190" s="194">
        <f t="shared" si="21"/>
        <v>0.70570852283629681</v>
      </c>
      <c r="AB190" s="194">
        <f t="shared" si="22"/>
        <v>0.46264976794018514</v>
      </c>
      <c r="AC190" s="194">
        <f t="shared" si="16"/>
        <v>0.61018211906171504</v>
      </c>
      <c r="AD190">
        <f t="shared" si="23"/>
        <v>69</v>
      </c>
      <c r="AE190" s="194">
        <f t="shared" si="24"/>
        <v>0.16186636242720087</v>
      </c>
      <c r="AF190" s="194">
        <f t="shared" si="25"/>
        <v>2.6794441442518264E-2</v>
      </c>
      <c r="AG190" s="252" t="str">
        <f>IF(ISNUMBER(SEARCH("C", 'Dry_Litterbag Placem_Collection'!$T117)),"YES","NO")</f>
        <v>NO</v>
      </c>
      <c r="AH190" s="252" t="str">
        <f>IF(ISNUMBER(SEARCH("H", 'Dry_Litterbag Placem_Collection'!$T117)),"YES","NO")</f>
        <v>YES</v>
      </c>
      <c r="AI190" s="252" t="str">
        <f>IF(ISNUMBER(SEARCH("R", 'Dry_Litterbag Placem_Collection'!$T117)),"YES","NO")</f>
        <v>YES</v>
      </c>
      <c r="AJ190" s="252" t="str">
        <f>IF(ISNUMBER(SEARCH("C", 'Dry_Litterbag Placem_Collection'!$S117)),"YES","NO")</f>
        <v>NO</v>
      </c>
      <c r="AK190" s="252" t="str">
        <f>IF(ISNUMBER(SEARCH("H", 'Dry_Litterbag Placem_Collection'!$S117)),"YES","NO")</f>
        <v>NO</v>
      </c>
      <c r="AL190" s="252" t="str">
        <f>IF(ISNUMBER(SEARCH("R", 'Dry_Litterbag Placem_Collection'!$S117)),"YES","NO")</f>
        <v>YES</v>
      </c>
    </row>
    <row r="191" spans="2:38">
      <c r="B191" t="str">
        <f>'Final data_for_R_analysis_Dryse'!A117</f>
        <v>Dry</v>
      </c>
      <c r="C191" s="260">
        <f>'Final data_for_R_analysis_Dryse'!B117</f>
        <v>116</v>
      </c>
      <c r="D191" t="s">
        <v>3818</v>
      </c>
      <c r="E191" t="s">
        <v>22</v>
      </c>
      <c r="F191" s="382">
        <v>4</v>
      </c>
      <c r="G191" s="16">
        <f>IF('Dry_Litterbag Placem_Collection'!E118="","",'Dry_Litterbag Placem_Collection'!E118)</f>
        <v>42939</v>
      </c>
      <c r="H191" t="str">
        <f>'Final data_for_R_analysis_Dryse'!K117</f>
        <v>G189</v>
      </c>
      <c r="I191" t="str">
        <f>'Final data_for_R_analysis_Dryse'!K337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7"/>
        <v>1.7561999999999998</v>
      </c>
      <c r="M191" s="237">
        <f>AVERAGE(Ashed_controlls!$K$1:$K$11)</f>
        <v>5.5147656768714146</v>
      </c>
      <c r="N191" s="194">
        <f t="shared" si="13"/>
        <v>1.659349685182784</v>
      </c>
      <c r="O191" s="194">
        <f t="shared" si="18"/>
        <v>1.9552</v>
      </c>
      <c r="P191" s="237">
        <f>AVERAGE(Ashed_controlls!$K$12:$K$14)</f>
        <v>2.2816647271287041</v>
      </c>
      <c r="Q191" s="194">
        <f t="shared" si="14"/>
        <v>1.9105888912551796</v>
      </c>
      <c r="R191" s="16">
        <f>IF('Dry_Litterbag Placem_Collection'!G118="","",'Dry_Litterbag Placem_Collection'!G118)</f>
        <v>43008</v>
      </c>
      <c r="S191" s="194">
        <f>IFERROR(INDEX('Both teabags AfterDry'!$D$3:$D$2000,MATCH(H191,'Both teabags AfterDry'!$A$3:$A$2000,0)),"")</f>
        <v>0.76890000000000003</v>
      </c>
      <c r="T191" s="194">
        <f>IFERROR(INDEX('Both teabags AfterDry'!$D$3:$D$2000,MATCH(I191,'Both teabags AfterDry'!$A$3:$A$2000,0)),"")</f>
        <v>1.7337</v>
      </c>
      <c r="U191" s="194">
        <f t="shared" si="19"/>
        <v>0.61830000000000007</v>
      </c>
      <c r="V191" s="194">
        <f t="shared" si="20"/>
        <v>1.5831</v>
      </c>
      <c r="W191" s="194">
        <f>IFERROR(INDEX('Ashed teabags dry'!$K$2:$K$2000,MATCH(H191,'Ashed teabags dry'!$A$2:$A$2000,0)),"")</f>
        <v>20.116618075801487</v>
      </c>
      <c r="X191" s="194">
        <f>IFERROR(INDEX('Ashed teabags dry'!$K$2:$K$2000,MATCH(I191,'Ashed teabags dry'!$A$2:$A$2000,0)),"")</f>
        <v>14.66357308584627</v>
      </c>
      <c r="Y191" s="194">
        <f t="shared" si="15"/>
        <v>0.49391895043731948</v>
      </c>
      <c r="Z191" s="194">
        <f t="shared" si="15"/>
        <v>1.3509609744779676</v>
      </c>
      <c r="AA191" s="194">
        <f t="shared" si="21"/>
        <v>0.70234185425303386</v>
      </c>
      <c r="AB191" s="194">
        <f t="shared" si="22"/>
        <v>0.46044264079296288</v>
      </c>
      <c r="AC191" s="194">
        <f t="shared" si="16"/>
        <v>0.70709140028048678</v>
      </c>
      <c r="AD191">
        <f t="shared" si="23"/>
        <v>69</v>
      </c>
      <c r="AE191" s="194">
        <f t="shared" si="24"/>
        <v>0.16586478117216874</v>
      </c>
      <c r="AF191" s="194">
        <f t="shared" si="25"/>
        <v>1.46521989636635E-2</v>
      </c>
      <c r="AG191" s="252" t="str">
        <f>IF(ISNUMBER(SEARCH("C", 'Dry_Litterbag Placem_Collection'!$T118)),"YES","NO")</f>
        <v>NO</v>
      </c>
      <c r="AH191" s="252" t="str">
        <f>IF(ISNUMBER(SEARCH("H", 'Dry_Litterbag Placem_Collection'!$T118)),"YES","NO")</f>
        <v>NO</v>
      </c>
      <c r="AI191" s="252" t="str">
        <f>IF(ISNUMBER(SEARCH("R", 'Dry_Litterbag Placem_Collection'!$T118)),"YES","NO")</f>
        <v>NO</v>
      </c>
      <c r="AJ191" s="252" t="str">
        <f>IF(ISNUMBER(SEARCH("C", 'Dry_Litterbag Placem_Collection'!$S118)),"YES","NO")</f>
        <v>NO</v>
      </c>
      <c r="AK191" s="252" t="str">
        <f>IF(ISNUMBER(SEARCH("H", 'Dry_Litterbag Placem_Collection'!$S118)),"YES","NO")</f>
        <v>NO</v>
      </c>
      <c r="AL191" s="252" t="str">
        <f>IF(ISNUMBER(SEARCH("R", 'Dry_Litterbag Placem_Collection'!$S118)),"YES","NO")</f>
        <v>YES</v>
      </c>
    </row>
    <row r="192" spans="2:38">
      <c r="B192" t="str">
        <f>'Final data_for_R_analysis_Dryse'!A118</f>
        <v>Dry</v>
      </c>
      <c r="C192" s="260">
        <f>'Final data_for_R_analysis_Dryse'!B118</f>
        <v>117</v>
      </c>
      <c r="D192" t="s">
        <v>3818</v>
      </c>
      <c r="E192" t="s">
        <v>22</v>
      </c>
      <c r="F192" s="382">
        <v>5</v>
      </c>
      <c r="G192" s="16">
        <f>IF('Dry_Litterbag Placem_Collection'!E119="","",'Dry_Litterbag Placem_Collection'!E119)</f>
        <v>42939</v>
      </c>
      <c r="H192" t="str">
        <f>'Final data_for_R_analysis_Dryse'!K118</f>
        <v>G533</v>
      </c>
      <c r="I192" t="str">
        <f>'Final data_for_R_analysis_Dryse'!K338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7"/>
        <v>1.8572000000000002</v>
      </c>
      <c r="M192" s="237">
        <f>AVERAGE(Ashed_controlls!$K$1:$K$11)</f>
        <v>5.5147656768714146</v>
      </c>
      <c r="N192" s="194">
        <f t="shared" si="13"/>
        <v>1.7547797718491442</v>
      </c>
      <c r="O192" s="194">
        <f t="shared" si="18"/>
        <v>2.0411999999999999</v>
      </c>
      <c r="P192" s="237">
        <f>AVERAGE(Ashed_controlls!$K$12:$K$14)</f>
        <v>2.2816647271287041</v>
      </c>
      <c r="Q192" s="194">
        <f t="shared" si="14"/>
        <v>1.9946266595898487</v>
      </c>
      <c r="R192" s="16">
        <f>IF('Dry_Litterbag Placem_Collection'!G119="","",'Dry_Litterbag Placem_Collection'!G119)</f>
        <v>43008</v>
      </c>
      <c r="S192" s="194" t="str">
        <f>IFERROR(INDEX('Both teabags AfterDry'!$D$3:$D$2000,MATCH(H192,'Both teabags AfterDry'!$A$3:$A$2000,0)),"")</f>
        <v/>
      </c>
      <c r="T192" s="194" t="str">
        <f>IFERROR(INDEX('Both teabags AfterDry'!$D$3:$D$2000,MATCH(I192,'Both teabags AfterDry'!$A$3:$A$2000,0)),"")</f>
        <v/>
      </c>
      <c r="U192" s="194" t="str">
        <f t="shared" si="19"/>
        <v/>
      </c>
      <c r="V192" s="194" t="str">
        <f t="shared" si="20"/>
        <v/>
      </c>
      <c r="W192" s="194" t="str">
        <f>IFERROR(INDEX('Ashed teabags dry'!$K$2:$K$2000,MATCH(H192,'Ashed teabags dry'!$A$2:$A$2000,0)),"")</f>
        <v/>
      </c>
      <c r="X192" s="194" t="str">
        <f>IFERROR(INDEX('Ashed teabags dry'!$K$2:$K$2000,MATCH(I192,'Ashed teabags dry'!$A$2:$A$2000,0)),"")</f>
        <v/>
      </c>
      <c r="Y192" s="194" t="str">
        <f t="shared" si="15"/>
        <v/>
      </c>
      <c r="Z192" s="194" t="str">
        <f t="shared" si="15"/>
        <v/>
      </c>
      <c r="AA192" s="194" t="str">
        <f t="shared" si="21"/>
        <v/>
      </c>
      <c r="AB192" s="194" t="str">
        <f t="shared" si="22"/>
        <v/>
      </c>
      <c r="AC192" s="194" t="str">
        <f t="shared" si="16"/>
        <v/>
      </c>
      <c r="AD192">
        <f t="shared" si="23"/>
        <v>69</v>
      </c>
      <c r="AE192" s="194" t="str">
        <f t="shared" si="24"/>
        <v/>
      </c>
      <c r="AF192" s="194" t="str">
        <f t="shared" si="25"/>
        <v/>
      </c>
      <c r="AG192" s="252" t="str">
        <f>IF(ISNUMBER(SEARCH("C", 'Dry_Litterbag Placem_Collection'!$T119)),"YES","NO")</f>
        <v>NO</v>
      </c>
      <c r="AH192" s="252" t="str">
        <f>IF(ISNUMBER(SEARCH("H", 'Dry_Litterbag Placem_Collection'!$T119)),"YES","NO")</f>
        <v>NO</v>
      </c>
      <c r="AI192" s="252" t="str">
        <f>IF(ISNUMBER(SEARCH("R", 'Dry_Litterbag Placem_Collection'!$T119)),"YES","NO")</f>
        <v>NO</v>
      </c>
      <c r="AJ192" s="252" t="str">
        <f>IF(ISNUMBER(SEARCH("C", 'Dry_Litterbag Placem_Collection'!$S119)),"YES","NO")</f>
        <v>NO</v>
      </c>
      <c r="AK192" s="252" t="str">
        <f>IF(ISNUMBER(SEARCH("H", 'Dry_Litterbag Placem_Collection'!$S119)),"YES","NO")</f>
        <v>NO</v>
      </c>
      <c r="AL192" s="252" t="str">
        <f>IF(ISNUMBER(SEARCH("R", 'Dry_Litterbag Placem_Collection'!$S119)),"YES","NO")</f>
        <v>YES</v>
      </c>
    </row>
    <row r="193" spans="2:38">
      <c r="B193" t="str">
        <f>'Final data_for_R_analysis_Dryse'!A119</f>
        <v>Dry</v>
      </c>
      <c r="C193" s="260">
        <f>'Final data_for_R_analysis_Dryse'!B119</f>
        <v>118</v>
      </c>
      <c r="D193" t="s">
        <v>3818</v>
      </c>
      <c r="E193" t="s">
        <v>22</v>
      </c>
      <c r="F193" s="382">
        <v>6</v>
      </c>
      <c r="G193" s="16">
        <f>IF('Dry_Litterbag Placem_Collection'!E120="","",'Dry_Litterbag Placem_Collection'!E120)</f>
        <v>42939</v>
      </c>
      <c r="H193" t="str">
        <f>'Final data_for_R_analysis_Dryse'!K119</f>
        <v>G200</v>
      </c>
      <c r="I193" t="str">
        <f>'Final data_for_R_analysis_Dryse'!K339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7"/>
        <v>1.7652000000000001</v>
      </c>
      <c r="M193" s="237">
        <f>AVERAGE(Ashed_controlls!$K$1:$K$11)</f>
        <v>5.5147656768714146</v>
      </c>
      <c r="N193" s="194">
        <f t="shared" si="13"/>
        <v>1.6678533562718658</v>
      </c>
      <c r="O193" s="194">
        <f t="shared" si="18"/>
        <v>1.9081999999999999</v>
      </c>
      <c r="P193" s="237">
        <f>AVERAGE(Ashed_controlls!$K$12:$K$14)</f>
        <v>2.2816647271287041</v>
      </c>
      <c r="Q193" s="194">
        <f t="shared" si="14"/>
        <v>1.8646612736769299</v>
      </c>
      <c r="R193" s="16">
        <f>IF('Dry_Litterbag Placem_Collection'!G120="","",'Dry_Litterbag Placem_Collection'!G120)</f>
        <v>43008</v>
      </c>
      <c r="S193" s="194">
        <f>IFERROR(INDEX('Both teabags AfterDry'!$D$3:$D$2000,MATCH(H193,'Both teabags AfterDry'!$A$3:$A$2000,0)),"")</f>
        <v>0.71760000000000002</v>
      </c>
      <c r="T193" s="194">
        <f>IFERROR(INDEX('Both teabags AfterDry'!$D$3:$D$2000,MATCH(I193,'Both teabags AfterDry'!$A$3:$A$2000,0)),"")</f>
        <v>1.629</v>
      </c>
      <c r="U193" s="194">
        <f t="shared" si="19"/>
        <v>0.56699999999999995</v>
      </c>
      <c r="V193" s="194">
        <f t="shared" si="20"/>
        <v>1.4783999999999999</v>
      </c>
      <c r="W193" s="194">
        <f>IFERROR(INDEX('Ashed teabags dry'!$K$2:$K$2000,MATCH(H193,'Ashed teabags dry'!$A$2:$A$2000,0)),"")</f>
        <v>18.547215496368619</v>
      </c>
      <c r="X193" s="194">
        <f>IFERROR(INDEX('Ashed teabags dry'!$K$2:$K$2000,MATCH(I193,'Ashed teabags dry'!$A$2:$A$2000,0)),"")</f>
        <v>7.1167883211671752</v>
      </c>
      <c r="Y193" s="194">
        <f t="shared" si="15"/>
        <v>0.46183728813558989</v>
      </c>
      <c r="Z193" s="194">
        <f t="shared" si="15"/>
        <v>1.3731854014598643</v>
      </c>
      <c r="AA193" s="194">
        <f t="shared" si="21"/>
        <v>0.72309478744106759</v>
      </c>
      <c r="AB193" s="194">
        <f t="shared" si="22"/>
        <v>0.47404788915376406</v>
      </c>
      <c r="AC193" s="194">
        <f t="shared" si="16"/>
        <v>0.73642619216951766</v>
      </c>
      <c r="AD193">
        <f t="shared" si="23"/>
        <v>69</v>
      </c>
      <c r="AE193" s="194">
        <f t="shared" si="24"/>
        <v>0.14121759211274632</v>
      </c>
      <c r="AF193" s="194">
        <f t="shared" si="25"/>
        <v>1.1767330900373648E-2</v>
      </c>
      <c r="AG193" s="252" t="str">
        <f>IF(ISNUMBER(SEARCH("C", 'Dry_Litterbag Placem_Collection'!$T120)),"YES","NO")</f>
        <v>NO</v>
      </c>
      <c r="AH193" s="252" t="str">
        <f>IF(ISNUMBER(SEARCH("H", 'Dry_Litterbag Placem_Collection'!$T120)),"YES","NO")</f>
        <v>NO</v>
      </c>
      <c r="AI193" s="252" t="str">
        <f>IF(ISNUMBER(SEARCH("R", 'Dry_Litterbag Placem_Collection'!$T120)),"YES","NO")</f>
        <v>NO</v>
      </c>
      <c r="AJ193" s="252" t="str">
        <f>IF(ISNUMBER(SEARCH("C", 'Dry_Litterbag Placem_Collection'!$S120)),"YES","NO")</f>
        <v>NO</v>
      </c>
      <c r="AK193" s="252" t="str">
        <f>IF(ISNUMBER(SEARCH("H", 'Dry_Litterbag Placem_Collection'!$S120)),"YES","NO")</f>
        <v>YES</v>
      </c>
      <c r="AL193" s="252" t="str">
        <f>IF(ISNUMBER(SEARCH("R", 'Dry_Litterbag Placem_Collection'!$S120)),"YES","NO")</f>
        <v>YES</v>
      </c>
    </row>
    <row r="194" spans="2:38">
      <c r="B194" t="str">
        <f>'Final data_for_R_analysis_Dryse'!A120</f>
        <v>Dry</v>
      </c>
      <c r="C194" s="260">
        <f>'Final data_for_R_analysis_Dryse'!B120</f>
        <v>119</v>
      </c>
      <c r="D194" t="s">
        <v>3818</v>
      </c>
      <c r="E194" t="s">
        <v>22</v>
      </c>
      <c r="F194" s="382">
        <v>7</v>
      </c>
      <c r="G194" s="16">
        <f>IF('Dry_Litterbag Placem_Collection'!E121="","",'Dry_Litterbag Placem_Collection'!E121)</f>
        <v>42939</v>
      </c>
      <c r="H194" t="str">
        <f>'Final data_for_R_analysis_Dryse'!K120</f>
        <v>G236</v>
      </c>
      <c r="I194" t="str">
        <f>'Final data_for_R_analysis_Dryse'!K340</f>
        <v>R802</v>
      </c>
      <c r="J194">
        <f>IFERROR(INDEX('Green_rooibos initial weight'!$C$5:$C$2000,MATCH(H194, 'Green_rooibos initial weight'!$A$5:$A$2000,0)),"")</f>
        <v>2.0529999999999999</v>
      </c>
      <c r="K194">
        <f>IFERROR(INDEX('Green_rooibos initial weight'!$C$5:$C$2000,MATCH(I194, 'Green_rooibos initial weight'!$A$5:$A$2000,0)),"")</f>
        <v>2.25</v>
      </c>
      <c r="L194" s="194">
        <f t="shared" si="17"/>
        <v>1.8031999999999999</v>
      </c>
      <c r="M194" s="237">
        <f>AVERAGE(Ashed_controlls!$K$1:$K$11)</f>
        <v>5.5147656768714146</v>
      </c>
      <c r="N194" s="194">
        <f t="shared" si="13"/>
        <v>1.7037577453146546</v>
      </c>
      <c r="O194" s="194">
        <f t="shared" si="18"/>
        <v>2.0002</v>
      </c>
      <c r="P194" s="237">
        <f>AVERAGE(Ashed_controlls!$K$12:$K$14)</f>
        <v>2.2816647271287041</v>
      </c>
      <c r="Q194" s="194">
        <f t="shared" si="14"/>
        <v>1.9545621421279717</v>
      </c>
      <c r="R194" s="16">
        <f>IF('Dry_Litterbag Placem_Collection'!G121="","",'Dry_Litterbag Placem_Collection'!G121)</f>
        <v>43008</v>
      </c>
      <c r="S194" s="194">
        <f>IFERROR(INDEX('Both teabags AfterDry'!$D$3:$D$2000,MATCH(H194,'Both teabags AfterDry'!$A$3:$A$2000,0)),"")</f>
        <v>0.81489999999999996</v>
      </c>
      <c r="T194" s="194">
        <f>IFERROR(INDEX('Both teabags AfterDry'!$D$3:$D$2000,MATCH(I194,'Both teabags AfterDry'!$A$3:$A$2000,0)),"")</f>
        <v>1.6778</v>
      </c>
      <c r="U194" s="194">
        <f t="shared" si="19"/>
        <v>0.66429999999999989</v>
      </c>
      <c r="V194" s="194">
        <f t="shared" si="20"/>
        <v>1.5271999999999999</v>
      </c>
      <c r="W194" s="194">
        <f>IFERROR(INDEX('Ashed teabags dry'!$K$2:$K$2000,MATCH(H194,'Ashed teabags dry'!$A$2:$A$2000,0)),"")</f>
        <v>19.0062711046786</v>
      </c>
      <c r="X194" s="194">
        <f>IFERROR(INDEX('Ashed teabags dry'!$K$2:$K$2000,MATCH(I194,'Ashed teabags dry'!$A$2:$A$2000,0)),"")</f>
        <v>9.0650213573804805</v>
      </c>
      <c r="Y194" s="194">
        <f t="shared" si="15"/>
        <v>0.53804134105162005</v>
      </c>
      <c r="Z194" s="194">
        <f t="shared" si="15"/>
        <v>1.3887589938300853</v>
      </c>
      <c r="AA194" s="194">
        <f t="shared" si="21"/>
        <v>0.68420314300478613</v>
      </c>
      <c r="AB194" s="194">
        <f t="shared" si="22"/>
        <v>0.44855122914328027</v>
      </c>
      <c r="AC194" s="194">
        <f t="shared" si="16"/>
        <v>0.71052179099208124</v>
      </c>
      <c r="AD194">
        <f t="shared" si="23"/>
        <v>69</v>
      </c>
      <c r="AE194" s="194">
        <f t="shared" si="24"/>
        <v>0.1874071935810141</v>
      </c>
      <c r="AF194" s="194">
        <f t="shared" si="25"/>
        <v>1.502405152648441E-2</v>
      </c>
      <c r="AG194" s="252" t="str">
        <f>IF(ISNUMBER(SEARCH("C", 'Dry_Litterbag Placem_Collection'!$T121)),"YES","NO")</f>
        <v>NO</v>
      </c>
      <c r="AH194" s="252" t="str">
        <f>IF(ISNUMBER(SEARCH("H", 'Dry_Litterbag Placem_Collection'!$T121)),"YES","NO")</f>
        <v>NO</v>
      </c>
      <c r="AI194" s="252" t="str">
        <f>IF(ISNUMBER(SEARCH("R", 'Dry_Litterbag Placem_Collection'!$T121)),"YES","NO")</f>
        <v>NO</v>
      </c>
      <c r="AJ194" s="252" t="str">
        <f>IF(ISNUMBER(SEARCH("C", 'Dry_Litterbag Placem_Collection'!$S121)),"YES","NO")</f>
        <v>NO</v>
      </c>
      <c r="AK194" s="252" t="str">
        <f>IF(ISNUMBER(SEARCH("H", 'Dry_Litterbag Placem_Collection'!$S121)),"YES","NO")</f>
        <v>YES</v>
      </c>
      <c r="AL194" s="252" t="str">
        <f>IF(ISNUMBER(SEARCH("R", 'Dry_Litterbag Placem_Collection'!$S121)),"YES","NO")</f>
        <v>NO</v>
      </c>
    </row>
    <row r="195" spans="2:38">
      <c r="B195" t="str">
        <f>'Final data_for_R_analysis_Dryse'!A121</f>
        <v>Dry</v>
      </c>
      <c r="C195" s="260">
        <f>'Final data_for_R_analysis_Dryse'!B121</f>
        <v>120</v>
      </c>
      <c r="D195" t="s">
        <v>3818</v>
      </c>
      <c r="E195" t="s">
        <v>22</v>
      </c>
      <c r="F195" s="382">
        <v>8</v>
      </c>
      <c r="G195" s="16" t="str">
        <f>IF('Dry_Litterbag Placem_Collection'!E122="","",'Dry_Litterbag Placem_Collection'!E122)</f>
        <v/>
      </c>
      <c r="H195" t="str">
        <f>'Final data_for_R_analysis_Dryse'!K121</f>
        <v/>
      </c>
      <c r="I195" t="str">
        <f>'Final data_for_R_analysis_Dryse'!K341</f>
        <v/>
      </c>
      <c r="J195" t="str">
        <f>IFERROR(INDEX('Green_rooibos initial weight'!$C$5:$C$2000,MATCH(H195, 'Green_rooibos initial weight'!$A$5:$A$2000,0)),"")</f>
        <v/>
      </c>
      <c r="K195" t="str">
        <f>IFERROR(INDEX('Green_rooibos initial weight'!$C$5:$C$2000,MATCH(I195, 'Green_rooibos initial weight'!$A$5:$A$2000,0)),"")</f>
        <v/>
      </c>
      <c r="L195" s="194" t="str">
        <f t="shared" si="17"/>
        <v/>
      </c>
      <c r="M195" s="237">
        <f>AVERAGE(Ashed_controlls!$K$1:$K$11)</f>
        <v>5.5147656768714146</v>
      </c>
      <c r="N195" s="194" t="str">
        <f t="shared" si="13"/>
        <v/>
      </c>
      <c r="O195" s="194" t="str">
        <f t="shared" si="18"/>
        <v/>
      </c>
      <c r="P195" s="237">
        <f>AVERAGE(Ashed_controlls!$K$12:$K$14)</f>
        <v>2.2816647271287041</v>
      </c>
      <c r="Q195" s="194" t="str">
        <f t="shared" si="14"/>
        <v/>
      </c>
      <c r="R195" s="16" t="str">
        <f>IF('Dry_Litterbag Placem_Collection'!G122="","",'Dry_Litterbag Placem_Collection'!G122)</f>
        <v/>
      </c>
      <c r="S195" s="194" t="str">
        <f>IFERROR(INDEX('Both teabags AfterDry'!$D$3:$D$2000,MATCH(H195,'Both teabags AfterDry'!$A$3:$A$2000,0)),"")</f>
        <v/>
      </c>
      <c r="T195" s="194" t="str">
        <f>IFERROR(INDEX('Both teabags AfterDry'!$D$3:$D$2000,MATCH(I195,'Both teabags AfterDry'!$A$3:$A$2000,0)),"")</f>
        <v/>
      </c>
      <c r="U195" s="194" t="str">
        <f t="shared" si="19"/>
        <v/>
      </c>
      <c r="V195" s="194" t="str">
        <f t="shared" si="20"/>
        <v/>
      </c>
      <c r="W195" s="194" t="str">
        <f>IFERROR(INDEX('Ashed teabags dry'!$K$2:$K$2000,MATCH(H195,'Ashed teabags dry'!$A$2:$A$2000,0)),"")</f>
        <v/>
      </c>
      <c r="X195" s="194" t="str">
        <f>IFERROR(INDEX('Ashed teabags dry'!$K$2:$K$2000,MATCH(I195,'Ashed teabags dry'!$A$2:$A$2000,0)),"")</f>
        <v/>
      </c>
      <c r="Y195" s="194" t="str">
        <f t="shared" si="15"/>
        <v/>
      </c>
      <c r="Z195" s="194" t="str">
        <f t="shared" si="15"/>
        <v/>
      </c>
      <c r="AA195" s="194" t="str">
        <f t="shared" si="21"/>
        <v/>
      </c>
      <c r="AB195" s="194" t="str">
        <f t="shared" si="22"/>
        <v/>
      </c>
      <c r="AC195" s="194" t="str">
        <f t="shared" si="16"/>
        <v/>
      </c>
      <c r="AD195" t="str">
        <f t="shared" si="23"/>
        <v/>
      </c>
      <c r="AE195" s="194" t="str">
        <f t="shared" si="24"/>
        <v/>
      </c>
      <c r="AF195" s="194" t="str">
        <f t="shared" si="25"/>
        <v/>
      </c>
      <c r="AG195" s="252" t="str">
        <f>IF(ISNUMBER(SEARCH("C", 'Dry_Litterbag Placem_Collection'!$T122)),"YES","NO")</f>
        <v>NO</v>
      </c>
      <c r="AH195" s="252" t="str">
        <f>IF(ISNUMBER(SEARCH("H", 'Dry_Litterbag Placem_Collection'!$T122)),"YES","NO")</f>
        <v>NO</v>
      </c>
      <c r="AI195" s="252" t="str">
        <f>IF(ISNUMBER(SEARCH("R", 'Dry_Litterbag Placem_Collection'!$T122)),"YES","NO")</f>
        <v>NO</v>
      </c>
      <c r="AJ195" s="252" t="str">
        <f>IF(ISNUMBER(SEARCH("C", 'Dry_Litterbag Placem_Collection'!$S122)),"YES","NO")</f>
        <v>NO</v>
      </c>
      <c r="AK195" s="252" t="str">
        <f>IF(ISNUMBER(SEARCH("H", 'Dry_Litterbag Placem_Collection'!$S122)),"YES","NO")</f>
        <v>NO</v>
      </c>
      <c r="AL195" s="252" t="str">
        <f>IF(ISNUMBER(SEARCH("R", 'Dry_Litterbag Placem_Collection'!$S122)),"YES","NO")</f>
        <v>NO</v>
      </c>
    </row>
    <row r="196" spans="2:38">
      <c r="B196" t="str">
        <f>'Final data_for_R_analysis_Dryse'!A122</f>
        <v>Dry</v>
      </c>
      <c r="C196" s="260">
        <f>'Final data_for_R_analysis_Dryse'!B122</f>
        <v>121</v>
      </c>
      <c r="D196" t="s">
        <v>3819</v>
      </c>
      <c r="E196" t="s">
        <v>22</v>
      </c>
      <c r="F196" s="381">
        <v>1</v>
      </c>
      <c r="G196" s="16">
        <f>IF('Dry_Litterbag Placem_Collection'!E123="","",'Dry_Litterbag Placem_Collection'!E123)</f>
        <v>42939</v>
      </c>
      <c r="H196" t="str">
        <f>'Final data_for_R_analysis_Dryse'!K122</f>
        <v>G280</v>
      </c>
      <c r="I196" t="str">
        <f>'Final data_for_R_analysis_Dryse'!K342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7"/>
        <v>1.6952</v>
      </c>
      <c r="M196" s="237">
        <f>AVERAGE(Ashed_controlls!$K$1:$K$11)</f>
        <v>5.5147656768714146</v>
      </c>
      <c r="N196" s="194">
        <f t="shared" si="13"/>
        <v>1.6017136922456758</v>
      </c>
      <c r="O196" s="194">
        <f t="shared" si="18"/>
        <v>1.9382000000000001</v>
      </c>
      <c r="P196" s="237">
        <f>AVERAGE(Ashed_controlls!$K$12:$K$14)</f>
        <v>2.2816647271287041</v>
      </c>
      <c r="Q196" s="194">
        <f t="shared" si="14"/>
        <v>1.8939767742587916</v>
      </c>
      <c r="R196" s="16">
        <f>IF('Dry_Litterbag Placem_Collection'!G123="","",'Dry_Litterbag Placem_Collection'!G123)</f>
        <v>43008</v>
      </c>
      <c r="S196" s="194" t="str">
        <f>IFERROR(INDEX('Both teabags AfterDry'!$D$3:$D$2000,MATCH(H196,'Both teabags AfterDry'!$A$3:$A$2000,0)),"")</f>
        <v/>
      </c>
      <c r="T196" s="194" t="str">
        <f>IFERROR(INDEX('Both teabags AfterDry'!$D$3:$D$2000,MATCH(I196,'Both teabags AfterDry'!$A$3:$A$2000,0)),"")</f>
        <v/>
      </c>
      <c r="U196" s="194" t="str">
        <f t="shared" si="19"/>
        <v/>
      </c>
      <c r="V196" s="194" t="str">
        <f t="shared" si="20"/>
        <v/>
      </c>
      <c r="W196" s="194" t="str">
        <f>IFERROR(INDEX('Ashed teabags dry'!$K$2:$K$2000,MATCH(H196,'Ashed teabags dry'!$A$2:$A$2000,0)),"")</f>
        <v/>
      </c>
      <c r="X196" s="194" t="str">
        <f>IFERROR(INDEX('Ashed teabags dry'!$K$2:$K$2000,MATCH(I196,'Ashed teabags dry'!$A$2:$A$2000,0)),"")</f>
        <v/>
      </c>
      <c r="Y196" s="194" t="str">
        <f t="shared" si="15"/>
        <v/>
      </c>
      <c r="Z196" s="194" t="str">
        <f t="shared" si="15"/>
        <v/>
      </c>
      <c r="AA196" s="194" t="str">
        <f t="shared" si="21"/>
        <v/>
      </c>
      <c r="AB196" s="194" t="str">
        <f t="shared" si="22"/>
        <v/>
      </c>
      <c r="AC196" s="194" t="str">
        <f t="shared" si="16"/>
        <v/>
      </c>
      <c r="AD196">
        <f t="shared" si="23"/>
        <v>69</v>
      </c>
      <c r="AE196" s="194" t="str">
        <f t="shared" si="24"/>
        <v/>
      </c>
      <c r="AF196" s="194" t="str">
        <f t="shared" si="25"/>
        <v/>
      </c>
      <c r="AG196" s="252" t="str">
        <f>IF(ISNUMBER(SEARCH("C", 'Dry_Litterbag Placem_Collection'!$T123)),"YES","NO")</f>
        <v>NO</v>
      </c>
      <c r="AH196" s="252" t="str">
        <f>IF(ISNUMBER(SEARCH("H", 'Dry_Litterbag Placem_Collection'!$T123)),"YES","NO")</f>
        <v>NO</v>
      </c>
      <c r="AI196" s="252" t="str">
        <f>IF(ISNUMBER(SEARCH("R", 'Dry_Litterbag Placem_Collection'!$T123)),"YES","NO")</f>
        <v>NO</v>
      </c>
      <c r="AJ196" s="252" t="str">
        <f>IF(ISNUMBER(SEARCH("C", 'Dry_Litterbag Placem_Collection'!$S123)),"YES","NO")</f>
        <v>NO</v>
      </c>
      <c r="AK196" s="252" t="str">
        <f>IF(ISNUMBER(SEARCH("H", 'Dry_Litterbag Placem_Collection'!$S123)),"YES","NO")</f>
        <v>NO</v>
      </c>
      <c r="AL196" s="252" t="str">
        <f>IF(ISNUMBER(SEARCH("R", 'Dry_Litterbag Placem_Collection'!$S123)),"YES","NO")</f>
        <v>NO</v>
      </c>
    </row>
    <row r="197" spans="2:38">
      <c r="B197" t="str">
        <f>'Final data_for_R_analysis_Dryse'!A123</f>
        <v>Dry</v>
      </c>
      <c r="C197" s="260">
        <f>'Final data_for_R_analysis_Dryse'!B123</f>
        <v>122</v>
      </c>
      <c r="D197" t="s">
        <v>3819</v>
      </c>
      <c r="E197" t="s">
        <v>22</v>
      </c>
      <c r="F197" s="381">
        <v>2</v>
      </c>
      <c r="G197" s="16">
        <f>IF('Dry_Litterbag Placem_Collection'!E124="","",'Dry_Litterbag Placem_Collection'!E124)</f>
        <v>42939</v>
      </c>
      <c r="H197" t="str">
        <f>'Final data_for_R_analysis_Dryse'!K123</f>
        <v>G231</v>
      </c>
      <c r="I197" t="str">
        <f>'Final data_for_R_analysis_Dryse'!K343</f>
        <v>R792</v>
      </c>
      <c r="J197">
        <f>IFERROR(INDEX('Green_rooibos initial weight'!$C$5:$C$2000,MATCH(H197, 'Green_rooibos initial weight'!$A$5:$A$2000,0)),"")</f>
        <v>2.085</v>
      </c>
      <c r="K197">
        <f>IFERROR(INDEX('Green_rooibos initial weight'!$C$5:$C$2000,MATCH(I197, 'Green_rooibos initial weight'!$A$5:$A$2000,0)),"")</f>
        <v>2.2389999999999999</v>
      </c>
      <c r="L197" s="194">
        <f t="shared" si="17"/>
        <v>1.8351999999999999</v>
      </c>
      <c r="M197" s="237">
        <f>AVERAGE(Ashed_controlls!$K$1:$K$11)</f>
        <v>5.5147656768714146</v>
      </c>
      <c r="N197" s="194">
        <f t="shared" si="13"/>
        <v>1.7339930202980558</v>
      </c>
      <c r="O197" s="194">
        <f t="shared" si="18"/>
        <v>1.9891999999999999</v>
      </c>
      <c r="P197" s="237">
        <f>AVERAGE(Ashed_controlls!$K$12:$K$14)</f>
        <v>2.2816647271287041</v>
      </c>
      <c r="Q197" s="194">
        <f t="shared" si="14"/>
        <v>1.9438131252479556</v>
      </c>
      <c r="R197" s="16">
        <f>IF('Dry_Litterbag Placem_Collection'!G124="","",'Dry_Litterbag Placem_Collection'!G124)</f>
        <v>43008</v>
      </c>
      <c r="S197" s="194">
        <f>IFERROR(INDEX('Both teabags AfterDry'!$D$3:$D$2000,MATCH(H197,'Both teabags AfterDry'!$A$3:$A$2000,0)),"")</f>
        <v>0.78859999999999997</v>
      </c>
      <c r="T197" s="194">
        <f>IFERROR(INDEX('Both teabags AfterDry'!$D$3:$D$2000,MATCH(I197,'Both teabags AfterDry'!$A$3:$A$2000,0)),"")</f>
        <v>0</v>
      </c>
      <c r="U197" s="194">
        <f t="shared" si="19"/>
        <v>0.6379999999999999</v>
      </c>
      <c r="V197" s="194" t="str">
        <f t="shared" si="20"/>
        <v/>
      </c>
      <c r="W197" s="194">
        <f>IFERROR(INDEX('Ashed teabags dry'!$K$2:$K$2000,MATCH(H197,'Ashed teabags dry'!$A$2:$A$2000,0)),"")</f>
        <v>27.063339731285495</v>
      </c>
      <c r="X197" s="194">
        <f>IFERROR(INDEX('Ashed teabags dry'!$K$2:$K$2000,MATCH(I197,'Ashed teabags dry'!$A$2:$A$2000,0)),"")</f>
        <v>0</v>
      </c>
      <c r="Y197" s="194">
        <f t="shared" si="15"/>
        <v>0.46533589251439844</v>
      </c>
      <c r="Z197" s="194" t="str">
        <f t="shared" si="15"/>
        <v/>
      </c>
      <c r="AA197" s="194">
        <f t="shared" si="21"/>
        <v>0.73163912018837773</v>
      </c>
      <c r="AB197" s="194">
        <f t="shared" si="22"/>
        <v>0.47964939945841395</v>
      </c>
      <c r="AC197" s="194" t="str">
        <f t="shared" si="16"/>
        <v/>
      </c>
      <c r="AD197">
        <f t="shared" si="23"/>
        <v>69</v>
      </c>
      <c r="AE197" s="194">
        <f t="shared" si="24"/>
        <v>0.1310699285173661</v>
      </c>
      <c r="AF197" s="194" t="str">
        <f t="shared" si="25"/>
        <v/>
      </c>
      <c r="AG197" s="252" t="str">
        <f>IF(ISNUMBER(SEARCH("C", 'Dry_Litterbag Placem_Collection'!$T124)),"YES","NO")</f>
        <v>YES</v>
      </c>
      <c r="AH197" s="252" t="str">
        <f>IF(ISNUMBER(SEARCH("H", 'Dry_Litterbag Placem_Collection'!$T124)),"YES","NO")</f>
        <v>YES</v>
      </c>
      <c r="AI197" s="252" t="str">
        <f>IF(ISNUMBER(SEARCH("R", 'Dry_Litterbag Placem_Collection'!$T124)),"YES","NO")</f>
        <v>NO</v>
      </c>
      <c r="AJ197" s="252" t="str">
        <f>IF(ISNUMBER(SEARCH("C", 'Dry_Litterbag Placem_Collection'!$S124)),"YES","NO")</f>
        <v>NO</v>
      </c>
      <c r="AK197" s="252" t="str">
        <f>IF(ISNUMBER(SEARCH("H", 'Dry_Litterbag Placem_Collection'!$S124)),"YES","NO")</f>
        <v>YES</v>
      </c>
      <c r="AL197" s="252" t="str">
        <f>IF(ISNUMBER(SEARCH("R", 'Dry_Litterbag Placem_Collection'!$S124)),"YES","NO")</f>
        <v>NO</v>
      </c>
    </row>
    <row r="198" spans="2:38">
      <c r="B198" t="str">
        <f>'Final data_for_R_analysis_Dryse'!A124</f>
        <v>Dry</v>
      </c>
      <c r="C198" s="260">
        <f>'Final data_for_R_analysis_Dryse'!B124</f>
        <v>123</v>
      </c>
      <c r="D198" t="s">
        <v>3819</v>
      </c>
      <c r="E198" t="s">
        <v>22</v>
      </c>
      <c r="F198" s="381">
        <v>3</v>
      </c>
      <c r="G198" s="16">
        <f>IF('Dry_Litterbag Placem_Collection'!E125="","",'Dry_Litterbag Placem_Collection'!E125)</f>
        <v>42939</v>
      </c>
      <c r="H198" t="str">
        <f>'Final data_for_R_analysis_Dryse'!K124</f>
        <v>G292</v>
      </c>
      <c r="I198" t="str">
        <f>'Final data_for_R_analysis_Dryse'!K344</f>
        <v>R740</v>
      </c>
      <c r="J198">
        <f>IFERROR(INDEX('Green_rooibos initial weight'!$C$5:$C$2000,MATCH(H198, 'Green_rooibos initial weight'!$A$5:$A$2000,0)),"")</f>
        <v>2.0289999999999999</v>
      </c>
      <c r="K198">
        <f>IFERROR(INDEX('Green_rooibos initial weight'!$C$5:$C$2000,MATCH(I198, 'Green_rooibos initial weight'!$A$5:$A$2000,0)),"")</f>
        <v>2.161</v>
      </c>
      <c r="L198" s="194">
        <f t="shared" si="17"/>
        <v>1.7791999999999999</v>
      </c>
      <c r="M198" s="237">
        <f>AVERAGE(Ashed_controlls!$K$1:$K$11)</f>
        <v>5.5147656768714146</v>
      </c>
      <c r="N198" s="194">
        <f t="shared" si="13"/>
        <v>1.6810812890771036</v>
      </c>
      <c r="O198" s="194">
        <f t="shared" si="18"/>
        <v>1.9112</v>
      </c>
      <c r="P198" s="237">
        <f>AVERAGE(Ashed_controlls!$K$12:$K$14)</f>
        <v>2.2816647271287041</v>
      </c>
      <c r="Q198" s="194">
        <f t="shared" si="14"/>
        <v>1.8675928237351163</v>
      </c>
      <c r="R198" s="16">
        <f>IF('Dry_Litterbag Placem_Collection'!G125="","",'Dry_Litterbag Placem_Collection'!G125)</f>
        <v>43008</v>
      </c>
      <c r="S198" s="194">
        <f>IFERROR(INDEX('Both teabags AfterDry'!$D$3:$D$2000,MATCH(H198,'Both teabags AfterDry'!$A$3:$A$2000,0)),"")</f>
        <v>0.88980000000000004</v>
      </c>
      <c r="T198" s="194">
        <f>IFERROR(INDEX('Both teabags AfterDry'!$D$3:$D$2000,MATCH(I198,'Both teabags AfterDry'!$A$3:$A$2000,0)),"")</f>
        <v>1.6575</v>
      </c>
      <c r="U198" s="194">
        <f t="shared" si="19"/>
        <v>0.73920000000000008</v>
      </c>
      <c r="V198" s="194">
        <f t="shared" si="20"/>
        <v>1.5068999999999999</v>
      </c>
      <c r="W198" s="194">
        <f>IFERROR(INDEX('Ashed teabags dry'!$K$2:$K$2000,MATCH(H198,'Ashed teabags dry'!$A$2:$A$2000,0)),"")</f>
        <v>18.857705563761883</v>
      </c>
      <c r="X198" s="194">
        <f>IFERROR(INDEX('Ashed teabags dry'!$K$2:$K$2000,MATCH(I198,'Ashed teabags dry'!$A$2:$A$2000,0)),"")</f>
        <v>10.523831996223592</v>
      </c>
      <c r="Y198" s="194">
        <f t="shared" si="15"/>
        <v>0.59980384047267221</v>
      </c>
      <c r="Z198" s="194">
        <f t="shared" si="15"/>
        <v>1.3483163756489067</v>
      </c>
      <c r="AA198" s="194">
        <f t="shared" si="21"/>
        <v>0.64320354740135244</v>
      </c>
      <c r="AB198" s="194">
        <f t="shared" si="22"/>
        <v>0.42167263440088665</v>
      </c>
      <c r="AC198" s="194">
        <f t="shared" si="16"/>
        <v>0.72195414252680845</v>
      </c>
      <c r="AD198">
        <f t="shared" si="23"/>
        <v>69</v>
      </c>
      <c r="AE198" s="194">
        <f t="shared" si="24"/>
        <v>0.23610029999839377</v>
      </c>
      <c r="AF198" s="194">
        <f t="shared" si="25"/>
        <v>1.5608857348347166E-2</v>
      </c>
      <c r="AG198" s="252" t="str">
        <f>IF(ISNUMBER(SEARCH("C", 'Dry_Litterbag Placem_Collection'!$T125)),"YES","NO")</f>
        <v>NO</v>
      </c>
      <c r="AH198" s="252" t="str">
        <f>IF(ISNUMBER(SEARCH("H", 'Dry_Litterbag Placem_Collection'!$T125)),"YES","NO")</f>
        <v>NO</v>
      </c>
      <c r="AI198" s="252" t="str">
        <f>IF(ISNUMBER(SEARCH("R", 'Dry_Litterbag Placem_Collection'!$T125)),"YES","NO")</f>
        <v>NO</v>
      </c>
      <c r="AJ198" s="252" t="str">
        <f>IF(ISNUMBER(SEARCH("C", 'Dry_Litterbag Placem_Collection'!$S125)),"YES","NO")</f>
        <v>NO</v>
      </c>
      <c r="AK198" s="252" t="str">
        <f>IF(ISNUMBER(SEARCH("H", 'Dry_Litterbag Placem_Collection'!$S125)),"YES","NO")</f>
        <v>NO</v>
      </c>
      <c r="AL198" s="252" t="str">
        <f>IF(ISNUMBER(SEARCH("R", 'Dry_Litterbag Placem_Collection'!$S125)),"YES","NO")</f>
        <v>YES</v>
      </c>
    </row>
    <row r="199" spans="2:38">
      <c r="B199" t="str">
        <f>'Final data_for_R_analysis_Dryse'!A125</f>
        <v>Dry</v>
      </c>
      <c r="C199" s="260">
        <f>'Final data_for_R_analysis_Dryse'!B125</f>
        <v>124</v>
      </c>
      <c r="D199" t="s">
        <v>3819</v>
      </c>
      <c r="E199" t="s">
        <v>22</v>
      </c>
      <c r="F199" s="382">
        <v>4</v>
      </c>
      <c r="G199" s="16">
        <f>IF('Dry_Litterbag Placem_Collection'!E126="","",'Dry_Litterbag Placem_Collection'!E126)</f>
        <v>42939</v>
      </c>
      <c r="H199" t="str">
        <f>'Final data_for_R_analysis_Dryse'!K125</f>
        <v>G116</v>
      </c>
      <c r="I199" t="str">
        <f>'Final data_for_R_analysis_Dryse'!K345</f>
        <v>R797</v>
      </c>
      <c r="J199">
        <f>IFERROR(INDEX('Green_rooibos initial weight'!$C$5:$C$2000,MATCH(H199, 'Green_rooibos initial weight'!$A$5:$A$2000,0)),"")</f>
        <v>1.925</v>
      </c>
      <c r="K199">
        <f>IFERROR(INDEX('Green_rooibos initial weight'!$C$5:$C$2000,MATCH(I199, 'Green_rooibos initial weight'!$A$5:$A$2000,0)),"")</f>
        <v>2.2130000000000001</v>
      </c>
      <c r="L199" s="194">
        <f t="shared" si="17"/>
        <v>1.6752</v>
      </c>
      <c r="M199" s="237">
        <f>AVERAGE(Ashed_controlls!$K$1:$K$11)</f>
        <v>5.5147656768714146</v>
      </c>
      <c r="N199" s="194">
        <f t="shared" si="13"/>
        <v>1.5828166453810502</v>
      </c>
      <c r="O199" s="194">
        <f t="shared" si="18"/>
        <v>1.9632000000000001</v>
      </c>
      <c r="P199" s="237">
        <f>AVERAGE(Ashed_controlls!$K$12:$K$14)</f>
        <v>2.2816647271287041</v>
      </c>
      <c r="Q199" s="194">
        <f t="shared" si="14"/>
        <v>1.9184063580770094</v>
      </c>
      <c r="R199" s="16">
        <f>IF('Dry_Litterbag Placem_Collection'!G126="","",'Dry_Litterbag Placem_Collection'!G126)</f>
        <v>43008</v>
      </c>
      <c r="S199" s="194">
        <f>IFERROR(INDEX('Both teabags AfterDry'!$D$3:$D$2000,MATCH(H199,'Both teabags AfterDry'!$A$3:$A$2000,0)),"")</f>
        <v>0.63749999999999996</v>
      </c>
      <c r="T199" s="194">
        <f>IFERROR(INDEX('Both teabags AfterDry'!$D$3:$D$2000,MATCH(I199,'Both teabags AfterDry'!$A$3:$A$2000,0)),"")</f>
        <v>1.5708</v>
      </c>
      <c r="U199" s="194">
        <f t="shared" si="19"/>
        <v>0.48689999999999994</v>
      </c>
      <c r="V199" s="194">
        <f t="shared" si="20"/>
        <v>1.4201999999999999</v>
      </c>
      <c r="W199" s="194">
        <f>IFERROR(INDEX('Ashed teabags dry'!$K$2:$K$2000,MATCH(H199,'Ashed teabags dry'!$A$2:$A$2000,0)),"")</f>
        <v>17.988929889299115</v>
      </c>
      <c r="X199" s="194">
        <f>IFERROR(INDEX('Ashed teabags dry'!$K$2:$K$2000,MATCH(I199,'Ashed teabags dry'!$A$2:$A$2000,0)),"")</f>
        <v>3.4211742949603519</v>
      </c>
      <c r="Y199" s="194">
        <f t="shared" si="15"/>
        <v>0.39931190036900255</v>
      </c>
      <c r="Z199" s="194">
        <f t="shared" si="15"/>
        <v>1.371612482662973</v>
      </c>
      <c r="AA199" s="194">
        <f t="shared" si="21"/>
        <v>0.74772068417762216</v>
      </c>
      <c r="AB199" s="194">
        <f t="shared" si="22"/>
        <v>0.49019218250124402</v>
      </c>
      <c r="AC199" s="194">
        <f t="shared" si="16"/>
        <v>0.71497494620371416</v>
      </c>
      <c r="AD199">
        <f t="shared" si="23"/>
        <v>69</v>
      </c>
      <c r="AE199" s="194">
        <f t="shared" si="24"/>
        <v>0.111970683874558</v>
      </c>
      <c r="AF199" s="194">
        <f t="shared" si="25"/>
        <v>1.2622791513459209E-2</v>
      </c>
      <c r="AG199" s="252" t="str">
        <f>IF(ISNUMBER(SEARCH("C", 'Dry_Litterbag Placem_Collection'!$T126)),"YES","NO")</f>
        <v>NO</v>
      </c>
      <c r="AH199" s="252" t="str">
        <f>IF(ISNUMBER(SEARCH("H", 'Dry_Litterbag Placem_Collection'!$T126)),"YES","NO")</f>
        <v>YES</v>
      </c>
      <c r="AI199" s="252" t="str">
        <f>IF(ISNUMBER(SEARCH("R", 'Dry_Litterbag Placem_Collection'!$T126)),"YES","NO")</f>
        <v>YES</v>
      </c>
      <c r="AJ199" s="252" t="str">
        <f>IF(ISNUMBER(SEARCH("C", 'Dry_Litterbag Placem_Collection'!$S126)),"YES","NO")</f>
        <v>NO</v>
      </c>
      <c r="AK199" s="252" t="str">
        <f>IF(ISNUMBER(SEARCH("H", 'Dry_Litterbag Placem_Collection'!$S126)),"YES","NO")</f>
        <v>YES</v>
      </c>
      <c r="AL199" s="252" t="str">
        <f>IF(ISNUMBER(SEARCH("R", 'Dry_Litterbag Placem_Collection'!$S126)),"YES","NO")</f>
        <v>YES</v>
      </c>
    </row>
    <row r="200" spans="2:38">
      <c r="B200" t="str">
        <f>'Final data_for_R_analysis_Dryse'!A126</f>
        <v>Dry</v>
      </c>
      <c r="C200" s="260">
        <f>'Final data_for_R_analysis_Dryse'!B126</f>
        <v>125</v>
      </c>
      <c r="D200" t="s">
        <v>3819</v>
      </c>
      <c r="E200" t="s">
        <v>22</v>
      </c>
      <c r="F200" s="382">
        <v>5</v>
      </c>
      <c r="G200" s="16">
        <f>IF('Dry_Litterbag Placem_Collection'!E127="","",'Dry_Litterbag Placem_Collection'!E127)</f>
        <v>42939</v>
      </c>
      <c r="H200" t="str">
        <f>'Final data_for_R_analysis_Dryse'!K126</f>
        <v>G50</v>
      </c>
      <c r="I200" t="str">
        <f>'Final data_for_R_analysis_Dryse'!K346</f>
        <v>R795</v>
      </c>
      <c r="J200">
        <f>IFERROR(INDEX('Green_rooibos initial weight'!$C$5:$C$2000,MATCH(H200, 'Green_rooibos initial weight'!$A$5:$A$2000,0)),"")</f>
        <v>1.954</v>
      </c>
      <c r="K200">
        <f>IFERROR(INDEX('Green_rooibos initial weight'!$C$5:$C$2000,MATCH(I200, 'Green_rooibos initial weight'!$A$5:$A$2000,0)),"")</f>
        <v>2.2170000000000001</v>
      </c>
      <c r="L200" s="194">
        <f t="shared" si="17"/>
        <v>1.7041999999999999</v>
      </c>
      <c r="M200" s="237">
        <f>AVERAGE(Ashed_controlls!$K$1:$K$11)</f>
        <v>5.5147656768714146</v>
      </c>
      <c r="N200" s="194">
        <f t="shared" si="13"/>
        <v>1.6102173633347574</v>
      </c>
      <c r="O200" s="194">
        <f t="shared" si="18"/>
        <v>1.9672000000000001</v>
      </c>
      <c r="P200" s="237">
        <f>AVERAGE(Ashed_controlls!$K$12:$K$14)</f>
        <v>2.2816647271287041</v>
      </c>
      <c r="Q200" s="194">
        <f t="shared" si="14"/>
        <v>1.9223150914879241</v>
      </c>
      <c r="R200" s="16">
        <f>IF('Dry_Litterbag Placem_Collection'!G127="","",'Dry_Litterbag Placem_Collection'!G127)</f>
        <v>43008</v>
      </c>
      <c r="S200" s="194">
        <f>IFERROR(INDEX('Both teabags AfterDry'!$D$3:$D$2000,MATCH(H200,'Both teabags AfterDry'!$A$3:$A$2000,0)),"")</f>
        <v>0.8911</v>
      </c>
      <c r="T200" s="194">
        <f>IFERROR(INDEX('Both teabags AfterDry'!$D$3:$D$2000,MATCH(I200,'Both teabags AfterDry'!$A$3:$A$2000,0)),"")</f>
        <v>0.83220000000000005</v>
      </c>
      <c r="U200" s="194">
        <f t="shared" si="19"/>
        <v>0.74049999999999994</v>
      </c>
      <c r="V200" s="194">
        <f t="shared" si="20"/>
        <v>0.68159999999999998</v>
      </c>
      <c r="W200" s="194">
        <f>IFERROR(INDEX('Ashed teabags dry'!$K$2:$K$2000,MATCH(H200,'Ashed teabags dry'!$A$2:$A$2000,0)),"")</f>
        <v>30.974309258361465</v>
      </c>
      <c r="X200" s="194">
        <f>IFERROR(INDEX('Ashed teabags dry'!$K$2:$K$2000,MATCH(I200,'Ashed teabags dry'!$A$2:$A$2000,0)),"")</f>
        <v>91.950000000000998</v>
      </c>
      <c r="Y200" s="194">
        <f t="shared" si="15"/>
        <v>0.5111352399418333</v>
      </c>
      <c r="Z200" s="194">
        <f t="shared" si="15"/>
        <v>5.4868799999993167E-2</v>
      </c>
      <c r="AA200" s="194">
        <f t="shared" si="21"/>
        <v>0.68256755169794392</v>
      </c>
      <c r="AB200" s="194">
        <f t="shared" si="22"/>
        <v>0.44747896500862833</v>
      </c>
      <c r="AC200" s="194">
        <f t="shared" si="16"/>
        <v>2.8543083411743508E-2</v>
      </c>
      <c r="AD200">
        <f t="shared" si="23"/>
        <v>69</v>
      </c>
      <c r="AE200" s="194">
        <f t="shared" si="24"/>
        <v>0.18934970107132554</v>
      </c>
      <c r="AF200" s="194" t="str">
        <f t="shared" si="25"/>
        <v/>
      </c>
      <c r="AG200" s="252" t="str">
        <f>IF(ISNUMBER(SEARCH("C", 'Dry_Litterbag Placem_Collection'!$T127)),"YES","NO")</f>
        <v>YES</v>
      </c>
      <c r="AH200" s="252" t="str">
        <f>IF(ISNUMBER(SEARCH("H", 'Dry_Litterbag Placem_Collection'!$T127)),"YES","NO")</f>
        <v>YES</v>
      </c>
      <c r="AI200" s="252" t="str">
        <f>IF(ISNUMBER(SEARCH("R", 'Dry_Litterbag Placem_Collection'!$T127)),"YES","NO")</f>
        <v>NO</v>
      </c>
      <c r="AJ200" s="252" t="str">
        <f>IF(ISNUMBER(SEARCH("C", 'Dry_Litterbag Placem_Collection'!$S127)),"YES","NO")</f>
        <v>NO</v>
      </c>
      <c r="AK200" s="252" t="str">
        <f>IF(ISNUMBER(SEARCH("H", 'Dry_Litterbag Placem_Collection'!$S127)),"YES","NO")</f>
        <v>NO</v>
      </c>
      <c r="AL200" s="252" t="str">
        <f>IF(ISNUMBER(SEARCH("R", 'Dry_Litterbag Placem_Collection'!$S127)),"YES","NO")</f>
        <v>NO</v>
      </c>
    </row>
    <row r="201" spans="2:38">
      <c r="B201" t="str">
        <f>'Final data_for_R_analysis_Dryse'!A127</f>
        <v>Dry</v>
      </c>
      <c r="C201" s="260">
        <f>'Final data_for_R_analysis_Dryse'!B127</f>
        <v>126</v>
      </c>
      <c r="D201" t="s">
        <v>3819</v>
      </c>
      <c r="E201" t="s">
        <v>22</v>
      </c>
      <c r="F201" s="382">
        <v>6</v>
      </c>
      <c r="G201" s="16" t="str">
        <f>IF('Dry_Litterbag Placem_Collection'!E128="","",'Dry_Litterbag Placem_Collection'!E128)</f>
        <v/>
      </c>
      <c r="H201" t="str">
        <f>'Final data_for_R_analysis_Dryse'!K127</f>
        <v/>
      </c>
      <c r="I201" t="str">
        <f>'Final data_for_R_analysis_Dryse'!K347</f>
        <v/>
      </c>
      <c r="J201" t="str">
        <f>IFERROR(INDEX('Green_rooibos initial weight'!$C$5:$C$2000,MATCH(H201, 'Green_rooibos initial weight'!$A$5:$A$2000,0)),"")</f>
        <v/>
      </c>
      <c r="K201" t="str">
        <f>IFERROR(INDEX('Green_rooibos initial weight'!$C$5:$C$2000,MATCH(I201, 'Green_rooibos initial weight'!$A$5:$A$2000,0)),"")</f>
        <v/>
      </c>
      <c r="L201" s="194" t="str">
        <f t="shared" si="17"/>
        <v/>
      </c>
      <c r="M201" s="237">
        <f>AVERAGE(Ashed_controlls!$K$1:$K$11)</f>
        <v>5.5147656768714146</v>
      </c>
      <c r="N201" s="194" t="str">
        <f t="shared" si="13"/>
        <v/>
      </c>
      <c r="O201" s="194" t="str">
        <f t="shared" si="18"/>
        <v/>
      </c>
      <c r="P201" s="237">
        <f>AVERAGE(Ashed_controlls!$K$12:$K$14)</f>
        <v>2.2816647271287041</v>
      </c>
      <c r="Q201" s="194" t="str">
        <f t="shared" si="14"/>
        <v/>
      </c>
      <c r="R201" s="16" t="str">
        <f>IF('Dry_Litterbag Placem_Collection'!G128="","",'Dry_Litterbag Placem_Collection'!G128)</f>
        <v/>
      </c>
      <c r="S201" s="194" t="str">
        <f>IFERROR(INDEX('Both teabags AfterDry'!$D$3:$D$2000,MATCH(H201,'Both teabags AfterDry'!$A$3:$A$2000,0)),"")</f>
        <v/>
      </c>
      <c r="T201" s="194" t="str">
        <f>IFERROR(INDEX('Both teabags AfterDry'!$D$3:$D$2000,MATCH(I201,'Both teabags AfterDry'!$A$3:$A$2000,0)),"")</f>
        <v/>
      </c>
      <c r="U201" s="194" t="str">
        <f t="shared" si="19"/>
        <v/>
      </c>
      <c r="V201" s="194" t="str">
        <f t="shared" si="20"/>
        <v/>
      </c>
      <c r="W201" s="194" t="str">
        <f>IFERROR(INDEX('Ashed teabags dry'!$K$2:$K$2000,MATCH(H201,'Ashed teabags dry'!$A$2:$A$2000,0)),"")</f>
        <v/>
      </c>
      <c r="X201" s="194" t="str">
        <f>IFERROR(INDEX('Ashed teabags dry'!$K$2:$K$2000,MATCH(I201,'Ashed teabags dry'!$A$2:$A$2000,0)),"")</f>
        <v/>
      </c>
      <c r="Y201" s="194" t="str">
        <f t="shared" si="15"/>
        <v/>
      </c>
      <c r="Z201" s="194" t="str">
        <f t="shared" si="15"/>
        <v/>
      </c>
      <c r="AA201" s="194" t="str">
        <f t="shared" si="21"/>
        <v/>
      </c>
      <c r="AB201" s="194" t="str">
        <f t="shared" si="22"/>
        <v/>
      </c>
      <c r="AC201" s="194" t="str">
        <f t="shared" si="16"/>
        <v/>
      </c>
      <c r="AD201" t="str">
        <f t="shared" si="23"/>
        <v/>
      </c>
      <c r="AE201" s="194" t="str">
        <f t="shared" si="24"/>
        <v/>
      </c>
      <c r="AF201" s="194" t="str">
        <f t="shared" si="25"/>
        <v/>
      </c>
      <c r="AG201" s="252" t="str">
        <f>IF(ISNUMBER(SEARCH("C", 'Dry_Litterbag Placem_Collection'!$T128)),"YES","NO")</f>
        <v>NO</v>
      </c>
      <c r="AH201" s="252" t="str">
        <f>IF(ISNUMBER(SEARCH("H", 'Dry_Litterbag Placem_Collection'!$T128)),"YES","NO")</f>
        <v>NO</v>
      </c>
      <c r="AI201" s="252" t="str">
        <f>IF(ISNUMBER(SEARCH("R", 'Dry_Litterbag Placem_Collection'!$T128)),"YES","NO")</f>
        <v>NO</v>
      </c>
      <c r="AJ201" s="252" t="str">
        <f>IF(ISNUMBER(SEARCH("C", 'Dry_Litterbag Placem_Collection'!$S128)),"YES","NO")</f>
        <v>NO</v>
      </c>
      <c r="AK201" s="252" t="str">
        <f>IF(ISNUMBER(SEARCH("H", 'Dry_Litterbag Placem_Collection'!$S128)),"YES","NO")</f>
        <v>NO</v>
      </c>
      <c r="AL201" s="252" t="str">
        <f>IF(ISNUMBER(SEARCH("R", 'Dry_Litterbag Placem_Collection'!$S128)),"YES","NO")</f>
        <v>NO</v>
      </c>
    </row>
    <row r="202" spans="2:38">
      <c r="B202" t="str">
        <f>'Final data_for_R_analysis_Dryse'!A128</f>
        <v>Dry</v>
      </c>
      <c r="C202" s="260">
        <f>'Final data_for_R_analysis_Dryse'!B128</f>
        <v>127</v>
      </c>
      <c r="D202" t="s">
        <v>3819</v>
      </c>
      <c r="E202" t="s">
        <v>22</v>
      </c>
      <c r="F202" s="382">
        <v>7</v>
      </c>
      <c r="G202" s="16">
        <f>IF('Dry_Litterbag Placem_Collection'!E129="","",'Dry_Litterbag Placem_Collection'!E129)</f>
        <v>42939</v>
      </c>
      <c r="H202" t="str">
        <f>'Final data_for_R_analysis_Dryse'!K128</f>
        <v>G318</v>
      </c>
      <c r="I202" t="str">
        <f>'Final data_for_R_analysis_Dryse'!K348</f>
        <v>R751</v>
      </c>
      <c r="J202">
        <f>IFERROR(INDEX('Green_rooibos initial weight'!$C$5:$C$2000,MATCH(H202, 'Green_rooibos initial weight'!$A$5:$A$2000,0)),"")</f>
        <v>1.929</v>
      </c>
      <c r="K202">
        <f>IFERROR(INDEX('Green_rooibos initial weight'!$C$5:$C$2000,MATCH(I202, 'Green_rooibos initial weight'!$A$5:$A$2000,0)),"")</f>
        <v>2.262</v>
      </c>
      <c r="L202" s="194">
        <f t="shared" si="17"/>
        <v>1.6792</v>
      </c>
      <c r="M202" s="237">
        <f>AVERAGE(Ashed_controlls!$K$1:$K$11)</f>
        <v>5.5147656768714146</v>
      </c>
      <c r="N202" s="194">
        <f t="shared" si="13"/>
        <v>1.5865960547539752</v>
      </c>
      <c r="O202" s="194">
        <f t="shared" si="18"/>
        <v>2.0122</v>
      </c>
      <c r="P202" s="237">
        <f>AVERAGE(Ashed_controlls!$K$12:$K$14)</f>
        <v>2.2816647271287041</v>
      </c>
      <c r="Q202" s="194">
        <f t="shared" si="14"/>
        <v>1.9662883423607163</v>
      </c>
      <c r="R202" s="16">
        <f>IF('Dry_Litterbag Placem_Collection'!G129="","",'Dry_Litterbag Placem_Collection'!G129)</f>
        <v>43008</v>
      </c>
      <c r="S202" s="194">
        <f>IFERROR(INDEX('Both teabags AfterDry'!$D$3:$D$2000,MATCH(H202,'Both teabags AfterDry'!$A$3:$A$2000,0)),"")</f>
        <v>0.70609999999999995</v>
      </c>
      <c r="T202" s="194">
        <f>IFERROR(INDEX('Both teabags AfterDry'!$D$3:$D$2000,MATCH(I202,'Both teabags AfterDry'!$A$3:$A$2000,0)),"")</f>
        <v>1.6394</v>
      </c>
      <c r="U202" s="194">
        <f t="shared" si="19"/>
        <v>0.55549999999999988</v>
      </c>
      <c r="V202" s="194">
        <f t="shared" si="20"/>
        <v>1.4887999999999999</v>
      </c>
      <c r="W202" s="194">
        <f>IFERROR(INDEX('Ashed teabags dry'!$K$2:$K$2000,MATCH(H202,'Ashed teabags dry'!$A$2:$A$2000,0)),"")</f>
        <v>13.937442502299483</v>
      </c>
      <c r="X202" s="194">
        <f>IFERROR(INDEX('Ashed teabags dry'!$K$2:$K$2000,MATCH(I202,'Ashed teabags dry'!$A$2:$A$2000,0)),"")</f>
        <v>4.0196078431371527</v>
      </c>
      <c r="Y202" s="194">
        <f t="shared" si="15"/>
        <v>0.47807750689972628</v>
      </c>
      <c r="Z202" s="194">
        <f t="shared" si="15"/>
        <v>1.428956078431374</v>
      </c>
      <c r="AA202" s="194">
        <f t="shared" si="21"/>
        <v>0.69867723705271723</v>
      </c>
      <c r="AB202" s="194">
        <f t="shared" si="22"/>
        <v>0.45804018391104506</v>
      </c>
      <c r="AC202" s="194">
        <f t="shared" si="16"/>
        <v>0.72672763584397604</v>
      </c>
      <c r="AD202">
        <f t="shared" si="23"/>
        <v>69</v>
      </c>
      <c r="AE202" s="194">
        <f t="shared" si="24"/>
        <v>0.17021705813216481</v>
      </c>
      <c r="AF202" s="194">
        <f t="shared" si="25"/>
        <v>1.315734651511646E-2</v>
      </c>
      <c r="AG202" s="252" t="str">
        <f>IF(ISNUMBER(SEARCH("C", 'Dry_Litterbag Placem_Collection'!$T129)),"YES","NO")</f>
        <v>NO</v>
      </c>
      <c r="AH202" s="252" t="str">
        <f>IF(ISNUMBER(SEARCH("H", 'Dry_Litterbag Placem_Collection'!$T129)),"YES","NO")</f>
        <v>NO</v>
      </c>
      <c r="AI202" s="252" t="str">
        <f>IF(ISNUMBER(SEARCH("R", 'Dry_Litterbag Placem_Collection'!$T129)),"YES","NO")</f>
        <v>NO</v>
      </c>
      <c r="AJ202" s="252" t="str">
        <f>IF(ISNUMBER(SEARCH("C", 'Dry_Litterbag Placem_Collection'!$S129)),"YES","NO")</f>
        <v>NO</v>
      </c>
      <c r="AK202" s="252" t="str">
        <f>IF(ISNUMBER(SEARCH("H", 'Dry_Litterbag Placem_Collection'!$S129)),"YES","NO")</f>
        <v>NO</v>
      </c>
      <c r="AL202" s="252" t="str">
        <f>IF(ISNUMBER(SEARCH("R", 'Dry_Litterbag Placem_Collection'!$S129)),"YES","NO")</f>
        <v>YES</v>
      </c>
    </row>
    <row r="203" spans="2:38">
      <c r="B203" t="str">
        <f>'Final data_for_R_analysis_Dryse'!A129</f>
        <v>Dry</v>
      </c>
      <c r="C203" s="260">
        <f>'Final data_for_R_analysis_Dryse'!B129</f>
        <v>128</v>
      </c>
      <c r="D203" t="s">
        <v>3819</v>
      </c>
      <c r="E203" t="s">
        <v>22</v>
      </c>
      <c r="F203" s="382">
        <v>8</v>
      </c>
      <c r="G203" s="16">
        <f>IF('Dry_Litterbag Placem_Collection'!E130="","",'Dry_Litterbag Placem_Collection'!E130)</f>
        <v>42939</v>
      </c>
      <c r="H203" t="str">
        <f>'Final data_for_R_analysis_Dryse'!K129</f>
        <v>G34</v>
      </c>
      <c r="I203" t="str">
        <f>'Final data_for_R_analysis_Dryse'!K349</f>
        <v>R819</v>
      </c>
      <c r="J203">
        <f>IFERROR(INDEX('Green_rooibos initial weight'!$C$5:$C$2000,MATCH(H203, 'Green_rooibos initial weight'!$A$5:$A$2000,0)),"")</f>
        <v>2.133</v>
      </c>
      <c r="K203">
        <f>IFERROR(INDEX('Green_rooibos initial weight'!$C$5:$C$2000,MATCH(I203, 'Green_rooibos initial weight'!$A$5:$A$2000,0)),"")</f>
        <v>2.16</v>
      </c>
      <c r="L203" s="194">
        <f t="shared" si="17"/>
        <v>1.8832</v>
      </c>
      <c r="M203" s="237">
        <f>AVERAGE(Ashed_controlls!$K$1:$K$11)</f>
        <v>5.5147656768714146</v>
      </c>
      <c r="N203" s="194">
        <f t="shared" si="13"/>
        <v>1.7793459327731576</v>
      </c>
      <c r="O203" s="194">
        <f t="shared" si="18"/>
        <v>1.9102000000000001</v>
      </c>
      <c r="P203" s="237">
        <f>AVERAGE(Ashed_controlls!$K$12:$K$14)</f>
        <v>2.2816647271287041</v>
      </c>
      <c r="Q203" s="194">
        <f t="shared" si="14"/>
        <v>1.8666156403823877</v>
      </c>
      <c r="R203" s="16">
        <f>IF('Dry_Litterbag Placem_Collection'!G130="","",'Dry_Litterbag Placem_Collection'!G130)</f>
        <v>43008</v>
      </c>
      <c r="S203" s="194">
        <f>IFERROR(INDEX('Both teabags AfterDry'!$D$3:$D$2000,MATCH(H203,'Both teabags AfterDry'!$A$3:$A$2000,0)),"")</f>
        <v>0.92579999999999996</v>
      </c>
      <c r="T203" s="194">
        <f>IFERROR(INDEX('Both teabags AfterDry'!$D$3:$D$2000,MATCH(I203,'Both teabags AfterDry'!$A$3:$A$2000,0)),"")</f>
        <v>2.8028</v>
      </c>
      <c r="U203" s="194">
        <f t="shared" si="19"/>
        <v>0.77519999999999989</v>
      </c>
      <c r="V203" s="194">
        <f t="shared" si="20"/>
        <v>2.6522000000000001</v>
      </c>
      <c r="W203" s="194">
        <f>IFERROR(INDEX('Ashed teabags dry'!$K$2:$K$2000,MATCH(H203,'Ashed teabags dry'!$A$2:$A$2000,0)),"")</f>
        <v>26.714158504006296</v>
      </c>
      <c r="X203" s="194">
        <f>IFERROR(INDEX('Ashed teabags dry'!$K$2:$K$2000,MATCH(I203,'Ashed teabags dry'!$A$2:$A$2000,0)),"")</f>
        <v>86.93858845096193</v>
      </c>
      <c r="Y203" s="194">
        <f t="shared" si="15"/>
        <v>0.56811184327694308</v>
      </c>
      <c r="Z203" s="194">
        <f t="shared" si="15"/>
        <v>0.3464147571035876</v>
      </c>
      <c r="AA203" s="194">
        <f t="shared" si="21"/>
        <v>0.68071872208035122</v>
      </c>
      <c r="AB203" s="194">
        <f t="shared" si="22"/>
        <v>0.44626690568688115</v>
      </c>
      <c r="AC203" s="194">
        <f t="shared" si="16"/>
        <v>0.18558440720695044</v>
      </c>
      <c r="AD203">
        <f t="shared" si="23"/>
        <v>69</v>
      </c>
      <c r="AE203" s="194">
        <f t="shared" si="24"/>
        <v>0.19154546071217193</v>
      </c>
      <c r="AF203" s="194" t="str">
        <f t="shared" si="25"/>
        <v/>
      </c>
      <c r="AG203" s="252" t="str">
        <f>IF(ISNUMBER(SEARCH("C", 'Dry_Litterbag Placem_Collection'!$T130)),"YES","NO")</f>
        <v>YES</v>
      </c>
      <c r="AH203" s="252" t="str">
        <f>IF(ISNUMBER(SEARCH("H", 'Dry_Litterbag Placem_Collection'!$T130)),"YES","NO")</f>
        <v>YES</v>
      </c>
      <c r="AI203" s="252" t="str">
        <f>IF(ISNUMBER(SEARCH("R", 'Dry_Litterbag Placem_Collection'!$T130)),"YES","NO")</f>
        <v>NO</v>
      </c>
      <c r="AJ203" s="252" t="str">
        <f>IF(ISNUMBER(SEARCH("C", 'Dry_Litterbag Placem_Collection'!$S130)),"YES","NO")</f>
        <v>NO</v>
      </c>
      <c r="AK203" s="252" t="str">
        <f>IF(ISNUMBER(SEARCH("H", 'Dry_Litterbag Placem_Collection'!$S130)),"YES","NO")</f>
        <v>NO</v>
      </c>
      <c r="AL203" s="252" t="str">
        <f>IF(ISNUMBER(SEARCH("R", 'Dry_Litterbag Placem_Collection'!$S130)),"YES","NO")</f>
        <v>NO</v>
      </c>
    </row>
    <row r="204" spans="2:38">
      <c r="B204" t="str">
        <f>'Final data_for_R_analysis_Dryse'!A130</f>
        <v>Dry</v>
      </c>
      <c r="C204" s="260">
        <f>'Final data_for_R_analysis_Dryse'!B130</f>
        <v>129</v>
      </c>
      <c r="D204" t="s">
        <v>3820</v>
      </c>
      <c r="E204" t="s">
        <v>22</v>
      </c>
      <c r="F204" s="381">
        <v>1</v>
      </c>
      <c r="G204" s="16">
        <f>IF('Dry_Litterbag Placem_Collection'!E131="","",'Dry_Litterbag Placem_Collection'!E131)</f>
        <v>42939</v>
      </c>
      <c r="H204" t="str">
        <f>'Final data_for_R_analysis_Dryse'!K130</f>
        <v>G80</v>
      </c>
      <c r="I204" t="str">
        <f>'Final data_for_R_analysis_Dryse'!K350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7"/>
        <v>1.7761999999999998</v>
      </c>
      <c r="M204" s="237">
        <f>AVERAGE(Ashed_controlls!$K$1:$K$11)</f>
        <v>5.5147656768714146</v>
      </c>
      <c r="N204" s="194">
        <f t="shared" ref="N204:N267" si="26">IFERROR(L204-(M204/100)*L204,"")</f>
        <v>1.6782467320474097</v>
      </c>
      <c r="O204" s="194">
        <f t="shared" si="18"/>
        <v>1.9622000000000002</v>
      </c>
      <c r="P204" s="237">
        <f>AVERAGE(Ashed_controlls!$K$12:$K$14)</f>
        <v>2.2816647271287041</v>
      </c>
      <c r="Q204" s="194">
        <f t="shared" ref="Q204:Q267" si="27">IFERROR(O204-(P204/100)*O204,"")</f>
        <v>1.9174291747242806</v>
      </c>
      <c r="R204" s="16">
        <f>IF('Dry_Litterbag Placem_Collection'!G131="","",'Dry_Litterbag Placem_Collection'!G131)</f>
        <v>43008</v>
      </c>
      <c r="S204" s="194">
        <f>IFERROR(INDEX('Both teabags AfterDry'!$D$3:$D$2000,MATCH(H204,'Both teabags AfterDry'!$A$3:$A$2000,0)),"")</f>
        <v>0.72970000000000002</v>
      </c>
      <c r="T204" s="194">
        <f>IFERROR(INDEX('Both teabags AfterDry'!$D$3:$D$2000,MATCH(I204,'Both teabags AfterDry'!$A$3:$A$2000,0)),"")</f>
        <v>0.67179999999999995</v>
      </c>
      <c r="U204" s="194">
        <f t="shared" si="19"/>
        <v>0.57909999999999995</v>
      </c>
      <c r="V204" s="194">
        <f t="shared" si="20"/>
        <v>0.52119999999999989</v>
      </c>
      <c r="W204" s="194">
        <f>IFERROR(INDEX('Ashed teabags dry'!$K$2:$K$2000,MATCH(H204,'Ashed teabags dry'!$A$2:$A$2000,0)),"")</f>
        <v>20.009394081728875</v>
      </c>
      <c r="X204" s="194">
        <f>IFERROR(INDEX('Ashed teabags dry'!$K$2:$K$2000,MATCH(I204,'Ashed teabags dry'!$A$2:$A$2000,0)),"")</f>
        <v>87.766714082503427</v>
      </c>
      <c r="Y204" s="194">
        <f t="shared" ref="Y204:Z267" si="28">IFERROR(U204-(W204/100)*U204,"")</f>
        <v>0.46322559887270803</v>
      </c>
      <c r="Z204" s="194">
        <f t="shared" si="28"/>
        <v>6.3759886201992133E-2</v>
      </c>
      <c r="AA204" s="194">
        <f t="shared" si="21"/>
        <v>0.72398242163857107</v>
      </c>
      <c r="AB204" s="194">
        <f t="shared" si="22"/>
        <v>0.47462980610984712</v>
      </c>
      <c r="AC204" s="194">
        <f t="shared" ref="AC204:AC267" si="29">IFERROR(Z204/Q204,"")</f>
        <v>3.3252798613101611E-2</v>
      </c>
      <c r="AD204">
        <f t="shared" si="23"/>
        <v>69</v>
      </c>
      <c r="AE204" s="194">
        <f t="shared" si="24"/>
        <v>0.14016339472853789</v>
      </c>
      <c r="AF204" s="194" t="str">
        <f t="shared" si="25"/>
        <v/>
      </c>
      <c r="AG204" s="252" t="str">
        <f>IF(ISNUMBER(SEARCH("C", 'Dry_Litterbag Placem_Collection'!$T131)),"YES","NO")</f>
        <v>YES</v>
      </c>
      <c r="AH204" s="252" t="str">
        <f>IF(ISNUMBER(SEARCH("H", 'Dry_Litterbag Placem_Collection'!$T131)),"YES","NO")</f>
        <v>YES</v>
      </c>
      <c r="AI204" s="252" t="str">
        <f>IF(ISNUMBER(SEARCH("R", 'Dry_Litterbag Placem_Collection'!$T131)),"YES","NO")</f>
        <v>NO</v>
      </c>
      <c r="AJ204" s="252" t="str">
        <f>IF(ISNUMBER(SEARCH("C", 'Dry_Litterbag Placem_Collection'!$S131)),"YES","NO")</f>
        <v>YES</v>
      </c>
      <c r="AK204" s="252" t="str">
        <f>IF(ISNUMBER(SEARCH("H", 'Dry_Litterbag Placem_Collection'!$S131)),"YES","NO")</f>
        <v>YES</v>
      </c>
      <c r="AL204" s="252" t="str">
        <f>IF(ISNUMBER(SEARCH("R", 'Dry_Litterbag Placem_Collection'!$S131)),"YES","NO")</f>
        <v>NO</v>
      </c>
    </row>
    <row r="205" spans="2:38">
      <c r="B205" t="str">
        <f>'Final data_for_R_analysis_Dryse'!A131</f>
        <v>Dry</v>
      </c>
      <c r="C205" s="260">
        <f>'Final data_for_R_analysis_Dryse'!B131</f>
        <v>130</v>
      </c>
      <c r="D205" t="s">
        <v>3820</v>
      </c>
      <c r="E205" t="s">
        <v>22</v>
      </c>
      <c r="F205" s="381">
        <v>2</v>
      </c>
      <c r="G205" s="16">
        <f>IF('Dry_Litterbag Placem_Collection'!E132="","",'Dry_Litterbag Placem_Collection'!E132)</f>
        <v>42939</v>
      </c>
      <c r="H205" t="str">
        <f>'Final data_for_R_analysis_Dryse'!K131</f>
        <v>G64</v>
      </c>
      <c r="I205" t="str">
        <f>'Final data_for_R_analysis_Dryse'!K351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30">IFERROR(IF(J205&gt;0,(J205*$F$31-($F$29+$F$30)),""),"")</f>
        <v>1.8342000000000001</v>
      </c>
      <c r="M205" s="237">
        <f>AVERAGE(Ashed_controlls!$K$1:$K$11)</f>
        <v>5.5147656768714146</v>
      </c>
      <c r="N205" s="194">
        <f t="shared" si="26"/>
        <v>1.7330481679548246</v>
      </c>
      <c r="O205" s="194">
        <f t="shared" ref="O205:O268" si="31">IFERROR(IF(K205&gt;0,(K205*$F$32-($F$29+$F$30)),""),"")</f>
        <v>2.0051999999999999</v>
      </c>
      <c r="P205" s="237">
        <f>AVERAGE(Ashed_controlls!$K$12:$K$14)</f>
        <v>2.2816647271287041</v>
      </c>
      <c r="Q205" s="194">
        <f t="shared" si="27"/>
        <v>1.959448058891615</v>
      </c>
      <c r="R205" s="16">
        <f>IF('Dry_Litterbag Placem_Collection'!G132="","",'Dry_Litterbag Placem_Collection'!G132)</f>
        <v>43008</v>
      </c>
      <c r="S205" s="194">
        <f>IFERROR(INDEX('Both teabags AfterDry'!$D$3:$D$2000,MATCH(H205,'Both teabags AfterDry'!$A$3:$A$2000,0)),"")</f>
        <v>0.83650000000000002</v>
      </c>
      <c r="T205" s="194">
        <f>IFERROR(INDEX('Both teabags AfterDry'!$D$3:$D$2000,MATCH(I205,'Both teabags AfterDry'!$A$3:$A$2000,0)),"")</f>
        <v>2.4607999999999999</v>
      </c>
      <c r="U205" s="194">
        <f t="shared" ref="U205:U268" si="32">IFERROR(IF(S205&gt;0,S205-($F$29),""),"")</f>
        <v>0.68589999999999995</v>
      </c>
      <c r="V205" s="194">
        <f t="shared" ref="V205:V268" si="33">IFERROR(IF(T205&gt;0,T205-($F$29),""),"")</f>
        <v>2.3102</v>
      </c>
      <c r="W205" s="194">
        <f>IFERROR(INDEX('Ashed teabags dry'!$K$2:$K$2000,MATCH(H205,'Ashed teabags dry'!$A$2:$A$2000,0)),"")</f>
        <v>23.217636022513883</v>
      </c>
      <c r="X205" s="194">
        <f>IFERROR(INDEX('Ashed teabags dry'!$K$2:$K$2000,MATCH(I205,'Ashed teabags dry'!$A$2:$A$2000,0)),"")</f>
        <v>91.804831833254127</v>
      </c>
      <c r="Y205" s="194">
        <f t="shared" si="28"/>
        <v>0.52665023452157722</v>
      </c>
      <c r="Z205" s="194">
        <f t="shared" si="28"/>
        <v>0.18932477498816302</v>
      </c>
      <c r="AA205" s="194">
        <f t="shared" ref="AA205:AA268" si="34">IFERROR(1-Y205/N205,"")</f>
        <v>0.69611333126240882</v>
      </c>
      <c r="AB205" s="194">
        <f t="shared" ref="AB205:AB268" si="35">IFERROR($F$26*(1-AE205),"")</f>
        <v>0.45635933355920394</v>
      </c>
      <c r="AC205" s="194">
        <f t="shared" si="29"/>
        <v>9.6621481814249691E-2</v>
      </c>
      <c r="AD205">
        <f t="shared" ref="AD205:AD268" si="36">IFERROR(IF((R205-G205)&gt;0,(IFERROR(R205-G205,"")),""),"")</f>
        <v>69</v>
      </c>
      <c r="AE205" s="194">
        <f t="shared" ref="AE205:AE268" si="37">IFERROR(1-(AA205/$F$25),"")</f>
        <v>0.17326207688550022</v>
      </c>
      <c r="AF205" s="194" t="str">
        <f t="shared" ref="AF205:AF268" si="38">IFERROR(LN(AB205/(AC205-(1-AB205)))/AD205,"")</f>
        <v/>
      </c>
      <c r="AG205" s="252" t="str">
        <f>IF(ISNUMBER(SEARCH("C", 'Dry_Litterbag Placem_Collection'!$T132)),"YES","NO")</f>
        <v>YES</v>
      </c>
      <c r="AH205" s="252" t="str">
        <f>IF(ISNUMBER(SEARCH("H", 'Dry_Litterbag Placem_Collection'!$T132)),"YES","NO")</f>
        <v>YES</v>
      </c>
      <c r="AI205" s="252" t="str">
        <f>IF(ISNUMBER(SEARCH("R", 'Dry_Litterbag Placem_Collection'!$T132)),"YES","NO")</f>
        <v>NO</v>
      </c>
      <c r="AJ205" s="252" t="str">
        <f>IF(ISNUMBER(SEARCH("C", 'Dry_Litterbag Placem_Collection'!$S132)),"YES","NO")</f>
        <v>YES</v>
      </c>
      <c r="AK205" s="252" t="str">
        <f>IF(ISNUMBER(SEARCH("H", 'Dry_Litterbag Placem_Collection'!$S132)),"YES","NO")</f>
        <v>NO</v>
      </c>
      <c r="AL205" s="252" t="str">
        <f>IF(ISNUMBER(SEARCH("R", 'Dry_Litterbag Placem_Collection'!$S132)),"YES","NO")</f>
        <v>NO</v>
      </c>
    </row>
    <row r="206" spans="2:38">
      <c r="B206" t="str">
        <f>'Final data_for_R_analysis_Dryse'!A132</f>
        <v>Dry</v>
      </c>
      <c r="C206" s="260">
        <f>'Final data_for_R_analysis_Dryse'!B132</f>
        <v>131</v>
      </c>
      <c r="D206" t="s">
        <v>3820</v>
      </c>
      <c r="E206" t="s">
        <v>22</v>
      </c>
      <c r="F206" s="381">
        <v>3</v>
      </c>
      <c r="G206" s="16">
        <f>IF('Dry_Litterbag Placem_Collection'!E133="","",'Dry_Litterbag Placem_Collection'!E133)</f>
        <v>42939</v>
      </c>
      <c r="H206" t="str">
        <f>'Final data_for_R_analysis_Dryse'!K132</f>
        <v>G118</v>
      </c>
      <c r="I206" t="str">
        <f>'Final data_for_R_analysis_Dryse'!K352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30"/>
        <v>1.8372000000000002</v>
      </c>
      <c r="M206" s="237">
        <f>AVERAGE(Ashed_controlls!$K$1:$K$11)</f>
        <v>5.5147656768714146</v>
      </c>
      <c r="N206" s="194">
        <f t="shared" si="26"/>
        <v>1.7358827249845186</v>
      </c>
      <c r="O206" s="194">
        <f t="shared" si="31"/>
        <v>1.9022000000000001</v>
      </c>
      <c r="P206" s="237">
        <f>AVERAGE(Ashed_controlls!$K$12:$K$14)</f>
        <v>2.2816647271287041</v>
      </c>
      <c r="Q206" s="194">
        <f t="shared" si="27"/>
        <v>1.8587981735605579</v>
      </c>
      <c r="R206" s="16">
        <f>IF('Dry_Litterbag Placem_Collection'!G133="","",'Dry_Litterbag Placem_Collection'!G133)</f>
        <v>43008</v>
      </c>
      <c r="S206" s="194">
        <f>IFERROR(INDEX('Both teabags AfterDry'!$D$3:$D$2000,MATCH(H206,'Both teabags AfterDry'!$A$3:$A$2000,0)),"")</f>
        <v>0.87509999999999999</v>
      </c>
      <c r="T206" s="194">
        <f>IFERROR(INDEX('Both teabags AfterDry'!$D$3:$D$2000,MATCH(I206,'Both teabags AfterDry'!$A$3:$A$2000,0)),"")</f>
        <v>2.2069000000000001</v>
      </c>
      <c r="U206" s="194">
        <f t="shared" si="32"/>
        <v>0.72449999999999992</v>
      </c>
      <c r="V206" s="194">
        <f t="shared" si="33"/>
        <v>2.0563000000000002</v>
      </c>
      <c r="W206" s="194">
        <f>IFERROR(INDEX('Ashed teabags dry'!$K$2:$K$2000,MATCH(H206,'Ashed teabags dry'!$A$2:$A$2000,0)),"")</f>
        <v>19.267364414842707</v>
      </c>
      <c r="X206" s="194">
        <f>IFERROR(INDEX('Ashed teabags dry'!$K$2:$K$2000,MATCH(I206,'Ashed teabags dry'!$A$2:$A$2000,0)),"")</f>
        <v>73.946360153256592</v>
      </c>
      <c r="Y206" s="194">
        <f t="shared" si="28"/>
        <v>0.58490794481446451</v>
      </c>
      <c r="Z206" s="194">
        <f t="shared" si="28"/>
        <v>0.53574099616858462</v>
      </c>
      <c r="AA206" s="194">
        <f t="shared" si="34"/>
        <v>0.66304869770526631</v>
      </c>
      <c r="AB206" s="194">
        <f t="shared" si="35"/>
        <v>0.43468275669038842</v>
      </c>
      <c r="AC206" s="194">
        <f t="shared" si="29"/>
        <v>0.28821902441531028</v>
      </c>
      <c r="AD206">
        <f t="shared" si="36"/>
        <v>69</v>
      </c>
      <c r="AE206" s="194">
        <f t="shared" si="37"/>
        <v>0.21253123787973116</v>
      </c>
      <c r="AF206" s="194" t="str">
        <f t="shared" si="38"/>
        <v/>
      </c>
      <c r="AG206" s="252" t="str">
        <f>IF(ISNUMBER(SEARCH("C", 'Dry_Litterbag Placem_Collection'!$T133)),"YES","NO")</f>
        <v>YES</v>
      </c>
      <c r="AH206" s="252" t="str">
        <f>IF(ISNUMBER(SEARCH("H", 'Dry_Litterbag Placem_Collection'!$T133)),"YES","NO")</f>
        <v>YES</v>
      </c>
      <c r="AI206" s="252" t="str">
        <f>IF(ISNUMBER(SEARCH("R", 'Dry_Litterbag Placem_Collection'!$T133)),"YES","NO")</f>
        <v>NO</v>
      </c>
      <c r="AJ206" s="252" t="str">
        <f>IF(ISNUMBER(SEARCH("C", 'Dry_Litterbag Placem_Collection'!$S133)),"YES","NO")</f>
        <v>YES</v>
      </c>
      <c r="AK206" s="252" t="str">
        <f>IF(ISNUMBER(SEARCH("H", 'Dry_Litterbag Placem_Collection'!$S133)),"YES","NO")</f>
        <v>NO</v>
      </c>
      <c r="AL206" s="252" t="str">
        <f>IF(ISNUMBER(SEARCH("R", 'Dry_Litterbag Placem_Collection'!$S133)),"YES","NO")</f>
        <v>NO</v>
      </c>
    </row>
    <row r="207" spans="2:38">
      <c r="B207" t="str">
        <f>'Final data_for_R_analysis_Dryse'!A133</f>
        <v>Dry</v>
      </c>
      <c r="C207" s="260">
        <f>'Final data_for_R_analysis_Dryse'!B133</f>
        <v>132</v>
      </c>
      <c r="D207" t="s">
        <v>3820</v>
      </c>
      <c r="E207" t="s">
        <v>22</v>
      </c>
      <c r="F207" s="382">
        <v>4</v>
      </c>
      <c r="G207" s="16" t="str">
        <f>IF('Dry_Litterbag Placem_Collection'!E134="","",'Dry_Litterbag Placem_Collection'!E134)</f>
        <v/>
      </c>
      <c r="H207" t="str">
        <f>'Final data_for_R_analysis_Dryse'!K133</f>
        <v/>
      </c>
      <c r="I207" t="str">
        <f>'Final data_for_R_analysis_Dryse'!K353</f>
        <v/>
      </c>
      <c r="J207" t="str">
        <f>IFERROR(INDEX('Green_rooibos initial weight'!$C$5:$C$2000,MATCH(H207, 'Green_rooibos initial weight'!$A$5:$A$2000,0)),"")</f>
        <v/>
      </c>
      <c r="K207" t="str">
        <f>IFERROR(INDEX('Green_rooibos initial weight'!$C$5:$C$2000,MATCH(I207, 'Green_rooibos initial weight'!$A$5:$A$2000,0)),"")</f>
        <v/>
      </c>
      <c r="L207" s="194" t="str">
        <f t="shared" si="30"/>
        <v/>
      </c>
      <c r="M207" s="237">
        <f>AVERAGE(Ashed_controlls!$K$1:$K$11)</f>
        <v>5.5147656768714146</v>
      </c>
      <c r="N207" s="194" t="str">
        <f t="shared" si="26"/>
        <v/>
      </c>
      <c r="O207" s="194" t="str">
        <f t="shared" si="31"/>
        <v/>
      </c>
      <c r="P207" s="237">
        <f>AVERAGE(Ashed_controlls!$K$12:$K$14)</f>
        <v>2.2816647271287041</v>
      </c>
      <c r="Q207" s="194" t="str">
        <f t="shared" si="27"/>
        <v/>
      </c>
      <c r="R207" s="16" t="str">
        <f>IF('Dry_Litterbag Placem_Collection'!G134="","",'Dry_Litterbag Placem_Collection'!G134)</f>
        <v/>
      </c>
      <c r="S207" s="194" t="str">
        <f>IFERROR(INDEX('Both teabags AfterDry'!$D$3:$D$2000,MATCH(H207,'Both teabags AfterDry'!$A$3:$A$2000,0)),"")</f>
        <v/>
      </c>
      <c r="T207" s="194" t="str">
        <f>IFERROR(INDEX('Both teabags AfterDry'!$D$3:$D$2000,MATCH(I207,'Both teabags AfterDry'!$A$3:$A$2000,0)),"")</f>
        <v/>
      </c>
      <c r="U207" s="194" t="str">
        <f t="shared" si="32"/>
        <v/>
      </c>
      <c r="V207" s="194" t="str">
        <f t="shared" si="33"/>
        <v/>
      </c>
      <c r="W207" s="194" t="str">
        <f>IFERROR(INDEX('Ashed teabags dry'!$K$2:$K$2000,MATCH(H207,'Ashed teabags dry'!$A$2:$A$2000,0)),"")</f>
        <v/>
      </c>
      <c r="X207" s="194" t="str">
        <f>IFERROR(INDEX('Ashed teabags dry'!$K$2:$K$2000,MATCH(I207,'Ashed teabags dry'!$A$2:$A$2000,0)),"")</f>
        <v/>
      </c>
      <c r="Y207" s="194" t="str">
        <f t="shared" si="28"/>
        <v/>
      </c>
      <c r="Z207" s="194" t="str">
        <f t="shared" si="28"/>
        <v/>
      </c>
      <c r="AA207" s="194" t="str">
        <f t="shared" si="34"/>
        <v/>
      </c>
      <c r="AB207" s="194" t="str">
        <f t="shared" si="35"/>
        <v/>
      </c>
      <c r="AC207" s="194" t="str">
        <f t="shared" si="29"/>
        <v/>
      </c>
      <c r="AD207" t="str">
        <f t="shared" si="36"/>
        <v/>
      </c>
      <c r="AE207" s="194" t="str">
        <f t="shared" si="37"/>
        <v/>
      </c>
      <c r="AF207" s="194" t="str">
        <f t="shared" si="38"/>
        <v/>
      </c>
      <c r="AG207" s="252" t="str">
        <f>IF(ISNUMBER(SEARCH("C", 'Dry_Litterbag Placem_Collection'!$T134)),"YES","NO")</f>
        <v>NO</v>
      </c>
      <c r="AH207" s="252" t="str">
        <f>IF(ISNUMBER(SEARCH("H", 'Dry_Litterbag Placem_Collection'!$T134)),"YES","NO")</f>
        <v>NO</v>
      </c>
      <c r="AI207" s="252" t="str">
        <f>IF(ISNUMBER(SEARCH("R", 'Dry_Litterbag Placem_Collection'!$T134)),"YES","NO")</f>
        <v>NO</v>
      </c>
      <c r="AJ207" s="252" t="str">
        <f>IF(ISNUMBER(SEARCH("C", 'Dry_Litterbag Placem_Collection'!$S134)),"YES","NO")</f>
        <v>NO</v>
      </c>
      <c r="AK207" s="252" t="str">
        <f>IF(ISNUMBER(SEARCH("H", 'Dry_Litterbag Placem_Collection'!$S134)),"YES","NO")</f>
        <v>NO</v>
      </c>
      <c r="AL207" s="252" t="str">
        <f>IF(ISNUMBER(SEARCH("R", 'Dry_Litterbag Placem_Collection'!$S134)),"YES","NO")</f>
        <v>NO</v>
      </c>
    </row>
    <row r="208" spans="2:38">
      <c r="B208" t="str">
        <f>'Final data_for_R_analysis_Dryse'!A134</f>
        <v>Dry</v>
      </c>
      <c r="C208" s="260">
        <f>'Final data_for_R_analysis_Dryse'!B134</f>
        <v>133</v>
      </c>
      <c r="D208" t="s">
        <v>3820</v>
      </c>
      <c r="E208" t="s">
        <v>22</v>
      </c>
      <c r="F208" s="382">
        <v>5</v>
      </c>
      <c r="G208" s="16">
        <f>IF('Dry_Litterbag Placem_Collection'!E135="","",'Dry_Litterbag Placem_Collection'!E135)</f>
        <v>42939</v>
      </c>
      <c r="H208" t="str">
        <f>'Final data_for_R_analysis_Dryse'!K134</f>
        <v>G270</v>
      </c>
      <c r="I208" t="str">
        <f>'Final data_for_R_analysis_Dryse'!K354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30"/>
        <v>1.7641999999999998</v>
      </c>
      <c r="M208" s="237">
        <f>AVERAGE(Ashed_controlls!$K$1:$K$11)</f>
        <v>5.5147656768714146</v>
      </c>
      <c r="N208" s="194">
        <f t="shared" si="26"/>
        <v>1.6669085039286342</v>
      </c>
      <c r="O208" s="194">
        <f t="shared" si="31"/>
        <v>1.9251999999999998</v>
      </c>
      <c r="P208" s="237">
        <f>AVERAGE(Ashed_controlls!$K$12:$K$14)</f>
        <v>2.2816647271287041</v>
      </c>
      <c r="Q208" s="194">
        <f t="shared" si="27"/>
        <v>1.8812733906733179</v>
      </c>
      <c r="R208" s="16">
        <f>IF('Dry_Litterbag Placem_Collection'!G135="","",'Dry_Litterbag Placem_Collection'!G135)</f>
        <v>43008</v>
      </c>
      <c r="S208" s="194" t="str">
        <f>IFERROR(INDEX('Both teabags AfterDry'!$D$3:$D$2000,MATCH(H208,'Both teabags AfterDry'!$A$3:$A$2000,0)),"")</f>
        <v/>
      </c>
      <c r="T208" s="194" t="str">
        <f>IFERROR(INDEX('Both teabags AfterDry'!$D$3:$D$2000,MATCH(I208,'Both teabags AfterDry'!$A$3:$A$2000,0)),"")</f>
        <v/>
      </c>
      <c r="U208" s="194" t="str">
        <f t="shared" si="32"/>
        <v/>
      </c>
      <c r="V208" s="194" t="str">
        <f t="shared" si="33"/>
        <v/>
      </c>
      <c r="W208" s="194" t="str">
        <f>IFERROR(INDEX('Ashed teabags dry'!$K$2:$K$2000,MATCH(H208,'Ashed teabags dry'!$A$2:$A$2000,0)),"")</f>
        <v/>
      </c>
      <c r="X208" s="194" t="str">
        <f>IFERROR(INDEX('Ashed teabags dry'!$K$2:$K$2000,MATCH(I208,'Ashed teabags dry'!$A$2:$A$2000,0)),"")</f>
        <v/>
      </c>
      <c r="Y208" s="194" t="str">
        <f t="shared" si="28"/>
        <v/>
      </c>
      <c r="Z208" s="194" t="str">
        <f t="shared" si="28"/>
        <v/>
      </c>
      <c r="AA208" s="194" t="str">
        <f t="shared" si="34"/>
        <v/>
      </c>
      <c r="AB208" s="194" t="str">
        <f t="shared" si="35"/>
        <v/>
      </c>
      <c r="AC208" s="194" t="str">
        <f t="shared" si="29"/>
        <v/>
      </c>
      <c r="AD208">
        <f t="shared" si="36"/>
        <v>69</v>
      </c>
      <c r="AE208" s="194" t="str">
        <f t="shared" si="37"/>
        <v/>
      </c>
      <c r="AF208" s="194" t="str">
        <f t="shared" si="38"/>
        <v/>
      </c>
      <c r="AG208" s="252" t="str">
        <f>IF(ISNUMBER(SEARCH("C", 'Dry_Litterbag Placem_Collection'!$T135)),"YES","NO")</f>
        <v>YES</v>
      </c>
      <c r="AH208" s="252" t="str">
        <f>IF(ISNUMBER(SEARCH("H", 'Dry_Litterbag Placem_Collection'!$T135)),"YES","NO")</f>
        <v>NO</v>
      </c>
      <c r="AI208" s="252" t="str">
        <f>IF(ISNUMBER(SEARCH("R", 'Dry_Litterbag Placem_Collection'!$T135)),"YES","NO")</f>
        <v>NO</v>
      </c>
      <c r="AJ208" s="252" t="str">
        <f>IF(ISNUMBER(SEARCH("C", 'Dry_Litterbag Placem_Collection'!$S135)),"YES","NO")</f>
        <v>YES</v>
      </c>
      <c r="AK208" s="252" t="str">
        <f>IF(ISNUMBER(SEARCH("H", 'Dry_Litterbag Placem_Collection'!$S135)),"YES","NO")</f>
        <v>NO</v>
      </c>
      <c r="AL208" s="252" t="str">
        <f>IF(ISNUMBER(SEARCH("R", 'Dry_Litterbag Placem_Collection'!$S135)),"YES","NO")</f>
        <v>NO</v>
      </c>
    </row>
    <row r="209" spans="2:38">
      <c r="B209" t="str">
        <f>'Final data_for_R_analysis_Dryse'!A135</f>
        <v>Dry</v>
      </c>
      <c r="C209" s="260">
        <f>'Final data_for_R_analysis_Dryse'!B135</f>
        <v>134</v>
      </c>
      <c r="D209" t="s">
        <v>3820</v>
      </c>
      <c r="E209" t="s">
        <v>22</v>
      </c>
      <c r="F209" s="382">
        <v>6</v>
      </c>
      <c r="G209" s="16">
        <f>IF('Dry_Litterbag Placem_Collection'!E136="","",'Dry_Litterbag Placem_Collection'!E136)</f>
        <v>42939</v>
      </c>
      <c r="H209" t="str">
        <f>'Final data_for_R_analysis_Dryse'!K135</f>
        <v>G316</v>
      </c>
      <c r="I209" t="str">
        <f>'Final data_for_R_analysis_Dryse'!K355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30"/>
        <v>1.8081999999999998</v>
      </c>
      <c r="M209" s="237">
        <f>AVERAGE(Ashed_controlls!$K$1:$K$11)</f>
        <v>5.5147656768714146</v>
      </c>
      <c r="N209" s="194">
        <f t="shared" si="26"/>
        <v>1.7084820070308109</v>
      </c>
      <c r="O209" s="194">
        <f t="shared" si="31"/>
        <v>1.9411999999999998</v>
      </c>
      <c r="P209" s="237">
        <f>AVERAGE(Ashed_controlls!$K$12:$K$14)</f>
        <v>2.2816647271287041</v>
      </c>
      <c r="Q209" s="194">
        <f t="shared" si="27"/>
        <v>1.8969083243169773</v>
      </c>
      <c r="R209" s="16">
        <f>IF('Dry_Litterbag Placem_Collection'!G136="","",'Dry_Litterbag Placem_Collection'!G136)</f>
        <v>43008</v>
      </c>
      <c r="S209" s="194">
        <f>IFERROR(INDEX('Both teabags AfterDry'!$D$3:$D$2000,MATCH(H209,'Both teabags AfterDry'!$A$3:$A$2000,0)),"")</f>
        <v>0.6512</v>
      </c>
      <c r="T209" s="194">
        <f>IFERROR(INDEX('Both teabags AfterDry'!$D$3:$D$2000,MATCH(I209,'Both teabags AfterDry'!$A$3:$A$2000,0)),"")</f>
        <v>1.7436</v>
      </c>
      <c r="U209" s="194">
        <f t="shared" si="32"/>
        <v>0.50059999999999993</v>
      </c>
      <c r="V209" s="194">
        <f t="shared" si="33"/>
        <v>1.593</v>
      </c>
      <c r="W209" s="194">
        <f>IFERROR(INDEX('Ashed teabags dry'!$K$2:$K$2000,MATCH(H209,'Ashed teabags dry'!$A$2:$A$2000,0)),"")</f>
        <v>14.444983034415532</v>
      </c>
      <c r="X209" s="194">
        <f>IFERROR(INDEX('Ashed teabags dry'!$K$2:$K$2000,MATCH(I209,'Ashed teabags dry'!$A$2:$A$2000,0)),"")</f>
        <v>3.5795197100129474</v>
      </c>
      <c r="Y209" s="194">
        <f t="shared" si="28"/>
        <v>0.42828841492971581</v>
      </c>
      <c r="Z209" s="194">
        <f t="shared" si="28"/>
        <v>1.5359782510194937</v>
      </c>
      <c r="AA209" s="194">
        <f t="shared" si="34"/>
        <v>0.74931640300149094</v>
      </c>
      <c r="AB209" s="194">
        <f t="shared" si="35"/>
        <v>0.49123830695584686</v>
      </c>
      <c r="AC209" s="194">
        <f t="shared" si="29"/>
        <v>0.80972719204685639</v>
      </c>
      <c r="AD209">
        <f t="shared" si="36"/>
        <v>69</v>
      </c>
      <c r="AE209" s="194">
        <f t="shared" si="37"/>
        <v>0.1100755308770891</v>
      </c>
      <c r="AF209" s="194">
        <f t="shared" si="38"/>
        <v>7.100488744056453E-3</v>
      </c>
      <c r="AG209" s="252" t="str">
        <f>IF(ISNUMBER(SEARCH("C", 'Dry_Litterbag Placem_Collection'!$T136)),"YES","NO")</f>
        <v>YES</v>
      </c>
      <c r="AH209" s="252" t="str">
        <f>IF(ISNUMBER(SEARCH("H", 'Dry_Litterbag Placem_Collection'!$T136)),"YES","NO")</f>
        <v>NO</v>
      </c>
      <c r="AI209" s="252" t="str">
        <f>IF(ISNUMBER(SEARCH("R", 'Dry_Litterbag Placem_Collection'!$T136)),"YES","NO")</f>
        <v>NO</v>
      </c>
      <c r="AJ209" s="252" t="str">
        <f>IF(ISNUMBER(SEARCH("C", 'Dry_Litterbag Placem_Collection'!$S136)),"YES","NO")</f>
        <v>NO</v>
      </c>
      <c r="AK209" s="252" t="str">
        <f>IF(ISNUMBER(SEARCH("H", 'Dry_Litterbag Placem_Collection'!$S136)),"YES","NO")</f>
        <v>NO</v>
      </c>
      <c r="AL209" s="252" t="str">
        <f>IF(ISNUMBER(SEARCH("R", 'Dry_Litterbag Placem_Collection'!$S136)),"YES","NO")</f>
        <v>YES</v>
      </c>
    </row>
    <row r="210" spans="2:38">
      <c r="B210" t="str">
        <f>'Final data_for_R_analysis_Dryse'!A136</f>
        <v>Dry</v>
      </c>
      <c r="C210" s="260">
        <f>'Final data_for_R_analysis_Dryse'!B136</f>
        <v>135</v>
      </c>
      <c r="D210" t="s">
        <v>3820</v>
      </c>
      <c r="E210" t="s">
        <v>22</v>
      </c>
      <c r="F210" s="382">
        <v>7</v>
      </c>
      <c r="G210" s="16">
        <f>IF('Dry_Litterbag Placem_Collection'!E137="","",'Dry_Litterbag Placem_Collection'!E137)</f>
        <v>42939</v>
      </c>
      <c r="H210" t="str">
        <f>'Final data_for_R_analysis_Dryse'!K136</f>
        <v>G77</v>
      </c>
      <c r="I210" t="str">
        <f>'Final data_for_R_analysis_Dryse'!K356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30"/>
        <v>1.7692000000000001</v>
      </c>
      <c r="M210" s="237">
        <f>AVERAGE(Ashed_controlls!$K$1:$K$11)</f>
        <v>5.5147656768714146</v>
      </c>
      <c r="N210" s="194">
        <f t="shared" si="26"/>
        <v>1.6716327656447911</v>
      </c>
      <c r="O210" s="194">
        <f t="shared" si="31"/>
        <v>2.0192000000000001</v>
      </c>
      <c r="P210" s="237">
        <f>AVERAGE(Ashed_controlls!$K$12:$K$14)</f>
        <v>2.2816647271287041</v>
      </c>
      <c r="Q210" s="194">
        <f t="shared" si="27"/>
        <v>1.9731286258298173</v>
      </c>
      <c r="R210" s="16">
        <f>IF('Dry_Litterbag Placem_Collection'!G137="","",'Dry_Litterbag Placem_Collection'!G137)</f>
        <v>43008</v>
      </c>
      <c r="S210" s="194">
        <f>IFERROR(INDEX('Both teabags AfterDry'!$D$3:$D$2000,MATCH(H210,'Both teabags AfterDry'!$A$3:$A$2000,0)),"")</f>
        <v>0.94330000000000003</v>
      </c>
      <c r="T210" s="194">
        <f>IFERROR(INDEX('Both teabags AfterDry'!$D$3:$D$2000,MATCH(I210,'Both teabags AfterDry'!$A$3:$A$2000,0)),"")</f>
        <v>2.0406</v>
      </c>
      <c r="U210" s="194">
        <f t="shared" si="32"/>
        <v>0.79269999999999996</v>
      </c>
      <c r="V210" s="194">
        <f t="shared" si="33"/>
        <v>1.89</v>
      </c>
      <c r="W210" s="194">
        <f>IFERROR(INDEX('Ashed teabags dry'!$K$2:$K$2000,MATCH(H210,'Ashed teabags dry'!$A$2:$A$2000,0)),"")</f>
        <v>34.179033030157882</v>
      </c>
      <c r="X210" s="194">
        <f>IFERROR(INDEX('Ashed teabags dry'!$K$2:$K$2000,MATCH(I210,'Ashed teabags dry'!$A$2:$A$2000,0)),"")</f>
        <v>89.95546759030151</v>
      </c>
      <c r="Y210" s="194">
        <f t="shared" si="28"/>
        <v>0.52176280516993845</v>
      </c>
      <c r="Z210" s="194">
        <f t="shared" si="28"/>
        <v>0.18984166254330148</v>
      </c>
      <c r="AA210" s="194">
        <f t="shared" si="34"/>
        <v>0.68787235097735033</v>
      </c>
      <c r="AB210" s="194">
        <f t="shared" si="35"/>
        <v>0.45095669565260976</v>
      </c>
      <c r="AC210" s="194">
        <f t="shared" si="29"/>
        <v>9.621352610170654E-2</v>
      </c>
      <c r="AD210">
        <f t="shared" si="36"/>
        <v>69</v>
      </c>
      <c r="AE210" s="194">
        <f t="shared" si="37"/>
        <v>0.18304946439744618</v>
      </c>
      <c r="AF210" s="194" t="str">
        <f t="shared" si="38"/>
        <v/>
      </c>
      <c r="AG210" s="252" t="str">
        <f>IF(ISNUMBER(SEARCH("C", 'Dry_Litterbag Placem_Collection'!$T137)),"YES","NO")</f>
        <v>YES</v>
      </c>
      <c r="AH210" s="252" t="str">
        <f>IF(ISNUMBER(SEARCH("H", 'Dry_Litterbag Placem_Collection'!$T137)),"YES","NO")</f>
        <v>YES</v>
      </c>
      <c r="AI210" s="252" t="str">
        <f>IF(ISNUMBER(SEARCH("R", 'Dry_Litterbag Placem_Collection'!$T137)),"YES","NO")</f>
        <v>NO</v>
      </c>
      <c r="AJ210" s="252" t="str">
        <f>IF(ISNUMBER(SEARCH("C", 'Dry_Litterbag Placem_Collection'!$S137)),"YES","NO")</f>
        <v>YES</v>
      </c>
      <c r="AK210" s="252" t="str">
        <f>IF(ISNUMBER(SEARCH("H", 'Dry_Litterbag Placem_Collection'!$S137)),"YES","NO")</f>
        <v>YES</v>
      </c>
      <c r="AL210" s="252" t="str">
        <f>IF(ISNUMBER(SEARCH("R", 'Dry_Litterbag Placem_Collection'!$S137)),"YES","NO")</f>
        <v>NO</v>
      </c>
    </row>
    <row r="211" spans="2:38">
      <c r="B211" t="str">
        <f>'Final data_for_R_analysis_Dryse'!A137</f>
        <v>Dry</v>
      </c>
      <c r="C211" s="260">
        <f>'Final data_for_R_analysis_Dryse'!B137</f>
        <v>136</v>
      </c>
      <c r="D211" t="s">
        <v>3820</v>
      </c>
      <c r="E211" t="s">
        <v>22</v>
      </c>
      <c r="F211" s="382">
        <v>8</v>
      </c>
      <c r="G211" s="16">
        <f>IF('Dry_Litterbag Placem_Collection'!E138="","",'Dry_Litterbag Placem_Collection'!E138)</f>
        <v>42939</v>
      </c>
      <c r="H211" t="str">
        <f>'Final data_for_R_analysis_Dryse'!K137</f>
        <v>G332</v>
      </c>
      <c r="I211" t="str">
        <f>'Final data_for_R_analysis_Dryse'!K357</f>
        <v>R184</v>
      </c>
      <c r="J211">
        <f>IFERROR(INDEX('Green_rooibos initial weight'!$C$5:$C$2000,MATCH(H211, 'Green_rooibos initial weight'!$A$5:$A$2000,0)),"")</f>
        <v>2.121</v>
      </c>
      <c r="K211">
        <f>IFERROR(INDEX('Green_rooibos initial weight'!$C$5:$C$2000,MATCH(I211, 'Green_rooibos initial weight'!$A$5:$A$2000,0)),"")</f>
        <v>2.202</v>
      </c>
      <c r="L211" s="194">
        <f t="shared" si="30"/>
        <v>1.8712</v>
      </c>
      <c r="M211" s="237">
        <f>AVERAGE(Ashed_controlls!$K$1:$K$11)</f>
        <v>5.5147656768714146</v>
      </c>
      <c r="N211" s="194">
        <f t="shared" si="26"/>
        <v>1.7680077046543821</v>
      </c>
      <c r="O211" s="194">
        <f t="shared" si="31"/>
        <v>1.9521999999999999</v>
      </c>
      <c r="P211" s="237">
        <f>AVERAGE(Ashed_controlls!$K$12:$K$14)</f>
        <v>2.2816647271287041</v>
      </c>
      <c r="Q211" s="194">
        <f t="shared" si="27"/>
        <v>1.9076573411969935</v>
      </c>
      <c r="R211" s="16">
        <f>IF('Dry_Litterbag Placem_Collection'!G138="","",'Dry_Litterbag Placem_Collection'!G138)</f>
        <v>43008</v>
      </c>
      <c r="S211" s="194">
        <f>IFERROR(INDEX('Both teabags AfterDry'!$D$3:$D$2000,MATCH(H211,'Both teabags AfterDry'!$A$3:$A$2000,0)),"")</f>
        <v>0.98260000000000003</v>
      </c>
      <c r="T211" s="194">
        <f>IFERROR(INDEX('Both teabags AfterDry'!$D$3:$D$2000,MATCH(I211,'Both teabags AfterDry'!$A$3:$A$2000,0)),"")</f>
        <v>1.7850999999999999</v>
      </c>
      <c r="U211" s="194">
        <f t="shared" si="32"/>
        <v>0.83200000000000007</v>
      </c>
      <c r="V211" s="194">
        <f t="shared" si="33"/>
        <v>1.6344999999999998</v>
      </c>
      <c r="W211" s="194">
        <f>IFERROR(INDEX('Ashed teabags dry'!$K$2:$K$2000,MATCH(H211,'Ashed teabags dry'!$A$2:$A$2000,0)),"")</f>
        <v>36.128717698681726</v>
      </c>
      <c r="X211" s="194">
        <f>IFERROR(INDEX('Ashed teabags dry'!$K$2:$K$2000,MATCH(I211,'Ashed teabags dry'!$A$2:$A$2000,0)),"")</f>
        <v>4.4315992292882065</v>
      </c>
      <c r="Y211" s="194">
        <f t="shared" si="28"/>
        <v>0.53140906874696814</v>
      </c>
      <c r="Z211" s="194">
        <f t="shared" si="28"/>
        <v>1.562065510597284</v>
      </c>
      <c r="AA211" s="194">
        <f t="shared" si="34"/>
        <v>0.69943056959084338</v>
      </c>
      <c r="AB211" s="194">
        <f t="shared" si="35"/>
        <v>0.45853405512368833</v>
      </c>
      <c r="AC211" s="194">
        <f t="shared" si="29"/>
        <v>0.81883967149841397</v>
      </c>
      <c r="AD211">
        <f t="shared" si="36"/>
        <v>69</v>
      </c>
      <c r="AE211" s="194">
        <f t="shared" si="37"/>
        <v>0.16932236390636179</v>
      </c>
      <c r="AF211" s="194">
        <f t="shared" si="38"/>
        <v>7.2850546897403855E-3</v>
      </c>
      <c r="AG211" s="252" t="str">
        <f>IF(ISNUMBER(SEARCH("C", 'Dry_Litterbag Placem_Collection'!$T138)),"YES","NO")</f>
        <v>NO</v>
      </c>
      <c r="AH211" s="252" t="str">
        <f>IF(ISNUMBER(SEARCH("H", 'Dry_Litterbag Placem_Collection'!$T138)),"YES","NO")</f>
        <v>NO</v>
      </c>
      <c r="AI211" s="252" t="str">
        <f>IF(ISNUMBER(SEARCH("R", 'Dry_Litterbag Placem_Collection'!$T138)),"YES","NO")</f>
        <v>NO</v>
      </c>
      <c r="AJ211" s="252" t="str">
        <f>IF(ISNUMBER(SEARCH("C", 'Dry_Litterbag Placem_Collection'!$S138)),"YES","NO")</f>
        <v>YES</v>
      </c>
      <c r="AK211" s="252" t="str">
        <f>IF(ISNUMBER(SEARCH("H", 'Dry_Litterbag Placem_Collection'!$S138)),"YES","NO")</f>
        <v>NO</v>
      </c>
      <c r="AL211" s="252" t="str">
        <f>IF(ISNUMBER(SEARCH("R", 'Dry_Litterbag Placem_Collection'!$S138)),"YES","NO")</f>
        <v>NO</v>
      </c>
    </row>
    <row r="212" spans="2:38">
      <c r="B212" t="str">
        <f>'Final data_for_R_analysis_Dryse'!A138</f>
        <v>Dry</v>
      </c>
      <c r="C212" s="260">
        <f>'Final data_for_R_analysis_Dryse'!B138</f>
        <v>137</v>
      </c>
      <c r="D212" t="s">
        <v>3822</v>
      </c>
      <c r="E212" t="s">
        <v>22</v>
      </c>
      <c r="F212" s="381">
        <v>1</v>
      </c>
      <c r="G212" s="16">
        <f>IF('Dry_Litterbag Placem_Collection'!E139="","",'Dry_Litterbag Placem_Collection'!E139)</f>
        <v>42939</v>
      </c>
      <c r="H212" t="str">
        <f>'Final data_for_R_analysis_Dryse'!K138</f>
        <v>G30</v>
      </c>
      <c r="I212" t="str">
        <f>'Final data_for_R_analysis_Dryse'!K358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30"/>
        <v>1.8182</v>
      </c>
      <c r="M212" s="237">
        <f>AVERAGE(Ashed_controlls!$K$1:$K$11)</f>
        <v>5.5147656768714146</v>
      </c>
      <c r="N212" s="194">
        <f t="shared" si="26"/>
        <v>1.7179305304631241</v>
      </c>
      <c r="O212" s="194">
        <f t="shared" si="31"/>
        <v>1.9792000000000001</v>
      </c>
      <c r="P212" s="237">
        <f>AVERAGE(Ashed_controlls!$K$12:$K$14)</f>
        <v>2.2816647271287041</v>
      </c>
      <c r="Q212" s="194">
        <f t="shared" si="27"/>
        <v>1.9340412917206689</v>
      </c>
      <c r="R212" s="16">
        <f>IF('Dry_Litterbag Placem_Collection'!G139="","",'Dry_Litterbag Placem_Collection'!G139)</f>
        <v>43008</v>
      </c>
      <c r="S212" s="194">
        <f>IFERROR(INDEX('Both teabags AfterDry'!$D$3:$D$2000,MATCH(H212,'Both teabags AfterDry'!$A$3:$A$2000,0)),"")</f>
        <v>0.80879999999999996</v>
      </c>
      <c r="T212" s="194">
        <f>IFERROR(INDEX('Both teabags AfterDry'!$D$3:$D$2000,MATCH(I212,'Both teabags AfterDry'!$A$3:$A$2000,0)),"")</f>
        <v>5.0305999999999997</v>
      </c>
      <c r="U212" s="194">
        <f t="shared" si="32"/>
        <v>0.6581999999999999</v>
      </c>
      <c r="V212" s="194">
        <f t="shared" si="33"/>
        <v>4.88</v>
      </c>
      <c r="W212" s="194">
        <f>IFERROR(INDEX('Ashed teabags dry'!$K$2:$K$2000,MATCH(H212,'Ashed teabags dry'!$A$2:$A$2000,0)),"")</f>
        <v>19.57311534968159</v>
      </c>
      <c r="X212" s="194">
        <f>IFERROR(INDEX('Ashed teabags dry'!$K$2:$K$2000,MATCH(I212,'Ashed teabags dry'!$A$2:$A$2000,0)),"")</f>
        <v>91.181818181818144</v>
      </c>
      <c r="Y212" s="194">
        <f t="shared" si="28"/>
        <v>0.52936975476839565</v>
      </c>
      <c r="Z212" s="194">
        <f t="shared" si="28"/>
        <v>0.43032727272727467</v>
      </c>
      <c r="AA212" s="194">
        <f t="shared" si="34"/>
        <v>0.6918561342374614</v>
      </c>
      <c r="AB212" s="194">
        <f t="shared" si="35"/>
        <v>0.45356839204166122</v>
      </c>
      <c r="AC212" s="194">
        <f t="shared" si="29"/>
        <v>0.22250159527071064</v>
      </c>
      <c r="AD212">
        <f t="shared" si="36"/>
        <v>69</v>
      </c>
      <c r="AE212" s="194">
        <f t="shared" si="37"/>
        <v>0.17831813035930943</v>
      </c>
      <c r="AF212" s="194" t="str">
        <f t="shared" si="38"/>
        <v/>
      </c>
      <c r="AG212" s="252" t="str">
        <f>IF(ISNUMBER(SEARCH("C", 'Dry_Litterbag Placem_Collection'!$T139)),"YES","NO")</f>
        <v>YES</v>
      </c>
      <c r="AH212" s="252" t="str">
        <f>IF(ISNUMBER(SEARCH("H", 'Dry_Litterbag Placem_Collection'!$T139)),"YES","NO")</f>
        <v>YES</v>
      </c>
      <c r="AI212" s="252" t="str">
        <f>IF(ISNUMBER(SEARCH("R", 'Dry_Litterbag Placem_Collection'!$T139)),"YES","NO")</f>
        <v>NO</v>
      </c>
      <c r="AJ212" s="252" t="str">
        <f>IF(ISNUMBER(SEARCH("C", 'Dry_Litterbag Placem_Collection'!$S139)),"YES","NO")</f>
        <v>NO</v>
      </c>
      <c r="AK212" s="252" t="str">
        <f>IF(ISNUMBER(SEARCH("H", 'Dry_Litterbag Placem_Collection'!$S139)),"YES","NO")</f>
        <v>YES</v>
      </c>
      <c r="AL212" s="252" t="str">
        <f>IF(ISNUMBER(SEARCH("R", 'Dry_Litterbag Placem_Collection'!$S139)),"YES","NO")</f>
        <v>NO</v>
      </c>
    </row>
    <row r="213" spans="2:38">
      <c r="B213" t="str">
        <f>'Final data_for_R_analysis_Dryse'!A139</f>
        <v>Dry</v>
      </c>
      <c r="C213" s="260">
        <f>'Final data_for_R_analysis_Dryse'!B139</f>
        <v>138</v>
      </c>
      <c r="D213" t="s">
        <v>3822</v>
      </c>
      <c r="E213" t="s">
        <v>22</v>
      </c>
      <c r="F213" s="381">
        <v>2</v>
      </c>
      <c r="G213" s="16">
        <f>IF('Dry_Litterbag Placem_Collection'!E140="","",'Dry_Litterbag Placem_Collection'!E140)</f>
        <v>42939</v>
      </c>
      <c r="H213" t="str">
        <f>'Final data_for_R_analysis_Dryse'!K139</f>
        <v>G213</v>
      </c>
      <c r="I213" t="str">
        <f>'Final data_for_R_analysis_Dryse'!K359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30"/>
        <v>1.8172000000000001</v>
      </c>
      <c r="M213" s="237">
        <f>AVERAGE(Ashed_controlls!$K$1:$K$11)</f>
        <v>5.5147656768714146</v>
      </c>
      <c r="N213" s="194">
        <f t="shared" si="26"/>
        <v>1.7169856781198929</v>
      </c>
      <c r="O213" s="194">
        <f t="shared" si="31"/>
        <v>1.9182000000000001</v>
      </c>
      <c r="P213" s="237">
        <f>AVERAGE(Ashed_controlls!$K$12:$K$14)</f>
        <v>2.2816647271287041</v>
      </c>
      <c r="Q213" s="194">
        <f t="shared" si="27"/>
        <v>1.8744331072042173</v>
      </c>
      <c r="R213" s="16">
        <f>IF('Dry_Litterbag Placem_Collection'!G140="","",'Dry_Litterbag Placem_Collection'!G140)</f>
        <v>43008</v>
      </c>
      <c r="S213" s="194">
        <f>IFERROR(INDEX('Both teabags AfterDry'!$D$3:$D$2000,MATCH(H213,'Both teabags AfterDry'!$A$3:$A$2000,0)),"")</f>
        <v>0.66200000000000003</v>
      </c>
      <c r="T213" s="194">
        <f>IFERROR(INDEX('Both teabags AfterDry'!$D$3:$D$2000,MATCH(I213,'Both teabags AfterDry'!$A$3:$A$2000,0)),"")</f>
        <v>0.2059</v>
      </c>
      <c r="U213" s="194">
        <f t="shared" si="32"/>
        <v>0.51140000000000008</v>
      </c>
      <c r="V213" s="194">
        <f t="shared" si="33"/>
        <v>5.5299999999999988E-2</v>
      </c>
      <c r="W213" s="194">
        <f>IFERROR(INDEX('Ashed teabags dry'!$K$2:$K$2000,MATCH(H213,'Ashed teabags dry'!$A$2:$A$2000,0)),"")</f>
        <v>28.084896347481987</v>
      </c>
      <c r="X213" s="194">
        <f>IFERROR(INDEX('Ashed teabags dry'!$K$2:$K$2000,MATCH(I213,'Ashed teabags dry'!$A$2:$A$2000,0)),"")</f>
        <v>0</v>
      </c>
      <c r="Y213" s="194">
        <f t="shared" si="28"/>
        <v>0.36777384007897718</v>
      </c>
      <c r="Z213" s="194">
        <f t="shared" si="28"/>
        <v>5.5299999999999988E-2</v>
      </c>
      <c r="AA213" s="194">
        <f t="shared" si="34"/>
        <v>0.78580261631437065</v>
      </c>
      <c r="AB213" s="194">
        <f t="shared" si="35"/>
        <v>0.51515800974528825</v>
      </c>
      <c r="AC213" s="194">
        <f t="shared" si="29"/>
        <v>2.9502253127870685E-2</v>
      </c>
      <c r="AD213">
        <f t="shared" si="36"/>
        <v>69</v>
      </c>
      <c r="AE213" s="194">
        <f t="shared" si="37"/>
        <v>6.6742735968680855E-2</v>
      </c>
      <c r="AF213" s="194" t="str">
        <f t="shared" si="38"/>
        <v/>
      </c>
      <c r="AG213" s="252" t="str">
        <f>IF(ISNUMBER(SEARCH("C", 'Dry_Litterbag Placem_Collection'!$T140)),"YES","NO")</f>
        <v>YES</v>
      </c>
      <c r="AH213" s="252" t="str">
        <f>IF(ISNUMBER(SEARCH("H", 'Dry_Litterbag Placem_Collection'!$T140)),"YES","NO")</f>
        <v>YES</v>
      </c>
      <c r="AI213" s="252" t="str">
        <f>IF(ISNUMBER(SEARCH("R", 'Dry_Litterbag Placem_Collection'!$T140)),"YES","NO")</f>
        <v>NO</v>
      </c>
      <c r="AJ213" s="252" t="str">
        <f>IF(ISNUMBER(SEARCH("C", 'Dry_Litterbag Placem_Collection'!$S140)),"YES","NO")</f>
        <v>YES</v>
      </c>
      <c r="AK213" s="252" t="str">
        <f>IF(ISNUMBER(SEARCH("H", 'Dry_Litterbag Placem_Collection'!$S140)),"YES","NO")</f>
        <v>YES</v>
      </c>
      <c r="AL213" s="252" t="str">
        <f>IF(ISNUMBER(SEARCH("R", 'Dry_Litterbag Placem_Collection'!$S140)),"YES","NO")</f>
        <v>NO</v>
      </c>
    </row>
    <row r="214" spans="2:38">
      <c r="B214" t="str">
        <f>'Final data_for_R_analysis_Dryse'!A140</f>
        <v>Dry</v>
      </c>
      <c r="C214" s="260">
        <f>'Final data_for_R_analysis_Dryse'!B140</f>
        <v>139</v>
      </c>
      <c r="D214" t="s">
        <v>3822</v>
      </c>
      <c r="E214" t="s">
        <v>22</v>
      </c>
      <c r="F214" s="381">
        <v>3</v>
      </c>
      <c r="G214" s="16">
        <f>IF('Dry_Litterbag Placem_Collection'!E141="","",'Dry_Litterbag Placem_Collection'!E141)</f>
        <v>42939</v>
      </c>
      <c r="H214" t="str">
        <f>'Final data_for_R_analysis_Dryse'!K140</f>
        <v>G17</v>
      </c>
      <c r="I214" t="str">
        <f>'Final data_for_R_analysis_Dryse'!K360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30"/>
        <v>1.7372000000000001</v>
      </c>
      <c r="M214" s="237">
        <f>AVERAGE(Ashed_controlls!$K$1:$K$11)</f>
        <v>5.5147656768714146</v>
      </c>
      <c r="N214" s="194">
        <f t="shared" si="26"/>
        <v>1.64139749066139</v>
      </c>
      <c r="O214" s="194">
        <f t="shared" si="31"/>
        <v>1.9811999999999999</v>
      </c>
      <c r="P214" s="237">
        <f>AVERAGE(Ashed_controlls!$K$12:$K$14)</f>
        <v>2.2816647271287041</v>
      </c>
      <c r="Q214" s="194">
        <f t="shared" si="27"/>
        <v>1.935995658426126</v>
      </c>
      <c r="R214" s="16">
        <f>IF('Dry_Litterbag Placem_Collection'!G141="","",'Dry_Litterbag Placem_Collection'!G141)</f>
        <v>43008</v>
      </c>
      <c r="S214" s="194">
        <f>IFERROR(INDEX('Both teabags AfterDry'!$D$3:$D$2000,MATCH(H214,'Both teabags AfterDry'!$A$3:$A$2000,0)),"")</f>
        <v>0.73580000000000001</v>
      </c>
      <c r="T214" s="194">
        <f>IFERROR(INDEX('Both teabags AfterDry'!$D$3:$D$2000,MATCH(I214,'Both teabags AfterDry'!$A$3:$A$2000,0)),"")</f>
        <v>2.1772999999999998</v>
      </c>
      <c r="U214" s="194">
        <f t="shared" si="32"/>
        <v>0.58519999999999994</v>
      </c>
      <c r="V214" s="194">
        <f t="shared" si="33"/>
        <v>2.0266999999999999</v>
      </c>
      <c r="W214" s="194">
        <f>IFERROR(INDEX('Ashed teabags dry'!$K$2:$K$2000,MATCH(H214,'Ashed teabags dry'!$A$2:$A$2000,0)),"")</f>
        <v>21.345029239766301</v>
      </c>
      <c r="X214" s="194">
        <f>IFERROR(INDEX('Ashed teabags dry'!$K$2:$K$2000,MATCH(I214,'Ashed teabags dry'!$A$2:$A$2000,0)),"")</f>
        <v>88.823816495851673</v>
      </c>
      <c r="Y214" s="194">
        <f t="shared" si="28"/>
        <v>0.46028888888888758</v>
      </c>
      <c r="Z214" s="194">
        <f t="shared" si="28"/>
        <v>0.22650771107857426</v>
      </c>
      <c r="AA214" s="194">
        <f t="shared" si="34"/>
        <v>0.71957500148034392</v>
      </c>
      <c r="AB214" s="194">
        <f t="shared" si="35"/>
        <v>0.47174038101799276</v>
      </c>
      <c r="AC214" s="194">
        <f t="shared" si="29"/>
        <v>0.11699804702181742</v>
      </c>
      <c r="AD214">
        <f t="shared" si="36"/>
        <v>69</v>
      </c>
      <c r="AE214" s="194">
        <f t="shared" si="37"/>
        <v>0.14539786047465086</v>
      </c>
      <c r="AF214" s="194" t="str">
        <f t="shared" si="38"/>
        <v/>
      </c>
      <c r="AG214" s="252" t="str">
        <f>IF(ISNUMBER(SEARCH("C", 'Dry_Litterbag Placem_Collection'!$T141)),"YES","NO")</f>
        <v>YES</v>
      </c>
      <c r="AH214" s="252" t="str">
        <f>IF(ISNUMBER(SEARCH("H", 'Dry_Litterbag Placem_Collection'!$T141)),"YES","NO")</f>
        <v>YES</v>
      </c>
      <c r="AI214" s="252" t="str">
        <f>IF(ISNUMBER(SEARCH("R", 'Dry_Litterbag Placem_Collection'!$T141)),"YES","NO")</f>
        <v>NO</v>
      </c>
      <c r="AJ214" s="252" t="str">
        <f>IF(ISNUMBER(SEARCH("C", 'Dry_Litterbag Placem_Collection'!$S141)),"YES","NO")</f>
        <v>YES</v>
      </c>
      <c r="AK214" s="252" t="str">
        <f>IF(ISNUMBER(SEARCH("H", 'Dry_Litterbag Placem_Collection'!$S141)),"YES","NO")</f>
        <v>YES</v>
      </c>
      <c r="AL214" s="252" t="str">
        <f>IF(ISNUMBER(SEARCH("R", 'Dry_Litterbag Placem_Collection'!$S141)),"YES","NO")</f>
        <v>NO</v>
      </c>
    </row>
    <row r="215" spans="2:38">
      <c r="B215" t="str">
        <f>'Final data_for_R_analysis_Dryse'!A141</f>
        <v>Dry</v>
      </c>
      <c r="C215" s="260">
        <f>'Final data_for_R_analysis_Dryse'!B141</f>
        <v>140</v>
      </c>
      <c r="D215" t="s">
        <v>3822</v>
      </c>
      <c r="E215" t="s">
        <v>22</v>
      </c>
      <c r="F215" s="382">
        <v>4</v>
      </c>
      <c r="G215" s="16">
        <f>IF('Dry_Litterbag Placem_Collection'!E142="","",'Dry_Litterbag Placem_Collection'!E142)</f>
        <v>42939</v>
      </c>
      <c r="H215" t="str">
        <f>'Final data_for_R_analysis_Dryse'!K141</f>
        <v>G401</v>
      </c>
      <c r="I215" t="str">
        <f>'Final data_for_R_analysis_Dryse'!K361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30"/>
        <v>1.6892</v>
      </c>
      <c r="M215" s="237">
        <f>AVERAGE(Ashed_controlls!$K$1:$K$11)</f>
        <v>5.5147656768714146</v>
      </c>
      <c r="N215" s="194">
        <f t="shared" si="26"/>
        <v>1.5960445781862882</v>
      </c>
      <c r="O215" s="194">
        <f t="shared" si="31"/>
        <v>1.9472</v>
      </c>
      <c r="P215" s="237">
        <f>AVERAGE(Ashed_controlls!$K$12:$K$14)</f>
        <v>2.2816647271287041</v>
      </c>
      <c r="Q215" s="194">
        <f t="shared" si="27"/>
        <v>1.90277142443335</v>
      </c>
      <c r="R215" s="16">
        <f>IF('Dry_Litterbag Placem_Collection'!G142="","",'Dry_Litterbag Placem_Collection'!G142)</f>
        <v>43008</v>
      </c>
      <c r="S215" s="194">
        <f>IFERROR(INDEX('Both teabags AfterDry'!$D$3:$D$2000,MATCH(H215,'Both teabags AfterDry'!$A$3:$A$2000,0)),"")</f>
        <v>0.9304</v>
      </c>
      <c r="T215" s="194">
        <f>IFERROR(INDEX('Both teabags AfterDry'!$D$3:$D$2000,MATCH(I215,'Both teabags AfterDry'!$A$3:$A$2000,0)),"")</f>
        <v>1.7859</v>
      </c>
      <c r="U215" s="194">
        <f t="shared" si="32"/>
        <v>0.77980000000000005</v>
      </c>
      <c r="V215" s="194">
        <f t="shared" si="33"/>
        <v>1.6353</v>
      </c>
      <c r="W215" s="194">
        <f>IFERROR(INDEX('Ashed teabags dry'!$K$2:$K$2000,MATCH(H215,'Ashed teabags dry'!$A$2:$A$2000,0)),"")</f>
        <v>22.900763358778644</v>
      </c>
      <c r="X215" s="194">
        <f>IFERROR(INDEX('Ashed teabags dry'!$K$2:$K$2000,MATCH(I215,'Ashed teabags dry'!$A$2:$A$2000,0)),"")</f>
        <v>7.374631268436298</v>
      </c>
      <c r="Y215" s="194">
        <f t="shared" si="28"/>
        <v>0.60121984732824418</v>
      </c>
      <c r="Z215" s="194">
        <f t="shared" si="28"/>
        <v>1.5147026548672613</v>
      </c>
      <c r="AA215" s="194">
        <f t="shared" si="34"/>
        <v>0.6233063565107575</v>
      </c>
      <c r="AB215" s="194">
        <f t="shared" si="35"/>
        <v>0.40862839524220684</v>
      </c>
      <c r="AC215" s="194">
        <f t="shared" si="29"/>
        <v>0.79605076858789992</v>
      </c>
      <c r="AD215">
        <f t="shared" si="36"/>
        <v>69</v>
      </c>
      <c r="AE215" s="194">
        <f t="shared" si="37"/>
        <v>0.25973116803948038</v>
      </c>
      <c r="AF215" s="194">
        <f t="shared" si="38"/>
        <v>1.0019746018546867E-2</v>
      </c>
      <c r="AG215" s="252" t="str">
        <f>IF(ISNUMBER(SEARCH("C", 'Dry_Litterbag Placem_Collection'!$T142)),"YES","NO")</f>
        <v>YES</v>
      </c>
      <c r="AH215" s="252" t="str">
        <f>IF(ISNUMBER(SEARCH("H", 'Dry_Litterbag Placem_Collection'!$T142)),"YES","NO")</f>
        <v>YES</v>
      </c>
      <c r="AI215" s="252" t="str">
        <f>IF(ISNUMBER(SEARCH("R", 'Dry_Litterbag Placem_Collection'!$T142)),"YES","NO")</f>
        <v>NO</v>
      </c>
      <c r="AJ215" s="252" t="str">
        <f>IF(ISNUMBER(SEARCH("C", 'Dry_Litterbag Placem_Collection'!$S142)),"YES","NO")</f>
        <v>NO</v>
      </c>
      <c r="AK215" s="252" t="str">
        <f>IF(ISNUMBER(SEARCH("H", 'Dry_Litterbag Placem_Collection'!$S142)),"YES","NO")</f>
        <v>NO</v>
      </c>
      <c r="AL215" s="252" t="str">
        <f>IF(ISNUMBER(SEARCH("R", 'Dry_Litterbag Placem_Collection'!$S142)),"YES","NO")</f>
        <v>YES</v>
      </c>
    </row>
    <row r="216" spans="2:38">
      <c r="B216" t="str">
        <f>'Final data_for_R_analysis_Dryse'!A142</f>
        <v>Dry</v>
      </c>
      <c r="C216" s="260">
        <f>'Final data_for_R_analysis_Dryse'!B142</f>
        <v>141</v>
      </c>
      <c r="D216" t="s">
        <v>3822</v>
      </c>
      <c r="E216" t="s">
        <v>22</v>
      </c>
      <c r="F216" s="382">
        <v>5</v>
      </c>
      <c r="G216" s="16" t="str">
        <f>IF('Dry_Litterbag Placem_Collection'!E143="","",'Dry_Litterbag Placem_Collection'!E143)</f>
        <v/>
      </c>
      <c r="H216" t="str">
        <f>'Final data_for_R_analysis_Dryse'!K142</f>
        <v/>
      </c>
      <c r="I216" t="str">
        <f>'Final data_for_R_analysis_Dryse'!K362</f>
        <v/>
      </c>
      <c r="J216" t="str">
        <f>IFERROR(INDEX('Green_rooibos initial weight'!$C$5:$C$2000,MATCH(H216, 'Green_rooibos initial weight'!$A$5:$A$2000,0)),"")</f>
        <v/>
      </c>
      <c r="K216" t="str">
        <f>IFERROR(INDEX('Green_rooibos initial weight'!$C$5:$C$2000,MATCH(I216, 'Green_rooibos initial weight'!$A$5:$A$2000,0)),"")</f>
        <v/>
      </c>
      <c r="L216" s="194" t="str">
        <f t="shared" si="30"/>
        <v/>
      </c>
      <c r="M216" s="237">
        <f>AVERAGE(Ashed_controlls!$K$1:$K$11)</f>
        <v>5.5147656768714146</v>
      </c>
      <c r="N216" s="194" t="str">
        <f t="shared" si="26"/>
        <v/>
      </c>
      <c r="O216" s="194" t="str">
        <f t="shared" si="31"/>
        <v/>
      </c>
      <c r="P216" s="237">
        <f>AVERAGE(Ashed_controlls!$K$12:$K$14)</f>
        <v>2.2816647271287041</v>
      </c>
      <c r="Q216" s="194" t="str">
        <f t="shared" si="27"/>
        <v/>
      </c>
      <c r="R216" s="16" t="str">
        <f>IF('Dry_Litterbag Placem_Collection'!G143="","",'Dry_Litterbag Placem_Collection'!G143)</f>
        <v/>
      </c>
      <c r="S216" s="194" t="str">
        <f>IFERROR(INDEX('Both teabags AfterDry'!$D$3:$D$2000,MATCH(H216,'Both teabags AfterDry'!$A$3:$A$2000,0)),"")</f>
        <v/>
      </c>
      <c r="T216" s="194" t="str">
        <f>IFERROR(INDEX('Both teabags AfterDry'!$D$3:$D$2000,MATCH(I216,'Both teabags AfterDry'!$A$3:$A$2000,0)),"")</f>
        <v/>
      </c>
      <c r="U216" s="194" t="str">
        <f t="shared" si="32"/>
        <v/>
      </c>
      <c r="V216" s="194" t="str">
        <f t="shared" si="33"/>
        <v/>
      </c>
      <c r="W216" s="194" t="str">
        <f>IFERROR(INDEX('Ashed teabags dry'!$K$2:$K$2000,MATCH(H216,'Ashed teabags dry'!$A$2:$A$2000,0)),"")</f>
        <v/>
      </c>
      <c r="X216" s="194" t="str">
        <f>IFERROR(INDEX('Ashed teabags dry'!$K$2:$K$2000,MATCH(I216,'Ashed teabags dry'!$A$2:$A$2000,0)),"")</f>
        <v/>
      </c>
      <c r="Y216" s="194" t="str">
        <f t="shared" si="28"/>
        <v/>
      </c>
      <c r="Z216" s="194" t="str">
        <f t="shared" si="28"/>
        <v/>
      </c>
      <c r="AA216" s="194" t="str">
        <f t="shared" si="34"/>
        <v/>
      </c>
      <c r="AB216" s="194" t="str">
        <f t="shared" si="35"/>
        <v/>
      </c>
      <c r="AC216" s="194" t="str">
        <f t="shared" si="29"/>
        <v/>
      </c>
      <c r="AD216" t="str">
        <f t="shared" si="36"/>
        <v/>
      </c>
      <c r="AE216" s="194" t="str">
        <f t="shared" si="37"/>
        <v/>
      </c>
      <c r="AF216" s="194" t="str">
        <f t="shared" si="38"/>
        <v/>
      </c>
      <c r="AG216" s="252" t="str">
        <f>IF(ISNUMBER(SEARCH("C", 'Dry_Litterbag Placem_Collection'!$T143)),"YES","NO")</f>
        <v>NO</v>
      </c>
      <c r="AH216" s="252" t="str">
        <f>IF(ISNUMBER(SEARCH("H", 'Dry_Litterbag Placem_Collection'!$T143)),"YES","NO")</f>
        <v>NO</v>
      </c>
      <c r="AI216" s="252" t="str">
        <f>IF(ISNUMBER(SEARCH("R", 'Dry_Litterbag Placem_Collection'!$T143)),"YES","NO")</f>
        <v>NO</v>
      </c>
      <c r="AJ216" s="252" t="str">
        <f>IF(ISNUMBER(SEARCH("C", 'Dry_Litterbag Placem_Collection'!$S143)),"YES","NO")</f>
        <v>NO</v>
      </c>
      <c r="AK216" s="252" t="str">
        <f>IF(ISNUMBER(SEARCH("H", 'Dry_Litterbag Placem_Collection'!$S143)),"YES","NO")</f>
        <v>NO</v>
      </c>
      <c r="AL216" s="252" t="str">
        <f>IF(ISNUMBER(SEARCH("R", 'Dry_Litterbag Placem_Collection'!$S143)),"YES","NO")</f>
        <v>NO</v>
      </c>
    </row>
    <row r="217" spans="2:38">
      <c r="B217" t="str">
        <f>'Final data_for_R_analysis_Dryse'!A143</f>
        <v>Dry</v>
      </c>
      <c r="C217" s="260">
        <f>'Final data_for_R_analysis_Dryse'!B143</f>
        <v>142</v>
      </c>
      <c r="D217" t="s">
        <v>3822</v>
      </c>
      <c r="E217" t="s">
        <v>22</v>
      </c>
      <c r="F217" s="382">
        <v>6</v>
      </c>
      <c r="G217" s="16">
        <f>IF('Dry_Litterbag Placem_Collection'!E144="","",'Dry_Litterbag Placem_Collection'!E144)</f>
        <v>42939</v>
      </c>
      <c r="H217" t="str">
        <f>'Final data_for_R_analysis_Dryse'!K143</f>
        <v>G87</v>
      </c>
      <c r="I217" t="str">
        <f>'Final data_for_R_analysis_Dryse'!K363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30"/>
        <v>1.7372000000000001</v>
      </c>
      <c r="M217" s="237">
        <f>AVERAGE(Ashed_controlls!$K$1:$K$11)</f>
        <v>5.5147656768714146</v>
      </c>
      <c r="N217" s="194">
        <f t="shared" si="26"/>
        <v>1.64139749066139</v>
      </c>
      <c r="O217" s="194">
        <f t="shared" si="31"/>
        <v>1.9342000000000001</v>
      </c>
      <c r="P217" s="237">
        <f>AVERAGE(Ashed_controlls!$K$12:$K$14)</f>
        <v>2.2816647271287041</v>
      </c>
      <c r="Q217" s="194">
        <f t="shared" si="27"/>
        <v>1.8900680408478767</v>
      </c>
      <c r="R217" s="16">
        <f>IF('Dry_Litterbag Placem_Collection'!G144="","",'Dry_Litterbag Placem_Collection'!G144)</f>
        <v>43008</v>
      </c>
      <c r="S217" s="194" t="str">
        <f>IFERROR(INDEX('Both teabags AfterDry'!$D$3:$D$2000,MATCH(H217,'Both teabags AfterDry'!$A$3:$A$2000,0)),"")</f>
        <v/>
      </c>
      <c r="T217" s="194" t="str">
        <f>IFERROR(INDEX('Both teabags AfterDry'!$D$3:$D$2000,MATCH(I217,'Both teabags AfterDry'!$A$3:$A$2000,0)),"")</f>
        <v/>
      </c>
      <c r="U217" s="194" t="str">
        <f t="shared" si="32"/>
        <v/>
      </c>
      <c r="V217" s="194" t="str">
        <f t="shared" si="33"/>
        <v/>
      </c>
      <c r="W217" s="194" t="str">
        <f>IFERROR(INDEX('Ashed teabags dry'!$K$2:$K$2000,MATCH(H217,'Ashed teabags dry'!$A$2:$A$2000,0)),"")</f>
        <v/>
      </c>
      <c r="X217" s="194" t="str">
        <f>IFERROR(INDEX('Ashed teabags dry'!$K$2:$K$2000,MATCH(I217,'Ashed teabags dry'!$A$2:$A$2000,0)),"")</f>
        <v/>
      </c>
      <c r="Y217" s="194" t="str">
        <f t="shared" si="28"/>
        <v/>
      </c>
      <c r="Z217" s="194" t="str">
        <f t="shared" si="28"/>
        <v/>
      </c>
      <c r="AA217" s="194" t="str">
        <f t="shared" si="34"/>
        <v/>
      </c>
      <c r="AB217" s="194" t="str">
        <f t="shared" si="35"/>
        <v/>
      </c>
      <c r="AC217" s="194" t="str">
        <f t="shared" si="29"/>
        <v/>
      </c>
      <c r="AD217">
        <f t="shared" si="36"/>
        <v>69</v>
      </c>
      <c r="AE217" s="194" t="str">
        <f t="shared" si="37"/>
        <v/>
      </c>
      <c r="AF217" s="194" t="str">
        <f t="shared" si="38"/>
        <v/>
      </c>
      <c r="AG217" s="252" t="str">
        <f>IF(ISNUMBER(SEARCH("C", 'Dry_Litterbag Placem_Collection'!$T144)),"YES","NO")</f>
        <v>NO</v>
      </c>
      <c r="AH217" s="252" t="str">
        <f>IF(ISNUMBER(SEARCH("H", 'Dry_Litterbag Placem_Collection'!$T144)),"YES","NO")</f>
        <v>NO</v>
      </c>
      <c r="AI217" s="252" t="str">
        <f>IF(ISNUMBER(SEARCH("R", 'Dry_Litterbag Placem_Collection'!$T144)),"YES","NO")</f>
        <v>NO</v>
      </c>
      <c r="AJ217" s="252" t="str">
        <f>IF(ISNUMBER(SEARCH("C", 'Dry_Litterbag Placem_Collection'!$S144)),"YES","NO")</f>
        <v>YES</v>
      </c>
      <c r="AK217" s="252" t="str">
        <f>IF(ISNUMBER(SEARCH("H", 'Dry_Litterbag Placem_Collection'!$S144)),"YES","NO")</f>
        <v>NO</v>
      </c>
      <c r="AL217" s="252" t="str">
        <f>IF(ISNUMBER(SEARCH("R", 'Dry_Litterbag Placem_Collection'!$S144)),"YES","NO")</f>
        <v>YES</v>
      </c>
    </row>
    <row r="218" spans="2:38">
      <c r="B218" t="str">
        <f>'Final data_for_R_analysis_Dryse'!A144</f>
        <v>Dry</v>
      </c>
      <c r="C218" s="260">
        <f>'Final data_for_R_analysis_Dryse'!B144</f>
        <v>143</v>
      </c>
      <c r="D218" t="s">
        <v>3822</v>
      </c>
      <c r="E218" t="s">
        <v>22</v>
      </c>
      <c r="F218" s="382">
        <v>7</v>
      </c>
      <c r="G218" s="16">
        <f>IF('Dry_Litterbag Placem_Collection'!E145="","",'Dry_Litterbag Placem_Collection'!E145)</f>
        <v>42939</v>
      </c>
      <c r="H218" t="str">
        <f>'Final data_for_R_analysis_Dryse'!K144</f>
        <v>G501</v>
      </c>
      <c r="I218" t="str">
        <f>'Final data_for_R_analysis_Dryse'!K364</f>
        <v>R774</v>
      </c>
      <c r="J218">
        <f>IFERROR(INDEX('Green_rooibos initial weight'!$C$5:$C$2000,MATCH(H218, 'Green_rooibos initial weight'!$A$5:$A$2000,0)),"")</f>
        <v>1.917</v>
      </c>
      <c r="K218">
        <f>IFERROR(INDEX('Green_rooibos initial weight'!$C$5:$C$2000,MATCH(I218, 'Green_rooibos initial weight'!$A$5:$A$2000,0)),"")</f>
        <v>2.1629999999999998</v>
      </c>
      <c r="L218" s="194">
        <f t="shared" si="30"/>
        <v>1.6672</v>
      </c>
      <c r="M218" s="237">
        <f>AVERAGE(Ashed_controlls!$K$1:$K$11)</f>
        <v>5.5147656768714146</v>
      </c>
      <c r="N218" s="194">
        <f t="shared" si="26"/>
        <v>1.5752578266351998</v>
      </c>
      <c r="O218" s="194">
        <f t="shared" si="31"/>
        <v>1.9131999999999998</v>
      </c>
      <c r="P218" s="237">
        <f>AVERAGE(Ashed_controlls!$K$12:$K$14)</f>
        <v>2.2816647271287041</v>
      </c>
      <c r="Q218" s="194">
        <f t="shared" si="27"/>
        <v>1.8695471904405734</v>
      </c>
      <c r="R218" s="16">
        <f>IF('Dry_Litterbag Placem_Collection'!G145="","",'Dry_Litterbag Placem_Collection'!G145)</f>
        <v>43008</v>
      </c>
      <c r="S218" s="194">
        <f>IFERROR(INDEX('Both teabags AfterDry'!$D$3:$D$2000,MATCH(H218,'Both teabags AfterDry'!$A$3:$A$2000,0)),"")</f>
        <v>0.78680000000000005</v>
      </c>
      <c r="T218" s="194">
        <f>IFERROR(INDEX('Both teabags AfterDry'!$D$3:$D$2000,MATCH(I218,'Both teabags AfterDry'!$A$3:$A$2000,0)),"")</f>
        <v>1.5979000000000001</v>
      </c>
      <c r="U218" s="194">
        <f t="shared" si="32"/>
        <v>0.6362000000000001</v>
      </c>
      <c r="V218" s="194">
        <f t="shared" si="33"/>
        <v>1.4473</v>
      </c>
      <c r="W218" s="194">
        <f>IFERROR(INDEX('Ashed teabags dry'!$K$2:$K$2000,MATCH(H218,'Ashed teabags dry'!$A$2:$A$2000,0)),"")</f>
        <v>20.618120237087211</v>
      </c>
      <c r="X218" s="194">
        <f>IFERROR(INDEX('Ashed teabags dry'!$K$2:$K$2000,MATCH(I218,'Ashed teabags dry'!$A$2:$A$2000,0)),"")</f>
        <v>5.2657480314956748</v>
      </c>
      <c r="Y218" s="194">
        <f t="shared" si="28"/>
        <v>0.50502751905165122</v>
      </c>
      <c r="Z218" s="194">
        <f t="shared" si="28"/>
        <v>1.371088828740163</v>
      </c>
      <c r="AA218" s="194">
        <f t="shared" si="34"/>
        <v>0.67940008898073156</v>
      </c>
      <c r="AB218" s="194">
        <f t="shared" si="35"/>
        <v>0.44540243363107346</v>
      </c>
      <c r="AC218" s="194">
        <f t="shared" si="29"/>
        <v>0.73338016593047606</v>
      </c>
      <c r="AD218">
        <f t="shared" si="36"/>
        <v>69</v>
      </c>
      <c r="AE218" s="194">
        <f t="shared" si="37"/>
        <v>0.19311153327704089</v>
      </c>
      <c r="AF218" s="194">
        <f t="shared" si="38"/>
        <v>1.3229096791529373E-2</v>
      </c>
      <c r="AG218" s="252" t="str">
        <f>IF(ISNUMBER(SEARCH("C", 'Dry_Litterbag Placem_Collection'!$T145)),"YES","NO")</f>
        <v>NO</v>
      </c>
      <c r="AH218" s="252" t="str">
        <f>IF(ISNUMBER(SEARCH("H", 'Dry_Litterbag Placem_Collection'!$T145)),"YES","NO")</f>
        <v>NO</v>
      </c>
      <c r="AI218" s="252" t="str">
        <f>IF(ISNUMBER(SEARCH("R", 'Dry_Litterbag Placem_Collection'!$T145)),"YES","NO")</f>
        <v>NO</v>
      </c>
      <c r="AJ218" s="252" t="str">
        <f>IF(ISNUMBER(SEARCH("C", 'Dry_Litterbag Placem_Collection'!$S145)),"YES","NO")</f>
        <v>NO</v>
      </c>
      <c r="AK218" s="252" t="str">
        <f>IF(ISNUMBER(SEARCH("H", 'Dry_Litterbag Placem_Collection'!$S145)),"YES","NO")</f>
        <v>NO</v>
      </c>
      <c r="AL218" s="252" t="str">
        <f>IF(ISNUMBER(SEARCH("R", 'Dry_Litterbag Placem_Collection'!$S145)),"YES","NO")</f>
        <v>NO</v>
      </c>
    </row>
    <row r="219" spans="2:38">
      <c r="B219" t="str">
        <f>'Final data_for_R_analysis_Dryse'!A145</f>
        <v>Dry</v>
      </c>
      <c r="C219" s="260">
        <f>'Final data_for_R_analysis_Dryse'!B145</f>
        <v>144</v>
      </c>
      <c r="D219" t="s">
        <v>3822</v>
      </c>
      <c r="E219" t="s">
        <v>22</v>
      </c>
      <c r="F219" s="382">
        <v>8</v>
      </c>
      <c r="G219" s="16">
        <f>IF('Dry_Litterbag Placem_Collection'!E146="","",'Dry_Litterbag Placem_Collection'!E146)</f>
        <v>42939</v>
      </c>
      <c r="H219" t="str">
        <f>'Final data_for_R_analysis_Dryse'!K145</f>
        <v>G141</v>
      </c>
      <c r="I219" t="str">
        <f>'Final data_for_R_analysis_Dryse'!K365</f>
        <v>R779</v>
      </c>
      <c r="J219">
        <f>IFERROR(INDEX('Green_rooibos initial weight'!$C$5:$C$2000,MATCH(H219, 'Green_rooibos initial weight'!$A$5:$A$2000,0)),"")</f>
        <v>2.0310000000000001</v>
      </c>
      <c r="K219">
        <f>IFERROR(INDEX('Green_rooibos initial weight'!$C$5:$C$2000,MATCH(I219, 'Green_rooibos initial weight'!$A$5:$A$2000,0)),"")</f>
        <v>2.16</v>
      </c>
      <c r="L219" s="194">
        <f t="shared" si="30"/>
        <v>1.7812000000000001</v>
      </c>
      <c r="M219" s="237">
        <f>AVERAGE(Ashed_controlls!$K$1:$K$11)</f>
        <v>5.5147656768714146</v>
      </c>
      <c r="N219" s="194">
        <f t="shared" si="26"/>
        <v>1.6829709937635664</v>
      </c>
      <c r="O219" s="194">
        <f t="shared" si="31"/>
        <v>1.9102000000000001</v>
      </c>
      <c r="P219" s="237">
        <f>AVERAGE(Ashed_controlls!$K$12:$K$14)</f>
        <v>2.2816647271287041</v>
      </c>
      <c r="Q219" s="194">
        <f t="shared" si="27"/>
        <v>1.8666156403823877</v>
      </c>
      <c r="R219" s="16">
        <f>IF('Dry_Litterbag Placem_Collection'!G146="","",'Dry_Litterbag Placem_Collection'!G146)</f>
        <v>43008</v>
      </c>
      <c r="S219" s="194">
        <f>IFERROR(INDEX('Both teabags AfterDry'!$D$3:$D$2000,MATCH(H219,'Both teabags AfterDry'!$A$3:$A$2000,0)),"")</f>
        <v>0.66180000000000005</v>
      </c>
      <c r="T219" s="194">
        <f>IFERROR(INDEX('Both teabags AfterDry'!$D$3:$D$2000,MATCH(I219,'Both teabags AfterDry'!$A$3:$A$2000,0)),"")</f>
        <v>0.17680000000000001</v>
      </c>
      <c r="U219" s="194">
        <f t="shared" si="32"/>
        <v>0.5112000000000001</v>
      </c>
      <c r="V219" s="194">
        <f t="shared" si="33"/>
        <v>2.6200000000000001E-2</v>
      </c>
      <c r="W219" s="194">
        <f>IFERROR(INDEX('Ashed teabags dry'!$K$2:$K$2000,MATCH(H219,'Ashed teabags dry'!$A$2:$A$2000,0)),"")</f>
        <v>16.886930983847094</v>
      </c>
      <c r="X219" s="194">
        <f>IFERROR(INDEX('Ashed teabags dry'!$K$2:$K$2000,MATCH(I219,'Ashed teabags dry'!$A$2:$A$2000,0)),"")</f>
        <v>0</v>
      </c>
      <c r="Y219" s="194">
        <f t="shared" si="28"/>
        <v>0.42487400881057374</v>
      </c>
      <c r="Z219" s="194">
        <f t="shared" si="28"/>
        <v>2.6200000000000001E-2</v>
      </c>
      <c r="AA219" s="194">
        <f t="shared" si="34"/>
        <v>0.74754525753266643</v>
      </c>
      <c r="AB219" s="194">
        <f t="shared" si="35"/>
        <v>0.49007717595965788</v>
      </c>
      <c r="AC219" s="194">
        <f t="shared" si="29"/>
        <v>1.4036097969602767E-2</v>
      </c>
      <c r="AD219">
        <f t="shared" si="36"/>
        <v>69</v>
      </c>
      <c r="AE219" s="194">
        <f t="shared" si="37"/>
        <v>0.1121790290585909</v>
      </c>
      <c r="AF219" s="194" t="str">
        <f t="shared" si="38"/>
        <v/>
      </c>
      <c r="AG219" s="252" t="str">
        <f>IF(ISNUMBER(SEARCH("C", 'Dry_Litterbag Placem_Collection'!$T146)),"YES","NO")</f>
        <v>YES</v>
      </c>
      <c r="AH219" s="252" t="str">
        <f>IF(ISNUMBER(SEARCH("H", 'Dry_Litterbag Placem_Collection'!$T146)),"YES","NO")</f>
        <v>YES</v>
      </c>
      <c r="AI219" s="252" t="str">
        <f>IF(ISNUMBER(SEARCH("R", 'Dry_Litterbag Placem_Collection'!$T146)),"YES","NO")</f>
        <v>NO</v>
      </c>
      <c r="AJ219" s="252" t="str">
        <f>IF(ISNUMBER(SEARCH("C", 'Dry_Litterbag Placem_Collection'!$S146)),"YES","NO")</f>
        <v>NO</v>
      </c>
      <c r="AK219" s="252" t="str">
        <f>IF(ISNUMBER(SEARCH("H", 'Dry_Litterbag Placem_Collection'!$S146)),"YES","NO")</f>
        <v>YES</v>
      </c>
      <c r="AL219" s="252" t="str">
        <f>IF(ISNUMBER(SEARCH("R", 'Dry_Litterbag Placem_Collection'!$S146)),"YES","NO")</f>
        <v>NO</v>
      </c>
    </row>
    <row r="220" spans="2:38">
      <c r="B220" t="str">
        <f>'Final data_for_R_analysis_Dryse'!A146</f>
        <v>Dry</v>
      </c>
      <c r="C220" s="260">
        <f>'Final data_for_R_analysis_Dryse'!B146</f>
        <v>145</v>
      </c>
      <c r="D220" t="s">
        <v>3823</v>
      </c>
      <c r="E220" t="s">
        <v>22</v>
      </c>
      <c r="F220" s="381">
        <v>1</v>
      </c>
      <c r="G220" s="16">
        <f>IF('Dry_Litterbag Placem_Collection'!E147="","",'Dry_Litterbag Placem_Collection'!E147)</f>
        <v>42939</v>
      </c>
      <c r="H220" t="str">
        <f>'Final data_for_R_analysis_Dryse'!K146</f>
        <v>G131</v>
      </c>
      <c r="I220" t="str">
        <f>'Final data_for_R_analysis_Dryse'!K366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30"/>
        <v>1.7172000000000001</v>
      </c>
      <c r="M220" s="237">
        <f>AVERAGE(Ashed_controlls!$K$1:$K$11)</f>
        <v>5.5147656768714146</v>
      </c>
      <c r="N220" s="194">
        <f t="shared" si="26"/>
        <v>1.6225004437967641</v>
      </c>
      <c r="O220" s="194">
        <f t="shared" si="31"/>
        <v>1.9931999999999999</v>
      </c>
      <c r="P220" s="237">
        <f>AVERAGE(Ashed_controlls!$K$12:$K$14)</f>
        <v>2.2816647271287041</v>
      </c>
      <c r="Q220" s="194">
        <f t="shared" si="27"/>
        <v>1.9477218586588705</v>
      </c>
      <c r="R220" s="16">
        <f>IF('Dry_Litterbag Placem_Collection'!G147="","",'Dry_Litterbag Placem_Collection'!G147)</f>
        <v>43010</v>
      </c>
      <c r="S220" s="194">
        <f>IFERROR(INDEX('Both teabags AfterDry'!$D$3:$D$2000,MATCH(H220,'Both teabags AfterDry'!$A$3:$A$2000,0)),"")</f>
        <v>1.544</v>
      </c>
      <c r="T220" s="194">
        <f>IFERROR(INDEX('Both teabags AfterDry'!$D$3:$D$2000,MATCH(I220,'Both teabags AfterDry'!$A$3:$A$2000,0)),"")</f>
        <v>1.9579</v>
      </c>
      <c r="U220" s="194">
        <f t="shared" si="32"/>
        <v>1.3934</v>
      </c>
      <c r="V220" s="194">
        <f t="shared" si="33"/>
        <v>1.8072999999999999</v>
      </c>
      <c r="W220" s="194">
        <f>IFERROR(INDEX('Ashed teabags dry'!$K$2:$K$2000,MATCH(H220,'Ashed teabags dry'!$A$2:$A$2000,0)),"")</f>
        <v>8.3820662768028189</v>
      </c>
      <c r="X220" s="194">
        <f>IFERROR(INDEX('Ashed teabags dry'!$K$2:$K$2000,MATCH(I220,'Ashed teabags dry'!$A$2:$A$2000,0)),"")</f>
        <v>3.1746031746032655</v>
      </c>
      <c r="Y220" s="194">
        <f t="shared" si="28"/>
        <v>1.2766042884990294</v>
      </c>
      <c r="Z220" s="194">
        <f t="shared" si="28"/>
        <v>1.7499253968253952</v>
      </c>
      <c r="AA220" s="194">
        <f t="shared" si="34"/>
        <v>0.21318709441355443</v>
      </c>
      <c r="AB220" s="194">
        <f t="shared" si="35"/>
        <v>0.13976161058940859</v>
      </c>
      <c r="AC220" s="194">
        <f t="shared" si="29"/>
        <v>0.89844727523381052</v>
      </c>
      <c r="AD220">
        <f t="shared" si="36"/>
        <v>71</v>
      </c>
      <c r="AE220" s="194">
        <f t="shared" si="37"/>
        <v>0.74680867646846272</v>
      </c>
      <c r="AF220" s="194">
        <f t="shared" si="38"/>
        <v>1.8265775887172896E-2</v>
      </c>
      <c r="AG220" s="252" t="str">
        <f>IF(ISNUMBER(SEARCH("C", 'Dry_Litterbag Placem_Collection'!$T147)),"YES","NO")</f>
        <v>NO</v>
      </c>
      <c r="AH220" s="252" t="str">
        <f>IF(ISNUMBER(SEARCH("H", 'Dry_Litterbag Placem_Collection'!$T147)),"YES","NO")</f>
        <v>NO</v>
      </c>
      <c r="AI220" s="252" t="str">
        <f>IF(ISNUMBER(SEARCH("R", 'Dry_Litterbag Placem_Collection'!$T147)),"YES","NO")</f>
        <v>NO</v>
      </c>
      <c r="AJ220" s="252" t="str">
        <f>IF(ISNUMBER(SEARCH("C", 'Dry_Litterbag Placem_Collection'!$S147)),"YES","NO")</f>
        <v>NO</v>
      </c>
      <c r="AK220" s="252" t="str">
        <f>IF(ISNUMBER(SEARCH("H", 'Dry_Litterbag Placem_Collection'!$S147)),"YES","NO")</f>
        <v>NO</v>
      </c>
      <c r="AL220" s="252" t="str">
        <f>IF(ISNUMBER(SEARCH("R", 'Dry_Litterbag Placem_Collection'!$S147)),"YES","NO")</f>
        <v>NO</v>
      </c>
    </row>
    <row r="221" spans="2:38">
      <c r="B221" t="str">
        <f>'Final data_for_R_analysis_Dryse'!A147</f>
        <v>Dry</v>
      </c>
      <c r="C221" s="260">
        <f>'Final data_for_R_analysis_Dryse'!B147</f>
        <v>146</v>
      </c>
      <c r="D221" t="s">
        <v>3823</v>
      </c>
      <c r="E221" t="s">
        <v>22</v>
      </c>
      <c r="F221" s="381">
        <v>2</v>
      </c>
      <c r="G221" s="16">
        <f>IF('Dry_Litterbag Placem_Collection'!E148="","",'Dry_Litterbag Placem_Collection'!E148)</f>
        <v>42939</v>
      </c>
      <c r="H221" t="str">
        <f>'Final data_for_R_analysis_Dryse'!K147</f>
        <v>G465</v>
      </c>
      <c r="I221" t="str">
        <f>'Final data_for_R_analysis_Dryse'!K367</f>
        <v>R13</v>
      </c>
      <c r="J221">
        <f>IFERROR(INDEX('Green_rooibos initial weight'!$C$5:$C$2000,MATCH(H221, 'Green_rooibos initial weight'!$A$5:$A$2000,0)),"")</f>
        <v>2.004</v>
      </c>
      <c r="K221">
        <f>IFERROR(INDEX('Green_rooibos initial weight'!$C$5:$C$2000,MATCH(I221, 'Green_rooibos initial weight'!$A$5:$A$2000,0)),"")</f>
        <v>2.2490000000000001</v>
      </c>
      <c r="L221" s="194">
        <f t="shared" si="30"/>
        <v>1.7542</v>
      </c>
      <c r="M221" s="237">
        <f>AVERAGE(Ashed_controlls!$K$1:$K$11)</f>
        <v>5.5147656768714146</v>
      </c>
      <c r="N221" s="194">
        <f t="shared" si="26"/>
        <v>1.6574599804963217</v>
      </c>
      <c r="O221" s="194">
        <f t="shared" si="31"/>
        <v>1.9992000000000001</v>
      </c>
      <c r="P221" s="237">
        <f>AVERAGE(Ashed_controlls!$K$12:$K$14)</f>
        <v>2.2816647271287041</v>
      </c>
      <c r="Q221" s="194">
        <f t="shared" si="27"/>
        <v>1.953584958775243</v>
      </c>
      <c r="R221" s="16">
        <f>IF('Dry_Litterbag Placem_Collection'!G148="","",'Dry_Litterbag Placem_Collection'!G148)</f>
        <v>43010</v>
      </c>
      <c r="S221" s="194">
        <f>IFERROR(INDEX('Both teabags AfterDry'!$D$3:$D$2000,MATCH(H221,'Both teabags AfterDry'!$A$3:$A$2000,0)),"")</f>
        <v>1.6845000000000001</v>
      </c>
      <c r="T221" s="194">
        <f>IFERROR(INDEX('Both teabags AfterDry'!$D$3:$D$2000,MATCH(I221,'Both teabags AfterDry'!$A$3:$A$2000,0)),"")</f>
        <v>0.68400000000000005</v>
      </c>
      <c r="U221" s="194">
        <f t="shared" si="32"/>
        <v>1.5339</v>
      </c>
      <c r="V221" s="194">
        <f t="shared" si="33"/>
        <v>0.5334000000000001</v>
      </c>
      <c r="W221" s="194">
        <f>IFERROR(INDEX('Ashed teabags dry'!$K$2:$K$2000,MATCH(H221,'Ashed teabags dry'!$A$2:$A$2000,0)),"")</f>
        <v>6.8675889328057185</v>
      </c>
      <c r="X221" s="194">
        <f>IFERROR(INDEX('Ashed teabags dry'!$K$2:$K$2000,MATCH(I221,'Ashed teabags dry'!$A$2:$A$2000,0)),"")</f>
        <v>88.478802992518979</v>
      </c>
      <c r="Y221" s="194">
        <f t="shared" si="28"/>
        <v>1.4285580533596931</v>
      </c>
      <c r="Z221" s="194">
        <f t="shared" si="28"/>
        <v>6.1454064837903777E-2</v>
      </c>
      <c r="AA221" s="194">
        <f t="shared" si="34"/>
        <v>0.13810404464069448</v>
      </c>
      <c r="AB221" s="194">
        <f t="shared" si="35"/>
        <v>9.0538518576797317E-2</v>
      </c>
      <c r="AC221" s="194">
        <f t="shared" si="29"/>
        <v>3.1457073091119135E-2</v>
      </c>
      <c r="AD221">
        <f t="shared" si="36"/>
        <v>71</v>
      </c>
      <c r="AE221" s="194">
        <f t="shared" si="37"/>
        <v>0.83598094460725125</v>
      </c>
      <c r="AF221" s="194" t="str">
        <f t="shared" si="38"/>
        <v/>
      </c>
      <c r="AG221" s="252" t="str">
        <f>IF(ISNUMBER(SEARCH("C", 'Dry_Litterbag Placem_Collection'!$T148)),"YES","NO")</f>
        <v>NO</v>
      </c>
      <c r="AH221" s="252" t="str">
        <f>IF(ISNUMBER(SEARCH("H", 'Dry_Litterbag Placem_Collection'!$T148)),"YES","NO")</f>
        <v>YES</v>
      </c>
      <c r="AI221" s="252" t="str">
        <f>IF(ISNUMBER(SEARCH("R", 'Dry_Litterbag Placem_Collection'!$T148)),"YES","NO")</f>
        <v>NO</v>
      </c>
      <c r="AJ221" s="252" t="str">
        <f>IF(ISNUMBER(SEARCH("C", 'Dry_Litterbag Placem_Collection'!$S148)),"YES","NO")</f>
        <v>NO</v>
      </c>
      <c r="AK221" s="252" t="str">
        <f>IF(ISNUMBER(SEARCH("H", 'Dry_Litterbag Placem_Collection'!$S148)),"YES","NO")</f>
        <v>NO</v>
      </c>
      <c r="AL221" s="252" t="str">
        <f>IF(ISNUMBER(SEARCH("R", 'Dry_Litterbag Placem_Collection'!$S148)),"YES","NO")</f>
        <v>NO</v>
      </c>
    </row>
    <row r="222" spans="2:38">
      <c r="B222" t="str">
        <f>'Final data_for_R_analysis_Dryse'!A148</f>
        <v>Dry</v>
      </c>
      <c r="C222" s="260">
        <f>'Final data_for_R_analysis_Dryse'!B148</f>
        <v>147</v>
      </c>
      <c r="D222" t="s">
        <v>3823</v>
      </c>
      <c r="E222" t="s">
        <v>22</v>
      </c>
      <c r="F222" s="381">
        <v>3</v>
      </c>
      <c r="G222" s="16">
        <f>IF('Dry_Litterbag Placem_Collection'!E149="","",'Dry_Litterbag Placem_Collection'!E149)</f>
        <v>42939</v>
      </c>
      <c r="H222" t="str">
        <f>'Final data_for_R_analysis_Dryse'!K148</f>
        <v>G15</v>
      </c>
      <c r="I222" t="str">
        <f>'Final data_for_R_analysis_Dryse'!K368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30"/>
        <v>1.8012000000000001</v>
      </c>
      <c r="M222" s="237">
        <f>AVERAGE(Ashed_controlls!$K$1:$K$11)</f>
        <v>5.5147656768714146</v>
      </c>
      <c r="N222" s="194">
        <f t="shared" si="26"/>
        <v>1.7018680406281923</v>
      </c>
      <c r="O222" s="194">
        <f t="shared" si="31"/>
        <v>1.9651999999999998</v>
      </c>
      <c r="P222" s="237">
        <f>AVERAGE(Ashed_controlls!$K$12:$K$14)</f>
        <v>2.2816647271287041</v>
      </c>
      <c r="Q222" s="194">
        <f t="shared" si="27"/>
        <v>1.9203607247824666</v>
      </c>
      <c r="R222" s="16">
        <f>IF('Dry_Litterbag Placem_Collection'!G149="","",'Dry_Litterbag Placem_Collection'!G149)</f>
        <v>43010</v>
      </c>
      <c r="S222" s="194">
        <f>IFERROR(INDEX('Both teabags AfterDry'!$D$3:$D$2000,MATCH(H222,'Both teabags AfterDry'!$A$3:$A$2000,0)),"")</f>
        <v>1.6711</v>
      </c>
      <c r="T222" s="194">
        <f>IFERROR(INDEX('Both teabags AfterDry'!$D$3:$D$2000,MATCH(I222,'Both teabags AfterDry'!$A$3:$A$2000,0)),"")</f>
        <v>1.7279</v>
      </c>
      <c r="U222" s="194">
        <f t="shared" si="32"/>
        <v>1.5205</v>
      </c>
      <c r="V222" s="194">
        <f t="shared" si="33"/>
        <v>1.5772999999999999</v>
      </c>
      <c r="W222" s="194">
        <f>IFERROR(INDEX('Ashed teabags dry'!$K$2:$K$2000,MATCH(H222,'Ashed teabags dry'!$A$2:$A$2000,0)),"")</f>
        <v>6.9790628115651439</v>
      </c>
      <c r="X222" s="194">
        <f>IFERROR(INDEX('Ashed teabags dry'!$K$2:$K$2000,MATCH(I222,'Ashed teabags dry'!$A$2:$A$2000,0)),"")</f>
        <v>3.1790556334733524</v>
      </c>
      <c r="Y222" s="194">
        <f t="shared" si="28"/>
        <v>1.4143833499501519</v>
      </c>
      <c r="Z222" s="194">
        <f t="shared" si="28"/>
        <v>1.5271567554932248</v>
      </c>
      <c r="AA222" s="194">
        <f t="shared" si="34"/>
        <v>0.16892302094816014</v>
      </c>
      <c r="AB222" s="194">
        <f t="shared" si="35"/>
        <v>0.1107428830919055</v>
      </c>
      <c r="AC222" s="194">
        <f t="shared" si="29"/>
        <v>0.79524473490063552</v>
      </c>
      <c r="AD222">
        <f t="shared" si="36"/>
        <v>71</v>
      </c>
      <c r="AE222" s="194">
        <f t="shared" si="37"/>
        <v>0.7993788349784321</v>
      </c>
      <c r="AF222" s="194" t="str">
        <f t="shared" si="38"/>
        <v/>
      </c>
      <c r="AG222" s="252" t="str">
        <f>IF(ISNUMBER(SEARCH("C", 'Dry_Litterbag Placem_Collection'!$T149)),"YES","NO")</f>
        <v>NO</v>
      </c>
      <c r="AH222" s="252" t="str">
        <f>IF(ISNUMBER(SEARCH("H", 'Dry_Litterbag Placem_Collection'!$T149)),"YES","NO")</f>
        <v>YES</v>
      </c>
      <c r="AI222" s="252" t="str">
        <f>IF(ISNUMBER(SEARCH("R", 'Dry_Litterbag Placem_Collection'!$T149)),"YES","NO")</f>
        <v>NO</v>
      </c>
      <c r="AJ222" s="252" t="str">
        <f>IF(ISNUMBER(SEARCH("C", 'Dry_Litterbag Placem_Collection'!$S149)),"YES","NO")</f>
        <v>NO</v>
      </c>
      <c r="AK222" s="252" t="str">
        <f>IF(ISNUMBER(SEARCH("H", 'Dry_Litterbag Placem_Collection'!$S149)),"YES","NO")</f>
        <v>NO</v>
      </c>
      <c r="AL222" s="252" t="str">
        <f>IF(ISNUMBER(SEARCH("R", 'Dry_Litterbag Placem_Collection'!$S149)),"YES","NO")</f>
        <v>NO</v>
      </c>
    </row>
    <row r="223" spans="2:38">
      <c r="B223" t="str">
        <f>'Final data_for_R_analysis_Dryse'!A149</f>
        <v>Dry</v>
      </c>
      <c r="C223" s="260">
        <f>'Final data_for_R_analysis_Dryse'!B149</f>
        <v>148</v>
      </c>
      <c r="D223" t="s">
        <v>3823</v>
      </c>
      <c r="E223" t="s">
        <v>22</v>
      </c>
      <c r="F223" s="382">
        <v>4</v>
      </c>
      <c r="G223" s="16">
        <f>IF('Dry_Litterbag Placem_Collection'!E150="","",'Dry_Litterbag Placem_Collection'!E150)</f>
        <v>42939</v>
      </c>
      <c r="H223" t="str">
        <f>'Final data_for_R_analysis_Dryse'!K149</f>
        <v>G290</v>
      </c>
      <c r="I223" t="str">
        <f>'Final data_for_R_analysis_Dryse'!K369</f>
        <v>R823</v>
      </c>
      <c r="J223">
        <f>IFERROR(INDEX('Green_rooibos initial weight'!$C$5:$C$2000,MATCH(H223, 'Green_rooibos initial weight'!$A$5:$A$2000,0)),"")</f>
        <v>2.0539999999999998</v>
      </c>
      <c r="K223">
        <f>IFERROR(INDEX('Green_rooibos initial weight'!$C$5:$C$2000,MATCH(I223, 'Green_rooibos initial weight'!$A$5:$A$2000,0)),"")</f>
        <v>2.214</v>
      </c>
      <c r="L223" s="194">
        <f t="shared" si="30"/>
        <v>1.8041999999999998</v>
      </c>
      <c r="M223" s="237">
        <f>AVERAGE(Ashed_controlls!$K$1:$K$11)</f>
        <v>5.5147656768714146</v>
      </c>
      <c r="N223" s="194">
        <f t="shared" si="26"/>
        <v>1.7047025976578858</v>
      </c>
      <c r="O223" s="194">
        <f t="shared" si="31"/>
        <v>1.9641999999999999</v>
      </c>
      <c r="P223" s="237">
        <f>AVERAGE(Ashed_controlls!$K$12:$K$14)</f>
        <v>2.2816647271287041</v>
      </c>
      <c r="Q223" s="194">
        <f t="shared" si="27"/>
        <v>1.919383541429738</v>
      </c>
      <c r="R223" s="16">
        <f>IF('Dry_Litterbag Placem_Collection'!G150="","",'Dry_Litterbag Placem_Collection'!G150)</f>
        <v>43010</v>
      </c>
      <c r="S223" s="194">
        <f>IFERROR(INDEX('Both teabags AfterDry'!$D$3:$D$2000,MATCH(H223,'Both teabags AfterDry'!$A$3:$A$2000,0)),"")</f>
        <v>1.6564000000000001</v>
      </c>
      <c r="T223" s="194">
        <f>IFERROR(INDEX('Both teabags AfterDry'!$D$3:$D$2000,MATCH(I223,'Both teabags AfterDry'!$A$3:$A$2000,0)),"")</f>
        <v>0</v>
      </c>
      <c r="U223" s="194">
        <f t="shared" si="32"/>
        <v>1.5058</v>
      </c>
      <c r="V223" s="194" t="str">
        <f t="shared" si="33"/>
        <v/>
      </c>
      <c r="W223" s="194">
        <f>IFERROR(INDEX('Ashed teabags dry'!$K$2:$K$2000,MATCH(H223,'Ashed teabags dry'!$A$2:$A$2000,0)),"")</f>
        <v>7.4552269887550784</v>
      </c>
      <c r="X223" s="194">
        <f>IFERROR(INDEX('Ashed teabags dry'!$K$2:$K$2000,MATCH(I223,'Ashed teabags dry'!$A$2:$A$2000,0)),"")</f>
        <v>90.2597402597399</v>
      </c>
      <c r="Y223" s="194">
        <f t="shared" si="28"/>
        <v>1.393539192003326</v>
      </c>
      <c r="Z223" s="194" t="str">
        <f t="shared" si="28"/>
        <v/>
      </c>
      <c r="AA223" s="194">
        <f t="shared" si="34"/>
        <v>0.18253237021054081</v>
      </c>
      <c r="AB223" s="194">
        <f t="shared" si="35"/>
        <v>0.11966492678885816</v>
      </c>
      <c r="AC223" s="194" t="str">
        <f t="shared" si="29"/>
        <v/>
      </c>
      <c r="AD223">
        <f t="shared" si="36"/>
        <v>71</v>
      </c>
      <c r="AE223" s="194">
        <f t="shared" si="37"/>
        <v>0.78321571233902509</v>
      </c>
      <c r="AF223" s="194" t="str">
        <f t="shared" si="38"/>
        <v/>
      </c>
      <c r="AG223" s="252" t="str">
        <f>IF(ISNUMBER(SEARCH("C", 'Dry_Litterbag Placem_Collection'!$T150)),"YES","NO")</f>
        <v>YES</v>
      </c>
      <c r="AH223" s="252" t="str">
        <f>IF(ISNUMBER(SEARCH("H", 'Dry_Litterbag Placem_Collection'!$T150)),"YES","NO")</f>
        <v>YES</v>
      </c>
      <c r="AI223" s="252" t="str">
        <f>IF(ISNUMBER(SEARCH("R", 'Dry_Litterbag Placem_Collection'!$T150)),"YES","NO")</f>
        <v>NO</v>
      </c>
      <c r="AJ223" s="252" t="str">
        <f>IF(ISNUMBER(SEARCH("C", 'Dry_Litterbag Placem_Collection'!$S150)),"YES","NO")</f>
        <v>NO</v>
      </c>
      <c r="AK223" s="252" t="str">
        <f>IF(ISNUMBER(SEARCH("H", 'Dry_Litterbag Placem_Collection'!$S150)),"YES","NO")</f>
        <v>NO</v>
      </c>
      <c r="AL223" s="252" t="str">
        <f>IF(ISNUMBER(SEARCH("R", 'Dry_Litterbag Placem_Collection'!$S150)),"YES","NO")</f>
        <v>NO</v>
      </c>
    </row>
    <row r="224" spans="2:38">
      <c r="B224" t="str">
        <f>'Final data_for_R_analysis_Dryse'!A150</f>
        <v>Dry</v>
      </c>
      <c r="C224" s="260">
        <f>'Final data_for_R_analysis_Dryse'!B150</f>
        <v>149</v>
      </c>
      <c r="D224" t="s">
        <v>3823</v>
      </c>
      <c r="E224" t="s">
        <v>22</v>
      </c>
      <c r="F224" s="382">
        <v>5</v>
      </c>
      <c r="G224" s="16">
        <f>IF('Dry_Litterbag Placem_Collection'!E151="","",'Dry_Litterbag Placem_Collection'!E151)</f>
        <v>42939</v>
      </c>
      <c r="H224" t="str">
        <f>'Final data_for_R_analysis_Dryse'!K150</f>
        <v>G194</v>
      </c>
      <c r="I224" t="str">
        <f>'Final data_for_R_analysis_Dryse'!K370</f>
        <v>R703</v>
      </c>
      <c r="J224">
        <f>IFERROR(INDEX('Green_rooibos initial weight'!$C$5:$C$2000,MATCH(H224, 'Green_rooibos initial weight'!$A$5:$A$2000,0)),"")</f>
        <v>2.032</v>
      </c>
      <c r="K224">
        <f>IFERROR(INDEX('Green_rooibos initial weight'!$C$5:$C$2000,MATCH(I224, 'Green_rooibos initial weight'!$A$5:$A$2000,0)),"")</f>
        <v>2.1379999999999999</v>
      </c>
      <c r="L224" s="194">
        <f t="shared" si="30"/>
        <v>1.7822</v>
      </c>
      <c r="M224" s="237">
        <f>AVERAGE(Ashed_controlls!$K$1:$K$11)</f>
        <v>5.5147656768714146</v>
      </c>
      <c r="N224" s="194">
        <f t="shared" si="26"/>
        <v>1.6839158461067976</v>
      </c>
      <c r="O224" s="194">
        <f t="shared" si="31"/>
        <v>1.8881999999999999</v>
      </c>
      <c r="P224" s="237">
        <f>AVERAGE(Ashed_controlls!$K$12:$K$14)</f>
        <v>2.2816647271287041</v>
      </c>
      <c r="Q224" s="194">
        <f t="shared" si="27"/>
        <v>1.8451176066223556</v>
      </c>
      <c r="R224" s="16">
        <f>IF('Dry_Litterbag Placem_Collection'!G151="","",'Dry_Litterbag Placem_Collection'!G151)</f>
        <v>43010</v>
      </c>
      <c r="S224" s="194">
        <f>IFERROR(INDEX('Both teabags AfterDry'!$D$3:$D$2000,MATCH(H224,'Both teabags AfterDry'!$A$3:$A$2000,0)),"")</f>
        <v>1.56</v>
      </c>
      <c r="T224" s="194">
        <f>IFERROR(INDEX('Both teabags AfterDry'!$D$3:$D$2000,MATCH(I224,'Both teabags AfterDry'!$A$3:$A$2000,0)),"")</f>
        <v>1.9032</v>
      </c>
      <c r="U224" s="194">
        <f t="shared" si="32"/>
        <v>1.4094</v>
      </c>
      <c r="V224" s="194">
        <f t="shared" si="33"/>
        <v>1.7525999999999999</v>
      </c>
      <c r="W224" s="194">
        <f>IFERROR(INDEX('Ashed teabags dry'!$K$2:$K$2000,MATCH(H224,'Ashed teabags dry'!$A$2:$A$2000,0)),"")</f>
        <v>7.1186440677962963</v>
      </c>
      <c r="X224" s="194">
        <f>IFERROR(INDEX('Ashed teabags dry'!$K$2:$K$2000,MATCH(I224,'Ashed teabags dry'!$A$2:$A$2000,0)),"")</f>
        <v>3.0988686669941248</v>
      </c>
      <c r="Y224" s="194">
        <f t="shared" si="28"/>
        <v>1.3090698305084789</v>
      </c>
      <c r="Z224" s="194">
        <f t="shared" si="28"/>
        <v>1.698289227742261</v>
      </c>
      <c r="AA224" s="194">
        <f t="shared" si="34"/>
        <v>0.22260376993598596</v>
      </c>
      <c r="AB224" s="194">
        <f t="shared" si="35"/>
        <v>0.14593501306967249</v>
      </c>
      <c r="AC224" s="194">
        <f t="shared" si="29"/>
        <v>0.92042329532106282</v>
      </c>
      <c r="AD224">
        <f t="shared" si="36"/>
        <v>71</v>
      </c>
      <c r="AE224" s="194">
        <f t="shared" si="37"/>
        <v>0.73562497632305712</v>
      </c>
      <c r="AF224" s="194">
        <f t="shared" si="38"/>
        <v>1.1099893423320399E-2</v>
      </c>
      <c r="AG224" s="252" t="str">
        <f>IF(ISNUMBER(SEARCH("C", 'Dry_Litterbag Placem_Collection'!$T151)),"YES","NO")</f>
        <v>NO</v>
      </c>
      <c r="AH224" s="252" t="str">
        <f>IF(ISNUMBER(SEARCH("H", 'Dry_Litterbag Placem_Collection'!$T151)),"YES","NO")</f>
        <v>NO</v>
      </c>
      <c r="AI224" s="252" t="str">
        <f>IF(ISNUMBER(SEARCH("R", 'Dry_Litterbag Placem_Collection'!$T151)),"YES","NO")</f>
        <v>NO</v>
      </c>
      <c r="AJ224" s="252" t="str">
        <f>IF(ISNUMBER(SEARCH("C", 'Dry_Litterbag Placem_Collection'!$S151)),"YES","NO")</f>
        <v>NO</v>
      </c>
      <c r="AK224" s="252" t="str">
        <f>IF(ISNUMBER(SEARCH("H", 'Dry_Litterbag Placem_Collection'!$S151)),"YES","NO")</f>
        <v>NO</v>
      </c>
      <c r="AL224" s="252" t="str">
        <f>IF(ISNUMBER(SEARCH("R", 'Dry_Litterbag Placem_Collection'!$S151)),"YES","NO")</f>
        <v>NO</v>
      </c>
    </row>
    <row r="225" spans="2:38">
      <c r="B225" t="str">
        <f>'Final data_for_R_analysis_Dryse'!A151</f>
        <v>Dry</v>
      </c>
      <c r="C225" s="260">
        <f>'Final data_for_R_analysis_Dryse'!B151</f>
        <v>150</v>
      </c>
      <c r="D225" t="s">
        <v>3823</v>
      </c>
      <c r="E225" t="s">
        <v>22</v>
      </c>
      <c r="F225" s="382">
        <v>6</v>
      </c>
      <c r="G225" s="16">
        <f>IF('Dry_Litterbag Placem_Collection'!E152="","",'Dry_Litterbag Placem_Collection'!E152)</f>
        <v>42939</v>
      </c>
      <c r="H225" t="str">
        <f>'Final data_for_R_analysis_Dryse'!K151</f>
        <v>G272</v>
      </c>
      <c r="I225" t="str">
        <f>'Final data_for_R_analysis_Dryse'!K371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30"/>
        <v>1.8151999999999999</v>
      </c>
      <c r="M225" s="237">
        <f>AVERAGE(Ashed_controlls!$K$1:$K$11)</f>
        <v>5.5147656768714146</v>
      </c>
      <c r="N225" s="194">
        <f t="shared" si="26"/>
        <v>1.7150959734334301</v>
      </c>
      <c r="O225" s="194">
        <f t="shared" si="31"/>
        <v>1.8921999999999999</v>
      </c>
      <c r="P225" s="237">
        <f>AVERAGE(Ashed_controlls!$K$12:$K$14)</f>
        <v>2.2816647271287041</v>
      </c>
      <c r="Q225" s="194">
        <f t="shared" si="27"/>
        <v>1.8490263400332705</v>
      </c>
      <c r="R225" s="16">
        <f>IF('Dry_Litterbag Placem_Collection'!G152="","",'Dry_Litterbag Placem_Collection'!G152)</f>
        <v>43010</v>
      </c>
      <c r="S225" s="194" t="str">
        <f>IFERROR(INDEX('Both teabags AfterDry'!$D$3:$D$2000,MATCH(H225,'Both teabags AfterDry'!$A$3:$A$2000,0)),"")</f>
        <v/>
      </c>
      <c r="T225" s="194" t="str">
        <f>IFERROR(INDEX('Both teabags AfterDry'!$D$3:$D$2000,MATCH(I225,'Both teabags AfterDry'!$A$3:$A$2000,0)),"")</f>
        <v/>
      </c>
      <c r="U225" s="194" t="str">
        <f t="shared" si="32"/>
        <v/>
      </c>
      <c r="V225" s="194" t="str">
        <f t="shared" si="33"/>
        <v/>
      </c>
      <c r="W225" s="194" t="str">
        <f>IFERROR(INDEX('Ashed teabags dry'!$K$2:$K$2000,MATCH(H225,'Ashed teabags dry'!$A$2:$A$2000,0)),"")</f>
        <v/>
      </c>
      <c r="X225" s="194" t="str">
        <f>IFERROR(INDEX('Ashed teabags dry'!$K$2:$K$2000,MATCH(I225,'Ashed teabags dry'!$A$2:$A$2000,0)),"")</f>
        <v/>
      </c>
      <c r="Y225" s="194" t="str">
        <f t="shared" si="28"/>
        <v/>
      </c>
      <c r="Z225" s="194" t="str">
        <f t="shared" si="28"/>
        <v/>
      </c>
      <c r="AA225" s="194" t="str">
        <f t="shared" si="34"/>
        <v/>
      </c>
      <c r="AB225" s="194" t="str">
        <f t="shared" si="35"/>
        <v/>
      </c>
      <c r="AC225" s="194" t="str">
        <f t="shared" si="29"/>
        <v/>
      </c>
      <c r="AD225">
        <f t="shared" si="36"/>
        <v>71</v>
      </c>
      <c r="AE225" s="194" t="str">
        <f t="shared" si="37"/>
        <v/>
      </c>
      <c r="AF225" s="194" t="str">
        <f t="shared" si="38"/>
        <v/>
      </c>
      <c r="AG225" s="252" t="str">
        <f>IF(ISNUMBER(SEARCH("C", 'Dry_Litterbag Placem_Collection'!$T152)),"YES","NO")</f>
        <v>NO</v>
      </c>
      <c r="AH225" s="252" t="str">
        <f>IF(ISNUMBER(SEARCH("H", 'Dry_Litterbag Placem_Collection'!$T152)),"YES","NO")</f>
        <v>YES</v>
      </c>
      <c r="AI225" s="252" t="str">
        <f>IF(ISNUMBER(SEARCH("R", 'Dry_Litterbag Placem_Collection'!$T152)),"YES","NO")</f>
        <v>NO</v>
      </c>
      <c r="AJ225" s="252" t="str">
        <f>IF(ISNUMBER(SEARCH("C", 'Dry_Litterbag Placem_Collection'!$S152)),"YES","NO")</f>
        <v>NO</v>
      </c>
      <c r="AK225" s="252" t="str">
        <f>IF(ISNUMBER(SEARCH("H", 'Dry_Litterbag Placem_Collection'!$S152)),"YES","NO")</f>
        <v>YES</v>
      </c>
      <c r="AL225" s="252" t="str">
        <f>IF(ISNUMBER(SEARCH("R", 'Dry_Litterbag Placem_Collection'!$S152)),"YES","NO")</f>
        <v>NO</v>
      </c>
    </row>
    <row r="226" spans="2:38">
      <c r="B226" t="str">
        <f>'Final data_for_R_analysis_Dryse'!A152</f>
        <v>Dry</v>
      </c>
      <c r="C226" s="260">
        <f>'Final data_for_R_analysis_Dryse'!B152</f>
        <v>151</v>
      </c>
      <c r="D226" t="s">
        <v>3823</v>
      </c>
      <c r="E226" t="s">
        <v>22</v>
      </c>
      <c r="F226" s="382">
        <v>7</v>
      </c>
      <c r="G226" s="16" t="str">
        <f>IF('Dry_Litterbag Placem_Collection'!E153="","",'Dry_Litterbag Placem_Collection'!E153)</f>
        <v/>
      </c>
      <c r="H226" t="str">
        <f>'Final data_for_R_analysis_Dryse'!K152</f>
        <v/>
      </c>
      <c r="I226" t="str">
        <f>'Final data_for_R_analysis_Dryse'!K372</f>
        <v/>
      </c>
      <c r="J226" t="str">
        <f>IFERROR(INDEX('Green_rooibos initial weight'!$C$5:$C$2000,MATCH(H226, 'Green_rooibos initial weight'!$A$5:$A$2000,0)),"")</f>
        <v/>
      </c>
      <c r="K226" t="str">
        <f>IFERROR(INDEX('Green_rooibos initial weight'!$C$5:$C$2000,MATCH(I226, 'Green_rooibos initial weight'!$A$5:$A$2000,0)),"")</f>
        <v/>
      </c>
      <c r="L226" s="194" t="str">
        <f t="shared" si="30"/>
        <v/>
      </c>
      <c r="M226" s="237">
        <f>AVERAGE(Ashed_controlls!$K$1:$K$11)</f>
        <v>5.5147656768714146</v>
      </c>
      <c r="N226" s="194" t="str">
        <f t="shared" si="26"/>
        <v/>
      </c>
      <c r="O226" s="194" t="str">
        <f t="shared" si="31"/>
        <v/>
      </c>
      <c r="P226" s="237">
        <f>AVERAGE(Ashed_controlls!$K$12:$K$14)</f>
        <v>2.2816647271287041</v>
      </c>
      <c r="Q226" s="194" t="str">
        <f t="shared" si="27"/>
        <v/>
      </c>
      <c r="R226" s="16" t="str">
        <f>IF('Dry_Litterbag Placem_Collection'!G153="","",'Dry_Litterbag Placem_Collection'!G153)</f>
        <v/>
      </c>
      <c r="S226" s="194" t="str">
        <f>IFERROR(INDEX('Both teabags AfterDry'!$D$3:$D$2000,MATCH(H226,'Both teabags AfterDry'!$A$3:$A$2000,0)),"")</f>
        <v/>
      </c>
      <c r="T226" s="194" t="str">
        <f>IFERROR(INDEX('Both teabags AfterDry'!$D$3:$D$2000,MATCH(I226,'Both teabags AfterDry'!$A$3:$A$2000,0)),"")</f>
        <v/>
      </c>
      <c r="U226" s="194" t="str">
        <f t="shared" si="32"/>
        <v/>
      </c>
      <c r="V226" s="194" t="str">
        <f t="shared" si="33"/>
        <v/>
      </c>
      <c r="W226" s="194" t="str">
        <f>IFERROR(INDEX('Ashed teabags dry'!$K$2:$K$2000,MATCH(H226,'Ashed teabags dry'!$A$2:$A$2000,0)),"")</f>
        <v/>
      </c>
      <c r="X226" s="194" t="str">
        <f>IFERROR(INDEX('Ashed teabags dry'!$K$2:$K$2000,MATCH(I226,'Ashed teabags dry'!$A$2:$A$2000,0)),"")</f>
        <v/>
      </c>
      <c r="Y226" s="194" t="str">
        <f t="shared" si="28"/>
        <v/>
      </c>
      <c r="Z226" s="194" t="str">
        <f t="shared" si="28"/>
        <v/>
      </c>
      <c r="AA226" s="194" t="str">
        <f t="shared" si="34"/>
        <v/>
      </c>
      <c r="AB226" s="194" t="str">
        <f t="shared" si="35"/>
        <v/>
      </c>
      <c r="AC226" s="194" t="str">
        <f t="shared" si="29"/>
        <v/>
      </c>
      <c r="AD226" t="str">
        <f t="shared" si="36"/>
        <v/>
      </c>
      <c r="AE226" s="194" t="str">
        <f t="shared" si="37"/>
        <v/>
      </c>
      <c r="AF226" s="194" t="str">
        <f t="shared" si="38"/>
        <v/>
      </c>
      <c r="AG226" s="252" t="str">
        <f>IF(ISNUMBER(SEARCH("C", 'Dry_Litterbag Placem_Collection'!$T153)),"YES","NO")</f>
        <v>NO</v>
      </c>
      <c r="AH226" s="252" t="str">
        <f>IF(ISNUMBER(SEARCH("H", 'Dry_Litterbag Placem_Collection'!$T153)),"YES","NO")</f>
        <v>NO</v>
      </c>
      <c r="AI226" s="252" t="str">
        <f>IF(ISNUMBER(SEARCH("R", 'Dry_Litterbag Placem_Collection'!$T153)),"YES","NO")</f>
        <v>NO</v>
      </c>
      <c r="AJ226" s="252" t="str">
        <f>IF(ISNUMBER(SEARCH("C", 'Dry_Litterbag Placem_Collection'!$S153)),"YES","NO")</f>
        <v>NO</v>
      </c>
      <c r="AK226" s="252" t="str">
        <f>IF(ISNUMBER(SEARCH("H", 'Dry_Litterbag Placem_Collection'!$S153)),"YES","NO")</f>
        <v>NO</v>
      </c>
      <c r="AL226" s="252" t="str">
        <f>IF(ISNUMBER(SEARCH("R", 'Dry_Litterbag Placem_Collection'!$S153)),"YES","NO")</f>
        <v>NO</v>
      </c>
    </row>
    <row r="227" spans="2:38">
      <c r="B227" t="str">
        <f>'Final data_for_R_analysis_Dryse'!A153</f>
        <v>Dry</v>
      </c>
      <c r="C227" s="260">
        <f>'Final data_for_R_analysis_Dryse'!B153</f>
        <v>152</v>
      </c>
      <c r="D227" t="s">
        <v>3823</v>
      </c>
      <c r="E227" t="s">
        <v>22</v>
      </c>
      <c r="F227" s="382">
        <v>8</v>
      </c>
      <c r="G227" s="16">
        <f>IF('Dry_Litterbag Placem_Collection'!E154="","",'Dry_Litterbag Placem_Collection'!E154)</f>
        <v>42939</v>
      </c>
      <c r="H227" t="str">
        <f>'Final data_for_R_analysis_Dryse'!K153</f>
        <v>G198</v>
      </c>
      <c r="I227" t="str">
        <f>'Final data_for_R_analysis_Dryse'!K373</f>
        <v>R788</v>
      </c>
      <c r="J227">
        <f>IFERROR(INDEX('Green_rooibos initial weight'!$C$5:$C$2000,MATCH(H227, 'Green_rooibos initial weight'!$A$5:$A$2000,0)),"")</f>
        <v>1.931</v>
      </c>
      <c r="K227">
        <f>IFERROR(INDEX('Green_rooibos initial weight'!$C$5:$C$2000,MATCH(I227, 'Green_rooibos initial weight'!$A$5:$A$2000,0)),"")</f>
        <v>2.1869999999999998</v>
      </c>
      <c r="L227" s="194">
        <f t="shared" si="30"/>
        <v>1.6812</v>
      </c>
      <c r="M227" s="237">
        <f>AVERAGE(Ashed_controlls!$K$1:$K$11)</f>
        <v>5.5147656768714146</v>
      </c>
      <c r="N227" s="194">
        <f t="shared" si="26"/>
        <v>1.5884857594404378</v>
      </c>
      <c r="O227" s="194">
        <f t="shared" si="31"/>
        <v>1.9371999999999998</v>
      </c>
      <c r="P227" s="237">
        <f>AVERAGE(Ashed_controlls!$K$12:$K$14)</f>
        <v>2.2816647271287041</v>
      </c>
      <c r="Q227" s="194">
        <f t="shared" si="27"/>
        <v>1.8929995909060626</v>
      </c>
      <c r="R227" s="16">
        <f>IF('Dry_Litterbag Placem_Collection'!G154="","",'Dry_Litterbag Placem_Collection'!G154)</f>
        <v>43010</v>
      </c>
      <c r="S227" s="194">
        <f>IFERROR(INDEX('Both teabags AfterDry'!$D$3:$D$2000,MATCH(H227,'Both teabags AfterDry'!$A$3:$A$2000,0)),"")</f>
        <v>1.3654999999999999</v>
      </c>
      <c r="T227" s="194">
        <f>IFERROR(INDEX('Both teabags AfterDry'!$D$3:$D$2000,MATCH(I227,'Both teabags AfterDry'!$A$3:$A$2000,0)),"")</f>
        <v>0.43190000000000001</v>
      </c>
      <c r="U227" s="194">
        <f t="shared" si="32"/>
        <v>1.2148999999999999</v>
      </c>
      <c r="V227" s="194">
        <f t="shared" si="33"/>
        <v>0.28129999999999999</v>
      </c>
      <c r="W227" s="194">
        <f>IFERROR(INDEX('Ashed teabags dry'!$K$2:$K$2000,MATCH(H227,'Ashed teabags dry'!$A$2:$A$2000,0)),"")</f>
        <v>10.100586756077433</v>
      </c>
      <c r="X227" s="194">
        <f>IFERROR(INDEX('Ashed teabags dry'!$K$2:$K$2000,MATCH(I227,'Ashed teabags dry'!$A$2:$A$2000,0)),"")</f>
        <v>89.775910364145446</v>
      </c>
      <c r="Y227" s="194">
        <f t="shared" si="28"/>
        <v>1.0921879715004152</v>
      </c>
      <c r="Z227" s="194">
        <f t="shared" si="28"/>
        <v>2.8760364145658857E-2</v>
      </c>
      <c r="AA227" s="194">
        <f t="shared" si="34"/>
        <v>0.31243452136130523</v>
      </c>
      <c r="AB227" s="194">
        <f t="shared" si="35"/>
        <v>0.20482643205634263</v>
      </c>
      <c r="AC227" s="194">
        <f t="shared" si="29"/>
        <v>1.5193011284219579E-2</v>
      </c>
      <c r="AD227">
        <f t="shared" si="36"/>
        <v>71</v>
      </c>
      <c r="AE227" s="194">
        <f t="shared" si="37"/>
        <v>0.62893762308633583</v>
      </c>
      <c r="AF227" s="194" t="str">
        <f t="shared" si="38"/>
        <v/>
      </c>
      <c r="AG227" s="252" t="str">
        <f>IF(ISNUMBER(SEARCH("C", 'Dry_Litterbag Placem_Collection'!$T154)),"YES","NO")</f>
        <v>NO</v>
      </c>
      <c r="AH227" s="252" t="str">
        <f>IF(ISNUMBER(SEARCH("H", 'Dry_Litterbag Placem_Collection'!$T154)),"YES","NO")</f>
        <v>YES</v>
      </c>
      <c r="AI227" s="252" t="str">
        <f>IF(ISNUMBER(SEARCH("R", 'Dry_Litterbag Placem_Collection'!$T154)),"YES","NO")</f>
        <v>NO</v>
      </c>
      <c r="AJ227" s="252" t="str">
        <f>IF(ISNUMBER(SEARCH("C", 'Dry_Litterbag Placem_Collection'!$S154)),"YES","NO")</f>
        <v>YES</v>
      </c>
      <c r="AK227" s="252" t="str">
        <f>IF(ISNUMBER(SEARCH("H", 'Dry_Litterbag Placem_Collection'!$S154)),"YES","NO")</f>
        <v>YES</v>
      </c>
      <c r="AL227" s="252" t="str">
        <f>IF(ISNUMBER(SEARCH("R", 'Dry_Litterbag Placem_Collection'!$S154)),"YES","NO")</f>
        <v>NO</v>
      </c>
    </row>
    <row r="228" spans="2:38">
      <c r="B228" t="str">
        <f>'Final data_for_R_analysis_Dryse'!A154</f>
        <v>Dry</v>
      </c>
      <c r="C228" s="260">
        <f>'Final data_for_R_analysis_Dryse'!B154</f>
        <v>153</v>
      </c>
      <c r="D228" t="s">
        <v>3824</v>
      </c>
      <c r="E228" t="s">
        <v>22</v>
      </c>
      <c r="F228" s="381">
        <v>1</v>
      </c>
      <c r="G228" s="16">
        <f>IF('Dry_Litterbag Placem_Collection'!E155="","",'Dry_Litterbag Placem_Collection'!E155)</f>
        <v>42939</v>
      </c>
      <c r="H228" t="str">
        <f>'Final data_for_R_analysis_Dryse'!K154</f>
        <v>G197</v>
      </c>
      <c r="I228" t="str">
        <f>'Final data_for_R_analysis_Dryse'!K374</f>
        <v>R735</v>
      </c>
      <c r="J228">
        <f>IFERROR(INDEX('Green_rooibos initial weight'!$C$5:$C$2000,MATCH(H228, 'Green_rooibos initial weight'!$A$5:$A$2000,0)),"")</f>
        <v>2.1120000000000001</v>
      </c>
      <c r="K228">
        <f>IFERROR(INDEX('Green_rooibos initial weight'!$C$5:$C$2000,MATCH(I228, 'Green_rooibos initial weight'!$A$5:$A$2000,0)),"")</f>
        <v>2.12</v>
      </c>
      <c r="L228" s="194">
        <f t="shared" si="30"/>
        <v>1.8622000000000001</v>
      </c>
      <c r="M228" s="237">
        <f>AVERAGE(Ashed_controlls!$K$1:$K$11)</f>
        <v>5.5147656768714146</v>
      </c>
      <c r="N228" s="194">
        <f t="shared" si="26"/>
        <v>1.7595040335653005</v>
      </c>
      <c r="O228" s="194">
        <f t="shared" si="31"/>
        <v>1.8702000000000001</v>
      </c>
      <c r="P228" s="237">
        <f>AVERAGE(Ashed_controlls!$K$12:$K$14)</f>
        <v>2.2816647271287041</v>
      </c>
      <c r="Q228" s="194">
        <f t="shared" si="27"/>
        <v>1.827528306273239</v>
      </c>
      <c r="R228" s="16">
        <f>IF('Dry_Litterbag Placem_Collection'!G155="","",'Dry_Litterbag Placem_Collection'!G155)</f>
        <v>43010</v>
      </c>
      <c r="S228" s="194">
        <f>IFERROR(INDEX('Both teabags AfterDry'!$D$3:$D$2000,MATCH(H228,'Both teabags AfterDry'!$A$3:$A$2000,0)),"")</f>
        <v>1.2847</v>
      </c>
      <c r="T228" s="194">
        <f>IFERROR(INDEX('Both teabags AfterDry'!$D$3:$D$2000,MATCH(I228,'Both teabags AfterDry'!$A$3:$A$2000,0)),"")</f>
        <v>1.0566</v>
      </c>
      <c r="U228" s="194">
        <f t="shared" si="32"/>
        <v>1.1340999999999999</v>
      </c>
      <c r="V228" s="194">
        <f t="shared" si="33"/>
        <v>0.90599999999999992</v>
      </c>
      <c r="W228" s="194">
        <f>IFERROR(INDEX('Ashed teabags dry'!$K$2:$K$2000,MATCH(H228,'Ashed teabags dry'!$A$2:$A$2000,0)),"")</f>
        <v>10.205908683975077</v>
      </c>
      <c r="X228" s="194">
        <f>IFERROR(INDEX('Ashed teabags dry'!$K$2:$K$2000,MATCH(I228,'Ashed teabags dry'!$A$2:$A$2000,0)),"")</f>
        <v>50.895883777238879</v>
      </c>
      <c r="Y228" s="194">
        <f t="shared" si="28"/>
        <v>1.0183547896150387</v>
      </c>
      <c r="Z228" s="194">
        <f t="shared" si="28"/>
        <v>0.44488329297821572</v>
      </c>
      <c r="AA228" s="194">
        <f t="shared" si="34"/>
        <v>0.42122622614763994</v>
      </c>
      <c r="AB228" s="194">
        <f t="shared" si="35"/>
        <v>0.27614830977850036</v>
      </c>
      <c r="AC228" s="194">
        <f t="shared" si="29"/>
        <v>0.24343441983967823</v>
      </c>
      <c r="AD228">
        <f t="shared" si="36"/>
        <v>71</v>
      </c>
      <c r="AE228" s="194">
        <f t="shared" si="37"/>
        <v>0.49973132286503563</v>
      </c>
      <c r="AF228" s="194" t="str">
        <f t="shared" si="38"/>
        <v/>
      </c>
      <c r="AG228" s="252" t="str">
        <f>IF(ISNUMBER(SEARCH("C", 'Dry_Litterbag Placem_Collection'!$T155)),"YES","NO")</f>
        <v>YES</v>
      </c>
      <c r="AH228" s="252" t="str">
        <f>IF(ISNUMBER(SEARCH("H", 'Dry_Litterbag Placem_Collection'!$T155)),"YES","NO")</f>
        <v>YES</v>
      </c>
      <c r="AI228" s="252" t="str">
        <f>IF(ISNUMBER(SEARCH("R", 'Dry_Litterbag Placem_Collection'!$T155)),"YES","NO")</f>
        <v>NO</v>
      </c>
      <c r="AJ228" s="252" t="str">
        <f>IF(ISNUMBER(SEARCH("C", 'Dry_Litterbag Placem_Collection'!$S155)),"YES","NO")</f>
        <v>YES</v>
      </c>
      <c r="AK228" s="252" t="str">
        <f>IF(ISNUMBER(SEARCH("H", 'Dry_Litterbag Placem_Collection'!$S155)),"YES","NO")</f>
        <v>YES</v>
      </c>
      <c r="AL228" s="252" t="str">
        <f>IF(ISNUMBER(SEARCH("R", 'Dry_Litterbag Placem_Collection'!$S155)),"YES","NO")</f>
        <v>NO</v>
      </c>
    </row>
    <row r="229" spans="2:38">
      <c r="B229" t="str">
        <f>'Final data_for_R_analysis_Dryse'!A155</f>
        <v>Dry</v>
      </c>
      <c r="C229" s="260">
        <f>'Final data_for_R_analysis_Dryse'!B155</f>
        <v>154</v>
      </c>
      <c r="D229" t="s">
        <v>3824</v>
      </c>
      <c r="E229" t="s">
        <v>22</v>
      </c>
      <c r="F229" s="381">
        <v>2</v>
      </c>
      <c r="G229" s="16">
        <f>IF('Dry_Litterbag Placem_Collection'!E156="","",'Dry_Litterbag Placem_Collection'!E156)</f>
        <v>42939</v>
      </c>
      <c r="H229" t="str">
        <f>'Final data_for_R_analysis_Dryse'!K155</f>
        <v>G127</v>
      </c>
      <c r="I229" t="str">
        <f>'Final data_for_R_analysis_Dryse'!K375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30"/>
        <v>1.6992</v>
      </c>
      <c r="M229" s="237">
        <f>AVERAGE(Ashed_controlls!$K$1:$K$11)</f>
        <v>5.5147656768714146</v>
      </c>
      <c r="N229" s="194">
        <f t="shared" si="26"/>
        <v>1.6054931016186009</v>
      </c>
      <c r="O229" s="194">
        <f t="shared" si="31"/>
        <v>1.9502000000000002</v>
      </c>
      <c r="P229" s="237">
        <f>AVERAGE(Ashed_controlls!$K$12:$K$14)</f>
        <v>2.2816647271287041</v>
      </c>
      <c r="Q229" s="194">
        <f t="shared" si="27"/>
        <v>1.9057029744915361</v>
      </c>
      <c r="R229" s="16">
        <f>IF('Dry_Litterbag Placem_Collection'!G156="","",'Dry_Litterbag Placem_Collection'!G156)</f>
        <v>43010</v>
      </c>
      <c r="S229" s="194">
        <f>IFERROR(INDEX('Both teabags AfterDry'!$D$3:$D$2000,MATCH(H229,'Both teabags AfterDry'!$A$3:$A$2000,0)),"")</f>
        <v>1.1896</v>
      </c>
      <c r="T229" s="194">
        <f>IFERROR(INDEX('Both teabags AfterDry'!$D$3:$D$2000,MATCH(I229,'Both teabags AfterDry'!$A$3:$A$2000,0)),"")</f>
        <v>0.62509999999999999</v>
      </c>
      <c r="U229" s="194">
        <f t="shared" si="32"/>
        <v>1.0389999999999999</v>
      </c>
      <c r="V229" s="194">
        <f t="shared" si="33"/>
        <v>0.47449999999999998</v>
      </c>
      <c r="W229" s="194">
        <f>IFERROR(INDEX('Ashed teabags dry'!$K$2:$K$2000,MATCH(H229,'Ashed teabags dry'!$A$2:$A$2000,0)),"")</f>
        <v>12.964728312678373</v>
      </c>
      <c r="X229" s="194">
        <f>IFERROR(INDEX('Ashed teabags dry'!$K$2:$K$2000,MATCH(I229,'Ashed teabags dry'!$A$2:$A$2000,0)),"")</f>
        <v>87.866927592954596</v>
      </c>
      <c r="Y229" s="194">
        <f t="shared" si="28"/>
        <v>0.90429647283127168</v>
      </c>
      <c r="Z229" s="194">
        <f t="shared" si="28"/>
        <v>5.7571428571430439E-2</v>
      </c>
      <c r="AA229" s="194">
        <f t="shared" si="34"/>
        <v>0.43674845322001554</v>
      </c>
      <c r="AB229" s="194">
        <f t="shared" si="35"/>
        <v>0.28632440163592471</v>
      </c>
      <c r="AC229" s="194">
        <f t="shared" si="29"/>
        <v>3.0210074362082145E-2</v>
      </c>
      <c r="AD229">
        <f t="shared" si="36"/>
        <v>71</v>
      </c>
      <c r="AE229" s="194">
        <f t="shared" si="37"/>
        <v>0.48129637384796253</v>
      </c>
      <c r="AF229" s="194" t="str">
        <f t="shared" si="38"/>
        <v/>
      </c>
      <c r="AG229" s="252" t="str">
        <f>IF(ISNUMBER(SEARCH("C", 'Dry_Litterbag Placem_Collection'!$T156)),"YES","NO")</f>
        <v>NO</v>
      </c>
      <c r="AH229" s="252" t="str">
        <f>IF(ISNUMBER(SEARCH("H", 'Dry_Litterbag Placem_Collection'!$T156)),"YES","NO")</f>
        <v>YES</v>
      </c>
      <c r="AI229" s="252" t="str">
        <f>IF(ISNUMBER(SEARCH("R", 'Dry_Litterbag Placem_Collection'!$T156)),"YES","NO")</f>
        <v>NO</v>
      </c>
      <c r="AJ229" s="252" t="str">
        <f>IF(ISNUMBER(SEARCH("C", 'Dry_Litterbag Placem_Collection'!$S156)),"YES","NO")</f>
        <v>YES</v>
      </c>
      <c r="AK229" s="252" t="str">
        <f>IF(ISNUMBER(SEARCH("H", 'Dry_Litterbag Placem_Collection'!$S156)),"YES","NO")</f>
        <v>YES</v>
      </c>
      <c r="AL229" s="252" t="str">
        <f>IF(ISNUMBER(SEARCH("R", 'Dry_Litterbag Placem_Collection'!$S156)),"YES","NO")</f>
        <v>NO</v>
      </c>
    </row>
    <row r="230" spans="2:38">
      <c r="B230" t="str">
        <f>'Final data_for_R_analysis_Dryse'!A156</f>
        <v>Dry</v>
      </c>
      <c r="C230" s="260">
        <f>'Final data_for_R_analysis_Dryse'!B156</f>
        <v>155</v>
      </c>
      <c r="D230" t="s">
        <v>3824</v>
      </c>
      <c r="E230" t="s">
        <v>22</v>
      </c>
      <c r="F230" s="381">
        <v>3</v>
      </c>
      <c r="G230" s="16">
        <f>IF('Dry_Litterbag Placem_Collection'!E157="","",'Dry_Litterbag Placem_Collection'!E157)</f>
        <v>42939</v>
      </c>
      <c r="H230" t="str">
        <f>'Final data_for_R_analysis_Dryse'!K156</f>
        <v>G253</v>
      </c>
      <c r="I230" t="str">
        <f>'Final data_for_R_analysis_Dryse'!K376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30"/>
        <v>1.7671999999999999</v>
      </c>
      <c r="M230" s="237">
        <f>AVERAGE(Ashed_controlls!$K$1:$K$11)</f>
        <v>5.5147656768714146</v>
      </c>
      <c r="N230" s="194">
        <f t="shared" si="26"/>
        <v>1.6697430609583281</v>
      </c>
      <c r="O230" s="194">
        <f t="shared" si="31"/>
        <v>1.9811999999999999</v>
      </c>
      <c r="P230" s="237">
        <f>AVERAGE(Ashed_controlls!$K$12:$K$14)</f>
        <v>2.2816647271287041</v>
      </c>
      <c r="Q230" s="194">
        <f t="shared" si="27"/>
        <v>1.935995658426126</v>
      </c>
      <c r="R230" s="16">
        <f>IF('Dry_Litterbag Placem_Collection'!G157="","",'Dry_Litterbag Placem_Collection'!G157)</f>
        <v>43010</v>
      </c>
      <c r="S230" s="194">
        <f>IFERROR(INDEX('Both teabags AfterDry'!$D$3:$D$2000,MATCH(H230,'Both teabags AfterDry'!$A$3:$A$2000,0)),"")</f>
        <v>1.2484</v>
      </c>
      <c r="T230" s="194">
        <f>IFERROR(INDEX('Both teabags AfterDry'!$D$3:$D$2000,MATCH(I230,'Both teabags AfterDry'!$A$3:$A$2000,0)),"")</f>
        <v>1.8893</v>
      </c>
      <c r="U230" s="194">
        <f t="shared" si="32"/>
        <v>1.0977999999999999</v>
      </c>
      <c r="V230" s="194">
        <f t="shared" si="33"/>
        <v>1.7386999999999999</v>
      </c>
      <c r="W230" s="194">
        <f>IFERROR(INDEX('Ashed teabags dry'!$K$2:$K$2000,MATCH(H230,'Ashed teabags dry'!$A$2:$A$2000,0)),"")</f>
        <v>13.077679449360829</v>
      </c>
      <c r="X230" s="194">
        <f>IFERROR(INDEX('Ashed teabags dry'!$K$2:$K$2000,MATCH(I230,'Ashed teabags dry'!$A$2:$A$2000,0)),"")</f>
        <v>5.2232142857139205</v>
      </c>
      <c r="Y230" s="194">
        <f t="shared" si="28"/>
        <v>0.95423323500491675</v>
      </c>
      <c r="Z230" s="194">
        <f t="shared" si="28"/>
        <v>1.647883973214292</v>
      </c>
      <c r="AA230" s="194">
        <f t="shared" si="34"/>
        <v>0.42851492704677174</v>
      </c>
      <c r="AB230" s="194">
        <f t="shared" si="35"/>
        <v>0.28092665051047272</v>
      </c>
      <c r="AC230" s="194">
        <f t="shared" si="29"/>
        <v>0.8511816470466389</v>
      </c>
      <c r="AD230">
        <f t="shared" si="36"/>
        <v>71</v>
      </c>
      <c r="AE230" s="194">
        <f t="shared" si="37"/>
        <v>0.49107490849552049</v>
      </c>
      <c r="AF230" s="194">
        <f t="shared" si="38"/>
        <v>1.0626360321072836E-2</v>
      </c>
      <c r="AG230" s="252" t="str">
        <f>IF(ISNUMBER(SEARCH("C", 'Dry_Litterbag Placem_Collection'!$T157)),"YES","NO")</f>
        <v>YES</v>
      </c>
      <c r="AH230" s="252" t="str">
        <f>IF(ISNUMBER(SEARCH("H", 'Dry_Litterbag Placem_Collection'!$T157)),"YES","NO")</f>
        <v>YES</v>
      </c>
      <c r="AI230" s="252" t="str">
        <f>IF(ISNUMBER(SEARCH("R", 'Dry_Litterbag Placem_Collection'!$T157)),"YES","NO")</f>
        <v>NO</v>
      </c>
      <c r="AJ230" s="252" t="str">
        <f>IF(ISNUMBER(SEARCH("C", 'Dry_Litterbag Placem_Collection'!$S157)),"YES","NO")</f>
        <v>NO</v>
      </c>
      <c r="AK230" s="252" t="str">
        <f>IF(ISNUMBER(SEARCH("H", 'Dry_Litterbag Placem_Collection'!$S157)),"YES","NO")</f>
        <v>YES</v>
      </c>
      <c r="AL230" s="252" t="str">
        <f>IF(ISNUMBER(SEARCH("R", 'Dry_Litterbag Placem_Collection'!$S157)),"YES","NO")</f>
        <v>NO</v>
      </c>
    </row>
    <row r="231" spans="2:38">
      <c r="B231" t="str">
        <f>'Final data_for_R_analysis_Dryse'!A157</f>
        <v>Dry</v>
      </c>
      <c r="C231" s="260">
        <f>'Final data_for_R_analysis_Dryse'!B157</f>
        <v>156</v>
      </c>
      <c r="D231" t="s">
        <v>3824</v>
      </c>
      <c r="E231" t="s">
        <v>22</v>
      </c>
      <c r="F231" s="382">
        <v>4</v>
      </c>
      <c r="G231" s="16">
        <f>IF('Dry_Litterbag Placem_Collection'!E158="","",'Dry_Litterbag Placem_Collection'!E158)</f>
        <v>42939</v>
      </c>
      <c r="H231" t="str">
        <f>'Final data_for_R_analysis_Dryse'!K157</f>
        <v>G47</v>
      </c>
      <c r="I231" t="str">
        <f>'Final data_for_R_analysis_Dryse'!K377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30"/>
        <v>1.8342000000000001</v>
      </c>
      <c r="M231" s="237">
        <f>AVERAGE(Ashed_controlls!$K$1:$K$11)</f>
        <v>5.5147656768714146</v>
      </c>
      <c r="N231" s="194">
        <f t="shared" si="26"/>
        <v>1.7330481679548246</v>
      </c>
      <c r="O231" s="194">
        <f t="shared" si="31"/>
        <v>2.0832000000000002</v>
      </c>
      <c r="P231" s="237">
        <f>AVERAGE(Ashed_controlls!$K$12:$K$14)</f>
        <v>2.2816647271287041</v>
      </c>
      <c r="Q231" s="194">
        <f t="shared" si="27"/>
        <v>2.035668360404455</v>
      </c>
      <c r="R231" s="16">
        <f>IF('Dry_Litterbag Placem_Collection'!G158="","",'Dry_Litterbag Placem_Collection'!G158)</f>
        <v>43010</v>
      </c>
      <c r="S231" s="194">
        <f>IFERROR(INDEX('Both teabags AfterDry'!$D$3:$D$2000,MATCH(H231,'Both teabags AfterDry'!$A$3:$A$2000,0)),"")</f>
        <v>1.1167</v>
      </c>
      <c r="T231" s="194">
        <f>IFERROR(INDEX('Both teabags AfterDry'!$D$3:$D$2000,MATCH(I231,'Both teabags AfterDry'!$A$3:$A$2000,0)),"")</f>
        <v>0.79290000000000005</v>
      </c>
      <c r="U231" s="194">
        <f t="shared" si="32"/>
        <v>0.96609999999999996</v>
      </c>
      <c r="V231" s="194">
        <f t="shared" si="33"/>
        <v>0.64230000000000009</v>
      </c>
      <c r="W231" s="194">
        <f>IFERROR(INDEX('Ashed teabags dry'!$K$2:$K$2000,MATCH(H231,'Ashed teabags dry'!$A$2:$A$2000,0)),"")</f>
        <v>22.323571771483682</v>
      </c>
      <c r="X231" s="194">
        <f>IFERROR(INDEX('Ashed teabags dry'!$K$2:$K$2000,MATCH(I231,'Ashed teabags dry'!$A$2:$A$2000,0)),"")</f>
        <v>77.250247279920742</v>
      </c>
      <c r="Y231" s="194">
        <f t="shared" si="28"/>
        <v>0.75043197311569609</v>
      </c>
      <c r="Z231" s="194">
        <f t="shared" si="28"/>
        <v>0.14612166172106905</v>
      </c>
      <c r="AA231" s="194">
        <f t="shared" si="34"/>
        <v>0.56698723844399368</v>
      </c>
      <c r="AB231" s="194">
        <f t="shared" si="35"/>
        <v>0.3717065981248035</v>
      </c>
      <c r="AC231" s="194">
        <f t="shared" si="29"/>
        <v>7.178068125597678E-2</v>
      </c>
      <c r="AD231">
        <f t="shared" si="36"/>
        <v>71</v>
      </c>
      <c r="AE231" s="194">
        <f t="shared" si="37"/>
        <v>0.3266184816579647</v>
      </c>
      <c r="AF231" s="194" t="str">
        <f t="shared" si="38"/>
        <v/>
      </c>
      <c r="AG231" s="252" t="str">
        <f>IF(ISNUMBER(SEARCH("C", 'Dry_Litterbag Placem_Collection'!$T158)),"YES","NO")</f>
        <v>YES</v>
      </c>
      <c r="AH231" s="252" t="str">
        <f>IF(ISNUMBER(SEARCH("H", 'Dry_Litterbag Placem_Collection'!$T158)),"YES","NO")</f>
        <v>YES</v>
      </c>
      <c r="AI231" s="252" t="str">
        <f>IF(ISNUMBER(SEARCH("R", 'Dry_Litterbag Placem_Collection'!$T158)),"YES","NO")</f>
        <v>NO</v>
      </c>
      <c r="AJ231" s="252" t="str">
        <f>IF(ISNUMBER(SEARCH("C", 'Dry_Litterbag Placem_Collection'!$S158)),"YES","NO")</f>
        <v>NO</v>
      </c>
      <c r="AK231" s="252" t="str">
        <f>IF(ISNUMBER(SEARCH("H", 'Dry_Litterbag Placem_Collection'!$S158)),"YES","NO")</f>
        <v>YES</v>
      </c>
      <c r="AL231" s="252" t="str">
        <f>IF(ISNUMBER(SEARCH("R", 'Dry_Litterbag Placem_Collection'!$S158)),"YES","NO")</f>
        <v>YES</v>
      </c>
    </row>
    <row r="232" spans="2:38">
      <c r="B232" t="str">
        <f>'Final data_for_R_analysis_Dryse'!A158</f>
        <v>Dry</v>
      </c>
      <c r="C232" s="260">
        <f>'Final data_for_R_analysis_Dryse'!B158</f>
        <v>157</v>
      </c>
      <c r="D232" t="s">
        <v>3824</v>
      </c>
      <c r="E232" t="s">
        <v>22</v>
      </c>
      <c r="F232" s="382">
        <v>5</v>
      </c>
      <c r="G232" s="16">
        <f>IF('Dry_Litterbag Placem_Collection'!E159="","",'Dry_Litterbag Placem_Collection'!E159)</f>
        <v>42939</v>
      </c>
      <c r="H232" t="str">
        <f>'Final data_for_R_analysis_Dryse'!K158</f>
        <v>G328</v>
      </c>
      <c r="I232" t="str">
        <f>'Final data_for_R_analysis_Dryse'!K378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30"/>
        <v>1.8811999999999998</v>
      </c>
      <c r="M232" s="237">
        <f>AVERAGE(Ashed_controlls!$K$1:$K$11)</f>
        <v>5.5147656768714146</v>
      </c>
      <c r="N232" s="194">
        <f t="shared" si="26"/>
        <v>1.7774562280866948</v>
      </c>
      <c r="O232" s="194">
        <f t="shared" si="31"/>
        <v>1.9142000000000001</v>
      </c>
      <c r="P232" s="237">
        <f>AVERAGE(Ashed_controlls!$K$12:$K$14)</f>
        <v>2.2816647271287041</v>
      </c>
      <c r="Q232" s="194">
        <f t="shared" si="27"/>
        <v>1.8705243737933024</v>
      </c>
      <c r="R232" s="16">
        <f>IF('Dry_Litterbag Placem_Collection'!G159="","",'Dry_Litterbag Placem_Collection'!G159)</f>
        <v>43010</v>
      </c>
      <c r="S232" s="194" t="str">
        <f>IFERROR(INDEX('Both teabags AfterDry'!$D$3:$D$2000,MATCH(H232,'Both teabags AfterDry'!$A$3:$A$2000,0)),"")</f>
        <v/>
      </c>
      <c r="T232" s="194" t="str">
        <f>IFERROR(INDEX('Both teabags AfterDry'!$D$3:$D$2000,MATCH(I232,'Both teabags AfterDry'!$A$3:$A$2000,0)),"")</f>
        <v/>
      </c>
      <c r="U232" s="194" t="str">
        <f t="shared" si="32"/>
        <v/>
      </c>
      <c r="V232" s="194" t="str">
        <f t="shared" si="33"/>
        <v/>
      </c>
      <c r="W232" s="194" t="str">
        <f>IFERROR(INDEX('Ashed teabags dry'!$K$2:$K$2000,MATCH(H232,'Ashed teabags dry'!$A$2:$A$2000,0)),"")</f>
        <v/>
      </c>
      <c r="X232" s="194" t="str">
        <f>IFERROR(INDEX('Ashed teabags dry'!$K$2:$K$2000,MATCH(I232,'Ashed teabags dry'!$A$2:$A$2000,0)),"")</f>
        <v/>
      </c>
      <c r="Y232" s="194" t="str">
        <f t="shared" si="28"/>
        <v/>
      </c>
      <c r="Z232" s="194" t="str">
        <f t="shared" si="28"/>
        <v/>
      </c>
      <c r="AA232" s="194" t="str">
        <f t="shared" si="34"/>
        <v/>
      </c>
      <c r="AB232" s="194" t="str">
        <f t="shared" si="35"/>
        <v/>
      </c>
      <c r="AC232" s="194" t="str">
        <f t="shared" si="29"/>
        <v/>
      </c>
      <c r="AD232">
        <f t="shared" si="36"/>
        <v>71</v>
      </c>
      <c r="AE232" s="194" t="str">
        <f t="shared" si="37"/>
        <v/>
      </c>
      <c r="AF232" s="194" t="str">
        <f t="shared" si="38"/>
        <v/>
      </c>
      <c r="AG232" s="252" t="str">
        <f>IF(ISNUMBER(SEARCH("C", 'Dry_Litterbag Placem_Collection'!$T159)),"YES","NO")</f>
        <v>YES</v>
      </c>
      <c r="AH232" s="252" t="str">
        <f>IF(ISNUMBER(SEARCH("H", 'Dry_Litterbag Placem_Collection'!$T159)),"YES","NO")</f>
        <v>NO</v>
      </c>
      <c r="AI232" s="252" t="str">
        <f>IF(ISNUMBER(SEARCH("R", 'Dry_Litterbag Placem_Collection'!$T159)),"YES","NO")</f>
        <v>YES</v>
      </c>
      <c r="AJ232" s="252" t="str">
        <f>IF(ISNUMBER(SEARCH("C", 'Dry_Litterbag Placem_Collection'!$S159)),"YES","NO")</f>
        <v>YES</v>
      </c>
      <c r="AK232" s="252" t="str">
        <f>IF(ISNUMBER(SEARCH("H", 'Dry_Litterbag Placem_Collection'!$S159)),"YES","NO")</f>
        <v>YES</v>
      </c>
      <c r="AL232" s="252" t="str">
        <f>IF(ISNUMBER(SEARCH("R", 'Dry_Litterbag Placem_Collection'!$S159)),"YES","NO")</f>
        <v>YES</v>
      </c>
    </row>
    <row r="233" spans="2:38">
      <c r="B233" t="str">
        <f>'Final data_for_R_analysis_Dryse'!A159</f>
        <v>Dry</v>
      </c>
      <c r="C233" s="260">
        <f>'Final data_for_R_analysis_Dryse'!B159</f>
        <v>158</v>
      </c>
      <c r="D233" t="s">
        <v>3824</v>
      </c>
      <c r="E233" t="s">
        <v>22</v>
      </c>
      <c r="F233" s="382">
        <v>6</v>
      </c>
      <c r="G233" s="16">
        <f>IF('Dry_Litterbag Placem_Collection'!E160="","",'Dry_Litterbag Placem_Collection'!E160)</f>
        <v>42939</v>
      </c>
      <c r="H233" t="str">
        <f>'Final data_for_R_analysis_Dryse'!K159</f>
        <v>G21</v>
      </c>
      <c r="I233" t="str">
        <f>'Final data_for_R_analysis_Dryse'!K379</f>
        <v>R773</v>
      </c>
      <c r="J233">
        <f>IFERROR(INDEX('Green_rooibos initial weight'!$C$5:$C$2000,MATCH(H233, 'Green_rooibos initial weight'!$A$5:$A$2000,0)),"")</f>
        <v>2.04</v>
      </c>
      <c r="K233">
        <f>IFERROR(INDEX('Green_rooibos initial weight'!$C$5:$C$2000,MATCH(I233, 'Green_rooibos initial weight'!$A$5:$A$2000,0)),"")</f>
        <v>2.2320000000000002</v>
      </c>
      <c r="L233" s="194">
        <f t="shared" si="30"/>
        <v>1.7902</v>
      </c>
      <c r="M233" s="237">
        <f>AVERAGE(Ashed_controlls!$K$1:$K$11)</f>
        <v>5.5147656768714146</v>
      </c>
      <c r="N233" s="194">
        <f t="shared" si="26"/>
        <v>1.691474664852648</v>
      </c>
      <c r="O233" s="194">
        <f t="shared" si="31"/>
        <v>1.9822000000000002</v>
      </c>
      <c r="P233" s="237">
        <f>AVERAGE(Ashed_controlls!$K$12:$K$14)</f>
        <v>2.2816647271287041</v>
      </c>
      <c r="Q233" s="194">
        <f t="shared" si="27"/>
        <v>1.936972841778855</v>
      </c>
      <c r="R233" s="16">
        <f>IF('Dry_Litterbag Placem_Collection'!G160="","",'Dry_Litterbag Placem_Collection'!G160)</f>
        <v>43010</v>
      </c>
      <c r="S233" s="194">
        <f>IFERROR(INDEX('Both teabags AfterDry'!$D$3:$D$2000,MATCH(H233,'Both teabags AfterDry'!$A$3:$A$2000,0)),"")</f>
        <v>0</v>
      </c>
      <c r="T233" s="194">
        <f>IFERROR(INDEX('Both teabags AfterDry'!$D$3:$D$2000,MATCH(I233,'Both teabags AfterDry'!$A$3:$A$2000,0)),"")</f>
        <v>1.3551</v>
      </c>
      <c r="U233" s="194" t="str">
        <f t="shared" si="32"/>
        <v/>
      </c>
      <c r="V233" s="194">
        <f t="shared" si="33"/>
        <v>1.2044999999999999</v>
      </c>
      <c r="W233" s="194">
        <f>IFERROR(INDEX('Ashed teabags dry'!$K$2:$K$2000,MATCH(H233,'Ashed teabags dry'!$A$2:$A$2000,0)),"")</f>
        <v>0</v>
      </c>
      <c r="X233" s="194">
        <f>IFERROR(INDEX('Ashed teabags dry'!$K$2:$K$2000,MATCH(I233,'Ashed teabags dry'!$A$2:$A$2000,0)),"")</f>
        <v>86.234021632251483</v>
      </c>
      <c r="Y233" s="194" t="str">
        <f t="shared" si="28"/>
        <v/>
      </c>
      <c r="Z233" s="194">
        <f t="shared" si="28"/>
        <v>0.16581120943953098</v>
      </c>
      <c r="AA233" s="194" t="str">
        <f t="shared" si="34"/>
        <v/>
      </c>
      <c r="AB233" s="194" t="str">
        <f t="shared" si="35"/>
        <v/>
      </c>
      <c r="AC233" s="194">
        <f t="shared" si="29"/>
        <v>8.56032701456233E-2</v>
      </c>
      <c r="AD233">
        <f t="shared" si="36"/>
        <v>71</v>
      </c>
      <c r="AE233" s="194" t="str">
        <f t="shared" si="37"/>
        <v/>
      </c>
      <c r="AF233" s="194" t="str">
        <f t="shared" si="38"/>
        <v/>
      </c>
      <c r="AG233" s="252" t="str">
        <f>IF(ISNUMBER(SEARCH("C", 'Dry_Litterbag Placem_Collection'!$T160)),"YES","NO")</f>
        <v>YES</v>
      </c>
      <c r="AH233" s="252" t="str">
        <f>IF(ISNUMBER(SEARCH("H", 'Dry_Litterbag Placem_Collection'!$T160)),"YES","NO")</f>
        <v>YES</v>
      </c>
      <c r="AI233" s="252" t="str">
        <f>IF(ISNUMBER(SEARCH("R", 'Dry_Litterbag Placem_Collection'!$T160)),"YES","NO")</f>
        <v>NO</v>
      </c>
      <c r="AJ233" s="252" t="str">
        <f>IF(ISNUMBER(SEARCH("C", 'Dry_Litterbag Placem_Collection'!$S160)),"YES","NO")</f>
        <v>YES</v>
      </c>
      <c r="AK233" s="252" t="str">
        <f>IF(ISNUMBER(SEARCH("H", 'Dry_Litterbag Placem_Collection'!$S160)),"YES","NO")</f>
        <v>YES</v>
      </c>
      <c r="AL233" s="252" t="str">
        <f>IF(ISNUMBER(SEARCH("R", 'Dry_Litterbag Placem_Collection'!$S160)),"YES","NO")</f>
        <v>NO</v>
      </c>
    </row>
    <row r="234" spans="2:38">
      <c r="B234" t="str">
        <f>'Final data_for_R_analysis_Dryse'!A160</f>
        <v>Dry</v>
      </c>
      <c r="C234" s="260">
        <f>'Final data_for_R_analysis_Dryse'!B160</f>
        <v>159</v>
      </c>
      <c r="D234" t="s">
        <v>3824</v>
      </c>
      <c r="E234" t="s">
        <v>22</v>
      </c>
      <c r="F234" s="382">
        <v>7</v>
      </c>
      <c r="G234" s="16" t="str">
        <f>IF('Dry_Litterbag Placem_Collection'!E161="","",'Dry_Litterbag Placem_Collection'!E161)</f>
        <v/>
      </c>
      <c r="H234" t="str">
        <f>'Final data_for_R_analysis_Dryse'!K160</f>
        <v/>
      </c>
      <c r="I234" t="str">
        <f>'Final data_for_R_analysis_Dryse'!K380</f>
        <v/>
      </c>
      <c r="J234" t="str">
        <f>IFERROR(INDEX('Green_rooibos initial weight'!$C$5:$C$2000,MATCH(H234, 'Green_rooibos initial weight'!$A$5:$A$2000,0)),"")</f>
        <v/>
      </c>
      <c r="K234" t="str">
        <f>IFERROR(INDEX('Green_rooibos initial weight'!$C$5:$C$2000,MATCH(I234, 'Green_rooibos initial weight'!$A$5:$A$2000,0)),"")</f>
        <v/>
      </c>
      <c r="L234" s="194" t="str">
        <f t="shared" si="30"/>
        <v/>
      </c>
      <c r="M234" s="237">
        <f>AVERAGE(Ashed_controlls!$K$1:$K$11)</f>
        <v>5.5147656768714146</v>
      </c>
      <c r="N234" s="194" t="str">
        <f t="shared" si="26"/>
        <v/>
      </c>
      <c r="O234" s="194" t="str">
        <f t="shared" si="31"/>
        <v/>
      </c>
      <c r="P234" s="237">
        <f>AVERAGE(Ashed_controlls!$K$12:$K$14)</f>
        <v>2.2816647271287041</v>
      </c>
      <c r="Q234" s="194" t="str">
        <f t="shared" si="27"/>
        <v/>
      </c>
      <c r="R234" s="16" t="str">
        <f>IF('Dry_Litterbag Placem_Collection'!G161="","",'Dry_Litterbag Placem_Collection'!G161)</f>
        <v/>
      </c>
      <c r="S234" s="194" t="str">
        <f>IFERROR(INDEX('Both teabags AfterDry'!$D$3:$D$2000,MATCH(H234,'Both teabags AfterDry'!$A$3:$A$2000,0)),"")</f>
        <v/>
      </c>
      <c r="T234" s="194" t="str">
        <f>IFERROR(INDEX('Both teabags AfterDry'!$D$3:$D$2000,MATCH(I234,'Both teabags AfterDry'!$A$3:$A$2000,0)),"")</f>
        <v/>
      </c>
      <c r="U234" s="194" t="str">
        <f t="shared" si="32"/>
        <v/>
      </c>
      <c r="V234" s="194" t="str">
        <f t="shared" si="33"/>
        <v/>
      </c>
      <c r="W234" s="194" t="str">
        <f>IFERROR(INDEX('Ashed teabags dry'!$K$2:$K$2000,MATCH(H234,'Ashed teabags dry'!$A$2:$A$2000,0)),"")</f>
        <v/>
      </c>
      <c r="X234" s="194" t="str">
        <f>IFERROR(INDEX('Ashed teabags dry'!$K$2:$K$2000,MATCH(I234,'Ashed teabags dry'!$A$2:$A$2000,0)),"")</f>
        <v/>
      </c>
      <c r="Y234" s="194" t="str">
        <f t="shared" si="28"/>
        <v/>
      </c>
      <c r="Z234" s="194" t="str">
        <f t="shared" si="28"/>
        <v/>
      </c>
      <c r="AA234" s="194" t="str">
        <f t="shared" si="34"/>
        <v/>
      </c>
      <c r="AB234" s="194" t="str">
        <f t="shared" si="35"/>
        <v/>
      </c>
      <c r="AC234" s="194" t="str">
        <f t="shared" si="29"/>
        <v/>
      </c>
      <c r="AD234" t="str">
        <f t="shared" si="36"/>
        <v/>
      </c>
      <c r="AE234" s="194" t="str">
        <f t="shared" si="37"/>
        <v/>
      </c>
      <c r="AF234" s="194" t="str">
        <f t="shared" si="38"/>
        <v/>
      </c>
      <c r="AG234" s="252" t="str">
        <f>IF(ISNUMBER(SEARCH("C", 'Dry_Litterbag Placem_Collection'!$T161)),"YES","NO")</f>
        <v>NO</v>
      </c>
      <c r="AH234" s="252" t="str">
        <f>IF(ISNUMBER(SEARCH("H", 'Dry_Litterbag Placem_Collection'!$T161)),"YES","NO")</f>
        <v>NO</v>
      </c>
      <c r="AI234" s="252" t="str">
        <f>IF(ISNUMBER(SEARCH("R", 'Dry_Litterbag Placem_Collection'!$T161)),"YES","NO")</f>
        <v>NO</v>
      </c>
      <c r="AJ234" s="252" t="str">
        <f>IF(ISNUMBER(SEARCH("C", 'Dry_Litterbag Placem_Collection'!$S161)),"YES","NO")</f>
        <v>NO</v>
      </c>
      <c r="AK234" s="252" t="str">
        <f>IF(ISNUMBER(SEARCH("H", 'Dry_Litterbag Placem_Collection'!$S161)),"YES","NO")</f>
        <v>NO</v>
      </c>
      <c r="AL234" s="252" t="str">
        <f>IF(ISNUMBER(SEARCH("R", 'Dry_Litterbag Placem_Collection'!$S161)),"YES","NO")</f>
        <v>NO</v>
      </c>
    </row>
    <row r="235" spans="2:38">
      <c r="B235" t="str">
        <f>'Final data_for_R_analysis_Dryse'!A161</f>
        <v>Dry</v>
      </c>
      <c r="C235" s="260">
        <f>'Final data_for_R_analysis_Dryse'!B161</f>
        <v>160</v>
      </c>
      <c r="D235" t="s">
        <v>3824</v>
      </c>
      <c r="E235" t="s">
        <v>22</v>
      </c>
      <c r="F235" s="382">
        <v>8</v>
      </c>
      <c r="G235" s="16">
        <f>IF('Dry_Litterbag Placem_Collection'!E162="","",'Dry_Litterbag Placem_Collection'!E162)</f>
        <v>42939</v>
      </c>
      <c r="H235" t="str">
        <f>'Final data_for_R_analysis_Dryse'!K161</f>
        <v>G482</v>
      </c>
      <c r="I235" t="str">
        <f>'Final data_for_R_analysis_Dryse'!K381</f>
        <v>R401</v>
      </c>
      <c r="J235">
        <f>IFERROR(INDEX('Green_rooibos initial weight'!$C$5:$C$2000,MATCH(H235, 'Green_rooibos initial weight'!$A$5:$A$2000,0)),"")</f>
        <v>2.056</v>
      </c>
      <c r="K235">
        <f>IFERROR(INDEX('Green_rooibos initial weight'!$C$5:$C$2000,MATCH(I235, 'Green_rooibos initial weight'!$A$5:$A$2000,0)),"")</f>
        <v>2.214</v>
      </c>
      <c r="L235" s="194">
        <f t="shared" si="30"/>
        <v>1.8062</v>
      </c>
      <c r="M235" s="237">
        <f>AVERAGE(Ashed_controlls!$K$1:$K$11)</f>
        <v>5.5147656768714146</v>
      </c>
      <c r="N235" s="194">
        <f t="shared" si="26"/>
        <v>1.7065923023443486</v>
      </c>
      <c r="O235" s="194">
        <f t="shared" si="31"/>
        <v>1.9641999999999999</v>
      </c>
      <c r="P235" s="237">
        <f>AVERAGE(Ashed_controlls!$K$12:$K$14)</f>
        <v>2.2816647271287041</v>
      </c>
      <c r="Q235" s="194">
        <f t="shared" si="27"/>
        <v>1.919383541429738</v>
      </c>
      <c r="R235" s="16">
        <f>IF('Dry_Litterbag Placem_Collection'!G162="","",'Dry_Litterbag Placem_Collection'!G162)</f>
        <v>43010</v>
      </c>
      <c r="S235" s="194">
        <f>IFERROR(INDEX('Both teabags AfterDry'!$D$3:$D$2000,MATCH(H235,'Both teabags AfterDry'!$A$3:$A$2000,0)),"")</f>
        <v>1.4819</v>
      </c>
      <c r="T235" s="194">
        <f>IFERROR(INDEX('Both teabags AfterDry'!$D$3:$D$2000,MATCH(I235,'Both teabags AfterDry'!$A$3:$A$2000,0)),"")</f>
        <v>1.7884</v>
      </c>
      <c r="U235" s="194">
        <f t="shared" si="32"/>
        <v>1.3312999999999999</v>
      </c>
      <c r="V235" s="194">
        <f t="shared" si="33"/>
        <v>1.6377999999999999</v>
      </c>
      <c r="W235" s="194">
        <f>IFERROR(INDEX('Ashed teabags dry'!$K$2:$K$2000,MATCH(H235,'Ashed teabags dry'!$A$2:$A$2000,0)),"")</f>
        <v>15.061378659112389</v>
      </c>
      <c r="X235" s="194">
        <f>IFERROR(INDEX('Ashed teabags dry'!$K$2:$K$2000,MATCH(I235,'Ashed teabags dry'!$A$2:$A$2000,0)),"")</f>
        <v>5.077369439072041</v>
      </c>
      <c r="Y235" s="194">
        <f t="shared" si="28"/>
        <v>1.1307878659112367</v>
      </c>
      <c r="Z235" s="194">
        <f t="shared" si="28"/>
        <v>1.554642843326878</v>
      </c>
      <c r="AA235" s="194">
        <f t="shared" si="34"/>
        <v>0.33740011345540954</v>
      </c>
      <c r="AB235" s="194">
        <f t="shared" si="35"/>
        <v>0.22119342354796448</v>
      </c>
      <c r="AC235" s="194">
        <f t="shared" si="29"/>
        <v>0.80996987301914303</v>
      </c>
      <c r="AD235">
        <f t="shared" si="36"/>
        <v>71</v>
      </c>
      <c r="AE235" s="194">
        <f t="shared" si="37"/>
        <v>0.59928727618122379</v>
      </c>
      <c r="AF235" s="194">
        <f t="shared" si="38"/>
        <v>2.7602768002354269E-2</v>
      </c>
      <c r="AG235" s="252" t="str">
        <f>IF(ISNUMBER(SEARCH("C", 'Dry_Litterbag Placem_Collection'!$T162)),"YES","NO")</f>
        <v>NO</v>
      </c>
      <c r="AH235" s="252" t="str">
        <f>IF(ISNUMBER(SEARCH("H", 'Dry_Litterbag Placem_Collection'!$T162)),"YES","NO")</f>
        <v>YES</v>
      </c>
      <c r="AI235" s="252" t="str">
        <f>IF(ISNUMBER(SEARCH("R", 'Dry_Litterbag Placem_Collection'!$T162)),"YES","NO")</f>
        <v>NO</v>
      </c>
      <c r="AJ235" s="252" t="str">
        <f>IF(ISNUMBER(SEARCH("C", 'Dry_Litterbag Placem_Collection'!$S162)),"YES","NO")</f>
        <v>YES</v>
      </c>
      <c r="AK235" s="252" t="str">
        <f>IF(ISNUMBER(SEARCH("H", 'Dry_Litterbag Placem_Collection'!$S162)),"YES","NO")</f>
        <v>YES</v>
      </c>
      <c r="AL235" s="252" t="str">
        <f>IF(ISNUMBER(SEARCH("R", 'Dry_Litterbag Placem_Collection'!$S162)),"YES","NO")</f>
        <v>NO</v>
      </c>
    </row>
    <row r="236" spans="2:38">
      <c r="B236" t="str">
        <f>'Final data_for_R_analysis_Dryse'!A162</f>
        <v>Dry</v>
      </c>
      <c r="C236" s="260">
        <f>'Final data_for_R_analysis_Dryse'!B162</f>
        <v>161</v>
      </c>
      <c r="D236" t="s">
        <v>3825</v>
      </c>
      <c r="E236" t="s">
        <v>22</v>
      </c>
      <c r="F236" s="381">
        <v>1</v>
      </c>
      <c r="G236" s="16">
        <f>IF('Dry_Litterbag Placem_Collection'!E163="","",'Dry_Litterbag Placem_Collection'!E163)</f>
        <v>42940</v>
      </c>
      <c r="H236" t="str">
        <f>'Final data_for_R_analysis_Dryse'!K162</f>
        <v>G51</v>
      </c>
      <c r="I236" t="str">
        <f>'Final data_for_R_analysis_Dryse'!K382</f>
        <v>R673</v>
      </c>
      <c r="J236">
        <f>IFERROR(INDEX('Green_rooibos initial weight'!$C$5:$C$2000,MATCH(H236, 'Green_rooibos initial weight'!$A$5:$A$2000,0)),"")</f>
        <v>2.0259999999999998</v>
      </c>
      <c r="K236">
        <f>IFERROR(INDEX('Green_rooibos initial weight'!$C$5:$C$2000,MATCH(I236, 'Green_rooibos initial weight'!$A$5:$A$2000,0)),"")</f>
        <v>2.121</v>
      </c>
      <c r="L236" s="194">
        <f t="shared" si="30"/>
        <v>1.7761999999999998</v>
      </c>
      <c r="M236" s="237">
        <f>AVERAGE(Ashed_controlls!$K$1:$K$11)</f>
        <v>5.5147656768714146</v>
      </c>
      <c r="N236" s="194">
        <f t="shared" si="26"/>
        <v>1.6782467320474097</v>
      </c>
      <c r="O236" s="194">
        <f t="shared" si="31"/>
        <v>1.8712</v>
      </c>
      <c r="P236" s="237">
        <f>AVERAGE(Ashed_controlls!$K$12:$K$14)</f>
        <v>2.2816647271287041</v>
      </c>
      <c r="Q236" s="194">
        <f t="shared" si="27"/>
        <v>1.8285054896259676</v>
      </c>
      <c r="R236" s="16">
        <f>IF('Dry_Litterbag Placem_Collection'!G163="","",'Dry_Litterbag Placem_Collection'!G163)</f>
        <v>43009</v>
      </c>
      <c r="S236" s="194">
        <f>IFERROR(INDEX('Both teabags AfterDry'!$D$3:$D$2000,MATCH(H236,'Both teabags AfterDry'!$A$3:$A$2000,0)),"")</f>
        <v>0.81589999999999996</v>
      </c>
      <c r="T236" s="194">
        <f>IFERROR(INDEX('Both teabags AfterDry'!$D$3:$D$2000,MATCH(I236,'Both teabags AfterDry'!$A$3:$A$2000,0)),"")</f>
        <v>1.1623000000000001</v>
      </c>
      <c r="U236" s="194">
        <f t="shared" si="32"/>
        <v>0.6653</v>
      </c>
      <c r="V236" s="194">
        <f t="shared" si="33"/>
        <v>1.0117</v>
      </c>
      <c r="W236" s="194">
        <f>IFERROR(INDEX('Ashed teabags dry'!$K$2:$K$2000,MATCH(H236,'Ashed teabags dry'!$A$2:$A$2000,0)),"")</f>
        <v>26.176336226588315</v>
      </c>
      <c r="X236" s="194">
        <f>IFERROR(INDEX('Ashed teabags dry'!$K$2:$K$2000,MATCH(I236,'Ashed teabags dry'!$A$2:$A$2000,0)),"")</f>
        <v>32.285429141716598</v>
      </c>
      <c r="Y236" s="194">
        <f t="shared" si="28"/>
        <v>0.49114883508450791</v>
      </c>
      <c r="Z236" s="194">
        <f t="shared" si="28"/>
        <v>0.68506831337325313</v>
      </c>
      <c r="AA236" s="194">
        <f t="shared" si="34"/>
        <v>0.70734408373593471</v>
      </c>
      <c r="AB236" s="194">
        <f t="shared" si="35"/>
        <v>0.4637220121404228</v>
      </c>
      <c r="AC236" s="194">
        <f t="shared" si="29"/>
        <v>0.37466024425958283</v>
      </c>
      <c r="AD236">
        <f t="shared" si="36"/>
        <v>69</v>
      </c>
      <c r="AE236" s="194">
        <f t="shared" si="37"/>
        <v>0.15992389104995874</v>
      </c>
      <c r="AF236" s="194" t="str">
        <f t="shared" si="38"/>
        <v/>
      </c>
      <c r="AG236" s="252" t="str">
        <f>IF(ISNUMBER(SEARCH("C", 'Dry_Litterbag Placem_Collection'!$T163)),"YES","NO")</f>
        <v>NO</v>
      </c>
      <c r="AH236" s="252" t="str">
        <f>IF(ISNUMBER(SEARCH("H", 'Dry_Litterbag Placem_Collection'!$T163)),"YES","NO")</f>
        <v>YES</v>
      </c>
      <c r="AI236" s="252" t="str">
        <f>IF(ISNUMBER(SEARCH("R", 'Dry_Litterbag Placem_Collection'!$T163)),"YES","NO")</f>
        <v>NO</v>
      </c>
      <c r="AJ236" s="252" t="str">
        <f>IF(ISNUMBER(SEARCH("C", 'Dry_Litterbag Placem_Collection'!$S163)),"YES","NO")</f>
        <v>NO</v>
      </c>
      <c r="AK236" s="252" t="str">
        <f>IF(ISNUMBER(SEARCH("H", 'Dry_Litterbag Placem_Collection'!$S163)),"YES","NO")</f>
        <v>YES</v>
      </c>
      <c r="AL236" s="252" t="str">
        <f>IF(ISNUMBER(SEARCH("R", 'Dry_Litterbag Placem_Collection'!$S163)),"YES","NO")</f>
        <v>YES</v>
      </c>
    </row>
    <row r="237" spans="2:38">
      <c r="B237" t="str">
        <f>'Final data_for_R_analysis_Dryse'!A163</f>
        <v>Dry</v>
      </c>
      <c r="C237" s="260">
        <f>'Final data_for_R_analysis_Dryse'!B163</f>
        <v>162</v>
      </c>
      <c r="D237" t="s">
        <v>3825</v>
      </c>
      <c r="E237" t="s">
        <v>22</v>
      </c>
      <c r="F237" s="381">
        <v>2</v>
      </c>
      <c r="G237" s="16">
        <f>IF('Dry_Litterbag Placem_Collection'!E164="","",'Dry_Litterbag Placem_Collection'!E164)</f>
        <v>42940</v>
      </c>
      <c r="H237" t="str">
        <f>'Final data_for_R_analysis_Dryse'!K163</f>
        <v>G238</v>
      </c>
      <c r="I237" t="str">
        <f>'Final data_for_R_analysis_Dryse'!K383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30"/>
        <v>1.8662000000000001</v>
      </c>
      <c r="M237" s="237">
        <f>AVERAGE(Ashed_controlls!$K$1:$K$11)</f>
        <v>5.5147656768714146</v>
      </c>
      <c r="N237" s="194">
        <f t="shared" si="26"/>
        <v>1.7632834429382258</v>
      </c>
      <c r="O237" s="194">
        <f t="shared" si="31"/>
        <v>1.9712000000000001</v>
      </c>
      <c r="P237" s="237">
        <f>AVERAGE(Ashed_controlls!$K$12:$K$14)</f>
        <v>2.2816647271287041</v>
      </c>
      <c r="Q237" s="194">
        <f t="shared" si="27"/>
        <v>1.926223824898839</v>
      </c>
      <c r="R237" s="16">
        <f>IF('Dry_Litterbag Placem_Collection'!G164="","",'Dry_Litterbag Placem_Collection'!G164)</f>
        <v>43009</v>
      </c>
      <c r="S237" s="194">
        <f>IFERROR(INDEX('Both teabags AfterDry'!$D$3:$D$2000,MATCH(H237,'Both teabags AfterDry'!$A$3:$A$2000,0)),"")</f>
        <v>0.81089999999999995</v>
      </c>
      <c r="T237" s="194">
        <f>IFERROR(INDEX('Both teabags AfterDry'!$D$3:$D$2000,MATCH(I237,'Both teabags AfterDry'!$A$3:$A$2000,0)),"")</f>
        <v>2.4714999999999998</v>
      </c>
      <c r="U237" s="194">
        <f t="shared" si="32"/>
        <v>0.66029999999999989</v>
      </c>
      <c r="V237" s="194">
        <f t="shared" si="33"/>
        <v>2.3209</v>
      </c>
      <c r="W237" s="194">
        <f>IFERROR(INDEX('Ashed teabags dry'!$K$2:$K$2000,MATCH(H237,'Ashed teabags dry'!$A$2:$A$2000,0)),"")</f>
        <v>25.849056603773789</v>
      </c>
      <c r="X237" s="194">
        <f>IFERROR(INDEX('Ashed teabags dry'!$K$2:$K$2000,MATCH(I237,'Ashed teabags dry'!$A$2:$A$2000,0)),"")</f>
        <v>91.237322515213222</v>
      </c>
      <c r="Y237" s="194">
        <f t="shared" si="28"/>
        <v>0.48961867924528157</v>
      </c>
      <c r="Z237" s="194">
        <f t="shared" si="28"/>
        <v>0.20337298174441631</v>
      </c>
      <c r="AA237" s="194">
        <f t="shared" si="34"/>
        <v>0.72232559591814038</v>
      </c>
      <c r="AB237" s="194">
        <f t="shared" si="35"/>
        <v>0.47354362107697567</v>
      </c>
      <c r="AC237" s="194">
        <f t="shared" si="29"/>
        <v>0.10558117863332783</v>
      </c>
      <c r="AD237">
        <f t="shared" si="36"/>
        <v>69</v>
      </c>
      <c r="AE237" s="194">
        <f t="shared" si="37"/>
        <v>0.14213112123736293</v>
      </c>
      <c r="AF237" s="194" t="str">
        <f t="shared" si="38"/>
        <v/>
      </c>
      <c r="AG237" s="252" t="str">
        <f>IF(ISNUMBER(SEARCH("C", 'Dry_Litterbag Placem_Collection'!$T164)),"YES","NO")</f>
        <v>YES</v>
      </c>
      <c r="AH237" s="252" t="str">
        <f>IF(ISNUMBER(SEARCH("H", 'Dry_Litterbag Placem_Collection'!$T164)),"YES","NO")</f>
        <v>YES</v>
      </c>
      <c r="AI237" s="252" t="str">
        <f>IF(ISNUMBER(SEARCH("R", 'Dry_Litterbag Placem_Collection'!$T164)),"YES","NO")</f>
        <v>NO</v>
      </c>
      <c r="AJ237" s="252" t="str">
        <f>IF(ISNUMBER(SEARCH("C", 'Dry_Litterbag Placem_Collection'!$S164)),"YES","NO")</f>
        <v>NO</v>
      </c>
      <c r="AK237" s="252" t="str">
        <f>IF(ISNUMBER(SEARCH("H", 'Dry_Litterbag Placem_Collection'!$S164)),"YES","NO")</f>
        <v>NO</v>
      </c>
      <c r="AL237" s="252" t="str">
        <f>IF(ISNUMBER(SEARCH("R", 'Dry_Litterbag Placem_Collection'!$S164)),"YES","NO")</f>
        <v>YES</v>
      </c>
    </row>
    <row r="238" spans="2:38">
      <c r="B238" t="str">
        <f>'Final data_for_R_analysis_Dryse'!A164</f>
        <v>Dry</v>
      </c>
      <c r="C238" s="260">
        <f>'Final data_for_R_analysis_Dryse'!B164</f>
        <v>163</v>
      </c>
      <c r="D238" t="s">
        <v>3825</v>
      </c>
      <c r="E238" t="s">
        <v>22</v>
      </c>
      <c r="F238" s="381">
        <v>3</v>
      </c>
      <c r="G238" s="16">
        <f>IF('Dry_Litterbag Placem_Collection'!E165="","",'Dry_Litterbag Placem_Collection'!E165)</f>
        <v>42940</v>
      </c>
      <c r="H238" t="str">
        <f>'Final data_for_R_analysis_Dryse'!K164</f>
        <v>G59</v>
      </c>
      <c r="I238" t="str">
        <f>'Final data_for_R_analysis_Dryse'!K384</f>
        <v>R615</v>
      </c>
      <c r="J238">
        <f>IFERROR(INDEX('Green_rooibos initial weight'!$C$5:$C$2000,MATCH(H238, 'Green_rooibos initial weight'!$A$5:$A$2000,0)),"")</f>
        <v>1.929</v>
      </c>
      <c r="K238">
        <f>IFERROR(INDEX('Green_rooibos initial weight'!$C$5:$C$2000,MATCH(I238, 'Green_rooibos initial weight'!$A$5:$A$2000,0)),"")</f>
        <v>2.157</v>
      </c>
      <c r="L238" s="194">
        <f t="shared" si="30"/>
        <v>1.6792</v>
      </c>
      <c r="M238" s="237">
        <f>AVERAGE(Ashed_controlls!$K$1:$K$11)</f>
        <v>5.5147656768714146</v>
      </c>
      <c r="N238" s="194">
        <f t="shared" si="26"/>
        <v>1.5865960547539752</v>
      </c>
      <c r="O238" s="194">
        <f t="shared" si="31"/>
        <v>1.9072</v>
      </c>
      <c r="P238" s="237">
        <f>AVERAGE(Ashed_controlls!$K$12:$K$14)</f>
        <v>2.2816647271287041</v>
      </c>
      <c r="Q238" s="194">
        <f t="shared" si="27"/>
        <v>1.8636840903242013</v>
      </c>
      <c r="R238" s="16">
        <f>IF('Dry_Litterbag Placem_Collection'!G165="","",'Dry_Litterbag Placem_Collection'!G165)</f>
        <v>43009</v>
      </c>
      <c r="S238" s="194">
        <f>IFERROR(INDEX('Both teabags AfterDry'!$D$3:$D$2000,MATCH(H238,'Both teabags AfterDry'!$A$3:$A$2000,0)),"")</f>
        <v>0.95679999999999998</v>
      </c>
      <c r="T238" s="194">
        <f>IFERROR(INDEX('Both teabags AfterDry'!$D$3:$D$2000,MATCH(I238,'Both teabags AfterDry'!$A$3:$A$2000,0)),"")</f>
        <v>1.4872000000000001</v>
      </c>
      <c r="U238" s="194">
        <f t="shared" si="32"/>
        <v>0.80620000000000003</v>
      </c>
      <c r="V238" s="194">
        <f t="shared" si="33"/>
        <v>1.3366</v>
      </c>
      <c r="W238" s="194">
        <f>IFERROR(INDEX('Ashed teabags dry'!$K$2:$K$2000,MATCH(H238,'Ashed teabags dry'!$A$2:$A$2000,0)),"")</f>
        <v>34.794396746499032</v>
      </c>
      <c r="X238" s="194">
        <f>IFERROR(INDEX('Ashed teabags dry'!$K$2:$K$2000,MATCH(I238,'Ashed teabags dry'!$A$2:$A$2000,0)),"")</f>
        <v>30.154767848227259</v>
      </c>
      <c r="Y238" s="194">
        <f t="shared" si="28"/>
        <v>0.52568757342972483</v>
      </c>
      <c r="Z238" s="194">
        <f t="shared" si="28"/>
        <v>0.93355137294059443</v>
      </c>
      <c r="AA238" s="194">
        <f t="shared" si="34"/>
        <v>0.66866955716006726</v>
      </c>
      <c r="AB238" s="194">
        <f t="shared" si="35"/>
        <v>0.43836769067975911</v>
      </c>
      <c r="AC238" s="194">
        <f t="shared" si="29"/>
        <v>0.50091717678300107</v>
      </c>
      <c r="AD238">
        <f t="shared" si="36"/>
        <v>69</v>
      </c>
      <c r="AE238" s="194">
        <f t="shared" si="37"/>
        <v>0.20585563282652342</v>
      </c>
      <c r="AF238" s="194" t="str">
        <f t="shared" si="38"/>
        <v/>
      </c>
      <c r="AG238" s="252" t="str">
        <f>IF(ISNUMBER(SEARCH("C", 'Dry_Litterbag Placem_Collection'!$T165)),"YES","NO")</f>
        <v>NO</v>
      </c>
      <c r="AH238" s="252" t="str">
        <f>IF(ISNUMBER(SEARCH("H", 'Dry_Litterbag Placem_Collection'!$T165)),"YES","NO")</f>
        <v>YES</v>
      </c>
      <c r="AI238" s="252" t="str">
        <f>IF(ISNUMBER(SEARCH("R", 'Dry_Litterbag Placem_Collection'!$T165)),"YES","NO")</f>
        <v>NO</v>
      </c>
      <c r="AJ238" s="252" t="str">
        <f>IF(ISNUMBER(SEARCH("C", 'Dry_Litterbag Placem_Collection'!$S165)),"YES","NO")</f>
        <v>NO</v>
      </c>
      <c r="AK238" s="252" t="str">
        <f>IF(ISNUMBER(SEARCH("H", 'Dry_Litterbag Placem_Collection'!$S165)),"YES","NO")</f>
        <v>NO</v>
      </c>
      <c r="AL238" s="252" t="str">
        <f>IF(ISNUMBER(SEARCH("R", 'Dry_Litterbag Placem_Collection'!$S165)),"YES","NO")</f>
        <v>YES</v>
      </c>
    </row>
    <row r="239" spans="2:38">
      <c r="B239" t="str">
        <f>'Final data_for_R_analysis_Dryse'!A165</f>
        <v>Dry</v>
      </c>
      <c r="C239" s="260">
        <f>'Final data_for_R_analysis_Dryse'!B165</f>
        <v>164</v>
      </c>
      <c r="D239" t="s">
        <v>3825</v>
      </c>
      <c r="E239" t="s">
        <v>22</v>
      </c>
      <c r="F239" s="382">
        <v>4</v>
      </c>
      <c r="G239" s="16">
        <f>IF('Dry_Litterbag Placem_Collection'!E166="","",'Dry_Litterbag Placem_Collection'!E166)</f>
        <v>42940</v>
      </c>
      <c r="H239" t="str">
        <f>'Final data_for_R_analysis_Dryse'!K165</f>
        <v>G7</v>
      </c>
      <c r="I239" t="str">
        <f>'Final data_for_R_analysis_Dryse'!K385</f>
        <v>R514</v>
      </c>
      <c r="J239">
        <f>IFERROR(INDEX('Green_rooibos initial weight'!$C$5:$C$2000,MATCH(H239, 'Green_rooibos initial weight'!$A$5:$A$2000,0)),"")</f>
        <v>1.974</v>
      </c>
      <c r="K239">
        <f>IFERROR(INDEX('Green_rooibos initial weight'!$C$5:$C$2000,MATCH(I239, 'Green_rooibos initial weight'!$A$5:$A$2000,0)),"")</f>
        <v>2.1059999999999999</v>
      </c>
      <c r="L239" s="194">
        <f t="shared" si="30"/>
        <v>1.7242</v>
      </c>
      <c r="M239" s="237">
        <f>AVERAGE(Ashed_controlls!$K$1:$K$11)</f>
        <v>5.5147656768714146</v>
      </c>
      <c r="N239" s="194">
        <f t="shared" si="26"/>
        <v>1.6291144101993831</v>
      </c>
      <c r="O239" s="194">
        <f t="shared" si="31"/>
        <v>1.8561999999999999</v>
      </c>
      <c r="P239" s="237">
        <f>AVERAGE(Ashed_controlls!$K$12:$K$14)</f>
        <v>2.2816647271287041</v>
      </c>
      <c r="Q239" s="194">
        <f t="shared" si="27"/>
        <v>1.8138477393350367</v>
      </c>
      <c r="R239" s="16">
        <f>IF('Dry_Litterbag Placem_Collection'!G166="","",'Dry_Litterbag Placem_Collection'!G166)</f>
        <v>43009</v>
      </c>
      <c r="S239" s="194">
        <f>IFERROR(INDEX('Both teabags AfterDry'!$D$3:$D$2000,MATCH(H239,'Both teabags AfterDry'!$A$3:$A$2000,0)),"")</f>
        <v>0.82040000000000002</v>
      </c>
      <c r="T239" s="194">
        <f>IFERROR(INDEX('Both teabags AfterDry'!$D$3:$D$2000,MATCH(I239,'Both teabags AfterDry'!$A$3:$A$2000,0)),"")</f>
        <v>1.8293999999999999</v>
      </c>
      <c r="U239" s="194">
        <f t="shared" si="32"/>
        <v>0.66979999999999995</v>
      </c>
      <c r="V239" s="194">
        <f t="shared" si="33"/>
        <v>1.6787999999999998</v>
      </c>
      <c r="W239" s="194">
        <f>IFERROR(INDEX('Ashed teabags dry'!$K$2:$K$2000,MATCH(H239,'Ashed teabags dry'!$A$2:$A$2000,0)),"")</f>
        <v>25.538020086083453</v>
      </c>
      <c r="X239" s="194">
        <f>IFERROR(INDEX('Ashed teabags dry'!$K$2:$K$2000,MATCH(I239,'Ashed teabags dry'!$A$2:$A$2000,0)),"")</f>
        <v>11.27856101118171</v>
      </c>
      <c r="Y239" s="194">
        <f t="shared" si="28"/>
        <v>0.49874634146341301</v>
      </c>
      <c r="Z239" s="194">
        <f t="shared" si="28"/>
        <v>1.4894555177442814</v>
      </c>
      <c r="AA239" s="194">
        <f t="shared" si="34"/>
        <v>0.69385431843158718</v>
      </c>
      <c r="AB239" s="194">
        <f t="shared" si="35"/>
        <v>0.45487836552759642</v>
      </c>
      <c r="AC239" s="194">
        <f t="shared" si="29"/>
        <v>0.82115796460970936</v>
      </c>
      <c r="AD239">
        <f t="shared" si="36"/>
        <v>69</v>
      </c>
      <c r="AE239" s="194">
        <f t="shared" si="37"/>
        <v>0.17594498998623842</v>
      </c>
      <c r="AF239" s="194">
        <f t="shared" si="38"/>
        <v>7.239095169778424E-3</v>
      </c>
      <c r="AG239" s="252" t="str">
        <f>IF(ISNUMBER(SEARCH("C", 'Dry_Litterbag Placem_Collection'!$T166)),"YES","NO")</f>
        <v>NO</v>
      </c>
      <c r="AH239" s="252" t="str">
        <f>IF(ISNUMBER(SEARCH("H", 'Dry_Litterbag Placem_Collection'!$T166)),"YES","NO")</f>
        <v>NO</v>
      </c>
      <c r="AI239" s="252" t="str">
        <f>IF(ISNUMBER(SEARCH("R", 'Dry_Litterbag Placem_Collection'!$T166)),"YES","NO")</f>
        <v>NO</v>
      </c>
      <c r="AJ239" s="252" t="str">
        <f>IF(ISNUMBER(SEARCH("C", 'Dry_Litterbag Placem_Collection'!$S166)),"YES","NO")</f>
        <v>NO</v>
      </c>
      <c r="AK239" s="252" t="str">
        <f>IF(ISNUMBER(SEARCH("H", 'Dry_Litterbag Placem_Collection'!$S166)),"YES","NO")</f>
        <v>NO</v>
      </c>
      <c r="AL239" s="252" t="str">
        <f>IF(ISNUMBER(SEARCH("R", 'Dry_Litterbag Placem_Collection'!$S166)),"YES","NO")</f>
        <v>YES</v>
      </c>
    </row>
    <row r="240" spans="2:38">
      <c r="B240" t="str">
        <f>'Final data_for_R_analysis_Dryse'!A166</f>
        <v>Dry</v>
      </c>
      <c r="C240" s="260">
        <f>'Final data_for_R_analysis_Dryse'!B166</f>
        <v>165</v>
      </c>
      <c r="D240" t="s">
        <v>3825</v>
      </c>
      <c r="E240" t="s">
        <v>22</v>
      </c>
      <c r="F240" s="382">
        <v>5</v>
      </c>
      <c r="G240" s="16">
        <f>IF('Dry_Litterbag Placem_Collection'!E167="","",'Dry_Litterbag Placem_Collection'!E167)</f>
        <v>42940</v>
      </c>
      <c r="H240" t="str">
        <f>'Final data_for_R_analysis_Dryse'!K166</f>
        <v>G85</v>
      </c>
      <c r="I240" t="str">
        <f>'Final data_for_R_analysis_Dryse'!K386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30"/>
        <v>1.8862000000000001</v>
      </c>
      <c r="M240" s="237">
        <f>AVERAGE(Ashed_controlls!$K$1:$K$11)</f>
        <v>5.5147656768714146</v>
      </c>
      <c r="N240" s="194">
        <f t="shared" si="26"/>
        <v>1.7821804898028515</v>
      </c>
      <c r="O240" s="194">
        <f t="shared" si="31"/>
        <v>1.9371999999999998</v>
      </c>
      <c r="P240" s="237">
        <f>AVERAGE(Ashed_controlls!$K$12:$K$14)</f>
        <v>2.2816647271287041</v>
      </c>
      <c r="Q240" s="194">
        <f t="shared" si="27"/>
        <v>1.8929995909060626</v>
      </c>
      <c r="R240" s="16">
        <f>IF('Dry_Litterbag Placem_Collection'!G167="","",'Dry_Litterbag Placem_Collection'!G167)</f>
        <v>43009</v>
      </c>
      <c r="S240" s="194">
        <f>IFERROR(INDEX('Both teabags AfterDry'!$D$3:$D$2000,MATCH(H240,'Both teabags AfterDry'!$A$3:$A$2000,0)),"")</f>
        <v>0.84360000000000002</v>
      </c>
      <c r="T240" s="194">
        <f>IFERROR(INDEX('Both teabags AfterDry'!$D$3:$D$2000,MATCH(I240,'Both teabags AfterDry'!$A$3:$A$2000,0)),"")</f>
        <v>1.7946</v>
      </c>
      <c r="U240" s="194">
        <f t="shared" si="32"/>
        <v>0.69300000000000006</v>
      </c>
      <c r="V240" s="194">
        <f t="shared" si="33"/>
        <v>1.6439999999999999</v>
      </c>
      <c r="W240" s="194">
        <f>IFERROR(INDEX('Ashed teabags dry'!$K$2:$K$2000,MATCH(H240,'Ashed teabags dry'!$A$2:$A$2000,0)),"")</f>
        <v>25.443786982247975</v>
      </c>
      <c r="X240" s="194">
        <f>IFERROR(INDEX('Ashed teabags dry'!$K$2:$K$2000,MATCH(I240,'Ashed teabags dry'!$A$2:$A$2000,0)),"")</f>
        <v>16.392649903288074</v>
      </c>
      <c r="Y240" s="194">
        <f t="shared" si="28"/>
        <v>0.51667455621302161</v>
      </c>
      <c r="Z240" s="194">
        <f t="shared" si="28"/>
        <v>1.3745048355899441</v>
      </c>
      <c r="AA240" s="194">
        <f t="shared" si="34"/>
        <v>0.71008853526941196</v>
      </c>
      <c r="AB240" s="194">
        <f t="shared" si="35"/>
        <v>0.46552122502222737</v>
      </c>
      <c r="AC240" s="194">
        <f t="shared" si="29"/>
        <v>0.72609885506211491</v>
      </c>
      <c r="AD240">
        <f t="shared" si="36"/>
        <v>69</v>
      </c>
      <c r="AE240" s="194">
        <f t="shared" si="37"/>
        <v>0.15666444742350116</v>
      </c>
      <c r="AF240" s="194">
        <f t="shared" si="38"/>
        <v>1.2864391734823748E-2</v>
      </c>
      <c r="AG240" s="252" t="str">
        <f>IF(ISNUMBER(SEARCH("C", 'Dry_Litterbag Placem_Collection'!$T167)),"YES","NO")</f>
        <v>NO</v>
      </c>
      <c r="AH240" s="252" t="str">
        <f>IF(ISNUMBER(SEARCH("H", 'Dry_Litterbag Placem_Collection'!$T167)),"YES","NO")</f>
        <v>NO</v>
      </c>
      <c r="AI240" s="252" t="str">
        <f>IF(ISNUMBER(SEARCH("R", 'Dry_Litterbag Placem_Collection'!$T167)),"YES","NO")</f>
        <v>NO</v>
      </c>
      <c r="AJ240" s="252" t="str">
        <f>IF(ISNUMBER(SEARCH("C", 'Dry_Litterbag Placem_Collection'!$S167)),"YES","NO")</f>
        <v>NO</v>
      </c>
      <c r="AK240" s="252" t="str">
        <f>IF(ISNUMBER(SEARCH("H", 'Dry_Litterbag Placem_Collection'!$S167)),"YES","NO")</f>
        <v>NO</v>
      </c>
      <c r="AL240" s="252" t="str">
        <f>IF(ISNUMBER(SEARCH("R", 'Dry_Litterbag Placem_Collection'!$S167)),"YES","NO")</f>
        <v>NO</v>
      </c>
    </row>
    <row r="241" spans="2:38">
      <c r="B241" t="str">
        <f>'Final data_for_R_analysis_Dryse'!A167</f>
        <v>Dry</v>
      </c>
      <c r="C241" s="260">
        <f>'Final data_for_R_analysis_Dryse'!B167</f>
        <v>166</v>
      </c>
      <c r="D241" t="s">
        <v>3825</v>
      </c>
      <c r="E241" t="s">
        <v>22</v>
      </c>
      <c r="F241" s="382">
        <v>6</v>
      </c>
      <c r="G241" s="16">
        <f>IF('Dry_Litterbag Placem_Collection'!E168="","",'Dry_Litterbag Placem_Collection'!E168)</f>
        <v>42940</v>
      </c>
      <c r="H241" t="str">
        <f>'Final data_for_R_analysis_Dryse'!K167</f>
        <v>G1</v>
      </c>
      <c r="I241" t="str">
        <f>'Final data_for_R_analysis_Dryse'!K387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30"/>
        <v>1.7372000000000001</v>
      </c>
      <c r="M241" s="237">
        <f>AVERAGE(Ashed_controlls!$K$1:$K$11)</f>
        <v>5.5147656768714146</v>
      </c>
      <c r="N241" s="194">
        <f t="shared" si="26"/>
        <v>1.64139749066139</v>
      </c>
      <c r="O241" s="194">
        <f t="shared" si="31"/>
        <v>1.9472</v>
      </c>
      <c r="P241" s="237">
        <f>AVERAGE(Ashed_controlls!$K$12:$K$14)</f>
        <v>2.2816647271287041</v>
      </c>
      <c r="Q241" s="194">
        <f t="shared" si="27"/>
        <v>1.90277142443335</v>
      </c>
      <c r="R241" s="16">
        <f>IF('Dry_Litterbag Placem_Collection'!G168="","",'Dry_Litterbag Placem_Collection'!G168)</f>
        <v>43009</v>
      </c>
      <c r="S241" s="194" t="str">
        <f>IFERROR(INDEX('Both teabags AfterDry'!$D$3:$D$2000,MATCH(H241,'Both teabags AfterDry'!$A$3:$A$2000,0)),"")</f>
        <v/>
      </c>
      <c r="T241" s="194">
        <f>IFERROR(INDEX('Both teabags AfterDry'!$D$3:$D$2000,MATCH(I241,'Both teabags AfterDry'!$A$3:$A$2000,0)),"")</f>
        <v>1.6897</v>
      </c>
      <c r="U241" s="194" t="str">
        <f t="shared" si="32"/>
        <v/>
      </c>
      <c r="V241" s="194">
        <f t="shared" si="33"/>
        <v>1.5390999999999999</v>
      </c>
      <c r="W241" s="194">
        <f>IFERROR(INDEX('Ashed teabags dry'!$K$2:$K$2000,MATCH(H241,'Ashed teabags dry'!$A$2:$A$2000,0)),"")</f>
        <v>26.737451737451874</v>
      </c>
      <c r="X241" s="194">
        <f>IFERROR(INDEX('Ashed teabags dry'!$K$2:$K$2000,MATCH(I241,'Ashed teabags dry'!$A$2:$A$2000,0)),"")</f>
        <v>8.4949215143121215</v>
      </c>
      <c r="Y241" s="194" t="str">
        <f t="shared" si="28"/>
        <v/>
      </c>
      <c r="Z241" s="194">
        <f t="shared" si="28"/>
        <v>1.408354662973222</v>
      </c>
      <c r="AA241" s="194" t="str">
        <f t="shared" si="34"/>
        <v/>
      </c>
      <c r="AB241" s="194" t="str">
        <f t="shared" si="35"/>
        <v/>
      </c>
      <c r="AC241" s="194">
        <f t="shared" si="29"/>
        <v>0.74015966652044585</v>
      </c>
      <c r="AD241">
        <f t="shared" si="36"/>
        <v>69</v>
      </c>
      <c r="AE241" s="194" t="str">
        <f t="shared" si="37"/>
        <v/>
      </c>
      <c r="AF241" s="194" t="str">
        <f t="shared" si="38"/>
        <v/>
      </c>
      <c r="AG241" s="252" t="str">
        <f>IF(ISNUMBER(SEARCH("C", 'Dry_Litterbag Placem_Collection'!$T168)),"YES","NO")</f>
        <v>NO</v>
      </c>
      <c r="AH241" s="252" t="str">
        <f>IF(ISNUMBER(SEARCH("H", 'Dry_Litterbag Placem_Collection'!$T168)),"YES","NO")</f>
        <v>NO</v>
      </c>
      <c r="AI241" s="252" t="str">
        <f>IF(ISNUMBER(SEARCH("R", 'Dry_Litterbag Placem_Collection'!$T168)),"YES","NO")</f>
        <v>NO</v>
      </c>
      <c r="AJ241" s="252" t="str">
        <f>IF(ISNUMBER(SEARCH("C", 'Dry_Litterbag Placem_Collection'!$S168)),"YES","NO")</f>
        <v>NO</v>
      </c>
      <c r="AK241" s="252" t="str">
        <f>IF(ISNUMBER(SEARCH("H", 'Dry_Litterbag Placem_Collection'!$S168)),"YES","NO")</f>
        <v>NO</v>
      </c>
      <c r="AL241" s="252" t="str">
        <f>IF(ISNUMBER(SEARCH("R", 'Dry_Litterbag Placem_Collection'!$S168)),"YES","NO")</f>
        <v>YES</v>
      </c>
    </row>
    <row r="242" spans="2:38">
      <c r="B242" t="str">
        <f>'Final data_for_R_analysis_Dryse'!A168</f>
        <v>Dry</v>
      </c>
      <c r="C242" s="260">
        <f>'Final data_for_R_analysis_Dryse'!B168</f>
        <v>167</v>
      </c>
      <c r="D242" t="s">
        <v>3825</v>
      </c>
      <c r="E242" t="s">
        <v>22</v>
      </c>
      <c r="F242" s="382">
        <v>7</v>
      </c>
      <c r="G242" s="16" t="str">
        <f>IF('Dry_Litterbag Placem_Collection'!E169="","",'Dry_Litterbag Placem_Collection'!E169)</f>
        <v/>
      </c>
      <c r="H242" t="str">
        <f>'Final data_for_R_analysis_Dryse'!K168</f>
        <v/>
      </c>
      <c r="I242" t="str">
        <f>'Final data_for_R_analysis_Dryse'!K388</f>
        <v/>
      </c>
      <c r="J242" t="str">
        <f>IFERROR(INDEX('Green_rooibos initial weight'!$C$5:$C$2000,MATCH(H242, 'Green_rooibos initial weight'!$A$5:$A$2000,0)),"")</f>
        <v/>
      </c>
      <c r="K242" t="str">
        <f>IFERROR(INDEX('Green_rooibos initial weight'!$C$5:$C$2000,MATCH(I242, 'Green_rooibos initial weight'!$A$5:$A$2000,0)),"")</f>
        <v/>
      </c>
      <c r="L242" s="194" t="str">
        <f t="shared" si="30"/>
        <v/>
      </c>
      <c r="M242" s="237">
        <f>AVERAGE(Ashed_controlls!$K$1:$K$11)</f>
        <v>5.5147656768714146</v>
      </c>
      <c r="N242" s="194" t="str">
        <f t="shared" si="26"/>
        <v/>
      </c>
      <c r="O242" s="194" t="str">
        <f t="shared" si="31"/>
        <v/>
      </c>
      <c r="P242" s="237">
        <f>AVERAGE(Ashed_controlls!$K$12:$K$14)</f>
        <v>2.2816647271287041</v>
      </c>
      <c r="Q242" s="194" t="str">
        <f t="shared" si="27"/>
        <v/>
      </c>
      <c r="R242" s="16" t="str">
        <f>IF('Dry_Litterbag Placem_Collection'!G169="","",'Dry_Litterbag Placem_Collection'!G169)</f>
        <v/>
      </c>
      <c r="S242" s="194" t="str">
        <f>IFERROR(INDEX('Both teabags AfterDry'!$D$3:$D$2000,MATCH(H242,'Both teabags AfterDry'!$A$3:$A$2000,0)),"")</f>
        <v/>
      </c>
      <c r="T242" s="194" t="str">
        <f>IFERROR(INDEX('Both teabags AfterDry'!$D$3:$D$2000,MATCH(I242,'Both teabags AfterDry'!$A$3:$A$2000,0)),"")</f>
        <v/>
      </c>
      <c r="U242" s="194" t="str">
        <f t="shared" si="32"/>
        <v/>
      </c>
      <c r="V242" s="194" t="str">
        <f t="shared" si="33"/>
        <v/>
      </c>
      <c r="W242" s="194" t="str">
        <f>IFERROR(INDEX('Ashed teabags dry'!$K$2:$K$2000,MATCH(H242,'Ashed teabags dry'!$A$2:$A$2000,0)),"")</f>
        <v/>
      </c>
      <c r="X242" s="194" t="str">
        <f>IFERROR(INDEX('Ashed teabags dry'!$K$2:$K$2000,MATCH(I242,'Ashed teabags dry'!$A$2:$A$2000,0)),"")</f>
        <v/>
      </c>
      <c r="Y242" s="194" t="str">
        <f t="shared" si="28"/>
        <v/>
      </c>
      <c r="Z242" s="194" t="str">
        <f t="shared" si="28"/>
        <v/>
      </c>
      <c r="AA242" s="194" t="str">
        <f t="shared" si="34"/>
        <v/>
      </c>
      <c r="AB242" s="194" t="str">
        <f t="shared" si="35"/>
        <v/>
      </c>
      <c r="AC242" s="194" t="str">
        <f t="shared" si="29"/>
        <v/>
      </c>
      <c r="AD242" t="str">
        <f t="shared" si="36"/>
        <v/>
      </c>
      <c r="AE242" s="194" t="str">
        <f t="shared" si="37"/>
        <v/>
      </c>
      <c r="AF242" s="194" t="str">
        <f t="shared" si="38"/>
        <v/>
      </c>
      <c r="AG242" s="252" t="str">
        <f>IF(ISNUMBER(SEARCH("C", 'Dry_Litterbag Placem_Collection'!$T169)),"YES","NO")</f>
        <v>NO</v>
      </c>
      <c r="AH242" s="252" t="str">
        <f>IF(ISNUMBER(SEARCH("H", 'Dry_Litterbag Placem_Collection'!$T169)),"YES","NO")</f>
        <v>NO</v>
      </c>
      <c r="AI242" s="252" t="str">
        <f>IF(ISNUMBER(SEARCH("R", 'Dry_Litterbag Placem_Collection'!$T169)),"YES","NO")</f>
        <v>NO</v>
      </c>
      <c r="AJ242" s="252" t="str">
        <f>IF(ISNUMBER(SEARCH("C", 'Dry_Litterbag Placem_Collection'!$S169)),"YES","NO")</f>
        <v>NO</v>
      </c>
      <c r="AK242" s="252" t="str">
        <f>IF(ISNUMBER(SEARCH("H", 'Dry_Litterbag Placem_Collection'!$S169)),"YES","NO")</f>
        <v>NO</v>
      </c>
      <c r="AL242" s="252" t="str">
        <f>IF(ISNUMBER(SEARCH("R", 'Dry_Litterbag Placem_Collection'!$S169)),"YES","NO")</f>
        <v>NO</v>
      </c>
    </row>
    <row r="243" spans="2:38">
      <c r="B243" t="str">
        <f>'Final data_for_R_analysis_Dryse'!A169</f>
        <v>Dry</v>
      </c>
      <c r="C243" s="260">
        <f>'Final data_for_R_analysis_Dryse'!B169</f>
        <v>168</v>
      </c>
      <c r="D243" t="s">
        <v>3825</v>
      </c>
      <c r="E243" t="s">
        <v>22</v>
      </c>
      <c r="F243" s="382">
        <v>8</v>
      </c>
      <c r="G243" s="16">
        <f>IF('Dry_Litterbag Placem_Collection'!E170="","",'Dry_Litterbag Placem_Collection'!E170)</f>
        <v>42940</v>
      </c>
      <c r="H243" t="str">
        <f>'Final data_for_R_analysis_Dryse'!K169</f>
        <v>G70</v>
      </c>
      <c r="I243" t="str">
        <f>'Final data_for_R_analysis_Dryse'!K389</f>
        <v>R690</v>
      </c>
      <c r="J243">
        <f>IFERROR(INDEX('Green_rooibos initial weight'!$C$5:$C$2000,MATCH(H243, 'Green_rooibos initial weight'!$A$5:$A$2000,0)),"")</f>
        <v>2.0939999999999999</v>
      </c>
      <c r="K243">
        <f>IFERROR(INDEX('Green_rooibos initial weight'!$C$5:$C$2000,MATCH(I243, 'Green_rooibos initial weight'!$A$5:$A$2000,0)),"")</f>
        <v>2.141</v>
      </c>
      <c r="L243" s="194">
        <f t="shared" si="30"/>
        <v>1.8441999999999998</v>
      </c>
      <c r="M243" s="237">
        <f>AVERAGE(Ashed_controlls!$K$1:$K$11)</f>
        <v>5.5147656768714146</v>
      </c>
      <c r="N243" s="194">
        <f t="shared" si="26"/>
        <v>1.7424966913871371</v>
      </c>
      <c r="O243" s="194">
        <f t="shared" si="31"/>
        <v>1.8912</v>
      </c>
      <c r="P243" s="237">
        <f>AVERAGE(Ashed_controlls!$K$12:$K$14)</f>
        <v>2.2816647271287041</v>
      </c>
      <c r="Q243" s="194">
        <f t="shared" si="27"/>
        <v>1.8480491566805419</v>
      </c>
      <c r="R243" s="16">
        <f>IF('Dry_Litterbag Placem_Collection'!G170="","",'Dry_Litterbag Placem_Collection'!G170)</f>
        <v>43009</v>
      </c>
      <c r="S243" s="194" t="str">
        <f>IFERROR(INDEX('Both teabags AfterDry'!$D$3:$D$2000,MATCH(H243,'Both teabags AfterDry'!$A$3:$A$2000,0)),"")</f>
        <v/>
      </c>
      <c r="T243" s="194" t="str">
        <f>IFERROR(INDEX('Both teabags AfterDry'!$D$3:$D$2000,MATCH(I243,'Both teabags AfterDry'!$A$3:$A$2000,0)),"")</f>
        <v/>
      </c>
      <c r="U243" s="194" t="str">
        <f t="shared" si="32"/>
        <v/>
      </c>
      <c r="V243" s="194" t="str">
        <f t="shared" si="33"/>
        <v/>
      </c>
      <c r="W243" s="194" t="str">
        <f>IFERROR(INDEX('Ashed teabags dry'!$K$2:$K$2000,MATCH(H243,'Ashed teabags dry'!$A$2:$A$2000,0)),"")</f>
        <v/>
      </c>
      <c r="X243" s="194" t="str">
        <f>IFERROR(INDEX('Ashed teabags dry'!$K$2:$K$2000,MATCH(I243,'Ashed teabags dry'!$A$2:$A$2000,0)),"")</f>
        <v/>
      </c>
      <c r="Y243" s="194" t="str">
        <f t="shared" si="28"/>
        <v/>
      </c>
      <c r="Z243" s="194" t="str">
        <f t="shared" si="28"/>
        <v/>
      </c>
      <c r="AA243" s="194" t="str">
        <f t="shared" si="34"/>
        <v/>
      </c>
      <c r="AB243" s="194" t="str">
        <f t="shared" si="35"/>
        <v/>
      </c>
      <c r="AC243" s="194" t="str">
        <f t="shared" si="29"/>
        <v/>
      </c>
      <c r="AD243">
        <f t="shared" si="36"/>
        <v>69</v>
      </c>
      <c r="AE243" s="194" t="str">
        <f t="shared" si="37"/>
        <v/>
      </c>
      <c r="AF243" s="194" t="str">
        <f t="shared" si="38"/>
        <v/>
      </c>
      <c r="AG243" s="252" t="str">
        <f>IF(ISNUMBER(SEARCH("C", 'Dry_Litterbag Placem_Collection'!$T170)),"YES","NO")</f>
        <v>NO</v>
      </c>
      <c r="AH243" s="252" t="str">
        <f>IF(ISNUMBER(SEARCH("H", 'Dry_Litterbag Placem_Collection'!$T170)),"YES","NO")</f>
        <v>YES</v>
      </c>
      <c r="AI243" s="252" t="str">
        <f>IF(ISNUMBER(SEARCH("R", 'Dry_Litterbag Placem_Collection'!$T170)),"YES","NO")</f>
        <v>NO</v>
      </c>
      <c r="AJ243" s="252" t="str">
        <f>IF(ISNUMBER(SEARCH("C", 'Dry_Litterbag Placem_Collection'!$S170)),"YES","NO")</f>
        <v>NO</v>
      </c>
      <c r="AK243" s="252" t="str">
        <f>IF(ISNUMBER(SEARCH("H", 'Dry_Litterbag Placem_Collection'!$S170)),"YES","NO")</f>
        <v>NO</v>
      </c>
      <c r="AL243" s="252" t="str">
        <f>IF(ISNUMBER(SEARCH("R", 'Dry_Litterbag Placem_Collection'!$S170)),"YES","NO")</f>
        <v>YES</v>
      </c>
    </row>
    <row r="244" spans="2:38">
      <c r="B244" t="str">
        <f>'Final data_for_R_analysis_Dryse'!A170</f>
        <v>Dry</v>
      </c>
      <c r="C244" s="260">
        <f>'Final data_for_R_analysis_Dryse'!B170</f>
        <v>169</v>
      </c>
      <c r="D244" t="s">
        <v>3827</v>
      </c>
      <c r="E244" t="s">
        <v>22</v>
      </c>
      <c r="F244" s="381">
        <v>1</v>
      </c>
      <c r="G244" s="16">
        <f>IF('Dry_Litterbag Placem_Collection'!E171="","",'Dry_Litterbag Placem_Collection'!E171)</f>
        <v>42940</v>
      </c>
      <c r="H244" t="str">
        <f>'Final data_for_R_analysis_Dryse'!K170</f>
        <v>G250</v>
      </c>
      <c r="I244" t="str">
        <f>'Final data_for_R_analysis_Dryse'!K390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30"/>
        <v>1.7641999999999998</v>
      </c>
      <c r="M244" s="237">
        <f>AVERAGE(Ashed_controlls!$K$1:$K$11)</f>
        <v>5.5147656768714146</v>
      </c>
      <c r="N244" s="194">
        <f t="shared" si="26"/>
        <v>1.6669085039286342</v>
      </c>
      <c r="O244" s="194">
        <f t="shared" si="31"/>
        <v>1.8641999999999999</v>
      </c>
      <c r="P244" s="237">
        <f>AVERAGE(Ashed_controlls!$K$12:$K$14)</f>
        <v>2.2816647271287041</v>
      </c>
      <c r="Q244" s="194">
        <f t="shared" si="27"/>
        <v>1.8216652061568666</v>
      </c>
      <c r="R244" s="16">
        <f>IF('Dry_Litterbag Placem_Collection'!G171="","",'Dry_Litterbag Placem_Collection'!G171)</f>
        <v>43009</v>
      </c>
      <c r="S244" s="194">
        <f>IFERROR(INDEX('Both teabags AfterDry'!$D$3:$D$2000,MATCH(H244,'Both teabags AfterDry'!$A$3:$A$2000,0)),"")</f>
        <v>0.80610000000000004</v>
      </c>
      <c r="T244" s="194">
        <f>IFERROR(INDEX('Both teabags AfterDry'!$D$3:$D$2000,MATCH(I244,'Both teabags AfterDry'!$A$3:$A$2000,0)),"")</f>
        <v>1.8154999999999999</v>
      </c>
      <c r="U244" s="194">
        <f t="shared" si="32"/>
        <v>0.65549999999999997</v>
      </c>
      <c r="V244" s="194">
        <f t="shared" si="33"/>
        <v>1.6648999999999998</v>
      </c>
      <c r="W244" s="194">
        <f>IFERROR(INDEX('Ashed teabags dry'!$K$2:$K$2000,MATCH(H244,'Ashed teabags dry'!$A$2:$A$2000,0)),"")</f>
        <v>17.823265102348216</v>
      </c>
      <c r="X244" s="194">
        <f>IFERROR(INDEX('Ashed teabags dry'!$K$2:$K$2000,MATCH(I244,'Ashed teabags dry'!$A$2:$A$2000,0)),"")</f>
        <v>11.642512077294652</v>
      </c>
      <c r="Y244" s="194">
        <f t="shared" si="28"/>
        <v>0.53866849725410737</v>
      </c>
      <c r="Z244" s="194">
        <f t="shared" si="28"/>
        <v>1.4710638164251213</v>
      </c>
      <c r="AA244" s="194">
        <f t="shared" si="34"/>
        <v>0.67684579208483686</v>
      </c>
      <c r="AB244" s="194">
        <f t="shared" si="35"/>
        <v>0.44372788269694774</v>
      </c>
      <c r="AC244" s="194">
        <f t="shared" si="29"/>
        <v>0.80753796661055932</v>
      </c>
      <c r="AD244">
        <f t="shared" si="36"/>
        <v>69</v>
      </c>
      <c r="AE244" s="194">
        <f t="shared" si="37"/>
        <v>0.19614514004176142</v>
      </c>
      <c r="AF244" s="194">
        <f t="shared" si="38"/>
        <v>8.2420283845384256E-3</v>
      </c>
      <c r="AG244" s="252" t="str">
        <f>IF(ISNUMBER(SEARCH("C", 'Dry_Litterbag Placem_Collection'!$T171)),"YES","NO")</f>
        <v>YES</v>
      </c>
      <c r="AH244" s="252" t="str">
        <f>IF(ISNUMBER(SEARCH("H", 'Dry_Litterbag Placem_Collection'!$T171)),"YES","NO")</f>
        <v>NO</v>
      </c>
      <c r="AI244" s="252" t="str">
        <f>IF(ISNUMBER(SEARCH("R", 'Dry_Litterbag Placem_Collection'!$T171)),"YES","NO")</f>
        <v>NO</v>
      </c>
      <c r="AJ244" s="252" t="str">
        <f>IF(ISNUMBER(SEARCH("C", 'Dry_Litterbag Placem_Collection'!$S171)),"YES","NO")</f>
        <v>NO</v>
      </c>
      <c r="AK244" s="252" t="str">
        <f>IF(ISNUMBER(SEARCH("H", 'Dry_Litterbag Placem_Collection'!$S171)),"YES","NO")</f>
        <v>NO</v>
      </c>
      <c r="AL244" s="252" t="str">
        <f>IF(ISNUMBER(SEARCH("R", 'Dry_Litterbag Placem_Collection'!$S171)),"YES","NO")</f>
        <v>YES</v>
      </c>
    </row>
    <row r="245" spans="2:38">
      <c r="B245" t="str">
        <f>'Final data_for_R_analysis_Dryse'!A171</f>
        <v>Dry</v>
      </c>
      <c r="C245" s="260">
        <f>'Final data_for_R_analysis_Dryse'!B171</f>
        <v>170</v>
      </c>
      <c r="D245" t="s">
        <v>3827</v>
      </c>
      <c r="E245" t="s">
        <v>22</v>
      </c>
      <c r="F245" s="381">
        <v>2</v>
      </c>
      <c r="G245" s="16">
        <f>IF('Dry_Litterbag Placem_Collection'!E172="","",'Dry_Litterbag Placem_Collection'!E172)</f>
        <v>42940</v>
      </c>
      <c r="H245" t="str">
        <f>'Final data_for_R_analysis_Dryse'!K171</f>
        <v>G624</v>
      </c>
      <c r="I245" t="str">
        <f>'Final data_for_R_analysis_Dryse'!K391</f>
        <v>R694</v>
      </c>
      <c r="J245">
        <f>IFERROR(INDEX('Green_rooibos initial weight'!$C$5:$C$2000,MATCH(H245, 'Green_rooibos initial weight'!$A$5:$A$2000,0)),"")</f>
        <v>2.024</v>
      </c>
      <c r="K245">
        <f>IFERROR(INDEX('Green_rooibos initial weight'!$C$5:$C$2000,MATCH(I245, 'Green_rooibos initial weight'!$A$5:$A$2000,0)),"")</f>
        <v>2.23</v>
      </c>
      <c r="L245" s="194">
        <f t="shared" si="30"/>
        <v>1.7742</v>
      </c>
      <c r="M245" s="237">
        <f>AVERAGE(Ashed_controlls!$K$1:$K$11)</f>
        <v>5.5147656768714146</v>
      </c>
      <c r="N245" s="194">
        <f t="shared" si="26"/>
        <v>1.6763570273609474</v>
      </c>
      <c r="O245" s="194">
        <f t="shared" si="31"/>
        <v>1.9802</v>
      </c>
      <c r="P245" s="237">
        <f>AVERAGE(Ashed_controlls!$K$12:$K$14)</f>
        <v>2.2816647271287041</v>
      </c>
      <c r="Q245" s="194">
        <f t="shared" si="27"/>
        <v>1.9350184750733974</v>
      </c>
      <c r="R245" s="16">
        <f>IF('Dry_Litterbag Placem_Collection'!G172="","",'Dry_Litterbag Placem_Collection'!G172)</f>
        <v>43009</v>
      </c>
      <c r="S245" s="194">
        <f>IFERROR(INDEX('Both teabags AfterDry'!$D$3:$D$2000,MATCH(H245,'Both teabags AfterDry'!$A$3:$A$2000,0)),"")</f>
        <v>0.94779999999999998</v>
      </c>
      <c r="T245" s="194">
        <f>IFERROR(INDEX('Both teabags AfterDry'!$D$3:$D$2000,MATCH(I245,'Both teabags AfterDry'!$A$3:$A$2000,0)),"")</f>
        <v>1.7605</v>
      </c>
      <c r="U245" s="194">
        <f t="shared" si="32"/>
        <v>0.79719999999999991</v>
      </c>
      <c r="V245" s="194">
        <f t="shared" si="33"/>
        <v>1.6098999999999999</v>
      </c>
      <c r="W245" s="194">
        <f>IFERROR(INDEX('Ashed teabags dry'!$K$2:$K$2000,MATCH(H245,'Ashed teabags dry'!$A$2:$A$2000,0)),"")</f>
        <v>29.054385105340501</v>
      </c>
      <c r="X245" s="194">
        <f>IFERROR(INDEX('Ashed teabags dry'!$K$2:$K$2000,MATCH(I245,'Ashed teabags dry'!$A$2:$A$2000,0)),"")</f>
        <v>4.9253731343281189</v>
      </c>
      <c r="Y245" s="194">
        <f t="shared" si="28"/>
        <v>0.56557844194022544</v>
      </c>
      <c r="Z245" s="194">
        <f t="shared" si="28"/>
        <v>1.5306064179104515</v>
      </c>
      <c r="AA245" s="194">
        <f t="shared" si="34"/>
        <v>0.66261456676051678</v>
      </c>
      <c r="AB245" s="194">
        <f t="shared" si="35"/>
        <v>0.4343981482800538</v>
      </c>
      <c r="AC245" s="194">
        <f t="shared" si="29"/>
        <v>0.79100351631133337</v>
      </c>
      <c r="AD245">
        <f t="shared" si="36"/>
        <v>69</v>
      </c>
      <c r="AE245" s="194">
        <f t="shared" si="37"/>
        <v>0.21304683282598957</v>
      </c>
      <c r="AF245" s="194">
        <f t="shared" si="38"/>
        <v>9.508369844495922E-3</v>
      </c>
      <c r="AG245" s="252" t="str">
        <f>IF(ISNUMBER(SEARCH("C", 'Dry_Litterbag Placem_Collection'!$T172)),"YES","NO")</f>
        <v>NO</v>
      </c>
      <c r="AH245" s="252" t="str">
        <f>IF(ISNUMBER(SEARCH("H", 'Dry_Litterbag Placem_Collection'!$T172)),"YES","NO")</f>
        <v>NO</v>
      </c>
      <c r="AI245" s="252" t="str">
        <f>IF(ISNUMBER(SEARCH("R", 'Dry_Litterbag Placem_Collection'!$T172)),"YES","NO")</f>
        <v>YES</v>
      </c>
      <c r="AJ245" s="252" t="str">
        <f>IF(ISNUMBER(SEARCH("C", 'Dry_Litterbag Placem_Collection'!$S172)),"YES","NO")</f>
        <v>NO</v>
      </c>
      <c r="AK245" s="252" t="str">
        <f>IF(ISNUMBER(SEARCH("H", 'Dry_Litterbag Placem_Collection'!$S172)),"YES","NO")</f>
        <v>YES</v>
      </c>
      <c r="AL245" s="252" t="str">
        <f>IF(ISNUMBER(SEARCH("R", 'Dry_Litterbag Placem_Collection'!$S172)),"YES","NO")</f>
        <v>YES</v>
      </c>
    </row>
    <row r="246" spans="2:38">
      <c r="B246" t="str">
        <f>'Final data_for_R_analysis_Dryse'!A172</f>
        <v>Dry</v>
      </c>
      <c r="C246" s="260">
        <f>'Final data_for_R_analysis_Dryse'!B172</f>
        <v>171</v>
      </c>
      <c r="D246" t="s">
        <v>3827</v>
      </c>
      <c r="E246" t="s">
        <v>22</v>
      </c>
      <c r="F246" s="381">
        <v>3</v>
      </c>
      <c r="G246" s="16">
        <f>IF('Dry_Litterbag Placem_Collection'!E173="","",'Dry_Litterbag Placem_Collection'!E173)</f>
        <v>42940</v>
      </c>
      <c r="H246" t="str">
        <f>'Final data_for_R_analysis_Dryse'!K172</f>
        <v>G149</v>
      </c>
      <c r="I246" t="str">
        <f>'Final data_for_R_analysis_Dryse'!K392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30"/>
        <v>1.9291999999999998</v>
      </c>
      <c r="M246" s="237">
        <f>AVERAGE(Ashed_controlls!$K$1:$K$11)</f>
        <v>5.5147656768714146</v>
      </c>
      <c r="N246" s="194">
        <f t="shared" si="26"/>
        <v>1.8228091405617965</v>
      </c>
      <c r="O246" s="194">
        <f t="shared" si="31"/>
        <v>1.9281999999999999</v>
      </c>
      <c r="P246" s="237">
        <f>AVERAGE(Ashed_controlls!$K$12:$K$14)</f>
        <v>2.2816647271287041</v>
      </c>
      <c r="Q246" s="194">
        <f t="shared" si="27"/>
        <v>1.8842049407315042</v>
      </c>
      <c r="R246" s="16">
        <f>IF('Dry_Litterbag Placem_Collection'!G173="","",'Dry_Litterbag Placem_Collection'!G173)</f>
        <v>43009</v>
      </c>
      <c r="S246" s="194">
        <f>IFERROR(INDEX('Both teabags AfterDry'!$D$3:$D$2000,MATCH(H246,'Both teabags AfterDry'!$A$3:$A$2000,0)),"")</f>
        <v>0.75890000000000002</v>
      </c>
      <c r="T246" s="194">
        <f>IFERROR(INDEX('Both teabags AfterDry'!$D$3:$D$2000,MATCH(I246,'Both teabags AfterDry'!$A$3:$A$2000,0)),"")</f>
        <v>3.7545000000000002</v>
      </c>
      <c r="U246" s="194">
        <f t="shared" si="32"/>
        <v>0.60830000000000006</v>
      </c>
      <c r="V246" s="194">
        <f t="shared" si="33"/>
        <v>3.6039000000000003</v>
      </c>
      <c r="W246" s="194">
        <f>IFERROR(INDEX('Ashed teabags dry'!$K$2:$K$2000,MATCH(H246,'Ashed teabags dry'!$A$2:$A$2000,0)),"")</f>
        <v>19.04525111884687</v>
      </c>
      <c r="X246" s="194">
        <f>IFERROR(INDEX('Ashed teabags dry'!$K$2:$K$2000,MATCH(I246,'Ashed teabags dry'!$A$2:$A$2000,0)),"")</f>
        <v>89.436947417404014</v>
      </c>
      <c r="Y246" s="194">
        <f t="shared" si="28"/>
        <v>0.49244773744405457</v>
      </c>
      <c r="Z246" s="194">
        <f t="shared" si="28"/>
        <v>0.38068185202417704</v>
      </c>
      <c r="AA246" s="194">
        <f t="shared" si="34"/>
        <v>0.72984130566062433</v>
      </c>
      <c r="AB246" s="194">
        <f t="shared" si="35"/>
        <v>0.47847078470862792</v>
      </c>
      <c r="AC246" s="194">
        <f t="shared" si="29"/>
        <v>0.20203845335231158</v>
      </c>
      <c r="AD246">
        <f t="shared" si="36"/>
        <v>69</v>
      </c>
      <c r="AE246" s="194">
        <f t="shared" si="37"/>
        <v>0.13320510016552922</v>
      </c>
      <c r="AF246" s="194" t="str">
        <f t="shared" si="38"/>
        <v/>
      </c>
      <c r="AG246" s="252" t="str">
        <f>IF(ISNUMBER(SEARCH("C", 'Dry_Litterbag Placem_Collection'!$T173)),"YES","NO")</f>
        <v>NO</v>
      </c>
      <c r="AH246" s="252" t="str">
        <f>IF(ISNUMBER(SEARCH("H", 'Dry_Litterbag Placem_Collection'!$T173)),"YES","NO")</f>
        <v>YES</v>
      </c>
      <c r="AI246" s="252" t="str">
        <f>IF(ISNUMBER(SEARCH("R", 'Dry_Litterbag Placem_Collection'!$T173)),"YES","NO")</f>
        <v>YES</v>
      </c>
      <c r="AJ246" s="252" t="str">
        <f>IF(ISNUMBER(SEARCH("C", 'Dry_Litterbag Placem_Collection'!$S173)),"YES","NO")</f>
        <v>NO</v>
      </c>
      <c r="AK246" s="252" t="str">
        <f>IF(ISNUMBER(SEARCH("H", 'Dry_Litterbag Placem_Collection'!$S173)),"YES","NO")</f>
        <v>NO</v>
      </c>
      <c r="AL246" s="252" t="str">
        <f>IF(ISNUMBER(SEARCH("R", 'Dry_Litterbag Placem_Collection'!$S173)),"YES","NO")</f>
        <v>YES</v>
      </c>
    </row>
    <row r="247" spans="2:38">
      <c r="B247" t="str">
        <f>'Final data_for_R_analysis_Dryse'!A173</f>
        <v>Dry</v>
      </c>
      <c r="C247" s="260">
        <f>'Final data_for_R_analysis_Dryse'!B173</f>
        <v>172</v>
      </c>
      <c r="D247" t="s">
        <v>3827</v>
      </c>
      <c r="E247" t="s">
        <v>22</v>
      </c>
      <c r="F247" s="382">
        <v>4</v>
      </c>
      <c r="G247" s="16" t="str">
        <f>IF('Dry_Litterbag Placem_Collection'!E174="","",'Dry_Litterbag Placem_Collection'!E174)</f>
        <v/>
      </c>
      <c r="H247" t="str">
        <f>'Final data_for_R_analysis_Dryse'!K173</f>
        <v/>
      </c>
      <c r="I247" t="str">
        <f>'Final data_for_R_analysis_Dryse'!K393</f>
        <v/>
      </c>
      <c r="J247" t="str">
        <f>IFERROR(INDEX('Green_rooibos initial weight'!$C$5:$C$2000,MATCH(H247, 'Green_rooibos initial weight'!$A$5:$A$2000,0)),"")</f>
        <v/>
      </c>
      <c r="K247" t="str">
        <f>IFERROR(INDEX('Green_rooibos initial weight'!$C$5:$C$2000,MATCH(I247, 'Green_rooibos initial weight'!$A$5:$A$2000,0)),"")</f>
        <v/>
      </c>
      <c r="L247" s="194" t="str">
        <f t="shared" si="30"/>
        <v/>
      </c>
      <c r="M247" s="237">
        <f>AVERAGE(Ashed_controlls!$K$1:$K$11)</f>
        <v>5.5147656768714146</v>
      </c>
      <c r="N247" s="194" t="str">
        <f t="shared" si="26"/>
        <v/>
      </c>
      <c r="O247" s="194" t="str">
        <f t="shared" si="31"/>
        <v/>
      </c>
      <c r="P247" s="237">
        <f>AVERAGE(Ashed_controlls!$K$12:$K$14)</f>
        <v>2.2816647271287041</v>
      </c>
      <c r="Q247" s="194" t="str">
        <f t="shared" si="27"/>
        <v/>
      </c>
      <c r="R247" s="16" t="str">
        <f>IF('Dry_Litterbag Placem_Collection'!G174="","",'Dry_Litterbag Placem_Collection'!G174)</f>
        <v/>
      </c>
      <c r="S247" s="194" t="str">
        <f>IFERROR(INDEX('Both teabags AfterDry'!$D$3:$D$2000,MATCH(H247,'Both teabags AfterDry'!$A$3:$A$2000,0)),"")</f>
        <v/>
      </c>
      <c r="T247" s="194" t="str">
        <f>IFERROR(INDEX('Both teabags AfterDry'!$D$3:$D$2000,MATCH(I247,'Both teabags AfterDry'!$A$3:$A$2000,0)),"")</f>
        <v/>
      </c>
      <c r="U247" s="194" t="str">
        <f t="shared" si="32"/>
        <v/>
      </c>
      <c r="V247" s="194" t="str">
        <f t="shared" si="33"/>
        <v/>
      </c>
      <c r="W247" s="194" t="str">
        <f>IFERROR(INDEX('Ashed teabags dry'!$K$2:$K$2000,MATCH(H247,'Ashed teabags dry'!$A$2:$A$2000,0)),"")</f>
        <v/>
      </c>
      <c r="X247" s="194" t="str">
        <f>IFERROR(INDEX('Ashed teabags dry'!$K$2:$K$2000,MATCH(I247,'Ashed teabags dry'!$A$2:$A$2000,0)),"")</f>
        <v/>
      </c>
      <c r="Y247" s="194" t="str">
        <f t="shared" si="28"/>
        <v/>
      </c>
      <c r="Z247" s="194" t="str">
        <f t="shared" si="28"/>
        <v/>
      </c>
      <c r="AA247" s="194" t="str">
        <f t="shared" si="34"/>
        <v/>
      </c>
      <c r="AB247" s="194" t="str">
        <f t="shared" si="35"/>
        <v/>
      </c>
      <c r="AC247" s="194" t="str">
        <f t="shared" si="29"/>
        <v/>
      </c>
      <c r="AD247" t="str">
        <f t="shared" si="36"/>
        <v/>
      </c>
      <c r="AE247" s="194" t="str">
        <f t="shared" si="37"/>
        <v/>
      </c>
      <c r="AF247" s="194" t="str">
        <f t="shared" si="38"/>
        <v/>
      </c>
      <c r="AG247" s="252" t="str">
        <f>IF(ISNUMBER(SEARCH("C", 'Dry_Litterbag Placem_Collection'!$T174)),"YES","NO")</f>
        <v>NO</v>
      </c>
      <c r="AH247" s="252" t="str">
        <f>IF(ISNUMBER(SEARCH("H", 'Dry_Litterbag Placem_Collection'!$T174)),"YES","NO")</f>
        <v>NO</v>
      </c>
      <c r="AI247" s="252" t="str">
        <f>IF(ISNUMBER(SEARCH("R", 'Dry_Litterbag Placem_Collection'!$T174)),"YES","NO")</f>
        <v>NO</v>
      </c>
      <c r="AJ247" s="252" t="str">
        <f>IF(ISNUMBER(SEARCH("C", 'Dry_Litterbag Placem_Collection'!$S174)),"YES","NO")</f>
        <v>NO</v>
      </c>
      <c r="AK247" s="252" t="str">
        <f>IF(ISNUMBER(SEARCH("H", 'Dry_Litterbag Placem_Collection'!$S174)),"YES","NO")</f>
        <v>NO</v>
      </c>
      <c r="AL247" s="252" t="str">
        <f>IF(ISNUMBER(SEARCH("R", 'Dry_Litterbag Placem_Collection'!$S174)),"YES","NO")</f>
        <v>NO</v>
      </c>
    </row>
    <row r="248" spans="2:38">
      <c r="B248" t="str">
        <f>'Final data_for_R_analysis_Dryse'!A174</f>
        <v>Dry</v>
      </c>
      <c r="C248" s="260">
        <f>'Final data_for_R_analysis_Dryse'!B174</f>
        <v>173</v>
      </c>
      <c r="D248" t="s">
        <v>3827</v>
      </c>
      <c r="E248" t="s">
        <v>22</v>
      </c>
      <c r="F248" s="382">
        <v>5</v>
      </c>
      <c r="G248" s="16">
        <f>IF('Dry_Litterbag Placem_Collection'!E175="","",'Dry_Litterbag Placem_Collection'!E175)</f>
        <v>42940</v>
      </c>
      <c r="H248" t="str">
        <f>'Final data_for_R_analysis_Dryse'!K174</f>
        <v>G597</v>
      </c>
      <c r="I248" t="str">
        <f>'Final data_for_R_analysis_Dryse'!K394</f>
        <v>R405</v>
      </c>
      <c r="J248">
        <f>IFERROR(INDEX('Green_rooibos initial weight'!$C$5:$C$2000,MATCH(H248, 'Green_rooibos initial weight'!$A$5:$A$2000,0)),"")</f>
        <v>1.948</v>
      </c>
      <c r="K248">
        <f>IFERROR(INDEX('Green_rooibos initial weight'!$C$5:$C$2000,MATCH(I248, 'Green_rooibos initial weight'!$A$5:$A$2000,0)),"")</f>
        <v>2.2400000000000002</v>
      </c>
      <c r="L248" s="194">
        <f t="shared" si="30"/>
        <v>1.6981999999999999</v>
      </c>
      <c r="M248" s="237">
        <f>AVERAGE(Ashed_controlls!$K$1:$K$11)</f>
        <v>5.5147656768714146</v>
      </c>
      <c r="N248" s="194">
        <f t="shared" si="26"/>
        <v>1.6045482492753695</v>
      </c>
      <c r="O248" s="194">
        <f t="shared" si="31"/>
        <v>1.9902000000000002</v>
      </c>
      <c r="P248" s="237">
        <f>AVERAGE(Ashed_controlls!$K$12:$K$14)</f>
        <v>2.2816647271287041</v>
      </c>
      <c r="Q248" s="194">
        <f t="shared" si="27"/>
        <v>1.9447903086006848</v>
      </c>
      <c r="R248" s="16">
        <f>IF('Dry_Litterbag Placem_Collection'!G175="","",'Dry_Litterbag Placem_Collection'!G175)</f>
        <v>43009</v>
      </c>
      <c r="S248" s="194" t="str">
        <f>IFERROR(INDEX('Both teabags AfterDry'!$D$3:$D$2000,MATCH(H248,'Both teabags AfterDry'!$A$3:$A$2000,0)),"")</f>
        <v/>
      </c>
      <c r="T248" s="194" t="str">
        <f>IFERROR(INDEX('Both teabags AfterDry'!$D$3:$D$2000,MATCH(I248,'Both teabags AfterDry'!$A$3:$A$2000,0)),"")</f>
        <v/>
      </c>
      <c r="U248" s="194" t="str">
        <f t="shared" si="32"/>
        <v/>
      </c>
      <c r="V248" s="194" t="str">
        <f t="shared" si="33"/>
        <v/>
      </c>
      <c r="W248" s="194" t="str">
        <f>IFERROR(INDEX('Ashed teabags dry'!$K$2:$K$2000,MATCH(H248,'Ashed teabags dry'!$A$2:$A$2000,0)),"")</f>
        <v/>
      </c>
      <c r="X248" s="194" t="str">
        <f>IFERROR(INDEX('Ashed teabags dry'!$K$2:$K$2000,MATCH(I248,'Ashed teabags dry'!$A$2:$A$2000,0)),"")</f>
        <v/>
      </c>
      <c r="Y248" s="194" t="str">
        <f t="shared" si="28"/>
        <v/>
      </c>
      <c r="Z248" s="194" t="str">
        <f t="shared" si="28"/>
        <v/>
      </c>
      <c r="AA248" s="194" t="str">
        <f t="shared" si="34"/>
        <v/>
      </c>
      <c r="AB248" s="194" t="str">
        <f t="shared" si="35"/>
        <v/>
      </c>
      <c r="AC248" s="194" t="str">
        <f t="shared" si="29"/>
        <v/>
      </c>
      <c r="AD248">
        <f t="shared" si="36"/>
        <v>69</v>
      </c>
      <c r="AE248" s="194" t="str">
        <f t="shared" si="37"/>
        <v/>
      </c>
      <c r="AF248" s="194" t="str">
        <f t="shared" si="38"/>
        <v/>
      </c>
      <c r="AG248" s="252" t="str">
        <f>IF(ISNUMBER(SEARCH("C", 'Dry_Litterbag Placem_Collection'!$T175)),"YES","NO")</f>
        <v>NO</v>
      </c>
      <c r="AH248" s="252" t="str">
        <f>IF(ISNUMBER(SEARCH("H", 'Dry_Litterbag Placem_Collection'!$T175)),"YES","NO")</f>
        <v>YES</v>
      </c>
      <c r="AI248" s="252" t="str">
        <f>IF(ISNUMBER(SEARCH("R", 'Dry_Litterbag Placem_Collection'!$T175)),"YES","NO")</f>
        <v>YES</v>
      </c>
      <c r="AJ248" s="252" t="str">
        <f>IF(ISNUMBER(SEARCH("C", 'Dry_Litterbag Placem_Collection'!$S175)),"YES","NO")</f>
        <v>NO</v>
      </c>
      <c r="AK248" s="252" t="str">
        <f>IF(ISNUMBER(SEARCH("H", 'Dry_Litterbag Placem_Collection'!$S175)),"YES","NO")</f>
        <v>YES</v>
      </c>
      <c r="AL248" s="252" t="str">
        <f>IF(ISNUMBER(SEARCH("R", 'Dry_Litterbag Placem_Collection'!$S175)),"YES","NO")</f>
        <v>YES</v>
      </c>
    </row>
    <row r="249" spans="2:38">
      <c r="B249" t="str">
        <f>'Final data_for_R_analysis_Dryse'!A175</f>
        <v>Dry</v>
      </c>
      <c r="C249" s="260">
        <f>'Final data_for_R_analysis_Dryse'!B175</f>
        <v>174</v>
      </c>
      <c r="D249" t="s">
        <v>3827</v>
      </c>
      <c r="E249" t="s">
        <v>22</v>
      </c>
      <c r="F249" s="382">
        <v>6</v>
      </c>
      <c r="G249" s="16">
        <f>IF('Dry_Litterbag Placem_Collection'!E176="","",'Dry_Litterbag Placem_Collection'!E176)</f>
        <v>42940</v>
      </c>
      <c r="H249" t="str">
        <f>'Final data_for_R_analysis_Dryse'!K175</f>
        <v>G396</v>
      </c>
      <c r="I249" t="str">
        <f>'Final data_for_R_analysis_Dryse'!K395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30"/>
        <v>1.7572000000000001</v>
      </c>
      <c r="M249" s="237">
        <f>AVERAGE(Ashed_controlls!$K$1:$K$11)</f>
        <v>5.5147656768714146</v>
      </c>
      <c r="N249" s="194">
        <f t="shared" si="26"/>
        <v>1.6602945375260156</v>
      </c>
      <c r="O249" s="194">
        <f t="shared" si="31"/>
        <v>1.9691999999999998</v>
      </c>
      <c r="P249" s="237">
        <f>AVERAGE(Ashed_controlls!$K$12:$K$14)</f>
        <v>2.2816647271287041</v>
      </c>
      <c r="Q249" s="194">
        <f t="shared" si="27"/>
        <v>1.9242694581933815</v>
      </c>
      <c r="R249" s="16">
        <f>IF('Dry_Litterbag Placem_Collection'!G176="","",'Dry_Litterbag Placem_Collection'!G176)</f>
        <v>43009</v>
      </c>
      <c r="S249" s="194">
        <f>IFERROR(INDEX('Both teabags AfterDry'!$D$3:$D$2000,MATCH(H249,'Both teabags AfterDry'!$A$3:$A$2000,0)),"")</f>
        <v>0.80349999999999999</v>
      </c>
      <c r="T249" s="194">
        <f>IFERROR(INDEX('Both teabags AfterDry'!$D$3:$D$2000,MATCH(I249,'Both teabags AfterDry'!$A$3:$A$2000,0)),"")</f>
        <v>1.6238999999999999</v>
      </c>
      <c r="U249" s="194">
        <f t="shared" si="32"/>
        <v>0.65290000000000004</v>
      </c>
      <c r="V249" s="194">
        <f t="shared" si="33"/>
        <v>1.4732999999999998</v>
      </c>
      <c r="W249" s="194">
        <f>IFERROR(INDEX('Ashed teabags dry'!$K$2:$K$2000,MATCH(H249,'Ashed teabags dry'!$A$2:$A$2000,0)),"")</f>
        <v>24.860074626865973</v>
      </c>
      <c r="X249" s="194">
        <f>IFERROR(INDEX('Ashed teabags dry'!$K$2:$K$2000,MATCH(I249,'Ashed teabags dry'!$A$2:$A$2000,0)),"")</f>
        <v>10.510638297872269</v>
      </c>
      <c r="Y249" s="194">
        <f t="shared" si="28"/>
        <v>0.49058857276119205</v>
      </c>
      <c r="Z249" s="194">
        <f t="shared" si="28"/>
        <v>1.3184467659574477</v>
      </c>
      <c r="AA249" s="194">
        <f t="shared" si="34"/>
        <v>0.70451714339058658</v>
      </c>
      <c r="AB249" s="194">
        <f t="shared" si="35"/>
        <v>0.46186872108266486</v>
      </c>
      <c r="AC249" s="194">
        <f t="shared" si="29"/>
        <v>0.68516743346084386</v>
      </c>
      <c r="AD249">
        <f t="shared" si="36"/>
        <v>69</v>
      </c>
      <c r="AE249" s="194">
        <f t="shared" si="37"/>
        <v>0.16328130238647676</v>
      </c>
      <c r="AF249" s="194">
        <f t="shared" si="38"/>
        <v>1.6588437556348069E-2</v>
      </c>
      <c r="AG249" s="252" t="str">
        <f>IF(ISNUMBER(SEARCH("C", 'Dry_Litterbag Placem_Collection'!$T176)),"YES","NO")</f>
        <v>NO</v>
      </c>
      <c r="AH249" s="252" t="str">
        <f>IF(ISNUMBER(SEARCH("H", 'Dry_Litterbag Placem_Collection'!$T176)),"YES","NO")</f>
        <v>NO</v>
      </c>
      <c r="AI249" s="252" t="str">
        <f>IF(ISNUMBER(SEARCH("R", 'Dry_Litterbag Placem_Collection'!$T176)),"YES","NO")</f>
        <v>YES</v>
      </c>
      <c r="AJ249" s="252" t="str">
        <f>IF(ISNUMBER(SEARCH("C", 'Dry_Litterbag Placem_Collection'!$S176)),"YES","NO")</f>
        <v>NO</v>
      </c>
      <c r="AK249" s="252" t="str">
        <f>IF(ISNUMBER(SEARCH("H", 'Dry_Litterbag Placem_Collection'!$S176)),"YES","NO")</f>
        <v>YES</v>
      </c>
      <c r="AL249" s="252" t="str">
        <f>IF(ISNUMBER(SEARCH("R", 'Dry_Litterbag Placem_Collection'!$S176)),"YES","NO")</f>
        <v>YES</v>
      </c>
    </row>
    <row r="250" spans="2:38">
      <c r="B250" t="str">
        <f>'Final data_for_R_analysis_Dryse'!A176</f>
        <v>Dry</v>
      </c>
      <c r="C250" s="260">
        <f>'Final data_for_R_analysis_Dryse'!B176</f>
        <v>175</v>
      </c>
      <c r="D250" t="s">
        <v>3827</v>
      </c>
      <c r="E250" t="s">
        <v>22</v>
      </c>
      <c r="F250" s="382">
        <v>7</v>
      </c>
      <c r="G250" s="16">
        <f>IF('Dry_Litterbag Placem_Collection'!E177="","",'Dry_Litterbag Placem_Collection'!E177)</f>
        <v>42940</v>
      </c>
      <c r="H250" t="str">
        <f>'Final data_for_R_analysis_Dryse'!K176</f>
        <v>G612</v>
      </c>
      <c r="I250" t="str">
        <f>'Final data_for_R_analysis_Dryse'!K396</f>
        <v>R338</v>
      </c>
      <c r="J250">
        <f>IFERROR(INDEX('Green_rooibos initial weight'!$C$5:$C$2000,MATCH(H250, 'Green_rooibos initial weight'!$A$5:$A$2000,0)),"")</f>
        <v>2.004</v>
      </c>
      <c r="K250">
        <f>IFERROR(INDEX('Green_rooibos initial weight'!$C$5:$C$2000,MATCH(I250, 'Green_rooibos initial weight'!$A$5:$A$2000,0)),"")</f>
        <v>2.1709999999999998</v>
      </c>
      <c r="L250" s="194">
        <f t="shared" si="30"/>
        <v>1.7542</v>
      </c>
      <c r="M250" s="237">
        <f>AVERAGE(Ashed_controlls!$K$1:$K$11)</f>
        <v>5.5147656768714146</v>
      </c>
      <c r="N250" s="194">
        <f t="shared" si="26"/>
        <v>1.6574599804963217</v>
      </c>
      <c r="O250" s="194">
        <f t="shared" si="31"/>
        <v>1.9211999999999998</v>
      </c>
      <c r="P250" s="237">
        <f>AVERAGE(Ashed_controlls!$K$12:$K$14)</f>
        <v>2.2816647271287041</v>
      </c>
      <c r="Q250" s="194">
        <f t="shared" si="27"/>
        <v>1.8773646572624032</v>
      </c>
      <c r="R250" s="16">
        <f>IF('Dry_Litterbag Placem_Collection'!G177="","",'Dry_Litterbag Placem_Collection'!G177)</f>
        <v>43009</v>
      </c>
      <c r="S250" s="194">
        <f>IFERROR(INDEX('Both teabags AfterDry'!$D$3:$D$2000,MATCH(H250,'Both teabags AfterDry'!$A$3:$A$2000,0)),"")</f>
        <v>0.83</v>
      </c>
      <c r="T250" s="194">
        <f>IFERROR(INDEX('Both teabags AfterDry'!$D$3:$D$2000,MATCH(I250,'Both teabags AfterDry'!$A$3:$A$2000,0)),"")</f>
        <v>1.8117000000000001</v>
      </c>
      <c r="U250" s="194">
        <f t="shared" si="32"/>
        <v>0.6794</v>
      </c>
      <c r="V250" s="194">
        <f t="shared" si="33"/>
        <v>1.6611</v>
      </c>
      <c r="W250" s="194">
        <f>IFERROR(INDEX('Ashed teabags dry'!$K$2:$K$2000,MATCH(H250,'Ashed teabags dry'!$A$2:$A$2000,0)),"")</f>
        <v>28.902765388045704</v>
      </c>
      <c r="X250" s="194">
        <f>IFERROR(INDEX('Ashed teabags dry'!$K$2:$K$2000,MATCH(I250,'Ashed teabags dry'!$A$2:$A$2000,0)),"")</f>
        <v>8.794946550048822</v>
      </c>
      <c r="Y250" s="194">
        <f t="shared" si="28"/>
        <v>0.48303461195361752</v>
      </c>
      <c r="Z250" s="194">
        <f t="shared" si="28"/>
        <v>1.515007142857139</v>
      </c>
      <c r="AA250" s="194">
        <f t="shared" si="34"/>
        <v>0.7085693665985382</v>
      </c>
      <c r="AB250" s="194">
        <f t="shared" si="35"/>
        <v>0.46452528546602506</v>
      </c>
      <c r="AC250" s="194">
        <f t="shared" si="29"/>
        <v>0.80698607859505644</v>
      </c>
      <c r="AD250">
        <f t="shared" si="36"/>
        <v>69</v>
      </c>
      <c r="AE250" s="194">
        <f t="shared" si="37"/>
        <v>0.15846868574995465</v>
      </c>
      <c r="AF250" s="194">
        <f t="shared" si="38"/>
        <v>7.7827825735537872E-3</v>
      </c>
      <c r="AG250" s="252" t="str">
        <f>IF(ISNUMBER(SEARCH("C", 'Dry_Litterbag Placem_Collection'!$T177)),"YES","NO")</f>
        <v>NO</v>
      </c>
      <c r="AH250" s="252" t="str">
        <f>IF(ISNUMBER(SEARCH("H", 'Dry_Litterbag Placem_Collection'!$T177)),"YES","NO")</f>
        <v>NO</v>
      </c>
      <c r="AI250" s="252" t="str">
        <f>IF(ISNUMBER(SEARCH("R", 'Dry_Litterbag Placem_Collection'!$T177)),"YES","NO")</f>
        <v>NO</v>
      </c>
      <c r="AJ250" s="252" t="str">
        <f>IF(ISNUMBER(SEARCH("C", 'Dry_Litterbag Placem_Collection'!$S177)),"YES","NO")</f>
        <v>NO</v>
      </c>
      <c r="AK250" s="252" t="str">
        <f>IF(ISNUMBER(SEARCH("H", 'Dry_Litterbag Placem_Collection'!$S177)),"YES","NO")</f>
        <v>YES</v>
      </c>
      <c r="AL250" s="252" t="str">
        <f>IF(ISNUMBER(SEARCH("R", 'Dry_Litterbag Placem_Collection'!$S177)),"YES","NO")</f>
        <v>YES</v>
      </c>
    </row>
    <row r="251" spans="2:38">
      <c r="B251" t="str">
        <f>'Final data_for_R_analysis_Dryse'!A177</f>
        <v>Dry</v>
      </c>
      <c r="C251" s="260">
        <f>'Final data_for_R_analysis_Dryse'!B177</f>
        <v>176</v>
      </c>
      <c r="D251" t="s">
        <v>3827</v>
      </c>
      <c r="E251" t="s">
        <v>22</v>
      </c>
      <c r="F251" s="382">
        <v>8</v>
      </c>
      <c r="G251" s="16">
        <f>IF('Dry_Litterbag Placem_Collection'!E178="","",'Dry_Litterbag Placem_Collection'!E178)</f>
        <v>42940</v>
      </c>
      <c r="H251" t="str">
        <f>'Final data_for_R_analysis_Dryse'!K177</f>
        <v>G183</v>
      </c>
      <c r="I251" t="str">
        <f>'Final data_for_R_analysis_Dryse'!K397</f>
        <v>R52</v>
      </c>
      <c r="J251">
        <f>IFERROR(INDEX('Green_rooibos initial weight'!$C$5:$C$2000,MATCH(H251, 'Green_rooibos initial weight'!$A$5:$A$2000,0)),"")</f>
        <v>1.897</v>
      </c>
      <c r="K251">
        <f>IFERROR(INDEX('Green_rooibos initial weight'!$C$5:$C$2000,MATCH(I251, 'Green_rooibos initial weight'!$A$5:$A$2000,0)),"")</f>
        <v>2.1629999999999998</v>
      </c>
      <c r="L251" s="194">
        <f t="shared" si="30"/>
        <v>1.6472</v>
      </c>
      <c r="M251" s="237">
        <f>AVERAGE(Ashed_controlls!$K$1:$K$11)</f>
        <v>5.5147656768714146</v>
      </c>
      <c r="N251" s="194">
        <f t="shared" si="26"/>
        <v>1.5563607797705741</v>
      </c>
      <c r="O251" s="194">
        <f t="shared" si="31"/>
        <v>1.9131999999999998</v>
      </c>
      <c r="P251" s="237">
        <f>AVERAGE(Ashed_controlls!$K$12:$K$14)</f>
        <v>2.2816647271287041</v>
      </c>
      <c r="Q251" s="194">
        <f t="shared" si="27"/>
        <v>1.8695471904405734</v>
      </c>
      <c r="R251" s="16">
        <f>IF('Dry_Litterbag Placem_Collection'!G178="","",'Dry_Litterbag Placem_Collection'!G178)</f>
        <v>43009</v>
      </c>
      <c r="S251" s="194">
        <f>IFERROR(INDEX('Both teabags AfterDry'!$D$3:$D$2000,MATCH(H251,'Both teabags AfterDry'!$A$3:$A$2000,0)),"")</f>
        <v>0.92459999999999998</v>
      </c>
      <c r="T251" s="194">
        <f>IFERROR(INDEX('Both teabags AfterDry'!$D$3:$D$2000,MATCH(I251,'Both teabags AfterDry'!$A$3:$A$2000,0)),"")</f>
        <v>0</v>
      </c>
      <c r="U251" s="194">
        <f t="shared" si="32"/>
        <v>0.77400000000000002</v>
      </c>
      <c r="V251" s="194" t="str">
        <f t="shared" si="33"/>
        <v/>
      </c>
      <c r="W251" s="194">
        <f>IFERROR(INDEX('Ashed teabags dry'!$K$2:$K$2000,MATCH(H251,'Ashed teabags dry'!$A$2:$A$2000,0)),"")</f>
        <v>36.390532544378914</v>
      </c>
      <c r="X251" s="194">
        <f>IFERROR(INDEX('Ashed teabags dry'!$K$2:$K$2000,MATCH(I251,'Ashed teabags dry'!$A$2:$A$2000,0)),"")</f>
        <v>93.555555555555571</v>
      </c>
      <c r="Y251" s="194">
        <f t="shared" si="28"/>
        <v>0.49233727810650724</v>
      </c>
      <c r="Z251" s="194" t="str">
        <f t="shared" si="28"/>
        <v/>
      </c>
      <c r="AA251" s="194">
        <f t="shared" si="34"/>
        <v>0.68366121499214105</v>
      </c>
      <c r="AB251" s="194">
        <f t="shared" si="35"/>
        <v>0.44819595092121367</v>
      </c>
      <c r="AC251" s="194" t="str">
        <f t="shared" si="29"/>
        <v/>
      </c>
      <c r="AD251">
        <f t="shared" si="36"/>
        <v>69</v>
      </c>
      <c r="AE251" s="194">
        <f t="shared" si="37"/>
        <v>0.18805081354852604</v>
      </c>
      <c r="AF251" s="194" t="str">
        <f t="shared" si="38"/>
        <v/>
      </c>
      <c r="AG251" s="252" t="str">
        <f>IF(ISNUMBER(SEARCH("C", 'Dry_Litterbag Placem_Collection'!$T178)),"YES","NO")</f>
        <v>NO</v>
      </c>
      <c r="AH251" s="252" t="str">
        <f>IF(ISNUMBER(SEARCH("H", 'Dry_Litterbag Placem_Collection'!$T178)),"YES","NO")</f>
        <v>YES</v>
      </c>
      <c r="AI251" s="252" t="str">
        <f>IF(ISNUMBER(SEARCH("R", 'Dry_Litterbag Placem_Collection'!$T178)),"YES","NO")</f>
        <v>YES</v>
      </c>
      <c r="AJ251" s="252" t="str">
        <f>IF(ISNUMBER(SEARCH("C", 'Dry_Litterbag Placem_Collection'!$S178)),"YES","NO")</f>
        <v>NO</v>
      </c>
      <c r="AK251" s="252" t="str">
        <f>IF(ISNUMBER(SEARCH("H", 'Dry_Litterbag Placem_Collection'!$S178)),"YES","NO")</f>
        <v>YES</v>
      </c>
      <c r="AL251" s="252" t="str">
        <f>IF(ISNUMBER(SEARCH("R", 'Dry_Litterbag Placem_Collection'!$S178)),"YES","NO")</f>
        <v>YES</v>
      </c>
    </row>
    <row r="252" spans="2:38">
      <c r="B252" t="str">
        <f>'Final data_for_R_analysis_Dryse'!A178</f>
        <v>Dry</v>
      </c>
      <c r="C252" s="260">
        <f>'Final data_for_R_analysis_Dryse'!B178</f>
        <v>177</v>
      </c>
      <c r="D252" t="s">
        <v>3828</v>
      </c>
      <c r="E252" t="s">
        <v>22</v>
      </c>
      <c r="F252" s="381">
        <v>1</v>
      </c>
      <c r="G252" s="16">
        <f>IF('Dry_Litterbag Placem_Collection'!E179="","",'Dry_Litterbag Placem_Collection'!E179)</f>
        <v>42940</v>
      </c>
      <c r="H252" t="str">
        <f>'Final data_for_R_analysis_Dryse'!K178</f>
        <v>G98</v>
      </c>
      <c r="I252" t="str">
        <f>'Final data_for_R_analysis_Dryse'!K398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30"/>
        <v>1.8481999999999998</v>
      </c>
      <c r="M252" s="237">
        <f>AVERAGE(Ashed_controlls!$K$1:$K$11)</f>
        <v>5.5147656768714146</v>
      </c>
      <c r="N252" s="194">
        <f t="shared" si="26"/>
        <v>1.7462761007600625</v>
      </c>
      <c r="O252" s="194">
        <f t="shared" si="31"/>
        <v>1.9531999999999998</v>
      </c>
      <c r="P252" s="237">
        <f>AVERAGE(Ashed_controlls!$K$12:$K$14)</f>
        <v>2.2816647271287041</v>
      </c>
      <c r="Q252" s="194">
        <f t="shared" si="27"/>
        <v>1.908634524549722</v>
      </c>
      <c r="R252" s="16">
        <f>IF('Dry_Litterbag Placem_Collection'!G179="","",'Dry_Litterbag Placem_Collection'!G179)</f>
        <v>43009</v>
      </c>
      <c r="S252" s="194" t="str">
        <f>IFERROR(INDEX('Both teabags AfterDry'!$D$3:$D$2000,MATCH(H252,'Both teabags AfterDry'!$A$3:$A$2000,0)),"")</f>
        <v/>
      </c>
      <c r="T252" s="194" t="str">
        <f>IFERROR(INDEX('Both teabags AfterDry'!$D$3:$D$2000,MATCH(I252,'Both teabags AfterDry'!$A$3:$A$2000,0)),"")</f>
        <v/>
      </c>
      <c r="U252" s="194" t="str">
        <f t="shared" si="32"/>
        <v/>
      </c>
      <c r="V252" s="194" t="str">
        <f t="shared" si="33"/>
        <v/>
      </c>
      <c r="W252" s="194" t="str">
        <f>IFERROR(INDEX('Ashed teabags dry'!$K$2:$K$2000,MATCH(H252,'Ashed teabags dry'!$A$2:$A$2000,0)),"")</f>
        <v/>
      </c>
      <c r="X252" s="194" t="str">
        <f>IFERROR(INDEX('Ashed teabags dry'!$K$2:$K$2000,MATCH(I252,'Ashed teabags dry'!$A$2:$A$2000,0)),"")</f>
        <v/>
      </c>
      <c r="Y252" s="194" t="str">
        <f t="shared" si="28"/>
        <v/>
      </c>
      <c r="Z252" s="194" t="str">
        <f t="shared" si="28"/>
        <v/>
      </c>
      <c r="AA252" s="194" t="str">
        <f t="shared" si="34"/>
        <v/>
      </c>
      <c r="AB252" s="194" t="str">
        <f t="shared" si="35"/>
        <v/>
      </c>
      <c r="AC252" s="194" t="str">
        <f t="shared" si="29"/>
        <v/>
      </c>
      <c r="AD252">
        <f t="shared" si="36"/>
        <v>69</v>
      </c>
      <c r="AE252" s="194" t="str">
        <f t="shared" si="37"/>
        <v/>
      </c>
      <c r="AF252" s="194" t="str">
        <f t="shared" si="38"/>
        <v/>
      </c>
      <c r="AG252" s="252" t="str">
        <f>IF(ISNUMBER(SEARCH("C", 'Dry_Litterbag Placem_Collection'!$T179)),"YES","NO")</f>
        <v>YES</v>
      </c>
      <c r="AH252" s="252" t="str">
        <f>IF(ISNUMBER(SEARCH("H", 'Dry_Litterbag Placem_Collection'!$T179)),"YES","NO")</f>
        <v>YES</v>
      </c>
      <c r="AI252" s="252" t="str">
        <f>IF(ISNUMBER(SEARCH("R", 'Dry_Litterbag Placem_Collection'!$T179)),"YES","NO")</f>
        <v>YES</v>
      </c>
      <c r="AJ252" s="252" t="str">
        <f>IF(ISNUMBER(SEARCH("C", 'Dry_Litterbag Placem_Collection'!$S179)),"YES","NO")</f>
        <v>NO</v>
      </c>
      <c r="AK252" s="252" t="str">
        <f>IF(ISNUMBER(SEARCH("H", 'Dry_Litterbag Placem_Collection'!$S179)),"YES","NO")</f>
        <v>YES</v>
      </c>
      <c r="AL252" s="252" t="str">
        <f>IF(ISNUMBER(SEARCH("R", 'Dry_Litterbag Placem_Collection'!$S179)),"YES","NO")</f>
        <v>YES</v>
      </c>
    </row>
    <row r="253" spans="2:38">
      <c r="B253" t="str">
        <f>'Final data_for_R_analysis_Dryse'!A179</f>
        <v>Dry</v>
      </c>
      <c r="C253" s="260">
        <f>'Final data_for_R_analysis_Dryse'!B179</f>
        <v>178</v>
      </c>
      <c r="D253" t="s">
        <v>3828</v>
      </c>
      <c r="E253" t="s">
        <v>22</v>
      </c>
      <c r="F253" s="381">
        <v>2</v>
      </c>
      <c r="G253" s="16">
        <f>IF('Dry_Litterbag Placem_Collection'!E180="","",'Dry_Litterbag Placem_Collection'!E180)</f>
        <v>42940</v>
      </c>
      <c r="H253" t="str">
        <f>'Final data_for_R_analysis_Dryse'!K179</f>
        <v>G353</v>
      </c>
      <c r="I253" t="str">
        <f>'Final data_for_R_analysis_Dryse'!K399</f>
        <v>R612</v>
      </c>
      <c r="J253">
        <f>IFERROR(INDEX('Green_rooibos initial weight'!$C$5:$C$2000,MATCH(H253, 'Green_rooibos initial weight'!$A$5:$A$2000,0)),"")</f>
        <v>1.988</v>
      </c>
      <c r="K253">
        <f>IFERROR(INDEX('Green_rooibos initial weight'!$C$5:$C$2000,MATCH(I253, 'Green_rooibos initial weight'!$A$5:$A$2000,0)),"")</f>
        <v>2.11</v>
      </c>
      <c r="L253" s="194">
        <f t="shared" si="30"/>
        <v>1.7382</v>
      </c>
      <c r="M253" s="237">
        <f>AVERAGE(Ashed_controlls!$K$1:$K$11)</f>
        <v>5.5147656768714146</v>
      </c>
      <c r="N253" s="194">
        <f t="shared" si="26"/>
        <v>1.6423423430046211</v>
      </c>
      <c r="O253" s="194">
        <f t="shared" si="31"/>
        <v>1.8601999999999999</v>
      </c>
      <c r="P253" s="237">
        <f>AVERAGE(Ashed_controlls!$K$12:$K$14)</f>
        <v>2.2816647271287041</v>
      </c>
      <c r="Q253" s="194">
        <f t="shared" si="27"/>
        <v>1.8177564727459516</v>
      </c>
      <c r="R253" s="16">
        <f>IF('Dry_Litterbag Placem_Collection'!G180="","",'Dry_Litterbag Placem_Collection'!G180)</f>
        <v>43009</v>
      </c>
      <c r="S253" s="194">
        <f>IFERROR(INDEX('Both teabags AfterDry'!$D$3:$D$2000,MATCH(H253,'Both teabags AfterDry'!$A$3:$A$2000,0)),"")</f>
        <v>0.80569999999999997</v>
      </c>
      <c r="T253" s="194">
        <f>IFERROR(INDEX('Both teabags AfterDry'!$D$3:$D$2000,MATCH(I253,'Both teabags AfterDry'!$A$3:$A$2000,0)),"")</f>
        <v>0</v>
      </c>
      <c r="U253" s="194">
        <f t="shared" si="32"/>
        <v>0.65510000000000002</v>
      </c>
      <c r="V253" s="194" t="str">
        <f t="shared" si="33"/>
        <v/>
      </c>
      <c r="W253" s="194">
        <f>IFERROR(INDEX('Ashed teabags dry'!$K$2:$K$2000,MATCH(H253,'Ashed teabags dry'!$A$2:$A$2000,0)),"")</f>
        <v>27.451946771808881</v>
      </c>
      <c r="X253" s="194">
        <f>IFERROR(INDEX('Ashed teabags dry'!$K$2:$K$2000,MATCH(I253,'Ashed teabags dry'!$A$2:$A$2000,0)),"")</f>
        <v>94.417238001958822</v>
      </c>
      <c r="Y253" s="194">
        <f t="shared" si="28"/>
        <v>0.47526229669788</v>
      </c>
      <c r="Z253" s="194" t="str">
        <f t="shared" si="28"/>
        <v/>
      </c>
      <c r="AA253" s="194">
        <f t="shared" si="34"/>
        <v>0.71061922703131408</v>
      </c>
      <c r="AB253" s="194">
        <f t="shared" si="35"/>
        <v>0.46586913696114657</v>
      </c>
      <c r="AC253" s="194" t="str">
        <f t="shared" si="29"/>
        <v/>
      </c>
      <c r="AD253">
        <f t="shared" si="36"/>
        <v>69</v>
      </c>
      <c r="AE253" s="194">
        <f t="shared" si="37"/>
        <v>0.15603417217183602</v>
      </c>
      <c r="AF253" s="194" t="str">
        <f t="shared" si="38"/>
        <v/>
      </c>
      <c r="AG253" s="252" t="str">
        <f>IF(ISNUMBER(SEARCH("C", 'Dry_Litterbag Placem_Collection'!$T180)),"YES","NO")</f>
        <v>YES</v>
      </c>
      <c r="AH253" s="252" t="str">
        <f>IF(ISNUMBER(SEARCH("H", 'Dry_Litterbag Placem_Collection'!$T180)),"YES","NO")</f>
        <v>YES</v>
      </c>
      <c r="AI253" s="252" t="str">
        <f>IF(ISNUMBER(SEARCH("R", 'Dry_Litterbag Placem_Collection'!$T180)),"YES","NO")</f>
        <v>NO</v>
      </c>
      <c r="AJ253" s="252" t="str">
        <f>IF(ISNUMBER(SEARCH("C", 'Dry_Litterbag Placem_Collection'!$S180)),"YES","NO")</f>
        <v>NO</v>
      </c>
      <c r="AK253" s="252" t="str">
        <f>IF(ISNUMBER(SEARCH("H", 'Dry_Litterbag Placem_Collection'!$S180)),"YES","NO")</f>
        <v>NO</v>
      </c>
      <c r="AL253" s="252" t="str">
        <f>IF(ISNUMBER(SEARCH("R", 'Dry_Litterbag Placem_Collection'!$S180)),"YES","NO")</f>
        <v>YES</v>
      </c>
    </row>
    <row r="254" spans="2:38">
      <c r="B254" t="str">
        <f>'Final data_for_R_analysis_Dryse'!A180</f>
        <v>Dry</v>
      </c>
      <c r="C254" s="260">
        <f>'Final data_for_R_analysis_Dryse'!B180</f>
        <v>179</v>
      </c>
      <c r="D254" t="s">
        <v>3828</v>
      </c>
      <c r="E254" t="s">
        <v>22</v>
      </c>
      <c r="F254" s="381">
        <v>3</v>
      </c>
      <c r="G254" s="16">
        <f>IF('Dry_Litterbag Placem_Collection'!E181="","",'Dry_Litterbag Placem_Collection'!E181)</f>
        <v>42940</v>
      </c>
      <c r="H254" t="str">
        <f>'Final data_for_R_analysis_Dryse'!K180</f>
        <v>G42</v>
      </c>
      <c r="I254" t="str">
        <f>'Final data_for_R_analysis_Dryse'!K400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30"/>
        <v>1.7032</v>
      </c>
      <c r="M254" s="237">
        <f>AVERAGE(Ashed_controlls!$K$1:$K$11)</f>
        <v>5.5147656768714146</v>
      </c>
      <c r="N254" s="194">
        <f t="shared" si="26"/>
        <v>1.609272510991526</v>
      </c>
      <c r="O254" s="194">
        <f t="shared" si="31"/>
        <v>2.0192000000000001</v>
      </c>
      <c r="P254" s="237">
        <f>AVERAGE(Ashed_controlls!$K$12:$K$14)</f>
        <v>2.2816647271287041</v>
      </c>
      <c r="Q254" s="194">
        <f t="shared" si="27"/>
        <v>1.9731286258298173</v>
      </c>
      <c r="R254" s="16">
        <f>IF('Dry_Litterbag Placem_Collection'!G181="","",'Dry_Litterbag Placem_Collection'!G181)</f>
        <v>43009</v>
      </c>
      <c r="S254" s="194">
        <f>IFERROR(INDEX('Both teabags AfterDry'!$D$3:$D$2000,MATCH(H254,'Both teabags AfterDry'!$A$3:$A$2000,0)),"")</f>
        <v>1.0448</v>
      </c>
      <c r="T254" s="194">
        <f>IFERROR(INDEX('Both teabags AfterDry'!$D$3:$D$2000,MATCH(I254,'Both teabags AfterDry'!$A$3:$A$2000,0)),"")</f>
        <v>2.0198</v>
      </c>
      <c r="U254" s="194">
        <f t="shared" si="32"/>
        <v>0.89419999999999988</v>
      </c>
      <c r="V254" s="194">
        <f t="shared" si="33"/>
        <v>1.8692</v>
      </c>
      <c r="W254" s="194">
        <f>IFERROR(INDEX('Ashed teabags dry'!$K$2:$K$2000,MATCH(H254,'Ashed teabags dry'!$A$2:$A$2000,0)),"")</f>
        <v>41.121951219512503</v>
      </c>
      <c r="X254" s="194">
        <f>IFERROR(INDEX('Ashed teabags dry'!$K$2:$K$2000,MATCH(I254,'Ashed teabags dry'!$A$2:$A$2000,0)),"")</f>
        <v>14.684287812040845</v>
      </c>
      <c r="Y254" s="194">
        <f t="shared" si="28"/>
        <v>0.52648751219511913</v>
      </c>
      <c r="Z254" s="194">
        <f t="shared" si="28"/>
        <v>1.5947212922173324</v>
      </c>
      <c r="AA254" s="194">
        <f t="shared" si="34"/>
        <v>0.67284129406353133</v>
      </c>
      <c r="AB254" s="194">
        <f t="shared" si="35"/>
        <v>0.44110260608440538</v>
      </c>
      <c r="AC254" s="194">
        <f t="shared" si="29"/>
        <v>0.80821963218270054</v>
      </c>
      <c r="AD254">
        <f t="shared" si="36"/>
        <v>69</v>
      </c>
      <c r="AE254" s="194">
        <f t="shared" si="37"/>
        <v>0.20090107593404827</v>
      </c>
      <c r="AF254" s="194">
        <f t="shared" si="38"/>
        <v>8.2685699399221869E-3</v>
      </c>
      <c r="AG254" s="252" t="str">
        <f>IF(ISNUMBER(SEARCH("C", 'Dry_Litterbag Placem_Collection'!$T181)),"YES","NO")</f>
        <v>NO</v>
      </c>
      <c r="AH254" s="252" t="str">
        <f>IF(ISNUMBER(SEARCH("H", 'Dry_Litterbag Placem_Collection'!$T181)),"YES","NO")</f>
        <v>NO</v>
      </c>
      <c r="AI254" s="252" t="str">
        <f>IF(ISNUMBER(SEARCH("R", 'Dry_Litterbag Placem_Collection'!$T181)),"YES","NO")</f>
        <v>YES</v>
      </c>
      <c r="AJ254" s="252" t="str">
        <f>IF(ISNUMBER(SEARCH("C", 'Dry_Litterbag Placem_Collection'!$S181)),"YES","NO")</f>
        <v>NO</v>
      </c>
      <c r="AK254" s="252" t="str">
        <f>IF(ISNUMBER(SEARCH("H", 'Dry_Litterbag Placem_Collection'!$S181)),"YES","NO")</f>
        <v>NO</v>
      </c>
      <c r="AL254" s="252" t="str">
        <f>IF(ISNUMBER(SEARCH("R", 'Dry_Litterbag Placem_Collection'!$S181)),"YES","NO")</f>
        <v>YES</v>
      </c>
    </row>
    <row r="255" spans="2:38">
      <c r="B255" t="str">
        <f>'Final data_for_R_analysis_Dryse'!A181</f>
        <v>Dry</v>
      </c>
      <c r="C255" s="260">
        <f>'Final data_for_R_analysis_Dryse'!B181</f>
        <v>180</v>
      </c>
      <c r="D255" t="s">
        <v>3828</v>
      </c>
      <c r="E255" t="s">
        <v>22</v>
      </c>
      <c r="F255" s="382">
        <v>4</v>
      </c>
      <c r="G255" s="16">
        <f>IF('Dry_Litterbag Placem_Collection'!E182="","",'Dry_Litterbag Placem_Collection'!E182)</f>
        <v>42940</v>
      </c>
      <c r="H255" t="str">
        <f>'Final data_for_R_analysis_Dryse'!K181</f>
        <v>G245</v>
      </c>
      <c r="I255" t="str">
        <f>'Final data_for_R_analysis_Dryse'!K401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30"/>
        <v>1.7652000000000001</v>
      </c>
      <c r="M255" s="237">
        <f>AVERAGE(Ashed_controlls!$K$1:$K$11)</f>
        <v>5.5147656768714146</v>
      </c>
      <c r="N255" s="194">
        <f t="shared" si="26"/>
        <v>1.6678533562718658</v>
      </c>
      <c r="O255" s="194">
        <f t="shared" si="31"/>
        <v>1.9571999999999998</v>
      </c>
      <c r="P255" s="237">
        <f>AVERAGE(Ashed_controlls!$K$12:$K$14)</f>
        <v>2.2816647271287041</v>
      </c>
      <c r="Q255" s="194">
        <f t="shared" si="27"/>
        <v>1.9125432579606367</v>
      </c>
      <c r="R255" s="16">
        <f>IF('Dry_Litterbag Placem_Collection'!G182="","",'Dry_Litterbag Placem_Collection'!G182)</f>
        <v>43009</v>
      </c>
      <c r="S255" s="194">
        <f>IFERROR(INDEX('Both teabags AfterDry'!$D$3:$D$2000,MATCH(H255,'Both teabags AfterDry'!$A$3:$A$2000,0)),"")</f>
        <v>0.81240000000000001</v>
      </c>
      <c r="T255" s="194">
        <f>IFERROR(INDEX('Both teabags AfterDry'!$D$3:$D$2000,MATCH(I255,'Both teabags AfterDry'!$A$3:$A$2000,0)),"")</f>
        <v>1.6720999999999999</v>
      </c>
      <c r="U255" s="194">
        <f t="shared" si="32"/>
        <v>0.66179999999999994</v>
      </c>
      <c r="V255" s="194">
        <f t="shared" si="33"/>
        <v>1.5214999999999999</v>
      </c>
      <c r="W255" s="194">
        <f>IFERROR(INDEX('Ashed teabags dry'!$K$2:$K$2000,MATCH(H255,'Ashed teabags dry'!$A$2:$A$2000,0)),"")</f>
        <v>19.084712755598879</v>
      </c>
      <c r="X255" s="194">
        <f>IFERROR(INDEX('Ashed teabags dry'!$K$2:$K$2000,MATCH(I255,'Ashed teabags dry'!$A$2:$A$2000,0)),"")</f>
        <v>6.4801178203239465</v>
      </c>
      <c r="Y255" s="194">
        <f t="shared" si="28"/>
        <v>0.53549737098344652</v>
      </c>
      <c r="Z255" s="194">
        <f t="shared" si="28"/>
        <v>1.422905007363771</v>
      </c>
      <c r="AA255" s="194">
        <f t="shared" si="34"/>
        <v>0.67893018353817514</v>
      </c>
      <c r="AB255" s="194">
        <f t="shared" si="35"/>
        <v>0.44509437210578712</v>
      </c>
      <c r="AC255" s="194">
        <f t="shared" si="29"/>
        <v>0.74398579035594115</v>
      </c>
      <c r="AD255">
        <f t="shared" si="36"/>
        <v>69</v>
      </c>
      <c r="AE255" s="194">
        <f t="shared" si="37"/>
        <v>0.19366961575038577</v>
      </c>
      <c r="AF255" s="194">
        <f t="shared" si="38"/>
        <v>1.2407467633088675E-2</v>
      </c>
      <c r="AG255" s="252" t="str">
        <f>IF(ISNUMBER(SEARCH("C", 'Dry_Litterbag Placem_Collection'!$T182)),"YES","NO")</f>
        <v>NO</v>
      </c>
      <c r="AH255" s="252" t="str">
        <f>IF(ISNUMBER(SEARCH("H", 'Dry_Litterbag Placem_Collection'!$T182)),"YES","NO")</f>
        <v>NO</v>
      </c>
      <c r="AI255" s="252" t="str">
        <f>IF(ISNUMBER(SEARCH("R", 'Dry_Litterbag Placem_Collection'!$T182)),"YES","NO")</f>
        <v>NO</v>
      </c>
      <c r="AJ255" s="252" t="str">
        <f>IF(ISNUMBER(SEARCH("C", 'Dry_Litterbag Placem_Collection'!$S182)),"YES","NO")</f>
        <v>NO</v>
      </c>
      <c r="AK255" s="252" t="str">
        <f>IF(ISNUMBER(SEARCH("H", 'Dry_Litterbag Placem_Collection'!$S182)),"YES","NO")</f>
        <v>NO</v>
      </c>
      <c r="AL255" s="252" t="str">
        <f>IF(ISNUMBER(SEARCH("R", 'Dry_Litterbag Placem_Collection'!$S182)),"YES","NO")</f>
        <v>YES</v>
      </c>
    </row>
    <row r="256" spans="2:38">
      <c r="B256" t="str">
        <f>'Final data_for_R_analysis_Dryse'!A182</f>
        <v>Dry</v>
      </c>
      <c r="C256" s="260">
        <f>'Final data_for_R_analysis_Dryse'!B182</f>
        <v>181</v>
      </c>
      <c r="D256" t="s">
        <v>3828</v>
      </c>
      <c r="E256" t="s">
        <v>22</v>
      </c>
      <c r="F256" s="382">
        <v>5</v>
      </c>
      <c r="G256" s="16">
        <f>IF('Dry_Litterbag Placem_Collection'!E183="","",'Dry_Litterbag Placem_Collection'!E183)</f>
        <v>42940</v>
      </c>
      <c r="H256" t="str">
        <f>'Final data_for_R_analysis_Dryse'!K182</f>
        <v>G411</v>
      </c>
      <c r="I256" t="str">
        <f>'Final data_for_R_analysis_Dryse'!K402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30"/>
        <v>1.8622000000000001</v>
      </c>
      <c r="M256" s="237">
        <f>AVERAGE(Ashed_controlls!$K$1:$K$11)</f>
        <v>5.5147656768714146</v>
      </c>
      <c r="N256" s="194">
        <f t="shared" si="26"/>
        <v>1.7595040335653005</v>
      </c>
      <c r="O256" s="194">
        <f t="shared" si="31"/>
        <v>2.0411999999999999</v>
      </c>
      <c r="P256" s="237">
        <f>AVERAGE(Ashed_controlls!$K$12:$K$14)</f>
        <v>2.2816647271287041</v>
      </c>
      <c r="Q256" s="194">
        <f t="shared" si="27"/>
        <v>1.9946266595898487</v>
      </c>
      <c r="R256" s="16">
        <f>IF('Dry_Litterbag Placem_Collection'!G183="","",'Dry_Litterbag Placem_Collection'!G183)</f>
        <v>43009</v>
      </c>
      <c r="S256" s="194">
        <f>IFERROR(INDEX('Both teabags AfterDry'!$D$3:$D$2000,MATCH(H256,'Both teabags AfterDry'!$A$3:$A$2000,0)),"")</f>
        <v>0.76629999999999998</v>
      </c>
      <c r="T256" s="194">
        <f>IFERROR(INDEX('Both teabags AfterDry'!$D$3:$D$2000,MATCH(I256,'Both teabags AfterDry'!$A$3:$A$2000,0)),"")</f>
        <v>2.0322</v>
      </c>
      <c r="U256" s="194">
        <f t="shared" si="32"/>
        <v>0.61569999999999991</v>
      </c>
      <c r="V256" s="194">
        <f t="shared" si="33"/>
        <v>1.8815999999999999</v>
      </c>
      <c r="W256" s="194">
        <f>IFERROR(INDEX('Ashed teabags dry'!$K$2:$K$2000,MATCH(H256,'Ashed teabags dry'!$A$2:$A$2000,0)),"")</f>
        <v>18.218018914882634</v>
      </c>
      <c r="X256" s="194">
        <f>IFERROR(INDEX('Ashed teabags dry'!$K$2:$K$2000,MATCH(I256,'Ashed teabags dry'!$A$2:$A$2000,0)),"")</f>
        <v>7.2674418604643565</v>
      </c>
      <c r="Y256" s="194">
        <f t="shared" si="28"/>
        <v>0.50353165754106755</v>
      </c>
      <c r="Z256" s="194">
        <f t="shared" si="28"/>
        <v>1.7448558139535026</v>
      </c>
      <c r="AA256" s="194">
        <f t="shared" si="34"/>
        <v>0.71382182255032611</v>
      </c>
      <c r="AB256" s="194">
        <f t="shared" si="35"/>
        <v>0.467968700769335</v>
      </c>
      <c r="AC256" s="194">
        <f t="shared" si="29"/>
        <v>0.8747781473613182</v>
      </c>
      <c r="AD256">
        <f t="shared" si="36"/>
        <v>69</v>
      </c>
      <c r="AE256" s="194">
        <f t="shared" si="37"/>
        <v>0.15223061454830622</v>
      </c>
      <c r="AF256" s="194">
        <f t="shared" si="38"/>
        <v>4.5131781508547849E-3</v>
      </c>
      <c r="AG256" s="252" t="str">
        <f>IF(ISNUMBER(SEARCH("C", 'Dry_Litterbag Placem_Collection'!$T183)),"YES","NO")</f>
        <v>NO</v>
      </c>
      <c r="AH256" s="252" t="str">
        <f>IF(ISNUMBER(SEARCH("H", 'Dry_Litterbag Placem_Collection'!$T183)),"YES","NO")</f>
        <v>NO</v>
      </c>
      <c r="AI256" s="252" t="str">
        <f>IF(ISNUMBER(SEARCH("R", 'Dry_Litterbag Placem_Collection'!$T183)),"YES","NO")</f>
        <v>YES</v>
      </c>
      <c r="AJ256" s="252" t="str">
        <f>IF(ISNUMBER(SEARCH("C", 'Dry_Litterbag Placem_Collection'!$S183)),"YES","NO")</f>
        <v>NO</v>
      </c>
      <c r="AK256" s="252" t="str">
        <f>IF(ISNUMBER(SEARCH("H", 'Dry_Litterbag Placem_Collection'!$S183)),"YES","NO")</f>
        <v>NO</v>
      </c>
      <c r="AL256" s="252" t="str">
        <f>IF(ISNUMBER(SEARCH("R", 'Dry_Litterbag Placem_Collection'!$S183)),"YES","NO")</f>
        <v>YES</v>
      </c>
    </row>
    <row r="257" spans="2:38">
      <c r="B257" t="str">
        <f>'Final data_for_R_analysis_Dryse'!A183</f>
        <v>Dry</v>
      </c>
      <c r="C257" s="260">
        <f>'Final data_for_R_analysis_Dryse'!B183</f>
        <v>182</v>
      </c>
      <c r="D257" t="s">
        <v>3828</v>
      </c>
      <c r="E257" t="s">
        <v>22</v>
      </c>
      <c r="F257" s="382">
        <v>6</v>
      </c>
      <c r="G257" s="16">
        <f>IF('Dry_Litterbag Placem_Collection'!E184="","",'Dry_Litterbag Placem_Collection'!E184)</f>
        <v>42940</v>
      </c>
      <c r="H257" t="str">
        <f>'Final data_for_R_analysis_Dryse'!K183</f>
        <v>G309</v>
      </c>
      <c r="I257" t="str">
        <f>'Final data_for_R_analysis_Dryse'!K403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30"/>
        <v>1.8081999999999998</v>
      </c>
      <c r="M257" s="237">
        <f>AVERAGE(Ashed_controlls!$K$1:$K$11)</f>
        <v>5.5147656768714146</v>
      </c>
      <c r="N257" s="194">
        <f t="shared" si="26"/>
        <v>1.7084820070308109</v>
      </c>
      <c r="O257" s="194">
        <f t="shared" si="31"/>
        <v>1.9182000000000001</v>
      </c>
      <c r="P257" s="237">
        <f>AVERAGE(Ashed_controlls!$K$12:$K$14)</f>
        <v>2.2816647271287041</v>
      </c>
      <c r="Q257" s="194">
        <f t="shared" si="27"/>
        <v>1.8744331072042173</v>
      </c>
      <c r="R257" s="16">
        <f>IF('Dry_Litterbag Placem_Collection'!G184="","",'Dry_Litterbag Placem_Collection'!G184)</f>
        <v>43009</v>
      </c>
      <c r="S257" s="194">
        <f>IFERROR(INDEX('Both teabags AfterDry'!$D$3:$D$2000,MATCH(H257,'Both teabags AfterDry'!$A$3:$A$2000,0)),"")</f>
        <v>0.88170000000000004</v>
      </c>
      <c r="T257" s="194">
        <f>IFERROR(INDEX('Both teabags AfterDry'!$D$3:$D$2000,MATCH(I257,'Both teabags AfterDry'!$A$3:$A$2000,0)),"")</f>
        <v>1.7827</v>
      </c>
      <c r="U257" s="194">
        <f t="shared" si="32"/>
        <v>0.73110000000000008</v>
      </c>
      <c r="V257" s="194">
        <f t="shared" si="33"/>
        <v>1.6320999999999999</v>
      </c>
      <c r="W257" s="194">
        <f>IFERROR(INDEX('Ashed teabags dry'!$K$2:$K$2000,MATCH(H257,'Ashed teabags dry'!$A$2:$A$2000,0)),"")</f>
        <v>34.288537549406669</v>
      </c>
      <c r="X257" s="194">
        <f>IFERROR(INDEX('Ashed teabags dry'!$K$2:$K$2000,MATCH(I257,'Ashed teabags dry'!$A$2:$A$2000,0)),"")</f>
        <v>22.3821339950374</v>
      </c>
      <c r="Y257" s="194">
        <f t="shared" si="28"/>
        <v>0.48041650197628794</v>
      </c>
      <c r="Z257" s="194">
        <f t="shared" si="28"/>
        <v>1.2668011910669945</v>
      </c>
      <c r="AA257" s="194">
        <f t="shared" si="34"/>
        <v>0.71880505618481227</v>
      </c>
      <c r="AB257" s="194">
        <f t="shared" si="35"/>
        <v>0.47123561878149217</v>
      </c>
      <c r="AC257" s="194">
        <f t="shared" si="29"/>
        <v>0.67583163474767738</v>
      </c>
      <c r="AD257">
        <f t="shared" si="36"/>
        <v>69</v>
      </c>
      <c r="AE257" s="194">
        <f t="shared" si="37"/>
        <v>0.14631228481613745</v>
      </c>
      <c r="AF257" s="194">
        <f t="shared" si="38"/>
        <v>1.687635118792085E-2</v>
      </c>
      <c r="AG257" s="252" t="str">
        <f>IF(ISNUMBER(SEARCH("C", 'Dry_Litterbag Placem_Collection'!$T184)),"YES","NO")</f>
        <v>YES</v>
      </c>
      <c r="AH257" s="252" t="str">
        <f>IF(ISNUMBER(SEARCH("H", 'Dry_Litterbag Placem_Collection'!$T184)),"YES","NO")</f>
        <v>YES</v>
      </c>
      <c r="AI257" s="252" t="str">
        <f>IF(ISNUMBER(SEARCH("R", 'Dry_Litterbag Placem_Collection'!$T184)),"YES","NO")</f>
        <v>YES</v>
      </c>
      <c r="AJ257" s="252" t="str">
        <f>IF(ISNUMBER(SEARCH("C", 'Dry_Litterbag Placem_Collection'!$S184)),"YES","NO")</f>
        <v>NO</v>
      </c>
      <c r="AK257" s="252" t="str">
        <f>IF(ISNUMBER(SEARCH("H", 'Dry_Litterbag Placem_Collection'!$S184)),"YES","NO")</f>
        <v>NO</v>
      </c>
      <c r="AL257" s="252" t="str">
        <f>IF(ISNUMBER(SEARCH("R", 'Dry_Litterbag Placem_Collection'!$S184)),"YES","NO")</f>
        <v>NO</v>
      </c>
    </row>
    <row r="258" spans="2:38">
      <c r="B258" t="str">
        <f>'Final data_for_R_analysis_Dryse'!A184</f>
        <v>Dry</v>
      </c>
      <c r="C258" s="260">
        <f>'Final data_for_R_analysis_Dryse'!B184</f>
        <v>183</v>
      </c>
      <c r="D258" t="s">
        <v>3828</v>
      </c>
      <c r="E258" t="s">
        <v>22</v>
      </c>
      <c r="F258" s="382">
        <v>7</v>
      </c>
      <c r="G258" s="16" t="str">
        <f>IF('Dry_Litterbag Placem_Collection'!E185="","",'Dry_Litterbag Placem_Collection'!E185)</f>
        <v/>
      </c>
      <c r="H258" t="str">
        <f>'Final data_for_R_analysis_Dryse'!K184</f>
        <v/>
      </c>
      <c r="I258" t="str">
        <f>'Final data_for_R_analysis_Dryse'!K404</f>
        <v/>
      </c>
      <c r="J258" t="str">
        <f>IFERROR(INDEX('Green_rooibos initial weight'!$C$5:$C$2000,MATCH(H258, 'Green_rooibos initial weight'!$A$5:$A$2000,0)),"")</f>
        <v/>
      </c>
      <c r="K258" t="str">
        <f>IFERROR(INDEX('Green_rooibos initial weight'!$C$5:$C$2000,MATCH(I258, 'Green_rooibos initial weight'!$A$5:$A$2000,0)),"")</f>
        <v/>
      </c>
      <c r="L258" s="194" t="str">
        <f t="shared" si="30"/>
        <v/>
      </c>
      <c r="M258" s="237">
        <f>AVERAGE(Ashed_controlls!$K$1:$K$11)</f>
        <v>5.5147656768714146</v>
      </c>
      <c r="N258" s="194" t="str">
        <f t="shared" si="26"/>
        <v/>
      </c>
      <c r="O258" s="194" t="str">
        <f t="shared" si="31"/>
        <v/>
      </c>
      <c r="P258" s="237">
        <f>AVERAGE(Ashed_controlls!$K$12:$K$14)</f>
        <v>2.2816647271287041</v>
      </c>
      <c r="Q258" s="194" t="str">
        <f t="shared" si="27"/>
        <v/>
      </c>
      <c r="R258" s="16" t="str">
        <f>IF('Dry_Litterbag Placem_Collection'!G185="","",'Dry_Litterbag Placem_Collection'!G185)</f>
        <v/>
      </c>
      <c r="S258" s="194" t="str">
        <f>IFERROR(INDEX('Both teabags AfterDry'!$D$3:$D$2000,MATCH(H258,'Both teabags AfterDry'!$A$3:$A$2000,0)),"")</f>
        <v/>
      </c>
      <c r="T258" s="194" t="str">
        <f>IFERROR(INDEX('Both teabags AfterDry'!$D$3:$D$2000,MATCH(I258,'Both teabags AfterDry'!$A$3:$A$2000,0)),"")</f>
        <v/>
      </c>
      <c r="U258" s="194" t="str">
        <f t="shared" si="32"/>
        <v/>
      </c>
      <c r="V258" s="194" t="str">
        <f t="shared" si="33"/>
        <v/>
      </c>
      <c r="W258" s="194" t="str">
        <f>IFERROR(INDEX('Ashed teabags dry'!$K$2:$K$2000,MATCH(H258,'Ashed teabags dry'!$A$2:$A$2000,0)),"")</f>
        <v/>
      </c>
      <c r="X258" s="194" t="str">
        <f>IFERROR(INDEX('Ashed teabags dry'!$K$2:$K$2000,MATCH(I258,'Ashed teabags dry'!$A$2:$A$2000,0)),"")</f>
        <v/>
      </c>
      <c r="Y258" s="194" t="str">
        <f t="shared" si="28"/>
        <v/>
      </c>
      <c r="Z258" s="194" t="str">
        <f t="shared" si="28"/>
        <v/>
      </c>
      <c r="AA258" s="194" t="str">
        <f t="shared" si="34"/>
        <v/>
      </c>
      <c r="AB258" s="194" t="str">
        <f t="shared" si="35"/>
        <v/>
      </c>
      <c r="AC258" s="194" t="str">
        <f t="shared" si="29"/>
        <v/>
      </c>
      <c r="AD258" t="str">
        <f t="shared" si="36"/>
        <v/>
      </c>
      <c r="AE258" s="194" t="str">
        <f t="shared" si="37"/>
        <v/>
      </c>
      <c r="AF258" s="194" t="str">
        <f t="shared" si="38"/>
        <v/>
      </c>
      <c r="AG258" s="252" t="str">
        <f>IF(ISNUMBER(SEARCH("C", 'Dry_Litterbag Placem_Collection'!$T185)),"YES","NO")</f>
        <v>NO</v>
      </c>
      <c r="AH258" s="252" t="str">
        <f>IF(ISNUMBER(SEARCH("H", 'Dry_Litterbag Placem_Collection'!$T185)),"YES","NO")</f>
        <v>NO</v>
      </c>
      <c r="AI258" s="252" t="str">
        <f>IF(ISNUMBER(SEARCH("R", 'Dry_Litterbag Placem_Collection'!$T185)),"YES","NO")</f>
        <v>NO</v>
      </c>
      <c r="AJ258" s="252" t="str">
        <f>IF(ISNUMBER(SEARCH("C", 'Dry_Litterbag Placem_Collection'!$S185)),"YES","NO")</f>
        <v>NO</v>
      </c>
      <c r="AK258" s="252" t="str">
        <f>IF(ISNUMBER(SEARCH("H", 'Dry_Litterbag Placem_Collection'!$S185)),"YES","NO")</f>
        <v>NO</v>
      </c>
      <c r="AL258" s="252" t="str">
        <f>IF(ISNUMBER(SEARCH("R", 'Dry_Litterbag Placem_Collection'!$S185)),"YES","NO")</f>
        <v>NO</v>
      </c>
    </row>
    <row r="259" spans="2:38">
      <c r="B259" t="str">
        <f>'Final data_for_R_analysis_Dryse'!A185</f>
        <v>Dry</v>
      </c>
      <c r="C259" s="260">
        <f>'Final data_for_R_analysis_Dryse'!B185</f>
        <v>184</v>
      </c>
      <c r="D259" t="s">
        <v>3828</v>
      </c>
      <c r="E259" t="s">
        <v>22</v>
      </c>
      <c r="F259" s="382">
        <v>8</v>
      </c>
      <c r="G259" s="16">
        <f>IF('Dry_Litterbag Placem_Collection'!E186="","",'Dry_Litterbag Placem_Collection'!E186)</f>
        <v>42940</v>
      </c>
      <c r="H259" t="str">
        <f>'Final data_for_R_analysis_Dryse'!K185</f>
        <v>G235</v>
      </c>
      <c r="I259" t="str">
        <f>'Final data_for_R_analysis_Dryse'!K405</f>
        <v>R179</v>
      </c>
      <c r="J259">
        <f>IFERROR(INDEX('Green_rooibos initial weight'!$C$5:$C$2000,MATCH(H259, 'Green_rooibos initial weight'!$A$5:$A$2000,0)),"")</f>
        <v>1.9259999999999999</v>
      </c>
      <c r="K259">
        <f>IFERROR(INDEX('Green_rooibos initial weight'!$C$5:$C$2000,MATCH(I259, 'Green_rooibos initial weight'!$A$5:$A$2000,0)),"")</f>
        <v>2.177</v>
      </c>
      <c r="L259" s="194">
        <f t="shared" si="30"/>
        <v>1.6761999999999999</v>
      </c>
      <c r="M259" s="237">
        <f>AVERAGE(Ashed_controlls!$K$1:$K$11)</f>
        <v>5.5147656768714146</v>
      </c>
      <c r="N259" s="194">
        <f t="shared" si="26"/>
        <v>1.5837614977242813</v>
      </c>
      <c r="O259" s="194">
        <f t="shared" si="31"/>
        <v>1.9272</v>
      </c>
      <c r="P259" s="237">
        <f>AVERAGE(Ashed_controlls!$K$12:$K$14)</f>
        <v>2.2816647271287041</v>
      </c>
      <c r="Q259" s="194">
        <f t="shared" si="27"/>
        <v>1.8832277573787757</v>
      </c>
      <c r="R259" s="16">
        <f>IF('Dry_Litterbag Placem_Collection'!G186="","",'Dry_Litterbag Placem_Collection'!G186)</f>
        <v>43009</v>
      </c>
      <c r="S259" s="194">
        <f>IFERROR(INDEX('Both teabags AfterDry'!$D$3:$D$2000,MATCH(H259,'Both teabags AfterDry'!$A$3:$A$2000,0)),"")</f>
        <v>0.66620000000000001</v>
      </c>
      <c r="T259" s="194">
        <f>IFERROR(INDEX('Both teabags AfterDry'!$D$3:$D$2000,MATCH(I259,'Both teabags AfterDry'!$A$3:$A$2000,0)),"")</f>
        <v>1.7174</v>
      </c>
      <c r="U259" s="194">
        <f t="shared" si="32"/>
        <v>0.51560000000000006</v>
      </c>
      <c r="V259" s="194">
        <f t="shared" si="33"/>
        <v>1.5668</v>
      </c>
      <c r="W259" s="194">
        <f>IFERROR(INDEX('Ashed teabags dry'!$K$2:$K$2000,MATCH(H259,'Ashed teabags dry'!$A$2:$A$2000,0)),"")</f>
        <v>28.09315866084463</v>
      </c>
      <c r="X259" s="194">
        <f>IFERROR(INDEX('Ashed teabags dry'!$K$2:$K$2000,MATCH(I259,'Ashed teabags dry'!$A$2:$A$2000,0)),"")</f>
        <v>5.7032382793619867</v>
      </c>
      <c r="Y259" s="194">
        <f t="shared" si="28"/>
        <v>0.37075167394468511</v>
      </c>
      <c r="Z259" s="194">
        <f t="shared" si="28"/>
        <v>1.4774416626389564</v>
      </c>
      <c r="AA259" s="194">
        <f t="shared" si="34"/>
        <v>0.7659043520899953</v>
      </c>
      <c r="AB259" s="194">
        <f t="shared" si="35"/>
        <v>0.502113066928358</v>
      </c>
      <c r="AC259" s="194">
        <f t="shared" si="29"/>
        <v>0.78452627774315298</v>
      </c>
      <c r="AD259">
        <f t="shared" si="36"/>
        <v>69</v>
      </c>
      <c r="AE259" s="194">
        <f t="shared" si="37"/>
        <v>9.0374878752974674E-2</v>
      </c>
      <c r="AF259" s="194">
        <f t="shared" si="38"/>
        <v>8.1246455145481105E-3</v>
      </c>
      <c r="AG259" s="252" t="str">
        <f>IF(ISNUMBER(SEARCH("C", 'Dry_Litterbag Placem_Collection'!$T186)),"YES","NO")</f>
        <v>NO</v>
      </c>
      <c r="AH259" s="252" t="str">
        <f>IF(ISNUMBER(SEARCH("H", 'Dry_Litterbag Placem_Collection'!$T186)),"YES","NO")</f>
        <v>NO</v>
      </c>
      <c r="AI259" s="252" t="str">
        <f>IF(ISNUMBER(SEARCH("R", 'Dry_Litterbag Placem_Collection'!$T186)),"YES","NO")</f>
        <v>YES</v>
      </c>
      <c r="AJ259" s="252" t="str">
        <f>IF(ISNUMBER(SEARCH("C", 'Dry_Litterbag Placem_Collection'!$S186)),"YES","NO")</f>
        <v>NO</v>
      </c>
      <c r="AK259" s="252" t="str">
        <f>IF(ISNUMBER(SEARCH("H", 'Dry_Litterbag Placem_Collection'!$S186)),"YES","NO")</f>
        <v>NO</v>
      </c>
      <c r="AL259" s="252" t="str">
        <f>IF(ISNUMBER(SEARCH("R", 'Dry_Litterbag Placem_Collection'!$S186)),"YES","NO")</f>
        <v>YES</v>
      </c>
    </row>
    <row r="260" spans="2:38">
      <c r="B260" t="str">
        <f>'Final data_for_R_analysis_Dryse'!A186</f>
        <v>Dry</v>
      </c>
      <c r="C260" s="260">
        <f>'Final data_for_R_analysis_Dryse'!B186</f>
        <v>185</v>
      </c>
      <c r="D260" t="s">
        <v>3829</v>
      </c>
      <c r="E260" t="s">
        <v>22</v>
      </c>
      <c r="F260" s="381">
        <v>1</v>
      </c>
      <c r="G260" s="16">
        <f>IF('Dry_Litterbag Placem_Collection'!E187="","",'Dry_Litterbag Placem_Collection'!E187)</f>
        <v>42940</v>
      </c>
      <c r="H260" t="str">
        <f>'Final data_for_R_analysis_Dryse'!K186</f>
        <v>G369</v>
      </c>
      <c r="I260" t="str">
        <f>'Final data_for_R_analysis_Dryse'!K406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30"/>
        <v>1.8721999999999999</v>
      </c>
      <c r="M260" s="237">
        <f>AVERAGE(Ashed_controlls!$K$1:$K$11)</f>
        <v>5.5147656768714146</v>
      </c>
      <c r="N260" s="194">
        <f t="shared" si="26"/>
        <v>1.7689525569976132</v>
      </c>
      <c r="O260" s="194">
        <f t="shared" si="31"/>
        <v>1.9832000000000001</v>
      </c>
      <c r="P260" s="237">
        <f>AVERAGE(Ashed_controlls!$K$12:$K$14)</f>
        <v>2.2816647271287041</v>
      </c>
      <c r="Q260" s="194">
        <f t="shared" si="27"/>
        <v>1.9379500251315835</v>
      </c>
      <c r="R260" s="16">
        <f>IF('Dry_Litterbag Placem_Collection'!G187="","",'Dry_Litterbag Placem_Collection'!G187)</f>
        <v>43009</v>
      </c>
      <c r="S260" s="194" t="str">
        <f>IFERROR(INDEX('Both teabags AfterDry'!$D$3:$D$2000,MATCH(H260,'Both teabags AfterDry'!$A$3:$A$2000,0)),"")</f>
        <v/>
      </c>
      <c r="T260" s="194" t="str">
        <f>IFERROR(INDEX('Both teabags AfterDry'!$D$3:$D$2000,MATCH(I260,'Both teabags AfterDry'!$A$3:$A$2000,0)),"")</f>
        <v/>
      </c>
      <c r="U260" s="194" t="str">
        <f t="shared" si="32"/>
        <v/>
      </c>
      <c r="V260" s="194" t="str">
        <f t="shared" si="33"/>
        <v/>
      </c>
      <c r="W260" s="194" t="str">
        <f>IFERROR(INDEX('Ashed teabags dry'!$K$2:$K$2000,MATCH(H260,'Ashed teabags dry'!$A$2:$A$2000,0)),"")</f>
        <v/>
      </c>
      <c r="X260" s="194" t="str">
        <f>IFERROR(INDEX('Ashed teabags dry'!$K$2:$K$2000,MATCH(I260,'Ashed teabags dry'!$A$2:$A$2000,0)),"")</f>
        <v/>
      </c>
      <c r="Y260" s="194" t="str">
        <f t="shared" si="28"/>
        <v/>
      </c>
      <c r="Z260" s="194" t="str">
        <f t="shared" si="28"/>
        <v/>
      </c>
      <c r="AA260" s="194" t="str">
        <f t="shared" si="34"/>
        <v/>
      </c>
      <c r="AB260" s="194" t="str">
        <f t="shared" si="35"/>
        <v/>
      </c>
      <c r="AC260" s="194" t="str">
        <f t="shared" si="29"/>
        <v/>
      </c>
      <c r="AD260">
        <f t="shared" si="36"/>
        <v>69</v>
      </c>
      <c r="AE260" s="194" t="str">
        <f t="shared" si="37"/>
        <v/>
      </c>
      <c r="AF260" s="194" t="str">
        <f t="shared" si="38"/>
        <v/>
      </c>
      <c r="AG260" s="252" t="str">
        <f>IF(ISNUMBER(SEARCH("C", 'Dry_Litterbag Placem_Collection'!$T187)),"YES","NO")</f>
        <v>NO</v>
      </c>
      <c r="AH260" s="252" t="str">
        <f>IF(ISNUMBER(SEARCH("H", 'Dry_Litterbag Placem_Collection'!$T187)),"YES","NO")</f>
        <v>YES</v>
      </c>
      <c r="AI260" s="252" t="str">
        <f>IF(ISNUMBER(SEARCH("R", 'Dry_Litterbag Placem_Collection'!$T187)),"YES","NO")</f>
        <v>NO</v>
      </c>
      <c r="AJ260" s="252" t="str">
        <f>IF(ISNUMBER(SEARCH("C", 'Dry_Litterbag Placem_Collection'!$S187)),"YES","NO")</f>
        <v>NO</v>
      </c>
      <c r="AK260" s="252" t="str">
        <f>IF(ISNUMBER(SEARCH("H", 'Dry_Litterbag Placem_Collection'!$S187)),"YES","NO")</f>
        <v>NO</v>
      </c>
      <c r="AL260" s="252" t="str">
        <f>IF(ISNUMBER(SEARCH("R", 'Dry_Litterbag Placem_Collection'!$S187)),"YES","NO")</f>
        <v>NO</v>
      </c>
    </row>
    <row r="261" spans="2:38">
      <c r="B261" t="str">
        <f>'Final data_for_R_analysis_Dryse'!A187</f>
        <v>Dry</v>
      </c>
      <c r="C261" s="260">
        <f>'Final data_for_R_analysis_Dryse'!B187</f>
        <v>186</v>
      </c>
      <c r="D261" t="s">
        <v>3829</v>
      </c>
      <c r="E261" t="s">
        <v>22</v>
      </c>
      <c r="F261" s="381">
        <v>2</v>
      </c>
      <c r="G261" s="16">
        <f>IF('Dry_Litterbag Placem_Collection'!E188="","",'Dry_Litterbag Placem_Collection'!E188)</f>
        <v>42940</v>
      </c>
      <c r="H261" t="str">
        <f>'Final data_for_R_analysis_Dryse'!K187</f>
        <v>G295</v>
      </c>
      <c r="I261" t="str">
        <f>'Final data_for_R_analysis_Dryse'!K407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30"/>
        <v>1.7881999999999998</v>
      </c>
      <c r="M261" s="237">
        <f>AVERAGE(Ashed_controlls!$K$1:$K$11)</f>
        <v>5.5147656768714146</v>
      </c>
      <c r="N261" s="194">
        <f t="shared" si="26"/>
        <v>1.6895849601661852</v>
      </c>
      <c r="O261" s="194">
        <f t="shared" si="31"/>
        <v>1.9121999999999999</v>
      </c>
      <c r="P261" s="237">
        <f>AVERAGE(Ashed_controlls!$K$12:$K$14)</f>
        <v>2.2816647271287041</v>
      </c>
      <c r="Q261" s="194">
        <f t="shared" si="27"/>
        <v>1.8685700070878448</v>
      </c>
      <c r="R261" s="16">
        <f>IF('Dry_Litterbag Placem_Collection'!G188="","",'Dry_Litterbag Placem_Collection'!G188)</f>
        <v>43009</v>
      </c>
      <c r="S261" s="194">
        <f>IFERROR(INDEX('Both teabags AfterDry'!$D$3:$D$2000,MATCH(H261,'Both teabags AfterDry'!$A$3:$A$2000,0)),"")</f>
        <v>0.92659999999999998</v>
      </c>
      <c r="T261" s="194">
        <f>IFERROR(INDEX('Both teabags AfterDry'!$D$3:$D$2000,MATCH(I261,'Both teabags AfterDry'!$A$3:$A$2000,0)),"")</f>
        <v>1.7592000000000001</v>
      </c>
      <c r="U261" s="194">
        <f t="shared" si="32"/>
        <v>0.77600000000000002</v>
      </c>
      <c r="V261" s="194">
        <f t="shared" si="33"/>
        <v>1.6086</v>
      </c>
      <c r="W261" s="194">
        <f>IFERROR(INDEX('Ashed teabags dry'!$K$2:$K$2000,MATCH(H261,'Ashed teabags dry'!$A$2:$A$2000,0)),"")</f>
        <v>26.422563087580492</v>
      </c>
      <c r="X261" s="194">
        <f>IFERROR(INDEX('Ashed teabags dry'!$K$2:$K$2000,MATCH(I261,'Ashed teabags dry'!$A$2:$A$2000,0)),"")</f>
        <v>31.265266243282504</v>
      </c>
      <c r="Y261" s="194">
        <f t="shared" si="28"/>
        <v>0.57096091044037545</v>
      </c>
      <c r="Z261" s="194">
        <f t="shared" si="28"/>
        <v>1.1056669272105577</v>
      </c>
      <c r="AA261" s="194">
        <f t="shared" si="34"/>
        <v>0.66207031673375183</v>
      </c>
      <c r="AB261" s="194">
        <f t="shared" si="35"/>
        <v>0.4340413477874478</v>
      </c>
      <c r="AC261" s="194">
        <f t="shared" si="29"/>
        <v>0.5917182246405277</v>
      </c>
      <c r="AD261">
        <f t="shared" si="36"/>
        <v>69</v>
      </c>
      <c r="AE261" s="194">
        <f t="shared" si="37"/>
        <v>0.21369321052998591</v>
      </c>
      <c r="AF261" s="194">
        <f t="shared" si="38"/>
        <v>4.0932369538499956E-2</v>
      </c>
      <c r="AG261" s="252" t="str">
        <f>IF(ISNUMBER(SEARCH("C", 'Dry_Litterbag Placem_Collection'!$T188)),"YES","NO")</f>
        <v>YES</v>
      </c>
      <c r="AH261" s="252" t="str">
        <f>IF(ISNUMBER(SEARCH("H", 'Dry_Litterbag Placem_Collection'!$T188)),"YES","NO")</f>
        <v>YES</v>
      </c>
      <c r="AI261" s="252" t="str">
        <f>IF(ISNUMBER(SEARCH("R", 'Dry_Litterbag Placem_Collection'!$T188)),"YES","NO")</f>
        <v>NO</v>
      </c>
      <c r="AJ261" s="252" t="str">
        <f>IF(ISNUMBER(SEARCH("C", 'Dry_Litterbag Placem_Collection'!$S188)),"YES","NO")</f>
        <v>NO</v>
      </c>
      <c r="AK261" s="252" t="str">
        <f>IF(ISNUMBER(SEARCH("H", 'Dry_Litterbag Placem_Collection'!$S188)),"YES","NO")</f>
        <v>YES</v>
      </c>
      <c r="AL261" s="252" t="str">
        <f>IF(ISNUMBER(SEARCH("R", 'Dry_Litterbag Placem_Collection'!$S188)),"YES","NO")</f>
        <v>YES</v>
      </c>
    </row>
    <row r="262" spans="2:38">
      <c r="B262" t="str">
        <f>'Final data_for_R_analysis_Dryse'!A188</f>
        <v>Dry</v>
      </c>
      <c r="C262" s="260">
        <f>'Final data_for_R_analysis_Dryse'!B188</f>
        <v>187</v>
      </c>
      <c r="D262" t="s">
        <v>3829</v>
      </c>
      <c r="E262" t="s">
        <v>22</v>
      </c>
      <c r="F262" s="381">
        <v>3</v>
      </c>
      <c r="G262" s="16">
        <f>IF('Dry_Litterbag Placem_Collection'!E189="","",'Dry_Litterbag Placem_Collection'!E189)</f>
        <v>42940</v>
      </c>
      <c r="H262" t="str">
        <f>'Final data_for_R_analysis_Dryse'!K188</f>
        <v>G242</v>
      </c>
      <c r="I262" t="str">
        <f>'Final data_for_R_analysis_Dryse'!K408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30"/>
        <v>1.6972</v>
      </c>
      <c r="M262" s="237">
        <f>AVERAGE(Ashed_controlls!$K$1:$K$11)</f>
        <v>5.5147656768714146</v>
      </c>
      <c r="N262" s="194">
        <f t="shared" si="26"/>
        <v>1.6036033969321384</v>
      </c>
      <c r="O262" s="194">
        <f t="shared" si="31"/>
        <v>1.9971999999999999</v>
      </c>
      <c r="P262" s="237">
        <f>AVERAGE(Ashed_controlls!$K$12:$K$14)</f>
        <v>2.2816647271287041</v>
      </c>
      <c r="Q262" s="194">
        <f t="shared" si="27"/>
        <v>1.9516305920697854</v>
      </c>
      <c r="R262" s="16">
        <f>IF('Dry_Litterbag Placem_Collection'!G189="","",'Dry_Litterbag Placem_Collection'!G189)</f>
        <v>43009</v>
      </c>
      <c r="S262" s="194">
        <f>IFERROR(INDEX('Both teabags AfterDry'!$D$3:$D$2000,MATCH(H262,'Both teabags AfterDry'!$A$3:$A$2000,0)),"")</f>
        <v>0.70840000000000003</v>
      </c>
      <c r="T262" s="194">
        <f>IFERROR(INDEX('Both teabags AfterDry'!$D$3:$D$2000,MATCH(I262,'Both teabags AfterDry'!$A$3:$A$2000,0)),"")</f>
        <v>1.7075</v>
      </c>
      <c r="U262" s="194">
        <f t="shared" si="32"/>
        <v>0.55780000000000007</v>
      </c>
      <c r="V262" s="194">
        <f t="shared" si="33"/>
        <v>1.5569</v>
      </c>
      <c r="W262" s="194">
        <f>IFERROR(INDEX('Ashed teabags dry'!$K$2:$K$2000,MATCH(H262,'Ashed teabags dry'!$A$2:$A$2000,0)),"")</f>
        <v>27.059970745976948</v>
      </c>
      <c r="X262" s="194">
        <f>IFERROR(INDEX('Ashed teabags dry'!$K$2:$K$2000,MATCH(I262,'Ashed teabags dry'!$A$2:$A$2000,0)),"")</f>
        <v>9.3676814988289312</v>
      </c>
      <c r="Y262" s="194">
        <f t="shared" si="28"/>
        <v>0.40685948317894061</v>
      </c>
      <c r="Z262" s="194">
        <f t="shared" si="28"/>
        <v>1.4110545667447323</v>
      </c>
      <c r="AA262" s="194">
        <f t="shared" si="34"/>
        <v>0.74628422217282309</v>
      </c>
      <c r="AB262" s="194">
        <f t="shared" si="35"/>
        <v>0.48925046394227839</v>
      </c>
      <c r="AC262" s="194">
        <f t="shared" si="29"/>
        <v>0.72301314217884349</v>
      </c>
      <c r="AD262">
        <f t="shared" si="36"/>
        <v>69</v>
      </c>
      <c r="AE262" s="194">
        <f t="shared" si="37"/>
        <v>0.11367669575674211</v>
      </c>
      <c r="AF262" s="194">
        <f t="shared" si="38"/>
        <v>1.2102110538974925E-2</v>
      </c>
      <c r="AG262" s="252" t="str">
        <f>IF(ISNUMBER(SEARCH("C", 'Dry_Litterbag Placem_Collection'!$T189)),"YES","NO")</f>
        <v>NO</v>
      </c>
      <c r="AH262" s="252" t="str">
        <f>IF(ISNUMBER(SEARCH("H", 'Dry_Litterbag Placem_Collection'!$T189)),"YES","NO")</f>
        <v>NO</v>
      </c>
      <c r="AI262" s="252" t="str">
        <f>IF(ISNUMBER(SEARCH("R", 'Dry_Litterbag Placem_Collection'!$T189)),"YES","NO")</f>
        <v>NO</v>
      </c>
      <c r="AJ262" s="252" t="str">
        <f>IF(ISNUMBER(SEARCH("C", 'Dry_Litterbag Placem_Collection'!$S189)),"YES","NO")</f>
        <v>NO</v>
      </c>
      <c r="AK262" s="252" t="str">
        <f>IF(ISNUMBER(SEARCH("H", 'Dry_Litterbag Placem_Collection'!$S189)),"YES","NO")</f>
        <v>NO</v>
      </c>
      <c r="AL262" s="252" t="str">
        <f>IF(ISNUMBER(SEARCH("R", 'Dry_Litterbag Placem_Collection'!$S189)),"YES","NO")</f>
        <v>YES</v>
      </c>
    </row>
    <row r="263" spans="2:38">
      <c r="B263" t="str">
        <f>'Final data_for_R_analysis_Dryse'!A189</f>
        <v>Dry</v>
      </c>
      <c r="C263" s="260">
        <f>'Final data_for_R_analysis_Dryse'!B189</f>
        <v>188</v>
      </c>
      <c r="D263" t="s">
        <v>3829</v>
      </c>
      <c r="E263" t="s">
        <v>22</v>
      </c>
      <c r="F263" s="382">
        <v>4</v>
      </c>
      <c r="G263" s="16">
        <f>IF('Dry_Litterbag Placem_Collection'!E190="","",'Dry_Litterbag Placem_Collection'!E190)</f>
        <v>42940</v>
      </c>
      <c r="H263" t="str">
        <f>'Final data_for_R_analysis_Dryse'!K189</f>
        <v>G146</v>
      </c>
      <c r="I263" t="str">
        <f>'Final data_for_R_analysis_Dryse'!K409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30"/>
        <v>1.8031999999999999</v>
      </c>
      <c r="M263" s="237">
        <f>AVERAGE(Ashed_controlls!$K$1:$K$11)</f>
        <v>5.5147656768714146</v>
      </c>
      <c r="N263" s="194">
        <f t="shared" si="26"/>
        <v>1.7037577453146546</v>
      </c>
      <c r="O263" s="194">
        <f t="shared" si="31"/>
        <v>1.9592000000000001</v>
      </c>
      <c r="P263" s="237">
        <f>AVERAGE(Ashed_controlls!$K$12:$K$14)</f>
        <v>2.2816647271287041</v>
      </c>
      <c r="Q263" s="194">
        <f t="shared" si="27"/>
        <v>1.9144976246660945</v>
      </c>
      <c r="R263" s="16">
        <f>IF('Dry_Litterbag Placem_Collection'!G190="","",'Dry_Litterbag Placem_Collection'!G190)</f>
        <v>43009</v>
      </c>
      <c r="S263" s="194">
        <f>IFERROR(INDEX('Both teabags AfterDry'!$D$3:$D$2000,MATCH(H263,'Both teabags AfterDry'!$A$3:$A$2000,0)),"")</f>
        <v>0.91069999999999995</v>
      </c>
      <c r="T263" s="194">
        <f>IFERROR(INDEX('Both teabags AfterDry'!$D$3:$D$2000,MATCH(I263,'Both teabags AfterDry'!$A$3:$A$2000,0)),"")</f>
        <v>0</v>
      </c>
      <c r="U263" s="194">
        <f t="shared" si="32"/>
        <v>0.7601</v>
      </c>
      <c r="V263" s="194" t="str">
        <f t="shared" si="33"/>
        <v/>
      </c>
      <c r="W263" s="194">
        <f>IFERROR(INDEX('Ashed teabags dry'!$K$2:$K$2000,MATCH(H263,'Ashed teabags dry'!$A$2:$A$2000,0)),"")</f>
        <v>39.03411608329683</v>
      </c>
      <c r="X263" s="194">
        <f>IFERROR(INDEX('Ashed teabags dry'!$K$2:$K$2000,MATCH(I263,'Ashed teabags dry'!$A$2:$A$2000,0)),"")</f>
        <v>0</v>
      </c>
      <c r="Y263" s="194">
        <f t="shared" si="28"/>
        <v>0.46340168365086076</v>
      </c>
      <c r="Z263" s="194" t="str">
        <f t="shared" si="28"/>
        <v/>
      </c>
      <c r="AA263" s="194">
        <f t="shared" si="34"/>
        <v>0.72801198707667303</v>
      </c>
      <c r="AB263" s="194">
        <f t="shared" si="35"/>
        <v>0.47727151646831778</v>
      </c>
      <c r="AC263" s="194" t="str">
        <f t="shared" si="29"/>
        <v/>
      </c>
      <c r="AD263">
        <f t="shared" si="36"/>
        <v>69</v>
      </c>
      <c r="AE263" s="194">
        <f t="shared" si="37"/>
        <v>0.13537768755739543</v>
      </c>
      <c r="AF263" s="194" t="str">
        <f t="shared" si="38"/>
        <v/>
      </c>
      <c r="AG263" s="252" t="str">
        <f>IF(ISNUMBER(SEARCH("C", 'Dry_Litterbag Placem_Collection'!$T190)),"YES","NO")</f>
        <v>YES</v>
      </c>
      <c r="AH263" s="252" t="str">
        <f>IF(ISNUMBER(SEARCH("H", 'Dry_Litterbag Placem_Collection'!$T190)),"YES","NO")</f>
        <v>YES</v>
      </c>
      <c r="AI263" s="252" t="str">
        <f>IF(ISNUMBER(SEARCH("R", 'Dry_Litterbag Placem_Collection'!$T190)),"YES","NO")</f>
        <v>YES</v>
      </c>
      <c r="AJ263" s="252" t="str">
        <f>IF(ISNUMBER(SEARCH("C", 'Dry_Litterbag Placem_Collection'!$S190)),"YES","NO")</f>
        <v>NO</v>
      </c>
      <c r="AK263" s="252" t="str">
        <f>IF(ISNUMBER(SEARCH("H", 'Dry_Litterbag Placem_Collection'!$S190)),"YES","NO")</f>
        <v>YES</v>
      </c>
      <c r="AL263" s="252" t="str">
        <f>IF(ISNUMBER(SEARCH("R", 'Dry_Litterbag Placem_Collection'!$S190)),"YES","NO")</f>
        <v>YES</v>
      </c>
    </row>
    <row r="264" spans="2:38">
      <c r="B264" t="str">
        <f>'Final data_for_R_analysis_Dryse'!A190</f>
        <v>Dry</v>
      </c>
      <c r="C264" s="260">
        <f>'Final data_for_R_analysis_Dryse'!B190</f>
        <v>189</v>
      </c>
      <c r="D264" t="s">
        <v>3829</v>
      </c>
      <c r="E264" t="s">
        <v>22</v>
      </c>
      <c r="F264" s="382">
        <v>5</v>
      </c>
      <c r="G264" s="16">
        <f>IF('Dry_Litterbag Placem_Collection'!E191="","",'Dry_Litterbag Placem_Collection'!E191)</f>
        <v>42940</v>
      </c>
      <c r="H264" t="str">
        <f>'Final data_for_R_analysis_Dryse'!K190</f>
        <v>G144</v>
      </c>
      <c r="I264" t="str">
        <f>'Final data_for_R_analysis_Dryse'!K410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30"/>
        <v>1.7732000000000001</v>
      </c>
      <c r="M264" s="237">
        <f>AVERAGE(Ashed_controlls!$K$1:$K$11)</f>
        <v>5.5147656768714146</v>
      </c>
      <c r="N264" s="194">
        <f t="shared" si="26"/>
        <v>1.6754121750177162</v>
      </c>
      <c r="O264" s="194">
        <f t="shared" si="31"/>
        <v>2.0021999999999998</v>
      </c>
      <c r="P264" s="237">
        <f>AVERAGE(Ashed_controlls!$K$12:$K$14)</f>
        <v>2.2816647271287041</v>
      </c>
      <c r="Q264" s="194">
        <f t="shared" si="27"/>
        <v>1.9565165088334289</v>
      </c>
      <c r="R264" s="16">
        <f>IF('Dry_Litterbag Placem_Collection'!G191="","",'Dry_Litterbag Placem_Collection'!G191)</f>
        <v>43009</v>
      </c>
      <c r="S264" s="194">
        <f>IFERROR(INDEX('Both teabags AfterDry'!$D$3:$D$2000,MATCH(H264,'Both teabags AfterDry'!$A$3:$A$2000,0)),"")</f>
        <v>0.68520000000000003</v>
      </c>
      <c r="T264" s="194">
        <f>IFERROR(INDEX('Both teabags AfterDry'!$D$3:$D$2000,MATCH(I264,'Both teabags AfterDry'!$A$3:$A$2000,0)),"")</f>
        <v>0</v>
      </c>
      <c r="U264" s="194">
        <f t="shared" si="32"/>
        <v>0.53459999999999996</v>
      </c>
      <c r="V264" s="194" t="str">
        <f t="shared" si="33"/>
        <v/>
      </c>
      <c r="W264" s="194">
        <f>IFERROR(INDEX('Ashed teabags dry'!$K$2:$K$2000,MATCH(H264,'Ashed teabags dry'!$A$2:$A$2000,0)),"")</f>
        <v>22.366450324513245</v>
      </c>
      <c r="X264" s="194">
        <f>IFERROR(INDEX('Ashed teabags dry'!$K$2:$K$2000,MATCH(I264,'Ashed teabags dry'!$A$2:$A$2000,0)),"")</f>
        <v>91.674047829938516</v>
      </c>
      <c r="Y264" s="194">
        <f t="shared" si="28"/>
        <v>0.41502895656515215</v>
      </c>
      <c r="Z264" s="194" t="str">
        <f t="shared" si="28"/>
        <v/>
      </c>
      <c r="AA264" s="194">
        <f t="shared" si="34"/>
        <v>0.75228247546860305</v>
      </c>
      <c r="AB264" s="194">
        <f t="shared" si="35"/>
        <v>0.49318281052098445</v>
      </c>
      <c r="AC264" s="194" t="str">
        <f t="shared" si="29"/>
        <v/>
      </c>
      <c r="AD264">
        <f t="shared" si="36"/>
        <v>69</v>
      </c>
      <c r="AE264" s="194">
        <f t="shared" si="37"/>
        <v>0.10655287949097025</v>
      </c>
      <c r="AF264" s="194" t="str">
        <f t="shared" si="38"/>
        <v/>
      </c>
      <c r="AG264" s="252" t="str">
        <f>IF(ISNUMBER(SEARCH("C", 'Dry_Litterbag Placem_Collection'!$T191)),"YES","NO")</f>
        <v>NO</v>
      </c>
      <c r="AH264" s="252" t="str">
        <f>IF(ISNUMBER(SEARCH("H", 'Dry_Litterbag Placem_Collection'!$T191)),"YES","NO")</f>
        <v>YES</v>
      </c>
      <c r="AI264" s="252" t="str">
        <f>IF(ISNUMBER(SEARCH("R", 'Dry_Litterbag Placem_Collection'!$T191)),"YES","NO")</f>
        <v>YES</v>
      </c>
      <c r="AJ264" s="252" t="str">
        <f>IF(ISNUMBER(SEARCH("C", 'Dry_Litterbag Placem_Collection'!$S191)),"YES","NO")</f>
        <v>NO</v>
      </c>
      <c r="AK264" s="252" t="str">
        <f>IF(ISNUMBER(SEARCH("H", 'Dry_Litterbag Placem_Collection'!$S191)),"YES","NO")</f>
        <v>NO</v>
      </c>
      <c r="AL264" s="252" t="str">
        <f>IF(ISNUMBER(SEARCH("R", 'Dry_Litterbag Placem_Collection'!$S191)),"YES","NO")</f>
        <v>YES</v>
      </c>
    </row>
    <row r="265" spans="2:38">
      <c r="B265" t="str">
        <f>'Final data_for_R_analysis_Dryse'!A191</f>
        <v>Dry</v>
      </c>
      <c r="C265" s="260">
        <f>'Final data_for_R_analysis_Dryse'!B191</f>
        <v>190</v>
      </c>
      <c r="D265" t="s">
        <v>3829</v>
      </c>
      <c r="E265" t="s">
        <v>22</v>
      </c>
      <c r="F265" s="382">
        <v>6</v>
      </c>
      <c r="G265" s="16">
        <f>IF('Dry_Litterbag Placem_Collection'!E192="","",'Dry_Litterbag Placem_Collection'!E192)</f>
        <v>42940</v>
      </c>
      <c r="H265" t="str">
        <f>'Final data_for_R_analysis_Dryse'!K191</f>
        <v>G171</v>
      </c>
      <c r="I265" t="str">
        <f>'Final data_for_R_analysis_Dryse'!K411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30"/>
        <v>1.6741999999999999</v>
      </c>
      <c r="M265" s="237">
        <f>AVERAGE(Ashed_controlls!$K$1:$K$11)</f>
        <v>5.5147656768714146</v>
      </c>
      <c r="N265" s="194">
        <f t="shared" si="26"/>
        <v>1.5818717930378188</v>
      </c>
      <c r="O265" s="194">
        <f t="shared" si="31"/>
        <v>1.9472</v>
      </c>
      <c r="P265" s="237">
        <f>AVERAGE(Ashed_controlls!$K$12:$K$14)</f>
        <v>2.2816647271287041</v>
      </c>
      <c r="Q265" s="194">
        <f t="shared" si="27"/>
        <v>1.90277142443335</v>
      </c>
      <c r="R265" s="16">
        <f>IF('Dry_Litterbag Placem_Collection'!G192="","",'Dry_Litterbag Placem_Collection'!G192)</f>
        <v>43009</v>
      </c>
      <c r="S265" s="194">
        <f>IFERROR(INDEX('Both teabags AfterDry'!$D$3:$D$2000,MATCH(H265,'Both teabags AfterDry'!$A$3:$A$2000,0)),"")</f>
        <v>0.75309999999999999</v>
      </c>
      <c r="T265" s="194">
        <f>IFERROR(INDEX('Both teabags AfterDry'!$D$3:$D$2000,MATCH(I265,'Both teabags AfterDry'!$A$3:$A$2000,0)),"")</f>
        <v>1.7444999999999999</v>
      </c>
      <c r="U265" s="194">
        <f t="shared" si="32"/>
        <v>0.60250000000000004</v>
      </c>
      <c r="V265" s="194">
        <f t="shared" si="33"/>
        <v>1.5938999999999999</v>
      </c>
      <c r="W265" s="194">
        <f>IFERROR(INDEX('Ashed teabags dry'!$K$2:$K$2000,MATCH(H265,'Ashed teabags dry'!$A$2:$A$2000,0)),"")</f>
        <v>24.915824915824324</v>
      </c>
      <c r="X265" s="194">
        <f>IFERROR(INDEX('Ashed teabags dry'!$K$2:$K$2000,MATCH(I265,'Ashed teabags dry'!$A$2:$A$2000,0)),"")</f>
        <v>11.059262715818997</v>
      </c>
      <c r="Y265" s="194">
        <f t="shared" si="28"/>
        <v>0.45238215488215849</v>
      </c>
      <c r="Z265" s="194">
        <f t="shared" si="28"/>
        <v>1.417626411572561</v>
      </c>
      <c r="AA265" s="194">
        <f t="shared" si="34"/>
        <v>0.71402097384048679</v>
      </c>
      <c r="AB265" s="194">
        <f t="shared" si="35"/>
        <v>0.46809926076003416</v>
      </c>
      <c r="AC265" s="194">
        <f t="shared" si="29"/>
        <v>0.74503242657994695</v>
      </c>
      <c r="AD265">
        <f t="shared" si="36"/>
        <v>69</v>
      </c>
      <c r="AE265" s="194">
        <f t="shared" si="37"/>
        <v>0.15199409282602516</v>
      </c>
      <c r="AF265" s="194">
        <f t="shared" si="38"/>
        <v>1.1402465854722172E-2</v>
      </c>
      <c r="AG265" s="252" t="str">
        <f>IF(ISNUMBER(SEARCH("C", 'Dry_Litterbag Placem_Collection'!$T192)),"YES","NO")</f>
        <v>NO</v>
      </c>
      <c r="AH265" s="252" t="str">
        <f>IF(ISNUMBER(SEARCH("H", 'Dry_Litterbag Placem_Collection'!$T192)),"YES","NO")</f>
        <v>NO</v>
      </c>
      <c r="AI265" s="252" t="str">
        <f>IF(ISNUMBER(SEARCH("R", 'Dry_Litterbag Placem_Collection'!$T192)),"YES","NO")</f>
        <v>NO</v>
      </c>
      <c r="AJ265" s="252" t="str">
        <f>IF(ISNUMBER(SEARCH("C", 'Dry_Litterbag Placem_Collection'!$S192)),"YES","NO")</f>
        <v>NO</v>
      </c>
      <c r="AK265" s="252" t="str">
        <f>IF(ISNUMBER(SEARCH("H", 'Dry_Litterbag Placem_Collection'!$S192)),"YES","NO")</f>
        <v>NO</v>
      </c>
      <c r="AL265" s="252" t="str">
        <f>IF(ISNUMBER(SEARCH("R", 'Dry_Litterbag Placem_Collection'!$S192)),"YES","NO")</f>
        <v>NO</v>
      </c>
    </row>
    <row r="266" spans="2:38">
      <c r="B266" t="str">
        <f>'Final data_for_R_analysis_Dryse'!A192</f>
        <v>Dry</v>
      </c>
      <c r="C266" s="260">
        <f>'Final data_for_R_analysis_Dryse'!B192</f>
        <v>191</v>
      </c>
      <c r="D266" t="s">
        <v>3829</v>
      </c>
      <c r="E266" t="s">
        <v>22</v>
      </c>
      <c r="F266" s="382">
        <v>7</v>
      </c>
      <c r="G266" s="16">
        <f>IF('Dry_Litterbag Placem_Collection'!E193="","",'Dry_Litterbag Placem_Collection'!E193)</f>
        <v>42940</v>
      </c>
      <c r="H266" t="str">
        <f>'Final data_for_R_analysis_Dryse'!K192</f>
        <v>G232</v>
      </c>
      <c r="I266" t="str">
        <f>'Final data_for_R_analysis_Dryse'!K412</f>
        <v>R715</v>
      </c>
      <c r="J266">
        <f>IFERROR(INDEX('Green_rooibos initial weight'!$C$5:$C$2000,MATCH(H266, 'Green_rooibos initial weight'!$A$5:$A$2000,0)),"")</f>
        <v>2.04</v>
      </c>
      <c r="K266">
        <f>IFERROR(INDEX('Green_rooibos initial weight'!$C$5:$C$2000,MATCH(I266, 'Green_rooibos initial weight'!$A$5:$A$2000,0)),"")</f>
        <v>2.161</v>
      </c>
      <c r="L266" s="194">
        <f t="shared" si="30"/>
        <v>1.7902</v>
      </c>
      <c r="M266" s="237">
        <f>AVERAGE(Ashed_controlls!$K$1:$K$11)</f>
        <v>5.5147656768714146</v>
      </c>
      <c r="N266" s="194">
        <f t="shared" si="26"/>
        <v>1.691474664852648</v>
      </c>
      <c r="O266" s="194">
        <f t="shared" si="31"/>
        <v>1.9112</v>
      </c>
      <c r="P266" s="237">
        <f>AVERAGE(Ashed_controlls!$K$12:$K$14)</f>
        <v>2.2816647271287041</v>
      </c>
      <c r="Q266" s="194">
        <f t="shared" si="27"/>
        <v>1.8675928237351163</v>
      </c>
      <c r="R266" s="16">
        <f>IF('Dry_Litterbag Placem_Collection'!G193="","",'Dry_Litterbag Placem_Collection'!G193)</f>
        <v>43009</v>
      </c>
      <c r="S266" s="194">
        <f>IFERROR(INDEX('Both teabags AfterDry'!$D$3:$D$2000,MATCH(H266,'Both teabags AfterDry'!$A$3:$A$2000,0)),"")</f>
        <v>0.80369999999999997</v>
      </c>
      <c r="T266" s="194">
        <f>IFERROR(INDEX('Both teabags AfterDry'!$D$3:$D$2000,MATCH(I266,'Both teabags AfterDry'!$A$3:$A$2000,0)),"")</f>
        <v>1.9014</v>
      </c>
      <c r="U266" s="194">
        <f t="shared" si="32"/>
        <v>0.65310000000000001</v>
      </c>
      <c r="V266" s="194">
        <f t="shared" si="33"/>
        <v>1.7507999999999999</v>
      </c>
      <c r="W266" s="194">
        <f>IFERROR(INDEX('Ashed teabags dry'!$K$2:$K$2000,MATCH(H266,'Ashed teabags dry'!$A$2:$A$2000,0)),"")</f>
        <v>26.339066339066047</v>
      </c>
      <c r="X266" s="194">
        <f>IFERROR(INDEX('Ashed teabags dry'!$K$2:$K$2000,MATCH(I266,'Ashed teabags dry'!$A$2:$A$2000,0)),"")</f>
        <v>5.9051306873185379</v>
      </c>
      <c r="Y266" s="194">
        <f t="shared" si="28"/>
        <v>0.48107955773955968</v>
      </c>
      <c r="Z266" s="194">
        <f t="shared" si="28"/>
        <v>1.647412971926427</v>
      </c>
      <c r="AA266" s="194">
        <f t="shared" si="34"/>
        <v>0.71558571479906341</v>
      </c>
      <c r="AB266" s="194">
        <f t="shared" si="35"/>
        <v>0.46912507668537179</v>
      </c>
      <c r="AC266" s="194">
        <f t="shared" si="29"/>
        <v>0.88210500221973565</v>
      </c>
      <c r="AD266">
        <f t="shared" si="36"/>
        <v>69</v>
      </c>
      <c r="AE266" s="194">
        <f t="shared" si="37"/>
        <v>0.15013573064244246</v>
      </c>
      <c r="AF266" s="194">
        <f t="shared" si="38"/>
        <v>4.1946074890022679E-3</v>
      </c>
      <c r="AG266" s="252" t="str">
        <f>IF(ISNUMBER(SEARCH("C", 'Dry_Litterbag Placem_Collection'!$T193)),"YES","NO")</f>
        <v>NO</v>
      </c>
      <c r="AH266" s="252" t="str">
        <f>IF(ISNUMBER(SEARCH("H", 'Dry_Litterbag Placem_Collection'!$T193)),"YES","NO")</f>
        <v>NO</v>
      </c>
      <c r="AI266" s="252" t="str">
        <f>IF(ISNUMBER(SEARCH("R", 'Dry_Litterbag Placem_Collection'!$T193)),"YES","NO")</f>
        <v>NO</v>
      </c>
      <c r="AJ266" s="252" t="str">
        <f>IF(ISNUMBER(SEARCH("C", 'Dry_Litterbag Placem_Collection'!$S193)),"YES","NO")</f>
        <v>NO</v>
      </c>
      <c r="AK266" s="252" t="str">
        <f>IF(ISNUMBER(SEARCH("H", 'Dry_Litterbag Placem_Collection'!$S193)),"YES","NO")</f>
        <v>NO</v>
      </c>
      <c r="AL266" s="252" t="str">
        <f>IF(ISNUMBER(SEARCH("R", 'Dry_Litterbag Placem_Collection'!$S193)),"YES","NO")</f>
        <v>NO</v>
      </c>
    </row>
    <row r="267" spans="2:38">
      <c r="B267" t="str">
        <f>'Final data_for_R_analysis_Dryse'!A193</f>
        <v>Dry</v>
      </c>
      <c r="C267" s="260">
        <f>'Final data_for_R_analysis_Dryse'!B193</f>
        <v>192</v>
      </c>
      <c r="D267" t="s">
        <v>3829</v>
      </c>
      <c r="E267" t="s">
        <v>22</v>
      </c>
      <c r="F267" s="382">
        <v>8</v>
      </c>
      <c r="G267" s="16" t="str">
        <f>IF('Dry_Litterbag Placem_Collection'!E194="","",'Dry_Litterbag Placem_Collection'!E194)</f>
        <v/>
      </c>
      <c r="H267" t="str">
        <f>'Final data_for_R_analysis_Dryse'!K193</f>
        <v/>
      </c>
      <c r="I267" t="str">
        <f>'Final data_for_R_analysis_Dryse'!K413</f>
        <v/>
      </c>
      <c r="J267" t="str">
        <f>IFERROR(INDEX('Green_rooibos initial weight'!$C$5:$C$2000,MATCH(H267, 'Green_rooibos initial weight'!$A$5:$A$2000,0)),"")</f>
        <v/>
      </c>
      <c r="K267" t="str">
        <f>IFERROR(INDEX('Green_rooibos initial weight'!$C$5:$C$2000,MATCH(I267, 'Green_rooibos initial weight'!$A$5:$A$2000,0)),"")</f>
        <v/>
      </c>
      <c r="L267" s="194" t="str">
        <f t="shared" si="30"/>
        <v/>
      </c>
      <c r="M267" s="237">
        <f>AVERAGE(Ashed_controlls!$K$1:$K$11)</f>
        <v>5.5147656768714146</v>
      </c>
      <c r="N267" s="194" t="str">
        <f t="shared" si="26"/>
        <v/>
      </c>
      <c r="O267" s="194" t="str">
        <f t="shared" si="31"/>
        <v/>
      </c>
      <c r="P267" s="237">
        <f>AVERAGE(Ashed_controlls!$K$12:$K$14)</f>
        <v>2.2816647271287041</v>
      </c>
      <c r="Q267" s="194" t="str">
        <f t="shared" si="27"/>
        <v/>
      </c>
      <c r="R267" s="16" t="str">
        <f>IF('Dry_Litterbag Placem_Collection'!G194="","",'Dry_Litterbag Placem_Collection'!G194)</f>
        <v/>
      </c>
      <c r="S267" s="194" t="str">
        <f>IFERROR(INDEX('Both teabags AfterDry'!$D$3:$D$2000,MATCH(H267,'Both teabags AfterDry'!$A$3:$A$2000,0)),"")</f>
        <v/>
      </c>
      <c r="T267" s="194" t="str">
        <f>IFERROR(INDEX('Both teabags AfterDry'!$D$3:$D$2000,MATCH(I267,'Both teabags AfterDry'!$A$3:$A$2000,0)),"")</f>
        <v/>
      </c>
      <c r="U267" s="194" t="str">
        <f t="shared" si="32"/>
        <v/>
      </c>
      <c r="V267" s="194" t="str">
        <f t="shared" si="33"/>
        <v/>
      </c>
      <c r="W267" s="194" t="str">
        <f>IFERROR(INDEX('Ashed teabags dry'!$K$2:$K$2000,MATCH(H267,'Ashed teabags dry'!$A$2:$A$2000,0)),"")</f>
        <v/>
      </c>
      <c r="X267" s="194" t="str">
        <f>IFERROR(INDEX('Ashed teabags dry'!$K$2:$K$2000,MATCH(I267,'Ashed teabags dry'!$A$2:$A$2000,0)),"")</f>
        <v/>
      </c>
      <c r="Y267" s="194" t="str">
        <f t="shared" si="28"/>
        <v/>
      </c>
      <c r="Z267" s="194" t="str">
        <f t="shared" si="28"/>
        <v/>
      </c>
      <c r="AA267" s="194" t="str">
        <f t="shared" si="34"/>
        <v/>
      </c>
      <c r="AB267" s="194" t="str">
        <f t="shared" si="35"/>
        <v/>
      </c>
      <c r="AC267" s="194" t="str">
        <f t="shared" si="29"/>
        <v/>
      </c>
      <c r="AD267" t="str">
        <f t="shared" si="36"/>
        <v/>
      </c>
      <c r="AE267" s="194" t="str">
        <f t="shared" si="37"/>
        <v/>
      </c>
      <c r="AF267" s="194" t="str">
        <f t="shared" si="38"/>
        <v/>
      </c>
      <c r="AG267" s="252" t="str">
        <f>IF(ISNUMBER(SEARCH("C", 'Dry_Litterbag Placem_Collection'!$T194)),"YES","NO")</f>
        <v>NO</v>
      </c>
      <c r="AH267" s="252" t="str">
        <f>IF(ISNUMBER(SEARCH("H", 'Dry_Litterbag Placem_Collection'!$T194)),"YES","NO")</f>
        <v>NO</v>
      </c>
      <c r="AI267" s="252" t="str">
        <f>IF(ISNUMBER(SEARCH("R", 'Dry_Litterbag Placem_Collection'!$T194)),"YES","NO")</f>
        <v>NO</v>
      </c>
      <c r="AJ267" s="252" t="str">
        <f>IF(ISNUMBER(SEARCH("C", 'Dry_Litterbag Placem_Collection'!$S194)),"YES","NO")</f>
        <v>NO</v>
      </c>
      <c r="AK267" s="252" t="str">
        <f>IF(ISNUMBER(SEARCH("H", 'Dry_Litterbag Placem_Collection'!$S194)),"YES","NO")</f>
        <v>NO</v>
      </c>
      <c r="AL267" s="252" t="str">
        <f>IF(ISNUMBER(SEARCH("R", 'Dry_Litterbag Placem_Collection'!$S194)),"YES","NO")</f>
        <v>NO</v>
      </c>
    </row>
    <row r="268" spans="2:38">
      <c r="B268" t="str">
        <f>'Final data_for_R_analysis_Dryse'!A194</f>
        <v>Dry</v>
      </c>
      <c r="C268" s="260">
        <f>'Final data_for_R_analysis_Dryse'!B194</f>
        <v>193</v>
      </c>
      <c r="D268" t="s">
        <v>2440</v>
      </c>
      <c r="E268" t="s">
        <v>22</v>
      </c>
      <c r="F268" s="382">
        <v>1</v>
      </c>
      <c r="G268" s="16">
        <f>IF('Dry_Litterbag Placem_Collection'!E195="","",'Dry_Litterbag Placem_Collection'!E195)</f>
        <v>42942</v>
      </c>
      <c r="H268" t="str">
        <f>'Final data_for_R_analysis_Dryse'!K194</f>
        <v>G257</v>
      </c>
      <c r="I268" t="str">
        <f>'Final data_for_R_analysis_Dryse'!K414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30"/>
        <v>1.6821999999999999</v>
      </c>
      <c r="M268" s="237">
        <f>AVERAGE(Ashed_controlls!$K$1:$K$11)</f>
        <v>5.5147656768714146</v>
      </c>
      <c r="N268" s="194">
        <f t="shared" ref="N268:N331" si="39">IFERROR(L268-(M268/100)*L268,"")</f>
        <v>1.589430611783669</v>
      </c>
      <c r="O268" s="194">
        <f t="shared" si="31"/>
        <v>1.9291999999999998</v>
      </c>
      <c r="P268" s="237">
        <f>AVERAGE(Ashed_controlls!$K$12:$K$14)</f>
        <v>2.2816647271287041</v>
      </c>
      <c r="Q268" s="194">
        <f t="shared" ref="Q268:Q331" si="40">IFERROR(O268-(P268/100)*O268,"")</f>
        <v>1.8851821240842328</v>
      </c>
      <c r="R268" s="16">
        <f>IF('Dry_Litterbag Placem_Collection'!G195="","",'Dry_Litterbag Placem_Collection'!G195)</f>
        <v>43004</v>
      </c>
      <c r="S268" s="194">
        <f>IFERROR(INDEX('Both teabags AfterDry'!$D$3:$D$2000,MATCH(H268,'Both teabags AfterDry'!$A$3:$A$2000,0)),"")</f>
        <v>0.67</v>
      </c>
      <c r="T268" s="194">
        <f>IFERROR(INDEX('Both teabags AfterDry'!$D$3:$D$2000,MATCH(I268,'Both teabags AfterDry'!$A$3:$A$2000,0)),"")</f>
        <v>1.42</v>
      </c>
      <c r="U268" s="194">
        <f t="shared" si="32"/>
        <v>0.51940000000000008</v>
      </c>
      <c r="V268" s="194">
        <f t="shared" si="33"/>
        <v>1.2693999999999999</v>
      </c>
      <c r="W268" s="194">
        <f>IFERROR(INDEX('Ashed teabags dry'!$K$2:$K$2000,MATCH(H268,'Ashed teabags dry'!$A$2:$A$2000,0)),"")</f>
        <v>13.170731707316666</v>
      </c>
      <c r="X268" s="194">
        <f>IFERROR(INDEX('Ashed teabags dry'!$K$2:$K$2000,MATCH(I268,'Ashed teabags dry'!$A$2:$A$2000,0)),"")</f>
        <v>8.5788561525128699</v>
      </c>
      <c r="Y268" s="194">
        <f t="shared" ref="Y268:Z331" si="41">IFERROR(U268-(W268/100)*U268,"")</f>
        <v>0.45099121951219734</v>
      </c>
      <c r="Z268" s="194">
        <f t="shared" si="41"/>
        <v>1.1605000000000014</v>
      </c>
      <c r="AA268" s="194">
        <f t="shared" si="34"/>
        <v>0.71625611324668514</v>
      </c>
      <c r="AB268" s="194">
        <f t="shared" si="35"/>
        <v>0.46956457780542782</v>
      </c>
      <c r="AC268" s="194">
        <f t="shared" ref="AC268:AC331" si="42">IFERROR(Z268/Q268,"")</f>
        <v>0.61559039053785791</v>
      </c>
      <c r="AD268">
        <f t="shared" si="36"/>
        <v>62</v>
      </c>
      <c r="AE268" s="194">
        <f t="shared" si="37"/>
        <v>0.14933953296118152</v>
      </c>
      <c r="AF268" s="194">
        <f t="shared" si="38"/>
        <v>2.7537630347814493E-2</v>
      </c>
      <c r="AG268" s="252" t="str">
        <f>IF(ISNUMBER(SEARCH("C", 'Dry_Litterbag Placem_Collection'!$T195)),"YES","NO")</f>
        <v>NO</v>
      </c>
      <c r="AH268" s="252" t="str">
        <f>IF(ISNUMBER(SEARCH("H", 'Dry_Litterbag Placem_Collection'!$T195)),"YES","NO")</f>
        <v>NO</v>
      </c>
      <c r="AI268" s="252" t="str">
        <f>IF(ISNUMBER(SEARCH("R", 'Dry_Litterbag Placem_Collection'!$T195)),"YES","NO")</f>
        <v>NO</v>
      </c>
      <c r="AJ268" s="252" t="str">
        <f>IF(ISNUMBER(SEARCH("C", 'Dry_Litterbag Placem_Collection'!$S195)),"YES","NO")</f>
        <v>NO</v>
      </c>
      <c r="AK268" s="252" t="str">
        <f>IF(ISNUMBER(SEARCH("H", 'Dry_Litterbag Placem_Collection'!$S195)),"YES","NO")</f>
        <v>NO</v>
      </c>
      <c r="AL268" s="252" t="str">
        <f>IF(ISNUMBER(SEARCH("R", 'Dry_Litterbag Placem_Collection'!$S195)),"YES","NO")</f>
        <v>YES</v>
      </c>
    </row>
    <row r="269" spans="2:38">
      <c r="B269" t="str">
        <f>'Final data_for_R_analysis_Dryse'!A195</f>
        <v>Dry</v>
      </c>
      <c r="C269" s="260">
        <f>'Final data_for_R_analysis_Dryse'!B195</f>
        <v>194</v>
      </c>
      <c r="D269" t="s">
        <v>2433</v>
      </c>
      <c r="E269" t="s">
        <v>22</v>
      </c>
      <c r="F269" s="382">
        <v>2</v>
      </c>
      <c r="G269" s="16">
        <f>IF('Dry_Litterbag Placem_Collection'!E196="","",'Dry_Litterbag Placem_Collection'!E196)</f>
        <v>42942</v>
      </c>
      <c r="H269" t="str">
        <f>'Final data_for_R_analysis_Dryse'!K195</f>
        <v>G148</v>
      </c>
      <c r="I269" t="str">
        <f>'Final data_for_R_analysis_Dryse'!K415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43">IFERROR(IF(J269&gt;0,(J269*$F$31-($F$29+$F$30)),""),"")</f>
        <v>1.8212000000000002</v>
      </c>
      <c r="M269" s="237">
        <f>AVERAGE(Ashed_controlls!$K$1:$K$11)</f>
        <v>5.5147656768714146</v>
      </c>
      <c r="N269" s="194">
        <f t="shared" si="39"/>
        <v>1.720765087492818</v>
      </c>
      <c r="O269" s="194">
        <f t="shared" ref="O269:O332" si="44">IFERROR(IF(K269&gt;0,(K269*$F$32-($F$29+$F$30)),""),"")</f>
        <v>1.9491999999999998</v>
      </c>
      <c r="P269" s="237">
        <f>AVERAGE(Ashed_controlls!$K$12:$K$14)</f>
        <v>2.2816647271287041</v>
      </c>
      <c r="Q269" s="194">
        <f t="shared" si="40"/>
        <v>1.9047257911388071</v>
      </c>
      <c r="R269" s="16">
        <f>IF('Dry_Litterbag Placem_Collection'!G196="","",'Dry_Litterbag Placem_Collection'!G196)</f>
        <v>43004</v>
      </c>
      <c r="S269" s="194">
        <f>IFERROR(INDEX('Both teabags AfterDry'!$D$3:$D$2000,MATCH(H269,'Both teabags AfterDry'!$A$3:$A$2000,0)),"")</f>
        <v>0.433</v>
      </c>
      <c r="T269" s="194">
        <f>IFERROR(INDEX('Both teabags AfterDry'!$D$3:$D$2000,MATCH(I269,'Both teabags AfterDry'!$A$3:$A$2000,0)),"")</f>
        <v>1.613</v>
      </c>
      <c r="U269" s="194">
        <f t="shared" ref="U269:U332" si="45">IFERROR(IF(S269&gt;0,S269-($F$29),""),"")</f>
        <v>0.28239999999999998</v>
      </c>
      <c r="V269" s="194">
        <f t="shared" ref="V269:V332" si="46">IFERROR(IF(T269&gt;0,T269-($F$29),""),"")</f>
        <v>1.4623999999999999</v>
      </c>
      <c r="W269" s="194">
        <f>IFERROR(INDEX('Ashed teabags dry'!$K$2:$K$2000,MATCH(H269,'Ashed teabags dry'!$A$2:$A$2000,0)),"")</f>
        <v>15.447941888619916</v>
      </c>
      <c r="X269" s="194">
        <f>IFERROR(INDEX('Ashed teabags dry'!$K$2:$K$2000,MATCH(I269,'Ashed teabags dry'!$A$2:$A$2000,0)),"")</f>
        <v>6.2529384109078929</v>
      </c>
      <c r="Y269" s="194">
        <f t="shared" si="41"/>
        <v>0.23877501210653734</v>
      </c>
      <c r="Z269" s="194">
        <f t="shared" si="41"/>
        <v>1.3709570286788828</v>
      </c>
      <c r="AA269" s="194">
        <f t="shared" ref="AA269:AA332" si="47">IFERROR(1-Y269/N269,"")</f>
        <v>0.86123904195753043</v>
      </c>
      <c r="AB269" s="194">
        <f t="shared" ref="AB269:AB332" si="48">IFERROR($F$26*(1-AE269),"")</f>
        <v>0.56461276859923615</v>
      </c>
      <c r="AC269" s="194">
        <f t="shared" si="42"/>
        <v>0.71976608657102714</v>
      </c>
      <c r="AD269">
        <f t="shared" ref="AD269:AD332" si="49">IFERROR(IF((R269-G269)&gt;0,(IFERROR(R269-G269,"")),""),"")</f>
        <v>62</v>
      </c>
      <c r="AE269" s="194">
        <f t="shared" ref="AE269:AE332" si="50">IFERROR(1-(AA269/$F$25),"")</f>
        <v>-2.2849218476876931E-2</v>
      </c>
      <c r="AF269" s="194">
        <f t="shared" ref="AF269:AF332" si="51">IFERROR(LN(AB269/(AC269-(1-AB269)))/AD269,"")</f>
        <v>1.1061819106599593E-2</v>
      </c>
      <c r="AG269" s="252" t="str">
        <f>IF(ISNUMBER(SEARCH("C", 'Dry_Litterbag Placem_Collection'!$T196)),"YES","NO")</f>
        <v>NO</v>
      </c>
      <c r="AH269" s="252" t="str">
        <f>IF(ISNUMBER(SEARCH("H", 'Dry_Litterbag Placem_Collection'!$T196)),"YES","NO")</f>
        <v>NO</v>
      </c>
      <c r="AI269" s="252" t="str">
        <f>IF(ISNUMBER(SEARCH("R", 'Dry_Litterbag Placem_Collection'!$T196)),"YES","NO")</f>
        <v>YES</v>
      </c>
      <c r="AJ269" s="252" t="str">
        <f>IF(ISNUMBER(SEARCH("C", 'Dry_Litterbag Placem_Collection'!$S196)),"YES","NO")</f>
        <v>NO</v>
      </c>
      <c r="AK269" s="252" t="str">
        <f>IF(ISNUMBER(SEARCH("H", 'Dry_Litterbag Placem_Collection'!$S196)),"YES","NO")</f>
        <v>YES</v>
      </c>
      <c r="AL269" s="252" t="str">
        <f>IF(ISNUMBER(SEARCH("R", 'Dry_Litterbag Placem_Collection'!$S196)),"YES","NO")</f>
        <v>YES</v>
      </c>
    </row>
    <row r="270" spans="2:38">
      <c r="B270" t="str">
        <f>'Final data_for_R_analysis_Dryse'!A196</f>
        <v>Dry</v>
      </c>
      <c r="C270" s="260">
        <f>'Final data_for_R_analysis_Dryse'!B196</f>
        <v>195</v>
      </c>
      <c r="D270" t="s">
        <v>2425</v>
      </c>
      <c r="E270" t="s">
        <v>22</v>
      </c>
      <c r="F270" s="382">
        <v>3</v>
      </c>
      <c r="G270" s="16">
        <f>IF('Dry_Litterbag Placem_Collection'!E197="","",'Dry_Litterbag Placem_Collection'!E197)</f>
        <v>42942</v>
      </c>
      <c r="H270" t="str">
        <f>'Final data_for_R_analysis_Dryse'!K196</f>
        <v>G105</v>
      </c>
      <c r="I270" t="str">
        <f>'Final data_for_R_analysis_Dryse'!K416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43"/>
        <v>1.8942000000000001</v>
      </c>
      <c r="M270" s="237">
        <f>AVERAGE(Ashed_controlls!$K$1:$K$11)</f>
        <v>5.5147656768714146</v>
      </c>
      <c r="N270" s="194">
        <f t="shared" si="39"/>
        <v>1.7897393085487017</v>
      </c>
      <c r="O270" s="194">
        <f t="shared" si="44"/>
        <v>1.9851999999999999</v>
      </c>
      <c r="P270" s="237">
        <f>AVERAGE(Ashed_controlls!$K$12:$K$14)</f>
        <v>2.2816647271287041</v>
      </c>
      <c r="Q270" s="194">
        <f t="shared" si="40"/>
        <v>1.9399043918370409</v>
      </c>
      <c r="R270" s="16">
        <f>IF('Dry_Litterbag Placem_Collection'!G197="","",'Dry_Litterbag Placem_Collection'!G197)</f>
        <v>43004</v>
      </c>
      <c r="S270" s="194">
        <f>IFERROR(INDEX('Both teabags AfterDry'!$D$3:$D$2000,MATCH(H270,'Both teabags AfterDry'!$A$3:$A$2000,0)),"")</f>
        <v>1.2050000000000001</v>
      </c>
      <c r="T270" s="194">
        <f>IFERROR(INDEX('Both teabags AfterDry'!$D$3:$D$2000,MATCH(I270,'Both teabags AfterDry'!$A$3:$A$2000,0)),"")</f>
        <v>0.78200000000000003</v>
      </c>
      <c r="U270" s="194">
        <f t="shared" si="45"/>
        <v>1.0544</v>
      </c>
      <c r="V270" s="194">
        <f t="shared" si="46"/>
        <v>0.63139999999999996</v>
      </c>
      <c r="W270" s="194">
        <f>IFERROR(INDEX('Ashed teabags dry'!$K$2:$K$2000,MATCH(H270,'Ashed teabags dry'!$A$2:$A$2000,0)),"")</f>
        <v>44.075144508670796</v>
      </c>
      <c r="X270" s="194">
        <f>IFERROR(INDEX('Ashed teabags dry'!$K$2:$K$2000,MATCH(I270,'Ashed teabags dry'!$A$2:$A$2000,0)),"")</f>
        <v>74.075764491100372</v>
      </c>
      <c r="Y270" s="194">
        <f t="shared" si="41"/>
        <v>0.58967167630057515</v>
      </c>
      <c r="Z270" s="194">
        <f t="shared" si="41"/>
        <v>0.16368562300319223</v>
      </c>
      <c r="AA270" s="194">
        <f t="shared" si="47"/>
        <v>0.67052649875654824</v>
      </c>
      <c r="AB270" s="194">
        <f t="shared" si="48"/>
        <v>0.43958506806842601</v>
      </c>
      <c r="AC270" s="194">
        <f t="shared" si="42"/>
        <v>8.4378190848975826E-2</v>
      </c>
      <c r="AD270">
        <f t="shared" si="49"/>
        <v>62</v>
      </c>
      <c r="AE270" s="194">
        <f t="shared" si="50"/>
        <v>0.20365023900647472</v>
      </c>
      <c r="AF270" s="194" t="str">
        <f t="shared" si="51"/>
        <v/>
      </c>
      <c r="AG270" s="252" t="str">
        <f>IF(ISNUMBER(SEARCH("C", 'Dry_Litterbag Placem_Collection'!$T197)),"YES","NO")</f>
        <v>NO</v>
      </c>
      <c r="AH270" s="252" t="str">
        <f>IF(ISNUMBER(SEARCH("H", 'Dry_Litterbag Placem_Collection'!$T197)),"YES","NO")</f>
        <v>NO</v>
      </c>
      <c r="AI270" s="252" t="str">
        <f>IF(ISNUMBER(SEARCH("R", 'Dry_Litterbag Placem_Collection'!$T197)),"YES","NO")</f>
        <v>YES</v>
      </c>
      <c r="AJ270" s="252" t="str">
        <f>IF(ISNUMBER(SEARCH("C", 'Dry_Litterbag Placem_Collection'!$S197)),"YES","NO")</f>
        <v>NO</v>
      </c>
      <c r="AK270" s="252" t="str">
        <f>IF(ISNUMBER(SEARCH("H", 'Dry_Litterbag Placem_Collection'!$S197)),"YES","NO")</f>
        <v>YES</v>
      </c>
      <c r="AL270" s="252" t="str">
        <f>IF(ISNUMBER(SEARCH("R", 'Dry_Litterbag Placem_Collection'!$S197)),"YES","NO")</f>
        <v>YES</v>
      </c>
    </row>
    <row r="271" spans="2:38">
      <c r="B271" t="str">
        <f>'Final data_for_R_analysis_Dryse'!A197</f>
        <v>Dry</v>
      </c>
      <c r="C271" s="260">
        <f>'Final data_for_R_analysis_Dryse'!B197</f>
        <v>196</v>
      </c>
      <c r="D271" t="s">
        <v>2416</v>
      </c>
      <c r="E271" t="s">
        <v>22</v>
      </c>
      <c r="F271" s="382">
        <v>4</v>
      </c>
      <c r="G271" s="16">
        <f>IF('Dry_Litterbag Placem_Collection'!E198="","",'Dry_Litterbag Placem_Collection'!E198)</f>
        <v>42942</v>
      </c>
      <c r="H271" t="str">
        <f>'Final data_for_R_analysis_Dryse'!K197</f>
        <v>G12</v>
      </c>
      <c r="I271" t="str">
        <f>'Final data_for_R_analysis_Dryse'!K417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43"/>
        <v>1.7372000000000001</v>
      </c>
      <c r="M271" s="237">
        <f>AVERAGE(Ashed_controlls!$K$1:$K$11)</f>
        <v>5.5147656768714146</v>
      </c>
      <c r="N271" s="194">
        <f t="shared" si="39"/>
        <v>1.64139749066139</v>
      </c>
      <c r="O271" s="194">
        <f t="shared" si="44"/>
        <v>1.9352</v>
      </c>
      <c r="P271" s="237">
        <f>AVERAGE(Ashed_controlls!$K$12:$K$14)</f>
        <v>2.2816647271287041</v>
      </c>
      <c r="Q271" s="194">
        <f t="shared" si="40"/>
        <v>1.8910452242006053</v>
      </c>
      <c r="R271" s="16">
        <f>IF('Dry_Litterbag Placem_Collection'!G198="","",'Dry_Litterbag Placem_Collection'!G198)</f>
        <v>43004</v>
      </c>
      <c r="S271" s="194">
        <f>IFERROR(INDEX('Both teabags AfterDry'!$D$3:$D$2000,MATCH(H271,'Both teabags AfterDry'!$A$3:$A$2000,0)),"")</f>
        <v>0.748</v>
      </c>
      <c r="T271" s="194">
        <f>IFERROR(INDEX('Both teabags AfterDry'!$D$3:$D$2000,MATCH(I271,'Both teabags AfterDry'!$A$3:$A$2000,0)),"")</f>
        <v>0.19900000000000001</v>
      </c>
      <c r="U271" s="194">
        <f t="shared" si="45"/>
        <v>0.59739999999999993</v>
      </c>
      <c r="V271" s="194">
        <f t="shared" si="46"/>
        <v>4.8399999999999999E-2</v>
      </c>
      <c r="W271" s="194">
        <f>IFERROR(INDEX('Ashed teabags dry'!$K$2:$K$2000,MATCH(H271,'Ashed teabags dry'!$A$2:$A$2000,0)),"")</f>
        <v>27.855421686746478</v>
      </c>
      <c r="X271" s="194" t="str">
        <f>IFERROR(INDEX('Ashed teabags dry'!$K$2:$K$2000,MATCH(I271,'Ashed teabags dry'!$A$2:$A$2000,0)),"")</f>
        <v/>
      </c>
      <c r="Y271" s="194">
        <f t="shared" si="41"/>
        <v>0.43099171084337651</v>
      </c>
      <c r="Z271" s="194" t="str">
        <f t="shared" si="41"/>
        <v/>
      </c>
      <c r="AA271" s="194">
        <f t="shared" si="47"/>
        <v>0.73742392485947361</v>
      </c>
      <c r="AB271" s="194">
        <f t="shared" si="48"/>
        <v>0.4834418129720065</v>
      </c>
      <c r="AC271" s="194" t="str">
        <f t="shared" si="42"/>
        <v/>
      </c>
      <c r="AD271">
        <f t="shared" si="49"/>
        <v>62</v>
      </c>
      <c r="AE271" s="194">
        <f t="shared" si="50"/>
        <v>0.12419961418114767</v>
      </c>
      <c r="AF271" s="194" t="str">
        <f t="shared" si="51"/>
        <v/>
      </c>
      <c r="AG271" s="252" t="str">
        <f>IF(ISNUMBER(SEARCH("C", 'Dry_Litterbag Placem_Collection'!$T198)),"YES","NO")</f>
        <v>NO</v>
      </c>
      <c r="AH271" s="252" t="str">
        <f>IF(ISNUMBER(SEARCH("H", 'Dry_Litterbag Placem_Collection'!$T198)),"YES","NO")</f>
        <v>YES</v>
      </c>
      <c r="AI271" s="252" t="str">
        <f>IF(ISNUMBER(SEARCH("R", 'Dry_Litterbag Placem_Collection'!$T198)),"YES","NO")</f>
        <v>NO</v>
      </c>
      <c r="AJ271" s="252" t="str">
        <f>IF(ISNUMBER(SEARCH("C", 'Dry_Litterbag Placem_Collection'!$S198)),"YES","NO")</f>
        <v>NO</v>
      </c>
      <c r="AK271" s="252" t="str">
        <f>IF(ISNUMBER(SEARCH("H", 'Dry_Litterbag Placem_Collection'!$S198)),"YES","NO")</f>
        <v>YES</v>
      </c>
      <c r="AL271" s="252" t="str">
        <f>IF(ISNUMBER(SEARCH("R", 'Dry_Litterbag Placem_Collection'!$S198)),"YES","NO")</f>
        <v>NO</v>
      </c>
    </row>
    <row r="272" spans="2:38">
      <c r="B272" t="str">
        <f>'Final data_for_R_analysis_Dryse'!A198</f>
        <v>Dry</v>
      </c>
      <c r="C272" s="260">
        <f>'Final data_for_R_analysis_Dryse'!B198</f>
        <v>197</v>
      </c>
      <c r="D272" t="s">
        <v>2426</v>
      </c>
      <c r="E272" t="s">
        <v>22</v>
      </c>
      <c r="F272" s="382">
        <v>1</v>
      </c>
      <c r="G272" s="16">
        <f>IF('Dry_Litterbag Placem_Collection'!E199="","",'Dry_Litterbag Placem_Collection'!E199)</f>
        <v>42942</v>
      </c>
      <c r="H272" t="str">
        <f>'Final data_for_R_analysis_Dryse'!K198</f>
        <v>G399</v>
      </c>
      <c r="I272" t="str">
        <f>'Final data_for_R_analysis_Dryse'!K418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43"/>
        <v>1.7572000000000001</v>
      </c>
      <c r="M272" s="237">
        <f>AVERAGE(Ashed_controlls!$K$1:$K$11)</f>
        <v>5.5147656768714146</v>
      </c>
      <c r="N272" s="194">
        <f t="shared" si="39"/>
        <v>1.6602945375260156</v>
      </c>
      <c r="O272" s="194">
        <f t="shared" si="44"/>
        <v>1.8921999999999999</v>
      </c>
      <c r="P272" s="237">
        <f>AVERAGE(Ashed_controlls!$K$12:$K$14)</f>
        <v>2.2816647271287041</v>
      </c>
      <c r="Q272" s="194">
        <f t="shared" si="40"/>
        <v>1.8490263400332705</v>
      </c>
      <c r="R272" s="16">
        <f>IF('Dry_Litterbag Placem_Collection'!G199="","",'Dry_Litterbag Placem_Collection'!G199)</f>
        <v>43004</v>
      </c>
      <c r="S272" s="194">
        <f>IFERROR(INDEX('Both teabags AfterDry'!$D$3:$D$2000,MATCH(H272,'Both teabags AfterDry'!$A$3:$A$2000,0)),"")</f>
        <v>0.69</v>
      </c>
      <c r="T272" s="194">
        <f>IFERROR(INDEX('Both teabags AfterDry'!$D$3:$D$2000,MATCH(I272,'Both teabags AfterDry'!$A$3:$A$2000,0)),"")</f>
        <v>1.6160000000000001</v>
      </c>
      <c r="U272" s="194">
        <f t="shared" si="45"/>
        <v>0.53939999999999988</v>
      </c>
      <c r="V272" s="194">
        <f t="shared" si="46"/>
        <v>1.4654</v>
      </c>
      <c r="W272" s="194">
        <f>IFERROR(INDEX('Ashed teabags dry'!$K$2:$K$2000,MATCH(H272,'Ashed teabags dry'!$A$2:$A$2000,0)),"")</f>
        <v>18.458698661744211</v>
      </c>
      <c r="X272" s="194">
        <f>IFERROR(INDEX('Ashed teabags dry'!$K$2:$K$2000,MATCH(I272,'Ashed teabags dry'!$A$2:$A$2000,0)),"")</f>
        <v>6.6166740185264974</v>
      </c>
      <c r="Y272" s="194">
        <f t="shared" si="41"/>
        <v>0.43983377941855162</v>
      </c>
      <c r="Z272" s="194">
        <f t="shared" si="41"/>
        <v>1.3684392589325127</v>
      </c>
      <c r="AA272" s="194">
        <f t="shared" si="47"/>
        <v>0.73508689604319088</v>
      </c>
      <c r="AB272" s="194">
        <f t="shared" si="48"/>
        <v>0.4819096990686953</v>
      </c>
      <c r="AC272" s="194">
        <f t="shared" si="42"/>
        <v>0.74008640618277488</v>
      </c>
      <c r="AD272">
        <f t="shared" si="49"/>
        <v>62</v>
      </c>
      <c r="AE272" s="194">
        <f t="shared" si="50"/>
        <v>0.12697518284656661</v>
      </c>
      <c r="AF272" s="194">
        <f t="shared" si="51"/>
        <v>1.2501563102620806E-2</v>
      </c>
      <c r="AG272" s="252" t="str">
        <f>IF(ISNUMBER(SEARCH("C", 'Dry_Litterbag Placem_Collection'!$T199)),"YES","NO")</f>
        <v>NO</v>
      </c>
      <c r="AH272" s="252" t="str">
        <f>IF(ISNUMBER(SEARCH("H", 'Dry_Litterbag Placem_Collection'!$T199)),"YES","NO")</f>
        <v>NO</v>
      </c>
      <c r="AI272" s="252" t="str">
        <f>IF(ISNUMBER(SEARCH("R", 'Dry_Litterbag Placem_Collection'!$T199)),"YES","NO")</f>
        <v>YES</v>
      </c>
      <c r="AJ272" s="252" t="str">
        <f>IF(ISNUMBER(SEARCH("C", 'Dry_Litterbag Placem_Collection'!$S199)),"YES","NO")</f>
        <v>NO</v>
      </c>
      <c r="AK272" s="252" t="str">
        <f>IF(ISNUMBER(SEARCH("H", 'Dry_Litterbag Placem_Collection'!$S199)),"YES","NO")</f>
        <v>NO</v>
      </c>
      <c r="AL272" s="252" t="str">
        <f>IF(ISNUMBER(SEARCH("R", 'Dry_Litterbag Placem_Collection'!$S199)),"YES","NO")</f>
        <v>YES</v>
      </c>
    </row>
    <row r="273" spans="2:38">
      <c r="B273" t="str">
        <f>'Final data_for_R_analysis_Dryse'!A199</f>
        <v>Dry</v>
      </c>
      <c r="C273" s="260">
        <f>'Final data_for_R_analysis_Dryse'!B199</f>
        <v>198</v>
      </c>
      <c r="D273" t="s">
        <v>2434</v>
      </c>
      <c r="E273" t="s">
        <v>22</v>
      </c>
      <c r="F273" s="382">
        <v>2</v>
      </c>
      <c r="G273" s="16">
        <f>IF('Dry_Litterbag Placem_Collection'!E200="","",'Dry_Litterbag Placem_Collection'!E200)</f>
        <v>42942</v>
      </c>
      <c r="H273" t="str">
        <f>'Final data_for_R_analysis_Dryse'!K199</f>
        <v>G27</v>
      </c>
      <c r="I273" t="str">
        <f>'Final data_for_R_analysis_Dryse'!K419</f>
        <v>R352</v>
      </c>
      <c r="J273">
        <f>IFERROR(INDEX('Green_rooibos initial weight'!$C$5:$C$2000,MATCH(H273, 'Green_rooibos initial weight'!$A$5:$A$2000,0)),"")</f>
        <v>1.966</v>
      </c>
      <c r="K273">
        <f>IFERROR(INDEX('Green_rooibos initial weight'!$C$5:$C$2000,MATCH(I273, 'Green_rooibos initial weight'!$A$5:$A$2000,0)),"")</f>
        <v>2.2789999999999999</v>
      </c>
      <c r="L273" s="194">
        <f t="shared" si="43"/>
        <v>1.7161999999999999</v>
      </c>
      <c r="M273" s="237">
        <f>AVERAGE(Ashed_controlls!$K$1:$K$11)</f>
        <v>5.5147656768714146</v>
      </c>
      <c r="N273" s="194">
        <f t="shared" si="39"/>
        <v>1.6215555914535327</v>
      </c>
      <c r="O273" s="194">
        <f t="shared" si="44"/>
        <v>2.0291999999999999</v>
      </c>
      <c r="P273" s="237">
        <f>AVERAGE(Ashed_controlls!$K$12:$K$14)</f>
        <v>2.2816647271287041</v>
      </c>
      <c r="Q273" s="194">
        <f t="shared" si="40"/>
        <v>1.9829004593571042</v>
      </c>
      <c r="R273" s="16">
        <f>IF('Dry_Litterbag Placem_Collection'!G200="","",'Dry_Litterbag Placem_Collection'!G200)</f>
        <v>43004</v>
      </c>
      <c r="S273" s="194">
        <f>IFERROR(INDEX('Both teabags AfterDry'!$D$3:$D$2000,MATCH(H273,'Both teabags AfterDry'!$A$3:$A$2000,0)),"")</f>
        <v>0.73799999999999999</v>
      </c>
      <c r="T273" s="194">
        <f>IFERROR(INDEX('Both teabags AfterDry'!$D$3:$D$2000,MATCH(I273,'Both teabags AfterDry'!$A$3:$A$2000,0)),"")</f>
        <v>1.615</v>
      </c>
      <c r="U273" s="194">
        <f t="shared" si="45"/>
        <v>0.58739999999999992</v>
      </c>
      <c r="V273" s="194">
        <f t="shared" si="46"/>
        <v>1.4643999999999999</v>
      </c>
      <c r="W273" s="194">
        <f>IFERROR(INDEX('Ashed teabags dry'!$K$2:$K$2000,MATCH(H273,'Ashed teabags dry'!$A$2:$A$2000,0)),"")</f>
        <v>26.042177538007827</v>
      </c>
      <c r="X273" s="194">
        <f>IFERROR(INDEX('Ashed teabags dry'!$K$2:$K$2000,MATCH(I273,'Ashed teabags dry'!$A$2:$A$2000,0)),"")</f>
        <v>5.1034482758627195</v>
      </c>
      <c r="Y273" s="194">
        <f t="shared" si="41"/>
        <v>0.43442824914174194</v>
      </c>
      <c r="Z273" s="194">
        <f t="shared" si="41"/>
        <v>1.3896651034482663</v>
      </c>
      <c r="AA273" s="194">
        <f t="shared" si="47"/>
        <v>0.73209167084285509</v>
      </c>
      <c r="AB273" s="194">
        <f t="shared" si="48"/>
        <v>0.47994608349792878</v>
      </c>
      <c r="AC273" s="194">
        <f t="shared" si="42"/>
        <v>0.70082443971939135</v>
      </c>
      <c r="AD273">
        <f t="shared" si="49"/>
        <v>62</v>
      </c>
      <c r="AE273" s="194">
        <f t="shared" si="50"/>
        <v>0.1305324574312885</v>
      </c>
      <c r="AF273" s="194">
        <f t="shared" si="51"/>
        <v>1.5749118906176911E-2</v>
      </c>
      <c r="AG273" s="252" t="str">
        <f>IF(ISNUMBER(SEARCH("C", 'Dry_Litterbag Placem_Collection'!$T200)),"YES","NO")</f>
        <v>NO</v>
      </c>
      <c r="AH273" s="252" t="str">
        <f>IF(ISNUMBER(SEARCH("H", 'Dry_Litterbag Placem_Collection'!$T200)),"YES","NO")</f>
        <v>YES</v>
      </c>
      <c r="AI273" s="252" t="str">
        <f>IF(ISNUMBER(SEARCH("R", 'Dry_Litterbag Placem_Collection'!$T200)),"YES","NO")</f>
        <v>YES</v>
      </c>
      <c r="AJ273" s="252" t="str">
        <f>IF(ISNUMBER(SEARCH("C", 'Dry_Litterbag Placem_Collection'!$S200)),"YES","NO")</f>
        <v>NO</v>
      </c>
      <c r="AK273" s="252" t="str">
        <f>IF(ISNUMBER(SEARCH("H", 'Dry_Litterbag Placem_Collection'!$S200)),"YES","NO")</f>
        <v>NO</v>
      </c>
      <c r="AL273" s="252" t="str">
        <f>IF(ISNUMBER(SEARCH("R", 'Dry_Litterbag Placem_Collection'!$S200)),"YES","NO")</f>
        <v>YES</v>
      </c>
    </row>
    <row r="274" spans="2:38">
      <c r="B274" t="str">
        <f>'Final data_for_R_analysis_Dryse'!A200</f>
        <v>Dry</v>
      </c>
      <c r="C274" s="260">
        <f>'Final data_for_R_analysis_Dryse'!B200</f>
        <v>199</v>
      </c>
      <c r="D274" t="s">
        <v>2418</v>
      </c>
      <c r="E274" t="s">
        <v>22</v>
      </c>
      <c r="F274" s="382">
        <v>3</v>
      </c>
      <c r="G274" s="16">
        <f>IF('Dry_Litterbag Placem_Collection'!E201="","",'Dry_Litterbag Placem_Collection'!E201)</f>
        <v>42942</v>
      </c>
      <c r="H274" t="str">
        <f>'Final data_for_R_analysis_Dryse'!K200</f>
        <v>G224</v>
      </c>
      <c r="I274" t="str">
        <f>'Final data_for_R_analysis_Dryse'!K420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43"/>
        <v>1.7761999999999998</v>
      </c>
      <c r="M274" s="237">
        <f>AVERAGE(Ashed_controlls!$K$1:$K$11)</f>
        <v>5.5147656768714146</v>
      </c>
      <c r="N274" s="194">
        <f t="shared" si="39"/>
        <v>1.6782467320474097</v>
      </c>
      <c r="O274" s="194">
        <f t="shared" si="44"/>
        <v>1.9731999999999998</v>
      </c>
      <c r="P274" s="237">
        <f>AVERAGE(Ashed_controlls!$K$12:$K$14)</f>
        <v>2.2816647271287041</v>
      </c>
      <c r="Q274" s="194">
        <f t="shared" si="40"/>
        <v>1.9281781916042962</v>
      </c>
      <c r="R274" s="16">
        <f>IF('Dry_Litterbag Placem_Collection'!G201="","",'Dry_Litterbag Placem_Collection'!G201)</f>
        <v>43004</v>
      </c>
      <c r="S274" s="194">
        <f>IFERROR(INDEX('Both teabags AfterDry'!$D$3:$D$2000,MATCH(H274,'Both teabags AfterDry'!$A$3:$A$2000,0)),"")</f>
        <v>0.53049999999999997</v>
      </c>
      <c r="T274" s="194">
        <f>IFERROR(INDEX('Both teabags AfterDry'!$D$3:$D$2000,MATCH(I274,'Both teabags AfterDry'!$A$3:$A$2000,0)),"")</f>
        <v>1.5642</v>
      </c>
      <c r="U274" s="194">
        <f t="shared" si="45"/>
        <v>0.37989999999999996</v>
      </c>
      <c r="V274" s="194">
        <f t="shared" si="46"/>
        <v>1.4136</v>
      </c>
      <c r="W274" s="194">
        <f>IFERROR(INDEX('Ashed teabags dry'!$K$2:$K$2000,MATCH(H274,'Ashed teabags dry'!$A$2:$A$2000,0)),"")</f>
        <v>22.616075886170179</v>
      </c>
      <c r="X274" s="194">
        <f>IFERROR(INDEX('Ashed teabags dry'!$K$2:$K$2000,MATCH(I274,'Ashed teabags dry'!$A$2:$A$2000,0)),"")</f>
        <v>3.4327009936770145</v>
      </c>
      <c r="Y274" s="194">
        <f t="shared" si="41"/>
        <v>0.29398152770843944</v>
      </c>
      <c r="Z274" s="194">
        <f t="shared" si="41"/>
        <v>1.3650753387533816</v>
      </c>
      <c r="AA274" s="194">
        <f t="shared" si="47"/>
        <v>0.82482818402405533</v>
      </c>
      <c r="AB274" s="194">
        <f t="shared" si="48"/>
        <v>0.5407424674361978</v>
      </c>
      <c r="AC274" s="194">
        <f t="shared" si="42"/>
        <v>0.70796119606435448</v>
      </c>
      <c r="AD274">
        <f t="shared" si="49"/>
        <v>62</v>
      </c>
      <c r="AE274" s="194">
        <f t="shared" si="50"/>
        <v>2.039408073152571E-2</v>
      </c>
      <c r="AF274" s="194">
        <f t="shared" si="51"/>
        <v>1.2527113767560114E-2</v>
      </c>
      <c r="AG274" s="252" t="str">
        <f>IF(ISNUMBER(SEARCH("C", 'Dry_Litterbag Placem_Collection'!$T201)),"YES","NO")</f>
        <v>NO</v>
      </c>
      <c r="AH274" s="252" t="str">
        <f>IF(ISNUMBER(SEARCH("H", 'Dry_Litterbag Placem_Collection'!$T201)),"YES","NO")</f>
        <v>YES</v>
      </c>
      <c r="AI274" s="252" t="str">
        <f>IF(ISNUMBER(SEARCH("R", 'Dry_Litterbag Placem_Collection'!$T201)),"YES","NO")</f>
        <v>NO</v>
      </c>
      <c r="AJ274" s="252" t="str">
        <f>IF(ISNUMBER(SEARCH("C", 'Dry_Litterbag Placem_Collection'!$S201)),"YES","NO")</f>
        <v>NO</v>
      </c>
      <c r="AK274" s="252" t="str">
        <f>IF(ISNUMBER(SEARCH("H", 'Dry_Litterbag Placem_Collection'!$S201)),"YES","NO")</f>
        <v>YES</v>
      </c>
      <c r="AL274" s="252" t="str">
        <f>IF(ISNUMBER(SEARCH("R", 'Dry_Litterbag Placem_Collection'!$S201)),"YES","NO")</f>
        <v>NO</v>
      </c>
    </row>
    <row r="275" spans="2:38">
      <c r="B275" t="str">
        <f>'Final data_for_R_analysis_Dryse'!A201</f>
        <v>Dry</v>
      </c>
      <c r="C275" s="260">
        <f>'Final data_for_R_analysis_Dryse'!B201</f>
        <v>200</v>
      </c>
      <c r="D275" t="s">
        <v>2441</v>
      </c>
      <c r="E275" t="s">
        <v>22</v>
      </c>
      <c r="F275" s="382">
        <v>4</v>
      </c>
      <c r="G275" s="16">
        <f>IF('Dry_Litterbag Placem_Collection'!E202="","",'Dry_Litterbag Placem_Collection'!E202)</f>
        <v>42942</v>
      </c>
      <c r="H275" t="str">
        <f>'Final data_for_R_analysis_Dryse'!K201</f>
        <v>G158</v>
      </c>
      <c r="I275" t="str">
        <f>'Final data_for_R_analysis_Dryse'!K421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43"/>
        <v>1.8111999999999999</v>
      </c>
      <c r="M275" s="237">
        <f>AVERAGE(Ashed_controlls!$K$1:$K$11)</f>
        <v>5.5147656768714146</v>
      </c>
      <c r="N275" s="194">
        <f t="shared" si="39"/>
        <v>1.7113165640605048</v>
      </c>
      <c r="O275" s="194">
        <f t="shared" si="44"/>
        <v>1.9321999999999999</v>
      </c>
      <c r="P275" s="237">
        <f>AVERAGE(Ashed_controlls!$K$12:$K$14)</f>
        <v>2.2816647271287041</v>
      </c>
      <c r="Q275" s="194">
        <f t="shared" si="40"/>
        <v>1.8881136741424192</v>
      </c>
      <c r="R275" s="16">
        <f>IF('Dry_Litterbag Placem_Collection'!G202="","",'Dry_Litterbag Placem_Collection'!G202)</f>
        <v>43004</v>
      </c>
      <c r="S275" s="194">
        <f>IFERROR(INDEX('Both teabags AfterDry'!$D$3:$D$2000,MATCH(H275,'Both teabags AfterDry'!$A$3:$A$2000,0)),"")</f>
        <v>0.71050000000000002</v>
      </c>
      <c r="T275" s="194">
        <f>IFERROR(INDEX('Both teabags AfterDry'!$D$3:$D$2000,MATCH(I275,'Both teabags AfterDry'!$A$3:$A$2000,0)),"")</f>
        <v>0.1565</v>
      </c>
      <c r="U275" s="194">
        <f t="shared" si="45"/>
        <v>0.55990000000000006</v>
      </c>
      <c r="V275" s="194">
        <f t="shared" si="46"/>
        <v>5.8999999999999886E-3</v>
      </c>
      <c r="W275" s="194">
        <f>IFERROR(INDEX('Ashed teabags dry'!$K$2:$K$2000,MATCH(H275,'Ashed teabags dry'!$A$2:$A$2000,0)),"")</f>
        <v>21.295855169128785</v>
      </c>
      <c r="X275" s="194">
        <f>IFERROR(INDEX('Ashed teabags dry'!$K$2:$K$2000,MATCH(I275,'Ashed teabags dry'!$A$2:$A$2000,0)),"")</f>
        <v>0</v>
      </c>
      <c r="Y275" s="194">
        <f t="shared" si="41"/>
        <v>0.44066450690804798</v>
      </c>
      <c r="Z275" s="194">
        <f t="shared" si="41"/>
        <v>5.8999999999999886E-3</v>
      </c>
      <c r="AA275" s="194">
        <f t="shared" si="47"/>
        <v>0.74249971269928761</v>
      </c>
      <c r="AB275" s="194">
        <f t="shared" si="48"/>
        <v>0.48676940785036438</v>
      </c>
      <c r="AC275" s="194">
        <f t="shared" si="42"/>
        <v>3.1248118589468758E-3</v>
      </c>
      <c r="AD275">
        <f t="shared" si="49"/>
        <v>62</v>
      </c>
      <c r="AE275" s="194">
        <f t="shared" si="50"/>
        <v>0.11817136258991967</v>
      </c>
      <c r="AF275" s="194" t="str">
        <f t="shared" si="51"/>
        <v/>
      </c>
      <c r="AG275" s="252" t="str">
        <f>IF(ISNUMBER(SEARCH("C", 'Dry_Litterbag Placem_Collection'!$T202)),"YES","NO")</f>
        <v>NO</v>
      </c>
      <c r="AH275" s="252" t="str">
        <f>IF(ISNUMBER(SEARCH("H", 'Dry_Litterbag Placem_Collection'!$T202)),"YES","NO")</f>
        <v>YES</v>
      </c>
      <c r="AI275" s="252" t="str">
        <f>IF(ISNUMBER(SEARCH("R", 'Dry_Litterbag Placem_Collection'!$T202)),"YES","NO")</f>
        <v>YES</v>
      </c>
      <c r="AJ275" s="252" t="str">
        <f>IF(ISNUMBER(SEARCH("C", 'Dry_Litterbag Placem_Collection'!$S202)),"YES","NO")</f>
        <v>NO</v>
      </c>
      <c r="AK275" s="252" t="str">
        <f>IF(ISNUMBER(SEARCH("H", 'Dry_Litterbag Placem_Collection'!$S202)),"YES","NO")</f>
        <v>NO</v>
      </c>
      <c r="AL275" s="252" t="str">
        <f>IF(ISNUMBER(SEARCH("R", 'Dry_Litterbag Placem_Collection'!$S202)),"YES","NO")</f>
        <v>YES</v>
      </c>
    </row>
    <row r="276" spans="2:38">
      <c r="B276" t="str">
        <f>'Final data_for_R_analysis_Dryse'!A202</f>
        <v>Dry</v>
      </c>
      <c r="C276" s="260">
        <f>'Final data_for_R_analysis_Dryse'!B202</f>
        <v>201</v>
      </c>
      <c r="D276" t="s">
        <v>2442</v>
      </c>
      <c r="E276" t="s">
        <v>22</v>
      </c>
      <c r="F276" s="382">
        <v>1</v>
      </c>
      <c r="G276" s="16">
        <f>IF('Dry_Litterbag Placem_Collection'!E203="","",'Dry_Litterbag Placem_Collection'!E203)</f>
        <v>42942</v>
      </c>
      <c r="H276" t="str">
        <f>'Final data_for_R_analysis_Dryse'!K202</f>
        <v>G211</v>
      </c>
      <c r="I276" t="str">
        <f>'Final data_for_R_analysis_Dryse'!K422</f>
        <v>R36</v>
      </c>
      <c r="J276">
        <f>IFERROR(INDEX('Green_rooibos initial weight'!$C$5:$C$2000,MATCH(H276, 'Green_rooibos initial weight'!$A$5:$A$2000,0)),"")</f>
        <v>2.06</v>
      </c>
      <c r="K276">
        <f>IFERROR(INDEX('Green_rooibos initial weight'!$C$5:$C$2000,MATCH(I276, 'Green_rooibos initial weight'!$A$5:$A$2000,0)),"")</f>
        <v>2.298</v>
      </c>
      <c r="L276" s="194">
        <f t="shared" si="43"/>
        <v>1.8102</v>
      </c>
      <c r="M276" s="237">
        <f>AVERAGE(Ashed_controlls!$K$1:$K$11)</f>
        <v>5.5147656768714146</v>
      </c>
      <c r="N276" s="194">
        <f t="shared" si="39"/>
        <v>1.7103717117172736</v>
      </c>
      <c r="O276" s="194">
        <f t="shared" si="44"/>
        <v>2.0482</v>
      </c>
      <c r="P276" s="237">
        <f>AVERAGE(Ashed_controlls!$K$12:$K$14)</f>
        <v>2.2816647271287041</v>
      </c>
      <c r="Q276" s="194">
        <f t="shared" si="40"/>
        <v>2.0014669430589498</v>
      </c>
      <c r="R276" s="16">
        <f>IF('Dry_Litterbag Placem_Collection'!G203="","",'Dry_Litterbag Placem_Collection'!G203)</f>
        <v>43004</v>
      </c>
      <c r="S276" s="194">
        <f>IFERROR(INDEX('Both teabags AfterDry'!$D$3:$D$2000,MATCH(H276,'Both teabags AfterDry'!$A$3:$A$2000,0)),"")</f>
        <v>0.67300000000000004</v>
      </c>
      <c r="T276" s="194">
        <f>IFERROR(INDEX('Both teabags AfterDry'!$D$3:$D$2000,MATCH(I276,'Both teabags AfterDry'!$A$3:$A$2000,0)),"")</f>
        <v>1.968</v>
      </c>
      <c r="U276" s="194">
        <f t="shared" si="45"/>
        <v>0.52239999999999998</v>
      </c>
      <c r="V276" s="194">
        <f t="shared" si="46"/>
        <v>1.8173999999999999</v>
      </c>
      <c r="W276" s="194">
        <f>IFERROR(INDEX('Ashed teabags dry'!$K$2:$K$2000,MATCH(H276,'Ashed teabags dry'!$A$2:$A$2000,0)),"")</f>
        <v>67.294685990337157</v>
      </c>
      <c r="X276" s="194">
        <f>IFERROR(INDEX('Ashed teabags dry'!$K$2:$K$2000,MATCH(I276,'Ashed teabags dry'!$A$2:$A$2000,0)),"")</f>
        <v>10.068426197458811</v>
      </c>
      <c r="Y276" s="194">
        <f t="shared" si="41"/>
        <v>0.17085256038647867</v>
      </c>
      <c r="Z276" s="194">
        <f t="shared" si="41"/>
        <v>1.6344164222873836</v>
      </c>
      <c r="AA276" s="194">
        <f t="shared" si="47"/>
        <v>0.90010793606090655</v>
      </c>
      <c r="AB276" s="194">
        <f t="shared" si="48"/>
        <v>0.59009451390216205</v>
      </c>
      <c r="AC276" s="194">
        <f t="shared" si="42"/>
        <v>0.81660925150700558</v>
      </c>
      <c r="AD276">
        <f t="shared" si="49"/>
        <v>62</v>
      </c>
      <c r="AE276" s="194">
        <f t="shared" si="50"/>
        <v>-6.9011800547394975E-2</v>
      </c>
      <c r="AF276" s="194">
        <f t="shared" si="51"/>
        <v>6.0031878356522203E-3</v>
      </c>
      <c r="AG276" s="252" t="str">
        <f>IF(ISNUMBER(SEARCH("C", 'Dry_Litterbag Placem_Collection'!$T203)),"YES","NO")</f>
        <v>YES</v>
      </c>
      <c r="AH276" s="252" t="str">
        <f>IF(ISNUMBER(SEARCH("H", 'Dry_Litterbag Placem_Collection'!$T203)),"YES","NO")</f>
        <v>YES</v>
      </c>
      <c r="AI276" s="252" t="str">
        <f>IF(ISNUMBER(SEARCH("R", 'Dry_Litterbag Placem_Collection'!$T203)),"YES","NO")</f>
        <v>YES</v>
      </c>
      <c r="AJ276" s="252" t="str">
        <f>IF(ISNUMBER(SEARCH("C", 'Dry_Litterbag Placem_Collection'!$S203)),"YES","NO")</f>
        <v>NO</v>
      </c>
      <c r="AK276" s="252" t="str">
        <f>IF(ISNUMBER(SEARCH("H", 'Dry_Litterbag Placem_Collection'!$S203)),"YES","NO")</f>
        <v>YES</v>
      </c>
      <c r="AL276" s="252" t="str">
        <f>IF(ISNUMBER(SEARCH("R", 'Dry_Litterbag Placem_Collection'!$S203)),"YES","NO")</f>
        <v>YES</v>
      </c>
    </row>
    <row r="277" spans="2:38">
      <c r="B277" t="str">
        <f>'Final data_for_R_analysis_Dryse'!A203</f>
        <v>Dry</v>
      </c>
      <c r="C277" s="260">
        <f>'Final data_for_R_analysis_Dryse'!B203</f>
        <v>202</v>
      </c>
      <c r="D277" t="s">
        <v>2419</v>
      </c>
      <c r="E277" t="s">
        <v>22</v>
      </c>
      <c r="F277" s="382">
        <v>2</v>
      </c>
      <c r="G277" s="16">
        <f>IF('Dry_Litterbag Placem_Collection'!E204="","",'Dry_Litterbag Placem_Collection'!E204)</f>
        <v>42942</v>
      </c>
      <c r="H277" t="str">
        <f>'Final data_for_R_analysis_Dryse'!K203</f>
        <v>G181</v>
      </c>
      <c r="I277" t="str">
        <f>'Final data_for_R_analysis_Dryse'!K423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43"/>
        <v>1.5131999999999999</v>
      </c>
      <c r="M277" s="237">
        <f>AVERAGE(Ashed_controlls!$K$1:$K$11)</f>
        <v>5.5147656768714146</v>
      </c>
      <c r="N277" s="194">
        <f t="shared" si="39"/>
        <v>1.4297505657775815</v>
      </c>
      <c r="O277" s="194">
        <f t="shared" si="44"/>
        <v>1.8961999999999999</v>
      </c>
      <c r="P277" s="237">
        <f>AVERAGE(Ashed_controlls!$K$12:$K$14)</f>
        <v>2.2816647271287041</v>
      </c>
      <c r="Q277" s="194">
        <f t="shared" si="40"/>
        <v>1.8529350734441854</v>
      </c>
      <c r="R277" s="16">
        <f>IF('Dry_Litterbag Placem_Collection'!G204="","",'Dry_Litterbag Placem_Collection'!G204)</f>
        <v>43004</v>
      </c>
      <c r="S277" s="194">
        <f>IFERROR(INDEX('Both teabags AfterDry'!$D$3:$D$2000,MATCH(H277,'Both teabags AfterDry'!$A$3:$A$2000,0)),"")</f>
        <v>0.80740000000000001</v>
      </c>
      <c r="T277" s="194">
        <f>IFERROR(INDEX('Both teabags AfterDry'!$D$3:$D$2000,MATCH(I277,'Both teabags AfterDry'!$A$3:$A$2000,0)),"")</f>
        <v>1.6712</v>
      </c>
      <c r="U277" s="194">
        <f t="shared" si="45"/>
        <v>0.65680000000000005</v>
      </c>
      <c r="V277" s="194">
        <f t="shared" si="46"/>
        <v>1.5206</v>
      </c>
      <c r="W277" s="194">
        <f>IFERROR(INDEX('Ashed teabags dry'!$K$2:$K$2000,MATCH(H277,'Ashed teabags dry'!$A$2:$A$2000,0)),"")</f>
        <v>30.530575539568105</v>
      </c>
      <c r="X277" s="194">
        <f>IFERROR(INDEX('Ashed teabags dry'!$K$2:$K$2000,MATCH(I277,'Ashed teabags dry'!$A$2:$A$2000,0)),"")</f>
        <v>11.369253583786671</v>
      </c>
      <c r="Y277" s="194">
        <f t="shared" si="41"/>
        <v>0.45627517985611671</v>
      </c>
      <c r="Z277" s="194">
        <f t="shared" si="41"/>
        <v>1.3477191300049398</v>
      </c>
      <c r="AA277" s="194">
        <f t="shared" si="47"/>
        <v>0.68087078209480012</v>
      </c>
      <c r="AB277" s="194">
        <f t="shared" si="48"/>
        <v>0.44636659348732743</v>
      </c>
      <c r="AC277" s="194">
        <f t="shared" si="42"/>
        <v>0.72734287850671209</v>
      </c>
      <c r="AD277">
        <f t="shared" si="49"/>
        <v>62</v>
      </c>
      <c r="AE277" s="194">
        <f t="shared" si="50"/>
        <v>0.19136486687078369</v>
      </c>
      <c r="AF277" s="194">
        <f t="shared" si="51"/>
        <v>1.522187694133415E-2</v>
      </c>
      <c r="AG277" s="252" t="str">
        <f>IF(ISNUMBER(SEARCH("C", 'Dry_Litterbag Placem_Collection'!$T204)),"YES","NO")</f>
        <v>NO</v>
      </c>
      <c r="AH277" s="252" t="str">
        <f>IF(ISNUMBER(SEARCH("H", 'Dry_Litterbag Placem_Collection'!$T204)),"YES","NO")</f>
        <v>YES</v>
      </c>
      <c r="AI277" s="252" t="str">
        <f>IF(ISNUMBER(SEARCH("R", 'Dry_Litterbag Placem_Collection'!$T204)),"YES","NO")</f>
        <v>YES</v>
      </c>
      <c r="AJ277" s="252" t="str">
        <f>IF(ISNUMBER(SEARCH("C", 'Dry_Litterbag Placem_Collection'!$S204)),"YES","NO")</f>
        <v>NO</v>
      </c>
      <c r="AK277" s="252" t="str">
        <f>IF(ISNUMBER(SEARCH("H", 'Dry_Litterbag Placem_Collection'!$S204)),"YES","NO")</f>
        <v>NO</v>
      </c>
      <c r="AL277" s="252" t="str">
        <f>IF(ISNUMBER(SEARCH("R", 'Dry_Litterbag Placem_Collection'!$S204)),"YES","NO")</f>
        <v>YES</v>
      </c>
    </row>
    <row r="278" spans="2:38">
      <c r="B278" t="str">
        <f>'Final data_for_R_analysis_Dryse'!A204</f>
        <v>Dry</v>
      </c>
      <c r="C278" s="260">
        <f>'Final data_for_R_analysis_Dryse'!B204</f>
        <v>203</v>
      </c>
      <c r="D278" t="s">
        <v>2428</v>
      </c>
      <c r="E278" t="s">
        <v>22</v>
      </c>
      <c r="F278" s="382">
        <v>3</v>
      </c>
      <c r="G278" s="16">
        <f>IF('Dry_Litterbag Placem_Collection'!E205="","",'Dry_Litterbag Placem_Collection'!E205)</f>
        <v>42942</v>
      </c>
      <c r="H278" t="str">
        <f>'Final data_for_R_analysis_Dryse'!K204</f>
        <v>G179</v>
      </c>
      <c r="I278" t="str">
        <f>'Final data_for_R_analysis_Dryse'!K424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43"/>
        <v>1.7252000000000001</v>
      </c>
      <c r="M278" s="237">
        <f>AVERAGE(Ashed_controlls!$K$1:$K$11)</f>
        <v>5.5147656768714146</v>
      </c>
      <c r="N278" s="194">
        <f t="shared" si="39"/>
        <v>1.6300592625426145</v>
      </c>
      <c r="O278" s="194">
        <f t="shared" si="44"/>
        <v>1.9131999999999998</v>
      </c>
      <c r="P278" s="237">
        <f>AVERAGE(Ashed_controlls!$K$12:$K$14)</f>
        <v>2.2816647271287041</v>
      </c>
      <c r="Q278" s="194">
        <f t="shared" si="40"/>
        <v>1.8695471904405734</v>
      </c>
      <c r="R278" s="16">
        <f>IF('Dry_Litterbag Placem_Collection'!G205="","",'Dry_Litterbag Placem_Collection'!G205)</f>
        <v>43004</v>
      </c>
      <c r="S278" s="194">
        <f>IFERROR(INDEX('Both teabags AfterDry'!$D$3:$D$2000,MATCH(H278,'Both teabags AfterDry'!$A$3:$A$2000,0)),"")</f>
        <v>0.59770000000000001</v>
      </c>
      <c r="T278" s="194">
        <f>IFERROR(INDEX('Both teabags AfterDry'!$D$3:$D$2000,MATCH(I278,'Both teabags AfterDry'!$A$3:$A$2000,0)),"")</f>
        <v>1.7919</v>
      </c>
      <c r="U278" s="194">
        <f t="shared" si="45"/>
        <v>0.4471</v>
      </c>
      <c r="V278" s="194">
        <f t="shared" si="46"/>
        <v>1.6413</v>
      </c>
      <c r="W278" s="194">
        <f>IFERROR(INDEX('Ashed teabags dry'!$K$2:$K$2000,MATCH(H278,'Ashed teabags dry'!$A$2:$A$2000,0)),"")</f>
        <v>24.558823529410816</v>
      </c>
      <c r="X278" s="194">
        <f>IFERROR(INDEX('Ashed teabags dry'!$K$2:$K$2000,MATCH(I278,'Ashed teabags dry'!$A$2:$A$2000,0)),"")</f>
        <v>7.1924603174607373</v>
      </c>
      <c r="Y278" s="194">
        <f t="shared" si="41"/>
        <v>0.33729750000000425</v>
      </c>
      <c r="Z278" s="194">
        <f t="shared" si="41"/>
        <v>1.5232501488095169</v>
      </c>
      <c r="AA278" s="194">
        <f t="shared" si="47"/>
        <v>0.79307654160139085</v>
      </c>
      <c r="AB278" s="194">
        <f t="shared" si="48"/>
        <v>0.51992666385269337</v>
      </c>
      <c r="AC278" s="194">
        <f t="shared" si="42"/>
        <v>0.81476956377364895</v>
      </c>
      <c r="AD278">
        <f t="shared" si="49"/>
        <v>62</v>
      </c>
      <c r="AE278" s="194">
        <f t="shared" si="50"/>
        <v>5.8103869832077382E-2</v>
      </c>
      <c r="AF278" s="194">
        <f t="shared" si="51"/>
        <v>7.104265053768123E-3</v>
      </c>
      <c r="AG278" s="252" t="str">
        <f>IF(ISNUMBER(SEARCH("C", 'Dry_Litterbag Placem_Collection'!$T205)),"YES","NO")</f>
        <v>NO</v>
      </c>
      <c r="AH278" s="252" t="str">
        <f>IF(ISNUMBER(SEARCH("H", 'Dry_Litterbag Placem_Collection'!$T205)),"YES","NO")</f>
        <v>NO</v>
      </c>
      <c r="AI278" s="252" t="str">
        <f>IF(ISNUMBER(SEARCH("R", 'Dry_Litterbag Placem_Collection'!$T205)),"YES","NO")</f>
        <v>YES</v>
      </c>
      <c r="AJ278" s="252" t="str">
        <f>IF(ISNUMBER(SEARCH("C", 'Dry_Litterbag Placem_Collection'!$S205)),"YES","NO")</f>
        <v>NO</v>
      </c>
      <c r="AK278" s="252" t="str">
        <f>IF(ISNUMBER(SEARCH("H", 'Dry_Litterbag Placem_Collection'!$S205)),"YES","NO")</f>
        <v>YES</v>
      </c>
      <c r="AL278" s="252" t="str">
        <f>IF(ISNUMBER(SEARCH("R", 'Dry_Litterbag Placem_Collection'!$S205)),"YES","NO")</f>
        <v>YES</v>
      </c>
    </row>
    <row r="279" spans="2:38">
      <c r="B279" t="str">
        <f>'Final data_for_R_analysis_Dryse'!A205</f>
        <v>Dry</v>
      </c>
      <c r="C279" s="260">
        <f>'Final data_for_R_analysis_Dryse'!B205</f>
        <v>204</v>
      </c>
      <c r="D279" t="s">
        <v>2435</v>
      </c>
      <c r="E279" t="s">
        <v>22</v>
      </c>
      <c r="F279" s="382">
        <v>4</v>
      </c>
      <c r="G279" s="16">
        <f>IF('Dry_Litterbag Placem_Collection'!E206="","",'Dry_Litterbag Placem_Collection'!E206)</f>
        <v>42942</v>
      </c>
      <c r="H279" t="str">
        <f>'Final data_for_R_analysis_Dryse'!K205</f>
        <v>G248</v>
      </c>
      <c r="I279" t="str">
        <f>'Final data_for_R_analysis_Dryse'!K425</f>
        <v>R254</v>
      </c>
      <c r="J279">
        <f>IFERROR(INDEX('Green_rooibos initial weight'!$C$5:$C$2000,MATCH(H279, 'Green_rooibos initial weight'!$A$5:$A$2000,0)),"")</f>
        <v>1.9950000000000001</v>
      </c>
      <c r="K279">
        <f>IFERROR(INDEX('Green_rooibos initial weight'!$C$5:$C$2000,MATCH(I279, 'Green_rooibos initial weight'!$A$5:$A$2000,0)),"")</f>
        <v>2.266</v>
      </c>
      <c r="L279" s="194">
        <f t="shared" si="43"/>
        <v>1.7452000000000001</v>
      </c>
      <c r="M279" s="237">
        <f>AVERAGE(Ashed_controlls!$K$1:$K$11)</f>
        <v>5.5147656768714146</v>
      </c>
      <c r="N279" s="194">
        <f t="shared" si="39"/>
        <v>1.6489563094072401</v>
      </c>
      <c r="O279" s="194">
        <f t="shared" si="44"/>
        <v>2.0162</v>
      </c>
      <c r="P279" s="237">
        <f>AVERAGE(Ashed_controlls!$K$12:$K$14)</f>
        <v>2.2816647271287041</v>
      </c>
      <c r="Q279" s="194">
        <f t="shared" si="40"/>
        <v>1.9701970757716312</v>
      </c>
      <c r="R279" s="16">
        <f>IF('Dry_Litterbag Placem_Collection'!G206="","",'Dry_Litterbag Placem_Collection'!G206)</f>
        <v>43004</v>
      </c>
      <c r="S279" s="194">
        <f>IFERROR(INDEX('Both teabags AfterDry'!$D$3:$D$2000,MATCH(H279,'Both teabags AfterDry'!$A$3:$A$2000,0)),"")</f>
        <v>1.7124999999999999</v>
      </c>
      <c r="T279" s="194">
        <f>IFERROR(INDEX('Both teabags AfterDry'!$D$3:$D$2000,MATCH(I279,'Both teabags AfterDry'!$A$3:$A$2000,0)),"")</f>
        <v>1.8010999999999999</v>
      </c>
      <c r="U279" s="194">
        <f t="shared" si="45"/>
        <v>1.5618999999999998</v>
      </c>
      <c r="V279" s="194">
        <f t="shared" si="46"/>
        <v>1.6504999999999999</v>
      </c>
      <c r="W279" s="194">
        <f>IFERROR(INDEX('Ashed teabags dry'!$K$2:$K$2000,MATCH(H279,'Ashed teabags dry'!$A$2:$A$2000,0)),"")</f>
        <v>13.375486381322672</v>
      </c>
      <c r="X279" s="194">
        <f>IFERROR(INDEX('Ashed teabags dry'!$K$2:$K$2000,MATCH(I279,'Ashed teabags dry'!$A$2:$A$2000,0)),"")</f>
        <v>6.0425953442297144</v>
      </c>
      <c r="Y279" s="194">
        <f t="shared" si="41"/>
        <v>1.352988278210121</v>
      </c>
      <c r="Z279" s="194">
        <f t="shared" si="41"/>
        <v>1.5507669638434884</v>
      </c>
      <c r="AA279" s="194">
        <f t="shared" si="47"/>
        <v>0.1794880977189216</v>
      </c>
      <c r="AB279" s="194">
        <f t="shared" si="48"/>
        <v>0.11766915669934055</v>
      </c>
      <c r="AC279" s="194">
        <f t="shared" si="42"/>
        <v>0.78711261066922855</v>
      </c>
      <c r="AD279">
        <f t="shared" si="49"/>
        <v>62</v>
      </c>
      <c r="AE279" s="194">
        <f t="shared" si="50"/>
        <v>0.7868312378635135</v>
      </c>
      <c r="AF279" s="194" t="str">
        <f t="shared" si="51"/>
        <v/>
      </c>
      <c r="AG279" s="252" t="str">
        <f>IF(ISNUMBER(SEARCH("C", 'Dry_Litterbag Placem_Collection'!$T206)),"YES","NO")</f>
        <v>NO</v>
      </c>
      <c r="AH279" s="252" t="str">
        <f>IF(ISNUMBER(SEARCH("H", 'Dry_Litterbag Placem_Collection'!$T206)),"YES","NO")</f>
        <v>YES</v>
      </c>
      <c r="AI279" s="252" t="str">
        <f>IF(ISNUMBER(SEARCH("R", 'Dry_Litterbag Placem_Collection'!$T206)),"YES","NO")</f>
        <v>YES</v>
      </c>
      <c r="AJ279" s="252" t="str">
        <f>IF(ISNUMBER(SEARCH("C", 'Dry_Litterbag Placem_Collection'!$S206)),"YES","NO")</f>
        <v>NO</v>
      </c>
      <c r="AK279" s="252" t="str">
        <f>IF(ISNUMBER(SEARCH("H", 'Dry_Litterbag Placem_Collection'!$S206)),"YES","NO")</f>
        <v>YES</v>
      </c>
      <c r="AL279" s="252" t="str">
        <f>IF(ISNUMBER(SEARCH("R", 'Dry_Litterbag Placem_Collection'!$S206)),"YES","NO")</f>
        <v>YES</v>
      </c>
    </row>
    <row r="280" spans="2:38">
      <c r="B280" t="str">
        <f>'Final data_for_R_analysis_Dryse'!A206</f>
        <v>Dry</v>
      </c>
      <c r="C280" s="260">
        <f>'Final data_for_R_analysis_Dryse'!B206</f>
        <v>205</v>
      </c>
      <c r="D280" t="s">
        <v>2429</v>
      </c>
      <c r="E280" t="s">
        <v>22</v>
      </c>
      <c r="F280" s="382">
        <v>1</v>
      </c>
      <c r="G280" s="16">
        <f>IF('Dry_Litterbag Placem_Collection'!E207="","",'Dry_Litterbag Placem_Collection'!E207)</f>
        <v>42942</v>
      </c>
      <c r="H280" t="str">
        <f>'Final data_for_R_analysis_Dryse'!K206</f>
        <v>G55</v>
      </c>
      <c r="I280" t="str">
        <f>'Final data_for_R_analysis_Dryse'!K426</f>
        <v>R348</v>
      </c>
      <c r="J280">
        <f>IFERROR(INDEX('Green_rooibos initial weight'!$C$5:$C$2000,MATCH(H280, 'Green_rooibos initial weight'!$A$5:$A$2000,0)),"")</f>
        <v>2.024</v>
      </c>
      <c r="K280">
        <f>IFERROR(INDEX('Green_rooibos initial weight'!$C$5:$C$2000,MATCH(I280, 'Green_rooibos initial weight'!$A$5:$A$2000,0)),"")</f>
        <v>2.31</v>
      </c>
      <c r="L280" s="194">
        <f t="shared" si="43"/>
        <v>1.7742</v>
      </c>
      <c r="M280" s="237">
        <f>AVERAGE(Ashed_controlls!$K$1:$K$11)</f>
        <v>5.5147656768714146</v>
      </c>
      <c r="N280" s="194">
        <f t="shared" si="39"/>
        <v>1.6763570273609474</v>
      </c>
      <c r="O280" s="194">
        <f t="shared" si="44"/>
        <v>2.0602</v>
      </c>
      <c r="P280" s="237">
        <f>AVERAGE(Ashed_controlls!$K$12:$K$14)</f>
        <v>2.2816647271287041</v>
      </c>
      <c r="Q280" s="194">
        <f t="shared" si="40"/>
        <v>2.0131931432916943</v>
      </c>
      <c r="R280" s="16">
        <f>IF('Dry_Litterbag Placem_Collection'!G207="","",'Dry_Litterbag Placem_Collection'!G207)</f>
        <v>43004</v>
      </c>
      <c r="S280" s="194">
        <f>IFERROR(INDEX('Both teabags AfterDry'!$D$3:$D$2000,MATCH(H280,'Both teabags AfterDry'!$A$3:$A$2000,0)),"")</f>
        <v>0.86550000000000005</v>
      </c>
      <c r="T280" s="194">
        <f>IFERROR(INDEX('Both teabags AfterDry'!$D$3:$D$2000,MATCH(I280,'Both teabags AfterDry'!$A$3:$A$2000,0)),"")</f>
        <v>1.7168000000000001</v>
      </c>
      <c r="U280" s="194">
        <f t="shared" si="45"/>
        <v>0.71490000000000009</v>
      </c>
      <c r="V280" s="194">
        <f t="shared" si="46"/>
        <v>1.5662</v>
      </c>
      <c r="W280" s="194">
        <f>IFERROR(INDEX('Ashed teabags dry'!$K$2:$K$2000,MATCH(H280,'Ashed teabags dry'!$A$2:$A$2000,0)),"")</f>
        <v>19.260700389104883</v>
      </c>
      <c r="X280" s="194">
        <f>IFERROR(INDEX('Ashed teabags dry'!$K$2:$K$2000,MATCH(I280,'Ashed teabags dry'!$A$2:$A$2000,0)),"")</f>
        <v>5.9891107078038743</v>
      </c>
      <c r="Y280" s="194">
        <f t="shared" si="41"/>
        <v>0.57720525291828928</v>
      </c>
      <c r="Z280" s="194">
        <f t="shared" si="41"/>
        <v>1.4723985480943758</v>
      </c>
      <c r="AA280" s="194">
        <f t="shared" si="47"/>
        <v>0.65567880618666829</v>
      </c>
      <c r="AB280" s="194">
        <f t="shared" si="48"/>
        <v>0.42985118885396784</v>
      </c>
      <c r="AC280" s="194">
        <f t="shared" si="42"/>
        <v>0.73137470838337637</v>
      </c>
      <c r="AD280">
        <f t="shared" si="49"/>
        <v>62</v>
      </c>
      <c r="AE280" s="194">
        <f t="shared" si="50"/>
        <v>0.22128407816310181</v>
      </c>
      <c r="AF280" s="194">
        <f t="shared" si="51"/>
        <v>1.5816654941156874E-2</v>
      </c>
      <c r="AG280" s="252" t="str">
        <f>IF(ISNUMBER(SEARCH("C", 'Dry_Litterbag Placem_Collection'!$T207)),"YES","NO")</f>
        <v>NO</v>
      </c>
      <c r="AH280" s="252" t="str">
        <f>IF(ISNUMBER(SEARCH("H", 'Dry_Litterbag Placem_Collection'!$T207)),"YES","NO")</f>
        <v>YES</v>
      </c>
      <c r="AI280" s="252" t="str">
        <f>IF(ISNUMBER(SEARCH("R", 'Dry_Litterbag Placem_Collection'!$T207)),"YES","NO")</f>
        <v>YES</v>
      </c>
      <c r="AJ280" s="252" t="str">
        <f>IF(ISNUMBER(SEARCH("C", 'Dry_Litterbag Placem_Collection'!$S207)),"YES","NO")</f>
        <v>NO</v>
      </c>
      <c r="AK280" s="252" t="str">
        <f>IF(ISNUMBER(SEARCH("H", 'Dry_Litterbag Placem_Collection'!$S207)),"YES","NO")</f>
        <v>YES</v>
      </c>
      <c r="AL280" s="252" t="str">
        <f>IF(ISNUMBER(SEARCH("R", 'Dry_Litterbag Placem_Collection'!$S207)),"YES","NO")</f>
        <v>YES</v>
      </c>
    </row>
    <row r="281" spans="2:38">
      <c r="B281" t="str">
        <f>'Final data_for_R_analysis_Dryse'!A207</f>
        <v>Dry</v>
      </c>
      <c r="C281" s="260">
        <f>'Final data_for_R_analysis_Dryse'!B207</f>
        <v>206</v>
      </c>
      <c r="D281" t="s">
        <v>2420</v>
      </c>
      <c r="E281" t="s">
        <v>22</v>
      </c>
      <c r="F281" s="382">
        <v>2</v>
      </c>
      <c r="G281" s="16">
        <f>IF('Dry_Litterbag Placem_Collection'!E208="","",'Dry_Litterbag Placem_Collection'!E208)</f>
        <v>42942</v>
      </c>
      <c r="H281" t="str">
        <f>'Final data_for_R_analysis_Dryse'!K207</f>
        <v>G124</v>
      </c>
      <c r="I281" t="str">
        <f>'Final data_for_R_analysis_Dryse'!K427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43"/>
        <v>1.6892</v>
      </c>
      <c r="M281" s="237">
        <f>AVERAGE(Ashed_controlls!$K$1:$K$11)</f>
        <v>5.5147656768714146</v>
      </c>
      <c r="N281" s="194">
        <f t="shared" si="39"/>
        <v>1.5960445781862882</v>
      </c>
      <c r="O281" s="194">
        <f t="shared" si="44"/>
        <v>1.9392</v>
      </c>
      <c r="P281" s="237">
        <f>AVERAGE(Ashed_controlls!$K$12:$K$14)</f>
        <v>2.2816647271287041</v>
      </c>
      <c r="Q281" s="194">
        <f t="shared" si="40"/>
        <v>1.8949539576115202</v>
      </c>
      <c r="R281" s="16">
        <f>IF('Dry_Litterbag Placem_Collection'!G208="","",'Dry_Litterbag Placem_Collection'!G208)</f>
        <v>43004</v>
      </c>
      <c r="S281" s="194">
        <f>IFERROR(INDEX('Both teabags AfterDry'!$D$3:$D$2000,MATCH(H281,'Both teabags AfterDry'!$A$3:$A$2000,0)),"")</f>
        <v>0.66969999999999996</v>
      </c>
      <c r="T281" s="194">
        <f>IFERROR(INDEX('Both teabags AfterDry'!$D$3:$D$2000,MATCH(I281,'Both teabags AfterDry'!$A$3:$A$2000,0)),"")</f>
        <v>3.4599000000000002</v>
      </c>
      <c r="U281" s="194">
        <f t="shared" si="45"/>
        <v>0.51909999999999989</v>
      </c>
      <c r="V281" s="194">
        <f t="shared" si="46"/>
        <v>3.3093000000000004</v>
      </c>
      <c r="W281" s="194">
        <f>IFERROR(INDEX('Ashed teabags dry'!$K$2:$K$2000,MATCH(H281,'Ashed teabags dry'!$A$2:$A$2000,0)),"")</f>
        <v>14.333976833976731</v>
      </c>
      <c r="X281" s="194">
        <f>IFERROR(INDEX('Ashed teabags dry'!$K$2:$K$2000,MATCH(I281,'Ashed teabags dry'!$A$2:$A$2000,0)),"")</f>
        <v>95.258416311047142</v>
      </c>
      <c r="Y281" s="194">
        <f t="shared" si="41"/>
        <v>0.44469232625482669</v>
      </c>
      <c r="Z281" s="194">
        <f t="shared" si="41"/>
        <v>0.1569132290185169</v>
      </c>
      <c r="AA281" s="194">
        <f t="shared" si="47"/>
        <v>0.72137850512912005</v>
      </c>
      <c r="AB281" s="194">
        <f t="shared" si="48"/>
        <v>0.47292272545281983</v>
      </c>
      <c r="AC281" s="194">
        <f t="shared" si="42"/>
        <v>8.2805826700030713E-2</v>
      </c>
      <c r="AD281">
        <f t="shared" si="49"/>
        <v>62</v>
      </c>
      <c r="AE281" s="194">
        <f t="shared" si="50"/>
        <v>0.14325593215068877</v>
      </c>
      <c r="AF281" s="194" t="str">
        <f t="shared" si="51"/>
        <v/>
      </c>
      <c r="AG281" s="252" t="str">
        <f>IF(ISNUMBER(SEARCH("C", 'Dry_Litterbag Placem_Collection'!$T208)),"YES","NO")</f>
        <v>NO</v>
      </c>
      <c r="AH281" s="252" t="str">
        <f>IF(ISNUMBER(SEARCH("H", 'Dry_Litterbag Placem_Collection'!$T208)),"YES","NO")</f>
        <v>YES</v>
      </c>
      <c r="AI281" s="252" t="str">
        <f>IF(ISNUMBER(SEARCH("R", 'Dry_Litterbag Placem_Collection'!$T208)),"YES","NO")</f>
        <v>YES</v>
      </c>
      <c r="AJ281" s="252" t="str">
        <f>IF(ISNUMBER(SEARCH("C", 'Dry_Litterbag Placem_Collection'!$S208)),"YES","NO")</f>
        <v>NO</v>
      </c>
      <c r="AK281" s="252" t="str">
        <f>IF(ISNUMBER(SEARCH("H", 'Dry_Litterbag Placem_Collection'!$S208)),"YES","NO")</f>
        <v>NO</v>
      </c>
      <c r="AL281" s="252" t="str">
        <f>IF(ISNUMBER(SEARCH("R", 'Dry_Litterbag Placem_Collection'!$S208)),"YES","NO")</f>
        <v>YES</v>
      </c>
    </row>
    <row r="282" spans="2:38">
      <c r="B282" t="str">
        <f>'Final data_for_R_analysis_Dryse'!A208</f>
        <v>Dry</v>
      </c>
      <c r="C282" s="260">
        <f>'Final data_for_R_analysis_Dryse'!B208</f>
        <v>207</v>
      </c>
      <c r="D282" t="s">
        <v>2443</v>
      </c>
      <c r="E282" t="s">
        <v>22</v>
      </c>
      <c r="F282" s="382">
        <v>3</v>
      </c>
      <c r="G282" s="16">
        <f>IF('Dry_Litterbag Placem_Collection'!E209="","",'Dry_Litterbag Placem_Collection'!E209)</f>
        <v>42942</v>
      </c>
      <c r="H282" t="str">
        <f>'Final data_for_R_analysis_Dryse'!K208</f>
        <v>G234</v>
      </c>
      <c r="I282" t="str">
        <f>'Final data_for_R_analysis_Dryse'!K428</f>
        <v>R551</v>
      </c>
      <c r="J282">
        <f>IFERROR(INDEX('Green_rooibos initial weight'!$C$5:$C$2000,MATCH(H282, 'Green_rooibos initial weight'!$A$5:$A$2000,0)),"")</f>
        <v>2.13</v>
      </c>
      <c r="K282">
        <f>IFERROR(INDEX('Green_rooibos initial weight'!$C$5:$C$2000,MATCH(I282, 'Green_rooibos initial weight'!$A$5:$A$2000,0)),"")</f>
        <v>2.1739999999999999</v>
      </c>
      <c r="L282" s="194">
        <f t="shared" si="43"/>
        <v>1.8801999999999999</v>
      </c>
      <c r="M282" s="237">
        <f>AVERAGE(Ashed_controlls!$K$1:$K$11)</f>
        <v>5.5147656768714146</v>
      </c>
      <c r="N282" s="194">
        <f t="shared" si="39"/>
        <v>1.7765113757434636</v>
      </c>
      <c r="O282" s="194">
        <f t="shared" si="44"/>
        <v>1.9241999999999999</v>
      </c>
      <c r="P282" s="237">
        <f>AVERAGE(Ashed_controlls!$K$12:$K$14)</f>
        <v>2.2816647271287041</v>
      </c>
      <c r="Q282" s="194">
        <f t="shared" si="40"/>
        <v>1.8802962073205893</v>
      </c>
      <c r="R282" s="16">
        <f>IF('Dry_Litterbag Placem_Collection'!G209="","",'Dry_Litterbag Placem_Collection'!G209)</f>
        <v>43004</v>
      </c>
      <c r="S282" s="194">
        <f>IFERROR(INDEX('Both teabags AfterDry'!$D$3:$D$2000,MATCH(H282,'Both teabags AfterDry'!$A$3:$A$2000,0)),"")</f>
        <v>0.745</v>
      </c>
      <c r="T282" s="194">
        <f>IFERROR(INDEX('Both teabags AfterDry'!$D$3:$D$2000,MATCH(I282,'Both teabags AfterDry'!$A$3:$A$2000,0)),"")</f>
        <v>8.3109999999999999</v>
      </c>
      <c r="U282" s="194">
        <f t="shared" si="45"/>
        <v>0.59440000000000004</v>
      </c>
      <c r="V282" s="194">
        <f t="shared" si="46"/>
        <v>8.1603999999999992</v>
      </c>
      <c r="W282" s="194">
        <f>IFERROR(INDEX('Ashed teabags dry'!$K$2:$K$2000,MATCH(H282,'Ashed teabags dry'!$A$2:$A$2000,0)),"")</f>
        <v>21.467639015496861</v>
      </c>
      <c r="X282" s="194">
        <f>IFERROR(INDEX('Ashed teabags dry'!$K$2:$K$2000,MATCH(I282,'Ashed teabags dry'!$A$2:$A$2000,0)),"")</f>
        <v>95.853767275969844</v>
      </c>
      <c r="Y282" s="194">
        <f t="shared" si="41"/>
        <v>0.46679635369188666</v>
      </c>
      <c r="Z282" s="194">
        <f t="shared" si="41"/>
        <v>0.33834917521175623</v>
      </c>
      <c r="AA282" s="194">
        <f t="shared" si="47"/>
        <v>0.73723987357157561</v>
      </c>
      <c r="AB282" s="194">
        <f t="shared" si="48"/>
        <v>0.48332115227020161</v>
      </c>
      <c r="AC282" s="194">
        <f t="shared" si="42"/>
        <v>0.17994461398925105</v>
      </c>
      <c r="AD282">
        <f t="shared" si="49"/>
        <v>62</v>
      </c>
      <c r="AE282" s="194">
        <f t="shared" si="50"/>
        <v>0.1244182024090551</v>
      </c>
      <c r="AF282" s="194" t="str">
        <f t="shared" si="51"/>
        <v/>
      </c>
      <c r="AG282" s="252" t="str">
        <f>IF(ISNUMBER(SEARCH("C", 'Dry_Litterbag Placem_Collection'!$T209)),"YES","NO")</f>
        <v>NO</v>
      </c>
      <c r="AH282" s="252" t="str">
        <f>IF(ISNUMBER(SEARCH("H", 'Dry_Litterbag Placem_Collection'!$T209)),"YES","NO")</f>
        <v>NO</v>
      </c>
      <c r="AI282" s="252" t="str">
        <f>IF(ISNUMBER(SEARCH("R", 'Dry_Litterbag Placem_Collection'!$T209)),"YES","NO")</f>
        <v>YES</v>
      </c>
      <c r="AJ282" s="252" t="str">
        <f>IF(ISNUMBER(SEARCH("C", 'Dry_Litterbag Placem_Collection'!$S209)),"YES","NO")</f>
        <v>NO</v>
      </c>
      <c r="AK282" s="252" t="str">
        <f>IF(ISNUMBER(SEARCH("H", 'Dry_Litterbag Placem_Collection'!$S209)),"YES","NO")</f>
        <v>NO</v>
      </c>
      <c r="AL282" s="252" t="str">
        <f>IF(ISNUMBER(SEARCH("R", 'Dry_Litterbag Placem_Collection'!$S209)),"YES","NO")</f>
        <v>YES</v>
      </c>
    </row>
    <row r="283" spans="2:38">
      <c r="B283" t="str">
        <f>'Final data_for_R_analysis_Dryse'!A209</f>
        <v>Dry</v>
      </c>
      <c r="C283" s="260">
        <f>'Final data_for_R_analysis_Dryse'!B209</f>
        <v>208</v>
      </c>
      <c r="D283" t="s">
        <v>2436</v>
      </c>
      <c r="E283" t="s">
        <v>22</v>
      </c>
      <c r="F283" s="382">
        <v>4</v>
      </c>
      <c r="G283" s="16">
        <f>IF('Dry_Litterbag Placem_Collection'!E210="","",'Dry_Litterbag Placem_Collection'!E210)</f>
        <v>42942</v>
      </c>
      <c r="H283" t="str">
        <f>'Final data_for_R_analysis_Dryse'!K209</f>
        <v>G412</v>
      </c>
      <c r="I283" t="str">
        <f>'Final data_for_R_analysis_Dryse'!K429</f>
        <v>R516</v>
      </c>
      <c r="J283">
        <f>IFERROR(INDEX('Green_rooibos initial weight'!$C$5:$C$2000,MATCH(H283, 'Green_rooibos initial weight'!$A$5:$A$2000,0)),"")</f>
        <v>2.0049999999999999</v>
      </c>
      <c r="K283">
        <f>IFERROR(INDEX('Green_rooibos initial weight'!$C$5:$C$2000,MATCH(I283, 'Green_rooibos initial weight'!$A$5:$A$2000,0)),"")</f>
        <v>2.141</v>
      </c>
      <c r="L283" s="194">
        <f t="shared" si="43"/>
        <v>1.7551999999999999</v>
      </c>
      <c r="M283" s="237">
        <f>AVERAGE(Ashed_controlls!$K$1:$K$11)</f>
        <v>5.5147656768714146</v>
      </c>
      <c r="N283" s="194">
        <f t="shared" si="39"/>
        <v>1.6584048328395529</v>
      </c>
      <c r="O283" s="194">
        <f t="shared" si="44"/>
        <v>1.8912</v>
      </c>
      <c r="P283" s="237">
        <f>AVERAGE(Ashed_controlls!$K$12:$K$14)</f>
        <v>2.2816647271287041</v>
      </c>
      <c r="Q283" s="194">
        <f t="shared" si="40"/>
        <v>1.8480491566805419</v>
      </c>
      <c r="R283" s="16">
        <f>IF('Dry_Litterbag Placem_Collection'!G210="","",'Dry_Litterbag Placem_Collection'!G210)</f>
        <v>43004</v>
      </c>
      <c r="S283" s="194">
        <f>IFERROR(INDEX('Both teabags AfterDry'!$D$3:$D$2000,MATCH(H283,'Both teabags AfterDry'!$A$3:$A$2000,0)),"")</f>
        <v>0.72499999999999998</v>
      </c>
      <c r="T283" s="194">
        <f>IFERROR(INDEX('Both teabags AfterDry'!$D$3:$D$2000,MATCH(I283,'Both teabags AfterDry'!$A$3:$A$2000,0)),"")</f>
        <v>1.7749999999999999</v>
      </c>
      <c r="U283" s="194">
        <f t="shared" si="45"/>
        <v>0.57440000000000002</v>
      </c>
      <c r="V283" s="194">
        <f t="shared" si="46"/>
        <v>1.6243999999999998</v>
      </c>
      <c r="W283" s="194">
        <f>IFERROR(INDEX('Ashed teabags dry'!$K$2:$K$2000,MATCH(H283,'Ashed teabags dry'!$A$2:$A$2000,0)),"")</f>
        <v>27.644710578842087</v>
      </c>
      <c r="X283" s="194">
        <f>IFERROR(INDEX('Ashed teabags dry'!$K$2:$K$2000,MATCH(I283,'Ashed teabags dry'!$A$2:$A$2000,0)),"")</f>
        <v>78.613771089831701</v>
      </c>
      <c r="Y283" s="194">
        <f t="shared" si="41"/>
        <v>0.41560878243513111</v>
      </c>
      <c r="Z283" s="194">
        <f t="shared" si="41"/>
        <v>0.34739790241677393</v>
      </c>
      <c r="AA283" s="194">
        <f t="shared" si="47"/>
        <v>0.74939244374757541</v>
      </c>
      <c r="AB283" s="194">
        <f t="shared" si="48"/>
        <v>0.49128815789627278</v>
      </c>
      <c r="AC283" s="194">
        <f t="shared" si="42"/>
        <v>0.18798087765196062</v>
      </c>
      <c r="AD283">
        <f t="shared" si="49"/>
        <v>62</v>
      </c>
      <c r="AE283" s="194">
        <f t="shared" si="50"/>
        <v>0.1099852212024045</v>
      </c>
      <c r="AF283" s="194" t="str">
        <f t="shared" si="51"/>
        <v/>
      </c>
      <c r="AG283" s="252" t="str">
        <f>IF(ISNUMBER(SEARCH("C", 'Dry_Litterbag Placem_Collection'!$T210)),"YES","NO")</f>
        <v>YES</v>
      </c>
      <c r="AH283" s="252" t="str">
        <f>IF(ISNUMBER(SEARCH("H", 'Dry_Litterbag Placem_Collection'!$T210)),"YES","NO")</f>
        <v>NO</v>
      </c>
      <c r="AI283" s="252" t="str">
        <f>IF(ISNUMBER(SEARCH("R", 'Dry_Litterbag Placem_Collection'!$T210)),"YES","NO")</f>
        <v>NO</v>
      </c>
      <c r="AJ283" s="252" t="str">
        <f>IF(ISNUMBER(SEARCH("C", 'Dry_Litterbag Placem_Collection'!$S210)),"YES","NO")</f>
        <v>NO</v>
      </c>
      <c r="AK283" s="252" t="str">
        <f>IF(ISNUMBER(SEARCH("H", 'Dry_Litterbag Placem_Collection'!$S210)),"YES","NO")</f>
        <v>YES</v>
      </c>
      <c r="AL283" s="252" t="str">
        <f>IF(ISNUMBER(SEARCH("R", 'Dry_Litterbag Placem_Collection'!$S210)),"YES","NO")</f>
        <v>YES</v>
      </c>
    </row>
    <row r="284" spans="2:38">
      <c r="B284" t="str">
        <f>'Final data_for_R_analysis_Dryse'!A210</f>
        <v>Dry</v>
      </c>
      <c r="C284" s="260">
        <f>'Final data_for_R_analysis_Dryse'!B210</f>
        <v>209</v>
      </c>
      <c r="D284" t="s">
        <v>2430</v>
      </c>
      <c r="E284" t="s">
        <v>22</v>
      </c>
      <c r="F284" s="382">
        <v>1</v>
      </c>
      <c r="G284" s="16">
        <f>IF('Dry_Litterbag Placem_Collection'!E211="","",'Dry_Litterbag Placem_Collection'!E211)</f>
        <v>42942</v>
      </c>
      <c r="H284" t="str">
        <f>'Final data_for_R_analysis_Dryse'!K210</f>
        <v>G94</v>
      </c>
      <c r="I284" t="str">
        <f>'Final data_for_R_analysis_Dryse'!K430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43"/>
        <v>1.8132000000000001</v>
      </c>
      <c r="M284" s="237">
        <f>AVERAGE(Ashed_controlls!$K$1:$K$11)</f>
        <v>5.5147656768714146</v>
      </c>
      <c r="N284" s="194">
        <f t="shared" si="39"/>
        <v>1.7132062687469676</v>
      </c>
      <c r="O284" s="194">
        <f t="shared" si="44"/>
        <v>1.8822000000000001</v>
      </c>
      <c r="P284" s="237">
        <f>AVERAGE(Ashed_controlls!$K$12:$K$14)</f>
        <v>2.2816647271287041</v>
      </c>
      <c r="Q284" s="194">
        <f t="shared" si="40"/>
        <v>1.8392545065059835</v>
      </c>
      <c r="R284" s="16">
        <f>IF('Dry_Litterbag Placem_Collection'!G211="","",'Dry_Litterbag Placem_Collection'!G211)</f>
        <v>43004</v>
      </c>
      <c r="S284" s="194">
        <f>IFERROR(INDEX('Both teabags AfterDry'!$D$3:$D$2000,MATCH(H284,'Both teabags AfterDry'!$A$3:$A$2000,0)),"")</f>
        <v>0.76</v>
      </c>
      <c r="T284" s="194">
        <f>IFERROR(INDEX('Both teabags AfterDry'!$D$3:$D$2000,MATCH(I284,'Both teabags AfterDry'!$A$3:$A$2000,0)),"")</f>
        <v>1.6856</v>
      </c>
      <c r="U284" s="194">
        <f t="shared" si="45"/>
        <v>0.60939999999999994</v>
      </c>
      <c r="V284" s="194">
        <f t="shared" si="46"/>
        <v>1.5349999999999999</v>
      </c>
      <c r="W284" s="194">
        <f>IFERROR(INDEX('Ashed teabags dry'!$K$2:$K$2000,MATCH(H284,'Ashed teabags dry'!$A$2:$A$2000,0)),"")</f>
        <v>19.445818901534416</v>
      </c>
      <c r="X284" s="194">
        <f>IFERROR(INDEX('Ashed teabags dry'!$K$2:$K$2000,MATCH(I284,'Ashed teabags dry'!$A$2:$A$2000,0)),"")</f>
        <v>3.8461538461540399</v>
      </c>
      <c r="Y284" s="194">
        <f t="shared" si="41"/>
        <v>0.49089717961404922</v>
      </c>
      <c r="Z284" s="194">
        <f t="shared" si="41"/>
        <v>1.4759615384615354</v>
      </c>
      <c r="AA284" s="194">
        <f t="shared" si="47"/>
        <v>0.71346288618644293</v>
      </c>
      <c r="AB284" s="194">
        <f t="shared" si="48"/>
        <v>0.46773338856878449</v>
      </c>
      <c r="AC284" s="194">
        <f t="shared" si="42"/>
        <v>0.80247814168220111</v>
      </c>
      <c r="AD284">
        <f t="shared" si="49"/>
        <v>62</v>
      </c>
      <c r="AE284" s="194">
        <f t="shared" si="50"/>
        <v>0.1526569047666948</v>
      </c>
      <c r="AF284" s="194">
        <f t="shared" si="51"/>
        <v>8.8498927968112158E-3</v>
      </c>
      <c r="AG284" s="252" t="str">
        <f>IF(ISNUMBER(SEARCH("C", 'Dry_Litterbag Placem_Collection'!$T211)),"YES","NO")</f>
        <v>NO</v>
      </c>
      <c r="AH284" s="252" t="str">
        <f>IF(ISNUMBER(SEARCH("H", 'Dry_Litterbag Placem_Collection'!$T211)),"YES","NO")</f>
        <v>NO</v>
      </c>
      <c r="AI284" s="252" t="str">
        <f>IF(ISNUMBER(SEARCH("R", 'Dry_Litterbag Placem_Collection'!$T211)),"YES","NO")</f>
        <v>NO</v>
      </c>
      <c r="AJ284" s="252" t="str">
        <f>IF(ISNUMBER(SEARCH("C", 'Dry_Litterbag Placem_Collection'!$S211)),"YES","NO")</f>
        <v>NO</v>
      </c>
      <c r="AK284" s="252" t="str">
        <f>IF(ISNUMBER(SEARCH("H", 'Dry_Litterbag Placem_Collection'!$S211)),"YES","NO")</f>
        <v>NO</v>
      </c>
      <c r="AL284" s="252" t="str">
        <f>IF(ISNUMBER(SEARCH("R", 'Dry_Litterbag Placem_Collection'!$S211)),"YES","NO")</f>
        <v>YES</v>
      </c>
    </row>
    <row r="285" spans="2:38">
      <c r="B285" t="str">
        <f>'Final data_for_R_analysis_Dryse'!A211</f>
        <v>Dry</v>
      </c>
      <c r="C285" s="260">
        <f>'Final data_for_R_analysis_Dryse'!B211</f>
        <v>210</v>
      </c>
      <c r="D285" t="s">
        <v>2444</v>
      </c>
      <c r="E285" t="s">
        <v>22</v>
      </c>
      <c r="F285" s="382">
        <v>2</v>
      </c>
      <c r="G285" s="16">
        <f>IF('Dry_Litterbag Placem_Collection'!E212="","",'Dry_Litterbag Placem_Collection'!E212)</f>
        <v>42942</v>
      </c>
      <c r="H285" t="str">
        <f>'Final data_for_R_analysis_Dryse'!K211</f>
        <v>G93</v>
      </c>
      <c r="I285" t="str">
        <f>'Final data_for_R_analysis_Dryse'!K431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43"/>
        <v>1.8732000000000002</v>
      </c>
      <c r="M285" s="237">
        <f>AVERAGE(Ashed_controlls!$K$1:$K$11)</f>
        <v>5.5147656768714146</v>
      </c>
      <c r="N285" s="194">
        <f t="shared" si="39"/>
        <v>1.7698974093408448</v>
      </c>
      <c r="O285" s="194">
        <f t="shared" si="44"/>
        <v>1.9131999999999998</v>
      </c>
      <c r="P285" s="237">
        <f>AVERAGE(Ashed_controlls!$K$12:$K$14)</f>
        <v>2.2816647271287041</v>
      </c>
      <c r="Q285" s="194">
        <f t="shared" si="40"/>
        <v>1.8695471904405734</v>
      </c>
      <c r="R285" s="16">
        <f>IF('Dry_Litterbag Placem_Collection'!G212="","",'Dry_Litterbag Placem_Collection'!G212)</f>
        <v>43004</v>
      </c>
      <c r="S285" s="194">
        <f>IFERROR(INDEX('Both teabags AfterDry'!$D$3:$D$2000,MATCH(H285,'Both teabags AfterDry'!$A$3:$A$2000,0)),"")</f>
        <v>0.80600000000000005</v>
      </c>
      <c r="T285" s="194">
        <f>IFERROR(INDEX('Both teabags AfterDry'!$D$3:$D$2000,MATCH(I285,'Both teabags AfterDry'!$A$3:$A$2000,0)),"")</f>
        <v>1.716</v>
      </c>
      <c r="U285" s="194">
        <f t="shared" si="45"/>
        <v>0.65539999999999998</v>
      </c>
      <c r="V285" s="194">
        <f t="shared" si="46"/>
        <v>1.5653999999999999</v>
      </c>
      <c r="W285" s="194">
        <f>IFERROR(INDEX('Ashed teabags dry'!$K$2:$K$2000,MATCH(H285,'Ashed teabags dry'!$A$2:$A$2000,0)),"")</f>
        <v>13.82488479262701</v>
      </c>
      <c r="X285" s="194">
        <f>IFERROR(INDEX('Ashed teabags dry'!$K$2:$K$2000,MATCH(I285,'Ashed teabags dry'!$A$2:$A$2000,0)),"")</f>
        <v>89.116785265801681</v>
      </c>
      <c r="Y285" s="194">
        <f t="shared" si="41"/>
        <v>0.56479170506912257</v>
      </c>
      <c r="Z285" s="194">
        <f t="shared" si="41"/>
        <v>0.17036584344914041</v>
      </c>
      <c r="AA285" s="194">
        <f t="shared" si="47"/>
        <v>0.68089014533364089</v>
      </c>
      <c r="AB285" s="194">
        <f t="shared" si="48"/>
        <v>0.44637928767716128</v>
      </c>
      <c r="AC285" s="194">
        <f t="shared" si="42"/>
        <v>9.112679493743743E-2</v>
      </c>
      <c r="AD285">
        <f t="shared" si="49"/>
        <v>62</v>
      </c>
      <c r="AE285" s="194">
        <f t="shared" si="50"/>
        <v>0.1913418701500702</v>
      </c>
      <c r="AF285" s="194" t="str">
        <f t="shared" si="51"/>
        <v/>
      </c>
      <c r="AG285" s="252" t="str">
        <f>IF(ISNUMBER(SEARCH("C", 'Dry_Litterbag Placem_Collection'!$T212)),"YES","NO")</f>
        <v>YES</v>
      </c>
      <c r="AH285" s="252" t="str">
        <f>IF(ISNUMBER(SEARCH("H", 'Dry_Litterbag Placem_Collection'!$T212)),"YES","NO")</f>
        <v>YES</v>
      </c>
      <c r="AI285" s="252" t="str">
        <f>IF(ISNUMBER(SEARCH("R", 'Dry_Litterbag Placem_Collection'!$T212)),"YES","NO")</f>
        <v>NO</v>
      </c>
      <c r="AJ285" s="252" t="str">
        <f>IF(ISNUMBER(SEARCH("C", 'Dry_Litterbag Placem_Collection'!$S212)),"YES","NO")</f>
        <v>YES</v>
      </c>
      <c r="AK285" s="252" t="str">
        <f>IF(ISNUMBER(SEARCH("H", 'Dry_Litterbag Placem_Collection'!$S212)),"YES","NO")</f>
        <v>NO</v>
      </c>
      <c r="AL285" s="252" t="str">
        <f>IF(ISNUMBER(SEARCH("R", 'Dry_Litterbag Placem_Collection'!$S212)),"YES","NO")</f>
        <v>YES</v>
      </c>
    </row>
    <row r="286" spans="2:38">
      <c r="B286" t="str">
        <f>'Final data_for_R_analysis_Dryse'!A212</f>
        <v>Dry</v>
      </c>
      <c r="C286" s="260">
        <f>'Final data_for_R_analysis_Dryse'!B212</f>
        <v>211</v>
      </c>
      <c r="D286" t="s">
        <v>2421</v>
      </c>
      <c r="E286" t="s">
        <v>22</v>
      </c>
      <c r="F286" s="382">
        <v>3</v>
      </c>
      <c r="G286" s="16">
        <f>IF('Dry_Litterbag Placem_Collection'!E213="","",'Dry_Litterbag Placem_Collection'!E213)</f>
        <v>42942</v>
      </c>
      <c r="H286" t="str">
        <f>'Final data_for_R_analysis_Dryse'!K212</f>
        <v>G26</v>
      </c>
      <c r="I286" t="str">
        <f>'Final data_for_R_analysis_Dryse'!K432</f>
        <v>R249</v>
      </c>
      <c r="J286">
        <f>IFERROR(INDEX('Green_rooibos initial weight'!$C$5:$C$2000,MATCH(H286, 'Green_rooibos initial weight'!$A$5:$A$2000,0)),"")</f>
        <v>2.1059999999999999</v>
      </c>
      <c r="K286">
        <f>IFERROR(INDEX('Green_rooibos initial weight'!$C$5:$C$2000,MATCH(I286, 'Green_rooibos initial weight'!$A$5:$A$2000,0)),"")</f>
        <v>2.294</v>
      </c>
      <c r="L286" s="194">
        <f t="shared" si="43"/>
        <v>1.8561999999999999</v>
      </c>
      <c r="M286" s="237">
        <f>AVERAGE(Ashed_controlls!$K$1:$K$11)</f>
        <v>5.5147656768714146</v>
      </c>
      <c r="N286" s="194">
        <f t="shared" si="39"/>
        <v>1.7538349195059126</v>
      </c>
      <c r="O286" s="194">
        <f t="shared" si="44"/>
        <v>2.0442</v>
      </c>
      <c r="P286" s="237">
        <f>AVERAGE(Ashed_controlls!$K$12:$K$14)</f>
        <v>2.2816647271287041</v>
      </c>
      <c r="Q286" s="194">
        <f t="shared" si="40"/>
        <v>1.9975582096480351</v>
      </c>
      <c r="R286" s="16">
        <f>IF('Dry_Litterbag Placem_Collection'!G213="","",'Dry_Litterbag Placem_Collection'!G213)</f>
        <v>43004</v>
      </c>
      <c r="S286" s="194">
        <f>IFERROR(INDEX('Both teabags AfterDry'!$D$3:$D$2000,MATCH(H286,'Both teabags AfterDry'!$A$3:$A$2000,0)),"")</f>
        <v>0.38400000000000001</v>
      </c>
      <c r="T286" s="194">
        <f>IFERROR(INDEX('Both teabags AfterDry'!$D$3:$D$2000,MATCH(I286,'Both teabags AfterDry'!$A$3:$A$2000,0)),"")</f>
        <v>1.1160000000000001</v>
      </c>
      <c r="U286" s="194">
        <f t="shared" si="45"/>
        <v>0.2334</v>
      </c>
      <c r="V286" s="194">
        <f t="shared" si="46"/>
        <v>0.96540000000000004</v>
      </c>
      <c r="W286" s="194">
        <f>IFERROR(INDEX('Ashed teabags dry'!$K$2:$K$2000,MATCH(H286,'Ashed teabags dry'!$A$2:$A$2000,0)),"")</f>
        <v>18.38888888888961</v>
      </c>
      <c r="X286" s="194">
        <f>IFERROR(INDEX('Ashed teabags dry'!$K$2:$K$2000,MATCH(I286,'Ashed teabags dry'!$A$2:$A$2000,0)),"")</f>
        <v>35.262904003859205</v>
      </c>
      <c r="Y286" s="194">
        <f t="shared" si="41"/>
        <v>0.19048033333333164</v>
      </c>
      <c r="Z286" s="194">
        <f t="shared" si="41"/>
        <v>0.62497192474674323</v>
      </c>
      <c r="AA286" s="194">
        <f t="shared" si="47"/>
        <v>0.89139209670486352</v>
      </c>
      <c r="AB286" s="194">
        <f t="shared" si="48"/>
        <v>0.58438056696090823</v>
      </c>
      <c r="AC286" s="194">
        <f t="shared" si="42"/>
        <v>0.31286794133366547</v>
      </c>
      <c r="AD286">
        <f t="shared" si="49"/>
        <v>62</v>
      </c>
      <c r="AE286" s="194">
        <f t="shared" si="50"/>
        <v>-5.8660447392949511E-2</v>
      </c>
      <c r="AF286" s="194" t="str">
        <f t="shared" si="51"/>
        <v/>
      </c>
      <c r="AG286" s="252" t="str">
        <f>IF(ISNUMBER(SEARCH("C", 'Dry_Litterbag Placem_Collection'!$T213)),"YES","NO")</f>
        <v>YES</v>
      </c>
      <c r="AH286" s="252" t="str">
        <f>IF(ISNUMBER(SEARCH("H", 'Dry_Litterbag Placem_Collection'!$T213)),"YES","NO")</f>
        <v>YES</v>
      </c>
      <c r="AI286" s="252" t="str">
        <f>IF(ISNUMBER(SEARCH("R", 'Dry_Litterbag Placem_Collection'!$T213)),"YES","NO")</f>
        <v>YES</v>
      </c>
      <c r="AJ286" s="252" t="str">
        <f>IF(ISNUMBER(SEARCH("C", 'Dry_Litterbag Placem_Collection'!$S213)),"YES","NO")</f>
        <v>NO</v>
      </c>
      <c r="AK286" s="252" t="str">
        <f>IF(ISNUMBER(SEARCH("H", 'Dry_Litterbag Placem_Collection'!$S213)),"YES","NO")</f>
        <v>YES</v>
      </c>
      <c r="AL286" s="252" t="str">
        <f>IF(ISNUMBER(SEARCH("R", 'Dry_Litterbag Placem_Collection'!$S213)),"YES","NO")</f>
        <v>NO</v>
      </c>
    </row>
    <row r="287" spans="2:38">
      <c r="B287" t="str">
        <f>'Final data_for_R_analysis_Dryse'!A213</f>
        <v>Dry</v>
      </c>
      <c r="C287" s="260">
        <f>'Final data_for_R_analysis_Dryse'!B213</f>
        <v>215</v>
      </c>
      <c r="D287" t="s">
        <v>2422</v>
      </c>
      <c r="E287" t="s">
        <v>22</v>
      </c>
      <c r="F287" s="382">
        <v>3</v>
      </c>
      <c r="G287" s="16">
        <f>IF('Dry_Litterbag Placem_Collection'!E214="","",'Dry_Litterbag Placem_Collection'!E214)</f>
        <v>42942</v>
      </c>
      <c r="H287" t="str">
        <f>'Final data_for_R_analysis_Dryse'!K213</f>
        <v>G169</v>
      </c>
      <c r="I287" t="str">
        <f>'Final data_for_R_analysis_Dryse'!K433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43"/>
        <v>1.8151999999999999</v>
      </c>
      <c r="M287" s="237">
        <f>AVERAGE(Ashed_controlls!$K$1:$K$11)</f>
        <v>5.5147656768714146</v>
      </c>
      <c r="N287" s="194">
        <f t="shared" si="39"/>
        <v>1.7150959734334301</v>
      </c>
      <c r="O287" s="194">
        <f t="shared" si="44"/>
        <v>1.8931999999999998</v>
      </c>
      <c r="P287" s="237">
        <f>AVERAGE(Ashed_controlls!$K$12:$K$14)</f>
        <v>2.2816647271287041</v>
      </c>
      <c r="Q287" s="194">
        <f t="shared" si="40"/>
        <v>1.850003523385999</v>
      </c>
      <c r="R287" s="16">
        <f>IF('Dry_Litterbag Placem_Collection'!G214="","",'Dry_Litterbag Placem_Collection'!G214)</f>
        <v>43004</v>
      </c>
      <c r="S287" s="194">
        <f>IFERROR(INDEX('Both teabags AfterDry'!$D$3:$D$2000,MATCH(H287,'Both teabags AfterDry'!$A$3:$A$2000,0)),"")</f>
        <v>0.70899999999999996</v>
      </c>
      <c r="T287" s="194">
        <f>IFERROR(INDEX('Both teabags AfterDry'!$D$3:$D$2000,MATCH(I287,'Both teabags AfterDry'!$A$3:$A$2000,0)),"")</f>
        <v>1.7356</v>
      </c>
      <c r="U287" s="194">
        <f t="shared" si="45"/>
        <v>0.55840000000000001</v>
      </c>
      <c r="V287" s="194">
        <f t="shared" si="46"/>
        <v>1.585</v>
      </c>
      <c r="W287" s="194">
        <f>IFERROR(INDEX('Ashed teabags dry'!$K$2:$K$2000,MATCH(H287,'Ashed teabags dry'!$A$2:$A$2000,0)),"")</f>
        <v>21.867199201197611</v>
      </c>
      <c r="X287" s="194">
        <f>IFERROR(INDEX('Ashed teabags dry'!$K$2:$K$2000,MATCH(I287,'Ashed teabags dry'!$A$2:$A$2000,0)),"")</f>
        <v>5.6538839724678436</v>
      </c>
      <c r="Y287" s="194">
        <f t="shared" si="41"/>
        <v>0.43629355966051253</v>
      </c>
      <c r="Z287" s="194">
        <f t="shared" si="41"/>
        <v>1.4953859390363846</v>
      </c>
      <c r="AA287" s="194">
        <f t="shared" si="47"/>
        <v>0.74561565858783885</v>
      </c>
      <c r="AB287" s="194">
        <f t="shared" si="48"/>
        <v>0.4888121657250441</v>
      </c>
      <c r="AC287" s="194">
        <f t="shared" si="42"/>
        <v>0.8083151843405304</v>
      </c>
      <c r="AD287">
        <f t="shared" si="49"/>
        <v>62</v>
      </c>
      <c r="AE287" s="194">
        <f t="shared" si="50"/>
        <v>0.11447071426622457</v>
      </c>
      <c r="AF287" s="194">
        <f t="shared" si="51"/>
        <v>8.0293138953481634E-3</v>
      </c>
      <c r="AG287" s="252" t="str">
        <f>IF(ISNUMBER(SEARCH("C", 'Dry_Litterbag Placem_Collection'!$T214)),"YES","NO")</f>
        <v>NO</v>
      </c>
      <c r="AH287" s="252" t="str">
        <f>IF(ISNUMBER(SEARCH("H", 'Dry_Litterbag Placem_Collection'!$T214)),"YES","NO")</f>
        <v>NO</v>
      </c>
      <c r="AI287" s="252" t="str">
        <f>IF(ISNUMBER(SEARCH("R", 'Dry_Litterbag Placem_Collection'!$T214)),"YES","NO")</f>
        <v>YES</v>
      </c>
      <c r="AJ287" s="252" t="str">
        <f>IF(ISNUMBER(SEARCH("C", 'Dry_Litterbag Placem_Collection'!$S214)),"YES","NO")</f>
        <v>NO</v>
      </c>
      <c r="AK287" s="252" t="str">
        <f>IF(ISNUMBER(SEARCH("H", 'Dry_Litterbag Placem_Collection'!$S214)),"YES","NO")</f>
        <v>NO</v>
      </c>
      <c r="AL287" s="252" t="str">
        <f>IF(ISNUMBER(SEARCH("R", 'Dry_Litterbag Placem_Collection'!$S214)),"YES","NO")</f>
        <v>NO</v>
      </c>
    </row>
    <row r="288" spans="2:38">
      <c r="B288" t="str">
        <f>'Final data_for_R_analysis_Dryse'!A214</f>
        <v>Dry</v>
      </c>
      <c r="C288" s="260">
        <f>'Final data_for_R_analysis_Dryse'!B214</f>
        <v>212</v>
      </c>
      <c r="D288" t="s">
        <v>2437</v>
      </c>
      <c r="E288" t="s">
        <v>22</v>
      </c>
      <c r="F288" s="382">
        <v>4</v>
      </c>
      <c r="G288" s="16">
        <f>IF('Dry_Litterbag Placem_Collection'!E215="","",'Dry_Litterbag Placem_Collection'!E215)</f>
        <v>42942</v>
      </c>
      <c r="H288" t="str">
        <f>'Final data_for_R_analysis_Dryse'!K214</f>
        <v>G68</v>
      </c>
      <c r="I288" t="str">
        <f>'Final data_for_R_analysis_Dryse'!K434</f>
        <v>R803</v>
      </c>
      <c r="J288">
        <f>IFERROR(INDEX('Green_rooibos initial weight'!$C$5:$C$2000,MATCH(H288, 'Green_rooibos initial weight'!$A$5:$A$2000,0)),"")</f>
        <v>1.921</v>
      </c>
      <c r="K288">
        <f>IFERROR(INDEX('Green_rooibos initial weight'!$C$5:$C$2000,MATCH(I288, 'Green_rooibos initial weight'!$A$5:$A$2000,0)),"")</f>
        <v>2.1930000000000001</v>
      </c>
      <c r="L288" s="194">
        <f t="shared" si="43"/>
        <v>1.6712</v>
      </c>
      <c r="M288" s="237">
        <f>AVERAGE(Ashed_controlls!$K$1:$K$11)</f>
        <v>5.5147656768714146</v>
      </c>
      <c r="N288" s="194">
        <f t="shared" si="39"/>
        <v>1.5790372360081248</v>
      </c>
      <c r="O288" s="194">
        <f t="shared" si="44"/>
        <v>1.9432</v>
      </c>
      <c r="P288" s="237">
        <f>AVERAGE(Ashed_controlls!$K$12:$K$14)</f>
        <v>2.2816647271287041</v>
      </c>
      <c r="Q288" s="194">
        <f t="shared" si="40"/>
        <v>1.8988626910224351</v>
      </c>
      <c r="R288" s="16">
        <f>IF('Dry_Litterbag Placem_Collection'!G215="","",'Dry_Litterbag Placem_Collection'!G215)</f>
        <v>43004</v>
      </c>
      <c r="S288" s="194">
        <f>IFERROR(INDEX('Both teabags AfterDry'!$D$3:$D$2000,MATCH(H288,'Both teabags AfterDry'!$A$3:$A$2000,0)),"")</f>
        <v>0.71</v>
      </c>
      <c r="T288" s="194">
        <f>IFERROR(INDEX('Both teabags AfterDry'!$D$3:$D$2000,MATCH(I288,'Both teabags AfterDry'!$A$3:$A$2000,0)),"")</f>
        <v>0.78500000000000003</v>
      </c>
      <c r="U288" s="194">
        <f t="shared" si="45"/>
        <v>0.5593999999999999</v>
      </c>
      <c r="V288" s="194">
        <f t="shared" si="46"/>
        <v>0.63440000000000007</v>
      </c>
      <c r="W288" s="194">
        <f>IFERROR(INDEX('Ashed teabags dry'!$K$2:$K$2000,MATCH(H288,'Ashed teabags dry'!$A$2:$A$2000,0)),"")</f>
        <v>24.931756141947613</v>
      </c>
      <c r="X288" s="194">
        <f>IFERROR(INDEX('Ashed teabags dry'!$K$2:$K$2000,MATCH(I288,'Ashed teabags dry'!$A$2:$A$2000,0)),"")</f>
        <v>11.856932876041183</v>
      </c>
      <c r="Y288" s="194">
        <f t="shared" si="41"/>
        <v>0.419931756141945</v>
      </c>
      <c r="Z288" s="194">
        <f t="shared" si="41"/>
        <v>0.55917961783439485</v>
      </c>
      <c r="AA288" s="194">
        <f t="shared" si="47"/>
        <v>0.73405835748145443</v>
      </c>
      <c r="AB288" s="194">
        <f t="shared" si="48"/>
        <v>0.48123540775506285</v>
      </c>
      <c r="AC288" s="194">
        <f t="shared" si="42"/>
        <v>0.29448133373630442</v>
      </c>
      <c r="AD288">
        <f t="shared" si="49"/>
        <v>62</v>
      </c>
      <c r="AE288" s="194">
        <f t="shared" si="50"/>
        <v>0.128196725081408</v>
      </c>
      <c r="AF288" s="194" t="str">
        <f t="shared" si="51"/>
        <v/>
      </c>
      <c r="AG288" s="252" t="str">
        <f>IF(ISNUMBER(SEARCH("C", 'Dry_Litterbag Placem_Collection'!$T215)),"YES","NO")</f>
        <v>NO</v>
      </c>
      <c r="AH288" s="252" t="str">
        <f>IF(ISNUMBER(SEARCH("H", 'Dry_Litterbag Placem_Collection'!$T215)),"YES","NO")</f>
        <v>YES</v>
      </c>
      <c r="AI288" s="252" t="str">
        <f>IF(ISNUMBER(SEARCH("R", 'Dry_Litterbag Placem_Collection'!$T215)),"YES","NO")</f>
        <v>YES</v>
      </c>
      <c r="AJ288" s="252" t="str">
        <f>IF(ISNUMBER(SEARCH("C", 'Dry_Litterbag Placem_Collection'!$S215)),"YES","NO")</f>
        <v>NO</v>
      </c>
      <c r="AK288" s="252" t="str">
        <f>IF(ISNUMBER(SEARCH("H", 'Dry_Litterbag Placem_Collection'!$S215)),"YES","NO")</f>
        <v>YES</v>
      </c>
      <c r="AL288" s="252" t="str">
        <f>IF(ISNUMBER(SEARCH("R", 'Dry_Litterbag Placem_Collection'!$S215)),"YES","NO")</f>
        <v>YES</v>
      </c>
    </row>
    <row r="289" spans="2:38">
      <c r="B289" t="str">
        <f>'Final data_for_R_analysis_Dryse'!A215</f>
        <v>Dry</v>
      </c>
      <c r="C289" s="260">
        <f>'Final data_for_R_analysis_Dryse'!B215</f>
        <v>213</v>
      </c>
      <c r="D289" t="s">
        <v>2445</v>
      </c>
      <c r="E289" t="s">
        <v>22</v>
      </c>
      <c r="F289" s="382">
        <v>1</v>
      </c>
      <c r="G289" s="16">
        <f>IF('Dry_Litterbag Placem_Collection'!E216="","",'Dry_Litterbag Placem_Collection'!E216)</f>
        <v>42942</v>
      </c>
      <c r="H289" t="str">
        <f>'Final data_for_R_analysis_Dryse'!K215</f>
        <v>G143</v>
      </c>
      <c r="I289" t="str">
        <f>'Final data_for_R_analysis_Dryse'!K435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43"/>
        <v>1.6952</v>
      </c>
      <c r="M289" s="237">
        <f>AVERAGE(Ashed_controlls!$K$1:$K$11)</f>
        <v>5.5147656768714146</v>
      </c>
      <c r="N289" s="194">
        <f t="shared" si="39"/>
        <v>1.6017136922456758</v>
      </c>
      <c r="O289" s="194">
        <f t="shared" si="44"/>
        <v>1.9361999999999999</v>
      </c>
      <c r="P289" s="237">
        <f>AVERAGE(Ashed_controlls!$K$12:$K$14)</f>
        <v>2.2816647271287041</v>
      </c>
      <c r="Q289" s="194">
        <f t="shared" si="40"/>
        <v>1.8920224075533341</v>
      </c>
      <c r="R289" s="16">
        <f>IF('Dry_Litterbag Placem_Collection'!G216="","",'Dry_Litterbag Placem_Collection'!G216)</f>
        <v>43004</v>
      </c>
      <c r="S289" s="194">
        <f>IFERROR(INDEX('Both teabags AfterDry'!$D$3:$D$2000,MATCH(H289,'Both teabags AfterDry'!$A$3:$A$2000,0)),"")</f>
        <v>0.57899999999999996</v>
      </c>
      <c r="T289" s="194">
        <f>IFERROR(INDEX('Both teabags AfterDry'!$D$3:$D$2000,MATCH(I289,'Both teabags AfterDry'!$A$3:$A$2000,0)),"")</f>
        <v>1.6859999999999999</v>
      </c>
      <c r="U289" s="194">
        <f t="shared" si="45"/>
        <v>0.42839999999999995</v>
      </c>
      <c r="V289" s="194">
        <f t="shared" si="46"/>
        <v>1.5353999999999999</v>
      </c>
      <c r="W289" s="194">
        <f>IFERROR(INDEX('Ashed teabags dry'!$K$2:$K$2000,MATCH(H289,'Ashed teabags dry'!$A$2:$A$2000,0)),"")</f>
        <v>19.161676646707068</v>
      </c>
      <c r="X289" s="194">
        <f>IFERROR(INDEX('Ashed teabags dry'!$K$2:$K$2000,MATCH(I289,'Ashed teabags dry'!$A$2:$A$2000,0)),"")</f>
        <v>5.7692307692305311</v>
      </c>
      <c r="Y289" s="194">
        <f t="shared" si="41"/>
        <v>0.34631137724550687</v>
      </c>
      <c r="Z289" s="194">
        <f t="shared" si="41"/>
        <v>1.4468192307692342</v>
      </c>
      <c r="AA289" s="194">
        <f t="shared" si="47"/>
        <v>0.78378696584658492</v>
      </c>
      <c r="AB289" s="194">
        <f t="shared" si="48"/>
        <v>0.51383658568564716</v>
      </c>
      <c r="AC289" s="194">
        <f t="shared" si="42"/>
        <v>0.7646945538241201</v>
      </c>
      <c r="AD289">
        <f t="shared" si="49"/>
        <v>62</v>
      </c>
      <c r="AE289" s="194">
        <f t="shared" si="50"/>
        <v>6.9136620134697235E-2</v>
      </c>
      <c r="AF289" s="194">
        <f t="shared" si="51"/>
        <v>9.8770229610008128E-3</v>
      </c>
      <c r="AG289" s="252" t="str">
        <f>IF(ISNUMBER(SEARCH("C", 'Dry_Litterbag Placem_Collection'!$T216)),"YES","NO")</f>
        <v>NO</v>
      </c>
      <c r="AH289" s="252" t="str">
        <f>IF(ISNUMBER(SEARCH("H", 'Dry_Litterbag Placem_Collection'!$T216)),"YES","NO")</f>
        <v>NO</v>
      </c>
      <c r="AI289" s="252" t="str">
        <f>IF(ISNUMBER(SEARCH("R", 'Dry_Litterbag Placem_Collection'!$T216)),"YES","NO")</f>
        <v>YES</v>
      </c>
      <c r="AJ289" s="252" t="str">
        <f>IF(ISNUMBER(SEARCH("C", 'Dry_Litterbag Placem_Collection'!$S216)),"YES","NO")</f>
        <v>NO</v>
      </c>
      <c r="AK289" s="252" t="str">
        <f>IF(ISNUMBER(SEARCH("H", 'Dry_Litterbag Placem_Collection'!$S216)),"YES","NO")</f>
        <v>NO</v>
      </c>
      <c r="AL289" s="252" t="str">
        <f>IF(ISNUMBER(SEARCH("R", 'Dry_Litterbag Placem_Collection'!$S216)),"YES","NO")</f>
        <v>YES</v>
      </c>
    </row>
    <row r="290" spans="2:38">
      <c r="B290" t="str">
        <f>'Final data_for_R_analysis_Dryse'!A216</f>
        <v>Dry</v>
      </c>
      <c r="C290" s="260">
        <f>'Final data_for_R_analysis_Dryse'!B216</f>
        <v>214</v>
      </c>
      <c r="D290" t="s">
        <v>2438</v>
      </c>
      <c r="E290" t="s">
        <v>22</v>
      </c>
      <c r="F290" s="382">
        <v>2</v>
      </c>
      <c r="G290" s="16">
        <f>IF('Dry_Litterbag Placem_Collection'!E217="","",'Dry_Litterbag Placem_Collection'!E217)</f>
        <v>42942</v>
      </c>
      <c r="H290" t="str">
        <f>'Final data_for_R_analysis_Dryse'!K216</f>
        <v>G128</v>
      </c>
      <c r="I290" t="str">
        <f>'Final data_for_R_analysis_Dryse'!K436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43"/>
        <v>1.7721999999999998</v>
      </c>
      <c r="M290" s="237">
        <f>AVERAGE(Ashed_controlls!$K$1:$K$11)</f>
        <v>5.5147656768714146</v>
      </c>
      <c r="N290" s="194">
        <f t="shared" si="39"/>
        <v>1.6744673226744846</v>
      </c>
      <c r="O290" s="194">
        <f t="shared" si="44"/>
        <v>1.8742000000000001</v>
      </c>
      <c r="P290" s="237">
        <f>AVERAGE(Ashed_controlls!$K$12:$K$14)</f>
        <v>2.2816647271287041</v>
      </c>
      <c r="Q290" s="194">
        <f t="shared" si="40"/>
        <v>1.8314370396841539</v>
      </c>
      <c r="R290" s="16">
        <f>IF('Dry_Litterbag Placem_Collection'!G217="","",'Dry_Litterbag Placem_Collection'!G217)</f>
        <v>43004</v>
      </c>
      <c r="S290" s="194">
        <f>IFERROR(INDEX('Both teabags AfterDry'!$D$3:$D$2000,MATCH(H290,'Both teabags AfterDry'!$A$3:$A$2000,0)),"")</f>
        <v>0.70599999999999996</v>
      </c>
      <c r="T290" s="194">
        <f>IFERROR(INDEX('Both teabags AfterDry'!$D$3:$D$2000,MATCH(I290,'Both teabags AfterDry'!$A$3:$A$2000,0)),"")</f>
        <v>1.7569999999999999</v>
      </c>
      <c r="U290" s="194">
        <f t="shared" si="45"/>
        <v>0.55539999999999989</v>
      </c>
      <c r="V290" s="194">
        <f t="shared" si="46"/>
        <v>1.6063999999999998</v>
      </c>
      <c r="W290" s="194">
        <f>IFERROR(INDEX('Ashed teabags dry'!$K$2:$K$2000,MATCH(H290,'Ashed teabags dry'!$A$2:$A$2000,0)),"")</f>
        <v>20.06472491909372</v>
      </c>
      <c r="X290" s="194">
        <f>IFERROR(INDEX('Ashed teabags dry'!$K$2:$K$2000,MATCH(I290,'Ashed teabags dry'!$A$2:$A$2000,0)),"")</f>
        <v>10.652591170825588</v>
      </c>
      <c r="Y290" s="194">
        <f t="shared" si="41"/>
        <v>0.44396051779935342</v>
      </c>
      <c r="Z290" s="194">
        <f t="shared" si="41"/>
        <v>1.4352767754318576</v>
      </c>
      <c r="AA290" s="194">
        <f t="shared" si="47"/>
        <v>0.73486462722350843</v>
      </c>
      <c r="AB290" s="194">
        <f t="shared" si="48"/>
        <v>0.48176398364296519</v>
      </c>
      <c r="AC290" s="194">
        <f t="shared" si="42"/>
        <v>0.78368884342285805</v>
      </c>
      <c r="AD290">
        <f t="shared" si="49"/>
        <v>62</v>
      </c>
      <c r="AE290" s="194">
        <f t="shared" si="50"/>
        <v>0.12723916006709213</v>
      </c>
      <c r="AF290" s="194">
        <f t="shared" si="51"/>
        <v>9.6131803963733393E-3</v>
      </c>
      <c r="AG290" s="252" t="str">
        <f>IF(ISNUMBER(SEARCH("C", 'Dry_Litterbag Placem_Collection'!$T217)),"YES","NO")</f>
        <v>NO</v>
      </c>
      <c r="AH290" s="252" t="str">
        <f>IF(ISNUMBER(SEARCH("H", 'Dry_Litterbag Placem_Collection'!$T217)),"YES","NO")</f>
        <v>YES</v>
      </c>
      <c r="AI290" s="252" t="str">
        <f>IF(ISNUMBER(SEARCH("R", 'Dry_Litterbag Placem_Collection'!$T217)),"YES","NO")</f>
        <v>YES</v>
      </c>
      <c r="AJ290" s="252" t="str">
        <f>IF(ISNUMBER(SEARCH("C", 'Dry_Litterbag Placem_Collection'!$S217)),"YES","NO")</f>
        <v>NO</v>
      </c>
      <c r="AK290" s="252" t="str">
        <f>IF(ISNUMBER(SEARCH("H", 'Dry_Litterbag Placem_Collection'!$S217)),"YES","NO")</f>
        <v>YES</v>
      </c>
      <c r="AL290" s="252" t="str">
        <f>IF(ISNUMBER(SEARCH("R", 'Dry_Litterbag Placem_Collection'!$S217)),"YES","NO")</f>
        <v>NO</v>
      </c>
    </row>
    <row r="291" spans="2:38">
      <c r="B291" t="str">
        <f>'Final data_for_R_analysis_Dryse'!A217</f>
        <v>Dry</v>
      </c>
      <c r="C291" s="260">
        <f>'Final data_for_R_analysis_Dryse'!B217</f>
        <v>216</v>
      </c>
      <c r="D291" t="s">
        <v>2431</v>
      </c>
      <c r="E291" t="s">
        <v>22</v>
      </c>
      <c r="F291" s="382">
        <v>4</v>
      </c>
      <c r="G291" s="16">
        <f>IF('Dry_Litterbag Placem_Collection'!E218="","",'Dry_Litterbag Placem_Collection'!E218)</f>
        <v>42942</v>
      </c>
      <c r="H291" t="str">
        <f>'Final data_for_R_analysis_Dryse'!K217</f>
        <v>G95</v>
      </c>
      <c r="I291" t="str">
        <f>'Final data_for_R_analysis_Dryse'!K437</f>
        <v>R379</v>
      </c>
      <c r="J291">
        <f>IFERROR(INDEX('Green_rooibos initial weight'!$C$5:$C$2000,MATCH(H291, 'Green_rooibos initial weight'!$A$5:$A$2000,0)),"")</f>
        <v>2.1110000000000002</v>
      </c>
      <c r="K291">
        <f>IFERROR(INDEX('Green_rooibos initial weight'!$C$5:$C$2000,MATCH(I291, 'Green_rooibos initial weight'!$A$5:$A$2000,0)),"")</f>
        <v>2.246</v>
      </c>
      <c r="L291" s="194">
        <f t="shared" si="43"/>
        <v>1.8612000000000002</v>
      </c>
      <c r="M291" s="237">
        <f>AVERAGE(Ashed_controlls!$K$1:$K$11)</f>
        <v>5.5147656768714146</v>
      </c>
      <c r="N291" s="194">
        <f t="shared" si="39"/>
        <v>1.7585591812220693</v>
      </c>
      <c r="O291" s="194">
        <f t="shared" si="44"/>
        <v>1.9962</v>
      </c>
      <c r="P291" s="237">
        <f>AVERAGE(Ashed_controlls!$K$12:$K$14)</f>
        <v>2.2816647271287041</v>
      </c>
      <c r="Q291" s="194">
        <f t="shared" si="40"/>
        <v>1.9506534087170568</v>
      </c>
      <c r="R291" s="16">
        <f>IF('Dry_Litterbag Placem_Collection'!G218="","",'Dry_Litterbag Placem_Collection'!G218)</f>
        <v>43004</v>
      </c>
      <c r="S291" s="194">
        <f>IFERROR(INDEX('Both teabags AfterDry'!$D$3:$D$2000,MATCH(H291,'Both teabags AfterDry'!$A$3:$A$2000,0)),"")</f>
        <v>0.80600000000000005</v>
      </c>
      <c r="T291" s="194">
        <f>IFERROR(INDEX('Both teabags AfterDry'!$D$3:$D$2000,MATCH(I291,'Both teabags AfterDry'!$A$3:$A$2000,0)),"")</f>
        <v>1.736</v>
      </c>
      <c r="U291" s="194">
        <f t="shared" si="45"/>
        <v>0.65539999999999998</v>
      </c>
      <c r="V291" s="194">
        <f t="shared" si="46"/>
        <v>1.5853999999999999</v>
      </c>
      <c r="W291" s="194">
        <f>IFERROR(INDEX('Ashed teabags dry'!$K$2:$K$2000,MATCH(H291,'Ashed teabags dry'!$A$2:$A$2000,0)),"")</f>
        <v>24.313893653516725</v>
      </c>
      <c r="X291" s="194">
        <f>IFERROR(INDEX('Ashed teabags dry'!$K$2:$K$2000,MATCH(I291,'Ashed teabags dry'!$A$2:$A$2000,0)),"")</f>
        <v>4.8247610377782575</v>
      </c>
      <c r="Y291" s="194">
        <f t="shared" si="41"/>
        <v>0.49604674099485135</v>
      </c>
      <c r="Z291" s="194">
        <f t="shared" si="41"/>
        <v>1.5089082385070633</v>
      </c>
      <c r="AA291" s="194">
        <f t="shared" si="47"/>
        <v>0.71792434039658803</v>
      </c>
      <c r="AB291" s="194">
        <f t="shared" si="48"/>
        <v>0.47065823740963969</v>
      </c>
      <c r="AC291" s="194">
        <f t="shared" si="42"/>
        <v>0.77353989784349808</v>
      </c>
      <c r="AD291">
        <f t="shared" si="49"/>
        <v>62</v>
      </c>
      <c r="AE291" s="194">
        <f t="shared" si="50"/>
        <v>0.14735826556224696</v>
      </c>
      <c r="AF291" s="194">
        <f t="shared" si="51"/>
        <v>1.058310152478994E-2</v>
      </c>
      <c r="AG291" s="252" t="str">
        <f>IF(ISNUMBER(SEARCH("C", 'Dry_Litterbag Placem_Collection'!$T218)),"YES","NO")</f>
        <v>NO</v>
      </c>
      <c r="AH291" s="252" t="str">
        <f>IF(ISNUMBER(SEARCH("H", 'Dry_Litterbag Placem_Collection'!$T218)),"YES","NO")</f>
        <v>NO</v>
      </c>
      <c r="AI291" s="252" t="str">
        <f>IF(ISNUMBER(SEARCH("R", 'Dry_Litterbag Placem_Collection'!$T218)),"YES","NO")</f>
        <v>NO</v>
      </c>
      <c r="AJ291" s="252" t="str">
        <f>IF(ISNUMBER(SEARCH("C", 'Dry_Litterbag Placem_Collection'!$S218)),"YES","NO")</f>
        <v>NO</v>
      </c>
      <c r="AK291" s="252" t="str">
        <f>IF(ISNUMBER(SEARCH("H", 'Dry_Litterbag Placem_Collection'!$S218)),"YES","NO")</f>
        <v>NO</v>
      </c>
      <c r="AL291" s="252" t="str">
        <f>IF(ISNUMBER(SEARCH("R", 'Dry_Litterbag Placem_Collection'!$S218)),"YES","NO")</f>
        <v>NO</v>
      </c>
    </row>
    <row r="292" spans="2:38">
      <c r="B292" t="str">
        <f>'Final data_for_R_analysis_Dryse'!A218</f>
        <v>Dry</v>
      </c>
      <c r="C292" s="260">
        <f>'Final data_for_R_analysis_Dryse'!B218</f>
        <v>217</v>
      </c>
      <c r="D292" t="s">
        <v>2424</v>
      </c>
      <c r="E292" t="s">
        <v>22</v>
      </c>
      <c r="F292" s="382">
        <v>1</v>
      </c>
      <c r="G292" s="16">
        <f>IF('Dry_Litterbag Placem_Collection'!E219="","",'Dry_Litterbag Placem_Collection'!E219)</f>
        <v>42942</v>
      </c>
      <c r="H292" t="str">
        <f>'Final data_for_R_analysis_Dryse'!K218</f>
        <v>G313</v>
      </c>
      <c r="I292" t="str">
        <f>'Final data_for_R_analysis_Dryse'!K438</f>
        <v>R771</v>
      </c>
      <c r="J292">
        <f>IFERROR(INDEX('Green_rooibos initial weight'!$C$5:$C$2000,MATCH(H292, 'Green_rooibos initial weight'!$A$5:$A$2000,0)),"")</f>
        <v>1.923</v>
      </c>
      <c r="K292">
        <f>IFERROR(INDEX('Green_rooibos initial weight'!$C$5:$C$2000,MATCH(I292, 'Green_rooibos initial weight'!$A$5:$A$2000,0)),"")</f>
        <v>2.2309999999999999</v>
      </c>
      <c r="L292" s="194">
        <f t="shared" si="43"/>
        <v>1.6732</v>
      </c>
      <c r="M292" s="237">
        <f>AVERAGE(Ashed_controlls!$K$1:$K$11)</f>
        <v>5.5147656768714146</v>
      </c>
      <c r="N292" s="194">
        <f t="shared" si="39"/>
        <v>1.5809269406945876</v>
      </c>
      <c r="O292" s="194">
        <f t="shared" si="44"/>
        <v>1.9811999999999999</v>
      </c>
      <c r="P292" s="237">
        <f>AVERAGE(Ashed_controlls!$K$12:$K$14)</f>
        <v>2.2816647271287041</v>
      </c>
      <c r="Q292" s="194">
        <f t="shared" si="40"/>
        <v>1.935995658426126</v>
      </c>
      <c r="R292" s="16">
        <f>IF('Dry_Litterbag Placem_Collection'!G219="","",'Dry_Litterbag Placem_Collection'!G219)</f>
        <v>43004</v>
      </c>
      <c r="S292" s="194">
        <f>IFERROR(INDEX('Both teabags AfterDry'!$D$3:$D$2000,MATCH(H292,'Both teabags AfterDry'!$A$3:$A$2000,0)),"")</f>
        <v>0.74719999999999998</v>
      </c>
      <c r="T292" s="194">
        <f>IFERROR(INDEX('Both teabags AfterDry'!$D$3:$D$2000,MATCH(I292,'Both teabags AfterDry'!$A$3:$A$2000,0)),"")</f>
        <v>1.0895999999999999</v>
      </c>
      <c r="U292" s="194">
        <f t="shared" si="45"/>
        <v>0.59660000000000002</v>
      </c>
      <c r="V292" s="194">
        <f t="shared" si="46"/>
        <v>0.93899999999999983</v>
      </c>
      <c r="W292" s="194">
        <f>IFERROR(INDEX('Ashed teabags dry'!$K$2:$K$2000,MATCH(H292,'Ashed teabags dry'!$A$2:$A$2000,0)),"")</f>
        <v>17.652671755725578</v>
      </c>
      <c r="X292" s="194">
        <f>IFERROR(INDEX('Ashed teabags dry'!$K$2:$K$2000,MATCH(I292,'Ashed teabags dry'!$A$2:$A$2000,0)),"")</f>
        <v>85.664182376150734</v>
      </c>
      <c r="Y292" s="194">
        <f t="shared" si="41"/>
        <v>0.49128416030534122</v>
      </c>
      <c r="Z292" s="194">
        <f t="shared" si="41"/>
        <v>0.13461332748794463</v>
      </c>
      <c r="AA292" s="194">
        <f t="shared" si="47"/>
        <v>0.68924297027319104</v>
      </c>
      <c r="AB292" s="194">
        <f t="shared" si="48"/>
        <v>0.4518552489201918</v>
      </c>
      <c r="AC292" s="194">
        <f t="shared" si="42"/>
        <v>6.9531833349966793E-2</v>
      </c>
      <c r="AD292">
        <f t="shared" si="49"/>
        <v>62</v>
      </c>
      <c r="AE292" s="194">
        <f t="shared" si="50"/>
        <v>0.18142165050689896</v>
      </c>
      <c r="AF292" s="194" t="str">
        <f t="shared" si="51"/>
        <v/>
      </c>
      <c r="AG292" s="252" t="str">
        <f>IF(ISNUMBER(SEARCH("C", 'Dry_Litterbag Placem_Collection'!$T219)),"YES","NO")</f>
        <v>NO</v>
      </c>
      <c r="AH292" s="252" t="str">
        <f>IF(ISNUMBER(SEARCH("H", 'Dry_Litterbag Placem_Collection'!$T219)),"YES","NO")</f>
        <v>YES</v>
      </c>
      <c r="AI292" s="252" t="str">
        <f>IF(ISNUMBER(SEARCH("R", 'Dry_Litterbag Placem_Collection'!$T219)),"YES","NO")</f>
        <v>YES</v>
      </c>
      <c r="AJ292" s="252" t="str">
        <f>IF(ISNUMBER(SEARCH("C", 'Dry_Litterbag Placem_Collection'!$S219)),"YES","NO")</f>
        <v>NO</v>
      </c>
      <c r="AK292" s="252" t="str">
        <f>IF(ISNUMBER(SEARCH("H", 'Dry_Litterbag Placem_Collection'!$S219)),"YES","NO")</f>
        <v>YES</v>
      </c>
      <c r="AL292" s="252" t="str">
        <f>IF(ISNUMBER(SEARCH("R", 'Dry_Litterbag Placem_Collection'!$S219)),"YES","NO")</f>
        <v>YES</v>
      </c>
    </row>
    <row r="293" spans="2:38">
      <c r="B293" t="str">
        <f>'Final data_for_R_analysis_Dryse'!A219</f>
        <v>Dry</v>
      </c>
      <c r="C293" s="260">
        <f>'Final data_for_R_analysis_Dryse'!B219</f>
        <v>218</v>
      </c>
      <c r="D293" t="s">
        <v>2432</v>
      </c>
      <c r="E293" t="s">
        <v>22</v>
      </c>
      <c r="F293" s="382">
        <v>2</v>
      </c>
      <c r="G293" s="16">
        <f>IF('Dry_Litterbag Placem_Collection'!E220="","",'Dry_Litterbag Placem_Collection'!E220)</f>
        <v>42942</v>
      </c>
      <c r="H293" t="str">
        <f>'Final data_for_R_analysis_Dryse'!K219</f>
        <v>G485</v>
      </c>
      <c r="I293" t="str">
        <f>'Final data_for_R_analysis_Dryse'!K439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43"/>
        <v>1.7392000000000001</v>
      </c>
      <c r="M293" s="237">
        <f>AVERAGE(Ashed_controlls!$K$1:$K$11)</f>
        <v>5.5147656768714146</v>
      </c>
      <c r="N293" s="194">
        <f t="shared" si="39"/>
        <v>1.6432871953478525</v>
      </c>
      <c r="O293" s="194">
        <f t="shared" si="44"/>
        <v>1.8582000000000001</v>
      </c>
      <c r="P293" s="237">
        <f>AVERAGE(Ashed_controlls!$K$12:$K$14)</f>
        <v>2.2816647271287041</v>
      </c>
      <c r="Q293" s="194">
        <f t="shared" si="40"/>
        <v>1.8158021060404945</v>
      </c>
      <c r="R293" s="16">
        <f>IF('Dry_Litterbag Placem_Collection'!G220="","",'Dry_Litterbag Placem_Collection'!G220)</f>
        <v>43004</v>
      </c>
      <c r="S293" s="194">
        <f>IFERROR(INDEX('Both teabags AfterDry'!$D$3:$D$2000,MATCH(H293,'Both teabags AfterDry'!$A$3:$A$2000,0)),"")</f>
        <v>0.66900000000000004</v>
      </c>
      <c r="T293" s="194">
        <f>IFERROR(INDEX('Both teabags AfterDry'!$D$3:$D$2000,MATCH(I293,'Both teabags AfterDry'!$A$3:$A$2000,0)),"")</f>
        <v>0.17100000000000001</v>
      </c>
      <c r="U293" s="194">
        <f t="shared" si="45"/>
        <v>0.51839999999999997</v>
      </c>
      <c r="V293" s="194">
        <f t="shared" si="46"/>
        <v>2.0400000000000001E-2</v>
      </c>
      <c r="W293" s="194">
        <f>IFERROR(INDEX('Ashed teabags dry'!$K$2:$K$2000,MATCH(H293,'Ashed teabags dry'!$A$2:$A$2000,0)),"")</f>
        <v>22.069641981362956</v>
      </c>
      <c r="X293" s="194">
        <f>IFERROR(INDEX('Ashed teabags dry'!$K$2:$K$2000,MATCH(I293,'Ashed teabags dry'!$A$2:$A$2000,0)),"")</f>
        <v>0</v>
      </c>
      <c r="Y293" s="194">
        <f t="shared" si="41"/>
        <v>0.40399097596861444</v>
      </c>
      <c r="Z293" s="194">
        <f t="shared" si="41"/>
        <v>2.0400000000000001E-2</v>
      </c>
      <c r="AA293" s="194">
        <f t="shared" si="47"/>
        <v>0.75415680404964314</v>
      </c>
      <c r="AB293" s="194">
        <f t="shared" si="48"/>
        <v>0.49441158650285394</v>
      </c>
      <c r="AC293" s="194">
        <f t="shared" si="42"/>
        <v>1.1234704449420358E-2</v>
      </c>
      <c r="AD293">
        <f t="shared" si="49"/>
        <v>62</v>
      </c>
      <c r="AE293" s="194">
        <f t="shared" si="50"/>
        <v>0.10432683604555448</v>
      </c>
      <c r="AF293" s="194" t="str">
        <f t="shared" si="51"/>
        <v/>
      </c>
      <c r="AG293" s="252" t="str">
        <f>IF(ISNUMBER(SEARCH("C", 'Dry_Litterbag Placem_Collection'!$T220)),"YES","NO")</f>
        <v>NO</v>
      </c>
      <c r="AH293" s="252" t="str">
        <f>IF(ISNUMBER(SEARCH("H", 'Dry_Litterbag Placem_Collection'!$T220)),"YES","NO")</f>
        <v>YES</v>
      </c>
      <c r="AI293" s="252" t="str">
        <f>IF(ISNUMBER(SEARCH("R", 'Dry_Litterbag Placem_Collection'!$T220)),"YES","NO")</f>
        <v>YES</v>
      </c>
      <c r="AJ293" s="252" t="str">
        <f>IF(ISNUMBER(SEARCH("C", 'Dry_Litterbag Placem_Collection'!$S220)),"YES","NO")</f>
        <v>NO</v>
      </c>
      <c r="AK293" s="252" t="str">
        <f>IF(ISNUMBER(SEARCH("H", 'Dry_Litterbag Placem_Collection'!$S220)),"YES","NO")</f>
        <v>NO</v>
      </c>
      <c r="AL293" s="252" t="str">
        <f>IF(ISNUMBER(SEARCH("R", 'Dry_Litterbag Placem_Collection'!$S220)),"YES","NO")</f>
        <v>YES</v>
      </c>
    </row>
    <row r="294" spans="2:38">
      <c r="B294" t="str">
        <f>'Final data_for_R_analysis_Dryse'!A220</f>
        <v>Dry</v>
      </c>
      <c r="C294" s="381">
        <f>'Final data_for_R_analysis_Dryse'!B220</f>
        <v>219</v>
      </c>
      <c r="D294" t="s">
        <v>2439</v>
      </c>
      <c r="E294" t="s">
        <v>22</v>
      </c>
      <c r="F294" s="382">
        <v>3</v>
      </c>
      <c r="G294" s="16">
        <f>IF('Dry_Litterbag Placem_Collection'!E221="","",'Dry_Litterbag Placem_Collection'!E221)</f>
        <v>42942</v>
      </c>
      <c r="H294" s="92" t="str">
        <f>'Final data_for_R_analysis_Dryse'!K220</f>
        <v>G196</v>
      </c>
      <c r="I294" s="92" t="str">
        <f>'Final data_for_R_analysis_Dryse'!K440</f>
        <v>R178</v>
      </c>
      <c r="J294">
        <f>IFERROR(INDEX('Green_rooibos initial weight'!$C$5:$C$2000,MATCH(H294, 'Green_rooibos initial weight'!$A$5:$A$2000,0)),"")</f>
        <v>2.028</v>
      </c>
      <c r="K294">
        <f>IFERROR(INDEX('Green_rooibos initial weight'!$C$5:$C$2000,MATCH(I294, 'Green_rooibos initial weight'!$A$5:$A$2000,0)),"")</f>
        <v>2.222</v>
      </c>
      <c r="L294" s="194">
        <f t="shared" si="43"/>
        <v>1.7782</v>
      </c>
      <c r="M294" s="237">
        <f>AVERAGE(Ashed_controlls!$K$1:$K$11)</f>
        <v>5.5147656768714146</v>
      </c>
      <c r="N294" s="194">
        <f t="shared" si="39"/>
        <v>1.6801364367338725</v>
      </c>
      <c r="O294" s="194">
        <f t="shared" si="44"/>
        <v>1.9722</v>
      </c>
      <c r="P294" s="237">
        <f>AVERAGE(Ashed_controlls!$K$12:$K$14)</f>
        <v>2.2816647271287041</v>
      </c>
      <c r="Q294" s="194">
        <f t="shared" si="40"/>
        <v>1.9272010082515676</v>
      </c>
      <c r="R294" s="16">
        <f>IF('Dry_Litterbag Placem_Collection'!G221="","",'Dry_Litterbag Placem_Collection'!G221)</f>
        <v>43004</v>
      </c>
      <c r="S294" s="194">
        <f>IFERROR(INDEX('Both teabags AfterDry'!$D$3:$D$2000,MATCH(H294,'Both teabags AfterDry'!$A$3:$A$2000,0)),"")</f>
        <v>0.5756</v>
      </c>
      <c r="T294" s="194">
        <f>IFERROR(INDEX('Both teabags AfterDry'!$D$3:$D$2000,MATCH(I294,'Both teabags AfterDry'!$A$3:$A$2000,0)),"")</f>
        <v>1.8229</v>
      </c>
      <c r="U294" s="194">
        <f t="shared" si="45"/>
        <v>0.42499999999999999</v>
      </c>
      <c r="V294" s="194">
        <f t="shared" si="46"/>
        <v>1.6722999999999999</v>
      </c>
      <c r="W294" s="194">
        <f>IFERROR(INDEX('Ashed teabags dry'!$K$2:$K$2000,MATCH(H294,'Ashed teabags dry'!$A$2:$A$2000,0)),"")</f>
        <v>22.698178237321503</v>
      </c>
      <c r="X294" s="194">
        <f>IFERROR(INDEX('Ashed teabags dry'!$K$2:$K$2000,MATCH(I294,'Ashed teabags dry'!$A$2:$A$2000,0)),"")</f>
        <v>19.137332672284675</v>
      </c>
      <c r="Y294" s="194">
        <f t="shared" si="41"/>
        <v>0.32853274249138359</v>
      </c>
      <c r="Z294" s="194">
        <f t="shared" si="41"/>
        <v>1.3522663857213832</v>
      </c>
      <c r="AA294" s="194">
        <f t="shared" si="47"/>
        <v>0.80446067634242846</v>
      </c>
      <c r="AB294" s="194">
        <f t="shared" si="48"/>
        <v>0.52738989707959683</v>
      </c>
      <c r="AC294" s="194">
        <f t="shared" si="42"/>
        <v>0.70167376414368543</v>
      </c>
      <c r="AD294">
        <f t="shared" si="49"/>
        <v>62</v>
      </c>
      <c r="AE294" s="194">
        <f t="shared" si="50"/>
        <v>4.4583519783339076E-2</v>
      </c>
      <c r="AF294" s="194">
        <f t="shared" si="51"/>
        <v>1.3450647679353514E-2</v>
      </c>
      <c r="AG294" s="252" t="str">
        <f>IF(ISNUMBER(SEARCH("C", 'Dry_Litterbag Placem_Collection'!$T221)),"YES","NO")</f>
        <v>NO</v>
      </c>
      <c r="AH294" s="252" t="str">
        <f>IF(ISNUMBER(SEARCH("H", 'Dry_Litterbag Placem_Collection'!$T221)),"YES","NO")</f>
        <v>NO</v>
      </c>
      <c r="AI294" s="252" t="str">
        <f>IF(ISNUMBER(SEARCH("R", 'Dry_Litterbag Placem_Collection'!$T221)),"YES","NO")</f>
        <v>YES</v>
      </c>
      <c r="AJ294" s="252" t="str">
        <f>IF(ISNUMBER(SEARCH("C", 'Dry_Litterbag Placem_Collection'!$S221)),"YES","NO")</f>
        <v>NO</v>
      </c>
      <c r="AK294" s="252" t="str">
        <f>IF(ISNUMBER(SEARCH("H", 'Dry_Litterbag Placem_Collection'!$S221)),"YES","NO")</f>
        <v>YES</v>
      </c>
      <c r="AL294" s="252" t="str">
        <f>IF(ISNUMBER(SEARCH("R", 'Dry_Litterbag Placem_Collection'!$S221)),"YES","NO")</f>
        <v>YES</v>
      </c>
    </row>
    <row r="295" spans="2:38">
      <c r="B295" t="str">
        <f>'Final data_for_R_analysis_Dryse'!A221</f>
        <v>Dry</v>
      </c>
      <c r="C295" s="381">
        <f>'Final data_for_R_analysis_Dryse'!B221</f>
        <v>220</v>
      </c>
      <c r="D295" t="s">
        <v>2446</v>
      </c>
      <c r="E295" t="s">
        <v>22</v>
      </c>
      <c r="F295" s="382">
        <v>4</v>
      </c>
      <c r="G295" s="16">
        <f>IF('Dry_Litterbag Placem_Collection'!E222="","",'Dry_Litterbag Placem_Collection'!E222)</f>
        <v>42942</v>
      </c>
      <c r="H295" s="92" t="str">
        <f>'Final data_for_R_analysis_Dryse'!K221</f>
        <v>G39</v>
      </c>
      <c r="I295" s="92" t="str">
        <f>'Final data_for_R_analysis_Dryse'!K441</f>
        <v>R194</v>
      </c>
      <c r="J295">
        <f>IFERROR(INDEX('Green_rooibos initial weight'!$C$5:$C$2000,MATCH(H295, 'Green_rooibos initial weight'!$A$5:$A$2000,0)),"")</f>
        <v>2.0670000000000002</v>
      </c>
      <c r="K295">
        <f>IFERROR(INDEX('Green_rooibos initial weight'!$C$5:$C$2000,MATCH(I295, 'Green_rooibos initial weight'!$A$5:$A$2000,0)),"")</f>
        <v>2.149</v>
      </c>
      <c r="L295" s="194">
        <f t="shared" si="43"/>
        <v>1.8172000000000001</v>
      </c>
      <c r="M295" s="237">
        <f>AVERAGE(Ashed_controlls!$K$1:$K$11)</f>
        <v>5.5147656768714146</v>
      </c>
      <c r="N295" s="194">
        <f t="shared" si="39"/>
        <v>1.7169856781198929</v>
      </c>
      <c r="O295" s="194">
        <f t="shared" si="44"/>
        <v>1.8992</v>
      </c>
      <c r="P295" s="237">
        <f>AVERAGE(Ashed_controlls!$K$12:$K$14)</f>
        <v>2.2816647271287041</v>
      </c>
      <c r="Q295" s="194">
        <f t="shared" si="40"/>
        <v>1.8558666235023717</v>
      </c>
      <c r="R295" s="16">
        <f>IF('Dry_Litterbag Placem_Collection'!G222="","",'Dry_Litterbag Placem_Collection'!G222)</f>
        <v>43004</v>
      </c>
      <c r="S295" s="194" t="str">
        <f>IFERROR(INDEX('Both teabags AfterDry'!$D$3:$D$2000,MATCH(H295,'Both teabags AfterDry'!$A$3:$A$2000,0)),"")</f>
        <v/>
      </c>
      <c r="T295" s="194" t="str">
        <f>IFERROR(INDEX('Both teabags AfterDry'!$D$3:$D$2000,MATCH(I295,'Both teabags AfterDry'!$A$3:$A$2000,0)),"")</f>
        <v/>
      </c>
      <c r="U295" s="194" t="str">
        <f t="shared" si="45"/>
        <v/>
      </c>
      <c r="V295" s="194" t="str">
        <f t="shared" si="46"/>
        <v/>
      </c>
      <c r="W295" s="194" t="str">
        <f>IFERROR(INDEX('Ashed teabags dry'!$K$2:$K$2000,MATCH(H295,'Ashed teabags dry'!$A$2:$A$2000,0)),"")</f>
        <v/>
      </c>
      <c r="X295" s="194" t="str">
        <f>IFERROR(INDEX('Ashed teabags dry'!$K$2:$K$2000,MATCH(I295,'Ashed teabags dry'!$A$2:$A$2000,0)),"")</f>
        <v/>
      </c>
      <c r="Y295" s="194" t="str">
        <f t="shared" si="41"/>
        <v/>
      </c>
      <c r="Z295" s="194" t="str">
        <f t="shared" si="41"/>
        <v/>
      </c>
      <c r="AA295" s="194" t="str">
        <f t="shared" si="47"/>
        <v/>
      </c>
      <c r="AB295" s="194" t="str">
        <f t="shared" si="48"/>
        <v/>
      </c>
      <c r="AC295" s="194" t="str">
        <f t="shared" si="42"/>
        <v/>
      </c>
      <c r="AD295">
        <f t="shared" si="49"/>
        <v>62</v>
      </c>
      <c r="AE295" s="194" t="str">
        <f t="shared" si="50"/>
        <v/>
      </c>
      <c r="AF295" s="194" t="str">
        <f t="shared" si="51"/>
        <v/>
      </c>
      <c r="AG295" s="252" t="str">
        <f>IF(ISNUMBER(SEARCH("C", 'Dry_Litterbag Placem_Collection'!$T222)),"YES","NO")</f>
        <v>YES</v>
      </c>
      <c r="AH295" s="252" t="str">
        <f>IF(ISNUMBER(SEARCH("H", 'Dry_Litterbag Placem_Collection'!$T222)),"YES","NO")</f>
        <v>YES</v>
      </c>
      <c r="AI295" s="252" t="str">
        <f>IF(ISNUMBER(SEARCH("R", 'Dry_Litterbag Placem_Collection'!$T222)),"YES","NO")</f>
        <v>YES</v>
      </c>
      <c r="AJ295" s="252" t="str">
        <f>IF(ISNUMBER(SEARCH("C", 'Dry_Litterbag Placem_Collection'!$S222)),"YES","NO")</f>
        <v>NO</v>
      </c>
      <c r="AK295" s="252" t="str">
        <f>IF(ISNUMBER(SEARCH("H", 'Dry_Litterbag Placem_Collection'!$S222)),"YES","NO")</f>
        <v>NO</v>
      </c>
      <c r="AL295" s="252" t="str">
        <f>IF(ISNUMBER(SEARCH("R", 'Dry_Litterbag Placem_Collection'!$S222)),"YES","NO")</f>
        <v>YES</v>
      </c>
    </row>
    <row r="296" spans="2:38">
      <c r="B296" t="str">
        <f>'Final data_for_R_analysis_Dryse'!A442</f>
        <v>Dry</v>
      </c>
      <c r="C296" s="381">
        <f>'Final data_for_R_analysis_Dryse'!B442</f>
        <v>1</v>
      </c>
      <c r="D296" t="s">
        <v>3798</v>
      </c>
      <c r="E296" t="s">
        <v>25</v>
      </c>
      <c r="F296" s="381">
        <v>1</v>
      </c>
      <c r="G296" s="383">
        <f>IF('Dry_Litterbag Placem_Collection'!E3="","",'Dry_Litterbag Placem_Collection'!E3)</f>
        <v>42938</v>
      </c>
      <c r="H296" s="92" t="str">
        <f>'Final data_for_R_analysis_Dryse'!K442</f>
        <v>G377</v>
      </c>
      <c r="I296" s="92" t="str">
        <f>'Final data_for_R_analysis_Dryse'!K662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43"/>
        <v>1.8532000000000002</v>
      </c>
      <c r="M296" s="237">
        <f>AVERAGE(Ashed_controlls!$K$1:$K$11)</f>
        <v>5.5147656768714146</v>
      </c>
      <c r="N296" s="194">
        <f t="shared" si="39"/>
        <v>1.7510003624762192</v>
      </c>
      <c r="O296" s="194">
        <f t="shared" si="44"/>
        <v>1.9792000000000001</v>
      </c>
      <c r="P296" s="237">
        <f>AVERAGE(Ashed_controlls!$K$12:$K$14)</f>
        <v>2.2816647271287041</v>
      </c>
      <c r="Q296" s="194">
        <f t="shared" si="40"/>
        <v>1.9340412917206689</v>
      </c>
      <c r="R296" s="383">
        <f>IF('Dry_Litterbag Placem_Collection'!G3="","",'Dry_Litterbag Placem_Collection'!G3)</f>
        <v>43007</v>
      </c>
      <c r="S296" s="194">
        <f>IFERROR(INDEX('Both teabags AfterDry'!$D$3:$D$2000,MATCH(H296,'Both teabags AfterDry'!$A$3:$A$2000,0)),"")</f>
        <v>1.3894</v>
      </c>
      <c r="T296" s="194">
        <f>IFERROR(INDEX('Both teabags AfterDry'!$D$3:$D$2000,MATCH(I296,'Both teabags AfterDry'!$A$3:$A$2000,0)),"")</f>
        <v>1.8874</v>
      </c>
      <c r="U296" s="194">
        <f t="shared" si="45"/>
        <v>1.2387999999999999</v>
      </c>
      <c r="V296" s="194">
        <f t="shared" si="46"/>
        <v>1.7367999999999999</v>
      </c>
      <c r="W296" s="194">
        <f>IFERROR(INDEX('Ashed teabags dry'!$K$2:$K$2000,MATCH(H296,'Ashed teabags dry'!$A$2:$A$2000,0)),"")</f>
        <v>16.862567811935126</v>
      </c>
      <c r="X296" s="194">
        <f>IFERROR(INDEX('Ashed teabags dry'!$K$2:$K$2000,MATCH(I296,'Ashed teabags dry'!$A$2:$A$2000,0)),"")</f>
        <v>2.3391812865495751</v>
      </c>
      <c r="Y296" s="194">
        <f t="shared" si="41"/>
        <v>1.0299065099457476</v>
      </c>
      <c r="Z296" s="194">
        <f t="shared" si="41"/>
        <v>1.6961730994152069</v>
      </c>
      <c r="AA296" s="194">
        <f t="shared" si="47"/>
        <v>0.41181822002065116</v>
      </c>
      <c r="AB296" s="194">
        <f t="shared" si="48"/>
        <v>0.26998059079738657</v>
      </c>
      <c r="AC296" s="194">
        <f t="shared" si="42"/>
        <v>0.87700976534278829</v>
      </c>
      <c r="AD296">
        <f t="shared" si="49"/>
        <v>69</v>
      </c>
      <c r="AE296" s="194">
        <f t="shared" si="50"/>
        <v>0.5109047268163287</v>
      </c>
      <c r="AF296" s="194">
        <f t="shared" si="51"/>
        <v>8.8113491353737743E-3</v>
      </c>
      <c r="AG296" s="252" t="str">
        <f>IF(ISNUMBER(SEARCH("C", 'Dry_Litterbag Placem_Collection'!$V3)),"YES","NO")</f>
        <v>NO</v>
      </c>
      <c r="AH296" s="252" t="str">
        <f>IF(ISNUMBER(SEARCH("H", 'Dry_Litterbag Placem_Collection'!$V3)),"YES","NO")</f>
        <v>NO</v>
      </c>
      <c r="AI296" s="252" t="str">
        <f>IF(ISNUMBER(SEARCH("R", 'Dry_Litterbag Placem_Collection'!$V3)),"YES","NO")</f>
        <v>NO</v>
      </c>
      <c r="AJ296" s="252" t="str">
        <f>IF(ISNUMBER(SEARCH("C", 'Dry_Litterbag Placem_Collection'!$U3)),"YES","NO")</f>
        <v>NO</v>
      </c>
      <c r="AK296" s="252" t="str">
        <f>IF(ISNUMBER(SEARCH("H", 'Dry_Litterbag Placem_Collection'!$U3)),"YES","NO")</f>
        <v>NO</v>
      </c>
      <c r="AL296" s="252" t="str">
        <f>IF(ISNUMBER(SEARCH("R", 'Dry_Litterbag Placem_Collection'!$U3)),"YES","NO")</f>
        <v>YES</v>
      </c>
    </row>
    <row r="297" spans="2:38">
      <c r="B297" t="str">
        <f>'Final data_for_R_analysis_Dryse'!A443</f>
        <v>Dry</v>
      </c>
      <c r="C297" s="381">
        <f>'Final data_for_R_analysis_Dryse'!B443</f>
        <v>2</v>
      </c>
      <c r="D297" t="s">
        <v>3798</v>
      </c>
      <c r="E297" t="s">
        <v>25</v>
      </c>
      <c r="F297" s="381">
        <v>2</v>
      </c>
      <c r="G297" s="383" t="str">
        <f>IF('Dry_Litterbag Placem_Collection'!E4="","",'Dry_Litterbag Placem_Collection'!E4)</f>
        <v/>
      </c>
      <c r="H297" s="92" t="str">
        <f>'Final data_for_R_analysis_Dryse'!K443</f>
        <v/>
      </c>
      <c r="I297" s="92" t="str">
        <f>'Final data_for_R_analysis_Dryse'!K663</f>
        <v/>
      </c>
      <c r="J297" t="str">
        <f>IFERROR(INDEX('Green_rooibos initial weight'!$C$5:$C$2000,MATCH(H297, 'Green_rooibos initial weight'!$A$5:$A$2000,0)),"")</f>
        <v/>
      </c>
      <c r="K297" t="str">
        <f>IFERROR(INDEX('Green_rooibos initial weight'!$C$5:$C$2000,MATCH(I297, 'Green_rooibos initial weight'!$A$5:$A$2000,0)),"")</f>
        <v/>
      </c>
      <c r="L297" s="194" t="str">
        <f t="shared" si="43"/>
        <v/>
      </c>
      <c r="M297" s="237">
        <f>AVERAGE(Ashed_controlls!$K$1:$K$11)</f>
        <v>5.5147656768714146</v>
      </c>
      <c r="N297" s="194" t="str">
        <f t="shared" si="39"/>
        <v/>
      </c>
      <c r="O297" s="194" t="str">
        <f t="shared" si="44"/>
        <v/>
      </c>
      <c r="P297" s="237">
        <f>AVERAGE(Ashed_controlls!$K$12:$K$14)</f>
        <v>2.2816647271287041</v>
      </c>
      <c r="Q297" s="194" t="str">
        <f t="shared" si="40"/>
        <v/>
      </c>
      <c r="R297" s="383" t="str">
        <f>IF('Dry_Litterbag Placem_Collection'!G4="","",'Dry_Litterbag Placem_Collection'!G4)</f>
        <v/>
      </c>
      <c r="S297" s="194" t="str">
        <f>IFERROR(INDEX('Both teabags AfterDry'!$D$3:$D$2000,MATCH(H297,'Both teabags AfterDry'!$A$3:$A$2000,0)),"")</f>
        <v/>
      </c>
      <c r="T297" s="194" t="str">
        <f>IFERROR(INDEX('Both teabags AfterDry'!$D$3:$D$2000,MATCH(I297,'Both teabags AfterDry'!$A$3:$A$2000,0)),"")</f>
        <v/>
      </c>
      <c r="U297" s="194" t="str">
        <f t="shared" si="45"/>
        <v/>
      </c>
      <c r="V297" s="194" t="str">
        <f t="shared" si="46"/>
        <v/>
      </c>
      <c r="W297" s="194" t="str">
        <f>IFERROR(INDEX('Ashed teabags dry'!$K$2:$K$2000,MATCH(H297,'Ashed teabags dry'!$A$2:$A$2000,0)),"")</f>
        <v/>
      </c>
      <c r="X297" s="194" t="str">
        <f>IFERROR(INDEX('Ashed teabags dry'!$K$2:$K$2000,MATCH(I297,'Ashed teabags dry'!$A$2:$A$2000,0)),"")</f>
        <v/>
      </c>
      <c r="Y297" s="194" t="str">
        <f t="shared" si="41"/>
        <v/>
      </c>
      <c r="Z297" s="194" t="str">
        <f t="shared" si="41"/>
        <v/>
      </c>
      <c r="AA297" s="194" t="str">
        <f t="shared" si="47"/>
        <v/>
      </c>
      <c r="AB297" s="194" t="str">
        <f t="shared" si="48"/>
        <v/>
      </c>
      <c r="AC297" s="194" t="str">
        <f t="shared" si="42"/>
        <v/>
      </c>
      <c r="AD297" t="str">
        <f t="shared" si="49"/>
        <v/>
      </c>
      <c r="AE297" s="194" t="str">
        <f t="shared" si="50"/>
        <v/>
      </c>
      <c r="AF297" s="194" t="str">
        <f t="shared" si="51"/>
        <v/>
      </c>
      <c r="AG297" s="252" t="str">
        <f>IF(ISNUMBER(SEARCH("C", 'Dry_Litterbag Placem_Collection'!$V4)),"YES","NO")</f>
        <v>NO</v>
      </c>
      <c r="AH297" s="252" t="str">
        <f>IF(ISNUMBER(SEARCH("H", 'Dry_Litterbag Placem_Collection'!$V4)),"YES","NO")</f>
        <v>NO</v>
      </c>
      <c r="AI297" s="252" t="str">
        <f>IF(ISNUMBER(SEARCH("R", 'Dry_Litterbag Placem_Collection'!$V4)),"YES","NO")</f>
        <v>NO</v>
      </c>
      <c r="AJ297" s="252" t="str">
        <f>IF(ISNUMBER(SEARCH("C", 'Dry_Litterbag Placem_Collection'!$U4)),"YES","NO")</f>
        <v>NO</v>
      </c>
      <c r="AK297" s="252" t="str">
        <f>IF(ISNUMBER(SEARCH("H", 'Dry_Litterbag Placem_Collection'!$U4)),"YES","NO")</f>
        <v>NO</v>
      </c>
      <c r="AL297" s="252" t="str">
        <f>IF(ISNUMBER(SEARCH("R", 'Dry_Litterbag Placem_Collection'!$U4)),"YES","NO")</f>
        <v>NO</v>
      </c>
    </row>
    <row r="298" spans="2:38">
      <c r="B298" t="str">
        <f>'Final data_for_R_analysis_Dryse'!A444</f>
        <v>Dry</v>
      </c>
      <c r="C298" s="260">
        <f>'Final data_for_R_analysis_Dryse'!B444</f>
        <v>3</v>
      </c>
      <c r="D298" t="s">
        <v>3798</v>
      </c>
      <c r="E298" t="s">
        <v>25</v>
      </c>
      <c r="F298" s="381">
        <v>3</v>
      </c>
      <c r="G298" s="383">
        <f>IF('Dry_Litterbag Placem_Collection'!E5="","",'Dry_Litterbag Placem_Collection'!E5)</f>
        <v>42938</v>
      </c>
      <c r="H298" s="92" t="str">
        <f>'Final data_for_R_analysis_Dryse'!K444</f>
        <v>G44</v>
      </c>
      <c r="I298" t="str">
        <f>'Final data_for_R_analysis_Dryse'!K664</f>
        <v>R283</v>
      </c>
      <c r="J298">
        <f>IFERROR(INDEX('Green_rooibos initial weight'!$C$5:$C$2000,MATCH(H298, 'Green_rooibos initial weight'!$A$5:$A$2000,0)),"")</f>
        <v>2.0680000000000001</v>
      </c>
      <c r="K298">
        <f>IFERROR(INDEX('Green_rooibos initial weight'!$C$5:$C$2000,MATCH(I298, 'Green_rooibos initial weight'!$A$5:$A$2000,0)),"")</f>
        <v>2.21</v>
      </c>
      <c r="L298" s="194">
        <f t="shared" si="43"/>
        <v>1.8182</v>
      </c>
      <c r="M298" s="237">
        <f>AVERAGE(Ashed_controlls!$K$1:$K$11)</f>
        <v>5.5147656768714146</v>
      </c>
      <c r="N298" s="194">
        <f t="shared" si="39"/>
        <v>1.7179305304631241</v>
      </c>
      <c r="O298" s="194">
        <f t="shared" si="44"/>
        <v>1.9601999999999999</v>
      </c>
      <c r="P298" s="237">
        <f>AVERAGE(Ashed_controlls!$K$12:$K$14)</f>
        <v>2.2816647271287041</v>
      </c>
      <c r="Q298" s="194">
        <f t="shared" si="40"/>
        <v>1.9154748080188231</v>
      </c>
      <c r="R298" s="383">
        <f>IF('Dry_Litterbag Placem_Collection'!G5="","",'Dry_Litterbag Placem_Collection'!G5)</f>
        <v>43007</v>
      </c>
      <c r="S298" s="194">
        <f>IFERROR(INDEX('Both teabags AfterDry'!$D$3:$D$2000,MATCH(H298,'Both teabags AfterDry'!$A$3:$A$2000,0)),"")</f>
        <v>1.5553999999999999</v>
      </c>
      <c r="T298" s="194">
        <f>IFERROR(INDEX('Both teabags AfterDry'!$D$3:$D$2000,MATCH(I298,'Both teabags AfterDry'!$A$3:$A$2000,0)),"")</f>
        <v>1.9180999999999999</v>
      </c>
      <c r="U298" s="194">
        <f t="shared" si="45"/>
        <v>1.4047999999999998</v>
      </c>
      <c r="V298" s="194">
        <f t="shared" si="46"/>
        <v>1.7674999999999998</v>
      </c>
      <c r="W298" s="194">
        <f>IFERROR(INDEX('Ashed teabags dry'!$K$2:$K$2000,MATCH(H298,'Ashed teabags dry'!$A$2:$A$2000,0)),"")</f>
        <v>10.622710622710303</v>
      </c>
      <c r="X298" s="194">
        <f>IFERROR(INDEX('Ashed teabags dry'!$K$2:$K$2000,MATCH(I298,'Ashed teabags dry'!$A$2:$A$2000,0)),"")</f>
        <v>2.5675077467904308</v>
      </c>
      <c r="Y298" s="194">
        <f t="shared" si="41"/>
        <v>1.2555721611721655</v>
      </c>
      <c r="Z298" s="194">
        <f t="shared" si="41"/>
        <v>1.7221193005754789</v>
      </c>
      <c r="AA298" s="194">
        <f t="shared" si="47"/>
        <v>0.26913682543747264</v>
      </c>
      <c r="AB298" s="194">
        <f t="shared" si="48"/>
        <v>0.17644124422979202</v>
      </c>
      <c r="AC298" s="194">
        <f t="shared" si="42"/>
        <v>0.89905609479493398</v>
      </c>
      <c r="AD298">
        <f t="shared" si="49"/>
        <v>69</v>
      </c>
      <c r="AE298" s="194">
        <f t="shared" si="50"/>
        <v>0.68036006480110145</v>
      </c>
      <c r="AF298" s="194">
        <f t="shared" si="51"/>
        <v>1.2302761103499002E-2</v>
      </c>
      <c r="AG298" s="252" t="str">
        <f>IF(ISNUMBER(SEARCH("C", 'Dry_Litterbag Placem_Collection'!$V5)),"YES","NO")</f>
        <v>NO</v>
      </c>
      <c r="AH298" s="252" t="str">
        <f>IF(ISNUMBER(SEARCH("H", 'Dry_Litterbag Placem_Collection'!$V5)),"YES","NO")</f>
        <v>NO</v>
      </c>
      <c r="AI298" s="252" t="str">
        <f>IF(ISNUMBER(SEARCH("R", 'Dry_Litterbag Placem_Collection'!$V5)),"YES","NO")</f>
        <v>NO</v>
      </c>
      <c r="AJ298" s="252" t="str">
        <f>IF(ISNUMBER(SEARCH("C", 'Dry_Litterbag Placem_Collection'!$U5)),"YES","NO")</f>
        <v>NO</v>
      </c>
      <c r="AK298" s="252" t="str">
        <f>IF(ISNUMBER(SEARCH("H", 'Dry_Litterbag Placem_Collection'!$U5)),"YES","NO")</f>
        <v>NO</v>
      </c>
      <c r="AL298" s="252" t="str">
        <f>IF(ISNUMBER(SEARCH("R", 'Dry_Litterbag Placem_Collection'!$U5)),"YES","NO")</f>
        <v>YES</v>
      </c>
    </row>
    <row r="299" spans="2:38">
      <c r="B299" t="str">
        <f>'Final data_for_R_analysis_Dryse'!A445</f>
        <v>Dry</v>
      </c>
      <c r="C299" s="260">
        <f>'Final data_for_R_analysis_Dryse'!B445</f>
        <v>4</v>
      </c>
      <c r="D299" t="s">
        <v>3798</v>
      </c>
      <c r="E299" t="s">
        <v>25</v>
      </c>
      <c r="F299" s="382">
        <v>4</v>
      </c>
      <c r="G299" s="383">
        <f>IF('Dry_Litterbag Placem_Collection'!E6="","",'Dry_Litterbag Placem_Collection'!E6)</f>
        <v>42938</v>
      </c>
      <c r="H299" s="92" t="str">
        <f>'Final data_for_R_analysis_Dryse'!K445</f>
        <v>G357</v>
      </c>
      <c r="I299" t="str">
        <f>'Final data_for_R_analysis_Dryse'!K665</f>
        <v>R298</v>
      </c>
      <c r="J299">
        <f>IFERROR(INDEX('Green_rooibos initial weight'!$C$5:$C$2000,MATCH(H299, 'Green_rooibos initial weight'!$A$5:$A$2000,0)),"")</f>
        <v>1.996</v>
      </c>
      <c r="K299">
        <f>IFERROR(INDEX('Green_rooibos initial weight'!$C$5:$C$2000,MATCH(I299, 'Green_rooibos initial weight'!$A$5:$A$2000,0)),"")</f>
        <v>2.2229999999999999</v>
      </c>
      <c r="L299" s="194">
        <f t="shared" si="43"/>
        <v>1.7462</v>
      </c>
      <c r="M299" s="237">
        <f>AVERAGE(Ashed_controlls!$K$1:$K$11)</f>
        <v>5.5147656768714146</v>
      </c>
      <c r="N299" s="194">
        <f t="shared" si="39"/>
        <v>1.6499011617504713</v>
      </c>
      <c r="O299" s="194">
        <f t="shared" si="44"/>
        <v>1.9731999999999998</v>
      </c>
      <c r="P299" s="237">
        <f>AVERAGE(Ashed_controlls!$K$12:$K$14)</f>
        <v>2.2816647271287041</v>
      </c>
      <c r="Q299" s="194">
        <f t="shared" si="40"/>
        <v>1.9281781916042962</v>
      </c>
      <c r="R299" s="383">
        <f>IF('Dry_Litterbag Placem_Collection'!G6="","",'Dry_Litterbag Placem_Collection'!G6)</f>
        <v>43007</v>
      </c>
      <c r="S299" s="194">
        <f>IFERROR(INDEX('Both teabags AfterDry'!$D$3:$D$2000,MATCH(H299,'Both teabags AfterDry'!$A$3:$A$2000,0)),"")</f>
        <v>1.6417999999999999</v>
      </c>
      <c r="T299" s="194">
        <f>IFERROR(INDEX('Both teabags AfterDry'!$D$3:$D$2000,MATCH(I299,'Both teabags AfterDry'!$A$3:$A$2000,0)),"")</f>
        <v>1.9487000000000001</v>
      </c>
      <c r="U299" s="194">
        <f t="shared" si="45"/>
        <v>1.4911999999999999</v>
      </c>
      <c r="V299" s="194">
        <f t="shared" si="46"/>
        <v>1.7981</v>
      </c>
      <c r="W299" s="194">
        <f>IFERROR(INDEX('Ashed teabags dry'!$K$2:$K$2000,MATCH(H299,'Ashed teabags dry'!$A$2:$A$2000,0)),"")</f>
        <v>6.3956144358153066</v>
      </c>
      <c r="X299" s="194">
        <f>IFERROR(INDEX('Ashed teabags dry'!$K$2:$K$2000,MATCH(I299,'Ashed teabags dry'!$A$2:$A$2000,0)),"")</f>
        <v>2.1226415094341604</v>
      </c>
      <c r="Y299" s="194">
        <f t="shared" si="41"/>
        <v>1.3958285975331219</v>
      </c>
      <c r="Z299" s="194">
        <f t="shared" si="41"/>
        <v>1.7599327830188645</v>
      </c>
      <c r="AA299" s="194">
        <f t="shared" si="47"/>
        <v>0.15399259671275689</v>
      </c>
      <c r="AB299" s="194">
        <f t="shared" si="48"/>
        <v>0.10095476649102354</v>
      </c>
      <c r="AC299" s="194">
        <f t="shared" si="42"/>
        <v>0.91274384840674561</v>
      </c>
      <c r="AD299">
        <f t="shared" si="49"/>
        <v>69</v>
      </c>
      <c r="AE299" s="194">
        <f t="shared" si="50"/>
        <v>0.81711093026988491</v>
      </c>
      <c r="AF299" s="194">
        <f t="shared" si="51"/>
        <v>2.8947504849692458E-2</v>
      </c>
      <c r="AG299" s="252" t="str">
        <f>IF(ISNUMBER(SEARCH("C", 'Dry_Litterbag Placem_Collection'!$V6)),"YES","NO")</f>
        <v>NO</v>
      </c>
      <c r="AH299" s="252" t="str">
        <f>IF(ISNUMBER(SEARCH("H", 'Dry_Litterbag Placem_Collection'!$V6)),"YES","NO")</f>
        <v>NO</v>
      </c>
      <c r="AI299" s="252" t="str">
        <f>IF(ISNUMBER(SEARCH("R", 'Dry_Litterbag Placem_Collection'!$V6)),"YES","NO")</f>
        <v>NO</v>
      </c>
      <c r="AJ299" s="252" t="str">
        <f>IF(ISNUMBER(SEARCH("C", 'Dry_Litterbag Placem_Collection'!$U6)),"YES","NO")</f>
        <v>NO</v>
      </c>
      <c r="AK299" s="252" t="str">
        <f>IF(ISNUMBER(SEARCH("H", 'Dry_Litterbag Placem_Collection'!$U6)),"YES","NO")</f>
        <v>NO</v>
      </c>
      <c r="AL299" s="252" t="str">
        <f>IF(ISNUMBER(SEARCH("R", 'Dry_Litterbag Placem_Collection'!$U6)),"YES","NO")</f>
        <v>NO</v>
      </c>
    </row>
    <row r="300" spans="2:38">
      <c r="B300" t="str">
        <f>'Final data_for_R_analysis_Dryse'!A446</f>
        <v>Dry</v>
      </c>
      <c r="C300" s="260">
        <f>'Final data_for_R_analysis_Dryse'!B446</f>
        <v>5</v>
      </c>
      <c r="D300" t="s">
        <v>3798</v>
      </c>
      <c r="E300" t="s">
        <v>25</v>
      </c>
      <c r="F300" s="382">
        <v>5</v>
      </c>
      <c r="G300" s="383">
        <f>IF('Dry_Litterbag Placem_Collection'!E7="","",'Dry_Litterbag Placem_Collection'!E7)</f>
        <v>42938</v>
      </c>
      <c r="H300" s="92" t="str">
        <f>'Final data_for_R_analysis_Dryse'!K446</f>
        <v>G734</v>
      </c>
      <c r="I300" t="str">
        <f>'Final data_for_R_analysis_Dryse'!K666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43"/>
        <v>1.7372000000000001</v>
      </c>
      <c r="M300" s="237">
        <f>AVERAGE(Ashed_controlls!$K$1:$K$11)</f>
        <v>5.5147656768714146</v>
      </c>
      <c r="N300" s="194">
        <f t="shared" si="39"/>
        <v>1.64139749066139</v>
      </c>
      <c r="O300" s="194">
        <f t="shared" si="44"/>
        <v>1.9912000000000001</v>
      </c>
      <c r="P300" s="237">
        <f>AVERAGE(Ashed_controlls!$K$12:$K$14)</f>
        <v>2.2816647271287041</v>
      </c>
      <c r="Q300" s="194">
        <f t="shared" si="40"/>
        <v>1.9457674919534134</v>
      </c>
      <c r="R300" s="383" t="str">
        <f>IF('Dry_Litterbag Placem_Collection'!G7="","",'Dry_Litterbag Placem_Collection'!G7)</f>
        <v/>
      </c>
      <c r="S300" s="194" t="str">
        <f>IFERROR(INDEX('Both teabags AfterDry'!$D$3:$D$2000,MATCH(H300,'Both teabags AfterDry'!$A$3:$A$2000,0)),"")</f>
        <v/>
      </c>
      <c r="T300" s="194" t="str">
        <f>IFERROR(INDEX('Both teabags AfterDry'!$D$3:$D$2000,MATCH(I300,'Both teabags AfterDry'!$A$3:$A$2000,0)),"")</f>
        <v/>
      </c>
      <c r="U300" s="194" t="str">
        <f t="shared" si="45"/>
        <v/>
      </c>
      <c r="V300" s="194" t="str">
        <f t="shared" si="46"/>
        <v/>
      </c>
      <c r="W300" s="194" t="str">
        <f>IFERROR(INDEX('Ashed teabags dry'!$K$2:$K$2000,MATCH(H300,'Ashed teabags dry'!$A$2:$A$2000,0)),"")</f>
        <v/>
      </c>
      <c r="X300" s="194" t="str">
        <f>IFERROR(INDEX('Ashed teabags dry'!$K$2:$K$2000,MATCH(I300,'Ashed teabags dry'!$A$2:$A$2000,0)),"")</f>
        <v/>
      </c>
      <c r="Y300" s="194" t="str">
        <f t="shared" si="41"/>
        <v/>
      </c>
      <c r="Z300" s="194" t="str">
        <f t="shared" si="41"/>
        <v/>
      </c>
      <c r="AA300" s="194" t="str">
        <f t="shared" si="47"/>
        <v/>
      </c>
      <c r="AB300" s="194" t="str">
        <f t="shared" si="48"/>
        <v/>
      </c>
      <c r="AC300" s="194" t="str">
        <f t="shared" si="42"/>
        <v/>
      </c>
      <c r="AD300" t="str">
        <f t="shared" si="49"/>
        <v/>
      </c>
      <c r="AE300" s="194" t="str">
        <f t="shared" si="50"/>
        <v/>
      </c>
      <c r="AF300" s="194" t="str">
        <f t="shared" si="51"/>
        <v/>
      </c>
      <c r="AG300" s="252" t="str">
        <f>IF(ISNUMBER(SEARCH("C", 'Dry_Litterbag Placem_Collection'!$V7)),"YES","NO")</f>
        <v>NO</v>
      </c>
      <c r="AH300" s="252" t="str">
        <f>IF(ISNUMBER(SEARCH("H", 'Dry_Litterbag Placem_Collection'!$V7)),"YES","NO")</f>
        <v>NO</v>
      </c>
      <c r="AI300" s="252" t="str">
        <f>IF(ISNUMBER(SEARCH("R", 'Dry_Litterbag Placem_Collection'!$V7)),"YES","NO")</f>
        <v>NO</v>
      </c>
      <c r="AJ300" s="252" t="str">
        <f>IF(ISNUMBER(SEARCH("C", 'Dry_Litterbag Placem_Collection'!$U7)),"YES","NO")</f>
        <v>NO</v>
      </c>
      <c r="AK300" s="252" t="str">
        <f>IF(ISNUMBER(SEARCH("H", 'Dry_Litterbag Placem_Collection'!$U7)),"YES","NO")</f>
        <v>NO</v>
      </c>
      <c r="AL300" s="252" t="str">
        <f>IF(ISNUMBER(SEARCH("R", 'Dry_Litterbag Placem_Collection'!$U7)),"YES","NO")</f>
        <v>NO</v>
      </c>
    </row>
    <row r="301" spans="2:38">
      <c r="B301" t="str">
        <f>'Final data_for_R_analysis_Dryse'!A447</f>
        <v>Dry</v>
      </c>
      <c r="C301" s="260">
        <f>'Final data_for_R_analysis_Dryse'!B447</f>
        <v>6</v>
      </c>
      <c r="D301" t="s">
        <v>3798</v>
      </c>
      <c r="E301" t="s">
        <v>25</v>
      </c>
      <c r="F301" s="382">
        <v>6</v>
      </c>
      <c r="G301" s="383">
        <f>IF('Dry_Litterbag Placem_Collection'!E8="","",'Dry_Litterbag Placem_Collection'!E8)</f>
        <v>42938</v>
      </c>
      <c r="H301" s="92" t="str">
        <f>'Final data_for_R_analysis_Dryse'!K447</f>
        <v>G164</v>
      </c>
      <c r="I301" t="str">
        <f>'Final data_for_R_analysis_Dryse'!K667</f>
        <v>R286</v>
      </c>
      <c r="J301">
        <f>IFERROR(INDEX('Green_rooibos initial weight'!$C$5:$C$2000,MATCH(H301, 'Green_rooibos initial weight'!$A$5:$A$2000,0)),"")</f>
        <v>1.994</v>
      </c>
      <c r="K301">
        <f>IFERROR(INDEX('Green_rooibos initial weight'!$C$5:$C$2000,MATCH(I301, 'Green_rooibos initial weight'!$A$5:$A$2000,0)),"")</f>
        <v>2.2160000000000002</v>
      </c>
      <c r="L301" s="194">
        <f t="shared" si="43"/>
        <v>1.7442</v>
      </c>
      <c r="M301" s="237">
        <f>AVERAGE(Ashed_controlls!$K$1:$K$11)</f>
        <v>5.5147656768714146</v>
      </c>
      <c r="N301" s="194">
        <f t="shared" si="39"/>
        <v>1.6480114570640088</v>
      </c>
      <c r="O301" s="194">
        <f t="shared" si="44"/>
        <v>1.9662000000000002</v>
      </c>
      <c r="P301" s="237">
        <f>AVERAGE(Ashed_controlls!$K$12:$K$14)</f>
        <v>2.2816647271287041</v>
      </c>
      <c r="Q301" s="194">
        <f t="shared" si="40"/>
        <v>1.9213379081351956</v>
      </c>
      <c r="R301" s="383">
        <f>IF('Dry_Litterbag Placem_Collection'!G8="","",'Dry_Litterbag Placem_Collection'!G8)</f>
        <v>43007</v>
      </c>
      <c r="S301" s="194" t="str">
        <f>IFERROR(INDEX('Both teabags AfterDry'!$D$3:$D$2000,MATCH(H301,'Both teabags AfterDry'!$A$3:$A$2000,0)),"")</f>
        <v/>
      </c>
      <c r="T301" s="194" t="str">
        <f>IFERROR(INDEX('Both teabags AfterDry'!$D$3:$D$2000,MATCH(I301,'Both teabags AfterDry'!$A$3:$A$2000,0)),"")</f>
        <v/>
      </c>
      <c r="U301" s="194" t="str">
        <f t="shared" si="45"/>
        <v/>
      </c>
      <c r="V301" s="194" t="str">
        <f t="shared" si="46"/>
        <v/>
      </c>
      <c r="W301" s="194" t="str">
        <f>IFERROR(INDEX('Ashed teabags dry'!$K$2:$K$2000,MATCH(H301,'Ashed teabags dry'!$A$2:$A$2000,0)),"")</f>
        <v/>
      </c>
      <c r="X301" s="194" t="str">
        <f>IFERROR(INDEX('Ashed teabags dry'!$K$2:$K$2000,MATCH(I301,'Ashed teabags dry'!$A$2:$A$2000,0)),"")</f>
        <v/>
      </c>
      <c r="Y301" s="194" t="str">
        <f t="shared" si="41"/>
        <v/>
      </c>
      <c r="Z301" s="194" t="str">
        <f t="shared" si="41"/>
        <v/>
      </c>
      <c r="AA301" s="194" t="str">
        <f t="shared" si="47"/>
        <v/>
      </c>
      <c r="AB301" s="194" t="str">
        <f t="shared" si="48"/>
        <v/>
      </c>
      <c r="AC301" s="194" t="str">
        <f t="shared" si="42"/>
        <v/>
      </c>
      <c r="AD301">
        <f t="shared" si="49"/>
        <v>69</v>
      </c>
      <c r="AE301" s="194" t="str">
        <f t="shared" si="50"/>
        <v/>
      </c>
      <c r="AF301" s="194" t="str">
        <f t="shared" si="51"/>
        <v/>
      </c>
      <c r="AG301" s="252" t="str">
        <f>IF(ISNUMBER(SEARCH("C", 'Dry_Litterbag Placem_Collection'!$V8)),"YES","NO")</f>
        <v>NO</v>
      </c>
      <c r="AH301" s="252" t="str">
        <f>IF(ISNUMBER(SEARCH("H", 'Dry_Litterbag Placem_Collection'!$V8)),"YES","NO")</f>
        <v>NO</v>
      </c>
      <c r="AI301" s="252" t="str">
        <f>IF(ISNUMBER(SEARCH("R", 'Dry_Litterbag Placem_Collection'!$V8)),"YES","NO")</f>
        <v>NO</v>
      </c>
      <c r="AJ301" s="252" t="str">
        <f>IF(ISNUMBER(SEARCH("C", 'Dry_Litterbag Placem_Collection'!$U8)),"YES","NO")</f>
        <v>NO</v>
      </c>
      <c r="AK301" s="252" t="str">
        <f>IF(ISNUMBER(SEARCH("H", 'Dry_Litterbag Placem_Collection'!$U8)),"YES","NO")</f>
        <v>NO</v>
      </c>
      <c r="AL301" s="252" t="str">
        <f>IF(ISNUMBER(SEARCH("R", 'Dry_Litterbag Placem_Collection'!$U8)),"YES","NO")</f>
        <v>NO</v>
      </c>
    </row>
    <row r="302" spans="2:38">
      <c r="B302" t="str">
        <f>'Final data_for_R_analysis_Dryse'!A448</f>
        <v>Dry</v>
      </c>
      <c r="C302" s="260">
        <f>'Final data_for_R_analysis_Dryse'!B448</f>
        <v>7</v>
      </c>
      <c r="D302" t="s">
        <v>3798</v>
      </c>
      <c r="E302" t="s">
        <v>25</v>
      </c>
      <c r="F302" s="382">
        <v>7</v>
      </c>
      <c r="G302" s="383">
        <f>IF('Dry_Litterbag Placem_Collection'!E9="","",'Dry_Litterbag Placem_Collection'!E9)</f>
        <v>42938</v>
      </c>
      <c r="H302" s="92" t="str">
        <f>'Final data_for_R_analysis_Dryse'!K448</f>
        <v>G776</v>
      </c>
      <c r="I302" t="str">
        <f>'Final data_for_R_analysis_Dryse'!K668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43"/>
        <v>1.7292000000000001</v>
      </c>
      <c r="M302" s="237">
        <f>AVERAGE(Ashed_controlls!$K$1:$K$11)</f>
        <v>5.5147656768714146</v>
      </c>
      <c r="N302" s="194">
        <f t="shared" si="39"/>
        <v>1.6338386719155396</v>
      </c>
      <c r="O302" s="194">
        <f t="shared" si="44"/>
        <v>1.9931999999999999</v>
      </c>
      <c r="P302" s="237">
        <f>AVERAGE(Ashed_controlls!$K$12:$K$14)</f>
        <v>2.2816647271287041</v>
      </c>
      <c r="Q302" s="194">
        <f t="shared" si="40"/>
        <v>1.9477218586588705</v>
      </c>
      <c r="R302" s="383">
        <f>IF('Dry_Litterbag Placem_Collection'!G9="","",'Dry_Litterbag Placem_Collection'!G9)</f>
        <v>43007</v>
      </c>
      <c r="S302" s="194">
        <f>IFERROR(INDEX('Both teabags AfterDry'!$D$3:$D$2000,MATCH(H302,'Both teabags AfterDry'!$A$3:$A$2000,0)),"")</f>
        <v>1.8093999999999999</v>
      </c>
      <c r="T302" s="194">
        <f>IFERROR(INDEX('Both teabags AfterDry'!$D$3:$D$2000,MATCH(I302,'Both teabags AfterDry'!$A$3:$A$2000,0)),"")</f>
        <v>2.0261</v>
      </c>
      <c r="U302" s="194">
        <f t="shared" si="45"/>
        <v>1.6587999999999998</v>
      </c>
      <c r="V302" s="194">
        <f t="shared" si="46"/>
        <v>1.8754999999999999</v>
      </c>
      <c r="W302" s="194">
        <f>IFERROR(INDEX('Ashed teabags dry'!$K$2:$K$2000,MATCH(H302,'Ashed teabags dry'!$A$2:$A$2000,0)),"")</f>
        <v>5.924510272335799</v>
      </c>
      <c r="X302" s="194">
        <f>IFERROR(INDEX('Ashed teabags dry'!$K$2:$K$2000,MATCH(I302,'Ashed teabags dry'!$A$2:$A$2000,0)),"")</f>
        <v>3.0331753554506005</v>
      </c>
      <c r="Y302" s="194">
        <f t="shared" si="41"/>
        <v>1.5605242236024937</v>
      </c>
      <c r="Z302" s="194">
        <f t="shared" si="41"/>
        <v>1.8186127962085239</v>
      </c>
      <c r="AA302" s="194">
        <f t="shared" si="47"/>
        <v>4.4872513775849665E-2</v>
      </c>
      <c r="AB302" s="194">
        <f t="shared" si="48"/>
        <v>2.9417609981317146E-2</v>
      </c>
      <c r="AC302" s="194">
        <f t="shared" si="42"/>
        <v>0.93371278251236223</v>
      </c>
      <c r="AD302">
        <f t="shared" si="49"/>
        <v>69</v>
      </c>
      <c r="AE302" s="194">
        <f t="shared" si="50"/>
        <v>0.94670722829471532</v>
      </c>
      <c r="AF302" s="194" t="str">
        <f t="shared" si="51"/>
        <v/>
      </c>
      <c r="AG302" s="252" t="str">
        <f>IF(ISNUMBER(SEARCH("C", 'Dry_Litterbag Placem_Collection'!$V9)),"YES","NO")</f>
        <v>NO</v>
      </c>
      <c r="AH302" s="252" t="str">
        <f>IF(ISNUMBER(SEARCH("H", 'Dry_Litterbag Placem_Collection'!$V9)),"YES","NO")</f>
        <v>NO</v>
      </c>
      <c r="AI302" s="252" t="str">
        <f>IF(ISNUMBER(SEARCH("R", 'Dry_Litterbag Placem_Collection'!$V9)),"YES","NO")</f>
        <v>NO</v>
      </c>
      <c r="AJ302" s="252" t="str">
        <f>IF(ISNUMBER(SEARCH("C", 'Dry_Litterbag Placem_Collection'!$U9)),"YES","NO")</f>
        <v>NO</v>
      </c>
      <c r="AK302" s="252" t="str">
        <f>IF(ISNUMBER(SEARCH("H", 'Dry_Litterbag Placem_Collection'!$U9)),"YES","NO")</f>
        <v>NO</v>
      </c>
      <c r="AL302" s="252" t="str">
        <f>IF(ISNUMBER(SEARCH("R", 'Dry_Litterbag Placem_Collection'!$U9)),"YES","NO")</f>
        <v>NO</v>
      </c>
    </row>
    <row r="303" spans="2:38">
      <c r="B303" t="str">
        <f>'Final data_for_R_analysis_Dryse'!A449</f>
        <v>Dry</v>
      </c>
      <c r="C303" s="260">
        <f>'Final data_for_R_analysis_Dryse'!B449</f>
        <v>8</v>
      </c>
      <c r="D303" t="s">
        <v>3798</v>
      </c>
      <c r="E303" t="s">
        <v>25</v>
      </c>
      <c r="F303" s="382">
        <v>8</v>
      </c>
      <c r="G303" s="383">
        <f>IF('Dry_Litterbag Placem_Collection'!E10="","",'Dry_Litterbag Placem_Collection'!E10)</f>
        <v>42938</v>
      </c>
      <c r="H303" s="92" t="str">
        <f>'Final data_for_R_analysis_Dryse'!K449</f>
        <v>G23</v>
      </c>
      <c r="I303" t="str">
        <f>'Final data_for_R_analysis_Dryse'!K669</f>
        <v>R213</v>
      </c>
      <c r="J303">
        <f>IFERROR(INDEX('Green_rooibos initial weight'!$C$5:$C$2000,MATCH(H303, 'Green_rooibos initial weight'!$A$5:$A$2000,0)),"")</f>
        <v>2.0750000000000002</v>
      </c>
      <c r="K303">
        <f>IFERROR(INDEX('Green_rooibos initial weight'!$C$5:$C$2000,MATCH(I303, 'Green_rooibos initial weight'!$A$5:$A$2000,0)),"")</f>
        <v>2.254</v>
      </c>
      <c r="L303" s="194">
        <f t="shared" si="43"/>
        <v>1.8252000000000002</v>
      </c>
      <c r="M303" s="237">
        <f>AVERAGE(Ashed_controlls!$K$1:$K$11)</f>
        <v>5.5147656768714146</v>
      </c>
      <c r="N303" s="194">
        <f t="shared" si="39"/>
        <v>1.7245444968657431</v>
      </c>
      <c r="O303" s="194">
        <f t="shared" si="44"/>
        <v>2.0042</v>
      </c>
      <c r="P303" s="237">
        <f>AVERAGE(Ashed_controlls!$K$12:$K$14)</f>
        <v>2.2816647271287041</v>
      </c>
      <c r="Q303" s="194">
        <f t="shared" si="40"/>
        <v>1.9584708755388864</v>
      </c>
      <c r="R303" s="383">
        <f>IF('Dry_Litterbag Placem_Collection'!G10="","",'Dry_Litterbag Placem_Collection'!G10)</f>
        <v>43007</v>
      </c>
      <c r="S303" s="194">
        <f>IFERROR(INDEX('Both teabags AfterDry'!$D$3:$D$2000,MATCH(H303,'Both teabags AfterDry'!$A$3:$A$2000,0)),"")</f>
        <v>0.94159999999999999</v>
      </c>
      <c r="T303" s="194">
        <f>IFERROR(INDEX('Both teabags AfterDry'!$D$3:$D$2000,MATCH(I303,'Both teabags AfterDry'!$A$3:$A$2000,0)),"")</f>
        <v>1.7698</v>
      </c>
      <c r="U303" s="194">
        <f t="shared" si="45"/>
        <v>0.79099999999999993</v>
      </c>
      <c r="V303" s="194">
        <f t="shared" si="46"/>
        <v>1.6192</v>
      </c>
      <c r="W303" s="194">
        <f>IFERROR(INDEX('Ashed teabags dry'!$K$2:$K$2000,MATCH(H303,'Ashed teabags dry'!$A$2:$A$2000,0)),"")</f>
        <v>19.020979020979762</v>
      </c>
      <c r="X303" s="194">
        <f>IFERROR(INDEX('Ashed teabags dry'!$K$2:$K$2000,MATCH(I303,'Ashed teabags dry'!$A$2:$A$2000,0)),"")</f>
        <v>2.3334747560458351</v>
      </c>
      <c r="Y303" s="194">
        <f t="shared" si="41"/>
        <v>0.64054405594405006</v>
      </c>
      <c r="Z303" s="194">
        <f t="shared" si="41"/>
        <v>1.5814163767501057</v>
      </c>
      <c r="AA303" s="194">
        <f t="shared" si="47"/>
        <v>0.62857203330606959</v>
      </c>
      <c r="AB303" s="194">
        <f t="shared" si="48"/>
        <v>0.41208047789186514</v>
      </c>
      <c r="AC303" s="194">
        <f t="shared" si="42"/>
        <v>0.80747505439158929</v>
      </c>
      <c r="AD303">
        <f t="shared" si="49"/>
        <v>69</v>
      </c>
      <c r="AE303" s="194">
        <f t="shared" si="50"/>
        <v>0.25347739512343281</v>
      </c>
      <c r="AF303" s="194">
        <f t="shared" si="51"/>
        <v>9.1248328983769104E-3</v>
      </c>
      <c r="AG303" s="252" t="str">
        <f>IF(ISNUMBER(SEARCH("C", 'Dry_Litterbag Placem_Collection'!$V10)),"YES","NO")</f>
        <v>NO</v>
      </c>
      <c r="AH303" s="252" t="str">
        <f>IF(ISNUMBER(SEARCH("H", 'Dry_Litterbag Placem_Collection'!$V10)),"YES","NO")</f>
        <v>NO</v>
      </c>
      <c r="AI303" s="252" t="str">
        <f>IF(ISNUMBER(SEARCH("R", 'Dry_Litterbag Placem_Collection'!$V10)),"YES","NO")</f>
        <v>NO</v>
      </c>
      <c r="AJ303" s="252" t="str">
        <f>IF(ISNUMBER(SEARCH("C", 'Dry_Litterbag Placem_Collection'!$U10)),"YES","NO")</f>
        <v>NO</v>
      </c>
      <c r="AK303" s="252" t="str">
        <f>IF(ISNUMBER(SEARCH("H", 'Dry_Litterbag Placem_Collection'!$U10)),"YES","NO")</f>
        <v>NO</v>
      </c>
      <c r="AL303" s="252" t="str">
        <f>IF(ISNUMBER(SEARCH("R", 'Dry_Litterbag Placem_Collection'!$U10)),"YES","NO")</f>
        <v>YES</v>
      </c>
    </row>
    <row r="304" spans="2:38">
      <c r="B304" t="str">
        <f>'Final data_for_R_analysis_Dryse'!A450</f>
        <v>Dry</v>
      </c>
      <c r="C304" s="260">
        <f>'Final data_for_R_analysis_Dryse'!B450</f>
        <v>9</v>
      </c>
      <c r="D304" t="s">
        <v>3802</v>
      </c>
      <c r="E304" t="s">
        <v>25</v>
      </c>
      <c r="F304" s="381">
        <v>1</v>
      </c>
      <c r="G304" s="383">
        <f>IF('Dry_Litterbag Placem_Collection'!E11="","",'Dry_Litterbag Placem_Collection'!E11)</f>
        <v>42938</v>
      </c>
      <c r="H304" s="92" t="str">
        <f>'Final data_for_R_analysis_Dryse'!K450</f>
        <v>G570</v>
      </c>
      <c r="I304" t="str">
        <f>'Final data_for_R_analysis_Dryse'!K670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43"/>
        <v>1.8542000000000001</v>
      </c>
      <c r="M304" s="237">
        <f>AVERAGE(Ashed_controlls!$K$1:$K$11)</f>
        <v>5.5147656768714146</v>
      </c>
      <c r="N304" s="194">
        <f t="shared" si="39"/>
        <v>1.7519452148194503</v>
      </c>
      <c r="O304" s="194">
        <f t="shared" si="44"/>
        <v>1.8982000000000001</v>
      </c>
      <c r="P304" s="237">
        <f>AVERAGE(Ashed_controlls!$K$12:$K$14)</f>
        <v>2.2816647271287041</v>
      </c>
      <c r="Q304" s="194">
        <f t="shared" si="40"/>
        <v>1.854889440149643</v>
      </c>
      <c r="R304" s="383">
        <f>IF('Dry_Litterbag Placem_Collection'!G11="","",'Dry_Litterbag Placem_Collection'!G11)</f>
        <v>43007</v>
      </c>
      <c r="S304" s="194">
        <f>IFERROR(INDEX('Both teabags AfterDry'!$D$3:$D$2000,MATCH(H304,'Both teabags AfterDry'!$A$3:$A$2000,0)),"")</f>
        <v>1.9100999999999999</v>
      </c>
      <c r="T304" s="194">
        <f>IFERROR(INDEX('Both teabags AfterDry'!$D$3:$D$2000,MATCH(I304,'Both teabags AfterDry'!$A$3:$A$2000,0)),"")</f>
        <v>1.9311</v>
      </c>
      <c r="U304" s="194">
        <f t="shared" si="45"/>
        <v>1.7594999999999998</v>
      </c>
      <c r="V304" s="194">
        <f t="shared" si="46"/>
        <v>1.7805</v>
      </c>
      <c r="W304" s="194">
        <f>IFERROR(INDEX('Ashed teabags dry'!$K$2:$K$2000,MATCH(H304,'Ashed teabags dry'!$A$2:$A$2000,0)),"")</f>
        <v>5.923344947734277</v>
      </c>
      <c r="X304" s="194">
        <f>IFERROR(INDEX('Ashed teabags dry'!$K$2:$K$2000,MATCH(I304,'Ashed teabags dry'!$A$2:$A$2000,0)),"")</f>
        <v>2.4847632442568237</v>
      </c>
      <c r="Y304" s="194">
        <f t="shared" si="41"/>
        <v>1.6552787456446152</v>
      </c>
      <c r="Z304" s="194">
        <f t="shared" si="41"/>
        <v>1.7362587904360072</v>
      </c>
      <c r="AA304" s="194">
        <f t="shared" si="47"/>
        <v>5.5176650706396213E-2</v>
      </c>
      <c r="AB304" s="194">
        <f t="shared" si="48"/>
        <v>3.6172816140060238E-2</v>
      </c>
      <c r="AC304" s="194">
        <f t="shared" si="42"/>
        <v>0.93604435545006648</v>
      </c>
      <c r="AD304">
        <f t="shared" si="49"/>
        <v>69</v>
      </c>
      <c r="AE304" s="194">
        <f t="shared" si="50"/>
        <v>0.93446953597815174</v>
      </c>
      <c r="AF304" s="194" t="str">
        <f t="shared" si="51"/>
        <v/>
      </c>
      <c r="AG304" s="252" t="str">
        <f>IF(ISNUMBER(SEARCH("C", 'Dry_Litterbag Placem_Collection'!$V11)),"YES","NO")</f>
        <v>NO</v>
      </c>
      <c r="AH304" s="252" t="str">
        <f>IF(ISNUMBER(SEARCH("H", 'Dry_Litterbag Placem_Collection'!$V11)),"YES","NO")</f>
        <v>NO</v>
      </c>
      <c r="AI304" s="252" t="str">
        <f>IF(ISNUMBER(SEARCH("R", 'Dry_Litterbag Placem_Collection'!$V11)),"YES","NO")</f>
        <v>NO</v>
      </c>
      <c r="AJ304" s="252" t="str">
        <f>IF(ISNUMBER(SEARCH("C", 'Dry_Litterbag Placem_Collection'!$U11)),"YES","NO")</f>
        <v>NO</v>
      </c>
      <c r="AK304" s="252" t="str">
        <f>IF(ISNUMBER(SEARCH("H", 'Dry_Litterbag Placem_Collection'!$U11)),"YES","NO")</f>
        <v>NO</v>
      </c>
      <c r="AL304" s="252" t="str">
        <f>IF(ISNUMBER(SEARCH("R", 'Dry_Litterbag Placem_Collection'!$U11)),"YES","NO")</f>
        <v>NO</v>
      </c>
    </row>
    <row r="305" spans="2:38">
      <c r="B305" t="str">
        <f>'Final data_for_R_analysis_Dryse'!A451</f>
        <v>Dry</v>
      </c>
      <c r="C305" s="260">
        <f>'Final data_for_R_analysis_Dryse'!B451</f>
        <v>10</v>
      </c>
      <c r="D305" t="s">
        <v>3802</v>
      </c>
      <c r="E305" t="s">
        <v>25</v>
      </c>
      <c r="F305" s="381">
        <v>2</v>
      </c>
      <c r="G305" s="383">
        <f>IF('Dry_Litterbag Placem_Collection'!E12="","",'Dry_Litterbag Placem_Collection'!E12)</f>
        <v>42938</v>
      </c>
      <c r="H305" s="92" t="str">
        <f>'Final data_for_R_analysis_Dryse'!K451</f>
        <v>G642</v>
      </c>
      <c r="I305" t="str">
        <f>'Final data_for_R_analysis_Dryse'!K671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43"/>
        <v>1.8771999999999998</v>
      </c>
      <c r="M305" s="237">
        <f>AVERAGE(Ashed_controlls!$K$1:$K$11)</f>
        <v>5.5147656768714146</v>
      </c>
      <c r="N305" s="194">
        <f t="shared" si="39"/>
        <v>1.7736768187137695</v>
      </c>
      <c r="O305" s="194">
        <f t="shared" si="44"/>
        <v>1.9352</v>
      </c>
      <c r="P305" s="237">
        <f>AVERAGE(Ashed_controlls!$K$12:$K$14)</f>
        <v>2.2816647271287041</v>
      </c>
      <c r="Q305" s="194">
        <f t="shared" si="40"/>
        <v>1.8910452242006053</v>
      </c>
      <c r="R305" s="383" t="str">
        <f>IF('Dry_Litterbag Placem_Collection'!G12="","",'Dry_Litterbag Placem_Collection'!G12)</f>
        <v/>
      </c>
      <c r="S305" s="194" t="str">
        <f>IFERROR(INDEX('Both teabags AfterDry'!$D$3:$D$2000,MATCH(H305,'Both teabags AfterDry'!$A$3:$A$2000,0)),"")</f>
        <v/>
      </c>
      <c r="T305" s="194" t="str">
        <f>IFERROR(INDEX('Both teabags AfterDry'!$D$3:$D$2000,MATCH(I305,'Both teabags AfterDry'!$A$3:$A$2000,0)),"")</f>
        <v/>
      </c>
      <c r="U305" s="194" t="str">
        <f t="shared" si="45"/>
        <v/>
      </c>
      <c r="V305" s="194" t="str">
        <f t="shared" si="46"/>
        <v/>
      </c>
      <c r="W305" s="194" t="str">
        <f>IFERROR(INDEX('Ashed teabags dry'!$K$2:$K$2000,MATCH(H305,'Ashed teabags dry'!$A$2:$A$2000,0)),"")</f>
        <v/>
      </c>
      <c r="X305" s="194" t="str">
        <f>IFERROR(INDEX('Ashed teabags dry'!$K$2:$K$2000,MATCH(I305,'Ashed teabags dry'!$A$2:$A$2000,0)),"")</f>
        <v/>
      </c>
      <c r="Y305" s="194" t="str">
        <f t="shared" si="41"/>
        <v/>
      </c>
      <c r="Z305" s="194" t="str">
        <f t="shared" si="41"/>
        <v/>
      </c>
      <c r="AA305" s="194" t="str">
        <f t="shared" si="47"/>
        <v/>
      </c>
      <c r="AB305" s="194" t="str">
        <f t="shared" si="48"/>
        <v/>
      </c>
      <c r="AC305" s="194" t="str">
        <f t="shared" si="42"/>
        <v/>
      </c>
      <c r="AD305" t="str">
        <f t="shared" si="49"/>
        <v/>
      </c>
      <c r="AE305" s="194" t="str">
        <f t="shared" si="50"/>
        <v/>
      </c>
      <c r="AF305" s="194" t="str">
        <f t="shared" si="51"/>
        <v/>
      </c>
      <c r="AG305" s="252" t="str">
        <f>IF(ISNUMBER(SEARCH("C", 'Dry_Litterbag Placem_Collection'!$V12)),"YES","NO")</f>
        <v>NO</v>
      </c>
      <c r="AH305" s="252" t="str">
        <f>IF(ISNUMBER(SEARCH("H", 'Dry_Litterbag Placem_Collection'!$V12)),"YES","NO")</f>
        <v>NO</v>
      </c>
      <c r="AI305" s="252" t="str">
        <f>IF(ISNUMBER(SEARCH("R", 'Dry_Litterbag Placem_Collection'!$V12)),"YES","NO")</f>
        <v>NO</v>
      </c>
      <c r="AJ305" s="252" t="str">
        <f>IF(ISNUMBER(SEARCH("C", 'Dry_Litterbag Placem_Collection'!$U12)),"YES","NO")</f>
        <v>NO</v>
      </c>
      <c r="AK305" s="252" t="str">
        <f>IF(ISNUMBER(SEARCH("H", 'Dry_Litterbag Placem_Collection'!$U12)),"YES","NO")</f>
        <v>NO</v>
      </c>
      <c r="AL305" s="252" t="str">
        <f>IF(ISNUMBER(SEARCH("R", 'Dry_Litterbag Placem_Collection'!$U12)),"YES","NO")</f>
        <v>NO</v>
      </c>
    </row>
    <row r="306" spans="2:38">
      <c r="B306" t="str">
        <f>'Final data_for_R_analysis_Dryse'!A452</f>
        <v>Dry</v>
      </c>
      <c r="C306" s="260">
        <f>'Final data_for_R_analysis_Dryse'!B452</f>
        <v>11</v>
      </c>
      <c r="D306" t="s">
        <v>3802</v>
      </c>
      <c r="E306" t="s">
        <v>25</v>
      </c>
      <c r="F306" s="381">
        <v>3</v>
      </c>
      <c r="G306" s="383">
        <f>IF('Dry_Litterbag Placem_Collection'!E13="","",'Dry_Litterbag Placem_Collection'!E13)</f>
        <v>42938</v>
      </c>
      <c r="H306" s="92" t="str">
        <f>'Final data_for_R_analysis_Dryse'!K452</f>
        <v>G663</v>
      </c>
      <c r="I306" t="str">
        <f>'Final data_for_R_analysis_Dryse'!K672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43"/>
        <v>1.8262</v>
      </c>
      <c r="M306" s="237">
        <f>AVERAGE(Ashed_controlls!$K$1:$K$11)</f>
        <v>5.5147656768714146</v>
      </c>
      <c r="N306" s="194">
        <f t="shared" si="39"/>
        <v>1.7254893492089742</v>
      </c>
      <c r="O306" s="194">
        <f t="shared" si="44"/>
        <v>1.9241999999999999</v>
      </c>
      <c r="P306" s="237">
        <f>AVERAGE(Ashed_controlls!$K$12:$K$14)</f>
        <v>2.2816647271287041</v>
      </c>
      <c r="Q306" s="194">
        <f t="shared" si="40"/>
        <v>1.8802962073205893</v>
      </c>
      <c r="R306" s="383">
        <f>IF('Dry_Litterbag Placem_Collection'!G13="","",'Dry_Litterbag Placem_Collection'!G13)</f>
        <v>43007</v>
      </c>
      <c r="S306" s="194">
        <f>IFERROR(INDEX('Both teabags AfterDry'!$D$3:$D$2000,MATCH(H306,'Both teabags AfterDry'!$A$3:$A$2000,0)),"")</f>
        <v>1.6718</v>
      </c>
      <c r="T306" s="194">
        <f>IFERROR(INDEX('Both teabags AfterDry'!$D$3:$D$2000,MATCH(I306,'Both teabags AfterDry'!$A$3:$A$2000,0)),"")</f>
        <v>1.9423999999999999</v>
      </c>
      <c r="U306" s="194">
        <f t="shared" si="45"/>
        <v>1.5211999999999999</v>
      </c>
      <c r="V306" s="194">
        <f t="shared" si="46"/>
        <v>1.7917999999999998</v>
      </c>
      <c r="W306" s="194">
        <f>IFERROR(INDEX('Ashed teabags dry'!$K$2:$K$2000,MATCH(H306,'Ashed teabags dry'!$A$2:$A$2000,0)),"")</f>
        <v>7.9058031959628696</v>
      </c>
      <c r="X306" s="194">
        <f>IFERROR(INDEX('Ashed teabags dry'!$K$2:$K$2000,MATCH(I306,'Ashed teabags dry'!$A$2:$A$2000,0)),"")</f>
        <v>2.5878906250002163</v>
      </c>
      <c r="Y306" s="194">
        <f t="shared" si="41"/>
        <v>1.4009369217830128</v>
      </c>
      <c r="Z306" s="194">
        <f t="shared" si="41"/>
        <v>1.745430175781246</v>
      </c>
      <c r="AA306" s="194">
        <f t="shared" si="47"/>
        <v>0.18809297639231903</v>
      </c>
      <c r="AB306" s="194">
        <f t="shared" si="48"/>
        <v>0.12331035982014267</v>
      </c>
      <c r="AC306" s="194">
        <f t="shared" si="42"/>
        <v>0.92827405011281361</v>
      </c>
      <c r="AD306">
        <f t="shared" si="49"/>
        <v>69</v>
      </c>
      <c r="AE306" s="194">
        <f t="shared" si="50"/>
        <v>0.77661166699249518</v>
      </c>
      <c r="AF306" s="194">
        <f t="shared" si="51"/>
        <v>1.2630216436767745E-2</v>
      </c>
      <c r="AG306" s="252" t="str">
        <f>IF(ISNUMBER(SEARCH("C", 'Dry_Litterbag Placem_Collection'!$V13)),"YES","NO")</f>
        <v>NO</v>
      </c>
      <c r="AH306" s="252" t="str">
        <f>IF(ISNUMBER(SEARCH("H", 'Dry_Litterbag Placem_Collection'!$V13)),"YES","NO")</f>
        <v>NO</v>
      </c>
      <c r="AI306" s="252" t="str">
        <f>IF(ISNUMBER(SEARCH("R", 'Dry_Litterbag Placem_Collection'!$V13)),"YES","NO")</f>
        <v>NO</v>
      </c>
      <c r="AJ306" s="252" t="str">
        <f>IF(ISNUMBER(SEARCH("C", 'Dry_Litterbag Placem_Collection'!$U13)),"YES","NO")</f>
        <v>NO</v>
      </c>
      <c r="AK306" s="252" t="str">
        <f>IF(ISNUMBER(SEARCH("H", 'Dry_Litterbag Placem_Collection'!$U13)),"YES","NO")</f>
        <v>NO</v>
      </c>
      <c r="AL306" s="252" t="str">
        <f>IF(ISNUMBER(SEARCH("R", 'Dry_Litterbag Placem_Collection'!$U13)),"YES","NO")</f>
        <v>NO</v>
      </c>
    </row>
    <row r="307" spans="2:38">
      <c r="B307" t="str">
        <f>'Final data_for_R_analysis_Dryse'!A453</f>
        <v>Dry</v>
      </c>
      <c r="C307" s="260">
        <f>'Final data_for_R_analysis_Dryse'!B453</f>
        <v>12</v>
      </c>
      <c r="D307" t="s">
        <v>3802</v>
      </c>
      <c r="E307" t="s">
        <v>25</v>
      </c>
      <c r="F307" s="382">
        <v>4</v>
      </c>
      <c r="G307" s="383" t="str">
        <f>IF('Dry_Litterbag Placem_Collection'!E14="","",'Dry_Litterbag Placem_Collection'!E14)</f>
        <v/>
      </c>
      <c r="H307" s="92" t="str">
        <f>'Final data_for_R_analysis_Dryse'!K453</f>
        <v/>
      </c>
      <c r="I307" t="str">
        <f>'Final data_for_R_analysis_Dryse'!K673</f>
        <v/>
      </c>
      <c r="J307" t="str">
        <f>IFERROR(INDEX('Green_rooibos initial weight'!$C$5:$C$2000,MATCH(H307, 'Green_rooibos initial weight'!$A$5:$A$2000,0)),"")</f>
        <v/>
      </c>
      <c r="K307" t="str">
        <f>IFERROR(INDEX('Green_rooibos initial weight'!$C$5:$C$2000,MATCH(I307, 'Green_rooibos initial weight'!$A$5:$A$2000,0)),"")</f>
        <v/>
      </c>
      <c r="L307" s="194" t="str">
        <f t="shared" si="43"/>
        <v/>
      </c>
      <c r="M307" s="237">
        <f>AVERAGE(Ashed_controlls!$K$1:$K$11)</f>
        <v>5.5147656768714146</v>
      </c>
      <c r="N307" s="194" t="str">
        <f t="shared" si="39"/>
        <v/>
      </c>
      <c r="O307" s="194" t="str">
        <f t="shared" si="44"/>
        <v/>
      </c>
      <c r="P307" s="237">
        <f>AVERAGE(Ashed_controlls!$K$12:$K$14)</f>
        <v>2.2816647271287041</v>
      </c>
      <c r="Q307" s="194" t="str">
        <f t="shared" si="40"/>
        <v/>
      </c>
      <c r="R307" s="383" t="str">
        <f>IF('Dry_Litterbag Placem_Collection'!G14="","",'Dry_Litterbag Placem_Collection'!G14)</f>
        <v/>
      </c>
      <c r="S307" s="194" t="str">
        <f>IFERROR(INDEX('Both teabags AfterDry'!$D$3:$D$2000,MATCH(H307,'Both teabags AfterDry'!$A$3:$A$2000,0)),"")</f>
        <v/>
      </c>
      <c r="T307" s="194" t="str">
        <f>IFERROR(INDEX('Both teabags AfterDry'!$D$3:$D$2000,MATCH(I307,'Both teabags AfterDry'!$A$3:$A$2000,0)),"")</f>
        <v/>
      </c>
      <c r="U307" s="194" t="str">
        <f t="shared" si="45"/>
        <v/>
      </c>
      <c r="V307" s="194" t="str">
        <f t="shared" si="46"/>
        <v/>
      </c>
      <c r="W307" s="194" t="str">
        <f>IFERROR(INDEX('Ashed teabags dry'!$K$2:$K$2000,MATCH(H307,'Ashed teabags dry'!$A$2:$A$2000,0)),"")</f>
        <v/>
      </c>
      <c r="X307" s="194" t="str">
        <f>IFERROR(INDEX('Ashed teabags dry'!$K$2:$K$2000,MATCH(I307,'Ashed teabags dry'!$A$2:$A$2000,0)),"")</f>
        <v/>
      </c>
      <c r="Y307" s="194" t="str">
        <f t="shared" si="41"/>
        <v/>
      </c>
      <c r="Z307" s="194" t="str">
        <f t="shared" si="41"/>
        <v/>
      </c>
      <c r="AA307" s="194" t="str">
        <f t="shared" si="47"/>
        <v/>
      </c>
      <c r="AB307" s="194" t="str">
        <f t="shared" si="48"/>
        <v/>
      </c>
      <c r="AC307" s="194" t="str">
        <f t="shared" si="42"/>
        <v/>
      </c>
      <c r="AD307" t="str">
        <f t="shared" si="49"/>
        <v/>
      </c>
      <c r="AE307" s="194" t="str">
        <f t="shared" si="50"/>
        <v/>
      </c>
      <c r="AF307" s="194" t="str">
        <f t="shared" si="51"/>
        <v/>
      </c>
      <c r="AG307" s="252" t="str">
        <f>IF(ISNUMBER(SEARCH("C", 'Dry_Litterbag Placem_Collection'!$V14)),"YES","NO")</f>
        <v>NO</v>
      </c>
      <c r="AH307" s="252" t="str">
        <f>IF(ISNUMBER(SEARCH("H", 'Dry_Litterbag Placem_Collection'!$V14)),"YES","NO")</f>
        <v>NO</v>
      </c>
      <c r="AI307" s="252" t="str">
        <f>IF(ISNUMBER(SEARCH("R", 'Dry_Litterbag Placem_Collection'!$V14)),"YES","NO")</f>
        <v>NO</v>
      </c>
      <c r="AJ307" s="252" t="str">
        <f>IF(ISNUMBER(SEARCH("C", 'Dry_Litterbag Placem_Collection'!$U14)),"YES","NO")</f>
        <v>NO</v>
      </c>
      <c r="AK307" s="252" t="str">
        <f>IF(ISNUMBER(SEARCH("H", 'Dry_Litterbag Placem_Collection'!$U14)),"YES","NO")</f>
        <v>NO</v>
      </c>
      <c r="AL307" s="252" t="str">
        <f>IF(ISNUMBER(SEARCH("R", 'Dry_Litterbag Placem_Collection'!$U14)),"YES","NO")</f>
        <v>NO</v>
      </c>
    </row>
    <row r="308" spans="2:38">
      <c r="B308" t="str">
        <f>'Final data_for_R_analysis_Dryse'!A454</f>
        <v>Dry</v>
      </c>
      <c r="C308" s="260">
        <f>'Final data_for_R_analysis_Dryse'!B454</f>
        <v>13</v>
      </c>
      <c r="D308" t="s">
        <v>3802</v>
      </c>
      <c r="E308" t="s">
        <v>25</v>
      </c>
      <c r="F308" s="382">
        <v>5</v>
      </c>
      <c r="G308" s="383">
        <f>IF('Dry_Litterbag Placem_Collection'!E15="","",'Dry_Litterbag Placem_Collection'!E15)</f>
        <v>42938</v>
      </c>
      <c r="H308" s="92" t="str">
        <f>'Final data_for_R_analysis_Dryse'!K454</f>
        <v>G874</v>
      </c>
      <c r="I308" t="str">
        <f>'Final data_for_R_analysis_Dryse'!K674</f>
        <v>R603</v>
      </c>
      <c r="J308">
        <f>IFERROR(INDEX('Green_rooibos initial weight'!$C$5:$C$2000,MATCH(H308, 'Green_rooibos initial weight'!$A$5:$A$2000,0)),"")</f>
        <v>2.032</v>
      </c>
      <c r="K308">
        <f>IFERROR(INDEX('Green_rooibos initial weight'!$C$5:$C$2000,MATCH(I308, 'Green_rooibos initial weight'!$A$5:$A$2000,0)),"")</f>
        <v>2.1440000000000001</v>
      </c>
      <c r="L308" s="194">
        <f t="shared" si="43"/>
        <v>1.7822</v>
      </c>
      <c r="M308" s="237">
        <f>AVERAGE(Ashed_controlls!$K$1:$K$11)</f>
        <v>5.5147656768714146</v>
      </c>
      <c r="N308" s="194">
        <f t="shared" si="39"/>
        <v>1.6839158461067976</v>
      </c>
      <c r="O308" s="194">
        <f t="shared" si="44"/>
        <v>1.8942000000000001</v>
      </c>
      <c r="P308" s="237">
        <f>AVERAGE(Ashed_controlls!$K$12:$K$14)</f>
        <v>2.2816647271287041</v>
      </c>
      <c r="Q308" s="194">
        <f t="shared" si="40"/>
        <v>1.8509807067387283</v>
      </c>
      <c r="R308" s="383">
        <f>IF('Dry_Litterbag Placem_Collection'!G15="","",'Dry_Litterbag Placem_Collection'!G15)</f>
        <v>43007</v>
      </c>
      <c r="S308" s="194">
        <f>IFERROR(INDEX('Both teabags AfterDry'!$D$3:$D$2000,MATCH(H308,'Both teabags AfterDry'!$A$3:$A$2000,0)),"")</f>
        <v>1.361</v>
      </c>
      <c r="T308" s="194">
        <f>IFERROR(INDEX('Both teabags AfterDry'!$D$3:$D$2000,MATCH(I308,'Both teabags AfterDry'!$A$3:$A$2000,0)),"")</f>
        <v>1.9094</v>
      </c>
      <c r="U308" s="194">
        <f t="shared" si="45"/>
        <v>1.2103999999999999</v>
      </c>
      <c r="V308" s="194">
        <f t="shared" si="46"/>
        <v>1.7587999999999999</v>
      </c>
      <c r="W308" s="194">
        <f>IFERROR(INDEX('Ashed teabags dry'!$K$2:$K$2000,MATCH(H308,'Ashed teabags dry'!$A$2:$A$2000,0)),"")</f>
        <v>9.2644320297957403</v>
      </c>
      <c r="X308" s="194">
        <f>IFERROR(INDEX('Ashed teabags dry'!$K$2:$K$2000,MATCH(I308,'Ashed teabags dry'!$A$2:$A$2000,0)),"")</f>
        <v>3.2763532763534955</v>
      </c>
      <c r="Y308" s="194">
        <f t="shared" si="41"/>
        <v>1.0982633147113523</v>
      </c>
      <c r="Z308" s="194">
        <f t="shared" si="41"/>
        <v>1.7011754985754945</v>
      </c>
      <c r="AA308" s="194">
        <f t="shared" si="47"/>
        <v>0.34779204242864636</v>
      </c>
      <c r="AB308" s="194">
        <f t="shared" si="48"/>
        <v>0.22800618458505084</v>
      </c>
      <c r="AC308" s="194">
        <f t="shared" si="42"/>
        <v>0.91906711527686435</v>
      </c>
      <c r="AD308">
        <f t="shared" si="49"/>
        <v>69</v>
      </c>
      <c r="AE308" s="194">
        <f t="shared" si="50"/>
        <v>0.58694531778070502</v>
      </c>
      <c r="AF308" s="194">
        <f t="shared" si="51"/>
        <v>6.3542268542506036E-3</v>
      </c>
      <c r="AG308" s="252" t="str">
        <f>IF(ISNUMBER(SEARCH("C", 'Dry_Litterbag Placem_Collection'!$V15)),"YES","NO")</f>
        <v>NO</v>
      </c>
      <c r="AH308" s="252" t="str">
        <f>IF(ISNUMBER(SEARCH("H", 'Dry_Litterbag Placem_Collection'!$V15)),"YES","NO")</f>
        <v>NO</v>
      </c>
      <c r="AI308" s="252" t="str">
        <f>IF(ISNUMBER(SEARCH("R", 'Dry_Litterbag Placem_Collection'!$V15)),"YES","NO")</f>
        <v>NO</v>
      </c>
      <c r="AJ308" s="252" t="str">
        <f>IF(ISNUMBER(SEARCH("C", 'Dry_Litterbag Placem_Collection'!$U15)),"YES","NO")</f>
        <v>NO</v>
      </c>
      <c r="AK308" s="252" t="str">
        <f>IF(ISNUMBER(SEARCH("H", 'Dry_Litterbag Placem_Collection'!$U15)),"YES","NO")</f>
        <v>NO</v>
      </c>
      <c r="AL308" s="252" t="str">
        <f>IF(ISNUMBER(SEARCH("R", 'Dry_Litterbag Placem_Collection'!$U15)),"YES","NO")</f>
        <v>NO</v>
      </c>
    </row>
    <row r="309" spans="2:38">
      <c r="B309" t="str">
        <f>'Final data_for_R_analysis_Dryse'!A455</f>
        <v>Dry</v>
      </c>
      <c r="C309" s="260">
        <f>'Final data_for_R_analysis_Dryse'!B455</f>
        <v>14</v>
      </c>
      <c r="D309" t="s">
        <v>3802</v>
      </c>
      <c r="E309" t="s">
        <v>25</v>
      </c>
      <c r="F309" s="382">
        <v>6</v>
      </c>
      <c r="G309" s="383">
        <f>IF('Dry_Litterbag Placem_Collection'!E16="","",'Dry_Litterbag Placem_Collection'!E16)</f>
        <v>42938</v>
      </c>
      <c r="H309" s="92" t="str">
        <f>'Final data_for_R_analysis_Dryse'!K455</f>
        <v>G219</v>
      </c>
      <c r="I309" t="str">
        <f>'Final data_for_R_analysis_Dryse'!K675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43"/>
        <v>1.7612000000000001</v>
      </c>
      <c r="M309" s="237">
        <f>AVERAGE(Ashed_controlls!$K$1:$K$11)</f>
        <v>5.5147656768714146</v>
      </c>
      <c r="N309" s="194">
        <f t="shared" si="39"/>
        <v>1.6640739468989407</v>
      </c>
      <c r="O309" s="194">
        <f t="shared" si="44"/>
        <v>1.9592000000000001</v>
      </c>
      <c r="P309" s="237">
        <f>AVERAGE(Ashed_controlls!$K$12:$K$14)</f>
        <v>2.2816647271287041</v>
      </c>
      <c r="Q309" s="194">
        <f t="shared" si="40"/>
        <v>1.9144976246660945</v>
      </c>
      <c r="R309" s="383">
        <f>IF('Dry_Litterbag Placem_Collection'!G16="","",'Dry_Litterbag Placem_Collection'!G16)</f>
        <v>43007</v>
      </c>
      <c r="S309" s="194">
        <f>IFERROR(INDEX('Both teabags AfterDry'!$D$3:$D$2000,MATCH(H309,'Both teabags AfterDry'!$A$3:$A$2000,0)),"")</f>
        <v>0.76939999999999997</v>
      </c>
      <c r="T309" s="194">
        <f>IFERROR(INDEX('Both teabags AfterDry'!$D$3:$D$2000,MATCH(I309,'Both teabags AfterDry'!$A$3:$A$2000,0)),"")</f>
        <v>1.9245000000000001</v>
      </c>
      <c r="U309" s="194">
        <f t="shared" si="45"/>
        <v>0.61880000000000002</v>
      </c>
      <c r="V309" s="194">
        <f t="shared" si="46"/>
        <v>1.7739</v>
      </c>
      <c r="W309" s="194">
        <f>IFERROR(INDEX('Ashed teabags dry'!$K$2:$K$2000,MATCH(H309,'Ashed teabags dry'!$A$2:$A$2000,0)),"")</f>
        <v>15.956439393940133</v>
      </c>
      <c r="X309" s="194">
        <f>IFERROR(INDEX('Ashed teabags dry'!$K$2:$K$2000,MATCH(I309,'Ashed teabags dry'!$A$2:$A$2000,0)),"")</f>
        <v>2.5664115263402163</v>
      </c>
      <c r="Y309" s="194">
        <f t="shared" si="41"/>
        <v>0.52006155303029844</v>
      </c>
      <c r="Z309" s="194">
        <f t="shared" si="41"/>
        <v>1.7283744259342508</v>
      </c>
      <c r="AA309" s="194">
        <f t="shared" si="47"/>
        <v>0.68747689728605443</v>
      </c>
      <c r="AB309" s="194">
        <f t="shared" si="48"/>
        <v>0.4506974433514277</v>
      </c>
      <c r="AC309" s="194">
        <f t="shared" si="42"/>
        <v>0.90278222530346297</v>
      </c>
      <c r="AD309">
        <f t="shared" si="49"/>
        <v>69</v>
      </c>
      <c r="AE309" s="194">
        <f t="shared" si="50"/>
        <v>0.18351912436335571</v>
      </c>
      <c r="AF309" s="194">
        <f t="shared" si="51"/>
        <v>3.521308518753978E-3</v>
      </c>
      <c r="AG309" s="252" t="str">
        <f>IF(ISNUMBER(SEARCH("C", 'Dry_Litterbag Placem_Collection'!$V16)),"YES","NO")</f>
        <v>NO</v>
      </c>
      <c r="AH309" s="252" t="str">
        <f>IF(ISNUMBER(SEARCH("H", 'Dry_Litterbag Placem_Collection'!$V16)),"YES","NO")</f>
        <v>NO</v>
      </c>
      <c r="AI309" s="252" t="str">
        <f>IF(ISNUMBER(SEARCH("R", 'Dry_Litterbag Placem_Collection'!$V16)),"YES","NO")</f>
        <v>NO</v>
      </c>
      <c r="AJ309" s="252" t="str">
        <f>IF(ISNUMBER(SEARCH("C", 'Dry_Litterbag Placem_Collection'!$U16)),"YES","NO")</f>
        <v>NO</v>
      </c>
      <c r="AK309" s="252" t="str">
        <f>IF(ISNUMBER(SEARCH("H", 'Dry_Litterbag Placem_Collection'!$U16)),"YES","NO")</f>
        <v>NO</v>
      </c>
      <c r="AL309" s="252" t="str">
        <f>IF(ISNUMBER(SEARCH("R", 'Dry_Litterbag Placem_Collection'!$U16)),"YES","NO")</f>
        <v>YES</v>
      </c>
    </row>
    <row r="310" spans="2:38">
      <c r="B310" t="str">
        <f>'Final data_for_R_analysis_Dryse'!A456</f>
        <v>Dry</v>
      </c>
      <c r="C310" s="260">
        <f>'Final data_for_R_analysis_Dryse'!B456</f>
        <v>15</v>
      </c>
      <c r="D310" t="s">
        <v>3802</v>
      </c>
      <c r="E310" t="s">
        <v>25</v>
      </c>
      <c r="F310" s="382">
        <v>7</v>
      </c>
      <c r="G310" s="383">
        <f>IF('Dry_Litterbag Placem_Collection'!E17="","",'Dry_Litterbag Placem_Collection'!E17)</f>
        <v>42938</v>
      </c>
      <c r="H310" s="92" t="str">
        <f>'Final data_for_R_analysis_Dryse'!K456</f>
        <v>G630</v>
      </c>
      <c r="I310" t="str">
        <f>'Final data_for_R_analysis_Dryse'!K676</f>
        <v>R304</v>
      </c>
      <c r="J310">
        <f>IFERROR(INDEX('Green_rooibos initial weight'!$C$5:$C$2000,MATCH(H310, 'Green_rooibos initial weight'!$A$5:$A$2000,0)),"")</f>
        <v>2.12</v>
      </c>
      <c r="K310">
        <f>IFERROR(INDEX('Green_rooibos initial weight'!$C$5:$C$2000,MATCH(I310, 'Green_rooibos initial weight'!$A$5:$A$2000,0)),"")</f>
        <v>2.1930000000000001</v>
      </c>
      <c r="L310" s="194">
        <f t="shared" si="43"/>
        <v>1.8702000000000001</v>
      </c>
      <c r="M310" s="237">
        <f>AVERAGE(Ashed_controlls!$K$1:$K$11)</f>
        <v>5.5147656768714146</v>
      </c>
      <c r="N310" s="194">
        <f t="shared" si="39"/>
        <v>1.7670628523111509</v>
      </c>
      <c r="O310" s="194">
        <f t="shared" si="44"/>
        <v>1.9432</v>
      </c>
      <c r="P310" s="237">
        <f>AVERAGE(Ashed_controlls!$K$12:$K$14)</f>
        <v>2.2816647271287041</v>
      </c>
      <c r="Q310" s="194">
        <f t="shared" si="40"/>
        <v>1.8988626910224351</v>
      </c>
      <c r="R310" s="383">
        <f>IF('Dry_Litterbag Placem_Collection'!G17="","",'Dry_Litterbag Placem_Collection'!G17)</f>
        <v>43007</v>
      </c>
      <c r="S310" s="194">
        <f>IFERROR(INDEX('Both teabags AfterDry'!$D$3:$D$2000,MATCH(H310,'Both teabags AfterDry'!$A$3:$A$2000,0)),"")</f>
        <v>1.8631</v>
      </c>
      <c r="T310" s="194">
        <f>IFERROR(INDEX('Both teabags AfterDry'!$D$3:$D$2000,MATCH(I310,'Both teabags AfterDry'!$A$3:$A$2000,0)),"")</f>
        <v>1.8989</v>
      </c>
      <c r="U310" s="194">
        <f t="shared" si="45"/>
        <v>1.7124999999999999</v>
      </c>
      <c r="V310" s="194">
        <f t="shared" si="46"/>
        <v>1.7483</v>
      </c>
      <c r="W310" s="194">
        <f>IFERROR(INDEX('Ashed teabags dry'!$K$2:$K$2000,MATCH(H310,'Ashed teabags dry'!$A$2:$A$2000,0)),"")</f>
        <v>6.134371957156727</v>
      </c>
      <c r="X310" s="194">
        <f>IFERROR(INDEX('Ashed teabags dry'!$K$2:$K$2000,MATCH(I310,'Ashed teabags dry'!$A$2:$A$2000,0)),"")</f>
        <v>3.0414746543770974</v>
      </c>
      <c r="Y310" s="194">
        <f t="shared" si="41"/>
        <v>1.607448880233691</v>
      </c>
      <c r="Z310" s="194">
        <f t="shared" si="41"/>
        <v>1.6951258986175253</v>
      </c>
      <c r="AA310" s="194">
        <f t="shared" si="47"/>
        <v>9.0327274928959089E-2</v>
      </c>
      <c r="AB310" s="194">
        <f t="shared" si="48"/>
        <v>5.9216930832286713E-2</v>
      </c>
      <c r="AC310" s="194">
        <f t="shared" si="42"/>
        <v>0.89270588475504331</v>
      </c>
      <c r="AD310">
        <f t="shared" si="49"/>
        <v>69</v>
      </c>
      <c r="AE310" s="194">
        <f t="shared" si="50"/>
        <v>0.89272295139078495</v>
      </c>
      <c r="AF310" s="194" t="str">
        <f t="shared" si="51"/>
        <v/>
      </c>
      <c r="AG310" s="252" t="str">
        <f>IF(ISNUMBER(SEARCH("C", 'Dry_Litterbag Placem_Collection'!$V17)),"YES","NO")</f>
        <v>NO</v>
      </c>
      <c r="AH310" s="252" t="str">
        <f>IF(ISNUMBER(SEARCH("H", 'Dry_Litterbag Placem_Collection'!$V17)),"YES","NO")</f>
        <v>NO</v>
      </c>
      <c r="AI310" s="252" t="str">
        <f>IF(ISNUMBER(SEARCH("R", 'Dry_Litterbag Placem_Collection'!$V17)),"YES","NO")</f>
        <v>NO</v>
      </c>
      <c r="AJ310" s="252" t="str">
        <f>IF(ISNUMBER(SEARCH("C", 'Dry_Litterbag Placem_Collection'!$U17)),"YES","NO")</f>
        <v>NO</v>
      </c>
      <c r="AK310" s="252" t="str">
        <f>IF(ISNUMBER(SEARCH("H", 'Dry_Litterbag Placem_Collection'!$U17)),"YES","NO")</f>
        <v>NO</v>
      </c>
      <c r="AL310" s="252" t="str">
        <f>IF(ISNUMBER(SEARCH("R", 'Dry_Litterbag Placem_Collection'!$U17)),"YES","NO")</f>
        <v>NO</v>
      </c>
    </row>
    <row r="311" spans="2:38">
      <c r="B311" t="str">
        <f>'Final data_for_R_analysis_Dryse'!A457</f>
        <v>Dry</v>
      </c>
      <c r="C311" s="260">
        <f>'Final data_for_R_analysis_Dryse'!B457</f>
        <v>16</v>
      </c>
      <c r="D311" t="s">
        <v>3802</v>
      </c>
      <c r="E311" t="s">
        <v>25</v>
      </c>
      <c r="F311" s="382">
        <v>8</v>
      </c>
      <c r="G311" s="383">
        <f>IF('Dry_Litterbag Placem_Collection'!E18="","",'Dry_Litterbag Placem_Collection'!E18)</f>
        <v>42938</v>
      </c>
      <c r="H311" s="92" t="str">
        <f>'Final data_for_R_analysis_Dryse'!K457</f>
        <v>G662</v>
      </c>
      <c r="I311" t="str">
        <f>'Final data_for_R_analysis_Dryse'!K677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43"/>
        <v>1.8851999999999998</v>
      </c>
      <c r="M311" s="237">
        <f>AVERAGE(Ashed_controlls!$K$1:$K$11)</f>
        <v>5.5147656768714146</v>
      </c>
      <c r="N311" s="194">
        <f t="shared" si="39"/>
        <v>1.7812356374596199</v>
      </c>
      <c r="O311" s="194">
        <f t="shared" si="44"/>
        <v>1.9531999999999998</v>
      </c>
      <c r="P311" s="237">
        <f>AVERAGE(Ashed_controlls!$K$12:$K$14)</f>
        <v>2.2816647271287041</v>
      </c>
      <c r="Q311" s="194">
        <f t="shared" si="40"/>
        <v>1.908634524549722</v>
      </c>
      <c r="R311" s="383">
        <f>IF('Dry_Litterbag Placem_Collection'!G18="","",'Dry_Litterbag Placem_Collection'!G18)</f>
        <v>43007</v>
      </c>
      <c r="S311" s="194" t="str">
        <f>IFERROR(INDEX('Both teabags AfterDry'!$D$3:$D$2000,MATCH(H311,'Both teabags AfterDry'!$A$3:$A$2000,0)),"")</f>
        <v/>
      </c>
      <c r="T311" s="194" t="str">
        <f>IFERROR(INDEX('Both teabags AfterDry'!$D$3:$D$2000,MATCH(I311,'Both teabags AfterDry'!$A$3:$A$2000,0)),"")</f>
        <v/>
      </c>
      <c r="U311" s="194" t="str">
        <f t="shared" si="45"/>
        <v/>
      </c>
      <c r="V311" s="194" t="str">
        <f t="shared" si="46"/>
        <v/>
      </c>
      <c r="W311" s="194" t="str">
        <f>IFERROR(INDEX('Ashed teabags dry'!$K$2:$K$2000,MATCH(H311,'Ashed teabags dry'!$A$2:$A$2000,0)),"")</f>
        <v/>
      </c>
      <c r="X311" s="194" t="str">
        <f>IFERROR(INDEX('Ashed teabags dry'!$K$2:$K$2000,MATCH(I311,'Ashed teabags dry'!$A$2:$A$2000,0)),"")</f>
        <v/>
      </c>
      <c r="Y311" s="194" t="str">
        <f t="shared" si="41"/>
        <v/>
      </c>
      <c r="Z311" s="194" t="str">
        <f t="shared" si="41"/>
        <v/>
      </c>
      <c r="AA311" s="194" t="str">
        <f t="shared" si="47"/>
        <v/>
      </c>
      <c r="AB311" s="194" t="str">
        <f t="shared" si="48"/>
        <v/>
      </c>
      <c r="AC311" s="194" t="str">
        <f t="shared" si="42"/>
        <v/>
      </c>
      <c r="AD311">
        <f t="shared" si="49"/>
        <v>69</v>
      </c>
      <c r="AE311" s="194" t="str">
        <f t="shared" si="50"/>
        <v/>
      </c>
      <c r="AF311" s="194" t="str">
        <f t="shared" si="51"/>
        <v/>
      </c>
      <c r="AG311" s="252" t="str">
        <f>IF(ISNUMBER(SEARCH("C", 'Dry_Litterbag Placem_Collection'!$V18)),"YES","NO")</f>
        <v>NO</v>
      </c>
      <c r="AH311" s="252" t="str">
        <f>IF(ISNUMBER(SEARCH("H", 'Dry_Litterbag Placem_Collection'!$V18)),"YES","NO")</f>
        <v>NO</v>
      </c>
      <c r="AI311" s="252" t="str">
        <f>IF(ISNUMBER(SEARCH("R", 'Dry_Litterbag Placem_Collection'!$V18)),"YES","NO")</f>
        <v>NO</v>
      </c>
      <c r="AJ311" s="252" t="str">
        <f>IF(ISNUMBER(SEARCH("C", 'Dry_Litterbag Placem_Collection'!$U18)),"YES","NO")</f>
        <v>NO</v>
      </c>
      <c r="AK311" s="252" t="str">
        <f>IF(ISNUMBER(SEARCH("H", 'Dry_Litterbag Placem_Collection'!$U18)),"YES","NO")</f>
        <v>NO</v>
      </c>
      <c r="AL311" s="252" t="str">
        <f>IF(ISNUMBER(SEARCH("R", 'Dry_Litterbag Placem_Collection'!$U18)),"YES","NO")</f>
        <v>YES</v>
      </c>
    </row>
    <row r="312" spans="2:38">
      <c r="B312" t="str">
        <f>'Final data_for_R_analysis_Dryse'!A458</f>
        <v>Dry</v>
      </c>
      <c r="C312" s="260">
        <f>'Final data_for_R_analysis_Dryse'!B458</f>
        <v>17</v>
      </c>
      <c r="D312" t="s">
        <v>3803</v>
      </c>
      <c r="E312" t="s">
        <v>25</v>
      </c>
      <c r="F312" s="381">
        <v>1</v>
      </c>
      <c r="G312" s="383">
        <f>IF('Dry_Litterbag Placem_Collection'!E19="","",'Dry_Litterbag Placem_Collection'!E19)</f>
        <v>42936</v>
      </c>
      <c r="H312" s="92" t="str">
        <f>'Final data_for_R_analysis_Dryse'!K458</f>
        <v>G349</v>
      </c>
      <c r="I312" t="str">
        <f>'Final data_for_R_analysis_Dryse'!K678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43"/>
        <v>1.6952</v>
      </c>
      <c r="M312" s="237">
        <f>AVERAGE(Ashed_controlls!$K$1:$K$11)</f>
        <v>5.5147656768714146</v>
      </c>
      <c r="N312" s="194">
        <f t="shared" si="39"/>
        <v>1.6017136922456758</v>
      </c>
      <c r="O312" s="194">
        <f t="shared" si="44"/>
        <v>1.9361999999999999</v>
      </c>
      <c r="P312" s="237">
        <f>AVERAGE(Ashed_controlls!$K$12:$K$14)</f>
        <v>2.2816647271287041</v>
      </c>
      <c r="Q312" s="194">
        <f t="shared" si="40"/>
        <v>1.8920224075533341</v>
      </c>
      <c r="R312" s="383">
        <f>IF('Dry_Litterbag Placem_Collection'!G19="","",'Dry_Litterbag Placem_Collection'!G19)</f>
        <v>43007</v>
      </c>
      <c r="S312" s="194">
        <f>IFERROR(INDEX('Both teabags AfterDry'!$D$3:$D$2000,MATCH(H312,'Both teabags AfterDry'!$A$3:$A$2000,0)),"")</f>
        <v>1.7968</v>
      </c>
      <c r="T312" s="194">
        <f>IFERROR(INDEX('Both teabags AfterDry'!$D$3:$D$2000,MATCH(I312,'Both teabags AfterDry'!$A$3:$A$2000,0)),"")</f>
        <v>2.0062000000000002</v>
      </c>
      <c r="U312" s="194">
        <f t="shared" si="45"/>
        <v>1.6461999999999999</v>
      </c>
      <c r="V312" s="194">
        <f t="shared" si="46"/>
        <v>1.8556000000000001</v>
      </c>
      <c r="W312" s="194">
        <f>IFERROR(INDEX('Ashed teabags dry'!$K$2:$K$2000,MATCH(H312,'Ashed teabags dry'!$A$2:$A$2000,0)),"")</f>
        <v>5.923344947734277</v>
      </c>
      <c r="X312" s="194">
        <f>IFERROR(INDEX('Ashed teabags dry'!$K$2:$K$2000,MATCH(I312,'Ashed teabags dry'!$A$2:$A$2000,0)),"")</f>
        <v>2.9004329004331213</v>
      </c>
      <c r="Y312" s="194">
        <f t="shared" si="41"/>
        <v>1.5486898954703983</v>
      </c>
      <c r="Z312" s="194">
        <f t="shared" si="41"/>
        <v>1.8017795670995631</v>
      </c>
      <c r="AA312" s="194">
        <f t="shared" si="47"/>
        <v>3.3104416246161783E-2</v>
      </c>
      <c r="AB312" s="194">
        <f t="shared" si="48"/>
        <v>2.1702657681569267E-2</v>
      </c>
      <c r="AC312" s="194">
        <f t="shared" si="42"/>
        <v>0.95230350333404967</v>
      </c>
      <c r="AD312">
        <f t="shared" si="49"/>
        <v>71</v>
      </c>
      <c r="AE312" s="194">
        <f t="shared" si="50"/>
        <v>0.96068359115657742</v>
      </c>
      <c r="AF312" s="194" t="str">
        <f t="shared" si="51"/>
        <v/>
      </c>
      <c r="AG312" s="252" t="str">
        <f>IF(ISNUMBER(SEARCH("C", 'Dry_Litterbag Placem_Collection'!$V19)),"YES","NO")</f>
        <v>NO</v>
      </c>
      <c r="AH312" s="252" t="str">
        <f>IF(ISNUMBER(SEARCH("H", 'Dry_Litterbag Placem_Collection'!$V19)),"YES","NO")</f>
        <v>NO</v>
      </c>
      <c r="AI312" s="252" t="str">
        <f>IF(ISNUMBER(SEARCH("R", 'Dry_Litterbag Placem_Collection'!$V19)),"YES","NO")</f>
        <v>NO</v>
      </c>
      <c r="AJ312" s="252" t="str">
        <f>IF(ISNUMBER(SEARCH("C", 'Dry_Litterbag Placem_Collection'!$U19)),"YES","NO")</f>
        <v>NO</v>
      </c>
      <c r="AK312" s="252" t="str">
        <f>IF(ISNUMBER(SEARCH("H", 'Dry_Litterbag Placem_Collection'!$U19)),"YES","NO")</f>
        <v>NO</v>
      </c>
      <c r="AL312" s="252" t="str">
        <f>IF(ISNUMBER(SEARCH("R", 'Dry_Litterbag Placem_Collection'!$U19)),"YES","NO")</f>
        <v>NO</v>
      </c>
    </row>
    <row r="313" spans="2:38">
      <c r="B313" t="str">
        <f>'Final data_for_R_analysis_Dryse'!A459</f>
        <v>Dry</v>
      </c>
      <c r="C313" s="260">
        <f>'Final data_for_R_analysis_Dryse'!B459</f>
        <v>18</v>
      </c>
      <c r="D313" t="s">
        <v>3803</v>
      </c>
      <c r="E313" t="s">
        <v>25</v>
      </c>
      <c r="F313" s="381">
        <v>2</v>
      </c>
      <c r="G313" s="383">
        <f>IF('Dry_Litterbag Placem_Collection'!E20="","",'Dry_Litterbag Placem_Collection'!E20)</f>
        <v>42936</v>
      </c>
      <c r="H313" s="92" t="str">
        <f>'Final data_for_R_analysis_Dryse'!K459</f>
        <v>G113</v>
      </c>
      <c r="I313" t="str">
        <f>'Final data_for_R_analysis_Dryse'!K679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43"/>
        <v>1.8041999999999998</v>
      </c>
      <c r="M313" s="237">
        <f>AVERAGE(Ashed_controlls!$K$1:$K$11)</f>
        <v>5.5147656768714146</v>
      </c>
      <c r="N313" s="194">
        <f t="shared" si="39"/>
        <v>1.7047025976578858</v>
      </c>
      <c r="O313" s="194">
        <f t="shared" si="44"/>
        <v>1.9712000000000001</v>
      </c>
      <c r="P313" s="237">
        <f>AVERAGE(Ashed_controlls!$K$12:$K$14)</f>
        <v>2.2816647271287041</v>
      </c>
      <c r="Q313" s="194">
        <f t="shared" si="40"/>
        <v>1.926223824898839</v>
      </c>
      <c r="R313" s="383">
        <f>IF('Dry_Litterbag Placem_Collection'!G20="","",'Dry_Litterbag Placem_Collection'!G20)</f>
        <v>43007</v>
      </c>
      <c r="S313" s="194">
        <f>IFERROR(INDEX('Both teabags AfterDry'!$D$3:$D$2000,MATCH(H313,'Both teabags AfterDry'!$A$3:$A$2000,0)),"")</f>
        <v>1.8204</v>
      </c>
      <c r="T313" s="194">
        <f>IFERROR(INDEX('Both teabags AfterDry'!$D$3:$D$2000,MATCH(I313,'Both teabags AfterDry'!$A$3:$A$2000,0)),"")</f>
        <v>2.0156999999999998</v>
      </c>
      <c r="U313" s="194">
        <f t="shared" si="45"/>
        <v>1.6698</v>
      </c>
      <c r="V313" s="194">
        <f t="shared" si="46"/>
        <v>1.8650999999999998</v>
      </c>
      <c r="W313" s="194">
        <f>IFERROR(INDEX('Ashed teabags dry'!$K$2:$K$2000,MATCH(H313,'Ashed teabags dry'!$A$2:$A$2000,0)),"")</f>
        <v>6.7017711823853698</v>
      </c>
      <c r="X313" s="194">
        <f>IFERROR(INDEX('Ashed teabags dry'!$K$2:$K$2000,MATCH(I313,'Ashed teabags dry'!$A$2:$A$2000,0)),"")</f>
        <v>2.3668639053252516</v>
      </c>
      <c r="Y313" s="194">
        <f t="shared" si="41"/>
        <v>1.557893824796529</v>
      </c>
      <c r="Z313" s="194">
        <f t="shared" si="41"/>
        <v>1.8209556213017786</v>
      </c>
      <c r="AA313" s="194">
        <f t="shared" si="47"/>
        <v>8.6119873966907345E-2</v>
      </c>
      <c r="AB313" s="194">
        <f t="shared" si="48"/>
        <v>5.6458634714647127E-2</v>
      </c>
      <c r="AC313" s="194">
        <f t="shared" si="42"/>
        <v>0.94534996284630168</v>
      </c>
      <c r="AD313">
        <f t="shared" si="49"/>
        <v>71</v>
      </c>
      <c r="AE313" s="194">
        <f t="shared" si="50"/>
        <v>0.89771986464737841</v>
      </c>
      <c r="AF313" s="194">
        <f t="shared" si="51"/>
        <v>4.8464176399051456E-2</v>
      </c>
      <c r="AG313" s="252" t="str">
        <f>IF(ISNUMBER(SEARCH("C", 'Dry_Litterbag Placem_Collection'!$V20)),"YES","NO")</f>
        <v>NO</v>
      </c>
      <c r="AH313" s="252" t="str">
        <f>IF(ISNUMBER(SEARCH("H", 'Dry_Litterbag Placem_Collection'!$V20)),"YES","NO")</f>
        <v>NO</v>
      </c>
      <c r="AI313" s="252" t="str">
        <f>IF(ISNUMBER(SEARCH("R", 'Dry_Litterbag Placem_Collection'!$V20)),"YES","NO")</f>
        <v>NO</v>
      </c>
      <c r="AJ313" s="252" t="str">
        <f>IF(ISNUMBER(SEARCH("C", 'Dry_Litterbag Placem_Collection'!$U20)),"YES","NO")</f>
        <v>NO</v>
      </c>
      <c r="AK313" s="252" t="str">
        <f>IF(ISNUMBER(SEARCH("H", 'Dry_Litterbag Placem_Collection'!$U20)),"YES","NO")</f>
        <v>NO</v>
      </c>
      <c r="AL313" s="252" t="str">
        <f>IF(ISNUMBER(SEARCH("R", 'Dry_Litterbag Placem_Collection'!$U20)),"YES","NO")</f>
        <v>NO</v>
      </c>
    </row>
    <row r="314" spans="2:38">
      <c r="B314" t="str">
        <f>'Final data_for_R_analysis_Dryse'!A460</f>
        <v>Dry</v>
      </c>
      <c r="C314" s="260">
        <f>'Final data_for_R_analysis_Dryse'!B460</f>
        <v>19</v>
      </c>
      <c r="D314" t="s">
        <v>3803</v>
      </c>
      <c r="E314" t="s">
        <v>25</v>
      </c>
      <c r="F314" s="381">
        <v>3</v>
      </c>
      <c r="G314" s="383">
        <f>IF('Dry_Litterbag Placem_Collection'!E21="","",'Dry_Litterbag Placem_Collection'!E21)</f>
        <v>42936</v>
      </c>
      <c r="H314" s="92" t="str">
        <f>'Final data_for_R_analysis_Dryse'!K460</f>
        <v>G394</v>
      </c>
      <c r="I314" t="str">
        <f>'Final data_for_R_analysis_Dryse'!K680</f>
        <v>R280</v>
      </c>
      <c r="J314">
        <f>IFERROR(INDEX('Green_rooibos initial weight'!$C$5:$C$2000,MATCH(H314, 'Green_rooibos initial weight'!$A$5:$A$2000,0)),"")</f>
        <v>2.056</v>
      </c>
      <c r="K314">
        <f>IFERROR(INDEX('Green_rooibos initial weight'!$C$5:$C$2000,MATCH(I314, 'Green_rooibos initial weight'!$A$5:$A$2000,0)),"")</f>
        <v>2.11</v>
      </c>
      <c r="L314" s="194">
        <f t="shared" si="43"/>
        <v>1.8062</v>
      </c>
      <c r="M314" s="237">
        <f>AVERAGE(Ashed_controlls!$K$1:$K$11)</f>
        <v>5.5147656768714146</v>
      </c>
      <c r="N314" s="194">
        <f t="shared" si="39"/>
        <v>1.7065923023443486</v>
      </c>
      <c r="O314" s="194">
        <f t="shared" si="44"/>
        <v>1.8601999999999999</v>
      </c>
      <c r="P314" s="237">
        <f>AVERAGE(Ashed_controlls!$K$12:$K$14)</f>
        <v>2.2816647271287041</v>
      </c>
      <c r="Q314" s="194">
        <f t="shared" si="40"/>
        <v>1.8177564727459516</v>
      </c>
      <c r="R314" s="383">
        <f>IF('Dry_Litterbag Placem_Collection'!G21="","",'Dry_Litterbag Placem_Collection'!G21)</f>
        <v>43007</v>
      </c>
      <c r="S314" s="194">
        <f>IFERROR(INDEX('Both teabags AfterDry'!$D$3:$D$2000,MATCH(H314,'Both teabags AfterDry'!$A$3:$A$2000,0)),"")</f>
        <v>1.8532999999999999</v>
      </c>
      <c r="T314" s="194">
        <f>IFERROR(INDEX('Both teabags AfterDry'!$D$3:$D$2000,MATCH(I314,'Both teabags AfterDry'!$A$3:$A$2000,0)),"")</f>
        <v>1.9007000000000001</v>
      </c>
      <c r="U314" s="194">
        <f t="shared" si="45"/>
        <v>1.7026999999999999</v>
      </c>
      <c r="V314" s="194">
        <f t="shared" si="46"/>
        <v>1.7501</v>
      </c>
      <c r="W314" s="194">
        <f>IFERROR(INDEX('Ashed teabags dry'!$K$2:$K$2000,MATCH(H314,'Ashed teabags dry'!$A$2:$A$2000,0)),"")</f>
        <v>6.2286689419790493</v>
      </c>
      <c r="X314" s="194">
        <f>IFERROR(INDEX('Ashed teabags dry'!$K$2:$K$2000,MATCH(I314,'Ashed teabags dry'!$A$2:$A$2000,0)),"")</f>
        <v>2.6531596719727872</v>
      </c>
      <c r="Y314" s="194">
        <f t="shared" si="41"/>
        <v>1.5966444539249227</v>
      </c>
      <c r="Z314" s="194">
        <f t="shared" si="41"/>
        <v>1.7036670525808042</v>
      </c>
      <c r="AA314" s="194">
        <f t="shared" si="47"/>
        <v>6.4425374630127097E-2</v>
      </c>
      <c r="AB314" s="194">
        <f t="shared" si="48"/>
        <v>4.223611258412132E-2</v>
      </c>
      <c r="AC314" s="194">
        <f t="shared" si="42"/>
        <v>0.9372361359314535</v>
      </c>
      <c r="AD314">
        <f t="shared" si="49"/>
        <v>71</v>
      </c>
      <c r="AE314" s="194">
        <f t="shared" si="50"/>
        <v>0.9234853032896353</v>
      </c>
      <c r="AF314" s="194" t="str">
        <f t="shared" si="51"/>
        <v/>
      </c>
      <c r="AG314" s="252" t="str">
        <f>IF(ISNUMBER(SEARCH("C", 'Dry_Litterbag Placem_Collection'!$V21)),"YES","NO")</f>
        <v>NO</v>
      </c>
      <c r="AH314" s="252" t="str">
        <f>IF(ISNUMBER(SEARCH("H", 'Dry_Litterbag Placem_Collection'!$V21)),"YES","NO")</f>
        <v>NO</v>
      </c>
      <c r="AI314" s="252" t="str">
        <f>IF(ISNUMBER(SEARCH("R", 'Dry_Litterbag Placem_Collection'!$V21)),"YES","NO")</f>
        <v>NO</v>
      </c>
      <c r="AJ314" s="252" t="str">
        <f>IF(ISNUMBER(SEARCH("C", 'Dry_Litterbag Placem_Collection'!$U21)),"YES","NO")</f>
        <v>NO</v>
      </c>
      <c r="AK314" s="252" t="str">
        <f>IF(ISNUMBER(SEARCH("H", 'Dry_Litterbag Placem_Collection'!$U21)),"YES","NO")</f>
        <v>NO</v>
      </c>
      <c r="AL314" s="252" t="str">
        <f>IF(ISNUMBER(SEARCH("R", 'Dry_Litterbag Placem_Collection'!$U21)),"YES","NO")</f>
        <v>NO</v>
      </c>
    </row>
    <row r="315" spans="2:38">
      <c r="B315" t="str">
        <f>'Final data_for_R_analysis_Dryse'!A461</f>
        <v>Dry</v>
      </c>
      <c r="C315" s="260">
        <f>'Final data_for_R_analysis_Dryse'!B461</f>
        <v>20</v>
      </c>
      <c r="D315" t="s">
        <v>3803</v>
      </c>
      <c r="E315" t="s">
        <v>25</v>
      </c>
      <c r="F315" s="382">
        <v>4</v>
      </c>
      <c r="G315" s="383">
        <f>IF('Dry_Litterbag Placem_Collection'!E22="","",'Dry_Litterbag Placem_Collection'!E22)</f>
        <v>42936</v>
      </c>
      <c r="H315" s="92" t="str">
        <f>'Final data_for_R_analysis_Dryse'!K461</f>
        <v>G79</v>
      </c>
      <c r="I315" t="str">
        <f>'Final data_for_R_analysis_Dryse'!K681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43"/>
        <v>1.8622000000000001</v>
      </c>
      <c r="M315" s="237">
        <f>AVERAGE(Ashed_controlls!$K$1:$K$11)</f>
        <v>5.5147656768714146</v>
      </c>
      <c r="N315" s="194">
        <f t="shared" si="39"/>
        <v>1.7595040335653005</v>
      </c>
      <c r="O315" s="194">
        <f t="shared" si="44"/>
        <v>1.8961999999999999</v>
      </c>
      <c r="P315" s="237">
        <f>AVERAGE(Ashed_controlls!$K$12:$K$14)</f>
        <v>2.2816647271287041</v>
      </c>
      <c r="Q315" s="194">
        <f t="shared" si="40"/>
        <v>1.8529350734441854</v>
      </c>
      <c r="R315" s="383">
        <f>IF('Dry_Litterbag Placem_Collection'!G22="","",'Dry_Litterbag Placem_Collection'!G22)</f>
        <v>43007</v>
      </c>
      <c r="S315" s="194">
        <f>IFERROR(INDEX('Both teabags AfterDry'!$D$3:$D$2000,MATCH(H315,'Both teabags AfterDry'!$A$3:$A$2000,0)),"")</f>
        <v>1.8559000000000001</v>
      </c>
      <c r="T315" s="194">
        <f>IFERROR(INDEX('Both teabags AfterDry'!$D$3:$D$2000,MATCH(I315,'Both teabags AfterDry'!$A$3:$A$2000,0)),"")</f>
        <v>1.9332</v>
      </c>
      <c r="U315" s="194">
        <f t="shared" si="45"/>
        <v>1.7053</v>
      </c>
      <c r="V315" s="194">
        <f t="shared" si="46"/>
        <v>1.7826</v>
      </c>
      <c r="W315" s="194">
        <f>IFERROR(INDEX('Ashed teabags dry'!$K$2:$K$2000,MATCH(H315,'Ashed teabags dry'!$A$2:$A$2000,0)),"")</f>
        <v>6.4935064935060867</v>
      </c>
      <c r="X315" s="194">
        <f>IFERROR(INDEX('Ashed teabags dry'!$K$2:$K$2000,MATCH(I315,'Ashed teabags dry'!$A$2:$A$2000,0)),"")</f>
        <v>2.2439024390243194</v>
      </c>
      <c r="Y315" s="194">
        <f t="shared" si="41"/>
        <v>1.5945662337662407</v>
      </c>
      <c r="Z315" s="194">
        <f t="shared" si="41"/>
        <v>1.7426001951219525</v>
      </c>
      <c r="AA315" s="194">
        <f t="shared" si="47"/>
        <v>9.3741075128338625E-2</v>
      </c>
      <c r="AB315" s="194">
        <f t="shared" si="48"/>
        <v>6.1454956616203017E-2</v>
      </c>
      <c r="AC315" s="194">
        <f t="shared" si="42"/>
        <v>0.94045399652501294</v>
      </c>
      <c r="AD315">
        <f t="shared" si="49"/>
        <v>71</v>
      </c>
      <c r="AE315" s="194">
        <f t="shared" si="50"/>
        <v>0.88866855685470469</v>
      </c>
      <c r="AF315" s="194">
        <f t="shared" si="51"/>
        <v>4.8897880218682056E-2</v>
      </c>
      <c r="AG315" s="252" t="str">
        <f>IF(ISNUMBER(SEARCH("C", 'Dry_Litterbag Placem_Collection'!$V22)),"YES","NO")</f>
        <v>NO</v>
      </c>
      <c r="AH315" s="252" t="str">
        <f>IF(ISNUMBER(SEARCH("H", 'Dry_Litterbag Placem_Collection'!$V22)),"YES","NO")</f>
        <v>NO</v>
      </c>
      <c r="AI315" s="252" t="str">
        <f>IF(ISNUMBER(SEARCH("R", 'Dry_Litterbag Placem_Collection'!$V22)),"YES","NO")</f>
        <v>NO</v>
      </c>
      <c r="AJ315" s="252" t="str">
        <f>IF(ISNUMBER(SEARCH("C", 'Dry_Litterbag Placem_Collection'!$U22)),"YES","NO")</f>
        <v>NO</v>
      </c>
      <c r="AK315" s="252" t="str">
        <f>IF(ISNUMBER(SEARCH("H", 'Dry_Litterbag Placem_Collection'!$U22)),"YES","NO")</f>
        <v>NO</v>
      </c>
      <c r="AL315" s="252" t="str">
        <f>IF(ISNUMBER(SEARCH("R", 'Dry_Litterbag Placem_Collection'!$U22)),"YES","NO")</f>
        <v>NO</v>
      </c>
    </row>
    <row r="316" spans="2:38">
      <c r="B316" t="str">
        <f>'Final data_for_R_analysis_Dryse'!A462</f>
        <v>Dry</v>
      </c>
      <c r="C316" s="260">
        <f>'Final data_for_R_analysis_Dryse'!B462</f>
        <v>21</v>
      </c>
      <c r="D316" t="s">
        <v>3803</v>
      </c>
      <c r="E316" t="s">
        <v>25</v>
      </c>
      <c r="F316" s="382">
        <v>5</v>
      </c>
      <c r="G316" s="383">
        <f>IF('Dry_Litterbag Placem_Collection'!E23="","",'Dry_Litterbag Placem_Collection'!E23)</f>
        <v>42936</v>
      </c>
      <c r="H316" s="92" t="str">
        <f>'Final data_for_R_analysis_Dryse'!K462</f>
        <v>G488</v>
      </c>
      <c r="I316" t="str">
        <f>'Final data_for_R_analysis_Dryse'!K682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43"/>
        <v>1.7412000000000001</v>
      </c>
      <c r="M316" s="237">
        <f>AVERAGE(Ashed_controlls!$K$1:$K$11)</f>
        <v>5.5147656768714146</v>
      </c>
      <c r="N316" s="194">
        <f t="shared" si="39"/>
        <v>1.645176900034315</v>
      </c>
      <c r="O316" s="194">
        <f t="shared" si="44"/>
        <v>1.9571999999999998</v>
      </c>
      <c r="P316" s="237">
        <f>AVERAGE(Ashed_controlls!$K$12:$K$14)</f>
        <v>2.2816647271287041</v>
      </c>
      <c r="Q316" s="194">
        <f t="shared" si="40"/>
        <v>1.9125432579606367</v>
      </c>
      <c r="R316" s="383">
        <f>IF('Dry_Litterbag Placem_Collection'!G23="","",'Dry_Litterbag Placem_Collection'!G23)</f>
        <v>43007</v>
      </c>
      <c r="S316" s="194" t="str">
        <f>IFERROR(INDEX('Both teabags AfterDry'!$D$3:$D$2000,MATCH(H316,'Both teabags AfterDry'!$A$3:$A$2000,0)),"")</f>
        <v/>
      </c>
      <c r="T316" s="194" t="str">
        <f>IFERROR(INDEX('Both teabags AfterDry'!$D$3:$D$2000,MATCH(I316,'Both teabags AfterDry'!$A$3:$A$2000,0)),"")</f>
        <v/>
      </c>
      <c r="U316" s="194" t="str">
        <f t="shared" si="45"/>
        <v/>
      </c>
      <c r="V316" s="194" t="str">
        <f t="shared" si="46"/>
        <v/>
      </c>
      <c r="W316" s="194" t="str">
        <f>IFERROR(INDEX('Ashed teabags dry'!$K$2:$K$2000,MATCH(H316,'Ashed teabags dry'!$A$2:$A$2000,0)),"")</f>
        <v/>
      </c>
      <c r="X316" s="194" t="str">
        <f>IFERROR(INDEX('Ashed teabags dry'!$K$2:$K$2000,MATCH(I316,'Ashed teabags dry'!$A$2:$A$2000,0)),"")</f>
        <v/>
      </c>
      <c r="Y316" s="194" t="str">
        <f t="shared" si="41"/>
        <v/>
      </c>
      <c r="Z316" s="194" t="str">
        <f t="shared" si="41"/>
        <v/>
      </c>
      <c r="AA316" s="194" t="str">
        <f t="shared" si="47"/>
        <v/>
      </c>
      <c r="AB316" s="194" t="str">
        <f t="shared" si="48"/>
        <v/>
      </c>
      <c r="AC316" s="194" t="str">
        <f t="shared" si="42"/>
        <v/>
      </c>
      <c r="AD316">
        <f t="shared" si="49"/>
        <v>71</v>
      </c>
      <c r="AE316" s="194" t="str">
        <f t="shared" si="50"/>
        <v/>
      </c>
      <c r="AF316" s="194" t="str">
        <f t="shared" si="51"/>
        <v/>
      </c>
      <c r="AG316" s="252" t="str">
        <f>IF(ISNUMBER(SEARCH("C", 'Dry_Litterbag Placem_Collection'!$V23)),"YES","NO")</f>
        <v>NO</v>
      </c>
      <c r="AH316" s="252" t="str">
        <f>IF(ISNUMBER(SEARCH("H", 'Dry_Litterbag Placem_Collection'!$V23)),"YES","NO")</f>
        <v>NO</v>
      </c>
      <c r="AI316" s="252" t="str">
        <f>IF(ISNUMBER(SEARCH("R", 'Dry_Litterbag Placem_Collection'!$V23)),"YES","NO")</f>
        <v>NO</v>
      </c>
      <c r="AJ316" s="252" t="str">
        <f>IF(ISNUMBER(SEARCH("C", 'Dry_Litterbag Placem_Collection'!$U23)),"YES","NO")</f>
        <v>NO</v>
      </c>
      <c r="AK316" s="252" t="str">
        <f>IF(ISNUMBER(SEARCH("H", 'Dry_Litterbag Placem_Collection'!$U23)),"YES","NO")</f>
        <v>NO</v>
      </c>
      <c r="AL316" s="252" t="str">
        <f>IF(ISNUMBER(SEARCH("R", 'Dry_Litterbag Placem_Collection'!$U23)),"YES","NO")</f>
        <v>NO</v>
      </c>
    </row>
    <row r="317" spans="2:38">
      <c r="B317" t="str">
        <f>'Final data_for_R_analysis_Dryse'!A463</f>
        <v>Dry</v>
      </c>
      <c r="C317" s="260">
        <f>'Final data_for_R_analysis_Dryse'!B463</f>
        <v>22</v>
      </c>
      <c r="D317" t="s">
        <v>3803</v>
      </c>
      <c r="E317" t="s">
        <v>25</v>
      </c>
      <c r="F317" s="382">
        <v>6</v>
      </c>
      <c r="G317" s="383">
        <f>IF('Dry_Litterbag Placem_Collection'!E24="","",'Dry_Litterbag Placem_Collection'!E24)</f>
        <v>42936</v>
      </c>
      <c r="H317" s="92" t="str">
        <f>'Final data_for_R_analysis_Dryse'!K463</f>
        <v>G750</v>
      </c>
      <c r="I317" t="str">
        <f>'Final data_for_R_analysis_Dryse'!K683</f>
        <v>R646</v>
      </c>
      <c r="J317">
        <f>IFERROR(INDEX('Green_rooibos initial weight'!$C$5:$C$2000,MATCH(H317, 'Green_rooibos initial weight'!$A$5:$A$2000,0)),"")</f>
        <v>1.966</v>
      </c>
      <c r="K317">
        <f>IFERROR(INDEX('Green_rooibos initial weight'!$C$5:$C$2000,MATCH(I317, 'Green_rooibos initial weight'!$A$5:$A$2000,0)),"")</f>
        <v>2.1480000000000001</v>
      </c>
      <c r="L317" s="194">
        <f t="shared" si="43"/>
        <v>1.7161999999999999</v>
      </c>
      <c r="M317" s="237">
        <f>AVERAGE(Ashed_controlls!$K$1:$K$11)</f>
        <v>5.5147656768714146</v>
      </c>
      <c r="N317" s="194">
        <f t="shared" si="39"/>
        <v>1.6215555914535327</v>
      </c>
      <c r="O317" s="194">
        <f t="shared" si="44"/>
        <v>1.8982000000000001</v>
      </c>
      <c r="P317" s="237">
        <f>AVERAGE(Ashed_controlls!$K$12:$K$14)</f>
        <v>2.2816647271287041</v>
      </c>
      <c r="Q317" s="194">
        <f t="shared" si="40"/>
        <v>1.854889440149643</v>
      </c>
      <c r="R317" s="383">
        <f>IF('Dry_Litterbag Placem_Collection'!G24="","",'Dry_Litterbag Placem_Collection'!G24)</f>
        <v>43007</v>
      </c>
      <c r="S317" s="194">
        <f>IFERROR(INDEX('Both teabags AfterDry'!$D$3:$D$2000,MATCH(H317,'Both teabags AfterDry'!$A$3:$A$2000,0)),"")</f>
        <v>1.3833</v>
      </c>
      <c r="T317" s="194">
        <f>IFERROR(INDEX('Both teabags AfterDry'!$D$3:$D$2000,MATCH(I317,'Both teabags AfterDry'!$A$3:$A$2000,0)),"")</f>
        <v>1.8704000000000001</v>
      </c>
      <c r="U317" s="194">
        <f t="shared" si="45"/>
        <v>1.2326999999999999</v>
      </c>
      <c r="V317" s="194">
        <f t="shared" si="46"/>
        <v>1.7198</v>
      </c>
      <c r="W317" s="194">
        <f>IFERROR(INDEX('Ashed teabags dry'!$K$2:$K$2000,MATCH(H317,'Ashed teabags dry'!$A$2:$A$2000,0)),"")</f>
        <v>8.0118694362018044</v>
      </c>
      <c r="X317" s="194">
        <f>IFERROR(INDEX('Ashed teabags dry'!$K$2:$K$2000,MATCH(I317,'Ashed teabags dry'!$A$2:$A$2000,0)),"")</f>
        <v>2.497502497502583</v>
      </c>
      <c r="Y317" s="194">
        <f t="shared" si="41"/>
        <v>1.1339376854599403</v>
      </c>
      <c r="Z317" s="194">
        <f t="shared" si="41"/>
        <v>1.6768479520479507</v>
      </c>
      <c r="AA317" s="194">
        <f t="shared" si="47"/>
        <v>0.30070995318544746</v>
      </c>
      <c r="AB317" s="194">
        <f t="shared" si="48"/>
        <v>0.19714001681516274</v>
      </c>
      <c r="AC317" s="194">
        <f t="shared" si="42"/>
        <v>0.90401504033182223</v>
      </c>
      <c r="AD317">
        <f t="shared" si="49"/>
        <v>71</v>
      </c>
      <c r="AE317" s="194">
        <f t="shared" si="50"/>
        <v>0.64286228837832837</v>
      </c>
      <c r="AF317" s="194">
        <f t="shared" si="51"/>
        <v>9.3980234177306228E-3</v>
      </c>
      <c r="AG317" s="252" t="str">
        <f>IF(ISNUMBER(SEARCH("C", 'Dry_Litterbag Placem_Collection'!$V24)),"YES","NO")</f>
        <v>NO</v>
      </c>
      <c r="AH317" s="252" t="str">
        <f>IF(ISNUMBER(SEARCH("H", 'Dry_Litterbag Placem_Collection'!$V24)),"YES","NO")</f>
        <v>NO</v>
      </c>
      <c r="AI317" s="252" t="str">
        <f>IF(ISNUMBER(SEARCH("R", 'Dry_Litterbag Placem_Collection'!$V24)),"YES","NO")</f>
        <v>NO</v>
      </c>
      <c r="AJ317" s="252" t="str">
        <f>IF(ISNUMBER(SEARCH("C", 'Dry_Litterbag Placem_Collection'!$U24)),"YES","NO")</f>
        <v>NO</v>
      </c>
      <c r="AK317" s="252" t="str">
        <f>IF(ISNUMBER(SEARCH("H", 'Dry_Litterbag Placem_Collection'!$U24)),"YES","NO")</f>
        <v>NO</v>
      </c>
      <c r="AL317" s="252" t="str">
        <f>IF(ISNUMBER(SEARCH("R", 'Dry_Litterbag Placem_Collection'!$U24)),"YES","NO")</f>
        <v>NO</v>
      </c>
    </row>
    <row r="318" spans="2:38">
      <c r="B318" t="str">
        <f>'Final data_for_R_analysis_Dryse'!A464</f>
        <v>Dry</v>
      </c>
      <c r="C318" s="260">
        <f>'Final data_for_R_analysis_Dryse'!B464</f>
        <v>23</v>
      </c>
      <c r="D318" t="s">
        <v>3803</v>
      </c>
      <c r="E318" t="s">
        <v>25</v>
      </c>
      <c r="F318" s="382">
        <v>7</v>
      </c>
      <c r="G318" s="383" t="str">
        <f>IF('Dry_Litterbag Placem_Collection'!E25="","",'Dry_Litterbag Placem_Collection'!E25)</f>
        <v/>
      </c>
      <c r="H318" s="92" t="str">
        <f>'Final data_for_R_analysis_Dryse'!K464</f>
        <v/>
      </c>
      <c r="I318" t="str">
        <f>'Final data_for_R_analysis_Dryse'!K684</f>
        <v/>
      </c>
      <c r="J318" t="str">
        <f>IFERROR(INDEX('Green_rooibos initial weight'!$C$5:$C$2000,MATCH(H318, 'Green_rooibos initial weight'!$A$5:$A$2000,0)),"")</f>
        <v/>
      </c>
      <c r="K318" t="str">
        <f>IFERROR(INDEX('Green_rooibos initial weight'!$C$5:$C$2000,MATCH(I318, 'Green_rooibos initial weight'!$A$5:$A$2000,0)),"")</f>
        <v/>
      </c>
      <c r="L318" s="194" t="str">
        <f t="shared" si="43"/>
        <v/>
      </c>
      <c r="M318" s="237">
        <f>AVERAGE(Ashed_controlls!$K$1:$K$11)</f>
        <v>5.5147656768714146</v>
      </c>
      <c r="N318" s="194" t="str">
        <f t="shared" si="39"/>
        <v/>
      </c>
      <c r="O318" s="194" t="str">
        <f t="shared" si="44"/>
        <v/>
      </c>
      <c r="P318" s="237">
        <f>AVERAGE(Ashed_controlls!$K$12:$K$14)</f>
        <v>2.2816647271287041</v>
      </c>
      <c r="Q318" s="194" t="str">
        <f t="shared" si="40"/>
        <v/>
      </c>
      <c r="R318" s="383" t="str">
        <f>IF('Dry_Litterbag Placem_Collection'!G25="","",'Dry_Litterbag Placem_Collection'!G25)</f>
        <v/>
      </c>
      <c r="S318" s="194" t="str">
        <f>IFERROR(INDEX('Both teabags AfterDry'!$D$3:$D$2000,MATCH(H318,'Both teabags AfterDry'!$A$3:$A$2000,0)),"")</f>
        <v/>
      </c>
      <c r="T318" s="194" t="str">
        <f>IFERROR(INDEX('Both teabags AfterDry'!$D$3:$D$2000,MATCH(I318,'Both teabags AfterDry'!$A$3:$A$2000,0)),"")</f>
        <v/>
      </c>
      <c r="U318" s="194" t="str">
        <f t="shared" si="45"/>
        <v/>
      </c>
      <c r="V318" s="194" t="str">
        <f t="shared" si="46"/>
        <v/>
      </c>
      <c r="W318" s="194" t="str">
        <f>IFERROR(INDEX('Ashed teabags dry'!$K$2:$K$2000,MATCH(H318,'Ashed teabags dry'!$A$2:$A$2000,0)),"")</f>
        <v/>
      </c>
      <c r="X318" s="194" t="str">
        <f>IFERROR(INDEX('Ashed teabags dry'!$K$2:$K$2000,MATCH(I318,'Ashed teabags dry'!$A$2:$A$2000,0)),"")</f>
        <v/>
      </c>
      <c r="Y318" s="194" t="str">
        <f t="shared" si="41"/>
        <v/>
      </c>
      <c r="Z318" s="194" t="str">
        <f t="shared" si="41"/>
        <v/>
      </c>
      <c r="AA318" s="194" t="str">
        <f t="shared" si="47"/>
        <v/>
      </c>
      <c r="AB318" s="194" t="str">
        <f t="shared" si="48"/>
        <v/>
      </c>
      <c r="AC318" s="194" t="str">
        <f t="shared" si="42"/>
        <v/>
      </c>
      <c r="AD318" t="str">
        <f t="shared" si="49"/>
        <v/>
      </c>
      <c r="AE318" s="194" t="str">
        <f t="shared" si="50"/>
        <v/>
      </c>
      <c r="AF318" s="194" t="str">
        <f t="shared" si="51"/>
        <v/>
      </c>
      <c r="AG318" s="252" t="str">
        <f>IF(ISNUMBER(SEARCH("C", 'Dry_Litterbag Placem_Collection'!$V25)),"YES","NO")</f>
        <v>NO</v>
      </c>
      <c r="AH318" s="252" t="str">
        <f>IF(ISNUMBER(SEARCH("H", 'Dry_Litterbag Placem_Collection'!$V25)),"YES","NO")</f>
        <v>NO</v>
      </c>
      <c r="AI318" s="252" t="str">
        <f>IF(ISNUMBER(SEARCH("R", 'Dry_Litterbag Placem_Collection'!$V25)),"YES","NO")</f>
        <v>NO</v>
      </c>
      <c r="AJ318" s="252" t="str">
        <f>IF(ISNUMBER(SEARCH("C", 'Dry_Litterbag Placem_Collection'!$U25)),"YES","NO")</f>
        <v>NO</v>
      </c>
      <c r="AK318" s="252" t="str">
        <f>IF(ISNUMBER(SEARCH("H", 'Dry_Litterbag Placem_Collection'!$U25)),"YES","NO")</f>
        <v>NO</v>
      </c>
      <c r="AL318" s="252" t="str">
        <f>IF(ISNUMBER(SEARCH("R", 'Dry_Litterbag Placem_Collection'!$U25)),"YES","NO")</f>
        <v>NO</v>
      </c>
    </row>
    <row r="319" spans="2:38">
      <c r="B319" t="str">
        <f>'Final data_for_R_analysis_Dryse'!A465</f>
        <v>Dry</v>
      </c>
      <c r="C319" s="260">
        <f>'Final data_for_R_analysis_Dryse'!B465</f>
        <v>24</v>
      </c>
      <c r="D319" t="s">
        <v>3803</v>
      </c>
      <c r="E319" t="s">
        <v>25</v>
      </c>
      <c r="F319" s="382">
        <v>8</v>
      </c>
      <c r="G319" s="383">
        <f>IF('Dry_Litterbag Placem_Collection'!E26="","",'Dry_Litterbag Placem_Collection'!E26)</f>
        <v>42936</v>
      </c>
      <c r="H319" s="92" t="str">
        <f>'Final data_for_R_analysis_Dryse'!K465</f>
        <v>G562</v>
      </c>
      <c r="I319" t="str">
        <f>'Final data_for_R_analysis_Dryse'!K685</f>
        <v>R650</v>
      </c>
      <c r="J319">
        <f>IFERROR(INDEX('Green_rooibos initial weight'!$C$5:$C$2000,MATCH(H319, 'Green_rooibos initial weight'!$A$5:$A$2000,0)),"")</f>
        <v>2.1419999999999999</v>
      </c>
      <c r="K319">
        <f>IFERROR(INDEX('Green_rooibos initial weight'!$C$5:$C$2000,MATCH(I319, 'Green_rooibos initial weight'!$A$5:$A$2000,0)),"")</f>
        <v>2.169</v>
      </c>
      <c r="L319" s="194">
        <f t="shared" si="43"/>
        <v>1.8921999999999999</v>
      </c>
      <c r="M319" s="237">
        <f>AVERAGE(Ashed_controlls!$K$1:$K$11)</f>
        <v>5.5147656768714146</v>
      </c>
      <c r="N319" s="194">
        <f t="shared" si="39"/>
        <v>1.7878496038622389</v>
      </c>
      <c r="O319" s="194">
        <f t="shared" si="44"/>
        <v>1.9192</v>
      </c>
      <c r="P319" s="237">
        <f>AVERAGE(Ashed_controlls!$K$12:$K$14)</f>
        <v>2.2816647271287041</v>
      </c>
      <c r="Q319" s="194">
        <f t="shared" si="40"/>
        <v>1.8754102905569459</v>
      </c>
      <c r="R319" s="383">
        <f>IF('Dry_Litterbag Placem_Collection'!G26="","",'Dry_Litterbag Placem_Collection'!G26)</f>
        <v>43007</v>
      </c>
      <c r="S319" s="194">
        <f>IFERROR(INDEX('Both teabags AfterDry'!$D$3:$D$2000,MATCH(H319,'Both teabags AfterDry'!$A$3:$A$2000,0)),"")</f>
        <v>1.8862000000000001</v>
      </c>
      <c r="T319" s="194">
        <f>IFERROR(INDEX('Both teabags AfterDry'!$D$3:$D$2000,MATCH(I319,'Both teabags AfterDry'!$A$3:$A$2000,0)),"")</f>
        <v>1.9756</v>
      </c>
      <c r="U319" s="194">
        <f t="shared" si="45"/>
        <v>1.7356</v>
      </c>
      <c r="V319" s="194">
        <f t="shared" si="46"/>
        <v>1.825</v>
      </c>
      <c r="W319" s="194">
        <f>IFERROR(INDEX('Ashed teabags dry'!$K$2:$K$2000,MATCH(H319,'Ashed teabags dry'!$A$2:$A$2000,0)),"")</f>
        <v>6.1334641805691774</v>
      </c>
      <c r="X319" s="194">
        <f>IFERROR(INDEX('Ashed teabags dry'!$K$2:$K$2000,MATCH(I319,'Ashed teabags dry'!$A$2:$A$2000,0)),"")</f>
        <v>3.4467713787080392</v>
      </c>
      <c r="Y319" s="194">
        <f t="shared" si="41"/>
        <v>1.6291475956820414</v>
      </c>
      <c r="Z319" s="194">
        <f t="shared" si="41"/>
        <v>1.7620964223385782</v>
      </c>
      <c r="AA319" s="194">
        <f t="shared" si="47"/>
        <v>8.8766978965880705E-2</v>
      </c>
      <c r="AB319" s="194">
        <f t="shared" si="48"/>
        <v>5.8194028965755547E-2</v>
      </c>
      <c r="AC319" s="194">
        <f t="shared" si="42"/>
        <v>0.939579158337285</v>
      </c>
      <c r="AD319">
        <f t="shared" si="49"/>
        <v>71</v>
      </c>
      <c r="AE319" s="194">
        <f t="shared" si="50"/>
        <v>0.89457603448232692</v>
      </c>
      <c r="AF319" s="194" t="str">
        <f t="shared" si="51"/>
        <v/>
      </c>
      <c r="AG319" s="252" t="str">
        <f>IF(ISNUMBER(SEARCH("C", 'Dry_Litterbag Placem_Collection'!$V26)),"YES","NO")</f>
        <v>NO</v>
      </c>
      <c r="AH319" s="252" t="str">
        <f>IF(ISNUMBER(SEARCH("H", 'Dry_Litterbag Placem_Collection'!$V26)),"YES","NO")</f>
        <v>NO</v>
      </c>
      <c r="AI319" s="252" t="str">
        <f>IF(ISNUMBER(SEARCH("R", 'Dry_Litterbag Placem_Collection'!$V26)),"YES","NO")</f>
        <v>NO</v>
      </c>
      <c r="AJ319" s="252" t="str">
        <f>IF(ISNUMBER(SEARCH("C", 'Dry_Litterbag Placem_Collection'!$U26)),"YES","NO")</f>
        <v>NO</v>
      </c>
      <c r="AK319" s="252" t="str">
        <f>IF(ISNUMBER(SEARCH("H", 'Dry_Litterbag Placem_Collection'!$U26)),"YES","NO")</f>
        <v>NO</v>
      </c>
      <c r="AL319" s="252" t="str">
        <f>IF(ISNUMBER(SEARCH("R", 'Dry_Litterbag Placem_Collection'!$U26)),"YES","NO")</f>
        <v>NO</v>
      </c>
    </row>
    <row r="320" spans="2:38">
      <c r="B320" t="str">
        <f>'Final data_for_R_analysis_Dryse'!A466</f>
        <v>Dry</v>
      </c>
      <c r="C320" s="260">
        <f>'Final data_for_R_analysis_Dryse'!B466</f>
        <v>25</v>
      </c>
      <c r="D320" t="s">
        <v>3804</v>
      </c>
      <c r="E320" t="s">
        <v>25</v>
      </c>
      <c r="F320" s="381">
        <v>1</v>
      </c>
      <c r="G320" s="383">
        <f>IF('Dry_Litterbag Placem_Collection'!E27="","",'Dry_Litterbag Placem_Collection'!E27)</f>
        <v>42936</v>
      </c>
      <c r="H320" s="92" t="str">
        <f>'Final data_for_R_analysis_Dryse'!K466</f>
        <v>G156</v>
      </c>
      <c r="I320" t="str">
        <f>'Final data_for_R_analysis_Dryse'!K686</f>
        <v>R230</v>
      </c>
      <c r="J320">
        <f>IFERROR(INDEX('Green_rooibos initial weight'!$C$5:$C$2000,MATCH(H320, 'Green_rooibos initial weight'!$A$5:$A$2000,0)),"")</f>
        <v>1.944</v>
      </c>
      <c r="K320">
        <f>IFERROR(INDEX('Green_rooibos initial weight'!$C$5:$C$2000,MATCH(I320, 'Green_rooibos initial weight'!$A$5:$A$2000,0)),"")</f>
        <v>2.2589999999999999</v>
      </c>
      <c r="L320" s="194">
        <f t="shared" si="43"/>
        <v>1.6941999999999999</v>
      </c>
      <c r="M320" s="237">
        <f>AVERAGE(Ashed_controlls!$K$1:$K$11)</f>
        <v>5.5147656768714146</v>
      </c>
      <c r="N320" s="194">
        <f t="shared" si="39"/>
        <v>1.6007688399024445</v>
      </c>
      <c r="O320" s="194">
        <f t="shared" si="44"/>
        <v>2.0091999999999999</v>
      </c>
      <c r="P320" s="237">
        <f>AVERAGE(Ashed_controlls!$K$12:$K$14)</f>
        <v>2.2816647271287041</v>
      </c>
      <c r="Q320" s="194">
        <f t="shared" si="40"/>
        <v>1.9633567923025299</v>
      </c>
      <c r="R320" s="383">
        <f>IF('Dry_Litterbag Placem_Collection'!G27="","",'Dry_Litterbag Placem_Collection'!G27)</f>
        <v>43007</v>
      </c>
      <c r="S320" s="194">
        <f>IFERROR(INDEX('Both teabags AfterDry'!$D$3:$D$2000,MATCH(H320,'Both teabags AfterDry'!$A$3:$A$2000,0)),"")</f>
        <v>1.8079000000000001</v>
      </c>
      <c r="T320" s="194">
        <f>IFERROR(INDEX('Both teabags AfterDry'!$D$3:$D$2000,MATCH(I320,'Both teabags AfterDry'!$A$3:$A$2000,0)),"")</f>
        <v>2.0360999999999998</v>
      </c>
      <c r="U320" s="194">
        <f t="shared" si="45"/>
        <v>1.6573</v>
      </c>
      <c r="V320" s="194">
        <f t="shared" si="46"/>
        <v>1.8854999999999997</v>
      </c>
      <c r="W320" s="194">
        <f>IFERROR(INDEX('Ashed teabags dry'!$K$2:$K$2000,MATCH(H320,'Ashed teabags dry'!$A$2:$A$2000,0)),"")</f>
        <v>5.9562587249876717</v>
      </c>
      <c r="X320" s="194">
        <f>IFERROR(INDEX('Ashed teabags dry'!$K$2:$K$2000,MATCH(I320,'Ashed teabags dry'!$A$2:$A$2000,0)),"")</f>
        <v>3.0508474576268232</v>
      </c>
      <c r="Y320" s="194">
        <f t="shared" si="41"/>
        <v>1.5585869241507793</v>
      </c>
      <c r="Z320" s="194">
        <f t="shared" si="41"/>
        <v>1.827976271186446</v>
      </c>
      <c r="AA320" s="194">
        <f t="shared" si="47"/>
        <v>2.6351035015296675E-2</v>
      </c>
      <c r="AB320" s="194">
        <f t="shared" si="48"/>
        <v>1.7275262860384537E-2</v>
      </c>
      <c r="AC320" s="194">
        <f t="shared" si="42"/>
        <v>0.9310463988782619</v>
      </c>
      <c r="AD320">
        <f t="shared" si="49"/>
        <v>71</v>
      </c>
      <c r="AE320" s="194">
        <f t="shared" si="50"/>
        <v>0.96870423394857874</v>
      </c>
      <c r="AF320" s="194" t="str">
        <f t="shared" si="51"/>
        <v/>
      </c>
      <c r="AG320" s="252" t="str">
        <f>IF(ISNUMBER(SEARCH("C", 'Dry_Litterbag Placem_Collection'!$V27)),"YES","NO")</f>
        <v>NO</v>
      </c>
      <c r="AH320" s="252" t="str">
        <f>IF(ISNUMBER(SEARCH("H", 'Dry_Litterbag Placem_Collection'!$V27)),"YES","NO")</f>
        <v>NO</v>
      </c>
      <c r="AI320" s="252" t="str">
        <f>IF(ISNUMBER(SEARCH("R", 'Dry_Litterbag Placem_Collection'!$V27)),"YES","NO")</f>
        <v>NO</v>
      </c>
      <c r="AJ320" s="252" t="str">
        <f>IF(ISNUMBER(SEARCH("C", 'Dry_Litterbag Placem_Collection'!$U27)),"YES","NO")</f>
        <v>NO</v>
      </c>
      <c r="AK320" s="252" t="str">
        <f>IF(ISNUMBER(SEARCH("H", 'Dry_Litterbag Placem_Collection'!$U27)),"YES","NO")</f>
        <v>NO</v>
      </c>
      <c r="AL320" s="252" t="str">
        <f>IF(ISNUMBER(SEARCH("R", 'Dry_Litterbag Placem_Collection'!$U27)),"YES","NO")</f>
        <v>NO</v>
      </c>
    </row>
    <row r="321" spans="2:38">
      <c r="B321" t="str">
        <f>'Final data_for_R_analysis_Dryse'!A467</f>
        <v>Dry</v>
      </c>
      <c r="C321" s="260">
        <f>'Final data_for_R_analysis_Dryse'!B467</f>
        <v>26</v>
      </c>
      <c r="D321" t="s">
        <v>3804</v>
      </c>
      <c r="E321" t="s">
        <v>25</v>
      </c>
      <c r="F321" s="381">
        <v>2</v>
      </c>
      <c r="G321" s="383">
        <f>IF('Dry_Litterbag Placem_Collection'!E28="","",'Dry_Litterbag Placem_Collection'!E28)</f>
        <v>42936</v>
      </c>
      <c r="H321" s="92" t="str">
        <f>'Final data_for_R_analysis_Dryse'!K467</f>
        <v>G555</v>
      </c>
      <c r="I321" t="str">
        <f>'Final data_for_R_analysis_Dryse'!K687</f>
        <v>R642</v>
      </c>
      <c r="J321">
        <f>IFERROR(INDEX('Green_rooibos initial weight'!$C$5:$C$2000,MATCH(H321, 'Green_rooibos initial weight'!$A$5:$A$2000,0)),"")</f>
        <v>2.1469999999999998</v>
      </c>
      <c r="K321">
        <f>IFERROR(INDEX('Green_rooibos initial weight'!$C$5:$C$2000,MATCH(I321, 'Green_rooibos initial weight'!$A$5:$A$2000,0)),"")</f>
        <v>2.14</v>
      </c>
      <c r="L321" s="194">
        <f t="shared" si="43"/>
        <v>1.8971999999999998</v>
      </c>
      <c r="M321" s="237">
        <f>AVERAGE(Ashed_controlls!$K$1:$K$11)</f>
        <v>5.5147656768714146</v>
      </c>
      <c r="N321" s="194">
        <f t="shared" si="39"/>
        <v>1.7925738655783954</v>
      </c>
      <c r="O321" s="194">
        <f t="shared" si="44"/>
        <v>1.8902000000000001</v>
      </c>
      <c r="P321" s="237">
        <f>AVERAGE(Ashed_controlls!$K$12:$K$14)</f>
        <v>2.2816647271287041</v>
      </c>
      <c r="Q321" s="194">
        <f t="shared" si="40"/>
        <v>1.8470719733278134</v>
      </c>
      <c r="R321" s="383">
        <f>IF('Dry_Litterbag Placem_Collection'!G28="","",'Dry_Litterbag Placem_Collection'!G28)</f>
        <v>43007</v>
      </c>
      <c r="S321" s="194">
        <f>IFERROR(INDEX('Both teabags AfterDry'!$D$3:$D$2000,MATCH(H321,'Both teabags AfterDry'!$A$3:$A$2000,0)),"")</f>
        <v>2.0030000000000001</v>
      </c>
      <c r="T321" s="194">
        <f>IFERROR(INDEX('Both teabags AfterDry'!$D$3:$D$2000,MATCH(I321,'Both teabags AfterDry'!$A$3:$A$2000,0)),"")</f>
        <v>1.9686999999999999</v>
      </c>
      <c r="U321" s="194">
        <f t="shared" si="45"/>
        <v>1.8524</v>
      </c>
      <c r="V321" s="194">
        <f t="shared" si="46"/>
        <v>1.8180999999999998</v>
      </c>
      <c r="W321" s="194">
        <f>IFERROR(INDEX('Ashed teabags dry'!$K$2:$K$2000,MATCH(H321,'Ashed teabags dry'!$A$2:$A$2000,0)),"")</f>
        <v>6.0509554140126784</v>
      </c>
      <c r="X321" s="194">
        <f>IFERROR(INDEX('Ashed teabags dry'!$K$2:$K$2000,MATCH(I321,'Ashed teabags dry'!$A$2:$A$2000,0)),"")</f>
        <v>2.1136683889149204</v>
      </c>
      <c r="Y321" s="194">
        <f t="shared" si="41"/>
        <v>1.7403121019108292</v>
      </c>
      <c r="Z321" s="194">
        <f t="shared" si="41"/>
        <v>1.7796713950211376</v>
      </c>
      <c r="AA321" s="194">
        <f t="shared" si="47"/>
        <v>2.9154594224045205E-2</v>
      </c>
      <c r="AB321" s="194">
        <f t="shared" si="48"/>
        <v>1.9113225667070008E-2</v>
      </c>
      <c r="AC321" s="194">
        <f t="shared" si="42"/>
        <v>0.96350950083160958</v>
      </c>
      <c r="AD321">
        <f t="shared" si="49"/>
        <v>71</v>
      </c>
      <c r="AE321" s="194">
        <f t="shared" si="50"/>
        <v>0.96537459118284419</v>
      </c>
      <c r="AF321" s="194" t="str">
        <f t="shared" si="51"/>
        <v/>
      </c>
      <c r="AG321" s="252" t="str">
        <f>IF(ISNUMBER(SEARCH("C", 'Dry_Litterbag Placem_Collection'!$V28)),"YES","NO")</f>
        <v>NO</v>
      </c>
      <c r="AH321" s="252" t="str">
        <f>IF(ISNUMBER(SEARCH("H", 'Dry_Litterbag Placem_Collection'!$V28)),"YES","NO")</f>
        <v>NO</v>
      </c>
      <c r="AI321" s="252" t="str">
        <f>IF(ISNUMBER(SEARCH("R", 'Dry_Litterbag Placem_Collection'!$V28)),"YES","NO")</f>
        <v>NO</v>
      </c>
      <c r="AJ321" s="252" t="str">
        <f>IF(ISNUMBER(SEARCH("C", 'Dry_Litterbag Placem_Collection'!$U28)),"YES","NO")</f>
        <v>NO</v>
      </c>
      <c r="AK321" s="252" t="str">
        <f>IF(ISNUMBER(SEARCH("H", 'Dry_Litterbag Placem_Collection'!$U28)),"YES","NO")</f>
        <v>NO</v>
      </c>
      <c r="AL321" s="252" t="str">
        <f>IF(ISNUMBER(SEARCH("R", 'Dry_Litterbag Placem_Collection'!$U28)),"YES","NO")</f>
        <v>NO</v>
      </c>
    </row>
    <row r="322" spans="2:38">
      <c r="B322" t="str">
        <f>'Final data_for_R_analysis_Dryse'!A468</f>
        <v>Dry</v>
      </c>
      <c r="C322" s="260">
        <f>'Final data_for_R_analysis_Dryse'!B468</f>
        <v>27</v>
      </c>
      <c r="D322" t="s">
        <v>3804</v>
      </c>
      <c r="E322" t="s">
        <v>25</v>
      </c>
      <c r="F322" s="381">
        <v>3</v>
      </c>
      <c r="G322" s="383">
        <f>IF('Dry_Litterbag Placem_Collection'!E29="","",'Dry_Litterbag Placem_Collection'!E29)</f>
        <v>42936</v>
      </c>
      <c r="H322" s="92" t="str">
        <f>'Final data_for_R_analysis_Dryse'!K468</f>
        <v>G378</v>
      </c>
      <c r="I322" t="str">
        <f>'Final data_for_R_analysis_Dryse'!K688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43"/>
        <v>1.8332000000000002</v>
      </c>
      <c r="M322" s="237">
        <f>AVERAGE(Ashed_controlls!$K$1:$K$11)</f>
        <v>5.5147656768714146</v>
      </c>
      <c r="N322" s="194">
        <f t="shared" si="39"/>
        <v>1.7321033156115935</v>
      </c>
      <c r="O322" s="194">
        <f t="shared" si="44"/>
        <v>1.9352</v>
      </c>
      <c r="P322" s="237">
        <f>AVERAGE(Ashed_controlls!$K$12:$K$14)</f>
        <v>2.2816647271287041</v>
      </c>
      <c r="Q322" s="194">
        <f t="shared" si="40"/>
        <v>1.8910452242006053</v>
      </c>
      <c r="R322" s="383">
        <f>IF('Dry_Litterbag Placem_Collection'!G29="","",'Dry_Litterbag Placem_Collection'!G29)</f>
        <v>43007</v>
      </c>
      <c r="S322" s="194" t="str">
        <f>IFERROR(INDEX('Both teabags AfterDry'!$D$3:$D$2000,MATCH(H322,'Both teabags AfterDry'!$A$3:$A$2000,0)),"")</f>
        <v/>
      </c>
      <c r="T322" s="194" t="str">
        <f>IFERROR(INDEX('Both teabags AfterDry'!$D$3:$D$2000,MATCH(I322,'Both teabags AfterDry'!$A$3:$A$2000,0)),"")</f>
        <v/>
      </c>
      <c r="U322" s="194" t="str">
        <f t="shared" si="45"/>
        <v/>
      </c>
      <c r="V322" s="194" t="str">
        <f t="shared" si="46"/>
        <v/>
      </c>
      <c r="W322" s="194" t="str">
        <f>IFERROR(INDEX('Ashed teabags dry'!$K$2:$K$2000,MATCH(H322,'Ashed teabags dry'!$A$2:$A$2000,0)),"")</f>
        <v/>
      </c>
      <c r="X322" s="194" t="str">
        <f>IFERROR(INDEX('Ashed teabags dry'!$K$2:$K$2000,MATCH(I322,'Ashed teabags dry'!$A$2:$A$2000,0)),"")</f>
        <v/>
      </c>
      <c r="Y322" s="194" t="str">
        <f t="shared" si="41"/>
        <v/>
      </c>
      <c r="Z322" s="194" t="str">
        <f t="shared" si="41"/>
        <v/>
      </c>
      <c r="AA322" s="194" t="str">
        <f t="shared" si="47"/>
        <v/>
      </c>
      <c r="AB322" s="194" t="str">
        <f t="shared" si="48"/>
        <v/>
      </c>
      <c r="AC322" s="194" t="str">
        <f t="shared" si="42"/>
        <v/>
      </c>
      <c r="AD322">
        <f t="shared" si="49"/>
        <v>71</v>
      </c>
      <c r="AE322" s="194" t="str">
        <f t="shared" si="50"/>
        <v/>
      </c>
      <c r="AF322" s="194" t="str">
        <f t="shared" si="51"/>
        <v/>
      </c>
      <c r="AG322" s="252" t="str">
        <f>IF(ISNUMBER(SEARCH("C", 'Dry_Litterbag Placem_Collection'!$V29)),"YES","NO")</f>
        <v>NO</v>
      </c>
      <c r="AH322" s="252" t="str">
        <f>IF(ISNUMBER(SEARCH("H", 'Dry_Litterbag Placem_Collection'!$V29)),"YES","NO")</f>
        <v>NO</v>
      </c>
      <c r="AI322" s="252" t="str">
        <f>IF(ISNUMBER(SEARCH("R", 'Dry_Litterbag Placem_Collection'!$V29)),"YES","NO")</f>
        <v>NO</v>
      </c>
      <c r="AJ322" s="252" t="str">
        <f>IF(ISNUMBER(SEARCH("C", 'Dry_Litterbag Placem_Collection'!$U29)),"YES","NO")</f>
        <v>NO</v>
      </c>
      <c r="AK322" s="252" t="str">
        <f>IF(ISNUMBER(SEARCH("H", 'Dry_Litterbag Placem_Collection'!$U29)),"YES","NO")</f>
        <v>NO</v>
      </c>
      <c r="AL322" s="252" t="str">
        <f>IF(ISNUMBER(SEARCH("R", 'Dry_Litterbag Placem_Collection'!$U29)),"YES","NO")</f>
        <v>NO</v>
      </c>
    </row>
    <row r="323" spans="2:38">
      <c r="B323" t="str">
        <f>'Final data_for_R_analysis_Dryse'!A469</f>
        <v>Dry</v>
      </c>
      <c r="C323" s="260">
        <f>'Final data_for_R_analysis_Dryse'!B469</f>
        <v>28</v>
      </c>
      <c r="D323" t="s">
        <v>3804</v>
      </c>
      <c r="E323" t="s">
        <v>25</v>
      </c>
      <c r="F323" s="382">
        <v>4</v>
      </c>
      <c r="G323" s="383">
        <f>IF('Dry_Litterbag Placem_Collection'!E30="","",'Dry_Litterbag Placem_Collection'!E30)</f>
        <v>42936</v>
      </c>
      <c r="H323" s="92" t="str">
        <f>'Final data_for_R_analysis_Dryse'!K469</f>
        <v>G46</v>
      </c>
      <c r="I323" t="str">
        <f>'Final data_for_R_analysis_Dryse'!K689</f>
        <v>R162</v>
      </c>
      <c r="J323">
        <f>IFERROR(INDEX('Green_rooibos initial weight'!$C$5:$C$2000,MATCH(H323, 'Green_rooibos initial weight'!$A$5:$A$2000,0)),"")</f>
        <v>1.895</v>
      </c>
      <c r="K323">
        <f>IFERROR(INDEX('Green_rooibos initial weight'!$C$5:$C$2000,MATCH(I323, 'Green_rooibos initial weight'!$A$5:$A$2000,0)),"")</f>
        <v>2.242</v>
      </c>
      <c r="L323" s="194">
        <f t="shared" si="43"/>
        <v>1.6452</v>
      </c>
      <c r="M323" s="237">
        <f>AVERAGE(Ashed_controlls!$K$1:$K$11)</f>
        <v>5.5147656768714146</v>
      </c>
      <c r="N323" s="194">
        <f t="shared" si="39"/>
        <v>1.5544710750841115</v>
      </c>
      <c r="O323" s="194">
        <f t="shared" si="44"/>
        <v>1.9922</v>
      </c>
      <c r="P323" s="237">
        <f>AVERAGE(Ashed_controlls!$K$12:$K$14)</f>
        <v>2.2816647271287041</v>
      </c>
      <c r="Q323" s="194">
        <f t="shared" si="40"/>
        <v>1.9467446753061419</v>
      </c>
      <c r="R323" s="383">
        <f>IF('Dry_Litterbag Placem_Collection'!G30="","",'Dry_Litterbag Placem_Collection'!G30)</f>
        <v>43007</v>
      </c>
      <c r="S323" s="194">
        <f>IFERROR(INDEX('Both teabags AfterDry'!$D$3:$D$2000,MATCH(H323,'Both teabags AfterDry'!$A$3:$A$2000,0)),"")</f>
        <v>1.5884</v>
      </c>
      <c r="T323" s="194">
        <f>IFERROR(INDEX('Both teabags AfterDry'!$D$3:$D$2000,MATCH(I323,'Both teabags AfterDry'!$A$3:$A$2000,0)),"")</f>
        <v>1.964</v>
      </c>
      <c r="U323" s="194">
        <f t="shared" si="45"/>
        <v>1.4378</v>
      </c>
      <c r="V323" s="194">
        <f t="shared" si="46"/>
        <v>1.8133999999999999</v>
      </c>
      <c r="W323" s="194">
        <f>IFERROR(INDEX('Ashed teabags dry'!$K$2:$K$2000,MATCH(H323,'Ashed teabags dry'!$A$2:$A$2000,0)),"")</f>
        <v>6.5978456014354894</v>
      </c>
      <c r="X323" s="194">
        <f>IFERROR(INDEX('Ashed teabags dry'!$K$2:$K$2000,MATCH(I323,'Ashed teabags dry'!$A$2:$A$2000,0)),"")</f>
        <v>3.596059113301163</v>
      </c>
      <c r="Y323" s="194">
        <f t="shared" si="41"/>
        <v>1.3429361759425604</v>
      </c>
      <c r="Z323" s="194">
        <f t="shared" si="41"/>
        <v>1.7481890640393967</v>
      </c>
      <c r="AA323" s="194">
        <f t="shared" si="47"/>
        <v>0.13608159233847761</v>
      </c>
      <c r="AB323" s="194">
        <f t="shared" si="48"/>
        <v>8.9212635357291736E-2</v>
      </c>
      <c r="AC323" s="194">
        <f t="shared" si="42"/>
        <v>0.89800634167111781</v>
      </c>
      <c r="AD323">
        <f t="shared" si="49"/>
        <v>71</v>
      </c>
      <c r="AE323" s="194">
        <f t="shared" si="50"/>
        <v>0.83838290696142803</v>
      </c>
      <c r="AF323" s="194" t="str">
        <f t="shared" si="51"/>
        <v/>
      </c>
      <c r="AG323" s="252" t="str">
        <f>IF(ISNUMBER(SEARCH("C", 'Dry_Litterbag Placem_Collection'!$V30)),"YES","NO")</f>
        <v>NO</v>
      </c>
      <c r="AH323" s="252" t="str">
        <f>IF(ISNUMBER(SEARCH("H", 'Dry_Litterbag Placem_Collection'!$V30)),"YES","NO")</f>
        <v>NO</v>
      </c>
      <c r="AI323" s="252" t="str">
        <f>IF(ISNUMBER(SEARCH("R", 'Dry_Litterbag Placem_Collection'!$V30)),"YES","NO")</f>
        <v>NO</v>
      </c>
      <c r="AJ323" s="252" t="str">
        <f>IF(ISNUMBER(SEARCH("C", 'Dry_Litterbag Placem_Collection'!$U30)),"YES","NO")</f>
        <v>NO</v>
      </c>
      <c r="AK323" s="252" t="str">
        <f>IF(ISNUMBER(SEARCH("H", 'Dry_Litterbag Placem_Collection'!$U30)),"YES","NO")</f>
        <v>NO</v>
      </c>
      <c r="AL323" s="252" t="str">
        <f>IF(ISNUMBER(SEARCH("R", 'Dry_Litterbag Placem_Collection'!$U30)),"YES","NO")</f>
        <v>NO</v>
      </c>
    </row>
    <row r="324" spans="2:38">
      <c r="B324" t="str">
        <f>'Final data_for_R_analysis_Dryse'!A470</f>
        <v>Dry</v>
      </c>
      <c r="C324" s="260">
        <f>'Final data_for_R_analysis_Dryse'!B470</f>
        <v>29</v>
      </c>
      <c r="D324" t="s">
        <v>3804</v>
      </c>
      <c r="E324" t="s">
        <v>25</v>
      </c>
      <c r="F324" s="382">
        <v>5</v>
      </c>
      <c r="G324" s="383">
        <f>IF('Dry_Litterbag Placem_Collection'!E31="","",'Dry_Litterbag Placem_Collection'!E31)</f>
        <v>42936</v>
      </c>
      <c r="H324" s="92" t="str">
        <f>'Final data_for_R_analysis_Dryse'!K470</f>
        <v>G397</v>
      </c>
      <c r="I324" t="str">
        <f>'Final data_for_R_analysis_Dryse'!K690</f>
        <v>R163</v>
      </c>
      <c r="J324">
        <f>IFERROR(INDEX('Green_rooibos initial weight'!$C$5:$C$2000,MATCH(H324, 'Green_rooibos initial weight'!$A$5:$A$2000,0)),"")</f>
        <v>1.968</v>
      </c>
      <c r="K324">
        <f>IFERROR(INDEX('Green_rooibos initial weight'!$C$5:$C$2000,MATCH(I324, 'Green_rooibos initial weight'!$A$5:$A$2000,0)),"")</f>
        <v>2.23</v>
      </c>
      <c r="L324" s="194">
        <f t="shared" si="43"/>
        <v>1.7181999999999999</v>
      </c>
      <c r="M324" s="237">
        <f>AVERAGE(Ashed_controlls!$K$1:$K$11)</f>
        <v>5.5147656768714146</v>
      </c>
      <c r="N324" s="194">
        <f t="shared" si="39"/>
        <v>1.6234452961399952</v>
      </c>
      <c r="O324" s="194">
        <f t="shared" si="44"/>
        <v>1.9802</v>
      </c>
      <c r="P324" s="237">
        <f>AVERAGE(Ashed_controlls!$K$12:$K$14)</f>
        <v>2.2816647271287041</v>
      </c>
      <c r="Q324" s="194">
        <f t="shared" si="40"/>
        <v>1.9350184750733974</v>
      </c>
      <c r="R324" s="383">
        <f>IF('Dry_Litterbag Placem_Collection'!G31="","",'Dry_Litterbag Placem_Collection'!G31)</f>
        <v>43007</v>
      </c>
      <c r="S324" s="194">
        <f>IFERROR(INDEX('Both teabags AfterDry'!$D$3:$D$2000,MATCH(H324,'Both teabags AfterDry'!$A$3:$A$2000,0)),"")</f>
        <v>1.7436</v>
      </c>
      <c r="T324" s="194">
        <f>IFERROR(INDEX('Both teabags AfterDry'!$D$3:$D$2000,MATCH(I324,'Both teabags AfterDry'!$A$3:$A$2000,0)),"")</f>
        <v>1.9955000000000001</v>
      </c>
      <c r="U324" s="194">
        <f t="shared" si="45"/>
        <v>1.593</v>
      </c>
      <c r="V324" s="194">
        <f t="shared" si="46"/>
        <v>1.8449</v>
      </c>
      <c r="W324" s="194">
        <f>IFERROR(INDEX('Ashed teabags dry'!$K$2:$K$2000,MATCH(H324,'Ashed teabags dry'!$A$2:$A$2000,0)),"")</f>
        <v>6.4090019569471499</v>
      </c>
      <c r="X324" s="194">
        <f>IFERROR(INDEX('Ashed teabags dry'!$K$2:$K$2000,MATCH(I324,'Ashed teabags dry'!$A$2:$A$2000,0)),"")</f>
        <v>2.8292682926832247</v>
      </c>
      <c r="Y324" s="194">
        <f t="shared" si="41"/>
        <v>1.4909045988258318</v>
      </c>
      <c r="Z324" s="194">
        <f t="shared" si="41"/>
        <v>1.7927028292682872</v>
      </c>
      <c r="AA324" s="194">
        <f t="shared" si="47"/>
        <v>8.1641615907416476E-2</v>
      </c>
      <c r="AB324" s="194">
        <f t="shared" si="48"/>
        <v>5.3522769573508162E-2</v>
      </c>
      <c r="AC324" s="194">
        <f t="shared" si="42"/>
        <v>0.92645256485227512</v>
      </c>
      <c r="AD324">
        <f t="shared" si="49"/>
        <v>71</v>
      </c>
      <c r="AE324" s="194">
        <f t="shared" si="50"/>
        <v>0.90303846091755768</v>
      </c>
      <c r="AF324" s="194" t="str">
        <f t="shared" si="51"/>
        <v/>
      </c>
      <c r="AG324" s="252" t="str">
        <f>IF(ISNUMBER(SEARCH("C", 'Dry_Litterbag Placem_Collection'!$V31)),"YES","NO")</f>
        <v>NO</v>
      </c>
      <c r="AH324" s="252" t="str">
        <f>IF(ISNUMBER(SEARCH("H", 'Dry_Litterbag Placem_Collection'!$V31)),"YES","NO")</f>
        <v>NO</v>
      </c>
      <c r="AI324" s="252" t="str">
        <f>IF(ISNUMBER(SEARCH("R", 'Dry_Litterbag Placem_Collection'!$V31)),"YES","NO")</f>
        <v>NO</v>
      </c>
      <c r="AJ324" s="252" t="str">
        <f>IF(ISNUMBER(SEARCH("C", 'Dry_Litterbag Placem_Collection'!$U31)),"YES","NO")</f>
        <v>NO</v>
      </c>
      <c r="AK324" s="252" t="str">
        <f>IF(ISNUMBER(SEARCH("H", 'Dry_Litterbag Placem_Collection'!$U31)),"YES","NO")</f>
        <v>NO</v>
      </c>
      <c r="AL324" s="252" t="str">
        <f>IF(ISNUMBER(SEARCH("R", 'Dry_Litterbag Placem_Collection'!$U31)),"YES","NO")</f>
        <v>NO</v>
      </c>
    </row>
    <row r="325" spans="2:38">
      <c r="B325" t="str">
        <f>'Final data_for_R_analysis_Dryse'!A471</f>
        <v>Dry</v>
      </c>
      <c r="C325" s="260">
        <f>'Final data_for_R_analysis_Dryse'!B471</f>
        <v>30</v>
      </c>
      <c r="D325" t="s">
        <v>3804</v>
      </c>
      <c r="E325" t="s">
        <v>25</v>
      </c>
      <c r="F325" s="382">
        <v>6</v>
      </c>
      <c r="G325" s="383">
        <f>IF('Dry_Litterbag Placem_Collection'!E32="","",'Dry_Litterbag Placem_Collection'!E32)</f>
        <v>42936</v>
      </c>
      <c r="H325" s="92" t="str">
        <f>'Final data_for_R_analysis_Dryse'!K471</f>
        <v>G166</v>
      </c>
      <c r="I325" t="str">
        <f>'Final data_for_R_analysis_Dryse'!K691</f>
        <v>R345</v>
      </c>
      <c r="J325">
        <f>IFERROR(INDEX('Green_rooibos initial weight'!$C$5:$C$2000,MATCH(H325, 'Green_rooibos initial weight'!$A$5:$A$2000,0)),"")</f>
        <v>2.032</v>
      </c>
      <c r="K325">
        <f>IFERROR(INDEX('Green_rooibos initial weight'!$C$5:$C$2000,MATCH(I325, 'Green_rooibos initial weight'!$A$5:$A$2000,0)),"")</f>
        <v>2.2599999999999998</v>
      </c>
      <c r="L325" s="194">
        <f t="shared" si="43"/>
        <v>1.7822</v>
      </c>
      <c r="M325" s="237">
        <f>AVERAGE(Ashed_controlls!$K$1:$K$11)</f>
        <v>5.5147656768714146</v>
      </c>
      <c r="N325" s="194">
        <f t="shared" si="39"/>
        <v>1.6839158461067976</v>
      </c>
      <c r="O325" s="194">
        <f t="shared" si="44"/>
        <v>2.0101999999999998</v>
      </c>
      <c r="P325" s="237">
        <f>AVERAGE(Ashed_controlls!$K$12:$K$14)</f>
        <v>2.2816647271287041</v>
      </c>
      <c r="Q325" s="194">
        <f t="shared" si="40"/>
        <v>1.9643339756552585</v>
      </c>
      <c r="R325" s="383">
        <f>IF('Dry_Litterbag Placem_Collection'!G32="","",'Dry_Litterbag Placem_Collection'!G32)</f>
        <v>43007</v>
      </c>
      <c r="S325" s="194">
        <f>IFERROR(INDEX('Both teabags AfterDry'!$D$3:$D$2000,MATCH(H325,'Both teabags AfterDry'!$A$3:$A$2000,0)),"")</f>
        <v>1.8809</v>
      </c>
      <c r="T325" s="194">
        <f>IFERROR(INDEX('Both teabags AfterDry'!$D$3:$D$2000,MATCH(I325,'Both teabags AfterDry'!$A$3:$A$2000,0)),"")</f>
        <v>2.0409000000000002</v>
      </c>
      <c r="U325" s="194">
        <f t="shared" si="45"/>
        <v>1.7302999999999999</v>
      </c>
      <c r="V325" s="194">
        <f t="shared" si="46"/>
        <v>1.8903000000000001</v>
      </c>
      <c r="W325" s="194">
        <f>IFERROR(INDEX('Ashed teabags dry'!$K$2:$K$2000,MATCH(H325,'Ashed teabags dry'!$A$2:$A$2000,0)),"")</f>
        <v>5.730937348227001</v>
      </c>
      <c r="X325" s="194">
        <f>IFERROR(INDEX('Ashed teabags dry'!$K$2:$K$2000,MATCH(I325,'Ashed teabags dry'!$A$2:$A$2000,0)),"")</f>
        <v>2.2449975597850815</v>
      </c>
      <c r="Y325" s="194">
        <f t="shared" si="41"/>
        <v>1.6311375910636281</v>
      </c>
      <c r="Z325" s="194">
        <f t="shared" si="41"/>
        <v>1.8478628111273827</v>
      </c>
      <c r="AA325" s="194">
        <f t="shared" si="47"/>
        <v>3.1342572828204185E-2</v>
      </c>
      <c r="AB325" s="194">
        <f t="shared" si="48"/>
        <v>2.0547624942005571E-2</v>
      </c>
      <c r="AC325" s="194">
        <f t="shared" si="42"/>
        <v>0.94070704576138919</v>
      </c>
      <c r="AD325">
        <f t="shared" si="49"/>
        <v>71</v>
      </c>
      <c r="AE325" s="194">
        <f t="shared" si="50"/>
        <v>0.96277604177172904</v>
      </c>
      <c r="AF325" s="194" t="str">
        <f t="shared" si="51"/>
        <v/>
      </c>
      <c r="AG325" s="252" t="str">
        <f>IF(ISNUMBER(SEARCH("C", 'Dry_Litterbag Placem_Collection'!$V32)),"YES","NO")</f>
        <v>NO</v>
      </c>
      <c r="AH325" s="252" t="str">
        <f>IF(ISNUMBER(SEARCH("H", 'Dry_Litterbag Placem_Collection'!$V32)),"YES","NO")</f>
        <v>NO</v>
      </c>
      <c r="AI325" s="252" t="str">
        <f>IF(ISNUMBER(SEARCH("R", 'Dry_Litterbag Placem_Collection'!$V32)),"YES","NO")</f>
        <v>NO</v>
      </c>
      <c r="AJ325" s="252" t="str">
        <f>IF(ISNUMBER(SEARCH("C", 'Dry_Litterbag Placem_Collection'!$U32)),"YES","NO")</f>
        <v>NO</v>
      </c>
      <c r="AK325" s="252" t="str">
        <f>IF(ISNUMBER(SEARCH("H", 'Dry_Litterbag Placem_Collection'!$U32)),"YES","NO")</f>
        <v>NO</v>
      </c>
      <c r="AL325" s="252" t="str">
        <f>IF(ISNUMBER(SEARCH("R", 'Dry_Litterbag Placem_Collection'!$U32)),"YES","NO")</f>
        <v>NO</v>
      </c>
    </row>
    <row r="326" spans="2:38">
      <c r="B326" t="str">
        <f>'Final data_for_R_analysis_Dryse'!A472</f>
        <v>Dry</v>
      </c>
      <c r="C326" s="260">
        <f>'Final data_for_R_analysis_Dryse'!B472</f>
        <v>31</v>
      </c>
      <c r="D326" t="s">
        <v>3804</v>
      </c>
      <c r="E326" t="s">
        <v>25</v>
      </c>
      <c r="F326" s="382">
        <v>7</v>
      </c>
      <c r="G326" s="383" t="str">
        <f>IF('Dry_Litterbag Placem_Collection'!E33="","",'Dry_Litterbag Placem_Collection'!E33)</f>
        <v/>
      </c>
      <c r="H326" s="92" t="str">
        <f>'Final data_for_R_analysis_Dryse'!K472</f>
        <v/>
      </c>
      <c r="I326" t="str">
        <f>'Final data_for_R_analysis_Dryse'!K692</f>
        <v/>
      </c>
      <c r="J326" t="str">
        <f>IFERROR(INDEX('Green_rooibos initial weight'!$C$5:$C$2000,MATCH(H326, 'Green_rooibos initial weight'!$A$5:$A$2000,0)),"")</f>
        <v/>
      </c>
      <c r="K326" t="str">
        <f>IFERROR(INDEX('Green_rooibos initial weight'!$C$5:$C$2000,MATCH(I326, 'Green_rooibos initial weight'!$A$5:$A$2000,0)),"")</f>
        <v/>
      </c>
      <c r="L326" s="194" t="str">
        <f t="shared" si="43"/>
        <v/>
      </c>
      <c r="M326" s="237">
        <f>AVERAGE(Ashed_controlls!$K$1:$K$11)</f>
        <v>5.5147656768714146</v>
      </c>
      <c r="N326" s="194" t="str">
        <f t="shared" si="39"/>
        <v/>
      </c>
      <c r="O326" s="194" t="str">
        <f t="shared" si="44"/>
        <v/>
      </c>
      <c r="P326" s="237">
        <f>AVERAGE(Ashed_controlls!$K$12:$K$14)</f>
        <v>2.2816647271287041</v>
      </c>
      <c r="Q326" s="194" t="str">
        <f t="shared" si="40"/>
        <v/>
      </c>
      <c r="R326" s="383" t="str">
        <f>IF('Dry_Litterbag Placem_Collection'!G33="","",'Dry_Litterbag Placem_Collection'!G33)</f>
        <v/>
      </c>
      <c r="S326" s="194" t="str">
        <f>IFERROR(INDEX('Both teabags AfterDry'!$D$3:$D$2000,MATCH(H326,'Both teabags AfterDry'!$A$3:$A$2000,0)),"")</f>
        <v/>
      </c>
      <c r="T326" s="194" t="str">
        <f>IFERROR(INDEX('Both teabags AfterDry'!$D$3:$D$2000,MATCH(I326,'Both teabags AfterDry'!$A$3:$A$2000,0)),"")</f>
        <v/>
      </c>
      <c r="U326" s="194" t="str">
        <f t="shared" si="45"/>
        <v/>
      </c>
      <c r="V326" s="194" t="str">
        <f t="shared" si="46"/>
        <v/>
      </c>
      <c r="W326" s="194" t="str">
        <f>IFERROR(INDEX('Ashed teabags dry'!$K$2:$K$2000,MATCH(H326,'Ashed teabags dry'!$A$2:$A$2000,0)),"")</f>
        <v/>
      </c>
      <c r="X326" s="194" t="str">
        <f>IFERROR(INDEX('Ashed teabags dry'!$K$2:$K$2000,MATCH(I326,'Ashed teabags dry'!$A$2:$A$2000,0)),"")</f>
        <v/>
      </c>
      <c r="Y326" s="194" t="str">
        <f t="shared" si="41"/>
        <v/>
      </c>
      <c r="Z326" s="194" t="str">
        <f t="shared" si="41"/>
        <v/>
      </c>
      <c r="AA326" s="194" t="str">
        <f t="shared" si="47"/>
        <v/>
      </c>
      <c r="AB326" s="194" t="str">
        <f t="shared" si="48"/>
        <v/>
      </c>
      <c r="AC326" s="194" t="str">
        <f t="shared" si="42"/>
        <v/>
      </c>
      <c r="AD326" t="str">
        <f t="shared" si="49"/>
        <v/>
      </c>
      <c r="AE326" s="194" t="str">
        <f t="shared" si="50"/>
        <v/>
      </c>
      <c r="AF326" s="194" t="str">
        <f t="shared" si="51"/>
        <v/>
      </c>
      <c r="AG326" s="252" t="str">
        <f>IF(ISNUMBER(SEARCH("C", 'Dry_Litterbag Placem_Collection'!$V33)),"YES","NO")</f>
        <v>NO</v>
      </c>
      <c r="AH326" s="252" t="str">
        <f>IF(ISNUMBER(SEARCH("H", 'Dry_Litterbag Placem_Collection'!$V33)),"YES","NO")</f>
        <v>NO</v>
      </c>
      <c r="AI326" s="252" t="str">
        <f>IF(ISNUMBER(SEARCH("R", 'Dry_Litterbag Placem_Collection'!$V33)),"YES","NO")</f>
        <v>NO</v>
      </c>
      <c r="AJ326" s="252" t="str">
        <f>IF(ISNUMBER(SEARCH("C", 'Dry_Litterbag Placem_Collection'!$U33)),"YES","NO")</f>
        <v>NO</v>
      </c>
      <c r="AK326" s="252" t="str">
        <f>IF(ISNUMBER(SEARCH("H", 'Dry_Litterbag Placem_Collection'!$U33)),"YES","NO")</f>
        <v>NO</v>
      </c>
      <c r="AL326" s="252" t="str">
        <f>IF(ISNUMBER(SEARCH("R", 'Dry_Litterbag Placem_Collection'!$U33)),"YES","NO")</f>
        <v>NO</v>
      </c>
    </row>
    <row r="327" spans="2:38">
      <c r="B327" t="str">
        <f>'Final data_for_R_analysis_Dryse'!A473</f>
        <v>Dry</v>
      </c>
      <c r="C327" s="260">
        <f>'Final data_for_R_analysis_Dryse'!B473</f>
        <v>32</v>
      </c>
      <c r="D327" t="s">
        <v>3804</v>
      </c>
      <c r="E327" t="s">
        <v>25</v>
      </c>
      <c r="F327" s="382">
        <v>8</v>
      </c>
      <c r="G327" s="383">
        <f>IF('Dry_Litterbag Placem_Collection'!E34="","",'Dry_Litterbag Placem_Collection'!E34)</f>
        <v>42936</v>
      </c>
      <c r="H327" s="92" t="str">
        <f>'Final data_for_R_analysis_Dryse'!K473</f>
        <v>G293</v>
      </c>
      <c r="I327" t="str">
        <f>'Final data_for_R_analysis_Dryse'!K693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43"/>
        <v>1.8201999999999998</v>
      </c>
      <c r="M327" s="237">
        <f>AVERAGE(Ashed_controlls!$K$1:$K$11)</f>
        <v>5.5147656768714146</v>
      </c>
      <c r="N327" s="194">
        <f t="shared" si="39"/>
        <v>1.7198202351495864</v>
      </c>
      <c r="O327" s="194">
        <f t="shared" si="44"/>
        <v>1.9582000000000002</v>
      </c>
      <c r="P327" s="237">
        <f>AVERAGE(Ashed_controlls!$K$12:$K$14)</f>
        <v>2.2816647271287041</v>
      </c>
      <c r="Q327" s="194">
        <f t="shared" si="40"/>
        <v>1.913520441313366</v>
      </c>
      <c r="R327" s="383">
        <f>IF('Dry_Litterbag Placem_Collection'!G34="","",'Dry_Litterbag Placem_Collection'!G34)</f>
        <v>43007</v>
      </c>
      <c r="S327" s="194">
        <f>IFERROR(INDEX('Both teabags AfterDry'!$D$3:$D$2000,MATCH(H327,'Both teabags AfterDry'!$A$3:$A$2000,0)),"")</f>
        <v>1.8129</v>
      </c>
      <c r="T327" s="194">
        <f>IFERROR(INDEX('Both teabags AfterDry'!$D$3:$D$2000,MATCH(I327,'Both teabags AfterDry'!$A$3:$A$2000,0)),"")</f>
        <v>2.0331000000000001</v>
      </c>
      <c r="U327" s="194">
        <f t="shared" si="45"/>
        <v>1.6622999999999999</v>
      </c>
      <c r="V327" s="194">
        <f t="shared" si="46"/>
        <v>1.8825000000000001</v>
      </c>
      <c r="W327" s="194">
        <f>IFERROR(INDEX('Ashed teabags dry'!$K$2:$K$2000,MATCH(H327,'Ashed teabags dry'!$A$2:$A$2000,0)),"")</f>
        <v>6.7003792667513089</v>
      </c>
      <c r="X327" s="194">
        <f>IFERROR(INDEX('Ashed teabags dry'!$K$2:$K$2000,MATCH(I327,'Ashed teabags dry'!$A$2:$A$2000,0)),"")</f>
        <v>2.8682547399117464</v>
      </c>
      <c r="Y327" s="194">
        <f t="shared" si="41"/>
        <v>1.5509195954487929</v>
      </c>
      <c r="Z327" s="194">
        <f t="shared" si="41"/>
        <v>1.8285051045211613</v>
      </c>
      <c r="AA327" s="194">
        <f t="shared" si="47"/>
        <v>9.8208310525025766E-2</v>
      </c>
      <c r="AB327" s="194">
        <f t="shared" si="48"/>
        <v>6.4383595498591725E-2</v>
      </c>
      <c r="AC327" s="194">
        <f t="shared" si="42"/>
        <v>0.95557124190747944</v>
      </c>
      <c r="AD327">
        <f t="shared" si="49"/>
        <v>71</v>
      </c>
      <c r="AE327" s="194">
        <f t="shared" si="50"/>
        <v>0.88336305163298601</v>
      </c>
      <c r="AF327" s="194">
        <f t="shared" si="51"/>
        <v>1.6498412421701646E-2</v>
      </c>
      <c r="AG327" s="252" t="str">
        <f>IF(ISNUMBER(SEARCH("C", 'Dry_Litterbag Placem_Collection'!$V34)),"YES","NO")</f>
        <v>NO</v>
      </c>
      <c r="AH327" s="252" t="str">
        <f>IF(ISNUMBER(SEARCH("H", 'Dry_Litterbag Placem_Collection'!$V34)),"YES","NO")</f>
        <v>NO</v>
      </c>
      <c r="AI327" s="252" t="str">
        <f>IF(ISNUMBER(SEARCH("R", 'Dry_Litterbag Placem_Collection'!$V34)),"YES","NO")</f>
        <v>NO</v>
      </c>
      <c r="AJ327" s="252" t="str">
        <f>IF(ISNUMBER(SEARCH("C", 'Dry_Litterbag Placem_Collection'!$U34)),"YES","NO")</f>
        <v>NO</v>
      </c>
      <c r="AK327" s="252" t="str">
        <f>IF(ISNUMBER(SEARCH("H", 'Dry_Litterbag Placem_Collection'!$U34)),"YES","NO")</f>
        <v>NO</v>
      </c>
      <c r="AL327" s="252" t="str">
        <f>IF(ISNUMBER(SEARCH("R", 'Dry_Litterbag Placem_Collection'!$U34)),"YES","NO")</f>
        <v>NO</v>
      </c>
    </row>
    <row r="328" spans="2:38">
      <c r="B328" t="str">
        <f>'Final data_for_R_analysis_Dryse'!A474</f>
        <v>Dry</v>
      </c>
      <c r="C328" s="260">
        <f>'Final data_for_R_analysis_Dryse'!B474</f>
        <v>33</v>
      </c>
      <c r="D328" t="s">
        <v>3805</v>
      </c>
      <c r="E328" t="s">
        <v>25</v>
      </c>
      <c r="F328" s="381">
        <v>1</v>
      </c>
      <c r="G328" s="383">
        <f>IF('Dry_Litterbag Placem_Collection'!E35="","",'Dry_Litterbag Placem_Collection'!E35)</f>
        <v>42938</v>
      </c>
      <c r="H328" s="92" t="str">
        <f>'Final data_for_R_analysis_Dryse'!K474</f>
        <v>G139</v>
      </c>
      <c r="I328" t="str">
        <f>'Final data_for_R_analysis_Dryse'!K694</f>
        <v>R712</v>
      </c>
      <c r="J328">
        <f>IFERROR(INDEX('Green_rooibos initial weight'!$C$5:$C$2000,MATCH(H328, 'Green_rooibos initial weight'!$A$5:$A$2000,0)),"")</f>
        <v>2.0059999999999998</v>
      </c>
      <c r="K328">
        <f>IFERROR(INDEX('Green_rooibos initial weight'!$C$5:$C$2000,MATCH(I328, 'Green_rooibos initial weight'!$A$5:$A$2000,0)),"")</f>
        <v>2.161</v>
      </c>
      <c r="L328" s="194">
        <f t="shared" si="43"/>
        <v>1.7561999999999998</v>
      </c>
      <c r="M328" s="237">
        <f>AVERAGE(Ashed_controlls!$K$1:$K$11)</f>
        <v>5.5147656768714146</v>
      </c>
      <c r="N328" s="194">
        <f t="shared" si="39"/>
        <v>1.659349685182784</v>
      </c>
      <c r="O328" s="194">
        <f t="shared" si="44"/>
        <v>1.9112</v>
      </c>
      <c r="P328" s="237">
        <f>AVERAGE(Ashed_controlls!$K$12:$K$14)</f>
        <v>2.2816647271287041</v>
      </c>
      <c r="Q328" s="194">
        <f t="shared" si="40"/>
        <v>1.8675928237351163</v>
      </c>
      <c r="R328" s="383">
        <f>IF('Dry_Litterbag Placem_Collection'!G35="","",'Dry_Litterbag Placem_Collection'!G35)</f>
        <v>43005</v>
      </c>
      <c r="S328" s="194">
        <f>IFERROR(INDEX('Both teabags AfterDry'!$D$3:$D$2000,MATCH(H328,'Both teabags AfterDry'!$A$3:$A$2000,0)),"")</f>
        <v>1.8048</v>
      </c>
      <c r="T328" s="194">
        <f>IFERROR(INDEX('Both teabags AfterDry'!$D$3:$D$2000,MATCH(I328,'Both teabags AfterDry'!$A$3:$A$2000,0)),"")</f>
        <v>1.9524999999999999</v>
      </c>
      <c r="U328" s="194">
        <f t="shared" si="45"/>
        <v>1.6541999999999999</v>
      </c>
      <c r="V328" s="194">
        <f t="shared" si="46"/>
        <v>1.8018999999999998</v>
      </c>
      <c r="W328" s="194">
        <f>IFERROR(INDEX('Ashed teabags dry'!$K$2:$K$2000,MATCH(H328,'Ashed teabags dry'!$A$2:$A$2000,0)),"")</f>
        <v>6.0181368507832858</v>
      </c>
      <c r="X328" s="194">
        <f>IFERROR(INDEX('Ashed teabags dry'!$K$2:$K$2000,MATCH(I328,'Ashed teabags dry'!$A$2:$A$2000,0)),"")</f>
        <v>2.162162162162347</v>
      </c>
      <c r="Y328" s="194">
        <f t="shared" si="41"/>
        <v>1.5546479802143427</v>
      </c>
      <c r="Z328" s="194">
        <f t="shared" si="41"/>
        <v>1.7629399999999964</v>
      </c>
      <c r="AA328" s="194">
        <f t="shared" si="47"/>
        <v>6.3098035274528619E-2</v>
      </c>
      <c r="AB328" s="194">
        <f t="shared" si="48"/>
        <v>4.1365932864061518E-2</v>
      </c>
      <c r="AC328" s="194">
        <f t="shared" si="42"/>
        <v>0.94396378996262253</v>
      </c>
      <c r="AD328">
        <f t="shared" si="49"/>
        <v>67</v>
      </c>
      <c r="AE328" s="194">
        <f t="shared" si="50"/>
        <v>0.92506171582597552</v>
      </c>
      <c r="AF328" s="194" t="str">
        <f t="shared" si="51"/>
        <v/>
      </c>
      <c r="AG328" s="252" t="str">
        <f>IF(ISNUMBER(SEARCH("C", 'Dry_Litterbag Placem_Collection'!$V35)),"YES","NO")</f>
        <v>NO</v>
      </c>
      <c r="AH328" s="252" t="str">
        <f>IF(ISNUMBER(SEARCH("H", 'Dry_Litterbag Placem_Collection'!$V35)),"YES","NO")</f>
        <v>NO</v>
      </c>
      <c r="AI328" s="252" t="str">
        <f>IF(ISNUMBER(SEARCH("R", 'Dry_Litterbag Placem_Collection'!$V35)),"YES","NO")</f>
        <v>NO</v>
      </c>
      <c r="AJ328" s="252" t="str">
        <f>IF(ISNUMBER(SEARCH("C", 'Dry_Litterbag Placem_Collection'!$U35)),"YES","NO")</f>
        <v>NO</v>
      </c>
      <c r="AK328" s="252" t="str">
        <f>IF(ISNUMBER(SEARCH("H", 'Dry_Litterbag Placem_Collection'!$U35)),"YES","NO")</f>
        <v>NO</v>
      </c>
      <c r="AL328" s="252" t="str">
        <f>IF(ISNUMBER(SEARCH("R", 'Dry_Litterbag Placem_Collection'!$U35)),"YES","NO")</f>
        <v>NO</v>
      </c>
    </row>
    <row r="329" spans="2:38">
      <c r="B329" t="str">
        <f>'Final data_for_R_analysis_Dryse'!A475</f>
        <v>Dry</v>
      </c>
      <c r="C329" s="260">
        <f>'Final data_for_R_analysis_Dryse'!B475</f>
        <v>34</v>
      </c>
      <c r="D329" t="s">
        <v>3805</v>
      </c>
      <c r="E329" t="s">
        <v>25</v>
      </c>
      <c r="F329" s="381">
        <v>2</v>
      </c>
      <c r="G329" s="383">
        <f>IF('Dry_Litterbag Placem_Collection'!E36="","",'Dry_Litterbag Placem_Collection'!E36)</f>
        <v>42938</v>
      </c>
      <c r="H329" s="92" t="str">
        <f>'Final data_for_R_analysis_Dryse'!K475</f>
        <v>G487</v>
      </c>
      <c r="I329" t="str">
        <f>'Final data_for_R_analysis_Dryse'!K695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43"/>
        <v>1.6761999999999999</v>
      </c>
      <c r="M329" s="237">
        <f>AVERAGE(Ashed_controlls!$K$1:$K$11)</f>
        <v>5.5147656768714146</v>
      </c>
      <c r="N329" s="194">
        <f t="shared" si="39"/>
        <v>1.5837614977242813</v>
      </c>
      <c r="O329" s="194">
        <f t="shared" si="44"/>
        <v>1.9912000000000001</v>
      </c>
      <c r="P329" s="237">
        <f>AVERAGE(Ashed_controlls!$K$12:$K$14)</f>
        <v>2.2816647271287041</v>
      </c>
      <c r="Q329" s="194">
        <f t="shared" si="40"/>
        <v>1.9457674919534134</v>
      </c>
      <c r="R329" s="383">
        <f>IF('Dry_Litterbag Placem_Collection'!G36="","",'Dry_Litterbag Placem_Collection'!G36)</f>
        <v>43005</v>
      </c>
      <c r="S329" s="194" t="str">
        <f>IFERROR(INDEX('Both teabags AfterDry'!$D$3:$D$2000,MATCH(H329,'Both teabags AfterDry'!$A$3:$A$2000,0)),"")</f>
        <v/>
      </c>
      <c r="T329" s="194" t="str">
        <f>IFERROR(INDEX('Both teabags AfterDry'!$D$3:$D$2000,MATCH(I329,'Both teabags AfterDry'!$A$3:$A$2000,0)),"")</f>
        <v/>
      </c>
      <c r="U329" s="194" t="str">
        <f t="shared" si="45"/>
        <v/>
      </c>
      <c r="V329" s="194" t="str">
        <f t="shared" si="46"/>
        <v/>
      </c>
      <c r="W329" s="194" t="str">
        <f>IFERROR(INDEX('Ashed teabags dry'!$K$2:$K$2000,MATCH(H329,'Ashed teabags dry'!$A$2:$A$2000,0)),"")</f>
        <v/>
      </c>
      <c r="X329" s="194" t="str">
        <f>IFERROR(INDEX('Ashed teabags dry'!$K$2:$K$2000,MATCH(I329,'Ashed teabags dry'!$A$2:$A$2000,0)),"")</f>
        <v/>
      </c>
      <c r="Y329" s="194" t="str">
        <f t="shared" si="41"/>
        <v/>
      </c>
      <c r="Z329" s="194" t="str">
        <f t="shared" si="41"/>
        <v/>
      </c>
      <c r="AA329" s="194" t="str">
        <f t="shared" si="47"/>
        <v/>
      </c>
      <c r="AB329" s="194" t="str">
        <f t="shared" si="48"/>
        <v/>
      </c>
      <c r="AC329" s="194" t="str">
        <f t="shared" si="42"/>
        <v/>
      </c>
      <c r="AD329">
        <f t="shared" si="49"/>
        <v>67</v>
      </c>
      <c r="AE329" s="194" t="str">
        <f t="shared" si="50"/>
        <v/>
      </c>
      <c r="AF329" s="194" t="str">
        <f t="shared" si="51"/>
        <v/>
      </c>
      <c r="AG329" s="252" t="str">
        <f>IF(ISNUMBER(SEARCH("C", 'Dry_Litterbag Placem_Collection'!$V36)),"YES","NO")</f>
        <v>NO</v>
      </c>
      <c r="AH329" s="252" t="str">
        <f>IF(ISNUMBER(SEARCH("H", 'Dry_Litterbag Placem_Collection'!$V36)),"YES","NO")</f>
        <v>NO</v>
      </c>
      <c r="AI329" s="252" t="str">
        <f>IF(ISNUMBER(SEARCH("R", 'Dry_Litterbag Placem_Collection'!$V36)),"YES","NO")</f>
        <v>NO</v>
      </c>
      <c r="AJ329" s="252" t="str">
        <f>IF(ISNUMBER(SEARCH("C", 'Dry_Litterbag Placem_Collection'!$U36)),"YES","NO")</f>
        <v>NO</v>
      </c>
      <c r="AK329" s="252" t="str">
        <f>IF(ISNUMBER(SEARCH("H", 'Dry_Litterbag Placem_Collection'!$U36)),"YES","NO")</f>
        <v>NO</v>
      </c>
      <c r="AL329" s="252" t="str">
        <f>IF(ISNUMBER(SEARCH("R", 'Dry_Litterbag Placem_Collection'!$U36)),"YES","NO")</f>
        <v>NO</v>
      </c>
    </row>
    <row r="330" spans="2:38">
      <c r="B330" t="str">
        <f>'Final data_for_R_analysis_Dryse'!A476</f>
        <v>Dry</v>
      </c>
      <c r="C330" s="260">
        <f>'Final data_for_R_analysis_Dryse'!B476</f>
        <v>35</v>
      </c>
      <c r="D330" t="s">
        <v>3805</v>
      </c>
      <c r="E330" t="s">
        <v>25</v>
      </c>
      <c r="F330" s="381">
        <v>3</v>
      </c>
      <c r="G330" s="383">
        <f>IF('Dry_Litterbag Placem_Collection'!E37="","",'Dry_Litterbag Placem_Collection'!E37)</f>
        <v>42938</v>
      </c>
      <c r="H330" s="92" t="str">
        <f>'Final data_for_R_analysis_Dryse'!K476</f>
        <v>G717</v>
      </c>
      <c r="I330" t="str">
        <f>'Final data_for_R_analysis_Dryse'!K696</f>
        <v>R108</v>
      </c>
      <c r="J330">
        <f>IFERROR(INDEX('Green_rooibos initial weight'!$C$5:$C$2000,MATCH(H330, 'Green_rooibos initial weight'!$A$5:$A$2000,0)),"")</f>
        <v>1.944</v>
      </c>
      <c r="K330">
        <f>IFERROR(INDEX('Green_rooibos initial weight'!$C$5:$C$2000,MATCH(I330, 'Green_rooibos initial weight'!$A$5:$A$2000,0)),"")</f>
        <v>2.1680000000000001</v>
      </c>
      <c r="L330" s="194">
        <f t="shared" si="43"/>
        <v>1.6941999999999999</v>
      </c>
      <c r="M330" s="237">
        <f>AVERAGE(Ashed_controlls!$K$1:$K$11)</f>
        <v>5.5147656768714146</v>
      </c>
      <c r="N330" s="194">
        <f t="shared" si="39"/>
        <v>1.6007688399024445</v>
      </c>
      <c r="O330" s="194">
        <f t="shared" si="44"/>
        <v>1.9182000000000001</v>
      </c>
      <c r="P330" s="237">
        <f>AVERAGE(Ashed_controlls!$K$12:$K$14)</f>
        <v>2.2816647271287041</v>
      </c>
      <c r="Q330" s="194">
        <f t="shared" si="40"/>
        <v>1.8744331072042173</v>
      </c>
      <c r="R330" s="383">
        <f>IF('Dry_Litterbag Placem_Collection'!G37="","",'Dry_Litterbag Placem_Collection'!G37)</f>
        <v>43005</v>
      </c>
      <c r="S330" s="194">
        <f>IFERROR(INDEX('Both teabags AfterDry'!$D$3:$D$2000,MATCH(H330,'Both teabags AfterDry'!$A$3:$A$2000,0)),"")</f>
        <v>1.8165</v>
      </c>
      <c r="T330" s="194">
        <f>IFERROR(INDEX('Both teabags AfterDry'!$D$3:$D$2000,MATCH(I330,'Both teabags AfterDry'!$A$3:$A$2000,0)),"")</f>
        <v>1.9638</v>
      </c>
      <c r="U330" s="194">
        <f t="shared" si="45"/>
        <v>1.6658999999999999</v>
      </c>
      <c r="V330" s="194">
        <f t="shared" si="46"/>
        <v>1.8131999999999999</v>
      </c>
      <c r="W330" s="194">
        <f>IFERROR(INDEX('Ashed teabags dry'!$K$2:$K$2000,MATCH(H330,'Ashed teabags dry'!$A$2:$A$2000,0)),"")</f>
        <v>5.65371024735001</v>
      </c>
      <c r="X330" s="194">
        <f>IFERROR(INDEX('Ashed teabags dry'!$K$2:$K$2000,MATCH(I330,'Ashed teabags dry'!$A$2:$A$2000,0)),"")</f>
        <v>2.5853658536585367</v>
      </c>
      <c r="Y330" s="194">
        <f t="shared" si="41"/>
        <v>1.5717148409893962</v>
      </c>
      <c r="Z330" s="194">
        <f t="shared" si="41"/>
        <v>1.7663221463414633</v>
      </c>
      <c r="AA330" s="194">
        <f t="shared" si="47"/>
        <v>1.8150027779663014E-2</v>
      </c>
      <c r="AB330" s="194">
        <f t="shared" si="48"/>
        <v>1.1898830563389516E-2</v>
      </c>
      <c r="AC330" s="194">
        <f t="shared" si="42"/>
        <v>0.94232338276183925</v>
      </c>
      <c r="AD330">
        <f t="shared" si="49"/>
        <v>67</v>
      </c>
      <c r="AE330" s="194">
        <f t="shared" si="50"/>
        <v>0.97844414753009146</v>
      </c>
      <c r="AF330" s="194" t="str">
        <f t="shared" si="51"/>
        <v/>
      </c>
      <c r="AG330" s="252" t="str">
        <f>IF(ISNUMBER(SEARCH("C", 'Dry_Litterbag Placem_Collection'!$V37)),"YES","NO")</f>
        <v>NO</v>
      </c>
      <c r="AH330" s="252" t="str">
        <f>IF(ISNUMBER(SEARCH("H", 'Dry_Litterbag Placem_Collection'!$V37)),"YES","NO")</f>
        <v>NO</v>
      </c>
      <c r="AI330" s="252" t="str">
        <f>IF(ISNUMBER(SEARCH("R", 'Dry_Litterbag Placem_Collection'!$V37)),"YES","NO")</f>
        <v>NO</v>
      </c>
      <c r="AJ330" s="252" t="str">
        <f>IF(ISNUMBER(SEARCH("C", 'Dry_Litterbag Placem_Collection'!$U37)),"YES","NO")</f>
        <v>NO</v>
      </c>
      <c r="AK330" s="252" t="str">
        <f>IF(ISNUMBER(SEARCH("H", 'Dry_Litterbag Placem_Collection'!$U37)),"YES","NO")</f>
        <v>NO</v>
      </c>
      <c r="AL330" s="252" t="str">
        <f>IF(ISNUMBER(SEARCH("R", 'Dry_Litterbag Placem_Collection'!$U37)),"YES","NO")</f>
        <v>NO</v>
      </c>
    </row>
    <row r="331" spans="2:38">
      <c r="B331" t="str">
        <f>'Final data_for_R_analysis_Dryse'!A477</f>
        <v>Dry</v>
      </c>
      <c r="C331" s="260">
        <f>'Final data_for_R_analysis_Dryse'!B477</f>
        <v>36</v>
      </c>
      <c r="D331" t="s">
        <v>3805</v>
      </c>
      <c r="E331" t="s">
        <v>25</v>
      </c>
      <c r="F331" s="382">
        <v>4</v>
      </c>
      <c r="G331" s="383">
        <f>IF('Dry_Litterbag Placem_Collection'!E38="","",'Dry_Litterbag Placem_Collection'!E38)</f>
        <v>42938</v>
      </c>
      <c r="H331" s="92" t="str">
        <f>'Final data_for_R_analysis_Dryse'!K477</f>
        <v>G767</v>
      </c>
      <c r="I331" t="str">
        <f>'Final data_for_R_analysis_Dryse'!K697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43"/>
        <v>1.6381999999999999</v>
      </c>
      <c r="M331" s="237">
        <f>AVERAGE(Ashed_controlls!$K$1:$K$11)</f>
        <v>5.5147656768714146</v>
      </c>
      <c r="N331" s="194">
        <f t="shared" si="39"/>
        <v>1.5478571086814923</v>
      </c>
      <c r="O331" s="194">
        <f t="shared" si="44"/>
        <v>1.9302000000000001</v>
      </c>
      <c r="P331" s="237">
        <f>AVERAGE(Ashed_controlls!$K$12:$K$14)</f>
        <v>2.2816647271287041</v>
      </c>
      <c r="Q331" s="194">
        <f t="shared" si="40"/>
        <v>1.8861593074369618</v>
      </c>
      <c r="R331" s="383">
        <f>IF('Dry_Litterbag Placem_Collection'!G38="","",'Dry_Litterbag Placem_Collection'!G38)</f>
        <v>43005</v>
      </c>
      <c r="S331" s="194">
        <f>IFERROR(INDEX('Both teabags AfterDry'!$D$3:$D$2000,MATCH(H331,'Both teabags AfterDry'!$A$3:$A$2000,0)),"")</f>
        <v>1.4665999999999999</v>
      </c>
      <c r="T331" s="194" t="str">
        <f>IFERROR(INDEX('Both teabags AfterDry'!$D$3:$D$2000,MATCH(I331,'Both teabags AfterDry'!$A$3:$A$2000,0)),"")</f>
        <v/>
      </c>
      <c r="U331" s="194">
        <f t="shared" si="45"/>
        <v>1.3159999999999998</v>
      </c>
      <c r="V331" s="194" t="str">
        <f t="shared" si="46"/>
        <v/>
      </c>
      <c r="W331" s="194">
        <f>IFERROR(INDEX('Ashed teabags dry'!$K$2:$K$2000,MATCH(H331,'Ashed teabags dry'!$A$2:$A$2000,0)),"")</f>
        <v>8.3333333333337372</v>
      </c>
      <c r="X331" s="194" t="str">
        <f>IFERROR(INDEX('Ashed teabags dry'!$K$2:$K$2000,MATCH(I331,'Ashed teabags dry'!$A$2:$A$2000,0)),"")</f>
        <v/>
      </c>
      <c r="Y331" s="194">
        <f t="shared" si="41"/>
        <v>1.2063333333333279</v>
      </c>
      <c r="Z331" s="194" t="str">
        <f t="shared" si="41"/>
        <v/>
      </c>
      <c r="AA331" s="194">
        <f t="shared" si="47"/>
        <v>0.22064296079570533</v>
      </c>
      <c r="AB331" s="194">
        <f t="shared" si="48"/>
        <v>0.14464954199433414</v>
      </c>
      <c r="AC331" s="194" t="str">
        <f t="shared" si="42"/>
        <v/>
      </c>
      <c r="AD331">
        <f t="shared" si="49"/>
        <v>67</v>
      </c>
      <c r="AE331" s="194">
        <f t="shared" si="50"/>
        <v>0.73795372827113381</v>
      </c>
      <c r="AF331" s="194" t="str">
        <f t="shared" si="51"/>
        <v/>
      </c>
      <c r="AG331" s="252" t="str">
        <f>IF(ISNUMBER(SEARCH("C", 'Dry_Litterbag Placem_Collection'!$V38)),"YES","NO")</f>
        <v>NO</v>
      </c>
      <c r="AH331" s="252" t="str">
        <f>IF(ISNUMBER(SEARCH("H", 'Dry_Litterbag Placem_Collection'!$V38)),"YES","NO")</f>
        <v>NO</v>
      </c>
      <c r="AI331" s="252" t="str">
        <f>IF(ISNUMBER(SEARCH("R", 'Dry_Litterbag Placem_Collection'!$V38)),"YES","NO")</f>
        <v>NO</v>
      </c>
      <c r="AJ331" s="252" t="str">
        <f>IF(ISNUMBER(SEARCH("C", 'Dry_Litterbag Placem_Collection'!$U38)),"YES","NO")</f>
        <v>NO</v>
      </c>
      <c r="AK331" s="252" t="str">
        <f>IF(ISNUMBER(SEARCH("H", 'Dry_Litterbag Placem_Collection'!$U38)),"YES","NO")</f>
        <v>NO</v>
      </c>
      <c r="AL331" s="252" t="str">
        <f>IF(ISNUMBER(SEARCH("R", 'Dry_Litterbag Placem_Collection'!$U38)),"YES","NO")</f>
        <v>YES</v>
      </c>
    </row>
    <row r="332" spans="2:38">
      <c r="B332" t="str">
        <f>'Final data_for_R_analysis_Dryse'!A478</f>
        <v>Dry</v>
      </c>
      <c r="C332" s="260">
        <f>'Final data_for_R_analysis_Dryse'!B478</f>
        <v>37</v>
      </c>
      <c r="D332" t="s">
        <v>3805</v>
      </c>
      <c r="E332" t="s">
        <v>25</v>
      </c>
      <c r="F332" s="382">
        <v>5</v>
      </c>
      <c r="G332" s="383">
        <f>IF('Dry_Litterbag Placem_Collection'!E39="","",'Dry_Litterbag Placem_Collection'!E39)</f>
        <v>42938</v>
      </c>
      <c r="H332" s="92" t="str">
        <f>'Final data_for_R_analysis_Dryse'!K478</f>
        <v>G473</v>
      </c>
      <c r="I332" t="str">
        <f>'Final data_for_R_analysis_Dryse'!K698</f>
        <v>R681</v>
      </c>
      <c r="J332">
        <f>IFERROR(INDEX('Green_rooibos initial weight'!$C$5:$C$2000,MATCH(H332, 'Green_rooibos initial weight'!$A$5:$A$2000,0)),"")</f>
        <v>2.077</v>
      </c>
      <c r="K332">
        <f>IFERROR(INDEX('Green_rooibos initial weight'!$C$5:$C$2000,MATCH(I332, 'Green_rooibos initial weight'!$A$5:$A$2000,0)),"")</f>
        <v>2.1859999999999999</v>
      </c>
      <c r="L332" s="194">
        <f t="shared" si="43"/>
        <v>1.8271999999999999</v>
      </c>
      <c r="M332" s="237">
        <f>AVERAGE(Ashed_controlls!$K$1:$K$11)</f>
        <v>5.5147656768714146</v>
      </c>
      <c r="N332" s="194">
        <f t="shared" ref="N332:N395" si="52">IFERROR(L332-(M332/100)*L332,"")</f>
        <v>1.7264342015522054</v>
      </c>
      <c r="O332" s="194">
        <f t="shared" si="44"/>
        <v>1.9361999999999999</v>
      </c>
      <c r="P332" s="237">
        <f>AVERAGE(Ashed_controlls!$K$12:$K$14)</f>
        <v>2.2816647271287041</v>
      </c>
      <c r="Q332" s="194">
        <f t="shared" ref="Q332:Q395" si="53">IFERROR(O332-(P332/100)*O332,"")</f>
        <v>1.8920224075533341</v>
      </c>
      <c r="R332" s="383">
        <f>IF('Dry_Litterbag Placem_Collection'!G39="","",'Dry_Litterbag Placem_Collection'!G39)</f>
        <v>43005</v>
      </c>
      <c r="S332" s="194">
        <f>IFERROR(INDEX('Both teabags AfterDry'!$D$3:$D$2000,MATCH(H332,'Both teabags AfterDry'!$A$3:$A$2000,0)),"")</f>
        <v>1.8992</v>
      </c>
      <c r="T332" s="194">
        <f>IFERROR(INDEX('Both teabags AfterDry'!$D$3:$D$2000,MATCH(I332,'Both teabags AfterDry'!$A$3:$A$2000,0)),"")</f>
        <v>1.9663999999999999</v>
      </c>
      <c r="U332" s="194">
        <f t="shared" si="45"/>
        <v>1.7485999999999999</v>
      </c>
      <c r="V332" s="194">
        <f t="shared" si="46"/>
        <v>1.8157999999999999</v>
      </c>
      <c r="W332" s="194">
        <f>IFERROR(INDEX('Ashed teabags dry'!$K$2:$K$2000,MATCH(H332,'Ashed teabags dry'!$A$2:$A$2000,0)),"")</f>
        <v>6.7924528301884193</v>
      </c>
      <c r="X332" s="194">
        <f>IFERROR(INDEX('Ashed teabags dry'!$K$2:$K$2000,MATCH(I332,'Ashed teabags dry'!$A$2:$A$2000,0)),"")</f>
        <v>4.1249999999999165</v>
      </c>
      <c r="Y332" s="194">
        <f t="shared" ref="Y332:Z395" si="54">IFERROR(U332-(W332/100)*U332,"")</f>
        <v>1.6298271698113251</v>
      </c>
      <c r="Z332" s="194">
        <f t="shared" si="54"/>
        <v>1.7408982500000014</v>
      </c>
      <c r="AA332" s="194">
        <f t="shared" si="47"/>
        <v>5.5957552077005146E-2</v>
      </c>
      <c r="AB332" s="194">
        <f t="shared" si="48"/>
        <v>3.6684760981599548E-2</v>
      </c>
      <c r="AC332" s="194">
        <f t="shared" ref="AC332:AC395" si="55">IFERROR(Z332/Q332,"")</f>
        <v>0.92012559843371067</v>
      </c>
      <c r="AD332">
        <f t="shared" si="49"/>
        <v>67</v>
      </c>
      <c r="AE332" s="194">
        <f t="shared" si="50"/>
        <v>0.93354209967101531</v>
      </c>
      <c r="AF332" s="194" t="str">
        <f t="shared" si="51"/>
        <v/>
      </c>
      <c r="AG332" s="252" t="str">
        <f>IF(ISNUMBER(SEARCH("C", 'Dry_Litterbag Placem_Collection'!$V39)),"YES","NO")</f>
        <v>NO</v>
      </c>
      <c r="AH332" s="252" t="str">
        <f>IF(ISNUMBER(SEARCH("H", 'Dry_Litterbag Placem_Collection'!$V39)),"YES","NO")</f>
        <v>NO</v>
      </c>
      <c r="AI332" s="252" t="str">
        <f>IF(ISNUMBER(SEARCH("R", 'Dry_Litterbag Placem_Collection'!$V39)),"YES","NO")</f>
        <v>NO</v>
      </c>
      <c r="AJ332" s="252" t="str">
        <f>IF(ISNUMBER(SEARCH("C", 'Dry_Litterbag Placem_Collection'!$U39)),"YES","NO")</f>
        <v>NO</v>
      </c>
      <c r="AK332" s="252" t="str">
        <f>IF(ISNUMBER(SEARCH("H", 'Dry_Litterbag Placem_Collection'!$U39)),"YES","NO")</f>
        <v>NO</v>
      </c>
      <c r="AL332" s="252" t="str">
        <f>IF(ISNUMBER(SEARCH("R", 'Dry_Litterbag Placem_Collection'!$U39)),"YES","NO")</f>
        <v>NO</v>
      </c>
    </row>
    <row r="333" spans="2:38">
      <c r="B333" t="str">
        <f>'Final data_for_R_analysis_Dryse'!A479</f>
        <v>Dry</v>
      </c>
      <c r="C333" s="260">
        <f>'Final data_for_R_analysis_Dryse'!B479</f>
        <v>38</v>
      </c>
      <c r="D333" t="s">
        <v>3805</v>
      </c>
      <c r="E333" t="s">
        <v>25</v>
      </c>
      <c r="F333" s="382">
        <v>6</v>
      </c>
      <c r="G333" s="383">
        <f>IF('Dry_Litterbag Placem_Collection'!E40="","",'Dry_Litterbag Placem_Collection'!E40)</f>
        <v>42938</v>
      </c>
      <c r="H333" s="92" t="str">
        <f>'Final data_for_R_analysis_Dryse'!K479</f>
        <v>G111</v>
      </c>
      <c r="I333" t="str">
        <f>'Final data_for_R_analysis_Dryse'!K699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56">IFERROR(IF(J333&gt;0,(J333*$F$31-($F$29+$F$30)),""),"")</f>
        <v>1.8252000000000002</v>
      </c>
      <c r="M333" s="237">
        <f>AVERAGE(Ashed_controlls!$K$1:$K$11)</f>
        <v>5.5147656768714146</v>
      </c>
      <c r="N333" s="194">
        <f t="shared" si="52"/>
        <v>1.7245444968657431</v>
      </c>
      <c r="O333" s="194">
        <f t="shared" ref="O333:O396" si="57">IFERROR(IF(K333&gt;0,(K333*$F$32-($F$29+$F$30)),""),"")</f>
        <v>1.9281999999999999</v>
      </c>
      <c r="P333" s="237">
        <f>AVERAGE(Ashed_controlls!$K$12:$K$14)</f>
        <v>2.2816647271287041</v>
      </c>
      <c r="Q333" s="194">
        <f t="shared" si="53"/>
        <v>1.8842049407315042</v>
      </c>
      <c r="R333" s="383">
        <f>IF('Dry_Litterbag Placem_Collection'!G40="","",'Dry_Litterbag Placem_Collection'!G40)</f>
        <v>43005</v>
      </c>
      <c r="S333" s="194">
        <f>IFERROR(INDEX('Both teabags AfterDry'!$D$3:$D$2000,MATCH(H333,'Both teabags AfterDry'!$A$3:$A$2000,0)),"")</f>
        <v>1.8357000000000001</v>
      </c>
      <c r="T333" s="194">
        <f>IFERROR(INDEX('Both teabags AfterDry'!$D$3:$D$2000,MATCH(I333,'Both teabags AfterDry'!$A$3:$A$2000,0)),"")</f>
        <v>1.8734</v>
      </c>
      <c r="U333" s="194">
        <f t="shared" ref="U333:U396" si="58">IFERROR(IF(S333&gt;0,S333-($F$29),""),"")</f>
        <v>1.6851</v>
      </c>
      <c r="V333" s="194">
        <f t="shared" ref="V333:V396" si="59">IFERROR(IF(T333&gt;0,T333-($F$29),""),"")</f>
        <v>1.7227999999999999</v>
      </c>
      <c r="W333" s="194">
        <f>IFERROR(INDEX('Ashed teabags dry'!$K$2:$K$2000,MATCH(H333,'Ashed teabags dry'!$A$2:$A$2000,0)),"")</f>
        <v>6.2317429406042981</v>
      </c>
      <c r="X333" s="194">
        <f>IFERROR(INDEX('Ashed teabags dry'!$K$2:$K$2000,MATCH(I333,'Ashed teabags dry'!$A$2:$A$2000,0)),"")</f>
        <v>3.7144036318613898</v>
      </c>
      <c r="Y333" s="194">
        <f t="shared" si="54"/>
        <v>1.580088899707877</v>
      </c>
      <c r="Z333" s="194">
        <f t="shared" si="54"/>
        <v>1.6588082542302918</v>
      </c>
      <c r="AA333" s="194">
        <f t="shared" ref="AA333:AA396" si="60">IFERROR(1-Y333/N333,"")</f>
        <v>8.3764493998505385E-2</v>
      </c>
      <c r="AB333" s="194">
        <f t="shared" ref="AB333:AB396" si="61">IFERROR($F$26*(1-AE333),"")</f>
        <v>5.4914490127286178E-2</v>
      </c>
      <c r="AC333" s="194">
        <f t="shared" si="55"/>
        <v>0.88037570562058565</v>
      </c>
      <c r="AD333">
        <f t="shared" ref="AD333:AD396" si="62">IFERROR(IF((R333-G333)&gt;0,(IFERROR(R333-G333,"")),""),"")</f>
        <v>67</v>
      </c>
      <c r="AE333" s="194">
        <f t="shared" ref="AE333:AE396" si="63">IFERROR(1-(AA333/$F$25),"")</f>
        <v>0.90051722803027867</v>
      </c>
      <c r="AF333" s="194" t="str">
        <f t="shared" ref="AF333:AF396" si="64">IFERROR(LN(AB333/(AC333-(1-AB333)))/AD333,"")</f>
        <v/>
      </c>
      <c r="AG333" s="252" t="str">
        <f>IF(ISNUMBER(SEARCH("C", 'Dry_Litterbag Placem_Collection'!$V40)),"YES","NO")</f>
        <v>NO</v>
      </c>
      <c r="AH333" s="252" t="str">
        <f>IF(ISNUMBER(SEARCH("H", 'Dry_Litterbag Placem_Collection'!$V40)),"YES","NO")</f>
        <v>NO</v>
      </c>
      <c r="AI333" s="252" t="str">
        <f>IF(ISNUMBER(SEARCH("R", 'Dry_Litterbag Placem_Collection'!$V40)),"YES","NO")</f>
        <v>NO</v>
      </c>
      <c r="AJ333" s="252" t="str">
        <f>IF(ISNUMBER(SEARCH("C", 'Dry_Litterbag Placem_Collection'!$U40)),"YES","NO")</f>
        <v>NO</v>
      </c>
      <c r="AK333" s="252" t="str">
        <f>IF(ISNUMBER(SEARCH("H", 'Dry_Litterbag Placem_Collection'!$U40)),"YES","NO")</f>
        <v>NO</v>
      </c>
      <c r="AL333" s="252" t="str">
        <f>IF(ISNUMBER(SEARCH("R", 'Dry_Litterbag Placem_Collection'!$U40)),"YES","NO")</f>
        <v>NO</v>
      </c>
    </row>
    <row r="334" spans="2:38">
      <c r="B334" t="str">
        <f>'Final data_for_R_analysis_Dryse'!A480</f>
        <v>Dry</v>
      </c>
      <c r="C334" s="260">
        <f>'Final data_for_R_analysis_Dryse'!B480</f>
        <v>39</v>
      </c>
      <c r="D334" t="s">
        <v>3805</v>
      </c>
      <c r="E334" t="s">
        <v>25</v>
      </c>
      <c r="F334" s="382">
        <v>7</v>
      </c>
      <c r="G334" s="383">
        <f>IF('Dry_Litterbag Placem_Collection'!E41="","",'Dry_Litterbag Placem_Collection'!E41)</f>
        <v>42938</v>
      </c>
      <c r="H334" s="92" t="str">
        <f>'Final data_for_R_analysis_Dryse'!K480</f>
        <v/>
      </c>
      <c r="I334" t="str">
        <f>'Final data_for_R_analysis_Dryse'!K700</f>
        <v/>
      </c>
      <c r="J334" t="str">
        <f>IFERROR(INDEX('Green_rooibos initial weight'!$C$5:$C$2000,MATCH(H334, 'Green_rooibos initial weight'!$A$5:$A$2000,0)),"")</f>
        <v/>
      </c>
      <c r="K334" t="str">
        <f>IFERROR(INDEX('Green_rooibos initial weight'!$C$5:$C$2000,MATCH(I334, 'Green_rooibos initial weight'!$A$5:$A$2000,0)),"")</f>
        <v/>
      </c>
      <c r="L334" s="194" t="str">
        <f t="shared" si="56"/>
        <v/>
      </c>
      <c r="M334" s="237">
        <f>AVERAGE(Ashed_controlls!$K$1:$K$11)</f>
        <v>5.5147656768714146</v>
      </c>
      <c r="N334" s="194" t="str">
        <f t="shared" si="52"/>
        <v/>
      </c>
      <c r="O334" s="194" t="str">
        <f t="shared" si="57"/>
        <v/>
      </c>
      <c r="P334" s="237">
        <f>AVERAGE(Ashed_controlls!$K$12:$K$14)</f>
        <v>2.2816647271287041</v>
      </c>
      <c r="Q334" s="194" t="str">
        <f t="shared" si="53"/>
        <v/>
      </c>
      <c r="R334" s="383" t="str">
        <f>IF('Dry_Litterbag Placem_Collection'!G41="","",'Dry_Litterbag Placem_Collection'!G41)</f>
        <v/>
      </c>
      <c r="S334" s="194" t="str">
        <f>IFERROR(INDEX('Both teabags AfterDry'!$D$3:$D$2000,MATCH(H334,'Both teabags AfterDry'!$A$3:$A$2000,0)),"")</f>
        <v/>
      </c>
      <c r="T334" s="194" t="str">
        <f>IFERROR(INDEX('Both teabags AfterDry'!$D$3:$D$2000,MATCH(I334,'Both teabags AfterDry'!$A$3:$A$2000,0)),"")</f>
        <v/>
      </c>
      <c r="U334" s="194" t="str">
        <f t="shared" si="58"/>
        <v/>
      </c>
      <c r="V334" s="194" t="str">
        <f t="shared" si="59"/>
        <v/>
      </c>
      <c r="W334" s="194" t="str">
        <f>IFERROR(INDEX('Ashed teabags dry'!$K$2:$K$2000,MATCH(H334,'Ashed teabags dry'!$A$2:$A$2000,0)),"")</f>
        <v/>
      </c>
      <c r="X334" s="194" t="str">
        <f>IFERROR(INDEX('Ashed teabags dry'!$K$2:$K$2000,MATCH(I334,'Ashed teabags dry'!$A$2:$A$2000,0)),"")</f>
        <v/>
      </c>
      <c r="Y334" s="194" t="str">
        <f t="shared" si="54"/>
        <v/>
      </c>
      <c r="Z334" s="194" t="str">
        <f t="shared" si="54"/>
        <v/>
      </c>
      <c r="AA334" s="194" t="str">
        <f t="shared" si="60"/>
        <v/>
      </c>
      <c r="AB334" s="194" t="str">
        <f t="shared" si="61"/>
        <v/>
      </c>
      <c r="AC334" s="194" t="str">
        <f t="shared" si="55"/>
        <v/>
      </c>
      <c r="AD334" t="str">
        <f t="shared" si="62"/>
        <v/>
      </c>
      <c r="AE334" s="194" t="str">
        <f t="shared" si="63"/>
        <v/>
      </c>
      <c r="AF334" s="194" t="str">
        <f t="shared" si="64"/>
        <v/>
      </c>
      <c r="AG334" s="252" t="str">
        <f>IF(ISNUMBER(SEARCH("C", 'Dry_Litterbag Placem_Collection'!$V41)),"YES","NO")</f>
        <v>NO</v>
      </c>
      <c r="AH334" s="252" t="str">
        <f>IF(ISNUMBER(SEARCH("H", 'Dry_Litterbag Placem_Collection'!$V41)),"YES","NO")</f>
        <v>NO</v>
      </c>
      <c r="AI334" s="252" t="str">
        <f>IF(ISNUMBER(SEARCH("R", 'Dry_Litterbag Placem_Collection'!$V41)),"YES","NO")</f>
        <v>NO</v>
      </c>
      <c r="AJ334" s="252" t="str">
        <f>IF(ISNUMBER(SEARCH("C", 'Dry_Litterbag Placem_Collection'!$U41)),"YES","NO")</f>
        <v>NO</v>
      </c>
      <c r="AK334" s="252" t="str">
        <f>IF(ISNUMBER(SEARCH("H", 'Dry_Litterbag Placem_Collection'!$U41)),"YES","NO")</f>
        <v>NO</v>
      </c>
      <c r="AL334" s="252" t="str">
        <f>IF(ISNUMBER(SEARCH("R", 'Dry_Litterbag Placem_Collection'!$U41)),"YES","NO")</f>
        <v>NO</v>
      </c>
    </row>
    <row r="335" spans="2:38">
      <c r="B335" t="str">
        <f>'Final data_for_R_analysis_Dryse'!A481</f>
        <v>Dry</v>
      </c>
      <c r="C335" s="260">
        <f>'Final data_for_R_analysis_Dryse'!B481</f>
        <v>40</v>
      </c>
      <c r="D335" t="s">
        <v>3805</v>
      </c>
      <c r="E335" t="s">
        <v>25</v>
      </c>
      <c r="F335" s="382">
        <v>8</v>
      </c>
      <c r="G335" s="383">
        <f>IF('Dry_Litterbag Placem_Collection'!E42="","",'Dry_Litterbag Placem_Collection'!E42)</f>
        <v>42938</v>
      </c>
      <c r="H335" s="92" t="str">
        <f>'Final data_for_R_analysis_Dryse'!K481</f>
        <v>G646</v>
      </c>
      <c r="I335" t="str">
        <f>'Final data_for_R_analysis_Dryse'!K701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56"/>
        <v>1.9131999999999998</v>
      </c>
      <c r="M335" s="237">
        <f>AVERAGE(Ashed_controlls!$K$1:$K$11)</f>
        <v>5.5147656768714146</v>
      </c>
      <c r="N335" s="194">
        <f t="shared" si="52"/>
        <v>1.807691503070096</v>
      </c>
      <c r="O335" s="194">
        <f t="shared" si="57"/>
        <v>1.8961999999999999</v>
      </c>
      <c r="P335" s="237">
        <f>AVERAGE(Ashed_controlls!$K$12:$K$14)</f>
        <v>2.2816647271287041</v>
      </c>
      <c r="Q335" s="194">
        <f t="shared" si="53"/>
        <v>1.8529350734441854</v>
      </c>
      <c r="R335" s="383">
        <f>IF('Dry_Litterbag Placem_Collection'!G42="","",'Dry_Litterbag Placem_Collection'!G42)</f>
        <v>43005</v>
      </c>
      <c r="S335" s="194">
        <f>IFERROR(INDEX('Both teabags AfterDry'!$D$3:$D$2000,MATCH(H335,'Both teabags AfterDry'!$A$3:$A$2000,0)),"")</f>
        <v>1.9007000000000001</v>
      </c>
      <c r="T335" s="194">
        <f>IFERROR(INDEX('Both teabags AfterDry'!$D$3:$D$2000,MATCH(I335,'Both teabags AfterDry'!$A$3:$A$2000,0)),"")</f>
        <v>1.9192</v>
      </c>
      <c r="U335" s="194">
        <f t="shared" si="58"/>
        <v>1.7501</v>
      </c>
      <c r="V335" s="194">
        <f t="shared" si="59"/>
        <v>1.7685999999999999</v>
      </c>
      <c r="W335" s="194">
        <f>IFERROR(INDEX('Ashed teabags dry'!$K$2:$K$2000,MATCH(H335,'Ashed teabags dry'!$A$2:$A$2000,0)),"")</f>
        <v>6.7672833495611799</v>
      </c>
      <c r="X335" s="194">
        <f>IFERROR(INDEX('Ashed teabags dry'!$K$2:$K$2000,MATCH(I335,'Ashed teabags dry'!$A$2:$A$2000,0)),"")</f>
        <v>3.0697674418608112</v>
      </c>
      <c r="Y335" s="194">
        <f t="shared" si="54"/>
        <v>1.6316657740993297</v>
      </c>
      <c r="Z335" s="194">
        <f t="shared" si="54"/>
        <v>1.7143080930232497</v>
      </c>
      <c r="AA335" s="194">
        <f t="shared" si="60"/>
        <v>9.7375978518354889E-2</v>
      </c>
      <c r="AB335" s="194">
        <f t="shared" si="61"/>
        <v>6.3837933660489191E-2</v>
      </c>
      <c r="AC335" s="194">
        <f t="shared" si="55"/>
        <v>0.92518519272061728</v>
      </c>
      <c r="AD335">
        <f t="shared" si="62"/>
        <v>67</v>
      </c>
      <c r="AE335" s="194">
        <f t="shared" si="63"/>
        <v>0.88435156945563553</v>
      </c>
      <c r="AF335" s="194" t="str">
        <f t="shared" si="64"/>
        <v/>
      </c>
      <c r="AG335" s="252" t="str">
        <f>IF(ISNUMBER(SEARCH("C", 'Dry_Litterbag Placem_Collection'!$V42)),"YES","NO")</f>
        <v>NO</v>
      </c>
      <c r="AH335" s="252" t="str">
        <f>IF(ISNUMBER(SEARCH("H", 'Dry_Litterbag Placem_Collection'!$V42)),"YES","NO")</f>
        <v>NO</v>
      </c>
      <c r="AI335" s="252" t="str">
        <f>IF(ISNUMBER(SEARCH("R", 'Dry_Litterbag Placem_Collection'!$V42)),"YES","NO")</f>
        <v>NO</v>
      </c>
      <c r="AJ335" s="252" t="str">
        <f>IF(ISNUMBER(SEARCH("C", 'Dry_Litterbag Placem_Collection'!$U42)),"YES","NO")</f>
        <v>NO</v>
      </c>
      <c r="AK335" s="252" t="str">
        <f>IF(ISNUMBER(SEARCH("H", 'Dry_Litterbag Placem_Collection'!$U42)),"YES","NO")</f>
        <v>NO</v>
      </c>
      <c r="AL335" s="252" t="str">
        <f>IF(ISNUMBER(SEARCH("R", 'Dry_Litterbag Placem_Collection'!$U42)),"YES","NO")</f>
        <v>NO</v>
      </c>
    </row>
    <row r="336" spans="2:38">
      <c r="B336" t="str">
        <f>'Final data_for_R_analysis_Dryse'!A482</f>
        <v>Dry</v>
      </c>
      <c r="C336" s="260">
        <f>'Final data_for_R_analysis_Dryse'!B482</f>
        <v>41</v>
      </c>
      <c r="D336" t="s">
        <v>3807</v>
      </c>
      <c r="E336" t="s">
        <v>25</v>
      </c>
      <c r="F336" s="381">
        <v>1</v>
      </c>
      <c r="G336" s="383">
        <f>IF('Dry_Litterbag Placem_Collection'!E43="","",'Dry_Litterbag Placem_Collection'!E43)</f>
        <v>42938</v>
      </c>
      <c r="H336" s="92" t="str">
        <f>'Final data_for_R_analysis_Dryse'!K482</f>
        <v>G43</v>
      </c>
      <c r="I336" t="str">
        <f>'Final data_for_R_analysis_Dryse'!K702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56"/>
        <v>1.7152000000000001</v>
      </c>
      <c r="M336" s="237">
        <f>AVERAGE(Ashed_controlls!$K$1:$K$11)</f>
        <v>5.5147656768714146</v>
      </c>
      <c r="N336" s="194">
        <f t="shared" si="52"/>
        <v>1.6206107391103015</v>
      </c>
      <c r="O336" s="194">
        <f t="shared" si="57"/>
        <v>1.9422000000000001</v>
      </c>
      <c r="P336" s="237">
        <f>AVERAGE(Ashed_controlls!$K$12:$K$14)</f>
        <v>2.2816647271287041</v>
      </c>
      <c r="Q336" s="194">
        <f t="shared" si="53"/>
        <v>1.8978855076697065</v>
      </c>
      <c r="R336" s="383">
        <f>IF('Dry_Litterbag Placem_Collection'!G43="","",'Dry_Litterbag Placem_Collection'!G43)</f>
        <v>43005</v>
      </c>
      <c r="S336" s="194">
        <f>IFERROR(INDEX('Both teabags AfterDry'!$D$3:$D$2000,MATCH(H336,'Both teabags AfterDry'!$A$3:$A$2000,0)),"")</f>
        <v>1.7821</v>
      </c>
      <c r="T336" s="194">
        <f>IFERROR(INDEX('Both teabags AfterDry'!$D$3:$D$2000,MATCH(I336,'Both teabags AfterDry'!$A$3:$A$2000,0)),"")</f>
        <v>1.9649000000000001</v>
      </c>
      <c r="U336" s="194">
        <f t="shared" si="58"/>
        <v>1.6315</v>
      </c>
      <c r="V336" s="194">
        <f t="shared" si="59"/>
        <v>1.8143</v>
      </c>
      <c r="W336" s="194">
        <f>IFERROR(INDEX('Ashed teabags dry'!$K$2:$K$2000,MATCH(H336,'Ashed teabags dry'!$A$2:$A$2000,0)),"")</f>
        <v>4.8097944905995158</v>
      </c>
      <c r="X336" s="194">
        <f>IFERROR(INDEX('Ashed teabags dry'!$K$2:$K$2000,MATCH(I336,'Ashed teabags dry'!$A$2:$A$2000,0)),"")</f>
        <v>3.1295137217131312</v>
      </c>
      <c r="Y336" s="194">
        <f t="shared" si="54"/>
        <v>1.5530282028858688</v>
      </c>
      <c r="Z336" s="194">
        <f t="shared" si="54"/>
        <v>1.7575212325469587</v>
      </c>
      <c r="AA336" s="194">
        <f t="shared" si="60"/>
        <v>4.1701893362458442E-2</v>
      </c>
      <c r="AB336" s="194">
        <f t="shared" si="61"/>
        <v>2.733900847515091E-2</v>
      </c>
      <c r="AC336" s="194">
        <f t="shared" si="55"/>
        <v>0.92604175828546564</v>
      </c>
      <c r="AD336">
        <f t="shared" si="62"/>
        <v>67</v>
      </c>
      <c r="AE336" s="194">
        <f t="shared" si="63"/>
        <v>0.95047281073342227</v>
      </c>
      <c r="AF336" s="194" t="str">
        <f t="shared" si="64"/>
        <v/>
      </c>
      <c r="AG336" s="252" t="str">
        <f>IF(ISNUMBER(SEARCH("C", 'Dry_Litterbag Placem_Collection'!$V43)),"YES","NO")</f>
        <v>NO</v>
      </c>
      <c r="AH336" s="252" t="str">
        <f>IF(ISNUMBER(SEARCH("H", 'Dry_Litterbag Placem_Collection'!$V43)),"YES","NO")</f>
        <v>NO</v>
      </c>
      <c r="AI336" s="252" t="str">
        <f>IF(ISNUMBER(SEARCH("R", 'Dry_Litterbag Placem_Collection'!$V43)),"YES","NO")</f>
        <v>NO</v>
      </c>
      <c r="AJ336" s="252" t="str">
        <f>IF(ISNUMBER(SEARCH("C", 'Dry_Litterbag Placem_Collection'!$U43)),"YES","NO")</f>
        <v>NO</v>
      </c>
      <c r="AK336" s="252" t="str">
        <f>IF(ISNUMBER(SEARCH("H", 'Dry_Litterbag Placem_Collection'!$U43)),"YES","NO")</f>
        <v>NO</v>
      </c>
      <c r="AL336" s="252" t="str">
        <f>IF(ISNUMBER(SEARCH("R", 'Dry_Litterbag Placem_Collection'!$U43)),"YES","NO")</f>
        <v>NO</v>
      </c>
    </row>
    <row r="337" spans="2:38">
      <c r="B337" t="str">
        <f>'Final data_for_R_analysis_Dryse'!A483</f>
        <v>Dry</v>
      </c>
      <c r="C337" s="260">
        <f>'Final data_for_R_analysis_Dryse'!B483</f>
        <v>42</v>
      </c>
      <c r="D337" t="s">
        <v>3807</v>
      </c>
      <c r="E337" t="s">
        <v>25</v>
      </c>
      <c r="F337" s="381">
        <v>2</v>
      </c>
      <c r="G337" s="383">
        <f>IF('Dry_Litterbag Placem_Collection'!E44="","",'Dry_Litterbag Placem_Collection'!E44)</f>
        <v>42938</v>
      </c>
      <c r="H337" s="92" t="str">
        <f>'Final data_for_R_analysis_Dryse'!K483</f>
        <v>G268</v>
      </c>
      <c r="I337" t="str">
        <f>'Final data_for_R_analysis_Dryse'!K703</f>
        <v>R257</v>
      </c>
      <c r="J337">
        <f>IFERROR(INDEX('Green_rooibos initial weight'!$C$5:$C$2000,MATCH(H337, 'Green_rooibos initial weight'!$A$5:$A$2000,0)),"")</f>
        <v>2.1389999999999998</v>
      </c>
      <c r="K337">
        <f>IFERROR(INDEX('Green_rooibos initial weight'!$C$5:$C$2000,MATCH(I337, 'Green_rooibos initial weight'!$A$5:$A$2000,0)),"")</f>
        <v>2.222</v>
      </c>
      <c r="L337" s="194">
        <f t="shared" si="56"/>
        <v>1.8891999999999998</v>
      </c>
      <c r="M337" s="237">
        <f>AVERAGE(Ashed_controlls!$K$1:$K$11)</f>
        <v>5.5147656768714146</v>
      </c>
      <c r="N337" s="194">
        <f t="shared" si="52"/>
        <v>1.785015046832545</v>
      </c>
      <c r="O337" s="194">
        <f t="shared" si="57"/>
        <v>1.9722</v>
      </c>
      <c r="P337" s="237">
        <f>AVERAGE(Ashed_controlls!$K$12:$K$14)</f>
        <v>2.2816647271287041</v>
      </c>
      <c r="Q337" s="194">
        <f t="shared" si="53"/>
        <v>1.9272010082515676</v>
      </c>
      <c r="R337" s="383">
        <f>IF('Dry_Litterbag Placem_Collection'!G44="","",'Dry_Litterbag Placem_Collection'!G44)</f>
        <v>43005</v>
      </c>
      <c r="S337" s="194">
        <f>IFERROR(INDEX('Both teabags AfterDry'!$D$3:$D$2000,MATCH(H337,'Both teabags AfterDry'!$A$3:$A$2000,0)),"")</f>
        <v>1.7633000000000001</v>
      </c>
      <c r="T337" s="194">
        <f>IFERROR(INDEX('Both teabags AfterDry'!$D$3:$D$2000,MATCH(I337,'Both teabags AfterDry'!$A$3:$A$2000,0)),"")</f>
        <v>1.956</v>
      </c>
      <c r="U337" s="194">
        <f t="shared" si="58"/>
        <v>1.6127</v>
      </c>
      <c r="V337" s="194">
        <f t="shared" si="59"/>
        <v>1.8053999999999999</v>
      </c>
      <c r="W337" s="194">
        <f>IFERROR(INDEX('Ashed teabags dry'!$K$2:$K$2000,MATCH(H337,'Ashed teabags dry'!$A$2:$A$2000,0)),"")</f>
        <v>9.3972472710013903</v>
      </c>
      <c r="X337" s="194">
        <f>IFERROR(INDEX('Ashed teabags dry'!$K$2:$K$2000,MATCH(I337,'Ashed teabags dry'!$A$2:$A$2000,0)),"")</f>
        <v>2.8571428571426241</v>
      </c>
      <c r="Y337" s="194">
        <f t="shared" si="54"/>
        <v>1.4611505932605606</v>
      </c>
      <c r="Z337" s="194">
        <f t="shared" si="54"/>
        <v>1.753817142857147</v>
      </c>
      <c r="AA337" s="194">
        <f t="shared" si="60"/>
        <v>0.18143513924247978</v>
      </c>
      <c r="AB337" s="194">
        <f t="shared" si="61"/>
        <v>0.11894560197369221</v>
      </c>
      <c r="AC337" s="194">
        <f t="shared" si="55"/>
        <v>0.910033325713273</v>
      </c>
      <c r="AD337">
        <f t="shared" si="62"/>
        <v>67</v>
      </c>
      <c r="AE337" s="194">
        <f t="shared" si="63"/>
        <v>0.78451883700418079</v>
      </c>
      <c r="AF337" s="194">
        <f t="shared" si="64"/>
        <v>2.1076079521612927E-2</v>
      </c>
      <c r="AG337" s="252" t="str">
        <f>IF(ISNUMBER(SEARCH("C", 'Dry_Litterbag Placem_Collection'!$V44)),"YES","NO")</f>
        <v>NO</v>
      </c>
      <c r="AH337" s="252" t="str">
        <f>IF(ISNUMBER(SEARCH("H", 'Dry_Litterbag Placem_Collection'!$V44)),"YES","NO")</f>
        <v>NO</v>
      </c>
      <c r="AI337" s="252" t="str">
        <f>IF(ISNUMBER(SEARCH("R", 'Dry_Litterbag Placem_Collection'!$V44)),"YES","NO")</f>
        <v>NO</v>
      </c>
      <c r="AJ337" s="252" t="str">
        <f>IF(ISNUMBER(SEARCH("C", 'Dry_Litterbag Placem_Collection'!$U44)),"YES","NO")</f>
        <v>NO</v>
      </c>
      <c r="AK337" s="252" t="str">
        <f>IF(ISNUMBER(SEARCH("H", 'Dry_Litterbag Placem_Collection'!$U44)),"YES","NO")</f>
        <v>NO</v>
      </c>
      <c r="AL337" s="252" t="str">
        <f>IF(ISNUMBER(SEARCH("R", 'Dry_Litterbag Placem_Collection'!$U44)),"YES","NO")</f>
        <v>YES</v>
      </c>
    </row>
    <row r="338" spans="2:38">
      <c r="B338" t="str">
        <f>'Final data_for_R_analysis_Dryse'!A484</f>
        <v>Dry</v>
      </c>
      <c r="C338" s="260">
        <f>'Final data_for_R_analysis_Dryse'!B484</f>
        <v>43</v>
      </c>
      <c r="D338" t="s">
        <v>3807</v>
      </c>
      <c r="E338" t="s">
        <v>25</v>
      </c>
      <c r="F338" s="381">
        <v>3</v>
      </c>
      <c r="G338" s="383">
        <f>IF('Dry_Litterbag Placem_Collection'!E45="","",'Dry_Litterbag Placem_Collection'!E45)</f>
        <v>42938</v>
      </c>
      <c r="H338" s="92" t="str">
        <f>'Final data_for_R_analysis_Dryse'!K484</f>
        <v>G300</v>
      </c>
      <c r="I338" t="str">
        <f>'Final data_for_R_analysis_Dryse'!K704</f>
        <v>R691</v>
      </c>
      <c r="J338">
        <f>IFERROR(INDEX('Green_rooibos initial weight'!$C$5:$C$2000,MATCH(H338, 'Green_rooibos initial weight'!$A$5:$A$2000,0)),"")</f>
        <v>2.052</v>
      </c>
      <c r="K338">
        <f>IFERROR(INDEX('Green_rooibos initial weight'!$C$5:$C$2000,MATCH(I338, 'Green_rooibos initial weight'!$A$5:$A$2000,0)),"")</f>
        <v>2.1859999999999999</v>
      </c>
      <c r="L338" s="194">
        <f t="shared" si="56"/>
        <v>1.8022</v>
      </c>
      <c r="M338" s="237">
        <f>AVERAGE(Ashed_controlls!$K$1:$K$11)</f>
        <v>5.5147656768714146</v>
      </c>
      <c r="N338" s="194">
        <f t="shared" si="52"/>
        <v>1.7028128929714235</v>
      </c>
      <c r="O338" s="194">
        <f t="shared" si="57"/>
        <v>1.9361999999999999</v>
      </c>
      <c r="P338" s="237">
        <f>AVERAGE(Ashed_controlls!$K$12:$K$14)</f>
        <v>2.2816647271287041</v>
      </c>
      <c r="Q338" s="194">
        <f t="shared" si="53"/>
        <v>1.8920224075533341</v>
      </c>
      <c r="R338" s="383">
        <f>IF('Dry_Litterbag Placem_Collection'!G45="","",'Dry_Litterbag Placem_Collection'!G45)</f>
        <v>43005</v>
      </c>
      <c r="S338" s="194">
        <f>IFERROR(INDEX('Both teabags AfterDry'!$D$3:$D$2000,MATCH(H338,'Both teabags AfterDry'!$A$3:$A$2000,0)),"")</f>
        <v>1.8340000000000001</v>
      </c>
      <c r="T338" s="194">
        <f>IFERROR(INDEX('Both teabags AfterDry'!$D$3:$D$2000,MATCH(I338,'Both teabags AfterDry'!$A$3:$A$2000,0)),"")</f>
        <v>1.9609000000000001</v>
      </c>
      <c r="U338" s="194">
        <f t="shared" si="58"/>
        <v>1.6834</v>
      </c>
      <c r="V338" s="194">
        <f t="shared" si="59"/>
        <v>1.8103</v>
      </c>
      <c r="W338" s="194">
        <f>IFERROR(INDEX('Ashed teabags dry'!$K$2:$K$2000,MATCH(H338,'Ashed teabags dry'!$A$2:$A$2000,0)),"")</f>
        <v>6.2999529854254668</v>
      </c>
      <c r="X338" s="194">
        <f>IFERROR(INDEX('Ashed teabags dry'!$K$2:$K$2000,MATCH(I338,'Ashed teabags dry'!$A$2:$A$2000,0)),"")</f>
        <v>3.8599640933580917</v>
      </c>
      <c r="Y338" s="194">
        <f t="shared" si="54"/>
        <v>1.5773465914433478</v>
      </c>
      <c r="Z338" s="194">
        <f t="shared" si="54"/>
        <v>1.7404230700179384</v>
      </c>
      <c r="AA338" s="194">
        <f t="shared" si="60"/>
        <v>7.3681789729190927E-2</v>
      </c>
      <c r="AB338" s="194">
        <f t="shared" si="61"/>
        <v>4.8304451223887643E-2</v>
      </c>
      <c r="AC338" s="194">
        <f t="shared" si="55"/>
        <v>0.91987444919775763</v>
      </c>
      <c r="AD338">
        <f t="shared" si="62"/>
        <v>67</v>
      </c>
      <c r="AE338" s="194">
        <f t="shared" si="63"/>
        <v>0.91249193618860935</v>
      </c>
      <c r="AF338" s="194" t="str">
        <f t="shared" si="64"/>
        <v/>
      </c>
      <c r="AG338" s="252" t="str">
        <f>IF(ISNUMBER(SEARCH("C", 'Dry_Litterbag Placem_Collection'!$V45)),"YES","NO")</f>
        <v>NO</v>
      </c>
      <c r="AH338" s="252" t="str">
        <f>IF(ISNUMBER(SEARCH("H", 'Dry_Litterbag Placem_Collection'!$V45)),"YES","NO")</f>
        <v>NO</v>
      </c>
      <c r="AI338" s="252" t="str">
        <f>IF(ISNUMBER(SEARCH("R", 'Dry_Litterbag Placem_Collection'!$V45)),"YES","NO")</f>
        <v>NO</v>
      </c>
      <c r="AJ338" s="252" t="str">
        <f>IF(ISNUMBER(SEARCH("C", 'Dry_Litterbag Placem_Collection'!$U45)),"YES","NO")</f>
        <v>NO</v>
      </c>
      <c r="AK338" s="252" t="str">
        <f>IF(ISNUMBER(SEARCH("H", 'Dry_Litterbag Placem_Collection'!$U45)),"YES","NO")</f>
        <v>NO</v>
      </c>
      <c r="AL338" s="252" t="str">
        <f>IF(ISNUMBER(SEARCH("R", 'Dry_Litterbag Placem_Collection'!$U45)),"YES","NO")</f>
        <v>NO</v>
      </c>
    </row>
    <row r="339" spans="2:38">
      <c r="B339" t="str">
        <f>'Final data_for_R_analysis_Dryse'!A485</f>
        <v>Dry</v>
      </c>
      <c r="C339" s="260">
        <f>'Final data_for_R_analysis_Dryse'!B485</f>
        <v>44</v>
      </c>
      <c r="D339" t="s">
        <v>3807</v>
      </c>
      <c r="E339" t="s">
        <v>25</v>
      </c>
      <c r="F339" s="382">
        <v>4</v>
      </c>
      <c r="G339" s="383">
        <f>IF('Dry_Litterbag Placem_Collection'!E46="","",'Dry_Litterbag Placem_Collection'!E46)</f>
        <v>42938</v>
      </c>
      <c r="H339" s="92" t="str">
        <f>'Final data_for_R_analysis_Dryse'!K485</f>
        <v>G823</v>
      </c>
      <c r="I339" t="str">
        <f>'Final data_for_R_analysis_Dryse'!K705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56"/>
        <v>1.7132000000000001</v>
      </c>
      <c r="M339" s="237">
        <f>AVERAGE(Ashed_controlls!$K$1:$K$11)</f>
        <v>5.5147656768714146</v>
      </c>
      <c r="N339" s="194">
        <f t="shared" si="52"/>
        <v>1.618721034423839</v>
      </c>
      <c r="O339" s="194">
        <f t="shared" si="57"/>
        <v>1.9782000000000002</v>
      </c>
      <c r="P339" s="237">
        <f>AVERAGE(Ashed_controlls!$K$12:$K$14)</f>
        <v>2.2816647271287041</v>
      </c>
      <c r="Q339" s="194">
        <f t="shared" si="53"/>
        <v>1.9330641083679401</v>
      </c>
      <c r="R339" s="383">
        <f>IF('Dry_Litterbag Placem_Collection'!G46="","",'Dry_Litterbag Placem_Collection'!G46)</f>
        <v>43005</v>
      </c>
      <c r="S339" s="194">
        <f>IFERROR(INDEX('Both teabags AfterDry'!$D$3:$D$2000,MATCH(H339,'Both teabags AfterDry'!$A$3:$A$2000,0)),"")</f>
        <v>1.8245</v>
      </c>
      <c r="T339" s="194">
        <f>IFERROR(INDEX('Both teabags AfterDry'!$D$3:$D$2000,MATCH(I339,'Both teabags AfterDry'!$A$3:$A$2000,0)),"")</f>
        <v>1.9879</v>
      </c>
      <c r="U339" s="194">
        <f t="shared" si="58"/>
        <v>1.6738999999999999</v>
      </c>
      <c r="V339" s="194">
        <f t="shared" si="59"/>
        <v>1.8372999999999999</v>
      </c>
      <c r="W339" s="194">
        <f>IFERROR(INDEX('Ashed teabags dry'!$K$2:$K$2000,MATCH(H339,'Ashed teabags dry'!$A$2:$A$2000,0)),"")</f>
        <v>6.7021748779403518</v>
      </c>
      <c r="X339" s="194">
        <f>IFERROR(INDEX('Ashed teabags dry'!$K$2:$K$2000,MATCH(I339,'Ashed teabags dry'!$A$2:$A$2000,0)),"")</f>
        <v>2.9353233830845578</v>
      </c>
      <c r="Y339" s="194">
        <f t="shared" si="54"/>
        <v>1.5617122947181563</v>
      </c>
      <c r="Z339" s="194">
        <f t="shared" si="54"/>
        <v>1.7833693034825873</v>
      </c>
      <c r="AA339" s="194">
        <f t="shared" si="60"/>
        <v>3.5218384448790552E-2</v>
      </c>
      <c r="AB339" s="194">
        <f t="shared" si="61"/>
        <v>2.3088537073316387E-2</v>
      </c>
      <c r="AC339" s="194">
        <f t="shared" si="55"/>
        <v>0.92256086891410027</v>
      </c>
      <c r="AD339">
        <f t="shared" si="62"/>
        <v>67</v>
      </c>
      <c r="AE339" s="194">
        <f t="shared" si="63"/>
        <v>0.95817294008457177</v>
      </c>
      <c r="AF339" s="194" t="str">
        <f t="shared" si="64"/>
        <v/>
      </c>
      <c r="AG339" s="252" t="str">
        <f>IF(ISNUMBER(SEARCH("C", 'Dry_Litterbag Placem_Collection'!$V46)),"YES","NO")</f>
        <v>NO</v>
      </c>
      <c r="AH339" s="252" t="str">
        <f>IF(ISNUMBER(SEARCH("H", 'Dry_Litterbag Placem_Collection'!$V46)),"YES","NO")</f>
        <v>NO</v>
      </c>
      <c r="AI339" s="252" t="str">
        <f>IF(ISNUMBER(SEARCH("R", 'Dry_Litterbag Placem_Collection'!$V46)),"YES","NO")</f>
        <v>NO</v>
      </c>
      <c r="AJ339" s="252" t="str">
        <f>IF(ISNUMBER(SEARCH("C", 'Dry_Litterbag Placem_Collection'!$U46)),"YES","NO")</f>
        <v>NO</v>
      </c>
      <c r="AK339" s="252" t="str">
        <f>IF(ISNUMBER(SEARCH("H", 'Dry_Litterbag Placem_Collection'!$U46)),"YES","NO")</f>
        <v>NO</v>
      </c>
      <c r="AL339" s="252" t="str">
        <f>IF(ISNUMBER(SEARCH("R", 'Dry_Litterbag Placem_Collection'!$U46)),"YES","NO")</f>
        <v>NO</v>
      </c>
    </row>
    <row r="340" spans="2:38">
      <c r="B340" t="str">
        <f>'Final data_for_R_analysis_Dryse'!A486</f>
        <v>Dry</v>
      </c>
      <c r="C340" s="260">
        <f>'Final data_for_R_analysis_Dryse'!B486</f>
        <v>45</v>
      </c>
      <c r="D340" t="s">
        <v>3807</v>
      </c>
      <c r="E340" t="s">
        <v>25</v>
      </c>
      <c r="F340" s="382">
        <v>5</v>
      </c>
      <c r="G340" s="383">
        <f>IF('Dry_Litterbag Placem_Collection'!E47="","",'Dry_Litterbag Placem_Collection'!E47)</f>
        <v>42938</v>
      </c>
      <c r="H340" s="92" t="str">
        <f>'Final data_for_R_analysis_Dryse'!K486</f>
        <v>G354</v>
      </c>
      <c r="I340" t="str">
        <f>'Final data_for_R_analysis_Dryse'!K706</f>
        <v>R631</v>
      </c>
      <c r="J340">
        <f>IFERROR(INDEX('Green_rooibos initial weight'!$C$5:$C$2000,MATCH(H340, 'Green_rooibos initial weight'!$A$5:$A$2000,0)),"")</f>
        <v>1.835</v>
      </c>
      <c r="K340">
        <f>IFERROR(INDEX('Green_rooibos initial weight'!$C$5:$C$2000,MATCH(I340, 'Green_rooibos initial weight'!$A$5:$A$2000,0)),"")</f>
        <v>2.133</v>
      </c>
      <c r="L340" s="194">
        <f t="shared" si="56"/>
        <v>1.5851999999999999</v>
      </c>
      <c r="M340" s="237">
        <f>AVERAGE(Ashed_controlls!$K$1:$K$11)</f>
        <v>5.5147656768714146</v>
      </c>
      <c r="N340" s="194">
        <f t="shared" si="52"/>
        <v>1.4977799344902343</v>
      </c>
      <c r="O340" s="194">
        <f t="shared" si="57"/>
        <v>1.8832</v>
      </c>
      <c r="P340" s="237">
        <f>AVERAGE(Ashed_controlls!$K$12:$K$14)</f>
        <v>2.2816647271287041</v>
      </c>
      <c r="Q340" s="194">
        <f t="shared" si="53"/>
        <v>1.8402316898587123</v>
      </c>
      <c r="R340" s="383">
        <f>IF('Dry_Litterbag Placem_Collection'!G47="","",'Dry_Litterbag Placem_Collection'!G47)</f>
        <v>43005</v>
      </c>
      <c r="S340" s="194" t="str">
        <f>IFERROR(INDEX('Both teabags AfterDry'!$D$3:$D$2000,MATCH(H340,'Both teabags AfterDry'!$A$3:$A$2000,0)),"")</f>
        <v/>
      </c>
      <c r="T340" s="194" t="str">
        <f>IFERROR(INDEX('Both teabags AfterDry'!$D$3:$D$2000,MATCH(I340,'Both teabags AfterDry'!$A$3:$A$2000,0)),"")</f>
        <v/>
      </c>
      <c r="U340" s="194" t="str">
        <f t="shared" si="58"/>
        <v/>
      </c>
      <c r="V340" s="194" t="str">
        <f t="shared" si="59"/>
        <v/>
      </c>
      <c r="W340" s="194" t="str">
        <f>IFERROR(INDEX('Ashed teabags dry'!$K$2:$K$2000,MATCH(H340,'Ashed teabags dry'!$A$2:$A$2000,0)),"")</f>
        <v/>
      </c>
      <c r="X340" s="194" t="str">
        <f>IFERROR(INDEX('Ashed teabags dry'!$K$2:$K$2000,MATCH(I340,'Ashed teabags dry'!$A$2:$A$2000,0)),"")</f>
        <v/>
      </c>
      <c r="Y340" s="194" t="str">
        <f t="shared" si="54"/>
        <v/>
      </c>
      <c r="Z340" s="194" t="str">
        <f t="shared" si="54"/>
        <v/>
      </c>
      <c r="AA340" s="194" t="str">
        <f t="shared" si="60"/>
        <v/>
      </c>
      <c r="AB340" s="194" t="str">
        <f t="shared" si="61"/>
        <v/>
      </c>
      <c r="AC340" s="194" t="str">
        <f t="shared" si="55"/>
        <v/>
      </c>
      <c r="AD340">
        <f t="shared" si="62"/>
        <v>67</v>
      </c>
      <c r="AE340" s="194" t="str">
        <f t="shared" si="63"/>
        <v/>
      </c>
      <c r="AF340" s="194" t="str">
        <f t="shared" si="64"/>
        <v/>
      </c>
      <c r="AG340" s="252" t="str">
        <f>IF(ISNUMBER(SEARCH("C", 'Dry_Litterbag Placem_Collection'!$V47)),"YES","NO")</f>
        <v>NO</v>
      </c>
      <c r="AH340" s="252" t="str">
        <f>IF(ISNUMBER(SEARCH("H", 'Dry_Litterbag Placem_Collection'!$V47)),"YES","NO")</f>
        <v>NO</v>
      </c>
      <c r="AI340" s="252" t="str">
        <f>IF(ISNUMBER(SEARCH("R", 'Dry_Litterbag Placem_Collection'!$V47)),"YES","NO")</f>
        <v>NO</v>
      </c>
      <c r="AJ340" s="252" t="str">
        <f>IF(ISNUMBER(SEARCH("C", 'Dry_Litterbag Placem_Collection'!$U47)),"YES","NO")</f>
        <v>NO</v>
      </c>
      <c r="AK340" s="252" t="str">
        <f>IF(ISNUMBER(SEARCH("H", 'Dry_Litterbag Placem_Collection'!$U47)),"YES","NO")</f>
        <v>NO</v>
      </c>
      <c r="AL340" s="252" t="str">
        <f>IF(ISNUMBER(SEARCH("R", 'Dry_Litterbag Placem_Collection'!$U47)),"YES","NO")</f>
        <v>NO</v>
      </c>
    </row>
    <row r="341" spans="2:38">
      <c r="B341" t="str">
        <f>'Final data_for_R_analysis_Dryse'!A487</f>
        <v>Dry</v>
      </c>
      <c r="C341" s="260">
        <f>'Final data_for_R_analysis_Dryse'!B487</f>
        <v>46</v>
      </c>
      <c r="D341" t="s">
        <v>3807</v>
      </c>
      <c r="E341" t="s">
        <v>25</v>
      </c>
      <c r="F341" s="382">
        <v>6</v>
      </c>
      <c r="G341" s="383" t="str">
        <f>IF('Dry_Litterbag Placem_Collection'!E48="","",'Dry_Litterbag Placem_Collection'!E48)</f>
        <v/>
      </c>
      <c r="H341" s="92" t="str">
        <f>'Final data_for_R_analysis_Dryse'!K487</f>
        <v/>
      </c>
      <c r="I341" t="str">
        <f>'Final data_for_R_analysis_Dryse'!K707</f>
        <v/>
      </c>
      <c r="J341" t="str">
        <f>IFERROR(INDEX('Green_rooibos initial weight'!$C$5:$C$2000,MATCH(H341, 'Green_rooibos initial weight'!$A$5:$A$2000,0)),"")</f>
        <v/>
      </c>
      <c r="K341" t="str">
        <f>IFERROR(INDEX('Green_rooibos initial weight'!$C$5:$C$2000,MATCH(I341, 'Green_rooibos initial weight'!$A$5:$A$2000,0)),"")</f>
        <v/>
      </c>
      <c r="L341" s="194" t="str">
        <f t="shared" si="56"/>
        <v/>
      </c>
      <c r="M341" s="237">
        <f>AVERAGE(Ashed_controlls!$K$1:$K$11)</f>
        <v>5.5147656768714146</v>
      </c>
      <c r="N341" s="194" t="str">
        <f t="shared" si="52"/>
        <v/>
      </c>
      <c r="O341" s="194" t="str">
        <f t="shared" si="57"/>
        <v/>
      </c>
      <c r="P341" s="237">
        <f>AVERAGE(Ashed_controlls!$K$12:$K$14)</f>
        <v>2.2816647271287041</v>
      </c>
      <c r="Q341" s="194" t="str">
        <f t="shared" si="53"/>
        <v/>
      </c>
      <c r="R341" s="383" t="str">
        <f>IF('Dry_Litterbag Placem_Collection'!G48="","",'Dry_Litterbag Placem_Collection'!G48)</f>
        <v/>
      </c>
      <c r="S341" s="194" t="str">
        <f>IFERROR(INDEX('Both teabags AfterDry'!$D$3:$D$2000,MATCH(H341,'Both teabags AfterDry'!$A$3:$A$2000,0)),"")</f>
        <v/>
      </c>
      <c r="T341" s="194" t="str">
        <f>IFERROR(INDEX('Both teabags AfterDry'!$D$3:$D$2000,MATCH(I341,'Both teabags AfterDry'!$A$3:$A$2000,0)),"")</f>
        <v/>
      </c>
      <c r="U341" s="194" t="str">
        <f t="shared" si="58"/>
        <v/>
      </c>
      <c r="V341" s="194" t="str">
        <f t="shared" si="59"/>
        <v/>
      </c>
      <c r="W341" s="194" t="str">
        <f>IFERROR(INDEX('Ashed teabags dry'!$K$2:$K$2000,MATCH(H341,'Ashed teabags dry'!$A$2:$A$2000,0)),"")</f>
        <v/>
      </c>
      <c r="X341" s="194" t="str">
        <f>IFERROR(INDEX('Ashed teabags dry'!$K$2:$K$2000,MATCH(I341,'Ashed teabags dry'!$A$2:$A$2000,0)),"")</f>
        <v/>
      </c>
      <c r="Y341" s="194" t="str">
        <f t="shared" si="54"/>
        <v/>
      </c>
      <c r="Z341" s="194" t="str">
        <f t="shared" si="54"/>
        <v/>
      </c>
      <c r="AA341" s="194" t="str">
        <f t="shared" si="60"/>
        <v/>
      </c>
      <c r="AB341" s="194" t="str">
        <f t="shared" si="61"/>
        <v/>
      </c>
      <c r="AC341" s="194" t="str">
        <f t="shared" si="55"/>
        <v/>
      </c>
      <c r="AD341" t="str">
        <f t="shared" si="62"/>
        <v/>
      </c>
      <c r="AE341" s="194" t="str">
        <f t="shared" si="63"/>
        <v/>
      </c>
      <c r="AF341" s="194" t="str">
        <f t="shared" si="64"/>
        <v/>
      </c>
      <c r="AG341" s="252" t="str">
        <f>IF(ISNUMBER(SEARCH("C", 'Dry_Litterbag Placem_Collection'!$V48)),"YES","NO")</f>
        <v>NO</v>
      </c>
      <c r="AH341" s="252" t="str">
        <f>IF(ISNUMBER(SEARCH("H", 'Dry_Litterbag Placem_Collection'!$V48)),"YES","NO")</f>
        <v>NO</v>
      </c>
      <c r="AI341" s="252" t="str">
        <f>IF(ISNUMBER(SEARCH("R", 'Dry_Litterbag Placem_Collection'!$V48)),"YES","NO")</f>
        <v>NO</v>
      </c>
      <c r="AJ341" s="252" t="str">
        <f>IF(ISNUMBER(SEARCH("C", 'Dry_Litterbag Placem_Collection'!$U48)),"YES","NO")</f>
        <v>NO</v>
      </c>
      <c r="AK341" s="252" t="str">
        <f>IF(ISNUMBER(SEARCH("H", 'Dry_Litterbag Placem_Collection'!$U48)),"YES","NO")</f>
        <v>NO</v>
      </c>
      <c r="AL341" s="252" t="str">
        <f>IF(ISNUMBER(SEARCH("R", 'Dry_Litterbag Placem_Collection'!$U48)),"YES","NO")</f>
        <v>NO</v>
      </c>
    </row>
    <row r="342" spans="2:38">
      <c r="B342" t="str">
        <f>'Final data_for_R_analysis_Dryse'!A488</f>
        <v>Dry</v>
      </c>
      <c r="C342" s="260">
        <f>'Final data_for_R_analysis_Dryse'!B488</f>
        <v>47</v>
      </c>
      <c r="D342" t="s">
        <v>3807</v>
      </c>
      <c r="E342" t="s">
        <v>25</v>
      </c>
      <c r="F342" s="382">
        <v>7</v>
      </c>
      <c r="G342" s="383">
        <f>IF('Dry_Litterbag Placem_Collection'!E49="","",'Dry_Litterbag Placem_Collection'!E49)</f>
        <v>42938</v>
      </c>
      <c r="H342" s="92" t="str">
        <f>'Final data_for_R_analysis_Dryse'!K488</f>
        <v>G659</v>
      </c>
      <c r="I342" t="str">
        <f>'Final data_for_R_analysis_Dryse'!K708</f>
        <v>R606</v>
      </c>
      <c r="J342">
        <f>IFERROR(INDEX('Green_rooibos initial weight'!$C$5:$C$2000,MATCH(H342, 'Green_rooibos initial weight'!$A$5:$A$2000,0)),"")</f>
        <v>2.0529999999999999</v>
      </c>
      <c r="K342">
        <f>IFERROR(INDEX('Green_rooibos initial weight'!$C$5:$C$2000,MATCH(I342, 'Green_rooibos initial weight'!$A$5:$A$2000,0)),"")</f>
        <v>2.15</v>
      </c>
      <c r="L342" s="194">
        <f t="shared" si="56"/>
        <v>1.8031999999999999</v>
      </c>
      <c r="M342" s="237">
        <f>AVERAGE(Ashed_controlls!$K$1:$K$11)</f>
        <v>5.5147656768714146</v>
      </c>
      <c r="N342" s="194">
        <f t="shared" si="52"/>
        <v>1.7037577453146546</v>
      </c>
      <c r="O342" s="194">
        <f t="shared" si="57"/>
        <v>1.9001999999999999</v>
      </c>
      <c r="P342" s="237">
        <f>AVERAGE(Ashed_controlls!$K$12:$K$14)</f>
        <v>2.2816647271287041</v>
      </c>
      <c r="Q342" s="194">
        <f t="shared" si="53"/>
        <v>1.8568438068551003</v>
      </c>
      <c r="R342" s="383">
        <f>IF('Dry_Litterbag Placem_Collection'!G49="","",'Dry_Litterbag Placem_Collection'!G49)</f>
        <v>43005</v>
      </c>
      <c r="S342" s="194">
        <f>IFERROR(INDEX('Both teabags AfterDry'!$D$3:$D$2000,MATCH(H342,'Both teabags AfterDry'!$A$3:$A$2000,0)),"")</f>
        <v>1.8913</v>
      </c>
      <c r="T342" s="194">
        <f>IFERROR(INDEX('Both teabags AfterDry'!$D$3:$D$2000,MATCH(I342,'Both teabags AfterDry'!$A$3:$A$2000,0)),"")</f>
        <v>1.9615</v>
      </c>
      <c r="U342" s="194">
        <f t="shared" si="58"/>
        <v>1.7406999999999999</v>
      </c>
      <c r="V342" s="194">
        <f t="shared" si="59"/>
        <v>1.8109</v>
      </c>
      <c r="W342" s="194">
        <f>IFERROR(INDEX('Ashed teabags dry'!$K$2:$K$2000,MATCH(H342,'Ashed teabags dry'!$A$2:$A$2000,0)),"")</f>
        <v>5.8849557522116545</v>
      </c>
      <c r="X342" s="194">
        <f>IFERROR(INDEX('Ashed teabags dry'!$K$2:$K$2000,MATCH(I342,'Ashed teabags dry'!$A$2:$A$2000,0)),"")</f>
        <v>1.9589106545621751</v>
      </c>
      <c r="Y342" s="194">
        <f t="shared" si="54"/>
        <v>1.6382605752212516</v>
      </c>
      <c r="Z342" s="194">
        <f t="shared" si="54"/>
        <v>1.7754260869565335</v>
      </c>
      <c r="AA342" s="194">
        <f t="shared" si="60"/>
        <v>3.8442771734139236E-2</v>
      </c>
      <c r="AB342" s="194">
        <f t="shared" si="61"/>
        <v>2.5202387170124567E-2</v>
      </c>
      <c r="AC342" s="194">
        <f t="shared" si="55"/>
        <v>0.95615262867130302</v>
      </c>
      <c r="AD342">
        <f t="shared" si="62"/>
        <v>67</v>
      </c>
      <c r="AE342" s="194">
        <f t="shared" si="63"/>
        <v>0.95434350150339753</v>
      </c>
      <c r="AF342" s="194" t="str">
        <f t="shared" si="64"/>
        <v/>
      </c>
      <c r="AG342" s="252" t="str">
        <f>IF(ISNUMBER(SEARCH("C", 'Dry_Litterbag Placem_Collection'!$V49)),"YES","NO")</f>
        <v>NO</v>
      </c>
      <c r="AH342" s="252" t="str">
        <f>IF(ISNUMBER(SEARCH("H", 'Dry_Litterbag Placem_Collection'!$V49)),"YES","NO")</f>
        <v>NO</v>
      </c>
      <c r="AI342" s="252" t="str">
        <f>IF(ISNUMBER(SEARCH("R", 'Dry_Litterbag Placem_Collection'!$V49)),"YES","NO")</f>
        <v>NO</v>
      </c>
      <c r="AJ342" s="252" t="str">
        <f>IF(ISNUMBER(SEARCH("C", 'Dry_Litterbag Placem_Collection'!$U49)),"YES","NO")</f>
        <v>NO</v>
      </c>
      <c r="AK342" s="252" t="str">
        <f>IF(ISNUMBER(SEARCH("H", 'Dry_Litterbag Placem_Collection'!$U49)),"YES","NO")</f>
        <v>NO</v>
      </c>
      <c r="AL342" s="252" t="str">
        <f>IF(ISNUMBER(SEARCH("R", 'Dry_Litterbag Placem_Collection'!$U49)),"YES","NO")</f>
        <v>NO</v>
      </c>
    </row>
    <row r="343" spans="2:38">
      <c r="B343" t="str">
        <f>'Final data_for_R_analysis_Dryse'!A489</f>
        <v>Dry</v>
      </c>
      <c r="C343" s="260">
        <f>'Final data_for_R_analysis_Dryse'!B489</f>
        <v>48</v>
      </c>
      <c r="D343" t="s">
        <v>3807</v>
      </c>
      <c r="E343" t="s">
        <v>25</v>
      </c>
      <c r="F343" s="382">
        <v>8</v>
      </c>
      <c r="G343" s="383">
        <f>IF('Dry_Litterbag Placem_Collection'!E50="","",'Dry_Litterbag Placem_Collection'!E50)</f>
        <v>42938</v>
      </c>
      <c r="H343" s="92" t="str">
        <f>'Final data_for_R_analysis_Dryse'!K489</f>
        <v>G267</v>
      </c>
      <c r="I343" t="str">
        <f>'Final data_for_R_analysis_Dryse'!K709</f>
        <v>R221</v>
      </c>
      <c r="J343">
        <f>IFERROR(INDEX('Green_rooibos initial weight'!$C$5:$C$2000,MATCH(H343, 'Green_rooibos initial weight'!$A$5:$A$2000,0)),"")</f>
        <v>2.069</v>
      </c>
      <c r="K343">
        <f>IFERROR(INDEX('Green_rooibos initial weight'!$C$5:$C$2000,MATCH(I343, 'Green_rooibos initial weight'!$A$5:$A$2000,0)),"")</f>
        <v>2.2210000000000001</v>
      </c>
      <c r="L343" s="194">
        <f t="shared" si="56"/>
        <v>1.8191999999999999</v>
      </c>
      <c r="M343" s="237">
        <f>AVERAGE(Ashed_controlls!$K$1:$K$11)</f>
        <v>5.5147656768714146</v>
      </c>
      <c r="N343" s="194">
        <f t="shared" si="52"/>
        <v>1.7188753828063552</v>
      </c>
      <c r="O343" s="194">
        <f t="shared" si="57"/>
        <v>1.9712000000000001</v>
      </c>
      <c r="P343" s="237">
        <f>AVERAGE(Ashed_controlls!$K$12:$K$14)</f>
        <v>2.2816647271287041</v>
      </c>
      <c r="Q343" s="194">
        <f t="shared" si="53"/>
        <v>1.926223824898839</v>
      </c>
      <c r="R343" s="383">
        <f>IF('Dry_Litterbag Placem_Collection'!G50="","",'Dry_Litterbag Placem_Collection'!G50)</f>
        <v>43005</v>
      </c>
      <c r="S343" s="194">
        <f>IFERROR(INDEX('Both teabags AfterDry'!$D$3:$D$2000,MATCH(H343,'Both teabags AfterDry'!$A$3:$A$2000,0)),"")</f>
        <v>1.8248</v>
      </c>
      <c r="T343" s="194">
        <f>IFERROR(INDEX('Both teabags AfterDry'!$D$3:$D$2000,MATCH(I343,'Both teabags AfterDry'!$A$3:$A$2000,0)),"")</f>
        <v>1.8791</v>
      </c>
      <c r="U343" s="194">
        <f t="shared" si="58"/>
        <v>1.6741999999999999</v>
      </c>
      <c r="V343" s="194">
        <f t="shared" si="59"/>
        <v>1.7284999999999999</v>
      </c>
      <c r="W343" s="194">
        <f>IFERROR(INDEX('Ashed teabags dry'!$K$2:$K$2000,MATCH(H343,'Ashed teabags dry'!$A$2:$A$2000,0)),"")</f>
        <v>5.78791719476098</v>
      </c>
      <c r="X343" s="194">
        <f>IFERROR(INDEX('Ashed teabags dry'!$K$2:$K$2000,MATCH(I343,'Ashed teabags dry'!$A$2:$A$2000,0)),"")</f>
        <v>2.6198934280645174</v>
      </c>
      <c r="Y343" s="194">
        <f t="shared" si="54"/>
        <v>1.5772986903253117</v>
      </c>
      <c r="Z343" s="194">
        <f t="shared" si="54"/>
        <v>1.6832151420959047</v>
      </c>
      <c r="AA343" s="194">
        <f t="shared" si="60"/>
        <v>8.2365885216120538E-2</v>
      </c>
      <c r="AB343" s="194">
        <f t="shared" si="61"/>
        <v>5.3997587457599201E-2</v>
      </c>
      <c r="AC343" s="194">
        <f t="shared" si="55"/>
        <v>0.87384192861611154</v>
      </c>
      <c r="AD343">
        <f t="shared" si="62"/>
        <v>67</v>
      </c>
      <c r="AE343" s="194">
        <f t="shared" si="63"/>
        <v>0.90217828359130581</v>
      </c>
      <c r="AF343" s="194" t="str">
        <f t="shared" si="64"/>
        <v/>
      </c>
      <c r="AG343" s="252" t="str">
        <f>IF(ISNUMBER(SEARCH("C", 'Dry_Litterbag Placem_Collection'!$V50)),"YES","NO")</f>
        <v>NO</v>
      </c>
      <c r="AH343" s="252" t="str">
        <f>IF(ISNUMBER(SEARCH("H", 'Dry_Litterbag Placem_Collection'!$V50)),"YES","NO")</f>
        <v>NO</v>
      </c>
      <c r="AI343" s="252" t="str">
        <f>IF(ISNUMBER(SEARCH("R", 'Dry_Litterbag Placem_Collection'!$V50)),"YES","NO")</f>
        <v>NO</v>
      </c>
      <c r="AJ343" s="252" t="str">
        <f>IF(ISNUMBER(SEARCH("C", 'Dry_Litterbag Placem_Collection'!$U50)),"YES","NO")</f>
        <v>NO</v>
      </c>
      <c r="AK343" s="252" t="str">
        <f>IF(ISNUMBER(SEARCH("H", 'Dry_Litterbag Placem_Collection'!$U50)),"YES","NO")</f>
        <v>NO</v>
      </c>
      <c r="AL343" s="252" t="str">
        <f>IF(ISNUMBER(SEARCH("R", 'Dry_Litterbag Placem_Collection'!$U50)),"YES","NO")</f>
        <v>NO</v>
      </c>
    </row>
    <row r="344" spans="2:38">
      <c r="B344" t="str">
        <f>'Final data_for_R_analysis_Dryse'!A490</f>
        <v>Dry</v>
      </c>
      <c r="C344" s="260">
        <f>'Final data_for_R_analysis_Dryse'!B490</f>
        <v>49</v>
      </c>
      <c r="D344" t="s">
        <v>3808</v>
      </c>
      <c r="E344" t="s">
        <v>25</v>
      </c>
      <c r="F344" s="381">
        <v>1</v>
      </c>
      <c r="G344" s="383">
        <f>IF('Dry_Litterbag Placem_Collection'!E51="","",'Dry_Litterbag Placem_Collection'!E51)</f>
        <v>42938</v>
      </c>
      <c r="H344" s="92" t="str">
        <f>'Final data_for_R_analysis_Dryse'!K490</f>
        <v>G812</v>
      </c>
      <c r="I344" t="str">
        <f>'Final data_for_R_analysis_Dryse'!K710</f>
        <v>R308</v>
      </c>
      <c r="J344">
        <f>IFERROR(INDEX('Green_rooibos initial weight'!$C$5:$C$2000,MATCH(H344, 'Green_rooibos initial weight'!$A$5:$A$2000,0)),"")</f>
        <v>2.0169999999999999</v>
      </c>
      <c r="K344">
        <f>IFERROR(INDEX('Green_rooibos initial weight'!$C$5:$C$2000,MATCH(I344, 'Green_rooibos initial weight'!$A$5:$A$2000,0)),"")</f>
        <v>2.173</v>
      </c>
      <c r="L344" s="194">
        <f t="shared" si="56"/>
        <v>1.7671999999999999</v>
      </c>
      <c r="M344" s="237">
        <f>AVERAGE(Ashed_controlls!$K$1:$K$11)</f>
        <v>5.5147656768714146</v>
      </c>
      <c r="N344" s="194">
        <f t="shared" si="52"/>
        <v>1.6697430609583281</v>
      </c>
      <c r="O344" s="194">
        <f t="shared" si="57"/>
        <v>1.9232</v>
      </c>
      <c r="P344" s="237">
        <f>AVERAGE(Ashed_controlls!$K$12:$K$14)</f>
        <v>2.2816647271287041</v>
      </c>
      <c r="Q344" s="194">
        <f t="shared" si="53"/>
        <v>1.8793190239678608</v>
      </c>
      <c r="R344" s="383">
        <f>IF('Dry_Litterbag Placem_Collection'!G51="","",'Dry_Litterbag Placem_Collection'!G51)</f>
        <v>43005</v>
      </c>
      <c r="S344" s="194" t="str">
        <f>IFERROR(INDEX('Both teabags AfterDry'!$D$3:$D$2000,MATCH(H344,'Both teabags AfterDry'!$A$3:$A$2000,0)),"")</f>
        <v/>
      </c>
      <c r="T344" s="194" t="str">
        <f>IFERROR(INDEX('Both teabags AfterDry'!$D$3:$D$2000,MATCH(I344,'Both teabags AfterDry'!$A$3:$A$2000,0)),"")</f>
        <v/>
      </c>
      <c r="U344" s="194" t="str">
        <f t="shared" si="58"/>
        <v/>
      </c>
      <c r="V344" s="194" t="str">
        <f t="shared" si="59"/>
        <v/>
      </c>
      <c r="W344" s="194" t="str">
        <f>IFERROR(INDEX('Ashed teabags dry'!$K$2:$K$2000,MATCH(H344,'Ashed teabags dry'!$A$2:$A$2000,0)),"")</f>
        <v/>
      </c>
      <c r="X344" s="194" t="str">
        <f>IFERROR(INDEX('Ashed teabags dry'!$K$2:$K$2000,MATCH(I344,'Ashed teabags dry'!$A$2:$A$2000,0)),"")</f>
        <v/>
      </c>
      <c r="Y344" s="194" t="str">
        <f t="shared" si="54"/>
        <v/>
      </c>
      <c r="Z344" s="194" t="str">
        <f t="shared" si="54"/>
        <v/>
      </c>
      <c r="AA344" s="194" t="str">
        <f t="shared" si="60"/>
        <v/>
      </c>
      <c r="AB344" s="194" t="str">
        <f t="shared" si="61"/>
        <v/>
      </c>
      <c r="AC344" s="194" t="str">
        <f t="shared" si="55"/>
        <v/>
      </c>
      <c r="AD344">
        <f t="shared" si="62"/>
        <v>67</v>
      </c>
      <c r="AE344" s="194" t="str">
        <f t="shared" si="63"/>
        <v/>
      </c>
      <c r="AF344" s="194" t="str">
        <f t="shared" si="64"/>
        <v/>
      </c>
      <c r="AG344" s="252" t="str">
        <f>IF(ISNUMBER(SEARCH("C", 'Dry_Litterbag Placem_Collection'!$V51)),"YES","NO")</f>
        <v>NO</v>
      </c>
      <c r="AH344" s="252" t="str">
        <f>IF(ISNUMBER(SEARCH("H", 'Dry_Litterbag Placem_Collection'!$V51)),"YES","NO")</f>
        <v>NO</v>
      </c>
      <c r="AI344" s="252" t="str">
        <f>IF(ISNUMBER(SEARCH("R", 'Dry_Litterbag Placem_Collection'!$V51)),"YES","NO")</f>
        <v>NO</v>
      </c>
      <c r="AJ344" s="252" t="str">
        <f>IF(ISNUMBER(SEARCH("C", 'Dry_Litterbag Placem_Collection'!$U51)),"YES","NO")</f>
        <v>NO</v>
      </c>
      <c r="AK344" s="252" t="str">
        <f>IF(ISNUMBER(SEARCH("H", 'Dry_Litterbag Placem_Collection'!$U51)),"YES","NO")</f>
        <v>NO</v>
      </c>
      <c r="AL344" s="252" t="str">
        <f>IF(ISNUMBER(SEARCH("R", 'Dry_Litterbag Placem_Collection'!$U51)),"YES","NO")</f>
        <v>NO</v>
      </c>
    </row>
    <row r="345" spans="2:38">
      <c r="B345" t="str">
        <f>'Final data_for_R_analysis_Dryse'!A491</f>
        <v>Dry</v>
      </c>
      <c r="C345" s="260">
        <f>'Final data_for_R_analysis_Dryse'!B491</f>
        <v>50</v>
      </c>
      <c r="D345" t="s">
        <v>3808</v>
      </c>
      <c r="E345" t="s">
        <v>25</v>
      </c>
      <c r="F345" s="381">
        <v>2</v>
      </c>
      <c r="G345" s="383">
        <f>IF('Dry_Litterbag Placem_Collection'!E52="","",'Dry_Litterbag Placem_Collection'!E52)</f>
        <v>42938</v>
      </c>
      <c r="H345" s="92" t="str">
        <f>'Final data_for_R_analysis_Dryse'!K491</f>
        <v>G212</v>
      </c>
      <c r="I345" t="str">
        <f>'Final data_for_R_analysis_Dryse'!K711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56"/>
        <v>1.7072000000000001</v>
      </c>
      <c r="M345" s="237">
        <f>AVERAGE(Ashed_controlls!$K$1:$K$11)</f>
        <v>5.5147656768714146</v>
      </c>
      <c r="N345" s="194">
        <f t="shared" si="52"/>
        <v>1.6130519203644513</v>
      </c>
      <c r="O345" s="194">
        <f t="shared" si="57"/>
        <v>1.9742000000000002</v>
      </c>
      <c r="P345" s="237">
        <f>AVERAGE(Ashed_controlls!$K$12:$K$14)</f>
        <v>2.2816647271287041</v>
      </c>
      <c r="Q345" s="194">
        <f t="shared" si="53"/>
        <v>1.9291553749570254</v>
      </c>
      <c r="R345" s="383" t="str">
        <f>IF('Dry_Litterbag Placem_Collection'!G52="","",'Dry_Litterbag Placem_Collection'!G52)</f>
        <v/>
      </c>
      <c r="S345" s="194" t="str">
        <f>IFERROR(INDEX('Both teabags AfterDry'!$D$3:$D$2000,MATCH(H345,'Both teabags AfterDry'!$A$3:$A$2000,0)),"")</f>
        <v/>
      </c>
      <c r="T345" s="194" t="str">
        <f>IFERROR(INDEX('Both teabags AfterDry'!$D$3:$D$2000,MATCH(I345,'Both teabags AfterDry'!$A$3:$A$2000,0)),"")</f>
        <v/>
      </c>
      <c r="U345" s="194" t="str">
        <f t="shared" si="58"/>
        <v/>
      </c>
      <c r="V345" s="194" t="str">
        <f t="shared" si="59"/>
        <v/>
      </c>
      <c r="W345" s="194" t="str">
        <f>IFERROR(INDEX('Ashed teabags dry'!$K$2:$K$2000,MATCH(H345,'Ashed teabags dry'!$A$2:$A$2000,0)),"")</f>
        <v/>
      </c>
      <c r="X345" s="194" t="str">
        <f>IFERROR(INDEX('Ashed teabags dry'!$K$2:$K$2000,MATCH(I345,'Ashed teabags dry'!$A$2:$A$2000,0)),"")</f>
        <v/>
      </c>
      <c r="Y345" s="194" t="str">
        <f t="shared" si="54"/>
        <v/>
      </c>
      <c r="Z345" s="194" t="str">
        <f t="shared" si="54"/>
        <v/>
      </c>
      <c r="AA345" s="194" t="str">
        <f t="shared" si="60"/>
        <v/>
      </c>
      <c r="AB345" s="194" t="str">
        <f t="shared" si="61"/>
        <v/>
      </c>
      <c r="AC345" s="194" t="str">
        <f t="shared" si="55"/>
        <v/>
      </c>
      <c r="AD345" t="str">
        <f t="shared" si="62"/>
        <v/>
      </c>
      <c r="AE345" s="194" t="str">
        <f t="shared" si="63"/>
        <v/>
      </c>
      <c r="AF345" s="194" t="str">
        <f t="shared" si="64"/>
        <v/>
      </c>
      <c r="AG345" s="252" t="str">
        <f>IF(ISNUMBER(SEARCH("C", 'Dry_Litterbag Placem_Collection'!$V52)),"YES","NO")</f>
        <v>NO</v>
      </c>
      <c r="AH345" s="252" t="str">
        <f>IF(ISNUMBER(SEARCH("H", 'Dry_Litterbag Placem_Collection'!$V52)),"YES","NO")</f>
        <v>NO</v>
      </c>
      <c r="AI345" s="252" t="str">
        <f>IF(ISNUMBER(SEARCH("R", 'Dry_Litterbag Placem_Collection'!$V52)),"YES","NO")</f>
        <v>NO</v>
      </c>
      <c r="AJ345" s="252" t="str">
        <f>IF(ISNUMBER(SEARCH("C", 'Dry_Litterbag Placem_Collection'!$U52)),"YES","NO")</f>
        <v>NO</v>
      </c>
      <c r="AK345" s="252" t="str">
        <f>IF(ISNUMBER(SEARCH("H", 'Dry_Litterbag Placem_Collection'!$U52)),"YES","NO")</f>
        <v>NO</v>
      </c>
      <c r="AL345" s="252" t="str">
        <f>IF(ISNUMBER(SEARCH("R", 'Dry_Litterbag Placem_Collection'!$U52)),"YES","NO")</f>
        <v>NO</v>
      </c>
    </row>
    <row r="346" spans="2:38">
      <c r="B346" t="str">
        <f>'Final data_for_R_analysis_Dryse'!A492</f>
        <v>Dry</v>
      </c>
      <c r="C346" s="260">
        <f>'Final data_for_R_analysis_Dryse'!B492</f>
        <v>51</v>
      </c>
      <c r="D346" t="s">
        <v>3808</v>
      </c>
      <c r="E346" t="s">
        <v>25</v>
      </c>
      <c r="F346" s="381">
        <v>3</v>
      </c>
      <c r="G346" s="383">
        <f>IF('Dry_Litterbag Placem_Collection'!E53="","",'Dry_Litterbag Placem_Collection'!E53)</f>
        <v>42938</v>
      </c>
      <c r="H346" s="92" t="str">
        <f>'Final data_for_R_analysis_Dryse'!K492</f>
        <v>G598</v>
      </c>
      <c r="I346" t="str">
        <f>'Final data_for_R_analysis_Dryse'!K712</f>
        <v>R242</v>
      </c>
      <c r="J346">
        <f>IFERROR(INDEX('Green_rooibos initial weight'!$C$5:$C$2000,MATCH(H346, 'Green_rooibos initial weight'!$A$5:$A$2000,0)),"")</f>
        <v>2.1680000000000001</v>
      </c>
      <c r="K346">
        <f>IFERROR(INDEX('Green_rooibos initial weight'!$C$5:$C$2000,MATCH(I346, 'Green_rooibos initial weight'!$A$5:$A$2000,0)),"")</f>
        <v>2.194</v>
      </c>
      <c r="L346" s="194">
        <f t="shared" si="56"/>
        <v>1.9182000000000001</v>
      </c>
      <c r="M346" s="237">
        <f>AVERAGE(Ashed_controlls!$K$1:$K$11)</f>
        <v>5.5147656768714146</v>
      </c>
      <c r="N346" s="194">
        <f t="shared" si="52"/>
        <v>1.8124157647862527</v>
      </c>
      <c r="O346" s="194">
        <f t="shared" si="57"/>
        <v>1.9441999999999999</v>
      </c>
      <c r="P346" s="237">
        <f>AVERAGE(Ashed_controlls!$K$12:$K$14)</f>
        <v>2.2816647271287041</v>
      </c>
      <c r="Q346" s="194">
        <f t="shared" si="53"/>
        <v>1.8998398743751637</v>
      </c>
      <c r="R346" s="383">
        <f>IF('Dry_Litterbag Placem_Collection'!G53="","",'Dry_Litterbag Placem_Collection'!G53)</f>
        <v>43005</v>
      </c>
      <c r="S346" s="194">
        <f>IFERROR(INDEX('Both teabags AfterDry'!$D$3:$D$2000,MATCH(H346,'Both teabags AfterDry'!$A$3:$A$2000,0)),"")</f>
        <v>1.9169</v>
      </c>
      <c r="T346" s="194">
        <f>IFERROR(INDEX('Both teabags AfterDry'!$D$3:$D$2000,MATCH(I346,'Both teabags AfterDry'!$A$3:$A$2000,0)),"")</f>
        <v>1.9262999999999999</v>
      </c>
      <c r="U346" s="194">
        <f t="shared" si="58"/>
        <v>1.7663</v>
      </c>
      <c r="V346" s="194">
        <f t="shared" si="59"/>
        <v>1.7756999999999998</v>
      </c>
      <c r="W346" s="194">
        <f>IFERROR(INDEX('Ashed teabags dry'!$K$2:$K$2000,MATCH(H346,'Ashed teabags dry'!$A$2:$A$2000,0)),"")</f>
        <v>6.1355764473040955</v>
      </c>
      <c r="X346" s="194">
        <f>IFERROR(INDEX('Ashed teabags dry'!$K$2:$K$2000,MATCH(I346,'Ashed teabags dry'!$A$2:$A$2000,0)),"")</f>
        <v>3.7440758293834344</v>
      </c>
      <c r="Y346" s="194">
        <f t="shared" si="54"/>
        <v>1.6579273132112677</v>
      </c>
      <c r="Z346" s="194">
        <f t="shared" si="54"/>
        <v>1.7092164454976382</v>
      </c>
      <c r="AA346" s="194">
        <f t="shared" si="60"/>
        <v>8.5238969212566129E-2</v>
      </c>
      <c r="AB346" s="194">
        <f t="shared" si="61"/>
        <v>5.5881129460019628E-2</v>
      </c>
      <c r="AC346" s="194">
        <f t="shared" si="55"/>
        <v>0.89966342350814199</v>
      </c>
      <c r="AD346">
        <f t="shared" si="62"/>
        <v>67</v>
      </c>
      <c r="AE346" s="194">
        <f t="shared" si="63"/>
        <v>0.89876606981880502</v>
      </c>
      <c r="AF346" s="194" t="str">
        <f t="shared" si="64"/>
        <v/>
      </c>
      <c r="AG346" s="252" t="str">
        <f>IF(ISNUMBER(SEARCH("C", 'Dry_Litterbag Placem_Collection'!$V53)),"YES","NO")</f>
        <v>NO</v>
      </c>
      <c r="AH346" s="252" t="str">
        <f>IF(ISNUMBER(SEARCH("H", 'Dry_Litterbag Placem_Collection'!$V53)),"YES","NO")</f>
        <v>NO</v>
      </c>
      <c r="AI346" s="252" t="str">
        <f>IF(ISNUMBER(SEARCH("R", 'Dry_Litterbag Placem_Collection'!$V53)),"YES","NO")</f>
        <v>NO</v>
      </c>
      <c r="AJ346" s="252" t="str">
        <f>IF(ISNUMBER(SEARCH("C", 'Dry_Litterbag Placem_Collection'!$U53)),"YES","NO")</f>
        <v>NO</v>
      </c>
      <c r="AK346" s="252" t="str">
        <f>IF(ISNUMBER(SEARCH("H", 'Dry_Litterbag Placem_Collection'!$U53)),"YES","NO")</f>
        <v>NO</v>
      </c>
      <c r="AL346" s="252" t="str">
        <f>IF(ISNUMBER(SEARCH("R", 'Dry_Litterbag Placem_Collection'!$U53)),"YES","NO")</f>
        <v>NO</v>
      </c>
    </row>
    <row r="347" spans="2:38">
      <c r="B347" t="str">
        <f>'Final data_for_R_analysis_Dryse'!A493</f>
        <v>Dry</v>
      </c>
      <c r="C347" s="260">
        <f>'Final data_for_R_analysis_Dryse'!B493</f>
        <v>52</v>
      </c>
      <c r="D347" t="s">
        <v>3808</v>
      </c>
      <c r="E347" t="s">
        <v>25</v>
      </c>
      <c r="F347" s="382">
        <v>4</v>
      </c>
      <c r="G347" s="383">
        <f>IF('Dry_Litterbag Placem_Collection'!E54="","",'Dry_Litterbag Placem_Collection'!E54)</f>
        <v>42938</v>
      </c>
      <c r="H347" s="92" t="str">
        <f>'Final data_for_R_analysis_Dryse'!K493</f>
        <v>G848</v>
      </c>
      <c r="I347" t="str">
        <f>'Final data_for_R_analysis_Dryse'!K713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56"/>
        <v>1.7612000000000001</v>
      </c>
      <c r="M347" s="237">
        <f>AVERAGE(Ashed_controlls!$K$1:$K$11)</f>
        <v>5.5147656768714146</v>
      </c>
      <c r="N347" s="194">
        <f t="shared" si="52"/>
        <v>1.6640739468989407</v>
      </c>
      <c r="O347" s="194">
        <f t="shared" si="57"/>
        <v>1.8742000000000001</v>
      </c>
      <c r="P347" s="237">
        <f>AVERAGE(Ashed_controlls!$K$12:$K$14)</f>
        <v>2.2816647271287041</v>
      </c>
      <c r="Q347" s="194">
        <f t="shared" si="53"/>
        <v>1.8314370396841539</v>
      </c>
      <c r="R347" s="383">
        <f>IF('Dry_Litterbag Placem_Collection'!G54="","",'Dry_Litterbag Placem_Collection'!G54)</f>
        <v>43005</v>
      </c>
      <c r="S347" s="194">
        <f>IFERROR(INDEX('Both teabags AfterDry'!$D$3:$D$2000,MATCH(H347,'Both teabags AfterDry'!$A$3:$A$2000,0)),"")</f>
        <v>1.8361000000000001</v>
      </c>
      <c r="T347" s="194">
        <f>IFERROR(INDEX('Both teabags AfterDry'!$D$3:$D$2000,MATCH(I347,'Both teabags AfterDry'!$A$3:$A$2000,0)),"")</f>
        <v>1.9595</v>
      </c>
      <c r="U347" s="194">
        <f t="shared" si="58"/>
        <v>1.6855</v>
      </c>
      <c r="V347" s="194">
        <f t="shared" si="59"/>
        <v>1.8089</v>
      </c>
      <c r="W347" s="194">
        <f>IFERROR(INDEX('Ashed teabags dry'!$K$2:$K$2000,MATCH(H347,'Ashed teabags dry'!$A$2:$A$2000,0)),"")</f>
        <v>5.7409879839785489</v>
      </c>
      <c r="X347" s="194">
        <f>IFERROR(INDEX('Ashed teabags dry'!$K$2:$K$2000,MATCH(I347,'Ashed teabags dry'!$A$2:$A$2000,0)),"")</f>
        <v>5.4091539528428063</v>
      </c>
      <c r="Y347" s="194">
        <f t="shared" si="54"/>
        <v>1.5887356475300416</v>
      </c>
      <c r="Z347" s="194">
        <f t="shared" si="54"/>
        <v>1.7110538141470264</v>
      </c>
      <c r="AA347" s="194">
        <f t="shared" si="60"/>
        <v>4.5273408377851654E-2</v>
      </c>
      <c r="AB347" s="194">
        <f t="shared" si="61"/>
        <v>2.9680429245337456E-2</v>
      </c>
      <c r="AC347" s="194">
        <f t="shared" si="55"/>
        <v>0.93426843351497979</v>
      </c>
      <c r="AD347">
        <f t="shared" si="62"/>
        <v>67</v>
      </c>
      <c r="AE347" s="194">
        <f t="shared" si="63"/>
        <v>0.94623110643960606</v>
      </c>
      <c r="AF347" s="194" t="str">
        <f t="shared" si="64"/>
        <v/>
      </c>
      <c r="AG347" s="252" t="str">
        <f>IF(ISNUMBER(SEARCH("C", 'Dry_Litterbag Placem_Collection'!$V54)),"YES","NO")</f>
        <v>NO</v>
      </c>
      <c r="AH347" s="252" t="str">
        <f>IF(ISNUMBER(SEARCH("H", 'Dry_Litterbag Placem_Collection'!$V54)),"YES","NO")</f>
        <v>NO</v>
      </c>
      <c r="AI347" s="252" t="str">
        <f>IF(ISNUMBER(SEARCH("R", 'Dry_Litterbag Placem_Collection'!$V54)),"YES","NO")</f>
        <v>NO</v>
      </c>
      <c r="AJ347" s="252" t="str">
        <f>IF(ISNUMBER(SEARCH("C", 'Dry_Litterbag Placem_Collection'!$U54)),"YES","NO")</f>
        <v>NO</v>
      </c>
      <c r="AK347" s="252" t="str">
        <f>IF(ISNUMBER(SEARCH("H", 'Dry_Litterbag Placem_Collection'!$U54)),"YES","NO")</f>
        <v>NO</v>
      </c>
      <c r="AL347" s="252" t="str">
        <f>IF(ISNUMBER(SEARCH("R", 'Dry_Litterbag Placem_Collection'!$U54)),"YES","NO")</f>
        <v>NO</v>
      </c>
    </row>
    <row r="348" spans="2:38">
      <c r="B348" t="str">
        <f>'Final data_for_R_analysis_Dryse'!A494</f>
        <v>Dry</v>
      </c>
      <c r="C348" s="260">
        <f>'Final data_for_R_analysis_Dryse'!B494</f>
        <v>53</v>
      </c>
      <c r="D348" t="s">
        <v>3808</v>
      </c>
      <c r="E348" t="s">
        <v>25</v>
      </c>
      <c r="F348" s="382">
        <v>5</v>
      </c>
      <c r="G348" s="383">
        <f>IF('Dry_Litterbag Placem_Collection'!E55="","",'Dry_Litterbag Placem_Collection'!E55)</f>
        <v>42938</v>
      </c>
      <c r="H348" s="92" t="str">
        <f>'Final data_for_R_analysis_Dryse'!K494</f>
        <v>G759</v>
      </c>
      <c r="I348" t="str">
        <f>'Final data_for_R_analysis_Dryse'!K714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56"/>
        <v>1.8041999999999998</v>
      </c>
      <c r="M348" s="237">
        <f>AVERAGE(Ashed_controlls!$K$1:$K$11)</f>
        <v>5.5147656768714146</v>
      </c>
      <c r="N348" s="194">
        <f t="shared" si="52"/>
        <v>1.7047025976578858</v>
      </c>
      <c r="O348" s="194">
        <f t="shared" si="57"/>
        <v>1.9432</v>
      </c>
      <c r="P348" s="237">
        <f>AVERAGE(Ashed_controlls!$K$12:$K$14)</f>
        <v>2.2816647271287041</v>
      </c>
      <c r="Q348" s="194">
        <f t="shared" si="53"/>
        <v>1.8988626910224351</v>
      </c>
      <c r="R348" s="383">
        <f>IF('Dry_Litterbag Placem_Collection'!G55="","",'Dry_Litterbag Placem_Collection'!G55)</f>
        <v>43005</v>
      </c>
      <c r="S348" s="194">
        <f>IFERROR(INDEX('Both teabags AfterDry'!$D$3:$D$2000,MATCH(H348,'Both teabags AfterDry'!$A$3:$A$2000,0)),"")</f>
        <v>1.8980999999999999</v>
      </c>
      <c r="T348" s="194">
        <f>IFERROR(INDEX('Both teabags AfterDry'!$D$3:$D$2000,MATCH(I348,'Both teabags AfterDry'!$A$3:$A$2000,0)),"")</f>
        <v>1.9561999999999999</v>
      </c>
      <c r="U348" s="194">
        <f t="shared" si="58"/>
        <v>1.7474999999999998</v>
      </c>
      <c r="V348" s="194">
        <f t="shared" si="59"/>
        <v>1.8055999999999999</v>
      </c>
      <c r="W348" s="194">
        <f>IFERROR(INDEX('Ashed teabags dry'!$K$2:$K$2000,MATCH(H348,'Ashed teabags dry'!$A$2:$A$2000,0)),"")</f>
        <v>5.7571359458148255</v>
      </c>
      <c r="X348" s="194">
        <f>IFERROR(INDEX('Ashed teabags dry'!$K$2:$K$2000,MATCH(I348,'Ashed teabags dry'!$A$2:$A$2000,0)),"")</f>
        <v>3.1146767343080963</v>
      </c>
      <c r="Y348" s="194">
        <f t="shared" si="54"/>
        <v>1.6468940493468858</v>
      </c>
      <c r="Z348" s="194">
        <f t="shared" si="54"/>
        <v>1.749361396885333</v>
      </c>
      <c r="AA348" s="194">
        <f t="shared" si="60"/>
        <v>3.3911222045665879E-2</v>
      </c>
      <c r="AB348" s="194">
        <f t="shared" si="61"/>
        <v>2.2231584999058841E-2</v>
      </c>
      <c r="AC348" s="194">
        <f t="shared" si="55"/>
        <v>0.92126798064761395</v>
      </c>
      <c r="AD348">
        <f t="shared" si="62"/>
        <v>67</v>
      </c>
      <c r="AE348" s="194">
        <f t="shared" si="63"/>
        <v>0.95972538949445862</v>
      </c>
      <c r="AF348" s="194" t="str">
        <f t="shared" si="64"/>
        <v/>
      </c>
      <c r="AG348" s="252" t="str">
        <f>IF(ISNUMBER(SEARCH("C", 'Dry_Litterbag Placem_Collection'!$V55)),"YES","NO")</f>
        <v>NO</v>
      </c>
      <c r="AH348" s="252" t="str">
        <f>IF(ISNUMBER(SEARCH("H", 'Dry_Litterbag Placem_Collection'!$V55)),"YES","NO")</f>
        <v>NO</v>
      </c>
      <c r="AI348" s="252" t="str">
        <f>IF(ISNUMBER(SEARCH("R", 'Dry_Litterbag Placem_Collection'!$V55)),"YES","NO")</f>
        <v>NO</v>
      </c>
      <c r="AJ348" s="252" t="str">
        <f>IF(ISNUMBER(SEARCH("C", 'Dry_Litterbag Placem_Collection'!$U55)),"YES","NO")</f>
        <v>NO</v>
      </c>
      <c r="AK348" s="252" t="str">
        <f>IF(ISNUMBER(SEARCH("H", 'Dry_Litterbag Placem_Collection'!$U55)),"YES","NO")</f>
        <v>NO</v>
      </c>
      <c r="AL348" s="252" t="str">
        <f>IF(ISNUMBER(SEARCH("R", 'Dry_Litterbag Placem_Collection'!$U55)),"YES","NO")</f>
        <v>NO</v>
      </c>
    </row>
    <row r="349" spans="2:38">
      <c r="B349" t="str">
        <f>'Final data_for_R_analysis_Dryse'!A495</f>
        <v>Dry</v>
      </c>
      <c r="C349" s="260">
        <f>'Final data_for_R_analysis_Dryse'!B495</f>
        <v>54</v>
      </c>
      <c r="D349" t="s">
        <v>3808</v>
      </c>
      <c r="E349" t="s">
        <v>25</v>
      </c>
      <c r="F349" s="382">
        <v>6</v>
      </c>
      <c r="G349" s="383" t="str">
        <f>IF('Dry_Litterbag Placem_Collection'!E56="","",'Dry_Litterbag Placem_Collection'!E56)</f>
        <v/>
      </c>
      <c r="H349" s="92" t="str">
        <f>'Final data_for_R_analysis_Dryse'!K495</f>
        <v/>
      </c>
      <c r="I349" t="str">
        <f>'Final data_for_R_analysis_Dryse'!K715</f>
        <v/>
      </c>
      <c r="J349" t="str">
        <f>IFERROR(INDEX('Green_rooibos initial weight'!$C$5:$C$2000,MATCH(H349, 'Green_rooibos initial weight'!$A$5:$A$2000,0)),"")</f>
        <v/>
      </c>
      <c r="K349" t="str">
        <f>IFERROR(INDEX('Green_rooibos initial weight'!$C$5:$C$2000,MATCH(I349, 'Green_rooibos initial weight'!$A$5:$A$2000,0)),"")</f>
        <v/>
      </c>
      <c r="L349" s="194" t="str">
        <f t="shared" si="56"/>
        <v/>
      </c>
      <c r="M349" s="237">
        <f>AVERAGE(Ashed_controlls!$K$1:$K$11)</f>
        <v>5.5147656768714146</v>
      </c>
      <c r="N349" s="194" t="str">
        <f t="shared" si="52"/>
        <v/>
      </c>
      <c r="O349" s="194" t="str">
        <f t="shared" si="57"/>
        <v/>
      </c>
      <c r="P349" s="237">
        <f>AVERAGE(Ashed_controlls!$K$12:$K$14)</f>
        <v>2.2816647271287041</v>
      </c>
      <c r="Q349" s="194" t="str">
        <f t="shared" si="53"/>
        <v/>
      </c>
      <c r="R349" s="383" t="str">
        <f>IF('Dry_Litterbag Placem_Collection'!G56="","",'Dry_Litterbag Placem_Collection'!G56)</f>
        <v/>
      </c>
      <c r="S349" s="194" t="str">
        <f>IFERROR(INDEX('Both teabags AfterDry'!$D$3:$D$2000,MATCH(H349,'Both teabags AfterDry'!$A$3:$A$2000,0)),"")</f>
        <v/>
      </c>
      <c r="T349" s="194" t="str">
        <f>IFERROR(INDEX('Both teabags AfterDry'!$D$3:$D$2000,MATCH(I349,'Both teabags AfterDry'!$A$3:$A$2000,0)),"")</f>
        <v/>
      </c>
      <c r="U349" s="194" t="str">
        <f t="shared" si="58"/>
        <v/>
      </c>
      <c r="V349" s="194" t="str">
        <f t="shared" si="59"/>
        <v/>
      </c>
      <c r="W349" s="194" t="str">
        <f>IFERROR(INDEX('Ashed teabags dry'!$K$2:$K$2000,MATCH(H349,'Ashed teabags dry'!$A$2:$A$2000,0)),"")</f>
        <v/>
      </c>
      <c r="X349" s="194" t="str">
        <f>IFERROR(INDEX('Ashed teabags dry'!$K$2:$K$2000,MATCH(I349,'Ashed teabags dry'!$A$2:$A$2000,0)),"")</f>
        <v/>
      </c>
      <c r="Y349" s="194" t="str">
        <f t="shared" si="54"/>
        <v/>
      </c>
      <c r="Z349" s="194" t="str">
        <f t="shared" si="54"/>
        <v/>
      </c>
      <c r="AA349" s="194" t="str">
        <f t="shared" si="60"/>
        <v/>
      </c>
      <c r="AB349" s="194" t="str">
        <f t="shared" si="61"/>
        <v/>
      </c>
      <c r="AC349" s="194" t="str">
        <f t="shared" si="55"/>
        <v/>
      </c>
      <c r="AD349" t="str">
        <f t="shared" si="62"/>
        <v/>
      </c>
      <c r="AE349" s="194" t="str">
        <f t="shared" si="63"/>
        <v/>
      </c>
      <c r="AF349" s="194" t="str">
        <f t="shared" si="64"/>
        <v/>
      </c>
      <c r="AG349" s="252" t="str">
        <f>IF(ISNUMBER(SEARCH("C", 'Dry_Litterbag Placem_Collection'!$V56)),"YES","NO")</f>
        <v>NO</v>
      </c>
      <c r="AH349" s="252" t="str">
        <f>IF(ISNUMBER(SEARCH("H", 'Dry_Litterbag Placem_Collection'!$V56)),"YES","NO")</f>
        <v>NO</v>
      </c>
      <c r="AI349" s="252" t="str">
        <f>IF(ISNUMBER(SEARCH("R", 'Dry_Litterbag Placem_Collection'!$V56)),"YES","NO")</f>
        <v>NO</v>
      </c>
      <c r="AJ349" s="252" t="str">
        <f>IF(ISNUMBER(SEARCH("C", 'Dry_Litterbag Placem_Collection'!$U56)),"YES","NO")</f>
        <v>NO</v>
      </c>
      <c r="AK349" s="252" t="str">
        <f>IF(ISNUMBER(SEARCH("H", 'Dry_Litterbag Placem_Collection'!$U56)),"YES","NO")</f>
        <v>NO</v>
      </c>
      <c r="AL349" s="252" t="str">
        <f>IF(ISNUMBER(SEARCH("R", 'Dry_Litterbag Placem_Collection'!$U56)),"YES","NO")</f>
        <v>NO</v>
      </c>
    </row>
    <row r="350" spans="2:38">
      <c r="B350" t="str">
        <f>'Final data_for_R_analysis_Dryse'!A496</f>
        <v>Dry</v>
      </c>
      <c r="C350" s="260">
        <f>'Final data_for_R_analysis_Dryse'!B496</f>
        <v>55</v>
      </c>
      <c r="D350" t="s">
        <v>3808</v>
      </c>
      <c r="E350" t="s">
        <v>25</v>
      </c>
      <c r="F350" s="382">
        <v>7</v>
      </c>
      <c r="G350" s="383">
        <f>IF('Dry_Litterbag Placem_Collection'!E57="","",'Dry_Litterbag Placem_Collection'!E57)</f>
        <v>42938</v>
      </c>
      <c r="H350" s="92" t="str">
        <f>'Final data_for_R_analysis_Dryse'!K496</f>
        <v>G260</v>
      </c>
      <c r="I350" t="str">
        <f>'Final data_for_R_analysis_Dryse'!K716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56"/>
        <v>1.9062000000000001</v>
      </c>
      <c r="M350" s="237">
        <f>AVERAGE(Ashed_controlls!$K$1:$K$11)</f>
        <v>5.5147656768714146</v>
      </c>
      <c r="N350" s="194">
        <f t="shared" si="52"/>
        <v>1.8010775366674772</v>
      </c>
      <c r="O350" s="194">
        <f t="shared" si="57"/>
        <v>1.9472</v>
      </c>
      <c r="P350" s="237">
        <f>AVERAGE(Ashed_controlls!$K$12:$K$14)</f>
        <v>2.2816647271287041</v>
      </c>
      <c r="Q350" s="194">
        <f t="shared" si="53"/>
        <v>1.90277142443335</v>
      </c>
      <c r="R350" s="383">
        <f>IF('Dry_Litterbag Placem_Collection'!G57="","",'Dry_Litterbag Placem_Collection'!G57)</f>
        <v>43005</v>
      </c>
      <c r="S350" s="194">
        <f>IFERROR(INDEX('Both teabags AfterDry'!$D$3:$D$2000,MATCH(H350,'Both teabags AfterDry'!$A$3:$A$2000,0)),"")</f>
        <v>1.9074</v>
      </c>
      <c r="T350" s="194">
        <f>IFERROR(INDEX('Both teabags AfterDry'!$D$3:$D$2000,MATCH(I350,'Both teabags AfterDry'!$A$3:$A$2000,0)),"")</f>
        <v>1.9886999999999999</v>
      </c>
      <c r="U350" s="194">
        <f t="shared" si="58"/>
        <v>1.7567999999999999</v>
      </c>
      <c r="V350" s="194">
        <f t="shared" si="59"/>
        <v>1.8380999999999998</v>
      </c>
      <c r="W350" s="194">
        <f>IFERROR(INDEX('Ashed teabags dry'!$K$2:$K$2000,MATCH(H350,'Ashed teabags dry'!$A$2:$A$2000,0)),"")</f>
        <v>8.8734232274901057</v>
      </c>
      <c r="X350" s="194">
        <f>IFERROR(INDEX('Ashed teabags dry'!$K$2:$K$2000,MATCH(I350,'Ashed teabags dry'!$A$2:$A$2000,0)),"")</f>
        <v>3.4583536288358885</v>
      </c>
      <c r="Y350" s="194">
        <f t="shared" si="54"/>
        <v>1.6009117007394538</v>
      </c>
      <c r="Z350" s="194">
        <f t="shared" si="54"/>
        <v>1.7745320019483675</v>
      </c>
      <c r="AA350" s="194">
        <f t="shared" si="60"/>
        <v>0.11113671224748545</v>
      </c>
      <c r="AB350" s="194">
        <f t="shared" si="61"/>
        <v>7.2859222281011826E-2</v>
      </c>
      <c r="AC350" s="194">
        <f t="shared" si="55"/>
        <v>0.93260387409739842</v>
      </c>
      <c r="AD350">
        <f t="shared" si="62"/>
        <v>67</v>
      </c>
      <c r="AE350" s="194">
        <f t="shared" si="63"/>
        <v>0.86800865528802207</v>
      </c>
      <c r="AF350" s="194">
        <f t="shared" si="64"/>
        <v>3.8664378896711461E-2</v>
      </c>
      <c r="AG350" s="252" t="str">
        <f>IF(ISNUMBER(SEARCH("C", 'Dry_Litterbag Placem_Collection'!$V57)),"YES","NO")</f>
        <v>NO</v>
      </c>
      <c r="AH350" s="252" t="str">
        <f>IF(ISNUMBER(SEARCH("H", 'Dry_Litterbag Placem_Collection'!$V57)),"YES","NO")</f>
        <v>NO</v>
      </c>
      <c r="AI350" s="252" t="str">
        <f>IF(ISNUMBER(SEARCH("R", 'Dry_Litterbag Placem_Collection'!$V57)),"YES","NO")</f>
        <v>NO</v>
      </c>
      <c r="AJ350" s="252" t="str">
        <f>IF(ISNUMBER(SEARCH("C", 'Dry_Litterbag Placem_Collection'!$U57)),"YES","NO")</f>
        <v>NO</v>
      </c>
      <c r="AK350" s="252" t="str">
        <f>IF(ISNUMBER(SEARCH("H", 'Dry_Litterbag Placem_Collection'!$U57)),"YES","NO")</f>
        <v>NO</v>
      </c>
      <c r="AL350" s="252" t="str">
        <f>IF(ISNUMBER(SEARCH("R", 'Dry_Litterbag Placem_Collection'!$U57)),"YES","NO")</f>
        <v>NO</v>
      </c>
    </row>
    <row r="351" spans="2:38">
      <c r="B351" t="str">
        <f>'Final data_for_R_analysis_Dryse'!A497</f>
        <v>Dry</v>
      </c>
      <c r="C351" s="260">
        <f>'Final data_for_R_analysis_Dryse'!B497</f>
        <v>56</v>
      </c>
      <c r="D351" t="s">
        <v>3808</v>
      </c>
      <c r="E351" t="s">
        <v>25</v>
      </c>
      <c r="F351" s="382">
        <v>8</v>
      </c>
      <c r="G351" s="383">
        <f>IF('Dry_Litterbag Placem_Collection'!E58="","",'Dry_Litterbag Placem_Collection'!E58)</f>
        <v>42938</v>
      </c>
      <c r="H351" s="92" t="str">
        <f>'Final data_for_R_analysis_Dryse'!K497</f>
        <v>G493</v>
      </c>
      <c r="I351" t="str">
        <f>'Final data_for_R_analysis_Dryse'!K717</f>
        <v>R227</v>
      </c>
      <c r="J351">
        <f>IFERROR(INDEX('Green_rooibos initial weight'!$C$5:$C$2000,MATCH(H351, 'Green_rooibos initial weight'!$A$5:$A$2000,0)),"")</f>
        <v>2.0510000000000002</v>
      </c>
      <c r="K351">
        <f>IFERROR(INDEX('Green_rooibos initial weight'!$C$5:$C$2000,MATCH(I351, 'Green_rooibos initial weight'!$A$5:$A$2000,0)),"")</f>
        <v>2.254</v>
      </c>
      <c r="L351" s="194">
        <f t="shared" si="56"/>
        <v>1.8012000000000001</v>
      </c>
      <c r="M351" s="237">
        <f>AVERAGE(Ashed_controlls!$K$1:$K$11)</f>
        <v>5.5147656768714146</v>
      </c>
      <c r="N351" s="194">
        <f t="shared" si="52"/>
        <v>1.7018680406281923</v>
      </c>
      <c r="O351" s="194">
        <f t="shared" si="57"/>
        <v>2.0042</v>
      </c>
      <c r="P351" s="237">
        <f>AVERAGE(Ashed_controlls!$K$12:$K$14)</f>
        <v>2.2816647271287041</v>
      </c>
      <c r="Q351" s="194">
        <f t="shared" si="53"/>
        <v>1.9584708755388864</v>
      </c>
      <c r="R351" s="383">
        <f>IF('Dry_Litterbag Placem_Collection'!G58="","",'Dry_Litterbag Placem_Collection'!G58)</f>
        <v>43005</v>
      </c>
      <c r="S351" s="194">
        <f>IFERROR(INDEX('Both teabags AfterDry'!$D$3:$D$2000,MATCH(H351,'Both teabags AfterDry'!$A$3:$A$2000,0)),"")</f>
        <v>1.8869</v>
      </c>
      <c r="T351" s="194">
        <f>IFERROR(INDEX('Both teabags AfterDry'!$D$3:$D$2000,MATCH(I351,'Both teabags AfterDry'!$A$3:$A$2000,0)),"")</f>
        <v>2.0263</v>
      </c>
      <c r="U351" s="194">
        <f t="shared" si="58"/>
        <v>1.7363</v>
      </c>
      <c r="V351" s="194">
        <f t="shared" si="59"/>
        <v>1.8756999999999999</v>
      </c>
      <c r="W351" s="194">
        <f>IFERROR(INDEX('Ashed teabags dry'!$K$2:$K$2000,MATCH(H351,'Ashed teabags dry'!$A$2:$A$2000,0)),"")</f>
        <v>6.380316930776055</v>
      </c>
      <c r="X351" s="194">
        <f>IFERROR(INDEX('Ashed teabags dry'!$K$2:$K$2000,MATCH(I351,'Ashed teabags dry'!$A$2:$A$2000,0)),"")</f>
        <v>3.7500000000005613</v>
      </c>
      <c r="Y351" s="194">
        <f t="shared" si="54"/>
        <v>1.6255185571309354</v>
      </c>
      <c r="Z351" s="194">
        <f t="shared" si="54"/>
        <v>1.8053612499999894</v>
      </c>
      <c r="AA351" s="194">
        <f t="shared" si="60"/>
        <v>4.4862164206970423E-2</v>
      </c>
      <c r="AB351" s="194">
        <f t="shared" si="61"/>
        <v>2.941082499079296E-2</v>
      </c>
      <c r="AC351" s="194">
        <f t="shared" si="55"/>
        <v>0.92182185221581714</v>
      </c>
      <c r="AD351">
        <f t="shared" si="62"/>
        <v>67</v>
      </c>
      <c r="AE351" s="194">
        <f t="shared" si="63"/>
        <v>0.94671951994421566</v>
      </c>
      <c r="AF351" s="194" t="str">
        <f t="shared" si="64"/>
        <v/>
      </c>
      <c r="AG351" s="252" t="str">
        <f>IF(ISNUMBER(SEARCH("C", 'Dry_Litterbag Placem_Collection'!$V58)),"YES","NO")</f>
        <v>NO</v>
      </c>
      <c r="AH351" s="252" t="str">
        <f>IF(ISNUMBER(SEARCH("H", 'Dry_Litterbag Placem_Collection'!$V58)),"YES","NO")</f>
        <v>NO</v>
      </c>
      <c r="AI351" s="252" t="str">
        <f>IF(ISNUMBER(SEARCH("R", 'Dry_Litterbag Placem_Collection'!$V58)),"YES","NO")</f>
        <v>NO</v>
      </c>
      <c r="AJ351" s="252" t="str">
        <f>IF(ISNUMBER(SEARCH("C", 'Dry_Litterbag Placem_Collection'!$U58)),"YES","NO")</f>
        <v>NO</v>
      </c>
      <c r="AK351" s="252" t="str">
        <f>IF(ISNUMBER(SEARCH("H", 'Dry_Litterbag Placem_Collection'!$U58)),"YES","NO")</f>
        <v>NO</v>
      </c>
      <c r="AL351" s="252" t="str">
        <f>IF(ISNUMBER(SEARCH("R", 'Dry_Litterbag Placem_Collection'!$U58)),"YES","NO")</f>
        <v>NO</v>
      </c>
    </row>
    <row r="352" spans="2:38">
      <c r="B352" t="str">
        <f>'Final data_for_R_analysis_Dryse'!A498</f>
        <v>Dry</v>
      </c>
      <c r="C352" s="260">
        <f>'Final data_for_R_analysis_Dryse'!B498</f>
        <v>57</v>
      </c>
      <c r="D352" t="s">
        <v>3809</v>
      </c>
      <c r="E352" t="s">
        <v>25</v>
      </c>
      <c r="F352" s="381">
        <v>1</v>
      </c>
      <c r="G352" s="383">
        <f>IF('Dry_Litterbag Placem_Collection'!E59="","",'Dry_Litterbag Placem_Collection'!E59)</f>
        <v>42938</v>
      </c>
      <c r="H352" s="92" t="str">
        <f>'Final data_for_R_analysis_Dryse'!K498</f>
        <v>G342</v>
      </c>
      <c r="I352" t="str">
        <f>'Final data_for_R_analysis_Dryse'!K718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56"/>
        <v>1.6541999999999999</v>
      </c>
      <c r="M352" s="237">
        <f>AVERAGE(Ashed_controlls!$K$1:$K$11)</f>
        <v>5.5147656768714146</v>
      </c>
      <c r="N352" s="194">
        <f t="shared" si="52"/>
        <v>1.5629747461731929</v>
      </c>
      <c r="O352" s="194">
        <f t="shared" si="57"/>
        <v>1.9971999999999999</v>
      </c>
      <c r="P352" s="237">
        <f>AVERAGE(Ashed_controlls!$K$12:$K$14)</f>
        <v>2.2816647271287041</v>
      </c>
      <c r="Q352" s="194">
        <f t="shared" si="53"/>
        <v>1.9516305920697854</v>
      </c>
      <c r="R352" s="383">
        <f>IF('Dry_Litterbag Placem_Collection'!G59="","",'Dry_Litterbag Placem_Collection'!G59)</f>
        <v>43005</v>
      </c>
      <c r="S352" s="194">
        <f>IFERROR(INDEX('Both teabags AfterDry'!$D$3:$D$2000,MATCH(H352,'Both teabags AfterDry'!$A$3:$A$2000,0)),"")</f>
        <v>1.7556</v>
      </c>
      <c r="T352" s="194">
        <f>IFERROR(INDEX('Both teabags AfterDry'!$D$3:$D$2000,MATCH(I352,'Both teabags AfterDry'!$A$3:$A$2000,0)),"")</f>
        <v>2.0192999999999999</v>
      </c>
      <c r="U352" s="194">
        <f t="shared" si="58"/>
        <v>1.605</v>
      </c>
      <c r="V352" s="194">
        <f t="shared" si="59"/>
        <v>1.8686999999999998</v>
      </c>
      <c r="W352" s="194">
        <f>IFERROR(INDEX('Ashed teabags dry'!$K$2:$K$2000,MATCH(H352,'Ashed teabags dry'!$A$2:$A$2000,0)),"")</f>
        <v>5.6726094003237382</v>
      </c>
      <c r="X352" s="194">
        <f>IFERROR(INDEX('Ashed teabags dry'!$K$2:$K$2000,MATCH(I352,'Ashed teabags dry'!$A$2:$A$2000,0)),"")</f>
        <v>1.8527315914489777</v>
      </c>
      <c r="Y352" s="194">
        <f t="shared" si="54"/>
        <v>1.5139546191248039</v>
      </c>
      <c r="Z352" s="194">
        <f t="shared" si="54"/>
        <v>1.8340780047505927</v>
      </c>
      <c r="AA352" s="194">
        <f t="shared" si="60"/>
        <v>3.1363351946927187E-2</v>
      </c>
      <c r="AB352" s="194">
        <f t="shared" si="61"/>
        <v>2.0561247357130438E-2</v>
      </c>
      <c r="AC352" s="194">
        <f t="shared" si="55"/>
        <v>0.93976698879549569</v>
      </c>
      <c r="AD352">
        <f t="shared" si="62"/>
        <v>67</v>
      </c>
      <c r="AE352" s="194">
        <f t="shared" si="63"/>
        <v>0.96275136348345935</v>
      </c>
      <c r="AF352" s="194" t="str">
        <f t="shared" si="64"/>
        <v/>
      </c>
      <c r="AG352" s="252" t="str">
        <f>IF(ISNUMBER(SEARCH("C", 'Dry_Litterbag Placem_Collection'!$V59)),"YES","NO")</f>
        <v>NO</v>
      </c>
      <c r="AH352" s="252" t="str">
        <f>IF(ISNUMBER(SEARCH("H", 'Dry_Litterbag Placem_Collection'!$V59)),"YES","NO")</f>
        <v>NO</v>
      </c>
      <c r="AI352" s="252" t="str">
        <f>IF(ISNUMBER(SEARCH("R", 'Dry_Litterbag Placem_Collection'!$V59)),"YES","NO")</f>
        <v>NO</v>
      </c>
      <c r="AJ352" s="252" t="str">
        <f>IF(ISNUMBER(SEARCH("C", 'Dry_Litterbag Placem_Collection'!$U59)),"YES","NO")</f>
        <v>NO</v>
      </c>
      <c r="AK352" s="252" t="str">
        <f>IF(ISNUMBER(SEARCH("H", 'Dry_Litterbag Placem_Collection'!$U59)),"YES","NO")</f>
        <v>NO</v>
      </c>
      <c r="AL352" s="252" t="str">
        <f>IF(ISNUMBER(SEARCH("R", 'Dry_Litterbag Placem_Collection'!$U59)),"YES","NO")</f>
        <v>NO</v>
      </c>
    </row>
    <row r="353" spans="2:38">
      <c r="B353" t="str">
        <f>'Final data_for_R_analysis_Dryse'!A499</f>
        <v>Dry</v>
      </c>
      <c r="C353" s="260">
        <f>'Final data_for_R_analysis_Dryse'!B499</f>
        <v>58</v>
      </c>
      <c r="D353" t="s">
        <v>3809</v>
      </c>
      <c r="E353" t="s">
        <v>25</v>
      </c>
      <c r="F353" s="381">
        <v>2</v>
      </c>
      <c r="G353" s="383">
        <f>IF('Dry_Litterbag Placem_Collection'!E60="","",'Dry_Litterbag Placem_Collection'!E60)</f>
        <v>42938</v>
      </c>
      <c r="H353" s="92" t="str">
        <f>'Final data_for_R_analysis_Dryse'!K499</f>
        <v>G735</v>
      </c>
      <c r="I353" t="str">
        <f>'Final data_for_R_analysis_Dryse'!K719</f>
        <v>R689</v>
      </c>
      <c r="J353">
        <f>IFERROR(INDEX('Green_rooibos initial weight'!$C$5:$C$2000,MATCH(H353, 'Green_rooibos initial weight'!$A$5:$A$2000,0)),"")</f>
        <v>2.0950000000000002</v>
      </c>
      <c r="K353">
        <f>IFERROR(INDEX('Green_rooibos initial weight'!$C$5:$C$2000,MATCH(I353, 'Green_rooibos initial weight'!$A$5:$A$2000,0)),"")</f>
        <v>2.11</v>
      </c>
      <c r="L353" s="194">
        <f t="shared" si="56"/>
        <v>1.8452000000000002</v>
      </c>
      <c r="M353" s="237">
        <f>AVERAGE(Ashed_controlls!$K$1:$K$11)</f>
        <v>5.5147656768714146</v>
      </c>
      <c r="N353" s="194">
        <f t="shared" si="52"/>
        <v>1.7434415437303687</v>
      </c>
      <c r="O353" s="194">
        <f t="shared" si="57"/>
        <v>1.8601999999999999</v>
      </c>
      <c r="P353" s="237">
        <f>AVERAGE(Ashed_controlls!$K$12:$K$14)</f>
        <v>2.2816647271287041</v>
      </c>
      <c r="Q353" s="194">
        <f t="shared" si="53"/>
        <v>1.8177564727459516</v>
      </c>
      <c r="R353" s="383">
        <f>IF('Dry_Litterbag Placem_Collection'!G60="","",'Dry_Litterbag Placem_Collection'!G60)</f>
        <v>43005</v>
      </c>
      <c r="S353" s="194">
        <f>IFERROR(INDEX('Both teabags AfterDry'!$D$3:$D$2000,MATCH(H353,'Both teabags AfterDry'!$A$3:$A$2000,0)),"")</f>
        <v>1.9036</v>
      </c>
      <c r="T353" s="194">
        <f>IFERROR(INDEX('Both teabags AfterDry'!$D$3:$D$2000,MATCH(I353,'Both teabags AfterDry'!$A$3:$A$2000,0)),"")</f>
        <v>1.9226000000000001</v>
      </c>
      <c r="U353" s="194">
        <f t="shared" si="58"/>
        <v>1.7529999999999999</v>
      </c>
      <c r="V353" s="194">
        <f t="shared" si="59"/>
        <v>1.772</v>
      </c>
      <c r="W353" s="194">
        <f>IFERROR(INDEX('Ashed teabags dry'!$K$2:$K$2000,MATCH(H353,'Ashed teabags dry'!$A$2:$A$2000,0)),"")</f>
        <v>6.5088757396447594</v>
      </c>
      <c r="X353" s="194">
        <f>IFERROR(INDEX('Ashed teabags dry'!$K$2:$K$2000,MATCH(I353,'Ashed teabags dry'!$A$2:$A$2000,0)),"")</f>
        <v>2.075098814229281</v>
      </c>
      <c r="Y353" s="194">
        <f t="shared" si="54"/>
        <v>1.6388994082840274</v>
      </c>
      <c r="Z353" s="194">
        <f t="shared" si="54"/>
        <v>1.7352292490118573</v>
      </c>
      <c r="AA353" s="194">
        <f t="shared" si="60"/>
        <v>5.9963086128289045E-2</v>
      </c>
      <c r="AB353" s="194">
        <f t="shared" si="61"/>
        <v>3.9310716796693033E-2</v>
      </c>
      <c r="AC353" s="194">
        <f t="shared" si="55"/>
        <v>0.9545994059317382</v>
      </c>
      <c r="AD353">
        <f t="shared" si="62"/>
        <v>67</v>
      </c>
      <c r="AE353" s="194">
        <f t="shared" si="63"/>
        <v>0.92878493333932421</v>
      </c>
      <c r="AF353" s="194" t="str">
        <f t="shared" si="64"/>
        <v/>
      </c>
      <c r="AG353" s="252" t="str">
        <f>IF(ISNUMBER(SEARCH("C", 'Dry_Litterbag Placem_Collection'!$V60)),"YES","NO")</f>
        <v>NO</v>
      </c>
      <c r="AH353" s="252" t="str">
        <f>IF(ISNUMBER(SEARCH("H", 'Dry_Litterbag Placem_Collection'!$V60)),"YES","NO")</f>
        <v>NO</v>
      </c>
      <c r="AI353" s="252" t="str">
        <f>IF(ISNUMBER(SEARCH("R", 'Dry_Litterbag Placem_Collection'!$V60)),"YES","NO")</f>
        <v>NO</v>
      </c>
      <c r="AJ353" s="252" t="str">
        <f>IF(ISNUMBER(SEARCH("C", 'Dry_Litterbag Placem_Collection'!$U60)),"YES","NO")</f>
        <v>NO</v>
      </c>
      <c r="AK353" s="252" t="str">
        <f>IF(ISNUMBER(SEARCH("H", 'Dry_Litterbag Placem_Collection'!$U60)),"YES","NO")</f>
        <v>NO</v>
      </c>
      <c r="AL353" s="252" t="str">
        <f>IF(ISNUMBER(SEARCH("R", 'Dry_Litterbag Placem_Collection'!$U60)),"YES","NO")</f>
        <v>NO</v>
      </c>
    </row>
    <row r="354" spans="2:38">
      <c r="B354" t="str">
        <f>'Final data_for_R_analysis_Dryse'!A500</f>
        <v>Dry</v>
      </c>
      <c r="C354" s="260">
        <f>'Final data_for_R_analysis_Dryse'!B500</f>
        <v>59</v>
      </c>
      <c r="D354" t="s">
        <v>3809</v>
      </c>
      <c r="E354" t="s">
        <v>25</v>
      </c>
      <c r="F354" s="381">
        <v>3</v>
      </c>
      <c r="G354" s="383">
        <f>IF('Dry_Litterbag Placem_Collection'!E61="","",'Dry_Litterbag Placem_Collection'!E61)</f>
        <v>42938</v>
      </c>
      <c r="H354" s="92" t="str">
        <f>'Final data_for_R_analysis_Dryse'!K500</f>
        <v>G558</v>
      </c>
      <c r="I354" t="str">
        <f>'Final data_for_R_analysis_Dryse'!K720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56"/>
        <v>1.9291999999999998</v>
      </c>
      <c r="M354" s="237">
        <f>AVERAGE(Ashed_controlls!$K$1:$K$11)</f>
        <v>5.5147656768714146</v>
      </c>
      <c r="N354" s="194">
        <f t="shared" si="52"/>
        <v>1.8228091405617965</v>
      </c>
      <c r="O354" s="194">
        <f t="shared" si="57"/>
        <v>1.8732000000000002</v>
      </c>
      <c r="P354" s="237">
        <f>AVERAGE(Ashed_controlls!$K$12:$K$14)</f>
        <v>2.2816647271287041</v>
      </c>
      <c r="Q354" s="194">
        <f t="shared" si="53"/>
        <v>1.8304598563314254</v>
      </c>
      <c r="R354" s="383">
        <f>IF('Dry_Litterbag Placem_Collection'!G61="","",'Dry_Litterbag Placem_Collection'!G61)</f>
        <v>43005</v>
      </c>
      <c r="S354" s="194">
        <f>IFERROR(INDEX('Both teabags AfterDry'!$D$3:$D$2000,MATCH(H354,'Both teabags AfterDry'!$A$3:$A$2000,0)),"")</f>
        <v>1.9415</v>
      </c>
      <c r="T354" s="194">
        <f>IFERROR(INDEX('Both teabags AfterDry'!$D$3:$D$2000,MATCH(I354,'Both teabags AfterDry'!$A$3:$A$2000,0)),"")</f>
        <v>1.8747</v>
      </c>
      <c r="U354" s="194">
        <f t="shared" si="58"/>
        <v>1.7908999999999999</v>
      </c>
      <c r="V354" s="194">
        <f t="shared" si="59"/>
        <v>1.7241</v>
      </c>
      <c r="W354" s="194">
        <f>IFERROR(INDEX('Ashed teabags dry'!$K$2:$K$2000,MATCH(H354,'Ashed teabags dry'!$A$2:$A$2000,0)),"")</f>
        <v>5.6511056511055608</v>
      </c>
      <c r="X354" s="194">
        <f>IFERROR(INDEX('Ashed teabags dry'!$K$2:$K$2000,MATCH(I354,'Ashed teabags dry'!$A$2:$A$2000,0)),"")</f>
        <v>2.4205748865354395</v>
      </c>
      <c r="Y354" s="194">
        <f t="shared" si="54"/>
        <v>1.6896943488943506</v>
      </c>
      <c r="Z354" s="194">
        <f t="shared" si="54"/>
        <v>1.6823668683812425</v>
      </c>
      <c r="AA354" s="194">
        <f t="shared" si="60"/>
        <v>7.3027278997744971E-2</v>
      </c>
      <c r="AB354" s="194">
        <f t="shared" si="61"/>
        <v>4.7875365803747315E-2</v>
      </c>
      <c r="AC354" s="194">
        <f t="shared" si="55"/>
        <v>0.91909520034654668</v>
      </c>
      <c r="AD354">
        <f t="shared" si="62"/>
        <v>67</v>
      </c>
      <c r="AE354" s="194">
        <f t="shared" si="63"/>
        <v>0.91326926484828386</v>
      </c>
      <c r="AF354" s="194" t="str">
        <f t="shared" si="64"/>
        <v/>
      </c>
      <c r="AG354" s="252" t="str">
        <f>IF(ISNUMBER(SEARCH("C", 'Dry_Litterbag Placem_Collection'!$V61)),"YES","NO")</f>
        <v>NO</v>
      </c>
      <c r="AH354" s="252" t="str">
        <f>IF(ISNUMBER(SEARCH("H", 'Dry_Litterbag Placem_Collection'!$V61)),"YES","NO")</f>
        <v>NO</v>
      </c>
      <c r="AI354" s="252" t="str">
        <f>IF(ISNUMBER(SEARCH("R", 'Dry_Litterbag Placem_Collection'!$V61)),"YES","NO")</f>
        <v>NO</v>
      </c>
      <c r="AJ354" s="252" t="str">
        <f>IF(ISNUMBER(SEARCH("C", 'Dry_Litterbag Placem_Collection'!$U61)),"YES","NO")</f>
        <v>NO</v>
      </c>
      <c r="AK354" s="252" t="str">
        <f>IF(ISNUMBER(SEARCH("H", 'Dry_Litterbag Placem_Collection'!$U61)),"YES","NO")</f>
        <v>NO</v>
      </c>
      <c r="AL354" s="252" t="str">
        <f>IF(ISNUMBER(SEARCH("R", 'Dry_Litterbag Placem_Collection'!$U61)),"YES","NO")</f>
        <v>NO</v>
      </c>
    </row>
    <row r="355" spans="2:38">
      <c r="B355" t="str">
        <f>'Final data_for_R_analysis_Dryse'!A501</f>
        <v>Dry</v>
      </c>
      <c r="C355" s="260">
        <f>'Final data_for_R_analysis_Dryse'!B501</f>
        <v>60</v>
      </c>
      <c r="D355" t="s">
        <v>3809</v>
      </c>
      <c r="E355" t="s">
        <v>25</v>
      </c>
      <c r="F355" s="382">
        <v>4</v>
      </c>
      <c r="G355" s="383">
        <f>IF('Dry_Litterbag Placem_Collection'!E62="","",'Dry_Litterbag Placem_Collection'!E62)</f>
        <v>42938</v>
      </c>
      <c r="H355" s="92" t="str">
        <f>'Final data_for_R_analysis_Dryse'!K501</f>
        <v>G751</v>
      </c>
      <c r="I355" t="str">
        <f>'Final data_for_R_analysis_Dryse'!K721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56"/>
        <v>1.8252000000000002</v>
      </c>
      <c r="M355" s="237">
        <f>AVERAGE(Ashed_controlls!$K$1:$K$11)</f>
        <v>5.5147656768714146</v>
      </c>
      <c r="N355" s="194">
        <f t="shared" si="52"/>
        <v>1.7245444968657431</v>
      </c>
      <c r="O355" s="194">
        <f t="shared" si="57"/>
        <v>1.9302000000000001</v>
      </c>
      <c r="P355" s="237">
        <f>AVERAGE(Ashed_controlls!$K$12:$K$14)</f>
        <v>2.2816647271287041</v>
      </c>
      <c r="Q355" s="194">
        <f t="shared" si="53"/>
        <v>1.8861593074369618</v>
      </c>
      <c r="R355" s="383">
        <f>IF('Dry_Litterbag Placem_Collection'!G62="","",'Dry_Litterbag Placem_Collection'!G62)</f>
        <v>43005</v>
      </c>
      <c r="S355" s="194" t="str">
        <f>IFERROR(INDEX('Both teabags AfterDry'!$D$3:$D$2000,MATCH(H355,'Both teabags AfterDry'!$A$3:$A$2000,0)),"")</f>
        <v/>
      </c>
      <c r="T355" s="194">
        <f>IFERROR(INDEX('Both teabags AfterDry'!$D$3:$D$2000,MATCH(I355,'Both teabags AfterDry'!$A$3:$A$2000,0)),"")</f>
        <v>1.9569000000000001</v>
      </c>
      <c r="U355" s="194" t="str">
        <f t="shared" si="58"/>
        <v/>
      </c>
      <c r="V355" s="194">
        <f t="shared" si="59"/>
        <v>1.8063</v>
      </c>
      <c r="W355" s="194" t="str">
        <f>IFERROR(INDEX('Ashed teabags dry'!$K$2:$K$2000,MATCH(H355,'Ashed teabags dry'!$A$2:$A$2000,0)),"")</f>
        <v/>
      </c>
      <c r="X355" s="194">
        <f>IFERROR(INDEX('Ashed teabags dry'!$K$2:$K$2000,MATCH(I355,'Ashed teabags dry'!$A$2:$A$2000,0)),"")</f>
        <v>2.1921641791054141</v>
      </c>
      <c r="Y355" s="194" t="str">
        <f t="shared" si="54"/>
        <v/>
      </c>
      <c r="Z355" s="194">
        <f t="shared" si="54"/>
        <v>1.766702938432819</v>
      </c>
      <c r="AA355" s="194" t="str">
        <f t="shared" si="60"/>
        <v/>
      </c>
      <c r="AB355" s="194" t="str">
        <f t="shared" si="61"/>
        <v/>
      </c>
      <c r="AC355" s="194">
        <f t="shared" si="55"/>
        <v>0.93666687191631337</v>
      </c>
      <c r="AD355">
        <f t="shared" si="62"/>
        <v>67</v>
      </c>
      <c r="AE355" s="194" t="str">
        <f t="shared" si="63"/>
        <v/>
      </c>
      <c r="AF355" s="194" t="str">
        <f t="shared" si="64"/>
        <v/>
      </c>
      <c r="AG355" s="252" t="str">
        <f>IF(ISNUMBER(SEARCH("C", 'Dry_Litterbag Placem_Collection'!$V62)),"YES","NO")</f>
        <v>NO</v>
      </c>
      <c r="AH355" s="252" t="str">
        <f>IF(ISNUMBER(SEARCH("H", 'Dry_Litterbag Placem_Collection'!$V62)),"YES","NO")</f>
        <v>NO</v>
      </c>
      <c r="AI355" s="252" t="str">
        <f>IF(ISNUMBER(SEARCH("R", 'Dry_Litterbag Placem_Collection'!$V62)),"YES","NO")</f>
        <v>NO</v>
      </c>
      <c r="AJ355" s="252" t="str">
        <f>IF(ISNUMBER(SEARCH("C", 'Dry_Litterbag Placem_Collection'!$U62)),"YES","NO")</f>
        <v>NO</v>
      </c>
      <c r="AK355" s="252" t="str">
        <f>IF(ISNUMBER(SEARCH("H", 'Dry_Litterbag Placem_Collection'!$U62)),"YES","NO")</f>
        <v>NO</v>
      </c>
      <c r="AL355" s="252" t="str">
        <f>IF(ISNUMBER(SEARCH("R", 'Dry_Litterbag Placem_Collection'!$U62)),"YES","NO")</f>
        <v>NO</v>
      </c>
    </row>
    <row r="356" spans="2:38">
      <c r="B356" t="str">
        <f>'Final data_for_R_analysis_Dryse'!A502</f>
        <v>Dry</v>
      </c>
      <c r="C356" s="260">
        <f>'Final data_for_R_analysis_Dryse'!B502</f>
        <v>61</v>
      </c>
      <c r="D356" t="s">
        <v>3809</v>
      </c>
      <c r="E356" t="s">
        <v>25</v>
      </c>
      <c r="F356" s="382">
        <v>5</v>
      </c>
      <c r="G356" s="383">
        <f>IF('Dry_Litterbag Placem_Collection'!E63="","",'Dry_Litterbag Placem_Collection'!E63)</f>
        <v>42938</v>
      </c>
      <c r="H356" s="92" t="str">
        <f>'Final data_for_R_analysis_Dryse'!K502</f>
        <v>G748</v>
      </c>
      <c r="I356" t="str">
        <f>'Final data_for_R_analysis_Dryse'!K722</f>
        <v>R200</v>
      </c>
      <c r="J356">
        <f>IFERROR(INDEX('Green_rooibos initial weight'!$C$5:$C$2000,MATCH(H356, 'Green_rooibos initial weight'!$A$5:$A$2000,0)),"")</f>
        <v>2.081</v>
      </c>
      <c r="K356">
        <f>IFERROR(INDEX('Green_rooibos initial weight'!$C$5:$C$2000,MATCH(I356, 'Green_rooibos initial weight'!$A$5:$A$2000,0)),"")</f>
        <v>2.242</v>
      </c>
      <c r="L356" s="194">
        <f t="shared" si="56"/>
        <v>1.8311999999999999</v>
      </c>
      <c r="M356" s="237">
        <f>AVERAGE(Ashed_controlls!$K$1:$K$11)</f>
        <v>5.5147656768714146</v>
      </c>
      <c r="N356" s="194">
        <f t="shared" si="52"/>
        <v>1.7302136109251305</v>
      </c>
      <c r="O356" s="194">
        <f t="shared" si="57"/>
        <v>1.9922</v>
      </c>
      <c r="P356" s="237">
        <f>AVERAGE(Ashed_controlls!$K$12:$K$14)</f>
        <v>2.2816647271287041</v>
      </c>
      <c r="Q356" s="194">
        <f t="shared" si="53"/>
        <v>1.9467446753061419</v>
      </c>
      <c r="R356" s="383">
        <f>IF('Dry_Litterbag Placem_Collection'!G63="","",'Dry_Litterbag Placem_Collection'!G63)</f>
        <v>43005</v>
      </c>
      <c r="S356" s="194" t="str">
        <f>IFERROR(INDEX('Both teabags AfterDry'!$D$3:$D$2000,MATCH(H356,'Both teabags AfterDry'!$A$3:$A$2000,0)),"")</f>
        <v/>
      </c>
      <c r="T356" s="194" t="str">
        <f>IFERROR(INDEX('Both teabags AfterDry'!$D$3:$D$2000,MATCH(I356,'Both teabags AfterDry'!$A$3:$A$2000,0)),"")</f>
        <v/>
      </c>
      <c r="U356" s="194" t="str">
        <f t="shared" si="58"/>
        <v/>
      </c>
      <c r="V356" s="194" t="str">
        <f t="shared" si="59"/>
        <v/>
      </c>
      <c r="W356" s="194" t="str">
        <f>IFERROR(INDEX('Ashed teabags dry'!$K$2:$K$2000,MATCH(H356,'Ashed teabags dry'!$A$2:$A$2000,0)),"")</f>
        <v/>
      </c>
      <c r="X356" s="194" t="str">
        <f>IFERROR(INDEX('Ashed teabags dry'!$K$2:$K$2000,MATCH(I356,'Ashed teabags dry'!$A$2:$A$2000,0)),"")</f>
        <v/>
      </c>
      <c r="Y356" s="194" t="str">
        <f t="shared" si="54"/>
        <v/>
      </c>
      <c r="Z356" s="194" t="str">
        <f t="shared" si="54"/>
        <v/>
      </c>
      <c r="AA356" s="194" t="str">
        <f t="shared" si="60"/>
        <v/>
      </c>
      <c r="AB356" s="194" t="str">
        <f t="shared" si="61"/>
        <v/>
      </c>
      <c r="AC356" s="194" t="str">
        <f t="shared" si="55"/>
        <v/>
      </c>
      <c r="AD356">
        <f t="shared" si="62"/>
        <v>67</v>
      </c>
      <c r="AE356" s="194" t="str">
        <f t="shared" si="63"/>
        <v/>
      </c>
      <c r="AF356" s="194" t="str">
        <f t="shared" si="64"/>
        <v/>
      </c>
      <c r="AG356" s="252" t="str">
        <f>IF(ISNUMBER(SEARCH("C", 'Dry_Litterbag Placem_Collection'!$V63)),"YES","NO")</f>
        <v>NO</v>
      </c>
      <c r="AH356" s="252" t="str">
        <f>IF(ISNUMBER(SEARCH("H", 'Dry_Litterbag Placem_Collection'!$V63)),"YES","NO")</f>
        <v>NO</v>
      </c>
      <c r="AI356" s="252" t="str">
        <f>IF(ISNUMBER(SEARCH("R", 'Dry_Litterbag Placem_Collection'!$V63)),"YES","NO")</f>
        <v>NO</v>
      </c>
      <c r="AJ356" s="252" t="str">
        <f>IF(ISNUMBER(SEARCH("C", 'Dry_Litterbag Placem_Collection'!$U63)),"YES","NO")</f>
        <v>NO</v>
      </c>
      <c r="AK356" s="252" t="str">
        <f>IF(ISNUMBER(SEARCH("H", 'Dry_Litterbag Placem_Collection'!$U63)),"YES","NO")</f>
        <v>NO</v>
      </c>
      <c r="AL356" s="252" t="str">
        <f>IF(ISNUMBER(SEARCH("R", 'Dry_Litterbag Placem_Collection'!$U63)),"YES","NO")</f>
        <v>NO</v>
      </c>
    </row>
    <row r="357" spans="2:38">
      <c r="B357" t="str">
        <f>'Final data_for_R_analysis_Dryse'!A503</f>
        <v>Dry</v>
      </c>
      <c r="C357" s="260">
        <f>'Final data_for_R_analysis_Dryse'!B503</f>
        <v>62</v>
      </c>
      <c r="D357" t="s">
        <v>3809</v>
      </c>
      <c r="E357" t="s">
        <v>25</v>
      </c>
      <c r="F357" s="382">
        <v>6</v>
      </c>
      <c r="G357" s="383" t="str">
        <f>IF('Dry_Litterbag Placem_Collection'!E64="","",'Dry_Litterbag Placem_Collection'!E64)</f>
        <v/>
      </c>
      <c r="H357" s="92" t="str">
        <f>'Final data_for_R_analysis_Dryse'!K503</f>
        <v/>
      </c>
      <c r="I357" t="str">
        <f>'Final data_for_R_analysis_Dryse'!K723</f>
        <v/>
      </c>
      <c r="J357" t="str">
        <f>IFERROR(INDEX('Green_rooibos initial weight'!$C$5:$C$2000,MATCH(H357, 'Green_rooibos initial weight'!$A$5:$A$2000,0)),"")</f>
        <v/>
      </c>
      <c r="K357" t="str">
        <f>IFERROR(INDEX('Green_rooibos initial weight'!$C$5:$C$2000,MATCH(I357, 'Green_rooibos initial weight'!$A$5:$A$2000,0)),"")</f>
        <v/>
      </c>
      <c r="L357" s="194" t="str">
        <f t="shared" si="56"/>
        <v/>
      </c>
      <c r="M357" s="237">
        <f>AVERAGE(Ashed_controlls!$K$1:$K$11)</f>
        <v>5.5147656768714146</v>
      </c>
      <c r="N357" s="194" t="str">
        <f t="shared" si="52"/>
        <v/>
      </c>
      <c r="O357" s="194" t="str">
        <f t="shared" si="57"/>
        <v/>
      </c>
      <c r="P357" s="237">
        <f>AVERAGE(Ashed_controlls!$K$12:$K$14)</f>
        <v>2.2816647271287041</v>
      </c>
      <c r="Q357" s="194" t="str">
        <f t="shared" si="53"/>
        <v/>
      </c>
      <c r="R357" s="383" t="str">
        <f>IF('Dry_Litterbag Placem_Collection'!G64="","",'Dry_Litterbag Placem_Collection'!G64)</f>
        <v/>
      </c>
      <c r="S357" s="194" t="str">
        <f>IFERROR(INDEX('Both teabags AfterDry'!$D$3:$D$2000,MATCH(H357,'Both teabags AfterDry'!$A$3:$A$2000,0)),"")</f>
        <v/>
      </c>
      <c r="T357" s="194" t="str">
        <f>IFERROR(INDEX('Both teabags AfterDry'!$D$3:$D$2000,MATCH(I357,'Both teabags AfterDry'!$A$3:$A$2000,0)),"")</f>
        <v/>
      </c>
      <c r="U357" s="194" t="str">
        <f t="shared" si="58"/>
        <v/>
      </c>
      <c r="V357" s="194" t="str">
        <f t="shared" si="59"/>
        <v/>
      </c>
      <c r="W357" s="194" t="str">
        <f>IFERROR(INDEX('Ashed teabags dry'!$K$2:$K$2000,MATCH(H357,'Ashed teabags dry'!$A$2:$A$2000,0)),"")</f>
        <v/>
      </c>
      <c r="X357" s="194" t="str">
        <f>IFERROR(INDEX('Ashed teabags dry'!$K$2:$K$2000,MATCH(I357,'Ashed teabags dry'!$A$2:$A$2000,0)),"")</f>
        <v/>
      </c>
      <c r="Y357" s="194" t="str">
        <f t="shared" si="54"/>
        <v/>
      </c>
      <c r="Z357" s="194" t="str">
        <f t="shared" si="54"/>
        <v/>
      </c>
      <c r="AA357" s="194" t="str">
        <f t="shared" si="60"/>
        <v/>
      </c>
      <c r="AB357" s="194" t="str">
        <f t="shared" si="61"/>
        <v/>
      </c>
      <c r="AC357" s="194" t="str">
        <f t="shared" si="55"/>
        <v/>
      </c>
      <c r="AD357" t="str">
        <f t="shared" si="62"/>
        <v/>
      </c>
      <c r="AE357" s="194" t="str">
        <f t="shared" si="63"/>
        <v/>
      </c>
      <c r="AF357" s="194" t="str">
        <f t="shared" si="64"/>
        <v/>
      </c>
      <c r="AG357" s="252" t="str">
        <f>IF(ISNUMBER(SEARCH("C", 'Dry_Litterbag Placem_Collection'!$V64)),"YES","NO")</f>
        <v>NO</v>
      </c>
      <c r="AH357" s="252" t="str">
        <f>IF(ISNUMBER(SEARCH("H", 'Dry_Litterbag Placem_Collection'!$V64)),"YES","NO")</f>
        <v>NO</v>
      </c>
      <c r="AI357" s="252" t="str">
        <f>IF(ISNUMBER(SEARCH("R", 'Dry_Litterbag Placem_Collection'!$V64)),"YES","NO")</f>
        <v>NO</v>
      </c>
      <c r="AJ357" s="252" t="str">
        <f>IF(ISNUMBER(SEARCH("C", 'Dry_Litterbag Placem_Collection'!$U64)),"YES","NO")</f>
        <v>NO</v>
      </c>
      <c r="AK357" s="252" t="str">
        <f>IF(ISNUMBER(SEARCH("H", 'Dry_Litterbag Placem_Collection'!$U64)),"YES","NO")</f>
        <v>NO</v>
      </c>
      <c r="AL357" s="252" t="str">
        <f>IF(ISNUMBER(SEARCH("R", 'Dry_Litterbag Placem_Collection'!$U64)),"YES","NO")</f>
        <v>NO</v>
      </c>
    </row>
    <row r="358" spans="2:38">
      <c r="B358" t="str">
        <f>'Final data_for_R_analysis_Dryse'!A504</f>
        <v>Dry</v>
      </c>
      <c r="C358" s="260">
        <f>'Final data_for_R_analysis_Dryse'!B504</f>
        <v>63</v>
      </c>
      <c r="D358" t="s">
        <v>3809</v>
      </c>
      <c r="E358" t="s">
        <v>25</v>
      </c>
      <c r="F358" s="382">
        <v>7</v>
      </c>
      <c r="G358" s="383">
        <f>IF('Dry_Litterbag Placem_Collection'!E65="","",'Dry_Litterbag Placem_Collection'!E65)</f>
        <v>42938</v>
      </c>
      <c r="H358" s="92" t="str">
        <f>'Final data_for_R_analysis_Dryse'!K504</f>
        <v>G629</v>
      </c>
      <c r="I358" t="str">
        <f>'Final data_for_R_analysis_Dryse'!K724</f>
        <v>R713</v>
      </c>
      <c r="J358">
        <f>IFERROR(INDEX('Green_rooibos initial weight'!$C$5:$C$2000,MATCH(H358, 'Green_rooibos initial weight'!$A$5:$A$2000,0)),"")</f>
        <v>1.978</v>
      </c>
      <c r="K358">
        <f>IFERROR(INDEX('Green_rooibos initial weight'!$C$5:$C$2000,MATCH(I358, 'Green_rooibos initial weight'!$A$5:$A$2000,0)),"")</f>
        <v>2.1619999999999999</v>
      </c>
      <c r="L358" s="194">
        <f t="shared" si="56"/>
        <v>1.7282</v>
      </c>
      <c r="M358" s="237">
        <f>AVERAGE(Ashed_controlls!$K$1:$K$11)</f>
        <v>5.5147656768714146</v>
      </c>
      <c r="N358" s="194">
        <f t="shared" si="52"/>
        <v>1.6328938195723082</v>
      </c>
      <c r="O358" s="194">
        <f t="shared" si="57"/>
        <v>1.9121999999999999</v>
      </c>
      <c r="P358" s="237">
        <f>AVERAGE(Ashed_controlls!$K$12:$K$14)</f>
        <v>2.2816647271287041</v>
      </c>
      <c r="Q358" s="194">
        <f t="shared" si="53"/>
        <v>1.8685700070878448</v>
      </c>
      <c r="R358" s="383">
        <f>IF('Dry_Litterbag Placem_Collection'!G65="","",'Dry_Litterbag Placem_Collection'!G65)</f>
        <v>43005</v>
      </c>
      <c r="S358" s="194">
        <f>IFERROR(INDEX('Both teabags AfterDry'!$D$3:$D$2000,MATCH(H358,'Both teabags AfterDry'!$A$3:$A$2000,0)),"")</f>
        <v>1.8411</v>
      </c>
      <c r="T358" s="194">
        <f>IFERROR(INDEX('Both teabags AfterDry'!$D$3:$D$2000,MATCH(I358,'Both teabags AfterDry'!$A$3:$A$2000,0)),"")</f>
        <v>1.9921</v>
      </c>
      <c r="U358" s="194">
        <f t="shared" si="58"/>
        <v>1.6904999999999999</v>
      </c>
      <c r="V358" s="194">
        <f t="shared" si="59"/>
        <v>1.8414999999999999</v>
      </c>
      <c r="W358" s="194">
        <f>IFERROR(INDEX('Ashed teabags dry'!$K$2:$K$2000,MATCH(H358,'Ashed teabags dry'!$A$2:$A$2000,0)),"")</f>
        <v>5.6801195814651884</v>
      </c>
      <c r="X358" s="194">
        <f>IFERROR(INDEX('Ashed teabags dry'!$K$2:$K$2000,MATCH(I358,'Ashed teabags dry'!$A$2:$A$2000,0)),"")</f>
        <v>2.4745269286755853</v>
      </c>
      <c r="Y358" s="194">
        <f t="shared" si="54"/>
        <v>1.5944775784753309</v>
      </c>
      <c r="Z358" s="194">
        <f t="shared" si="54"/>
        <v>1.7959315866084391</v>
      </c>
      <c r="AA358" s="194">
        <f t="shared" si="60"/>
        <v>2.3526478351813096E-2</v>
      </c>
      <c r="AB358" s="194">
        <f t="shared" si="61"/>
        <v>1.5423534501426188E-2</v>
      </c>
      <c r="AC358" s="194">
        <f t="shared" si="55"/>
        <v>0.96112619799960708</v>
      </c>
      <c r="AD358">
        <f t="shared" si="62"/>
        <v>67</v>
      </c>
      <c r="AE358" s="194">
        <f t="shared" si="63"/>
        <v>0.97205881430901053</v>
      </c>
      <c r="AF358" s="194" t="str">
        <f t="shared" si="64"/>
        <v/>
      </c>
      <c r="AG358" s="252" t="str">
        <f>IF(ISNUMBER(SEARCH("C", 'Dry_Litterbag Placem_Collection'!$V65)),"YES","NO")</f>
        <v>NO</v>
      </c>
      <c r="AH358" s="252" t="str">
        <f>IF(ISNUMBER(SEARCH("H", 'Dry_Litterbag Placem_Collection'!$V65)),"YES","NO")</f>
        <v>NO</v>
      </c>
      <c r="AI358" s="252" t="str">
        <f>IF(ISNUMBER(SEARCH("R", 'Dry_Litterbag Placem_Collection'!$V65)),"YES","NO")</f>
        <v>NO</v>
      </c>
      <c r="AJ358" s="252" t="str">
        <f>IF(ISNUMBER(SEARCH("C", 'Dry_Litterbag Placem_Collection'!$U65)),"YES","NO")</f>
        <v>NO</v>
      </c>
      <c r="AK358" s="252" t="str">
        <f>IF(ISNUMBER(SEARCH("H", 'Dry_Litterbag Placem_Collection'!$U65)),"YES","NO")</f>
        <v>NO</v>
      </c>
      <c r="AL358" s="252" t="str">
        <f>IF(ISNUMBER(SEARCH("R", 'Dry_Litterbag Placem_Collection'!$U65)),"YES","NO")</f>
        <v>NO</v>
      </c>
    </row>
    <row r="359" spans="2:38">
      <c r="B359" t="str">
        <f>'Final data_for_R_analysis_Dryse'!A505</f>
        <v>Dry</v>
      </c>
      <c r="C359" s="260">
        <f>'Final data_for_R_analysis_Dryse'!B505</f>
        <v>64</v>
      </c>
      <c r="D359" t="s">
        <v>3809</v>
      </c>
      <c r="E359" t="s">
        <v>25</v>
      </c>
      <c r="F359" s="382">
        <v>8</v>
      </c>
      <c r="G359" s="383">
        <f>IF('Dry_Litterbag Placem_Collection'!E66="","",'Dry_Litterbag Placem_Collection'!E66)</f>
        <v>42938</v>
      </c>
      <c r="H359" s="92" t="str">
        <f>'Final data_for_R_analysis_Dryse'!K505</f>
        <v>G84</v>
      </c>
      <c r="I359" t="str">
        <f>'Final data_for_R_analysis_Dryse'!K725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56"/>
        <v>1.8761999999999999</v>
      </c>
      <c r="M359" s="237">
        <f>AVERAGE(Ashed_controlls!$K$1:$K$11)</f>
        <v>5.5147656768714146</v>
      </c>
      <c r="N359" s="194">
        <f t="shared" si="52"/>
        <v>1.7727319663705383</v>
      </c>
      <c r="O359" s="194">
        <f t="shared" si="57"/>
        <v>1.9491999999999998</v>
      </c>
      <c r="P359" s="237">
        <f>AVERAGE(Ashed_controlls!$K$12:$K$14)</f>
        <v>2.2816647271287041</v>
      </c>
      <c r="Q359" s="194">
        <f t="shared" si="53"/>
        <v>1.9047257911388071</v>
      </c>
      <c r="R359" s="383">
        <f>IF('Dry_Litterbag Placem_Collection'!G66="","",'Dry_Litterbag Placem_Collection'!G66)</f>
        <v>43005</v>
      </c>
      <c r="S359" s="194">
        <f>IFERROR(INDEX('Both teabags AfterDry'!$D$3:$D$2000,MATCH(H359,'Both teabags AfterDry'!$A$3:$A$2000,0)),"")</f>
        <v>1.9314</v>
      </c>
      <c r="T359" s="194">
        <f>IFERROR(INDEX('Both teabags AfterDry'!$D$3:$D$2000,MATCH(I359,'Both teabags AfterDry'!$A$3:$A$2000,0)),"")</f>
        <v>1.9715</v>
      </c>
      <c r="U359" s="194">
        <f t="shared" si="58"/>
        <v>1.7807999999999999</v>
      </c>
      <c r="V359" s="194">
        <f t="shared" si="59"/>
        <v>1.8209</v>
      </c>
      <c r="W359" s="194">
        <f>IFERROR(INDEX('Ashed teabags dry'!$K$2:$K$2000,MATCH(H359,'Ashed teabags dry'!$A$2:$A$2000,0)),"")</f>
        <v>5.2683407188580818</v>
      </c>
      <c r="X359" s="194">
        <f>IFERROR(INDEX('Ashed teabags dry'!$K$2:$K$2000,MATCH(I359,'Ashed teabags dry'!$A$2:$A$2000,0)),"")</f>
        <v>2.2650602409639138</v>
      </c>
      <c r="Y359" s="194">
        <f t="shared" si="54"/>
        <v>1.6869813884785752</v>
      </c>
      <c r="Z359" s="194">
        <f t="shared" si="54"/>
        <v>1.7796555180722882</v>
      </c>
      <c r="AA359" s="194">
        <f t="shared" si="60"/>
        <v>4.8371992787791473E-2</v>
      </c>
      <c r="AB359" s="194">
        <f t="shared" si="61"/>
        <v>3.1711805248053324E-2</v>
      </c>
      <c r="AC359" s="194">
        <f t="shared" si="55"/>
        <v>0.93433686168981767</v>
      </c>
      <c r="AD359">
        <f t="shared" si="62"/>
        <v>67</v>
      </c>
      <c r="AE359" s="194">
        <f t="shared" si="63"/>
        <v>0.94255107744917876</v>
      </c>
      <c r="AF359" s="194" t="str">
        <f t="shared" si="64"/>
        <v/>
      </c>
      <c r="AG359" s="252" t="str">
        <f>IF(ISNUMBER(SEARCH("C", 'Dry_Litterbag Placem_Collection'!$V66)),"YES","NO")</f>
        <v>NO</v>
      </c>
      <c r="AH359" s="252" t="str">
        <f>IF(ISNUMBER(SEARCH("H", 'Dry_Litterbag Placem_Collection'!$V66)),"YES","NO")</f>
        <v>NO</v>
      </c>
      <c r="AI359" s="252" t="str">
        <f>IF(ISNUMBER(SEARCH("R", 'Dry_Litterbag Placem_Collection'!$V66)),"YES","NO")</f>
        <v>NO</v>
      </c>
      <c r="AJ359" s="252" t="str">
        <f>IF(ISNUMBER(SEARCH("C", 'Dry_Litterbag Placem_Collection'!$U66)),"YES","NO")</f>
        <v>NO</v>
      </c>
      <c r="AK359" s="252" t="str">
        <f>IF(ISNUMBER(SEARCH("H", 'Dry_Litterbag Placem_Collection'!$U66)),"YES","NO")</f>
        <v>NO</v>
      </c>
      <c r="AL359" s="252" t="str">
        <f>IF(ISNUMBER(SEARCH("R", 'Dry_Litterbag Placem_Collection'!$U66)),"YES","NO")</f>
        <v>NO</v>
      </c>
    </row>
    <row r="360" spans="2:38">
      <c r="B360" t="str">
        <f>'Final data_for_R_analysis_Dryse'!A506</f>
        <v>Dry</v>
      </c>
      <c r="C360" s="260">
        <f>'Final data_for_R_analysis_Dryse'!B506</f>
        <v>65</v>
      </c>
      <c r="D360" t="s">
        <v>3810</v>
      </c>
      <c r="E360" t="s">
        <v>25</v>
      </c>
      <c r="F360" s="381">
        <v>1</v>
      </c>
      <c r="G360" s="383">
        <f>IF('Dry_Litterbag Placem_Collection'!E67="","",'Dry_Litterbag Placem_Collection'!E67)</f>
        <v>42937</v>
      </c>
      <c r="H360" s="92" t="str">
        <f>'Final data_for_R_analysis_Dryse'!K506</f>
        <v>G586</v>
      </c>
      <c r="I360" t="str">
        <f>'Final data_for_R_analysis_Dryse'!K726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56"/>
        <v>1.7092000000000001</v>
      </c>
      <c r="M360" s="237">
        <f>AVERAGE(Ashed_controlls!$K$1:$K$11)</f>
        <v>5.5147656768714146</v>
      </c>
      <c r="N360" s="194">
        <f t="shared" si="52"/>
        <v>1.6149416250509139</v>
      </c>
      <c r="O360" s="194">
        <f t="shared" si="57"/>
        <v>1.9542000000000002</v>
      </c>
      <c r="P360" s="237">
        <f>AVERAGE(Ashed_controlls!$K$12:$K$14)</f>
        <v>2.2816647271287041</v>
      </c>
      <c r="Q360" s="194">
        <f t="shared" si="53"/>
        <v>1.909611707902451</v>
      </c>
      <c r="R360" s="383">
        <f>IF('Dry_Litterbag Placem_Collection'!G67="","",'Dry_Litterbag Placem_Collection'!G67)</f>
        <v>43005</v>
      </c>
      <c r="S360" s="194" t="str">
        <f>IFERROR(INDEX('Both teabags AfterDry'!$D$3:$D$2000,MATCH(H360,'Both teabags AfterDry'!$A$3:$A$2000,0)),"")</f>
        <v/>
      </c>
      <c r="T360" s="194" t="str">
        <f>IFERROR(INDEX('Both teabags AfterDry'!$D$3:$D$2000,MATCH(I360,'Both teabags AfterDry'!$A$3:$A$2000,0)),"")</f>
        <v/>
      </c>
      <c r="U360" s="194" t="str">
        <f t="shared" si="58"/>
        <v/>
      </c>
      <c r="V360" s="194" t="str">
        <f t="shared" si="59"/>
        <v/>
      </c>
      <c r="W360" s="194" t="str">
        <f>IFERROR(INDEX('Ashed teabags dry'!$K$2:$K$2000,MATCH(H360,'Ashed teabags dry'!$A$2:$A$2000,0)),"")</f>
        <v/>
      </c>
      <c r="X360" s="194" t="str">
        <f>IFERROR(INDEX('Ashed teabags dry'!$K$2:$K$2000,MATCH(I360,'Ashed teabags dry'!$A$2:$A$2000,0)),"")</f>
        <v/>
      </c>
      <c r="Y360" s="194" t="str">
        <f t="shared" si="54"/>
        <v/>
      </c>
      <c r="Z360" s="194" t="str">
        <f t="shared" si="54"/>
        <v/>
      </c>
      <c r="AA360" s="194" t="str">
        <f t="shared" si="60"/>
        <v/>
      </c>
      <c r="AB360" s="194" t="str">
        <f t="shared" si="61"/>
        <v/>
      </c>
      <c r="AC360" s="194" t="str">
        <f t="shared" si="55"/>
        <v/>
      </c>
      <c r="AD360">
        <f t="shared" si="62"/>
        <v>68</v>
      </c>
      <c r="AE360" s="194" t="str">
        <f t="shared" si="63"/>
        <v/>
      </c>
      <c r="AF360" s="194" t="str">
        <f t="shared" si="64"/>
        <v/>
      </c>
      <c r="AG360" s="252" t="str">
        <f>IF(ISNUMBER(SEARCH("C", 'Dry_Litterbag Placem_Collection'!$V67)),"YES","NO")</f>
        <v>NO</v>
      </c>
      <c r="AH360" s="252" t="str">
        <f>IF(ISNUMBER(SEARCH("H", 'Dry_Litterbag Placem_Collection'!$V67)),"YES","NO")</f>
        <v>NO</v>
      </c>
      <c r="AI360" s="252" t="str">
        <f>IF(ISNUMBER(SEARCH("R", 'Dry_Litterbag Placem_Collection'!$V67)),"YES","NO")</f>
        <v>NO</v>
      </c>
      <c r="AJ360" s="252" t="str">
        <f>IF(ISNUMBER(SEARCH("C", 'Dry_Litterbag Placem_Collection'!$U67)),"YES","NO")</f>
        <v>NO</v>
      </c>
      <c r="AK360" s="252" t="str">
        <f>IF(ISNUMBER(SEARCH("H", 'Dry_Litterbag Placem_Collection'!$U67)),"YES","NO")</f>
        <v>NO</v>
      </c>
      <c r="AL360" s="252" t="str">
        <f>IF(ISNUMBER(SEARCH("R", 'Dry_Litterbag Placem_Collection'!$U67)),"YES","NO")</f>
        <v>NO</v>
      </c>
    </row>
    <row r="361" spans="2:38">
      <c r="B361" t="str">
        <f>'Final data_for_R_analysis_Dryse'!A507</f>
        <v>Dry</v>
      </c>
      <c r="C361" s="260">
        <f>'Final data_for_R_analysis_Dryse'!B507</f>
        <v>66</v>
      </c>
      <c r="D361" t="s">
        <v>3810</v>
      </c>
      <c r="E361" t="s">
        <v>25</v>
      </c>
      <c r="F361" s="381">
        <v>2</v>
      </c>
      <c r="G361" s="383">
        <f>IF('Dry_Litterbag Placem_Collection'!E68="","",'Dry_Litterbag Placem_Collection'!E68)</f>
        <v>42937</v>
      </c>
      <c r="H361" s="92" t="str">
        <f>'Final data_for_R_analysis_Dryse'!K507</f>
        <v>G851</v>
      </c>
      <c r="I361" t="str">
        <f>'Final data_for_R_analysis_Dryse'!K727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56"/>
        <v>1.7432000000000001</v>
      </c>
      <c r="M361" s="237">
        <f>AVERAGE(Ashed_controlls!$K$1:$K$11)</f>
        <v>5.5147656768714146</v>
      </c>
      <c r="N361" s="194">
        <f t="shared" si="52"/>
        <v>1.6470666047207776</v>
      </c>
      <c r="O361" s="194">
        <f t="shared" si="57"/>
        <v>1.8481999999999998</v>
      </c>
      <c r="P361" s="237">
        <f>AVERAGE(Ashed_controlls!$K$12:$K$14)</f>
        <v>2.2816647271287041</v>
      </c>
      <c r="Q361" s="194">
        <f t="shared" si="53"/>
        <v>1.8060302725132071</v>
      </c>
      <c r="R361" s="383">
        <f>IF('Dry_Litterbag Placem_Collection'!G68="","",'Dry_Litterbag Placem_Collection'!G68)</f>
        <v>43005</v>
      </c>
      <c r="S361" s="194">
        <f>IFERROR(INDEX('Both teabags AfterDry'!$D$3:$D$2000,MATCH(H361,'Both teabags AfterDry'!$A$3:$A$2000,0)),"")</f>
        <v>1.8367</v>
      </c>
      <c r="T361" s="194">
        <f>IFERROR(INDEX('Both teabags AfterDry'!$D$3:$D$2000,MATCH(I361,'Both teabags AfterDry'!$A$3:$A$2000,0)),"")</f>
        <v>1.9177</v>
      </c>
      <c r="U361" s="194">
        <f t="shared" si="58"/>
        <v>1.6860999999999999</v>
      </c>
      <c r="V361" s="194">
        <f t="shared" si="59"/>
        <v>1.7670999999999999</v>
      </c>
      <c r="W361" s="194">
        <f>IFERROR(INDEX('Ashed teabags dry'!$K$2:$K$2000,MATCH(H361,'Ashed teabags dry'!$A$2:$A$2000,0)),"")</f>
        <v>6.3484251968505419</v>
      </c>
      <c r="X361" s="194">
        <f>IFERROR(INDEX('Ashed teabags dry'!$K$2:$K$2000,MATCH(I361,'Ashed teabags dry'!$A$2:$A$2000,0)),"")</f>
        <v>2.2058823529412819</v>
      </c>
      <c r="Y361" s="194">
        <f t="shared" si="54"/>
        <v>1.5790592027559029</v>
      </c>
      <c r="Z361" s="194">
        <f t="shared" si="54"/>
        <v>1.7281198529411745</v>
      </c>
      <c r="AA361" s="194">
        <f t="shared" si="60"/>
        <v>4.129001326962356E-2</v>
      </c>
      <c r="AB361" s="194">
        <f t="shared" si="61"/>
        <v>2.706898732165345E-2</v>
      </c>
      <c r="AC361" s="194">
        <f t="shared" si="55"/>
        <v>0.95686095589991671</v>
      </c>
      <c r="AD361">
        <f t="shared" si="62"/>
        <v>68</v>
      </c>
      <c r="AE361" s="194">
        <f t="shared" si="63"/>
        <v>0.95096197948975825</v>
      </c>
      <c r="AF361" s="194" t="str">
        <f t="shared" si="64"/>
        <v/>
      </c>
      <c r="AG361" s="252" t="str">
        <f>IF(ISNUMBER(SEARCH("C", 'Dry_Litterbag Placem_Collection'!$V68)),"YES","NO")</f>
        <v>NO</v>
      </c>
      <c r="AH361" s="252" t="str">
        <f>IF(ISNUMBER(SEARCH("H", 'Dry_Litterbag Placem_Collection'!$V68)),"YES","NO")</f>
        <v>NO</v>
      </c>
      <c r="AI361" s="252" t="str">
        <f>IF(ISNUMBER(SEARCH("R", 'Dry_Litterbag Placem_Collection'!$V68)),"YES","NO")</f>
        <v>NO</v>
      </c>
      <c r="AJ361" s="252" t="str">
        <f>IF(ISNUMBER(SEARCH("C", 'Dry_Litterbag Placem_Collection'!$U68)),"YES","NO")</f>
        <v>NO</v>
      </c>
      <c r="AK361" s="252" t="str">
        <f>IF(ISNUMBER(SEARCH("H", 'Dry_Litterbag Placem_Collection'!$U68)),"YES","NO")</f>
        <v>NO</v>
      </c>
      <c r="AL361" s="252" t="str">
        <f>IF(ISNUMBER(SEARCH("R", 'Dry_Litterbag Placem_Collection'!$U68)),"YES","NO")</f>
        <v>NO</v>
      </c>
    </row>
    <row r="362" spans="2:38">
      <c r="B362" t="str">
        <f>'Final data_for_R_analysis_Dryse'!A508</f>
        <v>Dry</v>
      </c>
      <c r="C362" s="260">
        <f>'Final data_for_R_analysis_Dryse'!B508</f>
        <v>67</v>
      </c>
      <c r="D362" t="s">
        <v>3810</v>
      </c>
      <c r="E362" t="s">
        <v>25</v>
      </c>
      <c r="F362" s="381">
        <v>3</v>
      </c>
      <c r="G362" s="383" t="str">
        <f>IF('Dry_Litterbag Placem_Collection'!E69="","",'Dry_Litterbag Placem_Collection'!E69)</f>
        <v/>
      </c>
      <c r="H362" s="92" t="str">
        <f>'Final data_for_R_analysis_Dryse'!K508</f>
        <v/>
      </c>
      <c r="I362" t="str">
        <f>'Final data_for_R_analysis_Dryse'!K728</f>
        <v/>
      </c>
      <c r="J362" t="str">
        <f>IFERROR(INDEX('Green_rooibos initial weight'!$C$5:$C$2000,MATCH(H362, 'Green_rooibos initial weight'!$A$5:$A$2000,0)),"")</f>
        <v/>
      </c>
      <c r="K362" t="str">
        <f>IFERROR(INDEX('Green_rooibos initial weight'!$C$5:$C$2000,MATCH(I362, 'Green_rooibos initial weight'!$A$5:$A$2000,0)),"")</f>
        <v/>
      </c>
      <c r="L362" s="194" t="str">
        <f t="shared" si="56"/>
        <v/>
      </c>
      <c r="M362" s="237">
        <f>AVERAGE(Ashed_controlls!$K$1:$K$11)</f>
        <v>5.5147656768714146</v>
      </c>
      <c r="N362" s="194" t="str">
        <f t="shared" si="52"/>
        <v/>
      </c>
      <c r="O362" s="194" t="str">
        <f t="shared" si="57"/>
        <v/>
      </c>
      <c r="P362" s="237">
        <f>AVERAGE(Ashed_controlls!$K$12:$K$14)</f>
        <v>2.2816647271287041</v>
      </c>
      <c r="Q362" s="194" t="str">
        <f t="shared" si="53"/>
        <v/>
      </c>
      <c r="R362" s="383" t="str">
        <f>IF('Dry_Litterbag Placem_Collection'!G69="","",'Dry_Litterbag Placem_Collection'!G69)</f>
        <v/>
      </c>
      <c r="S362" s="194" t="str">
        <f>IFERROR(INDEX('Both teabags AfterDry'!$D$3:$D$2000,MATCH(H362,'Both teabags AfterDry'!$A$3:$A$2000,0)),"")</f>
        <v/>
      </c>
      <c r="T362" s="194" t="str">
        <f>IFERROR(INDEX('Both teabags AfterDry'!$D$3:$D$2000,MATCH(I362,'Both teabags AfterDry'!$A$3:$A$2000,0)),"")</f>
        <v/>
      </c>
      <c r="U362" s="194" t="str">
        <f t="shared" si="58"/>
        <v/>
      </c>
      <c r="V362" s="194" t="str">
        <f t="shared" si="59"/>
        <v/>
      </c>
      <c r="W362" s="194" t="str">
        <f>IFERROR(INDEX('Ashed teabags dry'!$K$2:$K$2000,MATCH(H362,'Ashed teabags dry'!$A$2:$A$2000,0)),"")</f>
        <v/>
      </c>
      <c r="X362" s="194" t="str">
        <f>IFERROR(INDEX('Ashed teabags dry'!$K$2:$K$2000,MATCH(I362,'Ashed teabags dry'!$A$2:$A$2000,0)),"")</f>
        <v/>
      </c>
      <c r="Y362" s="194" t="str">
        <f t="shared" si="54"/>
        <v/>
      </c>
      <c r="Z362" s="194" t="str">
        <f t="shared" si="54"/>
        <v/>
      </c>
      <c r="AA362" s="194" t="str">
        <f t="shared" si="60"/>
        <v/>
      </c>
      <c r="AB362" s="194" t="str">
        <f t="shared" si="61"/>
        <v/>
      </c>
      <c r="AC362" s="194" t="str">
        <f t="shared" si="55"/>
        <v/>
      </c>
      <c r="AD362" t="str">
        <f t="shared" si="62"/>
        <v/>
      </c>
      <c r="AE362" s="194" t="str">
        <f t="shared" si="63"/>
        <v/>
      </c>
      <c r="AF362" s="194" t="str">
        <f t="shared" si="64"/>
        <v/>
      </c>
      <c r="AG362" s="252" t="str">
        <f>IF(ISNUMBER(SEARCH("C", 'Dry_Litterbag Placem_Collection'!$V69)),"YES","NO")</f>
        <v>NO</v>
      </c>
      <c r="AH362" s="252" t="str">
        <f>IF(ISNUMBER(SEARCH("H", 'Dry_Litterbag Placem_Collection'!$V69)),"YES","NO")</f>
        <v>NO</v>
      </c>
      <c r="AI362" s="252" t="str">
        <f>IF(ISNUMBER(SEARCH("R", 'Dry_Litterbag Placem_Collection'!$V69)),"YES","NO")</f>
        <v>NO</v>
      </c>
      <c r="AJ362" s="252" t="str">
        <f>IF(ISNUMBER(SEARCH("C", 'Dry_Litterbag Placem_Collection'!$U69)),"YES","NO")</f>
        <v>NO</v>
      </c>
      <c r="AK362" s="252" t="str">
        <f>IF(ISNUMBER(SEARCH("H", 'Dry_Litterbag Placem_Collection'!$U69)),"YES","NO")</f>
        <v>NO</v>
      </c>
      <c r="AL362" s="252" t="str">
        <f>IF(ISNUMBER(SEARCH("R", 'Dry_Litterbag Placem_Collection'!$U69)),"YES","NO")</f>
        <v>NO</v>
      </c>
    </row>
    <row r="363" spans="2:38">
      <c r="B363" t="str">
        <f>'Final data_for_R_analysis_Dryse'!A509</f>
        <v>Dry</v>
      </c>
      <c r="C363" s="260">
        <f>'Final data_for_R_analysis_Dryse'!B509</f>
        <v>68</v>
      </c>
      <c r="D363" t="s">
        <v>3810</v>
      </c>
      <c r="E363" t="s">
        <v>25</v>
      </c>
      <c r="F363" s="382">
        <v>4</v>
      </c>
      <c r="G363" s="383">
        <f>IF('Dry_Litterbag Placem_Collection'!E70="","",'Dry_Litterbag Placem_Collection'!E70)</f>
        <v>42937</v>
      </c>
      <c r="H363" s="92" t="str">
        <f>'Final data_for_R_analysis_Dryse'!K509</f>
        <v>G467</v>
      </c>
      <c r="I363" t="str">
        <f>'Final data_for_R_analysis_Dryse'!K729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56"/>
        <v>1.7761999999999998</v>
      </c>
      <c r="M363" s="237">
        <f>AVERAGE(Ashed_controlls!$K$1:$K$11)</f>
        <v>5.5147656768714146</v>
      </c>
      <c r="N363" s="194">
        <f t="shared" si="52"/>
        <v>1.6782467320474097</v>
      </c>
      <c r="O363" s="194">
        <f t="shared" si="57"/>
        <v>1.9851999999999999</v>
      </c>
      <c r="P363" s="237">
        <f>AVERAGE(Ashed_controlls!$K$12:$K$14)</f>
        <v>2.2816647271287041</v>
      </c>
      <c r="Q363" s="194">
        <f t="shared" si="53"/>
        <v>1.9399043918370409</v>
      </c>
      <c r="R363" s="383">
        <f>IF('Dry_Litterbag Placem_Collection'!G70="","",'Dry_Litterbag Placem_Collection'!G70)</f>
        <v>43005</v>
      </c>
      <c r="S363" s="194">
        <f>IFERROR(INDEX('Both teabags AfterDry'!$D$3:$D$2000,MATCH(H363,'Both teabags AfterDry'!$A$3:$A$2000,0)),"")</f>
        <v>1.8359000000000001</v>
      </c>
      <c r="T363" s="194">
        <f>IFERROR(INDEX('Both teabags AfterDry'!$D$3:$D$2000,MATCH(I363,'Both teabags AfterDry'!$A$3:$A$2000,0)),"")</f>
        <v>2.0015000000000001</v>
      </c>
      <c r="U363" s="194">
        <f t="shared" si="58"/>
        <v>1.6853</v>
      </c>
      <c r="V363" s="194">
        <f t="shared" si="59"/>
        <v>1.8509</v>
      </c>
      <c r="W363" s="194">
        <f>IFERROR(INDEX('Ashed teabags dry'!$K$2:$K$2000,MATCH(H363,'Ashed teabags dry'!$A$2:$A$2000,0)),"")</f>
        <v>5.6516237874314612</v>
      </c>
      <c r="X363" s="194">
        <f>IFERROR(INDEX('Ashed teabags dry'!$K$2:$K$2000,MATCH(I363,'Ashed teabags dry'!$A$2:$A$2000,0)),"")</f>
        <v>3.2690695725061474</v>
      </c>
      <c r="Y363" s="194">
        <f t="shared" si="54"/>
        <v>1.5900531843104175</v>
      </c>
      <c r="Z363" s="194">
        <f t="shared" si="54"/>
        <v>1.7903927912824837</v>
      </c>
      <c r="AA363" s="194">
        <f t="shared" si="60"/>
        <v>5.2551002217295362E-2</v>
      </c>
      <c r="AB363" s="194">
        <f t="shared" si="61"/>
        <v>3.4451488389485828E-2</v>
      </c>
      <c r="AC363" s="194">
        <f t="shared" si="55"/>
        <v>0.92292836637532771</v>
      </c>
      <c r="AD363">
        <f t="shared" si="62"/>
        <v>68</v>
      </c>
      <c r="AE363" s="194">
        <f t="shared" si="63"/>
        <v>0.93758788335238075</v>
      </c>
      <c r="AF363" s="194" t="str">
        <f t="shared" si="64"/>
        <v/>
      </c>
      <c r="AG363" s="252" t="str">
        <f>IF(ISNUMBER(SEARCH("C", 'Dry_Litterbag Placem_Collection'!$V70)),"YES","NO")</f>
        <v>NO</v>
      </c>
      <c r="AH363" s="252" t="str">
        <f>IF(ISNUMBER(SEARCH("H", 'Dry_Litterbag Placem_Collection'!$V70)),"YES","NO")</f>
        <v>NO</v>
      </c>
      <c r="AI363" s="252" t="str">
        <f>IF(ISNUMBER(SEARCH("R", 'Dry_Litterbag Placem_Collection'!$V70)),"YES","NO")</f>
        <v>NO</v>
      </c>
      <c r="AJ363" s="252" t="str">
        <f>IF(ISNUMBER(SEARCH("C", 'Dry_Litterbag Placem_Collection'!$U70)),"YES","NO")</f>
        <v>NO</v>
      </c>
      <c r="AK363" s="252" t="str">
        <f>IF(ISNUMBER(SEARCH("H", 'Dry_Litterbag Placem_Collection'!$U70)),"YES","NO")</f>
        <v>NO</v>
      </c>
      <c r="AL363" s="252" t="str">
        <f>IF(ISNUMBER(SEARCH("R", 'Dry_Litterbag Placem_Collection'!$U70)),"YES","NO")</f>
        <v>NO</v>
      </c>
    </row>
    <row r="364" spans="2:38">
      <c r="B364" t="str">
        <f>'Final data_for_R_analysis_Dryse'!A510</f>
        <v>Dry</v>
      </c>
      <c r="C364" s="260">
        <f>'Final data_for_R_analysis_Dryse'!B510</f>
        <v>69</v>
      </c>
      <c r="D364" t="s">
        <v>3810</v>
      </c>
      <c r="E364" t="s">
        <v>25</v>
      </c>
      <c r="F364" s="382">
        <v>5</v>
      </c>
      <c r="G364" s="383">
        <f>IF('Dry_Litterbag Placem_Collection'!E71="","",'Dry_Litterbag Placem_Collection'!E71)</f>
        <v>42937</v>
      </c>
      <c r="H364" s="92" t="str">
        <f>'Final data_for_R_analysis_Dryse'!K510</f>
        <v>G766</v>
      </c>
      <c r="I364" t="str">
        <f>'Final data_for_R_analysis_Dryse'!K730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56"/>
        <v>1.7911999999999999</v>
      </c>
      <c r="M364" s="237">
        <f>AVERAGE(Ashed_controlls!$K$1:$K$11)</f>
        <v>5.5147656768714146</v>
      </c>
      <c r="N364" s="194">
        <f t="shared" si="52"/>
        <v>1.6924195171958791</v>
      </c>
      <c r="O364" s="194">
        <f t="shared" si="57"/>
        <v>1.9912000000000001</v>
      </c>
      <c r="P364" s="237">
        <f>AVERAGE(Ashed_controlls!$K$12:$K$14)</f>
        <v>2.2816647271287041</v>
      </c>
      <c r="Q364" s="194">
        <f t="shared" si="53"/>
        <v>1.9457674919534134</v>
      </c>
      <c r="R364" s="383">
        <f>IF('Dry_Litterbag Placem_Collection'!G71="","",'Dry_Litterbag Placem_Collection'!G71)</f>
        <v>43006</v>
      </c>
      <c r="S364" s="194">
        <f>IFERROR(INDEX('Both teabags AfterDry'!$D$3:$D$2000,MATCH(H364,'Both teabags AfterDry'!$A$3:$A$2000,0)),"")</f>
        <v>1.8654999999999999</v>
      </c>
      <c r="T364" s="194">
        <f>IFERROR(INDEX('Both teabags AfterDry'!$D$3:$D$2000,MATCH(I364,'Both teabags AfterDry'!$A$3:$A$2000,0)),"")</f>
        <v>1.9946999999999999</v>
      </c>
      <c r="U364" s="194">
        <f t="shared" si="58"/>
        <v>1.7148999999999999</v>
      </c>
      <c r="V364" s="194">
        <f t="shared" si="59"/>
        <v>1.8440999999999999</v>
      </c>
      <c r="W364" s="194">
        <f>IFERROR(INDEX('Ashed teabags dry'!$K$2:$K$2000,MATCH(H364,'Ashed teabags dry'!$A$2:$A$2000,0)),"")</f>
        <v>6.0009837678305544</v>
      </c>
      <c r="X364" s="194">
        <f>IFERROR(INDEX('Ashed teabags dry'!$K$2:$K$2000,MATCH(I364,'Ashed teabags dry'!$A$2:$A$2000,0)),"")</f>
        <v>2.7638190954781701</v>
      </c>
      <c r="Y364" s="194">
        <f t="shared" si="54"/>
        <v>1.6119891293654738</v>
      </c>
      <c r="Z364" s="194">
        <f t="shared" si="54"/>
        <v>1.793132412060287</v>
      </c>
      <c r="AA364" s="194">
        <f t="shared" si="60"/>
        <v>4.7523907053298564E-2</v>
      </c>
      <c r="AB364" s="194">
        <f t="shared" si="61"/>
        <v>3.1155815550380991E-2</v>
      </c>
      <c r="AC364" s="194">
        <f t="shared" si="55"/>
        <v>0.92155533457911176</v>
      </c>
      <c r="AD364">
        <f t="shared" si="62"/>
        <v>69</v>
      </c>
      <c r="AE364" s="194">
        <f t="shared" si="63"/>
        <v>0.94355830516235328</v>
      </c>
      <c r="AF364" s="194" t="str">
        <f t="shared" si="64"/>
        <v/>
      </c>
      <c r="AG364" s="252" t="str">
        <f>IF(ISNUMBER(SEARCH("C", 'Dry_Litterbag Placem_Collection'!$V71)),"YES","NO")</f>
        <v>NO</v>
      </c>
      <c r="AH364" s="252" t="str">
        <f>IF(ISNUMBER(SEARCH("H", 'Dry_Litterbag Placem_Collection'!$V71)),"YES","NO")</f>
        <v>NO</v>
      </c>
      <c r="AI364" s="252" t="str">
        <f>IF(ISNUMBER(SEARCH("R", 'Dry_Litterbag Placem_Collection'!$V71)),"YES","NO")</f>
        <v>NO</v>
      </c>
      <c r="AJ364" s="252" t="str">
        <f>IF(ISNUMBER(SEARCH("C", 'Dry_Litterbag Placem_Collection'!$U71)),"YES","NO")</f>
        <v>NO</v>
      </c>
      <c r="AK364" s="252" t="str">
        <f>IF(ISNUMBER(SEARCH("H", 'Dry_Litterbag Placem_Collection'!$U71)),"YES","NO")</f>
        <v>NO</v>
      </c>
      <c r="AL364" s="252" t="str">
        <f>IF(ISNUMBER(SEARCH("R", 'Dry_Litterbag Placem_Collection'!$U71)),"YES","NO")</f>
        <v>NO</v>
      </c>
    </row>
    <row r="365" spans="2:38">
      <c r="B365" t="str">
        <f>'Final data_for_R_analysis_Dryse'!A511</f>
        <v>Dry</v>
      </c>
      <c r="C365" s="260">
        <f>'Final data_for_R_analysis_Dryse'!B511</f>
        <v>70</v>
      </c>
      <c r="D365" t="s">
        <v>3810</v>
      </c>
      <c r="E365" t="s">
        <v>25</v>
      </c>
      <c r="F365" s="382">
        <v>6</v>
      </c>
      <c r="G365" s="383">
        <f>IF('Dry_Litterbag Placem_Collection'!E72="","",'Dry_Litterbag Placem_Collection'!E72)</f>
        <v>42937</v>
      </c>
      <c r="H365" s="92" t="str">
        <f>'Final data_for_R_analysis_Dryse'!K511</f>
        <v>G430</v>
      </c>
      <c r="I365" t="str">
        <f>'Final data_for_R_analysis_Dryse'!K731</f>
        <v>R261</v>
      </c>
      <c r="J365">
        <f>IFERROR(INDEX('Green_rooibos initial weight'!$C$5:$C$2000,MATCH(H365, 'Green_rooibos initial weight'!$A$5:$A$2000,0)),"")</f>
        <v>2.09</v>
      </c>
      <c r="K365">
        <f>IFERROR(INDEX('Green_rooibos initial weight'!$C$5:$C$2000,MATCH(I365, 'Green_rooibos initial weight'!$A$5:$A$2000,0)),"")</f>
        <v>2.2080000000000002</v>
      </c>
      <c r="L365" s="194">
        <f t="shared" si="56"/>
        <v>1.8401999999999998</v>
      </c>
      <c r="M365" s="237">
        <f>AVERAGE(Ashed_controlls!$K$1:$K$11)</f>
        <v>5.5147656768714146</v>
      </c>
      <c r="N365" s="194">
        <f t="shared" si="52"/>
        <v>1.7387172820142121</v>
      </c>
      <c r="O365" s="194">
        <f t="shared" si="57"/>
        <v>1.9582000000000002</v>
      </c>
      <c r="P365" s="237">
        <f>AVERAGE(Ashed_controlls!$K$12:$K$14)</f>
        <v>2.2816647271287041</v>
      </c>
      <c r="Q365" s="194">
        <f t="shared" si="53"/>
        <v>1.913520441313366</v>
      </c>
      <c r="R365" s="383">
        <f>IF('Dry_Litterbag Placem_Collection'!G72="","",'Dry_Litterbag Placem_Collection'!G72)</f>
        <v>43006</v>
      </c>
      <c r="S365" s="194">
        <f>IFERROR(INDEX('Both teabags AfterDry'!$D$3:$D$2000,MATCH(H365,'Both teabags AfterDry'!$A$3:$A$2000,0)),"")</f>
        <v>1.8875999999999999</v>
      </c>
      <c r="T365" s="194">
        <f>IFERROR(INDEX('Both teabags AfterDry'!$D$3:$D$2000,MATCH(I365,'Both teabags AfterDry'!$A$3:$A$2000,0)),"")</f>
        <v>1.9642999999999999</v>
      </c>
      <c r="U365" s="194">
        <f t="shared" si="58"/>
        <v>1.7369999999999999</v>
      </c>
      <c r="V365" s="194">
        <f t="shared" si="59"/>
        <v>1.8136999999999999</v>
      </c>
      <c r="W365" s="194">
        <f>IFERROR(INDEX('Ashed teabags dry'!$K$2:$K$2000,MATCH(H365,'Ashed teabags dry'!$A$2:$A$2000,0)),"")</f>
        <v>5.6997022543597504</v>
      </c>
      <c r="X365" s="194">
        <f>IFERROR(INDEX('Ashed teabags dry'!$K$2:$K$2000,MATCH(I365,'Ashed teabags dry'!$A$2:$A$2000,0)),"")</f>
        <v>3.9428289797936209</v>
      </c>
      <c r="Y365" s="194">
        <f t="shared" si="54"/>
        <v>1.637996171841771</v>
      </c>
      <c r="Z365" s="194">
        <f t="shared" si="54"/>
        <v>1.7421889107934829</v>
      </c>
      <c r="AA365" s="194">
        <f t="shared" si="60"/>
        <v>5.7928399984476409E-2</v>
      </c>
      <c r="AB365" s="194">
        <f t="shared" si="61"/>
        <v>3.7976813291485695E-2</v>
      </c>
      <c r="AC365" s="194">
        <f t="shared" si="55"/>
        <v>0.91046265991165076</v>
      </c>
      <c r="AD365">
        <f t="shared" si="62"/>
        <v>69</v>
      </c>
      <c r="AE365" s="194">
        <f t="shared" si="63"/>
        <v>0.93120142519658389</v>
      </c>
      <c r="AF365" s="194" t="str">
        <f t="shared" si="64"/>
        <v/>
      </c>
      <c r="AG365" s="252" t="str">
        <f>IF(ISNUMBER(SEARCH("C", 'Dry_Litterbag Placem_Collection'!$V72)),"YES","NO")</f>
        <v>NO</v>
      </c>
      <c r="AH365" s="252" t="str">
        <f>IF(ISNUMBER(SEARCH("H", 'Dry_Litterbag Placem_Collection'!$V72)),"YES","NO")</f>
        <v>NO</v>
      </c>
      <c r="AI365" s="252" t="str">
        <f>IF(ISNUMBER(SEARCH("R", 'Dry_Litterbag Placem_Collection'!$V72)),"YES","NO")</f>
        <v>NO</v>
      </c>
      <c r="AJ365" s="252" t="str">
        <f>IF(ISNUMBER(SEARCH("C", 'Dry_Litterbag Placem_Collection'!$U72)),"YES","NO")</f>
        <v>NO</v>
      </c>
      <c r="AK365" s="252" t="str">
        <f>IF(ISNUMBER(SEARCH("H", 'Dry_Litterbag Placem_Collection'!$U72)),"YES","NO")</f>
        <v>NO</v>
      </c>
      <c r="AL365" s="252" t="str">
        <f>IF(ISNUMBER(SEARCH("R", 'Dry_Litterbag Placem_Collection'!$U72)),"YES","NO")</f>
        <v>NO</v>
      </c>
    </row>
    <row r="366" spans="2:38">
      <c r="B366" t="str">
        <f>'Final data_for_R_analysis_Dryse'!A512</f>
        <v>Dry</v>
      </c>
      <c r="C366" s="260">
        <f>'Final data_for_R_analysis_Dryse'!B512</f>
        <v>71</v>
      </c>
      <c r="D366" t="s">
        <v>3810</v>
      </c>
      <c r="E366" t="s">
        <v>25</v>
      </c>
      <c r="F366" s="382">
        <v>7</v>
      </c>
      <c r="G366" s="383">
        <f>IF('Dry_Litterbag Placem_Collection'!E73="","",'Dry_Litterbag Placem_Collection'!E73)</f>
        <v>42937</v>
      </c>
      <c r="H366" s="92" t="str">
        <f>'Final data_for_R_analysis_Dryse'!K512</f>
        <v>G174</v>
      </c>
      <c r="I366" t="str">
        <f>'Final data_for_R_analysis_Dryse'!K732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56"/>
        <v>1.8151999999999999</v>
      </c>
      <c r="M366" s="237">
        <f>AVERAGE(Ashed_controlls!$K$1:$K$11)</f>
        <v>5.5147656768714146</v>
      </c>
      <c r="N366" s="194">
        <f t="shared" si="52"/>
        <v>1.7150959734334301</v>
      </c>
      <c r="O366" s="194">
        <f t="shared" si="57"/>
        <v>2.0341999999999998</v>
      </c>
      <c r="P366" s="237">
        <f>AVERAGE(Ashed_controlls!$K$12:$K$14)</f>
        <v>2.2816647271287041</v>
      </c>
      <c r="Q366" s="194">
        <f t="shared" si="53"/>
        <v>1.9877863761207477</v>
      </c>
      <c r="R366" s="383">
        <f>IF('Dry_Litterbag Placem_Collection'!G73="","",'Dry_Litterbag Placem_Collection'!G73)</f>
        <v>43006</v>
      </c>
      <c r="S366" s="194">
        <f>IFERROR(INDEX('Both teabags AfterDry'!$D$3:$D$2000,MATCH(H366,'Both teabags AfterDry'!$A$3:$A$2000,0)),"")</f>
        <v>1.8838999999999999</v>
      </c>
      <c r="T366" s="194">
        <f>IFERROR(INDEX('Both teabags AfterDry'!$D$3:$D$2000,MATCH(I366,'Both teabags AfterDry'!$A$3:$A$2000,0)),"")</f>
        <v>2.0466000000000002</v>
      </c>
      <c r="U366" s="194">
        <f t="shared" si="58"/>
        <v>1.7332999999999998</v>
      </c>
      <c r="V366" s="194">
        <f t="shared" si="59"/>
        <v>1.8960000000000001</v>
      </c>
      <c r="W366" s="194">
        <f>IFERROR(INDEX('Ashed teabags dry'!$K$2:$K$2000,MATCH(H366,'Ashed teabags dry'!$A$2:$A$2000,0)),"")</f>
        <v>5.4401582591501034</v>
      </c>
      <c r="X366" s="194">
        <f>IFERROR(INDEX('Ashed teabags dry'!$K$2:$K$2000,MATCH(I366,'Ashed teabags dry'!$A$2:$A$2000,0)),"")</f>
        <v>3.3625730994153482</v>
      </c>
      <c r="Y366" s="194">
        <f t="shared" si="54"/>
        <v>1.6390057368941511</v>
      </c>
      <c r="Z366" s="194">
        <f t="shared" si="54"/>
        <v>1.8322456140350851</v>
      </c>
      <c r="AA366" s="194">
        <f t="shared" si="60"/>
        <v>4.4365002144430954E-2</v>
      </c>
      <c r="AB366" s="194">
        <f t="shared" si="61"/>
        <v>2.9084894517489183E-2</v>
      </c>
      <c r="AC366" s="194">
        <f t="shared" si="55"/>
        <v>0.92175177174259182</v>
      </c>
      <c r="AD366">
        <f t="shared" si="62"/>
        <v>69</v>
      </c>
      <c r="AE366" s="194">
        <f t="shared" si="63"/>
        <v>0.94730997370020076</v>
      </c>
      <c r="AF366" s="194" t="str">
        <f t="shared" si="64"/>
        <v/>
      </c>
      <c r="AG366" s="252" t="str">
        <f>IF(ISNUMBER(SEARCH("C", 'Dry_Litterbag Placem_Collection'!$V73)),"YES","NO")</f>
        <v>NO</v>
      </c>
      <c r="AH366" s="252" t="str">
        <f>IF(ISNUMBER(SEARCH("H", 'Dry_Litterbag Placem_Collection'!$V73)),"YES","NO")</f>
        <v>NO</v>
      </c>
      <c r="AI366" s="252" t="str">
        <f>IF(ISNUMBER(SEARCH("R", 'Dry_Litterbag Placem_Collection'!$V73)),"YES","NO")</f>
        <v>NO</v>
      </c>
      <c r="AJ366" s="252" t="str">
        <f>IF(ISNUMBER(SEARCH("C", 'Dry_Litterbag Placem_Collection'!$U73)),"YES","NO")</f>
        <v>NO</v>
      </c>
      <c r="AK366" s="252" t="str">
        <f>IF(ISNUMBER(SEARCH("H", 'Dry_Litterbag Placem_Collection'!$U73)),"YES","NO")</f>
        <v>NO</v>
      </c>
      <c r="AL366" s="252" t="str">
        <f>IF(ISNUMBER(SEARCH("R", 'Dry_Litterbag Placem_Collection'!$U73)),"YES","NO")</f>
        <v>NO</v>
      </c>
    </row>
    <row r="367" spans="2:38">
      <c r="B367" t="str">
        <f>'Final data_for_R_analysis_Dryse'!A513</f>
        <v>Dry</v>
      </c>
      <c r="C367" s="260">
        <f>'Final data_for_R_analysis_Dryse'!B513</f>
        <v>72</v>
      </c>
      <c r="D367" t="s">
        <v>3810</v>
      </c>
      <c r="E367" t="s">
        <v>25</v>
      </c>
      <c r="F367" s="382">
        <v>8</v>
      </c>
      <c r="G367" s="383">
        <f>IF('Dry_Litterbag Placem_Collection'!E74="","",'Dry_Litterbag Placem_Collection'!E74)</f>
        <v>42937</v>
      </c>
      <c r="H367" s="92" t="str">
        <f>'Final data_for_R_analysis_Dryse'!K513</f>
        <v>G714</v>
      </c>
      <c r="I367" t="str">
        <f>'Final data_for_R_analysis_Dryse'!K733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56"/>
        <v>1.7961999999999998</v>
      </c>
      <c r="M367" s="237">
        <f>AVERAGE(Ashed_controlls!$K$1:$K$11)</f>
        <v>5.5147656768714146</v>
      </c>
      <c r="N367" s="194">
        <f t="shared" si="52"/>
        <v>1.6971437789120354</v>
      </c>
      <c r="O367" s="194">
        <f t="shared" si="57"/>
        <v>1.9291999999999998</v>
      </c>
      <c r="P367" s="237">
        <f>AVERAGE(Ashed_controlls!$K$12:$K$14)</f>
        <v>2.2816647271287041</v>
      </c>
      <c r="Q367" s="194">
        <f t="shared" si="53"/>
        <v>1.8851821240842328</v>
      </c>
      <c r="R367" s="383">
        <f>IF('Dry_Litterbag Placem_Collection'!G74="","",'Dry_Litterbag Placem_Collection'!G74)</f>
        <v>43006</v>
      </c>
      <c r="S367" s="194">
        <f>IFERROR(INDEX('Both teabags AfterDry'!$D$3:$D$2000,MATCH(H367,'Both teabags AfterDry'!$A$3:$A$2000,0)),"")</f>
        <v>1.8528</v>
      </c>
      <c r="T367" s="194">
        <f>IFERROR(INDEX('Both teabags AfterDry'!$D$3:$D$2000,MATCH(I367,'Both teabags AfterDry'!$A$3:$A$2000,0)),"")</f>
        <v>1.9675</v>
      </c>
      <c r="U367" s="194">
        <f t="shared" si="58"/>
        <v>1.7021999999999999</v>
      </c>
      <c r="V367" s="194">
        <f t="shared" si="59"/>
        <v>1.8169</v>
      </c>
      <c r="W367" s="194">
        <f>IFERROR(INDEX('Ashed teabags dry'!$K$2:$K$2000,MATCH(H367,'Ashed teabags dry'!$A$2:$A$2000,0)),"")</f>
        <v>5.4821341164956561</v>
      </c>
      <c r="X367" s="194">
        <f>IFERROR(INDEX('Ashed teabags dry'!$K$2:$K$2000,MATCH(I367,'Ashed teabags dry'!$A$2:$A$2000,0)),"")</f>
        <v>1.8121125417263937</v>
      </c>
      <c r="Y367" s="194">
        <f t="shared" si="54"/>
        <v>1.6088831130690109</v>
      </c>
      <c r="Z367" s="194">
        <f t="shared" si="54"/>
        <v>1.783975727229373</v>
      </c>
      <c r="AA367" s="194">
        <f t="shared" si="60"/>
        <v>5.2005414591098753E-2</v>
      </c>
      <c r="AB367" s="194">
        <f t="shared" si="61"/>
        <v>3.4093810990839114E-2</v>
      </c>
      <c r="AC367" s="194">
        <f t="shared" si="55"/>
        <v>0.9463147907239875</v>
      </c>
      <c r="AD367">
        <f t="shared" si="62"/>
        <v>69</v>
      </c>
      <c r="AE367" s="194">
        <f t="shared" si="63"/>
        <v>0.93823584965427698</v>
      </c>
      <c r="AF367" s="194" t="str">
        <f t="shared" si="64"/>
        <v/>
      </c>
      <c r="AG367" s="252" t="str">
        <f>IF(ISNUMBER(SEARCH("C", 'Dry_Litterbag Placem_Collection'!$V74)),"YES","NO")</f>
        <v>NO</v>
      </c>
      <c r="AH367" s="252" t="str">
        <f>IF(ISNUMBER(SEARCH("H", 'Dry_Litterbag Placem_Collection'!$V74)),"YES","NO")</f>
        <v>NO</v>
      </c>
      <c r="AI367" s="252" t="str">
        <f>IF(ISNUMBER(SEARCH("R", 'Dry_Litterbag Placem_Collection'!$V74)),"YES","NO")</f>
        <v>NO</v>
      </c>
      <c r="AJ367" s="252" t="str">
        <f>IF(ISNUMBER(SEARCH("C", 'Dry_Litterbag Placem_Collection'!$U74)),"YES","NO")</f>
        <v>NO</v>
      </c>
      <c r="AK367" s="252" t="str">
        <f>IF(ISNUMBER(SEARCH("H", 'Dry_Litterbag Placem_Collection'!$U74)),"YES","NO")</f>
        <v>NO</v>
      </c>
      <c r="AL367" s="252" t="str">
        <f>IF(ISNUMBER(SEARCH("R", 'Dry_Litterbag Placem_Collection'!$U74)),"YES","NO")</f>
        <v>NO</v>
      </c>
    </row>
    <row r="368" spans="2:38">
      <c r="B368" t="str">
        <f>'Final data_for_R_analysis_Dryse'!A514</f>
        <v>Dry</v>
      </c>
      <c r="C368" s="260">
        <f>'Final data_for_R_analysis_Dryse'!B514</f>
        <v>73</v>
      </c>
      <c r="D368" t="s">
        <v>3812</v>
      </c>
      <c r="E368" t="s">
        <v>25</v>
      </c>
      <c r="F368" s="381">
        <v>1</v>
      </c>
      <c r="G368" s="383">
        <f>IF('Dry_Litterbag Placem_Collection'!E75="","",'Dry_Litterbag Placem_Collection'!E75)</f>
        <v>42937</v>
      </c>
      <c r="H368" s="92" t="str">
        <f>'Final data_for_R_analysis_Dryse'!K514</f>
        <v>G726</v>
      </c>
      <c r="I368" t="str">
        <f>'Final data_for_R_analysis_Dryse'!K734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56"/>
        <v>1.7452000000000001</v>
      </c>
      <c r="M368" s="237">
        <f>AVERAGE(Ashed_controlls!$K$1:$K$11)</f>
        <v>5.5147656768714146</v>
      </c>
      <c r="N368" s="194">
        <f t="shared" si="52"/>
        <v>1.6489563094072401</v>
      </c>
      <c r="O368" s="194">
        <f t="shared" si="57"/>
        <v>1.9382000000000001</v>
      </c>
      <c r="P368" s="237">
        <f>AVERAGE(Ashed_controlls!$K$12:$K$14)</f>
        <v>2.2816647271287041</v>
      </c>
      <c r="Q368" s="194">
        <f t="shared" si="53"/>
        <v>1.8939767742587916</v>
      </c>
      <c r="R368" s="383">
        <f>IF('Dry_Litterbag Placem_Collection'!G75="","",'Dry_Litterbag Placem_Collection'!G75)</f>
        <v>43006</v>
      </c>
      <c r="S368" s="194" t="str">
        <f>IFERROR(INDEX('Both teabags AfterDry'!$D$3:$D$2000,MATCH(H368,'Both teabags AfterDry'!$A$3:$A$2000,0)),"")</f>
        <v/>
      </c>
      <c r="T368" s="194" t="str">
        <f>IFERROR(INDEX('Both teabags AfterDry'!$D$3:$D$2000,MATCH(I368,'Both teabags AfterDry'!$A$3:$A$2000,0)),"")</f>
        <v/>
      </c>
      <c r="U368" s="194" t="str">
        <f t="shared" si="58"/>
        <v/>
      </c>
      <c r="V368" s="194" t="str">
        <f t="shared" si="59"/>
        <v/>
      </c>
      <c r="W368" s="194" t="str">
        <f>IFERROR(INDEX('Ashed teabags dry'!$K$2:$K$2000,MATCH(H368,'Ashed teabags dry'!$A$2:$A$2000,0)),"")</f>
        <v/>
      </c>
      <c r="X368" s="194" t="str">
        <f>IFERROR(INDEX('Ashed teabags dry'!$K$2:$K$2000,MATCH(I368,'Ashed teabags dry'!$A$2:$A$2000,0)),"")</f>
        <v/>
      </c>
      <c r="Y368" s="194" t="str">
        <f t="shared" si="54"/>
        <v/>
      </c>
      <c r="Z368" s="194" t="str">
        <f t="shared" si="54"/>
        <v/>
      </c>
      <c r="AA368" s="194" t="str">
        <f t="shared" si="60"/>
        <v/>
      </c>
      <c r="AB368" s="194" t="str">
        <f t="shared" si="61"/>
        <v/>
      </c>
      <c r="AC368" s="194" t="str">
        <f t="shared" si="55"/>
        <v/>
      </c>
      <c r="AD368">
        <f t="shared" si="62"/>
        <v>69</v>
      </c>
      <c r="AE368" s="194" t="str">
        <f t="shared" si="63"/>
        <v/>
      </c>
      <c r="AF368" s="194" t="str">
        <f t="shared" si="64"/>
        <v/>
      </c>
      <c r="AG368" s="252" t="str">
        <f>IF(ISNUMBER(SEARCH("C", 'Dry_Litterbag Placem_Collection'!$V75)),"YES","NO")</f>
        <v>NO</v>
      </c>
      <c r="AH368" s="252" t="str">
        <f>IF(ISNUMBER(SEARCH("H", 'Dry_Litterbag Placem_Collection'!$V75)),"YES","NO")</f>
        <v>NO</v>
      </c>
      <c r="AI368" s="252" t="str">
        <f>IF(ISNUMBER(SEARCH("R", 'Dry_Litterbag Placem_Collection'!$V75)),"YES","NO")</f>
        <v>NO</v>
      </c>
      <c r="AJ368" s="252" t="str">
        <f>IF(ISNUMBER(SEARCH("C", 'Dry_Litterbag Placem_Collection'!$U75)),"YES","NO")</f>
        <v>NO</v>
      </c>
      <c r="AK368" s="252" t="str">
        <f>IF(ISNUMBER(SEARCH("H", 'Dry_Litterbag Placem_Collection'!$U75)),"YES","NO")</f>
        <v>NO</v>
      </c>
      <c r="AL368" s="252" t="str">
        <f>IF(ISNUMBER(SEARCH("R", 'Dry_Litterbag Placem_Collection'!$U75)),"YES","NO")</f>
        <v>NO</v>
      </c>
    </row>
    <row r="369" spans="2:38">
      <c r="B369" t="str">
        <f>'Final data_for_R_analysis_Dryse'!A515</f>
        <v>Dry</v>
      </c>
      <c r="C369" s="260">
        <f>'Final data_for_R_analysis_Dryse'!B515</f>
        <v>74</v>
      </c>
      <c r="D369" t="s">
        <v>3812</v>
      </c>
      <c r="E369" t="s">
        <v>25</v>
      </c>
      <c r="F369" s="381">
        <v>2</v>
      </c>
      <c r="G369" s="383">
        <f>IF('Dry_Litterbag Placem_Collection'!E76="","",'Dry_Litterbag Placem_Collection'!E76)</f>
        <v>42937</v>
      </c>
      <c r="H369" s="92" t="str">
        <f>'Final data_for_R_analysis_Dryse'!K515</f>
        <v>G866</v>
      </c>
      <c r="I369" t="str">
        <f>'Final data_for_R_analysis_Dryse'!K735</f>
        <v>R275</v>
      </c>
      <c r="J369">
        <f>IFERROR(INDEX('Green_rooibos initial weight'!$C$5:$C$2000,MATCH(H369, 'Green_rooibos initial weight'!$A$5:$A$2000,0)),"")</f>
        <v>2.0310000000000001</v>
      </c>
      <c r="K369">
        <f>IFERROR(INDEX('Green_rooibos initial weight'!$C$5:$C$2000,MATCH(I369, 'Green_rooibos initial weight'!$A$5:$A$2000,0)),"")</f>
        <v>0.22900000000000001</v>
      </c>
      <c r="L369" s="194">
        <f t="shared" si="56"/>
        <v>1.7812000000000001</v>
      </c>
      <c r="M369" s="237">
        <f>AVERAGE(Ashed_controlls!$K$1:$K$11)</f>
        <v>5.5147656768714146</v>
      </c>
      <c r="N369" s="194">
        <f t="shared" si="52"/>
        <v>1.6829709937635664</v>
      </c>
      <c r="O369" s="194">
        <f t="shared" si="57"/>
        <v>-2.0800000000000013E-2</v>
      </c>
      <c r="P369" s="237">
        <f>AVERAGE(Ashed_controlls!$K$12:$K$14)</f>
        <v>2.2816647271287041</v>
      </c>
      <c r="Q369" s="194">
        <f t="shared" si="53"/>
        <v>-2.0325413736757243E-2</v>
      </c>
      <c r="R369" s="383">
        <f>IF('Dry_Litterbag Placem_Collection'!G76="","",'Dry_Litterbag Placem_Collection'!G76)</f>
        <v>43006</v>
      </c>
      <c r="S369" s="194">
        <f>IFERROR(INDEX('Both teabags AfterDry'!$D$3:$D$2000,MATCH(H369,'Both teabags AfterDry'!$A$3:$A$2000,0)),"")</f>
        <v>1.8541000000000001</v>
      </c>
      <c r="T369" s="194">
        <f>IFERROR(INDEX('Both teabags AfterDry'!$D$3:$D$2000,MATCH(I369,'Both teabags AfterDry'!$A$3:$A$2000,0)),"")</f>
        <v>1.9981</v>
      </c>
      <c r="U369" s="194">
        <f t="shared" si="58"/>
        <v>1.7035</v>
      </c>
      <c r="V369" s="194">
        <f t="shared" si="59"/>
        <v>1.8474999999999999</v>
      </c>
      <c r="W369" s="194">
        <f>IFERROR(INDEX('Ashed teabags dry'!$K$2:$K$2000,MATCH(H369,'Ashed teabags dry'!$A$2:$A$2000,0)),"")</f>
        <v>5.5854973052423755</v>
      </c>
      <c r="X369" s="194">
        <f>IFERROR(INDEX('Ashed teabags dry'!$K$2:$K$2000,MATCH(I369,'Ashed teabags dry'!$A$2:$A$2000,0)),"")</f>
        <v>2.3587223587229587</v>
      </c>
      <c r="Y369" s="194">
        <f t="shared" si="54"/>
        <v>1.6083510534051961</v>
      </c>
      <c r="Z369" s="194">
        <f t="shared" si="54"/>
        <v>1.8039226044225933</v>
      </c>
      <c r="AA369" s="194">
        <f t="shared" si="60"/>
        <v>4.4338221297266944E-2</v>
      </c>
      <c r="AB369" s="194">
        <f t="shared" si="61"/>
        <v>2.9067337477543188E-2</v>
      </c>
      <c r="AC369" s="194">
        <f t="shared" si="55"/>
        <v>-88.752073034573058</v>
      </c>
      <c r="AD369">
        <f t="shared" si="62"/>
        <v>69</v>
      </c>
      <c r="AE369" s="194">
        <f t="shared" si="63"/>
        <v>0.94734177993198698</v>
      </c>
      <c r="AF369" s="194" t="str">
        <f t="shared" si="64"/>
        <v/>
      </c>
      <c r="AG369" s="252" t="str">
        <f>IF(ISNUMBER(SEARCH("C", 'Dry_Litterbag Placem_Collection'!$V76)),"YES","NO")</f>
        <v>NO</v>
      </c>
      <c r="AH369" s="252" t="str">
        <f>IF(ISNUMBER(SEARCH("H", 'Dry_Litterbag Placem_Collection'!$V76)),"YES","NO")</f>
        <v>NO</v>
      </c>
      <c r="AI369" s="252" t="str">
        <f>IF(ISNUMBER(SEARCH("R", 'Dry_Litterbag Placem_Collection'!$V76)),"YES","NO")</f>
        <v>NO</v>
      </c>
      <c r="AJ369" s="252" t="str">
        <f>IF(ISNUMBER(SEARCH("C", 'Dry_Litterbag Placem_Collection'!$U76)),"YES","NO")</f>
        <v>NO</v>
      </c>
      <c r="AK369" s="252" t="str">
        <f>IF(ISNUMBER(SEARCH("H", 'Dry_Litterbag Placem_Collection'!$U76)),"YES","NO")</f>
        <v>NO</v>
      </c>
      <c r="AL369" s="252" t="str">
        <f>IF(ISNUMBER(SEARCH("R", 'Dry_Litterbag Placem_Collection'!$U76)),"YES","NO")</f>
        <v>NO</v>
      </c>
    </row>
    <row r="370" spans="2:38">
      <c r="B370" t="str">
        <f>'Final data_for_R_analysis_Dryse'!A516</f>
        <v>Dry</v>
      </c>
      <c r="C370" s="260">
        <f>'Final data_for_R_analysis_Dryse'!B516</f>
        <v>75</v>
      </c>
      <c r="D370" t="s">
        <v>3812</v>
      </c>
      <c r="E370" t="s">
        <v>25</v>
      </c>
      <c r="F370" s="381">
        <v>3</v>
      </c>
      <c r="G370" s="383">
        <f>IF('Dry_Litterbag Placem_Collection'!E77="","",'Dry_Litterbag Placem_Collection'!E77)</f>
        <v>42937</v>
      </c>
      <c r="H370" s="92" t="str">
        <f>'Final data_for_R_analysis_Dryse'!K516</f>
        <v>G705</v>
      </c>
      <c r="I370" t="str">
        <f>'Final data_for_R_analysis_Dryse'!K736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56"/>
        <v>1.7332000000000001</v>
      </c>
      <c r="M370" s="237">
        <f>AVERAGE(Ashed_controlls!$K$1:$K$11)</f>
        <v>5.5147656768714146</v>
      </c>
      <c r="N370" s="194">
        <f t="shared" si="52"/>
        <v>1.6376180812884646</v>
      </c>
      <c r="O370" s="194">
        <f t="shared" si="57"/>
        <v>2.0011999999999999</v>
      </c>
      <c r="P370" s="237">
        <f>AVERAGE(Ashed_controlls!$K$12:$K$14)</f>
        <v>2.2816647271287041</v>
      </c>
      <c r="Q370" s="194">
        <f t="shared" si="53"/>
        <v>1.9555393254807003</v>
      </c>
      <c r="R370" s="383">
        <f>IF('Dry_Litterbag Placem_Collection'!G77="","",'Dry_Litterbag Placem_Collection'!G77)</f>
        <v>43006</v>
      </c>
      <c r="S370" s="194">
        <f>IFERROR(INDEX('Both teabags AfterDry'!$D$3:$D$2000,MATCH(H370,'Both teabags AfterDry'!$A$3:$A$2000,0)),"")</f>
        <v>1.8152999999999999</v>
      </c>
      <c r="T370" s="194">
        <f>IFERROR(INDEX('Both teabags AfterDry'!$D$3:$D$2000,MATCH(I370,'Both teabags AfterDry'!$A$3:$A$2000,0)),"")</f>
        <v>2.0581999999999998</v>
      </c>
      <c r="U370" s="194">
        <f t="shared" si="58"/>
        <v>1.6646999999999998</v>
      </c>
      <c r="V370" s="194">
        <f t="shared" si="59"/>
        <v>1.9075999999999997</v>
      </c>
      <c r="W370" s="194">
        <f>IFERROR(INDEX('Ashed teabags dry'!$K$2:$K$2000,MATCH(H370,'Ashed teabags dry'!$A$2:$A$2000,0)),"")</f>
        <v>5.8558558558565581</v>
      </c>
      <c r="X370" s="194">
        <f>IFERROR(INDEX('Ashed teabags dry'!$K$2:$K$2000,MATCH(I370,'Ashed teabags dry'!$A$2:$A$2000,0)),"")</f>
        <v>2.5461807289067337</v>
      </c>
      <c r="Y370" s="194">
        <f t="shared" si="54"/>
        <v>1.5672175675675557</v>
      </c>
      <c r="Z370" s="194">
        <f t="shared" si="54"/>
        <v>1.8590290564153749</v>
      </c>
      <c r="AA370" s="194">
        <f t="shared" si="60"/>
        <v>4.2989580125738724E-2</v>
      </c>
      <c r="AB370" s="194">
        <f t="shared" si="61"/>
        <v>2.8183192671505663E-2</v>
      </c>
      <c r="AC370" s="194">
        <f t="shared" si="55"/>
        <v>0.95064774826678478</v>
      </c>
      <c r="AD370">
        <f t="shared" si="62"/>
        <v>69</v>
      </c>
      <c r="AE370" s="194">
        <f t="shared" si="63"/>
        <v>0.94894349153712743</v>
      </c>
      <c r="AF370" s="194" t="str">
        <f t="shared" si="64"/>
        <v/>
      </c>
      <c r="AG370" s="252" t="str">
        <f>IF(ISNUMBER(SEARCH("C", 'Dry_Litterbag Placem_Collection'!$V77)),"YES","NO")</f>
        <v>NO</v>
      </c>
      <c r="AH370" s="252" t="str">
        <f>IF(ISNUMBER(SEARCH("H", 'Dry_Litterbag Placem_Collection'!$V77)),"YES","NO")</f>
        <v>NO</v>
      </c>
      <c r="AI370" s="252" t="str">
        <f>IF(ISNUMBER(SEARCH("R", 'Dry_Litterbag Placem_Collection'!$V77)),"YES","NO")</f>
        <v>NO</v>
      </c>
      <c r="AJ370" s="252" t="str">
        <f>IF(ISNUMBER(SEARCH("C", 'Dry_Litterbag Placem_Collection'!$U77)),"YES","NO")</f>
        <v>NO</v>
      </c>
      <c r="AK370" s="252" t="str">
        <f>IF(ISNUMBER(SEARCH("H", 'Dry_Litterbag Placem_Collection'!$U77)),"YES","NO")</f>
        <v>NO</v>
      </c>
      <c r="AL370" s="252" t="str">
        <f>IF(ISNUMBER(SEARCH("R", 'Dry_Litterbag Placem_Collection'!$U77)),"YES","NO")</f>
        <v>NO</v>
      </c>
    </row>
    <row r="371" spans="2:38">
      <c r="B371" t="str">
        <f>'Final data_for_R_analysis_Dryse'!A517</f>
        <v>Dry</v>
      </c>
      <c r="C371" s="260">
        <f>'Final data_for_R_analysis_Dryse'!B517</f>
        <v>76</v>
      </c>
      <c r="D371" t="s">
        <v>3812</v>
      </c>
      <c r="E371" t="s">
        <v>25</v>
      </c>
      <c r="F371" s="382">
        <v>4</v>
      </c>
      <c r="G371" s="383">
        <f>IF('Dry_Litterbag Placem_Collection'!E78="","",'Dry_Litterbag Placem_Collection'!E78)</f>
        <v>42937</v>
      </c>
      <c r="H371" s="92" t="str">
        <f>'Final data_for_R_analysis_Dryse'!K517</f>
        <v>G601</v>
      </c>
      <c r="I371" t="str">
        <f>'Final data_for_R_analysis_Dryse'!K737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56"/>
        <v>1.7601999999999998</v>
      </c>
      <c r="M371" s="237">
        <f>AVERAGE(Ashed_controlls!$K$1:$K$11)</f>
        <v>5.5147656768714146</v>
      </c>
      <c r="N371" s="194">
        <f t="shared" si="52"/>
        <v>1.6631290945557091</v>
      </c>
      <c r="O371" s="194">
        <f t="shared" si="57"/>
        <v>1.9942000000000002</v>
      </c>
      <c r="P371" s="237">
        <f>AVERAGE(Ashed_controlls!$K$12:$K$14)</f>
        <v>2.2816647271287041</v>
      </c>
      <c r="Q371" s="194">
        <f t="shared" si="53"/>
        <v>1.9486990420115995</v>
      </c>
      <c r="R371" s="383">
        <f>IF('Dry_Litterbag Placem_Collection'!G78="","",'Dry_Litterbag Placem_Collection'!G78)</f>
        <v>43006</v>
      </c>
      <c r="S371" s="194">
        <f>IFERROR(INDEX('Both teabags AfterDry'!$D$3:$D$2000,MATCH(H371,'Both teabags AfterDry'!$A$3:$A$2000,0)),"")</f>
        <v>1.8379000000000001</v>
      </c>
      <c r="T371" s="194">
        <f>IFERROR(INDEX('Both teabags AfterDry'!$D$3:$D$2000,MATCH(I371,'Both teabags AfterDry'!$A$3:$A$2000,0)),"")</f>
        <v>2.0337999999999998</v>
      </c>
      <c r="U371" s="194">
        <f t="shared" si="58"/>
        <v>1.6873</v>
      </c>
      <c r="V371" s="194">
        <f t="shared" si="59"/>
        <v>1.8831999999999998</v>
      </c>
      <c r="W371" s="194">
        <f>IFERROR(INDEX('Ashed teabags dry'!$K$2:$K$2000,MATCH(H371,'Ashed teabags dry'!$A$2:$A$2000,0)),"")</f>
        <v>5.9833251593918666</v>
      </c>
      <c r="X371" s="194">
        <f>IFERROR(INDEX('Ashed teabags dry'!$K$2:$K$2000,MATCH(I371,'Ashed teabags dry'!$A$2:$A$2000,0)),"")</f>
        <v>3.2818532818523578</v>
      </c>
      <c r="Y371" s="194">
        <f t="shared" si="54"/>
        <v>1.586343354585581</v>
      </c>
      <c r="Z371" s="194">
        <f t="shared" si="54"/>
        <v>1.8213961389961562</v>
      </c>
      <c r="AA371" s="194">
        <f t="shared" si="60"/>
        <v>4.6169440617380819E-2</v>
      </c>
      <c r="AB371" s="194">
        <f t="shared" si="61"/>
        <v>3.0267851806168932E-2</v>
      </c>
      <c r="AC371" s="194">
        <f t="shared" si="55"/>
        <v>0.93467287648274755</v>
      </c>
      <c r="AD371">
        <f t="shared" si="62"/>
        <v>69</v>
      </c>
      <c r="AE371" s="194">
        <f t="shared" si="63"/>
        <v>0.94516693513375194</v>
      </c>
      <c r="AF371" s="194" t="str">
        <f t="shared" si="64"/>
        <v/>
      </c>
      <c r="AG371" s="252" t="str">
        <f>IF(ISNUMBER(SEARCH("C", 'Dry_Litterbag Placem_Collection'!$V78)),"YES","NO")</f>
        <v>NO</v>
      </c>
      <c r="AH371" s="252" t="str">
        <f>IF(ISNUMBER(SEARCH("H", 'Dry_Litterbag Placem_Collection'!$V78)),"YES","NO")</f>
        <v>NO</v>
      </c>
      <c r="AI371" s="252" t="str">
        <f>IF(ISNUMBER(SEARCH("R", 'Dry_Litterbag Placem_Collection'!$V78)),"YES","NO")</f>
        <v>NO</v>
      </c>
      <c r="AJ371" s="252" t="str">
        <f>IF(ISNUMBER(SEARCH("C", 'Dry_Litterbag Placem_Collection'!$U78)),"YES","NO")</f>
        <v>NO</v>
      </c>
      <c r="AK371" s="252" t="str">
        <f>IF(ISNUMBER(SEARCH("H", 'Dry_Litterbag Placem_Collection'!$U78)),"YES","NO")</f>
        <v>NO</v>
      </c>
      <c r="AL371" s="252" t="str">
        <f>IF(ISNUMBER(SEARCH("R", 'Dry_Litterbag Placem_Collection'!$U78)),"YES","NO")</f>
        <v>NO</v>
      </c>
    </row>
    <row r="372" spans="2:38">
      <c r="B372" t="str">
        <f>'Final data_for_R_analysis_Dryse'!A518</f>
        <v>Dry</v>
      </c>
      <c r="C372" s="260">
        <f>'Final data_for_R_analysis_Dryse'!B518</f>
        <v>77</v>
      </c>
      <c r="D372" t="s">
        <v>3812</v>
      </c>
      <c r="E372" t="s">
        <v>25</v>
      </c>
      <c r="F372" s="382">
        <v>5</v>
      </c>
      <c r="G372" s="383" t="str">
        <f>IF('Dry_Litterbag Placem_Collection'!E79="","",'Dry_Litterbag Placem_Collection'!E79)</f>
        <v/>
      </c>
      <c r="H372" s="92" t="str">
        <f>'Final data_for_R_analysis_Dryse'!K518</f>
        <v/>
      </c>
      <c r="I372" t="str">
        <f>'Final data_for_R_analysis_Dryse'!K738</f>
        <v/>
      </c>
      <c r="J372" t="str">
        <f>IFERROR(INDEX('Green_rooibos initial weight'!$C$5:$C$2000,MATCH(H372, 'Green_rooibos initial weight'!$A$5:$A$2000,0)),"")</f>
        <v/>
      </c>
      <c r="K372" t="str">
        <f>IFERROR(INDEX('Green_rooibos initial weight'!$C$5:$C$2000,MATCH(I372, 'Green_rooibos initial weight'!$A$5:$A$2000,0)),"")</f>
        <v/>
      </c>
      <c r="L372" s="194" t="str">
        <f t="shared" si="56"/>
        <v/>
      </c>
      <c r="M372" s="237">
        <f>AVERAGE(Ashed_controlls!$K$1:$K$11)</f>
        <v>5.5147656768714146</v>
      </c>
      <c r="N372" s="194" t="str">
        <f t="shared" si="52"/>
        <v/>
      </c>
      <c r="O372" s="194" t="str">
        <f t="shared" si="57"/>
        <v/>
      </c>
      <c r="P372" s="237">
        <f>AVERAGE(Ashed_controlls!$K$12:$K$14)</f>
        <v>2.2816647271287041</v>
      </c>
      <c r="Q372" s="194" t="str">
        <f t="shared" si="53"/>
        <v/>
      </c>
      <c r="R372" s="383" t="str">
        <f>IF('Dry_Litterbag Placem_Collection'!G79="","",'Dry_Litterbag Placem_Collection'!G79)</f>
        <v/>
      </c>
      <c r="S372" s="194" t="str">
        <f>IFERROR(INDEX('Both teabags AfterDry'!$D$3:$D$2000,MATCH(H372,'Both teabags AfterDry'!$A$3:$A$2000,0)),"")</f>
        <v/>
      </c>
      <c r="T372" s="194" t="str">
        <f>IFERROR(INDEX('Both teabags AfterDry'!$D$3:$D$2000,MATCH(I372,'Both teabags AfterDry'!$A$3:$A$2000,0)),"")</f>
        <v/>
      </c>
      <c r="U372" s="194" t="str">
        <f t="shared" si="58"/>
        <v/>
      </c>
      <c r="V372" s="194" t="str">
        <f t="shared" si="59"/>
        <v/>
      </c>
      <c r="W372" s="194" t="str">
        <f>IFERROR(INDEX('Ashed teabags dry'!$K$2:$K$2000,MATCH(H372,'Ashed teabags dry'!$A$2:$A$2000,0)),"")</f>
        <v/>
      </c>
      <c r="X372" s="194" t="str">
        <f>IFERROR(INDEX('Ashed teabags dry'!$K$2:$K$2000,MATCH(I372,'Ashed teabags dry'!$A$2:$A$2000,0)),"")</f>
        <v/>
      </c>
      <c r="Y372" s="194" t="str">
        <f t="shared" si="54"/>
        <v/>
      </c>
      <c r="Z372" s="194" t="str">
        <f t="shared" si="54"/>
        <v/>
      </c>
      <c r="AA372" s="194" t="str">
        <f t="shared" si="60"/>
        <v/>
      </c>
      <c r="AB372" s="194" t="str">
        <f t="shared" si="61"/>
        <v/>
      </c>
      <c r="AC372" s="194" t="str">
        <f t="shared" si="55"/>
        <v/>
      </c>
      <c r="AD372" t="str">
        <f t="shared" si="62"/>
        <v/>
      </c>
      <c r="AE372" s="194" t="str">
        <f t="shared" si="63"/>
        <v/>
      </c>
      <c r="AF372" s="194" t="str">
        <f t="shared" si="64"/>
        <v/>
      </c>
      <c r="AG372" s="252" t="str">
        <f>IF(ISNUMBER(SEARCH("C", 'Dry_Litterbag Placem_Collection'!$V79)),"YES","NO")</f>
        <v>NO</v>
      </c>
      <c r="AH372" s="252" t="str">
        <f>IF(ISNUMBER(SEARCH("H", 'Dry_Litterbag Placem_Collection'!$V79)),"YES","NO")</f>
        <v>NO</v>
      </c>
      <c r="AI372" s="252" t="str">
        <f>IF(ISNUMBER(SEARCH("R", 'Dry_Litterbag Placem_Collection'!$V79)),"YES","NO")</f>
        <v>NO</v>
      </c>
      <c r="AJ372" s="252" t="str">
        <f>IF(ISNUMBER(SEARCH("C", 'Dry_Litterbag Placem_Collection'!$U79)),"YES","NO")</f>
        <v>NO</v>
      </c>
      <c r="AK372" s="252" t="str">
        <f>IF(ISNUMBER(SEARCH("H", 'Dry_Litterbag Placem_Collection'!$U79)),"YES","NO")</f>
        <v>NO</v>
      </c>
      <c r="AL372" s="252" t="str">
        <f>IF(ISNUMBER(SEARCH("R", 'Dry_Litterbag Placem_Collection'!$U79)),"YES","NO")</f>
        <v>NO</v>
      </c>
    </row>
    <row r="373" spans="2:38">
      <c r="B373" t="str">
        <f>'Final data_for_R_analysis_Dryse'!A519</f>
        <v>Dry</v>
      </c>
      <c r="C373" s="260">
        <f>'Final data_for_R_analysis_Dryse'!B519</f>
        <v>78</v>
      </c>
      <c r="D373" t="s">
        <v>3812</v>
      </c>
      <c r="E373" t="s">
        <v>25</v>
      </c>
      <c r="F373" s="382">
        <v>6</v>
      </c>
      <c r="G373" s="383">
        <f>IF('Dry_Litterbag Placem_Collection'!E80="","",'Dry_Litterbag Placem_Collection'!E80)</f>
        <v>42937</v>
      </c>
      <c r="H373" s="92" t="str">
        <f>'Final data_for_R_analysis_Dryse'!K519</f>
        <v>G157</v>
      </c>
      <c r="I373" t="str">
        <f>'Final data_for_R_analysis_Dryse'!K739</f>
        <v>R377</v>
      </c>
      <c r="J373">
        <f>IFERROR(INDEX('Green_rooibos initial weight'!$C$5:$C$2000,MATCH(H373, 'Green_rooibos initial weight'!$A$5:$A$2000,0)),"")</f>
        <v>1.994</v>
      </c>
      <c r="K373">
        <f>IFERROR(INDEX('Green_rooibos initial weight'!$C$5:$C$2000,MATCH(I373, 'Green_rooibos initial weight'!$A$5:$A$2000,0)),"")</f>
        <v>2.2309999999999999</v>
      </c>
      <c r="L373" s="194">
        <f t="shared" si="56"/>
        <v>1.7442</v>
      </c>
      <c r="M373" s="237">
        <f>AVERAGE(Ashed_controlls!$K$1:$K$11)</f>
        <v>5.5147656768714146</v>
      </c>
      <c r="N373" s="194">
        <f t="shared" si="52"/>
        <v>1.6480114570640088</v>
      </c>
      <c r="O373" s="194">
        <f t="shared" si="57"/>
        <v>1.9811999999999999</v>
      </c>
      <c r="P373" s="237">
        <f>AVERAGE(Ashed_controlls!$K$12:$K$14)</f>
        <v>2.2816647271287041</v>
      </c>
      <c r="Q373" s="194">
        <f t="shared" si="53"/>
        <v>1.935995658426126</v>
      </c>
      <c r="R373" s="383">
        <f>IF('Dry_Litterbag Placem_Collection'!G80="","",'Dry_Litterbag Placem_Collection'!G80)</f>
        <v>43006</v>
      </c>
      <c r="S373" s="194">
        <f>IFERROR(INDEX('Both teabags AfterDry'!$D$3:$D$2000,MATCH(H373,'Both teabags AfterDry'!$A$3:$A$2000,0)),"")</f>
        <v>1.8103</v>
      </c>
      <c r="T373" s="194">
        <f>IFERROR(INDEX('Both teabags AfterDry'!$D$3:$D$2000,MATCH(I373,'Both teabags AfterDry'!$A$3:$A$2000,0)),"")</f>
        <v>1.9925999999999999</v>
      </c>
      <c r="U373" s="194">
        <f t="shared" si="58"/>
        <v>1.6597</v>
      </c>
      <c r="V373" s="194">
        <f t="shared" si="59"/>
        <v>1.8419999999999999</v>
      </c>
      <c r="W373" s="194">
        <f>IFERROR(INDEX('Ashed teabags dry'!$K$2:$K$2000,MATCH(H373,'Ashed teabags dry'!$A$2:$A$2000,0)),"")</f>
        <v>6.3027295285366076</v>
      </c>
      <c r="X373" s="194">
        <f>IFERROR(INDEX('Ashed teabags dry'!$K$2:$K$2000,MATCH(I373,'Ashed teabags dry'!$A$2:$A$2000,0)),"")</f>
        <v>2.2244191794369352</v>
      </c>
      <c r="Y373" s="194">
        <f t="shared" si="54"/>
        <v>1.5550935980148779</v>
      </c>
      <c r="Z373" s="194">
        <f t="shared" si="54"/>
        <v>1.8010261987147715</v>
      </c>
      <c r="AA373" s="194">
        <f t="shared" si="60"/>
        <v>5.6381804052908269E-2</v>
      </c>
      <c r="AB373" s="194">
        <f t="shared" si="61"/>
        <v>3.6962892918296172E-2</v>
      </c>
      <c r="AC373" s="194">
        <f t="shared" si="55"/>
        <v>0.93028421364277325</v>
      </c>
      <c r="AD373">
        <f t="shared" si="62"/>
        <v>69</v>
      </c>
      <c r="AE373" s="194">
        <f t="shared" si="63"/>
        <v>0.93303823746685477</v>
      </c>
      <c r="AF373" s="194" t="str">
        <f t="shared" si="64"/>
        <v/>
      </c>
      <c r="AG373" s="252" t="str">
        <f>IF(ISNUMBER(SEARCH("C", 'Dry_Litterbag Placem_Collection'!$V80)),"YES","NO")</f>
        <v>NO</v>
      </c>
      <c r="AH373" s="252" t="str">
        <f>IF(ISNUMBER(SEARCH("H", 'Dry_Litterbag Placem_Collection'!$V80)),"YES","NO")</f>
        <v>NO</v>
      </c>
      <c r="AI373" s="252" t="str">
        <f>IF(ISNUMBER(SEARCH("R", 'Dry_Litterbag Placem_Collection'!$V80)),"YES","NO")</f>
        <v>NO</v>
      </c>
      <c r="AJ373" s="252" t="str">
        <f>IF(ISNUMBER(SEARCH("C", 'Dry_Litterbag Placem_Collection'!$U80)),"YES","NO")</f>
        <v>NO</v>
      </c>
      <c r="AK373" s="252" t="str">
        <f>IF(ISNUMBER(SEARCH("H", 'Dry_Litterbag Placem_Collection'!$U80)),"YES","NO")</f>
        <v>NO</v>
      </c>
      <c r="AL373" s="252" t="str">
        <f>IF(ISNUMBER(SEARCH("R", 'Dry_Litterbag Placem_Collection'!$U80)),"YES","NO")</f>
        <v>NO</v>
      </c>
    </row>
    <row r="374" spans="2:38">
      <c r="B374" t="str">
        <f>'Final data_for_R_analysis_Dryse'!A520</f>
        <v>Dry</v>
      </c>
      <c r="C374" s="260">
        <f>'Final data_for_R_analysis_Dryse'!B520</f>
        <v>79</v>
      </c>
      <c r="D374" t="s">
        <v>3812</v>
      </c>
      <c r="E374" t="s">
        <v>25</v>
      </c>
      <c r="F374" s="382">
        <v>7</v>
      </c>
      <c r="G374" s="383">
        <f>IF('Dry_Litterbag Placem_Collection'!E81="","",'Dry_Litterbag Placem_Collection'!E81)</f>
        <v>42937</v>
      </c>
      <c r="H374" s="92" t="str">
        <f>'Final data_for_R_analysis_Dryse'!K520</f>
        <v>G226</v>
      </c>
      <c r="I374" t="str">
        <f>'Final data_for_R_analysis_Dryse'!K740</f>
        <v>R61</v>
      </c>
      <c r="J374">
        <f>IFERROR(INDEX('Green_rooibos initial weight'!$C$5:$C$2000,MATCH(H374, 'Green_rooibos initial weight'!$A$5:$A$2000,0)),"")</f>
        <v>1.929</v>
      </c>
      <c r="K374">
        <f>IFERROR(INDEX('Green_rooibos initial weight'!$C$5:$C$2000,MATCH(I374, 'Green_rooibos initial weight'!$A$5:$A$2000,0)),"")</f>
        <v>2.2450000000000001</v>
      </c>
      <c r="L374" s="194">
        <f t="shared" si="56"/>
        <v>1.6792</v>
      </c>
      <c r="M374" s="237">
        <f>AVERAGE(Ashed_controlls!$K$1:$K$11)</f>
        <v>5.5147656768714146</v>
      </c>
      <c r="N374" s="194">
        <f t="shared" si="52"/>
        <v>1.5865960547539752</v>
      </c>
      <c r="O374" s="194">
        <f t="shared" si="57"/>
        <v>1.9952000000000001</v>
      </c>
      <c r="P374" s="237">
        <f>AVERAGE(Ashed_controlls!$K$12:$K$14)</f>
        <v>2.2816647271287041</v>
      </c>
      <c r="Q374" s="194">
        <f t="shared" si="53"/>
        <v>1.9496762253643283</v>
      </c>
      <c r="R374" s="383">
        <f>IF('Dry_Litterbag Placem_Collection'!G81="","",'Dry_Litterbag Placem_Collection'!G81)</f>
        <v>43006</v>
      </c>
      <c r="S374" s="194">
        <f>IFERROR(INDEX('Both teabags AfterDry'!$D$3:$D$2000,MATCH(H374,'Both teabags AfterDry'!$A$3:$A$2000,0)),"")</f>
        <v>1.7826</v>
      </c>
      <c r="T374" s="194">
        <f>IFERROR(INDEX('Both teabags AfterDry'!$D$3:$D$2000,MATCH(I374,'Both teabags AfterDry'!$A$3:$A$2000,0)),"")</f>
        <v>1.9782999999999999</v>
      </c>
      <c r="U374" s="194">
        <f t="shared" si="58"/>
        <v>1.6319999999999999</v>
      </c>
      <c r="V374" s="194">
        <f t="shared" si="59"/>
        <v>1.8276999999999999</v>
      </c>
      <c r="W374" s="194">
        <f>IFERROR(INDEX('Ashed teabags dry'!$K$2:$K$2000,MATCH(H374,'Ashed teabags dry'!$A$2:$A$2000,0)),"")</f>
        <v>5.6047197640117146</v>
      </c>
      <c r="X374" s="194">
        <f>IFERROR(INDEX('Ashed teabags dry'!$K$2:$K$2000,MATCH(I374,'Ashed teabags dry'!$A$2:$A$2000,0)),"")</f>
        <v>2.8766455387618852</v>
      </c>
      <c r="Y374" s="194">
        <f t="shared" si="54"/>
        <v>1.5405309734513288</v>
      </c>
      <c r="Z374" s="194">
        <f t="shared" si="54"/>
        <v>1.7751235494880488</v>
      </c>
      <c r="AA374" s="194">
        <f t="shared" si="60"/>
        <v>2.9033906371202622E-2</v>
      </c>
      <c r="AB374" s="194">
        <f t="shared" si="61"/>
        <v>1.9034104889434526E-2</v>
      </c>
      <c r="AC374" s="194">
        <f t="shared" si="55"/>
        <v>0.91047094199260625</v>
      </c>
      <c r="AD374">
        <f t="shared" si="62"/>
        <v>69</v>
      </c>
      <c r="AE374" s="194">
        <f t="shared" si="63"/>
        <v>0.96551792592493746</v>
      </c>
      <c r="AF374" s="194" t="str">
        <f t="shared" si="64"/>
        <v/>
      </c>
      <c r="AG374" s="252" t="str">
        <f>IF(ISNUMBER(SEARCH("C", 'Dry_Litterbag Placem_Collection'!$V81)),"YES","NO")</f>
        <v>NO</v>
      </c>
      <c r="AH374" s="252" t="str">
        <f>IF(ISNUMBER(SEARCH("H", 'Dry_Litterbag Placem_Collection'!$V81)),"YES","NO")</f>
        <v>NO</v>
      </c>
      <c r="AI374" s="252" t="str">
        <f>IF(ISNUMBER(SEARCH("R", 'Dry_Litterbag Placem_Collection'!$V81)),"YES","NO")</f>
        <v>NO</v>
      </c>
      <c r="AJ374" s="252" t="str">
        <f>IF(ISNUMBER(SEARCH("C", 'Dry_Litterbag Placem_Collection'!$U81)),"YES","NO")</f>
        <v>NO</v>
      </c>
      <c r="AK374" s="252" t="str">
        <f>IF(ISNUMBER(SEARCH("H", 'Dry_Litterbag Placem_Collection'!$U81)),"YES","NO")</f>
        <v>NO</v>
      </c>
      <c r="AL374" s="252" t="str">
        <f>IF(ISNUMBER(SEARCH("R", 'Dry_Litterbag Placem_Collection'!$U81)),"YES","NO")</f>
        <v>NO</v>
      </c>
    </row>
    <row r="375" spans="2:38">
      <c r="B375" t="str">
        <f>'Final data_for_R_analysis_Dryse'!A521</f>
        <v>Dry</v>
      </c>
      <c r="C375" s="260">
        <f>'Final data_for_R_analysis_Dryse'!B521</f>
        <v>80</v>
      </c>
      <c r="D375" t="s">
        <v>3812</v>
      </c>
      <c r="E375" t="s">
        <v>25</v>
      </c>
      <c r="F375" s="382">
        <v>8</v>
      </c>
      <c r="G375" s="383">
        <f>IF('Dry_Litterbag Placem_Collection'!E82="","",'Dry_Litterbag Placem_Collection'!E82)</f>
        <v>42937</v>
      </c>
      <c r="H375" s="92" t="str">
        <f>'Final data_for_R_analysis_Dryse'!K521</f>
        <v>G855</v>
      </c>
      <c r="I375" t="str">
        <f>'Final data_for_R_analysis_Dryse'!K741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56"/>
        <v>1.7072000000000001</v>
      </c>
      <c r="M375" s="237">
        <f>AVERAGE(Ashed_controlls!$K$1:$K$11)</f>
        <v>5.5147656768714146</v>
      </c>
      <c r="N375" s="194">
        <f t="shared" si="52"/>
        <v>1.6130519203644513</v>
      </c>
      <c r="O375" s="194">
        <f t="shared" si="57"/>
        <v>1.9302000000000001</v>
      </c>
      <c r="P375" s="237">
        <f>AVERAGE(Ashed_controlls!$K$12:$K$14)</f>
        <v>2.2816647271287041</v>
      </c>
      <c r="Q375" s="194">
        <f t="shared" si="53"/>
        <v>1.8861593074369618</v>
      </c>
      <c r="R375" s="383">
        <f>IF('Dry_Litterbag Placem_Collection'!G82="","",'Dry_Litterbag Placem_Collection'!G82)</f>
        <v>43006</v>
      </c>
      <c r="S375" s="194">
        <f>IFERROR(INDEX('Both teabags AfterDry'!$D$3:$D$2000,MATCH(H375,'Both teabags AfterDry'!$A$3:$A$2000,0)),"")</f>
        <v>1.7664</v>
      </c>
      <c r="T375" s="194">
        <f>IFERROR(INDEX('Both teabags AfterDry'!$D$3:$D$2000,MATCH(I375,'Both teabags AfterDry'!$A$3:$A$2000,0)),"")</f>
        <v>2.0047999999999999</v>
      </c>
      <c r="U375" s="194">
        <f t="shared" si="58"/>
        <v>1.6157999999999999</v>
      </c>
      <c r="V375" s="194">
        <f t="shared" si="59"/>
        <v>1.8541999999999998</v>
      </c>
      <c r="W375" s="194">
        <f>IFERROR(INDEX('Ashed teabags dry'!$K$2:$K$2000,MATCH(H375,'Ashed teabags dry'!$A$2:$A$2000,0)),"")</f>
        <v>6.0306475531388282</v>
      </c>
      <c r="X375" s="194">
        <f>IFERROR(INDEX('Ashed teabags dry'!$K$2:$K$2000,MATCH(I375,'Ashed teabags dry'!$A$2:$A$2000,0)),"")</f>
        <v>3.2972440944880175</v>
      </c>
      <c r="Y375" s="194">
        <f t="shared" si="54"/>
        <v>1.5183567968363827</v>
      </c>
      <c r="Z375" s="194">
        <f t="shared" si="54"/>
        <v>1.7930625000000031</v>
      </c>
      <c r="AA375" s="194">
        <f t="shared" si="60"/>
        <v>5.8705564484665351E-2</v>
      </c>
      <c r="AB375" s="194">
        <f t="shared" si="61"/>
        <v>3.8486308308236662E-2</v>
      </c>
      <c r="AC375" s="194">
        <f t="shared" si="55"/>
        <v>0.95064212918289237</v>
      </c>
      <c r="AD375">
        <f t="shared" si="62"/>
        <v>69</v>
      </c>
      <c r="AE375" s="194">
        <f t="shared" si="63"/>
        <v>0.93027842697783214</v>
      </c>
      <c r="AF375" s="194" t="str">
        <f t="shared" si="64"/>
        <v/>
      </c>
      <c r="AG375" s="252" t="str">
        <f>IF(ISNUMBER(SEARCH("C", 'Dry_Litterbag Placem_Collection'!$V82)),"YES","NO")</f>
        <v>NO</v>
      </c>
      <c r="AH375" s="252" t="str">
        <f>IF(ISNUMBER(SEARCH("H", 'Dry_Litterbag Placem_Collection'!$V82)),"YES","NO")</f>
        <v>NO</v>
      </c>
      <c r="AI375" s="252" t="str">
        <f>IF(ISNUMBER(SEARCH("R", 'Dry_Litterbag Placem_Collection'!$V82)),"YES","NO")</f>
        <v>NO</v>
      </c>
      <c r="AJ375" s="252" t="str">
        <f>IF(ISNUMBER(SEARCH("C", 'Dry_Litterbag Placem_Collection'!$U82)),"YES","NO")</f>
        <v>NO</v>
      </c>
      <c r="AK375" s="252" t="str">
        <f>IF(ISNUMBER(SEARCH("H", 'Dry_Litterbag Placem_Collection'!$U82)),"YES","NO")</f>
        <v>NO</v>
      </c>
      <c r="AL375" s="252" t="str">
        <f>IF(ISNUMBER(SEARCH("R", 'Dry_Litterbag Placem_Collection'!$U82)),"YES","NO")</f>
        <v>NO</v>
      </c>
    </row>
    <row r="376" spans="2:38">
      <c r="B376" t="str">
        <f>'Final data_for_R_analysis_Dryse'!A522</f>
        <v>Dry</v>
      </c>
      <c r="C376" s="260">
        <f>'Final data_for_R_analysis_Dryse'!B522</f>
        <v>81</v>
      </c>
      <c r="D376" t="s">
        <v>3813</v>
      </c>
      <c r="E376" t="s">
        <v>25</v>
      </c>
      <c r="F376" s="381">
        <v>1</v>
      </c>
      <c r="G376" s="383">
        <f>IF('Dry_Litterbag Placem_Collection'!E83="","",'Dry_Litterbag Placem_Collection'!E83)</f>
        <v>42937</v>
      </c>
      <c r="H376" s="92" t="str">
        <f>'Final data_for_R_analysis_Dryse'!K522</f>
        <v>G413</v>
      </c>
      <c r="I376" t="str">
        <f>'Final data_for_R_analysis_Dryse'!K742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56"/>
        <v>1.9091999999999998</v>
      </c>
      <c r="M376" s="237">
        <f>AVERAGE(Ashed_controlls!$K$1:$K$11)</f>
        <v>5.5147656768714146</v>
      </c>
      <c r="N376" s="194">
        <f t="shared" si="52"/>
        <v>1.8039120936971709</v>
      </c>
      <c r="O376" s="194">
        <f t="shared" si="57"/>
        <v>1.9832000000000001</v>
      </c>
      <c r="P376" s="237">
        <f>AVERAGE(Ashed_controlls!$K$12:$K$14)</f>
        <v>2.2816647271287041</v>
      </c>
      <c r="Q376" s="194">
        <f t="shared" si="53"/>
        <v>1.9379500251315835</v>
      </c>
      <c r="R376" s="383">
        <f>IF('Dry_Litterbag Placem_Collection'!G83="","",'Dry_Litterbag Placem_Collection'!G83)</f>
        <v>43006</v>
      </c>
      <c r="S376" s="194">
        <f>IFERROR(INDEX('Both teabags AfterDry'!$D$3:$D$2000,MATCH(H376,'Both teabags AfterDry'!$A$3:$A$2000,0)),"")</f>
        <v>1.9466000000000001</v>
      </c>
      <c r="T376" s="194">
        <f>IFERROR(INDEX('Both teabags AfterDry'!$D$3:$D$2000,MATCH(I376,'Both teabags AfterDry'!$A$3:$A$2000,0)),"")</f>
        <v>1.9832000000000001</v>
      </c>
      <c r="U376" s="194">
        <f t="shared" si="58"/>
        <v>1.796</v>
      </c>
      <c r="V376" s="194">
        <f t="shared" si="59"/>
        <v>1.8326</v>
      </c>
      <c r="W376" s="194">
        <f>IFERROR(INDEX('Ashed teabags dry'!$K$2:$K$2000,MATCH(H376,'Ashed teabags dry'!$A$2:$A$2000,0)),"")</f>
        <v>5.3246753246752787</v>
      </c>
      <c r="X376" s="194">
        <f>IFERROR(INDEX('Ashed teabags dry'!$K$2:$K$2000,MATCH(I376,'Ashed teabags dry'!$A$2:$A$2000,0)),"")</f>
        <v>3.3302497687320054</v>
      </c>
      <c r="Y376" s="194">
        <f t="shared" si="54"/>
        <v>1.7003688311688321</v>
      </c>
      <c r="Z376" s="194">
        <f t="shared" si="54"/>
        <v>1.7715698427382174</v>
      </c>
      <c r="AA376" s="194">
        <f t="shared" si="60"/>
        <v>5.7399283972936699E-2</v>
      </c>
      <c r="AB376" s="194">
        <f t="shared" si="61"/>
        <v>3.7629934386058245E-2</v>
      </c>
      <c r="AC376" s="194">
        <f t="shared" si="55"/>
        <v>0.91414629880248366</v>
      </c>
      <c r="AD376">
        <f t="shared" si="62"/>
        <v>69</v>
      </c>
      <c r="AE376" s="194">
        <f t="shared" si="63"/>
        <v>0.93182982901076405</v>
      </c>
      <c r="AF376" s="194" t="str">
        <f t="shared" si="64"/>
        <v/>
      </c>
      <c r="AG376" s="252" t="str">
        <f>IF(ISNUMBER(SEARCH("C", 'Dry_Litterbag Placem_Collection'!$V83)),"YES","NO")</f>
        <v>NO</v>
      </c>
      <c r="AH376" s="252" t="str">
        <f>IF(ISNUMBER(SEARCH("H", 'Dry_Litterbag Placem_Collection'!$V83)),"YES","NO")</f>
        <v>NO</v>
      </c>
      <c r="AI376" s="252" t="str">
        <f>IF(ISNUMBER(SEARCH("R", 'Dry_Litterbag Placem_Collection'!$V83)),"YES","NO")</f>
        <v>NO</v>
      </c>
      <c r="AJ376" s="252" t="str">
        <f>IF(ISNUMBER(SEARCH("C", 'Dry_Litterbag Placem_Collection'!$U83)),"YES","NO")</f>
        <v>NO</v>
      </c>
      <c r="AK376" s="252" t="str">
        <f>IF(ISNUMBER(SEARCH("H", 'Dry_Litterbag Placem_Collection'!$U83)),"YES","NO")</f>
        <v>NO</v>
      </c>
      <c r="AL376" s="252" t="str">
        <f>IF(ISNUMBER(SEARCH("R", 'Dry_Litterbag Placem_Collection'!$U83)),"YES","NO")</f>
        <v>NO</v>
      </c>
    </row>
    <row r="377" spans="2:38">
      <c r="B377" t="str">
        <f>'Final data_for_R_analysis_Dryse'!A523</f>
        <v>Dry</v>
      </c>
      <c r="C377" s="260">
        <f>'Final data_for_R_analysis_Dryse'!B523</f>
        <v>82</v>
      </c>
      <c r="D377" t="s">
        <v>3813</v>
      </c>
      <c r="E377" t="s">
        <v>25</v>
      </c>
      <c r="F377" s="381">
        <v>2</v>
      </c>
      <c r="G377" s="383">
        <f>IF('Dry_Litterbag Placem_Collection'!E84="","",'Dry_Litterbag Placem_Collection'!E84)</f>
        <v>42937</v>
      </c>
      <c r="H377" s="92" t="str">
        <f>'Final data_for_R_analysis_Dryse'!K523</f>
        <v>G370</v>
      </c>
      <c r="I377" t="str">
        <f>'Final data_for_R_analysis_Dryse'!K743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56"/>
        <v>1.8121999999999998</v>
      </c>
      <c r="M377" s="237">
        <f>AVERAGE(Ashed_controlls!$K$1:$K$11)</f>
        <v>5.5147656768714146</v>
      </c>
      <c r="N377" s="194">
        <f t="shared" si="52"/>
        <v>1.712261416403736</v>
      </c>
      <c r="O377" s="194">
        <f t="shared" si="57"/>
        <v>1.8732000000000002</v>
      </c>
      <c r="P377" s="237">
        <f>AVERAGE(Ashed_controlls!$K$12:$K$14)</f>
        <v>2.2816647271287041</v>
      </c>
      <c r="Q377" s="194">
        <f t="shared" si="53"/>
        <v>1.8304598563314254</v>
      </c>
      <c r="R377" s="383">
        <f>IF('Dry_Litterbag Placem_Collection'!G84="","",'Dry_Litterbag Placem_Collection'!G84)</f>
        <v>43006</v>
      </c>
      <c r="S377" s="194">
        <f>IFERROR(INDEX('Both teabags AfterDry'!$D$3:$D$2000,MATCH(H377,'Both teabags AfterDry'!$A$3:$A$2000,0)),"")</f>
        <v>1.8433999999999999</v>
      </c>
      <c r="T377" s="194">
        <f>IFERROR(INDEX('Both teabags AfterDry'!$D$3:$D$2000,MATCH(I377,'Both teabags AfterDry'!$A$3:$A$2000,0)),"")</f>
        <v>1.9097999999999999</v>
      </c>
      <c r="U377" s="194">
        <f t="shared" si="58"/>
        <v>1.6927999999999999</v>
      </c>
      <c r="V377" s="194">
        <f t="shared" si="59"/>
        <v>1.7591999999999999</v>
      </c>
      <c r="W377" s="194">
        <f>IFERROR(INDEX('Ashed teabags dry'!$K$2:$K$2000,MATCH(H377,'Ashed teabags dry'!$A$2:$A$2000,0)),"")</f>
        <v>5.4829185997469585</v>
      </c>
      <c r="X377" s="194">
        <f>IFERROR(INDEX('Ashed teabags dry'!$K$2:$K$2000,MATCH(I377,'Ashed teabags dry'!$A$2:$A$2000,0)),"")</f>
        <v>2.8992628992631118</v>
      </c>
      <c r="Y377" s="194">
        <f t="shared" si="54"/>
        <v>1.5999851539434833</v>
      </c>
      <c r="Z377" s="194">
        <f t="shared" si="54"/>
        <v>1.7081961670761632</v>
      </c>
      <c r="AA377" s="194">
        <f t="shared" si="60"/>
        <v>6.5571916405186892E-2</v>
      </c>
      <c r="AB377" s="194">
        <f t="shared" si="61"/>
        <v>4.298776467418431E-2</v>
      </c>
      <c r="AC377" s="194">
        <f t="shared" si="55"/>
        <v>0.93320602534256014</v>
      </c>
      <c r="AD377">
        <f t="shared" si="62"/>
        <v>69</v>
      </c>
      <c r="AE377" s="194">
        <f t="shared" si="63"/>
        <v>0.92212361472068061</v>
      </c>
      <c r="AF377" s="194" t="str">
        <f t="shared" si="64"/>
        <v/>
      </c>
      <c r="AG377" s="252" t="str">
        <f>IF(ISNUMBER(SEARCH("C", 'Dry_Litterbag Placem_Collection'!$V84)),"YES","NO")</f>
        <v>NO</v>
      </c>
      <c r="AH377" s="252" t="str">
        <f>IF(ISNUMBER(SEARCH("H", 'Dry_Litterbag Placem_Collection'!$V84)),"YES","NO")</f>
        <v>NO</v>
      </c>
      <c r="AI377" s="252" t="str">
        <f>IF(ISNUMBER(SEARCH("R", 'Dry_Litterbag Placem_Collection'!$V84)),"YES","NO")</f>
        <v>NO</v>
      </c>
      <c r="AJ377" s="252" t="str">
        <f>IF(ISNUMBER(SEARCH("C", 'Dry_Litterbag Placem_Collection'!$U84)),"YES","NO")</f>
        <v>NO</v>
      </c>
      <c r="AK377" s="252" t="str">
        <f>IF(ISNUMBER(SEARCH("H", 'Dry_Litterbag Placem_Collection'!$U84)),"YES","NO")</f>
        <v>NO</v>
      </c>
      <c r="AL377" s="252" t="str">
        <f>IF(ISNUMBER(SEARCH("R", 'Dry_Litterbag Placem_Collection'!$U84)),"YES","NO")</f>
        <v>NO</v>
      </c>
    </row>
    <row r="378" spans="2:38">
      <c r="B378" t="str">
        <f>'Final data_for_R_analysis_Dryse'!A524</f>
        <v>Dry</v>
      </c>
      <c r="C378" s="260">
        <f>'Final data_for_R_analysis_Dryse'!B524</f>
        <v>83</v>
      </c>
      <c r="D378" t="s">
        <v>3813</v>
      </c>
      <c r="E378" t="s">
        <v>25</v>
      </c>
      <c r="F378" s="381">
        <v>3</v>
      </c>
      <c r="G378" s="383">
        <f>IF('Dry_Litterbag Placem_Collection'!E85="","",'Dry_Litterbag Placem_Collection'!E85)</f>
        <v>42937</v>
      </c>
      <c r="H378" s="92" t="str">
        <f>'Final data_for_R_analysis_Dryse'!K524</f>
        <v>G879</v>
      </c>
      <c r="I378" t="str">
        <f>'Final data_for_R_analysis_Dryse'!K744</f>
        <v>R614</v>
      </c>
      <c r="J378">
        <f>IFERROR(INDEX('Green_rooibos initial weight'!$C$5:$C$2000,MATCH(H378, 'Green_rooibos initial weight'!$A$5:$A$2000,0)),"")</f>
        <v>2.09</v>
      </c>
      <c r="K378">
        <f>IFERROR(INDEX('Green_rooibos initial weight'!$C$5:$C$2000,MATCH(I378, 'Green_rooibos initial weight'!$A$5:$A$2000,0)),"")</f>
        <v>2.1459999999999999</v>
      </c>
      <c r="L378" s="194">
        <f t="shared" si="56"/>
        <v>1.8401999999999998</v>
      </c>
      <c r="M378" s="237">
        <f>AVERAGE(Ashed_controlls!$K$1:$K$11)</f>
        <v>5.5147656768714146</v>
      </c>
      <c r="N378" s="194">
        <f t="shared" si="52"/>
        <v>1.7387172820142121</v>
      </c>
      <c r="O378" s="194">
        <f t="shared" si="57"/>
        <v>1.8961999999999999</v>
      </c>
      <c r="P378" s="237">
        <f>AVERAGE(Ashed_controlls!$K$12:$K$14)</f>
        <v>2.2816647271287041</v>
      </c>
      <c r="Q378" s="194">
        <f t="shared" si="53"/>
        <v>1.8529350734441854</v>
      </c>
      <c r="R378" s="383">
        <f>IF('Dry_Litterbag Placem_Collection'!G85="","",'Dry_Litterbag Placem_Collection'!G85)</f>
        <v>43006</v>
      </c>
      <c r="S378" s="194">
        <f>IFERROR(INDEX('Both teabags AfterDry'!$D$3:$D$2000,MATCH(H378,'Both teabags AfterDry'!$A$3:$A$2000,0)),"")</f>
        <v>1.8814</v>
      </c>
      <c r="T378" s="194">
        <f>IFERROR(INDEX('Both teabags AfterDry'!$D$3:$D$2000,MATCH(I378,'Both teabags AfterDry'!$A$3:$A$2000,0)),"")</f>
        <v>1.9262999999999999</v>
      </c>
      <c r="U378" s="194">
        <f t="shared" si="58"/>
        <v>1.7307999999999999</v>
      </c>
      <c r="V378" s="194">
        <f t="shared" si="59"/>
        <v>1.7756999999999998</v>
      </c>
      <c r="W378" s="194">
        <f>IFERROR(INDEX('Ashed teabags dry'!$K$2:$K$2000,MATCH(H378,'Ashed teabags dry'!$A$2:$A$2000,0)),"")</f>
        <v>6.0018903591673709</v>
      </c>
      <c r="X378" s="194">
        <f>IFERROR(INDEX('Ashed teabags dry'!$K$2:$K$2000,MATCH(I378,'Ashed teabags dry'!$A$2:$A$2000,0)),"")</f>
        <v>2.629063097514555</v>
      </c>
      <c r="Y378" s="194">
        <f t="shared" si="54"/>
        <v>1.6269192816635309</v>
      </c>
      <c r="Z378" s="194">
        <f t="shared" si="54"/>
        <v>1.729015726577434</v>
      </c>
      <c r="AA378" s="194">
        <f t="shared" si="60"/>
        <v>6.4299125284571268E-2</v>
      </c>
      <c r="AB378" s="194">
        <f t="shared" si="61"/>
        <v>4.215334579226053E-2</v>
      </c>
      <c r="AC378" s="194">
        <f t="shared" si="55"/>
        <v>0.93312267189350917</v>
      </c>
      <c r="AD378">
        <f t="shared" si="62"/>
        <v>69</v>
      </c>
      <c r="AE378" s="194">
        <f t="shared" si="63"/>
        <v>0.92363524312996281</v>
      </c>
      <c r="AF378" s="194" t="str">
        <f t="shared" si="64"/>
        <v/>
      </c>
      <c r="AG378" s="252" t="str">
        <f>IF(ISNUMBER(SEARCH("C", 'Dry_Litterbag Placem_Collection'!$V85)),"YES","NO")</f>
        <v>NO</v>
      </c>
      <c r="AH378" s="252" t="str">
        <f>IF(ISNUMBER(SEARCH("H", 'Dry_Litterbag Placem_Collection'!$V85)),"YES","NO")</f>
        <v>NO</v>
      </c>
      <c r="AI378" s="252" t="str">
        <f>IF(ISNUMBER(SEARCH("R", 'Dry_Litterbag Placem_Collection'!$V85)),"YES","NO")</f>
        <v>NO</v>
      </c>
      <c r="AJ378" s="252" t="str">
        <f>IF(ISNUMBER(SEARCH("C", 'Dry_Litterbag Placem_Collection'!$U85)),"YES","NO")</f>
        <v>NO</v>
      </c>
      <c r="AK378" s="252" t="str">
        <f>IF(ISNUMBER(SEARCH("H", 'Dry_Litterbag Placem_Collection'!$U85)),"YES","NO")</f>
        <v>NO</v>
      </c>
      <c r="AL378" s="252" t="str">
        <f>IF(ISNUMBER(SEARCH("R", 'Dry_Litterbag Placem_Collection'!$U85)),"YES","NO")</f>
        <v>NO</v>
      </c>
    </row>
    <row r="379" spans="2:38">
      <c r="B379" t="str">
        <f>'Final data_for_R_analysis_Dryse'!A525</f>
        <v>Dry</v>
      </c>
      <c r="C379" s="260">
        <f>'Final data_for_R_analysis_Dryse'!B525</f>
        <v>84</v>
      </c>
      <c r="D379" t="s">
        <v>3813</v>
      </c>
      <c r="E379" t="s">
        <v>25</v>
      </c>
      <c r="F379" s="382">
        <v>4</v>
      </c>
      <c r="G379" s="383">
        <f>IF('Dry_Litterbag Placem_Collection'!E86="","",'Dry_Litterbag Placem_Collection'!E86)</f>
        <v>42937</v>
      </c>
      <c r="H379" s="92" t="str">
        <f>'Final data_for_R_analysis_Dryse'!K525</f>
        <v>G854</v>
      </c>
      <c r="I379" t="str">
        <f>'Final data_for_R_analysis_Dryse'!K745</f>
        <v>R720</v>
      </c>
      <c r="J379">
        <f>IFERROR(INDEX('Green_rooibos initial weight'!$C$5:$C$2000,MATCH(H379, 'Green_rooibos initial weight'!$A$5:$A$2000,0)),"")</f>
        <v>1.998</v>
      </c>
      <c r="K379">
        <f>IFERROR(INDEX('Green_rooibos initial weight'!$C$5:$C$2000,MATCH(I379, 'Green_rooibos initial weight'!$A$5:$A$2000,0)),"")</f>
        <v>2.2080000000000002</v>
      </c>
      <c r="L379" s="194">
        <f t="shared" si="56"/>
        <v>1.7482</v>
      </c>
      <c r="M379" s="237">
        <f>AVERAGE(Ashed_controlls!$K$1:$K$11)</f>
        <v>5.5147656768714146</v>
      </c>
      <c r="N379" s="194">
        <f t="shared" si="52"/>
        <v>1.6517908664369338</v>
      </c>
      <c r="O379" s="194">
        <f t="shared" si="57"/>
        <v>1.9582000000000002</v>
      </c>
      <c r="P379" s="237">
        <f>AVERAGE(Ashed_controlls!$K$12:$K$14)</f>
        <v>2.2816647271287041</v>
      </c>
      <c r="Q379" s="194">
        <f t="shared" si="53"/>
        <v>1.913520441313366</v>
      </c>
      <c r="R379" s="383">
        <f>IF('Dry_Litterbag Placem_Collection'!G86="","",'Dry_Litterbag Placem_Collection'!G86)</f>
        <v>43006</v>
      </c>
      <c r="S379" s="194">
        <f>IFERROR(INDEX('Both teabags AfterDry'!$D$3:$D$2000,MATCH(H379,'Both teabags AfterDry'!$A$3:$A$2000,0)),"")</f>
        <v>1.8062</v>
      </c>
      <c r="T379" s="194">
        <f>IFERROR(INDEX('Both teabags AfterDry'!$D$3:$D$2000,MATCH(I379,'Both teabags AfterDry'!$A$3:$A$2000,0)),"")</f>
        <v>1.9978</v>
      </c>
      <c r="U379" s="194">
        <f t="shared" si="58"/>
        <v>1.6556</v>
      </c>
      <c r="V379" s="194">
        <f t="shared" si="59"/>
        <v>1.8472</v>
      </c>
      <c r="W379" s="194">
        <f>IFERROR(INDEX('Ashed teabags dry'!$K$2:$K$2000,MATCH(H379,'Ashed teabags dry'!$A$2:$A$2000,0)),"")</f>
        <v>6.7607003891055024</v>
      </c>
      <c r="X379" s="194">
        <f>IFERROR(INDEX('Ashed teabags dry'!$K$2:$K$2000,MATCH(I379,'Ashed teabags dry'!$A$2:$A$2000,0)),"")</f>
        <v>2.5841053144808623</v>
      </c>
      <c r="Y379" s="194">
        <f t="shared" si="54"/>
        <v>1.5436698443579693</v>
      </c>
      <c r="Z379" s="194">
        <f t="shared" si="54"/>
        <v>1.7994664066309094</v>
      </c>
      <c r="AA379" s="194">
        <f t="shared" si="60"/>
        <v>6.5456847035479493E-2</v>
      </c>
      <c r="AB379" s="194">
        <f t="shared" si="61"/>
        <v>4.2912327272665869E-2</v>
      </c>
      <c r="AC379" s="194">
        <f t="shared" si="55"/>
        <v>0.94039570614454771</v>
      </c>
      <c r="AD379">
        <f t="shared" si="62"/>
        <v>69</v>
      </c>
      <c r="AE379" s="194">
        <f t="shared" si="63"/>
        <v>0.92226027667995314</v>
      </c>
      <c r="AF379" s="194" t="str">
        <f t="shared" si="64"/>
        <v/>
      </c>
      <c r="AG379" s="252" t="str">
        <f>IF(ISNUMBER(SEARCH("C", 'Dry_Litterbag Placem_Collection'!$V86)),"YES","NO")</f>
        <v>NO</v>
      </c>
      <c r="AH379" s="252" t="str">
        <f>IF(ISNUMBER(SEARCH("H", 'Dry_Litterbag Placem_Collection'!$V86)),"YES","NO")</f>
        <v>NO</v>
      </c>
      <c r="AI379" s="252" t="str">
        <f>IF(ISNUMBER(SEARCH("R", 'Dry_Litterbag Placem_Collection'!$V86)),"YES","NO")</f>
        <v>NO</v>
      </c>
      <c r="AJ379" s="252" t="str">
        <f>IF(ISNUMBER(SEARCH("C", 'Dry_Litterbag Placem_Collection'!$U86)),"YES","NO")</f>
        <v>NO</v>
      </c>
      <c r="AK379" s="252" t="str">
        <f>IF(ISNUMBER(SEARCH("H", 'Dry_Litterbag Placem_Collection'!$U86)),"YES","NO")</f>
        <v>NO</v>
      </c>
      <c r="AL379" s="252" t="str">
        <f>IF(ISNUMBER(SEARCH("R", 'Dry_Litterbag Placem_Collection'!$U86)),"YES","NO")</f>
        <v>NO</v>
      </c>
    </row>
    <row r="380" spans="2:38">
      <c r="B380" t="str">
        <f>'Final data_for_R_analysis_Dryse'!A526</f>
        <v>Dry</v>
      </c>
      <c r="C380" s="260">
        <f>'Final data_for_R_analysis_Dryse'!B526</f>
        <v>85</v>
      </c>
      <c r="D380" t="s">
        <v>3813</v>
      </c>
      <c r="E380" t="s">
        <v>25</v>
      </c>
      <c r="F380" s="382">
        <v>5</v>
      </c>
      <c r="G380" s="383" t="str">
        <f>IF('Dry_Litterbag Placem_Collection'!E87="","",'Dry_Litterbag Placem_Collection'!E87)</f>
        <v/>
      </c>
      <c r="H380" s="92" t="str">
        <f>'Final data_for_R_analysis_Dryse'!K526</f>
        <v/>
      </c>
      <c r="I380" t="str">
        <f>'Final data_for_R_analysis_Dryse'!K746</f>
        <v/>
      </c>
      <c r="J380" t="str">
        <f>IFERROR(INDEX('Green_rooibos initial weight'!$C$5:$C$2000,MATCH(H380, 'Green_rooibos initial weight'!$A$5:$A$2000,0)),"")</f>
        <v/>
      </c>
      <c r="K380" t="str">
        <f>IFERROR(INDEX('Green_rooibos initial weight'!$C$5:$C$2000,MATCH(I380, 'Green_rooibos initial weight'!$A$5:$A$2000,0)),"")</f>
        <v/>
      </c>
      <c r="L380" s="194" t="str">
        <f t="shared" si="56"/>
        <v/>
      </c>
      <c r="M380" s="237">
        <f>AVERAGE(Ashed_controlls!$K$1:$K$11)</f>
        <v>5.5147656768714146</v>
      </c>
      <c r="N380" s="194" t="str">
        <f t="shared" si="52"/>
        <v/>
      </c>
      <c r="O380" s="194" t="str">
        <f t="shared" si="57"/>
        <v/>
      </c>
      <c r="P380" s="237">
        <f>AVERAGE(Ashed_controlls!$K$12:$K$14)</f>
        <v>2.2816647271287041</v>
      </c>
      <c r="Q380" s="194" t="str">
        <f t="shared" si="53"/>
        <v/>
      </c>
      <c r="R380" s="383" t="str">
        <f>IF('Dry_Litterbag Placem_Collection'!G87="","",'Dry_Litterbag Placem_Collection'!G87)</f>
        <v/>
      </c>
      <c r="S380" s="194" t="str">
        <f>IFERROR(INDEX('Both teabags AfterDry'!$D$3:$D$2000,MATCH(H380,'Both teabags AfterDry'!$A$3:$A$2000,0)),"")</f>
        <v/>
      </c>
      <c r="T380" s="194" t="str">
        <f>IFERROR(INDEX('Both teabags AfterDry'!$D$3:$D$2000,MATCH(I380,'Both teabags AfterDry'!$A$3:$A$2000,0)),"")</f>
        <v/>
      </c>
      <c r="U380" s="194" t="str">
        <f t="shared" si="58"/>
        <v/>
      </c>
      <c r="V380" s="194" t="str">
        <f t="shared" si="59"/>
        <v/>
      </c>
      <c r="W380" s="194" t="str">
        <f>IFERROR(INDEX('Ashed teabags dry'!$K$2:$K$2000,MATCH(H380,'Ashed teabags dry'!$A$2:$A$2000,0)),"")</f>
        <v/>
      </c>
      <c r="X380" s="194" t="str">
        <f>IFERROR(INDEX('Ashed teabags dry'!$K$2:$K$2000,MATCH(I380,'Ashed teabags dry'!$A$2:$A$2000,0)),"")</f>
        <v/>
      </c>
      <c r="Y380" s="194" t="str">
        <f t="shared" si="54"/>
        <v/>
      </c>
      <c r="Z380" s="194" t="str">
        <f t="shared" si="54"/>
        <v/>
      </c>
      <c r="AA380" s="194" t="str">
        <f t="shared" si="60"/>
        <v/>
      </c>
      <c r="AB380" s="194" t="str">
        <f t="shared" si="61"/>
        <v/>
      </c>
      <c r="AC380" s="194" t="str">
        <f t="shared" si="55"/>
        <v/>
      </c>
      <c r="AD380" t="str">
        <f t="shared" si="62"/>
        <v/>
      </c>
      <c r="AE380" s="194" t="str">
        <f t="shared" si="63"/>
        <v/>
      </c>
      <c r="AF380" s="194" t="str">
        <f t="shared" si="64"/>
        <v/>
      </c>
      <c r="AG380" s="252" t="str">
        <f>IF(ISNUMBER(SEARCH("C", 'Dry_Litterbag Placem_Collection'!$V87)),"YES","NO")</f>
        <v>NO</v>
      </c>
      <c r="AH380" s="252" t="str">
        <f>IF(ISNUMBER(SEARCH("H", 'Dry_Litterbag Placem_Collection'!$V87)),"YES","NO")</f>
        <v>NO</v>
      </c>
      <c r="AI380" s="252" t="str">
        <f>IF(ISNUMBER(SEARCH("R", 'Dry_Litterbag Placem_Collection'!$V87)),"YES","NO")</f>
        <v>NO</v>
      </c>
      <c r="AJ380" s="252" t="str">
        <f>IF(ISNUMBER(SEARCH("C", 'Dry_Litterbag Placem_Collection'!$U87)),"YES","NO")</f>
        <v>NO</v>
      </c>
      <c r="AK380" s="252" t="str">
        <f>IF(ISNUMBER(SEARCH("H", 'Dry_Litterbag Placem_Collection'!$U87)),"YES","NO")</f>
        <v>NO</v>
      </c>
      <c r="AL380" s="252" t="str">
        <f>IF(ISNUMBER(SEARCH("R", 'Dry_Litterbag Placem_Collection'!$U87)),"YES","NO")</f>
        <v>NO</v>
      </c>
    </row>
    <row r="381" spans="2:38">
      <c r="B381" t="str">
        <f>'Final data_for_R_analysis_Dryse'!A527</f>
        <v>Dry</v>
      </c>
      <c r="C381" s="260">
        <f>'Final data_for_R_analysis_Dryse'!B527</f>
        <v>86</v>
      </c>
      <c r="D381" t="s">
        <v>3813</v>
      </c>
      <c r="E381" t="s">
        <v>25</v>
      </c>
      <c r="F381" s="382">
        <v>6</v>
      </c>
      <c r="G381" s="383">
        <f>IF('Dry_Litterbag Placem_Collection'!E88="","",'Dry_Litterbag Placem_Collection'!E88)</f>
        <v>42937</v>
      </c>
      <c r="H381" s="92" t="str">
        <f>'Final data_for_R_analysis_Dryse'!K527</f>
        <v>G788</v>
      </c>
      <c r="I381" t="str">
        <f>'Final data_for_R_analysis_Dryse'!K747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56"/>
        <v>1.8201999999999998</v>
      </c>
      <c r="M381" s="237">
        <f>AVERAGE(Ashed_controlls!$K$1:$K$11)</f>
        <v>5.5147656768714146</v>
      </c>
      <c r="N381" s="194">
        <f t="shared" si="52"/>
        <v>1.7198202351495864</v>
      </c>
      <c r="O381" s="194">
        <f t="shared" si="57"/>
        <v>1.9432</v>
      </c>
      <c r="P381" s="237">
        <f>AVERAGE(Ashed_controlls!$K$12:$K$14)</f>
        <v>2.2816647271287041</v>
      </c>
      <c r="Q381" s="194">
        <f t="shared" si="53"/>
        <v>1.8988626910224351</v>
      </c>
      <c r="R381" s="383">
        <f>IF('Dry_Litterbag Placem_Collection'!G88="","",'Dry_Litterbag Placem_Collection'!G88)</f>
        <v>43006</v>
      </c>
      <c r="S381" s="194" t="str">
        <f>IFERROR(INDEX('Both teabags AfterDry'!$D$3:$D$2000,MATCH(H381,'Both teabags AfterDry'!$A$3:$A$2000,0)),"")</f>
        <v/>
      </c>
      <c r="T381" s="194" t="str">
        <f>IFERROR(INDEX('Both teabags AfterDry'!$D$3:$D$2000,MATCH(I381,'Both teabags AfterDry'!$A$3:$A$2000,0)),"")</f>
        <v/>
      </c>
      <c r="U381" s="194" t="str">
        <f t="shared" si="58"/>
        <v/>
      </c>
      <c r="V381" s="194" t="str">
        <f t="shared" si="59"/>
        <v/>
      </c>
      <c r="W381" s="194" t="str">
        <f>IFERROR(INDEX('Ashed teabags dry'!$K$2:$K$2000,MATCH(H381,'Ashed teabags dry'!$A$2:$A$2000,0)),"")</f>
        <v/>
      </c>
      <c r="X381" s="194" t="str">
        <f>IFERROR(INDEX('Ashed teabags dry'!$K$2:$K$2000,MATCH(I381,'Ashed teabags dry'!$A$2:$A$2000,0)),"")</f>
        <v/>
      </c>
      <c r="Y381" s="194" t="str">
        <f t="shared" si="54"/>
        <v/>
      </c>
      <c r="Z381" s="194" t="str">
        <f t="shared" si="54"/>
        <v/>
      </c>
      <c r="AA381" s="194" t="str">
        <f t="shared" si="60"/>
        <v/>
      </c>
      <c r="AB381" s="194" t="str">
        <f t="shared" si="61"/>
        <v/>
      </c>
      <c r="AC381" s="194" t="str">
        <f t="shared" si="55"/>
        <v/>
      </c>
      <c r="AD381">
        <f t="shared" si="62"/>
        <v>69</v>
      </c>
      <c r="AE381" s="194" t="str">
        <f t="shared" si="63"/>
        <v/>
      </c>
      <c r="AF381" s="194" t="str">
        <f t="shared" si="64"/>
        <v/>
      </c>
      <c r="AG381" s="252" t="str">
        <f>IF(ISNUMBER(SEARCH("C", 'Dry_Litterbag Placem_Collection'!$V88)),"YES","NO")</f>
        <v>NO</v>
      </c>
      <c r="AH381" s="252" t="str">
        <f>IF(ISNUMBER(SEARCH("H", 'Dry_Litterbag Placem_Collection'!$V88)),"YES","NO")</f>
        <v>NO</v>
      </c>
      <c r="AI381" s="252" t="str">
        <f>IF(ISNUMBER(SEARCH("R", 'Dry_Litterbag Placem_Collection'!$V88)),"YES","NO")</f>
        <v>NO</v>
      </c>
      <c r="AJ381" s="252" t="str">
        <f>IF(ISNUMBER(SEARCH("C", 'Dry_Litterbag Placem_Collection'!$U88)),"YES","NO")</f>
        <v>NO</v>
      </c>
      <c r="AK381" s="252" t="str">
        <f>IF(ISNUMBER(SEARCH("H", 'Dry_Litterbag Placem_Collection'!$U88)),"YES","NO")</f>
        <v>NO</v>
      </c>
      <c r="AL381" s="252" t="str">
        <f>IF(ISNUMBER(SEARCH("R", 'Dry_Litterbag Placem_Collection'!$U88)),"YES","NO")</f>
        <v>NO</v>
      </c>
    </row>
    <row r="382" spans="2:38">
      <c r="B382" t="str">
        <f>'Final data_for_R_analysis_Dryse'!A528</f>
        <v>Dry</v>
      </c>
      <c r="C382" s="260">
        <f>'Final data_for_R_analysis_Dryse'!B528</f>
        <v>87</v>
      </c>
      <c r="D382" t="s">
        <v>3813</v>
      </c>
      <c r="E382" t="s">
        <v>25</v>
      </c>
      <c r="F382" s="382">
        <v>7</v>
      </c>
      <c r="G382" s="383">
        <f>IF('Dry_Litterbag Placem_Collection'!E89="","",'Dry_Litterbag Placem_Collection'!E89)</f>
        <v>42937</v>
      </c>
      <c r="H382" s="92" t="str">
        <f>'Final data_for_R_analysis_Dryse'!K528</f>
        <v>G91</v>
      </c>
      <c r="I382" t="str">
        <f>'Final data_for_R_analysis_Dryse'!K748</f>
        <v>R277</v>
      </c>
      <c r="J382">
        <f>IFERROR(INDEX('Green_rooibos initial weight'!$C$5:$C$2000,MATCH(H382, 'Green_rooibos initial weight'!$A$5:$A$2000,0)),"")</f>
        <v>2.044</v>
      </c>
      <c r="K382">
        <f>IFERROR(INDEX('Green_rooibos initial weight'!$C$5:$C$2000,MATCH(I382, 'Green_rooibos initial weight'!$A$5:$A$2000,0)),"")</f>
        <v>2.1949999999999998</v>
      </c>
      <c r="L382" s="194">
        <f t="shared" si="56"/>
        <v>1.7942</v>
      </c>
      <c r="M382" s="237">
        <f>AVERAGE(Ashed_controlls!$K$1:$K$11)</f>
        <v>5.5147656768714146</v>
      </c>
      <c r="N382" s="194">
        <f t="shared" si="52"/>
        <v>1.6952540742255731</v>
      </c>
      <c r="O382" s="194">
        <f t="shared" si="57"/>
        <v>1.9451999999999998</v>
      </c>
      <c r="P382" s="237">
        <f>AVERAGE(Ashed_controlls!$K$12:$K$14)</f>
        <v>2.2816647271287041</v>
      </c>
      <c r="Q382" s="194">
        <f t="shared" si="53"/>
        <v>1.9008170577278922</v>
      </c>
      <c r="R382" s="383">
        <f>IF('Dry_Litterbag Placem_Collection'!G89="","",'Dry_Litterbag Placem_Collection'!G89)</f>
        <v>43006</v>
      </c>
      <c r="S382" s="194">
        <f>IFERROR(INDEX('Both teabags AfterDry'!$D$3:$D$2000,MATCH(H382,'Both teabags AfterDry'!$A$3:$A$2000,0)),"")</f>
        <v>1.8609</v>
      </c>
      <c r="T382" s="194">
        <f>IFERROR(INDEX('Both teabags AfterDry'!$D$3:$D$2000,MATCH(I382,'Both teabags AfterDry'!$A$3:$A$2000,0)),"")</f>
        <v>1.9473</v>
      </c>
      <c r="U382" s="194">
        <f t="shared" si="58"/>
        <v>1.7102999999999999</v>
      </c>
      <c r="V382" s="194">
        <f t="shared" si="59"/>
        <v>1.7967</v>
      </c>
      <c r="W382" s="194">
        <f>IFERROR(INDEX('Ashed teabags dry'!$K$2:$K$2000,MATCH(H382,'Ashed teabags dry'!$A$2:$A$2000,0)),"")</f>
        <v>5.6727613689638741</v>
      </c>
      <c r="X382" s="194">
        <f>IFERROR(INDEX('Ashed teabags dry'!$K$2:$K$2000,MATCH(I382,'Ashed teabags dry'!$A$2:$A$2000,0)),"")</f>
        <v>2.1385402138541729</v>
      </c>
      <c r="Y382" s="194">
        <f t="shared" si="54"/>
        <v>1.6132787623066107</v>
      </c>
      <c r="Z382" s="194">
        <f t="shared" si="54"/>
        <v>1.758276847977682</v>
      </c>
      <c r="AA382" s="194">
        <f t="shared" si="60"/>
        <v>4.8355767530840699E-2</v>
      </c>
      <c r="AB382" s="194">
        <f t="shared" si="61"/>
        <v>3.1701168262498913E-2</v>
      </c>
      <c r="AC382" s="194">
        <f t="shared" si="55"/>
        <v>0.92501108448564051</v>
      </c>
      <c r="AD382">
        <f t="shared" si="62"/>
        <v>69</v>
      </c>
      <c r="AE382" s="194">
        <f t="shared" si="63"/>
        <v>0.94257034735054546</v>
      </c>
      <c r="AF382" s="194" t="str">
        <f t="shared" si="64"/>
        <v/>
      </c>
      <c r="AG382" s="252" t="str">
        <f>IF(ISNUMBER(SEARCH("C", 'Dry_Litterbag Placem_Collection'!$V89)),"YES","NO")</f>
        <v>NO</v>
      </c>
      <c r="AH382" s="252" t="str">
        <f>IF(ISNUMBER(SEARCH("H", 'Dry_Litterbag Placem_Collection'!$V89)),"YES","NO")</f>
        <v>NO</v>
      </c>
      <c r="AI382" s="252" t="str">
        <f>IF(ISNUMBER(SEARCH("R", 'Dry_Litterbag Placem_Collection'!$V89)),"YES","NO")</f>
        <v>NO</v>
      </c>
      <c r="AJ382" s="252" t="str">
        <f>IF(ISNUMBER(SEARCH("C", 'Dry_Litterbag Placem_Collection'!$U89)),"YES","NO")</f>
        <v>NO</v>
      </c>
      <c r="AK382" s="252" t="str">
        <f>IF(ISNUMBER(SEARCH("H", 'Dry_Litterbag Placem_Collection'!$U89)),"YES","NO")</f>
        <v>NO</v>
      </c>
      <c r="AL382" s="252" t="str">
        <f>IF(ISNUMBER(SEARCH("R", 'Dry_Litterbag Placem_Collection'!$U89)),"YES","NO")</f>
        <v>NO</v>
      </c>
    </row>
    <row r="383" spans="2:38">
      <c r="B383" t="str">
        <f>'Final data_for_R_analysis_Dryse'!A529</f>
        <v>Dry</v>
      </c>
      <c r="C383" s="260">
        <f>'Final data_for_R_analysis_Dryse'!B529</f>
        <v>88</v>
      </c>
      <c r="D383" t="s">
        <v>3813</v>
      </c>
      <c r="E383" t="s">
        <v>25</v>
      </c>
      <c r="F383" s="382">
        <v>8</v>
      </c>
      <c r="G383" s="383">
        <f>IF('Dry_Litterbag Placem_Collection'!E90="","",'Dry_Litterbag Placem_Collection'!E90)</f>
        <v>42937</v>
      </c>
      <c r="H383" s="92" t="str">
        <f>'Final data_for_R_analysis_Dryse'!K529</f>
        <v>G364</v>
      </c>
      <c r="I383" t="str">
        <f>'Final data_for_R_analysis_Dryse'!K749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56"/>
        <v>1.8071999999999999</v>
      </c>
      <c r="M383" s="237">
        <f>AVERAGE(Ashed_controlls!$K$1:$K$11)</f>
        <v>5.5147656768714146</v>
      </c>
      <c r="N383" s="194">
        <f t="shared" si="52"/>
        <v>1.7075371546875797</v>
      </c>
      <c r="O383" s="194">
        <f t="shared" si="57"/>
        <v>1.9832000000000001</v>
      </c>
      <c r="P383" s="237">
        <f>AVERAGE(Ashed_controlls!$K$12:$K$14)</f>
        <v>2.2816647271287041</v>
      </c>
      <c r="Q383" s="194">
        <f t="shared" si="53"/>
        <v>1.9379500251315835</v>
      </c>
      <c r="R383" s="383">
        <f>IF('Dry_Litterbag Placem_Collection'!G90="","",'Dry_Litterbag Placem_Collection'!G90)</f>
        <v>43006</v>
      </c>
      <c r="S383" s="194">
        <f>IFERROR(INDEX('Both teabags AfterDry'!$D$3:$D$2000,MATCH(H383,'Both teabags AfterDry'!$A$3:$A$2000,0)),"")</f>
        <v>1.8589</v>
      </c>
      <c r="T383" s="194">
        <f>IFERROR(INDEX('Both teabags AfterDry'!$D$3:$D$2000,MATCH(I383,'Both teabags AfterDry'!$A$3:$A$2000,0)),"")</f>
        <v>1.9945999999999999</v>
      </c>
      <c r="U383" s="194">
        <f t="shared" si="58"/>
        <v>1.7082999999999999</v>
      </c>
      <c r="V383" s="194">
        <f t="shared" si="59"/>
        <v>1.8439999999999999</v>
      </c>
      <c r="W383" s="194">
        <f>IFERROR(INDEX('Ashed teabags dry'!$K$2:$K$2000,MATCH(H383,'Ashed teabags dry'!$A$2:$A$2000,0)),"")</f>
        <v>6.3441350981288833</v>
      </c>
      <c r="X383" s="194">
        <f>IFERROR(INDEX('Ashed teabags dry'!$K$2:$K$2000,MATCH(I383,'Ashed teabags dry'!$A$2:$A$2000,0)),"")</f>
        <v>1.9186843307443828</v>
      </c>
      <c r="Y383" s="194">
        <f t="shared" si="54"/>
        <v>1.5999231401186642</v>
      </c>
      <c r="Z383" s="194">
        <f t="shared" si="54"/>
        <v>1.8086194609410735</v>
      </c>
      <c r="AA383" s="194">
        <f t="shared" si="60"/>
        <v>6.3022941710808689E-2</v>
      </c>
      <c r="AB383" s="194">
        <f t="shared" si="61"/>
        <v>4.1316702879295036E-2</v>
      </c>
      <c r="AC383" s="194">
        <f t="shared" si="55"/>
        <v>0.93326424184662415</v>
      </c>
      <c r="AD383">
        <f t="shared" si="62"/>
        <v>69</v>
      </c>
      <c r="AE383" s="194">
        <f t="shared" si="63"/>
        <v>0.92515090058098726</v>
      </c>
      <c r="AF383" s="194" t="str">
        <f t="shared" si="64"/>
        <v/>
      </c>
      <c r="AG383" s="252" t="str">
        <f>IF(ISNUMBER(SEARCH("C", 'Dry_Litterbag Placem_Collection'!$V90)),"YES","NO")</f>
        <v>NO</v>
      </c>
      <c r="AH383" s="252" t="str">
        <f>IF(ISNUMBER(SEARCH("H", 'Dry_Litterbag Placem_Collection'!$V90)),"YES","NO")</f>
        <v>NO</v>
      </c>
      <c r="AI383" s="252" t="str">
        <f>IF(ISNUMBER(SEARCH("R", 'Dry_Litterbag Placem_Collection'!$V90)),"YES","NO")</f>
        <v>NO</v>
      </c>
      <c r="AJ383" s="252" t="str">
        <f>IF(ISNUMBER(SEARCH("C", 'Dry_Litterbag Placem_Collection'!$U90)),"YES","NO")</f>
        <v>NO</v>
      </c>
      <c r="AK383" s="252" t="str">
        <f>IF(ISNUMBER(SEARCH("H", 'Dry_Litterbag Placem_Collection'!$U90)),"YES","NO")</f>
        <v>NO</v>
      </c>
      <c r="AL383" s="252" t="str">
        <f>IF(ISNUMBER(SEARCH("R", 'Dry_Litterbag Placem_Collection'!$U90)),"YES","NO")</f>
        <v>NO</v>
      </c>
    </row>
    <row r="384" spans="2:38">
      <c r="B384" t="str">
        <f>'Final data_for_R_analysis_Dryse'!A530</f>
        <v>Dry</v>
      </c>
      <c r="C384" s="260">
        <f>'Final data_for_R_analysis_Dryse'!B530</f>
        <v>89</v>
      </c>
      <c r="D384" t="s">
        <v>3814</v>
      </c>
      <c r="E384" t="s">
        <v>25</v>
      </c>
      <c r="F384" s="381">
        <v>1</v>
      </c>
      <c r="G384" s="383">
        <f>IF('Dry_Litterbag Placem_Collection'!E91="","",'Dry_Litterbag Placem_Collection'!E91)</f>
        <v>42937</v>
      </c>
      <c r="H384" s="92" t="str">
        <f>'Final data_for_R_analysis_Dryse'!K530</f>
        <v>G862</v>
      </c>
      <c r="I384" t="str">
        <f>'Final data_for_R_analysis_Dryse'!K750</f>
        <v>R841</v>
      </c>
      <c r="J384">
        <f>IFERROR(INDEX('Green_rooibos initial weight'!$C$5:$C$2000,MATCH(H384, 'Green_rooibos initial weight'!$A$5:$A$2000,0)),"")</f>
        <v>1.996</v>
      </c>
      <c r="K384">
        <f>IFERROR(INDEX('Green_rooibos initial weight'!$C$5:$C$2000,MATCH(I384, 'Green_rooibos initial weight'!$A$5:$A$2000,0)),"")</f>
        <v>2.13</v>
      </c>
      <c r="L384" s="194">
        <f t="shared" si="56"/>
        <v>1.7462</v>
      </c>
      <c r="M384" s="237">
        <f>AVERAGE(Ashed_controlls!$K$1:$K$11)</f>
        <v>5.5147656768714146</v>
      </c>
      <c r="N384" s="194">
        <f t="shared" si="52"/>
        <v>1.6499011617504713</v>
      </c>
      <c r="O384" s="194">
        <f t="shared" si="57"/>
        <v>1.8801999999999999</v>
      </c>
      <c r="P384" s="237">
        <f>AVERAGE(Ashed_controlls!$K$12:$K$14)</f>
        <v>2.2816647271287041</v>
      </c>
      <c r="Q384" s="194">
        <f t="shared" si="53"/>
        <v>1.837300139800526</v>
      </c>
      <c r="R384" s="383">
        <f>IF('Dry_Litterbag Placem_Collection'!G91="","",'Dry_Litterbag Placem_Collection'!G91)</f>
        <v>43006</v>
      </c>
      <c r="S384" s="194">
        <f>IFERROR(INDEX('Both teabags AfterDry'!$D$3:$D$2000,MATCH(H384,'Both teabags AfterDry'!$A$3:$A$2000,0)),"")</f>
        <v>1.8160000000000001</v>
      </c>
      <c r="T384" s="194">
        <f>IFERROR(INDEX('Both teabags AfterDry'!$D$3:$D$2000,MATCH(I384,'Both teabags AfterDry'!$A$3:$A$2000,0)),"")</f>
        <v>1.9592000000000001</v>
      </c>
      <c r="U384" s="194">
        <f t="shared" si="58"/>
        <v>1.6654</v>
      </c>
      <c r="V384" s="194">
        <f t="shared" si="59"/>
        <v>1.8086</v>
      </c>
      <c r="W384" s="194">
        <f>IFERROR(INDEX('Ashed teabags dry'!$K$2:$K$2000,MATCH(H384,'Ashed teabags dry'!$A$2:$A$2000,0)),"")</f>
        <v>6.0205580029367782</v>
      </c>
      <c r="X384" s="194">
        <f>IFERROR(INDEX('Ashed teabags dry'!$K$2:$K$2000,MATCH(I384,'Ashed teabags dry'!$A$2:$A$2000,0)),"")</f>
        <v>1.8271604938270138</v>
      </c>
      <c r="Y384" s="194">
        <f t="shared" si="54"/>
        <v>1.565133627019091</v>
      </c>
      <c r="Z384" s="194">
        <f t="shared" si="54"/>
        <v>1.7755539753086447</v>
      </c>
      <c r="AA384" s="194">
        <f t="shared" si="60"/>
        <v>5.137734107747749E-2</v>
      </c>
      <c r="AB384" s="194">
        <f t="shared" si="61"/>
        <v>3.368205733345319E-2</v>
      </c>
      <c r="AC384" s="194">
        <f t="shared" si="55"/>
        <v>0.96639298982550281</v>
      </c>
      <c r="AD384">
        <f t="shared" si="62"/>
        <v>69</v>
      </c>
      <c r="AE384" s="194">
        <f t="shared" si="63"/>
        <v>0.93898178019301959</v>
      </c>
      <c r="AF384" s="194">
        <f t="shared" si="64"/>
        <v>8.8501505060867333E-2</v>
      </c>
      <c r="AG384" s="252" t="str">
        <f>IF(ISNUMBER(SEARCH("C", 'Dry_Litterbag Placem_Collection'!$V91)),"YES","NO")</f>
        <v>NO</v>
      </c>
      <c r="AH384" s="252" t="str">
        <f>IF(ISNUMBER(SEARCH("H", 'Dry_Litterbag Placem_Collection'!$V91)),"YES","NO")</f>
        <v>NO</v>
      </c>
      <c r="AI384" s="252" t="str">
        <f>IF(ISNUMBER(SEARCH("R", 'Dry_Litterbag Placem_Collection'!$V91)),"YES","NO")</f>
        <v>NO</v>
      </c>
      <c r="AJ384" s="252" t="str">
        <f>IF(ISNUMBER(SEARCH("C", 'Dry_Litterbag Placem_Collection'!$U91)),"YES","NO")</f>
        <v>NO</v>
      </c>
      <c r="AK384" s="252" t="str">
        <f>IF(ISNUMBER(SEARCH("H", 'Dry_Litterbag Placem_Collection'!$U91)),"YES","NO")</f>
        <v>NO</v>
      </c>
      <c r="AL384" s="252" t="str">
        <f>IF(ISNUMBER(SEARCH("R", 'Dry_Litterbag Placem_Collection'!$U91)),"YES","NO")</f>
        <v>NO</v>
      </c>
    </row>
    <row r="385" spans="2:38">
      <c r="B385" t="str">
        <f>'Final data_for_R_analysis_Dryse'!A531</f>
        <v>Dry</v>
      </c>
      <c r="C385" s="260">
        <f>'Final data_for_R_analysis_Dryse'!B531</f>
        <v>90</v>
      </c>
      <c r="D385" t="s">
        <v>3814</v>
      </c>
      <c r="E385" t="s">
        <v>25</v>
      </c>
      <c r="F385" s="381">
        <v>2</v>
      </c>
      <c r="G385" s="383">
        <f>IF('Dry_Litterbag Placem_Collection'!E92="","",'Dry_Litterbag Placem_Collection'!E92)</f>
        <v>42937</v>
      </c>
      <c r="H385" s="92" t="str">
        <f>'Final data_for_R_analysis_Dryse'!K531</f>
        <v>G330</v>
      </c>
      <c r="I385" t="str">
        <f>'Final data_for_R_analysis_Dryse'!K751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56"/>
        <v>1.8881999999999999</v>
      </c>
      <c r="M385" s="237">
        <f>AVERAGE(Ashed_controlls!$K$1:$K$11)</f>
        <v>5.5147656768714146</v>
      </c>
      <c r="N385" s="194">
        <f t="shared" si="52"/>
        <v>1.7840701944893138</v>
      </c>
      <c r="O385" s="194">
        <f t="shared" si="57"/>
        <v>1.9771999999999998</v>
      </c>
      <c r="P385" s="237">
        <f>AVERAGE(Ashed_controlls!$K$12:$K$14)</f>
        <v>2.2816647271287041</v>
      </c>
      <c r="Q385" s="194">
        <f t="shared" si="53"/>
        <v>1.9320869250152111</v>
      </c>
      <c r="R385" s="383">
        <f>IF('Dry_Litterbag Placem_Collection'!G92="","",'Dry_Litterbag Placem_Collection'!G92)</f>
        <v>43006</v>
      </c>
      <c r="S385" s="194" t="str">
        <f>IFERROR(INDEX('Both teabags AfterDry'!$D$3:$D$2000,MATCH(H385,'Both teabags AfterDry'!$A$3:$A$2000,0)),"")</f>
        <v/>
      </c>
      <c r="T385" s="194" t="str">
        <f>IFERROR(INDEX('Both teabags AfterDry'!$D$3:$D$2000,MATCH(I385,'Both teabags AfterDry'!$A$3:$A$2000,0)),"")</f>
        <v/>
      </c>
      <c r="U385" s="194" t="str">
        <f t="shared" si="58"/>
        <v/>
      </c>
      <c r="V385" s="194" t="str">
        <f t="shared" si="59"/>
        <v/>
      </c>
      <c r="W385" s="194" t="str">
        <f>IFERROR(INDEX('Ashed teabags dry'!$K$2:$K$2000,MATCH(H385,'Ashed teabags dry'!$A$2:$A$2000,0)),"")</f>
        <v/>
      </c>
      <c r="X385" s="194" t="str">
        <f>IFERROR(INDEX('Ashed teabags dry'!$K$2:$K$2000,MATCH(I385,'Ashed teabags dry'!$A$2:$A$2000,0)),"")</f>
        <v/>
      </c>
      <c r="Y385" s="194" t="str">
        <f t="shared" si="54"/>
        <v/>
      </c>
      <c r="Z385" s="194" t="str">
        <f t="shared" si="54"/>
        <v/>
      </c>
      <c r="AA385" s="194" t="str">
        <f t="shared" si="60"/>
        <v/>
      </c>
      <c r="AB385" s="194" t="str">
        <f t="shared" si="61"/>
        <v/>
      </c>
      <c r="AC385" s="194" t="str">
        <f t="shared" si="55"/>
        <v/>
      </c>
      <c r="AD385">
        <f t="shared" si="62"/>
        <v>69</v>
      </c>
      <c r="AE385" s="194" t="str">
        <f t="shared" si="63"/>
        <v/>
      </c>
      <c r="AF385" s="194" t="str">
        <f t="shared" si="64"/>
        <v/>
      </c>
      <c r="AG385" s="252" t="str">
        <f>IF(ISNUMBER(SEARCH("C", 'Dry_Litterbag Placem_Collection'!$V92)),"YES","NO")</f>
        <v>NO</v>
      </c>
      <c r="AH385" s="252" t="str">
        <f>IF(ISNUMBER(SEARCH("H", 'Dry_Litterbag Placem_Collection'!$V92)),"YES","NO")</f>
        <v>NO</v>
      </c>
      <c r="AI385" s="252" t="str">
        <f>IF(ISNUMBER(SEARCH("R", 'Dry_Litterbag Placem_Collection'!$V92)),"YES","NO")</f>
        <v>NO</v>
      </c>
      <c r="AJ385" s="252" t="str">
        <f>IF(ISNUMBER(SEARCH("C", 'Dry_Litterbag Placem_Collection'!$U92)),"YES","NO")</f>
        <v>NO</v>
      </c>
      <c r="AK385" s="252" t="str">
        <f>IF(ISNUMBER(SEARCH("H", 'Dry_Litterbag Placem_Collection'!$U92)),"YES","NO")</f>
        <v>NO</v>
      </c>
      <c r="AL385" s="252" t="str">
        <f>IF(ISNUMBER(SEARCH("R", 'Dry_Litterbag Placem_Collection'!$U92)),"YES","NO")</f>
        <v>NO</v>
      </c>
    </row>
    <row r="386" spans="2:38">
      <c r="B386" t="str">
        <f>'Final data_for_R_analysis_Dryse'!A532</f>
        <v>Dry</v>
      </c>
      <c r="C386" s="260">
        <f>'Final data_for_R_analysis_Dryse'!B532</f>
        <v>91</v>
      </c>
      <c r="D386" t="s">
        <v>3814</v>
      </c>
      <c r="E386" t="s">
        <v>25</v>
      </c>
      <c r="F386" s="381">
        <v>3</v>
      </c>
      <c r="G386" s="383">
        <f>IF('Dry_Litterbag Placem_Collection'!E93="","",'Dry_Litterbag Placem_Collection'!E93)</f>
        <v>42937</v>
      </c>
      <c r="H386" s="92" t="str">
        <f>'Final data_for_R_analysis_Dryse'!K532</f>
        <v>G596</v>
      </c>
      <c r="I386" t="str">
        <f>'Final data_for_R_analysis_Dryse'!K752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56"/>
        <v>1.7681999999999998</v>
      </c>
      <c r="M386" s="237">
        <f>AVERAGE(Ashed_controlls!$K$1:$K$11)</f>
        <v>5.5147656768714146</v>
      </c>
      <c r="N386" s="194">
        <f t="shared" si="52"/>
        <v>1.6706879133015595</v>
      </c>
      <c r="O386" s="194">
        <f t="shared" si="57"/>
        <v>1.9851999999999999</v>
      </c>
      <c r="P386" s="237">
        <f>AVERAGE(Ashed_controlls!$K$12:$K$14)</f>
        <v>2.2816647271287041</v>
      </c>
      <c r="Q386" s="194">
        <f t="shared" si="53"/>
        <v>1.9399043918370409</v>
      </c>
      <c r="R386" s="383">
        <f>IF('Dry_Litterbag Placem_Collection'!G93="","",'Dry_Litterbag Placem_Collection'!G93)</f>
        <v>43006</v>
      </c>
      <c r="S386" s="194">
        <f>IFERROR(INDEX('Both teabags AfterDry'!$D$3:$D$2000,MATCH(H386,'Both teabags AfterDry'!$A$3:$A$2000,0)),"")</f>
        <v>1.8642000000000001</v>
      </c>
      <c r="T386" s="194">
        <f>IFERROR(INDEX('Both teabags AfterDry'!$D$3:$D$2000,MATCH(I386,'Both teabags AfterDry'!$A$3:$A$2000,0)),"")</f>
        <v>2.0495999999999999</v>
      </c>
      <c r="U386" s="194">
        <f t="shared" si="58"/>
        <v>1.7136</v>
      </c>
      <c r="V386" s="194">
        <f t="shared" si="59"/>
        <v>1.8989999999999998</v>
      </c>
      <c r="W386" s="194">
        <f>IFERROR(INDEX('Ashed teabags dry'!$K$2:$K$2000,MATCH(H386,'Ashed teabags dry'!$A$2:$A$2000,0)),"")</f>
        <v>5.1882845188279267</v>
      </c>
      <c r="X386" s="194">
        <f>IFERROR(INDEX('Ashed teabags dry'!$K$2:$K$2000,MATCH(I386,'Ashed teabags dry'!$A$2:$A$2000,0)),"")</f>
        <v>4.1826717883060072</v>
      </c>
      <c r="Y386" s="194">
        <f t="shared" si="54"/>
        <v>1.6246935564853646</v>
      </c>
      <c r="Z386" s="194">
        <f t="shared" si="54"/>
        <v>1.8195710627400687</v>
      </c>
      <c r="AA386" s="194">
        <f t="shared" si="60"/>
        <v>2.7530190677744426E-2</v>
      </c>
      <c r="AB386" s="194">
        <f t="shared" si="61"/>
        <v>1.804829602626476E-2</v>
      </c>
      <c r="AC386" s="194">
        <f t="shared" si="55"/>
        <v>0.93796945375074925</v>
      </c>
      <c r="AD386">
        <f t="shared" si="62"/>
        <v>69</v>
      </c>
      <c r="AE386" s="194">
        <f t="shared" si="63"/>
        <v>0.96730381154662182</v>
      </c>
      <c r="AF386" s="194" t="str">
        <f t="shared" si="64"/>
        <v/>
      </c>
      <c r="AG386" s="252" t="str">
        <f>IF(ISNUMBER(SEARCH("C", 'Dry_Litterbag Placem_Collection'!$V93)),"YES","NO")</f>
        <v>NO</v>
      </c>
      <c r="AH386" s="252" t="str">
        <f>IF(ISNUMBER(SEARCH("H", 'Dry_Litterbag Placem_Collection'!$V93)),"YES","NO")</f>
        <v>NO</v>
      </c>
      <c r="AI386" s="252" t="str">
        <f>IF(ISNUMBER(SEARCH("R", 'Dry_Litterbag Placem_Collection'!$V93)),"YES","NO")</f>
        <v>NO</v>
      </c>
      <c r="AJ386" s="252" t="str">
        <f>IF(ISNUMBER(SEARCH("C", 'Dry_Litterbag Placem_Collection'!$U93)),"YES","NO")</f>
        <v>NO</v>
      </c>
      <c r="AK386" s="252" t="str">
        <f>IF(ISNUMBER(SEARCH("H", 'Dry_Litterbag Placem_Collection'!$U93)),"YES","NO")</f>
        <v>NO</v>
      </c>
      <c r="AL386" s="252" t="str">
        <f>IF(ISNUMBER(SEARCH("R", 'Dry_Litterbag Placem_Collection'!$U93)),"YES","NO")</f>
        <v>NO</v>
      </c>
    </row>
    <row r="387" spans="2:38">
      <c r="B387" t="str">
        <f>'Final data_for_R_analysis_Dryse'!A533</f>
        <v>Dry</v>
      </c>
      <c r="C387" s="260">
        <f>'Final data_for_R_analysis_Dryse'!B533</f>
        <v>92</v>
      </c>
      <c r="D387" t="s">
        <v>3814</v>
      </c>
      <c r="E387" t="s">
        <v>25</v>
      </c>
      <c r="F387" s="382">
        <v>4</v>
      </c>
      <c r="G387" s="383">
        <f>IF('Dry_Litterbag Placem_Collection'!E94="","",'Dry_Litterbag Placem_Collection'!E94)</f>
        <v>42937</v>
      </c>
      <c r="H387" s="92" t="str">
        <f>'Final data_for_R_analysis_Dryse'!K533</f>
        <v>G380</v>
      </c>
      <c r="I387" t="str">
        <f>'Final data_for_R_analysis_Dryse'!K753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56"/>
        <v>1.8121999999999998</v>
      </c>
      <c r="M387" s="237">
        <f>AVERAGE(Ashed_controlls!$K$1:$K$11)</f>
        <v>5.5147656768714146</v>
      </c>
      <c r="N387" s="194">
        <f t="shared" si="52"/>
        <v>1.712261416403736</v>
      </c>
      <c r="O387" s="194">
        <f t="shared" si="57"/>
        <v>1.8982000000000001</v>
      </c>
      <c r="P387" s="237">
        <f>AVERAGE(Ashed_controlls!$K$12:$K$14)</f>
        <v>2.2816647271287041</v>
      </c>
      <c r="Q387" s="194">
        <f t="shared" si="53"/>
        <v>1.854889440149643</v>
      </c>
      <c r="R387" s="383">
        <f>IF('Dry_Litterbag Placem_Collection'!G94="","",'Dry_Litterbag Placem_Collection'!G94)</f>
        <v>43006</v>
      </c>
      <c r="S387" s="194">
        <f>IFERROR(INDEX('Both teabags AfterDry'!$D$3:$D$2000,MATCH(H387,'Both teabags AfterDry'!$A$3:$A$2000,0)),"")</f>
        <v>1.8685</v>
      </c>
      <c r="T387" s="194">
        <f>IFERROR(INDEX('Both teabags AfterDry'!$D$3:$D$2000,MATCH(I387,'Both teabags AfterDry'!$A$3:$A$2000,0)),"")</f>
        <v>1.9713000000000001</v>
      </c>
      <c r="U387" s="194">
        <f t="shared" si="58"/>
        <v>1.7179</v>
      </c>
      <c r="V387" s="194">
        <f t="shared" si="59"/>
        <v>1.8207</v>
      </c>
      <c r="W387" s="194">
        <f>IFERROR(INDEX('Ashed teabags dry'!$K$2:$K$2000,MATCH(H387,'Ashed teabags dry'!$A$2:$A$2000,0)),"")</f>
        <v>5.9040590405909334</v>
      </c>
      <c r="X387" s="194">
        <f>IFERROR(INDEX('Ashed teabags dry'!$K$2:$K$2000,MATCH(I387,'Ashed teabags dry'!$A$2:$A$2000,0)),"")</f>
        <v>3.4364261168385459</v>
      </c>
      <c r="Y387" s="194">
        <f t="shared" si="54"/>
        <v>1.6164741697416884</v>
      </c>
      <c r="Z387" s="194">
        <f t="shared" si="54"/>
        <v>1.7581329896907205</v>
      </c>
      <c r="AA387" s="194">
        <f t="shared" si="60"/>
        <v>5.5941952405392348E-2</v>
      </c>
      <c r="AB387" s="194">
        <f t="shared" si="61"/>
        <v>3.6674534118499511E-2</v>
      </c>
      <c r="AC387" s="194">
        <f t="shared" si="55"/>
        <v>0.94783707946975182</v>
      </c>
      <c r="AD387">
        <f t="shared" si="62"/>
        <v>69</v>
      </c>
      <c r="AE387" s="194">
        <f t="shared" si="63"/>
        <v>0.93356062659692118</v>
      </c>
      <c r="AF387" s="194" t="str">
        <f t="shared" si="64"/>
        <v/>
      </c>
      <c r="AG387" s="252" t="str">
        <f>IF(ISNUMBER(SEARCH("C", 'Dry_Litterbag Placem_Collection'!$V94)),"YES","NO")</f>
        <v>NO</v>
      </c>
      <c r="AH387" s="252" t="str">
        <f>IF(ISNUMBER(SEARCH("H", 'Dry_Litterbag Placem_Collection'!$V94)),"YES","NO")</f>
        <v>NO</v>
      </c>
      <c r="AI387" s="252" t="str">
        <f>IF(ISNUMBER(SEARCH("R", 'Dry_Litterbag Placem_Collection'!$V94)),"YES","NO")</f>
        <v>NO</v>
      </c>
      <c r="AJ387" s="252" t="str">
        <f>IF(ISNUMBER(SEARCH("C", 'Dry_Litterbag Placem_Collection'!$U94)),"YES","NO")</f>
        <v>NO</v>
      </c>
      <c r="AK387" s="252" t="str">
        <f>IF(ISNUMBER(SEARCH("H", 'Dry_Litterbag Placem_Collection'!$U94)),"YES","NO")</f>
        <v>NO</v>
      </c>
      <c r="AL387" s="252" t="str">
        <f>IF(ISNUMBER(SEARCH("R", 'Dry_Litterbag Placem_Collection'!$U94)),"YES","NO")</f>
        <v>NO</v>
      </c>
    </row>
    <row r="388" spans="2:38">
      <c r="B388" t="str">
        <f>'Final data_for_R_analysis_Dryse'!A534</f>
        <v>Dry</v>
      </c>
      <c r="C388" s="260">
        <f>'Final data_for_R_analysis_Dryse'!B534</f>
        <v>93</v>
      </c>
      <c r="D388" t="s">
        <v>3814</v>
      </c>
      <c r="E388" t="s">
        <v>25</v>
      </c>
      <c r="F388" s="382">
        <v>5</v>
      </c>
      <c r="G388" s="383">
        <f>IF('Dry_Litterbag Placem_Collection'!E95="","",'Dry_Litterbag Placem_Collection'!E95)</f>
        <v>42937</v>
      </c>
      <c r="H388" s="92" t="str">
        <f>'Final data_for_R_analysis_Dryse'!K534</f>
        <v>G872</v>
      </c>
      <c r="I388" t="str">
        <f>'Final data_for_R_analysis_Dryse'!K754</f>
        <v>R106</v>
      </c>
      <c r="J388">
        <f>IFERROR(INDEX('Green_rooibos initial weight'!$C$5:$C$2000,MATCH(H388, 'Green_rooibos initial weight'!$A$5:$A$2000,0)),"")</f>
        <v>2.008</v>
      </c>
      <c r="K388">
        <f>IFERROR(INDEX('Green_rooibos initial weight'!$C$5:$C$2000,MATCH(I388, 'Green_rooibos initial weight'!$A$5:$A$2000,0)),"")</f>
        <v>2.2330000000000001</v>
      </c>
      <c r="L388" s="194">
        <f t="shared" si="56"/>
        <v>1.7582</v>
      </c>
      <c r="M388" s="237">
        <f>AVERAGE(Ashed_controlls!$K$1:$K$11)</f>
        <v>5.5147656768714146</v>
      </c>
      <c r="N388" s="194">
        <f t="shared" si="52"/>
        <v>1.6612393898692468</v>
      </c>
      <c r="O388" s="194">
        <f t="shared" si="57"/>
        <v>1.9832000000000001</v>
      </c>
      <c r="P388" s="237">
        <f>AVERAGE(Ashed_controlls!$K$12:$K$14)</f>
        <v>2.2816647271287041</v>
      </c>
      <c r="Q388" s="194">
        <f t="shared" si="53"/>
        <v>1.9379500251315835</v>
      </c>
      <c r="R388" s="383">
        <f>IF('Dry_Litterbag Placem_Collection'!G95="","",'Dry_Litterbag Placem_Collection'!G95)</f>
        <v>43006</v>
      </c>
      <c r="S388" s="194">
        <f>IFERROR(INDEX('Both teabags AfterDry'!$D$3:$D$2000,MATCH(H388,'Both teabags AfterDry'!$A$3:$A$2000,0)),"")</f>
        <v>1.8389</v>
      </c>
      <c r="T388" s="194">
        <f>IFERROR(INDEX('Both teabags AfterDry'!$D$3:$D$2000,MATCH(I388,'Both teabags AfterDry'!$A$3:$A$2000,0)),"")</f>
        <v>2.0352999999999999</v>
      </c>
      <c r="U388" s="194">
        <f t="shared" si="58"/>
        <v>1.6882999999999999</v>
      </c>
      <c r="V388" s="194">
        <f t="shared" si="59"/>
        <v>1.8846999999999998</v>
      </c>
      <c r="W388" s="194">
        <f>IFERROR(INDEX('Ashed teabags dry'!$K$2:$K$2000,MATCH(H388,'Ashed teabags dry'!$A$2:$A$2000,0)),"")</f>
        <v>5.7008144020571656</v>
      </c>
      <c r="X388" s="194">
        <f>IFERROR(INDEX('Ashed teabags dry'!$K$2:$K$2000,MATCH(I388,'Ashed teabags dry'!$A$2:$A$2000,0)),"")</f>
        <v>2.5896414342635063</v>
      </c>
      <c r="Y388" s="194">
        <f t="shared" si="54"/>
        <v>1.5920531504500688</v>
      </c>
      <c r="Z388" s="194">
        <f t="shared" si="54"/>
        <v>1.8358930278884356</v>
      </c>
      <c r="AA388" s="194">
        <f t="shared" si="60"/>
        <v>4.1647362710694913E-2</v>
      </c>
      <c r="AB388" s="194">
        <f t="shared" si="61"/>
        <v>2.7303259164256039E-2</v>
      </c>
      <c r="AC388" s="194">
        <f t="shared" si="55"/>
        <v>0.94733765271567383</v>
      </c>
      <c r="AD388">
        <f t="shared" si="62"/>
        <v>69</v>
      </c>
      <c r="AE388" s="194">
        <f t="shared" si="63"/>
        <v>0.95053757397779703</v>
      </c>
      <c r="AF388" s="194" t="str">
        <f t="shared" si="64"/>
        <v/>
      </c>
      <c r="AG388" s="252" t="str">
        <f>IF(ISNUMBER(SEARCH("C", 'Dry_Litterbag Placem_Collection'!$V95)),"YES","NO")</f>
        <v>NO</v>
      </c>
      <c r="AH388" s="252" t="str">
        <f>IF(ISNUMBER(SEARCH("H", 'Dry_Litterbag Placem_Collection'!$V95)),"YES","NO")</f>
        <v>NO</v>
      </c>
      <c r="AI388" s="252" t="str">
        <f>IF(ISNUMBER(SEARCH("R", 'Dry_Litterbag Placem_Collection'!$V95)),"YES","NO")</f>
        <v>NO</v>
      </c>
      <c r="AJ388" s="252" t="str">
        <f>IF(ISNUMBER(SEARCH("C", 'Dry_Litterbag Placem_Collection'!$U95)),"YES","NO")</f>
        <v>NO</v>
      </c>
      <c r="AK388" s="252" t="str">
        <f>IF(ISNUMBER(SEARCH("H", 'Dry_Litterbag Placem_Collection'!$U95)),"YES","NO")</f>
        <v>NO</v>
      </c>
      <c r="AL388" s="252" t="str">
        <f>IF(ISNUMBER(SEARCH("R", 'Dry_Litterbag Placem_Collection'!$U95)),"YES","NO")</f>
        <v>NO</v>
      </c>
    </row>
    <row r="389" spans="2:38">
      <c r="B389" t="str">
        <f>'Final data_for_R_analysis_Dryse'!A535</f>
        <v>Dry</v>
      </c>
      <c r="C389" s="260">
        <f>'Final data_for_R_analysis_Dryse'!B535</f>
        <v>94</v>
      </c>
      <c r="D389" t="s">
        <v>3814</v>
      </c>
      <c r="E389" t="s">
        <v>25</v>
      </c>
      <c r="F389" s="382">
        <v>6</v>
      </c>
      <c r="G389" s="383" t="str">
        <f>IF('Dry_Litterbag Placem_Collection'!E96="","",'Dry_Litterbag Placem_Collection'!E96)</f>
        <v/>
      </c>
      <c r="H389" s="92" t="str">
        <f>'Final data_for_R_analysis_Dryse'!K535</f>
        <v/>
      </c>
      <c r="I389" t="str">
        <f>'Final data_for_R_analysis_Dryse'!K755</f>
        <v/>
      </c>
      <c r="J389" t="str">
        <f>IFERROR(INDEX('Green_rooibos initial weight'!$C$5:$C$2000,MATCH(H389, 'Green_rooibos initial weight'!$A$5:$A$2000,0)),"")</f>
        <v/>
      </c>
      <c r="K389" t="str">
        <f>IFERROR(INDEX('Green_rooibos initial weight'!$C$5:$C$2000,MATCH(I389, 'Green_rooibos initial weight'!$A$5:$A$2000,0)),"")</f>
        <v/>
      </c>
      <c r="L389" s="194" t="str">
        <f t="shared" si="56"/>
        <v/>
      </c>
      <c r="M389" s="237">
        <f>AVERAGE(Ashed_controlls!$K$1:$K$11)</f>
        <v>5.5147656768714146</v>
      </c>
      <c r="N389" s="194" t="str">
        <f t="shared" si="52"/>
        <v/>
      </c>
      <c r="O389" s="194" t="str">
        <f t="shared" si="57"/>
        <v/>
      </c>
      <c r="P389" s="237">
        <f>AVERAGE(Ashed_controlls!$K$12:$K$14)</f>
        <v>2.2816647271287041</v>
      </c>
      <c r="Q389" s="194" t="str">
        <f t="shared" si="53"/>
        <v/>
      </c>
      <c r="R389" s="383" t="str">
        <f>IF('Dry_Litterbag Placem_Collection'!G96="","",'Dry_Litterbag Placem_Collection'!G96)</f>
        <v/>
      </c>
      <c r="S389" s="194" t="str">
        <f>IFERROR(INDEX('Both teabags AfterDry'!$D$3:$D$2000,MATCH(H389,'Both teabags AfterDry'!$A$3:$A$2000,0)),"")</f>
        <v/>
      </c>
      <c r="T389" s="194" t="str">
        <f>IFERROR(INDEX('Both teabags AfterDry'!$D$3:$D$2000,MATCH(I389,'Both teabags AfterDry'!$A$3:$A$2000,0)),"")</f>
        <v/>
      </c>
      <c r="U389" s="194" t="str">
        <f t="shared" si="58"/>
        <v/>
      </c>
      <c r="V389" s="194" t="str">
        <f t="shared" si="59"/>
        <v/>
      </c>
      <c r="W389" s="194" t="str">
        <f>IFERROR(INDEX('Ashed teabags dry'!$K$2:$K$2000,MATCH(H389,'Ashed teabags dry'!$A$2:$A$2000,0)),"")</f>
        <v/>
      </c>
      <c r="X389" s="194" t="str">
        <f>IFERROR(INDEX('Ashed teabags dry'!$K$2:$K$2000,MATCH(I389,'Ashed teabags dry'!$A$2:$A$2000,0)),"")</f>
        <v/>
      </c>
      <c r="Y389" s="194" t="str">
        <f t="shared" si="54"/>
        <v/>
      </c>
      <c r="Z389" s="194" t="str">
        <f t="shared" si="54"/>
        <v/>
      </c>
      <c r="AA389" s="194" t="str">
        <f t="shared" si="60"/>
        <v/>
      </c>
      <c r="AB389" s="194" t="str">
        <f t="shared" si="61"/>
        <v/>
      </c>
      <c r="AC389" s="194" t="str">
        <f t="shared" si="55"/>
        <v/>
      </c>
      <c r="AD389" t="str">
        <f t="shared" si="62"/>
        <v/>
      </c>
      <c r="AE389" s="194" t="str">
        <f t="shared" si="63"/>
        <v/>
      </c>
      <c r="AF389" s="194" t="str">
        <f t="shared" si="64"/>
        <v/>
      </c>
      <c r="AG389" s="252" t="str">
        <f>IF(ISNUMBER(SEARCH("C", 'Dry_Litterbag Placem_Collection'!$V96)),"YES","NO")</f>
        <v>NO</v>
      </c>
      <c r="AH389" s="252" t="str">
        <f>IF(ISNUMBER(SEARCH("H", 'Dry_Litterbag Placem_Collection'!$V96)),"YES","NO")</f>
        <v>NO</v>
      </c>
      <c r="AI389" s="252" t="str">
        <f>IF(ISNUMBER(SEARCH("R", 'Dry_Litterbag Placem_Collection'!$V96)),"YES","NO")</f>
        <v>NO</v>
      </c>
      <c r="AJ389" s="252" t="str">
        <f>IF(ISNUMBER(SEARCH("C", 'Dry_Litterbag Placem_Collection'!$U96)),"YES","NO")</f>
        <v>NO</v>
      </c>
      <c r="AK389" s="252" t="str">
        <f>IF(ISNUMBER(SEARCH("H", 'Dry_Litterbag Placem_Collection'!$U96)),"YES","NO")</f>
        <v>NO</v>
      </c>
      <c r="AL389" s="252" t="str">
        <f>IF(ISNUMBER(SEARCH("R", 'Dry_Litterbag Placem_Collection'!$U96)),"YES","NO")</f>
        <v>NO</v>
      </c>
    </row>
    <row r="390" spans="2:38">
      <c r="B390" t="str">
        <f>'Final data_for_R_analysis_Dryse'!A536</f>
        <v>Dry</v>
      </c>
      <c r="C390" s="260">
        <f>'Final data_for_R_analysis_Dryse'!B536</f>
        <v>95</v>
      </c>
      <c r="D390" t="s">
        <v>3814</v>
      </c>
      <c r="E390" t="s">
        <v>25</v>
      </c>
      <c r="F390" s="382">
        <v>7</v>
      </c>
      <c r="G390" s="383">
        <f>IF('Dry_Litterbag Placem_Collection'!E97="","",'Dry_Litterbag Placem_Collection'!E97)</f>
        <v>42937</v>
      </c>
      <c r="H390" s="92" t="str">
        <f>'Final data_for_R_analysis_Dryse'!K536</f>
        <v>G844</v>
      </c>
      <c r="I390" t="str">
        <f>'Final data_for_R_analysis_Dryse'!K756</f>
        <v>R233</v>
      </c>
      <c r="J390">
        <f>IFERROR(INDEX('Green_rooibos initial weight'!$C$5:$C$2000,MATCH(H390, 'Green_rooibos initial weight'!$A$5:$A$2000,0)),"")</f>
        <v>1.95</v>
      </c>
      <c r="K390">
        <f>IFERROR(INDEX('Green_rooibos initial weight'!$C$5:$C$2000,MATCH(I390, 'Green_rooibos initial weight'!$A$5:$A$2000,0)),"")</f>
        <v>2.1749999999999998</v>
      </c>
      <c r="L390" s="194">
        <f t="shared" si="56"/>
        <v>1.7001999999999999</v>
      </c>
      <c r="M390" s="237">
        <f>AVERAGE(Ashed_controlls!$K$1:$K$11)</f>
        <v>5.5147656768714146</v>
      </c>
      <c r="N390" s="194">
        <f t="shared" si="52"/>
        <v>1.6064379539618321</v>
      </c>
      <c r="O390" s="194">
        <f t="shared" si="57"/>
        <v>1.9251999999999998</v>
      </c>
      <c r="P390" s="237">
        <f>AVERAGE(Ashed_controlls!$K$12:$K$14)</f>
        <v>2.2816647271287041</v>
      </c>
      <c r="Q390" s="194">
        <f t="shared" si="53"/>
        <v>1.8812733906733179</v>
      </c>
      <c r="R390" s="383">
        <f>IF('Dry_Litterbag Placem_Collection'!G97="","",'Dry_Litterbag Placem_Collection'!G97)</f>
        <v>43006</v>
      </c>
      <c r="S390" s="194">
        <f>IFERROR(INDEX('Both teabags AfterDry'!$D$3:$D$2000,MATCH(H390,'Both teabags AfterDry'!$A$3:$A$2000,0)),"")</f>
        <v>1.7751999999999999</v>
      </c>
      <c r="T390" s="194">
        <f>IFERROR(INDEX('Both teabags AfterDry'!$D$3:$D$2000,MATCH(I390,'Both teabags AfterDry'!$A$3:$A$2000,0)),"")</f>
        <v>1.9479</v>
      </c>
      <c r="U390" s="194">
        <f t="shared" si="58"/>
        <v>1.6245999999999998</v>
      </c>
      <c r="V390" s="194">
        <f t="shared" si="59"/>
        <v>1.7972999999999999</v>
      </c>
      <c r="W390" s="194">
        <f>IFERROR(INDEX('Ashed teabags dry'!$K$2:$K$2000,MATCH(H390,'Ashed teabags dry'!$A$2:$A$2000,0)),"")</f>
        <v>6.2158130283436162</v>
      </c>
      <c r="X390" s="194">
        <f>IFERROR(INDEX('Ashed teabags dry'!$K$2:$K$2000,MATCH(I390,'Ashed teabags dry'!$A$2:$A$2000,0)),"")</f>
        <v>2.2635814889335339</v>
      </c>
      <c r="Y390" s="194">
        <f t="shared" si="54"/>
        <v>1.5236179015415294</v>
      </c>
      <c r="Z390" s="194">
        <f t="shared" si="54"/>
        <v>1.7566166498993976</v>
      </c>
      <c r="AA390" s="194">
        <f t="shared" si="60"/>
        <v>5.1555089454933589E-2</v>
      </c>
      <c r="AB390" s="194">
        <f t="shared" si="61"/>
        <v>3.3798585960954107E-2</v>
      </c>
      <c r="AC390" s="194">
        <f t="shared" si="55"/>
        <v>0.93373810452434824</v>
      </c>
      <c r="AD390">
        <f t="shared" si="62"/>
        <v>69</v>
      </c>
      <c r="AE390" s="194">
        <f t="shared" si="63"/>
        <v>0.9387706776069672</v>
      </c>
      <c r="AF390" s="194" t="str">
        <f t="shared" si="64"/>
        <v/>
      </c>
      <c r="AG390" s="252" t="str">
        <f>IF(ISNUMBER(SEARCH("C", 'Dry_Litterbag Placem_Collection'!$V97)),"YES","NO")</f>
        <v>NO</v>
      </c>
      <c r="AH390" s="252" t="str">
        <f>IF(ISNUMBER(SEARCH("H", 'Dry_Litterbag Placem_Collection'!$V97)),"YES","NO")</f>
        <v>NO</v>
      </c>
      <c r="AI390" s="252" t="str">
        <f>IF(ISNUMBER(SEARCH("R", 'Dry_Litterbag Placem_Collection'!$V97)),"YES","NO")</f>
        <v>NO</v>
      </c>
      <c r="AJ390" s="252" t="str">
        <f>IF(ISNUMBER(SEARCH("C", 'Dry_Litterbag Placem_Collection'!$U97)),"YES","NO")</f>
        <v>NO</v>
      </c>
      <c r="AK390" s="252" t="str">
        <f>IF(ISNUMBER(SEARCH("H", 'Dry_Litterbag Placem_Collection'!$U97)),"YES","NO")</f>
        <v>NO</v>
      </c>
      <c r="AL390" s="252" t="str">
        <f>IF(ISNUMBER(SEARCH("R", 'Dry_Litterbag Placem_Collection'!$U97)),"YES","NO")</f>
        <v>NO</v>
      </c>
    </row>
    <row r="391" spans="2:38">
      <c r="B391" t="str">
        <f>'Final data_for_R_analysis_Dryse'!A537</f>
        <v>Dry</v>
      </c>
      <c r="C391" s="260">
        <f>'Final data_for_R_analysis_Dryse'!B537</f>
        <v>96</v>
      </c>
      <c r="D391" t="s">
        <v>3814</v>
      </c>
      <c r="E391" t="s">
        <v>25</v>
      </c>
      <c r="F391" s="382">
        <v>8</v>
      </c>
      <c r="G391" s="383">
        <f>IF('Dry_Litterbag Placem_Collection'!E98="","",'Dry_Litterbag Placem_Collection'!E98)</f>
        <v>42937</v>
      </c>
      <c r="H391" s="92" t="str">
        <f>'Final data_for_R_analysis_Dryse'!K537</f>
        <v>G372</v>
      </c>
      <c r="I391" t="str">
        <f>'Final data_for_R_analysis_Dryse'!K757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56"/>
        <v>1.9041999999999999</v>
      </c>
      <c r="M391" s="237">
        <f>AVERAGE(Ashed_controlls!$K$1:$K$11)</f>
        <v>5.5147656768714146</v>
      </c>
      <c r="N391" s="194">
        <f t="shared" si="52"/>
        <v>1.7991878319810144</v>
      </c>
      <c r="O391" s="194">
        <f t="shared" si="57"/>
        <v>1.9281999999999999</v>
      </c>
      <c r="P391" s="237">
        <f>AVERAGE(Ashed_controlls!$K$12:$K$14)</f>
        <v>2.2816647271287041</v>
      </c>
      <c r="Q391" s="194">
        <f t="shared" si="53"/>
        <v>1.8842049407315042</v>
      </c>
      <c r="R391" s="383">
        <f>IF('Dry_Litterbag Placem_Collection'!G98="","",'Dry_Litterbag Placem_Collection'!G98)</f>
        <v>43006</v>
      </c>
      <c r="S391" s="194">
        <f>IFERROR(INDEX('Both teabags AfterDry'!$D$3:$D$2000,MATCH(H391,'Both teabags AfterDry'!$A$3:$A$2000,0)),"")</f>
        <v>1.9605999999999999</v>
      </c>
      <c r="T391" s="194">
        <f>IFERROR(INDEX('Both teabags AfterDry'!$D$3:$D$2000,MATCH(I391,'Both teabags AfterDry'!$A$3:$A$2000,0)),"")</f>
        <v>2.0065</v>
      </c>
      <c r="U391" s="194">
        <f t="shared" si="58"/>
        <v>1.8099999999999998</v>
      </c>
      <c r="V391" s="194">
        <f t="shared" si="59"/>
        <v>1.8558999999999999</v>
      </c>
      <c r="W391" s="194">
        <f>IFERROR(INDEX('Ashed teabags dry'!$K$2:$K$2000,MATCH(H391,'Ashed teabags dry'!$A$2:$A$2000,0)),"")</f>
        <v>5.7128906249998721</v>
      </c>
      <c r="X391" s="194">
        <f>IFERROR(INDEX('Ashed teabags dry'!$K$2:$K$2000,MATCH(I391,'Ashed teabags dry'!$A$2:$A$2000,0)),"")</f>
        <v>3.4017008504250739</v>
      </c>
      <c r="Y391" s="194">
        <f t="shared" si="54"/>
        <v>1.7065966796875021</v>
      </c>
      <c r="Z391" s="194">
        <f t="shared" si="54"/>
        <v>1.792767833916961</v>
      </c>
      <c r="AA391" s="194">
        <f t="shared" si="60"/>
        <v>5.1462749273689767E-2</v>
      </c>
      <c r="AB391" s="194">
        <f t="shared" si="61"/>
        <v>3.3738049405079296E-2</v>
      </c>
      <c r="AC391" s="194">
        <f t="shared" si="55"/>
        <v>0.95147178269310528</v>
      </c>
      <c r="AD391">
        <f t="shared" si="62"/>
        <v>69</v>
      </c>
      <c r="AE391" s="194">
        <f t="shared" si="63"/>
        <v>0.93888034528065345</v>
      </c>
      <c r="AF391" s="194" t="str">
        <f t="shared" si="64"/>
        <v/>
      </c>
      <c r="AG391" s="252" t="str">
        <f>IF(ISNUMBER(SEARCH("C", 'Dry_Litterbag Placem_Collection'!$V98)),"YES","NO")</f>
        <v>NO</v>
      </c>
      <c r="AH391" s="252" t="str">
        <f>IF(ISNUMBER(SEARCH("H", 'Dry_Litterbag Placem_Collection'!$V98)),"YES","NO")</f>
        <v>NO</v>
      </c>
      <c r="AI391" s="252" t="str">
        <f>IF(ISNUMBER(SEARCH("R", 'Dry_Litterbag Placem_Collection'!$V98)),"YES","NO")</f>
        <v>NO</v>
      </c>
      <c r="AJ391" s="252" t="str">
        <f>IF(ISNUMBER(SEARCH("C", 'Dry_Litterbag Placem_Collection'!$U98)),"YES","NO")</f>
        <v>NO</v>
      </c>
      <c r="AK391" s="252" t="str">
        <f>IF(ISNUMBER(SEARCH("H", 'Dry_Litterbag Placem_Collection'!$U98)),"YES","NO")</f>
        <v>NO</v>
      </c>
      <c r="AL391" s="252" t="str">
        <f>IF(ISNUMBER(SEARCH("R", 'Dry_Litterbag Placem_Collection'!$U98)),"YES","NO")</f>
        <v>NO</v>
      </c>
    </row>
    <row r="392" spans="2:38">
      <c r="B392" t="str">
        <f>'Final data_for_R_analysis_Dryse'!A538</f>
        <v>Dry</v>
      </c>
      <c r="C392" s="260">
        <f>'Final data_for_R_analysis_Dryse'!B538</f>
        <v>97</v>
      </c>
      <c r="D392" t="s">
        <v>3815</v>
      </c>
      <c r="E392" t="s">
        <v>25</v>
      </c>
      <c r="F392" s="381">
        <v>1</v>
      </c>
      <c r="G392" s="383">
        <f>IF('Dry_Litterbag Placem_Collection'!E99="","",'Dry_Litterbag Placem_Collection'!E99)</f>
        <v>42939</v>
      </c>
      <c r="H392" s="92" t="str">
        <f>'Final data_for_R_analysis_Dryse'!K538</f>
        <v>G3</v>
      </c>
      <c r="I392" t="str">
        <f>'Final data_for_R_analysis_Dryse'!K758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56"/>
        <v>1.7972000000000001</v>
      </c>
      <c r="M392" s="237">
        <f>AVERAGE(Ashed_controlls!$K$1:$K$11)</f>
        <v>5.5147656768714146</v>
      </c>
      <c r="N392" s="194">
        <f t="shared" si="52"/>
        <v>1.698088631255267</v>
      </c>
      <c r="O392" s="194">
        <f t="shared" si="57"/>
        <v>1.9352</v>
      </c>
      <c r="P392" s="237">
        <f>AVERAGE(Ashed_controlls!$K$12:$K$14)</f>
        <v>2.2816647271287041</v>
      </c>
      <c r="Q392" s="194">
        <f t="shared" si="53"/>
        <v>1.8910452242006053</v>
      </c>
      <c r="R392" s="383">
        <f>IF('Dry_Litterbag Placem_Collection'!G99="","",'Dry_Litterbag Placem_Collection'!G99)</f>
        <v>43010</v>
      </c>
      <c r="S392" s="194" t="str">
        <f>IFERROR(INDEX('Both teabags AfterDry'!$D$3:$D$2000,MATCH(H392,'Both teabags AfterDry'!$A$3:$A$2000,0)),"")</f>
        <v/>
      </c>
      <c r="T392" s="194" t="str">
        <f>IFERROR(INDEX('Both teabags AfterDry'!$D$3:$D$2000,MATCH(I392,'Both teabags AfterDry'!$A$3:$A$2000,0)),"")</f>
        <v/>
      </c>
      <c r="U392" s="194" t="str">
        <f t="shared" si="58"/>
        <v/>
      </c>
      <c r="V392" s="194" t="str">
        <f t="shared" si="59"/>
        <v/>
      </c>
      <c r="W392" s="194" t="str">
        <f>IFERROR(INDEX('Ashed teabags dry'!$K$2:$K$2000,MATCH(H392,'Ashed teabags dry'!$A$2:$A$2000,0)),"")</f>
        <v/>
      </c>
      <c r="X392" s="194" t="str">
        <f>IFERROR(INDEX('Ashed teabags dry'!$K$2:$K$2000,MATCH(I392,'Ashed teabags dry'!$A$2:$A$2000,0)),"")</f>
        <v/>
      </c>
      <c r="Y392" s="194" t="str">
        <f t="shared" si="54"/>
        <v/>
      </c>
      <c r="Z392" s="194" t="str">
        <f t="shared" si="54"/>
        <v/>
      </c>
      <c r="AA392" s="194" t="str">
        <f t="shared" si="60"/>
        <v/>
      </c>
      <c r="AB392" s="194" t="str">
        <f t="shared" si="61"/>
        <v/>
      </c>
      <c r="AC392" s="194" t="str">
        <f t="shared" si="55"/>
        <v/>
      </c>
      <c r="AD392">
        <f t="shared" si="62"/>
        <v>71</v>
      </c>
      <c r="AE392" s="194" t="str">
        <f t="shared" si="63"/>
        <v/>
      </c>
      <c r="AF392" s="194" t="str">
        <f t="shared" si="64"/>
        <v/>
      </c>
      <c r="AG392" s="252" t="str">
        <f>IF(ISNUMBER(SEARCH("C", 'Dry_Litterbag Placem_Collection'!$V99)),"YES","NO")</f>
        <v>NO</v>
      </c>
      <c r="AH392" s="252" t="str">
        <f>IF(ISNUMBER(SEARCH("H", 'Dry_Litterbag Placem_Collection'!$V99)),"YES","NO")</f>
        <v>NO</v>
      </c>
      <c r="AI392" s="252" t="str">
        <f>IF(ISNUMBER(SEARCH("R", 'Dry_Litterbag Placem_Collection'!$V99)),"YES","NO")</f>
        <v>NO</v>
      </c>
      <c r="AJ392" s="252" t="str">
        <f>IF(ISNUMBER(SEARCH("C", 'Dry_Litterbag Placem_Collection'!$U99)),"YES","NO")</f>
        <v>NO</v>
      </c>
      <c r="AK392" s="252" t="str">
        <f>IF(ISNUMBER(SEARCH("H", 'Dry_Litterbag Placem_Collection'!$U99)),"YES","NO")</f>
        <v>NO</v>
      </c>
      <c r="AL392" s="252" t="str">
        <f>IF(ISNUMBER(SEARCH("R", 'Dry_Litterbag Placem_Collection'!$U99)),"YES","NO")</f>
        <v>NO</v>
      </c>
    </row>
    <row r="393" spans="2:38">
      <c r="B393" t="str">
        <f>'Final data_for_R_analysis_Dryse'!A539</f>
        <v>Dry</v>
      </c>
      <c r="C393" s="260">
        <f>'Final data_for_R_analysis_Dryse'!B539</f>
        <v>98</v>
      </c>
      <c r="D393" t="s">
        <v>3815</v>
      </c>
      <c r="E393" t="s">
        <v>25</v>
      </c>
      <c r="F393" s="381">
        <v>2</v>
      </c>
      <c r="G393" s="383">
        <f>IF('Dry_Litterbag Placem_Collection'!E100="","",'Dry_Litterbag Placem_Collection'!E100)</f>
        <v>42939</v>
      </c>
      <c r="H393" s="92" t="str">
        <f>'Final data_for_R_analysis_Dryse'!K539</f>
        <v>G25</v>
      </c>
      <c r="I393" t="str">
        <f>'Final data_for_R_analysis_Dryse'!K759</f>
        <v>R707</v>
      </c>
      <c r="J393">
        <f>IFERROR(INDEX('Green_rooibos initial weight'!$C$5:$C$2000,MATCH(H393, 'Green_rooibos initial weight'!$A$5:$A$2000,0)),"")</f>
        <v>2.0230000000000001</v>
      </c>
      <c r="K393">
        <f>IFERROR(INDEX('Green_rooibos initial weight'!$C$5:$C$2000,MATCH(I393, 'Green_rooibos initial weight'!$A$5:$A$2000,0)),"")</f>
        <v>2.145</v>
      </c>
      <c r="L393" s="194">
        <f t="shared" si="56"/>
        <v>1.7732000000000001</v>
      </c>
      <c r="M393" s="237">
        <f>AVERAGE(Ashed_controlls!$K$1:$K$11)</f>
        <v>5.5147656768714146</v>
      </c>
      <c r="N393" s="194">
        <f t="shared" si="52"/>
        <v>1.6754121750177162</v>
      </c>
      <c r="O393" s="194">
        <f t="shared" si="57"/>
        <v>1.8952</v>
      </c>
      <c r="P393" s="237">
        <f>AVERAGE(Ashed_controlls!$K$12:$K$14)</f>
        <v>2.2816647271287041</v>
      </c>
      <c r="Q393" s="194">
        <f t="shared" si="53"/>
        <v>1.8519578900914568</v>
      </c>
      <c r="R393" s="383">
        <f>IF('Dry_Litterbag Placem_Collection'!G100="","",'Dry_Litterbag Placem_Collection'!G100)</f>
        <v>43010</v>
      </c>
      <c r="S393" s="194">
        <f>IFERROR(INDEX('Both teabags AfterDry'!$D$3:$D$2000,MATCH(H393,'Both teabags AfterDry'!$A$3:$A$2000,0)),"")</f>
        <v>0.995</v>
      </c>
      <c r="T393" s="194">
        <f>IFERROR(INDEX('Both teabags AfterDry'!$D$3:$D$2000,MATCH(I393,'Both teabags AfterDry'!$A$3:$A$2000,0)),"")</f>
        <v>1.8146</v>
      </c>
      <c r="U393" s="194">
        <f t="shared" si="58"/>
        <v>0.84440000000000004</v>
      </c>
      <c r="V393" s="194">
        <f t="shared" si="59"/>
        <v>1.6639999999999999</v>
      </c>
      <c r="W393" s="194">
        <f>IFERROR(INDEX('Ashed teabags dry'!$K$2:$K$2000,MATCH(H393,'Ashed teabags dry'!$A$2:$A$2000,0)),"")</f>
        <v>21.132793907663359</v>
      </c>
      <c r="X393" s="194">
        <f>IFERROR(INDEX('Ashed teabags dry'!$K$2:$K$2000,MATCH(I393,'Ashed teabags dry'!$A$2:$A$2000,0)),"")</f>
        <v>4.2060491493383303</v>
      </c>
      <c r="Y393" s="194">
        <f t="shared" si="54"/>
        <v>0.66595468824369064</v>
      </c>
      <c r="Z393" s="194">
        <f t="shared" si="54"/>
        <v>1.5940113421550102</v>
      </c>
      <c r="AA393" s="194">
        <f t="shared" si="60"/>
        <v>0.60251292298466874</v>
      </c>
      <c r="AB393" s="194">
        <f t="shared" si="61"/>
        <v>0.39499659559089922</v>
      </c>
      <c r="AC393" s="194">
        <f t="shared" si="55"/>
        <v>0.86071683955853429</v>
      </c>
      <c r="AD393">
        <f t="shared" si="62"/>
        <v>71</v>
      </c>
      <c r="AE393" s="194">
        <f t="shared" si="63"/>
        <v>0.28442645726286375</v>
      </c>
      <c r="AF393" s="194">
        <f t="shared" si="64"/>
        <v>6.1242214445644139E-3</v>
      </c>
      <c r="AG393" s="252" t="str">
        <f>IF(ISNUMBER(SEARCH("C", 'Dry_Litterbag Placem_Collection'!$V100)),"YES","NO")</f>
        <v>NO</v>
      </c>
      <c r="AH393" s="252" t="str">
        <f>IF(ISNUMBER(SEARCH("H", 'Dry_Litterbag Placem_Collection'!$V100)),"YES","NO")</f>
        <v>NO</v>
      </c>
      <c r="AI393" s="252" t="str">
        <f>IF(ISNUMBER(SEARCH("R", 'Dry_Litterbag Placem_Collection'!$V100)),"YES","NO")</f>
        <v>NO</v>
      </c>
      <c r="AJ393" s="252" t="str">
        <f>IF(ISNUMBER(SEARCH("C", 'Dry_Litterbag Placem_Collection'!$U100)),"YES","NO")</f>
        <v>NO</v>
      </c>
      <c r="AK393" s="252" t="str">
        <f>IF(ISNUMBER(SEARCH("H", 'Dry_Litterbag Placem_Collection'!$U100)),"YES","NO")</f>
        <v>NO</v>
      </c>
      <c r="AL393" s="252" t="str">
        <f>IF(ISNUMBER(SEARCH("R", 'Dry_Litterbag Placem_Collection'!$U100)),"YES","NO")</f>
        <v>NO</v>
      </c>
    </row>
    <row r="394" spans="2:38">
      <c r="B394" t="str">
        <f>'Final data_for_R_analysis_Dryse'!A540</f>
        <v>Dry</v>
      </c>
      <c r="C394" s="260">
        <f>'Final data_for_R_analysis_Dryse'!B540</f>
        <v>99</v>
      </c>
      <c r="D394" t="s">
        <v>3815</v>
      </c>
      <c r="E394" t="s">
        <v>25</v>
      </c>
      <c r="F394" s="381">
        <v>3</v>
      </c>
      <c r="G394" s="383" t="str">
        <f>IF('Dry_Litterbag Placem_Collection'!E101="","",'Dry_Litterbag Placem_Collection'!E101)</f>
        <v/>
      </c>
      <c r="H394" s="92" t="str">
        <f>'Final data_for_R_analysis_Dryse'!K540</f>
        <v/>
      </c>
      <c r="I394" t="str">
        <f>'Final data_for_R_analysis_Dryse'!K760</f>
        <v/>
      </c>
      <c r="J394" t="str">
        <f>IFERROR(INDEX('Green_rooibos initial weight'!$C$5:$C$2000,MATCH(H394, 'Green_rooibos initial weight'!$A$5:$A$2000,0)),"")</f>
        <v/>
      </c>
      <c r="K394" t="str">
        <f>IFERROR(INDEX('Green_rooibos initial weight'!$C$5:$C$2000,MATCH(I394, 'Green_rooibos initial weight'!$A$5:$A$2000,0)),"")</f>
        <v/>
      </c>
      <c r="L394" s="194" t="str">
        <f t="shared" si="56"/>
        <v/>
      </c>
      <c r="M394" s="237">
        <f>AVERAGE(Ashed_controlls!$K$1:$K$11)</f>
        <v>5.5147656768714146</v>
      </c>
      <c r="N394" s="194" t="str">
        <f t="shared" si="52"/>
        <v/>
      </c>
      <c r="O394" s="194" t="str">
        <f t="shared" si="57"/>
        <v/>
      </c>
      <c r="P394" s="237">
        <f>AVERAGE(Ashed_controlls!$K$12:$K$14)</f>
        <v>2.2816647271287041</v>
      </c>
      <c r="Q394" s="194" t="str">
        <f t="shared" si="53"/>
        <v/>
      </c>
      <c r="R394" s="383" t="str">
        <f>IF('Dry_Litterbag Placem_Collection'!G101="","",'Dry_Litterbag Placem_Collection'!G101)</f>
        <v/>
      </c>
      <c r="S394" s="194" t="str">
        <f>IFERROR(INDEX('Both teabags AfterDry'!$D$3:$D$2000,MATCH(H394,'Both teabags AfterDry'!$A$3:$A$2000,0)),"")</f>
        <v/>
      </c>
      <c r="T394" s="194" t="str">
        <f>IFERROR(INDEX('Both teabags AfterDry'!$D$3:$D$2000,MATCH(I394,'Both teabags AfterDry'!$A$3:$A$2000,0)),"")</f>
        <v/>
      </c>
      <c r="U394" s="194" t="str">
        <f t="shared" si="58"/>
        <v/>
      </c>
      <c r="V394" s="194" t="str">
        <f t="shared" si="59"/>
        <v/>
      </c>
      <c r="W394" s="194" t="str">
        <f>IFERROR(INDEX('Ashed teabags dry'!$K$2:$K$2000,MATCH(H394,'Ashed teabags dry'!$A$2:$A$2000,0)),"")</f>
        <v/>
      </c>
      <c r="X394" s="194" t="str">
        <f>IFERROR(INDEX('Ashed teabags dry'!$K$2:$K$2000,MATCH(I394,'Ashed teabags dry'!$A$2:$A$2000,0)),"")</f>
        <v/>
      </c>
      <c r="Y394" s="194" t="str">
        <f t="shared" si="54"/>
        <v/>
      </c>
      <c r="Z394" s="194" t="str">
        <f t="shared" si="54"/>
        <v/>
      </c>
      <c r="AA394" s="194" t="str">
        <f t="shared" si="60"/>
        <v/>
      </c>
      <c r="AB394" s="194" t="str">
        <f t="shared" si="61"/>
        <v/>
      </c>
      <c r="AC394" s="194" t="str">
        <f t="shared" si="55"/>
        <v/>
      </c>
      <c r="AD394" t="str">
        <f t="shared" si="62"/>
        <v/>
      </c>
      <c r="AE394" s="194" t="str">
        <f t="shared" si="63"/>
        <v/>
      </c>
      <c r="AF394" s="194" t="str">
        <f t="shared" si="64"/>
        <v/>
      </c>
      <c r="AG394" s="252" t="str">
        <f>IF(ISNUMBER(SEARCH("C", 'Dry_Litterbag Placem_Collection'!$V101)),"YES","NO")</f>
        <v>NO</v>
      </c>
      <c r="AH394" s="252" t="str">
        <f>IF(ISNUMBER(SEARCH("H", 'Dry_Litterbag Placem_Collection'!$V101)),"YES","NO")</f>
        <v>NO</v>
      </c>
      <c r="AI394" s="252" t="str">
        <f>IF(ISNUMBER(SEARCH("R", 'Dry_Litterbag Placem_Collection'!$V101)),"YES","NO")</f>
        <v>NO</v>
      </c>
      <c r="AJ394" s="252" t="str">
        <f>IF(ISNUMBER(SEARCH("C", 'Dry_Litterbag Placem_Collection'!$U101)),"YES","NO")</f>
        <v>NO</v>
      </c>
      <c r="AK394" s="252" t="str">
        <f>IF(ISNUMBER(SEARCH("H", 'Dry_Litterbag Placem_Collection'!$U101)),"YES","NO")</f>
        <v>NO</v>
      </c>
      <c r="AL394" s="252" t="str">
        <f>IF(ISNUMBER(SEARCH("R", 'Dry_Litterbag Placem_Collection'!$U101)),"YES","NO")</f>
        <v>NO</v>
      </c>
    </row>
    <row r="395" spans="2:38">
      <c r="B395" t="str">
        <f>'Final data_for_R_analysis_Dryse'!A541</f>
        <v>Dry</v>
      </c>
      <c r="C395" s="260">
        <f>'Final data_for_R_analysis_Dryse'!B541</f>
        <v>100</v>
      </c>
      <c r="D395" t="s">
        <v>3815</v>
      </c>
      <c r="E395" t="s">
        <v>25</v>
      </c>
      <c r="F395" s="382">
        <v>4</v>
      </c>
      <c r="G395" s="383">
        <f>IF('Dry_Litterbag Placem_Collection'!E102="","",'Dry_Litterbag Placem_Collection'!E102)</f>
        <v>42939</v>
      </c>
      <c r="H395" s="92" t="str">
        <f>'Final data_for_R_analysis_Dryse'!K541</f>
        <v>G187</v>
      </c>
      <c r="I395" t="str">
        <f>'Final data_for_R_analysis_Dryse'!K761</f>
        <v>R641</v>
      </c>
      <c r="J395">
        <f>IFERROR(INDEX('Green_rooibos initial weight'!$C$5:$C$2000,MATCH(H395, 'Green_rooibos initial weight'!$A$5:$A$2000,0)),"")</f>
        <v>1.996</v>
      </c>
      <c r="K395">
        <f>IFERROR(INDEX('Green_rooibos initial weight'!$C$5:$C$2000,MATCH(I395, 'Green_rooibos initial weight'!$A$5:$A$2000,0)),"")</f>
        <v>2.1459999999999999</v>
      </c>
      <c r="L395" s="194">
        <f t="shared" si="56"/>
        <v>1.7462</v>
      </c>
      <c r="M395" s="237">
        <f>AVERAGE(Ashed_controlls!$K$1:$K$11)</f>
        <v>5.5147656768714146</v>
      </c>
      <c r="N395" s="194">
        <f t="shared" si="52"/>
        <v>1.6499011617504713</v>
      </c>
      <c r="O395" s="194">
        <f t="shared" si="57"/>
        <v>1.8961999999999999</v>
      </c>
      <c r="P395" s="237">
        <f>AVERAGE(Ashed_controlls!$K$12:$K$14)</f>
        <v>2.2816647271287041</v>
      </c>
      <c r="Q395" s="194">
        <f t="shared" si="53"/>
        <v>1.8529350734441854</v>
      </c>
      <c r="R395" s="383">
        <f>IF('Dry_Litterbag Placem_Collection'!G102="","",'Dry_Litterbag Placem_Collection'!G102)</f>
        <v>43010</v>
      </c>
      <c r="S395" s="194">
        <f>IFERROR(INDEX('Both teabags AfterDry'!$D$3:$D$2000,MATCH(H395,'Both teabags AfterDry'!$A$3:$A$2000,0)),"")</f>
        <v>1.1655</v>
      </c>
      <c r="T395" s="194">
        <f>IFERROR(INDEX('Both teabags AfterDry'!$D$3:$D$2000,MATCH(I395,'Both teabags AfterDry'!$A$3:$A$2000,0)),"")</f>
        <v>1.9777</v>
      </c>
      <c r="U395" s="194">
        <f t="shared" si="58"/>
        <v>1.0148999999999999</v>
      </c>
      <c r="V395" s="194">
        <f t="shared" si="59"/>
        <v>1.8270999999999999</v>
      </c>
      <c r="W395" s="194">
        <f>IFERROR(INDEX('Ashed teabags dry'!$K$2:$K$2000,MATCH(H395,'Ashed teabags dry'!$A$2:$A$2000,0)),"")</f>
        <v>10.999039385206627</v>
      </c>
      <c r="X395" s="194">
        <f>IFERROR(INDEX('Ashed teabags dry'!$K$2:$K$2000,MATCH(I395,'Ashed teabags dry'!$A$2:$A$2000,0)),"")</f>
        <v>3.7708830548921735</v>
      </c>
      <c r="Y395" s="194">
        <f t="shared" si="54"/>
        <v>0.90327074927953788</v>
      </c>
      <c r="Z395" s="194">
        <f t="shared" si="54"/>
        <v>1.758202195704065</v>
      </c>
      <c r="AA395" s="194">
        <f t="shared" si="60"/>
        <v>0.45253038774685872</v>
      </c>
      <c r="AB395" s="194">
        <f t="shared" si="61"/>
        <v>0.29667075301219242</v>
      </c>
      <c r="AC395" s="194">
        <f t="shared" si="55"/>
        <v>0.94887415155673349</v>
      </c>
      <c r="AD395">
        <f t="shared" si="62"/>
        <v>71</v>
      </c>
      <c r="AE395" s="194">
        <f t="shared" si="63"/>
        <v>0.46255298367356446</v>
      </c>
      <c r="AF395" s="194">
        <f t="shared" si="64"/>
        <v>2.6639874223300395E-3</v>
      </c>
      <c r="AG395" s="252" t="str">
        <f>IF(ISNUMBER(SEARCH("C", 'Dry_Litterbag Placem_Collection'!$V102)),"YES","NO")</f>
        <v>NO</v>
      </c>
      <c r="AH395" s="252" t="str">
        <f>IF(ISNUMBER(SEARCH("H", 'Dry_Litterbag Placem_Collection'!$V102)),"YES","NO")</f>
        <v>NO</v>
      </c>
      <c r="AI395" s="252" t="str">
        <f>IF(ISNUMBER(SEARCH("R", 'Dry_Litterbag Placem_Collection'!$V102)),"YES","NO")</f>
        <v>NO</v>
      </c>
      <c r="AJ395" s="252" t="str">
        <f>IF(ISNUMBER(SEARCH("C", 'Dry_Litterbag Placem_Collection'!$U102)),"YES","NO")</f>
        <v>NO</v>
      </c>
      <c r="AK395" s="252" t="str">
        <f>IF(ISNUMBER(SEARCH("H", 'Dry_Litterbag Placem_Collection'!$U102)),"YES","NO")</f>
        <v>NO</v>
      </c>
      <c r="AL395" s="252" t="str">
        <f>IF(ISNUMBER(SEARCH("R", 'Dry_Litterbag Placem_Collection'!$U102)),"YES","NO")</f>
        <v>NO</v>
      </c>
    </row>
    <row r="396" spans="2:38">
      <c r="B396" t="str">
        <f>'Final data_for_R_analysis_Dryse'!A542</f>
        <v>Dry</v>
      </c>
      <c r="C396" s="260">
        <f>'Final data_for_R_analysis_Dryse'!B542</f>
        <v>101</v>
      </c>
      <c r="D396" t="s">
        <v>3815</v>
      </c>
      <c r="E396" t="s">
        <v>25</v>
      </c>
      <c r="F396" s="382">
        <v>5</v>
      </c>
      <c r="G396" s="383">
        <f>IF('Dry_Litterbag Placem_Collection'!E103="","",'Dry_Litterbag Placem_Collection'!E103)</f>
        <v>42939</v>
      </c>
      <c r="H396" s="92" t="str">
        <f>'Final data_for_R_analysis_Dryse'!K542</f>
        <v>G398</v>
      </c>
      <c r="I396" t="str">
        <f>'Final data_for_R_analysis_Dryse'!K762</f>
        <v>R245</v>
      </c>
      <c r="J396">
        <f>IFERROR(INDEX('Green_rooibos initial weight'!$C$5:$C$2000,MATCH(H396, 'Green_rooibos initial weight'!$A$5:$A$2000,0)),"")</f>
        <v>1.9870000000000001</v>
      </c>
      <c r="K396">
        <f>IFERROR(INDEX('Green_rooibos initial weight'!$C$5:$C$2000,MATCH(I396, 'Green_rooibos initial weight'!$A$5:$A$2000,0)),"")</f>
        <v>2.258</v>
      </c>
      <c r="L396" s="194">
        <f t="shared" si="56"/>
        <v>1.7372000000000001</v>
      </c>
      <c r="M396" s="237">
        <f>AVERAGE(Ashed_controlls!$K$1:$K$11)</f>
        <v>5.5147656768714146</v>
      </c>
      <c r="N396" s="194">
        <f t="shared" ref="N396:N459" si="65">IFERROR(L396-(M396/100)*L396,"")</f>
        <v>1.64139749066139</v>
      </c>
      <c r="O396" s="194">
        <f t="shared" si="57"/>
        <v>2.0082</v>
      </c>
      <c r="P396" s="237">
        <f>AVERAGE(Ashed_controlls!$K$12:$K$14)</f>
        <v>2.2816647271287041</v>
      </c>
      <c r="Q396" s="194">
        <f t="shared" ref="Q396:Q459" si="66">IFERROR(O396-(P396/100)*O396,"")</f>
        <v>1.9623796089498013</v>
      </c>
      <c r="R396" s="383">
        <f>IF('Dry_Litterbag Placem_Collection'!G103="","",'Dry_Litterbag Placem_Collection'!G103)</f>
        <v>43010</v>
      </c>
      <c r="S396" s="194">
        <f>IFERROR(INDEX('Both teabags AfterDry'!$D$3:$D$2000,MATCH(H396,'Both teabags AfterDry'!$A$3:$A$2000,0)),"")</f>
        <v>1.0217000000000001</v>
      </c>
      <c r="T396" s="194">
        <f>IFERROR(INDEX('Both teabags AfterDry'!$D$3:$D$2000,MATCH(I396,'Both teabags AfterDry'!$A$3:$A$2000,0)),"")</f>
        <v>1.8418000000000001</v>
      </c>
      <c r="U396" s="194">
        <f t="shared" si="58"/>
        <v>0.87109999999999999</v>
      </c>
      <c r="V396" s="194">
        <f t="shared" si="59"/>
        <v>1.6912</v>
      </c>
      <c r="W396" s="194">
        <f>IFERROR(INDEX('Ashed teabags dry'!$K$2:$K$2000,MATCH(H396,'Ashed teabags dry'!$A$2:$A$2000,0)),"")</f>
        <v>14.119832791454268</v>
      </c>
      <c r="X396" s="194">
        <f>IFERROR(INDEX('Ashed teabags dry'!$K$2:$K$2000,MATCH(I396,'Ashed teabags dry'!$A$2:$A$2000,0)),"")</f>
        <v>3.2786885245898914</v>
      </c>
      <c r="Y396" s="194">
        <f t="shared" ref="Y396:Z459" si="67">IFERROR(U396-(W396/100)*U396,"")</f>
        <v>0.74810213655364188</v>
      </c>
      <c r="Z396" s="194">
        <f t="shared" si="67"/>
        <v>1.6357508196721358</v>
      </c>
      <c r="AA396" s="194">
        <f t="shared" si="60"/>
        <v>0.54422853646973768</v>
      </c>
      <c r="AB396" s="194">
        <f t="shared" si="61"/>
        <v>0.35678640395640765</v>
      </c>
      <c r="AC396" s="194">
        <f t="shared" ref="AC396:AC459" si="68">IFERROR(Z396/Q396,"")</f>
        <v>0.8335547374279606</v>
      </c>
      <c r="AD396">
        <f t="shared" si="62"/>
        <v>71</v>
      </c>
      <c r="AE396" s="194">
        <f t="shared" si="63"/>
        <v>0.35364781891955144</v>
      </c>
      <c r="AF396" s="194">
        <f t="shared" si="64"/>
        <v>8.8495683280956413E-3</v>
      </c>
      <c r="AG396" s="252" t="str">
        <f>IF(ISNUMBER(SEARCH("C", 'Dry_Litterbag Placem_Collection'!$V103)),"YES","NO")</f>
        <v>NO</v>
      </c>
      <c r="AH396" s="252" t="str">
        <f>IF(ISNUMBER(SEARCH("H", 'Dry_Litterbag Placem_Collection'!$V103)),"YES","NO")</f>
        <v>NO</v>
      </c>
      <c r="AI396" s="252" t="str">
        <f>IF(ISNUMBER(SEARCH("R", 'Dry_Litterbag Placem_Collection'!$V103)),"YES","NO")</f>
        <v>NO</v>
      </c>
      <c r="AJ396" s="252" t="str">
        <f>IF(ISNUMBER(SEARCH("C", 'Dry_Litterbag Placem_Collection'!$U103)),"YES","NO")</f>
        <v>NO</v>
      </c>
      <c r="AK396" s="252" t="str">
        <f>IF(ISNUMBER(SEARCH("H", 'Dry_Litterbag Placem_Collection'!$U103)),"YES","NO")</f>
        <v>NO</v>
      </c>
      <c r="AL396" s="252" t="str">
        <f>IF(ISNUMBER(SEARCH("R", 'Dry_Litterbag Placem_Collection'!$U103)),"YES","NO")</f>
        <v>NO</v>
      </c>
    </row>
    <row r="397" spans="2:38">
      <c r="B397" t="str">
        <f>'Final data_for_R_analysis_Dryse'!A543</f>
        <v>Dry</v>
      </c>
      <c r="C397" s="260">
        <f>'Final data_for_R_analysis_Dryse'!B543</f>
        <v>102</v>
      </c>
      <c r="D397" t="s">
        <v>3815</v>
      </c>
      <c r="E397" t="s">
        <v>25</v>
      </c>
      <c r="F397" s="382">
        <v>6</v>
      </c>
      <c r="G397" s="383">
        <f>IF('Dry_Litterbag Placem_Collection'!E104="","",'Dry_Litterbag Placem_Collection'!E104)</f>
        <v>42939</v>
      </c>
      <c r="H397" s="92" t="str">
        <f>'Final data_for_R_analysis_Dryse'!K543</f>
        <v>G120</v>
      </c>
      <c r="I397" t="str">
        <f>'Final data_for_R_analysis_Dryse'!K763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69">IFERROR(IF(J397&gt;0,(J397*$F$31-($F$29+$F$30)),""),"")</f>
        <v>1.7951999999999999</v>
      </c>
      <c r="M397" s="237">
        <f>AVERAGE(Ashed_controlls!$K$1:$K$11)</f>
        <v>5.5147656768714146</v>
      </c>
      <c r="N397" s="194">
        <f t="shared" si="65"/>
        <v>1.6961989265688042</v>
      </c>
      <c r="O397" s="194">
        <f t="shared" ref="O397:O460" si="70">IFERROR(IF(K397&gt;0,(K397*$F$32-($F$29+$F$30)),""),"")</f>
        <v>1.9062000000000001</v>
      </c>
      <c r="P397" s="237">
        <f>AVERAGE(Ashed_controlls!$K$12:$K$14)</f>
        <v>2.2816647271287041</v>
      </c>
      <c r="Q397" s="194">
        <f t="shared" si="66"/>
        <v>1.8627069069714728</v>
      </c>
      <c r="R397" s="383">
        <f>IF('Dry_Litterbag Placem_Collection'!G104="","",'Dry_Litterbag Placem_Collection'!G104)</f>
        <v>43010</v>
      </c>
      <c r="S397" s="194">
        <f>IFERROR(INDEX('Both teabags AfterDry'!$D$3:$D$2000,MATCH(H397,'Both teabags AfterDry'!$A$3:$A$2000,0)),"")</f>
        <v>1.0569999999999999</v>
      </c>
      <c r="T397" s="194">
        <f>IFERROR(INDEX('Both teabags AfterDry'!$D$3:$D$2000,MATCH(I397,'Both teabags AfterDry'!$A$3:$A$2000,0)),"")</f>
        <v>1.8105</v>
      </c>
      <c r="U397" s="194">
        <f t="shared" ref="U397:U460" si="71">IFERROR(IF(S397&gt;0,S397-($F$29),""),"")</f>
        <v>0.90639999999999987</v>
      </c>
      <c r="V397" s="194">
        <f t="shared" ref="V397:V460" si="72">IFERROR(IF(T397&gt;0,T397-($F$29),""),"")</f>
        <v>1.6598999999999999</v>
      </c>
      <c r="W397" s="194">
        <f>IFERROR(INDEX('Ashed teabags dry'!$K$2:$K$2000,MATCH(H397,'Ashed teabags dry'!$A$2:$A$2000,0)),"")</f>
        <v>10.580708661416786</v>
      </c>
      <c r="X397" s="194">
        <f>IFERROR(INDEX('Ashed teabags dry'!$K$2:$K$2000,MATCH(I397,'Ashed teabags dry'!$A$2:$A$2000,0)),"")</f>
        <v>4.3863535666823292</v>
      </c>
      <c r="Y397" s="194">
        <f t="shared" si="67"/>
        <v>0.81049645669291814</v>
      </c>
      <c r="Z397" s="194">
        <f t="shared" si="67"/>
        <v>1.5870909171466399</v>
      </c>
      <c r="AA397" s="194">
        <f t="shared" ref="AA397:AA460" si="73">IFERROR(1-Y397/N397,"")</f>
        <v>0.52216898383938382</v>
      </c>
      <c r="AB397" s="194">
        <f t="shared" ref="AB397:AB460" si="74">IFERROR($F$26*(1-AE397),"")</f>
        <v>0.34232455947665075</v>
      </c>
      <c r="AC397" s="194">
        <f t="shared" si="68"/>
        <v>0.85203469810881316</v>
      </c>
      <c r="AD397">
        <f t="shared" ref="AD397:AD460" si="75">IFERROR(IF((R397-G397)&gt;0,(IFERROR(R397-G397,"")),""),"")</f>
        <v>71</v>
      </c>
      <c r="AE397" s="194">
        <f t="shared" ref="AE397:AE460" si="76">IFERROR(1-(AA397/$F$25),"")</f>
        <v>0.37984681254229946</v>
      </c>
      <c r="AF397" s="194">
        <f t="shared" ref="AF397:AF460" si="77">IFERROR(LN(AB397/(AC397-(1-AB397)))/AD397,"")</f>
        <v>7.9725493186023223E-3</v>
      </c>
      <c r="AG397" s="252" t="str">
        <f>IF(ISNUMBER(SEARCH("C", 'Dry_Litterbag Placem_Collection'!$V104)),"YES","NO")</f>
        <v>NO</v>
      </c>
      <c r="AH397" s="252" t="str">
        <f>IF(ISNUMBER(SEARCH("H", 'Dry_Litterbag Placem_Collection'!$V104)),"YES","NO")</f>
        <v>NO</v>
      </c>
      <c r="AI397" s="252" t="str">
        <f>IF(ISNUMBER(SEARCH("R", 'Dry_Litterbag Placem_Collection'!$V104)),"YES","NO")</f>
        <v>NO</v>
      </c>
      <c r="AJ397" s="252" t="str">
        <f>IF(ISNUMBER(SEARCH("C", 'Dry_Litterbag Placem_Collection'!$U104)),"YES","NO")</f>
        <v>NO</v>
      </c>
      <c r="AK397" s="252" t="str">
        <f>IF(ISNUMBER(SEARCH("H", 'Dry_Litterbag Placem_Collection'!$U104)),"YES","NO")</f>
        <v>NO</v>
      </c>
      <c r="AL397" s="252" t="str">
        <f>IF(ISNUMBER(SEARCH("R", 'Dry_Litterbag Placem_Collection'!$U104)),"YES","NO")</f>
        <v>NO</v>
      </c>
    </row>
    <row r="398" spans="2:38">
      <c r="B398" t="str">
        <f>'Final data_for_R_analysis_Dryse'!A544</f>
        <v>Dry</v>
      </c>
      <c r="C398" s="260">
        <f>'Final data_for_R_analysis_Dryse'!B544</f>
        <v>103</v>
      </c>
      <c r="D398" t="s">
        <v>3815</v>
      </c>
      <c r="E398" t="s">
        <v>25</v>
      </c>
      <c r="F398" s="382">
        <v>7</v>
      </c>
      <c r="G398" s="383">
        <f>IF('Dry_Litterbag Placem_Collection'!E105="","",'Dry_Litterbag Placem_Collection'!E105)</f>
        <v>42939</v>
      </c>
      <c r="H398" s="92" t="str">
        <f>'Final data_for_R_analysis_Dryse'!K544</f>
        <v>G145</v>
      </c>
      <c r="I398" t="str">
        <f>'Final data_for_R_analysis_Dryse'!K764</f>
        <v>R701</v>
      </c>
      <c r="J398">
        <f>IFERROR(INDEX('Green_rooibos initial weight'!$C$5:$C$2000,MATCH(H398, 'Green_rooibos initial weight'!$A$5:$A$2000,0)),"")</f>
        <v>2.044</v>
      </c>
      <c r="K398">
        <f>IFERROR(INDEX('Green_rooibos initial weight'!$C$5:$C$2000,MATCH(I398, 'Green_rooibos initial weight'!$A$5:$A$2000,0)),"")</f>
        <v>2.1549999999999998</v>
      </c>
      <c r="L398" s="194">
        <f t="shared" si="69"/>
        <v>1.7942</v>
      </c>
      <c r="M398" s="237">
        <f>AVERAGE(Ashed_controlls!$K$1:$K$11)</f>
        <v>5.5147656768714146</v>
      </c>
      <c r="N398" s="194">
        <f t="shared" si="65"/>
        <v>1.6952540742255731</v>
      </c>
      <c r="O398" s="194">
        <f t="shared" si="70"/>
        <v>1.9051999999999998</v>
      </c>
      <c r="P398" s="237">
        <f>AVERAGE(Ashed_controlls!$K$12:$K$14)</f>
        <v>2.2816647271287041</v>
      </c>
      <c r="Q398" s="194">
        <f t="shared" si="66"/>
        <v>1.8617297236187438</v>
      </c>
      <c r="R398" s="383">
        <f>IF('Dry_Litterbag Placem_Collection'!G105="","",'Dry_Litterbag Placem_Collection'!G105)</f>
        <v>43010</v>
      </c>
      <c r="S398" s="194">
        <f>IFERROR(INDEX('Both teabags AfterDry'!$D$3:$D$2000,MATCH(H398,'Both teabags AfterDry'!$A$3:$A$2000,0)),"")</f>
        <v>1.0654999999999999</v>
      </c>
      <c r="T398" s="194">
        <f>IFERROR(INDEX('Both teabags AfterDry'!$D$3:$D$2000,MATCH(I398,'Both teabags AfterDry'!$A$3:$A$2000,0)),"")</f>
        <v>1.8272999999999999</v>
      </c>
      <c r="U398" s="194">
        <f t="shared" si="71"/>
        <v>0.91489999999999982</v>
      </c>
      <c r="V398" s="194">
        <f t="shared" si="72"/>
        <v>1.6766999999999999</v>
      </c>
      <c r="W398" s="194">
        <f>IFERROR(INDEX('Ashed teabags dry'!$K$2:$K$2000,MATCH(H398,'Ashed teabags dry'!$A$2:$A$2000,0)),"")</f>
        <v>11.406672678088214</v>
      </c>
      <c r="X398" s="194">
        <f>IFERROR(INDEX('Ashed teabags dry'!$K$2:$K$2000,MATCH(I398,'Ashed teabags dry'!$A$2:$A$2000,0)),"")</f>
        <v>4.2152466367706989</v>
      </c>
      <c r="Y398" s="194">
        <f t="shared" si="67"/>
        <v>0.81054035166817084</v>
      </c>
      <c r="Z398" s="194">
        <f t="shared" si="67"/>
        <v>1.6060229596412656</v>
      </c>
      <c r="AA398" s="194">
        <f t="shared" si="73"/>
        <v>0.5218767711627873</v>
      </c>
      <c r="AB398" s="194">
        <f t="shared" si="74"/>
        <v>0.3421329901209722</v>
      </c>
      <c r="AC398" s="194">
        <f t="shared" si="68"/>
        <v>0.86265097412719649</v>
      </c>
      <c r="AD398">
        <f t="shared" si="75"/>
        <v>71</v>
      </c>
      <c r="AE398" s="194">
        <f t="shared" si="76"/>
        <v>0.38019385847649967</v>
      </c>
      <c r="AF398" s="194">
        <f t="shared" si="77"/>
        <v>7.2287877598408269E-3</v>
      </c>
      <c r="AG398" s="252" t="str">
        <f>IF(ISNUMBER(SEARCH("C", 'Dry_Litterbag Placem_Collection'!$V105)),"YES","NO")</f>
        <v>NO</v>
      </c>
      <c r="AH398" s="252" t="str">
        <f>IF(ISNUMBER(SEARCH("H", 'Dry_Litterbag Placem_Collection'!$V105)),"YES","NO")</f>
        <v>NO</v>
      </c>
      <c r="AI398" s="252" t="str">
        <f>IF(ISNUMBER(SEARCH("R", 'Dry_Litterbag Placem_Collection'!$V105)),"YES","NO")</f>
        <v>NO</v>
      </c>
      <c r="AJ398" s="252" t="str">
        <f>IF(ISNUMBER(SEARCH("C", 'Dry_Litterbag Placem_Collection'!$U105)),"YES","NO")</f>
        <v>NO</v>
      </c>
      <c r="AK398" s="252" t="str">
        <f>IF(ISNUMBER(SEARCH("H", 'Dry_Litterbag Placem_Collection'!$U105)),"YES","NO")</f>
        <v>NO</v>
      </c>
      <c r="AL398" s="252" t="str">
        <f>IF(ISNUMBER(SEARCH("R", 'Dry_Litterbag Placem_Collection'!$U105)),"YES","NO")</f>
        <v>NO</v>
      </c>
    </row>
    <row r="399" spans="2:38">
      <c r="B399" t="str">
        <f>'Final data_for_R_analysis_Dryse'!A545</f>
        <v>Dry</v>
      </c>
      <c r="C399" s="260">
        <f>'Final data_for_R_analysis_Dryse'!B545</f>
        <v>104</v>
      </c>
      <c r="D399" t="s">
        <v>3815</v>
      </c>
      <c r="E399" t="s">
        <v>25</v>
      </c>
      <c r="F399" s="382">
        <v>8</v>
      </c>
      <c r="G399" s="383">
        <f>IF('Dry_Litterbag Placem_Collection'!E106="","",'Dry_Litterbag Placem_Collection'!E106)</f>
        <v>42939</v>
      </c>
      <c r="H399" s="92" t="str">
        <f>'Final data_for_R_analysis_Dryse'!K545</f>
        <v>G76</v>
      </c>
      <c r="I399" t="str">
        <f>'Final data_for_R_analysis_Dryse'!K765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69"/>
        <v>1.7631999999999999</v>
      </c>
      <c r="M399" s="237">
        <f>AVERAGE(Ashed_controlls!$K$1:$K$11)</f>
        <v>5.5147656768714146</v>
      </c>
      <c r="N399" s="194">
        <f t="shared" si="65"/>
        <v>1.665963651585403</v>
      </c>
      <c r="O399" s="194">
        <f t="shared" si="70"/>
        <v>1.9632000000000001</v>
      </c>
      <c r="P399" s="237">
        <f>AVERAGE(Ashed_controlls!$K$12:$K$14)</f>
        <v>2.2816647271287041</v>
      </c>
      <c r="Q399" s="194">
        <f t="shared" si="66"/>
        <v>1.9184063580770094</v>
      </c>
      <c r="R399" s="383">
        <f>IF('Dry_Litterbag Placem_Collection'!G106="","",'Dry_Litterbag Placem_Collection'!G106)</f>
        <v>43010</v>
      </c>
      <c r="S399" s="194">
        <f>IFERROR(INDEX('Both teabags AfterDry'!$D$3:$D$2000,MATCH(H399,'Both teabags AfterDry'!$A$3:$A$2000,0)),"")</f>
        <v>1.2876000000000001</v>
      </c>
      <c r="T399" s="194">
        <f>IFERROR(INDEX('Both teabags AfterDry'!$D$3:$D$2000,MATCH(I399,'Both teabags AfterDry'!$A$3:$A$2000,0)),"")</f>
        <v>1.9468000000000001</v>
      </c>
      <c r="U399" s="194">
        <f t="shared" si="71"/>
        <v>1.137</v>
      </c>
      <c r="V399" s="194">
        <f t="shared" si="72"/>
        <v>1.7962</v>
      </c>
      <c r="W399" s="194">
        <f>IFERROR(INDEX('Ashed teabags dry'!$K$2:$K$2000,MATCH(H399,'Ashed teabags dry'!$A$2:$A$2000,0)),"")</f>
        <v>9.59232613908814</v>
      </c>
      <c r="X399" s="194">
        <f>IFERROR(INDEX('Ashed teabags dry'!$K$2:$K$2000,MATCH(I399,'Ashed teabags dry'!$A$2:$A$2000,0)),"")</f>
        <v>3.5681186283600224</v>
      </c>
      <c r="Y399" s="194">
        <f t="shared" si="67"/>
        <v>1.0279352517985678</v>
      </c>
      <c r="Z399" s="194">
        <f t="shared" si="67"/>
        <v>1.7321094531973973</v>
      </c>
      <c r="AA399" s="194">
        <f t="shared" si="73"/>
        <v>0.38297858370418814</v>
      </c>
      <c r="AB399" s="194">
        <f t="shared" si="74"/>
        <v>0.25107384584882647</v>
      </c>
      <c r="AC399" s="194">
        <f t="shared" si="68"/>
        <v>0.90288975842096653</v>
      </c>
      <c r="AD399">
        <f t="shared" si="75"/>
        <v>71</v>
      </c>
      <c r="AE399" s="194">
        <f t="shared" si="76"/>
        <v>0.54515607636082164</v>
      </c>
      <c r="AF399" s="194">
        <f t="shared" si="77"/>
        <v>6.8877586459026238E-3</v>
      </c>
      <c r="AG399" s="252" t="str">
        <f>IF(ISNUMBER(SEARCH("C", 'Dry_Litterbag Placem_Collection'!$V106)),"YES","NO")</f>
        <v>NO</v>
      </c>
      <c r="AH399" s="252" t="str">
        <f>IF(ISNUMBER(SEARCH("H", 'Dry_Litterbag Placem_Collection'!$V106)),"YES","NO")</f>
        <v>NO</v>
      </c>
      <c r="AI399" s="252" t="str">
        <f>IF(ISNUMBER(SEARCH("R", 'Dry_Litterbag Placem_Collection'!$V106)),"YES","NO")</f>
        <v>NO</v>
      </c>
      <c r="AJ399" s="252" t="str">
        <f>IF(ISNUMBER(SEARCH("C", 'Dry_Litterbag Placem_Collection'!$U106)),"YES","NO")</f>
        <v>NO</v>
      </c>
      <c r="AK399" s="252" t="str">
        <f>IF(ISNUMBER(SEARCH("H", 'Dry_Litterbag Placem_Collection'!$U106)),"YES","NO")</f>
        <v>NO</v>
      </c>
      <c r="AL399" s="252" t="str">
        <f>IF(ISNUMBER(SEARCH("R", 'Dry_Litterbag Placem_Collection'!$U106)),"YES","NO")</f>
        <v>NO</v>
      </c>
    </row>
    <row r="400" spans="2:38">
      <c r="B400" t="str">
        <f>'Final data_for_R_analysis_Dryse'!A546</f>
        <v>Dry</v>
      </c>
      <c r="C400" s="260">
        <f>'Final data_for_R_analysis_Dryse'!B546</f>
        <v>105</v>
      </c>
      <c r="D400" t="s">
        <v>3817</v>
      </c>
      <c r="E400" t="s">
        <v>25</v>
      </c>
      <c r="F400" s="381">
        <v>1</v>
      </c>
      <c r="G400" s="383">
        <f>IF('Dry_Litterbag Placem_Collection'!E107="","",'Dry_Litterbag Placem_Collection'!E107)</f>
        <v>42939</v>
      </c>
      <c r="H400" s="92" t="str">
        <f>'Final data_for_R_analysis_Dryse'!K546</f>
        <v>G57</v>
      </c>
      <c r="I400" t="str">
        <f>'Final data_for_R_analysis_Dryse'!K766</f>
        <v>R212</v>
      </c>
      <c r="J400">
        <f>IFERROR(INDEX('Green_rooibos initial weight'!$C$5:$C$2000,MATCH(H400, 'Green_rooibos initial weight'!$A$5:$A$2000,0)),"")</f>
        <v>2.077</v>
      </c>
      <c r="K400">
        <f>IFERROR(INDEX('Green_rooibos initial weight'!$C$5:$C$2000,MATCH(I400, 'Green_rooibos initial weight'!$A$5:$A$2000,0)),"")</f>
        <v>2.2519999999999998</v>
      </c>
      <c r="L400" s="194">
        <f t="shared" si="69"/>
        <v>1.8271999999999999</v>
      </c>
      <c r="M400" s="237">
        <f>AVERAGE(Ashed_controlls!$K$1:$K$11)</f>
        <v>5.5147656768714146</v>
      </c>
      <c r="N400" s="194">
        <f t="shared" si="65"/>
        <v>1.7264342015522054</v>
      </c>
      <c r="O400" s="194">
        <f t="shared" si="70"/>
        <v>2.0021999999999998</v>
      </c>
      <c r="P400" s="237">
        <f>AVERAGE(Ashed_controlls!$K$12:$K$14)</f>
        <v>2.2816647271287041</v>
      </c>
      <c r="Q400" s="194">
        <f t="shared" si="66"/>
        <v>1.9565165088334289</v>
      </c>
      <c r="R400" s="383">
        <f>IF('Dry_Litterbag Placem_Collection'!G107="","",'Dry_Litterbag Placem_Collection'!G107)</f>
        <v>43010</v>
      </c>
      <c r="S400" s="194">
        <f>IFERROR(INDEX('Both teabags AfterDry'!$D$3:$D$2000,MATCH(H400,'Both teabags AfterDry'!$A$3:$A$2000,0)),"")</f>
        <v>1.0114000000000001</v>
      </c>
      <c r="T400" s="194">
        <f>IFERROR(INDEX('Both teabags AfterDry'!$D$3:$D$2000,MATCH(I400,'Both teabags AfterDry'!$A$3:$A$2000,0)),"")</f>
        <v>1.9135</v>
      </c>
      <c r="U400" s="194">
        <f t="shared" si="71"/>
        <v>0.86080000000000001</v>
      </c>
      <c r="V400" s="194">
        <f t="shared" si="72"/>
        <v>1.7628999999999999</v>
      </c>
      <c r="W400" s="194">
        <f>IFERROR(INDEX('Ashed teabags dry'!$K$2:$K$2000,MATCH(H400,'Ashed teabags dry'!$A$2:$A$2000,0)),"")</f>
        <v>24.439461883408928</v>
      </c>
      <c r="X400" s="194">
        <f>IFERROR(INDEX('Ashed teabags dry'!$K$2:$K$2000,MATCH(I400,'Ashed teabags dry'!$A$2:$A$2000,0)),"")</f>
        <v>7.1020019065774402</v>
      </c>
      <c r="Y400" s="194">
        <f t="shared" si="67"/>
        <v>0.65042511210761589</v>
      </c>
      <c r="Z400" s="194">
        <f t="shared" si="67"/>
        <v>1.6376988083889463</v>
      </c>
      <c r="AA400" s="194">
        <f t="shared" si="73"/>
        <v>0.62325519760739767</v>
      </c>
      <c r="AB400" s="194">
        <f t="shared" si="74"/>
        <v>0.40859485638869786</v>
      </c>
      <c r="AC400" s="194">
        <f t="shared" si="68"/>
        <v>0.83704829527118207</v>
      </c>
      <c r="AD400">
        <f t="shared" si="75"/>
        <v>71</v>
      </c>
      <c r="AE400" s="194">
        <f t="shared" si="76"/>
        <v>0.2597919268320692</v>
      </c>
      <c r="AF400" s="194">
        <f t="shared" si="77"/>
        <v>7.166819917542905E-3</v>
      </c>
      <c r="AG400" s="252" t="str">
        <f>IF(ISNUMBER(SEARCH("C", 'Dry_Litterbag Placem_Collection'!$V107)),"YES","NO")</f>
        <v>NO</v>
      </c>
      <c r="AH400" s="252" t="str">
        <f>IF(ISNUMBER(SEARCH("H", 'Dry_Litterbag Placem_Collection'!$V107)),"YES","NO")</f>
        <v>NO</v>
      </c>
      <c r="AI400" s="252" t="str">
        <f>IF(ISNUMBER(SEARCH("R", 'Dry_Litterbag Placem_Collection'!$V107)),"YES","NO")</f>
        <v>NO</v>
      </c>
      <c r="AJ400" s="252" t="str">
        <f>IF(ISNUMBER(SEARCH("C", 'Dry_Litterbag Placem_Collection'!$U107)),"YES","NO")</f>
        <v>NO</v>
      </c>
      <c r="AK400" s="252" t="str">
        <f>IF(ISNUMBER(SEARCH("H", 'Dry_Litterbag Placem_Collection'!$U107)),"YES","NO")</f>
        <v>NO</v>
      </c>
      <c r="AL400" s="252" t="str">
        <f>IF(ISNUMBER(SEARCH("R", 'Dry_Litterbag Placem_Collection'!$U107)),"YES","NO")</f>
        <v>NO</v>
      </c>
    </row>
    <row r="401" spans="2:38">
      <c r="B401" t="str">
        <f>'Final data_for_R_analysis_Dryse'!A547</f>
        <v>Dry</v>
      </c>
      <c r="C401" s="260">
        <f>'Final data_for_R_analysis_Dryse'!B547</f>
        <v>106</v>
      </c>
      <c r="D401" t="s">
        <v>3817</v>
      </c>
      <c r="E401" t="s">
        <v>25</v>
      </c>
      <c r="F401" s="381">
        <v>2</v>
      </c>
      <c r="G401" s="383">
        <f>IF('Dry_Litterbag Placem_Collection'!E108="","",'Dry_Litterbag Placem_Collection'!E108)</f>
        <v>42939</v>
      </c>
      <c r="H401" s="92" t="str">
        <f>'Final data_for_R_analysis_Dryse'!K547</f>
        <v>G167</v>
      </c>
      <c r="I401" t="str">
        <f>'Final data_for_R_analysis_Dryse'!K767</f>
        <v>R66</v>
      </c>
      <c r="J401">
        <f>IFERROR(INDEX('Green_rooibos initial weight'!$C$5:$C$2000,MATCH(H401, 'Green_rooibos initial weight'!$A$5:$A$2000,0)),"")</f>
        <v>1.996</v>
      </c>
      <c r="K401">
        <f>IFERROR(INDEX('Green_rooibos initial weight'!$C$5:$C$2000,MATCH(I401, 'Green_rooibos initial weight'!$A$5:$A$2000,0)),"")</f>
        <v>2.1120000000000001</v>
      </c>
      <c r="L401" s="194">
        <f t="shared" si="69"/>
        <v>1.7462</v>
      </c>
      <c r="M401" s="237">
        <f>AVERAGE(Ashed_controlls!$K$1:$K$11)</f>
        <v>5.5147656768714146</v>
      </c>
      <c r="N401" s="194">
        <f t="shared" si="65"/>
        <v>1.6499011617504713</v>
      </c>
      <c r="O401" s="194">
        <f t="shared" si="70"/>
        <v>1.8622000000000001</v>
      </c>
      <c r="P401" s="237">
        <f>AVERAGE(Ashed_controlls!$K$12:$K$14)</f>
        <v>2.2816647271287041</v>
      </c>
      <c r="Q401" s="194">
        <f t="shared" si="66"/>
        <v>1.8197108394514094</v>
      </c>
      <c r="R401" s="383">
        <f>IF('Dry_Litterbag Placem_Collection'!G108="","",'Dry_Litterbag Placem_Collection'!G108)</f>
        <v>43010</v>
      </c>
      <c r="S401" s="194">
        <f>IFERROR(INDEX('Both teabags AfterDry'!$D$3:$D$2000,MATCH(H401,'Both teabags AfterDry'!$A$3:$A$2000,0)),"")</f>
        <v>0.98309999999999997</v>
      </c>
      <c r="T401" s="194">
        <f>IFERROR(INDEX('Both teabags AfterDry'!$D$3:$D$2000,MATCH(I401,'Both teabags AfterDry'!$A$3:$A$2000,0)),"")</f>
        <v>1.7972999999999999</v>
      </c>
      <c r="U401" s="194">
        <f t="shared" si="71"/>
        <v>0.83250000000000002</v>
      </c>
      <c r="V401" s="194">
        <f t="shared" si="72"/>
        <v>1.6466999999999998</v>
      </c>
      <c r="W401" s="194">
        <f>IFERROR(INDEX('Ashed teabags dry'!$K$2:$K$2000,MATCH(H401,'Ashed teabags dry'!$A$2:$A$2000,0)),"")</f>
        <v>18.432769367765196</v>
      </c>
      <c r="X401" s="194">
        <f>IFERROR(INDEX('Ashed teabags dry'!$K$2:$K$2000,MATCH(I401,'Ashed teabags dry'!$A$2:$A$2000,0)),"")</f>
        <v>2.6819923371648411</v>
      </c>
      <c r="Y401" s="194">
        <f t="shared" si="67"/>
        <v>0.67904719501335475</v>
      </c>
      <c r="Z401" s="194">
        <f t="shared" si="67"/>
        <v>1.6025356321839064</v>
      </c>
      <c r="AA401" s="194">
        <f t="shared" si="73"/>
        <v>0.58843159168824632</v>
      </c>
      <c r="AB401" s="194">
        <f t="shared" si="74"/>
        <v>0.3857651289927696</v>
      </c>
      <c r="AC401" s="194">
        <f t="shared" si="68"/>
        <v>0.88065400141652439</v>
      </c>
      <c r="AD401">
        <f t="shared" si="75"/>
        <v>71</v>
      </c>
      <c r="AE401" s="194">
        <f t="shared" si="76"/>
        <v>0.30115012863628698</v>
      </c>
      <c r="AF401" s="194">
        <f t="shared" si="77"/>
        <v>5.2134924397701041E-3</v>
      </c>
      <c r="AG401" s="252" t="str">
        <f>IF(ISNUMBER(SEARCH("C", 'Dry_Litterbag Placem_Collection'!$V108)),"YES","NO")</f>
        <v>NO</v>
      </c>
      <c r="AH401" s="252" t="str">
        <f>IF(ISNUMBER(SEARCH("H", 'Dry_Litterbag Placem_Collection'!$V108)),"YES","NO")</f>
        <v>NO</v>
      </c>
      <c r="AI401" s="252" t="str">
        <f>IF(ISNUMBER(SEARCH("R", 'Dry_Litterbag Placem_Collection'!$V108)),"YES","NO")</f>
        <v>NO</v>
      </c>
      <c r="AJ401" s="252" t="str">
        <f>IF(ISNUMBER(SEARCH("C", 'Dry_Litterbag Placem_Collection'!$U108)),"YES","NO")</f>
        <v>NO</v>
      </c>
      <c r="AK401" s="252" t="str">
        <f>IF(ISNUMBER(SEARCH("H", 'Dry_Litterbag Placem_Collection'!$U108)),"YES","NO")</f>
        <v>NO</v>
      </c>
      <c r="AL401" s="252" t="str">
        <f>IF(ISNUMBER(SEARCH("R", 'Dry_Litterbag Placem_Collection'!$U108)),"YES","NO")</f>
        <v>NO</v>
      </c>
    </row>
    <row r="402" spans="2:38">
      <c r="B402" t="str">
        <f>'Final data_for_R_analysis_Dryse'!A548</f>
        <v>Dry</v>
      </c>
      <c r="C402" s="260">
        <f>'Final data_for_R_analysis_Dryse'!B548</f>
        <v>107</v>
      </c>
      <c r="D402" t="s">
        <v>3817</v>
      </c>
      <c r="E402" t="s">
        <v>25</v>
      </c>
      <c r="F402" s="381">
        <v>3</v>
      </c>
      <c r="G402" s="383">
        <f>IF('Dry_Litterbag Placem_Collection'!E109="","",'Dry_Litterbag Placem_Collection'!E109)</f>
        <v>42939</v>
      </c>
      <c r="H402" s="92" t="str">
        <f>'Final data_for_R_analysis_Dryse'!K548</f>
        <v>G208</v>
      </c>
      <c r="I402" t="str">
        <f>'Final data_for_R_analysis_Dryse'!K768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69"/>
        <v>1.7521999999999998</v>
      </c>
      <c r="M402" s="237">
        <f>AVERAGE(Ashed_controlls!$K$1:$K$11)</f>
        <v>5.5147656768714146</v>
      </c>
      <c r="N402" s="194">
        <f t="shared" si="65"/>
        <v>1.6555702758098589</v>
      </c>
      <c r="O402" s="194">
        <f t="shared" si="70"/>
        <v>1.9902000000000002</v>
      </c>
      <c r="P402" s="237">
        <f>AVERAGE(Ashed_controlls!$K$12:$K$14)</f>
        <v>2.2816647271287041</v>
      </c>
      <c r="Q402" s="194">
        <f t="shared" si="66"/>
        <v>1.9447903086006848</v>
      </c>
      <c r="R402" s="383">
        <f>IF('Dry_Litterbag Placem_Collection'!G109="","",'Dry_Litterbag Placem_Collection'!G109)</f>
        <v>43010</v>
      </c>
      <c r="S402" s="194" t="str">
        <f>IFERROR(INDEX('Both teabags AfterDry'!$D$3:$D$2000,MATCH(H402,'Both teabags AfterDry'!$A$3:$A$2000,0)),"")</f>
        <v/>
      </c>
      <c r="T402" s="194" t="str">
        <f>IFERROR(INDEX('Both teabags AfterDry'!$D$3:$D$2000,MATCH(I402,'Both teabags AfterDry'!$A$3:$A$2000,0)),"")</f>
        <v/>
      </c>
      <c r="U402" s="194" t="str">
        <f t="shared" si="71"/>
        <v/>
      </c>
      <c r="V402" s="194" t="str">
        <f t="shared" si="72"/>
        <v/>
      </c>
      <c r="W402" s="194" t="str">
        <f>IFERROR(INDEX('Ashed teabags dry'!$K$2:$K$2000,MATCH(H402,'Ashed teabags dry'!$A$2:$A$2000,0)),"")</f>
        <v/>
      </c>
      <c r="X402" s="194" t="str">
        <f>IFERROR(INDEX('Ashed teabags dry'!$K$2:$K$2000,MATCH(I402,'Ashed teabags dry'!$A$2:$A$2000,0)),"")</f>
        <v/>
      </c>
      <c r="Y402" s="194" t="str">
        <f t="shared" si="67"/>
        <v/>
      </c>
      <c r="Z402" s="194" t="str">
        <f t="shared" si="67"/>
        <v/>
      </c>
      <c r="AA402" s="194" t="str">
        <f t="shared" si="73"/>
        <v/>
      </c>
      <c r="AB402" s="194" t="str">
        <f t="shared" si="74"/>
        <v/>
      </c>
      <c r="AC402" s="194" t="str">
        <f t="shared" si="68"/>
        <v/>
      </c>
      <c r="AD402">
        <f t="shared" si="75"/>
        <v>71</v>
      </c>
      <c r="AE402" s="194" t="str">
        <f t="shared" si="76"/>
        <v/>
      </c>
      <c r="AF402" s="194" t="str">
        <f t="shared" si="77"/>
        <v/>
      </c>
      <c r="AG402" s="252" t="str">
        <f>IF(ISNUMBER(SEARCH("C", 'Dry_Litterbag Placem_Collection'!$V109)),"YES","NO")</f>
        <v>NO</v>
      </c>
      <c r="AH402" s="252" t="str">
        <f>IF(ISNUMBER(SEARCH("H", 'Dry_Litterbag Placem_Collection'!$V109)),"YES","NO")</f>
        <v>NO</v>
      </c>
      <c r="AI402" s="252" t="str">
        <f>IF(ISNUMBER(SEARCH("R", 'Dry_Litterbag Placem_Collection'!$V109)),"YES","NO")</f>
        <v>NO</v>
      </c>
      <c r="AJ402" s="252" t="str">
        <f>IF(ISNUMBER(SEARCH("C", 'Dry_Litterbag Placem_Collection'!$U109)),"YES","NO")</f>
        <v>NO</v>
      </c>
      <c r="AK402" s="252" t="str">
        <f>IF(ISNUMBER(SEARCH("H", 'Dry_Litterbag Placem_Collection'!$U109)),"YES","NO")</f>
        <v>NO</v>
      </c>
      <c r="AL402" s="252" t="str">
        <f>IF(ISNUMBER(SEARCH("R", 'Dry_Litterbag Placem_Collection'!$U109)),"YES","NO")</f>
        <v>NO</v>
      </c>
    </row>
    <row r="403" spans="2:38">
      <c r="B403" t="str">
        <f>'Final data_for_R_analysis_Dryse'!A549</f>
        <v>Dry</v>
      </c>
      <c r="C403" s="260">
        <f>'Final data_for_R_analysis_Dryse'!B549</f>
        <v>108</v>
      </c>
      <c r="D403" t="s">
        <v>3817</v>
      </c>
      <c r="E403" t="s">
        <v>25</v>
      </c>
      <c r="F403" s="382">
        <v>4</v>
      </c>
      <c r="G403" s="383">
        <f>IF('Dry_Litterbag Placem_Collection'!E110="","",'Dry_Litterbag Placem_Collection'!E110)</f>
        <v>42939</v>
      </c>
      <c r="H403" s="92" t="str">
        <f>'Final data_for_R_analysis_Dryse'!K549</f>
        <v>G62</v>
      </c>
      <c r="I403" t="str">
        <f>'Final data_for_R_analysis_Dryse'!K769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69"/>
        <v>1.8321999999999998</v>
      </c>
      <c r="M403" s="237">
        <f>AVERAGE(Ashed_controlls!$K$1:$K$11)</f>
        <v>5.5147656768714146</v>
      </c>
      <c r="N403" s="194">
        <f t="shared" si="65"/>
        <v>1.7311584632683619</v>
      </c>
      <c r="O403" s="194">
        <f t="shared" si="70"/>
        <v>2.0051999999999999</v>
      </c>
      <c r="P403" s="237">
        <f>AVERAGE(Ashed_controlls!$K$12:$K$14)</f>
        <v>2.2816647271287041</v>
      </c>
      <c r="Q403" s="194">
        <f t="shared" si="66"/>
        <v>1.959448058891615</v>
      </c>
      <c r="R403" s="383">
        <f>IF('Dry_Litterbag Placem_Collection'!G110="","",'Dry_Litterbag Placem_Collection'!G110)</f>
        <v>43010</v>
      </c>
      <c r="S403" s="194">
        <f>IFERROR(INDEX('Both teabags AfterDry'!$D$3:$D$2000,MATCH(H403,'Both teabags AfterDry'!$A$3:$A$2000,0)),"")</f>
        <v>1.0947</v>
      </c>
      <c r="T403" s="194">
        <f>IFERROR(INDEX('Both teabags AfterDry'!$D$3:$D$2000,MATCH(I403,'Both teabags AfterDry'!$A$3:$A$2000,0)),"")</f>
        <v>1.9655</v>
      </c>
      <c r="U403" s="194">
        <f t="shared" si="71"/>
        <v>0.94409999999999994</v>
      </c>
      <c r="V403" s="194">
        <f t="shared" si="72"/>
        <v>1.8149</v>
      </c>
      <c r="W403" s="194">
        <f>IFERROR(INDEX('Ashed teabags dry'!$K$2:$K$2000,MATCH(H403,'Ashed teabags dry'!$A$2:$A$2000,0)),"")</f>
        <v>18.630647414997014</v>
      </c>
      <c r="X403" s="194">
        <f>IFERROR(INDEX('Ashed teabags dry'!$K$2:$K$2000,MATCH(I403,'Ashed teabags dry'!$A$2:$A$2000,0)),"")</f>
        <v>4.1293532338306944</v>
      </c>
      <c r="Y403" s="194">
        <f t="shared" si="67"/>
        <v>0.76820805775501311</v>
      </c>
      <c r="Z403" s="194">
        <f t="shared" si="67"/>
        <v>1.7399563681592067</v>
      </c>
      <c r="AA403" s="194">
        <f t="shared" si="73"/>
        <v>0.55624625125035332</v>
      </c>
      <c r="AB403" s="194">
        <f t="shared" si="74"/>
        <v>0.3646650008197091</v>
      </c>
      <c r="AC403" s="194">
        <f t="shared" si="68"/>
        <v>0.88798289919633477</v>
      </c>
      <c r="AD403">
        <f t="shared" si="75"/>
        <v>71</v>
      </c>
      <c r="AE403" s="194">
        <f t="shared" si="76"/>
        <v>0.33937499851501984</v>
      </c>
      <c r="AF403" s="194">
        <f t="shared" si="77"/>
        <v>5.1687648773852063E-3</v>
      </c>
      <c r="AG403" s="252" t="str">
        <f>IF(ISNUMBER(SEARCH("C", 'Dry_Litterbag Placem_Collection'!$V110)),"YES","NO")</f>
        <v>NO</v>
      </c>
      <c r="AH403" s="252" t="str">
        <f>IF(ISNUMBER(SEARCH("H", 'Dry_Litterbag Placem_Collection'!$V110)),"YES","NO")</f>
        <v>NO</v>
      </c>
      <c r="AI403" s="252" t="str">
        <f>IF(ISNUMBER(SEARCH("R", 'Dry_Litterbag Placem_Collection'!$V110)),"YES","NO")</f>
        <v>NO</v>
      </c>
      <c r="AJ403" s="252" t="str">
        <f>IF(ISNUMBER(SEARCH("C", 'Dry_Litterbag Placem_Collection'!$U110)),"YES","NO")</f>
        <v>NO</v>
      </c>
      <c r="AK403" s="252" t="str">
        <f>IF(ISNUMBER(SEARCH("H", 'Dry_Litterbag Placem_Collection'!$U110)),"YES","NO")</f>
        <v>NO</v>
      </c>
      <c r="AL403" s="252" t="str">
        <f>IF(ISNUMBER(SEARCH("R", 'Dry_Litterbag Placem_Collection'!$U110)),"YES","NO")</f>
        <v>NO</v>
      </c>
    </row>
    <row r="404" spans="2:38">
      <c r="B404" t="str">
        <f>'Final data_for_R_analysis_Dryse'!A550</f>
        <v>Dry</v>
      </c>
      <c r="C404" s="260">
        <f>'Final data_for_R_analysis_Dryse'!B550</f>
        <v>109</v>
      </c>
      <c r="D404" t="s">
        <v>3817</v>
      </c>
      <c r="E404" t="s">
        <v>25</v>
      </c>
      <c r="F404" s="382">
        <v>5</v>
      </c>
      <c r="G404" s="383">
        <f>IF('Dry_Litterbag Placem_Collection'!E111="","",'Dry_Litterbag Placem_Collection'!E111)</f>
        <v>42939</v>
      </c>
      <c r="H404" s="92" t="str">
        <f>'Final data_for_R_analysis_Dryse'!K550</f>
        <v>G102</v>
      </c>
      <c r="I404" t="str">
        <f>'Final data_for_R_analysis_Dryse'!K770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69"/>
        <v>1.8422000000000001</v>
      </c>
      <c r="M404" s="237">
        <f>AVERAGE(Ashed_controlls!$K$1:$K$11)</f>
        <v>5.5147656768714146</v>
      </c>
      <c r="N404" s="194">
        <f t="shared" si="65"/>
        <v>1.7406069867006748</v>
      </c>
      <c r="O404" s="194">
        <f t="shared" si="70"/>
        <v>2.0421999999999998</v>
      </c>
      <c r="P404" s="237">
        <f>AVERAGE(Ashed_controlls!$K$12:$K$14)</f>
        <v>2.2816647271287041</v>
      </c>
      <c r="Q404" s="194">
        <f t="shared" si="66"/>
        <v>1.9956038429425773</v>
      </c>
      <c r="R404" s="383">
        <f>IF('Dry_Litterbag Placem_Collection'!G111="","",'Dry_Litterbag Placem_Collection'!G111)</f>
        <v>43010</v>
      </c>
      <c r="S404" s="194">
        <f>IFERROR(INDEX('Both teabags AfterDry'!$D$3:$D$2000,MATCH(H404,'Both teabags AfterDry'!$A$3:$A$2000,0)),"")</f>
        <v>1.0327999999999999</v>
      </c>
      <c r="T404" s="194">
        <f>IFERROR(INDEX('Both teabags AfterDry'!$D$3:$D$2000,MATCH(I404,'Both teabags AfterDry'!$A$3:$A$2000,0)),"")</f>
        <v>1.8811</v>
      </c>
      <c r="U404" s="194">
        <f t="shared" si="71"/>
        <v>0.88219999999999987</v>
      </c>
      <c r="V404" s="194">
        <f t="shared" si="72"/>
        <v>1.7304999999999999</v>
      </c>
      <c r="W404" s="194">
        <f>IFERROR(INDEX('Ashed teabags dry'!$K$2:$K$2000,MATCH(H404,'Ashed teabags dry'!$A$2:$A$2000,0)),"")</f>
        <v>18.731117824773449</v>
      </c>
      <c r="X404" s="194">
        <f>IFERROR(INDEX('Ashed teabags dry'!$K$2:$K$2000,MATCH(I404,'Ashed teabags dry'!$A$2:$A$2000,0)),"")</f>
        <v>6.3173359451526663</v>
      </c>
      <c r="Y404" s="194">
        <f t="shared" si="67"/>
        <v>0.71695407854984849</v>
      </c>
      <c r="Z404" s="194">
        <f t="shared" si="67"/>
        <v>1.6211785014691331</v>
      </c>
      <c r="AA404" s="194">
        <f t="shared" si="73"/>
        <v>0.5881011141355712</v>
      </c>
      <c r="AB404" s="194">
        <f t="shared" si="74"/>
        <v>0.38554847387510133</v>
      </c>
      <c r="AC404" s="194">
        <f t="shared" si="68"/>
        <v>0.81237491459159406</v>
      </c>
      <c r="AD404">
        <f t="shared" si="75"/>
        <v>71</v>
      </c>
      <c r="AE404" s="194">
        <f t="shared" si="76"/>
        <v>0.30154261979148311</v>
      </c>
      <c r="AF404" s="194">
        <f t="shared" si="77"/>
        <v>9.391364775802406E-3</v>
      </c>
      <c r="AG404" s="252" t="str">
        <f>IF(ISNUMBER(SEARCH("C", 'Dry_Litterbag Placem_Collection'!$V111)),"YES","NO")</f>
        <v>NO</v>
      </c>
      <c r="AH404" s="252" t="str">
        <f>IF(ISNUMBER(SEARCH("H", 'Dry_Litterbag Placem_Collection'!$V111)),"YES","NO")</f>
        <v>NO</v>
      </c>
      <c r="AI404" s="252" t="str">
        <f>IF(ISNUMBER(SEARCH("R", 'Dry_Litterbag Placem_Collection'!$V111)),"YES","NO")</f>
        <v>NO</v>
      </c>
      <c r="AJ404" s="252" t="str">
        <f>IF(ISNUMBER(SEARCH("C", 'Dry_Litterbag Placem_Collection'!$U111)),"YES","NO")</f>
        <v>NO</v>
      </c>
      <c r="AK404" s="252" t="str">
        <f>IF(ISNUMBER(SEARCH("H", 'Dry_Litterbag Placem_Collection'!$U111)),"YES","NO")</f>
        <v>NO</v>
      </c>
      <c r="AL404" s="252" t="str">
        <f>IF(ISNUMBER(SEARCH("R", 'Dry_Litterbag Placem_Collection'!$U111)),"YES","NO")</f>
        <v>NO</v>
      </c>
    </row>
    <row r="405" spans="2:38">
      <c r="B405" t="str">
        <f>'Final data_for_R_analysis_Dryse'!A551</f>
        <v>Dry</v>
      </c>
      <c r="C405" s="260">
        <f>'Final data_for_R_analysis_Dryse'!B551</f>
        <v>110</v>
      </c>
      <c r="D405" t="s">
        <v>3817</v>
      </c>
      <c r="E405" t="s">
        <v>25</v>
      </c>
      <c r="F405" s="382">
        <v>6</v>
      </c>
      <c r="G405" s="383">
        <f>IF('Dry_Litterbag Placem_Collection'!E112="","",'Dry_Litterbag Placem_Collection'!E112)</f>
        <v>42939</v>
      </c>
      <c r="H405" s="92" t="str">
        <f>'Final data_for_R_analysis_Dryse'!K551</f>
        <v>G265</v>
      </c>
      <c r="I405" t="str">
        <f>'Final data_for_R_analysis_Dryse'!K771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69"/>
        <v>1.7292000000000001</v>
      </c>
      <c r="M405" s="237">
        <f>AVERAGE(Ashed_controlls!$K$1:$K$11)</f>
        <v>5.5147656768714146</v>
      </c>
      <c r="N405" s="194">
        <f t="shared" si="65"/>
        <v>1.6338386719155396</v>
      </c>
      <c r="O405" s="194">
        <f t="shared" si="70"/>
        <v>1.8582000000000001</v>
      </c>
      <c r="P405" s="237">
        <f>AVERAGE(Ashed_controlls!$K$12:$K$14)</f>
        <v>2.2816647271287041</v>
      </c>
      <c r="Q405" s="194">
        <f t="shared" si="66"/>
        <v>1.8158021060404945</v>
      </c>
      <c r="R405" s="383">
        <f>IF('Dry_Litterbag Placem_Collection'!G112="","",'Dry_Litterbag Placem_Collection'!G112)</f>
        <v>43010</v>
      </c>
      <c r="S405" s="194">
        <f>IFERROR(INDEX('Both teabags AfterDry'!$D$3:$D$2000,MATCH(H405,'Both teabags AfterDry'!$A$3:$A$2000,0)),"")</f>
        <v>0.93579999999999997</v>
      </c>
      <c r="T405" s="194">
        <f>IFERROR(INDEX('Both teabags AfterDry'!$D$3:$D$2000,MATCH(I405,'Both teabags AfterDry'!$A$3:$A$2000,0)),"")</f>
        <v>1.8521000000000001</v>
      </c>
      <c r="U405" s="194">
        <f t="shared" si="71"/>
        <v>0.7851999999999999</v>
      </c>
      <c r="V405" s="194">
        <f t="shared" si="72"/>
        <v>1.7015</v>
      </c>
      <c r="W405" s="194">
        <f>IFERROR(INDEX('Ashed teabags dry'!$K$2:$K$2000,MATCH(H405,'Ashed teabags dry'!$A$2:$A$2000,0)),"")</f>
        <v>14.665354330708222</v>
      </c>
      <c r="X405" s="194">
        <f>IFERROR(INDEX('Ashed teabags dry'!$K$2:$K$2000,MATCH(I405,'Ashed teabags dry'!$A$2:$A$2000,0)),"")</f>
        <v>3.9122137404573722</v>
      </c>
      <c r="Y405" s="194">
        <f t="shared" si="67"/>
        <v>0.67004763779527898</v>
      </c>
      <c r="Z405" s="194">
        <f t="shared" si="67"/>
        <v>1.6349336832061179</v>
      </c>
      <c r="AA405" s="194">
        <f t="shared" si="73"/>
        <v>0.58989363557559571</v>
      </c>
      <c r="AB405" s="194">
        <f t="shared" si="74"/>
        <v>0.38672361857212456</v>
      </c>
      <c r="AC405" s="194">
        <f t="shared" si="68"/>
        <v>0.9003919963344601</v>
      </c>
      <c r="AD405">
        <f t="shared" si="75"/>
        <v>71</v>
      </c>
      <c r="AE405" s="194">
        <f t="shared" si="76"/>
        <v>0.29941373447078889</v>
      </c>
      <c r="AF405" s="194">
        <f t="shared" si="77"/>
        <v>4.1947225346417741E-3</v>
      </c>
      <c r="AG405" s="252" t="str">
        <f>IF(ISNUMBER(SEARCH("C", 'Dry_Litterbag Placem_Collection'!$V112)),"YES","NO")</f>
        <v>NO</v>
      </c>
      <c r="AH405" s="252" t="str">
        <f>IF(ISNUMBER(SEARCH("H", 'Dry_Litterbag Placem_Collection'!$V112)),"YES","NO")</f>
        <v>NO</v>
      </c>
      <c r="AI405" s="252" t="str">
        <f>IF(ISNUMBER(SEARCH("R", 'Dry_Litterbag Placem_Collection'!$V112)),"YES","NO")</f>
        <v>NO</v>
      </c>
      <c r="AJ405" s="252" t="str">
        <f>IF(ISNUMBER(SEARCH("C", 'Dry_Litterbag Placem_Collection'!$U112)),"YES","NO")</f>
        <v>NO</v>
      </c>
      <c r="AK405" s="252" t="str">
        <f>IF(ISNUMBER(SEARCH("H", 'Dry_Litterbag Placem_Collection'!$U112)),"YES","NO")</f>
        <v>NO</v>
      </c>
      <c r="AL405" s="252" t="str">
        <f>IF(ISNUMBER(SEARCH("R", 'Dry_Litterbag Placem_Collection'!$U112)),"YES","NO")</f>
        <v>NO</v>
      </c>
    </row>
    <row r="406" spans="2:38">
      <c r="B406" t="str">
        <f>'Final data_for_R_analysis_Dryse'!A552</f>
        <v>Dry</v>
      </c>
      <c r="C406" s="260">
        <f>'Final data_for_R_analysis_Dryse'!B552</f>
        <v>111</v>
      </c>
      <c r="D406" t="s">
        <v>3817</v>
      </c>
      <c r="E406" t="s">
        <v>25</v>
      </c>
      <c r="F406" s="382">
        <v>7</v>
      </c>
      <c r="G406" s="383">
        <f>IF('Dry_Litterbag Placem_Collection'!E113="","",'Dry_Litterbag Placem_Collection'!E113)</f>
        <v>42939</v>
      </c>
      <c r="H406" s="92" t="str">
        <f>'Final data_for_R_analysis_Dryse'!K552</f>
        <v>G455</v>
      </c>
      <c r="I406" t="str">
        <f>'Final data_for_R_analysis_Dryse'!K772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69"/>
        <v>1.7801999999999998</v>
      </c>
      <c r="M406" s="237">
        <f>AVERAGE(Ashed_controlls!$K$1:$K$11)</f>
        <v>5.5147656768714146</v>
      </c>
      <c r="N406" s="194">
        <f t="shared" si="65"/>
        <v>1.6820261414203348</v>
      </c>
      <c r="O406" s="194">
        <f t="shared" si="70"/>
        <v>1.9691999999999998</v>
      </c>
      <c r="P406" s="237">
        <f>AVERAGE(Ashed_controlls!$K$12:$K$14)</f>
        <v>2.2816647271287041</v>
      </c>
      <c r="Q406" s="194">
        <f t="shared" si="66"/>
        <v>1.9242694581933815</v>
      </c>
      <c r="R406" s="383">
        <f>IF('Dry_Litterbag Placem_Collection'!G113="","",'Dry_Litterbag Placem_Collection'!G113)</f>
        <v>43010</v>
      </c>
      <c r="S406" s="194">
        <f>IFERROR(INDEX('Both teabags AfterDry'!$D$3:$D$2000,MATCH(H406,'Both teabags AfterDry'!$A$3:$A$2000,0)),"")</f>
        <v>0.92169999999999996</v>
      </c>
      <c r="T406" s="194">
        <f>IFERROR(INDEX('Both teabags AfterDry'!$D$3:$D$2000,MATCH(I406,'Both teabags AfterDry'!$A$3:$A$2000,0)),"")</f>
        <v>1.8743000000000001</v>
      </c>
      <c r="U406" s="194">
        <f t="shared" si="71"/>
        <v>0.7710999999999999</v>
      </c>
      <c r="V406" s="194">
        <f t="shared" si="72"/>
        <v>1.7237</v>
      </c>
      <c r="W406" s="194">
        <f>IFERROR(INDEX('Ashed teabags dry'!$K$2:$K$2000,MATCH(H406,'Ashed teabags dry'!$A$2:$A$2000,0)),"")</f>
        <v>17.328170377541223</v>
      </c>
      <c r="X406" s="194">
        <f>IFERROR(INDEX('Ashed teabags dry'!$K$2:$K$2000,MATCH(I406,'Ashed teabags dry'!$A$2:$A$2000,0)),"")</f>
        <v>2.9234338747099509</v>
      </c>
      <c r="Y406" s="194">
        <f t="shared" si="67"/>
        <v>0.63748247821877957</v>
      </c>
      <c r="Z406" s="194">
        <f t="shared" si="67"/>
        <v>1.6733087703016245</v>
      </c>
      <c r="AA406" s="194">
        <f t="shared" si="73"/>
        <v>0.62100322788058615</v>
      </c>
      <c r="AB406" s="194">
        <f t="shared" si="74"/>
        <v>0.40711850568893543</v>
      </c>
      <c r="AC406" s="194">
        <f t="shared" si="68"/>
        <v>0.86958131730294475</v>
      </c>
      <c r="AD406">
        <f t="shared" si="75"/>
        <v>71</v>
      </c>
      <c r="AE406" s="194">
        <f t="shared" si="76"/>
        <v>0.26246647520120403</v>
      </c>
      <c r="AF406" s="194">
        <f t="shared" si="77"/>
        <v>5.4390290809678034E-3</v>
      </c>
      <c r="AG406" s="252" t="str">
        <f>IF(ISNUMBER(SEARCH("C", 'Dry_Litterbag Placem_Collection'!$V113)),"YES","NO")</f>
        <v>NO</v>
      </c>
      <c r="AH406" s="252" t="str">
        <f>IF(ISNUMBER(SEARCH("H", 'Dry_Litterbag Placem_Collection'!$V113)),"YES","NO")</f>
        <v>NO</v>
      </c>
      <c r="AI406" s="252" t="str">
        <f>IF(ISNUMBER(SEARCH("R", 'Dry_Litterbag Placem_Collection'!$V113)),"YES","NO")</f>
        <v>NO</v>
      </c>
      <c r="AJ406" s="252" t="str">
        <f>IF(ISNUMBER(SEARCH("C", 'Dry_Litterbag Placem_Collection'!$U113)),"YES","NO")</f>
        <v>NO</v>
      </c>
      <c r="AK406" s="252" t="str">
        <f>IF(ISNUMBER(SEARCH("H", 'Dry_Litterbag Placem_Collection'!$U113)),"YES","NO")</f>
        <v>NO</v>
      </c>
      <c r="AL406" s="252" t="str">
        <f>IF(ISNUMBER(SEARCH("R", 'Dry_Litterbag Placem_Collection'!$U113)),"YES","NO")</f>
        <v>NO</v>
      </c>
    </row>
    <row r="407" spans="2:38">
      <c r="B407" t="str">
        <f>'Final data_for_R_analysis_Dryse'!A553</f>
        <v>Dry</v>
      </c>
      <c r="C407" s="260">
        <f>'Final data_for_R_analysis_Dryse'!B553</f>
        <v>112</v>
      </c>
      <c r="D407" t="s">
        <v>3817</v>
      </c>
      <c r="E407" t="s">
        <v>25</v>
      </c>
      <c r="F407" s="382">
        <v>8</v>
      </c>
      <c r="G407" s="383" t="str">
        <f>IF('Dry_Litterbag Placem_Collection'!E114="","",'Dry_Litterbag Placem_Collection'!E114)</f>
        <v/>
      </c>
      <c r="H407" s="92" t="str">
        <f>'Final data_for_R_analysis_Dryse'!K553</f>
        <v/>
      </c>
      <c r="I407" t="str">
        <f>'Final data_for_R_analysis_Dryse'!K773</f>
        <v/>
      </c>
      <c r="J407" t="str">
        <f>IFERROR(INDEX('Green_rooibos initial weight'!$C$5:$C$2000,MATCH(H407, 'Green_rooibos initial weight'!$A$5:$A$2000,0)),"")</f>
        <v/>
      </c>
      <c r="K407" t="str">
        <f>IFERROR(INDEX('Green_rooibos initial weight'!$C$5:$C$2000,MATCH(I407, 'Green_rooibos initial weight'!$A$5:$A$2000,0)),"")</f>
        <v/>
      </c>
      <c r="L407" s="194" t="str">
        <f t="shared" si="69"/>
        <v/>
      </c>
      <c r="M407" s="237">
        <f>AVERAGE(Ashed_controlls!$K$1:$K$11)</f>
        <v>5.5147656768714146</v>
      </c>
      <c r="N407" s="194" t="str">
        <f t="shared" si="65"/>
        <v/>
      </c>
      <c r="O407" s="194" t="str">
        <f t="shared" si="70"/>
        <v/>
      </c>
      <c r="P407" s="237">
        <f>AVERAGE(Ashed_controlls!$K$12:$K$14)</f>
        <v>2.2816647271287041</v>
      </c>
      <c r="Q407" s="194" t="str">
        <f t="shared" si="66"/>
        <v/>
      </c>
      <c r="R407" s="383" t="str">
        <f>IF('Dry_Litterbag Placem_Collection'!G114="","",'Dry_Litterbag Placem_Collection'!G114)</f>
        <v/>
      </c>
      <c r="S407" s="194" t="str">
        <f>IFERROR(INDEX('Both teabags AfterDry'!$D$3:$D$2000,MATCH(H407,'Both teabags AfterDry'!$A$3:$A$2000,0)),"")</f>
        <v/>
      </c>
      <c r="T407" s="194" t="str">
        <f>IFERROR(INDEX('Both teabags AfterDry'!$D$3:$D$2000,MATCH(I407,'Both teabags AfterDry'!$A$3:$A$2000,0)),"")</f>
        <v/>
      </c>
      <c r="U407" s="194" t="str">
        <f t="shared" si="71"/>
        <v/>
      </c>
      <c r="V407" s="194" t="str">
        <f t="shared" si="72"/>
        <v/>
      </c>
      <c r="W407" s="194" t="str">
        <f>IFERROR(INDEX('Ashed teabags dry'!$K$2:$K$2000,MATCH(H407,'Ashed teabags dry'!$A$2:$A$2000,0)),"")</f>
        <v/>
      </c>
      <c r="X407" s="194" t="str">
        <f>IFERROR(INDEX('Ashed teabags dry'!$K$2:$K$2000,MATCH(I407,'Ashed teabags dry'!$A$2:$A$2000,0)),"")</f>
        <v/>
      </c>
      <c r="Y407" s="194" t="str">
        <f t="shared" si="67"/>
        <v/>
      </c>
      <c r="Z407" s="194" t="str">
        <f t="shared" si="67"/>
        <v/>
      </c>
      <c r="AA407" s="194" t="str">
        <f t="shared" si="73"/>
        <v/>
      </c>
      <c r="AB407" s="194" t="str">
        <f t="shared" si="74"/>
        <v/>
      </c>
      <c r="AC407" s="194" t="str">
        <f t="shared" si="68"/>
        <v/>
      </c>
      <c r="AD407" t="str">
        <f t="shared" si="75"/>
        <v/>
      </c>
      <c r="AE407" s="194" t="str">
        <f t="shared" si="76"/>
        <v/>
      </c>
      <c r="AF407" s="194" t="str">
        <f t="shared" si="77"/>
        <v/>
      </c>
      <c r="AG407" s="252" t="str">
        <f>IF(ISNUMBER(SEARCH("C", 'Dry_Litterbag Placem_Collection'!$V114)),"YES","NO")</f>
        <v>NO</v>
      </c>
      <c r="AH407" s="252" t="str">
        <f>IF(ISNUMBER(SEARCH("H", 'Dry_Litterbag Placem_Collection'!$V114)),"YES","NO")</f>
        <v>NO</v>
      </c>
      <c r="AI407" s="252" t="str">
        <f>IF(ISNUMBER(SEARCH("R", 'Dry_Litterbag Placem_Collection'!$V114)),"YES","NO")</f>
        <v>NO</v>
      </c>
      <c r="AJ407" s="252" t="str">
        <f>IF(ISNUMBER(SEARCH("C", 'Dry_Litterbag Placem_Collection'!$U114)),"YES","NO")</f>
        <v>NO</v>
      </c>
      <c r="AK407" s="252" t="str">
        <f>IF(ISNUMBER(SEARCH("H", 'Dry_Litterbag Placem_Collection'!$U114)),"YES","NO")</f>
        <v>NO</v>
      </c>
      <c r="AL407" s="252" t="str">
        <f>IF(ISNUMBER(SEARCH("R", 'Dry_Litterbag Placem_Collection'!$U114)),"YES","NO")</f>
        <v>NO</v>
      </c>
    </row>
    <row r="408" spans="2:38">
      <c r="B408" t="str">
        <f>'Final data_for_R_analysis_Dryse'!A554</f>
        <v>Dry</v>
      </c>
      <c r="C408" s="260">
        <f>'Final data_for_R_analysis_Dryse'!B554</f>
        <v>113</v>
      </c>
      <c r="D408" t="s">
        <v>3818</v>
      </c>
      <c r="E408" t="s">
        <v>25</v>
      </c>
      <c r="F408" s="381">
        <v>1</v>
      </c>
      <c r="G408" s="383">
        <f>IF('Dry_Litterbag Placem_Collection'!E115="","",'Dry_Litterbag Placem_Collection'!E115)</f>
        <v>42939</v>
      </c>
      <c r="H408" s="92" t="str">
        <f>'Final data_for_R_analysis_Dryse'!K554</f>
        <v>G490</v>
      </c>
      <c r="I408" t="str">
        <f>'Final data_for_R_analysis_Dryse'!K774</f>
        <v>R313</v>
      </c>
      <c r="J408">
        <f>IFERROR(INDEX('Green_rooibos initial weight'!$C$5:$C$2000,MATCH(H408, 'Green_rooibos initial weight'!$A$5:$A$2000,0)),"")</f>
        <v>1.881</v>
      </c>
      <c r="K408">
        <f>IFERROR(INDEX('Green_rooibos initial weight'!$C$5:$C$2000,MATCH(I408, 'Green_rooibos initial weight'!$A$5:$A$2000,0)),"")</f>
        <v>2.2450000000000001</v>
      </c>
      <c r="L408" s="194">
        <f t="shared" si="69"/>
        <v>1.6312</v>
      </c>
      <c r="M408" s="237">
        <f>AVERAGE(Ashed_controlls!$K$1:$K$11)</f>
        <v>5.5147656768714146</v>
      </c>
      <c r="N408" s="194">
        <f t="shared" si="65"/>
        <v>1.5412431422788735</v>
      </c>
      <c r="O408" s="194">
        <f t="shared" si="70"/>
        <v>1.9952000000000001</v>
      </c>
      <c r="P408" s="237">
        <f>AVERAGE(Ashed_controlls!$K$12:$K$14)</f>
        <v>2.2816647271287041</v>
      </c>
      <c r="Q408" s="194">
        <f t="shared" si="66"/>
        <v>1.9496762253643283</v>
      </c>
      <c r="R408" s="383">
        <f>IF('Dry_Litterbag Placem_Collection'!G115="","",'Dry_Litterbag Placem_Collection'!G115)</f>
        <v>43008</v>
      </c>
      <c r="S408" s="194">
        <f>IFERROR(INDEX('Both teabags AfterDry'!$D$3:$D$2000,MATCH(H408,'Both teabags AfterDry'!$A$3:$A$2000,0)),"")</f>
        <v>0.72760000000000002</v>
      </c>
      <c r="T408" s="194">
        <f>IFERROR(INDEX('Both teabags AfterDry'!$D$3:$D$2000,MATCH(I408,'Both teabags AfterDry'!$A$3:$A$2000,0)),"")</f>
        <v>1.6048</v>
      </c>
      <c r="U408" s="194">
        <f t="shared" si="71"/>
        <v>0.57699999999999996</v>
      </c>
      <c r="V408" s="194">
        <f t="shared" si="72"/>
        <v>1.4541999999999999</v>
      </c>
      <c r="W408" s="194">
        <f>IFERROR(INDEX('Ashed teabags dry'!$K$2:$K$2000,MATCH(H408,'Ashed teabags dry'!$A$2:$A$2000,0)),"")</f>
        <v>23.173681664247997</v>
      </c>
      <c r="X408" s="194">
        <f>IFERROR(INDEX('Ashed teabags dry'!$K$2:$K$2000,MATCH(I408,'Ashed teabags dry'!$A$2:$A$2000,0)),"")</f>
        <v>8.9047619047618891</v>
      </c>
      <c r="Y408" s="194">
        <f t="shared" si="67"/>
        <v>0.44328785679728899</v>
      </c>
      <c r="Z408" s="194">
        <f t="shared" si="67"/>
        <v>1.3247069523809525</v>
      </c>
      <c r="AA408" s="194">
        <f t="shared" si="73"/>
        <v>0.7123829169861895</v>
      </c>
      <c r="AB408" s="194">
        <f t="shared" si="74"/>
        <v>0.46702538025697937</v>
      </c>
      <c r="AC408" s="194">
        <f t="shared" si="68"/>
        <v>0.67944971331504533</v>
      </c>
      <c r="AD408">
        <f t="shared" si="75"/>
        <v>69</v>
      </c>
      <c r="AE408" s="194">
        <f t="shared" si="76"/>
        <v>0.15393952851996495</v>
      </c>
      <c r="AF408" s="194">
        <f t="shared" si="77"/>
        <v>1.6804756512767031E-2</v>
      </c>
      <c r="AG408" s="252" t="str">
        <f>IF(ISNUMBER(SEARCH("C", 'Dry_Litterbag Placem_Collection'!$V115)),"YES","NO")</f>
        <v>NO</v>
      </c>
      <c r="AH408" s="252" t="str">
        <f>IF(ISNUMBER(SEARCH("H", 'Dry_Litterbag Placem_Collection'!$V115)),"YES","NO")</f>
        <v>NO</v>
      </c>
      <c r="AI408" s="252" t="str">
        <f>IF(ISNUMBER(SEARCH("R", 'Dry_Litterbag Placem_Collection'!$V115)),"YES","NO")</f>
        <v>NO</v>
      </c>
      <c r="AJ408" s="252" t="str">
        <f>IF(ISNUMBER(SEARCH("C", 'Dry_Litterbag Placem_Collection'!$U115)),"YES","NO")</f>
        <v>NO</v>
      </c>
      <c r="AK408" s="252" t="str">
        <f>IF(ISNUMBER(SEARCH("H", 'Dry_Litterbag Placem_Collection'!$U115)),"YES","NO")</f>
        <v>NO</v>
      </c>
      <c r="AL408" s="252" t="str">
        <f>IF(ISNUMBER(SEARCH("R", 'Dry_Litterbag Placem_Collection'!$U115)),"YES","NO")</f>
        <v>NO</v>
      </c>
    </row>
    <row r="409" spans="2:38">
      <c r="B409" t="str">
        <f>'Final data_for_R_analysis_Dryse'!A555</f>
        <v>Dry</v>
      </c>
      <c r="C409" s="260">
        <f>'Final data_for_R_analysis_Dryse'!B555</f>
        <v>114</v>
      </c>
      <c r="D409" t="s">
        <v>3818</v>
      </c>
      <c r="E409" t="s">
        <v>25</v>
      </c>
      <c r="F409" s="381">
        <v>2</v>
      </c>
      <c r="G409" s="383">
        <f>IF('Dry_Litterbag Placem_Collection'!E116="","",'Dry_Litterbag Placem_Collection'!E116)</f>
        <v>42939</v>
      </c>
      <c r="H409" s="92" t="str">
        <f>'Final data_for_R_analysis_Dryse'!K555</f>
        <v>G650</v>
      </c>
      <c r="I409" t="str">
        <f>'Final data_for_R_analysis_Dryse'!K775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69"/>
        <v>1.7772000000000001</v>
      </c>
      <c r="M409" s="237">
        <f>AVERAGE(Ashed_controlls!$K$1:$K$11)</f>
        <v>5.5147656768714146</v>
      </c>
      <c r="N409" s="194">
        <f t="shared" si="65"/>
        <v>1.6791915843906413</v>
      </c>
      <c r="O409" s="194">
        <f t="shared" si="70"/>
        <v>1.9832000000000001</v>
      </c>
      <c r="P409" s="237">
        <f>AVERAGE(Ashed_controlls!$K$12:$K$14)</f>
        <v>2.2816647271287041</v>
      </c>
      <c r="Q409" s="194">
        <f t="shared" si="66"/>
        <v>1.9379500251315835</v>
      </c>
      <c r="R409" s="383">
        <f>IF('Dry_Litterbag Placem_Collection'!G116="","",'Dry_Litterbag Placem_Collection'!G116)</f>
        <v>43008</v>
      </c>
      <c r="S409" s="194">
        <f>IFERROR(INDEX('Both teabags AfterDry'!$D$3:$D$2000,MATCH(H409,'Both teabags AfterDry'!$A$3:$A$2000,0)),"")</f>
        <v>0.86890000000000001</v>
      </c>
      <c r="T409" s="194">
        <f>IFERROR(INDEX('Both teabags AfterDry'!$D$3:$D$2000,MATCH(I409,'Both teabags AfterDry'!$A$3:$A$2000,0)),"")</f>
        <v>1.7551000000000001</v>
      </c>
      <c r="U409" s="194">
        <f t="shared" si="71"/>
        <v>0.71829999999999994</v>
      </c>
      <c r="V409" s="194">
        <f t="shared" si="72"/>
        <v>1.6045</v>
      </c>
      <c r="W409" s="194">
        <f>IFERROR(INDEX('Ashed teabags dry'!$K$2:$K$2000,MATCH(H409,'Ashed teabags dry'!$A$2:$A$2000,0)),"")</f>
        <v>22.395326192794663</v>
      </c>
      <c r="X409" s="194">
        <f>IFERROR(INDEX('Ashed teabags dry'!$K$2:$K$2000,MATCH(I409,'Ashed teabags dry'!$A$2:$A$2000,0)),"")</f>
        <v>8.2853345148423898</v>
      </c>
      <c r="Y409" s="194">
        <f t="shared" si="67"/>
        <v>0.55743437195715595</v>
      </c>
      <c r="Z409" s="194">
        <f t="shared" si="67"/>
        <v>1.471561807709354</v>
      </c>
      <c r="AA409" s="194">
        <f t="shared" si="73"/>
        <v>0.66803408429453137</v>
      </c>
      <c r="AB409" s="194">
        <f t="shared" si="74"/>
        <v>0.43795108614083295</v>
      </c>
      <c r="AC409" s="194">
        <f t="shared" si="68"/>
        <v>0.75933939917229676</v>
      </c>
      <c r="AD409">
        <f t="shared" si="75"/>
        <v>69</v>
      </c>
      <c r="AE409" s="194">
        <f t="shared" si="76"/>
        <v>0.20661035119414328</v>
      </c>
      <c r="AF409" s="194">
        <f t="shared" si="77"/>
        <v>1.1556957119733577E-2</v>
      </c>
      <c r="AG409" s="252" t="str">
        <f>IF(ISNUMBER(SEARCH("C", 'Dry_Litterbag Placem_Collection'!$V116)),"YES","NO")</f>
        <v>NO</v>
      </c>
      <c r="AH409" s="252" t="str">
        <f>IF(ISNUMBER(SEARCH("H", 'Dry_Litterbag Placem_Collection'!$V116)),"YES","NO")</f>
        <v>NO</v>
      </c>
      <c r="AI409" s="252" t="str">
        <f>IF(ISNUMBER(SEARCH("R", 'Dry_Litterbag Placem_Collection'!$V116)),"YES","NO")</f>
        <v>NO</v>
      </c>
      <c r="AJ409" s="252" t="str">
        <f>IF(ISNUMBER(SEARCH("C", 'Dry_Litterbag Placem_Collection'!$U116)),"YES","NO")</f>
        <v>NO</v>
      </c>
      <c r="AK409" s="252" t="str">
        <f>IF(ISNUMBER(SEARCH("H", 'Dry_Litterbag Placem_Collection'!$U116)),"YES","NO")</f>
        <v>NO</v>
      </c>
      <c r="AL409" s="252" t="str">
        <f>IF(ISNUMBER(SEARCH("R", 'Dry_Litterbag Placem_Collection'!$U116)),"YES","NO")</f>
        <v>NO</v>
      </c>
    </row>
    <row r="410" spans="2:38">
      <c r="B410" t="str">
        <f>'Final data_for_R_analysis_Dryse'!A556</f>
        <v>Dry</v>
      </c>
      <c r="C410" s="260">
        <f>'Final data_for_R_analysis_Dryse'!B556</f>
        <v>115</v>
      </c>
      <c r="D410" t="s">
        <v>3818</v>
      </c>
      <c r="E410" t="s">
        <v>25</v>
      </c>
      <c r="F410" s="381">
        <v>3</v>
      </c>
      <c r="G410" s="383">
        <f>IF('Dry_Litterbag Placem_Collection'!E117="","",'Dry_Litterbag Placem_Collection'!E117)</f>
        <v>42939</v>
      </c>
      <c r="H410" s="92" t="str">
        <f>'Final data_for_R_analysis_Dryse'!K556</f>
        <v>G873</v>
      </c>
      <c r="I410" t="str">
        <f>'Final data_for_R_analysis_Dryse'!K776</f>
        <v>R671</v>
      </c>
      <c r="J410">
        <f>IFERROR(INDEX('Green_rooibos initial weight'!$C$5:$C$2000,MATCH(H410, 'Green_rooibos initial weight'!$A$5:$A$2000,0)),"")</f>
        <v>2.0089999999999999</v>
      </c>
      <c r="K410">
        <f>IFERROR(INDEX('Green_rooibos initial weight'!$C$5:$C$2000,MATCH(I410, 'Green_rooibos initial weight'!$A$5:$A$2000,0)),"")</f>
        <v>2.202</v>
      </c>
      <c r="L410" s="194">
        <f t="shared" si="69"/>
        <v>1.7591999999999999</v>
      </c>
      <c r="M410" s="237">
        <f>AVERAGE(Ashed_controlls!$K$1:$K$11)</f>
        <v>5.5147656768714146</v>
      </c>
      <c r="N410" s="194">
        <f t="shared" si="65"/>
        <v>1.662184242212478</v>
      </c>
      <c r="O410" s="194">
        <f t="shared" si="70"/>
        <v>1.9521999999999999</v>
      </c>
      <c r="P410" s="237">
        <f>AVERAGE(Ashed_controlls!$K$12:$K$14)</f>
        <v>2.2816647271287041</v>
      </c>
      <c r="Q410" s="194">
        <f t="shared" si="66"/>
        <v>1.9076573411969935</v>
      </c>
      <c r="R410" s="383">
        <f>IF('Dry_Litterbag Placem_Collection'!G117="","",'Dry_Litterbag Placem_Collection'!G117)</f>
        <v>43008</v>
      </c>
      <c r="S410" s="194">
        <f>IFERROR(INDEX('Both teabags AfterDry'!$D$3:$D$2000,MATCH(H410,'Both teabags AfterDry'!$A$3:$A$2000,0)),"")</f>
        <v>0.68469999999999998</v>
      </c>
      <c r="T410" s="194">
        <f>IFERROR(INDEX('Both teabags AfterDry'!$D$3:$D$2000,MATCH(I410,'Both teabags AfterDry'!$A$3:$A$2000,0)),"")</f>
        <v>1.6099000000000001</v>
      </c>
      <c r="U410" s="194">
        <f t="shared" si="71"/>
        <v>0.53410000000000002</v>
      </c>
      <c r="V410" s="194">
        <f t="shared" si="72"/>
        <v>1.4593</v>
      </c>
      <c r="W410" s="194">
        <f>IFERROR(INDEX('Ashed teabags dry'!$K$2:$K$2000,MATCH(H410,'Ashed teabags dry'!$A$2:$A$2000,0)),"")</f>
        <v>14.840499306518451</v>
      </c>
      <c r="X410" s="194">
        <f>IFERROR(INDEX('Ashed teabags dry'!$K$2:$K$2000,MATCH(I410,'Ashed teabags dry'!$A$2:$A$2000,0)),"")</f>
        <v>9.1992373689235691</v>
      </c>
      <c r="Y410" s="194">
        <f t="shared" si="67"/>
        <v>0.45483689320388498</v>
      </c>
      <c r="Z410" s="194">
        <f t="shared" si="67"/>
        <v>1.3250555290752983</v>
      </c>
      <c r="AA410" s="194">
        <f t="shared" si="73"/>
        <v>0.72636192688334789</v>
      </c>
      <c r="AB410" s="194">
        <f t="shared" si="74"/>
        <v>0.47618976679288372</v>
      </c>
      <c r="AC410" s="194">
        <f t="shared" si="68"/>
        <v>0.69459829103473514</v>
      </c>
      <c r="AD410">
        <f t="shared" si="75"/>
        <v>69</v>
      </c>
      <c r="AE410" s="194">
        <f t="shared" si="76"/>
        <v>0.13733737899839915</v>
      </c>
      <c r="AF410" s="194">
        <f t="shared" si="77"/>
        <v>1.4860769342735227E-2</v>
      </c>
      <c r="AG410" s="252" t="str">
        <f>IF(ISNUMBER(SEARCH("C", 'Dry_Litterbag Placem_Collection'!$V117)),"YES","NO")</f>
        <v>NO</v>
      </c>
      <c r="AH410" s="252" t="str">
        <f>IF(ISNUMBER(SEARCH("H", 'Dry_Litterbag Placem_Collection'!$V117)),"YES","NO")</f>
        <v>NO</v>
      </c>
      <c r="AI410" s="252" t="str">
        <f>IF(ISNUMBER(SEARCH("R", 'Dry_Litterbag Placem_Collection'!$V117)),"YES","NO")</f>
        <v>NO</v>
      </c>
      <c r="AJ410" s="252" t="str">
        <f>IF(ISNUMBER(SEARCH("C", 'Dry_Litterbag Placem_Collection'!$U117)),"YES","NO")</f>
        <v>NO</v>
      </c>
      <c r="AK410" s="252" t="str">
        <f>IF(ISNUMBER(SEARCH("H", 'Dry_Litterbag Placem_Collection'!$U117)),"YES","NO")</f>
        <v>NO</v>
      </c>
      <c r="AL410" s="252" t="str">
        <f>IF(ISNUMBER(SEARCH("R", 'Dry_Litterbag Placem_Collection'!$U117)),"YES","NO")</f>
        <v>NO</v>
      </c>
    </row>
    <row r="411" spans="2:38">
      <c r="B411" t="str">
        <f>'Final data_for_R_analysis_Dryse'!A557</f>
        <v>Dry</v>
      </c>
      <c r="C411" s="260">
        <f>'Final data_for_R_analysis_Dryse'!B557</f>
        <v>116</v>
      </c>
      <c r="D411" t="s">
        <v>3818</v>
      </c>
      <c r="E411" t="s">
        <v>25</v>
      </c>
      <c r="F411" s="382">
        <v>4</v>
      </c>
      <c r="G411" s="383">
        <f>IF('Dry_Litterbag Placem_Collection'!E118="","",'Dry_Litterbag Placem_Collection'!E118)</f>
        <v>42939</v>
      </c>
      <c r="H411" s="92" t="str">
        <f>'Final data_for_R_analysis_Dryse'!K557</f>
        <v>G206</v>
      </c>
      <c r="I411" t="str">
        <f>'Final data_for_R_analysis_Dryse'!K777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69"/>
        <v>1.7751999999999999</v>
      </c>
      <c r="M411" s="237">
        <f>AVERAGE(Ashed_controlls!$K$1:$K$11)</f>
        <v>5.5147656768714146</v>
      </c>
      <c r="N411" s="194">
        <f t="shared" si="65"/>
        <v>1.6773018797041785</v>
      </c>
      <c r="O411" s="194">
        <f t="shared" si="70"/>
        <v>1.9161999999999999</v>
      </c>
      <c r="P411" s="237">
        <f>AVERAGE(Ashed_controlls!$K$12:$K$14)</f>
        <v>2.2816647271287041</v>
      </c>
      <c r="Q411" s="194">
        <f t="shared" si="66"/>
        <v>1.8724787404987597</v>
      </c>
      <c r="R411" s="383">
        <f>IF('Dry_Litterbag Placem_Collection'!G118="","",'Dry_Litterbag Placem_Collection'!G118)</f>
        <v>43008</v>
      </c>
      <c r="S411" s="194">
        <f>IFERROR(INDEX('Both teabags AfterDry'!$D$3:$D$2000,MATCH(H411,'Both teabags AfterDry'!$A$3:$A$2000,0)),"")</f>
        <v>0.75260000000000005</v>
      </c>
      <c r="T411" s="194">
        <f>IFERROR(INDEX('Both teabags AfterDry'!$D$3:$D$2000,MATCH(I411,'Both teabags AfterDry'!$A$3:$A$2000,0)),"")</f>
        <v>1.5814999999999999</v>
      </c>
      <c r="U411" s="194">
        <f t="shared" si="71"/>
        <v>0.60200000000000009</v>
      </c>
      <c r="V411" s="194">
        <f t="shared" si="72"/>
        <v>1.4308999999999998</v>
      </c>
      <c r="W411" s="194">
        <f>IFERROR(INDEX('Ashed teabags dry'!$K$2:$K$2000,MATCH(H411,'Ashed teabags dry'!$A$2:$A$2000,0)),"")</f>
        <v>20.407259849490842</v>
      </c>
      <c r="X411" s="194">
        <f>IFERROR(INDEX('Ashed teabags dry'!$K$2:$K$2000,MATCH(I411,'Ashed teabags dry'!$A$2:$A$2000,0)),"")</f>
        <v>7.3855913004079357</v>
      </c>
      <c r="Y411" s="194">
        <f t="shared" si="67"/>
        <v>0.47914829570606521</v>
      </c>
      <c r="Z411" s="194">
        <f t="shared" si="67"/>
        <v>1.3252195740824626</v>
      </c>
      <c r="AA411" s="194">
        <f t="shared" si="73"/>
        <v>0.71433389451005003</v>
      </c>
      <c r="AB411" s="194">
        <f t="shared" si="74"/>
        <v>0.46830440590207562</v>
      </c>
      <c r="AC411" s="194">
        <f t="shared" si="68"/>
        <v>0.7077354446916031</v>
      </c>
      <c r="AD411">
        <f t="shared" si="75"/>
        <v>69</v>
      </c>
      <c r="AE411" s="194">
        <f t="shared" si="76"/>
        <v>0.15162245307595001</v>
      </c>
      <c r="AF411" s="194">
        <f t="shared" si="77"/>
        <v>1.4179827988392645E-2</v>
      </c>
      <c r="AG411" s="252" t="str">
        <f>IF(ISNUMBER(SEARCH("C", 'Dry_Litterbag Placem_Collection'!$V118)),"YES","NO")</f>
        <v>NO</v>
      </c>
      <c r="AH411" s="252" t="str">
        <f>IF(ISNUMBER(SEARCH("H", 'Dry_Litterbag Placem_Collection'!$V118)),"YES","NO")</f>
        <v>NO</v>
      </c>
      <c r="AI411" s="252" t="str">
        <f>IF(ISNUMBER(SEARCH("R", 'Dry_Litterbag Placem_Collection'!$V118)),"YES","NO")</f>
        <v>NO</v>
      </c>
      <c r="AJ411" s="252" t="str">
        <f>IF(ISNUMBER(SEARCH("C", 'Dry_Litterbag Placem_Collection'!$U118)),"YES","NO")</f>
        <v>NO</v>
      </c>
      <c r="AK411" s="252" t="str">
        <f>IF(ISNUMBER(SEARCH("H", 'Dry_Litterbag Placem_Collection'!$U118)),"YES","NO")</f>
        <v>NO</v>
      </c>
      <c r="AL411" s="252" t="str">
        <f>IF(ISNUMBER(SEARCH("R", 'Dry_Litterbag Placem_Collection'!$U118)),"YES","NO")</f>
        <v>NO</v>
      </c>
    </row>
    <row r="412" spans="2:38">
      <c r="B412" t="str">
        <f>'Final data_for_R_analysis_Dryse'!A558</f>
        <v>Dry</v>
      </c>
      <c r="C412" s="260">
        <f>'Final data_for_R_analysis_Dryse'!B558</f>
        <v>117</v>
      </c>
      <c r="D412" t="s">
        <v>3818</v>
      </c>
      <c r="E412" t="s">
        <v>25</v>
      </c>
      <c r="F412" s="382">
        <v>5</v>
      </c>
      <c r="G412" s="383">
        <f>IF('Dry_Litterbag Placem_Collection'!E119="","",'Dry_Litterbag Placem_Collection'!E119)</f>
        <v>42939</v>
      </c>
      <c r="H412" s="92" t="str">
        <f>'Final data_for_R_analysis_Dryse'!K558</f>
        <v>G163</v>
      </c>
      <c r="I412" t="str">
        <f>'Final data_for_R_analysis_Dryse'!K778</f>
        <v>R719</v>
      </c>
      <c r="J412">
        <f>IFERROR(INDEX('Green_rooibos initial weight'!$C$5:$C$2000,MATCH(H412, 'Green_rooibos initial weight'!$A$5:$A$2000,0)),"")</f>
        <v>2.04</v>
      </c>
      <c r="K412">
        <f>IFERROR(INDEX('Green_rooibos initial weight'!$C$5:$C$2000,MATCH(I412, 'Green_rooibos initial weight'!$A$5:$A$2000,0)),"")</f>
        <v>2.2050000000000001</v>
      </c>
      <c r="L412" s="194">
        <f t="shared" si="69"/>
        <v>1.7902</v>
      </c>
      <c r="M412" s="237">
        <f>AVERAGE(Ashed_controlls!$K$1:$K$11)</f>
        <v>5.5147656768714146</v>
      </c>
      <c r="N412" s="194">
        <f t="shared" si="65"/>
        <v>1.691474664852648</v>
      </c>
      <c r="O412" s="194">
        <f t="shared" si="70"/>
        <v>1.9552</v>
      </c>
      <c r="P412" s="237">
        <f>AVERAGE(Ashed_controlls!$K$12:$K$14)</f>
        <v>2.2816647271287041</v>
      </c>
      <c r="Q412" s="194">
        <f t="shared" si="66"/>
        <v>1.9105888912551796</v>
      </c>
      <c r="R412" s="383">
        <f>IF('Dry_Litterbag Placem_Collection'!G119="","",'Dry_Litterbag Placem_Collection'!G119)</f>
        <v>43008</v>
      </c>
      <c r="S412" s="194" t="str">
        <f>IFERROR(INDEX('Both teabags AfterDry'!$D$3:$D$2000,MATCH(H412,'Both teabags AfterDry'!$A$3:$A$2000,0)),"")</f>
        <v/>
      </c>
      <c r="T412" s="194" t="str">
        <f>IFERROR(INDEX('Both teabags AfterDry'!$D$3:$D$2000,MATCH(I412,'Both teabags AfterDry'!$A$3:$A$2000,0)),"")</f>
        <v/>
      </c>
      <c r="U412" s="194" t="str">
        <f t="shared" si="71"/>
        <v/>
      </c>
      <c r="V412" s="194" t="str">
        <f t="shared" si="72"/>
        <v/>
      </c>
      <c r="W412" s="194" t="str">
        <f>IFERROR(INDEX('Ashed teabags dry'!$K$2:$K$2000,MATCH(H412,'Ashed teabags dry'!$A$2:$A$2000,0)),"")</f>
        <v/>
      </c>
      <c r="X412" s="194" t="str">
        <f>IFERROR(INDEX('Ashed teabags dry'!$K$2:$K$2000,MATCH(I412,'Ashed teabags dry'!$A$2:$A$2000,0)),"")</f>
        <v/>
      </c>
      <c r="Y412" s="194" t="str">
        <f t="shared" si="67"/>
        <v/>
      </c>
      <c r="Z412" s="194" t="str">
        <f t="shared" si="67"/>
        <v/>
      </c>
      <c r="AA412" s="194" t="str">
        <f t="shared" si="73"/>
        <v/>
      </c>
      <c r="AB412" s="194" t="str">
        <f t="shared" si="74"/>
        <v/>
      </c>
      <c r="AC412" s="194" t="str">
        <f t="shared" si="68"/>
        <v/>
      </c>
      <c r="AD412">
        <f t="shared" si="75"/>
        <v>69</v>
      </c>
      <c r="AE412" s="194" t="str">
        <f t="shared" si="76"/>
        <v/>
      </c>
      <c r="AF412" s="194" t="str">
        <f t="shared" si="77"/>
        <v/>
      </c>
      <c r="AG412" s="252" t="str">
        <f>IF(ISNUMBER(SEARCH("C", 'Dry_Litterbag Placem_Collection'!$V119)),"YES","NO")</f>
        <v>NO</v>
      </c>
      <c r="AH412" s="252" t="str">
        <f>IF(ISNUMBER(SEARCH("H", 'Dry_Litterbag Placem_Collection'!$V119)),"YES","NO")</f>
        <v>NO</v>
      </c>
      <c r="AI412" s="252" t="str">
        <f>IF(ISNUMBER(SEARCH("R", 'Dry_Litterbag Placem_Collection'!$V119)),"YES","NO")</f>
        <v>NO</v>
      </c>
      <c r="AJ412" s="252" t="str">
        <f>IF(ISNUMBER(SEARCH("C", 'Dry_Litterbag Placem_Collection'!$U119)),"YES","NO")</f>
        <v>NO</v>
      </c>
      <c r="AK412" s="252" t="str">
        <f>IF(ISNUMBER(SEARCH("H", 'Dry_Litterbag Placem_Collection'!$U119)),"YES","NO")</f>
        <v>NO</v>
      </c>
      <c r="AL412" s="252" t="str">
        <f>IF(ISNUMBER(SEARCH("R", 'Dry_Litterbag Placem_Collection'!$U119)),"YES","NO")</f>
        <v>NO</v>
      </c>
    </row>
    <row r="413" spans="2:38">
      <c r="B413" t="str">
        <f>'Final data_for_R_analysis_Dryse'!A559</f>
        <v>Dry</v>
      </c>
      <c r="C413" s="260">
        <f>'Final data_for_R_analysis_Dryse'!B559</f>
        <v>118</v>
      </c>
      <c r="D413" t="s">
        <v>3818</v>
      </c>
      <c r="E413" t="s">
        <v>25</v>
      </c>
      <c r="F413" s="382">
        <v>6</v>
      </c>
      <c r="G413" s="383">
        <f>IF('Dry_Litterbag Placem_Collection'!E120="","",'Dry_Litterbag Placem_Collection'!E120)</f>
        <v>42939</v>
      </c>
      <c r="H413" s="92" t="str">
        <f>'Final data_for_R_analysis_Dryse'!K559</f>
        <v>G83</v>
      </c>
      <c r="I413" t="str">
        <f>'Final data_for_R_analysis_Dryse'!K779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69"/>
        <v>1.7711999999999999</v>
      </c>
      <c r="M413" s="237">
        <f>AVERAGE(Ashed_controlls!$K$1:$K$11)</f>
        <v>5.5147656768714146</v>
      </c>
      <c r="N413" s="194">
        <f t="shared" si="65"/>
        <v>1.6735224703312535</v>
      </c>
      <c r="O413" s="194">
        <f t="shared" si="70"/>
        <v>1.9542000000000002</v>
      </c>
      <c r="P413" s="237">
        <f>AVERAGE(Ashed_controlls!$K$12:$K$14)</f>
        <v>2.2816647271287041</v>
      </c>
      <c r="Q413" s="194">
        <f t="shared" si="66"/>
        <v>1.909611707902451</v>
      </c>
      <c r="R413" s="383">
        <f>IF('Dry_Litterbag Placem_Collection'!G120="","",'Dry_Litterbag Placem_Collection'!G120)</f>
        <v>43008</v>
      </c>
      <c r="S413" s="194">
        <f>IFERROR(INDEX('Both teabags AfterDry'!$D$3:$D$2000,MATCH(H413,'Both teabags AfterDry'!$A$3:$A$2000,0)),"")</f>
        <v>0.81779999999999997</v>
      </c>
      <c r="T413" s="194">
        <f>IFERROR(INDEX('Both teabags AfterDry'!$D$3:$D$2000,MATCH(I413,'Both teabags AfterDry'!$A$3:$A$2000,0)),"")</f>
        <v>1.5261</v>
      </c>
      <c r="U413" s="194">
        <f t="shared" si="71"/>
        <v>0.66720000000000002</v>
      </c>
      <c r="V413" s="194">
        <f t="shared" si="72"/>
        <v>1.3754999999999999</v>
      </c>
      <c r="W413" s="194">
        <f>IFERROR(INDEX('Ashed teabags dry'!$K$2:$K$2000,MATCH(H413,'Ashed teabags dry'!$A$2:$A$2000,0)),"")</f>
        <v>31.832094446874049</v>
      </c>
      <c r="X413" s="194">
        <f>IFERROR(INDEX('Ashed teabags dry'!$K$2:$K$2000,MATCH(I413,'Ashed teabags dry'!$A$2:$A$2000,0)),"")</f>
        <v>8.9977728285078307</v>
      </c>
      <c r="Y413" s="194">
        <f t="shared" si="67"/>
        <v>0.45481626585045637</v>
      </c>
      <c r="Z413" s="194">
        <f t="shared" si="67"/>
        <v>1.2517356347438748</v>
      </c>
      <c r="AA413" s="194">
        <f t="shared" si="73"/>
        <v>0.72822816907834464</v>
      </c>
      <c r="AB413" s="194">
        <f t="shared" si="74"/>
        <v>0.4774132414860407</v>
      </c>
      <c r="AC413" s="194">
        <f t="shared" si="68"/>
        <v>0.65549222889861825</v>
      </c>
      <c r="AD413">
        <f t="shared" si="75"/>
        <v>69</v>
      </c>
      <c r="AE413" s="194">
        <f t="shared" si="76"/>
        <v>0.13512093933688285</v>
      </c>
      <c r="AF413" s="194">
        <f t="shared" si="77"/>
        <v>1.8532526429814497E-2</v>
      </c>
      <c r="AG413" s="252" t="str">
        <f>IF(ISNUMBER(SEARCH("C", 'Dry_Litterbag Placem_Collection'!$V120)),"YES","NO")</f>
        <v>NO</v>
      </c>
      <c r="AH413" s="252" t="str">
        <f>IF(ISNUMBER(SEARCH("H", 'Dry_Litterbag Placem_Collection'!$V120)),"YES","NO")</f>
        <v>NO</v>
      </c>
      <c r="AI413" s="252" t="str">
        <f>IF(ISNUMBER(SEARCH("R", 'Dry_Litterbag Placem_Collection'!$V120)),"YES","NO")</f>
        <v>NO</v>
      </c>
      <c r="AJ413" s="252" t="str">
        <f>IF(ISNUMBER(SEARCH("C", 'Dry_Litterbag Placem_Collection'!$U120)),"YES","NO")</f>
        <v>NO</v>
      </c>
      <c r="AK413" s="252" t="str">
        <f>IF(ISNUMBER(SEARCH("H", 'Dry_Litterbag Placem_Collection'!$U120)),"YES","NO")</f>
        <v>NO</v>
      </c>
      <c r="AL413" s="252" t="str">
        <f>IF(ISNUMBER(SEARCH("R", 'Dry_Litterbag Placem_Collection'!$U120)),"YES","NO")</f>
        <v>YES</v>
      </c>
    </row>
    <row r="414" spans="2:38">
      <c r="B414" t="str">
        <f>'Final data_for_R_analysis_Dryse'!A560</f>
        <v>Dry</v>
      </c>
      <c r="C414" s="260">
        <f>'Final data_for_R_analysis_Dryse'!B560</f>
        <v>119</v>
      </c>
      <c r="D414" t="s">
        <v>3818</v>
      </c>
      <c r="E414" t="s">
        <v>25</v>
      </c>
      <c r="F414" s="382">
        <v>7</v>
      </c>
      <c r="G414" s="383">
        <f>IF('Dry_Litterbag Placem_Collection'!E121="","",'Dry_Litterbag Placem_Collection'!E121)</f>
        <v>42939</v>
      </c>
      <c r="H414" s="92" t="str">
        <f>'Final data_for_R_analysis_Dryse'!K560</f>
        <v>G159</v>
      </c>
      <c r="I414" t="str">
        <f>'Final data_for_R_analysis_Dryse'!K780</f>
        <v>R373</v>
      </c>
      <c r="J414">
        <f>IFERROR(INDEX('Green_rooibos initial weight'!$C$5:$C$2000,MATCH(H414, 'Green_rooibos initial weight'!$A$5:$A$2000,0)),"")</f>
        <v>2.1419999999999999</v>
      </c>
      <c r="K414">
        <f>IFERROR(INDEX('Green_rooibos initial weight'!$C$5:$C$2000,MATCH(I414, 'Green_rooibos initial weight'!$A$5:$A$2000,0)),"")</f>
        <v>2.226</v>
      </c>
      <c r="L414" s="194">
        <f t="shared" si="69"/>
        <v>1.8921999999999999</v>
      </c>
      <c r="M414" s="237">
        <f>AVERAGE(Ashed_controlls!$K$1:$K$11)</f>
        <v>5.5147656768714146</v>
      </c>
      <c r="N414" s="194">
        <f t="shared" si="65"/>
        <v>1.7878496038622389</v>
      </c>
      <c r="O414" s="194">
        <f t="shared" si="70"/>
        <v>1.9762</v>
      </c>
      <c r="P414" s="237">
        <f>AVERAGE(Ashed_controlls!$K$12:$K$14)</f>
        <v>2.2816647271287041</v>
      </c>
      <c r="Q414" s="194">
        <f t="shared" si="66"/>
        <v>1.9311097416624825</v>
      </c>
      <c r="R414" s="383">
        <f>IF('Dry_Litterbag Placem_Collection'!G121="","",'Dry_Litterbag Placem_Collection'!G121)</f>
        <v>43008</v>
      </c>
      <c r="S414" s="194">
        <f>IFERROR(INDEX('Both teabags AfterDry'!$D$3:$D$2000,MATCH(H414,'Both teabags AfterDry'!$A$3:$A$2000,0)),"")</f>
        <v>0.76990000000000003</v>
      </c>
      <c r="T414" s="194">
        <f>IFERROR(INDEX('Both teabags AfterDry'!$D$3:$D$2000,MATCH(I414,'Both teabags AfterDry'!$A$3:$A$2000,0)),"")</f>
        <v>1.5419</v>
      </c>
      <c r="U414" s="194">
        <f t="shared" si="71"/>
        <v>0.61929999999999996</v>
      </c>
      <c r="V414" s="194">
        <f t="shared" si="72"/>
        <v>1.3913</v>
      </c>
      <c r="W414" s="194">
        <f>IFERROR(INDEX('Ashed teabags dry'!$K$2:$K$2000,MATCH(H414,'Ashed teabags dry'!$A$2:$A$2000,0)),"")</f>
        <v>17.673992673993002</v>
      </c>
      <c r="X414" s="194">
        <f>IFERROR(INDEX('Ashed teabags dry'!$K$2:$K$2000,MATCH(I414,'Ashed teabags dry'!$A$2:$A$2000,0)),"")</f>
        <v>6.2859884836854203</v>
      </c>
      <c r="Y414" s="194">
        <f t="shared" si="67"/>
        <v>0.50984496336996132</v>
      </c>
      <c r="Z414" s="194">
        <f t="shared" si="67"/>
        <v>1.3038430422264846</v>
      </c>
      <c r="AA414" s="194">
        <f t="shared" si="73"/>
        <v>0.71482782317452309</v>
      </c>
      <c r="AB414" s="194">
        <f t="shared" si="74"/>
        <v>0.46862821661797721</v>
      </c>
      <c r="AC414" s="194">
        <f t="shared" si="68"/>
        <v>0.67517811862106436</v>
      </c>
      <c r="AD414">
        <f t="shared" si="75"/>
        <v>69</v>
      </c>
      <c r="AE414" s="194">
        <f t="shared" si="76"/>
        <v>0.15103583946018628</v>
      </c>
      <c r="AF414" s="194">
        <f t="shared" si="77"/>
        <v>1.7120902011020598E-2</v>
      </c>
      <c r="AG414" s="252" t="str">
        <f>IF(ISNUMBER(SEARCH("C", 'Dry_Litterbag Placem_Collection'!$V121)),"YES","NO")</f>
        <v>NO</v>
      </c>
      <c r="AH414" s="252" t="str">
        <f>IF(ISNUMBER(SEARCH("H", 'Dry_Litterbag Placem_Collection'!$V121)),"YES","NO")</f>
        <v>NO</v>
      </c>
      <c r="AI414" s="252" t="str">
        <f>IF(ISNUMBER(SEARCH("R", 'Dry_Litterbag Placem_Collection'!$V121)),"YES","NO")</f>
        <v>NO</v>
      </c>
      <c r="AJ414" s="252" t="str">
        <f>IF(ISNUMBER(SEARCH("C", 'Dry_Litterbag Placem_Collection'!$U121)),"YES","NO")</f>
        <v>NO</v>
      </c>
      <c r="AK414" s="252" t="str">
        <f>IF(ISNUMBER(SEARCH("H", 'Dry_Litterbag Placem_Collection'!$U121)),"YES","NO")</f>
        <v>NO</v>
      </c>
      <c r="AL414" s="252" t="str">
        <f>IF(ISNUMBER(SEARCH("R", 'Dry_Litterbag Placem_Collection'!$U121)),"YES","NO")</f>
        <v>YES</v>
      </c>
    </row>
    <row r="415" spans="2:38">
      <c r="B415" t="str">
        <f>'Final data_for_R_analysis_Dryse'!A561</f>
        <v>Dry</v>
      </c>
      <c r="C415" s="260">
        <f>'Final data_for_R_analysis_Dryse'!B561</f>
        <v>120</v>
      </c>
      <c r="D415" t="s">
        <v>3818</v>
      </c>
      <c r="E415" t="s">
        <v>25</v>
      </c>
      <c r="F415" s="382">
        <v>8</v>
      </c>
      <c r="G415" s="383" t="str">
        <f>IF('Dry_Litterbag Placem_Collection'!E122="","",'Dry_Litterbag Placem_Collection'!E122)</f>
        <v/>
      </c>
      <c r="H415" s="92" t="str">
        <f>'Final data_for_R_analysis_Dryse'!K561</f>
        <v/>
      </c>
      <c r="I415" t="str">
        <f>'Final data_for_R_analysis_Dryse'!K781</f>
        <v/>
      </c>
      <c r="J415" t="str">
        <f>IFERROR(INDEX('Green_rooibos initial weight'!$C$5:$C$2000,MATCH(H415, 'Green_rooibos initial weight'!$A$5:$A$2000,0)),"")</f>
        <v/>
      </c>
      <c r="K415" t="str">
        <f>IFERROR(INDEX('Green_rooibos initial weight'!$C$5:$C$2000,MATCH(I415, 'Green_rooibos initial weight'!$A$5:$A$2000,0)),"")</f>
        <v/>
      </c>
      <c r="L415" s="194" t="str">
        <f t="shared" si="69"/>
        <v/>
      </c>
      <c r="M415" s="237">
        <f>AVERAGE(Ashed_controlls!$K$1:$K$11)</f>
        <v>5.5147656768714146</v>
      </c>
      <c r="N415" s="194" t="str">
        <f t="shared" si="65"/>
        <v/>
      </c>
      <c r="O415" s="194" t="str">
        <f t="shared" si="70"/>
        <v/>
      </c>
      <c r="P415" s="237">
        <f>AVERAGE(Ashed_controlls!$K$12:$K$14)</f>
        <v>2.2816647271287041</v>
      </c>
      <c r="Q415" s="194" t="str">
        <f t="shared" si="66"/>
        <v/>
      </c>
      <c r="R415" s="383" t="str">
        <f>IF('Dry_Litterbag Placem_Collection'!G122="","",'Dry_Litterbag Placem_Collection'!G122)</f>
        <v/>
      </c>
      <c r="S415" s="194" t="str">
        <f>IFERROR(INDEX('Both teabags AfterDry'!$D$3:$D$2000,MATCH(H415,'Both teabags AfterDry'!$A$3:$A$2000,0)),"")</f>
        <v/>
      </c>
      <c r="T415" s="194" t="str">
        <f>IFERROR(INDEX('Both teabags AfterDry'!$D$3:$D$2000,MATCH(I415,'Both teabags AfterDry'!$A$3:$A$2000,0)),"")</f>
        <v/>
      </c>
      <c r="U415" s="194" t="str">
        <f t="shared" si="71"/>
        <v/>
      </c>
      <c r="V415" s="194" t="str">
        <f t="shared" si="72"/>
        <v/>
      </c>
      <c r="W415" s="194" t="str">
        <f>IFERROR(INDEX('Ashed teabags dry'!$K$2:$K$2000,MATCH(H415,'Ashed teabags dry'!$A$2:$A$2000,0)),"")</f>
        <v/>
      </c>
      <c r="X415" s="194" t="str">
        <f>IFERROR(INDEX('Ashed teabags dry'!$K$2:$K$2000,MATCH(I415,'Ashed teabags dry'!$A$2:$A$2000,0)),"")</f>
        <v/>
      </c>
      <c r="Y415" s="194" t="str">
        <f t="shared" si="67"/>
        <v/>
      </c>
      <c r="Z415" s="194" t="str">
        <f t="shared" si="67"/>
        <v/>
      </c>
      <c r="AA415" s="194" t="str">
        <f t="shared" si="73"/>
        <v/>
      </c>
      <c r="AB415" s="194" t="str">
        <f t="shared" si="74"/>
        <v/>
      </c>
      <c r="AC415" s="194" t="str">
        <f t="shared" si="68"/>
        <v/>
      </c>
      <c r="AD415" t="str">
        <f t="shared" si="75"/>
        <v/>
      </c>
      <c r="AE415" s="194" t="str">
        <f t="shared" si="76"/>
        <v/>
      </c>
      <c r="AF415" s="194" t="str">
        <f t="shared" si="77"/>
        <v/>
      </c>
      <c r="AG415" s="252" t="str">
        <f>IF(ISNUMBER(SEARCH("C", 'Dry_Litterbag Placem_Collection'!$V122)),"YES","NO")</f>
        <v>NO</v>
      </c>
      <c r="AH415" s="252" t="str">
        <f>IF(ISNUMBER(SEARCH("H", 'Dry_Litterbag Placem_Collection'!$V122)),"YES","NO")</f>
        <v>NO</v>
      </c>
      <c r="AI415" s="252" t="str">
        <f>IF(ISNUMBER(SEARCH("R", 'Dry_Litterbag Placem_Collection'!$V122)),"YES","NO")</f>
        <v>NO</v>
      </c>
      <c r="AJ415" s="252" t="str">
        <f>IF(ISNUMBER(SEARCH("C", 'Dry_Litterbag Placem_Collection'!$U122)),"YES","NO")</f>
        <v>NO</v>
      </c>
      <c r="AK415" s="252" t="str">
        <f>IF(ISNUMBER(SEARCH("H", 'Dry_Litterbag Placem_Collection'!$U122)),"YES","NO")</f>
        <v>NO</v>
      </c>
      <c r="AL415" s="252" t="str">
        <f>IF(ISNUMBER(SEARCH("R", 'Dry_Litterbag Placem_Collection'!$U122)),"YES","NO")</f>
        <v>NO</v>
      </c>
    </row>
    <row r="416" spans="2:38">
      <c r="B416" t="str">
        <f>'Final data_for_R_analysis_Dryse'!A562</f>
        <v>Dry</v>
      </c>
      <c r="C416" s="260">
        <f>'Final data_for_R_analysis_Dryse'!B562</f>
        <v>121</v>
      </c>
      <c r="D416" t="s">
        <v>3819</v>
      </c>
      <c r="E416" t="s">
        <v>25</v>
      </c>
      <c r="F416" s="381">
        <v>1</v>
      </c>
      <c r="G416" s="383">
        <f>IF('Dry_Litterbag Placem_Collection'!E123="","",'Dry_Litterbag Placem_Collection'!E123)</f>
        <v>42939</v>
      </c>
      <c r="H416" s="92" t="str">
        <f>'Final data_for_R_analysis_Dryse'!K562</f>
        <v>G16</v>
      </c>
      <c r="I416" t="str">
        <f>'Final data_for_R_analysis_Dryse'!K782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69"/>
        <v>1.6912</v>
      </c>
      <c r="M416" s="237">
        <f>AVERAGE(Ashed_controlls!$K$1:$K$11)</f>
        <v>5.5147656768714146</v>
      </c>
      <c r="N416" s="194">
        <f t="shared" si="65"/>
        <v>1.5979342828727507</v>
      </c>
      <c r="O416" s="194">
        <f t="shared" si="70"/>
        <v>1.9592000000000001</v>
      </c>
      <c r="P416" s="237">
        <f>AVERAGE(Ashed_controlls!$K$12:$K$14)</f>
        <v>2.2816647271287041</v>
      </c>
      <c r="Q416" s="194">
        <f t="shared" si="66"/>
        <v>1.9144976246660945</v>
      </c>
      <c r="R416" s="383">
        <f>IF('Dry_Litterbag Placem_Collection'!G123="","",'Dry_Litterbag Placem_Collection'!G123)</f>
        <v>43008</v>
      </c>
      <c r="S416" s="194" t="str">
        <f>IFERROR(INDEX('Both teabags AfterDry'!$D$3:$D$2000,MATCH(H416,'Both teabags AfterDry'!$A$3:$A$2000,0)),"")</f>
        <v/>
      </c>
      <c r="T416" s="194" t="str">
        <f>IFERROR(INDEX('Both teabags AfterDry'!$D$3:$D$2000,MATCH(I416,'Both teabags AfterDry'!$A$3:$A$2000,0)),"")</f>
        <v/>
      </c>
      <c r="U416" s="194" t="str">
        <f t="shared" si="71"/>
        <v/>
      </c>
      <c r="V416" s="194" t="str">
        <f t="shared" si="72"/>
        <v/>
      </c>
      <c r="W416" s="194" t="str">
        <f>IFERROR(INDEX('Ashed teabags dry'!$K$2:$K$2000,MATCH(H416,'Ashed teabags dry'!$A$2:$A$2000,0)),"")</f>
        <v/>
      </c>
      <c r="X416" s="194" t="str">
        <f>IFERROR(INDEX('Ashed teabags dry'!$K$2:$K$2000,MATCH(I416,'Ashed teabags dry'!$A$2:$A$2000,0)),"")</f>
        <v/>
      </c>
      <c r="Y416" s="194" t="str">
        <f t="shared" si="67"/>
        <v/>
      </c>
      <c r="Z416" s="194" t="str">
        <f t="shared" si="67"/>
        <v/>
      </c>
      <c r="AA416" s="194" t="str">
        <f t="shared" si="73"/>
        <v/>
      </c>
      <c r="AB416" s="194" t="str">
        <f t="shared" si="74"/>
        <v/>
      </c>
      <c r="AC416" s="194" t="str">
        <f t="shared" si="68"/>
        <v/>
      </c>
      <c r="AD416">
        <f t="shared" si="75"/>
        <v>69</v>
      </c>
      <c r="AE416" s="194" t="str">
        <f t="shared" si="76"/>
        <v/>
      </c>
      <c r="AF416" s="194" t="str">
        <f t="shared" si="77"/>
        <v/>
      </c>
      <c r="AG416" s="252" t="str">
        <f>IF(ISNUMBER(SEARCH("C", 'Dry_Litterbag Placem_Collection'!$V123)),"YES","NO")</f>
        <v>NO</v>
      </c>
      <c r="AH416" s="252" t="str">
        <f>IF(ISNUMBER(SEARCH("H", 'Dry_Litterbag Placem_Collection'!$V123)),"YES","NO")</f>
        <v>NO</v>
      </c>
      <c r="AI416" s="252" t="str">
        <f>IF(ISNUMBER(SEARCH("R", 'Dry_Litterbag Placem_Collection'!$V123)),"YES","NO")</f>
        <v>NO</v>
      </c>
      <c r="AJ416" s="252" t="str">
        <f>IF(ISNUMBER(SEARCH("C", 'Dry_Litterbag Placem_Collection'!$U123)),"YES","NO")</f>
        <v>NO</v>
      </c>
      <c r="AK416" s="252" t="str">
        <f>IF(ISNUMBER(SEARCH("H", 'Dry_Litterbag Placem_Collection'!$U123)),"YES","NO")</f>
        <v>NO</v>
      </c>
      <c r="AL416" s="252" t="str">
        <f>IF(ISNUMBER(SEARCH("R", 'Dry_Litterbag Placem_Collection'!$U123)),"YES","NO")</f>
        <v>NO</v>
      </c>
    </row>
    <row r="417" spans="2:38">
      <c r="B417" t="str">
        <f>'Final data_for_R_analysis_Dryse'!A563</f>
        <v>Dry</v>
      </c>
      <c r="C417" s="260">
        <f>'Final data_for_R_analysis_Dryse'!B563</f>
        <v>122</v>
      </c>
      <c r="D417" t="s">
        <v>3819</v>
      </c>
      <c r="E417" t="s">
        <v>25</v>
      </c>
      <c r="F417" s="381">
        <v>2</v>
      </c>
      <c r="G417" s="383">
        <f>IF('Dry_Litterbag Placem_Collection'!E124="","",'Dry_Litterbag Placem_Collection'!E124)</f>
        <v>42939</v>
      </c>
      <c r="H417" s="92" t="str">
        <f>'Final data_for_R_analysis_Dryse'!K563</f>
        <v>G109</v>
      </c>
      <c r="I417" t="str">
        <f>'Final data_for_R_analysis_Dryse'!K783</f>
        <v>R388</v>
      </c>
      <c r="J417">
        <f>IFERROR(INDEX('Green_rooibos initial weight'!$C$5:$C$2000,MATCH(H417, 'Green_rooibos initial weight'!$A$5:$A$2000,0)),"")</f>
        <v>1.992</v>
      </c>
      <c r="K417">
        <f>IFERROR(INDEX('Green_rooibos initial weight'!$C$5:$C$2000,MATCH(I417, 'Green_rooibos initial weight'!$A$5:$A$2000,0)),"")</f>
        <v>2.2349999999999999</v>
      </c>
      <c r="L417" s="194">
        <f t="shared" si="69"/>
        <v>1.7422</v>
      </c>
      <c r="M417" s="237">
        <f>AVERAGE(Ashed_controlls!$K$1:$K$11)</f>
        <v>5.5147656768714146</v>
      </c>
      <c r="N417" s="194">
        <f t="shared" si="65"/>
        <v>1.6461217523775462</v>
      </c>
      <c r="O417" s="194">
        <f t="shared" si="70"/>
        <v>1.9851999999999999</v>
      </c>
      <c r="P417" s="237">
        <f>AVERAGE(Ashed_controlls!$K$12:$K$14)</f>
        <v>2.2816647271287041</v>
      </c>
      <c r="Q417" s="194">
        <f t="shared" si="66"/>
        <v>1.9399043918370409</v>
      </c>
      <c r="R417" s="383">
        <f>IF('Dry_Litterbag Placem_Collection'!G124="","",'Dry_Litterbag Placem_Collection'!G124)</f>
        <v>43008</v>
      </c>
      <c r="S417" s="194">
        <f>IFERROR(INDEX('Both teabags AfterDry'!$D$3:$D$2000,MATCH(H417,'Both teabags AfterDry'!$A$3:$A$2000,0)),"")</f>
        <v>0.67359999999999998</v>
      </c>
      <c r="T417" s="194">
        <f>IFERROR(INDEX('Both teabags AfterDry'!$D$3:$D$2000,MATCH(I417,'Both teabags AfterDry'!$A$3:$A$2000,0)),"")</f>
        <v>1.4536</v>
      </c>
      <c r="U417" s="194">
        <f t="shared" si="71"/>
        <v>0.52299999999999991</v>
      </c>
      <c r="V417" s="194">
        <f t="shared" si="72"/>
        <v>1.3029999999999999</v>
      </c>
      <c r="W417" s="194">
        <f>IFERROR(INDEX('Ashed teabags dry'!$K$2:$K$2000,MATCH(H417,'Ashed teabags dry'!$A$2:$A$2000,0)),"")</f>
        <v>17.174515235456546</v>
      </c>
      <c r="X417" s="194">
        <f>IFERROR(INDEX('Ashed teabags dry'!$K$2:$K$2000,MATCH(I417,'Ashed teabags dry'!$A$2:$A$2000,0)),"")</f>
        <v>14.899853444064959</v>
      </c>
      <c r="Y417" s="194">
        <f t="shared" si="67"/>
        <v>0.4331772853185622</v>
      </c>
      <c r="Z417" s="194">
        <f t="shared" si="67"/>
        <v>1.1088549096238336</v>
      </c>
      <c r="AA417" s="194">
        <f t="shared" si="73"/>
        <v>0.73684978969938864</v>
      </c>
      <c r="AB417" s="194">
        <f t="shared" si="74"/>
        <v>0.48306542032548999</v>
      </c>
      <c r="AC417" s="194">
        <f t="shared" si="68"/>
        <v>0.57160286573390129</v>
      </c>
      <c r="AD417">
        <f t="shared" si="75"/>
        <v>69</v>
      </c>
      <c r="AE417" s="194">
        <f t="shared" si="76"/>
        <v>0.12488148491759066</v>
      </c>
      <c r="AF417" s="194">
        <f t="shared" si="77"/>
        <v>3.1577801862813101E-2</v>
      </c>
      <c r="AG417" s="252" t="str">
        <f>IF(ISNUMBER(SEARCH("C", 'Dry_Litterbag Placem_Collection'!$V124)),"YES","NO")</f>
        <v>NO</v>
      </c>
      <c r="AH417" s="252" t="str">
        <f>IF(ISNUMBER(SEARCH("H", 'Dry_Litterbag Placem_Collection'!$V124)),"YES","NO")</f>
        <v>NO</v>
      </c>
      <c r="AI417" s="252" t="str">
        <f>IF(ISNUMBER(SEARCH("R", 'Dry_Litterbag Placem_Collection'!$V124)),"YES","NO")</f>
        <v>NO</v>
      </c>
      <c r="AJ417" s="252" t="str">
        <f>IF(ISNUMBER(SEARCH("C", 'Dry_Litterbag Placem_Collection'!$U124)),"YES","NO")</f>
        <v>NO</v>
      </c>
      <c r="AK417" s="252" t="str">
        <f>IF(ISNUMBER(SEARCH("H", 'Dry_Litterbag Placem_Collection'!$U124)),"YES","NO")</f>
        <v>NO</v>
      </c>
      <c r="AL417" s="252" t="str">
        <f>IF(ISNUMBER(SEARCH("R", 'Dry_Litterbag Placem_Collection'!$U124)),"YES","NO")</f>
        <v>NO</v>
      </c>
    </row>
    <row r="418" spans="2:38">
      <c r="B418" t="str">
        <f>'Final data_for_R_analysis_Dryse'!A564</f>
        <v>Dry</v>
      </c>
      <c r="C418" s="260">
        <f>'Final data_for_R_analysis_Dryse'!B564</f>
        <v>123</v>
      </c>
      <c r="D418" t="s">
        <v>3819</v>
      </c>
      <c r="E418" t="s">
        <v>25</v>
      </c>
      <c r="F418" s="381">
        <v>3</v>
      </c>
      <c r="G418" s="383">
        <f>IF('Dry_Litterbag Placem_Collection'!E125="","",'Dry_Litterbag Placem_Collection'!E125)</f>
        <v>42939</v>
      </c>
      <c r="H418" s="92" t="str">
        <f>'Final data_for_R_analysis_Dryse'!K564</f>
        <v>G344</v>
      </c>
      <c r="I418" t="str">
        <f>'Final data_for_R_analysis_Dryse'!K784</f>
        <v>R281</v>
      </c>
      <c r="J418">
        <f>IFERROR(INDEX('Green_rooibos initial weight'!$C$5:$C$2000,MATCH(H418, 'Green_rooibos initial weight'!$A$5:$A$2000,0)),"")</f>
        <v>1.93</v>
      </c>
      <c r="K418">
        <f>IFERROR(INDEX('Green_rooibos initial weight'!$C$5:$C$2000,MATCH(I418, 'Green_rooibos initial weight'!$A$5:$A$2000,0)),"")</f>
        <v>2.17</v>
      </c>
      <c r="L418" s="194">
        <f t="shared" si="69"/>
        <v>1.6801999999999999</v>
      </c>
      <c r="M418" s="237">
        <f>AVERAGE(Ashed_controlls!$K$1:$K$11)</f>
        <v>5.5147656768714146</v>
      </c>
      <c r="N418" s="194">
        <f t="shared" si="65"/>
        <v>1.5875409070972064</v>
      </c>
      <c r="O418" s="194">
        <f t="shared" si="70"/>
        <v>1.9201999999999999</v>
      </c>
      <c r="P418" s="237">
        <f>AVERAGE(Ashed_controlls!$K$12:$K$14)</f>
        <v>2.2816647271287041</v>
      </c>
      <c r="Q418" s="194">
        <f t="shared" si="66"/>
        <v>1.8763874739096746</v>
      </c>
      <c r="R418" s="383">
        <f>IF('Dry_Litterbag Placem_Collection'!G125="","",'Dry_Litterbag Placem_Collection'!G125)</f>
        <v>43008</v>
      </c>
      <c r="S418" s="194">
        <f>IFERROR(INDEX('Both teabags AfterDry'!$D$3:$D$2000,MATCH(H418,'Both teabags AfterDry'!$A$3:$A$2000,0)),"")</f>
        <v>0.78580000000000005</v>
      </c>
      <c r="T418" s="194">
        <f>IFERROR(INDEX('Both teabags AfterDry'!$D$3:$D$2000,MATCH(I418,'Both teabags AfterDry'!$A$3:$A$2000,0)),"")</f>
        <v>1.7361</v>
      </c>
      <c r="U418" s="194">
        <f t="shared" si="71"/>
        <v>0.63519999999999999</v>
      </c>
      <c r="V418" s="194">
        <f t="shared" si="72"/>
        <v>1.5854999999999999</v>
      </c>
      <c r="W418" s="194">
        <f>IFERROR(INDEX('Ashed teabags dry'!$K$2:$K$2000,MATCH(H418,'Ashed teabags dry'!$A$2:$A$2000,0)),"")</f>
        <v>19.618781961877247</v>
      </c>
      <c r="X418" s="194">
        <f>IFERROR(INDEX('Ashed teabags dry'!$K$2:$K$2000,MATCH(I418,'Ashed teabags dry'!$A$2:$A$2000,0)),"")</f>
        <v>4.862385321101006</v>
      </c>
      <c r="Y418" s="194">
        <f t="shared" si="67"/>
        <v>0.51058149697815569</v>
      </c>
      <c r="Z418" s="194">
        <f t="shared" si="67"/>
        <v>1.5084068807339435</v>
      </c>
      <c r="AA418" s="194">
        <f t="shared" si="73"/>
        <v>0.67838214770053018</v>
      </c>
      <c r="AB418" s="194">
        <f t="shared" si="74"/>
        <v>0.44473508970391062</v>
      </c>
      <c r="AC418" s="194">
        <f t="shared" si="68"/>
        <v>0.80388880319638878</v>
      </c>
      <c r="AD418">
        <f t="shared" si="75"/>
        <v>69</v>
      </c>
      <c r="AE418" s="194">
        <f t="shared" si="76"/>
        <v>0.19432048966682869</v>
      </c>
      <c r="AF418" s="194">
        <f t="shared" si="77"/>
        <v>8.4280799506051603E-3</v>
      </c>
      <c r="AG418" s="252" t="str">
        <f>IF(ISNUMBER(SEARCH("C", 'Dry_Litterbag Placem_Collection'!$V125)),"YES","NO")</f>
        <v>NO</v>
      </c>
      <c r="AH418" s="252" t="str">
        <f>IF(ISNUMBER(SEARCH("H", 'Dry_Litterbag Placem_Collection'!$V125)),"YES","NO")</f>
        <v>NO</v>
      </c>
      <c r="AI418" s="252" t="str">
        <f>IF(ISNUMBER(SEARCH("R", 'Dry_Litterbag Placem_Collection'!$V125)),"YES","NO")</f>
        <v>NO</v>
      </c>
      <c r="AJ418" s="252" t="str">
        <f>IF(ISNUMBER(SEARCH("C", 'Dry_Litterbag Placem_Collection'!$U125)),"YES","NO")</f>
        <v>NO</v>
      </c>
      <c r="AK418" s="252" t="str">
        <f>IF(ISNUMBER(SEARCH("H", 'Dry_Litterbag Placem_Collection'!$U125)),"YES","NO")</f>
        <v>NO</v>
      </c>
      <c r="AL418" s="252" t="str">
        <f>IF(ISNUMBER(SEARCH("R", 'Dry_Litterbag Placem_Collection'!$U125)),"YES","NO")</f>
        <v>NO</v>
      </c>
    </row>
    <row r="419" spans="2:38">
      <c r="B419" t="str">
        <f>'Final data_for_R_analysis_Dryse'!A565</f>
        <v>Dry</v>
      </c>
      <c r="C419" s="260">
        <f>'Final data_for_R_analysis_Dryse'!B565</f>
        <v>124</v>
      </c>
      <c r="D419" t="s">
        <v>3819</v>
      </c>
      <c r="E419" t="s">
        <v>25</v>
      </c>
      <c r="F419" s="382">
        <v>4</v>
      </c>
      <c r="G419" s="383">
        <f>IF('Dry_Litterbag Placem_Collection'!E126="","",'Dry_Litterbag Placem_Collection'!E126)</f>
        <v>42939</v>
      </c>
      <c r="H419" s="92" t="str">
        <f>'Final data_for_R_analysis_Dryse'!K565</f>
        <v>G221</v>
      </c>
      <c r="I419" t="str">
        <f>'Final data_for_R_analysis_Dryse'!K785</f>
        <v>R443</v>
      </c>
      <c r="J419">
        <f>IFERROR(INDEX('Green_rooibos initial weight'!$C$5:$C$2000,MATCH(H419, 'Green_rooibos initial weight'!$A$5:$A$2000,0)),"")</f>
        <v>2.004</v>
      </c>
      <c r="K419">
        <f>IFERROR(INDEX('Green_rooibos initial weight'!$C$5:$C$2000,MATCH(I419, 'Green_rooibos initial weight'!$A$5:$A$2000,0)),"")</f>
        <v>2.2149999999999999</v>
      </c>
      <c r="L419" s="194">
        <f t="shared" si="69"/>
        <v>1.7542</v>
      </c>
      <c r="M419" s="237">
        <f>AVERAGE(Ashed_controlls!$K$1:$K$11)</f>
        <v>5.5147656768714146</v>
      </c>
      <c r="N419" s="194">
        <f t="shared" si="65"/>
        <v>1.6574599804963217</v>
      </c>
      <c r="O419" s="194">
        <f t="shared" si="70"/>
        <v>1.9651999999999998</v>
      </c>
      <c r="P419" s="237">
        <f>AVERAGE(Ashed_controlls!$K$12:$K$14)</f>
        <v>2.2816647271287041</v>
      </c>
      <c r="Q419" s="194">
        <f t="shared" si="66"/>
        <v>1.9203607247824666</v>
      </c>
      <c r="R419" s="383">
        <f>IF('Dry_Litterbag Placem_Collection'!G126="","",'Dry_Litterbag Placem_Collection'!G126)</f>
        <v>43008</v>
      </c>
      <c r="S419" s="194">
        <f>IFERROR(INDEX('Both teabags AfterDry'!$D$3:$D$2000,MATCH(H419,'Both teabags AfterDry'!$A$3:$A$2000,0)),"")</f>
        <v>0.66700000000000004</v>
      </c>
      <c r="T419" s="194">
        <f>IFERROR(INDEX('Both teabags AfterDry'!$D$3:$D$2000,MATCH(I419,'Both teabags AfterDry'!$A$3:$A$2000,0)),"")</f>
        <v>1.5766</v>
      </c>
      <c r="U419" s="194">
        <f t="shared" si="71"/>
        <v>0.51639999999999997</v>
      </c>
      <c r="V419" s="194">
        <f t="shared" si="72"/>
        <v>1.4259999999999999</v>
      </c>
      <c r="W419" s="194">
        <f>IFERROR(INDEX('Ashed teabags dry'!$K$2:$K$2000,MATCH(H419,'Ashed teabags dry'!$A$2:$A$2000,0)),"")</f>
        <v>19.375305026842138</v>
      </c>
      <c r="X419" s="194">
        <f>IFERROR(INDEX('Ashed teabags dry'!$K$2:$K$2000,MATCH(I419,'Ashed teabags dry'!$A$2:$A$2000,0)),"")</f>
        <v>9.9950024987499955</v>
      </c>
      <c r="Y419" s="194">
        <f t="shared" si="67"/>
        <v>0.41634592484138716</v>
      </c>
      <c r="Z419" s="194">
        <f t="shared" si="67"/>
        <v>1.283471264367825</v>
      </c>
      <c r="AA419" s="194">
        <f t="shared" si="73"/>
        <v>0.74880484009229975</v>
      </c>
      <c r="AB419" s="194">
        <f t="shared" si="74"/>
        <v>0.49090293554744596</v>
      </c>
      <c r="AC419" s="194">
        <f t="shared" si="68"/>
        <v>0.66834904911587023</v>
      </c>
      <c r="AD419">
        <f t="shared" si="75"/>
        <v>69</v>
      </c>
      <c r="AE419" s="194">
        <f t="shared" si="76"/>
        <v>0.11068308777636604</v>
      </c>
      <c r="AF419" s="194">
        <f t="shared" si="77"/>
        <v>1.6315342957059824E-2</v>
      </c>
      <c r="AG419" s="252" t="str">
        <f>IF(ISNUMBER(SEARCH("C", 'Dry_Litterbag Placem_Collection'!$V126)),"YES","NO")</f>
        <v>NO</v>
      </c>
      <c r="AH419" s="252" t="str">
        <f>IF(ISNUMBER(SEARCH("H", 'Dry_Litterbag Placem_Collection'!$V126)),"YES","NO")</f>
        <v>NO</v>
      </c>
      <c r="AI419" s="252" t="str">
        <f>IF(ISNUMBER(SEARCH("R", 'Dry_Litterbag Placem_Collection'!$V126)),"YES","NO")</f>
        <v>NO</v>
      </c>
      <c r="AJ419" s="252" t="str">
        <f>IF(ISNUMBER(SEARCH("C", 'Dry_Litterbag Placem_Collection'!$U126)),"YES","NO")</f>
        <v>NO</v>
      </c>
      <c r="AK419" s="252" t="str">
        <f>IF(ISNUMBER(SEARCH("H", 'Dry_Litterbag Placem_Collection'!$U126)),"YES","NO")</f>
        <v>NO</v>
      </c>
      <c r="AL419" s="252" t="str">
        <f>IF(ISNUMBER(SEARCH("R", 'Dry_Litterbag Placem_Collection'!$U126)),"YES","NO")</f>
        <v>NO</v>
      </c>
    </row>
    <row r="420" spans="2:38">
      <c r="B420" t="str">
        <f>'Final data_for_R_analysis_Dryse'!A566</f>
        <v>Dry</v>
      </c>
      <c r="C420" s="260">
        <f>'Final data_for_R_analysis_Dryse'!B566</f>
        <v>125</v>
      </c>
      <c r="D420" t="s">
        <v>3819</v>
      </c>
      <c r="E420" t="s">
        <v>25</v>
      </c>
      <c r="F420" s="382">
        <v>5</v>
      </c>
      <c r="G420" s="383">
        <f>IF('Dry_Litterbag Placem_Collection'!E127="","",'Dry_Litterbag Placem_Collection'!E127)</f>
        <v>42939</v>
      </c>
      <c r="H420" s="92" t="str">
        <f>'Final data_for_R_analysis_Dryse'!K566</f>
        <v>G757</v>
      </c>
      <c r="I420" t="str">
        <f>'Final data_for_R_analysis_Dryse'!K786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69"/>
        <v>1.8172000000000001</v>
      </c>
      <c r="M420" s="237">
        <f>AVERAGE(Ashed_controlls!$K$1:$K$11)</f>
        <v>5.5147656768714146</v>
      </c>
      <c r="N420" s="194">
        <f t="shared" si="65"/>
        <v>1.7169856781198929</v>
      </c>
      <c r="O420" s="194">
        <f t="shared" si="70"/>
        <v>1.9512</v>
      </c>
      <c r="P420" s="237">
        <f>AVERAGE(Ashed_controlls!$K$12:$K$14)</f>
        <v>2.2816647271287041</v>
      </c>
      <c r="Q420" s="194">
        <f t="shared" si="66"/>
        <v>1.9066801578442647</v>
      </c>
      <c r="R420" s="383">
        <f>IF('Dry_Litterbag Placem_Collection'!G127="","",'Dry_Litterbag Placem_Collection'!G127)</f>
        <v>43008</v>
      </c>
      <c r="S420" s="194">
        <f>IFERROR(INDEX('Both teabags AfterDry'!$D$3:$D$2000,MATCH(H420,'Both teabags AfterDry'!$A$3:$A$2000,0)),"")</f>
        <v>0.92230000000000001</v>
      </c>
      <c r="T420" s="194">
        <f>IFERROR(INDEX('Both teabags AfterDry'!$D$3:$D$2000,MATCH(I420,'Both teabags AfterDry'!$A$3:$A$2000,0)),"")</f>
        <v>1.595</v>
      </c>
      <c r="U420" s="194">
        <f t="shared" si="71"/>
        <v>0.77170000000000005</v>
      </c>
      <c r="V420" s="194">
        <f t="shared" si="72"/>
        <v>1.4443999999999999</v>
      </c>
      <c r="W420" s="194">
        <f>IFERROR(INDEX('Ashed teabags dry'!$K$2:$K$2000,MATCH(H420,'Ashed teabags dry'!$A$2:$A$2000,0)),"")</f>
        <v>20.954254795868039</v>
      </c>
      <c r="X420" s="194">
        <f>IFERROR(INDEX('Ashed teabags dry'!$K$2:$K$2000,MATCH(I420,'Ashed teabags dry'!$A$2:$A$2000,0)),"")</f>
        <v>5.480093676815204</v>
      </c>
      <c r="Y420" s="194">
        <f t="shared" si="67"/>
        <v>0.60999601574028639</v>
      </c>
      <c r="Z420" s="194">
        <f t="shared" si="67"/>
        <v>1.3652455269320811</v>
      </c>
      <c r="AA420" s="194">
        <f t="shared" si="73"/>
        <v>0.64472853587909085</v>
      </c>
      <c r="AB420" s="194">
        <f t="shared" si="74"/>
        <v>0.4226723893174088</v>
      </c>
      <c r="AC420" s="194">
        <f t="shared" si="68"/>
        <v>0.71603279727610858</v>
      </c>
      <c r="AD420">
        <f t="shared" si="75"/>
        <v>69</v>
      </c>
      <c r="AE420" s="194">
        <f t="shared" si="76"/>
        <v>0.23428914978730297</v>
      </c>
      <c r="AF420" s="194">
        <f t="shared" si="77"/>
        <v>1.6148502386676176E-2</v>
      </c>
      <c r="AG420" s="252" t="str">
        <f>IF(ISNUMBER(SEARCH("C", 'Dry_Litterbag Placem_Collection'!$V127)),"YES","NO")</f>
        <v>NO</v>
      </c>
      <c r="AH420" s="252" t="str">
        <f>IF(ISNUMBER(SEARCH("H", 'Dry_Litterbag Placem_Collection'!$V127)),"YES","NO")</f>
        <v>NO</v>
      </c>
      <c r="AI420" s="252" t="str">
        <f>IF(ISNUMBER(SEARCH("R", 'Dry_Litterbag Placem_Collection'!$V127)),"YES","NO")</f>
        <v>NO</v>
      </c>
      <c r="AJ420" s="252" t="str">
        <f>IF(ISNUMBER(SEARCH("C", 'Dry_Litterbag Placem_Collection'!$U127)),"YES","NO")</f>
        <v>NO</v>
      </c>
      <c r="AK420" s="252" t="str">
        <f>IF(ISNUMBER(SEARCH("H", 'Dry_Litterbag Placem_Collection'!$U127)),"YES","NO")</f>
        <v>NO</v>
      </c>
      <c r="AL420" s="252" t="str">
        <f>IF(ISNUMBER(SEARCH("R", 'Dry_Litterbag Placem_Collection'!$U127)),"YES","NO")</f>
        <v>NO</v>
      </c>
    </row>
    <row r="421" spans="2:38">
      <c r="B421" t="str">
        <f>'Final data_for_R_analysis_Dryse'!A567</f>
        <v>Dry</v>
      </c>
      <c r="C421" s="260">
        <f>'Final data_for_R_analysis_Dryse'!B567</f>
        <v>126</v>
      </c>
      <c r="D421" t="s">
        <v>3819</v>
      </c>
      <c r="E421" t="s">
        <v>25</v>
      </c>
      <c r="F421" s="382">
        <v>6</v>
      </c>
      <c r="G421" s="383" t="str">
        <f>IF('Dry_Litterbag Placem_Collection'!E128="","",'Dry_Litterbag Placem_Collection'!E128)</f>
        <v/>
      </c>
      <c r="H421" s="92" t="str">
        <f>'Final data_for_R_analysis_Dryse'!K567</f>
        <v/>
      </c>
      <c r="I421" t="str">
        <f>'Final data_for_R_analysis_Dryse'!K787</f>
        <v/>
      </c>
      <c r="J421" t="str">
        <f>IFERROR(INDEX('Green_rooibos initial weight'!$C$5:$C$2000,MATCH(H421, 'Green_rooibos initial weight'!$A$5:$A$2000,0)),"")</f>
        <v/>
      </c>
      <c r="K421" t="str">
        <f>IFERROR(INDEX('Green_rooibos initial weight'!$C$5:$C$2000,MATCH(I421, 'Green_rooibos initial weight'!$A$5:$A$2000,0)),"")</f>
        <v/>
      </c>
      <c r="L421" s="194" t="str">
        <f t="shared" si="69"/>
        <v/>
      </c>
      <c r="M421" s="237">
        <f>AVERAGE(Ashed_controlls!$K$1:$K$11)</f>
        <v>5.5147656768714146</v>
      </c>
      <c r="N421" s="194" t="str">
        <f t="shared" si="65"/>
        <v/>
      </c>
      <c r="O421" s="194" t="str">
        <f t="shared" si="70"/>
        <v/>
      </c>
      <c r="P421" s="237">
        <f>AVERAGE(Ashed_controlls!$K$12:$K$14)</f>
        <v>2.2816647271287041</v>
      </c>
      <c r="Q421" s="194" t="str">
        <f t="shared" si="66"/>
        <v/>
      </c>
      <c r="R421" s="383" t="str">
        <f>IF('Dry_Litterbag Placem_Collection'!G128="","",'Dry_Litterbag Placem_Collection'!G128)</f>
        <v/>
      </c>
      <c r="S421" s="194" t="str">
        <f>IFERROR(INDEX('Both teabags AfterDry'!$D$3:$D$2000,MATCH(H421,'Both teabags AfterDry'!$A$3:$A$2000,0)),"")</f>
        <v/>
      </c>
      <c r="T421" s="194" t="str">
        <f>IFERROR(INDEX('Both teabags AfterDry'!$D$3:$D$2000,MATCH(I421,'Both teabags AfterDry'!$A$3:$A$2000,0)),"")</f>
        <v/>
      </c>
      <c r="U421" s="194" t="str">
        <f t="shared" si="71"/>
        <v/>
      </c>
      <c r="V421" s="194" t="str">
        <f t="shared" si="72"/>
        <v/>
      </c>
      <c r="W421" s="194" t="str">
        <f>IFERROR(INDEX('Ashed teabags dry'!$K$2:$K$2000,MATCH(H421,'Ashed teabags dry'!$A$2:$A$2000,0)),"")</f>
        <v/>
      </c>
      <c r="X421" s="194" t="str">
        <f>IFERROR(INDEX('Ashed teabags dry'!$K$2:$K$2000,MATCH(I421,'Ashed teabags dry'!$A$2:$A$2000,0)),"")</f>
        <v/>
      </c>
      <c r="Y421" s="194" t="str">
        <f t="shared" si="67"/>
        <v/>
      </c>
      <c r="Z421" s="194" t="str">
        <f t="shared" si="67"/>
        <v/>
      </c>
      <c r="AA421" s="194" t="str">
        <f t="shared" si="73"/>
        <v/>
      </c>
      <c r="AB421" s="194" t="str">
        <f t="shared" si="74"/>
        <v/>
      </c>
      <c r="AC421" s="194" t="str">
        <f t="shared" si="68"/>
        <v/>
      </c>
      <c r="AD421" t="str">
        <f t="shared" si="75"/>
        <v/>
      </c>
      <c r="AE421" s="194" t="str">
        <f t="shared" si="76"/>
        <v/>
      </c>
      <c r="AF421" s="194" t="str">
        <f t="shared" si="77"/>
        <v/>
      </c>
      <c r="AG421" s="252" t="str">
        <f>IF(ISNUMBER(SEARCH("C", 'Dry_Litterbag Placem_Collection'!$V128)),"YES","NO")</f>
        <v>NO</v>
      </c>
      <c r="AH421" s="252" t="str">
        <f>IF(ISNUMBER(SEARCH("H", 'Dry_Litterbag Placem_Collection'!$V128)),"YES","NO")</f>
        <v>NO</v>
      </c>
      <c r="AI421" s="252" t="str">
        <f>IF(ISNUMBER(SEARCH("R", 'Dry_Litterbag Placem_Collection'!$V128)),"YES","NO")</f>
        <v>NO</v>
      </c>
      <c r="AJ421" s="252" t="str">
        <f>IF(ISNUMBER(SEARCH("C", 'Dry_Litterbag Placem_Collection'!$U128)),"YES","NO")</f>
        <v>NO</v>
      </c>
      <c r="AK421" s="252" t="str">
        <f>IF(ISNUMBER(SEARCH("H", 'Dry_Litterbag Placem_Collection'!$U128)),"YES","NO")</f>
        <v>NO</v>
      </c>
      <c r="AL421" s="252" t="str">
        <f>IF(ISNUMBER(SEARCH("R", 'Dry_Litterbag Placem_Collection'!$U128)),"YES","NO")</f>
        <v>NO</v>
      </c>
    </row>
    <row r="422" spans="2:38">
      <c r="B422" t="str">
        <f>'Final data_for_R_analysis_Dryse'!A568</f>
        <v>Dry</v>
      </c>
      <c r="C422" s="260">
        <f>'Final data_for_R_analysis_Dryse'!B568</f>
        <v>127</v>
      </c>
      <c r="D422" t="s">
        <v>3819</v>
      </c>
      <c r="E422" t="s">
        <v>25</v>
      </c>
      <c r="F422" s="382">
        <v>7</v>
      </c>
      <c r="G422" s="383">
        <f>IF('Dry_Litterbag Placem_Collection'!E129="","",'Dry_Litterbag Placem_Collection'!E129)</f>
        <v>42939</v>
      </c>
      <c r="H422" s="92" t="str">
        <f>'Final data_for_R_analysis_Dryse'!K568</f>
        <v>G96</v>
      </c>
      <c r="I422" t="str">
        <f>'Final data_for_R_analysis_Dryse'!K788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69"/>
        <v>1.9851999999999999</v>
      </c>
      <c r="M422" s="237">
        <f>AVERAGE(Ashed_controlls!$K$1:$K$11)</f>
        <v>5.5147656768714146</v>
      </c>
      <c r="N422" s="194">
        <f t="shared" si="65"/>
        <v>1.8757208717827485</v>
      </c>
      <c r="O422" s="194">
        <f t="shared" si="70"/>
        <v>2.0032000000000001</v>
      </c>
      <c r="P422" s="237">
        <f>AVERAGE(Ashed_controlls!$K$12:$K$14)</f>
        <v>2.2816647271287041</v>
      </c>
      <c r="Q422" s="194">
        <f t="shared" si="66"/>
        <v>1.9574936921861579</v>
      </c>
      <c r="R422" s="383">
        <f>IF('Dry_Litterbag Placem_Collection'!G129="","",'Dry_Litterbag Placem_Collection'!G129)</f>
        <v>43008</v>
      </c>
      <c r="S422" s="194">
        <f>IFERROR(INDEX('Both teabags AfterDry'!$D$3:$D$2000,MATCH(H422,'Both teabags AfterDry'!$A$3:$A$2000,0)),"")</f>
        <v>0.77790000000000004</v>
      </c>
      <c r="T422" s="194">
        <f>IFERROR(INDEX('Both teabags AfterDry'!$D$3:$D$2000,MATCH(I422,'Both teabags AfterDry'!$A$3:$A$2000,0)),"")</f>
        <v>1.5876999999999999</v>
      </c>
      <c r="U422" s="194">
        <f t="shared" si="71"/>
        <v>0.62729999999999997</v>
      </c>
      <c r="V422" s="194">
        <f t="shared" si="72"/>
        <v>1.4370999999999998</v>
      </c>
      <c r="W422" s="194">
        <f>IFERROR(INDEX('Ashed teabags dry'!$K$2:$K$2000,MATCH(H422,'Ashed teabags dry'!$A$2:$A$2000,0)),"")</f>
        <v>15.120274914089208</v>
      </c>
      <c r="X422" s="194">
        <f>IFERROR(INDEX('Ashed teabags dry'!$K$2:$K$2000,MATCH(I422,'Ashed teabags dry'!$A$2:$A$2000,0)),"")</f>
        <v>6.6340160284944094</v>
      </c>
      <c r="Y422" s="194">
        <f t="shared" si="67"/>
        <v>0.53245051546391842</v>
      </c>
      <c r="Z422" s="194">
        <f t="shared" si="67"/>
        <v>1.3417625556545068</v>
      </c>
      <c r="AA422" s="194">
        <f t="shared" si="73"/>
        <v>0.71613552769295596</v>
      </c>
      <c r="AB422" s="194">
        <f t="shared" si="74"/>
        <v>0.46948552409324434</v>
      </c>
      <c r="AC422" s="194">
        <f t="shared" si="68"/>
        <v>0.68544923593393881</v>
      </c>
      <c r="AD422">
        <f t="shared" si="75"/>
        <v>69</v>
      </c>
      <c r="AE422" s="194">
        <f t="shared" si="76"/>
        <v>0.1494827462078907</v>
      </c>
      <c r="AF422" s="194">
        <f t="shared" si="77"/>
        <v>1.6067149859514088E-2</v>
      </c>
      <c r="AG422" s="252" t="str">
        <f>IF(ISNUMBER(SEARCH("C", 'Dry_Litterbag Placem_Collection'!$V129)),"YES","NO")</f>
        <v>NO</v>
      </c>
      <c r="AH422" s="252" t="str">
        <f>IF(ISNUMBER(SEARCH("H", 'Dry_Litterbag Placem_Collection'!$V129)),"YES","NO")</f>
        <v>NO</v>
      </c>
      <c r="AI422" s="252" t="str">
        <f>IF(ISNUMBER(SEARCH("R", 'Dry_Litterbag Placem_Collection'!$V129)),"YES","NO")</f>
        <v>NO</v>
      </c>
      <c r="AJ422" s="252" t="str">
        <f>IF(ISNUMBER(SEARCH("C", 'Dry_Litterbag Placem_Collection'!$U129)),"YES","NO")</f>
        <v>NO</v>
      </c>
      <c r="AK422" s="252" t="str">
        <f>IF(ISNUMBER(SEARCH("H", 'Dry_Litterbag Placem_Collection'!$U129)),"YES","NO")</f>
        <v>NO</v>
      </c>
      <c r="AL422" s="252" t="str">
        <f>IF(ISNUMBER(SEARCH("R", 'Dry_Litterbag Placem_Collection'!$U129)),"YES","NO")</f>
        <v>YES</v>
      </c>
    </row>
    <row r="423" spans="2:38">
      <c r="B423" t="str">
        <f>'Final data_for_R_analysis_Dryse'!A569</f>
        <v>Dry</v>
      </c>
      <c r="C423" s="260">
        <f>'Final data_for_R_analysis_Dryse'!B569</f>
        <v>128</v>
      </c>
      <c r="D423" t="s">
        <v>3819</v>
      </c>
      <c r="E423" t="s">
        <v>25</v>
      </c>
      <c r="F423" s="382">
        <v>8</v>
      </c>
      <c r="G423" s="383">
        <f>IF('Dry_Litterbag Placem_Collection'!E130="","",'Dry_Litterbag Placem_Collection'!E130)</f>
        <v>42939</v>
      </c>
      <c r="H423" s="92" t="str">
        <f>'Final data_for_R_analysis_Dryse'!K569</f>
        <v>G134</v>
      </c>
      <c r="I423" t="str">
        <f>'Final data_for_R_analysis_Dryse'!K789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69"/>
        <v>1.7591999999999999</v>
      </c>
      <c r="M423" s="237">
        <f>AVERAGE(Ashed_controlls!$K$1:$K$11)</f>
        <v>5.5147656768714146</v>
      </c>
      <c r="N423" s="194">
        <f t="shared" si="65"/>
        <v>1.662184242212478</v>
      </c>
      <c r="O423" s="194">
        <f t="shared" si="70"/>
        <v>2.0501999999999998</v>
      </c>
      <c r="P423" s="237">
        <f>AVERAGE(Ashed_controlls!$K$12:$K$14)</f>
        <v>2.2816647271287041</v>
      </c>
      <c r="Q423" s="194">
        <f t="shared" si="66"/>
        <v>2.0034213097644069</v>
      </c>
      <c r="R423" s="383">
        <f>IF('Dry_Litterbag Placem_Collection'!G130="","",'Dry_Litterbag Placem_Collection'!G130)</f>
        <v>43008</v>
      </c>
      <c r="S423" s="194">
        <f>IFERROR(INDEX('Both teabags AfterDry'!$D$3:$D$2000,MATCH(H423,'Both teabags AfterDry'!$A$3:$A$2000,0)),"")</f>
        <v>0.82289999999999996</v>
      </c>
      <c r="T423" s="194">
        <f>IFERROR(INDEX('Both teabags AfterDry'!$D$3:$D$2000,MATCH(I423,'Both teabags AfterDry'!$A$3:$A$2000,0)),"")</f>
        <v>1.6163000000000001</v>
      </c>
      <c r="U423" s="194">
        <f t="shared" si="71"/>
        <v>0.6722999999999999</v>
      </c>
      <c r="V423" s="194">
        <f t="shared" si="72"/>
        <v>1.4657</v>
      </c>
      <c r="W423" s="194">
        <f>IFERROR(INDEX('Ashed teabags dry'!$K$2:$K$2000,MATCH(H423,'Ashed teabags dry'!$A$2:$A$2000,0)),"")</f>
        <v>18.432510885341248</v>
      </c>
      <c r="X423" s="194">
        <f>IFERROR(INDEX('Ashed teabags dry'!$K$2:$K$2000,MATCH(I423,'Ashed teabags dry'!$A$2:$A$2000,0)),"")</f>
        <v>8.0924855491328049</v>
      </c>
      <c r="Y423" s="194">
        <f t="shared" si="67"/>
        <v>0.54837822931785074</v>
      </c>
      <c r="Z423" s="194">
        <f t="shared" si="67"/>
        <v>1.3470884393063605</v>
      </c>
      <c r="AA423" s="194">
        <f t="shared" si="73"/>
        <v>0.67008577305009054</v>
      </c>
      <c r="AB423" s="194">
        <f t="shared" si="74"/>
        <v>0.43929613625136582</v>
      </c>
      <c r="AC423" s="194">
        <f t="shared" si="68"/>
        <v>0.67239398559895114</v>
      </c>
      <c r="AD423">
        <f t="shared" si="75"/>
        <v>69</v>
      </c>
      <c r="AE423" s="194">
        <f t="shared" si="76"/>
        <v>0.20417366621129385</v>
      </c>
      <c r="AF423" s="194">
        <f t="shared" si="77"/>
        <v>1.9847036060618672E-2</v>
      </c>
      <c r="AG423" s="252" t="str">
        <f>IF(ISNUMBER(SEARCH("C", 'Dry_Litterbag Placem_Collection'!$V130)),"YES","NO")</f>
        <v>NO</v>
      </c>
      <c r="AH423" s="252" t="str">
        <f>IF(ISNUMBER(SEARCH("H", 'Dry_Litterbag Placem_Collection'!$V130)),"YES","NO")</f>
        <v>NO</v>
      </c>
      <c r="AI423" s="252" t="str">
        <f>IF(ISNUMBER(SEARCH("R", 'Dry_Litterbag Placem_Collection'!$V130)),"YES","NO")</f>
        <v>NO</v>
      </c>
      <c r="AJ423" s="252" t="str">
        <f>IF(ISNUMBER(SEARCH("C", 'Dry_Litterbag Placem_Collection'!$U130)),"YES","NO")</f>
        <v>NO</v>
      </c>
      <c r="AK423" s="252" t="str">
        <f>IF(ISNUMBER(SEARCH("H", 'Dry_Litterbag Placem_Collection'!$U130)),"YES","NO")</f>
        <v>NO</v>
      </c>
      <c r="AL423" s="252" t="str">
        <f>IF(ISNUMBER(SEARCH("R", 'Dry_Litterbag Placem_Collection'!$U130)),"YES","NO")</f>
        <v>NO</v>
      </c>
    </row>
    <row r="424" spans="2:38">
      <c r="B424" t="str">
        <f>'Final data_for_R_analysis_Dryse'!A570</f>
        <v>Dry</v>
      </c>
      <c r="C424" s="260">
        <f>'Final data_for_R_analysis_Dryse'!B570</f>
        <v>129</v>
      </c>
      <c r="D424" t="s">
        <v>3820</v>
      </c>
      <c r="E424" t="s">
        <v>25</v>
      </c>
      <c r="F424" s="381">
        <v>1</v>
      </c>
      <c r="G424" s="383">
        <f>IF('Dry_Litterbag Placem_Collection'!E131="","",'Dry_Litterbag Placem_Collection'!E131)</f>
        <v>42939</v>
      </c>
      <c r="H424" s="92" t="str">
        <f>'Final data_for_R_analysis_Dryse'!K570</f>
        <v>G671</v>
      </c>
      <c r="I424" t="str">
        <f>'Final data_for_R_analysis_Dryse'!K790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69"/>
        <v>1.8012000000000001</v>
      </c>
      <c r="M424" s="237">
        <f>AVERAGE(Ashed_controlls!$K$1:$K$11)</f>
        <v>5.5147656768714146</v>
      </c>
      <c r="N424" s="194">
        <f t="shared" si="65"/>
        <v>1.7018680406281923</v>
      </c>
      <c r="O424" s="194">
        <f t="shared" si="70"/>
        <v>1.9302000000000001</v>
      </c>
      <c r="P424" s="237">
        <f>AVERAGE(Ashed_controlls!$K$12:$K$14)</f>
        <v>2.2816647271287041</v>
      </c>
      <c r="Q424" s="194">
        <f t="shared" si="66"/>
        <v>1.8861593074369618</v>
      </c>
      <c r="R424" s="383">
        <f>IF('Dry_Litterbag Placem_Collection'!G131="","",'Dry_Litterbag Placem_Collection'!G131)</f>
        <v>43008</v>
      </c>
      <c r="S424" s="194">
        <f>IFERROR(INDEX('Both teabags AfterDry'!$D$3:$D$2000,MATCH(H424,'Both teabags AfterDry'!$A$3:$A$2000,0)),"")</f>
        <v>0.68540000000000001</v>
      </c>
      <c r="T424" s="194">
        <f>IFERROR(INDEX('Both teabags AfterDry'!$D$3:$D$2000,MATCH(I424,'Both teabags AfterDry'!$A$3:$A$2000,0)),"")</f>
        <v>1.6962999999999999</v>
      </c>
      <c r="U424" s="194">
        <f t="shared" si="71"/>
        <v>0.53479999999999994</v>
      </c>
      <c r="V424" s="194">
        <f t="shared" si="72"/>
        <v>1.5456999999999999</v>
      </c>
      <c r="W424" s="194">
        <f>IFERROR(INDEX('Ashed teabags dry'!$K$2:$K$2000,MATCH(H424,'Ashed teabags dry'!$A$2:$A$2000,0)),"")</f>
        <v>15.942028985507489</v>
      </c>
      <c r="X424" s="194">
        <f>IFERROR(INDEX('Ashed teabags dry'!$K$2:$K$2000,MATCH(I424,'Ashed teabags dry'!$A$2:$A$2000,0)),"")</f>
        <v>6.3134657836639967</v>
      </c>
      <c r="Y424" s="194">
        <f t="shared" si="67"/>
        <v>0.44954202898550588</v>
      </c>
      <c r="Z424" s="194">
        <f t="shared" si="67"/>
        <v>1.4481127593819054</v>
      </c>
      <c r="AA424" s="194">
        <f t="shared" si="73"/>
        <v>0.73585376876836395</v>
      </c>
      <c r="AB424" s="194">
        <f t="shared" si="74"/>
        <v>0.48241244698353558</v>
      </c>
      <c r="AC424" s="194">
        <f t="shared" si="68"/>
        <v>0.76775739656354736</v>
      </c>
      <c r="AD424">
        <f t="shared" si="75"/>
        <v>69</v>
      </c>
      <c r="AE424" s="194">
        <f t="shared" si="76"/>
        <v>0.12606440763852256</v>
      </c>
      <c r="AF424" s="194">
        <f t="shared" si="77"/>
        <v>9.5168026942663436E-3</v>
      </c>
      <c r="AG424" s="252" t="str">
        <f>IF(ISNUMBER(SEARCH("C", 'Dry_Litterbag Placem_Collection'!$V131)),"YES","NO")</f>
        <v>NO</v>
      </c>
      <c r="AH424" s="252" t="str">
        <f>IF(ISNUMBER(SEARCH("H", 'Dry_Litterbag Placem_Collection'!$V131)),"YES","NO")</f>
        <v>NO</v>
      </c>
      <c r="AI424" s="252" t="str">
        <f>IF(ISNUMBER(SEARCH("R", 'Dry_Litterbag Placem_Collection'!$V131)),"YES","NO")</f>
        <v>NO</v>
      </c>
      <c r="AJ424" s="252" t="str">
        <f>IF(ISNUMBER(SEARCH("C", 'Dry_Litterbag Placem_Collection'!$U131)),"YES","NO")</f>
        <v>NO</v>
      </c>
      <c r="AK424" s="252" t="str">
        <f>IF(ISNUMBER(SEARCH("H", 'Dry_Litterbag Placem_Collection'!$U131)),"YES","NO")</f>
        <v>NO</v>
      </c>
      <c r="AL424" s="252" t="str">
        <f>IF(ISNUMBER(SEARCH("R", 'Dry_Litterbag Placem_Collection'!$U131)),"YES","NO")</f>
        <v>NO</v>
      </c>
    </row>
    <row r="425" spans="2:38">
      <c r="B425" t="str">
        <f>'Final data_for_R_analysis_Dryse'!A571</f>
        <v>Dry</v>
      </c>
      <c r="C425" s="260">
        <f>'Final data_for_R_analysis_Dryse'!B571</f>
        <v>130</v>
      </c>
      <c r="D425" t="s">
        <v>3820</v>
      </c>
      <c r="E425" t="s">
        <v>25</v>
      </c>
      <c r="F425" s="381">
        <v>2</v>
      </c>
      <c r="G425" s="383">
        <f>IF('Dry_Litterbag Placem_Collection'!E132="","",'Dry_Litterbag Placem_Collection'!E132)</f>
        <v>42939</v>
      </c>
      <c r="H425" s="92" t="str">
        <f>'Final data_for_R_analysis_Dryse'!K571</f>
        <v>G400</v>
      </c>
      <c r="I425" t="str">
        <f>'Final data_for_R_analysis_Dryse'!K791</f>
        <v>R193</v>
      </c>
      <c r="J425">
        <f>IFERROR(INDEX('Green_rooibos initial weight'!$C$5:$C$2000,MATCH(H425, 'Green_rooibos initial weight'!$A$5:$A$2000,0)),"")</f>
        <v>2.0089999999999999</v>
      </c>
      <c r="K425">
        <f>IFERROR(INDEX('Green_rooibos initial weight'!$C$5:$C$2000,MATCH(I425, 'Green_rooibos initial weight'!$A$5:$A$2000,0)),"")</f>
        <v>2.198</v>
      </c>
      <c r="L425" s="194">
        <f t="shared" si="69"/>
        <v>1.7591999999999999</v>
      </c>
      <c r="M425" s="237">
        <f>AVERAGE(Ashed_controlls!$K$1:$K$11)</f>
        <v>5.5147656768714146</v>
      </c>
      <c r="N425" s="194">
        <f t="shared" si="65"/>
        <v>1.662184242212478</v>
      </c>
      <c r="O425" s="194">
        <f t="shared" si="70"/>
        <v>1.9481999999999999</v>
      </c>
      <c r="P425" s="237">
        <f>AVERAGE(Ashed_controlls!$K$12:$K$14)</f>
        <v>2.2816647271287041</v>
      </c>
      <c r="Q425" s="194">
        <f t="shared" si="66"/>
        <v>1.9037486077860786</v>
      </c>
      <c r="R425" s="383">
        <f>IF('Dry_Litterbag Placem_Collection'!G132="","",'Dry_Litterbag Placem_Collection'!G132)</f>
        <v>43008</v>
      </c>
      <c r="S425" s="194">
        <f>IFERROR(INDEX('Both teabags AfterDry'!$D$3:$D$2000,MATCH(H425,'Both teabags AfterDry'!$A$3:$A$2000,0)),"")</f>
        <v>0.86</v>
      </c>
      <c r="T425" s="194">
        <f>IFERROR(INDEX('Both teabags AfterDry'!$D$3:$D$2000,MATCH(I425,'Both teabags AfterDry'!$A$3:$A$2000,0)),"")</f>
        <v>1.7978000000000001</v>
      </c>
      <c r="U425" s="194">
        <f t="shared" si="71"/>
        <v>0.70940000000000003</v>
      </c>
      <c r="V425" s="194">
        <f t="shared" si="72"/>
        <v>1.6472</v>
      </c>
      <c r="W425" s="194">
        <f>IFERROR(INDEX('Ashed teabags dry'!$K$2:$K$2000,MATCH(H425,'Ashed teabags dry'!$A$2:$A$2000,0)),"")</f>
        <v>23.389830508474194</v>
      </c>
      <c r="X425" s="194">
        <f>IFERROR(INDEX('Ashed teabags dry'!$K$2:$K$2000,MATCH(I425,'Ashed teabags dry'!$A$2:$A$2000,0)),"")</f>
        <v>7.9980610761027835</v>
      </c>
      <c r="Y425" s="194">
        <f t="shared" si="67"/>
        <v>0.54347254237288412</v>
      </c>
      <c r="Z425" s="194">
        <f t="shared" si="67"/>
        <v>1.515455937954435</v>
      </c>
      <c r="AA425" s="194">
        <f t="shared" si="73"/>
        <v>0.67303712273827965</v>
      </c>
      <c r="AB425" s="194">
        <f t="shared" si="74"/>
        <v>0.44123098782842091</v>
      </c>
      <c r="AC425" s="194">
        <f t="shared" si="68"/>
        <v>0.79603784436475589</v>
      </c>
      <c r="AD425">
        <f t="shared" si="75"/>
        <v>69</v>
      </c>
      <c r="AE425" s="194">
        <f t="shared" si="76"/>
        <v>0.20066850031083172</v>
      </c>
      <c r="AF425" s="194">
        <f t="shared" si="77"/>
        <v>8.9909378102216025E-3</v>
      </c>
      <c r="AG425" s="252" t="str">
        <f>IF(ISNUMBER(SEARCH("C", 'Dry_Litterbag Placem_Collection'!$V132)),"YES","NO")</f>
        <v>NO</v>
      </c>
      <c r="AH425" s="252" t="str">
        <f>IF(ISNUMBER(SEARCH("H", 'Dry_Litterbag Placem_Collection'!$V132)),"YES","NO")</f>
        <v>NO</v>
      </c>
      <c r="AI425" s="252" t="str">
        <f>IF(ISNUMBER(SEARCH("R", 'Dry_Litterbag Placem_Collection'!$V132)),"YES","NO")</f>
        <v>NO</v>
      </c>
      <c r="AJ425" s="252" t="str">
        <f>IF(ISNUMBER(SEARCH("C", 'Dry_Litterbag Placem_Collection'!$U132)),"YES","NO")</f>
        <v>NO</v>
      </c>
      <c r="AK425" s="252" t="str">
        <f>IF(ISNUMBER(SEARCH("H", 'Dry_Litterbag Placem_Collection'!$U132)),"YES","NO")</f>
        <v>NO</v>
      </c>
      <c r="AL425" s="252" t="str">
        <f>IF(ISNUMBER(SEARCH("R", 'Dry_Litterbag Placem_Collection'!$U132)),"YES","NO")</f>
        <v>YES</v>
      </c>
    </row>
    <row r="426" spans="2:38">
      <c r="B426" t="str">
        <f>'Final data_for_R_analysis_Dryse'!A572</f>
        <v>Dry</v>
      </c>
      <c r="C426" s="260">
        <f>'Final data_for_R_analysis_Dryse'!B572</f>
        <v>131</v>
      </c>
      <c r="D426" t="s">
        <v>3820</v>
      </c>
      <c r="E426" t="s">
        <v>25</v>
      </c>
      <c r="F426" s="381">
        <v>3</v>
      </c>
      <c r="G426" s="383">
        <f>IF('Dry_Litterbag Placem_Collection'!E133="","",'Dry_Litterbag Placem_Collection'!E133)</f>
        <v>42939</v>
      </c>
      <c r="H426" s="92" t="str">
        <f>'Final data_for_R_analysis_Dryse'!K572</f>
        <v>G48</v>
      </c>
      <c r="I426" t="str">
        <f>'Final data_for_R_analysis_Dryse'!K792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69"/>
        <v>1.8092000000000001</v>
      </c>
      <c r="M426" s="237">
        <f>AVERAGE(Ashed_controlls!$K$1:$K$11)</f>
        <v>5.5147656768714146</v>
      </c>
      <c r="N426" s="194">
        <f t="shared" si="65"/>
        <v>1.7094268593740425</v>
      </c>
      <c r="O426" s="194">
        <f t="shared" si="70"/>
        <v>1.9942000000000002</v>
      </c>
      <c r="P426" s="237">
        <f>AVERAGE(Ashed_controlls!$K$12:$K$14)</f>
        <v>2.2816647271287041</v>
      </c>
      <c r="Q426" s="194">
        <f t="shared" si="66"/>
        <v>1.9486990420115995</v>
      </c>
      <c r="R426" s="383">
        <f>IF('Dry_Litterbag Placem_Collection'!G133="","",'Dry_Litterbag Placem_Collection'!G133)</f>
        <v>43008</v>
      </c>
      <c r="S426" s="194">
        <f>IFERROR(INDEX('Both teabags AfterDry'!$D$3:$D$2000,MATCH(H426,'Both teabags AfterDry'!$A$3:$A$2000,0)),"")</f>
        <v>0.84750000000000003</v>
      </c>
      <c r="T426" s="194">
        <f>IFERROR(INDEX('Both teabags AfterDry'!$D$3:$D$2000,MATCH(I426,'Both teabags AfterDry'!$A$3:$A$2000,0)),"")</f>
        <v>1.7876000000000001</v>
      </c>
      <c r="U426" s="194">
        <f t="shared" si="71"/>
        <v>0.69690000000000007</v>
      </c>
      <c r="V426" s="194">
        <f t="shared" si="72"/>
        <v>1.637</v>
      </c>
      <c r="W426" s="194">
        <f>IFERROR(INDEX('Ashed teabags dry'!$K$2:$K$2000,MATCH(H426,'Ashed teabags dry'!$A$2:$A$2000,0)),"")</f>
        <v>16.880037932669509</v>
      </c>
      <c r="X426" s="194">
        <f>IFERROR(INDEX('Ashed teabags dry'!$K$2:$K$2000,MATCH(I426,'Ashed teabags dry'!$A$2:$A$2000,0)),"")</f>
        <v>4.3834296724473862</v>
      </c>
      <c r="Y426" s="194">
        <f t="shared" si="67"/>
        <v>0.57926301564722626</v>
      </c>
      <c r="Z426" s="194">
        <f t="shared" si="67"/>
        <v>1.5652432562620362</v>
      </c>
      <c r="AA426" s="194">
        <f t="shared" si="73"/>
        <v>0.661136121460417</v>
      </c>
      <c r="AB426" s="194">
        <f t="shared" si="74"/>
        <v>0.43342890623058222</v>
      </c>
      <c r="AC426" s="194">
        <f t="shared" si="68"/>
        <v>0.80322472712167481</v>
      </c>
      <c r="AD426">
        <f t="shared" si="75"/>
        <v>69</v>
      </c>
      <c r="AE426" s="194">
        <f t="shared" si="76"/>
        <v>0.21480270610401775</v>
      </c>
      <c r="AF426" s="194">
        <f t="shared" si="77"/>
        <v>8.7700025187662737E-3</v>
      </c>
      <c r="AG426" s="252" t="str">
        <f>IF(ISNUMBER(SEARCH("C", 'Dry_Litterbag Placem_Collection'!$V133)),"YES","NO")</f>
        <v>NO</v>
      </c>
      <c r="AH426" s="252" t="str">
        <f>IF(ISNUMBER(SEARCH("H", 'Dry_Litterbag Placem_Collection'!$V133)),"YES","NO")</f>
        <v>NO</v>
      </c>
      <c r="AI426" s="252" t="str">
        <f>IF(ISNUMBER(SEARCH("R", 'Dry_Litterbag Placem_Collection'!$V133)),"YES","NO")</f>
        <v>YES</v>
      </c>
      <c r="AJ426" s="252" t="str">
        <f>IF(ISNUMBER(SEARCH("C", 'Dry_Litterbag Placem_Collection'!$U133)),"YES","NO")</f>
        <v>NO</v>
      </c>
      <c r="AK426" s="252" t="str">
        <f>IF(ISNUMBER(SEARCH("H", 'Dry_Litterbag Placem_Collection'!$U133)),"YES","NO")</f>
        <v>NO</v>
      </c>
      <c r="AL426" s="252" t="str">
        <f>IF(ISNUMBER(SEARCH("R", 'Dry_Litterbag Placem_Collection'!$U133)),"YES","NO")</f>
        <v>YES</v>
      </c>
    </row>
    <row r="427" spans="2:38">
      <c r="B427" t="str">
        <f>'Final data_for_R_analysis_Dryse'!A573</f>
        <v>Dry</v>
      </c>
      <c r="C427" s="260">
        <f>'Final data_for_R_analysis_Dryse'!B573</f>
        <v>132</v>
      </c>
      <c r="D427" t="s">
        <v>3820</v>
      </c>
      <c r="E427" t="s">
        <v>25</v>
      </c>
      <c r="F427" s="382">
        <v>4</v>
      </c>
      <c r="G427" s="383" t="str">
        <f>IF('Dry_Litterbag Placem_Collection'!E134="","",'Dry_Litterbag Placem_Collection'!E134)</f>
        <v/>
      </c>
      <c r="H427" s="92" t="str">
        <f>'Final data_for_R_analysis_Dryse'!K573</f>
        <v/>
      </c>
      <c r="I427" t="str">
        <f>'Final data_for_R_analysis_Dryse'!K793</f>
        <v/>
      </c>
      <c r="J427" t="str">
        <f>IFERROR(INDEX('Green_rooibos initial weight'!$C$5:$C$2000,MATCH(H427, 'Green_rooibos initial weight'!$A$5:$A$2000,0)),"")</f>
        <v/>
      </c>
      <c r="K427" t="str">
        <f>IFERROR(INDEX('Green_rooibos initial weight'!$C$5:$C$2000,MATCH(I427, 'Green_rooibos initial weight'!$A$5:$A$2000,0)),"")</f>
        <v/>
      </c>
      <c r="L427" s="194" t="str">
        <f t="shared" si="69"/>
        <v/>
      </c>
      <c r="M427" s="237">
        <f>AVERAGE(Ashed_controlls!$K$1:$K$11)</f>
        <v>5.5147656768714146</v>
      </c>
      <c r="N427" s="194" t="str">
        <f t="shared" si="65"/>
        <v/>
      </c>
      <c r="O427" s="194" t="str">
        <f t="shared" si="70"/>
        <v/>
      </c>
      <c r="P427" s="237">
        <f>AVERAGE(Ashed_controlls!$K$12:$K$14)</f>
        <v>2.2816647271287041</v>
      </c>
      <c r="Q427" s="194" t="str">
        <f t="shared" si="66"/>
        <v/>
      </c>
      <c r="R427" s="383" t="str">
        <f>IF('Dry_Litterbag Placem_Collection'!G134="","",'Dry_Litterbag Placem_Collection'!G134)</f>
        <v/>
      </c>
      <c r="S427" s="194" t="str">
        <f>IFERROR(INDEX('Both teabags AfterDry'!$D$3:$D$2000,MATCH(H427,'Both teabags AfterDry'!$A$3:$A$2000,0)),"")</f>
        <v/>
      </c>
      <c r="T427" s="194" t="str">
        <f>IFERROR(INDEX('Both teabags AfterDry'!$D$3:$D$2000,MATCH(I427,'Both teabags AfterDry'!$A$3:$A$2000,0)),"")</f>
        <v/>
      </c>
      <c r="U427" s="194" t="str">
        <f t="shared" si="71"/>
        <v/>
      </c>
      <c r="V427" s="194" t="str">
        <f t="shared" si="72"/>
        <v/>
      </c>
      <c r="W427" s="194" t="str">
        <f>IFERROR(INDEX('Ashed teabags dry'!$K$2:$K$2000,MATCH(H427,'Ashed teabags dry'!$A$2:$A$2000,0)),"")</f>
        <v/>
      </c>
      <c r="X427" s="194" t="str">
        <f>IFERROR(INDEX('Ashed teabags dry'!$K$2:$K$2000,MATCH(I427,'Ashed teabags dry'!$A$2:$A$2000,0)),"")</f>
        <v/>
      </c>
      <c r="Y427" s="194" t="str">
        <f t="shared" si="67"/>
        <v/>
      </c>
      <c r="Z427" s="194" t="str">
        <f t="shared" si="67"/>
        <v/>
      </c>
      <c r="AA427" s="194" t="str">
        <f t="shared" si="73"/>
        <v/>
      </c>
      <c r="AB427" s="194" t="str">
        <f t="shared" si="74"/>
        <v/>
      </c>
      <c r="AC427" s="194" t="str">
        <f t="shared" si="68"/>
        <v/>
      </c>
      <c r="AD427" t="str">
        <f t="shared" si="75"/>
        <v/>
      </c>
      <c r="AE427" s="194" t="str">
        <f t="shared" si="76"/>
        <v/>
      </c>
      <c r="AF427" s="194" t="str">
        <f t="shared" si="77"/>
        <v/>
      </c>
      <c r="AG427" s="252" t="str">
        <f>IF(ISNUMBER(SEARCH("C", 'Dry_Litterbag Placem_Collection'!$V134)),"YES","NO")</f>
        <v>NO</v>
      </c>
      <c r="AH427" s="252" t="str">
        <f>IF(ISNUMBER(SEARCH("H", 'Dry_Litterbag Placem_Collection'!$V134)),"YES","NO")</f>
        <v>NO</v>
      </c>
      <c r="AI427" s="252" t="str">
        <f>IF(ISNUMBER(SEARCH("R", 'Dry_Litterbag Placem_Collection'!$V134)),"YES","NO")</f>
        <v>NO</v>
      </c>
      <c r="AJ427" s="252" t="str">
        <f>IF(ISNUMBER(SEARCH("C", 'Dry_Litterbag Placem_Collection'!$U134)),"YES","NO")</f>
        <v>NO</v>
      </c>
      <c r="AK427" s="252" t="str">
        <f>IF(ISNUMBER(SEARCH("H", 'Dry_Litterbag Placem_Collection'!$U134)),"YES","NO")</f>
        <v>NO</v>
      </c>
      <c r="AL427" s="252" t="str">
        <f>IF(ISNUMBER(SEARCH("R", 'Dry_Litterbag Placem_Collection'!$U134)),"YES","NO")</f>
        <v>NO</v>
      </c>
    </row>
    <row r="428" spans="2:38">
      <c r="B428" t="str">
        <f>'Final data_for_R_analysis_Dryse'!A574</f>
        <v>Dry</v>
      </c>
      <c r="C428" s="260">
        <f>'Final data_for_R_analysis_Dryse'!B574</f>
        <v>133</v>
      </c>
      <c r="D428" t="s">
        <v>3820</v>
      </c>
      <c r="E428" t="s">
        <v>25</v>
      </c>
      <c r="F428" s="382">
        <v>5</v>
      </c>
      <c r="G428" s="383">
        <f>IF('Dry_Litterbag Placem_Collection'!E135="","",'Dry_Litterbag Placem_Collection'!E135)</f>
        <v>42939</v>
      </c>
      <c r="H428" s="92" t="str">
        <f>'Final data_for_R_analysis_Dryse'!K574</f>
        <v>G210</v>
      </c>
      <c r="I428" t="str">
        <f>'Final data_for_R_analysis_Dryse'!K794</f>
        <v>R683</v>
      </c>
      <c r="J428">
        <f>IFERROR(INDEX('Green_rooibos initial weight'!$C$5:$C$2000,MATCH(H428, 'Green_rooibos initial weight'!$A$5:$A$2000,0)),"")</f>
        <v>1.923</v>
      </c>
      <c r="K428">
        <f>IFERROR(INDEX('Green_rooibos initial weight'!$C$5:$C$2000,MATCH(I428, 'Green_rooibos initial weight'!$A$5:$A$2000,0)),"")</f>
        <v>2.141</v>
      </c>
      <c r="L428" s="194">
        <f t="shared" si="69"/>
        <v>1.6732</v>
      </c>
      <c r="M428" s="237">
        <f>AVERAGE(Ashed_controlls!$K$1:$K$11)</f>
        <v>5.5147656768714146</v>
      </c>
      <c r="N428" s="194">
        <f t="shared" si="65"/>
        <v>1.5809269406945876</v>
      </c>
      <c r="O428" s="194">
        <f t="shared" si="70"/>
        <v>1.8912</v>
      </c>
      <c r="P428" s="237">
        <f>AVERAGE(Ashed_controlls!$K$12:$K$14)</f>
        <v>2.2816647271287041</v>
      </c>
      <c r="Q428" s="194">
        <f t="shared" si="66"/>
        <v>1.8480491566805419</v>
      </c>
      <c r="R428" s="383">
        <f>IF('Dry_Litterbag Placem_Collection'!G135="","",'Dry_Litterbag Placem_Collection'!G135)</f>
        <v>43008</v>
      </c>
      <c r="S428" s="194" t="str">
        <f>IFERROR(INDEX('Both teabags AfterDry'!$D$3:$D$2000,MATCH(H428,'Both teabags AfterDry'!$A$3:$A$2000,0)),"")</f>
        <v/>
      </c>
      <c r="T428" s="194" t="str">
        <f>IFERROR(INDEX('Both teabags AfterDry'!$D$3:$D$2000,MATCH(I428,'Both teabags AfterDry'!$A$3:$A$2000,0)),"")</f>
        <v/>
      </c>
      <c r="U428" s="194" t="str">
        <f t="shared" si="71"/>
        <v/>
      </c>
      <c r="V428" s="194" t="str">
        <f t="shared" si="72"/>
        <v/>
      </c>
      <c r="W428" s="194" t="str">
        <f>IFERROR(INDEX('Ashed teabags dry'!$K$2:$K$2000,MATCH(H428,'Ashed teabags dry'!$A$2:$A$2000,0)),"")</f>
        <v/>
      </c>
      <c r="X428" s="194" t="str">
        <f>IFERROR(INDEX('Ashed teabags dry'!$K$2:$K$2000,MATCH(I428,'Ashed teabags dry'!$A$2:$A$2000,0)),"")</f>
        <v/>
      </c>
      <c r="Y428" s="194" t="str">
        <f t="shared" si="67"/>
        <v/>
      </c>
      <c r="Z428" s="194" t="str">
        <f t="shared" si="67"/>
        <v/>
      </c>
      <c r="AA428" s="194" t="str">
        <f t="shared" si="73"/>
        <v/>
      </c>
      <c r="AB428" s="194" t="str">
        <f t="shared" si="74"/>
        <v/>
      </c>
      <c r="AC428" s="194" t="str">
        <f t="shared" si="68"/>
        <v/>
      </c>
      <c r="AD428">
        <f t="shared" si="75"/>
        <v>69</v>
      </c>
      <c r="AE428" s="194" t="str">
        <f t="shared" si="76"/>
        <v/>
      </c>
      <c r="AF428" s="194" t="str">
        <f t="shared" si="77"/>
        <v/>
      </c>
      <c r="AG428" s="252" t="str">
        <f>IF(ISNUMBER(SEARCH("C", 'Dry_Litterbag Placem_Collection'!$V135)),"YES","NO")</f>
        <v>NO</v>
      </c>
      <c r="AH428" s="252" t="str">
        <f>IF(ISNUMBER(SEARCH("H", 'Dry_Litterbag Placem_Collection'!$V135)),"YES","NO")</f>
        <v>NO</v>
      </c>
      <c r="AI428" s="252" t="str">
        <f>IF(ISNUMBER(SEARCH("R", 'Dry_Litterbag Placem_Collection'!$V135)),"YES","NO")</f>
        <v>NO</v>
      </c>
      <c r="AJ428" s="252" t="str">
        <f>IF(ISNUMBER(SEARCH("C", 'Dry_Litterbag Placem_Collection'!$U135)),"YES","NO")</f>
        <v>NO</v>
      </c>
      <c r="AK428" s="252" t="str">
        <f>IF(ISNUMBER(SEARCH("H", 'Dry_Litterbag Placem_Collection'!$U135)),"YES","NO")</f>
        <v>NO</v>
      </c>
      <c r="AL428" s="252" t="str">
        <f>IF(ISNUMBER(SEARCH("R", 'Dry_Litterbag Placem_Collection'!$U135)),"YES","NO")</f>
        <v>YES</v>
      </c>
    </row>
    <row r="429" spans="2:38">
      <c r="B429" t="str">
        <f>'Final data_for_R_analysis_Dryse'!A575</f>
        <v>Dry</v>
      </c>
      <c r="C429" s="260">
        <f>'Final data_for_R_analysis_Dryse'!B575</f>
        <v>134</v>
      </c>
      <c r="D429" t="s">
        <v>3820</v>
      </c>
      <c r="E429" t="s">
        <v>25</v>
      </c>
      <c r="F429" s="382">
        <v>6</v>
      </c>
      <c r="G429" s="383">
        <f>IF('Dry_Litterbag Placem_Collection'!E136="","",'Dry_Litterbag Placem_Collection'!E136)</f>
        <v>42939</v>
      </c>
      <c r="H429" s="92" t="str">
        <f>'Final data_for_R_analysis_Dryse'!K575</f>
        <v>G40</v>
      </c>
      <c r="I429" t="str">
        <f>'Final data_for_R_analysis_Dryse'!K795</f>
        <v>R649</v>
      </c>
      <c r="J429">
        <f>IFERROR(INDEX('Green_rooibos initial weight'!$C$5:$C$2000,MATCH(H429, 'Green_rooibos initial weight'!$A$5:$A$2000,0)),"")</f>
        <v>2.0369999999999999</v>
      </c>
      <c r="K429">
        <f>IFERROR(INDEX('Green_rooibos initial weight'!$C$5:$C$2000,MATCH(I429, 'Green_rooibos initial weight'!$A$5:$A$2000,0)),"")</f>
        <v>2.161</v>
      </c>
      <c r="L429" s="194">
        <f t="shared" si="69"/>
        <v>1.7871999999999999</v>
      </c>
      <c r="M429" s="237">
        <f>AVERAGE(Ashed_controlls!$K$1:$K$11)</f>
        <v>5.5147656768714146</v>
      </c>
      <c r="N429" s="194">
        <f t="shared" si="65"/>
        <v>1.688640107822954</v>
      </c>
      <c r="O429" s="194">
        <f t="shared" si="70"/>
        <v>1.9112</v>
      </c>
      <c r="P429" s="237">
        <f>AVERAGE(Ashed_controlls!$K$12:$K$14)</f>
        <v>2.2816647271287041</v>
      </c>
      <c r="Q429" s="194">
        <f t="shared" si="66"/>
        <v>1.8675928237351163</v>
      </c>
      <c r="R429" s="383">
        <f>IF('Dry_Litterbag Placem_Collection'!G136="","",'Dry_Litterbag Placem_Collection'!G136)</f>
        <v>43008</v>
      </c>
      <c r="S429" s="194">
        <f>IFERROR(INDEX('Both teabags AfterDry'!$D$3:$D$2000,MATCH(H429,'Both teabags AfterDry'!$A$3:$A$2000,0)),"")</f>
        <v>0.68400000000000005</v>
      </c>
      <c r="T429" s="194">
        <f>IFERROR(INDEX('Both teabags AfterDry'!$D$3:$D$2000,MATCH(I429,'Both teabags AfterDry'!$A$3:$A$2000,0)),"")</f>
        <v>1.7554000000000001</v>
      </c>
      <c r="U429" s="194">
        <f t="shared" si="71"/>
        <v>0.5334000000000001</v>
      </c>
      <c r="V429" s="194">
        <f t="shared" si="72"/>
        <v>1.6048</v>
      </c>
      <c r="W429" s="194">
        <f>IFERROR(INDEX('Ashed teabags dry'!$K$2:$K$2000,MATCH(H429,'Ashed teabags dry'!$A$2:$A$2000,0)),"")</f>
        <v>16.995073891625683</v>
      </c>
      <c r="X429" s="194">
        <f>IFERROR(INDEX('Ashed teabags dry'!$K$2:$K$2000,MATCH(I429,'Ashed teabags dry'!$A$2:$A$2000,0)),"")</f>
        <v>5.5740828966174707</v>
      </c>
      <c r="Y429" s="194">
        <f t="shared" si="67"/>
        <v>0.44274827586206866</v>
      </c>
      <c r="Z429" s="194">
        <f t="shared" si="67"/>
        <v>1.5153471176750828</v>
      </c>
      <c r="AA429" s="194">
        <f t="shared" si="73"/>
        <v>0.73780779349551684</v>
      </c>
      <c r="AB429" s="194">
        <f t="shared" si="74"/>
        <v>0.48369347032010135</v>
      </c>
      <c r="AC429" s="194">
        <f t="shared" si="68"/>
        <v>0.81139052282522961</v>
      </c>
      <c r="AD429">
        <f t="shared" si="75"/>
        <v>69</v>
      </c>
      <c r="AE429" s="194">
        <f t="shared" si="76"/>
        <v>0.1237437131882223</v>
      </c>
      <c r="AF429" s="194">
        <f t="shared" si="77"/>
        <v>7.1621933616757526E-3</v>
      </c>
      <c r="AG429" s="252" t="str">
        <f>IF(ISNUMBER(SEARCH("C", 'Dry_Litterbag Placem_Collection'!$V136)),"YES","NO")</f>
        <v>NO</v>
      </c>
      <c r="AH429" s="252" t="str">
        <f>IF(ISNUMBER(SEARCH("H", 'Dry_Litterbag Placem_Collection'!$V136)),"YES","NO")</f>
        <v>NO</v>
      </c>
      <c r="AI429" s="252" t="str">
        <f>IF(ISNUMBER(SEARCH("R", 'Dry_Litterbag Placem_Collection'!$V136)),"YES","NO")</f>
        <v>YES</v>
      </c>
      <c r="AJ429" s="252" t="str">
        <f>IF(ISNUMBER(SEARCH("C", 'Dry_Litterbag Placem_Collection'!$U136)),"YES","NO")</f>
        <v>NO</v>
      </c>
      <c r="AK429" s="252" t="str">
        <f>IF(ISNUMBER(SEARCH("H", 'Dry_Litterbag Placem_Collection'!$U136)),"YES","NO")</f>
        <v>NO</v>
      </c>
      <c r="AL429" s="252" t="str">
        <f>IF(ISNUMBER(SEARCH("R", 'Dry_Litterbag Placem_Collection'!$U136)),"YES","NO")</f>
        <v>YES</v>
      </c>
    </row>
    <row r="430" spans="2:38">
      <c r="B430" t="str">
        <f>'Final data_for_R_analysis_Dryse'!A576</f>
        <v>Dry</v>
      </c>
      <c r="C430" s="260">
        <f>'Final data_for_R_analysis_Dryse'!B576</f>
        <v>135</v>
      </c>
      <c r="D430" t="s">
        <v>3820</v>
      </c>
      <c r="E430" t="s">
        <v>25</v>
      </c>
      <c r="F430" s="382">
        <v>7</v>
      </c>
      <c r="G430" s="383">
        <f>IF('Dry_Litterbag Placem_Collection'!E137="","",'Dry_Litterbag Placem_Collection'!E137)</f>
        <v>42939</v>
      </c>
      <c r="H430" s="92" t="str">
        <f>'Final data_for_R_analysis_Dryse'!K576</f>
        <v>G517</v>
      </c>
      <c r="I430" t="str">
        <f>'Final data_for_R_analysis_Dryse'!K796</f>
        <v>R223</v>
      </c>
      <c r="J430">
        <f>IFERROR(INDEX('Green_rooibos initial weight'!$C$5:$C$2000,MATCH(H430, 'Green_rooibos initial weight'!$A$5:$A$2000,0)),"")</f>
        <v>2.069</v>
      </c>
      <c r="K430">
        <f>IFERROR(INDEX('Green_rooibos initial weight'!$C$5:$C$2000,MATCH(I430, 'Green_rooibos initial weight'!$A$5:$A$2000,0)),"")</f>
        <v>2.2170000000000001</v>
      </c>
      <c r="L430" s="194">
        <f t="shared" si="69"/>
        <v>1.8191999999999999</v>
      </c>
      <c r="M430" s="237">
        <f>AVERAGE(Ashed_controlls!$K$1:$K$11)</f>
        <v>5.5147656768714146</v>
      </c>
      <c r="N430" s="194">
        <f t="shared" si="65"/>
        <v>1.7188753828063552</v>
      </c>
      <c r="O430" s="194">
        <f t="shared" si="70"/>
        <v>1.9672000000000001</v>
      </c>
      <c r="P430" s="237">
        <f>AVERAGE(Ashed_controlls!$K$12:$K$14)</f>
        <v>2.2816647271287041</v>
      </c>
      <c r="Q430" s="194">
        <f t="shared" si="66"/>
        <v>1.9223150914879241</v>
      </c>
      <c r="R430" s="383">
        <f>IF('Dry_Litterbag Placem_Collection'!G137="","",'Dry_Litterbag Placem_Collection'!G137)</f>
        <v>43008</v>
      </c>
      <c r="S430" s="194">
        <f>IFERROR(INDEX('Both teabags AfterDry'!$D$3:$D$2000,MATCH(H430,'Both teabags AfterDry'!$A$3:$A$2000,0)),"")</f>
        <v>0.7097</v>
      </c>
      <c r="T430" s="194">
        <f>IFERROR(INDEX('Both teabags AfterDry'!$D$3:$D$2000,MATCH(I430,'Both teabags AfterDry'!$A$3:$A$2000,0)),"")</f>
        <v>1.7884</v>
      </c>
      <c r="U430" s="194">
        <f t="shared" si="71"/>
        <v>0.55909999999999993</v>
      </c>
      <c r="V430" s="194">
        <f t="shared" si="72"/>
        <v>1.6377999999999999</v>
      </c>
      <c r="W430" s="194">
        <f>IFERROR(INDEX('Ashed teabags dry'!$K$2:$K$2000,MATCH(H430,'Ashed teabags dry'!$A$2:$A$2000,0)),"")</f>
        <v>18.257464512971215</v>
      </c>
      <c r="X430" s="194">
        <f>IFERROR(INDEX('Ashed teabags dry'!$K$2:$K$2000,MATCH(I430,'Ashed teabags dry'!$A$2:$A$2000,0)),"")</f>
        <v>7.1172784243511256</v>
      </c>
      <c r="Y430" s="194">
        <f t="shared" si="67"/>
        <v>0.45702251590797788</v>
      </c>
      <c r="Z430" s="194">
        <f t="shared" si="67"/>
        <v>1.5212332139659772</v>
      </c>
      <c r="AA430" s="194">
        <f t="shared" si="73"/>
        <v>0.73411538702601509</v>
      </c>
      <c r="AB430" s="194">
        <f t="shared" si="74"/>
        <v>0.48127279529496486</v>
      </c>
      <c r="AC430" s="194">
        <f t="shared" si="68"/>
        <v>0.79135476837384722</v>
      </c>
      <c r="AD430">
        <f t="shared" si="75"/>
        <v>69</v>
      </c>
      <c r="AE430" s="194">
        <f t="shared" si="76"/>
        <v>0.12812899403086087</v>
      </c>
      <c r="AF430" s="194">
        <f t="shared" si="77"/>
        <v>8.2366322203474857E-3</v>
      </c>
      <c r="AG430" s="252" t="str">
        <f>IF(ISNUMBER(SEARCH("C", 'Dry_Litterbag Placem_Collection'!$V137)),"YES","NO")</f>
        <v>NO</v>
      </c>
      <c r="AH430" s="252" t="str">
        <f>IF(ISNUMBER(SEARCH("H", 'Dry_Litterbag Placem_Collection'!$V137)),"YES","NO")</f>
        <v>NO</v>
      </c>
      <c r="AI430" s="252" t="str">
        <f>IF(ISNUMBER(SEARCH("R", 'Dry_Litterbag Placem_Collection'!$V137)),"YES","NO")</f>
        <v>NO</v>
      </c>
      <c r="AJ430" s="252" t="str">
        <f>IF(ISNUMBER(SEARCH("C", 'Dry_Litterbag Placem_Collection'!$U137)),"YES","NO")</f>
        <v>NO</v>
      </c>
      <c r="AK430" s="252" t="str">
        <f>IF(ISNUMBER(SEARCH("H", 'Dry_Litterbag Placem_Collection'!$U137)),"YES","NO")</f>
        <v>NO</v>
      </c>
      <c r="AL430" s="252" t="str">
        <f>IF(ISNUMBER(SEARCH("R", 'Dry_Litterbag Placem_Collection'!$U137)),"YES","NO")</f>
        <v>NO</v>
      </c>
    </row>
    <row r="431" spans="2:38">
      <c r="B431" t="str">
        <f>'Final data_for_R_analysis_Dryse'!A577</f>
        <v>Dry</v>
      </c>
      <c r="C431" s="260">
        <f>'Final data_for_R_analysis_Dryse'!B577</f>
        <v>136</v>
      </c>
      <c r="D431" t="s">
        <v>3820</v>
      </c>
      <c r="E431" t="s">
        <v>25</v>
      </c>
      <c r="F431" s="382">
        <v>8</v>
      </c>
      <c r="G431" s="383">
        <f>IF('Dry_Litterbag Placem_Collection'!E138="","",'Dry_Litterbag Placem_Collection'!E138)</f>
        <v>42939</v>
      </c>
      <c r="H431" s="92" t="str">
        <f>'Final data_for_R_analysis_Dryse'!K577</f>
        <v>G67</v>
      </c>
      <c r="I431" t="str">
        <f>'Final data_for_R_analysis_Dryse'!K797</f>
        <v>R214</v>
      </c>
      <c r="J431">
        <f>IFERROR(INDEX('Green_rooibos initial weight'!$C$5:$C$2000,MATCH(H431, 'Green_rooibos initial weight'!$A$5:$A$2000,0)),"")</f>
        <v>1.984</v>
      </c>
      <c r="K431">
        <f>IFERROR(INDEX('Green_rooibos initial weight'!$C$5:$C$2000,MATCH(I431, 'Green_rooibos initial weight'!$A$5:$A$2000,0)),"")</f>
        <v>2.1960000000000002</v>
      </c>
      <c r="L431" s="194">
        <f t="shared" si="69"/>
        <v>1.7342</v>
      </c>
      <c r="M431" s="237">
        <f>AVERAGE(Ashed_controlls!$K$1:$K$11)</f>
        <v>5.5147656768714146</v>
      </c>
      <c r="N431" s="194">
        <f t="shared" si="65"/>
        <v>1.6385629336316958</v>
      </c>
      <c r="O431" s="194">
        <f t="shared" si="70"/>
        <v>1.9462000000000002</v>
      </c>
      <c r="P431" s="237">
        <f>AVERAGE(Ashed_controlls!$K$12:$K$14)</f>
        <v>2.2816647271287041</v>
      </c>
      <c r="Q431" s="194">
        <f t="shared" si="66"/>
        <v>1.9017942410806212</v>
      </c>
      <c r="R431" s="383">
        <f>IF('Dry_Litterbag Placem_Collection'!G138="","",'Dry_Litterbag Placem_Collection'!G138)</f>
        <v>43008</v>
      </c>
      <c r="S431" s="194">
        <f>IFERROR(INDEX('Both teabags AfterDry'!$D$3:$D$2000,MATCH(H431,'Both teabags AfterDry'!$A$3:$A$2000,0)),"")</f>
        <v>0.77739999999999998</v>
      </c>
      <c r="T431" s="194">
        <f>IFERROR(INDEX('Both teabags AfterDry'!$D$3:$D$2000,MATCH(I431,'Both teabags AfterDry'!$A$3:$A$2000,0)),"")</f>
        <v>1.7265999999999999</v>
      </c>
      <c r="U431" s="194">
        <f t="shared" si="71"/>
        <v>0.62680000000000002</v>
      </c>
      <c r="V431" s="194">
        <f t="shared" si="72"/>
        <v>1.5759999999999998</v>
      </c>
      <c r="W431" s="194">
        <f>IFERROR(INDEX('Ashed teabags dry'!$K$2:$K$2000,MATCH(H431,'Ashed teabags dry'!$A$2:$A$2000,0)),"")</f>
        <v>23.004251299007908</v>
      </c>
      <c r="X431" s="194">
        <f>IFERROR(INDEX('Ashed teabags dry'!$K$2:$K$2000,MATCH(I431,'Ashed teabags dry'!$A$2:$A$2000,0)),"")</f>
        <v>9.4517958412093144</v>
      </c>
      <c r="Y431" s="194">
        <f t="shared" si="67"/>
        <v>0.48260935285781847</v>
      </c>
      <c r="Z431" s="194">
        <f t="shared" si="67"/>
        <v>1.427039697542541</v>
      </c>
      <c r="AA431" s="194">
        <f t="shared" si="73"/>
        <v>0.70546791767822581</v>
      </c>
      <c r="AB431" s="194">
        <f t="shared" si="74"/>
        <v>0.46249203154201984</v>
      </c>
      <c r="AC431" s="194">
        <f t="shared" si="68"/>
        <v>0.7503649273497015</v>
      </c>
      <c r="AD431">
        <f t="shared" si="75"/>
        <v>69</v>
      </c>
      <c r="AE431" s="194">
        <f t="shared" si="76"/>
        <v>0.16215211677170327</v>
      </c>
      <c r="AF431" s="194">
        <f t="shared" si="77"/>
        <v>1.1246506407086737E-2</v>
      </c>
      <c r="AG431" s="252" t="str">
        <f>IF(ISNUMBER(SEARCH("C", 'Dry_Litterbag Placem_Collection'!$V138)),"YES","NO")</f>
        <v>NO</v>
      </c>
      <c r="AH431" s="252" t="str">
        <f>IF(ISNUMBER(SEARCH("H", 'Dry_Litterbag Placem_Collection'!$V138)),"YES","NO")</f>
        <v>NO</v>
      </c>
      <c r="AI431" s="252" t="str">
        <f>IF(ISNUMBER(SEARCH("R", 'Dry_Litterbag Placem_Collection'!$V138)),"YES","NO")</f>
        <v>NO</v>
      </c>
      <c r="AJ431" s="252" t="str">
        <f>IF(ISNUMBER(SEARCH("C", 'Dry_Litterbag Placem_Collection'!$U138)),"YES","NO")</f>
        <v>NO</v>
      </c>
      <c r="AK431" s="252" t="str">
        <f>IF(ISNUMBER(SEARCH("H", 'Dry_Litterbag Placem_Collection'!$U138)),"YES","NO")</f>
        <v>NO</v>
      </c>
      <c r="AL431" s="252" t="str">
        <f>IF(ISNUMBER(SEARCH("R", 'Dry_Litterbag Placem_Collection'!$U138)),"YES","NO")</f>
        <v>YES</v>
      </c>
    </row>
    <row r="432" spans="2:38">
      <c r="B432" t="str">
        <f>'Final data_for_R_analysis_Dryse'!A578</f>
        <v>Dry</v>
      </c>
      <c r="C432" s="260">
        <f>'Final data_for_R_analysis_Dryse'!B578</f>
        <v>137</v>
      </c>
      <c r="D432" t="s">
        <v>3822</v>
      </c>
      <c r="E432" t="s">
        <v>25</v>
      </c>
      <c r="F432" s="381">
        <v>1</v>
      </c>
      <c r="G432" s="383">
        <f>IF('Dry_Litterbag Placem_Collection'!E139="","",'Dry_Litterbag Placem_Collection'!E139)</f>
        <v>42939</v>
      </c>
      <c r="H432" s="92" t="str">
        <f>'Final data_for_R_analysis_Dryse'!K578</f>
        <v>G335</v>
      </c>
      <c r="I432" t="str">
        <f>'Final data_for_R_analysis_Dryse'!K798</f>
        <v>R628</v>
      </c>
      <c r="J432">
        <f>IFERROR(INDEX('Green_rooibos initial weight'!$C$5:$C$2000,MATCH(H432, 'Green_rooibos initial weight'!$A$5:$A$2000,0)),"")</f>
        <v>1.956</v>
      </c>
      <c r="K432">
        <f>IFERROR(INDEX('Green_rooibos initial weight'!$C$5:$C$2000,MATCH(I432, 'Green_rooibos initial weight'!$A$5:$A$2000,0)),"")</f>
        <v>2.0110000000000001</v>
      </c>
      <c r="L432" s="194">
        <f t="shared" si="69"/>
        <v>1.7061999999999999</v>
      </c>
      <c r="M432" s="237">
        <f>AVERAGE(Ashed_controlls!$K$1:$K$11)</f>
        <v>5.5147656768714146</v>
      </c>
      <c r="N432" s="194">
        <f t="shared" si="65"/>
        <v>1.6121070680212199</v>
      </c>
      <c r="O432" s="194">
        <f t="shared" si="70"/>
        <v>1.7612000000000001</v>
      </c>
      <c r="P432" s="237">
        <f>AVERAGE(Ashed_controlls!$K$12:$K$14)</f>
        <v>2.2816647271287041</v>
      </c>
      <c r="Q432" s="194">
        <f t="shared" si="66"/>
        <v>1.7210153208258094</v>
      </c>
      <c r="R432" s="383">
        <f>IF('Dry_Litterbag Placem_Collection'!G139="","",'Dry_Litterbag Placem_Collection'!G139)</f>
        <v>43008</v>
      </c>
      <c r="S432" s="194">
        <f>IFERROR(INDEX('Both teabags AfterDry'!$D$3:$D$2000,MATCH(H432,'Both teabags AfterDry'!$A$3:$A$2000,0)),"")</f>
        <v>0.85829999999999995</v>
      </c>
      <c r="T432" s="194">
        <f>IFERROR(INDEX('Both teabags AfterDry'!$D$3:$D$2000,MATCH(I432,'Both teabags AfterDry'!$A$3:$A$2000,0)),"")</f>
        <v>1.7652000000000001</v>
      </c>
      <c r="U432" s="194">
        <f t="shared" si="71"/>
        <v>0.7077</v>
      </c>
      <c r="V432" s="194">
        <f t="shared" si="72"/>
        <v>1.6146</v>
      </c>
      <c r="W432" s="194">
        <f>IFERROR(INDEX('Ashed teabags dry'!$K$2:$K$2000,MATCH(H432,'Ashed teabags dry'!$A$2:$A$2000,0)),"")</f>
        <v>28.521997034107514</v>
      </c>
      <c r="X432" s="194">
        <f>IFERROR(INDEX('Ashed teabags dry'!$K$2:$K$2000,MATCH(I432,'Ashed teabags dry'!$A$2:$A$2000,0)),"")</f>
        <v>9.0322580645165651</v>
      </c>
      <c r="Y432" s="194">
        <f t="shared" si="67"/>
        <v>0.50584982698962111</v>
      </c>
      <c r="Z432" s="194">
        <f t="shared" si="67"/>
        <v>1.4687651612903156</v>
      </c>
      <c r="AA432" s="194">
        <f t="shared" si="73"/>
        <v>0.68621821898558744</v>
      </c>
      <c r="AB432" s="194">
        <f t="shared" si="74"/>
        <v>0.44987227657962509</v>
      </c>
      <c r="AC432" s="194">
        <f t="shared" si="68"/>
        <v>0.85342945150862781</v>
      </c>
      <c r="AD432">
        <f t="shared" si="75"/>
        <v>69</v>
      </c>
      <c r="AE432" s="194">
        <f t="shared" si="76"/>
        <v>0.1850139917035778</v>
      </c>
      <c r="AF432" s="194">
        <f t="shared" si="77"/>
        <v>5.7135594254398006E-3</v>
      </c>
      <c r="AG432" s="252" t="str">
        <f>IF(ISNUMBER(SEARCH("C", 'Dry_Litterbag Placem_Collection'!$V139)),"YES","NO")</f>
        <v>NO</v>
      </c>
      <c r="AH432" s="252" t="str">
        <f>IF(ISNUMBER(SEARCH("H", 'Dry_Litterbag Placem_Collection'!$V139)),"YES","NO")</f>
        <v>NO</v>
      </c>
      <c r="AI432" s="252" t="str">
        <f>IF(ISNUMBER(SEARCH("R", 'Dry_Litterbag Placem_Collection'!$V139)),"YES","NO")</f>
        <v>NO</v>
      </c>
      <c r="AJ432" s="252" t="str">
        <f>IF(ISNUMBER(SEARCH("C", 'Dry_Litterbag Placem_Collection'!$U139)),"YES","NO")</f>
        <v>NO</v>
      </c>
      <c r="AK432" s="252" t="str">
        <f>IF(ISNUMBER(SEARCH("H", 'Dry_Litterbag Placem_Collection'!$U139)),"YES","NO")</f>
        <v>NO</v>
      </c>
      <c r="AL432" s="252" t="str">
        <f>IF(ISNUMBER(SEARCH("R", 'Dry_Litterbag Placem_Collection'!$U139)),"YES","NO")</f>
        <v>NO</v>
      </c>
    </row>
    <row r="433" spans="2:38">
      <c r="B433" t="str">
        <f>'Final data_for_R_analysis_Dryse'!A579</f>
        <v>Dry</v>
      </c>
      <c r="C433" s="260">
        <f>'Final data_for_R_analysis_Dryse'!B579</f>
        <v>138</v>
      </c>
      <c r="D433" t="s">
        <v>3822</v>
      </c>
      <c r="E433" t="s">
        <v>25</v>
      </c>
      <c r="F433" s="381">
        <v>2</v>
      </c>
      <c r="G433" s="383">
        <f>IF('Dry_Litterbag Placem_Collection'!E140="","",'Dry_Litterbag Placem_Collection'!E140)</f>
        <v>42939</v>
      </c>
      <c r="H433" s="92" t="str">
        <f>'Final data_for_R_analysis_Dryse'!K579</f>
        <v>G484</v>
      </c>
      <c r="I433" t="str">
        <f>'Final data_for_R_analysis_Dryse'!K799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69"/>
        <v>1.7511999999999999</v>
      </c>
      <c r="M433" s="237">
        <f>AVERAGE(Ashed_controlls!$K$1:$K$11)</f>
        <v>5.5147656768714146</v>
      </c>
      <c r="N433" s="194">
        <f t="shared" si="65"/>
        <v>1.6546254234666278</v>
      </c>
      <c r="O433" s="194">
        <f t="shared" si="70"/>
        <v>1.9472</v>
      </c>
      <c r="P433" s="237">
        <f>AVERAGE(Ashed_controlls!$K$12:$K$14)</f>
        <v>2.2816647271287041</v>
      </c>
      <c r="Q433" s="194">
        <f t="shared" si="66"/>
        <v>1.90277142443335</v>
      </c>
      <c r="R433" s="383">
        <f>IF('Dry_Litterbag Placem_Collection'!G140="","",'Dry_Litterbag Placem_Collection'!G140)</f>
        <v>43008</v>
      </c>
      <c r="S433" s="194">
        <f>IFERROR(INDEX('Both teabags AfterDry'!$D$3:$D$2000,MATCH(H433,'Both teabags AfterDry'!$A$3:$A$2000,0)),"")</f>
        <v>0.66439999999999999</v>
      </c>
      <c r="T433" s="194">
        <f>IFERROR(INDEX('Both teabags AfterDry'!$D$3:$D$2000,MATCH(I433,'Both teabags AfterDry'!$A$3:$A$2000,0)),"")</f>
        <v>1.7765</v>
      </c>
      <c r="U433" s="194">
        <f t="shared" si="71"/>
        <v>0.51380000000000003</v>
      </c>
      <c r="V433" s="194">
        <f t="shared" si="72"/>
        <v>1.6258999999999999</v>
      </c>
      <c r="W433" s="194">
        <f>IFERROR(INDEX('Ashed teabags dry'!$K$2:$K$2000,MATCH(H433,'Ashed teabags dry'!$A$2:$A$2000,0)),"")</f>
        <v>17.053529133112047</v>
      </c>
      <c r="X433" s="194">
        <f>IFERROR(INDEX('Ashed teabags dry'!$K$2:$K$2000,MATCH(I433,'Ashed teabags dry'!$A$2:$A$2000,0)),"")</f>
        <v>5.3694581280797298</v>
      </c>
      <c r="Y433" s="194">
        <f t="shared" si="67"/>
        <v>0.42617896731407034</v>
      </c>
      <c r="Z433" s="194">
        <f t="shared" si="67"/>
        <v>1.5385979802955516</v>
      </c>
      <c r="AA433" s="194">
        <f t="shared" si="73"/>
        <v>0.74243175448061405</v>
      </c>
      <c r="AB433" s="194">
        <f t="shared" si="74"/>
        <v>0.4867248556690012</v>
      </c>
      <c r="AC433" s="194">
        <f t="shared" si="68"/>
        <v>0.80860893775181109</v>
      </c>
      <c r="AD433">
        <f t="shared" si="75"/>
        <v>69</v>
      </c>
      <c r="AE433" s="194">
        <f t="shared" si="76"/>
        <v>0.11825207306340368</v>
      </c>
      <c r="AF433" s="194">
        <f t="shared" si="77"/>
        <v>7.2404748628389802E-3</v>
      </c>
      <c r="AG433" s="252" t="str">
        <f>IF(ISNUMBER(SEARCH("C", 'Dry_Litterbag Placem_Collection'!$V140)),"YES","NO")</f>
        <v>NO</v>
      </c>
      <c r="AH433" s="252" t="str">
        <f>IF(ISNUMBER(SEARCH("H", 'Dry_Litterbag Placem_Collection'!$V140)),"YES","NO")</f>
        <v>NO</v>
      </c>
      <c r="AI433" s="252" t="str">
        <f>IF(ISNUMBER(SEARCH("R", 'Dry_Litterbag Placem_Collection'!$V140)),"YES","NO")</f>
        <v>NO</v>
      </c>
      <c r="AJ433" s="252" t="str">
        <f>IF(ISNUMBER(SEARCH("C", 'Dry_Litterbag Placem_Collection'!$U140)),"YES","NO")</f>
        <v>NO</v>
      </c>
      <c r="AK433" s="252" t="str">
        <f>IF(ISNUMBER(SEARCH("H", 'Dry_Litterbag Placem_Collection'!$U140)),"YES","NO")</f>
        <v>NO</v>
      </c>
      <c r="AL433" s="252" t="str">
        <f>IF(ISNUMBER(SEARCH("R", 'Dry_Litterbag Placem_Collection'!$U140)),"YES","NO")</f>
        <v>NO</v>
      </c>
    </row>
    <row r="434" spans="2:38">
      <c r="B434" t="str">
        <f>'Final data_for_R_analysis_Dryse'!A580</f>
        <v>Dry</v>
      </c>
      <c r="C434" s="260">
        <f>'Final data_for_R_analysis_Dryse'!B580</f>
        <v>139</v>
      </c>
      <c r="D434" t="s">
        <v>3822</v>
      </c>
      <c r="E434" t="s">
        <v>25</v>
      </c>
      <c r="F434" s="381">
        <v>3</v>
      </c>
      <c r="G434" s="383">
        <f>IF('Dry_Litterbag Placem_Collection'!E141="","",'Dry_Litterbag Placem_Collection'!E141)</f>
        <v>42939</v>
      </c>
      <c r="H434" s="92" t="str">
        <f>'Final data_for_R_analysis_Dryse'!K580</f>
        <v>G868</v>
      </c>
      <c r="I434" t="str">
        <f>'Final data_for_R_analysis_Dryse'!K800</f>
        <v>R706</v>
      </c>
      <c r="J434">
        <f>IFERROR(INDEX('Green_rooibos initial weight'!$C$5:$C$2000,MATCH(H434, 'Green_rooibos initial weight'!$A$5:$A$2000,0)),"")</f>
        <v>1.95</v>
      </c>
      <c r="K434">
        <f>IFERROR(INDEX('Green_rooibos initial weight'!$C$5:$C$2000,MATCH(I434, 'Green_rooibos initial weight'!$A$5:$A$2000,0)),"")</f>
        <v>2.1480000000000001</v>
      </c>
      <c r="L434" s="194">
        <f t="shared" si="69"/>
        <v>1.7001999999999999</v>
      </c>
      <c r="M434" s="237">
        <f>AVERAGE(Ashed_controlls!$K$1:$K$11)</f>
        <v>5.5147656768714146</v>
      </c>
      <c r="N434" s="194">
        <f t="shared" si="65"/>
        <v>1.6064379539618321</v>
      </c>
      <c r="O434" s="194">
        <f t="shared" si="70"/>
        <v>1.8982000000000001</v>
      </c>
      <c r="P434" s="237">
        <f>AVERAGE(Ashed_controlls!$K$12:$K$14)</f>
        <v>2.2816647271287041</v>
      </c>
      <c r="Q434" s="194">
        <f t="shared" si="66"/>
        <v>1.854889440149643</v>
      </c>
      <c r="R434" s="383">
        <f>IF('Dry_Litterbag Placem_Collection'!G141="","",'Dry_Litterbag Placem_Collection'!G141)</f>
        <v>43008</v>
      </c>
      <c r="S434" s="194">
        <f>IFERROR(INDEX('Both teabags AfterDry'!$D$3:$D$2000,MATCH(H434,'Both teabags AfterDry'!$A$3:$A$2000,0)),"")</f>
        <v>0.71699999999999997</v>
      </c>
      <c r="T434" s="194">
        <f>IFERROR(INDEX('Both teabags AfterDry'!$D$3:$D$2000,MATCH(I434,'Both teabags AfterDry'!$A$3:$A$2000,0)),"")</f>
        <v>1.5846</v>
      </c>
      <c r="U434" s="194">
        <f t="shared" si="71"/>
        <v>0.56640000000000001</v>
      </c>
      <c r="V434" s="194">
        <f t="shared" si="72"/>
        <v>1.4339999999999999</v>
      </c>
      <c r="W434" s="194">
        <f>IFERROR(INDEX('Ashed teabags dry'!$K$2:$K$2000,MATCH(H434,'Ashed teabags dry'!$A$2:$A$2000,0)),"")</f>
        <v>21.365853658537009</v>
      </c>
      <c r="X434" s="194">
        <f>IFERROR(INDEX('Ashed teabags dry'!$K$2:$K$2000,MATCH(I434,'Ashed teabags dry'!$A$2:$A$2000,0)),"")</f>
        <v>7.9318734793180647</v>
      </c>
      <c r="Y434" s="194">
        <f t="shared" si="67"/>
        <v>0.44538380487804641</v>
      </c>
      <c r="Z434" s="194">
        <f t="shared" si="67"/>
        <v>1.3202569343065789</v>
      </c>
      <c r="AA434" s="194">
        <f t="shared" si="73"/>
        <v>0.72275069586121821</v>
      </c>
      <c r="AB434" s="194">
        <f t="shared" si="74"/>
        <v>0.47382230892564431</v>
      </c>
      <c r="AC434" s="194">
        <f t="shared" si="68"/>
        <v>0.71177122783127567</v>
      </c>
      <c r="AD434">
        <f t="shared" si="75"/>
        <v>69</v>
      </c>
      <c r="AE434" s="194">
        <f t="shared" si="76"/>
        <v>0.14162625194629663</v>
      </c>
      <c r="AF434" s="194">
        <f t="shared" si="77"/>
        <v>1.3583672166515263E-2</v>
      </c>
      <c r="AG434" s="252" t="str">
        <f>IF(ISNUMBER(SEARCH("C", 'Dry_Litterbag Placem_Collection'!$V141)),"YES","NO")</f>
        <v>NO</v>
      </c>
      <c r="AH434" s="252" t="str">
        <f>IF(ISNUMBER(SEARCH("H", 'Dry_Litterbag Placem_Collection'!$V141)),"YES","NO")</f>
        <v>NO</v>
      </c>
      <c r="AI434" s="252" t="str">
        <f>IF(ISNUMBER(SEARCH("R", 'Dry_Litterbag Placem_Collection'!$V141)),"YES","NO")</f>
        <v>NO</v>
      </c>
      <c r="AJ434" s="252" t="str">
        <f>IF(ISNUMBER(SEARCH("C", 'Dry_Litterbag Placem_Collection'!$U141)),"YES","NO")</f>
        <v>NO</v>
      </c>
      <c r="AK434" s="252" t="str">
        <f>IF(ISNUMBER(SEARCH("H", 'Dry_Litterbag Placem_Collection'!$U141)),"YES","NO")</f>
        <v>NO</v>
      </c>
      <c r="AL434" s="252" t="str">
        <f>IF(ISNUMBER(SEARCH("R", 'Dry_Litterbag Placem_Collection'!$U141)),"YES","NO")</f>
        <v>NO</v>
      </c>
    </row>
    <row r="435" spans="2:38">
      <c r="B435" t="str">
        <f>'Final data_for_R_analysis_Dryse'!A581</f>
        <v>Dry</v>
      </c>
      <c r="C435" s="260">
        <f>'Final data_for_R_analysis_Dryse'!B581</f>
        <v>140</v>
      </c>
      <c r="D435" t="s">
        <v>3822</v>
      </c>
      <c r="E435" t="s">
        <v>25</v>
      </c>
      <c r="F435" s="382">
        <v>4</v>
      </c>
      <c r="G435" s="383">
        <f>IF('Dry_Litterbag Placem_Collection'!E142="","",'Dry_Litterbag Placem_Collection'!E142)</f>
        <v>42939</v>
      </c>
      <c r="H435" s="92" t="str">
        <f>'Final data_for_R_analysis_Dryse'!K581</f>
        <v>G792</v>
      </c>
      <c r="I435" t="str">
        <f>'Final data_for_R_analysis_Dryse'!K801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69"/>
        <v>1.8052000000000001</v>
      </c>
      <c r="M435" s="237">
        <f>AVERAGE(Ashed_controlls!$K$1:$K$11)</f>
        <v>5.5147656768714146</v>
      </c>
      <c r="N435" s="194">
        <f t="shared" si="65"/>
        <v>1.7056474500011174</v>
      </c>
      <c r="O435" s="194">
        <f t="shared" si="70"/>
        <v>1.8572000000000002</v>
      </c>
      <c r="P435" s="237">
        <f>AVERAGE(Ashed_controlls!$K$12:$K$14)</f>
        <v>2.2816647271287041</v>
      </c>
      <c r="Q435" s="194">
        <f t="shared" si="66"/>
        <v>1.814824922687766</v>
      </c>
      <c r="R435" s="383">
        <f>IF('Dry_Litterbag Placem_Collection'!G142="","",'Dry_Litterbag Placem_Collection'!G142)</f>
        <v>43008</v>
      </c>
      <c r="S435" s="194">
        <f>IFERROR(INDEX('Both teabags AfterDry'!$D$3:$D$2000,MATCH(H435,'Both teabags AfterDry'!$A$3:$A$2000,0)),"")</f>
        <v>0.87409999999999999</v>
      </c>
      <c r="T435" s="194">
        <f>IFERROR(INDEX('Both teabags AfterDry'!$D$3:$D$2000,MATCH(I435,'Both teabags AfterDry'!$A$3:$A$2000,0)),"")</f>
        <v>1.7403999999999999</v>
      </c>
      <c r="U435" s="194">
        <f t="shared" si="71"/>
        <v>0.72350000000000003</v>
      </c>
      <c r="V435" s="194">
        <f t="shared" si="72"/>
        <v>1.5897999999999999</v>
      </c>
      <c r="W435" s="194">
        <f>IFERROR(INDEX('Ashed teabags dry'!$K$2:$K$2000,MATCH(H435,'Ashed teabags dry'!$A$2:$A$2000,0)),"")</f>
        <v>15.89673913043449</v>
      </c>
      <c r="X435" s="194">
        <f>IFERROR(INDEX('Ashed teabags dry'!$K$2:$K$2000,MATCH(I435,'Ashed teabags dry'!$A$2:$A$2000,0)),"")</f>
        <v>14.236453201970816</v>
      </c>
      <c r="Y435" s="194">
        <f t="shared" si="67"/>
        <v>0.60848709239130649</v>
      </c>
      <c r="Z435" s="194">
        <f t="shared" si="67"/>
        <v>1.3634688669950679</v>
      </c>
      <c r="AA435" s="194">
        <f t="shared" si="73"/>
        <v>0.64325154510042037</v>
      </c>
      <c r="AB435" s="194">
        <f t="shared" si="74"/>
        <v>0.42170410082592885</v>
      </c>
      <c r="AC435" s="194">
        <f t="shared" si="68"/>
        <v>0.75129498716369991</v>
      </c>
      <c r="AD435">
        <f t="shared" si="75"/>
        <v>69</v>
      </c>
      <c r="AE435" s="194">
        <f t="shared" si="76"/>
        <v>0.23604329560520143</v>
      </c>
      <c r="AF435" s="194">
        <f t="shared" si="77"/>
        <v>1.2913298006778913E-2</v>
      </c>
      <c r="AG435" s="252" t="str">
        <f>IF(ISNUMBER(SEARCH("C", 'Dry_Litterbag Placem_Collection'!$V142)),"YES","NO")</f>
        <v>NO</v>
      </c>
      <c r="AH435" s="252" t="str">
        <f>IF(ISNUMBER(SEARCH("H", 'Dry_Litterbag Placem_Collection'!$V142)),"YES","NO")</f>
        <v>NO</v>
      </c>
      <c r="AI435" s="252" t="str">
        <f>IF(ISNUMBER(SEARCH("R", 'Dry_Litterbag Placem_Collection'!$V142)),"YES","NO")</f>
        <v>NO</v>
      </c>
      <c r="AJ435" s="252" t="str">
        <f>IF(ISNUMBER(SEARCH("C", 'Dry_Litterbag Placem_Collection'!$U142)),"YES","NO")</f>
        <v>NO</v>
      </c>
      <c r="AK435" s="252" t="str">
        <f>IF(ISNUMBER(SEARCH("H", 'Dry_Litterbag Placem_Collection'!$U142)),"YES","NO")</f>
        <v>NO</v>
      </c>
      <c r="AL435" s="252" t="str">
        <f>IF(ISNUMBER(SEARCH("R", 'Dry_Litterbag Placem_Collection'!$U142)),"YES","NO")</f>
        <v>NO</v>
      </c>
    </row>
    <row r="436" spans="2:38">
      <c r="B436" t="str">
        <f>'Final data_for_R_analysis_Dryse'!A582</f>
        <v>Dry</v>
      </c>
      <c r="C436" s="260">
        <f>'Final data_for_R_analysis_Dryse'!B582</f>
        <v>141</v>
      </c>
      <c r="D436" t="s">
        <v>3822</v>
      </c>
      <c r="E436" t="s">
        <v>25</v>
      </c>
      <c r="F436" s="382">
        <v>5</v>
      </c>
      <c r="G436" s="383" t="str">
        <f>IF('Dry_Litterbag Placem_Collection'!E143="","",'Dry_Litterbag Placem_Collection'!E143)</f>
        <v/>
      </c>
      <c r="H436" s="92" t="str">
        <f>'Final data_for_R_analysis_Dryse'!K582</f>
        <v/>
      </c>
      <c r="I436" t="str">
        <f>'Final data_for_R_analysis_Dryse'!K802</f>
        <v/>
      </c>
      <c r="J436" t="str">
        <f>IFERROR(INDEX('Green_rooibos initial weight'!$C$5:$C$2000,MATCH(H436, 'Green_rooibos initial weight'!$A$5:$A$2000,0)),"")</f>
        <v/>
      </c>
      <c r="K436" t="str">
        <f>IFERROR(INDEX('Green_rooibos initial weight'!$C$5:$C$2000,MATCH(I436, 'Green_rooibos initial weight'!$A$5:$A$2000,0)),"")</f>
        <v/>
      </c>
      <c r="L436" s="194" t="str">
        <f t="shared" si="69"/>
        <v/>
      </c>
      <c r="M436" s="237">
        <f>AVERAGE(Ashed_controlls!$K$1:$K$11)</f>
        <v>5.5147656768714146</v>
      </c>
      <c r="N436" s="194" t="str">
        <f t="shared" si="65"/>
        <v/>
      </c>
      <c r="O436" s="194" t="str">
        <f t="shared" si="70"/>
        <v/>
      </c>
      <c r="P436" s="237">
        <f>AVERAGE(Ashed_controlls!$K$12:$K$14)</f>
        <v>2.2816647271287041</v>
      </c>
      <c r="Q436" s="194" t="str">
        <f t="shared" si="66"/>
        <v/>
      </c>
      <c r="R436" s="383" t="str">
        <f>IF('Dry_Litterbag Placem_Collection'!G143="","",'Dry_Litterbag Placem_Collection'!G143)</f>
        <v/>
      </c>
      <c r="S436" s="194" t="str">
        <f>IFERROR(INDEX('Both teabags AfterDry'!$D$3:$D$2000,MATCH(H436,'Both teabags AfterDry'!$A$3:$A$2000,0)),"")</f>
        <v/>
      </c>
      <c r="T436" s="194" t="str">
        <f>IFERROR(INDEX('Both teabags AfterDry'!$D$3:$D$2000,MATCH(I436,'Both teabags AfterDry'!$A$3:$A$2000,0)),"")</f>
        <v/>
      </c>
      <c r="U436" s="194" t="str">
        <f t="shared" si="71"/>
        <v/>
      </c>
      <c r="V436" s="194" t="str">
        <f t="shared" si="72"/>
        <v/>
      </c>
      <c r="W436" s="194" t="str">
        <f>IFERROR(INDEX('Ashed teabags dry'!$K$2:$K$2000,MATCH(H436,'Ashed teabags dry'!$A$2:$A$2000,0)),"")</f>
        <v/>
      </c>
      <c r="X436" s="194" t="str">
        <f>IFERROR(INDEX('Ashed teabags dry'!$K$2:$K$2000,MATCH(I436,'Ashed teabags dry'!$A$2:$A$2000,0)),"")</f>
        <v/>
      </c>
      <c r="Y436" s="194" t="str">
        <f t="shared" si="67"/>
        <v/>
      </c>
      <c r="Z436" s="194" t="str">
        <f t="shared" si="67"/>
        <v/>
      </c>
      <c r="AA436" s="194" t="str">
        <f t="shared" si="73"/>
        <v/>
      </c>
      <c r="AB436" s="194" t="str">
        <f t="shared" si="74"/>
        <v/>
      </c>
      <c r="AC436" s="194" t="str">
        <f t="shared" si="68"/>
        <v/>
      </c>
      <c r="AD436" t="str">
        <f t="shared" si="75"/>
        <v/>
      </c>
      <c r="AE436" s="194" t="str">
        <f t="shared" si="76"/>
        <v/>
      </c>
      <c r="AF436" s="194" t="str">
        <f t="shared" si="77"/>
        <v/>
      </c>
      <c r="AG436" s="252" t="str">
        <f>IF(ISNUMBER(SEARCH("C", 'Dry_Litterbag Placem_Collection'!$V143)),"YES","NO")</f>
        <v>NO</v>
      </c>
      <c r="AH436" s="252" t="str">
        <f>IF(ISNUMBER(SEARCH("H", 'Dry_Litterbag Placem_Collection'!$V143)),"YES","NO")</f>
        <v>NO</v>
      </c>
      <c r="AI436" s="252" t="str">
        <f>IF(ISNUMBER(SEARCH("R", 'Dry_Litterbag Placem_Collection'!$V143)),"YES","NO")</f>
        <v>NO</v>
      </c>
      <c r="AJ436" s="252" t="str">
        <f>IF(ISNUMBER(SEARCH("C", 'Dry_Litterbag Placem_Collection'!$U143)),"YES","NO")</f>
        <v>NO</v>
      </c>
      <c r="AK436" s="252" t="str">
        <f>IF(ISNUMBER(SEARCH("H", 'Dry_Litterbag Placem_Collection'!$U143)),"YES","NO")</f>
        <v>NO</v>
      </c>
      <c r="AL436" s="252" t="str">
        <f>IF(ISNUMBER(SEARCH("R", 'Dry_Litterbag Placem_Collection'!$U143)),"YES","NO")</f>
        <v>NO</v>
      </c>
    </row>
    <row r="437" spans="2:38">
      <c r="B437" t="str">
        <f>'Final data_for_R_analysis_Dryse'!A583</f>
        <v>Dry</v>
      </c>
      <c r="C437" s="260">
        <f>'Final data_for_R_analysis_Dryse'!B583</f>
        <v>142</v>
      </c>
      <c r="D437" t="s">
        <v>3822</v>
      </c>
      <c r="E437" t="s">
        <v>25</v>
      </c>
      <c r="F437" s="382">
        <v>6</v>
      </c>
      <c r="G437" s="383">
        <f>IF('Dry_Litterbag Placem_Collection'!E144="","",'Dry_Litterbag Placem_Collection'!E144)</f>
        <v>42939</v>
      </c>
      <c r="H437" s="92" t="str">
        <f>'Final data_for_R_analysis_Dryse'!K583</f>
        <v>G711</v>
      </c>
      <c r="I437" t="str">
        <f>'Final data_for_R_analysis_Dryse'!K803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69"/>
        <v>1.8572000000000002</v>
      </c>
      <c r="M437" s="237">
        <f>AVERAGE(Ashed_controlls!$K$1:$K$11)</f>
        <v>5.5147656768714146</v>
      </c>
      <c r="N437" s="194">
        <f t="shared" si="65"/>
        <v>1.7547797718491442</v>
      </c>
      <c r="O437" s="194">
        <f t="shared" si="70"/>
        <v>1.8201999999999998</v>
      </c>
      <c r="P437" s="237">
        <f>AVERAGE(Ashed_controlls!$K$12:$K$14)</f>
        <v>2.2816647271287041</v>
      </c>
      <c r="Q437" s="194">
        <f t="shared" si="66"/>
        <v>1.7786691386368032</v>
      </c>
      <c r="R437" s="383">
        <f>IF('Dry_Litterbag Placem_Collection'!G144="","",'Dry_Litterbag Placem_Collection'!G144)</f>
        <v>43008</v>
      </c>
      <c r="S437" s="194" t="str">
        <f>IFERROR(INDEX('Both teabags AfterDry'!$D$3:$D$2000,MATCH(H437,'Both teabags AfterDry'!$A$3:$A$2000,0)),"")</f>
        <v/>
      </c>
      <c r="T437" s="194" t="str">
        <f>IFERROR(INDEX('Both teabags AfterDry'!$D$3:$D$2000,MATCH(I437,'Both teabags AfterDry'!$A$3:$A$2000,0)),"")</f>
        <v/>
      </c>
      <c r="U437" s="194" t="str">
        <f t="shared" si="71"/>
        <v/>
      </c>
      <c r="V437" s="194" t="str">
        <f t="shared" si="72"/>
        <v/>
      </c>
      <c r="W437" s="194" t="str">
        <f>IFERROR(INDEX('Ashed teabags dry'!$K$2:$K$2000,MATCH(H437,'Ashed teabags dry'!$A$2:$A$2000,0)),"")</f>
        <v/>
      </c>
      <c r="X437" s="194" t="str">
        <f>IFERROR(INDEX('Ashed teabags dry'!$K$2:$K$2000,MATCH(I437,'Ashed teabags dry'!$A$2:$A$2000,0)),"")</f>
        <v/>
      </c>
      <c r="Y437" s="194" t="str">
        <f t="shared" si="67"/>
        <v/>
      </c>
      <c r="Z437" s="194" t="str">
        <f t="shared" si="67"/>
        <v/>
      </c>
      <c r="AA437" s="194" t="str">
        <f t="shared" si="73"/>
        <v/>
      </c>
      <c r="AB437" s="194" t="str">
        <f t="shared" si="74"/>
        <v/>
      </c>
      <c r="AC437" s="194" t="str">
        <f t="shared" si="68"/>
        <v/>
      </c>
      <c r="AD437">
        <f t="shared" si="75"/>
        <v>69</v>
      </c>
      <c r="AE437" s="194" t="str">
        <f t="shared" si="76"/>
        <v/>
      </c>
      <c r="AF437" s="194" t="str">
        <f t="shared" si="77"/>
        <v/>
      </c>
      <c r="AG437" s="252" t="str">
        <f>IF(ISNUMBER(SEARCH("C", 'Dry_Litterbag Placem_Collection'!$V144)),"YES","NO")</f>
        <v>NO</v>
      </c>
      <c r="AH437" s="252" t="str">
        <f>IF(ISNUMBER(SEARCH("H", 'Dry_Litterbag Placem_Collection'!$V144)),"YES","NO")</f>
        <v>NO</v>
      </c>
      <c r="AI437" s="252" t="str">
        <f>IF(ISNUMBER(SEARCH("R", 'Dry_Litterbag Placem_Collection'!$V144)),"YES","NO")</f>
        <v>NO</v>
      </c>
      <c r="AJ437" s="252" t="str">
        <f>IF(ISNUMBER(SEARCH("C", 'Dry_Litterbag Placem_Collection'!$U144)),"YES","NO")</f>
        <v>NO</v>
      </c>
      <c r="AK437" s="252" t="str">
        <f>IF(ISNUMBER(SEARCH("H", 'Dry_Litterbag Placem_Collection'!$U144)),"YES","NO")</f>
        <v>NO</v>
      </c>
      <c r="AL437" s="252" t="str">
        <f>IF(ISNUMBER(SEARCH("R", 'Dry_Litterbag Placem_Collection'!$U144)),"YES","NO")</f>
        <v>YES</v>
      </c>
    </row>
    <row r="438" spans="2:38">
      <c r="B438" t="str">
        <f>'Final data_for_R_analysis_Dryse'!A584</f>
        <v>Dry</v>
      </c>
      <c r="C438" s="260">
        <f>'Final data_for_R_analysis_Dryse'!B584</f>
        <v>143</v>
      </c>
      <c r="D438" t="s">
        <v>3822</v>
      </c>
      <c r="E438" t="s">
        <v>25</v>
      </c>
      <c r="F438" s="382">
        <v>7</v>
      </c>
      <c r="G438" s="383">
        <f>IF('Dry_Litterbag Placem_Collection'!E145="","",'Dry_Litterbag Placem_Collection'!E145)</f>
        <v>42939</v>
      </c>
      <c r="H438" s="92" t="str">
        <f>'Final data_for_R_analysis_Dryse'!K584</f>
        <v>G205</v>
      </c>
      <c r="I438" t="str">
        <f>'Final data_for_R_analysis_Dryse'!K804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69"/>
        <v>1.8742000000000001</v>
      </c>
      <c r="M438" s="237">
        <f>AVERAGE(Ashed_controlls!$K$1:$K$11)</f>
        <v>5.5147656768714146</v>
      </c>
      <c r="N438" s="194">
        <f t="shared" si="65"/>
        <v>1.770842261684076</v>
      </c>
      <c r="O438" s="194">
        <f t="shared" si="70"/>
        <v>1.9142000000000001</v>
      </c>
      <c r="P438" s="237">
        <f>AVERAGE(Ashed_controlls!$K$12:$K$14)</f>
        <v>2.2816647271287041</v>
      </c>
      <c r="Q438" s="194">
        <f t="shared" si="66"/>
        <v>1.8705243737933024</v>
      </c>
      <c r="R438" s="383">
        <f>IF('Dry_Litterbag Placem_Collection'!G145="","",'Dry_Litterbag Placem_Collection'!G145)</f>
        <v>43008</v>
      </c>
      <c r="S438" s="194">
        <f>IFERROR(INDEX('Both teabags AfterDry'!$D$3:$D$2000,MATCH(H438,'Both teabags AfterDry'!$A$3:$A$2000,0)),"")</f>
        <v>0.82040000000000002</v>
      </c>
      <c r="T438" s="194">
        <f>IFERROR(INDEX('Both teabags AfterDry'!$D$3:$D$2000,MATCH(I438,'Both teabags AfterDry'!$A$3:$A$2000,0)),"")</f>
        <v>1.6592</v>
      </c>
      <c r="U438" s="194">
        <f t="shared" si="71"/>
        <v>0.66979999999999995</v>
      </c>
      <c r="V438" s="194">
        <f t="shared" si="72"/>
        <v>1.5085999999999999</v>
      </c>
      <c r="W438" s="194">
        <f>IFERROR(INDEX('Ashed teabags dry'!$K$2:$K$2000,MATCH(H438,'Ashed teabags dry'!$A$2:$A$2000,0)),"")</f>
        <v>18.392504930966592</v>
      </c>
      <c r="X438" s="194">
        <f>IFERROR(INDEX('Ashed teabags dry'!$K$2:$K$2000,MATCH(I438,'Ashed teabags dry'!$A$2:$A$2000,0)),"")</f>
        <v>10.110294117647566</v>
      </c>
      <c r="Y438" s="194">
        <f t="shared" si="67"/>
        <v>0.54660700197238576</v>
      </c>
      <c r="Z438" s="194">
        <f t="shared" si="67"/>
        <v>1.3560761029411688</v>
      </c>
      <c r="AA438" s="194">
        <f t="shared" si="73"/>
        <v>0.69132936693494029</v>
      </c>
      <c r="AB438" s="194">
        <f t="shared" si="74"/>
        <v>0.45322305290746684</v>
      </c>
      <c r="AC438" s="194">
        <f t="shared" si="68"/>
        <v>0.72497109470492183</v>
      </c>
      <c r="AD438">
        <f t="shared" si="75"/>
        <v>69</v>
      </c>
      <c r="AE438" s="194">
        <f t="shared" si="76"/>
        <v>0.17894374473285002</v>
      </c>
      <c r="AF438" s="194">
        <f t="shared" si="77"/>
        <v>1.3529140898648108E-2</v>
      </c>
      <c r="AG438" s="252" t="str">
        <f>IF(ISNUMBER(SEARCH("C", 'Dry_Litterbag Placem_Collection'!$V145)),"YES","NO")</f>
        <v>NO</v>
      </c>
      <c r="AH438" s="252" t="str">
        <f>IF(ISNUMBER(SEARCH("H", 'Dry_Litterbag Placem_Collection'!$V145)),"YES","NO")</f>
        <v>NO</v>
      </c>
      <c r="AI438" s="252" t="str">
        <f>IF(ISNUMBER(SEARCH("R", 'Dry_Litterbag Placem_Collection'!$V145)),"YES","NO")</f>
        <v>NO</v>
      </c>
      <c r="AJ438" s="252" t="str">
        <f>IF(ISNUMBER(SEARCH("C", 'Dry_Litterbag Placem_Collection'!$U145)),"YES","NO")</f>
        <v>NO</v>
      </c>
      <c r="AK438" s="252" t="str">
        <f>IF(ISNUMBER(SEARCH("H", 'Dry_Litterbag Placem_Collection'!$U145)),"YES","NO")</f>
        <v>NO</v>
      </c>
      <c r="AL438" s="252" t="str">
        <f>IF(ISNUMBER(SEARCH("R", 'Dry_Litterbag Placem_Collection'!$U145)),"YES","NO")</f>
        <v>YES</v>
      </c>
    </row>
    <row r="439" spans="2:38">
      <c r="B439" t="str">
        <f>'Final data_for_R_analysis_Dryse'!A585</f>
        <v>Dry</v>
      </c>
      <c r="C439" s="260">
        <f>'Final data_for_R_analysis_Dryse'!B585</f>
        <v>144</v>
      </c>
      <c r="D439" t="s">
        <v>3822</v>
      </c>
      <c r="E439" t="s">
        <v>25</v>
      </c>
      <c r="F439" s="382">
        <v>8</v>
      </c>
      <c r="G439" s="383">
        <f>IF('Dry_Litterbag Placem_Collection'!E146="","",'Dry_Litterbag Placem_Collection'!E146)</f>
        <v>42939</v>
      </c>
      <c r="H439" s="92" t="str">
        <f>'Final data_for_R_analysis_Dryse'!K585</f>
        <v>G384</v>
      </c>
      <c r="I439" t="str">
        <f>'Final data_for_R_analysis_Dryse'!K805</f>
        <v>R295</v>
      </c>
      <c r="J439">
        <f>IFERROR(INDEX('Green_rooibos initial weight'!$C$5:$C$2000,MATCH(H439, 'Green_rooibos initial weight'!$A$5:$A$2000,0)),"")</f>
        <v>2.0499999999999998</v>
      </c>
      <c r="K439">
        <f>IFERROR(INDEX('Green_rooibos initial weight'!$C$5:$C$2000,MATCH(I439, 'Green_rooibos initial weight'!$A$5:$A$2000,0)),"")</f>
        <v>2.194</v>
      </c>
      <c r="L439" s="194">
        <f t="shared" si="69"/>
        <v>1.8001999999999998</v>
      </c>
      <c r="M439" s="237">
        <f>AVERAGE(Ashed_controlls!$K$1:$K$11)</f>
        <v>5.5147656768714146</v>
      </c>
      <c r="N439" s="194">
        <f t="shared" si="65"/>
        <v>1.7009231882849607</v>
      </c>
      <c r="O439" s="194">
        <f t="shared" si="70"/>
        <v>1.9441999999999999</v>
      </c>
      <c r="P439" s="237">
        <f>AVERAGE(Ashed_controlls!$K$12:$K$14)</f>
        <v>2.2816647271287041</v>
      </c>
      <c r="Q439" s="194">
        <f t="shared" si="66"/>
        <v>1.8998398743751637</v>
      </c>
      <c r="R439" s="383">
        <f>IF('Dry_Litterbag Placem_Collection'!G146="","",'Dry_Litterbag Placem_Collection'!G146)</f>
        <v>43008</v>
      </c>
      <c r="S439" s="194">
        <f>IFERROR(INDEX('Both teabags AfterDry'!$D$3:$D$2000,MATCH(H439,'Both teabags AfterDry'!$A$3:$A$2000,0)),"")</f>
        <v>0.73660000000000003</v>
      </c>
      <c r="T439" s="194">
        <f>IFERROR(INDEX('Both teabags AfterDry'!$D$3:$D$2000,MATCH(I439,'Both teabags AfterDry'!$A$3:$A$2000,0)),"")</f>
        <v>1.7096</v>
      </c>
      <c r="U439" s="194">
        <f t="shared" si="71"/>
        <v>0.58600000000000008</v>
      </c>
      <c r="V439" s="194">
        <f t="shared" si="72"/>
        <v>1.5589999999999999</v>
      </c>
      <c r="W439" s="194">
        <f>IFERROR(INDEX('Ashed teabags dry'!$K$2:$K$2000,MATCH(H439,'Ashed teabags dry'!$A$2:$A$2000,0)),"")</f>
        <v>16.379310344827655</v>
      </c>
      <c r="X439" s="194">
        <f>IFERROR(INDEX('Ashed teabags dry'!$K$2:$K$2000,MATCH(I439,'Ashed teabags dry'!$A$2:$A$2000,0)),"")</f>
        <v>6.2071917808215078</v>
      </c>
      <c r="Y439" s="194">
        <f t="shared" si="67"/>
        <v>0.49001724137931002</v>
      </c>
      <c r="Z439" s="194">
        <f t="shared" si="67"/>
        <v>1.4622298801369926</v>
      </c>
      <c r="AA439" s="194">
        <f t="shared" si="73"/>
        <v>0.71191101117658695</v>
      </c>
      <c r="AB439" s="194">
        <f t="shared" si="74"/>
        <v>0.46671600732716872</v>
      </c>
      <c r="AC439" s="194">
        <f t="shared" si="68"/>
        <v>0.76965953807970466</v>
      </c>
      <c r="AD439">
        <f t="shared" si="75"/>
        <v>69</v>
      </c>
      <c r="AE439" s="194">
        <f t="shared" si="76"/>
        <v>0.15449998672614373</v>
      </c>
      <c r="AF439" s="194">
        <f t="shared" si="77"/>
        <v>9.8594074924255506E-3</v>
      </c>
      <c r="AG439" s="252" t="str">
        <f>IF(ISNUMBER(SEARCH("C", 'Dry_Litterbag Placem_Collection'!$V146)),"YES","NO")</f>
        <v>NO</v>
      </c>
      <c r="AH439" s="252" t="str">
        <f>IF(ISNUMBER(SEARCH("H", 'Dry_Litterbag Placem_Collection'!$V146)),"YES","NO")</f>
        <v>NO</v>
      </c>
      <c r="AI439" s="252" t="str">
        <f>IF(ISNUMBER(SEARCH("R", 'Dry_Litterbag Placem_Collection'!$V146)),"YES","NO")</f>
        <v>NO</v>
      </c>
      <c r="AJ439" s="252" t="str">
        <f>IF(ISNUMBER(SEARCH("C", 'Dry_Litterbag Placem_Collection'!$U146)),"YES","NO")</f>
        <v>NO</v>
      </c>
      <c r="AK439" s="252" t="str">
        <f>IF(ISNUMBER(SEARCH("H", 'Dry_Litterbag Placem_Collection'!$U146)),"YES","NO")</f>
        <v>NO</v>
      </c>
      <c r="AL439" s="252" t="str">
        <f>IF(ISNUMBER(SEARCH("R", 'Dry_Litterbag Placem_Collection'!$U146)),"YES","NO")</f>
        <v>NO</v>
      </c>
    </row>
    <row r="440" spans="2:38">
      <c r="B440" t="str">
        <f>'Final data_for_R_analysis_Dryse'!A586</f>
        <v>Dry</v>
      </c>
      <c r="C440" s="260">
        <f>'Final data_for_R_analysis_Dryse'!B586</f>
        <v>145</v>
      </c>
      <c r="D440" t="s">
        <v>3823</v>
      </c>
      <c r="E440" t="s">
        <v>25</v>
      </c>
      <c r="F440" s="381">
        <v>1</v>
      </c>
      <c r="G440" s="383">
        <f>IF('Dry_Litterbag Placem_Collection'!E147="","",'Dry_Litterbag Placem_Collection'!E147)</f>
        <v>42939</v>
      </c>
      <c r="H440" s="92" t="str">
        <f>'Final data_for_R_analysis_Dryse'!K586</f>
        <v>G72</v>
      </c>
      <c r="I440" t="str">
        <f>'Final data_for_R_analysis_Dryse'!K806</f>
        <v>R609</v>
      </c>
      <c r="J440">
        <f>IFERROR(INDEX('Green_rooibos initial weight'!$C$5:$C$2000,MATCH(H440, 'Green_rooibos initial weight'!$A$5:$A$2000,0)),"")</f>
        <v>2.0190000000000001</v>
      </c>
      <c r="K440">
        <f>IFERROR(INDEX('Green_rooibos initial weight'!$C$5:$C$2000,MATCH(I440, 'Green_rooibos initial weight'!$A$5:$A$2000,0)),"")</f>
        <v>2.165</v>
      </c>
      <c r="L440" s="194">
        <f t="shared" si="69"/>
        <v>1.7692000000000001</v>
      </c>
      <c r="M440" s="237">
        <f>AVERAGE(Ashed_controlls!$K$1:$K$11)</f>
        <v>5.5147656768714146</v>
      </c>
      <c r="N440" s="194">
        <f t="shared" si="65"/>
        <v>1.6716327656447911</v>
      </c>
      <c r="O440" s="194">
        <f t="shared" si="70"/>
        <v>1.9152</v>
      </c>
      <c r="P440" s="237">
        <f>AVERAGE(Ashed_controlls!$K$12:$K$14)</f>
        <v>2.2816647271287041</v>
      </c>
      <c r="Q440" s="194">
        <f t="shared" si="66"/>
        <v>1.8715015571460312</v>
      </c>
      <c r="R440" s="383">
        <f>IF('Dry_Litterbag Placem_Collection'!G147="","",'Dry_Litterbag Placem_Collection'!G147)</f>
        <v>43010</v>
      </c>
      <c r="S440" s="194">
        <f>IFERROR(INDEX('Both teabags AfterDry'!$D$3:$D$2000,MATCH(H440,'Both teabags AfterDry'!$A$3:$A$2000,0)),"")</f>
        <v>1.7161999999999999</v>
      </c>
      <c r="T440" s="194">
        <f>IFERROR(INDEX('Both teabags AfterDry'!$D$3:$D$2000,MATCH(I440,'Both teabags AfterDry'!$A$3:$A$2000,0)),"")</f>
        <v>1.9753000000000001</v>
      </c>
      <c r="U440" s="194">
        <f t="shared" si="71"/>
        <v>1.5655999999999999</v>
      </c>
      <c r="V440" s="194">
        <f t="shared" si="72"/>
        <v>1.8247</v>
      </c>
      <c r="W440" s="194">
        <f>IFERROR(INDEX('Ashed teabags dry'!$K$2:$K$2000,MATCH(H440,'Ashed teabags dry'!$A$2:$A$2000,0)),"")</f>
        <v>10.842779694431051</v>
      </c>
      <c r="X440" s="194">
        <f>IFERROR(INDEX('Ashed teabags dry'!$K$2:$K$2000,MATCH(I440,'Ashed teabags dry'!$A$2:$A$2000,0)),"")</f>
        <v>3.7512339585388541</v>
      </c>
      <c r="Y440" s="194">
        <f t="shared" si="67"/>
        <v>1.3958454411039873</v>
      </c>
      <c r="Z440" s="194">
        <f t="shared" si="67"/>
        <v>1.7562512339585414</v>
      </c>
      <c r="AA440" s="194">
        <f t="shared" si="73"/>
        <v>0.16498080811094029</v>
      </c>
      <c r="AB440" s="194">
        <f t="shared" si="74"/>
        <v>0.10815843952166161</v>
      </c>
      <c r="AC440" s="194">
        <f t="shared" si="68"/>
        <v>0.93841825952672886</v>
      </c>
      <c r="AD440">
        <f t="shared" si="75"/>
        <v>71</v>
      </c>
      <c r="AE440" s="194">
        <f t="shared" si="76"/>
        <v>0.80406079796800434</v>
      </c>
      <c r="AF440" s="194">
        <f t="shared" si="77"/>
        <v>1.1866151958200701E-2</v>
      </c>
      <c r="AG440" s="252" t="str">
        <f>IF(ISNUMBER(SEARCH("C", 'Dry_Litterbag Placem_Collection'!$V147)),"YES","NO")</f>
        <v>NO</v>
      </c>
      <c r="AH440" s="252" t="str">
        <f>IF(ISNUMBER(SEARCH("H", 'Dry_Litterbag Placem_Collection'!$V147)),"YES","NO")</f>
        <v>NO</v>
      </c>
      <c r="AI440" s="252" t="str">
        <f>IF(ISNUMBER(SEARCH("R", 'Dry_Litterbag Placem_Collection'!$V147)),"YES","NO")</f>
        <v>NO</v>
      </c>
      <c r="AJ440" s="252" t="str">
        <f>IF(ISNUMBER(SEARCH("C", 'Dry_Litterbag Placem_Collection'!$U147)),"YES","NO")</f>
        <v>NO</v>
      </c>
      <c r="AK440" s="252" t="str">
        <f>IF(ISNUMBER(SEARCH("H", 'Dry_Litterbag Placem_Collection'!$U147)),"YES","NO")</f>
        <v>NO</v>
      </c>
      <c r="AL440" s="252" t="str">
        <f>IF(ISNUMBER(SEARCH("R", 'Dry_Litterbag Placem_Collection'!$U147)),"YES","NO")</f>
        <v>NO</v>
      </c>
    </row>
    <row r="441" spans="2:38">
      <c r="B441" t="str">
        <f>'Final data_for_R_analysis_Dryse'!A587</f>
        <v>Dry</v>
      </c>
      <c r="C441" s="260">
        <f>'Final data_for_R_analysis_Dryse'!B587</f>
        <v>146</v>
      </c>
      <c r="D441" t="s">
        <v>3823</v>
      </c>
      <c r="E441" t="s">
        <v>25</v>
      </c>
      <c r="F441" s="381">
        <v>2</v>
      </c>
      <c r="G441" s="383">
        <f>IF('Dry_Litterbag Placem_Collection'!E148="","",'Dry_Litterbag Placem_Collection'!E148)</f>
        <v>42939</v>
      </c>
      <c r="H441" s="92" t="str">
        <f>'Final data_for_R_analysis_Dryse'!K587</f>
        <v>G336</v>
      </c>
      <c r="I441" t="str">
        <f>'Final data_for_R_analysis_Dryse'!K807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69"/>
        <v>1.7452000000000001</v>
      </c>
      <c r="M441" s="237">
        <f>AVERAGE(Ashed_controlls!$K$1:$K$11)</f>
        <v>5.5147656768714146</v>
      </c>
      <c r="N441" s="194">
        <f t="shared" si="65"/>
        <v>1.6489563094072401</v>
      </c>
      <c r="O441" s="194">
        <f t="shared" si="70"/>
        <v>1.9872000000000001</v>
      </c>
      <c r="P441" s="237">
        <f>AVERAGE(Ashed_controlls!$K$12:$K$14)</f>
        <v>2.2816647271287041</v>
      </c>
      <c r="Q441" s="194">
        <f t="shared" si="66"/>
        <v>1.9418587585424985</v>
      </c>
      <c r="R441" s="383">
        <f>IF('Dry_Litterbag Placem_Collection'!G148="","",'Dry_Litterbag Placem_Collection'!G148)</f>
        <v>43010</v>
      </c>
      <c r="S441" s="194">
        <f>IFERROR(INDEX('Both teabags AfterDry'!$D$3:$D$2000,MATCH(H441,'Both teabags AfterDry'!$A$3:$A$2000,0)),"")</f>
        <v>1.6466000000000001</v>
      </c>
      <c r="T441" s="194">
        <f>IFERROR(INDEX('Both teabags AfterDry'!$D$3:$D$2000,MATCH(I441,'Both teabags AfterDry'!$A$3:$A$2000,0)),"")</f>
        <v>2.0505</v>
      </c>
      <c r="U441" s="194">
        <f t="shared" si="71"/>
        <v>1.496</v>
      </c>
      <c r="V441" s="194">
        <f t="shared" si="72"/>
        <v>1.8998999999999999</v>
      </c>
      <c r="W441" s="194">
        <f>IFERROR(INDEX('Ashed teabags dry'!$K$2:$K$2000,MATCH(H441,'Ashed teabags dry'!$A$2:$A$2000,0)),"")</f>
        <v>9.7110374230223258</v>
      </c>
      <c r="X441" s="194">
        <f>IFERROR(INDEX('Ashed teabags dry'!$K$2:$K$2000,MATCH(I441,'Ashed teabags dry'!$A$2:$A$2000,0)),"")</f>
        <v>2.5435704192176245</v>
      </c>
      <c r="Y441" s="194">
        <f t="shared" si="67"/>
        <v>1.350722880151586</v>
      </c>
      <c r="Z441" s="194">
        <f t="shared" si="67"/>
        <v>1.8515747056052843</v>
      </c>
      <c r="AA441" s="194">
        <f t="shared" si="73"/>
        <v>0.18086193524609628</v>
      </c>
      <c r="AB441" s="194">
        <f t="shared" si="74"/>
        <v>0.1185698197812888</v>
      </c>
      <c r="AC441" s="194">
        <f t="shared" si="68"/>
        <v>0.95350637499249491</v>
      </c>
      <c r="AD441">
        <f t="shared" si="75"/>
        <v>71</v>
      </c>
      <c r="AE441" s="194">
        <f t="shared" si="76"/>
        <v>0.78519960184549131</v>
      </c>
      <c r="AF441" s="194">
        <f t="shared" si="77"/>
        <v>7.0109600469546824E-3</v>
      </c>
      <c r="AG441" s="252" t="str">
        <f>IF(ISNUMBER(SEARCH("C", 'Dry_Litterbag Placem_Collection'!$V148)),"YES","NO")</f>
        <v>NO</v>
      </c>
      <c r="AH441" s="252" t="str">
        <f>IF(ISNUMBER(SEARCH("H", 'Dry_Litterbag Placem_Collection'!$V148)),"YES","NO")</f>
        <v>NO</v>
      </c>
      <c r="AI441" s="252" t="str">
        <f>IF(ISNUMBER(SEARCH("R", 'Dry_Litterbag Placem_Collection'!$V148)),"YES","NO")</f>
        <v>NO</v>
      </c>
      <c r="AJ441" s="252" t="str">
        <f>IF(ISNUMBER(SEARCH("C", 'Dry_Litterbag Placem_Collection'!$U148)),"YES","NO")</f>
        <v>NO</v>
      </c>
      <c r="AK441" s="252" t="str">
        <f>IF(ISNUMBER(SEARCH("H", 'Dry_Litterbag Placem_Collection'!$U148)),"YES","NO")</f>
        <v>NO</v>
      </c>
      <c r="AL441" s="252" t="str">
        <f>IF(ISNUMBER(SEARCH("R", 'Dry_Litterbag Placem_Collection'!$U148)),"YES","NO")</f>
        <v>NO</v>
      </c>
    </row>
    <row r="442" spans="2:38">
      <c r="B442" t="str">
        <f>'Final data_for_R_analysis_Dryse'!A588</f>
        <v>Dry</v>
      </c>
      <c r="C442" s="260">
        <f>'Final data_for_R_analysis_Dryse'!B588</f>
        <v>147</v>
      </c>
      <c r="D442" t="s">
        <v>3823</v>
      </c>
      <c r="E442" t="s">
        <v>25</v>
      </c>
      <c r="F442" s="381">
        <v>3</v>
      </c>
      <c r="G442" s="383">
        <f>IF('Dry_Litterbag Placem_Collection'!E149="","",'Dry_Litterbag Placem_Collection'!E149)</f>
        <v>42939</v>
      </c>
      <c r="H442" s="92" t="str">
        <f>'Final data_for_R_analysis_Dryse'!K588</f>
        <v>G303</v>
      </c>
      <c r="I442" t="str">
        <f>'Final data_for_R_analysis_Dryse'!K808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69"/>
        <v>1.7352000000000001</v>
      </c>
      <c r="M442" s="237">
        <f>AVERAGE(Ashed_controlls!$K$1:$K$11)</f>
        <v>5.5147656768714146</v>
      </c>
      <c r="N442" s="194">
        <f t="shared" si="65"/>
        <v>1.6395077859749272</v>
      </c>
      <c r="O442" s="194">
        <f t="shared" si="70"/>
        <v>1.9182000000000001</v>
      </c>
      <c r="P442" s="237">
        <f>AVERAGE(Ashed_controlls!$K$12:$K$14)</f>
        <v>2.2816647271287041</v>
      </c>
      <c r="Q442" s="194">
        <f t="shared" si="66"/>
        <v>1.8744331072042173</v>
      </c>
      <c r="R442" s="383">
        <f>IF('Dry_Litterbag Placem_Collection'!G149="","",'Dry_Litterbag Placem_Collection'!G149)</f>
        <v>43010</v>
      </c>
      <c r="S442" s="194">
        <f>IFERROR(INDEX('Both teabags AfterDry'!$D$3:$D$2000,MATCH(H442,'Both teabags AfterDry'!$A$3:$A$2000,0)),"")</f>
        <v>1.6654</v>
      </c>
      <c r="T442" s="194">
        <f>IFERROR(INDEX('Both teabags AfterDry'!$D$3:$D$2000,MATCH(I442,'Both teabags AfterDry'!$A$3:$A$2000,0)),"")</f>
        <v>1.9182999999999999</v>
      </c>
      <c r="U442" s="194">
        <f t="shared" si="71"/>
        <v>1.5147999999999999</v>
      </c>
      <c r="V442" s="194">
        <f t="shared" si="72"/>
        <v>1.7676999999999998</v>
      </c>
      <c r="W442" s="194">
        <f>IFERROR(INDEX('Ashed teabags dry'!$K$2:$K$2000,MATCH(H442,'Ashed teabags dry'!$A$2:$A$2000,0)),"")</f>
        <v>8.1562036579344408</v>
      </c>
      <c r="X442" s="194">
        <f>IFERROR(INDEX('Ashed teabags dry'!$K$2:$K$2000,MATCH(I442,'Ashed teabags dry'!$A$2:$A$2000,0)),"")</f>
        <v>3.2670454545454892</v>
      </c>
      <c r="Y442" s="194">
        <f t="shared" si="67"/>
        <v>1.391249826989609</v>
      </c>
      <c r="Z442" s="194">
        <f t="shared" si="67"/>
        <v>1.7099484374999991</v>
      </c>
      <c r="AA442" s="194">
        <f t="shared" si="73"/>
        <v>0.15142225069562121</v>
      </c>
      <c r="AB442" s="194">
        <f t="shared" si="74"/>
        <v>9.9269694042735043E-2</v>
      </c>
      <c r="AC442" s="194">
        <f t="shared" si="68"/>
        <v>0.91224831173113841</v>
      </c>
      <c r="AD442">
        <f t="shared" si="75"/>
        <v>71</v>
      </c>
      <c r="AE442" s="194">
        <f t="shared" si="76"/>
        <v>0.82016359774866843</v>
      </c>
      <c r="AF442" s="194">
        <f t="shared" si="77"/>
        <v>3.0337025326048362E-2</v>
      </c>
      <c r="AG442" s="252" t="str">
        <f>IF(ISNUMBER(SEARCH("C", 'Dry_Litterbag Placem_Collection'!$V149)),"YES","NO")</f>
        <v>NO</v>
      </c>
      <c r="AH442" s="252" t="str">
        <f>IF(ISNUMBER(SEARCH("H", 'Dry_Litterbag Placem_Collection'!$V149)),"YES","NO")</f>
        <v>NO</v>
      </c>
      <c r="AI442" s="252" t="str">
        <f>IF(ISNUMBER(SEARCH("R", 'Dry_Litterbag Placem_Collection'!$V149)),"YES","NO")</f>
        <v>NO</v>
      </c>
      <c r="AJ442" s="252" t="str">
        <f>IF(ISNUMBER(SEARCH("C", 'Dry_Litterbag Placem_Collection'!$U149)),"YES","NO")</f>
        <v>NO</v>
      </c>
      <c r="AK442" s="252" t="str">
        <f>IF(ISNUMBER(SEARCH("H", 'Dry_Litterbag Placem_Collection'!$U149)),"YES","NO")</f>
        <v>NO</v>
      </c>
      <c r="AL442" s="252" t="str">
        <f>IF(ISNUMBER(SEARCH("R", 'Dry_Litterbag Placem_Collection'!$U149)),"YES","NO")</f>
        <v>NO</v>
      </c>
    </row>
    <row r="443" spans="2:38">
      <c r="B443" t="str">
        <f>'Final data_for_R_analysis_Dryse'!A589</f>
        <v>Dry</v>
      </c>
      <c r="C443" s="260">
        <f>'Final data_for_R_analysis_Dryse'!B589</f>
        <v>148</v>
      </c>
      <c r="D443" t="s">
        <v>3823</v>
      </c>
      <c r="E443" t="s">
        <v>25</v>
      </c>
      <c r="F443" s="382">
        <v>4</v>
      </c>
      <c r="G443" s="383">
        <f>IF('Dry_Litterbag Placem_Collection'!E150="","",'Dry_Litterbag Placem_Collection'!E150)</f>
        <v>42939</v>
      </c>
      <c r="H443" s="92" t="str">
        <f>'Final data_for_R_analysis_Dryse'!K589</f>
        <v>G161</v>
      </c>
      <c r="I443" t="str">
        <f>'Final data_for_R_analysis_Dryse'!K809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69"/>
        <v>1.8481999999999998</v>
      </c>
      <c r="M443" s="237">
        <f>AVERAGE(Ashed_controlls!$K$1:$K$11)</f>
        <v>5.5147656768714146</v>
      </c>
      <c r="N443" s="194">
        <f t="shared" si="65"/>
        <v>1.7462761007600625</v>
      </c>
      <c r="O443" s="194">
        <f t="shared" si="70"/>
        <v>1.9262000000000001</v>
      </c>
      <c r="P443" s="237">
        <f>AVERAGE(Ashed_controlls!$K$12:$K$14)</f>
        <v>2.2816647271287041</v>
      </c>
      <c r="Q443" s="194">
        <f t="shared" si="66"/>
        <v>1.8822505740260471</v>
      </c>
      <c r="R443" s="383">
        <f>IF('Dry_Litterbag Placem_Collection'!G150="","",'Dry_Litterbag Placem_Collection'!G150)</f>
        <v>43010</v>
      </c>
      <c r="S443" s="194">
        <f>IFERROR(INDEX('Both teabags AfterDry'!$D$3:$D$2000,MATCH(H443,'Both teabags AfterDry'!$A$3:$A$2000,0)),"")</f>
        <v>1.7174</v>
      </c>
      <c r="T443" s="194">
        <f>IFERROR(INDEX('Both teabags AfterDry'!$D$3:$D$2000,MATCH(I443,'Both teabags AfterDry'!$A$3:$A$2000,0)),"")</f>
        <v>1.9601999999999999</v>
      </c>
      <c r="U443" s="194">
        <f t="shared" si="71"/>
        <v>1.5668</v>
      </c>
      <c r="V443" s="194">
        <f t="shared" si="72"/>
        <v>1.8095999999999999</v>
      </c>
      <c r="W443" s="194">
        <f>IFERROR(INDEX('Ashed teabags dry'!$K$2:$K$2000,MATCH(H443,'Ashed teabags dry'!$A$2:$A$2000,0)),"")</f>
        <v>9.0731707317073607</v>
      </c>
      <c r="X443" s="194">
        <f>IFERROR(INDEX('Ashed teabags dry'!$K$2:$K$2000,MATCH(I443,'Ashed teabags dry'!$A$2:$A$2000,0)),"")</f>
        <v>4.0076335877862421</v>
      </c>
      <c r="Y443" s="194">
        <f t="shared" si="67"/>
        <v>1.4246415609756091</v>
      </c>
      <c r="Z443" s="194">
        <f t="shared" si="67"/>
        <v>1.73707786259542</v>
      </c>
      <c r="AA443" s="194">
        <f t="shared" si="73"/>
        <v>0.18418309661597199</v>
      </c>
      <c r="AB443" s="194">
        <f t="shared" si="74"/>
        <v>0.12074711322092228</v>
      </c>
      <c r="AC443" s="194">
        <f t="shared" si="68"/>
        <v>0.9228728026789178</v>
      </c>
      <c r="AD443">
        <f t="shared" si="75"/>
        <v>71</v>
      </c>
      <c r="AE443" s="194">
        <f t="shared" si="76"/>
        <v>0.78125522967224226</v>
      </c>
      <c r="AF443" s="194">
        <f t="shared" si="77"/>
        <v>1.4340627498880435E-2</v>
      </c>
      <c r="AG443" s="252" t="str">
        <f>IF(ISNUMBER(SEARCH("C", 'Dry_Litterbag Placem_Collection'!$V150)),"YES","NO")</f>
        <v>NO</v>
      </c>
      <c r="AH443" s="252" t="str">
        <f>IF(ISNUMBER(SEARCH("H", 'Dry_Litterbag Placem_Collection'!$V150)),"YES","NO")</f>
        <v>NO</v>
      </c>
      <c r="AI443" s="252" t="str">
        <f>IF(ISNUMBER(SEARCH("R", 'Dry_Litterbag Placem_Collection'!$V150)),"YES","NO")</f>
        <v>NO</v>
      </c>
      <c r="AJ443" s="252" t="str">
        <f>IF(ISNUMBER(SEARCH("C", 'Dry_Litterbag Placem_Collection'!$U150)),"YES","NO")</f>
        <v>YES</v>
      </c>
      <c r="AK443" s="252" t="str">
        <f>IF(ISNUMBER(SEARCH("H", 'Dry_Litterbag Placem_Collection'!$U150)),"YES","NO")</f>
        <v>NO</v>
      </c>
      <c r="AL443" s="252" t="str">
        <f>IF(ISNUMBER(SEARCH("R", 'Dry_Litterbag Placem_Collection'!$U150)),"YES","NO")</f>
        <v>NO</v>
      </c>
    </row>
    <row r="444" spans="2:38">
      <c r="B444" t="str">
        <f>'Final data_for_R_analysis_Dryse'!A590</f>
        <v>Dry</v>
      </c>
      <c r="C444" s="260">
        <f>'Final data_for_R_analysis_Dryse'!B590</f>
        <v>149</v>
      </c>
      <c r="D444" t="s">
        <v>3823</v>
      </c>
      <c r="E444" t="s">
        <v>25</v>
      </c>
      <c r="F444" s="382">
        <v>5</v>
      </c>
      <c r="G444" s="383">
        <f>IF('Dry_Litterbag Placem_Collection'!E151="","",'Dry_Litterbag Placem_Collection'!E151)</f>
        <v>42939</v>
      </c>
      <c r="H444" s="92" t="str">
        <f>'Final data_for_R_analysis_Dryse'!K590</f>
        <v>G464</v>
      </c>
      <c r="I444" t="str">
        <f>'Final data_for_R_analysis_Dryse'!K810</f>
        <v>R664</v>
      </c>
      <c r="J444">
        <f>IFERROR(INDEX('Green_rooibos initial weight'!$C$5:$C$2000,MATCH(H444, 'Green_rooibos initial weight'!$A$5:$A$2000,0)),"")</f>
        <v>1.964</v>
      </c>
      <c r="K444">
        <f>IFERROR(INDEX('Green_rooibos initial weight'!$C$5:$C$2000,MATCH(I444, 'Green_rooibos initial weight'!$A$5:$A$2000,0)),"")</f>
        <v>2.09</v>
      </c>
      <c r="L444" s="194">
        <f t="shared" si="69"/>
        <v>1.7141999999999999</v>
      </c>
      <c r="M444" s="237">
        <f>AVERAGE(Ashed_controlls!$K$1:$K$11)</f>
        <v>5.5147656768714146</v>
      </c>
      <c r="N444" s="194">
        <f t="shared" si="65"/>
        <v>1.6196658867670701</v>
      </c>
      <c r="O444" s="194">
        <f t="shared" si="70"/>
        <v>1.8401999999999998</v>
      </c>
      <c r="P444" s="237">
        <f>AVERAGE(Ashed_controlls!$K$12:$K$14)</f>
        <v>2.2816647271287041</v>
      </c>
      <c r="Q444" s="194">
        <f t="shared" si="66"/>
        <v>1.7982128056913775</v>
      </c>
      <c r="R444" s="383">
        <f>IF('Dry_Litterbag Placem_Collection'!G151="","",'Dry_Litterbag Placem_Collection'!G151)</f>
        <v>43010</v>
      </c>
      <c r="S444" s="194">
        <f>IFERROR(INDEX('Both teabags AfterDry'!$D$3:$D$2000,MATCH(H444,'Both teabags AfterDry'!$A$3:$A$2000,0)),"")</f>
        <v>1.571</v>
      </c>
      <c r="T444" s="194">
        <f>IFERROR(INDEX('Both teabags AfterDry'!$D$3:$D$2000,MATCH(I444,'Both teabags AfterDry'!$A$3:$A$2000,0)),"")</f>
        <v>1.8895999999999999</v>
      </c>
      <c r="U444" s="194">
        <f t="shared" si="71"/>
        <v>1.4203999999999999</v>
      </c>
      <c r="V444" s="194">
        <f t="shared" si="72"/>
        <v>1.7389999999999999</v>
      </c>
      <c r="W444" s="194">
        <f>IFERROR(INDEX('Ashed teabags dry'!$K$2:$K$2000,MATCH(H444,'Ashed teabags dry'!$A$2:$A$2000,0)),"")</f>
        <v>7.6546506453042547</v>
      </c>
      <c r="X444" s="194">
        <f>IFERROR(INDEX('Ashed teabags dry'!$K$2:$K$2000,MATCH(I444,'Ashed teabags dry'!$A$2:$A$2000,0)),"")</f>
        <v>3.7617554858933753</v>
      </c>
      <c r="Y444" s="194">
        <f t="shared" si="67"/>
        <v>1.3116733422340983</v>
      </c>
      <c r="Z444" s="194">
        <f t="shared" si="67"/>
        <v>1.673583072100314</v>
      </c>
      <c r="AA444" s="194">
        <f t="shared" si="73"/>
        <v>0.1901580733713788</v>
      </c>
      <c r="AB444" s="194">
        <f t="shared" si="74"/>
        <v>0.12466420011995383</v>
      </c>
      <c r="AC444" s="194">
        <f t="shared" si="68"/>
        <v>0.93069244463357836</v>
      </c>
      <c r="AD444">
        <f t="shared" si="75"/>
        <v>71</v>
      </c>
      <c r="AE444" s="194">
        <f t="shared" si="76"/>
        <v>0.77415905775370686</v>
      </c>
      <c r="AF444" s="194">
        <f t="shared" si="77"/>
        <v>1.1434183404503329E-2</v>
      </c>
      <c r="AG444" s="252" t="str">
        <f>IF(ISNUMBER(SEARCH("C", 'Dry_Litterbag Placem_Collection'!$V151)),"YES","NO")</f>
        <v>NO</v>
      </c>
      <c r="AH444" s="252" t="str">
        <f>IF(ISNUMBER(SEARCH("H", 'Dry_Litterbag Placem_Collection'!$V151)),"YES","NO")</f>
        <v>NO</v>
      </c>
      <c r="AI444" s="252" t="str">
        <f>IF(ISNUMBER(SEARCH("R", 'Dry_Litterbag Placem_Collection'!$V151)),"YES","NO")</f>
        <v>NO</v>
      </c>
      <c r="AJ444" s="252" t="str">
        <f>IF(ISNUMBER(SEARCH("C", 'Dry_Litterbag Placem_Collection'!$U151)),"YES","NO")</f>
        <v>NO</v>
      </c>
      <c r="AK444" s="252" t="str">
        <f>IF(ISNUMBER(SEARCH("H", 'Dry_Litterbag Placem_Collection'!$U151)),"YES","NO")</f>
        <v>NO</v>
      </c>
      <c r="AL444" s="252" t="str">
        <f>IF(ISNUMBER(SEARCH("R", 'Dry_Litterbag Placem_Collection'!$U151)),"YES","NO")</f>
        <v>NO</v>
      </c>
    </row>
    <row r="445" spans="2:38">
      <c r="B445" t="str">
        <f>'Final data_for_R_analysis_Dryse'!A591</f>
        <v>Dry</v>
      </c>
      <c r="C445" s="260">
        <f>'Final data_for_R_analysis_Dryse'!B591</f>
        <v>150</v>
      </c>
      <c r="D445" t="s">
        <v>3823</v>
      </c>
      <c r="E445" t="s">
        <v>25</v>
      </c>
      <c r="F445" s="382">
        <v>6</v>
      </c>
      <c r="G445" s="383">
        <f>IF('Dry_Litterbag Placem_Collection'!E152="","",'Dry_Litterbag Placem_Collection'!E152)</f>
        <v>42939</v>
      </c>
      <c r="H445" s="92" t="str">
        <f>'Final data_for_R_analysis_Dryse'!K591</f>
        <v>G843</v>
      </c>
      <c r="I445" t="str">
        <f>'Final data_for_R_analysis_Dryse'!K811</f>
        <v>R316</v>
      </c>
      <c r="J445">
        <f>IFERROR(INDEX('Green_rooibos initial weight'!$C$5:$C$2000,MATCH(H445, 'Green_rooibos initial weight'!$A$5:$A$2000,0)),"")</f>
        <v>1.964</v>
      </c>
      <c r="K445">
        <f>IFERROR(INDEX('Green_rooibos initial weight'!$C$5:$C$2000,MATCH(I445, 'Green_rooibos initial weight'!$A$5:$A$2000,0)),"")</f>
        <v>2.1779999999999999</v>
      </c>
      <c r="L445" s="194">
        <f t="shared" si="69"/>
        <v>1.7141999999999999</v>
      </c>
      <c r="M445" s="237">
        <f>AVERAGE(Ashed_controlls!$K$1:$K$11)</f>
        <v>5.5147656768714146</v>
      </c>
      <c r="N445" s="194">
        <f t="shared" si="65"/>
        <v>1.6196658867670701</v>
      </c>
      <c r="O445" s="194">
        <f t="shared" si="70"/>
        <v>1.9281999999999999</v>
      </c>
      <c r="P445" s="237">
        <f>AVERAGE(Ashed_controlls!$K$12:$K$14)</f>
        <v>2.2816647271287041</v>
      </c>
      <c r="Q445" s="194">
        <f t="shared" si="66"/>
        <v>1.8842049407315042</v>
      </c>
      <c r="R445" s="383">
        <f>IF('Dry_Litterbag Placem_Collection'!G152="","",'Dry_Litterbag Placem_Collection'!G152)</f>
        <v>43010</v>
      </c>
      <c r="S445" s="194" t="str">
        <f>IFERROR(INDEX('Both teabags AfterDry'!$D$3:$D$2000,MATCH(H445,'Both teabags AfterDry'!$A$3:$A$2000,0)),"")</f>
        <v/>
      </c>
      <c r="T445" s="194" t="str">
        <f>IFERROR(INDEX('Both teabags AfterDry'!$D$3:$D$2000,MATCH(I445,'Both teabags AfterDry'!$A$3:$A$2000,0)),"")</f>
        <v/>
      </c>
      <c r="U445" s="194" t="str">
        <f t="shared" si="71"/>
        <v/>
      </c>
      <c r="V445" s="194" t="str">
        <f t="shared" si="72"/>
        <v/>
      </c>
      <c r="W445" s="194" t="str">
        <f>IFERROR(INDEX('Ashed teabags dry'!$K$2:$K$2000,MATCH(H445,'Ashed teabags dry'!$A$2:$A$2000,0)),"")</f>
        <v/>
      </c>
      <c r="X445" s="194" t="str">
        <f>IFERROR(INDEX('Ashed teabags dry'!$K$2:$K$2000,MATCH(I445,'Ashed teabags dry'!$A$2:$A$2000,0)),"")</f>
        <v/>
      </c>
      <c r="Y445" s="194" t="str">
        <f t="shared" si="67"/>
        <v/>
      </c>
      <c r="Z445" s="194" t="str">
        <f t="shared" si="67"/>
        <v/>
      </c>
      <c r="AA445" s="194" t="str">
        <f t="shared" si="73"/>
        <v/>
      </c>
      <c r="AB445" s="194" t="str">
        <f t="shared" si="74"/>
        <v/>
      </c>
      <c r="AC445" s="194" t="str">
        <f t="shared" si="68"/>
        <v/>
      </c>
      <c r="AD445">
        <f t="shared" si="75"/>
        <v>71</v>
      </c>
      <c r="AE445" s="194" t="str">
        <f t="shared" si="76"/>
        <v/>
      </c>
      <c r="AF445" s="194" t="str">
        <f t="shared" si="77"/>
        <v/>
      </c>
      <c r="AG445" s="252" t="str">
        <f>IF(ISNUMBER(SEARCH("C", 'Dry_Litterbag Placem_Collection'!$V152)),"YES","NO")</f>
        <v>NO</v>
      </c>
      <c r="AH445" s="252" t="str">
        <f>IF(ISNUMBER(SEARCH("H", 'Dry_Litterbag Placem_Collection'!$V152)),"YES","NO")</f>
        <v>NO</v>
      </c>
      <c r="AI445" s="252" t="str">
        <f>IF(ISNUMBER(SEARCH("R", 'Dry_Litterbag Placem_Collection'!$V152)),"YES","NO")</f>
        <v>NO</v>
      </c>
      <c r="AJ445" s="252" t="str">
        <f>IF(ISNUMBER(SEARCH("C", 'Dry_Litterbag Placem_Collection'!$U152)),"YES","NO")</f>
        <v>NO</v>
      </c>
      <c r="AK445" s="252" t="str">
        <f>IF(ISNUMBER(SEARCH("H", 'Dry_Litterbag Placem_Collection'!$U152)),"YES","NO")</f>
        <v>NO</v>
      </c>
      <c r="AL445" s="252" t="str">
        <f>IF(ISNUMBER(SEARCH("R", 'Dry_Litterbag Placem_Collection'!$U152)),"YES","NO")</f>
        <v>NO</v>
      </c>
    </row>
    <row r="446" spans="2:38">
      <c r="B446" t="str">
        <f>'Final data_for_R_analysis_Dryse'!A592</f>
        <v>Dry</v>
      </c>
      <c r="C446" s="260">
        <f>'Final data_for_R_analysis_Dryse'!B592</f>
        <v>151</v>
      </c>
      <c r="D446" t="s">
        <v>3823</v>
      </c>
      <c r="E446" t="s">
        <v>25</v>
      </c>
      <c r="F446" s="382">
        <v>7</v>
      </c>
      <c r="G446" s="383" t="str">
        <f>IF('Dry_Litterbag Placem_Collection'!E153="","",'Dry_Litterbag Placem_Collection'!E153)</f>
        <v/>
      </c>
      <c r="H446" s="92" t="str">
        <f>'Final data_for_R_analysis_Dryse'!K592</f>
        <v/>
      </c>
      <c r="I446" t="str">
        <f>'Final data_for_R_analysis_Dryse'!K812</f>
        <v/>
      </c>
      <c r="J446" t="str">
        <f>IFERROR(INDEX('Green_rooibos initial weight'!$C$5:$C$2000,MATCH(H446, 'Green_rooibos initial weight'!$A$5:$A$2000,0)),"")</f>
        <v/>
      </c>
      <c r="K446" t="str">
        <f>IFERROR(INDEX('Green_rooibos initial weight'!$C$5:$C$2000,MATCH(I446, 'Green_rooibos initial weight'!$A$5:$A$2000,0)),"")</f>
        <v/>
      </c>
      <c r="L446" s="194" t="str">
        <f t="shared" si="69"/>
        <v/>
      </c>
      <c r="M446" s="237">
        <f>AVERAGE(Ashed_controlls!$K$1:$K$11)</f>
        <v>5.5147656768714146</v>
      </c>
      <c r="N446" s="194" t="str">
        <f t="shared" si="65"/>
        <v/>
      </c>
      <c r="O446" s="194" t="str">
        <f t="shared" si="70"/>
        <v/>
      </c>
      <c r="P446" s="237">
        <f>AVERAGE(Ashed_controlls!$K$12:$K$14)</f>
        <v>2.2816647271287041</v>
      </c>
      <c r="Q446" s="194" t="str">
        <f t="shared" si="66"/>
        <v/>
      </c>
      <c r="R446" s="383" t="str">
        <f>IF('Dry_Litterbag Placem_Collection'!G153="","",'Dry_Litterbag Placem_Collection'!G153)</f>
        <v/>
      </c>
      <c r="S446" s="194" t="str">
        <f>IFERROR(INDEX('Both teabags AfterDry'!$D$3:$D$2000,MATCH(H446,'Both teabags AfterDry'!$A$3:$A$2000,0)),"")</f>
        <v/>
      </c>
      <c r="T446" s="194" t="str">
        <f>IFERROR(INDEX('Both teabags AfterDry'!$D$3:$D$2000,MATCH(I446,'Both teabags AfterDry'!$A$3:$A$2000,0)),"")</f>
        <v/>
      </c>
      <c r="U446" s="194" t="str">
        <f t="shared" si="71"/>
        <v/>
      </c>
      <c r="V446" s="194" t="str">
        <f t="shared" si="72"/>
        <v/>
      </c>
      <c r="W446" s="194" t="str">
        <f>IFERROR(INDEX('Ashed teabags dry'!$K$2:$K$2000,MATCH(H446,'Ashed teabags dry'!$A$2:$A$2000,0)),"")</f>
        <v/>
      </c>
      <c r="X446" s="194" t="str">
        <f>IFERROR(INDEX('Ashed teabags dry'!$K$2:$K$2000,MATCH(I446,'Ashed teabags dry'!$A$2:$A$2000,0)),"")</f>
        <v/>
      </c>
      <c r="Y446" s="194" t="str">
        <f t="shared" si="67"/>
        <v/>
      </c>
      <c r="Z446" s="194" t="str">
        <f t="shared" si="67"/>
        <v/>
      </c>
      <c r="AA446" s="194" t="str">
        <f t="shared" si="73"/>
        <v/>
      </c>
      <c r="AB446" s="194" t="str">
        <f t="shared" si="74"/>
        <v/>
      </c>
      <c r="AC446" s="194" t="str">
        <f t="shared" si="68"/>
        <v/>
      </c>
      <c r="AD446" t="str">
        <f t="shared" si="75"/>
        <v/>
      </c>
      <c r="AE446" s="194" t="str">
        <f t="shared" si="76"/>
        <v/>
      </c>
      <c r="AF446" s="194" t="str">
        <f t="shared" si="77"/>
        <v/>
      </c>
      <c r="AG446" s="252" t="str">
        <f>IF(ISNUMBER(SEARCH("C", 'Dry_Litterbag Placem_Collection'!$V153)),"YES","NO")</f>
        <v>NO</v>
      </c>
      <c r="AH446" s="252" t="str">
        <f>IF(ISNUMBER(SEARCH("H", 'Dry_Litterbag Placem_Collection'!$V153)),"YES","NO")</f>
        <v>NO</v>
      </c>
      <c r="AI446" s="252" t="str">
        <f>IF(ISNUMBER(SEARCH("R", 'Dry_Litterbag Placem_Collection'!$V153)),"YES","NO")</f>
        <v>NO</v>
      </c>
      <c r="AJ446" s="252" t="str">
        <f>IF(ISNUMBER(SEARCH("C", 'Dry_Litterbag Placem_Collection'!$U153)),"YES","NO")</f>
        <v>NO</v>
      </c>
      <c r="AK446" s="252" t="str">
        <f>IF(ISNUMBER(SEARCH("H", 'Dry_Litterbag Placem_Collection'!$U153)),"YES","NO")</f>
        <v>NO</v>
      </c>
      <c r="AL446" s="252" t="str">
        <f>IF(ISNUMBER(SEARCH("R", 'Dry_Litterbag Placem_Collection'!$U153)),"YES","NO")</f>
        <v>NO</v>
      </c>
    </row>
    <row r="447" spans="2:38">
      <c r="B447" t="str">
        <f>'Final data_for_R_analysis_Dryse'!A593</f>
        <v>Dry</v>
      </c>
      <c r="C447" s="260">
        <f>'Final data_for_R_analysis_Dryse'!B593</f>
        <v>152</v>
      </c>
      <c r="D447" t="s">
        <v>3823</v>
      </c>
      <c r="E447" t="s">
        <v>25</v>
      </c>
      <c r="F447" s="382">
        <v>8</v>
      </c>
      <c r="G447" s="383">
        <f>IF('Dry_Litterbag Placem_Collection'!E154="","",'Dry_Litterbag Placem_Collection'!E154)</f>
        <v>42939</v>
      </c>
      <c r="H447" s="92" t="str">
        <f>'Final data_for_R_analysis_Dryse'!K593</f>
        <v>G617</v>
      </c>
      <c r="I447" t="str">
        <f>'Final data_for_R_analysis_Dryse'!K813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69"/>
        <v>1.8382000000000001</v>
      </c>
      <c r="M447" s="237">
        <f>AVERAGE(Ashed_controlls!$K$1:$K$11)</f>
        <v>5.5147656768714146</v>
      </c>
      <c r="N447" s="194">
        <f t="shared" si="65"/>
        <v>1.7368275773277497</v>
      </c>
      <c r="O447" s="194">
        <f t="shared" si="70"/>
        <v>1.8822000000000001</v>
      </c>
      <c r="P447" s="237">
        <f>AVERAGE(Ashed_controlls!$K$12:$K$14)</f>
        <v>2.2816647271287041</v>
      </c>
      <c r="Q447" s="194">
        <f t="shared" si="66"/>
        <v>1.8392545065059835</v>
      </c>
      <c r="R447" s="383">
        <f>IF('Dry_Litterbag Placem_Collection'!G154="","",'Dry_Litterbag Placem_Collection'!G154)</f>
        <v>43010</v>
      </c>
      <c r="S447" s="194">
        <f>IFERROR(INDEX('Both teabags AfterDry'!$D$3:$D$2000,MATCH(H447,'Both teabags AfterDry'!$A$3:$A$2000,0)),"")</f>
        <v>1.3632</v>
      </c>
      <c r="T447" s="194">
        <f>IFERROR(INDEX('Both teabags AfterDry'!$D$3:$D$2000,MATCH(I447,'Both teabags AfterDry'!$A$3:$A$2000,0)),"")</f>
        <v>1.9524999999999999</v>
      </c>
      <c r="U447" s="194">
        <f t="shared" si="71"/>
        <v>1.2125999999999999</v>
      </c>
      <c r="V447" s="194">
        <f t="shared" si="72"/>
        <v>1.8018999999999998</v>
      </c>
      <c r="W447" s="194">
        <f>IFERROR(INDEX('Ashed teabags dry'!$K$2:$K$2000,MATCH(H447,'Ashed teabags dry'!$A$2:$A$2000,0)),"")</f>
        <v>7.889033376679512</v>
      </c>
      <c r="X447" s="194">
        <f>IFERROR(INDEX('Ashed teabags dry'!$K$2:$K$2000,MATCH(I447,'Ashed teabags dry'!$A$2:$A$2000,0)),"")</f>
        <v>3.6981509245371296</v>
      </c>
      <c r="Y447" s="194">
        <f t="shared" si="67"/>
        <v>1.1169375812743843</v>
      </c>
      <c r="Z447" s="194">
        <f t="shared" si="67"/>
        <v>1.7352630184907654</v>
      </c>
      <c r="AA447" s="194">
        <f t="shared" si="73"/>
        <v>0.35690934675687069</v>
      </c>
      <c r="AB447" s="194">
        <f t="shared" si="74"/>
        <v>0.23398332471471811</v>
      </c>
      <c r="AC447" s="194">
        <f t="shared" si="68"/>
        <v>0.94345997922127156</v>
      </c>
      <c r="AD447">
        <f t="shared" si="75"/>
        <v>71</v>
      </c>
      <c r="AE447" s="194">
        <f t="shared" si="76"/>
        <v>0.57611716537188751</v>
      </c>
      <c r="AF447" s="194">
        <f t="shared" si="77"/>
        <v>3.8957564432233116E-3</v>
      </c>
      <c r="AG447" s="252" t="str">
        <f>IF(ISNUMBER(SEARCH("C", 'Dry_Litterbag Placem_Collection'!$V154)),"YES","NO")</f>
        <v>NO</v>
      </c>
      <c r="AH447" s="252" t="str">
        <f>IF(ISNUMBER(SEARCH("H", 'Dry_Litterbag Placem_Collection'!$V154)),"YES","NO")</f>
        <v>NO</v>
      </c>
      <c r="AI447" s="252" t="str">
        <f>IF(ISNUMBER(SEARCH("R", 'Dry_Litterbag Placem_Collection'!$V154)),"YES","NO")</f>
        <v>NO</v>
      </c>
      <c r="AJ447" s="252" t="str">
        <f>IF(ISNUMBER(SEARCH("C", 'Dry_Litterbag Placem_Collection'!$U154)),"YES","NO")</f>
        <v>NO</v>
      </c>
      <c r="AK447" s="252" t="str">
        <f>IF(ISNUMBER(SEARCH("H", 'Dry_Litterbag Placem_Collection'!$U154)),"YES","NO")</f>
        <v>NO</v>
      </c>
      <c r="AL447" s="252" t="str">
        <f>IF(ISNUMBER(SEARCH("R", 'Dry_Litterbag Placem_Collection'!$U154)),"YES","NO")</f>
        <v>NO</v>
      </c>
    </row>
    <row r="448" spans="2:38">
      <c r="B448" t="str">
        <f>'Final data_for_R_analysis_Dryse'!A594</f>
        <v>Dry</v>
      </c>
      <c r="C448" s="260">
        <f>'Final data_for_R_analysis_Dryse'!B594</f>
        <v>153</v>
      </c>
      <c r="D448" t="s">
        <v>3824</v>
      </c>
      <c r="E448" t="s">
        <v>25</v>
      </c>
      <c r="F448" s="381">
        <v>1</v>
      </c>
      <c r="G448" s="383">
        <f>IF('Dry_Litterbag Placem_Collection'!E155="","",'Dry_Litterbag Placem_Collection'!E155)</f>
        <v>42939</v>
      </c>
      <c r="H448" s="92" t="str">
        <f>'Final data_for_R_analysis_Dryse'!K594</f>
        <v>G19</v>
      </c>
      <c r="I448" t="str">
        <f>'Final data_for_R_analysis_Dryse'!K814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69"/>
        <v>1.8161999999999998</v>
      </c>
      <c r="M448" s="237">
        <f>AVERAGE(Ashed_controlls!$K$1:$K$11)</f>
        <v>5.5147656768714146</v>
      </c>
      <c r="N448" s="194">
        <f t="shared" si="65"/>
        <v>1.7160408257766613</v>
      </c>
      <c r="O448" s="194">
        <f t="shared" si="70"/>
        <v>1.9851999999999999</v>
      </c>
      <c r="P448" s="237">
        <f>AVERAGE(Ashed_controlls!$K$12:$K$14)</f>
        <v>2.2816647271287041</v>
      </c>
      <c r="Q448" s="194">
        <f t="shared" si="66"/>
        <v>1.9399043918370409</v>
      </c>
      <c r="R448" s="383">
        <f>IF('Dry_Litterbag Placem_Collection'!G155="","",'Dry_Litterbag Placem_Collection'!G155)</f>
        <v>43010</v>
      </c>
      <c r="S448" s="194">
        <f>IFERROR(INDEX('Both teabags AfterDry'!$D$3:$D$2000,MATCH(H448,'Both teabags AfterDry'!$A$3:$A$2000,0)),"")</f>
        <v>1.0404</v>
      </c>
      <c r="T448" s="194">
        <f>IFERROR(INDEX('Both teabags AfterDry'!$D$3:$D$2000,MATCH(I448,'Both teabags AfterDry'!$A$3:$A$2000,0)),"")</f>
        <v>2.0049000000000001</v>
      </c>
      <c r="U448" s="194">
        <f t="shared" si="71"/>
        <v>0.88979999999999992</v>
      </c>
      <c r="V448" s="194">
        <f t="shared" si="72"/>
        <v>1.8543000000000001</v>
      </c>
      <c r="W448" s="194">
        <f>IFERROR(INDEX('Ashed teabags dry'!$K$2:$K$2000,MATCH(H448,'Ashed teabags dry'!$A$2:$A$2000,0)),"")</f>
        <v>12.463485881207744</v>
      </c>
      <c r="X448" s="194">
        <f>IFERROR(INDEX('Ashed teabags dry'!$K$2:$K$2000,MATCH(I448,'Ashed teabags dry'!$A$2:$A$2000,0)),"")</f>
        <v>4.6750818139321764</v>
      </c>
      <c r="Y448" s="194">
        <f t="shared" si="67"/>
        <v>0.77889990262901343</v>
      </c>
      <c r="Z448" s="194">
        <f t="shared" si="67"/>
        <v>1.7676099579242557</v>
      </c>
      <c r="AA448" s="194">
        <f t="shared" si="73"/>
        <v>0.54610642653184438</v>
      </c>
      <c r="AB448" s="194">
        <f t="shared" si="74"/>
        <v>0.35801751478097166</v>
      </c>
      <c r="AC448" s="194">
        <f t="shared" si="68"/>
        <v>0.91118405905064903</v>
      </c>
      <c r="AD448">
        <f t="shared" si="75"/>
        <v>71</v>
      </c>
      <c r="AE448" s="194">
        <f t="shared" si="76"/>
        <v>0.35141754568664563</v>
      </c>
      <c r="AF448" s="194">
        <f t="shared" si="77"/>
        <v>4.015795282974877E-3</v>
      </c>
      <c r="AG448" s="252" t="str">
        <f>IF(ISNUMBER(SEARCH("C", 'Dry_Litterbag Placem_Collection'!$V155)),"YES","NO")</f>
        <v>NO</v>
      </c>
      <c r="AH448" s="252" t="str">
        <f>IF(ISNUMBER(SEARCH("H", 'Dry_Litterbag Placem_Collection'!$V155)),"YES","NO")</f>
        <v>NO</v>
      </c>
      <c r="AI448" s="252" t="str">
        <f>IF(ISNUMBER(SEARCH("R", 'Dry_Litterbag Placem_Collection'!$V155)),"YES","NO")</f>
        <v>NO</v>
      </c>
      <c r="AJ448" s="252" t="str">
        <f>IF(ISNUMBER(SEARCH("C", 'Dry_Litterbag Placem_Collection'!$U155)),"YES","NO")</f>
        <v>NO</v>
      </c>
      <c r="AK448" s="252" t="str">
        <f>IF(ISNUMBER(SEARCH("H", 'Dry_Litterbag Placem_Collection'!$U155)),"YES","NO")</f>
        <v>NO</v>
      </c>
      <c r="AL448" s="252" t="str">
        <f>IF(ISNUMBER(SEARCH("R", 'Dry_Litterbag Placem_Collection'!$U155)),"YES","NO")</f>
        <v>NO</v>
      </c>
    </row>
    <row r="449" spans="2:38">
      <c r="B449" t="str">
        <f>'Final data_for_R_analysis_Dryse'!A595</f>
        <v>Dry</v>
      </c>
      <c r="C449" s="260">
        <f>'Final data_for_R_analysis_Dryse'!B595</f>
        <v>154</v>
      </c>
      <c r="D449" t="s">
        <v>3824</v>
      </c>
      <c r="E449" t="s">
        <v>25</v>
      </c>
      <c r="F449" s="381">
        <v>2</v>
      </c>
      <c r="G449" s="383">
        <f>IF('Dry_Litterbag Placem_Collection'!E156="","",'Dry_Litterbag Placem_Collection'!E156)</f>
        <v>42939</v>
      </c>
      <c r="H449" s="92" t="str">
        <f>'Final data_for_R_analysis_Dryse'!K595</f>
        <v>G275</v>
      </c>
      <c r="I449" t="str">
        <f>'Final data_for_R_analysis_Dryse'!K815</f>
        <v>R367</v>
      </c>
      <c r="J449">
        <f>IFERROR(INDEX('Green_rooibos initial weight'!$C$5:$C$2000,MATCH(H449, 'Green_rooibos initial weight'!$A$5:$A$2000,0)),"")</f>
        <v>2.097</v>
      </c>
      <c r="K449">
        <f>IFERROR(INDEX('Green_rooibos initial weight'!$C$5:$C$2000,MATCH(I449, 'Green_rooibos initial weight'!$A$5:$A$2000,0)),"")</f>
        <v>2.165</v>
      </c>
      <c r="L449" s="194">
        <f t="shared" si="69"/>
        <v>1.8472</v>
      </c>
      <c r="M449" s="237">
        <f>AVERAGE(Ashed_controlls!$K$1:$K$11)</f>
        <v>5.5147656768714146</v>
      </c>
      <c r="N449" s="194">
        <f t="shared" si="65"/>
        <v>1.7453312484168313</v>
      </c>
      <c r="O449" s="194">
        <f t="shared" si="70"/>
        <v>1.9152</v>
      </c>
      <c r="P449" s="237">
        <f>AVERAGE(Ashed_controlls!$K$12:$K$14)</f>
        <v>2.2816647271287041</v>
      </c>
      <c r="Q449" s="194">
        <f t="shared" si="66"/>
        <v>1.8715015571460312</v>
      </c>
      <c r="R449" s="383">
        <f>IF('Dry_Litterbag Placem_Collection'!G156="","",'Dry_Litterbag Placem_Collection'!G156)</f>
        <v>43010</v>
      </c>
      <c r="S449" s="194">
        <f>IFERROR(INDEX('Both teabags AfterDry'!$D$3:$D$2000,MATCH(H449,'Both teabags AfterDry'!$A$3:$A$2000,0)),"")</f>
        <v>1.2171000000000001</v>
      </c>
      <c r="T449" s="194">
        <f>IFERROR(INDEX('Both teabags AfterDry'!$D$3:$D$2000,MATCH(I449,'Both teabags AfterDry'!$A$3:$A$2000,0)),"")</f>
        <v>1.8496999999999999</v>
      </c>
      <c r="U449" s="194">
        <f t="shared" si="71"/>
        <v>1.0665</v>
      </c>
      <c r="V449" s="194">
        <f t="shared" si="72"/>
        <v>1.6990999999999998</v>
      </c>
      <c r="W449" s="194">
        <f>IFERROR(INDEX('Ashed teabags dry'!$K$2:$K$2000,MATCH(H449,'Ashed teabags dry'!$A$2:$A$2000,0)),"")</f>
        <v>17.669902912621797</v>
      </c>
      <c r="X449" s="194">
        <f>IFERROR(INDEX('Ashed teabags dry'!$K$2:$K$2000,MATCH(I449,'Ashed teabags dry'!$A$2:$A$2000,0)),"")</f>
        <v>2.917264466762604</v>
      </c>
      <c r="Y449" s="194">
        <f t="shared" si="67"/>
        <v>0.87805048543688857</v>
      </c>
      <c r="Z449" s="194">
        <f t="shared" si="67"/>
        <v>1.6495327594452365</v>
      </c>
      <c r="AA449" s="194">
        <f t="shared" si="73"/>
        <v>0.49691470531261184</v>
      </c>
      <c r="AB449" s="194">
        <f t="shared" si="74"/>
        <v>0.32576831037121351</v>
      </c>
      <c r="AC449" s="194">
        <f t="shared" si="68"/>
        <v>0.88139534436760569</v>
      </c>
      <c r="AD449">
        <f t="shared" si="75"/>
        <v>71</v>
      </c>
      <c r="AE449" s="194">
        <f t="shared" si="76"/>
        <v>0.40984001744345389</v>
      </c>
      <c r="AF449" s="194">
        <f t="shared" si="77"/>
        <v>6.3757371944661535E-3</v>
      </c>
      <c r="AG449" s="252" t="str">
        <f>IF(ISNUMBER(SEARCH("C", 'Dry_Litterbag Placem_Collection'!$V156)),"YES","NO")</f>
        <v>NO</v>
      </c>
      <c r="AH449" s="252" t="str">
        <f>IF(ISNUMBER(SEARCH("H", 'Dry_Litterbag Placem_Collection'!$V156)),"YES","NO")</f>
        <v>NO</v>
      </c>
      <c r="AI449" s="252" t="str">
        <f>IF(ISNUMBER(SEARCH("R", 'Dry_Litterbag Placem_Collection'!$V156)),"YES","NO")</f>
        <v>NO</v>
      </c>
      <c r="AJ449" s="252" t="str">
        <f>IF(ISNUMBER(SEARCH("C", 'Dry_Litterbag Placem_Collection'!$U156)),"YES","NO")</f>
        <v>NO</v>
      </c>
      <c r="AK449" s="252" t="str">
        <f>IF(ISNUMBER(SEARCH("H", 'Dry_Litterbag Placem_Collection'!$U156)),"YES","NO")</f>
        <v>NO</v>
      </c>
      <c r="AL449" s="252" t="str">
        <f>IF(ISNUMBER(SEARCH("R", 'Dry_Litterbag Placem_Collection'!$U156)),"YES","NO")</f>
        <v>NO</v>
      </c>
    </row>
    <row r="450" spans="2:38">
      <c r="B450" t="str">
        <f>'Final data_for_R_analysis_Dryse'!A596</f>
        <v>Dry</v>
      </c>
      <c r="C450" s="260">
        <f>'Final data_for_R_analysis_Dryse'!B596</f>
        <v>155</v>
      </c>
      <c r="D450" t="s">
        <v>3824</v>
      </c>
      <c r="E450" t="s">
        <v>25</v>
      </c>
      <c r="F450" s="381">
        <v>3</v>
      </c>
      <c r="G450" s="383">
        <f>IF('Dry_Litterbag Placem_Collection'!E157="","",'Dry_Litterbag Placem_Collection'!E157)</f>
        <v>42939</v>
      </c>
      <c r="H450" s="92" t="str">
        <f>'Final data_for_R_analysis_Dryse'!K596</f>
        <v>G289</v>
      </c>
      <c r="I450" t="str">
        <f>'Final data_for_R_analysis_Dryse'!K816</f>
        <v>R617</v>
      </c>
      <c r="J450">
        <f>IFERROR(INDEX('Green_rooibos initial weight'!$C$5:$C$2000,MATCH(H450, 'Green_rooibos initial weight'!$A$5:$A$2000,0)),"")</f>
        <v>2.093</v>
      </c>
      <c r="K450">
        <f>IFERROR(INDEX('Green_rooibos initial weight'!$C$5:$C$2000,MATCH(I450, 'Green_rooibos initial weight'!$A$5:$A$2000,0)),"")</f>
        <v>2.2010000000000001</v>
      </c>
      <c r="L450" s="194">
        <f t="shared" si="69"/>
        <v>1.8431999999999999</v>
      </c>
      <c r="M450" s="237">
        <f>AVERAGE(Ashed_controlls!$K$1:$K$11)</f>
        <v>5.5147656768714146</v>
      </c>
      <c r="N450" s="194">
        <f t="shared" si="65"/>
        <v>1.741551839043906</v>
      </c>
      <c r="O450" s="194">
        <f t="shared" si="70"/>
        <v>1.9512</v>
      </c>
      <c r="P450" s="237">
        <f>AVERAGE(Ashed_controlls!$K$12:$K$14)</f>
        <v>2.2816647271287041</v>
      </c>
      <c r="Q450" s="194">
        <f t="shared" si="66"/>
        <v>1.9066801578442647</v>
      </c>
      <c r="R450" s="383">
        <f>IF('Dry_Litterbag Placem_Collection'!G157="","",'Dry_Litterbag Placem_Collection'!G157)</f>
        <v>43010</v>
      </c>
      <c r="S450" s="194">
        <f>IFERROR(INDEX('Both teabags AfterDry'!$D$3:$D$2000,MATCH(H450,'Both teabags AfterDry'!$A$3:$A$2000,0)),"")</f>
        <v>1.2491000000000001</v>
      </c>
      <c r="T450" s="194">
        <f>IFERROR(INDEX('Both teabags AfterDry'!$D$3:$D$2000,MATCH(I450,'Both teabags AfterDry'!$A$3:$A$2000,0)),"")</f>
        <v>1.8621000000000001</v>
      </c>
      <c r="U450" s="194">
        <f t="shared" si="71"/>
        <v>1.0985</v>
      </c>
      <c r="V450" s="194">
        <f t="shared" si="72"/>
        <v>1.7115</v>
      </c>
      <c r="W450" s="194">
        <f>IFERROR(INDEX('Ashed teabags dry'!$K$2:$K$2000,MATCH(H450,'Ashed teabags dry'!$A$2:$A$2000,0)),"")</f>
        <v>10.862152946907919</v>
      </c>
      <c r="X450" s="194">
        <f>IFERROR(INDEX('Ashed teabags dry'!$K$2:$K$2000,MATCH(I450,'Ashed teabags dry'!$A$2:$A$2000,0)),"")</f>
        <v>2.5172754195451326</v>
      </c>
      <c r="Y450" s="194">
        <f t="shared" si="67"/>
        <v>0.97917924987821658</v>
      </c>
      <c r="Z450" s="194">
        <f t="shared" si="67"/>
        <v>1.6684168311944851</v>
      </c>
      <c r="AA450" s="194">
        <f t="shared" si="73"/>
        <v>0.43775474957106308</v>
      </c>
      <c r="AB450" s="194">
        <f t="shared" si="74"/>
        <v>0.28698411135775159</v>
      </c>
      <c r="AC450" s="194">
        <f t="shared" si="68"/>
        <v>0.87503760100007255</v>
      </c>
      <c r="AD450">
        <f t="shared" si="75"/>
        <v>71</v>
      </c>
      <c r="AE450" s="194">
        <f t="shared" si="76"/>
        <v>0.48010124754030514</v>
      </c>
      <c r="AF450" s="194">
        <f t="shared" si="77"/>
        <v>8.0520633796139461E-3</v>
      </c>
      <c r="AG450" s="252" t="str">
        <f>IF(ISNUMBER(SEARCH("C", 'Dry_Litterbag Placem_Collection'!$V157)),"YES","NO")</f>
        <v>NO</v>
      </c>
      <c r="AH450" s="252" t="str">
        <f>IF(ISNUMBER(SEARCH("H", 'Dry_Litterbag Placem_Collection'!$V157)),"YES","NO")</f>
        <v>NO</v>
      </c>
      <c r="AI450" s="252" t="str">
        <f>IF(ISNUMBER(SEARCH("R", 'Dry_Litterbag Placem_Collection'!$V157)),"YES","NO")</f>
        <v>NO</v>
      </c>
      <c r="AJ450" s="252" t="str">
        <f>IF(ISNUMBER(SEARCH("C", 'Dry_Litterbag Placem_Collection'!$U157)),"YES","NO")</f>
        <v>NO</v>
      </c>
      <c r="AK450" s="252" t="str">
        <f>IF(ISNUMBER(SEARCH("H", 'Dry_Litterbag Placem_Collection'!$U157)),"YES","NO")</f>
        <v>NO</v>
      </c>
      <c r="AL450" s="252" t="str">
        <f>IF(ISNUMBER(SEARCH("R", 'Dry_Litterbag Placem_Collection'!$U157)),"YES","NO")</f>
        <v>NO</v>
      </c>
    </row>
    <row r="451" spans="2:38">
      <c r="B451" t="str">
        <f>'Final data_for_R_analysis_Dryse'!A597</f>
        <v>Dry</v>
      </c>
      <c r="C451" s="260">
        <f>'Final data_for_R_analysis_Dryse'!B597</f>
        <v>156</v>
      </c>
      <c r="D451" t="s">
        <v>3824</v>
      </c>
      <c r="E451" t="s">
        <v>25</v>
      </c>
      <c r="F451" s="382">
        <v>4</v>
      </c>
      <c r="G451" s="383">
        <f>IF('Dry_Litterbag Placem_Collection'!E158="","",'Dry_Litterbag Placem_Collection'!E158)</f>
        <v>42939</v>
      </c>
      <c r="H451" s="92" t="str">
        <f>'Final data_for_R_analysis_Dryse'!K597</f>
        <v>G65</v>
      </c>
      <c r="I451" t="str">
        <f>'Final data_for_R_analysis_Dryse'!K817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69"/>
        <v>1.8252000000000002</v>
      </c>
      <c r="M451" s="237">
        <f>AVERAGE(Ashed_controlls!$K$1:$K$11)</f>
        <v>5.5147656768714146</v>
      </c>
      <c r="N451" s="194">
        <f t="shared" si="65"/>
        <v>1.7245444968657431</v>
      </c>
      <c r="O451" s="194">
        <f t="shared" si="70"/>
        <v>1.9131999999999998</v>
      </c>
      <c r="P451" s="237">
        <f>AVERAGE(Ashed_controlls!$K$12:$K$14)</f>
        <v>2.2816647271287041</v>
      </c>
      <c r="Q451" s="194">
        <f t="shared" si="66"/>
        <v>1.8695471904405734</v>
      </c>
      <c r="R451" s="383">
        <f>IF('Dry_Litterbag Placem_Collection'!G158="","",'Dry_Litterbag Placem_Collection'!G158)</f>
        <v>43010</v>
      </c>
      <c r="S451" s="194">
        <f>IFERROR(INDEX('Both teabags AfterDry'!$D$3:$D$2000,MATCH(H451,'Both teabags AfterDry'!$A$3:$A$2000,0)),"")</f>
        <v>1.0561</v>
      </c>
      <c r="T451" s="194">
        <f>IFERROR(INDEX('Both teabags AfterDry'!$D$3:$D$2000,MATCH(I451,'Both teabags AfterDry'!$A$3:$A$2000,0)),"")</f>
        <v>1.8827</v>
      </c>
      <c r="U451" s="194">
        <f t="shared" si="71"/>
        <v>0.90549999999999997</v>
      </c>
      <c r="V451" s="194">
        <f t="shared" si="72"/>
        <v>1.7321</v>
      </c>
      <c r="W451" s="194">
        <f>IFERROR(INDEX('Ashed teabags dry'!$K$2:$K$2000,MATCH(H451,'Ashed teabags dry'!$A$2:$A$2000,0)),"")</f>
        <v>16.530514175876895</v>
      </c>
      <c r="X451" s="194">
        <f>IFERROR(INDEX('Ashed teabags dry'!$K$2:$K$2000,MATCH(I451,'Ashed teabags dry'!$A$2:$A$2000,0)),"")</f>
        <v>7.2855953372191182</v>
      </c>
      <c r="Y451" s="194">
        <f t="shared" si="67"/>
        <v>0.75581619413743473</v>
      </c>
      <c r="Z451" s="194">
        <f t="shared" si="67"/>
        <v>1.6059062031640277</v>
      </c>
      <c r="AA451" s="194">
        <f t="shared" si="73"/>
        <v>0.56172995506286694</v>
      </c>
      <c r="AB451" s="194">
        <f t="shared" si="74"/>
        <v>0.36826001804596509</v>
      </c>
      <c r="AC451" s="194">
        <f t="shared" si="68"/>
        <v>0.85898136798867497</v>
      </c>
      <c r="AD451">
        <f t="shared" si="75"/>
        <v>71</v>
      </c>
      <c r="AE451" s="194">
        <f t="shared" si="76"/>
        <v>0.33286228614861402</v>
      </c>
      <c r="AF451" s="194">
        <f t="shared" si="77"/>
        <v>6.7996680611456424E-3</v>
      </c>
      <c r="AG451" s="252" t="str">
        <f>IF(ISNUMBER(SEARCH("C", 'Dry_Litterbag Placem_Collection'!$V158)),"YES","NO")</f>
        <v>NO</v>
      </c>
      <c r="AH451" s="252" t="str">
        <f>IF(ISNUMBER(SEARCH("H", 'Dry_Litterbag Placem_Collection'!$V158)),"YES","NO")</f>
        <v>NO</v>
      </c>
      <c r="AI451" s="252" t="str">
        <f>IF(ISNUMBER(SEARCH("R", 'Dry_Litterbag Placem_Collection'!$V158)),"YES","NO")</f>
        <v>NO</v>
      </c>
      <c r="AJ451" s="252" t="str">
        <f>IF(ISNUMBER(SEARCH("C", 'Dry_Litterbag Placem_Collection'!$U158)),"YES","NO")</f>
        <v>NO</v>
      </c>
      <c r="AK451" s="252" t="str">
        <f>IF(ISNUMBER(SEARCH("H", 'Dry_Litterbag Placem_Collection'!$U158)),"YES","NO")</f>
        <v>NO</v>
      </c>
      <c r="AL451" s="252" t="str">
        <f>IF(ISNUMBER(SEARCH("R", 'Dry_Litterbag Placem_Collection'!$U158)),"YES","NO")</f>
        <v>NO</v>
      </c>
    </row>
    <row r="452" spans="2:38">
      <c r="B452" t="str">
        <f>'Final data_for_R_analysis_Dryse'!A598</f>
        <v>Dry</v>
      </c>
      <c r="C452" s="260">
        <f>'Final data_for_R_analysis_Dryse'!B598</f>
        <v>157</v>
      </c>
      <c r="D452" t="s">
        <v>3824</v>
      </c>
      <c r="E452" t="s">
        <v>25</v>
      </c>
      <c r="F452" s="382">
        <v>5</v>
      </c>
      <c r="G452" s="383">
        <f>IF('Dry_Litterbag Placem_Collection'!E159="","",'Dry_Litterbag Placem_Collection'!E159)</f>
        <v>42939</v>
      </c>
      <c r="H452" s="92" t="str">
        <f>'Final data_for_R_analysis_Dryse'!K598</f>
        <v>G33</v>
      </c>
      <c r="I452" t="str">
        <f>'Final data_for_R_analysis_Dryse'!K818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69"/>
        <v>1.8081999999999998</v>
      </c>
      <c r="M452" s="237">
        <f>AVERAGE(Ashed_controlls!$K$1:$K$11)</f>
        <v>5.5147656768714146</v>
      </c>
      <c r="N452" s="194">
        <f t="shared" si="65"/>
        <v>1.7084820070308109</v>
      </c>
      <c r="O452" s="194">
        <f t="shared" si="70"/>
        <v>1.9331999999999998</v>
      </c>
      <c r="P452" s="237">
        <f>AVERAGE(Ashed_controlls!$K$12:$K$14)</f>
        <v>2.2816647271287041</v>
      </c>
      <c r="Q452" s="194">
        <f t="shared" si="66"/>
        <v>1.8890908574951477</v>
      </c>
      <c r="R452" s="383">
        <f>IF('Dry_Litterbag Placem_Collection'!G159="","",'Dry_Litterbag Placem_Collection'!G159)</f>
        <v>43010</v>
      </c>
      <c r="S452" s="194" t="str">
        <f>IFERROR(INDEX('Both teabags AfterDry'!$D$3:$D$2000,MATCH(H452,'Both teabags AfterDry'!$A$3:$A$2000,0)),"")</f>
        <v/>
      </c>
      <c r="T452" s="194" t="str">
        <f>IFERROR(INDEX('Both teabags AfterDry'!$D$3:$D$2000,MATCH(I452,'Both teabags AfterDry'!$A$3:$A$2000,0)),"")</f>
        <v/>
      </c>
      <c r="U452" s="194" t="str">
        <f t="shared" si="71"/>
        <v/>
      </c>
      <c r="V452" s="194" t="str">
        <f t="shared" si="72"/>
        <v/>
      </c>
      <c r="W452" s="194" t="str">
        <f>IFERROR(INDEX('Ashed teabags dry'!$K$2:$K$2000,MATCH(H452,'Ashed teabags dry'!$A$2:$A$2000,0)),"")</f>
        <v/>
      </c>
      <c r="X452" s="194" t="str">
        <f>IFERROR(INDEX('Ashed teabags dry'!$K$2:$K$2000,MATCH(I452,'Ashed teabags dry'!$A$2:$A$2000,0)),"")</f>
        <v/>
      </c>
      <c r="Y452" s="194" t="str">
        <f t="shared" si="67"/>
        <v/>
      </c>
      <c r="Z452" s="194" t="str">
        <f t="shared" si="67"/>
        <v/>
      </c>
      <c r="AA452" s="194" t="str">
        <f t="shared" si="73"/>
        <v/>
      </c>
      <c r="AB452" s="194" t="str">
        <f t="shared" si="74"/>
        <v/>
      </c>
      <c r="AC452" s="194" t="str">
        <f t="shared" si="68"/>
        <v/>
      </c>
      <c r="AD452">
        <f t="shared" si="75"/>
        <v>71</v>
      </c>
      <c r="AE452" s="194" t="str">
        <f t="shared" si="76"/>
        <v/>
      </c>
      <c r="AF452" s="194" t="str">
        <f t="shared" si="77"/>
        <v/>
      </c>
      <c r="AG452" s="252" t="str">
        <f>IF(ISNUMBER(SEARCH("C", 'Dry_Litterbag Placem_Collection'!$V159)),"YES","NO")</f>
        <v>NO</v>
      </c>
      <c r="AH452" s="252" t="str">
        <f>IF(ISNUMBER(SEARCH("H", 'Dry_Litterbag Placem_Collection'!$V159)),"YES","NO")</f>
        <v>NO</v>
      </c>
      <c r="AI452" s="252" t="str">
        <f>IF(ISNUMBER(SEARCH("R", 'Dry_Litterbag Placem_Collection'!$V159)),"YES","NO")</f>
        <v>NO</v>
      </c>
      <c r="AJ452" s="252" t="str">
        <f>IF(ISNUMBER(SEARCH("C", 'Dry_Litterbag Placem_Collection'!$U159)),"YES","NO")</f>
        <v>NO</v>
      </c>
      <c r="AK452" s="252" t="str">
        <f>IF(ISNUMBER(SEARCH("H", 'Dry_Litterbag Placem_Collection'!$U159)),"YES","NO")</f>
        <v>NO</v>
      </c>
      <c r="AL452" s="252" t="str">
        <f>IF(ISNUMBER(SEARCH("R", 'Dry_Litterbag Placem_Collection'!$U159)),"YES","NO")</f>
        <v>NO</v>
      </c>
    </row>
    <row r="453" spans="2:38">
      <c r="B453" t="str">
        <f>'Final data_for_R_analysis_Dryse'!A599</f>
        <v>Dry</v>
      </c>
      <c r="C453" s="260">
        <f>'Final data_for_R_analysis_Dryse'!B599</f>
        <v>158</v>
      </c>
      <c r="D453" t="s">
        <v>3824</v>
      </c>
      <c r="E453" t="s">
        <v>25</v>
      </c>
      <c r="F453" s="382">
        <v>6</v>
      </c>
      <c r="G453" s="383">
        <f>IF('Dry_Litterbag Placem_Collection'!E160="","",'Dry_Litterbag Placem_Collection'!E160)</f>
        <v>42939</v>
      </c>
      <c r="H453" s="92" t="str">
        <f>'Final data_for_R_analysis_Dryse'!K599</f>
        <v>G153</v>
      </c>
      <c r="I453" t="str">
        <f>'Final data_for_R_analysis_Dryse'!K819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69"/>
        <v>1.8031999999999999</v>
      </c>
      <c r="M453" s="237">
        <f>AVERAGE(Ashed_controlls!$K$1:$K$11)</f>
        <v>5.5147656768714146</v>
      </c>
      <c r="N453" s="194">
        <f t="shared" si="65"/>
        <v>1.7037577453146546</v>
      </c>
      <c r="O453" s="194">
        <f t="shared" si="70"/>
        <v>1.9891999999999999</v>
      </c>
      <c r="P453" s="237">
        <f>AVERAGE(Ashed_controlls!$K$12:$K$14)</f>
        <v>2.2816647271287041</v>
      </c>
      <c r="Q453" s="194">
        <f t="shared" si="66"/>
        <v>1.9438131252479556</v>
      </c>
      <c r="R453" s="383">
        <f>IF('Dry_Litterbag Placem_Collection'!G160="","",'Dry_Litterbag Placem_Collection'!G160)</f>
        <v>43010</v>
      </c>
      <c r="S453" s="194">
        <f>IFERROR(INDEX('Both teabags AfterDry'!$D$3:$D$2000,MATCH(H453,'Both teabags AfterDry'!$A$3:$A$2000,0)),"")</f>
        <v>0.87609999999999999</v>
      </c>
      <c r="T453" s="194">
        <f>IFERROR(INDEX('Both teabags AfterDry'!$D$3:$D$2000,MATCH(I453,'Both teabags AfterDry'!$A$3:$A$2000,0)),"")</f>
        <v>1.7898000000000001</v>
      </c>
      <c r="U453" s="194">
        <f t="shared" si="71"/>
        <v>0.72550000000000003</v>
      </c>
      <c r="V453" s="194">
        <f t="shared" si="72"/>
        <v>1.6392</v>
      </c>
      <c r="W453" s="194">
        <f>IFERROR(INDEX('Ashed teabags dry'!$K$2:$K$2000,MATCH(H453,'Ashed teabags dry'!$A$2:$A$2000,0)),"")</f>
        <v>71.165940977261897</v>
      </c>
      <c r="X453" s="194">
        <f>IFERROR(INDEX('Ashed teabags dry'!$K$2:$K$2000,MATCH(I453,'Ashed teabags dry'!$A$2:$A$2000,0)),"")</f>
        <v>4.8905449464368154</v>
      </c>
      <c r="Y453" s="194">
        <f t="shared" si="67"/>
        <v>0.20919109820996495</v>
      </c>
      <c r="Z453" s="194">
        <f t="shared" si="67"/>
        <v>1.5590341872380078</v>
      </c>
      <c r="AA453" s="194">
        <f t="shared" si="73"/>
        <v>0.87721781527612019</v>
      </c>
      <c r="AB453" s="194">
        <f t="shared" si="74"/>
        <v>0.57508816393398854</v>
      </c>
      <c r="AC453" s="194">
        <f t="shared" si="68"/>
        <v>0.80204941873676006</v>
      </c>
      <c r="AD453">
        <f t="shared" si="75"/>
        <v>71</v>
      </c>
      <c r="AE453" s="194">
        <f t="shared" si="76"/>
        <v>-4.1826383938385003E-2</v>
      </c>
      <c r="AF453" s="194">
        <f t="shared" si="77"/>
        <v>5.942440788451183E-3</v>
      </c>
      <c r="AG453" s="252" t="str">
        <f>IF(ISNUMBER(SEARCH("C", 'Dry_Litterbag Placem_Collection'!$V160)),"YES","NO")</f>
        <v>NO</v>
      </c>
      <c r="AH453" s="252" t="str">
        <f>IF(ISNUMBER(SEARCH("H", 'Dry_Litterbag Placem_Collection'!$V160)),"YES","NO")</f>
        <v>NO</v>
      </c>
      <c r="AI453" s="252" t="str">
        <f>IF(ISNUMBER(SEARCH("R", 'Dry_Litterbag Placem_Collection'!$V160)),"YES","NO")</f>
        <v>NO</v>
      </c>
      <c r="AJ453" s="252" t="str">
        <f>IF(ISNUMBER(SEARCH("C", 'Dry_Litterbag Placem_Collection'!$U160)),"YES","NO")</f>
        <v>NO</v>
      </c>
      <c r="AK453" s="252" t="str">
        <f>IF(ISNUMBER(SEARCH("H", 'Dry_Litterbag Placem_Collection'!$U160)),"YES","NO")</f>
        <v>NO</v>
      </c>
      <c r="AL453" s="252" t="str">
        <f>IF(ISNUMBER(SEARCH("R", 'Dry_Litterbag Placem_Collection'!$U160)),"YES","NO")</f>
        <v>NO</v>
      </c>
    </row>
    <row r="454" spans="2:38">
      <c r="B454" t="str">
        <f>'Final data_for_R_analysis_Dryse'!A600</f>
        <v>Dry</v>
      </c>
      <c r="C454" s="260">
        <f>'Final data_for_R_analysis_Dryse'!B600</f>
        <v>159</v>
      </c>
      <c r="D454" t="s">
        <v>3824</v>
      </c>
      <c r="E454" t="s">
        <v>25</v>
      </c>
      <c r="F454" s="382">
        <v>7</v>
      </c>
      <c r="G454" s="383" t="str">
        <f>IF('Dry_Litterbag Placem_Collection'!E161="","",'Dry_Litterbag Placem_Collection'!E161)</f>
        <v/>
      </c>
      <c r="H454" s="92" t="str">
        <f>'Final data_for_R_analysis_Dryse'!K600</f>
        <v/>
      </c>
      <c r="I454" t="str">
        <f>'Final data_for_R_analysis_Dryse'!K820</f>
        <v/>
      </c>
      <c r="J454" t="str">
        <f>IFERROR(INDEX('Green_rooibos initial weight'!$C$5:$C$2000,MATCH(H454, 'Green_rooibos initial weight'!$A$5:$A$2000,0)),"")</f>
        <v/>
      </c>
      <c r="K454" t="str">
        <f>IFERROR(INDEX('Green_rooibos initial weight'!$C$5:$C$2000,MATCH(I454, 'Green_rooibos initial weight'!$A$5:$A$2000,0)),"")</f>
        <v/>
      </c>
      <c r="L454" s="194" t="str">
        <f t="shared" si="69"/>
        <v/>
      </c>
      <c r="M454" s="237">
        <f>AVERAGE(Ashed_controlls!$K$1:$K$11)</f>
        <v>5.5147656768714146</v>
      </c>
      <c r="N454" s="194" t="str">
        <f t="shared" si="65"/>
        <v/>
      </c>
      <c r="O454" s="194" t="str">
        <f t="shared" si="70"/>
        <v/>
      </c>
      <c r="P454" s="237">
        <f>AVERAGE(Ashed_controlls!$K$12:$K$14)</f>
        <v>2.2816647271287041</v>
      </c>
      <c r="Q454" s="194" t="str">
        <f t="shared" si="66"/>
        <v/>
      </c>
      <c r="R454" s="383" t="str">
        <f>IF('Dry_Litterbag Placem_Collection'!G161="","",'Dry_Litterbag Placem_Collection'!G161)</f>
        <v/>
      </c>
      <c r="S454" s="194" t="str">
        <f>IFERROR(INDEX('Both teabags AfterDry'!$D$3:$D$2000,MATCH(H454,'Both teabags AfterDry'!$A$3:$A$2000,0)),"")</f>
        <v/>
      </c>
      <c r="T454" s="194" t="str">
        <f>IFERROR(INDEX('Both teabags AfterDry'!$D$3:$D$2000,MATCH(I454,'Both teabags AfterDry'!$A$3:$A$2000,0)),"")</f>
        <v/>
      </c>
      <c r="U454" s="194" t="str">
        <f t="shared" si="71"/>
        <v/>
      </c>
      <c r="V454" s="194" t="str">
        <f t="shared" si="72"/>
        <v/>
      </c>
      <c r="W454" s="194" t="str">
        <f>IFERROR(INDEX('Ashed teabags dry'!$K$2:$K$2000,MATCH(H454,'Ashed teabags dry'!$A$2:$A$2000,0)),"")</f>
        <v/>
      </c>
      <c r="X454" s="194" t="str">
        <f>IFERROR(INDEX('Ashed teabags dry'!$K$2:$K$2000,MATCH(I454,'Ashed teabags dry'!$A$2:$A$2000,0)),"")</f>
        <v/>
      </c>
      <c r="Y454" s="194" t="str">
        <f t="shared" si="67"/>
        <v/>
      </c>
      <c r="Z454" s="194" t="str">
        <f t="shared" si="67"/>
        <v/>
      </c>
      <c r="AA454" s="194" t="str">
        <f t="shared" si="73"/>
        <v/>
      </c>
      <c r="AB454" s="194" t="str">
        <f t="shared" si="74"/>
        <v/>
      </c>
      <c r="AC454" s="194" t="str">
        <f t="shared" si="68"/>
        <v/>
      </c>
      <c r="AD454" t="str">
        <f t="shared" si="75"/>
        <v/>
      </c>
      <c r="AE454" s="194" t="str">
        <f t="shared" si="76"/>
        <v/>
      </c>
      <c r="AF454" s="194" t="str">
        <f t="shared" si="77"/>
        <v/>
      </c>
      <c r="AG454" s="252" t="str">
        <f>IF(ISNUMBER(SEARCH("C", 'Dry_Litterbag Placem_Collection'!$V161)),"YES","NO")</f>
        <v>NO</v>
      </c>
      <c r="AH454" s="252" t="str">
        <f>IF(ISNUMBER(SEARCH("H", 'Dry_Litterbag Placem_Collection'!$V161)),"YES","NO")</f>
        <v>NO</v>
      </c>
      <c r="AI454" s="252" t="str">
        <f>IF(ISNUMBER(SEARCH("R", 'Dry_Litterbag Placem_Collection'!$V161)),"YES","NO")</f>
        <v>NO</v>
      </c>
      <c r="AJ454" s="252" t="str">
        <f>IF(ISNUMBER(SEARCH("C", 'Dry_Litterbag Placem_Collection'!$U161)),"YES","NO")</f>
        <v>NO</v>
      </c>
      <c r="AK454" s="252" t="str">
        <f>IF(ISNUMBER(SEARCH("H", 'Dry_Litterbag Placem_Collection'!$U161)),"YES","NO")</f>
        <v>NO</v>
      </c>
      <c r="AL454" s="252" t="str">
        <f>IF(ISNUMBER(SEARCH("R", 'Dry_Litterbag Placem_Collection'!$U161)),"YES","NO")</f>
        <v>NO</v>
      </c>
    </row>
    <row r="455" spans="2:38">
      <c r="B455" t="str">
        <f>'Final data_for_R_analysis_Dryse'!A601</f>
        <v>Dry</v>
      </c>
      <c r="C455" s="260">
        <f>'Final data_for_R_analysis_Dryse'!B601</f>
        <v>160</v>
      </c>
      <c r="D455" t="s">
        <v>3824</v>
      </c>
      <c r="E455" t="s">
        <v>25</v>
      </c>
      <c r="F455" s="382">
        <v>8</v>
      </c>
      <c r="G455" s="383">
        <f>IF('Dry_Litterbag Placem_Collection'!E162="","",'Dry_Litterbag Placem_Collection'!E162)</f>
        <v>42939</v>
      </c>
      <c r="H455" s="92" t="str">
        <f>'Final data_for_R_analysis_Dryse'!K601</f>
        <v>G175</v>
      </c>
      <c r="I455" t="str">
        <f>'Final data_for_R_analysis_Dryse'!K821</f>
        <v>R350</v>
      </c>
      <c r="J455">
        <f>IFERROR(INDEX('Green_rooibos initial weight'!$C$5:$C$2000,MATCH(H455, 'Green_rooibos initial weight'!$A$5:$A$2000,0)),"")</f>
        <v>1.9930000000000001</v>
      </c>
      <c r="K455">
        <f>IFERROR(INDEX('Green_rooibos initial weight'!$C$5:$C$2000,MATCH(I455, 'Green_rooibos initial weight'!$A$5:$A$2000,0)),"")</f>
        <v>2.21</v>
      </c>
      <c r="L455" s="194">
        <f t="shared" si="69"/>
        <v>1.7432000000000001</v>
      </c>
      <c r="M455" s="237">
        <f>AVERAGE(Ashed_controlls!$K$1:$K$11)</f>
        <v>5.5147656768714146</v>
      </c>
      <c r="N455" s="194">
        <f t="shared" si="65"/>
        <v>1.6470666047207776</v>
      </c>
      <c r="O455" s="194">
        <f t="shared" si="70"/>
        <v>1.9601999999999999</v>
      </c>
      <c r="P455" s="237">
        <f>AVERAGE(Ashed_controlls!$K$12:$K$14)</f>
        <v>2.2816647271287041</v>
      </c>
      <c r="Q455" s="194">
        <f t="shared" si="66"/>
        <v>1.9154748080188231</v>
      </c>
      <c r="R455" s="383">
        <f>IF('Dry_Litterbag Placem_Collection'!G162="","",'Dry_Litterbag Placem_Collection'!G162)</f>
        <v>43010</v>
      </c>
      <c r="S455" s="194">
        <f>IFERROR(INDEX('Both teabags AfterDry'!$D$3:$D$2000,MATCH(H455,'Both teabags AfterDry'!$A$3:$A$2000,0)),"")</f>
        <v>1.2042999999999999</v>
      </c>
      <c r="T455" s="194">
        <f>IFERROR(INDEX('Both teabags AfterDry'!$D$3:$D$2000,MATCH(I455,'Both teabags AfterDry'!$A$3:$A$2000,0)),"")</f>
        <v>1.9824999999999999</v>
      </c>
      <c r="U455" s="194">
        <f t="shared" si="71"/>
        <v>1.0536999999999999</v>
      </c>
      <c r="V455" s="194">
        <f t="shared" si="72"/>
        <v>1.8318999999999999</v>
      </c>
      <c r="W455" s="194">
        <f>IFERROR(INDEX('Ashed teabags dry'!$K$2:$K$2000,MATCH(H455,'Ashed teabags dry'!$A$2:$A$2000,0)),"")</f>
        <v>22.557651991613749</v>
      </c>
      <c r="X455" s="194">
        <f>IFERROR(INDEX('Ashed teabags dry'!$K$2:$K$2000,MATCH(I455,'Ashed teabags dry'!$A$2:$A$2000,0)),"")</f>
        <v>4.4153323629310188</v>
      </c>
      <c r="Y455" s="194">
        <f t="shared" si="67"/>
        <v>0.81601002096436581</v>
      </c>
      <c r="Z455" s="194">
        <f t="shared" si="67"/>
        <v>1.7510155264434666</v>
      </c>
      <c r="AA455" s="194">
        <f t="shared" si="73"/>
        <v>0.50456768498278093</v>
      </c>
      <c r="AB455" s="194">
        <f t="shared" si="74"/>
        <v>0.33078546568942413</v>
      </c>
      <c r="AC455" s="194">
        <f t="shared" si="68"/>
        <v>0.91414176741616515</v>
      </c>
      <c r="AD455">
        <f t="shared" si="75"/>
        <v>71</v>
      </c>
      <c r="AE455" s="194">
        <f t="shared" si="76"/>
        <v>0.40075096795394183</v>
      </c>
      <c r="AF455" s="194">
        <f t="shared" si="77"/>
        <v>4.232519248388405E-3</v>
      </c>
      <c r="AG455" s="252" t="str">
        <f>IF(ISNUMBER(SEARCH("C", 'Dry_Litterbag Placem_Collection'!$V162)),"YES","NO")</f>
        <v>NO</v>
      </c>
      <c r="AH455" s="252" t="str">
        <f>IF(ISNUMBER(SEARCH("H", 'Dry_Litterbag Placem_Collection'!$V162)),"YES","NO")</f>
        <v>NO</v>
      </c>
      <c r="AI455" s="252" t="str">
        <f>IF(ISNUMBER(SEARCH("R", 'Dry_Litterbag Placem_Collection'!$V162)),"YES","NO")</f>
        <v>NO</v>
      </c>
      <c r="AJ455" s="252" t="str">
        <f>IF(ISNUMBER(SEARCH("C", 'Dry_Litterbag Placem_Collection'!$U162)),"YES","NO")</f>
        <v>NO</v>
      </c>
      <c r="AK455" s="252" t="str">
        <f>IF(ISNUMBER(SEARCH("H", 'Dry_Litterbag Placem_Collection'!$U162)),"YES","NO")</f>
        <v>NO</v>
      </c>
      <c r="AL455" s="252" t="str">
        <f>IF(ISNUMBER(SEARCH("R", 'Dry_Litterbag Placem_Collection'!$U162)),"YES","NO")</f>
        <v>NO</v>
      </c>
    </row>
    <row r="456" spans="2:38">
      <c r="B456" t="str">
        <f>'Final data_for_R_analysis_Dryse'!A602</f>
        <v>Dry</v>
      </c>
      <c r="C456" s="260">
        <f>'Final data_for_R_analysis_Dryse'!B602</f>
        <v>161</v>
      </c>
      <c r="D456" t="s">
        <v>3825</v>
      </c>
      <c r="E456" t="s">
        <v>25</v>
      </c>
      <c r="F456" s="381">
        <v>1</v>
      </c>
      <c r="G456" s="383">
        <f>IF('Dry_Litterbag Placem_Collection'!E163="","",'Dry_Litterbag Placem_Collection'!E163)</f>
        <v>42940</v>
      </c>
      <c r="H456" s="92" t="str">
        <f>'Final data_for_R_analysis_Dryse'!K602</f>
        <v>G207</v>
      </c>
      <c r="I456" t="str">
        <f>'Final data_for_R_analysis_Dryse'!K822</f>
        <v>R314</v>
      </c>
      <c r="J456">
        <f>IFERROR(INDEX('Green_rooibos initial weight'!$C$5:$C$2000,MATCH(H456, 'Green_rooibos initial weight'!$A$5:$A$2000,0)),"")</f>
        <v>2.1539999999999999</v>
      </c>
      <c r="K456">
        <f>IFERROR(INDEX('Green_rooibos initial weight'!$C$5:$C$2000,MATCH(I456, 'Green_rooibos initial weight'!$A$5:$A$2000,0)),"")</f>
        <v>2.17</v>
      </c>
      <c r="L456" s="194">
        <f t="shared" si="69"/>
        <v>1.9041999999999999</v>
      </c>
      <c r="M456" s="237">
        <f>AVERAGE(Ashed_controlls!$K$1:$K$11)</f>
        <v>5.5147656768714146</v>
      </c>
      <c r="N456" s="194">
        <f t="shared" si="65"/>
        <v>1.7991878319810144</v>
      </c>
      <c r="O456" s="194">
        <f t="shared" si="70"/>
        <v>1.9201999999999999</v>
      </c>
      <c r="P456" s="237">
        <f>AVERAGE(Ashed_controlls!$K$12:$K$14)</f>
        <v>2.2816647271287041</v>
      </c>
      <c r="Q456" s="194">
        <f t="shared" si="66"/>
        <v>1.8763874739096746</v>
      </c>
      <c r="R456" s="383">
        <f>IF('Dry_Litterbag Placem_Collection'!G163="","",'Dry_Litterbag Placem_Collection'!G163)</f>
        <v>43009</v>
      </c>
      <c r="S456" s="194">
        <f>IFERROR(INDEX('Both teabags AfterDry'!$D$3:$D$2000,MATCH(H456,'Both teabags AfterDry'!$A$3:$A$2000,0)),"")</f>
        <v>0.76570000000000005</v>
      </c>
      <c r="T456" s="194">
        <f>IFERROR(INDEX('Both teabags AfterDry'!$D$3:$D$2000,MATCH(I456,'Both teabags AfterDry'!$A$3:$A$2000,0)),"")</f>
        <v>1.7397</v>
      </c>
      <c r="U456" s="194">
        <f t="shared" si="71"/>
        <v>0.61509999999999998</v>
      </c>
      <c r="V456" s="194">
        <f t="shared" si="72"/>
        <v>1.5891</v>
      </c>
      <c r="W456" s="194">
        <f>IFERROR(INDEX('Ashed teabags dry'!$K$2:$K$2000,MATCH(H456,'Ashed teabags dry'!$A$2:$A$2000,0)),"")</f>
        <v>21.881091617933993</v>
      </c>
      <c r="X456" s="194">
        <f>IFERROR(INDEX('Ashed teabags dry'!$K$2:$K$2000,MATCH(I456,'Ashed teabags dry'!$A$2:$A$2000,0)),"")</f>
        <v>4.8425011753644043</v>
      </c>
      <c r="Y456" s="194">
        <f t="shared" si="67"/>
        <v>0.48050940545808796</v>
      </c>
      <c r="Z456" s="194">
        <f t="shared" si="67"/>
        <v>1.5121478138222841</v>
      </c>
      <c r="AA456" s="194">
        <f t="shared" si="73"/>
        <v>0.73292982704923137</v>
      </c>
      <c r="AB456" s="194">
        <f t="shared" si="74"/>
        <v>0.48049556357621825</v>
      </c>
      <c r="AC456" s="194">
        <f t="shared" si="68"/>
        <v>0.80588249220804364</v>
      </c>
      <c r="AD456">
        <f t="shared" si="75"/>
        <v>69</v>
      </c>
      <c r="AE456" s="194">
        <f t="shared" si="76"/>
        <v>0.12953702250685106</v>
      </c>
      <c r="AF456" s="194">
        <f t="shared" si="77"/>
        <v>7.5000751326066767E-3</v>
      </c>
      <c r="AG456" s="252" t="str">
        <f>IF(ISNUMBER(SEARCH("C", 'Dry_Litterbag Placem_Collection'!$V163)),"YES","NO")</f>
        <v>NO</v>
      </c>
      <c r="AH456" s="252" t="str">
        <f>IF(ISNUMBER(SEARCH("H", 'Dry_Litterbag Placem_Collection'!$V163)),"YES","NO")</f>
        <v>NO</v>
      </c>
      <c r="AI456" s="252" t="str">
        <f>IF(ISNUMBER(SEARCH("R", 'Dry_Litterbag Placem_Collection'!$V163)),"YES","NO")</f>
        <v>NO</v>
      </c>
      <c r="AJ456" s="252" t="str">
        <f>IF(ISNUMBER(SEARCH("C", 'Dry_Litterbag Placem_Collection'!$U163)),"YES","NO")</f>
        <v>NO</v>
      </c>
      <c r="AK456" s="252" t="str">
        <f>IF(ISNUMBER(SEARCH("H", 'Dry_Litterbag Placem_Collection'!$U163)),"YES","NO")</f>
        <v>NO</v>
      </c>
      <c r="AL456" s="252" t="str">
        <f>IF(ISNUMBER(SEARCH("R", 'Dry_Litterbag Placem_Collection'!$U163)),"YES","NO")</f>
        <v>NO</v>
      </c>
    </row>
    <row r="457" spans="2:38">
      <c r="B457" t="str">
        <f>'Final data_for_R_analysis_Dryse'!A603</f>
        <v>Dry</v>
      </c>
      <c r="C457" s="260">
        <f>'Final data_for_R_analysis_Dryse'!B603</f>
        <v>162</v>
      </c>
      <c r="D457" t="s">
        <v>3825</v>
      </c>
      <c r="E457" t="s">
        <v>25</v>
      </c>
      <c r="F457" s="381">
        <v>2</v>
      </c>
      <c r="G457" s="383">
        <f>IF('Dry_Litterbag Placem_Collection'!E164="","",'Dry_Litterbag Placem_Collection'!E164)</f>
        <v>42940</v>
      </c>
      <c r="H457" s="92" t="str">
        <f>'Final data_for_R_analysis_Dryse'!K603</f>
        <v>G580</v>
      </c>
      <c r="I457" t="str">
        <f>'Final data_for_R_analysis_Dryse'!K823</f>
        <v>R425</v>
      </c>
      <c r="J457">
        <f>IFERROR(INDEX('Green_rooibos initial weight'!$C$5:$C$2000,MATCH(H457, 'Green_rooibos initial weight'!$A$5:$A$2000,0)),"")</f>
        <v>2.1440000000000001</v>
      </c>
      <c r="K457">
        <f>IFERROR(INDEX('Green_rooibos initial weight'!$C$5:$C$2000,MATCH(I457, 'Green_rooibos initial weight'!$A$5:$A$2000,0)),"")</f>
        <v>2.25</v>
      </c>
      <c r="L457" s="194">
        <f t="shared" si="69"/>
        <v>1.8942000000000001</v>
      </c>
      <c r="M457" s="237">
        <f>AVERAGE(Ashed_controlls!$K$1:$K$11)</f>
        <v>5.5147656768714146</v>
      </c>
      <c r="N457" s="194">
        <f t="shared" si="65"/>
        <v>1.7897393085487017</v>
      </c>
      <c r="O457" s="194">
        <f t="shared" si="70"/>
        <v>2.0002</v>
      </c>
      <c r="P457" s="237">
        <f>AVERAGE(Ashed_controlls!$K$12:$K$14)</f>
        <v>2.2816647271287041</v>
      </c>
      <c r="Q457" s="194">
        <f t="shared" si="66"/>
        <v>1.9545621421279717</v>
      </c>
      <c r="R457" s="383">
        <f>IF('Dry_Litterbag Placem_Collection'!G164="","",'Dry_Litterbag Placem_Collection'!G164)</f>
        <v>43009</v>
      </c>
      <c r="S457" s="194">
        <f>IFERROR(INDEX('Both teabags AfterDry'!$D$3:$D$2000,MATCH(H457,'Both teabags AfterDry'!$A$3:$A$2000,0)),"")</f>
        <v>0.84409999999999996</v>
      </c>
      <c r="T457" s="194">
        <f>IFERROR(INDEX('Both teabags AfterDry'!$D$3:$D$2000,MATCH(I457,'Both teabags AfterDry'!$A$3:$A$2000,0)),"")</f>
        <v>1.8856999999999999</v>
      </c>
      <c r="U457" s="194">
        <f t="shared" si="71"/>
        <v>0.69350000000000001</v>
      </c>
      <c r="V457" s="194">
        <f t="shared" si="72"/>
        <v>1.7350999999999999</v>
      </c>
      <c r="W457" s="194">
        <f>IFERROR(INDEX('Ashed teabags dry'!$K$2:$K$2000,MATCH(H457,'Ashed teabags dry'!$A$2:$A$2000,0)),"")</f>
        <v>19.492789656887485</v>
      </c>
      <c r="X457" s="194">
        <f>IFERROR(INDEX('Ashed teabags dry'!$K$2:$K$2000,MATCH(I457,'Ashed teabags dry'!$A$2:$A$2000,0)),"")</f>
        <v>6.8486590038315791</v>
      </c>
      <c r="Y457" s="194">
        <f t="shared" si="67"/>
        <v>0.5583175037294853</v>
      </c>
      <c r="Z457" s="194">
        <f t="shared" si="67"/>
        <v>1.6162689176245182</v>
      </c>
      <c r="AA457" s="194">
        <f t="shared" si="73"/>
        <v>0.68804534768685133</v>
      </c>
      <c r="AB457" s="194">
        <f t="shared" si="74"/>
        <v>0.45107010917237766</v>
      </c>
      <c r="AC457" s="194">
        <f t="shared" si="68"/>
        <v>0.82692122332056073</v>
      </c>
      <c r="AD457">
        <f t="shared" si="75"/>
        <v>69</v>
      </c>
      <c r="AE457" s="194">
        <f t="shared" si="76"/>
        <v>0.18284400512250432</v>
      </c>
      <c r="AF457" s="194">
        <f t="shared" si="77"/>
        <v>7.0149687682593397E-3</v>
      </c>
      <c r="AG457" s="252" t="str">
        <f>IF(ISNUMBER(SEARCH("C", 'Dry_Litterbag Placem_Collection'!$V164)),"YES","NO")</f>
        <v>NO</v>
      </c>
      <c r="AH457" s="252" t="str">
        <f>IF(ISNUMBER(SEARCH("H", 'Dry_Litterbag Placem_Collection'!$V164)),"YES","NO")</f>
        <v>NO</v>
      </c>
      <c r="AI457" s="252" t="str">
        <f>IF(ISNUMBER(SEARCH("R", 'Dry_Litterbag Placem_Collection'!$V164)),"YES","NO")</f>
        <v>NO</v>
      </c>
      <c r="AJ457" s="252" t="str">
        <f>IF(ISNUMBER(SEARCH("C", 'Dry_Litterbag Placem_Collection'!$U164)),"YES","NO")</f>
        <v>NO</v>
      </c>
      <c r="AK457" s="252" t="str">
        <f>IF(ISNUMBER(SEARCH("H", 'Dry_Litterbag Placem_Collection'!$U164)),"YES","NO")</f>
        <v>NO</v>
      </c>
      <c r="AL457" s="252" t="str">
        <f>IF(ISNUMBER(SEARCH("R", 'Dry_Litterbag Placem_Collection'!$U164)),"YES","NO")</f>
        <v>NO</v>
      </c>
    </row>
    <row r="458" spans="2:38">
      <c r="B458" t="str">
        <f>'Final data_for_R_analysis_Dryse'!A604</f>
        <v>Dry</v>
      </c>
      <c r="C458" s="260">
        <f>'Final data_for_R_analysis_Dryse'!B604</f>
        <v>163</v>
      </c>
      <c r="D458" t="s">
        <v>3825</v>
      </c>
      <c r="E458" t="s">
        <v>25</v>
      </c>
      <c r="F458" s="381">
        <v>3</v>
      </c>
      <c r="G458" s="383">
        <f>IF('Dry_Litterbag Placem_Collection'!E165="","",'Dry_Litterbag Placem_Collection'!E165)</f>
        <v>42940</v>
      </c>
      <c r="H458" s="92" t="str">
        <f>'Final data_for_R_analysis_Dryse'!K604</f>
        <v>G722</v>
      </c>
      <c r="I458" t="str">
        <f>'Final data_for_R_analysis_Dryse'!K824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69"/>
        <v>1.8292000000000002</v>
      </c>
      <c r="M458" s="237">
        <f>AVERAGE(Ashed_controlls!$K$1:$K$11)</f>
        <v>5.5147656768714146</v>
      </c>
      <c r="N458" s="194">
        <f t="shared" si="65"/>
        <v>1.7283239062386682</v>
      </c>
      <c r="O458" s="194">
        <f t="shared" si="70"/>
        <v>1.9432</v>
      </c>
      <c r="P458" s="237">
        <f>AVERAGE(Ashed_controlls!$K$12:$K$14)</f>
        <v>2.2816647271287041</v>
      </c>
      <c r="Q458" s="194">
        <f t="shared" si="66"/>
        <v>1.8988626910224351</v>
      </c>
      <c r="R458" s="383">
        <f>IF('Dry_Litterbag Placem_Collection'!G165="","",'Dry_Litterbag Placem_Collection'!G165)</f>
        <v>43009</v>
      </c>
      <c r="S458" s="194">
        <f>IFERROR(INDEX('Both teabags AfterDry'!$D$3:$D$2000,MATCH(H458,'Both teabags AfterDry'!$A$3:$A$2000,0)),"")</f>
        <v>0.86109999999999998</v>
      </c>
      <c r="T458" s="194">
        <f>IFERROR(INDEX('Both teabags AfterDry'!$D$3:$D$2000,MATCH(I458,'Both teabags AfterDry'!$A$3:$A$2000,0)),"")</f>
        <v>1.7754000000000001</v>
      </c>
      <c r="U458" s="194">
        <f t="shared" si="71"/>
        <v>0.71049999999999991</v>
      </c>
      <c r="V458" s="194">
        <f t="shared" si="72"/>
        <v>1.6248</v>
      </c>
      <c r="W458" s="194">
        <f>IFERROR(INDEX('Ashed teabags dry'!$K$2:$K$2000,MATCH(H458,'Ashed teabags dry'!$A$2:$A$2000,0)),"")</f>
        <v>29.172785119922423</v>
      </c>
      <c r="X458" s="194">
        <f>IFERROR(INDEX('Ashed teabags dry'!$K$2:$K$2000,MATCH(I458,'Ashed teabags dry'!$A$2:$A$2000,0)),"")</f>
        <v>9.0049751243772</v>
      </c>
      <c r="Y458" s="194">
        <f t="shared" si="67"/>
        <v>0.50322736172295113</v>
      </c>
      <c r="Z458" s="194">
        <f t="shared" si="67"/>
        <v>1.4784871641791193</v>
      </c>
      <c r="AA458" s="194">
        <f t="shared" si="73"/>
        <v>0.70883503959734084</v>
      </c>
      <c r="AB458" s="194">
        <f t="shared" si="74"/>
        <v>0.46469945588804301</v>
      </c>
      <c r="AC458" s="194">
        <f t="shared" si="68"/>
        <v>0.77861720658855738</v>
      </c>
      <c r="AD458">
        <f t="shared" si="75"/>
        <v>69</v>
      </c>
      <c r="AE458" s="194">
        <f t="shared" si="76"/>
        <v>0.15815315962311061</v>
      </c>
      <c r="AF458" s="194">
        <f t="shared" si="77"/>
        <v>9.3772048180339844E-3</v>
      </c>
      <c r="AG458" s="252" t="str">
        <f>IF(ISNUMBER(SEARCH("C", 'Dry_Litterbag Placem_Collection'!$V165)),"YES","NO")</f>
        <v>NO</v>
      </c>
      <c r="AH458" s="252" t="str">
        <f>IF(ISNUMBER(SEARCH("H", 'Dry_Litterbag Placem_Collection'!$V165)),"YES","NO")</f>
        <v>NO</v>
      </c>
      <c r="AI458" s="252" t="str">
        <f>IF(ISNUMBER(SEARCH("R", 'Dry_Litterbag Placem_Collection'!$V165)),"YES","NO")</f>
        <v>NO</v>
      </c>
      <c r="AJ458" s="252" t="str">
        <f>IF(ISNUMBER(SEARCH("C", 'Dry_Litterbag Placem_Collection'!$U165)),"YES","NO")</f>
        <v>NO</v>
      </c>
      <c r="AK458" s="252" t="str">
        <f>IF(ISNUMBER(SEARCH("H", 'Dry_Litterbag Placem_Collection'!$U165)),"YES","NO")</f>
        <v>NO</v>
      </c>
      <c r="AL458" s="252" t="str">
        <f>IF(ISNUMBER(SEARCH("R", 'Dry_Litterbag Placem_Collection'!$U165)),"YES","NO")</f>
        <v>NO</v>
      </c>
    </row>
    <row r="459" spans="2:38">
      <c r="B459" t="str">
        <f>'Final data_for_R_analysis_Dryse'!A605</f>
        <v>Dry</v>
      </c>
      <c r="C459" s="260">
        <f>'Final data_for_R_analysis_Dryse'!B605</f>
        <v>164</v>
      </c>
      <c r="D459" t="s">
        <v>3825</v>
      </c>
      <c r="E459" t="s">
        <v>25</v>
      </c>
      <c r="F459" s="382">
        <v>4</v>
      </c>
      <c r="G459" s="383">
        <f>IF('Dry_Litterbag Placem_Collection'!E166="","",'Dry_Litterbag Placem_Collection'!E166)</f>
        <v>42940</v>
      </c>
      <c r="H459" s="92" t="str">
        <f>'Final data_for_R_analysis_Dryse'!K605</f>
        <v>G239</v>
      </c>
      <c r="I459" t="str">
        <f>'Final data_for_R_analysis_Dryse'!K825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69"/>
        <v>1.8521999999999998</v>
      </c>
      <c r="M459" s="237">
        <f>AVERAGE(Ashed_controlls!$K$1:$K$11)</f>
        <v>5.5147656768714146</v>
      </c>
      <c r="N459" s="194">
        <f t="shared" si="65"/>
        <v>1.7500555101329875</v>
      </c>
      <c r="O459" s="194">
        <f t="shared" si="70"/>
        <v>1.9891999999999999</v>
      </c>
      <c r="P459" s="237">
        <f>AVERAGE(Ashed_controlls!$K$12:$K$14)</f>
        <v>2.2816647271287041</v>
      </c>
      <c r="Q459" s="194">
        <f t="shared" si="66"/>
        <v>1.9438131252479556</v>
      </c>
      <c r="R459" s="383">
        <f>IF('Dry_Litterbag Placem_Collection'!G166="","",'Dry_Litterbag Placem_Collection'!G166)</f>
        <v>43009</v>
      </c>
      <c r="S459" s="194">
        <f>IFERROR(INDEX('Both teabags AfterDry'!$D$3:$D$2000,MATCH(H459,'Both teabags AfterDry'!$A$3:$A$2000,0)),"")</f>
        <v>0.73950000000000005</v>
      </c>
      <c r="T459" s="194">
        <f>IFERROR(INDEX('Both teabags AfterDry'!$D$3:$D$2000,MATCH(I459,'Both teabags AfterDry'!$A$3:$A$2000,0)),"")</f>
        <v>1.7732000000000001</v>
      </c>
      <c r="U459" s="194">
        <f t="shared" si="71"/>
        <v>0.58889999999999998</v>
      </c>
      <c r="V459" s="194">
        <f t="shared" si="72"/>
        <v>1.6226</v>
      </c>
      <c r="W459" s="194">
        <f>IFERROR(INDEX('Ashed teabags dry'!$K$2:$K$2000,MATCH(H459,'Ashed teabags dry'!$A$2:$A$2000,0)),"")</f>
        <v>17.516081147946309</v>
      </c>
      <c r="X459" s="194">
        <f>IFERROR(INDEX('Ashed teabags dry'!$K$2:$K$2000,MATCH(I459,'Ashed teabags dry'!$A$2:$A$2000,0)),"")</f>
        <v>6.3861386138614789</v>
      </c>
      <c r="Y459" s="194">
        <f t="shared" si="67"/>
        <v>0.48574779811974417</v>
      </c>
      <c r="Z459" s="194">
        <f t="shared" si="67"/>
        <v>1.5189785148514836</v>
      </c>
      <c r="AA459" s="194">
        <f t="shared" si="73"/>
        <v>0.7224386339134854</v>
      </c>
      <c r="AB459" s="194">
        <f t="shared" si="74"/>
        <v>0.47361772674613301</v>
      </c>
      <c r="AC459" s="194">
        <f t="shared" si="68"/>
        <v>0.78144266808452612</v>
      </c>
      <c r="AD459">
        <f t="shared" si="75"/>
        <v>69</v>
      </c>
      <c r="AE459" s="194">
        <f t="shared" si="76"/>
        <v>0.14199687183671561</v>
      </c>
      <c r="AF459" s="194">
        <f t="shared" si="77"/>
        <v>8.9695674357301424E-3</v>
      </c>
      <c r="AG459" s="252" t="str">
        <f>IF(ISNUMBER(SEARCH("C", 'Dry_Litterbag Placem_Collection'!$V166)),"YES","NO")</f>
        <v>NO</v>
      </c>
      <c r="AH459" s="252" t="str">
        <f>IF(ISNUMBER(SEARCH("H", 'Dry_Litterbag Placem_Collection'!$V166)),"YES","NO")</f>
        <v>NO</v>
      </c>
      <c r="AI459" s="252" t="str">
        <f>IF(ISNUMBER(SEARCH("R", 'Dry_Litterbag Placem_Collection'!$V166)),"YES","NO")</f>
        <v>YES</v>
      </c>
      <c r="AJ459" s="252" t="str">
        <f>IF(ISNUMBER(SEARCH("C", 'Dry_Litterbag Placem_Collection'!$U166)),"YES","NO")</f>
        <v>NO</v>
      </c>
      <c r="AK459" s="252" t="str">
        <f>IF(ISNUMBER(SEARCH("H", 'Dry_Litterbag Placem_Collection'!$U166)),"YES","NO")</f>
        <v>NO</v>
      </c>
      <c r="AL459" s="252" t="str">
        <f>IF(ISNUMBER(SEARCH("R", 'Dry_Litterbag Placem_Collection'!$U166)),"YES","NO")</f>
        <v>YES</v>
      </c>
    </row>
    <row r="460" spans="2:38">
      <c r="B460" t="str">
        <f>'Final data_for_R_analysis_Dryse'!A606</f>
        <v>Dry</v>
      </c>
      <c r="C460" s="260">
        <f>'Final data_for_R_analysis_Dryse'!B606</f>
        <v>165</v>
      </c>
      <c r="D460" t="s">
        <v>3825</v>
      </c>
      <c r="E460" t="s">
        <v>25</v>
      </c>
      <c r="F460" s="382">
        <v>5</v>
      </c>
      <c r="G460" s="383">
        <f>IF('Dry_Litterbag Placem_Collection'!E167="","",'Dry_Litterbag Placem_Collection'!E167)</f>
        <v>42940</v>
      </c>
      <c r="H460" s="92" t="str">
        <f>'Final data_for_R_analysis_Dryse'!K606</f>
        <v>G343</v>
      </c>
      <c r="I460" t="str">
        <f>'Final data_for_R_analysis_Dryse'!K826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69"/>
        <v>1.5842000000000001</v>
      </c>
      <c r="M460" s="237">
        <f>AVERAGE(Ashed_controlls!$K$1:$K$11)</f>
        <v>5.5147656768714146</v>
      </c>
      <c r="N460" s="194">
        <f t="shared" ref="N460:N515" si="78">IFERROR(L460-(M460/100)*L460,"")</f>
        <v>1.4968350821470031</v>
      </c>
      <c r="O460" s="194">
        <f t="shared" si="70"/>
        <v>1.9672000000000001</v>
      </c>
      <c r="P460" s="237">
        <f>AVERAGE(Ashed_controlls!$K$12:$K$14)</f>
        <v>2.2816647271287041</v>
      </c>
      <c r="Q460" s="194">
        <f t="shared" ref="Q460:Q515" si="79">IFERROR(O460-(P460/100)*O460,"")</f>
        <v>1.9223150914879241</v>
      </c>
      <c r="R460" s="383">
        <f>IF('Dry_Litterbag Placem_Collection'!G167="","",'Dry_Litterbag Placem_Collection'!G167)</f>
        <v>43009</v>
      </c>
      <c r="S460" s="194">
        <f>IFERROR(INDEX('Both teabags AfterDry'!$D$3:$D$2000,MATCH(H460,'Both teabags AfterDry'!$A$3:$A$2000,0)),"")</f>
        <v>0.68059999999999998</v>
      </c>
      <c r="T460" s="194">
        <f>IFERROR(INDEX('Both teabags AfterDry'!$D$3:$D$2000,MATCH(I460,'Both teabags AfterDry'!$A$3:$A$2000,0)),"")</f>
        <v>1.7559</v>
      </c>
      <c r="U460" s="194">
        <f t="shared" si="71"/>
        <v>0.53</v>
      </c>
      <c r="V460" s="194">
        <f t="shared" si="72"/>
        <v>1.6052999999999999</v>
      </c>
      <c r="W460" s="194">
        <f>IFERROR(INDEX('Ashed teabags dry'!$K$2:$K$2000,MATCH(H460,'Ashed teabags dry'!$A$2:$A$2000,0)),"")</f>
        <v>16.867469879518342</v>
      </c>
      <c r="X460" s="194">
        <f>IFERROR(INDEX('Ashed teabags dry'!$K$2:$K$2000,MATCH(I460,'Ashed teabags dry'!$A$2:$A$2000,0)),"")</f>
        <v>4.4911610129003776</v>
      </c>
      <c r="Y460" s="194">
        <f t="shared" ref="Y460:Z515" si="80">IFERROR(U460-(W460/100)*U460,"")</f>
        <v>0.44060240963855279</v>
      </c>
      <c r="Z460" s="194">
        <f t="shared" si="80"/>
        <v>1.5332033922599102</v>
      </c>
      <c r="AA460" s="194">
        <f t="shared" si="73"/>
        <v>0.70564398516998317</v>
      </c>
      <c r="AB460" s="194">
        <f t="shared" si="74"/>
        <v>0.46260745821120042</v>
      </c>
      <c r="AC460" s="194">
        <f t="shared" ref="AC460:AC515" si="81">IFERROR(Z460/Q460,"")</f>
        <v>0.79758172791182169</v>
      </c>
      <c r="AD460">
        <f t="shared" si="75"/>
        <v>69</v>
      </c>
      <c r="AE460" s="194">
        <f t="shared" si="76"/>
        <v>0.16194301048695581</v>
      </c>
      <c r="AF460" s="194">
        <f t="shared" si="77"/>
        <v>8.3401429955673005E-3</v>
      </c>
      <c r="AG460" s="252" t="str">
        <f>IF(ISNUMBER(SEARCH("C", 'Dry_Litterbag Placem_Collection'!$V167)),"YES","NO")</f>
        <v>NO</v>
      </c>
      <c r="AH460" s="252" t="str">
        <f>IF(ISNUMBER(SEARCH("H", 'Dry_Litterbag Placem_Collection'!$V167)),"YES","NO")</f>
        <v>NO</v>
      </c>
      <c r="AI460" s="252" t="str">
        <f>IF(ISNUMBER(SEARCH("R", 'Dry_Litterbag Placem_Collection'!$V167)),"YES","NO")</f>
        <v>NO</v>
      </c>
      <c r="AJ460" s="252" t="str">
        <f>IF(ISNUMBER(SEARCH("C", 'Dry_Litterbag Placem_Collection'!$U167)),"YES","NO")</f>
        <v>NO</v>
      </c>
      <c r="AK460" s="252" t="str">
        <f>IF(ISNUMBER(SEARCH("H", 'Dry_Litterbag Placem_Collection'!$U167)),"YES","NO")</f>
        <v>NO</v>
      </c>
      <c r="AL460" s="252" t="str">
        <f>IF(ISNUMBER(SEARCH("R", 'Dry_Litterbag Placem_Collection'!$U167)),"YES","NO")</f>
        <v>NO</v>
      </c>
    </row>
    <row r="461" spans="2:38">
      <c r="B461" t="str">
        <f>'Final data_for_R_analysis_Dryse'!A607</f>
        <v>Dry</v>
      </c>
      <c r="C461" s="260">
        <f>'Final data_for_R_analysis_Dryse'!B607</f>
        <v>166</v>
      </c>
      <c r="D461" t="s">
        <v>3825</v>
      </c>
      <c r="E461" t="s">
        <v>25</v>
      </c>
      <c r="F461" s="382">
        <v>6</v>
      </c>
      <c r="G461" s="383">
        <f>IF('Dry_Litterbag Placem_Collection'!E168="","",'Dry_Litterbag Placem_Collection'!E168)</f>
        <v>42940</v>
      </c>
      <c r="H461" s="92" t="str">
        <f>'Final data_for_R_analysis_Dryse'!K607</f>
        <v>G409</v>
      </c>
      <c r="I461" t="str">
        <f>'Final data_for_R_analysis_Dryse'!K827</f>
        <v>R269</v>
      </c>
      <c r="J461">
        <f>IFERROR(INDEX('Green_rooibos initial weight'!$C$5:$C$2000,MATCH(H461, 'Green_rooibos initial weight'!$A$5:$A$2000,0)),"")</f>
        <v>1.968</v>
      </c>
      <c r="K461">
        <f>IFERROR(INDEX('Green_rooibos initial weight'!$C$5:$C$2000,MATCH(I461, 'Green_rooibos initial weight'!$A$5:$A$2000,0)),"")</f>
        <v>2.278</v>
      </c>
      <c r="L461" s="194">
        <f t="shared" ref="L461:L515" si="82">IFERROR(IF(J461&gt;0,(J461*$F$31-($F$29+$F$30)),""),"")</f>
        <v>1.7181999999999999</v>
      </c>
      <c r="M461" s="237">
        <f>AVERAGE(Ashed_controlls!$K$1:$K$11)</f>
        <v>5.5147656768714146</v>
      </c>
      <c r="N461" s="194">
        <f t="shared" si="78"/>
        <v>1.6234452961399952</v>
      </c>
      <c r="O461" s="194">
        <f t="shared" ref="O461:O515" si="83">IFERROR(IF(K461&gt;0,(K461*$F$32-($F$29+$F$30)),""),"")</f>
        <v>2.0282</v>
      </c>
      <c r="P461" s="237">
        <f>AVERAGE(Ashed_controlls!$K$12:$K$14)</f>
        <v>2.2816647271287041</v>
      </c>
      <c r="Q461" s="194">
        <f t="shared" si="79"/>
        <v>1.9819232760043757</v>
      </c>
      <c r="R461" s="383">
        <f>IF('Dry_Litterbag Placem_Collection'!G168="","",'Dry_Litterbag Placem_Collection'!G168)</f>
        <v>43009</v>
      </c>
      <c r="S461" s="194">
        <f>IFERROR(INDEX('Both teabags AfterDry'!$D$3:$D$2000,MATCH(H461,'Both teabags AfterDry'!$A$3:$A$2000,0)),"")</f>
        <v>0.77039999999999997</v>
      </c>
      <c r="T461" s="194">
        <f>IFERROR(INDEX('Both teabags AfterDry'!$D$3:$D$2000,MATCH(I461,'Both teabags AfterDry'!$A$3:$A$2000,0)),"")</f>
        <v>1.8042</v>
      </c>
      <c r="U461" s="194">
        <f t="shared" ref="U461:U515" si="84">IFERROR(IF(S461&gt;0,S461-($F$29),""),"")</f>
        <v>0.61979999999999991</v>
      </c>
      <c r="V461" s="194">
        <f t="shared" ref="V461:V515" si="85">IFERROR(IF(T461&gt;0,T461-($F$29),""),"")</f>
        <v>1.6536</v>
      </c>
      <c r="W461" s="194">
        <f>IFERROR(INDEX('Ashed teabags dry'!$K$2:$K$2000,MATCH(H461,'Ashed teabags dry'!$A$2:$A$2000,0)),"")</f>
        <v>23.019571295433156</v>
      </c>
      <c r="X461" s="194">
        <f>IFERROR(INDEX('Ashed teabags dry'!$K$2:$K$2000,MATCH(I461,'Ashed teabags dry'!$A$2:$A$2000,0)),"")</f>
        <v>8.1481481481479836</v>
      </c>
      <c r="Y461" s="194">
        <f t="shared" si="80"/>
        <v>0.47712469711090522</v>
      </c>
      <c r="Z461" s="194">
        <f t="shared" si="80"/>
        <v>1.518862222222225</v>
      </c>
      <c r="AA461" s="194">
        <f t="shared" ref="AA461:AA515" si="86">IFERROR(1-Y461/N461,"")</f>
        <v>0.70610361910848085</v>
      </c>
      <c r="AB461" s="194">
        <f t="shared" ref="AB461:AB515" si="87">IFERROR($F$26*(1-AE461),"")</f>
        <v>0.46290878592384971</v>
      </c>
      <c r="AC461" s="194">
        <f t="shared" si="81"/>
        <v>0.76635772969188931</v>
      </c>
      <c r="AD461">
        <f t="shared" ref="AD461:AD515" si="88">IFERROR(IF((R461-G461)&gt;0,(IFERROR(R461-G461,"")),""),"")</f>
        <v>69</v>
      </c>
      <c r="AE461" s="194">
        <f t="shared" ref="AE461:AE515" si="89">IFERROR(1-(AA461/$F$25),"")</f>
        <v>0.16139712694954766</v>
      </c>
      <c r="AF461" s="194">
        <f t="shared" ref="AF461:AF515" si="90">IFERROR(LN(AB461/(AC461-(1-AB461)))/AD461,"")</f>
        <v>1.0183259094897234E-2</v>
      </c>
      <c r="AG461" s="252" t="str">
        <f>IF(ISNUMBER(SEARCH("C", 'Dry_Litterbag Placem_Collection'!$V168)),"YES","NO")</f>
        <v>NO</v>
      </c>
      <c r="AH461" s="252" t="str">
        <f>IF(ISNUMBER(SEARCH("H", 'Dry_Litterbag Placem_Collection'!$V168)),"YES","NO")</f>
        <v>NO</v>
      </c>
      <c r="AI461" s="252" t="str">
        <f>IF(ISNUMBER(SEARCH("R", 'Dry_Litterbag Placem_Collection'!$V168)),"YES","NO")</f>
        <v>NO</v>
      </c>
      <c r="AJ461" s="252" t="str">
        <f>IF(ISNUMBER(SEARCH("C", 'Dry_Litterbag Placem_Collection'!$U168)),"YES","NO")</f>
        <v>NO</v>
      </c>
      <c r="AK461" s="252" t="str">
        <f>IF(ISNUMBER(SEARCH("H", 'Dry_Litterbag Placem_Collection'!$U168)),"YES","NO")</f>
        <v>NO</v>
      </c>
      <c r="AL461" s="252" t="str">
        <f>IF(ISNUMBER(SEARCH("R", 'Dry_Litterbag Placem_Collection'!$U168)),"YES","NO")</f>
        <v>NO</v>
      </c>
    </row>
    <row r="462" spans="2:38">
      <c r="B462" t="str">
        <f>'Final data_for_R_analysis_Dryse'!A608</f>
        <v>Dry</v>
      </c>
      <c r="C462" s="260">
        <f>'Final data_for_R_analysis_Dryse'!B608</f>
        <v>167</v>
      </c>
      <c r="D462" t="s">
        <v>3825</v>
      </c>
      <c r="E462" t="s">
        <v>25</v>
      </c>
      <c r="F462" s="382">
        <v>7</v>
      </c>
      <c r="G462" s="383" t="str">
        <f>IF('Dry_Litterbag Placem_Collection'!E169="","",'Dry_Litterbag Placem_Collection'!E169)</f>
        <v/>
      </c>
      <c r="H462" s="92" t="str">
        <f>'Final data_for_R_analysis_Dryse'!K608</f>
        <v/>
      </c>
      <c r="I462" t="str">
        <f>'Final data_for_R_analysis_Dryse'!K828</f>
        <v/>
      </c>
      <c r="J462" t="str">
        <f>IFERROR(INDEX('Green_rooibos initial weight'!$C$5:$C$2000,MATCH(H462, 'Green_rooibos initial weight'!$A$5:$A$2000,0)),"")</f>
        <v/>
      </c>
      <c r="K462" t="str">
        <f>IFERROR(INDEX('Green_rooibos initial weight'!$C$5:$C$2000,MATCH(I462, 'Green_rooibos initial weight'!$A$5:$A$2000,0)),"")</f>
        <v/>
      </c>
      <c r="L462" s="194" t="str">
        <f t="shared" si="82"/>
        <v/>
      </c>
      <c r="M462" s="237">
        <f>AVERAGE(Ashed_controlls!$K$1:$K$11)</f>
        <v>5.5147656768714146</v>
      </c>
      <c r="N462" s="194" t="str">
        <f t="shared" si="78"/>
        <v/>
      </c>
      <c r="O462" s="194" t="str">
        <f t="shared" si="83"/>
        <v/>
      </c>
      <c r="P462" s="237">
        <f>AVERAGE(Ashed_controlls!$K$12:$K$14)</f>
        <v>2.2816647271287041</v>
      </c>
      <c r="Q462" s="194" t="str">
        <f t="shared" si="79"/>
        <v/>
      </c>
      <c r="R462" s="383" t="str">
        <f>IF('Dry_Litterbag Placem_Collection'!G169="","",'Dry_Litterbag Placem_Collection'!G169)</f>
        <v/>
      </c>
      <c r="S462" s="194" t="str">
        <f>IFERROR(INDEX('Both teabags AfterDry'!$D$3:$D$2000,MATCH(H462,'Both teabags AfterDry'!$A$3:$A$2000,0)),"")</f>
        <v/>
      </c>
      <c r="T462" s="194" t="str">
        <f>IFERROR(INDEX('Both teabags AfterDry'!$D$3:$D$2000,MATCH(I462,'Both teabags AfterDry'!$A$3:$A$2000,0)),"")</f>
        <v/>
      </c>
      <c r="U462" s="194" t="str">
        <f t="shared" si="84"/>
        <v/>
      </c>
      <c r="V462" s="194" t="str">
        <f t="shared" si="85"/>
        <v/>
      </c>
      <c r="W462" s="194" t="str">
        <f>IFERROR(INDEX('Ashed teabags dry'!$K$2:$K$2000,MATCH(H462,'Ashed teabags dry'!$A$2:$A$2000,0)),"")</f>
        <v/>
      </c>
      <c r="X462" s="194" t="str">
        <f>IFERROR(INDEX('Ashed teabags dry'!$K$2:$K$2000,MATCH(I462,'Ashed teabags dry'!$A$2:$A$2000,0)),"")</f>
        <v/>
      </c>
      <c r="Y462" s="194" t="str">
        <f t="shared" si="80"/>
        <v/>
      </c>
      <c r="Z462" s="194" t="str">
        <f t="shared" si="80"/>
        <v/>
      </c>
      <c r="AA462" s="194" t="str">
        <f t="shared" si="86"/>
        <v/>
      </c>
      <c r="AB462" s="194" t="str">
        <f t="shared" si="87"/>
        <v/>
      </c>
      <c r="AC462" s="194" t="str">
        <f t="shared" si="81"/>
        <v/>
      </c>
      <c r="AD462" t="str">
        <f t="shared" si="88"/>
        <v/>
      </c>
      <c r="AE462" s="194" t="str">
        <f t="shared" si="89"/>
        <v/>
      </c>
      <c r="AF462" s="194" t="str">
        <f t="shared" si="90"/>
        <v/>
      </c>
      <c r="AG462" s="252" t="str">
        <f>IF(ISNUMBER(SEARCH("C", 'Dry_Litterbag Placem_Collection'!$V169)),"YES","NO")</f>
        <v>NO</v>
      </c>
      <c r="AH462" s="252" t="str">
        <f>IF(ISNUMBER(SEARCH("H", 'Dry_Litterbag Placem_Collection'!$V169)),"YES","NO")</f>
        <v>NO</v>
      </c>
      <c r="AI462" s="252" t="str">
        <f>IF(ISNUMBER(SEARCH("R", 'Dry_Litterbag Placem_Collection'!$V169)),"YES","NO")</f>
        <v>NO</v>
      </c>
      <c r="AJ462" s="252" t="str">
        <f>IF(ISNUMBER(SEARCH("C", 'Dry_Litterbag Placem_Collection'!$U169)),"YES","NO")</f>
        <v>NO</v>
      </c>
      <c r="AK462" s="252" t="str">
        <f>IF(ISNUMBER(SEARCH("H", 'Dry_Litterbag Placem_Collection'!$U169)),"YES","NO")</f>
        <v>NO</v>
      </c>
      <c r="AL462" s="252" t="str">
        <f>IF(ISNUMBER(SEARCH("R", 'Dry_Litterbag Placem_Collection'!$U169)),"YES","NO")</f>
        <v>NO</v>
      </c>
    </row>
    <row r="463" spans="2:38">
      <c r="B463" t="str">
        <f>'Final data_for_R_analysis_Dryse'!A609</f>
        <v>Dry</v>
      </c>
      <c r="C463" s="260">
        <f>'Final data_for_R_analysis_Dryse'!B609</f>
        <v>168</v>
      </c>
      <c r="D463" t="s">
        <v>3825</v>
      </c>
      <c r="E463" t="s">
        <v>25</v>
      </c>
      <c r="F463" s="382">
        <v>8</v>
      </c>
      <c r="G463" s="383">
        <f>IF('Dry_Litterbag Placem_Collection'!E170="","",'Dry_Litterbag Placem_Collection'!E170)</f>
        <v>42940</v>
      </c>
      <c r="H463" s="92" t="str">
        <f>'Final data_for_R_analysis_Dryse'!K609</f>
        <v>G304</v>
      </c>
      <c r="I463" t="str">
        <f>'Final data_for_R_analysis_Dryse'!K829</f>
        <v>R413</v>
      </c>
      <c r="J463">
        <f>IFERROR(INDEX('Green_rooibos initial weight'!$C$5:$C$2000,MATCH(H463, 'Green_rooibos initial weight'!$A$5:$A$2000,0)),"")</f>
        <v>1.9490000000000001</v>
      </c>
      <c r="K463">
        <f>IFERROR(INDEX('Green_rooibos initial weight'!$C$5:$C$2000,MATCH(I463, 'Green_rooibos initial weight'!$A$5:$A$2000,0)),"")</f>
        <v>2.214</v>
      </c>
      <c r="L463" s="194">
        <f t="shared" si="82"/>
        <v>1.6992</v>
      </c>
      <c r="M463" s="237">
        <f>AVERAGE(Ashed_controlls!$K$1:$K$11)</f>
        <v>5.5147656768714146</v>
      </c>
      <c r="N463" s="194">
        <f t="shared" si="78"/>
        <v>1.6054931016186009</v>
      </c>
      <c r="O463" s="194">
        <f t="shared" si="83"/>
        <v>1.9641999999999999</v>
      </c>
      <c r="P463" s="237">
        <f>AVERAGE(Ashed_controlls!$K$12:$K$14)</f>
        <v>2.2816647271287041</v>
      </c>
      <c r="Q463" s="194">
        <f t="shared" si="79"/>
        <v>1.919383541429738</v>
      </c>
      <c r="R463" s="383">
        <f>IF('Dry_Litterbag Placem_Collection'!G170="","",'Dry_Litterbag Placem_Collection'!G170)</f>
        <v>43009</v>
      </c>
      <c r="S463" s="194" t="str">
        <f>IFERROR(INDEX('Both teabags AfterDry'!$D$3:$D$2000,MATCH(H463,'Both teabags AfterDry'!$A$3:$A$2000,0)),"")</f>
        <v/>
      </c>
      <c r="T463" s="194" t="str">
        <f>IFERROR(INDEX('Both teabags AfterDry'!$D$3:$D$2000,MATCH(I463,'Both teabags AfterDry'!$A$3:$A$2000,0)),"")</f>
        <v/>
      </c>
      <c r="U463" s="194" t="str">
        <f t="shared" si="84"/>
        <v/>
      </c>
      <c r="V463" s="194" t="str">
        <f t="shared" si="85"/>
        <v/>
      </c>
      <c r="W463" s="194" t="str">
        <f>IFERROR(INDEX('Ashed teabags dry'!$K$2:$K$2000,MATCH(H463,'Ashed teabags dry'!$A$2:$A$2000,0)),"")</f>
        <v/>
      </c>
      <c r="X463" s="194" t="str">
        <f>IFERROR(INDEX('Ashed teabags dry'!$K$2:$K$2000,MATCH(I463,'Ashed teabags dry'!$A$2:$A$2000,0)),"")</f>
        <v/>
      </c>
      <c r="Y463" s="194" t="str">
        <f t="shared" si="80"/>
        <v/>
      </c>
      <c r="Z463" s="194" t="str">
        <f t="shared" si="80"/>
        <v/>
      </c>
      <c r="AA463" s="194" t="str">
        <f t="shared" si="86"/>
        <v/>
      </c>
      <c r="AB463" s="194" t="str">
        <f t="shared" si="87"/>
        <v/>
      </c>
      <c r="AC463" s="194" t="str">
        <f t="shared" si="81"/>
        <v/>
      </c>
      <c r="AD463">
        <f t="shared" si="88"/>
        <v>69</v>
      </c>
      <c r="AE463" s="194" t="str">
        <f t="shared" si="89"/>
        <v/>
      </c>
      <c r="AF463" s="194" t="str">
        <f t="shared" si="90"/>
        <v/>
      </c>
      <c r="AG463" s="252" t="str">
        <f>IF(ISNUMBER(SEARCH("C", 'Dry_Litterbag Placem_Collection'!$V170)),"YES","NO")</f>
        <v>NO</v>
      </c>
      <c r="AH463" s="252" t="str">
        <f>IF(ISNUMBER(SEARCH("H", 'Dry_Litterbag Placem_Collection'!$V170)),"YES","NO")</f>
        <v>NO</v>
      </c>
      <c r="AI463" s="252" t="str">
        <f>IF(ISNUMBER(SEARCH("R", 'Dry_Litterbag Placem_Collection'!$V170)),"YES","NO")</f>
        <v>YES</v>
      </c>
      <c r="AJ463" s="252" t="str">
        <f>IF(ISNUMBER(SEARCH("C", 'Dry_Litterbag Placem_Collection'!$U170)),"YES","NO")</f>
        <v>NO</v>
      </c>
      <c r="AK463" s="252" t="str">
        <f>IF(ISNUMBER(SEARCH("H", 'Dry_Litterbag Placem_Collection'!$U170)),"YES","NO")</f>
        <v>NO</v>
      </c>
      <c r="AL463" s="252" t="str">
        <f>IF(ISNUMBER(SEARCH("R", 'Dry_Litterbag Placem_Collection'!$U170)),"YES","NO")</f>
        <v>NO</v>
      </c>
    </row>
    <row r="464" spans="2:38">
      <c r="B464" t="str">
        <f>'Final data_for_R_analysis_Dryse'!A610</f>
        <v>Dry</v>
      </c>
      <c r="C464" s="260">
        <f>'Final data_for_R_analysis_Dryse'!B610</f>
        <v>169</v>
      </c>
      <c r="D464" t="s">
        <v>3827</v>
      </c>
      <c r="E464" t="s">
        <v>25</v>
      </c>
      <c r="F464" s="381">
        <v>1</v>
      </c>
      <c r="G464" s="383">
        <f>IF('Dry_Litterbag Placem_Collection'!E171="","",'Dry_Litterbag Placem_Collection'!E171)</f>
        <v>42940</v>
      </c>
      <c r="H464" s="92" t="str">
        <f>'Final data_for_R_analysis_Dryse'!K610</f>
        <v>G135</v>
      </c>
      <c r="I464" t="str">
        <f>'Final data_for_R_analysis_Dryse'!K830</f>
        <v>R80</v>
      </c>
      <c r="J464">
        <f>IFERROR(INDEX('Green_rooibos initial weight'!$C$5:$C$2000,MATCH(H464, 'Green_rooibos initial weight'!$A$5:$A$2000,0)),"")</f>
        <v>2.0049999999999999</v>
      </c>
      <c r="K464">
        <f>IFERROR(INDEX('Green_rooibos initial weight'!$C$5:$C$2000,MATCH(I464, 'Green_rooibos initial weight'!$A$5:$A$2000,0)),"")</f>
        <v>2.177</v>
      </c>
      <c r="L464" s="194">
        <f t="shared" si="82"/>
        <v>1.7551999999999999</v>
      </c>
      <c r="M464" s="237">
        <f>AVERAGE(Ashed_controlls!$K$1:$K$11)</f>
        <v>5.5147656768714146</v>
      </c>
      <c r="N464" s="194">
        <f t="shared" si="78"/>
        <v>1.6584048328395529</v>
      </c>
      <c r="O464" s="194">
        <f t="shared" si="83"/>
        <v>1.9272</v>
      </c>
      <c r="P464" s="237">
        <f>AVERAGE(Ashed_controlls!$K$12:$K$14)</f>
        <v>2.2816647271287041</v>
      </c>
      <c r="Q464" s="194">
        <f t="shared" si="79"/>
        <v>1.8832277573787757</v>
      </c>
      <c r="R464" s="383">
        <f>IF('Dry_Litterbag Placem_Collection'!G171="","",'Dry_Litterbag Placem_Collection'!G171)</f>
        <v>43009</v>
      </c>
      <c r="S464" s="194">
        <f>IFERROR(INDEX('Both teabags AfterDry'!$D$3:$D$2000,MATCH(H464,'Both teabags AfterDry'!$A$3:$A$2000,0)),"")</f>
        <v>0.78129999999999999</v>
      </c>
      <c r="T464" s="194">
        <f>IFERROR(INDEX('Both teabags AfterDry'!$D$3:$D$2000,MATCH(I464,'Both teabags AfterDry'!$A$3:$A$2000,0)),"")</f>
        <v>1.8815999999999999</v>
      </c>
      <c r="U464" s="194">
        <f t="shared" si="84"/>
        <v>0.63070000000000004</v>
      </c>
      <c r="V464" s="194">
        <f t="shared" si="85"/>
        <v>1.7309999999999999</v>
      </c>
      <c r="W464" s="194">
        <f>IFERROR(INDEX('Ashed teabags dry'!$K$2:$K$2000,MATCH(H464,'Ashed teabags dry'!$A$2:$A$2000,0)),"")</f>
        <v>21.873514027579272</v>
      </c>
      <c r="X464" s="194">
        <f>IFERROR(INDEX('Ashed teabags dry'!$K$2:$K$2000,MATCH(I464,'Ashed teabags dry'!$A$2:$A$2000,0)),"")</f>
        <v>12.458706937234023</v>
      </c>
      <c r="Y464" s="194">
        <f t="shared" si="80"/>
        <v>0.49274374702805757</v>
      </c>
      <c r="Z464" s="194">
        <f t="shared" si="80"/>
        <v>1.515339782916479</v>
      </c>
      <c r="AA464" s="194">
        <f t="shared" si="86"/>
        <v>0.7028809026175038</v>
      </c>
      <c r="AB464" s="194">
        <f t="shared" si="87"/>
        <v>0.46079603116967</v>
      </c>
      <c r="AC464" s="194">
        <f t="shared" si="81"/>
        <v>0.80465030157884243</v>
      </c>
      <c r="AD464">
        <f t="shared" si="88"/>
        <v>69</v>
      </c>
      <c r="AE464" s="194">
        <f t="shared" si="89"/>
        <v>0.16522458121436601</v>
      </c>
      <c r="AF464" s="194">
        <f t="shared" si="90"/>
        <v>7.9933740974252338E-3</v>
      </c>
      <c r="AG464" s="252" t="str">
        <f>IF(ISNUMBER(SEARCH("C", 'Dry_Litterbag Placem_Collection'!$V171)),"YES","NO")</f>
        <v>NO</v>
      </c>
      <c r="AH464" s="252" t="str">
        <f>IF(ISNUMBER(SEARCH("H", 'Dry_Litterbag Placem_Collection'!$V171)),"YES","NO")</f>
        <v>NO</v>
      </c>
      <c r="AI464" s="252" t="str">
        <f>IF(ISNUMBER(SEARCH("R", 'Dry_Litterbag Placem_Collection'!$V171)),"YES","NO")</f>
        <v>YES</v>
      </c>
      <c r="AJ464" s="252" t="str">
        <f>IF(ISNUMBER(SEARCH("C", 'Dry_Litterbag Placem_Collection'!$U171)),"YES","NO")</f>
        <v>NO</v>
      </c>
      <c r="AK464" s="252" t="str">
        <f>IF(ISNUMBER(SEARCH("H", 'Dry_Litterbag Placem_Collection'!$U171)),"YES","NO")</f>
        <v>NO</v>
      </c>
      <c r="AL464" s="252" t="str">
        <f>IF(ISNUMBER(SEARCH("R", 'Dry_Litterbag Placem_Collection'!$U171)),"YES","NO")</f>
        <v>YES</v>
      </c>
    </row>
    <row r="465" spans="2:38">
      <c r="B465" t="str">
        <f>'Final data_for_R_analysis_Dryse'!A611</f>
        <v>Dry</v>
      </c>
      <c r="C465" s="260">
        <f>'Final data_for_R_analysis_Dryse'!B611</f>
        <v>170</v>
      </c>
      <c r="D465" t="s">
        <v>3827</v>
      </c>
      <c r="E465" t="s">
        <v>25</v>
      </c>
      <c r="F465" s="381">
        <v>2</v>
      </c>
      <c r="G465" s="383">
        <f>IF('Dry_Litterbag Placem_Collection'!E172="","",'Dry_Litterbag Placem_Collection'!E172)</f>
        <v>42940</v>
      </c>
      <c r="H465" s="92" t="str">
        <f>'Final data_for_R_analysis_Dryse'!K611</f>
        <v>G515</v>
      </c>
      <c r="I465" t="str">
        <f>'Final data_for_R_analysis_Dryse'!K831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82"/>
        <v>1.7392000000000001</v>
      </c>
      <c r="M465" s="237">
        <f>AVERAGE(Ashed_controlls!$K$1:$K$11)</f>
        <v>5.5147656768714146</v>
      </c>
      <c r="N465" s="194">
        <f t="shared" si="78"/>
        <v>1.6432871953478525</v>
      </c>
      <c r="O465" s="194">
        <f t="shared" si="83"/>
        <v>1.9752000000000001</v>
      </c>
      <c r="P465" s="237">
        <f>AVERAGE(Ashed_controlls!$K$12:$K$14)</f>
        <v>2.2816647271287041</v>
      </c>
      <c r="Q465" s="194">
        <f t="shared" si="79"/>
        <v>1.9301325583097539</v>
      </c>
      <c r="R465" s="383">
        <f>IF('Dry_Litterbag Placem_Collection'!G172="","",'Dry_Litterbag Placem_Collection'!G172)</f>
        <v>43009</v>
      </c>
      <c r="S465" s="194">
        <f>IFERROR(INDEX('Both teabags AfterDry'!$D$3:$D$2000,MATCH(H465,'Both teabags AfterDry'!$A$3:$A$2000,0)),"")</f>
        <v>0.77959999999999996</v>
      </c>
      <c r="T465" s="194">
        <f>IFERROR(INDEX('Both teabags AfterDry'!$D$3:$D$2000,MATCH(I465,'Both teabags AfterDry'!$A$3:$A$2000,0)),"")</f>
        <v>1.8463000000000001</v>
      </c>
      <c r="U465" s="194">
        <f t="shared" si="84"/>
        <v>0.629</v>
      </c>
      <c r="V465" s="194">
        <f t="shared" si="85"/>
        <v>1.6957</v>
      </c>
      <c r="W465" s="194">
        <f>IFERROR(INDEX('Ashed teabags dry'!$K$2:$K$2000,MATCH(H465,'Ashed teabags dry'!$A$2:$A$2000,0)),"")</f>
        <v>24.595469255663417</v>
      </c>
      <c r="X465" s="194">
        <f>IFERROR(INDEX('Ashed teabags dry'!$K$2:$K$2000,MATCH(I465,'Ashed teabags dry'!$A$2:$A$2000,0)),"")</f>
        <v>5.3697597739049137</v>
      </c>
      <c r="Y465" s="194">
        <f t="shared" si="80"/>
        <v>0.47429449838187709</v>
      </c>
      <c r="Z465" s="194">
        <f t="shared" si="80"/>
        <v>1.6046449835138943</v>
      </c>
      <c r="AA465" s="194">
        <f t="shared" si="86"/>
        <v>0.7113745547798308</v>
      </c>
      <c r="AB465" s="194">
        <f t="shared" si="87"/>
        <v>0.46636431619770385</v>
      </c>
      <c r="AC465" s="194">
        <f t="shared" si="81"/>
        <v>0.83136517054512882</v>
      </c>
      <c r="AD465">
        <f t="shared" si="88"/>
        <v>69</v>
      </c>
      <c r="AE465" s="194">
        <f t="shared" si="89"/>
        <v>0.15513710833749306</v>
      </c>
      <c r="AF465" s="194">
        <f t="shared" si="90"/>
        <v>6.504084224170697E-3</v>
      </c>
      <c r="AG465" s="252" t="str">
        <f>IF(ISNUMBER(SEARCH("C", 'Dry_Litterbag Placem_Collection'!$V172)),"YES","NO")</f>
        <v>NO</v>
      </c>
      <c r="AH465" s="252" t="str">
        <f>IF(ISNUMBER(SEARCH("H", 'Dry_Litterbag Placem_Collection'!$V172)),"YES","NO")</f>
        <v>NO</v>
      </c>
      <c r="AI465" s="252" t="str">
        <f>IF(ISNUMBER(SEARCH("R", 'Dry_Litterbag Placem_Collection'!$V172)),"YES","NO")</f>
        <v>NO</v>
      </c>
      <c r="AJ465" s="252" t="str">
        <f>IF(ISNUMBER(SEARCH("C", 'Dry_Litterbag Placem_Collection'!$U172)),"YES","NO")</f>
        <v>NO</v>
      </c>
      <c r="AK465" s="252" t="str">
        <f>IF(ISNUMBER(SEARCH("H", 'Dry_Litterbag Placem_Collection'!$U172)),"YES","NO")</f>
        <v>NO</v>
      </c>
      <c r="AL465" s="252" t="str">
        <f>IF(ISNUMBER(SEARCH("R", 'Dry_Litterbag Placem_Collection'!$U172)),"YES","NO")</f>
        <v>YES</v>
      </c>
    </row>
    <row r="466" spans="2:38">
      <c r="B466" t="str">
        <f>'Final data_for_R_analysis_Dryse'!A612</f>
        <v>Dry</v>
      </c>
      <c r="C466" s="260">
        <f>'Final data_for_R_analysis_Dryse'!B612</f>
        <v>171</v>
      </c>
      <c r="D466" t="s">
        <v>3827</v>
      </c>
      <c r="E466" t="s">
        <v>25</v>
      </c>
      <c r="F466" s="381">
        <v>3</v>
      </c>
      <c r="G466" s="383">
        <f>IF('Dry_Litterbag Placem_Collection'!E173="","",'Dry_Litterbag Placem_Collection'!E173)</f>
        <v>42940</v>
      </c>
      <c r="H466" s="92" t="str">
        <f>'Final data_for_R_analysis_Dryse'!K612</f>
        <v>G348</v>
      </c>
      <c r="I466" t="str">
        <f>'Final data_for_R_analysis_Dryse'!K832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82"/>
        <v>1.7641999999999998</v>
      </c>
      <c r="M466" s="237">
        <f>AVERAGE(Ashed_controlls!$K$1:$K$11)</f>
        <v>5.5147656768714146</v>
      </c>
      <c r="N466" s="194">
        <f t="shared" si="78"/>
        <v>1.6669085039286342</v>
      </c>
      <c r="O466" s="194">
        <f t="shared" si="83"/>
        <v>1.8262</v>
      </c>
      <c r="P466" s="237">
        <f>AVERAGE(Ashed_controlls!$K$12:$K$14)</f>
        <v>2.2816647271287041</v>
      </c>
      <c r="Q466" s="194">
        <f t="shared" si="79"/>
        <v>1.7845322387531757</v>
      </c>
      <c r="R466" s="383">
        <f>IF('Dry_Litterbag Placem_Collection'!G173="","",'Dry_Litterbag Placem_Collection'!G173)</f>
        <v>43009</v>
      </c>
      <c r="S466" s="194">
        <f>IFERROR(INDEX('Both teabags AfterDry'!$D$3:$D$2000,MATCH(H466,'Both teabags AfterDry'!$A$3:$A$2000,0)),"")</f>
        <v>0.69310000000000005</v>
      </c>
      <c r="T466" s="194">
        <f>IFERROR(INDEX('Both teabags AfterDry'!$D$3:$D$2000,MATCH(I466,'Both teabags AfterDry'!$A$3:$A$2000,0)),"")</f>
        <v>1.6096999999999999</v>
      </c>
      <c r="U466" s="194">
        <f t="shared" si="84"/>
        <v>0.54249999999999998</v>
      </c>
      <c r="V466" s="194">
        <f t="shared" si="85"/>
        <v>1.4590999999999998</v>
      </c>
      <c r="W466" s="194">
        <f>IFERROR(INDEX('Ashed teabags dry'!$K$2:$K$2000,MATCH(H466,'Ashed teabags dry'!$A$2:$A$2000,0)),"")</f>
        <v>19.412878787879041</v>
      </c>
      <c r="X466" s="194">
        <f>IFERROR(INDEX('Ashed teabags dry'!$K$2:$K$2000,MATCH(I466,'Ashed teabags dry'!$A$2:$A$2000,0)),"")</f>
        <v>5.8156727451944334</v>
      </c>
      <c r="Y466" s="194">
        <f t="shared" si="80"/>
        <v>0.4371851325757562</v>
      </c>
      <c r="Z466" s="194">
        <f t="shared" si="80"/>
        <v>1.3742435189748679</v>
      </c>
      <c r="AA466" s="194">
        <f t="shared" si="86"/>
        <v>0.7377269768884247</v>
      </c>
      <c r="AB466" s="194">
        <f t="shared" si="87"/>
        <v>0.48364048841141388</v>
      </c>
      <c r="AC466" s="194">
        <f t="shared" si="81"/>
        <v>0.77008612628653317</v>
      </c>
      <c r="AD466">
        <f t="shared" si="88"/>
        <v>69</v>
      </c>
      <c r="AE466" s="194">
        <f t="shared" si="89"/>
        <v>0.12383969490685898</v>
      </c>
      <c r="AF466" s="194">
        <f t="shared" si="90"/>
        <v>9.3490503027229034E-3</v>
      </c>
      <c r="AG466" s="252" t="str">
        <f>IF(ISNUMBER(SEARCH("C", 'Dry_Litterbag Placem_Collection'!$V173)),"YES","NO")</f>
        <v>NO</v>
      </c>
      <c r="AH466" s="252" t="str">
        <f>IF(ISNUMBER(SEARCH("H", 'Dry_Litterbag Placem_Collection'!$V173)),"YES","NO")</f>
        <v>NO</v>
      </c>
      <c r="AI466" s="252" t="str">
        <f>IF(ISNUMBER(SEARCH("R", 'Dry_Litterbag Placem_Collection'!$V173)),"YES","NO")</f>
        <v>NO</v>
      </c>
      <c r="AJ466" s="252" t="str">
        <f>IF(ISNUMBER(SEARCH("C", 'Dry_Litterbag Placem_Collection'!$U173)),"YES","NO")</f>
        <v>NO</v>
      </c>
      <c r="AK466" s="252" t="str">
        <f>IF(ISNUMBER(SEARCH("H", 'Dry_Litterbag Placem_Collection'!$U173)),"YES","NO")</f>
        <v>NO</v>
      </c>
      <c r="AL466" s="252" t="str">
        <f>IF(ISNUMBER(SEARCH("R", 'Dry_Litterbag Placem_Collection'!$U173)),"YES","NO")</f>
        <v>YES</v>
      </c>
    </row>
    <row r="467" spans="2:38">
      <c r="B467" t="str">
        <f>'Final data_for_R_analysis_Dryse'!A613</f>
        <v>Dry</v>
      </c>
      <c r="C467" s="260">
        <f>'Final data_for_R_analysis_Dryse'!B613</f>
        <v>172</v>
      </c>
      <c r="D467" t="s">
        <v>3827</v>
      </c>
      <c r="E467" t="s">
        <v>25</v>
      </c>
      <c r="F467" s="382">
        <v>4</v>
      </c>
      <c r="G467" s="383" t="str">
        <f>IF('Dry_Litterbag Placem_Collection'!E174="","",'Dry_Litterbag Placem_Collection'!E174)</f>
        <v/>
      </c>
      <c r="H467" s="92" t="str">
        <f>'Final data_for_R_analysis_Dryse'!K613</f>
        <v/>
      </c>
      <c r="I467" t="str">
        <f>'Final data_for_R_analysis_Dryse'!K833</f>
        <v/>
      </c>
      <c r="J467" t="str">
        <f>IFERROR(INDEX('Green_rooibos initial weight'!$C$5:$C$2000,MATCH(H467, 'Green_rooibos initial weight'!$A$5:$A$2000,0)),"")</f>
        <v/>
      </c>
      <c r="K467" t="str">
        <f>IFERROR(INDEX('Green_rooibos initial weight'!$C$5:$C$2000,MATCH(I467, 'Green_rooibos initial weight'!$A$5:$A$2000,0)),"")</f>
        <v/>
      </c>
      <c r="L467" s="194" t="str">
        <f t="shared" si="82"/>
        <v/>
      </c>
      <c r="M467" s="237">
        <f>AVERAGE(Ashed_controlls!$K$1:$K$11)</f>
        <v>5.5147656768714146</v>
      </c>
      <c r="N467" s="194" t="str">
        <f t="shared" si="78"/>
        <v/>
      </c>
      <c r="O467" s="194" t="str">
        <f t="shared" si="83"/>
        <v/>
      </c>
      <c r="P467" s="237">
        <f>AVERAGE(Ashed_controlls!$K$12:$K$14)</f>
        <v>2.2816647271287041</v>
      </c>
      <c r="Q467" s="194" t="str">
        <f t="shared" si="79"/>
        <v/>
      </c>
      <c r="R467" s="383" t="str">
        <f>IF('Dry_Litterbag Placem_Collection'!G174="","",'Dry_Litterbag Placem_Collection'!G174)</f>
        <v/>
      </c>
      <c r="S467" s="194" t="str">
        <f>IFERROR(INDEX('Both teabags AfterDry'!$D$3:$D$2000,MATCH(H467,'Both teabags AfterDry'!$A$3:$A$2000,0)),"")</f>
        <v/>
      </c>
      <c r="T467" s="194" t="str">
        <f>IFERROR(INDEX('Both teabags AfterDry'!$D$3:$D$2000,MATCH(I467,'Both teabags AfterDry'!$A$3:$A$2000,0)),"")</f>
        <v/>
      </c>
      <c r="U467" s="194" t="str">
        <f t="shared" si="84"/>
        <v/>
      </c>
      <c r="V467" s="194" t="str">
        <f t="shared" si="85"/>
        <v/>
      </c>
      <c r="W467" s="194" t="str">
        <f>IFERROR(INDEX('Ashed teabags dry'!$K$2:$K$2000,MATCH(H467,'Ashed teabags dry'!$A$2:$A$2000,0)),"")</f>
        <v/>
      </c>
      <c r="X467" s="194" t="str">
        <f>IFERROR(INDEX('Ashed teabags dry'!$K$2:$K$2000,MATCH(I467,'Ashed teabags dry'!$A$2:$A$2000,0)),"")</f>
        <v/>
      </c>
      <c r="Y467" s="194" t="str">
        <f t="shared" si="80"/>
        <v/>
      </c>
      <c r="Z467" s="194" t="str">
        <f t="shared" si="80"/>
        <v/>
      </c>
      <c r="AA467" s="194" t="str">
        <f t="shared" si="86"/>
        <v/>
      </c>
      <c r="AB467" s="194" t="str">
        <f t="shared" si="87"/>
        <v/>
      </c>
      <c r="AC467" s="194" t="str">
        <f t="shared" si="81"/>
        <v/>
      </c>
      <c r="AD467" t="str">
        <f t="shared" si="88"/>
        <v/>
      </c>
      <c r="AE467" s="194" t="str">
        <f t="shared" si="89"/>
        <v/>
      </c>
      <c r="AF467" s="194" t="str">
        <f t="shared" si="90"/>
        <v/>
      </c>
      <c r="AG467" s="252" t="str">
        <f>IF(ISNUMBER(SEARCH("C", 'Dry_Litterbag Placem_Collection'!$V174)),"YES","NO")</f>
        <v>NO</v>
      </c>
      <c r="AH467" s="252" t="str">
        <f>IF(ISNUMBER(SEARCH("H", 'Dry_Litterbag Placem_Collection'!$V174)),"YES","NO")</f>
        <v>NO</v>
      </c>
      <c r="AI467" s="252" t="str">
        <f>IF(ISNUMBER(SEARCH("R", 'Dry_Litterbag Placem_Collection'!$V174)),"YES","NO")</f>
        <v>NO</v>
      </c>
      <c r="AJ467" s="252" t="str">
        <f>IF(ISNUMBER(SEARCH("C", 'Dry_Litterbag Placem_Collection'!$U174)),"YES","NO")</f>
        <v>NO</v>
      </c>
      <c r="AK467" s="252" t="str">
        <f>IF(ISNUMBER(SEARCH("H", 'Dry_Litterbag Placem_Collection'!$U174)),"YES","NO")</f>
        <v>NO</v>
      </c>
      <c r="AL467" s="252" t="str">
        <f>IF(ISNUMBER(SEARCH("R", 'Dry_Litterbag Placem_Collection'!$U174)),"YES","NO")</f>
        <v>NO</v>
      </c>
    </row>
    <row r="468" spans="2:38">
      <c r="B468" t="str">
        <f>'Final data_for_R_analysis_Dryse'!A614</f>
        <v>Dry</v>
      </c>
      <c r="C468" s="260">
        <f>'Final data_for_R_analysis_Dryse'!B614</f>
        <v>173</v>
      </c>
      <c r="D468" t="s">
        <v>3827</v>
      </c>
      <c r="E468" t="s">
        <v>25</v>
      </c>
      <c r="F468" s="382">
        <v>5</v>
      </c>
      <c r="G468" s="383">
        <f>IF('Dry_Litterbag Placem_Collection'!E175="","",'Dry_Litterbag Placem_Collection'!E175)</f>
        <v>42940</v>
      </c>
      <c r="H468" s="92" t="str">
        <f>'Final data_for_R_analysis_Dryse'!K614</f>
        <v>G307</v>
      </c>
      <c r="I468" t="str">
        <f>'Final data_for_R_analysis_Dryse'!K834</f>
        <v>R473</v>
      </c>
      <c r="J468">
        <f>IFERROR(INDEX('Green_rooibos initial weight'!$C$5:$C$2000,MATCH(H468, 'Green_rooibos initial weight'!$A$5:$A$2000,0)),"")</f>
        <v>1.9810000000000001</v>
      </c>
      <c r="K468">
        <f>IFERROR(INDEX('Green_rooibos initial weight'!$C$5:$C$2000,MATCH(I468, 'Green_rooibos initial weight'!$A$5:$A$2000,0)),"")</f>
        <v>2.302</v>
      </c>
      <c r="L468" s="194">
        <f t="shared" si="82"/>
        <v>1.7312000000000001</v>
      </c>
      <c r="M468" s="237">
        <f>AVERAGE(Ashed_controlls!$K$1:$K$11)</f>
        <v>5.5147656768714146</v>
      </c>
      <c r="N468" s="194">
        <f t="shared" si="78"/>
        <v>1.6357283766020021</v>
      </c>
      <c r="O468" s="194">
        <f t="shared" si="83"/>
        <v>2.0522</v>
      </c>
      <c r="P468" s="237">
        <f>AVERAGE(Ashed_controlls!$K$12:$K$14)</f>
        <v>2.2816647271287041</v>
      </c>
      <c r="Q468" s="194">
        <f t="shared" si="79"/>
        <v>2.0053756764698649</v>
      </c>
      <c r="R468" s="383">
        <f>IF('Dry_Litterbag Placem_Collection'!G175="","",'Dry_Litterbag Placem_Collection'!G175)</f>
        <v>43009</v>
      </c>
      <c r="S468" s="194" t="str">
        <f>IFERROR(INDEX('Both teabags AfterDry'!$D$3:$D$2000,MATCH(H468,'Both teabags AfterDry'!$A$3:$A$2000,0)),"")</f>
        <v/>
      </c>
      <c r="T468" s="194" t="str">
        <f>IFERROR(INDEX('Both teabags AfterDry'!$D$3:$D$2000,MATCH(I468,'Both teabags AfterDry'!$A$3:$A$2000,0)),"")</f>
        <v/>
      </c>
      <c r="U468" s="194" t="str">
        <f t="shared" si="84"/>
        <v/>
      </c>
      <c r="V468" s="194" t="str">
        <f t="shared" si="85"/>
        <v/>
      </c>
      <c r="W468" s="194" t="str">
        <f>IFERROR(INDEX('Ashed teabags dry'!$K$2:$K$2000,MATCH(H468,'Ashed teabags dry'!$A$2:$A$2000,0)),"")</f>
        <v/>
      </c>
      <c r="X468" s="194" t="str">
        <f>IFERROR(INDEX('Ashed teabags dry'!$K$2:$K$2000,MATCH(I468,'Ashed teabags dry'!$A$2:$A$2000,0)),"")</f>
        <v/>
      </c>
      <c r="Y468" s="194" t="str">
        <f t="shared" si="80"/>
        <v/>
      </c>
      <c r="Z468" s="194" t="str">
        <f t="shared" si="80"/>
        <v/>
      </c>
      <c r="AA468" s="194" t="str">
        <f t="shared" si="86"/>
        <v/>
      </c>
      <c r="AB468" s="194" t="str">
        <f t="shared" si="87"/>
        <v/>
      </c>
      <c r="AC468" s="194" t="str">
        <f t="shared" si="81"/>
        <v/>
      </c>
      <c r="AD468">
        <f t="shared" si="88"/>
        <v>69</v>
      </c>
      <c r="AE468" s="194" t="str">
        <f t="shared" si="89"/>
        <v/>
      </c>
      <c r="AF468" s="194" t="str">
        <f t="shared" si="90"/>
        <v/>
      </c>
      <c r="AG468" s="252" t="str">
        <f>IF(ISNUMBER(SEARCH("C", 'Dry_Litterbag Placem_Collection'!$V175)),"YES","NO")</f>
        <v>NO</v>
      </c>
      <c r="AH468" s="252" t="str">
        <f>IF(ISNUMBER(SEARCH("H", 'Dry_Litterbag Placem_Collection'!$V175)),"YES","NO")</f>
        <v>NO</v>
      </c>
      <c r="AI468" s="252" t="str">
        <f>IF(ISNUMBER(SEARCH("R", 'Dry_Litterbag Placem_Collection'!$V175)),"YES","NO")</f>
        <v>NO</v>
      </c>
      <c r="AJ468" s="252" t="str">
        <f>IF(ISNUMBER(SEARCH("C", 'Dry_Litterbag Placem_Collection'!$U175)),"YES","NO")</f>
        <v>NO</v>
      </c>
      <c r="AK468" s="252" t="str">
        <f>IF(ISNUMBER(SEARCH("H", 'Dry_Litterbag Placem_Collection'!$U175)),"YES","NO")</f>
        <v>NO</v>
      </c>
      <c r="AL468" s="252" t="str">
        <f>IF(ISNUMBER(SEARCH("R", 'Dry_Litterbag Placem_Collection'!$U175)),"YES","NO")</f>
        <v>NO</v>
      </c>
    </row>
    <row r="469" spans="2:38">
      <c r="B469" t="str">
        <f>'Final data_for_R_analysis_Dryse'!A615</f>
        <v>Dry</v>
      </c>
      <c r="C469" s="260">
        <f>'Final data_for_R_analysis_Dryse'!B615</f>
        <v>174</v>
      </c>
      <c r="D469" t="s">
        <v>3827</v>
      </c>
      <c r="E469" t="s">
        <v>25</v>
      </c>
      <c r="F469" s="382">
        <v>6</v>
      </c>
      <c r="G469" s="383">
        <f>IF('Dry_Litterbag Placem_Collection'!E176="","",'Dry_Litterbag Placem_Collection'!E176)</f>
        <v>42940</v>
      </c>
      <c r="H469" s="92" t="str">
        <f>'Final data_for_R_analysis_Dryse'!K615</f>
        <v>G155</v>
      </c>
      <c r="I469" t="str">
        <f>'Final data_for_R_analysis_Dryse'!K835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82"/>
        <v>1.7881999999999998</v>
      </c>
      <c r="M469" s="237">
        <f>AVERAGE(Ashed_controlls!$K$1:$K$11)</f>
        <v>5.5147656768714146</v>
      </c>
      <c r="N469" s="194">
        <f t="shared" si="78"/>
        <v>1.6895849601661852</v>
      </c>
      <c r="O469" s="194">
        <f t="shared" si="83"/>
        <v>1.9512</v>
      </c>
      <c r="P469" s="237">
        <f>AVERAGE(Ashed_controlls!$K$12:$K$14)</f>
        <v>2.2816647271287041</v>
      </c>
      <c r="Q469" s="194">
        <f t="shared" si="79"/>
        <v>1.9066801578442647</v>
      </c>
      <c r="R469" s="383">
        <f>IF('Dry_Litterbag Placem_Collection'!G176="","",'Dry_Litterbag Placem_Collection'!G176)</f>
        <v>43009</v>
      </c>
      <c r="S469" s="194">
        <f>IFERROR(INDEX('Both teabags AfterDry'!$D$3:$D$2000,MATCH(H469,'Both teabags AfterDry'!$A$3:$A$2000,0)),"")</f>
        <v>0.78239999999999998</v>
      </c>
      <c r="T469" s="194">
        <f>IFERROR(INDEX('Both teabags AfterDry'!$D$3:$D$2000,MATCH(I469,'Both teabags AfterDry'!$A$3:$A$2000,0)),"")</f>
        <v>1.7047000000000001</v>
      </c>
      <c r="U469" s="194">
        <f t="shared" si="84"/>
        <v>0.63179999999999992</v>
      </c>
      <c r="V469" s="194">
        <f t="shared" si="85"/>
        <v>1.5541</v>
      </c>
      <c r="W469" s="194">
        <f>IFERROR(INDEX('Ashed teabags dry'!$K$2:$K$2000,MATCH(H469,'Ashed teabags dry'!$A$2:$A$2000,0)),"")</f>
        <v>23.40527577937609</v>
      </c>
      <c r="X469" s="194">
        <f>IFERROR(INDEX('Ashed teabags dry'!$K$2:$K$2000,MATCH(I469,'Ashed teabags dry'!$A$2:$A$2000,0)),"")</f>
        <v>12.547709923664542</v>
      </c>
      <c r="Y469" s="194">
        <f t="shared" si="80"/>
        <v>0.48392546762590183</v>
      </c>
      <c r="Z469" s="194">
        <f t="shared" si="80"/>
        <v>1.3590960400763294</v>
      </c>
      <c r="AA469" s="194">
        <f t="shared" si="86"/>
        <v>0.71358322958893794</v>
      </c>
      <c r="AB469" s="194">
        <f t="shared" si="87"/>
        <v>0.46781228353099025</v>
      </c>
      <c r="AC469" s="194">
        <f t="shared" si="81"/>
        <v>0.71280756475325879</v>
      </c>
      <c r="AD469">
        <f t="shared" si="88"/>
        <v>69</v>
      </c>
      <c r="AE469" s="194">
        <f t="shared" si="89"/>
        <v>0.152513979110525</v>
      </c>
      <c r="AF469" s="194">
        <f t="shared" si="90"/>
        <v>1.3792356159964934E-2</v>
      </c>
      <c r="AG469" s="252" t="str">
        <f>IF(ISNUMBER(SEARCH("C", 'Dry_Litterbag Placem_Collection'!$V176)),"YES","NO")</f>
        <v>NO</v>
      </c>
      <c r="AH469" s="252" t="str">
        <f>IF(ISNUMBER(SEARCH("H", 'Dry_Litterbag Placem_Collection'!$V176)),"YES","NO")</f>
        <v>NO</v>
      </c>
      <c r="AI469" s="252" t="str">
        <f>IF(ISNUMBER(SEARCH("R", 'Dry_Litterbag Placem_Collection'!$V176)),"YES","NO")</f>
        <v>NO</v>
      </c>
      <c r="AJ469" s="252" t="str">
        <f>IF(ISNUMBER(SEARCH("C", 'Dry_Litterbag Placem_Collection'!$U176)),"YES","NO")</f>
        <v>NO</v>
      </c>
      <c r="AK469" s="252" t="str">
        <f>IF(ISNUMBER(SEARCH("H", 'Dry_Litterbag Placem_Collection'!$U176)),"YES","NO")</f>
        <v>NO</v>
      </c>
      <c r="AL469" s="252" t="str">
        <f>IF(ISNUMBER(SEARCH("R", 'Dry_Litterbag Placem_Collection'!$U176)),"YES","NO")</f>
        <v>NO</v>
      </c>
    </row>
    <row r="470" spans="2:38">
      <c r="B470" t="str">
        <f>'Final data_for_R_analysis_Dryse'!A616</f>
        <v>Dry</v>
      </c>
      <c r="C470" s="260">
        <f>'Final data_for_R_analysis_Dryse'!B616</f>
        <v>175</v>
      </c>
      <c r="D470" t="s">
        <v>3827</v>
      </c>
      <c r="E470" t="s">
        <v>25</v>
      </c>
      <c r="F470" s="382">
        <v>7</v>
      </c>
      <c r="G470" s="383">
        <f>IF('Dry_Litterbag Placem_Collection'!E177="","",'Dry_Litterbag Placem_Collection'!E177)</f>
        <v>42940</v>
      </c>
      <c r="H470" s="92" t="str">
        <f>'Final data_for_R_analysis_Dryse'!K616</f>
        <v>G719</v>
      </c>
      <c r="I470" t="str">
        <f>'Final data_for_R_analysis_Dryse'!K836</f>
        <v>R175</v>
      </c>
      <c r="J470">
        <f>IFERROR(INDEX('Green_rooibos initial weight'!$C$5:$C$2000,MATCH(H470, 'Green_rooibos initial weight'!$A$5:$A$2000,0)),"")</f>
        <v>2.02</v>
      </c>
      <c r="K470">
        <f>IFERROR(INDEX('Green_rooibos initial weight'!$C$5:$C$2000,MATCH(I470, 'Green_rooibos initial weight'!$A$5:$A$2000,0)),"")</f>
        <v>2.2330000000000001</v>
      </c>
      <c r="L470" s="194">
        <f t="shared" si="82"/>
        <v>1.7702</v>
      </c>
      <c r="M470" s="237">
        <f>AVERAGE(Ashed_controlls!$K$1:$K$11)</f>
        <v>5.5147656768714146</v>
      </c>
      <c r="N470" s="194">
        <f t="shared" si="78"/>
        <v>1.6725776179880223</v>
      </c>
      <c r="O470" s="194">
        <f t="shared" si="83"/>
        <v>1.9832000000000001</v>
      </c>
      <c r="P470" s="237">
        <f>AVERAGE(Ashed_controlls!$K$12:$K$14)</f>
        <v>2.2816647271287041</v>
      </c>
      <c r="Q470" s="194">
        <f t="shared" si="79"/>
        <v>1.9379500251315835</v>
      </c>
      <c r="R470" s="383">
        <f>IF('Dry_Litterbag Placem_Collection'!G177="","",'Dry_Litterbag Placem_Collection'!G177)</f>
        <v>43009</v>
      </c>
      <c r="S470" s="194">
        <f>IFERROR(INDEX('Both teabags AfterDry'!$D$3:$D$2000,MATCH(H470,'Both teabags AfterDry'!$A$3:$A$2000,0)),"")</f>
        <v>0.80269999999999997</v>
      </c>
      <c r="T470" s="194">
        <f>IFERROR(INDEX('Both teabags AfterDry'!$D$3:$D$2000,MATCH(I470,'Both teabags AfterDry'!$A$3:$A$2000,0)),"")</f>
        <v>1.8721000000000001</v>
      </c>
      <c r="U470" s="194">
        <f t="shared" si="84"/>
        <v>0.6520999999999999</v>
      </c>
      <c r="V470" s="194">
        <f t="shared" si="85"/>
        <v>1.7215</v>
      </c>
      <c r="W470" s="194">
        <f>IFERROR(INDEX('Ashed teabags dry'!$K$2:$K$2000,MATCH(H470,'Ashed teabags dry'!$A$2:$A$2000,0)),"")</f>
        <v>20.371275036638856</v>
      </c>
      <c r="X470" s="194">
        <f>IFERROR(INDEX('Ashed teabags dry'!$K$2:$K$2000,MATCH(I470,'Ashed teabags dry'!$A$2:$A$2000,0)),"")</f>
        <v>11.577028258888308</v>
      </c>
      <c r="Y470" s="194">
        <f t="shared" si="80"/>
        <v>0.51925891548607794</v>
      </c>
      <c r="Z470" s="194">
        <f t="shared" si="80"/>
        <v>1.5222014585232377</v>
      </c>
      <c r="AA470" s="194">
        <f t="shared" si="86"/>
        <v>0.68954569886526107</v>
      </c>
      <c r="AB470" s="194">
        <f t="shared" si="87"/>
        <v>0.45205371232021868</v>
      </c>
      <c r="AC470" s="194">
        <f t="shared" si="81"/>
        <v>0.78546992377674074</v>
      </c>
      <c r="AD470">
        <f t="shared" si="88"/>
        <v>69</v>
      </c>
      <c r="AE470" s="194">
        <f t="shared" si="89"/>
        <v>0.18106211536192274</v>
      </c>
      <c r="AF470" s="194">
        <f t="shared" si="90"/>
        <v>9.3265777740280872E-3</v>
      </c>
      <c r="AG470" s="252" t="str">
        <f>IF(ISNUMBER(SEARCH("C", 'Dry_Litterbag Placem_Collection'!$V177)),"YES","NO")</f>
        <v>NO</v>
      </c>
      <c r="AH470" s="252" t="str">
        <f>IF(ISNUMBER(SEARCH("H", 'Dry_Litterbag Placem_Collection'!$V177)),"YES","NO")</f>
        <v>NO</v>
      </c>
      <c r="AI470" s="252" t="str">
        <f>IF(ISNUMBER(SEARCH("R", 'Dry_Litterbag Placem_Collection'!$V177)),"YES","NO")</f>
        <v>YES</v>
      </c>
      <c r="AJ470" s="252" t="str">
        <f>IF(ISNUMBER(SEARCH("C", 'Dry_Litterbag Placem_Collection'!$U177)),"YES","NO")</f>
        <v>NO</v>
      </c>
      <c r="AK470" s="252" t="str">
        <f>IF(ISNUMBER(SEARCH("H", 'Dry_Litterbag Placem_Collection'!$U177)),"YES","NO")</f>
        <v>NO</v>
      </c>
      <c r="AL470" s="252" t="str">
        <f>IF(ISNUMBER(SEARCH("R", 'Dry_Litterbag Placem_Collection'!$U177)),"YES","NO")</f>
        <v>NO</v>
      </c>
    </row>
    <row r="471" spans="2:38">
      <c r="B471" t="str">
        <f>'Final data_for_R_analysis_Dryse'!A617</f>
        <v>Dry</v>
      </c>
      <c r="C471" s="260">
        <f>'Final data_for_R_analysis_Dryse'!B617</f>
        <v>176</v>
      </c>
      <c r="D471" t="s">
        <v>3827</v>
      </c>
      <c r="E471" t="s">
        <v>25</v>
      </c>
      <c r="F471" s="382">
        <v>8</v>
      </c>
      <c r="G471" s="383">
        <f>IF('Dry_Litterbag Placem_Collection'!E178="","",'Dry_Litterbag Placem_Collection'!E178)</f>
        <v>42940</v>
      </c>
      <c r="H471" s="92" t="str">
        <f>'Final data_for_R_analysis_Dryse'!K617</f>
        <v>G323</v>
      </c>
      <c r="I471" t="str">
        <f>'Final data_for_R_analysis_Dryse'!K837</f>
        <v>R332</v>
      </c>
      <c r="J471">
        <f>IFERROR(INDEX('Green_rooibos initial weight'!$C$5:$C$2000,MATCH(H471, 'Green_rooibos initial weight'!$A$5:$A$2000,0)),"")</f>
        <v>1.97</v>
      </c>
      <c r="K471">
        <f>IFERROR(INDEX('Green_rooibos initial weight'!$C$5:$C$2000,MATCH(I471, 'Green_rooibos initial weight'!$A$5:$A$2000,0)),"")</f>
        <v>2.1880000000000002</v>
      </c>
      <c r="L471" s="194">
        <f t="shared" si="82"/>
        <v>1.7202</v>
      </c>
      <c r="M471" s="237">
        <f>AVERAGE(Ashed_controlls!$K$1:$K$11)</f>
        <v>5.5147656768714146</v>
      </c>
      <c r="N471" s="194">
        <f t="shared" si="78"/>
        <v>1.6253350008264578</v>
      </c>
      <c r="O471" s="194">
        <f t="shared" si="83"/>
        <v>1.9382000000000001</v>
      </c>
      <c r="P471" s="237">
        <f>AVERAGE(Ashed_controlls!$K$12:$K$14)</f>
        <v>2.2816647271287041</v>
      </c>
      <c r="Q471" s="194">
        <f t="shared" si="79"/>
        <v>1.8939767742587916</v>
      </c>
      <c r="R471" s="383">
        <f>IF('Dry_Litterbag Placem_Collection'!G178="","",'Dry_Litterbag Placem_Collection'!G178)</f>
        <v>43009</v>
      </c>
      <c r="S471" s="194">
        <f>IFERROR(INDEX('Both teabags AfterDry'!$D$3:$D$2000,MATCH(H471,'Both teabags AfterDry'!$A$3:$A$2000,0)),"")</f>
        <v>0.74829999999999997</v>
      </c>
      <c r="T471" s="194">
        <f>IFERROR(INDEX('Both teabags AfterDry'!$D$3:$D$2000,MATCH(I471,'Both teabags AfterDry'!$A$3:$A$2000,0)),"")</f>
        <v>1.8720000000000001</v>
      </c>
      <c r="U471" s="194">
        <f t="shared" si="84"/>
        <v>0.5976999999999999</v>
      </c>
      <c r="V471" s="194">
        <f t="shared" si="85"/>
        <v>1.7214</v>
      </c>
      <c r="W471" s="194">
        <f>IFERROR(INDEX('Ashed teabags dry'!$K$2:$K$2000,MATCH(H471,'Ashed teabags dry'!$A$2:$A$2000,0)),"")</f>
        <v>19.55361475012176</v>
      </c>
      <c r="X471" s="194">
        <f>IFERROR(INDEX('Ashed teabags dry'!$K$2:$K$2000,MATCH(I471,'Ashed teabags dry'!$A$2:$A$2000,0)),"")</f>
        <v>6.259314456035395</v>
      </c>
      <c r="Y471" s="194">
        <f t="shared" si="80"/>
        <v>0.48082804463852213</v>
      </c>
      <c r="Z471" s="194">
        <f t="shared" si="80"/>
        <v>1.6136521609538068</v>
      </c>
      <c r="AA471" s="194">
        <f t="shared" si="86"/>
        <v>0.7041668059852102</v>
      </c>
      <c r="AB471" s="194">
        <f t="shared" si="87"/>
        <v>0.46163904620408086</v>
      </c>
      <c r="AC471" s="194">
        <f t="shared" si="81"/>
        <v>0.85199152538990874</v>
      </c>
      <c r="AD471">
        <f t="shared" si="88"/>
        <v>69</v>
      </c>
      <c r="AE471" s="194">
        <f t="shared" si="89"/>
        <v>0.16369738006507095</v>
      </c>
      <c r="AF471" s="194">
        <f t="shared" si="90"/>
        <v>5.6024279821994078E-3</v>
      </c>
      <c r="AG471" s="252" t="str">
        <f>IF(ISNUMBER(SEARCH("C", 'Dry_Litterbag Placem_Collection'!$V178)),"YES","NO")</f>
        <v>NO</v>
      </c>
      <c r="AH471" s="252" t="str">
        <f>IF(ISNUMBER(SEARCH("H", 'Dry_Litterbag Placem_Collection'!$V178)),"YES","NO")</f>
        <v>NO</v>
      </c>
      <c r="AI471" s="252" t="str">
        <f>IF(ISNUMBER(SEARCH("R", 'Dry_Litterbag Placem_Collection'!$V178)),"YES","NO")</f>
        <v>YES</v>
      </c>
      <c r="AJ471" s="252" t="str">
        <f>IF(ISNUMBER(SEARCH("C", 'Dry_Litterbag Placem_Collection'!$U178)),"YES","NO")</f>
        <v>NO</v>
      </c>
      <c r="AK471" s="252" t="str">
        <f>IF(ISNUMBER(SEARCH("H", 'Dry_Litterbag Placem_Collection'!$U178)),"YES","NO")</f>
        <v>NO</v>
      </c>
      <c r="AL471" s="252" t="str">
        <f>IF(ISNUMBER(SEARCH("R", 'Dry_Litterbag Placem_Collection'!$U178)),"YES","NO")</f>
        <v>YES</v>
      </c>
    </row>
    <row r="472" spans="2:38">
      <c r="B472" t="str">
        <f>'Final data_for_R_analysis_Dryse'!A618</f>
        <v>Dry</v>
      </c>
      <c r="C472" s="260">
        <f>'Final data_for_R_analysis_Dryse'!B618</f>
        <v>177</v>
      </c>
      <c r="D472" t="s">
        <v>3828</v>
      </c>
      <c r="E472" t="s">
        <v>25</v>
      </c>
      <c r="F472" s="381">
        <v>1</v>
      </c>
      <c r="G472" s="383">
        <f>IF('Dry_Litterbag Placem_Collection'!E179="","",'Dry_Litterbag Placem_Collection'!E179)</f>
        <v>42940</v>
      </c>
      <c r="H472" s="92" t="str">
        <f>'Final data_for_R_analysis_Dryse'!K618</f>
        <v>G14</v>
      </c>
      <c r="I472" t="str">
        <f>'Final data_for_R_analysis_Dryse'!K838</f>
        <v>R70</v>
      </c>
      <c r="J472">
        <f>IFERROR(INDEX('Green_rooibos initial weight'!$C$5:$C$2000,MATCH(H472, 'Green_rooibos initial weight'!$A$5:$A$2000,0)),"")</f>
        <v>2.0750000000000002</v>
      </c>
      <c r="K472">
        <f>IFERROR(INDEX('Green_rooibos initial weight'!$C$5:$C$2000,MATCH(I472, 'Green_rooibos initial weight'!$A$5:$A$2000,0)),"")</f>
        <v>2.23</v>
      </c>
      <c r="L472" s="194">
        <f t="shared" si="82"/>
        <v>1.8252000000000002</v>
      </c>
      <c r="M472" s="237">
        <f>AVERAGE(Ashed_controlls!$K$1:$K$11)</f>
        <v>5.5147656768714146</v>
      </c>
      <c r="N472" s="194">
        <f t="shared" si="78"/>
        <v>1.7245444968657431</v>
      </c>
      <c r="O472" s="194">
        <f t="shared" si="83"/>
        <v>1.9802</v>
      </c>
      <c r="P472" s="237">
        <f>AVERAGE(Ashed_controlls!$K$12:$K$14)</f>
        <v>2.2816647271287041</v>
      </c>
      <c r="Q472" s="194">
        <f t="shared" si="79"/>
        <v>1.9350184750733974</v>
      </c>
      <c r="R472" s="383">
        <f>IF('Dry_Litterbag Placem_Collection'!G179="","",'Dry_Litterbag Placem_Collection'!G179)</f>
        <v>43009</v>
      </c>
      <c r="S472" s="194" t="str">
        <f>IFERROR(INDEX('Both teabags AfterDry'!$D$3:$D$2000,MATCH(H472,'Both teabags AfterDry'!$A$3:$A$2000,0)),"")</f>
        <v/>
      </c>
      <c r="T472" s="194" t="str">
        <f>IFERROR(INDEX('Both teabags AfterDry'!$D$3:$D$2000,MATCH(I472,'Both teabags AfterDry'!$A$3:$A$2000,0)),"")</f>
        <v/>
      </c>
      <c r="U472" s="194" t="str">
        <f t="shared" si="84"/>
        <v/>
      </c>
      <c r="V472" s="194" t="str">
        <f t="shared" si="85"/>
        <v/>
      </c>
      <c r="W472" s="194" t="str">
        <f>IFERROR(INDEX('Ashed teabags dry'!$K$2:$K$2000,MATCH(H472,'Ashed teabags dry'!$A$2:$A$2000,0)),"")</f>
        <v/>
      </c>
      <c r="X472" s="194" t="str">
        <f>IFERROR(INDEX('Ashed teabags dry'!$K$2:$K$2000,MATCH(I472,'Ashed teabags dry'!$A$2:$A$2000,0)),"")</f>
        <v/>
      </c>
      <c r="Y472" s="194" t="str">
        <f t="shared" si="80"/>
        <v/>
      </c>
      <c r="Z472" s="194" t="str">
        <f t="shared" si="80"/>
        <v/>
      </c>
      <c r="AA472" s="194" t="str">
        <f t="shared" si="86"/>
        <v/>
      </c>
      <c r="AB472" s="194" t="str">
        <f t="shared" si="87"/>
        <v/>
      </c>
      <c r="AC472" s="194" t="str">
        <f t="shared" si="81"/>
        <v/>
      </c>
      <c r="AD472">
        <f t="shared" si="88"/>
        <v>69</v>
      </c>
      <c r="AE472" s="194" t="str">
        <f t="shared" si="89"/>
        <v/>
      </c>
      <c r="AF472" s="194" t="str">
        <f t="shared" si="90"/>
        <v/>
      </c>
      <c r="AG472" s="252" t="str">
        <f>IF(ISNUMBER(SEARCH("C", 'Dry_Litterbag Placem_Collection'!$V179)),"YES","NO")</f>
        <v>NO</v>
      </c>
      <c r="AH472" s="252" t="str">
        <f>IF(ISNUMBER(SEARCH("H", 'Dry_Litterbag Placem_Collection'!$V179)),"YES","NO")</f>
        <v>NO</v>
      </c>
      <c r="AI472" s="252" t="str">
        <f>IF(ISNUMBER(SEARCH("R", 'Dry_Litterbag Placem_Collection'!$V179)),"YES","NO")</f>
        <v>YES</v>
      </c>
      <c r="AJ472" s="252" t="str">
        <f>IF(ISNUMBER(SEARCH("C", 'Dry_Litterbag Placem_Collection'!$U179)),"YES","NO")</f>
        <v>NO</v>
      </c>
      <c r="AK472" s="252" t="str">
        <f>IF(ISNUMBER(SEARCH("H", 'Dry_Litterbag Placem_Collection'!$U179)),"YES","NO")</f>
        <v>NO</v>
      </c>
      <c r="AL472" s="252" t="str">
        <f>IF(ISNUMBER(SEARCH("R", 'Dry_Litterbag Placem_Collection'!$U179)),"YES","NO")</f>
        <v>NO</v>
      </c>
    </row>
    <row r="473" spans="2:38">
      <c r="B473" t="str">
        <f>'Final data_for_R_analysis_Dryse'!A619</f>
        <v>Dry</v>
      </c>
      <c r="C473" s="260">
        <f>'Final data_for_R_analysis_Dryse'!B619</f>
        <v>178</v>
      </c>
      <c r="D473" t="s">
        <v>3828</v>
      </c>
      <c r="E473" t="s">
        <v>25</v>
      </c>
      <c r="F473" s="381">
        <v>2</v>
      </c>
      <c r="G473" s="383">
        <f>IF('Dry_Litterbag Placem_Collection'!E180="","",'Dry_Litterbag Placem_Collection'!E180)</f>
        <v>42940</v>
      </c>
      <c r="H473" s="92" t="str">
        <f>'Final data_for_R_analysis_Dryse'!K619</f>
        <v>G410</v>
      </c>
      <c r="I473" t="str">
        <f>'Final data_for_R_analysis_Dryse'!K839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82"/>
        <v>1.8612000000000002</v>
      </c>
      <c r="M473" s="237">
        <f>AVERAGE(Ashed_controlls!$K$1:$K$11)</f>
        <v>5.5147656768714146</v>
      </c>
      <c r="N473" s="194">
        <f t="shared" si="78"/>
        <v>1.7585591812220693</v>
      </c>
      <c r="O473" s="194">
        <f t="shared" si="83"/>
        <v>1.9552</v>
      </c>
      <c r="P473" s="237">
        <f>AVERAGE(Ashed_controlls!$K$12:$K$14)</f>
        <v>2.2816647271287041</v>
      </c>
      <c r="Q473" s="194">
        <f t="shared" si="79"/>
        <v>1.9105888912551796</v>
      </c>
      <c r="R473" s="383">
        <f>IF('Dry_Litterbag Placem_Collection'!G180="","",'Dry_Litterbag Placem_Collection'!G180)</f>
        <v>43009</v>
      </c>
      <c r="S473" s="194">
        <f>IFERROR(INDEX('Both teabags AfterDry'!$D$3:$D$2000,MATCH(H473,'Both teabags AfterDry'!$A$3:$A$2000,0)),"")</f>
        <v>0.71050000000000002</v>
      </c>
      <c r="T473" s="194">
        <f>IFERROR(INDEX('Both teabags AfterDry'!$D$3:$D$2000,MATCH(I473,'Both teabags AfterDry'!$A$3:$A$2000,0)),"")</f>
        <v>1.8359000000000001</v>
      </c>
      <c r="U473" s="194">
        <f t="shared" si="84"/>
        <v>0.55990000000000006</v>
      </c>
      <c r="V473" s="194">
        <f t="shared" si="85"/>
        <v>1.6853</v>
      </c>
      <c r="W473" s="194">
        <f>IFERROR(INDEX('Ashed teabags dry'!$K$2:$K$2000,MATCH(H473,'Ashed teabags dry'!$A$2:$A$2000,0)),"")</f>
        <v>18.892185954499759</v>
      </c>
      <c r="X473" s="194">
        <f>IFERROR(INDEX('Ashed teabags dry'!$K$2:$K$2000,MATCH(I473,'Ashed teabags dry'!$A$2:$A$2000,0)),"")</f>
        <v>7.0877531340403506</v>
      </c>
      <c r="Y473" s="194">
        <f t="shared" si="80"/>
        <v>0.45412265084075587</v>
      </c>
      <c r="Z473" s="194">
        <f t="shared" si="80"/>
        <v>1.5658500964320179</v>
      </c>
      <c r="AA473" s="194">
        <f t="shared" si="86"/>
        <v>0.74176436272950785</v>
      </c>
      <c r="AB473" s="194">
        <f t="shared" si="87"/>
        <v>0.48628732568490307</v>
      </c>
      <c r="AC473" s="194">
        <f t="shared" si="81"/>
        <v>0.81956411638262883</v>
      </c>
      <c r="AD473">
        <f t="shared" si="88"/>
        <v>69</v>
      </c>
      <c r="AE473" s="194">
        <f t="shared" si="89"/>
        <v>0.11904469984619015</v>
      </c>
      <c r="AF473" s="194">
        <f t="shared" si="90"/>
        <v>6.7202920825053334E-3</v>
      </c>
      <c r="AG473" s="252" t="str">
        <f>IF(ISNUMBER(SEARCH("C", 'Dry_Litterbag Placem_Collection'!$V180)),"YES","NO")</f>
        <v>NO</v>
      </c>
      <c r="AH473" s="252" t="str">
        <f>IF(ISNUMBER(SEARCH("H", 'Dry_Litterbag Placem_Collection'!$V180)),"YES","NO")</f>
        <v>NO</v>
      </c>
      <c r="AI473" s="252" t="str">
        <f>IF(ISNUMBER(SEARCH("R", 'Dry_Litterbag Placem_Collection'!$V180)),"YES","NO")</f>
        <v>NO</v>
      </c>
      <c r="AJ473" s="252" t="str">
        <f>IF(ISNUMBER(SEARCH("C", 'Dry_Litterbag Placem_Collection'!$U180)),"YES","NO")</f>
        <v>NO</v>
      </c>
      <c r="AK473" s="252" t="str">
        <f>IF(ISNUMBER(SEARCH("H", 'Dry_Litterbag Placem_Collection'!$U180)),"YES","NO")</f>
        <v>NO</v>
      </c>
      <c r="AL473" s="252" t="str">
        <f>IF(ISNUMBER(SEARCH("R", 'Dry_Litterbag Placem_Collection'!$U180)),"YES","NO")</f>
        <v>NO</v>
      </c>
    </row>
    <row r="474" spans="2:38">
      <c r="B474" t="str">
        <f>'Final data_for_R_analysis_Dryse'!A620</f>
        <v>Dry</v>
      </c>
      <c r="C474" s="260">
        <f>'Final data_for_R_analysis_Dryse'!B620</f>
        <v>179</v>
      </c>
      <c r="D474" t="s">
        <v>3828</v>
      </c>
      <c r="E474" t="s">
        <v>25</v>
      </c>
      <c r="F474" s="381">
        <v>3</v>
      </c>
      <c r="G474" s="383">
        <f>IF('Dry_Litterbag Placem_Collection'!E181="","",'Dry_Litterbag Placem_Collection'!E181)</f>
        <v>42940</v>
      </c>
      <c r="H474" s="92" t="str">
        <f>'Final data_for_R_analysis_Dryse'!K620</f>
        <v>G78</v>
      </c>
      <c r="I474" t="str">
        <f>'Final data_for_R_analysis_Dryse'!K840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82"/>
        <v>1.7881999999999998</v>
      </c>
      <c r="M474" s="237">
        <f>AVERAGE(Ashed_controlls!$K$1:$K$11)</f>
        <v>5.5147656768714146</v>
      </c>
      <c r="N474" s="194">
        <f t="shared" si="78"/>
        <v>1.6895849601661852</v>
      </c>
      <c r="O474" s="194">
        <f t="shared" si="83"/>
        <v>1.8521999999999998</v>
      </c>
      <c r="P474" s="237">
        <f>AVERAGE(Ashed_controlls!$K$12:$K$14)</f>
        <v>2.2816647271287041</v>
      </c>
      <c r="Q474" s="194">
        <f t="shared" si="79"/>
        <v>1.809939005924122</v>
      </c>
      <c r="R474" s="383">
        <f>IF('Dry_Litterbag Placem_Collection'!G181="","",'Dry_Litterbag Placem_Collection'!G181)</f>
        <v>43009</v>
      </c>
      <c r="S474" s="194">
        <f>IFERROR(INDEX('Both teabags AfterDry'!$D$3:$D$2000,MATCH(H474,'Both teabags AfterDry'!$A$3:$A$2000,0)),"")</f>
        <v>0.871</v>
      </c>
      <c r="T474" s="194">
        <f>IFERROR(INDEX('Both teabags AfterDry'!$D$3:$D$2000,MATCH(I474,'Both teabags AfterDry'!$A$3:$A$2000,0)),"")</f>
        <v>1.6580999999999999</v>
      </c>
      <c r="U474" s="194">
        <f t="shared" si="84"/>
        <v>0.72039999999999993</v>
      </c>
      <c r="V474" s="194">
        <f t="shared" si="85"/>
        <v>1.5074999999999998</v>
      </c>
      <c r="W474" s="194">
        <f>IFERROR(INDEX('Ashed teabags dry'!$K$2:$K$2000,MATCH(H474,'Ashed teabags dry'!$A$2:$A$2000,0)),"")</f>
        <v>31.412103746397996</v>
      </c>
      <c r="X474" s="194">
        <f>IFERROR(INDEX('Ashed teabags dry'!$K$2:$K$2000,MATCH(I474,'Ashed teabags dry'!$A$2:$A$2000,0)),"")</f>
        <v>15.844901866922525</v>
      </c>
      <c r="Y474" s="194">
        <f t="shared" si="80"/>
        <v>0.49410720461094881</v>
      </c>
      <c r="Z474" s="194">
        <f t="shared" si="80"/>
        <v>1.2686381043561428</v>
      </c>
      <c r="AA474" s="194">
        <f t="shared" si="86"/>
        <v>0.70755705320533324</v>
      </c>
      <c r="AB474" s="194">
        <f t="shared" si="87"/>
        <v>0.46386163107998096</v>
      </c>
      <c r="AC474" s="194">
        <f t="shared" si="81"/>
        <v>0.7009286501941534</v>
      </c>
      <c r="AD474">
        <f t="shared" si="88"/>
        <v>69</v>
      </c>
      <c r="AE474" s="194">
        <f t="shared" si="89"/>
        <v>0.15967095818844035</v>
      </c>
      <c r="AF474" s="194">
        <f t="shared" si="90"/>
        <v>1.4998734144761102E-2</v>
      </c>
      <c r="AG474" s="252" t="str">
        <f>IF(ISNUMBER(SEARCH("C", 'Dry_Litterbag Placem_Collection'!$V181)),"YES","NO")</f>
        <v>NO</v>
      </c>
      <c r="AH474" s="252" t="str">
        <f>IF(ISNUMBER(SEARCH("H", 'Dry_Litterbag Placem_Collection'!$V181)),"YES","NO")</f>
        <v>NO</v>
      </c>
      <c r="AI474" s="252" t="str">
        <f>IF(ISNUMBER(SEARCH("R", 'Dry_Litterbag Placem_Collection'!$V181)),"YES","NO")</f>
        <v>NO</v>
      </c>
      <c r="AJ474" s="252" t="str">
        <f>IF(ISNUMBER(SEARCH("C", 'Dry_Litterbag Placem_Collection'!$U181)),"YES","NO")</f>
        <v>NO</v>
      </c>
      <c r="AK474" s="252" t="str">
        <f>IF(ISNUMBER(SEARCH("H", 'Dry_Litterbag Placem_Collection'!$U181)),"YES","NO")</f>
        <v>NO</v>
      </c>
      <c r="AL474" s="252" t="str">
        <f>IF(ISNUMBER(SEARCH("R", 'Dry_Litterbag Placem_Collection'!$U181)),"YES","NO")</f>
        <v>YES</v>
      </c>
    </row>
    <row r="475" spans="2:38">
      <c r="B475" t="str">
        <f>'Final data_for_R_analysis_Dryse'!A621</f>
        <v>Dry</v>
      </c>
      <c r="C475" s="260">
        <f>'Final data_for_R_analysis_Dryse'!B621</f>
        <v>180</v>
      </c>
      <c r="D475" t="s">
        <v>3828</v>
      </c>
      <c r="E475" t="s">
        <v>25</v>
      </c>
      <c r="F475" s="382">
        <v>4</v>
      </c>
      <c r="G475" s="383">
        <f>IF('Dry_Litterbag Placem_Collection'!E182="","",'Dry_Litterbag Placem_Collection'!E182)</f>
        <v>42940</v>
      </c>
      <c r="H475" s="92" t="str">
        <f>'Final data_for_R_analysis_Dryse'!K621</f>
        <v>G422</v>
      </c>
      <c r="I475" t="str">
        <f>'Final data_for_R_analysis_Dryse'!K841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82"/>
        <v>1.7551999999999999</v>
      </c>
      <c r="M475" s="237">
        <f>AVERAGE(Ashed_controlls!$K$1:$K$11)</f>
        <v>5.5147656768714146</v>
      </c>
      <c r="N475" s="194">
        <f t="shared" si="78"/>
        <v>1.6584048328395529</v>
      </c>
      <c r="O475" s="194">
        <f t="shared" si="83"/>
        <v>1.8982000000000001</v>
      </c>
      <c r="P475" s="237">
        <f>AVERAGE(Ashed_controlls!$K$12:$K$14)</f>
        <v>2.2816647271287041</v>
      </c>
      <c r="Q475" s="194">
        <f t="shared" si="79"/>
        <v>1.854889440149643</v>
      </c>
      <c r="R475" s="383">
        <f>IF('Dry_Litterbag Placem_Collection'!G182="","",'Dry_Litterbag Placem_Collection'!G182)</f>
        <v>43009</v>
      </c>
      <c r="S475" s="194">
        <f>IFERROR(INDEX('Both teabags AfterDry'!$D$3:$D$2000,MATCH(H475,'Both teabags AfterDry'!$A$3:$A$2000,0)),"")</f>
        <v>0.751</v>
      </c>
      <c r="T475" s="194">
        <f>IFERROR(INDEX('Both teabags AfterDry'!$D$3:$D$2000,MATCH(I475,'Both teabags AfterDry'!$A$3:$A$2000,0)),"")</f>
        <v>1.6716</v>
      </c>
      <c r="U475" s="194">
        <f t="shared" si="84"/>
        <v>0.60040000000000004</v>
      </c>
      <c r="V475" s="194">
        <f t="shared" si="85"/>
        <v>1.5209999999999999</v>
      </c>
      <c r="W475" s="194">
        <f>IFERROR(INDEX('Ashed teabags dry'!$K$2:$K$2000,MATCH(H475,'Ashed teabags dry'!$A$2:$A$2000,0)),"")</f>
        <v>20.896226415094358</v>
      </c>
      <c r="X475" s="194">
        <f>IFERROR(INDEX('Ashed teabags dry'!$K$2:$K$2000,MATCH(I475,'Ashed teabags dry'!$A$2:$A$2000,0)),"")</f>
        <v>6.0721062618585453</v>
      </c>
      <c r="Y475" s="194">
        <f t="shared" si="80"/>
        <v>0.4749390566037735</v>
      </c>
      <c r="Z475" s="194">
        <f t="shared" si="80"/>
        <v>1.4286432637571314</v>
      </c>
      <c r="AA475" s="194">
        <f t="shared" si="86"/>
        <v>0.71361693646865842</v>
      </c>
      <c r="AB475" s="194">
        <f t="shared" si="87"/>
        <v>0.46783438115284975</v>
      </c>
      <c r="AC475" s="194">
        <f t="shared" si="81"/>
        <v>0.77020399859620514</v>
      </c>
      <c r="AD475">
        <f t="shared" si="88"/>
        <v>69</v>
      </c>
      <c r="AE475" s="194">
        <f t="shared" si="89"/>
        <v>0.15247394718686647</v>
      </c>
      <c r="AF475" s="194">
        <f t="shared" si="90"/>
        <v>9.7924989382486369E-3</v>
      </c>
      <c r="AG475" s="252" t="str">
        <f>IF(ISNUMBER(SEARCH("C", 'Dry_Litterbag Placem_Collection'!$V182)),"YES","NO")</f>
        <v>NO</v>
      </c>
      <c r="AH475" s="252" t="str">
        <f>IF(ISNUMBER(SEARCH("H", 'Dry_Litterbag Placem_Collection'!$V182)),"YES","NO")</f>
        <v>NO</v>
      </c>
      <c r="AI475" s="252" t="str">
        <f>IF(ISNUMBER(SEARCH("R", 'Dry_Litterbag Placem_Collection'!$V182)),"YES","NO")</f>
        <v>NO</v>
      </c>
      <c r="AJ475" s="252" t="str">
        <f>IF(ISNUMBER(SEARCH("C", 'Dry_Litterbag Placem_Collection'!$U182)),"YES","NO")</f>
        <v>NO</v>
      </c>
      <c r="AK475" s="252" t="str">
        <f>IF(ISNUMBER(SEARCH("H", 'Dry_Litterbag Placem_Collection'!$U182)),"YES","NO")</f>
        <v>NO</v>
      </c>
      <c r="AL475" s="252" t="str">
        <f>IF(ISNUMBER(SEARCH("R", 'Dry_Litterbag Placem_Collection'!$U182)),"YES","NO")</f>
        <v>YES</v>
      </c>
    </row>
    <row r="476" spans="2:38">
      <c r="B476" t="str">
        <f>'Final data_for_R_analysis_Dryse'!A622</f>
        <v>Dry</v>
      </c>
      <c r="C476" s="260">
        <f>'Final data_for_R_analysis_Dryse'!B622</f>
        <v>181</v>
      </c>
      <c r="D476" t="s">
        <v>3828</v>
      </c>
      <c r="E476" t="s">
        <v>25</v>
      </c>
      <c r="F476" s="382">
        <v>5</v>
      </c>
      <c r="G476" s="383">
        <f>IF('Dry_Litterbag Placem_Collection'!E183="","",'Dry_Litterbag Placem_Collection'!E183)</f>
        <v>42940</v>
      </c>
      <c r="H476" s="92" t="str">
        <f>'Final data_for_R_analysis_Dryse'!K622</f>
        <v>G870</v>
      </c>
      <c r="I476" t="str">
        <f>'Final data_for_R_analysis_Dryse'!K842</f>
        <v>R170</v>
      </c>
      <c r="J476">
        <f>IFERROR(INDEX('Green_rooibos initial weight'!$C$5:$C$2000,MATCH(H476, 'Green_rooibos initial weight'!$A$5:$A$2000,0)),"")</f>
        <v>1.972</v>
      </c>
      <c r="K476">
        <f>IFERROR(INDEX('Green_rooibos initial weight'!$C$5:$C$2000,MATCH(I476, 'Green_rooibos initial weight'!$A$5:$A$2000,0)),"")</f>
        <v>2.1120000000000001</v>
      </c>
      <c r="L476" s="194">
        <f t="shared" si="82"/>
        <v>1.7222</v>
      </c>
      <c r="M476" s="237">
        <f>AVERAGE(Ashed_controlls!$K$1:$K$11)</f>
        <v>5.5147656768714146</v>
      </c>
      <c r="N476" s="194">
        <f t="shared" si="78"/>
        <v>1.6272247055129205</v>
      </c>
      <c r="O476" s="194">
        <f t="shared" si="83"/>
        <v>1.8622000000000001</v>
      </c>
      <c r="P476" s="237">
        <f>AVERAGE(Ashed_controlls!$K$12:$K$14)</f>
        <v>2.2816647271287041</v>
      </c>
      <c r="Q476" s="194">
        <f t="shared" si="79"/>
        <v>1.8197108394514094</v>
      </c>
      <c r="R476" s="383">
        <f>IF('Dry_Litterbag Placem_Collection'!G183="","",'Dry_Litterbag Placem_Collection'!G183)</f>
        <v>43009</v>
      </c>
      <c r="S476" s="194">
        <f>IFERROR(INDEX('Both teabags AfterDry'!$D$3:$D$2000,MATCH(H476,'Both teabags AfterDry'!$A$3:$A$2000,0)),"")</f>
        <v>0.75219999999999998</v>
      </c>
      <c r="T476" s="194">
        <f>IFERROR(INDEX('Both teabags AfterDry'!$D$3:$D$2000,MATCH(I476,'Both teabags AfterDry'!$A$3:$A$2000,0)),"")</f>
        <v>1.7410000000000001</v>
      </c>
      <c r="U476" s="194">
        <f t="shared" si="84"/>
        <v>0.60159999999999991</v>
      </c>
      <c r="V476" s="194">
        <f t="shared" si="85"/>
        <v>1.5904</v>
      </c>
      <c r="W476" s="194">
        <f>IFERROR(INDEX('Ashed teabags dry'!$K$2:$K$2000,MATCH(H476,'Ashed teabags dry'!$A$2:$A$2000,0)),"")</f>
        <v>17.470472440944899</v>
      </c>
      <c r="X476" s="194">
        <f>IFERROR(INDEX('Ashed teabags dry'!$K$2:$K$2000,MATCH(I476,'Ashed teabags dry'!$A$2:$A$2000,0)),"")</f>
        <v>7.9387186629519642</v>
      </c>
      <c r="Y476" s="194">
        <f t="shared" si="80"/>
        <v>0.49649763779527545</v>
      </c>
      <c r="Z476" s="194">
        <f t="shared" si="80"/>
        <v>1.464142618384412</v>
      </c>
      <c r="AA476" s="194">
        <f t="shared" si="86"/>
        <v>0.69488071554397068</v>
      </c>
      <c r="AB476" s="194">
        <f t="shared" si="87"/>
        <v>0.45555125294569104</v>
      </c>
      <c r="AC476" s="194">
        <f t="shared" si="81"/>
        <v>0.80460180081457822</v>
      </c>
      <c r="AD476">
        <f t="shared" si="88"/>
        <v>69</v>
      </c>
      <c r="AE476" s="194">
        <f t="shared" si="89"/>
        <v>0.17472599104041486</v>
      </c>
      <c r="AF476" s="194">
        <f t="shared" si="90"/>
        <v>8.119392817843225E-3</v>
      </c>
      <c r="AG476" s="252" t="str">
        <f>IF(ISNUMBER(SEARCH("C", 'Dry_Litterbag Placem_Collection'!$V183)),"YES","NO")</f>
        <v>NO</v>
      </c>
      <c r="AH476" s="252" t="str">
        <f>IF(ISNUMBER(SEARCH("H", 'Dry_Litterbag Placem_Collection'!$V183)),"YES","NO")</f>
        <v>NO</v>
      </c>
      <c r="AI476" s="252" t="str">
        <f>IF(ISNUMBER(SEARCH("R", 'Dry_Litterbag Placem_Collection'!$V183)),"YES","NO")</f>
        <v>NO</v>
      </c>
      <c r="AJ476" s="252" t="str">
        <f>IF(ISNUMBER(SEARCH("C", 'Dry_Litterbag Placem_Collection'!$U183)),"YES","NO")</f>
        <v>NO</v>
      </c>
      <c r="AK476" s="252" t="str">
        <f>IF(ISNUMBER(SEARCH("H", 'Dry_Litterbag Placem_Collection'!$U183)),"YES","NO")</f>
        <v>NO</v>
      </c>
      <c r="AL476" s="252" t="str">
        <f>IF(ISNUMBER(SEARCH("R", 'Dry_Litterbag Placem_Collection'!$U183)),"YES","NO")</f>
        <v>NO</v>
      </c>
    </row>
    <row r="477" spans="2:38">
      <c r="B477" t="str">
        <f>'Final data_for_R_analysis_Dryse'!A623</f>
        <v>Dry</v>
      </c>
      <c r="C477" s="260">
        <f>'Final data_for_R_analysis_Dryse'!B623</f>
        <v>182</v>
      </c>
      <c r="D477" t="s">
        <v>3828</v>
      </c>
      <c r="E477" t="s">
        <v>25</v>
      </c>
      <c r="F477" s="382">
        <v>6</v>
      </c>
      <c r="G477" s="383">
        <f>IF('Dry_Litterbag Placem_Collection'!E184="","",'Dry_Litterbag Placem_Collection'!E184)</f>
        <v>42940</v>
      </c>
      <c r="H477" s="92" t="str">
        <f>'Final data_for_R_analysis_Dryse'!K623</f>
        <v>G136</v>
      </c>
      <c r="I477" t="str">
        <f>'Final data_for_R_analysis_Dryse'!K843</f>
        <v>R697</v>
      </c>
      <c r="J477">
        <f>IFERROR(INDEX('Green_rooibos initial weight'!$C$5:$C$2000,MATCH(H477, 'Green_rooibos initial weight'!$A$5:$A$2000,0)),"")</f>
        <v>1.9430000000000001</v>
      </c>
      <c r="K477">
        <f>IFERROR(INDEX('Green_rooibos initial weight'!$C$5:$C$2000,MATCH(I477, 'Green_rooibos initial weight'!$A$5:$A$2000,0)),"")</f>
        <v>2.133</v>
      </c>
      <c r="L477" s="194">
        <f t="shared" si="82"/>
        <v>1.6932</v>
      </c>
      <c r="M477" s="237">
        <f>AVERAGE(Ashed_controlls!$K$1:$K$11)</f>
        <v>5.5147656768714146</v>
      </c>
      <c r="N477" s="194">
        <f t="shared" si="78"/>
        <v>1.5998239875592133</v>
      </c>
      <c r="O477" s="194">
        <f t="shared" si="83"/>
        <v>1.8832</v>
      </c>
      <c r="P477" s="237">
        <f>AVERAGE(Ashed_controlls!$K$12:$K$14)</f>
        <v>2.2816647271287041</v>
      </c>
      <c r="Q477" s="194">
        <f t="shared" si="79"/>
        <v>1.8402316898587123</v>
      </c>
      <c r="R477" s="383">
        <f>IF('Dry_Litterbag Placem_Collection'!G184="","",'Dry_Litterbag Placem_Collection'!G184)</f>
        <v>43009</v>
      </c>
      <c r="S477" s="194">
        <f>IFERROR(INDEX('Both teabags AfterDry'!$D$3:$D$2000,MATCH(H477,'Both teabags AfterDry'!$A$3:$A$2000,0)),"")</f>
        <v>0.71589999999999998</v>
      </c>
      <c r="T477" s="194">
        <f>IFERROR(INDEX('Both teabags AfterDry'!$D$3:$D$2000,MATCH(I477,'Both teabags AfterDry'!$A$3:$A$2000,0)),"")</f>
        <v>1.8089</v>
      </c>
      <c r="U477" s="194">
        <f t="shared" si="84"/>
        <v>0.56529999999999991</v>
      </c>
      <c r="V477" s="194">
        <f t="shared" si="85"/>
        <v>1.6582999999999999</v>
      </c>
      <c r="W477" s="194">
        <f>IFERROR(INDEX('Ashed teabags dry'!$K$2:$K$2000,MATCH(H477,'Ashed teabags dry'!$A$2:$A$2000,0)),"")</f>
        <v>16.379734382685722</v>
      </c>
      <c r="X477" s="194">
        <f>IFERROR(INDEX('Ashed teabags dry'!$K$2:$K$2000,MATCH(I477,'Ashed teabags dry'!$A$2:$A$2000,0)),"")</f>
        <v>9.0456806874716023</v>
      </c>
      <c r="Y477" s="194">
        <f t="shared" si="80"/>
        <v>0.47270536153467752</v>
      </c>
      <c r="Z477" s="194">
        <f t="shared" si="80"/>
        <v>1.5082954771596584</v>
      </c>
      <c r="AA477" s="194">
        <f t="shared" si="86"/>
        <v>0.70452664467429016</v>
      </c>
      <c r="AB477" s="194">
        <f t="shared" si="87"/>
        <v>0.46187494995274131</v>
      </c>
      <c r="AC477" s="194">
        <f t="shared" si="81"/>
        <v>0.819622597236906</v>
      </c>
      <c r="AD477">
        <f t="shared" si="88"/>
        <v>69</v>
      </c>
      <c r="AE477" s="194">
        <f t="shared" si="89"/>
        <v>0.16327001820155562</v>
      </c>
      <c r="AF477" s="194">
        <f t="shared" si="90"/>
        <v>7.1763833211917214E-3</v>
      </c>
      <c r="AG477" s="252" t="str">
        <f>IF(ISNUMBER(SEARCH("C", 'Dry_Litterbag Placem_Collection'!$V184)),"YES","NO")</f>
        <v>NO</v>
      </c>
      <c r="AH477" s="252" t="str">
        <f>IF(ISNUMBER(SEARCH("H", 'Dry_Litterbag Placem_Collection'!$V184)),"YES","NO")</f>
        <v>NO</v>
      </c>
      <c r="AI477" s="252" t="str">
        <f>IF(ISNUMBER(SEARCH("R", 'Dry_Litterbag Placem_Collection'!$V184)),"YES","NO")</f>
        <v>NO</v>
      </c>
      <c r="AJ477" s="252" t="str">
        <f>IF(ISNUMBER(SEARCH("C", 'Dry_Litterbag Placem_Collection'!$U184)),"YES","NO")</f>
        <v>NO</v>
      </c>
      <c r="AK477" s="252" t="str">
        <f>IF(ISNUMBER(SEARCH("H", 'Dry_Litterbag Placem_Collection'!$U184)),"YES","NO")</f>
        <v>NO</v>
      </c>
      <c r="AL477" s="252" t="str">
        <f>IF(ISNUMBER(SEARCH("R", 'Dry_Litterbag Placem_Collection'!$U184)),"YES","NO")</f>
        <v>YES</v>
      </c>
    </row>
    <row r="478" spans="2:38">
      <c r="B478" t="str">
        <f>'Final data_for_R_analysis_Dryse'!A624</f>
        <v>Dry</v>
      </c>
      <c r="C478" s="260">
        <f>'Final data_for_R_analysis_Dryse'!B624</f>
        <v>183</v>
      </c>
      <c r="D478" t="s">
        <v>3828</v>
      </c>
      <c r="E478" t="s">
        <v>25</v>
      </c>
      <c r="F478" s="382">
        <v>7</v>
      </c>
      <c r="G478" s="383" t="str">
        <f>IF('Dry_Litterbag Placem_Collection'!E185="","",'Dry_Litterbag Placem_Collection'!E185)</f>
        <v/>
      </c>
      <c r="H478" s="92" t="str">
        <f>'Final data_for_R_analysis_Dryse'!K624</f>
        <v/>
      </c>
      <c r="I478" t="str">
        <f>'Final data_for_R_analysis_Dryse'!K844</f>
        <v/>
      </c>
      <c r="J478" t="str">
        <f>IFERROR(INDEX('Green_rooibos initial weight'!$C$5:$C$2000,MATCH(H478, 'Green_rooibos initial weight'!$A$5:$A$2000,0)),"")</f>
        <v/>
      </c>
      <c r="K478" t="str">
        <f>IFERROR(INDEX('Green_rooibos initial weight'!$C$5:$C$2000,MATCH(I478, 'Green_rooibos initial weight'!$A$5:$A$2000,0)),"")</f>
        <v/>
      </c>
      <c r="L478" s="194" t="str">
        <f t="shared" si="82"/>
        <v/>
      </c>
      <c r="M478" s="237">
        <f>AVERAGE(Ashed_controlls!$K$1:$K$11)</f>
        <v>5.5147656768714146</v>
      </c>
      <c r="N478" s="194" t="str">
        <f t="shared" si="78"/>
        <v/>
      </c>
      <c r="O478" s="194" t="str">
        <f t="shared" si="83"/>
        <v/>
      </c>
      <c r="P478" s="237">
        <f>AVERAGE(Ashed_controlls!$K$12:$K$14)</f>
        <v>2.2816647271287041</v>
      </c>
      <c r="Q478" s="194" t="str">
        <f t="shared" si="79"/>
        <v/>
      </c>
      <c r="R478" s="383" t="str">
        <f>IF('Dry_Litterbag Placem_Collection'!G185="","",'Dry_Litterbag Placem_Collection'!G185)</f>
        <v/>
      </c>
      <c r="S478" s="194" t="str">
        <f>IFERROR(INDEX('Both teabags AfterDry'!$D$3:$D$2000,MATCH(H478,'Both teabags AfterDry'!$A$3:$A$2000,0)),"")</f>
        <v/>
      </c>
      <c r="T478" s="194" t="str">
        <f>IFERROR(INDEX('Both teabags AfterDry'!$D$3:$D$2000,MATCH(I478,'Both teabags AfterDry'!$A$3:$A$2000,0)),"")</f>
        <v/>
      </c>
      <c r="U478" s="194" t="str">
        <f t="shared" si="84"/>
        <v/>
      </c>
      <c r="V478" s="194" t="str">
        <f t="shared" si="85"/>
        <v/>
      </c>
      <c r="W478" s="194" t="str">
        <f>IFERROR(INDEX('Ashed teabags dry'!$K$2:$K$2000,MATCH(H478,'Ashed teabags dry'!$A$2:$A$2000,0)),"")</f>
        <v/>
      </c>
      <c r="X478" s="194" t="str">
        <f>IFERROR(INDEX('Ashed teabags dry'!$K$2:$K$2000,MATCH(I478,'Ashed teabags dry'!$A$2:$A$2000,0)),"")</f>
        <v/>
      </c>
      <c r="Y478" s="194" t="str">
        <f t="shared" si="80"/>
        <v/>
      </c>
      <c r="Z478" s="194" t="str">
        <f t="shared" si="80"/>
        <v/>
      </c>
      <c r="AA478" s="194" t="str">
        <f t="shared" si="86"/>
        <v/>
      </c>
      <c r="AB478" s="194" t="str">
        <f t="shared" si="87"/>
        <v/>
      </c>
      <c r="AC478" s="194" t="str">
        <f t="shared" si="81"/>
        <v/>
      </c>
      <c r="AD478" t="str">
        <f t="shared" si="88"/>
        <v/>
      </c>
      <c r="AE478" s="194" t="str">
        <f t="shared" si="89"/>
        <v/>
      </c>
      <c r="AF478" s="194" t="str">
        <f t="shared" si="90"/>
        <v/>
      </c>
      <c r="AG478" s="252" t="str">
        <f>IF(ISNUMBER(SEARCH("C", 'Dry_Litterbag Placem_Collection'!$V185)),"YES","NO")</f>
        <v>NO</v>
      </c>
      <c r="AH478" s="252" t="str">
        <f>IF(ISNUMBER(SEARCH("H", 'Dry_Litterbag Placem_Collection'!$V185)),"YES","NO")</f>
        <v>NO</v>
      </c>
      <c r="AI478" s="252" t="str">
        <f>IF(ISNUMBER(SEARCH("R", 'Dry_Litterbag Placem_Collection'!$V185)),"YES","NO")</f>
        <v>NO</v>
      </c>
      <c r="AJ478" s="252" t="str">
        <f>IF(ISNUMBER(SEARCH("C", 'Dry_Litterbag Placem_Collection'!$U185)),"YES","NO")</f>
        <v>NO</v>
      </c>
      <c r="AK478" s="252" t="str">
        <f>IF(ISNUMBER(SEARCH("H", 'Dry_Litterbag Placem_Collection'!$U185)),"YES","NO")</f>
        <v>NO</v>
      </c>
      <c r="AL478" s="252" t="str">
        <f>IF(ISNUMBER(SEARCH("R", 'Dry_Litterbag Placem_Collection'!$U185)),"YES","NO")</f>
        <v>NO</v>
      </c>
    </row>
    <row r="479" spans="2:38">
      <c r="B479" t="str">
        <f>'Final data_for_R_analysis_Dryse'!A625</f>
        <v>Dry</v>
      </c>
      <c r="C479" s="260">
        <f>'Final data_for_R_analysis_Dryse'!B625</f>
        <v>184</v>
      </c>
      <c r="D479" t="s">
        <v>3828</v>
      </c>
      <c r="E479" t="s">
        <v>25</v>
      </c>
      <c r="F479" s="382">
        <v>8</v>
      </c>
      <c r="G479" s="383">
        <f>IF('Dry_Litterbag Placem_Collection'!E186="","",'Dry_Litterbag Placem_Collection'!E186)</f>
        <v>42940</v>
      </c>
      <c r="H479" s="92" t="str">
        <f>'Final data_for_R_analysis_Dryse'!K625</f>
        <v>G266</v>
      </c>
      <c r="I479" t="str">
        <f>'Final data_for_R_analysis_Dryse'!K845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82"/>
        <v>1.7072000000000001</v>
      </c>
      <c r="M479" s="237">
        <f>AVERAGE(Ashed_controlls!$K$1:$K$11)</f>
        <v>5.5147656768714146</v>
      </c>
      <c r="N479" s="194">
        <f t="shared" si="78"/>
        <v>1.6130519203644513</v>
      </c>
      <c r="O479" s="194">
        <f t="shared" si="83"/>
        <v>1.9131999999999998</v>
      </c>
      <c r="P479" s="237">
        <f>AVERAGE(Ashed_controlls!$K$12:$K$14)</f>
        <v>2.2816647271287041</v>
      </c>
      <c r="Q479" s="194">
        <f t="shared" si="79"/>
        <v>1.8695471904405734</v>
      </c>
      <c r="R479" s="383">
        <f>IF('Dry_Litterbag Placem_Collection'!G186="","",'Dry_Litterbag Placem_Collection'!G186)</f>
        <v>43009</v>
      </c>
      <c r="S479" s="194">
        <f>IFERROR(INDEX('Both teabags AfterDry'!$D$3:$D$2000,MATCH(H479,'Both teabags AfterDry'!$A$3:$A$2000,0)),"")</f>
        <v>0.69879999999999998</v>
      </c>
      <c r="T479" s="194">
        <f>IFERROR(INDEX('Both teabags AfterDry'!$D$3:$D$2000,MATCH(I479,'Both teabags AfterDry'!$A$3:$A$2000,0)),"")</f>
        <v>1.6498999999999999</v>
      </c>
      <c r="U479" s="194">
        <f t="shared" si="84"/>
        <v>0.54820000000000002</v>
      </c>
      <c r="V479" s="194">
        <f t="shared" si="85"/>
        <v>1.4992999999999999</v>
      </c>
      <c r="W479" s="194">
        <f>IFERROR(INDEX('Ashed teabags dry'!$K$2:$K$2000,MATCH(H479,'Ashed teabags dry'!$A$2:$A$2000,0)),"")</f>
        <v>29.369282619161797</v>
      </c>
      <c r="X479" s="194">
        <f>IFERROR(INDEX('Ashed teabags dry'!$K$2:$K$2000,MATCH(I479,'Ashed teabags dry'!$A$2:$A$2000,0)),"")</f>
        <v>8.2802547770705939</v>
      </c>
      <c r="Y479" s="194">
        <f t="shared" si="80"/>
        <v>0.38719759268175502</v>
      </c>
      <c r="Z479" s="194">
        <f t="shared" si="80"/>
        <v>1.3751541401273806</v>
      </c>
      <c r="AA479" s="194">
        <f t="shared" si="86"/>
        <v>0.75995962201001444</v>
      </c>
      <c r="AB479" s="194">
        <f t="shared" si="87"/>
        <v>0.498215809203715</v>
      </c>
      <c r="AC479" s="194">
        <f t="shared" si="81"/>
        <v>0.73555465577914336</v>
      </c>
      <c r="AD479">
        <f t="shared" si="88"/>
        <v>69</v>
      </c>
      <c r="AE479" s="194">
        <f t="shared" si="89"/>
        <v>9.743512825413958E-2</v>
      </c>
      <c r="AF479" s="194">
        <f t="shared" si="90"/>
        <v>1.0966574201511614E-2</v>
      </c>
      <c r="AG479" s="252" t="str">
        <f>IF(ISNUMBER(SEARCH("C", 'Dry_Litterbag Placem_Collection'!$V186)),"YES","NO")</f>
        <v>NO</v>
      </c>
      <c r="AH479" s="252" t="str">
        <f>IF(ISNUMBER(SEARCH("H", 'Dry_Litterbag Placem_Collection'!$V186)),"YES","NO")</f>
        <v>NO</v>
      </c>
      <c r="AI479" s="252" t="str">
        <f>IF(ISNUMBER(SEARCH("R", 'Dry_Litterbag Placem_Collection'!$V186)),"YES","NO")</f>
        <v>NO</v>
      </c>
      <c r="AJ479" s="252" t="str">
        <f>IF(ISNUMBER(SEARCH("C", 'Dry_Litterbag Placem_Collection'!$U186)),"YES","NO")</f>
        <v>NO</v>
      </c>
      <c r="AK479" s="252" t="str">
        <f>IF(ISNUMBER(SEARCH("H", 'Dry_Litterbag Placem_Collection'!$U186)),"YES","NO")</f>
        <v>NO</v>
      </c>
      <c r="AL479" s="252" t="str">
        <f>IF(ISNUMBER(SEARCH("R", 'Dry_Litterbag Placem_Collection'!$U186)),"YES","NO")</f>
        <v>YES</v>
      </c>
    </row>
    <row r="480" spans="2:38">
      <c r="B480" t="str">
        <f>'Final data_for_R_analysis_Dryse'!A626</f>
        <v>Dry</v>
      </c>
      <c r="C480" s="260">
        <f>'Final data_for_R_analysis_Dryse'!B626</f>
        <v>185</v>
      </c>
      <c r="D480" t="s">
        <v>3829</v>
      </c>
      <c r="E480" t="s">
        <v>25</v>
      </c>
      <c r="F480" s="381">
        <v>1</v>
      </c>
      <c r="G480" s="383">
        <f>IF('Dry_Litterbag Placem_Collection'!E187="","",'Dry_Litterbag Placem_Collection'!E187)</f>
        <v>42940</v>
      </c>
      <c r="H480" s="92" t="str">
        <f>'Final data_for_R_analysis_Dryse'!K626</f>
        <v>G165</v>
      </c>
      <c r="I480" t="str">
        <f>'Final data_for_R_analysis_Dryse'!K846</f>
        <v>R607</v>
      </c>
      <c r="J480">
        <f>IFERROR(INDEX('Green_rooibos initial weight'!$C$5:$C$2000,MATCH(H480, 'Green_rooibos initial weight'!$A$5:$A$2000,0)),"")</f>
        <v>2.0089999999999999</v>
      </c>
      <c r="K480">
        <f>IFERROR(INDEX('Green_rooibos initial weight'!$C$5:$C$2000,MATCH(I480, 'Green_rooibos initial weight'!$A$5:$A$2000,0)),"")</f>
        <v>2.14</v>
      </c>
      <c r="L480" s="194">
        <f t="shared" si="82"/>
        <v>1.7591999999999999</v>
      </c>
      <c r="M480" s="237">
        <f>AVERAGE(Ashed_controlls!$K$1:$K$11)</f>
        <v>5.5147656768714146</v>
      </c>
      <c r="N480" s="194">
        <f t="shared" si="78"/>
        <v>1.662184242212478</v>
      </c>
      <c r="O480" s="194">
        <f t="shared" si="83"/>
        <v>1.8902000000000001</v>
      </c>
      <c r="P480" s="237">
        <f>AVERAGE(Ashed_controlls!$K$12:$K$14)</f>
        <v>2.2816647271287041</v>
      </c>
      <c r="Q480" s="194">
        <f t="shared" si="79"/>
        <v>1.8470719733278134</v>
      </c>
      <c r="R480" s="383">
        <f>IF('Dry_Litterbag Placem_Collection'!G187="","",'Dry_Litterbag Placem_Collection'!G187)</f>
        <v>43009</v>
      </c>
      <c r="S480" s="194" t="str">
        <f>IFERROR(INDEX('Both teabags AfterDry'!$D$3:$D$2000,MATCH(H480,'Both teabags AfterDry'!$A$3:$A$2000,0)),"")</f>
        <v/>
      </c>
      <c r="T480" s="194" t="str">
        <f>IFERROR(INDEX('Both teabags AfterDry'!$D$3:$D$2000,MATCH(I480,'Both teabags AfterDry'!$A$3:$A$2000,0)),"")</f>
        <v/>
      </c>
      <c r="U480" s="194" t="str">
        <f t="shared" si="84"/>
        <v/>
      </c>
      <c r="V480" s="194" t="str">
        <f t="shared" si="85"/>
        <v/>
      </c>
      <c r="W480" s="194" t="str">
        <f>IFERROR(INDEX('Ashed teabags dry'!$K$2:$K$2000,MATCH(H480,'Ashed teabags dry'!$A$2:$A$2000,0)),"")</f>
        <v/>
      </c>
      <c r="X480" s="194" t="str">
        <f>IFERROR(INDEX('Ashed teabags dry'!$K$2:$K$2000,MATCH(I480,'Ashed teabags dry'!$A$2:$A$2000,0)),"")</f>
        <v/>
      </c>
      <c r="Y480" s="194" t="str">
        <f t="shared" si="80"/>
        <v/>
      </c>
      <c r="Z480" s="194" t="str">
        <f t="shared" si="80"/>
        <v/>
      </c>
      <c r="AA480" s="194" t="str">
        <f t="shared" si="86"/>
        <v/>
      </c>
      <c r="AB480" s="194" t="str">
        <f t="shared" si="87"/>
        <v/>
      </c>
      <c r="AC480" s="194" t="str">
        <f t="shared" si="81"/>
        <v/>
      </c>
      <c r="AD480">
        <f t="shared" si="88"/>
        <v>69</v>
      </c>
      <c r="AE480" s="194" t="str">
        <f t="shared" si="89"/>
        <v/>
      </c>
      <c r="AF480" s="194" t="str">
        <f t="shared" si="90"/>
        <v/>
      </c>
      <c r="AG480" s="252" t="str">
        <f>IF(ISNUMBER(SEARCH("C", 'Dry_Litterbag Placem_Collection'!$V187)),"YES","NO")</f>
        <v>NO</v>
      </c>
      <c r="AH480" s="252" t="str">
        <f>IF(ISNUMBER(SEARCH("H", 'Dry_Litterbag Placem_Collection'!$V187)),"YES","NO")</f>
        <v>NO</v>
      </c>
      <c r="AI480" s="252" t="str">
        <f>IF(ISNUMBER(SEARCH("R", 'Dry_Litterbag Placem_Collection'!$V187)),"YES","NO")</f>
        <v>NO</v>
      </c>
      <c r="AJ480" s="252" t="str">
        <f>IF(ISNUMBER(SEARCH("C", 'Dry_Litterbag Placem_Collection'!$U187)),"YES","NO")</f>
        <v>NO</v>
      </c>
      <c r="AK480" s="252" t="str">
        <f>IF(ISNUMBER(SEARCH("H", 'Dry_Litterbag Placem_Collection'!$U187)),"YES","NO")</f>
        <v>NO</v>
      </c>
      <c r="AL480" s="252" t="str">
        <f>IF(ISNUMBER(SEARCH("R", 'Dry_Litterbag Placem_Collection'!$U187)),"YES","NO")</f>
        <v>YES</v>
      </c>
    </row>
    <row r="481" spans="2:38">
      <c r="B481" t="str">
        <f>'Final data_for_R_analysis_Dryse'!A627</f>
        <v>Dry</v>
      </c>
      <c r="C481" s="260">
        <f>'Final data_for_R_analysis_Dryse'!B627</f>
        <v>186</v>
      </c>
      <c r="D481" t="s">
        <v>3829</v>
      </c>
      <c r="E481" t="s">
        <v>25</v>
      </c>
      <c r="F481" s="381">
        <v>2</v>
      </c>
      <c r="G481" s="383">
        <f>IF('Dry_Litterbag Placem_Collection'!E188="","",'Dry_Litterbag Placem_Collection'!E188)</f>
        <v>42940</v>
      </c>
      <c r="H481" s="92" t="str">
        <f>'Final data_for_R_analysis_Dryse'!K627</f>
        <v>G22</v>
      </c>
      <c r="I481" t="str">
        <f>'Final data_for_R_analysis_Dryse'!K847</f>
        <v>R629</v>
      </c>
      <c r="J481">
        <f>IFERROR(INDEX('Green_rooibos initial weight'!$C$5:$C$2000,MATCH(H481, 'Green_rooibos initial weight'!$A$5:$A$2000,0)),"")</f>
        <v>2.1</v>
      </c>
      <c r="K481">
        <f>IFERROR(INDEX('Green_rooibos initial weight'!$C$5:$C$2000,MATCH(I481, 'Green_rooibos initial weight'!$A$5:$A$2000,0)),"")</f>
        <v>2.1669999999999998</v>
      </c>
      <c r="L481" s="194">
        <f t="shared" si="82"/>
        <v>1.8502000000000001</v>
      </c>
      <c r="M481" s="237">
        <f>AVERAGE(Ashed_controlls!$K$1:$K$11)</f>
        <v>5.5147656768714146</v>
      </c>
      <c r="N481" s="194">
        <f t="shared" si="78"/>
        <v>1.7481658054465252</v>
      </c>
      <c r="O481" s="194">
        <f t="shared" si="83"/>
        <v>1.9171999999999998</v>
      </c>
      <c r="P481" s="237">
        <f>AVERAGE(Ashed_controlls!$K$12:$K$14)</f>
        <v>2.2816647271287041</v>
      </c>
      <c r="Q481" s="194">
        <f t="shared" si="79"/>
        <v>1.8734559238514883</v>
      </c>
      <c r="R481" s="383">
        <f>IF('Dry_Litterbag Placem_Collection'!G188="","",'Dry_Litterbag Placem_Collection'!G188)</f>
        <v>43009</v>
      </c>
      <c r="S481" s="194">
        <f>IFERROR(INDEX('Both teabags AfterDry'!$D$3:$D$2000,MATCH(H481,'Both teabags AfterDry'!$A$3:$A$2000,0)),"")</f>
        <v>0.7238</v>
      </c>
      <c r="T481" s="194">
        <f>IFERROR(INDEX('Both teabags AfterDry'!$D$3:$D$2000,MATCH(I481,'Both teabags AfterDry'!$A$3:$A$2000,0)),"")</f>
        <v>1.8498000000000001</v>
      </c>
      <c r="U481" s="194">
        <f t="shared" si="84"/>
        <v>0.57319999999999993</v>
      </c>
      <c r="V481" s="194">
        <f t="shared" si="85"/>
        <v>1.6992</v>
      </c>
      <c r="W481" s="194">
        <f>IFERROR(INDEX('Ashed teabags dry'!$K$2:$K$2000,MATCH(H481,'Ashed teabags dry'!$A$2:$A$2000,0)),"")</f>
        <v>19.430172816441186</v>
      </c>
      <c r="X481" s="194">
        <f>IFERROR(INDEX('Ashed teabags dry'!$K$2:$K$2000,MATCH(I481,'Ashed teabags dry'!$A$2:$A$2000,0)),"")</f>
        <v>8.1542968749998188</v>
      </c>
      <c r="Y481" s="194">
        <f t="shared" si="80"/>
        <v>0.46182624941615907</v>
      </c>
      <c r="Z481" s="194">
        <f t="shared" si="80"/>
        <v>1.5606421875000032</v>
      </c>
      <c r="AA481" s="194">
        <f t="shared" si="86"/>
        <v>0.73582239855206577</v>
      </c>
      <c r="AB481" s="194">
        <f t="shared" si="87"/>
        <v>0.48239188123603366</v>
      </c>
      <c r="AC481" s="194">
        <f t="shared" si="81"/>
        <v>0.83302850503768655</v>
      </c>
      <c r="AD481">
        <f t="shared" si="88"/>
        <v>69</v>
      </c>
      <c r="AE481" s="194">
        <f t="shared" si="89"/>
        <v>0.12610166442747528</v>
      </c>
      <c r="AF481" s="194">
        <f t="shared" si="90"/>
        <v>6.1572537193893776E-3</v>
      </c>
      <c r="AG481" s="252" t="str">
        <f>IF(ISNUMBER(SEARCH("C", 'Dry_Litterbag Placem_Collection'!$V188)),"YES","NO")</f>
        <v>NO</v>
      </c>
      <c r="AH481" s="252" t="str">
        <f>IF(ISNUMBER(SEARCH("H", 'Dry_Litterbag Placem_Collection'!$V188)),"YES","NO")</f>
        <v>NO</v>
      </c>
      <c r="AI481" s="252" t="str">
        <f>IF(ISNUMBER(SEARCH("R", 'Dry_Litterbag Placem_Collection'!$V188)),"YES","NO")</f>
        <v>NO</v>
      </c>
      <c r="AJ481" s="252" t="str">
        <f>IF(ISNUMBER(SEARCH("C", 'Dry_Litterbag Placem_Collection'!$U188)),"YES","NO")</f>
        <v>NO</v>
      </c>
      <c r="AK481" s="252" t="str">
        <f>IF(ISNUMBER(SEARCH("H", 'Dry_Litterbag Placem_Collection'!$U188)),"YES","NO")</f>
        <v>NO</v>
      </c>
      <c r="AL481" s="252" t="str">
        <f>IF(ISNUMBER(SEARCH("R", 'Dry_Litterbag Placem_Collection'!$U188)),"YES","NO")</f>
        <v>NO</v>
      </c>
    </row>
    <row r="482" spans="2:38">
      <c r="B482" t="str">
        <f>'Final data_for_R_analysis_Dryse'!A628</f>
        <v>Dry</v>
      </c>
      <c r="C482" s="260">
        <f>'Final data_for_R_analysis_Dryse'!B628</f>
        <v>187</v>
      </c>
      <c r="D482" t="s">
        <v>3829</v>
      </c>
      <c r="E482" t="s">
        <v>25</v>
      </c>
      <c r="F482" s="381">
        <v>3</v>
      </c>
      <c r="G482" s="383">
        <f>IF('Dry_Litterbag Placem_Collection'!E189="","",'Dry_Litterbag Placem_Collection'!E189)</f>
        <v>42940</v>
      </c>
      <c r="H482" s="92" t="str">
        <f>'Final data_for_R_analysis_Dryse'!K628</f>
        <v>G371</v>
      </c>
      <c r="I482" t="str">
        <f>'Final data_for_R_analysis_Dryse'!K848</f>
        <v>R679</v>
      </c>
      <c r="J482">
        <f>IFERROR(INDEX('Green_rooibos initial weight'!$C$5:$C$2000,MATCH(H482, 'Green_rooibos initial weight'!$A$5:$A$2000,0)),"")</f>
        <v>2.06</v>
      </c>
      <c r="K482">
        <f>IFERROR(INDEX('Green_rooibos initial weight'!$C$5:$C$2000,MATCH(I482, 'Green_rooibos initial weight'!$A$5:$A$2000,0)),"")</f>
        <v>2.149</v>
      </c>
      <c r="L482" s="194">
        <f t="shared" si="82"/>
        <v>1.8102</v>
      </c>
      <c r="M482" s="237">
        <f>AVERAGE(Ashed_controlls!$K$1:$K$11)</f>
        <v>5.5147656768714146</v>
      </c>
      <c r="N482" s="194">
        <f t="shared" si="78"/>
        <v>1.7103717117172736</v>
      </c>
      <c r="O482" s="194">
        <f t="shared" si="83"/>
        <v>1.8992</v>
      </c>
      <c r="P482" s="237">
        <f>AVERAGE(Ashed_controlls!$K$12:$K$14)</f>
        <v>2.2816647271287041</v>
      </c>
      <c r="Q482" s="194">
        <f t="shared" si="79"/>
        <v>1.8558666235023717</v>
      </c>
      <c r="R482" s="383">
        <f>IF('Dry_Litterbag Placem_Collection'!G189="","",'Dry_Litterbag Placem_Collection'!G189)</f>
        <v>43009</v>
      </c>
      <c r="S482" s="194">
        <f>IFERROR(INDEX('Both teabags AfterDry'!$D$3:$D$2000,MATCH(H482,'Both teabags AfterDry'!$A$3:$A$2000,0)),"")</f>
        <v>0.81369999999999998</v>
      </c>
      <c r="T482" s="194">
        <f>IFERROR(INDEX('Both teabags AfterDry'!$D$3:$D$2000,MATCH(I482,'Both teabags AfterDry'!$A$3:$A$2000,0)),"")</f>
        <v>1.7021999999999999</v>
      </c>
      <c r="U482" s="194">
        <f t="shared" si="84"/>
        <v>0.66310000000000002</v>
      </c>
      <c r="V482" s="194">
        <f t="shared" si="85"/>
        <v>1.5515999999999999</v>
      </c>
      <c r="W482" s="194">
        <f>IFERROR(INDEX('Ashed teabags dry'!$K$2:$K$2000,MATCH(H482,'Ashed teabags dry'!$A$2:$A$2000,0)),"")</f>
        <v>24.951361867703799</v>
      </c>
      <c r="X482" s="194">
        <f>IFERROR(INDEX('Ashed teabags dry'!$K$2:$K$2000,MATCH(I482,'Ashed teabags dry'!$A$2:$A$2000,0)),"")</f>
        <v>11.726867887184616</v>
      </c>
      <c r="Y482" s="194">
        <f t="shared" si="80"/>
        <v>0.49764751945525609</v>
      </c>
      <c r="Z482" s="194">
        <f t="shared" si="80"/>
        <v>1.3696459178624434</v>
      </c>
      <c r="AA482" s="194">
        <f t="shared" si="86"/>
        <v>0.70904130602370619</v>
      </c>
      <c r="AB482" s="194">
        <f t="shared" si="87"/>
        <v>0.46483468043359366</v>
      </c>
      <c r="AC482" s="194">
        <f t="shared" si="81"/>
        <v>0.73800880974822547</v>
      </c>
      <c r="AD482">
        <f t="shared" si="88"/>
        <v>69</v>
      </c>
      <c r="AE482" s="194">
        <f t="shared" si="89"/>
        <v>0.15790818762030145</v>
      </c>
      <c r="AF482" s="194">
        <f t="shared" si="90"/>
        <v>1.2018074189409486E-2</v>
      </c>
      <c r="AG482" s="252" t="str">
        <f>IF(ISNUMBER(SEARCH("C", 'Dry_Litterbag Placem_Collection'!$V189)),"YES","NO")</f>
        <v>NO</v>
      </c>
      <c r="AH482" s="252" t="str">
        <f>IF(ISNUMBER(SEARCH("H", 'Dry_Litterbag Placem_Collection'!$V189)),"YES","NO")</f>
        <v>NO</v>
      </c>
      <c r="AI482" s="252" t="str">
        <f>IF(ISNUMBER(SEARCH("R", 'Dry_Litterbag Placem_Collection'!$V189)),"YES","NO")</f>
        <v>NO</v>
      </c>
      <c r="AJ482" s="252" t="str">
        <f>IF(ISNUMBER(SEARCH("C", 'Dry_Litterbag Placem_Collection'!$U189)),"YES","NO")</f>
        <v>NO</v>
      </c>
      <c r="AK482" s="252" t="str">
        <f>IF(ISNUMBER(SEARCH("H", 'Dry_Litterbag Placem_Collection'!$U189)),"YES","NO")</f>
        <v>NO</v>
      </c>
      <c r="AL482" s="252" t="str">
        <f>IF(ISNUMBER(SEARCH("R", 'Dry_Litterbag Placem_Collection'!$U189)),"YES","NO")</f>
        <v>NO</v>
      </c>
    </row>
    <row r="483" spans="2:38">
      <c r="B483" t="str">
        <f>'Final data_for_R_analysis_Dryse'!A629</f>
        <v>Dry</v>
      </c>
      <c r="C483" s="260">
        <f>'Final data_for_R_analysis_Dryse'!B629</f>
        <v>188</v>
      </c>
      <c r="D483" t="s">
        <v>3829</v>
      </c>
      <c r="E483" t="s">
        <v>25</v>
      </c>
      <c r="F483" s="382">
        <v>4</v>
      </c>
      <c r="G483" s="383">
        <f>IF('Dry_Litterbag Placem_Collection'!E190="","",'Dry_Litterbag Placem_Collection'!E190)</f>
        <v>42940</v>
      </c>
      <c r="H483" s="92" t="str">
        <f>'Final data_for_R_analysis_Dryse'!K629</f>
        <v>G185</v>
      </c>
      <c r="I483" t="str">
        <f>'Final data_for_R_analysis_Dryse'!K849</f>
        <v>R682</v>
      </c>
      <c r="J483">
        <f>IFERROR(INDEX('Green_rooibos initial weight'!$C$5:$C$2000,MATCH(H483, 'Green_rooibos initial weight'!$A$5:$A$2000,0)),"")</f>
        <v>2.13</v>
      </c>
      <c r="K483">
        <f>IFERROR(INDEX('Green_rooibos initial weight'!$C$5:$C$2000,MATCH(I483, 'Green_rooibos initial weight'!$A$5:$A$2000,0)),"")</f>
        <v>2.1720000000000002</v>
      </c>
      <c r="L483" s="194">
        <f t="shared" si="82"/>
        <v>1.8801999999999999</v>
      </c>
      <c r="M483" s="237">
        <f>AVERAGE(Ashed_controlls!$K$1:$K$11)</f>
        <v>5.5147656768714146</v>
      </c>
      <c r="N483" s="194">
        <f t="shared" si="78"/>
        <v>1.7765113757434636</v>
      </c>
      <c r="O483" s="194">
        <f t="shared" si="83"/>
        <v>1.9222000000000001</v>
      </c>
      <c r="P483" s="237">
        <f>AVERAGE(Ashed_controlls!$K$12:$K$14)</f>
        <v>2.2816647271287041</v>
      </c>
      <c r="Q483" s="194">
        <f t="shared" si="79"/>
        <v>1.8783418406151322</v>
      </c>
      <c r="R483" s="383">
        <f>IF('Dry_Litterbag Placem_Collection'!G190="","",'Dry_Litterbag Placem_Collection'!G190)</f>
        <v>43009</v>
      </c>
      <c r="S483" s="194">
        <f>IFERROR(INDEX('Both teabags AfterDry'!$D$3:$D$2000,MATCH(H483,'Both teabags AfterDry'!$A$3:$A$2000,0)),"")</f>
        <v>0.74670000000000003</v>
      </c>
      <c r="T483" s="194">
        <f>IFERROR(INDEX('Both teabags AfterDry'!$D$3:$D$2000,MATCH(I483,'Both teabags AfterDry'!$A$3:$A$2000,0)),"")</f>
        <v>1.7353000000000001</v>
      </c>
      <c r="U483" s="194">
        <f t="shared" si="84"/>
        <v>0.59610000000000007</v>
      </c>
      <c r="V483" s="194">
        <f t="shared" si="85"/>
        <v>1.5847</v>
      </c>
      <c r="W483" s="194">
        <f>IFERROR(INDEX('Ashed teabags dry'!$K$2:$K$2000,MATCH(H483,'Ashed teabags dry'!$A$2:$A$2000,0)),"")</f>
        <v>22.108345534406503</v>
      </c>
      <c r="X483" s="194">
        <f>IFERROR(INDEX('Ashed teabags dry'!$K$2:$K$2000,MATCH(I483,'Ashed teabags dry'!$A$2:$A$2000,0)),"")</f>
        <v>6.766169154228745</v>
      </c>
      <c r="Y483" s="194">
        <f t="shared" si="80"/>
        <v>0.46431215226940292</v>
      </c>
      <c r="Z483" s="194">
        <f t="shared" si="80"/>
        <v>1.4774765174129372</v>
      </c>
      <c r="AA483" s="194">
        <f t="shared" si="86"/>
        <v>0.73863823299465792</v>
      </c>
      <c r="AB483" s="194">
        <f t="shared" si="87"/>
        <v>0.48423789146443136</v>
      </c>
      <c r="AC483" s="194">
        <f t="shared" si="81"/>
        <v>0.7865855327638781</v>
      </c>
      <c r="AD483">
        <f t="shared" si="88"/>
        <v>69</v>
      </c>
      <c r="AE483" s="194">
        <f t="shared" si="89"/>
        <v>0.12275744299921865</v>
      </c>
      <c r="AF483" s="194">
        <f t="shared" si="90"/>
        <v>8.4218733312018661E-3</v>
      </c>
      <c r="AG483" s="252" t="str">
        <f>IF(ISNUMBER(SEARCH("C", 'Dry_Litterbag Placem_Collection'!$V190)),"YES","NO")</f>
        <v>NO</v>
      </c>
      <c r="AH483" s="252" t="str">
        <f>IF(ISNUMBER(SEARCH("H", 'Dry_Litterbag Placem_Collection'!$V190)),"YES","NO")</f>
        <v>NO</v>
      </c>
      <c r="AI483" s="252" t="str">
        <f>IF(ISNUMBER(SEARCH("R", 'Dry_Litterbag Placem_Collection'!$V190)),"YES","NO")</f>
        <v>NO</v>
      </c>
      <c r="AJ483" s="252" t="str">
        <f>IF(ISNUMBER(SEARCH("C", 'Dry_Litterbag Placem_Collection'!$U190)),"YES","NO")</f>
        <v>NO</v>
      </c>
      <c r="AK483" s="252" t="str">
        <f>IF(ISNUMBER(SEARCH("H", 'Dry_Litterbag Placem_Collection'!$U190)),"YES","NO")</f>
        <v>NO</v>
      </c>
      <c r="AL483" s="252" t="str">
        <f>IF(ISNUMBER(SEARCH("R", 'Dry_Litterbag Placem_Collection'!$U190)),"YES","NO")</f>
        <v>NO</v>
      </c>
    </row>
    <row r="484" spans="2:38">
      <c r="B484" t="str">
        <f>'Final data_for_R_analysis_Dryse'!A630</f>
        <v>Dry</v>
      </c>
      <c r="C484" s="260">
        <f>'Final data_for_R_analysis_Dryse'!B630</f>
        <v>189</v>
      </c>
      <c r="D484" t="s">
        <v>3829</v>
      </c>
      <c r="E484" t="s">
        <v>25</v>
      </c>
      <c r="F484" s="382">
        <v>5</v>
      </c>
      <c r="G484" s="383">
        <f>IF('Dry_Litterbag Placem_Collection'!E191="","",'Dry_Litterbag Placem_Collection'!E191)</f>
        <v>42940</v>
      </c>
      <c r="H484" s="92" t="str">
        <f>'Final data_for_R_analysis_Dryse'!K630</f>
        <v>G301</v>
      </c>
      <c r="I484" t="str">
        <f>'Final data_for_R_analysis_Dryse'!K850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82"/>
        <v>1.6881999999999999</v>
      </c>
      <c r="M484" s="237">
        <f>AVERAGE(Ashed_controlls!$K$1:$K$11)</f>
        <v>5.5147656768714146</v>
      </c>
      <c r="N484" s="194">
        <f t="shared" si="78"/>
        <v>1.5950997258430566</v>
      </c>
      <c r="O484" s="194">
        <f t="shared" si="83"/>
        <v>1.9291999999999998</v>
      </c>
      <c r="P484" s="237">
        <f>AVERAGE(Ashed_controlls!$K$12:$K$14)</f>
        <v>2.2816647271287041</v>
      </c>
      <c r="Q484" s="194">
        <f t="shared" si="79"/>
        <v>1.8851821240842328</v>
      </c>
      <c r="R484" s="383">
        <f>IF('Dry_Litterbag Placem_Collection'!G191="","",'Dry_Litterbag Placem_Collection'!G191)</f>
        <v>43009</v>
      </c>
      <c r="S484" s="194">
        <f>IFERROR(INDEX('Both teabags AfterDry'!$D$3:$D$2000,MATCH(H484,'Both teabags AfterDry'!$A$3:$A$2000,0)),"")</f>
        <v>0.66849999999999998</v>
      </c>
      <c r="T484" s="194">
        <f>IFERROR(INDEX('Both teabags AfterDry'!$D$3:$D$2000,MATCH(I484,'Both teabags AfterDry'!$A$3:$A$2000,0)),"")</f>
        <v>1.919</v>
      </c>
      <c r="U484" s="194">
        <f t="shared" si="84"/>
        <v>0.51790000000000003</v>
      </c>
      <c r="V484" s="194">
        <f t="shared" si="85"/>
        <v>1.7684</v>
      </c>
      <c r="W484" s="194">
        <f>IFERROR(INDEX('Ashed teabags dry'!$K$2:$K$2000,MATCH(H484,'Ashed teabags dry'!$A$2:$A$2000,0)),"")</f>
        <v>15.626326963906347</v>
      </c>
      <c r="X484" s="194">
        <f>IFERROR(INDEX('Ashed teabags dry'!$K$2:$K$2000,MATCH(I484,'Ashed teabags dry'!$A$2:$A$2000,0)),"")</f>
        <v>7.2408897302414861</v>
      </c>
      <c r="Y484" s="194">
        <f t="shared" si="80"/>
        <v>0.43697125265392905</v>
      </c>
      <c r="Z484" s="194">
        <f t="shared" si="80"/>
        <v>1.6403521060104096</v>
      </c>
      <c r="AA484" s="194">
        <f t="shared" si="86"/>
        <v>0.72605396040490389</v>
      </c>
      <c r="AB484" s="194">
        <f t="shared" si="87"/>
        <v>0.47598786952910571</v>
      </c>
      <c r="AC484" s="194">
        <f t="shared" si="81"/>
        <v>0.87012924908103795</v>
      </c>
      <c r="AD484">
        <f t="shared" si="88"/>
        <v>69</v>
      </c>
      <c r="AE484" s="194">
        <f t="shared" si="89"/>
        <v>0.13770313491104047</v>
      </c>
      <c r="AF484" s="194">
        <f t="shared" si="90"/>
        <v>4.6176109978170845E-3</v>
      </c>
      <c r="AG484" s="252" t="str">
        <f>IF(ISNUMBER(SEARCH("C", 'Dry_Litterbag Placem_Collection'!$V191)),"YES","NO")</f>
        <v>NO</v>
      </c>
      <c r="AH484" s="252" t="str">
        <f>IF(ISNUMBER(SEARCH("H", 'Dry_Litterbag Placem_Collection'!$V191)),"YES","NO")</f>
        <v>NO</v>
      </c>
      <c r="AI484" s="252" t="str">
        <f>IF(ISNUMBER(SEARCH("R", 'Dry_Litterbag Placem_Collection'!$V191)),"YES","NO")</f>
        <v>NO</v>
      </c>
      <c r="AJ484" s="252" t="str">
        <f>IF(ISNUMBER(SEARCH("C", 'Dry_Litterbag Placem_Collection'!$U191)),"YES","NO")</f>
        <v>NO</v>
      </c>
      <c r="AK484" s="252" t="str">
        <f>IF(ISNUMBER(SEARCH("H", 'Dry_Litterbag Placem_Collection'!$U191)),"YES","NO")</f>
        <v>NO</v>
      </c>
      <c r="AL484" s="252" t="str">
        <f>IF(ISNUMBER(SEARCH("R", 'Dry_Litterbag Placem_Collection'!$U191)),"YES","NO")</f>
        <v>YES</v>
      </c>
    </row>
    <row r="485" spans="2:38">
      <c r="B485" t="str">
        <f>'Final data_for_R_analysis_Dryse'!A631</f>
        <v>Dry</v>
      </c>
      <c r="C485" s="260">
        <f>'Final data_for_R_analysis_Dryse'!B631</f>
        <v>190</v>
      </c>
      <c r="D485" t="s">
        <v>3829</v>
      </c>
      <c r="E485" t="s">
        <v>25</v>
      </c>
      <c r="F485" s="382">
        <v>6</v>
      </c>
      <c r="G485" s="383">
        <f>IF('Dry_Litterbag Placem_Collection'!E192="","",'Dry_Litterbag Placem_Collection'!E192)</f>
        <v>42940</v>
      </c>
      <c r="H485" s="92" t="str">
        <f>'Final data_for_R_analysis_Dryse'!K631</f>
        <v>G466</v>
      </c>
      <c r="I485" t="str">
        <f>'Final data_for_R_analysis_Dryse'!K851</f>
        <v>R605</v>
      </c>
      <c r="J485">
        <f>IFERROR(INDEX('Green_rooibos initial weight'!$C$5:$C$2000,MATCH(H485, 'Green_rooibos initial weight'!$A$5:$A$2000,0)),"")</f>
        <v>1.9319999999999999</v>
      </c>
      <c r="K485">
        <f>IFERROR(INDEX('Green_rooibos initial weight'!$C$5:$C$2000,MATCH(I485, 'Green_rooibos initial weight'!$A$5:$A$2000,0)),"")</f>
        <v>2.165</v>
      </c>
      <c r="L485" s="194">
        <f t="shared" si="82"/>
        <v>1.6821999999999999</v>
      </c>
      <c r="M485" s="237">
        <f>AVERAGE(Ashed_controlls!$K$1:$K$11)</f>
        <v>5.5147656768714146</v>
      </c>
      <c r="N485" s="194">
        <f t="shared" si="78"/>
        <v>1.589430611783669</v>
      </c>
      <c r="O485" s="194">
        <f t="shared" si="83"/>
        <v>1.9152</v>
      </c>
      <c r="P485" s="237">
        <f>AVERAGE(Ashed_controlls!$K$12:$K$14)</f>
        <v>2.2816647271287041</v>
      </c>
      <c r="Q485" s="194">
        <f t="shared" si="79"/>
        <v>1.8715015571460312</v>
      </c>
      <c r="R485" s="383">
        <f>IF('Dry_Litterbag Placem_Collection'!G192="","",'Dry_Litterbag Placem_Collection'!G192)</f>
        <v>43009</v>
      </c>
      <c r="S485" s="194">
        <f>IFERROR(INDEX('Both teabags AfterDry'!$D$3:$D$2000,MATCH(H485,'Both teabags AfterDry'!$A$3:$A$2000,0)),"")</f>
        <v>0.81599999999999995</v>
      </c>
      <c r="T485" s="194">
        <f>IFERROR(INDEX('Both teabags AfterDry'!$D$3:$D$2000,MATCH(I485,'Both teabags AfterDry'!$A$3:$A$2000,0)),"")</f>
        <v>1.8051999999999999</v>
      </c>
      <c r="U485" s="194">
        <f t="shared" si="84"/>
        <v>0.66539999999999999</v>
      </c>
      <c r="V485" s="194">
        <f t="shared" si="85"/>
        <v>1.6545999999999998</v>
      </c>
      <c r="W485" s="194">
        <f>IFERROR(INDEX('Ashed teabags dry'!$K$2:$K$2000,MATCH(H485,'Ashed teabags dry'!$A$2:$A$2000,0)),"")</f>
        <v>24.385447394296765</v>
      </c>
      <c r="X485" s="194">
        <f>IFERROR(INDEX('Ashed teabags dry'!$K$2:$K$2000,MATCH(I485,'Ashed teabags dry'!$A$2:$A$2000,0)),"")</f>
        <v>9.224730127576688</v>
      </c>
      <c r="Y485" s="194">
        <f t="shared" si="80"/>
        <v>0.50313923303834929</v>
      </c>
      <c r="Z485" s="194">
        <f t="shared" si="80"/>
        <v>1.5019676153091159</v>
      </c>
      <c r="AA485" s="194">
        <f t="shared" si="86"/>
        <v>0.68344687128321802</v>
      </c>
      <c r="AB485" s="194">
        <f t="shared" si="87"/>
        <v>0.44805543105503132</v>
      </c>
      <c r="AC485" s="194">
        <f t="shared" si="81"/>
        <v>0.80254681572349829</v>
      </c>
      <c r="AD485">
        <f t="shared" si="88"/>
        <v>69</v>
      </c>
      <c r="AE485" s="194">
        <f t="shared" si="89"/>
        <v>0.18830537852349405</v>
      </c>
      <c r="AF485" s="194">
        <f t="shared" si="90"/>
        <v>8.4210137213933979E-3</v>
      </c>
      <c r="AG485" s="252" t="str">
        <f>IF(ISNUMBER(SEARCH("C", 'Dry_Litterbag Placem_Collection'!$V192)),"YES","NO")</f>
        <v>NO</v>
      </c>
      <c r="AH485" s="252" t="str">
        <f>IF(ISNUMBER(SEARCH("H", 'Dry_Litterbag Placem_Collection'!$V192)),"YES","NO")</f>
        <v>NO</v>
      </c>
      <c r="AI485" s="252" t="str">
        <f>IF(ISNUMBER(SEARCH("R", 'Dry_Litterbag Placem_Collection'!$V192)),"YES","NO")</f>
        <v>NO</v>
      </c>
      <c r="AJ485" s="252" t="str">
        <f>IF(ISNUMBER(SEARCH("C", 'Dry_Litterbag Placem_Collection'!$U192)),"YES","NO")</f>
        <v>NO</v>
      </c>
      <c r="AK485" s="252" t="str">
        <f>IF(ISNUMBER(SEARCH("H", 'Dry_Litterbag Placem_Collection'!$U192)),"YES","NO")</f>
        <v>NO</v>
      </c>
      <c r="AL485" s="252" t="str">
        <f>IF(ISNUMBER(SEARCH("R", 'Dry_Litterbag Placem_Collection'!$U192)),"YES","NO")</f>
        <v>NO</v>
      </c>
    </row>
    <row r="486" spans="2:38">
      <c r="B486" t="str">
        <f>'Final data_for_R_analysis_Dryse'!A632</f>
        <v>Dry</v>
      </c>
      <c r="C486" s="260">
        <f>'Final data_for_R_analysis_Dryse'!B632</f>
        <v>191</v>
      </c>
      <c r="D486" t="s">
        <v>3829</v>
      </c>
      <c r="E486" t="s">
        <v>25</v>
      </c>
      <c r="F486" s="382">
        <v>7</v>
      </c>
      <c r="G486" s="383">
        <f>IF('Dry_Litterbag Placem_Collection'!E193="","",'Dry_Litterbag Placem_Collection'!E193)</f>
        <v>42940</v>
      </c>
      <c r="H486" s="92" t="str">
        <f>'Final data_for_R_analysis_Dryse'!K632</f>
        <v>G32</v>
      </c>
      <c r="I486" t="str">
        <f>'Final data_for_R_analysis_Dryse'!K852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82"/>
        <v>1.8012000000000001</v>
      </c>
      <c r="M486" s="237">
        <f>AVERAGE(Ashed_controlls!$K$1:$K$11)</f>
        <v>5.5147656768714146</v>
      </c>
      <c r="N486" s="194">
        <f t="shared" si="78"/>
        <v>1.7018680406281923</v>
      </c>
      <c r="O486" s="194">
        <f t="shared" si="83"/>
        <v>1.9302000000000001</v>
      </c>
      <c r="P486" s="237">
        <f>AVERAGE(Ashed_controlls!$K$12:$K$14)</f>
        <v>2.2816647271287041</v>
      </c>
      <c r="Q486" s="194">
        <f t="shared" si="79"/>
        <v>1.8861593074369618</v>
      </c>
      <c r="R486" s="383">
        <f>IF('Dry_Litterbag Placem_Collection'!G193="","",'Dry_Litterbag Placem_Collection'!G193)</f>
        <v>43009</v>
      </c>
      <c r="S486" s="194">
        <f>IFERROR(INDEX('Both teabags AfterDry'!$D$3:$D$2000,MATCH(H486,'Both teabags AfterDry'!$A$3:$A$2000,0)),"")</f>
        <v>0.77580000000000005</v>
      </c>
      <c r="T486" s="194">
        <f>IFERROR(INDEX('Both teabags AfterDry'!$D$3:$D$2000,MATCH(I486,'Both teabags AfterDry'!$A$3:$A$2000,0)),"")</f>
        <v>1.7597</v>
      </c>
      <c r="U486" s="194">
        <f t="shared" si="84"/>
        <v>0.62519999999999998</v>
      </c>
      <c r="V486" s="194">
        <f t="shared" si="85"/>
        <v>1.6091</v>
      </c>
      <c r="W486" s="194">
        <f>IFERROR(INDEX('Ashed teabags dry'!$K$2:$K$2000,MATCH(H486,'Ashed teabags dry'!$A$2:$A$2000,0)),"")</f>
        <v>25.871121718377726</v>
      </c>
      <c r="X486" s="194">
        <f>IFERROR(INDEX('Ashed teabags dry'!$K$2:$K$2000,MATCH(I486,'Ashed teabags dry'!$A$2:$A$2000,0)),"")</f>
        <v>6.2347783731121424</v>
      </c>
      <c r="Y486" s="194">
        <f t="shared" si="80"/>
        <v>0.46345374701670244</v>
      </c>
      <c r="Z486" s="194">
        <f t="shared" si="80"/>
        <v>1.5087761811982525</v>
      </c>
      <c r="AA486" s="194">
        <f t="shared" si="86"/>
        <v>0.72767938761830631</v>
      </c>
      <c r="AB486" s="194">
        <f t="shared" si="87"/>
        <v>0.47705347026758327</v>
      </c>
      <c r="AC486" s="194">
        <f t="shared" si="81"/>
        <v>0.79991980277025354</v>
      </c>
      <c r="AD486">
        <f t="shared" si="88"/>
        <v>69</v>
      </c>
      <c r="AE486" s="194">
        <f t="shared" si="89"/>
        <v>0.13577269879061005</v>
      </c>
      <c r="AF486" s="194">
        <f t="shared" si="90"/>
        <v>7.8798198159253877E-3</v>
      </c>
      <c r="AG486" s="252" t="str">
        <f>IF(ISNUMBER(SEARCH("C", 'Dry_Litterbag Placem_Collection'!$V193)),"YES","NO")</f>
        <v>NO</v>
      </c>
      <c r="AH486" s="252" t="str">
        <f>IF(ISNUMBER(SEARCH("H", 'Dry_Litterbag Placem_Collection'!$V193)),"YES","NO")</f>
        <v>NO</v>
      </c>
      <c r="AI486" s="252" t="str">
        <f>IF(ISNUMBER(SEARCH("R", 'Dry_Litterbag Placem_Collection'!$V193)),"YES","NO")</f>
        <v>NO</v>
      </c>
      <c r="AJ486" s="252" t="str">
        <f>IF(ISNUMBER(SEARCH("C", 'Dry_Litterbag Placem_Collection'!$U193)),"YES","NO")</f>
        <v>NO</v>
      </c>
      <c r="AK486" s="252" t="str">
        <f>IF(ISNUMBER(SEARCH("H", 'Dry_Litterbag Placem_Collection'!$U193)),"YES","NO")</f>
        <v>NO</v>
      </c>
      <c r="AL486" s="252" t="str">
        <f>IF(ISNUMBER(SEARCH("R", 'Dry_Litterbag Placem_Collection'!$U193)),"YES","NO")</f>
        <v>NO</v>
      </c>
    </row>
    <row r="487" spans="2:38">
      <c r="B487" t="str">
        <f>'Final data_for_R_analysis_Dryse'!A633</f>
        <v>Dry</v>
      </c>
      <c r="C487" s="260">
        <f>'Final data_for_R_analysis_Dryse'!B633</f>
        <v>192</v>
      </c>
      <c r="D487" t="s">
        <v>3829</v>
      </c>
      <c r="E487" t="s">
        <v>25</v>
      </c>
      <c r="F487" s="382">
        <v>8</v>
      </c>
      <c r="G487" s="383" t="str">
        <f>IF('Dry_Litterbag Placem_Collection'!E194="","",'Dry_Litterbag Placem_Collection'!E194)</f>
        <v/>
      </c>
      <c r="H487" s="92" t="str">
        <f>'Final data_for_R_analysis_Dryse'!K633</f>
        <v/>
      </c>
      <c r="I487" t="str">
        <f>'Final data_for_R_analysis_Dryse'!K853</f>
        <v/>
      </c>
      <c r="J487" t="str">
        <f>IFERROR(INDEX('Green_rooibos initial weight'!$C$5:$C$2000,MATCH(H487, 'Green_rooibos initial weight'!$A$5:$A$2000,0)),"")</f>
        <v/>
      </c>
      <c r="K487" t="str">
        <f>IFERROR(INDEX('Green_rooibos initial weight'!$C$5:$C$2000,MATCH(I487, 'Green_rooibos initial weight'!$A$5:$A$2000,0)),"")</f>
        <v/>
      </c>
      <c r="L487" s="194" t="str">
        <f t="shared" si="82"/>
        <v/>
      </c>
      <c r="M487" s="237">
        <f>AVERAGE(Ashed_controlls!$K$1:$K$11)</f>
        <v>5.5147656768714146</v>
      </c>
      <c r="N487" s="194" t="str">
        <f t="shared" si="78"/>
        <v/>
      </c>
      <c r="O487" s="194" t="str">
        <f t="shared" si="83"/>
        <v/>
      </c>
      <c r="P487" s="237">
        <f>AVERAGE(Ashed_controlls!$K$12:$K$14)</f>
        <v>2.2816647271287041</v>
      </c>
      <c r="Q487" s="194" t="str">
        <f t="shared" si="79"/>
        <v/>
      </c>
      <c r="R487" s="383" t="str">
        <f>IF('Dry_Litterbag Placem_Collection'!G194="","",'Dry_Litterbag Placem_Collection'!G194)</f>
        <v/>
      </c>
      <c r="S487" s="194" t="str">
        <f>IFERROR(INDEX('Both teabags AfterDry'!$D$3:$D$2000,MATCH(H487,'Both teabags AfterDry'!$A$3:$A$2000,0)),"")</f>
        <v/>
      </c>
      <c r="T487" s="194" t="str">
        <f>IFERROR(INDEX('Both teabags AfterDry'!$D$3:$D$2000,MATCH(I487,'Both teabags AfterDry'!$A$3:$A$2000,0)),"")</f>
        <v/>
      </c>
      <c r="U487" s="194" t="str">
        <f t="shared" si="84"/>
        <v/>
      </c>
      <c r="V487" s="194" t="str">
        <f t="shared" si="85"/>
        <v/>
      </c>
      <c r="W487" s="194" t="str">
        <f>IFERROR(INDEX('Ashed teabags dry'!$K$2:$K$2000,MATCH(H487,'Ashed teabags dry'!$A$2:$A$2000,0)),"")</f>
        <v/>
      </c>
      <c r="X487" s="194" t="str">
        <f>IFERROR(INDEX('Ashed teabags dry'!$K$2:$K$2000,MATCH(I487,'Ashed teabags dry'!$A$2:$A$2000,0)),"")</f>
        <v/>
      </c>
      <c r="Y487" s="194" t="str">
        <f t="shared" si="80"/>
        <v/>
      </c>
      <c r="Z487" s="194" t="str">
        <f t="shared" si="80"/>
        <v/>
      </c>
      <c r="AA487" s="194" t="str">
        <f t="shared" si="86"/>
        <v/>
      </c>
      <c r="AB487" s="194" t="str">
        <f t="shared" si="87"/>
        <v/>
      </c>
      <c r="AC487" s="194" t="str">
        <f t="shared" si="81"/>
        <v/>
      </c>
      <c r="AD487" t="str">
        <f t="shared" si="88"/>
        <v/>
      </c>
      <c r="AE487" s="194" t="str">
        <f t="shared" si="89"/>
        <v/>
      </c>
      <c r="AF487" s="194" t="str">
        <f t="shared" si="90"/>
        <v/>
      </c>
      <c r="AG487" s="252" t="str">
        <f>IF(ISNUMBER(SEARCH("C", 'Dry_Litterbag Placem_Collection'!$V194)),"YES","NO")</f>
        <v>NO</v>
      </c>
      <c r="AH487" s="252" t="str">
        <f>IF(ISNUMBER(SEARCH("H", 'Dry_Litterbag Placem_Collection'!$V194)),"YES","NO")</f>
        <v>NO</v>
      </c>
      <c r="AI487" s="252" t="str">
        <f>IF(ISNUMBER(SEARCH("R", 'Dry_Litterbag Placem_Collection'!$V194)),"YES","NO")</f>
        <v>NO</v>
      </c>
      <c r="AJ487" s="252" t="str">
        <f>IF(ISNUMBER(SEARCH("C", 'Dry_Litterbag Placem_Collection'!$U194)),"YES","NO")</f>
        <v>NO</v>
      </c>
      <c r="AK487" s="252" t="str">
        <f>IF(ISNUMBER(SEARCH("H", 'Dry_Litterbag Placem_Collection'!$U194)),"YES","NO")</f>
        <v>NO</v>
      </c>
      <c r="AL487" s="252" t="str">
        <f>IF(ISNUMBER(SEARCH("R", 'Dry_Litterbag Placem_Collection'!$U194)),"YES","NO")</f>
        <v>NO</v>
      </c>
    </row>
    <row r="488" spans="2:38">
      <c r="B488" t="str">
        <f>'Final data_for_R_analysis_Dryse'!A634</f>
        <v>Dry</v>
      </c>
      <c r="C488" s="260">
        <f>'Final data_for_R_analysis_Dryse'!B634</f>
        <v>193</v>
      </c>
      <c r="D488" t="s">
        <v>2440</v>
      </c>
      <c r="E488" t="s">
        <v>25</v>
      </c>
      <c r="F488" s="382">
        <v>1</v>
      </c>
      <c r="G488" s="383">
        <f>IF('Dry_Litterbag Placem_Collection'!E195="","",'Dry_Litterbag Placem_Collection'!E195)</f>
        <v>42942</v>
      </c>
      <c r="H488" s="92" t="str">
        <f>'Final data_for_R_analysis_Dryse'!K634</f>
        <v>G45</v>
      </c>
      <c r="I488" t="str">
        <f>'Final data_for_R_analysis_Dryse'!K854</f>
        <v>R623</v>
      </c>
      <c r="J488">
        <f>IFERROR(INDEX('Green_rooibos initial weight'!$C$5:$C$2000,MATCH(H488, 'Green_rooibos initial weight'!$A$5:$A$2000,0)),"")</f>
        <v>2.0779999999999998</v>
      </c>
      <c r="K488">
        <f>IFERROR(INDEX('Green_rooibos initial weight'!$C$5:$C$2000,MATCH(I488, 'Green_rooibos initial weight'!$A$5:$A$2000,0)),"")</f>
        <v>2.056</v>
      </c>
      <c r="L488" s="194">
        <f t="shared" si="82"/>
        <v>1.8281999999999998</v>
      </c>
      <c r="M488" s="237">
        <f>AVERAGE(Ashed_controlls!$K$1:$K$11)</f>
        <v>5.5147656768714146</v>
      </c>
      <c r="N488" s="194">
        <f t="shared" si="78"/>
        <v>1.7273790538954366</v>
      </c>
      <c r="O488" s="194">
        <f t="shared" si="83"/>
        <v>1.8062</v>
      </c>
      <c r="P488" s="237">
        <f>AVERAGE(Ashed_controlls!$K$12:$K$14)</f>
        <v>2.2816647271287041</v>
      </c>
      <c r="Q488" s="194">
        <f t="shared" si="79"/>
        <v>1.7649885716986013</v>
      </c>
      <c r="R488" s="383">
        <f>IF('Dry_Litterbag Placem_Collection'!G195="","",'Dry_Litterbag Placem_Collection'!G195)</f>
        <v>43004</v>
      </c>
      <c r="S488" s="194">
        <f>IFERROR(INDEX('Both teabags AfterDry'!$D$3:$D$2000,MATCH(H488,'Both teabags AfterDry'!$A$3:$A$2000,0)),"")</f>
        <v>0.82699999999999996</v>
      </c>
      <c r="T488" s="194">
        <f>IFERROR(INDEX('Both teabags AfterDry'!$D$3:$D$2000,MATCH(I488,'Both teabags AfterDry'!$A$3:$A$2000,0)),"")</f>
        <v>1.397</v>
      </c>
      <c r="U488" s="194">
        <f t="shared" si="84"/>
        <v>0.67639999999999989</v>
      </c>
      <c r="V488" s="194">
        <f t="shared" si="85"/>
        <v>1.2464</v>
      </c>
      <c r="W488" s="194">
        <f>IFERROR(INDEX('Ashed teabags dry'!$K$2:$K$2000,MATCH(H488,'Ashed teabags dry'!$A$2:$A$2000,0)),"")</f>
        <v>13.455953533397516</v>
      </c>
      <c r="X488" s="194">
        <f>IFERROR(INDEX('Ashed teabags dry'!$K$2:$K$2000,MATCH(I488,'Ashed teabags dry'!$A$2:$A$2000,0)),"")</f>
        <v>6.0918462980318058</v>
      </c>
      <c r="Y488" s="194">
        <f t="shared" si="80"/>
        <v>0.58538393030009916</v>
      </c>
      <c r="Z488" s="194">
        <f t="shared" si="80"/>
        <v>1.1704712277413316</v>
      </c>
      <c r="AA488" s="194">
        <f t="shared" si="86"/>
        <v>0.66111437499488512</v>
      </c>
      <c r="AB488" s="194">
        <f t="shared" si="87"/>
        <v>0.43341464964035226</v>
      </c>
      <c r="AC488" s="194">
        <f t="shared" si="81"/>
        <v>0.66316079690809882</v>
      </c>
      <c r="AD488">
        <f t="shared" si="88"/>
        <v>62</v>
      </c>
      <c r="AE488" s="194">
        <f t="shared" si="89"/>
        <v>0.21482853326023144</v>
      </c>
      <c r="AF488" s="194">
        <f t="shared" si="90"/>
        <v>2.4215650932258293E-2</v>
      </c>
      <c r="AG488" s="252" t="str">
        <f>IF(ISNUMBER(SEARCH("C", 'Dry_Litterbag Placem_Collection'!$V195)),"YES","NO")</f>
        <v>NO</v>
      </c>
      <c r="AH488" s="252" t="str">
        <f>IF(ISNUMBER(SEARCH("H", 'Dry_Litterbag Placem_Collection'!$V195)),"YES","NO")</f>
        <v>NO</v>
      </c>
      <c r="AI488" s="252" t="str">
        <f>IF(ISNUMBER(SEARCH("R", 'Dry_Litterbag Placem_Collection'!$V195)),"YES","NO")</f>
        <v>NO</v>
      </c>
      <c r="AJ488" s="252" t="str">
        <f>IF(ISNUMBER(SEARCH("C", 'Dry_Litterbag Placem_Collection'!$U195)),"YES","NO")</f>
        <v>NO</v>
      </c>
      <c r="AK488" s="252" t="str">
        <f>IF(ISNUMBER(SEARCH("H", 'Dry_Litterbag Placem_Collection'!$U195)),"YES","NO")</f>
        <v>NO</v>
      </c>
      <c r="AL488" s="252" t="str">
        <f>IF(ISNUMBER(SEARCH("R", 'Dry_Litterbag Placem_Collection'!$U195)),"YES","NO")</f>
        <v>YES</v>
      </c>
    </row>
    <row r="489" spans="2:38">
      <c r="B489" t="str">
        <f>'Final data_for_R_analysis_Dryse'!A635</f>
        <v>Dry</v>
      </c>
      <c r="C489" s="260">
        <f>'Final data_for_R_analysis_Dryse'!B635</f>
        <v>194</v>
      </c>
      <c r="D489" t="s">
        <v>2433</v>
      </c>
      <c r="E489" t="s">
        <v>25</v>
      </c>
      <c r="F489" s="382">
        <v>2</v>
      </c>
      <c r="G489" s="383">
        <f>IF('Dry_Litterbag Placem_Collection'!E196="","",'Dry_Litterbag Placem_Collection'!E196)</f>
        <v>42942</v>
      </c>
      <c r="H489" s="92" t="str">
        <f>'Final data_for_R_analysis_Dryse'!K635</f>
        <v>G90</v>
      </c>
      <c r="I489" t="str">
        <f>'Final data_for_R_analysis_Dryse'!K855</f>
        <v>R611</v>
      </c>
      <c r="J489">
        <f>IFERROR(INDEX('Green_rooibos initial weight'!$C$5:$C$2000,MATCH(H489, 'Green_rooibos initial weight'!$A$5:$A$2000,0)),"")</f>
        <v>2.0409999999999999</v>
      </c>
      <c r="K489">
        <f>IFERROR(INDEX('Green_rooibos initial weight'!$C$5:$C$2000,MATCH(I489, 'Green_rooibos initial weight'!$A$5:$A$2000,0)),"")</f>
        <v>2.157</v>
      </c>
      <c r="L489" s="194">
        <f t="shared" si="82"/>
        <v>1.7911999999999999</v>
      </c>
      <c r="M489" s="237">
        <f>AVERAGE(Ashed_controlls!$K$1:$K$11)</f>
        <v>5.5147656768714146</v>
      </c>
      <c r="N489" s="194">
        <f t="shared" si="78"/>
        <v>1.6924195171958791</v>
      </c>
      <c r="O489" s="194">
        <f t="shared" si="83"/>
        <v>1.9072</v>
      </c>
      <c r="P489" s="237">
        <f>AVERAGE(Ashed_controlls!$K$12:$K$14)</f>
        <v>2.2816647271287041</v>
      </c>
      <c r="Q489" s="194">
        <f t="shared" si="79"/>
        <v>1.8636840903242013</v>
      </c>
      <c r="R489" s="383">
        <f>IF('Dry_Litterbag Placem_Collection'!G196="","",'Dry_Litterbag Placem_Collection'!G196)</f>
        <v>43004</v>
      </c>
      <c r="S489" s="194">
        <f>IFERROR(INDEX('Both teabags AfterDry'!$D$3:$D$2000,MATCH(H489,'Both teabags AfterDry'!$A$3:$A$2000,0)),"")</f>
        <v>0.74199999999999999</v>
      </c>
      <c r="T489" s="194">
        <f>IFERROR(INDEX('Both teabags AfterDry'!$D$3:$D$2000,MATCH(I489,'Both teabags AfterDry'!$A$3:$A$2000,0)),"")</f>
        <v>1.593</v>
      </c>
      <c r="U489" s="194">
        <f t="shared" si="84"/>
        <v>0.59139999999999993</v>
      </c>
      <c r="V489" s="194">
        <f t="shared" si="85"/>
        <v>1.4423999999999999</v>
      </c>
      <c r="W489" s="194">
        <f>IFERROR(INDEX('Ashed teabags dry'!$K$2:$K$2000,MATCH(H489,'Ashed teabags dry'!$A$2:$A$2000,0)),"")</f>
        <v>15.52150271873475</v>
      </c>
      <c r="X489" s="194">
        <f>IFERROR(INDEX('Ashed teabags dry'!$K$2:$K$2000,MATCH(I489,'Ashed teabags dry'!$A$2:$A$2000,0)),"")</f>
        <v>3.3698399326031812</v>
      </c>
      <c r="Y489" s="194">
        <f t="shared" si="80"/>
        <v>0.49960583292140259</v>
      </c>
      <c r="Z489" s="194">
        <f t="shared" si="80"/>
        <v>1.3937934288121316</v>
      </c>
      <c r="AA489" s="194">
        <f t="shared" si="86"/>
        <v>0.70479787792261761</v>
      </c>
      <c r="AB489" s="194">
        <f t="shared" si="87"/>
        <v>0.46205276557397268</v>
      </c>
      <c r="AC489" s="194">
        <f t="shared" si="81"/>
        <v>0.7478700043898916</v>
      </c>
      <c r="AD489">
        <f t="shared" si="88"/>
        <v>62</v>
      </c>
      <c r="AE489" s="194">
        <f t="shared" si="89"/>
        <v>0.16294788845294816</v>
      </c>
      <c r="AF489" s="194">
        <f t="shared" si="90"/>
        <v>1.2724828947736072E-2</v>
      </c>
      <c r="AG489" s="252" t="str">
        <f>IF(ISNUMBER(SEARCH("C", 'Dry_Litterbag Placem_Collection'!$V196)),"YES","NO")</f>
        <v>NO</v>
      </c>
      <c r="AH489" s="252" t="str">
        <f>IF(ISNUMBER(SEARCH("H", 'Dry_Litterbag Placem_Collection'!$V196)),"YES","NO")</f>
        <v>NO</v>
      </c>
      <c r="AI489" s="252" t="str">
        <f>IF(ISNUMBER(SEARCH("R", 'Dry_Litterbag Placem_Collection'!$V196)),"YES","NO")</f>
        <v>YES</v>
      </c>
      <c r="AJ489" s="252" t="str">
        <f>IF(ISNUMBER(SEARCH("C", 'Dry_Litterbag Placem_Collection'!$U196)),"YES","NO")</f>
        <v>NO</v>
      </c>
      <c r="AK489" s="252" t="str">
        <f>IF(ISNUMBER(SEARCH("H", 'Dry_Litterbag Placem_Collection'!$U196)),"YES","NO")</f>
        <v>NO</v>
      </c>
      <c r="AL489" s="252" t="str">
        <f>IF(ISNUMBER(SEARCH("R", 'Dry_Litterbag Placem_Collection'!$U196)),"YES","NO")</f>
        <v>YES</v>
      </c>
    </row>
    <row r="490" spans="2:38">
      <c r="B490" t="str">
        <f>'Final data_for_R_analysis_Dryse'!A636</f>
        <v>Dry</v>
      </c>
      <c r="C490" s="260">
        <f>'Final data_for_R_analysis_Dryse'!B636</f>
        <v>195</v>
      </c>
      <c r="D490" t="s">
        <v>2425</v>
      </c>
      <c r="E490" t="s">
        <v>25</v>
      </c>
      <c r="F490" s="382">
        <v>3</v>
      </c>
      <c r="G490" s="383">
        <f>IF('Dry_Litterbag Placem_Collection'!E197="","",'Dry_Litterbag Placem_Collection'!E197)</f>
        <v>42942</v>
      </c>
      <c r="H490" s="92" t="str">
        <f>'Final data_for_R_analysis_Dryse'!K636</f>
        <v>G338</v>
      </c>
      <c r="I490" t="str">
        <f>'Final data_for_R_analysis_Dryse'!K856</f>
        <v>R645</v>
      </c>
      <c r="J490">
        <f>IFERROR(INDEX('Green_rooibos initial weight'!$C$5:$C$2000,MATCH(H490, 'Green_rooibos initial weight'!$A$5:$A$2000,0)),"")</f>
        <v>1.946</v>
      </c>
      <c r="K490">
        <f>IFERROR(INDEX('Green_rooibos initial weight'!$C$5:$C$2000,MATCH(I490, 'Green_rooibos initial weight'!$A$5:$A$2000,0)),"")</f>
        <v>2.2469999999999999</v>
      </c>
      <c r="L490" s="194">
        <f t="shared" si="82"/>
        <v>1.6961999999999999</v>
      </c>
      <c r="M490" s="237">
        <f>AVERAGE(Ashed_controlls!$K$1:$K$11)</f>
        <v>5.5147656768714146</v>
      </c>
      <c r="N490" s="194">
        <f t="shared" si="78"/>
        <v>1.602658544588907</v>
      </c>
      <c r="O490" s="194">
        <f t="shared" si="83"/>
        <v>1.9971999999999999</v>
      </c>
      <c r="P490" s="237">
        <f>AVERAGE(Ashed_controlls!$K$12:$K$14)</f>
        <v>2.2816647271287041</v>
      </c>
      <c r="Q490" s="194">
        <f t="shared" si="79"/>
        <v>1.9516305920697854</v>
      </c>
      <c r="R490" s="383">
        <f>IF('Dry_Litterbag Placem_Collection'!G197="","",'Dry_Litterbag Placem_Collection'!G197)</f>
        <v>43004</v>
      </c>
      <c r="S490" s="194">
        <f>IFERROR(INDEX('Both teabags AfterDry'!$D$3:$D$2000,MATCH(H490,'Both teabags AfterDry'!$A$3:$A$2000,0)),"")</f>
        <v>0.83299999999999996</v>
      </c>
      <c r="T490" s="194">
        <f>IFERROR(INDEX('Both teabags AfterDry'!$D$3:$D$2000,MATCH(I490,'Both teabags AfterDry'!$A$3:$A$2000,0)),"")</f>
        <v>1.7509999999999999</v>
      </c>
      <c r="U490" s="194">
        <f t="shared" si="84"/>
        <v>0.6823999999999999</v>
      </c>
      <c r="V490" s="194">
        <f t="shared" si="85"/>
        <v>1.6003999999999998</v>
      </c>
      <c r="W490" s="194">
        <f>IFERROR(INDEX('Ashed teabags dry'!$K$2:$K$2000,MATCH(H490,'Ashed teabags dry'!$A$2:$A$2000,0)),"")</f>
        <v>16.185258964144143</v>
      </c>
      <c r="X490" s="194">
        <f>IFERROR(INDEX('Ashed teabags dry'!$K$2:$K$2000,MATCH(I490,'Ashed teabags dry'!$A$2:$A$2000,0)),"")</f>
        <v>3.5648994515537913</v>
      </c>
      <c r="Y490" s="194">
        <f t="shared" si="80"/>
        <v>0.57195179282868025</v>
      </c>
      <c r="Z490" s="194">
        <f t="shared" si="80"/>
        <v>1.5433473491773329</v>
      </c>
      <c r="AA490" s="194">
        <f t="shared" si="86"/>
        <v>0.64312311268063038</v>
      </c>
      <c r="AB490" s="194">
        <f t="shared" si="87"/>
        <v>0.42161990285000955</v>
      </c>
      <c r="AC490" s="194">
        <f t="shared" si="81"/>
        <v>0.79079891217556131</v>
      </c>
      <c r="AD490">
        <f t="shared" si="88"/>
        <v>62</v>
      </c>
      <c r="AE490" s="194">
        <f t="shared" si="89"/>
        <v>0.23619582817027263</v>
      </c>
      <c r="AF490" s="194">
        <f t="shared" si="90"/>
        <v>1.1057166702966815E-2</v>
      </c>
      <c r="AG490" s="252" t="str">
        <f>IF(ISNUMBER(SEARCH("C", 'Dry_Litterbag Placem_Collection'!$V197)),"YES","NO")</f>
        <v>NO</v>
      </c>
      <c r="AH490" s="252" t="str">
        <f>IF(ISNUMBER(SEARCH("H", 'Dry_Litterbag Placem_Collection'!$V197)),"YES","NO")</f>
        <v>NO</v>
      </c>
      <c r="AI490" s="252" t="str">
        <f>IF(ISNUMBER(SEARCH("R", 'Dry_Litterbag Placem_Collection'!$V197)),"YES","NO")</f>
        <v>NO</v>
      </c>
      <c r="AJ490" s="252" t="str">
        <f>IF(ISNUMBER(SEARCH("C", 'Dry_Litterbag Placem_Collection'!$U197)),"YES","NO")</f>
        <v>NO</v>
      </c>
      <c r="AK490" s="252" t="str">
        <f>IF(ISNUMBER(SEARCH("H", 'Dry_Litterbag Placem_Collection'!$U197)),"YES","NO")</f>
        <v>NO</v>
      </c>
      <c r="AL490" s="252" t="str">
        <f>IF(ISNUMBER(SEARCH("R", 'Dry_Litterbag Placem_Collection'!$U197)),"YES","NO")</f>
        <v>YES</v>
      </c>
    </row>
    <row r="491" spans="2:38">
      <c r="B491" t="str">
        <f>'Final data_for_R_analysis_Dryse'!A637</f>
        <v>Dry</v>
      </c>
      <c r="C491" s="260">
        <f>'Final data_for_R_analysis_Dryse'!B637</f>
        <v>196</v>
      </c>
      <c r="D491" t="s">
        <v>2416</v>
      </c>
      <c r="E491" t="s">
        <v>25</v>
      </c>
      <c r="F491" s="382">
        <v>4</v>
      </c>
      <c r="G491" s="383">
        <f>IF('Dry_Litterbag Placem_Collection'!E198="","",'Dry_Litterbag Placem_Collection'!E198)</f>
        <v>42942</v>
      </c>
      <c r="H491" s="92" t="str">
        <f>'Final data_for_R_analysis_Dryse'!K637</f>
        <v>G243</v>
      </c>
      <c r="I491" t="str">
        <f>'Final data_for_R_analysis_Dryse'!K857</f>
        <v>R709</v>
      </c>
      <c r="J491">
        <f>IFERROR(INDEX('Green_rooibos initial weight'!$C$5:$C$2000,MATCH(H491, 'Green_rooibos initial weight'!$A$5:$A$2000,0)),"")</f>
        <v>2.13</v>
      </c>
      <c r="K491">
        <f>IFERROR(INDEX('Green_rooibos initial weight'!$C$5:$C$2000,MATCH(I491, 'Green_rooibos initial weight'!$A$5:$A$2000,0)),"")</f>
        <v>2.157</v>
      </c>
      <c r="L491" s="194">
        <f t="shared" si="82"/>
        <v>1.8801999999999999</v>
      </c>
      <c r="M491" s="237">
        <f>AVERAGE(Ashed_controlls!$K$1:$K$11)</f>
        <v>5.5147656768714146</v>
      </c>
      <c r="N491" s="194">
        <f t="shared" si="78"/>
        <v>1.7765113757434636</v>
      </c>
      <c r="O491" s="194">
        <f t="shared" si="83"/>
        <v>1.9072</v>
      </c>
      <c r="P491" s="237">
        <f>AVERAGE(Ashed_controlls!$K$12:$K$14)</f>
        <v>2.2816647271287041</v>
      </c>
      <c r="Q491" s="194">
        <f t="shared" si="79"/>
        <v>1.8636840903242013</v>
      </c>
      <c r="R491" s="383">
        <f>IF('Dry_Litterbag Placem_Collection'!G198="","",'Dry_Litterbag Placem_Collection'!G198)</f>
        <v>43004</v>
      </c>
      <c r="S491" s="194">
        <f>IFERROR(INDEX('Both teabags AfterDry'!$D$3:$D$2000,MATCH(H491,'Both teabags AfterDry'!$A$3:$A$2000,0)),"")</f>
        <v>1.04</v>
      </c>
      <c r="T491" s="194">
        <f>IFERROR(INDEX('Both teabags AfterDry'!$D$3:$D$2000,MATCH(I491,'Both teabags AfterDry'!$A$3:$A$2000,0)),"")</f>
        <v>1.863</v>
      </c>
      <c r="U491" s="194">
        <f t="shared" si="84"/>
        <v>0.88939999999999997</v>
      </c>
      <c r="V491" s="194">
        <f t="shared" si="85"/>
        <v>1.7123999999999999</v>
      </c>
      <c r="W491" s="194">
        <f>IFERROR(INDEX('Ashed teabags dry'!$K$2:$K$2000,MATCH(H491,'Ashed teabags dry'!$A$2:$A$2000,0)),"")</f>
        <v>17.944173681878588</v>
      </c>
      <c r="X491" s="194">
        <f>IFERROR(INDEX('Ashed teabags dry'!$K$2:$K$2000,MATCH(I491,'Ashed teabags dry'!$A$2:$A$2000,0)),"")</f>
        <v>2.5540275049118555</v>
      </c>
      <c r="Y491" s="194">
        <f t="shared" si="80"/>
        <v>0.72980451927337175</v>
      </c>
      <c r="Z491" s="194">
        <f t="shared" si="80"/>
        <v>1.6686648330058893</v>
      </c>
      <c r="AA491" s="194">
        <f t="shared" si="86"/>
        <v>0.58919231858678578</v>
      </c>
      <c r="AB491" s="194">
        <f t="shared" si="87"/>
        <v>0.38626384781461498</v>
      </c>
      <c r="AC491" s="194">
        <f t="shared" si="81"/>
        <v>0.89535820028147206</v>
      </c>
      <c r="AD491">
        <f t="shared" si="88"/>
        <v>62</v>
      </c>
      <c r="AE491" s="194">
        <f t="shared" si="89"/>
        <v>0.30024665250975557</v>
      </c>
      <c r="AF491" s="194">
        <f t="shared" si="90"/>
        <v>5.09604455648093E-3</v>
      </c>
      <c r="AG491" s="252" t="str">
        <f>IF(ISNUMBER(SEARCH("C", 'Dry_Litterbag Placem_Collection'!$V198)),"YES","NO")</f>
        <v>NO</v>
      </c>
      <c r="AH491" s="252" t="str">
        <f>IF(ISNUMBER(SEARCH("H", 'Dry_Litterbag Placem_Collection'!$V198)),"YES","NO")</f>
        <v>NO</v>
      </c>
      <c r="AI491" s="252" t="str">
        <f>IF(ISNUMBER(SEARCH("R", 'Dry_Litterbag Placem_Collection'!$V198)),"YES","NO")</f>
        <v>NO</v>
      </c>
      <c r="AJ491" s="252" t="str">
        <f>IF(ISNUMBER(SEARCH("C", 'Dry_Litterbag Placem_Collection'!$U198)),"YES","NO")</f>
        <v>NO</v>
      </c>
      <c r="AK491" s="252" t="str">
        <f>IF(ISNUMBER(SEARCH("H", 'Dry_Litterbag Placem_Collection'!$U198)),"YES","NO")</f>
        <v>NO</v>
      </c>
      <c r="AL491" s="252" t="str">
        <f>IF(ISNUMBER(SEARCH("R", 'Dry_Litterbag Placem_Collection'!$U198)),"YES","NO")</f>
        <v>YES</v>
      </c>
    </row>
    <row r="492" spans="2:38">
      <c r="B492" t="str">
        <f>'Final data_for_R_analysis_Dryse'!A638</f>
        <v>Dry</v>
      </c>
      <c r="C492" s="260">
        <f>'Final data_for_R_analysis_Dryse'!B638</f>
        <v>197</v>
      </c>
      <c r="D492" t="s">
        <v>2426</v>
      </c>
      <c r="E492" t="s">
        <v>25</v>
      </c>
      <c r="F492" s="382">
        <v>1</v>
      </c>
      <c r="G492" s="383">
        <f>IF('Dry_Litterbag Placem_Collection'!E199="","",'Dry_Litterbag Placem_Collection'!E199)</f>
        <v>42942</v>
      </c>
      <c r="H492" s="92" t="str">
        <f>'Final data_for_R_analysis_Dryse'!K638</f>
        <v>G254</v>
      </c>
      <c r="I492" t="str">
        <f>'Final data_for_R_analysis_Dryse'!K858</f>
        <v>R131</v>
      </c>
      <c r="J492">
        <f>IFERROR(INDEX('Green_rooibos initial weight'!$C$5:$C$2000,MATCH(H492, 'Green_rooibos initial weight'!$A$5:$A$2000,0)),"")</f>
        <v>1.917</v>
      </c>
      <c r="K492">
        <f>IFERROR(INDEX('Green_rooibos initial weight'!$C$5:$C$2000,MATCH(I492, 'Green_rooibos initial weight'!$A$5:$A$2000,0)),"")</f>
        <v>2.1560000000000001</v>
      </c>
      <c r="L492" s="194">
        <f t="shared" si="82"/>
        <v>1.6672</v>
      </c>
      <c r="M492" s="237">
        <f>AVERAGE(Ashed_controlls!$K$1:$K$11)</f>
        <v>5.5147656768714146</v>
      </c>
      <c r="N492" s="194">
        <f t="shared" si="78"/>
        <v>1.5752578266351998</v>
      </c>
      <c r="O492" s="194">
        <f t="shared" si="83"/>
        <v>1.9062000000000001</v>
      </c>
      <c r="P492" s="237">
        <f>AVERAGE(Ashed_controlls!$K$12:$K$14)</f>
        <v>2.2816647271287041</v>
      </c>
      <c r="Q492" s="194">
        <f t="shared" si="79"/>
        <v>1.8627069069714728</v>
      </c>
      <c r="R492" s="383">
        <f>IF('Dry_Litterbag Placem_Collection'!G199="","",'Dry_Litterbag Placem_Collection'!G199)</f>
        <v>43004</v>
      </c>
      <c r="S492" s="194">
        <f>IFERROR(INDEX('Both teabags AfterDry'!$D$3:$D$2000,MATCH(H492,'Both teabags AfterDry'!$A$3:$A$2000,0)),"")</f>
        <v>0.82399999999999995</v>
      </c>
      <c r="T492" s="194">
        <f>IFERROR(INDEX('Both teabags AfterDry'!$D$3:$D$2000,MATCH(I492,'Both teabags AfterDry'!$A$3:$A$2000,0)),"")</f>
        <v>1.577</v>
      </c>
      <c r="U492" s="194">
        <f t="shared" si="84"/>
        <v>0.6734</v>
      </c>
      <c r="V492" s="194">
        <f t="shared" si="85"/>
        <v>1.4263999999999999</v>
      </c>
      <c r="W492" s="194">
        <f>IFERROR(INDEX('Ashed teabags dry'!$K$2:$K$2000,MATCH(H492,'Ashed teabags dry'!$A$2:$A$2000,0)),"")</f>
        <v>25.135802469135722</v>
      </c>
      <c r="X492" s="194">
        <f>IFERROR(INDEX('Ashed teabags dry'!$K$2:$K$2000,MATCH(I492,'Ashed teabags dry'!$A$2:$A$2000,0)),"")</f>
        <v>8.3446712018141849</v>
      </c>
      <c r="Y492" s="194">
        <f t="shared" si="80"/>
        <v>0.50413550617284009</v>
      </c>
      <c r="Z492" s="194">
        <f t="shared" si="80"/>
        <v>1.3073716099773223</v>
      </c>
      <c r="AA492" s="194">
        <f t="shared" si="86"/>
        <v>0.67996635366688551</v>
      </c>
      <c r="AB492" s="194">
        <f t="shared" si="87"/>
        <v>0.44577366653696066</v>
      </c>
      <c r="AC492" s="194">
        <f t="shared" si="81"/>
        <v>0.70186651753116869</v>
      </c>
      <c r="AD492">
        <f t="shared" si="88"/>
        <v>62</v>
      </c>
      <c r="AE492" s="194">
        <f t="shared" si="89"/>
        <v>0.19243900989681051</v>
      </c>
      <c r="AF492" s="194">
        <f t="shared" si="90"/>
        <v>1.7823116519063101E-2</v>
      </c>
      <c r="AG492" s="252" t="str">
        <f>IF(ISNUMBER(SEARCH("C", 'Dry_Litterbag Placem_Collection'!$V199)),"YES","NO")</f>
        <v>NO</v>
      </c>
      <c r="AH492" s="252" t="str">
        <f>IF(ISNUMBER(SEARCH("H", 'Dry_Litterbag Placem_Collection'!$V199)),"YES","NO")</f>
        <v>NO</v>
      </c>
      <c r="AI492" s="252" t="str">
        <f>IF(ISNUMBER(SEARCH("R", 'Dry_Litterbag Placem_Collection'!$V199)),"YES","NO")</f>
        <v>YES</v>
      </c>
      <c r="AJ492" s="252" t="str">
        <f>IF(ISNUMBER(SEARCH("C", 'Dry_Litterbag Placem_Collection'!$U199)),"YES","NO")</f>
        <v>NO</v>
      </c>
      <c r="AK492" s="252" t="str">
        <f>IF(ISNUMBER(SEARCH("H", 'Dry_Litterbag Placem_Collection'!$U199)),"YES","NO")</f>
        <v>NO</v>
      </c>
      <c r="AL492" s="252" t="str">
        <f>IF(ISNUMBER(SEARCH("R", 'Dry_Litterbag Placem_Collection'!$U199)),"YES","NO")</f>
        <v>YES</v>
      </c>
    </row>
    <row r="493" spans="2:38">
      <c r="B493" t="str">
        <f>'Final data_for_R_analysis_Dryse'!A639</f>
        <v>Dry</v>
      </c>
      <c r="C493" s="260">
        <f>'Final data_for_R_analysis_Dryse'!B639</f>
        <v>198</v>
      </c>
      <c r="D493" t="s">
        <v>2434</v>
      </c>
      <c r="E493" t="s">
        <v>25</v>
      </c>
      <c r="F493" s="382">
        <v>2</v>
      </c>
      <c r="G493" s="383">
        <f>IF('Dry_Litterbag Placem_Collection'!E200="","",'Dry_Litterbag Placem_Collection'!E200)</f>
        <v>42942</v>
      </c>
      <c r="H493" s="92" t="str">
        <f>'Final data_for_R_analysis_Dryse'!K639</f>
        <v>G780</v>
      </c>
      <c r="I493" t="str">
        <f>'Final data_for_R_analysis_Dryse'!K859</f>
        <v>R711</v>
      </c>
      <c r="J493">
        <f>IFERROR(INDEX('Green_rooibos initial weight'!$C$5:$C$2000,MATCH(H493, 'Green_rooibos initial weight'!$A$5:$A$2000,0)),"")</f>
        <v>1.962</v>
      </c>
      <c r="K493">
        <f>IFERROR(INDEX('Green_rooibos initial weight'!$C$5:$C$2000,MATCH(I493, 'Green_rooibos initial weight'!$A$5:$A$2000,0)),"")</f>
        <v>2.13</v>
      </c>
      <c r="L493" s="194">
        <f t="shared" si="82"/>
        <v>1.7121999999999999</v>
      </c>
      <c r="M493" s="237">
        <f>AVERAGE(Ashed_controlls!$K$1:$K$11)</f>
        <v>5.5147656768714146</v>
      </c>
      <c r="N493" s="194">
        <f t="shared" si="78"/>
        <v>1.6177761820806076</v>
      </c>
      <c r="O493" s="194">
        <f t="shared" si="83"/>
        <v>1.8801999999999999</v>
      </c>
      <c r="P493" s="237">
        <f>AVERAGE(Ashed_controlls!$K$12:$K$14)</f>
        <v>2.2816647271287041</v>
      </c>
      <c r="Q493" s="194">
        <f t="shared" si="79"/>
        <v>1.837300139800526</v>
      </c>
      <c r="R493" s="383">
        <f>IF('Dry_Litterbag Placem_Collection'!G200="","",'Dry_Litterbag Placem_Collection'!G200)</f>
        <v>43004</v>
      </c>
      <c r="S493" s="194">
        <f>IFERROR(INDEX('Both teabags AfterDry'!$D$3:$D$2000,MATCH(H493,'Both teabags AfterDry'!$A$3:$A$2000,0)),"")</f>
        <v>0.69899999999999995</v>
      </c>
      <c r="T493" s="194">
        <f>IFERROR(INDEX('Both teabags AfterDry'!$D$3:$D$2000,MATCH(I493,'Both teabags AfterDry'!$A$3:$A$2000,0)),"")</f>
        <v>1.7210000000000001</v>
      </c>
      <c r="U493" s="194">
        <f t="shared" si="84"/>
        <v>0.5484</v>
      </c>
      <c r="V493" s="194">
        <f t="shared" si="85"/>
        <v>1.5704</v>
      </c>
      <c r="W493" s="194">
        <f>IFERROR(INDEX('Ashed teabags dry'!$K$2:$K$2000,MATCH(H493,'Ashed teabags dry'!$A$2:$A$2000,0)),"")</f>
        <v>13.974854932302094</v>
      </c>
      <c r="X493" s="194">
        <f>IFERROR(INDEX('Ashed teabags dry'!$K$2:$K$2000,MATCH(I493,'Ashed teabags dry'!$A$2:$A$2000,0)),"")</f>
        <v>4.205838693715986</v>
      </c>
      <c r="Y493" s="194">
        <f t="shared" si="80"/>
        <v>0.47176189555125531</v>
      </c>
      <c r="Z493" s="194">
        <f t="shared" si="80"/>
        <v>1.5043515091538842</v>
      </c>
      <c r="AA493" s="194">
        <f t="shared" si="86"/>
        <v>0.70838865055824562</v>
      </c>
      <c r="AB493" s="194">
        <f t="shared" si="87"/>
        <v>0.46440681129234157</v>
      </c>
      <c r="AC493" s="194">
        <f t="shared" si="81"/>
        <v>0.81878375588498575</v>
      </c>
      <c r="AD493">
        <f t="shared" si="88"/>
        <v>62</v>
      </c>
      <c r="AE493" s="194">
        <f t="shared" si="89"/>
        <v>0.15868331287619286</v>
      </c>
      <c r="AF493" s="194">
        <f t="shared" si="90"/>
        <v>7.9780784404275516E-3</v>
      </c>
      <c r="AG493" s="252" t="str">
        <f>IF(ISNUMBER(SEARCH("C", 'Dry_Litterbag Placem_Collection'!$V200)),"YES","NO")</f>
        <v>NO</v>
      </c>
      <c r="AH493" s="252" t="str">
        <f>IF(ISNUMBER(SEARCH("H", 'Dry_Litterbag Placem_Collection'!$V200)),"YES","NO")</f>
        <v>NO</v>
      </c>
      <c r="AI493" s="252" t="str">
        <f>IF(ISNUMBER(SEARCH("R", 'Dry_Litterbag Placem_Collection'!$V200)),"YES","NO")</f>
        <v>YES</v>
      </c>
      <c r="AJ493" s="252" t="str">
        <f>IF(ISNUMBER(SEARCH("C", 'Dry_Litterbag Placem_Collection'!$U200)),"YES","NO")</f>
        <v>NO</v>
      </c>
      <c r="AK493" s="252" t="str">
        <f>IF(ISNUMBER(SEARCH("H", 'Dry_Litterbag Placem_Collection'!$U200)),"YES","NO")</f>
        <v>NO</v>
      </c>
      <c r="AL493" s="252" t="str">
        <f>IF(ISNUMBER(SEARCH("R", 'Dry_Litterbag Placem_Collection'!$U200)),"YES","NO")</f>
        <v>YES</v>
      </c>
    </row>
    <row r="494" spans="2:38">
      <c r="B494" t="str">
        <f>'Final data_for_R_analysis_Dryse'!A640</f>
        <v>Dry</v>
      </c>
      <c r="C494" s="260">
        <f>'Final data_for_R_analysis_Dryse'!B640</f>
        <v>199</v>
      </c>
      <c r="D494" t="s">
        <v>2418</v>
      </c>
      <c r="E494" t="s">
        <v>25</v>
      </c>
      <c r="F494" s="382">
        <v>3</v>
      </c>
      <c r="G494" s="383">
        <f>IF('Dry_Litterbag Placem_Collection'!E201="","",'Dry_Litterbag Placem_Collection'!E201)</f>
        <v>42942</v>
      </c>
      <c r="H494" s="92" t="str">
        <f>'Final data_for_R_analysis_Dryse'!K640</f>
        <v>G182</v>
      </c>
      <c r="I494" t="str">
        <f>'Final data_for_R_analysis_Dryse'!K860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82"/>
        <v>1.6421999999999999</v>
      </c>
      <c r="M494" s="237">
        <f>AVERAGE(Ashed_controlls!$K$1:$K$11)</f>
        <v>5.5147656768714146</v>
      </c>
      <c r="N494" s="194">
        <f t="shared" si="78"/>
        <v>1.5516365180544176</v>
      </c>
      <c r="O494" s="194">
        <f t="shared" si="83"/>
        <v>1.9942000000000002</v>
      </c>
      <c r="P494" s="237">
        <f>AVERAGE(Ashed_controlls!$K$12:$K$14)</f>
        <v>2.2816647271287041</v>
      </c>
      <c r="Q494" s="194">
        <f t="shared" si="79"/>
        <v>1.9486990420115995</v>
      </c>
      <c r="R494" s="383">
        <f>IF('Dry_Litterbag Placem_Collection'!G201="","",'Dry_Litterbag Placem_Collection'!G201)</f>
        <v>43004</v>
      </c>
      <c r="S494" s="194">
        <f>IFERROR(INDEX('Both teabags AfterDry'!$D$3:$D$2000,MATCH(H494,'Both teabags AfterDry'!$A$3:$A$2000,0)),"")</f>
        <v>0.62490000000000001</v>
      </c>
      <c r="T494" s="194">
        <f>IFERROR(INDEX('Both teabags AfterDry'!$D$3:$D$2000,MATCH(I494,'Both teabags AfterDry'!$A$3:$A$2000,0)),"")</f>
        <v>1.62</v>
      </c>
      <c r="U494" s="194">
        <f t="shared" si="84"/>
        <v>0.4743</v>
      </c>
      <c r="V494" s="194">
        <f t="shared" si="85"/>
        <v>1.4694</v>
      </c>
      <c r="W494" s="194">
        <f>IFERROR(INDEX('Ashed teabags dry'!$K$2:$K$2000,MATCH(H494,'Ashed teabags dry'!$A$2:$A$2000,0)),"")</f>
        <v>15.096201282683586</v>
      </c>
      <c r="X494" s="194">
        <f>IFERROR(INDEX('Ashed teabags dry'!$K$2:$K$2000,MATCH(I494,'Ashed teabags dry'!$A$2:$A$2000,0)),"")</f>
        <v>2.5580293699667425</v>
      </c>
      <c r="Y494" s="194">
        <f t="shared" si="80"/>
        <v>0.40269871731623175</v>
      </c>
      <c r="Z494" s="194">
        <f t="shared" si="80"/>
        <v>1.4318123164377088</v>
      </c>
      <c r="AA494" s="194">
        <f t="shared" si="86"/>
        <v>0.74046839409195409</v>
      </c>
      <c r="AB494" s="194">
        <f t="shared" si="87"/>
        <v>0.48543771204128111</v>
      </c>
      <c r="AC494" s="194">
        <f t="shared" si="81"/>
        <v>0.73475292262661562</v>
      </c>
      <c r="AD494">
        <f t="shared" si="88"/>
        <v>62</v>
      </c>
      <c r="AE494" s="194">
        <f t="shared" si="89"/>
        <v>0.12058385499767921</v>
      </c>
      <c r="AF494" s="194">
        <f t="shared" si="90"/>
        <v>1.2750924042370361E-2</v>
      </c>
      <c r="AG494" s="252" t="str">
        <f>IF(ISNUMBER(SEARCH("C", 'Dry_Litterbag Placem_Collection'!$V201)),"YES","NO")</f>
        <v>NO</v>
      </c>
      <c r="AH494" s="252" t="str">
        <f>IF(ISNUMBER(SEARCH("H", 'Dry_Litterbag Placem_Collection'!$V201)),"YES","NO")</f>
        <v>NO</v>
      </c>
      <c r="AI494" s="252" t="str">
        <f>IF(ISNUMBER(SEARCH("R", 'Dry_Litterbag Placem_Collection'!$V201)),"YES","NO")</f>
        <v>YES</v>
      </c>
      <c r="AJ494" s="252" t="str">
        <f>IF(ISNUMBER(SEARCH("C", 'Dry_Litterbag Placem_Collection'!$U201)),"YES","NO")</f>
        <v>NO</v>
      </c>
      <c r="AK494" s="252" t="str">
        <f>IF(ISNUMBER(SEARCH("H", 'Dry_Litterbag Placem_Collection'!$U201)),"YES","NO")</f>
        <v>NO</v>
      </c>
      <c r="AL494" s="252" t="str">
        <f>IF(ISNUMBER(SEARCH("R", 'Dry_Litterbag Placem_Collection'!$U201)),"YES","NO")</f>
        <v>YES</v>
      </c>
    </row>
    <row r="495" spans="2:38">
      <c r="B495" t="str">
        <f>'Final data_for_R_analysis_Dryse'!A641</f>
        <v>Dry</v>
      </c>
      <c r="C495" s="260">
        <f>'Final data_for_R_analysis_Dryse'!B641</f>
        <v>200</v>
      </c>
      <c r="D495" t="s">
        <v>2441</v>
      </c>
      <c r="E495" t="s">
        <v>25</v>
      </c>
      <c r="F495" s="382">
        <v>4</v>
      </c>
      <c r="G495" s="383">
        <f>IF('Dry_Litterbag Placem_Collection'!E202="","",'Dry_Litterbag Placem_Collection'!E202)</f>
        <v>42942</v>
      </c>
      <c r="H495" s="92" t="str">
        <f>'Final data_for_R_analysis_Dryse'!K641</f>
        <v>G186</v>
      </c>
      <c r="I495" t="str">
        <f>'Final data_for_R_analysis_Dryse'!K861</f>
        <v>R205</v>
      </c>
      <c r="J495">
        <f>IFERROR(INDEX('Green_rooibos initial weight'!$C$5:$C$2000,MATCH(H495, 'Green_rooibos initial weight'!$A$5:$A$2000,0)),"")</f>
        <v>2.0419999999999998</v>
      </c>
      <c r="K495">
        <f>IFERROR(INDEX('Green_rooibos initial weight'!$C$5:$C$2000,MATCH(I495, 'Green_rooibos initial weight'!$A$5:$A$2000,0)),"")</f>
        <v>2.181</v>
      </c>
      <c r="L495" s="194">
        <f t="shared" si="82"/>
        <v>1.7921999999999998</v>
      </c>
      <c r="M495" s="237">
        <f>AVERAGE(Ashed_controlls!$K$1:$K$11)</f>
        <v>5.5147656768714146</v>
      </c>
      <c r="N495" s="194">
        <f t="shared" si="78"/>
        <v>1.6933643695391103</v>
      </c>
      <c r="O495" s="194">
        <f t="shared" si="83"/>
        <v>1.9312</v>
      </c>
      <c r="P495" s="237">
        <f>AVERAGE(Ashed_controlls!$K$12:$K$14)</f>
        <v>2.2816647271287041</v>
      </c>
      <c r="Q495" s="194">
        <f t="shared" si="79"/>
        <v>1.8871364907896906</v>
      </c>
      <c r="R495" s="383">
        <f>IF('Dry_Litterbag Placem_Collection'!G202="","",'Dry_Litterbag Placem_Collection'!G202)</f>
        <v>43004</v>
      </c>
      <c r="S495" s="194">
        <f>IFERROR(INDEX('Both teabags AfterDry'!$D$3:$D$2000,MATCH(H495,'Both teabags AfterDry'!$A$3:$A$2000,0)),"")</f>
        <v>0.6643</v>
      </c>
      <c r="T495" s="194">
        <f>IFERROR(INDEX('Both teabags AfterDry'!$D$3:$D$2000,MATCH(I495,'Both teabags AfterDry'!$A$3:$A$2000,0)),"")</f>
        <v>1.6595</v>
      </c>
      <c r="U495" s="194">
        <f t="shared" si="84"/>
        <v>0.51370000000000005</v>
      </c>
      <c r="V495" s="194">
        <f t="shared" si="85"/>
        <v>1.5088999999999999</v>
      </c>
      <c r="W495" s="194">
        <f>IFERROR(INDEX('Ashed teabags dry'!$K$2:$K$2000,MATCH(H495,'Ashed teabags dry'!$A$2:$A$2000,0)),"")</f>
        <v>12.606837606837463</v>
      </c>
      <c r="X495" s="194">
        <f>IFERROR(INDEX('Ashed teabags dry'!$K$2:$K$2000,MATCH(I495,'Ashed teabags dry'!$A$2:$A$2000,0)),"")</f>
        <v>2.2522522522528168</v>
      </c>
      <c r="Y495" s="194">
        <f t="shared" si="80"/>
        <v>0.44893867521367603</v>
      </c>
      <c r="Z495" s="194">
        <f t="shared" si="80"/>
        <v>1.4749157657657572</v>
      </c>
      <c r="AA495" s="194">
        <f t="shared" si="86"/>
        <v>0.73488359428758654</v>
      </c>
      <c r="AB495" s="194">
        <f t="shared" si="87"/>
        <v>0.48177641810777655</v>
      </c>
      <c r="AC495" s="194">
        <f t="shared" si="81"/>
        <v>0.7815628455939424</v>
      </c>
      <c r="AD495">
        <f t="shared" si="88"/>
        <v>62</v>
      </c>
      <c r="AE495" s="194">
        <f t="shared" si="89"/>
        <v>0.12721663386272375</v>
      </c>
      <c r="AF495" s="194">
        <f t="shared" si="90"/>
        <v>9.7425317203283877E-3</v>
      </c>
      <c r="AG495" s="252" t="str">
        <f>IF(ISNUMBER(SEARCH("C", 'Dry_Litterbag Placem_Collection'!$V202)),"YES","NO")</f>
        <v>NO</v>
      </c>
      <c r="AH495" s="252" t="str">
        <f>IF(ISNUMBER(SEARCH("H", 'Dry_Litterbag Placem_Collection'!$V202)),"YES","NO")</f>
        <v>NO</v>
      </c>
      <c r="AI495" s="252" t="str">
        <f>IF(ISNUMBER(SEARCH("R", 'Dry_Litterbag Placem_Collection'!$V202)),"YES","NO")</f>
        <v>YES</v>
      </c>
      <c r="AJ495" s="252" t="str">
        <f>IF(ISNUMBER(SEARCH("C", 'Dry_Litterbag Placem_Collection'!$U202)),"YES","NO")</f>
        <v>NO</v>
      </c>
      <c r="AK495" s="252" t="str">
        <f>IF(ISNUMBER(SEARCH("H", 'Dry_Litterbag Placem_Collection'!$U202)),"YES","NO")</f>
        <v>NO</v>
      </c>
      <c r="AL495" s="252" t="str">
        <f>IF(ISNUMBER(SEARCH("R", 'Dry_Litterbag Placem_Collection'!$U202)),"YES","NO")</f>
        <v>YES</v>
      </c>
    </row>
    <row r="496" spans="2:38">
      <c r="B496" t="str">
        <f>'Final data_for_R_analysis_Dryse'!A642</f>
        <v>Dry</v>
      </c>
      <c r="C496" s="260">
        <f>'Final data_for_R_analysis_Dryse'!B642</f>
        <v>201</v>
      </c>
      <c r="D496" t="s">
        <v>2442</v>
      </c>
      <c r="E496" t="s">
        <v>25</v>
      </c>
      <c r="F496" s="382">
        <v>1</v>
      </c>
      <c r="G496" s="383">
        <f>IF('Dry_Litterbag Placem_Collection'!E203="","",'Dry_Litterbag Placem_Collection'!E203)</f>
        <v>42942</v>
      </c>
      <c r="H496" s="92" t="str">
        <f>'Final data_for_R_analysis_Dryse'!K642</f>
        <v>G315</v>
      </c>
      <c r="I496" t="str">
        <f>'Final data_for_R_analysis_Dryse'!K862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82"/>
        <v>1.8462000000000001</v>
      </c>
      <c r="M496" s="237">
        <f>AVERAGE(Ashed_controlls!$K$1:$K$11)</f>
        <v>5.5147656768714146</v>
      </c>
      <c r="N496" s="194">
        <f t="shared" si="78"/>
        <v>1.7443863960735999</v>
      </c>
      <c r="O496" s="194">
        <f t="shared" si="83"/>
        <v>1.9081999999999999</v>
      </c>
      <c r="P496" s="237">
        <f>AVERAGE(Ashed_controlls!$K$12:$K$14)</f>
        <v>2.2816647271287041</v>
      </c>
      <c r="Q496" s="194">
        <f t="shared" si="79"/>
        <v>1.8646612736769299</v>
      </c>
      <c r="R496" s="383">
        <f>IF('Dry_Litterbag Placem_Collection'!G203="","",'Dry_Litterbag Placem_Collection'!G203)</f>
        <v>43004</v>
      </c>
      <c r="S496" s="194">
        <f>IFERROR(INDEX('Both teabags AfterDry'!$D$3:$D$2000,MATCH(H496,'Both teabags AfterDry'!$A$3:$A$2000,0)),"")</f>
        <v>0.84</v>
      </c>
      <c r="T496" s="194">
        <f>IFERROR(INDEX('Both teabags AfterDry'!$D$3:$D$2000,MATCH(I496,'Both teabags AfterDry'!$A$3:$A$2000,0)),"")</f>
        <v>1.7869999999999999</v>
      </c>
      <c r="U496" s="194">
        <f t="shared" si="84"/>
        <v>0.68940000000000001</v>
      </c>
      <c r="V496" s="194">
        <f t="shared" si="85"/>
        <v>1.6363999999999999</v>
      </c>
      <c r="W496" s="194">
        <f>IFERROR(INDEX('Ashed teabags dry'!$K$2:$K$2000,MATCH(H496,'Ashed teabags dry'!$A$2:$A$2000,0)),"")</f>
        <v>16.658642272508086</v>
      </c>
      <c r="X496" s="194">
        <f>IFERROR(INDEX('Ashed teabags dry'!$K$2:$K$2000,MATCH(I496,'Ashed teabags dry'!$A$2:$A$2000,0)),"")</f>
        <v>6.3397721644379263</v>
      </c>
      <c r="Y496" s="194">
        <f t="shared" si="80"/>
        <v>0.57455532017332922</v>
      </c>
      <c r="Z496" s="194">
        <f t="shared" si="80"/>
        <v>1.5326559683011376</v>
      </c>
      <c r="AA496" s="194">
        <f t="shared" si="86"/>
        <v>0.67062611731748034</v>
      </c>
      <c r="AB496" s="194">
        <f t="shared" si="87"/>
        <v>0.43965037619863323</v>
      </c>
      <c r="AC496" s="194">
        <f t="shared" si="81"/>
        <v>0.82194873135263313</v>
      </c>
      <c r="AD496">
        <f t="shared" si="88"/>
        <v>62</v>
      </c>
      <c r="AE496" s="194">
        <f t="shared" si="89"/>
        <v>0.20353192717638913</v>
      </c>
      <c r="AF496" s="194">
        <f t="shared" si="90"/>
        <v>8.3736548939716479E-3</v>
      </c>
      <c r="AG496" s="252" t="str">
        <f>IF(ISNUMBER(SEARCH("C", 'Dry_Litterbag Placem_Collection'!$V203)),"YES","NO")</f>
        <v>NO</v>
      </c>
      <c r="AH496" s="252" t="str">
        <f>IF(ISNUMBER(SEARCH("H", 'Dry_Litterbag Placem_Collection'!$V203)),"YES","NO")</f>
        <v>NO</v>
      </c>
      <c r="AI496" s="252" t="str">
        <f>IF(ISNUMBER(SEARCH("R", 'Dry_Litterbag Placem_Collection'!$V203)),"YES","NO")</f>
        <v>YES</v>
      </c>
      <c r="AJ496" s="252" t="str">
        <f>IF(ISNUMBER(SEARCH("C", 'Dry_Litterbag Placem_Collection'!$U203)),"YES","NO")</f>
        <v>NO</v>
      </c>
      <c r="AK496" s="252" t="str">
        <f>IF(ISNUMBER(SEARCH("H", 'Dry_Litterbag Placem_Collection'!$U203)),"YES","NO")</f>
        <v>NO</v>
      </c>
      <c r="AL496" s="252" t="str">
        <f>IF(ISNUMBER(SEARCH("R", 'Dry_Litterbag Placem_Collection'!$U203)),"YES","NO")</f>
        <v>YES</v>
      </c>
    </row>
    <row r="497" spans="2:38">
      <c r="B497" t="str">
        <f>'Final data_for_R_analysis_Dryse'!A643</f>
        <v>Dry</v>
      </c>
      <c r="C497" s="260">
        <f>'Final data_for_R_analysis_Dryse'!B643</f>
        <v>202</v>
      </c>
      <c r="D497" t="s">
        <v>2419</v>
      </c>
      <c r="E497" t="s">
        <v>25</v>
      </c>
      <c r="F497" s="382">
        <v>2</v>
      </c>
      <c r="G497" s="383">
        <f>IF('Dry_Litterbag Placem_Collection'!E204="","",'Dry_Litterbag Placem_Collection'!E204)</f>
        <v>42942</v>
      </c>
      <c r="H497" s="92" t="str">
        <f>'Final data_for_R_analysis_Dryse'!K643</f>
        <v>G147</v>
      </c>
      <c r="I497" t="str">
        <f>'Final data_for_R_analysis_Dryse'!K863</f>
        <v>R224</v>
      </c>
      <c r="J497">
        <f>IFERROR(INDEX('Green_rooibos initial weight'!$C$5:$C$2000,MATCH(H497, 'Green_rooibos initial weight'!$A$5:$A$2000,0)),"")</f>
        <v>2.0369999999999999</v>
      </c>
      <c r="K497">
        <f>IFERROR(INDEX('Green_rooibos initial weight'!$C$5:$C$2000,MATCH(I497, 'Green_rooibos initial weight'!$A$5:$A$2000,0)),"")</f>
        <v>2.298</v>
      </c>
      <c r="L497" s="194">
        <f t="shared" si="82"/>
        <v>1.7871999999999999</v>
      </c>
      <c r="M497" s="237">
        <f>AVERAGE(Ashed_controlls!$K$1:$K$11)</f>
        <v>5.5147656768714146</v>
      </c>
      <c r="N497" s="194">
        <f t="shared" si="78"/>
        <v>1.688640107822954</v>
      </c>
      <c r="O497" s="194">
        <f t="shared" si="83"/>
        <v>2.0482</v>
      </c>
      <c r="P497" s="237">
        <f>AVERAGE(Ashed_controlls!$K$12:$K$14)</f>
        <v>2.2816647271287041</v>
      </c>
      <c r="Q497" s="194">
        <f t="shared" si="79"/>
        <v>2.0014669430589498</v>
      </c>
      <c r="R497" s="383">
        <f>IF('Dry_Litterbag Placem_Collection'!G204="","",'Dry_Litterbag Placem_Collection'!G204)</f>
        <v>43004</v>
      </c>
      <c r="S497" s="194">
        <f>IFERROR(INDEX('Both teabags AfterDry'!$D$3:$D$2000,MATCH(H497,'Both teabags AfterDry'!$A$3:$A$2000,0)),"")</f>
        <v>0.71709999999999996</v>
      </c>
      <c r="T497" s="194">
        <f>IFERROR(INDEX('Both teabags AfterDry'!$D$3:$D$2000,MATCH(I497,'Both teabags AfterDry'!$A$3:$A$2000,0)),"")</f>
        <v>1.8384</v>
      </c>
      <c r="U497" s="194">
        <f t="shared" si="84"/>
        <v>0.5665</v>
      </c>
      <c r="V497" s="194">
        <f t="shared" si="85"/>
        <v>1.6878</v>
      </c>
      <c r="W497" s="194">
        <f>IFERROR(INDEX('Ashed teabags dry'!$K$2:$K$2000,MATCH(H497,'Ashed teabags dry'!$A$2:$A$2000,0)),"")</f>
        <v>19.843214110729726</v>
      </c>
      <c r="X497" s="194">
        <f>IFERROR(INDEX('Ashed teabags dry'!$K$2:$K$2000,MATCH(I497,'Ashed teabags dry'!$A$2:$A$2000,0)),"")</f>
        <v>11.207685269899079</v>
      </c>
      <c r="Y497" s="194">
        <f t="shared" si="80"/>
        <v>0.45408819206271611</v>
      </c>
      <c r="Z497" s="194">
        <f t="shared" si="80"/>
        <v>1.4986366880146433</v>
      </c>
      <c r="AA497" s="194">
        <f t="shared" si="86"/>
        <v>0.73109238021822165</v>
      </c>
      <c r="AB497" s="194">
        <f t="shared" si="87"/>
        <v>0.47929096660386983</v>
      </c>
      <c r="AC497" s="194">
        <f t="shared" si="81"/>
        <v>0.7487691431586655</v>
      </c>
      <c r="AD497">
        <f t="shared" si="88"/>
        <v>62</v>
      </c>
      <c r="AE497" s="194">
        <f t="shared" si="89"/>
        <v>0.13171926339878659</v>
      </c>
      <c r="AF497" s="194">
        <f t="shared" si="90"/>
        <v>1.1979010087263537E-2</v>
      </c>
      <c r="AG497" s="252" t="str">
        <f>IF(ISNUMBER(SEARCH("C", 'Dry_Litterbag Placem_Collection'!$V204)),"YES","NO")</f>
        <v>NO</v>
      </c>
      <c r="AH497" s="252" t="str">
        <f>IF(ISNUMBER(SEARCH("H", 'Dry_Litterbag Placem_Collection'!$V204)),"YES","NO")</f>
        <v>NO</v>
      </c>
      <c r="AI497" s="252" t="str">
        <f>IF(ISNUMBER(SEARCH("R", 'Dry_Litterbag Placem_Collection'!$V204)),"YES","NO")</f>
        <v>YES</v>
      </c>
      <c r="AJ497" s="252" t="str">
        <f>IF(ISNUMBER(SEARCH("C", 'Dry_Litterbag Placem_Collection'!$U204)),"YES","NO")</f>
        <v>NO</v>
      </c>
      <c r="AK497" s="252" t="str">
        <f>IF(ISNUMBER(SEARCH("H", 'Dry_Litterbag Placem_Collection'!$U204)),"YES","NO")</f>
        <v>NO</v>
      </c>
      <c r="AL497" s="252" t="str">
        <f>IF(ISNUMBER(SEARCH("R", 'Dry_Litterbag Placem_Collection'!$U204)),"YES","NO")</f>
        <v>YES</v>
      </c>
    </row>
    <row r="498" spans="2:38">
      <c r="B498" t="str">
        <f>'Final data_for_R_analysis_Dryse'!A644</f>
        <v>Dry</v>
      </c>
      <c r="C498" s="260">
        <f>'Final data_for_R_analysis_Dryse'!B644</f>
        <v>203</v>
      </c>
      <c r="D498" t="s">
        <v>2428</v>
      </c>
      <c r="E498" t="s">
        <v>25</v>
      </c>
      <c r="F498" s="382">
        <v>3</v>
      </c>
      <c r="G498" s="383">
        <f>IF('Dry_Litterbag Placem_Collection'!E205="","",'Dry_Litterbag Placem_Collection'!E205)</f>
        <v>42942</v>
      </c>
      <c r="H498" s="92" t="str">
        <f>'Final data_for_R_analysis_Dryse'!K644</f>
        <v>G168</v>
      </c>
      <c r="I498" t="str">
        <f>'Final data_for_R_analysis_Dryse'!K864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82"/>
        <v>1.8001999999999998</v>
      </c>
      <c r="M498" s="237">
        <f>AVERAGE(Ashed_controlls!$K$1:$K$11)</f>
        <v>5.5147656768714146</v>
      </c>
      <c r="N498" s="194">
        <f t="shared" si="78"/>
        <v>1.7009231882849607</v>
      </c>
      <c r="O498" s="194">
        <f t="shared" si="83"/>
        <v>1.7961999999999998</v>
      </c>
      <c r="P498" s="237">
        <f>AVERAGE(Ashed_controlls!$K$12:$K$14)</f>
        <v>2.2816647271287041</v>
      </c>
      <c r="Q498" s="194">
        <f t="shared" si="79"/>
        <v>1.755216738171314</v>
      </c>
      <c r="R498" s="383">
        <f>IF('Dry_Litterbag Placem_Collection'!G205="","",'Dry_Litterbag Placem_Collection'!G205)</f>
        <v>43004</v>
      </c>
      <c r="S498" s="194">
        <f>IFERROR(INDEX('Both teabags AfterDry'!$D$3:$D$2000,MATCH(H498,'Both teabags AfterDry'!$A$3:$A$2000,0)),"")</f>
        <v>0.72609999999999997</v>
      </c>
      <c r="T498" s="194">
        <f>IFERROR(INDEX('Both teabags AfterDry'!$D$3:$D$2000,MATCH(I498,'Both teabags AfterDry'!$A$3:$A$2000,0)),"")</f>
        <v>1.6888000000000001</v>
      </c>
      <c r="U498" s="194">
        <f t="shared" si="84"/>
        <v>0.5754999999999999</v>
      </c>
      <c r="V498" s="194">
        <f t="shared" si="85"/>
        <v>1.5382</v>
      </c>
      <c r="W498" s="194">
        <f>IFERROR(INDEX('Ashed teabags dry'!$K$2:$K$2000,MATCH(H498,'Ashed teabags dry'!$A$2:$A$2000,0)),"")</f>
        <v>14.424477901894273</v>
      </c>
      <c r="X498" s="194">
        <f>IFERROR(INDEX('Ashed teabags dry'!$K$2:$K$2000,MATCH(I498,'Ashed teabags dry'!$A$2:$A$2000,0)),"")</f>
        <v>4.0788883908559299</v>
      </c>
      <c r="Y498" s="194">
        <f t="shared" si="80"/>
        <v>0.4924871296745984</v>
      </c>
      <c r="Z498" s="194">
        <f t="shared" si="80"/>
        <v>1.4754585387718542</v>
      </c>
      <c r="AA498" s="194">
        <f t="shared" si="86"/>
        <v>0.71045892426737223</v>
      </c>
      <c r="AB498" s="194">
        <f t="shared" si="87"/>
        <v>0.46576404536293292</v>
      </c>
      <c r="AC498" s="194">
        <f t="shared" si="81"/>
        <v>0.84061330243982968</v>
      </c>
      <c r="AD498">
        <f t="shared" si="88"/>
        <v>62</v>
      </c>
      <c r="AE498" s="194">
        <f t="shared" si="89"/>
        <v>0.15622455550193315</v>
      </c>
      <c r="AF498" s="194">
        <f t="shared" si="90"/>
        <v>6.7558332336020701E-3</v>
      </c>
      <c r="AG498" s="252" t="str">
        <f>IF(ISNUMBER(SEARCH("C", 'Dry_Litterbag Placem_Collection'!$V205)),"YES","NO")</f>
        <v>NO</v>
      </c>
      <c r="AH498" s="252" t="str">
        <f>IF(ISNUMBER(SEARCH("H", 'Dry_Litterbag Placem_Collection'!$V205)),"YES","NO")</f>
        <v>NO</v>
      </c>
      <c r="AI498" s="252" t="str">
        <f>IF(ISNUMBER(SEARCH("R", 'Dry_Litterbag Placem_Collection'!$V205)),"YES","NO")</f>
        <v>YES</v>
      </c>
      <c r="AJ498" s="252" t="str">
        <f>IF(ISNUMBER(SEARCH("C", 'Dry_Litterbag Placem_Collection'!$U205)),"YES","NO")</f>
        <v>NO</v>
      </c>
      <c r="AK498" s="252" t="str">
        <f>IF(ISNUMBER(SEARCH("H", 'Dry_Litterbag Placem_Collection'!$U205)),"YES","NO")</f>
        <v>NO</v>
      </c>
      <c r="AL498" s="252" t="str">
        <f>IF(ISNUMBER(SEARCH("R", 'Dry_Litterbag Placem_Collection'!$U205)),"YES","NO")</f>
        <v>YES</v>
      </c>
    </row>
    <row r="499" spans="2:38">
      <c r="B499" t="str">
        <f>'Final data_for_R_analysis_Dryse'!A645</f>
        <v>Dry</v>
      </c>
      <c r="C499" s="260">
        <f>'Final data_for_R_analysis_Dryse'!B645</f>
        <v>204</v>
      </c>
      <c r="D499" t="s">
        <v>2435</v>
      </c>
      <c r="E499" t="s">
        <v>25</v>
      </c>
      <c r="F499" s="382">
        <v>4</v>
      </c>
      <c r="G499" s="383">
        <f>IF('Dry_Litterbag Placem_Collection'!E206="","",'Dry_Litterbag Placem_Collection'!E206)</f>
        <v>42942</v>
      </c>
      <c r="H499" s="92" t="str">
        <f>'Final data_for_R_analysis_Dryse'!K645</f>
        <v>G672</v>
      </c>
      <c r="I499" t="str">
        <f>'Final data_for_R_analysis_Dryse'!K865</f>
        <v>R708</v>
      </c>
      <c r="J499">
        <f>IFERROR(INDEX('Green_rooibos initial weight'!$C$5:$C$2000,MATCH(H499, 'Green_rooibos initial weight'!$A$5:$A$2000,0)),"")</f>
        <v>2.0350000000000001</v>
      </c>
      <c r="K499">
        <f>IFERROR(INDEX('Green_rooibos initial weight'!$C$5:$C$2000,MATCH(I499, 'Green_rooibos initial weight'!$A$5:$A$2000,0)),"")</f>
        <v>2.157</v>
      </c>
      <c r="L499" s="194">
        <f t="shared" si="82"/>
        <v>1.7852000000000001</v>
      </c>
      <c r="M499" s="237">
        <f>AVERAGE(Ashed_controlls!$K$1:$K$11)</f>
        <v>5.5147656768714146</v>
      </c>
      <c r="N499" s="194">
        <f t="shared" si="78"/>
        <v>1.6867504031364917</v>
      </c>
      <c r="O499" s="194">
        <f t="shared" si="83"/>
        <v>1.9072</v>
      </c>
      <c r="P499" s="237">
        <f>AVERAGE(Ashed_controlls!$K$12:$K$14)</f>
        <v>2.2816647271287041</v>
      </c>
      <c r="Q499" s="194">
        <f t="shared" si="79"/>
        <v>1.8636840903242013</v>
      </c>
      <c r="R499" s="383">
        <f>IF('Dry_Litterbag Placem_Collection'!G206="","",'Dry_Litterbag Placem_Collection'!G206)</f>
        <v>43004</v>
      </c>
      <c r="S499" s="194">
        <f>IFERROR(INDEX('Both teabags AfterDry'!$D$3:$D$2000,MATCH(H499,'Both teabags AfterDry'!$A$3:$A$2000,0)),"")</f>
        <v>0.75690000000000002</v>
      </c>
      <c r="T499" s="194">
        <f>IFERROR(INDEX('Both teabags AfterDry'!$D$3:$D$2000,MATCH(I499,'Both teabags AfterDry'!$A$3:$A$2000,0)),"")</f>
        <v>1.7259</v>
      </c>
      <c r="U499" s="194">
        <f t="shared" si="84"/>
        <v>0.60630000000000006</v>
      </c>
      <c r="V499" s="194">
        <f t="shared" si="85"/>
        <v>1.5752999999999999</v>
      </c>
      <c r="W499" s="194">
        <f>IFERROR(INDEX('Ashed teabags dry'!$K$2:$K$2000,MATCH(H499,'Ashed teabags dry'!$A$2:$A$2000,0)),"")</f>
        <v>21.599219892735228</v>
      </c>
      <c r="X499" s="194">
        <f>IFERROR(INDEX('Ashed teabags dry'!$K$2:$K$2000,MATCH(I499,'Ashed teabags dry'!$A$2:$A$2000,0)),"")</f>
        <v>5.9528907922913135</v>
      </c>
      <c r="Y499" s="194">
        <f t="shared" si="80"/>
        <v>0.47534392979034634</v>
      </c>
      <c r="Z499" s="194">
        <f t="shared" si="80"/>
        <v>1.4815241113490349</v>
      </c>
      <c r="AA499" s="194">
        <f t="shared" si="86"/>
        <v>0.71818952649636247</v>
      </c>
      <c r="AB499" s="194">
        <f t="shared" si="87"/>
        <v>0.47083208862944431</v>
      </c>
      <c r="AC499" s="194">
        <f t="shared" si="81"/>
        <v>0.79494379924191605</v>
      </c>
      <c r="AD499">
        <f t="shared" si="88"/>
        <v>62</v>
      </c>
      <c r="AE499" s="194">
        <f t="shared" si="89"/>
        <v>0.14704331770028212</v>
      </c>
      <c r="AF499" s="194">
        <f t="shared" si="90"/>
        <v>9.2233565140805909E-3</v>
      </c>
      <c r="AG499" s="252" t="str">
        <f>IF(ISNUMBER(SEARCH("C", 'Dry_Litterbag Placem_Collection'!$V206)),"YES","NO")</f>
        <v>NO</v>
      </c>
      <c r="AH499" s="252" t="str">
        <f>IF(ISNUMBER(SEARCH("H", 'Dry_Litterbag Placem_Collection'!$V206)),"YES","NO")</f>
        <v>NO</v>
      </c>
      <c r="AI499" s="252" t="str">
        <f>IF(ISNUMBER(SEARCH("R", 'Dry_Litterbag Placem_Collection'!$V206)),"YES","NO")</f>
        <v>NO</v>
      </c>
      <c r="AJ499" s="252" t="str">
        <f>IF(ISNUMBER(SEARCH("C", 'Dry_Litterbag Placem_Collection'!$U206)),"YES","NO")</f>
        <v>NO</v>
      </c>
      <c r="AK499" s="252" t="str">
        <f>IF(ISNUMBER(SEARCH("H", 'Dry_Litterbag Placem_Collection'!$U206)),"YES","NO")</f>
        <v>NO</v>
      </c>
      <c r="AL499" s="252" t="str">
        <f>IF(ISNUMBER(SEARCH("R", 'Dry_Litterbag Placem_Collection'!$U206)),"YES","NO")</f>
        <v>NO</v>
      </c>
    </row>
    <row r="500" spans="2:38">
      <c r="B500" t="str">
        <f>'Final data_for_R_analysis_Dryse'!A646</f>
        <v>Dry</v>
      </c>
      <c r="C500" s="260">
        <f>'Final data_for_R_analysis_Dryse'!B646</f>
        <v>205</v>
      </c>
      <c r="D500" t="s">
        <v>2429</v>
      </c>
      <c r="E500" t="s">
        <v>25</v>
      </c>
      <c r="F500" s="382">
        <v>1</v>
      </c>
      <c r="G500" s="383">
        <f>IF('Dry_Litterbag Placem_Collection'!E207="","",'Dry_Litterbag Placem_Collection'!E207)</f>
        <v>42942</v>
      </c>
      <c r="H500" s="92" t="str">
        <f>'Final data_for_R_analysis_Dryse'!K646</f>
        <v>G173</v>
      </c>
      <c r="I500" t="str">
        <f>'Final data_for_R_analysis_Dryse'!K866</f>
        <v>R637</v>
      </c>
      <c r="J500">
        <f>IFERROR(INDEX('Green_rooibos initial weight'!$C$5:$C$2000,MATCH(H500, 'Green_rooibos initial weight'!$A$5:$A$2000,0)),"")</f>
        <v>2.1419999999999999</v>
      </c>
      <c r="K500">
        <f>IFERROR(INDEX('Green_rooibos initial weight'!$C$5:$C$2000,MATCH(I500, 'Green_rooibos initial weight'!$A$5:$A$2000,0)),"")</f>
        <v>2.129</v>
      </c>
      <c r="L500" s="194">
        <f t="shared" si="82"/>
        <v>1.8921999999999999</v>
      </c>
      <c r="M500" s="237">
        <f>AVERAGE(Ashed_controlls!$K$1:$K$11)</f>
        <v>5.5147656768714146</v>
      </c>
      <c r="N500" s="194">
        <f t="shared" si="78"/>
        <v>1.7878496038622389</v>
      </c>
      <c r="O500" s="194">
        <f t="shared" si="83"/>
        <v>1.8792</v>
      </c>
      <c r="P500" s="237">
        <f>AVERAGE(Ashed_controlls!$K$12:$K$14)</f>
        <v>2.2816647271287041</v>
      </c>
      <c r="Q500" s="194">
        <f t="shared" si="79"/>
        <v>1.8363229564477974</v>
      </c>
      <c r="R500" s="383">
        <f>IF('Dry_Litterbag Placem_Collection'!G207="","",'Dry_Litterbag Placem_Collection'!G207)</f>
        <v>43004</v>
      </c>
      <c r="S500" s="194">
        <f>IFERROR(INDEX('Both teabags AfterDry'!$D$3:$D$2000,MATCH(H500,'Both teabags AfterDry'!$A$3:$A$2000,0)),"")</f>
        <v>0.79190000000000005</v>
      </c>
      <c r="T500" s="194">
        <f>IFERROR(INDEX('Both teabags AfterDry'!$D$3:$D$2000,MATCH(I500,'Both teabags AfterDry'!$A$3:$A$2000,0)),"")</f>
        <v>1.6534</v>
      </c>
      <c r="U500" s="194">
        <f t="shared" si="84"/>
        <v>0.64129999999999998</v>
      </c>
      <c r="V500" s="194">
        <f t="shared" si="85"/>
        <v>1.5027999999999999</v>
      </c>
      <c r="W500" s="194">
        <f>IFERROR(INDEX('Ashed teabags dry'!$K$2:$K$2000,MATCH(H500,'Ashed teabags dry'!$A$2:$A$2000,0)),"")</f>
        <v>18.018433179723015</v>
      </c>
      <c r="X500" s="194">
        <f>IFERROR(INDEX('Ashed teabags dry'!$K$2:$K$2000,MATCH(I500,'Ashed teabags dry'!$A$2:$A$2000,0)),"")</f>
        <v>4.9312470365094017</v>
      </c>
      <c r="Y500" s="194">
        <f t="shared" si="80"/>
        <v>0.52574778801843625</v>
      </c>
      <c r="Z500" s="194">
        <f t="shared" si="80"/>
        <v>1.4286932195353366</v>
      </c>
      <c r="AA500" s="194">
        <f t="shared" si="86"/>
        <v>0.70593287775287206</v>
      </c>
      <c r="AB500" s="194">
        <f t="shared" si="87"/>
        <v>0.46279685097337936</v>
      </c>
      <c r="AC500" s="194">
        <f t="shared" si="81"/>
        <v>0.77801849316256211</v>
      </c>
      <c r="AD500">
        <f t="shared" si="88"/>
        <v>62</v>
      </c>
      <c r="AE500" s="194">
        <f t="shared" si="89"/>
        <v>0.16159990765692156</v>
      </c>
      <c r="AF500" s="194">
        <f t="shared" si="90"/>
        <v>1.0536415453297575E-2</v>
      </c>
      <c r="AG500" s="252" t="str">
        <f>IF(ISNUMBER(SEARCH("C", 'Dry_Litterbag Placem_Collection'!$V207)),"YES","NO")</f>
        <v>NO</v>
      </c>
      <c r="AH500" s="252" t="str">
        <f>IF(ISNUMBER(SEARCH("H", 'Dry_Litterbag Placem_Collection'!$V207)),"YES","NO")</f>
        <v>NO</v>
      </c>
      <c r="AI500" s="252" t="str">
        <f>IF(ISNUMBER(SEARCH("R", 'Dry_Litterbag Placem_Collection'!$V207)),"YES","NO")</f>
        <v>YES</v>
      </c>
      <c r="AJ500" s="252" t="str">
        <f>IF(ISNUMBER(SEARCH("C", 'Dry_Litterbag Placem_Collection'!$U207)),"YES","NO")</f>
        <v>NO</v>
      </c>
      <c r="AK500" s="252" t="str">
        <f>IF(ISNUMBER(SEARCH("H", 'Dry_Litterbag Placem_Collection'!$U207)),"YES","NO")</f>
        <v>NO</v>
      </c>
      <c r="AL500" s="252" t="str">
        <f>IF(ISNUMBER(SEARCH("R", 'Dry_Litterbag Placem_Collection'!$U207)),"YES","NO")</f>
        <v>YES</v>
      </c>
    </row>
    <row r="501" spans="2:38">
      <c r="B501" t="str">
        <f>'Final data_for_R_analysis_Dryse'!A647</f>
        <v>Dry</v>
      </c>
      <c r="C501" s="260">
        <f>'Final data_for_R_analysis_Dryse'!B647</f>
        <v>206</v>
      </c>
      <c r="D501" t="s">
        <v>2420</v>
      </c>
      <c r="E501" t="s">
        <v>25</v>
      </c>
      <c r="F501" s="382">
        <v>2</v>
      </c>
      <c r="G501" s="383">
        <f>IF('Dry_Litterbag Placem_Collection'!E208="","",'Dry_Litterbag Placem_Collection'!E208)</f>
        <v>42942</v>
      </c>
      <c r="H501" s="92" t="str">
        <f>'Final data_for_R_analysis_Dryse'!K647</f>
        <v>G262</v>
      </c>
      <c r="I501" t="str">
        <f>'Final data_for_R_analysis_Dryse'!K867</f>
        <v>R284</v>
      </c>
      <c r="J501">
        <f>IFERROR(INDEX('Green_rooibos initial weight'!$C$5:$C$2000,MATCH(H501, 'Green_rooibos initial weight'!$A$5:$A$2000,0)),"")</f>
        <v>2.012</v>
      </c>
      <c r="K501">
        <f>IFERROR(INDEX('Green_rooibos initial weight'!$C$5:$C$2000,MATCH(I501, 'Green_rooibos initial weight'!$A$5:$A$2000,0)),"")</f>
        <v>2.2480000000000002</v>
      </c>
      <c r="L501" s="194">
        <f t="shared" si="82"/>
        <v>1.7622</v>
      </c>
      <c r="M501" s="237">
        <f>AVERAGE(Ashed_controlls!$K$1:$K$11)</f>
        <v>5.5147656768714146</v>
      </c>
      <c r="N501" s="194">
        <f t="shared" si="78"/>
        <v>1.6650187992421719</v>
      </c>
      <c r="O501" s="194">
        <f t="shared" si="83"/>
        <v>1.9982000000000002</v>
      </c>
      <c r="P501" s="237">
        <f>AVERAGE(Ashed_controlls!$K$12:$K$14)</f>
        <v>2.2816647271287041</v>
      </c>
      <c r="Q501" s="194">
        <f t="shared" si="79"/>
        <v>1.9526077754225144</v>
      </c>
      <c r="R501" s="383">
        <f>IF('Dry_Litterbag Placem_Collection'!G208="","",'Dry_Litterbag Placem_Collection'!G208)</f>
        <v>43004</v>
      </c>
      <c r="S501" s="194">
        <f>IFERROR(INDEX('Both teabags AfterDry'!$D$3:$D$2000,MATCH(H501,'Both teabags AfterDry'!$A$3:$A$2000,0)),"")</f>
        <v>0.59640000000000004</v>
      </c>
      <c r="T501" s="194">
        <f>IFERROR(INDEX('Both teabags AfterDry'!$D$3:$D$2000,MATCH(I501,'Both teabags AfterDry'!$A$3:$A$2000,0)),"")</f>
        <v>1.6192</v>
      </c>
      <c r="U501" s="194">
        <f t="shared" si="84"/>
        <v>0.44580000000000003</v>
      </c>
      <c r="V501" s="194">
        <f t="shared" si="85"/>
        <v>1.4685999999999999</v>
      </c>
      <c r="W501" s="194">
        <f>IFERROR(INDEX('Ashed teabags dry'!$K$2:$K$2000,MATCH(H501,'Ashed teabags dry'!$A$2:$A$2000,0)),"")</f>
        <v>18.61042183622844</v>
      </c>
      <c r="X501" s="194">
        <f>IFERROR(INDEX('Ashed teabags dry'!$K$2:$K$2000,MATCH(I501,'Ashed teabags dry'!$A$2:$A$2000,0)),"")</f>
        <v>10.038797284189567</v>
      </c>
      <c r="Y501" s="194">
        <f t="shared" si="80"/>
        <v>0.36283473945409361</v>
      </c>
      <c r="Z501" s="194">
        <f t="shared" si="80"/>
        <v>1.321170223084392</v>
      </c>
      <c r="AA501" s="194">
        <f t="shared" si="86"/>
        <v>0.78208369802236666</v>
      </c>
      <c r="AB501" s="194">
        <f t="shared" si="87"/>
        <v>0.51271995404791737</v>
      </c>
      <c r="AC501" s="194">
        <f t="shared" si="81"/>
        <v>0.67661833559917639</v>
      </c>
      <c r="AD501">
        <f t="shared" si="88"/>
        <v>62</v>
      </c>
      <c r="AE501" s="194">
        <f t="shared" si="89"/>
        <v>7.1159503536381563E-2</v>
      </c>
      <c r="AF501" s="194">
        <f t="shared" si="90"/>
        <v>1.6067653066901697E-2</v>
      </c>
      <c r="AG501" s="252" t="str">
        <f>IF(ISNUMBER(SEARCH("C", 'Dry_Litterbag Placem_Collection'!$V208)),"YES","NO")</f>
        <v>NO</v>
      </c>
      <c r="AH501" s="252" t="str">
        <f>IF(ISNUMBER(SEARCH("H", 'Dry_Litterbag Placem_Collection'!$V208)),"YES","NO")</f>
        <v>NO</v>
      </c>
      <c r="AI501" s="252" t="str">
        <f>IF(ISNUMBER(SEARCH("R", 'Dry_Litterbag Placem_Collection'!$V208)),"YES","NO")</f>
        <v>YES</v>
      </c>
      <c r="AJ501" s="252" t="str">
        <f>IF(ISNUMBER(SEARCH("C", 'Dry_Litterbag Placem_Collection'!$U208)),"YES","NO")</f>
        <v>NO</v>
      </c>
      <c r="AK501" s="252" t="str">
        <f>IF(ISNUMBER(SEARCH("H", 'Dry_Litterbag Placem_Collection'!$U208)),"YES","NO")</f>
        <v>NO</v>
      </c>
      <c r="AL501" s="252" t="str">
        <f>IF(ISNUMBER(SEARCH("R", 'Dry_Litterbag Placem_Collection'!$U208)),"YES","NO")</f>
        <v>YES</v>
      </c>
    </row>
    <row r="502" spans="2:38">
      <c r="B502" t="str">
        <f>'Final data_for_R_analysis_Dryse'!A648</f>
        <v>Dry</v>
      </c>
      <c r="C502" s="260">
        <f>'Final data_for_R_analysis_Dryse'!B648</f>
        <v>207</v>
      </c>
      <c r="D502" t="s">
        <v>2443</v>
      </c>
      <c r="E502" t="s">
        <v>25</v>
      </c>
      <c r="F502" s="382">
        <v>3</v>
      </c>
      <c r="G502" s="383">
        <f>IF('Dry_Litterbag Placem_Collection'!E209="","",'Dry_Litterbag Placem_Collection'!E209)</f>
        <v>42942</v>
      </c>
      <c r="H502" s="92" t="str">
        <f>'Final data_for_R_analysis_Dryse'!K648</f>
        <v>G230</v>
      </c>
      <c r="I502" t="str">
        <f>'Final data_for_R_analysis_Dryse'!K868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82"/>
        <v>1.7532000000000001</v>
      </c>
      <c r="M502" s="237">
        <f>AVERAGE(Ashed_controlls!$K$1:$K$11)</f>
        <v>5.5147656768714146</v>
      </c>
      <c r="N502" s="194">
        <f t="shared" si="78"/>
        <v>1.6565151281530905</v>
      </c>
      <c r="O502" s="194">
        <f t="shared" si="83"/>
        <v>1.8732000000000002</v>
      </c>
      <c r="P502" s="237">
        <f>AVERAGE(Ashed_controlls!$K$12:$K$14)</f>
        <v>2.2816647271287041</v>
      </c>
      <c r="Q502" s="194">
        <f t="shared" si="79"/>
        <v>1.8304598563314254</v>
      </c>
      <c r="R502" s="383">
        <f>IF('Dry_Litterbag Placem_Collection'!G209="","",'Dry_Litterbag Placem_Collection'!G209)</f>
        <v>43004</v>
      </c>
      <c r="S502" s="194">
        <f>IFERROR(INDEX('Both teabags AfterDry'!$D$3:$D$2000,MATCH(H502,'Both teabags AfterDry'!$A$3:$A$2000,0)),"")</f>
        <v>0.73299999999999998</v>
      </c>
      <c r="T502" s="194">
        <f>IFERROR(INDEX('Both teabags AfterDry'!$D$3:$D$2000,MATCH(I502,'Both teabags AfterDry'!$A$3:$A$2000,0)),"")</f>
        <v>1.615</v>
      </c>
      <c r="U502" s="194">
        <f t="shared" si="84"/>
        <v>0.58240000000000003</v>
      </c>
      <c r="V502" s="194">
        <f t="shared" si="85"/>
        <v>1.4643999999999999</v>
      </c>
      <c r="W502" s="194">
        <f>IFERROR(INDEX('Ashed teabags dry'!$K$2:$K$2000,MATCH(H502,'Ashed teabags dry'!$A$2:$A$2000,0)),"")</f>
        <v>20.488997555012073</v>
      </c>
      <c r="X502" s="194">
        <f>IFERROR(INDEX('Ashed teabags dry'!$K$2:$K$2000,MATCH(I502,'Ashed teabags dry'!$A$2:$A$2000,0)),"")</f>
        <v>3.5497431106958826</v>
      </c>
      <c r="Y502" s="194">
        <f t="shared" si="80"/>
        <v>0.46307207823960972</v>
      </c>
      <c r="Z502" s="194">
        <f t="shared" si="80"/>
        <v>1.4124175618869694</v>
      </c>
      <c r="AA502" s="194">
        <f t="shared" si="86"/>
        <v>0.7204540602319125</v>
      </c>
      <c r="AB502" s="194">
        <f t="shared" si="87"/>
        <v>0.47231667606652705</v>
      </c>
      <c r="AC502" s="194">
        <f t="shared" si="81"/>
        <v>0.77161897705733418</v>
      </c>
      <c r="AD502">
        <f t="shared" si="88"/>
        <v>62</v>
      </c>
      <c r="AE502" s="194">
        <f t="shared" si="89"/>
        <v>0.14435384770556703</v>
      </c>
      <c r="AF502" s="194">
        <f t="shared" si="90"/>
        <v>1.0657180817389766E-2</v>
      </c>
      <c r="AG502" s="252" t="str">
        <f>IF(ISNUMBER(SEARCH("C", 'Dry_Litterbag Placem_Collection'!$V209)),"YES","NO")</f>
        <v>NO</v>
      </c>
      <c r="AH502" s="252" t="str">
        <f>IF(ISNUMBER(SEARCH("H", 'Dry_Litterbag Placem_Collection'!$V209)),"YES","NO")</f>
        <v>NO</v>
      </c>
      <c r="AI502" s="252" t="str">
        <f>IF(ISNUMBER(SEARCH("R", 'Dry_Litterbag Placem_Collection'!$V209)),"YES","NO")</f>
        <v>YES</v>
      </c>
      <c r="AJ502" s="252" t="str">
        <f>IF(ISNUMBER(SEARCH("C", 'Dry_Litterbag Placem_Collection'!$U209)),"YES","NO")</f>
        <v>NO</v>
      </c>
      <c r="AK502" s="252" t="str">
        <f>IF(ISNUMBER(SEARCH("H", 'Dry_Litterbag Placem_Collection'!$U209)),"YES","NO")</f>
        <v>NO</v>
      </c>
      <c r="AL502" s="252" t="str">
        <f>IF(ISNUMBER(SEARCH("R", 'Dry_Litterbag Placem_Collection'!$U209)),"YES","NO")</f>
        <v>NO</v>
      </c>
    </row>
    <row r="503" spans="2:38">
      <c r="B503" t="str">
        <f>'Final data_for_R_analysis_Dryse'!A649</f>
        <v>Dry</v>
      </c>
      <c r="C503" s="260">
        <f>'Final data_for_R_analysis_Dryse'!B649</f>
        <v>208</v>
      </c>
      <c r="D503" t="s">
        <v>2436</v>
      </c>
      <c r="E503" t="s">
        <v>25</v>
      </c>
      <c r="F503" s="382">
        <v>4</v>
      </c>
      <c r="G503" s="383">
        <f>IF('Dry_Litterbag Placem_Collection'!E210="","",'Dry_Litterbag Placem_Collection'!E210)</f>
        <v>42942</v>
      </c>
      <c r="H503" s="92" t="str">
        <f>'Final data_for_R_analysis_Dryse'!K649</f>
        <v>G140</v>
      </c>
      <c r="I503" t="str">
        <f>'Final data_for_R_analysis_Dryse'!K869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82"/>
        <v>1.8092000000000001</v>
      </c>
      <c r="M503" s="237">
        <f>AVERAGE(Ashed_controlls!$K$1:$K$11)</f>
        <v>5.5147656768714146</v>
      </c>
      <c r="N503" s="194">
        <f t="shared" si="78"/>
        <v>1.7094268593740425</v>
      </c>
      <c r="O503" s="194">
        <f t="shared" si="83"/>
        <v>1.9091999999999998</v>
      </c>
      <c r="P503" s="237">
        <f>AVERAGE(Ashed_controlls!$K$12:$K$14)</f>
        <v>2.2816647271287041</v>
      </c>
      <c r="Q503" s="194">
        <f t="shared" si="79"/>
        <v>1.8656384570296585</v>
      </c>
      <c r="R503" s="383">
        <f>IF('Dry_Litterbag Placem_Collection'!G210="","",'Dry_Litterbag Placem_Collection'!G210)</f>
        <v>43004</v>
      </c>
      <c r="S503" s="194">
        <f>IFERROR(INDEX('Both teabags AfterDry'!$D$3:$D$2000,MATCH(H503,'Both teabags AfterDry'!$A$3:$A$2000,0)),"")</f>
        <v>0.74199999999999999</v>
      </c>
      <c r="T503" s="194">
        <f>IFERROR(INDEX('Both teabags AfterDry'!$D$3:$D$2000,MATCH(I503,'Both teabags AfterDry'!$A$3:$A$2000,0)),"")</f>
        <v>1.6539999999999999</v>
      </c>
      <c r="U503" s="194">
        <f t="shared" si="84"/>
        <v>0.59139999999999993</v>
      </c>
      <c r="V503" s="194">
        <f t="shared" si="85"/>
        <v>1.5033999999999998</v>
      </c>
      <c r="W503" s="194">
        <f>IFERROR(INDEX('Ashed teabags dry'!$K$2:$K$2000,MATCH(H503,'Ashed teabags dry'!$A$2:$A$2000,0)),"")</f>
        <v>20.585365853658182</v>
      </c>
      <c r="X503" s="194">
        <f>IFERROR(INDEX('Ashed teabags dry'!$K$2:$K$2000,MATCH(I503,'Ashed teabags dry'!$A$2:$A$2000,0)),"")</f>
        <v>7.8721374045796031</v>
      </c>
      <c r="Y503" s="194">
        <f t="shared" si="80"/>
        <v>0.46965814634146547</v>
      </c>
      <c r="Z503" s="194">
        <f t="shared" si="80"/>
        <v>1.3850502862595502</v>
      </c>
      <c r="AA503" s="194">
        <f t="shared" si="86"/>
        <v>0.72525402665461525</v>
      </c>
      <c r="AB503" s="194">
        <f t="shared" si="87"/>
        <v>0.47546344740302571</v>
      </c>
      <c r="AC503" s="194">
        <f t="shared" si="81"/>
        <v>0.74240015853057195</v>
      </c>
      <c r="AD503">
        <f t="shared" si="88"/>
        <v>62</v>
      </c>
      <c r="AE503" s="194">
        <f t="shared" si="89"/>
        <v>0.13865317499451868</v>
      </c>
      <c r="AF503" s="194">
        <f t="shared" si="90"/>
        <v>1.2587432273969643E-2</v>
      </c>
      <c r="AG503" s="252" t="str">
        <f>IF(ISNUMBER(SEARCH("C", 'Dry_Litterbag Placem_Collection'!$V210)),"YES","NO")</f>
        <v>NO</v>
      </c>
      <c r="AH503" s="252" t="str">
        <f>IF(ISNUMBER(SEARCH("H", 'Dry_Litterbag Placem_Collection'!$V210)),"YES","NO")</f>
        <v>NO</v>
      </c>
      <c r="AI503" s="252" t="str">
        <f>IF(ISNUMBER(SEARCH("R", 'Dry_Litterbag Placem_Collection'!$V210)),"YES","NO")</f>
        <v>YES</v>
      </c>
      <c r="AJ503" s="252" t="str">
        <f>IF(ISNUMBER(SEARCH("C", 'Dry_Litterbag Placem_Collection'!$U210)),"YES","NO")</f>
        <v>NO</v>
      </c>
      <c r="AK503" s="252" t="str">
        <f>IF(ISNUMBER(SEARCH("H", 'Dry_Litterbag Placem_Collection'!$U210)),"YES","NO")</f>
        <v>NO</v>
      </c>
      <c r="AL503" s="252" t="str">
        <f>IF(ISNUMBER(SEARCH("R", 'Dry_Litterbag Placem_Collection'!$U210)),"YES","NO")</f>
        <v>YES</v>
      </c>
    </row>
    <row r="504" spans="2:38">
      <c r="B504" t="str">
        <f>'Final data_for_R_analysis_Dryse'!A650</f>
        <v>Dry</v>
      </c>
      <c r="C504" s="260">
        <f>'Final data_for_R_analysis_Dryse'!B650</f>
        <v>209</v>
      </c>
      <c r="D504" t="s">
        <v>2430</v>
      </c>
      <c r="E504" t="s">
        <v>25</v>
      </c>
      <c r="F504" s="382">
        <v>1</v>
      </c>
      <c r="G504" s="383">
        <f>IF('Dry_Litterbag Placem_Collection'!E211="","",'Dry_Litterbag Placem_Collection'!E211)</f>
        <v>42942</v>
      </c>
      <c r="H504" s="92" t="str">
        <f>'Final data_for_R_analysis_Dryse'!K650</f>
        <v>G92</v>
      </c>
      <c r="I504" t="str">
        <f>'Final data_for_R_analysis_Dryse'!K870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82"/>
        <v>1.9432</v>
      </c>
      <c r="M504" s="237">
        <f>AVERAGE(Ashed_controlls!$K$1:$K$11)</f>
        <v>5.5147656768714146</v>
      </c>
      <c r="N504" s="194">
        <f t="shared" si="78"/>
        <v>1.8360370733670348</v>
      </c>
      <c r="O504" s="194">
        <f t="shared" si="83"/>
        <v>1.9142000000000001</v>
      </c>
      <c r="P504" s="237">
        <f>AVERAGE(Ashed_controlls!$K$12:$K$14)</f>
        <v>2.2816647271287041</v>
      </c>
      <c r="Q504" s="194">
        <f t="shared" si="79"/>
        <v>1.8705243737933024</v>
      </c>
      <c r="R504" s="383">
        <f>IF('Dry_Litterbag Placem_Collection'!G211="","",'Dry_Litterbag Placem_Collection'!G211)</f>
        <v>43004</v>
      </c>
      <c r="S504" s="194">
        <f>IFERROR(INDEX('Both teabags AfterDry'!$D$3:$D$2000,MATCH(H504,'Both teabags AfterDry'!$A$3:$A$2000,0)),"")</f>
        <v>0.73619999999999997</v>
      </c>
      <c r="T504" s="194">
        <f>IFERROR(INDEX('Both teabags AfterDry'!$D$3:$D$2000,MATCH(I504,'Both teabags AfterDry'!$A$3:$A$2000,0)),"")</f>
        <v>1.6881999999999999</v>
      </c>
      <c r="U504" s="194">
        <f t="shared" si="84"/>
        <v>0.5855999999999999</v>
      </c>
      <c r="V504" s="194">
        <f t="shared" si="85"/>
        <v>1.5375999999999999</v>
      </c>
      <c r="W504" s="194">
        <f>IFERROR(INDEX('Ashed teabags dry'!$K$2:$K$2000,MATCH(H504,'Ashed teabags dry'!$A$2:$A$2000,0)),"")</f>
        <v>17.387081107333806</v>
      </c>
      <c r="X504" s="194">
        <f>IFERROR(INDEX('Ashed teabags dry'!$K$2:$K$2000,MATCH(I504,'Ashed teabags dry'!$A$2:$A$2000,0)),"")</f>
        <v>3.8888888888889466</v>
      </c>
      <c r="Y504" s="194">
        <f t="shared" si="80"/>
        <v>0.48378125303545316</v>
      </c>
      <c r="Z504" s="194">
        <f t="shared" si="80"/>
        <v>1.4778044444444434</v>
      </c>
      <c r="AA504" s="194">
        <f t="shared" si="86"/>
        <v>0.7365079060477433</v>
      </c>
      <c r="AB504" s="194">
        <f t="shared" si="87"/>
        <v>0.48284128757524269</v>
      </c>
      <c r="AC504" s="194">
        <f t="shared" si="81"/>
        <v>0.79004821597034391</v>
      </c>
      <c r="AD504">
        <f t="shared" si="88"/>
        <v>62</v>
      </c>
      <c r="AE504" s="194">
        <f t="shared" si="89"/>
        <v>0.12528752250861841</v>
      </c>
      <c r="AF504" s="194">
        <f t="shared" si="90"/>
        <v>9.2035651316975699E-3</v>
      </c>
      <c r="AG504" s="252" t="str">
        <f>IF(ISNUMBER(SEARCH("C", 'Dry_Litterbag Placem_Collection'!$V211)),"YES","NO")</f>
        <v>NO</v>
      </c>
      <c r="AH504" s="252" t="str">
        <f>IF(ISNUMBER(SEARCH("H", 'Dry_Litterbag Placem_Collection'!$V211)),"YES","NO")</f>
        <v>NO</v>
      </c>
      <c r="AI504" s="252" t="str">
        <f>IF(ISNUMBER(SEARCH("R", 'Dry_Litterbag Placem_Collection'!$V211)),"YES","NO")</f>
        <v>YES</v>
      </c>
      <c r="AJ504" s="252" t="str">
        <f>IF(ISNUMBER(SEARCH("C", 'Dry_Litterbag Placem_Collection'!$U211)),"YES","NO")</f>
        <v>NO</v>
      </c>
      <c r="AK504" s="252" t="str">
        <f>IF(ISNUMBER(SEARCH("H", 'Dry_Litterbag Placem_Collection'!$U211)),"YES","NO")</f>
        <v>NO</v>
      </c>
      <c r="AL504" s="252" t="str">
        <f>IF(ISNUMBER(SEARCH("R", 'Dry_Litterbag Placem_Collection'!$U211)),"YES","NO")</f>
        <v>YES</v>
      </c>
    </row>
    <row r="505" spans="2:38">
      <c r="B505" t="str">
        <f>'Final data_for_R_analysis_Dryse'!A651</f>
        <v>Dry</v>
      </c>
      <c r="C505" s="260">
        <f>'Final data_for_R_analysis_Dryse'!B651</f>
        <v>210</v>
      </c>
      <c r="D505" t="s">
        <v>2444</v>
      </c>
      <c r="E505" t="s">
        <v>25</v>
      </c>
      <c r="F505" s="382">
        <v>2</v>
      </c>
      <c r="G505" s="383">
        <f>IF('Dry_Litterbag Placem_Collection'!E212="","",'Dry_Litterbag Placem_Collection'!E212)</f>
        <v>42942</v>
      </c>
      <c r="H505" s="92" t="str">
        <f>'Final data_for_R_analysis_Dryse'!K651</f>
        <v>G36</v>
      </c>
      <c r="I505" t="str">
        <f>'Final data_for_R_analysis_Dryse'!K871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82"/>
        <v>1.8931999999999998</v>
      </c>
      <c r="M505" s="237">
        <f>AVERAGE(Ashed_controlls!$K$1:$K$11)</f>
        <v>5.5147656768714146</v>
      </c>
      <c r="N505" s="194">
        <f t="shared" si="78"/>
        <v>1.7887944562054701</v>
      </c>
      <c r="O505" s="194">
        <f t="shared" si="83"/>
        <v>1.9262000000000001</v>
      </c>
      <c r="P505" s="237">
        <f>AVERAGE(Ashed_controlls!$K$12:$K$14)</f>
        <v>2.2816647271287041</v>
      </c>
      <c r="Q505" s="194">
        <f t="shared" si="79"/>
        <v>1.8822505740260471</v>
      </c>
      <c r="R505" s="383">
        <f>IF('Dry_Litterbag Placem_Collection'!G212="","",'Dry_Litterbag Placem_Collection'!G212)</f>
        <v>43004</v>
      </c>
      <c r="S505" s="194">
        <f>IFERROR(INDEX('Both teabags AfterDry'!$D$3:$D$2000,MATCH(H505,'Both teabags AfterDry'!$A$3:$A$2000,0)),"")</f>
        <v>0.84599999999999997</v>
      </c>
      <c r="T505" s="194">
        <f>IFERROR(INDEX('Both teabags AfterDry'!$D$3:$D$2000,MATCH(I505,'Both teabags AfterDry'!$A$3:$A$2000,0)),"")</f>
        <v>1.742</v>
      </c>
      <c r="U505" s="194">
        <f t="shared" si="84"/>
        <v>0.69540000000000002</v>
      </c>
      <c r="V505" s="194">
        <f t="shared" si="85"/>
        <v>1.5913999999999999</v>
      </c>
      <c r="W505" s="194">
        <f>IFERROR(INDEX('Ashed teabags dry'!$K$2:$K$2000,MATCH(H505,'Ashed teabags dry'!$A$2:$A$2000,0)),"")</f>
        <v>19.173412867490324</v>
      </c>
      <c r="X505" s="194">
        <f>IFERROR(INDEX('Ashed teabags dry'!$K$2:$K$2000,MATCH(I505,'Ashed teabags dry'!$A$2:$A$2000,0)),"")</f>
        <v>3.5837651122624985</v>
      </c>
      <c r="Y505" s="194">
        <f t="shared" si="80"/>
        <v>0.5620680869194723</v>
      </c>
      <c r="Z505" s="194">
        <f t="shared" si="80"/>
        <v>1.5343679620034545</v>
      </c>
      <c r="AA505" s="194">
        <f t="shared" si="86"/>
        <v>0.68578386132089486</v>
      </c>
      <c r="AB505" s="194">
        <f t="shared" si="87"/>
        <v>0.44958751953578857</v>
      </c>
      <c r="AC505" s="194">
        <f t="shared" si="81"/>
        <v>0.81517731123413195</v>
      </c>
      <c r="AD505">
        <f t="shared" si="88"/>
        <v>62</v>
      </c>
      <c r="AE505" s="194">
        <f t="shared" si="89"/>
        <v>0.18552985591342652</v>
      </c>
      <c r="AF505" s="194">
        <f t="shared" si="90"/>
        <v>8.5401377133115103E-3</v>
      </c>
      <c r="AG505" s="252" t="str">
        <f>IF(ISNUMBER(SEARCH("C", 'Dry_Litterbag Placem_Collection'!$V212)),"YES","NO")</f>
        <v>NO</v>
      </c>
      <c r="AH505" s="252" t="str">
        <f>IF(ISNUMBER(SEARCH("H", 'Dry_Litterbag Placem_Collection'!$V212)),"YES","NO")</f>
        <v>NO</v>
      </c>
      <c r="AI505" s="252" t="str">
        <f>IF(ISNUMBER(SEARCH("R", 'Dry_Litterbag Placem_Collection'!$V212)),"YES","NO")</f>
        <v>NO</v>
      </c>
      <c r="AJ505" s="252" t="str">
        <f>IF(ISNUMBER(SEARCH("C", 'Dry_Litterbag Placem_Collection'!$U212)),"YES","NO")</f>
        <v>NO</v>
      </c>
      <c r="AK505" s="252" t="str">
        <f>IF(ISNUMBER(SEARCH("H", 'Dry_Litterbag Placem_Collection'!$U212)),"YES","NO")</f>
        <v>NO</v>
      </c>
      <c r="AL505" s="252" t="str">
        <f>IF(ISNUMBER(SEARCH("R", 'Dry_Litterbag Placem_Collection'!$U212)),"YES","NO")</f>
        <v>NO</v>
      </c>
    </row>
    <row r="506" spans="2:38">
      <c r="B506" t="str">
        <f>'Final data_for_R_analysis_Dryse'!A652</f>
        <v>Dry</v>
      </c>
      <c r="C506" s="260">
        <f>'Final data_for_R_analysis_Dryse'!B652</f>
        <v>211</v>
      </c>
      <c r="D506" t="s">
        <v>2421</v>
      </c>
      <c r="E506" t="s">
        <v>25</v>
      </c>
      <c r="F506" s="382">
        <v>3</v>
      </c>
      <c r="G506" s="383">
        <f>IF('Dry_Litterbag Placem_Collection'!E213="","",'Dry_Litterbag Placem_Collection'!E213)</f>
        <v>42942</v>
      </c>
      <c r="H506" s="92" t="str">
        <f>'Final data_for_R_analysis_Dryse'!K652</f>
        <v>G434</v>
      </c>
      <c r="I506" t="str">
        <f>'Final data_for_R_analysis_Dryse'!K872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82"/>
        <v>1.7841999999999998</v>
      </c>
      <c r="M506" s="237">
        <f>AVERAGE(Ashed_controlls!$K$1:$K$11)</f>
        <v>5.5147656768714146</v>
      </c>
      <c r="N506" s="194">
        <f t="shared" si="78"/>
        <v>1.6858055507932601</v>
      </c>
      <c r="O506" s="194">
        <f t="shared" si="83"/>
        <v>1.8561999999999999</v>
      </c>
      <c r="P506" s="237">
        <f>AVERAGE(Ashed_controlls!$K$12:$K$14)</f>
        <v>2.2816647271287041</v>
      </c>
      <c r="Q506" s="194">
        <f t="shared" si="79"/>
        <v>1.8138477393350367</v>
      </c>
      <c r="R506" s="383">
        <f>IF('Dry_Litterbag Placem_Collection'!G213="","",'Dry_Litterbag Placem_Collection'!G213)</f>
        <v>43004</v>
      </c>
      <c r="S506" s="194">
        <f>IFERROR(INDEX('Both teabags AfterDry'!$D$3:$D$2000,MATCH(H506,'Both teabags AfterDry'!$A$3:$A$2000,0)),"")</f>
        <v>0.74099999999999999</v>
      </c>
      <c r="T506" s="194">
        <f>IFERROR(INDEX('Both teabags AfterDry'!$D$3:$D$2000,MATCH(I506,'Both teabags AfterDry'!$A$3:$A$2000,0)),"")</f>
        <v>1.4770000000000001</v>
      </c>
      <c r="U506" s="194">
        <f t="shared" si="84"/>
        <v>0.59040000000000004</v>
      </c>
      <c r="V506" s="194">
        <f t="shared" si="85"/>
        <v>1.3264</v>
      </c>
      <c r="W506" s="194">
        <f>IFERROR(INDEX('Ashed teabags dry'!$K$2:$K$2000,MATCH(H506,'Ashed teabags dry'!$A$2:$A$2000,0)),"")</f>
        <v>15.012106537530052</v>
      </c>
      <c r="X506" s="194">
        <f>IFERROR(INDEX('Ashed teabags dry'!$K$2:$K$2000,MATCH(I506,'Ashed teabags dry'!$A$2:$A$2000,0)),"")</f>
        <v>4.1974169741701504</v>
      </c>
      <c r="Y506" s="194">
        <f t="shared" si="80"/>
        <v>0.50176852300242258</v>
      </c>
      <c r="Z506" s="194">
        <f t="shared" si="80"/>
        <v>1.2707254612546071</v>
      </c>
      <c r="AA506" s="194">
        <f t="shared" si="86"/>
        <v>0.70235682118479548</v>
      </c>
      <c r="AB506" s="194">
        <f t="shared" si="87"/>
        <v>0.46045245284323888</v>
      </c>
      <c r="AC506" s="194">
        <f t="shared" si="81"/>
        <v>0.70056898034917736</v>
      </c>
      <c r="AD506">
        <f t="shared" si="88"/>
        <v>62</v>
      </c>
      <c r="AE506" s="194">
        <f t="shared" si="89"/>
        <v>0.1658470057187702</v>
      </c>
      <c r="AF506" s="194">
        <f t="shared" si="90"/>
        <v>1.6946324478500835E-2</v>
      </c>
      <c r="AG506" s="252" t="str">
        <f>IF(ISNUMBER(SEARCH("C", 'Dry_Litterbag Placem_Collection'!$V213)),"YES","NO")</f>
        <v>NO</v>
      </c>
      <c r="AH506" s="252" t="str">
        <f>IF(ISNUMBER(SEARCH("H", 'Dry_Litterbag Placem_Collection'!$V213)),"YES","NO")</f>
        <v>NO</v>
      </c>
      <c r="AI506" s="252" t="str">
        <f>IF(ISNUMBER(SEARCH("R", 'Dry_Litterbag Placem_Collection'!$V213)),"YES","NO")</f>
        <v>NO</v>
      </c>
      <c r="AJ506" s="252" t="str">
        <f>IF(ISNUMBER(SEARCH("C", 'Dry_Litterbag Placem_Collection'!$U213)),"YES","NO")</f>
        <v>NO</v>
      </c>
      <c r="AK506" s="252" t="str">
        <f>IF(ISNUMBER(SEARCH("H", 'Dry_Litterbag Placem_Collection'!$U213)),"YES","NO")</f>
        <v>NO</v>
      </c>
      <c r="AL506" s="252" t="str">
        <f>IF(ISNUMBER(SEARCH("R", 'Dry_Litterbag Placem_Collection'!$U213)),"YES","NO")</f>
        <v>YES</v>
      </c>
    </row>
    <row r="507" spans="2:38">
      <c r="B507" t="str">
        <f>'Final data_for_R_analysis_Dryse'!A653</f>
        <v>Dry</v>
      </c>
      <c r="C507" s="260">
        <f>'Final data_for_R_analysis_Dryse'!B653</f>
        <v>215</v>
      </c>
      <c r="D507" t="s">
        <v>2422</v>
      </c>
      <c r="E507" t="s">
        <v>25</v>
      </c>
      <c r="F507" s="382">
        <v>3</v>
      </c>
      <c r="G507" s="383">
        <f>IF('Dry_Litterbag Placem_Collection'!E214="","",'Dry_Litterbag Placem_Collection'!E214)</f>
        <v>42942</v>
      </c>
      <c r="H507" s="92" t="str">
        <f>'Final data_for_R_analysis_Dryse'!K653</f>
        <v>G56</v>
      </c>
      <c r="I507" t="str">
        <f>'Final data_for_R_analysis_Dryse'!K873</f>
        <v>R256</v>
      </c>
      <c r="J507">
        <f>IFERROR(INDEX('Green_rooibos initial weight'!$C$5:$C$2000,MATCH(H507, 'Green_rooibos initial weight'!$A$5:$A$2000,0)),"")</f>
        <v>2.02</v>
      </c>
      <c r="K507">
        <f>IFERROR(INDEX('Green_rooibos initial weight'!$C$5:$C$2000,MATCH(I507, 'Green_rooibos initial weight'!$A$5:$A$2000,0)),"")</f>
        <v>2.2000000000000002</v>
      </c>
      <c r="L507" s="194">
        <f t="shared" si="82"/>
        <v>1.7702</v>
      </c>
      <c r="M507" s="237">
        <f>AVERAGE(Ashed_controlls!$K$1:$K$11)</f>
        <v>5.5147656768714146</v>
      </c>
      <c r="N507" s="194">
        <f t="shared" si="78"/>
        <v>1.6725776179880223</v>
      </c>
      <c r="O507" s="194">
        <f t="shared" si="83"/>
        <v>1.9502000000000002</v>
      </c>
      <c r="P507" s="237">
        <f>AVERAGE(Ashed_controlls!$K$12:$K$14)</f>
        <v>2.2816647271287041</v>
      </c>
      <c r="Q507" s="194">
        <f t="shared" si="79"/>
        <v>1.9057029744915361</v>
      </c>
      <c r="R507" s="383">
        <f>IF('Dry_Litterbag Placem_Collection'!G214="","",'Dry_Litterbag Placem_Collection'!G214)</f>
        <v>43004</v>
      </c>
      <c r="S507" s="194">
        <f>IFERROR(INDEX('Both teabags AfterDry'!$D$3:$D$2000,MATCH(H507,'Both teabags AfterDry'!$A$3:$A$2000,0)),"")</f>
        <v>0.7238</v>
      </c>
      <c r="T507" s="194">
        <f>IFERROR(INDEX('Both teabags AfterDry'!$D$3:$D$2000,MATCH(I507,'Both teabags AfterDry'!$A$3:$A$2000,0)),"")</f>
        <v>1.5882000000000001</v>
      </c>
      <c r="U507" s="194">
        <f t="shared" si="84"/>
        <v>0.57319999999999993</v>
      </c>
      <c r="V507" s="194">
        <f t="shared" si="85"/>
        <v>1.4376</v>
      </c>
      <c r="W507" s="194">
        <f>IFERROR(INDEX('Ashed teabags dry'!$K$2:$K$2000,MATCH(H507,'Ashed teabags dry'!$A$2:$A$2000,0)),"")</f>
        <v>20.311027332705713</v>
      </c>
      <c r="X507" s="194">
        <f>IFERROR(INDEX('Ashed teabags dry'!$K$2:$K$2000,MATCH(I507,'Ashed teabags dry'!$A$2:$A$2000,0)),"")</f>
        <v>7.9981069569333094</v>
      </c>
      <c r="Y507" s="194">
        <f t="shared" si="80"/>
        <v>0.4567771913289308</v>
      </c>
      <c r="Z507" s="194">
        <f t="shared" si="80"/>
        <v>1.3226192143871267</v>
      </c>
      <c r="AA507" s="194">
        <f t="shared" si="86"/>
        <v>0.72690224572154838</v>
      </c>
      <c r="AB507" s="194">
        <f t="shared" si="87"/>
        <v>0.47654399006923365</v>
      </c>
      <c r="AC507" s="194">
        <f t="shared" si="81"/>
        <v>0.69403219289197837</v>
      </c>
      <c r="AD507">
        <f t="shared" si="88"/>
        <v>62</v>
      </c>
      <c r="AE507" s="194">
        <f t="shared" si="89"/>
        <v>0.13669567016443185</v>
      </c>
      <c r="AF507" s="194">
        <f t="shared" si="90"/>
        <v>1.657061322831193E-2</v>
      </c>
      <c r="AG507" s="252" t="str">
        <f>IF(ISNUMBER(SEARCH("C", 'Dry_Litterbag Placem_Collection'!$V214)),"YES","NO")</f>
        <v>NO</v>
      </c>
      <c r="AH507" s="252" t="str">
        <f>IF(ISNUMBER(SEARCH("H", 'Dry_Litterbag Placem_Collection'!$V214)),"YES","NO")</f>
        <v>NO</v>
      </c>
      <c r="AI507" s="252" t="str">
        <f>IF(ISNUMBER(SEARCH("R", 'Dry_Litterbag Placem_Collection'!$V214)),"YES","NO")</f>
        <v>YES</v>
      </c>
      <c r="AJ507" s="252" t="str">
        <f>IF(ISNUMBER(SEARCH("C", 'Dry_Litterbag Placem_Collection'!$U214)),"YES","NO")</f>
        <v>NO</v>
      </c>
      <c r="AK507" s="252" t="str">
        <f>IF(ISNUMBER(SEARCH("H", 'Dry_Litterbag Placem_Collection'!$U214)),"YES","NO")</f>
        <v>NO</v>
      </c>
      <c r="AL507" s="252" t="str">
        <f>IF(ISNUMBER(SEARCH("R", 'Dry_Litterbag Placem_Collection'!$U214)),"YES","NO")</f>
        <v>YES</v>
      </c>
    </row>
    <row r="508" spans="2:38">
      <c r="B508" t="str">
        <f>'Final data_for_R_analysis_Dryse'!A654</f>
        <v>Dry</v>
      </c>
      <c r="C508" s="260">
        <f>'Final data_for_R_analysis_Dryse'!B654</f>
        <v>212</v>
      </c>
      <c r="D508" t="s">
        <v>2437</v>
      </c>
      <c r="E508" t="s">
        <v>25</v>
      </c>
      <c r="F508" s="382">
        <v>4</v>
      </c>
      <c r="G508" s="383">
        <f>IF('Dry_Litterbag Placem_Collection'!E215="","",'Dry_Litterbag Placem_Collection'!E215)</f>
        <v>42942</v>
      </c>
      <c r="H508" s="92" t="str">
        <f>'Final data_for_R_analysis_Dryse'!K654</f>
        <v>G363</v>
      </c>
      <c r="I508" t="str">
        <f>'Final data_for_R_analysis_Dryse'!K874</f>
        <v>R658</v>
      </c>
      <c r="J508">
        <f>IFERROR(INDEX('Green_rooibos initial weight'!$C$5:$C$2000,MATCH(H508, 'Green_rooibos initial weight'!$A$5:$A$2000,0)),"")</f>
        <v>2.02</v>
      </c>
      <c r="K508">
        <f>IFERROR(INDEX('Green_rooibos initial weight'!$C$5:$C$2000,MATCH(I508, 'Green_rooibos initial weight'!$A$5:$A$2000,0)),"")</f>
        <v>2.2080000000000002</v>
      </c>
      <c r="L508" s="194">
        <f t="shared" si="82"/>
        <v>1.7702</v>
      </c>
      <c r="M508" s="237">
        <f>AVERAGE(Ashed_controlls!$K$1:$K$11)</f>
        <v>5.5147656768714146</v>
      </c>
      <c r="N508" s="194">
        <f t="shared" si="78"/>
        <v>1.6725776179880223</v>
      </c>
      <c r="O508" s="194">
        <f t="shared" si="83"/>
        <v>1.9582000000000002</v>
      </c>
      <c r="P508" s="237">
        <f>AVERAGE(Ashed_controlls!$K$12:$K$14)</f>
        <v>2.2816647271287041</v>
      </c>
      <c r="Q508" s="194">
        <f t="shared" si="79"/>
        <v>1.913520441313366</v>
      </c>
      <c r="R508" s="383">
        <f>IF('Dry_Litterbag Placem_Collection'!G215="","",'Dry_Litterbag Placem_Collection'!G215)</f>
        <v>43004</v>
      </c>
      <c r="S508" s="194">
        <f>IFERROR(INDEX('Both teabags AfterDry'!$D$3:$D$2000,MATCH(H508,'Both teabags AfterDry'!$A$3:$A$2000,0)),"")</f>
        <v>0.753</v>
      </c>
      <c r="T508" s="194">
        <f>IFERROR(INDEX('Both teabags AfterDry'!$D$3:$D$2000,MATCH(I508,'Both teabags AfterDry'!$A$3:$A$2000,0)),"")</f>
        <v>1.655</v>
      </c>
      <c r="U508" s="194">
        <f t="shared" si="84"/>
        <v>0.60240000000000005</v>
      </c>
      <c r="V508" s="194">
        <f t="shared" si="85"/>
        <v>1.5044</v>
      </c>
      <c r="W508" s="194">
        <f>IFERROR(INDEX('Ashed teabags dry'!$K$2:$K$2000,MATCH(H508,'Ashed teabags dry'!$A$2:$A$2000,0)),"")</f>
        <v>15.347950428979985</v>
      </c>
      <c r="X508" s="194">
        <f>IFERROR(INDEX('Ashed teabags dry'!$K$2:$K$2000,MATCH(I508,'Ashed teabags dry'!$A$2:$A$2000,0)),"")</f>
        <v>3.7141513869305309</v>
      </c>
      <c r="Y508" s="194">
        <f t="shared" si="80"/>
        <v>0.50994394661582465</v>
      </c>
      <c r="Z508" s="194">
        <f t="shared" si="80"/>
        <v>1.4485243065350171</v>
      </c>
      <c r="AA508" s="194">
        <f t="shared" si="86"/>
        <v>0.69511492852018031</v>
      </c>
      <c r="AB508" s="194">
        <f t="shared" si="87"/>
        <v>0.45570479874482134</v>
      </c>
      <c r="AC508" s="194">
        <f t="shared" si="81"/>
        <v>0.75699442517625071</v>
      </c>
      <c r="AD508">
        <f t="shared" si="88"/>
        <v>62</v>
      </c>
      <c r="AE508" s="194">
        <f t="shared" si="89"/>
        <v>0.17444782836083095</v>
      </c>
      <c r="AF508" s="194">
        <f t="shared" si="90"/>
        <v>1.2289776696904441E-2</v>
      </c>
      <c r="AG508" s="252" t="str">
        <f>IF(ISNUMBER(SEARCH("C", 'Dry_Litterbag Placem_Collection'!$V215)),"YES","NO")</f>
        <v>NO</v>
      </c>
      <c r="AH508" s="252" t="str">
        <f>IF(ISNUMBER(SEARCH("H", 'Dry_Litterbag Placem_Collection'!$V215)),"YES","NO")</f>
        <v>NO</v>
      </c>
      <c r="AI508" s="252" t="str">
        <f>IF(ISNUMBER(SEARCH("R", 'Dry_Litterbag Placem_Collection'!$V215)),"YES","NO")</f>
        <v>YES</v>
      </c>
      <c r="AJ508" s="252" t="str">
        <f>IF(ISNUMBER(SEARCH("C", 'Dry_Litterbag Placem_Collection'!$U215)),"YES","NO")</f>
        <v>NO</v>
      </c>
      <c r="AK508" s="252" t="str">
        <f>IF(ISNUMBER(SEARCH("H", 'Dry_Litterbag Placem_Collection'!$U215)),"YES","NO")</f>
        <v>NO</v>
      </c>
      <c r="AL508" s="252" t="str">
        <f>IF(ISNUMBER(SEARCH("R", 'Dry_Litterbag Placem_Collection'!$U215)),"YES","NO")</f>
        <v>YES</v>
      </c>
    </row>
    <row r="509" spans="2:38">
      <c r="B509" t="str">
        <f>'Final data_for_R_analysis_Dryse'!A655</f>
        <v>Dry</v>
      </c>
      <c r="C509" s="260">
        <f>'Final data_for_R_analysis_Dryse'!B655</f>
        <v>213</v>
      </c>
      <c r="D509" t="s">
        <v>2445</v>
      </c>
      <c r="E509" t="s">
        <v>25</v>
      </c>
      <c r="F509" s="382">
        <v>1</v>
      </c>
      <c r="G509" s="383">
        <f>IF('Dry_Litterbag Placem_Collection'!E216="","",'Dry_Litterbag Placem_Collection'!E216)</f>
        <v>42942</v>
      </c>
      <c r="H509" s="92" t="str">
        <f>'Final data_for_R_analysis_Dryse'!K655</f>
        <v>G5</v>
      </c>
      <c r="I509" t="str">
        <f>'Final data_for_R_analysis_Dryse'!K875</f>
        <v>R699</v>
      </c>
      <c r="J509">
        <f>IFERROR(INDEX('Green_rooibos initial weight'!$C$5:$C$2000,MATCH(H509, 'Green_rooibos initial weight'!$A$5:$A$2000,0)),"")</f>
        <v>2.0139999999999998</v>
      </c>
      <c r="K509">
        <f>IFERROR(INDEX('Green_rooibos initial weight'!$C$5:$C$2000,MATCH(I509, 'Green_rooibos initial weight'!$A$5:$A$2000,0)),"")</f>
        <v>2.157</v>
      </c>
      <c r="L509" s="194">
        <f t="shared" si="82"/>
        <v>1.7641999999999998</v>
      </c>
      <c r="M509" s="237">
        <f>AVERAGE(Ashed_controlls!$K$1:$K$11)</f>
        <v>5.5147656768714146</v>
      </c>
      <c r="N509" s="194">
        <f t="shared" si="78"/>
        <v>1.6669085039286342</v>
      </c>
      <c r="O509" s="194">
        <f t="shared" si="83"/>
        <v>1.9072</v>
      </c>
      <c r="P509" s="237">
        <f>AVERAGE(Ashed_controlls!$K$12:$K$14)</f>
        <v>2.2816647271287041</v>
      </c>
      <c r="Q509" s="194">
        <f t="shared" si="79"/>
        <v>1.8636840903242013</v>
      </c>
      <c r="R509" s="383">
        <f>IF('Dry_Litterbag Placem_Collection'!G216="","",'Dry_Litterbag Placem_Collection'!G216)</f>
        <v>43004</v>
      </c>
      <c r="S509" s="194">
        <f>IFERROR(INDEX('Both teabags AfterDry'!$D$3:$D$2000,MATCH(H509,'Both teabags AfterDry'!$A$3:$A$2000,0)),"")</f>
        <v>0.67</v>
      </c>
      <c r="T509" s="194">
        <f>IFERROR(INDEX('Both teabags AfterDry'!$D$3:$D$2000,MATCH(I509,'Both teabags AfterDry'!$A$3:$A$2000,0)),"")</f>
        <v>1.748</v>
      </c>
      <c r="U509" s="194">
        <f t="shared" si="84"/>
        <v>0.51940000000000008</v>
      </c>
      <c r="V509" s="194">
        <f t="shared" si="85"/>
        <v>1.5973999999999999</v>
      </c>
      <c r="W509" s="194">
        <f>IFERROR(INDEX('Ashed teabags dry'!$K$2:$K$2000,MATCH(H509,'Ashed teabags dry'!$A$2:$A$2000,0)),"")</f>
        <v>14.037698412698299</v>
      </c>
      <c r="X509" s="194">
        <f>IFERROR(INDEX('Ashed teabags dry'!$K$2:$K$2000,MATCH(I509,'Ashed teabags dry'!$A$2:$A$2000,0)),"")</f>
        <v>5.3180914512921857</v>
      </c>
      <c r="Y509" s="194">
        <f t="shared" si="80"/>
        <v>0.4464881944444451</v>
      </c>
      <c r="Z509" s="194">
        <f t="shared" si="80"/>
        <v>1.5124488071570585</v>
      </c>
      <c r="AA509" s="194">
        <f t="shared" si="86"/>
        <v>0.73214594958742818</v>
      </c>
      <c r="AB509" s="194">
        <f t="shared" si="87"/>
        <v>0.47998166766301709</v>
      </c>
      <c r="AC509" s="194">
        <f t="shared" si="81"/>
        <v>0.81153711351045399</v>
      </c>
      <c r="AD509">
        <f t="shared" si="88"/>
        <v>62</v>
      </c>
      <c r="AE509" s="194">
        <f t="shared" si="89"/>
        <v>0.13046799336409953</v>
      </c>
      <c r="AF509" s="194">
        <f t="shared" si="90"/>
        <v>8.0426367367298218E-3</v>
      </c>
      <c r="AG509" s="252" t="str">
        <f>IF(ISNUMBER(SEARCH("C", 'Dry_Litterbag Placem_Collection'!$V216)),"YES","NO")</f>
        <v>NO</v>
      </c>
      <c r="AH509" s="252" t="str">
        <f>IF(ISNUMBER(SEARCH("H", 'Dry_Litterbag Placem_Collection'!$V216)),"YES","NO")</f>
        <v>NO</v>
      </c>
      <c r="AI509" s="252" t="str">
        <f>IF(ISNUMBER(SEARCH("R", 'Dry_Litterbag Placem_Collection'!$V216)),"YES","NO")</f>
        <v>NO</v>
      </c>
      <c r="AJ509" s="252" t="str">
        <f>IF(ISNUMBER(SEARCH("C", 'Dry_Litterbag Placem_Collection'!$U216)),"YES","NO")</f>
        <v>NO</v>
      </c>
      <c r="AK509" s="252" t="str">
        <f>IF(ISNUMBER(SEARCH("H", 'Dry_Litterbag Placem_Collection'!$U216)),"YES","NO")</f>
        <v>NO</v>
      </c>
      <c r="AL509" s="252" t="str">
        <f>IF(ISNUMBER(SEARCH("R", 'Dry_Litterbag Placem_Collection'!$U216)),"YES","NO")</f>
        <v>NO</v>
      </c>
    </row>
    <row r="510" spans="2:38">
      <c r="B510" t="str">
        <f>'Final data_for_R_analysis_Dryse'!A656</f>
        <v>Dry</v>
      </c>
      <c r="C510" s="260">
        <f>'Final data_for_R_analysis_Dryse'!B656</f>
        <v>214</v>
      </c>
      <c r="D510" t="s">
        <v>2438</v>
      </c>
      <c r="E510" t="s">
        <v>25</v>
      </c>
      <c r="F510" s="382">
        <v>2</v>
      </c>
      <c r="G510" s="383">
        <f>IF('Dry_Litterbag Placem_Collection'!E217="","",'Dry_Litterbag Placem_Collection'!E217)</f>
        <v>42942</v>
      </c>
      <c r="H510" s="92" t="str">
        <f>'Final data_for_R_analysis_Dryse'!K656</f>
        <v>G771</v>
      </c>
      <c r="I510" t="str">
        <f>'Final data_for_R_analysis_Dryse'!K876</f>
        <v>R663</v>
      </c>
      <c r="J510">
        <f>IFERROR(INDEX('Green_rooibos initial weight'!$C$5:$C$2000,MATCH(H510, 'Green_rooibos initial weight'!$A$5:$A$2000,0)),"")</f>
        <v>1.9910000000000001</v>
      </c>
      <c r="K510">
        <f>IFERROR(INDEX('Green_rooibos initial weight'!$C$5:$C$2000,MATCH(I510, 'Green_rooibos initial weight'!$A$5:$A$2000,0)),"")</f>
        <v>2.105</v>
      </c>
      <c r="L510" s="194">
        <f t="shared" si="82"/>
        <v>1.7412000000000001</v>
      </c>
      <c r="M510" s="237">
        <f>AVERAGE(Ashed_controlls!$K$1:$K$11)</f>
        <v>5.5147656768714146</v>
      </c>
      <c r="N510" s="194">
        <f t="shared" si="78"/>
        <v>1.645176900034315</v>
      </c>
      <c r="O510" s="194">
        <f t="shared" si="83"/>
        <v>1.8552</v>
      </c>
      <c r="P510" s="237">
        <f>AVERAGE(Ashed_controlls!$K$12:$K$14)</f>
        <v>2.2816647271287041</v>
      </c>
      <c r="Q510" s="194">
        <f t="shared" si="79"/>
        <v>1.8128705559823082</v>
      </c>
      <c r="R510" s="383">
        <f>IF('Dry_Litterbag Placem_Collection'!G217="","",'Dry_Litterbag Placem_Collection'!G217)</f>
        <v>43004</v>
      </c>
      <c r="S510" s="194">
        <f>IFERROR(INDEX('Both teabags AfterDry'!$D$3:$D$2000,MATCH(H510,'Both teabags AfterDry'!$A$3:$A$2000,0)),"")</f>
        <v>0.65300000000000002</v>
      </c>
      <c r="T510" s="194">
        <f>IFERROR(INDEX('Both teabags AfterDry'!$D$3:$D$2000,MATCH(I510,'Both teabags AfterDry'!$A$3:$A$2000,0)),"")</f>
        <v>1.6679999999999999</v>
      </c>
      <c r="U510" s="194">
        <f t="shared" si="84"/>
        <v>0.50239999999999996</v>
      </c>
      <c r="V510" s="194">
        <f t="shared" si="85"/>
        <v>1.5173999999999999</v>
      </c>
      <c r="W510" s="194">
        <f>IFERROR(INDEX('Ashed teabags dry'!$K$2:$K$2000,MATCH(H510,'Ashed teabags dry'!$A$2:$A$2000,0)),"")</f>
        <v>13.496637848223109</v>
      </c>
      <c r="X510" s="194">
        <f>IFERROR(INDEX('Ashed teabags dry'!$K$2:$K$2000,MATCH(I510,'Ashed teabags dry'!$A$2:$A$2000,0)),"")</f>
        <v>3.297724105899698</v>
      </c>
      <c r="Y510" s="194">
        <f t="shared" si="80"/>
        <v>0.43459289145052704</v>
      </c>
      <c r="Z510" s="194">
        <f t="shared" si="80"/>
        <v>1.4673603344170778</v>
      </c>
      <c r="AA510" s="194">
        <f t="shared" si="86"/>
        <v>0.73583819986685794</v>
      </c>
      <c r="AB510" s="194">
        <f t="shared" si="87"/>
        <v>0.48240224029276207</v>
      </c>
      <c r="AC510" s="194">
        <f t="shared" si="81"/>
        <v>0.80941263543330322</v>
      </c>
      <c r="AD510">
        <f t="shared" si="88"/>
        <v>62</v>
      </c>
      <c r="AE510" s="194">
        <f t="shared" si="89"/>
        <v>0.12608289802035866</v>
      </c>
      <c r="AF510" s="194">
        <f t="shared" si="90"/>
        <v>8.1073979916872659E-3</v>
      </c>
      <c r="AG510" s="252" t="str">
        <f>IF(ISNUMBER(SEARCH("C", 'Dry_Litterbag Placem_Collection'!$V217)),"YES","NO")</f>
        <v>NO</v>
      </c>
      <c r="AH510" s="252" t="str">
        <f>IF(ISNUMBER(SEARCH("H", 'Dry_Litterbag Placem_Collection'!$V217)),"YES","NO")</f>
        <v>NO</v>
      </c>
      <c r="AI510" s="252" t="str">
        <f>IF(ISNUMBER(SEARCH("R", 'Dry_Litterbag Placem_Collection'!$V217)),"YES","NO")</f>
        <v>NO</v>
      </c>
      <c r="AJ510" s="252" t="str">
        <f>IF(ISNUMBER(SEARCH("C", 'Dry_Litterbag Placem_Collection'!$U217)),"YES","NO")</f>
        <v>NO</v>
      </c>
      <c r="AK510" s="252" t="str">
        <f>IF(ISNUMBER(SEARCH("H", 'Dry_Litterbag Placem_Collection'!$U217)),"YES","NO")</f>
        <v>NO</v>
      </c>
      <c r="AL510" s="252" t="str">
        <f>IF(ISNUMBER(SEARCH("R", 'Dry_Litterbag Placem_Collection'!$U217)),"YES","NO")</f>
        <v>YES</v>
      </c>
    </row>
    <row r="511" spans="2:38">
      <c r="B511" t="str">
        <f>'Final data_for_R_analysis_Dryse'!A657</f>
        <v>Dry</v>
      </c>
      <c r="C511" s="260">
        <f>'Final data_for_R_analysis_Dryse'!B657</f>
        <v>216</v>
      </c>
      <c r="D511" t="s">
        <v>2431</v>
      </c>
      <c r="E511" t="s">
        <v>25</v>
      </c>
      <c r="F511" s="382">
        <v>4</v>
      </c>
      <c r="G511" s="383">
        <f>IF('Dry_Litterbag Placem_Collection'!E218="","",'Dry_Litterbag Placem_Collection'!E218)</f>
        <v>42942</v>
      </c>
      <c r="H511" s="92" t="str">
        <f>'Final data_for_R_analysis_Dryse'!K657</f>
        <v>G361</v>
      </c>
      <c r="I511" t="str">
        <f>'Final data_for_R_analysis_Dryse'!K877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82"/>
        <v>1.8092000000000001</v>
      </c>
      <c r="M511" s="237">
        <f>AVERAGE(Ashed_controlls!$K$1:$K$11)</f>
        <v>5.5147656768714146</v>
      </c>
      <c r="N511" s="194">
        <f t="shared" si="78"/>
        <v>1.7094268593740425</v>
      </c>
      <c r="O511" s="194">
        <f t="shared" si="83"/>
        <v>1.9142000000000001</v>
      </c>
      <c r="P511" s="237">
        <f>AVERAGE(Ashed_controlls!$K$12:$K$14)</f>
        <v>2.2816647271287041</v>
      </c>
      <c r="Q511" s="194">
        <f t="shared" si="79"/>
        <v>1.8705243737933024</v>
      </c>
      <c r="R511" s="383">
        <f>IF('Dry_Litterbag Placem_Collection'!G218="","",'Dry_Litterbag Placem_Collection'!G218)</f>
        <v>43004</v>
      </c>
      <c r="S511" s="194">
        <f>IFERROR(INDEX('Both teabags AfterDry'!$D$3:$D$2000,MATCH(H511,'Both teabags AfterDry'!$A$3:$A$2000,0)),"")</f>
        <v>0.73499999999999999</v>
      </c>
      <c r="T511" s="194">
        <f>IFERROR(INDEX('Both teabags AfterDry'!$D$3:$D$2000,MATCH(I511,'Both teabags AfterDry'!$A$3:$A$2000,0)),"")</f>
        <v>1.6419999999999999</v>
      </c>
      <c r="U511" s="194">
        <f t="shared" si="84"/>
        <v>0.58440000000000003</v>
      </c>
      <c r="V511" s="194">
        <f t="shared" si="85"/>
        <v>1.4913999999999998</v>
      </c>
      <c r="W511" s="194">
        <f>IFERROR(INDEX('Ashed teabags dry'!$K$2:$K$2000,MATCH(H511,'Ashed teabags dry'!$A$2:$A$2000,0)),"")</f>
        <v>12.954939341420824</v>
      </c>
      <c r="X511" s="194">
        <f>IFERROR(INDEX('Ashed teabags dry'!$K$2:$K$2000,MATCH(I511,'Ashed teabags dry'!$A$2:$A$2000,0)),"")</f>
        <v>4.6979865771810632</v>
      </c>
      <c r="Y511" s="194">
        <f t="shared" si="80"/>
        <v>0.50869133448873671</v>
      </c>
      <c r="Z511" s="194">
        <f t="shared" si="80"/>
        <v>1.4213342281879215</v>
      </c>
      <c r="AA511" s="194">
        <f t="shared" si="86"/>
        <v>0.70241994754018955</v>
      </c>
      <c r="AB511" s="194">
        <f t="shared" si="87"/>
        <v>0.46049383734226207</v>
      </c>
      <c r="AC511" s="194">
        <f t="shared" si="81"/>
        <v>0.75985870491788765</v>
      </c>
      <c r="AD511">
        <f t="shared" si="88"/>
        <v>62</v>
      </c>
      <c r="AE511" s="194">
        <f t="shared" si="89"/>
        <v>0.16577203380024996</v>
      </c>
      <c r="AF511" s="194">
        <f t="shared" si="90"/>
        <v>1.1888237814121416E-2</v>
      </c>
      <c r="AG511" s="252" t="str">
        <f>IF(ISNUMBER(SEARCH("C", 'Dry_Litterbag Placem_Collection'!$V218)),"YES","NO")</f>
        <v>NO</v>
      </c>
      <c r="AH511" s="252" t="str">
        <f>IF(ISNUMBER(SEARCH("H", 'Dry_Litterbag Placem_Collection'!$V218)),"YES","NO")</f>
        <v>NO</v>
      </c>
      <c r="AI511" s="252" t="str">
        <f>IF(ISNUMBER(SEARCH("R", 'Dry_Litterbag Placem_Collection'!$V218)),"YES","NO")</f>
        <v>NO</v>
      </c>
      <c r="AJ511" s="252" t="str">
        <f>IF(ISNUMBER(SEARCH("C", 'Dry_Litterbag Placem_Collection'!$U218)),"YES","NO")</f>
        <v>NO</v>
      </c>
      <c r="AK511" s="252" t="str">
        <f>IF(ISNUMBER(SEARCH("H", 'Dry_Litterbag Placem_Collection'!$U218)),"YES","NO")</f>
        <v>NO</v>
      </c>
      <c r="AL511" s="252" t="str">
        <f>IF(ISNUMBER(SEARCH("R", 'Dry_Litterbag Placem_Collection'!$U218)),"YES","NO")</f>
        <v>NO</v>
      </c>
    </row>
    <row r="512" spans="2:38">
      <c r="B512" t="str">
        <f>'Final data_for_R_analysis_Dryse'!A658</f>
        <v>Dry</v>
      </c>
      <c r="C512" s="260">
        <f>'Final data_for_R_analysis_Dryse'!B658</f>
        <v>217</v>
      </c>
      <c r="D512" t="s">
        <v>2424</v>
      </c>
      <c r="E512" t="s">
        <v>25</v>
      </c>
      <c r="F512" s="382">
        <v>1</v>
      </c>
      <c r="G512" s="383">
        <f>IF('Dry_Litterbag Placem_Collection'!E219="","",'Dry_Litterbag Placem_Collection'!E219)</f>
        <v>42942</v>
      </c>
      <c r="H512" s="92" t="str">
        <f>'Final data_for_R_analysis_Dryse'!K658</f>
        <v>G204</v>
      </c>
      <c r="I512" t="str">
        <f>'Final data_for_R_analysis_Dryse'!K878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82"/>
        <v>1.9472</v>
      </c>
      <c r="M512" s="237">
        <f>AVERAGE(Ashed_controlls!$K$1:$K$11)</f>
        <v>5.5147656768714146</v>
      </c>
      <c r="N512" s="194">
        <f t="shared" si="78"/>
        <v>1.8398164827399599</v>
      </c>
      <c r="O512" s="194">
        <f t="shared" si="83"/>
        <v>1.8942000000000001</v>
      </c>
      <c r="P512" s="237">
        <f>AVERAGE(Ashed_controlls!$K$12:$K$14)</f>
        <v>2.2816647271287041</v>
      </c>
      <c r="Q512" s="194">
        <f t="shared" si="79"/>
        <v>1.8509807067387283</v>
      </c>
      <c r="R512" s="383">
        <f>IF('Dry_Litterbag Placem_Collection'!G219="","",'Dry_Litterbag Placem_Collection'!G219)</f>
        <v>43004</v>
      </c>
      <c r="S512" s="194">
        <f>IFERROR(INDEX('Both teabags AfterDry'!$D$3:$D$2000,MATCH(H512,'Both teabags AfterDry'!$A$3:$A$2000,0)),"")</f>
        <v>0.80579999999999996</v>
      </c>
      <c r="T512" s="194">
        <f>IFERROR(INDEX('Both teabags AfterDry'!$D$3:$D$2000,MATCH(I512,'Both teabags AfterDry'!$A$3:$A$2000,0)),"")</f>
        <v>1.6455</v>
      </c>
      <c r="U512" s="194">
        <f t="shared" si="84"/>
        <v>0.6552</v>
      </c>
      <c r="V512" s="194">
        <f t="shared" si="85"/>
        <v>1.4948999999999999</v>
      </c>
      <c r="W512" s="194">
        <f>IFERROR(INDEX('Ashed teabags dry'!$K$2:$K$2000,MATCH(H512,'Ashed teabags dry'!$A$2:$A$2000,0)),"")</f>
        <v>19.368932038835744</v>
      </c>
      <c r="X512" s="194">
        <f>IFERROR(INDEX('Ashed teabags dry'!$K$2:$K$2000,MATCH(I512,'Ashed teabags dry'!$A$2:$A$2000,0)),"")</f>
        <v>3.468950749465225</v>
      </c>
      <c r="Y512" s="194">
        <f t="shared" si="80"/>
        <v>0.52829475728154818</v>
      </c>
      <c r="Z512" s="194">
        <f t="shared" si="80"/>
        <v>1.4430426552462443</v>
      </c>
      <c r="AA512" s="194">
        <f t="shared" si="86"/>
        <v>0.71285464488567829</v>
      </c>
      <c r="AB512" s="194">
        <f t="shared" si="87"/>
        <v>0.4673346365521312</v>
      </c>
      <c r="AC512" s="194">
        <f t="shared" si="81"/>
        <v>0.77960977658636088</v>
      </c>
      <c r="AD512">
        <f t="shared" si="88"/>
        <v>62</v>
      </c>
      <c r="AE512" s="194">
        <f t="shared" si="89"/>
        <v>0.15337928160845804</v>
      </c>
      <c r="AF512" s="194">
        <f t="shared" si="90"/>
        <v>1.0288424262450345E-2</v>
      </c>
      <c r="AG512" s="252" t="str">
        <f>IF(ISNUMBER(SEARCH("C", 'Dry_Litterbag Placem_Collection'!$V219)),"YES","NO")</f>
        <v>NO</v>
      </c>
      <c r="AH512" s="252" t="str">
        <f>IF(ISNUMBER(SEARCH("H", 'Dry_Litterbag Placem_Collection'!$V219)),"YES","NO")</f>
        <v>NO</v>
      </c>
      <c r="AI512" s="252" t="str">
        <f>IF(ISNUMBER(SEARCH("R", 'Dry_Litterbag Placem_Collection'!$V219)),"YES","NO")</f>
        <v>NO</v>
      </c>
      <c r="AJ512" s="252" t="str">
        <f>IF(ISNUMBER(SEARCH("C", 'Dry_Litterbag Placem_Collection'!$U219)),"YES","NO")</f>
        <v>NO</v>
      </c>
      <c r="AK512" s="252" t="str">
        <f>IF(ISNUMBER(SEARCH("H", 'Dry_Litterbag Placem_Collection'!$U219)),"YES","NO")</f>
        <v>NO</v>
      </c>
      <c r="AL512" s="252" t="str">
        <f>IF(ISNUMBER(SEARCH("R", 'Dry_Litterbag Placem_Collection'!$U219)),"YES","NO")</f>
        <v>YES</v>
      </c>
    </row>
    <row r="513" spans="2:38">
      <c r="B513" t="str">
        <f>'Final data_for_R_analysis_Dryse'!A659</f>
        <v>Dry</v>
      </c>
      <c r="C513" s="260">
        <f>'Final data_for_R_analysis_Dryse'!B659</f>
        <v>218</v>
      </c>
      <c r="D513" t="s">
        <v>2432</v>
      </c>
      <c r="E513" t="s">
        <v>25</v>
      </c>
      <c r="F513" s="382">
        <v>2</v>
      </c>
      <c r="G513" s="383">
        <f>IF('Dry_Litterbag Placem_Collection'!E220="","",'Dry_Litterbag Placem_Collection'!E220)</f>
        <v>42942</v>
      </c>
      <c r="H513" s="92" t="str">
        <f>'Final data_for_R_analysis_Dryse'!K659</f>
        <v>G170</v>
      </c>
      <c r="I513" t="str">
        <f>'Final data_for_R_analysis_Dryse'!K879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82"/>
        <v>1.7892000000000001</v>
      </c>
      <c r="M513" s="237">
        <f>AVERAGE(Ashed_controlls!$K$1:$K$11)</f>
        <v>5.5147656768714146</v>
      </c>
      <c r="N513" s="194">
        <f t="shared" si="78"/>
        <v>1.6905298125094168</v>
      </c>
      <c r="O513" s="194">
        <f t="shared" si="83"/>
        <v>1.8342000000000001</v>
      </c>
      <c r="P513" s="237">
        <f>AVERAGE(Ashed_controlls!$K$12:$K$14)</f>
        <v>2.2816647271287041</v>
      </c>
      <c r="Q513" s="194">
        <f t="shared" si="79"/>
        <v>1.7923497055750053</v>
      </c>
      <c r="R513" s="383">
        <f>IF('Dry_Litterbag Placem_Collection'!G220="","",'Dry_Litterbag Placem_Collection'!G220)</f>
        <v>43004</v>
      </c>
      <c r="S513" s="194">
        <f>IFERROR(INDEX('Both teabags AfterDry'!$D$3:$D$2000,MATCH(H513,'Both teabags AfterDry'!$A$3:$A$2000,0)),"")</f>
        <v>0.66100000000000003</v>
      </c>
      <c r="T513" s="194">
        <f>IFERROR(INDEX('Both teabags AfterDry'!$D$3:$D$2000,MATCH(I513,'Both teabags AfterDry'!$A$3:$A$2000,0)),"")</f>
        <v>1.6519999999999999</v>
      </c>
      <c r="U513" s="194">
        <f t="shared" si="84"/>
        <v>0.51039999999999996</v>
      </c>
      <c r="V513" s="194">
        <f t="shared" si="85"/>
        <v>1.5013999999999998</v>
      </c>
      <c r="W513" s="194">
        <f>IFERROR(INDEX('Ashed teabags dry'!$K$2:$K$2000,MATCH(H513,'Ashed teabags dry'!$A$2:$A$2000,0)),"")</f>
        <v>23.022929340196391</v>
      </c>
      <c r="X513" s="194">
        <f>IFERROR(INDEX('Ashed teabags dry'!$K$2:$K$2000,MATCH(I513,'Ashed teabags dry'!$A$2:$A$2000,0)),"")</f>
        <v>4.9473202015572753</v>
      </c>
      <c r="Y513" s="194">
        <f t="shared" si="80"/>
        <v>0.39289096864763762</v>
      </c>
      <c r="Z513" s="194">
        <f t="shared" si="80"/>
        <v>1.4271209344938189</v>
      </c>
      <c r="AA513" s="194">
        <f t="shared" si="86"/>
        <v>0.76759299614809418</v>
      </c>
      <c r="AB513" s="194">
        <f t="shared" si="87"/>
        <v>0.50322011148901191</v>
      </c>
      <c r="AC513" s="194">
        <f t="shared" si="81"/>
        <v>0.79622906738279797</v>
      </c>
      <c r="AD513">
        <f t="shared" si="88"/>
        <v>62</v>
      </c>
      <c r="AE513" s="194">
        <f t="shared" si="89"/>
        <v>8.8369363244543697E-2</v>
      </c>
      <c r="AF513" s="194">
        <f t="shared" si="90"/>
        <v>8.3723057288719663E-3</v>
      </c>
      <c r="AG513" s="252" t="str">
        <f>IF(ISNUMBER(SEARCH("C", 'Dry_Litterbag Placem_Collection'!$V220)),"YES","NO")</f>
        <v>NO</v>
      </c>
      <c r="AH513" s="252" t="str">
        <f>IF(ISNUMBER(SEARCH("H", 'Dry_Litterbag Placem_Collection'!$V220)),"YES","NO")</f>
        <v>NO</v>
      </c>
      <c r="AI513" s="252" t="str">
        <f>IF(ISNUMBER(SEARCH("R", 'Dry_Litterbag Placem_Collection'!$V220)),"YES","NO")</f>
        <v>YES</v>
      </c>
      <c r="AJ513" s="252" t="str">
        <f>IF(ISNUMBER(SEARCH("C", 'Dry_Litterbag Placem_Collection'!$U220)),"YES","NO")</f>
        <v>NO</v>
      </c>
      <c r="AK513" s="252" t="str">
        <f>IF(ISNUMBER(SEARCH("H", 'Dry_Litterbag Placem_Collection'!$U220)),"YES","NO")</f>
        <v>NO</v>
      </c>
      <c r="AL513" s="252" t="str">
        <f>IF(ISNUMBER(SEARCH("R", 'Dry_Litterbag Placem_Collection'!$U220)),"YES","NO")</f>
        <v>YES</v>
      </c>
    </row>
    <row r="514" spans="2:38">
      <c r="B514" t="str">
        <f>'Final data_for_R_analysis_Dryse'!A660</f>
        <v>Dry</v>
      </c>
      <c r="C514" s="260">
        <f>'Final data_for_R_analysis_Dryse'!B660</f>
        <v>219</v>
      </c>
      <c r="D514" t="s">
        <v>2439</v>
      </c>
      <c r="E514" t="s">
        <v>25</v>
      </c>
      <c r="F514" s="382">
        <v>3</v>
      </c>
      <c r="G514" s="383">
        <f>IF('Dry_Litterbag Placem_Collection'!E221="","",'Dry_Litterbag Placem_Collection'!E221)</f>
        <v>42942</v>
      </c>
      <c r="H514" s="92" t="str">
        <f>'Final data_for_R_analysis_Dryse'!K660</f>
        <v>G123</v>
      </c>
      <c r="I514" t="str">
        <f>'Final data_for_R_analysis_Dryse'!K880</f>
        <v>R246</v>
      </c>
      <c r="J514">
        <f>IFERROR(INDEX('Green_rooibos initial weight'!$C$5:$C$2000,MATCH(H514, 'Green_rooibos initial weight'!$A$5:$A$2000,0)),"")</f>
        <v>2.133</v>
      </c>
      <c r="K514">
        <f>IFERROR(INDEX('Green_rooibos initial weight'!$C$5:$C$2000,MATCH(I514, 'Green_rooibos initial weight'!$A$5:$A$2000,0)),"")</f>
        <v>2.2170000000000001</v>
      </c>
      <c r="L514" s="194">
        <f t="shared" si="82"/>
        <v>1.8832</v>
      </c>
      <c r="M514" s="237">
        <f>AVERAGE(Ashed_controlls!$K$1:$K$11)</f>
        <v>5.5147656768714146</v>
      </c>
      <c r="N514" s="194">
        <f t="shared" si="78"/>
        <v>1.7793459327731576</v>
      </c>
      <c r="O514" s="194">
        <f t="shared" si="83"/>
        <v>1.9672000000000001</v>
      </c>
      <c r="P514" s="237">
        <f>AVERAGE(Ashed_controlls!$K$12:$K$14)</f>
        <v>2.2816647271287041</v>
      </c>
      <c r="Q514" s="194">
        <f t="shared" si="79"/>
        <v>1.9223150914879241</v>
      </c>
      <c r="R514" s="383">
        <f>IF('Dry_Litterbag Placem_Collection'!G221="","",'Dry_Litterbag Placem_Collection'!G221)</f>
        <v>43004</v>
      </c>
      <c r="S514" s="194">
        <f>IFERROR(INDEX('Both teabags AfterDry'!$D$3:$D$2000,MATCH(H514,'Both teabags AfterDry'!$A$3:$A$2000,0)),"")</f>
        <v>0.82250000000000001</v>
      </c>
      <c r="T514" s="194">
        <f>IFERROR(INDEX('Both teabags AfterDry'!$D$3:$D$2000,MATCH(I514,'Both teabags AfterDry'!$A$3:$A$2000,0)),"")</f>
        <v>1.639</v>
      </c>
      <c r="U514" s="194">
        <f t="shared" si="84"/>
        <v>0.67189999999999994</v>
      </c>
      <c r="V514" s="194">
        <f t="shared" si="85"/>
        <v>1.4883999999999999</v>
      </c>
      <c r="W514" s="194">
        <f>IFERROR(INDEX('Ashed teabags dry'!$K$2:$K$2000,MATCH(H514,'Ashed teabags dry'!$A$2:$A$2000,0)),"")</f>
        <v>24.6799116997799</v>
      </c>
      <c r="X514" s="194">
        <f>IFERROR(INDEX('Ashed teabags dry'!$K$2:$K$2000,MATCH(I514,'Ashed teabags dry'!$A$2:$A$2000,0)),"")</f>
        <v>7.5489727663639679</v>
      </c>
      <c r="Y514" s="194">
        <f t="shared" si="80"/>
        <v>0.5060756732891788</v>
      </c>
      <c r="Z514" s="194">
        <f t="shared" si="80"/>
        <v>1.3760410893454387</v>
      </c>
      <c r="AA514" s="194">
        <f t="shared" si="86"/>
        <v>0.71558331408865139</v>
      </c>
      <c r="AB514" s="194">
        <f t="shared" si="87"/>
        <v>0.46912350282296389</v>
      </c>
      <c r="AC514" s="194">
        <f t="shared" si="81"/>
        <v>0.71582494224729076</v>
      </c>
      <c r="AD514">
        <f t="shared" si="88"/>
        <v>62</v>
      </c>
      <c r="AE514" s="194">
        <f t="shared" si="89"/>
        <v>0.15013858184245676</v>
      </c>
      <c r="AF514" s="194">
        <f t="shared" si="90"/>
        <v>1.501272508194075E-2</v>
      </c>
      <c r="AG514" s="252" t="str">
        <f>IF(ISNUMBER(SEARCH("C", 'Dry_Litterbag Placem_Collection'!$V221)),"YES","NO")</f>
        <v>NO</v>
      </c>
      <c r="AH514" s="252" t="str">
        <f>IF(ISNUMBER(SEARCH("H", 'Dry_Litterbag Placem_Collection'!$V221)),"YES","NO")</f>
        <v>NO</v>
      </c>
      <c r="AI514" s="252" t="str">
        <f>IF(ISNUMBER(SEARCH("R", 'Dry_Litterbag Placem_Collection'!$V221)),"YES","NO")</f>
        <v>NO</v>
      </c>
      <c r="AJ514" s="252" t="str">
        <f>IF(ISNUMBER(SEARCH("C", 'Dry_Litterbag Placem_Collection'!$U221)),"YES","NO")</f>
        <v>NO</v>
      </c>
      <c r="AK514" s="252" t="str">
        <f>IF(ISNUMBER(SEARCH("H", 'Dry_Litterbag Placem_Collection'!$U221)),"YES","NO")</f>
        <v>NO</v>
      </c>
      <c r="AL514" s="252" t="str">
        <f>IF(ISNUMBER(SEARCH("R", 'Dry_Litterbag Placem_Collection'!$U221)),"YES","NO")</f>
        <v>YES</v>
      </c>
    </row>
    <row r="515" spans="2:38">
      <c r="B515" t="str">
        <f>'Final data_for_R_analysis_Dryse'!A661</f>
        <v>Dry</v>
      </c>
      <c r="C515" s="381">
        <f>'Final data_for_R_analysis_Dryse'!B661</f>
        <v>220</v>
      </c>
      <c r="D515" t="s">
        <v>2446</v>
      </c>
      <c r="E515" t="s">
        <v>25</v>
      </c>
      <c r="F515" s="382">
        <v>4</v>
      </c>
      <c r="G515" s="383">
        <f>IF('Dry_Litterbag Placem_Collection'!E222="","",'Dry_Litterbag Placem_Collection'!E222)</f>
        <v>42942</v>
      </c>
      <c r="H515" s="92" t="str">
        <f>'Final data_for_R_analysis_Dryse'!K661</f>
        <v>G53</v>
      </c>
      <c r="I515" s="92" t="str">
        <f>'Final data_for_R_analysis_Dryse'!K881</f>
        <v>R672</v>
      </c>
      <c r="J515">
        <f>IFERROR(INDEX('Green_rooibos initial weight'!$C$5:$C$2000,MATCH(H515, 'Green_rooibos initial weight'!$A$5:$A$2000,0)),"")</f>
        <v>1.907</v>
      </c>
      <c r="K515">
        <f>IFERROR(INDEX('Green_rooibos initial weight'!$C$5:$C$2000,MATCH(I515, 'Green_rooibos initial weight'!$A$5:$A$2000,0)),"")</f>
        <v>2.161</v>
      </c>
      <c r="L515" s="194">
        <f t="shared" si="82"/>
        <v>1.6572</v>
      </c>
      <c r="M515" s="237">
        <f>AVERAGE(Ashed_controlls!$K$1:$K$11)</f>
        <v>5.5147656768714146</v>
      </c>
      <c r="N515" s="194">
        <f t="shared" si="78"/>
        <v>1.565809303202887</v>
      </c>
      <c r="O515" s="194">
        <f t="shared" si="83"/>
        <v>1.9112</v>
      </c>
      <c r="P515" s="237">
        <f>AVERAGE(Ashed_controlls!$K$12:$K$14)</f>
        <v>2.2816647271287041</v>
      </c>
      <c r="Q515" s="194">
        <f t="shared" si="79"/>
        <v>1.8675928237351163</v>
      </c>
      <c r="R515" s="383">
        <f>IF('Dry_Litterbag Placem_Collection'!G222="","",'Dry_Litterbag Placem_Collection'!G222)</f>
        <v>43004</v>
      </c>
      <c r="S515" s="194" t="str">
        <f>IFERROR(INDEX('Both teabags AfterDry'!$D$3:$D$2000,MATCH(H515,'Both teabags AfterDry'!$A$3:$A$2000,0)),"")</f>
        <v/>
      </c>
      <c r="T515" s="194" t="str">
        <f>IFERROR(INDEX('Both teabags AfterDry'!$D$3:$D$2000,MATCH(I515,'Both teabags AfterDry'!$A$3:$A$2000,0)),"")</f>
        <v/>
      </c>
      <c r="U515" s="194" t="str">
        <f t="shared" si="84"/>
        <v/>
      </c>
      <c r="V515" s="194" t="str">
        <f t="shared" si="85"/>
        <v/>
      </c>
      <c r="W515" s="194" t="str">
        <f>IFERROR(INDEX('Ashed teabags dry'!$K$2:$K$2000,MATCH(H515,'Ashed teabags dry'!$A$2:$A$2000,0)),"")</f>
        <v/>
      </c>
      <c r="X515" s="194" t="str">
        <f>IFERROR(INDEX('Ashed teabags dry'!$K$2:$K$2000,MATCH(I515,'Ashed teabags dry'!$A$2:$A$2000,0)),"")</f>
        <v/>
      </c>
      <c r="Y515" s="194" t="str">
        <f t="shared" si="80"/>
        <v/>
      </c>
      <c r="Z515" s="194" t="str">
        <f t="shared" si="80"/>
        <v/>
      </c>
      <c r="AA515" s="194" t="str">
        <f t="shared" si="86"/>
        <v/>
      </c>
      <c r="AB515" s="194" t="str">
        <f t="shared" si="87"/>
        <v/>
      </c>
      <c r="AC515" s="194" t="str">
        <f t="shared" si="81"/>
        <v/>
      </c>
      <c r="AD515">
        <f t="shared" si="88"/>
        <v>62</v>
      </c>
      <c r="AE515" s="194" t="str">
        <f t="shared" si="89"/>
        <v/>
      </c>
      <c r="AF515" s="194" t="str">
        <f t="shared" si="90"/>
        <v/>
      </c>
      <c r="AG515" s="252" t="str">
        <f>IF(ISNUMBER(SEARCH("C", 'Dry_Litterbag Placem_Collection'!$V222)),"YES","NO")</f>
        <v>NO</v>
      </c>
      <c r="AH515" s="252" t="str">
        <f>IF(ISNUMBER(SEARCH("H", 'Dry_Litterbag Placem_Collection'!$V222)),"YES","NO")</f>
        <v>NO</v>
      </c>
      <c r="AI515" s="252" t="str">
        <f>IF(ISNUMBER(SEARCH("R", 'Dry_Litterbag Placem_Collection'!$V222)),"YES","NO")</f>
        <v>NO</v>
      </c>
      <c r="AJ515" s="252" t="str">
        <f>IF(ISNUMBER(SEARCH("C", 'Dry_Litterbag Placem_Collection'!$U222)),"YES","NO")</f>
        <v>NO</v>
      </c>
      <c r="AK515" s="252" t="str">
        <f>IF(ISNUMBER(SEARCH("H", 'Dry_Litterbag Placem_Collection'!$U222)),"YES","NO")</f>
        <v>NO</v>
      </c>
      <c r="AL515" s="252" t="str">
        <f>IF(ISNUMBER(SEARCH("R", 'Dry_Litterbag Placem_Collection'!$U222)),"YES","NO")</f>
        <v>YES</v>
      </c>
    </row>
  </sheetData>
  <mergeCells count="51">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AG74:AL74"/>
    <mergeCell ref="L61:M61"/>
    <mergeCell ref="L62:M62"/>
    <mergeCell ref="B68:E68"/>
    <mergeCell ref="B69:E69"/>
    <mergeCell ref="B70:E70"/>
    <mergeCell ref="F70:N70"/>
  </mergeCells>
  <dataValidations disablePrompts="1" count="7">
    <dataValidation type="list" allowBlank="1" showInputMessage="1" showErrorMessage="1" sqref="T39:T63" xr:uid="{633D1373-C489-4226-BD05-8C519779B453}">
      <formula1>aspect</formula1>
    </dataValidation>
    <dataValidation type="list" allowBlank="1" showInputMessage="1" showErrorMessage="1" sqref="S39:S63" xr:uid="{B311EB38-26FB-4280-B021-4440A21EB943}">
      <formula1>slope</formula1>
    </dataValidation>
    <dataValidation type="list" allowBlank="1" showInputMessage="1" showErrorMessage="1" sqref="R39:R63" xr:uid="{633FA1E0-BB1A-4C11-937E-5A5D2B031BC9}">
      <formula1>rootingdepth</formula1>
    </dataValidation>
    <dataValidation type="list" allowBlank="1" showInputMessage="1" showErrorMessage="1" sqref="Q39:Q63" xr:uid="{0EC56E37-C971-423E-863A-D98114BCD95F}">
      <formula1>soildepth</formula1>
    </dataValidation>
    <dataValidation type="list" allowBlank="1" showInputMessage="1" showErrorMessage="1" sqref="O39:O63" xr:uid="{C8BF44E7-55A0-4460-B615-E9479A0B624F}">
      <formula1>ecosystem</formula1>
    </dataValidation>
    <dataValidation type="list" allowBlank="1" showInputMessage="1" showErrorMessage="1" sqref="L39:L63" xr:uid="{7999DC18-920B-4C35-90E3-F0ED42A13F45}">
      <formula1>human_impact</formula1>
    </dataValidation>
    <dataValidation type="list" allowBlank="1" showInputMessage="1" showErrorMessage="1" sqref="K39:K63" xr:uid="{C9C2C488-FA8C-43CB-A457-46D26C7BB4F6}">
      <formula1>shading</formula1>
    </dataValidation>
  </dataValidations>
  <hyperlinks>
    <hyperlink ref="F16" r:id="rId1" xr:uid="{918E898B-D544-40DF-945C-0D0EF576D4A2}"/>
    <hyperlink ref="F15" r:id="rId2" xr:uid="{4403BD38-40CB-4C68-9A9D-6A2212697303}"/>
  </hyperlinks>
  <pageMargins left="0.7" right="0.7" top="0.75" bottom="0.75" header="0.3" footer="0.3"/>
  <pageSetup paperSize="9" orientation="portrait"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30</vt:i4>
      </vt:variant>
    </vt:vector>
  </HeadingPairs>
  <TitlesOfParts>
    <vt:vector size="30" baseType="lpstr">
      <vt:lpstr>Final data_for_R_analysis_Wetse</vt:lpstr>
      <vt:lpstr>Final data_for_R_analysis_Dryse</vt:lpstr>
      <vt:lpstr>TBIcalc</vt:lpstr>
      <vt:lpstr>50x50 Mound survey</vt:lpstr>
      <vt:lpstr>Coordinates</vt:lpstr>
      <vt:lpstr>Soil_texture</vt:lpstr>
      <vt:lpstr>Rainfall_Wet</vt:lpstr>
      <vt:lpstr>Teabags_used_in_wet</vt:lpstr>
      <vt:lpstr>Ashed_controlls</vt:lpstr>
      <vt:lpstr>Duplicate check</vt:lpstr>
      <vt:lpstr>Ashed teabags dry</vt:lpstr>
      <vt:lpstr>Dry_Litterbag Placem_Collection</vt:lpstr>
      <vt:lpstr>Both teabags AfterDry</vt:lpstr>
      <vt:lpstr>WetLitterbags placem_collection</vt:lpstr>
      <vt:lpstr>Ashed teabags wet</vt:lpstr>
      <vt:lpstr>Both teabags AfterWet</vt:lpstr>
      <vt:lpstr>Ash_Protocol</vt:lpstr>
      <vt:lpstr>Rainfall_Dry</vt:lpstr>
      <vt:lpstr>Green_rooibos initial weight</vt:lpstr>
      <vt:lpstr>Dry_season</vt:lpstr>
      <vt:lpstr>Wet_season</vt:lpstr>
      <vt:lpstr>TBImanual</vt:lpstr>
      <vt:lpstr>Bugs&amp;Issues</vt:lpstr>
      <vt:lpstr>Things</vt:lpstr>
      <vt:lpstr>TBIWetUnashed</vt:lpstr>
      <vt:lpstr>TBIWet</vt:lpstr>
      <vt:lpstr>TBIDryUnashed</vt:lpstr>
      <vt:lpstr>TBIDry</vt:lpstr>
      <vt:lpstr>Changelog</vt:lpstr>
      <vt:lpstr>DIAGNOSTICS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2018-12-11T11:02:32Z</dcterms:modified>
</cp:coreProperties>
</file>